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ables/table1.xml" ContentType="application/vnd.openxmlformats-officedocument.spreadsheetml.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showInkAnnotation="0" autoCompressPictures="0"/>
  <mc:AlternateContent xmlns:mc="http://schemas.openxmlformats.org/markup-compatibility/2006">
    <mc:Choice Requires="x15">
      <x15ac:absPath xmlns:x15ac="http://schemas.microsoft.com/office/spreadsheetml/2010/11/ac" url="C:\Users\ansun\Documents\Master data\GitHub__R-stat\AfricanBioServices-Vegetation-and-soils\Termites\"/>
    </mc:Choice>
  </mc:AlternateContent>
  <xr:revisionPtr revIDLastSave="0" documentId="10_ncr:100000_{B604FE25-6A8E-4685-975E-003DF0BBC06C}" xr6:coauthVersionLast="31" xr6:coauthVersionMax="33" xr10:uidLastSave="{00000000-0000-0000-0000-000000000000}"/>
  <bookViews>
    <workbookView xWindow="0" yWindow="0" windowWidth="28800" windowHeight="11628" xr2:uid="{00000000-000D-0000-FFFF-FFFF00000000}"/>
  </bookViews>
  <sheets>
    <sheet name="Final data_for_R_analysis_Wetse" sheetId="25" r:id="rId1"/>
    <sheet name="Final data_for_R_analysis_Dryse" sheetId="31" r:id="rId2"/>
    <sheet name="Dry_Litterbag Placem_Collection" sheetId="17" r:id="rId3"/>
    <sheet name="TBIcalc" sheetId="34" r:id="rId4"/>
    <sheet name="50x50 Mound survey" sheetId="30" r:id="rId5"/>
    <sheet name="Coordinates" sheetId="29" r:id="rId6"/>
    <sheet name="Soil_texture" sheetId="26" r:id="rId7"/>
    <sheet name="Rainfall_Wet" sheetId="27" r:id="rId8"/>
    <sheet name="Teabags_used_in_wet" sheetId="22" r:id="rId9"/>
    <sheet name="Ashed_controlls" sheetId="41" r:id="rId10"/>
    <sheet name="Duplicate check" sheetId="32" r:id="rId11"/>
    <sheet name="Ashed teabags wet" sheetId="23" r:id="rId12"/>
    <sheet name="WetLitterbags placem_collection" sheetId="12" r:id="rId13"/>
    <sheet name="Both teabags AfterWet" sheetId="11" r:id="rId14"/>
    <sheet name="Ashed teabags dry" sheetId="35" r:id="rId15"/>
    <sheet name="Ash_Protocol" sheetId="24" r:id="rId16"/>
    <sheet name="Rainfall_Dry" sheetId="28" r:id="rId17"/>
    <sheet name="Green_rooibos initial weight" sheetId="10" r:id="rId18"/>
    <sheet name="Both teabags AfterDry" sheetId="16" r:id="rId19"/>
    <sheet name="Dry_season" sheetId="19" r:id="rId20"/>
    <sheet name="Wet_season" sheetId="18" r:id="rId21"/>
    <sheet name="TBImanual" sheetId="5" r:id="rId22"/>
    <sheet name="Bugs&amp;Issues" sheetId="4" r:id="rId23"/>
    <sheet name="Things" sheetId="14" r:id="rId24"/>
    <sheet name="TBIWet_Unashed" sheetId="43" r:id="rId25"/>
    <sheet name="TBIWet" sheetId="37" r:id="rId26"/>
    <sheet name="TBIDry_Unashed" sheetId="42" r:id="rId27"/>
    <sheet name="TBIDry" sheetId="40" r:id="rId28"/>
    <sheet name="Changelog" sheetId="3" state="hidden" r:id="rId29"/>
    <sheet name="DIAGNOSTICS" sheetId="7" state="hidden" r:id="rId30"/>
  </sheets>
  <definedNames>
    <definedName name="_xlnm._FilterDatabase" localSheetId="11" hidden="1">'Ashed teabags wet'!$C$1:$P$825</definedName>
  </definedNames>
  <calcPr calcId="179017" concurrentCalc="0"/>
</workbook>
</file>

<file path=xl/calcChain.xml><?xml version="1.0" encoding="utf-8"?>
<calcChain xmlns="http://schemas.openxmlformats.org/spreadsheetml/2006/main">
  <c r="BO6" i="32" l="1"/>
  <c r="BO7" i="32"/>
  <c r="BO8" i="32"/>
  <c r="BO9" i="32"/>
  <c r="BO10" i="32"/>
  <c r="BO11" i="32"/>
  <c r="BO12" i="32"/>
  <c r="BO13" i="32"/>
  <c r="BO14" i="32"/>
  <c r="BO15" i="32"/>
  <c r="BO16" i="32"/>
  <c r="BO17" i="32"/>
  <c r="BO18" i="32"/>
  <c r="BO19" i="32"/>
  <c r="BO20" i="32"/>
  <c r="BO21" i="32"/>
  <c r="BO22" i="32"/>
  <c r="BO23" i="32"/>
  <c r="BO24" i="32"/>
  <c r="BO25" i="32"/>
  <c r="BO26" i="32"/>
  <c r="BO27" i="32"/>
  <c r="BO28" i="32"/>
  <c r="BO29" i="32"/>
  <c r="BO30" i="32"/>
  <c r="BO31" i="32"/>
  <c r="BO32" i="32"/>
  <c r="BO33" i="32"/>
  <c r="BO34" i="32"/>
  <c r="BO35" i="32"/>
  <c r="BO36" i="32"/>
  <c r="BO37" i="32"/>
  <c r="BO38" i="32"/>
  <c r="BO39" i="32"/>
  <c r="BO40" i="32"/>
  <c r="BO41" i="32"/>
  <c r="BO42" i="32"/>
  <c r="BO43" i="32"/>
  <c r="BO44" i="32"/>
  <c r="BO45" i="32"/>
  <c r="BO46" i="32"/>
  <c r="BO47" i="32"/>
  <c r="BO48" i="32"/>
  <c r="BO49" i="32"/>
  <c r="BO50" i="32"/>
  <c r="BO51" i="32"/>
  <c r="BO52" i="32"/>
  <c r="BO53" i="32"/>
  <c r="BO54" i="32"/>
  <c r="BO55" i="32"/>
  <c r="BO56" i="32"/>
  <c r="BO57" i="32"/>
  <c r="BO58" i="32"/>
  <c r="BO59" i="32"/>
  <c r="BO60" i="32"/>
  <c r="BO61" i="32"/>
  <c r="BO62" i="32"/>
  <c r="BO63" i="32"/>
  <c r="BO64" i="32"/>
  <c r="BO65" i="32"/>
  <c r="BO66" i="32"/>
  <c r="BO67" i="32"/>
  <c r="BO68" i="32"/>
  <c r="BO69" i="32"/>
  <c r="BO70" i="32"/>
  <c r="BO71" i="32"/>
  <c r="BO72" i="32"/>
  <c r="BO73" i="32"/>
  <c r="BO74" i="32"/>
  <c r="BO75" i="32"/>
  <c r="BO76" i="32"/>
  <c r="BO77" i="32"/>
  <c r="BO78" i="32"/>
  <c r="BO79" i="32"/>
  <c r="BO80" i="32"/>
  <c r="BO81" i="32"/>
  <c r="BO82" i="32"/>
  <c r="BO83" i="32"/>
  <c r="BO84" i="32"/>
  <c r="BO85" i="32"/>
  <c r="BO86" i="32"/>
  <c r="BO87" i="32"/>
  <c r="BO88" i="32"/>
  <c r="BO89" i="32"/>
  <c r="BO90" i="32"/>
  <c r="BO91" i="32"/>
  <c r="BO92" i="32"/>
  <c r="BO93" i="32"/>
  <c r="BO94" i="32"/>
  <c r="BO95" i="32"/>
  <c r="BO96" i="32"/>
  <c r="BO97" i="32"/>
  <c r="BO98" i="32"/>
  <c r="BO99" i="32"/>
  <c r="BO100" i="32"/>
  <c r="BO101" i="32"/>
  <c r="BO102" i="32"/>
  <c r="BO103" i="32"/>
  <c r="BO104" i="32"/>
  <c r="BO105" i="32"/>
  <c r="BO106" i="32"/>
  <c r="BO107" i="32"/>
  <c r="BO108" i="32"/>
  <c r="BO109" i="32"/>
  <c r="BO110" i="32"/>
  <c r="BO111" i="32"/>
  <c r="BO112" i="32"/>
  <c r="BO113" i="32"/>
  <c r="BO114" i="32"/>
  <c r="BO115" i="32"/>
  <c r="BO116" i="32"/>
  <c r="BO117" i="32"/>
  <c r="BO118" i="32"/>
  <c r="BO119" i="32"/>
  <c r="BO120" i="32"/>
  <c r="BO121" i="32"/>
  <c r="BO122" i="32"/>
  <c r="BO123" i="32"/>
  <c r="BO124" i="32"/>
  <c r="BO125" i="32"/>
  <c r="BO126" i="32"/>
  <c r="BO127" i="32"/>
  <c r="BO128" i="32"/>
  <c r="BO129" i="32"/>
  <c r="BO130" i="32"/>
  <c r="BO131" i="32"/>
  <c r="BO132" i="32"/>
  <c r="BO133" i="32"/>
  <c r="BO134" i="32"/>
  <c r="BO135" i="32"/>
  <c r="BO136" i="32"/>
  <c r="BO137" i="32"/>
  <c r="BO138" i="32"/>
  <c r="BO139" i="32"/>
  <c r="BO140" i="32"/>
  <c r="BO141" i="32"/>
  <c r="BO142" i="32"/>
  <c r="BO143" i="32"/>
  <c r="BO144" i="32"/>
  <c r="BO145" i="32"/>
  <c r="BO146" i="32"/>
  <c r="BO147" i="32"/>
  <c r="BO148" i="32"/>
  <c r="BO149" i="32"/>
  <c r="BO150" i="32"/>
  <c r="BO151" i="32"/>
  <c r="BO152" i="32"/>
  <c r="BO153" i="32"/>
  <c r="BO154" i="32"/>
  <c r="BO155" i="32"/>
  <c r="BO156" i="32"/>
  <c r="BO157" i="32"/>
  <c r="BO158" i="32"/>
  <c r="BO159" i="32"/>
  <c r="BO160" i="32"/>
  <c r="BO161" i="32"/>
  <c r="BO162" i="32"/>
  <c r="BO163" i="32"/>
  <c r="BO164" i="32"/>
  <c r="BO165" i="32"/>
  <c r="BO166" i="32"/>
  <c r="BO167" i="32"/>
  <c r="BO168" i="32"/>
  <c r="BO169" i="32"/>
  <c r="BO170" i="32"/>
  <c r="BO171" i="32"/>
  <c r="BO172" i="32"/>
  <c r="BO173" i="32"/>
  <c r="BO174" i="32"/>
  <c r="BO175" i="32"/>
  <c r="BO176" i="32"/>
  <c r="BO177" i="32"/>
  <c r="BO178" i="32"/>
  <c r="BO179" i="32"/>
  <c r="BO180" i="32"/>
  <c r="BO181" i="32"/>
  <c r="BO182" i="32"/>
  <c r="BO183" i="32"/>
  <c r="BO184" i="32"/>
  <c r="BO185" i="32"/>
  <c r="BO186" i="32"/>
  <c r="BO187" i="32"/>
  <c r="BO188" i="32"/>
  <c r="BO189" i="32"/>
  <c r="BO190" i="32"/>
  <c r="BO191" i="32"/>
  <c r="BO192" i="32"/>
  <c r="BO193" i="32"/>
  <c r="BO194" i="32"/>
  <c r="BO195" i="32"/>
  <c r="BO196" i="32"/>
  <c r="BO197" i="32"/>
  <c r="BO198" i="32"/>
  <c r="BO199" i="32"/>
  <c r="BO200" i="32"/>
  <c r="BO201" i="32"/>
  <c r="BO202" i="32"/>
  <c r="BO203" i="32"/>
  <c r="BO204" i="32"/>
  <c r="BO205" i="32"/>
  <c r="BO206" i="32"/>
  <c r="BO207" i="32"/>
  <c r="BO208" i="32"/>
  <c r="BO209" i="32"/>
  <c r="BO210" i="32"/>
  <c r="BO211" i="32"/>
  <c r="BO212" i="32"/>
  <c r="BO213" i="32"/>
  <c r="BO214" i="32"/>
  <c r="BO215" i="32"/>
  <c r="BO216" i="32"/>
  <c r="BO217" i="32"/>
  <c r="BO218" i="32"/>
  <c r="BO219" i="32"/>
  <c r="BO220" i="32"/>
  <c r="BO221" i="32"/>
  <c r="BO222" i="32"/>
  <c r="BO223" i="32"/>
  <c r="BO224" i="32"/>
  <c r="BO225" i="32"/>
  <c r="BO226" i="32"/>
  <c r="BO227" i="32"/>
  <c r="BO228" i="32"/>
  <c r="BO229" i="32"/>
  <c r="BO230" i="32"/>
  <c r="BO231" i="32"/>
  <c r="BO232" i="32"/>
  <c r="BO233" i="32"/>
  <c r="BO234" i="32"/>
  <c r="BO235" i="32"/>
  <c r="BO236" i="32"/>
  <c r="BO237" i="32"/>
  <c r="BO238" i="32"/>
  <c r="BO239" i="32"/>
  <c r="BO240" i="32"/>
  <c r="BO241" i="32"/>
  <c r="BO242" i="32"/>
  <c r="BO243" i="32"/>
  <c r="BO244" i="32"/>
  <c r="BO245" i="32"/>
  <c r="BO246" i="32"/>
  <c r="BO247" i="32"/>
  <c r="BO248" i="32"/>
  <c r="BO249" i="32"/>
  <c r="BO250" i="32"/>
  <c r="BO251" i="32"/>
  <c r="BO252" i="32"/>
  <c r="BO253" i="32"/>
  <c r="BO254" i="32"/>
  <c r="BO255" i="32"/>
  <c r="BO256" i="32"/>
  <c r="BO257" i="32"/>
  <c r="BO258" i="32"/>
  <c r="BO259" i="32"/>
  <c r="BO260" i="32"/>
  <c r="BO261" i="32"/>
  <c r="BO262" i="32"/>
  <c r="BO263" i="32"/>
  <c r="BO264" i="32"/>
  <c r="BO265" i="32"/>
  <c r="BO266" i="32"/>
  <c r="BO267" i="32"/>
  <c r="BO268" i="32"/>
  <c r="BO269" i="32"/>
  <c r="BO270" i="32"/>
  <c r="BO271" i="32"/>
  <c r="BO272" i="32"/>
  <c r="BO273" i="32"/>
  <c r="BO274" i="32"/>
  <c r="BO275" i="32"/>
  <c r="BO276" i="32"/>
  <c r="BO277" i="32"/>
  <c r="BO278" i="32"/>
  <c r="BO279" i="32"/>
  <c r="BO280" i="32"/>
  <c r="BO281" i="32"/>
  <c r="BO282" i="32"/>
  <c r="BO283" i="32"/>
  <c r="BO284" i="32"/>
  <c r="BO285" i="32"/>
  <c r="BO286" i="32"/>
  <c r="BO287" i="32"/>
  <c r="BO288" i="32"/>
  <c r="BO289" i="32"/>
  <c r="BO290" i="32"/>
  <c r="BO291" i="32"/>
  <c r="BO292" i="32"/>
  <c r="BO293" i="32"/>
  <c r="BO294" i="32"/>
  <c r="BO295" i="32"/>
  <c r="BO296" i="32"/>
  <c r="BO297" i="32"/>
  <c r="BO298" i="32"/>
  <c r="BO299" i="32"/>
  <c r="BO300" i="32"/>
  <c r="BO301" i="32"/>
  <c r="BO302" i="32"/>
  <c r="BO303" i="32"/>
  <c r="BO304" i="32"/>
  <c r="BO305" i="32"/>
  <c r="BO306" i="32"/>
  <c r="BO307" i="32"/>
  <c r="BO308" i="32"/>
  <c r="BO309" i="32"/>
  <c r="BO310" i="32"/>
  <c r="BO311" i="32"/>
  <c r="BO312" i="32"/>
  <c r="BO313" i="32"/>
  <c r="BO314" i="32"/>
  <c r="BO315" i="32"/>
  <c r="BO316" i="32"/>
  <c r="BO317" i="32"/>
  <c r="BO318" i="32"/>
  <c r="BO319" i="32"/>
  <c r="BO320" i="32"/>
  <c r="BO321" i="32"/>
  <c r="BO322" i="32"/>
  <c r="BO323" i="32"/>
  <c r="BO324" i="32"/>
  <c r="BO325" i="32"/>
  <c r="BO326" i="32"/>
  <c r="BO327" i="32"/>
  <c r="BO328" i="32"/>
  <c r="BO329" i="32"/>
  <c r="BO330" i="32"/>
  <c r="BO331" i="32"/>
  <c r="BO332" i="32"/>
  <c r="BO333" i="32"/>
  <c r="BO334" i="32"/>
  <c r="BO335" i="32"/>
  <c r="BO336" i="32"/>
  <c r="BO337" i="32"/>
  <c r="BO338" i="32"/>
  <c r="BO339" i="32"/>
  <c r="BO340" i="32"/>
  <c r="BO341" i="32"/>
  <c r="BO342" i="32"/>
  <c r="BO343" i="32"/>
  <c r="BO344" i="32"/>
  <c r="BO345" i="32"/>
  <c r="BO346" i="32"/>
  <c r="BO347" i="32"/>
  <c r="BO348" i="32"/>
  <c r="BO349" i="32"/>
  <c r="BO350" i="32"/>
  <c r="BO351" i="32"/>
  <c r="BO352" i="32"/>
  <c r="BO353" i="32"/>
  <c r="BO354" i="32"/>
  <c r="BO355" i="32"/>
  <c r="BO356" i="32"/>
  <c r="BO357" i="32"/>
  <c r="BO358" i="32"/>
  <c r="BO359" i="32"/>
  <c r="BO360" i="32"/>
  <c r="BO361" i="32"/>
  <c r="BO362" i="32"/>
  <c r="BO363" i="32"/>
  <c r="BO364" i="32"/>
  <c r="BO365" i="32"/>
  <c r="BO366" i="32"/>
  <c r="BO367" i="32"/>
  <c r="BO368" i="32"/>
  <c r="BO369" i="32"/>
  <c r="BO370" i="32"/>
  <c r="BO371" i="32"/>
  <c r="BO372" i="32"/>
  <c r="BO373" i="32"/>
  <c r="BO374" i="32"/>
  <c r="BO375" i="32"/>
  <c r="BO376" i="32"/>
  <c r="BO377" i="32"/>
  <c r="BO378" i="32"/>
  <c r="BO379" i="32"/>
  <c r="BO380" i="32"/>
  <c r="BO381" i="32"/>
  <c r="BO382" i="32"/>
  <c r="BO383" i="32"/>
  <c r="BO384" i="32"/>
  <c r="BO385" i="32"/>
  <c r="BO386" i="32"/>
  <c r="BO387" i="32"/>
  <c r="BO388" i="32"/>
  <c r="BO389" i="32"/>
  <c r="BO390" i="32"/>
  <c r="BO391" i="32"/>
  <c r="BO392" i="32"/>
  <c r="BO393" i="32"/>
  <c r="BO394" i="32"/>
  <c r="BO395" i="32"/>
  <c r="BO396" i="32"/>
  <c r="BO397" i="32"/>
  <c r="BO398" i="32"/>
  <c r="BO399" i="32"/>
  <c r="BO400" i="32"/>
  <c r="BO401" i="32"/>
  <c r="BO402" i="32"/>
  <c r="BO403" i="32"/>
  <c r="BO404" i="32"/>
  <c r="BO405" i="32"/>
  <c r="BO406" i="32"/>
  <c r="BO407" i="32"/>
  <c r="BO408" i="32"/>
  <c r="BO409" i="32"/>
  <c r="BO410" i="32"/>
  <c r="BO411" i="32"/>
  <c r="BO412" i="32"/>
  <c r="BO413" i="32"/>
  <c r="BO414" i="32"/>
  <c r="BO415" i="32"/>
  <c r="BO416" i="32"/>
  <c r="BO417" i="32"/>
  <c r="BO418" i="32"/>
  <c r="BO419" i="32"/>
  <c r="BO420" i="32"/>
  <c r="BO421" i="32"/>
  <c r="BO422" i="32"/>
  <c r="M425" i="32"/>
  <c r="AZ5" i="32"/>
  <c r="BA5" i="32"/>
  <c r="AZ6" i="32"/>
  <c r="BA6" i="32"/>
  <c r="AZ7" i="32"/>
  <c r="BA7" i="32"/>
  <c r="AZ8" i="32"/>
  <c r="BA8" i="32"/>
  <c r="AZ9" i="32"/>
  <c r="BA9" i="32"/>
  <c r="AZ10" i="32"/>
  <c r="BA10" i="32"/>
  <c r="AZ11" i="32"/>
  <c r="BA11" i="32"/>
  <c r="AZ12" i="32"/>
  <c r="BA12" i="32"/>
  <c r="AZ13" i="32"/>
  <c r="BA13" i="32"/>
  <c r="AZ14" i="32"/>
  <c r="BA14" i="32"/>
  <c r="AZ15" i="32"/>
  <c r="BA15" i="32"/>
  <c r="AZ16" i="32"/>
  <c r="BA16" i="32"/>
  <c r="AZ17" i="32"/>
  <c r="BA17" i="32"/>
  <c r="AZ18" i="32"/>
  <c r="BA18" i="32"/>
  <c r="AZ19" i="32"/>
  <c r="BA19" i="32"/>
  <c r="AZ20" i="32"/>
  <c r="BA20" i="32"/>
  <c r="AZ21" i="32"/>
  <c r="BA21" i="32"/>
  <c r="AZ22" i="32"/>
  <c r="BA22" i="32"/>
  <c r="AZ23" i="32"/>
  <c r="BA23" i="32"/>
  <c r="AZ24" i="32"/>
  <c r="BA24" i="32"/>
  <c r="AZ25" i="32"/>
  <c r="BA25" i="32"/>
  <c r="AZ26" i="32"/>
  <c r="BA26" i="32"/>
  <c r="AZ27" i="32"/>
  <c r="BA27" i="32"/>
  <c r="AZ28" i="32"/>
  <c r="BA28" i="32"/>
  <c r="AZ29" i="32"/>
  <c r="BA29" i="32"/>
  <c r="AZ30" i="32"/>
  <c r="BA30" i="32"/>
  <c r="AZ31" i="32"/>
  <c r="BA31" i="32"/>
  <c r="AZ32" i="32"/>
  <c r="BA32" i="32"/>
  <c r="AZ33" i="32"/>
  <c r="BA33" i="32"/>
  <c r="AZ34" i="32"/>
  <c r="BA34" i="32"/>
  <c r="AZ35" i="32"/>
  <c r="BA35" i="32"/>
  <c r="AZ36" i="32"/>
  <c r="BA36" i="32"/>
  <c r="AZ37" i="32"/>
  <c r="BA37" i="32"/>
  <c r="AZ38" i="32"/>
  <c r="BA38" i="32"/>
  <c r="AZ39" i="32"/>
  <c r="BA39" i="32"/>
  <c r="AZ40" i="32"/>
  <c r="BA40" i="32"/>
  <c r="AZ41" i="32"/>
  <c r="BA41" i="32"/>
  <c r="AZ42" i="32"/>
  <c r="BA42" i="32"/>
  <c r="AZ43" i="32"/>
  <c r="BA43" i="32"/>
  <c r="AZ44" i="32"/>
  <c r="BA44" i="32"/>
  <c r="AZ45" i="32"/>
  <c r="BA45" i="32"/>
  <c r="AZ46" i="32"/>
  <c r="BA46" i="32"/>
  <c r="AZ47" i="32"/>
  <c r="BA47" i="32"/>
  <c r="AZ48" i="32"/>
  <c r="BA48" i="32"/>
  <c r="AZ49" i="32"/>
  <c r="BA49" i="32"/>
  <c r="AZ50" i="32"/>
  <c r="BA50" i="32"/>
  <c r="AZ51" i="32"/>
  <c r="BA51" i="32"/>
  <c r="AZ52" i="32"/>
  <c r="BA52" i="32"/>
  <c r="AZ53" i="32"/>
  <c r="BA53" i="32"/>
  <c r="AZ54" i="32"/>
  <c r="BA54" i="32"/>
  <c r="AZ55" i="32"/>
  <c r="BA55" i="32"/>
  <c r="AZ56" i="32"/>
  <c r="BA56" i="32"/>
  <c r="AZ57" i="32"/>
  <c r="BA57" i="32"/>
  <c r="AZ58" i="32"/>
  <c r="BA58" i="32"/>
  <c r="AZ59" i="32"/>
  <c r="BA59" i="32"/>
  <c r="AZ60" i="32"/>
  <c r="BA60" i="32"/>
  <c r="AZ61" i="32"/>
  <c r="BA61" i="32"/>
  <c r="AZ62" i="32"/>
  <c r="BA62" i="32"/>
  <c r="AZ63" i="32"/>
  <c r="BA63" i="32"/>
  <c r="AZ64" i="32"/>
  <c r="BA64" i="32"/>
  <c r="AZ65" i="32"/>
  <c r="BA65" i="32"/>
  <c r="AZ66" i="32"/>
  <c r="BA66" i="32"/>
  <c r="AZ67" i="32"/>
  <c r="BA67" i="32"/>
  <c r="AZ68" i="32"/>
  <c r="BA68" i="32"/>
  <c r="AZ69" i="32"/>
  <c r="BA69" i="32"/>
  <c r="AZ70" i="32"/>
  <c r="BA70" i="32"/>
  <c r="AZ71" i="32"/>
  <c r="BA71" i="32"/>
  <c r="AZ72" i="32"/>
  <c r="BA72" i="32"/>
  <c r="AZ73" i="32"/>
  <c r="BA73" i="32"/>
  <c r="AZ74" i="32"/>
  <c r="BA74" i="32"/>
  <c r="AZ75" i="32"/>
  <c r="BA75" i="32"/>
  <c r="AZ76" i="32"/>
  <c r="BA76" i="32"/>
  <c r="AZ77" i="32"/>
  <c r="BA77" i="32"/>
  <c r="AZ78" i="32"/>
  <c r="BA78" i="32"/>
  <c r="AZ79" i="32"/>
  <c r="BA79" i="32"/>
  <c r="AZ80" i="32"/>
  <c r="BA80" i="32"/>
  <c r="AZ81" i="32"/>
  <c r="BA81" i="32"/>
  <c r="AZ82" i="32"/>
  <c r="BA82" i="32"/>
  <c r="AZ83" i="32"/>
  <c r="BA83" i="32"/>
  <c r="AZ84" i="32"/>
  <c r="BA84" i="32"/>
  <c r="AZ85" i="32"/>
  <c r="BA85" i="32"/>
  <c r="AZ86" i="32"/>
  <c r="BA86" i="32"/>
  <c r="AZ87" i="32"/>
  <c r="BA87" i="32"/>
  <c r="AZ88" i="32"/>
  <c r="BA88" i="32"/>
  <c r="AZ89" i="32"/>
  <c r="BA89" i="32"/>
  <c r="AZ90" i="32"/>
  <c r="BA90" i="32"/>
  <c r="AZ91" i="32"/>
  <c r="BA91" i="32"/>
  <c r="AZ92" i="32"/>
  <c r="BA92" i="32"/>
  <c r="AZ93" i="32"/>
  <c r="BA93" i="32"/>
  <c r="AZ94" i="32"/>
  <c r="BA94" i="32"/>
  <c r="AZ95" i="32"/>
  <c r="BA95" i="32"/>
  <c r="AZ96" i="32"/>
  <c r="BA96" i="32"/>
  <c r="AZ97" i="32"/>
  <c r="BA97" i="32"/>
  <c r="AZ98" i="32"/>
  <c r="BA98" i="32"/>
  <c r="AZ99" i="32"/>
  <c r="BA99" i="32"/>
  <c r="AZ100" i="32"/>
  <c r="BA100" i="32"/>
  <c r="AZ101" i="32"/>
  <c r="BA101" i="32"/>
  <c r="AZ102" i="32"/>
  <c r="BA102" i="32"/>
  <c r="AZ103" i="32"/>
  <c r="BA103" i="32"/>
  <c r="AZ104" i="32"/>
  <c r="BA104" i="32"/>
  <c r="AZ105" i="32"/>
  <c r="BA105" i="32"/>
  <c r="AZ106" i="32"/>
  <c r="BA106" i="32"/>
  <c r="AZ107" i="32"/>
  <c r="BA107" i="32"/>
  <c r="AZ108" i="32"/>
  <c r="BA108" i="32"/>
  <c r="AZ109" i="32"/>
  <c r="BA109" i="32"/>
  <c r="AZ110" i="32"/>
  <c r="BA110" i="32"/>
  <c r="AZ111" i="32"/>
  <c r="BA111" i="32"/>
  <c r="AZ112" i="32"/>
  <c r="BA112" i="32"/>
  <c r="AZ113" i="32"/>
  <c r="BA113" i="32"/>
  <c r="AZ114" i="32"/>
  <c r="BA114" i="32"/>
  <c r="AZ115" i="32"/>
  <c r="BA115" i="32"/>
  <c r="AZ116" i="32"/>
  <c r="BA116" i="32"/>
  <c r="AZ117" i="32"/>
  <c r="BA117" i="32"/>
  <c r="AZ118" i="32"/>
  <c r="BA118" i="32"/>
  <c r="AZ119" i="32"/>
  <c r="BA119" i="32"/>
  <c r="AZ120" i="32"/>
  <c r="BA120" i="32"/>
  <c r="AZ121" i="32"/>
  <c r="BA121" i="32"/>
  <c r="AZ122" i="32"/>
  <c r="BA122" i="32"/>
  <c r="AZ123" i="32"/>
  <c r="BA123" i="32"/>
  <c r="AZ124" i="32"/>
  <c r="BA124" i="32"/>
  <c r="AZ125" i="32"/>
  <c r="BA125" i="32"/>
  <c r="AZ126" i="32"/>
  <c r="BA126" i="32"/>
  <c r="AZ127" i="32"/>
  <c r="BA127" i="32"/>
  <c r="AZ128" i="32"/>
  <c r="BA128" i="32"/>
  <c r="AZ129" i="32"/>
  <c r="BA129" i="32"/>
  <c r="AZ130" i="32"/>
  <c r="BA130" i="32"/>
  <c r="AZ131" i="32"/>
  <c r="BA131" i="32"/>
  <c r="AZ132" i="32"/>
  <c r="BA132" i="32"/>
  <c r="AZ133" i="32"/>
  <c r="BA133" i="32"/>
  <c r="AZ134" i="32"/>
  <c r="BA134" i="32"/>
  <c r="AZ135" i="32"/>
  <c r="BA135" i="32"/>
  <c r="AZ136" i="32"/>
  <c r="BA136" i="32"/>
  <c r="AZ137" i="32"/>
  <c r="BA137" i="32"/>
  <c r="AZ138" i="32"/>
  <c r="BA138" i="32"/>
  <c r="AZ139" i="32"/>
  <c r="BA139" i="32"/>
  <c r="AZ140" i="32"/>
  <c r="BA140" i="32"/>
  <c r="AZ141" i="32"/>
  <c r="BA141" i="32"/>
  <c r="AZ142" i="32"/>
  <c r="BA142" i="32"/>
  <c r="AZ143" i="32"/>
  <c r="BA143" i="32"/>
  <c r="AZ144" i="32"/>
  <c r="BA144" i="32"/>
  <c r="AZ145" i="32"/>
  <c r="BA145" i="32"/>
  <c r="AZ146" i="32"/>
  <c r="BA146" i="32"/>
  <c r="AZ147" i="32"/>
  <c r="BA147" i="32"/>
  <c r="AZ148" i="32"/>
  <c r="BA148" i="32"/>
  <c r="AZ149" i="32"/>
  <c r="BA149" i="32"/>
  <c r="AZ150" i="32"/>
  <c r="BA150" i="32"/>
  <c r="AZ151" i="32"/>
  <c r="BA151" i="32"/>
  <c r="AZ152" i="32"/>
  <c r="BA152" i="32"/>
  <c r="AZ153" i="32"/>
  <c r="BA153" i="32"/>
  <c r="AZ154" i="32"/>
  <c r="BA154" i="32"/>
  <c r="AZ155" i="32"/>
  <c r="BA155" i="32"/>
  <c r="AZ156" i="32"/>
  <c r="BA156" i="32"/>
  <c r="AZ157" i="32"/>
  <c r="BA157" i="32"/>
  <c r="AZ158" i="32"/>
  <c r="BA158" i="32"/>
  <c r="AZ159" i="32"/>
  <c r="BA159" i="32"/>
  <c r="AZ160" i="32"/>
  <c r="BA160" i="32"/>
  <c r="AZ161" i="32"/>
  <c r="BA161" i="32"/>
  <c r="AZ162" i="32"/>
  <c r="BA162" i="32"/>
  <c r="AZ163" i="32"/>
  <c r="BA163" i="32"/>
  <c r="AZ164" i="32"/>
  <c r="BA164" i="32"/>
  <c r="AZ165" i="32"/>
  <c r="BA165" i="32"/>
  <c r="AZ166" i="32"/>
  <c r="BA166" i="32"/>
  <c r="AZ167" i="32"/>
  <c r="BA167" i="32"/>
  <c r="AZ168" i="32"/>
  <c r="BA168" i="32"/>
  <c r="AZ169" i="32"/>
  <c r="BA169" i="32"/>
  <c r="AZ170" i="32"/>
  <c r="BA170" i="32"/>
  <c r="AZ171" i="32"/>
  <c r="BA171" i="32"/>
  <c r="AZ172" i="32"/>
  <c r="BA172" i="32"/>
  <c r="AZ173" i="32"/>
  <c r="BA173" i="32"/>
  <c r="AZ174" i="32"/>
  <c r="BA174" i="32"/>
  <c r="AZ175" i="32"/>
  <c r="BA175" i="32"/>
  <c r="AZ176" i="32"/>
  <c r="BA176" i="32"/>
  <c r="AZ177" i="32"/>
  <c r="BA177" i="32"/>
  <c r="AZ178" i="32"/>
  <c r="BA178" i="32"/>
  <c r="AZ179" i="32"/>
  <c r="BA179" i="32"/>
  <c r="AZ180" i="32"/>
  <c r="BA180" i="32"/>
  <c r="AZ181" i="32"/>
  <c r="BA181" i="32"/>
  <c r="AZ182" i="32"/>
  <c r="BA182" i="32"/>
  <c r="AZ183" i="32"/>
  <c r="BA183" i="32"/>
  <c r="AZ184" i="32"/>
  <c r="BA184" i="32"/>
  <c r="AZ185" i="32"/>
  <c r="BA185" i="32"/>
  <c r="AZ186" i="32"/>
  <c r="BA186" i="32"/>
  <c r="AZ187" i="32"/>
  <c r="BA187" i="32"/>
  <c r="AZ188" i="32"/>
  <c r="BA188" i="32"/>
  <c r="AZ189" i="32"/>
  <c r="BA189" i="32"/>
  <c r="AZ190" i="32"/>
  <c r="BA190" i="32"/>
  <c r="AZ191" i="32"/>
  <c r="BA191" i="32"/>
  <c r="AZ192" i="32"/>
  <c r="BA192" i="32"/>
  <c r="AZ193" i="32"/>
  <c r="BA193" i="32"/>
  <c r="AZ194" i="32"/>
  <c r="BA194" i="32"/>
  <c r="AZ195" i="32"/>
  <c r="BA195" i="32"/>
  <c r="AZ196" i="32"/>
  <c r="BA196" i="32"/>
  <c r="AZ197" i="32"/>
  <c r="BA197" i="32"/>
  <c r="AZ198" i="32"/>
  <c r="BA198" i="32"/>
  <c r="AZ199" i="32"/>
  <c r="BA199" i="32"/>
  <c r="AZ200" i="32"/>
  <c r="BA200" i="32"/>
  <c r="AZ201" i="32"/>
  <c r="BA201" i="32"/>
  <c r="AZ202" i="32"/>
  <c r="BA202" i="32"/>
  <c r="AZ203" i="32"/>
  <c r="BA203" i="32"/>
  <c r="AZ204" i="32"/>
  <c r="BA204" i="32"/>
  <c r="AZ205" i="32"/>
  <c r="BA205" i="32"/>
  <c r="AZ206" i="32"/>
  <c r="BA206" i="32"/>
  <c r="AZ207" i="32"/>
  <c r="BA207" i="32"/>
  <c r="AZ208" i="32"/>
  <c r="BA208" i="32"/>
  <c r="AZ209" i="32"/>
  <c r="BA209" i="32"/>
  <c r="AZ210" i="32"/>
  <c r="BA210" i="32"/>
  <c r="AZ211" i="32"/>
  <c r="BA211" i="32"/>
  <c r="AZ212" i="32"/>
  <c r="BA212" i="32"/>
  <c r="AZ213" i="32"/>
  <c r="BA213" i="32"/>
  <c r="AZ214" i="32"/>
  <c r="BA214" i="32"/>
  <c r="AZ215" i="32"/>
  <c r="BA215" i="32"/>
  <c r="AZ216" i="32"/>
  <c r="BA216" i="32"/>
  <c r="AZ217" i="32"/>
  <c r="BA217" i="32"/>
  <c r="AZ218" i="32"/>
  <c r="BA218" i="32"/>
  <c r="AZ219" i="32"/>
  <c r="BA219" i="32"/>
  <c r="AZ220" i="32"/>
  <c r="BA220" i="32"/>
  <c r="AZ221" i="32"/>
  <c r="BA221" i="32"/>
  <c r="AZ222" i="32"/>
  <c r="BA222" i="32"/>
  <c r="AZ223" i="32"/>
  <c r="BA223" i="32"/>
  <c r="AZ224" i="32"/>
  <c r="BA224" i="32"/>
  <c r="AZ225" i="32"/>
  <c r="BA225" i="32"/>
  <c r="AZ226" i="32"/>
  <c r="BA226" i="32"/>
  <c r="AZ227" i="32"/>
  <c r="BA227" i="32"/>
  <c r="AZ228" i="32"/>
  <c r="BA228" i="32"/>
  <c r="AZ229" i="32"/>
  <c r="BA229" i="32"/>
  <c r="AZ230" i="32"/>
  <c r="BA230" i="32"/>
  <c r="AZ231" i="32"/>
  <c r="BA231" i="32"/>
  <c r="AZ232" i="32"/>
  <c r="BA232" i="32"/>
  <c r="AZ233" i="32"/>
  <c r="BA233" i="32"/>
  <c r="AZ234" i="32"/>
  <c r="BA234" i="32"/>
  <c r="AZ235" i="32"/>
  <c r="BA235" i="32"/>
  <c r="AZ236" i="32"/>
  <c r="BA236" i="32"/>
  <c r="AZ237" i="32"/>
  <c r="BA237" i="32"/>
  <c r="AZ238" i="32"/>
  <c r="BA238" i="32"/>
  <c r="AZ239" i="32"/>
  <c r="BA239" i="32"/>
  <c r="AZ240" i="32"/>
  <c r="BA240" i="32"/>
  <c r="AZ241" i="32"/>
  <c r="BA241" i="32"/>
  <c r="AZ242" i="32"/>
  <c r="BA242" i="32"/>
  <c r="AZ243" i="32"/>
  <c r="BA243" i="32"/>
  <c r="AZ244" i="32"/>
  <c r="BA244" i="32"/>
  <c r="AZ245" i="32"/>
  <c r="BA245" i="32"/>
  <c r="AZ246" i="32"/>
  <c r="BA246" i="32"/>
  <c r="AZ247" i="32"/>
  <c r="BA247" i="32"/>
  <c r="AZ248" i="32"/>
  <c r="BA248" i="32"/>
  <c r="AZ249" i="32"/>
  <c r="BA249" i="32"/>
  <c r="AZ250" i="32"/>
  <c r="BA250" i="32"/>
  <c r="AZ251" i="32"/>
  <c r="BA251" i="32"/>
  <c r="AZ252" i="32"/>
  <c r="BA252" i="32"/>
  <c r="AZ253" i="32"/>
  <c r="BA253" i="32"/>
  <c r="AZ254" i="32"/>
  <c r="BA254" i="32"/>
  <c r="AZ255" i="32"/>
  <c r="BA255" i="32"/>
  <c r="AZ256" i="32"/>
  <c r="BA256" i="32"/>
  <c r="AZ257" i="32"/>
  <c r="BA257" i="32"/>
  <c r="AZ258" i="32"/>
  <c r="BA258" i="32"/>
  <c r="AZ259" i="32"/>
  <c r="BA259" i="32"/>
  <c r="AZ260" i="32"/>
  <c r="BA260" i="32"/>
  <c r="AZ261" i="32"/>
  <c r="BA261" i="32"/>
  <c r="AZ262" i="32"/>
  <c r="BA262" i="32"/>
  <c r="AZ263" i="32"/>
  <c r="BA263" i="32"/>
  <c r="AZ264" i="32"/>
  <c r="BA264" i="32"/>
  <c r="AZ265" i="32"/>
  <c r="BA265" i="32"/>
  <c r="AZ266" i="32"/>
  <c r="BA266" i="32"/>
  <c r="AZ267" i="32"/>
  <c r="BA267" i="32"/>
  <c r="AZ268" i="32"/>
  <c r="BA268" i="32"/>
  <c r="AZ269" i="32"/>
  <c r="BA269" i="32"/>
  <c r="AZ270" i="32"/>
  <c r="BA270" i="32"/>
  <c r="AZ271" i="32"/>
  <c r="BA271" i="32"/>
  <c r="AZ272" i="32"/>
  <c r="BA272" i="32"/>
  <c r="AZ273" i="32"/>
  <c r="BA273" i="32"/>
  <c r="AZ274" i="32"/>
  <c r="BA274" i="32"/>
  <c r="AZ275" i="32"/>
  <c r="BA275" i="32"/>
  <c r="AZ276" i="32"/>
  <c r="BA276" i="32"/>
  <c r="AZ277" i="32"/>
  <c r="BA277" i="32"/>
  <c r="AZ278" i="32"/>
  <c r="BA278" i="32"/>
  <c r="AZ279" i="32"/>
  <c r="BA279" i="32"/>
  <c r="AZ280" i="32"/>
  <c r="BA280" i="32"/>
  <c r="AZ281" i="32"/>
  <c r="BA281" i="32"/>
  <c r="AZ282" i="32"/>
  <c r="BA282" i="32"/>
  <c r="AZ283" i="32"/>
  <c r="BA283" i="32"/>
  <c r="AZ284" i="32"/>
  <c r="BA284" i="32"/>
  <c r="AZ285" i="32"/>
  <c r="BA285" i="32"/>
  <c r="AZ286" i="32"/>
  <c r="BA286" i="32"/>
  <c r="AZ287" i="32"/>
  <c r="BA287" i="32"/>
  <c r="AZ288" i="32"/>
  <c r="BA288" i="32"/>
  <c r="AZ289" i="32"/>
  <c r="BA289" i="32"/>
  <c r="AZ290" i="32"/>
  <c r="BA290" i="32"/>
  <c r="AZ291" i="32"/>
  <c r="BA291" i="32"/>
  <c r="AZ292" i="32"/>
  <c r="BA292" i="32"/>
  <c r="AZ293" i="32"/>
  <c r="BA293" i="32"/>
  <c r="AZ294" i="32"/>
  <c r="BA294" i="32"/>
  <c r="AZ295" i="32"/>
  <c r="BA295" i="32"/>
  <c r="AZ296" i="32"/>
  <c r="BA296" i="32"/>
  <c r="AZ297" i="32"/>
  <c r="BA297" i="32"/>
  <c r="AZ298" i="32"/>
  <c r="BA298" i="32"/>
  <c r="AZ299" i="32"/>
  <c r="BA299" i="32"/>
  <c r="AZ300" i="32"/>
  <c r="BA300" i="32"/>
  <c r="AZ301" i="32"/>
  <c r="BA301" i="32"/>
  <c r="AZ302" i="32"/>
  <c r="BA302" i="32"/>
  <c r="AZ303" i="32"/>
  <c r="BA303" i="32"/>
  <c r="AZ304" i="32"/>
  <c r="BA304" i="32"/>
  <c r="AZ305" i="32"/>
  <c r="BA305" i="32"/>
  <c r="AZ306" i="32"/>
  <c r="BA306" i="32"/>
  <c r="AZ307" i="32"/>
  <c r="BA307" i="32"/>
  <c r="AZ308" i="32"/>
  <c r="BA308" i="32"/>
  <c r="AZ309" i="32"/>
  <c r="BA309" i="32"/>
  <c r="AZ310" i="32"/>
  <c r="BA310" i="32"/>
  <c r="AZ311" i="32"/>
  <c r="BA311" i="32"/>
  <c r="AZ312" i="32"/>
  <c r="BA312" i="32"/>
  <c r="AZ313" i="32"/>
  <c r="BA313" i="32"/>
  <c r="AZ314" i="32"/>
  <c r="BA314" i="32"/>
  <c r="AZ315" i="32"/>
  <c r="BA315" i="32"/>
  <c r="AZ316" i="32"/>
  <c r="BA316" i="32"/>
  <c r="AZ317" i="32"/>
  <c r="BA317" i="32"/>
  <c r="AZ318" i="32"/>
  <c r="BA318" i="32"/>
  <c r="AZ319" i="32"/>
  <c r="BA319" i="32"/>
  <c r="AZ320" i="32"/>
  <c r="BA320" i="32"/>
  <c r="AZ321" i="32"/>
  <c r="BA321" i="32"/>
  <c r="AZ322" i="32"/>
  <c r="BA322" i="32"/>
  <c r="AZ323" i="32"/>
  <c r="BA323" i="32"/>
  <c r="AZ324" i="32"/>
  <c r="BA324" i="32"/>
  <c r="AZ325" i="32"/>
  <c r="BA325" i="32"/>
  <c r="AZ326" i="32"/>
  <c r="BA326" i="32"/>
  <c r="AZ327" i="32"/>
  <c r="BA327" i="32"/>
  <c r="AZ328" i="32"/>
  <c r="BA328" i="32"/>
  <c r="AZ329" i="32"/>
  <c r="BA329" i="32"/>
  <c r="AZ330" i="32"/>
  <c r="BA330" i="32"/>
  <c r="AZ331" i="32"/>
  <c r="BA331" i="32"/>
  <c r="AZ332" i="32"/>
  <c r="BA332" i="32"/>
  <c r="AZ333" i="32"/>
  <c r="BA333" i="32"/>
  <c r="AZ334" i="32"/>
  <c r="BA334" i="32"/>
  <c r="AZ335" i="32"/>
  <c r="BA335" i="32"/>
  <c r="AZ336" i="32"/>
  <c r="BA336" i="32"/>
  <c r="AZ337" i="32"/>
  <c r="BA337" i="32"/>
  <c r="AZ338" i="32"/>
  <c r="BA338" i="32"/>
  <c r="AZ339" i="32"/>
  <c r="BA339" i="32"/>
  <c r="AZ340" i="32"/>
  <c r="BA340" i="32"/>
  <c r="AZ341" i="32"/>
  <c r="BA341" i="32"/>
  <c r="AZ342" i="32"/>
  <c r="BA342" i="32"/>
  <c r="AZ343" i="32"/>
  <c r="BA343" i="32"/>
  <c r="AZ344" i="32"/>
  <c r="BA344" i="32"/>
  <c r="AZ345" i="32"/>
  <c r="BA345" i="32"/>
  <c r="AZ346" i="32"/>
  <c r="BA346" i="32"/>
  <c r="AZ347" i="32"/>
  <c r="BA347" i="32"/>
  <c r="AZ348" i="32"/>
  <c r="BA348" i="32"/>
  <c r="AZ349" i="32"/>
  <c r="BA349" i="32"/>
  <c r="AZ350" i="32"/>
  <c r="BA350" i="32"/>
  <c r="AZ351" i="32"/>
  <c r="BA351" i="32"/>
  <c r="AZ352" i="32"/>
  <c r="BA352" i="32"/>
  <c r="AZ353" i="32"/>
  <c r="BA353" i="32"/>
  <c r="AZ354" i="32"/>
  <c r="BA354" i="32"/>
  <c r="AZ355" i="32"/>
  <c r="BA355" i="32"/>
  <c r="AZ356" i="32"/>
  <c r="BA356" i="32"/>
  <c r="AZ357" i="32"/>
  <c r="BA357" i="32"/>
  <c r="AZ358" i="32"/>
  <c r="BA358" i="32"/>
  <c r="AZ359" i="32"/>
  <c r="BA359" i="32"/>
  <c r="AZ360" i="32"/>
  <c r="BA360" i="32"/>
  <c r="AZ361" i="32"/>
  <c r="BA361" i="32"/>
  <c r="AZ362" i="32"/>
  <c r="BA362" i="32"/>
  <c r="AZ363" i="32"/>
  <c r="BA363" i="32"/>
  <c r="AZ364" i="32"/>
  <c r="BA364" i="32"/>
  <c r="AZ365" i="32"/>
  <c r="BA365" i="32"/>
  <c r="AZ366" i="32"/>
  <c r="BA366" i="32"/>
  <c r="AZ367" i="32"/>
  <c r="BA367" i="32"/>
  <c r="AZ368" i="32"/>
  <c r="BA368" i="32"/>
  <c r="AZ369" i="32"/>
  <c r="BA369" i="32"/>
  <c r="AZ370" i="32"/>
  <c r="BA370" i="32"/>
  <c r="AZ371" i="32"/>
  <c r="BA371" i="32"/>
  <c r="AZ372" i="32"/>
  <c r="BA372" i="32"/>
  <c r="AZ373" i="32"/>
  <c r="BA373" i="32"/>
  <c r="AZ374" i="32"/>
  <c r="BA374" i="32"/>
  <c r="AZ375" i="32"/>
  <c r="BA375" i="32"/>
  <c r="AZ376" i="32"/>
  <c r="BA376" i="32"/>
  <c r="AZ377" i="32"/>
  <c r="BA377" i="32"/>
  <c r="AZ378" i="32"/>
  <c r="BA378" i="32"/>
  <c r="AZ379" i="32"/>
  <c r="BA379" i="32"/>
  <c r="AZ380" i="32"/>
  <c r="BA380" i="32"/>
  <c r="AZ381" i="32"/>
  <c r="BA381" i="32"/>
  <c r="AZ382" i="32"/>
  <c r="BA382" i="32"/>
  <c r="AZ383" i="32"/>
  <c r="BA383" i="32"/>
  <c r="AZ384" i="32"/>
  <c r="BA384" i="32"/>
  <c r="AZ385" i="32"/>
  <c r="BA385" i="32"/>
  <c r="AZ386" i="32"/>
  <c r="BA386" i="32"/>
  <c r="AZ387" i="32"/>
  <c r="BA387" i="32"/>
  <c r="AZ388" i="32"/>
  <c r="BA388" i="32"/>
  <c r="AZ389" i="32"/>
  <c r="BA389" i="32"/>
  <c r="AZ390" i="32"/>
  <c r="BA390" i="32"/>
  <c r="AZ391" i="32"/>
  <c r="BA391" i="32"/>
  <c r="AZ392" i="32"/>
  <c r="BA392" i="32"/>
  <c r="AZ393" i="32"/>
  <c r="BA393" i="32"/>
  <c r="AZ394" i="32"/>
  <c r="BA394" i="32"/>
  <c r="AZ395" i="32"/>
  <c r="BA395" i="32"/>
  <c r="AZ396" i="32"/>
  <c r="BA396" i="32"/>
  <c r="AZ397" i="32"/>
  <c r="BA397" i="32"/>
  <c r="AZ398" i="32"/>
  <c r="BA398" i="32"/>
  <c r="AZ399" i="32"/>
  <c r="BA399" i="32"/>
  <c r="AZ400" i="32"/>
  <c r="BA400" i="32"/>
  <c r="AZ401" i="32"/>
  <c r="BA401" i="32"/>
  <c r="AZ402" i="32"/>
  <c r="BA402" i="32"/>
  <c r="AZ403" i="32"/>
  <c r="BA403" i="32"/>
  <c r="AZ404" i="32"/>
  <c r="BA404" i="32"/>
  <c r="AZ405" i="32"/>
  <c r="BA405" i="32"/>
  <c r="AZ406" i="32"/>
  <c r="BA406" i="32"/>
  <c r="AZ407" i="32"/>
  <c r="BA407" i="32"/>
  <c r="AZ408" i="32"/>
  <c r="BA408" i="32"/>
  <c r="AZ409" i="32"/>
  <c r="BA409" i="32"/>
  <c r="AZ410" i="32"/>
  <c r="BA410" i="32"/>
  <c r="AZ411" i="32"/>
  <c r="BA411" i="32"/>
  <c r="AZ412" i="32"/>
  <c r="BA412" i="32"/>
  <c r="AZ413" i="32"/>
  <c r="BA413" i="32"/>
  <c r="AZ414" i="32"/>
  <c r="BA414" i="32"/>
  <c r="AZ415" i="32"/>
  <c r="BA415" i="32"/>
  <c r="AZ416" i="32"/>
  <c r="BA416" i="32"/>
  <c r="AZ417" i="32"/>
  <c r="BA417" i="32"/>
  <c r="AZ418" i="32"/>
  <c r="BA418" i="32"/>
  <c r="AZ419" i="32"/>
  <c r="BA419" i="32"/>
  <c r="AZ420" i="32"/>
  <c r="BA420" i="32"/>
  <c r="AZ421" i="32"/>
  <c r="BA421" i="32"/>
  <c r="AZ422" i="32"/>
  <c r="BA422" i="32"/>
  <c r="AZ423" i="32"/>
  <c r="BA423" i="32"/>
  <c r="AZ424" i="32"/>
  <c r="BA424" i="32"/>
  <c r="AZ425" i="32"/>
  <c r="BA425" i="32"/>
  <c r="AZ426" i="32"/>
  <c r="BA426" i="32"/>
  <c r="AZ427" i="32"/>
  <c r="BA427" i="32"/>
  <c r="AZ428" i="32"/>
  <c r="BA428" i="32"/>
  <c r="AZ429" i="32"/>
  <c r="BA429" i="32"/>
  <c r="AZ430" i="32"/>
  <c r="BA430" i="32"/>
  <c r="AZ431" i="32"/>
  <c r="BA431" i="32"/>
  <c r="AZ432" i="32"/>
  <c r="BA432" i="32"/>
  <c r="AZ433" i="32"/>
  <c r="BA433" i="32"/>
  <c r="AZ434" i="32"/>
  <c r="BA434" i="32"/>
  <c r="AZ435" i="32"/>
  <c r="BA435" i="32"/>
  <c r="AZ436" i="32"/>
  <c r="BA436" i="32"/>
  <c r="AZ437" i="32"/>
  <c r="BA437" i="32"/>
  <c r="AZ438" i="32"/>
  <c r="BA438" i="32"/>
  <c r="AZ439" i="32"/>
  <c r="BA439" i="32"/>
  <c r="AZ440" i="32"/>
  <c r="BA440" i="32"/>
  <c r="AZ441" i="32"/>
  <c r="BA441" i="32"/>
  <c r="AZ442" i="32"/>
  <c r="BA442" i="32"/>
  <c r="AZ443" i="32"/>
  <c r="BA443" i="32"/>
  <c r="AZ444" i="32"/>
  <c r="BA444" i="32"/>
  <c r="AZ445" i="32"/>
  <c r="BA445" i="32"/>
  <c r="AZ446" i="32"/>
  <c r="BA446" i="32"/>
  <c r="AZ447" i="32"/>
  <c r="BA447" i="32"/>
  <c r="AZ448" i="32"/>
  <c r="BA448" i="32"/>
  <c r="AZ449" i="32"/>
  <c r="BA449" i="32"/>
  <c r="AZ450" i="32"/>
  <c r="BA450" i="32"/>
  <c r="AZ451" i="32"/>
  <c r="BA451" i="32"/>
  <c r="AZ452" i="32"/>
  <c r="BA452" i="32"/>
  <c r="AZ453" i="32"/>
  <c r="BA453" i="32"/>
  <c r="AZ454" i="32"/>
  <c r="BA454" i="32"/>
  <c r="AZ455" i="32"/>
  <c r="BA455" i="32"/>
  <c r="AZ456" i="32"/>
  <c r="BA456" i="32"/>
  <c r="AZ457" i="32"/>
  <c r="BA457" i="32"/>
  <c r="AZ458" i="32"/>
  <c r="BA458" i="32"/>
  <c r="AZ459" i="32"/>
  <c r="BA459" i="32"/>
  <c r="AZ460" i="32"/>
  <c r="BA460" i="32"/>
  <c r="AZ461" i="32"/>
  <c r="BA461" i="32"/>
  <c r="AZ462" i="32"/>
  <c r="BA462" i="32"/>
  <c r="AZ463" i="32"/>
  <c r="BA463" i="32"/>
  <c r="AZ464" i="32"/>
  <c r="BA464" i="32"/>
  <c r="AZ465" i="32"/>
  <c r="BA465" i="32"/>
  <c r="AZ466" i="32"/>
  <c r="BA466" i="32"/>
  <c r="AZ467" i="32"/>
  <c r="BA467" i="32"/>
  <c r="AZ468" i="32"/>
  <c r="BA468" i="32"/>
  <c r="AZ469" i="32"/>
  <c r="BA469" i="32"/>
  <c r="AZ470" i="32"/>
  <c r="BA470" i="32"/>
  <c r="AZ471" i="32"/>
  <c r="BA471" i="32"/>
  <c r="AZ472" i="32"/>
  <c r="BA472" i="32"/>
  <c r="AZ473" i="32"/>
  <c r="BA473" i="32"/>
  <c r="AZ474" i="32"/>
  <c r="BA474" i="32"/>
  <c r="AZ475" i="32"/>
  <c r="BA475" i="32"/>
  <c r="AZ476" i="32"/>
  <c r="BA476" i="32"/>
  <c r="AZ477" i="32"/>
  <c r="BA477" i="32"/>
  <c r="AZ478" i="32"/>
  <c r="BA478" i="32"/>
  <c r="AZ479" i="32"/>
  <c r="BA479" i="32"/>
  <c r="AZ480" i="32"/>
  <c r="BA480" i="32"/>
  <c r="AZ481" i="32"/>
  <c r="BA481" i="32"/>
  <c r="AZ482" i="32"/>
  <c r="BA482" i="32"/>
  <c r="AZ483" i="32"/>
  <c r="BA483" i="32"/>
  <c r="AZ484" i="32"/>
  <c r="BA484" i="32"/>
  <c r="AZ485" i="32"/>
  <c r="BA485" i="32"/>
  <c r="AZ486" i="32"/>
  <c r="BA486" i="32"/>
  <c r="AZ487" i="32"/>
  <c r="BA487" i="32"/>
  <c r="AZ488" i="32"/>
  <c r="BA488" i="32"/>
  <c r="AZ489" i="32"/>
  <c r="BA489" i="32"/>
  <c r="AZ490" i="32"/>
  <c r="BA490" i="32"/>
  <c r="AZ491" i="32"/>
  <c r="BA491" i="32"/>
  <c r="AZ492" i="32"/>
  <c r="BA492" i="32"/>
  <c r="AZ493" i="32"/>
  <c r="BA493" i="32"/>
  <c r="AZ494" i="32"/>
  <c r="BA494" i="32"/>
  <c r="AZ495" i="32"/>
  <c r="BA495" i="32"/>
  <c r="AZ496" i="32"/>
  <c r="BA496" i="32"/>
  <c r="AZ497" i="32"/>
  <c r="BA497" i="32"/>
  <c r="AZ498" i="32"/>
  <c r="BA498" i="32"/>
  <c r="AZ499" i="32"/>
  <c r="BA499" i="32"/>
  <c r="AZ500" i="32"/>
  <c r="BA500" i="32"/>
  <c r="AZ501" i="32"/>
  <c r="BA501" i="32"/>
  <c r="AZ502" i="32"/>
  <c r="BA502" i="32"/>
  <c r="AZ503" i="32"/>
  <c r="BA503" i="32"/>
  <c r="AZ504" i="32"/>
  <c r="BA504" i="32"/>
  <c r="AZ505" i="32"/>
  <c r="BA505" i="32"/>
  <c r="AZ506" i="32"/>
  <c r="BA506" i="32"/>
  <c r="AZ507" i="32"/>
  <c r="BA507" i="32"/>
  <c r="AZ508" i="32"/>
  <c r="BA508" i="32"/>
  <c r="AZ509" i="32"/>
  <c r="BA509" i="32"/>
  <c r="AZ510" i="32"/>
  <c r="BA510" i="32"/>
  <c r="AZ511" i="32"/>
  <c r="BA511" i="32"/>
  <c r="AZ512" i="32"/>
  <c r="BA512" i="32"/>
  <c r="AZ513" i="32"/>
  <c r="BA513" i="32"/>
  <c r="AZ514" i="32"/>
  <c r="BA514" i="32"/>
  <c r="AZ515" i="32"/>
  <c r="BA515" i="32"/>
  <c r="AZ516" i="32"/>
  <c r="BA516" i="32"/>
  <c r="AZ517" i="32"/>
  <c r="BA517" i="32"/>
  <c r="AZ518" i="32"/>
  <c r="BA518" i="32"/>
  <c r="AZ519" i="32"/>
  <c r="BA519" i="32"/>
  <c r="AZ520" i="32"/>
  <c r="BA520" i="32"/>
  <c r="AZ521" i="32"/>
  <c r="BA521" i="32"/>
  <c r="AZ522" i="32"/>
  <c r="BA522" i="32"/>
  <c r="AZ523" i="32"/>
  <c r="BA523" i="32"/>
  <c r="AZ524" i="32"/>
  <c r="BA524" i="32"/>
  <c r="AZ525" i="32"/>
  <c r="BA525" i="32"/>
  <c r="BA4" i="32"/>
  <c r="AZ4" i="32"/>
  <c r="W4" i="32"/>
  <c r="W5" i="32"/>
  <c r="W6" i="32"/>
  <c r="W7" i="32"/>
  <c r="W8" i="32"/>
  <c r="W9" i="32"/>
  <c r="W10" i="32"/>
  <c r="W11" i="32"/>
  <c r="W12" i="32"/>
  <c r="W13" i="32"/>
  <c r="W14" i="32"/>
  <c r="W15" i="32"/>
  <c r="W16" i="32"/>
  <c r="W17" i="32"/>
  <c r="W18" i="32"/>
  <c r="W19" i="32"/>
  <c r="W20" i="32"/>
  <c r="W21" i="32"/>
  <c r="W22" i="32"/>
  <c r="W23" i="32"/>
  <c r="W24" i="32"/>
  <c r="W25" i="32"/>
  <c r="W26" i="32"/>
  <c r="W27" i="32"/>
  <c r="W28" i="32"/>
  <c r="W29" i="32"/>
  <c r="W30" i="32"/>
  <c r="W31" i="32"/>
  <c r="W32" i="32"/>
  <c r="W33" i="32"/>
  <c r="W34" i="32"/>
  <c r="W35" i="32"/>
  <c r="W36" i="32"/>
  <c r="W37" i="32"/>
  <c r="W38" i="32"/>
  <c r="W39" i="32"/>
  <c r="W40" i="32"/>
  <c r="W41" i="32"/>
  <c r="W42" i="32"/>
  <c r="W43" i="32"/>
  <c r="W44" i="32"/>
  <c r="W45" i="32"/>
  <c r="W46" i="32"/>
  <c r="W47" i="32"/>
  <c r="W48" i="32"/>
  <c r="W49" i="32"/>
  <c r="W50" i="32"/>
  <c r="W51" i="32"/>
  <c r="W52" i="32"/>
  <c r="W53" i="32"/>
  <c r="W54" i="32"/>
  <c r="W55" i="32"/>
  <c r="W56" i="32"/>
  <c r="W57" i="32"/>
  <c r="W58" i="32"/>
  <c r="W59" i="32"/>
  <c r="W60" i="32"/>
  <c r="W61" i="32"/>
  <c r="W62" i="32"/>
  <c r="W63" i="32"/>
  <c r="W64" i="32"/>
  <c r="W65" i="32"/>
  <c r="W66" i="32"/>
  <c r="W67" i="32"/>
  <c r="W68" i="32"/>
  <c r="W69" i="32"/>
  <c r="W70" i="32"/>
  <c r="W71" i="32"/>
  <c r="W72" i="32"/>
  <c r="W73" i="32"/>
  <c r="W74" i="32"/>
  <c r="W75" i="32"/>
  <c r="W76" i="32"/>
  <c r="W77" i="32"/>
  <c r="W78" i="32"/>
  <c r="W79" i="32"/>
  <c r="W80" i="32"/>
  <c r="W81" i="32"/>
  <c r="W82" i="32"/>
  <c r="W83" i="32"/>
  <c r="W84" i="32"/>
  <c r="W85" i="32"/>
  <c r="W86" i="32"/>
  <c r="W87" i="32"/>
  <c r="W88" i="32"/>
  <c r="W89" i="32"/>
  <c r="W90" i="32"/>
  <c r="W91" i="32"/>
  <c r="W92" i="32"/>
  <c r="W93" i="32"/>
  <c r="W94" i="32"/>
  <c r="W95" i="32"/>
  <c r="W96" i="32"/>
  <c r="W97" i="32"/>
  <c r="W98" i="32"/>
  <c r="W99" i="32"/>
  <c r="W100" i="32"/>
  <c r="W101" i="32"/>
  <c r="W102" i="32"/>
  <c r="W103" i="32"/>
  <c r="W104" i="32"/>
  <c r="W105" i="32"/>
  <c r="W106" i="32"/>
  <c r="W107" i="32"/>
  <c r="W108" i="32"/>
  <c r="W109" i="32"/>
  <c r="W110" i="32"/>
  <c r="W111" i="32"/>
  <c r="W112" i="32"/>
  <c r="W113" i="32"/>
  <c r="W114" i="32"/>
  <c r="W115" i="32"/>
  <c r="W116" i="32"/>
  <c r="W117" i="32"/>
  <c r="W118" i="32"/>
  <c r="W119" i="32"/>
  <c r="W120" i="32"/>
  <c r="W121" i="32"/>
  <c r="W122" i="32"/>
  <c r="W123" i="32"/>
  <c r="W124" i="32"/>
  <c r="W125" i="32"/>
  <c r="W126" i="32"/>
  <c r="W127" i="32"/>
  <c r="W128" i="32"/>
  <c r="W129" i="32"/>
  <c r="W130" i="32"/>
  <c r="W131" i="32"/>
  <c r="W132" i="32"/>
  <c r="W133" i="32"/>
  <c r="W134" i="32"/>
  <c r="W135" i="32"/>
  <c r="W136" i="32"/>
  <c r="W137" i="32"/>
  <c r="W138" i="32"/>
  <c r="W139" i="32"/>
  <c r="W140" i="32"/>
  <c r="W141" i="32"/>
  <c r="W142" i="32"/>
  <c r="W143" i="32"/>
  <c r="W144" i="32"/>
  <c r="W145" i="32"/>
  <c r="W146" i="32"/>
  <c r="W147" i="32"/>
  <c r="W148" i="32"/>
  <c r="W149" i="32"/>
  <c r="W150" i="32"/>
  <c r="W151" i="32"/>
  <c r="W152" i="32"/>
  <c r="W153" i="32"/>
  <c r="W154" i="32"/>
  <c r="W155" i="32"/>
  <c r="W156" i="32"/>
  <c r="W157" i="32"/>
  <c r="W158" i="32"/>
  <c r="W159" i="32"/>
  <c r="W160" i="32"/>
  <c r="W161" i="32"/>
  <c r="W162" i="32"/>
  <c r="W163" i="32"/>
  <c r="W164" i="32"/>
  <c r="W165" i="32"/>
  <c r="W166" i="32"/>
  <c r="W167" i="32"/>
  <c r="W168" i="32"/>
  <c r="W169" i="32"/>
  <c r="W170" i="32"/>
  <c r="W171" i="32"/>
  <c r="W172" i="32"/>
  <c r="W173" i="32"/>
  <c r="W174" i="32"/>
  <c r="W175" i="32"/>
  <c r="W176" i="32"/>
  <c r="W177" i="32"/>
  <c r="W178" i="32"/>
  <c r="W179" i="32"/>
  <c r="W180" i="32"/>
  <c r="W181" i="32"/>
  <c r="W182" i="32"/>
  <c r="W183" i="32"/>
  <c r="W184" i="32"/>
  <c r="W185" i="32"/>
  <c r="W186" i="32"/>
  <c r="W187" i="32"/>
  <c r="W188" i="32"/>
  <c r="W189" i="32"/>
  <c r="W190" i="32"/>
  <c r="W191" i="32"/>
  <c r="W192" i="32"/>
  <c r="W193" i="32"/>
  <c r="W194" i="32"/>
  <c r="W195" i="32"/>
  <c r="W196" i="32"/>
  <c r="W197" i="32"/>
  <c r="W198" i="32"/>
  <c r="W199" i="32"/>
  <c r="W200" i="32"/>
  <c r="W201" i="32"/>
  <c r="W202" i="32"/>
  <c r="W203" i="32"/>
  <c r="W204" i="32"/>
  <c r="W205" i="32"/>
  <c r="W206" i="32"/>
  <c r="W207" i="32"/>
  <c r="W208" i="32"/>
  <c r="W209" i="32"/>
  <c r="W210" i="32"/>
  <c r="W211" i="32"/>
  <c r="W212" i="32"/>
  <c r="W213" i="32"/>
  <c r="W214" i="32"/>
  <c r="W215" i="32"/>
  <c r="W216" i="32"/>
  <c r="W217" i="32"/>
  <c r="W218" i="32"/>
  <c r="W219" i="32"/>
  <c r="W220" i="32"/>
  <c r="W221" i="32"/>
  <c r="W222" i="32"/>
  <c r="W223" i="32"/>
  <c r="W224" i="32"/>
  <c r="W225" i="32"/>
  <c r="W226" i="32"/>
  <c r="W227" i="32"/>
  <c r="W228" i="32"/>
  <c r="W229" i="32"/>
  <c r="W230" i="32"/>
  <c r="W231" i="32"/>
  <c r="W232" i="32"/>
  <c r="W233" i="32"/>
  <c r="W234" i="32"/>
  <c r="W235" i="32"/>
  <c r="W236" i="32"/>
  <c r="W237" i="32"/>
  <c r="W238" i="32"/>
  <c r="W239" i="32"/>
  <c r="W240" i="32"/>
  <c r="W241" i="32"/>
  <c r="W242" i="32"/>
  <c r="W243" i="32"/>
  <c r="W244" i="32"/>
  <c r="W245" i="32"/>
  <c r="W246" i="32"/>
  <c r="W247" i="32"/>
  <c r="W248" i="32"/>
  <c r="W249" i="32"/>
  <c r="W250" i="32"/>
  <c r="W251" i="32"/>
  <c r="W252" i="32"/>
  <c r="W253" i="32"/>
  <c r="W254" i="32"/>
  <c r="W255" i="32"/>
  <c r="W256" i="32"/>
  <c r="W257" i="32"/>
  <c r="W258" i="32"/>
  <c r="W259" i="32"/>
  <c r="W260" i="32"/>
  <c r="W261" i="32"/>
  <c r="W262" i="32"/>
  <c r="W263" i="32"/>
  <c r="W264" i="32"/>
  <c r="W265" i="32"/>
  <c r="W266" i="32"/>
  <c r="W267" i="32"/>
  <c r="W268" i="32"/>
  <c r="W269" i="32"/>
  <c r="W270" i="32"/>
  <c r="W271" i="32"/>
  <c r="W272" i="32"/>
  <c r="W273" i="32"/>
  <c r="W274" i="32"/>
  <c r="W275" i="32"/>
  <c r="W276" i="32"/>
  <c r="W277" i="32"/>
  <c r="W278" i="32"/>
  <c r="W279" i="32"/>
  <c r="W280" i="32"/>
  <c r="W281" i="32"/>
  <c r="W282" i="32"/>
  <c r="W283" i="32"/>
  <c r="W284" i="32"/>
  <c r="W285" i="32"/>
  <c r="W286" i="32"/>
  <c r="W287" i="32"/>
  <c r="W288" i="32"/>
  <c r="W289" i="32"/>
  <c r="W290" i="32"/>
  <c r="W291" i="32"/>
  <c r="W292" i="32"/>
  <c r="W293" i="32"/>
  <c r="W294" i="32"/>
  <c r="W295" i="32"/>
  <c r="W296" i="32"/>
  <c r="W297" i="32"/>
  <c r="W298" i="32"/>
  <c r="W299" i="32"/>
  <c r="W300" i="32"/>
  <c r="W301" i="32"/>
  <c r="W302" i="32"/>
  <c r="W303" i="32"/>
  <c r="W304" i="32"/>
  <c r="W305" i="32"/>
  <c r="W306" i="32"/>
  <c r="W307" i="32"/>
  <c r="W308" i="32"/>
  <c r="W309" i="32"/>
  <c r="W310" i="32"/>
  <c r="W311" i="32"/>
  <c r="W312" i="32"/>
  <c r="W313" i="32"/>
  <c r="W314" i="32"/>
  <c r="W315" i="32"/>
  <c r="W316" i="32"/>
  <c r="W317" i="32"/>
  <c r="W318" i="32"/>
  <c r="W319" i="32"/>
  <c r="W320" i="32"/>
  <c r="W321" i="32"/>
  <c r="W322" i="32"/>
  <c r="W323" i="32"/>
  <c r="W324" i="32"/>
  <c r="W325" i="32"/>
  <c r="W326" i="32"/>
  <c r="W327" i="32"/>
  <c r="W328" i="32"/>
  <c r="W329" i="32"/>
  <c r="W330" i="32"/>
  <c r="W331" i="32"/>
  <c r="W332" i="32"/>
  <c r="W333" i="32"/>
  <c r="W334" i="32"/>
  <c r="W335" i="32"/>
  <c r="W336" i="32"/>
  <c r="W337" i="32"/>
  <c r="W338" i="32"/>
  <c r="W339" i="32"/>
  <c r="W340" i="32"/>
  <c r="W341" i="32"/>
  <c r="W342" i="32"/>
  <c r="W343" i="32"/>
  <c r="W344" i="32"/>
  <c r="W345" i="32"/>
  <c r="W346" i="32"/>
  <c r="V4" i="32"/>
  <c r="V5" i="32"/>
  <c r="V6" i="32"/>
  <c r="V7" i="32"/>
  <c r="V8" i="32"/>
  <c r="V9" i="32"/>
  <c r="V10" i="32"/>
  <c r="V11" i="32"/>
  <c r="V12" i="32"/>
  <c r="V13" i="32"/>
  <c r="V14" i="32"/>
  <c r="V15" i="32"/>
  <c r="V16" i="32"/>
  <c r="V17" i="32"/>
  <c r="V18" i="32"/>
  <c r="V19" i="32"/>
  <c r="V20" i="32"/>
  <c r="V21" i="32"/>
  <c r="V22" i="32"/>
  <c r="V23" i="32"/>
  <c r="V24" i="32"/>
  <c r="V25" i="32"/>
  <c r="V26" i="32"/>
  <c r="V27" i="32"/>
  <c r="V28" i="32"/>
  <c r="V29" i="32"/>
  <c r="V30" i="32"/>
  <c r="V31" i="32"/>
  <c r="V32" i="32"/>
  <c r="V33" i="32"/>
  <c r="V34" i="32"/>
  <c r="V35" i="32"/>
  <c r="V36" i="32"/>
  <c r="V37" i="32"/>
  <c r="V38" i="32"/>
  <c r="V39" i="32"/>
  <c r="V40" i="32"/>
  <c r="V41" i="32"/>
  <c r="V42" i="32"/>
  <c r="V43" i="32"/>
  <c r="V44" i="32"/>
  <c r="V45" i="32"/>
  <c r="V46" i="32"/>
  <c r="V47" i="32"/>
  <c r="V48" i="32"/>
  <c r="V49" i="32"/>
  <c r="V50" i="32"/>
  <c r="V51" i="32"/>
  <c r="V52" i="32"/>
  <c r="V53" i="32"/>
  <c r="V54" i="32"/>
  <c r="V55" i="32"/>
  <c r="V56" i="32"/>
  <c r="V57" i="32"/>
  <c r="V58" i="32"/>
  <c r="V59" i="32"/>
  <c r="V60" i="32"/>
  <c r="V61" i="32"/>
  <c r="V62" i="32"/>
  <c r="V63" i="32"/>
  <c r="V64" i="32"/>
  <c r="V65" i="32"/>
  <c r="V66" i="32"/>
  <c r="V67" i="32"/>
  <c r="V68" i="32"/>
  <c r="V69" i="32"/>
  <c r="V70" i="32"/>
  <c r="V71" i="32"/>
  <c r="V72" i="32"/>
  <c r="V73" i="32"/>
  <c r="V74" i="32"/>
  <c r="V75" i="32"/>
  <c r="V76" i="32"/>
  <c r="V77" i="32"/>
  <c r="V78" i="32"/>
  <c r="V79" i="32"/>
  <c r="V80" i="32"/>
  <c r="V81" i="32"/>
  <c r="V82" i="32"/>
  <c r="V83" i="32"/>
  <c r="V84" i="32"/>
  <c r="V85" i="32"/>
  <c r="V86" i="32"/>
  <c r="V87" i="32"/>
  <c r="V88" i="32"/>
  <c r="V89" i="32"/>
  <c r="V90" i="32"/>
  <c r="V91" i="32"/>
  <c r="V92" i="32"/>
  <c r="V93" i="32"/>
  <c r="V94" i="32"/>
  <c r="V95" i="32"/>
  <c r="V96" i="32"/>
  <c r="V97" i="32"/>
  <c r="V98" i="32"/>
  <c r="V99" i="32"/>
  <c r="V100" i="32"/>
  <c r="V101" i="32"/>
  <c r="V102" i="32"/>
  <c r="V103" i="32"/>
  <c r="V104" i="32"/>
  <c r="V105" i="32"/>
  <c r="V106" i="32"/>
  <c r="V107" i="32"/>
  <c r="V108" i="32"/>
  <c r="V109" i="32"/>
  <c r="V110" i="32"/>
  <c r="V111" i="32"/>
  <c r="V112" i="32"/>
  <c r="V113" i="32"/>
  <c r="V114" i="32"/>
  <c r="V115" i="32"/>
  <c r="V116" i="32"/>
  <c r="V117" i="32"/>
  <c r="V118" i="32"/>
  <c r="V119" i="32"/>
  <c r="V120" i="32"/>
  <c r="V121" i="32"/>
  <c r="V122" i="32"/>
  <c r="V123" i="32"/>
  <c r="V124" i="32"/>
  <c r="V125" i="32"/>
  <c r="V126" i="32"/>
  <c r="V127" i="32"/>
  <c r="V128" i="32"/>
  <c r="V129" i="32"/>
  <c r="V130" i="32"/>
  <c r="V131" i="32"/>
  <c r="V132" i="32"/>
  <c r="V133" i="32"/>
  <c r="V134" i="32"/>
  <c r="V135" i="32"/>
  <c r="V136" i="32"/>
  <c r="V137" i="32"/>
  <c r="V138" i="32"/>
  <c r="V139" i="32"/>
  <c r="V140" i="32"/>
  <c r="V141" i="32"/>
  <c r="V142" i="32"/>
  <c r="V143" i="32"/>
  <c r="V144" i="32"/>
  <c r="V145" i="32"/>
  <c r="V146" i="32"/>
  <c r="V147" i="32"/>
  <c r="V148" i="32"/>
  <c r="V149" i="32"/>
  <c r="V150" i="32"/>
  <c r="V151" i="32"/>
  <c r="V152" i="32"/>
  <c r="V153" i="32"/>
  <c r="V154" i="32"/>
  <c r="V155" i="32"/>
  <c r="V156" i="32"/>
  <c r="V157" i="32"/>
  <c r="V158" i="32"/>
  <c r="V159" i="32"/>
  <c r="V160" i="32"/>
  <c r="V161" i="32"/>
  <c r="V162" i="32"/>
  <c r="V163" i="32"/>
  <c r="V164" i="32"/>
  <c r="V165" i="32"/>
  <c r="V166" i="32"/>
  <c r="V167" i="32"/>
  <c r="V168" i="32"/>
  <c r="V169" i="32"/>
  <c r="V170" i="32"/>
  <c r="V171" i="32"/>
  <c r="V172" i="32"/>
  <c r="V173" i="32"/>
  <c r="V174" i="32"/>
  <c r="V175" i="32"/>
  <c r="V176" i="32"/>
  <c r="V177" i="32"/>
  <c r="V178" i="32"/>
  <c r="V179" i="32"/>
  <c r="V180" i="32"/>
  <c r="V181" i="32"/>
  <c r="V182" i="32"/>
  <c r="V183" i="32"/>
  <c r="V184" i="32"/>
  <c r="V185" i="32"/>
  <c r="V186" i="32"/>
  <c r="V187" i="32"/>
  <c r="V188" i="32"/>
  <c r="V189" i="32"/>
  <c r="V190" i="32"/>
  <c r="V191" i="32"/>
  <c r="V192" i="32"/>
  <c r="V193" i="32"/>
  <c r="V194" i="32"/>
  <c r="V195" i="32"/>
  <c r="V196" i="32"/>
  <c r="V197" i="32"/>
  <c r="V198" i="32"/>
  <c r="V199" i="32"/>
  <c r="V200" i="32"/>
  <c r="V201" i="32"/>
  <c r="V202" i="32"/>
  <c r="V203" i="32"/>
  <c r="V204" i="32"/>
  <c r="V205" i="32"/>
  <c r="V206" i="32"/>
  <c r="V207" i="32"/>
  <c r="V208" i="32"/>
  <c r="V209" i="32"/>
  <c r="V210" i="32"/>
  <c r="V211" i="32"/>
  <c r="V212" i="32"/>
  <c r="V213" i="32"/>
  <c r="V214" i="32"/>
  <c r="V215" i="32"/>
  <c r="V216" i="32"/>
  <c r="V217" i="32"/>
  <c r="V218" i="32"/>
  <c r="V219" i="32"/>
  <c r="V220" i="32"/>
  <c r="V221" i="32"/>
  <c r="V222" i="32"/>
  <c r="V223" i="32"/>
  <c r="V224" i="32"/>
  <c r="V225" i="32"/>
  <c r="V226" i="32"/>
  <c r="V227" i="32"/>
  <c r="V228" i="32"/>
  <c r="V229" i="32"/>
  <c r="V230" i="32"/>
  <c r="V231" i="32"/>
  <c r="V232" i="32"/>
  <c r="V233" i="32"/>
  <c r="V234" i="32"/>
  <c r="V235" i="32"/>
  <c r="V236" i="32"/>
  <c r="V237" i="32"/>
  <c r="V238" i="32"/>
  <c r="V239" i="32"/>
  <c r="V240" i="32"/>
  <c r="V241" i="32"/>
  <c r="V242" i="32"/>
  <c r="V243" i="32"/>
  <c r="V244" i="32"/>
  <c r="V245" i="32"/>
  <c r="V246" i="32"/>
  <c r="V247" i="32"/>
  <c r="V248" i="32"/>
  <c r="V249" i="32"/>
  <c r="V250" i="32"/>
  <c r="V251" i="32"/>
  <c r="V252" i="32"/>
  <c r="V253" i="32"/>
  <c r="V254" i="32"/>
  <c r="V255" i="32"/>
  <c r="V256" i="32"/>
  <c r="V257" i="32"/>
  <c r="V258" i="32"/>
  <c r="V259" i="32"/>
  <c r="V260" i="32"/>
  <c r="V261" i="32"/>
  <c r="V262" i="32"/>
  <c r="V263" i="32"/>
  <c r="V264" i="32"/>
  <c r="V265" i="32"/>
  <c r="V266" i="32"/>
  <c r="V267" i="32"/>
  <c r="V268" i="32"/>
  <c r="V269" i="32"/>
  <c r="V270" i="32"/>
  <c r="V271" i="32"/>
  <c r="V272" i="32"/>
  <c r="V273" i="32"/>
  <c r="V274" i="32"/>
  <c r="V275" i="32"/>
  <c r="V276" i="32"/>
  <c r="V277" i="32"/>
  <c r="V278" i="32"/>
  <c r="V279" i="32"/>
  <c r="V280" i="32"/>
  <c r="V281" i="32"/>
  <c r="V282" i="32"/>
  <c r="V283" i="32"/>
  <c r="V284" i="32"/>
  <c r="V285" i="32"/>
  <c r="V286" i="32"/>
  <c r="V287" i="32"/>
  <c r="V288" i="32"/>
  <c r="V289" i="32"/>
  <c r="V290" i="32"/>
  <c r="V291" i="32"/>
  <c r="V292" i="32"/>
  <c r="V293" i="32"/>
  <c r="V294" i="32"/>
  <c r="V295" i="32"/>
  <c r="V296" i="32"/>
  <c r="V297" i="32"/>
  <c r="V298" i="32"/>
  <c r="V299" i="32"/>
  <c r="V300" i="32"/>
  <c r="V301" i="32"/>
  <c r="V302" i="32"/>
  <c r="V303" i="32"/>
  <c r="V304" i="32"/>
  <c r="V305" i="32"/>
  <c r="V306" i="32"/>
  <c r="V307" i="32"/>
  <c r="V308" i="32"/>
  <c r="V309" i="32"/>
  <c r="V310" i="32"/>
  <c r="V311" i="32"/>
  <c r="V312" i="32"/>
  <c r="V313" i="32"/>
  <c r="V314" i="32"/>
  <c r="V315" i="32"/>
  <c r="V316" i="32"/>
  <c r="V317" i="32"/>
  <c r="V318" i="32"/>
  <c r="V319" i="32"/>
  <c r="V320" i="32"/>
  <c r="V321" i="32"/>
  <c r="V322" i="32"/>
  <c r="V323" i="32"/>
  <c r="V324" i="32"/>
  <c r="V325" i="32"/>
  <c r="V326" i="32"/>
  <c r="V327" i="32"/>
  <c r="V328" i="32"/>
  <c r="V329" i="32"/>
  <c r="V330" i="32"/>
  <c r="V331" i="32"/>
  <c r="V332" i="32"/>
  <c r="V333" i="32"/>
  <c r="V334" i="32"/>
  <c r="V335" i="32"/>
  <c r="V336" i="32"/>
  <c r="V337" i="32"/>
  <c r="V338" i="32"/>
  <c r="V339" i="32"/>
  <c r="V340" i="32"/>
  <c r="AT340" i="32"/>
  <c r="AT339" i="32"/>
  <c r="AT338" i="32"/>
  <c r="AT337" i="32"/>
  <c r="AT336" i="32"/>
  <c r="AT335" i="32"/>
  <c r="AT334" i="32"/>
  <c r="AT333" i="32"/>
  <c r="AT332" i="32"/>
  <c r="AT331" i="32"/>
  <c r="AT330" i="32"/>
  <c r="AT329" i="32"/>
  <c r="AT328" i="32"/>
  <c r="AT327" i="32"/>
  <c r="AT326" i="32"/>
  <c r="AT325" i="32"/>
  <c r="AT324" i="32"/>
  <c r="AT323" i="32"/>
  <c r="AT322" i="32"/>
  <c r="AT321" i="32"/>
  <c r="AT320" i="32"/>
  <c r="AT319" i="32"/>
  <c r="AT318" i="32"/>
  <c r="AT317" i="32"/>
  <c r="AT316" i="32"/>
  <c r="AT315" i="32"/>
  <c r="AT314" i="32"/>
  <c r="AT313" i="32"/>
  <c r="AT312" i="32"/>
  <c r="AT311" i="32"/>
  <c r="AT310" i="32"/>
  <c r="AT309" i="32"/>
  <c r="AT308" i="32"/>
  <c r="AT307" i="32"/>
  <c r="AT306" i="32"/>
  <c r="AT305" i="32"/>
  <c r="AT304" i="32"/>
  <c r="AT303" i="32"/>
  <c r="AT302" i="32"/>
  <c r="AT301" i="32"/>
  <c r="AT300" i="32"/>
  <c r="AT299" i="32"/>
  <c r="AT298" i="32"/>
  <c r="AT297" i="32"/>
  <c r="AT296" i="32"/>
  <c r="AT295" i="32"/>
  <c r="AT294" i="32"/>
  <c r="AT293" i="32"/>
  <c r="AT292" i="32"/>
  <c r="AT291" i="32"/>
  <c r="AT290" i="32"/>
  <c r="AT289" i="32"/>
  <c r="AT288" i="32"/>
  <c r="AT287" i="32"/>
  <c r="AT286" i="32"/>
  <c r="AT285" i="32"/>
  <c r="AT284" i="32"/>
  <c r="AT283" i="32"/>
  <c r="AT282" i="32"/>
  <c r="AT281" i="32"/>
  <c r="AT280" i="32"/>
  <c r="AT279" i="32"/>
  <c r="AT278" i="32"/>
  <c r="AT277" i="32"/>
  <c r="AT276" i="32"/>
  <c r="AT275" i="32"/>
  <c r="AT274" i="32"/>
  <c r="AT273" i="32"/>
  <c r="AT272" i="32"/>
  <c r="AT271" i="32"/>
  <c r="AT270" i="32"/>
  <c r="AT269" i="32"/>
  <c r="AT268" i="32"/>
  <c r="AT267" i="32"/>
  <c r="AT266" i="32"/>
  <c r="AT265" i="32"/>
  <c r="AT264" i="32"/>
  <c r="AT263" i="32"/>
  <c r="AT262" i="32"/>
  <c r="AT261" i="32"/>
  <c r="AT260" i="32"/>
  <c r="AT259" i="32"/>
  <c r="AT258" i="32"/>
  <c r="AT257" i="32"/>
  <c r="AT256" i="32"/>
  <c r="AT255" i="32"/>
  <c r="AT254" i="32"/>
  <c r="AT253" i="32"/>
  <c r="AT252" i="32"/>
  <c r="AT251" i="32"/>
  <c r="AT250" i="32"/>
  <c r="AT249" i="32"/>
  <c r="AT248" i="32"/>
  <c r="AT247" i="32"/>
  <c r="AT246" i="32"/>
  <c r="AT245" i="32"/>
  <c r="AT244" i="32"/>
  <c r="AT243" i="32"/>
  <c r="AT242" i="32"/>
  <c r="AT241" i="32"/>
  <c r="AT240" i="32"/>
  <c r="AT239" i="32"/>
  <c r="AT238" i="32"/>
  <c r="AT237" i="32"/>
  <c r="AT236" i="32"/>
  <c r="AT235" i="32"/>
  <c r="AT234" i="32"/>
  <c r="AT233" i="32"/>
  <c r="AT232" i="32"/>
  <c r="AT231" i="32"/>
  <c r="AT230" i="32"/>
  <c r="AT229" i="32"/>
  <c r="AT228" i="32"/>
  <c r="AT227" i="32"/>
  <c r="AT226" i="32"/>
  <c r="AT225" i="32"/>
  <c r="AT224" i="32"/>
  <c r="AT223" i="32"/>
  <c r="AT222" i="32"/>
  <c r="AT221" i="32"/>
  <c r="AT220" i="32"/>
  <c r="AT219" i="32"/>
  <c r="AT218" i="32"/>
  <c r="AT217" i="32"/>
  <c r="AT216" i="32"/>
  <c r="AT215" i="32"/>
  <c r="AT214" i="32"/>
  <c r="AT213" i="32"/>
  <c r="AT212" i="32"/>
  <c r="AT211" i="32"/>
  <c r="AT210" i="32"/>
  <c r="AT209" i="32"/>
  <c r="AT208" i="32"/>
  <c r="AT207" i="32"/>
  <c r="AT206" i="32"/>
  <c r="AT205" i="32"/>
  <c r="AT204" i="32"/>
  <c r="AT203" i="32"/>
  <c r="AT202" i="32"/>
  <c r="AT201" i="32"/>
  <c r="AT200" i="32"/>
  <c r="AT199" i="32"/>
  <c r="AT198" i="32"/>
  <c r="AT197" i="32"/>
  <c r="AT196" i="32"/>
  <c r="AT195" i="32"/>
  <c r="AT194" i="32"/>
  <c r="AT193" i="32"/>
  <c r="AT192" i="32"/>
  <c r="AT191" i="32"/>
  <c r="AT190" i="32"/>
  <c r="AT189" i="32"/>
  <c r="AT188" i="32"/>
  <c r="AT187" i="32"/>
  <c r="AT186" i="32"/>
  <c r="AT185" i="32"/>
  <c r="AT184" i="32"/>
  <c r="AT183" i="32"/>
  <c r="AT182" i="32"/>
  <c r="AT181" i="32"/>
  <c r="AT180" i="32"/>
  <c r="AT179" i="32"/>
  <c r="AT178" i="32"/>
  <c r="AT177" i="32"/>
  <c r="AT176" i="32"/>
  <c r="AT175" i="32"/>
  <c r="AT174" i="32"/>
  <c r="AT173" i="32"/>
  <c r="AT172" i="32"/>
  <c r="AT171" i="32"/>
  <c r="AT170" i="32"/>
  <c r="AT169" i="32"/>
  <c r="AT168" i="32"/>
  <c r="AT167" i="32"/>
  <c r="AT166" i="32"/>
  <c r="AT165" i="32"/>
  <c r="AT164" i="32"/>
  <c r="AT163" i="32"/>
  <c r="AT162" i="32"/>
  <c r="AT161" i="32"/>
  <c r="AT160" i="32"/>
  <c r="AT159" i="32"/>
  <c r="AT158" i="32"/>
  <c r="AT157" i="32"/>
  <c r="AT156" i="32"/>
  <c r="AT155" i="32"/>
  <c r="AT154" i="32"/>
  <c r="AT153" i="32"/>
  <c r="AT152" i="32"/>
  <c r="AT151" i="32"/>
  <c r="AT150" i="32"/>
  <c r="AT149" i="32"/>
  <c r="AT148" i="32"/>
  <c r="AT147" i="32"/>
  <c r="AT146" i="32"/>
  <c r="AT145" i="32"/>
  <c r="AT144" i="32"/>
  <c r="AT143" i="32"/>
  <c r="AT142" i="32"/>
  <c r="AT141" i="32"/>
  <c r="AT140" i="32"/>
  <c r="AT139" i="32"/>
  <c r="AT138" i="32"/>
  <c r="AT137" i="32"/>
  <c r="AT136" i="32"/>
  <c r="AT135" i="32"/>
  <c r="AT134" i="32"/>
  <c r="AT133" i="32"/>
  <c r="AT132" i="32"/>
  <c r="AT131" i="32"/>
  <c r="AT130" i="32"/>
  <c r="AT129" i="32"/>
  <c r="AT128" i="32"/>
  <c r="AT127" i="32"/>
  <c r="AT126" i="32"/>
  <c r="AT125" i="32"/>
  <c r="AT124" i="32"/>
  <c r="AT123" i="32"/>
  <c r="AT122" i="32"/>
  <c r="AT121" i="32"/>
  <c r="AT120" i="32"/>
  <c r="AT119" i="32"/>
  <c r="AT118" i="32"/>
  <c r="AT117" i="32"/>
  <c r="AT116" i="32"/>
  <c r="AT115" i="32"/>
  <c r="AT114" i="32"/>
  <c r="AT113" i="32"/>
  <c r="AT112" i="32"/>
  <c r="AT111" i="32"/>
  <c r="AT110" i="32"/>
  <c r="AT109" i="32"/>
  <c r="AT108" i="32"/>
  <c r="AT107" i="32"/>
  <c r="AT106" i="32"/>
  <c r="AT105" i="32"/>
  <c r="AT104" i="32"/>
  <c r="AT103" i="32"/>
  <c r="AT102" i="32"/>
  <c r="AT101" i="32"/>
  <c r="AT100" i="32"/>
  <c r="AT99" i="32"/>
  <c r="AT98" i="32"/>
  <c r="AT97" i="32"/>
  <c r="AT96" i="32"/>
  <c r="AT95" i="32"/>
  <c r="AT94" i="32"/>
  <c r="AT93" i="32"/>
  <c r="AT92" i="32"/>
  <c r="AT91" i="32"/>
  <c r="AT90" i="32"/>
  <c r="AT89" i="32"/>
  <c r="AT88" i="32"/>
  <c r="AT87" i="32"/>
  <c r="AT86" i="32"/>
  <c r="AT85" i="32"/>
  <c r="AT84" i="32"/>
  <c r="AT83" i="32"/>
  <c r="AT82" i="32"/>
  <c r="AT81" i="32"/>
  <c r="AT80" i="32"/>
  <c r="AT79" i="32"/>
  <c r="AT78" i="32"/>
  <c r="AT77" i="32"/>
  <c r="AT76" i="32"/>
  <c r="AT75" i="32"/>
  <c r="AT74" i="32"/>
  <c r="AT73" i="32"/>
  <c r="AT72" i="32"/>
  <c r="AT71" i="32"/>
  <c r="AT70" i="32"/>
  <c r="AT69" i="32"/>
  <c r="AT68" i="32"/>
  <c r="AT67" i="32"/>
  <c r="AT66" i="32"/>
  <c r="AT65" i="32"/>
  <c r="AT64" i="32"/>
  <c r="AT63" i="32"/>
  <c r="AT62" i="32"/>
  <c r="AT61" i="32"/>
  <c r="AT60" i="32"/>
  <c r="AT59" i="32"/>
  <c r="AT58" i="32"/>
  <c r="AT57" i="32"/>
  <c r="AT56" i="32"/>
  <c r="AT55" i="32"/>
  <c r="AT54" i="32"/>
  <c r="AT53" i="32"/>
  <c r="AT52" i="32"/>
  <c r="AT51" i="32"/>
  <c r="AT50" i="32"/>
  <c r="AT49" i="32"/>
  <c r="AT48" i="32"/>
  <c r="AT47" i="32"/>
  <c r="AT46" i="32"/>
  <c r="AT45" i="32"/>
  <c r="AT44" i="32"/>
  <c r="AT43" i="32"/>
  <c r="AT42" i="32"/>
  <c r="AT41" i="32"/>
  <c r="AT40" i="32"/>
  <c r="AT39" i="32"/>
  <c r="AT38" i="32"/>
  <c r="AT37" i="32"/>
  <c r="AT36" i="32"/>
  <c r="AT35" i="32"/>
  <c r="AT34" i="32"/>
  <c r="AT33" i="32"/>
  <c r="AT32" i="32"/>
  <c r="AT31" i="32"/>
  <c r="AT30" i="32"/>
  <c r="AT29" i="32"/>
  <c r="AT28" i="32"/>
  <c r="AT27" i="32"/>
  <c r="AT26" i="32"/>
  <c r="AT25" i="32"/>
  <c r="AT24" i="32"/>
  <c r="AT23" i="32"/>
  <c r="AT22" i="32"/>
  <c r="AT21" i="32"/>
  <c r="AT20" i="32"/>
  <c r="AT19" i="32"/>
  <c r="AT18" i="32"/>
  <c r="AT17" i="32"/>
  <c r="AT16" i="32"/>
  <c r="AT15" i="32"/>
  <c r="AT14" i="32"/>
  <c r="AT13" i="32"/>
  <c r="AT12" i="32"/>
  <c r="AT11" i="32"/>
  <c r="AT10" i="32"/>
  <c r="AT9" i="32"/>
  <c r="AT8" i="32"/>
  <c r="AT7" i="32"/>
  <c r="AT6" i="32"/>
  <c r="AT5" i="32"/>
  <c r="AT4" i="32"/>
  <c r="L5" i="32"/>
  <c r="S5" i="32"/>
  <c r="M5" i="32"/>
  <c r="T5" i="32"/>
  <c r="L6" i="32"/>
  <c r="S6" i="32"/>
  <c r="M6" i="32"/>
  <c r="T6" i="32"/>
  <c r="L7" i="32"/>
  <c r="S7" i="32"/>
  <c r="M7" i="32"/>
  <c r="T7" i="32"/>
  <c r="L8" i="32"/>
  <c r="S8" i="32"/>
  <c r="M8" i="32"/>
  <c r="T8" i="32"/>
  <c r="L9" i="32"/>
  <c r="S9" i="32"/>
  <c r="M9" i="32"/>
  <c r="T9" i="32"/>
  <c r="L10" i="32"/>
  <c r="S10" i="32"/>
  <c r="M10" i="32"/>
  <c r="T10" i="32"/>
  <c r="L11" i="32"/>
  <c r="S11" i="32"/>
  <c r="M11" i="32"/>
  <c r="T11" i="32"/>
  <c r="L12" i="32"/>
  <c r="S12" i="32"/>
  <c r="M12" i="32"/>
  <c r="T12" i="32"/>
  <c r="L13" i="32"/>
  <c r="S13" i="32"/>
  <c r="M13" i="32"/>
  <c r="T13" i="32"/>
  <c r="L14" i="32"/>
  <c r="S14" i="32"/>
  <c r="M14" i="32"/>
  <c r="T14" i="32"/>
  <c r="L15" i="32"/>
  <c r="S15" i="32"/>
  <c r="M15" i="32"/>
  <c r="T15" i="32"/>
  <c r="L16" i="32"/>
  <c r="S16" i="32"/>
  <c r="M16" i="32"/>
  <c r="T16" i="32"/>
  <c r="L17" i="32"/>
  <c r="S17" i="32"/>
  <c r="M17" i="32"/>
  <c r="T17" i="32"/>
  <c r="L18" i="32"/>
  <c r="S18" i="32"/>
  <c r="M18" i="32"/>
  <c r="T18" i="32"/>
  <c r="L19" i="32"/>
  <c r="S19" i="32"/>
  <c r="M19" i="32"/>
  <c r="T19" i="32"/>
  <c r="L20" i="32"/>
  <c r="S20" i="32"/>
  <c r="M20" i="32"/>
  <c r="T20" i="32"/>
  <c r="L21" i="32"/>
  <c r="S21" i="32"/>
  <c r="M21" i="32"/>
  <c r="T21" i="32"/>
  <c r="L22" i="32"/>
  <c r="S22" i="32"/>
  <c r="M22" i="32"/>
  <c r="T22" i="32"/>
  <c r="L23" i="32"/>
  <c r="S23" i="32"/>
  <c r="M23" i="32"/>
  <c r="T23" i="32"/>
  <c r="L24" i="32"/>
  <c r="S24" i="32"/>
  <c r="M24" i="32"/>
  <c r="T24" i="32"/>
  <c r="L25" i="32"/>
  <c r="S25" i="32"/>
  <c r="M25" i="32"/>
  <c r="T25" i="32"/>
  <c r="L26" i="32"/>
  <c r="S26" i="32"/>
  <c r="M26" i="32"/>
  <c r="T26" i="32"/>
  <c r="L27" i="32"/>
  <c r="S27" i="32"/>
  <c r="M27" i="32"/>
  <c r="T27" i="32"/>
  <c r="L28" i="32"/>
  <c r="S28" i="32"/>
  <c r="M28" i="32"/>
  <c r="T28" i="32"/>
  <c r="L29" i="32"/>
  <c r="S29" i="32"/>
  <c r="M29" i="32"/>
  <c r="T29" i="32"/>
  <c r="L30" i="32"/>
  <c r="S30" i="32"/>
  <c r="M30" i="32"/>
  <c r="T30" i="32"/>
  <c r="L31" i="32"/>
  <c r="S31" i="32"/>
  <c r="M31" i="32"/>
  <c r="T31" i="32"/>
  <c r="L32" i="32"/>
  <c r="S32" i="32"/>
  <c r="M32" i="32"/>
  <c r="T32" i="32"/>
  <c r="L33" i="32"/>
  <c r="S33" i="32"/>
  <c r="M33" i="32"/>
  <c r="T33" i="32"/>
  <c r="L34" i="32"/>
  <c r="S34" i="32"/>
  <c r="M34" i="32"/>
  <c r="T34" i="32"/>
  <c r="L35" i="32"/>
  <c r="S35" i="32"/>
  <c r="M35" i="32"/>
  <c r="T35" i="32"/>
  <c r="L36" i="32"/>
  <c r="S36" i="32"/>
  <c r="M36" i="32"/>
  <c r="T36" i="32"/>
  <c r="L37" i="32"/>
  <c r="S37" i="32"/>
  <c r="M37" i="32"/>
  <c r="T37" i="32"/>
  <c r="L38" i="32"/>
  <c r="S38" i="32"/>
  <c r="M38" i="32"/>
  <c r="T38" i="32"/>
  <c r="L39" i="32"/>
  <c r="S39" i="32"/>
  <c r="M39" i="32"/>
  <c r="T39" i="32"/>
  <c r="L40" i="32"/>
  <c r="S40" i="32"/>
  <c r="M40" i="32"/>
  <c r="T40" i="32"/>
  <c r="L41" i="32"/>
  <c r="S41" i="32"/>
  <c r="M41" i="32"/>
  <c r="T41" i="32"/>
  <c r="L42" i="32"/>
  <c r="S42" i="32"/>
  <c r="M42" i="32"/>
  <c r="T42" i="32"/>
  <c r="L43" i="32"/>
  <c r="S43" i="32"/>
  <c r="M43" i="32"/>
  <c r="T43" i="32"/>
  <c r="L44" i="32"/>
  <c r="S44" i="32"/>
  <c r="M44" i="32"/>
  <c r="T44" i="32"/>
  <c r="L45" i="32"/>
  <c r="S45" i="32"/>
  <c r="M45" i="32"/>
  <c r="T45" i="32"/>
  <c r="L46" i="32"/>
  <c r="S46" i="32"/>
  <c r="M46" i="32"/>
  <c r="T46" i="32"/>
  <c r="L47" i="32"/>
  <c r="S47" i="32"/>
  <c r="M47" i="32"/>
  <c r="T47" i="32"/>
  <c r="L48" i="32"/>
  <c r="S48" i="32"/>
  <c r="M48" i="32"/>
  <c r="T48" i="32"/>
  <c r="L49" i="32"/>
  <c r="S49" i="32"/>
  <c r="M49" i="32"/>
  <c r="T49" i="32"/>
  <c r="L50" i="32"/>
  <c r="S50" i="32"/>
  <c r="M50" i="32"/>
  <c r="T50" i="32"/>
  <c r="L51" i="32"/>
  <c r="S51" i="32"/>
  <c r="M51" i="32"/>
  <c r="T51" i="32"/>
  <c r="L52" i="32"/>
  <c r="S52" i="32"/>
  <c r="M52" i="32"/>
  <c r="T52" i="32"/>
  <c r="L53" i="32"/>
  <c r="S53" i="32"/>
  <c r="M53" i="32"/>
  <c r="T53" i="32"/>
  <c r="L54" i="32"/>
  <c r="S54" i="32"/>
  <c r="M54" i="32"/>
  <c r="T54" i="32"/>
  <c r="L55" i="32"/>
  <c r="S55" i="32"/>
  <c r="M55" i="32"/>
  <c r="T55" i="32"/>
  <c r="L56" i="32"/>
  <c r="S56" i="32"/>
  <c r="M56" i="32"/>
  <c r="T56" i="32"/>
  <c r="L57" i="32"/>
  <c r="S57" i="32"/>
  <c r="M57" i="32"/>
  <c r="T57" i="32"/>
  <c r="L58" i="32"/>
  <c r="S58" i="32"/>
  <c r="M58" i="32"/>
  <c r="T58" i="32"/>
  <c r="L59" i="32"/>
  <c r="S59" i="32"/>
  <c r="M59" i="32"/>
  <c r="T59" i="32"/>
  <c r="L60" i="32"/>
  <c r="S60" i="32"/>
  <c r="M60" i="32"/>
  <c r="T60" i="32"/>
  <c r="L61" i="32"/>
  <c r="S61" i="32"/>
  <c r="M61" i="32"/>
  <c r="T61" i="32"/>
  <c r="L62" i="32"/>
  <c r="S62" i="32"/>
  <c r="M62" i="32"/>
  <c r="T62" i="32"/>
  <c r="L63" i="32"/>
  <c r="S63" i="32"/>
  <c r="M63" i="32"/>
  <c r="T63" i="32"/>
  <c r="L64" i="32"/>
  <c r="S64" i="32"/>
  <c r="M64" i="32"/>
  <c r="T64" i="32"/>
  <c r="L65" i="32"/>
  <c r="S65" i="32"/>
  <c r="M65" i="32"/>
  <c r="T65" i="32"/>
  <c r="L66" i="32"/>
  <c r="S66" i="32"/>
  <c r="M66" i="32"/>
  <c r="T66" i="32"/>
  <c r="L67" i="32"/>
  <c r="S67" i="32"/>
  <c r="M67" i="32"/>
  <c r="T67" i="32"/>
  <c r="L68" i="32"/>
  <c r="S68" i="32"/>
  <c r="M68" i="32"/>
  <c r="T68" i="32"/>
  <c r="L69" i="32"/>
  <c r="S69" i="32"/>
  <c r="M69" i="32"/>
  <c r="T69" i="32"/>
  <c r="L70" i="32"/>
  <c r="S70" i="32"/>
  <c r="M70" i="32"/>
  <c r="T70" i="32"/>
  <c r="L71" i="32"/>
  <c r="S71" i="32"/>
  <c r="M71" i="32"/>
  <c r="T71" i="32"/>
  <c r="L72" i="32"/>
  <c r="S72" i="32"/>
  <c r="M72" i="32"/>
  <c r="T72" i="32"/>
  <c r="L73" i="32"/>
  <c r="S73" i="32"/>
  <c r="M73" i="32"/>
  <c r="T73" i="32"/>
  <c r="L74" i="32"/>
  <c r="S74" i="32"/>
  <c r="M74" i="32"/>
  <c r="T74" i="32"/>
  <c r="L75" i="32"/>
  <c r="S75" i="32"/>
  <c r="M75" i="32"/>
  <c r="T75" i="32"/>
  <c r="L76" i="32"/>
  <c r="S76" i="32"/>
  <c r="M76" i="32"/>
  <c r="T76" i="32"/>
  <c r="L77" i="32"/>
  <c r="S77" i="32"/>
  <c r="M77" i="32"/>
  <c r="T77" i="32"/>
  <c r="L78" i="32"/>
  <c r="S78" i="32"/>
  <c r="M78" i="32"/>
  <c r="T78" i="32"/>
  <c r="L79" i="32"/>
  <c r="S79" i="32"/>
  <c r="M79" i="32"/>
  <c r="T79" i="32"/>
  <c r="L80" i="32"/>
  <c r="S80" i="32"/>
  <c r="M80" i="32"/>
  <c r="T80" i="32"/>
  <c r="L81" i="32"/>
  <c r="S81" i="32"/>
  <c r="M81" i="32"/>
  <c r="T81" i="32"/>
  <c r="L82" i="32"/>
  <c r="S82" i="32"/>
  <c r="M82" i="32"/>
  <c r="T82" i="32"/>
  <c r="L83" i="32"/>
  <c r="S83" i="32"/>
  <c r="M83" i="32"/>
  <c r="T83" i="32"/>
  <c r="L84" i="32"/>
  <c r="S84" i="32"/>
  <c r="M84" i="32"/>
  <c r="T84" i="32"/>
  <c r="L85" i="32"/>
  <c r="S85" i="32"/>
  <c r="M85" i="32"/>
  <c r="T85" i="32"/>
  <c r="L86" i="32"/>
  <c r="S86" i="32"/>
  <c r="M86" i="32"/>
  <c r="T86" i="32"/>
  <c r="L87" i="32"/>
  <c r="S87" i="32"/>
  <c r="M87" i="32"/>
  <c r="T87" i="32"/>
  <c r="L88" i="32"/>
  <c r="S88" i="32"/>
  <c r="M88" i="32"/>
  <c r="T88" i="32"/>
  <c r="L89" i="32"/>
  <c r="S89" i="32"/>
  <c r="M89" i="32"/>
  <c r="T89" i="32"/>
  <c r="L90" i="32"/>
  <c r="S90" i="32"/>
  <c r="M90" i="32"/>
  <c r="T90" i="32"/>
  <c r="L91" i="32"/>
  <c r="S91" i="32"/>
  <c r="M91" i="32"/>
  <c r="T91" i="32"/>
  <c r="L92" i="32"/>
  <c r="S92" i="32"/>
  <c r="M92" i="32"/>
  <c r="T92" i="32"/>
  <c r="L93" i="32"/>
  <c r="S93" i="32"/>
  <c r="M93" i="32"/>
  <c r="T93" i="32"/>
  <c r="L94" i="32"/>
  <c r="S94" i="32"/>
  <c r="M94" i="32"/>
  <c r="T94" i="32"/>
  <c r="L95" i="32"/>
  <c r="S95" i="32"/>
  <c r="M95" i="32"/>
  <c r="T95" i="32"/>
  <c r="L96" i="32"/>
  <c r="S96" i="32"/>
  <c r="M96" i="32"/>
  <c r="T96" i="32"/>
  <c r="L97" i="32"/>
  <c r="S97" i="32"/>
  <c r="M97" i="32"/>
  <c r="T97" i="32"/>
  <c r="L98" i="32"/>
  <c r="S98" i="32"/>
  <c r="M98" i="32"/>
  <c r="T98" i="32"/>
  <c r="L99" i="32"/>
  <c r="S99" i="32"/>
  <c r="M99" i="32"/>
  <c r="T99" i="32"/>
  <c r="L100" i="32"/>
  <c r="S100" i="32"/>
  <c r="M100" i="32"/>
  <c r="T100" i="32"/>
  <c r="L101" i="32"/>
  <c r="S101" i="32"/>
  <c r="M101" i="32"/>
  <c r="T101" i="32"/>
  <c r="L102" i="32"/>
  <c r="S102" i="32"/>
  <c r="M102" i="32"/>
  <c r="T102" i="32"/>
  <c r="L103" i="32"/>
  <c r="S103" i="32"/>
  <c r="M103" i="32"/>
  <c r="T103" i="32"/>
  <c r="L104" i="32"/>
  <c r="S104" i="32"/>
  <c r="M104" i="32"/>
  <c r="T104" i="32"/>
  <c r="L105" i="32"/>
  <c r="S105" i="32"/>
  <c r="M105" i="32"/>
  <c r="T105" i="32"/>
  <c r="L106" i="32"/>
  <c r="S106" i="32"/>
  <c r="M106" i="32"/>
  <c r="T106" i="32"/>
  <c r="L107" i="32"/>
  <c r="S107" i="32"/>
  <c r="M107" i="32"/>
  <c r="T107" i="32"/>
  <c r="L108" i="32"/>
  <c r="S108" i="32"/>
  <c r="M108" i="32"/>
  <c r="T108" i="32"/>
  <c r="L109" i="32"/>
  <c r="S109" i="32"/>
  <c r="M109" i="32"/>
  <c r="T109" i="32"/>
  <c r="L110" i="32"/>
  <c r="S110" i="32"/>
  <c r="M110" i="32"/>
  <c r="T110" i="32"/>
  <c r="L111" i="32"/>
  <c r="S111" i="32"/>
  <c r="M111" i="32"/>
  <c r="T111" i="32"/>
  <c r="L112" i="32"/>
  <c r="S112" i="32"/>
  <c r="M112" i="32"/>
  <c r="T112" i="32"/>
  <c r="L113" i="32"/>
  <c r="S113" i="32"/>
  <c r="M113" i="32"/>
  <c r="T113" i="32"/>
  <c r="L114" i="32"/>
  <c r="S114" i="32"/>
  <c r="M114" i="32"/>
  <c r="T114" i="32"/>
  <c r="L115" i="32"/>
  <c r="S115" i="32"/>
  <c r="M115" i="32"/>
  <c r="T115" i="32"/>
  <c r="L116" i="32"/>
  <c r="S116" i="32"/>
  <c r="M116" i="32"/>
  <c r="T116" i="32"/>
  <c r="L117" i="32"/>
  <c r="S117" i="32"/>
  <c r="M117" i="32"/>
  <c r="T117" i="32"/>
  <c r="L118" i="32"/>
  <c r="S118" i="32"/>
  <c r="M118" i="32"/>
  <c r="T118" i="32"/>
  <c r="L119" i="32"/>
  <c r="S119" i="32"/>
  <c r="M119" i="32"/>
  <c r="T119" i="32"/>
  <c r="L120" i="32"/>
  <c r="S120" i="32"/>
  <c r="M120" i="32"/>
  <c r="T120" i="32"/>
  <c r="L121" i="32"/>
  <c r="S121" i="32"/>
  <c r="M121" i="32"/>
  <c r="T121" i="32"/>
  <c r="L122" i="32"/>
  <c r="S122" i="32"/>
  <c r="M122" i="32"/>
  <c r="T122" i="32"/>
  <c r="L123" i="32"/>
  <c r="S123" i="32"/>
  <c r="M123" i="32"/>
  <c r="T123" i="32"/>
  <c r="L124" i="32"/>
  <c r="S124" i="32"/>
  <c r="M124" i="32"/>
  <c r="T124" i="32"/>
  <c r="L125" i="32"/>
  <c r="S125" i="32"/>
  <c r="M125" i="32"/>
  <c r="T125" i="32"/>
  <c r="L126" i="32"/>
  <c r="S126" i="32"/>
  <c r="M126" i="32"/>
  <c r="T126" i="32"/>
  <c r="L127" i="32"/>
  <c r="S127" i="32"/>
  <c r="M127" i="32"/>
  <c r="T127" i="32"/>
  <c r="L128" i="32"/>
  <c r="S128" i="32"/>
  <c r="M128" i="32"/>
  <c r="T128" i="32"/>
  <c r="L129" i="32"/>
  <c r="S129" i="32"/>
  <c r="M129" i="32"/>
  <c r="T129" i="32"/>
  <c r="L130" i="32"/>
  <c r="S130" i="32"/>
  <c r="M130" i="32"/>
  <c r="T130" i="32"/>
  <c r="L131" i="32"/>
  <c r="S131" i="32"/>
  <c r="M131" i="32"/>
  <c r="T131" i="32"/>
  <c r="L132" i="32"/>
  <c r="S132" i="32"/>
  <c r="M132" i="32"/>
  <c r="T132" i="32"/>
  <c r="L133" i="32"/>
  <c r="S133" i="32"/>
  <c r="M133" i="32"/>
  <c r="T133" i="32"/>
  <c r="L134" i="32"/>
  <c r="S134" i="32"/>
  <c r="M134" i="32"/>
  <c r="T134" i="32"/>
  <c r="L135" i="32"/>
  <c r="S135" i="32"/>
  <c r="M135" i="32"/>
  <c r="T135" i="32"/>
  <c r="L136" i="32"/>
  <c r="S136" i="32"/>
  <c r="M136" i="32"/>
  <c r="T136" i="32"/>
  <c r="L137" i="32"/>
  <c r="S137" i="32"/>
  <c r="M137" i="32"/>
  <c r="T137" i="32"/>
  <c r="L138" i="32"/>
  <c r="S138" i="32"/>
  <c r="M138" i="32"/>
  <c r="T138" i="32"/>
  <c r="L139" i="32"/>
  <c r="S139" i="32"/>
  <c r="M139" i="32"/>
  <c r="T139" i="32"/>
  <c r="L140" i="32"/>
  <c r="S140" i="32"/>
  <c r="M140" i="32"/>
  <c r="T140" i="32"/>
  <c r="L141" i="32"/>
  <c r="S141" i="32"/>
  <c r="M141" i="32"/>
  <c r="T141" i="32"/>
  <c r="L142" i="32"/>
  <c r="S142" i="32"/>
  <c r="M142" i="32"/>
  <c r="T142" i="32"/>
  <c r="L143" i="32"/>
  <c r="S143" i="32"/>
  <c r="M143" i="32"/>
  <c r="T143" i="32"/>
  <c r="L144" i="32"/>
  <c r="S144" i="32"/>
  <c r="M144" i="32"/>
  <c r="T144" i="32"/>
  <c r="L145" i="32"/>
  <c r="S145" i="32"/>
  <c r="M145" i="32"/>
  <c r="T145" i="32"/>
  <c r="L146" i="32"/>
  <c r="S146" i="32"/>
  <c r="M146" i="32"/>
  <c r="T146" i="32"/>
  <c r="L147" i="32"/>
  <c r="S147" i="32"/>
  <c r="M147" i="32"/>
  <c r="T147" i="32"/>
  <c r="L148" i="32"/>
  <c r="S148" i="32"/>
  <c r="M148" i="32"/>
  <c r="T148" i="32"/>
  <c r="L149" i="32"/>
  <c r="S149" i="32"/>
  <c r="M149" i="32"/>
  <c r="T149" i="32"/>
  <c r="L150" i="32"/>
  <c r="S150" i="32"/>
  <c r="M150" i="32"/>
  <c r="T150" i="32"/>
  <c r="L151" i="32"/>
  <c r="S151" i="32"/>
  <c r="M151" i="32"/>
  <c r="T151" i="32"/>
  <c r="L152" i="32"/>
  <c r="S152" i="32"/>
  <c r="M152" i="32"/>
  <c r="T152" i="32"/>
  <c r="L153" i="32"/>
  <c r="S153" i="32"/>
  <c r="M153" i="32"/>
  <c r="T153" i="32"/>
  <c r="L154" i="32"/>
  <c r="S154" i="32"/>
  <c r="M154" i="32"/>
  <c r="T154" i="32"/>
  <c r="L155" i="32"/>
  <c r="S155" i="32"/>
  <c r="M155" i="32"/>
  <c r="T155" i="32"/>
  <c r="L156" i="32"/>
  <c r="S156" i="32"/>
  <c r="M156" i="32"/>
  <c r="T156" i="32"/>
  <c r="L157" i="32"/>
  <c r="S157" i="32"/>
  <c r="M157" i="32"/>
  <c r="T157" i="32"/>
  <c r="L158" i="32"/>
  <c r="S158" i="32"/>
  <c r="M158" i="32"/>
  <c r="T158" i="32"/>
  <c r="L159" i="32"/>
  <c r="S159" i="32"/>
  <c r="M159" i="32"/>
  <c r="T159" i="32"/>
  <c r="L160" i="32"/>
  <c r="S160" i="32"/>
  <c r="M160" i="32"/>
  <c r="T160" i="32"/>
  <c r="L161" i="32"/>
  <c r="S161" i="32"/>
  <c r="M161" i="32"/>
  <c r="T161" i="32"/>
  <c r="L162" i="32"/>
  <c r="S162" i="32"/>
  <c r="M162" i="32"/>
  <c r="T162" i="32"/>
  <c r="L163" i="32"/>
  <c r="S163" i="32"/>
  <c r="M163" i="32"/>
  <c r="T163" i="32"/>
  <c r="L164" i="32"/>
  <c r="S164" i="32"/>
  <c r="M164" i="32"/>
  <c r="T164" i="32"/>
  <c r="L165" i="32"/>
  <c r="S165" i="32"/>
  <c r="M165" i="32"/>
  <c r="T165" i="32"/>
  <c r="L166" i="32"/>
  <c r="S166" i="32"/>
  <c r="M166" i="32"/>
  <c r="T166" i="32"/>
  <c r="L167" i="32"/>
  <c r="S167" i="32"/>
  <c r="M167" i="32"/>
  <c r="T167" i="32"/>
  <c r="L168" i="32"/>
  <c r="S168" i="32"/>
  <c r="M168" i="32"/>
  <c r="T168" i="32"/>
  <c r="L169" i="32"/>
  <c r="S169" i="32"/>
  <c r="M169" i="32"/>
  <c r="T169" i="32"/>
  <c r="L170" i="32"/>
  <c r="S170" i="32"/>
  <c r="M170" i="32"/>
  <c r="T170" i="32"/>
  <c r="L171" i="32"/>
  <c r="S171" i="32"/>
  <c r="M171" i="32"/>
  <c r="T171" i="32"/>
  <c r="L172" i="32"/>
  <c r="S172" i="32"/>
  <c r="M172" i="32"/>
  <c r="T172" i="32"/>
  <c r="L173" i="32"/>
  <c r="S173" i="32"/>
  <c r="M173" i="32"/>
  <c r="T173" i="32"/>
  <c r="L174" i="32"/>
  <c r="S174" i="32"/>
  <c r="M174" i="32"/>
  <c r="T174" i="32"/>
  <c r="L175" i="32"/>
  <c r="S175" i="32"/>
  <c r="M175" i="32"/>
  <c r="T175" i="32"/>
  <c r="L176" i="32"/>
  <c r="S176" i="32"/>
  <c r="M176" i="32"/>
  <c r="T176" i="32"/>
  <c r="L177" i="32"/>
  <c r="S177" i="32"/>
  <c r="M177" i="32"/>
  <c r="T177" i="32"/>
  <c r="L178" i="32"/>
  <c r="S178" i="32"/>
  <c r="M178" i="32"/>
  <c r="T178" i="32"/>
  <c r="L179" i="32"/>
  <c r="S179" i="32"/>
  <c r="M179" i="32"/>
  <c r="T179" i="32"/>
  <c r="L180" i="32"/>
  <c r="S180" i="32"/>
  <c r="M180" i="32"/>
  <c r="T180" i="32"/>
  <c r="L181" i="32"/>
  <c r="S181" i="32"/>
  <c r="M181" i="32"/>
  <c r="T181" i="32"/>
  <c r="L182" i="32"/>
  <c r="S182" i="32"/>
  <c r="M182" i="32"/>
  <c r="T182" i="32"/>
  <c r="L183" i="32"/>
  <c r="S183" i="32"/>
  <c r="M183" i="32"/>
  <c r="T183" i="32"/>
  <c r="L184" i="32"/>
  <c r="S184" i="32"/>
  <c r="M184" i="32"/>
  <c r="T184" i="32"/>
  <c r="L185" i="32"/>
  <c r="S185" i="32"/>
  <c r="M185" i="32"/>
  <c r="T185" i="32"/>
  <c r="L186" i="32"/>
  <c r="S186" i="32"/>
  <c r="M186" i="32"/>
  <c r="T186" i="32"/>
  <c r="L187" i="32"/>
  <c r="S187" i="32"/>
  <c r="M187" i="32"/>
  <c r="T187" i="32"/>
  <c r="L188" i="32"/>
  <c r="S188" i="32"/>
  <c r="M188" i="32"/>
  <c r="T188" i="32"/>
  <c r="L189" i="32"/>
  <c r="S189" i="32"/>
  <c r="M189" i="32"/>
  <c r="T189" i="32"/>
  <c r="L190" i="32"/>
  <c r="S190" i="32"/>
  <c r="M190" i="32"/>
  <c r="T190" i="32"/>
  <c r="L191" i="32"/>
  <c r="S191" i="32"/>
  <c r="M191" i="32"/>
  <c r="T191" i="32"/>
  <c r="L192" i="32"/>
  <c r="S192" i="32"/>
  <c r="M192" i="32"/>
  <c r="T192" i="32"/>
  <c r="L193" i="32"/>
  <c r="S193" i="32"/>
  <c r="M193" i="32"/>
  <c r="T193" i="32"/>
  <c r="L194" i="32"/>
  <c r="S194" i="32"/>
  <c r="M194" i="32"/>
  <c r="T194" i="32"/>
  <c r="L195" i="32"/>
  <c r="S195" i="32"/>
  <c r="M195" i="32"/>
  <c r="T195" i="32"/>
  <c r="L196" i="32"/>
  <c r="S196" i="32"/>
  <c r="M196" i="32"/>
  <c r="T196" i="32"/>
  <c r="L197" i="32"/>
  <c r="S197" i="32"/>
  <c r="M197" i="32"/>
  <c r="T197" i="32"/>
  <c r="L198" i="32"/>
  <c r="S198" i="32"/>
  <c r="M198" i="32"/>
  <c r="T198" i="32"/>
  <c r="L199" i="32"/>
  <c r="S199" i="32"/>
  <c r="M199" i="32"/>
  <c r="T199" i="32"/>
  <c r="L200" i="32"/>
  <c r="S200" i="32"/>
  <c r="M200" i="32"/>
  <c r="T200" i="32"/>
  <c r="L201" i="32"/>
  <c r="S201" i="32"/>
  <c r="M201" i="32"/>
  <c r="T201" i="32"/>
  <c r="L202" i="32"/>
  <c r="S202" i="32"/>
  <c r="M202" i="32"/>
  <c r="T202" i="32"/>
  <c r="L203" i="32"/>
  <c r="S203" i="32"/>
  <c r="M203" i="32"/>
  <c r="T203" i="32"/>
  <c r="L204" i="32"/>
  <c r="S204" i="32"/>
  <c r="M204" i="32"/>
  <c r="T204" i="32"/>
  <c r="L205" i="32"/>
  <c r="S205" i="32"/>
  <c r="M205" i="32"/>
  <c r="T205" i="32"/>
  <c r="L206" i="32"/>
  <c r="S206" i="32"/>
  <c r="M206" i="32"/>
  <c r="T206" i="32"/>
  <c r="L207" i="32"/>
  <c r="S207" i="32"/>
  <c r="M207" i="32"/>
  <c r="T207" i="32"/>
  <c r="L208" i="32"/>
  <c r="S208" i="32"/>
  <c r="M208" i="32"/>
  <c r="T208" i="32"/>
  <c r="L209" i="32"/>
  <c r="S209" i="32"/>
  <c r="M209" i="32"/>
  <c r="T209" i="32"/>
  <c r="L210" i="32"/>
  <c r="S210" i="32"/>
  <c r="M210" i="32"/>
  <c r="T210" i="32"/>
  <c r="L211" i="32"/>
  <c r="S211" i="32"/>
  <c r="M211" i="32"/>
  <c r="T211" i="32"/>
  <c r="L212" i="32"/>
  <c r="S212" i="32"/>
  <c r="M212" i="32"/>
  <c r="T212" i="32"/>
  <c r="L213" i="32"/>
  <c r="S213" i="32"/>
  <c r="M213" i="32"/>
  <c r="T213" i="32"/>
  <c r="L214" i="32"/>
  <c r="S214" i="32"/>
  <c r="M214" i="32"/>
  <c r="T214" i="32"/>
  <c r="L215" i="32"/>
  <c r="S215" i="32"/>
  <c r="M215" i="32"/>
  <c r="T215" i="32"/>
  <c r="L216" i="32"/>
  <c r="S216" i="32"/>
  <c r="M216" i="32"/>
  <c r="T216" i="32"/>
  <c r="L217" i="32"/>
  <c r="S217" i="32"/>
  <c r="M217" i="32"/>
  <c r="T217" i="32"/>
  <c r="L218" i="32"/>
  <c r="S218" i="32"/>
  <c r="M218" i="32"/>
  <c r="T218" i="32"/>
  <c r="L219" i="32"/>
  <c r="S219" i="32"/>
  <c r="M219" i="32"/>
  <c r="T219" i="32"/>
  <c r="L220" i="32"/>
  <c r="S220" i="32"/>
  <c r="M220" i="32"/>
  <c r="T220" i="32"/>
  <c r="L221" i="32"/>
  <c r="S221" i="32"/>
  <c r="M221" i="32"/>
  <c r="T221" i="32"/>
  <c r="L222" i="32"/>
  <c r="S222" i="32"/>
  <c r="M222" i="32"/>
  <c r="T222" i="32"/>
  <c r="L223" i="32"/>
  <c r="S223" i="32"/>
  <c r="M223" i="32"/>
  <c r="T223" i="32"/>
  <c r="L224" i="32"/>
  <c r="S224" i="32"/>
  <c r="M224" i="32"/>
  <c r="T224" i="32"/>
  <c r="L225" i="32"/>
  <c r="S225" i="32"/>
  <c r="M225" i="32"/>
  <c r="T225" i="32"/>
  <c r="L226" i="32"/>
  <c r="S226" i="32"/>
  <c r="M226" i="32"/>
  <c r="T226" i="32"/>
  <c r="L227" i="32"/>
  <c r="S227" i="32"/>
  <c r="M227" i="32"/>
  <c r="T227" i="32"/>
  <c r="L228" i="32"/>
  <c r="S228" i="32"/>
  <c r="M228" i="32"/>
  <c r="T228" i="32"/>
  <c r="L229" i="32"/>
  <c r="S229" i="32"/>
  <c r="M229" i="32"/>
  <c r="T229" i="32"/>
  <c r="L230" i="32"/>
  <c r="S230" i="32"/>
  <c r="M230" i="32"/>
  <c r="T230" i="32"/>
  <c r="L231" i="32"/>
  <c r="S231" i="32"/>
  <c r="M231" i="32"/>
  <c r="T231" i="32"/>
  <c r="L232" i="32"/>
  <c r="S232" i="32"/>
  <c r="M232" i="32"/>
  <c r="T232" i="32"/>
  <c r="L233" i="32"/>
  <c r="S233" i="32"/>
  <c r="M233" i="32"/>
  <c r="T233" i="32"/>
  <c r="L234" i="32"/>
  <c r="S234" i="32"/>
  <c r="M234" i="32"/>
  <c r="T234" i="32"/>
  <c r="L235" i="32"/>
  <c r="S235" i="32"/>
  <c r="M235" i="32"/>
  <c r="T235" i="32"/>
  <c r="L236" i="32"/>
  <c r="S236" i="32"/>
  <c r="M236" i="32"/>
  <c r="T236" i="32"/>
  <c r="L237" i="32"/>
  <c r="S237" i="32"/>
  <c r="M237" i="32"/>
  <c r="T237" i="32"/>
  <c r="L238" i="32"/>
  <c r="S238" i="32"/>
  <c r="M238" i="32"/>
  <c r="T238" i="32"/>
  <c r="L239" i="32"/>
  <c r="S239" i="32"/>
  <c r="M239" i="32"/>
  <c r="T239" i="32"/>
  <c r="L240" i="32"/>
  <c r="S240" i="32"/>
  <c r="M240" i="32"/>
  <c r="T240" i="32"/>
  <c r="L241" i="32"/>
  <c r="S241" i="32"/>
  <c r="M241" i="32"/>
  <c r="T241" i="32"/>
  <c r="L242" i="32"/>
  <c r="S242" i="32"/>
  <c r="M242" i="32"/>
  <c r="T242" i="32"/>
  <c r="L243" i="32"/>
  <c r="S243" i="32"/>
  <c r="M243" i="32"/>
  <c r="T243" i="32"/>
  <c r="L244" i="32"/>
  <c r="S244" i="32"/>
  <c r="M244" i="32"/>
  <c r="T244" i="32"/>
  <c r="L245" i="32"/>
  <c r="S245" i="32"/>
  <c r="M245" i="32"/>
  <c r="T245" i="32"/>
  <c r="L246" i="32"/>
  <c r="S246" i="32"/>
  <c r="M246" i="32"/>
  <c r="T246" i="32"/>
  <c r="L247" i="32"/>
  <c r="S247" i="32"/>
  <c r="M247" i="32"/>
  <c r="T247" i="32"/>
  <c r="L248" i="32"/>
  <c r="S248" i="32"/>
  <c r="M248" i="32"/>
  <c r="T248" i="32"/>
  <c r="L249" i="32"/>
  <c r="S249" i="32"/>
  <c r="M249" i="32"/>
  <c r="T249" i="32"/>
  <c r="L250" i="32"/>
  <c r="S250" i="32"/>
  <c r="M250" i="32"/>
  <c r="T250" i="32"/>
  <c r="L251" i="32"/>
  <c r="S251" i="32"/>
  <c r="M251" i="32"/>
  <c r="T251" i="32"/>
  <c r="L252" i="32"/>
  <c r="S252" i="32"/>
  <c r="M252" i="32"/>
  <c r="T252" i="32"/>
  <c r="L253" i="32"/>
  <c r="S253" i="32"/>
  <c r="M253" i="32"/>
  <c r="T253" i="32"/>
  <c r="L254" i="32"/>
  <c r="S254" i="32"/>
  <c r="M254" i="32"/>
  <c r="T254" i="32"/>
  <c r="L255" i="32"/>
  <c r="S255" i="32"/>
  <c r="M255" i="32"/>
  <c r="T255" i="32"/>
  <c r="L256" i="32"/>
  <c r="S256" i="32"/>
  <c r="M256" i="32"/>
  <c r="T256" i="32"/>
  <c r="L257" i="32"/>
  <c r="S257" i="32"/>
  <c r="M257" i="32"/>
  <c r="T257" i="32"/>
  <c r="L258" i="32"/>
  <c r="S258" i="32"/>
  <c r="M258" i="32"/>
  <c r="T258" i="32"/>
  <c r="L259" i="32"/>
  <c r="S259" i="32"/>
  <c r="M259" i="32"/>
  <c r="T259" i="32"/>
  <c r="L260" i="32"/>
  <c r="S260" i="32"/>
  <c r="M260" i="32"/>
  <c r="T260" i="32"/>
  <c r="L261" i="32"/>
  <c r="S261" i="32"/>
  <c r="M261" i="32"/>
  <c r="T261" i="32"/>
  <c r="L262" i="32"/>
  <c r="S262" i="32"/>
  <c r="M262" i="32"/>
  <c r="T262" i="32"/>
  <c r="L263" i="32"/>
  <c r="S263" i="32"/>
  <c r="M263" i="32"/>
  <c r="T263" i="32"/>
  <c r="L264" i="32"/>
  <c r="S264" i="32"/>
  <c r="M264" i="32"/>
  <c r="T264" i="32"/>
  <c r="L265" i="32"/>
  <c r="S265" i="32"/>
  <c r="M265" i="32"/>
  <c r="T265" i="32"/>
  <c r="L266" i="32"/>
  <c r="S266" i="32"/>
  <c r="M266" i="32"/>
  <c r="T266" i="32"/>
  <c r="L267" i="32"/>
  <c r="S267" i="32"/>
  <c r="M267" i="32"/>
  <c r="T267" i="32"/>
  <c r="L268" i="32"/>
  <c r="S268" i="32"/>
  <c r="M268" i="32"/>
  <c r="T268" i="32"/>
  <c r="L269" i="32"/>
  <c r="S269" i="32"/>
  <c r="M269" i="32"/>
  <c r="T269" i="32"/>
  <c r="L270" i="32"/>
  <c r="S270" i="32"/>
  <c r="M270" i="32"/>
  <c r="T270" i="32"/>
  <c r="L271" i="32"/>
  <c r="S271" i="32"/>
  <c r="M271" i="32"/>
  <c r="T271" i="32"/>
  <c r="L272" i="32"/>
  <c r="S272" i="32"/>
  <c r="M272" i="32"/>
  <c r="T272" i="32"/>
  <c r="L273" i="32"/>
  <c r="S273" i="32"/>
  <c r="M273" i="32"/>
  <c r="T273" i="32"/>
  <c r="L274" i="32"/>
  <c r="S274" i="32"/>
  <c r="M274" i="32"/>
  <c r="T274" i="32"/>
  <c r="L275" i="32"/>
  <c r="S275" i="32"/>
  <c r="M275" i="32"/>
  <c r="T275" i="32"/>
  <c r="L276" i="32"/>
  <c r="S276" i="32"/>
  <c r="M276" i="32"/>
  <c r="T276" i="32"/>
  <c r="L277" i="32"/>
  <c r="S277" i="32"/>
  <c r="M277" i="32"/>
  <c r="T277" i="32"/>
  <c r="L278" i="32"/>
  <c r="S278" i="32"/>
  <c r="M278" i="32"/>
  <c r="T278" i="32"/>
  <c r="L279" i="32"/>
  <c r="S279" i="32"/>
  <c r="M279" i="32"/>
  <c r="T279" i="32"/>
  <c r="L280" i="32"/>
  <c r="S280" i="32"/>
  <c r="M280" i="32"/>
  <c r="T280" i="32"/>
  <c r="L281" i="32"/>
  <c r="S281" i="32"/>
  <c r="M281" i="32"/>
  <c r="T281" i="32"/>
  <c r="L282" i="32"/>
  <c r="S282" i="32"/>
  <c r="M282" i="32"/>
  <c r="T282" i="32"/>
  <c r="L283" i="32"/>
  <c r="S283" i="32"/>
  <c r="M283" i="32"/>
  <c r="T283" i="32"/>
  <c r="L284" i="32"/>
  <c r="S284" i="32"/>
  <c r="M284" i="32"/>
  <c r="T284" i="32"/>
  <c r="L285" i="32"/>
  <c r="S285" i="32"/>
  <c r="M285" i="32"/>
  <c r="T285" i="32"/>
  <c r="L286" i="32"/>
  <c r="S286" i="32"/>
  <c r="M286" i="32"/>
  <c r="T286" i="32"/>
  <c r="L287" i="32"/>
  <c r="S287" i="32"/>
  <c r="M287" i="32"/>
  <c r="T287" i="32"/>
  <c r="L288" i="32"/>
  <c r="S288" i="32"/>
  <c r="M288" i="32"/>
  <c r="T288" i="32"/>
  <c r="L289" i="32"/>
  <c r="S289" i="32"/>
  <c r="M289" i="32"/>
  <c r="T289" i="32"/>
  <c r="L290" i="32"/>
  <c r="S290" i="32"/>
  <c r="M290" i="32"/>
  <c r="T290" i="32"/>
  <c r="L291" i="32"/>
  <c r="S291" i="32"/>
  <c r="M291" i="32"/>
  <c r="T291" i="32"/>
  <c r="L292" i="32"/>
  <c r="S292" i="32"/>
  <c r="M292" i="32"/>
  <c r="T292" i="32"/>
  <c r="L293" i="32"/>
  <c r="S293" i="32"/>
  <c r="M293" i="32"/>
  <c r="T293" i="32"/>
  <c r="L294" i="32"/>
  <c r="S294" i="32"/>
  <c r="M294" i="32"/>
  <c r="T294" i="32"/>
  <c r="L295" i="32"/>
  <c r="S295" i="32"/>
  <c r="M295" i="32"/>
  <c r="T295" i="32"/>
  <c r="L296" i="32"/>
  <c r="S296" i="32"/>
  <c r="M296" i="32"/>
  <c r="T296" i="32"/>
  <c r="L297" i="32"/>
  <c r="S297" i="32"/>
  <c r="M297" i="32"/>
  <c r="T297" i="32"/>
  <c r="L298" i="32"/>
  <c r="S298" i="32"/>
  <c r="M298" i="32"/>
  <c r="T298" i="32"/>
  <c r="L299" i="32"/>
  <c r="S299" i="32"/>
  <c r="M299" i="32"/>
  <c r="T299" i="32"/>
  <c r="L300" i="32"/>
  <c r="S300" i="32"/>
  <c r="M300" i="32"/>
  <c r="T300" i="32"/>
  <c r="L301" i="32"/>
  <c r="S301" i="32"/>
  <c r="M301" i="32"/>
  <c r="T301" i="32"/>
  <c r="L302" i="32"/>
  <c r="S302" i="32"/>
  <c r="M302" i="32"/>
  <c r="T302" i="32"/>
  <c r="L303" i="32"/>
  <c r="S303" i="32"/>
  <c r="M303" i="32"/>
  <c r="T303" i="32"/>
  <c r="L304" i="32"/>
  <c r="S304" i="32"/>
  <c r="M304" i="32"/>
  <c r="T304" i="32"/>
  <c r="L305" i="32"/>
  <c r="S305" i="32"/>
  <c r="M305" i="32"/>
  <c r="T305" i="32"/>
  <c r="L306" i="32"/>
  <c r="S306" i="32"/>
  <c r="M306" i="32"/>
  <c r="T306" i="32"/>
  <c r="L307" i="32"/>
  <c r="S307" i="32"/>
  <c r="M307" i="32"/>
  <c r="T307" i="32"/>
  <c r="L308" i="32"/>
  <c r="S308" i="32"/>
  <c r="M308" i="32"/>
  <c r="T308" i="32"/>
  <c r="L309" i="32"/>
  <c r="S309" i="32"/>
  <c r="M309" i="32"/>
  <c r="T309" i="32"/>
  <c r="L310" i="32"/>
  <c r="S310" i="32"/>
  <c r="M310" i="32"/>
  <c r="T310" i="32"/>
  <c r="L311" i="32"/>
  <c r="S311" i="32"/>
  <c r="M311" i="32"/>
  <c r="T311" i="32"/>
  <c r="L312" i="32"/>
  <c r="S312" i="32"/>
  <c r="M312" i="32"/>
  <c r="T312" i="32"/>
  <c r="L313" i="32"/>
  <c r="S313" i="32"/>
  <c r="M313" i="32"/>
  <c r="T313" i="32"/>
  <c r="L314" i="32"/>
  <c r="S314" i="32"/>
  <c r="M314" i="32"/>
  <c r="T314" i="32"/>
  <c r="L315" i="32"/>
  <c r="S315" i="32"/>
  <c r="M315" i="32"/>
  <c r="T315" i="32"/>
  <c r="L316" i="32"/>
  <c r="S316" i="32"/>
  <c r="M316" i="32"/>
  <c r="T316" i="32"/>
  <c r="L317" i="32"/>
  <c r="S317" i="32"/>
  <c r="M317" i="32"/>
  <c r="T317" i="32"/>
  <c r="L318" i="32"/>
  <c r="S318" i="32"/>
  <c r="M318" i="32"/>
  <c r="T318" i="32"/>
  <c r="L319" i="32"/>
  <c r="S319" i="32"/>
  <c r="M319" i="32"/>
  <c r="T319" i="32"/>
  <c r="L320" i="32"/>
  <c r="S320" i="32"/>
  <c r="M320" i="32"/>
  <c r="T320" i="32"/>
  <c r="L321" i="32"/>
  <c r="S321" i="32"/>
  <c r="M321" i="32"/>
  <c r="T321" i="32"/>
  <c r="L322" i="32"/>
  <c r="S322" i="32"/>
  <c r="M322" i="32"/>
  <c r="T322" i="32"/>
  <c r="L323" i="32"/>
  <c r="S323" i="32"/>
  <c r="M323" i="32"/>
  <c r="T323" i="32"/>
  <c r="L324" i="32"/>
  <c r="S324" i="32"/>
  <c r="M324" i="32"/>
  <c r="T324" i="32"/>
  <c r="L325" i="32"/>
  <c r="S325" i="32"/>
  <c r="M325" i="32"/>
  <c r="T325" i="32"/>
  <c r="L326" i="32"/>
  <c r="S326" i="32"/>
  <c r="M326" i="32"/>
  <c r="T326" i="32"/>
  <c r="L327" i="32"/>
  <c r="S327" i="32"/>
  <c r="M327" i="32"/>
  <c r="T327" i="32"/>
  <c r="L328" i="32"/>
  <c r="S328" i="32"/>
  <c r="M328" i="32"/>
  <c r="T328" i="32"/>
  <c r="L329" i="32"/>
  <c r="S329" i="32"/>
  <c r="M329" i="32"/>
  <c r="T329" i="32"/>
  <c r="L330" i="32"/>
  <c r="S330" i="32"/>
  <c r="M330" i="32"/>
  <c r="T330" i="32"/>
  <c r="L331" i="32"/>
  <c r="S331" i="32"/>
  <c r="M331" i="32"/>
  <c r="T331" i="32"/>
  <c r="L332" i="32"/>
  <c r="S332" i="32"/>
  <c r="M332" i="32"/>
  <c r="T332" i="32"/>
  <c r="L333" i="32"/>
  <c r="S333" i="32"/>
  <c r="M333" i="32"/>
  <c r="T333" i="32"/>
  <c r="L334" i="32"/>
  <c r="S334" i="32"/>
  <c r="M334" i="32"/>
  <c r="T334" i="32"/>
  <c r="L335" i="32"/>
  <c r="S335" i="32"/>
  <c r="M335" i="32"/>
  <c r="T335" i="32"/>
  <c r="L336" i="32"/>
  <c r="S336" i="32"/>
  <c r="M336" i="32"/>
  <c r="T336" i="32"/>
  <c r="L337" i="32"/>
  <c r="S337" i="32"/>
  <c r="M337" i="32"/>
  <c r="T337" i="32"/>
  <c r="L338" i="32"/>
  <c r="S338" i="32"/>
  <c r="M338" i="32"/>
  <c r="T338" i="32"/>
  <c r="L339" i="32"/>
  <c r="S339" i="32"/>
  <c r="M339" i="32"/>
  <c r="T339" i="32"/>
  <c r="L340" i="32"/>
  <c r="S340" i="32"/>
  <c r="M340" i="32"/>
  <c r="T340" i="32"/>
  <c r="L341" i="32"/>
  <c r="S341" i="32"/>
  <c r="M341" i="32"/>
  <c r="T341" i="32"/>
  <c r="L342" i="32"/>
  <c r="S342" i="32"/>
  <c r="M342" i="32"/>
  <c r="T342" i="32"/>
  <c r="L343" i="32"/>
  <c r="S343" i="32"/>
  <c r="M343" i="32"/>
  <c r="T343" i="32"/>
  <c r="L344" i="32"/>
  <c r="S344" i="32"/>
  <c r="M344" i="32"/>
  <c r="T344" i="32"/>
  <c r="L345" i="32"/>
  <c r="S345" i="32"/>
  <c r="M345" i="32"/>
  <c r="T345" i="32"/>
  <c r="L346" i="32"/>
  <c r="S346" i="32"/>
  <c r="M346" i="32"/>
  <c r="T346" i="32"/>
  <c r="L347" i="32"/>
  <c r="S347" i="32"/>
  <c r="M347" i="32"/>
  <c r="T347" i="32"/>
  <c r="L348" i="32"/>
  <c r="S348" i="32"/>
  <c r="M348" i="32"/>
  <c r="T348" i="32"/>
  <c r="L349" i="32"/>
  <c r="S349" i="32"/>
  <c r="M349" i="32"/>
  <c r="T349" i="32"/>
  <c r="L350" i="32"/>
  <c r="S350" i="32"/>
  <c r="M350" i="32"/>
  <c r="T350" i="32"/>
  <c r="L351" i="32"/>
  <c r="S351" i="32"/>
  <c r="M351" i="32"/>
  <c r="T351" i="32"/>
  <c r="L352" i="32"/>
  <c r="S352" i="32"/>
  <c r="M352" i="32"/>
  <c r="T352" i="32"/>
  <c r="L353" i="32"/>
  <c r="S353" i="32"/>
  <c r="M353" i="32"/>
  <c r="T353" i="32"/>
  <c r="L354" i="32"/>
  <c r="S354" i="32"/>
  <c r="M354" i="32"/>
  <c r="T354" i="32"/>
  <c r="L355" i="32"/>
  <c r="S355" i="32"/>
  <c r="M355" i="32"/>
  <c r="T355" i="32"/>
  <c r="L356" i="32"/>
  <c r="S356" i="32"/>
  <c r="M356" i="32"/>
  <c r="T356" i="32"/>
  <c r="L357" i="32"/>
  <c r="S357" i="32"/>
  <c r="M357" i="32"/>
  <c r="T357" i="32"/>
  <c r="L358" i="32"/>
  <c r="S358" i="32"/>
  <c r="M358" i="32"/>
  <c r="T358" i="32"/>
  <c r="L359" i="32"/>
  <c r="S359" i="32"/>
  <c r="M359" i="32"/>
  <c r="T359" i="32"/>
  <c r="L360" i="32"/>
  <c r="S360" i="32"/>
  <c r="M360" i="32"/>
  <c r="T360" i="32"/>
  <c r="L361" i="32"/>
  <c r="S361" i="32"/>
  <c r="M361" i="32"/>
  <c r="T361" i="32"/>
  <c r="L362" i="32"/>
  <c r="S362" i="32"/>
  <c r="M362" i="32"/>
  <c r="T362" i="32"/>
  <c r="L363" i="32"/>
  <c r="S363" i="32"/>
  <c r="M363" i="32"/>
  <c r="T363" i="32"/>
  <c r="L364" i="32"/>
  <c r="S364" i="32"/>
  <c r="M364" i="32"/>
  <c r="T364" i="32"/>
  <c r="L365" i="32"/>
  <c r="S365" i="32"/>
  <c r="M365" i="32"/>
  <c r="T365" i="32"/>
  <c r="L366" i="32"/>
  <c r="S366" i="32"/>
  <c r="M366" i="32"/>
  <c r="T366" i="32"/>
  <c r="L367" i="32"/>
  <c r="S367" i="32"/>
  <c r="M367" i="32"/>
  <c r="T367" i="32"/>
  <c r="L368" i="32"/>
  <c r="S368" i="32"/>
  <c r="M368" i="32"/>
  <c r="T368" i="32"/>
  <c r="L369" i="32"/>
  <c r="S369" i="32"/>
  <c r="M369" i="32"/>
  <c r="T369" i="32"/>
  <c r="L370" i="32"/>
  <c r="S370" i="32"/>
  <c r="M370" i="32"/>
  <c r="T370" i="32"/>
  <c r="L371" i="32"/>
  <c r="S371" i="32"/>
  <c r="M371" i="32"/>
  <c r="T371" i="32"/>
  <c r="L372" i="32"/>
  <c r="S372" i="32"/>
  <c r="M372" i="32"/>
  <c r="T372" i="32"/>
  <c r="L373" i="32"/>
  <c r="S373" i="32"/>
  <c r="M373" i="32"/>
  <c r="T373" i="32"/>
  <c r="L374" i="32"/>
  <c r="S374" i="32"/>
  <c r="M374" i="32"/>
  <c r="T374" i="32"/>
  <c r="L375" i="32"/>
  <c r="S375" i="32"/>
  <c r="M375" i="32"/>
  <c r="T375" i="32"/>
  <c r="L376" i="32"/>
  <c r="S376" i="32"/>
  <c r="M376" i="32"/>
  <c r="T376" i="32"/>
  <c r="L377" i="32"/>
  <c r="S377" i="32"/>
  <c r="M377" i="32"/>
  <c r="T377" i="32"/>
  <c r="L378" i="32"/>
  <c r="S378" i="32"/>
  <c r="M378" i="32"/>
  <c r="T378" i="32"/>
  <c r="L379" i="32"/>
  <c r="S379" i="32"/>
  <c r="M379" i="32"/>
  <c r="T379" i="32"/>
  <c r="L380" i="32"/>
  <c r="S380" i="32"/>
  <c r="M380" i="32"/>
  <c r="T380" i="32"/>
  <c r="L381" i="32"/>
  <c r="S381" i="32"/>
  <c r="M381" i="32"/>
  <c r="T381" i="32"/>
  <c r="L382" i="32"/>
  <c r="S382" i="32"/>
  <c r="M382" i="32"/>
  <c r="T382" i="32"/>
  <c r="L383" i="32"/>
  <c r="S383" i="32"/>
  <c r="M383" i="32"/>
  <c r="T383" i="32"/>
  <c r="L384" i="32"/>
  <c r="S384" i="32"/>
  <c r="M384" i="32"/>
  <c r="T384" i="32"/>
  <c r="L385" i="32"/>
  <c r="S385" i="32"/>
  <c r="M385" i="32"/>
  <c r="T385" i="32"/>
  <c r="L386" i="32"/>
  <c r="S386" i="32"/>
  <c r="M386" i="32"/>
  <c r="T386" i="32"/>
  <c r="L387" i="32"/>
  <c r="S387" i="32"/>
  <c r="M387" i="32"/>
  <c r="T387" i="32"/>
  <c r="L388" i="32"/>
  <c r="S388" i="32"/>
  <c r="M388" i="32"/>
  <c r="T388" i="32"/>
  <c r="L389" i="32"/>
  <c r="S389" i="32"/>
  <c r="M389" i="32"/>
  <c r="T389" i="32"/>
  <c r="L390" i="32"/>
  <c r="S390" i="32"/>
  <c r="M390" i="32"/>
  <c r="T390" i="32"/>
  <c r="L391" i="32"/>
  <c r="S391" i="32"/>
  <c r="M391" i="32"/>
  <c r="T391" i="32"/>
  <c r="L392" i="32"/>
  <c r="S392" i="32"/>
  <c r="M392" i="32"/>
  <c r="T392" i="32"/>
  <c r="L393" i="32"/>
  <c r="S393" i="32"/>
  <c r="M393" i="32"/>
  <c r="T393" i="32"/>
  <c r="L394" i="32"/>
  <c r="S394" i="32"/>
  <c r="M394" i="32"/>
  <c r="T394" i="32"/>
  <c r="L395" i="32"/>
  <c r="S395" i="32"/>
  <c r="M395" i="32"/>
  <c r="T395" i="32"/>
  <c r="L396" i="32"/>
  <c r="S396" i="32"/>
  <c r="M396" i="32"/>
  <c r="T396" i="32"/>
  <c r="L397" i="32"/>
  <c r="S397" i="32"/>
  <c r="M397" i="32"/>
  <c r="T397" i="32"/>
  <c r="L398" i="32"/>
  <c r="S398" i="32"/>
  <c r="M398" i="32"/>
  <c r="T398" i="32"/>
  <c r="L399" i="32"/>
  <c r="S399" i="32"/>
  <c r="M399" i="32"/>
  <c r="T399" i="32"/>
  <c r="L400" i="32"/>
  <c r="S400" i="32"/>
  <c r="M400" i="32"/>
  <c r="T400" i="32"/>
  <c r="L401" i="32"/>
  <c r="S401" i="32"/>
  <c r="M401" i="32"/>
  <c r="T401" i="32"/>
  <c r="L402" i="32"/>
  <c r="S402" i="32"/>
  <c r="M402" i="32"/>
  <c r="T402" i="32"/>
  <c r="L403" i="32"/>
  <c r="S403" i="32"/>
  <c r="M403" i="32"/>
  <c r="T403" i="32"/>
  <c r="L404" i="32"/>
  <c r="S404" i="32"/>
  <c r="M404" i="32"/>
  <c r="T404" i="32"/>
  <c r="L405" i="32"/>
  <c r="S405" i="32"/>
  <c r="M405" i="32"/>
  <c r="T405" i="32"/>
  <c r="L406" i="32"/>
  <c r="S406" i="32"/>
  <c r="M406" i="32"/>
  <c r="T406" i="32"/>
  <c r="L407" i="32"/>
  <c r="S407" i="32"/>
  <c r="M407" i="32"/>
  <c r="T407" i="32"/>
  <c r="L408" i="32"/>
  <c r="S408" i="32"/>
  <c r="M408" i="32"/>
  <c r="T408" i="32"/>
  <c r="L409" i="32"/>
  <c r="S409" i="32"/>
  <c r="M409" i="32"/>
  <c r="T409" i="32"/>
  <c r="L410" i="32"/>
  <c r="S410" i="32"/>
  <c r="M410" i="32"/>
  <c r="T410" i="32"/>
  <c r="L411" i="32"/>
  <c r="S411" i="32"/>
  <c r="M411" i="32"/>
  <c r="T411" i="32"/>
  <c r="L412" i="32"/>
  <c r="S412" i="32"/>
  <c r="M412" i="32"/>
  <c r="T412" i="32"/>
  <c r="L413" i="32"/>
  <c r="S413" i="32"/>
  <c r="M413" i="32"/>
  <c r="T413" i="32"/>
  <c r="L414" i="32"/>
  <c r="S414" i="32"/>
  <c r="M414" i="32"/>
  <c r="T414" i="32"/>
  <c r="L415" i="32"/>
  <c r="S415" i="32"/>
  <c r="M415" i="32"/>
  <c r="T415" i="32"/>
  <c r="L416" i="32"/>
  <c r="S416" i="32"/>
  <c r="M416" i="32"/>
  <c r="T416" i="32"/>
  <c r="L417" i="32"/>
  <c r="S417" i="32"/>
  <c r="M417" i="32"/>
  <c r="T417" i="32"/>
  <c r="L418" i="32"/>
  <c r="S418" i="32"/>
  <c r="M418" i="32"/>
  <c r="T418" i="32"/>
  <c r="L419" i="32"/>
  <c r="S419" i="32"/>
  <c r="M419" i="32"/>
  <c r="T419" i="32"/>
  <c r="L420" i="32"/>
  <c r="S420" i="32"/>
  <c r="M420" i="32"/>
  <c r="T420" i="32"/>
  <c r="L421" i="32"/>
  <c r="S421" i="32"/>
  <c r="M421" i="32"/>
  <c r="T421" i="32"/>
  <c r="S422" i="32"/>
  <c r="M422" i="32"/>
  <c r="T422" i="32"/>
  <c r="S423" i="32"/>
  <c r="M423" i="32"/>
  <c r="T423" i="32"/>
  <c r="S424" i="32"/>
  <c r="M424" i="32"/>
  <c r="T424" i="32"/>
  <c r="S425" i="32"/>
  <c r="T425" i="32"/>
  <c r="S426" i="32"/>
  <c r="M426" i="32"/>
  <c r="T426" i="32"/>
  <c r="S427" i="32"/>
  <c r="M427" i="32"/>
  <c r="T427" i="32"/>
  <c r="S428" i="32"/>
  <c r="T428" i="32"/>
  <c r="S429" i="32"/>
  <c r="T429" i="32"/>
  <c r="S430" i="32"/>
  <c r="T430" i="32"/>
  <c r="S431" i="32"/>
  <c r="T431" i="32"/>
  <c r="S432" i="32"/>
  <c r="T432" i="32"/>
  <c r="S433" i="32"/>
  <c r="T433" i="32"/>
  <c r="S434" i="32"/>
  <c r="T434" i="32"/>
  <c r="S435" i="32"/>
  <c r="T435" i="32"/>
  <c r="S436" i="32"/>
  <c r="T436" i="32"/>
  <c r="S437" i="32"/>
  <c r="T437" i="32"/>
  <c r="S438" i="32"/>
  <c r="T438" i="32"/>
  <c r="S439" i="32"/>
  <c r="T439" i="32"/>
  <c r="S440" i="32"/>
  <c r="T440" i="32"/>
  <c r="S441" i="32"/>
  <c r="T441" i="32"/>
  <c r="S442" i="32"/>
  <c r="T442" i="32"/>
  <c r="S443" i="32"/>
  <c r="T443" i="32"/>
  <c r="S444" i="32"/>
  <c r="T444" i="32"/>
  <c r="S445" i="32"/>
  <c r="T445" i="32"/>
  <c r="S446" i="32"/>
  <c r="T446" i="32"/>
  <c r="S447" i="32"/>
  <c r="T447" i="32"/>
  <c r="S448" i="32"/>
  <c r="T448" i="32"/>
  <c r="S449" i="32"/>
  <c r="T449" i="32"/>
  <c r="S450" i="32"/>
  <c r="T450" i="32"/>
  <c r="S451" i="32"/>
  <c r="T451" i="32"/>
  <c r="S452" i="32"/>
  <c r="T452" i="32"/>
  <c r="S453" i="32"/>
  <c r="T453" i="32"/>
  <c r="S454" i="32"/>
  <c r="T454" i="32"/>
  <c r="S455" i="32"/>
  <c r="T455" i="32"/>
  <c r="S456" i="32"/>
  <c r="T456" i="32"/>
  <c r="S457" i="32"/>
  <c r="T457" i="32"/>
  <c r="S458" i="32"/>
  <c r="T458" i="32"/>
  <c r="S459" i="32"/>
  <c r="T459" i="32"/>
  <c r="S460" i="32"/>
  <c r="T460" i="32"/>
  <c r="S461" i="32"/>
  <c r="T461" i="32"/>
  <c r="S462" i="32"/>
  <c r="T462" i="32"/>
  <c r="S463" i="32"/>
  <c r="T463" i="32"/>
  <c r="S464" i="32"/>
  <c r="T464" i="32"/>
  <c r="S465" i="32"/>
  <c r="T465" i="32"/>
  <c r="S466" i="32"/>
  <c r="T466" i="32"/>
  <c r="S467" i="32"/>
  <c r="T467" i="32"/>
  <c r="S468" i="32"/>
  <c r="T468" i="32"/>
  <c r="S469" i="32"/>
  <c r="T469" i="32"/>
  <c r="S470" i="32"/>
  <c r="T470" i="32"/>
  <c r="S471" i="32"/>
  <c r="T471" i="32"/>
  <c r="S472" i="32"/>
  <c r="T472" i="32"/>
  <c r="S473" i="32"/>
  <c r="T473" i="32"/>
  <c r="S474" i="32"/>
  <c r="T474" i="32"/>
  <c r="S475" i="32"/>
  <c r="T475" i="32"/>
  <c r="S476" i="32"/>
  <c r="T476" i="32"/>
  <c r="S477" i="32"/>
  <c r="T477" i="32"/>
  <c r="S478" i="32"/>
  <c r="T478" i="32"/>
  <c r="S479" i="32"/>
  <c r="T479" i="32"/>
  <c r="S480" i="32"/>
  <c r="T480" i="32"/>
  <c r="S481" i="32"/>
  <c r="T481" i="32"/>
  <c r="S482" i="32"/>
  <c r="T482" i="32"/>
  <c r="S483" i="32"/>
  <c r="T483" i="32"/>
  <c r="S484" i="32"/>
  <c r="T484" i="32"/>
  <c r="S485" i="32"/>
  <c r="T485" i="32"/>
  <c r="S486" i="32"/>
  <c r="T486" i="32"/>
  <c r="S487" i="32"/>
  <c r="T487" i="32"/>
  <c r="S488" i="32"/>
  <c r="T488" i="32"/>
  <c r="S489" i="32"/>
  <c r="T489" i="32"/>
  <c r="S490" i="32"/>
  <c r="T490" i="32"/>
  <c r="S491" i="32"/>
  <c r="T491" i="32"/>
  <c r="S492" i="32"/>
  <c r="T492" i="32"/>
  <c r="S493" i="32"/>
  <c r="T493" i="32"/>
  <c r="S494" i="32"/>
  <c r="T494" i="32"/>
  <c r="S495" i="32"/>
  <c r="T495" i="32"/>
  <c r="S496" i="32"/>
  <c r="T496" i="32"/>
  <c r="S497" i="32"/>
  <c r="T497" i="32"/>
  <c r="S498" i="32"/>
  <c r="T498" i="32"/>
  <c r="S499" i="32"/>
  <c r="T499" i="32"/>
  <c r="S500" i="32"/>
  <c r="T500" i="32"/>
  <c r="S501" i="32"/>
  <c r="T501" i="32"/>
  <c r="S502" i="32"/>
  <c r="T502" i="32"/>
  <c r="S503" i="32"/>
  <c r="T503" i="32"/>
  <c r="S504" i="32"/>
  <c r="T504" i="32"/>
  <c r="S505" i="32"/>
  <c r="T505" i="32"/>
  <c r="S506" i="32"/>
  <c r="T506" i="32"/>
  <c r="S507" i="32"/>
  <c r="T507" i="32"/>
  <c r="S508" i="32"/>
  <c r="T508" i="32"/>
  <c r="S509" i="32"/>
  <c r="T509" i="32"/>
  <c r="S510" i="32"/>
  <c r="T510" i="32"/>
  <c r="S511" i="32"/>
  <c r="T511" i="32"/>
  <c r="S512" i="32"/>
  <c r="T512" i="32"/>
  <c r="S513" i="32"/>
  <c r="T513" i="32"/>
  <c r="S514" i="32"/>
  <c r="T514" i="32"/>
  <c r="S515" i="32"/>
  <c r="T515" i="32"/>
  <c r="S516" i="32"/>
  <c r="T516" i="32"/>
  <c r="S517" i="32"/>
  <c r="T517" i="32"/>
  <c r="S518" i="32"/>
  <c r="T518" i="32"/>
  <c r="S519" i="32"/>
  <c r="T519" i="32"/>
  <c r="S520" i="32"/>
  <c r="T520" i="32"/>
  <c r="S521" i="32"/>
  <c r="T521" i="32"/>
  <c r="S522" i="32"/>
  <c r="T522" i="32"/>
  <c r="S523" i="32"/>
  <c r="T523" i="32"/>
  <c r="S524" i="32"/>
  <c r="T524" i="32"/>
  <c r="S525" i="32"/>
  <c r="T525" i="32"/>
  <c r="L4" i="32"/>
  <c r="S4" i="32"/>
  <c r="M4" i="32"/>
  <c r="T4" i="32"/>
  <c r="AK225" i="32"/>
  <c r="AL225" i="32"/>
  <c r="AK226" i="32"/>
  <c r="AL226" i="32"/>
  <c r="AK227" i="32"/>
  <c r="AL227" i="32"/>
  <c r="AK228" i="32"/>
  <c r="AL228" i="32"/>
  <c r="AK229" i="32"/>
  <c r="AL229" i="32"/>
  <c r="AK230" i="32"/>
  <c r="AL230" i="32"/>
  <c r="AK231" i="32"/>
  <c r="AL231" i="32"/>
  <c r="AK232" i="32"/>
  <c r="AL232" i="32"/>
  <c r="AK233" i="32"/>
  <c r="AL233" i="32"/>
  <c r="AK234" i="32"/>
  <c r="AL234" i="32"/>
  <c r="AK235" i="32"/>
  <c r="AL235" i="32"/>
  <c r="AK236" i="32"/>
  <c r="AL236" i="32"/>
  <c r="AK237" i="32"/>
  <c r="AL237" i="32"/>
  <c r="AK238" i="32"/>
  <c r="AL238" i="32"/>
  <c r="AK239" i="32"/>
  <c r="AL239" i="32"/>
  <c r="AK240" i="32"/>
  <c r="AL240" i="32"/>
  <c r="AK241" i="32"/>
  <c r="AL241" i="32"/>
  <c r="AK242" i="32"/>
  <c r="AL242" i="32"/>
  <c r="AK243" i="32"/>
  <c r="AL243" i="32"/>
  <c r="AK244" i="32"/>
  <c r="AL244" i="32"/>
  <c r="AK245" i="32"/>
  <c r="AL245" i="32"/>
  <c r="AK246" i="32"/>
  <c r="AL246" i="32"/>
  <c r="AK247" i="32"/>
  <c r="AL247" i="32"/>
  <c r="AK248" i="32"/>
  <c r="AL248" i="32"/>
  <c r="AK249" i="32"/>
  <c r="AL249" i="32"/>
  <c r="AK250" i="32"/>
  <c r="AL250" i="32"/>
  <c r="AK251" i="32"/>
  <c r="AL251" i="32"/>
  <c r="AK252" i="32"/>
  <c r="AL252" i="32"/>
  <c r="AK253" i="32"/>
  <c r="AL253" i="32"/>
  <c r="AK254" i="32"/>
  <c r="AL254" i="32"/>
  <c r="AK255" i="32"/>
  <c r="AL255" i="32"/>
  <c r="AK256" i="32"/>
  <c r="AL256" i="32"/>
  <c r="AK257" i="32"/>
  <c r="AL257" i="32"/>
  <c r="AK258" i="32"/>
  <c r="AL258" i="32"/>
  <c r="AK259" i="32"/>
  <c r="AL259" i="32"/>
  <c r="AK260" i="32"/>
  <c r="AL260" i="32"/>
  <c r="AK261" i="32"/>
  <c r="AL261" i="32"/>
  <c r="AK262" i="32"/>
  <c r="AL262" i="32"/>
  <c r="AK263" i="32"/>
  <c r="AL263" i="32"/>
  <c r="AK264" i="32"/>
  <c r="AL264" i="32"/>
  <c r="AK265" i="32"/>
  <c r="AL265" i="32"/>
  <c r="AK266" i="32"/>
  <c r="AL266" i="32"/>
  <c r="AK267" i="32"/>
  <c r="AL267" i="32"/>
  <c r="AK268" i="32"/>
  <c r="AL268" i="32"/>
  <c r="AK269" i="32"/>
  <c r="AL269" i="32"/>
  <c r="AK270" i="32"/>
  <c r="AL270" i="32"/>
  <c r="AK271" i="32"/>
  <c r="AL271" i="32"/>
  <c r="AK272" i="32"/>
  <c r="AL272" i="32"/>
  <c r="AK273" i="32"/>
  <c r="AL273" i="32"/>
  <c r="AK274" i="32"/>
  <c r="AL274" i="32"/>
  <c r="AK275" i="32"/>
  <c r="AL275" i="32"/>
  <c r="AK276" i="32"/>
  <c r="AL276" i="32"/>
  <c r="AK277" i="32"/>
  <c r="AL277" i="32"/>
  <c r="AK278" i="32"/>
  <c r="AL278" i="32"/>
  <c r="AK279" i="32"/>
  <c r="AL279" i="32"/>
  <c r="AK280" i="32"/>
  <c r="AL280" i="32"/>
  <c r="AK281" i="32"/>
  <c r="AL281" i="32"/>
  <c r="AK282" i="32"/>
  <c r="AL282" i="32"/>
  <c r="AK283" i="32"/>
  <c r="AL283" i="32"/>
  <c r="AK284" i="32"/>
  <c r="AL284" i="32"/>
  <c r="AK285" i="32"/>
  <c r="AL285" i="32"/>
  <c r="AK286" i="32"/>
  <c r="AL286" i="32"/>
  <c r="AK287" i="32"/>
  <c r="AL287" i="32"/>
  <c r="AK288" i="32"/>
  <c r="AL288" i="32"/>
  <c r="AK289" i="32"/>
  <c r="AL289" i="32"/>
  <c r="AK290" i="32"/>
  <c r="AL290" i="32"/>
  <c r="AK291" i="32"/>
  <c r="AL291" i="32"/>
  <c r="AK292" i="32"/>
  <c r="AL292" i="32"/>
  <c r="AK293" i="32"/>
  <c r="AL293" i="32"/>
  <c r="AK294" i="32"/>
  <c r="AL294" i="32"/>
  <c r="AK295" i="32"/>
  <c r="AL295" i="32"/>
  <c r="AK296" i="32"/>
  <c r="AL296" i="32"/>
  <c r="AK297" i="32"/>
  <c r="AL297" i="32"/>
  <c r="AK298" i="32"/>
  <c r="AL298" i="32"/>
  <c r="AK299" i="32"/>
  <c r="AL299" i="32"/>
  <c r="AK300" i="32"/>
  <c r="AL300" i="32"/>
  <c r="AK301" i="32"/>
  <c r="AL301" i="32"/>
  <c r="AK302" i="32"/>
  <c r="AL302" i="32"/>
  <c r="AK303" i="32"/>
  <c r="AL303" i="32"/>
  <c r="AK304" i="32"/>
  <c r="AL304" i="32"/>
  <c r="AK305" i="32"/>
  <c r="AL305" i="32"/>
  <c r="AK306" i="32"/>
  <c r="AL306" i="32"/>
  <c r="AK307" i="32"/>
  <c r="AL307" i="32"/>
  <c r="AK308" i="32"/>
  <c r="AL308" i="32"/>
  <c r="AK309" i="32"/>
  <c r="AL309" i="32"/>
  <c r="AK310" i="32"/>
  <c r="AL310" i="32"/>
  <c r="AK311" i="32"/>
  <c r="AL311" i="32"/>
  <c r="AK312" i="32"/>
  <c r="AL312" i="32"/>
  <c r="AK313" i="32"/>
  <c r="AL313" i="32"/>
  <c r="AK314" i="32"/>
  <c r="AL314" i="32"/>
  <c r="AK315" i="32"/>
  <c r="AL315" i="32"/>
  <c r="AK316" i="32"/>
  <c r="AL316" i="32"/>
  <c r="AK317" i="32"/>
  <c r="AL317" i="32"/>
  <c r="AK318" i="32"/>
  <c r="AL318" i="32"/>
  <c r="AK319" i="32"/>
  <c r="AL319" i="32"/>
  <c r="AK320" i="32"/>
  <c r="AL320" i="32"/>
  <c r="AK321" i="32"/>
  <c r="AL321" i="32"/>
  <c r="AK322" i="32"/>
  <c r="AL322" i="32"/>
  <c r="AK323" i="32"/>
  <c r="AL323" i="32"/>
  <c r="AK324" i="32"/>
  <c r="AL324" i="32"/>
  <c r="AK325" i="32"/>
  <c r="AL325" i="32"/>
  <c r="AK326" i="32"/>
  <c r="AL326" i="32"/>
  <c r="AK327" i="32"/>
  <c r="AL327" i="32"/>
  <c r="AK328" i="32"/>
  <c r="AL328" i="32"/>
  <c r="AK329" i="32"/>
  <c r="AL329" i="32"/>
  <c r="AK330" i="32"/>
  <c r="AL330" i="32"/>
  <c r="AK331" i="32"/>
  <c r="AL331" i="32"/>
  <c r="AK332" i="32"/>
  <c r="AL332" i="32"/>
  <c r="AK333" i="32"/>
  <c r="AL333" i="32"/>
  <c r="AK334" i="32"/>
  <c r="AL334" i="32"/>
  <c r="AK335" i="32"/>
  <c r="AL335" i="32"/>
  <c r="AK336" i="32"/>
  <c r="AL336" i="32"/>
  <c r="AK337" i="32"/>
  <c r="AL337" i="32"/>
  <c r="AK338" i="32"/>
  <c r="AL338" i="32"/>
  <c r="AK339" i="32"/>
  <c r="AL339" i="32"/>
  <c r="AK340" i="32"/>
  <c r="AL340" i="32"/>
  <c r="AK341" i="32"/>
  <c r="AL341" i="32"/>
  <c r="AK342" i="32"/>
  <c r="AL342" i="32"/>
  <c r="AK343" i="32"/>
  <c r="AL343" i="32"/>
  <c r="AK344" i="32"/>
  <c r="AL344" i="32"/>
  <c r="AK345" i="32"/>
  <c r="AL345" i="32"/>
  <c r="AK346" i="32"/>
  <c r="AL346" i="32"/>
  <c r="AK347" i="32"/>
  <c r="AL347" i="32"/>
  <c r="AK348" i="32"/>
  <c r="AL348" i="32"/>
  <c r="AK349" i="32"/>
  <c r="AL349" i="32"/>
  <c r="AK350" i="32"/>
  <c r="AL350" i="32"/>
  <c r="AK351" i="32"/>
  <c r="AL351" i="32"/>
  <c r="AK352" i="32"/>
  <c r="AL352" i="32"/>
  <c r="AK353" i="32"/>
  <c r="AL353" i="32"/>
  <c r="AK354" i="32"/>
  <c r="AL354" i="32"/>
  <c r="AK355" i="32"/>
  <c r="AL355" i="32"/>
  <c r="AK356" i="32"/>
  <c r="AL356" i="32"/>
  <c r="AK357" i="32"/>
  <c r="AL357" i="32"/>
  <c r="AK358" i="32"/>
  <c r="AL358" i="32"/>
  <c r="AK359" i="32"/>
  <c r="AL359" i="32"/>
  <c r="AK360" i="32"/>
  <c r="AL360" i="32"/>
  <c r="AK361" i="32"/>
  <c r="AL361" i="32"/>
  <c r="AK362" i="32"/>
  <c r="AL362" i="32"/>
  <c r="AK363" i="32"/>
  <c r="AL363" i="32"/>
  <c r="AK364" i="32"/>
  <c r="AL364" i="32"/>
  <c r="AK365" i="32"/>
  <c r="AL365" i="32"/>
  <c r="AK366" i="32"/>
  <c r="AL366" i="32"/>
  <c r="AK367" i="32"/>
  <c r="AL367" i="32"/>
  <c r="AK368" i="32"/>
  <c r="AL368" i="32"/>
  <c r="AK369" i="32"/>
  <c r="AL369" i="32"/>
  <c r="AK370" i="32"/>
  <c r="AL370" i="32"/>
  <c r="AK371" i="32"/>
  <c r="AL371" i="32"/>
  <c r="AK372" i="32"/>
  <c r="AL372" i="32"/>
  <c r="AK373" i="32"/>
  <c r="AL373" i="32"/>
  <c r="AK374" i="32"/>
  <c r="AL374" i="32"/>
  <c r="AK375" i="32"/>
  <c r="AL375" i="32"/>
  <c r="AK376" i="32"/>
  <c r="AL376" i="32"/>
  <c r="AK377" i="32"/>
  <c r="AL377" i="32"/>
  <c r="AK378" i="32"/>
  <c r="AL378" i="32"/>
  <c r="AK379" i="32"/>
  <c r="AL379" i="32"/>
  <c r="AK380" i="32"/>
  <c r="AL380" i="32"/>
  <c r="AK381" i="32"/>
  <c r="AL381" i="32"/>
  <c r="AK382" i="32"/>
  <c r="AL382" i="32"/>
  <c r="AK383" i="32"/>
  <c r="AL383" i="32"/>
  <c r="AK384" i="32"/>
  <c r="AL384" i="32"/>
  <c r="AK385" i="32"/>
  <c r="AL385" i="32"/>
  <c r="AK386" i="32"/>
  <c r="AL386" i="32"/>
  <c r="AK387" i="32"/>
  <c r="AL387" i="32"/>
  <c r="AK388" i="32"/>
  <c r="AL388" i="32"/>
  <c r="AK389" i="32"/>
  <c r="AL389" i="32"/>
  <c r="AK390" i="32"/>
  <c r="AL390" i="32"/>
  <c r="AK391" i="32"/>
  <c r="AL391" i="32"/>
  <c r="AK392" i="32"/>
  <c r="AL392" i="32"/>
  <c r="AK393" i="32"/>
  <c r="AL393" i="32"/>
  <c r="AK394" i="32"/>
  <c r="AL394" i="32"/>
  <c r="AK395" i="32"/>
  <c r="AL395" i="32"/>
  <c r="AK396" i="32"/>
  <c r="AL396" i="32"/>
  <c r="AK397" i="32"/>
  <c r="AL397" i="32"/>
  <c r="AK398" i="32"/>
  <c r="AL398" i="32"/>
  <c r="AK399" i="32"/>
  <c r="AL399" i="32"/>
  <c r="AK400" i="32"/>
  <c r="AL400" i="32"/>
  <c r="AK401" i="32"/>
  <c r="AL401" i="32"/>
  <c r="AK402" i="32"/>
  <c r="AL402" i="32"/>
  <c r="AK403" i="32"/>
  <c r="AL403" i="32"/>
  <c r="AK404" i="32"/>
  <c r="AL404" i="32"/>
  <c r="AK405" i="32"/>
  <c r="AL405" i="32"/>
  <c r="AK406" i="32"/>
  <c r="AL406" i="32"/>
  <c r="AK407" i="32"/>
  <c r="AL407" i="32"/>
  <c r="AK408" i="32"/>
  <c r="AL408" i="32"/>
  <c r="AK409" i="32"/>
  <c r="AL409" i="32"/>
  <c r="AK410" i="32"/>
  <c r="AL410" i="32"/>
  <c r="AK411" i="32"/>
  <c r="AL411" i="32"/>
  <c r="AK412" i="32"/>
  <c r="AL412" i="32"/>
  <c r="AK413" i="32"/>
  <c r="AL413" i="32"/>
  <c r="AK414" i="32"/>
  <c r="AL414" i="32"/>
  <c r="AK415" i="32"/>
  <c r="AL415" i="32"/>
  <c r="AK416" i="32"/>
  <c r="AL416" i="32"/>
  <c r="AK417" i="32"/>
  <c r="AL417" i="32"/>
  <c r="AK418" i="32"/>
  <c r="AL418" i="32"/>
  <c r="AK419" i="32"/>
  <c r="AL419" i="32"/>
  <c r="AK420" i="32"/>
  <c r="AL420" i="32"/>
  <c r="AK421" i="32"/>
  <c r="AL421" i="32"/>
  <c r="AK422" i="32"/>
  <c r="AL422" i="32"/>
  <c r="AK423" i="32"/>
  <c r="AL423" i="32"/>
  <c r="AK424" i="32"/>
  <c r="AL424" i="32"/>
  <c r="AK425" i="32"/>
  <c r="AL425" i="32"/>
  <c r="AK426" i="32"/>
  <c r="AL426" i="32"/>
  <c r="AK427" i="32"/>
  <c r="AL427" i="32"/>
  <c r="AK428" i="32"/>
  <c r="AL428" i="32"/>
  <c r="AK429" i="32"/>
  <c r="AL429" i="32"/>
  <c r="AK430" i="32"/>
  <c r="AL430" i="32"/>
  <c r="AK431" i="32"/>
  <c r="AL431" i="32"/>
  <c r="AK432" i="32"/>
  <c r="AL432" i="32"/>
  <c r="AK433" i="32"/>
  <c r="AL433" i="32"/>
  <c r="AK434" i="32"/>
  <c r="AL434" i="32"/>
  <c r="AK435" i="32"/>
  <c r="AL435" i="32"/>
  <c r="AK436" i="32"/>
  <c r="AL436" i="32"/>
  <c r="AK437" i="32"/>
  <c r="AL437" i="32"/>
  <c r="AK438" i="32"/>
  <c r="AL438" i="32"/>
  <c r="AK439" i="32"/>
  <c r="AL439" i="32"/>
  <c r="AK440" i="32"/>
  <c r="AL440" i="32"/>
  <c r="AK441" i="32"/>
  <c r="AL441" i="32"/>
  <c r="AK442" i="32"/>
  <c r="AL442" i="32"/>
  <c r="AK443" i="32"/>
  <c r="AL443" i="32"/>
  <c r="AL224" i="32"/>
  <c r="AK224" i="32"/>
  <c r="AK170" i="32"/>
  <c r="AL170" i="32"/>
  <c r="AK171" i="32"/>
  <c r="AL171" i="32"/>
  <c r="AK172" i="32"/>
  <c r="AL172" i="32"/>
  <c r="AK173" i="32"/>
  <c r="AL173" i="32"/>
  <c r="AK174" i="32"/>
  <c r="AL174" i="32"/>
  <c r="AK175" i="32"/>
  <c r="AL175" i="32"/>
  <c r="AK176" i="32"/>
  <c r="AL176" i="32"/>
  <c r="AK177" i="32"/>
  <c r="AL177" i="32"/>
  <c r="AK178" i="32"/>
  <c r="AL178" i="32"/>
  <c r="AK179" i="32"/>
  <c r="AL179" i="32"/>
  <c r="AK180" i="32"/>
  <c r="AL180" i="32"/>
  <c r="AK181" i="32"/>
  <c r="AL181" i="32"/>
  <c r="AK182" i="32"/>
  <c r="AL182" i="32"/>
  <c r="AK183" i="32"/>
  <c r="AL183" i="32"/>
  <c r="AK184" i="32"/>
  <c r="AL184" i="32"/>
  <c r="AK185" i="32"/>
  <c r="AL185" i="32"/>
  <c r="AK186" i="32"/>
  <c r="AL186" i="32"/>
  <c r="AK187" i="32"/>
  <c r="AL187" i="32"/>
  <c r="AK188" i="32"/>
  <c r="AL188" i="32"/>
  <c r="AK189" i="32"/>
  <c r="AL189" i="32"/>
  <c r="AK190" i="32"/>
  <c r="AL190" i="32"/>
  <c r="AK191" i="32"/>
  <c r="AL191" i="32"/>
  <c r="AK192" i="32"/>
  <c r="AL192" i="32"/>
  <c r="AK193" i="32"/>
  <c r="AL193" i="32"/>
  <c r="AK194" i="32"/>
  <c r="AL194" i="32"/>
  <c r="AK195" i="32"/>
  <c r="AL195" i="32"/>
  <c r="AK196" i="32"/>
  <c r="AL196" i="32"/>
  <c r="AK197" i="32"/>
  <c r="AL197" i="32"/>
  <c r="AK198" i="32"/>
  <c r="AL198" i="32"/>
  <c r="AK199" i="32"/>
  <c r="AL199" i="32"/>
  <c r="AK200" i="32"/>
  <c r="AL200" i="32"/>
  <c r="AK201" i="32"/>
  <c r="AL201" i="32"/>
  <c r="AK202" i="32"/>
  <c r="AL202" i="32"/>
  <c r="AK203" i="32"/>
  <c r="AL203" i="32"/>
  <c r="AK204" i="32"/>
  <c r="AL204" i="32"/>
  <c r="AK205" i="32"/>
  <c r="AL205" i="32"/>
  <c r="AK206" i="32"/>
  <c r="AL206" i="32"/>
  <c r="AK207" i="32"/>
  <c r="AL207" i="32"/>
  <c r="AK208" i="32"/>
  <c r="AL208" i="32"/>
  <c r="AK209" i="32"/>
  <c r="AL209" i="32"/>
  <c r="AK210" i="32"/>
  <c r="AL210" i="32"/>
  <c r="AK211" i="32"/>
  <c r="AL211" i="32"/>
  <c r="AK212" i="32"/>
  <c r="AL212" i="32"/>
  <c r="AK213" i="32"/>
  <c r="AL213" i="32"/>
  <c r="AK214" i="32"/>
  <c r="AL214" i="32"/>
  <c r="AK215" i="32"/>
  <c r="AL215" i="32"/>
  <c r="AK216" i="32"/>
  <c r="AL216" i="32"/>
  <c r="AK217" i="32"/>
  <c r="AL217" i="32"/>
  <c r="AK218" i="32"/>
  <c r="AL218" i="32"/>
  <c r="AK219" i="32"/>
  <c r="AL219" i="32"/>
  <c r="AK220" i="32"/>
  <c r="AL220" i="32"/>
  <c r="AK221" i="32"/>
  <c r="AL221" i="32"/>
  <c r="AK222" i="32"/>
  <c r="AL222" i="32"/>
  <c r="AK223" i="32"/>
  <c r="AL223" i="32"/>
  <c r="AK5" i="32"/>
  <c r="AL5" i="32"/>
  <c r="AK6" i="32"/>
  <c r="AL6" i="32"/>
  <c r="AK7" i="32"/>
  <c r="AL7" i="32"/>
  <c r="AK8" i="32"/>
  <c r="AL8" i="32"/>
  <c r="AK9" i="32"/>
  <c r="AL9" i="32"/>
  <c r="AK10" i="32"/>
  <c r="AL10" i="32"/>
  <c r="AK11" i="32"/>
  <c r="AL11" i="32"/>
  <c r="AK12" i="32"/>
  <c r="AL12" i="32"/>
  <c r="AK13" i="32"/>
  <c r="AL13" i="32"/>
  <c r="AK14" i="32"/>
  <c r="AL14" i="32"/>
  <c r="AK15" i="32"/>
  <c r="AL15" i="32"/>
  <c r="AK16" i="32"/>
  <c r="AL16" i="32"/>
  <c r="AK17" i="32"/>
  <c r="AL17" i="32"/>
  <c r="AK18" i="32"/>
  <c r="AL18" i="32"/>
  <c r="AK19" i="32"/>
  <c r="AL19" i="32"/>
  <c r="AK20" i="32"/>
  <c r="AL20" i="32"/>
  <c r="AK21" i="32"/>
  <c r="AL21" i="32"/>
  <c r="AK22" i="32"/>
  <c r="AL22" i="32"/>
  <c r="AK23" i="32"/>
  <c r="AL23" i="32"/>
  <c r="AK24" i="32"/>
  <c r="AL24" i="32"/>
  <c r="AK25" i="32"/>
  <c r="AL25" i="32"/>
  <c r="AK26" i="32"/>
  <c r="AL26" i="32"/>
  <c r="AK27" i="32"/>
  <c r="AL27" i="32"/>
  <c r="AK28" i="32"/>
  <c r="AL28" i="32"/>
  <c r="AK29" i="32"/>
  <c r="AL29" i="32"/>
  <c r="AK30" i="32"/>
  <c r="AL30" i="32"/>
  <c r="AK31" i="32"/>
  <c r="AL31" i="32"/>
  <c r="AK32" i="32"/>
  <c r="AL32" i="32"/>
  <c r="AK33" i="32"/>
  <c r="AL33" i="32"/>
  <c r="AK34" i="32"/>
  <c r="AL34" i="32"/>
  <c r="AK35" i="32"/>
  <c r="AL35" i="32"/>
  <c r="AK36" i="32"/>
  <c r="AL36" i="32"/>
  <c r="AK37" i="32"/>
  <c r="AL37" i="32"/>
  <c r="AK38" i="32"/>
  <c r="AL38" i="32"/>
  <c r="AK39" i="32"/>
  <c r="AL39" i="32"/>
  <c r="AK40" i="32"/>
  <c r="AL40" i="32"/>
  <c r="AK41" i="32"/>
  <c r="AL41" i="32"/>
  <c r="AK42" i="32"/>
  <c r="AL42" i="32"/>
  <c r="AK43" i="32"/>
  <c r="AL43" i="32"/>
  <c r="AK44" i="32"/>
  <c r="AL44" i="32"/>
  <c r="AK45" i="32"/>
  <c r="AL45" i="32"/>
  <c r="AK46" i="32"/>
  <c r="AL46" i="32"/>
  <c r="AK47" i="32"/>
  <c r="AL47" i="32"/>
  <c r="AK48" i="32"/>
  <c r="AL48" i="32"/>
  <c r="AK49" i="32"/>
  <c r="AL49" i="32"/>
  <c r="AK50" i="32"/>
  <c r="AL50" i="32"/>
  <c r="AK51" i="32"/>
  <c r="AL51" i="32"/>
  <c r="AK52" i="32"/>
  <c r="AL52" i="32"/>
  <c r="AK53" i="32"/>
  <c r="AL53" i="32"/>
  <c r="AK54" i="32"/>
  <c r="AL54" i="32"/>
  <c r="AK55" i="32"/>
  <c r="AL55" i="32"/>
  <c r="AK56" i="32"/>
  <c r="AL56" i="32"/>
  <c r="AK57" i="32"/>
  <c r="AL57" i="32"/>
  <c r="AK58" i="32"/>
  <c r="AL58" i="32"/>
  <c r="AK59" i="32"/>
  <c r="AL59" i="32"/>
  <c r="AK60" i="32"/>
  <c r="AL60" i="32"/>
  <c r="AK61" i="32"/>
  <c r="AL61" i="32"/>
  <c r="AK62" i="32"/>
  <c r="AL62" i="32"/>
  <c r="AK63" i="32"/>
  <c r="AL63" i="32"/>
  <c r="AK64" i="32"/>
  <c r="AL64" i="32"/>
  <c r="AK65" i="32"/>
  <c r="AL65" i="32"/>
  <c r="AK66" i="32"/>
  <c r="AL66" i="32"/>
  <c r="AK67" i="32"/>
  <c r="AL67" i="32"/>
  <c r="AK68" i="32"/>
  <c r="AL68" i="32"/>
  <c r="AK69" i="32"/>
  <c r="AL69" i="32"/>
  <c r="AK70" i="32"/>
  <c r="AL70" i="32"/>
  <c r="AK71" i="32"/>
  <c r="AL71" i="32"/>
  <c r="AK72" i="32"/>
  <c r="AL72" i="32"/>
  <c r="AK73" i="32"/>
  <c r="AL73" i="32"/>
  <c r="AK74" i="32"/>
  <c r="AL74" i="32"/>
  <c r="AK75" i="32"/>
  <c r="AL75" i="32"/>
  <c r="AK76" i="32"/>
  <c r="AL76" i="32"/>
  <c r="AK77" i="32"/>
  <c r="AL77" i="32"/>
  <c r="AK78" i="32"/>
  <c r="AL78" i="32"/>
  <c r="AK79" i="32"/>
  <c r="AL79" i="32"/>
  <c r="AK80" i="32"/>
  <c r="AL80" i="32"/>
  <c r="AK81" i="32"/>
  <c r="AL81" i="32"/>
  <c r="AK82" i="32"/>
  <c r="AL82" i="32"/>
  <c r="AK83" i="32"/>
  <c r="AL83" i="32"/>
  <c r="AK84" i="32"/>
  <c r="AL84" i="32"/>
  <c r="AK85" i="32"/>
  <c r="AL85" i="32"/>
  <c r="AK86" i="32"/>
  <c r="AL86" i="32"/>
  <c r="AK87" i="32"/>
  <c r="AL87" i="32"/>
  <c r="AK88" i="32"/>
  <c r="AL88" i="32"/>
  <c r="AK89" i="32"/>
  <c r="AL89" i="32"/>
  <c r="AK90" i="32"/>
  <c r="AL90" i="32"/>
  <c r="AK91" i="32"/>
  <c r="AL91" i="32"/>
  <c r="AK92" i="32"/>
  <c r="AL92" i="32"/>
  <c r="AK93" i="32"/>
  <c r="AL93" i="32"/>
  <c r="AK94" i="32"/>
  <c r="AL94" i="32"/>
  <c r="AK95" i="32"/>
  <c r="AL95" i="32"/>
  <c r="AK96" i="32"/>
  <c r="AL96" i="32"/>
  <c r="AK97" i="32"/>
  <c r="AL97" i="32"/>
  <c r="AK98" i="32"/>
  <c r="AL98" i="32"/>
  <c r="AK99" i="32"/>
  <c r="AL99" i="32"/>
  <c r="AK100" i="32"/>
  <c r="AL100" i="32"/>
  <c r="AK101" i="32"/>
  <c r="AL101" i="32"/>
  <c r="AK102" i="32"/>
  <c r="AL102" i="32"/>
  <c r="AK103" i="32"/>
  <c r="AL103" i="32"/>
  <c r="AK104" i="32"/>
  <c r="AL104" i="32"/>
  <c r="AK105" i="32"/>
  <c r="AL105" i="32"/>
  <c r="AK106" i="32"/>
  <c r="AL106" i="32"/>
  <c r="AK107" i="32"/>
  <c r="AL107" i="32"/>
  <c r="AK108" i="32"/>
  <c r="AL108" i="32"/>
  <c r="AK109" i="32"/>
  <c r="AL109" i="32"/>
  <c r="AK110" i="32"/>
  <c r="AL110" i="32"/>
  <c r="AK111" i="32"/>
  <c r="AL111" i="32"/>
  <c r="AK112" i="32"/>
  <c r="AL112" i="32"/>
  <c r="AK113" i="32"/>
  <c r="AL113" i="32"/>
  <c r="AK114" i="32"/>
  <c r="AL114" i="32"/>
  <c r="AK115" i="32"/>
  <c r="AL115" i="32"/>
  <c r="AK116" i="32"/>
  <c r="AL116" i="32"/>
  <c r="AK117" i="32"/>
  <c r="AL117" i="32"/>
  <c r="AK118" i="32"/>
  <c r="AL118" i="32"/>
  <c r="AK119" i="32"/>
  <c r="AL119" i="32"/>
  <c r="AK120" i="32"/>
  <c r="AL120" i="32"/>
  <c r="AK121" i="32"/>
  <c r="AL121" i="32"/>
  <c r="AK122" i="32"/>
  <c r="AL122" i="32"/>
  <c r="AK123" i="32"/>
  <c r="AL123" i="32"/>
  <c r="AK124" i="32"/>
  <c r="AL124" i="32"/>
  <c r="AK125" i="32"/>
  <c r="AL125" i="32"/>
  <c r="AK126" i="32"/>
  <c r="AL126" i="32"/>
  <c r="AK127" i="32"/>
  <c r="AL127" i="32"/>
  <c r="AK128" i="32"/>
  <c r="AL128" i="32"/>
  <c r="AK129" i="32"/>
  <c r="AL129" i="32"/>
  <c r="AK130" i="32"/>
  <c r="AL130" i="32"/>
  <c r="AK131" i="32"/>
  <c r="AL131" i="32"/>
  <c r="AK132" i="32"/>
  <c r="AL132" i="32"/>
  <c r="AK133" i="32"/>
  <c r="AL133" i="32"/>
  <c r="AK134" i="32"/>
  <c r="AL134" i="32"/>
  <c r="AK135" i="32"/>
  <c r="AL135" i="32"/>
  <c r="AK136" i="32"/>
  <c r="AL136" i="32"/>
  <c r="AK137" i="32"/>
  <c r="AL137" i="32"/>
  <c r="AK138" i="32"/>
  <c r="AL138" i="32"/>
  <c r="AK139" i="32"/>
  <c r="AL139" i="32"/>
  <c r="AK140" i="32"/>
  <c r="AL140" i="32"/>
  <c r="AK141" i="32"/>
  <c r="AL141" i="32"/>
  <c r="AK142" i="32"/>
  <c r="AL142" i="32"/>
  <c r="AK143" i="32"/>
  <c r="AL143" i="32"/>
  <c r="AK144" i="32"/>
  <c r="AL144" i="32"/>
  <c r="AK145" i="32"/>
  <c r="AL145" i="32"/>
  <c r="AK146" i="32"/>
  <c r="AL146" i="32"/>
  <c r="AK147" i="32"/>
  <c r="AL147" i="32"/>
  <c r="AK148" i="32"/>
  <c r="AL148" i="32"/>
  <c r="AK149" i="32"/>
  <c r="AL149" i="32"/>
  <c r="AK150" i="32"/>
  <c r="AL150" i="32"/>
  <c r="AK151" i="32"/>
  <c r="AL151" i="32"/>
  <c r="AK152" i="32"/>
  <c r="AL152" i="32"/>
  <c r="AK153" i="32"/>
  <c r="AL153" i="32"/>
  <c r="AK154" i="32"/>
  <c r="AL154" i="32"/>
  <c r="AK155" i="32"/>
  <c r="AL155" i="32"/>
  <c r="AK156" i="32"/>
  <c r="AL156" i="32"/>
  <c r="AK157" i="32"/>
  <c r="AL157" i="32"/>
  <c r="AK158" i="32"/>
  <c r="AL158" i="32"/>
  <c r="AK159" i="32"/>
  <c r="AL159" i="32"/>
  <c r="AK160" i="32"/>
  <c r="AL160" i="32"/>
  <c r="AK161" i="32"/>
  <c r="AL161" i="32"/>
  <c r="AK162" i="32"/>
  <c r="AL162" i="32"/>
  <c r="AK163" i="32"/>
  <c r="AL163" i="32"/>
  <c r="AK164" i="32"/>
  <c r="AL164" i="32"/>
  <c r="AK165" i="32"/>
  <c r="AL165" i="32"/>
  <c r="AK166" i="32"/>
  <c r="AL166" i="32"/>
  <c r="AK167" i="32"/>
  <c r="AL167" i="32"/>
  <c r="AK168" i="32"/>
  <c r="AL168" i="32"/>
  <c r="AK169" i="32"/>
  <c r="AL169" i="32"/>
  <c r="AL4" i="32"/>
  <c r="AK4" i="32"/>
  <c r="Q5" i="32"/>
  <c r="Q6" i="32"/>
  <c r="Q7" i="32"/>
  <c r="Q8" i="32"/>
  <c r="Q9" i="32"/>
  <c r="Q10" i="32"/>
  <c r="Q11" i="32"/>
  <c r="Q12" i="32"/>
  <c r="Q13" i="32"/>
  <c r="Q14" i="32"/>
  <c r="Q15" i="32"/>
  <c r="Q16" i="32"/>
  <c r="Q17" i="32"/>
  <c r="Q18" i="32"/>
  <c r="Q19" i="32"/>
  <c r="Q20" i="32"/>
  <c r="Q21" i="32"/>
  <c r="Q22" i="32"/>
  <c r="Q23" i="32"/>
  <c r="Q24" i="32"/>
  <c r="Q25" i="32"/>
  <c r="Q26" i="32"/>
  <c r="Q27" i="32"/>
  <c r="Q28" i="32"/>
  <c r="Q29" i="32"/>
  <c r="Q30" i="32"/>
  <c r="Q31" i="32"/>
  <c r="Q32" i="32"/>
  <c r="Q33" i="32"/>
  <c r="Q34" i="32"/>
  <c r="Q35" i="32"/>
  <c r="Q36" i="32"/>
  <c r="Q37" i="32"/>
  <c r="Q38" i="32"/>
  <c r="Q39" i="32"/>
  <c r="Q40" i="32"/>
  <c r="Q41" i="32"/>
  <c r="Q42" i="32"/>
  <c r="Q43" i="32"/>
  <c r="Q44" i="32"/>
  <c r="Q45" i="32"/>
  <c r="Q46" i="32"/>
  <c r="Q47" i="32"/>
  <c r="Q48" i="32"/>
  <c r="Q49" i="32"/>
  <c r="Q50" i="32"/>
  <c r="Q51" i="32"/>
  <c r="Q52" i="32"/>
  <c r="Q53" i="32"/>
  <c r="Q54" i="32"/>
  <c r="Q55" i="32"/>
  <c r="Q56" i="32"/>
  <c r="Q57" i="32"/>
  <c r="Q58" i="32"/>
  <c r="Q59" i="32"/>
  <c r="Q60" i="32"/>
  <c r="Q61" i="32"/>
  <c r="Q62" i="32"/>
  <c r="Q63" i="32"/>
  <c r="Q64" i="32"/>
  <c r="Q65" i="32"/>
  <c r="Q66" i="32"/>
  <c r="Q67" i="32"/>
  <c r="Q68" i="32"/>
  <c r="Q69" i="32"/>
  <c r="Q70" i="32"/>
  <c r="Q71" i="32"/>
  <c r="Q72" i="32"/>
  <c r="Q73" i="32"/>
  <c r="Q74" i="32"/>
  <c r="Q75" i="32"/>
  <c r="Q76" i="32"/>
  <c r="Q77" i="32"/>
  <c r="Q78" i="32"/>
  <c r="Q79" i="32"/>
  <c r="Q80" i="32"/>
  <c r="Q81" i="32"/>
  <c r="Q82" i="32"/>
  <c r="Q83" i="32"/>
  <c r="Q84" i="32"/>
  <c r="Q85" i="32"/>
  <c r="Q86" i="32"/>
  <c r="Q87" i="32"/>
  <c r="Q88" i="32"/>
  <c r="Q89" i="32"/>
  <c r="Q90" i="32"/>
  <c r="Q91" i="32"/>
  <c r="Q92" i="32"/>
  <c r="Q93" i="32"/>
  <c r="Q94" i="32"/>
  <c r="Q95" i="32"/>
  <c r="Q96" i="32"/>
  <c r="Q97" i="32"/>
  <c r="Q98" i="32"/>
  <c r="Q99" i="32"/>
  <c r="Q100" i="32"/>
  <c r="Q101" i="32"/>
  <c r="Q102" i="32"/>
  <c r="Q103" i="32"/>
  <c r="Q104" i="32"/>
  <c r="Q105" i="32"/>
  <c r="Q106" i="32"/>
  <c r="Q107" i="32"/>
  <c r="Q108" i="32"/>
  <c r="Q109" i="32"/>
  <c r="Q110" i="32"/>
  <c r="Q111" i="32"/>
  <c r="Q112" i="32"/>
  <c r="Q113" i="32"/>
  <c r="Q114" i="32"/>
  <c r="Q115" i="32"/>
  <c r="Q116" i="32"/>
  <c r="Q117" i="32"/>
  <c r="Q118" i="32"/>
  <c r="Q119" i="32"/>
  <c r="Q120" i="32"/>
  <c r="Q121" i="32"/>
  <c r="Q122" i="32"/>
  <c r="Q123" i="32"/>
  <c r="Q124" i="32"/>
  <c r="Q125" i="32"/>
  <c r="Q126" i="32"/>
  <c r="Q127" i="32"/>
  <c r="Q128" i="32"/>
  <c r="Q129" i="32"/>
  <c r="Q130" i="32"/>
  <c r="Q131" i="32"/>
  <c r="Q132" i="32"/>
  <c r="Q133" i="32"/>
  <c r="Q134" i="32"/>
  <c r="Q135" i="32"/>
  <c r="Q136" i="32"/>
  <c r="Q137" i="32"/>
  <c r="Q138" i="32"/>
  <c r="Q139" i="32"/>
  <c r="Q140" i="32"/>
  <c r="Q141" i="32"/>
  <c r="Q142" i="32"/>
  <c r="Q143" i="32"/>
  <c r="Q144" i="32"/>
  <c r="Q145" i="32"/>
  <c r="Q146" i="32"/>
  <c r="Q147" i="32"/>
  <c r="Q148" i="32"/>
  <c r="Q149" i="32"/>
  <c r="Q150" i="32"/>
  <c r="Q151" i="32"/>
  <c r="Q152" i="32"/>
  <c r="Q153" i="32"/>
  <c r="Q154" i="32"/>
  <c r="Q155" i="32"/>
  <c r="Q156" i="32"/>
  <c r="Q157" i="32"/>
  <c r="Q158" i="32"/>
  <c r="Q159" i="32"/>
  <c r="Q160" i="32"/>
  <c r="Q161" i="32"/>
  <c r="Q162" i="32"/>
  <c r="Q163" i="32"/>
  <c r="Q164" i="32"/>
  <c r="Q165" i="32"/>
  <c r="Q166" i="32"/>
  <c r="Q167" i="32"/>
  <c r="Q168" i="32"/>
  <c r="Q169" i="32"/>
  <c r="Q170" i="32"/>
  <c r="Q171" i="32"/>
  <c r="Q172" i="32"/>
  <c r="Q173" i="32"/>
  <c r="Q174" i="32"/>
  <c r="Q175" i="32"/>
  <c r="Q176" i="32"/>
  <c r="Q177" i="32"/>
  <c r="Q178" i="32"/>
  <c r="Q179" i="32"/>
  <c r="Q180" i="32"/>
  <c r="Q181" i="32"/>
  <c r="Q182" i="32"/>
  <c r="Q183" i="32"/>
  <c r="Q184" i="32"/>
  <c r="Q185" i="32"/>
  <c r="Q186" i="32"/>
  <c r="Q187" i="32"/>
  <c r="Q188" i="32"/>
  <c r="Q189" i="32"/>
  <c r="Q190" i="32"/>
  <c r="Q191" i="32"/>
  <c r="Q192" i="32"/>
  <c r="Q193" i="32"/>
  <c r="Q194" i="32"/>
  <c r="Q195" i="32"/>
  <c r="Q196" i="32"/>
  <c r="Q197" i="32"/>
  <c r="Q198" i="32"/>
  <c r="Q199" i="32"/>
  <c r="Q200" i="32"/>
  <c r="Q201" i="32"/>
  <c r="Q202" i="32"/>
  <c r="Q203" i="32"/>
  <c r="Q204" i="32"/>
  <c r="Q205" i="32"/>
  <c r="Q206" i="32"/>
  <c r="Q207" i="32"/>
  <c r="Q208" i="32"/>
  <c r="Q209" i="32"/>
  <c r="Q210" i="32"/>
  <c r="Q211" i="32"/>
  <c r="Q212" i="32"/>
  <c r="Q213" i="32"/>
  <c r="Q214" i="32"/>
  <c r="Q215" i="32"/>
  <c r="Q216" i="32"/>
  <c r="Q217" i="32"/>
  <c r="Q218" i="32"/>
  <c r="Q219" i="32"/>
  <c r="Q220" i="32"/>
  <c r="Q221" i="32"/>
  <c r="Q222" i="32"/>
  <c r="Q223" i="32"/>
  <c r="Q224" i="32"/>
  <c r="Q225" i="32"/>
  <c r="Q226" i="32"/>
  <c r="Q227" i="32"/>
  <c r="Q228" i="32"/>
  <c r="Q229" i="32"/>
  <c r="Q230" i="32"/>
  <c r="Q231" i="32"/>
  <c r="Q232" i="32"/>
  <c r="Q233" i="32"/>
  <c r="Q234" i="32"/>
  <c r="Q235" i="32"/>
  <c r="Q236" i="32"/>
  <c r="Q237" i="32"/>
  <c r="Q238" i="32"/>
  <c r="Q239" i="32"/>
  <c r="Q240" i="32"/>
  <c r="Q241" i="32"/>
  <c r="Q242" i="32"/>
  <c r="Q243" i="32"/>
  <c r="Q244" i="32"/>
  <c r="Q245" i="32"/>
  <c r="Q246" i="32"/>
  <c r="Q247" i="32"/>
  <c r="Q248" i="32"/>
  <c r="Q249" i="32"/>
  <c r="Q250" i="32"/>
  <c r="Q251" i="32"/>
  <c r="Q252" i="32"/>
  <c r="Q253" i="32"/>
  <c r="Q254" i="32"/>
  <c r="Q255" i="32"/>
  <c r="Q256" i="32"/>
  <c r="Q257" i="32"/>
  <c r="Q258" i="32"/>
  <c r="Q259" i="32"/>
  <c r="Q260" i="32"/>
  <c r="Q261" i="32"/>
  <c r="Q262" i="32"/>
  <c r="Q263" i="32"/>
  <c r="Q264" i="32"/>
  <c r="Q265" i="32"/>
  <c r="Q266" i="32"/>
  <c r="Q267" i="32"/>
  <c r="Q268" i="32"/>
  <c r="Q269" i="32"/>
  <c r="Q270" i="32"/>
  <c r="Q271" i="32"/>
  <c r="Q272" i="32"/>
  <c r="Q273" i="32"/>
  <c r="Q274" i="32"/>
  <c r="Q275" i="32"/>
  <c r="Q276" i="32"/>
  <c r="Q277" i="32"/>
  <c r="Q278" i="32"/>
  <c r="Q279" i="32"/>
  <c r="Q280" i="32"/>
  <c r="Q281" i="32"/>
  <c r="Q282" i="32"/>
  <c r="Q283" i="32"/>
  <c r="Q284" i="32"/>
  <c r="Q285" i="32"/>
  <c r="Q286" i="32"/>
  <c r="Q287" i="32"/>
  <c r="Q288" i="32"/>
  <c r="Q289" i="32"/>
  <c r="Q290" i="32"/>
  <c r="Q291" i="32"/>
  <c r="Q292" i="32"/>
  <c r="Q293" i="32"/>
  <c r="Q294" i="32"/>
  <c r="Q295" i="32"/>
  <c r="Q296" i="32"/>
  <c r="Q297" i="32"/>
  <c r="Q298" i="32"/>
  <c r="Q299" i="32"/>
  <c r="Q300" i="32"/>
  <c r="Q301" i="32"/>
  <c r="Q302" i="32"/>
  <c r="Q303" i="32"/>
  <c r="Q304" i="32"/>
  <c r="Q305" i="32"/>
  <c r="Q306" i="32"/>
  <c r="Q307" i="32"/>
  <c r="Q308" i="32"/>
  <c r="Q309" i="32"/>
  <c r="Q310" i="32"/>
  <c r="Q311" i="32"/>
  <c r="Q312" i="32"/>
  <c r="Q313" i="32"/>
  <c r="Q314" i="32"/>
  <c r="Q315" i="32"/>
  <c r="Q316" i="32"/>
  <c r="Q317" i="32"/>
  <c r="Q318" i="32"/>
  <c r="Q319" i="32"/>
  <c r="Q320" i="32"/>
  <c r="Q321" i="32"/>
  <c r="Q322" i="32"/>
  <c r="Q323" i="32"/>
  <c r="Q324" i="32"/>
  <c r="Q325" i="32"/>
  <c r="Q326" i="32"/>
  <c r="Q327" i="32"/>
  <c r="Q328" i="32"/>
  <c r="Q329" i="32"/>
  <c r="Q330" i="32"/>
  <c r="Q331" i="32"/>
  <c r="Q332" i="32"/>
  <c r="Q333" i="32"/>
  <c r="Q334" i="32"/>
  <c r="Q335" i="32"/>
  <c r="Q336" i="32"/>
  <c r="Q337" i="32"/>
  <c r="Q338" i="32"/>
  <c r="Q339" i="32"/>
  <c r="Q340" i="32"/>
  <c r="Q341" i="32"/>
  <c r="Q342" i="32"/>
  <c r="Q343" i="32"/>
  <c r="Q344" i="32"/>
  <c r="Q345" i="32"/>
  <c r="Q346" i="32"/>
  <c r="Q347" i="32"/>
  <c r="Q348" i="32"/>
  <c r="Q349" i="32"/>
  <c r="Q350" i="32"/>
  <c r="Q351" i="32"/>
  <c r="Q352" i="32"/>
  <c r="Q353" i="32"/>
  <c r="Q354" i="32"/>
  <c r="Q355" i="32"/>
  <c r="Q356" i="32"/>
  <c r="Q357" i="32"/>
  <c r="Q358" i="32"/>
  <c r="Q359" i="32"/>
  <c r="Q360" i="32"/>
  <c r="Q361" i="32"/>
  <c r="Q362" i="32"/>
  <c r="Q363" i="32"/>
  <c r="Q364" i="32"/>
  <c r="Q365" i="32"/>
  <c r="Q366" i="32"/>
  <c r="Q367" i="32"/>
  <c r="Q368" i="32"/>
  <c r="Q369" i="32"/>
  <c r="Q370" i="32"/>
  <c r="Q371" i="32"/>
  <c r="Q372" i="32"/>
  <c r="Q373" i="32"/>
  <c r="Q374" i="32"/>
  <c r="Q375" i="32"/>
  <c r="Q376" i="32"/>
  <c r="Q377" i="32"/>
  <c r="Q378" i="32"/>
  <c r="Q379" i="32"/>
  <c r="Q380" i="32"/>
  <c r="Q381" i="32"/>
  <c r="Q382" i="32"/>
  <c r="Q383" i="32"/>
  <c r="Q384" i="32"/>
  <c r="Q385" i="32"/>
  <c r="Q386" i="32"/>
  <c r="Q387" i="32"/>
  <c r="Q388" i="32"/>
  <c r="Q389" i="32"/>
  <c r="Q390" i="32"/>
  <c r="Q391" i="32"/>
  <c r="Q392" i="32"/>
  <c r="Q393" i="32"/>
  <c r="Q394" i="32"/>
  <c r="Q395" i="32"/>
  <c r="Q396" i="32"/>
  <c r="Q397" i="32"/>
  <c r="Q398" i="32"/>
  <c r="Q399" i="32"/>
  <c r="Q400" i="32"/>
  <c r="Q401" i="32"/>
  <c r="Q402" i="32"/>
  <c r="Q403" i="32"/>
  <c r="Q404" i="32"/>
  <c r="Q405" i="32"/>
  <c r="Q406" i="32"/>
  <c r="Q407" i="32"/>
  <c r="Q408" i="32"/>
  <c r="Q409" i="32"/>
  <c r="Q410" i="32"/>
  <c r="Q411" i="32"/>
  <c r="Q412" i="32"/>
  <c r="Q413" i="32"/>
  <c r="Q414" i="32"/>
  <c r="Q415" i="32"/>
  <c r="Q416" i="32"/>
  <c r="Q417" i="32"/>
  <c r="Q418" i="32"/>
  <c r="Q419" i="32"/>
  <c r="Q420" i="32"/>
  <c r="Q421" i="32"/>
  <c r="Q422" i="32"/>
  <c r="Q423" i="32"/>
  <c r="Q424" i="32"/>
  <c r="Q425" i="32"/>
  <c r="Q426" i="32"/>
  <c r="Q427" i="32"/>
  <c r="Q4" i="32"/>
  <c r="P5" i="32"/>
  <c r="P6" i="32"/>
  <c r="P7" i="32"/>
  <c r="P8" i="32"/>
  <c r="P9" i="32"/>
  <c r="P10" i="32"/>
  <c r="P11" i="32"/>
  <c r="P12" i="32"/>
  <c r="P13" i="32"/>
  <c r="P14" i="32"/>
  <c r="P15" i="32"/>
  <c r="P16" i="32"/>
  <c r="P17" i="32"/>
  <c r="P18" i="32"/>
  <c r="P19" i="32"/>
  <c r="P20" i="32"/>
  <c r="P21" i="32"/>
  <c r="P22" i="32"/>
  <c r="P23" i="32"/>
  <c r="P24" i="32"/>
  <c r="P25" i="32"/>
  <c r="P26" i="32"/>
  <c r="P27" i="32"/>
  <c r="P28" i="32"/>
  <c r="P29" i="32"/>
  <c r="P30" i="32"/>
  <c r="P31" i="32"/>
  <c r="P32" i="32"/>
  <c r="P33" i="32"/>
  <c r="P34" i="32"/>
  <c r="P35" i="32"/>
  <c r="P36" i="32"/>
  <c r="P37" i="32"/>
  <c r="P38" i="32"/>
  <c r="P39" i="32"/>
  <c r="P40" i="32"/>
  <c r="P41" i="32"/>
  <c r="P42" i="32"/>
  <c r="P43" i="32"/>
  <c r="P44" i="32"/>
  <c r="P45" i="32"/>
  <c r="P46" i="32"/>
  <c r="P47" i="32"/>
  <c r="P48" i="32"/>
  <c r="P49" i="32"/>
  <c r="P50" i="32"/>
  <c r="P51" i="32"/>
  <c r="P52" i="32"/>
  <c r="P53" i="32"/>
  <c r="P54" i="32"/>
  <c r="P55" i="32"/>
  <c r="P56" i="32"/>
  <c r="P57" i="32"/>
  <c r="P58" i="32"/>
  <c r="P59" i="32"/>
  <c r="P60" i="32"/>
  <c r="P61" i="32"/>
  <c r="P62" i="32"/>
  <c r="P63" i="32"/>
  <c r="P64" i="32"/>
  <c r="P65" i="32"/>
  <c r="P66" i="32"/>
  <c r="P67" i="32"/>
  <c r="P68" i="32"/>
  <c r="P69" i="32"/>
  <c r="P70" i="32"/>
  <c r="P71" i="32"/>
  <c r="P72" i="32"/>
  <c r="P73" i="32"/>
  <c r="P74" i="32"/>
  <c r="P75" i="32"/>
  <c r="P76" i="32"/>
  <c r="P77" i="32"/>
  <c r="P78" i="32"/>
  <c r="P79" i="32"/>
  <c r="P80" i="32"/>
  <c r="P81" i="32"/>
  <c r="P82" i="32"/>
  <c r="P83" i="32"/>
  <c r="P84" i="32"/>
  <c r="P85" i="32"/>
  <c r="P86" i="32"/>
  <c r="P87" i="32"/>
  <c r="P88" i="32"/>
  <c r="P89" i="32"/>
  <c r="P90" i="32"/>
  <c r="P91" i="32"/>
  <c r="P92" i="32"/>
  <c r="P93" i="32"/>
  <c r="P94" i="32"/>
  <c r="P95" i="32"/>
  <c r="P96" i="32"/>
  <c r="P97" i="32"/>
  <c r="P98" i="32"/>
  <c r="P99" i="32"/>
  <c r="P100" i="32"/>
  <c r="P101" i="32"/>
  <c r="P102" i="32"/>
  <c r="P103" i="32"/>
  <c r="P104" i="32"/>
  <c r="P105" i="32"/>
  <c r="P106" i="32"/>
  <c r="P107" i="32"/>
  <c r="P108" i="32"/>
  <c r="P109" i="32"/>
  <c r="P110" i="32"/>
  <c r="P111" i="32"/>
  <c r="P112" i="32"/>
  <c r="P113" i="32"/>
  <c r="P114" i="32"/>
  <c r="P115" i="32"/>
  <c r="P116" i="32"/>
  <c r="P117" i="32"/>
  <c r="P118" i="32"/>
  <c r="P119" i="32"/>
  <c r="P120" i="32"/>
  <c r="P121" i="32"/>
  <c r="P122" i="32"/>
  <c r="P123" i="32"/>
  <c r="P124" i="32"/>
  <c r="P125" i="32"/>
  <c r="P126" i="32"/>
  <c r="P127" i="32"/>
  <c r="P128" i="32"/>
  <c r="P129" i="32"/>
  <c r="P130" i="32"/>
  <c r="P131" i="32"/>
  <c r="P132" i="32"/>
  <c r="P133" i="32"/>
  <c r="P134" i="32"/>
  <c r="P135" i="32"/>
  <c r="P136" i="32"/>
  <c r="P137" i="32"/>
  <c r="P138" i="32"/>
  <c r="P139" i="32"/>
  <c r="P140" i="32"/>
  <c r="P141" i="32"/>
  <c r="P142" i="32"/>
  <c r="P143" i="32"/>
  <c r="P144" i="32"/>
  <c r="P145" i="32"/>
  <c r="P146" i="32"/>
  <c r="P147" i="32"/>
  <c r="P148" i="32"/>
  <c r="P149" i="32"/>
  <c r="P150" i="32"/>
  <c r="P151" i="32"/>
  <c r="P152" i="32"/>
  <c r="P153" i="32"/>
  <c r="P154" i="32"/>
  <c r="P155" i="32"/>
  <c r="P156" i="32"/>
  <c r="P157" i="32"/>
  <c r="P158" i="32"/>
  <c r="P159" i="32"/>
  <c r="P160" i="32"/>
  <c r="P161" i="32"/>
  <c r="P162" i="32"/>
  <c r="P163" i="32"/>
  <c r="P164" i="32"/>
  <c r="P165" i="32"/>
  <c r="P166" i="32"/>
  <c r="P167" i="32"/>
  <c r="P168" i="32"/>
  <c r="P169" i="32"/>
  <c r="P170" i="32"/>
  <c r="P171" i="32"/>
  <c r="P172" i="32"/>
  <c r="P173" i="32"/>
  <c r="P174" i="32"/>
  <c r="P175" i="32"/>
  <c r="P176" i="32"/>
  <c r="P177" i="32"/>
  <c r="P178" i="32"/>
  <c r="P179" i="32"/>
  <c r="P180" i="32"/>
  <c r="P181" i="32"/>
  <c r="P182" i="32"/>
  <c r="P183" i="32"/>
  <c r="P184" i="32"/>
  <c r="P185" i="32"/>
  <c r="P186" i="32"/>
  <c r="P187" i="32"/>
  <c r="P188" i="32"/>
  <c r="P189" i="32"/>
  <c r="P190" i="32"/>
  <c r="P191" i="32"/>
  <c r="P192" i="32"/>
  <c r="P193" i="32"/>
  <c r="P194" i="32"/>
  <c r="P195" i="32"/>
  <c r="P196" i="32"/>
  <c r="P197" i="32"/>
  <c r="P198" i="32"/>
  <c r="P199" i="32"/>
  <c r="P200" i="32"/>
  <c r="P201" i="32"/>
  <c r="P202" i="32"/>
  <c r="P203" i="32"/>
  <c r="P204" i="32"/>
  <c r="P205" i="32"/>
  <c r="P206" i="32"/>
  <c r="P207" i="32"/>
  <c r="P208" i="32"/>
  <c r="P209" i="32"/>
  <c r="P210" i="32"/>
  <c r="P211" i="32"/>
  <c r="P212" i="32"/>
  <c r="P213" i="32"/>
  <c r="P214" i="32"/>
  <c r="P215" i="32"/>
  <c r="P216" i="32"/>
  <c r="P217" i="32"/>
  <c r="P218" i="32"/>
  <c r="P219" i="32"/>
  <c r="P220" i="32"/>
  <c r="P221" i="32"/>
  <c r="P222" i="32"/>
  <c r="P223" i="32"/>
  <c r="P224" i="32"/>
  <c r="P225" i="32"/>
  <c r="P226" i="32"/>
  <c r="P227" i="32"/>
  <c r="P228" i="32"/>
  <c r="P229" i="32"/>
  <c r="P230" i="32"/>
  <c r="P231" i="32"/>
  <c r="P232" i="32"/>
  <c r="P233" i="32"/>
  <c r="P234" i="32"/>
  <c r="P235" i="32"/>
  <c r="P236" i="32"/>
  <c r="P237" i="32"/>
  <c r="P238" i="32"/>
  <c r="P239" i="32"/>
  <c r="P240" i="32"/>
  <c r="P241" i="32"/>
  <c r="P242" i="32"/>
  <c r="P243" i="32"/>
  <c r="P244" i="32"/>
  <c r="P245" i="32"/>
  <c r="P246" i="32"/>
  <c r="P247" i="32"/>
  <c r="P248" i="32"/>
  <c r="P249" i="32"/>
  <c r="P250" i="32"/>
  <c r="P251" i="32"/>
  <c r="P252" i="32"/>
  <c r="P253" i="32"/>
  <c r="P254" i="32"/>
  <c r="P255" i="32"/>
  <c r="P256" i="32"/>
  <c r="P257" i="32"/>
  <c r="P258" i="32"/>
  <c r="P259" i="32"/>
  <c r="P260" i="32"/>
  <c r="P261" i="32"/>
  <c r="P262" i="32"/>
  <c r="P263" i="32"/>
  <c r="P264" i="32"/>
  <c r="P265" i="32"/>
  <c r="P266" i="32"/>
  <c r="P267" i="32"/>
  <c r="P268" i="32"/>
  <c r="P269" i="32"/>
  <c r="P270" i="32"/>
  <c r="P271" i="32"/>
  <c r="P272" i="32"/>
  <c r="P273" i="32"/>
  <c r="P274" i="32"/>
  <c r="P275" i="32"/>
  <c r="P276" i="32"/>
  <c r="P277" i="32"/>
  <c r="P278" i="32"/>
  <c r="P279" i="32"/>
  <c r="P280" i="32"/>
  <c r="P281" i="32"/>
  <c r="P282" i="32"/>
  <c r="P283" i="32"/>
  <c r="P284" i="32"/>
  <c r="P285" i="32"/>
  <c r="P286" i="32"/>
  <c r="P287" i="32"/>
  <c r="P288" i="32"/>
  <c r="P289" i="32"/>
  <c r="P290" i="32"/>
  <c r="P291" i="32"/>
  <c r="P292" i="32"/>
  <c r="P293" i="32"/>
  <c r="P294" i="32"/>
  <c r="P295" i="32"/>
  <c r="P296" i="32"/>
  <c r="P297" i="32"/>
  <c r="P298" i="32"/>
  <c r="P299" i="32"/>
  <c r="P300" i="32"/>
  <c r="P301" i="32"/>
  <c r="P302" i="32"/>
  <c r="P303" i="32"/>
  <c r="P304" i="32"/>
  <c r="P305" i="32"/>
  <c r="P306" i="32"/>
  <c r="P307" i="32"/>
  <c r="P308" i="32"/>
  <c r="P309" i="32"/>
  <c r="P310" i="32"/>
  <c r="P311" i="32"/>
  <c r="P312" i="32"/>
  <c r="P313" i="32"/>
  <c r="P314" i="32"/>
  <c r="P315" i="32"/>
  <c r="P316" i="32"/>
  <c r="P317" i="32"/>
  <c r="P318" i="32"/>
  <c r="P319" i="32"/>
  <c r="P320" i="32"/>
  <c r="P321" i="32"/>
  <c r="P322" i="32"/>
  <c r="P323" i="32"/>
  <c r="P324" i="32"/>
  <c r="P325" i="32"/>
  <c r="P326" i="32"/>
  <c r="P327" i="32"/>
  <c r="P328" i="32"/>
  <c r="P329" i="32"/>
  <c r="P330" i="32"/>
  <c r="P331" i="32"/>
  <c r="P332" i="32"/>
  <c r="P333" i="32"/>
  <c r="P334" i="32"/>
  <c r="P335" i="32"/>
  <c r="P336" i="32"/>
  <c r="P337" i="32"/>
  <c r="P338" i="32"/>
  <c r="P339" i="32"/>
  <c r="P340" i="32"/>
  <c r="P341" i="32"/>
  <c r="P342" i="32"/>
  <c r="P343" i="32"/>
  <c r="P344" i="32"/>
  <c r="P345" i="32"/>
  <c r="P346" i="32"/>
  <c r="P347" i="32"/>
  <c r="P348" i="32"/>
  <c r="P349" i="32"/>
  <c r="P350" i="32"/>
  <c r="P351" i="32"/>
  <c r="P352" i="32"/>
  <c r="P353" i="32"/>
  <c r="P354" i="32"/>
  <c r="P355" i="32"/>
  <c r="P356" i="32"/>
  <c r="P357" i="32"/>
  <c r="P358" i="32"/>
  <c r="P359" i="32"/>
  <c r="P360" i="32"/>
  <c r="P361" i="32"/>
  <c r="P362" i="32"/>
  <c r="P363" i="32"/>
  <c r="P364" i="32"/>
  <c r="P365" i="32"/>
  <c r="P366" i="32"/>
  <c r="P367" i="32"/>
  <c r="P368" i="32"/>
  <c r="P369" i="32"/>
  <c r="P370" i="32"/>
  <c r="P371" i="32"/>
  <c r="P372" i="32"/>
  <c r="P373" i="32"/>
  <c r="P374" i="32"/>
  <c r="P375" i="32"/>
  <c r="P376" i="32"/>
  <c r="P377" i="32"/>
  <c r="P378" i="32"/>
  <c r="P379" i="32"/>
  <c r="P380" i="32"/>
  <c r="P381" i="32"/>
  <c r="P382" i="32"/>
  <c r="P383" i="32"/>
  <c r="P384" i="32"/>
  <c r="P385" i="32"/>
  <c r="P386" i="32"/>
  <c r="P387" i="32"/>
  <c r="P388" i="32"/>
  <c r="P389" i="32"/>
  <c r="P390" i="32"/>
  <c r="P391" i="32"/>
  <c r="P392" i="32"/>
  <c r="P393" i="32"/>
  <c r="P394" i="32"/>
  <c r="P395" i="32"/>
  <c r="P396" i="32"/>
  <c r="P397" i="32"/>
  <c r="P398" i="32"/>
  <c r="P399" i="32"/>
  <c r="P400" i="32"/>
  <c r="P401" i="32"/>
  <c r="P402" i="32"/>
  <c r="P403" i="32"/>
  <c r="P404" i="32"/>
  <c r="P405" i="32"/>
  <c r="P406" i="32"/>
  <c r="P407" i="32"/>
  <c r="P408" i="32"/>
  <c r="P409" i="32"/>
  <c r="P410" i="32"/>
  <c r="P411" i="32"/>
  <c r="P412" i="32"/>
  <c r="P413" i="32"/>
  <c r="P414" i="32"/>
  <c r="P415" i="32"/>
  <c r="P416" i="32"/>
  <c r="P417" i="32"/>
  <c r="P418" i="32"/>
  <c r="P419" i="32"/>
  <c r="P420" i="32"/>
  <c r="P421" i="32"/>
  <c r="P422" i="32"/>
  <c r="P423" i="32"/>
  <c r="P424" i="32"/>
  <c r="P425" i="32"/>
  <c r="P426" i="32"/>
  <c r="P427" i="32"/>
  <c r="P4" i="32"/>
  <c r="BG4" i="32"/>
  <c r="BH396" i="32"/>
  <c r="BG34" i="32"/>
  <c r="BH34" i="32"/>
  <c r="BG35" i="32"/>
  <c r="BH35" i="32"/>
  <c r="BG36" i="32"/>
  <c r="BH36" i="32"/>
  <c r="BG37" i="32"/>
  <c r="BH37" i="32"/>
  <c r="BG38" i="32"/>
  <c r="BH38" i="32"/>
  <c r="BG39" i="32"/>
  <c r="BH39" i="32"/>
  <c r="BG40" i="32"/>
  <c r="BH40" i="32"/>
  <c r="BG41" i="32"/>
  <c r="BH41" i="32"/>
  <c r="BG42" i="32"/>
  <c r="BH42" i="32"/>
  <c r="BG43" i="32"/>
  <c r="BH43" i="32"/>
  <c r="BG44" i="32"/>
  <c r="BH44" i="32"/>
  <c r="BG45" i="32"/>
  <c r="BH45" i="32"/>
  <c r="BG46" i="32"/>
  <c r="BH46" i="32"/>
  <c r="BG47" i="32"/>
  <c r="BH47" i="32"/>
  <c r="BG48" i="32"/>
  <c r="BH48" i="32"/>
  <c r="BG49" i="32"/>
  <c r="BH49" i="32"/>
  <c r="BG50" i="32"/>
  <c r="BH50" i="32"/>
  <c r="BG51" i="32"/>
  <c r="BH51" i="32"/>
  <c r="BG52" i="32"/>
  <c r="BH52" i="32"/>
  <c r="BG53" i="32"/>
  <c r="BH53" i="32"/>
  <c r="BG54" i="32"/>
  <c r="BH54" i="32"/>
  <c r="BG55" i="32"/>
  <c r="BH55" i="32"/>
  <c r="BG56" i="32"/>
  <c r="BH56" i="32"/>
  <c r="BG57" i="32"/>
  <c r="BH57" i="32"/>
  <c r="BG58" i="32"/>
  <c r="BH58" i="32"/>
  <c r="BG59" i="32"/>
  <c r="BH59" i="32"/>
  <c r="BG60" i="32"/>
  <c r="BH60" i="32"/>
  <c r="BG61" i="32"/>
  <c r="BH61" i="32"/>
  <c r="BG62" i="32"/>
  <c r="BH62" i="32"/>
  <c r="BG63" i="32"/>
  <c r="BH63" i="32"/>
  <c r="BG64" i="32"/>
  <c r="BH64" i="32"/>
  <c r="BG65" i="32"/>
  <c r="BH65" i="32"/>
  <c r="BG66" i="32"/>
  <c r="BH66" i="32"/>
  <c r="BG67" i="32"/>
  <c r="BH67" i="32"/>
  <c r="BG68" i="32"/>
  <c r="BH68" i="32"/>
  <c r="BG69" i="32"/>
  <c r="BH69" i="32"/>
  <c r="BG70" i="32"/>
  <c r="BH70" i="32"/>
  <c r="BG71" i="32"/>
  <c r="BH71" i="32"/>
  <c r="BG72" i="32"/>
  <c r="BH72" i="32"/>
  <c r="BG73" i="32"/>
  <c r="BH73" i="32"/>
  <c r="BG74" i="32"/>
  <c r="BH74" i="32"/>
  <c r="BG75" i="32"/>
  <c r="BH75" i="32"/>
  <c r="BG76" i="32"/>
  <c r="BH76" i="32"/>
  <c r="BG77" i="32"/>
  <c r="BH77" i="32"/>
  <c r="BG78" i="32"/>
  <c r="BH78" i="32"/>
  <c r="BG79" i="32"/>
  <c r="BH79" i="32"/>
  <c r="BG80" i="32"/>
  <c r="BH80" i="32"/>
  <c r="BG81" i="32"/>
  <c r="BH81" i="32"/>
  <c r="BG82" i="32"/>
  <c r="BH82" i="32"/>
  <c r="BG83" i="32"/>
  <c r="BH83" i="32"/>
  <c r="BG84" i="32"/>
  <c r="BH84" i="32"/>
  <c r="BG85" i="32"/>
  <c r="BH85" i="32"/>
  <c r="BG86" i="32"/>
  <c r="BH86" i="32"/>
  <c r="BG87" i="32"/>
  <c r="BH87" i="32"/>
  <c r="BG88" i="32"/>
  <c r="BH88" i="32"/>
  <c r="BG89" i="32"/>
  <c r="BH89" i="32"/>
  <c r="BG90" i="32"/>
  <c r="BH90" i="32"/>
  <c r="BG91" i="32"/>
  <c r="BH91" i="32"/>
  <c r="BG92" i="32"/>
  <c r="BH92" i="32"/>
  <c r="BG93" i="32"/>
  <c r="BH93" i="32"/>
  <c r="BG94" i="32"/>
  <c r="BH94" i="32"/>
  <c r="BG95" i="32"/>
  <c r="BH95" i="32"/>
  <c r="BG96" i="32"/>
  <c r="BH96" i="32"/>
  <c r="BG97" i="32"/>
  <c r="BH97" i="32"/>
  <c r="BG98" i="32"/>
  <c r="BH98" i="32"/>
  <c r="BG99" i="32"/>
  <c r="BH99" i="32"/>
  <c r="BG100" i="32"/>
  <c r="BH100" i="32"/>
  <c r="BG101" i="32"/>
  <c r="BH101" i="32"/>
  <c r="BG102" i="32"/>
  <c r="BH102" i="32"/>
  <c r="BG103" i="32"/>
  <c r="BH103" i="32"/>
  <c r="BG104" i="32"/>
  <c r="BH104" i="32"/>
  <c r="BG105" i="32"/>
  <c r="BH105" i="32"/>
  <c r="BG106" i="32"/>
  <c r="BH106" i="32"/>
  <c r="BG107" i="32"/>
  <c r="BH107" i="32"/>
  <c r="BG108" i="32"/>
  <c r="BH108" i="32"/>
  <c r="BG109" i="32"/>
  <c r="BH109" i="32"/>
  <c r="BG110" i="32"/>
  <c r="BH110" i="32"/>
  <c r="BG111" i="32"/>
  <c r="BH111" i="32"/>
  <c r="BG112" i="32"/>
  <c r="BH112" i="32"/>
  <c r="BG113" i="32"/>
  <c r="BH113" i="32"/>
  <c r="BG114" i="32"/>
  <c r="BH114" i="32"/>
  <c r="BG115" i="32"/>
  <c r="BH115" i="32"/>
  <c r="BG116" i="32"/>
  <c r="BH116" i="32"/>
  <c r="BG117" i="32"/>
  <c r="BH117" i="32"/>
  <c r="BG118" i="32"/>
  <c r="BH118" i="32"/>
  <c r="BG119" i="32"/>
  <c r="BH119" i="32"/>
  <c r="BG120" i="32"/>
  <c r="BH120" i="32"/>
  <c r="BG121" i="32"/>
  <c r="BH121" i="32"/>
  <c r="BG122" i="32"/>
  <c r="BH122" i="32"/>
  <c r="BG123" i="32"/>
  <c r="BH123" i="32"/>
  <c r="BG124" i="32"/>
  <c r="BH124" i="32"/>
  <c r="BG125" i="32"/>
  <c r="BH125" i="32"/>
  <c r="BG126" i="32"/>
  <c r="BH126" i="32"/>
  <c r="BG127" i="32"/>
  <c r="BH127" i="32"/>
  <c r="BG128" i="32"/>
  <c r="BH128" i="32"/>
  <c r="BG129" i="32"/>
  <c r="BH129" i="32"/>
  <c r="BG130" i="32"/>
  <c r="BH130" i="32"/>
  <c r="BG131" i="32"/>
  <c r="BH131" i="32"/>
  <c r="BG132" i="32"/>
  <c r="BH132" i="32"/>
  <c r="BG133" i="32"/>
  <c r="BH133" i="32"/>
  <c r="BG134" i="32"/>
  <c r="BH134" i="32"/>
  <c r="BG135" i="32"/>
  <c r="BH135" i="32"/>
  <c r="BG136" i="32"/>
  <c r="BH136" i="32"/>
  <c r="BG137" i="32"/>
  <c r="BH137" i="32"/>
  <c r="BG138" i="32"/>
  <c r="BH138" i="32"/>
  <c r="BG139" i="32"/>
  <c r="BH139" i="32"/>
  <c r="BG140" i="32"/>
  <c r="BH140" i="32"/>
  <c r="BG141" i="32"/>
  <c r="BH141" i="32"/>
  <c r="BG142" i="32"/>
  <c r="BH142" i="32"/>
  <c r="BG143" i="32"/>
  <c r="BH143" i="32"/>
  <c r="BG144" i="32"/>
  <c r="BH144" i="32"/>
  <c r="BG145" i="32"/>
  <c r="BH145" i="32"/>
  <c r="BG146" i="32"/>
  <c r="BH146" i="32"/>
  <c r="BG147" i="32"/>
  <c r="BH147" i="32"/>
  <c r="BG148" i="32"/>
  <c r="BH148" i="32"/>
  <c r="BG149" i="32"/>
  <c r="BH149" i="32"/>
  <c r="BG150" i="32"/>
  <c r="BH150" i="32"/>
  <c r="BG151" i="32"/>
  <c r="BH151" i="32"/>
  <c r="BG152" i="32"/>
  <c r="BH152" i="32"/>
  <c r="BG153" i="32"/>
  <c r="BH153" i="32"/>
  <c r="BG154" i="32"/>
  <c r="BH154" i="32"/>
  <c r="BG155" i="32"/>
  <c r="BH155" i="32"/>
  <c r="BG156" i="32"/>
  <c r="BH156" i="32"/>
  <c r="BG157" i="32"/>
  <c r="BH157" i="32"/>
  <c r="BG158" i="32"/>
  <c r="BH158" i="32"/>
  <c r="BG159" i="32"/>
  <c r="BH159" i="32"/>
  <c r="BG160" i="32"/>
  <c r="BH160" i="32"/>
  <c r="BG161" i="32"/>
  <c r="BH161" i="32"/>
  <c r="BG162" i="32"/>
  <c r="BH162" i="32"/>
  <c r="BG163" i="32"/>
  <c r="BH163" i="32"/>
  <c r="BG164" i="32"/>
  <c r="BH164" i="32"/>
  <c r="BG165" i="32"/>
  <c r="BH165" i="32"/>
  <c r="BG166" i="32"/>
  <c r="BH166" i="32"/>
  <c r="BG167" i="32"/>
  <c r="BH167" i="32"/>
  <c r="BG168" i="32"/>
  <c r="BH168" i="32"/>
  <c r="BG169" i="32"/>
  <c r="BH169" i="32"/>
  <c r="BG170" i="32"/>
  <c r="BH170" i="32"/>
  <c r="BG171" i="32"/>
  <c r="BH171" i="32"/>
  <c r="BG172" i="32"/>
  <c r="BH172" i="32"/>
  <c r="BG173" i="32"/>
  <c r="BH173" i="32"/>
  <c r="BG174" i="32"/>
  <c r="BH174" i="32"/>
  <c r="BG175" i="32"/>
  <c r="BH175" i="32"/>
  <c r="BG176" i="32"/>
  <c r="BH176" i="32"/>
  <c r="BG177" i="32"/>
  <c r="BH177" i="32"/>
  <c r="BG178" i="32"/>
  <c r="BH178" i="32"/>
  <c r="BG179" i="32"/>
  <c r="BH179" i="32"/>
  <c r="BG180" i="32"/>
  <c r="BH180" i="32"/>
  <c r="BG181" i="32"/>
  <c r="BH181" i="32"/>
  <c r="BG182" i="32"/>
  <c r="BH182" i="32"/>
  <c r="BG183" i="32"/>
  <c r="BH183" i="32"/>
  <c r="BG184" i="32"/>
  <c r="BH184" i="32"/>
  <c r="BG185" i="32"/>
  <c r="BH185" i="32"/>
  <c r="BG186" i="32"/>
  <c r="BH186" i="32"/>
  <c r="BG187" i="32"/>
  <c r="BH187" i="32"/>
  <c r="BG188" i="32"/>
  <c r="BH188" i="32"/>
  <c r="BG189" i="32"/>
  <c r="BH189" i="32"/>
  <c r="BG190" i="32"/>
  <c r="BH190" i="32"/>
  <c r="BG191" i="32"/>
  <c r="BH191" i="32"/>
  <c r="BG192" i="32"/>
  <c r="BH192" i="32"/>
  <c r="BG193" i="32"/>
  <c r="BH193" i="32"/>
  <c r="BG194" i="32"/>
  <c r="BH194" i="32"/>
  <c r="BG195" i="32"/>
  <c r="BH195" i="32"/>
  <c r="BG196" i="32"/>
  <c r="BH196" i="32"/>
  <c r="BG197" i="32"/>
  <c r="BH197" i="32"/>
  <c r="BG198" i="32"/>
  <c r="BH198" i="32"/>
  <c r="BG199" i="32"/>
  <c r="BH199" i="32"/>
  <c r="BG200" i="32"/>
  <c r="BH200" i="32"/>
  <c r="BG201" i="32"/>
  <c r="BH201" i="32"/>
  <c r="BG202" i="32"/>
  <c r="BH202" i="32"/>
  <c r="BG203" i="32"/>
  <c r="BH203" i="32"/>
  <c r="BG204" i="32"/>
  <c r="BH204" i="32"/>
  <c r="BG205" i="32"/>
  <c r="BH205" i="32"/>
  <c r="BG206" i="32"/>
  <c r="BH206" i="32"/>
  <c r="BG207" i="32"/>
  <c r="BH207" i="32"/>
  <c r="BG208" i="32"/>
  <c r="BH208" i="32"/>
  <c r="BG209" i="32"/>
  <c r="BH209" i="32"/>
  <c r="BG210" i="32"/>
  <c r="BH210" i="32"/>
  <c r="BG211" i="32"/>
  <c r="BH211" i="32"/>
  <c r="BG212" i="32"/>
  <c r="BH212" i="32"/>
  <c r="BG213" i="32"/>
  <c r="BH213" i="32"/>
  <c r="BG214" i="32"/>
  <c r="BH214" i="32"/>
  <c r="BG215" i="32"/>
  <c r="BH215" i="32"/>
  <c r="BG216" i="32"/>
  <c r="BH216" i="32"/>
  <c r="BG217" i="32"/>
  <c r="BH217" i="32"/>
  <c r="BG218" i="32"/>
  <c r="BH218" i="32"/>
  <c r="BG219" i="32"/>
  <c r="BH219" i="32"/>
  <c r="BG220" i="32"/>
  <c r="BH220" i="32"/>
  <c r="BG221" i="32"/>
  <c r="BH221" i="32"/>
  <c r="BG222" i="32"/>
  <c r="BH222" i="32"/>
  <c r="BG223" i="32"/>
  <c r="BH223" i="32"/>
  <c r="BG224" i="32"/>
  <c r="BH224" i="32"/>
  <c r="BG225" i="32"/>
  <c r="BH225" i="32"/>
  <c r="BG226" i="32"/>
  <c r="BH226" i="32"/>
  <c r="BG227" i="32"/>
  <c r="BH227" i="32"/>
  <c r="BG228" i="32"/>
  <c r="BH228" i="32"/>
  <c r="BG229" i="32"/>
  <c r="BH229" i="32"/>
  <c r="BG230" i="32"/>
  <c r="BH230" i="32"/>
  <c r="BG231" i="32"/>
  <c r="BH231" i="32"/>
  <c r="BG232" i="32"/>
  <c r="BH232" i="32"/>
  <c r="BG233" i="32"/>
  <c r="BH233" i="32"/>
  <c r="BG234" i="32"/>
  <c r="BH234" i="32"/>
  <c r="BG235" i="32"/>
  <c r="BH235" i="32"/>
  <c r="BG236" i="32"/>
  <c r="BH236" i="32"/>
  <c r="BG237" i="32"/>
  <c r="BH237" i="32"/>
  <c r="BG238" i="32"/>
  <c r="BH238" i="32"/>
  <c r="BG239" i="32"/>
  <c r="BH239" i="32"/>
  <c r="BG240" i="32"/>
  <c r="BH240" i="32"/>
  <c r="BG241" i="32"/>
  <c r="BH241" i="32"/>
  <c r="BG242" i="32"/>
  <c r="BH242" i="32"/>
  <c r="BG243" i="32"/>
  <c r="BH243" i="32"/>
  <c r="BG244" i="32"/>
  <c r="BH244" i="32"/>
  <c r="BG245" i="32"/>
  <c r="BH245" i="32"/>
  <c r="BG246" i="32"/>
  <c r="BH246" i="32"/>
  <c r="BG247" i="32"/>
  <c r="BH247" i="32"/>
  <c r="BG248" i="32"/>
  <c r="BH248" i="32"/>
  <c r="BG249" i="32"/>
  <c r="BH249" i="32"/>
  <c r="BG250" i="32"/>
  <c r="BH250" i="32"/>
  <c r="BG251" i="32"/>
  <c r="BH251" i="32"/>
  <c r="BG252" i="32"/>
  <c r="BH252" i="32"/>
  <c r="BG253" i="32"/>
  <c r="BH253" i="32"/>
  <c r="BG254" i="32"/>
  <c r="BH254" i="32"/>
  <c r="BG255" i="32"/>
  <c r="BH255" i="32"/>
  <c r="BG256" i="32"/>
  <c r="BH256" i="32"/>
  <c r="BG257" i="32"/>
  <c r="BH257" i="32"/>
  <c r="BG258" i="32"/>
  <c r="BH258" i="32"/>
  <c r="BG259" i="32"/>
  <c r="BH259" i="32"/>
  <c r="BG260" i="32"/>
  <c r="BH260" i="32"/>
  <c r="BG261" i="32"/>
  <c r="BH261" i="32"/>
  <c r="BG262" i="32"/>
  <c r="BH262" i="32"/>
  <c r="BG263" i="32"/>
  <c r="BH263" i="32"/>
  <c r="BG264" i="32"/>
  <c r="BH264" i="32"/>
  <c r="BG265" i="32"/>
  <c r="BH265" i="32"/>
  <c r="BG266" i="32"/>
  <c r="BH266" i="32"/>
  <c r="BG267" i="32"/>
  <c r="BH267" i="32"/>
  <c r="BG268" i="32"/>
  <c r="BH268" i="32"/>
  <c r="BG269" i="32"/>
  <c r="BH269" i="32"/>
  <c r="BG270" i="32"/>
  <c r="BH270" i="32"/>
  <c r="BG271" i="32"/>
  <c r="BH271" i="32"/>
  <c r="BG272" i="32"/>
  <c r="BH272" i="32"/>
  <c r="BG273" i="32"/>
  <c r="BH273" i="32"/>
  <c r="BG274" i="32"/>
  <c r="BH274" i="32"/>
  <c r="BG275" i="32"/>
  <c r="BH275" i="32"/>
  <c r="BG276" i="32"/>
  <c r="BH276" i="32"/>
  <c r="BG277" i="32"/>
  <c r="BH277" i="32"/>
  <c r="BG278" i="32"/>
  <c r="BH278" i="32"/>
  <c r="BG279" i="32"/>
  <c r="BH279" i="32"/>
  <c r="BG280" i="32"/>
  <c r="BH280" i="32"/>
  <c r="BG281" i="32"/>
  <c r="BH281" i="32"/>
  <c r="BG282" i="32"/>
  <c r="BH282" i="32"/>
  <c r="BG283" i="32"/>
  <c r="BH283" i="32"/>
  <c r="BG284" i="32"/>
  <c r="BH284" i="32"/>
  <c r="BG285" i="32"/>
  <c r="BH285" i="32"/>
  <c r="BG286" i="32"/>
  <c r="BH286" i="32"/>
  <c r="BG287" i="32"/>
  <c r="BH287" i="32"/>
  <c r="BG288" i="32"/>
  <c r="BH288" i="32"/>
  <c r="BG289" i="32"/>
  <c r="BH289" i="32"/>
  <c r="BG290" i="32"/>
  <c r="BH290" i="32"/>
  <c r="BG291" i="32"/>
  <c r="BH291" i="32"/>
  <c r="BG292" i="32"/>
  <c r="BH292" i="32"/>
  <c r="BG293" i="32"/>
  <c r="BH293" i="32"/>
  <c r="BG294" i="32"/>
  <c r="BH294" i="32"/>
  <c r="BG295" i="32"/>
  <c r="BH295" i="32"/>
  <c r="BG296" i="32"/>
  <c r="BH296" i="32"/>
  <c r="BG297" i="32"/>
  <c r="BH297" i="32"/>
  <c r="BG298" i="32"/>
  <c r="BH298" i="32"/>
  <c r="BG299" i="32"/>
  <c r="BH299" i="32"/>
  <c r="BG300" i="32"/>
  <c r="BH300" i="32"/>
  <c r="BG301" i="32"/>
  <c r="BH301" i="32"/>
  <c r="BG302" i="32"/>
  <c r="BH302" i="32"/>
  <c r="BG303" i="32"/>
  <c r="BH303" i="32"/>
  <c r="BG304" i="32"/>
  <c r="BH304" i="32"/>
  <c r="BG305" i="32"/>
  <c r="BH305" i="32"/>
  <c r="BG306" i="32"/>
  <c r="BH306" i="32"/>
  <c r="BG307" i="32"/>
  <c r="BH307" i="32"/>
  <c r="BG308" i="32"/>
  <c r="BH308" i="32"/>
  <c r="BG309" i="32"/>
  <c r="BH309" i="32"/>
  <c r="BG310" i="32"/>
  <c r="BH310" i="32"/>
  <c r="BG311" i="32"/>
  <c r="BH311" i="32"/>
  <c r="BG312" i="32"/>
  <c r="BH312" i="32"/>
  <c r="BG313" i="32"/>
  <c r="BH313" i="32"/>
  <c r="BG314" i="32"/>
  <c r="BH314" i="32"/>
  <c r="BG315" i="32"/>
  <c r="BH315" i="32"/>
  <c r="BG316" i="32"/>
  <c r="BH316" i="32"/>
  <c r="BG317" i="32"/>
  <c r="BH317" i="32"/>
  <c r="BG318" i="32"/>
  <c r="BH318" i="32"/>
  <c r="BG319" i="32"/>
  <c r="BH319" i="32"/>
  <c r="BG320" i="32"/>
  <c r="BH320" i="32"/>
  <c r="BG321" i="32"/>
  <c r="BH321" i="32"/>
  <c r="BG322" i="32"/>
  <c r="BH322" i="32"/>
  <c r="BG323" i="32"/>
  <c r="BH323" i="32"/>
  <c r="BG324" i="32"/>
  <c r="BH324" i="32"/>
  <c r="BG325" i="32"/>
  <c r="BH325" i="32"/>
  <c r="BG326" i="32"/>
  <c r="BH326" i="32"/>
  <c r="BG327" i="32"/>
  <c r="BH327" i="32"/>
  <c r="BG328" i="32"/>
  <c r="BH328" i="32"/>
  <c r="BG329" i="32"/>
  <c r="BH329" i="32"/>
  <c r="BG330" i="32"/>
  <c r="BH330" i="32"/>
  <c r="BG331" i="32"/>
  <c r="BH331" i="32"/>
  <c r="BG332" i="32"/>
  <c r="BH332" i="32"/>
  <c r="BG333" i="32"/>
  <c r="BH333" i="32"/>
  <c r="BG334" i="32"/>
  <c r="BH334" i="32"/>
  <c r="BG335" i="32"/>
  <c r="BH335" i="32"/>
  <c r="BG336" i="32"/>
  <c r="BH336" i="32"/>
  <c r="BG337" i="32"/>
  <c r="BH337" i="32"/>
  <c r="BG338" i="32"/>
  <c r="BH338" i="32"/>
  <c r="BG339" i="32"/>
  <c r="BH339" i="32"/>
  <c r="BG340" i="32"/>
  <c r="BH340" i="32"/>
  <c r="BG341" i="32"/>
  <c r="BH341" i="32"/>
  <c r="BG342" i="32"/>
  <c r="BH342" i="32"/>
  <c r="BG343" i="32"/>
  <c r="BH343" i="32"/>
  <c r="BG344" i="32"/>
  <c r="BH344" i="32"/>
  <c r="BG345" i="32"/>
  <c r="BH345" i="32"/>
  <c r="BG346" i="32"/>
  <c r="BH346" i="32"/>
  <c r="BG347" i="32"/>
  <c r="BH347" i="32"/>
  <c r="BG348" i="32"/>
  <c r="BH348" i="32"/>
  <c r="BG349" i="32"/>
  <c r="BH349" i="32"/>
  <c r="BG350" i="32"/>
  <c r="BH350" i="32"/>
  <c r="BG351" i="32"/>
  <c r="BH351" i="32"/>
  <c r="BG352" i="32"/>
  <c r="BH352" i="32"/>
  <c r="BG353" i="32"/>
  <c r="BH353" i="32"/>
  <c r="BG354" i="32"/>
  <c r="BH354" i="32"/>
  <c r="BG355" i="32"/>
  <c r="BH355" i="32"/>
  <c r="BG356" i="32"/>
  <c r="BH356" i="32"/>
  <c r="BG357" i="32"/>
  <c r="BH357" i="32"/>
  <c r="BG358" i="32"/>
  <c r="BH358" i="32"/>
  <c r="BG359" i="32"/>
  <c r="BH359" i="32"/>
  <c r="BG360" i="32"/>
  <c r="BH360" i="32"/>
  <c r="BG361" i="32"/>
  <c r="BH361" i="32"/>
  <c r="BG362" i="32"/>
  <c r="BH362" i="32"/>
  <c r="BG363" i="32"/>
  <c r="BH363" i="32"/>
  <c r="BG364" i="32"/>
  <c r="BH364" i="32"/>
  <c r="BG365" i="32"/>
  <c r="BH365" i="32"/>
  <c r="BG366" i="32"/>
  <c r="BH366" i="32"/>
  <c r="BG367" i="32"/>
  <c r="BH367" i="32"/>
  <c r="BG368" i="32"/>
  <c r="BH368" i="32"/>
  <c r="BG369" i="32"/>
  <c r="BH369" i="32"/>
  <c r="BG370" i="32"/>
  <c r="BH370" i="32"/>
  <c r="BG371" i="32"/>
  <c r="BH371" i="32"/>
  <c r="BG372" i="32"/>
  <c r="BH372" i="32"/>
  <c r="BG373" i="32"/>
  <c r="BH373" i="32"/>
  <c r="BG374" i="32"/>
  <c r="BH374" i="32"/>
  <c r="BG375" i="32"/>
  <c r="BH375" i="32"/>
  <c r="BG376" i="32"/>
  <c r="BH376" i="32"/>
  <c r="BG377" i="32"/>
  <c r="BH377" i="32"/>
  <c r="BG378" i="32"/>
  <c r="BH378" i="32"/>
  <c r="BG379" i="32"/>
  <c r="BH379" i="32"/>
  <c r="BG380" i="32"/>
  <c r="BH380" i="32"/>
  <c r="BG381" i="32"/>
  <c r="BH381" i="32"/>
  <c r="BG382" i="32"/>
  <c r="BH382" i="32"/>
  <c r="BG383" i="32"/>
  <c r="BH383" i="32"/>
  <c r="BG384" i="32"/>
  <c r="BH384" i="32"/>
  <c r="BG385" i="32"/>
  <c r="BH385" i="32"/>
  <c r="BG386" i="32"/>
  <c r="BH386" i="32"/>
  <c r="BG387" i="32"/>
  <c r="BH387" i="32"/>
  <c r="BG388" i="32"/>
  <c r="BH388" i="32"/>
  <c r="BG389" i="32"/>
  <c r="BH389" i="32"/>
  <c r="BG390" i="32"/>
  <c r="BH390" i="32"/>
  <c r="BG391" i="32"/>
  <c r="BH391" i="32"/>
  <c r="BG392" i="32"/>
  <c r="BH392" i="32"/>
  <c r="BG393" i="32"/>
  <c r="BH393" i="32"/>
  <c r="BG394" i="32"/>
  <c r="BH394" i="32"/>
  <c r="BG395" i="32"/>
  <c r="BH395" i="32"/>
  <c r="BG396" i="32"/>
  <c r="BG397" i="32"/>
  <c r="BH397" i="32"/>
  <c r="BG398" i="32"/>
  <c r="BH398" i="32"/>
  <c r="BG399" i="32"/>
  <c r="BH399" i="32"/>
  <c r="BG400" i="32"/>
  <c r="BH400" i="32"/>
  <c r="BG401" i="32"/>
  <c r="BH401" i="32"/>
  <c r="BG402" i="32"/>
  <c r="BH402" i="32"/>
  <c r="BG403" i="32"/>
  <c r="BH403" i="32"/>
  <c r="BG404" i="32"/>
  <c r="BH404" i="32"/>
  <c r="BG405" i="32"/>
  <c r="BH405" i="32"/>
  <c r="BG406" i="32"/>
  <c r="BH406" i="32"/>
  <c r="BG407" i="32"/>
  <c r="BH407" i="32"/>
  <c r="BG408" i="32"/>
  <c r="BH408" i="32"/>
  <c r="BG409" i="32"/>
  <c r="BH409" i="32"/>
  <c r="BG410" i="32"/>
  <c r="BH410" i="32"/>
  <c r="BG411" i="32"/>
  <c r="BH411" i="32"/>
  <c r="BG412" i="32"/>
  <c r="BH412" i="32"/>
  <c r="BG413" i="32"/>
  <c r="BH413" i="32"/>
  <c r="BG414" i="32"/>
  <c r="BH414" i="32"/>
  <c r="BG415" i="32"/>
  <c r="BH415" i="32"/>
  <c r="BG416" i="32"/>
  <c r="BH416" i="32"/>
  <c r="BG417" i="32"/>
  <c r="BH417" i="32"/>
  <c r="BG418" i="32"/>
  <c r="BH418" i="32"/>
  <c r="BG419" i="32"/>
  <c r="BH419" i="32"/>
  <c r="BG420" i="32"/>
  <c r="BH420" i="32"/>
  <c r="BG5" i="32"/>
  <c r="BH5" i="32"/>
  <c r="BG6" i="32"/>
  <c r="BH6" i="32"/>
  <c r="BG7" i="32"/>
  <c r="BH7" i="32"/>
  <c r="BG8" i="32"/>
  <c r="BH8" i="32"/>
  <c r="BG9" i="32"/>
  <c r="BH9" i="32"/>
  <c r="BG10" i="32"/>
  <c r="BH10" i="32"/>
  <c r="BG11" i="32"/>
  <c r="BH11" i="32"/>
  <c r="BG12" i="32"/>
  <c r="BH12" i="32"/>
  <c r="BG13" i="32"/>
  <c r="BH13" i="32"/>
  <c r="BG14" i="32"/>
  <c r="BH14" i="32"/>
  <c r="BG15" i="32"/>
  <c r="BH15" i="32"/>
  <c r="BG16" i="32"/>
  <c r="BH16" i="32"/>
  <c r="BG17" i="32"/>
  <c r="BH17" i="32"/>
  <c r="BG18" i="32"/>
  <c r="BH18" i="32"/>
  <c r="BG19" i="32"/>
  <c r="BH19" i="32"/>
  <c r="BG20" i="32"/>
  <c r="BH20" i="32"/>
  <c r="BG21" i="32"/>
  <c r="BH21" i="32"/>
  <c r="BG22" i="32"/>
  <c r="BH22" i="32"/>
  <c r="BG23" i="32"/>
  <c r="BH23" i="32"/>
  <c r="BG24" i="32"/>
  <c r="BH24" i="32"/>
  <c r="BG25" i="32"/>
  <c r="BH25" i="32"/>
  <c r="BG26" i="32"/>
  <c r="BH26" i="32"/>
  <c r="BG27" i="32"/>
  <c r="BH27" i="32"/>
  <c r="BG28" i="32"/>
  <c r="BH28" i="32"/>
  <c r="BG29" i="32"/>
  <c r="BH29" i="32"/>
  <c r="BG30" i="32"/>
  <c r="BH30" i="32"/>
  <c r="BG31" i="32"/>
  <c r="BH31" i="32"/>
  <c r="BG32" i="32"/>
  <c r="BH32" i="32"/>
  <c r="BG33" i="32"/>
  <c r="BH33" i="32"/>
  <c r="BH4" i="32"/>
  <c r="BC15" i="32"/>
  <c r="BC16" i="32"/>
  <c r="BC17" i="32"/>
  <c r="BC18" i="32"/>
  <c r="BC19" i="32"/>
  <c r="BC20" i="32"/>
  <c r="BC21" i="32"/>
  <c r="BC22" i="32"/>
  <c r="BC23" i="32"/>
  <c r="BC24" i="32"/>
  <c r="BC25" i="32"/>
  <c r="BC26" i="32"/>
  <c r="BC27" i="32"/>
  <c r="BC28" i="32"/>
  <c r="BC29" i="32"/>
  <c r="BC30" i="32"/>
  <c r="BC31" i="32"/>
  <c r="BC32" i="32"/>
  <c r="BC33" i="32"/>
  <c r="BC5" i="32"/>
  <c r="BC6" i="32"/>
  <c r="BC7" i="32"/>
  <c r="BC8" i="32"/>
  <c r="BC9" i="32"/>
  <c r="BC10" i="32"/>
  <c r="BC11" i="32"/>
  <c r="BC12" i="32"/>
  <c r="BC13" i="32"/>
  <c r="BC14" i="32"/>
  <c r="AX4" i="23"/>
  <c r="AE419" i="23"/>
  <c r="BK5" i="32"/>
  <c r="BK6" i="32"/>
  <c r="BK7" i="32"/>
  <c r="BK8" i="32"/>
  <c r="BK9" i="32"/>
  <c r="BK10" i="32"/>
  <c r="BK11" i="32"/>
  <c r="BK12" i="32"/>
  <c r="BK13" i="32"/>
  <c r="BK14" i="32"/>
  <c r="BK15" i="32"/>
  <c r="BK16" i="32"/>
  <c r="BK17" i="32"/>
  <c r="BK18" i="32"/>
  <c r="BK19" i="32"/>
  <c r="BK20" i="32"/>
  <c r="BK21" i="32"/>
  <c r="BK22" i="32"/>
  <c r="BK23" i="32"/>
  <c r="BK24" i="32"/>
  <c r="BK25" i="32"/>
  <c r="BK26" i="32"/>
  <c r="BK27" i="32"/>
  <c r="BK28" i="32"/>
  <c r="BK29" i="32"/>
  <c r="BK30" i="32"/>
  <c r="BK31" i="32"/>
  <c r="BK32" i="32"/>
  <c r="BK33" i="32"/>
  <c r="BK34" i="32"/>
  <c r="BK35" i="32"/>
  <c r="BK36" i="32"/>
  <c r="BK37" i="32"/>
  <c r="BK38" i="32"/>
  <c r="BK39" i="32"/>
  <c r="BK40" i="32"/>
  <c r="BK41" i="32"/>
  <c r="BK42" i="32"/>
  <c r="BK43" i="32"/>
  <c r="BK44" i="32"/>
  <c r="BK45" i="32"/>
  <c r="BK46" i="32"/>
  <c r="BK47" i="32"/>
  <c r="BK48" i="32"/>
  <c r="BK49" i="32"/>
  <c r="BK50" i="32"/>
  <c r="BK51" i="32"/>
  <c r="BK52" i="32"/>
  <c r="BK53" i="32"/>
  <c r="BK54" i="32"/>
  <c r="BK55" i="32"/>
  <c r="BK56" i="32"/>
  <c r="BK57" i="32"/>
  <c r="BK58" i="32"/>
  <c r="BK59" i="32"/>
  <c r="BK60" i="32"/>
  <c r="BK61" i="32"/>
  <c r="BK62" i="32"/>
  <c r="BK63" i="32"/>
  <c r="BK64" i="32"/>
  <c r="BK65" i="32"/>
  <c r="BK66" i="32"/>
  <c r="BK67" i="32"/>
  <c r="BK68" i="32"/>
  <c r="BK69" i="32"/>
  <c r="BK70" i="32"/>
  <c r="BK71" i="32"/>
  <c r="BK72" i="32"/>
  <c r="BK73" i="32"/>
  <c r="BK74" i="32"/>
  <c r="BK75" i="32"/>
  <c r="BK76" i="32"/>
  <c r="BK77" i="32"/>
  <c r="BK78" i="32"/>
  <c r="BK79" i="32"/>
  <c r="BK80" i="32"/>
  <c r="BK81" i="32"/>
  <c r="BK82" i="32"/>
  <c r="BK83" i="32"/>
  <c r="BK84" i="32"/>
  <c r="BK85" i="32"/>
  <c r="BK86" i="32"/>
  <c r="BK87" i="32"/>
  <c r="BK88" i="32"/>
  <c r="BK89" i="32"/>
  <c r="BK90" i="32"/>
  <c r="BK91" i="32"/>
  <c r="BK92" i="32"/>
  <c r="BK93" i="32"/>
  <c r="BK94" i="32"/>
  <c r="BK95" i="32"/>
  <c r="BK96" i="32"/>
  <c r="BK97" i="32"/>
  <c r="BK98" i="32"/>
  <c r="BK99" i="32"/>
  <c r="BK100" i="32"/>
  <c r="BK101" i="32"/>
  <c r="BK102" i="32"/>
  <c r="BK103" i="32"/>
  <c r="BK104" i="32"/>
  <c r="BK105" i="32"/>
  <c r="BK106" i="32"/>
  <c r="BK107" i="32"/>
  <c r="BK108" i="32"/>
  <c r="BK109" i="32"/>
  <c r="BK110" i="32"/>
  <c r="BK111" i="32"/>
  <c r="BK112" i="32"/>
  <c r="BK113" i="32"/>
  <c r="BK114" i="32"/>
  <c r="BK115" i="32"/>
  <c r="BK116" i="32"/>
  <c r="BK117" i="32"/>
  <c r="BK118" i="32"/>
  <c r="BK119" i="32"/>
  <c r="BK120" i="32"/>
  <c r="BK121" i="32"/>
  <c r="BK122" i="32"/>
  <c r="BK123" i="32"/>
  <c r="BK124" i="32"/>
  <c r="BK125" i="32"/>
  <c r="BK126" i="32"/>
  <c r="BK127" i="32"/>
  <c r="BK128" i="32"/>
  <c r="BK129" i="32"/>
  <c r="BK130" i="32"/>
  <c r="BK131" i="32"/>
  <c r="BK132" i="32"/>
  <c r="BK133" i="32"/>
  <c r="BK134" i="32"/>
  <c r="BK135" i="32"/>
  <c r="BK136" i="32"/>
  <c r="BK137" i="32"/>
  <c r="BK138" i="32"/>
  <c r="BK139" i="32"/>
  <c r="BK140" i="32"/>
  <c r="BK141" i="32"/>
  <c r="BK142" i="32"/>
  <c r="BK143" i="32"/>
  <c r="BK144" i="32"/>
  <c r="BK145" i="32"/>
  <c r="BK146" i="32"/>
  <c r="BK147" i="32"/>
  <c r="BK148" i="32"/>
  <c r="BK149" i="32"/>
  <c r="BK150" i="32"/>
  <c r="BK151" i="32"/>
  <c r="BK152" i="32"/>
  <c r="BK153" i="32"/>
  <c r="BK154" i="32"/>
  <c r="BK155" i="32"/>
  <c r="BK156" i="32"/>
  <c r="BK157" i="32"/>
  <c r="BK158" i="32"/>
  <c r="BK159" i="32"/>
  <c r="BK160" i="32"/>
  <c r="BK161" i="32"/>
  <c r="BK162" i="32"/>
  <c r="BK163" i="32"/>
  <c r="BK164" i="32"/>
  <c r="BK165" i="32"/>
  <c r="BK166" i="32"/>
  <c r="BK167" i="32"/>
  <c r="BK168" i="32"/>
  <c r="BK169" i="32"/>
  <c r="BK170" i="32"/>
  <c r="BK171" i="32"/>
  <c r="BK172" i="32"/>
  <c r="BK173" i="32"/>
  <c r="BK174" i="32"/>
  <c r="BK175" i="32"/>
  <c r="BK176" i="32"/>
  <c r="BK177" i="32"/>
  <c r="BK178" i="32"/>
  <c r="BK179" i="32"/>
  <c r="BK180" i="32"/>
  <c r="BK181" i="32"/>
  <c r="BK182" i="32"/>
  <c r="BK183" i="32"/>
  <c r="BK184" i="32"/>
  <c r="BK185" i="32"/>
  <c r="BK186" i="32"/>
  <c r="BK187" i="32"/>
  <c r="BK188" i="32"/>
  <c r="BK189" i="32"/>
  <c r="BK190" i="32"/>
  <c r="BK191" i="32"/>
  <c r="BK192" i="32"/>
  <c r="BK193" i="32"/>
  <c r="BK194" i="32"/>
  <c r="BK195" i="32"/>
  <c r="BK196" i="32"/>
  <c r="BK197" i="32"/>
  <c r="BK198" i="32"/>
  <c r="BK199" i="32"/>
  <c r="BK200" i="32"/>
  <c r="BK201" i="32"/>
  <c r="BK202" i="32"/>
  <c r="BK203" i="32"/>
  <c r="BK204" i="32"/>
  <c r="BK205" i="32"/>
  <c r="BK206" i="32"/>
  <c r="BK207" i="32"/>
  <c r="BK208" i="32"/>
  <c r="BK209" i="32"/>
  <c r="BK210" i="32"/>
  <c r="BK211" i="32"/>
  <c r="BK212" i="32"/>
  <c r="BK213" i="32"/>
  <c r="BK214" i="32"/>
  <c r="BK215" i="32"/>
  <c r="BK216" i="32"/>
  <c r="BK217" i="32"/>
  <c r="BK218" i="32"/>
  <c r="BK219" i="32"/>
  <c r="BK220" i="32"/>
  <c r="BK221" i="32"/>
  <c r="BK222" i="32"/>
  <c r="BK223" i="32"/>
  <c r="BK224" i="32"/>
  <c r="BK225" i="32"/>
  <c r="BK226" i="32"/>
  <c r="BK227" i="32"/>
  <c r="BK228" i="32"/>
  <c r="BK229" i="32"/>
  <c r="BK230" i="32"/>
  <c r="BK231" i="32"/>
  <c r="BK232" i="32"/>
  <c r="BK233" i="32"/>
  <c r="BK234" i="32"/>
  <c r="BK235" i="32"/>
  <c r="BK236" i="32"/>
  <c r="BK237" i="32"/>
  <c r="BK238" i="32"/>
  <c r="BK239" i="32"/>
  <c r="BK240" i="32"/>
  <c r="BK241" i="32"/>
  <c r="BK242" i="32"/>
  <c r="BK243" i="32"/>
  <c r="BK244" i="32"/>
  <c r="BK245" i="32"/>
  <c r="BK246" i="32"/>
  <c r="BK247" i="32"/>
  <c r="BK248" i="32"/>
  <c r="BK249" i="32"/>
  <c r="BK250" i="32"/>
  <c r="BK251" i="32"/>
  <c r="BK252" i="32"/>
  <c r="BK253" i="32"/>
  <c r="BK254" i="32"/>
  <c r="BK255" i="32"/>
  <c r="BK256" i="32"/>
  <c r="BK257" i="32"/>
  <c r="BK258" i="32"/>
  <c r="BK259" i="32"/>
  <c r="BK260" i="32"/>
  <c r="BK261" i="32"/>
  <c r="BK262" i="32"/>
  <c r="BK263" i="32"/>
  <c r="BK264" i="32"/>
  <c r="BK265" i="32"/>
  <c r="BK266" i="32"/>
  <c r="BK267" i="32"/>
  <c r="BK268" i="32"/>
  <c r="BK269" i="32"/>
  <c r="BK270" i="32"/>
  <c r="BK271" i="32"/>
  <c r="BK272" i="32"/>
  <c r="BK273" i="32"/>
  <c r="BK274" i="32"/>
  <c r="BK275" i="32"/>
  <c r="BK276" i="32"/>
  <c r="BK277" i="32"/>
  <c r="BK278" i="32"/>
  <c r="BK279" i="32"/>
  <c r="BK280" i="32"/>
  <c r="BK281" i="32"/>
  <c r="BK282" i="32"/>
  <c r="BK283" i="32"/>
  <c r="BK284" i="32"/>
  <c r="BK285" i="32"/>
  <c r="BK286" i="32"/>
  <c r="BK287" i="32"/>
  <c r="BK288" i="32"/>
  <c r="BK289" i="32"/>
  <c r="BK290" i="32"/>
  <c r="BK291" i="32"/>
  <c r="BK292" i="32"/>
  <c r="BK293" i="32"/>
  <c r="BK294" i="32"/>
  <c r="BK295" i="32"/>
  <c r="BK296" i="32"/>
  <c r="BK297" i="32"/>
  <c r="BK298" i="32"/>
  <c r="BK299" i="32"/>
  <c r="BK300" i="32"/>
  <c r="BK301" i="32"/>
  <c r="BK302" i="32"/>
  <c r="BK303" i="32"/>
  <c r="BK304" i="32"/>
  <c r="BK305" i="32"/>
  <c r="BK306" i="32"/>
  <c r="BK307" i="32"/>
  <c r="BK308" i="32"/>
  <c r="BK309" i="32"/>
  <c r="BK310" i="32"/>
  <c r="BK311" i="32"/>
  <c r="BK312" i="32"/>
  <c r="BK313" i="32"/>
  <c r="BK314" i="32"/>
  <c r="BK315" i="32"/>
  <c r="BK316" i="32"/>
  <c r="BK317" i="32"/>
  <c r="BK318" i="32"/>
  <c r="BK319" i="32"/>
  <c r="BK320" i="32"/>
  <c r="BK321" i="32"/>
  <c r="BK322" i="32"/>
  <c r="BK323" i="32"/>
  <c r="BK324" i="32"/>
  <c r="BK325" i="32"/>
  <c r="BK326" i="32"/>
  <c r="BK327" i="32"/>
  <c r="BK328" i="32"/>
  <c r="BK329" i="32"/>
  <c r="BK330" i="32"/>
  <c r="BK331" i="32"/>
  <c r="BK332" i="32"/>
  <c r="BK333" i="32"/>
  <c r="BK334" i="32"/>
  <c r="BK335" i="32"/>
  <c r="BK336" i="32"/>
  <c r="BK337" i="32"/>
  <c r="BK338" i="32"/>
  <c r="BK339" i="32"/>
  <c r="BK340" i="32"/>
  <c r="BK341" i="32"/>
  <c r="BK342" i="32"/>
  <c r="BK343" i="32"/>
  <c r="BK344" i="32"/>
  <c r="BK345" i="32"/>
  <c r="BK346" i="32"/>
  <c r="BK347" i="32"/>
  <c r="BK348" i="32"/>
  <c r="BK349" i="32"/>
  <c r="BK350" i="32"/>
  <c r="BK351" i="32"/>
  <c r="BK352" i="32"/>
  <c r="BK353" i="32"/>
  <c r="BK354" i="32"/>
  <c r="BK355" i="32"/>
  <c r="BK356" i="32"/>
  <c r="BK357" i="32"/>
  <c r="BK358" i="32"/>
  <c r="BK359" i="32"/>
  <c r="BK360" i="32"/>
  <c r="BK361" i="32"/>
  <c r="BK362" i="32"/>
  <c r="BK363" i="32"/>
  <c r="BK364" i="32"/>
  <c r="BK365" i="32"/>
  <c r="BK366" i="32"/>
  <c r="BK367" i="32"/>
  <c r="BK368" i="32"/>
  <c r="BK369" i="32"/>
  <c r="BK370" i="32"/>
  <c r="BK371" i="32"/>
  <c r="BK372" i="32"/>
  <c r="BK373" i="32"/>
  <c r="BK374" i="32"/>
  <c r="BK375" i="32"/>
  <c r="BK376" i="32"/>
  <c r="BK377" i="32"/>
  <c r="BK378" i="32"/>
  <c r="BK379" i="32"/>
  <c r="BK380" i="32"/>
  <c r="BK381" i="32"/>
  <c r="BK382" i="32"/>
  <c r="BK383" i="32"/>
  <c r="BK384" i="32"/>
  <c r="BK385" i="32"/>
  <c r="BK386" i="32"/>
  <c r="BK387" i="32"/>
  <c r="BK388" i="32"/>
  <c r="BK389" i="32"/>
  <c r="BK390" i="32"/>
  <c r="BK391" i="32"/>
  <c r="BK392" i="32"/>
  <c r="BK393" i="32"/>
  <c r="BK394" i="32"/>
  <c r="BK395" i="32"/>
  <c r="BK396" i="32"/>
  <c r="BK397" i="32"/>
  <c r="BK398" i="32"/>
  <c r="BK399" i="32"/>
  <c r="BK400" i="32"/>
  <c r="BK401" i="32"/>
  <c r="BK402" i="32"/>
  <c r="BK403" i="32"/>
  <c r="BK404" i="32"/>
  <c r="BK405" i="32"/>
  <c r="BK406" i="32"/>
  <c r="BK407" i="32"/>
  <c r="BK408" i="32"/>
  <c r="BK409" i="32"/>
  <c r="BK410" i="32"/>
  <c r="BK411" i="32"/>
  <c r="BK412" i="32"/>
  <c r="BK413" i="32"/>
  <c r="BK414" i="32"/>
  <c r="BK415" i="32"/>
  <c r="BK416" i="32"/>
  <c r="BK417" i="32"/>
  <c r="BK418" i="32"/>
  <c r="BK419" i="32"/>
  <c r="BK420" i="32"/>
  <c r="BL5" i="32"/>
  <c r="BL6" i="32"/>
  <c r="BL7" i="32"/>
  <c r="BL8" i="32"/>
  <c r="BL9" i="32"/>
  <c r="BL10" i="32"/>
  <c r="BL11" i="32"/>
  <c r="BL12" i="32"/>
  <c r="BL13" i="32"/>
  <c r="BL14" i="32"/>
  <c r="BL15" i="32"/>
  <c r="BL16" i="32"/>
  <c r="BL17" i="32"/>
  <c r="BL18" i="32"/>
  <c r="BL19" i="32"/>
  <c r="BL20" i="32"/>
  <c r="BL21" i="32"/>
  <c r="BL22" i="32"/>
  <c r="BL23" i="32"/>
  <c r="BL24" i="32"/>
  <c r="BL25" i="32"/>
  <c r="BL26" i="32"/>
  <c r="BL27" i="32"/>
  <c r="BL28" i="32"/>
  <c r="BL29" i="32"/>
  <c r="BL30" i="32"/>
  <c r="BL31" i="32"/>
  <c r="BL32" i="32"/>
  <c r="BL33" i="32"/>
  <c r="BL34" i="32"/>
  <c r="BL35" i="32"/>
  <c r="BL36" i="32"/>
  <c r="BL37" i="32"/>
  <c r="BL38" i="32"/>
  <c r="BL39" i="32"/>
  <c r="BL40" i="32"/>
  <c r="BL41" i="32"/>
  <c r="BL42" i="32"/>
  <c r="BL43" i="32"/>
  <c r="BL44" i="32"/>
  <c r="BL45" i="32"/>
  <c r="BL46" i="32"/>
  <c r="BL47" i="32"/>
  <c r="BL48" i="32"/>
  <c r="BL49" i="32"/>
  <c r="BL50" i="32"/>
  <c r="BL51" i="32"/>
  <c r="BL52" i="32"/>
  <c r="BL53" i="32"/>
  <c r="BL54" i="32"/>
  <c r="BL55" i="32"/>
  <c r="BL56" i="32"/>
  <c r="BL57" i="32"/>
  <c r="BL58" i="32"/>
  <c r="BL59" i="32"/>
  <c r="BL60" i="32"/>
  <c r="BL61" i="32"/>
  <c r="BL62" i="32"/>
  <c r="BL63" i="32"/>
  <c r="BL64" i="32"/>
  <c r="BL65" i="32"/>
  <c r="BL66" i="32"/>
  <c r="BL67" i="32"/>
  <c r="BL68" i="32"/>
  <c r="BL69" i="32"/>
  <c r="BL70" i="32"/>
  <c r="BL71" i="32"/>
  <c r="BL72" i="32"/>
  <c r="BL73" i="32"/>
  <c r="BL74" i="32"/>
  <c r="BL75" i="32"/>
  <c r="BL76" i="32"/>
  <c r="BL77" i="32"/>
  <c r="BL78" i="32"/>
  <c r="BL79" i="32"/>
  <c r="BL80" i="32"/>
  <c r="BL81" i="32"/>
  <c r="BL82" i="32"/>
  <c r="BL83" i="32"/>
  <c r="BL84" i="32"/>
  <c r="BL85" i="32"/>
  <c r="BL86" i="32"/>
  <c r="BL87" i="32"/>
  <c r="BL88" i="32"/>
  <c r="BL89" i="32"/>
  <c r="BL90" i="32"/>
  <c r="BL91" i="32"/>
  <c r="BL92" i="32"/>
  <c r="BL93" i="32"/>
  <c r="BL94" i="32"/>
  <c r="BL95" i="32"/>
  <c r="BL96" i="32"/>
  <c r="BL97" i="32"/>
  <c r="BL98" i="32"/>
  <c r="BL99" i="32"/>
  <c r="BL100" i="32"/>
  <c r="BL101" i="32"/>
  <c r="BL102" i="32"/>
  <c r="BL103" i="32"/>
  <c r="BL104" i="32"/>
  <c r="BL105" i="32"/>
  <c r="BL106" i="32"/>
  <c r="BL107" i="32"/>
  <c r="BL108" i="32"/>
  <c r="BL109" i="32"/>
  <c r="BL110" i="32"/>
  <c r="BL111" i="32"/>
  <c r="BL112" i="32"/>
  <c r="BL113" i="32"/>
  <c r="BL114" i="32"/>
  <c r="BL115" i="32"/>
  <c r="BL116" i="32"/>
  <c r="BL117" i="32"/>
  <c r="BL118" i="32"/>
  <c r="BL119" i="32"/>
  <c r="BL120" i="32"/>
  <c r="BL121" i="32"/>
  <c r="BL122" i="32"/>
  <c r="BL123" i="32"/>
  <c r="BL124" i="32"/>
  <c r="BL125" i="32"/>
  <c r="BL126" i="32"/>
  <c r="BL127" i="32"/>
  <c r="BL128" i="32"/>
  <c r="BL129" i="32"/>
  <c r="BL130" i="32"/>
  <c r="BL131" i="32"/>
  <c r="BL132" i="32"/>
  <c r="BL133" i="32"/>
  <c r="BL134" i="32"/>
  <c r="BL135" i="32"/>
  <c r="BL136" i="32"/>
  <c r="BL137" i="32"/>
  <c r="BL138" i="32"/>
  <c r="BL139" i="32"/>
  <c r="BL140" i="32"/>
  <c r="BL141" i="32"/>
  <c r="BL142" i="32"/>
  <c r="BL143" i="32"/>
  <c r="BL144" i="32"/>
  <c r="BL145" i="32"/>
  <c r="BL146" i="32"/>
  <c r="BL147" i="32"/>
  <c r="BL148" i="32"/>
  <c r="BL149" i="32"/>
  <c r="BL150" i="32"/>
  <c r="BL151" i="32"/>
  <c r="BL152" i="32"/>
  <c r="BL153" i="32"/>
  <c r="BL154" i="32"/>
  <c r="BL155" i="32"/>
  <c r="BL156" i="32"/>
  <c r="BL157" i="32"/>
  <c r="BL158" i="32"/>
  <c r="BL159" i="32"/>
  <c r="BL160" i="32"/>
  <c r="BL161" i="32"/>
  <c r="BL162" i="32"/>
  <c r="BL163" i="32"/>
  <c r="BL164" i="32"/>
  <c r="BL165" i="32"/>
  <c r="BL166" i="32"/>
  <c r="BL167" i="32"/>
  <c r="BL168" i="32"/>
  <c r="BL169" i="32"/>
  <c r="BL170" i="32"/>
  <c r="BL171" i="32"/>
  <c r="BL172" i="32"/>
  <c r="BL173" i="32"/>
  <c r="BL174" i="32"/>
  <c r="BL175" i="32"/>
  <c r="BL176" i="32"/>
  <c r="BL177" i="32"/>
  <c r="BL178" i="32"/>
  <c r="BL179" i="32"/>
  <c r="BL180" i="32"/>
  <c r="BL181" i="32"/>
  <c r="BL182" i="32"/>
  <c r="BL183" i="32"/>
  <c r="BL184" i="32"/>
  <c r="BL185" i="32"/>
  <c r="BL186" i="32"/>
  <c r="BL187" i="32"/>
  <c r="BL188" i="32"/>
  <c r="BL189" i="32"/>
  <c r="BL190" i="32"/>
  <c r="BL191" i="32"/>
  <c r="BL192" i="32"/>
  <c r="BL193" i="32"/>
  <c r="BL194" i="32"/>
  <c r="BL195" i="32"/>
  <c r="BL196" i="32"/>
  <c r="BL197" i="32"/>
  <c r="BL198" i="32"/>
  <c r="BL199" i="32"/>
  <c r="BL200" i="32"/>
  <c r="BL201" i="32"/>
  <c r="BL202" i="32"/>
  <c r="BL203" i="32"/>
  <c r="BL204" i="32"/>
  <c r="BL205" i="32"/>
  <c r="BL206" i="32"/>
  <c r="BL207" i="32"/>
  <c r="BL208" i="32"/>
  <c r="BL209" i="32"/>
  <c r="BL210" i="32"/>
  <c r="BL211" i="32"/>
  <c r="BL212" i="32"/>
  <c r="BL213" i="32"/>
  <c r="BL214" i="32"/>
  <c r="BL215" i="32"/>
  <c r="BL216" i="32"/>
  <c r="BL217" i="32"/>
  <c r="BL218" i="32"/>
  <c r="BL219" i="32"/>
  <c r="BL220" i="32"/>
  <c r="BL221" i="32"/>
  <c r="BL222" i="32"/>
  <c r="BL223" i="32"/>
  <c r="BL224" i="32"/>
  <c r="BL225" i="32"/>
  <c r="BL226" i="32"/>
  <c r="BL227" i="32"/>
  <c r="BL228" i="32"/>
  <c r="BL229" i="32"/>
  <c r="BL230" i="32"/>
  <c r="BL231" i="32"/>
  <c r="BL232" i="32"/>
  <c r="BL233" i="32"/>
  <c r="BL234" i="32"/>
  <c r="BL235" i="32"/>
  <c r="BL236" i="32"/>
  <c r="BL237" i="32"/>
  <c r="BL238" i="32"/>
  <c r="BL239" i="32"/>
  <c r="BL240" i="32"/>
  <c r="BL241" i="32"/>
  <c r="BL242" i="32"/>
  <c r="BL243" i="32"/>
  <c r="BL244" i="32"/>
  <c r="BL245" i="32"/>
  <c r="BL246" i="32"/>
  <c r="BL247" i="32"/>
  <c r="BL248" i="32"/>
  <c r="BL249" i="32"/>
  <c r="BL250" i="32"/>
  <c r="BL251" i="32"/>
  <c r="BL252" i="32"/>
  <c r="BL253" i="32"/>
  <c r="BL254" i="32"/>
  <c r="BL255" i="32"/>
  <c r="BL256" i="32"/>
  <c r="BL257" i="32"/>
  <c r="BL258" i="32"/>
  <c r="BL259" i="32"/>
  <c r="BL260" i="32"/>
  <c r="BL261" i="32"/>
  <c r="BL262" i="32"/>
  <c r="BL263" i="32"/>
  <c r="BL264" i="32"/>
  <c r="BL265" i="32"/>
  <c r="BL266" i="32"/>
  <c r="BL267" i="32"/>
  <c r="BL268" i="32"/>
  <c r="BL269" i="32"/>
  <c r="BL270" i="32"/>
  <c r="BL271" i="32"/>
  <c r="BL272" i="32"/>
  <c r="BL273" i="32"/>
  <c r="BL274" i="32"/>
  <c r="BL275" i="32"/>
  <c r="BL276" i="32"/>
  <c r="BL277" i="32"/>
  <c r="BL278" i="32"/>
  <c r="BL279" i="32"/>
  <c r="BL280" i="32"/>
  <c r="BL281" i="32"/>
  <c r="BL282" i="32"/>
  <c r="BL283" i="32"/>
  <c r="BL284" i="32"/>
  <c r="BL285" i="32"/>
  <c r="BL286" i="32"/>
  <c r="BL287" i="32"/>
  <c r="BL288" i="32"/>
  <c r="BL289" i="32"/>
  <c r="BL290" i="32"/>
  <c r="BL291" i="32"/>
  <c r="BL292" i="32"/>
  <c r="BL293" i="32"/>
  <c r="BL294" i="32"/>
  <c r="BL295" i="32"/>
  <c r="BL296" i="32"/>
  <c r="BL297" i="32"/>
  <c r="BL298" i="32"/>
  <c r="BL299" i="32"/>
  <c r="BL300" i="32"/>
  <c r="BL301" i="32"/>
  <c r="BL302" i="32"/>
  <c r="BL303" i="32"/>
  <c r="BL304" i="32"/>
  <c r="BL305" i="32"/>
  <c r="BL306" i="32"/>
  <c r="BL307" i="32"/>
  <c r="BL308" i="32"/>
  <c r="BL309" i="32"/>
  <c r="BL310" i="32"/>
  <c r="BL311" i="32"/>
  <c r="BL312" i="32"/>
  <c r="BL313" i="32"/>
  <c r="BL314" i="32"/>
  <c r="BL315" i="32"/>
  <c r="BL316" i="32"/>
  <c r="BL317" i="32"/>
  <c r="BL318" i="32"/>
  <c r="BL319" i="32"/>
  <c r="BL320" i="32"/>
  <c r="BL321" i="32"/>
  <c r="BL322" i="32"/>
  <c r="BL323" i="32"/>
  <c r="BL324" i="32"/>
  <c r="BL325" i="32"/>
  <c r="BL326" i="32"/>
  <c r="BL327" i="32"/>
  <c r="BL328" i="32"/>
  <c r="BL329" i="32"/>
  <c r="BL330" i="32"/>
  <c r="BL331" i="32"/>
  <c r="BL332" i="32"/>
  <c r="BL333" i="32"/>
  <c r="BL334" i="32"/>
  <c r="BL335" i="32"/>
  <c r="BL336" i="32"/>
  <c r="BL337" i="32"/>
  <c r="BL338" i="32"/>
  <c r="BL339" i="32"/>
  <c r="BL340" i="32"/>
  <c r="BL341" i="32"/>
  <c r="BL342" i="32"/>
  <c r="BL343" i="32"/>
  <c r="BL344" i="32"/>
  <c r="BL345" i="32"/>
  <c r="BL346" i="32"/>
  <c r="BL347" i="32"/>
  <c r="BL348" i="32"/>
  <c r="BL349" i="32"/>
  <c r="BL350" i="32"/>
  <c r="BL351" i="32"/>
  <c r="BL352" i="32"/>
  <c r="BL353" i="32"/>
  <c r="BL354" i="32"/>
  <c r="BL355" i="32"/>
  <c r="BL356" i="32"/>
  <c r="BL357" i="32"/>
  <c r="BL358" i="32"/>
  <c r="BL359" i="32"/>
  <c r="BL360" i="32"/>
  <c r="BL361" i="32"/>
  <c r="BL362" i="32"/>
  <c r="BL363" i="32"/>
  <c r="BL364" i="32"/>
  <c r="BL365" i="32"/>
  <c r="BL366" i="32"/>
  <c r="BL367" i="32"/>
  <c r="BL368" i="32"/>
  <c r="BL369" i="32"/>
  <c r="BL370" i="32"/>
  <c r="BL371" i="32"/>
  <c r="BL372" i="32"/>
  <c r="BL373" i="32"/>
  <c r="BL374" i="32"/>
  <c r="BL375" i="32"/>
  <c r="BL376" i="32"/>
  <c r="BL377" i="32"/>
  <c r="BL378" i="32"/>
  <c r="BL379" i="32"/>
  <c r="BL380" i="32"/>
  <c r="BL381" i="32"/>
  <c r="BL382" i="32"/>
  <c r="BL383" i="32"/>
  <c r="BL384" i="32"/>
  <c r="BL385" i="32"/>
  <c r="BL386" i="32"/>
  <c r="BL387" i="32"/>
  <c r="BL388" i="32"/>
  <c r="BL389" i="32"/>
  <c r="BL390" i="32"/>
  <c r="BL391" i="32"/>
  <c r="BL392" i="32"/>
  <c r="BL393" i="32"/>
  <c r="BL394" i="32"/>
  <c r="BL395" i="32"/>
  <c r="BL396" i="32"/>
  <c r="BL397" i="32"/>
  <c r="BL398" i="32"/>
  <c r="BL399" i="32"/>
  <c r="BL400" i="32"/>
  <c r="BL401" i="32"/>
  <c r="BL402" i="32"/>
  <c r="BL403" i="32"/>
  <c r="BL404" i="32"/>
  <c r="BL405" i="32"/>
  <c r="BL406" i="32"/>
  <c r="BL407" i="32"/>
  <c r="BL408" i="32"/>
  <c r="BL409" i="32"/>
  <c r="BL410" i="32"/>
  <c r="BL411" i="32"/>
  <c r="BL412" i="32"/>
  <c r="BL413" i="32"/>
  <c r="BL414" i="32"/>
  <c r="BL415" i="32"/>
  <c r="BL416" i="32"/>
  <c r="BL417" i="32"/>
  <c r="BL418" i="32"/>
  <c r="BL419" i="32"/>
  <c r="BL420" i="32"/>
  <c r="BK4" i="32"/>
  <c r="BL4" i="32"/>
  <c r="AD2" i="23"/>
  <c r="BJ5" i="32"/>
  <c r="BJ6" i="32"/>
  <c r="BJ7" i="32"/>
  <c r="BJ8" i="32"/>
  <c r="BJ9" i="32"/>
  <c r="BJ10" i="32"/>
  <c r="BJ11" i="32"/>
  <c r="BJ12" i="32"/>
  <c r="BJ13" i="32"/>
  <c r="BJ14" i="32"/>
  <c r="BJ15" i="32"/>
  <c r="BJ16" i="32"/>
  <c r="BJ17" i="32"/>
  <c r="BJ18" i="32"/>
  <c r="BJ19" i="32"/>
  <c r="BJ20" i="32"/>
  <c r="BJ21" i="32"/>
  <c r="BJ22" i="32"/>
  <c r="BJ23" i="32"/>
  <c r="BJ24" i="32"/>
  <c r="BJ25" i="32"/>
  <c r="BJ26" i="32"/>
  <c r="BJ27" i="32"/>
  <c r="BJ28" i="32"/>
  <c r="BJ29" i="32"/>
  <c r="BJ30" i="32"/>
  <c r="BJ31" i="32"/>
  <c r="BJ32" i="32"/>
  <c r="BJ33" i="32"/>
  <c r="BJ34" i="32"/>
  <c r="BJ35" i="32"/>
  <c r="BJ36" i="32"/>
  <c r="BJ37" i="32"/>
  <c r="BJ38" i="32"/>
  <c r="BJ39" i="32"/>
  <c r="BJ40" i="32"/>
  <c r="BJ41" i="32"/>
  <c r="BJ42" i="32"/>
  <c r="BJ43" i="32"/>
  <c r="BJ44" i="32"/>
  <c r="BJ45" i="32"/>
  <c r="BJ46" i="32"/>
  <c r="BJ47" i="32"/>
  <c r="BJ48" i="32"/>
  <c r="BJ49" i="32"/>
  <c r="BJ50" i="32"/>
  <c r="BJ51" i="32"/>
  <c r="BJ52" i="32"/>
  <c r="BJ53" i="32"/>
  <c r="BJ54" i="32"/>
  <c r="BJ55" i="32"/>
  <c r="BJ56" i="32"/>
  <c r="BJ57" i="32"/>
  <c r="BJ58" i="32"/>
  <c r="BJ59" i="32"/>
  <c r="BJ60" i="32"/>
  <c r="BJ61" i="32"/>
  <c r="BJ62" i="32"/>
  <c r="BJ63" i="32"/>
  <c r="BJ64" i="32"/>
  <c r="BJ65" i="32"/>
  <c r="BJ66" i="32"/>
  <c r="BJ67" i="32"/>
  <c r="BJ68" i="32"/>
  <c r="BJ69" i="32"/>
  <c r="BJ70" i="32"/>
  <c r="BJ71" i="32"/>
  <c r="BJ72" i="32"/>
  <c r="BJ73" i="32"/>
  <c r="BJ74" i="32"/>
  <c r="BJ75" i="32"/>
  <c r="BJ76" i="32"/>
  <c r="BJ77" i="32"/>
  <c r="BJ78" i="32"/>
  <c r="BJ79" i="32"/>
  <c r="BJ80" i="32"/>
  <c r="BJ81" i="32"/>
  <c r="BJ82" i="32"/>
  <c r="BJ83" i="32"/>
  <c r="BJ84" i="32"/>
  <c r="BJ85" i="32"/>
  <c r="BJ86" i="32"/>
  <c r="BJ87" i="32"/>
  <c r="BJ88" i="32"/>
  <c r="BJ89" i="32"/>
  <c r="BJ90" i="32"/>
  <c r="BJ91" i="32"/>
  <c r="BJ92" i="32"/>
  <c r="BJ93" i="32"/>
  <c r="BJ94" i="32"/>
  <c r="BJ95" i="32"/>
  <c r="BJ96" i="32"/>
  <c r="BJ97" i="32"/>
  <c r="BJ98" i="32"/>
  <c r="BJ99" i="32"/>
  <c r="BJ100" i="32"/>
  <c r="BJ101" i="32"/>
  <c r="BJ102" i="32"/>
  <c r="BJ103" i="32"/>
  <c r="BJ104" i="32"/>
  <c r="BJ105" i="32"/>
  <c r="BJ106" i="32"/>
  <c r="BJ107" i="32"/>
  <c r="BJ108" i="32"/>
  <c r="BJ109" i="32"/>
  <c r="BJ110" i="32"/>
  <c r="BJ111" i="32"/>
  <c r="BJ112" i="32"/>
  <c r="BJ113" i="32"/>
  <c r="BJ114" i="32"/>
  <c r="BJ115" i="32"/>
  <c r="BJ116" i="32"/>
  <c r="BJ117" i="32"/>
  <c r="BJ118" i="32"/>
  <c r="BJ119" i="32"/>
  <c r="BJ120" i="32"/>
  <c r="BJ121" i="32"/>
  <c r="BJ122" i="32"/>
  <c r="BJ123" i="32"/>
  <c r="BJ124" i="32"/>
  <c r="BJ125" i="32"/>
  <c r="BJ126" i="32"/>
  <c r="BJ127" i="32"/>
  <c r="BJ128" i="32"/>
  <c r="BJ129" i="32"/>
  <c r="BJ130" i="32"/>
  <c r="BJ131" i="32"/>
  <c r="BJ132" i="32"/>
  <c r="BJ133" i="32"/>
  <c r="BJ134" i="32"/>
  <c r="BJ135" i="32"/>
  <c r="BJ136" i="32"/>
  <c r="BJ137" i="32"/>
  <c r="BJ138" i="32"/>
  <c r="BJ139" i="32"/>
  <c r="BJ140" i="32"/>
  <c r="BJ141" i="32"/>
  <c r="BJ142" i="32"/>
  <c r="BJ143" i="32"/>
  <c r="BJ144" i="32"/>
  <c r="BJ145" i="32"/>
  <c r="BJ146" i="32"/>
  <c r="BJ147" i="32"/>
  <c r="BJ148" i="32"/>
  <c r="BJ149" i="32"/>
  <c r="BJ150" i="32"/>
  <c r="BJ151" i="32"/>
  <c r="BJ152" i="32"/>
  <c r="BJ153" i="32"/>
  <c r="BJ154" i="32"/>
  <c r="BJ155" i="32"/>
  <c r="BJ156" i="32"/>
  <c r="BJ157" i="32"/>
  <c r="BJ158" i="32"/>
  <c r="BJ159" i="32"/>
  <c r="BJ160" i="32"/>
  <c r="BJ161" i="32"/>
  <c r="BJ162" i="32"/>
  <c r="BJ163" i="32"/>
  <c r="BJ164" i="32"/>
  <c r="BJ165" i="32"/>
  <c r="BJ166" i="32"/>
  <c r="BJ167" i="32"/>
  <c r="BJ168" i="32"/>
  <c r="BJ169" i="32"/>
  <c r="BJ170" i="32"/>
  <c r="BJ171" i="32"/>
  <c r="BJ172" i="32"/>
  <c r="BJ173" i="32"/>
  <c r="BJ174" i="32"/>
  <c r="BJ175" i="32"/>
  <c r="BJ176" i="32"/>
  <c r="BJ177" i="32"/>
  <c r="BJ178" i="32"/>
  <c r="BJ179" i="32"/>
  <c r="BJ180" i="32"/>
  <c r="BJ181" i="32"/>
  <c r="BJ182" i="32"/>
  <c r="BJ183" i="32"/>
  <c r="BJ184" i="32"/>
  <c r="BJ185" i="32"/>
  <c r="BJ186" i="32"/>
  <c r="BJ187" i="32"/>
  <c r="BJ188" i="32"/>
  <c r="BJ189" i="32"/>
  <c r="BJ190" i="32"/>
  <c r="BJ191" i="32"/>
  <c r="BJ192" i="32"/>
  <c r="BJ193" i="32"/>
  <c r="BJ194" i="32"/>
  <c r="BJ195" i="32"/>
  <c r="BJ196" i="32"/>
  <c r="BJ197" i="32"/>
  <c r="BJ198" i="32"/>
  <c r="BJ199" i="32"/>
  <c r="BJ200" i="32"/>
  <c r="BJ201" i="32"/>
  <c r="BJ202" i="32"/>
  <c r="BJ203" i="32"/>
  <c r="BJ204" i="32"/>
  <c r="BJ205" i="32"/>
  <c r="BJ206" i="32"/>
  <c r="BJ207" i="32"/>
  <c r="BJ208" i="32"/>
  <c r="BJ209" i="32"/>
  <c r="BJ210" i="32"/>
  <c r="BJ211" i="32"/>
  <c r="BJ212" i="32"/>
  <c r="BJ213" i="32"/>
  <c r="BJ214" i="32"/>
  <c r="BJ215" i="32"/>
  <c r="BJ216" i="32"/>
  <c r="BJ217" i="32"/>
  <c r="BJ218" i="32"/>
  <c r="BJ219" i="32"/>
  <c r="BJ220" i="32"/>
  <c r="BJ221" i="32"/>
  <c r="BJ222" i="32"/>
  <c r="BJ223" i="32"/>
  <c r="BJ224" i="32"/>
  <c r="BJ225" i="32"/>
  <c r="BJ226" i="32"/>
  <c r="BJ227" i="32"/>
  <c r="BJ228" i="32"/>
  <c r="BJ229" i="32"/>
  <c r="BJ230" i="32"/>
  <c r="BJ231" i="32"/>
  <c r="BJ232" i="32"/>
  <c r="BJ233" i="32"/>
  <c r="BJ234" i="32"/>
  <c r="BJ235" i="32"/>
  <c r="BJ236" i="32"/>
  <c r="BJ237" i="32"/>
  <c r="BJ238" i="32"/>
  <c r="BJ239" i="32"/>
  <c r="BJ240" i="32"/>
  <c r="BJ241" i="32"/>
  <c r="BJ242" i="32"/>
  <c r="BJ243" i="32"/>
  <c r="BJ244" i="32"/>
  <c r="BJ245" i="32"/>
  <c r="BJ246" i="32"/>
  <c r="BJ247" i="32"/>
  <c r="BJ248" i="32"/>
  <c r="BJ249" i="32"/>
  <c r="BJ250" i="32"/>
  <c r="BJ251" i="32"/>
  <c r="BJ252" i="32"/>
  <c r="BJ253" i="32"/>
  <c r="BJ254" i="32"/>
  <c r="BJ255" i="32"/>
  <c r="BJ256" i="32"/>
  <c r="BJ257" i="32"/>
  <c r="BJ258" i="32"/>
  <c r="BJ259" i="32"/>
  <c r="BJ260" i="32"/>
  <c r="BJ261" i="32"/>
  <c r="BJ262" i="32"/>
  <c r="BJ263" i="32"/>
  <c r="BJ264" i="32"/>
  <c r="BJ265" i="32"/>
  <c r="BJ266" i="32"/>
  <c r="BJ267" i="32"/>
  <c r="BJ268" i="32"/>
  <c r="BJ269" i="32"/>
  <c r="BJ270" i="32"/>
  <c r="BJ271" i="32"/>
  <c r="BJ272" i="32"/>
  <c r="BJ273" i="32"/>
  <c r="BJ274" i="32"/>
  <c r="BJ275" i="32"/>
  <c r="BJ276" i="32"/>
  <c r="BJ277" i="32"/>
  <c r="BJ278" i="32"/>
  <c r="BJ279" i="32"/>
  <c r="BJ280" i="32"/>
  <c r="BJ281" i="32"/>
  <c r="BJ282" i="32"/>
  <c r="BJ283" i="32"/>
  <c r="BJ284" i="32"/>
  <c r="BJ285" i="32"/>
  <c r="BJ286" i="32"/>
  <c r="BJ287" i="32"/>
  <c r="BJ288" i="32"/>
  <c r="BJ289" i="32"/>
  <c r="BJ290" i="32"/>
  <c r="BJ291" i="32"/>
  <c r="BJ292" i="32"/>
  <c r="BJ293" i="32"/>
  <c r="BJ294" i="32"/>
  <c r="BJ295" i="32"/>
  <c r="BJ296" i="32"/>
  <c r="BJ297" i="32"/>
  <c r="BJ298" i="32"/>
  <c r="BJ299" i="32"/>
  <c r="BJ300" i="32"/>
  <c r="BJ301" i="32"/>
  <c r="BJ302" i="32"/>
  <c r="BJ303" i="32"/>
  <c r="BJ304" i="32"/>
  <c r="BJ305" i="32"/>
  <c r="BJ306" i="32"/>
  <c r="BJ307" i="32"/>
  <c r="BJ308" i="32"/>
  <c r="BJ309" i="32"/>
  <c r="BJ310" i="32"/>
  <c r="BJ311" i="32"/>
  <c r="BJ312" i="32"/>
  <c r="BJ313" i="32"/>
  <c r="BJ314" i="32"/>
  <c r="BJ315" i="32"/>
  <c r="BJ316" i="32"/>
  <c r="BJ317" i="32"/>
  <c r="BJ318" i="32"/>
  <c r="BJ319" i="32"/>
  <c r="BJ320" i="32"/>
  <c r="BJ321" i="32"/>
  <c r="BJ322" i="32"/>
  <c r="BJ323" i="32"/>
  <c r="BJ324" i="32"/>
  <c r="BJ325" i="32"/>
  <c r="BJ326" i="32"/>
  <c r="BJ327" i="32"/>
  <c r="BJ328" i="32"/>
  <c r="BJ329" i="32"/>
  <c r="BJ330" i="32"/>
  <c r="BJ331" i="32"/>
  <c r="BJ332" i="32"/>
  <c r="BJ333" i="32"/>
  <c r="BJ334" i="32"/>
  <c r="BJ335" i="32"/>
  <c r="BJ336" i="32"/>
  <c r="BJ337" i="32"/>
  <c r="BJ338" i="32"/>
  <c r="BJ339" i="32"/>
  <c r="BJ340" i="32"/>
  <c r="BJ341" i="32"/>
  <c r="BJ342" i="32"/>
  <c r="BJ343" i="32"/>
  <c r="BJ344" i="32"/>
  <c r="BJ345" i="32"/>
  <c r="BJ346" i="32"/>
  <c r="BJ347" i="32"/>
  <c r="BJ348" i="32"/>
  <c r="BJ349" i="32"/>
  <c r="BJ350" i="32"/>
  <c r="BJ351" i="32"/>
  <c r="BJ352" i="32"/>
  <c r="BJ353" i="32"/>
  <c r="BJ354" i="32"/>
  <c r="BJ355" i="32"/>
  <c r="BJ356" i="32"/>
  <c r="BJ357" i="32"/>
  <c r="BJ358" i="32"/>
  <c r="BJ359" i="32"/>
  <c r="BJ360" i="32"/>
  <c r="BJ361" i="32"/>
  <c r="BJ362" i="32"/>
  <c r="BJ363" i="32"/>
  <c r="BJ364" i="32"/>
  <c r="BJ365" i="32"/>
  <c r="BJ366" i="32"/>
  <c r="BJ367" i="32"/>
  <c r="BJ368" i="32"/>
  <c r="BJ369" i="32"/>
  <c r="BJ370" i="32"/>
  <c r="BJ371" i="32"/>
  <c r="BJ372" i="32"/>
  <c r="BJ373" i="32"/>
  <c r="BJ374" i="32"/>
  <c r="BJ375" i="32"/>
  <c r="BJ376" i="32"/>
  <c r="BJ377" i="32"/>
  <c r="BJ378" i="32"/>
  <c r="BJ379" i="32"/>
  <c r="BJ380" i="32"/>
  <c r="BJ381" i="32"/>
  <c r="BJ382" i="32"/>
  <c r="BJ383" i="32"/>
  <c r="BJ384" i="32"/>
  <c r="BJ385" i="32"/>
  <c r="BJ386" i="32"/>
  <c r="BJ387" i="32"/>
  <c r="BJ388" i="32"/>
  <c r="BJ389" i="32"/>
  <c r="BJ390" i="32"/>
  <c r="BJ391" i="32"/>
  <c r="BJ392" i="32"/>
  <c r="BJ393" i="32"/>
  <c r="BJ394" i="32"/>
  <c r="BJ395" i="32"/>
  <c r="BJ396" i="32"/>
  <c r="BJ397" i="32"/>
  <c r="BJ398" i="32"/>
  <c r="BJ399" i="32"/>
  <c r="BJ400" i="32"/>
  <c r="BJ401" i="32"/>
  <c r="BJ402" i="32"/>
  <c r="BJ403" i="32"/>
  <c r="BJ404" i="32"/>
  <c r="BJ405" i="32"/>
  <c r="BJ406" i="32"/>
  <c r="BJ407" i="32"/>
  <c r="BJ408" i="32"/>
  <c r="BJ409" i="32"/>
  <c r="BJ410" i="32"/>
  <c r="BJ411" i="32"/>
  <c r="BJ412" i="32"/>
  <c r="BJ413" i="32"/>
  <c r="BJ414" i="32"/>
  <c r="BJ415" i="32"/>
  <c r="BJ416" i="32"/>
  <c r="BJ417" i="32"/>
  <c r="BJ418" i="32"/>
  <c r="BJ419" i="32"/>
  <c r="BJ420" i="32"/>
  <c r="BJ4" i="32"/>
  <c r="BI5" i="32"/>
  <c r="BI6" i="32"/>
  <c r="BI7" i="32"/>
  <c r="BI8" i="32"/>
  <c r="BI9" i="32"/>
  <c r="BI10" i="32"/>
  <c r="BI11" i="32"/>
  <c r="BI12" i="32"/>
  <c r="BI13" i="32"/>
  <c r="BI14" i="32"/>
  <c r="BI15" i="32"/>
  <c r="BI16" i="32"/>
  <c r="BI17" i="32"/>
  <c r="BI18" i="32"/>
  <c r="BI19" i="32"/>
  <c r="BI20" i="32"/>
  <c r="BI21" i="32"/>
  <c r="BI22" i="32"/>
  <c r="BI23" i="32"/>
  <c r="BI24" i="32"/>
  <c r="BI25" i="32"/>
  <c r="BI26" i="32"/>
  <c r="BI27" i="32"/>
  <c r="BI28" i="32"/>
  <c r="BI29" i="32"/>
  <c r="BI30" i="32"/>
  <c r="BI31" i="32"/>
  <c r="BI32" i="32"/>
  <c r="BI33" i="32"/>
  <c r="BI34" i="32"/>
  <c r="BI35" i="32"/>
  <c r="BI36" i="32"/>
  <c r="BI37" i="32"/>
  <c r="BI38" i="32"/>
  <c r="BI39" i="32"/>
  <c r="BI40" i="32"/>
  <c r="BI41" i="32"/>
  <c r="BI42" i="32"/>
  <c r="BI43" i="32"/>
  <c r="BI44" i="32"/>
  <c r="BI45" i="32"/>
  <c r="BI46" i="32"/>
  <c r="BI47" i="32"/>
  <c r="BI48" i="32"/>
  <c r="BI49" i="32"/>
  <c r="BI50" i="32"/>
  <c r="BI51" i="32"/>
  <c r="BI52" i="32"/>
  <c r="BI53" i="32"/>
  <c r="BI54" i="32"/>
  <c r="BI55" i="32"/>
  <c r="BI56" i="32"/>
  <c r="BI57" i="32"/>
  <c r="BI58" i="32"/>
  <c r="BI59" i="32"/>
  <c r="BI60" i="32"/>
  <c r="BI61" i="32"/>
  <c r="BI62" i="32"/>
  <c r="BI63" i="32"/>
  <c r="BI64" i="32"/>
  <c r="BI65" i="32"/>
  <c r="BI66" i="32"/>
  <c r="BI67" i="32"/>
  <c r="BI68" i="32"/>
  <c r="BI69" i="32"/>
  <c r="BI70" i="32"/>
  <c r="BI71" i="32"/>
  <c r="BI72" i="32"/>
  <c r="BI73" i="32"/>
  <c r="BI74" i="32"/>
  <c r="BI75" i="32"/>
  <c r="BI76" i="32"/>
  <c r="BI77" i="32"/>
  <c r="BI78" i="32"/>
  <c r="BI79" i="32"/>
  <c r="BI80" i="32"/>
  <c r="BI81" i="32"/>
  <c r="BI82" i="32"/>
  <c r="BI83" i="32"/>
  <c r="BI84" i="32"/>
  <c r="BI85" i="32"/>
  <c r="BI86" i="32"/>
  <c r="BI87" i="32"/>
  <c r="BI88" i="32"/>
  <c r="BI89" i="32"/>
  <c r="BI90" i="32"/>
  <c r="BI91" i="32"/>
  <c r="BI92" i="32"/>
  <c r="BI93" i="32"/>
  <c r="BI94" i="32"/>
  <c r="BI95" i="32"/>
  <c r="BI96" i="32"/>
  <c r="BI97" i="32"/>
  <c r="BI98" i="32"/>
  <c r="BI99" i="32"/>
  <c r="BI100" i="32"/>
  <c r="BI101" i="32"/>
  <c r="BI102" i="32"/>
  <c r="BI103" i="32"/>
  <c r="BI104" i="32"/>
  <c r="BI105" i="32"/>
  <c r="BI106" i="32"/>
  <c r="BI107" i="32"/>
  <c r="BI108" i="32"/>
  <c r="BI109" i="32"/>
  <c r="BI110" i="32"/>
  <c r="BI111" i="32"/>
  <c r="BI112" i="32"/>
  <c r="BI113" i="32"/>
  <c r="BI114" i="32"/>
  <c r="BI115" i="32"/>
  <c r="BI116" i="32"/>
  <c r="BI117" i="32"/>
  <c r="BI118" i="32"/>
  <c r="BI119" i="32"/>
  <c r="BI120" i="32"/>
  <c r="BI121" i="32"/>
  <c r="BI122" i="32"/>
  <c r="BI123" i="32"/>
  <c r="BI124" i="32"/>
  <c r="BI125" i="32"/>
  <c r="BI126" i="32"/>
  <c r="BI127" i="32"/>
  <c r="BI128" i="32"/>
  <c r="BI129" i="32"/>
  <c r="BI130" i="32"/>
  <c r="BI131" i="32"/>
  <c r="BI132" i="32"/>
  <c r="BI133" i="32"/>
  <c r="BI134" i="32"/>
  <c r="BI135" i="32"/>
  <c r="BI136" i="32"/>
  <c r="BI137" i="32"/>
  <c r="BI138" i="32"/>
  <c r="BI139" i="32"/>
  <c r="BI140" i="32"/>
  <c r="BI141" i="32"/>
  <c r="BI142" i="32"/>
  <c r="BI143" i="32"/>
  <c r="BI144" i="32"/>
  <c r="BI145" i="32"/>
  <c r="BI146" i="32"/>
  <c r="BI147" i="32"/>
  <c r="BI148" i="32"/>
  <c r="BI149" i="32"/>
  <c r="BI150" i="32"/>
  <c r="BI151" i="32"/>
  <c r="BI152" i="32"/>
  <c r="BI153" i="32"/>
  <c r="BI154" i="32"/>
  <c r="BI155" i="32"/>
  <c r="BI156" i="32"/>
  <c r="BI157" i="32"/>
  <c r="BI158" i="32"/>
  <c r="BI159" i="32"/>
  <c r="BI160" i="32"/>
  <c r="BI161" i="32"/>
  <c r="BI162" i="32"/>
  <c r="BI163" i="32"/>
  <c r="BI164" i="32"/>
  <c r="BI165" i="32"/>
  <c r="BI166" i="32"/>
  <c r="BI167" i="32"/>
  <c r="BI168" i="32"/>
  <c r="BI169" i="32"/>
  <c r="BI170" i="32"/>
  <c r="BI171" i="32"/>
  <c r="BI172" i="32"/>
  <c r="BI173" i="32"/>
  <c r="BI174" i="32"/>
  <c r="BI175" i="32"/>
  <c r="BI176" i="32"/>
  <c r="BI177" i="32"/>
  <c r="BI178" i="32"/>
  <c r="BI179" i="32"/>
  <c r="BI180" i="32"/>
  <c r="BI181" i="32"/>
  <c r="BI182" i="32"/>
  <c r="BI183" i="32"/>
  <c r="BI184" i="32"/>
  <c r="BI185" i="32"/>
  <c r="BI186" i="32"/>
  <c r="BI187" i="32"/>
  <c r="BI188" i="32"/>
  <c r="BI189" i="32"/>
  <c r="BI190" i="32"/>
  <c r="BI191" i="32"/>
  <c r="BI192" i="32"/>
  <c r="BI193" i="32"/>
  <c r="BI194" i="32"/>
  <c r="BI195" i="32"/>
  <c r="BI196" i="32"/>
  <c r="BI197" i="32"/>
  <c r="BI198" i="32"/>
  <c r="BI199" i="32"/>
  <c r="BI200" i="32"/>
  <c r="BI201" i="32"/>
  <c r="BI202" i="32"/>
  <c r="BI203" i="32"/>
  <c r="BI204" i="32"/>
  <c r="BI205" i="32"/>
  <c r="BI206" i="32"/>
  <c r="BI207" i="32"/>
  <c r="BI208" i="32"/>
  <c r="BI209" i="32"/>
  <c r="BI210" i="32"/>
  <c r="BI211" i="32"/>
  <c r="BI212" i="32"/>
  <c r="BI213" i="32"/>
  <c r="BI214" i="32"/>
  <c r="BI215" i="32"/>
  <c r="BI216" i="32"/>
  <c r="BI217" i="32"/>
  <c r="BI218" i="32"/>
  <c r="BI219" i="32"/>
  <c r="BI220" i="32"/>
  <c r="BI221" i="32"/>
  <c r="BI222" i="32"/>
  <c r="BI223" i="32"/>
  <c r="BI224" i="32"/>
  <c r="BI225" i="32"/>
  <c r="BI226" i="32"/>
  <c r="BI227" i="32"/>
  <c r="BI228" i="32"/>
  <c r="BI229" i="32"/>
  <c r="BI230" i="32"/>
  <c r="BI231" i="32"/>
  <c r="BI232" i="32"/>
  <c r="BI233" i="32"/>
  <c r="BI234" i="32"/>
  <c r="BI235" i="32"/>
  <c r="BI236" i="32"/>
  <c r="BI237" i="32"/>
  <c r="BI238" i="32"/>
  <c r="BI239" i="32"/>
  <c r="BI240" i="32"/>
  <c r="BI241" i="32"/>
  <c r="BI242" i="32"/>
  <c r="BI243" i="32"/>
  <c r="BI244" i="32"/>
  <c r="BI245" i="32"/>
  <c r="BI246" i="32"/>
  <c r="BI247" i="32"/>
  <c r="BI248" i="32"/>
  <c r="BI249" i="32"/>
  <c r="BI250" i="32"/>
  <c r="BI251" i="32"/>
  <c r="BI252" i="32"/>
  <c r="BI253" i="32"/>
  <c r="BI254" i="32"/>
  <c r="BI255" i="32"/>
  <c r="BI256" i="32"/>
  <c r="BI257" i="32"/>
  <c r="BI258" i="32"/>
  <c r="BI259" i="32"/>
  <c r="BI260" i="32"/>
  <c r="BI261" i="32"/>
  <c r="BI262" i="32"/>
  <c r="BI263" i="32"/>
  <c r="BI264" i="32"/>
  <c r="BI265" i="32"/>
  <c r="BI266" i="32"/>
  <c r="BI267" i="32"/>
  <c r="BI268" i="32"/>
  <c r="BI269" i="32"/>
  <c r="BI270" i="32"/>
  <c r="BI271" i="32"/>
  <c r="BI272" i="32"/>
  <c r="BI273" i="32"/>
  <c r="BI274" i="32"/>
  <c r="BI275" i="32"/>
  <c r="BI276" i="32"/>
  <c r="BI277" i="32"/>
  <c r="BI278" i="32"/>
  <c r="BI279" i="32"/>
  <c r="BI280" i="32"/>
  <c r="BI281" i="32"/>
  <c r="BI282" i="32"/>
  <c r="BI283" i="32"/>
  <c r="BI284" i="32"/>
  <c r="BI285" i="32"/>
  <c r="BI286" i="32"/>
  <c r="BI287" i="32"/>
  <c r="BI288" i="32"/>
  <c r="BI289" i="32"/>
  <c r="BI290" i="32"/>
  <c r="BI291" i="32"/>
  <c r="BI292" i="32"/>
  <c r="BI293" i="32"/>
  <c r="BI294" i="32"/>
  <c r="BI295" i="32"/>
  <c r="BI296" i="32"/>
  <c r="BI297" i="32"/>
  <c r="BI298" i="32"/>
  <c r="BI299" i="32"/>
  <c r="BI300" i="32"/>
  <c r="BI301" i="32"/>
  <c r="BI302" i="32"/>
  <c r="BI303" i="32"/>
  <c r="BI304" i="32"/>
  <c r="BI305" i="32"/>
  <c r="BI306" i="32"/>
  <c r="BI307" i="32"/>
  <c r="BI308" i="32"/>
  <c r="BI309" i="32"/>
  <c r="BI310" i="32"/>
  <c r="BI311" i="32"/>
  <c r="BI312" i="32"/>
  <c r="BI313" i="32"/>
  <c r="BI314" i="32"/>
  <c r="BI315" i="32"/>
  <c r="BI316" i="32"/>
  <c r="BI317" i="32"/>
  <c r="BI318" i="32"/>
  <c r="BI319" i="32"/>
  <c r="BI320" i="32"/>
  <c r="BI321" i="32"/>
  <c r="BI322" i="32"/>
  <c r="BI323" i="32"/>
  <c r="BI324" i="32"/>
  <c r="BI325" i="32"/>
  <c r="BI326" i="32"/>
  <c r="BI327" i="32"/>
  <c r="BI328" i="32"/>
  <c r="BI329" i="32"/>
  <c r="BI330" i="32"/>
  <c r="BI331" i="32"/>
  <c r="BI332" i="32"/>
  <c r="BI333" i="32"/>
  <c r="BI334" i="32"/>
  <c r="BI335" i="32"/>
  <c r="BI336" i="32"/>
  <c r="BI337" i="32"/>
  <c r="BI338" i="32"/>
  <c r="BI339" i="32"/>
  <c r="BI340" i="32"/>
  <c r="BI341" i="32"/>
  <c r="BI342" i="32"/>
  <c r="BI343" i="32"/>
  <c r="BI344" i="32"/>
  <c r="BI345" i="32"/>
  <c r="BI346" i="32"/>
  <c r="BI347" i="32"/>
  <c r="BI348" i="32"/>
  <c r="BI349" i="32"/>
  <c r="BI350" i="32"/>
  <c r="BI351" i="32"/>
  <c r="BI352" i="32"/>
  <c r="BI353" i="32"/>
  <c r="BI354" i="32"/>
  <c r="BI355" i="32"/>
  <c r="BI356" i="32"/>
  <c r="BI357" i="32"/>
  <c r="BI358" i="32"/>
  <c r="BI359" i="32"/>
  <c r="BI360" i="32"/>
  <c r="BI361" i="32"/>
  <c r="BI362" i="32"/>
  <c r="BI363" i="32"/>
  <c r="BI364" i="32"/>
  <c r="BI365" i="32"/>
  <c r="BI366" i="32"/>
  <c r="BI367" i="32"/>
  <c r="BI368" i="32"/>
  <c r="BI369" i="32"/>
  <c r="BI370" i="32"/>
  <c r="BI371" i="32"/>
  <c r="BI372" i="32"/>
  <c r="BI373" i="32"/>
  <c r="BI374" i="32"/>
  <c r="BI375" i="32"/>
  <c r="BI376" i="32"/>
  <c r="BI377" i="32"/>
  <c r="BI378" i="32"/>
  <c r="BI379" i="32"/>
  <c r="BI380" i="32"/>
  <c r="BI381" i="32"/>
  <c r="BI382" i="32"/>
  <c r="BI383" i="32"/>
  <c r="BI384" i="32"/>
  <c r="BI385" i="32"/>
  <c r="BI386" i="32"/>
  <c r="BI387" i="32"/>
  <c r="BI388" i="32"/>
  <c r="BI389" i="32"/>
  <c r="BI390" i="32"/>
  <c r="BI391" i="32"/>
  <c r="BI392" i="32"/>
  <c r="BI393" i="32"/>
  <c r="BI394" i="32"/>
  <c r="BI395" i="32"/>
  <c r="BI396" i="32"/>
  <c r="BI397" i="32"/>
  <c r="BI398" i="32"/>
  <c r="BI399" i="32"/>
  <c r="BI400" i="32"/>
  <c r="BI401" i="32"/>
  <c r="BI402" i="32"/>
  <c r="BI403" i="32"/>
  <c r="BI404" i="32"/>
  <c r="BI405" i="32"/>
  <c r="BI406" i="32"/>
  <c r="BI407" i="32"/>
  <c r="BI408" i="32"/>
  <c r="BI409" i="32"/>
  <c r="BI410" i="32"/>
  <c r="BI411" i="32"/>
  <c r="BI412" i="32"/>
  <c r="BI413" i="32"/>
  <c r="BI414" i="32"/>
  <c r="BI415" i="32"/>
  <c r="BI416" i="32"/>
  <c r="BI417" i="32"/>
  <c r="BI418" i="32"/>
  <c r="BI419" i="32"/>
  <c r="BI420" i="32"/>
  <c r="BI4" i="32"/>
  <c r="AE812" i="23"/>
  <c r="AB11" i="23"/>
  <c r="AC11" i="23"/>
  <c r="AD11" i="23"/>
  <c r="AE11" i="23"/>
  <c r="AB12" i="23"/>
  <c r="AC12" i="23"/>
  <c r="AD12" i="23"/>
  <c r="AE12" i="23"/>
  <c r="AB13" i="23"/>
  <c r="AC13" i="23"/>
  <c r="AD13" i="23"/>
  <c r="AE13" i="23"/>
  <c r="AB14" i="23"/>
  <c r="AC14" i="23"/>
  <c r="AD14" i="23"/>
  <c r="AE14" i="23"/>
  <c r="AB15" i="23"/>
  <c r="AC15" i="23"/>
  <c r="AD15" i="23"/>
  <c r="AE15" i="23"/>
  <c r="AB16" i="23"/>
  <c r="AC16" i="23"/>
  <c r="AD16" i="23"/>
  <c r="AE16" i="23"/>
  <c r="AB17" i="23"/>
  <c r="AC17" i="23"/>
  <c r="AD17" i="23"/>
  <c r="AE17" i="23"/>
  <c r="AB18" i="23"/>
  <c r="AC18" i="23"/>
  <c r="AD18" i="23"/>
  <c r="AE18" i="23"/>
  <c r="AB19" i="23"/>
  <c r="AC19" i="23"/>
  <c r="AD19" i="23"/>
  <c r="AE19" i="23"/>
  <c r="AB20" i="23"/>
  <c r="AC20" i="23"/>
  <c r="AD20" i="23"/>
  <c r="AE20" i="23"/>
  <c r="AB21" i="23"/>
  <c r="AC21" i="23"/>
  <c r="AD21" i="23"/>
  <c r="AE21" i="23"/>
  <c r="AB22" i="23"/>
  <c r="AC22" i="23"/>
  <c r="AD22" i="23"/>
  <c r="AE22" i="23"/>
  <c r="AB23" i="23"/>
  <c r="AC23" i="23"/>
  <c r="AD23" i="23"/>
  <c r="AE23" i="23"/>
  <c r="AB24" i="23"/>
  <c r="AC24" i="23"/>
  <c r="AD24" i="23"/>
  <c r="AE24" i="23"/>
  <c r="AB25" i="23"/>
  <c r="AC25" i="23"/>
  <c r="AD25" i="23"/>
  <c r="AE25" i="23"/>
  <c r="AB26" i="23"/>
  <c r="AC26" i="23"/>
  <c r="AD26" i="23"/>
  <c r="AE26" i="23"/>
  <c r="AB27" i="23"/>
  <c r="AC27" i="23"/>
  <c r="AD27" i="23"/>
  <c r="AE27" i="23"/>
  <c r="AB28" i="23"/>
  <c r="AC28" i="23"/>
  <c r="AD28" i="23"/>
  <c r="AE28" i="23"/>
  <c r="AB29" i="23"/>
  <c r="AC29" i="23"/>
  <c r="AD29" i="23"/>
  <c r="AE29" i="23"/>
  <c r="AB30" i="23"/>
  <c r="AC30" i="23"/>
  <c r="AD30" i="23"/>
  <c r="AE30" i="23"/>
  <c r="AB31" i="23"/>
  <c r="AC31" i="23"/>
  <c r="AD31" i="23"/>
  <c r="AE31" i="23"/>
  <c r="AB32" i="23"/>
  <c r="AC32" i="23"/>
  <c r="AD32" i="23"/>
  <c r="AE32" i="23"/>
  <c r="AB33" i="23"/>
  <c r="AC33" i="23"/>
  <c r="AD33" i="23"/>
  <c r="AE33" i="23"/>
  <c r="AB34" i="23"/>
  <c r="AC34" i="23"/>
  <c r="AD34" i="23"/>
  <c r="AE34" i="23"/>
  <c r="AB35" i="23"/>
  <c r="AC35" i="23"/>
  <c r="AD35" i="23"/>
  <c r="AE35" i="23"/>
  <c r="AB36" i="23"/>
  <c r="AC36" i="23"/>
  <c r="AD36" i="23"/>
  <c r="AE36" i="23"/>
  <c r="AB37" i="23"/>
  <c r="AC37" i="23"/>
  <c r="AD37" i="23"/>
  <c r="AE37" i="23"/>
  <c r="AB38" i="23"/>
  <c r="AC38" i="23"/>
  <c r="AD38" i="23"/>
  <c r="AE38" i="23"/>
  <c r="AB39" i="23"/>
  <c r="AC39" i="23"/>
  <c r="AD39" i="23"/>
  <c r="AE39" i="23"/>
  <c r="AB40" i="23"/>
  <c r="AC40" i="23"/>
  <c r="AD40" i="23"/>
  <c r="AE40" i="23"/>
  <c r="AB41" i="23"/>
  <c r="AC41" i="23"/>
  <c r="AD41" i="23"/>
  <c r="AE41" i="23"/>
  <c r="AB42" i="23"/>
  <c r="AC42" i="23"/>
  <c r="AD42" i="23"/>
  <c r="AE42" i="23"/>
  <c r="AB43" i="23"/>
  <c r="AC43" i="23"/>
  <c r="AD43" i="23"/>
  <c r="AE43" i="23"/>
  <c r="AB44" i="23"/>
  <c r="AC44" i="23"/>
  <c r="AD44" i="23"/>
  <c r="AE44" i="23"/>
  <c r="AB45" i="23"/>
  <c r="AC45" i="23"/>
  <c r="AD45" i="23"/>
  <c r="AE45" i="23"/>
  <c r="AB46" i="23"/>
  <c r="AC46" i="23"/>
  <c r="AD46" i="23"/>
  <c r="AE46" i="23"/>
  <c r="AB47" i="23"/>
  <c r="AC47" i="23"/>
  <c r="AD47" i="23"/>
  <c r="AE47" i="23"/>
  <c r="AB48" i="23"/>
  <c r="AC48" i="23"/>
  <c r="AD48" i="23"/>
  <c r="AE48" i="23"/>
  <c r="AB49" i="23"/>
  <c r="AC49" i="23"/>
  <c r="AD49" i="23"/>
  <c r="AE49" i="23"/>
  <c r="AB50" i="23"/>
  <c r="AC50" i="23"/>
  <c r="AD50" i="23"/>
  <c r="AE50" i="23"/>
  <c r="AB51" i="23"/>
  <c r="AC51" i="23"/>
  <c r="AD51" i="23"/>
  <c r="AE51" i="23"/>
  <c r="AB52" i="23"/>
  <c r="AC52" i="23"/>
  <c r="AD52" i="23"/>
  <c r="AE52" i="23"/>
  <c r="AB53" i="23"/>
  <c r="AC53" i="23"/>
  <c r="AD53" i="23"/>
  <c r="AE53" i="23"/>
  <c r="AB54" i="23"/>
  <c r="AC54" i="23"/>
  <c r="AD54" i="23"/>
  <c r="AE54" i="23"/>
  <c r="AB55" i="23"/>
  <c r="AC55" i="23"/>
  <c r="AD55" i="23"/>
  <c r="AE55" i="23"/>
  <c r="AB56" i="23"/>
  <c r="AC56" i="23"/>
  <c r="AD56" i="23"/>
  <c r="AE56" i="23"/>
  <c r="AB57" i="23"/>
  <c r="AC57" i="23"/>
  <c r="AD57" i="23"/>
  <c r="AE57" i="23"/>
  <c r="AB58" i="23"/>
  <c r="AC58" i="23"/>
  <c r="AD58" i="23"/>
  <c r="AE58" i="23"/>
  <c r="AB59" i="23"/>
  <c r="AC59" i="23"/>
  <c r="AD59" i="23"/>
  <c r="AE59" i="23"/>
  <c r="AB60" i="23"/>
  <c r="AC60" i="23"/>
  <c r="AD60" i="23"/>
  <c r="AE60" i="23"/>
  <c r="AB61" i="23"/>
  <c r="AC61" i="23"/>
  <c r="AD61" i="23"/>
  <c r="AE61" i="23"/>
  <c r="AB62" i="23"/>
  <c r="AC62" i="23"/>
  <c r="AD62" i="23"/>
  <c r="AE62" i="23"/>
  <c r="AB63" i="23"/>
  <c r="AC63" i="23"/>
  <c r="AD63" i="23"/>
  <c r="AE63" i="23"/>
  <c r="AB64" i="23"/>
  <c r="AC64" i="23"/>
  <c r="AD64" i="23"/>
  <c r="AE64" i="23"/>
  <c r="AB65" i="23"/>
  <c r="AC65" i="23"/>
  <c r="AD65" i="23"/>
  <c r="AE65" i="23"/>
  <c r="AB66" i="23"/>
  <c r="AC66" i="23"/>
  <c r="AD66" i="23"/>
  <c r="AE66" i="23"/>
  <c r="AB67" i="23"/>
  <c r="AC67" i="23"/>
  <c r="AD67" i="23"/>
  <c r="AE67" i="23"/>
  <c r="AB68" i="23"/>
  <c r="AC68" i="23"/>
  <c r="AD68" i="23"/>
  <c r="AE68" i="23"/>
  <c r="AB69" i="23"/>
  <c r="AC69" i="23"/>
  <c r="AD69" i="23"/>
  <c r="AE69" i="23"/>
  <c r="AB70" i="23"/>
  <c r="AC70" i="23"/>
  <c r="AD70" i="23"/>
  <c r="AE70" i="23"/>
  <c r="AB71" i="23"/>
  <c r="AC71" i="23"/>
  <c r="AD71" i="23"/>
  <c r="AE71" i="23"/>
  <c r="AB72" i="23"/>
  <c r="AC72" i="23"/>
  <c r="AD72" i="23"/>
  <c r="AE72" i="23"/>
  <c r="AB73" i="23"/>
  <c r="AC73" i="23"/>
  <c r="AD73" i="23"/>
  <c r="AE73" i="23"/>
  <c r="AB74" i="23"/>
  <c r="AC74" i="23"/>
  <c r="AD74" i="23"/>
  <c r="AE74" i="23"/>
  <c r="AB75" i="23"/>
  <c r="AC75" i="23"/>
  <c r="AD75" i="23"/>
  <c r="AE75" i="23"/>
  <c r="AB76" i="23"/>
  <c r="AC76" i="23"/>
  <c r="AD76" i="23"/>
  <c r="AE76" i="23"/>
  <c r="AB77" i="23"/>
  <c r="AC77" i="23"/>
  <c r="AD77" i="23"/>
  <c r="AE77" i="23"/>
  <c r="AB78" i="23"/>
  <c r="AC78" i="23"/>
  <c r="AD78" i="23"/>
  <c r="AE78" i="23"/>
  <c r="AB79" i="23"/>
  <c r="AC79" i="23"/>
  <c r="AD79" i="23"/>
  <c r="AE79" i="23"/>
  <c r="AB80" i="23"/>
  <c r="AC80" i="23"/>
  <c r="AD80" i="23"/>
  <c r="AE80" i="23"/>
  <c r="AB81" i="23"/>
  <c r="AC81" i="23"/>
  <c r="AD81" i="23"/>
  <c r="AE81" i="23"/>
  <c r="AB82" i="23"/>
  <c r="AC82" i="23"/>
  <c r="AD82" i="23"/>
  <c r="AE82" i="23"/>
  <c r="AB83" i="23"/>
  <c r="AC83" i="23"/>
  <c r="AD83" i="23"/>
  <c r="AE83" i="23"/>
  <c r="AB84" i="23"/>
  <c r="AC84" i="23"/>
  <c r="AD84" i="23"/>
  <c r="AE84" i="23"/>
  <c r="AB85" i="23"/>
  <c r="AC85" i="23"/>
  <c r="AD85" i="23"/>
  <c r="AE85" i="23"/>
  <c r="AB86" i="23"/>
  <c r="AC86" i="23"/>
  <c r="AD86" i="23"/>
  <c r="AE86" i="23"/>
  <c r="AB87" i="23"/>
  <c r="AC87" i="23"/>
  <c r="AD87" i="23"/>
  <c r="AE87" i="23"/>
  <c r="AB88" i="23"/>
  <c r="AC88" i="23"/>
  <c r="AD88" i="23"/>
  <c r="AE88" i="23"/>
  <c r="AB89" i="23"/>
  <c r="AC89" i="23"/>
  <c r="AD89" i="23"/>
  <c r="AE89" i="23"/>
  <c r="AB90" i="23"/>
  <c r="AC90" i="23"/>
  <c r="AD90" i="23"/>
  <c r="AE90" i="23"/>
  <c r="AB91" i="23"/>
  <c r="AC91" i="23"/>
  <c r="AD91" i="23"/>
  <c r="AE91" i="23"/>
  <c r="AB92" i="23"/>
  <c r="AC92" i="23"/>
  <c r="AD92" i="23"/>
  <c r="AE92" i="23"/>
  <c r="AB93" i="23"/>
  <c r="AC93" i="23"/>
  <c r="AD93" i="23"/>
  <c r="AE93" i="23"/>
  <c r="AB94" i="23"/>
  <c r="AC94" i="23"/>
  <c r="AD94" i="23"/>
  <c r="AE94" i="23"/>
  <c r="AB95" i="23"/>
  <c r="AC95" i="23"/>
  <c r="AD95" i="23"/>
  <c r="AE95" i="23"/>
  <c r="AB96" i="23"/>
  <c r="AC96" i="23"/>
  <c r="AD96" i="23"/>
  <c r="AE96" i="23"/>
  <c r="AB97" i="23"/>
  <c r="AC97" i="23"/>
  <c r="AD97" i="23"/>
  <c r="AE97" i="23"/>
  <c r="AB98" i="23"/>
  <c r="AC98" i="23"/>
  <c r="AD98" i="23"/>
  <c r="AE98" i="23"/>
  <c r="AB99" i="23"/>
  <c r="AC99" i="23"/>
  <c r="AD99" i="23"/>
  <c r="AE99" i="23"/>
  <c r="AB100" i="23"/>
  <c r="AC100" i="23"/>
  <c r="AD100" i="23"/>
  <c r="AE100" i="23"/>
  <c r="AB101" i="23"/>
  <c r="AC101" i="23"/>
  <c r="AD101" i="23"/>
  <c r="AE101" i="23"/>
  <c r="AB102" i="23"/>
  <c r="AC102" i="23"/>
  <c r="AD102" i="23"/>
  <c r="AE102" i="23"/>
  <c r="AB103" i="23"/>
  <c r="AC103" i="23"/>
  <c r="AD103" i="23"/>
  <c r="AE103" i="23"/>
  <c r="AB104" i="23"/>
  <c r="AC104" i="23"/>
  <c r="AD104" i="23"/>
  <c r="AE104" i="23"/>
  <c r="AB105" i="23"/>
  <c r="AC105" i="23"/>
  <c r="AD105" i="23"/>
  <c r="AE105" i="23"/>
  <c r="AB106" i="23"/>
  <c r="AC106" i="23"/>
  <c r="AD106" i="23"/>
  <c r="AE106" i="23"/>
  <c r="AB107" i="23"/>
  <c r="AC107" i="23"/>
  <c r="AD107" i="23"/>
  <c r="AE107" i="23"/>
  <c r="AB108" i="23"/>
  <c r="AC108" i="23"/>
  <c r="AD108" i="23"/>
  <c r="AE108" i="23"/>
  <c r="AB109" i="23"/>
  <c r="AC109" i="23"/>
  <c r="AD109" i="23"/>
  <c r="AE109" i="23"/>
  <c r="AB110" i="23"/>
  <c r="AC110" i="23"/>
  <c r="AD110" i="23"/>
  <c r="AE110" i="23"/>
  <c r="AB111" i="23"/>
  <c r="AC111" i="23"/>
  <c r="AD111" i="23"/>
  <c r="AE111" i="23"/>
  <c r="AB112" i="23"/>
  <c r="AC112" i="23"/>
  <c r="AD112" i="23"/>
  <c r="AE112" i="23"/>
  <c r="AB113" i="23"/>
  <c r="AC113" i="23"/>
  <c r="AD113" i="23"/>
  <c r="AE113" i="23"/>
  <c r="AB114" i="23"/>
  <c r="AC114" i="23"/>
  <c r="AD114" i="23"/>
  <c r="AE114" i="23"/>
  <c r="AB115" i="23"/>
  <c r="AC115" i="23"/>
  <c r="AD115" i="23"/>
  <c r="AE115" i="23"/>
  <c r="AB116" i="23"/>
  <c r="AC116" i="23"/>
  <c r="AD116" i="23"/>
  <c r="AE116" i="23"/>
  <c r="AB117" i="23"/>
  <c r="AC117" i="23"/>
  <c r="AD117" i="23"/>
  <c r="AE117" i="23"/>
  <c r="AB118" i="23"/>
  <c r="AC118" i="23"/>
  <c r="AD118" i="23"/>
  <c r="AE118" i="23"/>
  <c r="AB119" i="23"/>
  <c r="AC119" i="23"/>
  <c r="AD119" i="23"/>
  <c r="AE119" i="23"/>
  <c r="AB120" i="23"/>
  <c r="AC120" i="23"/>
  <c r="AD120" i="23"/>
  <c r="AE120" i="23"/>
  <c r="AB121" i="23"/>
  <c r="AC121" i="23"/>
  <c r="AD121" i="23"/>
  <c r="AE121" i="23"/>
  <c r="AB122" i="23"/>
  <c r="AC122" i="23"/>
  <c r="AD122" i="23"/>
  <c r="AE122" i="23"/>
  <c r="AB123" i="23"/>
  <c r="AC123" i="23"/>
  <c r="AD123" i="23"/>
  <c r="AE123" i="23"/>
  <c r="AB124" i="23"/>
  <c r="AC124" i="23"/>
  <c r="AD124" i="23"/>
  <c r="AE124" i="23"/>
  <c r="AB125" i="23"/>
  <c r="AC125" i="23"/>
  <c r="AD125" i="23"/>
  <c r="AE125" i="23"/>
  <c r="AB126" i="23"/>
  <c r="AC126" i="23"/>
  <c r="AD126" i="23"/>
  <c r="AE126" i="23"/>
  <c r="AB127" i="23"/>
  <c r="AC127" i="23"/>
  <c r="AD127" i="23"/>
  <c r="AE127" i="23"/>
  <c r="AB128" i="23"/>
  <c r="AC128" i="23"/>
  <c r="AD128" i="23"/>
  <c r="AE128" i="23"/>
  <c r="AB129" i="23"/>
  <c r="AC129" i="23"/>
  <c r="AD129" i="23"/>
  <c r="AE129" i="23"/>
  <c r="AB130" i="23"/>
  <c r="AC130" i="23"/>
  <c r="AD130" i="23"/>
  <c r="AE130" i="23"/>
  <c r="AB131" i="23"/>
  <c r="AC131" i="23"/>
  <c r="AD131" i="23"/>
  <c r="AE131" i="23"/>
  <c r="AB132" i="23"/>
  <c r="AC132" i="23"/>
  <c r="AD132" i="23"/>
  <c r="AE132" i="23"/>
  <c r="AB133" i="23"/>
  <c r="AC133" i="23"/>
  <c r="AD133" i="23"/>
  <c r="AE133" i="23"/>
  <c r="AB134" i="23"/>
  <c r="AC134" i="23"/>
  <c r="AD134" i="23"/>
  <c r="AE134" i="23"/>
  <c r="AB135" i="23"/>
  <c r="AC135" i="23"/>
  <c r="AD135" i="23"/>
  <c r="AE135" i="23"/>
  <c r="AB136" i="23"/>
  <c r="AC136" i="23"/>
  <c r="AD136" i="23"/>
  <c r="AE136" i="23"/>
  <c r="AB137" i="23"/>
  <c r="AC137" i="23"/>
  <c r="AD137" i="23"/>
  <c r="AE137" i="23"/>
  <c r="AB138" i="23"/>
  <c r="AC138" i="23"/>
  <c r="AD138" i="23"/>
  <c r="AE138" i="23"/>
  <c r="AB139" i="23"/>
  <c r="AC139" i="23"/>
  <c r="AD139" i="23"/>
  <c r="AE139" i="23"/>
  <c r="AB140" i="23"/>
  <c r="AC140" i="23"/>
  <c r="AD140" i="23"/>
  <c r="AE140" i="23"/>
  <c r="AB141" i="23"/>
  <c r="AC141" i="23"/>
  <c r="AD141" i="23"/>
  <c r="AE141" i="23"/>
  <c r="AB142" i="23"/>
  <c r="AC142" i="23"/>
  <c r="AD142" i="23"/>
  <c r="AE142" i="23"/>
  <c r="AB143" i="23"/>
  <c r="AC143" i="23"/>
  <c r="AD143" i="23"/>
  <c r="AE143" i="23"/>
  <c r="AB144" i="23"/>
  <c r="AC144" i="23"/>
  <c r="AD144" i="23"/>
  <c r="AE144" i="23"/>
  <c r="AB145" i="23"/>
  <c r="AC145" i="23"/>
  <c r="AD145" i="23"/>
  <c r="AE145" i="23"/>
  <c r="AB146" i="23"/>
  <c r="AC146" i="23"/>
  <c r="AD146" i="23"/>
  <c r="AE146" i="23"/>
  <c r="AB147" i="23"/>
  <c r="AC147" i="23"/>
  <c r="AD147" i="23"/>
  <c r="AE147" i="23"/>
  <c r="AB148" i="23"/>
  <c r="AC148" i="23"/>
  <c r="AD148" i="23"/>
  <c r="AE148" i="23"/>
  <c r="AB149" i="23"/>
  <c r="AC149" i="23"/>
  <c r="AD149" i="23"/>
  <c r="AE149" i="23"/>
  <c r="AB150" i="23"/>
  <c r="AC150" i="23"/>
  <c r="AD150" i="23"/>
  <c r="AE150" i="23"/>
  <c r="AB151" i="23"/>
  <c r="AC151" i="23"/>
  <c r="AD151" i="23"/>
  <c r="AE151" i="23"/>
  <c r="AB152" i="23"/>
  <c r="AC152" i="23"/>
  <c r="AD152" i="23"/>
  <c r="AE152" i="23"/>
  <c r="AB153" i="23"/>
  <c r="AC153" i="23"/>
  <c r="AD153" i="23"/>
  <c r="AE153" i="23"/>
  <c r="AB154" i="23"/>
  <c r="AC154" i="23"/>
  <c r="AD154" i="23"/>
  <c r="AE154" i="23"/>
  <c r="AB155" i="23"/>
  <c r="AC155" i="23"/>
  <c r="AD155" i="23"/>
  <c r="AE155" i="23"/>
  <c r="AB156" i="23"/>
  <c r="AC156" i="23"/>
  <c r="AD156" i="23"/>
  <c r="AE156" i="23"/>
  <c r="AB157" i="23"/>
  <c r="AC157" i="23"/>
  <c r="AD157" i="23"/>
  <c r="AE157" i="23"/>
  <c r="AB158" i="23"/>
  <c r="AC158" i="23"/>
  <c r="AD158" i="23"/>
  <c r="AE158" i="23"/>
  <c r="AB159" i="23"/>
  <c r="AC159" i="23"/>
  <c r="AD159" i="23"/>
  <c r="AE159" i="23"/>
  <c r="AB160" i="23"/>
  <c r="AC160" i="23"/>
  <c r="AD160" i="23"/>
  <c r="AE160" i="23"/>
  <c r="AB161" i="23"/>
  <c r="AC161" i="23"/>
  <c r="AD161" i="23"/>
  <c r="AE161" i="23"/>
  <c r="AB162" i="23"/>
  <c r="AC162" i="23"/>
  <c r="AD162" i="23"/>
  <c r="AE162" i="23"/>
  <c r="AB163" i="23"/>
  <c r="AC163" i="23"/>
  <c r="AD163" i="23"/>
  <c r="AE163" i="23"/>
  <c r="AB164" i="23"/>
  <c r="AC164" i="23"/>
  <c r="AD164" i="23"/>
  <c r="AE164" i="23"/>
  <c r="AB165" i="23"/>
  <c r="AC165" i="23"/>
  <c r="AD165" i="23"/>
  <c r="AE165" i="23"/>
  <c r="AB166" i="23"/>
  <c r="AC166" i="23"/>
  <c r="AD166" i="23"/>
  <c r="AE166" i="23"/>
  <c r="AB167" i="23"/>
  <c r="AC167" i="23"/>
  <c r="AD167" i="23"/>
  <c r="AE167" i="23"/>
  <c r="AB168" i="23"/>
  <c r="AC168" i="23"/>
  <c r="AD168" i="23"/>
  <c r="AE168" i="23"/>
  <c r="AB169" i="23"/>
  <c r="AC169" i="23"/>
  <c r="AD169" i="23"/>
  <c r="AE169" i="23"/>
  <c r="AB170" i="23"/>
  <c r="AC170" i="23"/>
  <c r="AD170" i="23"/>
  <c r="AE170" i="23"/>
  <c r="AB171" i="23"/>
  <c r="AC171" i="23"/>
  <c r="AD171" i="23"/>
  <c r="AE171" i="23"/>
  <c r="AB172" i="23"/>
  <c r="AC172" i="23"/>
  <c r="AD172" i="23"/>
  <c r="AE172" i="23"/>
  <c r="AB173" i="23"/>
  <c r="AC173" i="23"/>
  <c r="AD173" i="23"/>
  <c r="AE173" i="23"/>
  <c r="AB174" i="23"/>
  <c r="AC174" i="23"/>
  <c r="AD174" i="23"/>
  <c r="AE174" i="23"/>
  <c r="AB175" i="23"/>
  <c r="AC175" i="23"/>
  <c r="AD175" i="23"/>
  <c r="AE175" i="23"/>
  <c r="AB176" i="23"/>
  <c r="AC176" i="23"/>
  <c r="AD176" i="23"/>
  <c r="AE176" i="23"/>
  <c r="AB177" i="23"/>
  <c r="AC177" i="23"/>
  <c r="AD177" i="23"/>
  <c r="AE177" i="23"/>
  <c r="AB178" i="23"/>
  <c r="AC178" i="23"/>
  <c r="AD178" i="23"/>
  <c r="AE178" i="23"/>
  <c r="AB179" i="23"/>
  <c r="AC179" i="23"/>
  <c r="AD179" i="23"/>
  <c r="AE179" i="23"/>
  <c r="AB180" i="23"/>
  <c r="AC180" i="23"/>
  <c r="AD180" i="23"/>
  <c r="AE180" i="23"/>
  <c r="AB181" i="23"/>
  <c r="AC181" i="23"/>
  <c r="AD181" i="23"/>
  <c r="AE181" i="23"/>
  <c r="AB182" i="23"/>
  <c r="AC182" i="23"/>
  <c r="AD182" i="23"/>
  <c r="AE182" i="23"/>
  <c r="AB183" i="23"/>
  <c r="AC183" i="23"/>
  <c r="AD183" i="23"/>
  <c r="AE183" i="23"/>
  <c r="AB184" i="23"/>
  <c r="AC184" i="23"/>
  <c r="AD184" i="23"/>
  <c r="AE184" i="23"/>
  <c r="AB185" i="23"/>
  <c r="AC185" i="23"/>
  <c r="AD185" i="23"/>
  <c r="AE185" i="23"/>
  <c r="AB186" i="23"/>
  <c r="AC186" i="23"/>
  <c r="AD186" i="23"/>
  <c r="AE186" i="23"/>
  <c r="AB187" i="23"/>
  <c r="AC187" i="23"/>
  <c r="AD187" i="23"/>
  <c r="AE187" i="23"/>
  <c r="AB188" i="23"/>
  <c r="AC188" i="23"/>
  <c r="AD188" i="23"/>
  <c r="AE188" i="23"/>
  <c r="AB189" i="23"/>
  <c r="AC189" i="23"/>
  <c r="AD189" i="23"/>
  <c r="AE189" i="23"/>
  <c r="AB190" i="23"/>
  <c r="AC190" i="23"/>
  <c r="AD190" i="23"/>
  <c r="AE190" i="23"/>
  <c r="AB191" i="23"/>
  <c r="AC191" i="23"/>
  <c r="AD191" i="23"/>
  <c r="AE191" i="23"/>
  <c r="AB192" i="23"/>
  <c r="AC192" i="23"/>
  <c r="AD192" i="23"/>
  <c r="AE192" i="23"/>
  <c r="AB193" i="23"/>
  <c r="AC193" i="23"/>
  <c r="AD193" i="23"/>
  <c r="AE193" i="23"/>
  <c r="AB194" i="23"/>
  <c r="AC194" i="23"/>
  <c r="AD194" i="23"/>
  <c r="AE194" i="23"/>
  <c r="AB195" i="23"/>
  <c r="AC195" i="23"/>
  <c r="AD195" i="23"/>
  <c r="AE195" i="23"/>
  <c r="AB196" i="23"/>
  <c r="AC196" i="23"/>
  <c r="AD196" i="23"/>
  <c r="AE196" i="23"/>
  <c r="AB197" i="23"/>
  <c r="AC197" i="23"/>
  <c r="AD197" i="23"/>
  <c r="AE197" i="23"/>
  <c r="AB198" i="23"/>
  <c r="AC198" i="23"/>
  <c r="AD198" i="23"/>
  <c r="AE198" i="23"/>
  <c r="AB199" i="23"/>
  <c r="AC199" i="23"/>
  <c r="AD199" i="23"/>
  <c r="AE199" i="23"/>
  <c r="AB200" i="23"/>
  <c r="AC200" i="23"/>
  <c r="AD200" i="23"/>
  <c r="AE200" i="23"/>
  <c r="AB201" i="23"/>
  <c r="AC201" i="23"/>
  <c r="AD201" i="23"/>
  <c r="AE201" i="23"/>
  <c r="AB202" i="23"/>
  <c r="AC202" i="23"/>
  <c r="AD202" i="23"/>
  <c r="AE202" i="23"/>
  <c r="AB203" i="23"/>
  <c r="AC203" i="23"/>
  <c r="AD203" i="23"/>
  <c r="AE203" i="23"/>
  <c r="AB204" i="23"/>
  <c r="AC204" i="23"/>
  <c r="AD204" i="23"/>
  <c r="AE204" i="23"/>
  <c r="AB205" i="23"/>
  <c r="AC205" i="23"/>
  <c r="AD205" i="23"/>
  <c r="AE205" i="23"/>
  <c r="AB206" i="23"/>
  <c r="AC206" i="23"/>
  <c r="AD206" i="23"/>
  <c r="AE206" i="23"/>
  <c r="AB207" i="23"/>
  <c r="AC207" i="23"/>
  <c r="AD207" i="23"/>
  <c r="AE207" i="23"/>
  <c r="AB208" i="23"/>
  <c r="AC208" i="23"/>
  <c r="AD208" i="23"/>
  <c r="AE208" i="23"/>
  <c r="AB209" i="23"/>
  <c r="AC209" i="23"/>
  <c r="AD209" i="23"/>
  <c r="AE209" i="23"/>
  <c r="AB210" i="23"/>
  <c r="AC210" i="23"/>
  <c r="AD210" i="23"/>
  <c r="AE210" i="23"/>
  <c r="AB211" i="23"/>
  <c r="AC211" i="23"/>
  <c r="AD211" i="23"/>
  <c r="AE211" i="23"/>
  <c r="AB212" i="23"/>
  <c r="AC212" i="23"/>
  <c r="AD212" i="23"/>
  <c r="AE212" i="23"/>
  <c r="AB213" i="23"/>
  <c r="AC213" i="23"/>
  <c r="AD213" i="23"/>
  <c r="AE213" i="23"/>
  <c r="AB214" i="23"/>
  <c r="AC214" i="23"/>
  <c r="AD214" i="23"/>
  <c r="AE214" i="23"/>
  <c r="AB215" i="23"/>
  <c r="AC215" i="23"/>
  <c r="AD215" i="23"/>
  <c r="AE215" i="23"/>
  <c r="AB216" i="23"/>
  <c r="AC216" i="23"/>
  <c r="AD216" i="23"/>
  <c r="AE216" i="23"/>
  <c r="AB217" i="23"/>
  <c r="AC217" i="23"/>
  <c r="AD217" i="23"/>
  <c r="AE217" i="23"/>
  <c r="AB218" i="23"/>
  <c r="AC218" i="23"/>
  <c r="AD218" i="23"/>
  <c r="AE218" i="23"/>
  <c r="AB219" i="23"/>
  <c r="AC219" i="23"/>
  <c r="AD219" i="23"/>
  <c r="AE219" i="23"/>
  <c r="AB220" i="23"/>
  <c r="AC220" i="23"/>
  <c r="AD220" i="23"/>
  <c r="AE220" i="23"/>
  <c r="AB221" i="23"/>
  <c r="AC221" i="23"/>
  <c r="AD221" i="23"/>
  <c r="AE221" i="23"/>
  <c r="AB222" i="23"/>
  <c r="AC222" i="23"/>
  <c r="AD222" i="23"/>
  <c r="AE222" i="23"/>
  <c r="AB223" i="23"/>
  <c r="AC223" i="23"/>
  <c r="AD223" i="23"/>
  <c r="AE223" i="23"/>
  <c r="AB224" i="23"/>
  <c r="AC224" i="23"/>
  <c r="AD224" i="23"/>
  <c r="AE224" i="23"/>
  <c r="AB225" i="23"/>
  <c r="AC225" i="23"/>
  <c r="AD225" i="23"/>
  <c r="AE225" i="23"/>
  <c r="AB226" i="23"/>
  <c r="AC226" i="23"/>
  <c r="AD226" i="23"/>
  <c r="AE226" i="23"/>
  <c r="AB227" i="23"/>
  <c r="AC227" i="23"/>
  <c r="AD227" i="23"/>
  <c r="AE227" i="23"/>
  <c r="AB228" i="23"/>
  <c r="AC228" i="23"/>
  <c r="AD228" i="23"/>
  <c r="AE228" i="23"/>
  <c r="AB229" i="23"/>
  <c r="AC229" i="23"/>
  <c r="AD229" i="23"/>
  <c r="AE229" i="23"/>
  <c r="AB230" i="23"/>
  <c r="AC230" i="23"/>
  <c r="AD230" i="23"/>
  <c r="AE230" i="23"/>
  <c r="AB231" i="23"/>
  <c r="AC231" i="23"/>
  <c r="AD231" i="23"/>
  <c r="AE231" i="23"/>
  <c r="AB232" i="23"/>
  <c r="AC232" i="23"/>
  <c r="AD232" i="23"/>
  <c r="AE232" i="23"/>
  <c r="AB233" i="23"/>
  <c r="AC233" i="23"/>
  <c r="AD233" i="23"/>
  <c r="AE233" i="23"/>
  <c r="AB234" i="23"/>
  <c r="AC234" i="23"/>
  <c r="AD234" i="23"/>
  <c r="AE234" i="23"/>
  <c r="AB235" i="23"/>
  <c r="AC235" i="23"/>
  <c r="AD235" i="23"/>
  <c r="AE235" i="23"/>
  <c r="AB236" i="23"/>
  <c r="AC236" i="23"/>
  <c r="AD236" i="23"/>
  <c r="AE236" i="23"/>
  <c r="AB237" i="23"/>
  <c r="AC237" i="23"/>
  <c r="AD237" i="23"/>
  <c r="AE237" i="23"/>
  <c r="AB238" i="23"/>
  <c r="AC238" i="23"/>
  <c r="AD238" i="23"/>
  <c r="AE238" i="23"/>
  <c r="AB239" i="23"/>
  <c r="AC239" i="23"/>
  <c r="AD239" i="23"/>
  <c r="AE239" i="23"/>
  <c r="AB240" i="23"/>
  <c r="AC240" i="23"/>
  <c r="AD240" i="23"/>
  <c r="AE240" i="23"/>
  <c r="AB241" i="23"/>
  <c r="AC241" i="23"/>
  <c r="AD241" i="23"/>
  <c r="AE241" i="23"/>
  <c r="AB242" i="23"/>
  <c r="AC242" i="23"/>
  <c r="AD242" i="23"/>
  <c r="AE242" i="23"/>
  <c r="AB243" i="23"/>
  <c r="AC243" i="23"/>
  <c r="AD243" i="23"/>
  <c r="AE243" i="23"/>
  <c r="AB244" i="23"/>
  <c r="AC244" i="23"/>
  <c r="AD244" i="23"/>
  <c r="AE244" i="23"/>
  <c r="AB245" i="23"/>
  <c r="AC245" i="23"/>
  <c r="AD245" i="23"/>
  <c r="AE245" i="23"/>
  <c r="AB246" i="23"/>
  <c r="AC246" i="23"/>
  <c r="AD246" i="23"/>
  <c r="AE246" i="23"/>
  <c r="AB247" i="23"/>
  <c r="AC247" i="23"/>
  <c r="AD247" i="23"/>
  <c r="AE247" i="23"/>
  <c r="AB248" i="23"/>
  <c r="AC248" i="23"/>
  <c r="AD248" i="23"/>
  <c r="AE248" i="23"/>
  <c r="AB249" i="23"/>
  <c r="AC249" i="23"/>
  <c r="AD249" i="23"/>
  <c r="AE249" i="23"/>
  <c r="AB250" i="23"/>
  <c r="AC250" i="23"/>
  <c r="AD250" i="23"/>
  <c r="AE250" i="23"/>
  <c r="AB251" i="23"/>
  <c r="AC251" i="23"/>
  <c r="AD251" i="23"/>
  <c r="AE251" i="23"/>
  <c r="AB252" i="23"/>
  <c r="AC252" i="23"/>
  <c r="AD252" i="23"/>
  <c r="AE252" i="23"/>
  <c r="AB253" i="23"/>
  <c r="AC253" i="23"/>
  <c r="AD253" i="23"/>
  <c r="AE253" i="23"/>
  <c r="AB254" i="23"/>
  <c r="AC254" i="23"/>
  <c r="AD254" i="23"/>
  <c r="AE254" i="23"/>
  <c r="AB255" i="23"/>
  <c r="AC255" i="23"/>
  <c r="AD255" i="23"/>
  <c r="AE255" i="23"/>
  <c r="AB256" i="23"/>
  <c r="AC256" i="23"/>
  <c r="AD256" i="23"/>
  <c r="AE256" i="23"/>
  <c r="AB257" i="23"/>
  <c r="AC257" i="23"/>
  <c r="AD257" i="23"/>
  <c r="AE257" i="23"/>
  <c r="AB258" i="23"/>
  <c r="AC258" i="23"/>
  <c r="AD258" i="23"/>
  <c r="AE258" i="23"/>
  <c r="AB259" i="23"/>
  <c r="AC259" i="23"/>
  <c r="AD259" i="23"/>
  <c r="AE259" i="23"/>
  <c r="AB260" i="23"/>
  <c r="AC260" i="23"/>
  <c r="AD260" i="23"/>
  <c r="AE260" i="23"/>
  <c r="AB261" i="23"/>
  <c r="AC261" i="23"/>
  <c r="AD261" i="23"/>
  <c r="AE261" i="23"/>
  <c r="AB262" i="23"/>
  <c r="AC262" i="23"/>
  <c r="AD262" i="23"/>
  <c r="AE262" i="23"/>
  <c r="AB263" i="23"/>
  <c r="AC263" i="23"/>
  <c r="AD263" i="23"/>
  <c r="AE263" i="23"/>
  <c r="AB264" i="23"/>
  <c r="AC264" i="23"/>
  <c r="AD264" i="23"/>
  <c r="AE264" i="23"/>
  <c r="AB265" i="23"/>
  <c r="AC265" i="23"/>
  <c r="AD265" i="23"/>
  <c r="AE265" i="23"/>
  <c r="AB266" i="23"/>
  <c r="AC266" i="23"/>
  <c r="AD266" i="23"/>
  <c r="AE266" i="23"/>
  <c r="AB267" i="23"/>
  <c r="AC267" i="23"/>
  <c r="AD267" i="23"/>
  <c r="AE267" i="23"/>
  <c r="AB268" i="23"/>
  <c r="AC268" i="23"/>
  <c r="AD268" i="23"/>
  <c r="AE268" i="23"/>
  <c r="AB269" i="23"/>
  <c r="AC269" i="23"/>
  <c r="AD269" i="23"/>
  <c r="AE269" i="23"/>
  <c r="AB270" i="23"/>
  <c r="AC270" i="23"/>
  <c r="AD270" i="23"/>
  <c r="AE270" i="23"/>
  <c r="AB271" i="23"/>
  <c r="AC271" i="23"/>
  <c r="AD271" i="23"/>
  <c r="AE271" i="23"/>
  <c r="AB272" i="23"/>
  <c r="AC272" i="23"/>
  <c r="AD272" i="23"/>
  <c r="AE272" i="23"/>
  <c r="AB273" i="23"/>
  <c r="AC273" i="23"/>
  <c r="AD273" i="23"/>
  <c r="AE273" i="23"/>
  <c r="AB274" i="23"/>
  <c r="AC274" i="23"/>
  <c r="AD274" i="23"/>
  <c r="AE274" i="23"/>
  <c r="AB275" i="23"/>
  <c r="AC275" i="23"/>
  <c r="AD275" i="23"/>
  <c r="AE275" i="23"/>
  <c r="AB276" i="23"/>
  <c r="AC276" i="23"/>
  <c r="AD276" i="23"/>
  <c r="AE276" i="23"/>
  <c r="AB277" i="23"/>
  <c r="AC277" i="23"/>
  <c r="AD277" i="23"/>
  <c r="AE277" i="23"/>
  <c r="AB278" i="23"/>
  <c r="AC278" i="23"/>
  <c r="AD278" i="23"/>
  <c r="AE278" i="23"/>
  <c r="AB279" i="23"/>
  <c r="AC279" i="23"/>
  <c r="AD279" i="23"/>
  <c r="AE279" i="23"/>
  <c r="AB280" i="23"/>
  <c r="AC280" i="23"/>
  <c r="AD280" i="23"/>
  <c r="AE280" i="23"/>
  <c r="AB281" i="23"/>
  <c r="AC281" i="23"/>
  <c r="AD281" i="23"/>
  <c r="AE281" i="23"/>
  <c r="AB282" i="23"/>
  <c r="AC282" i="23"/>
  <c r="AD282" i="23"/>
  <c r="AE282" i="23"/>
  <c r="AB283" i="23"/>
  <c r="AC283" i="23"/>
  <c r="AD283" i="23"/>
  <c r="AE283" i="23"/>
  <c r="AB284" i="23"/>
  <c r="AC284" i="23"/>
  <c r="AD284" i="23"/>
  <c r="AE284" i="23"/>
  <c r="AB285" i="23"/>
  <c r="AC285" i="23"/>
  <c r="AD285" i="23"/>
  <c r="AE285" i="23"/>
  <c r="AB286" i="23"/>
  <c r="AC286" i="23"/>
  <c r="AD286" i="23"/>
  <c r="AE286" i="23"/>
  <c r="AB287" i="23"/>
  <c r="AC287" i="23"/>
  <c r="AD287" i="23"/>
  <c r="AE287" i="23"/>
  <c r="AB288" i="23"/>
  <c r="AC288" i="23"/>
  <c r="AD288" i="23"/>
  <c r="AE288" i="23"/>
  <c r="AB289" i="23"/>
  <c r="AC289" i="23"/>
  <c r="AD289" i="23"/>
  <c r="AE289" i="23"/>
  <c r="AB290" i="23"/>
  <c r="AC290" i="23"/>
  <c r="AD290" i="23"/>
  <c r="AE290" i="23"/>
  <c r="AB291" i="23"/>
  <c r="AC291" i="23"/>
  <c r="AD291" i="23"/>
  <c r="AE291" i="23"/>
  <c r="AB292" i="23"/>
  <c r="AC292" i="23"/>
  <c r="AD292" i="23"/>
  <c r="AE292" i="23"/>
  <c r="AB293" i="23"/>
  <c r="AC293" i="23"/>
  <c r="AD293" i="23"/>
  <c r="AE293" i="23"/>
  <c r="AB294" i="23"/>
  <c r="AC294" i="23"/>
  <c r="AD294" i="23"/>
  <c r="AE294" i="23"/>
  <c r="AB295" i="23"/>
  <c r="AC295" i="23"/>
  <c r="AD295" i="23"/>
  <c r="AE295" i="23"/>
  <c r="AB296" i="23"/>
  <c r="AC296" i="23"/>
  <c r="AD296" i="23"/>
  <c r="AE296" i="23"/>
  <c r="AB297" i="23"/>
  <c r="AC297" i="23"/>
  <c r="AD297" i="23"/>
  <c r="AE297" i="23"/>
  <c r="AB298" i="23"/>
  <c r="AC298" i="23"/>
  <c r="AD298" i="23"/>
  <c r="AE298" i="23"/>
  <c r="AB299" i="23"/>
  <c r="AC299" i="23"/>
  <c r="AD299" i="23"/>
  <c r="AE299" i="23"/>
  <c r="AB300" i="23"/>
  <c r="AC300" i="23"/>
  <c r="AD300" i="23"/>
  <c r="AE300" i="23"/>
  <c r="AB301" i="23"/>
  <c r="AC301" i="23"/>
  <c r="AD301" i="23"/>
  <c r="AE301" i="23"/>
  <c r="AB302" i="23"/>
  <c r="AC302" i="23"/>
  <c r="AD302" i="23"/>
  <c r="AE302" i="23"/>
  <c r="AB303" i="23"/>
  <c r="AC303" i="23"/>
  <c r="AD303" i="23"/>
  <c r="AE303" i="23"/>
  <c r="AB304" i="23"/>
  <c r="AC304" i="23"/>
  <c r="AD304" i="23"/>
  <c r="AE304" i="23"/>
  <c r="AB305" i="23"/>
  <c r="AC305" i="23"/>
  <c r="AD305" i="23"/>
  <c r="AE305" i="23"/>
  <c r="AB306" i="23"/>
  <c r="AC306" i="23"/>
  <c r="AD306" i="23"/>
  <c r="AE306" i="23"/>
  <c r="AB307" i="23"/>
  <c r="AC307" i="23"/>
  <c r="AD307" i="23"/>
  <c r="AE307" i="23"/>
  <c r="AB308" i="23"/>
  <c r="AC308" i="23"/>
  <c r="AD308" i="23"/>
  <c r="AE308" i="23"/>
  <c r="AB309" i="23"/>
  <c r="AC309" i="23"/>
  <c r="AD309" i="23"/>
  <c r="AE309" i="23"/>
  <c r="AB310" i="23"/>
  <c r="AC310" i="23"/>
  <c r="AD310" i="23"/>
  <c r="AE310" i="23"/>
  <c r="AB311" i="23"/>
  <c r="AC311" i="23"/>
  <c r="AD311" i="23"/>
  <c r="AE311" i="23"/>
  <c r="AB312" i="23"/>
  <c r="AC312" i="23"/>
  <c r="AD312" i="23"/>
  <c r="AE312" i="23"/>
  <c r="AB313" i="23"/>
  <c r="AC313" i="23"/>
  <c r="AD313" i="23"/>
  <c r="AE313" i="23"/>
  <c r="AB314" i="23"/>
  <c r="AC314" i="23"/>
  <c r="AD314" i="23"/>
  <c r="AE314" i="23"/>
  <c r="AB315" i="23"/>
  <c r="AC315" i="23"/>
  <c r="AD315" i="23"/>
  <c r="AE315" i="23"/>
  <c r="AB316" i="23"/>
  <c r="AC316" i="23"/>
  <c r="AD316" i="23"/>
  <c r="AE316" i="23"/>
  <c r="AB317" i="23"/>
  <c r="AC317" i="23"/>
  <c r="AD317" i="23"/>
  <c r="AE317" i="23"/>
  <c r="AB318" i="23"/>
  <c r="AC318" i="23"/>
  <c r="AD318" i="23"/>
  <c r="AE318" i="23"/>
  <c r="AB319" i="23"/>
  <c r="AC319" i="23"/>
  <c r="AD319" i="23"/>
  <c r="AE319" i="23"/>
  <c r="AB320" i="23"/>
  <c r="AC320" i="23"/>
  <c r="AD320" i="23"/>
  <c r="AE320" i="23"/>
  <c r="AB321" i="23"/>
  <c r="AC321" i="23"/>
  <c r="AD321" i="23"/>
  <c r="AE321" i="23"/>
  <c r="AB322" i="23"/>
  <c r="AC322" i="23"/>
  <c r="AD322" i="23"/>
  <c r="AE322" i="23"/>
  <c r="AB323" i="23"/>
  <c r="AC323" i="23"/>
  <c r="AD323" i="23"/>
  <c r="AE323" i="23"/>
  <c r="AB324" i="23"/>
  <c r="AC324" i="23"/>
  <c r="AD324" i="23"/>
  <c r="AE324" i="23"/>
  <c r="AB325" i="23"/>
  <c r="AC325" i="23"/>
  <c r="AD325" i="23"/>
  <c r="AE325" i="23"/>
  <c r="AB326" i="23"/>
  <c r="AC326" i="23"/>
  <c r="AD326" i="23"/>
  <c r="AE326" i="23"/>
  <c r="AB327" i="23"/>
  <c r="AC327" i="23"/>
  <c r="AD327" i="23"/>
  <c r="AE327" i="23"/>
  <c r="AB328" i="23"/>
  <c r="AC328" i="23"/>
  <c r="AD328" i="23"/>
  <c r="AE328" i="23"/>
  <c r="AB329" i="23"/>
  <c r="AC329" i="23"/>
  <c r="AD329" i="23"/>
  <c r="AE329" i="23"/>
  <c r="AB330" i="23"/>
  <c r="AC330" i="23"/>
  <c r="AD330" i="23"/>
  <c r="AE330" i="23"/>
  <c r="AB331" i="23"/>
  <c r="AC331" i="23"/>
  <c r="AD331" i="23"/>
  <c r="AE331" i="23"/>
  <c r="AB332" i="23"/>
  <c r="AC332" i="23"/>
  <c r="AD332" i="23"/>
  <c r="AE332" i="23"/>
  <c r="AB333" i="23"/>
  <c r="AC333" i="23"/>
  <c r="AD333" i="23"/>
  <c r="AE333" i="23"/>
  <c r="AB334" i="23"/>
  <c r="AC334" i="23"/>
  <c r="AD334" i="23"/>
  <c r="AE334" i="23"/>
  <c r="AB335" i="23"/>
  <c r="AC335" i="23"/>
  <c r="AD335" i="23"/>
  <c r="AE335" i="23"/>
  <c r="AB336" i="23"/>
  <c r="AC336" i="23"/>
  <c r="AD336" i="23"/>
  <c r="AE336" i="23"/>
  <c r="AB337" i="23"/>
  <c r="AC337" i="23"/>
  <c r="AD337" i="23"/>
  <c r="AE337" i="23"/>
  <c r="AB338" i="23"/>
  <c r="AC338" i="23"/>
  <c r="AD338" i="23"/>
  <c r="AE338" i="23"/>
  <c r="AB339" i="23"/>
  <c r="AC339" i="23"/>
  <c r="AD339" i="23"/>
  <c r="AE339" i="23"/>
  <c r="AB340" i="23"/>
  <c r="AC340" i="23"/>
  <c r="AD340" i="23"/>
  <c r="AE340" i="23"/>
  <c r="AB341" i="23"/>
  <c r="AC341" i="23"/>
  <c r="AD341" i="23"/>
  <c r="AE341" i="23"/>
  <c r="AB342" i="23"/>
  <c r="AC342" i="23"/>
  <c r="AD342" i="23"/>
  <c r="AE342" i="23"/>
  <c r="AB343" i="23"/>
  <c r="AC343" i="23"/>
  <c r="AD343" i="23"/>
  <c r="AE343" i="23"/>
  <c r="AB344" i="23"/>
  <c r="AC344" i="23"/>
  <c r="AD344" i="23"/>
  <c r="AE344" i="23"/>
  <c r="AB345" i="23"/>
  <c r="AC345" i="23"/>
  <c r="AD345" i="23"/>
  <c r="AE345" i="23"/>
  <c r="AB346" i="23"/>
  <c r="AC346" i="23"/>
  <c r="AD346" i="23"/>
  <c r="AE346" i="23"/>
  <c r="AB347" i="23"/>
  <c r="AC347" i="23"/>
  <c r="AD347" i="23"/>
  <c r="AE347" i="23"/>
  <c r="AB348" i="23"/>
  <c r="AC348" i="23"/>
  <c r="AD348" i="23"/>
  <c r="AE348" i="23"/>
  <c r="AB349" i="23"/>
  <c r="AC349" i="23"/>
  <c r="AD349" i="23"/>
  <c r="AE349" i="23"/>
  <c r="AB350" i="23"/>
  <c r="AC350" i="23"/>
  <c r="AD350" i="23"/>
  <c r="AE350" i="23"/>
  <c r="AB351" i="23"/>
  <c r="AC351" i="23"/>
  <c r="AD351" i="23"/>
  <c r="AE351" i="23"/>
  <c r="AB352" i="23"/>
  <c r="AC352" i="23"/>
  <c r="AD352" i="23"/>
  <c r="AE352" i="23"/>
  <c r="AB353" i="23"/>
  <c r="AC353" i="23"/>
  <c r="AD353" i="23"/>
  <c r="AE353" i="23"/>
  <c r="AB354" i="23"/>
  <c r="AC354" i="23"/>
  <c r="AD354" i="23"/>
  <c r="AE354" i="23"/>
  <c r="AB355" i="23"/>
  <c r="AC355" i="23"/>
  <c r="AD355" i="23"/>
  <c r="AE355" i="23"/>
  <c r="AB356" i="23"/>
  <c r="AC356" i="23"/>
  <c r="AD356" i="23"/>
  <c r="AE356" i="23"/>
  <c r="AB357" i="23"/>
  <c r="AC357" i="23"/>
  <c r="AD357" i="23"/>
  <c r="AE357" i="23"/>
  <c r="AB358" i="23"/>
  <c r="AC358" i="23"/>
  <c r="AD358" i="23"/>
  <c r="AE358" i="23"/>
  <c r="AB359" i="23"/>
  <c r="AC359" i="23"/>
  <c r="AD359" i="23"/>
  <c r="AE359" i="23"/>
  <c r="AB360" i="23"/>
  <c r="AC360" i="23"/>
  <c r="AD360" i="23"/>
  <c r="AE360" i="23"/>
  <c r="AB361" i="23"/>
  <c r="AC361" i="23"/>
  <c r="AD361" i="23"/>
  <c r="AE361" i="23"/>
  <c r="AB362" i="23"/>
  <c r="AC362" i="23"/>
  <c r="AD362" i="23"/>
  <c r="AE362" i="23"/>
  <c r="AB363" i="23"/>
  <c r="AC363" i="23"/>
  <c r="AD363" i="23"/>
  <c r="AE363" i="23"/>
  <c r="AB364" i="23"/>
  <c r="AC364" i="23"/>
  <c r="AD364" i="23"/>
  <c r="AE364" i="23"/>
  <c r="AB365" i="23"/>
  <c r="AC365" i="23"/>
  <c r="AD365" i="23"/>
  <c r="AE365" i="23"/>
  <c r="AB366" i="23"/>
  <c r="AC366" i="23"/>
  <c r="AD366" i="23"/>
  <c r="AE366" i="23"/>
  <c r="AB367" i="23"/>
  <c r="AC367" i="23"/>
  <c r="AD367" i="23"/>
  <c r="AE367" i="23"/>
  <c r="AB368" i="23"/>
  <c r="AC368" i="23"/>
  <c r="AD368" i="23"/>
  <c r="AE368" i="23"/>
  <c r="AB369" i="23"/>
  <c r="AC369" i="23"/>
  <c r="AD369" i="23"/>
  <c r="AE369" i="23"/>
  <c r="AB370" i="23"/>
  <c r="AC370" i="23"/>
  <c r="AD370" i="23"/>
  <c r="AE370" i="23"/>
  <c r="AB371" i="23"/>
  <c r="AC371" i="23"/>
  <c r="AD371" i="23"/>
  <c r="AE371" i="23"/>
  <c r="AB372" i="23"/>
  <c r="AC372" i="23"/>
  <c r="AD372" i="23"/>
  <c r="AE372" i="23"/>
  <c r="AB373" i="23"/>
  <c r="AC373" i="23"/>
  <c r="AD373" i="23"/>
  <c r="AE373" i="23"/>
  <c r="AB374" i="23"/>
  <c r="AC374" i="23"/>
  <c r="AD374" i="23"/>
  <c r="AE374" i="23"/>
  <c r="AB375" i="23"/>
  <c r="AC375" i="23"/>
  <c r="AD375" i="23"/>
  <c r="AE375" i="23"/>
  <c r="AB376" i="23"/>
  <c r="AC376" i="23"/>
  <c r="AD376" i="23"/>
  <c r="AE376" i="23"/>
  <c r="AB377" i="23"/>
  <c r="AC377" i="23"/>
  <c r="AD377" i="23"/>
  <c r="AE377" i="23"/>
  <c r="AB378" i="23"/>
  <c r="AC378" i="23"/>
  <c r="AD378" i="23"/>
  <c r="AE378" i="23"/>
  <c r="AB379" i="23"/>
  <c r="AC379" i="23"/>
  <c r="AD379" i="23"/>
  <c r="AE379" i="23"/>
  <c r="AB380" i="23"/>
  <c r="AC380" i="23"/>
  <c r="AD380" i="23"/>
  <c r="AE380" i="23"/>
  <c r="AB381" i="23"/>
  <c r="AC381" i="23"/>
  <c r="AD381" i="23"/>
  <c r="AE381" i="23"/>
  <c r="AB382" i="23"/>
  <c r="AC382" i="23"/>
  <c r="AD382" i="23"/>
  <c r="AE382" i="23"/>
  <c r="AB383" i="23"/>
  <c r="AC383" i="23"/>
  <c r="AD383" i="23"/>
  <c r="AE383" i="23"/>
  <c r="AB384" i="23"/>
  <c r="AC384" i="23"/>
  <c r="AD384" i="23"/>
  <c r="AE384" i="23"/>
  <c r="AB385" i="23"/>
  <c r="AC385" i="23"/>
  <c r="AD385" i="23"/>
  <c r="AE385" i="23"/>
  <c r="AB386" i="23"/>
  <c r="AC386" i="23"/>
  <c r="AD386" i="23"/>
  <c r="AE386" i="23"/>
  <c r="AB387" i="23"/>
  <c r="AC387" i="23"/>
  <c r="AD387" i="23"/>
  <c r="AE387" i="23"/>
  <c r="AB388" i="23"/>
  <c r="AC388" i="23"/>
  <c r="AD388" i="23"/>
  <c r="AE388" i="23"/>
  <c r="AB389" i="23"/>
  <c r="AC389" i="23"/>
  <c r="AD389" i="23"/>
  <c r="AE389" i="23"/>
  <c r="AB390" i="23"/>
  <c r="AC390" i="23"/>
  <c r="AD390" i="23"/>
  <c r="AE390" i="23"/>
  <c r="AB391" i="23"/>
  <c r="AC391" i="23"/>
  <c r="AD391" i="23"/>
  <c r="AE391" i="23"/>
  <c r="AB392" i="23"/>
  <c r="AC392" i="23"/>
  <c r="AD392" i="23"/>
  <c r="AE392" i="23"/>
  <c r="AB393" i="23"/>
  <c r="AC393" i="23"/>
  <c r="AD393" i="23"/>
  <c r="AE393" i="23"/>
  <c r="AB394" i="23"/>
  <c r="AC394" i="23"/>
  <c r="AD394" i="23"/>
  <c r="AE394" i="23"/>
  <c r="AB395" i="23"/>
  <c r="AC395" i="23"/>
  <c r="AD395" i="23"/>
  <c r="AE395" i="23"/>
  <c r="AB396" i="23"/>
  <c r="AC396" i="23"/>
  <c r="AD396" i="23"/>
  <c r="AE396" i="23"/>
  <c r="AB397" i="23"/>
  <c r="AC397" i="23"/>
  <c r="AD397" i="23"/>
  <c r="AE397" i="23"/>
  <c r="AB398" i="23"/>
  <c r="AC398" i="23"/>
  <c r="AD398" i="23"/>
  <c r="AE398" i="23"/>
  <c r="AB399" i="23"/>
  <c r="AC399" i="23"/>
  <c r="AD399" i="23"/>
  <c r="AE399" i="23"/>
  <c r="AB400" i="23"/>
  <c r="AC400" i="23"/>
  <c r="AD400" i="23"/>
  <c r="AE400" i="23"/>
  <c r="AB401" i="23"/>
  <c r="AC401" i="23"/>
  <c r="AD401" i="23"/>
  <c r="AE401" i="23"/>
  <c r="AB402" i="23"/>
  <c r="AC402" i="23"/>
  <c r="AD402" i="23"/>
  <c r="AE402" i="23"/>
  <c r="AB403" i="23"/>
  <c r="AC403" i="23"/>
  <c r="AD403" i="23"/>
  <c r="AE403" i="23"/>
  <c r="AB404" i="23"/>
  <c r="AC404" i="23"/>
  <c r="AD404" i="23"/>
  <c r="AE404" i="23"/>
  <c r="AB405" i="23"/>
  <c r="AC405" i="23"/>
  <c r="AD405" i="23"/>
  <c r="AE405" i="23"/>
  <c r="AB406" i="23"/>
  <c r="AC406" i="23"/>
  <c r="AD406" i="23"/>
  <c r="AE406" i="23"/>
  <c r="AB407" i="23"/>
  <c r="AC407" i="23"/>
  <c r="AD407" i="23"/>
  <c r="AE407" i="23"/>
  <c r="AB408" i="23"/>
  <c r="AC408" i="23"/>
  <c r="AD408" i="23"/>
  <c r="AE408" i="23"/>
  <c r="AB409" i="23"/>
  <c r="AC409" i="23"/>
  <c r="AD409" i="23"/>
  <c r="AE409" i="23"/>
  <c r="AB410" i="23"/>
  <c r="AC410" i="23"/>
  <c r="AD410" i="23"/>
  <c r="AE410" i="23"/>
  <c r="AB411" i="23"/>
  <c r="AC411" i="23"/>
  <c r="AD411" i="23"/>
  <c r="AE411" i="23"/>
  <c r="AB412" i="23"/>
  <c r="AC412" i="23"/>
  <c r="AD412" i="23"/>
  <c r="AE412" i="23"/>
  <c r="AB413" i="23"/>
  <c r="AC413" i="23"/>
  <c r="AD413" i="23"/>
  <c r="AE413" i="23"/>
  <c r="AB414" i="23"/>
  <c r="AC414" i="23"/>
  <c r="AD414" i="23"/>
  <c r="AE414" i="23"/>
  <c r="AB415" i="23"/>
  <c r="AC415" i="23"/>
  <c r="AD415" i="23"/>
  <c r="AE415" i="23"/>
  <c r="AB416" i="23"/>
  <c r="AC416" i="23"/>
  <c r="AD416" i="23"/>
  <c r="AE416" i="23"/>
  <c r="AB417" i="23"/>
  <c r="AC417" i="23"/>
  <c r="AD417" i="23"/>
  <c r="AE417" i="23"/>
  <c r="AB418" i="23"/>
  <c r="AC418" i="23"/>
  <c r="AD418" i="23"/>
  <c r="AE418" i="23"/>
  <c r="AB419" i="23"/>
  <c r="AC419" i="23"/>
  <c r="AD419" i="23"/>
  <c r="AB420" i="23"/>
  <c r="AC420" i="23"/>
  <c r="AD420" i="23"/>
  <c r="AE420" i="23"/>
  <c r="AB421" i="23"/>
  <c r="AC421" i="23"/>
  <c r="AD421" i="23"/>
  <c r="AE421" i="23"/>
  <c r="AB422" i="23"/>
  <c r="AC422" i="23"/>
  <c r="AD422" i="23"/>
  <c r="AE422" i="23"/>
  <c r="AB423" i="23"/>
  <c r="AC423" i="23"/>
  <c r="AD423" i="23"/>
  <c r="AE423" i="23"/>
  <c r="AB424" i="23"/>
  <c r="AC424" i="23"/>
  <c r="AD424" i="23"/>
  <c r="AE424" i="23"/>
  <c r="AB425" i="23"/>
  <c r="AC425" i="23"/>
  <c r="AD425" i="23"/>
  <c r="AE425" i="23"/>
  <c r="AB426" i="23"/>
  <c r="AC426" i="23"/>
  <c r="AD426" i="23"/>
  <c r="AE426" i="23"/>
  <c r="AB427" i="23"/>
  <c r="AC427" i="23"/>
  <c r="AD427" i="23"/>
  <c r="AE427" i="23"/>
  <c r="AB428" i="23"/>
  <c r="AC428" i="23"/>
  <c r="AD428" i="23"/>
  <c r="AE428" i="23"/>
  <c r="AB429" i="23"/>
  <c r="AC429" i="23"/>
  <c r="AD429" i="23"/>
  <c r="AE429" i="23"/>
  <c r="AB430" i="23"/>
  <c r="AC430" i="23"/>
  <c r="AD430" i="23"/>
  <c r="AE430" i="23"/>
  <c r="AB431" i="23"/>
  <c r="AC431" i="23"/>
  <c r="AD431" i="23"/>
  <c r="AE431" i="23"/>
  <c r="AB432" i="23"/>
  <c r="AC432" i="23"/>
  <c r="AD432" i="23"/>
  <c r="AE432" i="23"/>
  <c r="AB433" i="23"/>
  <c r="AC433" i="23"/>
  <c r="AD433" i="23"/>
  <c r="AE433" i="23"/>
  <c r="AB434" i="23"/>
  <c r="AC434" i="23"/>
  <c r="AD434" i="23"/>
  <c r="AE434" i="23"/>
  <c r="AB435" i="23"/>
  <c r="AC435" i="23"/>
  <c r="AD435" i="23"/>
  <c r="AE435" i="23"/>
  <c r="AB436" i="23"/>
  <c r="AC436" i="23"/>
  <c r="AD436" i="23"/>
  <c r="AE436" i="23"/>
  <c r="AB437" i="23"/>
  <c r="AC437" i="23"/>
  <c r="AD437" i="23"/>
  <c r="AE437" i="23"/>
  <c r="AB438" i="23"/>
  <c r="AC438" i="23"/>
  <c r="AD438" i="23"/>
  <c r="AE438" i="23"/>
  <c r="AB439" i="23"/>
  <c r="AC439" i="23"/>
  <c r="AD439" i="23"/>
  <c r="AE439" i="23"/>
  <c r="AB440" i="23"/>
  <c r="AC440" i="23"/>
  <c r="AD440" i="23"/>
  <c r="AE440" i="23"/>
  <c r="AB441" i="23"/>
  <c r="AC441" i="23"/>
  <c r="AD441" i="23"/>
  <c r="AE441" i="23"/>
  <c r="AB442" i="23"/>
  <c r="AC442" i="23"/>
  <c r="AD442" i="23"/>
  <c r="AE442" i="23"/>
  <c r="AB443" i="23"/>
  <c r="AC443" i="23"/>
  <c r="AD443" i="23"/>
  <c r="AE443" i="23"/>
  <c r="AB444" i="23"/>
  <c r="AC444" i="23"/>
  <c r="AD444" i="23"/>
  <c r="AE444" i="23"/>
  <c r="AB445" i="23"/>
  <c r="AC445" i="23"/>
  <c r="AD445" i="23"/>
  <c r="AE445" i="23"/>
  <c r="AB446" i="23"/>
  <c r="AC446" i="23"/>
  <c r="AD446" i="23"/>
  <c r="AE446" i="23"/>
  <c r="AB447" i="23"/>
  <c r="AC447" i="23"/>
  <c r="AD447" i="23"/>
  <c r="AE447" i="23"/>
  <c r="AB448" i="23"/>
  <c r="AC448" i="23"/>
  <c r="AD448" i="23"/>
  <c r="AE448" i="23"/>
  <c r="AB449" i="23"/>
  <c r="AC449" i="23"/>
  <c r="AD449" i="23"/>
  <c r="AE449" i="23"/>
  <c r="AB450" i="23"/>
  <c r="AC450" i="23"/>
  <c r="AD450" i="23"/>
  <c r="AE450" i="23"/>
  <c r="AB451" i="23"/>
  <c r="AC451" i="23"/>
  <c r="AD451" i="23"/>
  <c r="AE451" i="23"/>
  <c r="AB452" i="23"/>
  <c r="AC452" i="23"/>
  <c r="AD452" i="23"/>
  <c r="AE452" i="23"/>
  <c r="AB453" i="23"/>
  <c r="AC453" i="23"/>
  <c r="AD453" i="23"/>
  <c r="AE453" i="23"/>
  <c r="AB454" i="23"/>
  <c r="AC454" i="23"/>
  <c r="AD454" i="23"/>
  <c r="AE454" i="23"/>
  <c r="AB455" i="23"/>
  <c r="AC455" i="23"/>
  <c r="AD455" i="23"/>
  <c r="AE455" i="23"/>
  <c r="AB456" i="23"/>
  <c r="AC456" i="23"/>
  <c r="AD456" i="23"/>
  <c r="AE456" i="23"/>
  <c r="AB457" i="23"/>
  <c r="AC457" i="23"/>
  <c r="AD457" i="23"/>
  <c r="AE457" i="23"/>
  <c r="AB458" i="23"/>
  <c r="AC458" i="23"/>
  <c r="AD458" i="23"/>
  <c r="AE458" i="23"/>
  <c r="AB459" i="23"/>
  <c r="AC459" i="23"/>
  <c r="AD459" i="23"/>
  <c r="AE459" i="23"/>
  <c r="AB460" i="23"/>
  <c r="AC460" i="23"/>
  <c r="AD460" i="23"/>
  <c r="AE460" i="23"/>
  <c r="AB461" i="23"/>
  <c r="AC461" i="23"/>
  <c r="AD461" i="23"/>
  <c r="AE461" i="23"/>
  <c r="AB462" i="23"/>
  <c r="AC462" i="23"/>
  <c r="AD462" i="23"/>
  <c r="AE462" i="23"/>
  <c r="AB463" i="23"/>
  <c r="AC463" i="23"/>
  <c r="AD463" i="23"/>
  <c r="AE463" i="23"/>
  <c r="AB464" i="23"/>
  <c r="AC464" i="23"/>
  <c r="AD464" i="23"/>
  <c r="AE464" i="23"/>
  <c r="AB465" i="23"/>
  <c r="AC465" i="23"/>
  <c r="AD465" i="23"/>
  <c r="AE465" i="23"/>
  <c r="AB466" i="23"/>
  <c r="AC466" i="23"/>
  <c r="AD466" i="23"/>
  <c r="AE466" i="23"/>
  <c r="AB467" i="23"/>
  <c r="AC467" i="23"/>
  <c r="AD467" i="23"/>
  <c r="AE467" i="23"/>
  <c r="AB468" i="23"/>
  <c r="AC468" i="23"/>
  <c r="AD468" i="23"/>
  <c r="AE468" i="23"/>
  <c r="AB469" i="23"/>
  <c r="AC469" i="23"/>
  <c r="AD469" i="23"/>
  <c r="AE469" i="23"/>
  <c r="AB470" i="23"/>
  <c r="AC470" i="23"/>
  <c r="AD470" i="23"/>
  <c r="AE470" i="23"/>
  <c r="AB471" i="23"/>
  <c r="AC471" i="23"/>
  <c r="AD471" i="23"/>
  <c r="AE471" i="23"/>
  <c r="AB472" i="23"/>
  <c r="AC472" i="23"/>
  <c r="AD472" i="23"/>
  <c r="AE472" i="23"/>
  <c r="AB473" i="23"/>
  <c r="AC473" i="23"/>
  <c r="AD473" i="23"/>
  <c r="AE473" i="23"/>
  <c r="AB474" i="23"/>
  <c r="AC474" i="23"/>
  <c r="AD474" i="23"/>
  <c r="AE474" i="23"/>
  <c r="AB475" i="23"/>
  <c r="AC475" i="23"/>
  <c r="AD475" i="23"/>
  <c r="AE475" i="23"/>
  <c r="AB476" i="23"/>
  <c r="AC476" i="23"/>
  <c r="AD476" i="23"/>
  <c r="AE476" i="23"/>
  <c r="AB477" i="23"/>
  <c r="AC477" i="23"/>
  <c r="AD477" i="23"/>
  <c r="AE477" i="23"/>
  <c r="AB478" i="23"/>
  <c r="AC478" i="23"/>
  <c r="AD478" i="23"/>
  <c r="AE478" i="23"/>
  <c r="AB479" i="23"/>
  <c r="AC479" i="23"/>
  <c r="AD479" i="23"/>
  <c r="AE479" i="23"/>
  <c r="AB480" i="23"/>
  <c r="AC480" i="23"/>
  <c r="AD480" i="23"/>
  <c r="AE480" i="23"/>
  <c r="AB481" i="23"/>
  <c r="AC481" i="23"/>
  <c r="AD481" i="23"/>
  <c r="AE481" i="23"/>
  <c r="AB482" i="23"/>
  <c r="AC482" i="23"/>
  <c r="AD482" i="23"/>
  <c r="AE482" i="23"/>
  <c r="AB483" i="23"/>
  <c r="AC483" i="23"/>
  <c r="AD483" i="23"/>
  <c r="AE483" i="23"/>
  <c r="AB484" i="23"/>
  <c r="AC484" i="23"/>
  <c r="AD484" i="23"/>
  <c r="AE484" i="23"/>
  <c r="AB485" i="23"/>
  <c r="AC485" i="23"/>
  <c r="AD485" i="23"/>
  <c r="AE485" i="23"/>
  <c r="AB486" i="23"/>
  <c r="AC486" i="23"/>
  <c r="AD486" i="23"/>
  <c r="AE486" i="23"/>
  <c r="AB487" i="23"/>
  <c r="AC487" i="23"/>
  <c r="AD487" i="23"/>
  <c r="AE487" i="23"/>
  <c r="AB488" i="23"/>
  <c r="AC488" i="23"/>
  <c r="AD488" i="23"/>
  <c r="AE488" i="23"/>
  <c r="AB489" i="23"/>
  <c r="AC489" i="23"/>
  <c r="AD489" i="23"/>
  <c r="AE489" i="23"/>
  <c r="AB490" i="23"/>
  <c r="AC490" i="23"/>
  <c r="AD490" i="23"/>
  <c r="AE490" i="23"/>
  <c r="AB491" i="23"/>
  <c r="AC491" i="23"/>
  <c r="AD491" i="23"/>
  <c r="AE491" i="23"/>
  <c r="AB492" i="23"/>
  <c r="AC492" i="23"/>
  <c r="AD492" i="23"/>
  <c r="AE492" i="23"/>
  <c r="AB493" i="23"/>
  <c r="AC493" i="23"/>
  <c r="AD493" i="23"/>
  <c r="AE493" i="23"/>
  <c r="AB494" i="23"/>
  <c r="AC494" i="23"/>
  <c r="AD494" i="23"/>
  <c r="AE494" i="23"/>
  <c r="AB495" i="23"/>
  <c r="AC495" i="23"/>
  <c r="AD495" i="23"/>
  <c r="AE495" i="23"/>
  <c r="AB496" i="23"/>
  <c r="AC496" i="23"/>
  <c r="AD496" i="23"/>
  <c r="AE496" i="23"/>
  <c r="AB497" i="23"/>
  <c r="AC497" i="23"/>
  <c r="AD497" i="23"/>
  <c r="AE497" i="23"/>
  <c r="AB498" i="23"/>
  <c r="AC498" i="23"/>
  <c r="AD498" i="23"/>
  <c r="AE498" i="23"/>
  <c r="AB499" i="23"/>
  <c r="AC499" i="23"/>
  <c r="AD499" i="23"/>
  <c r="AE499" i="23"/>
  <c r="AB500" i="23"/>
  <c r="AC500" i="23"/>
  <c r="AD500" i="23"/>
  <c r="AE500" i="23"/>
  <c r="AB501" i="23"/>
  <c r="AC501" i="23"/>
  <c r="AD501" i="23"/>
  <c r="AE501" i="23"/>
  <c r="AB502" i="23"/>
  <c r="AC502" i="23"/>
  <c r="AD502" i="23"/>
  <c r="AE502" i="23"/>
  <c r="AB503" i="23"/>
  <c r="AC503" i="23"/>
  <c r="AD503" i="23"/>
  <c r="AE503" i="23"/>
  <c r="AB504" i="23"/>
  <c r="AC504" i="23"/>
  <c r="AD504" i="23"/>
  <c r="AE504" i="23"/>
  <c r="AB505" i="23"/>
  <c r="AC505" i="23"/>
  <c r="AD505" i="23"/>
  <c r="AE505" i="23"/>
  <c r="AB506" i="23"/>
  <c r="AC506" i="23"/>
  <c r="AD506" i="23"/>
  <c r="AE506" i="23"/>
  <c r="AB507" i="23"/>
  <c r="AC507" i="23"/>
  <c r="AD507" i="23"/>
  <c r="AE507" i="23"/>
  <c r="AB508" i="23"/>
  <c r="AC508" i="23"/>
  <c r="AD508" i="23"/>
  <c r="AE508" i="23"/>
  <c r="AB509" i="23"/>
  <c r="AC509" i="23"/>
  <c r="AD509" i="23"/>
  <c r="AE509" i="23"/>
  <c r="AB510" i="23"/>
  <c r="AC510" i="23"/>
  <c r="AD510" i="23"/>
  <c r="AE510" i="23"/>
  <c r="AB511" i="23"/>
  <c r="AC511" i="23"/>
  <c r="AD511" i="23"/>
  <c r="AE511" i="23"/>
  <c r="AB512" i="23"/>
  <c r="AC512" i="23"/>
  <c r="AD512" i="23"/>
  <c r="AE512" i="23"/>
  <c r="AB513" i="23"/>
  <c r="AC513" i="23"/>
  <c r="AD513" i="23"/>
  <c r="AE513" i="23"/>
  <c r="AB514" i="23"/>
  <c r="AC514" i="23"/>
  <c r="AD514" i="23"/>
  <c r="AE514" i="23"/>
  <c r="AB515" i="23"/>
  <c r="AC515" i="23"/>
  <c r="AD515" i="23"/>
  <c r="AE515" i="23"/>
  <c r="AB516" i="23"/>
  <c r="AC516" i="23"/>
  <c r="AD516" i="23"/>
  <c r="AE516" i="23"/>
  <c r="AB517" i="23"/>
  <c r="AC517" i="23"/>
  <c r="AD517" i="23"/>
  <c r="AE517" i="23"/>
  <c r="AB518" i="23"/>
  <c r="AC518" i="23"/>
  <c r="AD518" i="23"/>
  <c r="AE518" i="23"/>
  <c r="AB519" i="23"/>
  <c r="AC519" i="23"/>
  <c r="AD519" i="23"/>
  <c r="AE519" i="23"/>
  <c r="AB520" i="23"/>
  <c r="AC520" i="23"/>
  <c r="AD520" i="23"/>
  <c r="AE520" i="23"/>
  <c r="AB521" i="23"/>
  <c r="AC521" i="23"/>
  <c r="AD521" i="23"/>
  <c r="AE521" i="23"/>
  <c r="AB522" i="23"/>
  <c r="AC522" i="23"/>
  <c r="AD522" i="23"/>
  <c r="AE522" i="23"/>
  <c r="AB523" i="23"/>
  <c r="AC523" i="23"/>
  <c r="AD523" i="23"/>
  <c r="AE523" i="23"/>
  <c r="AB524" i="23"/>
  <c r="AC524" i="23"/>
  <c r="AD524" i="23"/>
  <c r="AE524" i="23"/>
  <c r="AB525" i="23"/>
  <c r="AC525" i="23"/>
  <c r="AD525" i="23"/>
  <c r="AE525" i="23"/>
  <c r="AB526" i="23"/>
  <c r="AC526" i="23"/>
  <c r="AD526" i="23"/>
  <c r="AE526" i="23"/>
  <c r="AB527" i="23"/>
  <c r="AC527" i="23"/>
  <c r="AD527" i="23"/>
  <c r="AE527" i="23"/>
  <c r="AB528" i="23"/>
  <c r="AC528" i="23"/>
  <c r="AD528" i="23"/>
  <c r="AE528" i="23"/>
  <c r="AB529" i="23"/>
  <c r="AC529" i="23"/>
  <c r="AD529" i="23"/>
  <c r="AE529" i="23"/>
  <c r="AB530" i="23"/>
  <c r="AC530" i="23"/>
  <c r="AD530" i="23"/>
  <c r="AE530" i="23"/>
  <c r="AB531" i="23"/>
  <c r="AC531" i="23"/>
  <c r="AD531" i="23"/>
  <c r="AE531" i="23"/>
  <c r="AB532" i="23"/>
  <c r="AC532" i="23"/>
  <c r="AD532" i="23"/>
  <c r="AE532" i="23"/>
  <c r="AB533" i="23"/>
  <c r="AC533" i="23"/>
  <c r="AD533" i="23"/>
  <c r="AE533" i="23"/>
  <c r="AB534" i="23"/>
  <c r="AC534" i="23"/>
  <c r="AD534" i="23"/>
  <c r="AE534" i="23"/>
  <c r="AB535" i="23"/>
  <c r="AC535" i="23"/>
  <c r="AD535" i="23"/>
  <c r="AE535" i="23"/>
  <c r="AB536" i="23"/>
  <c r="AC536" i="23"/>
  <c r="AD536" i="23"/>
  <c r="AE536" i="23"/>
  <c r="AB537" i="23"/>
  <c r="AC537" i="23"/>
  <c r="AD537" i="23"/>
  <c r="AE537" i="23"/>
  <c r="AB538" i="23"/>
  <c r="AC538" i="23"/>
  <c r="AD538" i="23"/>
  <c r="AE538" i="23"/>
  <c r="AB539" i="23"/>
  <c r="AC539" i="23"/>
  <c r="AD539" i="23"/>
  <c r="AE539" i="23"/>
  <c r="AB540" i="23"/>
  <c r="AC540" i="23"/>
  <c r="AD540" i="23"/>
  <c r="AE540" i="23"/>
  <c r="AB541" i="23"/>
  <c r="AC541" i="23"/>
  <c r="AD541" i="23"/>
  <c r="AE541" i="23"/>
  <c r="AB542" i="23"/>
  <c r="AC542" i="23"/>
  <c r="AD542" i="23"/>
  <c r="AE542" i="23"/>
  <c r="AB543" i="23"/>
  <c r="AC543" i="23"/>
  <c r="AD543" i="23"/>
  <c r="AE543" i="23"/>
  <c r="AB544" i="23"/>
  <c r="AC544" i="23"/>
  <c r="AD544" i="23"/>
  <c r="AE544" i="23"/>
  <c r="AB545" i="23"/>
  <c r="AC545" i="23"/>
  <c r="AD545" i="23"/>
  <c r="AE545" i="23"/>
  <c r="AB546" i="23"/>
  <c r="AC546" i="23"/>
  <c r="AD546" i="23"/>
  <c r="AE546" i="23"/>
  <c r="AB547" i="23"/>
  <c r="AC547" i="23"/>
  <c r="AD547" i="23"/>
  <c r="AE547" i="23"/>
  <c r="AB548" i="23"/>
  <c r="AC548" i="23"/>
  <c r="AD548" i="23"/>
  <c r="AE548" i="23"/>
  <c r="AB549" i="23"/>
  <c r="AC549" i="23"/>
  <c r="AD549" i="23"/>
  <c r="AE549" i="23"/>
  <c r="AB550" i="23"/>
  <c r="AC550" i="23"/>
  <c r="AD550" i="23"/>
  <c r="AE550" i="23"/>
  <c r="AB551" i="23"/>
  <c r="AC551" i="23"/>
  <c r="AD551" i="23"/>
  <c r="AE551" i="23"/>
  <c r="AB552" i="23"/>
  <c r="AC552" i="23"/>
  <c r="AD552" i="23"/>
  <c r="AE552" i="23"/>
  <c r="AB553" i="23"/>
  <c r="AC553" i="23"/>
  <c r="AD553" i="23"/>
  <c r="AE553" i="23"/>
  <c r="AB554" i="23"/>
  <c r="AC554" i="23"/>
  <c r="AD554" i="23"/>
  <c r="AE554" i="23"/>
  <c r="AB555" i="23"/>
  <c r="AC555" i="23"/>
  <c r="AD555" i="23"/>
  <c r="AE555" i="23"/>
  <c r="AB556" i="23"/>
  <c r="AC556" i="23"/>
  <c r="AD556" i="23"/>
  <c r="AE556" i="23"/>
  <c r="AB557" i="23"/>
  <c r="AC557" i="23"/>
  <c r="AD557" i="23"/>
  <c r="AE557" i="23"/>
  <c r="AB558" i="23"/>
  <c r="AC558" i="23"/>
  <c r="AD558" i="23"/>
  <c r="AE558" i="23"/>
  <c r="AB559" i="23"/>
  <c r="AC559" i="23"/>
  <c r="AD559" i="23"/>
  <c r="AE559" i="23"/>
  <c r="AB560" i="23"/>
  <c r="AC560" i="23"/>
  <c r="AD560" i="23"/>
  <c r="AE560" i="23"/>
  <c r="AB561" i="23"/>
  <c r="AC561" i="23"/>
  <c r="AD561" i="23"/>
  <c r="AE561" i="23"/>
  <c r="AB562" i="23"/>
  <c r="AC562" i="23"/>
  <c r="AD562" i="23"/>
  <c r="AE562" i="23"/>
  <c r="AB563" i="23"/>
  <c r="AC563" i="23"/>
  <c r="AD563" i="23"/>
  <c r="AE563" i="23"/>
  <c r="AB564" i="23"/>
  <c r="AC564" i="23"/>
  <c r="AD564" i="23"/>
  <c r="AE564" i="23"/>
  <c r="AB565" i="23"/>
  <c r="AC565" i="23"/>
  <c r="AD565" i="23"/>
  <c r="AE565" i="23"/>
  <c r="AB566" i="23"/>
  <c r="AC566" i="23"/>
  <c r="AD566" i="23"/>
  <c r="AE566" i="23"/>
  <c r="AB567" i="23"/>
  <c r="AC567" i="23"/>
  <c r="AD567" i="23"/>
  <c r="AE567" i="23"/>
  <c r="AB568" i="23"/>
  <c r="AC568" i="23"/>
  <c r="AD568" i="23"/>
  <c r="AE568" i="23"/>
  <c r="AB569" i="23"/>
  <c r="AC569" i="23"/>
  <c r="AD569" i="23"/>
  <c r="AE569" i="23"/>
  <c r="AB570" i="23"/>
  <c r="AC570" i="23"/>
  <c r="AD570" i="23"/>
  <c r="AE570" i="23"/>
  <c r="AB571" i="23"/>
  <c r="AC571" i="23"/>
  <c r="AD571" i="23"/>
  <c r="AE571" i="23"/>
  <c r="AB572" i="23"/>
  <c r="AC572" i="23"/>
  <c r="AD572" i="23"/>
  <c r="AE572" i="23"/>
  <c r="AB573" i="23"/>
  <c r="AC573" i="23"/>
  <c r="AD573" i="23"/>
  <c r="AE573" i="23"/>
  <c r="AB574" i="23"/>
  <c r="AC574" i="23"/>
  <c r="AD574" i="23"/>
  <c r="AE574" i="23"/>
  <c r="AB575" i="23"/>
  <c r="AC575" i="23"/>
  <c r="AD575" i="23"/>
  <c r="AE575" i="23"/>
  <c r="AB576" i="23"/>
  <c r="AC576" i="23"/>
  <c r="AD576" i="23"/>
  <c r="AE576" i="23"/>
  <c r="AB577" i="23"/>
  <c r="AC577" i="23"/>
  <c r="AD577" i="23"/>
  <c r="AE577" i="23"/>
  <c r="AB578" i="23"/>
  <c r="AC578" i="23"/>
  <c r="AD578" i="23"/>
  <c r="AE578" i="23"/>
  <c r="AB579" i="23"/>
  <c r="AC579" i="23"/>
  <c r="AD579" i="23"/>
  <c r="AE579" i="23"/>
  <c r="AB580" i="23"/>
  <c r="AC580" i="23"/>
  <c r="AD580" i="23"/>
  <c r="AE580" i="23"/>
  <c r="AB581" i="23"/>
  <c r="AC581" i="23"/>
  <c r="AD581" i="23"/>
  <c r="AE581" i="23"/>
  <c r="AB582" i="23"/>
  <c r="AC582" i="23"/>
  <c r="AD582" i="23"/>
  <c r="AE582" i="23"/>
  <c r="AB583" i="23"/>
  <c r="AC583" i="23"/>
  <c r="AD583" i="23"/>
  <c r="AE583" i="23"/>
  <c r="AB584" i="23"/>
  <c r="AC584" i="23"/>
  <c r="AD584" i="23"/>
  <c r="AE584" i="23"/>
  <c r="AB585" i="23"/>
  <c r="AC585" i="23"/>
  <c r="AD585" i="23"/>
  <c r="AE585" i="23"/>
  <c r="AB586" i="23"/>
  <c r="AC586" i="23"/>
  <c r="AD586" i="23"/>
  <c r="AE586" i="23"/>
  <c r="AB587" i="23"/>
  <c r="AC587" i="23"/>
  <c r="AD587" i="23"/>
  <c r="AE587" i="23"/>
  <c r="AB588" i="23"/>
  <c r="AC588" i="23"/>
  <c r="AD588" i="23"/>
  <c r="AE588" i="23"/>
  <c r="AB589" i="23"/>
  <c r="AC589" i="23"/>
  <c r="AD589" i="23"/>
  <c r="AE589" i="23"/>
  <c r="AB590" i="23"/>
  <c r="AC590" i="23"/>
  <c r="AD590" i="23"/>
  <c r="AE590" i="23"/>
  <c r="AB591" i="23"/>
  <c r="AC591" i="23"/>
  <c r="AD591" i="23"/>
  <c r="AE591" i="23"/>
  <c r="AB592" i="23"/>
  <c r="AC592" i="23"/>
  <c r="AD592" i="23"/>
  <c r="AE592" i="23"/>
  <c r="AB593" i="23"/>
  <c r="AC593" i="23"/>
  <c r="AD593" i="23"/>
  <c r="AE593" i="23"/>
  <c r="AB594" i="23"/>
  <c r="AC594" i="23"/>
  <c r="AD594" i="23"/>
  <c r="AE594" i="23"/>
  <c r="AB595" i="23"/>
  <c r="AC595" i="23"/>
  <c r="AD595" i="23"/>
  <c r="AE595" i="23"/>
  <c r="AB596" i="23"/>
  <c r="AC596" i="23"/>
  <c r="AD596" i="23"/>
  <c r="AE596" i="23"/>
  <c r="AB597" i="23"/>
  <c r="AC597" i="23"/>
  <c r="AD597" i="23"/>
  <c r="AE597" i="23"/>
  <c r="AB598" i="23"/>
  <c r="AC598" i="23"/>
  <c r="AD598" i="23"/>
  <c r="AE598" i="23"/>
  <c r="AB599" i="23"/>
  <c r="AC599" i="23"/>
  <c r="AD599" i="23"/>
  <c r="AE599" i="23"/>
  <c r="AB600" i="23"/>
  <c r="AC600" i="23"/>
  <c r="AD600" i="23"/>
  <c r="AE600" i="23"/>
  <c r="AB601" i="23"/>
  <c r="AC601" i="23"/>
  <c r="AD601" i="23"/>
  <c r="AE601" i="23"/>
  <c r="AB602" i="23"/>
  <c r="AC602" i="23"/>
  <c r="AD602" i="23"/>
  <c r="AE602" i="23"/>
  <c r="AB603" i="23"/>
  <c r="AC603" i="23"/>
  <c r="AD603" i="23"/>
  <c r="AE603" i="23"/>
  <c r="AB604" i="23"/>
  <c r="AC604" i="23"/>
  <c r="AD604" i="23"/>
  <c r="AE604" i="23"/>
  <c r="AB605" i="23"/>
  <c r="AC605" i="23"/>
  <c r="AD605" i="23"/>
  <c r="AE605" i="23"/>
  <c r="AB606" i="23"/>
  <c r="AC606" i="23"/>
  <c r="AD606" i="23"/>
  <c r="AE606" i="23"/>
  <c r="AB607" i="23"/>
  <c r="AC607" i="23"/>
  <c r="AD607" i="23"/>
  <c r="AE607" i="23"/>
  <c r="AB608" i="23"/>
  <c r="AC608" i="23"/>
  <c r="AD608" i="23"/>
  <c r="AE608" i="23"/>
  <c r="AB609" i="23"/>
  <c r="AC609" i="23"/>
  <c r="AD609" i="23"/>
  <c r="AE609" i="23"/>
  <c r="AB610" i="23"/>
  <c r="AC610" i="23"/>
  <c r="AD610" i="23"/>
  <c r="AE610" i="23"/>
  <c r="AB611" i="23"/>
  <c r="AC611" i="23"/>
  <c r="AD611" i="23"/>
  <c r="AE611" i="23"/>
  <c r="AB612" i="23"/>
  <c r="AC612" i="23"/>
  <c r="AD612" i="23"/>
  <c r="AE612" i="23"/>
  <c r="AB613" i="23"/>
  <c r="AC613" i="23"/>
  <c r="AD613" i="23"/>
  <c r="AE613" i="23"/>
  <c r="AB614" i="23"/>
  <c r="AC614" i="23"/>
  <c r="AD614" i="23"/>
  <c r="AE614" i="23"/>
  <c r="AB615" i="23"/>
  <c r="AC615" i="23"/>
  <c r="AD615" i="23"/>
  <c r="AE615" i="23"/>
  <c r="AB616" i="23"/>
  <c r="AC616" i="23"/>
  <c r="AD616" i="23"/>
  <c r="AE616" i="23"/>
  <c r="AB617" i="23"/>
  <c r="AC617" i="23"/>
  <c r="AD617" i="23"/>
  <c r="AE617" i="23"/>
  <c r="AB618" i="23"/>
  <c r="AC618" i="23"/>
  <c r="AD618" i="23"/>
  <c r="AE618" i="23"/>
  <c r="AB619" i="23"/>
  <c r="AC619" i="23"/>
  <c r="AD619" i="23"/>
  <c r="AE619" i="23"/>
  <c r="AB620" i="23"/>
  <c r="AC620" i="23"/>
  <c r="AD620" i="23"/>
  <c r="AE620" i="23"/>
  <c r="AB621" i="23"/>
  <c r="AC621" i="23"/>
  <c r="AD621" i="23"/>
  <c r="AE621" i="23"/>
  <c r="AB622" i="23"/>
  <c r="AC622" i="23"/>
  <c r="AD622" i="23"/>
  <c r="AE622" i="23"/>
  <c r="AB623" i="23"/>
  <c r="AC623" i="23"/>
  <c r="AD623" i="23"/>
  <c r="AE623" i="23"/>
  <c r="AB624" i="23"/>
  <c r="AC624" i="23"/>
  <c r="AD624" i="23"/>
  <c r="AE624" i="23"/>
  <c r="AB625" i="23"/>
  <c r="AC625" i="23"/>
  <c r="AD625" i="23"/>
  <c r="AE625" i="23"/>
  <c r="AB626" i="23"/>
  <c r="AC626" i="23"/>
  <c r="AD626" i="23"/>
  <c r="AE626" i="23"/>
  <c r="AB627" i="23"/>
  <c r="AC627" i="23"/>
  <c r="AD627" i="23"/>
  <c r="AE627" i="23"/>
  <c r="AB628" i="23"/>
  <c r="AC628" i="23"/>
  <c r="AD628" i="23"/>
  <c r="AE628" i="23"/>
  <c r="AB629" i="23"/>
  <c r="AC629" i="23"/>
  <c r="AD629" i="23"/>
  <c r="AE629" i="23"/>
  <c r="AB630" i="23"/>
  <c r="AC630" i="23"/>
  <c r="AD630" i="23"/>
  <c r="AE630" i="23"/>
  <c r="AB631" i="23"/>
  <c r="AC631" i="23"/>
  <c r="AD631" i="23"/>
  <c r="AE631" i="23"/>
  <c r="AB632" i="23"/>
  <c r="AC632" i="23"/>
  <c r="AD632" i="23"/>
  <c r="AE632" i="23"/>
  <c r="AB633" i="23"/>
  <c r="AC633" i="23"/>
  <c r="AD633" i="23"/>
  <c r="AE633" i="23"/>
  <c r="AB634" i="23"/>
  <c r="AC634" i="23"/>
  <c r="AD634" i="23"/>
  <c r="AE634" i="23"/>
  <c r="AB635" i="23"/>
  <c r="AC635" i="23"/>
  <c r="AD635" i="23"/>
  <c r="AE635" i="23"/>
  <c r="AB636" i="23"/>
  <c r="AC636" i="23"/>
  <c r="AD636" i="23"/>
  <c r="AE636" i="23"/>
  <c r="AB637" i="23"/>
  <c r="AC637" i="23"/>
  <c r="AD637" i="23"/>
  <c r="AE637" i="23"/>
  <c r="AB638" i="23"/>
  <c r="AC638" i="23"/>
  <c r="AD638" i="23"/>
  <c r="AE638" i="23"/>
  <c r="AB639" i="23"/>
  <c r="AC639" i="23"/>
  <c r="AD639" i="23"/>
  <c r="AE639" i="23"/>
  <c r="AB640" i="23"/>
  <c r="AC640" i="23"/>
  <c r="AD640" i="23"/>
  <c r="AE640" i="23"/>
  <c r="AB641" i="23"/>
  <c r="AC641" i="23"/>
  <c r="AD641" i="23"/>
  <c r="AE641" i="23"/>
  <c r="AB642" i="23"/>
  <c r="AC642" i="23"/>
  <c r="AD642" i="23"/>
  <c r="AE642" i="23"/>
  <c r="AB643" i="23"/>
  <c r="AC643" i="23"/>
  <c r="AD643" i="23"/>
  <c r="AE643" i="23"/>
  <c r="AB644" i="23"/>
  <c r="AC644" i="23"/>
  <c r="AD644" i="23"/>
  <c r="AE644" i="23"/>
  <c r="AB645" i="23"/>
  <c r="AC645" i="23"/>
  <c r="AD645" i="23"/>
  <c r="AE645" i="23"/>
  <c r="AB646" i="23"/>
  <c r="AC646" i="23"/>
  <c r="AD646" i="23"/>
  <c r="AE646" i="23"/>
  <c r="AB647" i="23"/>
  <c r="AC647" i="23"/>
  <c r="AD647" i="23"/>
  <c r="AE647" i="23"/>
  <c r="AB648" i="23"/>
  <c r="AC648" i="23"/>
  <c r="AD648" i="23"/>
  <c r="AE648" i="23"/>
  <c r="AB649" i="23"/>
  <c r="AC649" i="23"/>
  <c r="AD649" i="23"/>
  <c r="AE649" i="23"/>
  <c r="AB650" i="23"/>
  <c r="AC650" i="23"/>
  <c r="AD650" i="23"/>
  <c r="AE650" i="23"/>
  <c r="AB651" i="23"/>
  <c r="AC651" i="23"/>
  <c r="AD651" i="23"/>
  <c r="AE651" i="23"/>
  <c r="AB652" i="23"/>
  <c r="AC652" i="23"/>
  <c r="AD652" i="23"/>
  <c r="AE652" i="23"/>
  <c r="AB653" i="23"/>
  <c r="AC653" i="23"/>
  <c r="AD653" i="23"/>
  <c r="AE653" i="23"/>
  <c r="AB654" i="23"/>
  <c r="AC654" i="23"/>
  <c r="AD654" i="23"/>
  <c r="AE654" i="23"/>
  <c r="AB655" i="23"/>
  <c r="AC655" i="23"/>
  <c r="AD655" i="23"/>
  <c r="AE655" i="23"/>
  <c r="AB656" i="23"/>
  <c r="AC656" i="23"/>
  <c r="AD656" i="23"/>
  <c r="AE656" i="23"/>
  <c r="AB657" i="23"/>
  <c r="AC657" i="23"/>
  <c r="AD657" i="23"/>
  <c r="AE657" i="23"/>
  <c r="AB658" i="23"/>
  <c r="AC658" i="23"/>
  <c r="AD658" i="23"/>
  <c r="AE658" i="23"/>
  <c r="AB659" i="23"/>
  <c r="AC659" i="23"/>
  <c r="AD659" i="23"/>
  <c r="AE659" i="23"/>
  <c r="AB660" i="23"/>
  <c r="AC660" i="23"/>
  <c r="AD660" i="23"/>
  <c r="AE660" i="23"/>
  <c r="AB661" i="23"/>
  <c r="AC661" i="23"/>
  <c r="AD661" i="23"/>
  <c r="AE661" i="23"/>
  <c r="AB662" i="23"/>
  <c r="AC662" i="23"/>
  <c r="AD662" i="23"/>
  <c r="AE662" i="23"/>
  <c r="AB663" i="23"/>
  <c r="AC663" i="23"/>
  <c r="AD663" i="23"/>
  <c r="AE663" i="23"/>
  <c r="AB664" i="23"/>
  <c r="AC664" i="23"/>
  <c r="AD664" i="23"/>
  <c r="AE664" i="23"/>
  <c r="AB665" i="23"/>
  <c r="AC665" i="23"/>
  <c r="AD665" i="23"/>
  <c r="AE665" i="23"/>
  <c r="AB666" i="23"/>
  <c r="AC666" i="23"/>
  <c r="AD666" i="23"/>
  <c r="AE666" i="23"/>
  <c r="AB667" i="23"/>
  <c r="AC667" i="23"/>
  <c r="AD667" i="23"/>
  <c r="AE667" i="23"/>
  <c r="AB668" i="23"/>
  <c r="AC668" i="23"/>
  <c r="AD668" i="23"/>
  <c r="AE668" i="23"/>
  <c r="AB669" i="23"/>
  <c r="AC669" i="23"/>
  <c r="AD669" i="23"/>
  <c r="AE669" i="23"/>
  <c r="AB670" i="23"/>
  <c r="AC670" i="23"/>
  <c r="AD670" i="23"/>
  <c r="AE670" i="23"/>
  <c r="AB671" i="23"/>
  <c r="AC671" i="23"/>
  <c r="AD671" i="23"/>
  <c r="AE671" i="23"/>
  <c r="AB672" i="23"/>
  <c r="AC672" i="23"/>
  <c r="AD672" i="23"/>
  <c r="AE672" i="23"/>
  <c r="AB673" i="23"/>
  <c r="AC673" i="23"/>
  <c r="AD673" i="23"/>
  <c r="AE673" i="23"/>
  <c r="AB674" i="23"/>
  <c r="AC674" i="23"/>
  <c r="AD674" i="23"/>
  <c r="AE674" i="23"/>
  <c r="AB675" i="23"/>
  <c r="AC675" i="23"/>
  <c r="AD675" i="23"/>
  <c r="AE675" i="23"/>
  <c r="AB676" i="23"/>
  <c r="AC676" i="23"/>
  <c r="AD676" i="23"/>
  <c r="AE676" i="23"/>
  <c r="AB677" i="23"/>
  <c r="AC677" i="23"/>
  <c r="AD677" i="23"/>
  <c r="AE677" i="23"/>
  <c r="AB678" i="23"/>
  <c r="AC678" i="23"/>
  <c r="AD678" i="23"/>
  <c r="AE678" i="23"/>
  <c r="AB679" i="23"/>
  <c r="AC679" i="23"/>
  <c r="AD679" i="23"/>
  <c r="AE679" i="23"/>
  <c r="AB680" i="23"/>
  <c r="AC680" i="23"/>
  <c r="AD680" i="23"/>
  <c r="AE680" i="23"/>
  <c r="AB681" i="23"/>
  <c r="AC681" i="23"/>
  <c r="AD681" i="23"/>
  <c r="AE681" i="23"/>
  <c r="AB682" i="23"/>
  <c r="AC682" i="23"/>
  <c r="AD682" i="23"/>
  <c r="AE682" i="23"/>
  <c r="AB683" i="23"/>
  <c r="AC683" i="23"/>
  <c r="AD683" i="23"/>
  <c r="AE683" i="23"/>
  <c r="AB684" i="23"/>
  <c r="AC684" i="23"/>
  <c r="AD684" i="23"/>
  <c r="AE684" i="23"/>
  <c r="AB685" i="23"/>
  <c r="AC685" i="23"/>
  <c r="AD685" i="23"/>
  <c r="AE685" i="23"/>
  <c r="AB686" i="23"/>
  <c r="AC686" i="23"/>
  <c r="AD686" i="23"/>
  <c r="AE686" i="23"/>
  <c r="AB687" i="23"/>
  <c r="AC687" i="23"/>
  <c r="AD687" i="23"/>
  <c r="AE687" i="23"/>
  <c r="AB688" i="23"/>
  <c r="AC688" i="23"/>
  <c r="AD688" i="23"/>
  <c r="AE688" i="23"/>
  <c r="AB689" i="23"/>
  <c r="AC689" i="23"/>
  <c r="AD689" i="23"/>
  <c r="AE689" i="23"/>
  <c r="AB690" i="23"/>
  <c r="AC690" i="23"/>
  <c r="AD690" i="23"/>
  <c r="AE690" i="23"/>
  <c r="AB691" i="23"/>
  <c r="AC691" i="23"/>
  <c r="AD691" i="23"/>
  <c r="AE691" i="23"/>
  <c r="AB692" i="23"/>
  <c r="AC692" i="23"/>
  <c r="AD692" i="23"/>
  <c r="AE692" i="23"/>
  <c r="AB693" i="23"/>
  <c r="AC693" i="23"/>
  <c r="AD693" i="23"/>
  <c r="AE693" i="23"/>
  <c r="AB694" i="23"/>
  <c r="AC694" i="23"/>
  <c r="AD694" i="23"/>
  <c r="AE694" i="23"/>
  <c r="AB695" i="23"/>
  <c r="AC695" i="23"/>
  <c r="AD695" i="23"/>
  <c r="AE695" i="23"/>
  <c r="AB696" i="23"/>
  <c r="AC696" i="23"/>
  <c r="AD696" i="23"/>
  <c r="AE696" i="23"/>
  <c r="AB697" i="23"/>
  <c r="AC697" i="23"/>
  <c r="AD697" i="23"/>
  <c r="AE697" i="23"/>
  <c r="AB698" i="23"/>
  <c r="AC698" i="23"/>
  <c r="AD698" i="23"/>
  <c r="AE698" i="23"/>
  <c r="AB699" i="23"/>
  <c r="AC699" i="23"/>
  <c r="AD699" i="23"/>
  <c r="AE699" i="23"/>
  <c r="AB700" i="23"/>
  <c r="AC700" i="23"/>
  <c r="AD700" i="23"/>
  <c r="AE700" i="23"/>
  <c r="AB701" i="23"/>
  <c r="AC701" i="23"/>
  <c r="AD701" i="23"/>
  <c r="AE701" i="23"/>
  <c r="AB702" i="23"/>
  <c r="AC702" i="23"/>
  <c r="AD702" i="23"/>
  <c r="AE702" i="23"/>
  <c r="AB703" i="23"/>
  <c r="AC703" i="23"/>
  <c r="AD703" i="23"/>
  <c r="AE703" i="23"/>
  <c r="AB704" i="23"/>
  <c r="AC704" i="23"/>
  <c r="AD704" i="23"/>
  <c r="AE704" i="23"/>
  <c r="AB705" i="23"/>
  <c r="AC705" i="23"/>
  <c r="AD705" i="23"/>
  <c r="AE705" i="23"/>
  <c r="AB706" i="23"/>
  <c r="AC706" i="23"/>
  <c r="AD706" i="23"/>
  <c r="AE706" i="23"/>
  <c r="AB707" i="23"/>
  <c r="AC707" i="23"/>
  <c r="AD707" i="23"/>
  <c r="AE707" i="23"/>
  <c r="AB708" i="23"/>
  <c r="AC708" i="23"/>
  <c r="AD708" i="23"/>
  <c r="AE708" i="23"/>
  <c r="AB709" i="23"/>
  <c r="AC709" i="23"/>
  <c r="AD709" i="23"/>
  <c r="AE709" i="23"/>
  <c r="AB710" i="23"/>
  <c r="AC710" i="23"/>
  <c r="AD710" i="23"/>
  <c r="AE710" i="23"/>
  <c r="AB711" i="23"/>
  <c r="AC711" i="23"/>
  <c r="AD711" i="23"/>
  <c r="AE711" i="23"/>
  <c r="AB712" i="23"/>
  <c r="AC712" i="23"/>
  <c r="AD712" i="23"/>
  <c r="AE712" i="23"/>
  <c r="AB713" i="23"/>
  <c r="AC713" i="23"/>
  <c r="AD713" i="23"/>
  <c r="AE713" i="23"/>
  <c r="AB714" i="23"/>
  <c r="AC714" i="23"/>
  <c r="AD714" i="23"/>
  <c r="AE714" i="23"/>
  <c r="AB715" i="23"/>
  <c r="AC715" i="23"/>
  <c r="AD715" i="23"/>
  <c r="AE715" i="23"/>
  <c r="AB716" i="23"/>
  <c r="AC716" i="23"/>
  <c r="AD716" i="23"/>
  <c r="AE716" i="23"/>
  <c r="AB717" i="23"/>
  <c r="AC717" i="23"/>
  <c r="AD717" i="23"/>
  <c r="AE717" i="23"/>
  <c r="AB718" i="23"/>
  <c r="AC718" i="23"/>
  <c r="AD718" i="23"/>
  <c r="AE718" i="23"/>
  <c r="AB719" i="23"/>
  <c r="AC719" i="23"/>
  <c r="AD719" i="23"/>
  <c r="AE719" i="23"/>
  <c r="AB720" i="23"/>
  <c r="AC720" i="23"/>
  <c r="AD720" i="23"/>
  <c r="AE720" i="23"/>
  <c r="AB721" i="23"/>
  <c r="AC721" i="23"/>
  <c r="AD721" i="23"/>
  <c r="AE721" i="23"/>
  <c r="AB722" i="23"/>
  <c r="AC722" i="23"/>
  <c r="AD722" i="23"/>
  <c r="AE722" i="23"/>
  <c r="AB723" i="23"/>
  <c r="AC723" i="23"/>
  <c r="AD723" i="23"/>
  <c r="AE723" i="23"/>
  <c r="AB724" i="23"/>
  <c r="AC724" i="23"/>
  <c r="AD724" i="23"/>
  <c r="AE724" i="23"/>
  <c r="AB725" i="23"/>
  <c r="AC725" i="23"/>
  <c r="AD725" i="23"/>
  <c r="AE725" i="23"/>
  <c r="AB726" i="23"/>
  <c r="AC726" i="23"/>
  <c r="AD726" i="23"/>
  <c r="AE726" i="23"/>
  <c r="AB727" i="23"/>
  <c r="AC727" i="23"/>
  <c r="AD727" i="23"/>
  <c r="AE727" i="23"/>
  <c r="AB728" i="23"/>
  <c r="AC728" i="23"/>
  <c r="AD728" i="23"/>
  <c r="AE728" i="23"/>
  <c r="AB729" i="23"/>
  <c r="AC729" i="23"/>
  <c r="AD729" i="23"/>
  <c r="AE729" i="23"/>
  <c r="AB730" i="23"/>
  <c r="AC730" i="23"/>
  <c r="AD730" i="23"/>
  <c r="AE730" i="23"/>
  <c r="AB731" i="23"/>
  <c r="AC731" i="23"/>
  <c r="AD731" i="23"/>
  <c r="AE731" i="23"/>
  <c r="AB732" i="23"/>
  <c r="AC732" i="23"/>
  <c r="AD732" i="23"/>
  <c r="AE732" i="23"/>
  <c r="AB733" i="23"/>
  <c r="AC733" i="23"/>
  <c r="AD733" i="23"/>
  <c r="AE733" i="23"/>
  <c r="AB734" i="23"/>
  <c r="AC734" i="23"/>
  <c r="AD734" i="23"/>
  <c r="AE734" i="23"/>
  <c r="AB735" i="23"/>
  <c r="AC735" i="23"/>
  <c r="AD735" i="23"/>
  <c r="AE735" i="23"/>
  <c r="AB736" i="23"/>
  <c r="AC736" i="23"/>
  <c r="AD736" i="23"/>
  <c r="AE736" i="23"/>
  <c r="AB737" i="23"/>
  <c r="AC737" i="23"/>
  <c r="AD737" i="23"/>
  <c r="AE737" i="23"/>
  <c r="AB738" i="23"/>
  <c r="AC738" i="23"/>
  <c r="AD738" i="23"/>
  <c r="AE738" i="23"/>
  <c r="AB739" i="23"/>
  <c r="AC739" i="23"/>
  <c r="AD739" i="23"/>
  <c r="AE739" i="23"/>
  <c r="AB740" i="23"/>
  <c r="AC740" i="23"/>
  <c r="AD740" i="23"/>
  <c r="AE740" i="23"/>
  <c r="AB741" i="23"/>
  <c r="AC741" i="23"/>
  <c r="AD741" i="23"/>
  <c r="AE741" i="23"/>
  <c r="AB742" i="23"/>
  <c r="AC742" i="23"/>
  <c r="AD742" i="23"/>
  <c r="AE742" i="23"/>
  <c r="AB743" i="23"/>
  <c r="AC743" i="23"/>
  <c r="AD743" i="23"/>
  <c r="AE743" i="23"/>
  <c r="AB744" i="23"/>
  <c r="AC744" i="23"/>
  <c r="AD744" i="23"/>
  <c r="AE744" i="23"/>
  <c r="AB745" i="23"/>
  <c r="AC745" i="23"/>
  <c r="AD745" i="23"/>
  <c r="AE745" i="23"/>
  <c r="AB746" i="23"/>
  <c r="AC746" i="23"/>
  <c r="AD746" i="23"/>
  <c r="AE746" i="23"/>
  <c r="AB747" i="23"/>
  <c r="AC747" i="23"/>
  <c r="AD747" i="23"/>
  <c r="AE747" i="23"/>
  <c r="AB748" i="23"/>
  <c r="AC748" i="23"/>
  <c r="AD748" i="23"/>
  <c r="AE748" i="23"/>
  <c r="AB749" i="23"/>
  <c r="AC749" i="23"/>
  <c r="AD749" i="23"/>
  <c r="AE749" i="23"/>
  <c r="AB750" i="23"/>
  <c r="AC750" i="23"/>
  <c r="AD750" i="23"/>
  <c r="AE750" i="23"/>
  <c r="AB751" i="23"/>
  <c r="AC751" i="23"/>
  <c r="AD751" i="23"/>
  <c r="AE751" i="23"/>
  <c r="AB752" i="23"/>
  <c r="AC752" i="23"/>
  <c r="AD752" i="23"/>
  <c r="AE752" i="23"/>
  <c r="AB753" i="23"/>
  <c r="AC753" i="23"/>
  <c r="AD753" i="23"/>
  <c r="AE753" i="23"/>
  <c r="AB754" i="23"/>
  <c r="AC754" i="23"/>
  <c r="AD754" i="23"/>
  <c r="AE754" i="23"/>
  <c r="AB755" i="23"/>
  <c r="AC755" i="23"/>
  <c r="AD755" i="23"/>
  <c r="AE755" i="23"/>
  <c r="AB756" i="23"/>
  <c r="AC756" i="23"/>
  <c r="AD756" i="23"/>
  <c r="AE756" i="23"/>
  <c r="AB757" i="23"/>
  <c r="AC757" i="23"/>
  <c r="AD757" i="23"/>
  <c r="AE757" i="23"/>
  <c r="AB758" i="23"/>
  <c r="AC758" i="23"/>
  <c r="AD758" i="23"/>
  <c r="AE758" i="23"/>
  <c r="AB759" i="23"/>
  <c r="AC759" i="23"/>
  <c r="AD759" i="23"/>
  <c r="AE759" i="23"/>
  <c r="AB760" i="23"/>
  <c r="AC760" i="23"/>
  <c r="AD760" i="23"/>
  <c r="AE760" i="23"/>
  <c r="AB761" i="23"/>
  <c r="AC761" i="23"/>
  <c r="AD761" i="23"/>
  <c r="AE761" i="23"/>
  <c r="AB762" i="23"/>
  <c r="AC762" i="23"/>
  <c r="AD762" i="23"/>
  <c r="AE762" i="23"/>
  <c r="AB763" i="23"/>
  <c r="AC763" i="23"/>
  <c r="AD763" i="23"/>
  <c r="AE763" i="23"/>
  <c r="AB764" i="23"/>
  <c r="AC764" i="23"/>
  <c r="AD764" i="23"/>
  <c r="AE764" i="23"/>
  <c r="AB765" i="23"/>
  <c r="AC765" i="23"/>
  <c r="AD765" i="23"/>
  <c r="AE765" i="23"/>
  <c r="AB766" i="23"/>
  <c r="AC766" i="23"/>
  <c r="AD766" i="23"/>
  <c r="AE766" i="23"/>
  <c r="AB767" i="23"/>
  <c r="AC767" i="23"/>
  <c r="AD767" i="23"/>
  <c r="AE767" i="23"/>
  <c r="AB768" i="23"/>
  <c r="AC768" i="23"/>
  <c r="AD768" i="23"/>
  <c r="AE768" i="23"/>
  <c r="AB769" i="23"/>
  <c r="AC769" i="23"/>
  <c r="AD769" i="23"/>
  <c r="AE769" i="23"/>
  <c r="AB770" i="23"/>
  <c r="AC770" i="23"/>
  <c r="AD770" i="23"/>
  <c r="AE770" i="23"/>
  <c r="AB771" i="23"/>
  <c r="AC771" i="23"/>
  <c r="AD771" i="23"/>
  <c r="AE771" i="23"/>
  <c r="AB772" i="23"/>
  <c r="AC772" i="23"/>
  <c r="AD772" i="23"/>
  <c r="AE772" i="23"/>
  <c r="AB773" i="23"/>
  <c r="AC773" i="23"/>
  <c r="AD773" i="23"/>
  <c r="AE773" i="23"/>
  <c r="AB774" i="23"/>
  <c r="AC774" i="23"/>
  <c r="AD774" i="23"/>
  <c r="AE774" i="23"/>
  <c r="AB775" i="23"/>
  <c r="AC775" i="23"/>
  <c r="AD775" i="23"/>
  <c r="AE775" i="23"/>
  <c r="AB776" i="23"/>
  <c r="AC776" i="23"/>
  <c r="AD776" i="23"/>
  <c r="AE776" i="23"/>
  <c r="AB777" i="23"/>
  <c r="AC777" i="23"/>
  <c r="AD777" i="23"/>
  <c r="AE777" i="23"/>
  <c r="AB778" i="23"/>
  <c r="AC778" i="23"/>
  <c r="AD778" i="23"/>
  <c r="AE778" i="23"/>
  <c r="AB779" i="23"/>
  <c r="AC779" i="23"/>
  <c r="AD779" i="23"/>
  <c r="AE779" i="23"/>
  <c r="AB780" i="23"/>
  <c r="AC780" i="23"/>
  <c r="AD780" i="23"/>
  <c r="AE780" i="23"/>
  <c r="AB781" i="23"/>
  <c r="AC781" i="23"/>
  <c r="AD781" i="23"/>
  <c r="AE781" i="23"/>
  <c r="AB782" i="23"/>
  <c r="AC782" i="23"/>
  <c r="AD782" i="23"/>
  <c r="AE782" i="23"/>
  <c r="AB783" i="23"/>
  <c r="AC783" i="23"/>
  <c r="AD783" i="23"/>
  <c r="AE783" i="23"/>
  <c r="AB784" i="23"/>
  <c r="AC784" i="23"/>
  <c r="AD784" i="23"/>
  <c r="AE784" i="23"/>
  <c r="AB785" i="23"/>
  <c r="AC785" i="23"/>
  <c r="AD785" i="23"/>
  <c r="AE785" i="23"/>
  <c r="AB786" i="23"/>
  <c r="AC786" i="23"/>
  <c r="AD786" i="23"/>
  <c r="AE786" i="23"/>
  <c r="AB787" i="23"/>
  <c r="AC787" i="23"/>
  <c r="AD787" i="23"/>
  <c r="AE787" i="23"/>
  <c r="AB788" i="23"/>
  <c r="AC788" i="23"/>
  <c r="AD788" i="23"/>
  <c r="AE788" i="23"/>
  <c r="AB789" i="23"/>
  <c r="AC789" i="23"/>
  <c r="AD789" i="23"/>
  <c r="AE789" i="23"/>
  <c r="AB790" i="23"/>
  <c r="AC790" i="23"/>
  <c r="AD790" i="23"/>
  <c r="AE790" i="23"/>
  <c r="AB791" i="23"/>
  <c r="AC791" i="23"/>
  <c r="AD791" i="23"/>
  <c r="AE791" i="23"/>
  <c r="AB792" i="23"/>
  <c r="AC792" i="23"/>
  <c r="AD792" i="23"/>
  <c r="AE792" i="23"/>
  <c r="AB793" i="23"/>
  <c r="AC793" i="23"/>
  <c r="AD793" i="23"/>
  <c r="AE793" i="23"/>
  <c r="AB794" i="23"/>
  <c r="AC794" i="23"/>
  <c r="AD794" i="23"/>
  <c r="AE794" i="23"/>
  <c r="AB795" i="23"/>
  <c r="AC795" i="23"/>
  <c r="AD795" i="23"/>
  <c r="AE795" i="23"/>
  <c r="AB796" i="23"/>
  <c r="AC796" i="23"/>
  <c r="AD796" i="23"/>
  <c r="AE796" i="23"/>
  <c r="AB797" i="23"/>
  <c r="AC797" i="23"/>
  <c r="AD797" i="23"/>
  <c r="AE797" i="23"/>
  <c r="AB798" i="23"/>
  <c r="AC798" i="23"/>
  <c r="AD798" i="23"/>
  <c r="AE798" i="23"/>
  <c r="AB799" i="23"/>
  <c r="AC799" i="23"/>
  <c r="AD799" i="23"/>
  <c r="AE799" i="23"/>
  <c r="AB800" i="23"/>
  <c r="AC800" i="23"/>
  <c r="AD800" i="23"/>
  <c r="AE800" i="23"/>
  <c r="AB801" i="23"/>
  <c r="AC801" i="23"/>
  <c r="AD801" i="23"/>
  <c r="AE801" i="23"/>
  <c r="AB802" i="23"/>
  <c r="AC802" i="23"/>
  <c r="AD802" i="23"/>
  <c r="AE802" i="23"/>
  <c r="AB803" i="23"/>
  <c r="AC803" i="23"/>
  <c r="AD803" i="23"/>
  <c r="AE803" i="23"/>
  <c r="AB804" i="23"/>
  <c r="AC804" i="23"/>
  <c r="AD804" i="23"/>
  <c r="AE804" i="23"/>
  <c r="AB805" i="23"/>
  <c r="AC805" i="23"/>
  <c r="AD805" i="23"/>
  <c r="AE805" i="23"/>
  <c r="AB806" i="23"/>
  <c r="AC806" i="23"/>
  <c r="AD806" i="23"/>
  <c r="AE806" i="23"/>
  <c r="AB807" i="23"/>
  <c r="AC807" i="23"/>
  <c r="AD807" i="23"/>
  <c r="AE807" i="23"/>
  <c r="AB808" i="23"/>
  <c r="AC808" i="23"/>
  <c r="AD808" i="23"/>
  <c r="AE808" i="23"/>
  <c r="AB809" i="23"/>
  <c r="AC809" i="23"/>
  <c r="AD809" i="23"/>
  <c r="AE809" i="23"/>
  <c r="AB810" i="23"/>
  <c r="AC810" i="23"/>
  <c r="AD810" i="23"/>
  <c r="AE810" i="23"/>
  <c r="AB811" i="23"/>
  <c r="AC811" i="23"/>
  <c r="AD811" i="23"/>
  <c r="AE811" i="23"/>
  <c r="AB812" i="23"/>
  <c r="AC812" i="23"/>
  <c r="AD812" i="23"/>
  <c r="AB813" i="23"/>
  <c r="AC813" i="23"/>
  <c r="AD813" i="23"/>
  <c r="AE813" i="23"/>
  <c r="AB814" i="23"/>
  <c r="AC814" i="23"/>
  <c r="AD814" i="23"/>
  <c r="AE814" i="23"/>
  <c r="AB815" i="23"/>
  <c r="AC815" i="23"/>
  <c r="AD815" i="23"/>
  <c r="AE815" i="23"/>
  <c r="AB816" i="23"/>
  <c r="AC816" i="23"/>
  <c r="AD816" i="23"/>
  <c r="AE816" i="23"/>
  <c r="AB817" i="23"/>
  <c r="AC817" i="23"/>
  <c r="AD817" i="23"/>
  <c r="AE817" i="23"/>
  <c r="AB818" i="23"/>
  <c r="AC818" i="23"/>
  <c r="AD818" i="23"/>
  <c r="AE818" i="23"/>
  <c r="AB819" i="23"/>
  <c r="AC819" i="23"/>
  <c r="AD819" i="23"/>
  <c r="AE819" i="23"/>
  <c r="AB4" i="23"/>
  <c r="AC4" i="23"/>
  <c r="AD4" i="23"/>
  <c r="AE4" i="23"/>
  <c r="AB5" i="23"/>
  <c r="AC5" i="23"/>
  <c r="AD5" i="23"/>
  <c r="AE5" i="23"/>
  <c r="AB6" i="23"/>
  <c r="AC6" i="23"/>
  <c r="AD6" i="23"/>
  <c r="AE6" i="23"/>
  <c r="AB7" i="23"/>
  <c r="AC7" i="23"/>
  <c r="AD7" i="23"/>
  <c r="AE7" i="23"/>
  <c r="AB8" i="23"/>
  <c r="AC8" i="23"/>
  <c r="AD8" i="23"/>
  <c r="AE8" i="23"/>
  <c r="AB9" i="23"/>
  <c r="AC9" i="23"/>
  <c r="AD9" i="23"/>
  <c r="AE9" i="23"/>
  <c r="AB10" i="23"/>
  <c r="AC10" i="23"/>
  <c r="AD10" i="23"/>
  <c r="AE10" i="23"/>
  <c r="AE3" i="23"/>
  <c r="AC3" i="23"/>
  <c r="AD3" i="23"/>
  <c r="AC2" i="23"/>
  <c r="AE2" i="23"/>
  <c r="AB2" i="23"/>
  <c r="AB3" i="23"/>
  <c r="T3" i="35"/>
  <c r="T4" i="35"/>
  <c r="T5" i="35"/>
  <c r="T6" i="35"/>
  <c r="T7" i="35"/>
  <c r="N4" i="11"/>
  <c r="O4" i="11"/>
  <c r="P4" i="11"/>
  <c r="Q4" i="11"/>
  <c r="N5" i="11"/>
  <c r="O5" i="11"/>
  <c r="P5" i="11"/>
  <c r="Q5" i="11"/>
  <c r="N6" i="11"/>
  <c r="O6" i="11"/>
  <c r="P6" i="11"/>
  <c r="Q6" i="11"/>
  <c r="N7" i="11"/>
  <c r="O7" i="11"/>
  <c r="P7" i="11"/>
  <c r="Q7" i="11"/>
  <c r="N8" i="11"/>
  <c r="O8" i="11"/>
  <c r="P8" i="11"/>
  <c r="Q8" i="11"/>
  <c r="N9" i="11"/>
  <c r="O9" i="11"/>
  <c r="P9" i="11"/>
  <c r="Q9" i="11"/>
  <c r="N10" i="11"/>
  <c r="O10" i="11"/>
  <c r="P10" i="11"/>
  <c r="Q10" i="11"/>
  <c r="N11" i="11"/>
  <c r="O11" i="11"/>
  <c r="P11" i="11"/>
  <c r="Q11" i="11"/>
  <c r="N12" i="11"/>
  <c r="O12" i="11"/>
  <c r="P12" i="11"/>
  <c r="Q12" i="11"/>
  <c r="N13" i="11"/>
  <c r="O13" i="11"/>
  <c r="P13" i="11"/>
  <c r="Q13" i="11"/>
  <c r="N14" i="11"/>
  <c r="O14" i="11"/>
  <c r="P14" i="11"/>
  <c r="Q14" i="11"/>
  <c r="N15" i="11"/>
  <c r="O15" i="11"/>
  <c r="P15" i="11"/>
  <c r="Q15" i="11"/>
  <c r="N16" i="11"/>
  <c r="O16" i="11"/>
  <c r="P16" i="11"/>
  <c r="Q16" i="11"/>
  <c r="N17" i="11"/>
  <c r="O17" i="11"/>
  <c r="P17" i="11"/>
  <c r="Q17" i="11"/>
  <c r="N18" i="11"/>
  <c r="O18" i="11"/>
  <c r="P18" i="11"/>
  <c r="Q18" i="11"/>
  <c r="N19" i="11"/>
  <c r="O19" i="11"/>
  <c r="P19" i="11"/>
  <c r="Q19" i="11"/>
  <c r="N20" i="11"/>
  <c r="O20" i="11"/>
  <c r="P20" i="11"/>
  <c r="Q20" i="11"/>
  <c r="N21" i="11"/>
  <c r="O21" i="11"/>
  <c r="P21" i="11"/>
  <c r="Q21" i="11"/>
  <c r="N22" i="11"/>
  <c r="O22" i="11"/>
  <c r="P22" i="11"/>
  <c r="Q22" i="11"/>
  <c r="N23" i="11"/>
  <c r="O23" i="11"/>
  <c r="P23" i="11"/>
  <c r="Q23" i="11"/>
  <c r="N24" i="11"/>
  <c r="O24" i="11"/>
  <c r="P24" i="11"/>
  <c r="Q24" i="11"/>
  <c r="N25" i="11"/>
  <c r="O25" i="11"/>
  <c r="P25" i="11"/>
  <c r="Q25" i="11"/>
  <c r="N26" i="11"/>
  <c r="O26" i="11"/>
  <c r="P26" i="11"/>
  <c r="Q26" i="11"/>
  <c r="N27" i="11"/>
  <c r="O27" i="11"/>
  <c r="P27" i="11"/>
  <c r="Q27" i="11"/>
  <c r="N28" i="11"/>
  <c r="O28" i="11"/>
  <c r="P28" i="11"/>
  <c r="Q28" i="11"/>
  <c r="N29" i="11"/>
  <c r="O29" i="11"/>
  <c r="P29" i="11"/>
  <c r="Q29" i="11"/>
  <c r="N30" i="11"/>
  <c r="O30" i="11"/>
  <c r="P30" i="11"/>
  <c r="Q30" i="11"/>
  <c r="N31" i="11"/>
  <c r="O31" i="11"/>
  <c r="P31" i="11"/>
  <c r="Q31" i="11"/>
  <c r="N32" i="11"/>
  <c r="O32" i="11"/>
  <c r="P32" i="11"/>
  <c r="Q32" i="11"/>
  <c r="N33" i="11"/>
  <c r="O33" i="11"/>
  <c r="P33" i="11"/>
  <c r="Q33" i="11"/>
  <c r="N34" i="11"/>
  <c r="O34" i="11"/>
  <c r="P34" i="11"/>
  <c r="Q34" i="11"/>
  <c r="N35" i="11"/>
  <c r="O35" i="11"/>
  <c r="P35" i="11"/>
  <c r="Q35" i="11"/>
  <c r="N36" i="11"/>
  <c r="O36" i="11"/>
  <c r="P36" i="11"/>
  <c r="Q36" i="11"/>
  <c r="N37" i="11"/>
  <c r="O37" i="11"/>
  <c r="P37" i="11"/>
  <c r="Q37" i="11"/>
  <c r="N38" i="11"/>
  <c r="O38" i="11"/>
  <c r="P38" i="11"/>
  <c r="Q38" i="11"/>
  <c r="N39" i="11"/>
  <c r="O39" i="11"/>
  <c r="P39" i="11"/>
  <c r="Q39" i="11"/>
  <c r="N40" i="11"/>
  <c r="O40" i="11"/>
  <c r="P40" i="11"/>
  <c r="Q40" i="11"/>
  <c r="N41" i="11"/>
  <c r="O41" i="11"/>
  <c r="P41" i="11"/>
  <c r="Q41" i="11"/>
  <c r="N42" i="11"/>
  <c r="O42" i="11"/>
  <c r="P42" i="11"/>
  <c r="Q42" i="11"/>
  <c r="N43" i="11"/>
  <c r="O43" i="11"/>
  <c r="P43" i="11"/>
  <c r="Q43" i="11"/>
  <c r="N44" i="11"/>
  <c r="O44" i="11"/>
  <c r="P44" i="11"/>
  <c r="Q44" i="11"/>
  <c r="N45" i="11"/>
  <c r="O45" i="11"/>
  <c r="P45" i="11"/>
  <c r="Q45" i="11"/>
  <c r="N46" i="11"/>
  <c r="O46" i="11"/>
  <c r="P46" i="11"/>
  <c r="Q46" i="11"/>
  <c r="N47" i="11"/>
  <c r="O47" i="11"/>
  <c r="P47" i="11"/>
  <c r="Q47" i="11"/>
  <c r="N48" i="11"/>
  <c r="O48" i="11"/>
  <c r="P48" i="11"/>
  <c r="Q48" i="11"/>
  <c r="N49" i="11"/>
  <c r="O49" i="11"/>
  <c r="P49" i="11"/>
  <c r="Q49" i="11"/>
  <c r="N50" i="11"/>
  <c r="O50" i="11"/>
  <c r="P50" i="11"/>
  <c r="Q50" i="11"/>
  <c r="N51" i="11"/>
  <c r="O51" i="11"/>
  <c r="P51" i="11"/>
  <c r="Q51" i="11"/>
  <c r="N52" i="11"/>
  <c r="O52" i="11"/>
  <c r="P52" i="11"/>
  <c r="Q52" i="11"/>
  <c r="N53" i="11"/>
  <c r="O53" i="11"/>
  <c r="P53" i="11"/>
  <c r="Q53" i="11"/>
  <c r="N54" i="11"/>
  <c r="O54" i="11"/>
  <c r="P54" i="11"/>
  <c r="Q54" i="11"/>
  <c r="N55" i="11"/>
  <c r="O55" i="11"/>
  <c r="P55" i="11"/>
  <c r="Q55" i="11"/>
  <c r="N56" i="11"/>
  <c r="O56" i="11"/>
  <c r="P56" i="11"/>
  <c r="Q56" i="11"/>
  <c r="N57" i="11"/>
  <c r="O57" i="11"/>
  <c r="P57" i="11"/>
  <c r="Q57" i="11"/>
  <c r="N58" i="11"/>
  <c r="O58" i="11"/>
  <c r="P58" i="11"/>
  <c r="Q58" i="11"/>
  <c r="N59" i="11"/>
  <c r="O59" i="11"/>
  <c r="P59" i="11"/>
  <c r="Q59" i="11"/>
  <c r="N60" i="11"/>
  <c r="O60" i="11"/>
  <c r="P60" i="11"/>
  <c r="Q60" i="11"/>
  <c r="N61" i="11"/>
  <c r="O61" i="11"/>
  <c r="P61" i="11"/>
  <c r="Q61" i="11"/>
  <c r="N62" i="11"/>
  <c r="O62" i="11"/>
  <c r="P62" i="11"/>
  <c r="Q62" i="11"/>
  <c r="N63" i="11"/>
  <c r="O63" i="11"/>
  <c r="P63" i="11"/>
  <c r="Q63" i="11"/>
  <c r="N64" i="11"/>
  <c r="O64" i="11"/>
  <c r="P64" i="11"/>
  <c r="Q64" i="11"/>
  <c r="N65" i="11"/>
  <c r="O65" i="11"/>
  <c r="P65" i="11"/>
  <c r="Q65" i="11"/>
  <c r="N66" i="11"/>
  <c r="O66" i="11"/>
  <c r="P66" i="11"/>
  <c r="Q66" i="11"/>
  <c r="N67" i="11"/>
  <c r="O67" i="11"/>
  <c r="P67" i="11"/>
  <c r="Q67" i="11"/>
  <c r="N68" i="11"/>
  <c r="O68" i="11"/>
  <c r="P68" i="11"/>
  <c r="Q68" i="11"/>
  <c r="N69" i="11"/>
  <c r="O69" i="11"/>
  <c r="P69" i="11"/>
  <c r="Q69" i="11"/>
  <c r="N70" i="11"/>
  <c r="O70" i="11"/>
  <c r="P70" i="11"/>
  <c r="Q70" i="11"/>
  <c r="N71" i="11"/>
  <c r="O71" i="11"/>
  <c r="P71" i="11"/>
  <c r="Q71" i="11"/>
  <c r="N72" i="11"/>
  <c r="O72" i="11"/>
  <c r="P72" i="11"/>
  <c r="Q72" i="11"/>
  <c r="N73" i="11"/>
  <c r="O73" i="11"/>
  <c r="P73" i="11"/>
  <c r="Q73" i="11"/>
  <c r="N74" i="11"/>
  <c r="O74" i="11"/>
  <c r="P74" i="11"/>
  <c r="Q74" i="11"/>
  <c r="N75" i="11"/>
  <c r="O75" i="11"/>
  <c r="P75" i="11"/>
  <c r="Q75" i="11"/>
  <c r="N76" i="11"/>
  <c r="O76" i="11"/>
  <c r="P76" i="11"/>
  <c r="Q76" i="11"/>
  <c r="N77" i="11"/>
  <c r="O77" i="11"/>
  <c r="P77" i="11"/>
  <c r="Q77" i="11"/>
  <c r="N78" i="11"/>
  <c r="O78" i="11"/>
  <c r="P78" i="11"/>
  <c r="Q78" i="11"/>
  <c r="N79" i="11"/>
  <c r="O79" i="11"/>
  <c r="P79" i="11"/>
  <c r="Q79" i="11"/>
  <c r="N80" i="11"/>
  <c r="O80" i="11"/>
  <c r="P80" i="11"/>
  <c r="Q80" i="11"/>
  <c r="N81" i="11"/>
  <c r="O81" i="11"/>
  <c r="P81" i="11"/>
  <c r="Q81" i="11"/>
  <c r="N82" i="11"/>
  <c r="O82" i="11"/>
  <c r="P82" i="11"/>
  <c r="Q82" i="11"/>
  <c r="N83" i="11"/>
  <c r="O83" i="11"/>
  <c r="P83" i="11"/>
  <c r="Q83" i="11"/>
  <c r="N84" i="11"/>
  <c r="O84" i="11"/>
  <c r="P84" i="11"/>
  <c r="Q84" i="11"/>
  <c r="N85" i="11"/>
  <c r="O85" i="11"/>
  <c r="P85" i="11"/>
  <c r="Q85" i="11"/>
  <c r="N86" i="11"/>
  <c r="O86" i="11"/>
  <c r="P86" i="11"/>
  <c r="Q86" i="11"/>
  <c r="N87" i="11"/>
  <c r="O87" i="11"/>
  <c r="P87" i="11"/>
  <c r="Q87" i="11"/>
  <c r="N88" i="11"/>
  <c r="O88" i="11"/>
  <c r="P88" i="11"/>
  <c r="Q88" i="11"/>
  <c r="N89" i="11"/>
  <c r="O89" i="11"/>
  <c r="P89" i="11"/>
  <c r="Q89" i="11"/>
  <c r="N90" i="11"/>
  <c r="O90" i="11"/>
  <c r="P90" i="11"/>
  <c r="Q90" i="11"/>
  <c r="N91" i="11"/>
  <c r="O91" i="11"/>
  <c r="P91" i="11"/>
  <c r="Q91" i="11"/>
  <c r="N92" i="11"/>
  <c r="O92" i="11"/>
  <c r="P92" i="11"/>
  <c r="Q92" i="11"/>
  <c r="N93" i="11"/>
  <c r="O93" i="11"/>
  <c r="P93" i="11"/>
  <c r="Q93" i="11"/>
  <c r="N94" i="11"/>
  <c r="O94" i="11"/>
  <c r="P94" i="11"/>
  <c r="Q94" i="11"/>
  <c r="N95" i="11"/>
  <c r="O95" i="11"/>
  <c r="P95" i="11"/>
  <c r="Q95" i="11"/>
  <c r="N96" i="11"/>
  <c r="O96" i="11"/>
  <c r="P96" i="11"/>
  <c r="Q96" i="11"/>
  <c r="N97" i="11"/>
  <c r="O97" i="11"/>
  <c r="P97" i="11"/>
  <c r="Q97" i="11"/>
  <c r="N98" i="11"/>
  <c r="O98" i="11"/>
  <c r="P98" i="11"/>
  <c r="Q98" i="11"/>
  <c r="N99" i="11"/>
  <c r="O99" i="11"/>
  <c r="P99" i="11"/>
  <c r="Q99" i="11"/>
  <c r="N100" i="11"/>
  <c r="O100" i="11"/>
  <c r="P100" i="11"/>
  <c r="Q100" i="11"/>
  <c r="N101" i="11"/>
  <c r="O101" i="11"/>
  <c r="P101" i="11"/>
  <c r="Q101" i="11"/>
  <c r="N102" i="11"/>
  <c r="O102" i="11"/>
  <c r="P102" i="11"/>
  <c r="Q102" i="11"/>
  <c r="N103" i="11"/>
  <c r="O103" i="11"/>
  <c r="P103" i="11"/>
  <c r="Q103" i="11"/>
  <c r="N104" i="11"/>
  <c r="O104" i="11"/>
  <c r="P104" i="11"/>
  <c r="Q104" i="11"/>
  <c r="N105" i="11"/>
  <c r="O105" i="11"/>
  <c r="P105" i="11"/>
  <c r="Q105" i="11"/>
  <c r="N106" i="11"/>
  <c r="O106" i="11"/>
  <c r="P106" i="11"/>
  <c r="Q106" i="11"/>
  <c r="N107" i="11"/>
  <c r="O107" i="11"/>
  <c r="P107" i="11"/>
  <c r="Q107" i="11"/>
  <c r="N108" i="11"/>
  <c r="O108" i="11"/>
  <c r="P108" i="11"/>
  <c r="Q108" i="11"/>
  <c r="N109" i="11"/>
  <c r="O109" i="11"/>
  <c r="P109" i="11"/>
  <c r="Q109" i="11"/>
  <c r="N110" i="11"/>
  <c r="O110" i="11"/>
  <c r="P110" i="11"/>
  <c r="Q110" i="11"/>
  <c r="N111" i="11"/>
  <c r="O111" i="11"/>
  <c r="P111" i="11"/>
  <c r="Q111" i="11"/>
  <c r="N112" i="11"/>
  <c r="O112" i="11"/>
  <c r="P112" i="11"/>
  <c r="Q112" i="11"/>
  <c r="N113" i="11"/>
  <c r="O113" i="11"/>
  <c r="P113" i="11"/>
  <c r="Q113" i="11"/>
  <c r="N114" i="11"/>
  <c r="O114" i="11"/>
  <c r="P114" i="11"/>
  <c r="Q114" i="11"/>
  <c r="N115" i="11"/>
  <c r="O115" i="11"/>
  <c r="P115" i="11"/>
  <c r="Q115" i="11"/>
  <c r="N116" i="11"/>
  <c r="O116" i="11"/>
  <c r="P116" i="11"/>
  <c r="Q116" i="11"/>
  <c r="N117" i="11"/>
  <c r="O117" i="11"/>
  <c r="P117" i="11"/>
  <c r="Q117" i="11"/>
  <c r="N118" i="11"/>
  <c r="O118" i="11"/>
  <c r="P118" i="11"/>
  <c r="Q118" i="11"/>
  <c r="N119" i="11"/>
  <c r="O119" i="11"/>
  <c r="P119" i="11"/>
  <c r="Q119" i="11"/>
  <c r="N120" i="11"/>
  <c r="O120" i="11"/>
  <c r="P120" i="11"/>
  <c r="Q120" i="11"/>
  <c r="N121" i="11"/>
  <c r="O121" i="11"/>
  <c r="P121" i="11"/>
  <c r="Q121" i="11"/>
  <c r="N122" i="11"/>
  <c r="O122" i="11"/>
  <c r="P122" i="11"/>
  <c r="Q122" i="11"/>
  <c r="N123" i="11"/>
  <c r="O123" i="11"/>
  <c r="P123" i="11"/>
  <c r="Q123" i="11"/>
  <c r="N124" i="11"/>
  <c r="O124" i="11"/>
  <c r="P124" i="11"/>
  <c r="Q124" i="11"/>
  <c r="N125" i="11"/>
  <c r="O125" i="11"/>
  <c r="P125" i="11"/>
  <c r="Q125" i="11"/>
  <c r="N126" i="11"/>
  <c r="O126" i="11"/>
  <c r="P126" i="11"/>
  <c r="Q126" i="11"/>
  <c r="N127" i="11"/>
  <c r="O127" i="11"/>
  <c r="P127" i="11"/>
  <c r="Q127" i="11"/>
  <c r="N128" i="11"/>
  <c r="O128" i="11"/>
  <c r="P128" i="11"/>
  <c r="Q128" i="11"/>
  <c r="N129" i="11"/>
  <c r="O129" i="11"/>
  <c r="P129" i="11"/>
  <c r="Q129" i="11"/>
  <c r="N130" i="11"/>
  <c r="O130" i="11"/>
  <c r="P130" i="11"/>
  <c r="Q130" i="11"/>
  <c r="N131" i="11"/>
  <c r="O131" i="11"/>
  <c r="P131" i="11"/>
  <c r="Q131" i="11"/>
  <c r="N132" i="11"/>
  <c r="O132" i="11"/>
  <c r="P132" i="11"/>
  <c r="Q132" i="11"/>
  <c r="N133" i="11"/>
  <c r="O133" i="11"/>
  <c r="P133" i="11"/>
  <c r="Q133" i="11"/>
  <c r="N134" i="11"/>
  <c r="O134" i="11"/>
  <c r="P134" i="11"/>
  <c r="Q134" i="11"/>
  <c r="N135" i="11"/>
  <c r="O135" i="11"/>
  <c r="P135" i="11"/>
  <c r="Q135" i="11"/>
  <c r="N136" i="11"/>
  <c r="O136" i="11"/>
  <c r="P136" i="11"/>
  <c r="Q136" i="11"/>
  <c r="N137" i="11"/>
  <c r="O137" i="11"/>
  <c r="P137" i="11"/>
  <c r="Q137" i="11"/>
  <c r="N138" i="11"/>
  <c r="O138" i="11"/>
  <c r="P138" i="11"/>
  <c r="Q138" i="11"/>
  <c r="N139" i="11"/>
  <c r="O139" i="11"/>
  <c r="P139" i="11"/>
  <c r="Q139" i="11"/>
  <c r="N140" i="11"/>
  <c r="O140" i="11"/>
  <c r="P140" i="11"/>
  <c r="Q140" i="11"/>
  <c r="N141" i="11"/>
  <c r="O141" i="11"/>
  <c r="P141" i="11"/>
  <c r="Q141" i="11"/>
  <c r="N142" i="11"/>
  <c r="O142" i="11"/>
  <c r="P142" i="11"/>
  <c r="Q142" i="11"/>
  <c r="N143" i="11"/>
  <c r="O143" i="11"/>
  <c r="P143" i="11"/>
  <c r="Q143" i="11"/>
  <c r="N144" i="11"/>
  <c r="O144" i="11"/>
  <c r="P144" i="11"/>
  <c r="Q144" i="11"/>
  <c r="N145" i="11"/>
  <c r="O145" i="11"/>
  <c r="P145" i="11"/>
  <c r="Q145" i="11"/>
  <c r="N146" i="11"/>
  <c r="O146" i="11"/>
  <c r="P146" i="11"/>
  <c r="Q146" i="11"/>
  <c r="N147" i="11"/>
  <c r="O147" i="11"/>
  <c r="P147" i="11"/>
  <c r="Q147" i="11"/>
  <c r="N148" i="11"/>
  <c r="O148" i="11"/>
  <c r="P148" i="11"/>
  <c r="Q148" i="11"/>
  <c r="N149" i="11"/>
  <c r="O149" i="11"/>
  <c r="P149" i="11"/>
  <c r="Q149" i="11"/>
  <c r="N150" i="11"/>
  <c r="O150" i="11"/>
  <c r="P150" i="11"/>
  <c r="Q150" i="11"/>
  <c r="N151" i="11"/>
  <c r="O151" i="11"/>
  <c r="P151" i="11"/>
  <c r="Q151" i="11"/>
  <c r="N152" i="11"/>
  <c r="O152" i="11"/>
  <c r="P152" i="11"/>
  <c r="Q152" i="11"/>
  <c r="N153" i="11"/>
  <c r="O153" i="11"/>
  <c r="P153" i="11"/>
  <c r="Q153" i="11"/>
  <c r="N154" i="11"/>
  <c r="O154" i="11"/>
  <c r="P154" i="11"/>
  <c r="Q154" i="11"/>
  <c r="N155" i="11"/>
  <c r="O155" i="11"/>
  <c r="P155" i="11"/>
  <c r="Q155" i="11"/>
  <c r="N156" i="11"/>
  <c r="O156" i="11"/>
  <c r="P156" i="11"/>
  <c r="Q156" i="11"/>
  <c r="N157" i="11"/>
  <c r="O157" i="11"/>
  <c r="P157" i="11"/>
  <c r="Q157" i="11"/>
  <c r="N158" i="11"/>
  <c r="O158" i="11"/>
  <c r="P158" i="11"/>
  <c r="Q158" i="11"/>
  <c r="N159" i="11"/>
  <c r="O159" i="11"/>
  <c r="P159" i="11"/>
  <c r="Q159" i="11"/>
  <c r="N160" i="11"/>
  <c r="O160" i="11"/>
  <c r="P160" i="11"/>
  <c r="Q160" i="11"/>
  <c r="N161" i="11"/>
  <c r="O161" i="11"/>
  <c r="P161" i="11"/>
  <c r="Q161" i="11"/>
  <c r="N162" i="11"/>
  <c r="O162" i="11"/>
  <c r="P162" i="11"/>
  <c r="Q162" i="11"/>
  <c r="N163" i="11"/>
  <c r="O163" i="11"/>
  <c r="P163" i="11"/>
  <c r="Q163" i="11"/>
  <c r="N164" i="11"/>
  <c r="O164" i="11"/>
  <c r="P164" i="11"/>
  <c r="Q164" i="11"/>
  <c r="N165" i="11"/>
  <c r="O165" i="11"/>
  <c r="P165" i="11"/>
  <c r="Q165" i="11"/>
  <c r="N166" i="11"/>
  <c r="O166" i="11"/>
  <c r="P166" i="11"/>
  <c r="Q166" i="11"/>
  <c r="N167" i="11"/>
  <c r="O167" i="11"/>
  <c r="P167" i="11"/>
  <c r="Q167" i="11"/>
  <c r="N168" i="11"/>
  <c r="O168" i="11"/>
  <c r="P168" i="11"/>
  <c r="Q168" i="11"/>
  <c r="N169" i="11"/>
  <c r="O169" i="11"/>
  <c r="P169" i="11"/>
  <c r="Q169" i="11"/>
  <c r="N170" i="11"/>
  <c r="O170" i="11"/>
  <c r="P170" i="11"/>
  <c r="Q170" i="11"/>
  <c r="N171" i="11"/>
  <c r="O171" i="11"/>
  <c r="P171" i="11"/>
  <c r="Q171" i="11"/>
  <c r="N172" i="11"/>
  <c r="O172" i="11"/>
  <c r="P172" i="11"/>
  <c r="Q172" i="11"/>
  <c r="N173" i="11"/>
  <c r="O173" i="11"/>
  <c r="P173" i="11"/>
  <c r="Q173" i="11"/>
  <c r="N174" i="11"/>
  <c r="O174" i="11"/>
  <c r="P174" i="11"/>
  <c r="Q174" i="11"/>
  <c r="N175" i="11"/>
  <c r="O175" i="11"/>
  <c r="P175" i="11"/>
  <c r="Q175" i="11"/>
  <c r="N176" i="11"/>
  <c r="O176" i="11"/>
  <c r="P176" i="11"/>
  <c r="Q176" i="11"/>
  <c r="N177" i="11"/>
  <c r="O177" i="11"/>
  <c r="P177" i="11"/>
  <c r="Q177" i="11"/>
  <c r="N178" i="11"/>
  <c r="O178" i="11"/>
  <c r="P178" i="11"/>
  <c r="Q178" i="11"/>
  <c r="N179" i="11"/>
  <c r="O179" i="11"/>
  <c r="P179" i="11"/>
  <c r="Q179" i="11"/>
  <c r="N180" i="11"/>
  <c r="O180" i="11"/>
  <c r="P180" i="11"/>
  <c r="Q180" i="11"/>
  <c r="N181" i="11"/>
  <c r="O181" i="11"/>
  <c r="P181" i="11"/>
  <c r="Q181" i="11"/>
  <c r="N182" i="11"/>
  <c r="O182" i="11"/>
  <c r="P182" i="11"/>
  <c r="Q182" i="11"/>
  <c r="N183" i="11"/>
  <c r="O183" i="11"/>
  <c r="P183" i="11"/>
  <c r="Q183" i="11"/>
  <c r="N184" i="11"/>
  <c r="O184" i="11"/>
  <c r="P184" i="11"/>
  <c r="Q184" i="11"/>
  <c r="N185" i="11"/>
  <c r="O185" i="11"/>
  <c r="P185" i="11"/>
  <c r="Q185" i="11"/>
  <c r="N186" i="11"/>
  <c r="O186" i="11"/>
  <c r="P186" i="11"/>
  <c r="Q186" i="11"/>
  <c r="N187" i="11"/>
  <c r="O187" i="11"/>
  <c r="P187" i="11"/>
  <c r="Q187" i="11"/>
  <c r="N188" i="11"/>
  <c r="O188" i="11"/>
  <c r="P188" i="11"/>
  <c r="Q188" i="11"/>
  <c r="N189" i="11"/>
  <c r="O189" i="11"/>
  <c r="P189" i="11"/>
  <c r="Q189" i="11"/>
  <c r="N190" i="11"/>
  <c r="O190" i="11"/>
  <c r="P190" i="11"/>
  <c r="Q190" i="11"/>
  <c r="N191" i="11"/>
  <c r="O191" i="11"/>
  <c r="P191" i="11"/>
  <c r="Q191" i="11"/>
  <c r="N192" i="11"/>
  <c r="O192" i="11"/>
  <c r="P192" i="11"/>
  <c r="Q192" i="11"/>
  <c r="N193" i="11"/>
  <c r="O193" i="11"/>
  <c r="P193" i="11"/>
  <c r="Q193" i="11"/>
  <c r="N194" i="11"/>
  <c r="O194" i="11"/>
  <c r="P194" i="11"/>
  <c r="Q194" i="11"/>
  <c r="N195" i="11"/>
  <c r="O195" i="11"/>
  <c r="P195" i="11"/>
  <c r="Q195" i="11"/>
  <c r="N196" i="11"/>
  <c r="O196" i="11"/>
  <c r="P196" i="11"/>
  <c r="Q196" i="11"/>
  <c r="N197" i="11"/>
  <c r="O197" i="11"/>
  <c r="P197" i="11"/>
  <c r="Q197" i="11"/>
  <c r="N198" i="11"/>
  <c r="O198" i="11"/>
  <c r="P198" i="11"/>
  <c r="Q198" i="11"/>
  <c r="N199" i="11"/>
  <c r="O199" i="11"/>
  <c r="P199" i="11"/>
  <c r="Q199" i="11"/>
  <c r="N200" i="11"/>
  <c r="O200" i="11"/>
  <c r="P200" i="11"/>
  <c r="Q200" i="11"/>
  <c r="N201" i="11"/>
  <c r="O201" i="11"/>
  <c r="P201" i="11"/>
  <c r="Q201" i="11"/>
  <c r="N202" i="11"/>
  <c r="O202" i="11"/>
  <c r="P202" i="11"/>
  <c r="Q202" i="11"/>
  <c r="N203" i="11"/>
  <c r="O203" i="11"/>
  <c r="P203" i="11"/>
  <c r="Q203" i="11"/>
  <c r="N204" i="11"/>
  <c r="O204" i="11"/>
  <c r="P204" i="11"/>
  <c r="Q204" i="11"/>
  <c r="N205" i="11"/>
  <c r="O205" i="11"/>
  <c r="P205" i="11"/>
  <c r="Q205" i="11"/>
  <c r="N206" i="11"/>
  <c r="O206" i="11"/>
  <c r="P206" i="11"/>
  <c r="Q206" i="11"/>
  <c r="N207" i="11"/>
  <c r="O207" i="11"/>
  <c r="P207" i="11"/>
  <c r="Q207" i="11"/>
  <c r="N208" i="11"/>
  <c r="O208" i="11"/>
  <c r="P208" i="11"/>
  <c r="Q208" i="11"/>
  <c r="N209" i="11"/>
  <c r="O209" i="11"/>
  <c r="P209" i="11"/>
  <c r="Q209" i="11"/>
  <c r="N210" i="11"/>
  <c r="O210" i="11"/>
  <c r="P210" i="11"/>
  <c r="Q210" i="11"/>
  <c r="N211" i="11"/>
  <c r="O211" i="11"/>
  <c r="P211" i="11"/>
  <c r="Q211" i="11"/>
  <c r="N212" i="11"/>
  <c r="O212" i="11"/>
  <c r="P212" i="11"/>
  <c r="Q212" i="11"/>
  <c r="N213" i="11"/>
  <c r="O213" i="11"/>
  <c r="P213" i="11"/>
  <c r="Q213" i="11"/>
  <c r="N214" i="11"/>
  <c r="O214" i="11"/>
  <c r="P214" i="11"/>
  <c r="Q214" i="11"/>
  <c r="N215" i="11"/>
  <c r="O215" i="11"/>
  <c r="P215" i="11"/>
  <c r="Q215" i="11"/>
  <c r="N216" i="11"/>
  <c r="O216" i="11"/>
  <c r="P216" i="11"/>
  <c r="Q216" i="11"/>
  <c r="N217" i="11"/>
  <c r="O217" i="11"/>
  <c r="P217" i="11"/>
  <c r="Q217" i="11"/>
  <c r="N218" i="11"/>
  <c r="O218" i="11"/>
  <c r="P218" i="11"/>
  <c r="Q218" i="11"/>
  <c r="N219" i="11"/>
  <c r="O219" i="11"/>
  <c r="P219" i="11"/>
  <c r="Q219" i="11"/>
  <c r="N220" i="11"/>
  <c r="O220" i="11"/>
  <c r="P220" i="11"/>
  <c r="Q220" i="11"/>
  <c r="N221" i="11"/>
  <c r="O221" i="11"/>
  <c r="P221" i="11"/>
  <c r="Q221" i="11"/>
  <c r="N222" i="11"/>
  <c r="O222" i="11"/>
  <c r="P222" i="11"/>
  <c r="Q222" i="11"/>
  <c r="N223" i="11"/>
  <c r="O223" i="11"/>
  <c r="P223" i="11"/>
  <c r="Q223" i="11"/>
  <c r="N224" i="11"/>
  <c r="O224" i="11"/>
  <c r="P224" i="11"/>
  <c r="Q224" i="11"/>
  <c r="N225" i="11"/>
  <c r="O225" i="11"/>
  <c r="P225" i="11"/>
  <c r="Q225" i="11"/>
  <c r="N226" i="11"/>
  <c r="O226" i="11"/>
  <c r="P226" i="11"/>
  <c r="Q226" i="11"/>
  <c r="N227" i="11"/>
  <c r="O227" i="11"/>
  <c r="P227" i="11"/>
  <c r="Q227" i="11"/>
  <c r="N228" i="11"/>
  <c r="O228" i="11"/>
  <c r="P228" i="11"/>
  <c r="Q228" i="11"/>
  <c r="N229" i="11"/>
  <c r="O229" i="11"/>
  <c r="P229" i="11"/>
  <c r="Q229" i="11"/>
  <c r="N230" i="11"/>
  <c r="O230" i="11"/>
  <c r="P230" i="11"/>
  <c r="Q230" i="11"/>
  <c r="N231" i="11"/>
  <c r="O231" i="11"/>
  <c r="P231" i="11"/>
  <c r="Q231" i="11"/>
  <c r="N232" i="11"/>
  <c r="O232" i="11"/>
  <c r="P232" i="11"/>
  <c r="Q232" i="11"/>
  <c r="N233" i="11"/>
  <c r="O233" i="11"/>
  <c r="P233" i="11"/>
  <c r="Q233" i="11"/>
  <c r="N234" i="11"/>
  <c r="O234" i="11"/>
  <c r="P234" i="11"/>
  <c r="Q234" i="11"/>
  <c r="N235" i="11"/>
  <c r="O235" i="11"/>
  <c r="P235" i="11"/>
  <c r="Q235" i="11"/>
  <c r="N236" i="11"/>
  <c r="O236" i="11"/>
  <c r="P236" i="11"/>
  <c r="Q236" i="11"/>
  <c r="N237" i="11"/>
  <c r="O237" i="11"/>
  <c r="P237" i="11"/>
  <c r="Q237" i="11"/>
  <c r="N238" i="11"/>
  <c r="O238" i="11"/>
  <c r="P238" i="11"/>
  <c r="Q238" i="11"/>
  <c r="N239" i="11"/>
  <c r="O239" i="11"/>
  <c r="P239" i="11"/>
  <c r="Q239" i="11"/>
  <c r="N240" i="11"/>
  <c r="O240" i="11"/>
  <c r="P240" i="11"/>
  <c r="Q240" i="11"/>
  <c r="N241" i="11"/>
  <c r="O241" i="11"/>
  <c r="P241" i="11"/>
  <c r="Q241" i="11"/>
  <c r="N242" i="11"/>
  <c r="O242" i="11"/>
  <c r="P242" i="11"/>
  <c r="Q242" i="11"/>
  <c r="N243" i="11"/>
  <c r="O243" i="11"/>
  <c r="P243" i="11"/>
  <c r="Q243" i="11"/>
  <c r="N244" i="11"/>
  <c r="O244" i="11"/>
  <c r="P244" i="11"/>
  <c r="Q244" i="11"/>
  <c r="N245" i="11"/>
  <c r="O245" i="11"/>
  <c r="P245" i="11"/>
  <c r="Q245" i="11"/>
  <c r="N246" i="11"/>
  <c r="O246" i="11"/>
  <c r="P246" i="11"/>
  <c r="Q246" i="11"/>
  <c r="N247" i="11"/>
  <c r="O247" i="11"/>
  <c r="P247" i="11"/>
  <c r="Q247" i="11"/>
  <c r="N248" i="11"/>
  <c r="O248" i="11"/>
  <c r="P248" i="11"/>
  <c r="Q248" i="11"/>
  <c r="N249" i="11"/>
  <c r="O249" i="11"/>
  <c r="P249" i="11"/>
  <c r="Q249" i="11"/>
  <c r="N250" i="11"/>
  <c r="O250" i="11"/>
  <c r="P250" i="11"/>
  <c r="Q250" i="11"/>
  <c r="N251" i="11"/>
  <c r="O251" i="11"/>
  <c r="P251" i="11"/>
  <c r="Q251" i="11"/>
  <c r="N252" i="11"/>
  <c r="O252" i="11"/>
  <c r="P252" i="11"/>
  <c r="Q252" i="11"/>
  <c r="N253" i="11"/>
  <c r="O253" i="11"/>
  <c r="P253" i="11"/>
  <c r="Q253" i="11"/>
  <c r="N254" i="11"/>
  <c r="O254" i="11"/>
  <c r="P254" i="11"/>
  <c r="Q254" i="11"/>
  <c r="N255" i="11"/>
  <c r="O255" i="11"/>
  <c r="P255" i="11"/>
  <c r="Q255" i="11"/>
  <c r="N256" i="11"/>
  <c r="O256" i="11"/>
  <c r="P256" i="11"/>
  <c r="Q256" i="11"/>
  <c r="N257" i="11"/>
  <c r="O257" i="11"/>
  <c r="P257" i="11"/>
  <c r="Q257" i="11"/>
  <c r="N258" i="11"/>
  <c r="O258" i="11"/>
  <c r="P258" i="11"/>
  <c r="Q258" i="11"/>
  <c r="N259" i="11"/>
  <c r="O259" i="11"/>
  <c r="P259" i="11"/>
  <c r="Q259" i="11"/>
  <c r="N260" i="11"/>
  <c r="O260" i="11"/>
  <c r="P260" i="11"/>
  <c r="Q260" i="11"/>
  <c r="N261" i="11"/>
  <c r="O261" i="11"/>
  <c r="P261" i="11"/>
  <c r="Q261" i="11"/>
  <c r="N262" i="11"/>
  <c r="O262" i="11"/>
  <c r="P262" i="11"/>
  <c r="Q262" i="11"/>
  <c r="N263" i="11"/>
  <c r="O263" i="11"/>
  <c r="P263" i="11"/>
  <c r="Q263" i="11"/>
  <c r="N264" i="11"/>
  <c r="O264" i="11"/>
  <c r="P264" i="11"/>
  <c r="Q264" i="11"/>
  <c r="N265" i="11"/>
  <c r="O265" i="11"/>
  <c r="P265" i="11"/>
  <c r="Q265" i="11"/>
  <c r="N266" i="11"/>
  <c r="O266" i="11"/>
  <c r="P266" i="11"/>
  <c r="Q266" i="11"/>
  <c r="N267" i="11"/>
  <c r="O267" i="11"/>
  <c r="P267" i="11"/>
  <c r="Q267" i="11"/>
  <c r="N268" i="11"/>
  <c r="O268" i="11"/>
  <c r="P268" i="11"/>
  <c r="Q268" i="11"/>
  <c r="N269" i="11"/>
  <c r="O269" i="11"/>
  <c r="P269" i="11"/>
  <c r="Q269" i="11"/>
  <c r="N270" i="11"/>
  <c r="O270" i="11"/>
  <c r="P270" i="11"/>
  <c r="Q270" i="11"/>
  <c r="N271" i="11"/>
  <c r="O271" i="11"/>
  <c r="P271" i="11"/>
  <c r="Q271" i="11"/>
  <c r="N272" i="11"/>
  <c r="O272" i="11"/>
  <c r="P272" i="11"/>
  <c r="Q272" i="11"/>
  <c r="N273" i="11"/>
  <c r="O273" i="11"/>
  <c r="P273" i="11"/>
  <c r="Q273" i="11"/>
  <c r="N274" i="11"/>
  <c r="O274" i="11"/>
  <c r="P274" i="11"/>
  <c r="Q274" i="11"/>
  <c r="N275" i="11"/>
  <c r="O275" i="11"/>
  <c r="P275" i="11"/>
  <c r="Q275" i="11"/>
  <c r="N276" i="11"/>
  <c r="O276" i="11"/>
  <c r="P276" i="11"/>
  <c r="Q276" i="11"/>
  <c r="N277" i="11"/>
  <c r="O277" i="11"/>
  <c r="P277" i="11"/>
  <c r="Q277" i="11"/>
  <c r="N278" i="11"/>
  <c r="O278" i="11"/>
  <c r="P278" i="11"/>
  <c r="Q278" i="11"/>
  <c r="N279" i="11"/>
  <c r="O279" i="11"/>
  <c r="P279" i="11"/>
  <c r="Q279" i="11"/>
  <c r="N280" i="11"/>
  <c r="O280" i="11"/>
  <c r="P280" i="11"/>
  <c r="Q280" i="11"/>
  <c r="N281" i="11"/>
  <c r="O281" i="11"/>
  <c r="P281" i="11"/>
  <c r="Q281" i="11"/>
  <c r="N282" i="11"/>
  <c r="O282" i="11"/>
  <c r="P282" i="11"/>
  <c r="Q282" i="11"/>
  <c r="N283" i="11"/>
  <c r="O283" i="11"/>
  <c r="P283" i="11"/>
  <c r="Q283" i="11"/>
  <c r="N284" i="11"/>
  <c r="O284" i="11"/>
  <c r="P284" i="11"/>
  <c r="Q284" i="11"/>
  <c r="N285" i="11"/>
  <c r="O285" i="11"/>
  <c r="P285" i="11"/>
  <c r="Q285" i="11"/>
  <c r="N286" i="11"/>
  <c r="O286" i="11"/>
  <c r="P286" i="11"/>
  <c r="Q286" i="11"/>
  <c r="N287" i="11"/>
  <c r="O287" i="11"/>
  <c r="P287" i="11"/>
  <c r="Q287" i="11"/>
  <c r="N288" i="11"/>
  <c r="O288" i="11"/>
  <c r="P288" i="11"/>
  <c r="Q288" i="11"/>
  <c r="N289" i="11"/>
  <c r="O289" i="11"/>
  <c r="P289" i="11"/>
  <c r="Q289" i="11"/>
  <c r="N290" i="11"/>
  <c r="O290" i="11"/>
  <c r="P290" i="11"/>
  <c r="Q290" i="11"/>
  <c r="N291" i="11"/>
  <c r="O291" i="11"/>
  <c r="P291" i="11"/>
  <c r="Q291" i="11"/>
  <c r="N292" i="11"/>
  <c r="O292" i="11"/>
  <c r="P292" i="11"/>
  <c r="Q292" i="11"/>
  <c r="N293" i="11"/>
  <c r="O293" i="11"/>
  <c r="P293" i="11"/>
  <c r="Q293" i="11"/>
  <c r="N294" i="11"/>
  <c r="O294" i="11"/>
  <c r="P294" i="11"/>
  <c r="Q294" i="11"/>
  <c r="N295" i="11"/>
  <c r="O295" i="11"/>
  <c r="P295" i="11"/>
  <c r="Q295" i="11"/>
  <c r="N296" i="11"/>
  <c r="O296" i="11"/>
  <c r="P296" i="11"/>
  <c r="Q296" i="11"/>
  <c r="N297" i="11"/>
  <c r="O297" i="11"/>
  <c r="P297" i="11"/>
  <c r="Q297" i="11"/>
  <c r="N298" i="11"/>
  <c r="O298" i="11"/>
  <c r="P298" i="11"/>
  <c r="Q298" i="11"/>
  <c r="N299" i="11"/>
  <c r="O299" i="11"/>
  <c r="P299" i="11"/>
  <c r="Q299" i="11"/>
  <c r="N300" i="11"/>
  <c r="O300" i="11"/>
  <c r="P300" i="11"/>
  <c r="Q300" i="11"/>
  <c r="N301" i="11"/>
  <c r="O301" i="11"/>
  <c r="P301" i="11"/>
  <c r="Q301" i="11"/>
  <c r="N302" i="11"/>
  <c r="O302" i="11"/>
  <c r="P302" i="11"/>
  <c r="Q302" i="11"/>
  <c r="N303" i="11"/>
  <c r="O303" i="11"/>
  <c r="P303" i="11"/>
  <c r="Q303" i="11"/>
  <c r="N304" i="11"/>
  <c r="O304" i="11"/>
  <c r="P304" i="11"/>
  <c r="Q304" i="11"/>
  <c r="N305" i="11"/>
  <c r="O305" i="11"/>
  <c r="P305" i="11"/>
  <c r="Q305" i="11"/>
  <c r="N306" i="11"/>
  <c r="O306" i="11"/>
  <c r="P306" i="11"/>
  <c r="Q306" i="11"/>
  <c r="N307" i="11"/>
  <c r="O307" i="11"/>
  <c r="P307" i="11"/>
  <c r="Q307" i="11"/>
  <c r="N308" i="11"/>
  <c r="O308" i="11"/>
  <c r="P308" i="11"/>
  <c r="Q308" i="11"/>
  <c r="N309" i="11"/>
  <c r="O309" i="11"/>
  <c r="P309" i="11"/>
  <c r="Q309" i="11"/>
  <c r="N310" i="11"/>
  <c r="O310" i="11"/>
  <c r="P310" i="11"/>
  <c r="Q310" i="11"/>
  <c r="N311" i="11"/>
  <c r="O311" i="11"/>
  <c r="P311" i="11"/>
  <c r="Q311" i="11"/>
  <c r="N312" i="11"/>
  <c r="O312" i="11"/>
  <c r="P312" i="11"/>
  <c r="Q312" i="11"/>
  <c r="N313" i="11"/>
  <c r="O313" i="11"/>
  <c r="P313" i="11"/>
  <c r="Q313" i="11"/>
  <c r="N314" i="11"/>
  <c r="O314" i="11"/>
  <c r="P314" i="11"/>
  <c r="Q314" i="11"/>
  <c r="N315" i="11"/>
  <c r="O315" i="11"/>
  <c r="P315" i="11"/>
  <c r="Q315" i="11"/>
  <c r="N316" i="11"/>
  <c r="O316" i="11"/>
  <c r="P316" i="11"/>
  <c r="Q316" i="11"/>
  <c r="N317" i="11"/>
  <c r="O317" i="11"/>
  <c r="P317" i="11"/>
  <c r="Q317" i="11"/>
  <c r="N318" i="11"/>
  <c r="O318" i="11"/>
  <c r="P318" i="11"/>
  <c r="Q318" i="11"/>
  <c r="N319" i="11"/>
  <c r="O319" i="11"/>
  <c r="P319" i="11"/>
  <c r="Q319" i="11"/>
  <c r="N320" i="11"/>
  <c r="O320" i="11"/>
  <c r="P320" i="11"/>
  <c r="Q320" i="11"/>
  <c r="N321" i="11"/>
  <c r="O321" i="11"/>
  <c r="P321" i="11"/>
  <c r="Q321" i="11"/>
  <c r="N322" i="11"/>
  <c r="O322" i="11"/>
  <c r="P322" i="11"/>
  <c r="Q322" i="11"/>
  <c r="N323" i="11"/>
  <c r="O323" i="11"/>
  <c r="P323" i="11"/>
  <c r="Q323" i="11"/>
  <c r="N324" i="11"/>
  <c r="O324" i="11"/>
  <c r="P324" i="11"/>
  <c r="Q324" i="11"/>
  <c r="N325" i="11"/>
  <c r="O325" i="11"/>
  <c r="P325" i="11"/>
  <c r="Q325" i="11"/>
  <c r="N326" i="11"/>
  <c r="O326" i="11"/>
  <c r="P326" i="11"/>
  <c r="Q326" i="11"/>
  <c r="N327" i="11"/>
  <c r="O327" i="11"/>
  <c r="P327" i="11"/>
  <c r="Q327" i="11"/>
  <c r="N328" i="11"/>
  <c r="O328" i="11"/>
  <c r="P328" i="11"/>
  <c r="Q328" i="11"/>
  <c r="N329" i="11"/>
  <c r="O329" i="11"/>
  <c r="P329" i="11"/>
  <c r="Q329" i="11"/>
  <c r="N330" i="11"/>
  <c r="O330" i="11"/>
  <c r="P330" i="11"/>
  <c r="Q330" i="11"/>
  <c r="N331" i="11"/>
  <c r="O331" i="11"/>
  <c r="P331" i="11"/>
  <c r="Q331" i="11"/>
  <c r="N332" i="11"/>
  <c r="O332" i="11"/>
  <c r="P332" i="11"/>
  <c r="Q332" i="11"/>
  <c r="N333" i="11"/>
  <c r="O333" i="11"/>
  <c r="P333" i="11"/>
  <c r="Q333" i="11"/>
  <c r="N334" i="11"/>
  <c r="O334" i="11"/>
  <c r="P334" i="11"/>
  <c r="Q334" i="11"/>
  <c r="N335" i="11"/>
  <c r="O335" i="11"/>
  <c r="P335" i="11"/>
  <c r="Q335" i="11"/>
  <c r="N336" i="11"/>
  <c r="O336" i="11"/>
  <c r="P336" i="11"/>
  <c r="Q336" i="11"/>
  <c r="N337" i="11"/>
  <c r="O337" i="11"/>
  <c r="P337" i="11"/>
  <c r="Q337" i="11"/>
  <c r="N338" i="11"/>
  <c r="O338" i="11"/>
  <c r="P338" i="11"/>
  <c r="Q338" i="11"/>
  <c r="N339" i="11"/>
  <c r="O339" i="11"/>
  <c r="P339" i="11"/>
  <c r="Q339" i="11"/>
  <c r="N340" i="11"/>
  <c r="O340" i="11"/>
  <c r="P340" i="11"/>
  <c r="Q340" i="11"/>
  <c r="N341" i="11"/>
  <c r="O341" i="11"/>
  <c r="P341" i="11"/>
  <c r="Q341" i="11"/>
  <c r="N342" i="11"/>
  <c r="O342" i="11"/>
  <c r="P342" i="11"/>
  <c r="Q342" i="11"/>
  <c r="N343" i="11"/>
  <c r="O343" i="11"/>
  <c r="P343" i="11"/>
  <c r="Q343" i="11"/>
  <c r="N344" i="11"/>
  <c r="O344" i="11"/>
  <c r="P344" i="11"/>
  <c r="Q344" i="11"/>
  <c r="N345" i="11"/>
  <c r="O345" i="11"/>
  <c r="P345" i="11"/>
  <c r="Q345" i="11"/>
  <c r="N346" i="11"/>
  <c r="O346" i="11"/>
  <c r="P346" i="11"/>
  <c r="Q346" i="11"/>
  <c r="N347" i="11"/>
  <c r="O347" i="11"/>
  <c r="P347" i="11"/>
  <c r="Q347" i="11"/>
  <c r="N348" i="11"/>
  <c r="O348" i="11"/>
  <c r="P348" i="11"/>
  <c r="Q348" i="11"/>
  <c r="N349" i="11"/>
  <c r="O349" i="11"/>
  <c r="P349" i="11"/>
  <c r="Q349" i="11"/>
  <c r="N350" i="11"/>
  <c r="O350" i="11"/>
  <c r="P350" i="11"/>
  <c r="Q350" i="11"/>
  <c r="N351" i="11"/>
  <c r="O351" i="11"/>
  <c r="P351" i="11"/>
  <c r="Q351" i="11"/>
  <c r="N352" i="11"/>
  <c r="O352" i="11"/>
  <c r="P352" i="11"/>
  <c r="Q352" i="11"/>
  <c r="N353" i="11"/>
  <c r="O353" i="11"/>
  <c r="P353" i="11"/>
  <c r="Q353" i="11"/>
  <c r="N354" i="11"/>
  <c r="O354" i="11"/>
  <c r="P354" i="11"/>
  <c r="Q354" i="11"/>
  <c r="N355" i="11"/>
  <c r="O355" i="11"/>
  <c r="P355" i="11"/>
  <c r="Q355" i="11"/>
  <c r="N356" i="11"/>
  <c r="O356" i="11"/>
  <c r="P356" i="11"/>
  <c r="Q356" i="11"/>
  <c r="N357" i="11"/>
  <c r="O357" i="11"/>
  <c r="P357" i="11"/>
  <c r="Q357" i="11"/>
  <c r="N358" i="11"/>
  <c r="O358" i="11"/>
  <c r="P358" i="11"/>
  <c r="Q358" i="11"/>
  <c r="N359" i="11"/>
  <c r="O359" i="11"/>
  <c r="P359" i="11"/>
  <c r="Q359" i="11"/>
  <c r="N360" i="11"/>
  <c r="O360" i="11"/>
  <c r="P360" i="11"/>
  <c r="Q360" i="11"/>
  <c r="N361" i="11"/>
  <c r="O361" i="11"/>
  <c r="P361" i="11"/>
  <c r="Q361" i="11"/>
  <c r="N362" i="11"/>
  <c r="O362" i="11"/>
  <c r="P362" i="11"/>
  <c r="Q362" i="11"/>
  <c r="N363" i="11"/>
  <c r="O363" i="11"/>
  <c r="P363" i="11"/>
  <c r="Q363" i="11"/>
  <c r="N364" i="11"/>
  <c r="O364" i="11"/>
  <c r="P364" i="11"/>
  <c r="Q364" i="11"/>
  <c r="N365" i="11"/>
  <c r="O365" i="11"/>
  <c r="P365" i="11"/>
  <c r="Q365" i="11"/>
  <c r="N366" i="11"/>
  <c r="O366" i="11"/>
  <c r="P366" i="11"/>
  <c r="Q366" i="11"/>
  <c r="N367" i="11"/>
  <c r="O367" i="11"/>
  <c r="P367" i="11"/>
  <c r="Q367" i="11"/>
  <c r="N368" i="11"/>
  <c r="O368" i="11"/>
  <c r="P368" i="11"/>
  <c r="Q368" i="11"/>
  <c r="N369" i="11"/>
  <c r="O369" i="11"/>
  <c r="P369" i="11"/>
  <c r="Q369" i="11"/>
  <c r="N370" i="11"/>
  <c r="O370" i="11"/>
  <c r="P370" i="11"/>
  <c r="Q370" i="11"/>
  <c r="N371" i="11"/>
  <c r="O371" i="11"/>
  <c r="P371" i="11"/>
  <c r="Q371" i="11"/>
  <c r="N372" i="11"/>
  <c r="O372" i="11"/>
  <c r="P372" i="11"/>
  <c r="Q372" i="11"/>
  <c r="N373" i="11"/>
  <c r="O373" i="11"/>
  <c r="P373" i="11"/>
  <c r="Q373" i="11"/>
  <c r="N374" i="11"/>
  <c r="O374" i="11"/>
  <c r="P374" i="11"/>
  <c r="Q374" i="11"/>
  <c r="N375" i="11"/>
  <c r="O375" i="11"/>
  <c r="P375" i="11"/>
  <c r="Q375" i="11"/>
  <c r="N376" i="11"/>
  <c r="O376" i="11"/>
  <c r="P376" i="11"/>
  <c r="Q376" i="11"/>
  <c r="N377" i="11"/>
  <c r="O377" i="11"/>
  <c r="P377" i="11"/>
  <c r="Q377" i="11"/>
  <c r="N378" i="11"/>
  <c r="O378" i="11"/>
  <c r="P378" i="11"/>
  <c r="Q378" i="11"/>
  <c r="N379" i="11"/>
  <c r="O379" i="11"/>
  <c r="P379" i="11"/>
  <c r="Q379" i="11"/>
  <c r="N380" i="11"/>
  <c r="O380" i="11"/>
  <c r="P380" i="11"/>
  <c r="Q380" i="11"/>
  <c r="N381" i="11"/>
  <c r="O381" i="11"/>
  <c r="P381" i="11"/>
  <c r="Q381" i="11"/>
  <c r="N382" i="11"/>
  <c r="O382" i="11"/>
  <c r="P382" i="11"/>
  <c r="Q382" i="11"/>
  <c r="N383" i="11"/>
  <c r="O383" i="11"/>
  <c r="P383" i="11"/>
  <c r="Q383" i="11"/>
  <c r="N384" i="11"/>
  <c r="O384" i="11"/>
  <c r="P384" i="11"/>
  <c r="Q384" i="11"/>
  <c r="N385" i="11"/>
  <c r="O385" i="11"/>
  <c r="P385" i="11"/>
  <c r="Q385" i="11"/>
  <c r="N386" i="11"/>
  <c r="O386" i="11"/>
  <c r="P386" i="11"/>
  <c r="Q386" i="11"/>
  <c r="N387" i="11"/>
  <c r="O387" i="11"/>
  <c r="P387" i="11"/>
  <c r="Q387" i="11"/>
  <c r="N388" i="11"/>
  <c r="O388" i="11"/>
  <c r="P388" i="11"/>
  <c r="Q388" i="11"/>
  <c r="N389" i="11"/>
  <c r="O389" i="11"/>
  <c r="P389" i="11"/>
  <c r="Q389" i="11"/>
  <c r="N390" i="11"/>
  <c r="O390" i="11"/>
  <c r="P390" i="11"/>
  <c r="Q390" i="11"/>
  <c r="N391" i="11"/>
  <c r="O391" i="11"/>
  <c r="P391" i="11"/>
  <c r="Q391" i="11"/>
  <c r="N392" i="11"/>
  <c r="O392" i="11"/>
  <c r="P392" i="11"/>
  <c r="Q392" i="11"/>
  <c r="N393" i="11"/>
  <c r="O393" i="11"/>
  <c r="P393" i="11"/>
  <c r="Q393" i="11"/>
  <c r="N394" i="11"/>
  <c r="O394" i="11"/>
  <c r="P394" i="11"/>
  <c r="Q394" i="11"/>
  <c r="N395" i="11"/>
  <c r="O395" i="11"/>
  <c r="P395" i="11"/>
  <c r="Q395" i="11"/>
  <c r="N396" i="11"/>
  <c r="O396" i="11"/>
  <c r="P396" i="11"/>
  <c r="Q396" i="11"/>
  <c r="N397" i="11"/>
  <c r="O397" i="11"/>
  <c r="P397" i="11"/>
  <c r="Q397" i="11"/>
  <c r="N398" i="11"/>
  <c r="O398" i="11"/>
  <c r="P398" i="11"/>
  <c r="Q398" i="11"/>
  <c r="N399" i="11"/>
  <c r="O399" i="11"/>
  <c r="P399" i="11"/>
  <c r="Q399" i="11"/>
  <c r="N400" i="11"/>
  <c r="O400" i="11"/>
  <c r="P400" i="11"/>
  <c r="Q400" i="11"/>
  <c r="N401" i="11"/>
  <c r="O401" i="11"/>
  <c r="P401" i="11"/>
  <c r="Q401" i="11"/>
  <c r="N402" i="11"/>
  <c r="O402" i="11"/>
  <c r="P402" i="11"/>
  <c r="Q402" i="11"/>
  <c r="N403" i="11"/>
  <c r="O403" i="11"/>
  <c r="P403" i="11"/>
  <c r="Q403" i="11"/>
  <c r="N404" i="11"/>
  <c r="O404" i="11"/>
  <c r="P404" i="11"/>
  <c r="Q404" i="11"/>
  <c r="N405" i="11"/>
  <c r="O405" i="11"/>
  <c r="P405" i="11"/>
  <c r="Q405" i="11"/>
  <c r="N406" i="11"/>
  <c r="O406" i="11"/>
  <c r="P406" i="11"/>
  <c r="Q406" i="11"/>
  <c r="N407" i="11"/>
  <c r="O407" i="11"/>
  <c r="P407" i="11"/>
  <c r="Q407" i="11"/>
  <c r="N408" i="11"/>
  <c r="O408" i="11"/>
  <c r="P408" i="11"/>
  <c r="Q408" i="11"/>
  <c r="N409" i="11"/>
  <c r="O409" i="11"/>
  <c r="P409" i="11"/>
  <c r="Q409" i="11"/>
  <c r="N410" i="11"/>
  <c r="O410" i="11"/>
  <c r="P410" i="11"/>
  <c r="Q410" i="11"/>
  <c r="N411" i="11"/>
  <c r="O411" i="11"/>
  <c r="P411" i="11"/>
  <c r="Q411" i="11"/>
  <c r="N412" i="11"/>
  <c r="O412" i="11"/>
  <c r="P412" i="11"/>
  <c r="Q412" i="11"/>
  <c r="N413" i="11"/>
  <c r="O413" i="11"/>
  <c r="P413" i="11"/>
  <c r="Q413" i="11"/>
  <c r="N414" i="11"/>
  <c r="O414" i="11"/>
  <c r="P414" i="11"/>
  <c r="Q414" i="11"/>
  <c r="N415" i="11"/>
  <c r="O415" i="11"/>
  <c r="P415" i="11"/>
  <c r="Q415" i="11"/>
  <c r="N416" i="11"/>
  <c r="O416" i="11"/>
  <c r="P416" i="11"/>
  <c r="Q416" i="11"/>
  <c r="N417" i="11"/>
  <c r="O417" i="11"/>
  <c r="P417" i="11"/>
  <c r="Q417" i="11"/>
  <c r="N418" i="11"/>
  <c r="O418" i="11"/>
  <c r="P418" i="11"/>
  <c r="Q418" i="11"/>
  <c r="N419" i="11"/>
  <c r="O419" i="11"/>
  <c r="P419" i="11"/>
  <c r="Q419" i="11"/>
  <c r="N420" i="11"/>
  <c r="O420" i="11"/>
  <c r="P420" i="11"/>
  <c r="Q420" i="11"/>
  <c r="N421" i="11"/>
  <c r="O421" i="11"/>
  <c r="P421" i="11"/>
  <c r="Q421" i="11"/>
  <c r="N422" i="11"/>
  <c r="O422" i="11"/>
  <c r="P422" i="11"/>
  <c r="Q422" i="11"/>
  <c r="N423" i="11"/>
  <c r="O423" i="11"/>
  <c r="P423" i="11"/>
  <c r="Q423" i="11"/>
  <c r="N424" i="11"/>
  <c r="O424" i="11"/>
  <c r="P424" i="11"/>
  <c r="Q424" i="11"/>
  <c r="N425" i="11"/>
  <c r="O425" i="11"/>
  <c r="P425" i="11"/>
  <c r="Q425" i="11"/>
  <c r="N426" i="11"/>
  <c r="O426" i="11"/>
  <c r="P426" i="11"/>
  <c r="Q426" i="11"/>
  <c r="N427" i="11"/>
  <c r="O427" i="11"/>
  <c r="P427" i="11"/>
  <c r="Q427" i="11"/>
  <c r="N428" i="11"/>
  <c r="O428" i="11"/>
  <c r="P428" i="11"/>
  <c r="Q428" i="11"/>
  <c r="N429" i="11"/>
  <c r="O429" i="11"/>
  <c r="P429" i="11"/>
  <c r="Q429" i="11"/>
  <c r="N430" i="11"/>
  <c r="O430" i="11"/>
  <c r="P430" i="11"/>
  <c r="Q430" i="11"/>
  <c r="N431" i="11"/>
  <c r="O431" i="11"/>
  <c r="P431" i="11"/>
  <c r="Q431" i="11"/>
  <c r="N432" i="11"/>
  <c r="O432" i="11"/>
  <c r="P432" i="11"/>
  <c r="Q432" i="11"/>
  <c r="N433" i="11"/>
  <c r="O433" i="11"/>
  <c r="P433" i="11"/>
  <c r="Q433" i="11"/>
  <c r="N434" i="11"/>
  <c r="O434" i="11"/>
  <c r="P434" i="11"/>
  <c r="Q434" i="11"/>
  <c r="N435" i="11"/>
  <c r="O435" i="11"/>
  <c r="P435" i="11"/>
  <c r="Q435" i="11"/>
  <c r="N436" i="11"/>
  <c r="O436" i="11"/>
  <c r="P436" i="11"/>
  <c r="Q436" i="11"/>
  <c r="N437" i="11"/>
  <c r="O437" i="11"/>
  <c r="P437" i="11"/>
  <c r="Q437" i="11"/>
  <c r="N438" i="11"/>
  <c r="O438" i="11"/>
  <c r="P438" i="11"/>
  <c r="Q438" i="11"/>
  <c r="N439" i="11"/>
  <c r="O439" i="11"/>
  <c r="P439" i="11"/>
  <c r="Q439" i="11"/>
  <c r="N440" i="11"/>
  <c r="O440" i="11"/>
  <c r="P440" i="11"/>
  <c r="Q440" i="11"/>
  <c r="N441" i="11"/>
  <c r="O441" i="11"/>
  <c r="P441" i="11"/>
  <c r="Q441" i="11"/>
  <c r="N442" i="11"/>
  <c r="O442" i="11"/>
  <c r="P442" i="11"/>
  <c r="Q442" i="11"/>
  <c r="N443" i="11"/>
  <c r="O443" i="11"/>
  <c r="P443" i="11"/>
  <c r="Q443" i="11"/>
  <c r="N444" i="11"/>
  <c r="O444" i="11"/>
  <c r="P444" i="11"/>
  <c r="Q444" i="11"/>
  <c r="N445" i="11"/>
  <c r="O445" i="11"/>
  <c r="P445" i="11"/>
  <c r="Q445" i="11"/>
  <c r="N446" i="11"/>
  <c r="O446" i="11"/>
  <c r="P446" i="11"/>
  <c r="Q446" i="11"/>
  <c r="N447" i="11"/>
  <c r="O447" i="11"/>
  <c r="P447" i="11"/>
  <c r="Q447" i="11"/>
  <c r="N448" i="11"/>
  <c r="O448" i="11"/>
  <c r="P448" i="11"/>
  <c r="Q448" i="11"/>
  <c r="N449" i="11"/>
  <c r="O449" i="11"/>
  <c r="P449" i="11"/>
  <c r="Q449" i="11"/>
  <c r="N450" i="11"/>
  <c r="O450" i="11"/>
  <c r="P450" i="11"/>
  <c r="Q450" i="11"/>
  <c r="N451" i="11"/>
  <c r="O451" i="11"/>
  <c r="P451" i="11"/>
  <c r="Q451" i="11"/>
  <c r="N452" i="11"/>
  <c r="O452" i="11"/>
  <c r="P452" i="11"/>
  <c r="Q452" i="11"/>
  <c r="N453" i="11"/>
  <c r="O453" i="11"/>
  <c r="P453" i="11"/>
  <c r="Q453" i="11"/>
  <c r="N454" i="11"/>
  <c r="O454" i="11"/>
  <c r="P454" i="11"/>
  <c r="Q454" i="11"/>
  <c r="N455" i="11"/>
  <c r="O455" i="11"/>
  <c r="P455" i="11"/>
  <c r="Q455" i="11"/>
  <c r="N456" i="11"/>
  <c r="O456" i="11"/>
  <c r="P456" i="11"/>
  <c r="Q456" i="11"/>
  <c r="N457" i="11"/>
  <c r="O457" i="11"/>
  <c r="P457" i="11"/>
  <c r="Q457" i="11"/>
  <c r="N458" i="11"/>
  <c r="O458" i="11"/>
  <c r="P458" i="11"/>
  <c r="Q458" i="11"/>
  <c r="N459" i="11"/>
  <c r="O459" i="11"/>
  <c r="P459" i="11"/>
  <c r="Q459" i="11"/>
  <c r="N460" i="11"/>
  <c r="O460" i="11"/>
  <c r="P460" i="11"/>
  <c r="Q460" i="11"/>
  <c r="N461" i="11"/>
  <c r="O461" i="11"/>
  <c r="P461" i="11"/>
  <c r="Q461" i="11"/>
  <c r="N462" i="11"/>
  <c r="O462" i="11"/>
  <c r="P462" i="11"/>
  <c r="Q462" i="11"/>
  <c r="N463" i="11"/>
  <c r="O463" i="11"/>
  <c r="P463" i="11"/>
  <c r="Q463" i="11"/>
  <c r="N464" i="11"/>
  <c r="O464" i="11"/>
  <c r="P464" i="11"/>
  <c r="Q464" i="11"/>
  <c r="N465" i="11"/>
  <c r="O465" i="11"/>
  <c r="P465" i="11"/>
  <c r="Q465" i="11"/>
  <c r="N466" i="11"/>
  <c r="O466" i="11"/>
  <c r="P466" i="11"/>
  <c r="Q466" i="11"/>
  <c r="N467" i="11"/>
  <c r="O467" i="11"/>
  <c r="P467" i="11"/>
  <c r="Q467" i="11"/>
  <c r="N468" i="11"/>
  <c r="O468" i="11"/>
  <c r="P468" i="11"/>
  <c r="Q468" i="11"/>
  <c r="N469" i="11"/>
  <c r="O469" i="11"/>
  <c r="P469" i="11"/>
  <c r="Q469" i="11"/>
  <c r="N470" i="11"/>
  <c r="O470" i="11"/>
  <c r="P470" i="11"/>
  <c r="Q470" i="11"/>
  <c r="N471" i="11"/>
  <c r="O471" i="11"/>
  <c r="P471" i="11"/>
  <c r="Q471" i="11"/>
  <c r="N472" i="11"/>
  <c r="O472" i="11"/>
  <c r="P472" i="11"/>
  <c r="Q472" i="11"/>
  <c r="N473" i="11"/>
  <c r="O473" i="11"/>
  <c r="P473" i="11"/>
  <c r="Q473" i="11"/>
  <c r="N474" i="11"/>
  <c r="O474" i="11"/>
  <c r="P474" i="11"/>
  <c r="Q474" i="11"/>
  <c r="N475" i="11"/>
  <c r="O475" i="11"/>
  <c r="P475" i="11"/>
  <c r="Q475" i="11"/>
  <c r="N476" i="11"/>
  <c r="O476" i="11"/>
  <c r="P476" i="11"/>
  <c r="Q476" i="11"/>
  <c r="N477" i="11"/>
  <c r="O477" i="11"/>
  <c r="P477" i="11"/>
  <c r="Q477" i="11"/>
  <c r="N478" i="11"/>
  <c r="O478" i="11"/>
  <c r="P478" i="11"/>
  <c r="Q478" i="11"/>
  <c r="N479" i="11"/>
  <c r="O479" i="11"/>
  <c r="P479" i="11"/>
  <c r="Q479" i="11"/>
  <c r="N480" i="11"/>
  <c r="O480" i="11"/>
  <c r="P480" i="11"/>
  <c r="Q480" i="11"/>
  <c r="N481" i="11"/>
  <c r="O481" i="11"/>
  <c r="P481" i="11"/>
  <c r="Q481" i="11"/>
  <c r="N482" i="11"/>
  <c r="O482" i="11"/>
  <c r="P482" i="11"/>
  <c r="Q482" i="11"/>
  <c r="N483" i="11"/>
  <c r="O483" i="11"/>
  <c r="P483" i="11"/>
  <c r="Q483" i="11"/>
  <c r="N484" i="11"/>
  <c r="O484" i="11"/>
  <c r="P484" i="11"/>
  <c r="Q484" i="11"/>
  <c r="N485" i="11"/>
  <c r="O485" i="11"/>
  <c r="P485" i="11"/>
  <c r="Q485" i="11"/>
  <c r="N486" i="11"/>
  <c r="O486" i="11"/>
  <c r="P486" i="11"/>
  <c r="Q486" i="11"/>
  <c r="N487" i="11"/>
  <c r="O487" i="11"/>
  <c r="P487" i="11"/>
  <c r="Q487" i="11"/>
  <c r="N488" i="11"/>
  <c r="O488" i="11"/>
  <c r="P488" i="11"/>
  <c r="Q488" i="11"/>
  <c r="N489" i="11"/>
  <c r="O489" i="11"/>
  <c r="P489" i="11"/>
  <c r="Q489" i="11"/>
  <c r="N490" i="11"/>
  <c r="O490" i="11"/>
  <c r="P490" i="11"/>
  <c r="Q490" i="11"/>
  <c r="N491" i="11"/>
  <c r="O491" i="11"/>
  <c r="P491" i="11"/>
  <c r="Q491" i="11"/>
  <c r="N492" i="11"/>
  <c r="O492" i="11"/>
  <c r="P492" i="11"/>
  <c r="Q492" i="11"/>
  <c r="N493" i="11"/>
  <c r="O493" i="11"/>
  <c r="P493" i="11"/>
  <c r="Q493" i="11"/>
  <c r="N494" i="11"/>
  <c r="O494" i="11"/>
  <c r="P494" i="11"/>
  <c r="Q494" i="11"/>
  <c r="N495" i="11"/>
  <c r="O495" i="11"/>
  <c r="P495" i="11"/>
  <c r="Q495" i="11"/>
  <c r="N496" i="11"/>
  <c r="O496" i="11"/>
  <c r="P496" i="11"/>
  <c r="Q496" i="11"/>
  <c r="N497" i="11"/>
  <c r="O497" i="11"/>
  <c r="P497" i="11"/>
  <c r="Q497" i="11"/>
  <c r="N498" i="11"/>
  <c r="O498" i="11"/>
  <c r="P498" i="11"/>
  <c r="Q498" i="11"/>
  <c r="N499" i="11"/>
  <c r="O499" i="11"/>
  <c r="P499" i="11"/>
  <c r="Q499" i="11"/>
  <c r="N500" i="11"/>
  <c r="O500" i="11"/>
  <c r="P500" i="11"/>
  <c r="Q500" i="11"/>
  <c r="N501" i="11"/>
  <c r="O501" i="11"/>
  <c r="P501" i="11"/>
  <c r="Q501" i="11"/>
  <c r="N502" i="11"/>
  <c r="O502" i="11"/>
  <c r="P502" i="11"/>
  <c r="Q502" i="11"/>
  <c r="N503" i="11"/>
  <c r="O503" i="11"/>
  <c r="P503" i="11"/>
  <c r="Q503" i="11"/>
  <c r="N504" i="11"/>
  <c r="O504" i="11"/>
  <c r="P504" i="11"/>
  <c r="Q504" i="11"/>
  <c r="N505" i="11"/>
  <c r="O505" i="11"/>
  <c r="P505" i="11"/>
  <c r="Q505" i="11"/>
  <c r="N506" i="11"/>
  <c r="O506" i="11"/>
  <c r="P506" i="11"/>
  <c r="Q506" i="11"/>
  <c r="N507" i="11"/>
  <c r="O507" i="11"/>
  <c r="P507" i="11"/>
  <c r="Q507" i="11"/>
  <c r="N508" i="11"/>
  <c r="O508" i="11"/>
  <c r="P508" i="11"/>
  <c r="Q508" i="11"/>
  <c r="N509" i="11"/>
  <c r="O509" i="11"/>
  <c r="P509" i="11"/>
  <c r="Q509" i="11"/>
  <c r="N510" i="11"/>
  <c r="O510" i="11"/>
  <c r="P510" i="11"/>
  <c r="Q510" i="11"/>
  <c r="N511" i="11"/>
  <c r="O511" i="11"/>
  <c r="P511" i="11"/>
  <c r="Q511" i="11"/>
  <c r="N512" i="11"/>
  <c r="O512" i="11"/>
  <c r="P512" i="11"/>
  <c r="Q512" i="11"/>
  <c r="N513" i="11"/>
  <c r="O513" i="11"/>
  <c r="P513" i="11"/>
  <c r="Q513" i="11"/>
  <c r="N514" i="11"/>
  <c r="O514" i="11"/>
  <c r="P514" i="11"/>
  <c r="Q514" i="11"/>
  <c r="N515" i="11"/>
  <c r="O515" i="11"/>
  <c r="P515" i="11"/>
  <c r="Q515" i="11"/>
  <c r="N516" i="11"/>
  <c r="O516" i="11"/>
  <c r="P516" i="11"/>
  <c r="Q516" i="11"/>
  <c r="N517" i="11"/>
  <c r="O517" i="11"/>
  <c r="P517" i="11"/>
  <c r="Q517" i="11"/>
  <c r="N518" i="11"/>
  <c r="O518" i="11"/>
  <c r="P518" i="11"/>
  <c r="Q518" i="11"/>
  <c r="N519" i="11"/>
  <c r="O519" i="11"/>
  <c r="P519" i="11"/>
  <c r="Q519" i="11"/>
  <c r="N520" i="11"/>
  <c r="O520" i="11"/>
  <c r="P520" i="11"/>
  <c r="Q520" i="11"/>
  <c r="N521" i="11"/>
  <c r="O521" i="11"/>
  <c r="P521" i="11"/>
  <c r="Q521" i="11"/>
  <c r="N522" i="11"/>
  <c r="O522" i="11"/>
  <c r="P522" i="11"/>
  <c r="Q522" i="11"/>
  <c r="N523" i="11"/>
  <c r="O523" i="11"/>
  <c r="P523" i="11"/>
  <c r="Q523" i="11"/>
  <c r="N524" i="11"/>
  <c r="O524" i="11"/>
  <c r="P524" i="11"/>
  <c r="Q524" i="11"/>
  <c r="N525" i="11"/>
  <c r="O525" i="11"/>
  <c r="P525" i="11"/>
  <c r="Q525" i="11"/>
  <c r="N526" i="11"/>
  <c r="O526" i="11"/>
  <c r="P526" i="11"/>
  <c r="Q526" i="11"/>
  <c r="N527" i="11"/>
  <c r="O527" i="11"/>
  <c r="P527" i="11"/>
  <c r="Q527" i="11"/>
  <c r="N528" i="11"/>
  <c r="O528" i="11"/>
  <c r="P528" i="11"/>
  <c r="Q528" i="11"/>
  <c r="N529" i="11"/>
  <c r="O529" i="11"/>
  <c r="P529" i="11"/>
  <c r="Q529" i="11"/>
  <c r="N530" i="11"/>
  <c r="O530" i="11"/>
  <c r="P530" i="11"/>
  <c r="Q530" i="11"/>
  <c r="N531" i="11"/>
  <c r="O531" i="11"/>
  <c r="P531" i="11"/>
  <c r="Q531" i="11"/>
  <c r="N532" i="11"/>
  <c r="O532" i="11"/>
  <c r="P532" i="11"/>
  <c r="Q532" i="11"/>
  <c r="N533" i="11"/>
  <c r="O533" i="11"/>
  <c r="P533" i="11"/>
  <c r="Q533" i="11"/>
  <c r="N534" i="11"/>
  <c r="O534" i="11"/>
  <c r="P534" i="11"/>
  <c r="Q534" i="11"/>
  <c r="N535" i="11"/>
  <c r="O535" i="11"/>
  <c r="P535" i="11"/>
  <c r="Q535" i="11"/>
  <c r="N536" i="11"/>
  <c r="O536" i="11"/>
  <c r="P536" i="11"/>
  <c r="Q536" i="11"/>
  <c r="N537" i="11"/>
  <c r="O537" i="11"/>
  <c r="P537" i="11"/>
  <c r="Q537" i="11"/>
  <c r="N538" i="11"/>
  <c r="O538" i="11"/>
  <c r="P538" i="11"/>
  <c r="Q538" i="11"/>
  <c r="N539" i="11"/>
  <c r="O539" i="11"/>
  <c r="P539" i="11"/>
  <c r="Q539" i="11"/>
  <c r="N540" i="11"/>
  <c r="O540" i="11"/>
  <c r="P540" i="11"/>
  <c r="Q540" i="11"/>
  <c r="N541" i="11"/>
  <c r="O541" i="11"/>
  <c r="P541" i="11"/>
  <c r="Q541" i="11"/>
  <c r="N542" i="11"/>
  <c r="O542" i="11"/>
  <c r="P542" i="11"/>
  <c r="Q542" i="11"/>
  <c r="N543" i="11"/>
  <c r="O543" i="11"/>
  <c r="P543" i="11"/>
  <c r="Q543" i="11"/>
  <c r="N544" i="11"/>
  <c r="O544" i="11"/>
  <c r="P544" i="11"/>
  <c r="Q544" i="11"/>
  <c r="N545" i="11"/>
  <c r="O545" i="11"/>
  <c r="P545" i="11"/>
  <c r="Q545" i="11"/>
  <c r="N546" i="11"/>
  <c r="O546" i="11"/>
  <c r="P546" i="11"/>
  <c r="Q546" i="11"/>
  <c r="N547" i="11"/>
  <c r="O547" i="11"/>
  <c r="P547" i="11"/>
  <c r="Q547" i="11"/>
  <c r="N548" i="11"/>
  <c r="O548" i="11"/>
  <c r="P548" i="11"/>
  <c r="Q548" i="11"/>
  <c r="N549" i="11"/>
  <c r="O549" i="11"/>
  <c r="P549" i="11"/>
  <c r="Q549" i="11"/>
  <c r="N550" i="11"/>
  <c r="O550" i="11"/>
  <c r="P550" i="11"/>
  <c r="Q550" i="11"/>
  <c r="N551" i="11"/>
  <c r="O551" i="11"/>
  <c r="P551" i="11"/>
  <c r="Q551" i="11"/>
  <c r="N552" i="11"/>
  <c r="O552" i="11"/>
  <c r="P552" i="11"/>
  <c r="Q552" i="11"/>
  <c r="N553" i="11"/>
  <c r="O553" i="11"/>
  <c r="P553" i="11"/>
  <c r="Q553" i="11"/>
  <c r="N554" i="11"/>
  <c r="O554" i="11"/>
  <c r="P554" i="11"/>
  <c r="Q554" i="11"/>
  <c r="N555" i="11"/>
  <c r="O555" i="11"/>
  <c r="P555" i="11"/>
  <c r="Q555" i="11"/>
  <c r="N556" i="11"/>
  <c r="O556" i="11"/>
  <c r="P556" i="11"/>
  <c r="Q556" i="11"/>
  <c r="N557" i="11"/>
  <c r="O557" i="11"/>
  <c r="P557" i="11"/>
  <c r="Q557" i="11"/>
  <c r="N558" i="11"/>
  <c r="O558" i="11"/>
  <c r="P558" i="11"/>
  <c r="Q558" i="11"/>
  <c r="N559" i="11"/>
  <c r="O559" i="11"/>
  <c r="P559" i="11"/>
  <c r="Q559" i="11"/>
  <c r="N560" i="11"/>
  <c r="O560" i="11"/>
  <c r="P560" i="11"/>
  <c r="Q560" i="11"/>
  <c r="N561" i="11"/>
  <c r="O561" i="11"/>
  <c r="P561" i="11"/>
  <c r="Q561" i="11"/>
  <c r="N562" i="11"/>
  <c r="O562" i="11"/>
  <c r="P562" i="11"/>
  <c r="Q562" i="11"/>
  <c r="N563" i="11"/>
  <c r="O563" i="11"/>
  <c r="P563" i="11"/>
  <c r="Q563" i="11"/>
  <c r="N564" i="11"/>
  <c r="O564" i="11"/>
  <c r="P564" i="11"/>
  <c r="Q564" i="11"/>
  <c r="N565" i="11"/>
  <c r="O565" i="11"/>
  <c r="P565" i="11"/>
  <c r="Q565" i="11"/>
  <c r="N566" i="11"/>
  <c r="O566" i="11"/>
  <c r="P566" i="11"/>
  <c r="Q566" i="11"/>
  <c r="N567" i="11"/>
  <c r="O567" i="11"/>
  <c r="P567" i="11"/>
  <c r="Q567" i="11"/>
  <c r="N568" i="11"/>
  <c r="O568" i="11"/>
  <c r="P568" i="11"/>
  <c r="Q568" i="11"/>
  <c r="N569" i="11"/>
  <c r="O569" i="11"/>
  <c r="P569" i="11"/>
  <c r="Q569" i="11"/>
  <c r="N570" i="11"/>
  <c r="O570" i="11"/>
  <c r="P570" i="11"/>
  <c r="Q570" i="11"/>
  <c r="N571" i="11"/>
  <c r="O571" i="11"/>
  <c r="P571" i="11"/>
  <c r="Q571" i="11"/>
  <c r="N572" i="11"/>
  <c r="O572" i="11"/>
  <c r="P572" i="11"/>
  <c r="Q572" i="11"/>
  <c r="N573" i="11"/>
  <c r="O573" i="11"/>
  <c r="P573" i="11"/>
  <c r="Q573" i="11"/>
  <c r="N574" i="11"/>
  <c r="O574" i="11"/>
  <c r="P574" i="11"/>
  <c r="Q574" i="11"/>
  <c r="N575" i="11"/>
  <c r="O575" i="11"/>
  <c r="P575" i="11"/>
  <c r="Q575" i="11"/>
  <c r="N576" i="11"/>
  <c r="O576" i="11"/>
  <c r="P576" i="11"/>
  <c r="Q576" i="11"/>
  <c r="N577" i="11"/>
  <c r="O577" i="11"/>
  <c r="P577" i="11"/>
  <c r="Q577" i="11"/>
  <c r="N578" i="11"/>
  <c r="O578" i="11"/>
  <c r="P578" i="11"/>
  <c r="Q578" i="11"/>
  <c r="N579" i="11"/>
  <c r="O579" i="11"/>
  <c r="P579" i="11"/>
  <c r="Q579" i="11"/>
  <c r="N580" i="11"/>
  <c r="O580" i="11"/>
  <c r="P580" i="11"/>
  <c r="Q580" i="11"/>
  <c r="N581" i="11"/>
  <c r="O581" i="11"/>
  <c r="P581" i="11"/>
  <c r="Q581" i="11"/>
  <c r="N582" i="11"/>
  <c r="O582" i="11"/>
  <c r="P582" i="11"/>
  <c r="Q582" i="11"/>
  <c r="N583" i="11"/>
  <c r="O583" i="11"/>
  <c r="P583" i="11"/>
  <c r="Q583" i="11"/>
  <c r="N584" i="11"/>
  <c r="O584" i="11"/>
  <c r="P584" i="11"/>
  <c r="Q584" i="11"/>
  <c r="N585" i="11"/>
  <c r="O585" i="11"/>
  <c r="P585" i="11"/>
  <c r="Q585" i="11"/>
  <c r="N586" i="11"/>
  <c r="O586" i="11"/>
  <c r="P586" i="11"/>
  <c r="Q586" i="11"/>
  <c r="N587" i="11"/>
  <c r="O587" i="11"/>
  <c r="P587" i="11"/>
  <c r="Q587" i="11"/>
  <c r="N588" i="11"/>
  <c r="O588" i="11"/>
  <c r="P588" i="11"/>
  <c r="Q588" i="11"/>
  <c r="N589" i="11"/>
  <c r="O589" i="11"/>
  <c r="P589" i="11"/>
  <c r="Q589" i="11"/>
  <c r="N590" i="11"/>
  <c r="O590" i="11"/>
  <c r="P590" i="11"/>
  <c r="Q590" i="11"/>
  <c r="N591" i="11"/>
  <c r="O591" i="11"/>
  <c r="P591" i="11"/>
  <c r="Q591" i="11"/>
  <c r="N592" i="11"/>
  <c r="O592" i="11"/>
  <c r="P592" i="11"/>
  <c r="Q592" i="11"/>
  <c r="N593" i="11"/>
  <c r="O593" i="11"/>
  <c r="P593" i="11"/>
  <c r="Q593" i="11"/>
  <c r="N594" i="11"/>
  <c r="O594" i="11"/>
  <c r="P594" i="11"/>
  <c r="Q594" i="11"/>
  <c r="N595" i="11"/>
  <c r="O595" i="11"/>
  <c r="P595" i="11"/>
  <c r="Q595" i="11"/>
  <c r="N596" i="11"/>
  <c r="O596" i="11"/>
  <c r="P596" i="11"/>
  <c r="Q596" i="11"/>
  <c r="N597" i="11"/>
  <c r="O597" i="11"/>
  <c r="P597" i="11"/>
  <c r="Q597" i="11"/>
  <c r="N598" i="11"/>
  <c r="O598" i="11"/>
  <c r="P598" i="11"/>
  <c r="Q598" i="11"/>
  <c r="N599" i="11"/>
  <c r="O599" i="11"/>
  <c r="P599" i="11"/>
  <c r="Q599" i="11"/>
  <c r="N600" i="11"/>
  <c r="O600" i="11"/>
  <c r="P600" i="11"/>
  <c r="Q600" i="11"/>
  <c r="N601" i="11"/>
  <c r="O601" i="11"/>
  <c r="P601" i="11"/>
  <c r="Q601" i="11"/>
  <c r="N602" i="11"/>
  <c r="O602" i="11"/>
  <c r="P602" i="11"/>
  <c r="Q602" i="11"/>
  <c r="N603" i="11"/>
  <c r="O603" i="11"/>
  <c r="P603" i="11"/>
  <c r="Q603" i="11"/>
  <c r="N604" i="11"/>
  <c r="O604" i="11"/>
  <c r="P604" i="11"/>
  <c r="Q604" i="11"/>
  <c r="N605" i="11"/>
  <c r="O605" i="11"/>
  <c r="P605" i="11"/>
  <c r="Q605" i="11"/>
  <c r="N606" i="11"/>
  <c r="O606" i="11"/>
  <c r="P606" i="11"/>
  <c r="Q606" i="11"/>
  <c r="N607" i="11"/>
  <c r="O607" i="11"/>
  <c r="P607" i="11"/>
  <c r="Q607" i="11"/>
  <c r="N608" i="11"/>
  <c r="O608" i="11"/>
  <c r="P608" i="11"/>
  <c r="Q608" i="11"/>
  <c r="N609" i="11"/>
  <c r="O609" i="11"/>
  <c r="P609" i="11"/>
  <c r="Q609" i="11"/>
  <c r="N610" i="11"/>
  <c r="O610" i="11"/>
  <c r="P610" i="11"/>
  <c r="Q610" i="11"/>
  <c r="N611" i="11"/>
  <c r="O611" i="11"/>
  <c r="P611" i="11"/>
  <c r="Q611" i="11"/>
  <c r="N612" i="11"/>
  <c r="O612" i="11"/>
  <c r="P612" i="11"/>
  <c r="Q612" i="11"/>
  <c r="N613" i="11"/>
  <c r="O613" i="11"/>
  <c r="P613" i="11"/>
  <c r="Q613" i="11"/>
  <c r="N614" i="11"/>
  <c r="O614" i="11"/>
  <c r="P614" i="11"/>
  <c r="Q614" i="11"/>
  <c r="N615" i="11"/>
  <c r="O615" i="11"/>
  <c r="P615" i="11"/>
  <c r="Q615" i="11"/>
  <c r="N616" i="11"/>
  <c r="O616" i="11"/>
  <c r="P616" i="11"/>
  <c r="Q616" i="11"/>
  <c r="N617" i="11"/>
  <c r="O617" i="11"/>
  <c r="P617" i="11"/>
  <c r="Q617" i="11"/>
  <c r="N618" i="11"/>
  <c r="O618" i="11"/>
  <c r="P618" i="11"/>
  <c r="Q618" i="11"/>
  <c r="N619" i="11"/>
  <c r="O619" i="11"/>
  <c r="P619" i="11"/>
  <c r="Q619" i="11"/>
  <c r="N620" i="11"/>
  <c r="O620" i="11"/>
  <c r="P620" i="11"/>
  <c r="Q620" i="11"/>
  <c r="N621" i="11"/>
  <c r="O621" i="11"/>
  <c r="P621" i="11"/>
  <c r="Q621" i="11"/>
  <c r="N622" i="11"/>
  <c r="O622" i="11"/>
  <c r="P622" i="11"/>
  <c r="Q622" i="11"/>
  <c r="N623" i="11"/>
  <c r="O623" i="11"/>
  <c r="P623" i="11"/>
  <c r="Q623" i="11"/>
  <c r="N624" i="11"/>
  <c r="O624" i="11"/>
  <c r="P624" i="11"/>
  <c r="Q624" i="11"/>
  <c r="N625" i="11"/>
  <c r="O625" i="11"/>
  <c r="P625" i="11"/>
  <c r="Q625" i="11"/>
  <c r="N626" i="11"/>
  <c r="O626" i="11"/>
  <c r="P626" i="11"/>
  <c r="Q626" i="11"/>
  <c r="N627" i="11"/>
  <c r="O627" i="11"/>
  <c r="P627" i="11"/>
  <c r="Q627" i="11"/>
  <c r="N628" i="11"/>
  <c r="O628" i="11"/>
  <c r="P628" i="11"/>
  <c r="Q628" i="11"/>
  <c r="N629" i="11"/>
  <c r="O629" i="11"/>
  <c r="P629" i="11"/>
  <c r="Q629" i="11"/>
  <c r="N630" i="11"/>
  <c r="O630" i="11"/>
  <c r="P630" i="11"/>
  <c r="Q630" i="11"/>
  <c r="N631" i="11"/>
  <c r="O631" i="11"/>
  <c r="P631" i="11"/>
  <c r="Q631" i="11"/>
  <c r="N632" i="11"/>
  <c r="O632" i="11"/>
  <c r="P632" i="11"/>
  <c r="Q632" i="11"/>
  <c r="N633" i="11"/>
  <c r="O633" i="11"/>
  <c r="P633" i="11"/>
  <c r="Q633" i="11"/>
  <c r="N634" i="11"/>
  <c r="O634" i="11"/>
  <c r="P634" i="11"/>
  <c r="Q634" i="11"/>
  <c r="N635" i="11"/>
  <c r="O635" i="11"/>
  <c r="P635" i="11"/>
  <c r="Q635" i="11"/>
  <c r="N636" i="11"/>
  <c r="O636" i="11"/>
  <c r="P636" i="11"/>
  <c r="Q636" i="11"/>
  <c r="N637" i="11"/>
  <c r="O637" i="11"/>
  <c r="P637" i="11"/>
  <c r="Q637" i="11"/>
  <c r="N638" i="11"/>
  <c r="O638" i="11"/>
  <c r="P638" i="11"/>
  <c r="Q638" i="11"/>
  <c r="N639" i="11"/>
  <c r="O639" i="11"/>
  <c r="P639" i="11"/>
  <c r="Q639" i="11"/>
  <c r="N640" i="11"/>
  <c r="O640" i="11"/>
  <c r="P640" i="11"/>
  <c r="Q640" i="11"/>
  <c r="N641" i="11"/>
  <c r="O641" i="11"/>
  <c r="P641" i="11"/>
  <c r="Q641" i="11"/>
  <c r="N642" i="11"/>
  <c r="O642" i="11"/>
  <c r="P642" i="11"/>
  <c r="Q642" i="11"/>
  <c r="N643" i="11"/>
  <c r="O643" i="11"/>
  <c r="P643" i="11"/>
  <c r="Q643" i="11"/>
  <c r="N644" i="11"/>
  <c r="O644" i="11"/>
  <c r="P644" i="11"/>
  <c r="Q644" i="11"/>
  <c r="N645" i="11"/>
  <c r="O645" i="11"/>
  <c r="P645" i="11"/>
  <c r="Q645" i="11"/>
  <c r="N646" i="11"/>
  <c r="O646" i="11"/>
  <c r="P646" i="11"/>
  <c r="Q646" i="11"/>
  <c r="N647" i="11"/>
  <c r="O647" i="11"/>
  <c r="P647" i="11"/>
  <c r="Q647" i="11"/>
  <c r="N648" i="11"/>
  <c r="O648" i="11"/>
  <c r="P648" i="11"/>
  <c r="Q648" i="11"/>
  <c r="N649" i="11"/>
  <c r="O649" i="11"/>
  <c r="P649" i="11"/>
  <c r="Q649" i="11"/>
  <c r="N650" i="11"/>
  <c r="O650" i="11"/>
  <c r="P650" i="11"/>
  <c r="Q650" i="11"/>
  <c r="N651" i="11"/>
  <c r="O651" i="11"/>
  <c r="P651" i="11"/>
  <c r="Q651" i="11"/>
  <c r="N652" i="11"/>
  <c r="O652" i="11"/>
  <c r="P652" i="11"/>
  <c r="Q652" i="11"/>
  <c r="N653" i="11"/>
  <c r="O653" i="11"/>
  <c r="P653" i="11"/>
  <c r="Q653" i="11"/>
  <c r="N654" i="11"/>
  <c r="O654" i="11"/>
  <c r="P654" i="11"/>
  <c r="Q654" i="11"/>
  <c r="N655" i="11"/>
  <c r="O655" i="11"/>
  <c r="P655" i="11"/>
  <c r="Q655" i="11"/>
  <c r="N656" i="11"/>
  <c r="O656" i="11"/>
  <c r="P656" i="11"/>
  <c r="Q656" i="11"/>
  <c r="N657" i="11"/>
  <c r="O657" i="11"/>
  <c r="P657" i="11"/>
  <c r="Q657" i="11"/>
  <c r="N658" i="11"/>
  <c r="O658" i="11"/>
  <c r="P658" i="11"/>
  <c r="Q658" i="11"/>
  <c r="N659" i="11"/>
  <c r="O659" i="11"/>
  <c r="P659" i="11"/>
  <c r="Q659" i="11"/>
  <c r="N660" i="11"/>
  <c r="O660" i="11"/>
  <c r="P660" i="11"/>
  <c r="Q660" i="11"/>
  <c r="N661" i="11"/>
  <c r="O661" i="11"/>
  <c r="P661" i="11"/>
  <c r="Q661" i="11"/>
  <c r="N662" i="11"/>
  <c r="O662" i="11"/>
  <c r="P662" i="11"/>
  <c r="Q662" i="11"/>
  <c r="N663" i="11"/>
  <c r="O663" i="11"/>
  <c r="P663" i="11"/>
  <c r="Q663" i="11"/>
  <c r="N664" i="11"/>
  <c r="O664" i="11"/>
  <c r="P664" i="11"/>
  <c r="Q664" i="11"/>
  <c r="N665" i="11"/>
  <c r="O665" i="11"/>
  <c r="P665" i="11"/>
  <c r="Q665" i="11"/>
  <c r="N666" i="11"/>
  <c r="O666" i="11"/>
  <c r="P666" i="11"/>
  <c r="Q666" i="11"/>
  <c r="N667" i="11"/>
  <c r="O667" i="11"/>
  <c r="P667" i="11"/>
  <c r="Q667" i="11"/>
  <c r="N668" i="11"/>
  <c r="O668" i="11"/>
  <c r="P668" i="11"/>
  <c r="Q668" i="11"/>
  <c r="N669" i="11"/>
  <c r="O669" i="11"/>
  <c r="P669" i="11"/>
  <c r="Q669" i="11"/>
  <c r="N670" i="11"/>
  <c r="O670" i="11"/>
  <c r="P670" i="11"/>
  <c r="Q670" i="11"/>
  <c r="N671" i="11"/>
  <c r="O671" i="11"/>
  <c r="P671" i="11"/>
  <c r="Q671" i="11"/>
  <c r="N672" i="11"/>
  <c r="O672" i="11"/>
  <c r="P672" i="11"/>
  <c r="Q672" i="11"/>
  <c r="N673" i="11"/>
  <c r="O673" i="11"/>
  <c r="P673" i="11"/>
  <c r="Q673" i="11"/>
  <c r="N674" i="11"/>
  <c r="O674" i="11"/>
  <c r="P674" i="11"/>
  <c r="Q674" i="11"/>
  <c r="N675" i="11"/>
  <c r="O675" i="11"/>
  <c r="P675" i="11"/>
  <c r="Q675" i="11"/>
  <c r="N676" i="11"/>
  <c r="O676" i="11"/>
  <c r="P676" i="11"/>
  <c r="Q676" i="11"/>
  <c r="N677" i="11"/>
  <c r="O677" i="11"/>
  <c r="P677" i="11"/>
  <c r="Q677" i="11"/>
  <c r="N678" i="11"/>
  <c r="O678" i="11"/>
  <c r="P678" i="11"/>
  <c r="Q678" i="11"/>
  <c r="N679" i="11"/>
  <c r="O679" i="11"/>
  <c r="P679" i="11"/>
  <c r="Q679" i="11"/>
  <c r="N680" i="11"/>
  <c r="O680" i="11"/>
  <c r="P680" i="11"/>
  <c r="Q680" i="11"/>
  <c r="N681" i="11"/>
  <c r="O681" i="11"/>
  <c r="P681" i="11"/>
  <c r="Q681" i="11"/>
  <c r="N682" i="11"/>
  <c r="O682" i="11"/>
  <c r="P682" i="11"/>
  <c r="Q682" i="11"/>
  <c r="N683" i="11"/>
  <c r="O683" i="11"/>
  <c r="P683" i="11"/>
  <c r="Q683" i="11"/>
  <c r="N684" i="11"/>
  <c r="O684" i="11"/>
  <c r="P684" i="11"/>
  <c r="Q684" i="11"/>
  <c r="N685" i="11"/>
  <c r="O685" i="11"/>
  <c r="P685" i="11"/>
  <c r="Q685" i="11"/>
  <c r="N686" i="11"/>
  <c r="O686" i="11"/>
  <c r="P686" i="11"/>
  <c r="Q686" i="11"/>
  <c r="N687" i="11"/>
  <c r="O687" i="11"/>
  <c r="P687" i="11"/>
  <c r="Q687" i="11"/>
  <c r="N688" i="11"/>
  <c r="O688" i="11"/>
  <c r="P688" i="11"/>
  <c r="Q688" i="11"/>
  <c r="N689" i="11"/>
  <c r="O689" i="11"/>
  <c r="P689" i="11"/>
  <c r="Q689" i="11"/>
  <c r="N690" i="11"/>
  <c r="O690" i="11"/>
  <c r="P690" i="11"/>
  <c r="Q690" i="11"/>
  <c r="N691" i="11"/>
  <c r="O691" i="11"/>
  <c r="P691" i="11"/>
  <c r="Q691" i="11"/>
  <c r="N692" i="11"/>
  <c r="O692" i="11"/>
  <c r="P692" i="11"/>
  <c r="Q692" i="11"/>
  <c r="N693" i="11"/>
  <c r="O693" i="11"/>
  <c r="P693" i="11"/>
  <c r="Q693" i="11"/>
  <c r="N694" i="11"/>
  <c r="O694" i="11"/>
  <c r="P694" i="11"/>
  <c r="Q694" i="11"/>
  <c r="N695" i="11"/>
  <c r="O695" i="11"/>
  <c r="P695" i="11"/>
  <c r="Q695" i="11"/>
  <c r="N696" i="11"/>
  <c r="O696" i="11"/>
  <c r="P696" i="11"/>
  <c r="Q696" i="11"/>
  <c r="N697" i="11"/>
  <c r="O697" i="11"/>
  <c r="P697" i="11"/>
  <c r="Q697" i="11"/>
  <c r="N698" i="11"/>
  <c r="O698" i="11"/>
  <c r="P698" i="11"/>
  <c r="Q698" i="11"/>
  <c r="N699" i="11"/>
  <c r="O699" i="11"/>
  <c r="P699" i="11"/>
  <c r="Q699" i="11"/>
  <c r="N700" i="11"/>
  <c r="O700" i="11"/>
  <c r="P700" i="11"/>
  <c r="Q700" i="11"/>
  <c r="N701" i="11"/>
  <c r="O701" i="11"/>
  <c r="P701" i="11"/>
  <c r="Q701" i="11"/>
  <c r="N702" i="11"/>
  <c r="O702" i="11"/>
  <c r="P702" i="11"/>
  <c r="Q702" i="11"/>
  <c r="N703" i="11"/>
  <c r="O703" i="11"/>
  <c r="P703" i="11"/>
  <c r="Q703" i="11"/>
  <c r="N704" i="11"/>
  <c r="O704" i="11"/>
  <c r="P704" i="11"/>
  <c r="Q704" i="11"/>
  <c r="N705" i="11"/>
  <c r="O705" i="11"/>
  <c r="P705" i="11"/>
  <c r="Q705" i="11"/>
  <c r="N706" i="11"/>
  <c r="O706" i="11"/>
  <c r="P706" i="11"/>
  <c r="Q706" i="11"/>
  <c r="N707" i="11"/>
  <c r="O707" i="11"/>
  <c r="P707" i="11"/>
  <c r="Q707" i="11"/>
  <c r="N708" i="11"/>
  <c r="O708" i="11"/>
  <c r="P708" i="11"/>
  <c r="Q708" i="11"/>
  <c r="N709" i="11"/>
  <c r="O709" i="11"/>
  <c r="P709" i="11"/>
  <c r="Q709" i="11"/>
  <c r="N710" i="11"/>
  <c r="O710" i="11"/>
  <c r="P710" i="11"/>
  <c r="Q710" i="11"/>
  <c r="N711" i="11"/>
  <c r="O711" i="11"/>
  <c r="P711" i="11"/>
  <c r="Q711" i="11"/>
  <c r="N712" i="11"/>
  <c r="O712" i="11"/>
  <c r="P712" i="11"/>
  <c r="Q712" i="11"/>
  <c r="N713" i="11"/>
  <c r="O713" i="11"/>
  <c r="P713" i="11"/>
  <c r="Q713" i="11"/>
  <c r="N714" i="11"/>
  <c r="O714" i="11"/>
  <c r="P714" i="11"/>
  <c r="Q714" i="11"/>
  <c r="N715" i="11"/>
  <c r="O715" i="11"/>
  <c r="P715" i="11"/>
  <c r="Q715" i="11"/>
  <c r="N716" i="11"/>
  <c r="O716" i="11"/>
  <c r="P716" i="11"/>
  <c r="Q716" i="11"/>
  <c r="N717" i="11"/>
  <c r="O717" i="11"/>
  <c r="P717" i="11"/>
  <c r="Q717" i="11"/>
  <c r="N718" i="11"/>
  <c r="O718" i="11"/>
  <c r="P718" i="11"/>
  <c r="Q718" i="11"/>
  <c r="N719" i="11"/>
  <c r="O719" i="11"/>
  <c r="P719" i="11"/>
  <c r="Q719" i="11"/>
  <c r="N720" i="11"/>
  <c r="O720" i="11"/>
  <c r="P720" i="11"/>
  <c r="Q720" i="11"/>
  <c r="N721" i="11"/>
  <c r="O721" i="11"/>
  <c r="P721" i="11"/>
  <c r="Q721" i="11"/>
  <c r="N722" i="11"/>
  <c r="O722" i="11"/>
  <c r="P722" i="11"/>
  <c r="Q722" i="11"/>
  <c r="N723" i="11"/>
  <c r="O723" i="11"/>
  <c r="P723" i="11"/>
  <c r="Q723" i="11"/>
  <c r="N724" i="11"/>
  <c r="O724" i="11"/>
  <c r="P724" i="11"/>
  <c r="Q724" i="11"/>
  <c r="N725" i="11"/>
  <c r="O725" i="11"/>
  <c r="P725" i="11"/>
  <c r="Q725" i="11"/>
  <c r="N726" i="11"/>
  <c r="O726" i="11"/>
  <c r="P726" i="11"/>
  <c r="Q726" i="11"/>
  <c r="N727" i="11"/>
  <c r="O727" i="11"/>
  <c r="P727" i="11"/>
  <c r="Q727" i="11"/>
  <c r="N728" i="11"/>
  <c r="O728" i="11"/>
  <c r="P728" i="11"/>
  <c r="Q728" i="11"/>
  <c r="N729" i="11"/>
  <c r="O729" i="11"/>
  <c r="P729" i="11"/>
  <c r="Q729" i="11"/>
  <c r="N730" i="11"/>
  <c r="O730" i="11"/>
  <c r="P730" i="11"/>
  <c r="Q730" i="11"/>
  <c r="N731" i="11"/>
  <c r="O731" i="11"/>
  <c r="P731" i="11"/>
  <c r="Q731" i="11"/>
  <c r="N732" i="11"/>
  <c r="O732" i="11"/>
  <c r="P732" i="11"/>
  <c r="Q732" i="11"/>
  <c r="N733" i="11"/>
  <c r="O733" i="11"/>
  <c r="P733" i="11"/>
  <c r="Q733" i="11"/>
  <c r="N734" i="11"/>
  <c r="O734" i="11"/>
  <c r="P734" i="11"/>
  <c r="Q734" i="11"/>
  <c r="N735" i="11"/>
  <c r="O735" i="11"/>
  <c r="P735" i="11"/>
  <c r="Q735" i="11"/>
  <c r="N736" i="11"/>
  <c r="O736" i="11"/>
  <c r="P736" i="11"/>
  <c r="Q736" i="11"/>
  <c r="N737" i="11"/>
  <c r="O737" i="11"/>
  <c r="P737" i="11"/>
  <c r="Q737" i="11"/>
  <c r="N738" i="11"/>
  <c r="O738" i="11"/>
  <c r="P738" i="11"/>
  <c r="Q738" i="11"/>
  <c r="N739" i="11"/>
  <c r="O739" i="11"/>
  <c r="P739" i="11"/>
  <c r="Q739" i="11"/>
  <c r="N740" i="11"/>
  <c r="O740" i="11"/>
  <c r="P740" i="11"/>
  <c r="Q740" i="11"/>
  <c r="N741" i="11"/>
  <c r="O741" i="11"/>
  <c r="P741" i="11"/>
  <c r="Q741" i="11"/>
  <c r="N742" i="11"/>
  <c r="O742" i="11"/>
  <c r="P742" i="11"/>
  <c r="Q742" i="11"/>
  <c r="N743" i="11"/>
  <c r="O743" i="11"/>
  <c r="P743" i="11"/>
  <c r="Q743" i="11"/>
  <c r="N744" i="11"/>
  <c r="O744" i="11"/>
  <c r="P744" i="11"/>
  <c r="Q744" i="11"/>
  <c r="N745" i="11"/>
  <c r="O745" i="11"/>
  <c r="P745" i="11"/>
  <c r="Q745" i="11"/>
  <c r="N746" i="11"/>
  <c r="O746" i="11"/>
  <c r="P746" i="11"/>
  <c r="Q746" i="11"/>
  <c r="N747" i="11"/>
  <c r="O747" i="11"/>
  <c r="P747" i="11"/>
  <c r="Q747" i="11"/>
  <c r="N748" i="11"/>
  <c r="O748" i="11"/>
  <c r="P748" i="11"/>
  <c r="Q748" i="11"/>
  <c r="N749" i="11"/>
  <c r="O749" i="11"/>
  <c r="P749" i="11"/>
  <c r="Q749" i="11"/>
  <c r="N750" i="11"/>
  <c r="O750" i="11"/>
  <c r="P750" i="11"/>
  <c r="Q750" i="11"/>
  <c r="N751" i="11"/>
  <c r="O751" i="11"/>
  <c r="P751" i="11"/>
  <c r="Q751" i="11"/>
  <c r="N752" i="11"/>
  <c r="O752" i="11"/>
  <c r="P752" i="11"/>
  <c r="Q752" i="11"/>
  <c r="N753" i="11"/>
  <c r="O753" i="11"/>
  <c r="P753" i="11"/>
  <c r="Q753" i="11"/>
  <c r="N754" i="11"/>
  <c r="O754" i="11"/>
  <c r="P754" i="11"/>
  <c r="Q754" i="11"/>
  <c r="N755" i="11"/>
  <c r="O755" i="11"/>
  <c r="P755" i="11"/>
  <c r="Q755" i="11"/>
  <c r="N756" i="11"/>
  <c r="O756" i="11"/>
  <c r="P756" i="11"/>
  <c r="Q756" i="11"/>
  <c r="N757" i="11"/>
  <c r="O757" i="11"/>
  <c r="P757" i="11"/>
  <c r="Q757" i="11"/>
  <c r="N758" i="11"/>
  <c r="O758" i="11"/>
  <c r="P758" i="11"/>
  <c r="Q758" i="11"/>
  <c r="N759" i="11"/>
  <c r="O759" i="11"/>
  <c r="P759" i="11"/>
  <c r="Q759" i="11"/>
  <c r="N760" i="11"/>
  <c r="O760" i="11"/>
  <c r="P760" i="11"/>
  <c r="Q760" i="11"/>
  <c r="N761" i="11"/>
  <c r="O761" i="11"/>
  <c r="P761" i="11"/>
  <c r="Q761" i="11"/>
  <c r="N762" i="11"/>
  <c r="O762" i="11"/>
  <c r="P762" i="11"/>
  <c r="Q762" i="11"/>
  <c r="N763" i="11"/>
  <c r="O763" i="11"/>
  <c r="P763" i="11"/>
  <c r="Q763" i="11"/>
  <c r="N764" i="11"/>
  <c r="O764" i="11"/>
  <c r="P764" i="11"/>
  <c r="Q764" i="11"/>
  <c r="N765" i="11"/>
  <c r="O765" i="11"/>
  <c r="P765" i="11"/>
  <c r="Q765" i="11"/>
  <c r="N766" i="11"/>
  <c r="O766" i="11"/>
  <c r="P766" i="11"/>
  <c r="Q766" i="11"/>
  <c r="N767" i="11"/>
  <c r="O767" i="11"/>
  <c r="P767" i="11"/>
  <c r="Q767" i="11"/>
  <c r="N768" i="11"/>
  <c r="O768" i="11"/>
  <c r="P768" i="11"/>
  <c r="Q768" i="11"/>
  <c r="N769" i="11"/>
  <c r="O769" i="11"/>
  <c r="P769" i="11"/>
  <c r="Q769" i="11"/>
  <c r="N770" i="11"/>
  <c r="O770" i="11"/>
  <c r="P770" i="11"/>
  <c r="Q770" i="11"/>
  <c r="N771" i="11"/>
  <c r="O771" i="11"/>
  <c r="P771" i="11"/>
  <c r="Q771" i="11"/>
  <c r="N772" i="11"/>
  <c r="O772" i="11"/>
  <c r="P772" i="11"/>
  <c r="Q772" i="11"/>
  <c r="N773" i="11"/>
  <c r="O773" i="11"/>
  <c r="P773" i="11"/>
  <c r="Q773" i="11"/>
  <c r="N774" i="11"/>
  <c r="O774" i="11"/>
  <c r="P774" i="11"/>
  <c r="Q774" i="11"/>
  <c r="N775" i="11"/>
  <c r="O775" i="11"/>
  <c r="P775" i="11"/>
  <c r="Q775" i="11"/>
  <c r="N776" i="11"/>
  <c r="O776" i="11"/>
  <c r="P776" i="11"/>
  <c r="Q776" i="11"/>
  <c r="N777" i="11"/>
  <c r="O777" i="11"/>
  <c r="P777" i="11"/>
  <c r="Q777" i="11"/>
  <c r="N778" i="11"/>
  <c r="O778" i="11"/>
  <c r="P778" i="11"/>
  <c r="Q778" i="11"/>
  <c r="N779" i="11"/>
  <c r="O779" i="11"/>
  <c r="P779" i="11"/>
  <c r="Q779" i="11"/>
  <c r="N780" i="11"/>
  <c r="O780" i="11"/>
  <c r="P780" i="11"/>
  <c r="Q780" i="11"/>
  <c r="N781" i="11"/>
  <c r="O781" i="11"/>
  <c r="P781" i="11"/>
  <c r="Q781" i="11"/>
  <c r="N782" i="11"/>
  <c r="O782" i="11"/>
  <c r="P782" i="11"/>
  <c r="Q782" i="11"/>
  <c r="N783" i="11"/>
  <c r="O783" i="11"/>
  <c r="P783" i="11"/>
  <c r="Q783" i="11"/>
  <c r="N784" i="11"/>
  <c r="O784" i="11"/>
  <c r="P784" i="11"/>
  <c r="Q784" i="11"/>
  <c r="N785" i="11"/>
  <c r="O785" i="11"/>
  <c r="P785" i="11"/>
  <c r="Q785" i="11"/>
  <c r="N786" i="11"/>
  <c r="O786" i="11"/>
  <c r="P786" i="11"/>
  <c r="Q786" i="11"/>
  <c r="N787" i="11"/>
  <c r="O787" i="11"/>
  <c r="P787" i="11"/>
  <c r="Q787" i="11"/>
  <c r="N788" i="11"/>
  <c r="O788" i="11"/>
  <c r="P788" i="11"/>
  <c r="Q788" i="11"/>
  <c r="N789" i="11"/>
  <c r="O789" i="11"/>
  <c r="P789" i="11"/>
  <c r="Q789" i="11"/>
  <c r="N790" i="11"/>
  <c r="O790" i="11"/>
  <c r="P790" i="11"/>
  <c r="Q790" i="11"/>
  <c r="N791" i="11"/>
  <c r="O791" i="11"/>
  <c r="P791" i="11"/>
  <c r="Q791" i="11"/>
  <c r="N792" i="11"/>
  <c r="O792" i="11"/>
  <c r="P792" i="11"/>
  <c r="Q792" i="11"/>
  <c r="N793" i="11"/>
  <c r="O793" i="11"/>
  <c r="P793" i="11"/>
  <c r="Q793" i="11"/>
  <c r="N794" i="11"/>
  <c r="O794" i="11"/>
  <c r="P794" i="11"/>
  <c r="Q794" i="11"/>
  <c r="N795" i="11"/>
  <c r="O795" i="11"/>
  <c r="P795" i="11"/>
  <c r="Q795" i="11"/>
  <c r="N796" i="11"/>
  <c r="O796" i="11"/>
  <c r="P796" i="11"/>
  <c r="Q796" i="11"/>
  <c r="N797" i="11"/>
  <c r="O797" i="11"/>
  <c r="P797" i="11"/>
  <c r="Q797" i="11"/>
  <c r="N798" i="11"/>
  <c r="O798" i="11"/>
  <c r="P798" i="11"/>
  <c r="Q798" i="11"/>
  <c r="N799" i="11"/>
  <c r="O799" i="11"/>
  <c r="P799" i="11"/>
  <c r="Q799" i="11"/>
  <c r="N800" i="11"/>
  <c r="O800" i="11"/>
  <c r="P800" i="11"/>
  <c r="Q800" i="11"/>
  <c r="N801" i="11"/>
  <c r="O801" i="11"/>
  <c r="P801" i="11"/>
  <c r="Q801" i="11"/>
  <c r="N802" i="11"/>
  <c r="O802" i="11"/>
  <c r="P802" i="11"/>
  <c r="Q802" i="11"/>
  <c r="N803" i="11"/>
  <c r="O803" i="11"/>
  <c r="P803" i="11"/>
  <c r="Q803" i="11"/>
  <c r="N804" i="11"/>
  <c r="O804" i="11"/>
  <c r="P804" i="11"/>
  <c r="Q804" i="11"/>
  <c r="N805" i="11"/>
  <c r="O805" i="11"/>
  <c r="P805" i="11"/>
  <c r="Q805" i="11"/>
  <c r="N806" i="11"/>
  <c r="O806" i="11"/>
  <c r="P806" i="11"/>
  <c r="Q806" i="11"/>
  <c r="N807" i="11"/>
  <c r="O807" i="11"/>
  <c r="P807" i="11"/>
  <c r="Q807" i="11"/>
  <c r="N808" i="11"/>
  <c r="O808" i="11"/>
  <c r="P808" i="11"/>
  <c r="Q808" i="11"/>
  <c r="N809" i="11"/>
  <c r="O809" i="11"/>
  <c r="P809" i="11"/>
  <c r="Q809" i="11"/>
  <c r="N810" i="11"/>
  <c r="O810" i="11"/>
  <c r="P810" i="11"/>
  <c r="Q810" i="11"/>
  <c r="N811" i="11"/>
  <c r="O811" i="11"/>
  <c r="P811" i="11"/>
  <c r="Q811" i="11"/>
  <c r="N812" i="11"/>
  <c r="O812" i="11"/>
  <c r="P812" i="11"/>
  <c r="Q812" i="11"/>
  <c r="N813" i="11"/>
  <c r="O813" i="11"/>
  <c r="P813" i="11"/>
  <c r="Q813" i="11"/>
  <c r="N814" i="11"/>
  <c r="O814" i="11"/>
  <c r="P814" i="11"/>
  <c r="Q814" i="11"/>
  <c r="N815" i="11"/>
  <c r="O815" i="11"/>
  <c r="P815" i="11"/>
  <c r="Q815" i="11"/>
  <c r="N816" i="11"/>
  <c r="O816" i="11"/>
  <c r="P816" i="11"/>
  <c r="Q816" i="11"/>
  <c r="N817" i="11"/>
  <c r="O817" i="11"/>
  <c r="P817" i="11"/>
  <c r="Q817" i="11"/>
  <c r="N818" i="11"/>
  <c r="O818" i="11"/>
  <c r="P818" i="11"/>
  <c r="Q818" i="11"/>
  <c r="N819" i="11"/>
  <c r="O819" i="11"/>
  <c r="P819" i="11"/>
  <c r="Q819" i="11"/>
  <c r="N820" i="11"/>
  <c r="O820" i="11"/>
  <c r="P820" i="11"/>
  <c r="Q820" i="11"/>
  <c r="N821" i="11"/>
  <c r="O821" i="11"/>
  <c r="P821" i="11"/>
  <c r="Q821" i="11"/>
  <c r="N822" i="11"/>
  <c r="O822" i="11"/>
  <c r="P822" i="11"/>
  <c r="Q822" i="11"/>
  <c r="N823" i="11"/>
  <c r="O823" i="11"/>
  <c r="P823" i="11"/>
  <c r="Q823" i="11"/>
  <c r="N824" i="11"/>
  <c r="O824" i="11"/>
  <c r="P824" i="11"/>
  <c r="Q824" i="11"/>
  <c r="N825" i="11"/>
  <c r="O825" i="11"/>
  <c r="P825" i="11"/>
  <c r="Q825" i="11"/>
  <c r="N826" i="11"/>
  <c r="O826" i="11"/>
  <c r="P826" i="11"/>
  <c r="Q826" i="11"/>
  <c r="N827" i="11"/>
  <c r="O827" i="11"/>
  <c r="P827" i="11"/>
  <c r="Q827" i="11"/>
  <c r="N828" i="11"/>
  <c r="O828" i="11"/>
  <c r="P828" i="11"/>
  <c r="Q828" i="11"/>
  <c r="N829" i="11"/>
  <c r="O829" i="11"/>
  <c r="P829" i="11"/>
  <c r="Q829" i="11"/>
  <c r="N830" i="11"/>
  <c r="O830" i="11"/>
  <c r="P830" i="11"/>
  <c r="Q830" i="11"/>
  <c r="N831" i="11"/>
  <c r="O831" i="11"/>
  <c r="P831" i="11"/>
  <c r="Q831" i="11"/>
  <c r="N832" i="11"/>
  <c r="O832" i="11"/>
  <c r="P832" i="11"/>
  <c r="Q832" i="11"/>
  <c r="N833" i="11"/>
  <c r="O833" i="11"/>
  <c r="P833" i="11"/>
  <c r="Q833" i="11"/>
  <c r="N834" i="11"/>
  <c r="O834" i="11"/>
  <c r="P834" i="11"/>
  <c r="Q834" i="11"/>
  <c r="N835" i="11"/>
  <c r="O835" i="11"/>
  <c r="P835" i="11"/>
  <c r="Q835" i="11"/>
  <c r="N836" i="11"/>
  <c r="O836" i="11"/>
  <c r="P836" i="11"/>
  <c r="Q836" i="11"/>
  <c r="N837" i="11"/>
  <c r="O837" i="11"/>
  <c r="P837" i="11"/>
  <c r="Q837" i="11"/>
  <c r="N838" i="11"/>
  <c r="O838" i="11"/>
  <c r="P838" i="11"/>
  <c r="Q838" i="11"/>
  <c r="N839" i="11"/>
  <c r="O839" i="11"/>
  <c r="P839" i="11"/>
  <c r="Q839" i="11"/>
  <c r="N840" i="11"/>
  <c r="O840" i="11"/>
  <c r="P840" i="11"/>
  <c r="Q840" i="11"/>
  <c r="N841" i="11"/>
  <c r="O841" i="11"/>
  <c r="P841" i="11"/>
  <c r="Q841" i="11"/>
  <c r="BC417" i="32"/>
  <c r="BN418" i="32"/>
  <c r="BN446" i="32"/>
  <c r="BN581" i="32"/>
  <c r="BN526" i="32"/>
  <c r="BN451" i="32"/>
  <c r="BN425" i="32"/>
  <c r="BN426" i="32"/>
  <c r="BN427" i="32"/>
  <c r="BN428" i="32"/>
  <c r="BN429" i="32"/>
  <c r="BN430" i="32"/>
  <c r="BN431" i="32"/>
  <c r="BN432" i="32"/>
  <c r="BN433" i="32"/>
  <c r="BN434" i="32"/>
  <c r="BN435" i="32"/>
  <c r="BN436" i="32"/>
  <c r="BN437" i="32"/>
  <c r="BN438" i="32"/>
  <c r="BN439" i="32"/>
  <c r="BN440" i="32"/>
  <c r="BN441" i="32"/>
  <c r="BN442" i="32"/>
  <c r="BN443" i="32"/>
  <c r="BN444" i="32"/>
  <c r="BN445" i="32"/>
  <c r="BN447" i="32"/>
  <c r="BN448" i="32"/>
  <c r="BN449" i="32"/>
  <c r="BN450" i="32"/>
  <c r="BN452" i="32"/>
  <c r="BN453" i="32"/>
  <c r="BN454" i="32"/>
  <c r="BN455" i="32"/>
  <c r="BN456" i="32"/>
  <c r="BN457" i="32"/>
  <c r="BN458" i="32"/>
  <c r="BN459" i="32"/>
  <c r="BN460" i="32"/>
  <c r="BN461" i="32"/>
  <c r="BN462" i="32"/>
  <c r="BN463" i="32"/>
  <c r="BN464" i="32"/>
  <c r="BN465" i="32"/>
  <c r="BN466" i="32"/>
  <c r="BN467" i="32"/>
  <c r="BN468" i="32"/>
  <c r="BN469" i="32"/>
  <c r="BN470" i="32"/>
  <c r="BN471" i="32"/>
  <c r="BN472" i="32"/>
  <c r="BN473" i="32"/>
  <c r="BN474" i="32"/>
  <c r="BN475" i="32"/>
  <c r="BN476" i="32"/>
  <c r="BN477" i="32"/>
  <c r="BN478" i="32"/>
  <c r="BN479" i="32"/>
  <c r="BN480" i="32"/>
  <c r="BN481" i="32"/>
  <c r="BN482" i="32"/>
  <c r="BN483" i="32"/>
  <c r="BN484" i="32"/>
  <c r="BN485" i="32"/>
  <c r="BN486" i="32"/>
  <c r="BN487" i="32"/>
  <c r="BN488" i="32"/>
  <c r="BN489" i="32"/>
  <c r="BN490" i="32"/>
  <c r="BN491" i="32"/>
  <c r="BN492" i="32"/>
  <c r="BN493" i="32"/>
  <c r="BN494" i="32"/>
  <c r="BN495" i="32"/>
  <c r="BN496" i="32"/>
  <c r="BN497" i="32"/>
  <c r="BN498" i="32"/>
  <c r="BN499" i="32"/>
  <c r="BN500" i="32"/>
  <c r="BN501" i="32"/>
  <c r="BN502" i="32"/>
  <c r="BN503" i="32"/>
  <c r="BN504" i="32"/>
  <c r="BN505" i="32"/>
  <c r="BN506" i="32"/>
  <c r="BN507" i="32"/>
  <c r="BN508" i="32"/>
  <c r="BN509" i="32"/>
  <c r="BN510" i="32"/>
  <c r="BN511" i="32"/>
  <c r="BN512" i="32"/>
  <c r="BN513" i="32"/>
  <c r="BN514" i="32"/>
  <c r="BN515" i="32"/>
  <c r="BN516" i="32"/>
  <c r="BN517" i="32"/>
  <c r="BN518" i="32"/>
  <c r="BN519" i="32"/>
  <c r="BN520" i="32"/>
  <c r="BN521" i="32"/>
  <c r="BN522" i="32"/>
  <c r="BN523" i="32"/>
  <c r="BN524" i="32"/>
  <c r="BN525" i="32"/>
  <c r="BN527" i="32"/>
  <c r="BN528" i="32"/>
  <c r="BN529" i="32"/>
  <c r="BN530" i="32"/>
  <c r="BN531" i="32"/>
  <c r="BN532" i="32"/>
  <c r="BN533" i="32"/>
  <c r="BN534" i="32"/>
  <c r="BN535" i="32"/>
  <c r="BN536" i="32"/>
  <c r="BN537" i="32"/>
  <c r="BN538" i="32"/>
  <c r="BN539" i="32"/>
  <c r="BN540" i="32"/>
  <c r="BN541" i="32"/>
  <c r="BN542" i="32"/>
  <c r="BN543" i="32"/>
  <c r="BN544" i="32"/>
  <c r="BN545" i="32"/>
  <c r="BN546" i="32"/>
  <c r="BN547" i="32"/>
  <c r="BN548" i="32"/>
  <c r="BN549" i="32"/>
  <c r="BN550" i="32"/>
  <c r="BN551" i="32"/>
  <c r="BN552" i="32"/>
  <c r="BN553" i="32"/>
  <c r="BN554" i="32"/>
  <c r="BN555" i="32"/>
  <c r="BN556" i="32"/>
  <c r="BN557" i="32"/>
  <c r="BN558" i="32"/>
  <c r="BN559" i="32"/>
  <c r="BN560" i="32"/>
  <c r="BN561" i="32"/>
  <c r="BN562" i="32"/>
  <c r="BN563" i="32"/>
  <c r="BN564" i="32"/>
  <c r="BN565" i="32"/>
  <c r="BN566" i="32"/>
  <c r="BN567" i="32"/>
  <c r="BN568" i="32"/>
  <c r="BN569" i="32"/>
  <c r="BN570" i="32"/>
  <c r="BN571" i="32"/>
  <c r="BN572" i="32"/>
  <c r="BN573" i="32"/>
  <c r="BN574" i="32"/>
  <c r="BN575" i="32"/>
  <c r="BN576" i="32"/>
  <c r="BN577" i="32"/>
  <c r="BN578" i="32"/>
  <c r="BN579" i="32"/>
  <c r="BN580" i="32"/>
  <c r="BN582" i="32"/>
  <c r="BN583" i="32"/>
  <c r="BN584" i="32"/>
  <c r="BN585" i="32"/>
  <c r="BN586" i="32"/>
  <c r="BN587" i="32"/>
  <c r="BN588" i="32"/>
  <c r="BN589" i="32"/>
  <c r="BN590" i="32"/>
  <c r="BN591" i="32"/>
  <c r="BN592" i="32"/>
  <c r="BN593" i="32"/>
  <c r="BN594" i="32"/>
  <c r="BN595" i="32"/>
  <c r="BN596" i="32"/>
  <c r="BN597" i="32"/>
  <c r="BN598" i="32"/>
  <c r="BN599" i="32"/>
  <c r="BN600" i="32"/>
  <c r="BN601" i="32"/>
  <c r="BN602" i="32"/>
  <c r="BN603" i="32"/>
  <c r="BN604" i="32"/>
  <c r="BN605" i="32"/>
  <c r="BN606" i="32"/>
  <c r="BN607" i="32"/>
  <c r="BN608" i="32"/>
  <c r="BN609" i="32"/>
  <c r="BN610" i="32"/>
  <c r="BN611" i="32"/>
  <c r="BN612" i="32"/>
  <c r="BN613" i="32"/>
  <c r="BN614" i="32"/>
  <c r="BN615" i="32"/>
  <c r="BN616" i="32"/>
  <c r="BN617" i="32"/>
  <c r="BN618" i="32"/>
  <c r="BN619" i="32"/>
  <c r="BN620" i="32"/>
  <c r="BN621" i="32"/>
  <c r="BN622" i="32"/>
  <c r="BN623" i="32"/>
  <c r="BN624" i="32"/>
  <c r="BN625" i="32"/>
  <c r="BN626" i="32"/>
  <c r="BN627" i="32"/>
  <c r="BN628" i="32"/>
  <c r="BN629" i="32"/>
  <c r="BN630" i="32"/>
  <c r="BN631" i="32"/>
  <c r="BN632" i="32"/>
  <c r="BN633" i="32"/>
  <c r="BN634" i="32"/>
  <c r="BN635" i="32"/>
  <c r="BN636" i="32"/>
  <c r="BN637" i="32"/>
  <c r="BN638" i="32"/>
  <c r="BN639" i="32"/>
  <c r="BN640" i="32"/>
  <c r="BN641" i="32"/>
  <c r="BN642" i="32"/>
  <c r="BN643" i="32"/>
  <c r="BN644" i="32"/>
  <c r="BN645" i="32"/>
  <c r="BN646" i="32"/>
  <c r="BN647" i="32"/>
  <c r="BN648" i="32"/>
  <c r="BN649" i="32"/>
  <c r="BN650" i="32"/>
  <c r="BN651" i="32"/>
  <c r="BN652" i="32"/>
  <c r="BN653" i="32"/>
  <c r="BN654" i="32"/>
  <c r="BN655" i="32"/>
  <c r="BN656" i="32"/>
  <c r="BN657" i="32"/>
  <c r="BN658" i="32"/>
  <c r="BN659" i="32"/>
  <c r="BN660" i="32"/>
  <c r="BN661" i="32"/>
  <c r="BN662" i="32"/>
  <c r="BN663" i="32"/>
  <c r="BN664" i="32"/>
  <c r="BN665" i="32"/>
  <c r="BN666" i="32"/>
  <c r="BN667" i="32"/>
  <c r="BN668" i="32"/>
  <c r="BN669" i="32"/>
  <c r="BN670" i="32"/>
  <c r="BN671" i="32"/>
  <c r="BN672" i="32"/>
  <c r="BN673" i="32"/>
  <c r="BN674" i="32"/>
  <c r="BN675" i="32"/>
  <c r="BN676" i="32"/>
  <c r="BN677" i="32"/>
  <c r="BN678" i="32"/>
  <c r="BN679" i="32"/>
  <c r="BN680" i="32"/>
  <c r="BN681" i="32"/>
  <c r="BN682" i="32"/>
  <c r="BN683" i="32"/>
  <c r="BN684" i="32"/>
  <c r="BN685" i="32"/>
  <c r="BN686" i="32"/>
  <c r="BN687" i="32"/>
  <c r="BN688" i="32"/>
  <c r="BN689" i="32"/>
  <c r="BN690" i="32"/>
  <c r="BN691" i="32"/>
  <c r="BN692" i="32"/>
  <c r="BN693" i="32"/>
  <c r="BN694" i="32"/>
  <c r="BN695" i="32"/>
  <c r="BN696" i="32"/>
  <c r="BN697" i="32"/>
  <c r="BN698" i="32"/>
  <c r="BN699" i="32"/>
  <c r="BN700" i="32"/>
  <c r="BN701" i="32"/>
  <c r="BN702" i="32"/>
  <c r="BN703" i="32"/>
  <c r="BN704" i="32"/>
  <c r="BN705" i="32"/>
  <c r="BN706" i="32"/>
  <c r="BN707" i="32"/>
  <c r="BN708" i="32"/>
  <c r="BN709" i="32"/>
  <c r="BN710" i="32"/>
  <c r="BN711" i="32"/>
  <c r="BN712" i="32"/>
  <c r="BN713" i="32"/>
  <c r="BN714" i="32"/>
  <c r="BN715" i="32"/>
  <c r="BN716" i="32"/>
  <c r="BN717" i="32"/>
  <c r="BN718" i="32"/>
  <c r="BN719" i="32"/>
  <c r="BN720" i="32"/>
  <c r="BN721" i="32"/>
  <c r="BN722" i="32"/>
  <c r="BN723" i="32"/>
  <c r="BN724" i="32"/>
  <c r="BN725" i="32"/>
  <c r="BN726" i="32"/>
  <c r="BN727" i="32"/>
  <c r="BN728" i="32"/>
  <c r="BN729" i="32"/>
  <c r="BN730" i="32"/>
  <c r="BN731" i="32"/>
  <c r="BN732" i="32"/>
  <c r="BN733" i="32"/>
  <c r="BN734" i="32"/>
  <c r="BN735" i="32"/>
  <c r="BN736" i="32"/>
  <c r="BN737" i="32"/>
  <c r="BN738" i="32"/>
  <c r="BN739" i="32"/>
  <c r="BN740" i="32"/>
  <c r="BN741" i="32"/>
  <c r="BN742" i="32"/>
  <c r="BN743" i="32"/>
  <c r="BN744" i="32"/>
  <c r="BN745" i="32"/>
  <c r="BN746" i="32"/>
  <c r="BN747" i="32"/>
  <c r="BN748" i="32"/>
  <c r="BN749" i="32"/>
  <c r="BN750" i="32"/>
  <c r="BN751" i="32"/>
  <c r="BN752" i="32"/>
  <c r="BN753" i="32"/>
  <c r="BN754" i="32"/>
  <c r="BN755" i="32"/>
  <c r="BN756" i="32"/>
  <c r="BN757" i="32"/>
  <c r="BN758" i="32"/>
  <c r="BN759" i="32"/>
  <c r="BN760" i="32"/>
  <c r="BN761" i="32"/>
  <c r="BN762" i="32"/>
  <c r="BN763" i="32"/>
  <c r="BN764" i="32"/>
  <c r="BN765" i="32"/>
  <c r="BN766" i="32"/>
  <c r="BN767" i="32"/>
  <c r="BN768" i="32"/>
  <c r="BN769" i="32"/>
  <c r="BN770" i="32"/>
  <c r="BN771" i="32"/>
  <c r="BN772" i="32"/>
  <c r="BN773" i="32"/>
  <c r="BN774" i="32"/>
  <c r="BN775" i="32"/>
  <c r="BN776" i="32"/>
  <c r="BN777" i="32"/>
  <c r="BN778" i="32"/>
  <c r="BN779" i="32"/>
  <c r="BN780" i="32"/>
  <c r="BN781" i="32"/>
  <c r="BN782" i="32"/>
  <c r="BN783" i="32"/>
  <c r="BN784" i="32"/>
  <c r="BN785" i="32"/>
  <c r="BN786" i="32"/>
  <c r="BN787" i="32"/>
  <c r="BN788" i="32"/>
  <c r="BN789" i="32"/>
  <c r="BN790" i="32"/>
  <c r="BN791" i="32"/>
  <c r="BN792" i="32"/>
  <c r="BN793" i="32"/>
  <c r="BN794" i="32"/>
  <c r="BN795" i="32"/>
  <c r="BN796" i="32"/>
  <c r="BN797" i="32"/>
  <c r="BN798" i="32"/>
  <c r="BN799" i="32"/>
  <c r="BN800" i="32"/>
  <c r="BN801" i="32"/>
  <c r="BN802" i="32"/>
  <c r="BN803" i="32"/>
  <c r="BN804" i="32"/>
  <c r="BN805" i="32"/>
  <c r="BN806" i="32"/>
  <c r="BN807" i="32"/>
  <c r="BN808" i="32"/>
  <c r="BN809" i="32"/>
  <c r="BN810" i="32"/>
  <c r="BN811" i="32"/>
  <c r="BN812" i="32"/>
  <c r="BN813" i="32"/>
  <c r="BN814" i="32"/>
  <c r="BN815" i="32"/>
  <c r="BN816" i="32"/>
  <c r="BN817" i="32"/>
  <c r="BN818" i="32"/>
  <c r="BN819" i="32"/>
  <c r="BN820" i="32"/>
  <c r="BN821" i="32"/>
  <c r="BN822" i="32"/>
  <c r="BN823" i="32"/>
  <c r="BN824" i="32"/>
  <c r="BN825" i="32"/>
  <c r="BN826" i="32"/>
  <c r="BN827" i="32"/>
  <c r="BN828" i="32"/>
  <c r="BN829" i="32"/>
  <c r="BN830" i="32"/>
  <c r="BN831" i="32"/>
  <c r="BN832" i="32"/>
  <c r="BN833" i="32"/>
  <c r="BN834" i="32"/>
  <c r="BN835" i="32"/>
  <c r="BN836" i="32"/>
  <c r="BN837" i="32"/>
  <c r="BN838" i="32"/>
  <c r="BN839" i="32"/>
  <c r="BN840" i="32"/>
  <c r="BN841" i="32"/>
  <c r="BN842" i="32"/>
  <c r="BN6" i="32"/>
  <c r="BC4" i="32"/>
  <c r="BN5" i="32"/>
  <c r="BN7" i="32"/>
  <c r="BN8" i="32"/>
  <c r="BN9" i="32"/>
  <c r="BN10" i="32"/>
  <c r="BN11" i="32"/>
  <c r="BN12" i="32"/>
  <c r="BN13" i="32"/>
  <c r="BN14" i="32"/>
  <c r="BN15" i="32"/>
  <c r="BN16" i="32"/>
  <c r="BN17" i="32"/>
  <c r="BN18" i="32"/>
  <c r="BN19" i="32"/>
  <c r="BN20" i="32"/>
  <c r="BN21" i="32"/>
  <c r="BN22" i="32"/>
  <c r="BN23" i="32"/>
  <c r="BN24" i="32"/>
  <c r="BN25" i="32"/>
  <c r="BN26" i="32"/>
  <c r="BN27" i="32"/>
  <c r="BN28" i="32"/>
  <c r="BN29" i="32"/>
  <c r="BN30" i="32"/>
  <c r="BN31" i="32"/>
  <c r="BN32" i="32"/>
  <c r="BN33" i="32"/>
  <c r="BN34" i="32"/>
  <c r="BC34" i="32"/>
  <c r="BN35" i="32"/>
  <c r="BC35" i="32"/>
  <c r="BN36" i="32"/>
  <c r="BC36" i="32"/>
  <c r="BN37" i="32"/>
  <c r="BC37" i="32"/>
  <c r="BN38" i="32"/>
  <c r="BC38" i="32"/>
  <c r="BN39" i="32"/>
  <c r="BC39" i="32"/>
  <c r="BN40" i="32"/>
  <c r="BC40" i="32"/>
  <c r="BN41" i="32"/>
  <c r="BC41" i="32"/>
  <c r="BN42" i="32"/>
  <c r="BC42" i="32"/>
  <c r="BN43" i="32"/>
  <c r="BC43" i="32"/>
  <c r="BN44" i="32"/>
  <c r="BC44" i="32"/>
  <c r="BN45" i="32"/>
  <c r="BC45" i="32"/>
  <c r="BN46" i="32"/>
  <c r="BC46" i="32"/>
  <c r="BN47" i="32"/>
  <c r="BC47" i="32"/>
  <c r="BN48" i="32"/>
  <c r="BC48" i="32"/>
  <c r="BN49" i="32"/>
  <c r="BC49" i="32"/>
  <c r="BN50" i="32"/>
  <c r="BC50" i="32"/>
  <c r="BN51" i="32"/>
  <c r="BC51" i="32"/>
  <c r="BN52" i="32"/>
  <c r="BC52" i="32"/>
  <c r="BN53" i="32"/>
  <c r="BC53" i="32"/>
  <c r="BN54" i="32"/>
  <c r="BC54" i="32"/>
  <c r="BN55" i="32"/>
  <c r="BC55" i="32"/>
  <c r="BN56" i="32"/>
  <c r="BC56" i="32"/>
  <c r="BN57" i="32"/>
  <c r="BC57" i="32"/>
  <c r="BN58" i="32"/>
  <c r="BC58" i="32"/>
  <c r="BN59" i="32"/>
  <c r="BC59" i="32"/>
  <c r="BN60" i="32"/>
  <c r="BC60" i="32"/>
  <c r="BN61" i="32"/>
  <c r="BC61" i="32"/>
  <c r="BN62" i="32"/>
  <c r="BC62" i="32"/>
  <c r="BN63" i="32"/>
  <c r="BC63" i="32"/>
  <c r="BN64" i="32"/>
  <c r="BC64" i="32"/>
  <c r="BN65" i="32"/>
  <c r="BC65" i="32"/>
  <c r="BN66" i="32"/>
  <c r="BC66" i="32"/>
  <c r="BN67" i="32"/>
  <c r="BC67" i="32"/>
  <c r="BN68" i="32"/>
  <c r="BC68" i="32"/>
  <c r="BN69" i="32"/>
  <c r="BC69" i="32"/>
  <c r="BN70" i="32"/>
  <c r="BC70" i="32"/>
  <c r="BN71" i="32"/>
  <c r="BC71" i="32"/>
  <c r="BN72" i="32"/>
  <c r="BC72" i="32"/>
  <c r="BN73" i="32"/>
  <c r="BC73" i="32"/>
  <c r="BN74" i="32"/>
  <c r="BC74" i="32"/>
  <c r="BN75" i="32"/>
  <c r="BC75" i="32"/>
  <c r="BN76" i="32"/>
  <c r="BC76" i="32"/>
  <c r="BN77" i="32"/>
  <c r="BC77" i="32"/>
  <c r="BN78" i="32"/>
  <c r="BC78" i="32"/>
  <c r="BN79" i="32"/>
  <c r="BC79" i="32"/>
  <c r="BN80" i="32"/>
  <c r="BC80" i="32"/>
  <c r="BN81" i="32"/>
  <c r="BC81" i="32"/>
  <c r="BN82" i="32"/>
  <c r="BC82" i="32"/>
  <c r="BN83" i="32"/>
  <c r="BC83" i="32"/>
  <c r="BN84" i="32"/>
  <c r="BC84" i="32"/>
  <c r="BN85" i="32"/>
  <c r="BC85" i="32"/>
  <c r="BN86" i="32"/>
  <c r="BC86" i="32"/>
  <c r="BN87" i="32"/>
  <c r="BC87" i="32"/>
  <c r="BN88" i="32"/>
  <c r="BC88" i="32"/>
  <c r="BN89" i="32"/>
  <c r="BC89" i="32"/>
  <c r="BN90" i="32"/>
  <c r="BC90" i="32"/>
  <c r="BN91" i="32"/>
  <c r="BC91" i="32"/>
  <c r="BN92" i="32"/>
  <c r="BC92" i="32"/>
  <c r="BN93" i="32"/>
  <c r="BC93" i="32"/>
  <c r="BN94" i="32"/>
  <c r="BC94" i="32"/>
  <c r="BN95" i="32"/>
  <c r="BC95" i="32"/>
  <c r="BN96" i="32"/>
  <c r="BC96" i="32"/>
  <c r="BN97" i="32"/>
  <c r="BC97" i="32"/>
  <c r="BN98" i="32"/>
  <c r="BC98" i="32"/>
  <c r="BN99" i="32"/>
  <c r="BC99" i="32"/>
  <c r="BN100" i="32"/>
  <c r="BC100" i="32"/>
  <c r="BN101" i="32"/>
  <c r="BC101" i="32"/>
  <c r="BN102" i="32"/>
  <c r="BC102" i="32"/>
  <c r="BN103" i="32"/>
  <c r="BC103" i="32"/>
  <c r="BN104" i="32"/>
  <c r="BC104" i="32"/>
  <c r="BN105" i="32"/>
  <c r="BC105" i="32"/>
  <c r="BN106" i="32"/>
  <c r="BC106" i="32"/>
  <c r="BN107" i="32"/>
  <c r="BC107" i="32"/>
  <c r="BN108" i="32"/>
  <c r="BC108" i="32"/>
  <c r="BN109" i="32"/>
  <c r="BC109" i="32"/>
  <c r="BN110" i="32"/>
  <c r="BC110" i="32"/>
  <c r="BN111" i="32"/>
  <c r="BC111" i="32"/>
  <c r="BN112" i="32"/>
  <c r="BC112" i="32"/>
  <c r="BN113" i="32"/>
  <c r="BC113" i="32"/>
  <c r="BN114" i="32"/>
  <c r="BC114" i="32"/>
  <c r="BN115" i="32"/>
  <c r="BC115" i="32"/>
  <c r="BN116" i="32"/>
  <c r="BC116" i="32"/>
  <c r="BN117" i="32"/>
  <c r="BC117" i="32"/>
  <c r="BN118" i="32"/>
  <c r="BC118" i="32"/>
  <c r="BN119" i="32"/>
  <c r="BC119" i="32"/>
  <c r="BN120" i="32"/>
  <c r="BC120" i="32"/>
  <c r="BN121" i="32"/>
  <c r="BC121" i="32"/>
  <c r="BN122" i="32"/>
  <c r="BC122" i="32"/>
  <c r="BN123" i="32"/>
  <c r="BC123" i="32"/>
  <c r="BN124" i="32"/>
  <c r="BC124" i="32"/>
  <c r="BN125" i="32"/>
  <c r="BC125" i="32"/>
  <c r="BN126" i="32"/>
  <c r="BC126" i="32"/>
  <c r="BN127" i="32"/>
  <c r="BC127" i="32"/>
  <c r="BN128" i="32"/>
  <c r="BC128" i="32"/>
  <c r="BN129" i="32"/>
  <c r="BC129" i="32"/>
  <c r="BN130" i="32"/>
  <c r="BC130" i="32"/>
  <c r="BN131" i="32"/>
  <c r="BC131" i="32"/>
  <c r="BN132" i="32"/>
  <c r="BC132" i="32"/>
  <c r="BN133" i="32"/>
  <c r="BC133" i="32"/>
  <c r="BN134" i="32"/>
  <c r="BC134" i="32"/>
  <c r="BN135" i="32"/>
  <c r="BC135" i="32"/>
  <c r="BN136" i="32"/>
  <c r="BC136" i="32"/>
  <c r="BN137" i="32"/>
  <c r="BC137" i="32"/>
  <c r="BN138" i="32"/>
  <c r="BC138" i="32"/>
  <c r="BN139" i="32"/>
  <c r="BC139" i="32"/>
  <c r="BN140" i="32"/>
  <c r="BC140" i="32"/>
  <c r="BN141" i="32"/>
  <c r="BC141" i="32"/>
  <c r="BN142" i="32"/>
  <c r="BC142" i="32"/>
  <c r="BN143" i="32"/>
  <c r="BC143" i="32"/>
  <c r="BN144" i="32"/>
  <c r="BC144" i="32"/>
  <c r="BN145" i="32"/>
  <c r="BC145" i="32"/>
  <c r="BN146" i="32"/>
  <c r="BC146" i="32"/>
  <c r="BN147" i="32"/>
  <c r="BC147" i="32"/>
  <c r="BN148" i="32"/>
  <c r="BC148" i="32"/>
  <c r="BN149" i="32"/>
  <c r="BC149" i="32"/>
  <c r="BN150" i="32"/>
  <c r="BC150" i="32"/>
  <c r="BN151" i="32"/>
  <c r="BC151" i="32"/>
  <c r="BN152" i="32"/>
  <c r="BC152" i="32"/>
  <c r="BN153" i="32"/>
  <c r="BC153" i="32"/>
  <c r="BN154" i="32"/>
  <c r="BC154" i="32"/>
  <c r="BN155" i="32"/>
  <c r="BC155" i="32"/>
  <c r="BN156" i="32"/>
  <c r="BC156" i="32"/>
  <c r="BN157" i="32"/>
  <c r="BC157" i="32"/>
  <c r="BN158" i="32"/>
  <c r="BC158" i="32"/>
  <c r="BN159" i="32"/>
  <c r="BC159" i="32"/>
  <c r="BN160" i="32"/>
  <c r="BC160" i="32"/>
  <c r="BN161" i="32"/>
  <c r="BC161" i="32"/>
  <c r="BN162" i="32"/>
  <c r="BC162" i="32"/>
  <c r="BN163" i="32"/>
  <c r="BC163" i="32"/>
  <c r="BN164" i="32"/>
  <c r="BC164" i="32"/>
  <c r="BN165" i="32"/>
  <c r="BC165" i="32"/>
  <c r="BN166" i="32"/>
  <c r="BC166" i="32"/>
  <c r="BN167" i="32"/>
  <c r="BC167" i="32"/>
  <c r="BN168" i="32"/>
  <c r="BC168" i="32"/>
  <c r="BN169" i="32"/>
  <c r="BC169" i="32"/>
  <c r="BN170" i="32"/>
  <c r="BC170" i="32"/>
  <c r="BN171" i="32"/>
  <c r="BC171" i="32"/>
  <c r="BN172" i="32"/>
  <c r="BC172" i="32"/>
  <c r="BN173" i="32"/>
  <c r="BC173" i="32"/>
  <c r="BN174" i="32"/>
  <c r="BC174" i="32"/>
  <c r="BN175" i="32"/>
  <c r="BC175" i="32"/>
  <c r="BN176" i="32"/>
  <c r="BC176" i="32"/>
  <c r="BN177" i="32"/>
  <c r="BC177" i="32"/>
  <c r="BN178" i="32"/>
  <c r="BC178" i="32"/>
  <c r="BN179" i="32"/>
  <c r="BC179" i="32"/>
  <c r="BN180" i="32"/>
  <c r="BC180" i="32"/>
  <c r="BN181" i="32"/>
  <c r="BC181" i="32"/>
  <c r="BN182" i="32"/>
  <c r="BC182" i="32"/>
  <c r="BN183" i="32"/>
  <c r="BC183" i="32"/>
  <c r="BN184" i="32"/>
  <c r="BC184" i="32"/>
  <c r="BN185" i="32"/>
  <c r="BC185" i="32"/>
  <c r="BN186" i="32"/>
  <c r="BC186" i="32"/>
  <c r="BN187" i="32"/>
  <c r="BC187" i="32"/>
  <c r="BN188" i="32"/>
  <c r="BC188" i="32"/>
  <c r="BN189" i="32"/>
  <c r="BC189" i="32"/>
  <c r="BN190" i="32"/>
  <c r="BC190" i="32"/>
  <c r="BN191" i="32"/>
  <c r="BC191" i="32"/>
  <c r="BN192" i="32"/>
  <c r="BC192" i="32"/>
  <c r="BN193" i="32"/>
  <c r="BC193" i="32"/>
  <c r="BN194" i="32"/>
  <c r="BC194" i="32"/>
  <c r="BN195" i="32"/>
  <c r="BC195" i="32"/>
  <c r="BN196" i="32"/>
  <c r="BC196" i="32"/>
  <c r="BN197" i="32"/>
  <c r="BC197" i="32"/>
  <c r="BN198" i="32"/>
  <c r="BC198" i="32"/>
  <c r="BN199" i="32"/>
  <c r="BC199" i="32"/>
  <c r="BN200" i="32"/>
  <c r="BC200" i="32"/>
  <c r="BN201" i="32"/>
  <c r="BC201" i="32"/>
  <c r="BN202" i="32"/>
  <c r="BC202" i="32"/>
  <c r="BN203" i="32"/>
  <c r="BC203" i="32"/>
  <c r="BN204" i="32"/>
  <c r="BC204" i="32"/>
  <c r="BN205" i="32"/>
  <c r="BC205" i="32"/>
  <c r="BN206" i="32"/>
  <c r="BC206" i="32"/>
  <c r="BN207" i="32"/>
  <c r="BC207" i="32"/>
  <c r="BN208" i="32"/>
  <c r="BC208" i="32"/>
  <c r="BN209" i="32"/>
  <c r="BC209" i="32"/>
  <c r="BN210" i="32"/>
  <c r="BC210" i="32"/>
  <c r="BN211" i="32"/>
  <c r="BC211" i="32"/>
  <c r="BN212" i="32"/>
  <c r="BC212" i="32"/>
  <c r="BN213" i="32"/>
  <c r="BC213" i="32"/>
  <c r="BN214" i="32"/>
  <c r="BC214" i="32"/>
  <c r="BN215" i="32"/>
  <c r="BC215" i="32"/>
  <c r="BN216" i="32"/>
  <c r="BC216" i="32"/>
  <c r="BN217" i="32"/>
  <c r="BC217" i="32"/>
  <c r="BN218" i="32"/>
  <c r="BC218" i="32"/>
  <c r="BN219" i="32"/>
  <c r="BC219" i="32"/>
  <c r="BN220" i="32"/>
  <c r="BC220" i="32"/>
  <c r="BN221" i="32"/>
  <c r="BC221" i="32"/>
  <c r="BN222" i="32"/>
  <c r="BC222" i="32"/>
  <c r="BN223" i="32"/>
  <c r="BC223" i="32"/>
  <c r="BN224" i="32"/>
  <c r="BC224" i="32"/>
  <c r="BN225" i="32"/>
  <c r="BC225" i="32"/>
  <c r="BN226" i="32"/>
  <c r="BC226" i="32"/>
  <c r="BN227" i="32"/>
  <c r="BC227" i="32"/>
  <c r="BN228" i="32"/>
  <c r="BC228" i="32"/>
  <c r="BN229" i="32"/>
  <c r="BC229" i="32"/>
  <c r="BN230" i="32"/>
  <c r="BC230" i="32"/>
  <c r="BN231" i="32"/>
  <c r="BC231" i="32"/>
  <c r="BN232" i="32"/>
  <c r="BC232" i="32"/>
  <c r="BN233" i="32"/>
  <c r="BC233" i="32"/>
  <c r="BN234" i="32"/>
  <c r="BC234" i="32"/>
  <c r="BN235" i="32"/>
  <c r="BC235" i="32"/>
  <c r="BN236" i="32"/>
  <c r="BC236" i="32"/>
  <c r="BN237" i="32"/>
  <c r="BC237" i="32"/>
  <c r="BN238" i="32"/>
  <c r="BC238" i="32"/>
  <c r="BN239" i="32"/>
  <c r="BC239" i="32"/>
  <c r="BN240" i="32"/>
  <c r="BC240" i="32"/>
  <c r="BN241" i="32"/>
  <c r="BC241" i="32"/>
  <c r="BN242" i="32"/>
  <c r="BC242" i="32"/>
  <c r="BN243" i="32"/>
  <c r="BC243" i="32"/>
  <c r="BN244" i="32"/>
  <c r="BC244" i="32"/>
  <c r="BN245" i="32"/>
  <c r="BC245" i="32"/>
  <c r="BN246" i="32"/>
  <c r="BC246" i="32"/>
  <c r="BN247" i="32"/>
  <c r="BC247" i="32"/>
  <c r="BN248" i="32"/>
  <c r="BC248" i="32"/>
  <c r="BN249" i="32"/>
  <c r="BC249" i="32"/>
  <c r="BN250" i="32"/>
  <c r="BC250" i="32"/>
  <c r="BN251" i="32"/>
  <c r="BC251" i="32"/>
  <c r="BN252" i="32"/>
  <c r="BC252" i="32"/>
  <c r="BN253" i="32"/>
  <c r="BC253" i="32"/>
  <c r="BN254" i="32"/>
  <c r="BC254" i="32"/>
  <c r="BN255" i="32"/>
  <c r="BC255" i="32"/>
  <c r="BN256" i="32"/>
  <c r="BC256" i="32"/>
  <c r="BN257" i="32"/>
  <c r="BC257" i="32"/>
  <c r="BN258" i="32"/>
  <c r="BC258" i="32"/>
  <c r="BN259" i="32"/>
  <c r="BC259" i="32"/>
  <c r="BN260" i="32"/>
  <c r="BC260" i="32"/>
  <c r="BN261" i="32"/>
  <c r="BC261" i="32"/>
  <c r="BN262" i="32"/>
  <c r="BC262" i="32"/>
  <c r="BN263" i="32"/>
  <c r="BC263" i="32"/>
  <c r="BN264" i="32"/>
  <c r="BC264" i="32"/>
  <c r="BN265" i="32"/>
  <c r="BC265" i="32"/>
  <c r="BN266" i="32"/>
  <c r="BC266" i="32"/>
  <c r="BN267" i="32"/>
  <c r="BC267" i="32"/>
  <c r="BN268" i="32"/>
  <c r="BC268" i="32"/>
  <c r="BN269" i="32"/>
  <c r="BC269" i="32"/>
  <c r="BN270" i="32"/>
  <c r="BC270" i="32"/>
  <c r="BN271" i="32"/>
  <c r="BC271" i="32"/>
  <c r="BN272" i="32"/>
  <c r="BC272" i="32"/>
  <c r="BN273" i="32"/>
  <c r="BC273" i="32"/>
  <c r="BN274" i="32"/>
  <c r="BC274" i="32"/>
  <c r="BN275" i="32"/>
  <c r="BC275" i="32"/>
  <c r="BN276" i="32"/>
  <c r="BC276" i="32"/>
  <c r="BN277" i="32"/>
  <c r="BC277" i="32"/>
  <c r="BN278" i="32"/>
  <c r="BC278" i="32"/>
  <c r="BN279" i="32"/>
  <c r="BC279" i="32"/>
  <c r="BN280" i="32"/>
  <c r="BC280" i="32"/>
  <c r="BN281" i="32"/>
  <c r="BC281" i="32"/>
  <c r="BN282" i="32"/>
  <c r="BC282" i="32"/>
  <c r="BN283" i="32"/>
  <c r="BC283" i="32"/>
  <c r="BN284" i="32"/>
  <c r="BC284" i="32"/>
  <c r="BN285" i="32"/>
  <c r="BC285" i="32"/>
  <c r="BN286" i="32"/>
  <c r="BC286" i="32"/>
  <c r="BN287" i="32"/>
  <c r="BC287" i="32"/>
  <c r="BN288" i="32"/>
  <c r="BC288" i="32"/>
  <c r="BN289" i="32"/>
  <c r="BC289" i="32"/>
  <c r="BN290" i="32"/>
  <c r="BC290" i="32"/>
  <c r="BN291" i="32"/>
  <c r="BC291" i="32"/>
  <c r="BN292" i="32"/>
  <c r="BC292" i="32"/>
  <c r="BN293" i="32"/>
  <c r="BC293" i="32"/>
  <c r="BN294" i="32"/>
  <c r="BC294" i="32"/>
  <c r="BN295" i="32"/>
  <c r="BC295" i="32"/>
  <c r="BN296" i="32"/>
  <c r="BC296" i="32"/>
  <c r="BN297" i="32"/>
  <c r="BC297" i="32"/>
  <c r="BN298" i="32"/>
  <c r="BC298" i="32"/>
  <c r="BN299" i="32"/>
  <c r="BC299" i="32"/>
  <c r="BN300" i="32"/>
  <c r="BC300" i="32"/>
  <c r="BN301" i="32"/>
  <c r="BC301" i="32"/>
  <c r="BN302" i="32"/>
  <c r="BC302" i="32"/>
  <c r="BN303" i="32"/>
  <c r="BC303" i="32"/>
  <c r="BN304" i="32"/>
  <c r="BC304" i="32"/>
  <c r="BN305" i="32"/>
  <c r="BC305" i="32"/>
  <c r="BN306" i="32"/>
  <c r="BC306" i="32"/>
  <c r="BN307" i="32"/>
  <c r="BC307" i="32"/>
  <c r="BN308" i="32"/>
  <c r="BC308" i="32"/>
  <c r="BN309" i="32"/>
  <c r="BC309" i="32"/>
  <c r="BN310" i="32"/>
  <c r="BC310" i="32"/>
  <c r="BN311" i="32"/>
  <c r="BC311" i="32"/>
  <c r="BN312" i="32"/>
  <c r="BC312" i="32"/>
  <c r="BN313" i="32"/>
  <c r="BC313" i="32"/>
  <c r="BN314" i="32"/>
  <c r="BC314" i="32"/>
  <c r="BN315" i="32"/>
  <c r="BC315" i="32"/>
  <c r="BN316" i="32"/>
  <c r="BC316" i="32"/>
  <c r="BN317" i="32"/>
  <c r="BC317" i="32"/>
  <c r="BN318" i="32"/>
  <c r="BC318" i="32"/>
  <c r="BN319" i="32"/>
  <c r="BC319" i="32"/>
  <c r="BN320" i="32"/>
  <c r="BC320" i="32"/>
  <c r="BN321" i="32"/>
  <c r="BC321" i="32"/>
  <c r="BN322" i="32"/>
  <c r="BC322" i="32"/>
  <c r="BN323" i="32"/>
  <c r="BC323" i="32"/>
  <c r="BN324" i="32"/>
  <c r="BC324" i="32"/>
  <c r="BN325" i="32"/>
  <c r="BC325" i="32"/>
  <c r="BN326" i="32"/>
  <c r="BC326" i="32"/>
  <c r="BN327" i="32"/>
  <c r="BC327" i="32"/>
  <c r="BN328" i="32"/>
  <c r="BC328" i="32"/>
  <c r="BN329" i="32"/>
  <c r="BC329" i="32"/>
  <c r="BN330" i="32"/>
  <c r="BC330" i="32"/>
  <c r="BN331" i="32"/>
  <c r="BC331" i="32"/>
  <c r="BN332" i="32"/>
  <c r="BC332" i="32"/>
  <c r="BN333" i="32"/>
  <c r="BC333" i="32"/>
  <c r="BN334" i="32"/>
  <c r="BC334" i="32"/>
  <c r="BN335" i="32"/>
  <c r="BC335" i="32"/>
  <c r="BN336" i="32"/>
  <c r="BC336" i="32"/>
  <c r="BN337" i="32"/>
  <c r="BC337" i="32"/>
  <c r="BN338" i="32"/>
  <c r="BC338" i="32"/>
  <c r="BN339" i="32"/>
  <c r="BC339" i="32"/>
  <c r="BN340" i="32"/>
  <c r="BC340" i="32"/>
  <c r="BN341" i="32"/>
  <c r="BC341" i="32"/>
  <c r="BN342" i="32"/>
  <c r="BC342" i="32"/>
  <c r="BN343" i="32"/>
  <c r="BC343" i="32"/>
  <c r="BN344" i="32"/>
  <c r="BC344" i="32"/>
  <c r="BN345" i="32"/>
  <c r="BC345" i="32"/>
  <c r="BN346" i="32"/>
  <c r="BC346" i="32"/>
  <c r="BN347" i="32"/>
  <c r="BC347" i="32"/>
  <c r="BN348" i="32"/>
  <c r="BC348" i="32"/>
  <c r="BN349" i="32"/>
  <c r="BC349" i="32"/>
  <c r="BN350" i="32"/>
  <c r="BC350" i="32"/>
  <c r="BN351" i="32"/>
  <c r="BC351" i="32"/>
  <c r="BN352" i="32"/>
  <c r="BC352" i="32"/>
  <c r="BN353" i="32"/>
  <c r="BC353" i="32"/>
  <c r="BN354" i="32"/>
  <c r="BC354" i="32"/>
  <c r="BN355" i="32"/>
  <c r="BC355" i="32"/>
  <c r="BN356" i="32"/>
  <c r="BC356" i="32"/>
  <c r="BN357" i="32"/>
  <c r="BC357" i="32"/>
  <c r="BN358" i="32"/>
  <c r="BC358" i="32"/>
  <c r="BN359" i="32"/>
  <c r="BC359" i="32"/>
  <c r="BN360" i="32"/>
  <c r="BC360" i="32"/>
  <c r="BN361" i="32"/>
  <c r="BC361" i="32"/>
  <c r="BN362" i="32"/>
  <c r="BC362" i="32"/>
  <c r="BN363" i="32"/>
  <c r="BC363" i="32"/>
  <c r="BN364" i="32"/>
  <c r="BC364" i="32"/>
  <c r="BN365" i="32"/>
  <c r="BC365" i="32"/>
  <c r="BN366" i="32"/>
  <c r="BC366" i="32"/>
  <c r="BN367" i="32"/>
  <c r="BC367" i="32"/>
  <c r="BN368" i="32"/>
  <c r="BC368" i="32"/>
  <c r="BN369" i="32"/>
  <c r="BC369" i="32"/>
  <c r="BN370" i="32"/>
  <c r="BC370" i="32"/>
  <c r="BN371" i="32"/>
  <c r="BC371" i="32"/>
  <c r="BN372" i="32"/>
  <c r="BC372" i="32"/>
  <c r="BN373" i="32"/>
  <c r="BC373" i="32"/>
  <c r="BN374" i="32"/>
  <c r="BC374" i="32"/>
  <c r="BN375" i="32"/>
  <c r="BC375" i="32"/>
  <c r="BN376" i="32"/>
  <c r="BC376" i="32"/>
  <c r="BN377" i="32"/>
  <c r="BC377" i="32"/>
  <c r="BN378" i="32"/>
  <c r="BC378" i="32"/>
  <c r="BN379" i="32"/>
  <c r="BC379" i="32"/>
  <c r="BN380" i="32"/>
  <c r="BC380" i="32"/>
  <c r="BN381" i="32"/>
  <c r="BC381" i="32"/>
  <c r="BN382" i="32"/>
  <c r="BC382" i="32"/>
  <c r="BN383" i="32"/>
  <c r="BC383" i="32"/>
  <c r="BN384" i="32"/>
  <c r="BC384" i="32"/>
  <c r="BN385" i="32"/>
  <c r="BC385" i="32"/>
  <c r="BN386" i="32"/>
  <c r="BC386" i="32"/>
  <c r="BN387" i="32"/>
  <c r="BC387" i="32"/>
  <c r="BN388" i="32"/>
  <c r="BC388" i="32"/>
  <c r="BN389" i="32"/>
  <c r="BC389" i="32"/>
  <c r="BN390" i="32"/>
  <c r="BC390" i="32"/>
  <c r="BN391" i="32"/>
  <c r="BC391" i="32"/>
  <c r="BN392" i="32"/>
  <c r="BC392" i="32"/>
  <c r="BN393" i="32"/>
  <c r="BC393" i="32"/>
  <c r="BN394" i="32"/>
  <c r="BC394" i="32"/>
  <c r="BN395" i="32"/>
  <c r="BC395" i="32"/>
  <c r="BN396" i="32"/>
  <c r="BC396" i="32"/>
  <c r="BN397" i="32"/>
  <c r="BC397" i="32"/>
  <c r="BN398" i="32"/>
  <c r="BC398" i="32"/>
  <c r="BN399" i="32"/>
  <c r="BC399" i="32"/>
  <c r="BN400" i="32"/>
  <c r="BC400" i="32"/>
  <c r="BN401" i="32"/>
  <c r="BC401" i="32"/>
  <c r="BN402" i="32"/>
  <c r="BC402" i="32"/>
  <c r="BN403" i="32"/>
  <c r="BC403" i="32"/>
  <c r="BN404" i="32"/>
  <c r="BC404" i="32"/>
  <c r="BN405" i="32"/>
  <c r="BC405" i="32"/>
  <c r="BN406" i="32"/>
  <c r="BC406" i="32"/>
  <c r="BN407" i="32"/>
  <c r="BC407" i="32"/>
  <c r="BN408" i="32"/>
  <c r="BC408" i="32"/>
  <c r="BN409" i="32"/>
  <c r="BC409" i="32"/>
  <c r="BN410" i="32"/>
  <c r="BC410" i="32"/>
  <c r="BN411" i="32"/>
  <c r="BC411" i="32"/>
  <c r="BN412" i="32"/>
  <c r="BC412" i="32"/>
  <c r="BN413" i="32"/>
  <c r="BC413" i="32"/>
  <c r="BN414" i="32"/>
  <c r="BC414" i="32"/>
  <c r="BN415" i="32"/>
  <c r="BC415" i="32"/>
  <c r="BN416" i="32"/>
  <c r="BC416" i="32"/>
  <c r="BN417" i="32"/>
  <c r="BC418" i="32"/>
  <c r="BN419" i="32"/>
  <c r="BC419" i="32"/>
  <c r="BN420" i="32"/>
  <c r="BC420" i="32"/>
  <c r="BN421" i="32"/>
  <c r="BO5" i="32"/>
  <c r="BE5" i="32"/>
  <c r="BD5" i="32"/>
  <c r="BD4" i="32"/>
  <c r="BD6" i="32"/>
  <c r="BD7" i="32"/>
  <c r="BD8" i="32"/>
  <c r="BD9" i="32"/>
  <c r="BD10" i="32"/>
  <c r="BD11" i="32"/>
  <c r="BD12" i="32"/>
  <c r="BD13" i="32"/>
  <c r="BD14" i="32"/>
  <c r="BD15" i="32"/>
  <c r="BD16" i="32"/>
  <c r="BD17" i="32"/>
  <c r="BD18" i="32"/>
  <c r="BD19" i="32"/>
  <c r="BD20" i="32"/>
  <c r="BD21" i="32"/>
  <c r="BD22" i="32"/>
  <c r="BD23" i="32"/>
  <c r="BD24" i="32"/>
  <c r="BD25" i="32"/>
  <c r="BD26" i="32"/>
  <c r="BD27" i="32"/>
  <c r="BD28" i="32"/>
  <c r="BD29" i="32"/>
  <c r="BD30" i="32"/>
  <c r="BD31" i="32"/>
  <c r="BD32" i="32"/>
  <c r="BD33" i="32"/>
  <c r="BD34" i="32"/>
  <c r="BD35" i="32"/>
  <c r="BD36" i="32"/>
  <c r="BD37" i="32"/>
  <c r="BD38" i="32"/>
  <c r="BD39" i="32"/>
  <c r="BD40" i="32"/>
  <c r="BD41" i="32"/>
  <c r="BD42" i="32"/>
  <c r="BD43" i="32"/>
  <c r="BD44" i="32"/>
  <c r="BD45" i="32"/>
  <c r="BD46" i="32"/>
  <c r="BD47" i="32"/>
  <c r="BD48" i="32"/>
  <c r="BD49" i="32"/>
  <c r="BD50" i="32"/>
  <c r="BD51" i="32"/>
  <c r="BD52" i="32"/>
  <c r="BD53" i="32"/>
  <c r="BD54" i="32"/>
  <c r="BD55" i="32"/>
  <c r="BD56" i="32"/>
  <c r="BD57" i="32"/>
  <c r="BD58" i="32"/>
  <c r="BD59" i="32"/>
  <c r="BD60" i="32"/>
  <c r="BD61" i="32"/>
  <c r="BD62" i="32"/>
  <c r="BD63" i="32"/>
  <c r="BD64" i="32"/>
  <c r="BD65" i="32"/>
  <c r="BD66" i="32"/>
  <c r="BD67" i="32"/>
  <c r="BD68" i="32"/>
  <c r="BD69" i="32"/>
  <c r="BD70" i="32"/>
  <c r="BD71" i="32"/>
  <c r="BD72" i="32"/>
  <c r="BD73" i="32"/>
  <c r="BD74" i="32"/>
  <c r="BD75" i="32"/>
  <c r="BD76" i="32"/>
  <c r="BD77" i="32"/>
  <c r="BD78" i="32"/>
  <c r="BD79" i="32"/>
  <c r="BD80" i="32"/>
  <c r="BD81" i="32"/>
  <c r="BD82" i="32"/>
  <c r="BD83" i="32"/>
  <c r="BD84" i="32"/>
  <c r="BD85" i="32"/>
  <c r="BD86" i="32"/>
  <c r="BD87" i="32"/>
  <c r="BD88" i="32"/>
  <c r="BD89" i="32"/>
  <c r="BD90" i="32"/>
  <c r="BD91" i="32"/>
  <c r="BD92" i="32"/>
  <c r="BD93" i="32"/>
  <c r="BD94" i="32"/>
  <c r="BD95" i="32"/>
  <c r="BD96" i="32"/>
  <c r="BD97" i="32"/>
  <c r="BD98" i="32"/>
  <c r="BD99" i="32"/>
  <c r="BD100" i="32"/>
  <c r="BD101" i="32"/>
  <c r="BD102" i="32"/>
  <c r="BD103" i="32"/>
  <c r="BD104" i="32"/>
  <c r="BD105" i="32"/>
  <c r="BD106" i="32"/>
  <c r="BD107" i="32"/>
  <c r="BD108" i="32"/>
  <c r="BD109" i="32"/>
  <c r="BD110" i="32"/>
  <c r="BD111" i="32"/>
  <c r="BD112" i="32"/>
  <c r="BD113" i="32"/>
  <c r="BD114" i="32"/>
  <c r="BD115" i="32"/>
  <c r="BD116" i="32"/>
  <c r="BD117" i="32"/>
  <c r="BD118" i="32"/>
  <c r="BD119" i="32"/>
  <c r="BD120" i="32"/>
  <c r="BD121" i="32"/>
  <c r="BD122" i="32"/>
  <c r="BD123" i="32"/>
  <c r="BD124" i="32"/>
  <c r="BD125" i="32"/>
  <c r="BD126" i="32"/>
  <c r="BD127" i="32"/>
  <c r="BD128" i="32"/>
  <c r="BD129" i="32"/>
  <c r="BD130" i="32"/>
  <c r="BD131" i="32"/>
  <c r="BD132" i="32"/>
  <c r="BD133" i="32"/>
  <c r="BD134" i="32"/>
  <c r="BD135" i="32"/>
  <c r="BD136" i="32"/>
  <c r="BD137" i="32"/>
  <c r="BD138" i="32"/>
  <c r="BD139" i="32"/>
  <c r="BD140" i="32"/>
  <c r="BD141" i="32"/>
  <c r="BD142" i="32"/>
  <c r="BD143" i="32"/>
  <c r="BD144" i="32"/>
  <c r="BD145" i="32"/>
  <c r="BD146" i="32"/>
  <c r="BD147" i="32"/>
  <c r="BD148" i="32"/>
  <c r="BD149" i="32"/>
  <c r="BD150" i="32"/>
  <c r="BD151" i="32"/>
  <c r="BD152" i="32"/>
  <c r="BD153" i="32"/>
  <c r="BD154" i="32"/>
  <c r="BD155" i="32"/>
  <c r="BD156" i="32"/>
  <c r="BD157" i="32"/>
  <c r="BD158" i="32"/>
  <c r="BD159" i="32"/>
  <c r="BD160" i="32"/>
  <c r="BD161" i="32"/>
  <c r="BD162" i="32"/>
  <c r="BD163" i="32"/>
  <c r="BD164" i="32"/>
  <c r="BD165" i="32"/>
  <c r="BD166" i="32"/>
  <c r="BD167" i="32"/>
  <c r="BD168" i="32"/>
  <c r="BD169" i="32"/>
  <c r="BD170" i="32"/>
  <c r="BD171" i="32"/>
  <c r="BD172" i="32"/>
  <c r="BD173" i="32"/>
  <c r="BD174" i="32"/>
  <c r="BD175" i="32"/>
  <c r="BD176" i="32"/>
  <c r="BD177" i="32"/>
  <c r="BD178" i="32"/>
  <c r="BD179" i="32"/>
  <c r="BD180" i="32"/>
  <c r="BD181" i="32"/>
  <c r="BD182" i="32"/>
  <c r="BD183" i="32"/>
  <c r="BD184" i="32"/>
  <c r="BD185" i="32"/>
  <c r="BD186" i="32"/>
  <c r="BD187" i="32"/>
  <c r="BD188" i="32"/>
  <c r="BD189" i="32"/>
  <c r="BD190" i="32"/>
  <c r="BD191" i="32"/>
  <c r="BD192" i="32"/>
  <c r="BD193" i="32"/>
  <c r="BD194" i="32"/>
  <c r="BD195" i="32"/>
  <c r="BD196" i="32"/>
  <c r="BD197" i="32"/>
  <c r="BD198" i="32"/>
  <c r="BD199" i="32"/>
  <c r="BD200" i="32"/>
  <c r="BD201" i="32"/>
  <c r="BD202" i="32"/>
  <c r="BD203" i="32"/>
  <c r="BD204" i="32"/>
  <c r="BD205" i="32"/>
  <c r="BD206" i="32"/>
  <c r="BD207" i="32"/>
  <c r="BD208" i="32"/>
  <c r="BD209" i="32"/>
  <c r="BD210" i="32"/>
  <c r="BD211" i="32"/>
  <c r="BD212" i="32"/>
  <c r="BD213" i="32"/>
  <c r="BD214" i="32"/>
  <c r="BD215" i="32"/>
  <c r="BD216" i="32"/>
  <c r="BD217" i="32"/>
  <c r="BD218" i="32"/>
  <c r="BD219" i="32"/>
  <c r="BD220" i="32"/>
  <c r="BD221" i="32"/>
  <c r="BD222" i="32"/>
  <c r="BD223" i="32"/>
  <c r="BD224" i="32"/>
  <c r="BD225" i="32"/>
  <c r="BD226" i="32"/>
  <c r="BD227" i="32"/>
  <c r="BD228" i="32"/>
  <c r="BD229" i="32"/>
  <c r="BD230" i="32"/>
  <c r="BD231" i="32"/>
  <c r="BD232" i="32"/>
  <c r="BD233" i="32"/>
  <c r="BD234" i="32"/>
  <c r="BD235" i="32"/>
  <c r="BD236" i="32"/>
  <c r="BD237" i="32"/>
  <c r="BD238" i="32"/>
  <c r="BD239" i="32"/>
  <c r="BD240" i="32"/>
  <c r="BD241" i="32"/>
  <c r="BD242" i="32"/>
  <c r="BD243" i="32"/>
  <c r="BD244" i="32"/>
  <c r="BD245" i="32"/>
  <c r="BD246" i="32"/>
  <c r="BD247" i="32"/>
  <c r="BD248" i="32"/>
  <c r="BD249" i="32"/>
  <c r="BD250" i="32"/>
  <c r="BD251" i="32"/>
  <c r="BD252" i="32"/>
  <c r="BD253" i="32"/>
  <c r="BD254" i="32"/>
  <c r="BD255" i="32"/>
  <c r="BD256" i="32"/>
  <c r="BD257" i="32"/>
  <c r="BD258" i="32"/>
  <c r="BD259" i="32"/>
  <c r="BD260" i="32"/>
  <c r="BD261" i="32"/>
  <c r="BD262" i="32"/>
  <c r="BD263" i="32"/>
  <c r="BD264" i="32"/>
  <c r="BD265" i="32"/>
  <c r="BD266" i="32"/>
  <c r="BD267" i="32"/>
  <c r="BD268" i="32"/>
  <c r="BD269" i="32"/>
  <c r="BD270" i="32"/>
  <c r="BD271" i="32"/>
  <c r="BD272" i="32"/>
  <c r="BD273" i="32"/>
  <c r="BD274" i="32"/>
  <c r="BD275" i="32"/>
  <c r="BD276" i="32"/>
  <c r="BD277" i="32"/>
  <c r="BD278" i="32"/>
  <c r="BD279" i="32"/>
  <c r="BD280" i="32"/>
  <c r="BD281" i="32"/>
  <c r="BD282" i="32"/>
  <c r="BD283" i="32"/>
  <c r="BD284" i="32"/>
  <c r="BD285" i="32"/>
  <c r="BD286" i="32"/>
  <c r="BD287" i="32"/>
  <c r="BD288" i="32"/>
  <c r="BD289" i="32"/>
  <c r="BD290" i="32"/>
  <c r="BD291" i="32"/>
  <c r="BD292" i="32"/>
  <c r="BD293" i="32"/>
  <c r="BD294" i="32"/>
  <c r="BD295" i="32"/>
  <c r="BD296" i="32"/>
  <c r="BD297" i="32"/>
  <c r="BD298" i="32"/>
  <c r="BD299" i="32"/>
  <c r="BD300" i="32"/>
  <c r="BD301" i="32"/>
  <c r="BD302" i="32"/>
  <c r="BD303" i="32"/>
  <c r="BD304" i="32"/>
  <c r="BD305" i="32"/>
  <c r="BD306" i="32"/>
  <c r="BD307" i="32"/>
  <c r="BD308" i="32"/>
  <c r="BD309" i="32"/>
  <c r="BD310" i="32"/>
  <c r="BD311" i="32"/>
  <c r="BD312" i="32"/>
  <c r="BD313" i="32"/>
  <c r="BD314" i="32"/>
  <c r="BD315" i="32"/>
  <c r="BD316" i="32"/>
  <c r="BD317" i="32"/>
  <c r="BD318" i="32"/>
  <c r="BD319" i="32"/>
  <c r="BD320" i="32"/>
  <c r="BD321" i="32"/>
  <c r="BD322" i="32"/>
  <c r="BD323" i="32"/>
  <c r="BD324" i="32"/>
  <c r="BD325" i="32"/>
  <c r="BD326" i="32"/>
  <c r="BD327" i="32"/>
  <c r="BD328" i="32"/>
  <c r="BD329" i="32"/>
  <c r="BD330" i="32"/>
  <c r="BD331" i="32"/>
  <c r="BD332" i="32"/>
  <c r="BD333" i="32"/>
  <c r="BD334" i="32"/>
  <c r="BD335" i="32"/>
  <c r="BD336" i="32"/>
  <c r="BD337" i="32"/>
  <c r="BD338" i="32"/>
  <c r="BD339" i="32"/>
  <c r="BD340" i="32"/>
  <c r="BD341" i="32"/>
  <c r="BD342" i="32"/>
  <c r="BD343" i="32"/>
  <c r="BD344" i="32"/>
  <c r="BD345" i="32"/>
  <c r="BD346" i="32"/>
  <c r="BD347" i="32"/>
  <c r="BD348" i="32"/>
  <c r="BD349" i="32"/>
  <c r="BD350" i="32"/>
  <c r="BD351" i="32"/>
  <c r="BD352" i="32"/>
  <c r="BD353" i="32"/>
  <c r="BD354" i="32"/>
  <c r="BD355" i="32"/>
  <c r="BD356" i="32"/>
  <c r="BD357" i="32"/>
  <c r="BD358" i="32"/>
  <c r="BD359" i="32"/>
  <c r="BD360" i="32"/>
  <c r="BD361" i="32"/>
  <c r="BD362" i="32"/>
  <c r="BD363" i="32"/>
  <c r="BD364" i="32"/>
  <c r="BD365" i="32"/>
  <c r="BD366" i="32"/>
  <c r="BD367" i="32"/>
  <c r="BD368" i="32"/>
  <c r="BD369" i="32"/>
  <c r="BD370" i="32"/>
  <c r="BD371" i="32"/>
  <c r="BD372" i="32"/>
  <c r="BD373" i="32"/>
  <c r="BD374" i="32"/>
  <c r="BD375" i="32"/>
  <c r="BD376" i="32"/>
  <c r="BD377" i="32"/>
  <c r="BD378" i="32"/>
  <c r="BD379" i="32"/>
  <c r="BD380" i="32"/>
  <c r="BD381" i="32"/>
  <c r="BD382" i="32"/>
  <c r="BD383" i="32"/>
  <c r="BD384" i="32"/>
  <c r="BD385" i="32"/>
  <c r="BD386" i="32"/>
  <c r="BD387" i="32"/>
  <c r="BD388" i="32"/>
  <c r="BD389" i="32"/>
  <c r="BD390" i="32"/>
  <c r="BD391" i="32"/>
  <c r="BD392" i="32"/>
  <c r="BD393" i="32"/>
  <c r="BD394" i="32"/>
  <c r="BD395" i="32"/>
  <c r="BD396" i="32"/>
  <c r="BD397" i="32"/>
  <c r="BD398" i="32"/>
  <c r="BD399" i="32"/>
  <c r="BD400" i="32"/>
  <c r="BD401" i="32"/>
  <c r="BD402" i="32"/>
  <c r="BD403" i="32"/>
  <c r="BD404" i="32"/>
  <c r="BD405" i="32"/>
  <c r="BD406" i="32"/>
  <c r="BD407" i="32"/>
  <c r="BF5" i="32"/>
  <c r="BE6" i="32"/>
  <c r="BF6" i="32"/>
  <c r="BE7" i="32"/>
  <c r="BF7" i="32"/>
  <c r="BE8" i="32"/>
  <c r="BF8" i="32"/>
  <c r="BE9" i="32"/>
  <c r="BF9" i="32"/>
  <c r="BE10" i="32"/>
  <c r="BF10" i="32"/>
  <c r="BE11" i="32"/>
  <c r="BF11" i="32"/>
  <c r="BE12" i="32"/>
  <c r="BF12" i="32"/>
  <c r="BE13" i="32"/>
  <c r="BF13" i="32"/>
  <c r="BE14" i="32"/>
  <c r="BF14" i="32"/>
  <c r="BE15" i="32"/>
  <c r="BF15" i="32"/>
  <c r="BE16" i="32"/>
  <c r="BF16" i="32"/>
  <c r="BE17" i="32"/>
  <c r="BF17" i="32"/>
  <c r="BE18" i="32"/>
  <c r="BF18" i="32"/>
  <c r="BE19" i="32"/>
  <c r="BF19" i="32"/>
  <c r="BE20" i="32"/>
  <c r="BF20" i="32"/>
  <c r="BE21" i="32"/>
  <c r="BF21" i="32"/>
  <c r="BE22" i="32"/>
  <c r="BF22" i="32"/>
  <c r="BE23" i="32"/>
  <c r="BF23" i="32"/>
  <c r="BE24" i="32"/>
  <c r="BF24" i="32"/>
  <c r="BE25" i="32"/>
  <c r="BF25" i="32"/>
  <c r="BE26" i="32"/>
  <c r="BF26" i="32"/>
  <c r="BE27" i="32"/>
  <c r="BF27" i="32"/>
  <c r="BE28" i="32"/>
  <c r="BF28" i="32"/>
  <c r="BE29" i="32"/>
  <c r="BF29" i="32"/>
  <c r="BE30" i="32"/>
  <c r="BF30" i="32"/>
  <c r="BE31" i="32"/>
  <c r="BF31" i="32"/>
  <c r="BE32" i="32"/>
  <c r="BF32" i="32"/>
  <c r="BE33" i="32"/>
  <c r="BF33" i="32"/>
  <c r="BE34" i="32"/>
  <c r="BF34" i="32"/>
  <c r="BE35" i="32"/>
  <c r="BF35" i="32"/>
  <c r="BE36" i="32"/>
  <c r="BF36" i="32"/>
  <c r="BE37" i="32"/>
  <c r="BF37" i="32"/>
  <c r="BE38" i="32"/>
  <c r="BF38" i="32"/>
  <c r="BE39" i="32"/>
  <c r="BF39" i="32"/>
  <c r="BE40" i="32"/>
  <c r="BF40" i="32"/>
  <c r="BE41" i="32"/>
  <c r="BF41" i="32"/>
  <c r="BE42" i="32"/>
  <c r="BF42" i="32"/>
  <c r="BE43" i="32"/>
  <c r="BF43" i="32"/>
  <c r="BE44" i="32"/>
  <c r="BF44" i="32"/>
  <c r="BE45" i="32"/>
  <c r="BF45" i="32"/>
  <c r="BE46" i="32"/>
  <c r="BF46" i="32"/>
  <c r="BE47" i="32"/>
  <c r="BF47" i="32"/>
  <c r="BE48" i="32"/>
  <c r="BF48" i="32"/>
  <c r="BE49" i="32"/>
  <c r="BF49" i="32"/>
  <c r="BE50" i="32"/>
  <c r="BF50" i="32"/>
  <c r="BE51" i="32"/>
  <c r="BF51" i="32"/>
  <c r="BE52" i="32"/>
  <c r="BF52" i="32"/>
  <c r="BE53" i="32"/>
  <c r="BF53" i="32"/>
  <c r="BE54" i="32"/>
  <c r="BF54" i="32"/>
  <c r="BE55" i="32"/>
  <c r="BF55" i="32"/>
  <c r="BE56" i="32"/>
  <c r="BF56" i="32"/>
  <c r="BE57" i="32"/>
  <c r="BF57" i="32"/>
  <c r="BE58" i="32"/>
  <c r="BF58" i="32"/>
  <c r="BE59" i="32"/>
  <c r="BF59" i="32"/>
  <c r="BE60" i="32"/>
  <c r="BF60" i="32"/>
  <c r="BE61" i="32"/>
  <c r="BF61" i="32"/>
  <c r="BE62" i="32"/>
  <c r="BF62" i="32"/>
  <c r="BE63" i="32"/>
  <c r="BF63" i="32"/>
  <c r="BE64" i="32"/>
  <c r="BF64" i="32"/>
  <c r="BE65" i="32"/>
  <c r="BF65" i="32"/>
  <c r="BE66" i="32"/>
  <c r="BF66" i="32"/>
  <c r="BE67" i="32"/>
  <c r="BF67" i="32"/>
  <c r="BE68" i="32"/>
  <c r="BF68" i="32"/>
  <c r="BE69" i="32"/>
  <c r="BF69" i="32"/>
  <c r="BE70" i="32"/>
  <c r="BF70" i="32"/>
  <c r="BE71" i="32"/>
  <c r="BF71" i="32"/>
  <c r="BE72" i="32"/>
  <c r="BF72" i="32"/>
  <c r="BE73" i="32"/>
  <c r="BF73" i="32"/>
  <c r="BE74" i="32"/>
  <c r="BF74" i="32"/>
  <c r="BE75" i="32"/>
  <c r="BF75" i="32"/>
  <c r="BE76" i="32"/>
  <c r="BF76" i="32"/>
  <c r="BE77" i="32"/>
  <c r="BF77" i="32"/>
  <c r="BE78" i="32"/>
  <c r="BF78" i="32"/>
  <c r="BE79" i="32"/>
  <c r="BF79" i="32"/>
  <c r="BE80" i="32"/>
  <c r="BF80" i="32"/>
  <c r="BE81" i="32"/>
  <c r="BF81" i="32"/>
  <c r="BE82" i="32"/>
  <c r="BF82" i="32"/>
  <c r="BE83" i="32"/>
  <c r="BF83" i="32"/>
  <c r="BE84" i="32"/>
  <c r="BF84" i="32"/>
  <c r="BE85" i="32"/>
  <c r="BF85" i="32"/>
  <c r="BE86" i="32"/>
  <c r="BF86" i="32"/>
  <c r="BE87" i="32"/>
  <c r="BF87" i="32"/>
  <c r="BE88" i="32"/>
  <c r="BF88" i="32"/>
  <c r="BE89" i="32"/>
  <c r="BF89" i="32"/>
  <c r="BE90" i="32"/>
  <c r="BF90" i="32"/>
  <c r="BE91" i="32"/>
  <c r="BF91" i="32"/>
  <c r="BE92" i="32"/>
  <c r="BF92" i="32"/>
  <c r="BE93" i="32"/>
  <c r="BF93" i="32"/>
  <c r="BE94" i="32"/>
  <c r="BF94" i="32"/>
  <c r="BE95" i="32"/>
  <c r="BF95" i="32"/>
  <c r="BE96" i="32"/>
  <c r="BF96" i="32"/>
  <c r="BE97" i="32"/>
  <c r="BF97" i="32"/>
  <c r="BE98" i="32"/>
  <c r="BF98" i="32"/>
  <c r="BE99" i="32"/>
  <c r="BF99" i="32"/>
  <c r="BE100" i="32"/>
  <c r="BF100" i="32"/>
  <c r="BE101" i="32"/>
  <c r="BF101" i="32"/>
  <c r="BE102" i="32"/>
  <c r="BF102" i="32"/>
  <c r="BE103" i="32"/>
  <c r="BF103" i="32"/>
  <c r="BE104" i="32"/>
  <c r="BF104" i="32"/>
  <c r="BE105" i="32"/>
  <c r="BF105" i="32"/>
  <c r="BE106" i="32"/>
  <c r="BF106" i="32"/>
  <c r="BE107" i="32"/>
  <c r="BF107" i="32"/>
  <c r="BE108" i="32"/>
  <c r="BF108" i="32"/>
  <c r="BE109" i="32"/>
  <c r="BF109" i="32"/>
  <c r="BE110" i="32"/>
  <c r="BF110" i="32"/>
  <c r="BE111" i="32"/>
  <c r="BF111" i="32"/>
  <c r="BE112" i="32"/>
  <c r="BF112" i="32"/>
  <c r="BE113" i="32"/>
  <c r="BF113" i="32"/>
  <c r="BE114" i="32"/>
  <c r="BF114" i="32"/>
  <c r="BE115" i="32"/>
  <c r="BF115" i="32"/>
  <c r="BE116" i="32"/>
  <c r="BF116" i="32"/>
  <c r="BE117" i="32"/>
  <c r="BF117" i="32"/>
  <c r="BE118" i="32"/>
  <c r="BF118" i="32"/>
  <c r="BE119" i="32"/>
  <c r="BF119" i="32"/>
  <c r="BE120" i="32"/>
  <c r="BF120" i="32"/>
  <c r="BE121" i="32"/>
  <c r="BF121" i="32"/>
  <c r="BE122" i="32"/>
  <c r="BF122" i="32"/>
  <c r="BE123" i="32"/>
  <c r="BF123" i="32"/>
  <c r="BE124" i="32"/>
  <c r="BF124" i="32"/>
  <c r="BE125" i="32"/>
  <c r="BF125" i="32"/>
  <c r="BE126" i="32"/>
  <c r="BF126" i="32"/>
  <c r="BE127" i="32"/>
  <c r="BF127" i="32"/>
  <c r="BE128" i="32"/>
  <c r="BF128" i="32"/>
  <c r="BE129" i="32"/>
  <c r="BF129" i="32"/>
  <c r="BE130" i="32"/>
  <c r="BF130" i="32"/>
  <c r="BE131" i="32"/>
  <c r="BF131" i="32"/>
  <c r="BE132" i="32"/>
  <c r="BF132" i="32"/>
  <c r="BE133" i="32"/>
  <c r="BF133" i="32"/>
  <c r="BE134" i="32"/>
  <c r="BF134" i="32"/>
  <c r="BE135" i="32"/>
  <c r="BF135" i="32"/>
  <c r="BE136" i="32"/>
  <c r="BF136" i="32"/>
  <c r="BE137" i="32"/>
  <c r="BF137" i="32"/>
  <c r="BE138" i="32"/>
  <c r="BF138" i="32"/>
  <c r="BE139" i="32"/>
  <c r="BF139" i="32"/>
  <c r="BE140" i="32"/>
  <c r="BF140" i="32"/>
  <c r="BE141" i="32"/>
  <c r="BF141" i="32"/>
  <c r="BE142" i="32"/>
  <c r="BF142" i="32"/>
  <c r="BE143" i="32"/>
  <c r="BF143" i="32"/>
  <c r="BE144" i="32"/>
  <c r="BF144" i="32"/>
  <c r="BE145" i="32"/>
  <c r="BF145" i="32"/>
  <c r="BE146" i="32"/>
  <c r="BF146" i="32"/>
  <c r="BE147" i="32"/>
  <c r="BF147" i="32"/>
  <c r="BE148" i="32"/>
  <c r="BF148" i="32"/>
  <c r="BE149" i="32"/>
  <c r="BF149" i="32"/>
  <c r="BE150" i="32"/>
  <c r="BF150" i="32"/>
  <c r="BE151" i="32"/>
  <c r="BF151" i="32"/>
  <c r="BE152" i="32"/>
  <c r="BF152" i="32"/>
  <c r="BE153" i="32"/>
  <c r="BF153" i="32"/>
  <c r="BE154" i="32"/>
  <c r="BF154" i="32"/>
  <c r="BE155" i="32"/>
  <c r="BF155" i="32"/>
  <c r="BE156" i="32"/>
  <c r="BF156" i="32"/>
  <c r="BE157" i="32"/>
  <c r="BF157" i="32"/>
  <c r="BE158" i="32"/>
  <c r="BF158" i="32"/>
  <c r="BE159" i="32"/>
  <c r="BF159" i="32"/>
  <c r="BE160" i="32"/>
  <c r="BF160" i="32"/>
  <c r="BE161" i="32"/>
  <c r="BF161" i="32"/>
  <c r="BE162" i="32"/>
  <c r="BF162" i="32"/>
  <c r="BE163" i="32"/>
  <c r="BF163" i="32"/>
  <c r="BE164" i="32"/>
  <c r="BF164" i="32"/>
  <c r="BE165" i="32"/>
  <c r="BF165" i="32"/>
  <c r="BE166" i="32"/>
  <c r="BF166" i="32"/>
  <c r="BE167" i="32"/>
  <c r="BF167" i="32"/>
  <c r="BE168" i="32"/>
  <c r="BF168" i="32"/>
  <c r="BE169" i="32"/>
  <c r="BF169" i="32"/>
  <c r="BE170" i="32"/>
  <c r="BF170" i="32"/>
  <c r="BE171" i="32"/>
  <c r="BF171" i="32"/>
  <c r="BE172" i="32"/>
  <c r="BF172" i="32"/>
  <c r="BE173" i="32"/>
  <c r="BF173" i="32"/>
  <c r="BE174" i="32"/>
  <c r="BF174" i="32"/>
  <c r="BE175" i="32"/>
  <c r="BF175" i="32"/>
  <c r="BE176" i="32"/>
  <c r="BF176" i="32"/>
  <c r="BE177" i="32"/>
  <c r="BF177" i="32"/>
  <c r="BE178" i="32"/>
  <c r="BF178" i="32"/>
  <c r="BE179" i="32"/>
  <c r="BF179" i="32"/>
  <c r="BE180" i="32"/>
  <c r="BF180" i="32"/>
  <c r="BE181" i="32"/>
  <c r="BF181" i="32"/>
  <c r="BE182" i="32"/>
  <c r="BF182" i="32"/>
  <c r="BE183" i="32"/>
  <c r="BF183" i="32"/>
  <c r="BE184" i="32"/>
  <c r="BF184" i="32"/>
  <c r="BE185" i="32"/>
  <c r="BF185" i="32"/>
  <c r="BE186" i="32"/>
  <c r="BF186" i="32"/>
  <c r="BE187" i="32"/>
  <c r="BF187" i="32"/>
  <c r="BE188" i="32"/>
  <c r="BF188" i="32"/>
  <c r="BE189" i="32"/>
  <c r="BF189" i="32"/>
  <c r="BE190" i="32"/>
  <c r="BF190" i="32"/>
  <c r="BE191" i="32"/>
  <c r="BF191" i="32"/>
  <c r="BE192" i="32"/>
  <c r="BF192" i="32"/>
  <c r="BE193" i="32"/>
  <c r="BF193" i="32"/>
  <c r="BE194" i="32"/>
  <c r="BF194" i="32"/>
  <c r="BE195" i="32"/>
  <c r="BF195" i="32"/>
  <c r="BE196" i="32"/>
  <c r="BF196" i="32"/>
  <c r="BE197" i="32"/>
  <c r="BF197" i="32"/>
  <c r="BE198" i="32"/>
  <c r="BF198" i="32"/>
  <c r="BE199" i="32"/>
  <c r="BF199" i="32"/>
  <c r="BE200" i="32"/>
  <c r="BF200" i="32"/>
  <c r="BE201" i="32"/>
  <c r="BF201" i="32"/>
  <c r="BE202" i="32"/>
  <c r="BF202" i="32"/>
  <c r="BE203" i="32"/>
  <c r="BF203" i="32"/>
  <c r="BE204" i="32"/>
  <c r="BF204" i="32"/>
  <c r="BE205" i="32"/>
  <c r="BF205" i="32"/>
  <c r="BE206" i="32"/>
  <c r="BF206" i="32"/>
  <c r="BE207" i="32"/>
  <c r="BF207" i="32"/>
  <c r="BE208" i="32"/>
  <c r="BF208" i="32"/>
  <c r="BE209" i="32"/>
  <c r="BF209" i="32"/>
  <c r="BE210" i="32"/>
  <c r="BF210" i="32"/>
  <c r="BE211" i="32"/>
  <c r="BF211" i="32"/>
  <c r="BE212" i="32"/>
  <c r="BF212" i="32"/>
  <c r="BE213" i="32"/>
  <c r="BF213" i="32"/>
  <c r="BE214" i="32"/>
  <c r="BF214" i="32"/>
  <c r="BE215" i="32"/>
  <c r="BF215" i="32"/>
  <c r="BE216" i="32"/>
  <c r="BF216" i="32"/>
  <c r="BE217" i="32"/>
  <c r="BF217" i="32"/>
  <c r="BE218" i="32"/>
  <c r="BF218" i="32"/>
  <c r="BE219" i="32"/>
  <c r="BF219" i="32"/>
  <c r="BE220" i="32"/>
  <c r="BF220" i="32"/>
  <c r="BE221" i="32"/>
  <c r="BF221" i="32"/>
  <c r="BE222" i="32"/>
  <c r="BF222" i="32"/>
  <c r="BE223" i="32"/>
  <c r="BF223" i="32"/>
  <c r="BE224" i="32"/>
  <c r="BF224" i="32"/>
  <c r="BE225" i="32"/>
  <c r="BF225" i="32"/>
  <c r="BE226" i="32"/>
  <c r="BF226" i="32"/>
  <c r="BE227" i="32"/>
  <c r="BF227" i="32"/>
  <c r="BE228" i="32"/>
  <c r="BF228" i="32"/>
  <c r="BE229" i="32"/>
  <c r="BF229" i="32"/>
  <c r="BE230" i="32"/>
  <c r="BF230" i="32"/>
  <c r="BE231" i="32"/>
  <c r="BF231" i="32"/>
  <c r="BE232" i="32"/>
  <c r="BF232" i="32"/>
  <c r="BE233" i="32"/>
  <c r="BF233" i="32"/>
  <c r="BE234" i="32"/>
  <c r="BF234" i="32"/>
  <c r="BE235" i="32"/>
  <c r="BF235" i="32"/>
  <c r="BE236" i="32"/>
  <c r="BF236" i="32"/>
  <c r="BE237" i="32"/>
  <c r="BF237" i="32"/>
  <c r="BE238" i="32"/>
  <c r="BF238" i="32"/>
  <c r="BE239" i="32"/>
  <c r="BF239" i="32"/>
  <c r="BE240" i="32"/>
  <c r="BF240" i="32"/>
  <c r="BE241" i="32"/>
  <c r="BF241" i="32"/>
  <c r="BE242" i="32"/>
  <c r="BF242" i="32"/>
  <c r="BE243" i="32"/>
  <c r="BF243" i="32"/>
  <c r="BE244" i="32"/>
  <c r="BF244" i="32"/>
  <c r="BE245" i="32"/>
  <c r="BF245" i="32"/>
  <c r="BE246" i="32"/>
  <c r="BF246" i="32"/>
  <c r="BE247" i="32"/>
  <c r="BF247" i="32"/>
  <c r="BE248" i="32"/>
  <c r="BF248" i="32"/>
  <c r="BE249" i="32"/>
  <c r="BF249" i="32"/>
  <c r="BE250" i="32"/>
  <c r="BF250" i="32"/>
  <c r="BE251" i="32"/>
  <c r="BF251" i="32"/>
  <c r="BE252" i="32"/>
  <c r="BF252" i="32"/>
  <c r="BE253" i="32"/>
  <c r="BF253" i="32"/>
  <c r="BE254" i="32"/>
  <c r="BF254" i="32"/>
  <c r="BE255" i="32"/>
  <c r="BF255" i="32"/>
  <c r="BE256" i="32"/>
  <c r="BF256" i="32"/>
  <c r="BE257" i="32"/>
  <c r="BF257" i="32"/>
  <c r="BE258" i="32"/>
  <c r="BF258" i="32"/>
  <c r="BE259" i="32"/>
  <c r="BF259" i="32"/>
  <c r="BE260" i="32"/>
  <c r="BF260" i="32"/>
  <c r="BE261" i="32"/>
  <c r="BF261" i="32"/>
  <c r="BE262" i="32"/>
  <c r="BF262" i="32"/>
  <c r="BE263" i="32"/>
  <c r="BF263" i="32"/>
  <c r="BE264" i="32"/>
  <c r="BF264" i="32"/>
  <c r="BE265" i="32"/>
  <c r="BF265" i="32"/>
  <c r="BE266" i="32"/>
  <c r="BF266" i="32"/>
  <c r="BE267" i="32"/>
  <c r="BF267" i="32"/>
  <c r="BE268" i="32"/>
  <c r="BF268" i="32"/>
  <c r="BE269" i="32"/>
  <c r="BF269" i="32"/>
  <c r="BE270" i="32"/>
  <c r="BF270" i="32"/>
  <c r="BE271" i="32"/>
  <c r="BF271" i="32"/>
  <c r="BE272" i="32"/>
  <c r="BF272" i="32"/>
  <c r="BE273" i="32"/>
  <c r="BF273" i="32"/>
  <c r="BE274" i="32"/>
  <c r="BF274" i="32"/>
  <c r="BE275" i="32"/>
  <c r="BF275" i="32"/>
  <c r="BE276" i="32"/>
  <c r="BF276" i="32"/>
  <c r="BE277" i="32"/>
  <c r="BF277" i="32"/>
  <c r="BE278" i="32"/>
  <c r="BF278" i="32"/>
  <c r="BE279" i="32"/>
  <c r="BF279" i="32"/>
  <c r="BE280" i="32"/>
  <c r="BF280" i="32"/>
  <c r="BE281" i="32"/>
  <c r="BF281" i="32"/>
  <c r="BE282" i="32"/>
  <c r="BF282" i="32"/>
  <c r="BE283" i="32"/>
  <c r="BF283" i="32"/>
  <c r="BE284" i="32"/>
  <c r="BF284" i="32"/>
  <c r="BE285" i="32"/>
  <c r="BF285" i="32"/>
  <c r="BE286" i="32"/>
  <c r="BF286" i="32"/>
  <c r="BE287" i="32"/>
  <c r="BF287" i="32"/>
  <c r="BE288" i="32"/>
  <c r="BF288" i="32"/>
  <c r="BE289" i="32"/>
  <c r="BF289" i="32"/>
  <c r="BE290" i="32"/>
  <c r="BF290" i="32"/>
  <c r="BE291" i="32"/>
  <c r="BF291" i="32"/>
  <c r="BE292" i="32"/>
  <c r="BF292" i="32"/>
  <c r="BE293" i="32"/>
  <c r="BF293" i="32"/>
  <c r="BE294" i="32"/>
  <c r="BF294" i="32"/>
  <c r="BE295" i="32"/>
  <c r="BF295" i="32"/>
  <c r="BE296" i="32"/>
  <c r="BF296" i="32"/>
  <c r="BE297" i="32"/>
  <c r="BF297" i="32"/>
  <c r="BE298" i="32"/>
  <c r="BF298" i="32"/>
  <c r="BE299" i="32"/>
  <c r="BF299" i="32"/>
  <c r="BE300" i="32"/>
  <c r="BF300" i="32"/>
  <c r="BE301" i="32"/>
  <c r="BF301" i="32"/>
  <c r="BE302" i="32"/>
  <c r="BF302" i="32"/>
  <c r="BE303" i="32"/>
  <c r="BF303" i="32"/>
  <c r="BE304" i="32"/>
  <c r="BF304" i="32"/>
  <c r="BE305" i="32"/>
  <c r="BF305" i="32"/>
  <c r="BE306" i="32"/>
  <c r="BF306" i="32"/>
  <c r="BE307" i="32"/>
  <c r="BF307" i="32"/>
  <c r="BE308" i="32"/>
  <c r="BF308" i="32"/>
  <c r="BE309" i="32"/>
  <c r="BF309" i="32"/>
  <c r="BE310" i="32"/>
  <c r="BF310" i="32"/>
  <c r="BE311" i="32"/>
  <c r="BF311" i="32"/>
  <c r="BE312" i="32"/>
  <c r="BF312" i="32"/>
  <c r="BE313" i="32"/>
  <c r="BF313" i="32"/>
  <c r="BE314" i="32"/>
  <c r="BF314" i="32"/>
  <c r="BE315" i="32"/>
  <c r="BF315" i="32"/>
  <c r="BE316" i="32"/>
  <c r="BF316" i="32"/>
  <c r="BE317" i="32"/>
  <c r="BF317" i="32"/>
  <c r="BE318" i="32"/>
  <c r="BF318" i="32"/>
  <c r="BE319" i="32"/>
  <c r="BF319" i="32"/>
  <c r="BE320" i="32"/>
  <c r="BF320" i="32"/>
  <c r="BE321" i="32"/>
  <c r="BF321" i="32"/>
  <c r="BE322" i="32"/>
  <c r="BF322" i="32"/>
  <c r="BE323" i="32"/>
  <c r="BF323" i="32"/>
  <c r="BE324" i="32"/>
  <c r="BF324" i="32"/>
  <c r="BE325" i="32"/>
  <c r="BF325" i="32"/>
  <c r="BE326" i="32"/>
  <c r="BF326" i="32"/>
  <c r="BE327" i="32"/>
  <c r="BF327" i="32"/>
  <c r="BE328" i="32"/>
  <c r="BF328" i="32"/>
  <c r="BE329" i="32"/>
  <c r="BF329" i="32"/>
  <c r="BE330" i="32"/>
  <c r="BF330" i="32"/>
  <c r="BE331" i="32"/>
  <c r="BF331" i="32"/>
  <c r="BE332" i="32"/>
  <c r="BF332" i="32"/>
  <c r="BE333" i="32"/>
  <c r="BF333" i="32"/>
  <c r="BE334" i="32"/>
  <c r="BF334" i="32"/>
  <c r="BE335" i="32"/>
  <c r="BF335" i="32"/>
  <c r="BE336" i="32"/>
  <c r="BF336" i="32"/>
  <c r="BE337" i="32"/>
  <c r="BF337" i="32"/>
  <c r="BE338" i="32"/>
  <c r="BF338" i="32"/>
  <c r="BE339" i="32"/>
  <c r="BF339" i="32"/>
  <c r="BE340" i="32"/>
  <c r="BF340" i="32"/>
  <c r="BE341" i="32"/>
  <c r="BF341" i="32"/>
  <c r="BE342" i="32"/>
  <c r="BF342" i="32"/>
  <c r="BE343" i="32"/>
  <c r="BF343" i="32"/>
  <c r="BE344" i="32"/>
  <c r="BF344" i="32"/>
  <c r="BE345" i="32"/>
  <c r="BF345" i="32"/>
  <c r="BE346" i="32"/>
  <c r="BF346" i="32"/>
  <c r="BE347" i="32"/>
  <c r="BF347" i="32"/>
  <c r="BE348" i="32"/>
  <c r="BF348" i="32"/>
  <c r="BE349" i="32"/>
  <c r="BF349" i="32"/>
  <c r="BE350" i="32"/>
  <c r="BF350" i="32"/>
  <c r="BE351" i="32"/>
  <c r="BF351" i="32"/>
  <c r="BE352" i="32"/>
  <c r="BF352" i="32"/>
  <c r="BE353" i="32"/>
  <c r="BF353" i="32"/>
  <c r="BE354" i="32"/>
  <c r="BF354" i="32"/>
  <c r="BE355" i="32"/>
  <c r="BF355" i="32"/>
  <c r="BE356" i="32"/>
  <c r="BF356" i="32"/>
  <c r="BE357" i="32"/>
  <c r="BF357" i="32"/>
  <c r="BE358" i="32"/>
  <c r="BF358" i="32"/>
  <c r="BE359" i="32"/>
  <c r="BF359" i="32"/>
  <c r="BE360" i="32"/>
  <c r="BF360" i="32"/>
  <c r="BE361" i="32"/>
  <c r="BF361" i="32"/>
  <c r="BE362" i="32"/>
  <c r="BF362" i="32"/>
  <c r="BE363" i="32"/>
  <c r="BF363" i="32"/>
  <c r="BE364" i="32"/>
  <c r="BF364" i="32"/>
  <c r="BE365" i="32"/>
  <c r="BF365" i="32"/>
  <c r="BE366" i="32"/>
  <c r="BF366" i="32"/>
  <c r="BE367" i="32"/>
  <c r="BF367" i="32"/>
  <c r="BE368" i="32"/>
  <c r="BF368" i="32"/>
  <c r="BE369" i="32"/>
  <c r="BF369" i="32"/>
  <c r="BE370" i="32"/>
  <c r="BF370" i="32"/>
  <c r="BE371" i="32"/>
  <c r="BF371" i="32"/>
  <c r="BE372" i="32"/>
  <c r="BF372" i="32"/>
  <c r="BE373" i="32"/>
  <c r="BF373" i="32"/>
  <c r="BE374" i="32"/>
  <c r="BF374" i="32"/>
  <c r="BE375" i="32"/>
  <c r="BF375" i="32"/>
  <c r="BE376" i="32"/>
  <c r="BF376" i="32"/>
  <c r="BE377" i="32"/>
  <c r="BF377" i="32"/>
  <c r="BE378" i="32"/>
  <c r="BF378" i="32"/>
  <c r="BE379" i="32"/>
  <c r="BF379" i="32"/>
  <c r="BE380" i="32"/>
  <c r="BF380" i="32"/>
  <c r="BE381" i="32"/>
  <c r="BF381" i="32"/>
  <c r="BE382" i="32"/>
  <c r="BF382" i="32"/>
  <c r="BE383" i="32"/>
  <c r="BF383" i="32"/>
  <c r="BE384" i="32"/>
  <c r="BF384" i="32"/>
  <c r="BE385" i="32"/>
  <c r="BF385" i="32"/>
  <c r="BE386" i="32"/>
  <c r="BF386" i="32"/>
  <c r="BE387" i="32"/>
  <c r="BF387" i="32"/>
  <c r="BE388" i="32"/>
  <c r="BF388" i="32"/>
  <c r="BE389" i="32"/>
  <c r="BF389" i="32"/>
  <c r="BE390" i="32"/>
  <c r="BF390" i="32"/>
  <c r="BE391" i="32"/>
  <c r="BF391" i="32"/>
  <c r="BE392" i="32"/>
  <c r="BF392" i="32"/>
  <c r="BE393" i="32"/>
  <c r="BF393" i="32"/>
  <c r="BE394" i="32"/>
  <c r="BF394" i="32"/>
  <c r="BE395" i="32"/>
  <c r="BF395" i="32"/>
  <c r="BE396" i="32"/>
  <c r="BF396" i="32"/>
  <c r="BE397" i="32"/>
  <c r="BF397" i="32"/>
  <c r="BE398" i="32"/>
  <c r="BF398" i="32"/>
  <c r="BE399" i="32"/>
  <c r="BF399" i="32"/>
  <c r="BE400" i="32"/>
  <c r="BF400" i="32"/>
  <c r="BE401" i="32"/>
  <c r="BF401" i="32"/>
  <c r="BE402" i="32"/>
  <c r="BF402" i="32"/>
  <c r="BE403" i="32"/>
  <c r="BF403" i="32"/>
  <c r="BE404" i="32"/>
  <c r="BF404" i="32"/>
  <c r="BE405" i="32"/>
  <c r="BF405" i="32"/>
  <c r="BE406" i="32"/>
  <c r="BF406" i="32"/>
  <c r="BE407" i="32"/>
  <c r="BF407" i="32"/>
  <c r="BE408" i="32"/>
  <c r="BF408" i="32"/>
  <c r="BE409" i="32"/>
  <c r="BF409" i="32"/>
  <c r="BE410" i="32"/>
  <c r="BF410" i="32"/>
  <c r="BE411" i="32"/>
  <c r="BF411" i="32"/>
  <c r="BE412" i="32"/>
  <c r="BF412" i="32"/>
  <c r="BE413" i="32"/>
  <c r="BF413" i="32"/>
  <c r="BE414" i="32"/>
  <c r="BF414" i="32"/>
  <c r="BE415" i="32"/>
  <c r="BF415" i="32"/>
  <c r="BE416" i="32"/>
  <c r="BF416" i="32"/>
  <c r="BE417" i="32"/>
  <c r="BF417" i="32"/>
  <c r="BE418" i="32"/>
  <c r="BF418" i="32"/>
  <c r="BE419" i="32"/>
  <c r="BF419" i="32"/>
  <c r="BE420" i="32"/>
  <c r="BF420" i="32"/>
  <c r="BF4" i="32"/>
  <c r="BE4" i="32"/>
  <c r="AV5" i="32"/>
  <c r="AU5" i="32"/>
  <c r="AU4" i="32"/>
  <c r="AU6" i="32"/>
  <c r="AU7" i="32"/>
  <c r="AU8" i="32"/>
  <c r="AU9" i="32"/>
  <c r="AU10" i="32"/>
  <c r="AU11" i="32"/>
  <c r="AU12" i="32"/>
  <c r="AU13" i="32"/>
  <c r="AU14" i="32"/>
  <c r="AU15" i="32"/>
  <c r="AU16" i="32"/>
  <c r="AU17" i="32"/>
  <c r="AU18" i="32"/>
  <c r="AU19" i="32"/>
  <c r="AU20" i="32"/>
  <c r="AU21" i="32"/>
  <c r="AU22" i="32"/>
  <c r="AU23" i="32"/>
  <c r="AU24" i="32"/>
  <c r="AU25" i="32"/>
  <c r="AU26" i="32"/>
  <c r="AU27" i="32"/>
  <c r="AU28" i="32"/>
  <c r="AU29" i="32"/>
  <c r="AU30" i="32"/>
  <c r="AU31" i="32"/>
  <c r="AU32" i="32"/>
  <c r="AU33" i="32"/>
  <c r="AU34" i="32"/>
  <c r="AU35" i="32"/>
  <c r="AU36" i="32"/>
  <c r="AU37" i="32"/>
  <c r="AU38" i="32"/>
  <c r="AU39" i="32"/>
  <c r="AU40" i="32"/>
  <c r="AU41" i="32"/>
  <c r="AU42" i="32"/>
  <c r="AU43" i="32"/>
  <c r="AU44" i="32"/>
  <c r="AU45" i="32"/>
  <c r="AU46" i="32"/>
  <c r="AU47" i="32"/>
  <c r="AU48" i="32"/>
  <c r="AU49" i="32"/>
  <c r="AU50" i="32"/>
  <c r="AU51" i="32"/>
  <c r="AU52" i="32"/>
  <c r="AU53" i="32"/>
  <c r="AU54" i="32"/>
  <c r="AU55" i="32"/>
  <c r="AU56" i="32"/>
  <c r="AU57" i="32"/>
  <c r="AU58" i="32"/>
  <c r="AU59" i="32"/>
  <c r="AU60" i="32"/>
  <c r="AU61" i="32"/>
  <c r="AU62" i="32"/>
  <c r="AU63" i="32"/>
  <c r="AU64" i="32"/>
  <c r="AU65" i="32"/>
  <c r="AU66" i="32"/>
  <c r="AU67" i="32"/>
  <c r="AU68" i="32"/>
  <c r="AU69" i="32"/>
  <c r="AU70" i="32"/>
  <c r="AU71" i="32"/>
  <c r="AU72" i="32"/>
  <c r="AU73" i="32"/>
  <c r="AU74" i="32"/>
  <c r="AU75" i="32"/>
  <c r="AU76" i="32"/>
  <c r="AU77" i="32"/>
  <c r="AU78" i="32"/>
  <c r="AU79" i="32"/>
  <c r="AU80" i="32"/>
  <c r="AU81" i="32"/>
  <c r="AU82" i="32"/>
  <c r="AU83" i="32"/>
  <c r="AU84" i="32"/>
  <c r="AU85" i="32"/>
  <c r="AU86" i="32"/>
  <c r="AU87" i="32"/>
  <c r="AU88" i="32"/>
  <c r="AU89" i="32"/>
  <c r="AU90" i="32"/>
  <c r="AU91" i="32"/>
  <c r="AU92" i="32"/>
  <c r="AU93" i="32"/>
  <c r="AU94" i="32"/>
  <c r="AU95" i="32"/>
  <c r="AU96" i="32"/>
  <c r="AU97" i="32"/>
  <c r="AU98" i="32"/>
  <c r="AU99" i="32"/>
  <c r="AU100" i="32"/>
  <c r="AU101" i="32"/>
  <c r="AU102" i="32"/>
  <c r="AU103" i="32"/>
  <c r="AU104" i="32"/>
  <c r="AU105" i="32"/>
  <c r="AU106" i="32"/>
  <c r="AU107" i="32"/>
  <c r="AU108" i="32"/>
  <c r="AU109" i="32"/>
  <c r="AU110" i="32"/>
  <c r="AU111" i="32"/>
  <c r="AU112" i="32"/>
  <c r="AU113" i="32"/>
  <c r="AU114" i="32"/>
  <c r="AU115" i="32"/>
  <c r="AU116" i="32"/>
  <c r="AU117" i="32"/>
  <c r="AU118" i="32"/>
  <c r="AU119" i="32"/>
  <c r="AU120" i="32"/>
  <c r="AU121" i="32"/>
  <c r="AU122" i="32"/>
  <c r="AU123" i="32"/>
  <c r="AU124" i="32"/>
  <c r="AU125" i="32"/>
  <c r="AU126" i="32"/>
  <c r="AU127" i="32"/>
  <c r="AU128" i="32"/>
  <c r="AU129" i="32"/>
  <c r="AU130" i="32"/>
  <c r="AU131" i="32"/>
  <c r="AU132" i="32"/>
  <c r="AU133" i="32"/>
  <c r="AU134" i="32"/>
  <c r="AU135" i="32"/>
  <c r="AU136" i="32"/>
  <c r="AU137" i="32"/>
  <c r="AU138" i="32"/>
  <c r="AU139" i="32"/>
  <c r="AU140" i="32"/>
  <c r="AU141" i="32"/>
  <c r="AU142" i="32"/>
  <c r="AU143" i="32"/>
  <c r="AU144" i="32"/>
  <c r="AU145" i="32"/>
  <c r="AU146" i="32"/>
  <c r="AU147" i="32"/>
  <c r="AU148" i="32"/>
  <c r="AU149" i="32"/>
  <c r="AU150" i="32"/>
  <c r="AU151" i="32"/>
  <c r="AU152" i="32"/>
  <c r="AU153" i="32"/>
  <c r="AU154" i="32"/>
  <c r="AU155" i="32"/>
  <c r="AU156" i="32"/>
  <c r="AU157" i="32"/>
  <c r="AU158" i="32"/>
  <c r="AU159" i="32"/>
  <c r="AU160" i="32"/>
  <c r="AU161" i="32"/>
  <c r="AU162" i="32"/>
  <c r="AU163" i="32"/>
  <c r="AU164" i="32"/>
  <c r="AU165" i="32"/>
  <c r="AU166" i="32"/>
  <c r="AU167" i="32"/>
  <c r="AU168" i="32"/>
  <c r="AU169" i="32"/>
  <c r="AU170" i="32"/>
  <c r="AU171" i="32"/>
  <c r="AU172" i="32"/>
  <c r="AU173" i="32"/>
  <c r="AU174" i="32"/>
  <c r="AU175" i="32"/>
  <c r="AU176" i="32"/>
  <c r="AU177" i="32"/>
  <c r="AU178" i="32"/>
  <c r="AU179" i="32"/>
  <c r="AU180" i="32"/>
  <c r="AU181" i="32"/>
  <c r="AU182" i="32"/>
  <c r="AU183" i="32"/>
  <c r="AU184" i="32"/>
  <c r="AU185" i="32"/>
  <c r="AU186" i="32"/>
  <c r="AU187" i="32"/>
  <c r="AU188" i="32"/>
  <c r="AU189" i="32"/>
  <c r="AU190" i="32"/>
  <c r="AU191" i="32"/>
  <c r="AU192" i="32"/>
  <c r="AU193" i="32"/>
  <c r="AU194" i="32"/>
  <c r="AU195" i="32"/>
  <c r="AU196" i="32"/>
  <c r="AU197" i="32"/>
  <c r="AU198" i="32"/>
  <c r="AU199" i="32"/>
  <c r="AU200" i="32"/>
  <c r="AU201" i="32"/>
  <c r="AU202" i="32"/>
  <c r="AU203" i="32"/>
  <c r="AU204" i="32"/>
  <c r="AU205" i="32"/>
  <c r="AU206" i="32"/>
  <c r="AU207" i="32"/>
  <c r="AU208" i="32"/>
  <c r="AU209" i="32"/>
  <c r="AU210" i="32"/>
  <c r="AU211" i="32"/>
  <c r="AU212" i="32"/>
  <c r="AU213" i="32"/>
  <c r="AU214" i="32"/>
  <c r="AU215" i="32"/>
  <c r="AU216" i="32"/>
  <c r="AU217" i="32"/>
  <c r="AU218" i="32"/>
  <c r="AU219" i="32"/>
  <c r="AU220" i="32"/>
  <c r="AU221" i="32"/>
  <c r="AU222" i="32"/>
  <c r="AU223" i="32"/>
  <c r="AU224" i="32"/>
  <c r="AU225" i="32"/>
  <c r="AU226" i="32"/>
  <c r="AU227" i="32"/>
  <c r="AU228" i="32"/>
  <c r="AU229" i="32"/>
  <c r="AU230" i="32"/>
  <c r="AU231" i="32"/>
  <c r="AU232" i="32"/>
  <c r="AU233" i="32"/>
  <c r="AU234" i="32"/>
  <c r="AU235" i="32"/>
  <c r="AU236" i="32"/>
  <c r="AU237" i="32"/>
  <c r="AU238" i="32"/>
  <c r="AU239" i="32"/>
  <c r="AU240" i="32"/>
  <c r="AU241" i="32"/>
  <c r="AU242" i="32"/>
  <c r="AU243" i="32"/>
  <c r="AU244" i="32"/>
  <c r="AU245" i="32"/>
  <c r="AU246" i="32"/>
  <c r="AU247" i="32"/>
  <c r="AU248" i="32"/>
  <c r="AU249" i="32"/>
  <c r="AU250" i="32"/>
  <c r="AU251" i="32"/>
  <c r="AU252" i="32"/>
  <c r="AU253" i="32"/>
  <c r="AU254" i="32"/>
  <c r="AU255" i="32"/>
  <c r="AU256" i="32"/>
  <c r="AU257" i="32"/>
  <c r="AU258" i="32"/>
  <c r="AU259" i="32"/>
  <c r="AU260" i="32"/>
  <c r="AU261" i="32"/>
  <c r="AU262" i="32"/>
  <c r="AU263" i="32"/>
  <c r="AU264" i="32"/>
  <c r="AU265" i="32"/>
  <c r="AU266" i="32"/>
  <c r="AU267" i="32"/>
  <c r="AU268" i="32"/>
  <c r="AU269" i="32"/>
  <c r="AU270" i="32"/>
  <c r="AU271" i="32"/>
  <c r="AU272" i="32"/>
  <c r="AU273" i="32"/>
  <c r="AU274" i="32"/>
  <c r="AU275" i="32"/>
  <c r="AU276" i="32"/>
  <c r="AU277" i="32"/>
  <c r="AU278" i="32"/>
  <c r="AU279" i="32"/>
  <c r="AU280" i="32"/>
  <c r="AU281" i="32"/>
  <c r="AU282" i="32"/>
  <c r="AU283" i="32"/>
  <c r="AU284" i="32"/>
  <c r="AU285" i="32"/>
  <c r="AU286" i="32"/>
  <c r="AU287" i="32"/>
  <c r="AU288" i="32"/>
  <c r="AU289" i="32"/>
  <c r="AU290" i="32"/>
  <c r="AU291" i="32"/>
  <c r="AU292" i="32"/>
  <c r="AU293" i="32"/>
  <c r="AU294" i="32"/>
  <c r="AU295" i="32"/>
  <c r="AU296" i="32"/>
  <c r="AU297" i="32"/>
  <c r="AU298" i="32"/>
  <c r="AU299" i="32"/>
  <c r="AU300" i="32"/>
  <c r="AU301" i="32"/>
  <c r="AU302" i="32"/>
  <c r="AU303" i="32"/>
  <c r="AU304" i="32"/>
  <c r="AU305" i="32"/>
  <c r="AU306" i="32"/>
  <c r="AU307" i="32"/>
  <c r="AU308" i="32"/>
  <c r="AU309" i="32"/>
  <c r="AU310" i="32"/>
  <c r="AU311" i="32"/>
  <c r="AU312" i="32"/>
  <c r="AU313" i="32"/>
  <c r="AU314" i="32"/>
  <c r="AU315" i="32"/>
  <c r="AU316" i="32"/>
  <c r="AU317" i="32"/>
  <c r="AU318" i="32"/>
  <c r="AU319" i="32"/>
  <c r="AU320" i="32"/>
  <c r="AU321" i="32"/>
  <c r="AU322" i="32"/>
  <c r="AU323" i="32"/>
  <c r="AU324" i="32"/>
  <c r="AU325" i="32"/>
  <c r="AU326" i="32"/>
  <c r="AU327" i="32"/>
  <c r="AU328" i="32"/>
  <c r="AU329" i="32"/>
  <c r="AU330" i="32"/>
  <c r="AU331" i="32"/>
  <c r="AU332" i="32"/>
  <c r="AU333" i="32"/>
  <c r="AU334" i="32"/>
  <c r="AU335" i="32"/>
  <c r="AU336" i="32"/>
  <c r="AU337" i="32"/>
  <c r="AU338" i="32"/>
  <c r="AU339" i="32"/>
  <c r="AU340" i="32"/>
  <c r="AU341" i="32"/>
  <c r="AU342" i="32"/>
  <c r="AU343" i="32"/>
  <c r="AU344" i="32"/>
  <c r="AW5" i="32"/>
  <c r="AV6" i="32"/>
  <c r="AW6" i="32"/>
  <c r="AV7" i="32"/>
  <c r="AW7" i="32"/>
  <c r="AV8" i="32"/>
  <c r="AW8" i="32"/>
  <c r="AV9" i="32"/>
  <c r="AW9" i="32"/>
  <c r="AV10" i="32"/>
  <c r="AW10" i="32"/>
  <c r="AV11" i="32"/>
  <c r="AW11" i="32"/>
  <c r="AV12" i="32"/>
  <c r="AW12" i="32"/>
  <c r="AV13" i="32"/>
  <c r="AW13" i="32"/>
  <c r="AV14" i="32"/>
  <c r="AW14" i="32"/>
  <c r="AV15" i="32"/>
  <c r="AW15" i="32"/>
  <c r="AV16" i="32"/>
  <c r="AW16" i="32"/>
  <c r="AV17" i="32"/>
  <c r="AW17" i="32"/>
  <c r="AV18" i="32"/>
  <c r="AW18" i="32"/>
  <c r="AV19" i="32"/>
  <c r="AW19" i="32"/>
  <c r="AV20" i="32"/>
  <c r="AW20" i="32"/>
  <c r="AV21" i="32"/>
  <c r="AW21" i="32"/>
  <c r="AV22" i="32"/>
  <c r="AW22" i="32"/>
  <c r="AV23" i="32"/>
  <c r="AW23" i="32"/>
  <c r="AV24" i="32"/>
  <c r="AW24" i="32"/>
  <c r="AV25" i="32"/>
  <c r="AW25" i="32"/>
  <c r="AV26" i="32"/>
  <c r="AW26" i="32"/>
  <c r="AV27" i="32"/>
  <c r="AW27" i="32"/>
  <c r="AV28" i="32"/>
  <c r="AW28" i="32"/>
  <c r="AV29" i="32"/>
  <c r="AW29" i="32"/>
  <c r="AV30" i="32"/>
  <c r="AW30" i="32"/>
  <c r="AV31" i="32"/>
  <c r="AW31" i="32"/>
  <c r="AV32" i="32"/>
  <c r="AW32" i="32"/>
  <c r="AV33" i="32"/>
  <c r="AW33" i="32"/>
  <c r="AV34" i="32"/>
  <c r="AW34" i="32"/>
  <c r="AV35" i="32"/>
  <c r="AW35" i="32"/>
  <c r="AV36" i="32"/>
  <c r="AW36" i="32"/>
  <c r="AV37" i="32"/>
  <c r="AW37" i="32"/>
  <c r="AV38" i="32"/>
  <c r="AW38" i="32"/>
  <c r="AV39" i="32"/>
  <c r="AW39" i="32"/>
  <c r="AV40" i="32"/>
  <c r="AW40" i="32"/>
  <c r="AV41" i="32"/>
  <c r="AW41" i="32"/>
  <c r="AV42" i="32"/>
  <c r="AW42" i="32"/>
  <c r="AV43" i="32"/>
  <c r="AW43" i="32"/>
  <c r="AV44" i="32"/>
  <c r="AW44" i="32"/>
  <c r="AV45" i="32"/>
  <c r="AW45" i="32"/>
  <c r="AV46" i="32"/>
  <c r="AW46" i="32"/>
  <c r="AV47" i="32"/>
  <c r="AW47" i="32"/>
  <c r="AV48" i="32"/>
  <c r="AW48" i="32"/>
  <c r="AV49" i="32"/>
  <c r="AW49" i="32"/>
  <c r="AV50" i="32"/>
  <c r="AW50" i="32"/>
  <c r="AV51" i="32"/>
  <c r="AW51" i="32"/>
  <c r="AV52" i="32"/>
  <c r="AW52" i="32"/>
  <c r="AV53" i="32"/>
  <c r="AW53" i="32"/>
  <c r="AV54" i="32"/>
  <c r="AW54" i="32"/>
  <c r="AV55" i="32"/>
  <c r="AW55" i="32"/>
  <c r="AV56" i="32"/>
  <c r="AW56" i="32"/>
  <c r="AV57" i="32"/>
  <c r="AW57" i="32"/>
  <c r="AV58" i="32"/>
  <c r="AW58" i="32"/>
  <c r="AV59" i="32"/>
  <c r="AW59" i="32"/>
  <c r="AV60" i="32"/>
  <c r="AW60" i="32"/>
  <c r="AV61" i="32"/>
  <c r="AW61" i="32"/>
  <c r="AV62" i="32"/>
  <c r="AW62" i="32"/>
  <c r="AV63" i="32"/>
  <c r="AW63" i="32"/>
  <c r="AV64" i="32"/>
  <c r="AW64" i="32"/>
  <c r="AV65" i="32"/>
  <c r="AW65" i="32"/>
  <c r="AV66" i="32"/>
  <c r="AW66" i="32"/>
  <c r="AV67" i="32"/>
  <c r="AW67" i="32"/>
  <c r="AV68" i="32"/>
  <c r="AW68" i="32"/>
  <c r="AV69" i="32"/>
  <c r="AW69" i="32"/>
  <c r="AV70" i="32"/>
  <c r="AW70" i="32"/>
  <c r="AV71" i="32"/>
  <c r="AW71" i="32"/>
  <c r="AV72" i="32"/>
  <c r="AW72" i="32"/>
  <c r="AV73" i="32"/>
  <c r="AW73" i="32"/>
  <c r="AV74" i="32"/>
  <c r="AW74" i="32"/>
  <c r="AV75" i="32"/>
  <c r="AW75" i="32"/>
  <c r="AV76" i="32"/>
  <c r="AW76" i="32"/>
  <c r="AV77" i="32"/>
  <c r="AW77" i="32"/>
  <c r="AV78" i="32"/>
  <c r="AW78" i="32"/>
  <c r="AV79" i="32"/>
  <c r="AW79" i="32"/>
  <c r="AV80" i="32"/>
  <c r="AW80" i="32"/>
  <c r="AV81" i="32"/>
  <c r="AW81" i="32"/>
  <c r="AV82" i="32"/>
  <c r="AW82" i="32"/>
  <c r="AV83" i="32"/>
  <c r="AW83" i="32"/>
  <c r="AV84" i="32"/>
  <c r="AW84" i="32"/>
  <c r="AV85" i="32"/>
  <c r="AW85" i="32"/>
  <c r="AV86" i="32"/>
  <c r="AW86" i="32"/>
  <c r="AV87" i="32"/>
  <c r="AW87" i="32"/>
  <c r="AV88" i="32"/>
  <c r="AW88" i="32"/>
  <c r="AV89" i="32"/>
  <c r="AW89" i="32"/>
  <c r="AV90" i="32"/>
  <c r="AW90" i="32"/>
  <c r="AV91" i="32"/>
  <c r="AW91" i="32"/>
  <c r="AV92" i="32"/>
  <c r="AW92" i="32"/>
  <c r="AV93" i="32"/>
  <c r="AW93" i="32"/>
  <c r="AV94" i="32"/>
  <c r="AW94" i="32"/>
  <c r="AV95" i="32"/>
  <c r="AW95" i="32"/>
  <c r="AV96" i="32"/>
  <c r="AW96" i="32"/>
  <c r="AV97" i="32"/>
  <c r="AW97" i="32"/>
  <c r="AV98" i="32"/>
  <c r="AW98" i="32"/>
  <c r="AV99" i="32"/>
  <c r="AW99" i="32"/>
  <c r="AV100" i="32"/>
  <c r="AW100" i="32"/>
  <c r="AV101" i="32"/>
  <c r="AW101" i="32"/>
  <c r="AV102" i="32"/>
  <c r="AW102" i="32"/>
  <c r="AV103" i="32"/>
  <c r="AW103" i="32"/>
  <c r="AV104" i="32"/>
  <c r="AW104" i="32"/>
  <c r="AV105" i="32"/>
  <c r="AW105" i="32"/>
  <c r="AV106" i="32"/>
  <c r="AW106" i="32"/>
  <c r="AV107" i="32"/>
  <c r="AW107" i="32"/>
  <c r="AV108" i="32"/>
  <c r="AW108" i="32"/>
  <c r="AV109" i="32"/>
  <c r="AW109" i="32"/>
  <c r="AV110" i="32"/>
  <c r="AW110" i="32"/>
  <c r="AV111" i="32"/>
  <c r="AW111" i="32"/>
  <c r="AV112" i="32"/>
  <c r="AW112" i="32"/>
  <c r="AV113" i="32"/>
  <c r="AW113" i="32"/>
  <c r="AV114" i="32"/>
  <c r="AW114" i="32"/>
  <c r="AV115" i="32"/>
  <c r="AW115" i="32"/>
  <c r="AV116" i="32"/>
  <c r="AW116" i="32"/>
  <c r="AV117" i="32"/>
  <c r="AW117" i="32"/>
  <c r="AV118" i="32"/>
  <c r="AW118" i="32"/>
  <c r="AV119" i="32"/>
  <c r="AW119" i="32"/>
  <c r="AV120" i="32"/>
  <c r="AW120" i="32"/>
  <c r="AV121" i="32"/>
  <c r="AW121" i="32"/>
  <c r="AV122" i="32"/>
  <c r="AW122" i="32"/>
  <c r="AV123" i="32"/>
  <c r="AW123" i="32"/>
  <c r="AV124" i="32"/>
  <c r="AW124" i="32"/>
  <c r="AV125" i="32"/>
  <c r="AW125" i="32"/>
  <c r="AV126" i="32"/>
  <c r="AW126" i="32"/>
  <c r="AV127" i="32"/>
  <c r="AW127" i="32"/>
  <c r="AV128" i="32"/>
  <c r="AW128" i="32"/>
  <c r="AV129" i="32"/>
  <c r="AW129" i="32"/>
  <c r="AV130" i="32"/>
  <c r="AW130" i="32"/>
  <c r="AV131" i="32"/>
  <c r="AW131" i="32"/>
  <c r="AV132" i="32"/>
  <c r="AW132" i="32"/>
  <c r="AV133" i="32"/>
  <c r="AW133" i="32"/>
  <c r="AV134" i="32"/>
  <c r="AW134" i="32"/>
  <c r="AV135" i="32"/>
  <c r="AW135" i="32"/>
  <c r="AV136" i="32"/>
  <c r="AW136" i="32"/>
  <c r="AV137" i="32"/>
  <c r="AW137" i="32"/>
  <c r="AV138" i="32"/>
  <c r="AW138" i="32"/>
  <c r="AV139" i="32"/>
  <c r="AW139" i="32"/>
  <c r="AV140" i="32"/>
  <c r="AW140" i="32"/>
  <c r="AV141" i="32"/>
  <c r="AW141" i="32"/>
  <c r="AV142" i="32"/>
  <c r="AW142" i="32"/>
  <c r="AV143" i="32"/>
  <c r="AW143" i="32"/>
  <c r="AV144" i="32"/>
  <c r="AW144" i="32"/>
  <c r="AV145" i="32"/>
  <c r="AW145" i="32"/>
  <c r="AV146" i="32"/>
  <c r="AW146" i="32"/>
  <c r="AV147" i="32"/>
  <c r="AW147" i="32"/>
  <c r="AV148" i="32"/>
  <c r="AW148" i="32"/>
  <c r="AV149" i="32"/>
  <c r="AW149" i="32"/>
  <c r="AV150" i="32"/>
  <c r="AW150" i="32"/>
  <c r="AV151" i="32"/>
  <c r="AW151" i="32"/>
  <c r="AV152" i="32"/>
  <c r="AW152" i="32"/>
  <c r="AV153" i="32"/>
  <c r="AW153" i="32"/>
  <c r="AV154" i="32"/>
  <c r="AW154" i="32"/>
  <c r="AV155" i="32"/>
  <c r="AW155" i="32"/>
  <c r="AV156" i="32"/>
  <c r="AW156" i="32"/>
  <c r="AV157" i="32"/>
  <c r="AW157" i="32"/>
  <c r="AV158" i="32"/>
  <c r="AW158" i="32"/>
  <c r="AV159" i="32"/>
  <c r="AW159" i="32"/>
  <c r="AV160" i="32"/>
  <c r="AW160" i="32"/>
  <c r="AV161" i="32"/>
  <c r="AW161" i="32"/>
  <c r="AV162" i="32"/>
  <c r="AW162" i="32"/>
  <c r="AV163" i="32"/>
  <c r="AW163" i="32"/>
  <c r="AV164" i="32"/>
  <c r="AW164" i="32"/>
  <c r="AV165" i="32"/>
  <c r="AW165" i="32"/>
  <c r="AV166" i="32"/>
  <c r="AW166" i="32"/>
  <c r="AV167" i="32"/>
  <c r="AW167" i="32"/>
  <c r="AV168" i="32"/>
  <c r="AW168" i="32"/>
  <c r="AV169" i="32"/>
  <c r="AW169" i="32"/>
  <c r="AV170" i="32"/>
  <c r="AW170" i="32"/>
  <c r="AV171" i="32"/>
  <c r="AW171" i="32"/>
  <c r="AV172" i="32"/>
  <c r="AW172" i="32"/>
  <c r="AV173" i="32"/>
  <c r="AW173" i="32"/>
  <c r="AV174" i="32"/>
  <c r="AW174" i="32"/>
  <c r="AV175" i="32"/>
  <c r="AW175" i="32"/>
  <c r="AV176" i="32"/>
  <c r="AW176" i="32"/>
  <c r="AV177" i="32"/>
  <c r="AW177" i="32"/>
  <c r="AV178" i="32"/>
  <c r="AW178" i="32"/>
  <c r="AV179" i="32"/>
  <c r="AW179" i="32"/>
  <c r="AV180" i="32"/>
  <c r="AW180" i="32"/>
  <c r="AV181" i="32"/>
  <c r="AW181" i="32"/>
  <c r="AV182" i="32"/>
  <c r="AW182" i="32"/>
  <c r="AV183" i="32"/>
  <c r="AW183" i="32"/>
  <c r="AV184" i="32"/>
  <c r="AW184" i="32"/>
  <c r="AV185" i="32"/>
  <c r="AW185" i="32"/>
  <c r="AV186" i="32"/>
  <c r="AW186" i="32"/>
  <c r="AV187" i="32"/>
  <c r="AW187" i="32"/>
  <c r="AV188" i="32"/>
  <c r="AW188" i="32"/>
  <c r="AV189" i="32"/>
  <c r="AW189" i="32"/>
  <c r="AV190" i="32"/>
  <c r="AW190" i="32"/>
  <c r="AV191" i="32"/>
  <c r="AW191" i="32"/>
  <c r="AV192" i="32"/>
  <c r="AW192" i="32"/>
  <c r="AV193" i="32"/>
  <c r="AW193" i="32"/>
  <c r="AV194" i="32"/>
  <c r="AW194" i="32"/>
  <c r="AV195" i="32"/>
  <c r="AW195" i="32"/>
  <c r="AV196" i="32"/>
  <c r="AW196" i="32"/>
  <c r="AV197" i="32"/>
  <c r="AW197" i="32"/>
  <c r="AV198" i="32"/>
  <c r="AW198" i="32"/>
  <c r="AV199" i="32"/>
  <c r="AW199" i="32"/>
  <c r="AV200" i="32"/>
  <c r="AW200" i="32"/>
  <c r="AV201" i="32"/>
  <c r="AW201" i="32"/>
  <c r="AV202" i="32"/>
  <c r="AW202" i="32"/>
  <c r="AV203" i="32"/>
  <c r="AW203" i="32"/>
  <c r="AV204" i="32"/>
  <c r="AW204" i="32"/>
  <c r="AV205" i="32"/>
  <c r="AW205" i="32"/>
  <c r="AV206" i="32"/>
  <c r="AW206" i="32"/>
  <c r="AV207" i="32"/>
  <c r="AW207" i="32"/>
  <c r="AV208" i="32"/>
  <c r="AW208" i="32"/>
  <c r="AV209" i="32"/>
  <c r="AW209" i="32"/>
  <c r="AV210" i="32"/>
  <c r="AW210" i="32"/>
  <c r="AV211" i="32"/>
  <c r="AW211" i="32"/>
  <c r="AV212" i="32"/>
  <c r="AW212" i="32"/>
  <c r="AV213" i="32"/>
  <c r="AW213" i="32"/>
  <c r="AV214" i="32"/>
  <c r="AW214" i="32"/>
  <c r="AV215" i="32"/>
  <c r="AW215" i="32"/>
  <c r="AV216" i="32"/>
  <c r="AW216" i="32"/>
  <c r="AV217" i="32"/>
  <c r="AW217" i="32"/>
  <c r="AV218" i="32"/>
  <c r="AW218" i="32"/>
  <c r="AV219" i="32"/>
  <c r="AW219" i="32"/>
  <c r="AV220" i="32"/>
  <c r="AW220" i="32"/>
  <c r="AV221" i="32"/>
  <c r="AW221" i="32"/>
  <c r="AV222" i="32"/>
  <c r="AW222" i="32"/>
  <c r="AV223" i="32"/>
  <c r="AW223" i="32"/>
  <c r="AV224" i="32"/>
  <c r="AW224" i="32"/>
  <c r="AV225" i="32"/>
  <c r="AW225" i="32"/>
  <c r="AV226" i="32"/>
  <c r="AW226" i="32"/>
  <c r="AV227" i="32"/>
  <c r="AW227" i="32"/>
  <c r="AV228" i="32"/>
  <c r="AW228" i="32"/>
  <c r="AV229" i="32"/>
  <c r="AW229" i="32"/>
  <c r="AV230" i="32"/>
  <c r="AW230" i="32"/>
  <c r="AV231" i="32"/>
  <c r="AW231" i="32"/>
  <c r="AV232" i="32"/>
  <c r="AW232" i="32"/>
  <c r="AV233" i="32"/>
  <c r="AW233" i="32"/>
  <c r="AV234" i="32"/>
  <c r="AW234" i="32"/>
  <c r="AV235" i="32"/>
  <c r="AW235" i="32"/>
  <c r="AV236" i="32"/>
  <c r="AW236" i="32"/>
  <c r="AV237" i="32"/>
  <c r="AW237" i="32"/>
  <c r="AV238" i="32"/>
  <c r="AW238" i="32"/>
  <c r="AV239" i="32"/>
  <c r="AW239" i="32"/>
  <c r="AV240" i="32"/>
  <c r="AW240" i="32"/>
  <c r="AV241" i="32"/>
  <c r="AW241" i="32"/>
  <c r="AV242" i="32"/>
  <c r="AW242" i="32"/>
  <c r="AV243" i="32"/>
  <c r="AW243" i="32"/>
  <c r="AV244" i="32"/>
  <c r="AW244" i="32"/>
  <c r="AV245" i="32"/>
  <c r="AW245" i="32"/>
  <c r="AV246" i="32"/>
  <c r="AW246" i="32"/>
  <c r="AV247" i="32"/>
  <c r="AW247" i="32"/>
  <c r="AV248" i="32"/>
  <c r="AW248" i="32"/>
  <c r="AV249" i="32"/>
  <c r="AW249" i="32"/>
  <c r="AV250" i="32"/>
  <c r="AW250" i="32"/>
  <c r="AV251" i="32"/>
  <c r="AW251" i="32"/>
  <c r="AV252" i="32"/>
  <c r="AW252" i="32"/>
  <c r="AV253" i="32"/>
  <c r="AW253" i="32"/>
  <c r="AV254" i="32"/>
  <c r="AW254" i="32"/>
  <c r="AV255" i="32"/>
  <c r="AW255" i="32"/>
  <c r="AV256" i="32"/>
  <c r="AW256" i="32"/>
  <c r="AV257" i="32"/>
  <c r="AW257" i="32"/>
  <c r="AV258" i="32"/>
  <c r="AW258" i="32"/>
  <c r="AV259" i="32"/>
  <c r="AW259" i="32"/>
  <c r="AV260" i="32"/>
  <c r="AW260" i="32"/>
  <c r="AV261" i="32"/>
  <c r="AW261" i="32"/>
  <c r="AV262" i="32"/>
  <c r="AW262" i="32"/>
  <c r="AV263" i="32"/>
  <c r="AW263" i="32"/>
  <c r="AV264" i="32"/>
  <c r="AW264" i="32"/>
  <c r="AV265" i="32"/>
  <c r="AW265" i="32"/>
  <c r="AV266" i="32"/>
  <c r="AW266" i="32"/>
  <c r="AV267" i="32"/>
  <c r="AW267" i="32"/>
  <c r="AV268" i="32"/>
  <c r="AW268" i="32"/>
  <c r="AV269" i="32"/>
  <c r="AW269" i="32"/>
  <c r="AV270" i="32"/>
  <c r="AW270" i="32"/>
  <c r="AV271" i="32"/>
  <c r="AW271" i="32"/>
  <c r="AV272" i="32"/>
  <c r="AW272" i="32"/>
  <c r="AV273" i="32"/>
  <c r="AW273" i="32"/>
  <c r="AV274" i="32"/>
  <c r="AW274" i="32"/>
  <c r="AV275" i="32"/>
  <c r="AW275" i="32"/>
  <c r="AV276" i="32"/>
  <c r="AW276" i="32"/>
  <c r="AV277" i="32"/>
  <c r="AW277" i="32"/>
  <c r="AV278" i="32"/>
  <c r="AW278" i="32"/>
  <c r="AV279" i="32"/>
  <c r="AW279" i="32"/>
  <c r="AV280" i="32"/>
  <c r="AW280" i="32"/>
  <c r="AV281" i="32"/>
  <c r="AW281" i="32"/>
  <c r="AV282" i="32"/>
  <c r="AW282" i="32"/>
  <c r="AV283" i="32"/>
  <c r="AW283" i="32"/>
  <c r="AV284" i="32"/>
  <c r="AW284" i="32"/>
  <c r="AV285" i="32"/>
  <c r="AW285" i="32"/>
  <c r="AV286" i="32"/>
  <c r="AW286" i="32"/>
  <c r="AV287" i="32"/>
  <c r="AW287" i="32"/>
  <c r="AV288" i="32"/>
  <c r="AW288" i="32"/>
  <c r="AV289" i="32"/>
  <c r="AW289" i="32"/>
  <c r="AV290" i="32"/>
  <c r="AW290" i="32"/>
  <c r="AV291" i="32"/>
  <c r="AW291" i="32"/>
  <c r="AV292" i="32"/>
  <c r="AW292" i="32"/>
  <c r="AV293" i="32"/>
  <c r="AW293" i="32"/>
  <c r="AV294" i="32"/>
  <c r="AW294" i="32"/>
  <c r="AV295" i="32"/>
  <c r="AW295" i="32"/>
  <c r="AV296" i="32"/>
  <c r="AW296" i="32"/>
  <c r="AV297" i="32"/>
  <c r="AW297" i="32"/>
  <c r="AV298" i="32"/>
  <c r="AW298" i="32"/>
  <c r="AV299" i="32"/>
  <c r="AW299" i="32"/>
  <c r="AV300" i="32"/>
  <c r="AW300" i="32"/>
  <c r="AV301" i="32"/>
  <c r="AW301" i="32"/>
  <c r="AV302" i="32"/>
  <c r="AW302" i="32"/>
  <c r="AV303" i="32"/>
  <c r="AW303" i="32"/>
  <c r="AV304" i="32"/>
  <c r="AW304" i="32"/>
  <c r="AV305" i="32"/>
  <c r="AW305" i="32"/>
  <c r="AV306" i="32"/>
  <c r="AW306" i="32"/>
  <c r="AV307" i="32"/>
  <c r="AW307" i="32"/>
  <c r="AV308" i="32"/>
  <c r="AW308" i="32"/>
  <c r="AV309" i="32"/>
  <c r="AW309" i="32"/>
  <c r="AV310" i="32"/>
  <c r="AW310" i="32"/>
  <c r="AV311" i="32"/>
  <c r="AW311" i="32"/>
  <c r="AV312" i="32"/>
  <c r="AW312" i="32"/>
  <c r="AV313" i="32"/>
  <c r="AW313" i="32"/>
  <c r="AV314" i="32"/>
  <c r="AW314" i="32"/>
  <c r="AV315" i="32"/>
  <c r="AW315" i="32"/>
  <c r="AV316" i="32"/>
  <c r="AW316" i="32"/>
  <c r="AV317" i="32"/>
  <c r="AW317" i="32"/>
  <c r="AV318" i="32"/>
  <c r="AW318" i="32"/>
  <c r="AV319" i="32"/>
  <c r="AW319" i="32"/>
  <c r="AV320" i="32"/>
  <c r="AW320" i="32"/>
  <c r="AV321" i="32"/>
  <c r="AW321" i="32"/>
  <c r="AV322" i="32"/>
  <c r="AW322" i="32"/>
  <c r="AV323" i="32"/>
  <c r="AW323" i="32"/>
  <c r="AV324" i="32"/>
  <c r="AW324" i="32"/>
  <c r="AV325" i="32"/>
  <c r="AW325" i="32"/>
  <c r="AV326" i="32"/>
  <c r="AW326" i="32"/>
  <c r="AV327" i="32"/>
  <c r="AW327" i="32"/>
  <c r="AV328" i="32"/>
  <c r="AW328" i="32"/>
  <c r="AV329" i="32"/>
  <c r="AW329" i="32"/>
  <c r="AV330" i="32"/>
  <c r="AW330" i="32"/>
  <c r="AV331" i="32"/>
  <c r="AW331" i="32"/>
  <c r="AV332" i="32"/>
  <c r="AW332" i="32"/>
  <c r="AV333" i="32"/>
  <c r="AW333" i="32"/>
  <c r="AV334" i="32"/>
  <c r="AW334" i="32"/>
  <c r="AV335" i="32"/>
  <c r="AW335" i="32"/>
  <c r="AV336" i="32"/>
  <c r="AW336" i="32"/>
  <c r="AV337" i="32"/>
  <c r="AW337" i="32"/>
  <c r="AV338" i="32"/>
  <c r="AW338" i="32"/>
  <c r="AV339" i="32"/>
  <c r="AW339" i="32"/>
  <c r="AV340" i="32"/>
  <c r="AW340" i="32"/>
  <c r="AV341" i="32"/>
  <c r="AW341" i="32"/>
  <c r="AV342" i="32"/>
  <c r="AW342" i="32"/>
  <c r="AV343" i="32"/>
  <c r="AW343" i="32"/>
  <c r="AV344" i="32"/>
  <c r="AW344" i="32"/>
  <c r="AW4" i="32"/>
  <c r="AV4" i="32"/>
  <c r="C5" i="32"/>
  <c r="C4" i="32"/>
  <c r="C6" i="32"/>
  <c r="C7" i="32"/>
  <c r="C8" i="32"/>
  <c r="C9" i="32"/>
  <c r="C10" i="32"/>
  <c r="C11" i="32"/>
  <c r="C12" i="32"/>
  <c r="C13" i="32"/>
  <c r="C14" i="32"/>
  <c r="C15" i="32"/>
  <c r="C16" i="32"/>
  <c r="C17" i="32"/>
  <c r="C18" i="32"/>
  <c r="C19" i="32"/>
  <c r="C20" i="32"/>
  <c r="C21" i="32"/>
  <c r="C22" i="32"/>
  <c r="C23" i="32"/>
  <c r="C24" i="32"/>
  <c r="C25" i="32"/>
  <c r="C26" i="32"/>
  <c r="C27" i="32"/>
  <c r="C28" i="32"/>
  <c r="C29" i="32"/>
  <c r="C30" i="32"/>
  <c r="C31" i="32"/>
  <c r="C32" i="32"/>
  <c r="C33" i="32"/>
  <c r="C34" i="32"/>
  <c r="C35" i="32"/>
  <c r="C36" i="32"/>
  <c r="C37" i="32"/>
  <c r="C38" i="32"/>
  <c r="C39" i="32"/>
  <c r="C40" i="32"/>
  <c r="C41" i="32"/>
  <c r="C42" i="32"/>
  <c r="C43" i="32"/>
  <c r="C44" i="32"/>
  <c r="C45" i="32"/>
  <c r="C46" i="32"/>
  <c r="C47" i="32"/>
  <c r="C48" i="32"/>
  <c r="C49" i="32"/>
  <c r="C50" i="32"/>
  <c r="C51" i="32"/>
  <c r="C52" i="32"/>
  <c r="C53" i="32"/>
  <c r="C54" i="32"/>
  <c r="C55" i="32"/>
  <c r="C56" i="32"/>
  <c r="C57" i="32"/>
  <c r="C58" i="32"/>
  <c r="C59" i="32"/>
  <c r="C60" i="32"/>
  <c r="C61" i="32"/>
  <c r="C62" i="32"/>
  <c r="C63" i="32"/>
  <c r="C64" i="32"/>
  <c r="C65" i="32"/>
  <c r="C66" i="32"/>
  <c r="C67" i="32"/>
  <c r="C68" i="32"/>
  <c r="C69" i="32"/>
  <c r="C70" i="32"/>
  <c r="C71" i="32"/>
  <c r="C72" i="32"/>
  <c r="C73" i="32"/>
  <c r="C74" i="32"/>
  <c r="C75" i="32"/>
  <c r="C76" i="32"/>
  <c r="C77" i="32"/>
  <c r="C78" i="32"/>
  <c r="C79" i="32"/>
  <c r="C80" i="32"/>
  <c r="C81" i="32"/>
  <c r="C82" i="32"/>
  <c r="C83" i="32"/>
  <c r="C84" i="32"/>
  <c r="C85" i="32"/>
  <c r="C86" i="32"/>
  <c r="C87" i="32"/>
  <c r="C88" i="32"/>
  <c r="C89" i="32"/>
  <c r="C90" i="32"/>
  <c r="C91" i="32"/>
  <c r="C92" i="32"/>
  <c r="C93" i="32"/>
  <c r="C94" i="32"/>
  <c r="C95" i="32"/>
  <c r="C96" i="32"/>
  <c r="C97" i="32"/>
  <c r="C98" i="32"/>
  <c r="C99" i="32"/>
  <c r="C100" i="32"/>
  <c r="C101" i="32"/>
  <c r="C102" i="32"/>
  <c r="C103" i="32"/>
  <c r="C104" i="32"/>
  <c r="C105" i="32"/>
  <c r="C106" i="32"/>
  <c r="C107" i="32"/>
  <c r="C108" i="32"/>
  <c r="C109" i="32"/>
  <c r="C110" i="32"/>
  <c r="C111" i="32"/>
  <c r="C112" i="32"/>
  <c r="C113" i="32"/>
  <c r="C114" i="32"/>
  <c r="C115" i="32"/>
  <c r="C116" i="32"/>
  <c r="C117" i="32"/>
  <c r="C118" i="32"/>
  <c r="C119" i="32"/>
  <c r="C120" i="32"/>
  <c r="C121" i="32"/>
  <c r="C122" i="32"/>
  <c r="C123" i="32"/>
  <c r="C124" i="32"/>
  <c r="C125" i="32"/>
  <c r="C126" i="32"/>
  <c r="C127" i="32"/>
  <c r="C128" i="32"/>
  <c r="C129" i="32"/>
  <c r="C130" i="32"/>
  <c r="C131" i="32"/>
  <c r="C132" i="32"/>
  <c r="C133" i="32"/>
  <c r="C134" i="32"/>
  <c r="C135" i="32"/>
  <c r="C136" i="32"/>
  <c r="C137" i="32"/>
  <c r="C138" i="32"/>
  <c r="C139" i="32"/>
  <c r="C140" i="32"/>
  <c r="C141" i="32"/>
  <c r="C142" i="32"/>
  <c r="C143" i="32"/>
  <c r="C144" i="32"/>
  <c r="C145" i="32"/>
  <c r="C146" i="32"/>
  <c r="C147" i="32"/>
  <c r="C148" i="32"/>
  <c r="C149" i="32"/>
  <c r="C150" i="32"/>
  <c r="C151" i="32"/>
  <c r="C152" i="32"/>
  <c r="C153" i="32"/>
  <c r="C154" i="32"/>
  <c r="C155" i="32"/>
  <c r="C156" i="32"/>
  <c r="C157" i="32"/>
  <c r="C158" i="32"/>
  <c r="C159" i="32"/>
  <c r="C160" i="32"/>
  <c r="C161" i="32"/>
  <c r="C162" i="32"/>
  <c r="C163" i="32"/>
  <c r="C164" i="32"/>
  <c r="C165" i="32"/>
  <c r="C166" i="32"/>
  <c r="C167" i="32"/>
  <c r="C168" i="32"/>
  <c r="C169" i="32"/>
  <c r="C170" i="32"/>
  <c r="C171" i="32"/>
  <c r="C172" i="32"/>
  <c r="C173" i="32"/>
  <c r="C174" i="32"/>
  <c r="C175" i="32"/>
  <c r="C176" i="32"/>
  <c r="C177" i="32"/>
  <c r="C178" i="32"/>
  <c r="C179" i="32"/>
  <c r="C180" i="32"/>
  <c r="C181" i="32"/>
  <c r="C182" i="32"/>
  <c r="C183" i="32"/>
  <c r="C184" i="32"/>
  <c r="C185" i="32"/>
  <c r="C186" i="32"/>
  <c r="C187" i="32"/>
  <c r="C188" i="32"/>
  <c r="C189" i="32"/>
  <c r="C190" i="32"/>
  <c r="C191" i="32"/>
  <c r="C192" i="32"/>
  <c r="C193" i="32"/>
  <c r="C194" i="32"/>
  <c r="C195" i="32"/>
  <c r="C196" i="32"/>
  <c r="C197" i="32"/>
  <c r="C198" i="32"/>
  <c r="C199" i="32"/>
  <c r="C200" i="32"/>
  <c r="C201" i="32"/>
  <c r="C202" i="32"/>
  <c r="C203" i="32"/>
  <c r="C204" i="32"/>
  <c r="C205" i="32"/>
  <c r="C206" i="32"/>
  <c r="C207" i="32"/>
  <c r="C208" i="32"/>
  <c r="C209" i="32"/>
  <c r="C210" i="32"/>
  <c r="C211" i="32"/>
  <c r="C212" i="32"/>
  <c r="C213" i="32"/>
  <c r="C214" i="32"/>
  <c r="C215" i="32"/>
  <c r="C216" i="32"/>
  <c r="C217" i="32"/>
  <c r="C218" i="32"/>
  <c r="C219" i="32"/>
  <c r="C220" i="32"/>
  <c r="C221" i="32"/>
  <c r="C222" i="32"/>
  <c r="C223" i="32"/>
  <c r="C224" i="32"/>
  <c r="C225" i="32"/>
  <c r="C226" i="32"/>
  <c r="C227" i="32"/>
  <c r="C228" i="32"/>
  <c r="C229" i="32"/>
  <c r="C230" i="32"/>
  <c r="C231" i="32"/>
  <c r="C232" i="32"/>
  <c r="C233" i="32"/>
  <c r="C234" i="32"/>
  <c r="C235" i="32"/>
  <c r="C236" i="32"/>
  <c r="C237" i="32"/>
  <c r="C238" i="32"/>
  <c r="C239" i="32"/>
  <c r="C240" i="32"/>
  <c r="C241" i="32"/>
  <c r="C242" i="32"/>
  <c r="C243" i="32"/>
  <c r="C244" i="32"/>
  <c r="C245" i="32"/>
  <c r="C246" i="32"/>
  <c r="C247" i="32"/>
  <c r="C248" i="32"/>
  <c r="C249" i="32"/>
  <c r="C250" i="32"/>
  <c r="C251" i="32"/>
  <c r="C252" i="32"/>
  <c r="C253" i="32"/>
  <c r="C254" i="32"/>
  <c r="C255" i="32"/>
  <c r="C256" i="32"/>
  <c r="C257" i="32"/>
  <c r="C258" i="32"/>
  <c r="C259" i="32"/>
  <c r="C260" i="32"/>
  <c r="C261" i="32"/>
  <c r="C262" i="32"/>
  <c r="C263" i="32"/>
  <c r="C264" i="32"/>
  <c r="C265" i="32"/>
  <c r="C266" i="32"/>
  <c r="C267" i="32"/>
  <c r="C268" i="32"/>
  <c r="C269" i="32"/>
  <c r="C270" i="32"/>
  <c r="C271" i="32"/>
  <c r="C272" i="32"/>
  <c r="C273" i="32"/>
  <c r="C274" i="32"/>
  <c r="C275" i="32"/>
  <c r="C276" i="32"/>
  <c r="C277" i="32"/>
  <c r="C278" i="32"/>
  <c r="C279" i="32"/>
  <c r="C280" i="32"/>
  <c r="C281" i="32"/>
  <c r="C282" i="32"/>
  <c r="C283" i="32"/>
  <c r="C284" i="32"/>
  <c r="C285" i="32"/>
  <c r="C286" i="32"/>
  <c r="C287" i="32"/>
  <c r="C288" i="32"/>
  <c r="C289" i="32"/>
  <c r="C290" i="32"/>
  <c r="C291" i="32"/>
  <c r="C292" i="32"/>
  <c r="C293" i="32"/>
  <c r="C294" i="32"/>
  <c r="C295" i="32"/>
  <c r="C296" i="32"/>
  <c r="C297" i="32"/>
  <c r="C298" i="32"/>
  <c r="C299" i="32"/>
  <c r="C300" i="32"/>
  <c r="C301" i="32"/>
  <c r="C302" i="32"/>
  <c r="C303" i="32"/>
  <c r="C304" i="32"/>
  <c r="C305" i="32"/>
  <c r="C306" i="32"/>
  <c r="C307" i="32"/>
  <c r="C308" i="32"/>
  <c r="C309" i="32"/>
  <c r="C310" i="32"/>
  <c r="C311" i="32"/>
  <c r="C312" i="32"/>
  <c r="C313" i="32"/>
  <c r="C314" i="32"/>
  <c r="C315" i="32"/>
  <c r="C316" i="32"/>
  <c r="C317" i="32"/>
  <c r="C318" i="32"/>
  <c r="C319" i="32"/>
  <c r="C320" i="32"/>
  <c r="C321" i="32"/>
  <c r="C322" i="32"/>
  <c r="C323" i="32"/>
  <c r="C324" i="32"/>
  <c r="C325" i="32"/>
  <c r="C326" i="32"/>
  <c r="C327" i="32"/>
  <c r="C328" i="32"/>
  <c r="C329" i="32"/>
  <c r="C330" i="32"/>
  <c r="C331" i="32"/>
  <c r="C332" i="32"/>
  <c r="C333" i="32"/>
  <c r="C334" i="32"/>
  <c r="C335" i="32"/>
  <c r="C336" i="32"/>
  <c r="C337" i="32"/>
  <c r="C338" i="32"/>
  <c r="C339" i="32"/>
  <c r="C340" i="32"/>
  <c r="C341" i="32"/>
  <c r="C342" i="32"/>
  <c r="C343" i="32"/>
  <c r="C344" i="32"/>
  <c r="C345" i="32"/>
  <c r="C346" i="32"/>
  <c r="C347" i="32"/>
  <c r="C348" i="32"/>
  <c r="C349" i="32"/>
  <c r="C350" i="32"/>
  <c r="C351" i="32"/>
  <c r="C352" i="32"/>
  <c r="C353" i="32"/>
  <c r="C354" i="32"/>
  <c r="C355" i="32"/>
  <c r="C356" i="32"/>
  <c r="C357" i="32"/>
  <c r="C358" i="32"/>
  <c r="C359" i="32"/>
  <c r="C360" i="32"/>
  <c r="C361" i="32"/>
  <c r="C362" i="32"/>
  <c r="C363" i="32"/>
  <c r="C364" i="32"/>
  <c r="C365" i="32"/>
  <c r="C366" i="32"/>
  <c r="C367" i="32"/>
  <c r="C368" i="32"/>
  <c r="C369" i="32"/>
  <c r="C370" i="32"/>
  <c r="C371" i="32"/>
  <c r="C372" i="32"/>
  <c r="C373" i="32"/>
  <c r="C374" i="32"/>
  <c r="C375" i="32"/>
  <c r="C376" i="32"/>
  <c r="C377" i="32"/>
  <c r="C378" i="32"/>
  <c r="C379" i="32"/>
  <c r="C380" i="32"/>
  <c r="C381" i="32"/>
  <c r="C382" i="32"/>
  <c r="C383" i="32"/>
  <c r="C384" i="32"/>
  <c r="C385" i="32"/>
  <c r="C386" i="32"/>
  <c r="C387" i="32"/>
  <c r="C388" i="32"/>
  <c r="C389" i="32"/>
  <c r="C390" i="32"/>
  <c r="C391" i="32"/>
  <c r="C392" i="32"/>
  <c r="C393" i="32"/>
  <c r="C394" i="32"/>
  <c r="C395" i="32"/>
  <c r="C396" i="32"/>
  <c r="C397" i="32"/>
  <c r="C398" i="32"/>
  <c r="C399" i="32"/>
  <c r="C400" i="32"/>
  <c r="C401" i="32"/>
  <c r="C402" i="32"/>
  <c r="C403" i="32"/>
  <c r="C404" i="32"/>
  <c r="C405" i="32"/>
  <c r="C406" i="32"/>
  <c r="C407" i="32"/>
  <c r="C408" i="32"/>
  <c r="C409" i="32"/>
  <c r="C410" i="32"/>
  <c r="C411" i="32"/>
  <c r="C412" i="32"/>
  <c r="C413" i="32"/>
  <c r="C414" i="32"/>
  <c r="C415" i="32"/>
  <c r="C416" i="32"/>
  <c r="C417" i="32"/>
  <c r="C418" i="32"/>
  <c r="C419" i="32"/>
  <c r="C420" i="32"/>
  <c r="C421" i="32"/>
  <c r="C422" i="32"/>
  <c r="C423" i="32"/>
  <c r="C424" i="32"/>
  <c r="C425" i="32"/>
  <c r="C426" i="32"/>
  <c r="C427" i="32"/>
  <c r="C428" i="32"/>
  <c r="C429" i="32"/>
  <c r="C430" i="32"/>
  <c r="C431" i="32"/>
  <c r="C432" i="32"/>
  <c r="C433" i="32"/>
  <c r="C434" i="32"/>
  <c r="C435" i="32"/>
  <c r="C436" i="32"/>
  <c r="C437" i="32"/>
  <c r="C438" i="32"/>
  <c r="C439" i="32"/>
  <c r="C440" i="32"/>
  <c r="C441" i="32"/>
  <c r="C442" i="32"/>
  <c r="C443" i="32"/>
  <c r="C444" i="32"/>
  <c r="C445" i="32"/>
  <c r="C446" i="32"/>
  <c r="C447" i="32"/>
  <c r="C448" i="32"/>
  <c r="C449" i="32"/>
  <c r="C450" i="32"/>
  <c r="C451" i="32"/>
  <c r="C452" i="32"/>
  <c r="C453" i="32"/>
  <c r="C454" i="32"/>
  <c r="C455" i="32"/>
  <c r="C456" i="32"/>
  <c r="C457" i="32"/>
  <c r="C458" i="32"/>
  <c r="C459" i="32"/>
  <c r="C460" i="32"/>
  <c r="C461" i="32"/>
  <c r="C462" i="32"/>
  <c r="C463" i="32"/>
  <c r="C464" i="32"/>
  <c r="C465" i="32"/>
  <c r="C466" i="32"/>
  <c r="C467" i="32"/>
  <c r="C468" i="32"/>
  <c r="C469" i="32"/>
  <c r="C470" i="32"/>
  <c r="C471" i="32"/>
  <c r="C472" i="32"/>
  <c r="C473" i="32"/>
  <c r="C474" i="32"/>
  <c r="C475" i="32"/>
  <c r="C476" i="32"/>
  <c r="C477" i="32"/>
  <c r="C478" i="32"/>
  <c r="C479" i="32"/>
  <c r="C480" i="32"/>
  <c r="C481" i="32"/>
  <c r="C482" i="32"/>
  <c r="C483" i="32"/>
  <c r="C484" i="32"/>
  <c r="C485" i="32"/>
  <c r="C486" i="32"/>
  <c r="C487" i="32"/>
  <c r="C488" i="32"/>
  <c r="C489" i="32"/>
  <c r="C490" i="32"/>
  <c r="C491" i="32"/>
  <c r="C492" i="32"/>
  <c r="C493" i="32"/>
  <c r="C494" i="32"/>
  <c r="C495" i="32"/>
  <c r="C496" i="32"/>
  <c r="C497" i="32"/>
  <c r="C498" i="32"/>
  <c r="C499" i="32"/>
  <c r="C500" i="32"/>
  <c r="C501" i="32"/>
  <c r="C502" i="32"/>
  <c r="C503" i="32"/>
  <c r="C504" i="32"/>
  <c r="C505" i="32"/>
  <c r="C506" i="32"/>
  <c r="C507" i="32"/>
  <c r="C508" i="32"/>
  <c r="C509" i="32"/>
  <c r="C510" i="32"/>
  <c r="C511" i="32"/>
  <c r="C512" i="32"/>
  <c r="C513" i="32"/>
  <c r="C514" i="32"/>
  <c r="C515" i="32"/>
  <c r="C516" i="32"/>
  <c r="C517" i="32"/>
  <c r="C518" i="32"/>
  <c r="C519" i="32"/>
  <c r="C520" i="32"/>
  <c r="C521" i="32"/>
  <c r="C522" i="32"/>
  <c r="C523" i="32"/>
  <c r="C524" i="32"/>
  <c r="C525" i="32"/>
  <c r="C526" i="32"/>
  <c r="C527" i="32"/>
  <c r="C528" i="32"/>
  <c r="C529" i="32"/>
  <c r="C530" i="32"/>
  <c r="C531" i="32"/>
  <c r="C532" i="32"/>
  <c r="C533" i="32"/>
  <c r="C534" i="32"/>
  <c r="C535" i="32"/>
  <c r="C536" i="32"/>
  <c r="C537" i="32"/>
  <c r="C538" i="32"/>
  <c r="C539" i="32"/>
  <c r="C540" i="32"/>
  <c r="C541" i="32"/>
  <c r="C542" i="32"/>
  <c r="C543" i="32"/>
  <c r="C544" i="32"/>
  <c r="C545" i="32"/>
  <c r="C546" i="32"/>
  <c r="C547" i="32"/>
  <c r="C548" i="32"/>
  <c r="C549" i="32"/>
  <c r="C550" i="32"/>
  <c r="C551" i="32"/>
  <c r="C552" i="32"/>
  <c r="C553" i="32"/>
  <c r="C554" i="32"/>
  <c r="C555" i="32"/>
  <c r="C556" i="32"/>
  <c r="C557" i="32"/>
  <c r="C558" i="32"/>
  <c r="C559" i="32"/>
  <c r="C560" i="32"/>
  <c r="C561" i="32"/>
  <c r="C562" i="32"/>
  <c r="C563" i="32"/>
  <c r="C564" i="32"/>
  <c r="C565" i="32"/>
  <c r="C566" i="32"/>
  <c r="C567" i="32"/>
  <c r="C568" i="32"/>
  <c r="C569" i="32"/>
  <c r="C570" i="32"/>
  <c r="C571" i="32"/>
  <c r="C572" i="32"/>
  <c r="C573" i="32"/>
  <c r="C574" i="32"/>
  <c r="C575" i="32"/>
  <c r="C576" i="32"/>
  <c r="C577" i="32"/>
  <c r="C578" i="32"/>
  <c r="C579" i="32"/>
  <c r="C580" i="32"/>
  <c r="C581" i="32"/>
  <c r="C582" i="32"/>
  <c r="C583" i="32"/>
  <c r="C584" i="32"/>
  <c r="C585" i="32"/>
  <c r="C586" i="32"/>
  <c r="C587" i="32"/>
  <c r="C588" i="32"/>
  <c r="C589" i="32"/>
  <c r="C590" i="32"/>
  <c r="C591" i="32"/>
  <c r="C592" i="32"/>
  <c r="C593" i="32"/>
  <c r="C594" i="32"/>
  <c r="C595" i="32"/>
  <c r="C596" i="32"/>
  <c r="C597" i="32"/>
  <c r="C598" i="32"/>
  <c r="C599" i="32"/>
  <c r="C600" i="32"/>
  <c r="C601" i="32"/>
  <c r="C602" i="32"/>
  <c r="C603" i="32"/>
  <c r="C604" i="32"/>
  <c r="C605" i="32"/>
  <c r="C606" i="32"/>
  <c r="C607" i="32"/>
  <c r="C608" i="32"/>
  <c r="C609" i="32"/>
  <c r="C610" i="32"/>
  <c r="C611" i="32"/>
  <c r="C612" i="32"/>
  <c r="C613" i="32"/>
  <c r="C614" i="32"/>
  <c r="C615" i="32"/>
  <c r="C616" i="32"/>
  <c r="C617" i="32"/>
  <c r="C618" i="32"/>
  <c r="C619" i="32"/>
  <c r="C620" i="32"/>
  <c r="C621" i="32"/>
  <c r="C622" i="32"/>
  <c r="C623" i="32"/>
  <c r="C624" i="32"/>
  <c r="C625" i="32"/>
  <c r="C626" i="32"/>
  <c r="C627" i="32"/>
  <c r="C628" i="32"/>
  <c r="C629" i="32"/>
  <c r="C630" i="32"/>
  <c r="C631" i="32"/>
  <c r="C632" i="32"/>
  <c r="C633" i="32"/>
  <c r="C634" i="32"/>
  <c r="C635" i="32"/>
  <c r="C636" i="32"/>
  <c r="C637" i="32"/>
  <c r="C638" i="32"/>
  <c r="C639" i="32"/>
  <c r="C640" i="32"/>
  <c r="C641" i="32"/>
  <c r="C642" i="32"/>
  <c r="C643" i="32"/>
  <c r="C644" i="32"/>
  <c r="C645" i="32"/>
  <c r="C646" i="32"/>
  <c r="C647" i="32"/>
  <c r="C648" i="32"/>
  <c r="C649" i="32"/>
  <c r="C650" i="32"/>
  <c r="C651" i="32"/>
  <c r="C652" i="32"/>
  <c r="C653" i="32"/>
  <c r="C654" i="32"/>
  <c r="C655" i="32"/>
  <c r="C656" i="32"/>
  <c r="C657" i="32"/>
  <c r="C658" i="32"/>
  <c r="C659" i="32"/>
  <c r="C660" i="32"/>
  <c r="C661" i="32"/>
  <c r="C662" i="32"/>
  <c r="E5" i="32"/>
  <c r="E6" i="32"/>
  <c r="E7" i="32"/>
  <c r="E8" i="32"/>
  <c r="E9" i="32"/>
  <c r="E10" i="32"/>
  <c r="E11" i="32"/>
  <c r="E12" i="32"/>
  <c r="E13" i="32"/>
  <c r="E14" i="32"/>
  <c r="E15" i="32"/>
  <c r="E16" i="32"/>
  <c r="E17" i="32"/>
  <c r="E18" i="32"/>
  <c r="E19" i="32"/>
  <c r="E20" i="32"/>
  <c r="E21" i="32"/>
  <c r="E22" i="32"/>
  <c r="E23" i="32"/>
  <c r="E24" i="32"/>
  <c r="E25" i="32"/>
  <c r="E26" i="32"/>
  <c r="E27" i="32"/>
  <c r="E28" i="32"/>
  <c r="E29" i="32"/>
  <c r="E30" i="32"/>
  <c r="E31" i="32"/>
  <c r="E32" i="32"/>
  <c r="E33" i="32"/>
  <c r="E34" i="32"/>
  <c r="E35" i="32"/>
  <c r="E36" i="32"/>
  <c r="E37" i="32"/>
  <c r="E38" i="32"/>
  <c r="E39" i="32"/>
  <c r="E40" i="32"/>
  <c r="E41" i="32"/>
  <c r="E42" i="32"/>
  <c r="E43" i="32"/>
  <c r="E44" i="32"/>
  <c r="E45" i="32"/>
  <c r="E46" i="32"/>
  <c r="E47" i="32"/>
  <c r="E48" i="32"/>
  <c r="E49" i="32"/>
  <c r="E50" i="32"/>
  <c r="E51" i="32"/>
  <c r="E52" i="32"/>
  <c r="E53" i="32"/>
  <c r="E54" i="32"/>
  <c r="E55" i="32"/>
  <c r="E56" i="32"/>
  <c r="E57" i="32"/>
  <c r="E58" i="32"/>
  <c r="E59" i="32"/>
  <c r="E60" i="32"/>
  <c r="E61" i="32"/>
  <c r="E62" i="32"/>
  <c r="E63" i="32"/>
  <c r="E64" i="32"/>
  <c r="E65" i="32"/>
  <c r="E66" i="32"/>
  <c r="E67" i="32"/>
  <c r="E68" i="32"/>
  <c r="E69" i="32"/>
  <c r="E70" i="32"/>
  <c r="E71" i="32"/>
  <c r="E72" i="32"/>
  <c r="E73" i="32"/>
  <c r="E74" i="32"/>
  <c r="E75" i="32"/>
  <c r="E76" i="32"/>
  <c r="E77" i="32"/>
  <c r="E78" i="32"/>
  <c r="E79" i="32"/>
  <c r="E80" i="32"/>
  <c r="E81" i="32"/>
  <c r="E82" i="32"/>
  <c r="E83" i="32"/>
  <c r="E84" i="32"/>
  <c r="E85" i="32"/>
  <c r="E86" i="32"/>
  <c r="E87" i="32"/>
  <c r="E88" i="32"/>
  <c r="E89" i="32"/>
  <c r="E90" i="32"/>
  <c r="E91" i="32"/>
  <c r="E92" i="32"/>
  <c r="E93" i="32"/>
  <c r="E94" i="32"/>
  <c r="E95" i="32"/>
  <c r="E96" i="32"/>
  <c r="E97" i="32"/>
  <c r="E98" i="32"/>
  <c r="E99" i="32"/>
  <c r="E100" i="32"/>
  <c r="E101" i="32"/>
  <c r="E102" i="32"/>
  <c r="E103" i="32"/>
  <c r="E104" i="32"/>
  <c r="E105" i="32"/>
  <c r="E106" i="32"/>
  <c r="E107" i="32"/>
  <c r="E108" i="32"/>
  <c r="E109" i="32"/>
  <c r="E110" i="32"/>
  <c r="E111" i="32"/>
  <c r="E112" i="32"/>
  <c r="E113" i="32"/>
  <c r="E114" i="32"/>
  <c r="E115" i="32"/>
  <c r="E116" i="32"/>
  <c r="E117" i="32"/>
  <c r="E118" i="32"/>
  <c r="E119" i="32"/>
  <c r="E120" i="32"/>
  <c r="E121" i="32"/>
  <c r="E122" i="32"/>
  <c r="E123" i="32"/>
  <c r="E124" i="32"/>
  <c r="E125" i="32"/>
  <c r="E126" i="32"/>
  <c r="E127" i="32"/>
  <c r="E128" i="32"/>
  <c r="E129" i="32"/>
  <c r="E130" i="32"/>
  <c r="E131" i="32"/>
  <c r="E132" i="32"/>
  <c r="E133" i="32"/>
  <c r="E134" i="32"/>
  <c r="E135" i="32"/>
  <c r="E136" i="32"/>
  <c r="E137" i="32"/>
  <c r="E138" i="32"/>
  <c r="E139" i="32"/>
  <c r="E140" i="32"/>
  <c r="E141" i="32"/>
  <c r="E142" i="32"/>
  <c r="E143" i="32"/>
  <c r="E144" i="32"/>
  <c r="E145" i="32"/>
  <c r="E146" i="32"/>
  <c r="E147" i="32"/>
  <c r="E148" i="32"/>
  <c r="E149" i="32"/>
  <c r="E150" i="32"/>
  <c r="E151" i="32"/>
  <c r="E152" i="32"/>
  <c r="E153" i="32"/>
  <c r="E154" i="32"/>
  <c r="E155" i="32"/>
  <c r="E156" i="32"/>
  <c r="E157" i="32"/>
  <c r="E158" i="32"/>
  <c r="E159" i="32"/>
  <c r="E160" i="32"/>
  <c r="E161" i="32"/>
  <c r="E162" i="32"/>
  <c r="E163" i="32"/>
  <c r="E164" i="32"/>
  <c r="E165" i="32"/>
  <c r="E166" i="32"/>
  <c r="E167" i="32"/>
  <c r="E168" i="32"/>
  <c r="E169" i="32"/>
  <c r="E170" i="32"/>
  <c r="E171" i="32"/>
  <c r="E172" i="32"/>
  <c r="E173" i="32"/>
  <c r="E174" i="32"/>
  <c r="E175" i="32"/>
  <c r="E176" i="32"/>
  <c r="E177" i="32"/>
  <c r="E178" i="32"/>
  <c r="E179" i="32"/>
  <c r="E180" i="32"/>
  <c r="E181" i="32"/>
  <c r="E182" i="32"/>
  <c r="E183" i="32"/>
  <c r="E184" i="32"/>
  <c r="E185" i="32"/>
  <c r="E186" i="32"/>
  <c r="E187" i="32"/>
  <c r="E188" i="32"/>
  <c r="E189" i="32"/>
  <c r="E190" i="32"/>
  <c r="E191" i="32"/>
  <c r="E192" i="32"/>
  <c r="E193" i="32"/>
  <c r="E194" i="32"/>
  <c r="E195" i="32"/>
  <c r="E196" i="32"/>
  <c r="E197" i="32"/>
  <c r="E198" i="32"/>
  <c r="E199" i="32"/>
  <c r="E200" i="32"/>
  <c r="E201" i="32"/>
  <c r="E202" i="32"/>
  <c r="E203" i="32"/>
  <c r="E204" i="32"/>
  <c r="E205" i="32"/>
  <c r="E206" i="32"/>
  <c r="E207" i="32"/>
  <c r="E208" i="32"/>
  <c r="E209" i="32"/>
  <c r="E210" i="32"/>
  <c r="E211" i="32"/>
  <c r="E212" i="32"/>
  <c r="E213" i="32"/>
  <c r="E214" i="32"/>
  <c r="E215" i="32"/>
  <c r="E216" i="32"/>
  <c r="E217" i="32"/>
  <c r="E218" i="32"/>
  <c r="E219" i="32"/>
  <c r="E220" i="32"/>
  <c r="E221" i="32"/>
  <c r="E222" i="32"/>
  <c r="E223" i="32"/>
  <c r="E224" i="32"/>
  <c r="E225" i="32"/>
  <c r="E226" i="32"/>
  <c r="E227" i="32"/>
  <c r="E228" i="32"/>
  <c r="E229" i="32"/>
  <c r="E230" i="32"/>
  <c r="E231" i="32"/>
  <c r="E232" i="32"/>
  <c r="E233" i="32"/>
  <c r="E234" i="32"/>
  <c r="E235" i="32"/>
  <c r="E236" i="32"/>
  <c r="E237" i="32"/>
  <c r="E238" i="32"/>
  <c r="E239" i="32"/>
  <c r="E240" i="32"/>
  <c r="E241" i="32"/>
  <c r="E242" i="32"/>
  <c r="E243" i="32"/>
  <c r="E244" i="32"/>
  <c r="E245" i="32"/>
  <c r="E246" i="32"/>
  <c r="E247" i="32"/>
  <c r="E248" i="32"/>
  <c r="E249" i="32"/>
  <c r="E250" i="32"/>
  <c r="E251" i="32"/>
  <c r="E252" i="32"/>
  <c r="E253" i="32"/>
  <c r="E254" i="32"/>
  <c r="E255" i="32"/>
  <c r="E256" i="32"/>
  <c r="E257" i="32"/>
  <c r="E258" i="32"/>
  <c r="E259" i="32"/>
  <c r="E260" i="32"/>
  <c r="E261" i="32"/>
  <c r="E262" i="32"/>
  <c r="E263" i="32"/>
  <c r="E264" i="32"/>
  <c r="E265" i="32"/>
  <c r="E266" i="32"/>
  <c r="E267" i="32"/>
  <c r="E268" i="32"/>
  <c r="E269" i="32"/>
  <c r="E270" i="32"/>
  <c r="E271" i="32"/>
  <c r="E272" i="32"/>
  <c r="E273" i="32"/>
  <c r="E274" i="32"/>
  <c r="E275" i="32"/>
  <c r="E276" i="32"/>
  <c r="E277" i="32"/>
  <c r="E278" i="32"/>
  <c r="E279" i="32"/>
  <c r="E280" i="32"/>
  <c r="E281" i="32"/>
  <c r="E282" i="32"/>
  <c r="E283" i="32"/>
  <c r="E284" i="32"/>
  <c r="E285" i="32"/>
  <c r="E286" i="32"/>
  <c r="E287" i="32"/>
  <c r="E288" i="32"/>
  <c r="E289" i="32"/>
  <c r="E290" i="32"/>
  <c r="E291" i="32"/>
  <c r="E292" i="32"/>
  <c r="E293" i="32"/>
  <c r="E294" i="32"/>
  <c r="E295" i="32"/>
  <c r="E296" i="32"/>
  <c r="E297" i="32"/>
  <c r="E298" i="32"/>
  <c r="E299" i="32"/>
  <c r="E300" i="32"/>
  <c r="E301" i="32"/>
  <c r="E302" i="32"/>
  <c r="E303" i="32"/>
  <c r="E304" i="32"/>
  <c r="E305" i="32"/>
  <c r="E306" i="32"/>
  <c r="E307" i="32"/>
  <c r="E308" i="32"/>
  <c r="E309" i="32"/>
  <c r="E310" i="32"/>
  <c r="E311" i="32"/>
  <c r="E312" i="32"/>
  <c r="E313" i="32"/>
  <c r="E314" i="32"/>
  <c r="E315" i="32"/>
  <c r="E316" i="32"/>
  <c r="E317" i="32"/>
  <c r="E318" i="32"/>
  <c r="E319" i="32"/>
  <c r="E320" i="32"/>
  <c r="E321" i="32"/>
  <c r="E322" i="32"/>
  <c r="E323" i="32"/>
  <c r="E324" i="32"/>
  <c r="E325" i="32"/>
  <c r="E326" i="32"/>
  <c r="E327" i="32"/>
  <c r="E328" i="32"/>
  <c r="E329" i="32"/>
  <c r="E330" i="32"/>
  <c r="E331" i="32"/>
  <c r="E332" i="32"/>
  <c r="E333" i="32"/>
  <c r="E334" i="32"/>
  <c r="E335" i="32"/>
  <c r="E336" i="32"/>
  <c r="E337" i="32"/>
  <c r="E338" i="32"/>
  <c r="E339" i="32"/>
  <c r="E340" i="32"/>
  <c r="E341" i="32"/>
  <c r="E342" i="32"/>
  <c r="E343" i="32"/>
  <c r="E344" i="32"/>
  <c r="E345" i="32"/>
  <c r="E346" i="32"/>
  <c r="E347" i="32"/>
  <c r="E348" i="32"/>
  <c r="E349" i="32"/>
  <c r="E350" i="32"/>
  <c r="E351" i="32"/>
  <c r="E352" i="32"/>
  <c r="E353" i="32"/>
  <c r="E354" i="32"/>
  <c r="E355" i="32"/>
  <c r="E356" i="32"/>
  <c r="E357" i="32"/>
  <c r="E358" i="32"/>
  <c r="E359" i="32"/>
  <c r="E360" i="32"/>
  <c r="E361" i="32"/>
  <c r="E362" i="32"/>
  <c r="E363" i="32"/>
  <c r="E364" i="32"/>
  <c r="E365" i="32"/>
  <c r="E366" i="32"/>
  <c r="E367" i="32"/>
  <c r="E368" i="32"/>
  <c r="E369" i="32"/>
  <c r="E370" i="32"/>
  <c r="E371" i="32"/>
  <c r="E372" i="32"/>
  <c r="E373" i="32"/>
  <c r="E374" i="32"/>
  <c r="E375" i="32"/>
  <c r="E376" i="32"/>
  <c r="E377" i="32"/>
  <c r="E378" i="32"/>
  <c r="E379" i="32"/>
  <c r="E380" i="32"/>
  <c r="E381" i="32"/>
  <c r="E382" i="32"/>
  <c r="E383" i="32"/>
  <c r="E384" i="32"/>
  <c r="E385" i="32"/>
  <c r="E386" i="32"/>
  <c r="E387" i="32"/>
  <c r="E388" i="32"/>
  <c r="E389" i="32"/>
  <c r="E390" i="32"/>
  <c r="E391" i="32"/>
  <c r="E392" i="32"/>
  <c r="E393" i="32"/>
  <c r="E394" i="32"/>
  <c r="E395" i="32"/>
  <c r="E396" i="32"/>
  <c r="E397" i="32"/>
  <c r="E398" i="32"/>
  <c r="E399" i="32"/>
  <c r="E400" i="32"/>
  <c r="E401" i="32"/>
  <c r="E402" i="32"/>
  <c r="E403" i="32"/>
  <c r="E404" i="32"/>
  <c r="E405" i="32"/>
  <c r="E406" i="32"/>
  <c r="E407" i="32"/>
  <c r="E408" i="32"/>
  <c r="E409" i="32"/>
  <c r="E410" i="32"/>
  <c r="E411" i="32"/>
  <c r="E412" i="32"/>
  <c r="E413" i="32"/>
  <c r="E414" i="32"/>
  <c r="E415" i="32"/>
  <c r="E416" i="32"/>
  <c r="E417" i="32"/>
  <c r="E418" i="32"/>
  <c r="E419" i="32"/>
  <c r="E420" i="32"/>
  <c r="E421" i="32"/>
  <c r="E422" i="32"/>
  <c r="E423" i="32"/>
  <c r="E424" i="32"/>
  <c r="E425" i="32"/>
  <c r="E426" i="32"/>
  <c r="E427" i="32"/>
  <c r="E428" i="32"/>
  <c r="E429" i="32"/>
  <c r="E430" i="32"/>
  <c r="E431" i="32"/>
  <c r="E432" i="32"/>
  <c r="E433" i="32"/>
  <c r="E434" i="32"/>
  <c r="E435" i="32"/>
  <c r="E436" i="32"/>
  <c r="E437" i="32"/>
  <c r="E438" i="32"/>
  <c r="E439" i="32"/>
  <c r="E440" i="32"/>
  <c r="E441" i="32"/>
  <c r="E442" i="32"/>
  <c r="E443" i="32"/>
  <c r="E444" i="32"/>
  <c r="E445" i="32"/>
  <c r="E446" i="32"/>
  <c r="E447" i="32"/>
  <c r="E448" i="32"/>
  <c r="E449" i="32"/>
  <c r="E450" i="32"/>
  <c r="E451" i="32"/>
  <c r="E452" i="32"/>
  <c r="E453" i="32"/>
  <c r="E454" i="32"/>
  <c r="E455" i="32"/>
  <c r="E456" i="32"/>
  <c r="E457" i="32"/>
  <c r="E458" i="32"/>
  <c r="E459" i="32"/>
  <c r="E460" i="32"/>
  <c r="E461" i="32"/>
  <c r="E462" i="32"/>
  <c r="E463" i="32"/>
  <c r="E464" i="32"/>
  <c r="E465" i="32"/>
  <c r="E466" i="32"/>
  <c r="E467" i="32"/>
  <c r="E468" i="32"/>
  <c r="E469" i="32"/>
  <c r="E470" i="32"/>
  <c r="E471" i="32"/>
  <c r="E472" i="32"/>
  <c r="E473" i="32"/>
  <c r="E474" i="32"/>
  <c r="E475" i="32"/>
  <c r="E476" i="32"/>
  <c r="E477" i="32"/>
  <c r="E478" i="32"/>
  <c r="E479" i="32"/>
  <c r="E480" i="32"/>
  <c r="E481" i="32"/>
  <c r="E482" i="32"/>
  <c r="E483" i="32"/>
  <c r="E484" i="32"/>
  <c r="E485" i="32"/>
  <c r="E486" i="32"/>
  <c r="E487" i="32"/>
  <c r="E488" i="32"/>
  <c r="E489" i="32"/>
  <c r="E490" i="32"/>
  <c r="E491" i="32"/>
  <c r="E492" i="32"/>
  <c r="E493" i="32"/>
  <c r="E494" i="32"/>
  <c r="E495" i="32"/>
  <c r="E496" i="32"/>
  <c r="E497" i="32"/>
  <c r="E498" i="32"/>
  <c r="E499" i="32"/>
  <c r="E500" i="32"/>
  <c r="E501" i="32"/>
  <c r="E502" i="32"/>
  <c r="E503" i="32"/>
  <c r="E504" i="32"/>
  <c r="E505" i="32"/>
  <c r="E506" i="32"/>
  <c r="E507" i="32"/>
  <c r="E508" i="32"/>
  <c r="E509" i="32"/>
  <c r="E510" i="32"/>
  <c r="E511" i="32"/>
  <c r="E512" i="32"/>
  <c r="E513" i="32"/>
  <c r="E514" i="32"/>
  <c r="E515" i="32"/>
  <c r="E516" i="32"/>
  <c r="E517" i="32"/>
  <c r="E518" i="32"/>
  <c r="E519" i="32"/>
  <c r="E520" i="32"/>
  <c r="E521" i="32"/>
  <c r="E522" i="32"/>
  <c r="E523" i="32"/>
  <c r="E524" i="32"/>
  <c r="E525" i="32"/>
  <c r="E526" i="32"/>
  <c r="E527" i="32"/>
  <c r="E528" i="32"/>
  <c r="E529" i="32"/>
  <c r="E530" i="32"/>
  <c r="E531" i="32"/>
  <c r="E532" i="32"/>
  <c r="E533" i="32"/>
  <c r="E534" i="32"/>
  <c r="E535" i="32"/>
  <c r="E536" i="32"/>
  <c r="E537" i="32"/>
  <c r="E538" i="32"/>
  <c r="E539" i="32"/>
  <c r="E540" i="32"/>
  <c r="E541" i="32"/>
  <c r="E542" i="32"/>
  <c r="E543" i="32"/>
  <c r="E544" i="32"/>
  <c r="E545" i="32"/>
  <c r="E546" i="32"/>
  <c r="E547" i="32"/>
  <c r="E548" i="32"/>
  <c r="E549" i="32"/>
  <c r="E550" i="32"/>
  <c r="E551" i="32"/>
  <c r="E552" i="32"/>
  <c r="E553" i="32"/>
  <c r="E554" i="32"/>
  <c r="E555" i="32"/>
  <c r="E556" i="32"/>
  <c r="E557" i="32"/>
  <c r="E558" i="32"/>
  <c r="E559" i="32"/>
  <c r="E560" i="32"/>
  <c r="E561" i="32"/>
  <c r="E562" i="32"/>
  <c r="E563" i="32"/>
  <c r="E564" i="32"/>
  <c r="E565" i="32"/>
  <c r="E566" i="32"/>
  <c r="E567" i="32"/>
  <c r="E568" i="32"/>
  <c r="E569" i="32"/>
  <c r="E570" i="32"/>
  <c r="E571" i="32"/>
  <c r="E572" i="32"/>
  <c r="E573" i="32"/>
  <c r="E574" i="32"/>
  <c r="E575" i="32"/>
  <c r="E576" i="32"/>
  <c r="E577" i="32"/>
  <c r="E578" i="32"/>
  <c r="E579" i="32"/>
  <c r="E580" i="32"/>
  <c r="E581" i="32"/>
  <c r="E582" i="32"/>
  <c r="E583" i="32"/>
  <c r="E584" i="32"/>
  <c r="E585" i="32"/>
  <c r="E586" i="32"/>
  <c r="E587" i="32"/>
  <c r="E588" i="32"/>
  <c r="E589" i="32"/>
  <c r="E590" i="32"/>
  <c r="E591" i="32"/>
  <c r="E592" i="32"/>
  <c r="E593" i="32"/>
  <c r="E594" i="32"/>
  <c r="E595" i="32"/>
  <c r="E596" i="32"/>
  <c r="E597" i="32"/>
  <c r="E598" i="32"/>
  <c r="E599" i="32"/>
  <c r="E600" i="32"/>
  <c r="E601" i="32"/>
  <c r="E602" i="32"/>
  <c r="E603" i="32"/>
  <c r="E604" i="32"/>
  <c r="E605" i="32"/>
  <c r="E606" i="32"/>
  <c r="E607" i="32"/>
  <c r="E608" i="32"/>
  <c r="E609" i="32"/>
  <c r="E610" i="32"/>
  <c r="E611" i="32"/>
  <c r="E612" i="32"/>
  <c r="E613" i="32"/>
  <c r="E614" i="32"/>
  <c r="E615" i="32"/>
  <c r="E616" i="32"/>
  <c r="E617" i="32"/>
  <c r="E618" i="32"/>
  <c r="E619" i="32"/>
  <c r="E620" i="32"/>
  <c r="E621" i="32"/>
  <c r="E622" i="32"/>
  <c r="E623" i="32"/>
  <c r="E624" i="32"/>
  <c r="E625" i="32"/>
  <c r="E626" i="32"/>
  <c r="E627" i="32"/>
  <c r="E628" i="32"/>
  <c r="E629" i="32"/>
  <c r="E630" i="32"/>
  <c r="E631" i="32"/>
  <c r="E632" i="32"/>
  <c r="E633" i="32"/>
  <c r="E634" i="32"/>
  <c r="E635" i="32"/>
  <c r="E636" i="32"/>
  <c r="E637" i="32"/>
  <c r="E638" i="32"/>
  <c r="E639" i="32"/>
  <c r="E640" i="32"/>
  <c r="E641" i="32"/>
  <c r="E642" i="32"/>
  <c r="E643" i="32"/>
  <c r="E644" i="32"/>
  <c r="E645" i="32"/>
  <c r="E646" i="32"/>
  <c r="E647" i="32"/>
  <c r="E648" i="32"/>
  <c r="E649" i="32"/>
  <c r="E650" i="32"/>
  <c r="E651" i="32"/>
  <c r="E652" i="32"/>
  <c r="E653" i="32"/>
  <c r="E654" i="32"/>
  <c r="E655" i="32"/>
  <c r="E656" i="32"/>
  <c r="E657" i="32"/>
  <c r="E658" i="32"/>
  <c r="E659" i="32"/>
  <c r="E660" i="32"/>
  <c r="E661" i="32"/>
  <c r="E662" i="32"/>
  <c r="E4" i="32"/>
  <c r="AN15" i="32"/>
  <c r="AO15" i="32"/>
  <c r="AN82" i="32"/>
  <c r="AN142" i="32"/>
  <c r="AN5" i="32"/>
  <c r="AN4" i="32"/>
  <c r="AN6" i="32"/>
  <c r="AN7" i="32"/>
  <c r="AN8" i="32"/>
  <c r="AN9" i="32"/>
  <c r="AN10" i="32"/>
  <c r="AN11" i="32"/>
  <c r="AN12" i="32"/>
  <c r="AN13" i="32"/>
  <c r="AN14" i="32"/>
  <c r="AN16" i="32"/>
  <c r="AN17" i="32"/>
  <c r="AN18" i="32"/>
  <c r="AN19" i="32"/>
  <c r="AN20" i="32"/>
  <c r="AN21" i="32"/>
  <c r="AN22" i="32"/>
  <c r="AN23" i="32"/>
  <c r="AN24" i="32"/>
  <c r="AN25" i="32"/>
  <c r="AN26" i="32"/>
  <c r="AN27" i="32"/>
  <c r="AN28" i="32"/>
  <c r="AN29" i="32"/>
  <c r="AN30" i="32"/>
  <c r="AN31" i="32"/>
  <c r="AN32" i="32"/>
  <c r="AN33" i="32"/>
  <c r="AN34" i="32"/>
  <c r="AN35" i="32"/>
  <c r="AN36" i="32"/>
  <c r="AN37" i="32"/>
  <c r="AN38" i="32"/>
  <c r="AN39" i="32"/>
  <c r="AN40" i="32"/>
  <c r="AN41" i="32"/>
  <c r="AN42" i="32"/>
  <c r="AN43" i="32"/>
  <c r="AN44" i="32"/>
  <c r="AN45" i="32"/>
  <c r="AN46" i="32"/>
  <c r="AN47" i="32"/>
  <c r="AN48" i="32"/>
  <c r="AN49" i="32"/>
  <c r="AN50" i="32"/>
  <c r="AN51" i="32"/>
  <c r="AN52" i="32"/>
  <c r="AN53" i="32"/>
  <c r="AN54" i="32"/>
  <c r="AN55" i="32"/>
  <c r="AN56" i="32"/>
  <c r="AN57" i="32"/>
  <c r="AN58" i="32"/>
  <c r="AN59" i="32"/>
  <c r="AN60" i="32"/>
  <c r="AN61" i="32"/>
  <c r="AN62" i="32"/>
  <c r="AN63" i="32"/>
  <c r="AN64" i="32"/>
  <c r="AN65" i="32"/>
  <c r="AN66" i="32"/>
  <c r="AN67" i="32"/>
  <c r="AN68" i="32"/>
  <c r="AN69" i="32"/>
  <c r="AN70" i="32"/>
  <c r="AN71" i="32"/>
  <c r="AN72" i="32"/>
  <c r="AN73" i="32"/>
  <c r="AN74" i="32"/>
  <c r="AN75" i="32"/>
  <c r="AN76" i="32"/>
  <c r="AN77" i="32"/>
  <c r="AN78" i="32"/>
  <c r="AN79" i="32"/>
  <c r="AN80" i="32"/>
  <c r="AN81" i="32"/>
  <c r="AN83" i="32"/>
  <c r="AN84" i="32"/>
  <c r="AN85" i="32"/>
  <c r="AN86" i="32"/>
  <c r="AN87" i="32"/>
  <c r="AN88" i="32"/>
  <c r="AN89" i="32"/>
  <c r="AN90" i="32"/>
  <c r="AN91" i="32"/>
  <c r="AN92" i="32"/>
  <c r="AN93" i="32"/>
  <c r="AN94" i="32"/>
  <c r="AN95" i="32"/>
  <c r="AN96" i="32"/>
  <c r="AN97" i="32"/>
  <c r="AN98" i="32"/>
  <c r="AN99" i="32"/>
  <c r="AN100" i="32"/>
  <c r="AN101" i="32"/>
  <c r="AN102" i="32"/>
  <c r="AN103" i="32"/>
  <c r="AN104" i="32"/>
  <c r="AN105" i="32"/>
  <c r="AN106" i="32"/>
  <c r="AN107" i="32"/>
  <c r="AN108" i="32"/>
  <c r="AN109" i="32"/>
  <c r="AN110" i="32"/>
  <c r="AN111" i="32"/>
  <c r="AN112" i="32"/>
  <c r="AN113" i="32"/>
  <c r="AN114" i="32"/>
  <c r="AN115" i="32"/>
  <c r="AN116" i="32"/>
  <c r="AN117" i="32"/>
  <c r="AN118" i="32"/>
  <c r="AN119" i="32"/>
  <c r="AN120" i="32"/>
  <c r="AN121" i="32"/>
  <c r="AN122" i="32"/>
  <c r="AN123" i="32"/>
  <c r="AN124" i="32"/>
  <c r="AN125" i="32"/>
  <c r="AN126" i="32"/>
  <c r="AN127" i="32"/>
  <c r="AN128" i="32"/>
  <c r="AN129" i="32"/>
  <c r="AN130" i="32"/>
  <c r="AN131" i="32"/>
  <c r="AN132" i="32"/>
  <c r="AN133" i="32"/>
  <c r="AN134" i="32"/>
  <c r="AN135" i="32"/>
  <c r="AN136" i="32"/>
  <c r="AN137" i="32"/>
  <c r="AN138" i="32"/>
  <c r="AN139" i="32"/>
  <c r="AN140" i="32"/>
  <c r="AN141" i="32"/>
  <c r="AN143" i="32"/>
  <c r="AN144" i="32"/>
  <c r="AN145" i="32"/>
  <c r="AN146" i="32"/>
  <c r="AN147" i="32"/>
  <c r="AN148" i="32"/>
  <c r="AN149" i="32"/>
  <c r="AN150" i="32"/>
  <c r="AN151" i="32"/>
  <c r="AN152" i="32"/>
  <c r="AN153" i="32"/>
  <c r="AN154" i="32"/>
  <c r="AN155" i="32"/>
  <c r="AN156" i="32"/>
  <c r="AN157" i="32"/>
  <c r="AN158" i="32"/>
  <c r="AN159" i="32"/>
  <c r="AN160" i="32"/>
  <c r="AN161" i="32"/>
  <c r="AN162" i="32"/>
  <c r="AN163" i="32"/>
  <c r="AN164" i="32"/>
  <c r="AN165" i="32"/>
  <c r="AN166" i="32"/>
  <c r="AN167" i="32"/>
  <c r="AN168" i="32"/>
  <c r="AN169" i="32"/>
  <c r="AN170" i="32"/>
  <c r="AN171" i="32"/>
  <c r="AN172" i="32"/>
  <c r="AN173" i="32"/>
  <c r="AN174" i="32"/>
  <c r="AN175" i="32"/>
  <c r="AN176" i="32"/>
  <c r="AN177" i="32"/>
  <c r="AN178" i="32"/>
  <c r="AN179" i="32"/>
  <c r="AN180" i="32"/>
  <c r="AN181" i="32"/>
  <c r="AN182" i="32"/>
  <c r="AN183" i="32"/>
  <c r="AN184" i="32"/>
  <c r="AN185" i="32"/>
  <c r="AN186" i="32"/>
  <c r="AN187" i="32"/>
  <c r="AN188" i="32"/>
  <c r="AN189" i="32"/>
  <c r="AN190" i="32"/>
  <c r="AN191" i="32"/>
  <c r="AN192" i="32"/>
  <c r="AN193" i="32"/>
  <c r="AN194" i="32"/>
  <c r="AN195" i="32"/>
  <c r="AN196" i="32"/>
  <c r="AN197" i="32"/>
  <c r="AN198" i="32"/>
  <c r="AN199" i="32"/>
  <c r="AN200" i="32"/>
  <c r="AN201" i="32"/>
  <c r="AN202" i="32"/>
  <c r="AN203" i="32"/>
  <c r="AN204" i="32"/>
  <c r="AN205" i="32"/>
  <c r="AN206" i="32"/>
  <c r="AN207" i="32"/>
  <c r="AN208" i="32"/>
  <c r="AN209" i="32"/>
  <c r="AN210" i="32"/>
  <c r="AN211" i="32"/>
  <c r="AN212" i="32"/>
  <c r="AN213" i="32"/>
  <c r="AN214" i="32"/>
  <c r="AN215" i="32"/>
  <c r="AN216" i="32"/>
  <c r="AN217" i="32"/>
  <c r="AN218" i="32"/>
  <c r="AN219" i="32"/>
  <c r="AN220" i="32"/>
  <c r="AN221" i="32"/>
  <c r="AN222" i="32"/>
  <c r="AN223" i="32"/>
  <c r="AN224" i="32"/>
  <c r="AN225" i="32"/>
  <c r="AN226" i="32"/>
  <c r="AN227" i="32"/>
  <c r="AN228" i="32"/>
  <c r="AN229" i="32"/>
  <c r="AN230" i="32"/>
  <c r="AN231" i="32"/>
  <c r="AN232" i="32"/>
  <c r="AN233" i="32"/>
  <c r="AN234" i="32"/>
  <c r="AN235" i="32"/>
  <c r="AN236" i="32"/>
  <c r="AN237" i="32"/>
  <c r="AN238" i="32"/>
  <c r="AN239" i="32"/>
  <c r="AN240" i="32"/>
  <c r="AN241" i="32"/>
  <c r="AN242" i="32"/>
  <c r="AN243" i="32"/>
  <c r="AN244" i="32"/>
  <c r="AN245" i="32"/>
  <c r="AN246" i="32"/>
  <c r="AN247" i="32"/>
  <c r="AN248" i="32"/>
  <c r="AN249" i="32"/>
  <c r="AN250" i="32"/>
  <c r="AN251" i="32"/>
  <c r="AN252" i="32"/>
  <c r="AN253" i="32"/>
  <c r="AN254" i="32"/>
  <c r="AN255" i="32"/>
  <c r="AN256" i="32"/>
  <c r="AN257" i="32"/>
  <c r="AN258" i="32"/>
  <c r="AN259" i="32"/>
  <c r="AN260" i="32"/>
  <c r="AN261" i="32"/>
  <c r="AN262" i="32"/>
  <c r="AN263" i="32"/>
  <c r="AN264" i="32"/>
  <c r="AN265" i="32"/>
  <c r="AN266" i="32"/>
  <c r="AN267" i="32"/>
  <c r="AN268" i="32"/>
  <c r="AN269" i="32"/>
  <c r="AN270" i="32"/>
  <c r="AN271" i="32"/>
  <c r="AN272" i="32"/>
  <c r="AN273" i="32"/>
  <c r="AN274" i="32"/>
  <c r="AN275" i="32"/>
  <c r="AN276" i="32"/>
  <c r="AN277" i="32"/>
  <c r="AN278" i="32"/>
  <c r="AN279" i="32"/>
  <c r="AN280" i="32"/>
  <c r="AN281" i="32"/>
  <c r="AN282" i="32"/>
  <c r="AN283" i="32"/>
  <c r="AN284" i="32"/>
  <c r="AN285" i="32"/>
  <c r="AN286" i="32"/>
  <c r="AN287" i="32"/>
  <c r="AN288" i="32"/>
  <c r="AN289" i="32"/>
  <c r="AN290" i="32"/>
  <c r="AN291" i="32"/>
  <c r="AN292" i="32"/>
  <c r="AN293" i="32"/>
  <c r="AN294" i="32"/>
  <c r="AN295" i="32"/>
  <c r="AN296" i="32"/>
  <c r="AN297" i="32"/>
  <c r="AN298" i="32"/>
  <c r="AN299" i="32"/>
  <c r="AN300" i="32"/>
  <c r="AN301" i="32"/>
  <c r="AN302" i="32"/>
  <c r="AN303" i="32"/>
  <c r="AN304" i="32"/>
  <c r="AN305" i="32"/>
  <c r="AN306" i="32"/>
  <c r="AN307" i="32"/>
  <c r="AN308" i="32"/>
  <c r="AN309" i="32"/>
  <c r="AN310" i="32"/>
  <c r="AN311" i="32"/>
  <c r="AN312" i="32"/>
  <c r="AN313" i="32"/>
  <c r="AN314" i="32"/>
  <c r="AN315" i="32"/>
  <c r="AN316" i="32"/>
  <c r="AN317" i="32"/>
  <c r="AN318" i="32"/>
  <c r="AN319" i="32"/>
  <c r="AN320" i="32"/>
  <c r="AN321" i="32"/>
  <c r="AN322" i="32"/>
  <c r="AN323" i="32"/>
  <c r="AN324" i="32"/>
  <c r="AN325" i="32"/>
  <c r="AN326" i="32"/>
  <c r="AN327" i="32"/>
  <c r="AN328" i="32"/>
  <c r="AN329" i="32"/>
  <c r="AN330" i="32"/>
  <c r="AN331" i="32"/>
  <c r="AN332" i="32"/>
  <c r="AN333" i="32"/>
  <c r="AN334" i="32"/>
  <c r="AN335" i="32"/>
  <c r="AN336" i="32"/>
  <c r="AN337" i="32"/>
  <c r="AN338" i="32"/>
  <c r="AN339" i="32"/>
  <c r="AN340" i="32"/>
  <c r="AN341" i="32"/>
  <c r="AN342" i="32"/>
  <c r="AN343" i="32"/>
  <c r="AN344" i="32"/>
  <c r="AN345" i="32"/>
  <c r="AN346" i="32"/>
  <c r="AN347" i="32"/>
  <c r="AN348" i="32"/>
  <c r="AN349" i="32"/>
  <c r="AN350" i="32"/>
  <c r="AN351" i="32"/>
  <c r="AN352" i="32"/>
  <c r="AN353" i="32"/>
  <c r="AN354" i="32"/>
  <c r="AN355" i="32"/>
  <c r="AN356" i="32"/>
  <c r="AN357" i="32"/>
  <c r="AN358" i="32"/>
  <c r="AN359" i="32"/>
  <c r="AN360" i="32"/>
  <c r="AN361" i="32"/>
  <c r="AN362" i="32"/>
  <c r="AN363" i="32"/>
  <c r="AN364" i="32"/>
  <c r="AN365" i="32"/>
  <c r="AN366" i="32"/>
  <c r="AN367" i="32"/>
  <c r="AN368" i="32"/>
  <c r="AN369" i="32"/>
  <c r="AN370" i="32"/>
  <c r="AN371" i="32"/>
  <c r="AN372" i="32"/>
  <c r="AN373" i="32"/>
  <c r="AN374" i="32"/>
  <c r="AN375" i="32"/>
  <c r="AN376" i="32"/>
  <c r="AN377" i="32"/>
  <c r="AN378" i="32"/>
  <c r="AN379" i="32"/>
  <c r="AN380" i="32"/>
  <c r="AN381" i="32"/>
  <c r="AN382" i="32"/>
  <c r="AN383" i="32"/>
  <c r="AN384" i="32"/>
  <c r="AN385" i="32"/>
  <c r="AN386" i="32"/>
  <c r="AN387" i="32"/>
  <c r="AN388" i="32"/>
  <c r="AN389" i="32"/>
  <c r="AN390" i="32"/>
  <c r="AN391" i="32"/>
  <c r="AN392" i="32"/>
  <c r="AN393" i="32"/>
  <c r="AN394" i="32"/>
  <c r="AN395" i="32"/>
  <c r="AN396" i="32"/>
  <c r="AN397" i="32"/>
  <c r="AN398" i="32"/>
  <c r="AN399" i="32"/>
  <c r="AN400" i="32"/>
  <c r="AN401" i="32"/>
  <c r="AN402" i="32"/>
  <c r="AN403" i="32"/>
  <c r="AN404" i="32"/>
  <c r="AN405" i="32"/>
  <c r="AN406" i="32"/>
  <c r="AN407" i="32"/>
  <c r="AN408" i="32"/>
  <c r="AN409" i="32"/>
  <c r="AN410" i="32"/>
  <c r="AN411" i="32"/>
  <c r="AN412" i="32"/>
  <c r="AN413" i="32"/>
  <c r="AN414" i="32"/>
  <c r="AN415" i="32"/>
  <c r="AN416" i="32"/>
  <c r="AN417" i="32"/>
  <c r="AN418" i="32"/>
  <c r="AN419" i="32"/>
  <c r="AN420" i="32"/>
  <c r="AN421" i="32"/>
  <c r="AN422" i="32"/>
  <c r="AN423" i="32"/>
  <c r="AN424" i="32"/>
  <c r="AN425" i="32"/>
  <c r="AN426" i="32"/>
  <c r="AN427" i="32"/>
  <c r="AN428" i="32"/>
  <c r="AN429" i="32"/>
  <c r="AN430" i="32"/>
  <c r="AN431" i="32"/>
  <c r="AN432" i="32"/>
  <c r="AN433" i="32"/>
  <c r="AN434" i="32"/>
  <c r="AN435" i="32"/>
  <c r="AN436" i="32"/>
  <c r="AN437" i="32"/>
  <c r="AN438" i="32"/>
  <c r="AN439" i="32"/>
  <c r="AN440" i="32"/>
  <c r="AN441" i="32"/>
  <c r="AN442" i="32"/>
  <c r="AN443" i="32"/>
  <c r="AN444" i="32"/>
  <c r="AN445" i="32"/>
  <c r="AN446" i="32"/>
  <c r="AN447" i="32"/>
  <c r="AP5" i="32"/>
  <c r="AO5" i="32"/>
  <c r="AO4" i="32"/>
  <c r="AO6" i="32"/>
  <c r="AO7" i="32"/>
  <c r="AO8" i="32"/>
  <c r="AO9" i="32"/>
  <c r="AO10" i="32"/>
  <c r="AO11" i="32"/>
  <c r="AO12" i="32"/>
  <c r="AO13" i="32"/>
  <c r="AO14" i="32"/>
  <c r="AO16" i="32"/>
  <c r="AO17" i="32"/>
  <c r="AO18" i="32"/>
  <c r="AO19" i="32"/>
  <c r="AO20" i="32"/>
  <c r="AO21" i="32"/>
  <c r="AO22" i="32"/>
  <c r="AO23" i="32"/>
  <c r="AO24" i="32"/>
  <c r="AO25" i="32"/>
  <c r="AO26" i="32"/>
  <c r="AO27" i="32"/>
  <c r="AO28" i="32"/>
  <c r="AO29" i="32"/>
  <c r="AO30" i="32"/>
  <c r="AO31" i="32"/>
  <c r="AO32" i="32"/>
  <c r="AO33" i="32"/>
  <c r="AO34" i="32"/>
  <c r="AO35" i="32"/>
  <c r="AO36" i="32"/>
  <c r="AO37" i="32"/>
  <c r="AO38" i="32"/>
  <c r="AO39" i="32"/>
  <c r="AO40" i="32"/>
  <c r="AO41" i="32"/>
  <c r="AO42" i="32"/>
  <c r="AO43" i="32"/>
  <c r="AO44" i="32"/>
  <c r="AO45" i="32"/>
  <c r="AO46" i="32"/>
  <c r="AO47" i="32"/>
  <c r="AO48" i="32"/>
  <c r="AO49" i="32"/>
  <c r="AO50" i="32"/>
  <c r="AO51" i="32"/>
  <c r="AO52" i="32"/>
  <c r="AO53" i="32"/>
  <c r="AO54" i="32"/>
  <c r="AO55" i="32"/>
  <c r="AO56" i="32"/>
  <c r="AO57" i="32"/>
  <c r="AO58" i="32"/>
  <c r="AO59" i="32"/>
  <c r="AO60" i="32"/>
  <c r="AO61" i="32"/>
  <c r="AO62" i="32"/>
  <c r="AO63" i="32"/>
  <c r="AO64" i="32"/>
  <c r="AO65" i="32"/>
  <c r="AO66" i="32"/>
  <c r="AO67" i="32"/>
  <c r="AO68" i="32"/>
  <c r="AO69" i="32"/>
  <c r="AO70" i="32"/>
  <c r="AO71" i="32"/>
  <c r="AO72" i="32"/>
  <c r="AO73" i="32"/>
  <c r="AO74" i="32"/>
  <c r="AO75" i="32"/>
  <c r="AO76" i="32"/>
  <c r="AO77" i="32"/>
  <c r="AO78" i="32"/>
  <c r="AO79" i="32"/>
  <c r="AO80" i="32"/>
  <c r="AO81" i="32"/>
  <c r="AO82" i="32"/>
  <c r="AO83" i="32"/>
  <c r="AO84" i="32"/>
  <c r="AO85" i="32"/>
  <c r="AO86" i="32"/>
  <c r="AO87" i="32"/>
  <c r="AO88" i="32"/>
  <c r="AO89" i="32"/>
  <c r="AO90" i="32"/>
  <c r="AO91" i="32"/>
  <c r="AO92" i="32"/>
  <c r="AO93" i="32"/>
  <c r="AO94" i="32"/>
  <c r="AO95" i="32"/>
  <c r="AO96" i="32"/>
  <c r="AO97" i="32"/>
  <c r="AO98" i="32"/>
  <c r="AO99" i="32"/>
  <c r="AO100" i="32"/>
  <c r="AO101" i="32"/>
  <c r="AO102" i="32"/>
  <c r="AO103" i="32"/>
  <c r="AO104" i="32"/>
  <c r="AO105" i="32"/>
  <c r="AO106" i="32"/>
  <c r="AO107" i="32"/>
  <c r="AO108" i="32"/>
  <c r="AO109" i="32"/>
  <c r="AO110" i="32"/>
  <c r="AO111" i="32"/>
  <c r="AO112" i="32"/>
  <c r="AO113" i="32"/>
  <c r="AO114" i="32"/>
  <c r="AO115" i="32"/>
  <c r="AO116" i="32"/>
  <c r="AO117" i="32"/>
  <c r="AO118" i="32"/>
  <c r="AO119" i="32"/>
  <c r="AO120" i="32"/>
  <c r="AO121" i="32"/>
  <c r="AO122" i="32"/>
  <c r="AO123" i="32"/>
  <c r="AO124" i="32"/>
  <c r="AO125" i="32"/>
  <c r="AO126" i="32"/>
  <c r="AO127" i="32"/>
  <c r="AO128" i="32"/>
  <c r="AO129" i="32"/>
  <c r="AO130" i="32"/>
  <c r="AO131" i="32"/>
  <c r="AO132" i="32"/>
  <c r="AO133" i="32"/>
  <c r="AO134" i="32"/>
  <c r="AO135" i="32"/>
  <c r="AO136" i="32"/>
  <c r="AO137" i="32"/>
  <c r="AO138" i="32"/>
  <c r="AO139" i="32"/>
  <c r="AO140" i="32"/>
  <c r="AO141" i="32"/>
  <c r="AO142" i="32"/>
  <c r="AO143" i="32"/>
  <c r="AO144" i="32"/>
  <c r="AO145" i="32"/>
  <c r="AO146" i="32"/>
  <c r="AO147" i="32"/>
  <c r="AO148" i="32"/>
  <c r="AO149" i="32"/>
  <c r="AO150" i="32"/>
  <c r="AO151" i="32"/>
  <c r="AO152" i="32"/>
  <c r="AO153" i="32"/>
  <c r="AO154" i="32"/>
  <c r="AO155" i="32"/>
  <c r="AO156" i="32"/>
  <c r="AO157" i="32"/>
  <c r="AO158" i="32"/>
  <c r="AO159" i="32"/>
  <c r="AO160" i="32"/>
  <c r="AO161" i="32"/>
  <c r="AO162" i="32"/>
  <c r="AO163" i="32"/>
  <c r="AO164" i="32"/>
  <c r="AO165" i="32"/>
  <c r="AO166" i="32"/>
  <c r="AO167" i="32"/>
  <c r="AO168" i="32"/>
  <c r="AO169" i="32"/>
  <c r="AO170" i="32"/>
  <c r="AO171" i="32"/>
  <c r="AO172" i="32"/>
  <c r="AO173" i="32"/>
  <c r="AO174" i="32"/>
  <c r="AO175" i="32"/>
  <c r="AO176" i="32"/>
  <c r="AO177" i="32"/>
  <c r="AO178" i="32"/>
  <c r="AO179" i="32"/>
  <c r="AO180" i="32"/>
  <c r="AO181" i="32"/>
  <c r="AO182" i="32"/>
  <c r="AO183" i="32"/>
  <c r="AO184" i="32"/>
  <c r="AO185" i="32"/>
  <c r="AO186" i="32"/>
  <c r="AO187" i="32"/>
  <c r="AO188" i="32"/>
  <c r="AO189" i="32"/>
  <c r="AO190" i="32"/>
  <c r="AO191" i="32"/>
  <c r="AO192" i="32"/>
  <c r="AO193" i="32"/>
  <c r="AO194" i="32"/>
  <c r="AO195" i="32"/>
  <c r="AO196" i="32"/>
  <c r="AO197" i="32"/>
  <c r="AO198" i="32"/>
  <c r="AO199" i="32"/>
  <c r="AO200" i="32"/>
  <c r="AO201" i="32"/>
  <c r="AO202" i="32"/>
  <c r="AO203" i="32"/>
  <c r="AO204" i="32"/>
  <c r="AO205" i="32"/>
  <c r="AO206" i="32"/>
  <c r="AO207" i="32"/>
  <c r="AO208" i="32"/>
  <c r="AO209" i="32"/>
  <c r="AO210" i="32"/>
  <c r="AO211" i="32"/>
  <c r="AO212" i="32"/>
  <c r="AO213" i="32"/>
  <c r="AO214" i="32"/>
  <c r="AO215" i="32"/>
  <c r="AO216" i="32"/>
  <c r="AO217" i="32"/>
  <c r="AO218" i="32"/>
  <c r="AO219" i="32"/>
  <c r="AO220" i="32"/>
  <c r="AO221" i="32"/>
  <c r="AO222" i="32"/>
  <c r="AO223" i="32"/>
  <c r="AO224" i="32"/>
  <c r="AO225" i="32"/>
  <c r="AO226" i="32"/>
  <c r="AO227" i="32"/>
  <c r="AO228" i="32"/>
  <c r="AO229" i="32"/>
  <c r="AO230" i="32"/>
  <c r="AO231" i="32"/>
  <c r="AO232" i="32"/>
  <c r="AO233" i="32"/>
  <c r="AO234" i="32"/>
  <c r="AO235" i="32"/>
  <c r="AO236" i="32"/>
  <c r="AO237" i="32"/>
  <c r="AO238" i="32"/>
  <c r="AO239" i="32"/>
  <c r="AO240" i="32"/>
  <c r="AO241" i="32"/>
  <c r="AO242" i="32"/>
  <c r="AO243" i="32"/>
  <c r="AO244" i="32"/>
  <c r="AO245" i="32"/>
  <c r="AO246" i="32"/>
  <c r="AO247" i="32"/>
  <c r="AO248" i="32"/>
  <c r="AO249" i="32"/>
  <c r="AO250" i="32"/>
  <c r="AO251" i="32"/>
  <c r="AO252" i="32"/>
  <c r="AO253" i="32"/>
  <c r="AO254" i="32"/>
  <c r="AO255" i="32"/>
  <c r="AO256" i="32"/>
  <c r="AO257" i="32"/>
  <c r="AO258" i="32"/>
  <c r="AO259" i="32"/>
  <c r="AO260" i="32"/>
  <c r="AO261" i="32"/>
  <c r="AO262" i="32"/>
  <c r="AO263" i="32"/>
  <c r="AO264" i="32"/>
  <c r="AO265" i="32"/>
  <c r="AO266" i="32"/>
  <c r="AO267" i="32"/>
  <c r="AO268" i="32"/>
  <c r="AO269" i="32"/>
  <c r="AO270" i="32"/>
  <c r="AO271" i="32"/>
  <c r="AO272" i="32"/>
  <c r="AO273" i="32"/>
  <c r="AO274" i="32"/>
  <c r="AO275" i="32"/>
  <c r="AO276" i="32"/>
  <c r="AO277" i="32"/>
  <c r="AO278" i="32"/>
  <c r="AO279" i="32"/>
  <c r="AO280" i="32"/>
  <c r="AO281" i="32"/>
  <c r="AO282" i="32"/>
  <c r="AO283" i="32"/>
  <c r="AO284" i="32"/>
  <c r="AO285" i="32"/>
  <c r="AO286" i="32"/>
  <c r="AO287" i="32"/>
  <c r="AO288" i="32"/>
  <c r="AO289" i="32"/>
  <c r="AO290" i="32"/>
  <c r="AO291" i="32"/>
  <c r="AO292" i="32"/>
  <c r="AO293" i="32"/>
  <c r="AO294" i="32"/>
  <c r="AO295" i="32"/>
  <c r="AO296" i="32"/>
  <c r="AO297" i="32"/>
  <c r="AO298" i="32"/>
  <c r="AO299" i="32"/>
  <c r="AO300" i="32"/>
  <c r="AO301" i="32"/>
  <c r="AO302" i="32"/>
  <c r="AO303" i="32"/>
  <c r="AO304" i="32"/>
  <c r="AO305" i="32"/>
  <c r="AO306" i="32"/>
  <c r="AO307" i="32"/>
  <c r="AO308" i="32"/>
  <c r="AO309" i="32"/>
  <c r="AO310" i="32"/>
  <c r="AO311" i="32"/>
  <c r="AO312" i="32"/>
  <c r="AO313" i="32"/>
  <c r="AO314" i="32"/>
  <c r="AO315" i="32"/>
  <c r="AO316" i="32"/>
  <c r="AO317" i="32"/>
  <c r="AO318" i="32"/>
  <c r="AO319" i="32"/>
  <c r="AO320" i="32"/>
  <c r="AO321" i="32"/>
  <c r="AO322" i="32"/>
  <c r="AO323" i="32"/>
  <c r="AO324" i="32"/>
  <c r="AO325" i="32"/>
  <c r="AO326" i="32"/>
  <c r="AO327" i="32"/>
  <c r="AO328" i="32"/>
  <c r="AO329" i="32"/>
  <c r="AO330" i="32"/>
  <c r="AO331" i="32"/>
  <c r="AO332" i="32"/>
  <c r="AO333" i="32"/>
  <c r="AO334" i="32"/>
  <c r="AO335" i="32"/>
  <c r="AO336" i="32"/>
  <c r="AO337" i="32"/>
  <c r="AO338" i="32"/>
  <c r="AO339" i="32"/>
  <c r="AO340" i="32"/>
  <c r="AO341" i="32"/>
  <c r="AO342" i="32"/>
  <c r="AO343" i="32"/>
  <c r="AO344" i="32"/>
  <c r="AO345" i="32"/>
  <c r="AO346" i="32"/>
  <c r="AO347" i="32"/>
  <c r="AO348" i="32"/>
  <c r="AO349" i="32"/>
  <c r="AO350" i="32"/>
  <c r="AO351" i="32"/>
  <c r="AO352" i="32"/>
  <c r="AO353" i="32"/>
  <c r="AO354" i="32"/>
  <c r="AO355" i="32"/>
  <c r="AO356" i="32"/>
  <c r="AO357" i="32"/>
  <c r="AO358" i="32"/>
  <c r="AO359" i="32"/>
  <c r="AO360" i="32"/>
  <c r="AO361" i="32"/>
  <c r="AO362" i="32"/>
  <c r="AO363" i="32"/>
  <c r="AO364" i="32"/>
  <c r="AO365" i="32"/>
  <c r="AO366" i="32"/>
  <c r="AO367" i="32"/>
  <c r="AO368" i="32"/>
  <c r="AO369" i="32"/>
  <c r="AO370" i="32"/>
  <c r="AO371" i="32"/>
  <c r="AO372" i="32"/>
  <c r="AO373" i="32"/>
  <c r="AO374" i="32"/>
  <c r="AO375" i="32"/>
  <c r="AO376" i="32"/>
  <c r="AO377" i="32"/>
  <c r="AO378" i="32"/>
  <c r="AO379" i="32"/>
  <c r="AO380" i="32"/>
  <c r="AO381" i="32"/>
  <c r="AO382" i="32"/>
  <c r="AO383" i="32"/>
  <c r="AO384" i="32"/>
  <c r="AO385" i="32"/>
  <c r="AO386" i="32"/>
  <c r="AO387" i="32"/>
  <c r="AO388" i="32"/>
  <c r="AO389" i="32"/>
  <c r="AO390" i="32"/>
  <c r="AO391" i="32"/>
  <c r="AO392" i="32"/>
  <c r="AO393" i="32"/>
  <c r="AO394" i="32"/>
  <c r="AO395" i="32"/>
  <c r="AO396" i="32"/>
  <c r="AO397" i="32"/>
  <c r="AO398" i="32"/>
  <c r="AO399" i="32"/>
  <c r="AO400" i="32"/>
  <c r="AO401" i="32"/>
  <c r="AO402" i="32"/>
  <c r="AO403" i="32"/>
  <c r="AO404" i="32"/>
  <c r="AO405" i="32"/>
  <c r="AO406" i="32"/>
  <c r="AO407" i="32"/>
  <c r="AO408" i="32"/>
  <c r="AO409" i="32"/>
  <c r="AO410" i="32"/>
  <c r="AO411" i="32"/>
  <c r="AO412" i="32"/>
  <c r="AO413" i="32"/>
  <c r="AO414" i="32"/>
  <c r="AO415" i="32"/>
  <c r="AO416" i="32"/>
  <c r="AO417" i="32"/>
  <c r="AO418" i="32"/>
  <c r="AO419" i="32"/>
  <c r="AO420" i="32"/>
  <c r="AO421" i="32"/>
  <c r="AO422" i="32"/>
  <c r="AO423" i="32"/>
  <c r="AO424" i="32"/>
  <c r="AO425" i="32"/>
  <c r="AO426" i="32"/>
  <c r="AO427" i="32"/>
  <c r="AO428" i="32"/>
  <c r="AO429" i="32"/>
  <c r="AO430" i="32"/>
  <c r="AO431" i="32"/>
  <c r="AO432" i="32"/>
  <c r="AO433" i="32"/>
  <c r="AO434" i="32"/>
  <c r="AO435" i="32"/>
  <c r="AO436" i="32"/>
  <c r="AO437" i="32"/>
  <c r="AO438" i="32"/>
  <c r="AO439" i="32"/>
  <c r="AO440" i="32"/>
  <c r="AO441" i="32"/>
  <c r="AO442" i="32"/>
  <c r="AO443" i="32"/>
  <c r="AO444" i="32"/>
  <c r="AQ5" i="32"/>
  <c r="AP6" i="32"/>
  <c r="AQ6" i="32"/>
  <c r="AP7" i="32"/>
  <c r="AQ7" i="32"/>
  <c r="AP8" i="32"/>
  <c r="AQ8" i="32"/>
  <c r="AP9" i="32"/>
  <c r="AQ9" i="32"/>
  <c r="AP10" i="32"/>
  <c r="AQ10" i="32"/>
  <c r="AP11" i="32"/>
  <c r="AQ11" i="32"/>
  <c r="AP12" i="32"/>
  <c r="AQ12" i="32"/>
  <c r="AP13" i="32"/>
  <c r="AQ13" i="32"/>
  <c r="AP14" i="32"/>
  <c r="AQ14" i="32"/>
  <c r="AP15" i="32"/>
  <c r="AQ15" i="32"/>
  <c r="AP16" i="32"/>
  <c r="AQ16" i="32"/>
  <c r="AP17" i="32"/>
  <c r="AQ17" i="32"/>
  <c r="AP18" i="32"/>
  <c r="AQ18" i="32"/>
  <c r="AP19" i="32"/>
  <c r="AQ19" i="32"/>
  <c r="AP20" i="32"/>
  <c r="AQ20" i="32"/>
  <c r="AP21" i="32"/>
  <c r="AQ21" i="32"/>
  <c r="AP22" i="32"/>
  <c r="AQ22" i="32"/>
  <c r="AP23" i="32"/>
  <c r="AQ23" i="32"/>
  <c r="AP24" i="32"/>
  <c r="AQ24" i="32"/>
  <c r="AP25" i="32"/>
  <c r="AQ25" i="32"/>
  <c r="AP26" i="32"/>
  <c r="AQ26" i="32"/>
  <c r="AP27" i="32"/>
  <c r="AQ27" i="32"/>
  <c r="AP28" i="32"/>
  <c r="AQ28" i="32"/>
  <c r="AP29" i="32"/>
  <c r="AQ29" i="32"/>
  <c r="AP30" i="32"/>
  <c r="AQ30" i="32"/>
  <c r="AP31" i="32"/>
  <c r="AQ31" i="32"/>
  <c r="AP32" i="32"/>
  <c r="AQ32" i="32"/>
  <c r="AP33" i="32"/>
  <c r="AQ33" i="32"/>
  <c r="AP34" i="32"/>
  <c r="AQ34" i="32"/>
  <c r="AP35" i="32"/>
  <c r="AQ35" i="32"/>
  <c r="AP36" i="32"/>
  <c r="AQ36" i="32"/>
  <c r="AP37" i="32"/>
  <c r="AQ37" i="32"/>
  <c r="AP38" i="32"/>
  <c r="AQ38" i="32"/>
  <c r="AP39" i="32"/>
  <c r="AQ39" i="32"/>
  <c r="AP40" i="32"/>
  <c r="AQ40" i="32"/>
  <c r="AP41" i="32"/>
  <c r="AQ41" i="32"/>
  <c r="AP42" i="32"/>
  <c r="AQ42" i="32"/>
  <c r="AP43" i="32"/>
  <c r="AQ43" i="32"/>
  <c r="AP44" i="32"/>
  <c r="AQ44" i="32"/>
  <c r="AP45" i="32"/>
  <c r="AQ45" i="32"/>
  <c r="AP46" i="32"/>
  <c r="AQ46" i="32"/>
  <c r="AP47" i="32"/>
  <c r="AQ47" i="32"/>
  <c r="AP48" i="32"/>
  <c r="AQ48" i="32"/>
  <c r="AP49" i="32"/>
  <c r="AQ49" i="32"/>
  <c r="AP50" i="32"/>
  <c r="AQ50" i="32"/>
  <c r="AP51" i="32"/>
  <c r="AQ51" i="32"/>
  <c r="AP52" i="32"/>
  <c r="AQ52" i="32"/>
  <c r="AP53" i="32"/>
  <c r="AQ53" i="32"/>
  <c r="AP54" i="32"/>
  <c r="AQ54" i="32"/>
  <c r="AP55" i="32"/>
  <c r="AQ55" i="32"/>
  <c r="AP56" i="32"/>
  <c r="AQ56" i="32"/>
  <c r="AP57" i="32"/>
  <c r="AQ57" i="32"/>
  <c r="AP58" i="32"/>
  <c r="AQ58" i="32"/>
  <c r="AP59" i="32"/>
  <c r="AQ59" i="32"/>
  <c r="AP60" i="32"/>
  <c r="AQ60" i="32"/>
  <c r="AP61" i="32"/>
  <c r="AQ61" i="32"/>
  <c r="AP62" i="32"/>
  <c r="AQ62" i="32"/>
  <c r="AP63" i="32"/>
  <c r="AQ63" i="32"/>
  <c r="AP64" i="32"/>
  <c r="AQ64" i="32"/>
  <c r="AP65" i="32"/>
  <c r="AQ65" i="32"/>
  <c r="AP66" i="32"/>
  <c r="AQ66" i="32"/>
  <c r="AP67" i="32"/>
  <c r="AQ67" i="32"/>
  <c r="AP68" i="32"/>
  <c r="AQ68" i="32"/>
  <c r="AP69" i="32"/>
  <c r="AQ69" i="32"/>
  <c r="AP70" i="32"/>
  <c r="AQ70" i="32"/>
  <c r="AP71" i="32"/>
  <c r="AQ71" i="32"/>
  <c r="AP72" i="32"/>
  <c r="AQ72" i="32"/>
  <c r="AP73" i="32"/>
  <c r="AQ73" i="32"/>
  <c r="AP74" i="32"/>
  <c r="AQ74" i="32"/>
  <c r="AP75" i="32"/>
  <c r="AQ75" i="32"/>
  <c r="AP76" i="32"/>
  <c r="AQ76" i="32"/>
  <c r="AP77" i="32"/>
  <c r="AQ77" i="32"/>
  <c r="AP78" i="32"/>
  <c r="AQ78" i="32"/>
  <c r="AP79" i="32"/>
  <c r="AQ79" i="32"/>
  <c r="AP80" i="32"/>
  <c r="AQ80" i="32"/>
  <c r="AP81" i="32"/>
  <c r="AQ81" i="32"/>
  <c r="AP82" i="32"/>
  <c r="AQ82" i="32"/>
  <c r="AP83" i="32"/>
  <c r="AQ83" i="32"/>
  <c r="AP84" i="32"/>
  <c r="AQ84" i="32"/>
  <c r="AP85" i="32"/>
  <c r="AQ85" i="32"/>
  <c r="AP86" i="32"/>
  <c r="AQ86" i="32"/>
  <c r="AP87" i="32"/>
  <c r="AQ87" i="32"/>
  <c r="AP88" i="32"/>
  <c r="AQ88" i="32"/>
  <c r="AP89" i="32"/>
  <c r="AQ89" i="32"/>
  <c r="AP90" i="32"/>
  <c r="AQ90" i="32"/>
  <c r="AP91" i="32"/>
  <c r="AQ91" i="32"/>
  <c r="AP92" i="32"/>
  <c r="AQ92" i="32"/>
  <c r="AP93" i="32"/>
  <c r="AQ93" i="32"/>
  <c r="AP94" i="32"/>
  <c r="AQ94" i="32"/>
  <c r="AP95" i="32"/>
  <c r="AQ95" i="32"/>
  <c r="AP96" i="32"/>
  <c r="AQ96" i="32"/>
  <c r="AP97" i="32"/>
  <c r="AQ97" i="32"/>
  <c r="AP98" i="32"/>
  <c r="AQ98" i="32"/>
  <c r="AP99" i="32"/>
  <c r="AQ99" i="32"/>
  <c r="AP100" i="32"/>
  <c r="AQ100" i="32"/>
  <c r="AP101" i="32"/>
  <c r="AQ101" i="32"/>
  <c r="AP102" i="32"/>
  <c r="AQ102" i="32"/>
  <c r="AP103" i="32"/>
  <c r="AQ103" i="32"/>
  <c r="AP104" i="32"/>
  <c r="AQ104" i="32"/>
  <c r="AP105" i="32"/>
  <c r="AQ105" i="32"/>
  <c r="AP106" i="32"/>
  <c r="AQ106" i="32"/>
  <c r="AP107" i="32"/>
  <c r="AQ107" i="32"/>
  <c r="AP108" i="32"/>
  <c r="AQ108" i="32"/>
  <c r="AP109" i="32"/>
  <c r="AQ109" i="32"/>
  <c r="AP110" i="32"/>
  <c r="AQ110" i="32"/>
  <c r="AP111" i="32"/>
  <c r="AQ111" i="32"/>
  <c r="AP112" i="32"/>
  <c r="AQ112" i="32"/>
  <c r="AP113" i="32"/>
  <c r="AQ113" i="32"/>
  <c r="AP114" i="32"/>
  <c r="AQ114" i="32"/>
  <c r="AP115" i="32"/>
  <c r="AQ115" i="32"/>
  <c r="AP116" i="32"/>
  <c r="AQ116" i="32"/>
  <c r="AP117" i="32"/>
  <c r="AQ117" i="32"/>
  <c r="AP118" i="32"/>
  <c r="AQ118" i="32"/>
  <c r="AP119" i="32"/>
  <c r="AQ119" i="32"/>
  <c r="AP120" i="32"/>
  <c r="AQ120" i="32"/>
  <c r="AP121" i="32"/>
  <c r="AQ121" i="32"/>
  <c r="AP122" i="32"/>
  <c r="AQ122" i="32"/>
  <c r="AP123" i="32"/>
  <c r="AQ123" i="32"/>
  <c r="AP124" i="32"/>
  <c r="AQ124" i="32"/>
  <c r="AP125" i="32"/>
  <c r="AQ125" i="32"/>
  <c r="AP126" i="32"/>
  <c r="AQ126" i="32"/>
  <c r="AP127" i="32"/>
  <c r="AQ127" i="32"/>
  <c r="AP128" i="32"/>
  <c r="AQ128" i="32"/>
  <c r="AP129" i="32"/>
  <c r="AQ129" i="32"/>
  <c r="AP130" i="32"/>
  <c r="AQ130" i="32"/>
  <c r="AP131" i="32"/>
  <c r="AQ131" i="32"/>
  <c r="AP132" i="32"/>
  <c r="AQ132" i="32"/>
  <c r="AP133" i="32"/>
  <c r="AQ133" i="32"/>
  <c r="AP134" i="32"/>
  <c r="AQ134" i="32"/>
  <c r="AP135" i="32"/>
  <c r="AQ135" i="32"/>
  <c r="AP136" i="32"/>
  <c r="AQ136" i="32"/>
  <c r="AP137" i="32"/>
  <c r="AQ137" i="32"/>
  <c r="AP138" i="32"/>
  <c r="AQ138" i="32"/>
  <c r="AP139" i="32"/>
  <c r="AQ139" i="32"/>
  <c r="AP140" i="32"/>
  <c r="AQ140" i="32"/>
  <c r="AP141" i="32"/>
  <c r="AQ141" i="32"/>
  <c r="AP142" i="32"/>
  <c r="AQ142" i="32"/>
  <c r="AP143" i="32"/>
  <c r="AQ143" i="32"/>
  <c r="AP144" i="32"/>
  <c r="AQ144" i="32"/>
  <c r="AP145" i="32"/>
  <c r="AQ145" i="32"/>
  <c r="AP146" i="32"/>
  <c r="AQ146" i="32"/>
  <c r="AP147" i="32"/>
  <c r="AQ147" i="32"/>
  <c r="AP148" i="32"/>
  <c r="AQ148" i="32"/>
  <c r="AP149" i="32"/>
  <c r="AQ149" i="32"/>
  <c r="AP150" i="32"/>
  <c r="AQ150" i="32"/>
  <c r="AP151" i="32"/>
  <c r="AQ151" i="32"/>
  <c r="AP152" i="32"/>
  <c r="AQ152" i="32"/>
  <c r="AP153" i="32"/>
  <c r="AQ153" i="32"/>
  <c r="AP154" i="32"/>
  <c r="AQ154" i="32"/>
  <c r="AP155" i="32"/>
  <c r="AQ155" i="32"/>
  <c r="AP156" i="32"/>
  <c r="AQ156" i="32"/>
  <c r="AP157" i="32"/>
  <c r="AQ157" i="32"/>
  <c r="AP158" i="32"/>
  <c r="AQ158" i="32"/>
  <c r="AP159" i="32"/>
  <c r="AQ159" i="32"/>
  <c r="AP160" i="32"/>
  <c r="AQ160" i="32"/>
  <c r="AP161" i="32"/>
  <c r="AQ161" i="32"/>
  <c r="AP162" i="32"/>
  <c r="AQ162" i="32"/>
  <c r="AP163" i="32"/>
  <c r="AQ163" i="32"/>
  <c r="AP164" i="32"/>
  <c r="AQ164" i="32"/>
  <c r="AP165" i="32"/>
  <c r="AQ165" i="32"/>
  <c r="AP166" i="32"/>
  <c r="AQ166" i="32"/>
  <c r="AP167" i="32"/>
  <c r="AQ167" i="32"/>
  <c r="AP168" i="32"/>
  <c r="AQ168" i="32"/>
  <c r="AP169" i="32"/>
  <c r="AQ169" i="32"/>
  <c r="AP170" i="32"/>
  <c r="AQ170" i="32"/>
  <c r="AP171" i="32"/>
  <c r="AQ171" i="32"/>
  <c r="AP172" i="32"/>
  <c r="AQ172" i="32"/>
  <c r="AP173" i="32"/>
  <c r="AQ173" i="32"/>
  <c r="AP174" i="32"/>
  <c r="AQ174" i="32"/>
  <c r="AP175" i="32"/>
  <c r="AQ175" i="32"/>
  <c r="AP176" i="32"/>
  <c r="AQ176" i="32"/>
  <c r="AP177" i="32"/>
  <c r="AQ177" i="32"/>
  <c r="AP178" i="32"/>
  <c r="AQ178" i="32"/>
  <c r="AP179" i="32"/>
  <c r="AQ179" i="32"/>
  <c r="AP180" i="32"/>
  <c r="AQ180" i="32"/>
  <c r="AP181" i="32"/>
  <c r="AQ181" i="32"/>
  <c r="AP182" i="32"/>
  <c r="AQ182" i="32"/>
  <c r="AP183" i="32"/>
  <c r="AQ183" i="32"/>
  <c r="AP184" i="32"/>
  <c r="AQ184" i="32"/>
  <c r="AP185" i="32"/>
  <c r="AQ185" i="32"/>
  <c r="AP186" i="32"/>
  <c r="AQ186" i="32"/>
  <c r="AP187" i="32"/>
  <c r="AQ187" i="32"/>
  <c r="AP188" i="32"/>
  <c r="AQ188" i="32"/>
  <c r="AP189" i="32"/>
  <c r="AQ189" i="32"/>
  <c r="AP190" i="32"/>
  <c r="AQ190" i="32"/>
  <c r="AP191" i="32"/>
  <c r="AQ191" i="32"/>
  <c r="AP192" i="32"/>
  <c r="AQ192" i="32"/>
  <c r="AP193" i="32"/>
  <c r="AQ193" i="32"/>
  <c r="AP194" i="32"/>
  <c r="AQ194" i="32"/>
  <c r="AP195" i="32"/>
  <c r="AQ195" i="32"/>
  <c r="AP196" i="32"/>
  <c r="AQ196" i="32"/>
  <c r="AP197" i="32"/>
  <c r="AQ197" i="32"/>
  <c r="AP198" i="32"/>
  <c r="AQ198" i="32"/>
  <c r="AP199" i="32"/>
  <c r="AQ199" i="32"/>
  <c r="AP200" i="32"/>
  <c r="AQ200" i="32"/>
  <c r="AP201" i="32"/>
  <c r="AQ201" i="32"/>
  <c r="AP202" i="32"/>
  <c r="AQ202" i="32"/>
  <c r="AP203" i="32"/>
  <c r="AQ203" i="32"/>
  <c r="AP204" i="32"/>
  <c r="AQ204" i="32"/>
  <c r="AP205" i="32"/>
  <c r="AQ205" i="32"/>
  <c r="AP206" i="32"/>
  <c r="AQ206" i="32"/>
  <c r="AP207" i="32"/>
  <c r="AQ207" i="32"/>
  <c r="AP208" i="32"/>
  <c r="AQ208" i="32"/>
  <c r="AP209" i="32"/>
  <c r="AQ209" i="32"/>
  <c r="AP210" i="32"/>
  <c r="AQ210" i="32"/>
  <c r="AP211" i="32"/>
  <c r="AQ211" i="32"/>
  <c r="AP212" i="32"/>
  <c r="AQ212" i="32"/>
  <c r="AP213" i="32"/>
  <c r="AQ213" i="32"/>
  <c r="AP214" i="32"/>
  <c r="AQ214" i="32"/>
  <c r="AP215" i="32"/>
  <c r="AQ215" i="32"/>
  <c r="AP216" i="32"/>
  <c r="AQ216" i="32"/>
  <c r="AP217" i="32"/>
  <c r="AQ217" i="32"/>
  <c r="AP218" i="32"/>
  <c r="AQ218" i="32"/>
  <c r="AP219" i="32"/>
  <c r="AQ219" i="32"/>
  <c r="AP220" i="32"/>
  <c r="AQ220" i="32"/>
  <c r="AP221" i="32"/>
  <c r="AQ221" i="32"/>
  <c r="AP222" i="32"/>
  <c r="AQ222" i="32"/>
  <c r="AP223" i="32"/>
  <c r="AQ223" i="32"/>
  <c r="AP224" i="32"/>
  <c r="AQ224" i="32"/>
  <c r="AP225" i="32"/>
  <c r="AQ225" i="32"/>
  <c r="AP226" i="32"/>
  <c r="AQ226" i="32"/>
  <c r="AP227" i="32"/>
  <c r="AQ227" i="32"/>
  <c r="AP228" i="32"/>
  <c r="AQ228" i="32"/>
  <c r="AP229" i="32"/>
  <c r="AQ229" i="32"/>
  <c r="AP230" i="32"/>
  <c r="AQ230" i="32"/>
  <c r="AP231" i="32"/>
  <c r="AQ231" i="32"/>
  <c r="AP232" i="32"/>
  <c r="AQ232" i="32"/>
  <c r="AP233" i="32"/>
  <c r="AQ233" i="32"/>
  <c r="AP234" i="32"/>
  <c r="AQ234" i="32"/>
  <c r="AP235" i="32"/>
  <c r="AQ235" i="32"/>
  <c r="AP236" i="32"/>
  <c r="AQ236" i="32"/>
  <c r="AP237" i="32"/>
  <c r="AQ237" i="32"/>
  <c r="AP238" i="32"/>
  <c r="AQ238" i="32"/>
  <c r="AP239" i="32"/>
  <c r="AQ239" i="32"/>
  <c r="AP240" i="32"/>
  <c r="AQ240" i="32"/>
  <c r="AP241" i="32"/>
  <c r="AQ241" i="32"/>
  <c r="AP242" i="32"/>
  <c r="AQ242" i="32"/>
  <c r="AP243" i="32"/>
  <c r="AQ243" i="32"/>
  <c r="AP244" i="32"/>
  <c r="AQ244" i="32"/>
  <c r="AP245" i="32"/>
  <c r="AQ245" i="32"/>
  <c r="AP246" i="32"/>
  <c r="AQ246" i="32"/>
  <c r="AP247" i="32"/>
  <c r="AQ247" i="32"/>
  <c r="AP248" i="32"/>
  <c r="AQ248" i="32"/>
  <c r="AP249" i="32"/>
  <c r="AQ249" i="32"/>
  <c r="AP250" i="32"/>
  <c r="AQ250" i="32"/>
  <c r="AP251" i="32"/>
  <c r="AQ251" i="32"/>
  <c r="AP252" i="32"/>
  <c r="AQ252" i="32"/>
  <c r="AP253" i="32"/>
  <c r="AQ253" i="32"/>
  <c r="AP254" i="32"/>
  <c r="AQ254" i="32"/>
  <c r="AP255" i="32"/>
  <c r="AQ255" i="32"/>
  <c r="AP256" i="32"/>
  <c r="AQ256" i="32"/>
  <c r="AP257" i="32"/>
  <c r="AQ257" i="32"/>
  <c r="AP258" i="32"/>
  <c r="AQ258" i="32"/>
  <c r="AP259" i="32"/>
  <c r="AQ259" i="32"/>
  <c r="AP260" i="32"/>
  <c r="AQ260" i="32"/>
  <c r="AP261" i="32"/>
  <c r="AQ261" i="32"/>
  <c r="AP262" i="32"/>
  <c r="AQ262" i="32"/>
  <c r="AP263" i="32"/>
  <c r="AQ263" i="32"/>
  <c r="AP264" i="32"/>
  <c r="AQ264" i="32"/>
  <c r="AP265" i="32"/>
  <c r="AQ265" i="32"/>
  <c r="AP266" i="32"/>
  <c r="AQ266" i="32"/>
  <c r="AP267" i="32"/>
  <c r="AQ267" i="32"/>
  <c r="AP268" i="32"/>
  <c r="AQ268" i="32"/>
  <c r="AP269" i="32"/>
  <c r="AQ269" i="32"/>
  <c r="AP270" i="32"/>
  <c r="AQ270" i="32"/>
  <c r="AP271" i="32"/>
  <c r="AQ271" i="32"/>
  <c r="AP272" i="32"/>
  <c r="AQ272" i="32"/>
  <c r="AP273" i="32"/>
  <c r="AQ273" i="32"/>
  <c r="AP274" i="32"/>
  <c r="AQ274" i="32"/>
  <c r="AP275" i="32"/>
  <c r="AQ275" i="32"/>
  <c r="AP276" i="32"/>
  <c r="AQ276" i="32"/>
  <c r="AP277" i="32"/>
  <c r="AQ277" i="32"/>
  <c r="AP278" i="32"/>
  <c r="AQ278" i="32"/>
  <c r="AP279" i="32"/>
  <c r="AQ279" i="32"/>
  <c r="AP280" i="32"/>
  <c r="AQ280" i="32"/>
  <c r="AP281" i="32"/>
  <c r="AQ281" i="32"/>
  <c r="AP282" i="32"/>
  <c r="AQ282" i="32"/>
  <c r="AP283" i="32"/>
  <c r="AQ283" i="32"/>
  <c r="AP284" i="32"/>
  <c r="AQ284" i="32"/>
  <c r="AP285" i="32"/>
  <c r="AQ285" i="32"/>
  <c r="AP286" i="32"/>
  <c r="AQ286" i="32"/>
  <c r="AP287" i="32"/>
  <c r="AQ287" i="32"/>
  <c r="AP288" i="32"/>
  <c r="AQ288" i="32"/>
  <c r="AP289" i="32"/>
  <c r="AQ289" i="32"/>
  <c r="AP290" i="32"/>
  <c r="AQ290" i="32"/>
  <c r="AP291" i="32"/>
  <c r="AQ291" i="32"/>
  <c r="AP292" i="32"/>
  <c r="AQ292" i="32"/>
  <c r="AP293" i="32"/>
  <c r="AQ293" i="32"/>
  <c r="AP294" i="32"/>
  <c r="AQ294" i="32"/>
  <c r="AP295" i="32"/>
  <c r="AQ295" i="32"/>
  <c r="AP296" i="32"/>
  <c r="AQ296" i="32"/>
  <c r="AP297" i="32"/>
  <c r="AQ297" i="32"/>
  <c r="AP298" i="32"/>
  <c r="AQ298" i="32"/>
  <c r="AP299" i="32"/>
  <c r="AQ299" i="32"/>
  <c r="AP300" i="32"/>
  <c r="AQ300" i="32"/>
  <c r="AP301" i="32"/>
  <c r="AQ301" i="32"/>
  <c r="AP302" i="32"/>
  <c r="AQ302" i="32"/>
  <c r="AP303" i="32"/>
  <c r="AQ303" i="32"/>
  <c r="AP304" i="32"/>
  <c r="AQ304" i="32"/>
  <c r="AP305" i="32"/>
  <c r="AQ305" i="32"/>
  <c r="AP306" i="32"/>
  <c r="AQ306" i="32"/>
  <c r="AP307" i="32"/>
  <c r="AQ307" i="32"/>
  <c r="AP308" i="32"/>
  <c r="AQ308" i="32"/>
  <c r="AP309" i="32"/>
  <c r="AQ309" i="32"/>
  <c r="AP310" i="32"/>
  <c r="AQ310" i="32"/>
  <c r="AP311" i="32"/>
  <c r="AQ311" i="32"/>
  <c r="AP312" i="32"/>
  <c r="AQ312" i="32"/>
  <c r="AP313" i="32"/>
  <c r="AQ313" i="32"/>
  <c r="AP314" i="32"/>
  <c r="AQ314" i="32"/>
  <c r="AP315" i="32"/>
  <c r="AQ315" i="32"/>
  <c r="AP316" i="32"/>
  <c r="AQ316" i="32"/>
  <c r="AP317" i="32"/>
  <c r="AQ317" i="32"/>
  <c r="AP318" i="32"/>
  <c r="AQ318" i="32"/>
  <c r="AP319" i="32"/>
  <c r="AQ319" i="32"/>
  <c r="AP320" i="32"/>
  <c r="AQ320" i="32"/>
  <c r="AP321" i="32"/>
  <c r="AQ321" i="32"/>
  <c r="AP322" i="32"/>
  <c r="AQ322" i="32"/>
  <c r="AP323" i="32"/>
  <c r="AQ323" i="32"/>
  <c r="AP324" i="32"/>
  <c r="AQ324" i="32"/>
  <c r="AP325" i="32"/>
  <c r="AQ325" i="32"/>
  <c r="AP326" i="32"/>
  <c r="AQ326" i="32"/>
  <c r="AP327" i="32"/>
  <c r="AQ327" i="32"/>
  <c r="AP328" i="32"/>
  <c r="AQ328" i="32"/>
  <c r="AP329" i="32"/>
  <c r="AQ329" i="32"/>
  <c r="AP330" i="32"/>
  <c r="AQ330" i="32"/>
  <c r="AP331" i="32"/>
  <c r="AQ331" i="32"/>
  <c r="AP332" i="32"/>
  <c r="AQ332" i="32"/>
  <c r="AP333" i="32"/>
  <c r="AQ333" i="32"/>
  <c r="AP334" i="32"/>
  <c r="AQ334" i="32"/>
  <c r="AP335" i="32"/>
  <c r="AQ335" i="32"/>
  <c r="AP336" i="32"/>
  <c r="AQ336" i="32"/>
  <c r="AP337" i="32"/>
  <c r="AQ337" i="32"/>
  <c r="AP338" i="32"/>
  <c r="AQ338" i="32"/>
  <c r="AP339" i="32"/>
  <c r="AQ339" i="32"/>
  <c r="AP340" i="32"/>
  <c r="AQ340" i="32"/>
  <c r="AP341" i="32"/>
  <c r="AQ341" i="32"/>
  <c r="AP342" i="32"/>
  <c r="AQ342" i="32"/>
  <c r="AP343" i="32"/>
  <c r="AQ343" i="32"/>
  <c r="AP344" i="32"/>
  <c r="AQ344" i="32"/>
  <c r="AP345" i="32"/>
  <c r="AQ345" i="32"/>
  <c r="AP346" i="32"/>
  <c r="AQ346" i="32"/>
  <c r="AP347" i="32"/>
  <c r="AQ347" i="32"/>
  <c r="AP348" i="32"/>
  <c r="AQ348" i="32"/>
  <c r="AP349" i="32"/>
  <c r="AQ349" i="32"/>
  <c r="AP350" i="32"/>
  <c r="AQ350" i="32"/>
  <c r="AP351" i="32"/>
  <c r="AQ351" i="32"/>
  <c r="AP352" i="32"/>
  <c r="AQ352" i="32"/>
  <c r="AP353" i="32"/>
  <c r="AQ353" i="32"/>
  <c r="AP354" i="32"/>
  <c r="AQ354" i="32"/>
  <c r="AP355" i="32"/>
  <c r="AQ355" i="32"/>
  <c r="AP356" i="32"/>
  <c r="AQ356" i="32"/>
  <c r="AP357" i="32"/>
  <c r="AQ357" i="32"/>
  <c r="AP358" i="32"/>
  <c r="AQ358" i="32"/>
  <c r="AP359" i="32"/>
  <c r="AQ359" i="32"/>
  <c r="AP360" i="32"/>
  <c r="AQ360" i="32"/>
  <c r="AP361" i="32"/>
  <c r="AQ361" i="32"/>
  <c r="AP362" i="32"/>
  <c r="AQ362" i="32"/>
  <c r="AP363" i="32"/>
  <c r="AQ363" i="32"/>
  <c r="AP364" i="32"/>
  <c r="AQ364" i="32"/>
  <c r="AP365" i="32"/>
  <c r="AQ365" i="32"/>
  <c r="AP366" i="32"/>
  <c r="AQ366" i="32"/>
  <c r="AP367" i="32"/>
  <c r="AQ367" i="32"/>
  <c r="AP368" i="32"/>
  <c r="AQ368" i="32"/>
  <c r="AP369" i="32"/>
  <c r="AQ369" i="32"/>
  <c r="AP370" i="32"/>
  <c r="AQ370" i="32"/>
  <c r="AP371" i="32"/>
  <c r="AQ371" i="32"/>
  <c r="AP372" i="32"/>
  <c r="AQ372" i="32"/>
  <c r="AP373" i="32"/>
  <c r="AQ373" i="32"/>
  <c r="AP374" i="32"/>
  <c r="AQ374" i="32"/>
  <c r="AP375" i="32"/>
  <c r="AQ375" i="32"/>
  <c r="AP376" i="32"/>
  <c r="AQ376" i="32"/>
  <c r="AP377" i="32"/>
  <c r="AQ377" i="32"/>
  <c r="AP378" i="32"/>
  <c r="AQ378" i="32"/>
  <c r="AP379" i="32"/>
  <c r="AQ379" i="32"/>
  <c r="AP380" i="32"/>
  <c r="AQ380" i="32"/>
  <c r="AP381" i="32"/>
  <c r="AQ381" i="32"/>
  <c r="AP382" i="32"/>
  <c r="AQ382" i="32"/>
  <c r="AP383" i="32"/>
  <c r="AQ383" i="32"/>
  <c r="AP384" i="32"/>
  <c r="AQ384" i="32"/>
  <c r="AP385" i="32"/>
  <c r="AQ385" i="32"/>
  <c r="AP386" i="32"/>
  <c r="AQ386" i="32"/>
  <c r="AP387" i="32"/>
  <c r="AQ387" i="32"/>
  <c r="AP388" i="32"/>
  <c r="AQ388" i="32"/>
  <c r="AP389" i="32"/>
  <c r="AQ389" i="32"/>
  <c r="AP390" i="32"/>
  <c r="AQ390" i="32"/>
  <c r="AP391" i="32"/>
  <c r="AQ391" i="32"/>
  <c r="AP392" i="32"/>
  <c r="AQ392" i="32"/>
  <c r="AP393" i="32"/>
  <c r="AQ393" i="32"/>
  <c r="AP394" i="32"/>
  <c r="AQ394" i="32"/>
  <c r="AP395" i="32"/>
  <c r="AQ395" i="32"/>
  <c r="AP396" i="32"/>
  <c r="AQ396" i="32"/>
  <c r="AP397" i="32"/>
  <c r="AQ397" i="32"/>
  <c r="AP398" i="32"/>
  <c r="AQ398" i="32"/>
  <c r="AP399" i="32"/>
  <c r="AQ399" i="32"/>
  <c r="AP400" i="32"/>
  <c r="AQ400" i="32"/>
  <c r="AP401" i="32"/>
  <c r="AQ401" i="32"/>
  <c r="AP402" i="32"/>
  <c r="AQ402" i="32"/>
  <c r="AP403" i="32"/>
  <c r="AQ403" i="32"/>
  <c r="AP404" i="32"/>
  <c r="AQ404" i="32"/>
  <c r="AP405" i="32"/>
  <c r="AQ405" i="32"/>
  <c r="AP406" i="32"/>
  <c r="AQ406" i="32"/>
  <c r="AP407" i="32"/>
  <c r="AQ407" i="32"/>
  <c r="AP408" i="32"/>
  <c r="AQ408" i="32"/>
  <c r="AP409" i="32"/>
  <c r="AQ409" i="32"/>
  <c r="AP410" i="32"/>
  <c r="AQ410" i="32"/>
  <c r="AP411" i="32"/>
  <c r="AQ411" i="32"/>
  <c r="AP412" i="32"/>
  <c r="AQ412" i="32"/>
  <c r="AP413" i="32"/>
  <c r="AQ413" i="32"/>
  <c r="AP414" i="32"/>
  <c r="AQ414" i="32"/>
  <c r="AP415" i="32"/>
  <c r="AQ415" i="32"/>
  <c r="AP416" i="32"/>
  <c r="AQ416" i="32"/>
  <c r="AP417" i="32"/>
  <c r="AQ417" i="32"/>
  <c r="AP418" i="32"/>
  <c r="AQ418" i="32"/>
  <c r="AP419" i="32"/>
  <c r="AQ419" i="32"/>
  <c r="AP420" i="32"/>
  <c r="AQ420" i="32"/>
  <c r="AP421" i="32"/>
  <c r="AQ421" i="32"/>
  <c r="AP422" i="32"/>
  <c r="AQ422" i="32"/>
  <c r="AP423" i="32"/>
  <c r="AQ423" i="32"/>
  <c r="AP424" i="32"/>
  <c r="AQ424" i="32"/>
  <c r="AP425" i="32"/>
  <c r="AQ425" i="32"/>
  <c r="AP426" i="32"/>
  <c r="AQ426" i="32"/>
  <c r="AP427" i="32"/>
  <c r="AQ427" i="32"/>
  <c r="AP428" i="32"/>
  <c r="AQ428" i="32"/>
  <c r="AP429" i="32"/>
  <c r="AQ429" i="32"/>
  <c r="AP430" i="32"/>
  <c r="AQ430" i="32"/>
  <c r="AP431" i="32"/>
  <c r="AQ431" i="32"/>
  <c r="AP432" i="32"/>
  <c r="AQ432" i="32"/>
  <c r="AP433" i="32"/>
  <c r="AQ433" i="32"/>
  <c r="AP434" i="32"/>
  <c r="AQ434" i="32"/>
  <c r="AP435" i="32"/>
  <c r="AQ435" i="32"/>
  <c r="AP436" i="32"/>
  <c r="AQ436" i="32"/>
  <c r="AP437" i="32"/>
  <c r="AQ437" i="32"/>
  <c r="AP438" i="32"/>
  <c r="AQ438" i="32"/>
  <c r="AP439" i="32"/>
  <c r="AQ439" i="32"/>
  <c r="AP440" i="32"/>
  <c r="AQ440" i="32"/>
  <c r="AP441" i="32"/>
  <c r="AQ441" i="32"/>
  <c r="AP442" i="32"/>
  <c r="AQ442" i="32"/>
  <c r="AP443" i="32"/>
  <c r="AQ443" i="32"/>
  <c r="AP444" i="32"/>
  <c r="AQ444" i="32"/>
  <c r="AP445" i="32"/>
  <c r="AQ445" i="32"/>
  <c r="AP446" i="32"/>
  <c r="AQ446" i="32"/>
  <c r="AP447" i="32"/>
  <c r="AQ447" i="32"/>
  <c r="AH4" i="32"/>
  <c r="AH5" i="32"/>
  <c r="AH6" i="32"/>
  <c r="AH7" i="32"/>
  <c r="AH8" i="32"/>
  <c r="AH9" i="32"/>
  <c r="AH10" i="32"/>
  <c r="AH11" i="32"/>
  <c r="AH12" i="32"/>
  <c r="AH13" i="32"/>
  <c r="AH14" i="32"/>
  <c r="AH15" i="32"/>
  <c r="AH16" i="32"/>
  <c r="AH17" i="32"/>
  <c r="AH18" i="32"/>
  <c r="AH19" i="32"/>
  <c r="AH20" i="32"/>
  <c r="AH21" i="32"/>
  <c r="AH22" i="32"/>
  <c r="AH23" i="32"/>
  <c r="AH24" i="32"/>
  <c r="AH25" i="32"/>
  <c r="AH26" i="32"/>
  <c r="AH27" i="32"/>
  <c r="AH28" i="32"/>
  <c r="AH29" i="32"/>
  <c r="AH30" i="32"/>
  <c r="AH31" i="32"/>
  <c r="AH32" i="32"/>
  <c r="AH33" i="32"/>
  <c r="AH34" i="32"/>
  <c r="AH35" i="32"/>
  <c r="AH36" i="32"/>
  <c r="AH37" i="32"/>
  <c r="AH38" i="32"/>
  <c r="AH39" i="32"/>
  <c r="AH40" i="32"/>
  <c r="AH41" i="32"/>
  <c r="AH42" i="32"/>
  <c r="AH43" i="32"/>
  <c r="AH44" i="32"/>
  <c r="AH45" i="32"/>
  <c r="AH46" i="32"/>
  <c r="AH47" i="32"/>
  <c r="AH48" i="32"/>
  <c r="AH49" i="32"/>
  <c r="AH50" i="32"/>
  <c r="AH51" i="32"/>
  <c r="AH52" i="32"/>
  <c r="AH53" i="32"/>
  <c r="AH54" i="32"/>
  <c r="AH55" i="32"/>
  <c r="AH56" i="32"/>
  <c r="AH57" i="32"/>
  <c r="AH58" i="32"/>
  <c r="AH59" i="32"/>
  <c r="AH60" i="32"/>
  <c r="AH61" i="32"/>
  <c r="AH62" i="32"/>
  <c r="AH63" i="32"/>
  <c r="AH64" i="32"/>
  <c r="AH65" i="32"/>
  <c r="AH66" i="32"/>
  <c r="AH67" i="32"/>
  <c r="AH68" i="32"/>
  <c r="AH69" i="32"/>
  <c r="AH70" i="32"/>
  <c r="AH71" i="32"/>
  <c r="AH72" i="32"/>
  <c r="AH73" i="32"/>
  <c r="AH74" i="32"/>
  <c r="AH75" i="32"/>
  <c r="AH76" i="32"/>
  <c r="AH77" i="32"/>
  <c r="AH78" i="32"/>
  <c r="AH79" i="32"/>
  <c r="AH80" i="32"/>
  <c r="AH81" i="32"/>
  <c r="AH82" i="32"/>
  <c r="AH83" i="32"/>
  <c r="AH84" i="32"/>
  <c r="AH85" i="32"/>
  <c r="AH86" i="32"/>
  <c r="AH87" i="32"/>
  <c r="AH88" i="32"/>
  <c r="AH89" i="32"/>
  <c r="AH90" i="32"/>
  <c r="AH91" i="32"/>
  <c r="AH92" i="32"/>
  <c r="AH93" i="32"/>
  <c r="AH94" i="32"/>
  <c r="AH95" i="32"/>
  <c r="AH96" i="32"/>
  <c r="AH97" i="32"/>
  <c r="AH98" i="32"/>
  <c r="AH99" i="32"/>
  <c r="AH100" i="32"/>
  <c r="AH101" i="32"/>
  <c r="AH102" i="32"/>
  <c r="AH103" i="32"/>
  <c r="AH104" i="32"/>
  <c r="AH105" i="32"/>
  <c r="AH106" i="32"/>
  <c r="AH107" i="32"/>
  <c r="AH108" i="32"/>
  <c r="AH109" i="32"/>
  <c r="AH110" i="32"/>
  <c r="AH111" i="32"/>
  <c r="AH112" i="32"/>
  <c r="AH113" i="32"/>
  <c r="AH114" i="32"/>
  <c r="AH115" i="32"/>
  <c r="AH116" i="32"/>
  <c r="AH117" i="32"/>
  <c r="AH118" i="32"/>
  <c r="AH119" i="32"/>
  <c r="AH120" i="32"/>
  <c r="AH121" i="32"/>
  <c r="AH122" i="32"/>
  <c r="AH123" i="32"/>
  <c r="AH124" i="32"/>
  <c r="AH125" i="32"/>
  <c r="AH126" i="32"/>
  <c r="AH127" i="32"/>
  <c r="AH128" i="32"/>
  <c r="AH129" i="32"/>
  <c r="AH130" i="32"/>
  <c r="AH131" i="32"/>
  <c r="AH132" i="32"/>
  <c r="AH133" i="32"/>
  <c r="AH134" i="32"/>
  <c r="AH135" i="32"/>
  <c r="AH136" i="32"/>
  <c r="AH137" i="32"/>
  <c r="AH138" i="32"/>
  <c r="AH139" i="32"/>
  <c r="AH140" i="32"/>
  <c r="AH141" i="32"/>
  <c r="AH142" i="32"/>
  <c r="AH143" i="32"/>
  <c r="AH144" i="32"/>
  <c r="AH145" i="32"/>
  <c r="AH146" i="32"/>
  <c r="AH147" i="32"/>
  <c r="AH148" i="32"/>
  <c r="AH149" i="32"/>
  <c r="AH150" i="32"/>
  <c r="AH151" i="32"/>
  <c r="AH152" i="32"/>
  <c r="AH153" i="32"/>
  <c r="AH154" i="32"/>
  <c r="AH155" i="32"/>
  <c r="AH156" i="32"/>
  <c r="AH157" i="32"/>
  <c r="AH158" i="32"/>
  <c r="AH159" i="32"/>
  <c r="AH160" i="32"/>
  <c r="AH161" i="32"/>
  <c r="AH162" i="32"/>
  <c r="AH163" i="32"/>
  <c r="AH164" i="32"/>
  <c r="AH165" i="32"/>
  <c r="AH166" i="32"/>
  <c r="AH167" i="32"/>
  <c r="AH168" i="32"/>
  <c r="AH169" i="32"/>
  <c r="AH170" i="32"/>
  <c r="AH171" i="32"/>
  <c r="AH172" i="32"/>
  <c r="AH173" i="32"/>
  <c r="AH174" i="32"/>
  <c r="AH175" i="32"/>
  <c r="AH176" i="32"/>
  <c r="AH177" i="32"/>
  <c r="AH178" i="32"/>
  <c r="AH179" i="32"/>
  <c r="AH180" i="32"/>
  <c r="AH181" i="32"/>
  <c r="AH182" i="32"/>
  <c r="AH183" i="32"/>
  <c r="AH184" i="32"/>
  <c r="AH185" i="32"/>
  <c r="AH186" i="32"/>
  <c r="AH187" i="32"/>
  <c r="AH188" i="32"/>
  <c r="AH189" i="32"/>
  <c r="AH190" i="32"/>
  <c r="AH191" i="32"/>
  <c r="AH192" i="32"/>
  <c r="AH193" i="32"/>
  <c r="AH194" i="32"/>
  <c r="AH195" i="32"/>
  <c r="AH196" i="32"/>
  <c r="AH197" i="32"/>
  <c r="AH198" i="32"/>
  <c r="AH199" i="32"/>
  <c r="AH200" i="32"/>
  <c r="AH201" i="32"/>
  <c r="AH202" i="32"/>
  <c r="AH203" i="32"/>
  <c r="AH204" i="32"/>
  <c r="AH205" i="32"/>
  <c r="AH206" i="32"/>
  <c r="AH207" i="32"/>
  <c r="AH208" i="32"/>
  <c r="AH209" i="32"/>
  <c r="AH210" i="32"/>
  <c r="AH211" i="32"/>
  <c r="AH212" i="32"/>
  <c r="AH213" i="32"/>
  <c r="AH214" i="32"/>
  <c r="AH215" i="32"/>
  <c r="AH216" i="32"/>
  <c r="AH217" i="32"/>
  <c r="AH218" i="32"/>
  <c r="AH219" i="32"/>
  <c r="AH220" i="32"/>
  <c r="AH221" i="32"/>
  <c r="AH222" i="32"/>
  <c r="AH223" i="32"/>
  <c r="AH224" i="32"/>
  <c r="AH225" i="32"/>
  <c r="AH226" i="32"/>
  <c r="AH227" i="32"/>
  <c r="AH228" i="32"/>
  <c r="AH229" i="32"/>
  <c r="AH230" i="32"/>
  <c r="AH231" i="32"/>
  <c r="AH232" i="32"/>
  <c r="AH233" i="32"/>
  <c r="AH234" i="32"/>
  <c r="AH235" i="32"/>
  <c r="AH236" i="32"/>
  <c r="AH237" i="32"/>
  <c r="AH238" i="32"/>
  <c r="AH239" i="32"/>
  <c r="AH240" i="32"/>
  <c r="AH241" i="32"/>
  <c r="AH242" i="32"/>
  <c r="AH243" i="32"/>
  <c r="Q23" i="12"/>
  <c r="AH244" i="32"/>
  <c r="AH245" i="32"/>
  <c r="AH246" i="32"/>
  <c r="AH247" i="32"/>
  <c r="AH248" i="32"/>
  <c r="AH249" i="32"/>
  <c r="AH250" i="32"/>
  <c r="AH251" i="32"/>
  <c r="AH252" i="32"/>
  <c r="AH253" i="32"/>
  <c r="AH254" i="32"/>
  <c r="AH255" i="32"/>
  <c r="AH256" i="32"/>
  <c r="AH257" i="32"/>
  <c r="AH258" i="32"/>
  <c r="AH259" i="32"/>
  <c r="AH260" i="32"/>
  <c r="AH261" i="32"/>
  <c r="AH262" i="32"/>
  <c r="AH263" i="32"/>
  <c r="AH264" i="32"/>
  <c r="AH265" i="32"/>
  <c r="AH266" i="32"/>
  <c r="AH267" i="32"/>
  <c r="AH268" i="32"/>
  <c r="AH269" i="32"/>
  <c r="AH270" i="32"/>
  <c r="AH271" i="32"/>
  <c r="AH272" i="32"/>
  <c r="AH273" i="32"/>
  <c r="AH274" i="32"/>
  <c r="AH275" i="32"/>
  <c r="AH276" i="32"/>
  <c r="AH277" i="32"/>
  <c r="AH278" i="32"/>
  <c r="AH279" i="32"/>
  <c r="AH280" i="32"/>
  <c r="AH281" i="32"/>
  <c r="AH282" i="32"/>
  <c r="AH283" i="32"/>
  <c r="AH284" i="32"/>
  <c r="AH285" i="32"/>
  <c r="AH286" i="32"/>
  <c r="AH287" i="32"/>
  <c r="AH288" i="32"/>
  <c r="AH289" i="32"/>
  <c r="AH290" i="32"/>
  <c r="AH291" i="32"/>
  <c r="AH292" i="32"/>
  <c r="AH293" i="32"/>
  <c r="AH294" i="32"/>
  <c r="AH295" i="32"/>
  <c r="AH296" i="32"/>
  <c r="AH297" i="32"/>
  <c r="AH298" i="32"/>
  <c r="AH299" i="32"/>
  <c r="AH300" i="32"/>
  <c r="AH301" i="32"/>
  <c r="AH302" i="32"/>
  <c r="AH303" i="32"/>
  <c r="AH304" i="32"/>
  <c r="AH305" i="32"/>
  <c r="AH306" i="32"/>
  <c r="AH307" i="32"/>
  <c r="AH308" i="32"/>
  <c r="AH309" i="32"/>
  <c r="AH310" i="32"/>
  <c r="AH311" i="32"/>
  <c r="AH312" i="32"/>
  <c r="AH313" i="32"/>
  <c r="AH314" i="32"/>
  <c r="AH315" i="32"/>
  <c r="AH316" i="32"/>
  <c r="AH317" i="32"/>
  <c r="AH318" i="32"/>
  <c r="AH319" i="32"/>
  <c r="AH320" i="32"/>
  <c r="AH321" i="32"/>
  <c r="AH322" i="32"/>
  <c r="AH323" i="32"/>
  <c r="AH324" i="32"/>
  <c r="AH325" i="32"/>
  <c r="AH326" i="32"/>
  <c r="AH327" i="32"/>
  <c r="AH328" i="32"/>
  <c r="AH329" i="32"/>
  <c r="AH330" i="32"/>
  <c r="AH331" i="32"/>
  <c r="AH332" i="32"/>
  <c r="AH333" i="32"/>
  <c r="AH334" i="32"/>
  <c r="AH335" i="32"/>
  <c r="AH336" i="32"/>
  <c r="AH337" i="32"/>
  <c r="AH338" i="32"/>
  <c r="AH339" i="32"/>
  <c r="AH340" i="32"/>
  <c r="AH341" i="32"/>
  <c r="AH342" i="32"/>
  <c r="AH343" i="32"/>
  <c r="AH344" i="32"/>
  <c r="AH345" i="32"/>
  <c r="AH346" i="32"/>
  <c r="AH347" i="32"/>
  <c r="AH348" i="32"/>
  <c r="AH349" i="32"/>
  <c r="AH350" i="32"/>
  <c r="AH351" i="32"/>
  <c r="AH352" i="32"/>
  <c r="AH353" i="32"/>
  <c r="AH354" i="32"/>
  <c r="AH355" i="32"/>
  <c r="AH356" i="32"/>
  <c r="AH357" i="32"/>
  <c r="AH358" i="32"/>
  <c r="AH359" i="32"/>
  <c r="AH360" i="32"/>
  <c r="AH361" i="32"/>
  <c r="AH362" i="32"/>
  <c r="AH363" i="32"/>
  <c r="AH364" i="32"/>
  <c r="AH365" i="32"/>
  <c r="AH366" i="32"/>
  <c r="AH367" i="32"/>
  <c r="AH368" i="32"/>
  <c r="AH369" i="32"/>
  <c r="AH370" i="32"/>
  <c r="AH371" i="32"/>
  <c r="AH372" i="32"/>
  <c r="AH373" i="32"/>
  <c r="AH374" i="32"/>
  <c r="AH375" i="32"/>
  <c r="AH376" i="32"/>
  <c r="AH377" i="32"/>
  <c r="AH378" i="32"/>
  <c r="AH379" i="32"/>
  <c r="AH380" i="32"/>
  <c r="AH381" i="32"/>
  <c r="AH382" i="32"/>
  <c r="AH383" i="32"/>
  <c r="AH384" i="32"/>
  <c r="AH385" i="32"/>
  <c r="AH386" i="32"/>
  <c r="AH387" i="32"/>
  <c r="AH388" i="32"/>
  <c r="AH389" i="32"/>
  <c r="AH390" i="32"/>
  <c r="AH391" i="32"/>
  <c r="AH392" i="32"/>
  <c r="AH393" i="32"/>
  <c r="AH394" i="32"/>
  <c r="AH395" i="32"/>
  <c r="AH396" i="32"/>
  <c r="AH397" i="32"/>
  <c r="AH398" i="32"/>
  <c r="AH399" i="32"/>
  <c r="AH400" i="32"/>
  <c r="AH401" i="32"/>
  <c r="AH402" i="32"/>
  <c r="AH403" i="32"/>
  <c r="AH404" i="32"/>
  <c r="AH405" i="32"/>
  <c r="AH406" i="32"/>
  <c r="AH407" i="32"/>
  <c r="AH408" i="32"/>
  <c r="AH409" i="32"/>
  <c r="AH410" i="32"/>
  <c r="AH411" i="32"/>
  <c r="AH412" i="32"/>
  <c r="AH413" i="32"/>
  <c r="AH414" i="32"/>
  <c r="AH415" i="32"/>
  <c r="AH416" i="32"/>
  <c r="AH417" i="32"/>
  <c r="AH418" i="32"/>
  <c r="AH419" i="32"/>
  <c r="AH420" i="32"/>
  <c r="AH421" i="32"/>
  <c r="AH422" i="32"/>
  <c r="AH423" i="32"/>
  <c r="AH424" i="32"/>
  <c r="AH425" i="32"/>
  <c r="AH426" i="32"/>
  <c r="AH427" i="32"/>
  <c r="AH428" i="32"/>
  <c r="AH429" i="32"/>
  <c r="AH430" i="32"/>
  <c r="AH431" i="32"/>
  <c r="AH432" i="32"/>
  <c r="AH433" i="32"/>
  <c r="AH434" i="32"/>
  <c r="AH435" i="32"/>
  <c r="AH436" i="32"/>
  <c r="AH437" i="32"/>
  <c r="AH438" i="32"/>
  <c r="AH439" i="32"/>
  <c r="AH440" i="32"/>
  <c r="AH441" i="32"/>
  <c r="AH442" i="32"/>
  <c r="AH443" i="32"/>
  <c r="AH444" i="32"/>
  <c r="AH445" i="32"/>
  <c r="AH446" i="32"/>
  <c r="AH447" i="32"/>
  <c r="AH448" i="32"/>
  <c r="AJ4" i="32"/>
  <c r="AQ4" i="32"/>
  <c r="AP4" i="32"/>
  <c r="AG5" i="32"/>
  <c r="AG4" i="32"/>
  <c r="AG6" i="32"/>
  <c r="AG7" i="32"/>
  <c r="AG8" i="32"/>
  <c r="AG9" i="32"/>
  <c r="AG10" i="32"/>
  <c r="AG11" i="32"/>
  <c r="AG12" i="32"/>
  <c r="AG13" i="32"/>
  <c r="AG14" i="32"/>
  <c r="AG15" i="32"/>
  <c r="AG16" i="32"/>
  <c r="AG17" i="32"/>
  <c r="AG18" i="32"/>
  <c r="AG19" i="32"/>
  <c r="AG20" i="32"/>
  <c r="AG21" i="32"/>
  <c r="AG22" i="32"/>
  <c r="AG23" i="32"/>
  <c r="AG24" i="32"/>
  <c r="AG25" i="32"/>
  <c r="AG26" i="32"/>
  <c r="AG27" i="32"/>
  <c r="AG28" i="32"/>
  <c r="AG29" i="32"/>
  <c r="AG30" i="32"/>
  <c r="AG31" i="32"/>
  <c r="AG32" i="32"/>
  <c r="AG33" i="32"/>
  <c r="AG34" i="32"/>
  <c r="AG35" i="32"/>
  <c r="AG36" i="32"/>
  <c r="AG37" i="32"/>
  <c r="AG38" i="32"/>
  <c r="AG39" i="32"/>
  <c r="AG40" i="32"/>
  <c r="AG41" i="32"/>
  <c r="AG42" i="32"/>
  <c r="AG43" i="32"/>
  <c r="AG44" i="32"/>
  <c r="AG45" i="32"/>
  <c r="AG46" i="32"/>
  <c r="AG47" i="32"/>
  <c r="AG48" i="32"/>
  <c r="AG49" i="32"/>
  <c r="AG50" i="32"/>
  <c r="AG51" i="32"/>
  <c r="AG52" i="32"/>
  <c r="AG53" i="32"/>
  <c r="AG54" i="32"/>
  <c r="AG55" i="32"/>
  <c r="AG56" i="32"/>
  <c r="AG57" i="32"/>
  <c r="AG58" i="32"/>
  <c r="AG59" i="32"/>
  <c r="K59" i="12"/>
  <c r="AG60" i="32"/>
  <c r="AG61" i="32"/>
  <c r="AG62" i="32"/>
  <c r="AG63" i="32"/>
  <c r="AG64" i="32"/>
  <c r="AG65" i="32"/>
  <c r="AG66" i="32"/>
  <c r="AG67" i="32"/>
  <c r="AG68" i="32"/>
  <c r="AG69" i="32"/>
  <c r="AG70" i="32"/>
  <c r="AG71" i="32"/>
  <c r="AG72" i="32"/>
  <c r="AG73" i="32"/>
  <c r="AG74" i="32"/>
  <c r="AG75" i="32"/>
  <c r="AG76" i="32"/>
  <c r="AG77" i="32"/>
  <c r="AG78" i="32"/>
  <c r="AG79" i="32"/>
  <c r="AG80" i="32"/>
  <c r="AG81" i="32"/>
  <c r="AG82" i="32"/>
  <c r="AG83" i="32"/>
  <c r="AG84" i="32"/>
  <c r="AG85" i="32"/>
  <c r="AG86" i="32"/>
  <c r="AG87" i="32"/>
  <c r="AG88" i="32"/>
  <c r="AG89" i="32"/>
  <c r="AG90" i="32"/>
  <c r="AG91" i="32"/>
  <c r="AG92" i="32"/>
  <c r="AG93" i="32"/>
  <c r="AG94" i="32"/>
  <c r="AG95" i="32"/>
  <c r="AG96" i="32"/>
  <c r="AG97" i="32"/>
  <c r="AG98" i="32"/>
  <c r="AG99" i="32"/>
  <c r="AG100" i="32"/>
  <c r="AG101" i="32"/>
  <c r="AG102" i="32"/>
  <c r="AG103" i="32"/>
  <c r="AG104" i="32"/>
  <c r="AG105" i="32"/>
  <c r="AG106" i="32"/>
  <c r="AG107" i="32"/>
  <c r="AG108" i="32"/>
  <c r="AG109" i="32"/>
  <c r="AG110" i="32"/>
  <c r="AG111" i="32"/>
  <c r="AG112" i="32"/>
  <c r="AG113" i="32"/>
  <c r="AG114" i="32"/>
  <c r="AG115" i="32"/>
  <c r="AG116" i="32"/>
  <c r="AG117" i="32"/>
  <c r="AG118" i="32"/>
  <c r="AG119" i="32"/>
  <c r="AG120" i="32"/>
  <c r="AG121" i="32"/>
  <c r="AG122" i="32"/>
  <c r="AG123" i="32"/>
  <c r="AG124" i="32"/>
  <c r="AG125" i="32"/>
  <c r="AG126" i="32"/>
  <c r="AG127" i="32"/>
  <c r="AG128" i="32"/>
  <c r="AG129" i="32"/>
  <c r="AG130" i="32"/>
  <c r="AG131" i="32"/>
  <c r="AG132" i="32"/>
  <c r="AG133" i="32"/>
  <c r="AG134" i="32"/>
  <c r="AG135" i="32"/>
  <c r="AG136" i="32"/>
  <c r="AG137" i="32"/>
  <c r="AG138" i="32"/>
  <c r="AG139" i="32"/>
  <c r="AG140" i="32"/>
  <c r="AG141" i="32"/>
  <c r="AG142" i="32"/>
  <c r="AG143" i="32"/>
  <c r="AG144" i="32"/>
  <c r="AG145" i="32"/>
  <c r="AG146" i="32"/>
  <c r="AG147" i="32"/>
  <c r="AG148" i="32"/>
  <c r="AG149" i="32"/>
  <c r="AG150" i="32"/>
  <c r="AG151" i="32"/>
  <c r="AG152" i="32"/>
  <c r="AG153" i="32"/>
  <c r="AG154" i="32"/>
  <c r="AG155" i="32"/>
  <c r="AG156" i="32"/>
  <c r="AG157" i="32"/>
  <c r="AG158" i="32"/>
  <c r="AG159" i="32"/>
  <c r="AG160" i="32"/>
  <c r="AG161" i="32"/>
  <c r="AG162" i="32"/>
  <c r="AG163" i="32"/>
  <c r="AG164" i="32"/>
  <c r="AG165" i="32"/>
  <c r="AG166" i="32"/>
  <c r="AG167" i="32"/>
  <c r="AG168" i="32"/>
  <c r="AG169" i="32"/>
  <c r="AG170" i="32"/>
  <c r="AG171" i="32"/>
  <c r="AG172" i="32"/>
  <c r="AG173" i="32"/>
  <c r="AG174" i="32"/>
  <c r="AG175" i="32"/>
  <c r="AG176" i="32"/>
  <c r="AG177" i="32"/>
  <c r="AG178" i="32"/>
  <c r="AG179" i="32"/>
  <c r="AG180" i="32"/>
  <c r="AG181" i="32"/>
  <c r="AG182" i="32"/>
  <c r="AG183" i="32"/>
  <c r="AG184" i="32"/>
  <c r="AG185" i="32"/>
  <c r="AG186" i="32"/>
  <c r="AG187" i="32"/>
  <c r="AG188" i="32"/>
  <c r="AG189" i="32"/>
  <c r="AG190" i="32"/>
  <c r="AG191" i="32"/>
  <c r="AG192" i="32"/>
  <c r="AG193" i="32"/>
  <c r="AG194" i="32"/>
  <c r="AG195" i="32"/>
  <c r="AG196" i="32"/>
  <c r="AG197" i="32"/>
  <c r="AG198" i="32"/>
  <c r="AG199" i="32"/>
  <c r="AG200" i="32"/>
  <c r="AG201" i="32"/>
  <c r="AG202" i="32"/>
  <c r="AG203" i="32"/>
  <c r="AG204" i="32"/>
  <c r="AG205" i="32"/>
  <c r="AG206" i="32"/>
  <c r="AG207" i="32"/>
  <c r="AG208" i="32"/>
  <c r="AG209" i="32"/>
  <c r="AG210" i="32"/>
  <c r="AG211" i="32"/>
  <c r="AG212" i="32"/>
  <c r="AG213" i="32"/>
  <c r="AG214" i="32"/>
  <c r="AG215" i="32"/>
  <c r="AG216" i="32"/>
  <c r="AG217" i="32"/>
  <c r="AG218" i="32"/>
  <c r="AG219" i="32"/>
  <c r="AG220" i="32"/>
  <c r="AG221" i="32"/>
  <c r="AG222" i="32"/>
  <c r="AG223" i="32"/>
  <c r="AG224" i="32"/>
  <c r="AG225" i="32"/>
  <c r="AG226" i="32"/>
  <c r="AG227" i="32"/>
  <c r="AG228" i="32"/>
  <c r="AG229" i="32"/>
  <c r="AG230" i="32"/>
  <c r="AG231" i="32"/>
  <c r="AG232" i="32"/>
  <c r="AG233" i="32"/>
  <c r="AG234" i="32"/>
  <c r="AG235" i="32"/>
  <c r="AG236" i="32"/>
  <c r="AG237" i="32"/>
  <c r="AG238" i="32"/>
  <c r="AG239" i="32"/>
  <c r="AG240" i="32"/>
  <c r="AG241" i="32"/>
  <c r="AG242" i="32"/>
  <c r="AG243" i="32"/>
  <c r="AG244" i="32"/>
  <c r="AG245" i="32"/>
  <c r="AG246" i="32"/>
  <c r="AG247" i="32"/>
  <c r="AG248" i="32"/>
  <c r="AG249" i="32"/>
  <c r="AG250" i="32"/>
  <c r="AG251" i="32"/>
  <c r="AG252" i="32"/>
  <c r="AG253" i="32"/>
  <c r="AG254" i="32"/>
  <c r="AG255" i="32"/>
  <c r="AG256" i="32"/>
  <c r="AG257" i="32"/>
  <c r="AG258" i="32"/>
  <c r="AG259" i="32"/>
  <c r="AG260" i="32"/>
  <c r="AG261" i="32"/>
  <c r="AG262" i="32"/>
  <c r="AG263" i="32"/>
  <c r="AG264" i="32"/>
  <c r="AG265" i="32"/>
  <c r="AG266" i="32"/>
  <c r="AG267" i="32"/>
  <c r="AG268" i="32"/>
  <c r="AG269" i="32"/>
  <c r="AG270" i="32"/>
  <c r="AG271" i="32"/>
  <c r="AG272" i="32"/>
  <c r="AG273" i="32"/>
  <c r="AG274" i="32"/>
  <c r="AG275" i="32"/>
  <c r="AG276" i="32"/>
  <c r="AG277" i="32"/>
  <c r="AG278" i="32"/>
  <c r="AG279" i="32"/>
  <c r="AG280" i="32"/>
  <c r="AG281" i="32"/>
  <c r="AG282" i="32"/>
  <c r="AG283" i="32"/>
  <c r="AG284" i="32"/>
  <c r="AG285" i="32"/>
  <c r="AG286" i="32"/>
  <c r="AG287" i="32"/>
  <c r="AG288" i="32"/>
  <c r="AG289" i="32"/>
  <c r="AG290" i="32"/>
  <c r="AG291" i="32"/>
  <c r="AG292" i="32"/>
  <c r="AG293" i="32"/>
  <c r="AG294" i="32"/>
  <c r="AG295" i="32"/>
  <c r="AG296" i="32"/>
  <c r="AG297" i="32"/>
  <c r="AG298" i="32"/>
  <c r="AG299" i="32"/>
  <c r="AG300" i="32"/>
  <c r="AG301" i="32"/>
  <c r="AG302" i="32"/>
  <c r="AG303" i="32"/>
  <c r="AG304" i="32"/>
  <c r="AG305" i="32"/>
  <c r="AG306" i="32"/>
  <c r="AG307" i="32"/>
  <c r="AG308" i="32"/>
  <c r="AG309" i="32"/>
  <c r="AG310" i="32"/>
  <c r="AG311" i="32"/>
  <c r="AG312" i="32"/>
  <c r="AG313" i="32"/>
  <c r="AG314" i="32"/>
  <c r="AG315" i="32"/>
  <c r="AG316" i="32"/>
  <c r="AG317" i="32"/>
  <c r="AG318" i="32"/>
  <c r="AG319" i="32"/>
  <c r="AG320" i="32"/>
  <c r="AG321" i="32"/>
  <c r="AG322" i="32"/>
  <c r="AG323" i="32"/>
  <c r="AG324" i="32"/>
  <c r="AG325" i="32"/>
  <c r="AG326" i="32"/>
  <c r="AG327" i="32"/>
  <c r="AG328" i="32"/>
  <c r="AG329" i="32"/>
  <c r="AG330" i="32"/>
  <c r="AG331" i="32"/>
  <c r="AG332" i="32"/>
  <c r="AG333" i="32"/>
  <c r="AG334" i="32"/>
  <c r="AG335" i="32"/>
  <c r="AG336" i="32"/>
  <c r="AG337" i="32"/>
  <c r="AG338" i="32"/>
  <c r="AG339" i="32"/>
  <c r="AG340" i="32"/>
  <c r="AG341" i="32"/>
  <c r="AG342" i="32"/>
  <c r="AG343" i="32"/>
  <c r="AG344" i="32"/>
  <c r="AG345" i="32"/>
  <c r="AG346" i="32"/>
  <c r="AG347" i="32"/>
  <c r="AG348" i="32"/>
  <c r="AG349" i="32"/>
  <c r="AG350" i="32"/>
  <c r="AG351" i="32"/>
  <c r="AG352" i="32"/>
  <c r="AG353" i="32"/>
  <c r="AG354" i="32"/>
  <c r="AG355" i="32"/>
  <c r="AG356" i="32"/>
  <c r="AG357" i="32"/>
  <c r="AG358" i="32"/>
  <c r="AG359" i="32"/>
  <c r="AG360" i="32"/>
  <c r="AG361" i="32"/>
  <c r="AG362" i="32"/>
  <c r="AG363" i="32"/>
  <c r="AG364" i="32"/>
  <c r="AG365" i="32"/>
  <c r="AG366" i="32"/>
  <c r="AG367" i="32"/>
  <c r="AG368" i="32"/>
  <c r="AG369" i="32"/>
  <c r="AG370" i="32"/>
  <c r="AG371" i="32"/>
  <c r="AG372" i="32"/>
  <c r="AG373" i="32"/>
  <c r="AG374" i="32"/>
  <c r="AG375" i="32"/>
  <c r="AG376" i="32"/>
  <c r="AG377" i="32"/>
  <c r="AG378" i="32"/>
  <c r="AG379" i="32"/>
  <c r="AG380" i="32"/>
  <c r="AG381" i="32"/>
  <c r="AG382" i="32"/>
  <c r="AG383" i="32"/>
  <c r="AG384" i="32"/>
  <c r="AG385" i="32"/>
  <c r="AG386" i="32"/>
  <c r="AG387" i="32"/>
  <c r="AG388" i="32"/>
  <c r="AG389" i="32"/>
  <c r="AG390" i="32"/>
  <c r="AG391" i="32"/>
  <c r="AG392" i="32"/>
  <c r="AG393" i="32"/>
  <c r="AG394" i="32"/>
  <c r="AG395" i="32"/>
  <c r="AG396" i="32"/>
  <c r="AG397" i="32"/>
  <c r="AG398" i="32"/>
  <c r="AG399" i="32"/>
  <c r="AG400" i="32"/>
  <c r="AG401" i="32"/>
  <c r="AG402" i="32"/>
  <c r="AG403" i="32"/>
  <c r="AG404" i="32"/>
  <c r="AG405" i="32"/>
  <c r="AG406" i="32"/>
  <c r="AG407" i="32"/>
  <c r="AG408" i="32"/>
  <c r="AG409" i="32"/>
  <c r="AG410" i="32"/>
  <c r="AG411" i="32"/>
  <c r="AG412" i="32"/>
  <c r="AG413" i="32"/>
  <c r="AG414" i="32"/>
  <c r="AG415" i="32"/>
  <c r="AG416" i="32"/>
  <c r="AG417" i="32"/>
  <c r="AG418" i="32"/>
  <c r="AG419" i="32"/>
  <c r="AG420" i="32"/>
  <c r="AG421" i="32"/>
  <c r="AG422" i="32"/>
  <c r="AG423" i="32"/>
  <c r="AG424" i="32"/>
  <c r="AG425" i="32"/>
  <c r="AG426" i="32"/>
  <c r="AG427" i="32"/>
  <c r="AG428" i="32"/>
  <c r="AG429" i="32"/>
  <c r="AG430" i="32"/>
  <c r="AG431" i="32"/>
  <c r="AG432" i="32"/>
  <c r="AG433" i="32"/>
  <c r="AG434" i="32"/>
  <c r="AG435" i="32"/>
  <c r="AG436" i="32"/>
  <c r="AG437" i="32"/>
  <c r="AG438" i="32"/>
  <c r="AG439" i="32"/>
  <c r="AG440" i="32"/>
  <c r="AG441" i="32"/>
  <c r="AG442" i="32"/>
  <c r="AG443" i="32"/>
  <c r="AG444" i="32"/>
  <c r="AG445" i="32"/>
  <c r="AG446" i="32"/>
  <c r="AG447" i="32"/>
  <c r="AG448" i="32"/>
  <c r="AI5" i="32"/>
  <c r="AJ5" i="32"/>
  <c r="AI6" i="32"/>
  <c r="AJ6" i="32"/>
  <c r="AI7" i="32"/>
  <c r="AJ7" i="32"/>
  <c r="AI8" i="32"/>
  <c r="AJ8" i="32"/>
  <c r="AI9" i="32"/>
  <c r="AJ9" i="32"/>
  <c r="AI10" i="32"/>
  <c r="AJ10" i="32"/>
  <c r="AI11" i="32"/>
  <c r="AJ11" i="32"/>
  <c r="AI12" i="32"/>
  <c r="AJ12" i="32"/>
  <c r="AI13" i="32"/>
  <c r="AJ13" i="32"/>
  <c r="AI14" i="32"/>
  <c r="AJ14" i="32"/>
  <c r="AI15" i="32"/>
  <c r="AJ15" i="32"/>
  <c r="AI16" i="32"/>
  <c r="AJ16" i="32"/>
  <c r="AI17" i="32"/>
  <c r="AJ17" i="32"/>
  <c r="AI18" i="32"/>
  <c r="AJ18" i="32"/>
  <c r="AI19" i="32"/>
  <c r="AJ19" i="32"/>
  <c r="AI20" i="32"/>
  <c r="AJ20" i="32"/>
  <c r="AI21" i="32"/>
  <c r="AJ21" i="32"/>
  <c r="AI22" i="32"/>
  <c r="AJ22" i="32"/>
  <c r="AI23" i="32"/>
  <c r="AJ23" i="32"/>
  <c r="AI24" i="32"/>
  <c r="AJ24" i="32"/>
  <c r="AI25" i="32"/>
  <c r="AJ25" i="32"/>
  <c r="AI26" i="32"/>
  <c r="AJ26" i="32"/>
  <c r="AI27" i="32"/>
  <c r="AJ27" i="32"/>
  <c r="AI28" i="32"/>
  <c r="AJ28" i="32"/>
  <c r="AI29" i="32"/>
  <c r="AJ29" i="32"/>
  <c r="AI30" i="32"/>
  <c r="AJ30" i="32"/>
  <c r="AI31" i="32"/>
  <c r="AJ31" i="32"/>
  <c r="AI32" i="32"/>
  <c r="AJ32" i="32"/>
  <c r="AI33" i="32"/>
  <c r="AJ33" i="32"/>
  <c r="AI34" i="32"/>
  <c r="AJ34" i="32"/>
  <c r="AI35" i="32"/>
  <c r="AJ35" i="32"/>
  <c r="AI36" i="32"/>
  <c r="AJ36" i="32"/>
  <c r="AI37" i="32"/>
  <c r="AJ37" i="32"/>
  <c r="AI38" i="32"/>
  <c r="AJ38" i="32"/>
  <c r="AI39" i="32"/>
  <c r="AJ39" i="32"/>
  <c r="AI40" i="32"/>
  <c r="AJ40" i="32"/>
  <c r="AI41" i="32"/>
  <c r="AJ41" i="32"/>
  <c r="AI42" i="32"/>
  <c r="AJ42" i="32"/>
  <c r="AI43" i="32"/>
  <c r="AJ43" i="32"/>
  <c r="AI44" i="32"/>
  <c r="AJ44" i="32"/>
  <c r="AI45" i="32"/>
  <c r="AJ45" i="32"/>
  <c r="AI46" i="32"/>
  <c r="AJ46" i="32"/>
  <c r="AI47" i="32"/>
  <c r="AJ47" i="32"/>
  <c r="AI48" i="32"/>
  <c r="AJ48" i="32"/>
  <c r="AI49" i="32"/>
  <c r="AJ49" i="32"/>
  <c r="AI50" i="32"/>
  <c r="AJ50" i="32"/>
  <c r="AI51" i="32"/>
  <c r="AJ51" i="32"/>
  <c r="AI52" i="32"/>
  <c r="AJ52" i="32"/>
  <c r="AI53" i="32"/>
  <c r="AJ53" i="32"/>
  <c r="AI54" i="32"/>
  <c r="AJ54" i="32"/>
  <c r="AI55" i="32"/>
  <c r="AJ55" i="32"/>
  <c r="AI56" i="32"/>
  <c r="AJ56" i="32"/>
  <c r="AI57" i="32"/>
  <c r="AJ57" i="32"/>
  <c r="AI58" i="32"/>
  <c r="AJ58" i="32"/>
  <c r="AI59" i="32"/>
  <c r="AJ59" i="32"/>
  <c r="AI60" i="32"/>
  <c r="AJ60" i="32"/>
  <c r="AI61" i="32"/>
  <c r="AJ61" i="32"/>
  <c r="AI62" i="32"/>
  <c r="AJ62" i="32"/>
  <c r="AI63" i="32"/>
  <c r="AJ63" i="32"/>
  <c r="AI64" i="32"/>
  <c r="AJ64" i="32"/>
  <c r="AI65" i="32"/>
  <c r="AJ65" i="32"/>
  <c r="AI66" i="32"/>
  <c r="AJ66" i="32"/>
  <c r="AI67" i="32"/>
  <c r="AJ67" i="32"/>
  <c r="AI68" i="32"/>
  <c r="AJ68" i="32"/>
  <c r="AI69" i="32"/>
  <c r="AJ69" i="32"/>
  <c r="AI70" i="32"/>
  <c r="AJ70" i="32"/>
  <c r="AI71" i="32"/>
  <c r="AJ71" i="32"/>
  <c r="AI72" i="32"/>
  <c r="AJ72" i="32"/>
  <c r="AI73" i="32"/>
  <c r="AJ73" i="32"/>
  <c r="AI74" i="32"/>
  <c r="AJ74" i="32"/>
  <c r="AI75" i="32"/>
  <c r="AJ75" i="32"/>
  <c r="AI76" i="32"/>
  <c r="AJ76" i="32"/>
  <c r="AI77" i="32"/>
  <c r="AJ77" i="32"/>
  <c r="AI78" i="32"/>
  <c r="AJ78" i="32"/>
  <c r="AI79" i="32"/>
  <c r="AJ79" i="32"/>
  <c r="AI80" i="32"/>
  <c r="AJ80" i="32"/>
  <c r="AI81" i="32"/>
  <c r="AJ81" i="32"/>
  <c r="AI82" i="32"/>
  <c r="AJ82" i="32"/>
  <c r="AI83" i="32"/>
  <c r="AJ83" i="32"/>
  <c r="AI84" i="32"/>
  <c r="AJ84" i="32"/>
  <c r="AI85" i="32"/>
  <c r="AJ85" i="32"/>
  <c r="AI86" i="32"/>
  <c r="AJ86" i="32"/>
  <c r="AI87" i="32"/>
  <c r="AJ87" i="32"/>
  <c r="AI88" i="32"/>
  <c r="AJ88" i="32"/>
  <c r="AI89" i="32"/>
  <c r="AJ89" i="32"/>
  <c r="AI90" i="32"/>
  <c r="AJ90" i="32"/>
  <c r="AI91" i="32"/>
  <c r="AJ91" i="32"/>
  <c r="AI92" i="32"/>
  <c r="AJ92" i="32"/>
  <c r="AI93" i="32"/>
  <c r="AJ93" i="32"/>
  <c r="AI94" i="32"/>
  <c r="AJ94" i="32"/>
  <c r="AI95" i="32"/>
  <c r="AJ95" i="32"/>
  <c r="AI96" i="32"/>
  <c r="AJ96" i="32"/>
  <c r="AI97" i="32"/>
  <c r="AJ97" i="32"/>
  <c r="AI98" i="32"/>
  <c r="AJ98" i="32"/>
  <c r="AI99" i="32"/>
  <c r="AJ99" i="32"/>
  <c r="AI100" i="32"/>
  <c r="AJ100" i="32"/>
  <c r="AI101" i="32"/>
  <c r="AJ101" i="32"/>
  <c r="AI102" i="32"/>
  <c r="AJ102" i="32"/>
  <c r="AI103" i="32"/>
  <c r="AJ103" i="32"/>
  <c r="AI104" i="32"/>
  <c r="AJ104" i="32"/>
  <c r="AI105" i="32"/>
  <c r="AJ105" i="32"/>
  <c r="AI106" i="32"/>
  <c r="AJ106" i="32"/>
  <c r="AI107" i="32"/>
  <c r="AJ107" i="32"/>
  <c r="AI108" i="32"/>
  <c r="AJ108" i="32"/>
  <c r="AI109" i="32"/>
  <c r="AJ109" i="32"/>
  <c r="AI110" i="32"/>
  <c r="AJ110" i="32"/>
  <c r="AI111" i="32"/>
  <c r="AJ111" i="32"/>
  <c r="AI112" i="32"/>
  <c r="AJ112" i="32"/>
  <c r="AI113" i="32"/>
  <c r="AJ113" i="32"/>
  <c r="AI114" i="32"/>
  <c r="AJ114" i="32"/>
  <c r="AI115" i="32"/>
  <c r="AJ115" i="32"/>
  <c r="AI116" i="32"/>
  <c r="AJ116" i="32"/>
  <c r="AI117" i="32"/>
  <c r="AJ117" i="32"/>
  <c r="AI118" i="32"/>
  <c r="AJ118" i="32"/>
  <c r="AI119" i="32"/>
  <c r="AJ119" i="32"/>
  <c r="AI120" i="32"/>
  <c r="AJ120" i="32"/>
  <c r="AI121" i="32"/>
  <c r="AJ121" i="32"/>
  <c r="AI122" i="32"/>
  <c r="AJ122" i="32"/>
  <c r="AI123" i="32"/>
  <c r="AJ123" i="32"/>
  <c r="AI124" i="32"/>
  <c r="AJ124" i="32"/>
  <c r="AI125" i="32"/>
  <c r="AJ125" i="32"/>
  <c r="AI126" i="32"/>
  <c r="AJ126" i="32"/>
  <c r="AI127" i="32"/>
  <c r="AJ127" i="32"/>
  <c r="AI128" i="32"/>
  <c r="AJ128" i="32"/>
  <c r="AI129" i="32"/>
  <c r="AJ129" i="32"/>
  <c r="AI130" i="32"/>
  <c r="AJ130" i="32"/>
  <c r="AI131" i="32"/>
  <c r="AJ131" i="32"/>
  <c r="AI132" i="32"/>
  <c r="AJ132" i="32"/>
  <c r="AI133" i="32"/>
  <c r="AJ133" i="32"/>
  <c r="AI134" i="32"/>
  <c r="AJ134" i="32"/>
  <c r="AI135" i="32"/>
  <c r="AJ135" i="32"/>
  <c r="AI136" i="32"/>
  <c r="AJ136" i="32"/>
  <c r="AI137" i="32"/>
  <c r="AJ137" i="32"/>
  <c r="AI138" i="32"/>
  <c r="AJ138" i="32"/>
  <c r="AI139" i="32"/>
  <c r="AJ139" i="32"/>
  <c r="AI140" i="32"/>
  <c r="AJ140" i="32"/>
  <c r="AI141" i="32"/>
  <c r="AJ141" i="32"/>
  <c r="AI142" i="32"/>
  <c r="AJ142" i="32"/>
  <c r="AI143" i="32"/>
  <c r="AJ143" i="32"/>
  <c r="AI144" i="32"/>
  <c r="AJ144" i="32"/>
  <c r="AI145" i="32"/>
  <c r="AJ145" i="32"/>
  <c r="AI146" i="32"/>
  <c r="AJ146" i="32"/>
  <c r="AI147" i="32"/>
  <c r="AJ147" i="32"/>
  <c r="AI148" i="32"/>
  <c r="AJ148" i="32"/>
  <c r="AI149" i="32"/>
  <c r="AJ149" i="32"/>
  <c r="AI150" i="32"/>
  <c r="AJ150" i="32"/>
  <c r="AI151" i="32"/>
  <c r="AJ151" i="32"/>
  <c r="AI152" i="32"/>
  <c r="AJ152" i="32"/>
  <c r="AI153" i="32"/>
  <c r="AJ153" i="32"/>
  <c r="AI154" i="32"/>
  <c r="AJ154" i="32"/>
  <c r="AI155" i="32"/>
  <c r="AJ155" i="32"/>
  <c r="AI156" i="32"/>
  <c r="AJ156" i="32"/>
  <c r="AI157" i="32"/>
  <c r="AJ157" i="32"/>
  <c r="AI158" i="32"/>
  <c r="AJ158" i="32"/>
  <c r="AI159" i="32"/>
  <c r="AJ159" i="32"/>
  <c r="AI160" i="32"/>
  <c r="AJ160" i="32"/>
  <c r="AI161" i="32"/>
  <c r="AJ161" i="32"/>
  <c r="AI162" i="32"/>
  <c r="AJ162" i="32"/>
  <c r="AI163" i="32"/>
  <c r="AJ163" i="32"/>
  <c r="AI164" i="32"/>
  <c r="AJ164" i="32"/>
  <c r="AI165" i="32"/>
  <c r="AJ165" i="32"/>
  <c r="AI166" i="32"/>
  <c r="AJ166" i="32"/>
  <c r="AI167" i="32"/>
  <c r="AJ167" i="32"/>
  <c r="AI168" i="32"/>
  <c r="AJ168" i="32"/>
  <c r="AI169" i="32"/>
  <c r="AJ169" i="32"/>
  <c r="AI170" i="32"/>
  <c r="AJ170" i="32"/>
  <c r="AI171" i="32"/>
  <c r="AJ171" i="32"/>
  <c r="AI172" i="32"/>
  <c r="AJ172" i="32"/>
  <c r="AI173" i="32"/>
  <c r="AJ173" i="32"/>
  <c r="AI174" i="32"/>
  <c r="AJ174" i="32"/>
  <c r="AI175" i="32"/>
  <c r="AJ175" i="32"/>
  <c r="AI176" i="32"/>
  <c r="AJ176" i="32"/>
  <c r="AI177" i="32"/>
  <c r="AJ177" i="32"/>
  <c r="AI178" i="32"/>
  <c r="AJ178" i="32"/>
  <c r="AI179" i="32"/>
  <c r="AJ179" i="32"/>
  <c r="AI180" i="32"/>
  <c r="AJ180" i="32"/>
  <c r="AI181" i="32"/>
  <c r="AJ181" i="32"/>
  <c r="AI182" i="32"/>
  <c r="AJ182" i="32"/>
  <c r="AI183" i="32"/>
  <c r="AJ183" i="32"/>
  <c r="AI184" i="32"/>
  <c r="AJ184" i="32"/>
  <c r="AI185" i="32"/>
  <c r="AJ185" i="32"/>
  <c r="AI186" i="32"/>
  <c r="AJ186" i="32"/>
  <c r="AI187" i="32"/>
  <c r="AJ187" i="32"/>
  <c r="AI188" i="32"/>
  <c r="AJ188" i="32"/>
  <c r="AI189" i="32"/>
  <c r="AJ189" i="32"/>
  <c r="AI190" i="32"/>
  <c r="AJ190" i="32"/>
  <c r="AI191" i="32"/>
  <c r="AJ191" i="32"/>
  <c r="AI192" i="32"/>
  <c r="AJ192" i="32"/>
  <c r="AI193" i="32"/>
  <c r="AJ193" i="32"/>
  <c r="AI194" i="32"/>
  <c r="AJ194" i="32"/>
  <c r="AI195" i="32"/>
  <c r="AJ195" i="32"/>
  <c r="AI196" i="32"/>
  <c r="AJ196" i="32"/>
  <c r="AI197" i="32"/>
  <c r="AJ197" i="32"/>
  <c r="AI198" i="32"/>
  <c r="AJ198" i="32"/>
  <c r="AI199" i="32"/>
  <c r="AJ199" i="32"/>
  <c r="AI200" i="32"/>
  <c r="AJ200" i="32"/>
  <c r="AI201" i="32"/>
  <c r="AJ201" i="32"/>
  <c r="AI202" i="32"/>
  <c r="AJ202" i="32"/>
  <c r="AI203" i="32"/>
  <c r="AJ203" i="32"/>
  <c r="AI204" i="32"/>
  <c r="AJ204" i="32"/>
  <c r="AI205" i="32"/>
  <c r="AJ205" i="32"/>
  <c r="AI206" i="32"/>
  <c r="AJ206" i="32"/>
  <c r="AI207" i="32"/>
  <c r="AJ207" i="32"/>
  <c r="AI208" i="32"/>
  <c r="AJ208" i="32"/>
  <c r="AI209" i="32"/>
  <c r="AJ209" i="32"/>
  <c r="AI210" i="32"/>
  <c r="AJ210" i="32"/>
  <c r="AI211" i="32"/>
  <c r="AJ211" i="32"/>
  <c r="AI212" i="32"/>
  <c r="AJ212" i="32"/>
  <c r="AI213" i="32"/>
  <c r="AJ213" i="32"/>
  <c r="AI214" i="32"/>
  <c r="AJ214" i="32"/>
  <c r="AI215" i="32"/>
  <c r="AJ215" i="32"/>
  <c r="AI216" i="32"/>
  <c r="AJ216" i="32"/>
  <c r="AI217" i="32"/>
  <c r="AJ217" i="32"/>
  <c r="AI218" i="32"/>
  <c r="AJ218" i="32"/>
  <c r="AI219" i="32"/>
  <c r="AJ219" i="32"/>
  <c r="AI220" i="32"/>
  <c r="AJ220" i="32"/>
  <c r="AI221" i="32"/>
  <c r="AJ221" i="32"/>
  <c r="AI222" i="32"/>
  <c r="AJ222" i="32"/>
  <c r="AI223" i="32"/>
  <c r="AJ223" i="32"/>
  <c r="AI224" i="32"/>
  <c r="AJ224" i="32"/>
  <c r="AI225" i="32"/>
  <c r="AJ225" i="32"/>
  <c r="AI226" i="32"/>
  <c r="AJ226" i="32"/>
  <c r="AI227" i="32"/>
  <c r="AJ227" i="32"/>
  <c r="AI228" i="32"/>
  <c r="AJ228" i="32"/>
  <c r="AI229" i="32"/>
  <c r="AJ229" i="32"/>
  <c r="AI230" i="32"/>
  <c r="AJ230" i="32"/>
  <c r="AI231" i="32"/>
  <c r="AJ231" i="32"/>
  <c r="AI232" i="32"/>
  <c r="AJ232" i="32"/>
  <c r="AI233" i="32"/>
  <c r="AJ233" i="32"/>
  <c r="AI234" i="32"/>
  <c r="AJ234" i="32"/>
  <c r="AI235" i="32"/>
  <c r="AJ235" i="32"/>
  <c r="AI236" i="32"/>
  <c r="AJ236" i="32"/>
  <c r="AI237" i="32"/>
  <c r="AJ237" i="32"/>
  <c r="AI238" i="32"/>
  <c r="AJ238" i="32"/>
  <c r="AI239" i="32"/>
  <c r="AJ239" i="32"/>
  <c r="AI240" i="32"/>
  <c r="AJ240" i="32"/>
  <c r="AI241" i="32"/>
  <c r="AJ241" i="32"/>
  <c r="AI242" i="32"/>
  <c r="AJ242" i="32"/>
  <c r="AI243" i="32"/>
  <c r="AJ243" i="32"/>
  <c r="AI244" i="32"/>
  <c r="AJ244" i="32"/>
  <c r="AI245" i="32"/>
  <c r="AJ245" i="32"/>
  <c r="AI246" i="32"/>
  <c r="AJ246" i="32"/>
  <c r="AI247" i="32"/>
  <c r="AJ247" i="32"/>
  <c r="AI248" i="32"/>
  <c r="AJ248" i="32"/>
  <c r="AI249" i="32"/>
  <c r="AJ249" i="32"/>
  <c r="AI250" i="32"/>
  <c r="AJ250" i="32"/>
  <c r="AI251" i="32"/>
  <c r="AJ251" i="32"/>
  <c r="AI252" i="32"/>
  <c r="AJ252" i="32"/>
  <c r="AI253" i="32"/>
  <c r="AJ253" i="32"/>
  <c r="AI254" i="32"/>
  <c r="AJ254" i="32"/>
  <c r="AI255" i="32"/>
  <c r="AJ255" i="32"/>
  <c r="AI256" i="32"/>
  <c r="AJ256" i="32"/>
  <c r="AI257" i="32"/>
  <c r="AJ257" i="32"/>
  <c r="AI258" i="32"/>
  <c r="AJ258" i="32"/>
  <c r="AI259" i="32"/>
  <c r="AJ259" i="32"/>
  <c r="AI260" i="32"/>
  <c r="AJ260" i="32"/>
  <c r="AI261" i="32"/>
  <c r="AJ261" i="32"/>
  <c r="AI262" i="32"/>
  <c r="AJ262" i="32"/>
  <c r="AI263" i="32"/>
  <c r="AJ263" i="32"/>
  <c r="AI264" i="32"/>
  <c r="AJ264" i="32"/>
  <c r="AI265" i="32"/>
  <c r="AJ265" i="32"/>
  <c r="AI266" i="32"/>
  <c r="AJ266" i="32"/>
  <c r="AI267" i="32"/>
  <c r="AJ267" i="32"/>
  <c r="AI268" i="32"/>
  <c r="AJ268" i="32"/>
  <c r="AI269" i="32"/>
  <c r="AJ269" i="32"/>
  <c r="AI270" i="32"/>
  <c r="AJ270" i="32"/>
  <c r="AI271" i="32"/>
  <c r="AJ271" i="32"/>
  <c r="AI272" i="32"/>
  <c r="AJ272" i="32"/>
  <c r="AI273" i="32"/>
  <c r="AJ273" i="32"/>
  <c r="AI274" i="32"/>
  <c r="AJ274" i="32"/>
  <c r="AI275" i="32"/>
  <c r="AJ275" i="32"/>
  <c r="AI276" i="32"/>
  <c r="AJ276" i="32"/>
  <c r="AI277" i="32"/>
  <c r="AJ277" i="32"/>
  <c r="AI278" i="32"/>
  <c r="AJ278" i="32"/>
  <c r="AI279" i="32"/>
  <c r="AJ279" i="32"/>
  <c r="AI280" i="32"/>
  <c r="AJ280" i="32"/>
  <c r="AI281" i="32"/>
  <c r="AJ281" i="32"/>
  <c r="AI282" i="32"/>
  <c r="AJ282" i="32"/>
  <c r="AI283" i="32"/>
  <c r="AJ283" i="32"/>
  <c r="AI284" i="32"/>
  <c r="AJ284" i="32"/>
  <c r="AI285" i="32"/>
  <c r="AJ285" i="32"/>
  <c r="AI286" i="32"/>
  <c r="AJ286" i="32"/>
  <c r="AI287" i="32"/>
  <c r="AJ287" i="32"/>
  <c r="AI288" i="32"/>
  <c r="AJ288" i="32"/>
  <c r="AI289" i="32"/>
  <c r="AJ289" i="32"/>
  <c r="AI290" i="32"/>
  <c r="AJ290" i="32"/>
  <c r="AI291" i="32"/>
  <c r="AJ291" i="32"/>
  <c r="AI292" i="32"/>
  <c r="AJ292" i="32"/>
  <c r="AI293" i="32"/>
  <c r="AJ293" i="32"/>
  <c r="AI294" i="32"/>
  <c r="AJ294" i="32"/>
  <c r="AI295" i="32"/>
  <c r="AJ295" i="32"/>
  <c r="AI296" i="32"/>
  <c r="AJ296" i="32"/>
  <c r="AI297" i="32"/>
  <c r="AJ297" i="32"/>
  <c r="AI298" i="32"/>
  <c r="AJ298" i="32"/>
  <c r="AI299" i="32"/>
  <c r="AJ299" i="32"/>
  <c r="AI300" i="32"/>
  <c r="AJ300" i="32"/>
  <c r="AI301" i="32"/>
  <c r="AJ301" i="32"/>
  <c r="AI302" i="32"/>
  <c r="AJ302" i="32"/>
  <c r="AI303" i="32"/>
  <c r="AJ303" i="32"/>
  <c r="AI304" i="32"/>
  <c r="AJ304" i="32"/>
  <c r="AI305" i="32"/>
  <c r="AJ305" i="32"/>
  <c r="AI306" i="32"/>
  <c r="AJ306" i="32"/>
  <c r="AI307" i="32"/>
  <c r="AJ307" i="32"/>
  <c r="AI308" i="32"/>
  <c r="AJ308" i="32"/>
  <c r="AI309" i="32"/>
  <c r="AJ309" i="32"/>
  <c r="AI310" i="32"/>
  <c r="AJ310" i="32"/>
  <c r="AI311" i="32"/>
  <c r="AJ311" i="32"/>
  <c r="AI312" i="32"/>
  <c r="AJ312" i="32"/>
  <c r="AI313" i="32"/>
  <c r="AJ313" i="32"/>
  <c r="AI314" i="32"/>
  <c r="AJ314" i="32"/>
  <c r="AI315" i="32"/>
  <c r="AJ315" i="32"/>
  <c r="AI316" i="32"/>
  <c r="AJ316" i="32"/>
  <c r="AI317" i="32"/>
  <c r="AJ317" i="32"/>
  <c r="AI318" i="32"/>
  <c r="AJ318" i="32"/>
  <c r="AI319" i="32"/>
  <c r="AJ319" i="32"/>
  <c r="AI320" i="32"/>
  <c r="AJ320" i="32"/>
  <c r="AI321" i="32"/>
  <c r="AJ321" i="32"/>
  <c r="AI322" i="32"/>
  <c r="AJ322" i="32"/>
  <c r="AI323" i="32"/>
  <c r="AJ323" i="32"/>
  <c r="AI324" i="32"/>
  <c r="AJ324" i="32"/>
  <c r="AI325" i="32"/>
  <c r="AJ325" i="32"/>
  <c r="AI326" i="32"/>
  <c r="AJ326" i="32"/>
  <c r="AI327" i="32"/>
  <c r="AJ327" i="32"/>
  <c r="AI328" i="32"/>
  <c r="AJ328" i="32"/>
  <c r="AI329" i="32"/>
  <c r="AJ329" i="32"/>
  <c r="AI330" i="32"/>
  <c r="AJ330" i="32"/>
  <c r="AI331" i="32"/>
  <c r="AJ331" i="32"/>
  <c r="AI332" i="32"/>
  <c r="AJ332" i="32"/>
  <c r="AI333" i="32"/>
  <c r="AJ333" i="32"/>
  <c r="AI334" i="32"/>
  <c r="AJ334" i="32"/>
  <c r="AI335" i="32"/>
  <c r="AJ335" i="32"/>
  <c r="AI336" i="32"/>
  <c r="AJ336" i="32"/>
  <c r="AI337" i="32"/>
  <c r="AJ337" i="32"/>
  <c r="AI338" i="32"/>
  <c r="AJ338" i="32"/>
  <c r="AI339" i="32"/>
  <c r="AJ339" i="32"/>
  <c r="AI340" i="32"/>
  <c r="AJ340" i="32"/>
  <c r="AI341" i="32"/>
  <c r="AJ341" i="32"/>
  <c r="AI342" i="32"/>
  <c r="AJ342" i="32"/>
  <c r="AI343" i="32"/>
  <c r="AJ343" i="32"/>
  <c r="AI344" i="32"/>
  <c r="AJ344" i="32"/>
  <c r="AI345" i="32"/>
  <c r="AJ345" i="32"/>
  <c r="AI346" i="32"/>
  <c r="AJ346" i="32"/>
  <c r="AI347" i="32"/>
  <c r="AJ347" i="32"/>
  <c r="AI348" i="32"/>
  <c r="AJ348" i="32"/>
  <c r="AI349" i="32"/>
  <c r="AJ349" i="32"/>
  <c r="AI350" i="32"/>
  <c r="AJ350" i="32"/>
  <c r="AI351" i="32"/>
  <c r="AJ351" i="32"/>
  <c r="AI352" i="32"/>
  <c r="AJ352" i="32"/>
  <c r="AI353" i="32"/>
  <c r="AJ353" i="32"/>
  <c r="AI354" i="32"/>
  <c r="AJ354" i="32"/>
  <c r="AI355" i="32"/>
  <c r="AJ355" i="32"/>
  <c r="AI356" i="32"/>
  <c r="AJ356" i="32"/>
  <c r="AI357" i="32"/>
  <c r="AJ357" i="32"/>
  <c r="AI358" i="32"/>
  <c r="AJ358" i="32"/>
  <c r="AI359" i="32"/>
  <c r="AJ359" i="32"/>
  <c r="AI360" i="32"/>
  <c r="AJ360" i="32"/>
  <c r="AI361" i="32"/>
  <c r="AJ361" i="32"/>
  <c r="AI362" i="32"/>
  <c r="AJ362" i="32"/>
  <c r="AI363" i="32"/>
  <c r="AJ363" i="32"/>
  <c r="AI364" i="32"/>
  <c r="AJ364" i="32"/>
  <c r="AI365" i="32"/>
  <c r="AJ365" i="32"/>
  <c r="AI366" i="32"/>
  <c r="AJ366" i="32"/>
  <c r="AI367" i="32"/>
  <c r="AJ367" i="32"/>
  <c r="AI368" i="32"/>
  <c r="AJ368" i="32"/>
  <c r="AI369" i="32"/>
  <c r="AJ369" i="32"/>
  <c r="AI370" i="32"/>
  <c r="AJ370" i="32"/>
  <c r="AI371" i="32"/>
  <c r="AJ371" i="32"/>
  <c r="AI372" i="32"/>
  <c r="AJ372" i="32"/>
  <c r="AI373" i="32"/>
  <c r="AJ373" i="32"/>
  <c r="AI374" i="32"/>
  <c r="AJ374" i="32"/>
  <c r="AI375" i="32"/>
  <c r="AJ375" i="32"/>
  <c r="AI376" i="32"/>
  <c r="AJ376" i="32"/>
  <c r="AI377" i="32"/>
  <c r="AJ377" i="32"/>
  <c r="AI378" i="32"/>
  <c r="AJ378" i="32"/>
  <c r="AI379" i="32"/>
  <c r="AJ379" i="32"/>
  <c r="AI380" i="32"/>
  <c r="AJ380" i="32"/>
  <c r="AI381" i="32"/>
  <c r="AJ381" i="32"/>
  <c r="AI382" i="32"/>
  <c r="AJ382" i="32"/>
  <c r="AI383" i="32"/>
  <c r="AJ383" i="32"/>
  <c r="AI384" i="32"/>
  <c r="AJ384" i="32"/>
  <c r="AI385" i="32"/>
  <c r="AJ385" i="32"/>
  <c r="AI386" i="32"/>
  <c r="AJ386" i="32"/>
  <c r="AI387" i="32"/>
  <c r="AJ387" i="32"/>
  <c r="AI388" i="32"/>
  <c r="AJ388" i="32"/>
  <c r="AI389" i="32"/>
  <c r="AJ389" i="32"/>
  <c r="AI390" i="32"/>
  <c r="AJ390" i="32"/>
  <c r="AI391" i="32"/>
  <c r="AJ391" i="32"/>
  <c r="AI392" i="32"/>
  <c r="AJ392" i="32"/>
  <c r="AI393" i="32"/>
  <c r="AJ393" i="32"/>
  <c r="AI394" i="32"/>
  <c r="AJ394" i="32"/>
  <c r="AI395" i="32"/>
  <c r="AJ395" i="32"/>
  <c r="AI396" i="32"/>
  <c r="AJ396" i="32"/>
  <c r="AI397" i="32"/>
  <c r="AJ397" i="32"/>
  <c r="AI398" i="32"/>
  <c r="AJ398" i="32"/>
  <c r="AI399" i="32"/>
  <c r="AJ399" i="32"/>
  <c r="AI400" i="32"/>
  <c r="AJ400" i="32"/>
  <c r="AI401" i="32"/>
  <c r="AJ401" i="32"/>
  <c r="AI402" i="32"/>
  <c r="AJ402" i="32"/>
  <c r="AI403" i="32"/>
  <c r="AJ403" i="32"/>
  <c r="AI404" i="32"/>
  <c r="AJ404" i="32"/>
  <c r="AI405" i="32"/>
  <c r="AJ405" i="32"/>
  <c r="AI406" i="32"/>
  <c r="AJ406" i="32"/>
  <c r="AI407" i="32"/>
  <c r="AJ407" i="32"/>
  <c r="AI408" i="32"/>
  <c r="AJ408" i="32"/>
  <c r="AI409" i="32"/>
  <c r="AJ409" i="32"/>
  <c r="AI410" i="32"/>
  <c r="AJ410" i="32"/>
  <c r="AI411" i="32"/>
  <c r="AJ411" i="32"/>
  <c r="AI412" i="32"/>
  <c r="AJ412" i="32"/>
  <c r="AI413" i="32"/>
  <c r="AJ413" i="32"/>
  <c r="AI414" i="32"/>
  <c r="AJ414" i="32"/>
  <c r="AI415" i="32"/>
  <c r="AJ415" i="32"/>
  <c r="AI416" i="32"/>
  <c r="AJ416" i="32"/>
  <c r="AI417" i="32"/>
  <c r="AJ417" i="32"/>
  <c r="AI418" i="32"/>
  <c r="AJ418" i="32"/>
  <c r="AI419" i="32"/>
  <c r="AJ419" i="32"/>
  <c r="AI420" i="32"/>
  <c r="AJ420" i="32"/>
  <c r="AI421" i="32"/>
  <c r="AJ421" i="32"/>
  <c r="AI422" i="32"/>
  <c r="AJ422" i="32"/>
  <c r="AI423" i="32"/>
  <c r="AJ423" i="32"/>
  <c r="AI424" i="32"/>
  <c r="AJ424" i="32"/>
  <c r="AI425" i="32"/>
  <c r="AJ425" i="32"/>
  <c r="AI426" i="32"/>
  <c r="AJ426" i="32"/>
  <c r="AI427" i="32"/>
  <c r="AJ427" i="32"/>
  <c r="AI428" i="32"/>
  <c r="AJ428" i="32"/>
  <c r="AI429" i="32"/>
  <c r="AJ429" i="32"/>
  <c r="AI430" i="32"/>
  <c r="AJ430" i="32"/>
  <c r="AI431" i="32"/>
  <c r="AJ431" i="32"/>
  <c r="AI432" i="32"/>
  <c r="AJ432" i="32"/>
  <c r="AI433" i="32"/>
  <c r="AJ433" i="32"/>
  <c r="AI434" i="32"/>
  <c r="AJ434" i="32"/>
  <c r="AI435" i="32"/>
  <c r="AJ435" i="32"/>
  <c r="AI436" i="32"/>
  <c r="AJ436" i="32"/>
  <c r="AI437" i="32"/>
  <c r="AJ437" i="32"/>
  <c r="AI438" i="32"/>
  <c r="AJ438" i="32"/>
  <c r="AI439" i="32"/>
  <c r="AJ439" i="32"/>
  <c r="AI440" i="32"/>
  <c r="AJ440" i="32"/>
  <c r="AI441" i="32"/>
  <c r="AJ441" i="32"/>
  <c r="AI442" i="32"/>
  <c r="AJ442" i="32"/>
  <c r="AI443" i="32"/>
  <c r="AJ443" i="32"/>
  <c r="AI444" i="32"/>
  <c r="AJ444" i="32"/>
  <c r="AI445" i="32"/>
  <c r="AJ445" i="32"/>
  <c r="AI446" i="32"/>
  <c r="AJ446" i="32"/>
  <c r="AI447" i="32"/>
  <c r="AJ447" i="32"/>
  <c r="AI448" i="32"/>
  <c r="AJ448" i="32"/>
  <c r="AI4" i="32"/>
  <c r="AA5" i="32"/>
  <c r="AA4" i="32"/>
  <c r="AA6" i="32"/>
  <c r="AA7" i="32"/>
  <c r="AA8" i="32"/>
  <c r="AA9" i="32"/>
  <c r="AA10" i="32"/>
  <c r="AA11" i="32"/>
  <c r="AA12" i="32"/>
  <c r="AA13" i="32"/>
  <c r="AA14" i="32"/>
  <c r="AA15" i="32"/>
  <c r="AA16" i="32"/>
  <c r="AA17" i="32"/>
  <c r="AA18" i="32"/>
  <c r="AA19" i="32"/>
  <c r="AA20" i="32"/>
  <c r="AA21" i="32"/>
  <c r="AA22" i="32"/>
  <c r="AA23" i="32"/>
  <c r="AA24" i="32"/>
  <c r="AA25" i="32"/>
  <c r="AA26" i="32"/>
  <c r="AA27" i="32"/>
  <c r="AA28" i="32"/>
  <c r="AA29" i="32"/>
  <c r="AA30" i="32"/>
  <c r="AA31" i="32"/>
  <c r="AA32" i="32"/>
  <c r="AA33" i="32"/>
  <c r="AA34" i="32"/>
  <c r="AA35" i="32"/>
  <c r="AA36" i="32"/>
  <c r="AA37" i="32"/>
  <c r="AA38" i="32"/>
  <c r="AA39" i="32"/>
  <c r="AA40" i="32"/>
  <c r="AA41" i="32"/>
  <c r="AA42" i="32"/>
  <c r="AA43" i="32"/>
  <c r="AA44" i="32"/>
  <c r="AA45" i="32"/>
  <c r="AA46" i="32"/>
  <c r="AA47" i="32"/>
  <c r="AA48" i="32"/>
  <c r="AA49" i="32"/>
  <c r="AA50" i="32"/>
  <c r="AA51" i="32"/>
  <c r="AA52" i="32"/>
  <c r="AA53" i="32"/>
  <c r="AA54" i="32"/>
  <c r="AA55" i="32"/>
  <c r="AA56" i="32"/>
  <c r="AA57" i="32"/>
  <c r="AA58" i="32"/>
  <c r="AA59" i="32"/>
  <c r="AA60" i="32"/>
  <c r="AA61" i="32"/>
  <c r="AA62" i="32"/>
  <c r="AA63" i="32"/>
  <c r="AA64" i="32"/>
  <c r="AA65" i="32"/>
  <c r="AA66" i="32"/>
  <c r="AA67" i="32"/>
  <c r="AA68" i="32"/>
  <c r="AA69" i="32"/>
  <c r="AA70" i="32"/>
  <c r="AA71" i="32"/>
  <c r="AA72" i="32"/>
  <c r="AA73" i="32"/>
  <c r="AA74" i="32"/>
  <c r="AA75" i="32"/>
  <c r="AA76" i="32"/>
  <c r="AA77" i="32"/>
  <c r="AA78" i="32"/>
  <c r="AA79" i="32"/>
  <c r="AA80" i="32"/>
  <c r="AA81" i="32"/>
  <c r="AA82" i="32"/>
  <c r="AA83" i="32"/>
  <c r="AA84" i="32"/>
  <c r="AA85" i="32"/>
  <c r="AA86" i="32"/>
  <c r="AA87" i="32"/>
  <c r="AA88" i="32"/>
  <c r="AA89" i="32"/>
  <c r="AA90" i="32"/>
  <c r="AA91" i="32"/>
  <c r="AA92" i="32"/>
  <c r="AA93" i="32"/>
  <c r="AA94" i="32"/>
  <c r="AA95" i="32"/>
  <c r="AA96" i="32"/>
  <c r="AA97" i="32"/>
  <c r="AA98" i="32"/>
  <c r="AA99" i="32"/>
  <c r="AA100" i="32"/>
  <c r="AA101" i="32"/>
  <c r="AA102" i="32"/>
  <c r="AA103" i="32"/>
  <c r="AA104" i="32"/>
  <c r="AA105" i="32"/>
  <c r="AA106" i="32"/>
  <c r="AA107" i="32"/>
  <c r="AA108" i="32"/>
  <c r="AA109" i="32"/>
  <c r="AA110" i="32"/>
  <c r="AA111" i="32"/>
  <c r="AA112" i="32"/>
  <c r="AA113" i="32"/>
  <c r="AA114" i="32"/>
  <c r="AA115" i="32"/>
  <c r="AA116" i="32"/>
  <c r="AA117" i="32"/>
  <c r="AA118" i="32"/>
  <c r="AA119" i="32"/>
  <c r="AA120" i="32"/>
  <c r="AA121" i="32"/>
  <c r="AA122" i="32"/>
  <c r="AA123" i="32"/>
  <c r="AA124" i="32"/>
  <c r="AA125" i="32"/>
  <c r="AA126" i="32"/>
  <c r="AA127" i="32"/>
  <c r="AA128" i="32"/>
  <c r="AA129" i="32"/>
  <c r="AA130" i="32"/>
  <c r="AA131" i="32"/>
  <c r="AA132" i="32"/>
  <c r="AA133" i="32"/>
  <c r="AA134" i="32"/>
  <c r="AA135" i="32"/>
  <c r="AA136" i="32"/>
  <c r="AA137" i="32"/>
  <c r="AA138" i="32"/>
  <c r="AA139" i="32"/>
  <c r="AA140" i="32"/>
  <c r="AA141" i="32"/>
  <c r="AA142" i="32"/>
  <c r="AA143" i="32"/>
  <c r="AA144" i="32"/>
  <c r="AA145" i="32"/>
  <c r="AA146" i="32"/>
  <c r="AA147" i="32"/>
  <c r="AA148" i="32"/>
  <c r="AA149" i="32"/>
  <c r="AA150" i="32"/>
  <c r="AA151" i="32"/>
  <c r="AA152" i="32"/>
  <c r="AA153" i="32"/>
  <c r="AA154" i="32"/>
  <c r="AA155" i="32"/>
  <c r="AA156" i="32"/>
  <c r="AA157" i="32"/>
  <c r="AA158" i="32"/>
  <c r="AA159" i="32"/>
  <c r="AA160" i="32"/>
  <c r="AA161" i="32"/>
  <c r="AA162" i="32"/>
  <c r="AA163" i="32"/>
  <c r="AA164" i="32"/>
  <c r="AA165" i="32"/>
  <c r="AA166" i="32"/>
  <c r="AA167" i="32"/>
  <c r="AA168" i="32"/>
  <c r="AA169" i="32"/>
  <c r="AA170" i="32"/>
  <c r="AA171" i="32"/>
  <c r="AA172" i="32"/>
  <c r="AA173" i="32"/>
  <c r="AA174" i="32"/>
  <c r="AA175" i="32"/>
  <c r="AA176" i="32"/>
  <c r="AA177" i="32"/>
  <c r="AA178" i="32"/>
  <c r="AA179" i="32"/>
  <c r="AA180" i="32"/>
  <c r="AA181" i="32"/>
  <c r="AA182" i="32"/>
  <c r="AA183" i="32"/>
  <c r="AA184" i="32"/>
  <c r="AA185" i="32"/>
  <c r="AA186" i="32"/>
  <c r="AA187" i="32"/>
  <c r="AA188" i="32"/>
  <c r="AA189" i="32"/>
  <c r="AA190" i="32"/>
  <c r="AA191" i="32"/>
  <c r="AA192" i="32"/>
  <c r="AA193" i="32"/>
  <c r="AA194" i="32"/>
  <c r="AA195" i="32"/>
  <c r="AA196" i="32"/>
  <c r="AA197" i="32"/>
  <c r="AA198" i="32"/>
  <c r="AA199" i="32"/>
  <c r="AA200" i="32"/>
  <c r="AA201" i="32"/>
  <c r="AA202" i="32"/>
  <c r="AA203" i="32"/>
  <c r="AA204" i="32"/>
  <c r="AA205" i="32"/>
  <c r="AA206" i="32"/>
  <c r="AA207" i="32"/>
  <c r="AA208" i="32"/>
  <c r="AA209" i="32"/>
  <c r="AA210" i="32"/>
  <c r="AA211" i="32"/>
  <c r="AA212" i="32"/>
  <c r="AA213" i="32"/>
  <c r="AA214" i="32"/>
  <c r="AA215" i="32"/>
  <c r="AA216" i="32"/>
  <c r="AA217" i="32"/>
  <c r="AA218" i="32"/>
  <c r="AA219" i="32"/>
  <c r="AA220" i="32"/>
  <c r="AA221" i="32"/>
  <c r="AA222" i="32"/>
  <c r="AA223" i="32"/>
  <c r="AA224" i="32"/>
  <c r="AA225" i="32"/>
  <c r="AA226" i="32"/>
  <c r="AA227" i="32"/>
  <c r="AA228" i="32"/>
  <c r="AA229" i="32"/>
  <c r="AA230" i="32"/>
  <c r="AA231" i="32"/>
  <c r="AA232" i="32"/>
  <c r="AA233" i="32"/>
  <c r="AA234" i="32"/>
  <c r="AA235" i="32"/>
  <c r="AA236" i="32"/>
  <c r="AA237" i="32"/>
  <c r="AA238" i="32"/>
  <c r="AA239" i="32"/>
  <c r="AA240" i="32"/>
  <c r="AA241" i="32"/>
  <c r="AA242" i="32"/>
  <c r="AA243" i="32"/>
  <c r="AA244" i="32"/>
  <c r="AA245" i="32"/>
  <c r="AA246" i="32"/>
  <c r="AA247" i="32"/>
  <c r="AA248" i="32"/>
  <c r="AA249" i="32"/>
  <c r="AA250" i="32"/>
  <c r="AA251" i="32"/>
  <c r="AA252" i="32"/>
  <c r="AA253" i="32"/>
  <c r="AA254" i="32"/>
  <c r="AA255" i="32"/>
  <c r="AA256" i="32"/>
  <c r="AA257" i="32"/>
  <c r="AA258" i="32"/>
  <c r="AA259" i="32"/>
  <c r="AA260" i="32"/>
  <c r="AA261" i="32"/>
  <c r="AA262" i="32"/>
  <c r="AA263" i="32"/>
  <c r="AA264" i="32"/>
  <c r="AA265" i="32"/>
  <c r="AA266" i="32"/>
  <c r="AA267" i="32"/>
  <c r="AA268" i="32"/>
  <c r="AA269" i="32"/>
  <c r="AA270" i="32"/>
  <c r="AA271" i="32"/>
  <c r="AA272" i="32"/>
  <c r="AA273" i="32"/>
  <c r="AA274" i="32"/>
  <c r="AA275" i="32"/>
  <c r="AA276" i="32"/>
  <c r="AA277" i="32"/>
  <c r="AA278" i="32"/>
  <c r="AA279" i="32"/>
  <c r="AA280" i="32"/>
  <c r="AA281" i="32"/>
  <c r="AA282" i="32"/>
  <c r="AA283" i="32"/>
  <c r="AA284" i="32"/>
  <c r="AA285" i="32"/>
  <c r="AA286" i="32"/>
  <c r="AA287" i="32"/>
  <c r="AA288" i="32"/>
  <c r="AA289" i="32"/>
  <c r="AA290" i="32"/>
  <c r="AA291" i="32"/>
  <c r="AA292" i="32"/>
  <c r="AA293" i="32"/>
  <c r="AA294" i="32"/>
  <c r="AA295" i="32"/>
  <c r="AA296" i="32"/>
  <c r="AA297" i="32"/>
  <c r="AA298" i="32"/>
  <c r="AA299" i="32"/>
  <c r="AA300" i="32"/>
  <c r="AA301" i="32"/>
  <c r="AA302" i="32"/>
  <c r="AA303" i="32"/>
  <c r="AA304" i="32"/>
  <c r="AA305" i="32"/>
  <c r="AA306" i="32"/>
  <c r="AA307" i="32"/>
  <c r="AA308" i="32"/>
  <c r="AA309" i="32"/>
  <c r="AA310" i="32"/>
  <c r="AA311" i="32"/>
  <c r="AA312" i="32"/>
  <c r="AA313" i="32"/>
  <c r="AA314" i="32"/>
  <c r="AA315" i="32"/>
  <c r="AA316" i="32"/>
  <c r="AA317" i="32"/>
  <c r="AA318" i="32"/>
  <c r="AA319" i="32"/>
  <c r="AA320" i="32"/>
  <c r="AA321" i="32"/>
  <c r="AA322" i="32"/>
  <c r="AA323" i="32"/>
  <c r="AA324" i="32"/>
  <c r="AA325" i="32"/>
  <c r="AA326" i="32"/>
  <c r="AA327" i="32"/>
  <c r="AA328" i="32"/>
  <c r="AA329" i="32"/>
  <c r="AA330" i="32"/>
  <c r="AA331" i="32"/>
  <c r="AA332" i="32"/>
  <c r="AA333" i="32"/>
  <c r="AA334" i="32"/>
  <c r="AA335" i="32"/>
  <c r="AA336" i="32"/>
  <c r="AA337" i="32"/>
  <c r="AA338" i="32"/>
  <c r="AA339" i="32"/>
  <c r="AA340" i="32"/>
  <c r="AA341" i="32"/>
  <c r="AA342" i="32"/>
  <c r="AA343" i="32"/>
  <c r="AA344" i="32"/>
  <c r="AA345" i="32"/>
  <c r="AA346" i="32"/>
  <c r="AA347" i="32"/>
  <c r="AA348" i="32"/>
  <c r="AA349" i="32"/>
  <c r="AA350" i="32"/>
  <c r="AA351" i="32"/>
  <c r="AA352" i="32"/>
  <c r="AA353" i="32"/>
  <c r="AA354" i="32"/>
  <c r="AA355" i="32"/>
  <c r="AA356" i="32"/>
  <c r="AA357" i="32"/>
  <c r="AA358" i="32"/>
  <c r="AA359" i="32"/>
  <c r="AA360" i="32"/>
  <c r="AA361" i="32"/>
  <c r="AA362" i="32"/>
  <c r="AA363" i="32"/>
  <c r="AA364" i="32"/>
  <c r="AA365" i="32"/>
  <c r="AA366" i="32"/>
  <c r="AA367" i="32"/>
  <c r="AA368" i="32"/>
  <c r="AA369" i="32"/>
  <c r="AA370" i="32"/>
  <c r="AA371" i="32"/>
  <c r="AA372" i="32"/>
  <c r="AA373" i="32"/>
  <c r="AA374" i="32"/>
  <c r="AA375" i="32"/>
  <c r="AA376" i="32"/>
  <c r="AA377" i="32"/>
  <c r="AA378" i="32"/>
  <c r="AA379" i="32"/>
  <c r="AA380" i="32"/>
  <c r="AA381" i="32"/>
  <c r="AA382" i="32"/>
  <c r="AA383" i="32"/>
  <c r="AA384" i="32"/>
  <c r="AA385" i="32"/>
  <c r="AA386" i="32"/>
  <c r="AA387" i="32"/>
  <c r="AA388" i="32"/>
  <c r="AA389" i="32"/>
  <c r="AA390" i="32"/>
  <c r="AA391" i="32"/>
  <c r="AA392" i="32"/>
  <c r="AA393" i="32"/>
  <c r="AA394" i="32"/>
  <c r="AA395" i="32"/>
  <c r="AA396" i="32"/>
  <c r="AA397" i="32"/>
  <c r="AA398" i="32"/>
  <c r="AA399" i="32"/>
  <c r="AA400" i="32"/>
  <c r="AA401" i="32"/>
  <c r="AA402" i="32"/>
  <c r="AA403" i="32"/>
  <c r="AA404" i="32"/>
  <c r="AA405" i="32"/>
  <c r="AA406" i="32"/>
  <c r="AA407" i="32"/>
  <c r="AA408" i="32"/>
  <c r="AA409" i="32"/>
  <c r="AA410" i="32"/>
  <c r="AA411" i="32"/>
  <c r="AA412" i="32"/>
  <c r="AA413" i="32"/>
  <c r="AA414" i="32"/>
  <c r="AA415" i="32"/>
  <c r="AA416" i="32"/>
  <c r="AA417" i="32"/>
  <c r="AA418" i="32"/>
  <c r="AA419" i="32"/>
  <c r="AA420" i="32"/>
  <c r="AA421" i="32"/>
  <c r="AA422" i="32"/>
  <c r="AA423" i="32"/>
  <c r="AA424" i="32"/>
  <c r="AA425" i="32"/>
  <c r="AA426" i="32"/>
  <c r="AA427" i="32"/>
  <c r="AA428" i="32"/>
  <c r="AA429" i="32"/>
  <c r="AA430" i="32"/>
  <c r="AA431" i="32"/>
  <c r="AA432" i="32"/>
  <c r="AA433" i="32"/>
  <c r="AA434" i="32"/>
  <c r="AA435" i="32"/>
  <c r="AA436" i="32"/>
  <c r="AA437" i="32"/>
  <c r="AA438" i="32"/>
  <c r="AA439" i="32"/>
  <c r="AA440" i="32"/>
  <c r="AA441" i="32"/>
  <c r="AA442" i="32"/>
  <c r="AA443" i="32"/>
  <c r="AA444" i="32"/>
  <c r="AA445" i="32"/>
  <c r="AA446" i="32"/>
  <c r="AA447" i="32"/>
  <c r="AA448" i="32"/>
  <c r="AA449" i="32"/>
  <c r="AA450" i="32"/>
  <c r="AA451" i="32"/>
  <c r="AA452" i="32"/>
  <c r="AA453" i="32"/>
  <c r="AA454" i="32"/>
  <c r="AA455" i="32"/>
  <c r="AA456" i="32"/>
  <c r="AA457" i="32"/>
  <c r="AA458" i="32"/>
  <c r="AA459" i="32"/>
  <c r="AA460" i="32"/>
  <c r="AA461" i="32"/>
  <c r="AA462" i="32"/>
  <c r="AA463" i="32"/>
  <c r="AA464" i="32"/>
  <c r="AA465" i="32"/>
  <c r="AA466" i="32"/>
  <c r="AA467" i="32"/>
  <c r="AA468" i="32"/>
  <c r="AA469" i="32"/>
  <c r="AA470" i="32"/>
  <c r="AA471" i="32"/>
  <c r="AA472" i="32"/>
  <c r="AA473" i="32"/>
  <c r="AA474" i="32"/>
  <c r="AA475" i="32"/>
  <c r="AA476" i="32"/>
  <c r="AA477" i="32"/>
  <c r="AA478" i="32"/>
  <c r="AA479" i="32"/>
  <c r="AA480" i="32"/>
  <c r="AA481" i="32"/>
  <c r="AA482" i="32"/>
  <c r="AA483" i="32"/>
  <c r="AA484" i="32"/>
  <c r="AA485" i="32"/>
  <c r="AA486" i="32"/>
  <c r="AA487" i="32"/>
  <c r="AA488" i="32"/>
  <c r="AA489" i="32"/>
  <c r="AA490" i="32"/>
  <c r="AA491" i="32"/>
  <c r="AA492" i="32"/>
  <c r="AA493" i="32"/>
  <c r="AA494" i="32"/>
  <c r="AA495" i="32"/>
  <c r="AA496" i="32"/>
  <c r="AA497" i="32"/>
  <c r="AA498" i="32"/>
  <c r="AA499" i="32"/>
  <c r="AA500" i="32"/>
  <c r="AA501" i="32"/>
  <c r="AA502" i="32"/>
  <c r="AA503" i="32"/>
  <c r="AA504" i="32"/>
  <c r="AA505" i="32"/>
  <c r="AA506" i="32"/>
  <c r="AA507" i="32"/>
  <c r="AA508" i="32"/>
  <c r="AA509" i="32"/>
  <c r="AA510" i="32"/>
  <c r="AA511" i="32"/>
  <c r="AA512" i="32"/>
  <c r="AA513" i="32"/>
  <c r="AA514" i="32"/>
  <c r="AA515" i="32"/>
  <c r="AA516" i="32"/>
  <c r="AA517" i="32"/>
  <c r="AA518" i="32"/>
  <c r="AA519" i="32"/>
  <c r="AA520" i="32"/>
  <c r="AA521" i="32"/>
  <c r="AA522" i="32"/>
  <c r="AA523" i="32"/>
  <c r="AA524" i="32"/>
  <c r="AA525" i="32"/>
  <c r="AA526" i="32"/>
  <c r="AA527" i="32"/>
  <c r="AA528" i="32"/>
  <c r="AA529" i="32"/>
  <c r="AA530" i="32"/>
  <c r="AA531" i="32"/>
  <c r="AA532" i="32"/>
  <c r="AA533" i="32"/>
  <c r="AA534" i="32"/>
  <c r="AA535" i="32"/>
  <c r="AA536" i="32"/>
  <c r="AA537" i="32"/>
  <c r="AA538" i="32"/>
  <c r="AA539" i="32"/>
  <c r="AA540" i="32"/>
  <c r="AA541" i="32"/>
  <c r="AA542" i="32"/>
  <c r="AA543" i="32"/>
  <c r="AA544" i="32"/>
  <c r="AA545" i="32"/>
  <c r="AA546" i="32"/>
  <c r="AA547" i="32"/>
  <c r="AA548" i="32"/>
  <c r="AA549" i="32"/>
  <c r="AA550" i="32"/>
  <c r="AA551" i="32"/>
  <c r="AA552" i="32"/>
  <c r="AA553" i="32"/>
  <c r="AA554" i="32"/>
  <c r="AA555" i="32"/>
  <c r="AA556" i="32"/>
  <c r="AA557" i="32"/>
  <c r="AA558" i="32"/>
  <c r="AA559" i="32"/>
  <c r="AA560" i="32"/>
  <c r="AA561" i="32"/>
  <c r="AA562" i="32"/>
  <c r="AA563" i="32"/>
  <c r="AA564" i="32"/>
  <c r="AA565" i="32"/>
  <c r="AA566" i="32"/>
  <c r="AA567" i="32"/>
  <c r="AA568" i="32"/>
  <c r="AA569" i="32"/>
  <c r="AA570" i="32"/>
  <c r="AA571" i="32"/>
  <c r="AA572" i="32"/>
  <c r="AA573" i="32"/>
  <c r="AA574" i="32"/>
  <c r="AA575" i="32"/>
  <c r="AA576" i="32"/>
  <c r="AA577" i="32"/>
  <c r="AA578" i="32"/>
  <c r="AA579" i="32"/>
  <c r="AA580" i="32"/>
  <c r="AA581" i="32"/>
  <c r="AA582" i="32"/>
  <c r="AA583" i="32"/>
  <c r="AA584" i="32"/>
  <c r="AA585" i="32"/>
  <c r="AA586" i="32"/>
  <c r="AA587" i="32"/>
  <c r="AA588" i="32"/>
  <c r="AA589" i="32"/>
  <c r="AA590" i="32"/>
  <c r="AA591" i="32"/>
  <c r="AA592" i="32"/>
  <c r="AA593" i="32"/>
  <c r="AA594" i="32"/>
  <c r="AA595" i="32"/>
  <c r="AA596" i="32"/>
  <c r="AA597" i="32"/>
  <c r="AA598" i="32"/>
  <c r="AA599" i="32"/>
  <c r="AA600" i="32"/>
  <c r="AA601" i="32"/>
  <c r="AA602" i="32"/>
  <c r="AA603" i="32"/>
  <c r="AA604" i="32"/>
  <c r="AA605" i="32"/>
  <c r="AA606" i="32"/>
  <c r="AA607" i="32"/>
  <c r="AA608" i="32"/>
  <c r="AA609" i="32"/>
  <c r="AA610" i="32"/>
  <c r="AA611" i="32"/>
  <c r="AA612" i="32"/>
  <c r="AA613" i="32"/>
  <c r="AA614" i="32"/>
  <c r="AA615" i="32"/>
  <c r="AA616" i="32"/>
  <c r="AA617" i="32"/>
  <c r="AA618" i="32"/>
  <c r="AA619" i="32"/>
  <c r="AA620" i="32"/>
  <c r="AA621" i="32"/>
  <c r="AA622" i="32"/>
  <c r="AA623" i="32"/>
  <c r="AA624" i="32"/>
  <c r="AA625" i="32"/>
  <c r="AA626" i="32"/>
  <c r="AA627" i="32"/>
  <c r="AA628" i="32"/>
  <c r="AA629" i="32"/>
  <c r="AA630" i="32"/>
  <c r="AA631" i="32"/>
  <c r="AA632" i="32"/>
  <c r="AA633" i="32"/>
  <c r="AA634" i="32"/>
  <c r="AA635" i="32"/>
  <c r="AA636" i="32"/>
  <c r="AA637" i="32"/>
  <c r="AA638" i="32"/>
  <c r="AA639" i="32"/>
  <c r="AA640" i="32"/>
  <c r="AA641" i="32"/>
  <c r="AA642" i="32"/>
  <c r="AA643" i="32"/>
  <c r="AA644" i="32"/>
  <c r="AA645" i="32"/>
  <c r="AA646" i="32"/>
  <c r="AA647" i="32"/>
  <c r="AA648" i="32"/>
  <c r="AA649" i="32"/>
  <c r="AA650" i="32"/>
  <c r="AA651" i="32"/>
  <c r="AA652" i="32"/>
  <c r="AA653" i="32"/>
  <c r="AA654" i="32"/>
  <c r="AA655" i="32"/>
  <c r="AA656" i="32"/>
  <c r="AA657" i="32"/>
  <c r="AA658" i="32"/>
  <c r="AA659" i="32"/>
  <c r="AA660" i="32"/>
  <c r="AA661" i="32"/>
  <c r="AA662" i="32"/>
  <c r="AA663" i="32"/>
  <c r="AA664" i="32"/>
  <c r="AA665" i="32"/>
  <c r="AA666" i="32"/>
  <c r="AA667" i="32"/>
  <c r="AA668" i="32"/>
  <c r="AA669" i="32"/>
  <c r="AA670" i="32"/>
  <c r="AA671" i="32"/>
  <c r="AA672" i="32"/>
  <c r="AA673" i="32"/>
  <c r="AA674" i="32"/>
  <c r="AA675" i="32"/>
  <c r="AA676" i="32"/>
  <c r="AA677" i="32"/>
  <c r="AA678" i="32"/>
  <c r="AA679" i="32"/>
  <c r="AA680" i="32"/>
  <c r="AA681" i="32"/>
  <c r="AA682" i="32"/>
  <c r="AA683" i="32"/>
  <c r="AA684" i="32"/>
  <c r="AA685" i="32"/>
  <c r="AA686" i="32"/>
  <c r="AA687" i="32"/>
  <c r="AA688" i="32"/>
  <c r="AA689" i="32"/>
  <c r="AA690" i="32"/>
  <c r="AA691" i="32"/>
  <c r="AA692" i="32"/>
  <c r="AA693" i="32"/>
  <c r="AA694" i="32"/>
  <c r="AA695" i="32"/>
  <c r="AA696" i="32"/>
  <c r="AA697" i="32"/>
  <c r="AA698" i="32"/>
  <c r="AA699" i="32"/>
  <c r="AA700" i="32"/>
  <c r="AA701" i="32"/>
  <c r="AA702" i="32"/>
  <c r="AA703" i="32"/>
  <c r="AA704" i="32"/>
  <c r="AA705" i="32"/>
  <c r="AA706" i="32"/>
  <c r="AA707" i="32"/>
  <c r="AA708" i="32"/>
  <c r="AA709" i="32"/>
  <c r="AA710" i="32"/>
  <c r="AA711" i="32"/>
  <c r="AA712" i="32"/>
  <c r="AA713" i="32"/>
  <c r="AA714" i="32"/>
  <c r="AA715" i="32"/>
  <c r="AA716" i="32"/>
  <c r="AA717" i="32"/>
  <c r="AA718" i="32"/>
  <c r="AA719" i="32"/>
  <c r="AA720" i="32"/>
  <c r="AA721" i="32"/>
  <c r="AA722" i="32"/>
  <c r="AA723" i="32"/>
  <c r="AA724" i="32"/>
  <c r="AA725" i="32"/>
  <c r="AA726" i="32"/>
  <c r="AA727" i="32"/>
  <c r="AA728" i="32"/>
  <c r="AA729" i="32"/>
  <c r="AA730" i="32"/>
  <c r="AA731" i="32"/>
  <c r="AA732" i="32"/>
  <c r="AA733" i="32"/>
  <c r="AA734" i="32"/>
  <c r="AA735" i="32"/>
  <c r="AA736" i="32"/>
  <c r="AA737" i="32"/>
  <c r="AA738" i="32"/>
  <c r="AA739" i="32"/>
  <c r="AA740" i="32"/>
  <c r="AA741" i="32"/>
  <c r="AA742" i="32"/>
  <c r="AA743" i="32"/>
  <c r="AA744" i="32"/>
  <c r="AA745" i="32"/>
  <c r="AA746" i="32"/>
  <c r="AA747" i="32"/>
  <c r="AA748" i="32"/>
  <c r="AA749" i="32"/>
  <c r="AA750" i="32"/>
  <c r="AA751" i="32"/>
  <c r="AA752" i="32"/>
  <c r="AA753" i="32"/>
  <c r="AA754" i="32"/>
  <c r="AA755" i="32"/>
  <c r="AA756" i="32"/>
  <c r="AA757" i="32"/>
  <c r="AA758" i="32"/>
  <c r="AA759" i="32"/>
  <c r="AA760" i="32"/>
  <c r="AA761" i="32"/>
  <c r="AA762" i="32"/>
  <c r="AA763" i="32"/>
  <c r="AA764" i="32"/>
  <c r="AA765" i="32"/>
  <c r="AA766" i="32"/>
  <c r="AA767" i="32"/>
  <c r="AA768" i="32"/>
  <c r="AA769" i="32"/>
  <c r="AA770" i="32"/>
  <c r="AA771" i="32"/>
  <c r="AA772" i="32"/>
  <c r="AA773" i="32"/>
  <c r="AA774" i="32"/>
  <c r="AA775" i="32"/>
  <c r="AA776" i="32"/>
  <c r="AA777" i="32"/>
  <c r="AA778" i="32"/>
  <c r="AA779" i="32"/>
  <c r="AA780" i="32"/>
  <c r="AA781" i="32"/>
  <c r="AA782" i="32"/>
  <c r="AA783" i="32"/>
  <c r="AA784" i="32"/>
  <c r="AA785" i="32"/>
  <c r="AA786" i="32"/>
  <c r="AA787" i="32"/>
  <c r="AA788" i="32"/>
  <c r="AA789" i="32"/>
  <c r="AA790" i="32"/>
  <c r="AA791" i="32"/>
  <c r="AA792" i="32"/>
  <c r="AA793" i="32"/>
  <c r="AA794" i="32"/>
  <c r="AA795" i="32"/>
  <c r="AA796" i="32"/>
  <c r="AA797" i="32"/>
  <c r="AA798" i="32"/>
  <c r="AA799" i="32"/>
  <c r="AA800" i="32"/>
  <c r="AA801" i="32"/>
  <c r="AA802" i="32"/>
  <c r="AA803" i="32"/>
  <c r="AA804" i="32"/>
  <c r="AA805" i="32"/>
  <c r="AA806" i="32"/>
  <c r="AA807" i="32"/>
  <c r="AA808" i="32"/>
  <c r="AA809" i="32"/>
  <c r="AA810" i="32"/>
  <c r="AA811" i="32"/>
  <c r="AA812" i="32"/>
  <c r="AA813" i="32"/>
  <c r="AA814" i="32"/>
  <c r="AA815" i="32"/>
  <c r="AA816" i="32"/>
  <c r="AA817" i="32"/>
  <c r="AA818" i="32"/>
  <c r="AA819" i="32"/>
  <c r="AA820" i="32"/>
  <c r="AA821" i="32"/>
  <c r="AA822" i="32"/>
  <c r="AA823" i="32"/>
  <c r="AA824" i="32"/>
  <c r="AA825" i="32"/>
  <c r="AA826" i="32"/>
  <c r="AA827" i="32"/>
  <c r="AA828" i="32"/>
  <c r="AA829" i="32"/>
  <c r="AA830" i="32"/>
  <c r="AA831" i="32"/>
  <c r="AA832" i="32"/>
  <c r="AA833" i="32"/>
  <c r="AA834" i="32"/>
  <c r="AA835" i="32"/>
  <c r="AA836" i="32"/>
  <c r="AA837" i="32"/>
  <c r="AA838" i="32"/>
  <c r="AA839" i="32"/>
  <c r="AA840" i="32"/>
  <c r="AA841" i="32"/>
  <c r="AA842" i="32"/>
  <c r="AA843" i="32"/>
  <c r="AA844" i="32"/>
  <c r="AA845" i="32"/>
  <c r="AA846" i="32"/>
  <c r="AA847" i="32"/>
  <c r="AA848" i="32"/>
  <c r="AA849" i="32"/>
  <c r="AA850" i="32"/>
  <c r="AA851" i="32"/>
  <c r="AA852" i="32"/>
  <c r="AA853" i="32"/>
  <c r="AA854" i="32"/>
  <c r="AA855" i="32"/>
  <c r="AA856" i="32"/>
  <c r="AA857" i="32"/>
  <c r="AA858" i="32"/>
  <c r="AA859" i="32"/>
  <c r="AA860" i="32"/>
  <c r="AA861" i="32"/>
  <c r="AA862" i="32"/>
  <c r="AA863" i="32"/>
  <c r="AA864" i="32"/>
  <c r="AA865" i="32"/>
  <c r="AA866" i="32"/>
  <c r="AA867" i="32"/>
  <c r="AA868" i="32"/>
  <c r="AA869" i="32"/>
  <c r="AA870" i="32"/>
  <c r="AA871" i="32"/>
  <c r="AA872" i="32"/>
  <c r="AA873" i="32"/>
  <c r="AA874" i="32"/>
  <c r="AA875" i="32"/>
  <c r="AA876" i="32"/>
  <c r="AA877" i="32"/>
  <c r="AA878" i="32"/>
  <c r="AA879" i="32"/>
  <c r="AA880" i="32"/>
  <c r="AA881" i="32"/>
  <c r="AA882" i="32"/>
  <c r="AA883" i="32"/>
  <c r="AA884" i="32"/>
  <c r="AA885" i="32"/>
  <c r="AA886" i="32"/>
  <c r="AA887" i="32"/>
  <c r="AA888" i="32"/>
  <c r="AA889" i="32"/>
  <c r="AA890" i="32"/>
  <c r="AA891" i="32"/>
  <c r="AA892" i="32"/>
  <c r="AA893" i="32"/>
  <c r="AA894" i="32"/>
  <c r="AA895" i="32"/>
  <c r="AA896" i="32"/>
  <c r="AA897" i="32"/>
  <c r="AA898" i="32"/>
  <c r="AA899" i="32"/>
  <c r="AA900" i="32"/>
  <c r="AA901" i="32"/>
  <c r="AA902" i="32"/>
  <c r="AA903" i="32"/>
  <c r="AA904" i="32"/>
  <c r="AA905" i="32"/>
  <c r="AA906" i="32"/>
  <c r="AA907" i="32"/>
  <c r="AC5" i="32"/>
  <c r="AB605" i="32"/>
  <c r="AB5" i="32"/>
  <c r="AB4" i="32"/>
  <c r="AB6" i="32"/>
  <c r="AB7" i="32"/>
  <c r="AB8" i="32"/>
  <c r="AB9" i="32"/>
  <c r="AB10" i="32"/>
  <c r="AB11" i="32"/>
  <c r="AB12" i="32"/>
  <c r="AB13" i="32"/>
  <c r="AB14" i="32"/>
  <c r="AB15" i="32"/>
  <c r="AB16" i="32"/>
  <c r="AB17" i="32"/>
  <c r="AB18" i="32"/>
  <c r="AB19" i="32"/>
  <c r="AB20" i="32"/>
  <c r="AB21" i="32"/>
  <c r="AB22" i="32"/>
  <c r="AB23" i="32"/>
  <c r="AB24" i="32"/>
  <c r="AB25" i="32"/>
  <c r="AB26" i="32"/>
  <c r="AB27" i="32"/>
  <c r="AB28" i="32"/>
  <c r="AB29" i="32"/>
  <c r="AB30" i="32"/>
  <c r="AB31" i="32"/>
  <c r="AB32" i="32"/>
  <c r="AB33" i="32"/>
  <c r="AB34" i="32"/>
  <c r="AB35" i="32"/>
  <c r="AB36" i="32"/>
  <c r="AB37" i="32"/>
  <c r="AB38" i="32"/>
  <c r="AB39" i="32"/>
  <c r="AB40" i="32"/>
  <c r="AB41" i="32"/>
  <c r="AB42" i="32"/>
  <c r="AB43" i="32"/>
  <c r="AB44" i="32"/>
  <c r="AB45" i="32"/>
  <c r="AB46" i="32"/>
  <c r="AB47" i="32"/>
  <c r="AB48" i="32"/>
  <c r="AB49" i="32"/>
  <c r="AB50" i="32"/>
  <c r="AB51" i="32"/>
  <c r="AB52" i="32"/>
  <c r="AB53" i="32"/>
  <c r="AB54" i="32"/>
  <c r="AB55" i="32"/>
  <c r="AB56" i="32"/>
  <c r="AB57" i="32"/>
  <c r="AB58" i="32"/>
  <c r="AB59" i="32"/>
  <c r="AB60" i="32"/>
  <c r="AB61" i="32"/>
  <c r="AB62" i="32"/>
  <c r="AB63" i="32"/>
  <c r="AB64" i="32"/>
  <c r="AB65" i="32"/>
  <c r="AB66" i="32"/>
  <c r="AB67" i="32"/>
  <c r="AB68" i="32"/>
  <c r="AB69" i="32"/>
  <c r="AB70" i="32"/>
  <c r="AB71" i="32"/>
  <c r="AB72" i="32"/>
  <c r="AB73" i="32"/>
  <c r="AB74" i="32"/>
  <c r="AB75" i="32"/>
  <c r="AB76" i="32"/>
  <c r="AB77" i="32"/>
  <c r="AB78" i="32"/>
  <c r="AB79" i="32"/>
  <c r="AB80" i="32"/>
  <c r="AB81" i="32"/>
  <c r="AB82" i="32"/>
  <c r="AB83" i="32"/>
  <c r="AB84" i="32"/>
  <c r="AB85" i="32"/>
  <c r="AB86" i="32"/>
  <c r="AB87" i="32"/>
  <c r="AB88" i="32"/>
  <c r="AB89" i="32"/>
  <c r="AB90" i="32"/>
  <c r="AB91" i="32"/>
  <c r="AB92" i="32"/>
  <c r="AB93" i="32"/>
  <c r="AB94" i="32"/>
  <c r="AB95" i="32"/>
  <c r="AB96" i="32"/>
  <c r="AB97" i="32"/>
  <c r="AB98" i="32"/>
  <c r="AB99" i="32"/>
  <c r="AB100" i="32"/>
  <c r="AB101" i="32"/>
  <c r="AB102" i="32"/>
  <c r="AB103" i="32"/>
  <c r="AB104" i="32"/>
  <c r="AB105" i="32"/>
  <c r="AB106" i="32"/>
  <c r="AB107" i="32"/>
  <c r="AB108" i="32"/>
  <c r="AB109" i="32"/>
  <c r="AB110" i="32"/>
  <c r="AB111" i="32"/>
  <c r="AB112" i="32"/>
  <c r="AB113" i="32"/>
  <c r="AB114" i="32"/>
  <c r="AB115" i="32"/>
  <c r="AB116" i="32"/>
  <c r="AB117" i="32"/>
  <c r="AB118" i="32"/>
  <c r="AB119" i="32"/>
  <c r="AB120" i="32"/>
  <c r="AB121" i="32"/>
  <c r="AB122" i="32"/>
  <c r="AB123" i="32"/>
  <c r="AB124" i="32"/>
  <c r="AB125" i="32"/>
  <c r="AB126" i="32"/>
  <c r="AB127" i="32"/>
  <c r="AB128" i="32"/>
  <c r="AB129" i="32"/>
  <c r="AB130" i="32"/>
  <c r="AB131" i="32"/>
  <c r="AB132" i="32"/>
  <c r="AB133" i="32"/>
  <c r="AB134" i="32"/>
  <c r="AB135" i="32"/>
  <c r="AB136" i="32"/>
  <c r="AB137" i="32"/>
  <c r="AB138" i="32"/>
  <c r="AB139" i="32"/>
  <c r="AB140" i="32"/>
  <c r="AB141" i="32"/>
  <c r="AB142" i="32"/>
  <c r="AB143" i="32"/>
  <c r="AB144" i="32"/>
  <c r="AB145" i="32"/>
  <c r="AB146" i="32"/>
  <c r="AB147" i="32"/>
  <c r="AB148" i="32"/>
  <c r="AB149" i="32"/>
  <c r="AB150" i="32"/>
  <c r="AB151" i="32"/>
  <c r="AB152" i="32"/>
  <c r="AB153" i="32"/>
  <c r="AB154" i="32"/>
  <c r="AB155" i="32"/>
  <c r="AB156" i="32"/>
  <c r="AB157" i="32"/>
  <c r="AB158" i="32"/>
  <c r="AB159" i="32"/>
  <c r="AB160" i="32"/>
  <c r="AB161" i="32"/>
  <c r="AB162" i="32"/>
  <c r="AB163" i="32"/>
  <c r="AB164" i="32"/>
  <c r="AB165" i="32"/>
  <c r="AB166" i="32"/>
  <c r="AB167" i="32"/>
  <c r="AB168" i="32"/>
  <c r="AB169" i="32"/>
  <c r="AB170" i="32"/>
  <c r="AB171" i="32"/>
  <c r="AB172" i="32"/>
  <c r="AB173" i="32"/>
  <c r="AB174" i="32"/>
  <c r="AB175" i="32"/>
  <c r="AB176" i="32"/>
  <c r="AB177" i="32"/>
  <c r="AB178" i="32"/>
  <c r="AB179" i="32"/>
  <c r="AB180" i="32"/>
  <c r="AB181" i="32"/>
  <c r="AB182" i="32"/>
  <c r="AB183" i="32"/>
  <c r="AB184" i="32"/>
  <c r="AB185" i="32"/>
  <c r="AB186" i="32"/>
  <c r="AB187" i="32"/>
  <c r="AB188" i="32"/>
  <c r="AB189" i="32"/>
  <c r="AB190" i="32"/>
  <c r="AB191" i="32"/>
  <c r="AB192" i="32"/>
  <c r="AB193" i="32"/>
  <c r="AB194" i="32"/>
  <c r="AB195" i="32"/>
  <c r="AB196" i="32"/>
  <c r="AB197" i="32"/>
  <c r="AB198" i="32"/>
  <c r="AB199" i="32"/>
  <c r="AB200" i="32"/>
  <c r="AB201" i="32"/>
  <c r="AB202" i="32"/>
  <c r="AB203" i="32"/>
  <c r="AB204" i="32"/>
  <c r="AB205" i="32"/>
  <c r="AB206" i="32"/>
  <c r="AB207" i="32"/>
  <c r="AB208" i="32"/>
  <c r="AB209" i="32"/>
  <c r="AB210" i="32"/>
  <c r="AB211" i="32"/>
  <c r="AB212" i="32"/>
  <c r="AB213" i="32"/>
  <c r="AB214" i="32"/>
  <c r="AB215" i="32"/>
  <c r="AB216" i="32"/>
  <c r="AB217" i="32"/>
  <c r="AB218" i="32"/>
  <c r="AB219" i="32"/>
  <c r="AB220" i="32"/>
  <c r="AB221" i="32"/>
  <c r="AB222" i="32"/>
  <c r="AB223" i="32"/>
  <c r="AB224" i="32"/>
  <c r="AB225" i="32"/>
  <c r="AB226" i="32"/>
  <c r="AB227" i="32"/>
  <c r="AB228" i="32"/>
  <c r="AB229" i="32"/>
  <c r="AB230" i="32"/>
  <c r="AB231" i="32"/>
  <c r="AB232" i="32"/>
  <c r="AB233" i="32"/>
  <c r="AB234" i="32"/>
  <c r="AB235" i="32"/>
  <c r="AB236" i="32"/>
  <c r="AB237" i="32"/>
  <c r="AB238" i="32"/>
  <c r="AB239" i="32"/>
  <c r="AB240" i="32"/>
  <c r="AB241" i="32"/>
  <c r="AB242" i="32"/>
  <c r="AB243" i="32"/>
  <c r="AB244" i="32"/>
  <c r="AB245" i="32"/>
  <c r="AB246" i="32"/>
  <c r="AB247" i="32"/>
  <c r="AB248" i="32"/>
  <c r="AB249" i="32"/>
  <c r="AB250" i="32"/>
  <c r="AB251" i="32"/>
  <c r="AB252" i="32"/>
  <c r="AB253" i="32"/>
  <c r="AB254" i="32"/>
  <c r="AB255" i="32"/>
  <c r="AB256" i="32"/>
  <c r="AB257" i="32"/>
  <c r="AB258" i="32"/>
  <c r="AB259" i="32"/>
  <c r="AB260" i="32"/>
  <c r="AB261" i="32"/>
  <c r="AB262" i="32"/>
  <c r="AB263" i="32"/>
  <c r="AB264" i="32"/>
  <c r="AB265" i="32"/>
  <c r="AB266" i="32"/>
  <c r="AB267" i="32"/>
  <c r="AB268" i="32"/>
  <c r="AB269" i="32"/>
  <c r="AB270" i="32"/>
  <c r="AB271" i="32"/>
  <c r="AB272" i="32"/>
  <c r="AB273" i="32"/>
  <c r="AB274" i="32"/>
  <c r="AB275" i="32"/>
  <c r="AB276" i="32"/>
  <c r="AB277" i="32"/>
  <c r="AB278" i="32"/>
  <c r="AB279" i="32"/>
  <c r="AB280" i="32"/>
  <c r="AB281" i="32"/>
  <c r="AB282" i="32"/>
  <c r="AB283" i="32"/>
  <c r="AB284" i="32"/>
  <c r="AB285" i="32"/>
  <c r="AB286" i="32"/>
  <c r="AB287" i="32"/>
  <c r="AB288" i="32"/>
  <c r="AB289" i="32"/>
  <c r="AB290" i="32"/>
  <c r="AB291" i="32"/>
  <c r="AB292" i="32"/>
  <c r="AB293" i="32"/>
  <c r="AB294" i="32"/>
  <c r="AB295" i="32"/>
  <c r="AB296" i="32"/>
  <c r="AB297" i="32"/>
  <c r="AB298" i="32"/>
  <c r="AB299" i="32"/>
  <c r="AB300" i="32"/>
  <c r="AB301" i="32"/>
  <c r="AB302" i="32"/>
  <c r="AB303" i="32"/>
  <c r="AB304" i="32"/>
  <c r="AB305" i="32"/>
  <c r="AB306" i="32"/>
  <c r="AB307" i="32"/>
  <c r="AB308" i="32"/>
  <c r="AB309" i="32"/>
  <c r="AB310" i="32"/>
  <c r="AB311" i="32"/>
  <c r="AB312" i="32"/>
  <c r="AB313" i="32"/>
  <c r="AB314" i="32"/>
  <c r="AB315" i="32"/>
  <c r="AB316" i="32"/>
  <c r="AB317" i="32"/>
  <c r="AB318" i="32"/>
  <c r="AB319" i="32"/>
  <c r="AB320" i="32"/>
  <c r="AB321" i="32"/>
  <c r="AB322" i="32"/>
  <c r="AB323" i="32"/>
  <c r="AB324" i="32"/>
  <c r="AB325" i="32"/>
  <c r="AB326" i="32"/>
  <c r="AB327" i="32"/>
  <c r="AB328" i="32"/>
  <c r="AB329" i="32"/>
  <c r="AB330" i="32"/>
  <c r="AB331" i="32"/>
  <c r="AB332" i="32"/>
  <c r="AB333" i="32"/>
  <c r="AB334" i="32"/>
  <c r="AB335" i="32"/>
  <c r="AB336" i="32"/>
  <c r="AB337" i="32"/>
  <c r="AB338" i="32"/>
  <c r="AB339" i="32"/>
  <c r="AB340" i="32"/>
  <c r="AB341" i="32"/>
  <c r="AB342" i="32"/>
  <c r="AB343" i="32"/>
  <c r="AB344" i="32"/>
  <c r="AB345" i="32"/>
  <c r="AB346" i="32"/>
  <c r="AB347" i="32"/>
  <c r="AB348" i="32"/>
  <c r="AB349" i="32"/>
  <c r="AB350" i="32"/>
  <c r="AB351" i="32"/>
  <c r="AB352" i="32"/>
  <c r="AB353" i="32"/>
  <c r="AB354" i="32"/>
  <c r="AB355" i="32"/>
  <c r="AB356" i="32"/>
  <c r="AB357" i="32"/>
  <c r="AB358" i="32"/>
  <c r="AB359" i="32"/>
  <c r="AB360" i="32"/>
  <c r="AB361" i="32"/>
  <c r="AB362" i="32"/>
  <c r="AB363" i="32"/>
  <c r="AB364" i="32"/>
  <c r="AB365" i="32"/>
  <c r="AB366" i="32"/>
  <c r="AB367" i="32"/>
  <c r="AB368" i="32"/>
  <c r="AB369" i="32"/>
  <c r="AB370" i="32"/>
  <c r="AB371" i="32"/>
  <c r="AB372" i="32"/>
  <c r="AB373" i="32"/>
  <c r="AB374" i="32"/>
  <c r="AB375" i="32"/>
  <c r="AB376" i="32"/>
  <c r="AB377" i="32"/>
  <c r="AB378" i="32"/>
  <c r="AB379" i="32"/>
  <c r="AB380" i="32"/>
  <c r="AB381" i="32"/>
  <c r="AB382" i="32"/>
  <c r="AB383" i="32"/>
  <c r="AB384" i="32"/>
  <c r="AB385" i="32"/>
  <c r="AB386" i="32"/>
  <c r="AB387" i="32"/>
  <c r="AB388" i="32"/>
  <c r="AB389" i="32"/>
  <c r="AB390" i="32"/>
  <c r="AB391" i="32"/>
  <c r="AB392" i="32"/>
  <c r="AB393" i="32"/>
  <c r="AB394" i="32"/>
  <c r="AB395" i="32"/>
  <c r="AB396" i="32"/>
  <c r="AB397" i="32"/>
  <c r="AB398" i="32"/>
  <c r="AB399" i="32"/>
  <c r="AB400" i="32"/>
  <c r="AB401" i="32"/>
  <c r="AB402" i="32"/>
  <c r="AB403" i="32"/>
  <c r="AB404" i="32"/>
  <c r="AB405" i="32"/>
  <c r="AB406" i="32"/>
  <c r="AB407" i="32"/>
  <c r="AB408" i="32"/>
  <c r="AB409" i="32"/>
  <c r="AB410" i="32"/>
  <c r="AB411" i="32"/>
  <c r="AB412" i="32"/>
  <c r="AB413" i="32"/>
  <c r="AB414" i="32"/>
  <c r="AB415" i="32"/>
  <c r="AB416" i="32"/>
  <c r="AB417" i="32"/>
  <c r="AB418" i="32"/>
  <c r="AB419" i="32"/>
  <c r="AB420" i="32"/>
  <c r="AB421" i="32"/>
  <c r="AB422" i="32"/>
  <c r="AB423" i="32"/>
  <c r="AB424" i="32"/>
  <c r="AB425" i="32"/>
  <c r="AB426" i="32"/>
  <c r="AB427" i="32"/>
  <c r="AB428" i="32"/>
  <c r="AB429" i="32"/>
  <c r="AB430" i="32"/>
  <c r="AB431" i="32"/>
  <c r="AB432" i="32"/>
  <c r="AB433" i="32"/>
  <c r="AB434" i="32"/>
  <c r="AB435" i="32"/>
  <c r="AB436" i="32"/>
  <c r="AB437" i="32"/>
  <c r="AB438" i="32"/>
  <c r="AB439" i="32"/>
  <c r="AB440" i="32"/>
  <c r="AB441" i="32"/>
  <c r="AB442" i="32"/>
  <c r="AB443" i="32"/>
  <c r="AB444" i="32"/>
  <c r="AB445" i="32"/>
  <c r="AB446" i="32"/>
  <c r="AB447" i="32"/>
  <c r="AB448" i="32"/>
  <c r="AB449" i="32"/>
  <c r="AB450" i="32"/>
  <c r="AB451" i="32"/>
  <c r="AB452" i="32"/>
  <c r="AB453" i="32"/>
  <c r="AB454" i="32"/>
  <c r="AB455" i="32"/>
  <c r="AB456" i="32"/>
  <c r="AB457" i="32"/>
  <c r="AB458" i="32"/>
  <c r="AB459" i="32"/>
  <c r="AB460" i="32"/>
  <c r="AB461" i="32"/>
  <c r="AB462" i="32"/>
  <c r="AB463" i="32"/>
  <c r="AB464" i="32"/>
  <c r="AB465" i="32"/>
  <c r="AB466" i="32"/>
  <c r="AB467" i="32"/>
  <c r="AB468" i="32"/>
  <c r="AB469" i="32"/>
  <c r="AB470" i="32"/>
  <c r="AB471" i="32"/>
  <c r="AB472" i="32"/>
  <c r="AB473" i="32"/>
  <c r="AB474" i="32"/>
  <c r="AB475" i="32"/>
  <c r="AB476" i="32"/>
  <c r="AB477" i="32"/>
  <c r="AB478" i="32"/>
  <c r="AB479" i="32"/>
  <c r="AB480" i="32"/>
  <c r="AB481" i="32"/>
  <c r="AB482" i="32"/>
  <c r="AB483" i="32"/>
  <c r="AB484" i="32"/>
  <c r="AB485" i="32"/>
  <c r="AB486" i="32"/>
  <c r="AB487" i="32"/>
  <c r="AB488" i="32"/>
  <c r="AB489" i="32"/>
  <c r="AB490" i="32"/>
  <c r="AB491" i="32"/>
  <c r="AB492" i="32"/>
  <c r="AB493" i="32"/>
  <c r="AB494" i="32"/>
  <c r="AB495" i="32"/>
  <c r="AB496" i="32"/>
  <c r="AB497" i="32"/>
  <c r="AB498" i="32"/>
  <c r="AB499" i="32"/>
  <c r="AB500" i="32"/>
  <c r="AB501" i="32"/>
  <c r="AB502" i="32"/>
  <c r="AB503" i="32"/>
  <c r="AB504" i="32"/>
  <c r="AB505" i="32"/>
  <c r="AB506" i="32"/>
  <c r="AB507" i="32"/>
  <c r="AB508" i="32"/>
  <c r="AB509" i="32"/>
  <c r="AB510" i="32"/>
  <c r="AB511" i="32"/>
  <c r="AB512" i="32"/>
  <c r="AB513" i="32"/>
  <c r="AB514" i="32"/>
  <c r="AB515" i="32"/>
  <c r="AB516" i="32"/>
  <c r="AB517" i="32"/>
  <c r="AB518" i="32"/>
  <c r="AB519" i="32"/>
  <c r="AB520" i="32"/>
  <c r="AB521" i="32"/>
  <c r="AB522" i="32"/>
  <c r="AB523" i="32"/>
  <c r="AB524" i="32"/>
  <c r="AB525" i="32"/>
  <c r="AB526" i="32"/>
  <c r="AB527" i="32"/>
  <c r="AB528" i="32"/>
  <c r="AB529" i="32"/>
  <c r="AB530" i="32"/>
  <c r="AB531" i="32"/>
  <c r="AB532" i="32"/>
  <c r="AB533" i="32"/>
  <c r="AB534" i="32"/>
  <c r="AB535" i="32"/>
  <c r="AB536" i="32"/>
  <c r="AB537" i="32"/>
  <c r="AB538" i="32"/>
  <c r="AB539" i="32"/>
  <c r="AB540" i="32"/>
  <c r="AB541" i="32"/>
  <c r="AB542" i="32"/>
  <c r="AB543" i="32"/>
  <c r="AB544" i="32"/>
  <c r="AB545" i="32"/>
  <c r="AB546" i="32"/>
  <c r="AB547" i="32"/>
  <c r="AB548" i="32"/>
  <c r="AB549" i="32"/>
  <c r="AB550" i="32"/>
  <c r="AB551" i="32"/>
  <c r="AB552" i="32"/>
  <c r="AB553" i="32"/>
  <c r="AB554" i="32"/>
  <c r="AB555" i="32"/>
  <c r="AB556" i="32"/>
  <c r="AB557" i="32"/>
  <c r="AB558" i="32"/>
  <c r="AB559" i="32"/>
  <c r="AB560" i="32"/>
  <c r="AB561" i="32"/>
  <c r="AB562" i="32"/>
  <c r="AB563" i="32"/>
  <c r="AB564" i="32"/>
  <c r="AB565" i="32"/>
  <c r="AB566" i="32"/>
  <c r="AB567" i="32"/>
  <c r="AB568" i="32"/>
  <c r="AB569" i="32"/>
  <c r="AB570" i="32"/>
  <c r="AB571" i="32"/>
  <c r="AB572" i="32"/>
  <c r="AB573" i="32"/>
  <c r="AB574" i="32"/>
  <c r="AB575" i="32"/>
  <c r="AB576" i="32"/>
  <c r="AB577" i="32"/>
  <c r="AB578" i="32"/>
  <c r="AB579" i="32"/>
  <c r="AB580" i="32"/>
  <c r="AB581" i="32"/>
  <c r="AB582" i="32"/>
  <c r="AB583" i="32"/>
  <c r="AB584" i="32"/>
  <c r="AB585" i="32"/>
  <c r="AB586" i="32"/>
  <c r="AB587" i="32"/>
  <c r="AB588" i="32"/>
  <c r="AB589" i="32"/>
  <c r="AB590" i="32"/>
  <c r="AB591" i="32"/>
  <c r="AB592" i="32"/>
  <c r="AB593" i="32"/>
  <c r="AB594" i="32"/>
  <c r="AB595" i="32"/>
  <c r="AB596" i="32"/>
  <c r="AB597" i="32"/>
  <c r="AB598" i="32"/>
  <c r="AB599" i="32"/>
  <c r="AB600" i="32"/>
  <c r="AB601" i="32"/>
  <c r="AB602" i="32"/>
  <c r="AB603" i="32"/>
  <c r="AB604" i="32"/>
  <c r="AB606" i="32"/>
  <c r="AB607" i="32"/>
  <c r="AB608" i="32"/>
  <c r="AB609" i="32"/>
  <c r="AB610" i="32"/>
  <c r="AB611" i="32"/>
  <c r="AB612" i="32"/>
  <c r="AB613" i="32"/>
  <c r="AB614" i="32"/>
  <c r="AB615" i="32"/>
  <c r="AB616" i="32"/>
  <c r="AB617" i="32"/>
  <c r="AB618" i="32"/>
  <c r="AB619" i="32"/>
  <c r="AB620" i="32"/>
  <c r="AB621" i="32"/>
  <c r="AB622" i="32"/>
  <c r="AB623" i="32"/>
  <c r="AB624" i="32"/>
  <c r="AB625" i="32"/>
  <c r="AB626" i="32"/>
  <c r="AB627" i="32"/>
  <c r="AB628" i="32"/>
  <c r="AB629" i="32"/>
  <c r="AB630" i="32"/>
  <c r="AB631" i="32"/>
  <c r="AB632" i="32"/>
  <c r="AB633" i="32"/>
  <c r="AB634" i="32"/>
  <c r="AB635" i="32"/>
  <c r="AB636" i="32"/>
  <c r="AB637" i="32"/>
  <c r="AB638" i="32"/>
  <c r="AB639" i="32"/>
  <c r="AB640" i="32"/>
  <c r="AB641" i="32"/>
  <c r="AB642" i="32"/>
  <c r="AB643" i="32"/>
  <c r="AB644" i="32"/>
  <c r="AB645" i="32"/>
  <c r="AB646" i="32"/>
  <c r="AB647" i="32"/>
  <c r="AB648" i="32"/>
  <c r="AB649" i="32"/>
  <c r="AB650" i="32"/>
  <c r="AB651" i="32"/>
  <c r="AB652" i="32"/>
  <c r="AB653" i="32"/>
  <c r="AB654" i="32"/>
  <c r="AB655" i="32"/>
  <c r="AB656" i="32"/>
  <c r="AB657" i="32"/>
  <c r="AB658" i="32"/>
  <c r="AB659" i="32"/>
  <c r="AB660" i="32"/>
  <c r="AB661" i="32"/>
  <c r="AB662" i="32"/>
  <c r="AB663" i="32"/>
  <c r="AB664" i="32"/>
  <c r="AB665" i="32"/>
  <c r="AB666" i="32"/>
  <c r="AB667" i="32"/>
  <c r="AB668" i="32"/>
  <c r="AB669" i="32"/>
  <c r="AB670" i="32"/>
  <c r="AB671" i="32"/>
  <c r="AB672" i="32"/>
  <c r="AB673" i="32"/>
  <c r="AB674" i="32"/>
  <c r="AB675" i="32"/>
  <c r="AB676" i="32"/>
  <c r="AB677" i="32"/>
  <c r="AB678" i="32"/>
  <c r="AB679" i="32"/>
  <c r="AB680" i="32"/>
  <c r="AB681" i="32"/>
  <c r="AB682" i="32"/>
  <c r="AB683" i="32"/>
  <c r="AB684" i="32"/>
  <c r="AB685" i="32"/>
  <c r="AB686" i="32"/>
  <c r="AB687" i="32"/>
  <c r="AB688" i="32"/>
  <c r="AB689" i="32"/>
  <c r="AB690" i="32"/>
  <c r="AB691" i="32"/>
  <c r="AB692" i="32"/>
  <c r="AB693" i="32"/>
  <c r="AB694" i="32"/>
  <c r="AB695" i="32"/>
  <c r="AB696" i="32"/>
  <c r="AB697" i="32"/>
  <c r="AB698" i="32"/>
  <c r="AB699" i="32"/>
  <c r="AB700" i="32"/>
  <c r="AB701" i="32"/>
  <c r="AB702" i="32"/>
  <c r="AB703" i="32"/>
  <c r="AB704" i="32"/>
  <c r="AB705" i="32"/>
  <c r="AB706" i="32"/>
  <c r="AB707" i="32"/>
  <c r="AB708" i="32"/>
  <c r="AB709" i="32"/>
  <c r="AB710" i="32"/>
  <c r="AB711" i="32"/>
  <c r="AB712" i="32"/>
  <c r="AB713" i="32"/>
  <c r="AB714" i="32"/>
  <c r="AB715" i="32"/>
  <c r="AB716" i="32"/>
  <c r="AB717" i="32"/>
  <c r="AB718" i="32"/>
  <c r="AB719" i="32"/>
  <c r="AB720" i="32"/>
  <c r="AB721" i="32"/>
  <c r="AB722" i="32"/>
  <c r="AB723" i="32"/>
  <c r="AB724" i="32"/>
  <c r="AB725" i="32"/>
  <c r="AB726" i="32"/>
  <c r="AB727" i="32"/>
  <c r="AB728" i="32"/>
  <c r="AB729" i="32"/>
  <c r="AB730" i="32"/>
  <c r="AB731" i="32"/>
  <c r="AB732" i="32"/>
  <c r="AB733" i="32"/>
  <c r="AB734" i="32"/>
  <c r="AB735" i="32"/>
  <c r="AB736" i="32"/>
  <c r="AB737" i="32"/>
  <c r="AB738" i="32"/>
  <c r="AB739" i="32"/>
  <c r="AB740" i="32"/>
  <c r="AB741" i="32"/>
  <c r="AB742" i="32"/>
  <c r="AB743" i="32"/>
  <c r="AB744" i="32"/>
  <c r="AB745" i="32"/>
  <c r="AB746" i="32"/>
  <c r="AB747" i="32"/>
  <c r="AB748" i="32"/>
  <c r="AB749" i="32"/>
  <c r="AB750" i="32"/>
  <c r="AB751" i="32"/>
  <c r="AB752" i="32"/>
  <c r="AB753" i="32"/>
  <c r="AB754" i="32"/>
  <c r="AB755" i="32"/>
  <c r="AB756" i="32"/>
  <c r="AB757" i="32"/>
  <c r="AB758" i="32"/>
  <c r="AB759" i="32"/>
  <c r="AB760" i="32"/>
  <c r="AB761" i="32"/>
  <c r="AB762" i="32"/>
  <c r="AB763" i="32"/>
  <c r="AB764" i="32"/>
  <c r="AB765" i="32"/>
  <c r="AB766" i="32"/>
  <c r="AB767" i="32"/>
  <c r="AB768" i="32"/>
  <c r="AB769" i="32"/>
  <c r="AB770" i="32"/>
  <c r="AB771" i="32"/>
  <c r="AB772" i="32"/>
  <c r="AB773" i="32"/>
  <c r="AB774" i="32"/>
  <c r="AB775" i="32"/>
  <c r="AB776" i="32"/>
  <c r="AB777" i="32"/>
  <c r="AB778" i="32"/>
  <c r="AB779" i="32"/>
  <c r="AB780" i="32"/>
  <c r="AB781" i="32"/>
  <c r="AB782" i="32"/>
  <c r="AB783" i="32"/>
  <c r="AB784" i="32"/>
  <c r="AB785" i="32"/>
  <c r="AB786" i="32"/>
  <c r="AB787" i="32"/>
  <c r="AB788" i="32"/>
  <c r="AB789" i="32"/>
  <c r="AB790" i="32"/>
  <c r="AB791" i="32"/>
  <c r="AB792" i="32"/>
  <c r="AB793" i="32"/>
  <c r="AB794" i="32"/>
  <c r="AB795" i="32"/>
  <c r="AB796" i="32"/>
  <c r="AB797" i="32"/>
  <c r="AB798" i="32"/>
  <c r="AB799" i="32"/>
  <c r="AB800" i="32"/>
  <c r="AB801" i="32"/>
  <c r="AB802" i="32"/>
  <c r="AB803" i="32"/>
  <c r="AB804" i="32"/>
  <c r="AB805" i="32"/>
  <c r="AB806" i="32"/>
  <c r="AB807" i="32"/>
  <c r="AB808" i="32"/>
  <c r="AB809" i="32"/>
  <c r="AB810" i="32"/>
  <c r="AB811" i="32"/>
  <c r="AB812" i="32"/>
  <c r="AB813" i="32"/>
  <c r="AB814" i="32"/>
  <c r="AB815" i="32"/>
  <c r="AB816" i="32"/>
  <c r="AB817" i="32"/>
  <c r="AB818" i="32"/>
  <c r="AB819" i="32"/>
  <c r="AB820" i="32"/>
  <c r="AB821" i="32"/>
  <c r="AB822" i="32"/>
  <c r="AB823" i="32"/>
  <c r="AB824" i="32"/>
  <c r="AB825" i="32"/>
  <c r="AB826" i="32"/>
  <c r="AB827" i="32"/>
  <c r="AB828" i="32"/>
  <c r="AB829" i="32"/>
  <c r="AB830" i="32"/>
  <c r="AB831" i="32"/>
  <c r="AB832" i="32"/>
  <c r="AB833" i="32"/>
  <c r="AB834" i="32"/>
  <c r="AB835" i="32"/>
  <c r="AB836" i="32"/>
  <c r="AB837" i="32"/>
  <c r="AB838" i="32"/>
  <c r="AB839" i="32"/>
  <c r="AB840" i="32"/>
  <c r="AB841" i="32"/>
  <c r="AB842" i="32"/>
  <c r="AB843" i="32"/>
  <c r="AB844" i="32"/>
  <c r="AB845" i="32"/>
  <c r="AB846" i="32"/>
  <c r="AB847" i="32"/>
  <c r="AB848" i="32"/>
  <c r="AB849" i="32"/>
  <c r="AB850" i="32"/>
  <c r="AB851" i="32"/>
  <c r="AB852" i="32"/>
  <c r="AB853" i="32"/>
  <c r="AB854" i="32"/>
  <c r="AB855" i="32"/>
  <c r="AB856" i="32"/>
  <c r="AB857" i="32"/>
  <c r="AB858" i="32"/>
  <c r="AB859" i="32"/>
  <c r="AB860" i="32"/>
  <c r="AB861" i="32"/>
  <c r="AB862" i="32"/>
  <c r="AB863" i="32"/>
  <c r="AB864" i="32"/>
  <c r="AB865" i="32"/>
  <c r="AB866" i="32"/>
  <c r="AB867" i="32"/>
  <c r="AB868" i="32"/>
  <c r="AB869" i="32"/>
  <c r="AB870" i="32"/>
  <c r="AB871" i="32"/>
  <c r="AB872" i="32"/>
  <c r="AB873" i="32"/>
  <c r="AB874" i="32"/>
  <c r="AB875" i="32"/>
  <c r="AB876" i="32"/>
  <c r="AB877" i="32"/>
  <c r="AB878" i="32"/>
  <c r="AB879" i="32"/>
  <c r="AB880" i="32"/>
  <c r="AB881" i="32"/>
  <c r="AB882" i="32"/>
  <c r="AB883" i="32"/>
  <c r="AB884" i="32"/>
  <c r="AB885" i="32"/>
  <c r="AB886" i="32"/>
  <c r="AB887" i="32"/>
  <c r="AB888" i="32"/>
  <c r="AB889" i="32"/>
  <c r="AB890" i="32"/>
  <c r="AB891" i="32"/>
  <c r="AB892" i="32"/>
  <c r="AB893" i="32"/>
  <c r="AB894" i="32"/>
  <c r="AD5" i="32"/>
  <c r="AC6" i="32"/>
  <c r="AD6" i="32"/>
  <c r="AC7" i="32"/>
  <c r="AD7" i="32"/>
  <c r="AC8" i="32"/>
  <c r="AD8" i="32"/>
  <c r="AC9" i="32"/>
  <c r="AD9" i="32"/>
  <c r="AC10" i="32"/>
  <c r="AD10" i="32"/>
  <c r="AC11" i="32"/>
  <c r="AD11" i="32"/>
  <c r="AC12" i="32"/>
  <c r="AD12" i="32"/>
  <c r="AC13" i="32"/>
  <c r="AD13" i="32"/>
  <c r="AC14" i="32"/>
  <c r="AD14" i="32"/>
  <c r="AC15" i="32"/>
  <c r="AD15" i="32"/>
  <c r="AC16" i="32"/>
  <c r="AD16" i="32"/>
  <c r="AC17" i="32"/>
  <c r="AD17" i="32"/>
  <c r="AC18" i="32"/>
  <c r="AD18" i="32"/>
  <c r="AC19" i="32"/>
  <c r="AD19" i="32"/>
  <c r="AC20" i="32"/>
  <c r="AD20" i="32"/>
  <c r="AC21" i="32"/>
  <c r="AD21" i="32"/>
  <c r="AC22" i="32"/>
  <c r="AD22" i="32"/>
  <c r="AC23" i="32"/>
  <c r="AD23" i="32"/>
  <c r="AC24" i="32"/>
  <c r="AD24" i="32"/>
  <c r="AC25" i="32"/>
  <c r="AD25" i="32"/>
  <c r="AC26" i="32"/>
  <c r="AD26" i="32"/>
  <c r="AC27" i="32"/>
  <c r="AD27" i="32"/>
  <c r="AC28" i="32"/>
  <c r="AD28" i="32"/>
  <c r="AC29" i="32"/>
  <c r="AD29" i="32"/>
  <c r="AC30" i="32"/>
  <c r="AD30" i="32"/>
  <c r="AC31" i="32"/>
  <c r="AD31" i="32"/>
  <c r="AC32" i="32"/>
  <c r="AD32" i="32"/>
  <c r="AC33" i="32"/>
  <c r="AD33" i="32"/>
  <c r="AC34" i="32"/>
  <c r="AD34" i="32"/>
  <c r="AC35" i="32"/>
  <c r="AD35" i="32"/>
  <c r="AC36" i="32"/>
  <c r="AD36" i="32"/>
  <c r="AC37" i="32"/>
  <c r="AD37" i="32"/>
  <c r="AC38" i="32"/>
  <c r="AD38" i="32"/>
  <c r="AC39" i="32"/>
  <c r="AD39" i="32"/>
  <c r="AC40" i="32"/>
  <c r="AD40" i="32"/>
  <c r="AC41" i="32"/>
  <c r="AD41" i="32"/>
  <c r="AC42" i="32"/>
  <c r="AD42" i="32"/>
  <c r="AC43" i="32"/>
  <c r="AD43" i="32"/>
  <c r="AC44" i="32"/>
  <c r="AD44" i="32"/>
  <c r="AC45" i="32"/>
  <c r="AD45" i="32"/>
  <c r="AC46" i="32"/>
  <c r="AD46" i="32"/>
  <c r="AC47" i="32"/>
  <c r="AD47" i="32"/>
  <c r="AC48" i="32"/>
  <c r="AD48" i="32"/>
  <c r="AC49" i="32"/>
  <c r="AD49" i="32"/>
  <c r="AC50" i="32"/>
  <c r="AD50" i="32"/>
  <c r="AC51" i="32"/>
  <c r="AD51" i="32"/>
  <c r="AC52" i="32"/>
  <c r="AD52" i="32"/>
  <c r="AC53" i="32"/>
  <c r="AD53" i="32"/>
  <c r="AC54" i="32"/>
  <c r="AD54" i="32"/>
  <c r="AC55" i="32"/>
  <c r="AD55" i="32"/>
  <c r="AC56" i="32"/>
  <c r="AD56" i="32"/>
  <c r="AC57" i="32"/>
  <c r="AD57" i="32"/>
  <c r="AC58" i="32"/>
  <c r="AD58" i="32"/>
  <c r="AC59" i="32"/>
  <c r="AD59" i="32"/>
  <c r="AC60" i="32"/>
  <c r="AD60" i="32"/>
  <c r="AC61" i="32"/>
  <c r="AD61" i="32"/>
  <c r="AC62" i="32"/>
  <c r="AD62" i="32"/>
  <c r="AC63" i="32"/>
  <c r="AD63" i="32"/>
  <c r="AC64" i="32"/>
  <c r="AD64" i="32"/>
  <c r="AC65" i="32"/>
  <c r="AD65" i="32"/>
  <c r="AC66" i="32"/>
  <c r="AD66" i="32"/>
  <c r="AC67" i="32"/>
  <c r="AD67" i="32"/>
  <c r="AC68" i="32"/>
  <c r="AD68" i="32"/>
  <c r="AC69" i="32"/>
  <c r="AD69" i="32"/>
  <c r="AC70" i="32"/>
  <c r="AD70" i="32"/>
  <c r="AC71" i="32"/>
  <c r="AD71" i="32"/>
  <c r="AC72" i="32"/>
  <c r="AD72" i="32"/>
  <c r="AC73" i="32"/>
  <c r="AD73" i="32"/>
  <c r="AC74" i="32"/>
  <c r="AD74" i="32"/>
  <c r="AC75" i="32"/>
  <c r="AD75" i="32"/>
  <c r="AC76" i="32"/>
  <c r="AD76" i="32"/>
  <c r="AC77" i="32"/>
  <c r="AD77" i="32"/>
  <c r="AC78" i="32"/>
  <c r="AD78" i="32"/>
  <c r="AC79" i="32"/>
  <c r="AD79" i="32"/>
  <c r="AC80" i="32"/>
  <c r="AD80" i="32"/>
  <c r="AC81" i="32"/>
  <c r="AD81" i="32"/>
  <c r="AC82" i="32"/>
  <c r="AD82" i="32"/>
  <c r="AC83" i="32"/>
  <c r="AD83" i="32"/>
  <c r="AC84" i="32"/>
  <c r="AD84" i="32"/>
  <c r="AC85" i="32"/>
  <c r="AD85" i="32"/>
  <c r="AC86" i="32"/>
  <c r="AD86" i="32"/>
  <c r="AC87" i="32"/>
  <c r="AD87" i="32"/>
  <c r="AC88" i="32"/>
  <c r="AD88" i="32"/>
  <c r="AC89" i="32"/>
  <c r="AD89" i="32"/>
  <c r="AC90" i="32"/>
  <c r="AD90" i="32"/>
  <c r="AC91" i="32"/>
  <c r="AD91" i="32"/>
  <c r="AC92" i="32"/>
  <c r="AD92" i="32"/>
  <c r="AC93" i="32"/>
  <c r="AD93" i="32"/>
  <c r="AC94" i="32"/>
  <c r="AD94" i="32"/>
  <c r="AC95" i="32"/>
  <c r="AD95" i="32"/>
  <c r="AC96" i="32"/>
  <c r="AD96" i="32"/>
  <c r="AC97" i="32"/>
  <c r="AD97" i="32"/>
  <c r="AC98" i="32"/>
  <c r="AD98" i="32"/>
  <c r="AC99" i="32"/>
  <c r="AD99" i="32"/>
  <c r="AC100" i="32"/>
  <c r="AD100" i="32"/>
  <c r="AC101" i="32"/>
  <c r="AD101" i="32"/>
  <c r="AC102" i="32"/>
  <c r="AD102" i="32"/>
  <c r="AC103" i="32"/>
  <c r="AD103" i="32"/>
  <c r="AC104" i="32"/>
  <c r="AD104" i="32"/>
  <c r="AC105" i="32"/>
  <c r="AD105" i="32"/>
  <c r="AC106" i="32"/>
  <c r="AD106" i="32"/>
  <c r="AC107" i="32"/>
  <c r="AD107" i="32"/>
  <c r="AC108" i="32"/>
  <c r="AD108" i="32"/>
  <c r="AC109" i="32"/>
  <c r="AD109" i="32"/>
  <c r="AC110" i="32"/>
  <c r="AD110" i="32"/>
  <c r="AC111" i="32"/>
  <c r="AD111" i="32"/>
  <c r="AC112" i="32"/>
  <c r="AD112" i="32"/>
  <c r="AC113" i="32"/>
  <c r="AD113" i="32"/>
  <c r="AC114" i="32"/>
  <c r="AD114" i="32"/>
  <c r="AC115" i="32"/>
  <c r="AD115" i="32"/>
  <c r="AC116" i="32"/>
  <c r="AD116" i="32"/>
  <c r="AC117" i="32"/>
  <c r="AD117" i="32"/>
  <c r="AC118" i="32"/>
  <c r="AD118" i="32"/>
  <c r="AC119" i="32"/>
  <c r="AD119" i="32"/>
  <c r="AC120" i="32"/>
  <c r="AD120" i="32"/>
  <c r="AC121" i="32"/>
  <c r="AD121" i="32"/>
  <c r="AC122" i="32"/>
  <c r="AD122" i="32"/>
  <c r="AC123" i="32"/>
  <c r="AD123" i="32"/>
  <c r="AC124" i="32"/>
  <c r="AD124" i="32"/>
  <c r="AC125" i="32"/>
  <c r="AD125" i="32"/>
  <c r="AC126" i="32"/>
  <c r="AD126" i="32"/>
  <c r="AC127" i="32"/>
  <c r="AD127" i="32"/>
  <c r="AC128" i="32"/>
  <c r="AD128" i="32"/>
  <c r="AC129" i="32"/>
  <c r="AD129" i="32"/>
  <c r="AC130" i="32"/>
  <c r="AD130" i="32"/>
  <c r="AC131" i="32"/>
  <c r="AD131" i="32"/>
  <c r="AC132" i="32"/>
  <c r="AD132" i="32"/>
  <c r="AC133" i="32"/>
  <c r="AD133" i="32"/>
  <c r="AC134" i="32"/>
  <c r="AD134" i="32"/>
  <c r="AC135" i="32"/>
  <c r="AD135" i="32"/>
  <c r="AC136" i="32"/>
  <c r="AD136" i="32"/>
  <c r="AC137" i="32"/>
  <c r="AD137" i="32"/>
  <c r="AC138" i="32"/>
  <c r="AD138" i="32"/>
  <c r="AC139" i="32"/>
  <c r="AD139" i="32"/>
  <c r="AC140" i="32"/>
  <c r="AD140" i="32"/>
  <c r="AC141" i="32"/>
  <c r="AD141" i="32"/>
  <c r="AC142" i="32"/>
  <c r="AD142" i="32"/>
  <c r="AC143" i="32"/>
  <c r="AD143" i="32"/>
  <c r="AC144" i="32"/>
  <c r="AD144" i="32"/>
  <c r="AC145" i="32"/>
  <c r="AD145" i="32"/>
  <c r="AC146" i="32"/>
  <c r="AD146" i="32"/>
  <c r="AC147" i="32"/>
  <c r="AD147" i="32"/>
  <c r="AC148" i="32"/>
  <c r="AD148" i="32"/>
  <c r="AC149" i="32"/>
  <c r="AD149" i="32"/>
  <c r="AC150" i="32"/>
  <c r="AD150" i="32"/>
  <c r="AC151" i="32"/>
  <c r="AD151" i="32"/>
  <c r="AC152" i="32"/>
  <c r="AD152" i="32"/>
  <c r="AC153" i="32"/>
  <c r="AD153" i="32"/>
  <c r="AC154" i="32"/>
  <c r="AD154" i="32"/>
  <c r="AC155" i="32"/>
  <c r="AD155" i="32"/>
  <c r="AC156" i="32"/>
  <c r="AD156" i="32"/>
  <c r="AC157" i="32"/>
  <c r="AD157" i="32"/>
  <c r="AC158" i="32"/>
  <c r="AD158" i="32"/>
  <c r="AC159" i="32"/>
  <c r="AD159" i="32"/>
  <c r="AC160" i="32"/>
  <c r="AD160" i="32"/>
  <c r="AC161" i="32"/>
  <c r="AD161" i="32"/>
  <c r="AC162" i="32"/>
  <c r="AD162" i="32"/>
  <c r="AC163" i="32"/>
  <c r="AD163" i="32"/>
  <c r="AC164" i="32"/>
  <c r="AD164" i="32"/>
  <c r="AC165" i="32"/>
  <c r="AD165" i="32"/>
  <c r="AC166" i="32"/>
  <c r="AD166" i="32"/>
  <c r="AC167" i="32"/>
  <c r="AD167" i="32"/>
  <c r="AC168" i="32"/>
  <c r="AD168" i="32"/>
  <c r="AC169" i="32"/>
  <c r="AD169" i="32"/>
  <c r="AC170" i="32"/>
  <c r="AD170" i="32"/>
  <c r="AC171" i="32"/>
  <c r="AD171" i="32"/>
  <c r="AC172" i="32"/>
  <c r="AD172" i="32"/>
  <c r="AC173" i="32"/>
  <c r="AD173" i="32"/>
  <c r="AC174" i="32"/>
  <c r="AD174" i="32"/>
  <c r="AC175" i="32"/>
  <c r="AD175" i="32"/>
  <c r="AC176" i="32"/>
  <c r="AD176" i="32"/>
  <c r="AC177" i="32"/>
  <c r="AD177" i="32"/>
  <c r="AC178" i="32"/>
  <c r="AD178" i="32"/>
  <c r="AC179" i="32"/>
  <c r="AD179" i="32"/>
  <c r="AC180" i="32"/>
  <c r="AD180" i="32"/>
  <c r="AC181" i="32"/>
  <c r="AD181" i="32"/>
  <c r="AC182" i="32"/>
  <c r="AD182" i="32"/>
  <c r="AC183" i="32"/>
  <c r="AD183" i="32"/>
  <c r="AC184" i="32"/>
  <c r="AD184" i="32"/>
  <c r="AC185" i="32"/>
  <c r="AD185" i="32"/>
  <c r="AC186" i="32"/>
  <c r="AD186" i="32"/>
  <c r="AC187" i="32"/>
  <c r="AD187" i="32"/>
  <c r="AC188" i="32"/>
  <c r="AD188" i="32"/>
  <c r="AC189" i="32"/>
  <c r="AD189" i="32"/>
  <c r="AC190" i="32"/>
  <c r="AD190" i="32"/>
  <c r="AC191" i="32"/>
  <c r="AD191" i="32"/>
  <c r="AC192" i="32"/>
  <c r="AD192" i="32"/>
  <c r="AC193" i="32"/>
  <c r="AD193" i="32"/>
  <c r="AC194" i="32"/>
  <c r="AD194" i="32"/>
  <c r="AC195" i="32"/>
  <c r="AD195" i="32"/>
  <c r="AC196" i="32"/>
  <c r="AD196" i="32"/>
  <c r="AC197" i="32"/>
  <c r="AD197" i="32"/>
  <c r="AC198" i="32"/>
  <c r="AD198" i="32"/>
  <c r="AC199" i="32"/>
  <c r="AD199" i="32"/>
  <c r="AC200" i="32"/>
  <c r="AD200" i="32"/>
  <c r="AC201" i="32"/>
  <c r="AD201" i="32"/>
  <c r="AC202" i="32"/>
  <c r="AD202" i="32"/>
  <c r="AC203" i="32"/>
  <c r="AD203" i="32"/>
  <c r="AC204" i="32"/>
  <c r="AD204" i="32"/>
  <c r="AC205" i="32"/>
  <c r="AD205" i="32"/>
  <c r="AC206" i="32"/>
  <c r="AD206" i="32"/>
  <c r="AC207" i="32"/>
  <c r="AD207" i="32"/>
  <c r="AC208" i="32"/>
  <c r="AD208" i="32"/>
  <c r="AC209" i="32"/>
  <c r="AD209" i="32"/>
  <c r="AC210" i="32"/>
  <c r="AD210" i="32"/>
  <c r="AC211" i="32"/>
  <c r="AD211" i="32"/>
  <c r="AC212" i="32"/>
  <c r="AD212" i="32"/>
  <c r="AC213" i="32"/>
  <c r="AD213" i="32"/>
  <c r="AC214" i="32"/>
  <c r="AD214" i="32"/>
  <c r="AC215" i="32"/>
  <c r="AD215" i="32"/>
  <c r="AC216" i="32"/>
  <c r="AD216" i="32"/>
  <c r="AC217" i="32"/>
  <c r="AD217" i="32"/>
  <c r="AC218" i="32"/>
  <c r="AD218" i="32"/>
  <c r="AC219" i="32"/>
  <c r="AD219" i="32"/>
  <c r="AC220" i="32"/>
  <c r="AD220" i="32"/>
  <c r="AC221" i="32"/>
  <c r="AD221" i="32"/>
  <c r="AC222" i="32"/>
  <c r="AD222" i="32"/>
  <c r="AC223" i="32"/>
  <c r="AD223" i="32"/>
  <c r="AC224" i="32"/>
  <c r="AD224" i="32"/>
  <c r="AC225" i="32"/>
  <c r="AD225" i="32"/>
  <c r="AC226" i="32"/>
  <c r="AD226" i="32"/>
  <c r="AC227" i="32"/>
  <c r="AD227" i="32"/>
  <c r="AC228" i="32"/>
  <c r="AD228" i="32"/>
  <c r="AC229" i="32"/>
  <c r="AD229" i="32"/>
  <c r="AC230" i="32"/>
  <c r="AD230" i="32"/>
  <c r="AC231" i="32"/>
  <c r="AD231" i="32"/>
  <c r="AC232" i="32"/>
  <c r="AD232" i="32"/>
  <c r="AC233" i="32"/>
  <c r="AD233" i="32"/>
  <c r="AC234" i="32"/>
  <c r="AD234" i="32"/>
  <c r="AC235" i="32"/>
  <c r="AD235" i="32"/>
  <c r="AC236" i="32"/>
  <c r="AD236" i="32"/>
  <c r="AC237" i="32"/>
  <c r="AD237" i="32"/>
  <c r="AC238" i="32"/>
  <c r="AD238" i="32"/>
  <c r="AC239" i="32"/>
  <c r="AD239" i="32"/>
  <c r="AC240" i="32"/>
  <c r="AD240" i="32"/>
  <c r="AC241" i="32"/>
  <c r="AD241" i="32"/>
  <c r="AC242" i="32"/>
  <c r="AD242" i="32"/>
  <c r="AC243" i="32"/>
  <c r="AD243" i="32"/>
  <c r="AC244" i="32"/>
  <c r="AD244" i="32"/>
  <c r="AC245" i="32"/>
  <c r="AD245" i="32"/>
  <c r="AC246" i="32"/>
  <c r="AD246" i="32"/>
  <c r="AC247" i="32"/>
  <c r="AD247" i="32"/>
  <c r="AC248" i="32"/>
  <c r="AD248" i="32"/>
  <c r="AC249" i="32"/>
  <c r="AD249" i="32"/>
  <c r="AC250" i="32"/>
  <c r="AD250" i="32"/>
  <c r="AC251" i="32"/>
  <c r="AD251" i="32"/>
  <c r="AC252" i="32"/>
  <c r="AD252" i="32"/>
  <c r="AC253" i="32"/>
  <c r="AD253" i="32"/>
  <c r="AC254" i="32"/>
  <c r="AD254" i="32"/>
  <c r="AC255" i="32"/>
  <c r="AD255" i="32"/>
  <c r="AC256" i="32"/>
  <c r="AD256" i="32"/>
  <c r="AC257" i="32"/>
  <c r="AD257" i="32"/>
  <c r="AC258" i="32"/>
  <c r="AD258" i="32"/>
  <c r="AC259" i="32"/>
  <c r="AD259" i="32"/>
  <c r="AC260" i="32"/>
  <c r="AD260" i="32"/>
  <c r="AC261" i="32"/>
  <c r="AD261" i="32"/>
  <c r="AC262" i="32"/>
  <c r="AD262" i="32"/>
  <c r="AC263" i="32"/>
  <c r="AD263" i="32"/>
  <c r="AC264" i="32"/>
  <c r="AD264" i="32"/>
  <c r="AC265" i="32"/>
  <c r="AD265" i="32"/>
  <c r="AC266" i="32"/>
  <c r="AD266" i="32"/>
  <c r="AC267" i="32"/>
  <c r="AD267" i="32"/>
  <c r="AC268" i="32"/>
  <c r="AD268" i="32"/>
  <c r="AC269" i="32"/>
  <c r="AD269" i="32"/>
  <c r="AC270" i="32"/>
  <c r="AD270" i="32"/>
  <c r="AC271" i="32"/>
  <c r="AD271" i="32"/>
  <c r="AC272" i="32"/>
  <c r="AD272" i="32"/>
  <c r="AC273" i="32"/>
  <c r="AD273" i="32"/>
  <c r="AC274" i="32"/>
  <c r="AD274" i="32"/>
  <c r="AC275" i="32"/>
  <c r="AD275" i="32"/>
  <c r="AC276" i="32"/>
  <c r="AD276" i="32"/>
  <c r="AC277" i="32"/>
  <c r="AD277" i="32"/>
  <c r="AC278" i="32"/>
  <c r="AD278" i="32"/>
  <c r="AC279" i="32"/>
  <c r="AD279" i="32"/>
  <c r="AC280" i="32"/>
  <c r="AD280" i="32"/>
  <c r="AC281" i="32"/>
  <c r="AD281" i="32"/>
  <c r="AC282" i="32"/>
  <c r="AD282" i="32"/>
  <c r="AC283" i="32"/>
  <c r="AD283" i="32"/>
  <c r="AC284" i="32"/>
  <c r="AD284" i="32"/>
  <c r="AC285" i="32"/>
  <c r="AD285" i="32"/>
  <c r="AC286" i="32"/>
  <c r="AD286" i="32"/>
  <c r="AC287" i="32"/>
  <c r="AD287" i="32"/>
  <c r="AC288" i="32"/>
  <c r="AD288" i="32"/>
  <c r="AC289" i="32"/>
  <c r="AD289" i="32"/>
  <c r="AC290" i="32"/>
  <c r="AD290" i="32"/>
  <c r="AC291" i="32"/>
  <c r="AD291" i="32"/>
  <c r="AC292" i="32"/>
  <c r="AD292" i="32"/>
  <c r="AC293" i="32"/>
  <c r="AD293" i="32"/>
  <c r="AC294" i="32"/>
  <c r="AD294" i="32"/>
  <c r="AC295" i="32"/>
  <c r="AD295" i="32"/>
  <c r="AC296" i="32"/>
  <c r="AD296" i="32"/>
  <c r="AC297" i="32"/>
  <c r="AD297" i="32"/>
  <c r="AC298" i="32"/>
  <c r="AD298" i="32"/>
  <c r="AC299" i="32"/>
  <c r="AD299" i="32"/>
  <c r="AC300" i="32"/>
  <c r="AD300" i="32"/>
  <c r="AC301" i="32"/>
  <c r="AD301" i="32"/>
  <c r="AC302" i="32"/>
  <c r="AD302" i="32"/>
  <c r="AC303" i="32"/>
  <c r="AD303" i="32"/>
  <c r="AC304" i="32"/>
  <c r="AD304" i="32"/>
  <c r="AC305" i="32"/>
  <c r="AD305" i="32"/>
  <c r="AC306" i="32"/>
  <c r="AD306" i="32"/>
  <c r="AC307" i="32"/>
  <c r="AD307" i="32"/>
  <c r="AC308" i="32"/>
  <c r="AD308" i="32"/>
  <c r="AC309" i="32"/>
  <c r="AD309" i="32"/>
  <c r="AC310" i="32"/>
  <c r="AD310" i="32"/>
  <c r="AC311" i="32"/>
  <c r="AD311" i="32"/>
  <c r="AC312" i="32"/>
  <c r="AD312" i="32"/>
  <c r="AC313" i="32"/>
  <c r="AD313" i="32"/>
  <c r="AC314" i="32"/>
  <c r="AD314" i="32"/>
  <c r="AC315" i="32"/>
  <c r="AD315" i="32"/>
  <c r="AC316" i="32"/>
  <c r="AD316" i="32"/>
  <c r="AC317" i="32"/>
  <c r="AD317" i="32"/>
  <c r="AC318" i="32"/>
  <c r="AD318" i="32"/>
  <c r="AC319" i="32"/>
  <c r="AD319" i="32"/>
  <c r="AC320" i="32"/>
  <c r="AD320" i="32"/>
  <c r="AC321" i="32"/>
  <c r="AD321" i="32"/>
  <c r="AC322" i="32"/>
  <c r="AD322" i="32"/>
  <c r="AC323" i="32"/>
  <c r="AD323" i="32"/>
  <c r="AC324" i="32"/>
  <c r="AD324" i="32"/>
  <c r="AC325" i="32"/>
  <c r="AD325" i="32"/>
  <c r="AC326" i="32"/>
  <c r="AD326" i="32"/>
  <c r="AC327" i="32"/>
  <c r="AD327" i="32"/>
  <c r="AC328" i="32"/>
  <c r="AD328" i="32"/>
  <c r="AC329" i="32"/>
  <c r="AD329" i="32"/>
  <c r="AC330" i="32"/>
  <c r="AD330" i="32"/>
  <c r="AC331" i="32"/>
  <c r="AD331" i="32"/>
  <c r="AC332" i="32"/>
  <c r="AD332" i="32"/>
  <c r="AC333" i="32"/>
  <c r="AD333" i="32"/>
  <c r="AC334" i="32"/>
  <c r="AD334" i="32"/>
  <c r="AC335" i="32"/>
  <c r="AD335" i="32"/>
  <c r="AC336" i="32"/>
  <c r="AD336" i="32"/>
  <c r="AC337" i="32"/>
  <c r="AD337" i="32"/>
  <c r="AC338" i="32"/>
  <c r="AD338" i="32"/>
  <c r="AC339" i="32"/>
  <c r="AD339" i="32"/>
  <c r="AC340" i="32"/>
  <c r="AD340" i="32"/>
  <c r="AC341" i="32"/>
  <c r="AD341" i="32"/>
  <c r="AC342" i="32"/>
  <c r="AD342" i="32"/>
  <c r="AC343" i="32"/>
  <c r="AD343" i="32"/>
  <c r="AC344" i="32"/>
  <c r="AD344" i="32"/>
  <c r="AC345" i="32"/>
  <c r="AD345" i="32"/>
  <c r="AC346" i="32"/>
  <c r="AD346" i="32"/>
  <c r="AC347" i="32"/>
  <c r="AD347" i="32"/>
  <c r="AC348" i="32"/>
  <c r="AD348" i="32"/>
  <c r="AC349" i="32"/>
  <c r="AD349" i="32"/>
  <c r="AC350" i="32"/>
  <c r="AD350" i="32"/>
  <c r="AC351" i="32"/>
  <c r="AD351" i="32"/>
  <c r="AC352" i="32"/>
  <c r="AD352" i="32"/>
  <c r="AC353" i="32"/>
  <c r="AD353" i="32"/>
  <c r="AC354" i="32"/>
  <c r="AD354" i="32"/>
  <c r="AC355" i="32"/>
  <c r="AD355" i="32"/>
  <c r="AC356" i="32"/>
  <c r="AD356" i="32"/>
  <c r="AC357" i="32"/>
  <c r="AD357" i="32"/>
  <c r="AC358" i="32"/>
  <c r="AD358" i="32"/>
  <c r="AC359" i="32"/>
  <c r="AD359" i="32"/>
  <c r="AC360" i="32"/>
  <c r="AD360" i="32"/>
  <c r="AC361" i="32"/>
  <c r="AD361" i="32"/>
  <c r="AC362" i="32"/>
  <c r="AD362" i="32"/>
  <c r="AC363" i="32"/>
  <c r="AD363" i="32"/>
  <c r="AC364" i="32"/>
  <c r="AD364" i="32"/>
  <c r="AC365" i="32"/>
  <c r="AD365" i="32"/>
  <c r="AC366" i="32"/>
  <c r="AD366" i="32"/>
  <c r="AC367" i="32"/>
  <c r="AD367" i="32"/>
  <c r="AC368" i="32"/>
  <c r="AD368" i="32"/>
  <c r="AC369" i="32"/>
  <c r="AD369" i="32"/>
  <c r="AC370" i="32"/>
  <c r="AD370" i="32"/>
  <c r="AC371" i="32"/>
  <c r="AD371" i="32"/>
  <c r="AC372" i="32"/>
  <c r="AD372" i="32"/>
  <c r="AC373" i="32"/>
  <c r="AD373" i="32"/>
  <c r="AC374" i="32"/>
  <c r="AD374" i="32"/>
  <c r="AC375" i="32"/>
  <c r="AD375" i="32"/>
  <c r="AC376" i="32"/>
  <c r="AD376" i="32"/>
  <c r="AC377" i="32"/>
  <c r="AD377" i="32"/>
  <c r="AC378" i="32"/>
  <c r="AD378" i="32"/>
  <c r="AC379" i="32"/>
  <c r="AD379" i="32"/>
  <c r="AC380" i="32"/>
  <c r="AD380" i="32"/>
  <c r="AC381" i="32"/>
  <c r="AD381" i="32"/>
  <c r="AC382" i="32"/>
  <c r="AD382" i="32"/>
  <c r="AC383" i="32"/>
  <c r="AD383" i="32"/>
  <c r="AC384" i="32"/>
  <c r="AD384" i="32"/>
  <c r="AC385" i="32"/>
  <c r="AD385" i="32"/>
  <c r="AC386" i="32"/>
  <c r="AD386" i="32"/>
  <c r="AC387" i="32"/>
  <c r="AD387" i="32"/>
  <c r="AC388" i="32"/>
  <c r="AD388" i="32"/>
  <c r="AC389" i="32"/>
  <c r="AD389" i="32"/>
  <c r="AC390" i="32"/>
  <c r="AD390" i="32"/>
  <c r="AC391" i="32"/>
  <c r="AD391" i="32"/>
  <c r="AC392" i="32"/>
  <c r="AD392" i="32"/>
  <c r="AC393" i="32"/>
  <c r="AD393" i="32"/>
  <c r="AC394" i="32"/>
  <c r="AD394" i="32"/>
  <c r="AC395" i="32"/>
  <c r="AD395" i="32"/>
  <c r="AC396" i="32"/>
  <c r="AD396" i="32"/>
  <c r="AC397" i="32"/>
  <c r="AD397" i="32"/>
  <c r="AC398" i="32"/>
  <c r="AD398" i="32"/>
  <c r="AC399" i="32"/>
  <c r="AD399" i="32"/>
  <c r="AC400" i="32"/>
  <c r="AD400" i="32"/>
  <c r="AC401" i="32"/>
  <c r="AD401" i="32"/>
  <c r="AC402" i="32"/>
  <c r="AD402" i="32"/>
  <c r="AC403" i="32"/>
  <c r="AD403" i="32"/>
  <c r="AC404" i="32"/>
  <c r="AD404" i="32"/>
  <c r="AC405" i="32"/>
  <c r="AD405" i="32"/>
  <c r="AC406" i="32"/>
  <c r="AD406" i="32"/>
  <c r="AC407" i="32"/>
  <c r="AD407" i="32"/>
  <c r="AC408" i="32"/>
  <c r="AD408" i="32"/>
  <c r="AC409" i="32"/>
  <c r="AD409" i="32"/>
  <c r="AC410" i="32"/>
  <c r="AD410" i="32"/>
  <c r="AC411" i="32"/>
  <c r="AD411" i="32"/>
  <c r="AC412" i="32"/>
  <c r="AD412" i="32"/>
  <c r="AC413" i="32"/>
  <c r="AD413" i="32"/>
  <c r="AC414" i="32"/>
  <c r="AD414" i="32"/>
  <c r="AC415" i="32"/>
  <c r="AD415" i="32"/>
  <c r="AC416" i="32"/>
  <c r="AD416" i="32"/>
  <c r="AC417" i="32"/>
  <c r="AD417" i="32"/>
  <c r="AC418" i="32"/>
  <c r="AD418" i="32"/>
  <c r="AC419" i="32"/>
  <c r="AD419" i="32"/>
  <c r="AC420" i="32"/>
  <c r="AD420" i="32"/>
  <c r="AC421" i="32"/>
  <c r="AD421" i="32"/>
  <c r="AC422" i="32"/>
  <c r="AD422" i="32"/>
  <c r="AC423" i="32"/>
  <c r="AD423" i="32"/>
  <c r="AC424" i="32"/>
  <c r="AD424" i="32"/>
  <c r="AC425" i="32"/>
  <c r="AD425" i="32"/>
  <c r="AC426" i="32"/>
  <c r="AD426" i="32"/>
  <c r="AC427" i="32"/>
  <c r="AD427" i="32"/>
  <c r="AC428" i="32"/>
  <c r="AD428" i="32"/>
  <c r="AC429" i="32"/>
  <c r="AD429" i="32"/>
  <c r="AC430" i="32"/>
  <c r="AD430" i="32"/>
  <c r="AC431" i="32"/>
  <c r="AD431" i="32"/>
  <c r="AC432" i="32"/>
  <c r="AD432" i="32"/>
  <c r="AC433" i="32"/>
  <c r="AD433" i="32"/>
  <c r="AC434" i="32"/>
  <c r="AD434" i="32"/>
  <c r="AC435" i="32"/>
  <c r="AD435" i="32"/>
  <c r="AC436" i="32"/>
  <c r="AD436" i="32"/>
  <c r="AC437" i="32"/>
  <c r="AD437" i="32"/>
  <c r="AC438" i="32"/>
  <c r="AD438" i="32"/>
  <c r="AC439" i="32"/>
  <c r="AD439" i="32"/>
  <c r="AC440" i="32"/>
  <c r="AD440" i="32"/>
  <c r="AC441" i="32"/>
  <c r="AD441" i="32"/>
  <c r="AC442" i="32"/>
  <c r="AD442" i="32"/>
  <c r="AC443" i="32"/>
  <c r="AD443" i="32"/>
  <c r="AC444" i="32"/>
  <c r="AD444" i="32"/>
  <c r="AC445" i="32"/>
  <c r="AD445" i="32"/>
  <c r="AC446" i="32"/>
  <c r="AD446" i="32"/>
  <c r="AC447" i="32"/>
  <c r="AD447" i="32"/>
  <c r="AC448" i="32"/>
  <c r="AD448" i="32"/>
  <c r="AC449" i="32"/>
  <c r="AD449" i="32"/>
  <c r="AC450" i="32"/>
  <c r="AD450" i="32"/>
  <c r="AC451" i="32"/>
  <c r="AD451" i="32"/>
  <c r="AC452" i="32"/>
  <c r="AD452" i="32"/>
  <c r="AC453" i="32"/>
  <c r="AD453" i="32"/>
  <c r="AC454" i="32"/>
  <c r="AD454" i="32"/>
  <c r="AC455" i="32"/>
  <c r="AD455" i="32"/>
  <c r="AC456" i="32"/>
  <c r="AD456" i="32"/>
  <c r="AC457" i="32"/>
  <c r="AD457" i="32"/>
  <c r="AC458" i="32"/>
  <c r="AD458" i="32"/>
  <c r="AC459" i="32"/>
  <c r="AD459" i="32"/>
  <c r="AC460" i="32"/>
  <c r="AD460" i="32"/>
  <c r="AC461" i="32"/>
  <c r="AD461" i="32"/>
  <c r="AC462" i="32"/>
  <c r="AD462" i="32"/>
  <c r="AC463" i="32"/>
  <c r="AD463" i="32"/>
  <c r="AC464" i="32"/>
  <c r="AD464" i="32"/>
  <c r="AC465" i="32"/>
  <c r="AD465" i="32"/>
  <c r="AC466" i="32"/>
  <c r="AD466" i="32"/>
  <c r="AC467" i="32"/>
  <c r="AD467" i="32"/>
  <c r="AC468" i="32"/>
  <c r="AD468" i="32"/>
  <c r="AC469" i="32"/>
  <c r="AD469" i="32"/>
  <c r="AC470" i="32"/>
  <c r="AD470" i="32"/>
  <c r="AC471" i="32"/>
  <c r="AD471" i="32"/>
  <c r="AC472" i="32"/>
  <c r="AD472" i="32"/>
  <c r="AC473" i="32"/>
  <c r="AD473" i="32"/>
  <c r="AC474" i="32"/>
  <c r="AD474" i="32"/>
  <c r="AC475" i="32"/>
  <c r="AD475" i="32"/>
  <c r="AC476" i="32"/>
  <c r="AD476" i="32"/>
  <c r="AC477" i="32"/>
  <c r="AD477" i="32"/>
  <c r="AC478" i="32"/>
  <c r="AD478" i="32"/>
  <c r="AC479" i="32"/>
  <c r="AD479" i="32"/>
  <c r="AC480" i="32"/>
  <c r="AD480" i="32"/>
  <c r="AC481" i="32"/>
  <c r="AD481" i="32"/>
  <c r="AC482" i="32"/>
  <c r="AD482" i="32"/>
  <c r="AC483" i="32"/>
  <c r="AD483" i="32"/>
  <c r="AC484" i="32"/>
  <c r="AD484" i="32"/>
  <c r="AC485" i="32"/>
  <c r="AD485" i="32"/>
  <c r="AC486" i="32"/>
  <c r="AD486" i="32"/>
  <c r="AC487" i="32"/>
  <c r="AD487" i="32"/>
  <c r="AC488" i="32"/>
  <c r="AD488" i="32"/>
  <c r="AC489" i="32"/>
  <c r="AD489" i="32"/>
  <c r="AC490" i="32"/>
  <c r="AD490" i="32"/>
  <c r="AC491" i="32"/>
  <c r="AD491" i="32"/>
  <c r="AC492" i="32"/>
  <c r="AD492" i="32"/>
  <c r="AC493" i="32"/>
  <c r="AD493" i="32"/>
  <c r="AC494" i="32"/>
  <c r="AD494" i="32"/>
  <c r="AC495" i="32"/>
  <c r="AD495" i="32"/>
  <c r="AC496" i="32"/>
  <c r="AD496" i="32"/>
  <c r="AC497" i="32"/>
  <c r="AD497" i="32"/>
  <c r="AC498" i="32"/>
  <c r="AD498" i="32"/>
  <c r="AC499" i="32"/>
  <c r="AD499" i="32"/>
  <c r="AC500" i="32"/>
  <c r="AD500" i="32"/>
  <c r="AC501" i="32"/>
  <c r="AD501" i="32"/>
  <c r="AC502" i="32"/>
  <c r="AD502" i="32"/>
  <c r="AC503" i="32"/>
  <c r="AD503" i="32"/>
  <c r="AC504" i="32"/>
  <c r="AD504" i="32"/>
  <c r="AC505" i="32"/>
  <c r="AD505" i="32"/>
  <c r="AC506" i="32"/>
  <c r="AD506" i="32"/>
  <c r="AC507" i="32"/>
  <c r="AD507" i="32"/>
  <c r="AC508" i="32"/>
  <c r="AD508" i="32"/>
  <c r="AC509" i="32"/>
  <c r="AD509" i="32"/>
  <c r="AC510" i="32"/>
  <c r="AD510" i="32"/>
  <c r="AC511" i="32"/>
  <c r="AD511" i="32"/>
  <c r="AC512" i="32"/>
  <c r="AD512" i="32"/>
  <c r="AC513" i="32"/>
  <c r="AD513" i="32"/>
  <c r="AC514" i="32"/>
  <c r="AD514" i="32"/>
  <c r="AC515" i="32"/>
  <c r="AD515" i="32"/>
  <c r="AC516" i="32"/>
  <c r="AD516" i="32"/>
  <c r="AC517" i="32"/>
  <c r="AD517" i="32"/>
  <c r="AC518" i="32"/>
  <c r="AD518" i="32"/>
  <c r="AC519" i="32"/>
  <c r="AD519" i="32"/>
  <c r="AC520" i="32"/>
  <c r="AD520" i="32"/>
  <c r="AC521" i="32"/>
  <c r="AD521" i="32"/>
  <c r="AC522" i="32"/>
  <c r="AD522" i="32"/>
  <c r="AC523" i="32"/>
  <c r="AD523" i="32"/>
  <c r="AC524" i="32"/>
  <c r="AD524" i="32"/>
  <c r="AC525" i="32"/>
  <c r="AD525" i="32"/>
  <c r="AC526" i="32"/>
  <c r="AD526" i="32"/>
  <c r="AC527" i="32"/>
  <c r="AD527" i="32"/>
  <c r="AC528" i="32"/>
  <c r="AD528" i="32"/>
  <c r="AC529" i="32"/>
  <c r="AD529" i="32"/>
  <c r="AC530" i="32"/>
  <c r="AD530" i="32"/>
  <c r="AC531" i="32"/>
  <c r="AD531" i="32"/>
  <c r="AC532" i="32"/>
  <c r="AD532" i="32"/>
  <c r="AC533" i="32"/>
  <c r="AD533" i="32"/>
  <c r="AC534" i="32"/>
  <c r="AD534" i="32"/>
  <c r="AC535" i="32"/>
  <c r="AD535" i="32"/>
  <c r="AC536" i="32"/>
  <c r="AD536" i="32"/>
  <c r="AC537" i="32"/>
  <c r="AD537" i="32"/>
  <c r="AC538" i="32"/>
  <c r="AD538" i="32"/>
  <c r="AC539" i="32"/>
  <c r="AD539" i="32"/>
  <c r="AC540" i="32"/>
  <c r="AD540" i="32"/>
  <c r="AC541" i="32"/>
  <c r="AD541" i="32"/>
  <c r="AC542" i="32"/>
  <c r="AD542" i="32"/>
  <c r="AC543" i="32"/>
  <c r="AD543" i="32"/>
  <c r="AC544" i="32"/>
  <c r="AD544" i="32"/>
  <c r="AC545" i="32"/>
  <c r="AD545" i="32"/>
  <c r="AC546" i="32"/>
  <c r="AD546" i="32"/>
  <c r="AC547" i="32"/>
  <c r="AD547" i="32"/>
  <c r="AC548" i="32"/>
  <c r="AD548" i="32"/>
  <c r="AC549" i="32"/>
  <c r="AD549" i="32"/>
  <c r="AC550" i="32"/>
  <c r="AD550" i="32"/>
  <c r="AC551" i="32"/>
  <c r="AD551" i="32"/>
  <c r="AC552" i="32"/>
  <c r="AD552" i="32"/>
  <c r="AC553" i="32"/>
  <c r="AD553" i="32"/>
  <c r="AC554" i="32"/>
  <c r="AD554" i="32"/>
  <c r="AC555" i="32"/>
  <c r="AD555" i="32"/>
  <c r="AC556" i="32"/>
  <c r="AD556" i="32"/>
  <c r="AC557" i="32"/>
  <c r="AD557" i="32"/>
  <c r="AC558" i="32"/>
  <c r="AD558" i="32"/>
  <c r="AC559" i="32"/>
  <c r="AD559" i="32"/>
  <c r="AC560" i="32"/>
  <c r="AD560" i="32"/>
  <c r="AC561" i="32"/>
  <c r="AD561" i="32"/>
  <c r="AC562" i="32"/>
  <c r="AD562" i="32"/>
  <c r="AC563" i="32"/>
  <c r="AD563" i="32"/>
  <c r="AC564" i="32"/>
  <c r="AD564" i="32"/>
  <c r="AC565" i="32"/>
  <c r="AD565" i="32"/>
  <c r="AC566" i="32"/>
  <c r="AD566" i="32"/>
  <c r="AC567" i="32"/>
  <c r="AD567" i="32"/>
  <c r="AC568" i="32"/>
  <c r="AD568" i="32"/>
  <c r="AC569" i="32"/>
  <c r="AD569" i="32"/>
  <c r="AC570" i="32"/>
  <c r="AD570" i="32"/>
  <c r="AC571" i="32"/>
  <c r="AD571" i="32"/>
  <c r="AC572" i="32"/>
  <c r="AD572" i="32"/>
  <c r="AC573" i="32"/>
  <c r="AD573" i="32"/>
  <c r="AC574" i="32"/>
  <c r="AD574" i="32"/>
  <c r="AC575" i="32"/>
  <c r="AD575" i="32"/>
  <c r="AC576" i="32"/>
  <c r="AD576" i="32"/>
  <c r="AC577" i="32"/>
  <c r="AD577" i="32"/>
  <c r="AC578" i="32"/>
  <c r="AD578" i="32"/>
  <c r="AC579" i="32"/>
  <c r="AD579" i="32"/>
  <c r="AC580" i="32"/>
  <c r="AD580" i="32"/>
  <c r="AC581" i="32"/>
  <c r="AD581" i="32"/>
  <c r="AC582" i="32"/>
  <c r="AD582" i="32"/>
  <c r="AC583" i="32"/>
  <c r="AD583" i="32"/>
  <c r="AC584" i="32"/>
  <c r="AD584" i="32"/>
  <c r="AC585" i="32"/>
  <c r="AD585" i="32"/>
  <c r="AC586" i="32"/>
  <c r="AD586" i="32"/>
  <c r="AC587" i="32"/>
  <c r="AD587" i="32"/>
  <c r="AC588" i="32"/>
  <c r="AD588" i="32"/>
  <c r="AC589" i="32"/>
  <c r="AD589" i="32"/>
  <c r="AC590" i="32"/>
  <c r="AD590" i="32"/>
  <c r="AC591" i="32"/>
  <c r="AD591" i="32"/>
  <c r="AC592" i="32"/>
  <c r="AD592" i="32"/>
  <c r="AC593" i="32"/>
  <c r="AD593" i="32"/>
  <c r="AC594" i="32"/>
  <c r="AD594" i="32"/>
  <c r="AC595" i="32"/>
  <c r="AD595" i="32"/>
  <c r="AC596" i="32"/>
  <c r="AD596" i="32"/>
  <c r="AC597" i="32"/>
  <c r="AD597" i="32"/>
  <c r="AC598" i="32"/>
  <c r="AD598" i="32"/>
  <c r="AC599" i="32"/>
  <c r="AD599" i="32"/>
  <c r="AC600" i="32"/>
  <c r="AD600" i="32"/>
  <c r="AC601" i="32"/>
  <c r="AD601" i="32"/>
  <c r="AC602" i="32"/>
  <c r="AD602" i="32"/>
  <c r="AC603" i="32"/>
  <c r="AD603" i="32"/>
  <c r="AC604" i="32"/>
  <c r="AD604" i="32"/>
  <c r="AC605" i="32"/>
  <c r="AD605" i="32"/>
  <c r="AC606" i="32"/>
  <c r="AD606" i="32"/>
  <c r="AC607" i="32"/>
  <c r="AD607" i="32"/>
  <c r="AC608" i="32"/>
  <c r="AD608" i="32"/>
  <c r="AC609" i="32"/>
  <c r="AD609" i="32"/>
  <c r="AC610" i="32"/>
  <c r="AD610" i="32"/>
  <c r="AC611" i="32"/>
  <c r="AD611" i="32"/>
  <c r="AC612" i="32"/>
  <c r="AD612" i="32"/>
  <c r="AC613" i="32"/>
  <c r="AD613" i="32"/>
  <c r="AC614" i="32"/>
  <c r="AD614" i="32"/>
  <c r="AC615" i="32"/>
  <c r="AD615" i="32"/>
  <c r="AC616" i="32"/>
  <c r="AD616" i="32"/>
  <c r="AC617" i="32"/>
  <c r="AD617" i="32"/>
  <c r="AC618" i="32"/>
  <c r="AD618" i="32"/>
  <c r="AC619" i="32"/>
  <c r="AD619" i="32"/>
  <c r="AC620" i="32"/>
  <c r="AD620" i="32"/>
  <c r="AC621" i="32"/>
  <c r="AD621" i="32"/>
  <c r="AC622" i="32"/>
  <c r="AD622" i="32"/>
  <c r="AC623" i="32"/>
  <c r="AD623" i="32"/>
  <c r="AC624" i="32"/>
  <c r="AD624" i="32"/>
  <c r="AC625" i="32"/>
  <c r="AD625" i="32"/>
  <c r="AC626" i="32"/>
  <c r="AD626" i="32"/>
  <c r="AC627" i="32"/>
  <c r="AD627" i="32"/>
  <c r="AC628" i="32"/>
  <c r="AD628" i="32"/>
  <c r="AC629" i="32"/>
  <c r="AD629" i="32"/>
  <c r="AC630" i="32"/>
  <c r="AD630" i="32"/>
  <c r="AC631" i="32"/>
  <c r="AD631" i="32"/>
  <c r="AC632" i="32"/>
  <c r="AD632" i="32"/>
  <c r="AC633" i="32"/>
  <c r="AD633" i="32"/>
  <c r="AC634" i="32"/>
  <c r="AD634" i="32"/>
  <c r="AC635" i="32"/>
  <c r="AD635" i="32"/>
  <c r="AC636" i="32"/>
  <c r="AD636" i="32"/>
  <c r="AC637" i="32"/>
  <c r="AD637" i="32"/>
  <c r="AC638" i="32"/>
  <c r="AD638" i="32"/>
  <c r="AC639" i="32"/>
  <c r="AD639" i="32"/>
  <c r="AC640" i="32"/>
  <c r="AD640" i="32"/>
  <c r="AC641" i="32"/>
  <c r="AD641" i="32"/>
  <c r="AC642" i="32"/>
  <c r="AD642" i="32"/>
  <c r="AC643" i="32"/>
  <c r="AD643" i="32"/>
  <c r="AC644" i="32"/>
  <c r="AD644" i="32"/>
  <c r="AC645" i="32"/>
  <c r="AD645" i="32"/>
  <c r="AC646" i="32"/>
  <c r="AD646" i="32"/>
  <c r="AC647" i="32"/>
  <c r="AD647" i="32"/>
  <c r="AC648" i="32"/>
  <c r="AD648" i="32"/>
  <c r="AC649" i="32"/>
  <c r="AD649" i="32"/>
  <c r="AC650" i="32"/>
  <c r="AD650" i="32"/>
  <c r="AC651" i="32"/>
  <c r="AD651" i="32"/>
  <c r="AC652" i="32"/>
  <c r="AD652" i="32"/>
  <c r="AC653" i="32"/>
  <c r="AD653" i="32"/>
  <c r="AC654" i="32"/>
  <c r="AD654" i="32"/>
  <c r="AC655" i="32"/>
  <c r="AD655" i="32"/>
  <c r="AC656" i="32"/>
  <c r="AD656" i="32"/>
  <c r="AC657" i="32"/>
  <c r="AD657" i="32"/>
  <c r="AC658" i="32"/>
  <c r="AD658" i="32"/>
  <c r="AC659" i="32"/>
  <c r="AD659" i="32"/>
  <c r="AC660" i="32"/>
  <c r="AD660" i="32"/>
  <c r="AC661" i="32"/>
  <c r="AD661" i="32"/>
  <c r="AC662" i="32"/>
  <c r="AD662" i="32"/>
  <c r="AC663" i="32"/>
  <c r="AD663" i="32"/>
  <c r="AC664" i="32"/>
  <c r="AD664" i="32"/>
  <c r="AC665" i="32"/>
  <c r="AD665" i="32"/>
  <c r="AC666" i="32"/>
  <c r="AD666" i="32"/>
  <c r="AC667" i="32"/>
  <c r="AD667" i="32"/>
  <c r="AC668" i="32"/>
  <c r="AD668" i="32"/>
  <c r="AC669" i="32"/>
  <c r="AD669" i="32"/>
  <c r="AC670" i="32"/>
  <c r="AD670" i="32"/>
  <c r="AC671" i="32"/>
  <c r="AD671" i="32"/>
  <c r="AC672" i="32"/>
  <c r="AD672" i="32"/>
  <c r="AC673" i="32"/>
  <c r="AD673" i="32"/>
  <c r="AC674" i="32"/>
  <c r="AD674" i="32"/>
  <c r="AC675" i="32"/>
  <c r="AD675" i="32"/>
  <c r="AC676" i="32"/>
  <c r="AD676" i="32"/>
  <c r="AC677" i="32"/>
  <c r="AD677" i="32"/>
  <c r="AC678" i="32"/>
  <c r="AD678" i="32"/>
  <c r="AC679" i="32"/>
  <c r="AD679" i="32"/>
  <c r="AC680" i="32"/>
  <c r="AD680" i="32"/>
  <c r="AC681" i="32"/>
  <c r="AD681" i="32"/>
  <c r="AC682" i="32"/>
  <c r="AD682" i="32"/>
  <c r="AC683" i="32"/>
  <c r="AD683" i="32"/>
  <c r="AC684" i="32"/>
  <c r="AD684" i="32"/>
  <c r="AC685" i="32"/>
  <c r="AD685" i="32"/>
  <c r="AC686" i="32"/>
  <c r="AD686" i="32"/>
  <c r="AC687" i="32"/>
  <c r="AD687" i="32"/>
  <c r="AC688" i="32"/>
  <c r="AD688" i="32"/>
  <c r="AC689" i="32"/>
  <c r="AD689" i="32"/>
  <c r="AC690" i="32"/>
  <c r="AD690" i="32"/>
  <c r="AC691" i="32"/>
  <c r="AD691" i="32"/>
  <c r="AC692" i="32"/>
  <c r="AD692" i="32"/>
  <c r="AC693" i="32"/>
  <c r="AD693" i="32"/>
  <c r="AC694" i="32"/>
  <c r="AD694" i="32"/>
  <c r="AC695" i="32"/>
  <c r="AD695" i="32"/>
  <c r="AC696" i="32"/>
  <c r="AD696" i="32"/>
  <c r="AC697" i="32"/>
  <c r="AD697" i="32"/>
  <c r="AC698" i="32"/>
  <c r="AD698" i="32"/>
  <c r="AC699" i="32"/>
  <c r="AD699" i="32"/>
  <c r="AC700" i="32"/>
  <c r="AD700" i="32"/>
  <c r="AC701" i="32"/>
  <c r="AD701" i="32"/>
  <c r="AC702" i="32"/>
  <c r="AD702" i="32"/>
  <c r="AC703" i="32"/>
  <c r="AD703" i="32"/>
  <c r="AC704" i="32"/>
  <c r="AD704" i="32"/>
  <c r="AC705" i="32"/>
  <c r="AD705" i="32"/>
  <c r="AC706" i="32"/>
  <c r="AD706" i="32"/>
  <c r="AC707" i="32"/>
  <c r="AD707" i="32"/>
  <c r="AC708" i="32"/>
  <c r="AD708" i="32"/>
  <c r="AC709" i="32"/>
  <c r="AD709" i="32"/>
  <c r="AC710" i="32"/>
  <c r="AD710" i="32"/>
  <c r="AC711" i="32"/>
  <c r="AD711" i="32"/>
  <c r="AC712" i="32"/>
  <c r="AD712" i="32"/>
  <c r="AC713" i="32"/>
  <c r="AD713" i="32"/>
  <c r="AC714" i="32"/>
  <c r="AD714" i="32"/>
  <c r="AC715" i="32"/>
  <c r="AD715" i="32"/>
  <c r="AC716" i="32"/>
  <c r="AD716" i="32"/>
  <c r="AC717" i="32"/>
  <c r="AD717" i="32"/>
  <c r="AC718" i="32"/>
  <c r="AD718" i="32"/>
  <c r="AC719" i="32"/>
  <c r="AD719" i="32"/>
  <c r="AC720" i="32"/>
  <c r="AD720" i="32"/>
  <c r="AC721" i="32"/>
  <c r="AD721" i="32"/>
  <c r="AC722" i="32"/>
  <c r="AD722" i="32"/>
  <c r="AC723" i="32"/>
  <c r="AD723" i="32"/>
  <c r="AC724" i="32"/>
  <c r="AD724" i="32"/>
  <c r="AC725" i="32"/>
  <c r="AD725" i="32"/>
  <c r="AC726" i="32"/>
  <c r="AD726" i="32"/>
  <c r="AC727" i="32"/>
  <c r="AD727" i="32"/>
  <c r="AC728" i="32"/>
  <c r="AD728" i="32"/>
  <c r="AC729" i="32"/>
  <c r="AD729" i="32"/>
  <c r="AC730" i="32"/>
  <c r="AD730" i="32"/>
  <c r="AC731" i="32"/>
  <c r="AD731" i="32"/>
  <c r="AC732" i="32"/>
  <c r="AD732" i="32"/>
  <c r="AC733" i="32"/>
  <c r="AD733" i="32"/>
  <c r="AC734" i="32"/>
  <c r="AD734" i="32"/>
  <c r="AC735" i="32"/>
  <c r="AD735" i="32"/>
  <c r="AC736" i="32"/>
  <c r="AD736" i="32"/>
  <c r="AC737" i="32"/>
  <c r="AD737" i="32"/>
  <c r="AC738" i="32"/>
  <c r="AD738" i="32"/>
  <c r="AC739" i="32"/>
  <c r="AD739" i="32"/>
  <c r="AC740" i="32"/>
  <c r="AD740" i="32"/>
  <c r="AC741" i="32"/>
  <c r="AD741" i="32"/>
  <c r="AC742" i="32"/>
  <c r="AD742" i="32"/>
  <c r="AC743" i="32"/>
  <c r="AD743" i="32"/>
  <c r="AC744" i="32"/>
  <c r="AD744" i="32"/>
  <c r="AC745" i="32"/>
  <c r="AD745" i="32"/>
  <c r="AC746" i="32"/>
  <c r="AD746" i="32"/>
  <c r="AC747" i="32"/>
  <c r="AD747" i="32"/>
  <c r="AC748" i="32"/>
  <c r="AD748" i="32"/>
  <c r="AC749" i="32"/>
  <c r="AD749" i="32"/>
  <c r="AC750" i="32"/>
  <c r="AD750" i="32"/>
  <c r="AC751" i="32"/>
  <c r="AD751" i="32"/>
  <c r="AC752" i="32"/>
  <c r="AD752" i="32"/>
  <c r="AC753" i="32"/>
  <c r="AD753" i="32"/>
  <c r="AC754" i="32"/>
  <c r="AD754" i="32"/>
  <c r="AC755" i="32"/>
  <c r="AD755" i="32"/>
  <c r="AC756" i="32"/>
  <c r="AD756" i="32"/>
  <c r="AC757" i="32"/>
  <c r="AD757" i="32"/>
  <c r="AC758" i="32"/>
  <c r="AD758" i="32"/>
  <c r="AC759" i="32"/>
  <c r="AD759" i="32"/>
  <c r="AC760" i="32"/>
  <c r="AD760" i="32"/>
  <c r="AC761" i="32"/>
  <c r="AD761" i="32"/>
  <c r="AC762" i="32"/>
  <c r="AD762" i="32"/>
  <c r="AC763" i="32"/>
  <c r="AD763" i="32"/>
  <c r="AC764" i="32"/>
  <c r="AD764" i="32"/>
  <c r="AC765" i="32"/>
  <c r="AD765" i="32"/>
  <c r="AC766" i="32"/>
  <c r="AD766" i="32"/>
  <c r="AC767" i="32"/>
  <c r="AD767" i="32"/>
  <c r="AC768" i="32"/>
  <c r="AD768" i="32"/>
  <c r="AC769" i="32"/>
  <c r="AD769" i="32"/>
  <c r="AC770" i="32"/>
  <c r="AD770" i="32"/>
  <c r="AC771" i="32"/>
  <c r="AD771" i="32"/>
  <c r="AC772" i="32"/>
  <c r="AD772" i="32"/>
  <c r="AC773" i="32"/>
  <c r="AD773" i="32"/>
  <c r="AC774" i="32"/>
  <c r="AD774" i="32"/>
  <c r="AC775" i="32"/>
  <c r="AD775" i="32"/>
  <c r="AC776" i="32"/>
  <c r="AD776" i="32"/>
  <c r="AC777" i="32"/>
  <c r="AD777" i="32"/>
  <c r="AC778" i="32"/>
  <c r="AD778" i="32"/>
  <c r="AC779" i="32"/>
  <c r="AD779" i="32"/>
  <c r="AC780" i="32"/>
  <c r="AD780" i="32"/>
  <c r="AC781" i="32"/>
  <c r="AD781" i="32"/>
  <c r="AC782" i="32"/>
  <c r="AD782" i="32"/>
  <c r="AC783" i="32"/>
  <c r="AD783" i="32"/>
  <c r="AC784" i="32"/>
  <c r="AD784" i="32"/>
  <c r="AC785" i="32"/>
  <c r="AD785" i="32"/>
  <c r="AC786" i="32"/>
  <c r="AD786" i="32"/>
  <c r="AC787" i="32"/>
  <c r="AD787" i="32"/>
  <c r="AC788" i="32"/>
  <c r="AD788" i="32"/>
  <c r="AC789" i="32"/>
  <c r="AD789" i="32"/>
  <c r="AC790" i="32"/>
  <c r="AD790" i="32"/>
  <c r="AC791" i="32"/>
  <c r="AD791" i="32"/>
  <c r="AC792" i="32"/>
  <c r="AD792" i="32"/>
  <c r="AC793" i="32"/>
  <c r="AD793" i="32"/>
  <c r="AC794" i="32"/>
  <c r="AD794" i="32"/>
  <c r="AC795" i="32"/>
  <c r="AD795" i="32"/>
  <c r="AC796" i="32"/>
  <c r="AD796" i="32"/>
  <c r="AC797" i="32"/>
  <c r="AD797" i="32"/>
  <c r="AC798" i="32"/>
  <c r="AD798" i="32"/>
  <c r="AC799" i="32"/>
  <c r="AD799" i="32"/>
  <c r="AC800" i="32"/>
  <c r="AD800" i="32"/>
  <c r="AC801" i="32"/>
  <c r="AD801" i="32"/>
  <c r="AC802" i="32"/>
  <c r="AD802" i="32"/>
  <c r="AC803" i="32"/>
  <c r="AD803" i="32"/>
  <c r="AC804" i="32"/>
  <c r="AD804" i="32"/>
  <c r="AC805" i="32"/>
  <c r="AD805" i="32"/>
  <c r="AC806" i="32"/>
  <c r="AD806" i="32"/>
  <c r="AC807" i="32"/>
  <c r="AD807" i="32"/>
  <c r="AC808" i="32"/>
  <c r="AD808" i="32"/>
  <c r="AC809" i="32"/>
  <c r="AD809" i="32"/>
  <c r="AC810" i="32"/>
  <c r="AD810" i="32"/>
  <c r="AC811" i="32"/>
  <c r="AD811" i="32"/>
  <c r="AC812" i="32"/>
  <c r="AD812" i="32"/>
  <c r="AC813" i="32"/>
  <c r="AD813" i="32"/>
  <c r="AC814" i="32"/>
  <c r="AD814" i="32"/>
  <c r="AC815" i="32"/>
  <c r="AD815" i="32"/>
  <c r="AC816" i="32"/>
  <c r="AD816" i="32"/>
  <c r="AC817" i="32"/>
  <c r="AD817" i="32"/>
  <c r="AC818" i="32"/>
  <c r="AD818" i="32"/>
  <c r="AC819" i="32"/>
  <c r="AD819" i="32"/>
  <c r="AC820" i="32"/>
  <c r="AD820" i="32"/>
  <c r="AC821" i="32"/>
  <c r="AD821" i="32"/>
  <c r="AC822" i="32"/>
  <c r="AD822" i="32"/>
  <c r="AC823" i="32"/>
  <c r="AD823" i="32"/>
  <c r="AC824" i="32"/>
  <c r="AD824" i="32"/>
  <c r="AC825" i="32"/>
  <c r="AD825" i="32"/>
  <c r="AC826" i="32"/>
  <c r="AD826" i="32"/>
  <c r="AC827" i="32"/>
  <c r="AD827" i="32"/>
  <c r="AC828" i="32"/>
  <c r="AD828" i="32"/>
  <c r="AC829" i="32"/>
  <c r="AD829" i="32"/>
  <c r="AC830" i="32"/>
  <c r="AD830" i="32"/>
  <c r="AC831" i="32"/>
  <c r="AD831" i="32"/>
  <c r="AC832" i="32"/>
  <c r="AD832" i="32"/>
  <c r="AC833" i="32"/>
  <c r="AD833" i="32"/>
  <c r="AC834" i="32"/>
  <c r="AD834" i="32"/>
  <c r="AC835" i="32"/>
  <c r="AD835" i="32"/>
  <c r="AC836" i="32"/>
  <c r="AD836" i="32"/>
  <c r="AC837" i="32"/>
  <c r="AD837" i="32"/>
  <c r="AC838" i="32"/>
  <c r="AD838" i="32"/>
  <c r="AC839" i="32"/>
  <c r="AD839" i="32"/>
  <c r="AC840" i="32"/>
  <c r="AD840" i="32"/>
  <c r="AC841" i="32"/>
  <c r="AD841" i="32"/>
  <c r="AC842" i="32"/>
  <c r="AD842" i="32"/>
  <c r="AC843" i="32"/>
  <c r="AD843" i="32"/>
  <c r="AC844" i="32"/>
  <c r="AD844" i="32"/>
  <c r="AC845" i="32"/>
  <c r="AD845" i="32"/>
  <c r="AC846" i="32"/>
  <c r="AD846" i="32"/>
  <c r="AC847" i="32"/>
  <c r="AD847" i="32"/>
  <c r="AC848" i="32"/>
  <c r="AD848" i="32"/>
  <c r="AC849" i="32"/>
  <c r="AD849" i="32"/>
  <c r="AC850" i="32"/>
  <c r="AD850" i="32"/>
  <c r="AC851" i="32"/>
  <c r="AD851" i="32"/>
  <c r="AC852" i="32"/>
  <c r="AD852" i="32"/>
  <c r="AC853" i="32"/>
  <c r="AD853" i="32"/>
  <c r="AC854" i="32"/>
  <c r="AD854" i="32"/>
  <c r="AC855" i="32"/>
  <c r="AD855" i="32"/>
  <c r="AC856" i="32"/>
  <c r="AD856" i="32"/>
  <c r="AC857" i="32"/>
  <c r="AD857" i="32"/>
  <c r="AC858" i="32"/>
  <c r="AD858" i="32"/>
  <c r="AC859" i="32"/>
  <c r="AD859" i="32"/>
  <c r="AC860" i="32"/>
  <c r="AD860" i="32"/>
  <c r="AC861" i="32"/>
  <c r="AD861" i="32"/>
  <c r="AC862" i="32"/>
  <c r="AD862" i="32"/>
  <c r="AC863" i="32"/>
  <c r="AD863" i="32"/>
  <c r="AC864" i="32"/>
  <c r="AD864" i="32"/>
  <c r="AC865" i="32"/>
  <c r="AD865" i="32"/>
  <c r="AC866" i="32"/>
  <c r="AD866" i="32"/>
  <c r="AC867" i="32"/>
  <c r="AD867" i="32"/>
  <c r="AC868" i="32"/>
  <c r="AD868" i="32"/>
  <c r="AC869" i="32"/>
  <c r="AD869" i="32"/>
  <c r="AC870" i="32"/>
  <c r="AD870" i="32"/>
  <c r="AC871" i="32"/>
  <c r="AD871" i="32"/>
  <c r="AC872" i="32"/>
  <c r="AD872" i="32"/>
  <c r="AC873" i="32"/>
  <c r="AD873" i="32"/>
  <c r="AC874" i="32"/>
  <c r="AD874" i="32"/>
  <c r="AC875" i="32"/>
  <c r="AD875" i="32"/>
  <c r="AC876" i="32"/>
  <c r="AD876" i="32"/>
  <c r="AC877" i="32"/>
  <c r="AD877" i="32"/>
  <c r="AC878" i="32"/>
  <c r="AD878" i="32"/>
  <c r="AC879" i="32"/>
  <c r="AD879" i="32"/>
  <c r="AC880" i="32"/>
  <c r="AD880" i="32"/>
  <c r="AC881" i="32"/>
  <c r="AD881" i="32"/>
  <c r="AC882" i="32"/>
  <c r="AD882" i="32"/>
  <c r="AC883" i="32"/>
  <c r="AD883" i="32"/>
  <c r="AC884" i="32"/>
  <c r="AD884" i="32"/>
  <c r="AC885" i="32"/>
  <c r="AD885" i="32"/>
  <c r="AC886" i="32"/>
  <c r="AD886" i="32"/>
  <c r="AC887" i="32"/>
  <c r="AD887" i="32"/>
  <c r="AC888" i="32"/>
  <c r="AD888" i="32"/>
  <c r="AC889" i="32"/>
  <c r="AD889" i="32"/>
  <c r="AC890" i="32"/>
  <c r="AD890" i="32"/>
  <c r="AC891" i="32"/>
  <c r="AD891" i="32"/>
  <c r="AC892" i="32"/>
  <c r="AD892" i="32"/>
  <c r="AC893" i="32"/>
  <c r="AD893" i="32"/>
  <c r="AC894" i="32"/>
  <c r="AD894" i="32"/>
  <c r="AC895" i="32"/>
  <c r="AD895" i="32"/>
  <c r="AC896" i="32"/>
  <c r="AD896" i="32"/>
  <c r="AC897" i="32"/>
  <c r="AD897" i="32"/>
  <c r="AC898" i="32"/>
  <c r="AD898" i="32"/>
  <c r="AC899" i="32"/>
  <c r="AD899" i="32"/>
  <c r="AC900" i="32"/>
  <c r="AD900" i="32"/>
  <c r="AC901" i="32"/>
  <c r="AD901" i="32"/>
  <c r="AC902" i="32"/>
  <c r="AD902" i="32"/>
  <c r="AC903" i="32"/>
  <c r="AD903" i="32"/>
  <c r="AC904" i="32"/>
  <c r="AD904" i="32"/>
  <c r="AC905" i="32"/>
  <c r="AD905" i="32"/>
  <c r="AC906" i="32"/>
  <c r="AD906" i="32"/>
  <c r="AC907" i="32"/>
  <c r="AD907" i="32"/>
  <c r="AD4" i="32"/>
  <c r="AC4" i="32"/>
  <c r="X5" i="32"/>
  <c r="Y5" i="32"/>
  <c r="X6" i="32"/>
  <c r="Y6" i="32"/>
  <c r="X7" i="32"/>
  <c r="Y7" i="32"/>
  <c r="X8" i="32"/>
  <c r="Y8" i="32"/>
  <c r="X9" i="32"/>
  <c r="Y9" i="32"/>
  <c r="X10" i="32"/>
  <c r="Y10" i="32"/>
  <c r="X11" i="32"/>
  <c r="Y11" i="32"/>
  <c r="X12" i="32"/>
  <c r="Y12" i="32"/>
  <c r="X13" i="32"/>
  <c r="Y13" i="32"/>
  <c r="X14" i="32"/>
  <c r="Y14" i="32"/>
  <c r="X15" i="32"/>
  <c r="Y15" i="32"/>
  <c r="X16" i="32"/>
  <c r="Y16" i="32"/>
  <c r="X17" i="32"/>
  <c r="Y17" i="32"/>
  <c r="X18" i="32"/>
  <c r="Y18" i="32"/>
  <c r="X19" i="32"/>
  <c r="Y19" i="32"/>
  <c r="X20" i="32"/>
  <c r="Y20" i="32"/>
  <c r="X21" i="32"/>
  <c r="Y21" i="32"/>
  <c r="X22" i="32"/>
  <c r="Y22" i="32"/>
  <c r="X23" i="32"/>
  <c r="Y23" i="32"/>
  <c r="X24" i="32"/>
  <c r="Y24" i="32"/>
  <c r="X25" i="32"/>
  <c r="Y25" i="32"/>
  <c r="X26" i="32"/>
  <c r="Y26" i="32"/>
  <c r="X27" i="32"/>
  <c r="Y27" i="32"/>
  <c r="X28" i="32"/>
  <c r="Y28" i="32"/>
  <c r="X29" i="32"/>
  <c r="Y29" i="32"/>
  <c r="X30" i="32"/>
  <c r="Y30" i="32"/>
  <c r="X31" i="32"/>
  <c r="Y31" i="32"/>
  <c r="X32" i="32"/>
  <c r="Y32" i="32"/>
  <c r="X33" i="32"/>
  <c r="Y33" i="32"/>
  <c r="X34" i="32"/>
  <c r="Y34" i="32"/>
  <c r="X35" i="32"/>
  <c r="Y35" i="32"/>
  <c r="X36" i="32"/>
  <c r="Y36" i="32"/>
  <c r="X37" i="32"/>
  <c r="Y37" i="32"/>
  <c r="X38" i="32"/>
  <c r="Y38" i="32"/>
  <c r="X39" i="32"/>
  <c r="Y39" i="32"/>
  <c r="X40" i="32"/>
  <c r="Y40" i="32"/>
  <c r="X41" i="32"/>
  <c r="Y41" i="32"/>
  <c r="X42" i="32"/>
  <c r="Y42" i="32"/>
  <c r="X43" i="32"/>
  <c r="Y43" i="32"/>
  <c r="X44" i="32"/>
  <c r="Y44" i="32"/>
  <c r="X45" i="32"/>
  <c r="Y45" i="32"/>
  <c r="X46" i="32"/>
  <c r="Y46" i="32"/>
  <c r="X47" i="32"/>
  <c r="Y47" i="32"/>
  <c r="X48" i="32"/>
  <c r="Y48" i="32"/>
  <c r="X49" i="32"/>
  <c r="Y49" i="32"/>
  <c r="X50" i="32"/>
  <c r="Y50" i="32"/>
  <c r="X51" i="32"/>
  <c r="Y51" i="32"/>
  <c r="X52" i="32"/>
  <c r="Y52" i="32"/>
  <c r="X53" i="32"/>
  <c r="Y53" i="32"/>
  <c r="X54" i="32"/>
  <c r="Y54" i="32"/>
  <c r="X55" i="32"/>
  <c r="Y55" i="32"/>
  <c r="X56" i="32"/>
  <c r="Y56" i="32"/>
  <c r="X57" i="32"/>
  <c r="Y57" i="32"/>
  <c r="X58" i="32"/>
  <c r="Y58" i="32"/>
  <c r="X59" i="32"/>
  <c r="Y59" i="32"/>
  <c r="X60" i="32"/>
  <c r="Y60" i="32"/>
  <c r="X61" i="32"/>
  <c r="Y61" i="32"/>
  <c r="X62" i="32"/>
  <c r="Y62" i="32"/>
  <c r="X63" i="32"/>
  <c r="Y63" i="32"/>
  <c r="X64" i="32"/>
  <c r="Y64" i="32"/>
  <c r="X65" i="32"/>
  <c r="Y65" i="32"/>
  <c r="X66" i="32"/>
  <c r="Y66" i="32"/>
  <c r="X67" i="32"/>
  <c r="Y67" i="32"/>
  <c r="X68" i="32"/>
  <c r="Y68" i="32"/>
  <c r="X69" i="32"/>
  <c r="Y69" i="32"/>
  <c r="X70" i="32"/>
  <c r="Y70" i="32"/>
  <c r="X71" i="32"/>
  <c r="Y71" i="32"/>
  <c r="X72" i="32"/>
  <c r="Y72" i="32"/>
  <c r="X73" i="32"/>
  <c r="Y73" i="32"/>
  <c r="X74" i="32"/>
  <c r="Y74" i="32"/>
  <c r="X75" i="32"/>
  <c r="Y75" i="32"/>
  <c r="X76" i="32"/>
  <c r="Y76" i="32"/>
  <c r="X77" i="32"/>
  <c r="Y77" i="32"/>
  <c r="X78" i="32"/>
  <c r="Y78" i="32"/>
  <c r="X79" i="32"/>
  <c r="Y79" i="32"/>
  <c r="X80" i="32"/>
  <c r="Y80" i="32"/>
  <c r="X81" i="32"/>
  <c r="Y81" i="32"/>
  <c r="X82" i="32"/>
  <c r="Y82" i="32"/>
  <c r="X83" i="32"/>
  <c r="Y83" i="32"/>
  <c r="X84" i="32"/>
  <c r="Y84" i="32"/>
  <c r="X85" i="32"/>
  <c r="Y85" i="32"/>
  <c r="X86" i="32"/>
  <c r="Y86" i="32"/>
  <c r="X87" i="32"/>
  <c r="Y87" i="32"/>
  <c r="X88" i="32"/>
  <c r="Y88" i="32"/>
  <c r="X89" i="32"/>
  <c r="Y89" i="32"/>
  <c r="X90" i="32"/>
  <c r="Y90" i="32"/>
  <c r="X91" i="32"/>
  <c r="Y91" i="32"/>
  <c r="X92" i="32"/>
  <c r="Y92" i="32"/>
  <c r="X93" i="32"/>
  <c r="Y93" i="32"/>
  <c r="X94" i="32"/>
  <c r="Y94" i="32"/>
  <c r="X95" i="32"/>
  <c r="Y95" i="32"/>
  <c r="X96" i="32"/>
  <c r="Y96" i="32"/>
  <c r="X97" i="32"/>
  <c r="Y97" i="32"/>
  <c r="X98" i="32"/>
  <c r="Y98" i="32"/>
  <c r="X99" i="32"/>
  <c r="Y99" i="32"/>
  <c r="X100" i="32"/>
  <c r="Y100" i="32"/>
  <c r="X101" i="32"/>
  <c r="Y101" i="32"/>
  <c r="X102" i="32"/>
  <c r="Y102" i="32"/>
  <c r="X103" i="32"/>
  <c r="Y103" i="32"/>
  <c r="X104" i="32"/>
  <c r="Y104" i="32"/>
  <c r="X105" i="32"/>
  <c r="Y105" i="32"/>
  <c r="X106" i="32"/>
  <c r="Y106" i="32"/>
  <c r="X107" i="32"/>
  <c r="Y107" i="32"/>
  <c r="X108" i="32"/>
  <c r="Y108" i="32"/>
  <c r="X109" i="32"/>
  <c r="Y109" i="32"/>
  <c r="X110" i="32"/>
  <c r="Y110" i="32"/>
  <c r="X111" i="32"/>
  <c r="Y111" i="32"/>
  <c r="X112" i="32"/>
  <c r="Y112" i="32"/>
  <c r="X113" i="32"/>
  <c r="Y113" i="32"/>
  <c r="X114" i="32"/>
  <c r="Y114" i="32"/>
  <c r="X115" i="32"/>
  <c r="Y115" i="32"/>
  <c r="X116" i="32"/>
  <c r="Y116" i="32"/>
  <c r="X117" i="32"/>
  <c r="Y117" i="32"/>
  <c r="X118" i="32"/>
  <c r="Y118" i="32"/>
  <c r="X119" i="32"/>
  <c r="Y119" i="32"/>
  <c r="X120" i="32"/>
  <c r="Y120" i="32"/>
  <c r="X121" i="32"/>
  <c r="Y121" i="32"/>
  <c r="X122" i="32"/>
  <c r="Y122" i="32"/>
  <c r="X123" i="32"/>
  <c r="Y123" i="32"/>
  <c r="X124" i="32"/>
  <c r="Y124" i="32"/>
  <c r="X125" i="32"/>
  <c r="Y125" i="32"/>
  <c r="X126" i="32"/>
  <c r="Y126" i="32"/>
  <c r="X127" i="32"/>
  <c r="Y127" i="32"/>
  <c r="X128" i="32"/>
  <c r="Y128" i="32"/>
  <c r="X129" i="32"/>
  <c r="Y129" i="32"/>
  <c r="X130" i="32"/>
  <c r="Y130" i="32"/>
  <c r="X131" i="32"/>
  <c r="Y131" i="32"/>
  <c r="X132" i="32"/>
  <c r="Y132" i="32"/>
  <c r="X133" i="32"/>
  <c r="Y133" i="32"/>
  <c r="X134" i="32"/>
  <c r="Y134" i="32"/>
  <c r="X135" i="32"/>
  <c r="Y135" i="32"/>
  <c r="X136" i="32"/>
  <c r="Y136" i="32"/>
  <c r="X137" i="32"/>
  <c r="Y137" i="32"/>
  <c r="X138" i="32"/>
  <c r="Y138" i="32"/>
  <c r="X139" i="32"/>
  <c r="Y139" i="32"/>
  <c r="X140" i="32"/>
  <c r="Y140" i="32"/>
  <c r="X141" i="32"/>
  <c r="Y141" i="32"/>
  <c r="X142" i="32"/>
  <c r="Y142" i="32"/>
  <c r="X143" i="32"/>
  <c r="Y143" i="32"/>
  <c r="X144" i="32"/>
  <c r="Y144" i="32"/>
  <c r="X145" i="32"/>
  <c r="Y145" i="32"/>
  <c r="X146" i="32"/>
  <c r="Y146" i="32"/>
  <c r="X147" i="32"/>
  <c r="Y147" i="32"/>
  <c r="X148" i="32"/>
  <c r="Y148" i="32"/>
  <c r="X149" i="32"/>
  <c r="Y149" i="32"/>
  <c r="X150" i="32"/>
  <c r="Y150" i="32"/>
  <c r="X151" i="32"/>
  <c r="Y151" i="32"/>
  <c r="X152" i="32"/>
  <c r="Y152" i="32"/>
  <c r="X153" i="32"/>
  <c r="Y153" i="32"/>
  <c r="X154" i="32"/>
  <c r="Y154" i="32"/>
  <c r="X155" i="32"/>
  <c r="Y155" i="32"/>
  <c r="X156" i="32"/>
  <c r="Y156" i="32"/>
  <c r="X157" i="32"/>
  <c r="Y157" i="32"/>
  <c r="X158" i="32"/>
  <c r="Y158" i="32"/>
  <c r="X159" i="32"/>
  <c r="Y159" i="32"/>
  <c r="X160" i="32"/>
  <c r="Y160" i="32"/>
  <c r="X161" i="32"/>
  <c r="Y161" i="32"/>
  <c r="X162" i="32"/>
  <c r="Y162" i="32"/>
  <c r="X163" i="32"/>
  <c r="Y163" i="32"/>
  <c r="X164" i="32"/>
  <c r="Y164" i="32"/>
  <c r="X165" i="32"/>
  <c r="Y165" i="32"/>
  <c r="X166" i="32"/>
  <c r="Y166" i="32"/>
  <c r="X167" i="32"/>
  <c r="Y167" i="32"/>
  <c r="X168" i="32"/>
  <c r="Y168" i="32"/>
  <c r="X169" i="32"/>
  <c r="Y169" i="32"/>
  <c r="X170" i="32"/>
  <c r="Y170" i="32"/>
  <c r="X171" i="32"/>
  <c r="Y171" i="32"/>
  <c r="X172" i="32"/>
  <c r="Y172" i="32"/>
  <c r="X173" i="32"/>
  <c r="Y173" i="32"/>
  <c r="X174" i="32"/>
  <c r="Y174" i="32"/>
  <c r="X175" i="32"/>
  <c r="Y175" i="32"/>
  <c r="X176" i="32"/>
  <c r="Y176" i="32"/>
  <c r="X177" i="32"/>
  <c r="Y177" i="32"/>
  <c r="X178" i="32"/>
  <c r="Y178" i="32"/>
  <c r="X179" i="32"/>
  <c r="Y179" i="32"/>
  <c r="X180" i="32"/>
  <c r="Y180" i="32"/>
  <c r="X181" i="32"/>
  <c r="Y181" i="32"/>
  <c r="X182" i="32"/>
  <c r="Y182" i="32"/>
  <c r="X183" i="32"/>
  <c r="Y183" i="32"/>
  <c r="X184" i="32"/>
  <c r="Y184" i="32"/>
  <c r="X185" i="32"/>
  <c r="Y185" i="32"/>
  <c r="X186" i="32"/>
  <c r="Y186" i="32"/>
  <c r="X187" i="32"/>
  <c r="Y187" i="32"/>
  <c r="X188" i="32"/>
  <c r="Y188" i="32"/>
  <c r="X189" i="32"/>
  <c r="Y189" i="32"/>
  <c r="X190" i="32"/>
  <c r="Y190" i="32"/>
  <c r="X191" i="32"/>
  <c r="Y191" i="32"/>
  <c r="X192" i="32"/>
  <c r="Y192" i="32"/>
  <c r="X193" i="32"/>
  <c r="Y193" i="32"/>
  <c r="X194" i="32"/>
  <c r="Y194" i="32"/>
  <c r="X195" i="32"/>
  <c r="Y195" i="32"/>
  <c r="X196" i="32"/>
  <c r="Y196" i="32"/>
  <c r="X197" i="32"/>
  <c r="Y197" i="32"/>
  <c r="X198" i="32"/>
  <c r="Y198" i="32"/>
  <c r="X199" i="32"/>
  <c r="Y199" i="32"/>
  <c r="X200" i="32"/>
  <c r="Y200" i="32"/>
  <c r="X201" i="32"/>
  <c r="Y201" i="32"/>
  <c r="X202" i="32"/>
  <c r="Y202" i="32"/>
  <c r="X203" i="32"/>
  <c r="Y203" i="32"/>
  <c r="X204" i="32"/>
  <c r="Y204" i="32"/>
  <c r="X205" i="32"/>
  <c r="Y205" i="32"/>
  <c r="X206" i="32"/>
  <c r="Y206" i="32"/>
  <c r="X207" i="32"/>
  <c r="Y207" i="32"/>
  <c r="X208" i="32"/>
  <c r="Y208" i="32"/>
  <c r="X209" i="32"/>
  <c r="Y209" i="32"/>
  <c r="X210" i="32"/>
  <c r="Y210" i="32"/>
  <c r="X211" i="32"/>
  <c r="Y211" i="32"/>
  <c r="X212" i="32"/>
  <c r="Y212" i="32"/>
  <c r="X213" i="32"/>
  <c r="Y213" i="32"/>
  <c r="X214" i="32"/>
  <c r="Y214" i="32"/>
  <c r="X215" i="32"/>
  <c r="Y215" i="32"/>
  <c r="X216" i="32"/>
  <c r="Y216" i="32"/>
  <c r="X217" i="32"/>
  <c r="Y217" i="32"/>
  <c r="X218" i="32"/>
  <c r="Y218" i="32"/>
  <c r="X219" i="32"/>
  <c r="Y219" i="32"/>
  <c r="X220" i="32"/>
  <c r="Y220" i="32"/>
  <c r="X221" i="32"/>
  <c r="Y221" i="32"/>
  <c r="X222" i="32"/>
  <c r="Y222" i="32"/>
  <c r="X223" i="32"/>
  <c r="Y223" i="32"/>
  <c r="X224" i="32"/>
  <c r="Y224" i="32"/>
  <c r="X225" i="32"/>
  <c r="Y225" i="32"/>
  <c r="X226" i="32"/>
  <c r="Y226" i="32"/>
  <c r="X227" i="32"/>
  <c r="Y227" i="32"/>
  <c r="X228" i="32"/>
  <c r="Y228" i="32"/>
  <c r="X229" i="32"/>
  <c r="Y229" i="32"/>
  <c r="X230" i="32"/>
  <c r="Y230" i="32"/>
  <c r="X231" i="32"/>
  <c r="Y231" i="32"/>
  <c r="X232" i="32"/>
  <c r="Y232" i="32"/>
  <c r="X233" i="32"/>
  <c r="Y233" i="32"/>
  <c r="X234" i="32"/>
  <c r="Y234" i="32"/>
  <c r="X235" i="32"/>
  <c r="Y235" i="32"/>
  <c r="X236" i="32"/>
  <c r="Y236" i="32"/>
  <c r="X237" i="32"/>
  <c r="Y237" i="32"/>
  <c r="X238" i="32"/>
  <c r="Y238" i="32"/>
  <c r="X239" i="32"/>
  <c r="Y239" i="32"/>
  <c r="X240" i="32"/>
  <c r="Y240" i="32"/>
  <c r="X241" i="32"/>
  <c r="Y241" i="32"/>
  <c r="X242" i="32"/>
  <c r="Y242" i="32"/>
  <c r="X243" i="32"/>
  <c r="Y243" i="32"/>
  <c r="X244" i="32"/>
  <c r="Y244" i="32"/>
  <c r="X245" i="32"/>
  <c r="Y245" i="32"/>
  <c r="X246" i="32"/>
  <c r="Y246" i="32"/>
  <c r="X247" i="32"/>
  <c r="Y247" i="32"/>
  <c r="X248" i="32"/>
  <c r="Y248" i="32"/>
  <c r="X249" i="32"/>
  <c r="Y249" i="32"/>
  <c r="X250" i="32"/>
  <c r="Y250" i="32"/>
  <c r="X251" i="32"/>
  <c r="Y251" i="32"/>
  <c r="X252" i="32"/>
  <c r="Y252" i="32"/>
  <c r="X253" i="32"/>
  <c r="Y253" i="32"/>
  <c r="X254" i="32"/>
  <c r="Y254" i="32"/>
  <c r="X255" i="32"/>
  <c r="Y255" i="32"/>
  <c r="X256" i="32"/>
  <c r="Y256" i="32"/>
  <c r="X257" i="32"/>
  <c r="Y257" i="32"/>
  <c r="X258" i="32"/>
  <c r="Y258" i="32"/>
  <c r="X259" i="32"/>
  <c r="Y259" i="32"/>
  <c r="X260" i="32"/>
  <c r="Y260" i="32"/>
  <c r="X261" i="32"/>
  <c r="Y261" i="32"/>
  <c r="X262" i="32"/>
  <c r="Y262" i="32"/>
  <c r="X263" i="32"/>
  <c r="Y263" i="32"/>
  <c r="X264" i="32"/>
  <c r="Y264" i="32"/>
  <c r="X265" i="32"/>
  <c r="Y265" i="32"/>
  <c r="X266" i="32"/>
  <c r="Y266" i="32"/>
  <c r="X267" i="32"/>
  <c r="Y267" i="32"/>
  <c r="X268" i="32"/>
  <c r="Y268" i="32"/>
  <c r="X269" i="32"/>
  <c r="Y269" i="32"/>
  <c r="X270" i="32"/>
  <c r="Y270" i="32"/>
  <c r="X271" i="32"/>
  <c r="Y271" i="32"/>
  <c r="X272" i="32"/>
  <c r="Y272" i="32"/>
  <c r="X273" i="32"/>
  <c r="Y273" i="32"/>
  <c r="X274" i="32"/>
  <c r="Y274" i="32"/>
  <c r="X275" i="32"/>
  <c r="Y275" i="32"/>
  <c r="X276" i="32"/>
  <c r="Y276" i="32"/>
  <c r="X277" i="32"/>
  <c r="Y277" i="32"/>
  <c r="X278" i="32"/>
  <c r="Y278" i="32"/>
  <c r="X279" i="32"/>
  <c r="Y279" i="32"/>
  <c r="X280" i="32"/>
  <c r="Y280" i="32"/>
  <c r="X281" i="32"/>
  <c r="Y281" i="32"/>
  <c r="X282" i="32"/>
  <c r="Y282" i="32"/>
  <c r="X283" i="32"/>
  <c r="Y283" i="32"/>
  <c r="X284" i="32"/>
  <c r="Y284" i="32"/>
  <c r="X285" i="32"/>
  <c r="Y285" i="32"/>
  <c r="X286" i="32"/>
  <c r="Y286" i="32"/>
  <c r="X287" i="32"/>
  <c r="Y287" i="32"/>
  <c r="X288" i="32"/>
  <c r="Y288" i="32"/>
  <c r="X289" i="32"/>
  <c r="Y289" i="32"/>
  <c r="X290" i="32"/>
  <c r="Y290" i="32"/>
  <c r="X291" i="32"/>
  <c r="Y291" i="32"/>
  <c r="X292" i="32"/>
  <c r="Y292" i="32"/>
  <c r="X293" i="32"/>
  <c r="Y293" i="32"/>
  <c r="X294" i="32"/>
  <c r="Y294" i="32"/>
  <c r="X295" i="32"/>
  <c r="Y295" i="32"/>
  <c r="X296" i="32"/>
  <c r="Y296" i="32"/>
  <c r="X297" i="32"/>
  <c r="Y297" i="32"/>
  <c r="X298" i="32"/>
  <c r="Y298" i="32"/>
  <c r="X299" i="32"/>
  <c r="Y299" i="32"/>
  <c r="X300" i="32"/>
  <c r="Y300" i="32"/>
  <c r="X301" i="32"/>
  <c r="Y301" i="32"/>
  <c r="X302" i="32"/>
  <c r="Y302" i="32"/>
  <c r="X303" i="32"/>
  <c r="Y303" i="32"/>
  <c r="X304" i="32"/>
  <c r="Y304" i="32"/>
  <c r="X305" i="32"/>
  <c r="Y305" i="32"/>
  <c r="X306" i="32"/>
  <c r="Y306" i="32"/>
  <c r="X307" i="32"/>
  <c r="Y307" i="32"/>
  <c r="X308" i="32"/>
  <c r="Y308" i="32"/>
  <c r="X309" i="32"/>
  <c r="Y309" i="32"/>
  <c r="X310" i="32"/>
  <c r="Y310" i="32"/>
  <c r="X311" i="32"/>
  <c r="Y311" i="32"/>
  <c r="X312" i="32"/>
  <c r="Y312" i="32"/>
  <c r="X313" i="32"/>
  <c r="Y313" i="32"/>
  <c r="X314" i="32"/>
  <c r="Y314" i="32"/>
  <c r="X315" i="32"/>
  <c r="Y315" i="32"/>
  <c r="X316" i="32"/>
  <c r="Y316" i="32"/>
  <c r="X317" i="32"/>
  <c r="Y317" i="32"/>
  <c r="X318" i="32"/>
  <c r="Y318" i="32"/>
  <c r="X319" i="32"/>
  <c r="Y319" i="32"/>
  <c r="X320" i="32"/>
  <c r="Y320" i="32"/>
  <c r="X321" i="32"/>
  <c r="Y321" i="32"/>
  <c r="X322" i="32"/>
  <c r="Y322" i="32"/>
  <c r="X323" i="32"/>
  <c r="Y323" i="32"/>
  <c r="X324" i="32"/>
  <c r="Y324" i="32"/>
  <c r="X325" i="32"/>
  <c r="Y325" i="32"/>
  <c r="X326" i="32"/>
  <c r="Y326" i="32"/>
  <c r="X327" i="32"/>
  <c r="Y327" i="32"/>
  <c r="X328" i="32"/>
  <c r="Y328" i="32"/>
  <c r="X329" i="32"/>
  <c r="Y329" i="32"/>
  <c r="X330" i="32"/>
  <c r="Y330" i="32"/>
  <c r="X331" i="32"/>
  <c r="Y331" i="32"/>
  <c r="X332" i="32"/>
  <c r="Y332" i="32"/>
  <c r="X333" i="32"/>
  <c r="Y333" i="32"/>
  <c r="X334" i="32"/>
  <c r="Y334" i="32"/>
  <c r="X335" i="32"/>
  <c r="Y335" i="32"/>
  <c r="X336" i="32"/>
  <c r="Y336" i="32"/>
  <c r="X337" i="32"/>
  <c r="Y337" i="32"/>
  <c r="X338" i="32"/>
  <c r="Y338" i="32"/>
  <c r="X339" i="32"/>
  <c r="Y339" i="32"/>
  <c r="X340" i="32"/>
  <c r="Y340" i="32"/>
  <c r="X341" i="32"/>
  <c r="Y341" i="32"/>
  <c r="X342" i="32"/>
  <c r="Y342" i="32"/>
  <c r="X343" i="32"/>
  <c r="Y343" i="32"/>
  <c r="X344" i="32"/>
  <c r="Y344" i="32"/>
  <c r="X345" i="32"/>
  <c r="Y345" i="32"/>
  <c r="X346" i="32"/>
  <c r="Y346" i="32"/>
  <c r="Y4" i="32"/>
  <c r="X4" i="32"/>
  <c r="N5" i="32"/>
  <c r="O5" i="32"/>
  <c r="N6" i="32"/>
  <c r="O6" i="32"/>
  <c r="N7" i="32"/>
  <c r="O7" i="32"/>
  <c r="N8" i="32"/>
  <c r="O8" i="32"/>
  <c r="N9" i="32"/>
  <c r="O9" i="32"/>
  <c r="N10" i="32"/>
  <c r="O10" i="32"/>
  <c r="N11" i="32"/>
  <c r="O11" i="32"/>
  <c r="N12" i="32"/>
  <c r="O12" i="32"/>
  <c r="N13" i="32"/>
  <c r="O13" i="32"/>
  <c r="N14" i="32"/>
  <c r="O14" i="32"/>
  <c r="N15" i="32"/>
  <c r="O15" i="32"/>
  <c r="N16" i="32"/>
  <c r="O16" i="32"/>
  <c r="N17" i="32"/>
  <c r="O17" i="32"/>
  <c r="N18" i="32"/>
  <c r="O18" i="32"/>
  <c r="N19" i="32"/>
  <c r="O19" i="32"/>
  <c r="N20" i="32"/>
  <c r="O20" i="32"/>
  <c r="N21" i="32"/>
  <c r="O21" i="32"/>
  <c r="N22" i="32"/>
  <c r="O22" i="32"/>
  <c r="N23" i="32"/>
  <c r="O23" i="32"/>
  <c r="N24" i="32"/>
  <c r="O24" i="32"/>
  <c r="N25" i="32"/>
  <c r="O25" i="32"/>
  <c r="N26" i="32"/>
  <c r="O26" i="32"/>
  <c r="N27" i="32"/>
  <c r="O27" i="32"/>
  <c r="N28" i="32"/>
  <c r="O28" i="32"/>
  <c r="N29" i="32"/>
  <c r="O29" i="32"/>
  <c r="N30" i="32"/>
  <c r="O30" i="32"/>
  <c r="N31" i="32"/>
  <c r="O31" i="32"/>
  <c r="N32" i="32"/>
  <c r="O32" i="32"/>
  <c r="N33" i="32"/>
  <c r="O33" i="32"/>
  <c r="N34" i="32"/>
  <c r="O34" i="32"/>
  <c r="N35" i="32"/>
  <c r="O35" i="32"/>
  <c r="N36" i="32"/>
  <c r="O36" i="32"/>
  <c r="N37" i="32"/>
  <c r="O37" i="32"/>
  <c r="N38" i="32"/>
  <c r="O38" i="32"/>
  <c r="N39" i="32"/>
  <c r="O39" i="32"/>
  <c r="N40" i="32"/>
  <c r="O40" i="32"/>
  <c r="N41" i="32"/>
  <c r="O41" i="32"/>
  <c r="N42" i="32"/>
  <c r="O42" i="32"/>
  <c r="N43" i="32"/>
  <c r="O43" i="32"/>
  <c r="N44" i="32"/>
  <c r="O44" i="32"/>
  <c r="N45" i="32"/>
  <c r="O45" i="32"/>
  <c r="N46" i="32"/>
  <c r="O46" i="32"/>
  <c r="N47" i="32"/>
  <c r="O47" i="32"/>
  <c r="N48" i="32"/>
  <c r="O48" i="32"/>
  <c r="N49" i="32"/>
  <c r="O49" i="32"/>
  <c r="N50" i="32"/>
  <c r="O50" i="32"/>
  <c r="N51" i="32"/>
  <c r="O51" i="32"/>
  <c r="N52" i="32"/>
  <c r="O52" i="32"/>
  <c r="N53" i="32"/>
  <c r="O53" i="32"/>
  <c r="N54" i="32"/>
  <c r="O54" i="32"/>
  <c r="N55" i="32"/>
  <c r="O55" i="32"/>
  <c r="N56" i="32"/>
  <c r="O56" i="32"/>
  <c r="N57" i="32"/>
  <c r="O57" i="32"/>
  <c r="N58" i="32"/>
  <c r="O58" i="32"/>
  <c r="N59" i="32"/>
  <c r="O59" i="32"/>
  <c r="N60" i="32"/>
  <c r="O60" i="32"/>
  <c r="N61" i="32"/>
  <c r="O61" i="32"/>
  <c r="N62" i="32"/>
  <c r="O62" i="32"/>
  <c r="N63" i="32"/>
  <c r="O63" i="32"/>
  <c r="N64" i="32"/>
  <c r="O64" i="32"/>
  <c r="N65" i="32"/>
  <c r="O65" i="32"/>
  <c r="N66" i="32"/>
  <c r="O66" i="32"/>
  <c r="N67" i="32"/>
  <c r="O67" i="32"/>
  <c r="N68" i="32"/>
  <c r="O68" i="32"/>
  <c r="N69" i="32"/>
  <c r="O69" i="32"/>
  <c r="N70" i="32"/>
  <c r="O70" i="32"/>
  <c r="N71" i="32"/>
  <c r="O71" i="32"/>
  <c r="N72" i="32"/>
  <c r="O72" i="32"/>
  <c r="N73" i="32"/>
  <c r="O73" i="32"/>
  <c r="N74" i="32"/>
  <c r="O74" i="32"/>
  <c r="N75" i="32"/>
  <c r="O75" i="32"/>
  <c r="N76" i="32"/>
  <c r="O76" i="32"/>
  <c r="N77" i="32"/>
  <c r="O77" i="32"/>
  <c r="N78" i="32"/>
  <c r="O78" i="32"/>
  <c r="N79" i="32"/>
  <c r="O79" i="32"/>
  <c r="N80" i="32"/>
  <c r="O80" i="32"/>
  <c r="N81" i="32"/>
  <c r="O81" i="32"/>
  <c r="N82" i="32"/>
  <c r="O82" i="32"/>
  <c r="N83" i="32"/>
  <c r="O83" i="32"/>
  <c r="N84" i="32"/>
  <c r="O84" i="32"/>
  <c r="N85" i="32"/>
  <c r="O85" i="32"/>
  <c r="N86" i="32"/>
  <c r="O86" i="32"/>
  <c r="N87" i="32"/>
  <c r="O87" i="32"/>
  <c r="N88" i="32"/>
  <c r="O88" i="32"/>
  <c r="N89" i="32"/>
  <c r="O89" i="32"/>
  <c r="N90" i="32"/>
  <c r="O90" i="32"/>
  <c r="N91" i="32"/>
  <c r="O91" i="32"/>
  <c r="N92" i="32"/>
  <c r="O92" i="32"/>
  <c r="N93" i="32"/>
  <c r="O93" i="32"/>
  <c r="N94" i="32"/>
  <c r="O94" i="32"/>
  <c r="N95" i="32"/>
  <c r="O95" i="32"/>
  <c r="N96" i="32"/>
  <c r="O96" i="32"/>
  <c r="N97" i="32"/>
  <c r="O97" i="32"/>
  <c r="N98" i="32"/>
  <c r="O98" i="32"/>
  <c r="N99" i="32"/>
  <c r="O99" i="32"/>
  <c r="N100" i="32"/>
  <c r="O100" i="32"/>
  <c r="N101" i="32"/>
  <c r="O101" i="32"/>
  <c r="N102" i="32"/>
  <c r="O102" i="32"/>
  <c r="N103" i="32"/>
  <c r="O103" i="32"/>
  <c r="N104" i="32"/>
  <c r="O104" i="32"/>
  <c r="N105" i="32"/>
  <c r="O105" i="32"/>
  <c r="N106" i="32"/>
  <c r="O106" i="32"/>
  <c r="N107" i="32"/>
  <c r="O107" i="32"/>
  <c r="N108" i="32"/>
  <c r="O108" i="32"/>
  <c r="N109" i="32"/>
  <c r="O109" i="32"/>
  <c r="N110" i="32"/>
  <c r="O110" i="32"/>
  <c r="N111" i="32"/>
  <c r="O111" i="32"/>
  <c r="N112" i="32"/>
  <c r="O112" i="32"/>
  <c r="N113" i="32"/>
  <c r="O113" i="32"/>
  <c r="N114" i="32"/>
  <c r="O114" i="32"/>
  <c r="N115" i="32"/>
  <c r="O115" i="32"/>
  <c r="N116" i="32"/>
  <c r="O116" i="32"/>
  <c r="N117" i="32"/>
  <c r="O117" i="32"/>
  <c r="N118" i="32"/>
  <c r="O118" i="32"/>
  <c r="N119" i="32"/>
  <c r="O119" i="32"/>
  <c r="N120" i="32"/>
  <c r="O120" i="32"/>
  <c r="N121" i="32"/>
  <c r="O121" i="32"/>
  <c r="N122" i="32"/>
  <c r="O122" i="32"/>
  <c r="N123" i="32"/>
  <c r="O123" i="32"/>
  <c r="N124" i="32"/>
  <c r="O124" i="32"/>
  <c r="N125" i="32"/>
  <c r="O125" i="32"/>
  <c r="N126" i="32"/>
  <c r="O126" i="32"/>
  <c r="N127" i="32"/>
  <c r="O127" i="32"/>
  <c r="N128" i="32"/>
  <c r="O128" i="32"/>
  <c r="N129" i="32"/>
  <c r="O129" i="32"/>
  <c r="N130" i="32"/>
  <c r="O130" i="32"/>
  <c r="N131" i="32"/>
  <c r="O131" i="32"/>
  <c r="N132" i="32"/>
  <c r="O132" i="32"/>
  <c r="N133" i="32"/>
  <c r="O133" i="32"/>
  <c r="N134" i="32"/>
  <c r="O134" i="32"/>
  <c r="N135" i="32"/>
  <c r="O135" i="32"/>
  <c r="N136" i="32"/>
  <c r="O136" i="32"/>
  <c r="N137" i="32"/>
  <c r="O137" i="32"/>
  <c r="N138" i="32"/>
  <c r="O138" i="32"/>
  <c r="N139" i="32"/>
  <c r="O139" i="32"/>
  <c r="N140" i="32"/>
  <c r="O140" i="32"/>
  <c r="N141" i="32"/>
  <c r="O141" i="32"/>
  <c r="N142" i="32"/>
  <c r="O142" i="32"/>
  <c r="N143" i="32"/>
  <c r="O143" i="32"/>
  <c r="N144" i="32"/>
  <c r="O144" i="32"/>
  <c r="N145" i="32"/>
  <c r="O145" i="32"/>
  <c r="N146" i="32"/>
  <c r="O146" i="32"/>
  <c r="N147" i="32"/>
  <c r="O147" i="32"/>
  <c r="N148" i="32"/>
  <c r="O148" i="32"/>
  <c r="N149" i="32"/>
  <c r="O149" i="32"/>
  <c r="N150" i="32"/>
  <c r="O150" i="32"/>
  <c r="N151" i="32"/>
  <c r="O151" i="32"/>
  <c r="N152" i="32"/>
  <c r="O152" i="32"/>
  <c r="N153" i="32"/>
  <c r="O153" i="32"/>
  <c r="N154" i="32"/>
  <c r="O154" i="32"/>
  <c r="N155" i="32"/>
  <c r="O155" i="32"/>
  <c r="N156" i="32"/>
  <c r="O156" i="32"/>
  <c r="N157" i="32"/>
  <c r="O157" i="32"/>
  <c r="N158" i="32"/>
  <c r="O158" i="32"/>
  <c r="N159" i="32"/>
  <c r="O159" i="32"/>
  <c r="N160" i="32"/>
  <c r="O160" i="32"/>
  <c r="N161" i="32"/>
  <c r="O161" i="32"/>
  <c r="N162" i="32"/>
  <c r="O162" i="32"/>
  <c r="N163" i="32"/>
  <c r="O163" i="32"/>
  <c r="N164" i="32"/>
  <c r="O164" i="32"/>
  <c r="N165" i="32"/>
  <c r="O165" i="32"/>
  <c r="N166" i="32"/>
  <c r="O166" i="32"/>
  <c r="N167" i="32"/>
  <c r="O167" i="32"/>
  <c r="N168" i="32"/>
  <c r="O168" i="32"/>
  <c r="N169" i="32"/>
  <c r="O169" i="32"/>
  <c r="N170" i="32"/>
  <c r="O170" i="32"/>
  <c r="N171" i="32"/>
  <c r="O171" i="32"/>
  <c r="N172" i="32"/>
  <c r="O172" i="32"/>
  <c r="N173" i="32"/>
  <c r="O173" i="32"/>
  <c r="N174" i="32"/>
  <c r="O174" i="32"/>
  <c r="N175" i="32"/>
  <c r="O175" i="32"/>
  <c r="N176" i="32"/>
  <c r="O176" i="32"/>
  <c r="N177" i="32"/>
  <c r="O177" i="32"/>
  <c r="N178" i="32"/>
  <c r="O178" i="32"/>
  <c r="N179" i="32"/>
  <c r="O179" i="32"/>
  <c r="N180" i="32"/>
  <c r="O180" i="32"/>
  <c r="N181" i="32"/>
  <c r="O181" i="32"/>
  <c r="N182" i="32"/>
  <c r="O182" i="32"/>
  <c r="N183" i="32"/>
  <c r="O183" i="32"/>
  <c r="N184" i="32"/>
  <c r="O184" i="32"/>
  <c r="N185" i="32"/>
  <c r="O185" i="32"/>
  <c r="N186" i="32"/>
  <c r="O186" i="32"/>
  <c r="N187" i="32"/>
  <c r="O187" i="32"/>
  <c r="N188" i="32"/>
  <c r="O188" i="32"/>
  <c r="N189" i="32"/>
  <c r="O189" i="32"/>
  <c r="N190" i="32"/>
  <c r="O190" i="32"/>
  <c r="N191" i="32"/>
  <c r="O191" i="32"/>
  <c r="N192" i="32"/>
  <c r="O192" i="32"/>
  <c r="N193" i="32"/>
  <c r="O193" i="32"/>
  <c r="N194" i="32"/>
  <c r="O194" i="32"/>
  <c r="N195" i="32"/>
  <c r="O195" i="32"/>
  <c r="N196" i="32"/>
  <c r="O196" i="32"/>
  <c r="N197" i="32"/>
  <c r="O197" i="32"/>
  <c r="N198" i="32"/>
  <c r="O198" i="32"/>
  <c r="N199" i="32"/>
  <c r="O199" i="32"/>
  <c r="N200" i="32"/>
  <c r="O200" i="32"/>
  <c r="N201" i="32"/>
  <c r="O201" i="32"/>
  <c r="N202" i="32"/>
  <c r="O202" i="32"/>
  <c r="N203" i="32"/>
  <c r="O203" i="32"/>
  <c r="N204" i="32"/>
  <c r="O204" i="32"/>
  <c r="N205" i="32"/>
  <c r="O205" i="32"/>
  <c r="N206" i="32"/>
  <c r="O206" i="32"/>
  <c r="N207" i="32"/>
  <c r="O207" i="32"/>
  <c r="N208" i="32"/>
  <c r="O208" i="32"/>
  <c r="N209" i="32"/>
  <c r="O209" i="32"/>
  <c r="N210" i="32"/>
  <c r="O210" i="32"/>
  <c r="N211" i="32"/>
  <c r="O211" i="32"/>
  <c r="N212" i="32"/>
  <c r="O212" i="32"/>
  <c r="N213" i="32"/>
  <c r="O213" i="32"/>
  <c r="N214" i="32"/>
  <c r="O214" i="32"/>
  <c r="N215" i="32"/>
  <c r="O215" i="32"/>
  <c r="N216" i="32"/>
  <c r="O216" i="32"/>
  <c r="N217" i="32"/>
  <c r="O217" i="32"/>
  <c r="N218" i="32"/>
  <c r="O218" i="32"/>
  <c r="N219" i="32"/>
  <c r="O219" i="32"/>
  <c r="N220" i="32"/>
  <c r="O220" i="32"/>
  <c r="N221" i="32"/>
  <c r="O221" i="32"/>
  <c r="N222" i="32"/>
  <c r="O222" i="32"/>
  <c r="N223" i="32"/>
  <c r="O223" i="32"/>
  <c r="N224" i="32"/>
  <c r="O224" i="32"/>
  <c r="N225" i="32"/>
  <c r="O225" i="32"/>
  <c r="N226" i="32"/>
  <c r="O226" i="32"/>
  <c r="N227" i="32"/>
  <c r="O227" i="32"/>
  <c r="N228" i="32"/>
  <c r="O228" i="32"/>
  <c r="N229" i="32"/>
  <c r="O229" i="32"/>
  <c r="N230" i="32"/>
  <c r="O230" i="32"/>
  <c r="N231" i="32"/>
  <c r="O231" i="32"/>
  <c r="N232" i="32"/>
  <c r="O232" i="32"/>
  <c r="N233" i="32"/>
  <c r="O233" i="32"/>
  <c r="N234" i="32"/>
  <c r="O234" i="32"/>
  <c r="N235" i="32"/>
  <c r="O235" i="32"/>
  <c r="N236" i="32"/>
  <c r="O236" i="32"/>
  <c r="N237" i="32"/>
  <c r="O237" i="32"/>
  <c r="N238" i="32"/>
  <c r="O238" i="32"/>
  <c r="N239" i="32"/>
  <c r="O239" i="32"/>
  <c r="N240" i="32"/>
  <c r="O240" i="32"/>
  <c r="N241" i="32"/>
  <c r="O241" i="32"/>
  <c r="N242" i="32"/>
  <c r="O242" i="32"/>
  <c r="N243" i="32"/>
  <c r="O243" i="32"/>
  <c r="N244" i="32"/>
  <c r="O244" i="32"/>
  <c r="N245" i="32"/>
  <c r="O245" i="32"/>
  <c r="N246" i="32"/>
  <c r="O246" i="32"/>
  <c r="N247" i="32"/>
  <c r="O247" i="32"/>
  <c r="N248" i="32"/>
  <c r="O248" i="32"/>
  <c r="N249" i="32"/>
  <c r="O249" i="32"/>
  <c r="N250" i="32"/>
  <c r="O250" i="32"/>
  <c r="N251" i="32"/>
  <c r="O251" i="32"/>
  <c r="N252" i="32"/>
  <c r="O252" i="32"/>
  <c r="N253" i="32"/>
  <c r="O253" i="32"/>
  <c r="N254" i="32"/>
  <c r="O254" i="32"/>
  <c r="N255" i="32"/>
  <c r="O255" i="32"/>
  <c r="N256" i="32"/>
  <c r="O256" i="32"/>
  <c r="N257" i="32"/>
  <c r="O257" i="32"/>
  <c r="N258" i="32"/>
  <c r="O258" i="32"/>
  <c r="N259" i="32"/>
  <c r="O259" i="32"/>
  <c r="N260" i="32"/>
  <c r="O260" i="32"/>
  <c r="N261" i="32"/>
  <c r="O261" i="32"/>
  <c r="N262" i="32"/>
  <c r="O262" i="32"/>
  <c r="N263" i="32"/>
  <c r="O263" i="32"/>
  <c r="N264" i="32"/>
  <c r="O264" i="32"/>
  <c r="N265" i="32"/>
  <c r="O265" i="32"/>
  <c r="N266" i="32"/>
  <c r="O266" i="32"/>
  <c r="N267" i="32"/>
  <c r="O267" i="32"/>
  <c r="N268" i="32"/>
  <c r="O268" i="32"/>
  <c r="N269" i="32"/>
  <c r="O269" i="32"/>
  <c r="N270" i="32"/>
  <c r="O270" i="32"/>
  <c r="N271" i="32"/>
  <c r="O271" i="32"/>
  <c r="N272" i="32"/>
  <c r="O272" i="32"/>
  <c r="N273" i="32"/>
  <c r="O273" i="32"/>
  <c r="N274" i="32"/>
  <c r="O274" i="32"/>
  <c r="N275" i="32"/>
  <c r="O275" i="32"/>
  <c r="N276" i="32"/>
  <c r="O276" i="32"/>
  <c r="N277" i="32"/>
  <c r="O277" i="32"/>
  <c r="N278" i="32"/>
  <c r="O278" i="32"/>
  <c r="N279" i="32"/>
  <c r="O279" i="32"/>
  <c r="N280" i="32"/>
  <c r="O280" i="32"/>
  <c r="N281" i="32"/>
  <c r="O281" i="32"/>
  <c r="N282" i="32"/>
  <c r="O282" i="32"/>
  <c r="N283" i="32"/>
  <c r="O283" i="32"/>
  <c r="N284" i="32"/>
  <c r="O284" i="32"/>
  <c r="N285" i="32"/>
  <c r="O285" i="32"/>
  <c r="N286" i="32"/>
  <c r="O286" i="32"/>
  <c r="N287" i="32"/>
  <c r="O287" i="32"/>
  <c r="N288" i="32"/>
  <c r="O288" i="32"/>
  <c r="N289" i="32"/>
  <c r="O289" i="32"/>
  <c r="N290" i="32"/>
  <c r="O290" i="32"/>
  <c r="N291" i="32"/>
  <c r="O291" i="32"/>
  <c r="N292" i="32"/>
  <c r="O292" i="32"/>
  <c r="N293" i="32"/>
  <c r="O293" i="32"/>
  <c r="N294" i="32"/>
  <c r="O294" i="32"/>
  <c r="N295" i="32"/>
  <c r="O295" i="32"/>
  <c r="N296" i="32"/>
  <c r="O296" i="32"/>
  <c r="N297" i="32"/>
  <c r="O297" i="32"/>
  <c r="N298" i="32"/>
  <c r="O298" i="32"/>
  <c r="N299" i="32"/>
  <c r="O299" i="32"/>
  <c r="N300" i="32"/>
  <c r="O300" i="32"/>
  <c r="N301" i="32"/>
  <c r="O301" i="32"/>
  <c r="N302" i="32"/>
  <c r="O302" i="32"/>
  <c r="N303" i="32"/>
  <c r="O303" i="32"/>
  <c r="N304" i="32"/>
  <c r="O304" i="32"/>
  <c r="N305" i="32"/>
  <c r="O305" i="32"/>
  <c r="N306" i="32"/>
  <c r="O306" i="32"/>
  <c r="N307" i="32"/>
  <c r="O307" i="32"/>
  <c r="N308" i="32"/>
  <c r="O308" i="32"/>
  <c r="N309" i="32"/>
  <c r="O309" i="32"/>
  <c r="N310" i="32"/>
  <c r="O310" i="32"/>
  <c r="N311" i="32"/>
  <c r="O311" i="32"/>
  <c r="N312" i="32"/>
  <c r="O312" i="32"/>
  <c r="N313" i="32"/>
  <c r="O313" i="32"/>
  <c r="N314" i="32"/>
  <c r="O314" i="32"/>
  <c r="N315" i="32"/>
  <c r="O315" i="32"/>
  <c r="N316" i="32"/>
  <c r="O316" i="32"/>
  <c r="N317" i="32"/>
  <c r="O317" i="32"/>
  <c r="N318" i="32"/>
  <c r="O318" i="32"/>
  <c r="N319" i="32"/>
  <c r="O319" i="32"/>
  <c r="N320" i="32"/>
  <c r="O320" i="32"/>
  <c r="N321" i="32"/>
  <c r="O321" i="32"/>
  <c r="N322" i="32"/>
  <c r="O322" i="32"/>
  <c r="N323" i="32"/>
  <c r="O323" i="32"/>
  <c r="N324" i="32"/>
  <c r="O324" i="32"/>
  <c r="N325" i="32"/>
  <c r="O325" i="32"/>
  <c r="N326" i="32"/>
  <c r="O326" i="32"/>
  <c r="N327" i="32"/>
  <c r="O327" i="32"/>
  <c r="N328" i="32"/>
  <c r="O328" i="32"/>
  <c r="N329" i="32"/>
  <c r="O329" i="32"/>
  <c r="N330" i="32"/>
  <c r="O330" i="32"/>
  <c r="N331" i="32"/>
  <c r="O331" i="32"/>
  <c r="N332" i="32"/>
  <c r="O332" i="32"/>
  <c r="N333" i="32"/>
  <c r="O333" i="32"/>
  <c r="N334" i="32"/>
  <c r="O334" i="32"/>
  <c r="N335" i="32"/>
  <c r="O335" i="32"/>
  <c r="N336" i="32"/>
  <c r="O336" i="32"/>
  <c r="N337" i="32"/>
  <c r="O337" i="32"/>
  <c r="N338" i="32"/>
  <c r="O338" i="32"/>
  <c r="N339" i="32"/>
  <c r="O339" i="32"/>
  <c r="N340" i="32"/>
  <c r="O340" i="32"/>
  <c r="N341" i="32"/>
  <c r="O341" i="32"/>
  <c r="N342" i="32"/>
  <c r="O342" i="32"/>
  <c r="N343" i="32"/>
  <c r="O343" i="32"/>
  <c r="N344" i="32"/>
  <c r="O344" i="32"/>
  <c r="N345" i="32"/>
  <c r="O345" i="32"/>
  <c r="N346" i="32"/>
  <c r="O346" i="32"/>
  <c r="N347" i="32"/>
  <c r="O347" i="32"/>
  <c r="N348" i="32"/>
  <c r="O348" i="32"/>
  <c r="N349" i="32"/>
  <c r="O349" i="32"/>
  <c r="N350" i="32"/>
  <c r="O350" i="32"/>
  <c r="N351" i="32"/>
  <c r="O351" i="32"/>
  <c r="N352" i="32"/>
  <c r="O352" i="32"/>
  <c r="N353" i="32"/>
  <c r="O353" i="32"/>
  <c r="N354" i="32"/>
  <c r="O354" i="32"/>
  <c r="N355" i="32"/>
  <c r="O355" i="32"/>
  <c r="N356" i="32"/>
  <c r="O356" i="32"/>
  <c r="N357" i="32"/>
  <c r="O357" i="32"/>
  <c r="N358" i="32"/>
  <c r="O358" i="32"/>
  <c r="N359" i="32"/>
  <c r="O359" i="32"/>
  <c r="N360" i="32"/>
  <c r="O360" i="32"/>
  <c r="N361" i="32"/>
  <c r="O361" i="32"/>
  <c r="N362" i="32"/>
  <c r="O362" i="32"/>
  <c r="N363" i="32"/>
  <c r="O363" i="32"/>
  <c r="N364" i="32"/>
  <c r="O364" i="32"/>
  <c r="N365" i="32"/>
  <c r="O365" i="32"/>
  <c r="N366" i="32"/>
  <c r="O366" i="32"/>
  <c r="N367" i="32"/>
  <c r="O367" i="32"/>
  <c r="N368" i="32"/>
  <c r="O368" i="32"/>
  <c r="N369" i="32"/>
  <c r="O369" i="32"/>
  <c r="N370" i="32"/>
  <c r="O370" i="32"/>
  <c r="N371" i="32"/>
  <c r="O371" i="32"/>
  <c r="N372" i="32"/>
  <c r="O372" i="32"/>
  <c r="N373" i="32"/>
  <c r="O373" i="32"/>
  <c r="N374" i="32"/>
  <c r="O374" i="32"/>
  <c r="N375" i="32"/>
  <c r="O375" i="32"/>
  <c r="N376" i="32"/>
  <c r="O376" i="32"/>
  <c r="N377" i="32"/>
  <c r="O377" i="32"/>
  <c r="N378" i="32"/>
  <c r="O378" i="32"/>
  <c r="N379" i="32"/>
  <c r="O379" i="32"/>
  <c r="N380" i="32"/>
  <c r="O380" i="32"/>
  <c r="N381" i="32"/>
  <c r="O381" i="32"/>
  <c r="N382" i="32"/>
  <c r="O382" i="32"/>
  <c r="N383" i="32"/>
  <c r="O383" i="32"/>
  <c r="N384" i="32"/>
  <c r="O384" i="32"/>
  <c r="N385" i="32"/>
  <c r="O385" i="32"/>
  <c r="N386" i="32"/>
  <c r="O386" i="32"/>
  <c r="N387" i="32"/>
  <c r="O387" i="32"/>
  <c r="N388" i="32"/>
  <c r="O388" i="32"/>
  <c r="N389" i="32"/>
  <c r="O389" i="32"/>
  <c r="N390" i="32"/>
  <c r="O390" i="32"/>
  <c r="N391" i="32"/>
  <c r="O391" i="32"/>
  <c r="N392" i="32"/>
  <c r="O392" i="32"/>
  <c r="N393" i="32"/>
  <c r="O393" i="32"/>
  <c r="N394" i="32"/>
  <c r="O394" i="32"/>
  <c r="N395" i="32"/>
  <c r="O395" i="32"/>
  <c r="N396" i="32"/>
  <c r="O396" i="32"/>
  <c r="N397" i="32"/>
  <c r="O397" i="32"/>
  <c r="N398" i="32"/>
  <c r="O398" i="32"/>
  <c r="N399" i="32"/>
  <c r="O399" i="32"/>
  <c r="N400" i="32"/>
  <c r="O400" i="32"/>
  <c r="N401" i="32"/>
  <c r="O401" i="32"/>
  <c r="N402" i="32"/>
  <c r="O402" i="32"/>
  <c r="N403" i="32"/>
  <c r="O403" i="32"/>
  <c r="N404" i="32"/>
  <c r="O404" i="32"/>
  <c r="N405" i="32"/>
  <c r="O405" i="32"/>
  <c r="N406" i="32"/>
  <c r="O406" i="32"/>
  <c r="N407" i="32"/>
  <c r="O407" i="32"/>
  <c r="N408" i="32"/>
  <c r="O408" i="32"/>
  <c r="N409" i="32"/>
  <c r="O409" i="32"/>
  <c r="N410" i="32"/>
  <c r="O410" i="32"/>
  <c r="N411" i="32"/>
  <c r="O411" i="32"/>
  <c r="N412" i="32"/>
  <c r="O412" i="32"/>
  <c r="N413" i="32"/>
  <c r="O413" i="32"/>
  <c r="N414" i="32"/>
  <c r="O414" i="32"/>
  <c r="N415" i="32"/>
  <c r="O415" i="32"/>
  <c r="N416" i="32"/>
  <c r="O416" i="32"/>
  <c r="N417" i="32"/>
  <c r="O417" i="32"/>
  <c r="N418" i="32"/>
  <c r="O418" i="32"/>
  <c r="N419" i="32"/>
  <c r="O419" i="32"/>
  <c r="N420" i="32"/>
  <c r="O420" i="32"/>
  <c r="N421" i="32"/>
  <c r="O421" i="32"/>
  <c r="N422" i="32"/>
  <c r="O422" i="32"/>
  <c r="N423" i="32"/>
  <c r="O423" i="32"/>
  <c r="N424" i="32"/>
  <c r="O424" i="32"/>
  <c r="N425" i="32"/>
  <c r="O425" i="32"/>
  <c r="N426" i="32"/>
  <c r="O426" i="32"/>
  <c r="N427" i="32"/>
  <c r="O427" i="32"/>
  <c r="O4" i="32"/>
  <c r="N4" i="32"/>
  <c r="H5" i="32"/>
  <c r="H4" i="32"/>
  <c r="H6" i="32"/>
  <c r="H7" i="32"/>
  <c r="H8" i="32"/>
  <c r="H9" i="32"/>
  <c r="H10" i="32"/>
  <c r="H11" i="32"/>
  <c r="H12" i="32"/>
  <c r="H13" i="32"/>
  <c r="H14" i="32"/>
  <c r="H15" i="32"/>
  <c r="H16" i="32"/>
  <c r="H17" i="32"/>
  <c r="H18" i="32"/>
  <c r="H19" i="32"/>
  <c r="H20" i="32"/>
  <c r="H21" i="32"/>
  <c r="H22" i="32"/>
  <c r="H23" i="32"/>
  <c r="H24" i="32"/>
  <c r="H25" i="32"/>
  <c r="H26" i="32"/>
  <c r="H27" i="32"/>
  <c r="H28" i="32"/>
  <c r="H29" i="32"/>
  <c r="H30" i="32"/>
  <c r="H31" i="32"/>
  <c r="H32" i="32"/>
  <c r="H33" i="32"/>
  <c r="H34" i="32"/>
  <c r="H35" i="32"/>
  <c r="H36" i="32"/>
  <c r="H37" i="32"/>
  <c r="H38" i="32"/>
  <c r="H39" i="32"/>
  <c r="H40" i="32"/>
  <c r="H41" i="32"/>
  <c r="H42" i="32"/>
  <c r="H43" i="32"/>
  <c r="H44" i="32"/>
  <c r="H45" i="32"/>
  <c r="H46" i="32"/>
  <c r="H47" i="32"/>
  <c r="H48" i="32"/>
  <c r="H49" i="32"/>
  <c r="H50" i="32"/>
  <c r="H51" i="32"/>
  <c r="H52" i="32"/>
  <c r="H53" i="32"/>
  <c r="H54" i="32"/>
  <c r="H55" i="32"/>
  <c r="H56" i="32"/>
  <c r="H57" i="32"/>
  <c r="H58" i="32"/>
  <c r="H59" i="32"/>
  <c r="H60" i="32"/>
  <c r="H61" i="32"/>
  <c r="H62" i="32"/>
  <c r="H63" i="32"/>
  <c r="H64" i="32"/>
  <c r="H65" i="32"/>
  <c r="H66" i="32"/>
  <c r="H67" i="32"/>
  <c r="H68" i="32"/>
  <c r="H69" i="32"/>
  <c r="H70" i="32"/>
  <c r="H71" i="32"/>
  <c r="H72" i="32"/>
  <c r="H73" i="32"/>
  <c r="H74" i="32"/>
  <c r="H75" i="32"/>
  <c r="H76" i="32"/>
  <c r="H77" i="32"/>
  <c r="H78" i="32"/>
  <c r="H79" i="32"/>
  <c r="H80" i="32"/>
  <c r="H81" i="32"/>
  <c r="H82" i="32"/>
  <c r="H83" i="32"/>
  <c r="H84" i="32"/>
  <c r="H85" i="32"/>
  <c r="H86" i="32"/>
  <c r="H87" i="32"/>
  <c r="H88" i="32"/>
  <c r="H89" i="32"/>
  <c r="H90" i="32"/>
  <c r="H91" i="32"/>
  <c r="H92" i="32"/>
  <c r="H93" i="32"/>
  <c r="H94" i="32"/>
  <c r="H95" i="32"/>
  <c r="H96" i="32"/>
  <c r="H97" i="32"/>
  <c r="H98" i="32"/>
  <c r="H99" i="32"/>
  <c r="H100" i="32"/>
  <c r="H101" i="32"/>
  <c r="H102" i="32"/>
  <c r="H103" i="32"/>
  <c r="H104" i="32"/>
  <c r="H105" i="32"/>
  <c r="H106" i="32"/>
  <c r="H107" i="32"/>
  <c r="H108" i="32"/>
  <c r="H109" i="32"/>
  <c r="H110" i="32"/>
  <c r="H111" i="32"/>
  <c r="H112" i="32"/>
  <c r="H113" i="32"/>
  <c r="H114" i="32"/>
  <c r="H115" i="32"/>
  <c r="H116" i="32"/>
  <c r="H117" i="32"/>
  <c r="H118" i="32"/>
  <c r="H119" i="32"/>
  <c r="H120" i="32"/>
  <c r="H121" i="32"/>
  <c r="H122" i="32"/>
  <c r="H123" i="32"/>
  <c r="H124" i="32"/>
  <c r="H125" i="32"/>
  <c r="H126" i="32"/>
  <c r="H127" i="32"/>
  <c r="H128" i="32"/>
  <c r="H129" i="32"/>
  <c r="H130" i="32"/>
  <c r="H131" i="32"/>
  <c r="H132" i="32"/>
  <c r="H133" i="32"/>
  <c r="H134" i="32"/>
  <c r="H135" i="32"/>
  <c r="H136" i="32"/>
  <c r="H137" i="32"/>
  <c r="H138" i="32"/>
  <c r="H139" i="32"/>
  <c r="H140" i="32"/>
  <c r="H141" i="32"/>
  <c r="H142" i="32"/>
  <c r="H143" i="32"/>
  <c r="H144" i="32"/>
  <c r="H145" i="32"/>
  <c r="H146" i="32"/>
  <c r="H147" i="32"/>
  <c r="H148" i="32"/>
  <c r="H149" i="32"/>
  <c r="H150" i="32"/>
  <c r="H151" i="32"/>
  <c r="H152" i="32"/>
  <c r="H153" i="32"/>
  <c r="H154" i="32"/>
  <c r="H155" i="32"/>
  <c r="H156" i="32"/>
  <c r="H157" i="32"/>
  <c r="H158" i="32"/>
  <c r="H159" i="32"/>
  <c r="H160" i="32"/>
  <c r="H161" i="32"/>
  <c r="H162" i="32"/>
  <c r="H163" i="32"/>
  <c r="H164" i="32"/>
  <c r="H165" i="32"/>
  <c r="H166" i="32"/>
  <c r="H167" i="32"/>
  <c r="H168" i="32"/>
  <c r="H169" i="32"/>
  <c r="H170" i="32"/>
  <c r="H171" i="32"/>
  <c r="H172" i="32"/>
  <c r="H173" i="32"/>
  <c r="H174" i="32"/>
  <c r="H175" i="32"/>
  <c r="H176" i="32"/>
  <c r="H177" i="32"/>
  <c r="H178" i="32"/>
  <c r="H179" i="32"/>
  <c r="H180" i="32"/>
  <c r="H181" i="32"/>
  <c r="H182" i="32"/>
  <c r="H183" i="32"/>
  <c r="H184" i="32"/>
  <c r="H185" i="32"/>
  <c r="H186" i="32"/>
  <c r="H187" i="32"/>
  <c r="H188" i="32"/>
  <c r="H189" i="32"/>
  <c r="H190" i="32"/>
  <c r="H191" i="32"/>
  <c r="H192" i="32"/>
  <c r="H193" i="32"/>
  <c r="H194" i="32"/>
  <c r="H195" i="32"/>
  <c r="H196" i="32"/>
  <c r="H197" i="32"/>
  <c r="H198" i="32"/>
  <c r="H199" i="32"/>
  <c r="H200" i="32"/>
  <c r="H201" i="32"/>
  <c r="H202" i="32"/>
  <c r="H203" i="32"/>
  <c r="H204" i="32"/>
  <c r="H205" i="32"/>
  <c r="H206" i="32"/>
  <c r="H207" i="32"/>
  <c r="H208" i="32"/>
  <c r="H209" i="32"/>
  <c r="H210" i="32"/>
  <c r="H211" i="32"/>
  <c r="H212" i="32"/>
  <c r="H213" i="32"/>
  <c r="H214" i="32"/>
  <c r="H215" i="32"/>
  <c r="H216" i="32"/>
  <c r="H217" i="32"/>
  <c r="H218" i="32"/>
  <c r="H219" i="32"/>
  <c r="H220" i="32"/>
  <c r="H221" i="32"/>
  <c r="H222" i="32"/>
  <c r="H223" i="32"/>
  <c r="H224" i="32"/>
  <c r="H225" i="32"/>
  <c r="H226" i="32"/>
  <c r="H227" i="32"/>
  <c r="H228" i="32"/>
  <c r="H229" i="32"/>
  <c r="H230" i="32"/>
  <c r="H231" i="32"/>
  <c r="H232" i="32"/>
  <c r="H233" i="32"/>
  <c r="H234" i="32"/>
  <c r="H235" i="32"/>
  <c r="H236" i="32"/>
  <c r="H237" i="32"/>
  <c r="H238" i="32"/>
  <c r="H239" i="32"/>
  <c r="H240" i="32"/>
  <c r="H241" i="32"/>
  <c r="H242" i="32"/>
  <c r="H243" i="32"/>
  <c r="J682" i="25"/>
  <c r="I316" i="37"/>
  <c r="H244" i="32"/>
  <c r="H245" i="32"/>
  <c r="H246" i="32"/>
  <c r="H247" i="32"/>
  <c r="H248" i="32"/>
  <c r="H249" i="32"/>
  <c r="H250" i="32"/>
  <c r="H251" i="32"/>
  <c r="H252" i="32"/>
  <c r="H253" i="32"/>
  <c r="H254" i="32"/>
  <c r="H255" i="32"/>
  <c r="H256" i="32"/>
  <c r="H257" i="32"/>
  <c r="H258" i="32"/>
  <c r="H259" i="32"/>
  <c r="H260" i="32"/>
  <c r="H261" i="32"/>
  <c r="H262" i="32"/>
  <c r="H263" i="32"/>
  <c r="H264" i="32"/>
  <c r="H265" i="32"/>
  <c r="H266" i="32"/>
  <c r="H267" i="32"/>
  <c r="H268" i="32"/>
  <c r="H269" i="32"/>
  <c r="H270" i="32"/>
  <c r="H271" i="32"/>
  <c r="H272" i="32"/>
  <c r="H273" i="32"/>
  <c r="H274" i="32"/>
  <c r="H275" i="32"/>
  <c r="H276" i="32"/>
  <c r="H277" i="32"/>
  <c r="H278" i="32"/>
  <c r="H279" i="32"/>
  <c r="H280" i="32"/>
  <c r="H281" i="32"/>
  <c r="H282" i="32"/>
  <c r="H283" i="32"/>
  <c r="H284" i="32"/>
  <c r="H285" i="32"/>
  <c r="H286" i="32"/>
  <c r="H287" i="32"/>
  <c r="H288" i="32"/>
  <c r="H289" i="32"/>
  <c r="H290" i="32"/>
  <c r="H291" i="32"/>
  <c r="H292" i="32"/>
  <c r="H293" i="32"/>
  <c r="H294" i="32"/>
  <c r="H295" i="32"/>
  <c r="H296" i="32"/>
  <c r="H297" i="32"/>
  <c r="H298" i="32"/>
  <c r="H299" i="32"/>
  <c r="H300" i="32"/>
  <c r="H301" i="32"/>
  <c r="H302" i="32"/>
  <c r="H303" i="32"/>
  <c r="H304" i="32"/>
  <c r="H305" i="32"/>
  <c r="H306" i="32"/>
  <c r="H307" i="32"/>
  <c r="H308" i="32"/>
  <c r="H309" i="32"/>
  <c r="H310" i="32"/>
  <c r="H311" i="32"/>
  <c r="H312" i="32"/>
  <c r="H313" i="32"/>
  <c r="H314" i="32"/>
  <c r="H315" i="32"/>
  <c r="H316" i="32"/>
  <c r="H317" i="32"/>
  <c r="H318" i="32"/>
  <c r="H319" i="32"/>
  <c r="H320" i="32"/>
  <c r="H321" i="32"/>
  <c r="H322" i="32"/>
  <c r="H323" i="32"/>
  <c r="H324" i="32"/>
  <c r="H325" i="32"/>
  <c r="H326" i="32"/>
  <c r="H327" i="32"/>
  <c r="H328" i="32"/>
  <c r="H329" i="32"/>
  <c r="H330" i="32"/>
  <c r="H331" i="32"/>
  <c r="H332" i="32"/>
  <c r="H333" i="32"/>
  <c r="H334" i="32"/>
  <c r="H335" i="32"/>
  <c r="H336" i="32"/>
  <c r="H337" i="32"/>
  <c r="H338" i="32"/>
  <c r="H339" i="32"/>
  <c r="H340" i="32"/>
  <c r="H341" i="32"/>
  <c r="H342" i="32"/>
  <c r="H343" i="32"/>
  <c r="H344" i="32"/>
  <c r="H345" i="32"/>
  <c r="H346" i="32"/>
  <c r="H347" i="32"/>
  <c r="H348" i="32"/>
  <c r="H349" i="32"/>
  <c r="H350" i="32"/>
  <c r="H351" i="32"/>
  <c r="H352" i="32"/>
  <c r="H353" i="32"/>
  <c r="H354" i="32"/>
  <c r="H355" i="32"/>
  <c r="H356" i="32"/>
  <c r="H357" i="32"/>
  <c r="H358" i="32"/>
  <c r="H359" i="32"/>
  <c r="H360" i="32"/>
  <c r="H361" i="32"/>
  <c r="H362" i="32"/>
  <c r="H363" i="32"/>
  <c r="H364" i="32"/>
  <c r="H365" i="32"/>
  <c r="H366" i="32"/>
  <c r="H367" i="32"/>
  <c r="H368" i="32"/>
  <c r="H369" i="32"/>
  <c r="H370" i="32"/>
  <c r="H371" i="32"/>
  <c r="H372" i="32"/>
  <c r="H373" i="32"/>
  <c r="H374" i="32"/>
  <c r="H375" i="32"/>
  <c r="H376" i="32"/>
  <c r="H377" i="32"/>
  <c r="H378" i="32"/>
  <c r="H379" i="32"/>
  <c r="H380" i="32"/>
  <c r="H381" i="32"/>
  <c r="H382" i="32"/>
  <c r="H383" i="32"/>
  <c r="H384" i="32"/>
  <c r="H385" i="32"/>
  <c r="H386" i="32"/>
  <c r="H387" i="32"/>
  <c r="H388" i="32"/>
  <c r="H389" i="32"/>
  <c r="H390" i="32"/>
  <c r="H391" i="32"/>
  <c r="H392" i="32"/>
  <c r="H393" i="32"/>
  <c r="H394" i="32"/>
  <c r="H395" i="32"/>
  <c r="H396" i="32"/>
  <c r="H397" i="32"/>
  <c r="H398" i="32"/>
  <c r="H399" i="32"/>
  <c r="H400" i="32"/>
  <c r="H401" i="32"/>
  <c r="H402" i="32"/>
  <c r="H403" i="32"/>
  <c r="H404" i="32"/>
  <c r="H405" i="32"/>
  <c r="H406" i="32"/>
  <c r="H407" i="32"/>
  <c r="H408" i="32"/>
  <c r="H409" i="32"/>
  <c r="H410" i="32"/>
  <c r="H411" i="32"/>
  <c r="H412" i="32"/>
  <c r="H413" i="32"/>
  <c r="H414" i="32"/>
  <c r="H415" i="32"/>
  <c r="H416" i="32"/>
  <c r="H417" i="32"/>
  <c r="H418" i="32"/>
  <c r="H419" i="32"/>
  <c r="H420" i="32"/>
  <c r="H421" i="32"/>
  <c r="H422" i="32"/>
  <c r="H423" i="32"/>
  <c r="H424" i="32"/>
  <c r="H425" i="32"/>
  <c r="H426" i="32"/>
  <c r="H427" i="32"/>
  <c r="H428" i="32"/>
  <c r="H429" i="32"/>
  <c r="H430" i="32"/>
  <c r="H431" i="32"/>
  <c r="H432" i="32"/>
  <c r="H433" i="32"/>
  <c r="H434" i="32"/>
  <c r="H435" i="32"/>
  <c r="H436" i="32"/>
  <c r="H437" i="32"/>
  <c r="H438" i="32"/>
  <c r="H439" i="32"/>
  <c r="H440" i="32"/>
  <c r="H441" i="32"/>
  <c r="H442" i="32"/>
  <c r="H443" i="32"/>
  <c r="H444" i="32"/>
  <c r="H445" i="32"/>
  <c r="H446" i="32"/>
  <c r="H447" i="32"/>
  <c r="H448" i="32"/>
  <c r="H449" i="32"/>
  <c r="H450" i="32"/>
  <c r="H451" i="32"/>
  <c r="H452" i="32"/>
  <c r="H453" i="32"/>
  <c r="H454" i="32"/>
  <c r="J5" i="32"/>
  <c r="J4" i="32"/>
  <c r="J750" i="31"/>
  <c r="I384" i="40"/>
  <c r="J6" i="32"/>
  <c r="J7" i="32"/>
  <c r="J8" i="32"/>
  <c r="J9" i="32"/>
  <c r="J10" i="32"/>
  <c r="J11" i="32"/>
  <c r="J12" i="32"/>
  <c r="J13" i="32"/>
  <c r="J14" i="32"/>
  <c r="J15" i="32"/>
  <c r="J16" i="32"/>
  <c r="J17" i="32"/>
  <c r="J18" i="32"/>
  <c r="J19" i="32"/>
  <c r="J20" i="32"/>
  <c r="J21" i="32"/>
  <c r="J22" i="32"/>
  <c r="J23" i="32"/>
  <c r="J24" i="32"/>
  <c r="J25" i="32"/>
  <c r="J26" i="32"/>
  <c r="J27" i="32"/>
  <c r="J28" i="32"/>
  <c r="J29" i="32"/>
  <c r="J30" i="32"/>
  <c r="J31" i="32"/>
  <c r="J32" i="32"/>
  <c r="J33" i="32"/>
  <c r="J34" i="32"/>
  <c r="J35" i="32"/>
  <c r="J36" i="32"/>
  <c r="J37" i="32"/>
  <c r="J38" i="32"/>
  <c r="J39" i="32"/>
  <c r="J40" i="32"/>
  <c r="J41" i="32"/>
  <c r="J42" i="32"/>
  <c r="J43" i="32"/>
  <c r="J44" i="32"/>
  <c r="J45" i="32"/>
  <c r="J46" i="32"/>
  <c r="J47" i="32"/>
  <c r="J48" i="32"/>
  <c r="J49" i="32"/>
  <c r="J50" i="32"/>
  <c r="J51" i="32"/>
  <c r="J52" i="32"/>
  <c r="J53" i="32"/>
  <c r="J54" i="32"/>
  <c r="J55" i="32"/>
  <c r="J56" i="32"/>
  <c r="J57" i="32"/>
  <c r="J58" i="32"/>
  <c r="J59" i="32"/>
  <c r="J60" i="32"/>
  <c r="J61" i="32"/>
  <c r="J62" i="32"/>
  <c r="J63" i="32"/>
  <c r="J64" i="32"/>
  <c r="J65" i="32"/>
  <c r="J66" i="32"/>
  <c r="J67" i="32"/>
  <c r="J68" i="32"/>
  <c r="J69" i="32"/>
  <c r="J70" i="32"/>
  <c r="J71" i="32"/>
  <c r="J72" i="32"/>
  <c r="J73" i="32"/>
  <c r="J74" i="32"/>
  <c r="J75" i="32"/>
  <c r="J76" i="32"/>
  <c r="J77" i="32"/>
  <c r="J78" i="32"/>
  <c r="J79" i="32"/>
  <c r="J80" i="32"/>
  <c r="J81" i="32"/>
  <c r="J82" i="32"/>
  <c r="J83" i="32"/>
  <c r="J84" i="32"/>
  <c r="J85" i="32"/>
  <c r="J86" i="32"/>
  <c r="J87" i="32"/>
  <c r="J88" i="32"/>
  <c r="J89" i="32"/>
  <c r="J90" i="32"/>
  <c r="J91" i="32"/>
  <c r="J92" i="32"/>
  <c r="J93" i="32"/>
  <c r="J94" i="32"/>
  <c r="J95" i="32"/>
  <c r="J96" i="32"/>
  <c r="J97" i="32"/>
  <c r="J98" i="32"/>
  <c r="J99" i="32"/>
  <c r="J100" i="32"/>
  <c r="J101" i="32"/>
  <c r="J102" i="32"/>
  <c r="J103" i="32"/>
  <c r="J104" i="32"/>
  <c r="J105" i="32"/>
  <c r="J106" i="32"/>
  <c r="J107" i="32"/>
  <c r="J108" i="32"/>
  <c r="J109" i="32"/>
  <c r="J110" i="32"/>
  <c r="J111" i="32"/>
  <c r="J112" i="32"/>
  <c r="J113" i="32"/>
  <c r="J114" i="32"/>
  <c r="J115" i="32"/>
  <c r="J116" i="32"/>
  <c r="J117" i="32"/>
  <c r="J118" i="32"/>
  <c r="J119" i="32"/>
  <c r="J120" i="32"/>
  <c r="J121" i="32"/>
  <c r="J122" i="32"/>
  <c r="J123" i="32"/>
  <c r="J124" i="32"/>
  <c r="J125" i="32"/>
  <c r="J126" i="32"/>
  <c r="J127" i="32"/>
  <c r="J128" i="32"/>
  <c r="J129" i="32"/>
  <c r="J130" i="32"/>
  <c r="J131" i="32"/>
  <c r="J132" i="32"/>
  <c r="J133" i="32"/>
  <c r="J134" i="32"/>
  <c r="J135" i="32"/>
  <c r="J136" i="32"/>
  <c r="J137" i="32"/>
  <c r="J138" i="32"/>
  <c r="J139" i="32"/>
  <c r="J140" i="32"/>
  <c r="J141" i="32"/>
  <c r="J142" i="32"/>
  <c r="J143" i="32"/>
  <c r="J144" i="32"/>
  <c r="J145" i="32"/>
  <c r="J146" i="32"/>
  <c r="J147" i="32"/>
  <c r="J148" i="32"/>
  <c r="J149" i="32"/>
  <c r="J150" i="32"/>
  <c r="J151" i="32"/>
  <c r="J152" i="32"/>
  <c r="J153" i="32"/>
  <c r="J154" i="32"/>
  <c r="J155" i="32"/>
  <c r="J156" i="32"/>
  <c r="J157" i="32"/>
  <c r="J158" i="32"/>
  <c r="J159" i="32"/>
  <c r="J160" i="32"/>
  <c r="J161" i="32"/>
  <c r="J162" i="32"/>
  <c r="J163" i="32"/>
  <c r="J164" i="32"/>
  <c r="J165" i="32"/>
  <c r="J166" i="32"/>
  <c r="J167" i="32"/>
  <c r="J168" i="32"/>
  <c r="J169" i="32"/>
  <c r="J170" i="32"/>
  <c r="J171" i="32"/>
  <c r="J172" i="32"/>
  <c r="J173" i="32"/>
  <c r="J174" i="32"/>
  <c r="J175" i="32"/>
  <c r="J176" i="32"/>
  <c r="J177" i="32"/>
  <c r="J178" i="32"/>
  <c r="J179" i="32"/>
  <c r="J180" i="32"/>
  <c r="J181" i="32"/>
  <c r="J182" i="32"/>
  <c r="J183" i="32"/>
  <c r="J184" i="32"/>
  <c r="J185" i="32"/>
  <c r="J186" i="32"/>
  <c r="J187" i="32"/>
  <c r="J188" i="32"/>
  <c r="J189" i="32"/>
  <c r="J190" i="32"/>
  <c r="J191" i="32"/>
  <c r="J192" i="32"/>
  <c r="J193" i="32"/>
  <c r="J194" i="32"/>
  <c r="J195" i="32"/>
  <c r="J196" i="32"/>
  <c r="J197" i="32"/>
  <c r="J198" i="32"/>
  <c r="J199" i="32"/>
  <c r="J200" i="32"/>
  <c r="J201" i="32"/>
  <c r="J202" i="32"/>
  <c r="J203" i="32"/>
  <c r="J204" i="32"/>
  <c r="J205" i="32"/>
  <c r="J206" i="32"/>
  <c r="J207" i="32"/>
  <c r="J208" i="32"/>
  <c r="J209" i="32"/>
  <c r="J210" i="32"/>
  <c r="J211" i="32"/>
  <c r="J212" i="32"/>
  <c r="J213" i="32"/>
  <c r="J214" i="32"/>
  <c r="J215" i="32"/>
  <c r="J216" i="32"/>
  <c r="J217" i="32"/>
  <c r="J218" i="32"/>
  <c r="J219" i="32"/>
  <c r="J220" i="32"/>
  <c r="J221" i="32"/>
  <c r="J222" i="32"/>
  <c r="J223" i="32"/>
  <c r="J224" i="32"/>
  <c r="J225" i="32"/>
  <c r="J226" i="32"/>
  <c r="J227" i="32"/>
  <c r="J228" i="32"/>
  <c r="J229" i="32"/>
  <c r="J230" i="32"/>
  <c r="J231" i="32"/>
  <c r="J232" i="32"/>
  <c r="J233" i="32"/>
  <c r="J234" i="32"/>
  <c r="J235" i="32"/>
  <c r="J236" i="32"/>
  <c r="J237" i="32"/>
  <c r="J238" i="32"/>
  <c r="J239" i="32"/>
  <c r="J240" i="32"/>
  <c r="J241" i="32"/>
  <c r="J242" i="32"/>
  <c r="J243" i="32"/>
  <c r="J244" i="32"/>
  <c r="J245" i="32"/>
  <c r="J246" i="32"/>
  <c r="J247" i="32"/>
  <c r="J248" i="32"/>
  <c r="J249" i="32"/>
  <c r="J250" i="32"/>
  <c r="J251" i="32"/>
  <c r="J252" i="32"/>
  <c r="J253" i="32"/>
  <c r="J254" i="32"/>
  <c r="J255" i="32"/>
  <c r="J256" i="32"/>
  <c r="J257" i="32"/>
  <c r="J258" i="32"/>
  <c r="J259" i="32"/>
  <c r="J260" i="32"/>
  <c r="J261" i="32"/>
  <c r="J262" i="32"/>
  <c r="J263" i="32"/>
  <c r="J264" i="32"/>
  <c r="J265" i="32"/>
  <c r="J266" i="32"/>
  <c r="J267" i="32"/>
  <c r="J268" i="32"/>
  <c r="J269" i="32"/>
  <c r="J270" i="32"/>
  <c r="J271" i="32"/>
  <c r="J272" i="32"/>
  <c r="J273" i="32"/>
  <c r="J274" i="32"/>
  <c r="J275" i="32"/>
  <c r="J276" i="32"/>
  <c r="J277" i="32"/>
  <c r="J278" i="32"/>
  <c r="J279" i="32"/>
  <c r="J280" i="32"/>
  <c r="J281" i="32"/>
  <c r="J282" i="32"/>
  <c r="J283" i="32"/>
  <c r="J284" i="32"/>
  <c r="J285" i="32"/>
  <c r="J286" i="32"/>
  <c r="J287" i="32"/>
  <c r="J288" i="32"/>
  <c r="J289" i="32"/>
  <c r="J290" i="32"/>
  <c r="J291" i="32"/>
  <c r="J292" i="32"/>
  <c r="J293" i="32"/>
  <c r="J294" i="32"/>
  <c r="J295" i="32"/>
  <c r="J296" i="32"/>
  <c r="J297" i="32"/>
  <c r="J298" i="32"/>
  <c r="J299" i="32"/>
  <c r="J300" i="32"/>
  <c r="J301" i="32"/>
  <c r="J302" i="32"/>
  <c r="J303" i="32"/>
  <c r="J304" i="32"/>
  <c r="J305" i="32"/>
  <c r="J306" i="32"/>
  <c r="J307" i="32"/>
  <c r="J308" i="32"/>
  <c r="J309" i="32"/>
  <c r="J310" i="32"/>
  <c r="J311" i="32"/>
  <c r="J312" i="32"/>
  <c r="J313" i="32"/>
  <c r="J314" i="32"/>
  <c r="J315" i="32"/>
  <c r="J316" i="32"/>
  <c r="J317" i="32"/>
  <c r="J318" i="32"/>
  <c r="J319" i="32"/>
  <c r="J320" i="32"/>
  <c r="J321" i="32"/>
  <c r="J322" i="32"/>
  <c r="J323" i="32"/>
  <c r="J324" i="32"/>
  <c r="J325" i="32"/>
  <c r="J326" i="32"/>
  <c r="J327" i="32"/>
  <c r="J328" i="32"/>
  <c r="J329" i="32"/>
  <c r="J330" i="32"/>
  <c r="J331" i="32"/>
  <c r="J332" i="32"/>
  <c r="J333" i="32"/>
  <c r="J334" i="32"/>
  <c r="J335" i="32"/>
  <c r="J336" i="32"/>
  <c r="J337" i="32"/>
  <c r="J338" i="32"/>
  <c r="J339" i="32"/>
  <c r="J340" i="32"/>
  <c r="J341" i="32"/>
  <c r="J342" i="32"/>
  <c r="J343" i="32"/>
  <c r="J344" i="32"/>
  <c r="J345" i="32"/>
  <c r="J346" i="32"/>
  <c r="J347" i="32"/>
  <c r="J348" i="32"/>
  <c r="J349" i="32"/>
  <c r="J350" i="32"/>
  <c r="J351" i="32"/>
  <c r="J352" i="32"/>
  <c r="J353" i="32"/>
  <c r="J354" i="32"/>
  <c r="J355" i="32"/>
  <c r="J356" i="32"/>
  <c r="J357" i="32"/>
  <c r="J358" i="32"/>
  <c r="J359" i="32"/>
  <c r="J360" i="32"/>
  <c r="J361" i="32"/>
  <c r="J362" i="32"/>
  <c r="J363" i="32"/>
  <c r="J364" i="32"/>
  <c r="J365" i="32"/>
  <c r="J366" i="32"/>
  <c r="J367" i="32"/>
  <c r="J368" i="32"/>
  <c r="J369" i="32"/>
  <c r="J370" i="32"/>
  <c r="J371" i="32"/>
  <c r="J372" i="32"/>
  <c r="J373" i="32"/>
  <c r="J374" i="32"/>
  <c r="J375" i="32"/>
  <c r="J376" i="32"/>
  <c r="J377" i="32"/>
  <c r="J378" i="32"/>
  <c r="J379" i="32"/>
  <c r="J380" i="32"/>
  <c r="J381" i="32"/>
  <c r="J382" i="32"/>
  <c r="J383" i="32"/>
  <c r="J384" i="32"/>
  <c r="J385" i="32"/>
  <c r="J386" i="32"/>
  <c r="J387" i="32"/>
  <c r="J388" i="32"/>
  <c r="J389" i="32"/>
  <c r="J390" i="32"/>
  <c r="J391" i="32"/>
  <c r="J392" i="32"/>
  <c r="J393" i="32"/>
  <c r="J394" i="32"/>
  <c r="J395" i="32"/>
  <c r="J396" i="32"/>
  <c r="J397" i="32"/>
  <c r="J398" i="32"/>
  <c r="J399" i="32"/>
  <c r="J400" i="32"/>
  <c r="J401" i="32"/>
  <c r="J402" i="32"/>
  <c r="J403" i="32"/>
  <c r="J404" i="32"/>
  <c r="J405" i="32"/>
  <c r="J406" i="32"/>
  <c r="J407" i="32"/>
  <c r="J408" i="32"/>
  <c r="J409" i="32"/>
  <c r="J410" i="32"/>
  <c r="J411" i="32"/>
  <c r="J412" i="32"/>
  <c r="J413" i="32"/>
  <c r="J414" i="32"/>
  <c r="J415" i="32"/>
  <c r="J416" i="32"/>
  <c r="J417" i="32"/>
  <c r="J418" i="32"/>
  <c r="J419" i="32"/>
  <c r="J420" i="32"/>
  <c r="J421" i="32"/>
  <c r="J422" i="32"/>
  <c r="J423" i="32"/>
  <c r="J424" i="32"/>
  <c r="J425" i="32"/>
  <c r="J426" i="32"/>
  <c r="J427" i="32"/>
  <c r="J428" i="32"/>
  <c r="J429" i="32"/>
  <c r="J430" i="32"/>
  <c r="J431" i="32"/>
  <c r="J432" i="32"/>
  <c r="J433" i="32"/>
  <c r="J434" i="32"/>
  <c r="J435" i="32"/>
  <c r="J436" i="32"/>
  <c r="J437" i="32"/>
  <c r="J438" i="32"/>
  <c r="J439" i="32"/>
  <c r="J440" i="32"/>
  <c r="J441" i="32"/>
  <c r="J442" i="32"/>
  <c r="J443" i="32"/>
  <c r="J444" i="32"/>
  <c r="J445" i="32"/>
  <c r="J446" i="32"/>
  <c r="J447" i="32"/>
  <c r="J448" i="32"/>
  <c r="J449" i="32"/>
  <c r="J450" i="32"/>
  <c r="J451" i="32"/>
  <c r="J452" i="32"/>
  <c r="J453" i="32"/>
  <c r="J454" i="32"/>
  <c r="G5" i="32"/>
  <c r="G4" i="32"/>
  <c r="G6" i="32"/>
  <c r="G7" i="32"/>
  <c r="G8" i="32"/>
  <c r="G9" i="32"/>
  <c r="G10" i="32"/>
  <c r="G11" i="32"/>
  <c r="G12" i="32"/>
  <c r="G13" i="32"/>
  <c r="G14" i="32"/>
  <c r="G15" i="32"/>
  <c r="G16" i="32"/>
  <c r="G17" i="32"/>
  <c r="G18" i="32"/>
  <c r="G19" i="32"/>
  <c r="G20" i="32"/>
  <c r="G21" i="32"/>
  <c r="G22" i="32"/>
  <c r="G23" i="32"/>
  <c r="G24" i="32"/>
  <c r="G25" i="32"/>
  <c r="G26" i="32"/>
  <c r="G27" i="32"/>
  <c r="G28" i="32"/>
  <c r="G29" i="32"/>
  <c r="G30" i="32"/>
  <c r="G31" i="32"/>
  <c r="G32" i="32"/>
  <c r="G33" i="32"/>
  <c r="G34" i="32"/>
  <c r="G35" i="32"/>
  <c r="G36" i="32"/>
  <c r="G37" i="32"/>
  <c r="G38" i="32"/>
  <c r="G39" i="32"/>
  <c r="G40" i="32"/>
  <c r="G41" i="32"/>
  <c r="G42" i="32"/>
  <c r="G43" i="32"/>
  <c r="G44" i="32"/>
  <c r="G45" i="32"/>
  <c r="G46" i="32"/>
  <c r="G47" i="32"/>
  <c r="G48" i="32"/>
  <c r="G49" i="32"/>
  <c r="G50" i="32"/>
  <c r="G51" i="32"/>
  <c r="G52" i="32"/>
  <c r="G53" i="32"/>
  <c r="G54" i="32"/>
  <c r="G55" i="32"/>
  <c r="G56" i="32"/>
  <c r="G57" i="32"/>
  <c r="G58" i="32"/>
  <c r="G59" i="32"/>
  <c r="J58" i="25"/>
  <c r="H132" i="37"/>
  <c r="G60" i="32"/>
  <c r="G61" i="32"/>
  <c r="G62" i="32"/>
  <c r="G63" i="32"/>
  <c r="G64" i="32"/>
  <c r="G65" i="32"/>
  <c r="G66" i="32"/>
  <c r="G67" i="32"/>
  <c r="G68" i="32"/>
  <c r="G69" i="32"/>
  <c r="G70" i="32"/>
  <c r="G71" i="32"/>
  <c r="G72" i="32"/>
  <c r="G73" i="32"/>
  <c r="G74" i="32"/>
  <c r="G75" i="32"/>
  <c r="G76" i="32"/>
  <c r="G77" i="32"/>
  <c r="G78" i="32"/>
  <c r="G79" i="32"/>
  <c r="G80" i="32"/>
  <c r="G81" i="32"/>
  <c r="G82" i="32"/>
  <c r="G83" i="32"/>
  <c r="G84" i="32"/>
  <c r="G85" i="32"/>
  <c r="G86" i="32"/>
  <c r="G87" i="32"/>
  <c r="G88" i="32"/>
  <c r="G89" i="32"/>
  <c r="G90" i="32"/>
  <c r="G91" i="32"/>
  <c r="G92" i="32"/>
  <c r="G93" i="32"/>
  <c r="G94" i="32"/>
  <c r="G95" i="32"/>
  <c r="G96" i="32"/>
  <c r="G97" i="32"/>
  <c r="G98" i="32"/>
  <c r="G99" i="32"/>
  <c r="G100" i="32"/>
  <c r="G101" i="32"/>
  <c r="G102" i="32"/>
  <c r="G103" i="32"/>
  <c r="G104" i="32"/>
  <c r="G105" i="32"/>
  <c r="G106" i="32"/>
  <c r="G107" i="32"/>
  <c r="G108" i="32"/>
  <c r="G109" i="32"/>
  <c r="G110" i="32"/>
  <c r="G111" i="32"/>
  <c r="G112" i="32"/>
  <c r="G113" i="32"/>
  <c r="G114" i="32"/>
  <c r="G115" i="32"/>
  <c r="G116" i="32"/>
  <c r="G117" i="32"/>
  <c r="G118" i="32"/>
  <c r="G119" i="32"/>
  <c r="G120" i="32"/>
  <c r="G121" i="32"/>
  <c r="G122" i="32"/>
  <c r="G123" i="32"/>
  <c r="G124" i="32"/>
  <c r="G125" i="32"/>
  <c r="G126" i="32"/>
  <c r="G127" i="32"/>
  <c r="G128" i="32"/>
  <c r="G129" i="32"/>
  <c r="G130" i="32"/>
  <c r="G131" i="32"/>
  <c r="G132" i="32"/>
  <c r="G133" i="32"/>
  <c r="G134" i="32"/>
  <c r="G135" i="32"/>
  <c r="G136" i="32"/>
  <c r="G137" i="32"/>
  <c r="G138" i="32"/>
  <c r="G139" i="32"/>
  <c r="G140" i="32"/>
  <c r="G141" i="32"/>
  <c r="G142" i="32"/>
  <c r="G143" i="32"/>
  <c r="G144" i="32"/>
  <c r="G145" i="32"/>
  <c r="G146" i="32"/>
  <c r="G147" i="32"/>
  <c r="G148" i="32"/>
  <c r="G149" i="32"/>
  <c r="G150" i="32"/>
  <c r="G151" i="32"/>
  <c r="G152" i="32"/>
  <c r="G153" i="32"/>
  <c r="G154" i="32"/>
  <c r="G155" i="32"/>
  <c r="G156" i="32"/>
  <c r="G157" i="32"/>
  <c r="G158" i="32"/>
  <c r="G159" i="32"/>
  <c r="G160" i="32"/>
  <c r="G161" i="32"/>
  <c r="G162" i="32"/>
  <c r="G163" i="32"/>
  <c r="G164" i="32"/>
  <c r="G165" i="32"/>
  <c r="G166" i="32"/>
  <c r="G167" i="32"/>
  <c r="G168" i="32"/>
  <c r="G169" i="32"/>
  <c r="G170" i="32"/>
  <c r="G171" i="32"/>
  <c r="G172" i="32"/>
  <c r="G173" i="32"/>
  <c r="G174" i="32"/>
  <c r="G175" i="32"/>
  <c r="G176" i="32"/>
  <c r="G177" i="32"/>
  <c r="G178" i="32"/>
  <c r="G179" i="32"/>
  <c r="G180" i="32"/>
  <c r="G181" i="32"/>
  <c r="G182" i="32"/>
  <c r="G183" i="32"/>
  <c r="G184" i="32"/>
  <c r="G185" i="32"/>
  <c r="G186" i="32"/>
  <c r="G187" i="32"/>
  <c r="G188" i="32"/>
  <c r="G189" i="32"/>
  <c r="G190" i="32"/>
  <c r="G191" i="32"/>
  <c r="G192" i="32"/>
  <c r="G193" i="32"/>
  <c r="G194" i="32"/>
  <c r="G195" i="32"/>
  <c r="G196" i="32"/>
  <c r="G197" i="32"/>
  <c r="G198" i="32"/>
  <c r="G199" i="32"/>
  <c r="G200" i="32"/>
  <c r="G201" i="32"/>
  <c r="G202" i="32"/>
  <c r="G203" i="32"/>
  <c r="G204" i="32"/>
  <c r="G205" i="32"/>
  <c r="G206" i="32"/>
  <c r="G207" i="32"/>
  <c r="G208" i="32"/>
  <c r="G209" i="32"/>
  <c r="G210" i="32"/>
  <c r="G211" i="32"/>
  <c r="G212" i="32"/>
  <c r="G213" i="32"/>
  <c r="G214" i="32"/>
  <c r="G215" i="32"/>
  <c r="G216" i="32"/>
  <c r="G217" i="32"/>
  <c r="G218" i="32"/>
  <c r="G219" i="32"/>
  <c r="G220" i="32"/>
  <c r="G221" i="32"/>
  <c r="G222" i="32"/>
  <c r="G223" i="32"/>
  <c r="G224" i="32"/>
  <c r="G225" i="32"/>
  <c r="G226" i="32"/>
  <c r="G227" i="32"/>
  <c r="G228" i="32"/>
  <c r="G229" i="32"/>
  <c r="G230" i="32"/>
  <c r="G231" i="32"/>
  <c r="G232" i="32"/>
  <c r="G233" i="32"/>
  <c r="G234" i="32"/>
  <c r="G235" i="32"/>
  <c r="G236" i="32"/>
  <c r="G237" i="32"/>
  <c r="G238" i="32"/>
  <c r="G239" i="32"/>
  <c r="G240" i="32"/>
  <c r="G241" i="32"/>
  <c r="G242" i="32"/>
  <c r="G243" i="32"/>
  <c r="G244" i="32"/>
  <c r="G245" i="32"/>
  <c r="G246" i="32"/>
  <c r="G247" i="32"/>
  <c r="G248" i="32"/>
  <c r="G249" i="32"/>
  <c r="G250" i="32"/>
  <c r="G251" i="32"/>
  <c r="G252" i="32"/>
  <c r="G253" i="32"/>
  <c r="G254" i="32"/>
  <c r="G255" i="32"/>
  <c r="G256" i="32"/>
  <c r="G257" i="32"/>
  <c r="G258" i="32"/>
  <c r="G259" i="32"/>
  <c r="G260" i="32"/>
  <c r="G261" i="32"/>
  <c r="G262" i="32"/>
  <c r="G263" i="32"/>
  <c r="G264" i="32"/>
  <c r="G265" i="32"/>
  <c r="G266" i="32"/>
  <c r="G267" i="32"/>
  <c r="G268" i="32"/>
  <c r="G269" i="32"/>
  <c r="G270" i="32"/>
  <c r="G271" i="32"/>
  <c r="G272" i="32"/>
  <c r="G273" i="32"/>
  <c r="G274" i="32"/>
  <c r="G275" i="32"/>
  <c r="G276" i="32"/>
  <c r="G277" i="32"/>
  <c r="G278" i="32"/>
  <c r="G279" i="32"/>
  <c r="G280" i="32"/>
  <c r="G281" i="32"/>
  <c r="G282" i="32"/>
  <c r="G283" i="32"/>
  <c r="G284" i="32"/>
  <c r="G285" i="32"/>
  <c r="G286" i="32"/>
  <c r="G287" i="32"/>
  <c r="G288" i="32"/>
  <c r="G289" i="32"/>
  <c r="G290" i="32"/>
  <c r="G291" i="32"/>
  <c r="G292" i="32"/>
  <c r="G293" i="32"/>
  <c r="G294" i="32"/>
  <c r="G295" i="32"/>
  <c r="G296" i="32"/>
  <c r="G297" i="32"/>
  <c r="G298" i="32"/>
  <c r="G299" i="32"/>
  <c r="G300" i="32"/>
  <c r="G301" i="32"/>
  <c r="G302" i="32"/>
  <c r="G303" i="32"/>
  <c r="G304" i="32"/>
  <c r="G305" i="32"/>
  <c r="G306" i="32"/>
  <c r="G307" i="32"/>
  <c r="G308" i="32"/>
  <c r="G309" i="32"/>
  <c r="G310" i="32"/>
  <c r="G311" i="32"/>
  <c r="G312" i="32"/>
  <c r="G313" i="32"/>
  <c r="G314" i="32"/>
  <c r="G315" i="32"/>
  <c r="G316" i="32"/>
  <c r="G317" i="32"/>
  <c r="G318" i="32"/>
  <c r="G319" i="32"/>
  <c r="G320" i="32"/>
  <c r="G321" i="32"/>
  <c r="G322" i="32"/>
  <c r="G323" i="32"/>
  <c r="G324" i="32"/>
  <c r="G325" i="32"/>
  <c r="G326" i="32"/>
  <c r="G327" i="32"/>
  <c r="G328" i="32"/>
  <c r="G329" i="32"/>
  <c r="G330" i="32"/>
  <c r="G331" i="32"/>
  <c r="G332" i="32"/>
  <c r="G333" i="32"/>
  <c r="G334" i="32"/>
  <c r="G335" i="32"/>
  <c r="G336" i="32"/>
  <c r="G337" i="32"/>
  <c r="G338" i="32"/>
  <c r="G339" i="32"/>
  <c r="G340" i="32"/>
  <c r="G341" i="32"/>
  <c r="G342" i="32"/>
  <c r="G343" i="32"/>
  <c r="G344" i="32"/>
  <c r="G345" i="32"/>
  <c r="G346" i="32"/>
  <c r="G347" i="32"/>
  <c r="G348" i="32"/>
  <c r="G349" i="32"/>
  <c r="G350" i="32"/>
  <c r="G351" i="32"/>
  <c r="G352" i="32"/>
  <c r="G353" i="32"/>
  <c r="G354" i="32"/>
  <c r="G355" i="32"/>
  <c r="G356" i="32"/>
  <c r="G357" i="32"/>
  <c r="G358" i="32"/>
  <c r="G359" i="32"/>
  <c r="G360" i="32"/>
  <c r="G361" i="32"/>
  <c r="G362" i="32"/>
  <c r="G363" i="32"/>
  <c r="G364" i="32"/>
  <c r="G365" i="32"/>
  <c r="G366" i="32"/>
  <c r="G367" i="32"/>
  <c r="G368" i="32"/>
  <c r="G369" i="32"/>
  <c r="G370" i="32"/>
  <c r="G371" i="32"/>
  <c r="G372" i="32"/>
  <c r="G373" i="32"/>
  <c r="G374" i="32"/>
  <c r="G375" i="32"/>
  <c r="G376" i="32"/>
  <c r="G377" i="32"/>
  <c r="G378" i="32"/>
  <c r="G379" i="32"/>
  <c r="G380" i="32"/>
  <c r="G381" i="32"/>
  <c r="G382" i="32"/>
  <c r="G383" i="32"/>
  <c r="G384" i="32"/>
  <c r="G385" i="32"/>
  <c r="G386" i="32"/>
  <c r="G387" i="32"/>
  <c r="G388" i="32"/>
  <c r="G389" i="32"/>
  <c r="G390" i="32"/>
  <c r="G391" i="32"/>
  <c r="G392" i="32"/>
  <c r="G393" i="32"/>
  <c r="G394" i="32"/>
  <c r="G395" i="32"/>
  <c r="G396" i="32"/>
  <c r="G397" i="32"/>
  <c r="G398" i="32"/>
  <c r="G399" i="32"/>
  <c r="G400" i="32"/>
  <c r="G401" i="32"/>
  <c r="G402" i="32"/>
  <c r="G403" i="32"/>
  <c r="G404" i="32"/>
  <c r="G405" i="32"/>
  <c r="G406" i="32"/>
  <c r="G407" i="32"/>
  <c r="G408" i="32"/>
  <c r="G409" i="32"/>
  <c r="G410" i="32"/>
  <c r="G411" i="32"/>
  <c r="G412" i="32"/>
  <c r="G413" i="32"/>
  <c r="G414" i="32"/>
  <c r="G415" i="32"/>
  <c r="G416" i="32"/>
  <c r="G417" i="32"/>
  <c r="G418" i="32"/>
  <c r="G419" i="32"/>
  <c r="G420" i="32"/>
  <c r="G421" i="32"/>
  <c r="G422" i="32"/>
  <c r="G423" i="32"/>
  <c r="G424" i="32"/>
  <c r="G425" i="32"/>
  <c r="G426" i="32"/>
  <c r="G427" i="32"/>
  <c r="G428" i="32"/>
  <c r="G429" i="32"/>
  <c r="G430" i="32"/>
  <c r="G431" i="32"/>
  <c r="G432" i="32"/>
  <c r="G433" i="32"/>
  <c r="G434" i="32"/>
  <c r="G435" i="32"/>
  <c r="G436" i="32"/>
  <c r="G437" i="32"/>
  <c r="G438" i="32"/>
  <c r="G439" i="32"/>
  <c r="G440" i="32"/>
  <c r="G441" i="32"/>
  <c r="G442" i="32"/>
  <c r="G443" i="32"/>
  <c r="G444" i="32"/>
  <c r="G445" i="32"/>
  <c r="G446" i="32"/>
  <c r="G447" i="32"/>
  <c r="G448" i="32"/>
  <c r="G449" i="32"/>
  <c r="G450" i="32"/>
  <c r="G451" i="32"/>
  <c r="G452" i="32"/>
  <c r="G453" i="32"/>
  <c r="G454" i="32"/>
  <c r="I5" i="32"/>
  <c r="I6" i="32"/>
  <c r="I7" i="32"/>
  <c r="I8" i="32"/>
  <c r="I9" i="32"/>
  <c r="I10" i="32"/>
  <c r="I11" i="32"/>
  <c r="I12" i="32"/>
  <c r="I13" i="32"/>
  <c r="I14" i="32"/>
  <c r="I15" i="32"/>
  <c r="I16" i="32"/>
  <c r="I17" i="32"/>
  <c r="I18" i="32"/>
  <c r="I19" i="32"/>
  <c r="I20" i="32"/>
  <c r="I21" i="32"/>
  <c r="I22" i="32"/>
  <c r="I23" i="32"/>
  <c r="I24" i="32"/>
  <c r="I25" i="32"/>
  <c r="I26" i="32"/>
  <c r="I27" i="32"/>
  <c r="I28" i="32"/>
  <c r="I29" i="32"/>
  <c r="I30" i="32"/>
  <c r="I31" i="32"/>
  <c r="I32" i="32"/>
  <c r="I33" i="32"/>
  <c r="I34" i="32"/>
  <c r="I35" i="32"/>
  <c r="I36" i="32"/>
  <c r="I37" i="32"/>
  <c r="I38" i="32"/>
  <c r="I39" i="32"/>
  <c r="I40" i="32"/>
  <c r="I41" i="32"/>
  <c r="I42" i="32"/>
  <c r="I43" i="32"/>
  <c r="I44" i="32"/>
  <c r="I45" i="32"/>
  <c r="I46" i="32"/>
  <c r="I47" i="32"/>
  <c r="I48" i="32"/>
  <c r="I49" i="32"/>
  <c r="I50" i="32"/>
  <c r="I51" i="32"/>
  <c r="I52" i="32"/>
  <c r="I53" i="32"/>
  <c r="I54" i="32"/>
  <c r="I55" i="32"/>
  <c r="I56" i="32"/>
  <c r="I57" i="32"/>
  <c r="I58" i="32"/>
  <c r="I59" i="32"/>
  <c r="I60" i="32"/>
  <c r="I61" i="32"/>
  <c r="I62" i="32"/>
  <c r="I63" i="32"/>
  <c r="I64" i="32"/>
  <c r="I65" i="32"/>
  <c r="I66" i="32"/>
  <c r="I67" i="32"/>
  <c r="I68" i="32"/>
  <c r="I69" i="32"/>
  <c r="I70" i="32"/>
  <c r="I71" i="32"/>
  <c r="I72" i="32"/>
  <c r="I73" i="32"/>
  <c r="I74" i="32"/>
  <c r="I75" i="32"/>
  <c r="I76" i="32"/>
  <c r="I77" i="32"/>
  <c r="I78" i="32"/>
  <c r="I79" i="32"/>
  <c r="I80" i="32"/>
  <c r="I81" i="32"/>
  <c r="I82" i="32"/>
  <c r="I83" i="32"/>
  <c r="I84" i="32"/>
  <c r="I85" i="32"/>
  <c r="I86" i="32"/>
  <c r="I87" i="32"/>
  <c r="I88" i="32"/>
  <c r="I89" i="32"/>
  <c r="I90" i="32"/>
  <c r="I91" i="32"/>
  <c r="I92" i="32"/>
  <c r="I93" i="32"/>
  <c r="I94" i="32"/>
  <c r="I95" i="32"/>
  <c r="I96" i="32"/>
  <c r="I97" i="32"/>
  <c r="I98" i="32"/>
  <c r="I99" i="32"/>
  <c r="I100" i="32"/>
  <c r="I101" i="32"/>
  <c r="I102" i="32"/>
  <c r="I103" i="32"/>
  <c r="I104" i="32"/>
  <c r="I105" i="32"/>
  <c r="I106" i="32"/>
  <c r="I107" i="32"/>
  <c r="I108" i="32"/>
  <c r="I109" i="32"/>
  <c r="I110" i="32"/>
  <c r="I111" i="32"/>
  <c r="I112" i="32"/>
  <c r="I113" i="32"/>
  <c r="I114" i="32"/>
  <c r="I115" i="32"/>
  <c r="I116" i="32"/>
  <c r="I117" i="32"/>
  <c r="I118" i="32"/>
  <c r="I119" i="32"/>
  <c r="I120" i="32"/>
  <c r="I121" i="32"/>
  <c r="I122" i="32"/>
  <c r="I123" i="32"/>
  <c r="I124" i="32"/>
  <c r="I125" i="32"/>
  <c r="I126" i="32"/>
  <c r="I127" i="32"/>
  <c r="I128" i="32"/>
  <c r="I129" i="32"/>
  <c r="I130" i="32"/>
  <c r="I131" i="32"/>
  <c r="I132" i="32"/>
  <c r="I133" i="32"/>
  <c r="I134" i="32"/>
  <c r="I135" i="32"/>
  <c r="I136" i="32"/>
  <c r="I137" i="32"/>
  <c r="I138" i="32"/>
  <c r="I139" i="32"/>
  <c r="I140" i="32"/>
  <c r="I141" i="32"/>
  <c r="I142" i="32"/>
  <c r="I143" i="32"/>
  <c r="I144" i="32"/>
  <c r="I145" i="32"/>
  <c r="I146" i="32"/>
  <c r="I147" i="32"/>
  <c r="I148" i="32"/>
  <c r="I149" i="32"/>
  <c r="I150" i="32"/>
  <c r="I151" i="32"/>
  <c r="I152" i="32"/>
  <c r="I153" i="32"/>
  <c r="I154" i="32"/>
  <c r="I155" i="32"/>
  <c r="I156" i="32"/>
  <c r="I157" i="32"/>
  <c r="I158" i="32"/>
  <c r="I159" i="32"/>
  <c r="I160" i="32"/>
  <c r="I161" i="32"/>
  <c r="I162" i="32"/>
  <c r="I163" i="32"/>
  <c r="I164" i="32"/>
  <c r="I165" i="32"/>
  <c r="I166" i="32"/>
  <c r="I167" i="32"/>
  <c r="I168" i="32"/>
  <c r="I169" i="32"/>
  <c r="I170" i="32"/>
  <c r="I171" i="32"/>
  <c r="I172" i="32"/>
  <c r="I173" i="32"/>
  <c r="I174" i="32"/>
  <c r="I175" i="32"/>
  <c r="I176" i="32"/>
  <c r="I177" i="32"/>
  <c r="I178" i="32"/>
  <c r="I179" i="32"/>
  <c r="I180" i="32"/>
  <c r="I181" i="32"/>
  <c r="I182" i="32"/>
  <c r="I183" i="32"/>
  <c r="I184" i="32"/>
  <c r="I185" i="32"/>
  <c r="I186" i="32"/>
  <c r="I187" i="32"/>
  <c r="I188" i="32"/>
  <c r="I189" i="32"/>
  <c r="I190" i="32"/>
  <c r="I191" i="32"/>
  <c r="I192" i="32"/>
  <c r="I193" i="32"/>
  <c r="I194" i="32"/>
  <c r="I195" i="32"/>
  <c r="I196" i="32"/>
  <c r="I197" i="32"/>
  <c r="I198" i="32"/>
  <c r="I199" i="32"/>
  <c r="I200" i="32"/>
  <c r="I201" i="32"/>
  <c r="I202" i="32"/>
  <c r="I203" i="32"/>
  <c r="I204" i="32"/>
  <c r="I205" i="32"/>
  <c r="I206" i="32"/>
  <c r="I207" i="32"/>
  <c r="I208" i="32"/>
  <c r="I209" i="32"/>
  <c r="I210" i="32"/>
  <c r="I211" i="32"/>
  <c r="I212" i="32"/>
  <c r="I213" i="32"/>
  <c r="I214" i="32"/>
  <c r="I215" i="32"/>
  <c r="I216" i="32"/>
  <c r="I217" i="32"/>
  <c r="I218" i="32"/>
  <c r="I219" i="32"/>
  <c r="I220" i="32"/>
  <c r="I221" i="32"/>
  <c r="I222" i="32"/>
  <c r="I223" i="32"/>
  <c r="I224" i="32"/>
  <c r="I225" i="32"/>
  <c r="I226" i="32"/>
  <c r="I227" i="32"/>
  <c r="I228" i="32"/>
  <c r="I229" i="32"/>
  <c r="I230" i="32"/>
  <c r="I231" i="32"/>
  <c r="I232" i="32"/>
  <c r="I233" i="32"/>
  <c r="I234" i="32"/>
  <c r="I235" i="32"/>
  <c r="I236" i="32"/>
  <c r="I237" i="32"/>
  <c r="I238" i="32"/>
  <c r="I239" i="32"/>
  <c r="I240" i="32"/>
  <c r="I241" i="32"/>
  <c r="I242" i="32"/>
  <c r="I243" i="32"/>
  <c r="I244" i="32"/>
  <c r="I245" i="32"/>
  <c r="I246" i="32"/>
  <c r="I247" i="32"/>
  <c r="I248" i="32"/>
  <c r="I249" i="32"/>
  <c r="I250" i="32"/>
  <c r="I251" i="32"/>
  <c r="I252" i="32"/>
  <c r="I253" i="32"/>
  <c r="I254" i="32"/>
  <c r="I255" i="32"/>
  <c r="I256" i="32"/>
  <c r="I257" i="32"/>
  <c r="I258" i="32"/>
  <c r="I259" i="32"/>
  <c r="I260" i="32"/>
  <c r="I261" i="32"/>
  <c r="I262" i="32"/>
  <c r="I263" i="32"/>
  <c r="I264" i="32"/>
  <c r="I265" i="32"/>
  <c r="I266" i="32"/>
  <c r="I267" i="32"/>
  <c r="I268" i="32"/>
  <c r="I269" i="32"/>
  <c r="I270" i="32"/>
  <c r="I271" i="32"/>
  <c r="I272" i="32"/>
  <c r="I273" i="32"/>
  <c r="I274" i="32"/>
  <c r="I275" i="32"/>
  <c r="I276" i="32"/>
  <c r="I277" i="32"/>
  <c r="I278" i="32"/>
  <c r="I279" i="32"/>
  <c r="I280" i="32"/>
  <c r="I281" i="32"/>
  <c r="I282" i="32"/>
  <c r="I283" i="32"/>
  <c r="I284" i="32"/>
  <c r="I285" i="32"/>
  <c r="I286" i="32"/>
  <c r="I287" i="32"/>
  <c r="I288" i="32"/>
  <c r="I289" i="32"/>
  <c r="I290" i="32"/>
  <c r="I291" i="32"/>
  <c r="I292" i="32"/>
  <c r="I293" i="32"/>
  <c r="I294" i="32"/>
  <c r="I295" i="32"/>
  <c r="I296" i="32"/>
  <c r="I297" i="32"/>
  <c r="I298" i="32"/>
  <c r="I299" i="32"/>
  <c r="I300" i="32"/>
  <c r="I301" i="32"/>
  <c r="I302" i="32"/>
  <c r="I303" i="32"/>
  <c r="I304" i="32"/>
  <c r="I305" i="32"/>
  <c r="I306" i="32"/>
  <c r="I307" i="32"/>
  <c r="I308" i="32"/>
  <c r="I309" i="32"/>
  <c r="I310" i="32"/>
  <c r="I311" i="32"/>
  <c r="I312" i="32"/>
  <c r="I313" i="32"/>
  <c r="I314" i="32"/>
  <c r="I315" i="32"/>
  <c r="I316" i="32"/>
  <c r="I317" i="32"/>
  <c r="I318" i="32"/>
  <c r="I319" i="32"/>
  <c r="I320" i="32"/>
  <c r="I321" i="32"/>
  <c r="I322" i="32"/>
  <c r="I323" i="32"/>
  <c r="I324" i="32"/>
  <c r="I325" i="32"/>
  <c r="I326" i="32"/>
  <c r="I327" i="32"/>
  <c r="I328" i="32"/>
  <c r="I329" i="32"/>
  <c r="I330" i="32"/>
  <c r="I331" i="32"/>
  <c r="I332" i="32"/>
  <c r="I333" i="32"/>
  <c r="I334" i="32"/>
  <c r="I335" i="32"/>
  <c r="I336" i="32"/>
  <c r="I337" i="32"/>
  <c r="I338" i="32"/>
  <c r="I339" i="32"/>
  <c r="I340" i="32"/>
  <c r="I341" i="32"/>
  <c r="I342" i="32"/>
  <c r="I343" i="32"/>
  <c r="I344" i="32"/>
  <c r="I345" i="32"/>
  <c r="I346" i="32"/>
  <c r="I347" i="32"/>
  <c r="I348" i="32"/>
  <c r="I349" i="32"/>
  <c r="I350" i="32"/>
  <c r="I351" i="32"/>
  <c r="I352" i="32"/>
  <c r="I353" i="32"/>
  <c r="I354" i="32"/>
  <c r="I355" i="32"/>
  <c r="I356" i="32"/>
  <c r="I357" i="32"/>
  <c r="I358" i="32"/>
  <c r="I359" i="32"/>
  <c r="I360" i="32"/>
  <c r="I361" i="32"/>
  <c r="I362" i="32"/>
  <c r="I363" i="32"/>
  <c r="I364" i="32"/>
  <c r="I365" i="32"/>
  <c r="I366" i="32"/>
  <c r="I367" i="32"/>
  <c r="I368" i="32"/>
  <c r="I369" i="32"/>
  <c r="I370" i="32"/>
  <c r="I371" i="32"/>
  <c r="I372" i="32"/>
  <c r="I373" i="32"/>
  <c r="I374" i="32"/>
  <c r="I375" i="32"/>
  <c r="I376" i="32"/>
  <c r="I377" i="32"/>
  <c r="I378" i="32"/>
  <c r="I379" i="32"/>
  <c r="I380" i="32"/>
  <c r="I381" i="32"/>
  <c r="I382" i="32"/>
  <c r="I383" i="32"/>
  <c r="I384" i="32"/>
  <c r="I385" i="32"/>
  <c r="I386" i="32"/>
  <c r="I387" i="32"/>
  <c r="I388" i="32"/>
  <c r="I389" i="32"/>
  <c r="I390" i="32"/>
  <c r="I391" i="32"/>
  <c r="I392" i="32"/>
  <c r="I393" i="32"/>
  <c r="I394" i="32"/>
  <c r="I395" i="32"/>
  <c r="I396" i="32"/>
  <c r="I397" i="32"/>
  <c r="I398" i="32"/>
  <c r="I399" i="32"/>
  <c r="I400" i="32"/>
  <c r="I401" i="32"/>
  <c r="I402" i="32"/>
  <c r="I403" i="32"/>
  <c r="I404" i="32"/>
  <c r="I405" i="32"/>
  <c r="I406" i="32"/>
  <c r="I407" i="32"/>
  <c r="I408" i="32"/>
  <c r="I409" i="32"/>
  <c r="I410" i="32"/>
  <c r="I411" i="32"/>
  <c r="I412" i="32"/>
  <c r="I413" i="32"/>
  <c r="I414" i="32"/>
  <c r="I415" i="32"/>
  <c r="I416" i="32"/>
  <c r="I417" i="32"/>
  <c r="I418" i="32"/>
  <c r="I419" i="32"/>
  <c r="I420" i="32"/>
  <c r="I421" i="32"/>
  <c r="I422" i="32"/>
  <c r="I423" i="32"/>
  <c r="I424" i="32"/>
  <c r="I425" i="32"/>
  <c r="I426" i="32"/>
  <c r="I427" i="32"/>
  <c r="I428" i="32"/>
  <c r="I429" i="32"/>
  <c r="I430" i="32"/>
  <c r="I431" i="32"/>
  <c r="I432" i="32"/>
  <c r="I433" i="32"/>
  <c r="I434" i="32"/>
  <c r="I435" i="32"/>
  <c r="I436" i="32"/>
  <c r="I437" i="32"/>
  <c r="I438" i="32"/>
  <c r="I439" i="32"/>
  <c r="I440" i="32"/>
  <c r="I441" i="32"/>
  <c r="I442" i="32"/>
  <c r="I443" i="32"/>
  <c r="I444" i="32"/>
  <c r="I445" i="32"/>
  <c r="I446" i="32"/>
  <c r="I447" i="32"/>
  <c r="I448" i="32"/>
  <c r="I449" i="32"/>
  <c r="I450" i="32"/>
  <c r="I451" i="32"/>
  <c r="I452" i="32"/>
  <c r="I453" i="32"/>
  <c r="I454" i="32"/>
  <c r="I4" i="32"/>
  <c r="B5" i="32"/>
  <c r="B4" i="32"/>
  <c r="B6" i="32"/>
  <c r="B7" i="32"/>
  <c r="B8" i="32"/>
  <c r="B9" i="32"/>
  <c r="B10" i="32"/>
  <c r="B11" i="32"/>
  <c r="B12" i="32"/>
  <c r="B13" i="32"/>
  <c r="B14" i="32"/>
  <c r="B15" i="32"/>
  <c r="B16" i="32"/>
  <c r="B17" i="32"/>
  <c r="B18" i="32"/>
  <c r="B19" i="32"/>
  <c r="B20" i="32"/>
  <c r="B21" i="32"/>
  <c r="B22" i="32"/>
  <c r="B23" i="32"/>
  <c r="B24" i="32"/>
  <c r="B25" i="32"/>
  <c r="B26" i="32"/>
  <c r="B27" i="32"/>
  <c r="B28" i="32"/>
  <c r="B29" i="32"/>
  <c r="B30" i="32"/>
  <c r="B31" i="32"/>
  <c r="B32" i="32"/>
  <c r="B33" i="32"/>
  <c r="B34" i="32"/>
  <c r="B35" i="32"/>
  <c r="B36" i="32"/>
  <c r="B37" i="32"/>
  <c r="B38" i="32"/>
  <c r="B39" i="32"/>
  <c r="B40" i="32"/>
  <c r="B41" i="32"/>
  <c r="B42" i="32"/>
  <c r="B43" i="32"/>
  <c r="B44" i="32"/>
  <c r="B45" i="32"/>
  <c r="B46" i="32"/>
  <c r="B47" i="32"/>
  <c r="B48" i="32"/>
  <c r="B49" i="32"/>
  <c r="B50" i="32"/>
  <c r="B51" i="32"/>
  <c r="B52" i="32"/>
  <c r="B53" i="32"/>
  <c r="B54" i="32"/>
  <c r="B55" i="32"/>
  <c r="B56" i="32"/>
  <c r="B57" i="32"/>
  <c r="B58" i="32"/>
  <c r="B59" i="32"/>
  <c r="B60" i="32"/>
  <c r="B61" i="32"/>
  <c r="B62" i="32"/>
  <c r="B63" i="32"/>
  <c r="B64" i="32"/>
  <c r="B65" i="32"/>
  <c r="B66" i="32"/>
  <c r="B67" i="32"/>
  <c r="B68" i="32"/>
  <c r="B69" i="32"/>
  <c r="B70" i="32"/>
  <c r="B71" i="32"/>
  <c r="B72" i="32"/>
  <c r="B73" i="32"/>
  <c r="B74" i="32"/>
  <c r="B75" i="32"/>
  <c r="B76" i="32"/>
  <c r="B77" i="32"/>
  <c r="B78" i="32"/>
  <c r="B79" i="32"/>
  <c r="B80" i="32"/>
  <c r="B81" i="32"/>
  <c r="J80" i="31"/>
  <c r="H154" i="40"/>
  <c r="B82" i="32"/>
  <c r="B83" i="32"/>
  <c r="B84" i="32"/>
  <c r="B85" i="32"/>
  <c r="B86" i="32"/>
  <c r="B87" i="32"/>
  <c r="B88" i="32"/>
  <c r="B89" i="32"/>
  <c r="B90" i="32"/>
  <c r="B91" i="32"/>
  <c r="B92" i="32"/>
  <c r="B93" i="32"/>
  <c r="B94" i="32"/>
  <c r="B95" i="32"/>
  <c r="B96" i="32"/>
  <c r="B97" i="32"/>
  <c r="B98" i="32"/>
  <c r="B99" i="32"/>
  <c r="B100" i="32"/>
  <c r="B101" i="32"/>
  <c r="B102" i="32"/>
  <c r="B103" i="32"/>
  <c r="B104" i="32"/>
  <c r="B105" i="32"/>
  <c r="B106" i="32"/>
  <c r="B107" i="32"/>
  <c r="B108" i="32"/>
  <c r="B109" i="32"/>
  <c r="B110" i="32"/>
  <c r="B111" i="32"/>
  <c r="B112" i="32"/>
  <c r="B113" i="32"/>
  <c r="B114" i="32"/>
  <c r="B115" i="32"/>
  <c r="B116" i="32"/>
  <c r="B117" i="32"/>
  <c r="B118" i="32"/>
  <c r="B119" i="32"/>
  <c r="B120" i="32"/>
  <c r="B121" i="32"/>
  <c r="B122" i="32"/>
  <c r="B123" i="32"/>
  <c r="B124" i="32"/>
  <c r="B125" i="32"/>
  <c r="B126" i="32"/>
  <c r="B127" i="32"/>
  <c r="B128" i="32"/>
  <c r="B129" i="32"/>
  <c r="B130" i="32"/>
  <c r="B131" i="32"/>
  <c r="B132" i="32"/>
  <c r="B133" i="32"/>
  <c r="B134" i="32"/>
  <c r="B135" i="32"/>
  <c r="B136" i="32"/>
  <c r="B137" i="32"/>
  <c r="B138" i="32"/>
  <c r="B139" i="32"/>
  <c r="B140" i="32"/>
  <c r="B141" i="32"/>
  <c r="J140" i="31"/>
  <c r="H214" i="40"/>
  <c r="B142" i="32"/>
  <c r="B143" i="32"/>
  <c r="B144" i="32"/>
  <c r="B145" i="32"/>
  <c r="B146" i="32"/>
  <c r="B147" i="32"/>
  <c r="B148" i="32"/>
  <c r="B149" i="32"/>
  <c r="B150" i="32"/>
  <c r="B151" i="32"/>
  <c r="B152" i="32"/>
  <c r="B153" i="32"/>
  <c r="B154" i="32"/>
  <c r="B155" i="32"/>
  <c r="B156" i="32"/>
  <c r="B157" i="32"/>
  <c r="B158" i="32"/>
  <c r="B159" i="32"/>
  <c r="B160" i="32"/>
  <c r="B161" i="32"/>
  <c r="B162" i="32"/>
  <c r="B163" i="32"/>
  <c r="B164" i="32"/>
  <c r="B165" i="32"/>
  <c r="B166" i="32"/>
  <c r="B167" i="32"/>
  <c r="B168" i="32"/>
  <c r="B169" i="32"/>
  <c r="B170" i="32"/>
  <c r="B171" i="32"/>
  <c r="B172" i="32"/>
  <c r="B173" i="32"/>
  <c r="B174" i="32"/>
  <c r="B175" i="32"/>
  <c r="B176" i="32"/>
  <c r="B177" i="32"/>
  <c r="B178" i="32"/>
  <c r="B179" i="32"/>
  <c r="B180" i="32"/>
  <c r="B181" i="32"/>
  <c r="B182" i="32"/>
  <c r="B183" i="32"/>
  <c r="B184" i="32"/>
  <c r="B185" i="32"/>
  <c r="B186" i="32"/>
  <c r="B187" i="32"/>
  <c r="B188" i="32"/>
  <c r="B189" i="32"/>
  <c r="B190" i="32"/>
  <c r="B191" i="32"/>
  <c r="B192" i="32"/>
  <c r="B193" i="32"/>
  <c r="B194" i="32"/>
  <c r="B195" i="32"/>
  <c r="B196" i="32"/>
  <c r="B197" i="32"/>
  <c r="B198" i="32"/>
  <c r="B199" i="32"/>
  <c r="B200" i="32"/>
  <c r="B201" i="32"/>
  <c r="B202" i="32"/>
  <c r="B203" i="32"/>
  <c r="B204" i="32"/>
  <c r="B205" i="32"/>
  <c r="B206" i="32"/>
  <c r="B207" i="32"/>
  <c r="B208" i="32"/>
  <c r="B209" i="32"/>
  <c r="B210" i="32"/>
  <c r="B211" i="32"/>
  <c r="B212" i="32"/>
  <c r="B213" i="32"/>
  <c r="B214" i="32"/>
  <c r="B215" i="32"/>
  <c r="B216" i="32"/>
  <c r="B217" i="32"/>
  <c r="B218" i="32"/>
  <c r="B219" i="32"/>
  <c r="B220" i="32"/>
  <c r="B221" i="32"/>
  <c r="B222" i="32"/>
  <c r="B223" i="32"/>
  <c r="B224" i="32"/>
  <c r="B225" i="32"/>
  <c r="B226" i="32"/>
  <c r="B227" i="32"/>
  <c r="B228" i="32"/>
  <c r="B229" i="32"/>
  <c r="B230" i="32"/>
  <c r="B231" i="32"/>
  <c r="B232" i="32"/>
  <c r="B233" i="32"/>
  <c r="B234" i="32"/>
  <c r="B235" i="32"/>
  <c r="B236" i="32"/>
  <c r="B237" i="32"/>
  <c r="B238" i="32"/>
  <c r="B239" i="32"/>
  <c r="B240" i="32"/>
  <c r="B241" i="32"/>
  <c r="B242" i="32"/>
  <c r="B243" i="32"/>
  <c r="B244" i="32"/>
  <c r="B245" i="32"/>
  <c r="B246" i="32"/>
  <c r="B247" i="32"/>
  <c r="B248" i="32"/>
  <c r="B249" i="32"/>
  <c r="B250" i="32"/>
  <c r="B251" i="32"/>
  <c r="B252" i="32"/>
  <c r="B253" i="32"/>
  <c r="B254" i="32"/>
  <c r="B255" i="32"/>
  <c r="B256" i="32"/>
  <c r="B257" i="32"/>
  <c r="B258" i="32"/>
  <c r="B259" i="32"/>
  <c r="B260" i="32"/>
  <c r="B261" i="32"/>
  <c r="B262" i="32"/>
  <c r="B263" i="32"/>
  <c r="B264" i="32"/>
  <c r="B265" i="32"/>
  <c r="B266" i="32"/>
  <c r="B267" i="32"/>
  <c r="B268" i="32"/>
  <c r="B269" i="32"/>
  <c r="B270" i="32"/>
  <c r="B271" i="32"/>
  <c r="B272" i="32"/>
  <c r="B273" i="32"/>
  <c r="B274" i="32"/>
  <c r="B275" i="32"/>
  <c r="B276" i="32"/>
  <c r="B277" i="32"/>
  <c r="B278" i="32"/>
  <c r="B279" i="32"/>
  <c r="B280" i="32"/>
  <c r="B281" i="32"/>
  <c r="B282" i="32"/>
  <c r="B283" i="32"/>
  <c r="B284" i="32"/>
  <c r="B285" i="32"/>
  <c r="B286" i="32"/>
  <c r="B287" i="32"/>
  <c r="B288" i="32"/>
  <c r="B289" i="32"/>
  <c r="B290" i="32"/>
  <c r="B291" i="32"/>
  <c r="B292" i="32"/>
  <c r="B293" i="32"/>
  <c r="B294" i="32"/>
  <c r="B295" i="32"/>
  <c r="B296" i="32"/>
  <c r="B297" i="32"/>
  <c r="B298" i="32"/>
  <c r="B299" i="32"/>
  <c r="B300" i="32"/>
  <c r="B301" i="32"/>
  <c r="B302" i="32"/>
  <c r="B303" i="32"/>
  <c r="B304" i="32"/>
  <c r="B305" i="32"/>
  <c r="B306" i="32"/>
  <c r="B307" i="32"/>
  <c r="B308" i="32"/>
  <c r="B309" i="32"/>
  <c r="B310" i="32"/>
  <c r="B311" i="32"/>
  <c r="B312" i="32"/>
  <c r="B313" i="32"/>
  <c r="B314" i="32"/>
  <c r="B315" i="32"/>
  <c r="B316" i="32"/>
  <c r="B317" i="32"/>
  <c r="B318" i="32"/>
  <c r="B319" i="32"/>
  <c r="B320" i="32"/>
  <c r="B321" i="32"/>
  <c r="B322" i="32"/>
  <c r="B323" i="32"/>
  <c r="B324" i="32"/>
  <c r="B325" i="32"/>
  <c r="B326" i="32"/>
  <c r="B327" i="32"/>
  <c r="B328" i="32"/>
  <c r="B329" i="32"/>
  <c r="B330" i="32"/>
  <c r="B331" i="32"/>
  <c r="B332" i="32"/>
  <c r="B333" i="32"/>
  <c r="B334" i="32"/>
  <c r="B335" i="32"/>
  <c r="B336" i="32"/>
  <c r="B337" i="32"/>
  <c r="B338" i="32"/>
  <c r="B339" i="32"/>
  <c r="B340" i="32"/>
  <c r="B341" i="32"/>
  <c r="B342" i="32"/>
  <c r="B343" i="32"/>
  <c r="B344" i="32"/>
  <c r="B345" i="32"/>
  <c r="B346" i="32"/>
  <c r="B347" i="32"/>
  <c r="B348" i="32"/>
  <c r="B349" i="32"/>
  <c r="B350" i="32"/>
  <c r="B351" i="32"/>
  <c r="B352" i="32"/>
  <c r="B353" i="32"/>
  <c r="B354" i="32"/>
  <c r="B355" i="32"/>
  <c r="B356" i="32"/>
  <c r="B357" i="32"/>
  <c r="B358" i="32"/>
  <c r="B359" i="32"/>
  <c r="B360" i="32"/>
  <c r="B361" i="32"/>
  <c r="B362" i="32"/>
  <c r="B363" i="32"/>
  <c r="B364" i="32"/>
  <c r="B365" i="32"/>
  <c r="B366" i="32"/>
  <c r="B367" i="32"/>
  <c r="B368" i="32"/>
  <c r="B369" i="32"/>
  <c r="B370" i="32"/>
  <c r="B371" i="32"/>
  <c r="B372" i="32"/>
  <c r="B373" i="32"/>
  <c r="B374" i="32"/>
  <c r="B375" i="32"/>
  <c r="B376" i="32"/>
  <c r="B377" i="32"/>
  <c r="B378" i="32"/>
  <c r="B379" i="32"/>
  <c r="B380" i="32"/>
  <c r="B381" i="32"/>
  <c r="B382" i="32"/>
  <c r="B383" i="32"/>
  <c r="B384" i="32"/>
  <c r="B385" i="32"/>
  <c r="B386" i="32"/>
  <c r="B387" i="32"/>
  <c r="B388" i="32"/>
  <c r="B389" i="32"/>
  <c r="B390" i="32"/>
  <c r="B391" i="32"/>
  <c r="B392" i="32"/>
  <c r="B393" i="32"/>
  <c r="B394" i="32"/>
  <c r="B395" i="32"/>
  <c r="B396" i="32"/>
  <c r="B397" i="32"/>
  <c r="B398" i="32"/>
  <c r="B399" i="32"/>
  <c r="B400" i="32"/>
  <c r="B401" i="32"/>
  <c r="B402" i="32"/>
  <c r="B403" i="32"/>
  <c r="B404" i="32"/>
  <c r="B405" i="32"/>
  <c r="B406" i="32"/>
  <c r="B407" i="32"/>
  <c r="B408" i="32"/>
  <c r="B409" i="32"/>
  <c r="B410" i="32"/>
  <c r="B411" i="32"/>
  <c r="B412" i="32"/>
  <c r="B413" i="32"/>
  <c r="B414" i="32"/>
  <c r="B415" i="32"/>
  <c r="B416" i="32"/>
  <c r="B417" i="32"/>
  <c r="B418" i="32"/>
  <c r="B419" i="32"/>
  <c r="B420" i="32"/>
  <c r="B421" i="32"/>
  <c r="B422" i="32"/>
  <c r="B423" i="32"/>
  <c r="B424" i="32"/>
  <c r="B425" i="32"/>
  <c r="B426" i="32"/>
  <c r="B427" i="32"/>
  <c r="B428" i="32"/>
  <c r="B429" i="32"/>
  <c r="B430" i="32"/>
  <c r="B431" i="32"/>
  <c r="B432" i="32"/>
  <c r="B433" i="32"/>
  <c r="B434" i="32"/>
  <c r="B435" i="32"/>
  <c r="B436" i="32"/>
  <c r="B437" i="32"/>
  <c r="B438" i="32"/>
  <c r="B439" i="32"/>
  <c r="B440" i="32"/>
  <c r="B441" i="32"/>
  <c r="B442" i="32"/>
  <c r="B443" i="32"/>
  <c r="B444" i="32"/>
  <c r="B445" i="32"/>
  <c r="B446" i="32"/>
  <c r="B447" i="32"/>
  <c r="B448" i="32"/>
  <c r="B449" i="32"/>
  <c r="B450" i="32"/>
  <c r="B451" i="32"/>
  <c r="B452" i="32"/>
  <c r="B453" i="32"/>
  <c r="B454" i="32"/>
  <c r="B455" i="32"/>
  <c r="B456" i="32"/>
  <c r="B457" i="32"/>
  <c r="B458" i="32"/>
  <c r="B459" i="32"/>
  <c r="B460" i="32"/>
  <c r="B461" i="32"/>
  <c r="B462" i="32"/>
  <c r="B463" i="32"/>
  <c r="B464" i="32"/>
  <c r="B465" i="32"/>
  <c r="B466" i="32"/>
  <c r="B467" i="32"/>
  <c r="B468" i="32"/>
  <c r="B469" i="32"/>
  <c r="B470" i="32"/>
  <c r="B471" i="32"/>
  <c r="B472" i="32"/>
  <c r="B473" i="32"/>
  <c r="B474" i="32"/>
  <c r="B475" i="32"/>
  <c r="B476" i="32"/>
  <c r="B477" i="32"/>
  <c r="B478" i="32"/>
  <c r="B479" i="32"/>
  <c r="B480" i="32"/>
  <c r="B481" i="32"/>
  <c r="B482" i="32"/>
  <c r="B483" i="32"/>
  <c r="B484" i="32"/>
  <c r="B485" i="32"/>
  <c r="B486" i="32"/>
  <c r="B487" i="32"/>
  <c r="B488" i="32"/>
  <c r="B489" i="32"/>
  <c r="B490" i="32"/>
  <c r="B491" i="32"/>
  <c r="B492" i="32"/>
  <c r="B493" i="32"/>
  <c r="B494" i="32"/>
  <c r="B495" i="32"/>
  <c r="B496" i="32"/>
  <c r="B497" i="32"/>
  <c r="B498" i="32"/>
  <c r="B499" i="32"/>
  <c r="B500" i="32"/>
  <c r="B501" i="32"/>
  <c r="B502" i="32"/>
  <c r="B503" i="32"/>
  <c r="B504" i="32"/>
  <c r="B505" i="32"/>
  <c r="B506" i="32"/>
  <c r="B507" i="32"/>
  <c r="B508" i="32"/>
  <c r="B509" i="32"/>
  <c r="B510" i="32"/>
  <c r="B511" i="32"/>
  <c r="B512" i="32"/>
  <c r="B513" i="32"/>
  <c r="B514" i="32"/>
  <c r="B515" i="32"/>
  <c r="B516" i="32"/>
  <c r="B517" i="32"/>
  <c r="B518" i="32"/>
  <c r="B519" i="32"/>
  <c r="B520" i="32"/>
  <c r="B521" i="32"/>
  <c r="B522" i="32"/>
  <c r="B523" i="32"/>
  <c r="B524" i="32"/>
  <c r="B525" i="32"/>
  <c r="B526" i="32"/>
  <c r="B527" i="32"/>
  <c r="B528" i="32"/>
  <c r="B529" i="32"/>
  <c r="B530" i="32"/>
  <c r="B531" i="32"/>
  <c r="B532" i="32"/>
  <c r="B533" i="32"/>
  <c r="B534" i="32"/>
  <c r="B535" i="32"/>
  <c r="B536" i="32"/>
  <c r="B537" i="32"/>
  <c r="B538" i="32"/>
  <c r="B539" i="32"/>
  <c r="B540" i="32"/>
  <c r="B541" i="32"/>
  <c r="B542" i="32"/>
  <c r="B543" i="32"/>
  <c r="B544" i="32"/>
  <c r="B545" i="32"/>
  <c r="B546" i="32"/>
  <c r="B547" i="32"/>
  <c r="B548" i="32"/>
  <c r="B549" i="32"/>
  <c r="B550" i="32"/>
  <c r="B551" i="32"/>
  <c r="B552" i="32"/>
  <c r="B553" i="32"/>
  <c r="B554" i="32"/>
  <c r="B555" i="32"/>
  <c r="B556" i="32"/>
  <c r="B557" i="32"/>
  <c r="B558" i="32"/>
  <c r="B559" i="32"/>
  <c r="B560" i="32"/>
  <c r="B561" i="32"/>
  <c r="B562" i="32"/>
  <c r="B563" i="32"/>
  <c r="B564" i="32"/>
  <c r="B565" i="32"/>
  <c r="B566" i="32"/>
  <c r="B567" i="32"/>
  <c r="B568" i="32"/>
  <c r="B569" i="32"/>
  <c r="B570" i="32"/>
  <c r="B571" i="32"/>
  <c r="B572" i="32"/>
  <c r="B573" i="32"/>
  <c r="B574" i="32"/>
  <c r="B575" i="32"/>
  <c r="B576" i="32"/>
  <c r="B577" i="32"/>
  <c r="B578" i="32"/>
  <c r="B579" i="32"/>
  <c r="B580" i="32"/>
  <c r="B581" i="32"/>
  <c r="B582" i="32"/>
  <c r="B583" i="32"/>
  <c r="B584" i="32"/>
  <c r="B585" i="32"/>
  <c r="B586" i="32"/>
  <c r="B587" i="32"/>
  <c r="B588" i="32"/>
  <c r="B589" i="32"/>
  <c r="B590" i="32"/>
  <c r="B591" i="32"/>
  <c r="B592" i="32"/>
  <c r="B593" i="32"/>
  <c r="B594" i="32"/>
  <c r="B595" i="32"/>
  <c r="B596" i="32"/>
  <c r="B597" i="32"/>
  <c r="B598" i="32"/>
  <c r="B599" i="32"/>
  <c r="B600" i="32"/>
  <c r="B601" i="32"/>
  <c r="B602" i="32"/>
  <c r="B603" i="32"/>
  <c r="B604" i="32"/>
  <c r="B605" i="32"/>
  <c r="B606" i="32"/>
  <c r="B607" i="32"/>
  <c r="B608" i="32"/>
  <c r="B609" i="32"/>
  <c r="B610" i="32"/>
  <c r="B611" i="32"/>
  <c r="B612" i="32"/>
  <c r="B613" i="32"/>
  <c r="B614" i="32"/>
  <c r="B615" i="32"/>
  <c r="B616" i="32"/>
  <c r="B617" i="32"/>
  <c r="B618" i="32"/>
  <c r="B619" i="32"/>
  <c r="B620" i="32"/>
  <c r="B621" i="32"/>
  <c r="B622" i="32"/>
  <c r="B623" i="32"/>
  <c r="B624" i="32"/>
  <c r="B625" i="32"/>
  <c r="B626" i="32"/>
  <c r="B627" i="32"/>
  <c r="B628" i="32"/>
  <c r="B629" i="32"/>
  <c r="B630" i="32"/>
  <c r="B631" i="32"/>
  <c r="B632" i="32"/>
  <c r="B633" i="32"/>
  <c r="B634" i="32"/>
  <c r="B635" i="32"/>
  <c r="B636" i="32"/>
  <c r="B637" i="32"/>
  <c r="B638" i="32"/>
  <c r="B639" i="32"/>
  <c r="B640" i="32"/>
  <c r="B641" i="32"/>
  <c r="B642" i="32"/>
  <c r="B643" i="32"/>
  <c r="B644" i="32"/>
  <c r="B645" i="32"/>
  <c r="B646" i="32"/>
  <c r="B647" i="32"/>
  <c r="B648" i="32"/>
  <c r="B649" i="32"/>
  <c r="B650" i="32"/>
  <c r="B651" i="32"/>
  <c r="B652" i="32"/>
  <c r="B653" i="32"/>
  <c r="B654" i="32"/>
  <c r="B655" i="32"/>
  <c r="B656" i="32"/>
  <c r="B657" i="32"/>
  <c r="B658" i="32"/>
  <c r="B659" i="32"/>
  <c r="B660" i="32"/>
  <c r="B661" i="32"/>
  <c r="B662" i="32"/>
  <c r="D5" i="32"/>
  <c r="D6" i="32"/>
  <c r="D7" i="32"/>
  <c r="D8" i="32"/>
  <c r="D9" i="32"/>
  <c r="D10" i="32"/>
  <c r="D11" i="32"/>
  <c r="D12" i="32"/>
  <c r="D13" i="32"/>
  <c r="D14" i="32"/>
  <c r="D15" i="32"/>
  <c r="D16" i="32"/>
  <c r="D17" i="32"/>
  <c r="D18" i="32"/>
  <c r="D19" i="32"/>
  <c r="D20" i="32"/>
  <c r="D21" i="32"/>
  <c r="D22" i="32"/>
  <c r="D23" i="32"/>
  <c r="D24" i="32"/>
  <c r="D25" i="32"/>
  <c r="D26" i="32"/>
  <c r="D27" i="32"/>
  <c r="D28" i="32"/>
  <c r="D29" i="32"/>
  <c r="D30" i="32"/>
  <c r="D31" i="32"/>
  <c r="D32" i="32"/>
  <c r="D33" i="32"/>
  <c r="D34" i="32"/>
  <c r="D35" i="32"/>
  <c r="D36" i="32"/>
  <c r="D37" i="32"/>
  <c r="D38" i="32"/>
  <c r="D39" i="32"/>
  <c r="D40" i="32"/>
  <c r="D41" i="32"/>
  <c r="D42" i="32"/>
  <c r="D43" i="32"/>
  <c r="D44" i="32"/>
  <c r="D45" i="32"/>
  <c r="D46" i="32"/>
  <c r="D47" i="32"/>
  <c r="D48" i="32"/>
  <c r="D49" i="32"/>
  <c r="D50" i="32"/>
  <c r="D51" i="32"/>
  <c r="D52" i="32"/>
  <c r="D53" i="32"/>
  <c r="D54" i="32"/>
  <c r="D55" i="32"/>
  <c r="D56" i="32"/>
  <c r="D57" i="32"/>
  <c r="D58" i="32"/>
  <c r="D59" i="32"/>
  <c r="D60" i="32"/>
  <c r="D61" i="32"/>
  <c r="D62" i="32"/>
  <c r="D63" i="32"/>
  <c r="D64" i="32"/>
  <c r="D65" i="32"/>
  <c r="D66" i="32"/>
  <c r="D67" i="32"/>
  <c r="D68" i="32"/>
  <c r="D69" i="32"/>
  <c r="D70" i="32"/>
  <c r="D71" i="32"/>
  <c r="D72" i="32"/>
  <c r="D73" i="32"/>
  <c r="D74" i="32"/>
  <c r="D75" i="32"/>
  <c r="D76" i="32"/>
  <c r="D77" i="32"/>
  <c r="D78" i="32"/>
  <c r="D79" i="32"/>
  <c r="D80" i="32"/>
  <c r="D81" i="32"/>
  <c r="D82" i="32"/>
  <c r="D83" i="32"/>
  <c r="D84" i="32"/>
  <c r="D85" i="32"/>
  <c r="D86" i="32"/>
  <c r="D87" i="32"/>
  <c r="D88" i="32"/>
  <c r="D89" i="32"/>
  <c r="D90" i="32"/>
  <c r="D91" i="32"/>
  <c r="D92" i="32"/>
  <c r="D93" i="32"/>
  <c r="D94" i="32"/>
  <c r="D95" i="32"/>
  <c r="D96" i="32"/>
  <c r="D97" i="32"/>
  <c r="D98" i="32"/>
  <c r="D99" i="32"/>
  <c r="D100" i="32"/>
  <c r="D101" i="32"/>
  <c r="D102" i="32"/>
  <c r="D103" i="32"/>
  <c r="D104" i="32"/>
  <c r="D105" i="32"/>
  <c r="D106" i="32"/>
  <c r="D107" i="32"/>
  <c r="D108" i="32"/>
  <c r="D109" i="32"/>
  <c r="D110" i="32"/>
  <c r="D111" i="32"/>
  <c r="D112" i="32"/>
  <c r="D113" i="32"/>
  <c r="D114" i="32"/>
  <c r="D115" i="32"/>
  <c r="D116" i="32"/>
  <c r="D117" i="32"/>
  <c r="D118" i="32"/>
  <c r="D119" i="32"/>
  <c r="D120" i="32"/>
  <c r="D121" i="32"/>
  <c r="D122" i="32"/>
  <c r="D123" i="32"/>
  <c r="D124" i="32"/>
  <c r="D125" i="32"/>
  <c r="D126" i="32"/>
  <c r="D127" i="32"/>
  <c r="D128" i="32"/>
  <c r="D129" i="32"/>
  <c r="D130" i="32"/>
  <c r="D131" i="32"/>
  <c r="D132" i="32"/>
  <c r="D133" i="32"/>
  <c r="D134" i="32"/>
  <c r="D135" i="32"/>
  <c r="D136" i="32"/>
  <c r="D137" i="32"/>
  <c r="D138" i="32"/>
  <c r="D139" i="32"/>
  <c r="D140" i="32"/>
  <c r="D141" i="32"/>
  <c r="D142" i="32"/>
  <c r="D143" i="32"/>
  <c r="D144" i="32"/>
  <c r="D145" i="32"/>
  <c r="D146" i="32"/>
  <c r="D147" i="32"/>
  <c r="D148" i="32"/>
  <c r="D149" i="32"/>
  <c r="D150" i="32"/>
  <c r="D151" i="32"/>
  <c r="D152" i="32"/>
  <c r="D153" i="32"/>
  <c r="D154" i="32"/>
  <c r="D155" i="32"/>
  <c r="D156" i="32"/>
  <c r="D157" i="32"/>
  <c r="D158" i="32"/>
  <c r="D159" i="32"/>
  <c r="D160" i="32"/>
  <c r="D161" i="32"/>
  <c r="D162" i="32"/>
  <c r="D163" i="32"/>
  <c r="D164" i="32"/>
  <c r="D165" i="32"/>
  <c r="D166" i="32"/>
  <c r="D167" i="32"/>
  <c r="D168" i="32"/>
  <c r="D169" i="32"/>
  <c r="D170" i="32"/>
  <c r="D171" i="32"/>
  <c r="D172" i="32"/>
  <c r="D173" i="32"/>
  <c r="D174" i="32"/>
  <c r="D175" i="32"/>
  <c r="D176" i="32"/>
  <c r="D177" i="32"/>
  <c r="D178" i="32"/>
  <c r="D179" i="32"/>
  <c r="D180" i="32"/>
  <c r="D181" i="32"/>
  <c r="D182" i="32"/>
  <c r="D183" i="32"/>
  <c r="D184" i="32"/>
  <c r="D185" i="32"/>
  <c r="D186" i="32"/>
  <c r="D187" i="32"/>
  <c r="D188" i="32"/>
  <c r="D189" i="32"/>
  <c r="D190" i="32"/>
  <c r="D191" i="32"/>
  <c r="D192" i="32"/>
  <c r="D193" i="32"/>
  <c r="D194" i="32"/>
  <c r="D195" i="32"/>
  <c r="D196" i="32"/>
  <c r="D197" i="32"/>
  <c r="D198" i="32"/>
  <c r="D199" i="32"/>
  <c r="D200" i="32"/>
  <c r="D201" i="32"/>
  <c r="D202" i="32"/>
  <c r="D203" i="32"/>
  <c r="D204" i="32"/>
  <c r="D205" i="32"/>
  <c r="D206" i="32"/>
  <c r="D207" i="32"/>
  <c r="D208" i="32"/>
  <c r="D209" i="32"/>
  <c r="D210" i="32"/>
  <c r="D211" i="32"/>
  <c r="D212" i="32"/>
  <c r="D213" i="32"/>
  <c r="D214" i="32"/>
  <c r="D215" i="32"/>
  <c r="D216" i="32"/>
  <c r="D217" i="32"/>
  <c r="D218" i="32"/>
  <c r="D219" i="32"/>
  <c r="D220" i="32"/>
  <c r="D221" i="32"/>
  <c r="D222" i="32"/>
  <c r="D223" i="32"/>
  <c r="D224" i="32"/>
  <c r="D225" i="32"/>
  <c r="D226" i="32"/>
  <c r="D227" i="32"/>
  <c r="D228" i="32"/>
  <c r="D229" i="32"/>
  <c r="D230" i="32"/>
  <c r="D231" i="32"/>
  <c r="D232" i="32"/>
  <c r="D233" i="32"/>
  <c r="D234" i="32"/>
  <c r="D235" i="32"/>
  <c r="D236" i="32"/>
  <c r="D237" i="32"/>
  <c r="D238" i="32"/>
  <c r="D239" i="32"/>
  <c r="D240" i="32"/>
  <c r="D241" i="32"/>
  <c r="D242" i="32"/>
  <c r="D243" i="32"/>
  <c r="D244" i="32"/>
  <c r="D245" i="32"/>
  <c r="D246" i="32"/>
  <c r="D247" i="32"/>
  <c r="D248" i="32"/>
  <c r="D249" i="32"/>
  <c r="D250" i="32"/>
  <c r="D251" i="32"/>
  <c r="D252" i="32"/>
  <c r="D253" i="32"/>
  <c r="D254" i="32"/>
  <c r="D255" i="32"/>
  <c r="D256" i="32"/>
  <c r="D257" i="32"/>
  <c r="D258" i="32"/>
  <c r="D259" i="32"/>
  <c r="D260" i="32"/>
  <c r="D261" i="32"/>
  <c r="D262" i="32"/>
  <c r="D263" i="32"/>
  <c r="D264" i="32"/>
  <c r="D265" i="32"/>
  <c r="D266" i="32"/>
  <c r="D267" i="32"/>
  <c r="D268" i="32"/>
  <c r="D269" i="32"/>
  <c r="D270" i="32"/>
  <c r="D271" i="32"/>
  <c r="D272" i="32"/>
  <c r="D273" i="32"/>
  <c r="D274" i="32"/>
  <c r="D275" i="32"/>
  <c r="D276" i="32"/>
  <c r="D277" i="32"/>
  <c r="D278" i="32"/>
  <c r="D279" i="32"/>
  <c r="D280" i="32"/>
  <c r="D281" i="32"/>
  <c r="D282" i="32"/>
  <c r="D283" i="32"/>
  <c r="D284" i="32"/>
  <c r="D285" i="32"/>
  <c r="D286" i="32"/>
  <c r="D287" i="32"/>
  <c r="D288" i="32"/>
  <c r="D289" i="32"/>
  <c r="D290" i="32"/>
  <c r="D291" i="32"/>
  <c r="D292" i="32"/>
  <c r="D293" i="32"/>
  <c r="D294" i="32"/>
  <c r="D295" i="32"/>
  <c r="D296" i="32"/>
  <c r="D297" i="32"/>
  <c r="D298" i="32"/>
  <c r="D299" i="32"/>
  <c r="D300" i="32"/>
  <c r="D301" i="32"/>
  <c r="D302" i="32"/>
  <c r="D303" i="32"/>
  <c r="D304" i="32"/>
  <c r="D305" i="32"/>
  <c r="D306" i="32"/>
  <c r="D307" i="32"/>
  <c r="D308" i="32"/>
  <c r="D309" i="32"/>
  <c r="D310" i="32"/>
  <c r="D311" i="32"/>
  <c r="D312" i="32"/>
  <c r="D313" i="32"/>
  <c r="D314" i="32"/>
  <c r="D315" i="32"/>
  <c r="D316" i="32"/>
  <c r="D317" i="32"/>
  <c r="D318" i="32"/>
  <c r="D319" i="32"/>
  <c r="D320" i="32"/>
  <c r="D321" i="32"/>
  <c r="D322" i="32"/>
  <c r="D323" i="32"/>
  <c r="D324" i="32"/>
  <c r="D325" i="32"/>
  <c r="D326" i="32"/>
  <c r="D327" i="32"/>
  <c r="D328" i="32"/>
  <c r="D329" i="32"/>
  <c r="D330" i="32"/>
  <c r="D331" i="32"/>
  <c r="D332" i="32"/>
  <c r="D333" i="32"/>
  <c r="D334" i="32"/>
  <c r="D335" i="32"/>
  <c r="D336" i="32"/>
  <c r="D337" i="32"/>
  <c r="D338" i="32"/>
  <c r="D339" i="32"/>
  <c r="D340" i="32"/>
  <c r="D341" i="32"/>
  <c r="D342" i="32"/>
  <c r="D343" i="32"/>
  <c r="D344" i="32"/>
  <c r="D345" i="32"/>
  <c r="D346" i="32"/>
  <c r="D347" i="32"/>
  <c r="D348" i="32"/>
  <c r="D349" i="32"/>
  <c r="D350" i="32"/>
  <c r="D351" i="32"/>
  <c r="D352" i="32"/>
  <c r="D353" i="32"/>
  <c r="D354" i="32"/>
  <c r="D355" i="32"/>
  <c r="D356" i="32"/>
  <c r="D357" i="32"/>
  <c r="D358" i="32"/>
  <c r="D359" i="32"/>
  <c r="D360" i="32"/>
  <c r="D361" i="32"/>
  <c r="D362" i="32"/>
  <c r="D363" i="32"/>
  <c r="D364" i="32"/>
  <c r="D365" i="32"/>
  <c r="D366" i="32"/>
  <c r="D367" i="32"/>
  <c r="D368" i="32"/>
  <c r="D369" i="32"/>
  <c r="D370" i="32"/>
  <c r="D371" i="32"/>
  <c r="D372" i="32"/>
  <c r="D373" i="32"/>
  <c r="D374" i="32"/>
  <c r="D375" i="32"/>
  <c r="D376" i="32"/>
  <c r="D377" i="32"/>
  <c r="D378" i="32"/>
  <c r="D379" i="32"/>
  <c r="D380" i="32"/>
  <c r="D381" i="32"/>
  <c r="D382" i="32"/>
  <c r="D383" i="32"/>
  <c r="D384" i="32"/>
  <c r="D385" i="32"/>
  <c r="D386" i="32"/>
  <c r="D387" i="32"/>
  <c r="D388" i="32"/>
  <c r="D389" i="32"/>
  <c r="D390" i="32"/>
  <c r="D391" i="32"/>
  <c r="D392" i="32"/>
  <c r="D393" i="32"/>
  <c r="D394" i="32"/>
  <c r="D395" i="32"/>
  <c r="D396" i="32"/>
  <c r="D397" i="32"/>
  <c r="D398" i="32"/>
  <c r="D399" i="32"/>
  <c r="D400" i="32"/>
  <c r="D401" i="32"/>
  <c r="D402" i="32"/>
  <c r="D403" i="32"/>
  <c r="D404" i="32"/>
  <c r="D405" i="32"/>
  <c r="D406" i="32"/>
  <c r="D407" i="32"/>
  <c r="D408" i="32"/>
  <c r="D409" i="32"/>
  <c r="D410" i="32"/>
  <c r="D411" i="32"/>
  <c r="D412" i="32"/>
  <c r="D413" i="32"/>
  <c r="D414" i="32"/>
  <c r="D415" i="32"/>
  <c r="D416" i="32"/>
  <c r="D417" i="32"/>
  <c r="D418" i="32"/>
  <c r="D419" i="32"/>
  <c r="D420" i="32"/>
  <c r="D421" i="32"/>
  <c r="D422" i="32"/>
  <c r="D423" i="32"/>
  <c r="D424" i="32"/>
  <c r="D425" i="32"/>
  <c r="D426" i="32"/>
  <c r="D427" i="32"/>
  <c r="D428" i="32"/>
  <c r="D429" i="32"/>
  <c r="D430" i="32"/>
  <c r="D431" i="32"/>
  <c r="D432" i="32"/>
  <c r="D433" i="32"/>
  <c r="D434" i="32"/>
  <c r="D435" i="32"/>
  <c r="D436" i="32"/>
  <c r="D437" i="32"/>
  <c r="D438" i="32"/>
  <c r="D439" i="32"/>
  <c r="D440" i="32"/>
  <c r="D441" i="32"/>
  <c r="D442" i="32"/>
  <c r="D443" i="32"/>
  <c r="D444" i="32"/>
  <c r="D445" i="32"/>
  <c r="D446" i="32"/>
  <c r="D447" i="32"/>
  <c r="D448" i="32"/>
  <c r="D449" i="32"/>
  <c r="D450" i="32"/>
  <c r="D451" i="32"/>
  <c r="D452" i="32"/>
  <c r="D453" i="32"/>
  <c r="D454" i="32"/>
  <c r="D455" i="32"/>
  <c r="D456" i="32"/>
  <c r="D457" i="32"/>
  <c r="D458" i="32"/>
  <c r="D459" i="32"/>
  <c r="D460" i="32"/>
  <c r="D461" i="32"/>
  <c r="D462" i="32"/>
  <c r="D463" i="32"/>
  <c r="D464" i="32"/>
  <c r="D465" i="32"/>
  <c r="D466" i="32"/>
  <c r="D467" i="32"/>
  <c r="D468" i="32"/>
  <c r="D469" i="32"/>
  <c r="D470" i="32"/>
  <c r="D471" i="32"/>
  <c r="D472" i="32"/>
  <c r="D473" i="32"/>
  <c r="D474" i="32"/>
  <c r="D475" i="32"/>
  <c r="D476" i="32"/>
  <c r="D477" i="32"/>
  <c r="D478" i="32"/>
  <c r="D479" i="32"/>
  <c r="D480" i="32"/>
  <c r="D481" i="32"/>
  <c r="D482" i="32"/>
  <c r="D483" i="32"/>
  <c r="D484" i="32"/>
  <c r="D485" i="32"/>
  <c r="D486" i="32"/>
  <c r="D487" i="32"/>
  <c r="D488" i="32"/>
  <c r="D489" i="32"/>
  <c r="D490" i="32"/>
  <c r="D491" i="32"/>
  <c r="D492" i="32"/>
  <c r="D493" i="32"/>
  <c r="D494" i="32"/>
  <c r="D495" i="32"/>
  <c r="D496" i="32"/>
  <c r="D497" i="32"/>
  <c r="D498" i="32"/>
  <c r="D499" i="32"/>
  <c r="D500" i="32"/>
  <c r="D501" i="32"/>
  <c r="D502" i="32"/>
  <c r="D503" i="32"/>
  <c r="D504" i="32"/>
  <c r="D505" i="32"/>
  <c r="D506" i="32"/>
  <c r="D507" i="32"/>
  <c r="D508" i="32"/>
  <c r="D509" i="32"/>
  <c r="D510" i="32"/>
  <c r="D511" i="32"/>
  <c r="D512" i="32"/>
  <c r="D513" i="32"/>
  <c r="D514" i="32"/>
  <c r="D515" i="32"/>
  <c r="D516" i="32"/>
  <c r="D517" i="32"/>
  <c r="D518" i="32"/>
  <c r="D519" i="32"/>
  <c r="D520" i="32"/>
  <c r="D521" i="32"/>
  <c r="D522" i="32"/>
  <c r="D523" i="32"/>
  <c r="D524" i="32"/>
  <c r="D525" i="32"/>
  <c r="D526" i="32"/>
  <c r="D527" i="32"/>
  <c r="D528" i="32"/>
  <c r="D529" i="32"/>
  <c r="D530" i="32"/>
  <c r="D531" i="32"/>
  <c r="D532" i="32"/>
  <c r="D533" i="32"/>
  <c r="D534" i="32"/>
  <c r="D535" i="32"/>
  <c r="D536" i="32"/>
  <c r="D537" i="32"/>
  <c r="D538" i="32"/>
  <c r="D539" i="32"/>
  <c r="D540" i="32"/>
  <c r="D541" i="32"/>
  <c r="D542" i="32"/>
  <c r="D543" i="32"/>
  <c r="D544" i="32"/>
  <c r="D545" i="32"/>
  <c r="D546" i="32"/>
  <c r="D547" i="32"/>
  <c r="D548" i="32"/>
  <c r="D549" i="32"/>
  <c r="D550" i="32"/>
  <c r="D551" i="32"/>
  <c r="D552" i="32"/>
  <c r="D553" i="32"/>
  <c r="D554" i="32"/>
  <c r="D555" i="32"/>
  <c r="D556" i="32"/>
  <c r="D557" i="32"/>
  <c r="D558" i="32"/>
  <c r="D559" i="32"/>
  <c r="D560" i="32"/>
  <c r="D561" i="32"/>
  <c r="D562" i="32"/>
  <c r="D563" i="32"/>
  <c r="D564" i="32"/>
  <c r="D565" i="32"/>
  <c r="D566" i="32"/>
  <c r="D567" i="32"/>
  <c r="D568" i="32"/>
  <c r="D569" i="32"/>
  <c r="D570" i="32"/>
  <c r="D571" i="32"/>
  <c r="D572" i="32"/>
  <c r="D573" i="32"/>
  <c r="D574" i="32"/>
  <c r="D575" i="32"/>
  <c r="D576" i="32"/>
  <c r="D577" i="32"/>
  <c r="D578" i="32"/>
  <c r="D579" i="32"/>
  <c r="D580" i="32"/>
  <c r="D581" i="32"/>
  <c r="D582" i="32"/>
  <c r="D583" i="32"/>
  <c r="D584" i="32"/>
  <c r="D585" i="32"/>
  <c r="D586" i="32"/>
  <c r="D587" i="32"/>
  <c r="D588" i="32"/>
  <c r="D589" i="32"/>
  <c r="D590" i="32"/>
  <c r="D591" i="32"/>
  <c r="D592" i="32"/>
  <c r="D593" i="32"/>
  <c r="D594" i="32"/>
  <c r="D595" i="32"/>
  <c r="D596" i="32"/>
  <c r="D597" i="32"/>
  <c r="D598" i="32"/>
  <c r="D599" i="32"/>
  <c r="D600" i="32"/>
  <c r="D601" i="32"/>
  <c r="D602" i="32"/>
  <c r="D603" i="32"/>
  <c r="D604" i="32"/>
  <c r="D605" i="32"/>
  <c r="D606" i="32"/>
  <c r="D607" i="32"/>
  <c r="D608" i="32"/>
  <c r="D609" i="32"/>
  <c r="D610" i="32"/>
  <c r="D611" i="32"/>
  <c r="D612" i="32"/>
  <c r="D613" i="32"/>
  <c r="D614" i="32"/>
  <c r="D615" i="32"/>
  <c r="D616" i="32"/>
  <c r="D617" i="32"/>
  <c r="D618" i="32"/>
  <c r="D619" i="32"/>
  <c r="D620" i="32"/>
  <c r="D621" i="32"/>
  <c r="D622" i="32"/>
  <c r="D623" i="32"/>
  <c r="D624" i="32"/>
  <c r="D625" i="32"/>
  <c r="D626" i="32"/>
  <c r="D627" i="32"/>
  <c r="D628" i="32"/>
  <c r="D629" i="32"/>
  <c r="D630" i="32"/>
  <c r="D631" i="32"/>
  <c r="D632" i="32"/>
  <c r="D633" i="32"/>
  <c r="D634" i="32"/>
  <c r="D635" i="32"/>
  <c r="D636" i="32"/>
  <c r="D637" i="32"/>
  <c r="D638" i="32"/>
  <c r="D639" i="32"/>
  <c r="D640" i="32"/>
  <c r="D641" i="32"/>
  <c r="D642" i="32"/>
  <c r="D643" i="32"/>
  <c r="D644" i="32"/>
  <c r="D645" i="32"/>
  <c r="D646" i="32"/>
  <c r="D647" i="32"/>
  <c r="D648" i="32"/>
  <c r="D649" i="32"/>
  <c r="D650" i="32"/>
  <c r="D651" i="32"/>
  <c r="D652" i="32"/>
  <c r="D653" i="32"/>
  <c r="D654" i="32"/>
  <c r="D655" i="32"/>
  <c r="D656" i="32"/>
  <c r="D657" i="32"/>
  <c r="D658" i="32"/>
  <c r="D659" i="32"/>
  <c r="D660" i="32"/>
  <c r="D661" i="32"/>
  <c r="D662" i="32"/>
  <c r="D4" i="32"/>
  <c r="J77" i="42"/>
  <c r="L77" i="42"/>
  <c r="J78" i="42"/>
  <c r="L78" i="42"/>
  <c r="J79" i="42"/>
  <c r="L79" i="42"/>
  <c r="J80" i="42"/>
  <c r="L80" i="42"/>
  <c r="J81" i="42"/>
  <c r="L81" i="42"/>
  <c r="J82" i="42"/>
  <c r="L82" i="42"/>
  <c r="J83" i="42"/>
  <c r="L83" i="42"/>
  <c r="J84" i="42"/>
  <c r="L84" i="42"/>
  <c r="J85" i="42"/>
  <c r="L85" i="42"/>
  <c r="J86" i="42"/>
  <c r="L86" i="42"/>
  <c r="J87" i="42"/>
  <c r="L87" i="42"/>
  <c r="J88" i="42"/>
  <c r="L88" i="42"/>
  <c r="J89" i="42"/>
  <c r="L89" i="42"/>
  <c r="J90" i="42"/>
  <c r="L90" i="42"/>
  <c r="J91" i="42"/>
  <c r="L91" i="42"/>
  <c r="J92" i="42"/>
  <c r="L92" i="42"/>
  <c r="J93" i="42"/>
  <c r="L93" i="42"/>
  <c r="J94" i="42"/>
  <c r="L94" i="42"/>
  <c r="J95" i="42"/>
  <c r="L95" i="42"/>
  <c r="J96" i="42"/>
  <c r="L96" i="42"/>
  <c r="J97" i="42"/>
  <c r="L97" i="42"/>
  <c r="J98" i="42"/>
  <c r="L98" i="42"/>
  <c r="J99" i="42"/>
  <c r="L99" i="42"/>
  <c r="J100" i="42"/>
  <c r="L100" i="42"/>
  <c r="J101" i="42"/>
  <c r="L101" i="42"/>
  <c r="J102" i="42"/>
  <c r="L102" i="42"/>
  <c r="J103" i="42"/>
  <c r="L103" i="42"/>
  <c r="J104" i="42"/>
  <c r="L104" i="42"/>
  <c r="J105" i="42"/>
  <c r="L105" i="42"/>
  <c r="J106" i="42"/>
  <c r="L106" i="42"/>
  <c r="J107" i="42"/>
  <c r="L107" i="42"/>
  <c r="J108" i="42"/>
  <c r="L108" i="42"/>
  <c r="J109" i="42"/>
  <c r="L109" i="42"/>
  <c r="J110" i="42"/>
  <c r="L110" i="42"/>
  <c r="J111" i="42"/>
  <c r="L111" i="42"/>
  <c r="J112" i="42"/>
  <c r="L112" i="42"/>
  <c r="J113" i="42"/>
  <c r="L113" i="42"/>
  <c r="J114" i="42"/>
  <c r="L114" i="42"/>
  <c r="J115" i="42"/>
  <c r="L115" i="42"/>
  <c r="J116" i="42"/>
  <c r="L116" i="42"/>
  <c r="J117" i="42"/>
  <c r="L117" i="42"/>
  <c r="J118" i="42"/>
  <c r="L118" i="42"/>
  <c r="J119" i="42"/>
  <c r="L119" i="42"/>
  <c r="J120" i="42"/>
  <c r="L120" i="42"/>
  <c r="J121" i="42"/>
  <c r="L121" i="42"/>
  <c r="J122" i="42"/>
  <c r="L122" i="42"/>
  <c r="J123" i="42"/>
  <c r="L123" i="42"/>
  <c r="J124" i="42"/>
  <c r="L124" i="42"/>
  <c r="J125" i="42"/>
  <c r="L125" i="42"/>
  <c r="J126" i="42"/>
  <c r="L126" i="42"/>
  <c r="J127" i="42"/>
  <c r="L127" i="42"/>
  <c r="J128" i="42"/>
  <c r="L128" i="42"/>
  <c r="J129" i="42"/>
  <c r="L129" i="42"/>
  <c r="J130" i="42"/>
  <c r="L130" i="42"/>
  <c r="J131" i="42"/>
  <c r="L131" i="42"/>
  <c r="J132" i="42"/>
  <c r="L132" i="42"/>
  <c r="J133" i="42"/>
  <c r="L133" i="42"/>
  <c r="J134" i="42"/>
  <c r="L134" i="42"/>
  <c r="J135" i="42"/>
  <c r="L135" i="42"/>
  <c r="J136" i="42"/>
  <c r="L136" i="42"/>
  <c r="J137" i="42"/>
  <c r="L137" i="42"/>
  <c r="J138" i="42"/>
  <c r="L138" i="42"/>
  <c r="J139" i="42"/>
  <c r="L139" i="42"/>
  <c r="J140" i="42"/>
  <c r="L140" i="42"/>
  <c r="J141" i="42"/>
  <c r="L141" i="42"/>
  <c r="J142" i="42"/>
  <c r="L142" i="42"/>
  <c r="J143" i="42"/>
  <c r="L143" i="42"/>
  <c r="J144" i="42"/>
  <c r="L144" i="42"/>
  <c r="J145" i="42"/>
  <c r="L145" i="42"/>
  <c r="J146" i="42"/>
  <c r="L146" i="42"/>
  <c r="J147" i="42"/>
  <c r="L147" i="42"/>
  <c r="J148" i="42"/>
  <c r="L148" i="42"/>
  <c r="J149" i="42"/>
  <c r="L149" i="42"/>
  <c r="J150" i="42"/>
  <c r="L150" i="42"/>
  <c r="J151" i="42"/>
  <c r="L151" i="42"/>
  <c r="J152" i="42"/>
  <c r="L152" i="42"/>
  <c r="J153" i="42"/>
  <c r="L153" i="42"/>
  <c r="H154" i="42"/>
  <c r="J154" i="42"/>
  <c r="L154" i="42"/>
  <c r="J155" i="42"/>
  <c r="L155" i="42"/>
  <c r="J156" i="42"/>
  <c r="L156" i="42"/>
  <c r="J157" i="42"/>
  <c r="L157" i="42"/>
  <c r="J158" i="42"/>
  <c r="L158" i="42"/>
  <c r="J159" i="42"/>
  <c r="L159" i="42"/>
  <c r="J160" i="42"/>
  <c r="L160" i="42"/>
  <c r="J161" i="42"/>
  <c r="L161" i="42"/>
  <c r="J162" i="42"/>
  <c r="L162" i="42"/>
  <c r="J163" i="42"/>
  <c r="L163" i="42"/>
  <c r="J164" i="42"/>
  <c r="L164" i="42"/>
  <c r="J165" i="42"/>
  <c r="L165" i="42"/>
  <c r="J166" i="42"/>
  <c r="L166" i="42"/>
  <c r="J167" i="42"/>
  <c r="L167" i="42"/>
  <c r="J168" i="42"/>
  <c r="L168" i="42"/>
  <c r="J169" i="42"/>
  <c r="L169" i="42"/>
  <c r="J170" i="42"/>
  <c r="L170" i="42"/>
  <c r="J171" i="42"/>
  <c r="L171" i="42"/>
  <c r="J172" i="42"/>
  <c r="L172" i="42"/>
  <c r="J173" i="42"/>
  <c r="L173" i="42"/>
  <c r="J174" i="42"/>
  <c r="L174" i="42"/>
  <c r="J175" i="42"/>
  <c r="L175" i="42"/>
  <c r="J176" i="42"/>
  <c r="L176" i="42"/>
  <c r="J177" i="42"/>
  <c r="L177" i="42"/>
  <c r="J178" i="42"/>
  <c r="L178" i="42"/>
  <c r="J179" i="42"/>
  <c r="L179" i="42"/>
  <c r="J180" i="42"/>
  <c r="L180" i="42"/>
  <c r="J181" i="42"/>
  <c r="L181" i="42"/>
  <c r="J182" i="42"/>
  <c r="L182" i="42"/>
  <c r="J183" i="42"/>
  <c r="L183" i="42"/>
  <c r="J184" i="42"/>
  <c r="L184" i="42"/>
  <c r="J185" i="42"/>
  <c r="L185" i="42"/>
  <c r="J186" i="42"/>
  <c r="L186" i="42"/>
  <c r="J187" i="42"/>
  <c r="L187" i="42"/>
  <c r="J188" i="42"/>
  <c r="L188" i="42"/>
  <c r="J189" i="42"/>
  <c r="L189" i="42"/>
  <c r="J190" i="42"/>
  <c r="L190" i="42"/>
  <c r="J191" i="42"/>
  <c r="L191" i="42"/>
  <c r="J192" i="42"/>
  <c r="L192" i="42"/>
  <c r="J193" i="42"/>
  <c r="L193" i="42"/>
  <c r="J194" i="42"/>
  <c r="L194" i="42"/>
  <c r="J195" i="42"/>
  <c r="L195" i="42"/>
  <c r="J196" i="42"/>
  <c r="L196" i="42"/>
  <c r="J197" i="42"/>
  <c r="L197" i="42"/>
  <c r="J198" i="42"/>
  <c r="L198" i="42"/>
  <c r="J199" i="42"/>
  <c r="L199" i="42"/>
  <c r="J200" i="42"/>
  <c r="L200" i="42"/>
  <c r="J201" i="42"/>
  <c r="L201" i="42"/>
  <c r="J202" i="42"/>
  <c r="L202" i="42"/>
  <c r="J203" i="42"/>
  <c r="L203" i="42"/>
  <c r="J204" i="42"/>
  <c r="L204" i="42"/>
  <c r="J205" i="42"/>
  <c r="L205" i="42"/>
  <c r="J206" i="42"/>
  <c r="L206" i="42"/>
  <c r="J207" i="42"/>
  <c r="L207" i="42"/>
  <c r="J208" i="42"/>
  <c r="L208" i="42"/>
  <c r="J209" i="42"/>
  <c r="L209" i="42"/>
  <c r="J210" i="42"/>
  <c r="L210" i="42"/>
  <c r="J211" i="42"/>
  <c r="L211" i="42"/>
  <c r="J212" i="42"/>
  <c r="L212" i="42"/>
  <c r="J213" i="42"/>
  <c r="L213" i="42"/>
  <c r="H214" i="42"/>
  <c r="J214" i="42"/>
  <c r="L214" i="42"/>
  <c r="J215" i="42"/>
  <c r="L215" i="42"/>
  <c r="J216" i="42"/>
  <c r="L216" i="42"/>
  <c r="J217" i="42"/>
  <c r="L217" i="42"/>
  <c r="J218" i="42"/>
  <c r="L218" i="42"/>
  <c r="J219" i="42"/>
  <c r="L219" i="42"/>
  <c r="J220" i="42"/>
  <c r="L220" i="42"/>
  <c r="J221" i="42"/>
  <c r="L221" i="42"/>
  <c r="J222" i="42"/>
  <c r="L222" i="42"/>
  <c r="J223" i="42"/>
  <c r="L223" i="42"/>
  <c r="J224" i="42"/>
  <c r="L224" i="42"/>
  <c r="J225" i="42"/>
  <c r="L225" i="42"/>
  <c r="J226" i="42"/>
  <c r="L226" i="42"/>
  <c r="J227" i="42"/>
  <c r="L227" i="42"/>
  <c r="J228" i="42"/>
  <c r="L228" i="42"/>
  <c r="J229" i="42"/>
  <c r="L229" i="42"/>
  <c r="J230" i="42"/>
  <c r="L230" i="42"/>
  <c r="J231" i="42"/>
  <c r="L231" i="42"/>
  <c r="J232" i="42"/>
  <c r="L232" i="42"/>
  <c r="J233" i="42"/>
  <c r="L233" i="42"/>
  <c r="J234" i="42"/>
  <c r="L234" i="42"/>
  <c r="J235" i="42"/>
  <c r="L235" i="42"/>
  <c r="J236" i="42"/>
  <c r="L236" i="42"/>
  <c r="J237" i="42"/>
  <c r="L237" i="42"/>
  <c r="J238" i="42"/>
  <c r="L238" i="42"/>
  <c r="J239" i="42"/>
  <c r="L239" i="42"/>
  <c r="J240" i="42"/>
  <c r="L240" i="42"/>
  <c r="J241" i="42"/>
  <c r="L241" i="42"/>
  <c r="J242" i="42"/>
  <c r="L242" i="42"/>
  <c r="J243" i="42"/>
  <c r="L243" i="42"/>
  <c r="J244" i="42"/>
  <c r="L244" i="42"/>
  <c r="J245" i="42"/>
  <c r="L245" i="42"/>
  <c r="J246" i="42"/>
  <c r="L246" i="42"/>
  <c r="J247" i="42"/>
  <c r="L247" i="42"/>
  <c r="J248" i="42"/>
  <c r="L248" i="42"/>
  <c r="J249" i="42"/>
  <c r="L249" i="42"/>
  <c r="J250" i="42"/>
  <c r="L250" i="42"/>
  <c r="J251" i="42"/>
  <c r="L251" i="42"/>
  <c r="J252" i="42"/>
  <c r="L252" i="42"/>
  <c r="J253" i="42"/>
  <c r="L253" i="42"/>
  <c r="J254" i="42"/>
  <c r="L254" i="42"/>
  <c r="J255" i="42"/>
  <c r="L255" i="42"/>
  <c r="J256" i="42"/>
  <c r="L256" i="42"/>
  <c r="J257" i="42"/>
  <c r="L257" i="42"/>
  <c r="J258" i="42"/>
  <c r="L258" i="42"/>
  <c r="J259" i="42"/>
  <c r="L259" i="42"/>
  <c r="J260" i="42"/>
  <c r="L260" i="42"/>
  <c r="J261" i="42"/>
  <c r="L261" i="42"/>
  <c r="J262" i="42"/>
  <c r="L262" i="42"/>
  <c r="J263" i="42"/>
  <c r="L263" i="42"/>
  <c r="J264" i="42"/>
  <c r="L264" i="42"/>
  <c r="J265" i="42"/>
  <c r="L265" i="42"/>
  <c r="J266" i="42"/>
  <c r="L266" i="42"/>
  <c r="J267" i="42"/>
  <c r="L267" i="42"/>
  <c r="J268" i="42"/>
  <c r="L268" i="42"/>
  <c r="J269" i="42"/>
  <c r="L269" i="42"/>
  <c r="J270" i="42"/>
  <c r="L270" i="42"/>
  <c r="J271" i="42"/>
  <c r="L271" i="42"/>
  <c r="J272" i="42"/>
  <c r="L272" i="42"/>
  <c r="J273" i="42"/>
  <c r="L273" i="42"/>
  <c r="J274" i="42"/>
  <c r="L274" i="42"/>
  <c r="J275" i="42"/>
  <c r="L275" i="42"/>
  <c r="J276" i="42"/>
  <c r="L276" i="42"/>
  <c r="J277" i="42"/>
  <c r="L277" i="42"/>
  <c r="J278" i="42"/>
  <c r="L278" i="42"/>
  <c r="J279" i="42"/>
  <c r="L279" i="42"/>
  <c r="J280" i="42"/>
  <c r="L280" i="42"/>
  <c r="J281" i="42"/>
  <c r="L281" i="42"/>
  <c r="J282" i="42"/>
  <c r="L282" i="42"/>
  <c r="J283" i="42"/>
  <c r="L283" i="42"/>
  <c r="J284" i="42"/>
  <c r="L284" i="42"/>
  <c r="J285" i="42"/>
  <c r="L285" i="42"/>
  <c r="J286" i="42"/>
  <c r="L286" i="42"/>
  <c r="J287" i="42"/>
  <c r="L287" i="42"/>
  <c r="J288" i="42"/>
  <c r="L288" i="42"/>
  <c r="J289" i="42"/>
  <c r="L289" i="42"/>
  <c r="J290" i="42"/>
  <c r="L290" i="42"/>
  <c r="J291" i="42"/>
  <c r="L291" i="42"/>
  <c r="J292" i="42"/>
  <c r="L292" i="42"/>
  <c r="J293" i="42"/>
  <c r="L293" i="42"/>
  <c r="J294" i="42"/>
  <c r="L294" i="42"/>
  <c r="J295" i="42"/>
  <c r="L295" i="42"/>
  <c r="J296" i="42"/>
  <c r="L296" i="42"/>
  <c r="J297" i="42"/>
  <c r="L297" i="42"/>
  <c r="J298" i="42"/>
  <c r="L298" i="42"/>
  <c r="J299" i="42"/>
  <c r="L299" i="42"/>
  <c r="J300" i="42"/>
  <c r="L300" i="42"/>
  <c r="J301" i="42"/>
  <c r="L301" i="42"/>
  <c r="J302" i="42"/>
  <c r="L302" i="42"/>
  <c r="J303" i="42"/>
  <c r="L303" i="42"/>
  <c r="J304" i="42"/>
  <c r="L304" i="42"/>
  <c r="J305" i="42"/>
  <c r="L305" i="42"/>
  <c r="J306" i="42"/>
  <c r="L306" i="42"/>
  <c r="J307" i="42"/>
  <c r="L307" i="42"/>
  <c r="J308" i="42"/>
  <c r="L308" i="42"/>
  <c r="J309" i="42"/>
  <c r="L309" i="42"/>
  <c r="J310" i="42"/>
  <c r="L310" i="42"/>
  <c r="J311" i="42"/>
  <c r="L311" i="42"/>
  <c r="J312" i="42"/>
  <c r="L312" i="42"/>
  <c r="J313" i="42"/>
  <c r="L313" i="42"/>
  <c r="J314" i="42"/>
  <c r="L314" i="42"/>
  <c r="J315" i="42"/>
  <c r="L315" i="42"/>
  <c r="J316" i="42"/>
  <c r="L316" i="42"/>
  <c r="J317" i="42"/>
  <c r="L317" i="42"/>
  <c r="J318" i="42"/>
  <c r="L318" i="42"/>
  <c r="J319" i="42"/>
  <c r="L319" i="42"/>
  <c r="J320" i="42"/>
  <c r="L320" i="42"/>
  <c r="J321" i="42"/>
  <c r="L321" i="42"/>
  <c r="J322" i="42"/>
  <c r="L322" i="42"/>
  <c r="J323" i="42"/>
  <c r="L323" i="42"/>
  <c r="J324" i="42"/>
  <c r="L324" i="42"/>
  <c r="J325" i="42"/>
  <c r="L325" i="42"/>
  <c r="J326" i="42"/>
  <c r="L326" i="42"/>
  <c r="J327" i="42"/>
  <c r="L327" i="42"/>
  <c r="J328" i="42"/>
  <c r="L328" i="42"/>
  <c r="J329" i="42"/>
  <c r="L329" i="42"/>
  <c r="J330" i="42"/>
  <c r="L330" i="42"/>
  <c r="J331" i="42"/>
  <c r="L331" i="42"/>
  <c r="J332" i="42"/>
  <c r="L332" i="42"/>
  <c r="J333" i="42"/>
  <c r="L333" i="42"/>
  <c r="J334" i="42"/>
  <c r="L334" i="42"/>
  <c r="J335" i="42"/>
  <c r="L335" i="42"/>
  <c r="J336" i="42"/>
  <c r="L336" i="42"/>
  <c r="J337" i="42"/>
  <c r="L337" i="42"/>
  <c r="J338" i="42"/>
  <c r="L338" i="42"/>
  <c r="J339" i="42"/>
  <c r="L339" i="42"/>
  <c r="J340" i="42"/>
  <c r="L340" i="42"/>
  <c r="J341" i="42"/>
  <c r="L341" i="42"/>
  <c r="J342" i="42"/>
  <c r="L342" i="42"/>
  <c r="J343" i="42"/>
  <c r="L343" i="42"/>
  <c r="J344" i="42"/>
  <c r="L344" i="42"/>
  <c r="J345" i="42"/>
  <c r="L345" i="42"/>
  <c r="J346" i="42"/>
  <c r="L346" i="42"/>
  <c r="J347" i="42"/>
  <c r="L347" i="42"/>
  <c r="J348" i="42"/>
  <c r="L348" i="42"/>
  <c r="J349" i="42"/>
  <c r="L349" i="42"/>
  <c r="J350" i="42"/>
  <c r="L350" i="42"/>
  <c r="J351" i="42"/>
  <c r="L351" i="42"/>
  <c r="J352" i="42"/>
  <c r="L352" i="42"/>
  <c r="J353" i="42"/>
  <c r="L353" i="42"/>
  <c r="J354" i="42"/>
  <c r="L354" i="42"/>
  <c r="J355" i="42"/>
  <c r="L355" i="42"/>
  <c r="J356" i="42"/>
  <c r="L356" i="42"/>
  <c r="J357" i="42"/>
  <c r="L357" i="42"/>
  <c r="J358" i="42"/>
  <c r="L358" i="42"/>
  <c r="J359" i="42"/>
  <c r="L359" i="42"/>
  <c r="J360" i="42"/>
  <c r="L360" i="42"/>
  <c r="J361" i="42"/>
  <c r="L361" i="42"/>
  <c r="J362" i="42"/>
  <c r="L362" i="42"/>
  <c r="J363" i="42"/>
  <c r="L363" i="42"/>
  <c r="J364" i="42"/>
  <c r="L364" i="42"/>
  <c r="J365" i="42"/>
  <c r="L365" i="42"/>
  <c r="J366" i="42"/>
  <c r="L366" i="42"/>
  <c r="J367" i="42"/>
  <c r="L367" i="42"/>
  <c r="J368" i="42"/>
  <c r="L368" i="42"/>
  <c r="J369" i="42"/>
  <c r="L369" i="42"/>
  <c r="J370" i="42"/>
  <c r="L370" i="42"/>
  <c r="J371" i="42"/>
  <c r="L371" i="42"/>
  <c r="J372" i="42"/>
  <c r="L372" i="42"/>
  <c r="J373" i="42"/>
  <c r="L373" i="42"/>
  <c r="J374" i="42"/>
  <c r="L374" i="42"/>
  <c r="J375" i="42"/>
  <c r="L375" i="42"/>
  <c r="J376" i="42"/>
  <c r="L376" i="42"/>
  <c r="J377" i="42"/>
  <c r="L377" i="42"/>
  <c r="J378" i="42"/>
  <c r="L378" i="42"/>
  <c r="J379" i="42"/>
  <c r="L379" i="42"/>
  <c r="J380" i="42"/>
  <c r="L380" i="42"/>
  <c r="J381" i="42"/>
  <c r="L381" i="42"/>
  <c r="J382" i="42"/>
  <c r="L382" i="42"/>
  <c r="J383" i="42"/>
  <c r="L383" i="42"/>
  <c r="J384" i="42"/>
  <c r="L384" i="42"/>
  <c r="J385" i="42"/>
  <c r="L385" i="42"/>
  <c r="J386" i="42"/>
  <c r="L386" i="42"/>
  <c r="J387" i="42"/>
  <c r="L387" i="42"/>
  <c r="J388" i="42"/>
  <c r="L388" i="42"/>
  <c r="J389" i="42"/>
  <c r="L389" i="42"/>
  <c r="J390" i="42"/>
  <c r="L390" i="42"/>
  <c r="J391" i="42"/>
  <c r="L391" i="42"/>
  <c r="J392" i="42"/>
  <c r="L392" i="42"/>
  <c r="J393" i="42"/>
  <c r="L393" i="42"/>
  <c r="J394" i="42"/>
  <c r="L394" i="42"/>
  <c r="J395" i="42"/>
  <c r="L395" i="42"/>
  <c r="J396" i="42"/>
  <c r="L396" i="42"/>
  <c r="J397" i="42"/>
  <c r="L397" i="42"/>
  <c r="J398" i="42"/>
  <c r="L398" i="42"/>
  <c r="J399" i="42"/>
  <c r="L399" i="42"/>
  <c r="J400" i="42"/>
  <c r="L400" i="42"/>
  <c r="J401" i="42"/>
  <c r="L401" i="42"/>
  <c r="J402" i="42"/>
  <c r="L402" i="42"/>
  <c r="J403" i="42"/>
  <c r="L403" i="42"/>
  <c r="J404" i="42"/>
  <c r="L404" i="42"/>
  <c r="J405" i="42"/>
  <c r="L405" i="42"/>
  <c r="J406" i="42"/>
  <c r="L406" i="42"/>
  <c r="J407" i="42"/>
  <c r="L407" i="42"/>
  <c r="J408" i="42"/>
  <c r="L408" i="42"/>
  <c r="J409" i="42"/>
  <c r="L409" i="42"/>
  <c r="J410" i="42"/>
  <c r="L410" i="42"/>
  <c r="J411" i="42"/>
  <c r="L411" i="42"/>
  <c r="J412" i="42"/>
  <c r="L412" i="42"/>
  <c r="J413" i="42"/>
  <c r="L413" i="42"/>
  <c r="J414" i="42"/>
  <c r="L414" i="42"/>
  <c r="J415" i="42"/>
  <c r="L415" i="42"/>
  <c r="J416" i="42"/>
  <c r="L416" i="42"/>
  <c r="J417" i="42"/>
  <c r="L417" i="42"/>
  <c r="J418" i="42"/>
  <c r="L418" i="42"/>
  <c r="J419" i="42"/>
  <c r="L419" i="42"/>
  <c r="J420" i="42"/>
  <c r="L420" i="42"/>
  <c r="J421" i="42"/>
  <c r="L421" i="42"/>
  <c r="J422" i="42"/>
  <c r="L422" i="42"/>
  <c r="J423" i="42"/>
  <c r="L423" i="42"/>
  <c r="J424" i="42"/>
  <c r="L424" i="42"/>
  <c r="J425" i="42"/>
  <c r="L425" i="42"/>
  <c r="J426" i="42"/>
  <c r="L426" i="42"/>
  <c r="J427" i="42"/>
  <c r="L427" i="42"/>
  <c r="J428" i="42"/>
  <c r="L428" i="42"/>
  <c r="J429" i="42"/>
  <c r="L429" i="42"/>
  <c r="J430" i="42"/>
  <c r="L430" i="42"/>
  <c r="J431" i="42"/>
  <c r="L431" i="42"/>
  <c r="J432" i="42"/>
  <c r="L432" i="42"/>
  <c r="J433" i="42"/>
  <c r="L433" i="42"/>
  <c r="J434" i="42"/>
  <c r="L434" i="42"/>
  <c r="J435" i="42"/>
  <c r="L435" i="42"/>
  <c r="J436" i="42"/>
  <c r="L436" i="42"/>
  <c r="J437" i="42"/>
  <c r="L437" i="42"/>
  <c r="J438" i="42"/>
  <c r="L438" i="42"/>
  <c r="J439" i="42"/>
  <c r="L439" i="42"/>
  <c r="J440" i="42"/>
  <c r="L440" i="42"/>
  <c r="J441" i="42"/>
  <c r="L441" i="42"/>
  <c r="J442" i="42"/>
  <c r="L442" i="42"/>
  <c r="J443" i="42"/>
  <c r="L443" i="42"/>
  <c r="J444" i="42"/>
  <c r="L444" i="42"/>
  <c r="J445" i="42"/>
  <c r="L445" i="42"/>
  <c r="J446" i="42"/>
  <c r="L446" i="42"/>
  <c r="J447" i="42"/>
  <c r="L447" i="42"/>
  <c r="J448" i="42"/>
  <c r="L448" i="42"/>
  <c r="J449" i="42"/>
  <c r="L449" i="42"/>
  <c r="J450" i="42"/>
  <c r="L450" i="42"/>
  <c r="J451" i="42"/>
  <c r="L451" i="42"/>
  <c r="J452" i="42"/>
  <c r="L452" i="42"/>
  <c r="J453" i="42"/>
  <c r="L453" i="42"/>
  <c r="J454" i="42"/>
  <c r="L454" i="42"/>
  <c r="J455" i="42"/>
  <c r="L455" i="42"/>
  <c r="J456" i="42"/>
  <c r="L456" i="42"/>
  <c r="J457" i="42"/>
  <c r="L457" i="42"/>
  <c r="J458" i="42"/>
  <c r="L458" i="42"/>
  <c r="J459" i="42"/>
  <c r="L459" i="42"/>
  <c r="J460" i="42"/>
  <c r="L460" i="42"/>
  <c r="J461" i="42"/>
  <c r="L461" i="42"/>
  <c r="J462" i="42"/>
  <c r="L462" i="42"/>
  <c r="J463" i="42"/>
  <c r="L463" i="42"/>
  <c r="J464" i="42"/>
  <c r="L464" i="42"/>
  <c r="J465" i="42"/>
  <c r="L465" i="42"/>
  <c r="J466" i="42"/>
  <c r="L466" i="42"/>
  <c r="J467" i="42"/>
  <c r="L467" i="42"/>
  <c r="J468" i="42"/>
  <c r="L468" i="42"/>
  <c r="J469" i="42"/>
  <c r="L469" i="42"/>
  <c r="J470" i="42"/>
  <c r="L470" i="42"/>
  <c r="J471" i="42"/>
  <c r="L471" i="42"/>
  <c r="J472" i="42"/>
  <c r="L472" i="42"/>
  <c r="J473" i="42"/>
  <c r="L473" i="42"/>
  <c r="J474" i="42"/>
  <c r="L474" i="42"/>
  <c r="J475" i="42"/>
  <c r="L475" i="42"/>
  <c r="J476" i="42"/>
  <c r="L476" i="42"/>
  <c r="J477" i="42"/>
  <c r="L477" i="42"/>
  <c r="J478" i="42"/>
  <c r="L478" i="42"/>
  <c r="J479" i="42"/>
  <c r="L479" i="42"/>
  <c r="J480" i="42"/>
  <c r="L480" i="42"/>
  <c r="J481" i="42"/>
  <c r="L481" i="42"/>
  <c r="J482" i="42"/>
  <c r="L482" i="42"/>
  <c r="J483" i="42"/>
  <c r="L483" i="42"/>
  <c r="J484" i="42"/>
  <c r="L484" i="42"/>
  <c r="J485" i="42"/>
  <c r="L485" i="42"/>
  <c r="J486" i="42"/>
  <c r="L486" i="42"/>
  <c r="J487" i="42"/>
  <c r="L487" i="42"/>
  <c r="J488" i="42"/>
  <c r="L488" i="42"/>
  <c r="J489" i="42"/>
  <c r="L489" i="42"/>
  <c r="J490" i="42"/>
  <c r="L490" i="42"/>
  <c r="J491" i="42"/>
  <c r="L491" i="42"/>
  <c r="J492" i="42"/>
  <c r="L492" i="42"/>
  <c r="J493" i="42"/>
  <c r="L493" i="42"/>
  <c r="J494" i="42"/>
  <c r="L494" i="42"/>
  <c r="J495" i="42"/>
  <c r="L495" i="42"/>
  <c r="J496" i="42"/>
  <c r="L496" i="42"/>
  <c r="J497" i="42"/>
  <c r="L497" i="42"/>
  <c r="J498" i="42"/>
  <c r="L498" i="42"/>
  <c r="J499" i="42"/>
  <c r="L499" i="42"/>
  <c r="J500" i="42"/>
  <c r="L500" i="42"/>
  <c r="J501" i="42"/>
  <c r="L501" i="42"/>
  <c r="J502" i="42"/>
  <c r="L502" i="42"/>
  <c r="J503" i="42"/>
  <c r="L503" i="42"/>
  <c r="J504" i="42"/>
  <c r="L504" i="42"/>
  <c r="J505" i="42"/>
  <c r="L505" i="42"/>
  <c r="J506" i="42"/>
  <c r="L506" i="42"/>
  <c r="J507" i="42"/>
  <c r="L507" i="42"/>
  <c r="J508" i="42"/>
  <c r="L508" i="42"/>
  <c r="J509" i="42"/>
  <c r="L509" i="42"/>
  <c r="J510" i="42"/>
  <c r="L510" i="42"/>
  <c r="J511" i="42"/>
  <c r="L511" i="42"/>
  <c r="J512" i="42"/>
  <c r="L512" i="42"/>
  <c r="J513" i="42"/>
  <c r="L513" i="42"/>
  <c r="J514" i="42"/>
  <c r="L514" i="42"/>
  <c r="J515" i="42"/>
  <c r="L515" i="42"/>
  <c r="K77" i="42"/>
  <c r="M77" i="42"/>
  <c r="K78" i="42"/>
  <c r="M78" i="42"/>
  <c r="K79" i="42"/>
  <c r="M79" i="42"/>
  <c r="K80" i="42"/>
  <c r="M80" i="42"/>
  <c r="K81" i="42"/>
  <c r="M81" i="42"/>
  <c r="K82" i="42"/>
  <c r="M82" i="42"/>
  <c r="K83" i="42"/>
  <c r="M83" i="42"/>
  <c r="K84" i="42"/>
  <c r="M84" i="42"/>
  <c r="K85" i="42"/>
  <c r="M85" i="42"/>
  <c r="K86" i="42"/>
  <c r="M86" i="42"/>
  <c r="K87" i="42"/>
  <c r="M87" i="42"/>
  <c r="K88" i="42"/>
  <c r="M88" i="42"/>
  <c r="K89" i="42"/>
  <c r="M89" i="42"/>
  <c r="K90" i="42"/>
  <c r="M90" i="42"/>
  <c r="K91" i="42"/>
  <c r="M91" i="42"/>
  <c r="K92" i="42"/>
  <c r="M92" i="42"/>
  <c r="K93" i="42"/>
  <c r="M93" i="42"/>
  <c r="K94" i="42"/>
  <c r="M94" i="42"/>
  <c r="K95" i="42"/>
  <c r="M95" i="42"/>
  <c r="K96" i="42"/>
  <c r="M96" i="42"/>
  <c r="K97" i="42"/>
  <c r="M97" i="42"/>
  <c r="K98" i="42"/>
  <c r="M98" i="42"/>
  <c r="K99" i="42"/>
  <c r="M99" i="42"/>
  <c r="K100" i="42"/>
  <c r="M100" i="42"/>
  <c r="K101" i="42"/>
  <c r="M101" i="42"/>
  <c r="K102" i="42"/>
  <c r="M102" i="42"/>
  <c r="K103" i="42"/>
  <c r="M103" i="42"/>
  <c r="K104" i="42"/>
  <c r="M104" i="42"/>
  <c r="K105" i="42"/>
  <c r="M105" i="42"/>
  <c r="K106" i="42"/>
  <c r="M106" i="42"/>
  <c r="K107" i="42"/>
  <c r="M107" i="42"/>
  <c r="K108" i="42"/>
  <c r="M108" i="42"/>
  <c r="K109" i="42"/>
  <c r="M109" i="42"/>
  <c r="K110" i="42"/>
  <c r="M110" i="42"/>
  <c r="K111" i="42"/>
  <c r="M111" i="42"/>
  <c r="K112" i="42"/>
  <c r="M112" i="42"/>
  <c r="K113" i="42"/>
  <c r="M113" i="42"/>
  <c r="K114" i="42"/>
  <c r="M114" i="42"/>
  <c r="K115" i="42"/>
  <c r="M115" i="42"/>
  <c r="K116" i="42"/>
  <c r="M116" i="42"/>
  <c r="K117" i="42"/>
  <c r="M117" i="42"/>
  <c r="K118" i="42"/>
  <c r="M118" i="42"/>
  <c r="K119" i="42"/>
  <c r="M119" i="42"/>
  <c r="K120" i="42"/>
  <c r="M120" i="42"/>
  <c r="K121" i="42"/>
  <c r="M121" i="42"/>
  <c r="K122" i="42"/>
  <c r="M122" i="42"/>
  <c r="K123" i="42"/>
  <c r="M123" i="42"/>
  <c r="K124" i="42"/>
  <c r="M124" i="42"/>
  <c r="K125" i="42"/>
  <c r="M125" i="42"/>
  <c r="K126" i="42"/>
  <c r="M126" i="42"/>
  <c r="K127" i="42"/>
  <c r="M127" i="42"/>
  <c r="K128" i="42"/>
  <c r="M128" i="42"/>
  <c r="K129" i="42"/>
  <c r="M129" i="42"/>
  <c r="K130" i="42"/>
  <c r="M130" i="42"/>
  <c r="K131" i="42"/>
  <c r="M131" i="42"/>
  <c r="K132" i="42"/>
  <c r="M132" i="42"/>
  <c r="K133" i="42"/>
  <c r="M133" i="42"/>
  <c r="K134" i="42"/>
  <c r="M134" i="42"/>
  <c r="K135" i="42"/>
  <c r="M135" i="42"/>
  <c r="K136" i="42"/>
  <c r="M136" i="42"/>
  <c r="K137" i="42"/>
  <c r="M137" i="42"/>
  <c r="K138" i="42"/>
  <c r="M138" i="42"/>
  <c r="K139" i="42"/>
  <c r="M139" i="42"/>
  <c r="K140" i="42"/>
  <c r="M140" i="42"/>
  <c r="K141" i="42"/>
  <c r="M141" i="42"/>
  <c r="K142" i="42"/>
  <c r="M142" i="42"/>
  <c r="K143" i="42"/>
  <c r="M143" i="42"/>
  <c r="K144" i="42"/>
  <c r="M144" i="42"/>
  <c r="K145" i="42"/>
  <c r="M145" i="42"/>
  <c r="K146" i="42"/>
  <c r="M146" i="42"/>
  <c r="K147" i="42"/>
  <c r="M147" i="42"/>
  <c r="K148" i="42"/>
  <c r="M148" i="42"/>
  <c r="K149" i="42"/>
  <c r="M149" i="42"/>
  <c r="K150" i="42"/>
  <c r="M150" i="42"/>
  <c r="K151" i="42"/>
  <c r="M151" i="42"/>
  <c r="K152" i="42"/>
  <c r="M152" i="42"/>
  <c r="K153" i="42"/>
  <c r="M153" i="42"/>
  <c r="K154" i="42"/>
  <c r="M154" i="42"/>
  <c r="K155" i="42"/>
  <c r="M155" i="42"/>
  <c r="K156" i="42"/>
  <c r="M156" i="42"/>
  <c r="K157" i="42"/>
  <c r="M157" i="42"/>
  <c r="K158" i="42"/>
  <c r="M158" i="42"/>
  <c r="K159" i="42"/>
  <c r="M159" i="42"/>
  <c r="K160" i="42"/>
  <c r="M160" i="42"/>
  <c r="K161" i="42"/>
  <c r="M161" i="42"/>
  <c r="K162" i="42"/>
  <c r="M162" i="42"/>
  <c r="K163" i="42"/>
  <c r="M163" i="42"/>
  <c r="K164" i="42"/>
  <c r="M164" i="42"/>
  <c r="K165" i="42"/>
  <c r="M165" i="42"/>
  <c r="K166" i="42"/>
  <c r="M166" i="42"/>
  <c r="K167" i="42"/>
  <c r="M167" i="42"/>
  <c r="K168" i="42"/>
  <c r="M168" i="42"/>
  <c r="K169" i="42"/>
  <c r="M169" i="42"/>
  <c r="K170" i="42"/>
  <c r="M170" i="42"/>
  <c r="K171" i="42"/>
  <c r="M171" i="42"/>
  <c r="K172" i="42"/>
  <c r="M172" i="42"/>
  <c r="K173" i="42"/>
  <c r="M173" i="42"/>
  <c r="K174" i="42"/>
  <c r="M174" i="42"/>
  <c r="K175" i="42"/>
  <c r="M175" i="42"/>
  <c r="K176" i="42"/>
  <c r="M176" i="42"/>
  <c r="K177" i="42"/>
  <c r="M177" i="42"/>
  <c r="K178" i="42"/>
  <c r="M178" i="42"/>
  <c r="K179" i="42"/>
  <c r="M179" i="42"/>
  <c r="K180" i="42"/>
  <c r="M180" i="42"/>
  <c r="K181" i="42"/>
  <c r="M181" i="42"/>
  <c r="K182" i="42"/>
  <c r="M182" i="42"/>
  <c r="K183" i="42"/>
  <c r="M183" i="42"/>
  <c r="K184" i="42"/>
  <c r="M184" i="42"/>
  <c r="K185" i="42"/>
  <c r="M185" i="42"/>
  <c r="K186" i="42"/>
  <c r="M186" i="42"/>
  <c r="K187" i="42"/>
  <c r="M187" i="42"/>
  <c r="K188" i="42"/>
  <c r="M188" i="42"/>
  <c r="K189" i="42"/>
  <c r="M189" i="42"/>
  <c r="K190" i="42"/>
  <c r="M190" i="42"/>
  <c r="K191" i="42"/>
  <c r="M191" i="42"/>
  <c r="K192" i="42"/>
  <c r="M192" i="42"/>
  <c r="K193" i="42"/>
  <c r="M193" i="42"/>
  <c r="K194" i="42"/>
  <c r="M194" i="42"/>
  <c r="K195" i="42"/>
  <c r="M195" i="42"/>
  <c r="K196" i="42"/>
  <c r="M196" i="42"/>
  <c r="K197" i="42"/>
  <c r="M197" i="42"/>
  <c r="K198" i="42"/>
  <c r="M198" i="42"/>
  <c r="K199" i="42"/>
  <c r="M199" i="42"/>
  <c r="K200" i="42"/>
  <c r="M200" i="42"/>
  <c r="K201" i="42"/>
  <c r="M201" i="42"/>
  <c r="K202" i="42"/>
  <c r="M202" i="42"/>
  <c r="K203" i="42"/>
  <c r="M203" i="42"/>
  <c r="K204" i="42"/>
  <c r="M204" i="42"/>
  <c r="K205" i="42"/>
  <c r="M205" i="42"/>
  <c r="K206" i="42"/>
  <c r="M206" i="42"/>
  <c r="K207" i="42"/>
  <c r="M207" i="42"/>
  <c r="K208" i="42"/>
  <c r="M208" i="42"/>
  <c r="K209" i="42"/>
  <c r="M209" i="42"/>
  <c r="K210" i="42"/>
  <c r="M210" i="42"/>
  <c r="K211" i="42"/>
  <c r="M211" i="42"/>
  <c r="K212" i="42"/>
  <c r="M212" i="42"/>
  <c r="K213" i="42"/>
  <c r="M213" i="42"/>
  <c r="K214" i="42"/>
  <c r="M214" i="42"/>
  <c r="K215" i="42"/>
  <c r="M215" i="42"/>
  <c r="K216" i="42"/>
  <c r="M216" i="42"/>
  <c r="K217" i="42"/>
  <c r="M217" i="42"/>
  <c r="K218" i="42"/>
  <c r="M218" i="42"/>
  <c r="K219" i="42"/>
  <c r="M219" i="42"/>
  <c r="K220" i="42"/>
  <c r="M220" i="42"/>
  <c r="K221" i="42"/>
  <c r="M221" i="42"/>
  <c r="K222" i="42"/>
  <c r="M222" i="42"/>
  <c r="K223" i="42"/>
  <c r="M223" i="42"/>
  <c r="K224" i="42"/>
  <c r="M224" i="42"/>
  <c r="K225" i="42"/>
  <c r="M225" i="42"/>
  <c r="K226" i="42"/>
  <c r="M226" i="42"/>
  <c r="K227" i="42"/>
  <c r="M227" i="42"/>
  <c r="K228" i="42"/>
  <c r="M228" i="42"/>
  <c r="K229" i="42"/>
  <c r="M229" i="42"/>
  <c r="K230" i="42"/>
  <c r="M230" i="42"/>
  <c r="K231" i="42"/>
  <c r="M231" i="42"/>
  <c r="K232" i="42"/>
  <c r="M232" i="42"/>
  <c r="K233" i="42"/>
  <c r="M233" i="42"/>
  <c r="K234" i="42"/>
  <c r="M234" i="42"/>
  <c r="K235" i="42"/>
  <c r="M235" i="42"/>
  <c r="K236" i="42"/>
  <c r="M236" i="42"/>
  <c r="K237" i="42"/>
  <c r="M237" i="42"/>
  <c r="K238" i="42"/>
  <c r="M238" i="42"/>
  <c r="K239" i="42"/>
  <c r="M239" i="42"/>
  <c r="K240" i="42"/>
  <c r="M240" i="42"/>
  <c r="K241" i="42"/>
  <c r="M241" i="42"/>
  <c r="K242" i="42"/>
  <c r="M242" i="42"/>
  <c r="K243" i="42"/>
  <c r="M243" i="42"/>
  <c r="K244" i="42"/>
  <c r="M244" i="42"/>
  <c r="K245" i="42"/>
  <c r="M245" i="42"/>
  <c r="K246" i="42"/>
  <c r="M246" i="42"/>
  <c r="K247" i="42"/>
  <c r="M247" i="42"/>
  <c r="K248" i="42"/>
  <c r="M248" i="42"/>
  <c r="K249" i="42"/>
  <c r="M249" i="42"/>
  <c r="K250" i="42"/>
  <c r="M250" i="42"/>
  <c r="K251" i="42"/>
  <c r="M251" i="42"/>
  <c r="K252" i="42"/>
  <c r="M252" i="42"/>
  <c r="K253" i="42"/>
  <c r="M253" i="42"/>
  <c r="K254" i="42"/>
  <c r="M254" i="42"/>
  <c r="K255" i="42"/>
  <c r="M255" i="42"/>
  <c r="K256" i="42"/>
  <c r="M256" i="42"/>
  <c r="K257" i="42"/>
  <c r="M257" i="42"/>
  <c r="K258" i="42"/>
  <c r="M258" i="42"/>
  <c r="K259" i="42"/>
  <c r="M259" i="42"/>
  <c r="K260" i="42"/>
  <c r="M260" i="42"/>
  <c r="K261" i="42"/>
  <c r="M261" i="42"/>
  <c r="K262" i="42"/>
  <c r="M262" i="42"/>
  <c r="K263" i="42"/>
  <c r="M263" i="42"/>
  <c r="K264" i="42"/>
  <c r="M264" i="42"/>
  <c r="K265" i="42"/>
  <c r="M265" i="42"/>
  <c r="K266" i="42"/>
  <c r="M266" i="42"/>
  <c r="K267" i="42"/>
  <c r="M267" i="42"/>
  <c r="K268" i="42"/>
  <c r="M268" i="42"/>
  <c r="K269" i="42"/>
  <c r="M269" i="42"/>
  <c r="K270" i="42"/>
  <c r="M270" i="42"/>
  <c r="K271" i="42"/>
  <c r="M271" i="42"/>
  <c r="K272" i="42"/>
  <c r="M272" i="42"/>
  <c r="K273" i="42"/>
  <c r="M273" i="42"/>
  <c r="K274" i="42"/>
  <c r="M274" i="42"/>
  <c r="K275" i="42"/>
  <c r="M275" i="42"/>
  <c r="K276" i="42"/>
  <c r="M276" i="42"/>
  <c r="K277" i="42"/>
  <c r="M277" i="42"/>
  <c r="K278" i="42"/>
  <c r="M278" i="42"/>
  <c r="K279" i="42"/>
  <c r="M279" i="42"/>
  <c r="K280" i="42"/>
  <c r="M280" i="42"/>
  <c r="K281" i="42"/>
  <c r="M281" i="42"/>
  <c r="K282" i="42"/>
  <c r="M282" i="42"/>
  <c r="K283" i="42"/>
  <c r="M283" i="42"/>
  <c r="K284" i="42"/>
  <c r="M284" i="42"/>
  <c r="K285" i="42"/>
  <c r="M285" i="42"/>
  <c r="K286" i="42"/>
  <c r="M286" i="42"/>
  <c r="K287" i="42"/>
  <c r="M287" i="42"/>
  <c r="K288" i="42"/>
  <c r="M288" i="42"/>
  <c r="K289" i="42"/>
  <c r="M289" i="42"/>
  <c r="K290" i="42"/>
  <c r="M290" i="42"/>
  <c r="K291" i="42"/>
  <c r="M291" i="42"/>
  <c r="K292" i="42"/>
  <c r="M292" i="42"/>
  <c r="K293" i="42"/>
  <c r="M293" i="42"/>
  <c r="K294" i="42"/>
  <c r="M294" i="42"/>
  <c r="K295" i="42"/>
  <c r="M295" i="42"/>
  <c r="K296" i="42"/>
  <c r="M296" i="42"/>
  <c r="K297" i="42"/>
  <c r="M297" i="42"/>
  <c r="K298" i="42"/>
  <c r="M298" i="42"/>
  <c r="K299" i="42"/>
  <c r="M299" i="42"/>
  <c r="K300" i="42"/>
  <c r="M300" i="42"/>
  <c r="K301" i="42"/>
  <c r="M301" i="42"/>
  <c r="K302" i="42"/>
  <c r="M302" i="42"/>
  <c r="K303" i="42"/>
  <c r="M303" i="42"/>
  <c r="K304" i="42"/>
  <c r="M304" i="42"/>
  <c r="K305" i="42"/>
  <c r="M305" i="42"/>
  <c r="K306" i="42"/>
  <c r="M306" i="42"/>
  <c r="K307" i="42"/>
  <c r="M307" i="42"/>
  <c r="K308" i="42"/>
  <c r="M308" i="42"/>
  <c r="K309" i="42"/>
  <c r="M309" i="42"/>
  <c r="K310" i="42"/>
  <c r="M310" i="42"/>
  <c r="K311" i="42"/>
  <c r="M311" i="42"/>
  <c r="K312" i="42"/>
  <c r="M312" i="42"/>
  <c r="K313" i="42"/>
  <c r="M313" i="42"/>
  <c r="K314" i="42"/>
  <c r="M314" i="42"/>
  <c r="K315" i="42"/>
  <c r="M315" i="42"/>
  <c r="K316" i="42"/>
  <c r="M316" i="42"/>
  <c r="K317" i="42"/>
  <c r="M317" i="42"/>
  <c r="K318" i="42"/>
  <c r="M318" i="42"/>
  <c r="K319" i="42"/>
  <c r="M319" i="42"/>
  <c r="K320" i="42"/>
  <c r="M320" i="42"/>
  <c r="K321" i="42"/>
  <c r="M321" i="42"/>
  <c r="K322" i="42"/>
  <c r="M322" i="42"/>
  <c r="K323" i="42"/>
  <c r="M323" i="42"/>
  <c r="K324" i="42"/>
  <c r="M324" i="42"/>
  <c r="K325" i="42"/>
  <c r="M325" i="42"/>
  <c r="K326" i="42"/>
  <c r="M326" i="42"/>
  <c r="K327" i="42"/>
  <c r="M327" i="42"/>
  <c r="K328" i="42"/>
  <c r="M328" i="42"/>
  <c r="K329" i="42"/>
  <c r="M329" i="42"/>
  <c r="K330" i="42"/>
  <c r="M330" i="42"/>
  <c r="K331" i="42"/>
  <c r="M331" i="42"/>
  <c r="K332" i="42"/>
  <c r="M332" i="42"/>
  <c r="K333" i="42"/>
  <c r="M333" i="42"/>
  <c r="K334" i="42"/>
  <c r="M334" i="42"/>
  <c r="K335" i="42"/>
  <c r="M335" i="42"/>
  <c r="K336" i="42"/>
  <c r="M336" i="42"/>
  <c r="K337" i="42"/>
  <c r="M337" i="42"/>
  <c r="K338" i="42"/>
  <c r="M338" i="42"/>
  <c r="K339" i="42"/>
  <c r="M339" i="42"/>
  <c r="K340" i="42"/>
  <c r="M340" i="42"/>
  <c r="K341" i="42"/>
  <c r="M341" i="42"/>
  <c r="K342" i="42"/>
  <c r="M342" i="42"/>
  <c r="K343" i="42"/>
  <c r="M343" i="42"/>
  <c r="K344" i="42"/>
  <c r="M344" i="42"/>
  <c r="K345" i="42"/>
  <c r="M345" i="42"/>
  <c r="K346" i="42"/>
  <c r="M346" i="42"/>
  <c r="K347" i="42"/>
  <c r="M347" i="42"/>
  <c r="K348" i="42"/>
  <c r="M348" i="42"/>
  <c r="K349" i="42"/>
  <c r="M349" i="42"/>
  <c r="K350" i="42"/>
  <c r="M350" i="42"/>
  <c r="K351" i="42"/>
  <c r="M351" i="42"/>
  <c r="K352" i="42"/>
  <c r="M352" i="42"/>
  <c r="K353" i="42"/>
  <c r="M353" i="42"/>
  <c r="K354" i="42"/>
  <c r="M354" i="42"/>
  <c r="K355" i="42"/>
  <c r="M355" i="42"/>
  <c r="K356" i="42"/>
  <c r="M356" i="42"/>
  <c r="K357" i="42"/>
  <c r="M357" i="42"/>
  <c r="K358" i="42"/>
  <c r="M358" i="42"/>
  <c r="K359" i="42"/>
  <c r="M359" i="42"/>
  <c r="K360" i="42"/>
  <c r="M360" i="42"/>
  <c r="K361" i="42"/>
  <c r="M361" i="42"/>
  <c r="K362" i="42"/>
  <c r="M362" i="42"/>
  <c r="K363" i="42"/>
  <c r="M363" i="42"/>
  <c r="K364" i="42"/>
  <c r="M364" i="42"/>
  <c r="K365" i="42"/>
  <c r="M365" i="42"/>
  <c r="K366" i="42"/>
  <c r="M366" i="42"/>
  <c r="K367" i="42"/>
  <c r="M367" i="42"/>
  <c r="K368" i="42"/>
  <c r="M368" i="42"/>
  <c r="K369" i="42"/>
  <c r="M369" i="42"/>
  <c r="K370" i="42"/>
  <c r="M370" i="42"/>
  <c r="K371" i="42"/>
  <c r="M371" i="42"/>
  <c r="K372" i="42"/>
  <c r="M372" i="42"/>
  <c r="K373" i="42"/>
  <c r="M373" i="42"/>
  <c r="K374" i="42"/>
  <c r="M374" i="42"/>
  <c r="K375" i="42"/>
  <c r="M375" i="42"/>
  <c r="K376" i="42"/>
  <c r="M376" i="42"/>
  <c r="K377" i="42"/>
  <c r="M377" i="42"/>
  <c r="K378" i="42"/>
  <c r="M378" i="42"/>
  <c r="K379" i="42"/>
  <c r="M379" i="42"/>
  <c r="K380" i="42"/>
  <c r="M380" i="42"/>
  <c r="K381" i="42"/>
  <c r="M381" i="42"/>
  <c r="K382" i="42"/>
  <c r="M382" i="42"/>
  <c r="K383" i="42"/>
  <c r="M383" i="42"/>
  <c r="I384" i="42"/>
  <c r="K384" i="42"/>
  <c r="M384" i="42"/>
  <c r="K385" i="42"/>
  <c r="M385" i="42"/>
  <c r="K386" i="42"/>
  <c r="M386" i="42"/>
  <c r="K387" i="42"/>
  <c r="M387" i="42"/>
  <c r="K388" i="42"/>
  <c r="M388" i="42"/>
  <c r="K389" i="42"/>
  <c r="M389" i="42"/>
  <c r="K390" i="42"/>
  <c r="M390" i="42"/>
  <c r="K391" i="42"/>
  <c r="M391" i="42"/>
  <c r="K392" i="42"/>
  <c r="M392" i="42"/>
  <c r="K393" i="42"/>
  <c r="M393" i="42"/>
  <c r="K394" i="42"/>
  <c r="M394" i="42"/>
  <c r="K395" i="42"/>
  <c r="M395" i="42"/>
  <c r="K396" i="42"/>
  <c r="M396" i="42"/>
  <c r="K397" i="42"/>
  <c r="M397" i="42"/>
  <c r="K398" i="42"/>
  <c r="M398" i="42"/>
  <c r="K399" i="42"/>
  <c r="M399" i="42"/>
  <c r="K400" i="42"/>
  <c r="M400" i="42"/>
  <c r="K401" i="42"/>
  <c r="M401" i="42"/>
  <c r="K402" i="42"/>
  <c r="M402" i="42"/>
  <c r="K403" i="42"/>
  <c r="M403" i="42"/>
  <c r="K404" i="42"/>
  <c r="M404" i="42"/>
  <c r="K405" i="42"/>
  <c r="M405" i="42"/>
  <c r="K406" i="42"/>
  <c r="M406" i="42"/>
  <c r="K407" i="42"/>
  <c r="M407" i="42"/>
  <c r="K408" i="42"/>
  <c r="M408" i="42"/>
  <c r="K409" i="42"/>
  <c r="M409" i="42"/>
  <c r="K410" i="42"/>
  <c r="M410" i="42"/>
  <c r="K411" i="42"/>
  <c r="M411" i="42"/>
  <c r="K412" i="42"/>
  <c r="M412" i="42"/>
  <c r="K413" i="42"/>
  <c r="M413" i="42"/>
  <c r="K414" i="42"/>
  <c r="M414" i="42"/>
  <c r="K415" i="42"/>
  <c r="M415" i="42"/>
  <c r="K416" i="42"/>
  <c r="M416" i="42"/>
  <c r="K417" i="42"/>
  <c r="M417" i="42"/>
  <c r="K418" i="42"/>
  <c r="M418" i="42"/>
  <c r="K419" i="42"/>
  <c r="M419" i="42"/>
  <c r="K420" i="42"/>
  <c r="M420" i="42"/>
  <c r="K421" i="42"/>
  <c r="M421" i="42"/>
  <c r="K422" i="42"/>
  <c r="M422" i="42"/>
  <c r="K423" i="42"/>
  <c r="M423" i="42"/>
  <c r="K424" i="42"/>
  <c r="M424" i="42"/>
  <c r="K425" i="42"/>
  <c r="M425" i="42"/>
  <c r="K426" i="42"/>
  <c r="M426" i="42"/>
  <c r="K427" i="42"/>
  <c r="M427" i="42"/>
  <c r="K428" i="42"/>
  <c r="M428" i="42"/>
  <c r="K429" i="42"/>
  <c r="M429" i="42"/>
  <c r="K430" i="42"/>
  <c r="M430" i="42"/>
  <c r="K431" i="42"/>
  <c r="M431" i="42"/>
  <c r="K432" i="42"/>
  <c r="M432" i="42"/>
  <c r="K433" i="42"/>
  <c r="M433" i="42"/>
  <c r="K434" i="42"/>
  <c r="M434" i="42"/>
  <c r="K435" i="42"/>
  <c r="M435" i="42"/>
  <c r="K436" i="42"/>
  <c r="M436" i="42"/>
  <c r="K437" i="42"/>
  <c r="M437" i="42"/>
  <c r="K438" i="42"/>
  <c r="M438" i="42"/>
  <c r="K439" i="42"/>
  <c r="M439" i="42"/>
  <c r="K440" i="42"/>
  <c r="M440" i="42"/>
  <c r="K441" i="42"/>
  <c r="M441" i="42"/>
  <c r="K442" i="42"/>
  <c r="M442" i="42"/>
  <c r="K443" i="42"/>
  <c r="M443" i="42"/>
  <c r="K444" i="42"/>
  <c r="M444" i="42"/>
  <c r="K445" i="42"/>
  <c r="M445" i="42"/>
  <c r="K446" i="42"/>
  <c r="M446" i="42"/>
  <c r="K447" i="42"/>
  <c r="M447" i="42"/>
  <c r="K448" i="42"/>
  <c r="M448" i="42"/>
  <c r="K449" i="42"/>
  <c r="M449" i="42"/>
  <c r="K450" i="42"/>
  <c r="M450" i="42"/>
  <c r="K451" i="42"/>
  <c r="M451" i="42"/>
  <c r="K452" i="42"/>
  <c r="M452" i="42"/>
  <c r="K453" i="42"/>
  <c r="M453" i="42"/>
  <c r="K454" i="42"/>
  <c r="M454" i="42"/>
  <c r="K455" i="42"/>
  <c r="M455" i="42"/>
  <c r="K456" i="42"/>
  <c r="M456" i="42"/>
  <c r="K457" i="42"/>
  <c r="M457" i="42"/>
  <c r="K458" i="42"/>
  <c r="M458" i="42"/>
  <c r="K459" i="42"/>
  <c r="M459" i="42"/>
  <c r="K460" i="42"/>
  <c r="M460" i="42"/>
  <c r="K461" i="42"/>
  <c r="M461" i="42"/>
  <c r="K462" i="42"/>
  <c r="M462" i="42"/>
  <c r="K463" i="42"/>
  <c r="M463" i="42"/>
  <c r="K464" i="42"/>
  <c r="M464" i="42"/>
  <c r="K465" i="42"/>
  <c r="M465" i="42"/>
  <c r="K466" i="42"/>
  <c r="M466" i="42"/>
  <c r="K467" i="42"/>
  <c r="M467" i="42"/>
  <c r="K468" i="42"/>
  <c r="M468" i="42"/>
  <c r="K469" i="42"/>
  <c r="M469" i="42"/>
  <c r="K470" i="42"/>
  <c r="M470" i="42"/>
  <c r="K471" i="42"/>
  <c r="M471" i="42"/>
  <c r="K472" i="42"/>
  <c r="M472" i="42"/>
  <c r="K473" i="42"/>
  <c r="M473" i="42"/>
  <c r="K474" i="42"/>
  <c r="M474" i="42"/>
  <c r="K475" i="42"/>
  <c r="M475" i="42"/>
  <c r="K476" i="42"/>
  <c r="M476" i="42"/>
  <c r="K477" i="42"/>
  <c r="M477" i="42"/>
  <c r="K478" i="42"/>
  <c r="M478" i="42"/>
  <c r="K479" i="42"/>
  <c r="M479" i="42"/>
  <c r="K480" i="42"/>
  <c r="M480" i="42"/>
  <c r="K481" i="42"/>
  <c r="M481" i="42"/>
  <c r="K482" i="42"/>
  <c r="M482" i="42"/>
  <c r="K483" i="42"/>
  <c r="M483" i="42"/>
  <c r="K484" i="42"/>
  <c r="M484" i="42"/>
  <c r="K485" i="42"/>
  <c r="M485" i="42"/>
  <c r="K486" i="42"/>
  <c r="M486" i="42"/>
  <c r="K487" i="42"/>
  <c r="M487" i="42"/>
  <c r="K488" i="42"/>
  <c r="M488" i="42"/>
  <c r="K489" i="42"/>
  <c r="M489" i="42"/>
  <c r="K490" i="42"/>
  <c r="M490" i="42"/>
  <c r="K491" i="42"/>
  <c r="M491" i="42"/>
  <c r="K492" i="42"/>
  <c r="M492" i="42"/>
  <c r="K493" i="42"/>
  <c r="M493" i="42"/>
  <c r="K494" i="42"/>
  <c r="M494" i="42"/>
  <c r="K495" i="42"/>
  <c r="M495" i="42"/>
  <c r="K496" i="42"/>
  <c r="M496" i="42"/>
  <c r="K497" i="42"/>
  <c r="M497" i="42"/>
  <c r="K498" i="42"/>
  <c r="M498" i="42"/>
  <c r="K499" i="42"/>
  <c r="M499" i="42"/>
  <c r="K500" i="42"/>
  <c r="M500" i="42"/>
  <c r="K501" i="42"/>
  <c r="M501" i="42"/>
  <c r="K502" i="42"/>
  <c r="M502" i="42"/>
  <c r="K503" i="42"/>
  <c r="M503" i="42"/>
  <c r="K504" i="42"/>
  <c r="M504" i="42"/>
  <c r="K505" i="42"/>
  <c r="M505" i="42"/>
  <c r="K506" i="42"/>
  <c r="M506" i="42"/>
  <c r="K507" i="42"/>
  <c r="M507" i="42"/>
  <c r="K508" i="42"/>
  <c r="M508" i="42"/>
  <c r="K509" i="42"/>
  <c r="M509" i="42"/>
  <c r="K510" i="42"/>
  <c r="M510" i="42"/>
  <c r="K511" i="42"/>
  <c r="M511" i="42"/>
  <c r="K512" i="42"/>
  <c r="M512" i="42"/>
  <c r="K513" i="42"/>
  <c r="M513" i="42"/>
  <c r="K514" i="42"/>
  <c r="M514" i="42"/>
  <c r="K515" i="42"/>
  <c r="M515" i="42"/>
  <c r="K76" i="42"/>
  <c r="M76" i="42"/>
  <c r="J76" i="42"/>
  <c r="L76" i="42"/>
  <c r="K77" i="40"/>
  <c r="O77" i="40"/>
  <c r="K78" i="40"/>
  <c r="O78" i="40"/>
  <c r="K79" i="40"/>
  <c r="O79" i="40"/>
  <c r="K80" i="40"/>
  <c r="O80" i="40"/>
  <c r="K81" i="40"/>
  <c r="O81" i="40"/>
  <c r="K82" i="40"/>
  <c r="O82" i="40"/>
  <c r="K83" i="40"/>
  <c r="O83" i="40"/>
  <c r="K84" i="40"/>
  <c r="O84" i="40"/>
  <c r="K85" i="40"/>
  <c r="O85" i="40"/>
  <c r="K86" i="40"/>
  <c r="O86" i="40"/>
  <c r="K87" i="40"/>
  <c r="O87" i="40"/>
  <c r="K88" i="40"/>
  <c r="O88" i="40"/>
  <c r="K89" i="40"/>
  <c r="O89" i="40"/>
  <c r="K90" i="40"/>
  <c r="O90" i="40"/>
  <c r="K91" i="40"/>
  <c r="O91" i="40"/>
  <c r="K92" i="40"/>
  <c r="O92" i="40"/>
  <c r="K93" i="40"/>
  <c r="O93" i="40"/>
  <c r="K94" i="40"/>
  <c r="O94" i="40"/>
  <c r="K95" i="40"/>
  <c r="O95" i="40"/>
  <c r="K96" i="40"/>
  <c r="O96" i="40"/>
  <c r="K97" i="40"/>
  <c r="O97" i="40"/>
  <c r="K98" i="40"/>
  <c r="O98" i="40"/>
  <c r="K99" i="40"/>
  <c r="O99" i="40"/>
  <c r="K100" i="40"/>
  <c r="O100" i="40"/>
  <c r="K101" i="40"/>
  <c r="O101" i="40"/>
  <c r="K102" i="40"/>
  <c r="O102" i="40"/>
  <c r="K103" i="40"/>
  <c r="O103" i="40"/>
  <c r="K104" i="40"/>
  <c r="O104" i="40"/>
  <c r="K105" i="40"/>
  <c r="O105" i="40"/>
  <c r="K106" i="40"/>
  <c r="O106" i="40"/>
  <c r="K107" i="40"/>
  <c r="O107" i="40"/>
  <c r="K108" i="40"/>
  <c r="O108" i="40"/>
  <c r="K109" i="40"/>
  <c r="O109" i="40"/>
  <c r="K110" i="40"/>
  <c r="O110" i="40"/>
  <c r="K111" i="40"/>
  <c r="O111" i="40"/>
  <c r="K112" i="40"/>
  <c r="O112" i="40"/>
  <c r="K113" i="40"/>
  <c r="O113" i="40"/>
  <c r="K114" i="40"/>
  <c r="O114" i="40"/>
  <c r="K115" i="40"/>
  <c r="O115" i="40"/>
  <c r="K116" i="40"/>
  <c r="O116" i="40"/>
  <c r="K117" i="40"/>
  <c r="O117" i="40"/>
  <c r="K118" i="40"/>
  <c r="O118" i="40"/>
  <c r="K119" i="40"/>
  <c r="O119" i="40"/>
  <c r="K120" i="40"/>
  <c r="O120" i="40"/>
  <c r="K121" i="40"/>
  <c r="O121" i="40"/>
  <c r="K122" i="40"/>
  <c r="O122" i="40"/>
  <c r="K123" i="40"/>
  <c r="O123" i="40"/>
  <c r="K124" i="40"/>
  <c r="O124" i="40"/>
  <c r="K125" i="40"/>
  <c r="O125" i="40"/>
  <c r="K126" i="40"/>
  <c r="O126" i="40"/>
  <c r="K127" i="40"/>
  <c r="O127" i="40"/>
  <c r="K128" i="40"/>
  <c r="O128" i="40"/>
  <c r="K129" i="40"/>
  <c r="O129" i="40"/>
  <c r="K130" i="40"/>
  <c r="O130" i="40"/>
  <c r="K131" i="40"/>
  <c r="O131" i="40"/>
  <c r="K132" i="40"/>
  <c r="O132" i="40"/>
  <c r="K133" i="40"/>
  <c r="O133" i="40"/>
  <c r="K134" i="40"/>
  <c r="O134" i="40"/>
  <c r="K135" i="40"/>
  <c r="O135" i="40"/>
  <c r="K136" i="40"/>
  <c r="O136" i="40"/>
  <c r="K137" i="40"/>
  <c r="O137" i="40"/>
  <c r="K138" i="40"/>
  <c r="O138" i="40"/>
  <c r="K139" i="40"/>
  <c r="O139" i="40"/>
  <c r="K140" i="40"/>
  <c r="O140" i="40"/>
  <c r="K141" i="40"/>
  <c r="O141" i="40"/>
  <c r="K142" i="40"/>
  <c r="O142" i="40"/>
  <c r="K143" i="40"/>
  <c r="O143" i="40"/>
  <c r="K144" i="40"/>
  <c r="O144" i="40"/>
  <c r="K145" i="40"/>
  <c r="O145" i="40"/>
  <c r="K146" i="40"/>
  <c r="O146" i="40"/>
  <c r="K147" i="40"/>
  <c r="O147" i="40"/>
  <c r="K148" i="40"/>
  <c r="O148" i="40"/>
  <c r="K149" i="40"/>
  <c r="O149" i="40"/>
  <c r="K150" i="40"/>
  <c r="O150" i="40"/>
  <c r="K151" i="40"/>
  <c r="O151" i="40"/>
  <c r="K152" i="40"/>
  <c r="O152" i="40"/>
  <c r="K153" i="40"/>
  <c r="O153" i="40"/>
  <c r="K154" i="40"/>
  <c r="O154" i="40"/>
  <c r="K155" i="40"/>
  <c r="O155" i="40"/>
  <c r="K156" i="40"/>
  <c r="O156" i="40"/>
  <c r="K157" i="40"/>
  <c r="O157" i="40"/>
  <c r="K158" i="40"/>
  <c r="O158" i="40"/>
  <c r="K159" i="40"/>
  <c r="O159" i="40"/>
  <c r="K160" i="40"/>
  <c r="O160" i="40"/>
  <c r="K161" i="40"/>
  <c r="O161" i="40"/>
  <c r="K162" i="40"/>
  <c r="O162" i="40"/>
  <c r="K163" i="40"/>
  <c r="O163" i="40"/>
  <c r="K164" i="40"/>
  <c r="O164" i="40"/>
  <c r="K165" i="40"/>
  <c r="O165" i="40"/>
  <c r="K166" i="40"/>
  <c r="O166" i="40"/>
  <c r="K167" i="40"/>
  <c r="O167" i="40"/>
  <c r="K168" i="40"/>
  <c r="O168" i="40"/>
  <c r="K169" i="40"/>
  <c r="O169" i="40"/>
  <c r="K170" i="40"/>
  <c r="O170" i="40"/>
  <c r="K171" i="40"/>
  <c r="O171" i="40"/>
  <c r="K172" i="40"/>
  <c r="O172" i="40"/>
  <c r="K173" i="40"/>
  <c r="O173" i="40"/>
  <c r="K174" i="40"/>
  <c r="O174" i="40"/>
  <c r="K175" i="40"/>
  <c r="O175" i="40"/>
  <c r="K176" i="40"/>
  <c r="O176" i="40"/>
  <c r="K177" i="40"/>
  <c r="O177" i="40"/>
  <c r="K178" i="40"/>
  <c r="O178" i="40"/>
  <c r="K179" i="40"/>
  <c r="O179" i="40"/>
  <c r="K180" i="40"/>
  <c r="O180" i="40"/>
  <c r="K181" i="40"/>
  <c r="O181" i="40"/>
  <c r="K182" i="40"/>
  <c r="O182" i="40"/>
  <c r="K183" i="40"/>
  <c r="O183" i="40"/>
  <c r="K184" i="40"/>
  <c r="O184" i="40"/>
  <c r="K185" i="40"/>
  <c r="O185" i="40"/>
  <c r="K186" i="40"/>
  <c r="O186" i="40"/>
  <c r="K187" i="40"/>
  <c r="O187" i="40"/>
  <c r="K188" i="40"/>
  <c r="O188" i="40"/>
  <c r="K189" i="40"/>
  <c r="O189" i="40"/>
  <c r="K190" i="40"/>
  <c r="O190" i="40"/>
  <c r="K191" i="40"/>
  <c r="O191" i="40"/>
  <c r="K192" i="40"/>
  <c r="O192" i="40"/>
  <c r="K193" i="40"/>
  <c r="O193" i="40"/>
  <c r="K194" i="40"/>
  <c r="O194" i="40"/>
  <c r="K195" i="40"/>
  <c r="O195" i="40"/>
  <c r="K196" i="40"/>
  <c r="O196" i="40"/>
  <c r="K197" i="40"/>
  <c r="O197" i="40"/>
  <c r="K198" i="40"/>
  <c r="O198" i="40"/>
  <c r="K199" i="40"/>
  <c r="O199" i="40"/>
  <c r="K200" i="40"/>
  <c r="O200" i="40"/>
  <c r="K201" i="40"/>
  <c r="O201" i="40"/>
  <c r="K202" i="40"/>
  <c r="O202" i="40"/>
  <c r="K203" i="40"/>
  <c r="O203" i="40"/>
  <c r="K204" i="40"/>
  <c r="O204" i="40"/>
  <c r="K205" i="40"/>
  <c r="O205" i="40"/>
  <c r="K206" i="40"/>
  <c r="O206" i="40"/>
  <c r="K207" i="40"/>
  <c r="O207" i="40"/>
  <c r="K208" i="40"/>
  <c r="O208" i="40"/>
  <c r="K209" i="40"/>
  <c r="O209" i="40"/>
  <c r="K210" i="40"/>
  <c r="O210" i="40"/>
  <c r="K211" i="40"/>
  <c r="O211" i="40"/>
  <c r="K212" i="40"/>
  <c r="O212" i="40"/>
  <c r="K213" i="40"/>
  <c r="O213" i="40"/>
  <c r="K214" i="40"/>
  <c r="O214" i="40"/>
  <c r="K215" i="40"/>
  <c r="O215" i="40"/>
  <c r="K216" i="40"/>
  <c r="O216" i="40"/>
  <c r="K217" i="40"/>
  <c r="O217" i="40"/>
  <c r="K218" i="40"/>
  <c r="O218" i="40"/>
  <c r="K219" i="40"/>
  <c r="O219" i="40"/>
  <c r="K220" i="40"/>
  <c r="O220" i="40"/>
  <c r="K221" i="40"/>
  <c r="O221" i="40"/>
  <c r="K222" i="40"/>
  <c r="O222" i="40"/>
  <c r="K223" i="40"/>
  <c r="O223" i="40"/>
  <c r="K224" i="40"/>
  <c r="O224" i="40"/>
  <c r="K225" i="40"/>
  <c r="O225" i="40"/>
  <c r="K226" i="40"/>
  <c r="O226" i="40"/>
  <c r="K227" i="40"/>
  <c r="O227" i="40"/>
  <c r="K228" i="40"/>
  <c r="O228" i="40"/>
  <c r="K229" i="40"/>
  <c r="O229" i="40"/>
  <c r="K230" i="40"/>
  <c r="O230" i="40"/>
  <c r="K231" i="40"/>
  <c r="O231" i="40"/>
  <c r="K232" i="40"/>
  <c r="O232" i="40"/>
  <c r="K233" i="40"/>
  <c r="O233" i="40"/>
  <c r="K234" i="40"/>
  <c r="O234" i="40"/>
  <c r="K235" i="40"/>
  <c r="O235" i="40"/>
  <c r="K236" i="40"/>
  <c r="O236" i="40"/>
  <c r="K237" i="40"/>
  <c r="O237" i="40"/>
  <c r="K238" i="40"/>
  <c r="O238" i="40"/>
  <c r="K239" i="40"/>
  <c r="O239" i="40"/>
  <c r="K240" i="40"/>
  <c r="O240" i="40"/>
  <c r="K241" i="40"/>
  <c r="O241" i="40"/>
  <c r="K242" i="40"/>
  <c r="O242" i="40"/>
  <c r="K243" i="40"/>
  <c r="O243" i="40"/>
  <c r="K244" i="40"/>
  <c r="O244" i="40"/>
  <c r="K245" i="40"/>
  <c r="O245" i="40"/>
  <c r="K246" i="40"/>
  <c r="O246" i="40"/>
  <c r="K247" i="40"/>
  <c r="O247" i="40"/>
  <c r="K248" i="40"/>
  <c r="O248" i="40"/>
  <c r="K249" i="40"/>
  <c r="O249" i="40"/>
  <c r="K250" i="40"/>
  <c r="O250" i="40"/>
  <c r="K251" i="40"/>
  <c r="O251" i="40"/>
  <c r="K252" i="40"/>
  <c r="O252" i="40"/>
  <c r="K253" i="40"/>
  <c r="O253" i="40"/>
  <c r="K254" i="40"/>
  <c r="O254" i="40"/>
  <c r="K255" i="40"/>
  <c r="O255" i="40"/>
  <c r="K256" i="40"/>
  <c r="O256" i="40"/>
  <c r="K257" i="40"/>
  <c r="O257" i="40"/>
  <c r="K258" i="40"/>
  <c r="O258" i="40"/>
  <c r="K259" i="40"/>
  <c r="O259" i="40"/>
  <c r="K260" i="40"/>
  <c r="O260" i="40"/>
  <c r="K261" i="40"/>
  <c r="O261" i="40"/>
  <c r="K262" i="40"/>
  <c r="O262" i="40"/>
  <c r="K263" i="40"/>
  <c r="O263" i="40"/>
  <c r="K264" i="40"/>
  <c r="O264" i="40"/>
  <c r="K265" i="40"/>
  <c r="O265" i="40"/>
  <c r="K266" i="40"/>
  <c r="O266" i="40"/>
  <c r="K267" i="40"/>
  <c r="O267" i="40"/>
  <c r="K268" i="40"/>
  <c r="O268" i="40"/>
  <c r="K269" i="40"/>
  <c r="O269" i="40"/>
  <c r="K270" i="40"/>
  <c r="O270" i="40"/>
  <c r="K271" i="40"/>
  <c r="O271" i="40"/>
  <c r="K272" i="40"/>
  <c r="O272" i="40"/>
  <c r="K273" i="40"/>
  <c r="O273" i="40"/>
  <c r="K274" i="40"/>
  <c r="O274" i="40"/>
  <c r="K275" i="40"/>
  <c r="O275" i="40"/>
  <c r="K276" i="40"/>
  <c r="O276" i="40"/>
  <c r="K277" i="40"/>
  <c r="O277" i="40"/>
  <c r="K278" i="40"/>
  <c r="O278" i="40"/>
  <c r="K279" i="40"/>
  <c r="O279" i="40"/>
  <c r="K280" i="40"/>
  <c r="O280" i="40"/>
  <c r="K281" i="40"/>
  <c r="O281" i="40"/>
  <c r="K282" i="40"/>
  <c r="O282" i="40"/>
  <c r="K283" i="40"/>
  <c r="O283" i="40"/>
  <c r="K284" i="40"/>
  <c r="O284" i="40"/>
  <c r="K285" i="40"/>
  <c r="O285" i="40"/>
  <c r="K286" i="40"/>
  <c r="O286" i="40"/>
  <c r="K287" i="40"/>
  <c r="O287" i="40"/>
  <c r="K288" i="40"/>
  <c r="O288" i="40"/>
  <c r="K289" i="40"/>
  <c r="O289" i="40"/>
  <c r="K290" i="40"/>
  <c r="O290" i="40"/>
  <c r="K291" i="40"/>
  <c r="O291" i="40"/>
  <c r="K292" i="40"/>
  <c r="O292" i="40"/>
  <c r="K293" i="40"/>
  <c r="O293" i="40"/>
  <c r="K294" i="40"/>
  <c r="O294" i="40"/>
  <c r="K295" i="40"/>
  <c r="O295" i="40"/>
  <c r="K296" i="40"/>
  <c r="O296" i="40"/>
  <c r="K297" i="40"/>
  <c r="O297" i="40"/>
  <c r="K298" i="40"/>
  <c r="O298" i="40"/>
  <c r="K299" i="40"/>
  <c r="O299" i="40"/>
  <c r="K300" i="40"/>
  <c r="O300" i="40"/>
  <c r="K301" i="40"/>
  <c r="O301" i="40"/>
  <c r="K302" i="40"/>
  <c r="O302" i="40"/>
  <c r="K303" i="40"/>
  <c r="O303" i="40"/>
  <c r="K304" i="40"/>
  <c r="O304" i="40"/>
  <c r="K305" i="40"/>
  <c r="O305" i="40"/>
  <c r="K306" i="40"/>
  <c r="O306" i="40"/>
  <c r="K307" i="40"/>
  <c r="O307" i="40"/>
  <c r="K308" i="40"/>
  <c r="O308" i="40"/>
  <c r="K309" i="40"/>
  <c r="O309" i="40"/>
  <c r="K310" i="40"/>
  <c r="O310" i="40"/>
  <c r="K311" i="40"/>
  <c r="O311" i="40"/>
  <c r="K312" i="40"/>
  <c r="O312" i="40"/>
  <c r="K313" i="40"/>
  <c r="O313" i="40"/>
  <c r="K314" i="40"/>
  <c r="O314" i="40"/>
  <c r="K315" i="40"/>
  <c r="O315" i="40"/>
  <c r="K316" i="40"/>
  <c r="O316" i="40"/>
  <c r="K317" i="40"/>
  <c r="O317" i="40"/>
  <c r="K318" i="40"/>
  <c r="O318" i="40"/>
  <c r="K319" i="40"/>
  <c r="O319" i="40"/>
  <c r="K320" i="40"/>
  <c r="O320" i="40"/>
  <c r="K321" i="40"/>
  <c r="O321" i="40"/>
  <c r="K322" i="40"/>
  <c r="O322" i="40"/>
  <c r="K323" i="40"/>
  <c r="O323" i="40"/>
  <c r="K324" i="40"/>
  <c r="O324" i="40"/>
  <c r="K325" i="40"/>
  <c r="O325" i="40"/>
  <c r="K326" i="40"/>
  <c r="O326" i="40"/>
  <c r="K327" i="40"/>
  <c r="O327" i="40"/>
  <c r="K328" i="40"/>
  <c r="O328" i="40"/>
  <c r="K329" i="40"/>
  <c r="O329" i="40"/>
  <c r="K330" i="40"/>
  <c r="O330" i="40"/>
  <c r="K331" i="40"/>
  <c r="O331" i="40"/>
  <c r="K332" i="40"/>
  <c r="O332" i="40"/>
  <c r="K333" i="40"/>
  <c r="O333" i="40"/>
  <c r="K334" i="40"/>
  <c r="O334" i="40"/>
  <c r="K335" i="40"/>
  <c r="O335" i="40"/>
  <c r="K336" i="40"/>
  <c r="O336" i="40"/>
  <c r="K337" i="40"/>
  <c r="O337" i="40"/>
  <c r="K338" i="40"/>
  <c r="O338" i="40"/>
  <c r="K339" i="40"/>
  <c r="O339" i="40"/>
  <c r="K340" i="40"/>
  <c r="O340" i="40"/>
  <c r="K341" i="40"/>
  <c r="O341" i="40"/>
  <c r="K342" i="40"/>
  <c r="O342" i="40"/>
  <c r="K343" i="40"/>
  <c r="O343" i="40"/>
  <c r="K344" i="40"/>
  <c r="O344" i="40"/>
  <c r="K345" i="40"/>
  <c r="O345" i="40"/>
  <c r="K346" i="40"/>
  <c r="O346" i="40"/>
  <c r="K347" i="40"/>
  <c r="O347" i="40"/>
  <c r="K348" i="40"/>
  <c r="O348" i="40"/>
  <c r="K349" i="40"/>
  <c r="O349" i="40"/>
  <c r="K350" i="40"/>
  <c r="O350" i="40"/>
  <c r="K351" i="40"/>
  <c r="O351" i="40"/>
  <c r="K352" i="40"/>
  <c r="O352" i="40"/>
  <c r="K353" i="40"/>
  <c r="O353" i="40"/>
  <c r="K354" i="40"/>
  <c r="O354" i="40"/>
  <c r="K355" i="40"/>
  <c r="O355" i="40"/>
  <c r="K356" i="40"/>
  <c r="O356" i="40"/>
  <c r="K357" i="40"/>
  <c r="O357" i="40"/>
  <c r="K358" i="40"/>
  <c r="O358" i="40"/>
  <c r="K359" i="40"/>
  <c r="O359" i="40"/>
  <c r="K360" i="40"/>
  <c r="O360" i="40"/>
  <c r="K361" i="40"/>
  <c r="O361" i="40"/>
  <c r="K362" i="40"/>
  <c r="O362" i="40"/>
  <c r="K363" i="40"/>
  <c r="O363" i="40"/>
  <c r="K364" i="40"/>
  <c r="O364" i="40"/>
  <c r="K365" i="40"/>
  <c r="O365" i="40"/>
  <c r="K366" i="40"/>
  <c r="O366" i="40"/>
  <c r="K367" i="40"/>
  <c r="O367" i="40"/>
  <c r="K368" i="40"/>
  <c r="O368" i="40"/>
  <c r="K369" i="40"/>
  <c r="O369" i="40"/>
  <c r="K370" i="40"/>
  <c r="O370" i="40"/>
  <c r="K371" i="40"/>
  <c r="O371" i="40"/>
  <c r="K372" i="40"/>
  <c r="O372" i="40"/>
  <c r="K373" i="40"/>
  <c r="O373" i="40"/>
  <c r="K374" i="40"/>
  <c r="O374" i="40"/>
  <c r="K375" i="40"/>
  <c r="O375" i="40"/>
  <c r="K376" i="40"/>
  <c r="O376" i="40"/>
  <c r="K377" i="40"/>
  <c r="O377" i="40"/>
  <c r="K378" i="40"/>
  <c r="O378" i="40"/>
  <c r="K379" i="40"/>
  <c r="O379" i="40"/>
  <c r="K380" i="40"/>
  <c r="O380" i="40"/>
  <c r="K381" i="40"/>
  <c r="O381" i="40"/>
  <c r="K382" i="40"/>
  <c r="O382" i="40"/>
  <c r="K383" i="40"/>
  <c r="O383" i="40"/>
  <c r="K384" i="40"/>
  <c r="O384" i="40"/>
  <c r="K385" i="40"/>
  <c r="O385" i="40"/>
  <c r="K386" i="40"/>
  <c r="O386" i="40"/>
  <c r="K387" i="40"/>
  <c r="O387" i="40"/>
  <c r="K388" i="40"/>
  <c r="O388" i="40"/>
  <c r="K389" i="40"/>
  <c r="O389" i="40"/>
  <c r="K390" i="40"/>
  <c r="O390" i="40"/>
  <c r="K391" i="40"/>
  <c r="O391" i="40"/>
  <c r="K392" i="40"/>
  <c r="O392" i="40"/>
  <c r="K393" i="40"/>
  <c r="O393" i="40"/>
  <c r="K394" i="40"/>
  <c r="O394" i="40"/>
  <c r="K395" i="40"/>
  <c r="O395" i="40"/>
  <c r="K396" i="40"/>
  <c r="O396" i="40"/>
  <c r="K397" i="40"/>
  <c r="O397" i="40"/>
  <c r="K398" i="40"/>
  <c r="O398" i="40"/>
  <c r="K399" i="40"/>
  <c r="O399" i="40"/>
  <c r="K400" i="40"/>
  <c r="O400" i="40"/>
  <c r="K401" i="40"/>
  <c r="O401" i="40"/>
  <c r="K402" i="40"/>
  <c r="O402" i="40"/>
  <c r="K403" i="40"/>
  <c r="O403" i="40"/>
  <c r="K404" i="40"/>
  <c r="O404" i="40"/>
  <c r="K405" i="40"/>
  <c r="O405" i="40"/>
  <c r="K406" i="40"/>
  <c r="O406" i="40"/>
  <c r="K407" i="40"/>
  <c r="O407" i="40"/>
  <c r="K408" i="40"/>
  <c r="O408" i="40"/>
  <c r="K409" i="40"/>
  <c r="O409" i="40"/>
  <c r="K410" i="40"/>
  <c r="O410" i="40"/>
  <c r="K411" i="40"/>
  <c r="O411" i="40"/>
  <c r="K412" i="40"/>
  <c r="O412" i="40"/>
  <c r="K413" i="40"/>
  <c r="O413" i="40"/>
  <c r="K414" i="40"/>
  <c r="O414" i="40"/>
  <c r="K415" i="40"/>
  <c r="O415" i="40"/>
  <c r="K416" i="40"/>
  <c r="O416" i="40"/>
  <c r="K417" i="40"/>
  <c r="O417" i="40"/>
  <c r="K418" i="40"/>
  <c r="O418" i="40"/>
  <c r="K419" i="40"/>
  <c r="O419" i="40"/>
  <c r="K420" i="40"/>
  <c r="O420" i="40"/>
  <c r="K421" i="40"/>
  <c r="O421" i="40"/>
  <c r="K422" i="40"/>
  <c r="O422" i="40"/>
  <c r="K423" i="40"/>
  <c r="O423" i="40"/>
  <c r="K424" i="40"/>
  <c r="O424" i="40"/>
  <c r="K425" i="40"/>
  <c r="O425" i="40"/>
  <c r="K426" i="40"/>
  <c r="O426" i="40"/>
  <c r="K427" i="40"/>
  <c r="O427" i="40"/>
  <c r="K428" i="40"/>
  <c r="O428" i="40"/>
  <c r="K429" i="40"/>
  <c r="O429" i="40"/>
  <c r="K430" i="40"/>
  <c r="O430" i="40"/>
  <c r="K431" i="40"/>
  <c r="O431" i="40"/>
  <c r="K432" i="40"/>
  <c r="O432" i="40"/>
  <c r="K433" i="40"/>
  <c r="O433" i="40"/>
  <c r="K434" i="40"/>
  <c r="O434" i="40"/>
  <c r="K435" i="40"/>
  <c r="O435" i="40"/>
  <c r="K436" i="40"/>
  <c r="O436" i="40"/>
  <c r="K437" i="40"/>
  <c r="O437" i="40"/>
  <c r="K438" i="40"/>
  <c r="O438" i="40"/>
  <c r="K439" i="40"/>
  <c r="O439" i="40"/>
  <c r="K440" i="40"/>
  <c r="O440" i="40"/>
  <c r="K441" i="40"/>
  <c r="O441" i="40"/>
  <c r="K442" i="40"/>
  <c r="O442" i="40"/>
  <c r="K443" i="40"/>
  <c r="O443" i="40"/>
  <c r="K444" i="40"/>
  <c r="O444" i="40"/>
  <c r="K445" i="40"/>
  <c r="O445" i="40"/>
  <c r="K446" i="40"/>
  <c r="O446" i="40"/>
  <c r="K447" i="40"/>
  <c r="O447" i="40"/>
  <c r="K448" i="40"/>
  <c r="O448" i="40"/>
  <c r="K449" i="40"/>
  <c r="O449" i="40"/>
  <c r="K450" i="40"/>
  <c r="O450" i="40"/>
  <c r="K451" i="40"/>
  <c r="O451" i="40"/>
  <c r="K452" i="40"/>
  <c r="O452" i="40"/>
  <c r="K453" i="40"/>
  <c r="O453" i="40"/>
  <c r="K454" i="40"/>
  <c r="O454" i="40"/>
  <c r="K455" i="40"/>
  <c r="O455" i="40"/>
  <c r="K456" i="40"/>
  <c r="O456" i="40"/>
  <c r="K457" i="40"/>
  <c r="O457" i="40"/>
  <c r="K458" i="40"/>
  <c r="O458" i="40"/>
  <c r="K459" i="40"/>
  <c r="O459" i="40"/>
  <c r="K460" i="40"/>
  <c r="O460" i="40"/>
  <c r="K461" i="40"/>
  <c r="O461" i="40"/>
  <c r="K462" i="40"/>
  <c r="O462" i="40"/>
  <c r="K463" i="40"/>
  <c r="O463" i="40"/>
  <c r="K464" i="40"/>
  <c r="O464" i="40"/>
  <c r="K465" i="40"/>
  <c r="O465" i="40"/>
  <c r="K466" i="40"/>
  <c r="O466" i="40"/>
  <c r="K467" i="40"/>
  <c r="O467" i="40"/>
  <c r="K468" i="40"/>
  <c r="O468" i="40"/>
  <c r="K469" i="40"/>
  <c r="O469" i="40"/>
  <c r="K470" i="40"/>
  <c r="O470" i="40"/>
  <c r="K471" i="40"/>
  <c r="O471" i="40"/>
  <c r="K472" i="40"/>
  <c r="O472" i="40"/>
  <c r="K473" i="40"/>
  <c r="O473" i="40"/>
  <c r="K474" i="40"/>
  <c r="O474" i="40"/>
  <c r="K475" i="40"/>
  <c r="O475" i="40"/>
  <c r="K476" i="40"/>
  <c r="O476" i="40"/>
  <c r="K477" i="40"/>
  <c r="O477" i="40"/>
  <c r="K478" i="40"/>
  <c r="O478" i="40"/>
  <c r="K479" i="40"/>
  <c r="O479" i="40"/>
  <c r="K480" i="40"/>
  <c r="O480" i="40"/>
  <c r="K481" i="40"/>
  <c r="O481" i="40"/>
  <c r="K482" i="40"/>
  <c r="O482" i="40"/>
  <c r="K483" i="40"/>
  <c r="O483" i="40"/>
  <c r="K484" i="40"/>
  <c r="O484" i="40"/>
  <c r="K485" i="40"/>
  <c r="O485" i="40"/>
  <c r="K486" i="40"/>
  <c r="O486" i="40"/>
  <c r="K487" i="40"/>
  <c r="O487" i="40"/>
  <c r="K488" i="40"/>
  <c r="O488" i="40"/>
  <c r="K489" i="40"/>
  <c r="O489" i="40"/>
  <c r="K490" i="40"/>
  <c r="O490" i="40"/>
  <c r="K491" i="40"/>
  <c r="O491" i="40"/>
  <c r="K492" i="40"/>
  <c r="O492" i="40"/>
  <c r="K493" i="40"/>
  <c r="O493" i="40"/>
  <c r="K494" i="40"/>
  <c r="O494" i="40"/>
  <c r="K495" i="40"/>
  <c r="O495" i="40"/>
  <c r="K496" i="40"/>
  <c r="O496" i="40"/>
  <c r="K497" i="40"/>
  <c r="O497" i="40"/>
  <c r="K498" i="40"/>
  <c r="O498" i="40"/>
  <c r="K499" i="40"/>
  <c r="O499" i="40"/>
  <c r="K500" i="40"/>
  <c r="O500" i="40"/>
  <c r="K501" i="40"/>
  <c r="O501" i="40"/>
  <c r="K502" i="40"/>
  <c r="O502" i="40"/>
  <c r="K503" i="40"/>
  <c r="O503" i="40"/>
  <c r="K504" i="40"/>
  <c r="O504" i="40"/>
  <c r="K505" i="40"/>
  <c r="O505" i="40"/>
  <c r="K506" i="40"/>
  <c r="O506" i="40"/>
  <c r="K507" i="40"/>
  <c r="O507" i="40"/>
  <c r="K508" i="40"/>
  <c r="O508" i="40"/>
  <c r="K509" i="40"/>
  <c r="O509" i="40"/>
  <c r="K510" i="40"/>
  <c r="O510" i="40"/>
  <c r="K511" i="40"/>
  <c r="O511" i="40"/>
  <c r="K512" i="40"/>
  <c r="O512" i="40"/>
  <c r="K513" i="40"/>
  <c r="O513" i="40"/>
  <c r="K514" i="40"/>
  <c r="O514" i="40"/>
  <c r="K515" i="40"/>
  <c r="O515" i="40"/>
  <c r="K76" i="40"/>
  <c r="O76" i="40"/>
  <c r="J77" i="40"/>
  <c r="L77" i="40"/>
  <c r="J78" i="40"/>
  <c r="L78" i="40"/>
  <c r="J79" i="40"/>
  <c r="L79" i="40"/>
  <c r="J80" i="40"/>
  <c r="L80" i="40"/>
  <c r="J81" i="40"/>
  <c r="L81" i="40"/>
  <c r="J82" i="40"/>
  <c r="L82" i="40"/>
  <c r="J83" i="40"/>
  <c r="L83" i="40"/>
  <c r="J84" i="40"/>
  <c r="L84" i="40"/>
  <c r="J85" i="40"/>
  <c r="L85" i="40"/>
  <c r="J86" i="40"/>
  <c r="L86" i="40"/>
  <c r="J87" i="40"/>
  <c r="L87" i="40"/>
  <c r="J88" i="40"/>
  <c r="L88" i="40"/>
  <c r="J89" i="40"/>
  <c r="L89" i="40"/>
  <c r="J90" i="40"/>
  <c r="L90" i="40"/>
  <c r="J91" i="40"/>
  <c r="L91" i="40"/>
  <c r="J92" i="40"/>
  <c r="L92" i="40"/>
  <c r="J93" i="40"/>
  <c r="L93" i="40"/>
  <c r="J94" i="40"/>
  <c r="L94" i="40"/>
  <c r="J95" i="40"/>
  <c r="L95" i="40"/>
  <c r="J96" i="40"/>
  <c r="L96" i="40"/>
  <c r="J97" i="40"/>
  <c r="L97" i="40"/>
  <c r="J98" i="40"/>
  <c r="L98" i="40"/>
  <c r="J99" i="40"/>
  <c r="L99" i="40"/>
  <c r="J100" i="40"/>
  <c r="L100" i="40"/>
  <c r="J101" i="40"/>
  <c r="L101" i="40"/>
  <c r="J102" i="40"/>
  <c r="L102" i="40"/>
  <c r="J103" i="40"/>
  <c r="L103" i="40"/>
  <c r="J104" i="40"/>
  <c r="L104" i="40"/>
  <c r="J105" i="40"/>
  <c r="L105" i="40"/>
  <c r="J106" i="40"/>
  <c r="L106" i="40"/>
  <c r="J107" i="40"/>
  <c r="L107" i="40"/>
  <c r="J108" i="40"/>
  <c r="L108" i="40"/>
  <c r="J109" i="40"/>
  <c r="L109" i="40"/>
  <c r="J110" i="40"/>
  <c r="L110" i="40"/>
  <c r="J111" i="40"/>
  <c r="L111" i="40"/>
  <c r="J112" i="40"/>
  <c r="L112" i="40"/>
  <c r="J113" i="40"/>
  <c r="L113" i="40"/>
  <c r="J114" i="40"/>
  <c r="L114" i="40"/>
  <c r="J115" i="40"/>
  <c r="L115" i="40"/>
  <c r="J116" i="40"/>
  <c r="L116" i="40"/>
  <c r="J117" i="40"/>
  <c r="L117" i="40"/>
  <c r="J118" i="40"/>
  <c r="L118" i="40"/>
  <c r="J119" i="40"/>
  <c r="L119" i="40"/>
  <c r="J120" i="40"/>
  <c r="L120" i="40"/>
  <c r="J121" i="40"/>
  <c r="L121" i="40"/>
  <c r="J122" i="40"/>
  <c r="L122" i="40"/>
  <c r="J123" i="40"/>
  <c r="L123" i="40"/>
  <c r="J124" i="40"/>
  <c r="L124" i="40"/>
  <c r="J125" i="40"/>
  <c r="L125" i="40"/>
  <c r="J126" i="40"/>
  <c r="L126" i="40"/>
  <c r="J127" i="40"/>
  <c r="L127" i="40"/>
  <c r="J128" i="40"/>
  <c r="L128" i="40"/>
  <c r="J129" i="40"/>
  <c r="L129" i="40"/>
  <c r="J130" i="40"/>
  <c r="L130" i="40"/>
  <c r="J131" i="40"/>
  <c r="L131" i="40"/>
  <c r="J132" i="40"/>
  <c r="L132" i="40"/>
  <c r="J133" i="40"/>
  <c r="L133" i="40"/>
  <c r="J134" i="40"/>
  <c r="L134" i="40"/>
  <c r="J135" i="40"/>
  <c r="L135" i="40"/>
  <c r="J136" i="40"/>
  <c r="L136" i="40"/>
  <c r="J137" i="40"/>
  <c r="L137" i="40"/>
  <c r="J138" i="40"/>
  <c r="L138" i="40"/>
  <c r="J139" i="40"/>
  <c r="L139" i="40"/>
  <c r="J140" i="40"/>
  <c r="L140" i="40"/>
  <c r="J141" i="40"/>
  <c r="L141" i="40"/>
  <c r="J142" i="40"/>
  <c r="L142" i="40"/>
  <c r="J143" i="40"/>
  <c r="L143" i="40"/>
  <c r="J144" i="40"/>
  <c r="L144" i="40"/>
  <c r="J145" i="40"/>
  <c r="L145" i="40"/>
  <c r="J146" i="40"/>
  <c r="L146" i="40"/>
  <c r="J147" i="40"/>
  <c r="L147" i="40"/>
  <c r="J148" i="40"/>
  <c r="L148" i="40"/>
  <c r="J149" i="40"/>
  <c r="L149" i="40"/>
  <c r="J150" i="40"/>
  <c r="L150" i="40"/>
  <c r="J151" i="40"/>
  <c r="L151" i="40"/>
  <c r="J152" i="40"/>
  <c r="L152" i="40"/>
  <c r="J153" i="40"/>
  <c r="L153" i="40"/>
  <c r="J154" i="40"/>
  <c r="L154" i="40"/>
  <c r="J155" i="40"/>
  <c r="L155" i="40"/>
  <c r="J156" i="40"/>
  <c r="L156" i="40"/>
  <c r="J157" i="40"/>
  <c r="L157" i="40"/>
  <c r="J158" i="40"/>
  <c r="L158" i="40"/>
  <c r="J159" i="40"/>
  <c r="L159" i="40"/>
  <c r="J160" i="40"/>
  <c r="L160" i="40"/>
  <c r="J161" i="40"/>
  <c r="L161" i="40"/>
  <c r="J162" i="40"/>
  <c r="L162" i="40"/>
  <c r="J163" i="40"/>
  <c r="L163" i="40"/>
  <c r="J164" i="40"/>
  <c r="L164" i="40"/>
  <c r="J165" i="40"/>
  <c r="L165" i="40"/>
  <c r="J166" i="40"/>
  <c r="L166" i="40"/>
  <c r="J167" i="40"/>
  <c r="L167" i="40"/>
  <c r="J168" i="40"/>
  <c r="L168" i="40"/>
  <c r="J169" i="40"/>
  <c r="L169" i="40"/>
  <c r="J170" i="40"/>
  <c r="L170" i="40"/>
  <c r="J171" i="40"/>
  <c r="L171" i="40"/>
  <c r="J172" i="40"/>
  <c r="L172" i="40"/>
  <c r="J173" i="40"/>
  <c r="L173" i="40"/>
  <c r="J174" i="40"/>
  <c r="L174" i="40"/>
  <c r="J175" i="40"/>
  <c r="L175" i="40"/>
  <c r="J176" i="40"/>
  <c r="L176" i="40"/>
  <c r="J177" i="40"/>
  <c r="L177" i="40"/>
  <c r="J178" i="40"/>
  <c r="L178" i="40"/>
  <c r="J179" i="40"/>
  <c r="L179" i="40"/>
  <c r="J180" i="40"/>
  <c r="L180" i="40"/>
  <c r="J181" i="40"/>
  <c r="L181" i="40"/>
  <c r="J182" i="40"/>
  <c r="L182" i="40"/>
  <c r="J183" i="40"/>
  <c r="L183" i="40"/>
  <c r="J184" i="40"/>
  <c r="L184" i="40"/>
  <c r="J185" i="40"/>
  <c r="L185" i="40"/>
  <c r="J186" i="40"/>
  <c r="L186" i="40"/>
  <c r="J187" i="40"/>
  <c r="L187" i="40"/>
  <c r="J188" i="40"/>
  <c r="L188" i="40"/>
  <c r="J189" i="40"/>
  <c r="L189" i="40"/>
  <c r="J190" i="40"/>
  <c r="L190" i="40"/>
  <c r="J191" i="40"/>
  <c r="L191" i="40"/>
  <c r="J192" i="40"/>
  <c r="L192" i="40"/>
  <c r="J193" i="40"/>
  <c r="L193" i="40"/>
  <c r="J194" i="40"/>
  <c r="L194" i="40"/>
  <c r="J195" i="40"/>
  <c r="L195" i="40"/>
  <c r="J196" i="40"/>
  <c r="L196" i="40"/>
  <c r="J197" i="40"/>
  <c r="L197" i="40"/>
  <c r="J198" i="40"/>
  <c r="L198" i="40"/>
  <c r="J199" i="40"/>
  <c r="L199" i="40"/>
  <c r="J200" i="40"/>
  <c r="L200" i="40"/>
  <c r="J201" i="40"/>
  <c r="L201" i="40"/>
  <c r="J202" i="40"/>
  <c r="L202" i="40"/>
  <c r="J203" i="40"/>
  <c r="L203" i="40"/>
  <c r="J204" i="40"/>
  <c r="L204" i="40"/>
  <c r="J205" i="40"/>
  <c r="L205" i="40"/>
  <c r="J206" i="40"/>
  <c r="L206" i="40"/>
  <c r="J207" i="40"/>
  <c r="L207" i="40"/>
  <c r="J208" i="40"/>
  <c r="L208" i="40"/>
  <c r="J209" i="40"/>
  <c r="L209" i="40"/>
  <c r="J210" i="40"/>
  <c r="L210" i="40"/>
  <c r="J211" i="40"/>
  <c r="L211" i="40"/>
  <c r="J212" i="40"/>
  <c r="L212" i="40"/>
  <c r="J213" i="40"/>
  <c r="L213" i="40"/>
  <c r="J214" i="40"/>
  <c r="L214" i="40"/>
  <c r="J215" i="40"/>
  <c r="L215" i="40"/>
  <c r="J216" i="40"/>
  <c r="L216" i="40"/>
  <c r="J217" i="40"/>
  <c r="L217" i="40"/>
  <c r="J218" i="40"/>
  <c r="L218" i="40"/>
  <c r="J219" i="40"/>
  <c r="L219" i="40"/>
  <c r="J220" i="40"/>
  <c r="L220" i="40"/>
  <c r="J221" i="40"/>
  <c r="L221" i="40"/>
  <c r="J222" i="40"/>
  <c r="L222" i="40"/>
  <c r="J223" i="40"/>
  <c r="L223" i="40"/>
  <c r="J224" i="40"/>
  <c r="L224" i="40"/>
  <c r="J225" i="40"/>
  <c r="L225" i="40"/>
  <c r="J226" i="40"/>
  <c r="L226" i="40"/>
  <c r="J227" i="40"/>
  <c r="L227" i="40"/>
  <c r="J228" i="40"/>
  <c r="L228" i="40"/>
  <c r="J229" i="40"/>
  <c r="L229" i="40"/>
  <c r="J230" i="40"/>
  <c r="L230" i="40"/>
  <c r="J231" i="40"/>
  <c r="L231" i="40"/>
  <c r="J232" i="40"/>
  <c r="L232" i="40"/>
  <c r="J233" i="40"/>
  <c r="L233" i="40"/>
  <c r="J234" i="40"/>
  <c r="L234" i="40"/>
  <c r="J235" i="40"/>
  <c r="L235" i="40"/>
  <c r="J236" i="40"/>
  <c r="L236" i="40"/>
  <c r="J237" i="40"/>
  <c r="L237" i="40"/>
  <c r="J238" i="40"/>
  <c r="L238" i="40"/>
  <c r="J239" i="40"/>
  <c r="L239" i="40"/>
  <c r="J240" i="40"/>
  <c r="L240" i="40"/>
  <c r="J241" i="40"/>
  <c r="L241" i="40"/>
  <c r="J242" i="40"/>
  <c r="L242" i="40"/>
  <c r="J243" i="40"/>
  <c r="L243" i="40"/>
  <c r="J244" i="40"/>
  <c r="L244" i="40"/>
  <c r="J245" i="40"/>
  <c r="L245" i="40"/>
  <c r="J246" i="40"/>
  <c r="L246" i="40"/>
  <c r="J247" i="40"/>
  <c r="L247" i="40"/>
  <c r="J248" i="40"/>
  <c r="L248" i="40"/>
  <c r="J249" i="40"/>
  <c r="L249" i="40"/>
  <c r="J250" i="40"/>
  <c r="L250" i="40"/>
  <c r="J251" i="40"/>
  <c r="L251" i="40"/>
  <c r="J252" i="40"/>
  <c r="L252" i="40"/>
  <c r="J253" i="40"/>
  <c r="L253" i="40"/>
  <c r="J254" i="40"/>
  <c r="L254" i="40"/>
  <c r="J255" i="40"/>
  <c r="L255" i="40"/>
  <c r="J256" i="40"/>
  <c r="L256" i="40"/>
  <c r="J257" i="40"/>
  <c r="L257" i="40"/>
  <c r="J258" i="40"/>
  <c r="L258" i="40"/>
  <c r="J259" i="40"/>
  <c r="L259" i="40"/>
  <c r="J260" i="40"/>
  <c r="L260" i="40"/>
  <c r="J261" i="40"/>
  <c r="L261" i="40"/>
  <c r="J262" i="40"/>
  <c r="L262" i="40"/>
  <c r="J263" i="40"/>
  <c r="L263" i="40"/>
  <c r="J264" i="40"/>
  <c r="L264" i="40"/>
  <c r="J265" i="40"/>
  <c r="L265" i="40"/>
  <c r="J266" i="40"/>
  <c r="L266" i="40"/>
  <c r="J267" i="40"/>
  <c r="L267" i="40"/>
  <c r="J268" i="40"/>
  <c r="L268" i="40"/>
  <c r="J269" i="40"/>
  <c r="L269" i="40"/>
  <c r="J270" i="40"/>
  <c r="L270" i="40"/>
  <c r="J271" i="40"/>
  <c r="L271" i="40"/>
  <c r="J272" i="40"/>
  <c r="L272" i="40"/>
  <c r="J273" i="40"/>
  <c r="L273" i="40"/>
  <c r="J274" i="40"/>
  <c r="L274" i="40"/>
  <c r="J275" i="40"/>
  <c r="L275" i="40"/>
  <c r="J276" i="40"/>
  <c r="L276" i="40"/>
  <c r="J277" i="40"/>
  <c r="L277" i="40"/>
  <c r="J278" i="40"/>
  <c r="L278" i="40"/>
  <c r="J279" i="40"/>
  <c r="L279" i="40"/>
  <c r="J280" i="40"/>
  <c r="L280" i="40"/>
  <c r="J281" i="40"/>
  <c r="L281" i="40"/>
  <c r="J282" i="40"/>
  <c r="L282" i="40"/>
  <c r="J283" i="40"/>
  <c r="L283" i="40"/>
  <c r="J284" i="40"/>
  <c r="L284" i="40"/>
  <c r="J285" i="40"/>
  <c r="L285" i="40"/>
  <c r="J286" i="40"/>
  <c r="L286" i="40"/>
  <c r="J287" i="40"/>
  <c r="L287" i="40"/>
  <c r="J288" i="40"/>
  <c r="L288" i="40"/>
  <c r="J289" i="40"/>
  <c r="L289" i="40"/>
  <c r="J290" i="40"/>
  <c r="L290" i="40"/>
  <c r="J291" i="40"/>
  <c r="L291" i="40"/>
  <c r="J292" i="40"/>
  <c r="L292" i="40"/>
  <c r="J293" i="40"/>
  <c r="L293" i="40"/>
  <c r="J294" i="40"/>
  <c r="L294" i="40"/>
  <c r="J295" i="40"/>
  <c r="L295" i="40"/>
  <c r="J296" i="40"/>
  <c r="L296" i="40"/>
  <c r="J297" i="40"/>
  <c r="L297" i="40"/>
  <c r="J298" i="40"/>
  <c r="L298" i="40"/>
  <c r="J299" i="40"/>
  <c r="L299" i="40"/>
  <c r="J300" i="40"/>
  <c r="L300" i="40"/>
  <c r="J301" i="40"/>
  <c r="L301" i="40"/>
  <c r="J302" i="40"/>
  <c r="L302" i="40"/>
  <c r="J303" i="40"/>
  <c r="L303" i="40"/>
  <c r="J304" i="40"/>
  <c r="L304" i="40"/>
  <c r="J305" i="40"/>
  <c r="L305" i="40"/>
  <c r="J306" i="40"/>
  <c r="L306" i="40"/>
  <c r="J307" i="40"/>
  <c r="L307" i="40"/>
  <c r="J308" i="40"/>
  <c r="L308" i="40"/>
  <c r="J309" i="40"/>
  <c r="L309" i="40"/>
  <c r="J310" i="40"/>
  <c r="L310" i="40"/>
  <c r="J311" i="40"/>
  <c r="L311" i="40"/>
  <c r="J312" i="40"/>
  <c r="L312" i="40"/>
  <c r="J313" i="40"/>
  <c r="L313" i="40"/>
  <c r="J314" i="40"/>
  <c r="L314" i="40"/>
  <c r="J315" i="40"/>
  <c r="L315" i="40"/>
  <c r="J316" i="40"/>
  <c r="L316" i="40"/>
  <c r="J317" i="40"/>
  <c r="L317" i="40"/>
  <c r="J318" i="40"/>
  <c r="L318" i="40"/>
  <c r="J319" i="40"/>
  <c r="L319" i="40"/>
  <c r="J320" i="40"/>
  <c r="L320" i="40"/>
  <c r="J321" i="40"/>
  <c r="L321" i="40"/>
  <c r="J322" i="40"/>
  <c r="L322" i="40"/>
  <c r="J323" i="40"/>
  <c r="L323" i="40"/>
  <c r="J324" i="40"/>
  <c r="L324" i="40"/>
  <c r="J325" i="40"/>
  <c r="L325" i="40"/>
  <c r="J326" i="40"/>
  <c r="L326" i="40"/>
  <c r="J327" i="40"/>
  <c r="L327" i="40"/>
  <c r="J328" i="40"/>
  <c r="L328" i="40"/>
  <c r="J329" i="40"/>
  <c r="L329" i="40"/>
  <c r="J330" i="40"/>
  <c r="L330" i="40"/>
  <c r="J331" i="40"/>
  <c r="L331" i="40"/>
  <c r="J332" i="40"/>
  <c r="L332" i="40"/>
  <c r="J333" i="40"/>
  <c r="L333" i="40"/>
  <c r="J334" i="40"/>
  <c r="L334" i="40"/>
  <c r="J335" i="40"/>
  <c r="L335" i="40"/>
  <c r="J336" i="40"/>
  <c r="L336" i="40"/>
  <c r="J337" i="40"/>
  <c r="L337" i="40"/>
  <c r="J338" i="40"/>
  <c r="L338" i="40"/>
  <c r="J339" i="40"/>
  <c r="L339" i="40"/>
  <c r="J340" i="40"/>
  <c r="L340" i="40"/>
  <c r="J341" i="40"/>
  <c r="L341" i="40"/>
  <c r="J342" i="40"/>
  <c r="L342" i="40"/>
  <c r="J343" i="40"/>
  <c r="L343" i="40"/>
  <c r="J344" i="40"/>
  <c r="L344" i="40"/>
  <c r="J345" i="40"/>
  <c r="L345" i="40"/>
  <c r="J346" i="40"/>
  <c r="L346" i="40"/>
  <c r="J347" i="40"/>
  <c r="L347" i="40"/>
  <c r="J348" i="40"/>
  <c r="L348" i="40"/>
  <c r="J349" i="40"/>
  <c r="L349" i="40"/>
  <c r="J350" i="40"/>
  <c r="L350" i="40"/>
  <c r="J351" i="40"/>
  <c r="L351" i="40"/>
  <c r="J352" i="40"/>
  <c r="L352" i="40"/>
  <c r="J353" i="40"/>
  <c r="L353" i="40"/>
  <c r="J354" i="40"/>
  <c r="L354" i="40"/>
  <c r="J355" i="40"/>
  <c r="L355" i="40"/>
  <c r="J356" i="40"/>
  <c r="L356" i="40"/>
  <c r="J357" i="40"/>
  <c r="L357" i="40"/>
  <c r="J358" i="40"/>
  <c r="L358" i="40"/>
  <c r="J359" i="40"/>
  <c r="L359" i="40"/>
  <c r="J360" i="40"/>
  <c r="L360" i="40"/>
  <c r="J361" i="40"/>
  <c r="L361" i="40"/>
  <c r="J362" i="40"/>
  <c r="L362" i="40"/>
  <c r="J363" i="40"/>
  <c r="L363" i="40"/>
  <c r="J364" i="40"/>
  <c r="L364" i="40"/>
  <c r="J365" i="40"/>
  <c r="L365" i="40"/>
  <c r="J366" i="40"/>
  <c r="L366" i="40"/>
  <c r="J367" i="40"/>
  <c r="L367" i="40"/>
  <c r="J368" i="40"/>
  <c r="L368" i="40"/>
  <c r="J369" i="40"/>
  <c r="L369" i="40"/>
  <c r="J370" i="40"/>
  <c r="L370" i="40"/>
  <c r="J371" i="40"/>
  <c r="L371" i="40"/>
  <c r="J372" i="40"/>
  <c r="L372" i="40"/>
  <c r="J373" i="40"/>
  <c r="L373" i="40"/>
  <c r="J374" i="40"/>
  <c r="L374" i="40"/>
  <c r="J375" i="40"/>
  <c r="L375" i="40"/>
  <c r="J376" i="40"/>
  <c r="L376" i="40"/>
  <c r="J377" i="40"/>
  <c r="L377" i="40"/>
  <c r="J378" i="40"/>
  <c r="L378" i="40"/>
  <c r="J379" i="40"/>
  <c r="L379" i="40"/>
  <c r="J380" i="40"/>
  <c r="L380" i="40"/>
  <c r="J381" i="40"/>
  <c r="L381" i="40"/>
  <c r="J382" i="40"/>
  <c r="L382" i="40"/>
  <c r="J383" i="40"/>
  <c r="L383" i="40"/>
  <c r="J384" i="40"/>
  <c r="L384" i="40"/>
  <c r="J385" i="40"/>
  <c r="L385" i="40"/>
  <c r="J386" i="40"/>
  <c r="L386" i="40"/>
  <c r="J387" i="40"/>
  <c r="L387" i="40"/>
  <c r="J388" i="40"/>
  <c r="L388" i="40"/>
  <c r="J389" i="40"/>
  <c r="L389" i="40"/>
  <c r="J390" i="40"/>
  <c r="L390" i="40"/>
  <c r="J391" i="40"/>
  <c r="L391" i="40"/>
  <c r="J392" i="40"/>
  <c r="L392" i="40"/>
  <c r="J393" i="40"/>
  <c r="L393" i="40"/>
  <c r="J394" i="40"/>
  <c r="L394" i="40"/>
  <c r="J395" i="40"/>
  <c r="L395" i="40"/>
  <c r="J396" i="40"/>
  <c r="L396" i="40"/>
  <c r="J397" i="40"/>
  <c r="L397" i="40"/>
  <c r="J398" i="40"/>
  <c r="L398" i="40"/>
  <c r="J399" i="40"/>
  <c r="L399" i="40"/>
  <c r="J400" i="40"/>
  <c r="L400" i="40"/>
  <c r="J401" i="40"/>
  <c r="L401" i="40"/>
  <c r="J402" i="40"/>
  <c r="L402" i="40"/>
  <c r="J403" i="40"/>
  <c r="L403" i="40"/>
  <c r="J404" i="40"/>
  <c r="L404" i="40"/>
  <c r="J405" i="40"/>
  <c r="L405" i="40"/>
  <c r="J406" i="40"/>
  <c r="L406" i="40"/>
  <c r="J407" i="40"/>
  <c r="L407" i="40"/>
  <c r="J408" i="40"/>
  <c r="L408" i="40"/>
  <c r="J409" i="40"/>
  <c r="L409" i="40"/>
  <c r="J410" i="40"/>
  <c r="L410" i="40"/>
  <c r="J411" i="40"/>
  <c r="L411" i="40"/>
  <c r="J412" i="40"/>
  <c r="L412" i="40"/>
  <c r="J413" i="40"/>
  <c r="L413" i="40"/>
  <c r="J414" i="40"/>
  <c r="L414" i="40"/>
  <c r="J415" i="40"/>
  <c r="L415" i="40"/>
  <c r="J416" i="40"/>
  <c r="L416" i="40"/>
  <c r="J417" i="40"/>
  <c r="L417" i="40"/>
  <c r="J418" i="40"/>
  <c r="L418" i="40"/>
  <c r="J419" i="40"/>
  <c r="L419" i="40"/>
  <c r="J420" i="40"/>
  <c r="L420" i="40"/>
  <c r="J421" i="40"/>
  <c r="L421" i="40"/>
  <c r="J422" i="40"/>
  <c r="L422" i="40"/>
  <c r="J423" i="40"/>
  <c r="L423" i="40"/>
  <c r="J424" i="40"/>
  <c r="L424" i="40"/>
  <c r="J425" i="40"/>
  <c r="L425" i="40"/>
  <c r="J426" i="40"/>
  <c r="L426" i="40"/>
  <c r="J427" i="40"/>
  <c r="L427" i="40"/>
  <c r="J428" i="40"/>
  <c r="L428" i="40"/>
  <c r="J429" i="40"/>
  <c r="L429" i="40"/>
  <c r="J430" i="40"/>
  <c r="L430" i="40"/>
  <c r="J431" i="40"/>
  <c r="L431" i="40"/>
  <c r="J432" i="40"/>
  <c r="L432" i="40"/>
  <c r="J433" i="40"/>
  <c r="L433" i="40"/>
  <c r="J434" i="40"/>
  <c r="L434" i="40"/>
  <c r="J435" i="40"/>
  <c r="L435" i="40"/>
  <c r="J436" i="40"/>
  <c r="L436" i="40"/>
  <c r="J437" i="40"/>
  <c r="L437" i="40"/>
  <c r="J438" i="40"/>
  <c r="L438" i="40"/>
  <c r="J439" i="40"/>
  <c r="L439" i="40"/>
  <c r="J440" i="40"/>
  <c r="L440" i="40"/>
  <c r="J441" i="40"/>
  <c r="L441" i="40"/>
  <c r="J442" i="40"/>
  <c r="L442" i="40"/>
  <c r="J443" i="40"/>
  <c r="L443" i="40"/>
  <c r="J444" i="40"/>
  <c r="L444" i="40"/>
  <c r="J445" i="40"/>
  <c r="L445" i="40"/>
  <c r="J446" i="40"/>
  <c r="L446" i="40"/>
  <c r="J447" i="40"/>
  <c r="L447" i="40"/>
  <c r="J448" i="40"/>
  <c r="L448" i="40"/>
  <c r="J449" i="40"/>
  <c r="L449" i="40"/>
  <c r="J450" i="40"/>
  <c r="L450" i="40"/>
  <c r="J451" i="40"/>
  <c r="L451" i="40"/>
  <c r="J452" i="40"/>
  <c r="L452" i="40"/>
  <c r="J453" i="40"/>
  <c r="L453" i="40"/>
  <c r="J454" i="40"/>
  <c r="L454" i="40"/>
  <c r="J455" i="40"/>
  <c r="L455" i="40"/>
  <c r="J456" i="40"/>
  <c r="L456" i="40"/>
  <c r="J457" i="40"/>
  <c r="L457" i="40"/>
  <c r="J458" i="40"/>
  <c r="L458" i="40"/>
  <c r="J459" i="40"/>
  <c r="L459" i="40"/>
  <c r="J460" i="40"/>
  <c r="L460" i="40"/>
  <c r="J461" i="40"/>
  <c r="L461" i="40"/>
  <c r="J462" i="40"/>
  <c r="L462" i="40"/>
  <c r="J463" i="40"/>
  <c r="L463" i="40"/>
  <c r="J464" i="40"/>
  <c r="L464" i="40"/>
  <c r="J465" i="40"/>
  <c r="L465" i="40"/>
  <c r="J466" i="40"/>
  <c r="L466" i="40"/>
  <c r="J467" i="40"/>
  <c r="L467" i="40"/>
  <c r="J468" i="40"/>
  <c r="L468" i="40"/>
  <c r="J469" i="40"/>
  <c r="L469" i="40"/>
  <c r="J470" i="40"/>
  <c r="L470" i="40"/>
  <c r="J471" i="40"/>
  <c r="L471" i="40"/>
  <c r="J472" i="40"/>
  <c r="L472" i="40"/>
  <c r="J473" i="40"/>
  <c r="L473" i="40"/>
  <c r="J474" i="40"/>
  <c r="L474" i="40"/>
  <c r="J475" i="40"/>
  <c r="L475" i="40"/>
  <c r="J476" i="40"/>
  <c r="L476" i="40"/>
  <c r="J477" i="40"/>
  <c r="L477" i="40"/>
  <c r="J478" i="40"/>
  <c r="L478" i="40"/>
  <c r="J479" i="40"/>
  <c r="L479" i="40"/>
  <c r="J480" i="40"/>
  <c r="L480" i="40"/>
  <c r="J481" i="40"/>
  <c r="L481" i="40"/>
  <c r="J482" i="40"/>
  <c r="L482" i="40"/>
  <c r="J483" i="40"/>
  <c r="L483" i="40"/>
  <c r="J484" i="40"/>
  <c r="L484" i="40"/>
  <c r="J485" i="40"/>
  <c r="L485" i="40"/>
  <c r="J486" i="40"/>
  <c r="L486" i="40"/>
  <c r="J487" i="40"/>
  <c r="L487" i="40"/>
  <c r="J488" i="40"/>
  <c r="L488" i="40"/>
  <c r="J489" i="40"/>
  <c r="L489" i="40"/>
  <c r="J490" i="40"/>
  <c r="L490" i="40"/>
  <c r="J491" i="40"/>
  <c r="L491" i="40"/>
  <c r="J492" i="40"/>
  <c r="L492" i="40"/>
  <c r="J493" i="40"/>
  <c r="L493" i="40"/>
  <c r="J494" i="40"/>
  <c r="L494" i="40"/>
  <c r="J495" i="40"/>
  <c r="L495" i="40"/>
  <c r="J496" i="40"/>
  <c r="L496" i="40"/>
  <c r="J497" i="40"/>
  <c r="L497" i="40"/>
  <c r="J498" i="40"/>
  <c r="L498" i="40"/>
  <c r="J499" i="40"/>
  <c r="L499" i="40"/>
  <c r="J500" i="40"/>
  <c r="L500" i="40"/>
  <c r="J501" i="40"/>
  <c r="L501" i="40"/>
  <c r="J502" i="40"/>
  <c r="L502" i="40"/>
  <c r="J503" i="40"/>
  <c r="L503" i="40"/>
  <c r="J504" i="40"/>
  <c r="L504" i="40"/>
  <c r="J505" i="40"/>
  <c r="L505" i="40"/>
  <c r="J506" i="40"/>
  <c r="L506" i="40"/>
  <c r="J507" i="40"/>
  <c r="L507" i="40"/>
  <c r="J508" i="40"/>
  <c r="L508" i="40"/>
  <c r="J509" i="40"/>
  <c r="L509" i="40"/>
  <c r="J510" i="40"/>
  <c r="L510" i="40"/>
  <c r="J511" i="40"/>
  <c r="L511" i="40"/>
  <c r="J512" i="40"/>
  <c r="L512" i="40"/>
  <c r="J513" i="40"/>
  <c r="L513" i="40"/>
  <c r="J514" i="40"/>
  <c r="L514" i="40"/>
  <c r="J515" i="40"/>
  <c r="L515" i="40"/>
  <c r="J76" i="40"/>
  <c r="L76" i="40"/>
  <c r="G406" i="35"/>
  <c r="I406" i="35"/>
  <c r="G115" i="35"/>
  <c r="I115" i="35"/>
  <c r="G329" i="35"/>
  <c r="I329" i="35"/>
  <c r="G557" i="23"/>
  <c r="I557" i="23"/>
  <c r="G591" i="23"/>
  <c r="I591" i="23"/>
  <c r="G707" i="23"/>
  <c r="I707" i="23"/>
  <c r="I114" i="23"/>
  <c r="K114" i="23"/>
  <c r="AL663" i="31"/>
  <c r="AM663" i="31"/>
  <c r="AN663" i="31"/>
  <c r="AL664" i="31"/>
  <c r="AM664" i="31"/>
  <c r="AN664" i="31"/>
  <c r="AL665" i="31"/>
  <c r="AM665" i="31"/>
  <c r="AN665" i="31"/>
  <c r="AL666" i="31"/>
  <c r="AM666" i="31"/>
  <c r="AN666" i="31"/>
  <c r="AL667" i="31"/>
  <c r="AM667" i="31"/>
  <c r="AN667" i="31"/>
  <c r="AL668" i="31"/>
  <c r="AM668" i="31"/>
  <c r="AN668" i="31"/>
  <c r="AL669" i="31"/>
  <c r="AM669" i="31"/>
  <c r="AN669" i="31"/>
  <c r="AL670" i="31"/>
  <c r="AM670" i="31"/>
  <c r="AN670" i="31"/>
  <c r="AL671" i="31"/>
  <c r="AM671" i="31"/>
  <c r="AN671" i="31"/>
  <c r="AL672" i="31"/>
  <c r="AM672" i="31"/>
  <c r="AN672" i="31"/>
  <c r="AL673" i="31"/>
  <c r="AM673" i="31"/>
  <c r="AN673" i="31"/>
  <c r="AL674" i="31"/>
  <c r="AM674" i="31"/>
  <c r="AN674" i="31"/>
  <c r="AL675" i="31"/>
  <c r="AM675" i="31"/>
  <c r="AN675" i="31"/>
  <c r="AL676" i="31"/>
  <c r="AM676" i="31"/>
  <c r="AN676" i="31"/>
  <c r="AL677" i="31"/>
  <c r="AM677" i="31"/>
  <c r="AN677" i="31"/>
  <c r="AL678" i="31"/>
  <c r="AM678" i="31"/>
  <c r="AN678" i="31"/>
  <c r="AL679" i="31"/>
  <c r="AM679" i="31"/>
  <c r="AN679" i="31"/>
  <c r="AL680" i="31"/>
  <c r="AM680" i="31"/>
  <c r="AN680" i="31"/>
  <c r="AL681" i="31"/>
  <c r="AM681" i="31"/>
  <c r="AN681" i="31"/>
  <c r="AL682" i="31"/>
  <c r="AM682" i="31"/>
  <c r="AN682" i="31"/>
  <c r="AL683" i="31"/>
  <c r="AM683" i="31"/>
  <c r="AN683" i="31"/>
  <c r="AL684" i="31"/>
  <c r="AM684" i="31"/>
  <c r="AN684" i="31"/>
  <c r="AL685" i="31"/>
  <c r="AM685" i="31"/>
  <c r="AN685" i="31"/>
  <c r="AL686" i="31"/>
  <c r="AM686" i="31"/>
  <c r="AN686" i="31"/>
  <c r="AL687" i="31"/>
  <c r="AM687" i="31"/>
  <c r="AN687" i="31"/>
  <c r="AL688" i="31"/>
  <c r="AM688" i="31"/>
  <c r="AN688" i="31"/>
  <c r="AL689" i="31"/>
  <c r="AM689" i="31"/>
  <c r="AN689" i="31"/>
  <c r="AL690" i="31"/>
  <c r="AM690" i="31"/>
  <c r="AN690" i="31"/>
  <c r="AL691" i="31"/>
  <c r="AM691" i="31"/>
  <c r="AN691" i="31"/>
  <c r="AL692" i="31"/>
  <c r="AM692" i="31"/>
  <c r="AN692" i="31"/>
  <c r="AL693" i="31"/>
  <c r="AM693" i="31"/>
  <c r="AN693" i="31"/>
  <c r="AL694" i="31"/>
  <c r="AM694" i="31"/>
  <c r="AN694" i="31"/>
  <c r="AL695" i="31"/>
  <c r="AM695" i="31"/>
  <c r="AN695" i="31"/>
  <c r="AL696" i="31"/>
  <c r="AM696" i="31"/>
  <c r="AN696" i="31"/>
  <c r="AL697" i="31"/>
  <c r="AM697" i="31"/>
  <c r="AN697" i="31"/>
  <c r="AL698" i="31"/>
  <c r="AM698" i="31"/>
  <c r="AN698" i="31"/>
  <c r="AL699" i="31"/>
  <c r="AM699" i="31"/>
  <c r="AN699" i="31"/>
  <c r="AL700" i="31"/>
  <c r="AM700" i="31"/>
  <c r="AN700" i="31"/>
  <c r="AL701" i="31"/>
  <c r="AM701" i="31"/>
  <c r="AN701" i="31"/>
  <c r="AL702" i="31"/>
  <c r="AM702" i="31"/>
  <c r="AN702" i="31"/>
  <c r="AL703" i="31"/>
  <c r="AM703" i="31"/>
  <c r="AN703" i="31"/>
  <c r="AL704" i="31"/>
  <c r="AM704" i="31"/>
  <c r="AN704" i="31"/>
  <c r="AL705" i="31"/>
  <c r="AM705" i="31"/>
  <c r="AN705" i="31"/>
  <c r="AL706" i="31"/>
  <c r="AM706" i="31"/>
  <c r="AN706" i="31"/>
  <c r="AL707" i="31"/>
  <c r="AM707" i="31"/>
  <c r="AN707" i="31"/>
  <c r="AL708" i="31"/>
  <c r="AM708" i="31"/>
  <c r="AN708" i="31"/>
  <c r="AL709" i="31"/>
  <c r="AM709" i="31"/>
  <c r="AN709" i="31"/>
  <c r="AL710" i="31"/>
  <c r="AM710" i="31"/>
  <c r="AN710" i="31"/>
  <c r="AL711" i="31"/>
  <c r="AM711" i="31"/>
  <c r="AN711" i="31"/>
  <c r="AL712" i="31"/>
  <c r="AM712" i="31"/>
  <c r="AN712" i="31"/>
  <c r="AL713" i="31"/>
  <c r="AM713" i="31"/>
  <c r="AN713" i="31"/>
  <c r="AL714" i="31"/>
  <c r="AM714" i="31"/>
  <c r="AN714" i="31"/>
  <c r="AL715" i="31"/>
  <c r="AM715" i="31"/>
  <c r="AN715" i="31"/>
  <c r="AL716" i="31"/>
  <c r="AM716" i="31"/>
  <c r="AN716" i="31"/>
  <c r="AL717" i="31"/>
  <c r="AM717" i="31"/>
  <c r="AN717" i="31"/>
  <c r="AL718" i="31"/>
  <c r="AM718" i="31"/>
  <c r="AN718" i="31"/>
  <c r="AL719" i="31"/>
  <c r="AM719" i="31"/>
  <c r="AN719" i="31"/>
  <c r="AL720" i="31"/>
  <c r="AM720" i="31"/>
  <c r="AN720" i="31"/>
  <c r="AL721" i="31"/>
  <c r="AM721" i="31"/>
  <c r="AN721" i="31"/>
  <c r="AL722" i="31"/>
  <c r="AM722" i="31"/>
  <c r="AN722" i="31"/>
  <c r="AL723" i="31"/>
  <c r="AM723" i="31"/>
  <c r="AN723" i="31"/>
  <c r="AL724" i="31"/>
  <c r="AM724" i="31"/>
  <c r="AN724" i="31"/>
  <c r="AL725" i="31"/>
  <c r="AM725" i="31"/>
  <c r="AN725" i="31"/>
  <c r="AL726" i="31"/>
  <c r="AM726" i="31"/>
  <c r="AN726" i="31"/>
  <c r="AL727" i="31"/>
  <c r="AM727" i="31"/>
  <c r="AN727" i="31"/>
  <c r="AL728" i="31"/>
  <c r="AM728" i="31"/>
  <c r="AN728" i="31"/>
  <c r="AL729" i="31"/>
  <c r="AM729" i="31"/>
  <c r="AN729" i="31"/>
  <c r="AL730" i="31"/>
  <c r="AM730" i="31"/>
  <c r="AN730" i="31"/>
  <c r="AL731" i="31"/>
  <c r="AM731" i="31"/>
  <c r="AN731" i="31"/>
  <c r="AL732" i="31"/>
  <c r="AM732" i="31"/>
  <c r="AN732" i="31"/>
  <c r="AL733" i="31"/>
  <c r="AM733" i="31"/>
  <c r="AN733" i="31"/>
  <c r="AL734" i="31"/>
  <c r="AM734" i="31"/>
  <c r="AN734" i="31"/>
  <c r="AL735" i="31"/>
  <c r="AM735" i="31"/>
  <c r="AN735" i="31"/>
  <c r="AL736" i="31"/>
  <c r="AM736" i="31"/>
  <c r="AN736" i="31"/>
  <c r="AL737" i="31"/>
  <c r="AM737" i="31"/>
  <c r="AN737" i="31"/>
  <c r="AL738" i="31"/>
  <c r="AM738" i="31"/>
  <c r="AN738" i="31"/>
  <c r="AL739" i="31"/>
  <c r="AM739" i="31"/>
  <c r="AN739" i="31"/>
  <c r="AL740" i="31"/>
  <c r="AM740" i="31"/>
  <c r="AN740" i="31"/>
  <c r="AL741" i="31"/>
  <c r="AM741" i="31"/>
  <c r="AN741" i="31"/>
  <c r="AL742" i="31"/>
  <c r="AM742" i="31"/>
  <c r="AN742" i="31"/>
  <c r="AL743" i="31"/>
  <c r="AM743" i="31"/>
  <c r="AN743" i="31"/>
  <c r="AL744" i="31"/>
  <c r="AM744" i="31"/>
  <c r="AN744" i="31"/>
  <c r="AL745" i="31"/>
  <c r="AM745" i="31"/>
  <c r="AN745" i="31"/>
  <c r="AL746" i="31"/>
  <c r="AM746" i="31"/>
  <c r="AN746" i="31"/>
  <c r="AL747" i="31"/>
  <c r="AM747" i="31"/>
  <c r="AN747" i="31"/>
  <c r="AL748" i="31"/>
  <c r="AM748" i="31"/>
  <c r="AN748" i="31"/>
  <c r="AL749" i="31"/>
  <c r="AM749" i="31"/>
  <c r="AN749" i="31"/>
  <c r="AL750" i="31"/>
  <c r="AM750" i="31"/>
  <c r="AN750" i="31"/>
  <c r="AL751" i="31"/>
  <c r="AM751" i="31"/>
  <c r="AN751" i="31"/>
  <c r="AL752" i="31"/>
  <c r="AM752" i="31"/>
  <c r="AN752" i="31"/>
  <c r="AL753" i="31"/>
  <c r="AM753" i="31"/>
  <c r="AN753" i="31"/>
  <c r="AL754" i="31"/>
  <c r="AM754" i="31"/>
  <c r="AN754" i="31"/>
  <c r="AL755" i="31"/>
  <c r="AM755" i="31"/>
  <c r="AN755" i="31"/>
  <c r="AL756" i="31"/>
  <c r="AM756" i="31"/>
  <c r="AN756" i="31"/>
  <c r="AL757" i="31"/>
  <c r="AM757" i="31"/>
  <c r="AN757" i="31"/>
  <c r="AL758" i="31"/>
  <c r="AM758" i="31"/>
  <c r="AN758" i="31"/>
  <c r="AL759" i="31"/>
  <c r="AM759" i="31"/>
  <c r="AN759" i="31"/>
  <c r="AL760" i="31"/>
  <c r="AM760" i="31"/>
  <c r="AN760" i="31"/>
  <c r="AL761" i="31"/>
  <c r="AM761" i="31"/>
  <c r="AN761" i="31"/>
  <c r="AL762" i="31"/>
  <c r="AM762" i="31"/>
  <c r="AN762" i="31"/>
  <c r="AL763" i="31"/>
  <c r="AM763" i="31"/>
  <c r="AN763" i="31"/>
  <c r="AL764" i="31"/>
  <c r="AM764" i="31"/>
  <c r="AN764" i="31"/>
  <c r="AL765" i="31"/>
  <c r="AM765" i="31"/>
  <c r="AN765" i="31"/>
  <c r="AL766" i="31"/>
  <c r="AM766" i="31"/>
  <c r="AN766" i="31"/>
  <c r="AL767" i="31"/>
  <c r="AM767" i="31"/>
  <c r="AN767" i="31"/>
  <c r="AL768" i="31"/>
  <c r="AM768" i="31"/>
  <c r="AN768" i="31"/>
  <c r="AL769" i="31"/>
  <c r="AM769" i="31"/>
  <c r="AN769" i="31"/>
  <c r="AL770" i="31"/>
  <c r="AM770" i="31"/>
  <c r="AN770" i="31"/>
  <c r="AL771" i="31"/>
  <c r="AM771" i="31"/>
  <c r="AN771" i="31"/>
  <c r="AL772" i="31"/>
  <c r="AM772" i="31"/>
  <c r="AN772" i="31"/>
  <c r="AL773" i="31"/>
  <c r="AM773" i="31"/>
  <c r="AN773" i="31"/>
  <c r="AL774" i="31"/>
  <c r="AM774" i="31"/>
  <c r="AN774" i="31"/>
  <c r="AL775" i="31"/>
  <c r="AM775" i="31"/>
  <c r="AN775" i="31"/>
  <c r="AL776" i="31"/>
  <c r="AM776" i="31"/>
  <c r="AN776" i="31"/>
  <c r="AL777" i="31"/>
  <c r="AM777" i="31"/>
  <c r="AN777" i="31"/>
  <c r="AL778" i="31"/>
  <c r="AM778" i="31"/>
  <c r="AN778" i="31"/>
  <c r="AL779" i="31"/>
  <c r="AM779" i="31"/>
  <c r="AN779" i="31"/>
  <c r="AL780" i="31"/>
  <c r="AM780" i="31"/>
  <c r="AN780" i="31"/>
  <c r="AL781" i="31"/>
  <c r="AM781" i="31"/>
  <c r="AN781" i="31"/>
  <c r="AL782" i="31"/>
  <c r="AM782" i="31"/>
  <c r="AN782" i="31"/>
  <c r="AL783" i="31"/>
  <c r="AM783" i="31"/>
  <c r="AN783" i="31"/>
  <c r="AL784" i="31"/>
  <c r="AM784" i="31"/>
  <c r="AN784" i="31"/>
  <c r="AL785" i="31"/>
  <c r="AM785" i="31"/>
  <c r="AN785" i="31"/>
  <c r="AL786" i="31"/>
  <c r="AM786" i="31"/>
  <c r="AN786" i="31"/>
  <c r="AL787" i="31"/>
  <c r="AM787" i="31"/>
  <c r="AN787" i="31"/>
  <c r="AL788" i="31"/>
  <c r="AM788" i="31"/>
  <c r="AN788" i="31"/>
  <c r="AL789" i="31"/>
  <c r="AM789" i="31"/>
  <c r="AN789" i="31"/>
  <c r="AL790" i="31"/>
  <c r="AM790" i="31"/>
  <c r="AN790" i="31"/>
  <c r="AL791" i="31"/>
  <c r="AM791" i="31"/>
  <c r="AN791" i="31"/>
  <c r="AL792" i="31"/>
  <c r="AM792" i="31"/>
  <c r="AN792" i="31"/>
  <c r="AL793" i="31"/>
  <c r="AM793" i="31"/>
  <c r="AN793" i="31"/>
  <c r="AL794" i="31"/>
  <c r="AM794" i="31"/>
  <c r="AN794" i="31"/>
  <c r="AL795" i="31"/>
  <c r="AM795" i="31"/>
  <c r="AN795" i="31"/>
  <c r="AL796" i="31"/>
  <c r="AM796" i="31"/>
  <c r="AN796" i="31"/>
  <c r="AL797" i="31"/>
  <c r="AM797" i="31"/>
  <c r="AN797" i="31"/>
  <c r="AL798" i="31"/>
  <c r="AM798" i="31"/>
  <c r="AN798" i="31"/>
  <c r="AL799" i="31"/>
  <c r="AM799" i="31"/>
  <c r="AN799" i="31"/>
  <c r="AL800" i="31"/>
  <c r="AM800" i="31"/>
  <c r="AN800" i="31"/>
  <c r="AL801" i="31"/>
  <c r="AM801" i="31"/>
  <c r="AN801" i="31"/>
  <c r="AL802" i="31"/>
  <c r="AM802" i="31"/>
  <c r="AN802" i="31"/>
  <c r="AL803" i="31"/>
  <c r="AM803" i="31"/>
  <c r="AN803" i="31"/>
  <c r="AL804" i="31"/>
  <c r="AM804" i="31"/>
  <c r="AN804" i="31"/>
  <c r="AL805" i="31"/>
  <c r="AM805" i="31"/>
  <c r="AN805" i="31"/>
  <c r="AL806" i="31"/>
  <c r="AM806" i="31"/>
  <c r="AN806" i="31"/>
  <c r="AL807" i="31"/>
  <c r="AM807" i="31"/>
  <c r="AN807" i="31"/>
  <c r="AL808" i="31"/>
  <c r="AM808" i="31"/>
  <c r="AN808" i="31"/>
  <c r="AL809" i="31"/>
  <c r="AM809" i="31"/>
  <c r="AN809" i="31"/>
  <c r="AL810" i="31"/>
  <c r="AM810" i="31"/>
  <c r="AN810" i="31"/>
  <c r="AL811" i="31"/>
  <c r="AM811" i="31"/>
  <c r="AN811" i="31"/>
  <c r="AL812" i="31"/>
  <c r="AM812" i="31"/>
  <c r="AN812" i="31"/>
  <c r="AL813" i="31"/>
  <c r="AM813" i="31"/>
  <c r="AN813" i="31"/>
  <c r="AL814" i="31"/>
  <c r="AM814" i="31"/>
  <c r="AN814" i="31"/>
  <c r="AL815" i="31"/>
  <c r="AM815" i="31"/>
  <c r="AN815" i="31"/>
  <c r="AL816" i="31"/>
  <c r="AM816" i="31"/>
  <c r="AN816" i="31"/>
  <c r="AL817" i="31"/>
  <c r="AM817" i="31"/>
  <c r="AN817" i="31"/>
  <c r="AL818" i="31"/>
  <c r="AM818" i="31"/>
  <c r="AN818" i="31"/>
  <c r="AL819" i="31"/>
  <c r="AM819" i="31"/>
  <c r="AN819" i="31"/>
  <c r="AL820" i="31"/>
  <c r="AM820" i="31"/>
  <c r="AN820" i="31"/>
  <c r="AL821" i="31"/>
  <c r="AM821" i="31"/>
  <c r="AN821" i="31"/>
  <c r="AL822" i="31"/>
  <c r="AM822" i="31"/>
  <c r="AN822" i="31"/>
  <c r="AL823" i="31"/>
  <c r="AM823" i="31"/>
  <c r="AN823" i="31"/>
  <c r="AL824" i="31"/>
  <c r="AM824" i="31"/>
  <c r="AN824" i="31"/>
  <c r="AL825" i="31"/>
  <c r="AM825" i="31"/>
  <c r="AN825" i="31"/>
  <c r="AL826" i="31"/>
  <c r="AM826" i="31"/>
  <c r="AN826" i="31"/>
  <c r="AL827" i="31"/>
  <c r="AM827" i="31"/>
  <c r="AN827" i="31"/>
  <c r="AL828" i="31"/>
  <c r="AM828" i="31"/>
  <c r="AN828" i="31"/>
  <c r="AL829" i="31"/>
  <c r="AM829" i="31"/>
  <c r="AN829" i="31"/>
  <c r="AL830" i="31"/>
  <c r="AM830" i="31"/>
  <c r="AN830" i="31"/>
  <c r="AL831" i="31"/>
  <c r="AM831" i="31"/>
  <c r="AN831" i="31"/>
  <c r="AL832" i="31"/>
  <c r="AM832" i="31"/>
  <c r="AN832" i="31"/>
  <c r="AL833" i="31"/>
  <c r="AM833" i="31"/>
  <c r="AN833" i="31"/>
  <c r="AL834" i="31"/>
  <c r="AM834" i="31"/>
  <c r="AN834" i="31"/>
  <c r="AL835" i="31"/>
  <c r="AM835" i="31"/>
  <c r="AN835" i="31"/>
  <c r="AL836" i="31"/>
  <c r="AM836" i="31"/>
  <c r="AN836" i="31"/>
  <c r="AL837" i="31"/>
  <c r="AM837" i="31"/>
  <c r="AN837" i="31"/>
  <c r="AL838" i="31"/>
  <c r="AM838" i="31"/>
  <c r="AN838" i="31"/>
  <c r="AL839" i="31"/>
  <c r="AM839" i="31"/>
  <c r="AN839" i="31"/>
  <c r="AL840" i="31"/>
  <c r="AM840" i="31"/>
  <c r="AN840" i="31"/>
  <c r="AL841" i="31"/>
  <c r="AM841" i="31"/>
  <c r="AN841" i="31"/>
  <c r="AL842" i="31"/>
  <c r="AM842" i="31"/>
  <c r="AN842" i="31"/>
  <c r="AL843" i="31"/>
  <c r="AM843" i="31"/>
  <c r="AN843" i="31"/>
  <c r="AL844" i="31"/>
  <c r="AM844" i="31"/>
  <c r="AN844" i="31"/>
  <c r="AL845" i="31"/>
  <c r="AM845" i="31"/>
  <c r="AN845" i="31"/>
  <c r="AL846" i="31"/>
  <c r="AM846" i="31"/>
  <c r="AN846" i="31"/>
  <c r="AL847" i="31"/>
  <c r="AM847" i="31"/>
  <c r="AN847" i="31"/>
  <c r="AL848" i="31"/>
  <c r="AM848" i="31"/>
  <c r="AN848" i="31"/>
  <c r="AL849" i="31"/>
  <c r="AM849" i="31"/>
  <c r="AN849" i="31"/>
  <c r="AL850" i="31"/>
  <c r="AM850" i="31"/>
  <c r="AN850" i="31"/>
  <c r="AL851" i="31"/>
  <c r="AM851" i="31"/>
  <c r="AN851" i="31"/>
  <c r="AL852" i="31"/>
  <c r="AM852" i="31"/>
  <c r="AN852" i="31"/>
  <c r="AL853" i="31"/>
  <c r="AM853" i="31"/>
  <c r="AN853" i="31"/>
  <c r="AL854" i="31"/>
  <c r="AM854" i="31"/>
  <c r="AN854" i="31"/>
  <c r="AL855" i="31"/>
  <c r="AM855" i="31"/>
  <c r="AN855" i="31"/>
  <c r="AL856" i="31"/>
  <c r="AM856" i="31"/>
  <c r="AN856" i="31"/>
  <c r="AL857" i="31"/>
  <c r="AM857" i="31"/>
  <c r="AN857" i="31"/>
  <c r="AL858" i="31"/>
  <c r="AM858" i="31"/>
  <c r="AN858" i="31"/>
  <c r="AL859" i="31"/>
  <c r="AM859" i="31"/>
  <c r="AN859" i="31"/>
  <c r="AL860" i="31"/>
  <c r="AM860" i="31"/>
  <c r="AN860" i="31"/>
  <c r="AL861" i="31"/>
  <c r="AM861" i="31"/>
  <c r="AN861" i="31"/>
  <c r="AL862" i="31"/>
  <c r="AM862" i="31"/>
  <c r="AN862" i="31"/>
  <c r="AL863" i="31"/>
  <c r="AM863" i="31"/>
  <c r="AN863" i="31"/>
  <c r="AL864" i="31"/>
  <c r="AM864" i="31"/>
  <c r="AN864" i="31"/>
  <c r="AL865" i="31"/>
  <c r="AM865" i="31"/>
  <c r="AN865" i="31"/>
  <c r="AL866" i="31"/>
  <c r="AM866" i="31"/>
  <c r="AN866" i="31"/>
  <c r="AL867" i="31"/>
  <c r="AM867" i="31"/>
  <c r="AN867" i="31"/>
  <c r="AL868" i="31"/>
  <c r="AM868" i="31"/>
  <c r="AN868" i="31"/>
  <c r="AL869" i="31"/>
  <c r="AM869" i="31"/>
  <c r="AN869" i="31"/>
  <c r="AL870" i="31"/>
  <c r="AM870" i="31"/>
  <c r="AN870" i="31"/>
  <c r="AL871" i="31"/>
  <c r="AM871" i="31"/>
  <c r="AN871" i="31"/>
  <c r="AL872" i="31"/>
  <c r="AM872" i="31"/>
  <c r="AN872" i="31"/>
  <c r="AL873" i="31"/>
  <c r="AM873" i="31"/>
  <c r="AN873" i="31"/>
  <c r="AL874" i="31"/>
  <c r="AM874" i="31"/>
  <c r="AN874" i="31"/>
  <c r="AL875" i="31"/>
  <c r="AM875" i="31"/>
  <c r="AN875" i="31"/>
  <c r="AL876" i="31"/>
  <c r="AM876" i="31"/>
  <c r="AN876" i="31"/>
  <c r="AL877" i="31"/>
  <c r="AM877" i="31"/>
  <c r="AN877" i="31"/>
  <c r="AL878" i="31"/>
  <c r="AM878" i="31"/>
  <c r="AN878" i="31"/>
  <c r="AL879" i="31"/>
  <c r="AM879" i="31"/>
  <c r="AN879" i="31"/>
  <c r="AL880" i="31"/>
  <c r="AM880" i="31"/>
  <c r="AN880" i="31"/>
  <c r="AL881" i="31"/>
  <c r="AM881" i="31"/>
  <c r="AN881" i="31"/>
  <c r="AN662" i="31"/>
  <c r="AM662" i="31"/>
  <c r="AL662" i="31"/>
  <c r="AL443" i="31"/>
  <c r="AM443" i="31"/>
  <c r="AN443" i="31"/>
  <c r="AL444" i="31"/>
  <c r="AM444" i="31"/>
  <c r="AN444" i="31"/>
  <c r="AL445" i="31"/>
  <c r="AM445" i="31"/>
  <c r="AN445" i="31"/>
  <c r="AL446" i="31"/>
  <c r="AM446" i="31"/>
  <c r="AN446" i="31"/>
  <c r="AL447" i="31"/>
  <c r="AM447" i="31"/>
  <c r="AN447" i="31"/>
  <c r="AL448" i="31"/>
  <c r="AM448" i="31"/>
  <c r="AN448" i="31"/>
  <c r="AL449" i="31"/>
  <c r="AM449" i="31"/>
  <c r="AN449" i="31"/>
  <c r="AL450" i="31"/>
  <c r="AM450" i="31"/>
  <c r="AN450" i="31"/>
  <c r="AL451" i="31"/>
  <c r="AM451" i="31"/>
  <c r="AN451" i="31"/>
  <c r="AL452" i="31"/>
  <c r="AM452" i="31"/>
  <c r="AN452" i="31"/>
  <c r="AL453" i="31"/>
  <c r="AM453" i="31"/>
  <c r="AN453" i="31"/>
  <c r="AL454" i="31"/>
  <c r="AM454" i="31"/>
  <c r="AN454" i="31"/>
  <c r="AL455" i="31"/>
  <c r="AM455" i="31"/>
  <c r="AN455" i="31"/>
  <c r="AL456" i="31"/>
  <c r="AM456" i="31"/>
  <c r="AN456" i="31"/>
  <c r="AL457" i="31"/>
  <c r="AM457" i="31"/>
  <c r="AN457" i="31"/>
  <c r="AL458" i="31"/>
  <c r="AM458" i="31"/>
  <c r="AN458" i="31"/>
  <c r="AL459" i="31"/>
  <c r="AM459" i="31"/>
  <c r="AN459" i="31"/>
  <c r="AL460" i="31"/>
  <c r="AM460" i="31"/>
  <c r="AN460" i="31"/>
  <c r="AL461" i="31"/>
  <c r="AM461" i="31"/>
  <c r="AN461" i="31"/>
  <c r="AL462" i="31"/>
  <c r="AM462" i="31"/>
  <c r="AN462" i="31"/>
  <c r="AL463" i="31"/>
  <c r="AM463" i="31"/>
  <c r="AN463" i="31"/>
  <c r="AL464" i="31"/>
  <c r="AM464" i="31"/>
  <c r="AN464" i="31"/>
  <c r="AL465" i="31"/>
  <c r="AM465" i="31"/>
  <c r="AN465" i="31"/>
  <c r="AL466" i="31"/>
  <c r="AM466" i="31"/>
  <c r="AN466" i="31"/>
  <c r="AL467" i="31"/>
  <c r="AM467" i="31"/>
  <c r="AN467" i="31"/>
  <c r="AL468" i="31"/>
  <c r="AM468" i="31"/>
  <c r="AN468" i="31"/>
  <c r="AL469" i="31"/>
  <c r="AM469" i="31"/>
  <c r="AN469" i="31"/>
  <c r="AL470" i="31"/>
  <c r="AM470" i="31"/>
  <c r="AN470" i="31"/>
  <c r="AL471" i="31"/>
  <c r="AM471" i="31"/>
  <c r="AN471" i="31"/>
  <c r="AL472" i="31"/>
  <c r="AM472" i="31"/>
  <c r="AN472" i="31"/>
  <c r="AL473" i="31"/>
  <c r="AM473" i="31"/>
  <c r="AN473" i="31"/>
  <c r="AL474" i="31"/>
  <c r="AM474" i="31"/>
  <c r="AN474" i="31"/>
  <c r="AL475" i="31"/>
  <c r="AM475" i="31"/>
  <c r="AN475" i="31"/>
  <c r="AL476" i="31"/>
  <c r="AM476" i="31"/>
  <c r="AN476" i="31"/>
  <c r="AL477" i="31"/>
  <c r="AM477" i="31"/>
  <c r="AN477" i="31"/>
  <c r="AL478" i="31"/>
  <c r="AM478" i="31"/>
  <c r="AN478" i="31"/>
  <c r="AL479" i="31"/>
  <c r="AM479" i="31"/>
  <c r="AN479" i="31"/>
  <c r="AL480" i="31"/>
  <c r="AM480" i="31"/>
  <c r="AN480" i="31"/>
  <c r="AL481" i="31"/>
  <c r="AM481" i="31"/>
  <c r="AN481" i="31"/>
  <c r="AL482" i="31"/>
  <c r="AM482" i="31"/>
  <c r="AN482" i="31"/>
  <c r="AL483" i="31"/>
  <c r="AM483" i="31"/>
  <c r="AN483" i="31"/>
  <c r="AL484" i="31"/>
  <c r="AM484" i="31"/>
  <c r="AN484" i="31"/>
  <c r="AL485" i="31"/>
  <c r="AM485" i="31"/>
  <c r="AN485" i="31"/>
  <c r="AL486" i="31"/>
  <c r="AM486" i="31"/>
  <c r="AN486" i="31"/>
  <c r="AL487" i="31"/>
  <c r="AM487" i="31"/>
  <c r="AN487" i="31"/>
  <c r="AL488" i="31"/>
  <c r="AM488" i="31"/>
  <c r="AN488" i="31"/>
  <c r="AL489" i="31"/>
  <c r="AM489" i="31"/>
  <c r="AN489" i="31"/>
  <c r="AL490" i="31"/>
  <c r="AM490" i="31"/>
  <c r="AN490" i="31"/>
  <c r="AL491" i="31"/>
  <c r="AM491" i="31"/>
  <c r="AN491" i="31"/>
  <c r="AL492" i="31"/>
  <c r="AM492" i="31"/>
  <c r="AN492" i="31"/>
  <c r="AL493" i="31"/>
  <c r="AM493" i="31"/>
  <c r="AN493" i="31"/>
  <c r="AL494" i="31"/>
  <c r="AM494" i="31"/>
  <c r="AN494" i="31"/>
  <c r="AL495" i="31"/>
  <c r="AM495" i="31"/>
  <c r="AN495" i="31"/>
  <c r="AL496" i="31"/>
  <c r="AM496" i="31"/>
  <c r="AN496" i="31"/>
  <c r="AL497" i="31"/>
  <c r="AM497" i="31"/>
  <c r="AN497" i="31"/>
  <c r="AL498" i="31"/>
  <c r="AM498" i="31"/>
  <c r="AN498" i="31"/>
  <c r="AL499" i="31"/>
  <c r="AM499" i="31"/>
  <c r="AN499" i="31"/>
  <c r="AL500" i="31"/>
  <c r="AM500" i="31"/>
  <c r="AN500" i="31"/>
  <c r="AL501" i="31"/>
  <c r="AM501" i="31"/>
  <c r="AN501" i="31"/>
  <c r="AL502" i="31"/>
  <c r="AM502" i="31"/>
  <c r="AN502" i="31"/>
  <c r="AL503" i="31"/>
  <c r="AM503" i="31"/>
  <c r="AN503" i="31"/>
  <c r="AL504" i="31"/>
  <c r="AM504" i="31"/>
  <c r="AN504" i="31"/>
  <c r="AL505" i="31"/>
  <c r="AM505" i="31"/>
  <c r="AN505" i="31"/>
  <c r="AL506" i="31"/>
  <c r="AM506" i="31"/>
  <c r="AN506" i="31"/>
  <c r="AL507" i="31"/>
  <c r="AM507" i="31"/>
  <c r="AN507" i="31"/>
  <c r="AL508" i="31"/>
  <c r="AM508" i="31"/>
  <c r="AN508" i="31"/>
  <c r="AL509" i="31"/>
  <c r="AM509" i="31"/>
  <c r="AN509" i="31"/>
  <c r="AL510" i="31"/>
  <c r="AM510" i="31"/>
  <c r="AN510" i="31"/>
  <c r="AL511" i="31"/>
  <c r="AM511" i="31"/>
  <c r="AN511" i="31"/>
  <c r="AL512" i="31"/>
  <c r="AM512" i="31"/>
  <c r="AN512" i="31"/>
  <c r="AL513" i="31"/>
  <c r="AM513" i="31"/>
  <c r="AN513" i="31"/>
  <c r="AL514" i="31"/>
  <c r="AM514" i="31"/>
  <c r="AN514" i="31"/>
  <c r="AL515" i="31"/>
  <c r="AM515" i="31"/>
  <c r="AN515" i="31"/>
  <c r="AL516" i="31"/>
  <c r="AM516" i="31"/>
  <c r="AN516" i="31"/>
  <c r="AL517" i="31"/>
  <c r="AM517" i="31"/>
  <c r="AN517" i="31"/>
  <c r="AL518" i="31"/>
  <c r="AM518" i="31"/>
  <c r="AN518" i="31"/>
  <c r="AL519" i="31"/>
  <c r="AM519" i="31"/>
  <c r="AN519" i="31"/>
  <c r="AL520" i="31"/>
  <c r="AM520" i="31"/>
  <c r="AN520" i="31"/>
  <c r="AL521" i="31"/>
  <c r="AM521" i="31"/>
  <c r="AN521" i="31"/>
  <c r="AL522" i="31"/>
  <c r="AM522" i="31"/>
  <c r="AN522" i="31"/>
  <c r="AL523" i="31"/>
  <c r="AM523" i="31"/>
  <c r="AN523" i="31"/>
  <c r="AL524" i="31"/>
  <c r="AM524" i="31"/>
  <c r="AN524" i="31"/>
  <c r="AL525" i="31"/>
  <c r="AM525" i="31"/>
  <c r="AN525" i="31"/>
  <c r="AL526" i="31"/>
  <c r="AM526" i="31"/>
  <c r="AN526" i="31"/>
  <c r="AL527" i="31"/>
  <c r="AM527" i="31"/>
  <c r="AN527" i="31"/>
  <c r="AL528" i="31"/>
  <c r="AM528" i="31"/>
  <c r="AN528" i="31"/>
  <c r="AL529" i="31"/>
  <c r="AM529" i="31"/>
  <c r="AN529" i="31"/>
  <c r="AL530" i="31"/>
  <c r="AM530" i="31"/>
  <c r="AN530" i="31"/>
  <c r="AL531" i="31"/>
  <c r="AM531" i="31"/>
  <c r="AN531" i="31"/>
  <c r="AL532" i="31"/>
  <c r="AM532" i="31"/>
  <c r="AN532" i="31"/>
  <c r="AL533" i="31"/>
  <c r="AM533" i="31"/>
  <c r="AN533" i="31"/>
  <c r="AL534" i="31"/>
  <c r="AM534" i="31"/>
  <c r="AN534" i="31"/>
  <c r="AL535" i="31"/>
  <c r="AM535" i="31"/>
  <c r="AN535" i="31"/>
  <c r="AL536" i="31"/>
  <c r="AM536" i="31"/>
  <c r="AN536" i="31"/>
  <c r="AL537" i="31"/>
  <c r="AM537" i="31"/>
  <c r="AN537" i="31"/>
  <c r="AL538" i="31"/>
  <c r="AM538" i="31"/>
  <c r="AN538" i="31"/>
  <c r="AL539" i="31"/>
  <c r="AM539" i="31"/>
  <c r="AN539" i="31"/>
  <c r="AL540" i="31"/>
  <c r="AM540" i="31"/>
  <c r="AN540" i="31"/>
  <c r="AL541" i="31"/>
  <c r="AM541" i="31"/>
  <c r="AN541" i="31"/>
  <c r="AL542" i="31"/>
  <c r="AM542" i="31"/>
  <c r="AN542" i="31"/>
  <c r="AL543" i="31"/>
  <c r="AM543" i="31"/>
  <c r="AN543" i="31"/>
  <c r="AL544" i="31"/>
  <c r="AM544" i="31"/>
  <c r="AN544" i="31"/>
  <c r="AL545" i="31"/>
  <c r="AM545" i="31"/>
  <c r="AN545" i="31"/>
  <c r="AL546" i="31"/>
  <c r="AM546" i="31"/>
  <c r="AN546" i="31"/>
  <c r="AL547" i="31"/>
  <c r="AM547" i="31"/>
  <c r="AN547" i="31"/>
  <c r="AL548" i="31"/>
  <c r="AM548" i="31"/>
  <c r="AN548" i="31"/>
  <c r="AL549" i="31"/>
  <c r="AM549" i="31"/>
  <c r="AN549" i="31"/>
  <c r="AL550" i="31"/>
  <c r="AM550" i="31"/>
  <c r="AN550" i="31"/>
  <c r="AL551" i="31"/>
  <c r="AM551" i="31"/>
  <c r="AN551" i="31"/>
  <c r="AL552" i="31"/>
  <c r="AM552" i="31"/>
  <c r="AN552" i="31"/>
  <c r="AL553" i="31"/>
  <c r="AM553" i="31"/>
  <c r="AN553" i="31"/>
  <c r="AL554" i="31"/>
  <c r="AM554" i="31"/>
  <c r="AN554" i="31"/>
  <c r="AL555" i="31"/>
  <c r="AM555" i="31"/>
  <c r="AN555" i="31"/>
  <c r="AL556" i="31"/>
  <c r="AM556" i="31"/>
  <c r="AN556" i="31"/>
  <c r="AL557" i="31"/>
  <c r="AM557" i="31"/>
  <c r="AN557" i="31"/>
  <c r="AL558" i="31"/>
  <c r="AM558" i="31"/>
  <c r="AN558" i="31"/>
  <c r="AL559" i="31"/>
  <c r="AM559" i="31"/>
  <c r="AN559" i="31"/>
  <c r="AL560" i="31"/>
  <c r="AM560" i="31"/>
  <c r="AN560" i="31"/>
  <c r="AL561" i="31"/>
  <c r="AM561" i="31"/>
  <c r="AN561" i="31"/>
  <c r="AL562" i="31"/>
  <c r="AM562" i="31"/>
  <c r="AN562" i="31"/>
  <c r="AL563" i="31"/>
  <c r="AM563" i="31"/>
  <c r="AN563" i="31"/>
  <c r="AL564" i="31"/>
  <c r="AM564" i="31"/>
  <c r="AN564" i="31"/>
  <c r="AL565" i="31"/>
  <c r="AM565" i="31"/>
  <c r="AN565" i="31"/>
  <c r="AL566" i="31"/>
  <c r="AM566" i="31"/>
  <c r="AN566" i="31"/>
  <c r="AL567" i="31"/>
  <c r="AM567" i="31"/>
  <c r="AN567" i="31"/>
  <c r="AL568" i="31"/>
  <c r="AM568" i="31"/>
  <c r="AN568" i="31"/>
  <c r="AL569" i="31"/>
  <c r="AM569" i="31"/>
  <c r="AN569" i="31"/>
  <c r="AL570" i="31"/>
  <c r="AM570" i="31"/>
  <c r="AN570" i="31"/>
  <c r="AL571" i="31"/>
  <c r="AM571" i="31"/>
  <c r="AN571" i="31"/>
  <c r="AL572" i="31"/>
  <c r="AM572" i="31"/>
  <c r="AN572" i="31"/>
  <c r="AL573" i="31"/>
  <c r="AM573" i="31"/>
  <c r="AN573" i="31"/>
  <c r="AL574" i="31"/>
  <c r="AM574" i="31"/>
  <c r="AN574" i="31"/>
  <c r="AL575" i="31"/>
  <c r="AM575" i="31"/>
  <c r="AN575" i="31"/>
  <c r="AL576" i="31"/>
  <c r="AM576" i="31"/>
  <c r="AN576" i="31"/>
  <c r="AL577" i="31"/>
  <c r="AM577" i="31"/>
  <c r="AN577" i="31"/>
  <c r="AL578" i="31"/>
  <c r="AM578" i="31"/>
  <c r="AN578" i="31"/>
  <c r="AL579" i="31"/>
  <c r="AM579" i="31"/>
  <c r="AN579" i="31"/>
  <c r="AL580" i="31"/>
  <c r="AM580" i="31"/>
  <c r="AN580" i="31"/>
  <c r="AL581" i="31"/>
  <c r="AM581" i="31"/>
  <c r="AN581" i="31"/>
  <c r="AL582" i="31"/>
  <c r="AM582" i="31"/>
  <c r="AN582" i="31"/>
  <c r="AL583" i="31"/>
  <c r="AM583" i="31"/>
  <c r="AN583" i="31"/>
  <c r="AL584" i="31"/>
  <c r="AM584" i="31"/>
  <c r="AN584" i="31"/>
  <c r="AL585" i="31"/>
  <c r="AM585" i="31"/>
  <c r="AN585" i="31"/>
  <c r="AL586" i="31"/>
  <c r="AM586" i="31"/>
  <c r="AN586" i="31"/>
  <c r="AL587" i="31"/>
  <c r="AM587" i="31"/>
  <c r="AN587" i="31"/>
  <c r="AL588" i="31"/>
  <c r="AM588" i="31"/>
  <c r="AN588" i="31"/>
  <c r="AL589" i="31"/>
  <c r="AM589" i="31"/>
  <c r="AN589" i="31"/>
  <c r="AL590" i="31"/>
  <c r="AM590" i="31"/>
  <c r="AN590" i="31"/>
  <c r="AL591" i="31"/>
  <c r="AM591" i="31"/>
  <c r="AN591" i="31"/>
  <c r="AL592" i="31"/>
  <c r="AM592" i="31"/>
  <c r="AN592" i="31"/>
  <c r="AL593" i="31"/>
  <c r="AM593" i="31"/>
  <c r="AN593" i="31"/>
  <c r="AL594" i="31"/>
  <c r="AM594" i="31"/>
  <c r="AN594" i="31"/>
  <c r="AL595" i="31"/>
  <c r="AM595" i="31"/>
  <c r="AN595" i="31"/>
  <c r="AL596" i="31"/>
  <c r="AM596" i="31"/>
  <c r="AN596" i="31"/>
  <c r="AL597" i="31"/>
  <c r="AM597" i="31"/>
  <c r="AN597" i="31"/>
  <c r="AL598" i="31"/>
  <c r="AM598" i="31"/>
  <c r="AN598" i="31"/>
  <c r="AL599" i="31"/>
  <c r="AM599" i="31"/>
  <c r="AN599" i="31"/>
  <c r="AL600" i="31"/>
  <c r="AM600" i="31"/>
  <c r="AN600" i="31"/>
  <c r="AL601" i="31"/>
  <c r="AM601" i="31"/>
  <c r="AN601" i="31"/>
  <c r="AL602" i="31"/>
  <c r="AM602" i="31"/>
  <c r="AN602" i="31"/>
  <c r="AL603" i="31"/>
  <c r="AM603" i="31"/>
  <c r="AN603" i="31"/>
  <c r="AL604" i="31"/>
  <c r="AM604" i="31"/>
  <c r="AN604" i="31"/>
  <c r="AL605" i="31"/>
  <c r="AM605" i="31"/>
  <c r="AN605" i="31"/>
  <c r="AL606" i="31"/>
  <c r="AM606" i="31"/>
  <c r="AN606" i="31"/>
  <c r="AL607" i="31"/>
  <c r="AM607" i="31"/>
  <c r="AN607" i="31"/>
  <c r="AL608" i="31"/>
  <c r="AM608" i="31"/>
  <c r="AN608" i="31"/>
  <c r="AL609" i="31"/>
  <c r="AM609" i="31"/>
  <c r="AN609" i="31"/>
  <c r="AL610" i="31"/>
  <c r="AM610" i="31"/>
  <c r="AN610" i="31"/>
  <c r="AL611" i="31"/>
  <c r="AM611" i="31"/>
  <c r="AN611" i="31"/>
  <c r="AL612" i="31"/>
  <c r="AM612" i="31"/>
  <c r="AN612" i="31"/>
  <c r="AL613" i="31"/>
  <c r="AM613" i="31"/>
  <c r="AN613" i="31"/>
  <c r="AL614" i="31"/>
  <c r="AM614" i="31"/>
  <c r="AN614" i="31"/>
  <c r="AL615" i="31"/>
  <c r="AM615" i="31"/>
  <c r="AN615" i="31"/>
  <c r="AL616" i="31"/>
  <c r="AM616" i="31"/>
  <c r="AN616" i="31"/>
  <c r="AL617" i="31"/>
  <c r="AM617" i="31"/>
  <c r="AN617" i="31"/>
  <c r="AL618" i="31"/>
  <c r="AM618" i="31"/>
  <c r="AN618" i="31"/>
  <c r="AL619" i="31"/>
  <c r="AM619" i="31"/>
  <c r="AN619" i="31"/>
  <c r="AL620" i="31"/>
  <c r="AM620" i="31"/>
  <c r="AN620" i="31"/>
  <c r="AL621" i="31"/>
  <c r="AM621" i="31"/>
  <c r="AN621" i="31"/>
  <c r="AL622" i="31"/>
  <c r="AM622" i="31"/>
  <c r="AN622" i="31"/>
  <c r="AL623" i="31"/>
  <c r="AM623" i="31"/>
  <c r="AN623" i="31"/>
  <c r="AL624" i="31"/>
  <c r="AM624" i="31"/>
  <c r="AN624" i="31"/>
  <c r="AL625" i="31"/>
  <c r="AM625" i="31"/>
  <c r="AN625" i="31"/>
  <c r="AL626" i="31"/>
  <c r="AM626" i="31"/>
  <c r="AN626" i="31"/>
  <c r="AL627" i="31"/>
  <c r="AM627" i="31"/>
  <c r="AN627" i="31"/>
  <c r="AL628" i="31"/>
  <c r="AM628" i="31"/>
  <c r="AN628" i="31"/>
  <c r="AL629" i="31"/>
  <c r="AM629" i="31"/>
  <c r="AN629" i="31"/>
  <c r="AL630" i="31"/>
  <c r="AM630" i="31"/>
  <c r="AN630" i="31"/>
  <c r="AL631" i="31"/>
  <c r="AM631" i="31"/>
  <c r="AN631" i="31"/>
  <c r="AL632" i="31"/>
  <c r="AM632" i="31"/>
  <c r="AN632" i="31"/>
  <c r="AL633" i="31"/>
  <c r="AM633" i="31"/>
  <c r="AN633" i="31"/>
  <c r="AL634" i="31"/>
  <c r="AM634" i="31"/>
  <c r="AN634" i="31"/>
  <c r="AL635" i="31"/>
  <c r="AM635" i="31"/>
  <c r="AN635" i="31"/>
  <c r="AL636" i="31"/>
  <c r="AM636" i="31"/>
  <c r="AN636" i="31"/>
  <c r="AL637" i="31"/>
  <c r="AM637" i="31"/>
  <c r="AN637" i="31"/>
  <c r="AL638" i="31"/>
  <c r="AM638" i="31"/>
  <c r="AN638" i="31"/>
  <c r="AL639" i="31"/>
  <c r="AM639" i="31"/>
  <c r="AN639" i="31"/>
  <c r="AL640" i="31"/>
  <c r="AM640" i="31"/>
  <c r="AN640" i="31"/>
  <c r="AL641" i="31"/>
  <c r="AM641" i="31"/>
  <c r="AN641" i="31"/>
  <c r="AL642" i="31"/>
  <c r="AM642" i="31"/>
  <c r="AN642" i="31"/>
  <c r="AL643" i="31"/>
  <c r="AM643" i="31"/>
  <c r="AN643" i="31"/>
  <c r="AL644" i="31"/>
  <c r="AM644" i="31"/>
  <c r="AN644" i="31"/>
  <c r="AL645" i="31"/>
  <c r="AM645" i="31"/>
  <c r="AN645" i="31"/>
  <c r="AL646" i="31"/>
  <c r="AM646" i="31"/>
  <c r="AN646" i="31"/>
  <c r="AL647" i="31"/>
  <c r="AM647" i="31"/>
  <c r="AN647" i="31"/>
  <c r="AL648" i="31"/>
  <c r="AM648" i="31"/>
  <c r="AN648" i="31"/>
  <c r="AL649" i="31"/>
  <c r="AM649" i="31"/>
  <c r="AN649" i="31"/>
  <c r="AL650" i="31"/>
  <c r="AM650" i="31"/>
  <c r="AN650" i="31"/>
  <c r="AL651" i="31"/>
  <c r="AM651" i="31"/>
  <c r="AN651" i="31"/>
  <c r="AL652" i="31"/>
  <c r="AM652" i="31"/>
  <c r="AN652" i="31"/>
  <c r="AL653" i="31"/>
  <c r="AM653" i="31"/>
  <c r="AN653" i="31"/>
  <c r="AL654" i="31"/>
  <c r="AM654" i="31"/>
  <c r="AN654" i="31"/>
  <c r="AL655" i="31"/>
  <c r="AM655" i="31"/>
  <c r="AN655" i="31"/>
  <c r="AL656" i="31"/>
  <c r="AM656" i="31"/>
  <c r="AN656" i="31"/>
  <c r="AL657" i="31"/>
  <c r="AM657" i="31"/>
  <c r="AN657" i="31"/>
  <c r="AL658" i="31"/>
  <c r="AM658" i="31"/>
  <c r="AN658" i="31"/>
  <c r="AL659" i="31"/>
  <c r="AM659" i="31"/>
  <c r="AN659" i="31"/>
  <c r="AL660" i="31"/>
  <c r="AM660" i="31"/>
  <c r="AN660" i="31"/>
  <c r="AL661" i="31"/>
  <c r="AM661" i="31"/>
  <c r="AN661" i="31"/>
  <c r="AN442" i="31"/>
  <c r="AM442" i="31"/>
  <c r="AL442" i="31"/>
  <c r="AL223" i="31"/>
  <c r="AM223" i="31"/>
  <c r="AN223" i="31"/>
  <c r="AL224" i="31"/>
  <c r="AM224" i="31"/>
  <c r="AN224" i="31"/>
  <c r="AL225" i="31"/>
  <c r="AM225" i="31"/>
  <c r="AN225" i="31"/>
  <c r="AL226" i="31"/>
  <c r="AM226" i="31"/>
  <c r="AN226" i="31"/>
  <c r="AL227" i="31"/>
  <c r="AM227" i="31"/>
  <c r="AN227" i="31"/>
  <c r="AL228" i="31"/>
  <c r="AM228" i="31"/>
  <c r="AN228" i="31"/>
  <c r="AL229" i="31"/>
  <c r="AM229" i="31"/>
  <c r="AN229" i="31"/>
  <c r="AL230" i="31"/>
  <c r="AM230" i="31"/>
  <c r="AN230" i="31"/>
  <c r="AL231" i="31"/>
  <c r="AM231" i="31"/>
  <c r="AN231" i="31"/>
  <c r="AL232" i="31"/>
  <c r="AM232" i="31"/>
  <c r="AN232" i="31"/>
  <c r="AL233" i="31"/>
  <c r="AM233" i="31"/>
  <c r="AN233" i="31"/>
  <c r="AL234" i="31"/>
  <c r="AM234" i="31"/>
  <c r="AN234" i="31"/>
  <c r="AL235" i="31"/>
  <c r="AM235" i="31"/>
  <c r="AN235" i="31"/>
  <c r="AL236" i="31"/>
  <c r="AM236" i="31"/>
  <c r="AN236" i="31"/>
  <c r="AL237" i="31"/>
  <c r="AM237" i="31"/>
  <c r="AN237" i="31"/>
  <c r="AL238" i="31"/>
  <c r="AM238" i="31"/>
  <c r="AN238" i="31"/>
  <c r="AL239" i="31"/>
  <c r="AM239" i="31"/>
  <c r="AN239" i="31"/>
  <c r="AL240" i="31"/>
  <c r="AM240" i="31"/>
  <c r="AN240" i="31"/>
  <c r="AL241" i="31"/>
  <c r="AM241" i="31"/>
  <c r="AN241" i="31"/>
  <c r="AL242" i="31"/>
  <c r="AM242" i="31"/>
  <c r="AN242" i="31"/>
  <c r="AL243" i="31"/>
  <c r="AM243" i="31"/>
  <c r="AN243" i="31"/>
  <c r="AL244" i="31"/>
  <c r="AM244" i="31"/>
  <c r="AN244" i="31"/>
  <c r="AL245" i="31"/>
  <c r="AM245" i="31"/>
  <c r="AN245" i="31"/>
  <c r="AL246" i="31"/>
  <c r="AM246" i="31"/>
  <c r="AN246" i="31"/>
  <c r="AL247" i="31"/>
  <c r="AM247" i="31"/>
  <c r="AN247" i="31"/>
  <c r="AL248" i="31"/>
  <c r="AM248" i="31"/>
  <c r="AN248" i="31"/>
  <c r="AL249" i="31"/>
  <c r="AM249" i="31"/>
  <c r="AN249" i="31"/>
  <c r="AL250" i="31"/>
  <c r="AM250" i="31"/>
  <c r="AN250" i="31"/>
  <c r="AL251" i="31"/>
  <c r="AM251" i="31"/>
  <c r="AN251" i="31"/>
  <c r="AL252" i="31"/>
  <c r="AM252" i="31"/>
  <c r="AN252" i="31"/>
  <c r="AL253" i="31"/>
  <c r="AM253" i="31"/>
  <c r="AN253" i="31"/>
  <c r="AL254" i="31"/>
  <c r="AM254" i="31"/>
  <c r="AN254" i="31"/>
  <c r="AL255" i="31"/>
  <c r="AM255" i="31"/>
  <c r="AN255" i="31"/>
  <c r="AL256" i="31"/>
  <c r="AM256" i="31"/>
  <c r="AN256" i="31"/>
  <c r="AL257" i="31"/>
  <c r="AM257" i="31"/>
  <c r="AN257" i="31"/>
  <c r="AL258" i="31"/>
  <c r="AM258" i="31"/>
  <c r="AN258" i="31"/>
  <c r="AL259" i="31"/>
  <c r="AM259" i="31"/>
  <c r="AN259" i="31"/>
  <c r="AL260" i="31"/>
  <c r="AM260" i="31"/>
  <c r="AN260" i="31"/>
  <c r="AL261" i="31"/>
  <c r="AM261" i="31"/>
  <c r="AN261" i="31"/>
  <c r="AL262" i="31"/>
  <c r="AM262" i="31"/>
  <c r="AN262" i="31"/>
  <c r="AL263" i="31"/>
  <c r="AM263" i="31"/>
  <c r="AN263" i="31"/>
  <c r="AL264" i="31"/>
  <c r="AM264" i="31"/>
  <c r="AN264" i="31"/>
  <c r="AL265" i="31"/>
  <c r="AM265" i="31"/>
  <c r="AN265" i="31"/>
  <c r="AL266" i="31"/>
  <c r="AM266" i="31"/>
  <c r="AN266" i="31"/>
  <c r="AL267" i="31"/>
  <c r="AM267" i="31"/>
  <c r="AN267" i="31"/>
  <c r="AL268" i="31"/>
  <c r="AM268" i="31"/>
  <c r="AN268" i="31"/>
  <c r="AL269" i="31"/>
  <c r="AM269" i="31"/>
  <c r="AN269" i="31"/>
  <c r="AL270" i="31"/>
  <c r="AM270" i="31"/>
  <c r="AN270" i="31"/>
  <c r="AL271" i="31"/>
  <c r="AM271" i="31"/>
  <c r="AN271" i="31"/>
  <c r="AL272" i="31"/>
  <c r="AM272" i="31"/>
  <c r="AN272" i="31"/>
  <c r="AL273" i="31"/>
  <c r="AM273" i="31"/>
  <c r="AN273" i="31"/>
  <c r="AL274" i="31"/>
  <c r="AM274" i="31"/>
  <c r="AN274" i="31"/>
  <c r="AL275" i="31"/>
  <c r="AM275" i="31"/>
  <c r="AN275" i="31"/>
  <c r="AL276" i="31"/>
  <c r="AM276" i="31"/>
  <c r="AN276" i="31"/>
  <c r="AL277" i="31"/>
  <c r="AM277" i="31"/>
  <c r="AN277" i="31"/>
  <c r="AL278" i="31"/>
  <c r="AM278" i="31"/>
  <c r="AN278" i="31"/>
  <c r="AL279" i="31"/>
  <c r="AM279" i="31"/>
  <c r="AN279" i="31"/>
  <c r="AL280" i="31"/>
  <c r="AM280" i="31"/>
  <c r="AN280" i="31"/>
  <c r="AL281" i="31"/>
  <c r="AM281" i="31"/>
  <c r="AN281" i="31"/>
  <c r="AL282" i="31"/>
  <c r="AM282" i="31"/>
  <c r="AN282" i="31"/>
  <c r="AL283" i="31"/>
  <c r="AM283" i="31"/>
  <c r="AN283" i="31"/>
  <c r="AL284" i="31"/>
  <c r="AM284" i="31"/>
  <c r="AN284" i="31"/>
  <c r="AL285" i="31"/>
  <c r="AM285" i="31"/>
  <c r="AN285" i="31"/>
  <c r="AL286" i="31"/>
  <c r="AM286" i="31"/>
  <c r="AN286" i="31"/>
  <c r="AL287" i="31"/>
  <c r="AM287" i="31"/>
  <c r="AN287" i="31"/>
  <c r="AL288" i="31"/>
  <c r="AM288" i="31"/>
  <c r="AN288" i="31"/>
  <c r="AL289" i="31"/>
  <c r="AM289" i="31"/>
  <c r="AN289" i="31"/>
  <c r="AL290" i="31"/>
  <c r="AM290" i="31"/>
  <c r="AN290" i="31"/>
  <c r="AL291" i="31"/>
  <c r="AM291" i="31"/>
  <c r="AN291" i="31"/>
  <c r="AL292" i="31"/>
  <c r="AM292" i="31"/>
  <c r="AN292" i="31"/>
  <c r="AL293" i="31"/>
  <c r="AM293" i="31"/>
  <c r="AN293" i="31"/>
  <c r="AL294" i="31"/>
  <c r="AM294" i="31"/>
  <c r="AN294" i="31"/>
  <c r="AL295" i="31"/>
  <c r="AM295" i="31"/>
  <c r="AN295" i="31"/>
  <c r="AL296" i="31"/>
  <c r="AM296" i="31"/>
  <c r="AN296" i="31"/>
  <c r="AL297" i="31"/>
  <c r="AM297" i="31"/>
  <c r="AN297" i="31"/>
  <c r="AL298" i="31"/>
  <c r="AM298" i="31"/>
  <c r="AN298" i="31"/>
  <c r="AL299" i="31"/>
  <c r="AM299" i="31"/>
  <c r="AN299" i="31"/>
  <c r="AL300" i="31"/>
  <c r="AM300" i="31"/>
  <c r="AN300" i="31"/>
  <c r="AL301" i="31"/>
  <c r="AM301" i="31"/>
  <c r="AN301" i="31"/>
  <c r="AL302" i="31"/>
  <c r="AM302" i="31"/>
  <c r="AN302" i="31"/>
  <c r="AL303" i="31"/>
  <c r="AM303" i="31"/>
  <c r="AN303" i="31"/>
  <c r="AL304" i="31"/>
  <c r="AM304" i="31"/>
  <c r="AN304" i="31"/>
  <c r="AL305" i="31"/>
  <c r="AM305" i="31"/>
  <c r="AN305" i="31"/>
  <c r="AL306" i="31"/>
  <c r="AM306" i="31"/>
  <c r="AN306" i="31"/>
  <c r="AL307" i="31"/>
  <c r="AM307" i="31"/>
  <c r="AN307" i="31"/>
  <c r="AL308" i="31"/>
  <c r="AM308" i="31"/>
  <c r="AN308" i="31"/>
  <c r="AL309" i="31"/>
  <c r="AM309" i="31"/>
  <c r="AN309" i="31"/>
  <c r="AL310" i="31"/>
  <c r="AM310" i="31"/>
  <c r="AN310" i="31"/>
  <c r="AL311" i="31"/>
  <c r="AM311" i="31"/>
  <c r="AN311" i="31"/>
  <c r="AL312" i="31"/>
  <c r="AM312" i="31"/>
  <c r="AN312" i="31"/>
  <c r="AL313" i="31"/>
  <c r="AM313" i="31"/>
  <c r="AN313" i="31"/>
  <c r="AL314" i="31"/>
  <c r="AM314" i="31"/>
  <c r="AN314" i="31"/>
  <c r="AL315" i="31"/>
  <c r="AM315" i="31"/>
  <c r="AN315" i="31"/>
  <c r="AL316" i="31"/>
  <c r="AM316" i="31"/>
  <c r="AN316" i="31"/>
  <c r="AL317" i="31"/>
  <c r="AM317" i="31"/>
  <c r="AN317" i="31"/>
  <c r="AL318" i="31"/>
  <c r="AM318" i="31"/>
  <c r="AN318" i="31"/>
  <c r="AL319" i="31"/>
  <c r="AM319" i="31"/>
  <c r="AN319" i="31"/>
  <c r="AL320" i="31"/>
  <c r="AM320" i="31"/>
  <c r="AN320" i="31"/>
  <c r="AL321" i="31"/>
  <c r="AM321" i="31"/>
  <c r="AN321" i="31"/>
  <c r="AL322" i="31"/>
  <c r="AM322" i="31"/>
  <c r="AN322" i="31"/>
  <c r="AL323" i="31"/>
  <c r="AM323" i="31"/>
  <c r="AN323" i="31"/>
  <c r="AL324" i="31"/>
  <c r="AM324" i="31"/>
  <c r="AN324" i="31"/>
  <c r="AL325" i="31"/>
  <c r="AM325" i="31"/>
  <c r="AN325" i="31"/>
  <c r="AL326" i="31"/>
  <c r="AM326" i="31"/>
  <c r="AN326" i="31"/>
  <c r="AL327" i="31"/>
  <c r="AM327" i="31"/>
  <c r="AN327" i="31"/>
  <c r="AL328" i="31"/>
  <c r="AM328" i="31"/>
  <c r="AN328" i="31"/>
  <c r="AL329" i="31"/>
  <c r="AM329" i="31"/>
  <c r="AN329" i="31"/>
  <c r="AL330" i="31"/>
  <c r="AM330" i="31"/>
  <c r="AN330" i="31"/>
  <c r="AL331" i="31"/>
  <c r="AM331" i="31"/>
  <c r="AN331" i="31"/>
  <c r="AL332" i="31"/>
  <c r="AM332" i="31"/>
  <c r="AN332" i="31"/>
  <c r="AL333" i="31"/>
  <c r="AM333" i="31"/>
  <c r="AN333" i="31"/>
  <c r="AL334" i="31"/>
  <c r="AM334" i="31"/>
  <c r="AN334" i="31"/>
  <c r="AL335" i="31"/>
  <c r="AM335" i="31"/>
  <c r="AN335" i="31"/>
  <c r="AL336" i="31"/>
  <c r="AM336" i="31"/>
  <c r="AN336" i="31"/>
  <c r="AL337" i="31"/>
  <c r="AM337" i="31"/>
  <c r="AN337" i="31"/>
  <c r="AL338" i="31"/>
  <c r="AM338" i="31"/>
  <c r="AN338" i="31"/>
  <c r="AL339" i="31"/>
  <c r="AM339" i="31"/>
  <c r="AN339" i="31"/>
  <c r="AL340" i="31"/>
  <c r="AM340" i="31"/>
  <c r="AN340" i="31"/>
  <c r="AL341" i="31"/>
  <c r="AM341" i="31"/>
  <c r="AN341" i="31"/>
  <c r="AL342" i="31"/>
  <c r="AM342" i="31"/>
  <c r="AN342" i="31"/>
  <c r="AL343" i="31"/>
  <c r="AM343" i="31"/>
  <c r="AN343" i="31"/>
  <c r="AL344" i="31"/>
  <c r="AM344" i="31"/>
  <c r="AN344" i="31"/>
  <c r="AL345" i="31"/>
  <c r="AM345" i="31"/>
  <c r="AN345" i="31"/>
  <c r="AL346" i="31"/>
  <c r="AM346" i="31"/>
  <c r="AN346" i="31"/>
  <c r="AL347" i="31"/>
  <c r="AM347" i="31"/>
  <c r="AN347" i="31"/>
  <c r="AL348" i="31"/>
  <c r="AM348" i="31"/>
  <c r="AN348" i="31"/>
  <c r="AL349" i="31"/>
  <c r="AM349" i="31"/>
  <c r="AN349" i="31"/>
  <c r="AL350" i="31"/>
  <c r="AM350" i="31"/>
  <c r="AN350" i="31"/>
  <c r="AL351" i="31"/>
  <c r="AM351" i="31"/>
  <c r="AN351" i="31"/>
  <c r="AL352" i="31"/>
  <c r="AM352" i="31"/>
  <c r="AN352" i="31"/>
  <c r="AL353" i="31"/>
  <c r="AM353" i="31"/>
  <c r="AN353" i="31"/>
  <c r="AL354" i="31"/>
  <c r="AM354" i="31"/>
  <c r="AN354" i="31"/>
  <c r="AL355" i="31"/>
  <c r="AM355" i="31"/>
  <c r="AN355" i="31"/>
  <c r="AL356" i="31"/>
  <c r="AM356" i="31"/>
  <c r="AN356" i="31"/>
  <c r="AL357" i="31"/>
  <c r="AM357" i="31"/>
  <c r="AN357" i="31"/>
  <c r="AL358" i="31"/>
  <c r="AM358" i="31"/>
  <c r="AN358" i="31"/>
  <c r="AL359" i="31"/>
  <c r="AM359" i="31"/>
  <c r="AN359" i="31"/>
  <c r="AL360" i="31"/>
  <c r="AM360" i="31"/>
  <c r="AN360" i="31"/>
  <c r="AL361" i="31"/>
  <c r="AM361" i="31"/>
  <c r="AN361" i="31"/>
  <c r="AL362" i="31"/>
  <c r="AM362" i="31"/>
  <c r="AN362" i="31"/>
  <c r="AL363" i="31"/>
  <c r="AM363" i="31"/>
  <c r="AN363" i="31"/>
  <c r="AL364" i="31"/>
  <c r="AM364" i="31"/>
  <c r="AN364" i="31"/>
  <c r="AL365" i="31"/>
  <c r="AM365" i="31"/>
  <c r="AN365" i="31"/>
  <c r="AL366" i="31"/>
  <c r="AM366" i="31"/>
  <c r="AN366" i="31"/>
  <c r="AL367" i="31"/>
  <c r="AM367" i="31"/>
  <c r="AN367" i="31"/>
  <c r="AL368" i="31"/>
  <c r="AM368" i="31"/>
  <c r="AN368" i="31"/>
  <c r="AL369" i="31"/>
  <c r="AM369" i="31"/>
  <c r="AN369" i="31"/>
  <c r="AL370" i="31"/>
  <c r="AM370" i="31"/>
  <c r="AN370" i="31"/>
  <c r="AL371" i="31"/>
  <c r="AM371" i="31"/>
  <c r="AN371" i="31"/>
  <c r="AL372" i="31"/>
  <c r="AM372" i="31"/>
  <c r="AN372" i="31"/>
  <c r="AL373" i="31"/>
  <c r="AM373" i="31"/>
  <c r="AN373" i="31"/>
  <c r="AL374" i="31"/>
  <c r="AM374" i="31"/>
  <c r="AN374" i="31"/>
  <c r="AL375" i="31"/>
  <c r="AM375" i="31"/>
  <c r="AN375" i="31"/>
  <c r="AL376" i="31"/>
  <c r="AM376" i="31"/>
  <c r="AN376" i="31"/>
  <c r="AL377" i="31"/>
  <c r="AM377" i="31"/>
  <c r="AN377" i="31"/>
  <c r="AL378" i="31"/>
  <c r="AM378" i="31"/>
  <c r="AN378" i="31"/>
  <c r="AL379" i="31"/>
  <c r="AM379" i="31"/>
  <c r="AN379" i="31"/>
  <c r="AL380" i="31"/>
  <c r="AM380" i="31"/>
  <c r="AN380" i="31"/>
  <c r="AL381" i="31"/>
  <c r="AM381" i="31"/>
  <c r="AN381" i="31"/>
  <c r="AL382" i="31"/>
  <c r="AM382" i="31"/>
  <c r="AN382" i="31"/>
  <c r="AL383" i="31"/>
  <c r="AM383" i="31"/>
  <c r="AN383" i="31"/>
  <c r="AL384" i="31"/>
  <c r="AM384" i="31"/>
  <c r="AN384" i="31"/>
  <c r="AL385" i="31"/>
  <c r="AM385" i="31"/>
  <c r="AN385" i="31"/>
  <c r="AL386" i="31"/>
  <c r="AM386" i="31"/>
  <c r="AN386" i="31"/>
  <c r="AL387" i="31"/>
  <c r="AM387" i="31"/>
  <c r="AN387" i="31"/>
  <c r="AL388" i="31"/>
  <c r="AM388" i="31"/>
  <c r="AN388" i="31"/>
  <c r="AL389" i="31"/>
  <c r="AM389" i="31"/>
  <c r="AN389" i="31"/>
  <c r="AL390" i="31"/>
  <c r="AM390" i="31"/>
  <c r="AN390" i="31"/>
  <c r="AL391" i="31"/>
  <c r="AM391" i="31"/>
  <c r="AN391" i="31"/>
  <c r="AL392" i="31"/>
  <c r="AM392" i="31"/>
  <c r="AN392" i="31"/>
  <c r="AL393" i="31"/>
  <c r="AM393" i="31"/>
  <c r="AN393" i="31"/>
  <c r="AL394" i="31"/>
  <c r="AM394" i="31"/>
  <c r="AN394" i="31"/>
  <c r="AL395" i="31"/>
  <c r="AM395" i="31"/>
  <c r="AN395" i="31"/>
  <c r="AL396" i="31"/>
  <c r="AM396" i="31"/>
  <c r="AN396" i="31"/>
  <c r="AL397" i="31"/>
  <c r="AM397" i="31"/>
  <c r="AN397" i="31"/>
  <c r="AL398" i="31"/>
  <c r="AM398" i="31"/>
  <c r="AN398" i="31"/>
  <c r="AL399" i="31"/>
  <c r="AM399" i="31"/>
  <c r="AN399" i="31"/>
  <c r="AL400" i="31"/>
  <c r="AM400" i="31"/>
  <c r="AN400" i="31"/>
  <c r="AL401" i="31"/>
  <c r="AM401" i="31"/>
  <c r="AN401" i="31"/>
  <c r="AL402" i="31"/>
  <c r="AM402" i="31"/>
  <c r="AN402" i="31"/>
  <c r="AL403" i="31"/>
  <c r="AM403" i="31"/>
  <c r="AN403" i="31"/>
  <c r="AL404" i="31"/>
  <c r="AM404" i="31"/>
  <c r="AN404" i="31"/>
  <c r="AL405" i="31"/>
  <c r="AM405" i="31"/>
  <c r="AN405" i="31"/>
  <c r="AL406" i="31"/>
  <c r="AM406" i="31"/>
  <c r="AN406" i="31"/>
  <c r="AL407" i="31"/>
  <c r="AM407" i="31"/>
  <c r="AN407" i="31"/>
  <c r="AL408" i="31"/>
  <c r="AM408" i="31"/>
  <c r="AN408" i="31"/>
  <c r="AL409" i="31"/>
  <c r="AM409" i="31"/>
  <c r="AN409" i="31"/>
  <c r="AL410" i="31"/>
  <c r="AM410" i="31"/>
  <c r="AN410" i="31"/>
  <c r="AL411" i="31"/>
  <c r="AM411" i="31"/>
  <c r="AN411" i="31"/>
  <c r="AL412" i="31"/>
  <c r="AM412" i="31"/>
  <c r="AN412" i="31"/>
  <c r="AL413" i="31"/>
  <c r="AM413" i="31"/>
  <c r="AN413" i="31"/>
  <c r="AL414" i="31"/>
  <c r="AM414" i="31"/>
  <c r="AN414" i="31"/>
  <c r="AL415" i="31"/>
  <c r="AM415" i="31"/>
  <c r="AN415" i="31"/>
  <c r="AL416" i="31"/>
  <c r="AM416" i="31"/>
  <c r="AN416" i="31"/>
  <c r="AL417" i="31"/>
  <c r="AM417" i="31"/>
  <c r="AN417" i="31"/>
  <c r="AL418" i="31"/>
  <c r="AM418" i="31"/>
  <c r="AN418" i="31"/>
  <c r="AL419" i="31"/>
  <c r="AM419" i="31"/>
  <c r="AN419" i="31"/>
  <c r="AL420" i="31"/>
  <c r="AM420" i="31"/>
  <c r="AN420" i="31"/>
  <c r="AL421" i="31"/>
  <c r="AM421" i="31"/>
  <c r="AN421" i="31"/>
  <c r="AL422" i="31"/>
  <c r="AM422" i="31"/>
  <c r="AN422" i="31"/>
  <c r="AL423" i="31"/>
  <c r="AM423" i="31"/>
  <c r="AN423" i="31"/>
  <c r="AL424" i="31"/>
  <c r="AM424" i="31"/>
  <c r="AN424" i="31"/>
  <c r="AL425" i="31"/>
  <c r="AM425" i="31"/>
  <c r="AN425" i="31"/>
  <c r="AL426" i="31"/>
  <c r="AM426" i="31"/>
  <c r="AN426" i="31"/>
  <c r="AL427" i="31"/>
  <c r="AM427" i="31"/>
  <c r="AN427" i="31"/>
  <c r="AL428" i="31"/>
  <c r="AM428" i="31"/>
  <c r="AN428" i="31"/>
  <c r="AL429" i="31"/>
  <c r="AM429" i="31"/>
  <c r="AN429" i="31"/>
  <c r="AL430" i="31"/>
  <c r="AM430" i="31"/>
  <c r="AN430" i="31"/>
  <c r="AL431" i="31"/>
  <c r="AM431" i="31"/>
  <c r="AN431" i="31"/>
  <c r="AL432" i="31"/>
  <c r="AM432" i="31"/>
  <c r="AN432" i="31"/>
  <c r="AL433" i="31"/>
  <c r="AM433" i="31"/>
  <c r="AN433" i="31"/>
  <c r="AL434" i="31"/>
  <c r="AM434" i="31"/>
  <c r="AN434" i="31"/>
  <c r="AL435" i="31"/>
  <c r="AM435" i="31"/>
  <c r="AN435" i="31"/>
  <c r="AL436" i="31"/>
  <c r="AM436" i="31"/>
  <c r="AN436" i="31"/>
  <c r="AL437" i="31"/>
  <c r="AM437" i="31"/>
  <c r="AN437" i="31"/>
  <c r="AL438" i="31"/>
  <c r="AM438" i="31"/>
  <c r="AN438" i="31"/>
  <c r="AL439" i="31"/>
  <c r="AM439" i="31"/>
  <c r="AN439" i="31"/>
  <c r="AL440" i="31"/>
  <c r="AM440" i="31"/>
  <c r="AN440" i="31"/>
  <c r="AL441" i="31"/>
  <c r="AM441" i="31"/>
  <c r="AN441" i="31"/>
  <c r="AN222" i="31"/>
  <c r="AM222" i="31"/>
  <c r="AL222" i="31"/>
  <c r="AL3" i="31"/>
  <c r="AM3" i="31"/>
  <c r="AN3" i="31"/>
  <c r="AL4" i="31"/>
  <c r="AM4" i="31"/>
  <c r="AN4" i="31"/>
  <c r="AL5" i="31"/>
  <c r="AM5" i="31"/>
  <c r="AN5" i="31"/>
  <c r="AL6" i="31"/>
  <c r="AM6" i="31"/>
  <c r="AN6" i="31"/>
  <c r="AL7" i="31"/>
  <c r="AM7" i="31"/>
  <c r="AN7" i="31"/>
  <c r="AL8" i="31"/>
  <c r="AM8" i="31"/>
  <c r="AN8" i="31"/>
  <c r="AL9" i="31"/>
  <c r="AM9" i="31"/>
  <c r="AN9" i="31"/>
  <c r="AL10" i="31"/>
  <c r="AM10" i="31"/>
  <c r="AN10" i="31"/>
  <c r="AL11" i="31"/>
  <c r="AM11" i="31"/>
  <c r="AN11" i="31"/>
  <c r="AL12" i="31"/>
  <c r="AM12" i="31"/>
  <c r="AN12" i="31"/>
  <c r="AL13" i="31"/>
  <c r="AM13" i="31"/>
  <c r="AN13" i="31"/>
  <c r="AL14" i="31"/>
  <c r="AM14" i="31"/>
  <c r="AN14" i="31"/>
  <c r="AL15" i="31"/>
  <c r="AM15" i="31"/>
  <c r="AN15" i="31"/>
  <c r="AL16" i="31"/>
  <c r="AM16" i="31"/>
  <c r="AN16" i="31"/>
  <c r="AL17" i="31"/>
  <c r="AM17" i="31"/>
  <c r="AN17" i="31"/>
  <c r="AL18" i="31"/>
  <c r="AM18" i="31"/>
  <c r="AN18" i="31"/>
  <c r="AL19" i="31"/>
  <c r="AM19" i="31"/>
  <c r="AN19" i="31"/>
  <c r="AL20" i="31"/>
  <c r="AM20" i="31"/>
  <c r="AN20" i="31"/>
  <c r="AL21" i="31"/>
  <c r="AM21" i="31"/>
  <c r="AN21" i="31"/>
  <c r="AL22" i="31"/>
  <c r="AM22" i="31"/>
  <c r="AN22" i="31"/>
  <c r="AL23" i="31"/>
  <c r="AM23" i="31"/>
  <c r="AN23" i="31"/>
  <c r="AL24" i="31"/>
  <c r="AM24" i="31"/>
  <c r="AN24" i="31"/>
  <c r="AL25" i="31"/>
  <c r="AM25" i="31"/>
  <c r="AN25" i="31"/>
  <c r="AL26" i="31"/>
  <c r="AM26" i="31"/>
  <c r="AN26" i="31"/>
  <c r="AL27" i="31"/>
  <c r="AM27" i="31"/>
  <c r="AN27" i="31"/>
  <c r="AL28" i="31"/>
  <c r="AM28" i="31"/>
  <c r="AN28" i="31"/>
  <c r="AL29" i="31"/>
  <c r="AM29" i="31"/>
  <c r="AN29" i="31"/>
  <c r="AL30" i="31"/>
  <c r="AM30" i="31"/>
  <c r="AN30" i="31"/>
  <c r="AL31" i="31"/>
  <c r="AM31" i="31"/>
  <c r="AN31" i="31"/>
  <c r="AL32" i="31"/>
  <c r="AM32" i="31"/>
  <c r="AN32" i="31"/>
  <c r="AL33" i="31"/>
  <c r="AM33" i="31"/>
  <c r="AN33" i="31"/>
  <c r="AL34" i="31"/>
  <c r="AM34" i="31"/>
  <c r="AN34" i="31"/>
  <c r="AL35" i="31"/>
  <c r="AM35" i="31"/>
  <c r="AN35" i="31"/>
  <c r="AL36" i="31"/>
  <c r="AM36" i="31"/>
  <c r="AN36" i="31"/>
  <c r="AL37" i="31"/>
  <c r="AM37" i="31"/>
  <c r="AN37" i="31"/>
  <c r="AL38" i="31"/>
  <c r="AM38" i="31"/>
  <c r="AN38" i="31"/>
  <c r="AL39" i="31"/>
  <c r="AM39" i="31"/>
  <c r="AN39" i="31"/>
  <c r="AL40" i="31"/>
  <c r="AM40" i="31"/>
  <c r="AN40" i="31"/>
  <c r="AL41" i="31"/>
  <c r="AM41" i="31"/>
  <c r="AN41" i="31"/>
  <c r="AL42" i="31"/>
  <c r="AM42" i="31"/>
  <c r="AN42" i="31"/>
  <c r="AL43" i="31"/>
  <c r="AM43" i="31"/>
  <c r="AN43" i="31"/>
  <c r="AL44" i="31"/>
  <c r="AM44" i="31"/>
  <c r="AN44" i="31"/>
  <c r="AL45" i="31"/>
  <c r="AM45" i="31"/>
  <c r="AN45" i="31"/>
  <c r="AL46" i="31"/>
  <c r="AM46" i="31"/>
  <c r="AN46" i="31"/>
  <c r="AL47" i="31"/>
  <c r="AM47" i="31"/>
  <c r="AN47" i="31"/>
  <c r="AL48" i="31"/>
  <c r="AM48" i="31"/>
  <c r="AN48" i="31"/>
  <c r="AL49" i="31"/>
  <c r="AM49" i="31"/>
  <c r="AN49" i="31"/>
  <c r="AL50" i="31"/>
  <c r="AM50" i="31"/>
  <c r="AN50" i="31"/>
  <c r="AL51" i="31"/>
  <c r="AM51" i="31"/>
  <c r="AN51" i="31"/>
  <c r="AL52" i="31"/>
  <c r="AM52" i="31"/>
  <c r="AN52" i="31"/>
  <c r="AL53" i="31"/>
  <c r="AM53" i="31"/>
  <c r="AN53" i="31"/>
  <c r="AL54" i="31"/>
  <c r="AM54" i="31"/>
  <c r="AN54" i="31"/>
  <c r="AL55" i="31"/>
  <c r="AM55" i="31"/>
  <c r="AN55" i="31"/>
  <c r="AL56" i="31"/>
  <c r="AM56" i="31"/>
  <c r="AN56" i="31"/>
  <c r="AL57" i="31"/>
  <c r="AM57" i="31"/>
  <c r="AN57" i="31"/>
  <c r="AL58" i="31"/>
  <c r="AM58" i="31"/>
  <c r="AN58" i="31"/>
  <c r="AL59" i="31"/>
  <c r="AM59" i="31"/>
  <c r="AN59" i="31"/>
  <c r="AL60" i="31"/>
  <c r="AM60" i="31"/>
  <c r="AN60" i="31"/>
  <c r="AL61" i="31"/>
  <c r="AM61" i="31"/>
  <c r="AN61" i="31"/>
  <c r="AL62" i="31"/>
  <c r="AM62" i="31"/>
  <c r="AN62" i="31"/>
  <c r="AL63" i="31"/>
  <c r="AM63" i="31"/>
  <c r="AN63" i="31"/>
  <c r="AL64" i="31"/>
  <c r="AM64" i="31"/>
  <c r="AN64" i="31"/>
  <c r="AL65" i="31"/>
  <c r="AM65" i="31"/>
  <c r="AN65" i="31"/>
  <c r="AL66" i="31"/>
  <c r="AM66" i="31"/>
  <c r="AN66" i="31"/>
  <c r="AL67" i="31"/>
  <c r="AM67" i="31"/>
  <c r="AN67" i="31"/>
  <c r="AL68" i="31"/>
  <c r="AM68" i="31"/>
  <c r="AN68" i="31"/>
  <c r="AL69" i="31"/>
  <c r="AM69" i="31"/>
  <c r="AN69" i="31"/>
  <c r="AL70" i="31"/>
  <c r="AM70" i="31"/>
  <c r="AN70" i="31"/>
  <c r="AL71" i="31"/>
  <c r="AM71" i="31"/>
  <c r="AN71" i="31"/>
  <c r="AL72" i="31"/>
  <c r="AM72" i="31"/>
  <c r="AN72" i="31"/>
  <c r="AL73" i="31"/>
  <c r="AM73" i="31"/>
  <c r="AN73" i="31"/>
  <c r="AL74" i="31"/>
  <c r="AM74" i="31"/>
  <c r="AN74" i="31"/>
  <c r="AL75" i="31"/>
  <c r="AM75" i="31"/>
  <c r="AN75" i="31"/>
  <c r="AL76" i="31"/>
  <c r="AM76" i="31"/>
  <c r="AN76" i="31"/>
  <c r="AL77" i="31"/>
  <c r="AM77" i="31"/>
  <c r="AN77" i="31"/>
  <c r="AL78" i="31"/>
  <c r="AM78" i="31"/>
  <c r="AN78" i="31"/>
  <c r="AL79" i="31"/>
  <c r="AM79" i="31"/>
  <c r="AN79" i="31"/>
  <c r="AL80" i="31"/>
  <c r="AM80" i="31"/>
  <c r="AN80" i="31"/>
  <c r="AL81" i="31"/>
  <c r="AM81" i="31"/>
  <c r="AN81" i="31"/>
  <c r="AL82" i="31"/>
  <c r="AM82" i="31"/>
  <c r="AN82" i="31"/>
  <c r="AL83" i="31"/>
  <c r="AM83" i="31"/>
  <c r="AN83" i="31"/>
  <c r="AL84" i="31"/>
  <c r="AM84" i="31"/>
  <c r="AN84" i="31"/>
  <c r="AL85" i="31"/>
  <c r="AM85" i="31"/>
  <c r="AN85" i="31"/>
  <c r="AL86" i="31"/>
  <c r="AM86" i="31"/>
  <c r="AN86" i="31"/>
  <c r="AL87" i="31"/>
  <c r="AM87" i="31"/>
  <c r="AN87" i="31"/>
  <c r="AL88" i="31"/>
  <c r="AM88" i="31"/>
  <c r="AN88" i="31"/>
  <c r="AL89" i="31"/>
  <c r="AM89" i="31"/>
  <c r="AN89" i="31"/>
  <c r="AL90" i="31"/>
  <c r="AM90" i="31"/>
  <c r="AN90" i="31"/>
  <c r="AL91" i="31"/>
  <c r="AM91" i="31"/>
  <c r="AN91" i="31"/>
  <c r="AL92" i="31"/>
  <c r="AM92" i="31"/>
  <c r="AN92" i="31"/>
  <c r="AL93" i="31"/>
  <c r="AM93" i="31"/>
  <c r="AN93" i="31"/>
  <c r="AL94" i="31"/>
  <c r="AM94" i="31"/>
  <c r="AN94" i="31"/>
  <c r="AL95" i="31"/>
  <c r="AM95" i="31"/>
  <c r="AN95" i="31"/>
  <c r="AL96" i="31"/>
  <c r="AM96" i="31"/>
  <c r="AN96" i="31"/>
  <c r="AL97" i="31"/>
  <c r="AM97" i="31"/>
  <c r="AN97" i="31"/>
  <c r="AL98" i="31"/>
  <c r="AM98" i="31"/>
  <c r="AN98" i="31"/>
  <c r="AL99" i="31"/>
  <c r="AM99" i="31"/>
  <c r="AN99" i="31"/>
  <c r="AL100" i="31"/>
  <c r="AM100" i="31"/>
  <c r="AN100" i="31"/>
  <c r="AL101" i="31"/>
  <c r="AM101" i="31"/>
  <c r="AN101" i="31"/>
  <c r="AL102" i="31"/>
  <c r="AM102" i="31"/>
  <c r="AN102" i="31"/>
  <c r="AL103" i="31"/>
  <c r="AM103" i="31"/>
  <c r="AN103" i="31"/>
  <c r="AL104" i="31"/>
  <c r="AM104" i="31"/>
  <c r="AN104" i="31"/>
  <c r="AL105" i="31"/>
  <c r="AM105" i="31"/>
  <c r="AN105" i="31"/>
  <c r="AL106" i="31"/>
  <c r="AM106" i="31"/>
  <c r="AN106" i="31"/>
  <c r="AL107" i="31"/>
  <c r="AM107" i="31"/>
  <c r="AN107" i="31"/>
  <c r="AL108" i="31"/>
  <c r="AM108" i="31"/>
  <c r="AN108" i="31"/>
  <c r="AL109" i="31"/>
  <c r="AM109" i="31"/>
  <c r="AN109" i="31"/>
  <c r="AL110" i="31"/>
  <c r="AM110" i="31"/>
  <c r="AN110" i="31"/>
  <c r="AL111" i="31"/>
  <c r="AM111" i="31"/>
  <c r="AN111" i="31"/>
  <c r="AL112" i="31"/>
  <c r="AM112" i="31"/>
  <c r="AN112" i="31"/>
  <c r="AL113" i="31"/>
  <c r="AM113" i="31"/>
  <c r="AN113" i="31"/>
  <c r="AL114" i="31"/>
  <c r="AM114" i="31"/>
  <c r="AN114" i="31"/>
  <c r="AL115" i="31"/>
  <c r="AM115" i="31"/>
  <c r="AN115" i="31"/>
  <c r="AL116" i="31"/>
  <c r="AM116" i="31"/>
  <c r="AN116" i="31"/>
  <c r="AL117" i="31"/>
  <c r="AM117" i="31"/>
  <c r="AN117" i="31"/>
  <c r="AL118" i="31"/>
  <c r="AM118" i="31"/>
  <c r="AN118" i="31"/>
  <c r="AL119" i="31"/>
  <c r="AM119" i="31"/>
  <c r="AN119" i="31"/>
  <c r="AL120" i="31"/>
  <c r="AM120" i="31"/>
  <c r="AN120" i="31"/>
  <c r="AL121" i="31"/>
  <c r="AM121" i="31"/>
  <c r="AN121" i="31"/>
  <c r="AL122" i="31"/>
  <c r="AM122" i="31"/>
  <c r="AN122" i="31"/>
  <c r="AL123" i="31"/>
  <c r="AM123" i="31"/>
  <c r="AN123" i="31"/>
  <c r="AL124" i="31"/>
  <c r="AM124" i="31"/>
  <c r="AN124" i="31"/>
  <c r="AL125" i="31"/>
  <c r="AM125" i="31"/>
  <c r="AN125" i="31"/>
  <c r="AL126" i="31"/>
  <c r="AM126" i="31"/>
  <c r="AN126" i="31"/>
  <c r="AL127" i="31"/>
  <c r="AM127" i="31"/>
  <c r="AN127" i="31"/>
  <c r="AL128" i="31"/>
  <c r="AM128" i="31"/>
  <c r="AN128" i="31"/>
  <c r="AL129" i="31"/>
  <c r="AM129" i="31"/>
  <c r="AN129" i="31"/>
  <c r="AL130" i="31"/>
  <c r="AM130" i="31"/>
  <c r="AN130" i="31"/>
  <c r="AL131" i="31"/>
  <c r="AM131" i="31"/>
  <c r="AN131" i="31"/>
  <c r="AL132" i="31"/>
  <c r="AM132" i="31"/>
  <c r="AN132" i="31"/>
  <c r="AL133" i="31"/>
  <c r="AM133" i="31"/>
  <c r="AN133" i="31"/>
  <c r="AL134" i="31"/>
  <c r="AM134" i="31"/>
  <c r="AN134" i="31"/>
  <c r="AL135" i="31"/>
  <c r="AM135" i="31"/>
  <c r="AN135" i="31"/>
  <c r="AL136" i="31"/>
  <c r="AM136" i="31"/>
  <c r="AN136" i="31"/>
  <c r="AL137" i="31"/>
  <c r="AM137" i="31"/>
  <c r="AN137" i="31"/>
  <c r="AL138" i="31"/>
  <c r="AM138" i="31"/>
  <c r="AN138" i="31"/>
  <c r="AL139" i="31"/>
  <c r="AM139" i="31"/>
  <c r="AN139" i="31"/>
  <c r="AL140" i="31"/>
  <c r="AM140" i="31"/>
  <c r="AN140" i="31"/>
  <c r="AL141" i="31"/>
  <c r="AM141" i="31"/>
  <c r="AN141" i="31"/>
  <c r="AL142" i="31"/>
  <c r="AM142" i="31"/>
  <c r="AN142" i="31"/>
  <c r="AL143" i="31"/>
  <c r="AM143" i="31"/>
  <c r="AN143" i="31"/>
  <c r="AL144" i="31"/>
  <c r="AM144" i="31"/>
  <c r="AN144" i="31"/>
  <c r="AL145" i="31"/>
  <c r="AM145" i="31"/>
  <c r="AN145" i="31"/>
  <c r="AL146" i="31"/>
  <c r="AM146" i="31"/>
  <c r="AN146" i="31"/>
  <c r="AL147" i="31"/>
  <c r="AM147" i="31"/>
  <c r="AN147" i="31"/>
  <c r="AL148" i="31"/>
  <c r="AM148" i="31"/>
  <c r="AN148" i="31"/>
  <c r="AL149" i="31"/>
  <c r="AM149" i="31"/>
  <c r="AN149" i="31"/>
  <c r="AL150" i="31"/>
  <c r="AM150" i="31"/>
  <c r="AN150" i="31"/>
  <c r="AL151" i="31"/>
  <c r="AM151" i="31"/>
  <c r="AN151" i="31"/>
  <c r="AL152" i="31"/>
  <c r="AM152" i="31"/>
  <c r="AN152" i="31"/>
  <c r="AL153" i="31"/>
  <c r="AM153" i="31"/>
  <c r="AN153" i="31"/>
  <c r="AL154" i="31"/>
  <c r="AM154" i="31"/>
  <c r="AN154" i="31"/>
  <c r="AL155" i="31"/>
  <c r="AM155" i="31"/>
  <c r="AN155" i="31"/>
  <c r="AL156" i="31"/>
  <c r="AM156" i="31"/>
  <c r="AN156" i="31"/>
  <c r="AL157" i="31"/>
  <c r="AM157" i="31"/>
  <c r="AN157" i="31"/>
  <c r="AL158" i="31"/>
  <c r="AM158" i="31"/>
  <c r="AN158" i="31"/>
  <c r="AL159" i="31"/>
  <c r="AM159" i="31"/>
  <c r="AN159" i="31"/>
  <c r="AL160" i="31"/>
  <c r="AM160" i="31"/>
  <c r="AN160" i="31"/>
  <c r="AL161" i="31"/>
  <c r="AM161" i="31"/>
  <c r="AN161" i="31"/>
  <c r="AL162" i="31"/>
  <c r="AM162" i="31"/>
  <c r="AN162" i="31"/>
  <c r="AL163" i="31"/>
  <c r="AM163" i="31"/>
  <c r="AN163" i="31"/>
  <c r="AL164" i="31"/>
  <c r="AM164" i="31"/>
  <c r="AN164" i="31"/>
  <c r="AL165" i="31"/>
  <c r="AM165" i="31"/>
  <c r="AN165" i="31"/>
  <c r="AL166" i="31"/>
  <c r="AM166" i="31"/>
  <c r="AN166" i="31"/>
  <c r="AL167" i="31"/>
  <c r="AM167" i="31"/>
  <c r="AN167" i="31"/>
  <c r="AL168" i="31"/>
  <c r="AM168" i="31"/>
  <c r="AN168" i="31"/>
  <c r="AL169" i="31"/>
  <c r="AM169" i="31"/>
  <c r="AN169" i="31"/>
  <c r="AL170" i="31"/>
  <c r="AM170" i="31"/>
  <c r="AN170" i="31"/>
  <c r="AL171" i="31"/>
  <c r="AM171" i="31"/>
  <c r="AN171" i="31"/>
  <c r="AL172" i="31"/>
  <c r="AM172" i="31"/>
  <c r="AN172" i="31"/>
  <c r="AL173" i="31"/>
  <c r="AM173" i="31"/>
  <c r="AN173" i="31"/>
  <c r="AL174" i="31"/>
  <c r="AM174" i="31"/>
  <c r="AN174" i="31"/>
  <c r="AL175" i="31"/>
  <c r="AM175" i="31"/>
  <c r="AN175" i="31"/>
  <c r="AL176" i="31"/>
  <c r="AM176" i="31"/>
  <c r="AN176" i="31"/>
  <c r="AL177" i="31"/>
  <c r="AM177" i="31"/>
  <c r="AN177" i="31"/>
  <c r="AL178" i="31"/>
  <c r="AM178" i="31"/>
  <c r="AN178" i="31"/>
  <c r="AL179" i="31"/>
  <c r="AM179" i="31"/>
  <c r="AN179" i="31"/>
  <c r="AL180" i="31"/>
  <c r="AM180" i="31"/>
  <c r="AN180" i="31"/>
  <c r="AL181" i="31"/>
  <c r="AM181" i="31"/>
  <c r="AN181" i="31"/>
  <c r="AL182" i="31"/>
  <c r="AM182" i="31"/>
  <c r="AN182" i="31"/>
  <c r="AL183" i="31"/>
  <c r="AM183" i="31"/>
  <c r="AN183" i="31"/>
  <c r="AL184" i="31"/>
  <c r="AM184" i="31"/>
  <c r="AN184" i="31"/>
  <c r="AL185" i="31"/>
  <c r="AM185" i="31"/>
  <c r="AN185" i="31"/>
  <c r="AL186" i="31"/>
  <c r="AM186" i="31"/>
  <c r="AN186" i="31"/>
  <c r="AL187" i="31"/>
  <c r="AM187" i="31"/>
  <c r="AN187" i="31"/>
  <c r="AL188" i="31"/>
  <c r="AM188" i="31"/>
  <c r="AN188" i="31"/>
  <c r="AL189" i="31"/>
  <c r="AM189" i="31"/>
  <c r="AN189" i="31"/>
  <c r="AL190" i="31"/>
  <c r="AM190" i="31"/>
  <c r="AN190" i="31"/>
  <c r="AL191" i="31"/>
  <c r="AM191" i="31"/>
  <c r="AN191" i="31"/>
  <c r="AL192" i="31"/>
  <c r="AM192" i="31"/>
  <c r="AN192" i="31"/>
  <c r="AL193" i="31"/>
  <c r="AM193" i="31"/>
  <c r="AN193" i="31"/>
  <c r="AL194" i="31"/>
  <c r="AM194" i="31"/>
  <c r="AN194" i="31"/>
  <c r="AL195" i="31"/>
  <c r="AM195" i="31"/>
  <c r="AN195" i="31"/>
  <c r="AL196" i="31"/>
  <c r="AM196" i="31"/>
  <c r="AN196" i="31"/>
  <c r="AL197" i="31"/>
  <c r="AM197" i="31"/>
  <c r="AN197" i="31"/>
  <c r="AL198" i="31"/>
  <c r="AM198" i="31"/>
  <c r="AN198" i="31"/>
  <c r="AL199" i="31"/>
  <c r="AM199" i="31"/>
  <c r="AN199" i="31"/>
  <c r="AL200" i="31"/>
  <c r="AM200" i="31"/>
  <c r="AN200" i="31"/>
  <c r="AL201" i="31"/>
  <c r="AM201" i="31"/>
  <c r="AN201" i="31"/>
  <c r="AL202" i="31"/>
  <c r="AM202" i="31"/>
  <c r="AN202" i="31"/>
  <c r="AL203" i="31"/>
  <c r="AM203" i="31"/>
  <c r="AN203" i="31"/>
  <c r="AL204" i="31"/>
  <c r="AM204" i="31"/>
  <c r="AN204" i="31"/>
  <c r="AL205" i="31"/>
  <c r="AM205" i="31"/>
  <c r="AN205" i="31"/>
  <c r="AL206" i="31"/>
  <c r="AM206" i="31"/>
  <c r="AN206" i="31"/>
  <c r="AL207" i="31"/>
  <c r="AM207" i="31"/>
  <c r="AN207" i="31"/>
  <c r="AL208" i="31"/>
  <c r="AM208" i="31"/>
  <c r="AN208" i="31"/>
  <c r="AL209" i="31"/>
  <c r="AM209" i="31"/>
  <c r="AN209" i="31"/>
  <c r="AL210" i="31"/>
  <c r="AM210" i="31"/>
  <c r="AN210" i="31"/>
  <c r="AL211" i="31"/>
  <c r="AM211" i="31"/>
  <c r="AN211" i="31"/>
  <c r="AL212" i="31"/>
  <c r="AM212" i="31"/>
  <c r="AN212" i="31"/>
  <c r="AL213" i="31"/>
  <c r="AM213" i="31"/>
  <c r="AN213" i="31"/>
  <c r="AL214" i="31"/>
  <c r="AM214" i="31"/>
  <c r="AN214" i="31"/>
  <c r="AL215" i="31"/>
  <c r="AM215" i="31"/>
  <c r="AN215" i="31"/>
  <c r="AL216" i="31"/>
  <c r="AM216" i="31"/>
  <c r="AN216" i="31"/>
  <c r="AL217" i="31"/>
  <c r="AM217" i="31"/>
  <c r="AN217" i="31"/>
  <c r="AL218" i="31"/>
  <c r="AM218" i="31"/>
  <c r="AN218" i="31"/>
  <c r="AL219" i="31"/>
  <c r="AM219" i="31"/>
  <c r="AN219" i="31"/>
  <c r="AL220" i="31"/>
  <c r="AM220" i="31"/>
  <c r="AN220" i="31"/>
  <c r="AL221" i="31"/>
  <c r="AM221" i="31"/>
  <c r="AN221" i="31"/>
  <c r="AN2" i="31"/>
  <c r="AM2" i="31"/>
  <c r="AL2" i="31"/>
  <c r="AL2" i="25"/>
  <c r="AL3" i="25"/>
  <c r="AL4" i="25"/>
  <c r="AL5" i="25"/>
  <c r="AL6" i="25"/>
  <c r="AL7" i="25"/>
  <c r="AL8" i="25"/>
  <c r="AI881" i="25"/>
  <c r="AI880" i="25"/>
  <c r="AI879" i="25"/>
  <c r="AI878" i="25"/>
  <c r="AI877" i="25"/>
  <c r="AI876" i="25"/>
  <c r="AI875" i="25"/>
  <c r="AI874" i="25"/>
  <c r="AI873" i="25"/>
  <c r="AI872" i="25"/>
  <c r="AI871" i="25"/>
  <c r="AI870" i="25"/>
  <c r="AI869" i="25"/>
  <c r="AI868" i="25"/>
  <c r="AI867" i="25"/>
  <c r="AI866" i="25"/>
  <c r="AI865" i="25"/>
  <c r="AI864" i="25"/>
  <c r="AI863" i="25"/>
  <c r="AI862" i="25"/>
  <c r="AI861" i="25"/>
  <c r="AI860" i="25"/>
  <c r="AI859" i="25"/>
  <c r="AI858" i="25"/>
  <c r="AI857" i="25"/>
  <c r="AI856" i="25"/>
  <c r="AI855" i="25"/>
  <c r="AI854" i="25"/>
  <c r="AI853" i="25"/>
  <c r="AI852" i="25"/>
  <c r="AI851" i="25"/>
  <c r="AI850" i="25"/>
  <c r="AI849" i="25"/>
  <c r="AI848" i="25"/>
  <c r="AI847" i="25"/>
  <c r="AI846" i="25"/>
  <c r="AI845" i="25"/>
  <c r="AI844" i="25"/>
  <c r="AI843" i="25"/>
  <c r="AI842" i="25"/>
  <c r="AI841" i="25"/>
  <c r="AI840" i="25"/>
  <c r="AI839" i="25"/>
  <c r="AI838" i="25"/>
  <c r="AI837" i="25"/>
  <c r="AI836" i="25"/>
  <c r="AI835" i="25"/>
  <c r="AI834" i="25"/>
  <c r="AI833" i="25"/>
  <c r="AI832" i="25"/>
  <c r="AI831" i="25"/>
  <c r="AI830" i="25"/>
  <c r="AI829" i="25"/>
  <c r="AI828" i="25"/>
  <c r="AI827" i="25"/>
  <c r="AI826" i="25"/>
  <c r="AI825" i="25"/>
  <c r="AI824" i="25"/>
  <c r="AI823" i="25"/>
  <c r="AI822" i="25"/>
  <c r="AI821" i="25"/>
  <c r="AI820" i="25"/>
  <c r="AI819" i="25"/>
  <c r="AI818" i="25"/>
  <c r="AI817" i="25"/>
  <c r="AI816" i="25"/>
  <c r="AI815" i="25"/>
  <c r="AI814" i="25"/>
  <c r="AI813" i="25"/>
  <c r="AI812" i="25"/>
  <c r="AI811" i="25"/>
  <c r="AI810" i="25"/>
  <c r="AI809" i="25"/>
  <c r="AI808" i="25"/>
  <c r="AI807" i="25"/>
  <c r="AI806" i="25"/>
  <c r="AI805" i="25"/>
  <c r="AI804" i="25"/>
  <c r="AI803" i="25"/>
  <c r="AI802" i="25"/>
  <c r="AI801" i="25"/>
  <c r="AI800" i="25"/>
  <c r="AI799" i="25"/>
  <c r="AI798" i="25"/>
  <c r="AI797" i="25"/>
  <c r="AI796" i="25"/>
  <c r="AI795" i="25"/>
  <c r="AI794" i="25"/>
  <c r="AI793" i="25"/>
  <c r="AI792" i="25"/>
  <c r="AI791" i="25"/>
  <c r="AI790" i="25"/>
  <c r="AI789" i="25"/>
  <c r="AI788" i="25"/>
  <c r="AI787" i="25"/>
  <c r="AI786" i="25"/>
  <c r="AI785" i="25"/>
  <c r="AI784" i="25"/>
  <c r="AI783" i="25"/>
  <c r="AI782" i="25"/>
  <c r="AI781" i="25"/>
  <c r="AI780" i="25"/>
  <c r="AI779" i="25"/>
  <c r="AI778" i="25"/>
  <c r="AI777" i="25"/>
  <c r="AI776" i="25"/>
  <c r="AI775" i="25"/>
  <c r="AI774" i="25"/>
  <c r="AI773" i="25"/>
  <c r="AI772" i="25"/>
  <c r="AI771" i="25"/>
  <c r="AI770" i="25"/>
  <c r="AI769" i="25"/>
  <c r="AI768" i="25"/>
  <c r="AI767" i="25"/>
  <c r="AI766" i="25"/>
  <c r="AI765" i="25"/>
  <c r="AI764" i="25"/>
  <c r="AI763" i="25"/>
  <c r="AI762" i="25"/>
  <c r="AI761" i="25"/>
  <c r="AI760" i="25"/>
  <c r="AI759" i="25"/>
  <c r="AI758" i="25"/>
  <c r="AI757" i="25"/>
  <c r="AI756" i="25"/>
  <c r="AI755" i="25"/>
  <c r="AI754" i="25"/>
  <c r="AI753" i="25"/>
  <c r="AI752" i="25"/>
  <c r="AI751" i="25"/>
  <c r="AI750" i="25"/>
  <c r="AI749" i="25"/>
  <c r="AI748" i="25"/>
  <c r="AI747" i="25"/>
  <c r="AI746" i="25"/>
  <c r="AI745" i="25"/>
  <c r="AI744" i="25"/>
  <c r="AI743" i="25"/>
  <c r="AI742" i="25"/>
  <c r="AI741" i="25"/>
  <c r="AI740" i="25"/>
  <c r="AI739" i="25"/>
  <c r="AI738" i="25"/>
  <c r="AI737" i="25"/>
  <c r="AI736" i="25"/>
  <c r="AI735" i="25"/>
  <c r="AI734" i="25"/>
  <c r="AI733" i="25"/>
  <c r="AI732" i="25"/>
  <c r="AI731" i="25"/>
  <c r="AI730" i="25"/>
  <c r="AI729" i="25"/>
  <c r="AI728" i="25"/>
  <c r="AI727" i="25"/>
  <c r="AI726" i="25"/>
  <c r="AI725" i="25"/>
  <c r="AI724" i="25"/>
  <c r="AI723" i="25"/>
  <c r="AI722" i="25"/>
  <c r="AI721" i="25"/>
  <c r="AI720" i="25"/>
  <c r="AI719" i="25"/>
  <c r="AI718" i="25"/>
  <c r="AI717" i="25"/>
  <c r="AI716" i="25"/>
  <c r="AI715" i="25"/>
  <c r="AI714" i="25"/>
  <c r="AI713" i="25"/>
  <c r="AI712" i="25"/>
  <c r="AI711" i="25"/>
  <c r="AI710" i="25"/>
  <c r="AI709" i="25"/>
  <c r="AI708" i="25"/>
  <c r="AI707" i="25"/>
  <c r="AI706" i="25"/>
  <c r="AI705" i="25"/>
  <c r="AI704" i="25"/>
  <c r="AI703" i="25"/>
  <c r="AI702" i="25"/>
  <c r="AI701" i="25"/>
  <c r="AI700" i="25"/>
  <c r="AI699" i="25"/>
  <c r="AI698" i="25"/>
  <c r="AI697" i="25"/>
  <c r="AI696" i="25"/>
  <c r="AI695" i="25"/>
  <c r="AI694" i="25"/>
  <c r="AI693" i="25"/>
  <c r="AI692" i="25"/>
  <c r="AI691" i="25"/>
  <c r="AI690" i="25"/>
  <c r="AI689" i="25"/>
  <c r="AI688" i="25"/>
  <c r="AI687" i="25"/>
  <c r="AI686" i="25"/>
  <c r="AI685" i="25"/>
  <c r="AI684" i="25"/>
  <c r="AI683" i="25"/>
  <c r="AI682" i="25"/>
  <c r="AI681" i="25"/>
  <c r="AI680" i="25"/>
  <c r="AI679" i="25"/>
  <c r="AI678" i="25"/>
  <c r="AI677" i="25"/>
  <c r="AI676" i="25"/>
  <c r="AI675" i="25"/>
  <c r="AI674" i="25"/>
  <c r="AI673" i="25"/>
  <c r="AI672" i="25"/>
  <c r="AI671" i="25"/>
  <c r="AI670" i="25"/>
  <c r="AI669" i="25"/>
  <c r="AI668" i="25"/>
  <c r="AI667" i="25"/>
  <c r="AI666" i="25"/>
  <c r="AI665" i="25"/>
  <c r="AI664" i="25"/>
  <c r="AI663" i="25"/>
  <c r="AI662" i="25"/>
  <c r="AI661" i="25"/>
  <c r="AI660" i="25"/>
  <c r="AI659" i="25"/>
  <c r="AI658" i="25"/>
  <c r="AI657" i="25"/>
  <c r="AI656" i="25"/>
  <c r="AI655" i="25"/>
  <c r="AI654" i="25"/>
  <c r="AI653" i="25"/>
  <c r="AI652" i="25"/>
  <c r="AI651" i="25"/>
  <c r="AI650" i="25"/>
  <c r="AI649" i="25"/>
  <c r="AI648" i="25"/>
  <c r="AI647" i="25"/>
  <c r="AI646" i="25"/>
  <c r="AI645" i="25"/>
  <c r="AI644" i="25"/>
  <c r="AI643" i="25"/>
  <c r="AI642" i="25"/>
  <c r="AI641" i="25"/>
  <c r="AI640" i="25"/>
  <c r="AI639" i="25"/>
  <c r="AI638" i="25"/>
  <c r="AI637" i="25"/>
  <c r="AI636" i="25"/>
  <c r="AI635" i="25"/>
  <c r="AI634" i="25"/>
  <c r="AI633" i="25"/>
  <c r="AI632" i="25"/>
  <c r="AI631" i="25"/>
  <c r="AI630" i="25"/>
  <c r="AI629" i="25"/>
  <c r="AI628" i="25"/>
  <c r="AI627" i="25"/>
  <c r="AI626" i="25"/>
  <c r="AI625" i="25"/>
  <c r="AI624" i="25"/>
  <c r="AI623" i="25"/>
  <c r="AI622" i="25"/>
  <c r="AI621" i="25"/>
  <c r="AI620" i="25"/>
  <c r="AI619" i="25"/>
  <c r="AI618" i="25"/>
  <c r="AI617" i="25"/>
  <c r="AI616" i="25"/>
  <c r="AI615" i="25"/>
  <c r="AI614" i="25"/>
  <c r="AI613" i="25"/>
  <c r="AI612" i="25"/>
  <c r="AI611" i="25"/>
  <c r="AI610" i="25"/>
  <c r="AI609" i="25"/>
  <c r="AI608" i="25"/>
  <c r="AI607" i="25"/>
  <c r="AI606" i="25"/>
  <c r="AI605" i="25"/>
  <c r="AI604" i="25"/>
  <c r="AI603" i="25"/>
  <c r="AI602" i="25"/>
  <c r="AI601" i="25"/>
  <c r="AI600" i="25"/>
  <c r="AI599" i="25"/>
  <c r="AI598" i="25"/>
  <c r="AI597" i="25"/>
  <c r="AI596" i="25"/>
  <c r="AI595" i="25"/>
  <c r="AI594" i="25"/>
  <c r="AI593" i="25"/>
  <c r="AI592" i="25"/>
  <c r="AI591" i="25"/>
  <c r="AI590" i="25"/>
  <c r="AI589" i="25"/>
  <c r="AI588" i="25"/>
  <c r="AI587" i="25"/>
  <c r="AI586" i="25"/>
  <c r="AI585" i="25"/>
  <c r="AI584" i="25"/>
  <c r="AI583" i="25"/>
  <c r="AI582" i="25"/>
  <c r="AI581" i="25"/>
  <c r="AI580" i="25"/>
  <c r="AI579" i="25"/>
  <c r="AI578" i="25"/>
  <c r="AI577" i="25"/>
  <c r="AI576" i="25"/>
  <c r="AI575" i="25"/>
  <c r="AI574" i="25"/>
  <c r="AI573" i="25"/>
  <c r="AI572" i="25"/>
  <c r="AI571" i="25"/>
  <c r="AI570" i="25"/>
  <c r="AI569" i="25"/>
  <c r="AI568" i="25"/>
  <c r="AI567" i="25"/>
  <c r="AI566" i="25"/>
  <c r="AI565" i="25"/>
  <c r="AI564" i="25"/>
  <c r="AI563" i="25"/>
  <c r="AI562" i="25"/>
  <c r="AI561" i="25"/>
  <c r="AI560" i="25"/>
  <c r="AI559" i="25"/>
  <c r="AI558" i="25"/>
  <c r="AI557" i="25"/>
  <c r="AI556" i="25"/>
  <c r="AI555" i="25"/>
  <c r="AI554" i="25"/>
  <c r="AI553" i="25"/>
  <c r="AI552" i="25"/>
  <c r="AI551" i="25"/>
  <c r="AI550" i="25"/>
  <c r="AI549" i="25"/>
  <c r="AI548" i="25"/>
  <c r="AI547" i="25"/>
  <c r="AI546" i="25"/>
  <c r="AI545" i="25"/>
  <c r="AI544" i="25"/>
  <c r="AI543" i="25"/>
  <c r="AI542" i="25"/>
  <c r="AI541" i="25"/>
  <c r="AI540" i="25"/>
  <c r="AI539" i="25"/>
  <c r="AI538" i="25"/>
  <c r="AI537" i="25"/>
  <c r="AI536" i="25"/>
  <c r="AI535" i="25"/>
  <c r="AI534" i="25"/>
  <c r="AI533" i="25"/>
  <c r="AI532" i="25"/>
  <c r="AI531" i="25"/>
  <c r="AI530" i="25"/>
  <c r="AI529" i="25"/>
  <c r="AI528" i="25"/>
  <c r="AI527" i="25"/>
  <c r="AI526" i="25"/>
  <c r="AI525" i="25"/>
  <c r="AI524" i="25"/>
  <c r="AI523" i="25"/>
  <c r="AI522" i="25"/>
  <c r="AI521" i="25"/>
  <c r="AI520" i="25"/>
  <c r="AI519" i="25"/>
  <c r="AI518" i="25"/>
  <c r="AI517" i="25"/>
  <c r="AI516" i="25"/>
  <c r="AI515" i="25"/>
  <c r="AI514" i="25"/>
  <c r="AI513" i="25"/>
  <c r="AI512" i="25"/>
  <c r="AI511" i="25"/>
  <c r="AI510" i="25"/>
  <c r="AI509" i="25"/>
  <c r="AI508" i="25"/>
  <c r="AI507" i="25"/>
  <c r="AI506" i="25"/>
  <c r="AI505" i="25"/>
  <c r="AI504" i="25"/>
  <c r="AI503" i="25"/>
  <c r="AI502" i="25"/>
  <c r="AI501" i="25"/>
  <c r="AI500" i="25"/>
  <c r="AI499" i="25"/>
  <c r="AI498" i="25"/>
  <c r="AI497" i="25"/>
  <c r="AI496" i="25"/>
  <c r="AI495" i="25"/>
  <c r="AI494" i="25"/>
  <c r="AI493" i="25"/>
  <c r="AI492" i="25"/>
  <c r="AI491" i="25"/>
  <c r="AI490" i="25"/>
  <c r="AI489" i="25"/>
  <c r="AI488" i="25"/>
  <c r="AI487" i="25"/>
  <c r="AI486" i="25"/>
  <c r="AI485" i="25"/>
  <c r="AI484" i="25"/>
  <c r="AI483" i="25"/>
  <c r="AI482" i="25"/>
  <c r="AI481" i="25"/>
  <c r="AI480" i="25"/>
  <c r="AI479" i="25"/>
  <c r="AI478" i="25"/>
  <c r="AI477" i="25"/>
  <c r="AI476" i="25"/>
  <c r="AI475" i="25"/>
  <c r="AI474" i="25"/>
  <c r="AI473" i="25"/>
  <c r="AI472" i="25"/>
  <c r="AI471" i="25"/>
  <c r="AI470" i="25"/>
  <c r="AI469" i="25"/>
  <c r="AI468" i="25"/>
  <c r="AI467" i="25"/>
  <c r="AI466" i="25"/>
  <c r="AI465" i="25"/>
  <c r="AI464" i="25"/>
  <c r="AI463" i="25"/>
  <c r="AI462" i="25"/>
  <c r="AI461" i="25"/>
  <c r="AI460" i="25"/>
  <c r="AI459" i="25"/>
  <c r="AI458" i="25"/>
  <c r="AI457" i="25"/>
  <c r="AI456" i="25"/>
  <c r="AI455" i="25"/>
  <c r="AI454" i="25"/>
  <c r="AI453" i="25"/>
  <c r="AI452" i="25"/>
  <c r="AI451" i="25"/>
  <c r="AI450" i="25"/>
  <c r="AI449" i="25"/>
  <c r="AI448" i="25"/>
  <c r="AI447" i="25"/>
  <c r="AI446" i="25"/>
  <c r="AI445" i="25"/>
  <c r="AI444" i="25"/>
  <c r="AI443" i="25"/>
  <c r="AI442" i="25"/>
  <c r="AI441" i="25"/>
  <c r="AI440" i="25"/>
  <c r="AI439" i="25"/>
  <c r="AI438" i="25"/>
  <c r="AI437" i="25"/>
  <c r="AI436" i="25"/>
  <c r="AI435" i="25"/>
  <c r="AI434" i="25"/>
  <c r="AI433" i="25"/>
  <c r="AI432" i="25"/>
  <c r="AI431" i="25"/>
  <c r="AI430" i="25"/>
  <c r="AI429" i="25"/>
  <c r="AI428" i="25"/>
  <c r="AI427" i="25"/>
  <c r="AI426" i="25"/>
  <c r="AI425" i="25"/>
  <c r="AI424" i="25"/>
  <c r="AI423" i="25"/>
  <c r="AI422" i="25"/>
  <c r="AI421" i="25"/>
  <c r="AI420" i="25"/>
  <c r="AI419" i="25"/>
  <c r="AI418" i="25"/>
  <c r="AI417" i="25"/>
  <c r="AI416" i="25"/>
  <c r="AI415" i="25"/>
  <c r="AI414" i="25"/>
  <c r="AI413" i="25"/>
  <c r="AI412" i="25"/>
  <c r="AI411" i="25"/>
  <c r="AI410" i="25"/>
  <c r="AI409" i="25"/>
  <c r="AI408" i="25"/>
  <c r="AI407" i="25"/>
  <c r="AI406" i="25"/>
  <c r="AI405" i="25"/>
  <c r="AI404" i="25"/>
  <c r="AI403" i="25"/>
  <c r="AI402" i="25"/>
  <c r="AI401" i="25"/>
  <c r="AI400" i="25"/>
  <c r="AI399" i="25"/>
  <c r="AI398" i="25"/>
  <c r="AI397" i="25"/>
  <c r="AI396" i="25"/>
  <c r="AI395" i="25"/>
  <c r="AI394" i="25"/>
  <c r="AI393" i="25"/>
  <c r="AI392" i="25"/>
  <c r="AI391" i="25"/>
  <c r="AI390" i="25"/>
  <c r="AI389" i="25"/>
  <c r="AI388" i="25"/>
  <c r="AI387" i="25"/>
  <c r="AI386" i="25"/>
  <c r="AI385" i="25"/>
  <c r="AI384" i="25"/>
  <c r="AI383" i="25"/>
  <c r="AI382" i="25"/>
  <c r="AI381" i="25"/>
  <c r="AI380" i="25"/>
  <c r="AI379" i="25"/>
  <c r="AI378" i="25"/>
  <c r="AI377" i="25"/>
  <c r="AI376" i="25"/>
  <c r="AI375" i="25"/>
  <c r="AI374" i="25"/>
  <c r="AI373" i="25"/>
  <c r="AI372" i="25"/>
  <c r="AI371" i="25"/>
  <c r="AI370" i="25"/>
  <c r="AI369" i="25"/>
  <c r="AI368" i="25"/>
  <c r="AI367" i="25"/>
  <c r="AI366" i="25"/>
  <c r="AI365" i="25"/>
  <c r="AI364" i="25"/>
  <c r="AI363" i="25"/>
  <c r="AI362" i="25"/>
  <c r="AI361" i="25"/>
  <c r="AI360" i="25"/>
  <c r="AI359" i="25"/>
  <c r="AI358" i="25"/>
  <c r="AI357" i="25"/>
  <c r="AI356" i="25"/>
  <c r="AI355" i="25"/>
  <c r="AI354" i="25"/>
  <c r="AI353" i="25"/>
  <c r="AI352" i="25"/>
  <c r="AI351" i="25"/>
  <c r="AI350" i="25"/>
  <c r="AI349" i="25"/>
  <c r="AI348" i="25"/>
  <c r="AI347" i="25"/>
  <c r="AI346" i="25"/>
  <c r="AI345" i="25"/>
  <c r="AI344" i="25"/>
  <c r="AI343" i="25"/>
  <c r="AI342" i="25"/>
  <c r="AI341" i="25"/>
  <c r="AI340" i="25"/>
  <c r="AI339" i="25"/>
  <c r="AI338" i="25"/>
  <c r="AI337" i="25"/>
  <c r="AI336" i="25"/>
  <c r="AI335" i="25"/>
  <c r="AI334" i="25"/>
  <c r="AI333" i="25"/>
  <c r="AI332" i="25"/>
  <c r="AI331" i="25"/>
  <c r="AI330" i="25"/>
  <c r="AI329" i="25"/>
  <c r="AI328" i="25"/>
  <c r="AI327" i="25"/>
  <c r="AI326" i="25"/>
  <c r="AI325" i="25"/>
  <c r="AI324" i="25"/>
  <c r="AI323" i="25"/>
  <c r="AI322" i="25"/>
  <c r="AI321" i="25"/>
  <c r="AI320" i="25"/>
  <c r="AI319" i="25"/>
  <c r="AI318" i="25"/>
  <c r="AI317" i="25"/>
  <c r="AI316" i="25"/>
  <c r="AI315" i="25"/>
  <c r="AI314" i="25"/>
  <c r="AI313" i="25"/>
  <c r="AI312" i="25"/>
  <c r="AI311" i="25"/>
  <c r="AI310" i="25"/>
  <c r="AI309" i="25"/>
  <c r="AI308" i="25"/>
  <c r="AI307" i="25"/>
  <c r="AI306" i="25"/>
  <c r="AI305" i="25"/>
  <c r="AI304" i="25"/>
  <c r="AI303" i="25"/>
  <c r="AI302" i="25"/>
  <c r="AI301" i="25"/>
  <c r="AI300" i="25"/>
  <c r="AI299" i="25"/>
  <c r="AI298" i="25"/>
  <c r="AI297" i="25"/>
  <c r="AI296" i="25"/>
  <c r="AI295" i="25"/>
  <c r="AI294" i="25"/>
  <c r="AI293" i="25"/>
  <c r="AI292" i="25"/>
  <c r="AI291" i="25"/>
  <c r="AI290" i="25"/>
  <c r="AI289" i="25"/>
  <c r="AI288" i="25"/>
  <c r="AI287" i="25"/>
  <c r="AI286" i="25"/>
  <c r="AI285" i="25"/>
  <c r="AI284" i="25"/>
  <c r="AI283" i="25"/>
  <c r="AI282" i="25"/>
  <c r="AI281" i="25"/>
  <c r="AI280" i="25"/>
  <c r="AI279" i="25"/>
  <c r="AI278" i="25"/>
  <c r="AI277" i="25"/>
  <c r="AI276" i="25"/>
  <c r="AI275" i="25"/>
  <c r="AI274" i="25"/>
  <c r="AI273" i="25"/>
  <c r="AI272" i="25"/>
  <c r="AI271" i="25"/>
  <c r="AI270" i="25"/>
  <c r="AI269" i="25"/>
  <c r="AI268" i="25"/>
  <c r="AI267" i="25"/>
  <c r="AI266" i="25"/>
  <c r="AI265" i="25"/>
  <c r="AI264" i="25"/>
  <c r="AI263" i="25"/>
  <c r="AI262" i="25"/>
  <c r="AI261" i="25"/>
  <c r="AI260" i="25"/>
  <c r="AI259" i="25"/>
  <c r="AI258" i="25"/>
  <c r="AI257" i="25"/>
  <c r="AI256" i="25"/>
  <c r="AI255" i="25"/>
  <c r="AI254" i="25"/>
  <c r="AI253" i="25"/>
  <c r="AI252" i="25"/>
  <c r="AI251" i="25"/>
  <c r="AI250" i="25"/>
  <c r="AI249" i="25"/>
  <c r="AI248" i="25"/>
  <c r="AI247" i="25"/>
  <c r="AI246" i="25"/>
  <c r="AI245" i="25"/>
  <c r="AI244" i="25"/>
  <c r="AI243" i="25"/>
  <c r="AI242" i="25"/>
  <c r="AI241" i="25"/>
  <c r="AI240" i="25"/>
  <c r="AI239" i="25"/>
  <c r="AI238" i="25"/>
  <c r="AI237" i="25"/>
  <c r="AI236" i="25"/>
  <c r="AI235" i="25"/>
  <c r="AI234" i="25"/>
  <c r="AI233" i="25"/>
  <c r="AI232" i="25"/>
  <c r="AI231" i="25"/>
  <c r="AI230" i="25"/>
  <c r="AI229" i="25"/>
  <c r="AI228" i="25"/>
  <c r="AI227" i="25"/>
  <c r="AI226" i="25"/>
  <c r="AI225" i="25"/>
  <c r="AI224" i="25"/>
  <c r="AI223" i="25"/>
  <c r="AI222" i="25"/>
  <c r="AI221" i="25"/>
  <c r="AI220" i="25"/>
  <c r="AI219" i="25"/>
  <c r="AI218" i="25"/>
  <c r="AI217" i="25"/>
  <c r="AI216" i="25"/>
  <c r="AI215" i="25"/>
  <c r="AI214" i="25"/>
  <c r="AI213" i="25"/>
  <c r="AI212" i="25"/>
  <c r="AI211" i="25"/>
  <c r="AI210" i="25"/>
  <c r="AI209" i="25"/>
  <c r="AI208" i="25"/>
  <c r="AI207" i="25"/>
  <c r="AI206" i="25"/>
  <c r="AI205" i="25"/>
  <c r="AI204" i="25"/>
  <c r="AI203" i="25"/>
  <c r="AI202" i="25"/>
  <c r="AI201" i="25"/>
  <c r="AI200" i="25"/>
  <c r="AI199" i="25"/>
  <c r="AI198" i="25"/>
  <c r="AI197" i="25"/>
  <c r="AI196" i="25"/>
  <c r="AI195" i="25"/>
  <c r="AI194" i="25"/>
  <c r="AI193" i="25"/>
  <c r="AI192" i="25"/>
  <c r="AI191" i="25"/>
  <c r="AI190" i="25"/>
  <c r="AI189" i="25"/>
  <c r="AI188" i="25"/>
  <c r="AI187" i="25"/>
  <c r="AI186" i="25"/>
  <c r="AI185" i="25"/>
  <c r="AI184" i="25"/>
  <c r="AI183" i="25"/>
  <c r="AI182" i="25"/>
  <c r="AI181" i="25"/>
  <c r="AI180" i="25"/>
  <c r="AI179" i="25"/>
  <c r="AI178" i="25"/>
  <c r="AI177" i="25"/>
  <c r="AI176" i="25"/>
  <c r="AI175" i="25"/>
  <c r="AI174" i="25"/>
  <c r="AI173" i="25"/>
  <c r="AI172" i="25"/>
  <c r="AI171" i="25"/>
  <c r="AI170" i="25"/>
  <c r="AI169" i="25"/>
  <c r="AI168" i="25"/>
  <c r="AI167" i="25"/>
  <c r="AI166" i="25"/>
  <c r="AI165" i="25"/>
  <c r="AI164" i="25"/>
  <c r="AI163" i="25"/>
  <c r="AI162" i="25"/>
  <c r="AI161" i="25"/>
  <c r="AI160" i="25"/>
  <c r="AI159" i="25"/>
  <c r="AI158" i="25"/>
  <c r="AI157" i="25"/>
  <c r="AI156" i="25"/>
  <c r="AI155" i="25"/>
  <c r="AI154" i="25"/>
  <c r="AI153" i="25"/>
  <c r="AI152" i="25"/>
  <c r="AI151" i="25"/>
  <c r="AI150" i="25"/>
  <c r="AI149" i="25"/>
  <c r="AI148" i="25"/>
  <c r="AI147" i="25"/>
  <c r="AI146" i="25"/>
  <c r="AI145" i="25"/>
  <c r="AI144" i="25"/>
  <c r="AI143" i="25"/>
  <c r="AI142" i="25"/>
  <c r="AI141" i="25"/>
  <c r="AI140" i="25"/>
  <c r="AI139" i="25"/>
  <c r="AI138" i="25"/>
  <c r="AI137" i="25"/>
  <c r="AI136" i="25"/>
  <c r="AI135" i="25"/>
  <c r="AI134" i="25"/>
  <c r="AI133" i="25"/>
  <c r="AI132" i="25"/>
  <c r="AI131" i="25"/>
  <c r="AI130" i="25"/>
  <c r="AI129" i="25"/>
  <c r="AI128" i="25"/>
  <c r="AI127" i="25"/>
  <c r="AI126" i="25"/>
  <c r="AI125" i="25"/>
  <c r="AI124" i="25"/>
  <c r="AI123" i="25"/>
  <c r="AI122" i="25"/>
  <c r="AI121" i="25"/>
  <c r="AI120" i="25"/>
  <c r="AI119" i="25"/>
  <c r="AI118" i="25"/>
  <c r="AI117" i="25"/>
  <c r="AI116" i="25"/>
  <c r="AI115" i="25"/>
  <c r="AI114" i="25"/>
  <c r="AI113" i="25"/>
  <c r="AI112" i="25"/>
  <c r="AI111" i="25"/>
  <c r="AI110" i="25"/>
  <c r="AI109" i="25"/>
  <c r="AI108" i="25"/>
  <c r="AI107" i="25"/>
  <c r="AI106" i="25"/>
  <c r="AI105" i="25"/>
  <c r="AI104" i="25"/>
  <c r="AI103" i="25"/>
  <c r="AI102" i="25"/>
  <c r="AI101" i="25"/>
  <c r="AI100" i="25"/>
  <c r="AI99" i="25"/>
  <c r="AI98" i="25"/>
  <c r="AI97" i="25"/>
  <c r="AI96" i="25"/>
  <c r="AI95" i="25"/>
  <c r="AI94" i="25"/>
  <c r="AI93" i="25"/>
  <c r="AI92" i="25"/>
  <c r="AI91" i="25"/>
  <c r="AI90" i="25"/>
  <c r="AI89" i="25"/>
  <c r="AI88" i="25"/>
  <c r="AI87" i="25"/>
  <c r="AI86" i="25"/>
  <c r="AI85" i="25"/>
  <c r="AI84" i="25"/>
  <c r="AI83" i="25"/>
  <c r="AI82" i="25"/>
  <c r="AI81" i="25"/>
  <c r="AI80" i="25"/>
  <c r="AI79" i="25"/>
  <c r="AI78" i="25"/>
  <c r="AI77" i="25"/>
  <c r="AI76" i="25"/>
  <c r="AI75" i="25"/>
  <c r="AI74" i="25"/>
  <c r="AI73" i="25"/>
  <c r="AI72" i="25"/>
  <c r="AI71" i="25"/>
  <c r="AI70" i="25"/>
  <c r="AI69" i="25"/>
  <c r="AI68" i="25"/>
  <c r="AI67" i="25"/>
  <c r="AI66" i="25"/>
  <c r="AI65" i="25"/>
  <c r="AI64" i="25"/>
  <c r="AI63" i="25"/>
  <c r="AI62" i="25"/>
  <c r="AI61" i="25"/>
  <c r="AI60" i="25"/>
  <c r="AI59" i="25"/>
  <c r="AI58" i="25"/>
  <c r="AI57" i="25"/>
  <c r="AI56" i="25"/>
  <c r="AI55" i="25"/>
  <c r="AI54" i="25"/>
  <c r="AI53" i="25"/>
  <c r="AI52" i="25"/>
  <c r="AI51" i="25"/>
  <c r="AI50" i="25"/>
  <c r="AI49" i="25"/>
  <c r="AI48" i="25"/>
  <c r="AI47" i="25"/>
  <c r="AI46" i="25"/>
  <c r="AI45" i="25"/>
  <c r="AI44" i="25"/>
  <c r="AI43" i="25"/>
  <c r="AI42" i="25"/>
  <c r="AI41" i="25"/>
  <c r="AI40" i="25"/>
  <c r="AI39" i="25"/>
  <c r="AI38" i="25"/>
  <c r="AI37" i="25"/>
  <c r="AI36" i="25"/>
  <c r="AI35" i="25"/>
  <c r="AI34" i="25"/>
  <c r="AI33" i="25"/>
  <c r="AI32" i="25"/>
  <c r="AI31" i="25"/>
  <c r="AI30" i="25"/>
  <c r="AI29" i="25"/>
  <c r="AI28" i="25"/>
  <c r="AI27" i="25"/>
  <c r="AI26" i="25"/>
  <c r="AI25" i="25"/>
  <c r="AI24" i="25"/>
  <c r="AI23" i="25"/>
  <c r="AI22" i="25"/>
  <c r="AI21" i="25"/>
  <c r="AI20" i="25"/>
  <c r="AI19" i="25"/>
  <c r="AI18" i="25"/>
  <c r="AI17" i="25"/>
  <c r="AI16" i="25"/>
  <c r="AI15" i="25"/>
  <c r="AI14" i="25"/>
  <c r="AI13" i="25"/>
  <c r="AI12" i="25"/>
  <c r="AI11" i="25"/>
  <c r="AI10" i="25"/>
  <c r="AI9" i="25"/>
  <c r="AI8" i="25"/>
  <c r="AI7" i="25"/>
  <c r="AI6" i="25"/>
  <c r="AI5" i="25"/>
  <c r="AI4" i="25"/>
  <c r="AI3" i="25"/>
  <c r="AI2" i="25"/>
  <c r="AH881" i="25"/>
  <c r="AH880" i="25"/>
  <c r="AH879" i="25"/>
  <c r="AH878" i="25"/>
  <c r="AH877" i="25"/>
  <c r="AH876" i="25"/>
  <c r="AH875" i="25"/>
  <c r="AH874" i="25"/>
  <c r="AH873" i="25"/>
  <c r="AH872" i="25"/>
  <c r="AH871" i="25"/>
  <c r="AH870" i="25"/>
  <c r="AH869" i="25"/>
  <c r="AH868" i="25"/>
  <c r="AH867" i="25"/>
  <c r="AH866" i="25"/>
  <c r="AH865" i="25"/>
  <c r="AH864" i="25"/>
  <c r="AH863" i="25"/>
  <c r="AH862" i="25"/>
  <c r="AH861" i="25"/>
  <c r="AH860" i="25"/>
  <c r="AH859" i="25"/>
  <c r="AH858" i="25"/>
  <c r="AH857" i="25"/>
  <c r="AH856" i="25"/>
  <c r="AH855" i="25"/>
  <c r="AH854" i="25"/>
  <c r="AH853" i="25"/>
  <c r="AH852" i="25"/>
  <c r="AH851" i="25"/>
  <c r="AH850" i="25"/>
  <c r="AH849" i="25"/>
  <c r="AH848" i="25"/>
  <c r="AH847" i="25"/>
  <c r="AH846" i="25"/>
  <c r="AH845" i="25"/>
  <c r="AH844" i="25"/>
  <c r="AH843" i="25"/>
  <c r="AH842" i="25"/>
  <c r="AH841" i="25"/>
  <c r="AH840" i="25"/>
  <c r="AH839" i="25"/>
  <c r="AH838" i="25"/>
  <c r="AH837" i="25"/>
  <c r="AH836" i="25"/>
  <c r="AH835" i="25"/>
  <c r="AH834" i="25"/>
  <c r="AH833" i="25"/>
  <c r="AH832" i="25"/>
  <c r="AH831" i="25"/>
  <c r="AH830" i="25"/>
  <c r="AH829" i="25"/>
  <c r="AH828" i="25"/>
  <c r="AH827" i="25"/>
  <c r="AH826" i="25"/>
  <c r="AH825" i="25"/>
  <c r="AH824" i="25"/>
  <c r="AH823" i="25"/>
  <c r="AH822" i="25"/>
  <c r="AH821" i="25"/>
  <c r="AH820" i="25"/>
  <c r="AH819" i="25"/>
  <c r="AH818" i="25"/>
  <c r="AH817" i="25"/>
  <c r="AH816" i="25"/>
  <c r="AH815" i="25"/>
  <c r="AH814" i="25"/>
  <c r="AH813" i="25"/>
  <c r="AH812" i="25"/>
  <c r="AH811" i="25"/>
  <c r="AH810" i="25"/>
  <c r="AH809" i="25"/>
  <c r="AH808" i="25"/>
  <c r="AH807" i="25"/>
  <c r="AH806" i="25"/>
  <c r="AH805" i="25"/>
  <c r="AH804" i="25"/>
  <c r="AH803" i="25"/>
  <c r="AH802" i="25"/>
  <c r="AH801" i="25"/>
  <c r="AH800" i="25"/>
  <c r="AH799" i="25"/>
  <c r="AH798" i="25"/>
  <c r="AH797" i="25"/>
  <c r="AH796" i="25"/>
  <c r="AH795" i="25"/>
  <c r="AH794" i="25"/>
  <c r="AH793" i="25"/>
  <c r="AH792" i="25"/>
  <c r="AH791" i="25"/>
  <c r="AH790" i="25"/>
  <c r="AH789" i="25"/>
  <c r="AH788" i="25"/>
  <c r="AH787" i="25"/>
  <c r="AH786" i="25"/>
  <c r="AH785" i="25"/>
  <c r="AH784" i="25"/>
  <c r="AH783" i="25"/>
  <c r="AH782" i="25"/>
  <c r="AH781" i="25"/>
  <c r="AH780" i="25"/>
  <c r="AH779" i="25"/>
  <c r="AH778" i="25"/>
  <c r="AH777" i="25"/>
  <c r="AH776" i="25"/>
  <c r="AH775" i="25"/>
  <c r="AH774" i="25"/>
  <c r="AH773" i="25"/>
  <c r="AH772" i="25"/>
  <c r="AH771" i="25"/>
  <c r="AH770" i="25"/>
  <c r="AH769" i="25"/>
  <c r="AH768" i="25"/>
  <c r="AH767" i="25"/>
  <c r="AH766" i="25"/>
  <c r="AH765" i="25"/>
  <c r="AH764" i="25"/>
  <c r="AH763" i="25"/>
  <c r="AH762" i="25"/>
  <c r="AH761" i="25"/>
  <c r="AH760" i="25"/>
  <c r="AH759" i="25"/>
  <c r="AH758" i="25"/>
  <c r="AH757" i="25"/>
  <c r="AH756" i="25"/>
  <c r="AH755" i="25"/>
  <c r="AH754" i="25"/>
  <c r="AH753" i="25"/>
  <c r="AH752" i="25"/>
  <c r="AH751" i="25"/>
  <c r="AH750" i="25"/>
  <c r="AH749" i="25"/>
  <c r="AH748" i="25"/>
  <c r="AH747" i="25"/>
  <c r="AH746" i="25"/>
  <c r="AH745" i="25"/>
  <c r="AH744" i="25"/>
  <c r="AH743" i="25"/>
  <c r="AH742" i="25"/>
  <c r="AH741" i="25"/>
  <c r="AH740" i="25"/>
  <c r="AH739" i="25"/>
  <c r="AH738" i="25"/>
  <c r="AH737" i="25"/>
  <c r="AH736" i="25"/>
  <c r="AH735" i="25"/>
  <c r="AH734" i="25"/>
  <c r="AH733" i="25"/>
  <c r="AH732" i="25"/>
  <c r="AH731" i="25"/>
  <c r="AH730" i="25"/>
  <c r="AH729" i="25"/>
  <c r="AH728" i="25"/>
  <c r="AH727" i="25"/>
  <c r="AH726" i="25"/>
  <c r="AH725" i="25"/>
  <c r="AH724" i="25"/>
  <c r="AH723" i="25"/>
  <c r="AH722" i="25"/>
  <c r="AH721" i="25"/>
  <c r="AH720" i="25"/>
  <c r="AH719" i="25"/>
  <c r="AH718" i="25"/>
  <c r="AH717" i="25"/>
  <c r="AH716" i="25"/>
  <c r="AH715" i="25"/>
  <c r="AH714" i="25"/>
  <c r="AH713" i="25"/>
  <c r="AH712" i="25"/>
  <c r="AH711" i="25"/>
  <c r="AH710" i="25"/>
  <c r="AH709" i="25"/>
  <c r="AH708" i="25"/>
  <c r="AH707" i="25"/>
  <c r="AH706" i="25"/>
  <c r="AH705" i="25"/>
  <c r="AH704" i="25"/>
  <c r="AH703" i="25"/>
  <c r="AH702" i="25"/>
  <c r="AH701" i="25"/>
  <c r="AH700" i="25"/>
  <c r="AH699" i="25"/>
  <c r="AH698" i="25"/>
  <c r="AH697" i="25"/>
  <c r="AH696" i="25"/>
  <c r="AH695" i="25"/>
  <c r="AH694" i="25"/>
  <c r="AH693" i="25"/>
  <c r="AH692" i="25"/>
  <c r="AH691" i="25"/>
  <c r="AH690" i="25"/>
  <c r="AH689" i="25"/>
  <c r="AH688" i="25"/>
  <c r="AH687" i="25"/>
  <c r="AH686" i="25"/>
  <c r="AH685" i="25"/>
  <c r="AH684" i="25"/>
  <c r="AH683" i="25"/>
  <c r="AH682" i="25"/>
  <c r="AH681" i="25"/>
  <c r="AH680" i="25"/>
  <c r="AH679" i="25"/>
  <c r="AH678" i="25"/>
  <c r="AH677" i="25"/>
  <c r="AH676" i="25"/>
  <c r="AH675" i="25"/>
  <c r="AH674" i="25"/>
  <c r="AH673" i="25"/>
  <c r="AH672" i="25"/>
  <c r="AH671" i="25"/>
  <c r="AH670" i="25"/>
  <c r="AH669" i="25"/>
  <c r="AH668" i="25"/>
  <c r="AH667" i="25"/>
  <c r="AH666" i="25"/>
  <c r="AH665" i="25"/>
  <c r="AH664" i="25"/>
  <c r="AH663" i="25"/>
  <c r="AH662" i="25"/>
  <c r="AH661" i="25"/>
  <c r="AH660" i="25"/>
  <c r="AH659" i="25"/>
  <c r="AH658" i="25"/>
  <c r="AH657" i="25"/>
  <c r="AH656" i="25"/>
  <c r="AH655" i="25"/>
  <c r="AH654" i="25"/>
  <c r="AH653" i="25"/>
  <c r="AH652" i="25"/>
  <c r="AH651" i="25"/>
  <c r="AH650" i="25"/>
  <c r="AH649" i="25"/>
  <c r="AH648" i="25"/>
  <c r="AH647" i="25"/>
  <c r="AH646" i="25"/>
  <c r="AH645" i="25"/>
  <c r="AH644" i="25"/>
  <c r="AH643" i="25"/>
  <c r="AH642" i="25"/>
  <c r="AH641" i="25"/>
  <c r="AH640" i="25"/>
  <c r="AH639" i="25"/>
  <c r="AH638" i="25"/>
  <c r="AH637" i="25"/>
  <c r="AH636" i="25"/>
  <c r="AH635" i="25"/>
  <c r="AH634" i="25"/>
  <c r="AH633" i="25"/>
  <c r="AH632" i="25"/>
  <c r="AH631" i="25"/>
  <c r="AH630" i="25"/>
  <c r="AH629" i="25"/>
  <c r="AH628" i="25"/>
  <c r="AH627" i="25"/>
  <c r="AH626" i="25"/>
  <c r="AH625" i="25"/>
  <c r="AH624" i="25"/>
  <c r="AH623" i="25"/>
  <c r="AH622" i="25"/>
  <c r="AH621" i="25"/>
  <c r="AH620" i="25"/>
  <c r="AH619" i="25"/>
  <c r="AH618" i="25"/>
  <c r="AH617" i="25"/>
  <c r="AH616" i="25"/>
  <c r="AH615" i="25"/>
  <c r="AH614" i="25"/>
  <c r="AH613" i="25"/>
  <c r="AH612" i="25"/>
  <c r="AH611" i="25"/>
  <c r="AH610" i="25"/>
  <c r="AH609" i="25"/>
  <c r="AH608" i="25"/>
  <c r="AH607" i="25"/>
  <c r="AH606" i="25"/>
  <c r="AH605" i="25"/>
  <c r="AH604" i="25"/>
  <c r="AH603" i="25"/>
  <c r="AH602" i="25"/>
  <c r="AH601" i="25"/>
  <c r="AH600" i="25"/>
  <c r="AH599" i="25"/>
  <c r="AH598" i="25"/>
  <c r="AH597" i="25"/>
  <c r="AH596" i="25"/>
  <c r="AH595" i="25"/>
  <c r="AH594" i="25"/>
  <c r="AH593" i="25"/>
  <c r="AH592" i="25"/>
  <c r="AH591" i="25"/>
  <c r="AH590" i="25"/>
  <c r="AH589" i="25"/>
  <c r="AH588" i="25"/>
  <c r="AH587" i="25"/>
  <c r="AH586" i="25"/>
  <c r="AH585" i="25"/>
  <c r="AH584" i="25"/>
  <c r="AH583" i="25"/>
  <c r="AH582" i="25"/>
  <c r="AH581" i="25"/>
  <c r="AH580" i="25"/>
  <c r="AH579" i="25"/>
  <c r="AH578" i="25"/>
  <c r="AH577" i="25"/>
  <c r="AH576" i="25"/>
  <c r="AH575" i="25"/>
  <c r="AH574" i="25"/>
  <c r="AH573" i="25"/>
  <c r="AH572" i="25"/>
  <c r="AH571" i="25"/>
  <c r="AH570" i="25"/>
  <c r="AH569" i="25"/>
  <c r="AH568" i="25"/>
  <c r="AH567" i="25"/>
  <c r="AH566" i="25"/>
  <c r="AH565" i="25"/>
  <c r="AH564" i="25"/>
  <c r="AH563" i="25"/>
  <c r="AH562" i="25"/>
  <c r="AH561" i="25"/>
  <c r="AH560" i="25"/>
  <c r="AH559" i="25"/>
  <c r="AH558" i="25"/>
  <c r="AH557" i="25"/>
  <c r="AH556" i="25"/>
  <c r="AH555" i="25"/>
  <c r="AH554" i="25"/>
  <c r="AH553" i="25"/>
  <c r="AH552" i="25"/>
  <c r="AH551" i="25"/>
  <c r="AH550" i="25"/>
  <c r="AH549" i="25"/>
  <c r="AH548" i="25"/>
  <c r="AH547" i="25"/>
  <c r="AH546" i="25"/>
  <c r="AH545" i="25"/>
  <c r="AH544" i="25"/>
  <c r="AH543" i="25"/>
  <c r="AH542" i="25"/>
  <c r="AH541" i="25"/>
  <c r="AH540" i="25"/>
  <c r="AH539" i="25"/>
  <c r="AH538" i="25"/>
  <c r="AH537" i="25"/>
  <c r="AH536" i="25"/>
  <c r="AH535" i="25"/>
  <c r="AH534" i="25"/>
  <c r="AH533" i="25"/>
  <c r="AH532" i="25"/>
  <c r="AH531" i="25"/>
  <c r="AH530" i="25"/>
  <c r="AH529" i="25"/>
  <c r="AH528" i="25"/>
  <c r="AH527" i="25"/>
  <c r="AH526" i="25"/>
  <c r="AH525" i="25"/>
  <c r="AH524" i="25"/>
  <c r="AH523" i="25"/>
  <c r="AH522" i="25"/>
  <c r="AH521" i="25"/>
  <c r="AH520" i="25"/>
  <c r="AH519" i="25"/>
  <c r="AH518" i="25"/>
  <c r="AH517" i="25"/>
  <c r="AH516" i="25"/>
  <c r="AH515" i="25"/>
  <c r="AH514" i="25"/>
  <c r="AH513" i="25"/>
  <c r="AH512" i="25"/>
  <c r="AH511" i="25"/>
  <c r="AH510" i="25"/>
  <c r="AH509" i="25"/>
  <c r="AH508" i="25"/>
  <c r="AH507" i="25"/>
  <c r="AH506" i="25"/>
  <c r="AH505" i="25"/>
  <c r="AH504" i="25"/>
  <c r="AH503" i="25"/>
  <c r="AH502" i="25"/>
  <c r="AH501" i="25"/>
  <c r="AH500" i="25"/>
  <c r="AH499" i="25"/>
  <c r="AH498" i="25"/>
  <c r="AH497" i="25"/>
  <c r="AH496" i="25"/>
  <c r="AH495" i="25"/>
  <c r="AH494" i="25"/>
  <c r="AH493" i="25"/>
  <c r="AH492" i="25"/>
  <c r="AH491" i="25"/>
  <c r="AH490" i="25"/>
  <c r="AH489" i="25"/>
  <c r="AH488" i="25"/>
  <c r="AH487" i="25"/>
  <c r="AH486" i="25"/>
  <c r="AH485" i="25"/>
  <c r="AH484" i="25"/>
  <c r="AH483" i="25"/>
  <c r="AH482" i="25"/>
  <c r="AH481" i="25"/>
  <c r="AH480" i="25"/>
  <c r="AH479" i="25"/>
  <c r="AH478" i="25"/>
  <c r="AH477" i="25"/>
  <c r="AH476" i="25"/>
  <c r="AH475" i="25"/>
  <c r="AH474" i="25"/>
  <c r="AH473" i="25"/>
  <c r="AH472" i="25"/>
  <c r="AH471" i="25"/>
  <c r="AH470" i="25"/>
  <c r="AH469" i="25"/>
  <c r="AH468" i="25"/>
  <c r="AH467" i="25"/>
  <c r="AH466" i="25"/>
  <c r="AH465" i="25"/>
  <c r="AH464" i="25"/>
  <c r="AH463" i="25"/>
  <c r="AH462" i="25"/>
  <c r="AH461" i="25"/>
  <c r="AH460" i="25"/>
  <c r="AH459" i="25"/>
  <c r="AH458" i="25"/>
  <c r="AH457" i="25"/>
  <c r="AH456" i="25"/>
  <c r="AH455" i="25"/>
  <c r="AH454" i="25"/>
  <c r="AH453" i="25"/>
  <c r="AH452" i="25"/>
  <c r="AH451" i="25"/>
  <c r="AH450" i="25"/>
  <c r="AH449" i="25"/>
  <c r="AH448" i="25"/>
  <c r="AH447" i="25"/>
  <c r="AH446" i="25"/>
  <c r="AH445" i="25"/>
  <c r="AH444" i="25"/>
  <c r="AH443" i="25"/>
  <c r="AH442" i="25"/>
  <c r="AH441" i="25"/>
  <c r="AH440" i="25"/>
  <c r="AH439" i="25"/>
  <c r="AH438" i="25"/>
  <c r="AH437" i="25"/>
  <c r="AH436" i="25"/>
  <c r="AH435" i="25"/>
  <c r="AH434" i="25"/>
  <c r="AH433" i="25"/>
  <c r="AH432" i="25"/>
  <c r="AH431" i="25"/>
  <c r="AH430" i="25"/>
  <c r="AH429" i="25"/>
  <c r="AH428" i="25"/>
  <c r="AH427" i="25"/>
  <c r="AH426" i="25"/>
  <c r="AH425" i="25"/>
  <c r="AH424" i="25"/>
  <c r="AH423" i="25"/>
  <c r="AH422" i="25"/>
  <c r="AH421" i="25"/>
  <c r="AH420" i="25"/>
  <c r="AH419" i="25"/>
  <c r="AH418" i="25"/>
  <c r="AH417" i="25"/>
  <c r="AH416" i="25"/>
  <c r="AH415" i="25"/>
  <c r="AH414" i="25"/>
  <c r="AH413" i="25"/>
  <c r="AH412" i="25"/>
  <c r="AH411" i="25"/>
  <c r="AH410" i="25"/>
  <c r="AH409" i="25"/>
  <c r="AH408" i="25"/>
  <c r="AH407" i="25"/>
  <c r="AH406" i="25"/>
  <c r="AH405" i="25"/>
  <c r="AH404" i="25"/>
  <c r="AH403" i="25"/>
  <c r="AH402" i="25"/>
  <c r="AH401" i="25"/>
  <c r="AH400" i="25"/>
  <c r="AH399" i="25"/>
  <c r="AH398" i="25"/>
  <c r="AH397" i="25"/>
  <c r="AH396" i="25"/>
  <c r="AH395" i="25"/>
  <c r="AH394" i="25"/>
  <c r="AH393" i="25"/>
  <c r="AH392" i="25"/>
  <c r="AH391" i="25"/>
  <c r="AH390" i="25"/>
  <c r="AH389" i="25"/>
  <c r="AH388" i="25"/>
  <c r="AH387" i="25"/>
  <c r="AH386" i="25"/>
  <c r="AH385" i="25"/>
  <c r="AH384" i="25"/>
  <c r="AH383" i="25"/>
  <c r="AH382" i="25"/>
  <c r="AH381" i="25"/>
  <c r="AH380" i="25"/>
  <c r="AH379" i="25"/>
  <c r="AH378" i="25"/>
  <c r="AH377" i="25"/>
  <c r="AH376" i="25"/>
  <c r="AH375" i="25"/>
  <c r="AH374" i="25"/>
  <c r="AH373" i="25"/>
  <c r="AH372" i="25"/>
  <c r="AH371" i="25"/>
  <c r="AH370" i="25"/>
  <c r="AH369" i="25"/>
  <c r="AH368" i="25"/>
  <c r="AH367" i="25"/>
  <c r="AH366" i="25"/>
  <c r="AH365" i="25"/>
  <c r="AH364" i="25"/>
  <c r="AH363" i="25"/>
  <c r="AH362" i="25"/>
  <c r="AH361" i="25"/>
  <c r="AH360" i="25"/>
  <c r="AH359" i="25"/>
  <c r="AH358" i="25"/>
  <c r="AH357" i="25"/>
  <c r="AH356" i="25"/>
  <c r="AH355" i="25"/>
  <c r="AH354" i="25"/>
  <c r="AH353" i="25"/>
  <c r="AH352" i="25"/>
  <c r="AH351" i="25"/>
  <c r="AH350" i="25"/>
  <c r="AH349" i="25"/>
  <c r="AH348" i="25"/>
  <c r="AH347" i="25"/>
  <c r="AH346" i="25"/>
  <c r="AH345" i="25"/>
  <c r="AH344" i="25"/>
  <c r="AH343" i="25"/>
  <c r="AH342" i="25"/>
  <c r="AH341" i="25"/>
  <c r="AH340" i="25"/>
  <c r="AH339" i="25"/>
  <c r="AH338" i="25"/>
  <c r="AH337" i="25"/>
  <c r="AH336" i="25"/>
  <c r="AH335" i="25"/>
  <c r="AH334" i="25"/>
  <c r="AH333" i="25"/>
  <c r="AH332" i="25"/>
  <c r="AH331" i="25"/>
  <c r="AH330" i="25"/>
  <c r="AH329" i="25"/>
  <c r="AH328" i="25"/>
  <c r="AH327" i="25"/>
  <c r="AH326" i="25"/>
  <c r="AH325" i="25"/>
  <c r="AH324" i="25"/>
  <c r="AH323" i="25"/>
  <c r="AH322" i="25"/>
  <c r="AH321" i="25"/>
  <c r="AH320" i="25"/>
  <c r="AH319" i="25"/>
  <c r="AH318" i="25"/>
  <c r="AH317" i="25"/>
  <c r="AH316" i="25"/>
  <c r="AH315" i="25"/>
  <c r="AH314" i="25"/>
  <c r="AH313" i="25"/>
  <c r="AH312" i="25"/>
  <c r="AH311" i="25"/>
  <c r="AH310" i="25"/>
  <c r="AH309" i="25"/>
  <c r="AH308" i="25"/>
  <c r="AH307" i="25"/>
  <c r="AH306" i="25"/>
  <c r="AH305" i="25"/>
  <c r="AH304" i="25"/>
  <c r="AH303" i="25"/>
  <c r="AH302" i="25"/>
  <c r="AH301" i="25"/>
  <c r="AH300" i="25"/>
  <c r="AH299" i="25"/>
  <c r="AH298" i="25"/>
  <c r="AH297" i="25"/>
  <c r="AH296" i="25"/>
  <c r="AH295" i="25"/>
  <c r="AH294" i="25"/>
  <c r="AH293" i="25"/>
  <c r="AH292" i="25"/>
  <c r="AH291" i="25"/>
  <c r="AH290" i="25"/>
  <c r="AH289" i="25"/>
  <c r="AH288" i="25"/>
  <c r="AH287" i="25"/>
  <c r="AH286" i="25"/>
  <c r="AH285" i="25"/>
  <c r="AH284" i="25"/>
  <c r="AH283" i="25"/>
  <c r="AH282" i="25"/>
  <c r="AH281" i="25"/>
  <c r="AH280" i="25"/>
  <c r="AH279" i="25"/>
  <c r="AH278" i="25"/>
  <c r="AH277" i="25"/>
  <c r="AH276" i="25"/>
  <c r="AH275" i="25"/>
  <c r="AH274" i="25"/>
  <c r="AH273" i="25"/>
  <c r="AH272" i="25"/>
  <c r="AH271" i="25"/>
  <c r="AH270" i="25"/>
  <c r="AH269" i="25"/>
  <c r="AH268" i="25"/>
  <c r="AH267" i="25"/>
  <c r="AH266" i="25"/>
  <c r="AH265" i="25"/>
  <c r="AH264" i="25"/>
  <c r="AH263" i="25"/>
  <c r="AH262" i="25"/>
  <c r="AH261" i="25"/>
  <c r="AH260" i="25"/>
  <c r="AH259" i="25"/>
  <c r="AH258" i="25"/>
  <c r="AH257" i="25"/>
  <c r="AH256" i="25"/>
  <c r="AH255" i="25"/>
  <c r="AH254" i="25"/>
  <c r="AH253" i="25"/>
  <c r="AH252" i="25"/>
  <c r="AH251" i="25"/>
  <c r="AH250" i="25"/>
  <c r="AH249" i="25"/>
  <c r="AH248" i="25"/>
  <c r="AH247" i="25"/>
  <c r="AH246" i="25"/>
  <c r="AH245" i="25"/>
  <c r="AH244" i="25"/>
  <c r="AH243" i="25"/>
  <c r="AH242" i="25"/>
  <c r="AH241" i="25"/>
  <c r="AH240" i="25"/>
  <c r="AH239" i="25"/>
  <c r="AH238" i="25"/>
  <c r="AH237" i="25"/>
  <c r="AH236" i="25"/>
  <c r="AH235" i="25"/>
  <c r="AH234" i="25"/>
  <c r="AH233" i="25"/>
  <c r="AH232" i="25"/>
  <c r="AH231" i="25"/>
  <c r="AH230" i="25"/>
  <c r="AH229" i="25"/>
  <c r="AH228" i="25"/>
  <c r="AH227" i="25"/>
  <c r="AH226" i="25"/>
  <c r="AH225" i="25"/>
  <c r="AH224" i="25"/>
  <c r="AH223" i="25"/>
  <c r="AH222" i="25"/>
  <c r="AH221" i="25"/>
  <c r="AH220" i="25"/>
  <c r="AH219" i="25"/>
  <c r="AH218" i="25"/>
  <c r="AH217" i="25"/>
  <c r="AH216" i="25"/>
  <c r="AH215" i="25"/>
  <c r="AH214" i="25"/>
  <c r="AH213" i="25"/>
  <c r="AH212" i="25"/>
  <c r="AH211" i="25"/>
  <c r="AH210" i="25"/>
  <c r="AH209" i="25"/>
  <c r="AH208" i="25"/>
  <c r="AH207" i="25"/>
  <c r="AH206" i="25"/>
  <c r="AH205" i="25"/>
  <c r="AH204" i="25"/>
  <c r="AH203" i="25"/>
  <c r="AH202" i="25"/>
  <c r="AH201" i="25"/>
  <c r="AH200" i="25"/>
  <c r="AH199" i="25"/>
  <c r="AH198" i="25"/>
  <c r="AH197" i="25"/>
  <c r="AH196" i="25"/>
  <c r="AH195" i="25"/>
  <c r="AH194" i="25"/>
  <c r="AH193" i="25"/>
  <c r="AH192" i="25"/>
  <c r="AH191" i="25"/>
  <c r="AH190" i="25"/>
  <c r="AH189" i="25"/>
  <c r="AH188" i="25"/>
  <c r="AH187" i="25"/>
  <c r="AH186" i="25"/>
  <c r="AH185" i="25"/>
  <c r="AH184" i="25"/>
  <c r="AH183" i="25"/>
  <c r="AH182" i="25"/>
  <c r="AH181" i="25"/>
  <c r="AH180" i="25"/>
  <c r="AH179" i="25"/>
  <c r="AH178" i="25"/>
  <c r="AH177" i="25"/>
  <c r="AH176" i="25"/>
  <c r="AH175" i="25"/>
  <c r="AH174" i="25"/>
  <c r="AH173" i="25"/>
  <c r="AH172" i="25"/>
  <c r="AH171" i="25"/>
  <c r="AH170" i="25"/>
  <c r="AH169" i="25"/>
  <c r="AH168" i="25"/>
  <c r="AH167" i="25"/>
  <c r="AH166" i="25"/>
  <c r="AH165" i="25"/>
  <c r="AH164" i="25"/>
  <c r="AH163" i="25"/>
  <c r="AH162" i="25"/>
  <c r="AH161" i="25"/>
  <c r="AH160" i="25"/>
  <c r="AH159" i="25"/>
  <c r="AH158" i="25"/>
  <c r="AH157" i="25"/>
  <c r="AH156" i="25"/>
  <c r="AH155" i="25"/>
  <c r="AH154" i="25"/>
  <c r="AH153" i="25"/>
  <c r="AH152" i="25"/>
  <c r="AH151" i="25"/>
  <c r="AH150" i="25"/>
  <c r="AH149" i="25"/>
  <c r="AH148" i="25"/>
  <c r="AH147" i="25"/>
  <c r="AH146" i="25"/>
  <c r="AH145" i="25"/>
  <c r="AH144" i="25"/>
  <c r="AH143" i="25"/>
  <c r="AH142" i="25"/>
  <c r="AH141" i="25"/>
  <c r="AH140" i="25"/>
  <c r="AH139" i="25"/>
  <c r="AH138" i="25"/>
  <c r="AH137" i="25"/>
  <c r="AH136" i="25"/>
  <c r="AH135" i="25"/>
  <c r="AH134" i="25"/>
  <c r="AH133" i="25"/>
  <c r="AH132" i="25"/>
  <c r="AH131" i="25"/>
  <c r="AH130" i="25"/>
  <c r="AH129" i="25"/>
  <c r="AH128" i="25"/>
  <c r="AH127" i="25"/>
  <c r="AH126" i="25"/>
  <c r="AH125" i="25"/>
  <c r="AH124" i="25"/>
  <c r="AH123" i="25"/>
  <c r="AH122" i="25"/>
  <c r="AH121" i="25"/>
  <c r="AH120" i="25"/>
  <c r="AH119" i="25"/>
  <c r="AH118" i="25"/>
  <c r="AH117" i="25"/>
  <c r="AH116" i="25"/>
  <c r="AH115" i="25"/>
  <c r="AH114" i="25"/>
  <c r="AH113" i="25"/>
  <c r="AH112" i="25"/>
  <c r="AH111" i="25"/>
  <c r="AH110" i="25"/>
  <c r="AH109" i="25"/>
  <c r="AH108" i="25"/>
  <c r="AH107" i="25"/>
  <c r="AH106" i="25"/>
  <c r="AH105" i="25"/>
  <c r="AH104" i="25"/>
  <c r="AH103" i="25"/>
  <c r="AH102" i="25"/>
  <c r="AH101" i="25"/>
  <c r="AH100" i="25"/>
  <c r="AH99" i="25"/>
  <c r="AH98" i="25"/>
  <c r="AH97" i="25"/>
  <c r="AH96" i="25"/>
  <c r="AH95" i="25"/>
  <c r="AH94" i="25"/>
  <c r="AH93" i="25"/>
  <c r="AH92" i="25"/>
  <c r="AH91" i="25"/>
  <c r="AH90" i="25"/>
  <c r="AH89" i="25"/>
  <c r="AH88" i="25"/>
  <c r="AH87" i="25"/>
  <c r="AH86" i="25"/>
  <c r="AH85" i="25"/>
  <c r="AH84" i="25"/>
  <c r="AH83" i="25"/>
  <c r="AH82" i="25"/>
  <c r="AH81" i="25"/>
  <c r="AH80" i="25"/>
  <c r="AH79" i="25"/>
  <c r="AH78" i="25"/>
  <c r="AH77" i="25"/>
  <c r="AH76" i="25"/>
  <c r="AH75" i="25"/>
  <c r="AH74" i="25"/>
  <c r="AH73" i="25"/>
  <c r="AH72" i="25"/>
  <c r="AH71" i="25"/>
  <c r="AH70" i="25"/>
  <c r="AH69" i="25"/>
  <c r="AH68" i="25"/>
  <c r="AH67" i="25"/>
  <c r="AH66" i="25"/>
  <c r="AH65" i="25"/>
  <c r="AH64" i="25"/>
  <c r="AH63" i="25"/>
  <c r="AH62" i="25"/>
  <c r="AH61" i="25"/>
  <c r="AH60" i="25"/>
  <c r="AH59" i="25"/>
  <c r="AH58" i="25"/>
  <c r="AH57" i="25"/>
  <c r="AH56" i="25"/>
  <c r="AH55" i="25"/>
  <c r="AH54" i="25"/>
  <c r="AH53" i="25"/>
  <c r="AH52" i="25"/>
  <c r="AH51" i="25"/>
  <c r="AH50" i="25"/>
  <c r="AH49" i="25"/>
  <c r="AH48" i="25"/>
  <c r="AH47" i="25"/>
  <c r="AH46" i="25"/>
  <c r="AH45" i="25"/>
  <c r="AH44" i="25"/>
  <c r="AH43" i="25"/>
  <c r="AH42" i="25"/>
  <c r="AH41" i="25"/>
  <c r="AH40" i="25"/>
  <c r="AH39" i="25"/>
  <c r="AH38" i="25"/>
  <c r="AH37" i="25"/>
  <c r="AH36" i="25"/>
  <c r="AH35" i="25"/>
  <c r="AH34" i="25"/>
  <c r="AH33" i="25"/>
  <c r="AH32" i="25"/>
  <c r="AH31" i="25"/>
  <c r="AH30" i="25"/>
  <c r="AH29" i="25"/>
  <c r="AH28" i="25"/>
  <c r="AH27" i="25"/>
  <c r="AH26" i="25"/>
  <c r="AH25" i="25"/>
  <c r="AH24" i="25"/>
  <c r="AH23" i="25"/>
  <c r="AH22" i="25"/>
  <c r="AH21" i="25"/>
  <c r="AH20" i="25"/>
  <c r="AH19" i="25"/>
  <c r="AH18" i="25"/>
  <c r="AH17" i="25"/>
  <c r="AH16" i="25"/>
  <c r="AH15" i="25"/>
  <c r="AH14" i="25"/>
  <c r="AH13" i="25"/>
  <c r="AH12" i="25"/>
  <c r="AH11" i="25"/>
  <c r="AH10" i="25"/>
  <c r="AH9" i="25"/>
  <c r="AH8" i="25"/>
  <c r="AH7" i="25"/>
  <c r="AH6" i="25"/>
  <c r="AH5" i="25"/>
  <c r="AH4" i="25"/>
  <c r="AH3" i="25"/>
  <c r="AH2" i="25"/>
  <c r="M881" i="25"/>
  <c r="M880" i="25"/>
  <c r="M879" i="25"/>
  <c r="M878" i="25"/>
  <c r="M877" i="25"/>
  <c r="M876" i="25"/>
  <c r="M875" i="25"/>
  <c r="M874" i="25"/>
  <c r="M873" i="25"/>
  <c r="M872" i="25"/>
  <c r="M871" i="25"/>
  <c r="M870" i="25"/>
  <c r="M869" i="25"/>
  <c r="M868" i="25"/>
  <c r="M867" i="25"/>
  <c r="M866" i="25"/>
  <c r="M865" i="25"/>
  <c r="M864" i="25"/>
  <c r="M863" i="25"/>
  <c r="M862" i="25"/>
  <c r="M861" i="25"/>
  <c r="M860" i="25"/>
  <c r="M859" i="25"/>
  <c r="M858" i="25"/>
  <c r="M857" i="25"/>
  <c r="M856" i="25"/>
  <c r="M855" i="25"/>
  <c r="M854" i="25"/>
  <c r="M853" i="25"/>
  <c r="M852" i="25"/>
  <c r="M851" i="25"/>
  <c r="M850" i="25"/>
  <c r="M849" i="25"/>
  <c r="M848" i="25"/>
  <c r="M847" i="25"/>
  <c r="M846" i="25"/>
  <c r="M845" i="25"/>
  <c r="M844" i="25"/>
  <c r="M843" i="25"/>
  <c r="M842" i="25"/>
  <c r="M841" i="25"/>
  <c r="M840" i="25"/>
  <c r="M839" i="25"/>
  <c r="M838" i="25"/>
  <c r="M837" i="25"/>
  <c r="M836" i="25"/>
  <c r="M835" i="25"/>
  <c r="M834" i="25"/>
  <c r="M833" i="25"/>
  <c r="M832" i="25"/>
  <c r="M831" i="25"/>
  <c r="M830" i="25"/>
  <c r="M829" i="25"/>
  <c r="M828" i="25"/>
  <c r="M827" i="25"/>
  <c r="M826" i="25"/>
  <c r="M825" i="25"/>
  <c r="M824" i="25"/>
  <c r="M823" i="25"/>
  <c r="M822" i="25"/>
  <c r="M821" i="25"/>
  <c r="M820" i="25"/>
  <c r="M819" i="25"/>
  <c r="M818" i="25"/>
  <c r="M817" i="25"/>
  <c r="M816" i="25"/>
  <c r="M815" i="25"/>
  <c r="M814" i="25"/>
  <c r="M813" i="25"/>
  <c r="M812" i="25"/>
  <c r="M811" i="25"/>
  <c r="M810" i="25"/>
  <c r="M809" i="25"/>
  <c r="M808" i="25"/>
  <c r="M807" i="25"/>
  <c r="M806" i="25"/>
  <c r="M805" i="25"/>
  <c r="M804" i="25"/>
  <c r="M803" i="25"/>
  <c r="M802" i="25"/>
  <c r="M801" i="25"/>
  <c r="M800" i="25"/>
  <c r="M799" i="25"/>
  <c r="M798" i="25"/>
  <c r="M797" i="25"/>
  <c r="M796" i="25"/>
  <c r="M795" i="25"/>
  <c r="M794" i="25"/>
  <c r="M793" i="25"/>
  <c r="M792" i="25"/>
  <c r="M791" i="25"/>
  <c r="M790" i="25"/>
  <c r="M789" i="25"/>
  <c r="M788" i="25"/>
  <c r="M787" i="25"/>
  <c r="M786" i="25"/>
  <c r="M785" i="25"/>
  <c r="M784" i="25"/>
  <c r="M783" i="25"/>
  <c r="M782" i="25"/>
  <c r="M781" i="25"/>
  <c r="M780" i="25"/>
  <c r="M779" i="25"/>
  <c r="M778" i="25"/>
  <c r="M777" i="25"/>
  <c r="M776" i="25"/>
  <c r="M775" i="25"/>
  <c r="M774" i="25"/>
  <c r="M773" i="25"/>
  <c r="M772" i="25"/>
  <c r="M771" i="25"/>
  <c r="M770" i="25"/>
  <c r="M769" i="25"/>
  <c r="M768" i="25"/>
  <c r="M767" i="25"/>
  <c r="M766" i="25"/>
  <c r="M765" i="25"/>
  <c r="M764" i="25"/>
  <c r="M763" i="25"/>
  <c r="M762" i="25"/>
  <c r="M761" i="25"/>
  <c r="M760" i="25"/>
  <c r="M759" i="25"/>
  <c r="M758" i="25"/>
  <c r="M757" i="25"/>
  <c r="M756" i="25"/>
  <c r="M755" i="25"/>
  <c r="M754" i="25"/>
  <c r="M753" i="25"/>
  <c r="M752" i="25"/>
  <c r="M751" i="25"/>
  <c r="M750" i="25"/>
  <c r="M749" i="25"/>
  <c r="M748" i="25"/>
  <c r="M747" i="25"/>
  <c r="M746" i="25"/>
  <c r="M745" i="25"/>
  <c r="M744" i="25"/>
  <c r="M743" i="25"/>
  <c r="M742" i="25"/>
  <c r="M741" i="25"/>
  <c r="M740" i="25"/>
  <c r="M739" i="25"/>
  <c r="M738" i="25"/>
  <c r="M737" i="25"/>
  <c r="M736" i="25"/>
  <c r="M735" i="25"/>
  <c r="M734" i="25"/>
  <c r="M733" i="25"/>
  <c r="M732" i="25"/>
  <c r="M731" i="25"/>
  <c r="M730" i="25"/>
  <c r="M729" i="25"/>
  <c r="M728" i="25"/>
  <c r="M727" i="25"/>
  <c r="M726" i="25"/>
  <c r="M725" i="25"/>
  <c r="M724" i="25"/>
  <c r="M723" i="25"/>
  <c r="M722" i="25"/>
  <c r="M721" i="25"/>
  <c r="M720" i="25"/>
  <c r="M719" i="25"/>
  <c r="M718" i="25"/>
  <c r="M717" i="25"/>
  <c r="M716" i="25"/>
  <c r="M715" i="25"/>
  <c r="M714" i="25"/>
  <c r="M713" i="25"/>
  <c r="M712" i="25"/>
  <c r="M711" i="25"/>
  <c r="M710" i="25"/>
  <c r="M709" i="25"/>
  <c r="M708" i="25"/>
  <c r="M707" i="25"/>
  <c r="M706" i="25"/>
  <c r="M705" i="25"/>
  <c r="M704" i="25"/>
  <c r="M703" i="25"/>
  <c r="M702" i="25"/>
  <c r="M701" i="25"/>
  <c r="M700" i="25"/>
  <c r="M699" i="25"/>
  <c r="M698" i="25"/>
  <c r="M697" i="25"/>
  <c r="M696" i="25"/>
  <c r="M695" i="25"/>
  <c r="M694" i="25"/>
  <c r="M693" i="25"/>
  <c r="M692" i="25"/>
  <c r="M691" i="25"/>
  <c r="M690" i="25"/>
  <c r="M689" i="25"/>
  <c r="M688" i="25"/>
  <c r="M687" i="25"/>
  <c r="M686" i="25"/>
  <c r="M685" i="25"/>
  <c r="M684" i="25"/>
  <c r="M683" i="25"/>
  <c r="M682" i="25"/>
  <c r="M681" i="25"/>
  <c r="M680" i="25"/>
  <c r="M679" i="25"/>
  <c r="M678" i="25"/>
  <c r="M677" i="25"/>
  <c r="M676" i="25"/>
  <c r="M675" i="25"/>
  <c r="M674" i="25"/>
  <c r="M673" i="25"/>
  <c r="M672" i="25"/>
  <c r="M671" i="25"/>
  <c r="M670" i="25"/>
  <c r="M669" i="25"/>
  <c r="M668" i="25"/>
  <c r="M667" i="25"/>
  <c r="M666" i="25"/>
  <c r="M665" i="25"/>
  <c r="M664" i="25"/>
  <c r="M663" i="25"/>
  <c r="M662" i="25"/>
  <c r="M661" i="25"/>
  <c r="M660" i="25"/>
  <c r="M659" i="25"/>
  <c r="M658" i="25"/>
  <c r="M657" i="25"/>
  <c r="M656" i="25"/>
  <c r="M655" i="25"/>
  <c r="M654" i="25"/>
  <c r="M653" i="25"/>
  <c r="M652" i="25"/>
  <c r="M651" i="25"/>
  <c r="M650" i="25"/>
  <c r="M649" i="25"/>
  <c r="M648" i="25"/>
  <c r="M647" i="25"/>
  <c r="M646" i="25"/>
  <c r="M645" i="25"/>
  <c r="M644" i="25"/>
  <c r="M643" i="25"/>
  <c r="M642" i="25"/>
  <c r="M641" i="25"/>
  <c r="M640" i="25"/>
  <c r="M639" i="25"/>
  <c r="M638" i="25"/>
  <c r="M637" i="25"/>
  <c r="M636" i="25"/>
  <c r="M635" i="25"/>
  <c r="M634" i="25"/>
  <c r="M633" i="25"/>
  <c r="M632" i="25"/>
  <c r="M631" i="25"/>
  <c r="M630" i="25"/>
  <c r="M629" i="25"/>
  <c r="M628" i="25"/>
  <c r="M627" i="25"/>
  <c r="M626" i="25"/>
  <c r="M625" i="25"/>
  <c r="M624" i="25"/>
  <c r="M623" i="25"/>
  <c r="M622" i="25"/>
  <c r="M621" i="25"/>
  <c r="M620" i="25"/>
  <c r="M619" i="25"/>
  <c r="M618" i="25"/>
  <c r="M617" i="25"/>
  <c r="M616" i="25"/>
  <c r="M615" i="25"/>
  <c r="M614" i="25"/>
  <c r="M613" i="25"/>
  <c r="M612" i="25"/>
  <c r="M611" i="25"/>
  <c r="M610" i="25"/>
  <c r="M609" i="25"/>
  <c r="M608" i="25"/>
  <c r="M607" i="25"/>
  <c r="M606" i="25"/>
  <c r="M605" i="25"/>
  <c r="M604" i="25"/>
  <c r="M603" i="25"/>
  <c r="M602" i="25"/>
  <c r="M601" i="25"/>
  <c r="M600" i="25"/>
  <c r="M599" i="25"/>
  <c r="M598" i="25"/>
  <c r="M597" i="25"/>
  <c r="M596" i="25"/>
  <c r="M595" i="25"/>
  <c r="M594" i="25"/>
  <c r="M593" i="25"/>
  <c r="M592" i="25"/>
  <c r="M591" i="25"/>
  <c r="M590" i="25"/>
  <c r="M589" i="25"/>
  <c r="M588" i="25"/>
  <c r="M587" i="25"/>
  <c r="M586" i="25"/>
  <c r="M585" i="25"/>
  <c r="M584" i="25"/>
  <c r="M583" i="25"/>
  <c r="M582" i="25"/>
  <c r="M581" i="25"/>
  <c r="M580" i="25"/>
  <c r="M579" i="25"/>
  <c r="M578" i="25"/>
  <c r="M577" i="25"/>
  <c r="M576" i="25"/>
  <c r="M575" i="25"/>
  <c r="M574" i="25"/>
  <c r="M573" i="25"/>
  <c r="M572" i="25"/>
  <c r="M571" i="25"/>
  <c r="M570" i="25"/>
  <c r="M569" i="25"/>
  <c r="M568" i="25"/>
  <c r="M567" i="25"/>
  <c r="M566" i="25"/>
  <c r="M565" i="25"/>
  <c r="M564" i="25"/>
  <c r="M563" i="25"/>
  <c r="M562" i="25"/>
  <c r="M561" i="25"/>
  <c r="M560" i="25"/>
  <c r="M559" i="25"/>
  <c r="M558" i="25"/>
  <c r="M557" i="25"/>
  <c r="M556" i="25"/>
  <c r="M555" i="25"/>
  <c r="M554" i="25"/>
  <c r="M553" i="25"/>
  <c r="M552" i="25"/>
  <c r="M551" i="25"/>
  <c r="M550" i="25"/>
  <c r="M549" i="25"/>
  <c r="M548" i="25"/>
  <c r="M547" i="25"/>
  <c r="M546" i="25"/>
  <c r="M545" i="25"/>
  <c r="M544" i="25"/>
  <c r="M543" i="25"/>
  <c r="M542" i="25"/>
  <c r="M541" i="25"/>
  <c r="M540" i="25"/>
  <c r="M539" i="25"/>
  <c r="M538" i="25"/>
  <c r="M537" i="25"/>
  <c r="M536" i="25"/>
  <c r="M535" i="25"/>
  <c r="M534" i="25"/>
  <c r="M533" i="25"/>
  <c r="M532" i="25"/>
  <c r="M531" i="25"/>
  <c r="M530" i="25"/>
  <c r="M529" i="25"/>
  <c r="M528" i="25"/>
  <c r="M527" i="25"/>
  <c r="M526" i="25"/>
  <c r="M525" i="25"/>
  <c r="M524" i="25"/>
  <c r="M523" i="25"/>
  <c r="M522" i="25"/>
  <c r="M521" i="25"/>
  <c r="M520" i="25"/>
  <c r="M519" i="25"/>
  <c r="M518" i="25"/>
  <c r="M517" i="25"/>
  <c r="M516" i="25"/>
  <c r="M515" i="25"/>
  <c r="M514" i="25"/>
  <c r="M513" i="25"/>
  <c r="M512" i="25"/>
  <c r="M511" i="25"/>
  <c r="M510" i="25"/>
  <c r="M509" i="25"/>
  <c r="M508" i="25"/>
  <c r="M507" i="25"/>
  <c r="M506" i="25"/>
  <c r="M505" i="25"/>
  <c r="M504" i="25"/>
  <c r="M503" i="25"/>
  <c r="M502" i="25"/>
  <c r="M501" i="25"/>
  <c r="M500" i="25"/>
  <c r="M499" i="25"/>
  <c r="M498" i="25"/>
  <c r="M497" i="25"/>
  <c r="M496" i="25"/>
  <c r="M495" i="25"/>
  <c r="M494" i="25"/>
  <c r="M493" i="25"/>
  <c r="M492" i="25"/>
  <c r="M491" i="25"/>
  <c r="M490" i="25"/>
  <c r="M489" i="25"/>
  <c r="M488" i="25"/>
  <c r="M487" i="25"/>
  <c r="M486" i="25"/>
  <c r="M485" i="25"/>
  <c r="M484" i="25"/>
  <c r="M483" i="25"/>
  <c r="M482" i="25"/>
  <c r="M481" i="25"/>
  <c r="M480" i="25"/>
  <c r="M479" i="25"/>
  <c r="M478" i="25"/>
  <c r="M477" i="25"/>
  <c r="M476" i="25"/>
  <c r="M475" i="25"/>
  <c r="M474" i="25"/>
  <c r="M473" i="25"/>
  <c r="M472" i="25"/>
  <c r="M471" i="25"/>
  <c r="M470" i="25"/>
  <c r="M469" i="25"/>
  <c r="M468" i="25"/>
  <c r="M467" i="25"/>
  <c r="M466" i="25"/>
  <c r="M465" i="25"/>
  <c r="M464" i="25"/>
  <c r="M463" i="25"/>
  <c r="M462" i="25"/>
  <c r="M461" i="25"/>
  <c r="M460" i="25"/>
  <c r="M459" i="25"/>
  <c r="M458" i="25"/>
  <c r="M457" i="25"/>
  <c r="M456" i="25"/>
  <c r="M455" i="25"/>
  <c r="M454" i="25"/>
  <c r="M453" i="25"/>
  <c r="M452" i="25"/>
  <c r="M451" i="25"/>
  <c r="M450" i="25"/>
  <c r="M449" i="25"/>
  <c r="M448" i="25"/>
  <c r="M447" i="25"/>
  <c r="M446" i="25"/>
  <c r="M445" i="25"/>
  <c r="M444" i="25"/>
  <c r="M443" i="25"/>
  <c r="M442" i="25"/>
  <c r="M441" i="25"/>
  <c r="M440" i="25"/>
  <c r="M439" i="25"/>
  <c r="M438" i="25"/>
  <c r="M437" i="25"/>
  <c r="M436" i="25"/>
  <c r="M435" i="25"/>
  <c r="M434" i="25"/>
  <c r="M433" i="25"/>
  <c r="M432" i="25"/>
  <c r="M431" i="25"/>
  <c r="M430" i="25"/>
  <c r="M429" i="25"/>
  <c r="M428" i="25"/>
  <c r="M427" i="25"/>
  <c r="M426" i="25"/>
  <c r="M425" i="25"/>
  <c r="M424" i="25"/>
  <c r="M423" i="25"/>
  <c r="M422" i="25"/>
  <c r="M421" i="25"/>
  <c r="M420" i="25"/>
  <c r="M419" i="25"/>
  <c r="M418" i="25"/>
  <c r="M417" i="25"/>
  <c r="M416" i="25"/>
  <c r="M415" i="25"/>
  <c r="M414" i="25"/>
  <c r="M413" i="25"/>
  <c r="M412" i="25"/>
  <c r="M411" i="25"/>
  <c r="M410" i="25"/>
  <c r="M409" i="25"/>
  <c r="M408" i="25"/>
  <c r="M407" i="25"/>
  <c r="M406" i="25"/>
  <c r="M405" i="25"/>
  <c r="M404" i="25"/>
  <c r="M403" i="25"/>
  <c r="M402" i="25"/>
  <c r="M401" i="25"/>
  <c r="M400" i="25"/>
  <c r="M399" i="25"/>
  <c r="M398" i="25"/>
  <c r="M397" i="25"/>
  <c r="M396" i="25"/>
  <c r="M395" i="25"/>
  <c r="M394" i="25"/>
  <c r="M393" i="25"/>
  <c r="M392" i="25"/>
  <c r="M391" i="25"/>
  <c r="M390" i="25"/>
  <c r="M389" i="25"/>
  <c r="M388" i="25"/>
  <c r="M387" i="25"/>
  <c r="M386" i="25"/>
  <c r="M385" i="25"/>
  <c r="M384" i="25"/>
  <c r="M383" i="25"/>
  <c r="M382" i="25"/>
  <c r="M381" i="25"/>
  <c r="M380" i="25"/>
  <c r="M379" i="25"/>
  <c r="M378" i="25"/>
  <c r="M377" i="25"/>
  <c r="M376" i="25"/>
  <c r="M375" i="25"/>
  <c r="M374" i="25"/>
  <c r="M373" i="25"/>
  <c r="M372" i="25"/>
  <c r="M371" i="25"/>
  <c r="M370" i="25"/>
  <c r="M369" i="25"/>
  <c r="M368" i="25"/>
  <c r="M367" i="25"/>
  <c r="M366" i="25"/>
  <c r="M365" i="25"/>
  <c r="M364" i="25"/>
  <c r="M363" i="25"/>
  <c r="M362" i="25"/>
  <c r="M361" i="25"/>
  <c r="M360" i="25"/>
  <c r="M359" i="25"/>
  <c r="M358" i="25"/>
  <c r="M357" i="25"/>
  <c r="M356" i="25"/>
  <c r="M355" i="25"/>
  <c r="M354" i="25"/>
  <c r="M353" i="25"/>
  <c r="M352" i="25"/>
  <c r="M351" i="25"/>
  <c r="M350" i="25"/>
  <c r="M349" i="25"/>
  <c r="M348" i="25"/>
  <c r="M347" i="25"/>
  <c r="M346" i="25"/>
  <c r="M345" i="25"/>
  <c r="M344" i="25"/>
  <c r="M343" i="25"/>
  <c r="M342" i="25"/>
  <c r="M341" i="25"/>
  <c r="M340" i="25"/>
  <c r="M339" i="25"/>
  <c r="M338" i="25"/>
  <c r="M337" i="25"/>
  <c r="M336" i="25"/>
  <c r="M335" i="25"/>
  <c r="M334" i="25"/>
  <c r="M333" i="25"/>
  <c r="M332" i="25"/>
  <c r="M331" i="25"/>
  <c r="M330" i="25"/>
  <c r="M329" i="25"/>
  <c r="M328" i="25"/>
  <c r="M327" i="25"/>
  <c r="M326" i="25"/>
  <c r="M325" i="25"/>
  <c r="M324" i="25"/>
  <c r="M323" i="25"/>
  <c r="M322" i="25"/>
  <c r="M321" i="25"/>
  <c r="M320" i="25"/>
  <c r="M319" i="25"/>
  <c r="M318" i="25"/>
  <c r="M317" i="25"/>
  <c r="M316" i="25"/>
  <c r="M315" i="25"/>
  <c r="M314" i="25"/>
  <c r="M313" i="25"/>
  <c r="M312" i="25"/>
  <c r="M311" i="25"/>
  <c r="M310" i="25"/>
  <c r="M309" i="25"/>
  <c r="M308" i="25"/>
  <c r="M307" i="25"/>
  <c r="M306" i="25"/>
  <c r="M305" i="25"/>
  <c r="M304" i="25"/>
  <c r="M303" i="25"/>
  <c r="M302" i="25"/>
  <c r="M301" i="25"/>
  <c r="M300" i="25"/>
  <c r="M299" i="25"/>
  <c r="M298" i="25"/>
  <c r="M297" i="25"/>
  <c r="M296" i="25"/>
  <c r="M295" i="25"/>
  <c r="M294" i="25"/>
  <c r="M293" i="25"/>
  <c r="M292" i="25"/>
  <c r="M291" i="25"/>
  <c r="M290" i="25"/>
  <c r="M289" i="25"/>
  <c r="M288" i="25"/>
  <c r="M287" i="25"/>
  <c r="M286" i="25"/>
  <c r="M285" i="25"/>
  <c r="M284" i="25"/>
  <c r="M283" i="25"/>
  <c r="M282" i="25"/>
  <c r="M281" i="25"/>
  <c r="M280" i="25"/>
  <c r="M279" i="25"/>
  <c r="M278" i="25"/>
  <c r="M277" i="25"/>
  <c r="M276" i="25"/>
  <c r="M275" i="25"/>
  <c r="M274" i="25"/>
  <c r="M273" i="25"/>
  <c r="M272" i="25"/>
  <c r="M271" i="25"/>
  <c r="M270" i="25"/>
  <c r="M269" i="25"/>
  <c r="M268" i="25"/>
  <c r="M267" i="25"/>
  <c r="M266" i="25"/>
  <c r="M265" i="25"/>
  <c r="M264" i="25"/>
  <c r="M263" i="25"/>
  <c r="M262" i="25"/>
  <c r="M261" i="25"/>
  <c r="M260" i="25"/>
  <c r="M259" i="25"/>
  <c r="M258" i="25"/>
  <c r="M257" i="25"/>
  <c r="M256" i="25"/>
  <c r="M255" i="25"/>
  <c r="M254" i="25"/>
  <c r="M253" i="25"/>
  <c r="M252" i="25"/>
  <c r="M251" i="25"/>
  <c r="M250" i="25"/>
  <c r="M249" i="25"/>
  <c r="M248" i="25"/>
  <c r="M247" i="25"/>
  <c r="M246" i="25"/>
  <c r="M245" i="25"/>
  <c r="M244" i="25"/>
  <c r="M243" i="25"/>
  <c r="M242" i="25"/>
  <c r="M241" i="25"/>
  <c r="M240" i="25"/>
  <c r="M239" i="25"/>
  <c r="M238" i="25"/>
  <c r="M237" i="25"/>
  <c r="M236" i="25"/>
  <c r="M235" i="25"/>
  <c r="M234" i="25"/>
  <c r="M233" i="25"/>
  <c r="M232" i="25"/>
  <c r="M231" i="25"/>
  <c r="M230" i="25"/>
  <c r="M229" i="25"/>
  <c r="M228" i="25"/>
  <c r="M227" i="25"/>
  <c r="M226" i="25"/>
  <c r="M225" i="25"/>
  <c r="M224" i="25"/>
  <c r="M223" i="25"/>
  <c r="M222" i="25"/>
  <c r="M221" i="25"/>
  <c r="M220" i="25"/>
  <c r="M219" i="25"/>
  <c r="M218" i="25"/>
  <c r="M217" i="25"/>
  <c r="M216" i="25"/>
  <c r="M215" i="25"/>
  <c r="M214" i="25"/>
  <c r="M213" i="25"/>
  <c r="M212" i="25"/>
  <c r="M211" i="25"/>
  <c r="M210" i="25"/>
  <c r="M209" i="25"/>
  <c r="M208" i="25"/>
  <c r="M207" i="25"/>
  <c r="M206" i="25"/>
  <c r="M205" i="25"/>
  <c r="M204" i="25"/>
  <c r="M203" i="25"/>
  <c r="M202" i="25"/>
  <c r="M201" i="25"/>
  <c r="M200" i="25"/>
  <c r="M199" i="25"/>
  <c r="M198" i="25"/>
  <c r="M197" i="25"/>
  <c r="M196" i="25"/>
  <c r="M195" i="25"/>
  <c r="M194" i="25"/>
  <c r="M193" i="25"/>
  <c r="M192" i="25"/>
  <c r="M191" i="25"/>
  <c r="M190" i="25"/>
  <c r="M189" i="25"/>
  <c r="M188" i="25"/>
  <c r="M187" i="25"/>
  <c r="M186" i="25"/>
  <c r="M185" i="25"/>
  <c r="M184" i="25"/>
  <c r="M183" i="25"/>
  <c r="M182" i="25"/>
  <c r="M181" i="25"/>
  <c r="M180" i="25"/>
  <c r="M179" i="25"/>
  <c r="M178" i="25"/>
  <c r="M177" i="25"/>
  <c r="M176" i="25"/>
  <c r="M175" i="25"/>
  <c r="M174" i="25"/>
  <c r="M173" i="25"/>
  <c r="M172" i="25"/>
  <c r="M171" i="25"/>
  <c r="M170" i="25"/>
  <c r="M169" i="25"/>
  <c r="M168" i="25"/>
  <c r="M167" i="25"/>
  <c r="M166" i="25"/>
  <c r="M165" i="25"/>
  <c r="M164" i="25"/>
  <c r="M163" i="25"/>
  <c r="M162" i="25"/>
  <c r="M161" i="25"/>
  <c r="M160" i="25"/>
  <c r="M159" i="25"/>
  <c r="M158" i="25"/>
  <c r="M157" i="25"/>
  <c r="M156" i="25"/>
  <c r="M155" i="25"/>
  <c r="M154" i="25"/>
  <c r="M153" i="25"/>
  <c r="M152" i="25"/>
  <c r="M151" i="25"/>
  <c r="M150" i="25"/>
  <c r="M149" i="25"/>
  <c r="M148" i="25"/>
  <c r="M147" i="25"/>
  <c r="M146" i="25"/>
  <c r="M145" i="25"/>
  <c r="M144" i="25"/>
  <c r="M143" i="25"/>
  <c r="M142" i="25"/>
  <c r="M141" i="25"/>
  <c r="M140" i="25"/>
  <c r="M139" i="25"/>
  <c r="M138" i="25"/>
  <c r="M137" i="25"/>
  <c r="M136" i="25"/>
  <c r="M135" i="25"/>
  <c r="M134" i="25"/>
  <c r="M133" i="25"/>
  <c r="M132" i="25"/>
  <c r="M131" i="25"/>
  <c r="M130" i="25"/>
  <c r="M129" i="25"/>
  <c r="M128" i="25"/>
  <c r="M127" i="25"/>
  <c r="M126" i="25"/>
  <c r="M125" i="25"/>
  <c r="M124" i="25"/>
  <c r="M123" i="25"/>
  <c r="M122" i="25"/>
  <c r="M121" i="25"/>
  <c r="M120" i="25"/>
  <c r="M119" i="25"/>
  <c r="M118" i="25"/>
  <c r="M117" i="25"/>
  <c r="M116" i="25"/>
  <c r="M115" i="25"/>
  <c r="M114" i="25"/>
  <c r="M113" i="25"/>
  <c r="M112" i="25"/>
  <c r="M111" i="25"/>
  <c r="M110" i="25"/>
  <c r="M109" i="25"/>
  <c r="M108" i="25"/>
  <c r="M107" i="25"/>
  <c r="M106" i="25"/>
  <c r="M105" i="25"/>
  <c r="M104" i="25"/>
  <c r="M103" i="25"/>
  <c r="M102" i="25"/>
  <c r="M101" i="25"/>
  <c r="M100" i="25"/>
  <c r="M99" i="25"/>
  <c r="M98" i="25"/>
  <c r="M97" i="25"/>
  <c r="M96" i="25"/>
  <c r="M95" i="25"/>
  <c r="M94" i="25"/>
  <c r="M93" i="25"/>
  <c r="M92" i="25"/>
  <c r="M91" i="25"/>
  <c r="M90" i="25"/>
  <c r="M89" i="25"/>
  <c r="M88" i="25"/>
  <c r="M87" i="25"/>
  <c r="M86" i="25"/>
  <c r="M85" i="25"/>
  <c r="M84" i="25"/>
  <c r="M83" i="25"/>
  <c r="M82" i="25"/>
  <c r="M81" i="25"/>
  <c r="M80" i="25"/>
  <c r="M79" i="25"/>
  <c r="M78" i="25"/>
  <c r="M77" i="25"/>
  <c r="M76" i="25"/>
  <c r="M75" i="25"/>
  <c r="M74" i="25"/>
  <c r="M73" i="25"/>
  <c r="M72" i="25"/>
  <c r="M71" i="25"/>
  <c r="M70" i="25"/>
  <c r="M69" i="25"/>
  <c r="M68" i="25"/>
  <c r="M67" i="25"/>
  <c r="M66" i="25"/>
  <c r="M65" i="25"/>
  <c r="M64" i="25"/>
  <c r="M63" i="25"/>
  <c r="M62" i="25"/>
  <c r="M61" i="25"/>
  <c r="M60" i="25"/>
  <c r="M59" i="25"/>
  <c r="M58" i="25"/>
  <c r="M57" i="25"/>
  <c r="M56" i="25"/>
  <c r="M55" i="25"/>
  <c r="M54" i="25"/>
  <c r="M53" i="25"/>
  <c r="M52" i="25"/>
  <c r="M51" i="25"/>
  <c r="M50" i="25"/>
  <c r="M49" i="25"/>
  <c r="M48" i="25"/>
  <c r="M47" i="25"/>
  <c r="M46" i="25"/>
  <c r="M45" i="25"/>
  <c r="M44" i="25"/>
  <c r="M43" i="25"/>
  <c r="M42" i="25"/>
  <c r="M41" i="25"/>
  <c r="M40" i="25"/>
  <c r="M39" i="25"/>
  <c r="M38" i="25"/>
  <c r="M37" i="25"/>
  <c r="M36" i="25"/>
  <c r="M35" i="25"/>
  <c r="M34" i="25"/>
  <c r="M33" i="25"/>
  <c r="M32" i="25"/>
  <c r="M31" i="25"/>
  <c r="M30" i="25"/>
  <c r="M29" i="25"/>
  <c r="M28" i="25"/>
  <c r="M27" i="25"/>
  <c r="M26" i="25"/>
  <c r="M25" i="25"/>
  <c r="M24" i="25"/>
  <c r="M23" i="25"/>
  <c r="M22" i="25"/>
  <c r="M21" i="25"/>
  <c r="M20" i="25"/>
  <c r="M19" i="25"/>
  <c r="M18" i="25"/>
  <c r="M17" i="25"/>
  <c r="M16" i="25"/>
  <c r="M15" i="25"/>
  <c r="M14" i="25"/>
  <c r="M13" i="25"/>
  <c r="M12" i="25"/>
  <c r="M11" i="25"/>
  <c r="M10" i="25"/>
  <c r="M9" i="25"/>
  <c r="M8" i="25"/>
  <c r="M7" i="25"/>
  <c r="M6" i="25"/>
  <c r="M5" i="25"/>
  <c r="M4" i="25"/>
  <c r="M3" i="25"/>
  <c r="M2" i="25"/>
  <c r="AN881" i="25"/>
  <c r="AN880" i="25"/>
  <c r="AN879" i="25"/>
  <c r="AN878" i="25"/>
  <c r="AN877" i="25"/>
  <c r="AN876" i="25"/>
  <c r="AN875" i="25"/>
  <c r="AN874" i="25"/>
  <c r="AN873" i="25"/>
  <c r="AN872" i="25"/>
  <c r="AN871" i="25"/>
  <c r="AN870" i="25"/>
  <c r="AN869" i="25"/>
  <c r="AN868" i="25"/>
  <c r="AN867" i="25"/>
  <c r="AN866" i="25"/>
  <c r="AN865" i="25"/>
  <c r="AN864" i="25"/>
  <c r="AN863" i="25"/>
  <c r="AN862" i="25"/>
  <c r="AN861" i="25"/>
  <c r="AN860" i="25"/>
  <c r="AN859" i="25"/>
  <c r="AN858" i="25"/>
  <c r="AN857" i="25"/>
  <c r="AN856" i="25"/>
  <c r="AN855" i="25"/>
  <c r="AN854" i="25"/>
  <c r="AN853" i="25"/>
  <c r="AN852" i="25"/>
  <c r="AN851" i="25"/>
  <c r="AN850" i="25"/>
  <c r="AN849" i="25"/>
  <c r="AN848" i="25"/>
  <c r="AN847" i="25"/>
  <c r="AN846" i="25"/>
  <c r="AN845" i="25"/>
  <c r="AN844" i="25"/>
  <c r="AN843" i="25"/>
  <c r="AN842" i="25"/>
  <c r="AN841" i="25"/>
  <c r="AN840" i="25"/>
  <c r="AN839" i="25"/>
  <c r="AN838" i="25"/>
  <c r="AN837" i="25"/>
  <c r="AN836" i="25"/>
  <c r="AN835" i="25"/>
  <c r="AN834" i="25"/>
  <c r="AN833" i="25"/>
  <c r="AN832" i="25"/>
  <c r="AN831" i="25"/>
  <c r="AN830" i="25"/>
  <c r="AN829" i="25"/>
  <c r="AN828" i="25"/>
  <c r="AN827" i="25"/>
  <c r="AN826" i="25"/>
  <c r="AN825" i="25"/>
  <c r="AN824" i="25"/>
  <c r="AN823" i="25"/>
  <c r="AN822" i="25"/>
  <c r="AN821" i="25"/>
  <c r="AN820" i="25"/>
  <c r="AN819" i="25"/>
  <c r="AN818" i="25"/>
  <c r="AN817" i="25"/>
  <c r="AN816" i="25"/>
  <c r="AN815" i="25"/>
  <c r="AN814" i="25"/>
  <c r="AN813" i="25"/>
  <c r="AN812" i="25"/>
  <c r="AN811" i="25"/>
  <c r="AN810" i="25"/>
  <c r="AN809" i="25"/>
  <c r="AN808" i="25"/>
  <c r="AN807" i="25"/>
  <c r="AN806" i="25"/>
  <c r="AN805" i="25"/>
  <c r="AN804" i="25"/>
  <c r="AN803" i="25"/>
  <c r="AN802" i="25"/>
  <c r="AN801" i="25"/>
  <c r="AN800" i="25"/>
  <c r="AN799" i="25"/>
  <c r="AN798" i="25"/>
  <c r="AN797" i="25"/>
  <c r="AN796" i="25"/>
  <c r="AN795" i="25"/>
  <c r="AN794" i="25"/>
  <c r="AN793" i="25"/>
  <c r="AN792" i="25"/>
  <c r="AN791" i="25"/>
  <c r="AN790" i="25"/>
  <c r="AN789" i="25"/>
  <c r="AN788" i="25"/>
  <c r="AN787" i="25"/>
  <c r="AN786" i="25"/>
  <c r="AN785" i="25"/>
  <c r="AN784" i="25"/>
  <c r="AN783" i="25"/>
  <c r="AN782" i="25"/>
  <c r="AN781" i="25"/>
  <c r="AN780" i="25"/>
  <c r="AN779" i="25"/>
  <c r="AN778" i="25"/>
  <c r="AN777" i="25"/>
  <c r="AN776" i="25"/>
  <c r="AN775" i="25"/>
  <c r="AN774" i="25"/>
  <c r="AN773" i="25"/>
  <c r="AN772" i="25"/>
  <c r="AN771" i="25"/>
  <c r="AN770" i="25"/>
  <c r="AN769" i="25"/>
  <c r="AN768" i="25"/>
  <c r="AN767" i="25"/>
  <c r="AN766" i="25"/>
  <c r="AN765" i="25"/>
  <c r="AN764" i="25"/>
  <c r="AN763" i="25"/>
  <c r="AN762" i="25"/>
  <c r="AN761" i="25"/>
  <c r="AN760" i="25"/>
  <c r="AN759" i="25"/>
  <c r="AN758" i="25"/>
  <c r="AN757" i="25"/>
  <c r="AN756" i="25"/>
  <c r="AN755" i="25"/>
  <c r="AN754" i="25"/>
  <c r="AN753" i="25"/>
  <c r="AN752" i="25"/>
  <c r="AN751" i="25"/>
  <c r="AN750" i="25"/>
  <c r="AN749" i="25"/>
  <c r="AN748" i="25"/>
  <c r="AN747" i="25"/>
  <c r="AN746" i="25"/>
  <c r="AN745" i="25"/>
  <c r="AN744" i="25"/>
  <c r="AN743" i="25"/>
  <c r="AN742" i="25"/>
  <c r="AN741" i="25"/>
  <c r="AN740" i="25"/>
  <c r="AN739" i="25"/>
  <c r="AN738" i="25"/>
  <c r="AN737" i="25"/>
  <c r="AN736" i="25"/>
  <c r="AN735" i="25"/>
  <c r="AN734" i="25"/>
  <c r="AN733" i="25"/>
  <c r="AN732" i="25"/>
  <c r="AN731" i="25"/>
  <c r="AN730" i="25"/>
  <c r="AN729" i="25"/>
  <c r="AN728" i="25"/>
  <c r="AN727" i="25"/>
  <c r="AN726" i="25"/>
  <c r="AN725" i="25"/>
  <c r="AN724" i="25"/>
  <c r="AN723" i="25"/>
  <c r="AN722" i="25"/>
  <c r="AN721" i="25"/>
  <c r="AN720" i="25"/>
  <c r="AN719" i="25"/>
  <c r="AN718" i="25"/>
  <c r="AN717" i="25"/>
  <c r="AN716" i="25"/>
  <c r="AN715" i="25"/>
  <c r="AN714" i="25"/>
  <c r="AN713" i="25"/>
  <c r="AN712" i="25"/>
  <c r="AN711" i="25"/>
  <c r="AN710" i="25"/>
  <c r="AN709" i="25"/>
  <c r="AN708" i="25"/>
  <c r="AN707" i="25"/>
  <c r="AN706" i="25"/>
  <c r="AN705" i="25"/>
  <c r="AN704" i="25"/>
  <c r="AN703" i="25"/>
  <c r="AN702" i="25"/>
  <c r="AN701" i="25"/>
  <c r="AN700" i="25"/>
  <c r="AN699" i="25"/>
  <c r="AN698" i="25"/>
  <c r="AN697" i="25"/>
  <c r="AN696" i="25"/>
  <c r="AN695" i="25"/>
  <c r="AN694" i="25"/>
  <c r="AN693" i="25"/>
  <c r="AN692" i="25"/>
  <c r="AN691" i="25"/>
  <c r="AN690" i="25"/>
  <c r="AN689" i="25"/>
  <c r="AN688" i="25"/>
  <c r="AN687" i="25"/>
  <c r="AN686" i="25"/>
  <c r="AN685" i="25"/>
  <c r="AN684" i="25"/>
  <c r="AN683" i="25"/>
  <c r="AN682" i="25"/>
  <c r="AN681" i="25"/>
  <c r="AN680" i="25"/>
  <c r="AN679" i="25"/>
  <c r="AN678" i="25"/>
  <c r="AN677" i="25"/>
  <c r="AN676" i="25"/>
  <c r="AN675" i="25"/>
  <c r="AN674" i="25"/>
  <c r="AN673" i="25"/>
  <c r="AN672" i="25"/>
  <c r="AN671" i="25"/>
  <c r="AN670" i="25"/>
  <c r="AN669" i="25"/>
  <c r="AN668" i="25"/>
  <c r="AN667" i="25"/>
  <c r="AN666" i="25"/>
  <c r="AN665" i="25"/>
  <c r="AN664" i="25"/>
  <c r="AN663" i="25"/>
  <c r="AN662" i="25"/>
  <c r="AN661" i="25"/>
  <c r="AN660" i="25"/>
  <c r="AN659" i="25"/>
  <c r="AN658" i="25"/>
  <c r="AN657" i="25"/>
  <c r="AN656" i="25"/>
  <c r="AN655" i="25"/>
  <c r="AN654" i="25"/>
  <c r="AN653" i="25"/>
  <c r="AN652" i="25"/>
  <c r="AN651" i="25"/>
  <c r="AN650" i="25"/>
  <c r="AN649" i="25"/>
  <c r="AN648" i="25"/>
  <c r="AN647" i="25"/>
  <c r="AN646" i="25"/>
  <c r="AN645" i="25"/>
  <c r="AN644" i="25"/>
  <c r="AN643" i="25"/>
  <c r="AN642" i="25"/>
  <c r="AN641" i="25"/>
  <c r="AN640" i="25"/>
  <c r="AN639" i="25"/>
  <c r="AN638" i="25"/>
  <c r="AN637" i="25"/>
  <c r="AN636" i="25"/>
  <c r="AN635" i="25"/>
  <c r="AN634" i="25"/>
  <c r="AN633" i="25"/>
  <c r="AN632" i="25"/>
  <c r="AN631" i="25"/>
  <c r="AN630" i="25"/>
  <c r="AN629" i="25"/>
  <c r="AN628" i="25"/>
  <c r="AN627" i="25"/>
  <c r="AN626" i="25"/>
  <c r="AN625" i="25"/>
  <c r="AN624" i="25"/>
  <c r="AN623" i="25"/>
  <c r="AN622" i="25"/>
  <c r="AN621" i="25"/>
  <c r="AN620" i="25"/>
  <c r="AN619" i="25"/>
  <c r="AN618" i="25"/>
  <c r="AN617" i="25"/>
  <c r="AN616" i="25"/>
  <c r="AN615" i="25"/>
  <c r="AN614" i="25"/>
  <c r="AN613" i="25"/>
  <c r="AN612" i="25"/>
  <c r="AN611" i="25"/>
  <c r="AN610" i="25"/>
  <c r="AN609" i="25"/>
  <c r="AN608" i="25"/>
  <c r="AN607" i="25"/>
  <c r="AN606" i="25"/>
  <c r="AN605" i="25"/>
  <c r="AN604" i="25"/>
  <c r="AN603" i="25"/>
  <c r="AN602" i="25"/>
  <c r="AN601" i="25"/>
  <c r="AN600" i="25"/>
  <c r="AN599" i="25"/>
  <c r="AN598" i="25"/>
  <c r="AN597" i="25"/>
  <c r="AN596" i="25"/>
  <c r="AN595" i="25"/>
  <c r="AN594" i="25"/>
  <c r="AN593" i="25"/>
  <c r="AN592" i="25"/>
  <c r="AN591" i="25"/>
  <c r="AN590" i="25"/>
  <c r="AN589" i="25"/>
  <c r="AN588" i="25"/>
  <c r="AN587" i="25"/>
  <c r="AN586" i="25"/>
  <c r="AN585" i="25"/>
  <c r="AN584" i="25"/>
  <c r="AN583" i="25"/>
  <c r="AN582" i="25"/>
  <c r="AN581" i="25"/>
  <c r="AN580" i="25"/>
  <c r="AN579" i="25"/>
  <c r="AN578" i="25"/>
  <c r="AN577" i="25"/>
  <c r="AN576" i="25"/>
  <c r="AN575" i="25"/>
  <c r="AN574" i="25"/>
  <c r="AN573" i="25"/>
  <c r="AN572" i="25"/>
  <c r="AN571" i="25"/>
  <c r="AN570" i="25"/>
  <c r="AN569" i="25"/>
  <c r="AN568" i="25"/>
  <c r="AN567" i="25"/>
  <c r="AN566" i="25"/>
  <c r="AN565" i="25"/>
  <c r="AN564" i="25"/>
  <c r="AN563" i="25"/>
  <c r="AN562" i="25"/>
  <c r="AN561" i="25"/>
  <c r="AN560" i="25"/>
  <c r="AN559" i="25"/>
  <c r="AN558" i="25"/>
  <c r="AN557" i="25"/>
  <c r="AN556" i="25"/>
  <c r="AN555" i="25"/>
  <c r="AN554" i="25"/>
  <c r="AN553" i="25"/>
  <c r="AN552" i="25"/>
  <c r="AN551" i="25"/>
  <c r="AN550" i="25"/>
  <c r="AN549" i="25"/>
  <c r="AN548" i="25"/>
  <c r="AN547" i="25"/>
  <c r="AN546" i="25"/>
  <c r="AN545" i="25"/>
  <c r="AN544" i="25"/>
  <c r="AN543" i="25"/>
  <c r="AN542" i="25"/>
  <c r="AN541" i="25"/>
  <c r="AN540" i="25"/>
  <c r="AN539" i="25"/>
  <c r="AN538" i="25"/>
  <c r="AN537" i="25"/>
  <c r="AN536" i="25"/>
  <c r="AN535" i="25"/>
  <c r="AN534" i="25"/>
  <c r="AN533" i="25"/>
  <c r="AN532" i="25"/>
  <c r="AN531" i="25"/>
  <c r="AN530" i="25"/>
  <c r="AN529" i="25"/>
  <c r="AN528" i="25"/>
  <c r="AN527" i="25"/>
  <c r="AN526" i="25"/>
  <c r="AN525" i="25"/>
  <c r="AN524" i="25"/>
  <c r="AN523" i="25"/>
  <c r="AN522" i="25"/>
  <c r="AN521" i="25"/>
  <c r="AN520" i="25"/>
  <c r="AN519" i="25"/>
  <c r="AN518" i="25"/>
  <c r="AN517" i="25"/>
  <c r="AN516" i="25"/>
  <c r="AN515" i="25"/>
  <c r="AN514" i="25"/>
  <c r="AN513" i="25"/>
  <c r="AN512" i="25"/>
  <c r="AN511" i="25"/>
  <c r="AN510" i="25"/>
  <c r="AN509" i="25"/>
  <c r="AN508" i="25"/>
  <c r="AN507" i="25"/>
  <c r="AN506" i="25"/>
  <c r="AN505" i="25"/>
  <c r="AN504" i="25"/>
  <c r="AN503" i="25"/>
  <c r="AN502" i="25"/>
  <c r="AN501" i="25"/>
  <c r="AN500" i="25"/>
  <c r="AN499" i="25"/>
  <c r="AN498" i="25"/>
  <c r="AN497" i="25"/>
  <c r="AN496" i="25"/>
  <c r="AN495" i="25"/>
  <c r="AN494" i="25"/>
  <c r="AN493" i="25"/>
  <c r="AN492" i="25"/>
  <c r="AN491" i="25"/>
  <c r="AN490" i="25"/>
  <c r="AN489" i="25"/>
  <c r="AN488" i="25"/>
  <c r="AN487" i="25"/>
  <c r="AN486" i="25"/>
  <c r="AN485" i="25"/>
  <c r="AN484" i="25"/>
  <c r="AN483" i="25"/>
  <c r="AN482" i="25"/>
  <c r="AN481" i="25"/>
  <c r="AN480" i="25"/>
  <c r="AN479" i="25"/>
  <c r="AN478" i="25"/>
  <c r="AN477" i="25"/>
  <c r="AN476" i="25"/>
  <c r="AN475" i="25"/>
  <c r="AN474" i="25"/>
  <c r="AN473" i="25"/>
  <c r="AN472" i="25"/>
  <c r="AN471" i="25"/>
  <c r="AN470" i="25"/>
  <c r="AN469" i="25"/>
  <c r="AN468" i="25"/>
  <c r="AN467" i="25"/>
  <c r="AN466" i="25"/>
  <c r="AN465" i="25"/>
  <c r="AN464" i="25"/>
  <c r="AN463" i="25"/>
  <c r="AN462" i="25"/>
  <c r="AN461" i="25"/>
  <c r="AN460" i="25"/>
  <c r="AN459" i="25"/>
  <c r="AN458" i="25"/>
  <c r="AN457" i="25"/>
  <c r="AN456" i="25"/>
  <c r="AN455" i="25"/>
  <c r="AN454" i="25"/>
  <c r="AN453" i="25"/>
  <c r="AN452" i="25"/>
  <c r="AN451" i="25"/>
  <c r="AN450" i="25"/>
  <c r="AN449" i="25"/>
  <c r="AN448" i="25"/>
  <c r="AN447" i="25"/>
  <c r="AN446" i="25"/>
  <c r="AN445" i="25"/>
  <c r="AN444" i="25"/>
  <c r="AN443" i="25"/>
  <c r="AN442" i="25"/>
  <c r="AN441" i="25"/>
  <c r="AN440" i="25"/>
  <c r="AN439" i="25"/>
  <c r="AN438" i="25"/>
  <c r="AN437" i="25"/>
  <c r="AN436" i="25"/>
  <c r="AN435" i="25"/>
  <c r="AN434" i="25"/>
  <c r="AN433" i="25"/>
  <c r="AN432" i="25"/>
  <c r="AN431" i="25"/>
  <c r="AN430" i="25"/>
  <c r="AN429" i="25"/>
  <c r="AN428" i="25"/>
  <c r="AN427" i="25"/>
  <c r="AN426" i="25"/>
  <c r="AN425" i="25"/>
  <c r="AN424" i="25"/>
  <c r="AN423" i="25"/>
  <c r="AN422" i="25"/>
  <c r="AN421" i="25"/>
  <c r="AN420" i="25"/>
  <c r="AN419" i="25"/>
  <c r="AN418" i="25"/>
  <c r="AN417" i="25"/>
  <c r="AN416" i="25"/>
  <c r="AN415" i="25"/>
  <c r="AN414" i="25"/>
  <c r="AN413" i="25"/>
  <c r="AN412" i="25"/>
  <c r="AN411" i="25"/>
  <c r="AN410" i="25"/>
  <c r="AN409" i="25"/>
  <c r="AN408" i="25"/>
  <c r="AN407" i="25"/>
  <c r="AN406" i="25"/>
  <c r="AN405" i="25"/>
  <c r="AN404" i="25"/>
  <c r="AN403" i="25"/>
  <c r="AN402" i="25"/>
  <c r="AN401" i="25"/>
  <c r="AN400" i="25"/>
  <c r="AN399" i="25"/>
  <c r="AN398" i="25"/>
  <c r="AN397" i="25"/>
  <c r="AN396" i="25"/>
  <c r="AN395" i="25"/>
  <c r="AN394" i="25"/>
  <c r="AN393" i="25"/>
  <c r="AN392" i="25"/>
  <c r="AN391" i="25"/>
  <c r="AN390" i="25"/>
  <c r="AN389" i="25"/>
  <c r="AN388" i="25"/>
  <c r="AN387" i="25"/>
  <c r="AN386" i="25"/>
  <c r="AN385" i="25"/>
  <c r="AN384" i="25"/>
  <c r="AN383" i="25"/>
  <c r="AN382" i="25"/>
  <c r="AN381" i="25"/>
  <c r="AN380" i="25"/>
  <c r="AN379" i="25"/>
  <c r="AN378" i="25"/>
  <c r="AN377" i="25"/>
  <c r="AN376" i="25"/>
  <c r="AN375" i="25"/>
  <c r="AN374" i="25"/>
  <c r="AN373" i="25"/>
  <c r="AN372" i="25"/>
  <c r="AN371" i="25"/>
  <c r="AN370" i="25"/>
  <c r="AN369" i="25"/>
  <c r="AN368" i="25"/>
  <c r="AN367" i="25"/>
  <c r="AN366" i="25"/>
  <c r="AN365" i="25"/>
  <c r="AN364" i="25"/>
  <c r="AN363" i="25"/>
  <c r="AN362" i="25"/>
  <c r="AN361" i="25"/>
  <c r="AN360" i="25"/>
  <c r="AN359" i="25"/>
  <c r="AN358" i="25"/>
  <c r="AN357" i="25"/>
  <c r="AN356" i="25"/>
  <c r="AN355" i="25"/>
  <c r="AN354" i="25"/>
  <c r="AN353" i="25"/>
  <c r="AN352" i="25"/>
  <c r="AN351" i="25"/>
  <c r="AN350" i="25"/>
  <c r="AN349" i="25"/>
  <c r="AN348" i="25"/>
  <c r="AN347" i="25"/>
  <c r="AN346" i="25"/>
  <c r="AN345" i="25"/>
  <c r="AN344" i="25"/>
  <c r="AN343" i="25"/>
  <c r="AN342" i="25"/>
  <c r="AN341" i="25"/>
  <c r="AN340" i="25"/>
  <c r="AN339" i="25"/>
  <c r="AN338" i="25"/>
  <c r="AN337" i="25"/>
  <c r="AN336" i="25"/>
  <c r="AN335" i="25"/>
  <c r="AN334" i="25"/>
  <c r="AN333" i="25"/>
  <c r="AN332" i="25"/>
  <c r="AN331" i="25"/>
  <c r="AN330" i="25"/>
  <c r="AN329" i="25"/>
  <c r="AN328" i="25"/>
  <c r="AN327" i="25"/>
  <c r="AN326" i="25"/>
  <c r="AN325" i="25"/>
  <c r="AN324" i="25"/>
  <c r="AN323" i="25"/>
  <c r="AN322" i="25"/>
  <c r="AN321" i="25"/>
  <c r="AN320" i="25"/>
  <c r="AN319" i="25"/>
  <c r="AN318" i="25"/>
  <c r="AN317" i="25"/>
  <c r="AN316" i="25"/>
  <c r="AN315" i="25"/>
  <c r="AN314" i="25"/>
  <c r="AN313" i="25"/>
  <c r="AN312" i="25"/>
  <c r="AN311" i="25"/>
  <c r="AN310" i="25"/>
  <c r="AN309" i="25"/>
  <c r="AN308" i="25"/>
  <c r="AN307" i="25"/>
  <c r="AN306" i="25"/>
  <c r="AN305" i="25"/>
  <c r="AN304" i="25"/>
  <c r="AN303" i="25"/>
  <c r="AN302" i="25"/>
  <c r="AN301" i="25"/>
  <c r="AN300" i="25"/>
  <c r="AN299" i="25"/>
  <c r="AN298" i="25"/>
  <c r="AN297" i="25"/>
  <c r="AN296" i="25"/>
  <c r="AN295" i="25"/>
  <c r="AN294" i="25"/>
  <c r="AN293" i="25"/>
  <c r="AN292" i="25"/>
  <c r="AN291" i="25"/>
  <c r="AN290" i="25"/>
  <c r="AN289" i="25"/>
  <c r="AN288" i="25"/>
  <c r="AN287" i="25"/>
  <c r="AN286" i="25"/>
  <c r="AN285" i="25"/>
  <c r="AN284" i="25"/>
  <c r="AN283" i="25"/>
  <c r="AN282" i="25"/>
  <c r="AN281" i="25"/>
  <c r="AN280" i="25"/>
  <c r="AN279" i="25"/>
  <c r="AN278" i="25"/>
  <c r="AN277" i="25"/>
  <c r="AN276" i="25"/>
  <c r="AN275" i="25"/>
  <c r="AN274" i="25"/>
  <c r="AN273" i="25"/>
  <c r="AN272" i="25"/>
  <c r="AN271" i="25"/>
  <c r="AN270" i="25"/>
  <c r="AN269" i="25"/>
  <c r="AN268" i="25"/>
  <c r="AN267" i="25"/>
  <c r="AN266" i="25"/>
  <c r="AN265" i="25"/>
  <c r="AN264" i="25"/>
  <c r="AN263" i="25"/>
  <c r="AN262" i="25"/>
  <c r="AN261" i="25"/>
  <c r="AN260" i="25"/>
  <c r="AN259" i="25"/>
  <c r="AN258" i="25"/>
  <c r="AN257" i="25"/>
  <c r="AN256" i="25"/>
  <c r="AN255" i="25"/>
  <c r="AN254" i="25"/>
  <c r="AN253" i="25"/>
  <c r="AN252" i="25"/>
  <c r="AN251" i="25"/>
  <c r="AN250" i="25"/>
  <c r="AN249" i="25"/>
  <c r="AN248" i="25"/>
  <c r="AN247" i="25"/>
  <c r="AN246" i="25"/>
  <c r="AN245" i="25"/>
  <c r="AN244" i="25"/>
  <c r="AN243" i="25"/>
  <c r="AN242" i="25"/>
  <c r="AN241" i="25"/>
  <c r="AN240" i="25"/>
  <c r="AN239" i="25"/>
  <c r="AN238" i="25"/>
  <c r="AN237" i="25"/>
  <c r="AN236" i="25"/>
  <c r="AN235" i="25"/>
  <c r="AN234" i="25"/>
  <c r="AN233" i="25"/>
  <c r="AN232" i="25"/>
  <c r="AN231" i="25"/>
  <c r="AN230" i="25"/>
  <c r="AN229" i="25"/>
  <c r="AN228" i="25"/>
  <c r="AN227" i="25"/>
  <c r="AN226" i="25"/>
  <c r="AN225" i="25"/>
  <c r="AN224" i="25"/>
  <c r="AN223" i="25"/>
  <c r="AN222" i="25"/>
  <c r="AN221" i="25"/>
  <c r="AN220" i="25"/>
  <c r="AN219" i="25"/>
  <c r="AN218" i="25"/>
  <c r="AN217" i="25"/>
  <c r="AN216" i="25"/>
  <c r="AN215" i="25"/>
  <c r="AN214" i="25"/>
  <c r="AN213" i="25"/>
  <c r="AN212" i="25"/>
  <c r="AN211" i="25"/>
  <c r="AN210" i="25"/>
  <c r="AN209" i="25"/>
  <c r="AN208" i="25"/>
  <c r="AN207" i="25"/>
  <c r="AN206" i="25"/>
  <c r="AN205" i="25"/>
  <c r="AN204" i="25"/>
  <c r="AN203" i="25"/>
  <c r="AN202" i="25"/>
  <c r="AN201" i="25"/>
  <c r="AN200" i="25"/>
  <c r="AN199" i="25"/>
  <c r="AN198" i="25"/>
  <c r="AN197" i="25"/>
  <c r="AN196" i="25"/>
  <c r="AN195" i="25"/>
  <c r="AN194" i="25"/>
  <c r="AN193" i="25"/>
  <c r="AN192" i="25"/>
  <c r="AN191" i="25"/>
  <c r="AN190" i="25"/>
  <c r="AN189" i="25"/>
  <c r="AN188" i="25"/>
  <c r="AN187" i="25"/>
  <c r="AN186" i="25"/>
  <c r="AN185" i="25"/>
  <c r="AN184" i="25"/>
  <c r="AN183" i="25"/>
  <c r="AN182" i="25"/>
  <c r="AN181" i="25"/>
  <c r="AN180" i="25"/>
  <c r="AN179" i="25"/>
  <c r="AN178" i="25"/>
  <c r="AN177" i="25"/>
  <c r="AN176" i="25"/>
  <c r="AN175" i="25"/>
  <c r="AN174" i="25"/>
  <c r="AN173" i="25"/>
  <c r="AN172" i="25"/>
  <c r="AN171" i="25"/>
  <c r="AN170" i="25"/>
  <c r="AN169" i="25"/>
  <c r="AN168" i="25"/>
  <c r="AN167" i="25"/>
  <c r="AN166" i="25"/>
  <c r="AN165" i="25"/>
  <c r="AN164" i="25"/>
  <c r="AN163" i="25"/>
  <c r="AN162" i="25"/>
  <c r="AN161" i="25"/>
  <c r="AN160" i="25"/>
  <c r="AN159" i="25"/>
  <c r="AN158" i="25"/>
  <c r="AN157" i="25"/>
  <c r="AN156" i="25"/>
  <c r="AN155" i="25"/>
  <c r="AN154" i="25"/>
  <c r="AN153" i="25"/>
  <c r="AN152" i="25"/>
  <c r="AN151" i="25"/>
  <c r="AN150" i="25"/>
  <c r="AN149" i="25"/>
  <c r="AN148" i="25"/>
  <c r="AN147" i="25"/>
  <c r="AN146" i="25"/>
  <c r="AN145" i="25"/>
  <c r="AN144" i="25"/>
  <c r="AN143" i="25"/>
  <c r="AN142" i="25"/>
  <c r="AN141" i="25"/>
  <c r="AN140" i="25"/>
  <c r="AN139" i="25"/>
  <c r="AN138" i="25"/>
  <c r="AN137" i="25"/>
  <c r="AN136" i="25"/>
  <c r="AN135" i="25"/>
  <c r="AN134" i="25"/>
  <c r="AN133" i="25"/>
  <c r="AN132" i="25"/>
  <c r="AN131" i="25"/>
  <c r="AN130" i="25"/>
  <c r="AN129" i="25"/>
  <c r="AN128" i="25"/>
  <c r="AN127" i="25"/>
  <c r="AN126" i="25"/>
  <c r="AN125" i="25"/>
  <c r="AN124" i="25"/>
  <c r="AN123" i="25"/>
  <c r="AN122" i="25"/>
  <c r="AN121" i="25"/>
  <c r="AN120" i="25"/>
  <c r="AN119" i="25"/>
  <c r="AN118" i="25"/>
  <c r="AN117" i="25"/>
  <c r="AN116" i="25"/>
  <c r="AN115" i="25"/>
  <c r="AN114" i="25"/>
  <c r="AN113" i="25"/>
  <c r="AN112" i="25"/>
  <c r="AN111" i="25"/>
  <c r="AN110" i="25"/>
  <c r="AN109" i="25"/>
  <c r="AN108" i="25"/>
  <c r="AN107" i="25"/>
  <c r="AN106" i="25"/>
  <c r="AN105" i="25"/>
  <c r="AN104" i="25"/>
  <c r="AN103" i="25"/>
  <c r="AN102" i="25"/>
  <c r="AN101" i="25"/>
  <c r="AN100" i="25"/>
  <c r="AN99" i="25"/>
  <c r="AN98" i="25"/>
  <c r="AN97" i="25"/>
  <c r="AN96" i="25"/>
  <c r="AN95" i="25"/>
  <c r="AN94" i="25"/>
  <c r="AN93" i="25"/>
  <c r="AN92" i="25"/>
  <c r="AN91" i="25"/>
  <c r="AN90" i="25"/>
  <c r="AN89" i="25"/>
  <c r="AN88" i="25"/>
  <c r="AN87" i="25"/>
  <c r="AN86" i="25"/>
  <c r="AN85" i="25"/>
  <c r="AN84" i="25"/>
  <c r="AN83" i="25"/>
  <c r="AN82" i="25"/>
  <c r="AN81" i="25"/>
  <c r="AN80" i="25"/>
  <c r="AN79" i="25"/>
  <c r="AN78" i="25"/>
  <c r="AN77" i="25"/>
  <c r="AN76" i="25"/>
  <c r="AN75" i="25"/>
  <c r="AN74" i="25"/>
  <c r="AN73" i="25"/>
  <c r="AN72" i="25"/>
  <c r="AN71" i="25"/>
  <c r="AN70" i="25"/>
  <c r="AN69" i="25"/>
  <c r="AN68" i="25"/>
  <c r="AN67" i="25"/>
  <c r="AN66" i="25"/>
  <c r="AN65" i="25"/>
  <c r="AN64" i="25"/>
  <c r="AN63" i="25"/>
  <c r="AN62" i="25"/>
  <c r="AN61" i="25"/>
  <c r="AN60" i="25"/>
  <c r="AN59" i="25"/>
  <c r="AN58" i="25"/>
  <c r="AN57" i="25"/>
  <c r="AN56" i="25"/>
  <c r="AN55" i="25"/>
  <c r="AN54" i="25"/>
  <c r="AN53" i="25"/>
  <c r="AN52" i="25"/>
  <c r="AN51" i="25"/>
  <c r="AN50" i="25"/>
  <c r="AN49" i="25"/>
  <c r="AN48" i="25"/>
  <c r="AN47" i="25"/>
  <c r="AN46" i="25"/>
  <c r="AN45" i="25"/>
  <c r="AN44" i="25"/>
  <c r="AN43" i="25"/>
  <c r="AN42" i="25"/>
  <c r="AN41" i="25"/>
  <c r="AN40" i="25"/>
  <c r="AN39" i="25"/>
  <c r="AN38" i="25"/>
  <c r="AN37" i="25"/>
  <c r="AN36" i="25"/>
  <c r="AN35" i="25"/>
  <c r="AN34" i="25"/>
  <c r="AN33" i="25"/>
  <c r="AN32" i="25"/>
  <c r="AN31" i="25"/>
  <c r="AN30" i="25"/>
  <c r="AN29" i="25"/>
  <c r="AN28" i="25"/>
  <c r="AN27" i="25"/>
  <c r="AN26" i="25"/>
  <c r="AN25" i="25"/>
  <c r="AN24" i="25"/>
  <c r="AN23" i="25"/>
  <c r="AN22" i="25"/>
  <c r="AN21" i="25"/>
  <c r="AN20" i="25"/>
  <c r="AN19" i="25"/>
  <c r="AN18" i="25"/>
  <c r="AN17" i="25"/>
  <c r="AN16" i="25"/>
  <c r="AN15" i="25"/>
  <c r="AN14" i="25"/>
  <c r="AN13" i="25"/>
  <c r="AN12" i="25"/>
  <c r="AN11" i="25"/>
  <c r="AN10" i="25"/>
  <c r="AN9" i="25"/>
  <c r="AN8" i="25"/>
  <c r="AN7" i="25"/>
  <c r="AN6" i="25"/>
  <c r="AN5" i="25"/>
  <c r="AN4" i="25"/>
  <c r="AN3" i="25"/>
  <c r="AN2" i="25"/>
  <c r="AM881" i="25"/>
  <c r="AM880" i="25"/>
  <c r="AM879" i="25"/>
  <c r="AM878" i="25"/>
  <c r="AM877" i="25"/>
  <c r="AM876" i="25"/>
  <c r="AM875" i="25"/>
  <c r="AM874" i="25"/>
  <c r="AM873" i="25"/>
  <c r="AM872" i="25"/>
  <c r="AM871" i="25"/>
  <c r="AM870" i="25"/>
  <c r="AM869" i="25"/>
  <c r="AM868" i="25"/>
  <c r="AM867" i="25"/>
  <c r="AM866" i="25"/>
  <c r="AM865" i="25"/>
  <c r="AM864" i="25"/>
  <c r="AM863" i="25"/>
  <c r="AM862" i="25"/>
  <c r="AM861" i="25"/>
  <c r="AM860" i="25"/>
  <c r="AM859" i="25"/>
  <c r="AM858" i="25"/>
  <c r="AM857" i="25"/>
  <c r="AM856" i="25"/>
  <c r="AM855" i="25"/>
  <c r="AM854" i="25"/>
  <c r="AM853" i="25"/>
  <c r="AM852" i="25"/>
  <c r="AM851" i="25"/>
  <c r="AM850" i="25"/>
  <c r="AM849" i="25"/>
  <c r="AM848" i="25"/>
  <c r="AM847" i="25"/>
  <c r="AM846" i="25"/>
  <c r="AM845" i="25"/>
  <c r="AM844" i="25"/>
  <c r="AM843" i="25"/>
  <c r="AM842" i="25"/>
  <c r="AM841" i="25"/>
  <c r="AM840" i="25"/>
  <c r="AM839" i="25"/>
  <c r="AM838" i="25"/>
  <c r="AM837" i="25"/>
  <c r="AM836" i="25"/>
  <c r="AM835" i="25"/>
  <c r="AM834" i="25"/>
  <c r="AM833" i="25"/>
  <c r="AM832" i="25"/>
  <c r="AM831" i="25"/>
  <c r="AM830" i="25"/>
  <c r="AM829" i="25"/>
  <c r="AM828" i="25"/>
  <c r="AM827" i="25"/>
  <c r="AM826" i="25"/>
  <c r="AM825" i="25"/>
  <c r="AM824" i="25"/>
  <c r="AM823" i="25"/>
  <c r="AM822" i="25"/>
  <c r="AM821" i="25"/>
  <c r="AM820" i="25"/>
  <c r="AM819" i="25"/>
  <c r="AM818" i="25"/>
  <c r="AM817" i="25"/>
  <c r="AM816" i="25"/>
  <c r="AM815" i="25"/>
  <c r="AM814" i="25"/>
  <c r="AM813" i="25"/>
  <c r="AM812" i="25"/>
  <c r="AM811" i="25"/>
  <c r="AM810" i="25"/>
  <c r="AM809" i="25"/>
  <c r="AM808" i="25"/>
  <c r="AM807" i="25"/>
  <c r="AM806" i="25"/>
  <c r="AM805" i="25"/>
  <c r="AM804" i="25"/>
  <c r="AM803" i="25"/>
  <c r="AM802" i="25"/>
  <c r="AM801" i="25"/>
  <c r="AM800" i="25"/>
  <c r="AM799" i="25"/>
  <c r="AM798" i="25"/>
  <c r="AM797" i="25"/>
  <c r="AM796" i="25"/>
  <c r="AM795" i="25"/>
  <c r="AM794" i="25"/>
  <c r="AM793" i="25"/>
  <c r="AM792" i="25"/>
  <c r="AM791" i="25"/>
  <c r="AM790" i="25"/>
  <c r="AM789" i="25"/>
  <c r="AM788" i="25"/>
  <c r="AM787" i="25"/>
  <c r="AM786" i="25"/>
  <c r="AM785" i="25"/>
  <c r="AM784" i="25"/>
  <c r="AM783" i="25"/>
  <c r="AM782" i="25"/>
  <c r="AM781" i="25"/>
  <c r="AM780" i="25"/>
  <c r="AM779" i="25"/>
  <c r="AM778" i="25"/>
  <c r="AM777" i="25"/>
  <c r="AM776" i="25"/>
  <c r="AM775" i="25"/>
  <c r="AM774" i="25"/>
  <c r="AM773" i="25"/>
  <c r="AM772" i="25"/>
  <c r="AM771" i="25"/>
  <c r="AM770" i="25"/>
  <c r="AM769" i="25"/>
  <c r="AM768" i="25"/>
  <c r="AM767" i="25"/>
  <c r="AM766" i="25"/>
  <c r="AM765" i="25"/>
  <c r="AM764" i="25"/>
  <c r="AM763" i="25"/>
  <c r="AM762" i="25"/>
  <c r="AM761" i="25"/>
  <c r="AM760" i="25"/>
  <c r="AM759" i="25"/>
  <c r="AM758" i="25"/>
  <c r="AM757" i="25"/>
  <c r="AM756" i="25"/>
  <c r="AM755" i="25"/>
  <c r="AM754" i="25"/>
  <c r="AM753" i="25"/>
  <c r="AM752" i="25"/>
  <c r="AM751" i="25"/>
  <c r="AM750" i="25"/>
  <c r="AM749" i="25"/>
  <c r="AM748" i="25"/>
  <c r="AM747" i="25"/>
  <c r="AM746" i="25"/>
  <c r="AM745" i="25"/>
  <c r="AM744" i="25"/>
  <c r="AM743" i="25"/>
  <c r="AM742" i="25"/>
  <c r="AM741" i="25"/>
  <c r="AM740" i="25"/>
  <c r="AM739" i="25"/>
  <c r="AM738" i="25"/>
  <c r="AM737" i="25"/>
  <c r="AM736" i="25"/>
  <c r="AM735" i="25"/>
  <c r="AM734" i="25"/>
  <c r="AM733" i="25"/>
  <c r="AM732" i="25"/>
  <c r="AM731" i="25"/>
  <c r="AM730" i="25"/>
  <c r="AM729" i="25"/>
  <c r="AM728" i="25"/>
  <c r="AM727" i="25"/>
  <c r="AM726" i="25"/>
  <c r="AM725" i="25"/>
  <c r="AM724" i="25"/>
  <c r="AM723" i="25"/>
  <c r="AM722" i="25"/>
  <c r="AM721" i="25"/>
  <c r="AM720" i="25"/>
  <c r="AM719" i="25"/>
  <c r="AM718" i="25"/>
  <c r="AM717" i="25"/>
  <c r="AM716" i="25"/>
  <c r="AM715" i="25"/>
  <c r="AM714" i="25"/>
  <c r="AM713" i="25"/>
  <c r="AM712" i="25"/>
  <c r="AM711" i="25"/>
  <c r="AM710" i="25"/>
  <c r="AM709" i="25"/>
  <c r="AM708" i="25"/>
  <c r="AM707" i="25"/>
  <c r="AM706" i="25"/>
  <c r="AM705" i="25"/>
  <c r="AM704" i="25"/>
  <c r="AM703" i="25"/>
  <c r="AM702" i="25"/>
  <c r="AM701" i="25"/>
  <c r="AM700" i="25"/>
  <c r="AM699" i="25"/>
  <c r="AM698" i="25"/>
  <c r="AM697" i="25"/>
  <c r="AM696" i="25"/>
  <c r="AM695" i="25"/>
  <c r="AM694" i="25"/>
  <c r="AM693" i="25"/>
  <c r="AM692" i="25"/>
  <c r="AM691" i="25"/>
  <c r="AM690" i="25"/>
  <c r="AM689" i="25"/>
  <c r="AM688" i="25"/>
  <c r="AM687" i="25"/>
  <c r="AM686" i="25"/>
  <c r="AM685" i="25"/>
  <c r="AM684" i="25"/>
  <c r="AM683" i="25"/>
  <c r="AM682" i="25"/>
  <c r="AM681" i="25"/>
  <c r="AM680" i="25"/>
  <c r="AM679" i="25"/>
  <c r="AM678" i="25"/>
  <c r="AM677" i="25"/>
  <c r="AM676" i="25"/>
  <c r="AM675" i="25"/>
  <c r="AM674" i="25"/>
  <c r="AM673" i="25"/>
  <c r="AM672" i="25"/>
  <c r="AM671" i="25"/>
  <c r="AM670" i="25"/>
  <c r="AM669" i="25"/>
  <c r="AM668" i="25"/>
  <c r="AM667" i="25"/>
  <c r="AM666" i="25"/>
  <c r="AM665" i="25"/>
  <c r="AM664" i="25"/>
  <c r="AM663" i="25"/>
  <c r="AM662" i="25"/>
  <c r="AM661" i="25"/>
  <c r="AM660" i="25"/>
  <c r="AM659" i="25"/>
  <c r="AM658" i="25"/>
  <c r="AM657" i="25"/>
  <c r="AM656" i="25"/>
  <c r="AM655" i="25"/>
  <c r="AM654" i="25"/>
  <c r="AM653" i="25"/>
  <c r="AM652" i="25"/>
  <c r="AM651" i="25"/>
  <c r="AM650" i="25"/>
  <c r="AM649" i="25"/>
  <c r="AM648" i="25"/>
  <c r="AM647" i="25"/>
  <c r="AM646" i="25"/>
  <c r="AM645" i="25"/>
  <c r="AM644" i="25"/>
  <c r="AM643" i="25"/>
  <c r="AM642" i="25"/>
  <c r="AM641" i="25"/>
  <c r="AM640" i="25"/>
  <c r="AM639" i="25"/>
  <c r="AM638" i="25"/>
  <c r="AM637" i="25"/>
  <c r="AM636" i="25"/>
  <c r="AM635" i="25"/>
  <c r="AM634" i="25"/>
  <c r="AM633" i="25"/>
  <c r="AM632" i="25"/>
  <c r="AM631" i="25"/>
  <c r="AM630" i="25"/>
  <c r="AM629" i="25"/>
  <c r="AM628" i="25"/>
  <c r="AM627" i="25"/>
  <c r="AM626" i="25"/>
  <c r="AM625" i="25"/>
  <c r="AM624" i="25"/>
  <c r="AM623" i="25"/>
  <c r="AM622" i="25"/>
  <c r="AM621" i="25"/>
  <c r="AM620" i="25"/>
  <c r="AM619" i="25"/>
  <c r="AM618" i="25"/>
  <c r="AM617" i="25"/>
  <c r="AM616" i="25"/>
  <c r="AM615" i="25"/>
  <c r="AM614" i="25"/>
  <c r="AM613" i="25"/>
  <c r="AM612" i="25"/>
  <c r="AM611" i="25"/>
  <c r="AM610" i="25"/>
  <c r="AM609" i="25"/>
  <c r="AM608" i="25"/>
  <c r="AM607" i="25"/>
  <c r="AM606" i="25"/>
  <c r="AM605" i="25"/>
  <c r="AM604" i="25"/>
  <c r="AM603" i="25"/>
  <c r="AM602" i="25"/>
  <c r="AM601" i="25"/>
  <c r="AM600" i="25"/>
  <c r="AM599" i="25"/>
  <c r="AM598" i="25"/>
  <c r="AM597" i="25"/>
  <c r="AM596" i="25"/>
  <c r="AM595" i="25"/>
  <c r="AM594" i="25"/>
  <c r="AM593" i="25"/>
  <c r="AM592" i="25"/>
  <c r="AM591" i="25"/>
  <c r="AM590" i="25"/>
  <c r="AM589" i="25"/>
  <c r="AM588" i="25"/>
  <c r="AM587" i="25"/>
  <c r="AM586" i="25"/>
  <c r="AM585" i="25"/>
  <c r="AM584" i="25"/>
  <c r="AM583" i="25"/>
  <c r="AM582" i="25"/>
  <c r="AM581" i="25"/>
  <c r="AM580" i="25"/>
  <c r="AM579" i="25"/>
  <c r="AM578" i="25"/>
  <c r="AM577" i="25"/>
  <c r="AM576" i="25"/>
  <c r="AM575" i="25"/>
  <c r="AM574" i="25"/>
  <c r="AM573" i="25"/>
  <c r="AM572" i="25"/>
  <c r="AM571" i="25"/>
  <c r="AM570" i="25"/>
  <c r="AM569" i="25"/>
  <c r="AM568" i="25"/>
  <c r="AM567" i="25"/>
  <c r="AM566" i="25"/>
  <c r="AM565" i="25"/>
  <c r="AM564" i="25"/>
  <c r="AM563" i="25"/>
  <c r="AM562" i="25"/>
  <c r="AM561" i="25"/>
  <c r="AM560" i="25"/>
  <c r="AM559" i="25"/>
  <c r="AM558" i="25"/>
  <c r="AM557" i="25"/>
  <c r="AM556" i="25"/>
  <c r="AM555" i="25"/>
  <c r="AM554" i="25"/>
  <c r="AM553" i="25"/>
  <c r="AM552" i="25"/>
  <c r="AM551" i="25"/>
  <c r="AM550" i="25"/>
  <c r="AM549" i="25"/>
  <c r="AM548" i="25"/>
  <c r="AM547" i="25"/>
  <c r="AM546" i="25"/>
  <c r="AM545" i="25"/>
  <c r="AM544" i="25"/>
  <c r="AM543" i="25"/>
  <c r="AM542" i="25"/>
  <c r="AM541" i="25"/>
  <c r="AM540" i="25"/>
  <c r="AM539" i="25"/>
  <c r="AM538" i="25"/>
  <c r="AM537" i="25"/>
  <c r="AM536" i="25"/>
  <c r="AM535" i="25"/>
  <c r="AM534" i="25"/>
  <c r="AM533" i="25"/>
  <c r="AM532" i="25"/>
  <c r="AM531" i="25"/>
  <c r="AM530" i="25"/>
  <c r="AM529" i="25"/>
  <c r="AM528" i="25"/>
  <c r="AM527" i="25"/>
  <c r="AM526" i="25"/>
  <c r="AM525" i="25"/>
  <c r="AM524" i="25"/>
  <c r="AM523" i="25"/>
  <c r="AM522" i="25"/>
  <c r="AM521" i="25"/>
  <c r="AM520" i="25"/>
  <c r="AM519" i="25"/>
  <c r="AM518" i="25"/>
  <c r="AM517" i="25"/>
  <c r="AM516" i="25"/>
  <c r="AM515" i="25"/>
  <c r="AM514" i="25"/>
  <c r="AM513" i="25"/>
  <c r="AM512" i="25"/>
  <c r="AM511" i="25"/>
  <c r="AM510" i="25"/>
  <c r="AM509" i="25"/>
  <c r="AM508" i="25"/>
  <c r="AM507" i="25"/>
  <c r="AM506" i="25"/>
  <c r="AM505" i="25"/>
  <c r="AM504" i="25"/>
  <c r="AM503" i="25"/>
  <c r="AM502" i="25"/>
  <c r="AM501" i="25"/>
  <c r="AM500" i="25"/>
  <c r="AM499" i="25"/>
  <c r="AM498" i="25"/>
  <c r="AM497" i="25"/>
  <c r="AM496" i="25"/>
  <c r="AM495" i="25"/>
  <c r="AM494" i="25"/>
  <c r="AM493" i="25"/>
  <c r="AM492" i="25"/>
  <c r="AM491" i="25"/>
  <c r="AM490" i="25"/>
  <c r="AM489" i="25"/>
  <c r="AM488" i="25"/>
  <c r="AM487" i="25"/>
  <c r="AM486" i="25"/>
  <c r="AM485" i="25"/>
  <c r="AM484" i="25"/>
  <c r="AM483" i="25"/>
  <c r="AM482" i="25"/>
  <c r="AM481" i="25"/>
  <c r="AM480" i="25"/>
  <c r="AM479" i="25"/>
  <c r="AM478" i="25"/>
  <c r="AM477" i="25"/>
  <c r="AM476" i="25"/>
  <c r="AM475" i="25"/>
  <c r="AM474" i="25"/>
  <c r="AM473" i="25"/>
  <c r="AM472" i="25"/>
  <c r="AM471" i="25"/>
  <c r="AM470" i="25"/>
  <c r="AM469" i="25"/>
  <c r="AM468" i="25"/>
  <c r="AM467" i="25"/>
  <c r="AM466" i="25"/>
  <c r="AM465" i="25"/>
  <c r="AM464" i="25"/>
  <c r="AM463" i="25"/>
  <c r="AM462" i="25"/>
  <c r="AM461" i="25"/>
  <c r="AM460" i="25"/>
  <c r="AM459" i="25"/>
  <c r="AM458" i="25"/>
  <c r="AM457" i="25"/>
  <c r="AM456" i="25"/>
  <c r="AM455" i="25"/>
  <c r="AM454" i="25"/>
  <c r="AM453" i="25"/>
  <c r="AM452" i="25"/>
  <c r="AM451" i="25"/>
  <c r="AM450" i="25"/>
  <c r="AM449" i="25"/>
  <c r="AM448" i="25"/>
  <c r="AM447" i="25"/>
  <c r="AM446" i="25"/>
  <c r="AM445" i="25"/>
  <c r="AM444" i="25"/>
  <c r="AM443" i="25"/>
  <c r="AM442" i="25"/>
  <c r="AM441" i="25"/>
  <c r="AM440" i="25"/>
  <c r="AM439" i="25"/>
  <c r="AM438" i="25"/>
  <c r="AM437" i="25"/>
  <c r="AM436" i="25"/>
  <c r="AM435" i="25"/>
  <c r="AM434" i="25"/>
  <c r="AM433" i="25"/>
  <c r="AM432" i="25"/>
  <c r="AM431" i="25"/>
  <c r="AM430" i="25"/>
  <c r="AM429" i="25"/>
  <c r="AM428" i="25"/>
  <c r="AM427" i="25"/>
  <c r="AM426" i="25"/>
  <c r="AM425" i="25"/>
  <c r="AM424" i="25"/>
  <c r="AM423" i="25"/>
  <c r="AM422" i="25"/>
  <c r="AM421" i="25"/>
  <c r="AM420" i="25"/>
  <c r="AM419" i="25"/>
  <c r="AM418" i="25"/>
  <c r="AM417" i="25"/>
  <c r="AM416" i="25"/>
  <c r="AM415" i="25"/>
  <c r="AM414" i="25"/>
  <c r="AM413" i="25"/>
  <c r="AM412" i="25"/>
  <c r="AM411" i="25"/>
  <c r="AM410" i="25"/>
  <c r="AM409" i="25"/>
  <c r="AM408" i="25"/>
  <c r="AM407" i="25"/>
  <c r="AM406" i="25"/>
  <c r="AM405" i="25"/>
  <c r="AM404" i="25"/>
  <c r="AM403" i="25"/>
  <c r="AM402" i="25"/>
  <c r="AM401" i="25"/>
  <c r="AM400" i="25"/>
  <c r="AM399" i="25"/>
  <c r="AM398" i="25"/>
  <c r="AM397" i="25"/>
  <c r="AM396" i="25"/>
  <c r="AM395" i="25"/>
  <c r="AM394" i="25"/>
  <c r="AM393" i="25"/>
  <c r="AM392" i="25"/>
  <c r="AM391" i="25"/>
  <c r="AM390" i="25"/>
  <c r="AM389" i="25"/>
  <c r="AM388" i="25"/>
  <c r="AM387" i="25"/>
  <c r="AM386" i="25"/>
  <c r="AM385" i="25"/>
  <c r="AM384" i="25"/>
  <c r="AM383" i="25"/>
  <c r="AM382" i="25"/>
  <c r="AM381" i="25"/>
  <c r="AM380" i="25"/>
  <c r="AM379" i="25"/>
  <c r="AM378" i="25"/>
  <c r="AM377" i="25"/>
  <c r="AM376" i="25"/>
  <c r="AM375" i="25"/>
  <c r="AM374" i="25"/>
  <c r="AM373" i="25"/>
  <c r="AM372" i="25"/>
  <c r="AM371" i="25"/>
  <c r="AM370" i="25"/>
  <c r="AM369" i="25"/>
  <c r="AM368" i="25"/>
  <c r="AM367" i="25"/>
  <c r="AM366" i="25"/>
  <c r="AM365" i="25"/>
  <c r="AM364" i="25"/>
  <c r="AM363" i="25"/>
  <c r="AM362" i="25"/>
  <c r="AM361" i="25"/>
  <c r="AM360" i="25"/>
  <c r="AM359" i="25"/>
  <c r="AM358" i="25"/>
  <c r="AM357" i="25"/>
  <c r="AM356" i="25"/>
  <c r="AM355" i="25"/>
  <c r="AM354" i="25"/>
  <c r="AM353" i="25"/>
  <c r="AM352" i="25"/>
  <c r="AM351" i="25"/>
  <c r="AM350" i="25"/>
  <c r="AM349" i="25"/>
  <c r="AM348" i="25"/>
  <c r="AM347" i="25"/>
  <c r="AM346" i="25"/>
  <c r="AM345" i="25"/>
  <c r="AM344" i="25"/>
  <c r="AM343" i="25"/>
  <c r="AM342" i="25"/>
  <c r="AM341" i="25"/>
  <c r="AM340" i="25"/>
  <c r="AM339" i="25"/>
  <c r="AM338" i="25"/>
  <c r="AM337" i="25"/>
  <c r="AM336" i="25"/>
  <c r="AM335" i="25"/>
  <c r="AM334" i="25"/>
  <c r="AM333" i="25"/>
  <c r="AM332" i="25"/>
  <c r="AM331" i="25"/>
  <c r="AM330" i="25"/>
  <c r="AM329" i="25"/>
  <c r="AM328" i="25"/>
  <c r="AM327" i="25"/>
  <c r="AM326" i="25"/>
  <c r="AM325" i="25"/>
  <c r="AM324" i="25"/>
  <c r="AM323" i="25"/>
  <c r="AM322" i="25"/>
  <c r="AM321" i="25"/>
  <c r="AM320" i="25"/>
  <c r="AM319" i="25"/>
  <c r="AM318" i="25"/>
  <c r="AM317" i="25"/>
  <c r="AM316" i="25"/>
  <c r="AM315" i="25"/>
  <c r="AM314" i="25"/>
  <c r="AM313" i="25"/>
  <c r="AM312" i="25"/>
  <c r="AM311" i="25"/>
  <c r="AM310" i="25"/>
  <c r="AM309" i="25"/>
  <c r="AM308" i="25"/>
  <c r="AM307" i="25"/>
  <c r="AM306" i="25"/>
  <c r="AM305" i="25"/>
  <c r="AM304" i="25"/>
  <c r="AM303" i="25"/>
  <c r="AM302" i="25"/>
  <c r="AM301" i="25"/>
  <c r="AM300" i="25"/>
  <c r="AM299" i="25"/>
  <c r="AM298" i="25"/>
  <c r="AM297" i="25"/>
  <c r="AM296" i="25"/>
  <c r="AM295" i="25"/>
  <c r="AM294" i="25"/>
  <c r="AM293" i="25"/>
  <c r="AM292" i="25"/>
  <c r="AM291" i="25"/>
  <c r="AM290" i="25"/>
  <c r="AM289" i="25"/>
  <c r="AM288" i="25"/>
  <c r="AM287" i="25"/>
  <c r="AM286" i="25"/>
  <c r="AM285" i="25"/>
  <c r="AM284" i="25"/>
  <c r="AM283" i="25"/>
  <c r="AM282" i="25"/>
  <c r="AM281" i="25"/>
  <c r="AM280" i="25"/>
  <c r="AM279" i="25"/>
  <c r="AM278" i="25"/>
  <c r="AM277" i="25"/>
  <c r="AM276" i="25"/>
  <c r="AM275" i="25"/>
  <c r="AM274" i="25"/>
  <c r="AM273" i="25"/>
  <c r="AM272" i="25"/>
  <c r="AM271" i="25"/>
  <c r="AM270" i="25"/>
  <c r="AM269" i="25"/>
  <c r="AM268" i="25"/>
  <c r="AM267" i="25"/>
  <c r="AM266" i="25"/>
  <c r="AM265" i="25"/>
  <c r="AM264" i="25"/>
  <c r="AM263" i="25"/>
  <c r="AM262" i="25"/>
  <c r="AM261" i="25"/>
  <c r="AM260" i="25"/>
  <c r="AM259" i="25"/>
  <c r="AM258" i="25"/>
  <c r="AM257" i="25"/>
  <c r="AM256" i="25"/>
  <c r="AM255" i="25"/>
  <c r="AM254" i="25"/>
  <c r="AM253" i="25"/>
  <c r="AM252" i="25"/>
  <c r="AM251" i="25"/>
  <c r="AM250" i="25"/>
  <c r="AM249" i="25"/>
  <c r="AM248" i="25"/>
  <c r="AM247" i="25"/>
  <c r="AM246" i="25"/>
  <c r="AM245" i="25"/>
  <c r="AM244" i="25"/>
  <c r="AM243" i="25"/>
  <c r="AM242" i="25"/>
  <c r="AM241" i="25"/>
  <c r="AM240" i="25"/>
  <c r="AM239" i="25"/>
  <c r="AM238" i="25"/>
  <c r="AM237" i="25"/>
  <c r="AM236" i="25"/>
  <c r="AM235" i="25"/>
  <c r="AM234" i="25"/>
  <c r="AM233" i="25"/>
  <c r="AM232" i="25"/>
  <c r="AM231" i="25"/>
  <c r="AM230" i="25"/>
  <c r="AM229" i="25"/>
  <c r="AM228" i="25"/>
  <c r="AM227" i="25"/>
  <c r="AM226" i="25"/>
  <c r="AM225" i="25"/>
  <c r="AM224" i="25"/>
  <c r="AM223" i="25"/>
  <c r="AM222" i="25"/>
  <c r="AM221" i="25"/>
  <c r="AM220" i="25"/>
  <c r="AM219" i="25"/>
  <c r="AM218" i="25"/>
  <c r="AM217" i="25"/>
  <c r="AM216" i="25"/>
  <c r="AM215" i="25"/>
  <c r="AM214" i="25"/>
  <c r="AM213" i="25"/>
  <c r="AM212" i="25"/>
  <c r="AM211" i="25"/>
  <c r="AM210" i="25"/>
  <c r="AM209" i="25"/>
  <c r="AM208" i="25"/>
  <c r="AM207" i="25"/>
  <c r="AM206" i="25"/>
  <c r="AM205" i="25"/>
  <c r="AM204" i="25"/>
  <c r="AM203" i="25"/>
  <c r="AM202" i="25"/>
  <c r="AM201" i="25"/>
  <c r="AM200" i="25"/>
  <c r="AM199" i="25"/>
  <c r="AM198" i="25"/>
  <c r="AM197" i="25"/>
  <c r="AM196" i="25"/>
  <c r="AM195" i="25"/>
  <c r="AM194" i="25"/>
  <c r="AM193" i="25"/>
  <c r="AM192" i="25"/>
  <c r="AM191" i="25"/>
  <c r="AM190" i="25"/>
  <c r="AM189" i="25"/>
  <c r="AM188" i="25"/>
  <c r="AM187" i="25"/>
  <c r="AM186" i="25"/>
  <c r="AM185" i="25"/>
  <c r="AM184" i="25"/>
  <c r="AM183" i="25"/>
  <c r="AM182" i="25"/>
  <c r="AM181" i="25"/>
  <c r="AM180" i="25"/>
  <c r="AM179" i="25"/>
  <c r="AM178" i="25"/>
  <c r="AM177" i="25"/>
  <c r="AM176" i="25"/>
  <c r="AM175" i="25"/>
  <c r="AM174" i="25"/>
  <c r="AM173" i="25"/>
  <c r="AM172" i="25"/>
  <c r="AM171" i="25"/>
  <c r="AM170" i="25"/>
  <c r="AM169" i="25"/>
  <c r="AM168" i="25"/>
  <c r="AM167" i="25"/>
  <c r="AM166" i="25"/>
  <c r="AM165" i="25"/>
  <c r="AM164" i="25"/>
  <c r="AM163" i="25"/>
  <c r="AM162" i="25"/>
  <c r="AM161" i="25"/>
  <c r="AM160" i="25"/>
  <c r="AM159" i="25"/>
  <c r="AM158" i="25"/>
  <c r="AM157" i="25"/>
  <c r="AM156" i="25"/>
  <c r="AM155" i="25"/>
  <c r="AM154" i="25"/>
  <c r="AM153" i="25"/>
  <c r="AM152" i="25"/>
  <c r="AM151" i="25"/>
  <c r="AM150" i="25"/>
  <c r="AM149" i="25"/>
  <c r="AM148" i="25"/>
  <c r="AM147" i="25"/>
  <c r="AM146" i="25"/>
  <c r="AM145" i="25"/>
  <c r="AM144" i="25"/>
  <c r="AM143" i="25"/>
  <c r="AM142" i="25"/>
  <c r="AM141" i="25"/>
  <c r="AM140" i="25"/>
  <c r="AM139" i="25"/>
  <c r="AM138" i="25"/>
  <c r="AM137" i="25"/>
  <c r="AM136" i="25"/>
  <c r="AM135" i="25"/>
  <c r="AM134" i="25"/>
  <c r="AM133" i="25"/>
  <c r="AM132" i="25"/>
  <c r="AM131" i="25"/>
  <c r="AM130" i="25"/>
  <c r="AM129" i="25"/>
  <c r="AM128" i="25"/>
  <c r="AM127" i="25"/>
  <c r="AM126" i="25"/>
  <c r="AM125" i="25"/>
  <c r="AM124" i="25"/>
  <c r="AM123" i="25"/>
  <c r="AM122" i="25"/>
  <c r="AM121" i="25"/>
  <c r="AM120" i="25"/>
  <c r="AM119" i="25"/>
  <c r="AM118" i="25"/>
  <c r="AM117" i="25"/>
  <c r="AM116" i="25"/>
  <c r="AM115" i="25"/>
  <c r="AM114" i="25"/>
  <c r="AM113" i="25"/>
  <c r="AM112" i="25"/>
  <c r="AM111" i="25"/>
  <c r="AM110" i="25"/>
  <c r="AM109" i="25"/>
  <c r="AM108" i="25"/>
  <c r="AM107" i="25"/>
  <c r="AM106" i="25"/>
  <c r="AM105" i="25"/>
  <c r="AM104" i="25"/>
  <c r="AM103" i="25"/>
  <c r="AM102" i="25"/>
  <c r="AM101" i="25"/>
  <c r="AM100" i="25"/>
  <c r="AM99" i="25"/>
  <c r="AM98" i="25"/>
  <c r="AM97" i="25"/>
  <c r="AM96" i="25"/>
  <c r="AM95" i="25"/>
  <c r="AM94" i="25"/>
  <c r="AM93" i="25"/>
  <c r="AM92" i="25"/>
  <c r="AM91" i="25"/>
  <c r="AM90" i="25"/>
  <c r="AM89" i="25"/>
  <c r="AM88" i="25"/>
  <c r="AM87" i="25"/>
  <c r="AM86" i="25"/>
  <c r="AM85" i="25"/>
  <c r="AM84" i="25"/>
  <c r="AM83" i="25"/>
  <c r="AM82" i="25"/>
  <c r="AM81" i="25"/>
  <c r="AM80" i="25"/>
  <c r="AM79" i="25"/>
  <c r="AM78" i="25"/>
  <c r="AM77" i="25"/>
  <c r="AM76" i="25"/>
  <c r="AM75" i="25"/>
  <c r="AM74" i="25"/>
  <c r="AM73" i="25"/>
  <c r="AM72" i="25"/>
  <c r="AM71" i="25"/>
  <c r="AM70" i="25"/>
  <c r="AM69" i="25"/>
  <c r="AM68" i="25"/>
  <c r="AM67" i="25"/>
  <c r="AM66" i="25"/>
  <c r="AM65" i="25"/>
  <c r="AM64" i="25"/>
  <c r="AM63" i="25"/>
  <c r="AM62" i="25"/>
  <c r="AM61" i="25"/>
  <c r="AM60" i="25"/>
  <c r="AM59" i="25"/>
  <c r="AM58" i="25"/>
  <c r="AM57" i="25"/>
  <c r="AM56" i="25"/>
  <c r="AM55" i="25"/>
  <c r="AM54" i="25"/>
  <c r="AM53" i="25"/>
  <c r="AM52" i="25"/>
  <c r="AM51" i="25"/>
  <c r="AM50" i="25"/>
  <c r="AM49" i="25"/>
  <c r="AM48" i="25"/>
  <c r="AM47" i="25"/>
  <c r="AM46" i="25"/>
  <c r="AM45" i="25"/>
  <c r="AM44" i="25"/>
  <c r="AM43" i="25"/>
  <c r="AM42" i="25"/>
  <c r="AM41" i="25"/>
  <c r="AM40" i="25"/>
  <c r="AM39" i="25"/>
  <c r="AM38" i="25"/>
  <c r="AM37" i="25"/>
  <c r="AM36" i="25"/>
  <c r="AM35" i="25"/>
  <c r="AM34" i="25"/>
  <c r="AM33" i="25"/>
  <c r="AM32" i="25"/>
  <c r="AM31" i="25"/>
  <c r="AM30" i="25"/>
  <c r="AM29" i="25"/>
  <c r="AM28" i="25"/>
  <c r="AM27" i="25"/>
  <c r="AM26" i="25"/>
  <c r="AM25" i="25"/>
  <c r="AM24" i="25"/>
  <c r="AM23" i="25"/>
  <c r="AM22" i="25"/>
  <c r="AM21" i="25"/>
  <c r="AM20" i="25"/>
  <c r="AM19" i="25"/>
  <c r="AM18" i="25"/>
  <c r="AM17" i="25"/>
  <c r="AM16" i="25"/>
  <c r="AM15" i="25"/>
  <c r="AM14" i="25"/>
  <c r="AM13" i="25"/>
  <c r="AM12" i="25"/>
  <c r="AM11" i="25"/>
  <c r="AM10" i="25"/>
  <c r="AM9" i="25"/>
  <c r="AM8" i="25"/>
  <c r="AM7" i="25"/>
  <c r="AM6" i="25"/>
  <c r="AM5" i="25"/>
  <c r="AM4" i="25"/>
  <c r="AM3" i="25"/>
  <c r="AM2" i="25"/>
  <c r="AL881" i="25"/>
  <c r="AL880" i="25"/>
  <c r="AL879" i="25"/>
  <c r="AL878" i="25"/>
  <c r="AL877" i="25"/>
  <c r="AL876" i="25"/>
  <c r="AL875" i="25"/>
  <c r="AL874" i="25"/>
  <c r="AL873" i="25"/>
  <c r="AL872" i="25"/>
  <c r="AL871" i="25"/>
  <c r="AL870" i="25"/>
  <c r="AL869" i="25"/>
  <c r="AL868" i="25"/>
  <c r="AL867" i="25"/>
  <c r="AL866" i="25"/>
  <c r="AL865" i="25"/>
  <c r="AL864" i="25"/>
  <c r="AL863" i="25"/>
  <c r="AL862" i="25"/>
  <c r="AL861" i="25"/>
  <c r="AL860" i="25"/>
  <c r="AL859" i="25"/>
  <c r="AL858" i="25"/>
  <c r="AL857" i="25"/>
  <c r="AL856" i="25"/>
  <c r="AL855" i="25"/>
  <c r="AL854" i="25"/>
  <c r="AL853" i="25"/>
  <c r="AL852" i="25"/>
  <c r="AL851" i="25"/>
  <c r="AL850" i="25"/>
  <c r="AL849" i="25"/>
  <c r="AL848" i="25"/>
  <c r="AL847" i="25"/>
  <c r="AL846" i="25"/>
  <c r="AL845" i="25"/>
  <c r="AL844" i="25"/>
  <c r="AL843" i="25"/>
  <c r="AL842" i="25"/>
  <c r="AL841" i="25"/>
  <c r="AL840" i="25"/>
  <c r="AL839" i="25"/>
  <c r="AL838" i="25"/>
  <c r="AL837" i="25"/>
  <c r="AL836" i="25"/>
  <c r="AL835" i="25"/>
  <c r="AL834" i="25"/>
  <c r="AL833" i="25"/>
  <c r="AL832" i="25"/>
  <c r="AL831" i="25"/>
  <c r="AL830" i="25"/>
  <c r="AL829" i="25"/>
  <c r="AL828" i="25"/>
  <c r="AL827" i="25"/>
  <c r="AL826" i="25"/>
  <c r="AL825" i="25"/>
  <c r="AL824" i="25"/>
  <c r="AL823" i="25"/>
  <c r="AL822" i="25"/>
  <c r="AL821" i="25"/>
  <c r="AL820" i="25"/>
  <c r="AL819" i="25"/>
  <c r="AL818" i="25"/>
  <c r="AL817" i="25"/>
  <c r="AL816" i="25"/>
  <c r="AL815" i="25"/>
  <c r="AL814" i="25"/>
  <c r="AL813" i="25"/>
  <c r="AL812" i="25"/>
  <c r="AL811" i="25"/>
  <c r="AL810" i="25"/>
  <c r="AL809" i="25"/>
  <c r="AL808" i="25"/>
  <c r="AL807" i="25"/>
  <c r="AL806" i="25"/>
  <c r="AL805" i="25"/>
  <c r="AL804" i="25"/>
  <c r="AL803" i="25"/>
  <c r="AL802" i="25"/>
  <c r="AL801" i="25"/>
  <c r="AL800" i="25"/>
  <c r="AL799" i="25"/>
  <c r="AL798" i="25"/>
  <c r="AL797" i="25"/>
  <c r="AL796" i="25"/>
  <c r="AL795" i="25"/>
  <c r="AL794" i="25"/>
  <c r="AL793" i="25"/>
  <c r="AL792" i="25"/>
  <c r="AL791" i="25"/>
  <c r="AL790" i="25"/>
  <c r="AL789" i="25"/>
  <c r="AL788" i="25"/>
  <c r="AL787" i="25"/>
  <c r="AL786" i="25"/>
  <c r="AL785" i="25"/>
  <c r="AL784" i="25"/>
  <c r="AL783" i="25"/>
  <c r="AL782" i="25"/>
  <c r="AL781" i="25"/>
  <c r="AL780" i="25"/>
  <c r="AL779" i="25"/>
  <c r="AL778" i="25"/>
  <c r="AL777" i="25"/>
  <c r="AL776" i="25"/>
  <c r="AL775" i="25"/>
  <c r="AL774" i="25"/>
  <c r="AL773" i="25"/>
  <c r="AL772" i="25"/>
  <c r="AL771" i="25"/>
  <c r="AL770" i="25"/>
  <c r="AL769" i="25"/>
  <c r="AL768" i="25"/>
  <c r="AL767" i="25"/>
  <c r="AL766" i="25"/>
  <c r="AL765" i="25"/>
  <c r="AL764" i="25"/>
  <c r="AL763" i="25"/>
  <c r="AL762" i="25"/>
  <c r="AL761" i="25"/>
  <c r="AL760" i="25"/>
  <c r="AL759" i="25"/>
  <c r="AL758" i="25"/>
  <c r="AL757" i="25"/>
  <c r="AL756" i="25"/>
  <c r="AL755" i="25"/>
  <c r="AL754" i="25"/>
  <c r="AL753" i="25"/>
  <c r="AL752" i="25"/>
  <c r="AL751" i="25"/>
  <c r="AL750" i="25"/>
  <c r="AL749" i="25"/>
  <c r="AL748" i="25"/>
  <c r="AL747" i="25"/>
  <c r="AL746" i="25"/>
  <c r="AL745" i="25"/>
  <c r="AL744" i="25"/>
  <c r="AL743" i="25"/>
  <c r="AL742" i="25"/>
  <c r="AL741" i="25"/>
  <c r="AL740" i="25"/>
  <c r="AL739" i="25"/>
  <c r="AL738" i="25"/>
  <c r="AL737" i="25"/>
  <c r="AL736" i="25"/>
  <c r="AL735" i="25"/>
  <c r="AL734" i="25"/>
  <c r="AL733" i="25"/>
  <c r="AL732" i="25"/>
  <c r="AL731" i="25"/>
  <c r="AL730" i="25"/>
  <c r="AL729" i="25"/>
  <c r="AL728" i="25"/>
  <c r="AL727" i="25"/>
  <c r="AL726" i="25"/>
  <c r="AL725" i="25"/>
  <c r="AL724" i="25"/>
  <c r="AL723" i="25"/>
  <c r="AL722" i="25"/>
  <c r="AL721" i="25"/>
  <c r="AL720" i="25"/>
  <c r="AL719" i="25"/>
  <c r="AL718" i="25"/>
  <c r="AL717" i="25"/>
  <c r="AL716" i="25"/>
  <c r="AL715" i="25"/>
  <c r="AL714" i="25"/>
  <c r="AL713" i="25"/>
  <c r="AL712" i="25"/>
  <c r="AL711" i="25"/>
  <c r="AL710" i="25"/>
  <c r="AL709" i="25"/>
  <c r="AL708" i="25"/>
  <c r="AL707" i="25"/>
  <c r="AL706" i="25"/>
  <c r="AL705" i="25"/>
  <c r="AL704" i="25"/>
  <c r="AL703" i="25"/>
  <c r="AL702" i="25"/>
  <c r="AL701" i="25"/>
  <c r="AL700" i="25"/>
  <c r="AL699" i="25"/>
  <c r="AL698" i="25"/>
  <c r="AL697" i="25"/>
  <c r="AL696" i="25"/>
  <c r="AL695" i="25"/>
  <c r="AL694" i="25"/>
  <c r="AL693" i="25"/>
  <c r="AL692" i="25"/>
  <c r="AL691" i="25"/>
  <c r="AL690" i="25"/>
  <c r="AL689" i="25"/>
  <c r="AL688" i="25"/>
  <c r="AL687" i="25"/>
  <c r="AL686" i="25"/>
  <c r="AL685" i="25"/>
  <c r="AL684" i="25"/>
  <c r="AL683" i="25"/>
  <c r="AL682" i="25"/>
  <c r="AL681" i="25"/>
  <c r="AL680" i="25"/>
  <c r="AL679" i="25"/>
  <c r="AL678" i="25"/>
  <c r="AL677" i="25"/>
  <c r="AL676" i="25"/>
  <c r="AL675" i="25"/>
  <c r="AL674" i="25"/>
  <c r="AL673" i="25"/>
  <c r="AL672" i="25"/>
  <c r="AL671" i="25"/>
  <c r="AL670" i="25"/>
  <c r="AL669" i="25"/>
  <c r="AL668" i="25"/>
  <c r="AL667" i="25"/>
  <c r="AL666" i="25"/>
  <c r="AL665" i="25"/>
  <c r="AL664" i="25"/>
  <c r="AL663" i="25"/>
  <c r="AL662" i="25"/>
  <c r="AL661" i="25"/>
  <c r="AL660" i="25"/>
  <c r="AL659" i="25"/>
  <c r="AL658" i="25"/>
  <c r="AL657" i="25"/>
  <c r="AL656" i="25"/>
  <c r="AL655" i="25"/>
  <c r="AL654" i="25"/>
  <c r="AL653" i="25"/>
  <c r="AL652" i="25"/>
  <c r="AL651" i="25"/>
  <c r="AL650" i="25"/>
  <c r="AL649" i="25"/>
  <c r="AL648" i="25"/>
  <c r="AL647" i="25"/>
  <c r="AL646" i="25"/>
  <c r="AL645" i="25"/>
  <c r="AL644" i="25"/>
  <c r="AL643" i="25"/>
  <c r="AL642" i="25"/>
  <c r="AL641" i="25"/>
  <c r="AL640" i="25"/>
  <c r="AL639" i="25"/>
  <c r="AL638" i="25"/>
  <c r="AL637" i="25"/>
  <c r="AL636" i="25"/>
  <c r="AL635" i="25"/>
  <c r="AL634" i="25"/>
  <c r="AL633" i="25"/>
  <c r="AL632" i="25"/>
  <c r="AL631" i="25"/>
  <c r="AL630" i="25"/>
  <c r="AL629" i="25"/>
  <c r="AL628" i="25"/>
  <c r="AL627" i="25"/>
  <c r="AL626" i="25"/>
  <c r="AL625" i="25"/>
  <c r="AL624" i="25"/>
  <c r="AL623" i="25"/>
  <c r="AL622" i="25"/>
  <c r="AL621" i="25"/>
  <c r="AL620" i="25"/>
  <c r="AL619" i="25"/>
  <c r="AL618" i="25"/>
  <c r="AL617" i="25"/>
  <c r="AL616" i="25"/>
  <c r="AL615" i="25"/>
  <c r="AL614" i="25"/>
  <c r="AL613" i="25"/>
  <c r="AL612" i="25"/>
  <c r="AL611" i="25"/>
  <c r="AL610" i="25"/>
  <c r="AL609" i="25"/>
  <c r="AL608" i="25"/>
  <c r="AL607" i="25"/>
  <c r="AL606" i="25"/>
  <c r="AL605" i="25"/>
  <c r="AL604" i="25"/>
  <c r="AL603" i="25"/>
  <c r="AL602" i="25"/>
  <c r="AL601" i="25"/>
  <c r="AL600" i="25"/>
  <c r="AL599" i="25"/>
  <c r="AL598" i="25"/>
  <c r="AL597" i="25"/>
  <c r="AL596" i="25"/>
  <c r="AL595" i="25"/>
  <c r="AL594" i="25"/>
  <c r="AL593" i="25"/>
  <c r="AL592" i="25"/>
  <c r="AL591" i="25"/>
  <c r="AL590" i="25"/>
  <c r="AL589" i="25"/>
  <c r="AL588" i="25"/>
  <c r="AL587" i="25"/>
  <c r="AL586" i="25"/>
  <c r="AL585" i="25"/>
  <c r="AL584" i="25"/>
  <c r="AL583" i="25"/>
  <c r="AL582" i="25"/>
  <c r="AL581" i="25"/>
  <c r="AL580" i="25"/>
  <c r="AL579" i="25"/>
  <c r="AL578" i="25"/>
  <c r="AL577" i="25"/>
  <c r="AL576" i="25"/>
  <c r="AL575" i="25"/>
  <c r="AL574" i="25"/>
  <c r="AL573" i="25"/>
  <c r="AL572" i="25"/>
  <c r="AL571" i="25"/>
  <c r="AL570" i="25"/>
  <c r="AL569" i="25"/>
  <c r="AL568" i="25"/>
  <c r="AL567" i="25"/>
  <c r="AL566" i="25"/>
  <c r="AL565" i="25"/>
  <c r="AL564" i="25"/>
  <c r="AL563" i="25"/>
  <c r="AL562" i="25"/>
  <c r="AL561" i="25"/>
  <c r="AL560" i="25"/>
  <c r="AL559" i="25"/>
  <c r="AL558" i="25"/>
  <c r="AL557" i="25"/>
  <c r="AL556" i="25"/>
  <c r="AL555" i="25"/>
  <c r="AL554" i="25"/>
  <c r="AL553" i="25"/>
  <c r="AL552" i="25"/>
  <c r="AL551" i="25"/>
  <c r="AL550" i="25"/>
  <c r="AL549" i="25"/>
  <c r="AL548" i="25"/>
  <c r="AL547" i="25"/>
  <c r="AL546" i="25"/>
  <c r="AL545" i="25"/>
  <c r="AL544" i="25"/>
  <c r="AL543" i="25"/>
  <c r="AL542" i="25"/>
  <c r="AL541" i="25"/>
  <c r="AL540" i="25"/>
  <c r="AL539" i="25"/>
  <c r="AL538" i="25"/>
  <c r="AL537" i="25"/>
  <c r="AL536" i="25"/>
  <c r="AL535" i="25"/>
  <c r="AL534" i="25"/>
  <c r="AL533" i="25"/>
  <c r="AL532" i="25"/>
  <c r="AL531" i="25"/>
  <c r="AL530" i="25"/>
  <c r="AL529" i="25"/>
  <c r="AL528" i="25"/>
  <c r="AL527" i="25"/>
  <c r="AL526" i="25"/>
  <c r="AL525" i="25"/>
  <c r="AL524" i="25"/>
  <c r="AL523" i="25"/>
  <c r="AL522" i="25"/>
  <c r="AL521" i="25"/>
  <c r="AL520" i="25"/>
  <c r="AL519" i="25"/>
  <c r="AL518" i="25"/>
  <c r="AL517" i="25"/>
  <c r="AL516" i="25"/>
  <c r="AL515" i="25"/>
  <c r="AL514" i="25"/>
  <c r="AL513" i="25"/>
  <c r="AL512" i="25"/>
  <c r="AL511" i="25"/>
  <c r="AL510" i="25"/>
  <c r="AL509" i="25"/>
  <c r="AL508" i="25"/>
  <c r="AL507" i="25"/>
  <c r="AL506" i="25"/>
  <c r="AL505" i="25"/>
  <c r="AL504" i="25"/>
  <c r="AL503" i="25"/>
  <c r="AL502" i="25"/>
  <c r="AL501" i="25"/>
  <c r="AL500" i="25"/>
  <c r="AL499" i="25"/>
  <c r="AL498" i="25"/>
  <c r="AL497" i="25"/>
  <c r="AL496" i="25"/>
  <c r="AL495" i="25"/>
  <c r="AL494" i="25"/>
  <c r="AL493" i="25"/>
  <c r="AL492" i="25"/>
  <c r="AL491" i="25"/>
  <c r="AL490" i="25"/>
  <c r="AL489" i="25"/>
  <c r="AL488" i="25"/>
  <c r="AL487" i="25"/>
  <c r="AL486" i="25"/>
  <c r="AL485" i="25"/>
  <c r="AL484" i="25"/>
  <c r="AL483" i="25"/>
  <c r="AL482" i="25"/>
  <c r="AL481" i="25"/>
  <c r="AL480" i="25"/>
  <c r="AL479" i="25"/>
  <c r="AL478" i="25"/>
  <c r="AL477" i="25"/>
  <c r="AL476" i="25"/>
  <c r="AL475" i="25"/>
  <c r="AL474" i="25"/>
  <c r="AL473" i="25"/>
  <c r="AL472" i="25"/>
  <c r="AL471" i="25"/>
  <c r="AL470" i="25"/>
  <c r="AL469" i="25"/>
  <c r="AL468" i="25"/>
  <c r="AL467" i="25"/>
  <c r="AL466" i="25"/>
  <c r="AL465" i="25"/>
  <c r="AL464" i="25"/>
  <c r="AL463" i="25"/>
  <c r="AL462" i="25"/>
  <c r="AL461" i="25"/>
  <c r="AL460" i="25"/>
  <c r="AL459" i="25"/>
  <c r="AL458" i="25"/>
  <c r="AL457" i="25"/>
  <c r="AL456" i="25"/>
  <c r="AL455" i="25"/>
  <c r="AL454" i="25"/>
  <c r="AL453" i="25"/>
  <c r="AL452" i="25"/>
  <c r="AL451" i="25"/>
  <c r="AL450" i="25"/>
  <c r="AL449" i="25"/>
  <c r="AL448" i="25"/>
  <c r="AL447" i="25"/>
  <c r="AL446" i="25"/>
  <c r="AL445" i="25"/>
  <c r="AL444" i="25"/>
  <c r="AL443" i="25"/>
  <c r="AL442" i="25"/>
  <c r="AL441" i="25"/>
  <c r="AL440" i="25"/>
  <c r="AL439" i="25"/>
  <c r="AL438" i="25"/>
  <c r="AL437" i="25"/>
  <c r="AL436" i="25"/>
  <c r="AL435" i="25"/>
  <c r="AL434" i="25"/>
  <c r="AL433" i="25"/>
  <c r="AL432" i="25"/>
  <c r="AL431" i="25"/>
  <c r="AL430" i="25"/>
  <c r="AL429" i="25"/>
  <c r="AL428" i="25"/>
  <c r="AL427" i="25"/>
  <c r="AL426" i="25"/>
  <c r="AL425" i="25"/>
  <c r="AL424" i="25"/>
  <c r="AL423" i="25"/>
  <c r="AL422" i="25"/>
  <c r="AL421" i="25"/>
  <c r="AL420" i="25"/>
  <c r="AL419" i="25"/>
  <c r="AL418" i="25"/>
  <c r="AL417" i="25"/>
  <c r="AL416" i="25"/>
  <c r="AL415" i="25"/>
  <c r="AL414" i="25"/>
  <c r="AL413" i="25"/>
  <c r="AL412" i="25"/>
  <c r="AL411" i="25"/>
  <c r="AL410" i="25"/>
  <c r="AL409" i="25"/>
  <c r="AL408" i="25"/>
  <c r="AL407" i="25"/>
  <c r="AL406" i="25"/>
  <c r="AL405" i="25"/>
  <c r="AL404" i="25"/>
  <c r="AL403" i="25"/>
  <c r="AL402" i="25"/>
  <c r="AL401" i="25"/>
  <c r="AL400" i="25"/>
  <c r="AL399" i="25"/>
  <c r="AL398" i="25"/>
  <c r="AL397" i="25"/>
  <c r="AL396" i="25"/>
  <c r="AL395" i="25"/>
  <c r="AL394" i="25"/>
  <c r="AL393" i="25"/>
  <c r="AL392" i="25"/>
  <c r="AL391" i="25"/>
  <c r="AL390" i="25"/>
  <c r="AL389" i="25"/>
  <c r="AL388" i="25"/>
  <c r="AL387" i="25"/>
  <c r="AL386" i="25"/>
  <c r="AL385" i="25"/>
  <c r="AL384" i="25"/>
  <c r="AL383" i="25"/>
  <c r="AL382" i="25"/>
  <c r="AL381" i="25"/>
  <c r="AL380" i="25"/>
  <c r="AL379" i="25"/>
  <c r="AL378" i="25"/>
  <c r="AL377" i="25"/>
  <c r="AL376" i="25"/>
  <c r="AL375" i="25"/>
  <c r="AL374" i="25"/>
  <c r="AL373" i="25"/>
  <c r="AL372" i="25"/>
  <c r="AL371" i="25"/>
  <c r="AL370" i="25"/>
  <c r="AL369" i="25"/>
  <c r="AL368" i="25"/>
  <c r="AL367" i="25"/>
  <c r="AL366" i="25"/>
  <c r="AL365" i="25"/>
  <c r="AL364" i="25"/>
  <c r="AL363" i="25"/>
  <c r="AL362" i="25"/>
  <c r="AL361" i="25"/>
  <c r="AL360" i="25"/>
  <c r="AL359" i="25"/>
  <c r="AL358" i="25"/>
  <c r="AL357" i="25"/>
  <c r="AL356" i="25"/>
  <c r="AL355" i="25"/>
  <c r="AL354" i="25"/>
  <c r="AL353" i="25"/>
  <c r="AL352" i="25"/>
  <c r="AL351" i="25"/>
  <c r="AL350" i="25"/>
  <c r="AL349" i="25"/>
  <c r="AL348" i="25"/>
  <c r="AL347" i="25"/>
  <c r="AL346" i="25"/>
  <c r="AL345" i="25"/>
  <c r="AL344" i="25"/>
  <c r="AL343" i="25"/>
  <c r="AL342" i="25"/>
  <c r="AL341" i="25"/>
  <c r="AL340" i="25"/>
  <c r="AL339" i="25"/>
  <c r="AL338" i="25"/>
  <c r="AL337" i="25"/>
  <c r="AL336" i="25"/>
  <c r="AL335" i="25"/>
  <c r="AL334" i="25"/>
  <c r="AL333" i="25"/>
  <c r="AL332" i="25"/>
  <c r="AL331" i="25"/>
  <c r="AL330" i="25"/>
  <c r="AL329" i="25"/>
  <c r="AL328" i="25"/>
  <c r="AL327" i="25"/>
  <c r="AL326" i="25"/>
  <c r="AL325" i="25"/>
  <c r="AL324" i="25"/>
  <c r="AL323" i="25"/>
  <c r="AL322" i="25"/>
  <c r="AL321" i="25"/>
  <c r="AL320" i="25"/>
  <c r="AL319" i="25"/>
  <c r="AL318" i="25"/>
  <c r="AL317" i="25"/>
  <c r="AL316" i="25"/>
  <c r="AL315" i="25"/>
  <c r="AL314" i="25"/>
  <c r="AL313" i="25"/>
  <c r="AL312" i="25"/>
  <c r="AL311" i="25"/>
  <c r="AL310" i="25"/>
  <c r="AL309" i="25"/>
  <c r="AL308" i="25"/>
  <c r="AL307" i="25"/>
  <c r="AL306" i="25"/>
  <c r="AL305" i="25"/>
  <c r="AL304" i="25"/>
  <c r="AL303" i="25"/>
  <c r="AL302" i="25"/>
  <c r="AL301" i="25"/>
  <c r="AL300" i="25"/>
  <c r="AL299" i="25"/>
  <c r="AL298" i="25"/>
  <c r="AL297" i="25"/>
  <c r="AL296" i="25"/>
  <c r="AL295" i="25"/>
  <c r="AL294" i="25"/>
  <c r="AL293" i="25"/>
  <c r="AL292" i="25"/>
  <c r="AL291" i="25"/>
  <c r="AL290" i="25"/>
  <c r="AL289" i="25"/>
  <c r="AL288" i="25"/>
  <c r="AL287" i="25"/>
  <c r="AL286" i="25"/>
  <c r="AL285" i="25"/>
  <c r="AL284" i="25"/>
  <c r="AL283" i="25"/>
  <c r="AL282" i="25"/>
  <c r="AL281" i="25"/>
  <c r="AL280" i="25"/>
  <c r="AL279" i="25"/>
  <c r="AL278" i="25"/>
  <c r="AL277" i="25"/>
  <c r="AL276" i="25"/>
  <c r="AL275" i="25"/>
  <c r="AL274" i="25"/>
  <c r="AL273" i="25"/>
  <c r="AL272" i="25"/>
  <c r="AL271" i="25"/>
  <c r="AL270" i="25"/>
  <c r="AL269" i="25"/>
  <c r="AL268" i="25"/>
  <c r="AL267" i="25"/>
  <c r="AL266" i="25"/>
  <c r="AL265" i="25"/>
  <c r="AL264" i="25"/>
  <c r="AL263" i="25"/>
  <c r="AL262" i="25"/>
  <c r="AL261" i="25"/>
  <c r="AL260" i="25"/>
  <c r="AL259" i="25"/>
  <c r="AL258" i="25"/>
  <c r="AL257" i="25"/>
  <c r="AL256" i="25"/>
  <c r="AL255" i="25"/>
  <c r="AL254" i="25"/>
  <c r="AL253" i="25"/>
  <c r="AL252" i="25"/>
  <c r="AL251" i="25"/>
  <c r="AL250" i="25"/>
  <c r="AL249" i="25"/>
  <c r="AL248" i="25"/>
  <c r="AL247" i="25"/>
  <c r="AL246" i="25"/>
  <c r="AL245" i="25"/>
  <c r="AL244" i="25"/>
  <c r="AL243" i="25"/>
  <c r="AL242" i="25"/>
  <c r="AL241" i="25"/>
  <c r="AL240" i="25"/>
  <c r="AL239" i="25"/>
  <c r="AL238" i="25"/>
  <c r="AL237" i="25"/>
  <c r="AL236" i="25"/>
  <c r="AL235" i="25"/>
  <c r="AL234" i="25"/>
  <c r="AL233" i="25"/>
  <c r="AL232" i="25"/>
  <c r="AL231" i="25"/>
  <c r="AL230" i="25"/>
  <c r="AL229" i="25"/>
  <c r="AL228" i="25"/>
  <c r="AL227" i="25"/>
  <c r="AL226" i="25"/>
  <c r="AL225" i="25"/>
  <c r="AL224" i="25"/>
  <c r="AL223" i="25"/>
  <c r="AL222" i="25"/>
  <c r="AL221" i="25"/>
  <c r="AL220" i="25"/>
  <c r="AL219" i="25"/>
  <c r="AL218" i="25"/>
  <c r="AL217" i="25"/>
  <c r="AL216" i="25"/>
  <c r="AL215" i="25"/>
  <c r="AL214" i="25"/>
  <c r="AL213" i="25"/>
  <c r="AL212" i="25"/>
  <c r="AL211" i="25"/>
  <c r="AL210" i="25"/>
  <c r="AL209" i="25"/>
  <c r="AL208" i="25"/>
  <c r="AL207" i="25"/>
  <c r="AL206" i="25"/>
  <c r="AL205" i="25"/>
  <c r="AL204" i="25"/>
  <c r="AL203" i="25"/>
  <c r="AL202" i="25"/>
  <c r="AL201" i="25"/>
  <c r="AL200" i="25"/>
  <c r="AL199" i="25"/>
  <c r="AL198" i="25"/>
  <c r="AL197" i="25"/>
  <c r="AL196" i="25"/>
  <c r="AL195" i="25"/>
  <c r="AL194" i="25"/>
  <c r="AL193" i="25"/>
  <c r="AL192" i="25"/>
  <c r="AL191" i="25"/>
  <c r="AL190" i="25"/>
  <c r="AL189" i="25"/>
  <c r="AL188" i="25"/>
  <c r="AL187" i="25"/>
  <c r="AL186" i="25"/>
  <c r="AL185" i="25"/>
  <c r="AL184" i="25"/>
  <c r="AL183" i="25"/>
  <c r="AL182" i="25"/>
  <c r="AL181" i="25"/>
  <c r="AL180" i="25"/>
  <c r="AL179" i="25"/>
  <c r="AL178" i="25"/>
  <c r="AL177" i="25"/>
  <c r="AL176" i="25"/>
  <c r="AL175" i="25"/>
  <c r="AL174" i="25"/>
  <c r="AL173" i="25"/>
  <c r="AL172" i="25"/>
  <c r="AL171" i="25"/>
  <c r="AL170" i="25"/>
  <c r="AL169" i="25"/>
  <c r="AL168" i="25"/>
  <c r="AL167" i="25"/>
  <c r="AL166" i="25"/>
  <c r="AL165" i="25"/>
  <c r="AL164" i="25"/>
  <c r="AL163" i="25"/>
  <c r="AL162" i="25"/>
  <c r="AL161" i="25"/>
  <c r="AL160" i="25"/>
  <c r="AL159" i="25"/>
  <c r="AL158" i="25"/>
  <c r="AL157" i="25"/>
  <c r="AL156" i="25"/>
  <c r="AL155" i="25"/>
  <c r="AL154" i="25"/>
  <c r="AL153" i="25"/>
  <c r="AL152" i="25"/>
  <c r="AL151" i="25"/>
  <c r="AL150" i="25"/>
  <c r="AL149" i="25"/>
  <c r="AL148" i="25"/>
  <c r="AL147" i="25"/>
  <c r="AL146" i="25"/>
  <c r="AL145" i="25"/>
  <c r="AL144" i="25"/>
  <c r="AL143" i="25"/>
  <c r="AL142" i="25"/>
  <c r="AL141" i="25"/>
  <c r="AL140" i="25"/>
  <c r="AL139" i="25"/>
  <c r="AL138" i="25"/>
  <c r="AL137" i="25"/>
  <c r="AL136" i="25"/>
  <c r="AL135" i="25"/>
  <c r="AL134" i="25"/>
  <c r="AL133" i="25"/>
  <c r="AL132" i="25"/>
  <c r="AL131" i="25"/>
  <c r="AL130" i="25"/>
  <c r="AL129" i="25"/>
  <c r="AL128" i="25"/>
  <c r="AL127" i="25"/>
  <c r="AL126" i="25"/>
  <c r="AL125" i="25"/>
  <c r="AL124" i="25"/>
  <c r="AL123" i="25"/>
  <c r="AL122" i="25"/>
  <c r="AL121" i="25"/>
  <c r="AL120" i="25"/>
  <c r="AL119" i="25"/>
  <c r="AL118" i="25"/>
  <c r="AL117" i="25"/>
  <c r="AL116" i="25"/>
  <c r="AL115" i="25"/>
  <c r="AL114" i="25"/>
  <c r="AL113" i="25"/>
  <c r="AL112" i="25"/>
  <c r="AL111" i="25"/>
  <c r="AL110" i="25"/>
  <c r="AL109" i="25"/>
  <c r="AL108" i="25"/>
  <c r="AL107" i="25"/>
  <c r="AL106" i="25"/>
  <c r="AL105" i="25"/>
  <c r="AL104" i="25"/>
  <c r="AL103" i="25"/>
  <c r="AL102" i="25"/>
  <c r="AL101" i="25"/>
  <c r="AL100" i="25"/>
  <c r="AL99" i="25"/>
  <c r="AL98" i="25"/>
  <c r="AL97" i="25"/>
  <c r="AL96" i="25"/>
  <c r="AL95" i="25"/>
  <c r="AL94" i="25"/>
  <c r="AL93" i="25"/>
  <c r="AL92" i="25"/>
  <c r="AL91" i="25"/>
  <c r="AL90" i="25"/>
  <c r="AL89" i="25"/>
  <c r="AL88" i="25"/>
  <c r="AL87" i="25"/>
  <c r="AL86" i="25"/>
  <c r="AL85" i="25"/>
  <c r="AL84" i="25"/>
  <c r="AL83" i="25"/>
  <c r="AL82" i="25"/>
  <c r="AL81" i="25"/>
  <c r="AL80" i="25"/>
  <c r="AL79" i="25"/>
  <c r="AL78" i="25"/>
  <c r="AL77" i="25"/>
  <c r="AL76" i="25"/>
  <c r="AL75" i="25"/>
  <c r="AL74" i="25"/>
  <c r="AL73" i="25"/>
  <c r="AL72" i="25"/>
  <c r="AL71" i="25"/>
  <c r="AL70" i="25"/>
  <c r="AL69" i="25"/>
  <c r="AL68" i="25"/>
  <c r="AL67" i="25"/>
  <c r="AL66" i="25"/>
  <c r="AL65" i="25"/>
  <c r="AL64" i="25"/>
  <c r="AL63" i="25"/>
  <c r="AL62" i="25"/>
  <c r="AL61" i="25"/>
  <c r="AL60" i="25"/>
  <c r="AL59" i="25"/>
  <c r="AL58" i="25"/>
  <c r="AL57" i="25"/>
  <c r="AL56" i="25"/>
  <c r="AL55" i="25"/>
  <c r="AL54" i="25"/>
  <c r="AL53" i="25"/>
  <c r="AL52" i="25"/>
  <c r="AL51" i="25"/>
  <c r="AL50" i="25"/>
  <c r="AL49" i="25"/>
  <c r="AL48" i="25"/>
  <c r="AL47" i="25"/>
  <c r="AL46" i="25"/>
  <c r="AL45" i="25"/>
  <c r="AL44" i="25"/>
  <c r="AL43" i="25"/>
  <c r="AL42" i="25"/>
  <c r="AL41" i="25"/>
  <c r="AL40" i="25"/>
  <c r="AL39" i="25"/>
  <c r="AL38" i="25"/>
  <c r="AL37" i="25"/>
  <c r="AL36" i="25"/>
  <c r="AL35" i="25"/>
  <c r="AL34" i="25"/>
  <c r="AL33" i="25"/>
  <c r="AL32" i="25"/>
  <c r="AL31" i="25"/>
  <c r="AL30" i="25"/>
  <c r="AL29" i="25"/>
  <c r="AL28" i="25"/>
  <c r="AL27" i="25"/>
  <c r="AL26" i="25"/>
  <c r="AL25" i="25"/>
  <c r="AL24" i="25"/>
  <c r="AL23" i="25"/>
  <c r="AL22" i="25"/>
  <c r="AL21" i="25"/>
  <c r="AL20" i="25"/>
  <c r="AL19" i="25"/>
  <c r="AL18" i="25"/>
  <c r="AL17" i="25"/>
  <c r="AL16" i="25"/>
  <c r="AL15" i="25"/>
  <c r="AL14" i="25"/>
  <c r="AL13" i="25"/>
  <c r="AL12" i="25"/>
  <c r="AL11" i="25"/>
  <c r="AL10" i="25"/>
  <c r="AL9" i="25"/>
  <c r="AL515" i="40"/>
  <c r="AK515" i="40"/>
  <c r="AJ515" i="40"/>
  <c r="AI515" i="40"/>
  <c r="AH515" i="40"/>
  <c r="AG515" i="40"/>
  <c r="AL514" i="40"/>
  <c r="AK514" i="40"/>
  <c r="AJ514" i="40"/>
  <c r="AI514" i="40"/>
  <c r="AH514" i="40"/>
  <c r="AG514" i="40"/>
  <c r="AL513" i="40"/>
  <c r="AK513" i="40"/>
  <c r="AJ513" i="40"/>
  <c r="AI513" i="40"/>
  <c r="AH513" i="40"/>
  <c r="AG513" i="40"/>
  <c r="AL512" i="40"/>
  <c r="AK512" i="40"/>
  <c r="AJ512" i="40"/>
  <c r="AI512" i="40"/>
  <c r="AH512" i="40"/>
  <c r="AG512" i="40"/>
  <c r="AL511" i="40"/>
  <c r="AK511" i="40"/>
  <c r="AJ511" i="40"/>
  <c r="AI511" i="40"/>
  <c r="AH511" i="40"/>
  <c r="AG511" i="40"/>
  <c r="AL510" i="40"/>
  <c r="AK510" i="40"/>
  <c r="AJ510" i="40"/>
  <c r="AI510" i="40"/>
  <c r="AH510" i="40"/>
  <c r="AG510" i="40"/>
  <c r="AL509" i="40"/>
  <c r="AK509" i="40"/>
  <c r="AJ509" i="40"/>
  <c r="AI509" i="40"/>
  <c r="AH509" i="40"/>
  <c r="AG509" i="40"/>
  <c r="AL508" i="40"/>
  <c r="AK508" i="40"/>
  <c r="AJ508" i="40"/>
  <c r="AI508" i="40"/>
  <c r="AH508" i="40"/>
  <c r="AG508" i="40"/>
  <c r="AL507" i="40"/>
  <c r="AK507" i="40"/>
  <c r="AJ507" i="40"/>
  <c r="AI507" i="40"/>
  <c r="AH507" i="40"/>
  <c r="AG507" i="40"/>
  <c r="AL506" i="40"/>
  <c r="AK506" i="40"/>
  <c r="AJ506" i="40"/>
  <c r="AI506" i="40"/>
  <c r="AH506" i="40"/>
  <c r="AG506" i="40"/>
  <c r="AL505" i="40"/>
  <c r="AK505" i="40"/>
  <c r="AJ505" i="40"/>
  <c r="AI505" i="40"/>
  <c r="AH505" i="40"/>
  <c r="AG505" i="40"/>
  <c r="AL504" i="40"/>
  <c r="AK504" i="40"/>
  <c r="AJ504" i="40"/>
  <c r="AI504" i="40"/>
  <c r="AH504" i="40"/>
  <c r="AG504" i="40"/>
  <c r="AL503" i="40"/>
  <c r="AK503" i="40"/>
  <c r="AJ503" i="40"/>
  <c r="AI503" i="40"/>
  <c r="AH503" i="40"/>
  <c r="AG503" i="40"/>
  <c r="AL502" i="40"/>
  <c r="AK502" i="40"/>
  <c r="AJ502" i="40"/>
  <c r="AI502" i="40"/>
  <c r="AH502" i="40"/>
  <c r="AG502" i="40"/>
  <c r="AL501" i="40"/>
  <c r="AK501" i="40"/>
  <c r="AJ501" i="40"/>
  <c r="AI501" i="40"/>
  <c r="AH501" i="40"/>
  <c r="AG501" i="40"/>
  <c r="AL500" i="40"/>
  <c r="AK500" i="40"/>
  <c r="AJ500" i="40"/>
  <c r="AI500" i="40"/>
  <c r="AH500" i="40"/>
  <c r="AG500" i="40"/>
  <c r="AL499" i="40"/>
  <c r="AK499" i="40"/>
  <c r="AJ499" i="40"/>
  <c r="AI499" i="40"/>
  <c r="AH499" i="40"/>
  <c r="AG499" i="40"/>
  <c r="AL498" i="40"/>
  <c r="AK498" i="40"/>
  <c r="AJ498" i="40"/>
  <c r="AI498" i="40"/>
  <c r="AH498" i="40"/>
  <c r="AG498" i="40"/>
  <c r="AL497" i="40"/>
  <c r="AK497" i="40"/>
  <c r="AJ497" i="40"/>
  <c r="AI497" i="40"/>
  <c r="AH497" i="40"/>
  <c r="AG497" i="40"/>
  <c r="AL496" i="40"/>
  <c r="AK496" i="40"/>
  <c r="AJ496" i="40"/>
  <c r="AI496" i="40"/>
  <c r="AH496" i="40"/>
  <c r="AG496" i="40"/>
  <c r="AL495" i="40"/>
  <c r="AK495" i="40"/>
  <c r="AJ495" i="40"/>
  <c r="AI495" i="40"/>
  <c r="AH495" i="40"/>
  <c r="AG495" i="40"/>
  <c r="AL494" i="40"/>
  <c r="AK494" i="40"/>
  <c r="AJ494" i="40"/>
  <c r="AI494" i="40"/>
  <c r="AH494" i="40"/>
  <c r="AG494" i="40"/>
  <c r="AL493" i="40"/>
  <c r="AK493" i="40"/>
  <c r="AJ493" i="40"/>
  <c r="AI493" i="40"/>
  <c r="AH493" i="40"/>
  <c r="AG493" i="40"/>
  <c r="AL492" i="40"/>
  <c r="AK492" i="40"/>
  <c r="AJ492" i="40"/>
  <c r="AI492" i="40"/>
  <c r="AH492" i="40"/>
  <c r="AG492" i="40"/>
  <c r="AL491" i="40"/>
  <c r="AK491" i="40"/>
  <c r="AJ491" i="40"/>
  <c r="AI491" i="40"/>
  <c r="AH491" i="40"/>
  <c r="AG491" i="40"/>
  <c r="AL490" i="40"/>
  <c r="AK490" i="40"/>
  <c r="AJ490" i="40"/>
  <c r="AI490" i="40"/>
  <c r="AH490" i="40"/>
  <c r="AG490" i="40"/>
  <c r="AL489" i="40"/>
  <c r="AK489" i="40"/>
  <c r="AJ489" i="40"/>
  <c r="AI489" i="40"/>
  <c r="AH489" i="40"/>
  <c r="AG489" i="40"/>
  <c r="AL488" i="40"/>
  <c r="AK488" i="40"/>
  <c r="AJ488" i="40"/>
  <c r="AI488" i="40"/>
  <c r="AH488" i="40"/>
  <c r="AG488" i="40"/>
  <c r="AL487" i="40"/>
  <c r="AK487" i="40"/>
  <c r="AJ487" i="40"/>
  <c r="AI487" i="40"/>
  <c r="AH487" i="40"/>
  <c r="AG487" i="40"/>
  <c r="AL486" i="40"/>
  <c r="AK486" i="40"/>
  <c r="AJ486" i="40"/>
  <c r="AI486" i="40"/>
  <c r="AH486" i="40"/>
  <c r="AG486" i="40"/>
  <c r="AL485" i="40"/>
  <c r="AK485" i="40"/>
  <c r="AJ485" i="40"/>
  <c r="AI485" i="40"/>
  <c r="AH485" i="40"/>
  <c r="AG485" i="40"/>
  <c r="AL484" i="40"/>
  <c r="AK484" i="40"/>
  <c r="AJ484" i="40"/>
  <c r="AI484" i="40"/>
  <c r="AH484" i="40"/>
  <c r="AG484" i="40"/>
  <c r="AL483" i="40"/>
  <c r="AK483" i="40"/>
  <c r="AJ483" i="40"/>
  <c r="AI483" i="40"/>
  <c r="AH483" i="40"/>
  <c r="AG483" i="40"/>
  <c r="AL482" i="40"/>
  <c r="AK482" i="40"/>
  <c r="AJ482" i="40"/>
  <c r="AI482" i="40"/>
  <c r="AH482" i="40"/>
  <c r="AG482" i="40"/>
  <c r="AL481" i="40"/>
  <c r="AK481" i="40"/>
  <c r="AJ481" i="40"/>
  <c r="AI481" i="40"/>
  <c r="AH481" i="40"/>
  <c r="AG481" i="40"/>
  <c r="AL480" i="40"/>
  <c r="AK480" i="40"/>
  <c r="AJ480" i="40"/>
  <c r="AI480" i="40"/>
  <c r="AH480" i="40"/>
  <c r="AG480" i="40"/>
  <c r="AL479" i="40"/>
  <c r="AK479" i="40"/>
  <c r="AJ479" i="40"/>
  <c r="AI479" i="40"/>
  <c r="AH479" i="40"/>
  <c r="AG479" i="40"/>
  <c r="AL478" i="40"/>
  <c r="AK478" i="40"/>
  <c r="AJ478" i="40"/>
  <c r="AI478" i="40"/>
  <c r="AH478" i="40"/>
  <c r="AG478" i="40"/>
  <c r="AL477" i="40"/>
  <c r="AK477" i="40"/>
  <c r="AJ477" i="40"/>
  <c r="AI477" i="40"/>
  <c r="AH477" i="40"/>
  <c r="AG477" i="40"/>
  <c r="AL476" i="40"/>
  <c r="AK476" i="40"/>
  <c r="AJ476" i="40"/>
  <c r="AI476" i="40"/>
  <c r="AH476" i="40"/>
  <c r="AG476" i="40"/>
  <c r="AL475" i="40"/>
  <c r="AK475" i="40"/>
  <c r="AJ475" i="40"/>
  <c r="AI475" i="40"/>
  <c r="AH475" i="40"/>
  <c r="AG475" i="40"/>
  <c r="AL474" i="40"/>
  <c r="AK474" i="40"/>
  <c r="AJ474" i="40"/>
  <c r="AI474" i="40"/>
  <c r="AH474" i="40"/>
  <c r="AG474" i="40"/>
  <c r="AL473" i="40"/>
  <c r="AK473" i="40"/>
  <c r="AJ473" i="40"/>
  <c r="AI473" i="40"/>
  <c r="AH473" i="40"/>
  <c r="AG473" i="40"/>
  <c r="AL472" i="40"/>
  <c r="AK472" i="40"/>
  <c r="AJ472" i="40"/>
  <c r="AI472" i="40"/>
  <c r="AH472" i="40"/>
  <c r="AG472" i="40"/>
  <c r="AL471" i="40"/>
  <c r="AK471" i="40"/>
  <c r="AJ471" i="40"/>
  <c r="AI471" i="40"/>
  <c r="AH471" i="40"/>
  <c r="AG471" i="40"/>
  <c r="AL470" i="40"/>
  <c r="AK470" i="40"/>
  <c r="AJ470" i="40"/>
  <c r="AI470" i="40"/>
  <c r="AH470" i="40"/>
  <c r="AG470" i="40"/>
  <c r="AL469" i="40"/>
  <c r="AK469" i="40"/>
  <c r="AJ469" i="40"/>
  <c r="AI469" i="40"/>
  <c r="AH469" i="40"/>
  <c r="AG469" i="40"/>
  <c r="AL468" i="40"/>
  <c r="AK468" i="40"/>
  <c r="AJ468" i="40"/>
  <c r="AI468" i="40"/>
  <c r="AH468" i="40"/>
  <c r="AG468" i="40"/>
  <c r="AL467" i="40"/>
  <c r="AK467" i="40"/>
  <c r="AJ467" i="40"/>
  <c r="AI467" i="40"/>
  <c r="AH467" i="40"/>
  <c r="AG467" i="40"/>
  <c r="AL466" i="40"/>
  <c r="AK466" i="40"/>
  <c r="AJ466" i="40"/>
  <c r="AI466" i="40"/>
  <c r="AH466" i="40"/>
  <c r="AG466" i="40"/>
  <c r="AL465" i="40"/>
  <c r="AK465" i="40"/>
  <c r="AJ465" i="40"/>
  <c r="AI465" i="40"/>
  <c r="AH465" i="40"/>
  <c r="AG465" i="40"/>
  <c r="AL464" i="40"/>
  <c r="AK464" i="40"/>
  <c r="AJ464" i="40"/>
  <c r="AI464" i="40"/>
  <c r="AH464" i="40"/>
  <c r="AG464" i="40"/>
  <c r="AL463" i="40"/>
  <c r="AK463" i="40"/>
  <c r="AJ463" i="40"/>
  <c r="AI463" i="40"/>
  <c r="AH463" i="40"/>
  <c r="AG463" i="40"/>
  <c r="AL462" i="40"/>
  <c r="AK462" i="40"/>
  <c r="AJ462" i="40"/>
  <c r="AI462" i="40"/>
  <c r="AH462" i="40"/>
  <c r="AG462" i="40"/>
  <c r="AL461" i="40"/>
  <c r="AK461" i="40"/>
  <c r="AJ461" i="40"/>
  <c r="AI461" i="40"/>
  <c r="AH461" i="40"/>
  <c r="AG461" i="40"/>
  <c r="AL460" i="40"/>
  <c r="AK460" i="40"/>
  <c r="AJ460" i="40"/>
  <c r="AI460" i="40"/>
  <c r="AH460" i="40"/>
  <c r="AG460" i="40"/>
  <c r="AL459" i="40"/>
  <c r="AK459" i="40"/>
  <c r="AJ459" i="40"/>
  <c r="AI459" i="40"/>
  <c r="AH459" i="40"/>
  <c r="AG459" i="40"/>
  <c r="AL458" i="40"/>
  <c r="AK458" i="40"/>
  <c r="AJ458" i="40"/>
  <c r="AI458" i="40"/>
  <c r="AH458" i="40"/>
  <c r="AG458" i="40"/>
  <c r="AL457" i="40"/>
  <c r="AK457" i="40"/>
  <c r="AJ457" i="40"/>
  <c r="AI457" i="40"/>
  <c r="AH457" i="40"/>
  <c r="AG457" i="40"/>
  <c r="AL456" i="40"/>
  <c r="AK456" i="40"/>
  <c r="AJ456" i="40"/>
  <c r="AI456" i="40"/>
  <c r="AH456" i="40"/>
  <c r="AG456" i="40"/>
  <c r="AL455" i="40"/>
  <c r="AK455" i="40"/>
  <c r="AJ455" i="40"/>
  <c r="AI455" i="40"/>
  <c r="AH455" i="40"/>
  <c r="AG455" i="40"/>
  <c r="AL454" i="40"/>
  <c r="AK454" i="40"/>
  <c r="AJ454" i="40"/>
  <c r="AI454" i="40"/>
  <c r="AH454" i="40"/>
  <c r="AG454" i="40"/>
  <c r="AL453" i="40"/>
  <c r="AK453" i="40"/>
  <c r="AJ453" i="40"/>
  <c r="AI453" i="40"/>
  <c r="AH453" i="40"/>
  <c r="AG453" i="40"/>
  <c r="AL452" i="40"/>
  <c r="AK452" i="40"/>
  <c r="AJ452" i="40"/>
  <c r="AI452" i="40"/>
  <c r="AH452" i="40"/>
  <c r="AG452" i="40"/>
  <c r="AL451" i="40"/>
  <c r="AK451" i="40"/>
  <c r="AJ451" i="40"/>
  <c r="AI451" i="40"/>
  <c r="AH451" i="40"/>
  <c r="AG451" i="40"/>
  <c r="AL450" i="40"/>
  <c r="AK450" i="40"/>
  <c r="AJ450" i="40"/>
  <c r="AI450" i="40"/>
  <c r="AH450" i="40"/>
  <c r="AG450" i="40"/>
  <c r="AL449" i="40"/>
  <c r="AK449" i="40"/>
  <c r="AJ449" i="40"/>
  <c r="AI449" i="40"/>
  <c r="AH449" i="40"/>
  <c r="AG449" i="40"/>
  <c r="AL448" i="40"/>
  <c r="AK448" i="40"/>
  <c r="AJ448" i="40"/>
  <c r="AI448" i="40"/>
  <c r="AH448" i="40"/>
  <c r="AG448" i="40"/>
  <c r="AL447" i="40"/>
  <c r="AK447" i="40"/>
  <c r="AJ447" i="40"/>
  <c r="AI447" i="40"/>
  <c r="AH447" i="40"/>
  <c r="AG447" i="40"/>
  <c r="AL446" i="40"/>
  <c r="AK446" i="40"/>
  <c r="AJ446" i="40"/>
  <c r="AI446" i="40"/>
  <c r="AH446" i="40"/>
  <c r="AG446" i="40"/>
  <c r="AL445" i="40"/>
  <c r="AK445" i="40"/>
  <c r="AJ445" i="40"/>
  <c r="AI445" i="40"/>
  <c r="AH445" i="40"/>
  <c r="AG445" i="40"/>
  <c r="AL444" i="40"/>
  <c r="AK444" i="40"/>
  <c r="AJ444" i="40"/>
  <c r="AI444" i="40"/>
  <c r="AH444" i="40"/>
  <c r="AG444" i="40"/>
  <c r="AL443" i="40"/>
  <c r="AK443" i="40"/>
  <c r="AJ443" i="40"/>
  <c r="AI443" i="40"/>
  <c r="AH443" i="40"/>
  <c r="AG443" i="40"/>
  <c r="AL442" i="40"/>
  <c r="AK442" i="40"/>
  <c r="AJ442" i="40"/>
  <c r="AI442" i="40"/>
  <c r="AH442" i="40"/>
  <c r="AG442" i="40"/>
  <c r="AL441" i="40"/>
  <c r="AK441" i="40"/>
  <c r="AJ441" i="40"/>
  <c r="AI441" i="40"/>
  <c r="AH441" i="40"/>
  <c r="AG441" i="40"/>
  <c r="AL440" i="40"/>
  <c r="AK440" i="40"/>
  <c r="AJ440" i="40"/>
  <c r="AI440" i="40"/>
  <c r="AH440" i="40"/>
  <c r="AG440" i="40"/>
  <c r="AL439" i="40"/>
  <c r="AK439" i="40"/>
  <c r="AJ439" i="40"/>
  <c r="AI439" i="40"/>
  <c r="AH439" i="40"/>
  <c r="AG439" i="40"/>
  <c r="AL438" i="40"/>
  <c r="AK438" i="40"/>
  <c r="AJ438" i="40"/>
  <c r="AI438" i="40"/>
  <c r="AH438" i="40"/>
  <c r="AG438" i="40"/>
  <c r="AL437" i="40"/>
  <c r="AK437" i="40"/>
  <c r="AJ437" i="40"/>
  <c r="AI437" i="40"/>
  <c r="AH437" i="40"/>
  <c r="AG437" i="40"/>
  <c r="AL436" i="40"/>
  <c r="AK436" i="40"/>
  <c r="AJ436" i="40"/>
  <c r="AI436" i="40"/>
  <c r="AH436" i="40"/>
  <c r="AG436" i="40"/>
  <c r="AL435" i="40"/>
  <c r="AK435" i="40"/>
  <c r="AJ435" i="40"/>
  <c r="AI435" i="40"/>
  <c r="AH435" i="40"/>
  <c r="AG435" i="40"/>
  <c r="AL434" i="40"/>
  <c r="AK434" i="40"/>
  <c r="AJ434" i="40"/>
  <c r="AI434" i="40"/>
  <c r="AH434" i="40"/>
  <c r="AG434" i="40"/>
  <c r="AL433" i="40"/>
  <c r="AK433" i="40"/>
  <c r="AJ433" i="40"/>
  <c r="AI433" i="40"/>
  <c r="AH433" i="40"/>
  <c r="AG433" i="40"/>
  <c r="AL432" i="40"/>
  <c r="AK432" i="40"/>
  <c r="AJ432" i="40"/>
  <c r="AI432" i="40"/>
  <c r="AH432" i="40"/>
  <c r="AG432" i="40"/>
  <c r="AL431" i="40"/>
  <c r="AK431" i="40"/>
  <c r="AJ431" i="40"/>
  <c r="AI431" i="40"/>
  <c r="AH431" i="40"/>
  <c r="AG431" i="40"/>
  <c r="AL430" i="40"/>
  <c r="AK430" i="40"/>
  <c r="AJ430" i="40"/>
  <c r="AI430" i="40"/>
  <c r="AH430" i="40"/>
  <c r="AG430" i="40"/>
  <c r="AL429" i="40"/>
  <c r="AK429" i="40"/>
  <c r="AJ429" i="40"/>
  <c r="AI429" i="40"/>
  <c r="AH429" i="40"/>
  <c r="AG429" i="40"/>
  <c r="AL428" i="40"/>
  <c r="AK428" i="40"/>
  <c r="AJ428" i="40"/>
  <c r="AI428" i="40"/>
  <c r="AH428" i="40"/>
  <c r="AG428" i="40"/>
  <c r="AL427" i="40"/>
  <c r="AK427" i="40"/>
  <c r="AJ427" i="40"/>
  <c r="AI427" i="40"/>
  <c r="AH427" i="40"/>
  <c r="AG427" i="40"/>
  <c r="AL426" i="40"/>
  <c r="AK426" i="40"/>
  <c r="AJ426" i="40"/>
  <c r="AI426" i="40"/>
  <c r="AH426" i="40"/>
  <c r="AG426" i="40"/>
  <c r="AL425" i="40"/>
  <c r="AK425" i="40"/>
  <c r="AJ425" i="40"/>
  <c r="AI425" i="40"/>
  <c r="AH425" i="40"/>
  <c r="AG425" i="40"/>
  <c r="AL424" i="40"/>
  <c r="AK424" i="40"/>
  <c r="AJ424" i="40"/>
  <c r="AI424" i="40"/>
  <c r="AH424" i="40"/>
  <c r="AG424" i="40"/>
  <c r="AL423" i="40"/>
  <c r="AK423" i="40"/>
  <c r="AJ423" i="40"/>
  <c r="AI423" i="40"/>
  <c r="AH423" i="40"/>
  <c r="AG423" i="40"/>
  <c r="AL422" i="40"/>
  <c r="AK422" i="40"/>
  <c r="AJ422" i="40"/>
  <c r="AI422" i="40"/>
  <c r="AH422" i="40"/>
  <c r="AG422" i="40"/>
  <c r="AL421" i="40"/>
  <c r="AK421" i="40"/>
  <c r="AJ421" i="40"/>
  <c r="AI421" i="40"/>
  <c r="AH421" i="40"/>
  <c r="AG421" i="40"/>
  <c r="AL420" i="40"/>
  <c r="AK420" i="40"/>
  <c r="AJ420" i="40"/>
  <c r="AI420" i="40"/>
  <c r="AH420" i="40"/>
  <c r="AG420" i="40"/>
  <c r="AL419" i="40"/>
  <c r="AK419" i="40"/>
  <c r="AJ419" i="40"/>
  <c r="AI419" i="40"/>
  <c r="AH419" i="40"/>
  <c r="AG419" i="40"/>
  <c r="AL418" i="40"/>
  <c r="AK418" i="40"/>
  <c r="AJ418" i="40"/>
  <c r="AI418" i="40"/>
  <c r="AH418" i="40"/>
  <c r="AG418" i="40"/>
  <c r="AL417" i="40"/>
  <c r="AK417" i="40"/>
  <c r="AJ417" i="40"/>
  <c r="AI417" i="40"/>
  <c r="AH417" i="40"/>
  <c r="AG417" i="40"/>
  <c r="AL416" i="40"/>
  <c r="AK416" i="40"/>
  <c r="AJ416" i="40"/>
  <c r="AI416" i="40"/>
  <c r="AH416" i="40"/>
  <c r="AG416" i="40"/>
  <c r="AL415" i="40"/>
  <c r="AK415" i="40"/>
  <c r="AJ415" i="40"/>
  <c r="AI415" i="40"/>
  <c r="AH415" i="40"/>
  <c r="AG415" i="40"/>
  <c r="AL414" i="40"/>
  <c r="AK414" i="40"/>
  <c r="AJ414" i="40"/>
  <c r="AI414" i="40"/>
  <c r="AH414" i="40"/>
  <c r="AG414" i="40"/>
  <c r="AL413" i="40"/>
  <c r="AK413" i="40"/>
  <c r="AJ413" i="40"/>
  <c r="AI413" i="40"/>
  <c r="AH413" i="40"/>
  <c r="AG413" i="40"/>
  <c r="AL412" i="40"/>
  <c r="AK412" i="40"/>
  <c r="AJ412" i="40"/>
  <c r="AI412" i="40"/>
  <c r="AH412" i="40"/>
  <c r="AG412" i="40"/>
  <c r="AL411" i="40"/>
  <c r="AK411" i="40"/>
  <c r="AJ411" i="40"/>
  <c r="AI411" i="40"/>
  <c r="AH411" i="40"/>
  <c r="AG411" i="40"/>
  <c r="AL410" i="40"/>
  <c r="AK410" i="40"/>
  <c r="AJ410" i="40"/>
  <c r="AI410" i="40"/>
  <c r="AH410" i="40"/>
  <c r="AG410" i="40"/>
  <c r="AL409" i="40"/>
  <c r="AK409" i="40"/>
  <c r="AJ409" i="40"/>
  <c r="AI409" i="40"/>
  <c r="AH409" i="40"/>
  <c r="AG409" i="40"/>
  <c r="AL408" i="40"/>
  <c r="AK408" i="40"/>
  <c r="AJ408" i="40"/>
  <c r="AI408" i="40"/>
  <c r="AH408" i="40"/>
  <c r="AG408" i="40"/>
  <c r="AL407" i="40"/>
  <c r="AK407" i="40"/>
  <c r="AJ407" i="40"/>
  <c r="AI407" i="40"/>
  <c r="AH407" i="40"/>
  <c r="AG407" i="40"/>
  <c r="AL406" i="40"/>
  <c r="AK406" i="40"/>
  <c r="AJ406" i="40"/>
  <c r="AI406" i="40"/>
  <c r="AH406" i="40"/>
  <c r="AG406" i="40"/>
  <c r="AL405" i="40"/>
  <c r="AK405" i="40"/>
  <c r="AJ405" i="40"/>
  <c r="AI405" i="40"/>
  <c r="AH405" i="40"/>
  <c r="AG405" i="40"/>
  <c r="AL404" i="40"/>
  <c r="AK404" i="40"/>
  <c r="AJ404" i="40"/>
  <c r="AI404" i="40"/>
  <c r="AH404" i="40"/>
  <c r="AG404" i="40"/>
  <c r="AL403" i="40"/>
  <c r="AK403" i="40"/>
  <c r="AJ403" i="40"/>
  <c r="AI403" i="40"/>
  <c r="AH403" i="40"/>
  <c r="AG403" i="40"/>
  <c r="AL402" i="40"/>
  <c r="AK402" i="40"/>
  <c r="AJ402" i="40"/>
  <c r="AI402" i="40"/>
  <c r="AH402" i="40"/>
  <c r="AG402" i="40"/>
  <c r="AL401" i="40"/>
  <c r="AK401" i="40"/>
  <c r="AJ401" i="40"/>
  <c r="AI401" i="40"/>
  <c r="AH401" i="40"/>
  <c r="AG401" i="40"/>
  <c r="AL400" i="40"/>
  <c r="AK400" i="40"/>
  <c r="AJ400" i="40"/>
  <c r="AI400" i="40"/>
  <c r="AH400" i="40"/>
  <c r="AG400" i="40"/>
  <c r="AL399" i="40"/>
  <c r="AK399" i="40"/>
  <c r="AJ399" i="40"/>
  <c r="AI399" i="40"/>
  <c r="AH399" i="40"/>
  <c r="AG399" i="40"/>
  <c r="AL398" i="40"/>
  <c r="AK398" i="40"/>
  <c r="AJ398" i="40"/>
  <c r="AI398" i="40"/>
  <c r="AH398" i="40"/>
  <c r="AG398" i="40"/>
  <c r="AL397" i="40"/>
  <c r="AK397" i="40"/>
  <c r="AJ397" i="40"/>
  <c r="AI397" i="40"/>
  <c r="AH397" i="40"/>
  <c r="AG397" i="40"/>
  <c r="AL396" i="40"/>
  <c r="AK396" i="40"/>
  <c r="AJ396" i="40"/>
  <c r="AI396" i="40"/>
  <c r="AH396" i="40"/>
  <c r="AG396" i="40"/>
  <c r="AL395" i="40"/>
  <c r="AK395" i="40"/>
  <c r="AJ395" i="40"/>
  <c r="AI395" i="40"/>
  <c r="AH395" i="40"/>
  <c r="AG395" i="40"/>
  <c r="AL394" i="40"/>
  <c r="AK394" i="40"/>
  <c r="AJ394" i="40"/>
  <c r="AI394" i="40"/>
  <c r="AH394" i="40"/>
  <c r="AG394" i="40"/>
  <c r="AL393" i="40"/>
  <c r="AK393" i="40"/>
  <c r="AJ393" i="40"/>
  <c r="AI393" i="40"/>
  <c r="AH393" i="40"/>
  <c r="AG393" i="40"/>
  <c r="AL392" i="40"/>
  <c r="AK392" i="40"/>
  <c r="AJ392" i="40"/>
  <c r="AI392" i="40"/>
  <c r="AH392" i="40"/>
  <c r="AG392" i="40"/>
  <c r="AL391" i="40"/>
  <c r="AK391" i="40"/>
  <c r="AJ391" i="40"/>
  <c r="AI391" i="40"/>
  <c r="AH391" i="40"/>
  <c r="AG391" i="40"/>
  <c r="AL390" i="40"/>
  <c r="AK390" i="40"/>
  <c r="AJ390" i="40"/>
  <c r="AI390" i="40"/>
  <c r="AH390" i="40"/>
  <c r="AG390" i="40"/>
  <c r="AL389" i="40"/>
  <c r="AK389" i="40"/>
  <c r="AJ389" i="40"/>
  <c r="AI389" i="40"/>
  <c r="AH389" i="40"/>
  <c r="AG389" i="40"/>
  <c r="AL388" i="40"/>
  <c r="AK388" i="40"/>
  <c r="AJ388" i="40"/>
  <c r="AI388" i="40"/>
  <c r="AH388" i="40"/>
  <c r="AG388" i="40"/>
  <c r="AL387" i="40"/>
  <c r="AK387" i="40"/>
  <c r="AJ387" i="40"/>
  <c r="AI387" i="40"/>
  <c r="AH387" i="40"/>
  <c r="AG387" i="40"/>
  <c r="AL386" i="40"/>
  <c r="AK386" i="40"/>
  <c r="AJ386" i="40"/>
  <c r="AI386" i="40"/>
  <c r="AH386" i="40"/>
  <c r="AG386" i="40"/>
  <c r="AL385" i="40"/>
  <c r="AK385" i="40"/>
  <c r="AJ385" i="40"/>
  <c r="AI385" i="40"/>
  <c r="AH385" i="40"/>
  <c r="AG385" i="40"/>
  <c r="AL384" i="40"/>
  <c r="AK384" i="40"/>
  <c r="AJ384" i="40"/>
  <c r="AI384" i="40"/>
  <c r="AH384" i="40"/>
  <c r="AG384" i="40"/>
  <c r="AL383" i="40"/>
  <c r="AK383" i="40"/>
  <c r="AJ383" i="40"/>
  <c r="AI383" i="40"/>
  <c r="AH383" i="40"/>
  <c r="AG383" i="40"/>
  <c r="AL382" i="40"/>
  <c r="AK382" i="40"/>
  <c r="AJ382" i="40"/>
  <c r="AI382" i="40"/>
  <c r="AH382" i="40"/>
  <c r="AG382" i="40"/>
  <c r="AL381" i="40"/>
  <c r="AK381" i="40"/>
  <c r="AJ381" i="40"/>
  <c r="AI381" i="40"/>
  <c r="AH381" i="40"/>
  <c r="AG381" i="40"/>
  <c r="AL380" i="40"/>
  <c r="AK380" i="40"/>
  <c r="AJ380" i="40"/>
  <c r="AI380" i="40"/>
  <c r="AH380" i="40"/>
  <c r="AG380" i="40"/>
  <c r="AL379" i="40"/>
  <c r="AK379" i="40"/>
  <c r="AJ379" i="40"/>
  <c r="AI379" i="40"/>
  <c r="AH379" i="40"/>
  <c r="AG379" i="40"/>
  <c r="AL378" i="40"/>
  <c r="AK378" i="40"/>
  <c r="AJ378" i="40"/>
  <c r="AI378" i="40"/>
  <c r="AH378" i="40"/>
  <c r="AG378" i="40"/>
  <c r="AL377" i="40"/>
  <c r="AK377" i="40"/>
  <c r="AJ377" i="40"/>
  <c r="AI377" i="40"/>
  <c r="AH377" i="40"/>
  <c r="AG377" i="40"/>
  <c r="AL376" i="40"/>
  <c r="AK376" i="40"/>
  <c r="AJ376" i="40"/>
  <c r="AI376" i="40"/>
  <c r="AH376" i="40"/>
  <c r="AG376" i="40"/>
  <c r="AL375" i="40"/>
  <c r="AK375" i="40"/>
  <c r="AJ375" i="40"/>
  <c r="AI375" i="40"/>
  <c r="AH375" i="40"/>
  <c r="AG375" i="40"/>
  <c r="AL374" i="40"/>
  <c r="AK374" i="40"/>
  <c r="AJ374" i="40"/>
  <c r="AI374" i="40"/>
  <c r="AH374" i="40"/>
  <c r="AG374" i="40"/>
  <c r="AL373" i="40"/>
  <c r="AK373" i="40"/>
  <c r="AJ373" i="40"/>
  <c r="AI373" i="40"/>
  <c r="AH373" i="40"/>
  <c r="AG373" i="40"/>
  <c r="AL372" i="40"/>
  <c r="AK372" i="40"/>
  <c r="AJ372" i="40"/>
  <c r="AI372" i="40"/>
  <c r="AH372" i="40"/>
  <c r="AG372" i="40"/>
  <c r="AL371" i="40"/>
  <c r="AK371" i="40"/>
  <c r="AJ371" i="40"/>
  <c r="AI371" i="40"/>
  <c r="AH371" i="40"/>
  <c r="AG371" i="40"/>
  <c r="AL370" i="40"/>
  <c r="AK370" i="40"/>
  <c r="AJ370" i="40"/>
  <c r="AI370" i="40"/>
  <c r="AH370" i="40"/>
  <c r="AG370" i="40"/>
  <c r="AL369" i="40"/>
  <c r="AK369" i="40"/>
  <c r="AJ369" i="40"/>
  <c r="AI369" i="40"/>
  <c r="AH369" i="40"/>
  <c r="AG369" i="40"/>
  <c r="AL368" i="40"/>
  <c r="AK368" i="40"/>
  <c r="AJ368" i="40"/>
  <c r="AI368" i="40"/>
  <c r="AH368" i="40"/>
  <c r="AG368" i="40"/>
  <c r="AL367" i="40"/>
  <c r="AK367" i="40"/>
  <c r="AJ367" i="40"/>
  <c r="AI367" i="40"/>
  <c r="AH367" i="40"/>
  <c r="AG367" i="40"/>
  <c r="AL366" i="40"/>
  <c r="AK366" i="40"/>
  <c r="AJ366" i="40"/>
  <c r="AI366" i="40"/>
  <c r="AH366" i="40"/>
  <c r="AG366" i="40"/>
  <c r="AL365" i="40"/>
  <c r="AK365" i="40"/>
  <c r="AJ365" i="40"/>
  <c r="AI365" i="40"/>
  <c r="AH365" i="40"/>
  <c r="AG365" i="40"/>
  <c r="AL364" i="40"/>
  <c r="AK364" i="40"/>
  <c r="AJ364" i="40"/>
  <c r="AI364" i="40"/>
  <c r="AH364" i="40"/>
  <c r="AG364" i="40"/>
  <c r="AL363" i="40"/>
  <c r="AK363" i="40"/>
  <c r="AJ363" i="40"/>
  <c r="AI363" i="40"/>
  <c r="AH363" i="40"/>
  <c r="AG363" i="40"/>
  <c r="AL362" i="40"/>
  <c r="AK362" i="40"/>
  <c r="AJ362" i="40"/>
  <c r="AI362" i="40"/>
  <c r="AH362" i="40"/>
  <c r="AG362" i="40"/>
  <c r="AL361" i="40"/>
  <c r="AK361" i="40"/>
  <c r="AJ361" i="40"/>
  <c r="AI361" i="40"/>
  <c r="AH361" i="40"/>
  <c r="AG361" i="40"/>
  <c r="AL360" i="40"/>
  <c r="AK360" i="40"/>
  <c r="AJ360" i="40"/>
  <c r="AI360" i="40"/>
  <c r="AH360" i="40"/>
  <c r="AG360" i="40"/>
  <c r="AL359" i="40"/>
  <c r="AK359" i="40"/>
  <c r="AJ359" i="40"/>
  <c r="AI359" i="40"/>
  <c r="AH359" i="40"/>
  <c r="AG359" i="40"/>
  <c r="AL358" i="40"/>
  <c r="AK358" i="40"/>
  <c r="AJ358" i="40"/>
  <c r="AI358" i="40"/>
  <c r="AH358" i="40"/>
  <c r="AG358" i="40"/>
  <c r="AL357" i="40"/>
  <c r="AK357" i="40"/>
  <c r="AJ357" i="40"/>
  <c r="AI357" i="40"/>
  <c r="AH357" i="40"/>
  <c r="AG357" i="40"/>
  <c r="AL356" i="40"/>
  <c r="AK356" i="40"/>
  <c r="AJ356" i="40"/>
  <c r="AI356" i="40"/>
  <c r="AH356" i="40"/>
  <c r="AG356" i="40"/>
  <c r="AL355" i="40"/>
  <c r="AK355" i="40"/>
  <c r="AJ355" i="40"/>
  <c r="AI355" i="40"/>
  <c r="AH355" i="40"/>
  <c r="AG355" i="40"/>
  <c r="AL354" i="40"/>
  <c r="AK354" i="40"/>
  <c r="AJ354" i="40"/>
  <c r="AI354" i="40"/>
  <c r="AH354" i="40"/>
  <c r="AG354" i="40"/>
  <c r="AL353" i="40"/>
  <c r="AK353" i="40"/>
  <c r="AJ353" i="40"/>
  <c r="AI353" i="40"/>
  <c r="AH353" i="40"/>
  <c r="AG353" i="40"/>
  <c r="AL352" i="40"/>
  <c r="AK352" i="40"/>
  <c r="AJ352" i="40"/>
  <c r="AI352" i="40"/>
  <c r="AH352" i="40"/>
  <c r="AG352" i="40"/>
  <c r="AL351" i="40"/>
  <c r="AK351" i="40"/>
  <c r="AJ351" i="40"/>
  <c r="AI351" i="40"/>
  <c r="AH351" i="40"/>
  <c r="AG351" i="40"/>
  <c r="AL350" i="40"/>
  <c r="AK350" i="40"/>
  <c r="AJ350" i="40"/>
  <c r="AI350" i="40"/>
  <c r="AH350" i="40"/>
  <c r="AG350" i="40"/>
  <c r="AL349" i="40"/>
  <c r="AK349" i="40"/>
  <c r="AJ349" i="40"/>
  <c r="AI349" i="40"/>
  <c r="AH349" i="40"/>
  <c r="AG349" i="40"/>
  <c r="AL348" i="40"/>
  <c r="AK348" i="40"/>
  <c r="AJ348" i="40"/>
  <c r="AI348" i="40"/>
  <c r="AH348" i="40"/>
  <c r="AG348" i="40"/>
  <c r="AL347" i="40"/>
  <c r="AK347" i="40"/>
  <c r="AJ347" i="40"/>
  <c r="AI347" i="40"/>
  <c r="AH347" i="40"/>
  <c r="AG347" i="40"/>
  <c r="AL346" i="40"/>
  <c r="AK346" i="40"/>
  <c r="AJ346" i="40"/>
  <c r="AI346" i="40"/>
  <c r="AH346" i="40"/>
  <c r="AG346" i="40"/>
  <c r="AL345" i="40"/>
  <c r="AK345" i="40"/>
  <c r="AJ345" i="40"/>
  <c r="AI345" i="40"/>
  <c r="AH345" i="40"/>
  <c r="AG345" i="40"/>
  <c r="AL344" i="40"/>
  <c r="AK344" i="40"/>
  <c r="AJ344" i="40"/>
  <c r="AI344" i="40"/>
  <c r="AH344" i="40"/>
  <c r="AG344" i="40"/>
  <c r="AL343" i="40"/>
  <c r="AK343" i="40"/>
  <c r="AJ343" i="40"/>
  <c r="AI343" i="40"/>
  <c r="AH343" i="40"/>
  <c r="AG343" i="40"/>
  <c r="AL342" i="40"/>
  <c r="AK342" i="40"/>
  <c r="AJ342" i="40"/>
  <c r="AI342" i="40"/>
  <c r="AH342" i="40"/>
  <c r="AG342" i="40"/>
  <c r="AL341" i="40"/>
  <c r="AK341" i="40"/>
  <c r="AJ341" i="40"/>
  <c r="AI341" i="40"/>
  <c r="AH341" i="40"/>
  <c r="AG341" i="40"/>
  <c r="AL340" i="40"/>
  <c r="AK340" i="40"/>
  <c r="AJ340" i="40"/>
  <c r="AI340" i="40"/>
  <c r="AH340" i="40"/>
  <c r="AG340" i="40"/>
  <c r="AL339" i="40"/>
  <c r="AK339" i="40"/>
  <c r="AJ339" i="40"/>
  <c r="AI339" i="40"/>
  <c r="AH339" i="40"/>
  <c r="AG339" i="40"/>
  <c r="AL338" i="40"/>
  <c r="AK338" i="40"/>
  <c r="AJ338" i="40"/>
  <c r="AI338" i="40"/>
  <c r="AH338" i="40"/>
  <c r="AG338" i="40"/>
  <c r="AL337" i="40"/>
  <c r="AK337" i="40"/>
  <c r="AJ337" i="40"/>
  <c r="AI337" i="40"/>
  <c r="AH337" i="40"/>
  <c r="AG337" i="40"/>
  <c r="AL336" i="40"/>
  <c r="AK336" i="40"/>
  <c r="AJ336" i="40"/>
  <c r="AI336" i="40"/>
  <c r="AH336" i="40"/>
  <c r="AG336" i="40"/>
  <c r="AL335" i="40"/>
  <c r="AK335" i="40"/>
  <c r="AJ335" i="40"/>
  <c r="AI335" i="40"/>
  <c r="AH335" i="40"/>
  <c r="AG335" i="40"/>
  <c r="AL334" i="40"/>
  <c r="AK334" i="40"/>
  <c r="AJ334" i="40"/>
  <c r="AI334" i="40"/>
  <c r="AH334" i="40"/>
  <c r="AG334" i="40"/>
  <c r="AL333" i="40"/>
  <c r="AK333" i="40"/>
  <c r="AJ333" i="40"/>
  <c r="AI333" i="40"/>
  <c r="AH333" i="40"/>
  <c r="AG333" i="40"/>
  <c r="AL332" i="40"/>
  <c r="AK332" i="40"/>
  <c r="AJ332" i="40"/>
  <c r="AI332" i="40"/>
  <c r="AH332" i="40"/>
  <c r="AG332" i="40"/>
  <c r="AL331" i="40"/>
  <c r="AK331" i="40"/>
  <c r="AJ331" i="40"/>
  <c r="AI331" i="40"/>
  <c r="AH331" i="40"/>
  <c r="AG331" i="40"/>
  <c r="AL330" i="40"/>
  <c r="AK330" i="40"/>
  <c r="AJ330" i="40"/>
  <c r="AI330" i="40"/>
  <c r="AH330" i="40"/>
  <c r="AG330" i="40"/>
  <c r="AL329" i="40"/>
  <c r="AK329" i="40"/>
  <c r="AJ329" i="40"/>
  <c r="AI329" i="40"/>
  <c r="AH329" i="40"/>
  <c r="AG329" i="40"/>
  <c r="AL328" i="40"/>
  <c r="AK328" i="40"/>
  <c r="AJ328" i="40"/>
  <c r="AI328" i="40"/>
  <c r="AH328" i="40"/>
  <c r="AG328" i="40"/>
  <c r="AL327" i="40"/>
  <c r="AK327" i="40"/>
  <c r="AJ327" i="40"/>
  <c r="AI327" i="40"/>
  <c r="AH327" i="40"/>
  <c r="AG327" i="40"/>
  <c r="AL326" i="40"/>
  <c r="AK326" i="40"/>
  <c r="AJ326" i="40"/>
  <c r="AI326" i="40"/>
  <c r="AH326" i="40"/>
  <c r="AG326" i="40"/>
  <c r="AL325" i="40"/>
  <c r="AK325" i="40"/>
  <c r="AJ325" i="40"/>
  <c r="AI325" i="40"/>
  <c r="AH325" i="40"/>
  <c r="AG325" i="40"/>
  <c r="AL324" i="40"/>
  <c r="AK324" i="40"/>
  <c r="AJ324" i="40"/>
  <c r="AI324" i="40"/>
  <c r="AH324" i="40"/>
  <c r="AG324" i="40"/>
  <c r="AL323" i="40"/>
  <c r="AK323" i="40"/>
  <c r="AJ323" i="40"/>
  <c r="AI323" i="40"/>
  <c r="AH323" i="40"/>
  <c r="AG323" i="40"/>
  <c r="AL322" i="40"/>
  <c r="AK322" i="40"/>
  <c r="AJ322" i="40"/>
  <c r="AI322" i="40"/>
  <c r="AH322" i="40"/>
  <c r="AG322" i="40"/>
  <c r="AL321" i="40"/>
  <c r="AK321" i="40"/>
  <c r="AJ321" i="40"/>
  <c r="AI321" i="40"/>
  <c r="AH321" i="40"/>
  <c r="AG321" i="40"/>
  <c r="AL320" i="40"/>
  <c r="AK320" i="40"/>
  <c r="AJ320" i="40"/>
  <c r="AI320" i="40"/>
  <c r="AH320" i="40"/>
  <c r="AG320" i="40"/>
  <c r="AL319" i="40"/>
  <c r="AK319" i="40"/>
  <c r="AJ319" i="40"/>
  <c r="AI319" i="40"/>
  <c r="AH319" i="40"/>
  <c r="AG319" i="40"/>
  <c r="AL318" i="40"/>
  <c r="AK318" i="40"/>
  <c r="AJ318" i="40"/>
  <c r="AI318" i="40"/>
  <c r="AH318" i="40"/>
  <c r="AG318" i="40"/>
  <c r="AL317" i="40"/>
  <c r="AK317" i="40"/>
  <c r="AJ317" i="40"/>
  <c r="AI317" i="40"/>
  <c r="AH317" i="40"/>
  <c r="AG317" i="40"/>
  <c r="AL316" i="40"/>
  <c r="AK316" i="40"/>
  <c r="AJ316" i="40"/>
  <c r="AI316" i="40"/>
  <c r="AH316" i="40"/>
  <c r="AG316" i="40"/>
  <c r="AL315" i="40"/>
  <c r="AK315" i="40"/>
  <c r="AJ315" i="40"/>
  <c r="AI315" i="40"/>
  <c r="AH315" i="40"/>
  <c r="AG315" i="40"/>
  <c r="AL314" i="40"/>
  <c r="AK314" i="40"/>
  <c r="AJ314" i="40"/>
  <c r="AI314" i="40"/>
  <c r="AH314" i="40"/>
  <c r="AG314" i="40"/>
  <c r="AL313" i="40"/>
  <c r="AK313" i="40"/>
  <c r="AJ313" i="40"/>
  <c r="AI313" i="40"/>
  <c r="AH313" i="40"/>
  <c r="AG313" i="40"/>
  <c r="AL312" i="40"/>
  <c r="AK312" i="40"/>
  <c r="AJ312" i="40"/>
  <c r="AI312" i="40"/>
  <c r="AH312" i="40"/>
  <c r="AG312" i="40"/>
  <c r="AL311" i="40"/>
  <c r="AK311" i="40"/>
  <c r="AJ311" i="40"/>
  <c r="AI311" i="40"/>
  <c r="AH311" i="40"/>
  <c r="AG311" i="40"/>
  <c r="AL310" i="40"/>
  <c r="AK310" i="40"/>
  <c r="AJ310" i="40"/>
  <c r="AI310" i="40"/>
  <c r="AH310" i="40"/>
  <c r="AG310" i="40"/>
  <c r="AL309" i="40"/>
  <c r="AK309" i="40"/>
  <c r="AJ309" i="40"/>
  <c r="AI309" i="40"/>
  <c r="AH309" i="40"/>
  <c r="AG309" i="40"/>
  <c r="AL308" i="40"/>
  <c r="AK308" i="40"/>
  <c r="AJ308" i="40"/>
  <c r="AI308" i="40"/>
  <c r="AH308" i="40"/>
  <c r="AG308" i="40"/>
  <c r="AL307" i="40"/>
  <c r="AK307" i="40"/>
  <c r="AJ307" i="40"/>
  <c r="AI307" i="40"/>
  <c r="AH307" i="40"/>
  <c r="AG307" i="40"/>
  <c r="AL306" i="40"/>
  <c r="AK306" i="40"/>
  <c r="AJ306" i="40"/>
  <c r="AI306" i="40"/>
  <c r="AH306" i="40"/>
  <c r="AG306" i="40"/>
  <c r="AL305" i="40"/>
  <c r="AK305" i="40"/>
  <c r="AJ305" i="40"/>
  <c r="AI305" i="40"/>
  <c r="AH305" i="40"/>
  <c r="AG305" i="40"/>
  <c r="AL304" i="40"/>
  <c r="AK304" i="40"/>
  <c r="AJ304" i="40"/>
  <c r="AI304" i="40"/>
  <c r="AH304" i="40"/>
  <c r="AG304" i="40"/>
  <c r="AL303" i="40"/>
  <c r="AK303" i="40"/>
  <c r="AJ303" i="40"/>
  <c r="AI303" i="40"/>
  <c r="AH303" i="40"/>
  <c r="AG303" i="40"/>
  <c r="AL302" i="40"/>
  <c r="AK302" i="40"/>
  <c r="AJ302" i="40"/>
  <c r="AI302" i="40"/>
  <c r="AH302" i="40"/>
  <c r="AG302" i="40"/>
  <c r="AL301" i="40"/>
  <c r="AK301" i="40"/>
  <c r="AJ301" i="40"/>
  <c r="AI301" i="40"/>
  <c r="AH301" i="40"/>
  <c r="AG301" i="40"/>
  <c r="AL300" i="40"/>
  <c r="AK300" i="40"/>
  <c r="AJ300" i="40"/>
  <c r="AI300" i="40"/>
  <c r="AH300" i="40"/>
  <c r="AG300" i="40"/>
  <c r="AL299" i="40"/>
  <c r="AK299" i="40"/>
  <c r="AJ299" i="40"/>
  <c r="AI299" i="40"/>
  <c r="AH299" i="40"/>
  <c r="AG299" i="40"/>
  <c r="AL298" i="40"/>
  <c r="AK298" i="40"/>
  <c r="AJ298" i="40"/>
  <c r="AI298" i="40"/>
  <c r="AH298" i="40"/>
  <c r="AG298" i="40"/>
  <c r="AL297" i="40"/>
  <c r="AK297" i="40"/>
  <c r="AJ297" i="40"/>
  <c r="AI297" i="40"/>
  <c r="AH297" i="40"/>
  <c r="AG297" i="40"/>
  <c r="AL296" i="40"/>
  <c r="AK296" i="40"/>
  <c r="AJ296" i="40"/>
  <c r="AI296" i="40"/>
  <c r="AH296" i="40"/>
  <c r="AG296" i="40"/>
  <c r="AL295" i="40"/>
  <c r="AK295" i="40"/>
  <c r="AJ295" i="40"/>
  <c r="AI295" i="40"/>
  <c r="AH295" i="40"/>
  <c r="AG295" i="40"/>
  <c r="AL294" i="40"/>
  <c r="AK294" i="40"/>
  <c r="AJ294" i="40"/>
  <c r="AI294" i="40"/>
  <c r="AH294" i="40"/>
  <c r="AG294" i="40"/>
  <c r="AL293" i="40"/>
  <c r="AK293" i="40"/>
  <c r="AJ293" i="40"/>
  <c r="AI293" i="40"/>
  <c r="AH293" i="40"/>
  <c r="AG293" i="40"/>
  <c r="AL292" i="40"/>
  <c r="AK292" i="40"/>
  <c r="AJ292" i="40"/>
  <c r="AI292" i="40"/>
  <c r="AH292" i="40"/>
  <c r="AG292" i="40"/>
  <c r="AL291" i="40"/>
  <c r="AK291" i="40"/>
  <c r="AJ291" i="40"/>
  <c r="AI291" i="40"/>
  <c r="AH291" i="40"/>
  <c r="AG291" i="40"/>
  <c r="AL290" i="40"/>
  <c r="AK290" i="40"/>
  <c r="AJ290" i="40"/>
  <c r="AI290" i="40"/>
  <c r="AH290" i="40"/>
  <c r="AG290" i="40"/>
  <c r="AL289" i="40"/>
  <c r="AK289" i="40"/>
  <c r="AJ289" i="40"/>
  <c r="AI289" i="40"/>
  <c r="AH289" i="40"/>
  <c r="AG289" i="40"/>
  <c r="AL288" i="40"/>
  <c r="AK288" i="40"/>
  <c r="AJ288" i="40"/>
  <c r="AI288" i="40"/>
  <c r="AH288" i="40"/>
  <c r="AG288" i="40"/>
  <c r="AL287" i="40"/>
  <c r="AK287" i="40"/>
  <c r="AJ287" i="40"/>
  <c r="AI287" i="40"/>
  <c r="AH287" i="40"/>
  <c r="AG287" i="40"/>
  <c r="AL286" i="40"/>
  <c r="AK286" i="40"/>
  <c r="AJ286" i="40"/>
  <c r="AI286" i="40"/>
  <c r="AH286" i="40"/>
  <c r="AG286" i="40"/>
  <c r="AL285" i="40"/>
  <c r="AK285" i="40"/>
  <c r="AJ285" i="40"/>
  <c r="AI285" i="40"/>
  <c r="AH285" i="40"/>
  <c r="AG285" i="40"/>
  <c r="AL284" i="40"/>
  <c r="AK284" i="40"/>
  <c r="AJ284" i="40"/>
  <c r="AI284" i="40"/>
  <c r="AH284" i="40"/>
  <c r="AG284" i="40"/>
  <c r="AL283" i="40"/>
  <c r="AK283" i="40"/>
  <c r="AJ283" i="40"/>
  <c r="AI283" i="40"/>
  <c r="AH283" i="40"/>
  <c r="AG283" i="40"/>
  <c r="AL282" i="40"/>
  <c r="AK282" i="40"/>
  <c r="AJ282" i="40"/>
  <c r="AI282" i="40"/>
  <c r="AH282" i="40"/>
  <c r="AG282" i="40"/>
  <c r="AL281" i="40"/>
  <c r="AK281" i="40"/>
  <c r="AJ281" i="40"/>
  <c r="AI281" i="40"/>
  <c r="AH281" i="40"/>
  <c r="AG281" i="40"/>
  <c r="AL280" i="40"/>
  <c r="AK280" i="40"/>
  <c r="AJ280" i="40"/>
  <c r="AI280" i="40"/>
  <c r="AH280" i="40"/>
  <c r="AG280" i="40"/>
  <c r="AL279" i="40"/>
  <c r="AK279" i="40"/>
  <c r="AJ279" i="40"/>
  <c r="AI279" i="40"/>
  <c r="AH279" i="40"/>
  <c r="AG279" i="40"/>
  <c r="AL278" i="40"/>
  <c r="AK278" i="40"/>
  <c r="AJ278" i="40"/>
  <c r="AI278" i="40"/>
  <c r="AH278" i="40"/>
  <c r="AG278" i="40"/>
  <c r="AL277" i="40"/>
  <c r="AK277" i="40"/>
  <c r="AJ277" i="40"/>
  <c r="AI277" i="40"/>
  <c r="AH277" i="40"/>
  <c r="AG277" i="40"/>
  <c r="AL276" i="40"/>
  <c r="AK276" i="40"/>
  <c r="AJ276" i="40"/>
  <c r="AI276" i="40"/>
  <c r="AH276" i="40"/>
  <c r="AG276" i="40"/>
  <c r="AL275" i="40"/>
  <c r="AK275" i="40"/>
  <c r="AJ275" i="40"/>
  <c r="AI275" i="40"/>
  <c r="AH275" i="40"/>
  <c r="AG275" i="40"/>
  <c r="AL274" i="40"/>
  <c r="AK274" i="40"/>
  <c r="AJ274" i="40"/>
  <c r="AI274" i="40"/>
  <c r="AH274" i="40"/>
  <c r="AG274" i="40"/>
  <c r="AL273" i="40"/>
  <c r="AK273" i="40"/>
  <c r="AJ273" i="40"/>
  <c r="AI273" i="40"/>
  <c r="AH273" i="40"/>
  <c r="AG273" i="40"/>
  <c r="AL272" i="40"/>
  <c r="AK272" i="40"/>
  <c r="AJ272" i="40"/>
  <c r="AI272" i="40"/>
  <c r="AH272" i="40"/>
  <c r="AG272" i="40"/>
  <c r="AL271" i="40"/>
  <c r="AK271" i="40"/>
  <c r="AJ271" i="40"/>
  <c r="AI271" i="40"/>
  <c r="AH271" i="40"/>
  <c r="AG271" i="40"/>
  <c r="AL270" i="40"/>
  <c r="AK270" i="40"/>
  <c r="AJ270" i="40"/>
  <c r="AI270" i="40"/>
  <c r="AH270" i="40"/>
  <c r="AG270" i="40"/>
  <c r="AL269" i="40"/>
  <c r="AK269" i="40"/>
  <c r="AJ269" i="40"/>
  <c r="AI269" i="40"/>
  <c r="AH269" i="40"/>
  <c r="AG269" i="40"/>
  <c r="AL268" i="40"/>
  <c r="AK268" i="40"/>
  <c r="AJ268" i="40"/>
  <c r="AI268" i="40"/>
  <c r="AH268" i="40"/>
  <c r="AG268" i="40"/>
  <c r="AL267" i="40"/>
  <c r="AK267" i="40"/>
  <c r="AJ267" i="40"/>
  <c r="AI267" i="40"/>
  <c r="AH267" i="40"/>
  <c r="AG267" i="40"/>
  <c r="AL266" i="40"/>
  <c r="AK266" i="40"/>
  <c r="AJ266" i="40"/>
  <c r="AI266" i="40"/>
  <c r="AH266" i="40"/>
  <c r="AG266" i="40"/>
  <c r="AL265" i="40"/>
  <c r="AK265" i="40"/>
  <c r="AJ265" i="40"/>
  <c r="AI265" i="40"/>
  <c r="AH265" i="40"/>
  <c r="AG265" i="40"/>
  <c r="AL264" i="40"/>
  <c r="AK264" i="40"/>
  <c r="AJ264" i="40"/>
  <c r="AI264" i="40"/>
  <c r="AH264" i="40"/>
  <c r="AG264" i="40"/>
  <c r="AL263" i="40"/>
  <c r="AK263" i="40"/>
  <c r="AJ263" i="40"/>
  <c r="AI263" i="40"/>
  <c r="AH263" i="40"/>
  <c r="AG263" i="40"/>
  <c r="AL262" i="40"/>
  <c r="AK262" i="40"/>
  <c r="AJ262" i="40"/>
  <c r="AI262" i="40"/>
  <c r="AH262" i="40"/>
  <c r="AG262" i="40"/>
  <c r="AL261" i="40"/>
  <c r="AK261" i="40"/>
  <c r="AJ261" i="40"/>
  <c r="AI261" i="40"/>
  <c r="AH261" i="40"/>
  <c r="AG261" i="40"/>
  <c r="AL260" i="40"/>
  <c r="AK260" i="40"/>
  <c r="AJ260" i="40"/>
  <c r="AI260" i="40"/>
  <c r="AH260" i="40"/>
  <c r="AG260" i="40"/>
  <c r="AL259" i="40"/>
  <c r="AK259" i="40"/>
  <c r="AJ259" i="40"/>
  <c r="AI259" i="40"/>
  <c r="AH259" i="40"/>
  <c r="AG259" i="40"/>
  <c r="AL258" i="40"/>
  <c r="AK258" i="40"/>
  <c r="AJ258" i="40"/>
  <c r="AI258" i="40"/>
  <c r="AH258" i="40"/>
  <c r="AG258" i="40"/>
  <c r="AL257" i="40"/>
  <c r="AK257" i="40"/>
  <c r="AJ257" i="40"/>
  <c r="AI257" i="40"/>
  <c r="AH257" i="40"/>
  <c r="AG257" i="40"/>
  <c r="AL256" i="40"/>
  <c r="AK256" i="40"/>
  <c r="AJ256" i="40"/>
  <c r="AI256" i="40"/>
  <c r="AH256" i="40"/>
  <c r="AG256" i="40"/>
  <c r="AL255" i="40"/>
  <c r="AK255" i="40"/>
  <c r="AJ255" i="40"/>
  <c r="AI255" i="40"/>
  <c r="AH255" i="40"/>
  <c r="AG255" i="40"/>
  <c r="AL254" i="40"/>
  <c r="AK254" i="40"/>
  <c r="AJ254" i="40"/>
  <c r="AI254" i="40"/>
  <c r="AH254" i="40"/>
  <c r="AG254" i="40"/>
  <c r="AL253" i="40"/>
  <c r="AK253" i="40"/>
  <c r="AJ253" i="40"/>
  <c r="AI253" i="40"/>
  <c r="AH253" i="40"/>
  <c r="AG253" i="40"/>
  <c r="AL252" i="40"/>
  <c r="AK252" i="40"/>
  <c r="AJ252" i="40"/>
  <c r="AI252" i="40"/>
  <c r="AH252" i="40"/>
  <c r="AG252" i="40"/>
  <c r="AL251" i="40"/>
  <c r="AK251" i="40"/>
  <c r="AJ251" i="40"/>
  <c r="AI251" i="40"/>
  <c r="AH251" i="40"/>
  <c r="AG251" i="40"/>
  <c r="AL250" i="40"/>
  <c r="AK250" i="40"/>
  <c r="AJ250" i="40"/>
  <c r="AI250" i="40"/>
  <c r="AH250" i="40"/>
  <c r="AG250" i="40"/>
  <c r="AL249" i="40"/>
  <c r="AK249" i="40"/>
  <c r="AJ249" i="40"/>
  <c r="AI249" i="40"/>
  <c r="AH249" i="40"/>
  <c r="AG249" i="40"/>
  <c r="AL248" i="40"/>
  <c r="AK248" i="40"/>
  <c r="AJ248" i="40"/>
  <c r="AI248" i="40"/>
  <c r="AH248" i="40"/>
  <c r="AG248" i="40"/>
  <c r="AL247" i="40"/>
  <c r="AK247" i="40"/>
  <c r="AJ247" i="40"/>
  <c r="AI247" i="40"/>
  <c r="AH247" i="40"/>
  <c r="AG247" i="40"/>
  <c r="AL246" i="40"/>
  <c r="AK246" i="40"/>
  <c r="AJ246" i="40"/>
  <c r="AI246" i="40"/>
  <c r="AH246" i="40"/>
  <c r="AG246" i="40"/>
  <c r="AL245" i="40"/>
  <c r="AK245" i="40"/>
  <c r="AJ245" i="40"/>
  <c r="AI245" i="40"/>
  <c r="AH245" i="40"/>
  <c r="AG245" i="40"/>
  <c r="AL244" i="40"/>
  <c r="AK244" i="40"/>
  <c r="AJ244" i="40"/>
  <c r="AI244" i="40"/>
  <c r="AH244" i="40"/>
  <c r="AG244" i="40"/>
  <c r="AL243" i="40"/>
  <c r="AK243" i="40"/>
  <c r="AJ243" i="40"/>
  <c r="AI243" i="40"/>
  <c r="AH243" i="40"/>
  <c r="AG243" i="40"/>
  <c r="AL242" i="40"/>
  <c r="AK242" i="40"/>
  <c r="AJ242" i="40"/>
  <c r="AI242" i="40"/>
  <c r="AH242" i="40"/>
  <c r="AG242" i="40"/>
  <c r="AL241" i="40"/>
  <c r="AK241" i="40"/>
  <c r="AJ241" i="40"/>
  <c r="AI241" i="40"/>
  <c r="AH241" i="40"/>
  <c r="AG241" i="40"/>
  <c r="AL240" i="40"/>
  <c r="AK240" i="40"/>
  <c r="AJ240" i="40"/>
  <c r="AI240" i="40"/>
  <c r="AH240" i="40"/>
  <c r="AG240" i="40"/>
  <c r="AL239" i="40"/>
  <c r="AK239" i="40"/>
  <c r="AJ239" i="40"/>
  <c r="AI239" i="40"/>
  <c r="AH239" i="40"/>
  <c r="AG239" i="40"/>
  <c r="AL238" i="40"/>
  <c r="AK238" i="40"/>
  <c r="AJ238" i="40"/>
  <c r="AI238" i="40"/>
  <c r="AH238" i="40"/>
  <c r="AG238" i="40"/>
  <c r="AL237" i="40"/>
  <c r="AK237" i="40"/>
  <c r="AJ237" i="40"/>
  <c r="AI237" i="40"/>
  <c r="AH237" i="40"/>
  <c r="AG237" i="40"/>
  <c r="AL236" i="40"/>
  <c r="AK236" i="40"/>
  <c r="AJ236" i="40"/>
  <c r="AI236" i="40"/>
  <c r="AH236" i="40"/>
  <c r="AG236" i="40"/>
  <c r="AL235" i="40"/>
  <c r="AK235" i="40"/>
  <c r="AJ235" i="40"/>
  <c r="AI235" i="40"/>
  <c r="AH235" i="40"/>
  <c r="AG235" i="40"/>
  <c r="AL234" i="40"/>
  <c r="AK234" i="40"/>
  <c r="AJ234" i="40"/>
  <c r="AI234" i="40"/>
  <c r="AH234" i="40"/>
  <c r="AG234" i="40"/>
  <c r="AL233" i="40"/>
  <c r="AK233" i="40"/>
  <c r="AJ233" i="40"/>
  <c r="AI233" i="40"/>
  <c r="AH233" i="40"/>
  <c r="AG233" i="40"/>
  <c r="AL232" i="40"/>
  <c r="AK232" i="40"/>
  <c r="AJ232" i="40"/>
  <c r="AI232" i="40"/>
  <c r="AH232" i="40"/>
  <c r="AG232" i="40"/>
  <c r="AL231" i="40"/>
  <c r="AK231" i="40"/>
  <c r="AJ231" i="40"/>
  <c r="AI231" i="40"/>
  <c r="AH231" i="40"/>
  <c r="AG231" i="40"/>
  <c r="AL230" i="40"/>
  <c r="AK230" i="40"/>
  <c r="AJ230" i="40"/>
  <c r="AI230" i="40"/>
  <c r="AH230" i="40"/>
  <c r="AG230" i="40"/>
  <c r="AL229" i="40"/>
  <c r="AK229" i="40"/>
  <c r="AJ229" i="40"/>
  <c r="AI229" i="40"/>
  <c r="AH229" i="40"/>
  <c r="AG229" i="40"/>
  <c r="AL228" i="40"/>
  <c r="AK228" i="40"/>
  <c r="AJ228" i="40"/>
  <c r="AI228" i="40"/>
  <c r="AH228" i="40"/>
  <c r="AG228" i="40"/>
  <c r="AL227" i="40"/>
  <c r="AK227" i="40"/>
  <c r="AJ227" i="40"/>
  <c r="AI227" i="40"/>
  <c r="AH227" i="40"/>
  <c r="AG227" i="40"/>
  <c r="AL226" i="40"/>
  <c r="AK226" i="40"/>
  <c r="AJ226" i="40"/>
  <c r="AI226" i="40"/>
  <c r="AH226" i="40"/>
  <c r="AG226" i="40"/>
  <c r="AL225" i="40"/>
  <c r="AK225" i="40"/>
  <c r="AJ225" i="40"/>
  <c r="AI225" i="40"/>
  <c r="AH225" i="40"/>
  <c r="AG225" i="40"/>
  <c r="AL224" i="40"/>
  <c r="AK224" i="40"/>
  <c r="AJ224" i="40"/>
  <c r="AI224" i="40"/>
  <c r="AH224" i="40"/>
  <c r="AG224" i="40"/>
  <c r="AL223" i="40"/>
  <c r="AK223" i="40"/>
  <c r="AJ223" i="40"/>
  <c r="AI223" i="40"/>
  <c r="AH223" i="40"/>
  <c r="AG223" i="40"/>
  <c r="AL222" i="40"/>
  <c r="AK222" i="40"/>
  <c r="AJ222" i="40"/>
  <c r="AI222" i="40"/>
  <c r="AH222" i="40"/>
  <c r="AG222" i="40"/>
  <c r="AL221" i="40"/>
  <c r="AK221" i="40"/>
  <c r="AJ221" i="40"/>
  <c r="AI221" i="40"/>
  <c r="AH221" i="40"/>
  <c r="AG221" i="40"/>
  <c r="AL220" i="40"/>
  <c r="AK220" i="40"/>
  <c r="AJ220" i="40"/>
  <c r="AI220" i="40"/>
  <c r="AH220" i="40"/>
  <c r="AG220" i="40"/>
  <c r="AL219" i="40"/>
  <c r="AK219" i="40"/>
  <c r="AJ219" i="40"/>
  <c r="AI219" i="40"/>
  <c r="AH219" i="40"/>
  <c r="AG219" i="40"/>
  <c r="AL218" i="40"/>
  <c r="AK218" i="40"/>
  <c r="AJ218" i="40"/>
  <c r="AI218" i="40"/>
  <c r="AH218" i="40"/>
  <c r="AG218" i="40"/>
  <c r="AL217" i="40"/>
  <c r="AK217" i="40"/>
  <c r="AJ217" i="40"/>
  <c r="AI217" i="40"/>
  <c r="AH217" i="40"/>
  <c r="AG217" i="40"/>
  <c r="AL216" i="40"/>
  <c r="AK216" i="40"/>
  <c r="AJ216" i="40"/>
  <c r="AI216" i="40"/>
  <c r="AH216" i="40"/>
  <c r="AG216" i="40"/>
  <c r="AL215" i="40"/>
  <c r="AK215" i="40"/>
  <c r="AJ215" i="40"/>
  <c r="AI215" i="40"/>
  <c r="AH215" i="40"/>
  <c r="AG215" i="40"/>
  <c r="AL214" i="40"/>
  <c r="AK214" i="40"/>
  <c r="AJ214" i="40"/>
  <c r="AI214" i="40"/>
  <c r="AH214" i="40"/>
  <c r="AG214" i="40"/>
  <c r="AL213" i="40"/>
  <c r="AK213" i="40"/>
  <c r="AJ213" i="40"/>
  <c r="AI213" i="40"/>
  <c r="AH213" i="40"/>
  <c r="AG213" i="40"/>
  <c r="AL212" i="40"/>
  <c r="AK212" i="40"/>
  <c r="AJ212" i="40"/>
  <c r="AI212" i="40"/>
  <c r="AH212" i="40"/>
  <c r="AG212" i="40"/>
  <c r="AL211" i="40"/>
  <c r="AK211" i="40"/>
  <c r="AJ211" i="40"/>
  <c r="AI211" i="40"/>
  <c r="AH211" i="40"/>
  <c r="AG211" i="40"/>
  <c r="AL210" i="40"/>
  <c r="AK210" i="40"/>
  <c r="AJ210" i="40"/>
  <c r="AI210" i="40"/>
  <c r="AH210" i="40"/>
  <c r="AG210" i="40"/>
  <c r="AL209" i="40"/>
  <c r="AK209" i="40"/>
  <c r="AJ209" i="40"/>
  <c r="AI209" i="40"/>
  <c r="AH209" i="40"/>
  <c r="AG209" i="40"/>
  <c r="AL208" i="40"/>
  <c r="AK208" i="40"/>
  <c r="AJ208" i="40"/>
  <c r="AI208" i="40"/>
  <c r="AH208" i="40"/>
  <c r="AG208" i="40"/>
  <c r="AL207" i="40"/>
  <c r="AK207" i="40"/>
  <c r="AJ207" i="40"/>
  <c r="AI207" i="40"/>
  <c r="AH207" i="40"/>
  <c r="AG207" i="40"/>
  <c r="AL206" i="40"/>
  <c r="AK206" i="40"/>
  <c r="AJ206" i="40"/>
  <c r="AI206" i="40"/>
  <c r="AH206" i="40"/>
  <c r="AG206" i="40"/>
  <c r="AL205" i="40"/>
  <c r="AK205" i="40"/>
  <c r="AJ205" i="40"/>
  <c r="AI205" i="40"/>
  <c r="AH205" i="40"/>
  <c r="AG205" i="40"/>
  <c r="AL204" i="40"/>
  <c r="AK204" i="40"/>
  <c r="AJ204" i="40"/>
  <c r="AI204" i="40"/>
  <c r="AH204" i="40"/>
  <c r="AG204" i="40"/>
  <c r="AL203" i="40"/>
  <c r="AK203" i="40"/>
  <c r="AJ203" i="40"/>
  <c r="AI203" i="40"/>
  <c r="AH203" i="40"/>
  <c r="AG203" i="40"/>
  <c r="AL202" i="40"/>
  <c r="AK202" i="40"/>
  <c r="AJ202" i="40"/>
  <c r="AI202" i="40"/>
  <c r="AH202" i="40"/>
  <c r="AG202" i="40"/>
  <c r="AL201" i="40"/>
  <c r="AK201" i="40"/>
  <c r="AJ201" i="40"/>
  <c r="AI201" i="40"/>
  <c r="AH201" i="40"/>
  <c r="AG201" i="40"/>
  <c r="AL200" i="40"/>
  <c r="AK200" i="40"/>
  <c r="AJ200" i="40"/>
  <c r="AI200" i="40"/>
  <c r="AH200" i="40"/>
  <c r="AG200" i="40"/>
  <c r="AL199" i="40"/>
  <c r="AK199" i="40"/>
  <c r="AJ199" i="40"/>
  <c r="AI199" i="40"/>
  <c r="AH199" i="40"/>
  <c r="AG199" i="40"/>
  <c r="AL198" i="40"/>
  <c r="AK198" i="40"/>
  <c r="AJ198" i="40"/>
  <c r="AI198" i="40"/>
  <c r="AH198" i="40"/>
  <c r="AG198" i="40"/>
  <c r="AL197" i="40"/>
  <c r="AK197" i="40"/>
  <c r="AJ197" i="40"/>
  <c r="AI197" i="40"/>
  <c r="AH197" i="40"/>
  <c r="AG197" i="40"/>
  <c r="AL196" i="40"/>
  <c r="AK196" i="40"/>
  <c r="AJ196" i="40"/>
  <c r="AI196" i="40"/>
  <c r="AH196" i="40"/>
  <c r="AG196" i="40"/>
  <c r="AL195" i="40"/>
  <c r="AK195" i="40"/>
  <c r="AJ195" i="40"/>
  <c r="AI195" i="40"/>
  <c r="AH195" i="40"/>
  <c r="AG195" i="40"/>
  <c r="AL194" i="40"/>
  <c r="AK194" i="40"/>
  <c r="AJ194" i="40"/>
  <c r="AI194" i="40"/>
  <c r="AH194" i="40"/>
  <c r="AG194" i="40"/>
  <c r="AL193" i="40"/>
  <c r="AK193" i="40"/>
  <c r="AJ193" i="40"/>
  <c r="AI193" i="40"/>
  <c r="AH193" i="40"/>
  <c r="AG193" i="40"/>
  <c r="AL192" i="40"/>
  <c r="AK192" i="40"/>
  <c r="AJ192" i="40"/>
  <c r="AI192" i="40"/>
  <c r="AH192" i="40"/>
  <c r="AG192" i="40"/>
  <c r="AL191" i="40"/>
  <c r="AK191" i="40"/>
  <c r="AJ191" i="40"/>
  <c r="AI191" i="40"/>
  <c r="AH191" i="40"/>
  <c r="AG191" i="40"/>
  <c r="AL190" i="40"/>
  <c r="AK190" i="40"/>
  <c r="AJ190" i="40"/>
  <c r="AI190" i="40"/>
  <c r="AH190" i="40"/>
  <c r="AG190" i="40"/>
  <c r="AL189" i="40"/>
  <c r="AK189" i="40"/>
  <c r="AJ189" i="40"/>
  <c r="AI189" i="40"/>
  <c r="AH189" i="40"/>
  <c r="AG189" i="40"/>
  <c r="AL188" i="40"/>
  <c r="AK188" i="40"/>
  <c r="AJ188" i="40"/>
  <c r="AI188" i="40"/>
  <c r="AH188" i="40"/>
  <c r="AG188" i="40"/>
  <c r="AL187" i="40"/>
  <c r="AK187" i="40"/>
  <c r="AJ187" i="40"/>
  <c r="AI187" i="40"/>
  <c r="AH187" i="40"/>
  <c r="AG187" i="40"/>
  <c r="AL186" i="40"/>
  <c r="AK186" i="40"/>
  <c r="AJ186" i="40"/>
  <c r="AI186" i="40"/>
  <c r="AH186" i="40"/>
  <c r="AG186" i="40"/>
  <c r="AL185" i="40"/>
  <c r="AK185" i="40"/>
  <c r="AJ185" i="40"/>
  <c r="AI185" i="40"/>
  <c r="AH185" i="40"/>
  <c r="AG185" i="40"/>
  <c r="AL184" i="40"/>
  <c r="AK184" i="40"/>
  <c r="AJ184" i="40"/>
  <c r="AI184" i="40"/>
  <c r="AH184" i="40"/>
  <c r="AG184" i="40"/>
  <c r="AL183" i="40"/>
  <c r="AK183" i="40"/>
  <c r="AJ183" i="40"/>
  <c r="AI183" i="40"/>
  <c r="AH183" i="40"/>
  <c r="AG183" i="40"/>
  <c r="AL182" i="40"/>
  <c r="AK182" i="40"/>
  <c r="AJ182" i="40"/>
  <c r="AI182" i="40"/>
  <c r="AH182" i="40"/>
  <c r="AG182" i="40"/>
  <c r="AL181" i="40"/>
  <c r="AK181" i="40"/>
  <c r="AJ181" i="40"/>
  <c r="AI181" i="40"/>
  <c r="AH181" i="40"/>
  <c r="AG181" i="40"/>
  <c r="AL180" i="40"/>
  <c r="AK180" i="40"/>
  <c r="AJ180" i="40"/>
  <c r="AI180" i="40"/>
  <c r="AH180" i="40"/>
  <c r="AG180" i="40"/>
  <c r="AL179" i="40"/>
  <c r="AK179" i="40"/>
  <c r="AJ179" i="40"/>
  <c r="AI179" i="40"/>
  <c r="AH179" i="40"/>
  <c r="AG179" i="40"/>
  <c r="AL178" i="40"/>
  <c r="AK178" i="40"/>
  <c r="AJ178" i="40"/>
  <c r="AI178" i="40"/>
  <c r="AH178" i="40"/>
  <c r="AG178" i="40"/>
  <c r="AL177" i="40"/>
  <c r="AK177" i="40"/>
  <c r="AJ177" i="40"/>
  <c r="AI177" i="40"/>
  <c r="AH177" i="40"/>
  <c r="AG177" i="40"/>
  <c r="AL176" i="40"/>
  <c r="AK176" i="40"/>
  <c r="AJ176" i="40"/>
  <c r="AI176" i="40"/>
  <c r="AH176" i="40"/>
  <c r="AG176" i="40"/>
  <c r="AL175" i="40"/>
  <c r="AK175" i="40"/>
  <c r="AJ175" i="40"/>
  <c r="AI175" i="40"/>
  <c r="AH175" i="40"/>
  <c r="AG175" i="40"/>
  <c r="AL174" i="40"/>
  <c r="AK174" i="40"/>
  <c r="AJ174" i="40"/>
  <c r="AI174" i="40"/>
  <c r="AH174" i="40"/>
  <c r="AG174" i="40"/>
  <c r="AL173" i="40"/>
  <c r="AK173" i="40"/>
  <c r="AJ173" i="40"/>
  <c r="AI173" i="40"/>
  <c r="AH173" i="40"/>
  <c r="AG173" i="40"/>
  <c r="AL172" i="40"/>
  <c r="AK172" i="40"/>
  <c r="AJ172" i="40"/>
  <c r="AI172" i="40"/>
  <c r="AH172" i="40"/>
  <c r="AG172" i="40"/>
  <c r="AL171" i="40"/>
  <c r="AK171" i="40"/>
  <c r="AJ171" i="40"/>
  <c r="AI171" i="40"/>
  <c r="AH171" i="40"/>
  <c r="AG171" i="40"/>
  <c r="AL170" i="40"/>
  <c r="AK170" i="40"/>
  <c r="AJ170" i="40"/>
  <c r="AI170" i="40"/>
  <c r="AH170" i="40"/>
  <c r="AG170" i="40"/>
  <c r="AL169" i="40"/>
  <c r="AK169" i="40"/>
  <c r="AJ169" i="40"/>
  <c r="AI169" i="40"/>
  <c r="AH169" i="40"/>
  <c r="AG169" i="40"/>
  <c r="AL168" i="40"/>
  <c r="AK168" i="40"/>
  <c r="AJ168" i="40"/>
  <c r="AI168" i="40"/>
  <c r="AH168" i="40"/>
  <c r="AG168" i="40"/>
  <c r="AL167" i="40"/>
  <c r="AK167" i="40"/>
  <c r="AJ167" i="40"/>
  <c r="AI167" i="40"/>
  <c r="AH167" i="40"/>
  <c r="AG167" i="40"/>
  <c r="AL166" i="40"/>
  <c r="AK166" i="40"/>
  <c r="AJ166" i="40"/>
  <c r="AI166" i="40"/>
  <c r="AH166" i="40"/>
  <c r="AG166" i="40"/>
  <c r="AL165" i="40"/>
  <c r="AK165" i="40"/>
  <c r="AJ165" i="40"/>
  <c r="AI165" i="40"/>
  <c r="AH165" i="40"/>
  <c r="AG165" i="40"/>
  <c r="AL164" i="40"/>
  <c r="AK164" i="40"/>
  <c r="AJ164" i="40"/>
  <c r="AI164" i="40"/>
  <c r="AH164" i="40"/>
  <c r="AG164" i="40"/>
  <c r="AL163" i="40"/>
  <c r="AK163" i="40"/>
  <c r="AJ163" i="40"/>
  <c r="AI163" i="40"/>
  <c r="AH163" i="40"/>
  <c r="AG163" i="40"/>
  <c r="AL162" i="40"/>
  <c r="AK162" i="40"/>
  <c r="AJ162" i="40"/>
  <c r="AI162" i="40"/>
  <c r="AH162" i="40"/>
  <c r="AG162" i="40"/>
  <c r="AL161" i="40"/>
  <c r="AK161" i="40"/>
  <c r="AJ161" i="40"/>
  <c r="AI161" i="40"/>
  <c r="AH161" i="40"/>
  <c r="AG161" i="40"/>
  <c r="AL160" i="40"/>
  <c r="AK160" i="40"/>
  <c r="AJ160" i="40"/>
  <c r="AI160" i="40"/>
  <c r="AH160" i="40"/>
  <c r="AG160" i="40"/>
  <c r="AL159" i="40"/>
  <c r="AK159" i="40"/>
  <c r="AJ159" i="40"/>
  <c r="AI159" i="40"/>
  <c r="AH159" i="40"/>
  <c r="AG159" i="40"/>
  <c r="AL158" i="40"/>
  <c r="AK158" i="40"/>
  <c r="AJ158" i="40"/>
  <c r="AI158" i="40"/>
  <c r="AH158" i="40"/>
  <c r="AG158" i="40"/>
  <c r="AL157" i="40"/>
  <c r="AK157" i="40"/>
  <c r="AJ157" i="40"/>
  <c r="AI157" i="40"/>
  <c r="AH157" i="40"/>
  <c r="AG157" i="40"/>
  <c r="AL156" i="40"/>
  <c r="AK156" i="40"/>
  <c r="AJ156" i="40"/>
  <c r="AI156" i="40"/>
  <c r="AH156" i="40"/>
  <c r="AG156" i="40"/>
  <c r="AL155" i="40"/>
  <c r="AK155" i="40"/>
  <c r="AJ155" i="40"/>
  <c r="AI155" i="40"/>
  <c r="AH155" i="40"/>
  <c r="AG155" i="40"/>
  <c r="AL154" i="40"/>
  <c r="AK154" i="40"/>
  <c r="AJ154" i="40"/>
  <c r="AI154" i="40"/>
  <c r="AH154" i="40"/>
  <c r="AG154" i="40"/>
  <c r="AL153" i="40"/>
  <c r="AK153" i="40"/>
  <c r="AJ153" i="40"/>
  <c r="AI153" i="40"/>
  <c r="AH153" i="40"/>
  <c r="AG153" i="40"/>
  <c r="AL152" i="40"/>
  <c r="AK152" i="40"/>
  <c r="AJ152" i="40"/>
  <c r="AI152" i="40"/>
  <c r="AH152" i="40"/>
  <c r="AG152" i="40"/>
  <c r="AL151" i="40"/>
  <c r="AK151" i="40"/>
  <c r="AJ151" i="40"/>
  <c r="AI151" i="40"/>
  <c r="AH151" i="40"/>
  <c r="AG151" i="40"/>
  <c r="AL150" i="40"/>
  <c r="AK150" i="40"/>
  <c r="AJ150" i="40"/>
  <c r="AI150" i="40"/>
  <c r="AH150" i="40"/>
  <c r="AG150" i="40"/>
  <c r="AL149" i="40"/>
  <c r="AK149" i="40"/>
  <c r="AJ149" i="40"/>
  <c r="AI149" i="40"/>
  <c r="AH149" i="40"/>
  <c r="AG149" i="40"/>
  <c r="AL148" i="40"/>
  <c r="AK148" i="40"/>
  <c r="AJ148" i="40"/>
  <c r="AI148" i="40"/>
  <c r="AH148" i="40"/>
  <c r="AG148" i="40"/>
  <c r="AL147" i="40"/>
  <c r="AK147" i="40"/>
  <c r="AJ147" i="40"/>
  <c r="AI147" i="40"/>
  <c r="AH147" i="40"/>
  <c r="AG147" i="40"/>
  <c r="AL146" i="40"/>
  <c r="AK146" i="40"/>
  <c r="AJ146" i="40"/>
  <c r="AI146" i="40"/>
  <c r="AH146" i="40"/>
  <c r="AG146" i="40"/>
  <c r="AL145" i="40"/>
  <c r="AK145" i="40"/>
  <c r="AJ145" i="40"/>
  <c r="AI145" i="40"/>
  <c r="AH145" i="40"/>
  <c r="AG145" i="40"/>
  <c r="AL144" i="40"/>
  <c r="AK144" i="40"/>
  <c r="AJ144" i="40"/>
  <c r="AI144" i="40"/>
  <c r="AH144" i="40"/>
  <c r="AG144" i="40"/>
  <c r="AL143" i="40"/>
  <c r="AK143" i="40"/>
  <c r="AJ143" i="40"/>
  <c r="AI143" i="40"/>
  <c r="AH143" i="40"/>
  <c r="AG143" i="40"/>
  <c r="AL142" i="40"/>
  <c r="AK142" i="40"/>
  <c r="AJ142" i="40"/>
  <c r="AI142" i="40"/>
  <c r="AH142" i="40"/>
  <c r="AG142" i="40"/>
  <c r="AL141" i="40"/>
  <c r="AK141" i="40"/>
  <c r="AJ141" i="40"/>
  <c r="AI141" i="40"/>
  <c r="AH141" i="40"/>
  <c r="AG141" i="40"/>
  <c r="AL140" i="40"/>
  <c r="AK140" i="40"/>
  <c r="AJ140" i="40"/>
  <c r="AI140" i="40"/>
  <c r="AH140" i="40"/>
  <c r="AG140" i="40"/>
  <c r="AL139" i="40"/>
  <c r="AK139" i="40"/>
  <c r="AJ139" i="40"/>
  <c r="AI139" i="40"/>
  <c r="AH139" i="40"/>
  <c r="AG139" i="40"/>
  <c r="AL138" i="40"/>
  <c r="AK138" i="40"/>
  <c r="AJ138" i="40"/>
  <c r="AI138" i="40"/>
  <c r="AH138" i="40"/>
  <c r="AG138" i="40"/>
  <c r="AL137" i="40"/>
  <c r="AK137" i="40"/>
  <c r="AJ137" i="40"/>
  <c r="AI137" i="40"/>
  <c r="AH137" i="40"/>
  <c r="AG137" i="40"/>
  <c r="AL136" i="40"/>
  <c r="AK136" i="40"/>
  <c r="AJ136" i="40"/>
  <c r="AI136" i="40"/>
  <c r="AH136" i="40"/>
  <c r="AG136" i="40"/>
  <c r="AL135" i="40"/>
  <c r="AK135" i="40"/>
  <c r="AJ135" i="40"/>
  <c r="AI135" i="40"/>
  <c r="AH135" i="40"/>
  <c r="AG135" i="40"/>
  <c r="AL134" i="40"/>
  <c r="AK134" i="40"/>
  <c r="AJ134" i="40"/>
  <c r="AI134" i="40"/>
  <c r="AH134" i="40"/>
  <c r="AG134" i="40"/>
  <c r="AL133" i="40"/>
  <c r="AK133" i="40"/>
  <c r="AJ133" i="40"/>
  <c r="AI133" i="40"/>
  <c r="AH133" i="40"/>
  <c r="AG133" i="40"/>
  <c r="AL132" i="40"/>
  <c r="AK132" i="40"/>
  <c r="AJ132" i="40"/>
  <c r="AI132" i="40"/>
  <c r="AH132" i="40"/>
  <c r="AG132" i="40"/>
  <c r="AL131" i="40"/>
  <c r="AK131" i="40"/>
  <c r="AJ131" i="40"/>
  <c r="AI131" i="40"/>
  <c r="AH131" i="40"/>
  <c r="AG131" i="40"/>
  <c r="AL130" i="40"/>
  <c r="AK130" i="40"/>
  <c r="AJ130" i="40"/>
  <c r="AI130" i="40"/>
  <c r="AH130" i="40"/>
  <c r="AG130" i="40"/>
  <c r="AL129" i="40"/>
  <c r="AK129" i="40"/>
  <c r="AJ129" i="40"/>
  <c r="AI129" i="40"/>
  <c r="AH129" i="40"/>
  <c r="AG129" i="40"/>
  <c r="AL128" i="40"/>
  <c r="AK128" i="40"/>
  <c r="AJ128" i="40"/>
  <c r="AI128" i="40"/>
  <c r="AH128" i="40"/>
  <c r="AG128" i="40"/>
  <c r="AL127" i="40"/>
  <c r="AK127" i="40"/>
  <c r="AJ127" i="40"/>
  <c r="AI127" i="40"/>
  <c r="AH127" i="40"/>
  <c r="AG127" i="40"/>
  <c r="AL126" i="40"/>
  <c r="AK126" i="40"/>
  <c r="AJ126" i="40"/>
  <c r="AI126" i="40"/>
  <c r="AH126" i="40"/>
  <c r="AG126" i="40"/>
  <c r="AL125" i="40"/>
  <c r="AK125" i="40"/>
  <c r="AJ125" i="40"/>
  <c r="AI125" i="40"/>
  <c r="AH125" i="40"/>
  <c r="AG125" i="40"/>
  <c r="AL124" i="40"/>
  <c r="AK124" i="40"/>
  <c r="AJ124" i="40"/>
  <c r="AI124" i="40"/>
  <c r="AH124" i="40"/>
  <c r="AG124" i="40"/>
  <c r="AL123" i="40"/>
  <c r="AK123" i="40"/>
  <c r="AJ123" i="40"/>
  <c r="AI123" i="40"/>
  <c r="AH123" i="40"/>
  <c r="AG123" i="40"/>
  <c r="AL122" i="40"/>
  <c r="AK122" i="40"/>
  <c r="AJ122" i="40"/>
  <c r="AI122" i="40"/>
  <c r="AH122" i="40"/>
  <c r="AG122" i="40"/>
  <c r="AL121" i="40"/>
  <c r="AK121" i="40"/>
  <c r="AJ121" i="40"/>
  <c r="AI121" i="40"/>
  <c r="AH121" i="40"/>
  <c r="AG121" i="40"/>
  <c r="AL120" i="40"/>
  <c r="AK120" i="40"/>
  <c r="AJ120" i="40"/>
  <c r="AI120" i="40"/>
  <c r="AH120" i="40"/>
  <c r="AG120" i="40"/>
  <c r="AL119" i="40"/>
  <c r="AK119" i="40"/>
  <c r="AJ119" i="40"/>
  <c r="AI119" i="40"/>
  <c r="AH119" i="40"/>
  <c r="AG119" i="40"/>
  <c r="AL118" i="40"/>
  <c r="AK118" i="40"/>
  <c r="AJ118" i="40"/>
  <c r="AI118" i="40"/>
  <c r="AH118" i="40"/>
  <c r="AG118" i="40"/>
  <c r="AL117" i="40"/>
  <c r="AK117" i="40"/>
  <c r="AJ117" i="40"/>
  <c r="AI117" i="40"/>
  <c r="AH117" i="40"/>
  <c r="AG117" i="40"/>
  <c r="AL116" i="40"/>
  <c r="AK116" i="40"/>
  <c r="AJ116" i="40"/>
  <c r="AI116" i="40"/>
  <c r="AH116" i="40"/>
  <c r="AG116" i="40"/>
  <c r="AL115" i="40"/>
  <c r="AK115" i="40"/>
  <c r="AJ115" i="40"/>
  <c r="AI115" i="40"/>
  <c r="AH115" i="40"/>
  <c r="AG115" i="40"/>
  <c r="AL114" i="40"/>
  <c r="AK114" i="40"/>
  <c r="AJ114" i="40"/>
  <c r="AI114" i="40"/>
  <c r="AH114" i="40"/>
  <c r="AG114" i="40"/>
  <c r="AL113" i="40"/>
  <c r="AK113" i="40"/>
  <c r="AJ113" i="40"/>
  <c r="AI113" i="40"/>
  <c r="AH113" i="40"/>
  <c r="AG113" i="40"/>
  <c r="AL112" i="40"/>
  <c r="AK112" i="40"/>
  <c r="AJ112" i="40"/>
  <c r="AI112" i="40"/>
  <c r="AH112" i="40"/>
  <c r="AG112" i="40"/>
  <c r="AL111" i="40"/>
  <c r="AK111" i="40"/>
  <c r="AJ111" i="40"/>
  <c r="AI111" i="40"/>
  <c r="AH111" i="40"/>
  <c r="AG111" i="40"/>
  <c r="AL110" i="40"/>
  <c r="AK110" i="40"/>
  <c r="AJ110" i="40"/>
  <c r="AI110" i="40"/>
  <c r="AH110" i="40"/>
  <c r="AG110" i="40"/>
  <c r="AL109" i="40"/>
  <c r="AK109" i="40"/>
  <c r="AJ109" i="40"/>
  <c r="AI109" i="40"/>
  <c r="AH109" i="40"/>
  <c r="AG109" i="40"/>
  <c r="AL108" i="40"/>
  <c r="AK108" i="40"/>
  <c r="AJ108" i="40"/>
  <c r="AI108" i="40"/>
  <c r="AH108" i="40"/>
  <c r="AG108" i="40"/>
  <c r="AL107" i="40"/>
  <c r="AK107" i="40"/>
  <c r="AJ107" i="40"/>
  <c r="AI107" i="40"/>
  <c r="AH107" i="40"/>
  <c r="AG107" i="40"/>
  <c r="AL106" i="40"/>
  <c r="AK106" i="40"/>
  <c r="AJ106" i="40"/>
  <c r="AI106" i="40"/>
  <c r="AH106" i="40"/>
  <c r="AG106" i="40"/>
  <c r="AL105" i="40"/>
  <c r="AK105" i="40"/>
  <c r="AJ105" i="40"/>
  <c r="AI105" i="40"/>
  <c r="AH105" i="40"/>
  <c r="AG105" i="40"/>
  <c r="AL104" i="40"/>
  <c r="AK104" i="40"/>
  <c r="AJ104" i="40"/>
  <c r="AI104" i="40"/>
  <c r="AH104" i="40"/>
  <c r="AG104" i="40"/>
  <c r="AL103" i="40"/>
  <c r="AK103" i="40"/>
  <c r="AJ103" i="40"/>
  <c r="AI103" i="40"/>
  <c r="AH103" i="40"/>
  <c r="AG103" i="40"/>
  <c r="AL102" i="40"/>
  <c r="AK102" i="40"/>
  <c r="AJ102" i="40"/>
  <c r="AI102" i="40"/>
  <c r="AH102" i="40"/>
  <c r="AG102" i="40"/>
  <c r="AL101" i="40"/>
  <c r="AK101" i="40"/>
  <c r="AJ101" i="40"/>
  <c r="AI101" i="40"/>
  <c r="AH101" i="40"/>
  <c r="AG101" i="40"/>
  <c r="AL100" i="40"/>
  <c r="AK100" i="40"/>
  <c r="AJ100" i="40"/>
  <c r="AI100" i="40"/>
  <c r="AH100" i="40"/>
  <c r="AG100" i="40"/>
  <c r="AL99" i="40"/>
  <c r="AK99" i="40"/>
  <c r="AJ99" i="40"/>
  <c r="AI99" i="40"/>
  <c r="AH99" i="40"/>
  <c r="AG99" i="40"/>
  <c r="AL98" i="40"/>
  <c r="AK98" i="40"/>
  <c r="AJ98" i="40"/>
  <c r="AI98" i="40"/>
  <c r="AH98" i="40"/>
  <c r="AG98" i="40"/>
  <c r="AL97" i="40"/>
  <c r="AK97" i="40"/>
  <c r="AJ97" i="40"/>
  <c r="AI97" i="40"/>
  <c r="AH97" i="40"/>
  <c r="AG97" i="40"/>
  <c r="AL96" i="40"/>
  <c r="AK96" i="40"/>
  <c r="AJ96" i="40"/>
  <c r="AI96" i="40"/>
  <c r="AH96" i="40"/>
  <c r="AG96" i="40"/>
  <c r="AL95" i="40"/>
  <c r="AK95" i="40"/>
  <c r="AJ95" i="40"/>
  <c r="AI95" i="40"/>
  <c r="AH95" i="40"/>
  <c r="AG95" i="40"/>
  <c r="AL94" i="40"/>
  <c r="AK94" i="40"/>
  <c r="AJ94" i="40"/>
  <c r="AI94" i="40"/>
  <c r="AH94" i="40"/>
  <c r="AG94" i="40"/>
  <c r="AL93" i="40"/>
  <c r="AK93" i="40"/>
  <c r="AJ93" i="40"/>
  <c r="AI93" i="40"/>
  <c r="AH93" i="40"/>
  <c r="AG93" i="40"/>
  <c r="AL92" i="40"/>
  <c r="AK92" i="40"/>
  <c r="AJ92" i="40"/>
  <c r="AI92" i="40"/>
  <c r="AH92" i="40"/>
  <c r="AG92" i="40"/>
  <c r="AL91" i="40"/>
  <c r="AK91" i="40"/>
  <c r="AJ91" i="40"/>
  <c r="AI91" i="40"/>
  <c r="AH91" i="40"/>
  <c r="AG91" i="40"/>
  <c r="AL90" i="40"/>
  <c r="AK90" i="40"/>
  <c r="AJ90" i="40"/>
  <c r="AI90" i="40"/>
  <c r="AH90" i="40"/>
  <c r="AG90" i="40"/>
  <c r="AL89" i="40"/>
  <c r="AK89" i="40"/>
  <c r="AJ89" i="40"/>
  <c r="AI89" i="40"/>
  <c r="AH89" i="40"/>
  <c r="AG89" i="40"/>
  <c r="AL88" i="40"/>
  <c r="AK88" i="40"/>
  <c r="AJ88" i="40"/>
  <c r="AI88" i="40"/>
  <c r="AH88" i="40"/>
  <c r="AG88" i="40"/>
  <c r="AL87" i="40"/>
  <c r="AK87" i="40"/>
  <c r="AJ87" i="40"/>
  <c r="AI87" i="40"/>
  <c r="AH87" i="40"/>
  <c r="AG87" i="40"/>
  <c r="AL86" i="40"/>
  <c r="AK86" i="40"/>
  <c r="AJ86" i="40"/>
  <c r="AI86" i="40"/>
  <c r="AH86" i="40"/>
  <c r="AG86" i="40"/>
  <c r="AL85" i="40"/>
  <c r="AK85" i="40"/>
  <c r="AJ85" i="40"/>
  <c r="AI85" i="40"/>
  <c r="AH85" i="40"/>
  <c r="AG85" i="40"/>
  <c r="AL84" i="40"/>
  <c r="AK84" i="40"/>
  <c r="AJ84" i="40"/>
  <c r="AI84" i="40"/>
  <c r="AH84" i="40"/>
  <c r="AG84" i="40"/>
  <c r="AL83" i="40"/>
  <c r="AK83" i="40"/>
  <c r="AJ83" i="40"/>
  <c r="AI83" i="40"/>
  <c r="AH83" i="40"/>
  <c r="AG83" i="40"/>
  <c r="AL82" i="40"/>
  <c r="AK82" i="40"/>
  <c r="AJ82" i="40"/>
  <c r="AI82" i="40"/>
  <c r="AH82" i="40"/>
  <c r="AG82" i="40"/>
  <c r="AL81" i="40"/>
  <c r="AK81" i="40"/>
  <c r="AJ81" i="40"/>
  <c r="AI81" i="40"/>
  <c r="AH81" i="40"/>
  <c r="AG81" i="40"/>
  <c r="AL80" i="40"/>
  <c r="AK80" i="40"/>
  <c r="AJ80" i="40"/>
  <c r="AI80" i="40"/>
  <c r="AH80" i="40"/>
  <c r="AG80" i="40"/>
  <c r="AL79" i="40"/>
  <c r="AK79" i="40"/>
  <c r="AJ79" i="40"/>
  <c r="AI79" i="40"/>
  <c r="AH79" i="40"/>
  <c r="AG79" i="40"/>
  <c r="AL78" i="40"/>
  <c r="AK78" i="40"/>
  <c r="AJ78" i="40"/>
  <c r="AI78" i="40"/>
  <c r="AH78" i="40"/>
  <c r="AG78" i="40"/>
  <c r="AL77" i="40"/>
  <c r="AK77" i="40"/>
  <c r="AJ77" i="40"/>
  <c r="AI77" i="40"/>
  <c r="AH77" i="40"/>
  <c r="AG77" i="40"/>
  <c r="AL76" i="40"/>
  <c r="AK76" i="40"/>
  <c r="AJ76" i="40"/>
  <c r="AI76" i="40"/>
  <c r="AH76" i="40"/>
  <c r="AG76" i="40"/>
  <c r="Y297" i="42"/>
  <c r="Z297" i="42"/>
  <c r="AA297" i="42"/>
  <c r="AB297" i="42"/>
  <c r="AC297" i="42"/>
  <c r="AD297" i="42"/>
  <c r="Y298" i="42"/>
  <c r="Z298" i="42"/>
  <c r="AA298" i="42"/>
  <c r="AB298" i="42"/>
  <c r="AC298" i="42"/>
  <c r="AD298" i="42"/>
  <c r="Y299" i="42"/>
  <c r="Z299" i="42"/>
  <c r="AA299" i="42"/>
  <c r="AB299" i="42"/>
  <c r="AC299" i="42"/>
  <c r="AD299" i="42"/>
  <c r="Y300" i="42"/>
  <c r="Z300" i="42"/>
  <c r="AA300" i="42"/>
  <c r="AB300" i="42"/>
  <c r="AC300" i="42"/>
  <c r="AD300" i="42"/>
  <c r="Y301" i="42"/>
  <c r="Z301" i="42"/>
  <c r="AA301" i="42"/>
  <c r="AB301" i="42"/>
  <c r="AC301" i="42"/>
  <c r="AD301" i="42"/>
  <c r="Y302" i="42"/>
  <c r="Z302" i="42"/>
  <c r="AA302" i="42"/>
  <c r="AB302" i="42"/>
  <c r="AC302" i="42"/>
  <c r="AD302" i="42"/>
  <c r="Y303" i="42"/>
  <c r="Z303" i="42"/>
  <c r="AA303" i="42"/>
  <c r="AB303" i="42"/>
  <c r="AC303" i="42"/>
  <c r="AD303" i="42"/>
  <c r="Y304" i="42"/>
  <c r="Z304" i="42"/>
  <c r="AA304" i="42"/>
  <c r="AB304" i="42"/>
  <c r="AC304" i="42"/>
  <c r="AD304" i="42"/>
  <c r="Y305" i="42"/>
  <c r="Z305" i="42"/>
  <c r="AA305" i="42"/>
  <c r="AB305" i="42"/>
  <c r="AC305" i="42"/>
  <c r="AD305" i="42"/>
  <c r="Y306" i="42"/>
  <c r="Z306" i="42"/>
  <c r="AA306" i="42"/>
  <c r="AB306" i="42"/>
  <c r="AC306" i="42"/>
  <c r="AD306" i="42"/>
  <c r="Y307" i="42"/>
  <c r="Z307" i="42"/>
  <c r="AA307" i="42"/>
  <c r="AB307" i="42"/>
  <c r="AC307" i="42"/>
  <c r="AD307" i="42"/>
  <c r="Y308" i="42"/>
  <c r="Z308" i="42"/>
  <c r="AA308" i="42"/>
  <c r="AB308" i="42"/>
  <c r="AC308" i="42"/>
  <c r="AD308" i="42"/>
  <c r="Y309" i="42"/>
  <c r="Z309" i="42"/>
  <c r="AA309" i="42"/>
  <c r="AB309" i="42"/>
  <c r="AC309" i="42"/>
  <c r="AD309" i="42"/>
  <c r="Y310" i="42"/>
  <c r="Z310" i="42"/>
  <c r="AA310" i="42"/>
  <c r="AB310" i="42"/>
  <c r="AC310" i="42"/>
  <c r="AD310" i="42"/>
  <c r="Y311" i="42"/>
  <c r="Z311" i="42"/>
  <c r="AA311" i="42"/>
  <c r="AB311" i="42"/>
  <c r="AC311" i="42"/>
  <c r="AD311" i="42"/>
  <c r="Y312" i="42"/>
  <c r="Z312" i="42"/>
  <c r="AA312" i="42"/>
  <c r="AB312" i="42"/>
  <c r="AC312" i="42"/>
  <c r="AD312" i="42"/>
  <c r="Y313" i="42"/>
  <c r="Z313" i="42"/>
  <c r="AA313" i="42"/>
  <c r="AB313" i="42"/>
  <c r="AC313" i="42"/>
  <c r="AD313" i="42"/>
  <c r="Y314" i="42"/>
  <c r="Z314" i="42"/>
  <c r="AA314" i="42"/>
  <c r="AB314" i="42"/>
  <c r="AC314" i="42"/>
  <c r="AD314" i="42"/>
  <c r="Y315" i="42"/>
  <c r="Z315" i="42"/>
  <c r="AA315" i="42"/>
  <c r="AB315" i="42"/>
  <c r="AC315" i="42"/>
  <c r="AD315" i="42"/>
  <c r="Y316" i="42"/>
  <c r="Z316" i="42"/>
  <c r="AA316" i="42"/>
  <c r="AB316" i="42"/>
  <c r="AC316" i="42"/>
  <c r="AD316" i="42"/>
  <c r="Y317" i="42"/>
  <c r="Z317" i="42"/>
  <c r="AA317" i="42"/>
  <c r="AB317" i="42"/>
  <c r="AC317" i="42"/>
  <c r="AD317" i="42"/>
  <c r="Y318" i="42"/>
  <c r="Z318" i="42"/>
  <c r="AA318" i="42"/>
  <c r="AB318" i="42"/>
  <c r="AC318" i="42"/>
  <c r="AD318" i="42"/>
  <c r="Y319" i="42"/>
  <c r="Z319" i="42"/>
  <c r="AA319" i="42"/>
  <c r="AB319" i="42"/>
  <c r="AC319" i="42"/>
  <c r="AD319" i="42"/>
  <c r="Y320" i="42"/>
  <c r="Z320" i="42"/>
  <c r="AA320" i="42"/>
  <c r="AB320" i="42"/>
  <c r="AC320" i="42"/>
  <c r="AD320" i="42"/>
  <c r="Y321" i="42"/>
  <c r="Z321" i="42"/>
  <c r="AA321" i="42"/>
  <c r="AB321" i="42"/>
  <c r="AC321" i="42"/>
  <c r="AD321" i="42"/>
  <c r="Y322" i="42"/>
  <c r="Z322" i="42"/>
  <c r="AA322" i="42"/>
  <c r="AB322" i="42"/>
  <c r="AC322" i="42"/>
  <c r="AD322" i="42"/>
  <c r="Y323" i="42"/>
  <c r="Z323" i="42"/>
  <c r="AA323" i="42"/>
  <c r="AB323" i="42"/>
  <c r="AC323" i="42"/>
  <c r="AD323" i="42"/>
  <c r="Y324" i="42"/>
  <c r="Z324" i="42"/>
  <c r="AA324" i="42"/>
  <c r="AB324" i="42"/>
  <c r="AC324" i="42"/>
  <c r="AD324" i="42"/>
  <c r="Y325" i="42"/>
  <c r="Z325" i="42"/>
  <c r="AA325" i="42"/>
  <c r="AB325" i="42"/>
  <c r="AC325" i="42"/>
  <c r="AD325" i="42"/>
  <c r="Y326" i="42"/>
  <c r="Z326" i="42"/>
  <c r="AA326" i="42"/>
  <c r="AB326" i="42"/>
  <c r="AC326" i="42"/>
  <c r="AD326" i="42"/>
  <c r="Y327" i="42"/>
  <c r="Z327" i="42"/>
  <c r="AA327" i="42"/>
  <c r="AB327" i="42"/>
  <c r="AC327" i="42"/>
  <c r="AD327" i="42"/>
  <c r="Y328" i="42"/>
  <c r="Z328" i="42"/>
  <c r="AA328" i="42"/>
  <c r="AB328" i="42"/>
  <c r="AC328" i="42"/>
  <c r="AD328" i="42"/>
  <c r="Y329" i="42"/>
  <c r="Z329" i="42"/>
  <c r="AA329" i="42"/>
  <c r="AB329" i="42"/>
  <c r="AC329" i="42"/>
  <c r="AD329" i="42"/>
  <c r="Y330" i="42"/>
  <c r="Z330" i="42"/>
  <c r="AA330" i="42"/>
  <c r="AB330" i="42"/>
  <c r="AC330" i="42"/>
  <c r="AD330" i="42"/>
  <c r="Y331" i="42"/>
  <c r="Z331" i="42"/>
  <c r="AA331" i="42"/>
  <c r="AB331" i="42"/>
  <c r="AC331" i="42"/>
  <c r="AD331" i="42"/>
  <c r="Y332" i="42"/>
  <c r="Z332" i="42"/>
  <c r="AA332" i="42"/>
  <c r="AB332" i="42"/>
  <c r="AC332" i="42"/>
  <c r="AD332" i="42"/>
  <c r="Y333" i="42"/>
  <c r="Z333" i="42"/>
  <c r="AA333" i="42"/>
  <c r="AB333" i="42"/>
  <c r="AC333" i="42"/>
  <c r="AD333" i="42"/>
  <c r="Y334" i="42"/>
  <c r="Z334" i="42"/>
  <c r="AA334" i="42"/>
  <c r="AB334" i="42"/>
  <c r="AC334" i="42"/>
  <c r="AD334" i="42"/>
  <c r="Y335" i="42"/>
  <c r="Z335" i="42"/>
  <c r="AA335" i="42"/>
  <c r="AB335" i="42"/>
  <c r="AC335" i="42"/>
  <c r="AD335" i="42"/>
  <c r="Y336" i="42"/>
  <c r="Z336" i="42"/>
  <c r="AA336" i="42"/>
  <c r="AB336" i="42"/>
  <c r="AC336" i="42"/>
  <c r="AD336" i="42"/>
  <c r="Y337" i="42"/>
  <c r="Z337" i="42"/>
  <c r="AA337" i="42"/>
  <c r="AB337" i="42"/>
  <c r="AC337" i="42"/>
  <c r="AD337" i="42"/>
  <c r="Y338" i="42"/>
  <c r="Z338" i="42"/>
  <c r="AA338" i="42"/>
  <c r="AB338" i="42"/>
  <c r="AC338" i="42"/>
  <c r="AD338" i="42"/>
  <c r="Y339" i="42"/>
  <c r="Z339" i="42"/>
  <c r="AA339" i="42"/>
  <c r="AB339" i="42"/>
  <c r="AC339" i="42"/>
  <c r="AD339" i="42"/>
  <c r="Y340" i="42"/>
  <c r="Z340" i="42"/>
  <c r="AA340" i="42"/>
  <c r="AB340" i="42"/>
  <c r="AC340" i="42"/>
  <c r="AD340" i="42"/>
  <c r="Y341" i="42"/>
  <c r="Z341" i="42"/>
  <c r="AA341" i="42"/>
  <c r="AB341" i="42"/>
  <c r="AC341" i="42"/>
  <c r="AD341" i="42"/>
  <c r="Y342" i="42"/>
  <c r="Z342" i="42"/>
  <c r="AA342" i="42"/>
  <c r="AB342" i="42"/>
  <c r="AC342" i="42"/>
  <c r="AD342" i="42"/>
  <c r="Y343" i="42"/>
  <c r="Z343" i="42"/>
  <c r="AA343" i="42"/>
  <c r="AB343" i="42"/>
  <c r="AC343" i="42"/>
  <c r="AD343" i="42"/>
  <c r="Y344" i="42"/>
  <c r="Z344" i="42"/>
  <c r="AA344" i="42"/>
  <c r="AB344" i="42"/>
  <c r="AC344" i="42"/>
  <c r="AD344" i="42"/>
  <c r="Y345" i="42"/>
  <c r="Z345" i="42"/>
  <c r="AA345" i="42"/>
  <c r="AB345" i="42"/>
  <c r="AC345" i="42"/>
  <c r="AD345" i="42"/>
  <c r="Y346" i="42"/>
  <c r="Z346" i="42"/>
  <c r="AA346" i="42"/>
  <c r="AB346" i="42"/>
  <c r="AC346" i="42"/>
  <c r="AD346" i="42"/>
  <c r="Y347" i="42"/>
  <c r="Z347" i="42"/>
  <c r="AA347" i="42"/>
  <c r="AB347" i="42"/>
  <c r="AC347" i="42"/>
  <c r="AD347" i="42"/>
  <c r="Y348" i="42"/>
  <c r="Z348" i="42"/>
  <c r="AA348" i="42"/>
  <c r="AB348" i="42"/>
  <c r="AC348" i="42"/>
  <c r="AD348" i="42"/>
  <c r="Y349" i="42"/>
  <c r="Z349" i="42"/>
  <c r="AA349" i="42"/>
  <c r="AB349" i="42"/>
  <c r="AC349" i="42"/>
  <c r="AD349" i="42"/>
  <c r="Y350" i="42"/>
  <c r="Z350" i="42"/>
  <c r="AA350" i="42"/>
  <c r="AB350" i="42"/>
  <c r="AC350" i="42"/>
  <c r="AD350" i="42"/>
  <c r="Y351" i="42"/>
  <c r="Z351" i="42"/>
  <c r="AA351" i="42"/>
  <c r="AB351" i="42"/>
  <c r="AC351" i="42"/>
  <c r="AD351" i="42"/>
  <c r="Y352" i="42"/>
  <c r="Z352" i="42"/>
  <c r="AA352" i="42"/>
  <c r="AB352" i="42"/>
  <c r="AC352" i="42"/>
  <c r="AD352" i="42"/>
  <c r="Y353" i="42"/>
  <c r="Z353" i="42"/>
  <c r="AA353" i="42"/>
  <c r="AB353" i="42"/>
  <c r="AC353" i="42"/>
  <c r="AD353" i="42"/>
  <c r="Y354" i="42"/>
  <c r="Z354" i="42"/>
  <c r="AA354" i="42"/>
  <c r="AB354" i="42"/>
  <c r="AC354" i="42"/>
  <c r="AD354" i="42"/>
  <c r="Y355" i="42"/>
  <c r="Z355" i="42"/>
  <c r="AA355" i="42"/>
  <c r="AB355" i="42"/>
  <c r="AC355" i="42"/>
  <c r="AD355" i="42"/>
  <c r="Y356" i="42"/>
  <c r="Z356" i="42"/>
  <c r="AA356" i="42"/>
  <c r="AB356" i="42"/>
  <c r="AC356" i="42"/>
  <c r="AD356" i="42"/>
  <c r="Y357" i="42"/>
  <c r="Z357" i="42"/>
  <c r="AA357" i="42"/>
  <c r="AB357" i="42"/>
  <c r="AC357" i="42"/>
  <c r="AD357" i="42"/>
  <c r="Y358" i="42"/>
  <c r="Z358" i="42"/>
  <c r="AA358" i="42"/>
  <c r="AB358" i="42"/>
  <c r="AC358" i="42"/>
  <c r="AD358" i="42"/>
  <c r="Y359" i="42"/>
  <c r="Z359" i="42"/>
  <c r="AA359" i="42"/>
  <c r="AB359" i="42"/>
  <c r="AC359" i="42"/>
  <c r="AD359" i="42"/>
  <c r="Y360" i="42"/>
  <c r="Z360" i="42"/>
  <c r="AA360" i="42"/>
  <c r="AB360" i="42"/>
  <c r="AC360" i="42"/>
  <c r="AD360" i="42"/>
  <c r="Y361" i="42"/>
  <c r="Z361" i="42"/>
  <c r="AA361" i="42"/>
  <c r="AB361" i="42"/>
  <c r="AC361" i="42"/>
  <c r="AD361" i="42"/>
  <c r="Y362" i="42"/>
  <c r="Z362" i="42"/>
  <c r="AA362" i="42"/>
  <c r="AB362" i="42"/>
  <c r="AC362" i="42"/>
  <c r="AD362" i="42"/>
  <c r="Y363" i="42"/>
  <c r="Z363" i="42"/>
  <c r="AA363" i="42"/>
  <c r="AB363" i="42"/>
  <c r="AC363" i="42"/>
  <c r="AD363" i="42"/>
  <c r="Y364" i="42"/>
  <c r="Z364" i="42"/>
  <c r="AA364" i="42"/>
  <c r="AB364" i="42"/>
  <c r="AC364" i="42"/>
  <c r="AD364" i="42"/>
  <c r="Y365" i="42"/>
  <c r="Z365" i="42"/>
  <c r="AA365" i="42"/>
  <c r="AB365" i="42"/>
  <c r="AC365" i="42"/>
  <c r="AD365" i="42"/>
  <c r="Y366" i="42"/>
  <c r="Z366" i="42"/>
  <c r="AA366" i="42"/>
  <c r="AB366" i="42"/>
  <c r="AC366" i="42"/>
  <c r="AD366" i="42"/>
  <c r="Y367" i="42"/>
  <c r="Z367" i="42"/>
  <c r="AA367" i="42"/>
  <c r="AB367" i="42"/>
  <c r="AC367" i="42"/>
  <c r="AD367" i="42"/>
  <c r="Y368" i="42"/>
  <c r="Z368" i="42"/>
  <c r="AA368" i="42"/>
  <c r="AB368" i="42"/>
  <c r="AC368" i="42"/>
  <c r="AD368" i="42"/>
  <c r="Y369" i="42"/>
  <c r="Z369" i="42"/>
  <c r="AA369" i="42"/>
  <c r="AB369" i="42"/>
  <c r="AC369" i="42"/>
  <c r="AD369" i="42"/>
  <c r="Y370" i="42"/>
  <c r="Z370" i="42"/>
  <c r="AA370" i="42"/>
  <c r="AB370" i="42"/>
  <c r="AC370" i="42"/>
  <c r="AD370" i="42"/>
  <c r="Y371" i="42"/>
  <c r="Z371" i="42"/>
  <c r="AA371" i="42"/>
  <c r="AB371" i="42"/>
  <c r="AC371" i="42"/>
  <c r="AD371" i="42"/>
  <c r="Y372" i="42"/>
  <c r="Z372" i="42"/>
  <c r="AA372" i="42"/>
  <c r="AB372" i="42"/>
  <c r="AC372" i="42"/>
  <c r="AD372" i="42"/>
  <c r="Y373" i="42"/>
  <c r="Z373" i="42"/>
  <c r="AA373" i="42"/>
  <c r="AB373" i="42"/>
  <c r="AC373" i="42"/>
  <c r="AD373" i="42"/>
  <c r="Y374" i="42"/>
  <c r="Z374" i="42"/>
  <c r="AA374" i="42"/>
  <c r="AB374" i="42"/>
  <c r="AC374" i="42"/>
  <c r="AD374" i="42"/>
  <c r="Y375" i="42"/>
  <c r="Z375" i="42"/>
  <c r="AA375" i="42"/>
  <c r="AB375" i="42"/>
  <c r="AC375" i="42"/>
  <c r="AD375" i="42"/>
  <c r="Y376" i="42"/>
  <c r="Z376" i="42"/>
  <c r="AA376" i="42"/>
  <c r="AB376" i="42"/>
  <c r="AC376" i="42"/>
  <c r="AD376" i="42"/>
  <c r="Y377" i="42"/>
  <c r="Z377" i="42"/>
  <c r="AA377" i="42"/>
  <c r="AB377" i="42"/>
  <c r="AC377" i="42"/>
  <c r="AD377" i="42"/>
  <c r="Y378" i="42"/>
  <c r="Z378" i="42"/>
  <c r="AA378" i="42"/>
  <c r="AB378" i="42"/>
  <c r="AC378" i="42"/>
  <c r="AD378" i="42"/>
  <c r="Y379" i="42"/>
  <c r="Z379" i="42"/>
  <c r="AA379" i="42"/>
  <c r="AB379" i="42"/>
  <c r="AC379" i="42"/>
  <c r="AD379" i="42"/>
  <c r="Y380" i="42"/>
  <c r="Z380" i="42"/>
  <c r="AA380" i="42"/>
  <c r="AB380" i="42"/>
  <c r="AC380" i="42"/>
  <c r="AD380" i="42"/>
  <c r="Y381" i="42"/>
  <c r="Z381" i="42"/>
  <c r="AA381" i="42"/>
  <c r="AB381" i="42"/>
  <c r="AC381" i="42"/>
  <c r="AD381" i="42"/>
  <c r="Y382" i="42"/>
  <c r="Z382" i="42"/>
  <c r="AA382" i="42"/>
  <c r="AB382" i="42"/>
  <c r="AC382" i="42"/>
  <c r="AD382" i="42"/>
  <c r="Y383" i="42"/>
  <c r="Z383" i="42"/>
  <c r="AA383" i="42"/>
  <c r="AB383" i="42"/>
  <c r="AC383" i="42"/>
  <c r="AD383" i="42"/>
  <c r="Y384" i="42"/>
  <c r="Z384" i="42"/>
  <c r="AA384" i="42"/>
  <c r="AB384" i="42"/>
  <c r="AC384" i="42"/>
  <c r="AD384" i="42"/>
  <c r="Y385" i="42"/>
  <c r="Z385" i="42"/>
  <c r="AA385" i="42"/>
  <c r="AB385" i="42"/>
  <c r="AC385" i="42"/>
  <c r="AD385" i="42"/>
  <c r="Y386" i="42"/>
  <c r="Z386" i="42"/>
  <c r="AA386" i="42"/>
  <c r="AB386" i="42"/>
  <c r="AC386" i="42"/>
  <c r="AD386" i="42"/>
  <c r="Y387" i="42"/>
  <c r="Z387" i="42"/>
  <c r="AA387" i="42"/>
  <c r="AB387" i="42"/>
  <c r="AC387" i="42"/>
  <c r="AD387" i="42"/>
  <c r="Y388" i="42"/>
  <c r="Z388" i="42"/>
  <c r="AA388" i="42"/>
  <c r="AB388" i="42"/>
  <c r="AC388" i="42"/>
  <c r="AD388" i="42"/>
  <c r="Y389" i="42"/>
  <c r="Z389" i="42"/>
  <c r="AA389" i="42"/>
  <c r="AB389" i="42"/>
  <c r="AC389" i="42"/>
  <c r="AD389" i="42"/>
  <c r="Y390" i="42"/>
  <c r="Z390" i="42"/>
  <c r="AA390" i="42"/>
  <c r="AB390" i="42"/>
  <c r="AC390" i="42"/>
  <c r="AD390" i="42"/>
  <c r="Y391" i="42"/>
  <c r="Z391" i="42"/>
  <c r="AA391" i="42"/>
  <c r="AB391" i="42"/>
  <c r="AC391" i="42"/>
  <c r="AD391" i="42"/>
  <c r="Y392" i="42"/>
  <c r="Z392" i="42"/>
  <c r="AA392" i="42"/>
  <c r="AB392" i="42"/>
  <c r="AC392" i="42"/>
  <c r="AD392" i="42"/>
  <c r="Y393" i="42"/>
  <c r="Z393" i="42"/>
  <c r="AA393" i="42"/>
  <c r="AB393" i="42"/>
  <c r="AC393" i="42"/>
  <c r="AD393" i="42"/>
  <c r="Y394" i="42"/>
  <c r="Z394" i="42"/>
  <c r="AA394" i="42"/>
  <c r="AB394" i="42"/>
  <c r="AC394" i="42"/>
  <c r="AD394" i="42"/>
  <c r="Y395" i="42"/>
  <c r="Z395" i="42"/>
  <c r="AA395" i="42"/>
  <c r="AB395" i="42"/>
  <c r="AC395" i="42"/>
  <c r="AD395" i="42"/>
  <c r="Y396" i="42"/>
  <c r="Z396" i="42"/>
  <c r="AA396" i="42"/>
  <c r="AB396" i="42"/>
  <c r="AC396" i="42"/>
  <c r="AD396" i="42"/>
  <c r="Y397" i="42"/>
  <c r="Z397" i="42"/>
  <c r="AA397" i="42"/>
  <c r="AB397" i="42"/>
  <c r="AC397" i="42"/>
  <c r="AD397" i="42"/>
  <c r="Y398" i="42"/>
  <c r="Z398" i="42"/>
  <c r="AA398" i="42"/>
  <c r="AB398" i="42"/>
  <c r="AC398" i="42"/>
  <c r="AD398" i="42"/>
  <c r="Y399" i="42"/>
  <c r="Z399" i="42"/>
  <c r="AA399" i="42"/>
  <c r="AB399" i="42"/>
  <c r="AC399" i="42"/>
  <c r="AD399" i="42"/>
  <c r="Y400" i="42"/>
  <c r="Z400" i="42"/>
  <c r="AA400" i="42"/>
  <c r="AB400" i="42"/>
  <c r="AC400" i="42"/>
  <c r="AD400" i="42"/>
  <c r="Y401" i="42"/>
  <c r="Z401" i="42"/>
  <c r="AA401" i="42"/>
  <c r="AB401" i="42"/>
  <c r="AC401" i="42"/>
  <c r="AD401" i="42"/>
  <c r="Y402" i="42"/>
  <c r="Z402" i="42"/>
  <c r="AA402" i="42"/>
  <c r="AB402" i="42"/>
  <c r="AC402" i="42"/>
  <c r="AD402" i="42"/>
  <c r="Y403" i="42"/>
  <c r="Z403" i="42"/>
  <c r="AA403" i="42"/>
  <c r="AB403" i="42"/>
  <c r="AC403" i="42"/>
  <c r="AD403" i="42"/>
  <c r="Y404" i="42"/>
  <c r="Z404" i="42"/>
  <c r="AA404" i="42"/>
  <c r="AB404" i="42"/>
  <c r="AC404" i="42"/>
  <c r="AD404" i="42"/>
  <c r="Y405" i="42"/>
  <c r="Z405" i="42"/>
  <c r="AA405" i="42"/>
  <c r="AB405" i="42"/>
  <c r="AC405" i="42"/>
  <c r="AD405" i="42"/>
  <c r="Y406" i="42"/>
  <c r="Z406" i="42"/>
  <c r="AA406" i="42"/>
  <c r="AB406" i="42"/>
  <c r="AC406" i="42"/>
  <c r="AD406" i="42"/>
  <c r="Y407" i="42"/>
  <c r="Z407" i="42"/>
  <c r="AA407" i="42"/>
  <c r="AB407" i="42"/>
  <c r="AC407" i="42"/>
  <c r="AD407" i="42"/>
  <c r="Y408" i="42"/>
  <c r="Z408" i="42"/>
  <c r="AA408" i="42"/>
  <c r="AB408" i="42"/>
  <c r="AC408" i="42"/>
  <c r="AD408" i="42"/>
  <c r="Y409" i="42"/>
  <c r="Z409" i="42"/>
  <c r="AA409" i="42"/>
  <c r="AB409" i="42"/>
  <c r="AC409" i="42"/>
  <c r="AD409" i="42"/>
  <c r="Y410" i="42"/>
  <c r="Z410" i="42"/>
  <c r="AA410" i="42"/>
  <c r="AB410" i="42"/>
  <c r="AC410" i="42"/>
  <c r="AD410" i="42"/>
  <c r="Y411" i="42"/>
  <c r="Z411" i="42"/>
  <c r="AA411" i="42"/>
  <c r="AB411" i="42"/>
  <c r="AC411" i="42"/>
  <c r="AD411" i="42"/>
  <c r="Y412" i="42"/>
  <c r="Z412" i="42"/>
  <c r="AA412" i="42"/>
  <c r="AB412" i="42"/>
  <c r="AC412" i="42"/>
  <c r="AD412" i="42"/>
  <c r="Y413" i="42"/>
  <c r="Z413" i="42"/>
  <c r="AA413" i="42"/>
  <c r="AB413" i="42"/>
  <c r="AC413" i="42"/>
  <c r="AD413" i="42"/>
  <c r="Y414" i="42"/>
  <c r="Z414" i="42"/>
  <c r="AA414" i="42"/>
  <c r="AB414" i="42"/>
  <c r="AC414" i="42"/>
  <c r="AD414" i="42"/>
  <c r="Y415" i="42"/>
  <c r="Z415" i="42"/>
  <c r="AA415" i="42"/>
  <c r="AB415" i="42"/>
  <c r="AC415" i="42"/>
  <c r="AD415" i="42"/>
  <c r="Y416" i="42"/>
  <c r="Z416" i="42"/>
  <c r="AA416" i="42"/>
  <c r="AB416" i="42"/>
  <c r="AC416" i="42"/>
  <c r="AD416" i="42"/>
  <c r="Y417" i="42"/>
  <c r="Z417" i="42"/>
  <c r="AA417" i="42"/>
  <c r="AB417" i="42"/>
  <c r="AC417" i="42"/>
  <c r="AD417" i="42"/>
  <c r="Y418" i="42"/>
  <c r="Z418" i="42"/>
  <c r="AA418" i="42"/>
  <c r="AB418" i="42"/>
  <c r="AC418" i="42"/>
  <c r="AD418" i="42"/>
  <c r="Y419" i="42"/>
  <c r="Z419" i="42"/>
  <c r="AA419" i="42"/>
  <c r="AB419" i="42"/>
  <c r="AC419" i="42"/>
  <c r="AD419" i="42"/>
  <c r="Y420" i="42"/>
  <c r="Z420" i="42"/>
  <c r="AA420" i="42"/>
  <c r="AB420" i="42"/>
  <c r="AC420" i="42"/>
  <c r="AD420" i="42"/>
  <c r="Y421" i="42"/>
  <c r="Z421" i="42"/>
  <c r="AA421" i="42"/>
  <c r="AB421" i="42"/>
  <c r="AC421" i="42"/>
  <c r="AD421" i="42"/>
  <c r="Y422" i="42"/>
  <c r="Z422" i="42"/>
  <c r="AA422" i="42"/>
  <c r="AB422" i="42"/>
  <c r="AC422" i="42"/>
  <c r="AD422" i="42"/>
  <c r="Y423" i="42"/>
  <c r="Z423" i="42"/>
  <c r="AA423" i="42"/>
  <c r="AB423" i="42"/>
  <c r="AC423" i="42"/>
  <c r="AD423" i="42"/>
  <c r="Y424" i="42"/>
  <c r="Z424" i="42"/>
  <c r="AA424" i="42"/>
  <c r="AB424" i="42"/>
  <c r="AC424" i="42"/>
  <c r="AD424" i="42"/>
  <c r="Y425" i="42"/>
  <c r="Z425" i="42"/>
  <c r="AA425" i="42"/>
  <c r="AB425" i="42"/>
  <c r="AC425" i="42"/>
  <c r="AD425" i="42"/>
  <c r="Y426" i="42"/>
  <c r="Z426" i="42"/>
  <c r="AA426" i="42"/>
  <c r="AB426" i="42"/>
  <c r="AC426" i="42"/>
  <c r="AD426" i="42"/>
  <c r="Y427" i="42"/>
  <c r="Z427" i="42"/>
  <c r="AA427" i="42"/>
  <c r="AB427" i="42"/>
  <c r="AC427" i="42"/>
  <c r="AD427" i="42"/>
  <c r="Y428" i="42"/>
  <c r="Z428" i="42"/>
  <c r="AA428" i="42"/>
  <c r="AB428" i="42"/>
  <c r="AC428" i="42"/>
  <c r="AD428" i="42"/>
  <c r="Y429" i="42"/>
  <c r="Z429" i="42"/>
  <c r="AA429" i="42"/>
  <c r="AB429" i="42"/>
  <c r="AC429" i="42"/>
  <c r="AD429" i="42"/>
  <c r="Y430" i="42"/>
  <c r="Z430" i="42"/>
  <c r="AA430" i="42"/>
  <c r="AB430" i="42"/>
  <c r="AC430" i="42"/>
  <c r="AD430" i="42"/>
  <c r="Y431" i="42"/>
  <c r="Z431" i="42"/>
  <c r="AA431" i="42"/>
  <c r="AB431" i="42"/>
  <c r="AC431" i="42"/>
  <c r="AD431" i="42"/>
  <c r="Y432" i="42"/>
  <c r="Z432" i="42"/>
  <c r="AA432" i="42"/>
  <c r="AB432" i="42"/>
  <c r="AC432" i="42"/>
  <c r="AD432" i="42"/>
  <c r="Y433" i="42"/>
  <c r="Z433" i="42"/>
  <c r="AA433" i="42"/>
  <c r="AB433" i="42"/>
  <c r="AC433" i="42"/>
  <c r="AD433" i="42"/>
  <c r="Y434" i="42"/>
  <c r="Z434" i="42"/>
  <c r="AA434" i="42"/>
  <c r="AB434" i="42"/>
  <c r="AC434" i="42"/>
  <c r="AD434" i="42"/>
  <c r="Y435" i="42"/>
  <c r="Z435" i="42"/>
  <c r="AA435" i="42"/>
  <c r="AB435" i="42"/>
  <c r="AC435" i="42"/>
  <c r="AD435" i="42"/>
  <c r="Y436" i="42"/>
  <c r="Z436" i="42"/>
  <c r="AA436" i="42"/>
  <c r="AB436" i="42"/>
  <c r="AC436" i="42"/>
  <c r="AD436" i="42"/>
  <c r="Y437" i="42"/>
  <c r="Z437" i="42"/>
  <c r="AA437" i="42"/>
  <c r="AB437" i="42"/>
  <c r="AC437" i="42"/>
  <c r="AD437" i="42"/>
  <c r="Y438" i="42"/>
  <c r="Z438" i="42"/>
  <c r="AA438" i="42"/>
  <c r="AB438" i="42"/>
  <c r="AC438" i="42"/>
  <c r="AD438" i="42"/>
  <c r="Y439" i="42"/>
  <c r="Z439" i="42"/>
  <c r="AA439" i="42"/>
  <c r="AB439" i="42"/>
  <c r="AC439" i="42"/>
  <c r="AD439" i="42"/>
  <c r="Y440" i="42"/>
  <c r="Z440" i="42"/>
  <c r="AA440" i="42"/>
  <c r="AB440" i="42"/>
  <c r="AC440" i="42"/>
  <c r="AD440" i="42"/>
  <c r="Y441" i="42"/>
  <c r="Z441" i="42"/>
  <c r="AA441" i="42"/>
  <c r="AB441" i="42"/>
  <c r="AC441" i="42"/>
  <c r="AD441" i="42"/>
  <c r="Y442" i="42"/>
  <c r="Z442" i="42"/>
  <c r="AA442" i="42"/>
  <c r="AB442" i="42"/>
  <c r="AC442" i="42"/>
  <c r="AD442" i="42"/>
  <c r="Y443" i="42"/>
  <c r="Z443" i="42"/>
  <c r="AA443" i="42"/>
  <c r="AB443" i="42"/>
  <c r="AC443" i="42"/>
  <c r="AD443" i="42"/>
  <c r="Y444" i="42"/>
  <c r="Z444" i="42"/>
  <c r="AA444" i="42"/>
  <c r="AB444" i="42"/>
  <c r="AC444" i="42"/>
  <c r="AD444" i="42"/>
  <c r="Y445" i="42"/>
  <c r="Z445" i="42"/>
  <c r="AA445" i="42"/>
  <c r="AB445" i="42"/>
  <c r="AC445" i="42"/>
  <c r="AD445" i="42"/>
  <c r="Y446" i="42"/>
  <c r="Z446" i="42"/>
  <c r="AA446" i="42"/>
  <c r="AB446" i="42"/>
  <c r="AC446" i="42"/>
  <c r="AD446" i="42"/>
  <c r="Y447" i="42"/>
  <c r="Z447" i="42"/>
  <c r="AA447" i="42"/>
  <c r="AB447" i="42"/>
  <c r="AC447" i="42"/>
  <c r="AD447" i="42"/>
  <c r="Y448" i="42"/>
  <c r="Z448" i="42"/>
  <c r="AA448" i="42"/>
  <c r="AB448" i="42"/>
  <c r="AC448" i="42"/>
  <c r="AD448" i="42"/>
  <c r="Y449" i="42"/>
  <c r="Z449" i="42"/>
  <c r="AA449" i="42"/>
  <c r="AB449" i="42"/>
  <c r="AC449" i="42"/>
  <c r="AD449" i="42"/>
  <c r="Y450" i="42"/>
  <c r="Z450" i="42"/>
  <c r="AA450" i="42"/>
  <c r="AB450" i="42"/>
  <c r="AC450" i="42"/>
  <c r="AD450" i="42"/>
  <c r="Y451" i="42"/>
  <c r="Z451" i="42"/>
  <c r="AA451" i="42"/>
  <c r="AB451" i="42"/>
  <c r="AC451" i="42"/>
  <c r="AD451" i="42"/>
  <c r="Y452" i="42"/>
  <c r="Z452" i="42"/>
  <c r="AA452" i="42"/>
  <c r="AB452" i="42"/>
  <c r="AC452" i="42"/>
  <c r="AD452" i="42"/>
  <c r="Y453" i="42"/>
  <c r="Z453" i="42"/>
  <c r="AA453" i="42"/>
  <c r="AB453" i="42"/>
  <c r="AC453" i="42"/>
  <c r="AD453" i="42"/>
  <c r="Y454" i="42"/>
  <c r="Z454" i="42"/>
  <c r="AA454" i="42"/>
  <c r="AB454" i="42"/>
  <c r="AC454" i="42"/>
  <c r="AD454" i="42"/>
  <c r="Y455" i="42"/>
  <c r="Z455" i="42"/>
  <c r="AA455" i="42"/>
  <c r="AB455" i="42"/>
  <c r="AC455" i="42"/>
  <c r="AD455" i="42"/>
  <c r="Y456" i="42"/>
  <c r="Z456" i="42"/>
  <c r="AA456" i="42"/>
  <c r="AB456" i="42"/>
  <c r="AC456" i="42"/>
  <c r="AD456" i="42"/>
  <c r="Y457" i="42"/>
  <c r="Z457" i="42"/>
  <c r="AA457" i="42"/>
  <c r="AB457" i="42"/>
  <c r="AC457" i="42"/>
  <c r="AD457" i="42"/>
  <c r="Y458" i="42"/>
  <c r="Z458" i="42"/>
  <c r="AA458" i="42"/>
  <c r="AB458" i="42"/>
  <c r="AC458" i="42"/>
  <c r="AD458" i="42"/>
  <c r="Y459" i="42"/>
  <c r="Z459" i="42"/>
  <c r="AA459" i="42"/>
  <c r="AB459" i="42"/>
  <c r="AC459" i="42"/>
  <c r="AD459" i="42"/>
  <c r="Y460" i="42"/>
  <c r="Z460" i="42"/>
  <c r="AA460" i="42"/>
  <c r="AB460" i="42"/>
  <c r="AC460" i="42"/>
  <c r="AD460" i="42"/>
  <c r="Y461" i="42"/>
  <c r="Z461" i="42"/>
  <c r="AA461" i="42"/>
  <c r="AB461" i="42"/>
  <c r="AC461" i="42"/>
  <c r="AD461" i="42"/>
  <c r="Y462" i="42"/>
  <c r="Z462" i="42"/>
  <c r="AA462" i="42"/>
  <c r="AB462" i="42"/>
  <c r="AC462" i="42"/>
  <c r="AD462" i="42"/>
  <c r="Y463" i="42"/>
  <c r="Z463" i="42"/>
  <c r="AA463" i="42"/>
  <c r="AB463" i="42"/>
  <c r="AC463" i="42"/>
  <c r="AD463" i="42"/>
  <c r="Y464" i="42"/>
  <c r="Z464" i="42"/>
  <c r="AA464" i="42"/>
  <c r="AB464" i="42"/>
  <c r="AC464" i="42"/>
  <c r="AD464" i="42"/>
  <c r="Y465" i="42"/>
  <c r="Z465" i="42"/>
  <c r="AA465" i="42"/>
  <c r="AB465" i="42"/>
  <c r="AC465" i="42"/>
  <c r="AD465" i="42"/>
  <c r="Y466" i="42"/>
  <c r="Z466" i="42"/>
  <c r="AA466" i="42"/>
  <c r="AB466" i="42"/>
  <c r="AC466" i="42"/>
  <c r="AD466" i="42"/>
  <c r="Y467" i="42"/>
  <c r="Z467" i="42"/>
  <c r="AA467" i="42"/>
  <c r="AB467" i="42"/>
  <c r="AC467" i="42"/>
  <c r="AD467" i="42"/>
  <c r="Y468" i="42"/>
  <c r="Z468" i="42"/>
  <c r="AA468" i="42"/>
  <c r="AB468" i="42"/>
  <c r="AC468" i="42"/>
  <c r="AD468" i="42"/>
  <c r="Y469" i="42"/>
  <c r="Z469" i="42"/>
  <c r="AA469" i="42"/>
  <c r="AB469" i="42"/>
  <c r="AC469" i="42"/>
  <c r="AD469" i="42"/>
  <c r="Y470" i="42"/>
  <c r="Z470" i="42"/>
  <c r="AA470" i="42"/>
  <c r="AB470" i="42"/>
  <c r="AC470" i="42"/>
  <c r="AD470" i="42"/>
  <c r="Y471" i="42"/>
  <c r="Z471" i="42"/>
  <c r="AA471" i="42"/>
  <c r="AB471" i="42"/>
  <c r="AC471" i="42"/>
  <c r="AD471" i="42"/>
  <c r="Y472" i="42"/>
  <c r="Z472" i="42"/>
  <c r="AA472" i="42"/>
  <c r="AB472" i="42"/>
  <c r="AC472" i="42"/>
  <c r="AD472" i="42"/>
  <c r="Y473" i="42"/>
  <c r="Z473" i="42"/>
  <c r="AA473" i="42"/>
  <c r="AB473" i="42"/>
  <c r="AC473" i="42"/>
  <c r="AD473" i="42"/>
  <c r="Y474" i="42"/>
  <c r="Z474" i="42"/>
  <c r="AA474" i="42"/>
  <c r="AB474" i="42"/>
  <c r="AC474" i="42"/>
  <c r="AD474" i="42"/>
  <c r="Y475" i="42"/>
  <c r="Z475" i="42"/>
  <c r="AA475" i="42"/>
  <c r="AB475" i="42"/>
  <c r="AC475" i="42"/>
  <c r="AD475" i="42"/>
  <c r="Y476" i="42"/>
  <c r="Z476" i="42"/>
  <c r="AA476" i="42"/>
  <c r="AB476" i="42"/>
  <c r="AC476" i="42"/>
  <c r="AD476" i="42"/>
  <c r="Y477" i="42"/>
  <c r="Z477" i="42"/>
  <c r="AA477" i="42"/>
  <c r="AB477" i="42"/>
  <c r="AC477" i="42"/>
  <c r="AD477" i="42"/>
  <c r="Y478" i="42"/>
  <c r="Z478" i="42"/>
  <c r="AA478" i="42"/>
  <c r="AB478" i="42"/>
  <c r="AC478" i="42"/>
  <c r="AD478" i="42"/>
  <c r="Y479" i="42"/>
  <c r="Z479" i="42"/>
  <c r="AA479" i="42"/>
  <c r="AB479" i="42"/>
  <c r="AC479" i="42"/>
  <c r="AD479" i="42"/>
  <c r="Y480" i="42"/>
  <c r="Z480" i="42"/>
  <c r="AA480" i="42"/>
  <c r="AB480" i="42"/>
  <c r="AC480" i="42"/>
  <c r="AD480" i="42"/>
  <c r="Y481" i="42"/>
  <c r="Z481" i="42"/>
  <c r="AA481" i="42"/>
  <c r="AB481" i="42"/>
  <c r="AC481" i="42"/>
  <c r="AD481" i="42"/>
  <c r="Y482" i="42"/>
  <c r="Z482" i="42"/>
  <c r="AA482" i="42"/>
  <c r="AB482" i="42"/>
  <c r="AC482" i="42"/>
  <c r="AD482" i="42"/>
  <c r="Y483" i="42"/>
  <c r="Z483" i="42"/>
  <c r="AA483" i="42"/>
  <c r="AB483" i="42"/>
  <c r="AC483" i="42"/>
  <c r="AD483" i="42"/>
  <c r="Y484" i="42"/>
  <c r="Z484" i="42"/>
  <c r="AA484" i="42"/>
  <c r="AB484" i="42"/>
  <c r="AC484" i="42"/>
  <c r="AD484" i="42"/>
  <c r="Y485" i="42"/>
  <c r="Z485" i="42"/>
  <c r="AA485" i="42"/>
  <c r="AB485" i="42"/>
  <c r="AC485" i="42"/>
  <c r="AD485" i="42"/>
  <c r="Y486" i="42"/>
  <c r="Z486" i="42"/>
  <c r="AA486" i="42"/>
  <c r="AB486" i="42"/>
  <c r="AC486" i="42"/>
  <c r="AD486" i="42"/>
  <c r="Y487" i="42"/>
  <c r="Z487" i="42"/>
  <c r="AA487" i="42"/>
  <c r="AB487" i="42"/>
  <c r="AC487" i="42"/>
  <c r="AD487" i="42"/>
  <c r="Y488" i="42"/>
  <c r="Z488" i="42"/>
  <c r="AA488" i="42"/>
  <c r="AB488" i="42"/>
  <c r="AC488" i="42"/>
  <c r="AD488" i="42"/>
  <c r="Y489" i="42"/>
  <c r="Z489" i="42"/>
  <c r="AA489" i="42"/>
  <c r="AB489" i="42"/>
  <c r="AC489" i="42"/>
  <c r="AD489" i="42"/>
  <c r="Y490" i="42"/>
  <c r="Z490" i="42"/>
  <c r="AA490" i="42"/>
  <c r="AB490" i="42"/>
  <c r="AC490" i="42"/>
  <c r="AD490" i="42"/>
  <c r="Y491" i="42"/>
  <c r="Z491" i="42"/>
  <c r="AA491" i="42"/>
  <c r="AB491" i="42"/>
  <c r="AC491" i="42"/>
  <c r="AD491" i="42"/>
  <c r="Y492" i="42"/>
  <c r="Z492" i="42"/>
  <c r="AA492" i="42"/>
  <c r="AB492" i="42"/>
  <c r="AC492" i="42"/>
  <c r="AD492" i="42"/>
  <c r="Y493" i="42"/>
  <c r="Z493" i="42"/>
  <c r="AA493" i="42"/>
  <c r="AB493" i="42"/>
  <c r="AC493" i="42"/>
  <c r="AD493" i="42"/>
  <c r="Y494" i="42"/>
  <c r="Z494" i="42"/>
  <c r="AA494" i="42"/>
  <c r="AB494" i="42"/>
  <c r="AC494" i="42"/>
  <c r="AD494" i="42"/>
  <c r="Y495" i="42"/>
  <c r="Z495" i="42"/>
  <c r="AA495" i="42"/>
  <c r="AB495" i="42"/>
  <c r="AC495" i="42"/>
  <c r="AD495" i="42"/>
  <c r="Y496" i="42"/>
  <c r="Z496" i="42"/>
  <c r="AA496" i="42"/>
  <c r="AB496" i="42"/>
  <c r="AC496" i="42"/>
  <c r="AD496" i="42"/>
  <c r="Y497" i="42"/>
  <c r="Z497" i="42"/>
  <c r="AA497" i="42"/>
  <c r="AB497" i="42"/>
  <c r="AC497" i="42"/>
  <c r="AD497" i="42"/>
  <c r="Y498" i="42"/>
  <c r="Z498" i="42"/>
  <c r="AA498" i="42"/>
  <c r="AB498" i="42"/>
  <c r="AC498" i="42"/>
  <c r="AD498" i="42"/>
  <c r="Y499" i="42"/>
  <c r="Z499" i="42"/>
  <c r="AA499" i="42"/>
  <c r="AB499" i="42"/>
  <c r="AC499" i="42"/>
  <c r="AD499" i="42"/>
  <c r="Y500" i="42"/>
  <c r="Z500" i="42"/>
  <c r="AA500" i="42"/>
  <c r="AB500" i="42"/>
  <c r="AC500" i="42"/>
  <c r="AD500" i="42"/>
  <c r="Y501" i="42"/>
  <c r="Z501" i="42"/>
  <c r="AA501" i="42"/>
  <c r="AB501" i="42"/>
  <c r="AC501" i="42"/>
  <c r="AD501" i="42"/>
  <c r="Y502" i="42"/>
  <c r="Z502" i="42"/>
  <c r="AA502" i="42"/>
  <c r="AB502" i="42"/>
  <c r="AC502" i="42"/>
  <c r="AD502" i="42"/>
  <c r="Y503" i="42"/>
  <c r="Z503" i="42"/>
  <c r="AA503" i="42"/>
  <c r="AB503" i="42"/>
  <c r="AC503" i="42"/>
  <c r="AD503" i="42"/>
  <c r="Y504" i="42"/>
  <c r="Z504" i="42"/>
  <c r="AA504" i="42"/>
  <c r="AB504" i="42"/>
  <c r="AC504" i="42"/>
  <c r="AD504" i="42"/>
  <c r="Y505" i="42"/>
  <c r="Z505" i="42"/>
  <c r="AA505" i="42"/>
  <c r="AB505" i="42"/>
  <c r="AC505" i="42"/>
  <c r="AD505" i="42"/>
  <c r="Y506" i="42"/>
  <c r="Z506" i="42"/>
  <c r="AA506" i="42"/>
  <c r="AB506" i="42"/>
  <c r="AC506" i="42"/>
  <c r="AD506" i="42"/>
  <c r="Y507" i="42"/>
  <c r="Z507" i="42"/>
  <c r="AA507" i="42"/>
  <c r="AB507" i="42"/>
  <c r="AC507" i="42"/>
  <c r="AD507" i="42"/>
  <c r="Y508" i="42"/>
  <c r="Z508" i="42"/>
  <c r="AA508" i="42"/>
  <c r="AB508" i="42"/>
  <c r="AC508" i="42"/>
  <c r="AD508" i="42"/>
  <c r="Y509" i="42"/>
  <c r="Z509" i="42"/>
  <c r="AA509" i="42"/>
  <c r="AB509" i="42"/>
  <c r="AC509" i="42"/>
  <c r="AD509" i="42"/>
  <c r="Y510" i="42"/>
  <c r="Z510" i="42"/>
  <c r="AA510" i="42"/>
  <c r="AB510" i="42"/>
  <c r="AC510" i="42"/>
  <c r="AD510" i="42"/>
  <c r="Y511" i="42"/>
  <c r="Z511" i="42"/>
  <c r="AA511" i="42"/>
  <c r="AB511" i="42"/>
  <c r="AC511" i="42"/>
  <c r="AD511" i="42"/>
  <c r="Y512" i="42"/>
  <c r="Z512" i="42"/>
  <c r="AA512" i="42"/>
  <c r="AB512" i="42"/>
  <c r="AC512" i="42"/>
  <c r="AD512" i="42"/>
  <c r="Y513" i="42"/>
  <c r="Z513" i="42"/>
  <c r="AA513" i="42"/>
  <c r="AB513" i="42"/>
  <c r="AC513" i="42"/>
  <c r="AD513" i="42"/>
  <c r="Y514" i="42"/>
  <c r="Z514" i="42"/>
  <c r="AA514" i="42"/>
  <c r="AB514" i="42"/>
  <c r="AC514" i="42"/>
  <c r="AD514" i="42"/>
  <c r="Y515" i="42"/>
  <c r="Z515" i="42"/>
  <c r="AA515" i="42"/>
  <c r="AB515" i="42"/>
  <c r="AC515" i="42"/>
  <c r="AD515" i="42"/>
  <c r="AD296" i="42"/>
  <c r="AC296" i="42"/>
  <c r="AB296" i="42"/>
  <c r="AA296" i="42"/>
  <c r="Z296" i="42"/>
  <c r="Y296" i="42"/>
  <c r="Y77" i="42"/>
  <c r="Z77" i="42"/>
  <c r="AA77" i="42"/>
  <c r="AB77" i="42"/>
  <c r="AC77" i="42"/>
  <c r="AD77" i="42"/>
  <c r="Y78" i="42"/>
  <c r="Z78" i="42"/>
  <c r="AA78" i="42"/>
  <c r="AB78" i="42"/>
  <c r="AC78" i="42"/>
  <c r="AD78" i="42"/>
  <c r="Y79" i="42"/>
  <c r="Z79" i="42"/>
  <c r="AA79" i="42"/>
  <c r="AB79" i="42"/>
  <c r="AC79" i="42"/>
  <c r="AD79" i="42"/>
  <c r="Y80" i="42"/>
  <c r="Z80" i="42"/>
  <c r="AA80" i="42"/>
  <c r="AB80" i="42"/>
  <c r="AC80" i="42"/>
  <c r="AD80" i="42"/>
  <c r="Y81" i="42"/>
  <c r="Z81" i="42"/>
  <c r="AA81" i="42"/>
  <c r="AB81" i="42"/>
  <c r="AC81" i="42"/>
  <c r="AD81" i="42"/>
  <c r="Y82" i="42"/>
  <c r="Z82" i="42"/>
  <c r="AA82" i="42"/>
  <c r="AB82" i="42"/>
  <c r="AC82" i="42"/>
  <c r="AD82" i="42"/>
  <c r="Y83" i="42"/>
  <c r="Z83" i="42"/>
  <c r="AA83" i="42"/>
  <c r="AB83" i="42"/>
  <c r="AC83" i="42"/>
  <c r="AD83" i="42"/>
  <c r="Y84" i="42"/>
  <c r="Z84" i="42"/>
  <c r="AA84" i="42"/>
  <c r="AB84" i="42"/>
  <c r="AC84" i="42"/>
  <c r="AD84" i="42"/>
  <c r="Y85" i="42"/>
  <c r="Z85" i="42"/>
  <c r="AA85" i="42"/>
  <c r="AB85" i="42"/>
  <c r="AC85" i="42"/>
  <c r="AD85" i="42"/>
  <c r="Y86" i="42"/>
  <c r="Z86" i="42"/>
  <c r="AA86" i="42"/>
  <c r="AB86" i="42"/>
  <c r="AC86" i="42"/>
  <c r="AD86" i="42"/>
  <c r="Y87" i="42"/>
  <c r="Z87" i="42"/>
  <c r="AA87" i="42"/>
  <c r="AB87" i="42"/>
  <c r="AC87" i="42"/>
  <c r="AD87" i="42"/>
  <c r="Y88" i="42"/>
  <c r="Z88" i="42"/>
  <c r="AA88" i="42"/>
  <c r="AB88" i="42"/>
  <c r="AC88" i="42"/>
  <c r="AD88" i="42"/>
  <c r="Y89" i="42"/>
  <c r="Z89" i="42"/>
  <c r="AA89" i="42"/>
  <c r="AB89" i="42"/>
  <c r="AC89" i="42"/>
  <c r="AD89" i="42"/>
  <c r="Y90" i="42"/>
  <c r="Z90" i="42"/>
  <c r="AA90" i="42"/>
  <c r="AB90" i="42"/>
  <c r="AC90" i="42"/>
  <c r="AD90" i="42"/>
  <c r="Y91" i="42"/>
  <c r="Z91" i="42"/>
  <c r="AA91" i="42"/>
  <c r="AB91" i="42"/>
  <c r="AC91" i="42"/>
  <c r="AD91" i="42"/>
  <c r="Y92" i="42"/>
  <c r="Z92" i="42"/>
  <c r="AA92" i="42"/>
  <c r="AB92" i="42"/>
  <c r="AC92" i="42"/>
  <c r="AD92" i="42"/>
  <c r="Y93" i="42"/>
  <c r="Z93" i="42"/>
  <c r="AA93" i="42"/>
  <c r="AB93" i="42"/>
  <c r="AC93" i="42"/>
  <c r="AD93" i="42"/>
  <c r="Y94" i="42"/>
  <c r="Z94" i="42"/>
  <c r="AA94" i="42"/>
  <c r="AB94" i="42"/>
  <c r="AC94" i="42"/>
  <c r="AD94" i="42"/>
  <c r="Y95" i="42"/>
  <c r="Z95" i="42"/>
  <c r="AA95" i="42"/>
  <c r="AB95" i="42"/>
  <c r="AC95" i="42"/>
  <c r="AD95" i="42"/>
  <c r="Y96" i="42"/>
  <c r="Z96" i="42"/>
  <c r="AA96" i="42"/>
  <c r="AB96" i="42"/>
  <c r="AC96" i="42"/>
  <c r="AD96" i="42"/>
  <c r="Y97" i="42"/>
  <c r="Z97" i="42"/>
  <c r="AA97" i="42"/>
  <c r="AB97" i="42"/>
  <c r="AC97" i="42"/>
  <c r="AD97" i="42"/>
  <c r="Y98" i="42"/>
  <c r="Z98" i="42"/>
  <c r="AA98" i="42"/>
  <c r="AB98" i="42"/>
  <c r="AC98" i="42"/>
  <c r="AD98" i="42"/>
  <c r="Y99" i="42"/>
  <c r="Z99" i="42"/>
  <c r="AA99" i="42"/>
  <c r="AB99" i="42"/>
  <c r="AC99" i="42"/>
  <c r="AD99" i="42"/>
  <c r="Y100" i="42"/>
  <c r="Z100" i="42"/>
  <c r="AA100" i="42"/>
  <c r="AB100" i="42"/>
  <c r="AC100" i="42"/>
  <c r="AD100" i="42"/>
  <c r="Y101" i="42"/>
  <c r="Z101" i="42"/>
  <c r="AA101" i="42"/>
  <c r="AB101" i="42"/>
  <c r="AC101" i="42"/>
  <c r="AD101" i="42"/>
  <c r="Y102" i="42"/>
  <c r="Z102" i="42"/>
  <c r="AA102" i="42"/>
  <c r="AB102" i="42"/>
  <c r="AC102" i="42"/>
  <c r="AD102" i="42"/>
  <c r="Y103" i="42"/>
  <c r="Z103" i="42"/>
  <c r="AA103" i="42"/>
  <c r="AB103" i="42"/>
  <c r="AC103" i="42"/>
  <c r="AD103" i="42"/>
  <c r="Y104" i="42"/>
  <c r="Z104" i="42"/>
  <c r="AA104" i="42"/>
  <c r="AB104" i="42"/>
  <c r="AC104" i="42"/>
  <c r="AD104" i="42"/>
  <c r="Y105" i="42"/>
  <c r="Z105" i="42"/>
  <c r="AA105" i="42"/>
  <c r="AB105" i="42"/>
  <c r="AC105" i="42"/>
  <c r="AD105" i="42"/>
  <c r="Y106" i="42"/>
  <c r="Z106" i="42"/>
  <c r="AA106" i="42"/>
  <c r="AB106" i="42"/>
  <c r="AC106" i="42"/>
  <c r="AD106" i="42"/>
  <c r="Y107" i="42"/>
  <c r="Z107" i="42"/>
  <c r="AA107" i="42"/>
  <c r="AB107" i="42"/>
  <c r="AC107" i="42"/>
  <c r="AD107" i="42"/>
  <c r="Y108" i="42"/>
  <c r="Z108" i="42"/>
  <c r="AA108" i="42"/>
  <c r="AB108" i="42"/>
  <c r="AC108" i="42"/>
  <c r="AD108" i="42"/>
  <c r="Y109" i="42"/>
  <c r="Z109" i="42"/>
  <c r="AA109" i="42"/>
  <c r="AB109" i="42"/>
  <c r="AC109" i="42"/>
  <c r="AD109" i="42"/>
  <c r="Y110" i="42"/>
  <c r="Z110" i="42"/>
  <c r="AA110" i="42"/>
  <c r="AB110" i="42"/>
  <c r="AC110" i="42"/>
  <c r="AD110" i="42"/>
  <c r="Y111" i="42"/>
  <c r="Z111" i="42"/>
  <c r="AA111" i="42"/>
  <c r="AB111" i="42"/>
  <c r="AC111" i="42"/>
  <c r="AD111" i="42"/>
  <c r="Y112" i="42"/>
  <c r="Z112" i="42"/>
  <c r="AA112" i="42"/>
  <c r="AB112" i="42"/>
  <c r="AC112" i="42"/>
  <c r="AD112" i="42"/>
  <c r="Y113" i="42"/>
  <c r="Z113" i="42"/>
  <c r="AA113" i="42"/>
  <c r="AB113" i="42"/>
  <c r="AC113" i="42"/>
  <c r="AD113" i="42"/>
  <c r="Y114" i="42"/>
  <c r="Z114" i="42"/>
  <c r="AA114" i="42"/>
  <c r="AB114" i="42"/>
  <c r="AC114" i="42"/>
  <c r="AD114" i="42"/>
  <c r="Y115" i="42"/>
  <c r="Z115" i="42"/>
  <c r="AA115" i="42"/>
  <c r="AB115" i="42"/>
  <c r="AC115" i="42"/>
  <c r="AD115" i="42"/>
  <c r="Y116" i="42"/>
  <c r="Z116" i="42"/>
  <c r="AA116" i="42"/>
  <c r="AB116" i="42"/>
  <c r="AC116" i="42"/>
  <c r="AD116" i="42"/>
  <c r="Y117" i="42"/>
  <c r="Z117" i="42"/>
  <c r="AA117" i="42"/>
  <c r="AB117" i="42"/>
  <c r="AC117" i="42"/>
  <c r="AD117" i="42"/>
  <c r="Y118" i="42"/>
  <c r="Z118" i="42"/>
  <c r="AA118" i="42"/>
  <c r="AB118" i="42"/>
  <c r="AC118" i="42"/>
  <c r="AD118" i="42"/>
  <c r="Y119" i="42"/>
  <c r="Z119" i="42"/>
  <c r="AA119" i="42"/>
  <c r="AB119" i="42"/>
  <c r="AC119" i="42"/>
  <c r="AD119" i="42"/>
  <c r="Y120" i="42"/>
  <c r="Z120" i="42"/>
  <c r="AA120" i="42"/>
  <c r="AB120" i="42"/>
  <c r="AC120" i="42"/>
  <c r="AD120" i="42"/>
  <c r="Y121" i="42"/>
  <c r="Z121" i="42"/>
  <c r="AA121" i="42"/>
  <c r="AB121" i="42"/>
  <c r="AC121" i="42"/>
  <c r="AD121" i="42"/>
  <c r="Y122" i="42"/>
  <c r="Z122" i="42"/>
  <c r="AA122" i="42"/>
  <c r="AB122" i="42"/>
  <c r="AC122" i="42"/>
  <c r="AD122" i="42"/>
  <c r="Y123" i="42"/>
  <c r="Z123" i="42"/>
  <c r="AA123" i="42"/>
  <c r="AB123" i="42"/>
  <c r="AC123" i="42"/>
  <c r="AD123" i="42"/>
  <c r="Y124" i="42"/>
  <c r="Z124" i="42"/>
  <c r="AA124" i="42"/>
  <c r="AB124" i="42"/>
  <c r="AC124" i="42"/>
  <c r="AD124" i="42"/>
  <c r="Y125" i="42"/>
  <c r="Z125" i="42"/>
  <c r="AA125" i="42"/>
  <c r="AB125" i="42"/>
  <c r="AC125" i="42"/>
  <c r="AD125" i="42"/>
  <c r="Y126" i="42"/>
  <c r="Z126" i="42"/>
  <c r="AA126" i="42"/>
  <c r="AB126" i="42"/>
  <c r="AC126" i="42"/>
  <c r="AD126" i="42"/>
  <c r="Y127" i="42"/>
  <c r="Z127" i="42"/>
  <c r="AA127" i="42"/>
  <c r="AB127" i="42"/>
  <c r="AC127" i="42"/>
  <c r="AD127" i="42"/>
  <c r="Y128" i="42"/>
  <c r="Z128" i="42"/>
  <c r="AA128" i="42"/>
  <c r="AB128" i="42"/>
  <c r="AC128" i="42"/>
  <c r="AD128" i="42"/>
  <c r="Y129" i="42"/>
  <c r="Z129" i="42"/>
  <c r="AA129" i="42"/>
  <c r="AB129" i="42"/>
  <c r="AC129" i="42"/>
  <c r="AD129" i="42"/>
  <c r="Y130" i="42"/>
  <c r="Z130" i="42"/>
  <c r="AA130" i="42"/>
  <c r="AB130" i="42"/>
  <c r="AC130" i="42"/>
  <c r="AD130" i="42"/>
  <c r="Y131" i="42"/>
  <c r="Z131" i="42"/>
  <c r="AA131" i="42"/>
  <c r="AB131" i="42"/>
  <c r="AC131" i="42"/>
  <c r="AD131" i="42"/>
  <c r="Y132" i="42"/>
  <c r="Z132" i="42"/>
  <c r="AA132" i="42"/>
  <c r="AB132" i="42"/>
  <c r="AC132" i="42"/>
  <c r="AD132" i="42"/>
  <c r="Y133" i="42"/>
  <c r="Z133" i="42"/>
  <c r="AA133" i="42"/>
  <c r="AB133" i="42"/>
  <c r="AC133" i="42"/>
  <c r="AD133" i="42"/>
  <c r="Y134" i="42"/>
  <c r="Z134" i="42"/>
  <c r="AA134" i="42"/>
  <c r="AB134" i="42"/>
  <c r="AC134" i="42"/>
  <c r="AD134" i="42"/>
  <c r="Y135" i="42"/>
  <c r="Z135" i="42"/>
  <c r="AA135" i="42"/>
  <c r="AB135" i="42"/>
  <c r="AC135" i="42"/>
  <c r="AD135" i="42"/>
  <c r="Y136" i="42"/>
  <c r="Z136" i="42"/>
  <c r="AA136" i="42"/>
  <c r="AB136" i="42"/>
  <c r="AC136" i="42"/>
  <c r="AD136" i="42"/>
  <c r="Y137" i="42"/>
  <c r="Z137" i="42"/>
  <c r="AA137" i="42"/>
  <c r="AB137" i="42"/>
  <c r="AC137" i="42"/>
  <c r="AD137" i="42"/>
  <c r="Y138" i="42"/>
  <c r="Z138" i="42"/>
  <c r="AA138" i="42"/>
  <c r="AB138" i="42"/>
  <c r="AC138" i="42"/>
  <c r="AD138" i="42"/>
  <c r="Y139" i="42"/>
  <c r="Z139" i="42"/>
  <c r="AA139" i="42"/>
  <c r="AB139" i="42"/>
  <c r="AC139" i="42"/>
  <c r="AD139" i="42"/>
  <c r="Y140" i="42"/>
  <c r="Z140" i="42"/>
  <c r="AA140" i="42"/>
  <c r="AB140" i="42"/>
  <c r="AC140" i="42"/>
  <c r="AD140" i="42"/>
  <c r="Y141" i="42"/>
  <c r="Z141" i="42"/>
  <c r="AA141" i="42"/>
  <c r="AB141" i="42"/>
  <c r="AC141" i="42"/>
  <c r="AD141" i="42"/>
  <c r="Y142" i="42"/>
  <c r="Z142" i="42"/>
  <c r="AA142" i="42"/>
  <c r="AB142" i="42"/>
  <c r="AC142" i="42"/>
  <c r="AD142" i="42"/>
  <c r="Y143" i="42"/>
  <c r="Z143" i="42"/>
  <c r="AA143" i="42"/>
  <c r="AB143" i="42"/>
  <c r="AC143" i="42"/>
  <c r="AD143" i="42"/>
  <c r="Y144" i="42"/>
  <c r="Z144" i="42"/>
  <c r="AA144" i="42"/>
  <c r="AB144" i="42"/>
  <c r="AC144" i="42"/>
  <c r="AD144" i="42"/>
  <c r="Y145" i="42"/>
  <c r="Z145" i="42"/>
  <c r="AA145" i="42"/>
  <c r="AB145" i="42"/>
  <c r="AC145" i="42"/>
  <c r="AD145" i="42"/>
  <c r="Y146" i="42"/>
  <c r="Z146" i="42"/>
  <c r="AA146" i="42"/>
  <c r="AB146" i="42"/>
  <c r="AC146" i="42"/>
  <c r="AD146" i="42"/>
  <c r="Y147" i="42"/>
  <c r="Z147" i="42"/>
  <c r="AA147" i="42"/>
  <c r="AB147" i="42"/>
  <c r="AC147" i="42"/>
  <c r="AD147" i="42"/>
  <c r="Y148" i="42"/>
  <c r="Z148" i="42"/>
  <c r="AA148" i="42"/>
  <c r="AB148" i="42"/>
  <c r="AC148" i="42"/>
  <c r="AD148" i="42"/>
  <c r="Y149" i="42"/>
  <c r="Z149" i="42"/>
  <c r="AA149" i="42"/>
  <c r="AB149" i="42"/>
  <c r="AC149" i="42"/>
  <c r="AD149" i="42"/>
  <c r="Y150" i="42"/>
  <c r="Z150" i="42"/>
  <c r="AA150" i="42"/>
  <c r="AB150" i="42"/>
  <c r="AC150" i="42"/>
  <c r="AD150" i="42"/>
  <c r="Y151" i="42"/>
  <c r="Z151" i="42"/>
  <c r="AA151" i="42"/>
  <c r="AB151" i="42"/>
  <c r="AC151" i="42"/>
  <c r="AD151" i="42"/>
  <c r="Y152" i="42"/>
  <c r="Z152" i="42"/>
  <c r="AA152" i="42"/>
  <c r="AB152" i="42"/>
  <c r="AC152" i="42"/>
  <c r="AD152" i="42"/>
  <c r="Y153" i="42"/>
  <c r="Z153" i="42"/>
  <c r="AA153" i="42"/>
  <c r="AB153" i="42"/>
  <c r="AC153" i="42"/>
  <c r="AD153" i="42"/>
  <c r="Y154" i="42"/>
  <c r="Z154" i="42"/>
  <c r="AA154" i="42"/>
  <c r="AB154" i="42"/>
  <c r="AC154" i="42"/>
  <c r="AD154" i="42"/>
  <c r="Y155" i="42"/>
  <c r="Z155" i="42"/>
  <c r="AA155" i="42"/>
  <c r="AB155" i="42"/>
  <c r="AC155" i="42"/>
  <c r="AD155" i="42"/>
  <c r="Y156" i="42"/>
  <c r="Z156" i="42"/>
  <c r="AA156" i="42"/>
  <c r="AB156" i="42"/>
  <c r="AC156" i="42"/>
  <c r="AD156" i="42"/>
  <c r="Y157" i="42"/>
  <c r="Z157" i="42"/>
  <c r="AA157" i="42"/>
  <c r="AB157" i="42"/>
  <c r="AC157" i="42"/>
  <c r="AD157" i="42"/>
  <c r="Y158" i="42"/>
  <c r="Z158" i="42"/>
  <c r="AA158" i="42"/>
  <c r="AB158" i="42"/>
  <c r="AC158" i="42"/>
  <c r="AD158" i="42"/>
  <c r="Y159" i="42"/>
  <c r="Z159" i="42"/>
  <c r="AA159" i="42"/>
  <c r="AB159" i="42"/>
  <c r="AC159" i="42"/>
  <c r="AD159" i="42"/>
  <c r="Y160" i="42"/>
  <c r="Z160" i="42"/>
  <c r="AA160" i="42"/>
  <c r="AB160" i="42"/>
  <c r="AC160" i="42"/>
  <c r="AD160" i="42"/>
  <c r="Y161" i="42"/>
  <c r="Z161" i="42"/>
  <c r="AA161" i="42"/>
  <c r="AB161" i="42"/>
  <c r="AC161" i="42"/>
  <c r="AD161" i="42"/>
  <c r="Y162" i="42"/>
  <c r="Z162" i="42"/>
  <c r="AA162" i="42"/>
  <c r="AB162" i="42"/>
  <c r="AC162" i="42"/>
  <c r="AD162" i="42"/>
  <c r="Y163" i="42"/>
  <c r="Z163" i="42"/>
  <c r="AA163" i="42"/>
  <c r="AB163" i="42"/>
  <c r="AC163" i="42"/>
  <c r="AD163" i="42"/>
  <c r="Y164" i="42"/>
  <c r="Z164" i="42"/>
  <c r="AA164" i="42"/>
  <c r="AB164" i="42"/>
  <c r="AC164" i="42"/>
  <c r="AD164" i="42"/>
  <c r="Y165" i="42"/>
  <c r="Z165" i="42"/>
  <c r="AA165" i="42"/>
  <c r="AB165" i="42"/>
  <c r="AC165" i="42"/>
  <c r="AD165" i="42"/>
  <c r="Y166" i="42"/>
  <c r="Z166" i="42"/>
  <c r="AA166" i="42"/>
  <c r="AB166" i="42"/>
  <c r="AC166" i="42"/>
  <c r="AD166" i="42"/>
  <c r="Y167" i="42"/>
  <c r="Z167" i="42"/>
  <c r="AA167" i="42"/>
  <c r="AB167" i="42"/>
  <c r="AC167" i="42"/>
  <c r="AD167" i="42"/>
  <c r="Y168" i="42"/>
  <c r="Z168" i="42"/>
  <c r="AA168" i="42"/>
  <c r="AB168" i="42"/>
  <c r="AC168" i="42"/>
  <c r="AD168" i="42"/>
  <c r="Y169" i="42"/>
  <c r="Z169" i="42"/>
  <c r="AA169" i="42"/>
  <c r="AB169" i="42"/>
  <c r="AC169" i="42"/>
  <c r="AD169" i="42"/>
  <c r="Y170" i="42"/>
  <c r="Z170" i="42"/>
  <c r="AA170" i="42"/>
  <c r="AB170" i="42"/>
  <c r="AC170" i="42"/>
  <c r="AD170" i="42"/>
  <c r="Y171" i="42"/>
  <c r="Z171" i="42"/>
  <c r="AA171" i="42"/>
  <c r="AB171" i="42"/>
  <c r="AC171" i="42"/>
  <c r="AD171" i="42"/>
  <c r="Y172" i="42"/>
  <c r="Z172" i="42"/>
  <c r="AA172" i="42"/>
  <c r="AB172" i="42"/>
  <c r="AC172" i="42"/>
  <c r="AD172" i="42"/>
  <c r="Y173" i="42"/>
  <c r="Z173" i="42"/>
  <c r="AA173" i="42"/>
  <c r="AB173" i="42"/>
  <c r="AC173" i="42"/>
  <c r="AD173" i="42"/>
  <c r="Y174" i="42"/>
  <c r="Z174" i="42"/>
  <c r="AA174" i="42"/>
  <c r="AB174" i="42"/>
  <c r="AC174" i="42"/>
  <c r="AD174" i="42"/>
  <c r="Y175" i="42"/>
  <c r="Z175" i="42"/>
  <c r="AA175" i="42"/>
  <c r="AB175" i="42"/>
  <c r="AC175" i="42"/>
  <c r="AD175" i="42"/>
  <c r="Y176" i="42"/>
  <c r="Z176" i="42"/>
  <c r="AA176" i="42"/>
  <c r="AB176" i="42"/>
  <c r="AC176" i="42"/>
  <c r="AD176" i="42"/>
  <c r="Y177" i="42"/>
  <c r="Z177" i="42"/>
  <c r="AA177" i="42"/>
  <c r="AB177" i="42"/>
  <c r="AC177" i="42"/>
  <c r="AD177" i="42"/>
  <c r="Y178" i="42"/>
  <c r="Z178" i="42"/>
  <c r="AA178" i="42"/>
  <c r="AB178" i="42"/>
  <c r="AC178" i="42"/>
  <c r="AD178" i="42"/>
  <c r="Y179" i="42"/>
  <c r="Z179" i="42"/>
  <c r="AA179" i="42"/>
  <c r="AB179" i="42"/>
  <c r="AC179" i="42"/>
  <c r="AD179" i="42"/>
  <c r="Y180" i="42"/>
  <c r="Z180" i="42"/>
  <c r="AA180" i="42"/>
  <c r="AB180" i="42"/>
  <c r="AC180" i="42"/>
  <c r="AD180" i="42"/>
  <c r="Y181" i="42"/>
  <c r="Z181" i="42"/>
  <c r="AA181" i="42"/>
  <c r="AB181" i="42"/>
  <c r="AC181" i="42"/>
  <c r="AD181" i="42"/>
  <c r="Y182" i="42"/>
  <c r="Z182" i="42"/>
  <c r="AA182" i="42"/>
  <c r="AB182" i="42"/>
  <c r="AC182" i="42"/>
  <c r="AD182" i="42"/>
  <c r="Y183" i="42"/>
  <c r="Z183" i="42"/>
  <c r="AA183" i="42"/>
  <c r="AB183" i="42"/>
  <c r="AC183" i="42"/>
  <c r="AD183" i="42"/>
  <c r="Y184" i="42"/>
  <c r="Z184" i="42"/>
  <c r="AA184" i="42"/>
  <c r="AB184" i="42"/>
  <c r="AC184" i="42"/>
  <c r="AD184" i="42"/>
  <c r="Y185" i="42"/>
  <c r="Z185" i="42"/>
  <c r="AA185" i="42"/>
  <c r="AB185" i="42"/>
  <c r="AC185" i="42"/>
  <c r="AD185" i="42"/>
  <c r="Y186" i="42"/>
  <c r="Z186" i="42"/>
  <c r="AA186" i="42"/>
  <c r="AB186" i="42"/>
  <c r="AC186" i="42"/>
  <c r="AD186" i="42"/>
  <c r="Y187" i="42"/>
  <c r="Z187" i="42"/>
  <c r="AA187" i="42"/>
  <c r="AB187" i="42"/>
  <c r="AC187" i="42"/>
  <c r="AD187" i="42"/>
  <c r="Y188" i="42"/>
  <c r="Z188" i="42"/>
  <c r="AA188" i="42"/>
  <c r="AB188" i="42"/>
  <c r="AC188" i="42"/>
  <c r="AD188" i="42"/>
  <c r="Y189" i="42"/>
  <c r="Z189" i="42"/>
  <c r="AA189" i="42"/>
  <c r="AB189" i="42"/>
  <c r="AC189" i="42"/>
  <c r="AD189" i="42"/>
  <c r="Y190" i="42"/>
  <c r="Z190" i="42"/>
  <c r="AA190" i="42"/>
  <c r="AB190" i="42"/>
  <c r="AC190" i="42"/>
  <c r="AD190" i="42"/>
  <c r="Y191" i="42"/>
  <c r="Z191" i="42"/>
  <c r="AA191" i="42"/>
  <c r="AB191" i="42"/>
  <c r="AC191" i="42"/>
  <c r="AD191" i="42"/>
  <c r="Y192" i="42"/>
  <c r="Z192" i="42"/>
  <c r="AA192" i="42"/>
  <c r="AB192" i="42"/>
  <c r="AC192" i="42"/>
  <c r="AD192" i="42"/>
  <c r="Y193" i="42"/>
  <c r="Z193" i="42"/>
  <c r="AA193" i="42"/>
  <c r="AB193" i="42"/>
  <c r="AC193" i="42"/>
  <c r="AD193" i="42"/>
  <c r="Y194" i="42"/>
  <c r="Z194" i="42"/>
  <c r="AA194" i="42"/>
  <c r="AB194" i="42"/>
  <c r="AC194" i="42"/>
  <c r="AD194" i="42"/>
  <c r="Y195" i="42"/>
  <c r="Z195" i="42"/>
  <c r="AA195" i="42"/>
  <c r="AB195" i="42"/>
  <c r="AC195" i="42"/>
  <c r="AD195" i="42"/>
  <c r="Y196" i="42"/>
  <c r="Z196" i="42"/>
  <c r="AA196" i="42"/>
  <c r="AB196" i="42"/>
  <c r="AC196" i="42"/>
  <c r="AD196" i="42"/>
  <c r="Y197" i="42"/>
  <c r="Z197" i="42"/>
  <c r="AA197" i="42"/>
  <c r="AB197" i="42"/>
  <c r="AC197" i="42"/>
  <c r="AD197" i="42"/>
  <c r="Y198" i="42"/>
  <c r="Z198" i="42"/>
  <c r="AA198" i="42"/>
  <c r="AB198" i="42"/>
  <c r="AC198" i="42"/>
  <c r="AD198" i="42"/>
  <c r="Y199" i="42"/>
  <c r="Z199" i="42"/>
  <c r="AA199" i="42"/>
  <c r="AB199" i="42"/>
  <c r="AC199" i="42"/>
  <c r="AD199" i="42"/>
  <c r="Y200" i="42"/>
  <c r="Z200" i="42"/>
  <c r="AA200" i="42"/>
  <c r="AB200" i="42"/>
  <c r="AC200" i="42"/>
  <c r="AD200" i="42"/>
  <c r="Y201" i="42"/>
  <c r="Z201" i="42"/>
  <c r="AA201" i="42"/>
  <c r="AB201" i="42"/>
  <c r="AC201" i="42"/>
  <c r="AD201" i="42"/>
  <c r="Y202" i="42"/>
  <c r="Z202" i="42"/>
  <c r="AA202" i="42"/>
  <c r="AB202" i="42"/>
  <c r="AC202" i="42"/>
  <c r="AD202" i="42"/>
  <c r="Y203" i="42"/>
  <c r="Z203" i="42"/>
  <c r="AA203" i="42"/>
  <c r="AB203" i="42"/>
  <c r="AC203" i="42"/>
  <c r="AD203" i="42"/>
  <c r="Y204" i="42"/>
  <c r="Z204" i="42"/>
  <c r="AA204" i="42"/>
  <c r="AB204" i="42"/>
  <c r="AC204" i="42"/>
  <c r="AD204" i="42"/>
  <c r="Y205" i="42"/>
  <c r="Z205" i="42"/>
  <c r="AA205" i="42"/>
  <c r="AB205" i="42"/>
  <c r="AC205" i="42"/>
  <c r="AD205" i="42"/>
  <c r="Y206" i="42"/>
  <c r="Z206" i="42"/>
  <c r="AA206" i="42"/>
  <c r="AB206" i="42"/>
  <c r="AC206" i="42"/>
  <c r="AD206" i="42"/>
  <c r="Y207" i="42"/>
  <c r="Z207" i="42"/>
  <c r="AA207" i="42"/>
  <c r="AB207" i="42"/>
  <c r="AC207" i="42"/>
  <c r="AD207" i="42"/>
  <c r="Y208" i="42"/>
  <c r="Z208" i="42"/>
  <c r="AA208" i="42"/>
  <c r="AB208" i="42"/>
  <c r="AC208" i="42"/>
  <c r="AD208" i="42"/>
  <c r="Y209" i="42"/>
  <c r="Z209" i="42"/>
  <c r="AA209" i="42"/>
  <c r="AB209" i="42"/>
  <c r="AC209" i="42"/>
  <c r="AD209" i="42"/>
  <c r="Y210" i="42"/>
  <c r="Z210" i="42"/>
  <c r="AA210" i="42"/>
  <c r="AB210" i="42"/>
  <c r="AC210" i="42"/>
  <c r="AD210" i="42"/>
  <c r="Y211" i="42"/>
  <c r="Z211" i="42"/>
  <c r="AA211" i="42"/>
  <c r="AB211" i="42"/>
  <c r="AC211" i="42"/>
  <c r="AD211" i="42"/>
  <c r="Y212" i="42"/>
  <c r="Z212" i="42"/>
  <c r="AA212" i="42"/>
  <c r="AB212" i="42"/>
  <c r="AC212" i="42"/>
  <c r="AD212" i="42"/>
  <c r="Y213" i="42"/>
  <c r="Z213" i="42"/>
  <c r="AA213" i="42"/>
  <c r="AB213" i="42"/>
  <c r="AC213" i="42"/>
  <c r="AD213" i="42"/>
  <c r="Y214" i="42"/>
  <c r="Z214" i="42"/>
  <c r="AA214" i="42"/>
  <c r="AB214" i="42"/>
  <c r="AC214" i="42"/>
  <c r="AD214" i="42"/>
  <c r="Y215" i="42"/>
  <c r="Z215" i="42"/>
  <c r="AA215" i="42"/>
  <c r="AB215" i="42"/>
  <c r="AC215" i="42"/>
  <c r="AD215" i="42"/>
  <c r="Y216" i="42"/>
  <c r="Z216" i="42"/>
  <c r="AA216" i="42"/>
  <c r="AB216" i="42"/>
  <c r="AC216" i="42"/>
  <c r="AD216" i="42"/>
  <c r="Y217" i="42"/>
  <c r="Z217" i="42"/>
  <c r="AA217" i="42"/>
  <c r="AB217" i="42"/>
  <c r="AC217" i="42"/>
  <c r="AD217" i="42"/>
  <c r="Y218" i="42"/>
  <c r="Z218" i="42"/>
  <c r="AA218" i="42"/>
  <c r="AB218" i="42"/>
  <c r="AC218" i="42"/>
  <c r="AD218" i="42"/>
  <c r="Y219" i="42"/>
  <c r="Z219" i="42"/>
  <c r="AA219" i="42"/>
  <c r="AB219" i="42"/>
  <c r="AC219" i="42"/>
  <c r="AD219" i="42"/>
  <c r="Y220" i="42"/>
  <c r="Z220" i="42"/>
  <c r="AA220" i="42"/>
  <c r="AB220" i="42"/>
  <c r="AC220" i="42"/>
  <c r="AD220" i="42"/>
  <c r="Y221" i="42"/>
  <c r="Z221" i="42"/>
  <c r="AA221" i="42"/>
  <c r="AB221" i="42"/>
  <c r="AC221" i="42"/>
  <c r="AD221" i="42"/>
  <c r="Y222" i="42"/>
  <c r="Z222" i="42"/>
  <c r="AA222" i="42"/>
  <c r="AB222" i="42"/>
  <c r="AC222" i="42"/>
  <c r="AD222" i="42"/>
  <c r="Y223" i="42"/>
  <c r="Z223" i="42"/>
  <c r="AA223" i="42"/>
  <c r="AB223" i="42"/>
  <c r="AC223" i="42"/>
  <c r="AD223" i="42"/>
  <c r="Y224" i="42"/>
  <c r="Z224" i="42"/>
  <c r="AA224" i="42"/>
  <c r="AB224" i="42"/>
  <c r="AC224" i="42"/>
  <c r="AD224" i="42"/>
  <c r="Y225" i="42"/>
  <c r="Z225" i="42"/>
  <c r="AA225" i="42"/>
  <c r="AB225" i="42"/>
  <c r="AC225" i="42"/>
  <c r="AD225" i="42"/>
  <c r="Y226" i="42"/>
  <c r="Z226" i="42"/>
  <c r="AA226" i="42"/>
  <c r="AB226" i="42"/>
  <c r="AC226" i="42"/>
  <c r="AD226" i="42"/>
  <c r="Y227" i="42"/>
  <c r="Z227" i="42"/>
  <c r="AA227" i="42"/>
  <c r="AB227" i="42"/>
  <c r="AC227" i="42"/>
  <c r="AD227" i="42"/>
  <c r="Y228" i="42"/>
  <c r="Z228" i="42"/>
  <c r="AA228" i="42"/>
  <c r="AB228" i="42"/>
  <c r="AC228" i="42"/>
  <c r="AD228" i="42"/>
  <c r="Y229" i="42"/>
  <c r="Z229" i="42"/>
  <c r="AA229" i="42"/>
  <c r="AB229" i="42"/>
  <c r="AC229" i="42"/>
  <c r="AD229" i="42"/>
  <c r="Y230" i="42"/>
  <c r="Z230" i="42"/>
  <c r="AA230" i="42"/>
  <c r="AB230" i="42"/>
  <c r="AC230" i="42"/>
  <c r="AD230" i="42"/>
  <c r="Y231" i="42"/>
  <c r="Z231" i="42"/>
  <c r="AA231" i="42"/>
  <c r="AB231" i="42"/>
  <c r="AC231" i="42"/>
  <c r="AD231" i="42"/>
  <c r="Y232" i="42"/>
  <c r="Z232" i="42"/>
  <c r="AA232" i="42"/>
  <c r="AB232" i="42"/>
  <c r="AC232" i="42"/>
  <c r="AD232" i="42"/>
  <c r="Y233" i="42"/>
  <c r="Z233" i="42"/>
  <c r="AA233" i="42"/>
  <c r="AB233" i="42"/>
  <c r="AC233" i="42"/>
  <c r="AD233" i="42"/>
  <c r="Y234" i="42"/>
  <c r="Z234" i="42"/>
  <c r="AA234" i="42"/>
  <c r="AB234" i="42"/>
  <c r="AC234" i="42"/>
  <c r="AD234" i="42"/>
  <c r="Y235" i="42"/>
  <c r="Z235" i="42"/>
  <c r="AA235" i="42"/>
  <c r="AB235" i="42"/>
  <c r="AC235" i="42"/>
  <c r="AD235" i="42"/>
  <c r="Y236" i="42"/>
  <c r="Z236" i="42"/>
  <c r="AA236" i="42"/>
  <c r="AB236" i="42"/>
  <c r="AC236" i="42"/>
  <c r="AD236" i="42"/>
  <c r="Y237" i="42"/>
  <c r="Z237" i="42"/>
  <c r="AA237" i="42"/>
  <c r="AB237" i="42"/>
  <c r="AC237" i="42"/>
  <c r="AD237" i="42"/>
  <c r="Y238" i="42"/>
  <c r="Z238" i="42"/>
  <c r="AA238" i="42"/>
  <c r="AB238" i="42"/>
  <c r="AC238" i="42"/>
  <c r="AD238" i="42"/>
  <c r="Y239" i="42"/>
  <c r="Z239" i="42"/>
  <c r="AA239" i="42"/>
  <c r="AB239" i="42"/>
  <c r="AC239" i="42"/>
  <c r="AD239" i="42"/>
  <c r="Y240" i="42"/>
  <c r="Z240" i="42"/>
  <c r="AA240" i="42"/>
  <c r="AB240" i="42"/>
  <c r="AC240" i="42"/>
  <c r="AD240" i="42"/>
  <c r="Y241" i="42"/>
  <c r="Z241" i="42"/>
  <c r="AA241" i="42"/>
  <c r="AB241" i="42"/>
  <c r="AC241" i="42"/>
  <c r="AD241" i="42"/>
  <c r="Y242" i="42"/>
  <c r="Z242" i="42"/>
  <c r="AA242" i="42"/>
  <c r="AB242" i="42"/>
  <c r="AC242" i="42"/>
  <c r="AD242" i="42"/>
  <c r="Y243" i="42"/>
  <c r="Z243" i="42"/>
  <c r="AA243" i="42"/>
  <c r="AB243" i="42"/>
  <c r="AC243" i="42"/>
  <c r="AD243" i="42"/>
  <c r="Y244" i="42"/>
  <c r="Z244" i="42"/>
  <c r="AA244" i="42"/>
  <c r="AB244" i="42"/>
  <c r="AC244" i="42"/>
  <c r="AD244" i="42"/>
  <c r="Y245" i="42"/>
  <c r="Z245" i="42"/>
  <c r="AA245" i="42"/>
  <c r="AB245" i="42"/>
  <c r="AC245" i="42"/>
  <c r="AD245" i="42"/>
  <c r="Y246" i="42"/>
  <c r="Z246" i="42"/>
  <c r="AA246" i="42"/>
  <c r="AB246" i="42"/>
  <c r="AC246" i="42"/>
  <c r="AD246" i="42"/>
  <c r="Y247" i="42"/>
  <c r="Z247" i="42"/>
  <c r="AA247" i="42"/>
  <c r="AB247" i="42"/>
  <c r="AC247" i="42"/>
  <c r="AD247" i="42"/>
  <c r="Y248" i="42"/>
  <c r="Z248" i="42"/>
  <c r="AA248" i="42"/>
  <c r="AB248" i="42"/>
  <c r="AC248" i="42"/>
  <c r="AD248" i="42"/>
  <c r="Y249" i="42"/>
  <c r="Z249" i="42"/>
  <c r="AA249" i="42"/>
  <c r="AB249" i="42"/>
  <c r="AC249" i="42"/>
  <c r="AD249" i="42"/>
  <c r="Y250" i="42"/>
  <c r="Z250" i="42"/>
  <c r="AA250" i="42"/>
  <c r="AB250" i="42"/>
  <c r="AC250" i="42"/>
  <c r="AD250" i="42"/>
  <c r="Y251" i="42"/>
  <c r="Z251" i="42"/>
  <c r="AA251" i="42"/>
  <c r="AB251" i="42"/>
  <c r="AC251" i="42"/>
  <c r="AD251" i="42"/>
  <c r="Y252" i="42"/>
  <c r="Z252" i="42"/>
  <c r="AA252" i="42"/>
  <c r="AB252" i="42"/>
  <c r="AC252" i="42"/>
  <c r="AD252" i="42"/>
  <c r="Y253" i="42"/>
  <c r="Z253" i="42"/>
  <c r="AA253" i="42"/>
  <c r="AB253" i="42"/>
  <c r="AC253" i="42"/>
  <c r="AD253" i="42"/>
  <c r="Y254" i="42"/>
  <c r="Z254" i="42"/>
  <c r="AA254" i="42"/>
  <c r="AB254" i="42"/>
  <c r="AC254" i="42"/>
  <c r="AD254" i="42"/>
  <c r="Y255" i="42"/>
  <c r="Z255" i="42"/>
  <c r="AA255" i="42"/>
  <c r="AB255" i="42"/>
  <c r="AC255" i="42"/>
  <c r="AD255" i="42"/>
  <c r="Y256" i="42"/>
  <c r="Z256" i="42"/>
  <c r="AA256" i="42"/>
  <c r="AB256" i="42"/>
  <c r="AC256" i="42"/>
  <c r="AD256" i="42"/>
  <c r="Y257" i="42"/>
  <c r="Z257" i="42"/>
  <c r="AA257" i="42"/>
  <c r="AB257" i="42"/>
  <c r="AC257" i="42"/>
  <c r="AD257" i="42"/>
  <c r="Y258" i="42"/>
  <c r="Z258" i="42"/>
  <c r="AA258" i="42"/>
  <c r="AB258" i="42"/>
  <c r="AC258" i="42"/>
  <c r="AD258" i="42"/>
  <c r="Y259" i="42"/>
  <c r="Z259" i="42"/>
  <c r="AA259" i="42"/>
  <c r="AB259" i="42"/>
  <c r="AC259" i="42"/>
  <c r="AD259" i="42"/>
  <c r="Y260" i="42"/>
  <c r="Z260" i="42"/>
  <c r="AA260" i="42"/>
  <c r="AB260" i="42"/>
  <c r="AC260" i="42"/>
  <c r="AD260" i="42"/>
  <c r="Y261" i="42"/>
  <c r="Z261" i="42"/>
  <c r="AA261" i="42"/>
  <c r="AB261" i="42"/>
  <c r="AC261" i="42"/>
  <c r="AD261" i="42"/>
  <c r="Y262" i="42"/>
  <c r="Z262" i="42"/>
  <c r="AA262" i="42"/>
  <c r="AB262" i="42"/>
  <c r="AC262" i="42"/>
  <c r="AD262" i="42"/>
  <c r="Y263" i="42"/>
  <c r="Z263" i="42"/>
  <c r="AA263" i="42"/>
  <c r="AB263" i="42"/>
  <c r="AC263" i="42"/>
  <c r="AD263" i="42"/>
  <c r="Y264" i="42"/>
  <c r="Z264" i="42"/>
  <c r="AA264" i="42"/>
  <c r="AB264" i="42"/>
  <c r="AC264" i="42"/>
  <c r="AD264" i="42"/>
  <c r="Y265" i="42"/>
  <c r="Z265" i="42"/>
  <c r="AA265" i="42"/>
  <c r="AB265" i="42"/>
  <c r="AC265" i="42"/>
  <c r="AD265" i="42"/>
  <c r="Y266" i="42"/>
  <c r="Z266" i="42"/>
  <c r="AA266" i="42"/>
  <c r="AB266" i="42"/>
  <c r="AC266" i="42"/>
  <c r="AD266" i="42"/>
  <c r="Y267" i="42"/>
  <c r="Z267" i="42"/>
  <c r="AA267" i="42"/>
  <c r="AB267" i="42"/>
  <c r="AC267" i="42"/>
  <c r="AD267" i="42"/>
  <c r="Y268" i="42"/>
  <c r="Z268" i="42"/>
  <c r="AA268" i="42"/>
  <c r="AB268" i="42"/>
  <c r="AC268" i="42"/>
  <c r="AD268" i="42"/>
  <c r="Y269" i="42"/>
  <c r="Z269" i="42"/>
  <c r="AA269" i="42"/>
  <c r="AB269" i="42"/>
  <c r="AC269" i="42"/>
  <c r="AD269" i="42"/>
  <c r="Y270" i="42"/>
  <c r="Z270" i="42"/>
  <c r="AA270" i="42"/>
  <c r="AB270" i="42"/>
  <c r="AC270" i="42"/>
  <c r="AD270" i="42"/>
  <c r="Y271" i="42"/>
  <c r="Z271" i="42"/>
  <c r="AA271" i="42"/>
  <c r="AB271" i="42"/>
  <c r="AC271" i="42"/>
  <c r="AD271" i="42"/>
  <c r="Y272" i="42"/>
  <c r="Z272" i="42"/>
  <c r="AA272" i="42"/>
  <c r="AB272" i="42"/>
  <c r="AC272" i="42"/>
  <c r="AD272" i="42"/>
  <c r="Y273" i="42"/>
  <c r="Z273" i="42"/>
  <c r="AA273" i="42"/>
  <c r="AB273" i="42"/>
  <c r="AC273" i="42"/>
  <c r="AD273" i="42"/>
  <c r="Y274" i="42"/>
  <c r="Z274" i="42"/>
  <c r="AA274" i="42"/>
  <c r="AB274" i="42"/>
  <c r="AC274" i="42"/>
  <c r="AD274" i="42"/>
  <c r="Y275" i="42"/>
  <c r="Z275" i="42"/>
  <c r="AA275" i="42"/>
  <c r="AB275" i="42"/>
  <c r="AC275" i="42"/>
  <c r="AD275" i="42"/>
  <c r="Y276" i="42"/>
  <c r="Z276" i="42"/>
  <c r="AA276" i="42"/>
  <c r="AB276" i="42"/>
  <c r="AC276" i="42"/>
  <c r="AD276" i="42"/>
  <c r="Y277" i="42"/>
  <c r="Z277" i="42"/>
  <c r="AA277" i="42"/>
  <c r="AB277" i="42"/>
  <c r="AC277" i="42"/>
  <c r="AD277" i="42"/>
  <c r="Y278" i="42"/>
  <c r="Z278" i="42"/>
  <c r="AA278" i="42"/>
  <c r="AB278" i="42"/>
  <c r="AC278" i="42"/>
  <c r="AD278" i="42"/>
  <c r="Y279" i="42"/>
  <c r="Z279" i="42"/>
  <c r="AA279" i="42"/>
  <c r="AB279" i="42"/>
  <c r="AC279" i="42"/>
  <c r="AD279" i="42"/>
  <c r="Y280" i="42"/>
  <c r="Z280" i="42"/>
  <c r="AA280" i="42"/>
  <c r="AB280" i="42"/>
  <c r="AC280" i="42"/>
  <c r="AD280" i="42"/>
  <c r="Y281" i="42"/>
  <c r="Z281" i="42"/>
  <c r="AA281" i="42"/>
  <c r="AB281" i="42"/>
  <c r="AC281" i="42"/>
  <c r="AD281" i="42"/>
  <c r="Y282" i="42"/>
  <c r="Z282" i="42"/>
  <c r="AA282" i="42"/>
  <c r="AB282" i="42"/>
  <c r="AC282" i="42"/>
  <c r="AD282" i="42"/>
  <c r="Y283" i="42"/>
  <c r="Z283" i="42"/>
  <c r="AA283" i="42"/>
  <c r="AB283" i="42"/>
  <c r="AC283" i="42"/>
  <c r="AD283" i="42"/>
  <c r="Y284" i="42"/>
  <c r="Z284" i="42"/>
  <c r="AA284" i="42"/>
  <c r="AB284" i="42"/>
  <c r="AC284" i="42"/>
  <c r="AD284" i="42"/>
  <c r="Y285" i="42"/>
  <c r="Z285" i="42"/>
  <c r="AA285" i="42"/>
  <c r="AB285" i="42"/>
  <c r="AC285" i="42"/>
  <c r="AD285" i="42"/>
  <c r="Y286" i="42"/>
  <c r="Z286" i="42"/>
  <c r="AA286" i="42"/>
  <c r="AB286" i="42"/>
  <c r="AC286" i="42"/>
  <c r="AD286" i="42"/>
  <c r="Y287" i="42"/>
  <c r="Z287" i="42"/>
  <c r="AA287" i="42"/>
  <c r="AB287" i="42"/>
  <c r="AC287" i="42"/>
  <c r="AD287" i="42"/>
  <c r="Y288" i="42"/>
  <c r="Z288" i="42"/>
  <c r="AA288" i="42"/>
  <c r="AB288" i="42"/>
  <c r="AC288" i="42"/>
  <c r="AD288" i="42"/>
  <c r="Y289" i="42"/>
  <c r="Z289" i="42"/>
  <c r="AA289" i="42"/>
  <c r="AB289" i="42"/>
  <c r="AC289" i="42"/>
  <c r="AD289" i="42"/>
  <c r="Y290" i="42"/>
  <c r="Z290" i="42"/>
  <c r="AA290" i="42"/>
  <c r="AB290" i="42"/>
  <c r="AC290" i="42"/>
  <c r="AD290" i="42"/>
  <c r="Y291" i="42"/>
  <c r="Z291" i="42"/>
  <c r="AA291" i="42"/>
  <c r="AB291" i="42"/>
  <c r="AC291" i="42"/>
  <c r="AD291" i="42"/>
  <c r="Y292" i="42"/>
  <c r="Z292" i="42"/>
  <c r="AA292" i="42"/>
  <c r="AB292" i="42"/>
  <c r="AC292" i="42"/>
  <c r="AD292" i="42"/>
  <c r="Y293" i="42"/>
  <c r="Z293" i="42"/>
  <c r="AA293" i="42"/>
  <c r="AB293" i="42"/>
  <c r="AC293" i="42"/>
  <c r="AD293" i="42"/>
  <c r="Y294" i="42"/>
  <c r="Z294" i="42"/>
  <c r="AA294" i="42"/>
  <c r="AB294" i="42"/>
  <c r="AC294" i="42"/>
  <c r="AD294" i="42"/>
  <c r="Y295" i="42"/>
  <c r="Z295" i="42"/>
  <c r="AA295" i="42"/>
  <c r="AB295" i="42"/>
  <c r="AC295" i="42"/>
  <c r="AD295" i="42"/>
  <c r="AD76" i="42"/>
  <c r="AC76" i="42"/>
  <c r="AB76" i="42"/>
  <c r="AA76" i="42"/>
  <c r="Z76" i="42"/>
  <c r="Y76" i="42"/>
  <c r="AL515" i="37"/>
  <c r="AK515" i="37"/>
  <c r="AJ515" i="37"/>
  <c r="AI515" i="37"/>
  <c r="AH515" i="37"/>
  <c r="AG515" i="37"/>
  <c r="AL514" i="37"/>
  <c r="AK514" i="37"/>
  <c r="AJ514" i="37"/>
  <c r="AI514" i="37"/>
  <c r="AH514" i="37"/>
  <c r="AG514" i="37"/>
  <c r="AL513" i="37"/>
  <c r="AK513" i="37"/>
  <c r="AJ513" i="37"/>
  <c r="AI513" i="37"/>
  <c r="AH513" i="37"/>
  <c r="AG513" i="37"/>
  <c r="AL512" i="37"/>
  <c r="AK512" i="37"/>
  <c r="AJ512" i="37"/>
  <c r="AI512" i="37"/>
  <c r="AH512" i="37"/>
  <c r="AG512" i="37"/>
  <c r="AL511" i="37"/>
  <c r="AK511" i="37"/>
  <c r="AJ511" i="37"/>
  <c r="AI511" i="37"/>
  <c r="AH511" i="37"/>
  <c r="AG511" i="37"/>
  <c r="AL510" i="37"/>
  <c r="AK510" i="37"/>
  <c r="AJ510" i="37"/>
  <c r="AI510" i="37"/>
  <c r="AH510" i="37"/>
  <c r="AG510" i="37"/>
  <c r="AL509" i="37"/>
  <c r="AK509" i="37"/>
  <c r="AJ509" i="37"/>
  <c r="AI509" i="37"/>
  <c r="AH509" i="37"/>
  <c r="AG509" i="37"/>
  <c r="AL508" i="37"/>
  <c r="AK508" i="37"/>
  <c r="AJ508" i="37"/>
  <c r="AI508" i="37"/>
  <c r="AH508" i="37"/>
  <c r="AG508" i="37"/>
  <c r="AL507" i="37"/>
  <c r="AK507" i="37"/>
  <c r="AJ507" i="37"/>
  <c r="AI507" i="37"/>
  <c r="AH507" i="37"/>
  <c r="AG507" i="37"/>
  <c r="AL506" i="37"/>
  <c r="AK506" i="37"/>
  <c r="AJ506" i="37"/>
  <c r="AI506" i="37"/>
  <c r="AH506" i="37"/>
  <c r="AG506" i="37"/>
  <c r="AL505" i="37"/>
  <c r="AK505" i="37"/>
  <c r="AJ505" i="37"/>
  <c r="AI505" i="37"/>
  <c r="AH505" i="37"/>
  <c r="AG505" i="37"/>
  <c r="AL504" i="37"/>
  <c r="AK504" i="37"/>
  <c r="AJ504" i="37"/>
  <c r="AI504" i="37"/>
  <c r="AH504" i="37"/>
  <c r="AG504" i="37"/>
  <c r="AL503" i="37"/>
  <c r="AK503" i="37"/>
  <c r="AJ503" i="37"/>
  <c r="AI503" i="37"/>
  <c r="AH503" i="37"/>
  <c r="AG503" i="37"/>
  <c r="AL502" i="37"/>
  <c r="AK502" i="37"/>
  <c r="AJ502" i="37"/>
  <c r="AI502" i="37"/>
  <c r="AH502" i="37"/>
  <c r="AG502" i="37"/>
  <c r="AL501" i="37"/>
  <c r="AK501" i="37"/>
  <c r="AJ501" i="37"/>
  <c r="AI501" i="37"/>
  <c r="AH501" i="37"/>
  <c r="AG501" i="37"/>
  <c r="AL500" i="37"/>
  <c r="AK500" i="37"/>
  <c r="AJ500" i="37"/>
  <c r="AI500" i="37"/>
  <c r="AH500" i="37"/>
  <c r="AG500" i="37"/>
  <c r="AL499" i="37"/>
  <c r="AK499" i="37"/>
  <c r="AJ499" i="37"/>
  <c r="AI499" i="37"/>
  <c r="AH499" i="37"/>
  <c r="AG499" i="37"/>
  <c r="AL498" i="37"/>
  <c r="AK498" i="37"/>
  <c r="AJ498" i="37"/>
  <c r="AI498" i="37"/>
  <c r="AH498" i="37"/>
  <c r="AG498" i="37"/>
  <c r="AL497" i="37"/>
  <c r="AK497" i="37"/>
  <c r="AJ497" i="37"/>
  <c r="AI497" i="37"/>
  <c r="AH497" i="37"/>
  <c r="AG497" i="37"/>
  <c r="AL496" i="37"/>
  <c r="AK496" i="37"/>
  <c r="AJ496" i="37"/>
  <c r="AI496" i="37"/>
  <c r="AH496" i="37"/>
  <c r="AG496" i="37"/>
  <c r="AL495" i="37"/>
  <c r="AK495" i="37"/>
  <c r="AJ495" i="37"/>
  <c r="AI495" i="37"/>
  <c r="AH495" i="37"/>
  <c r="AG495" i="37"/>
  <c r="AL494" i="37"/>
  <c r="AK494" i="37"/>
  <c r="AJ494" i="37"/>
  <c r="AI494" i="37"/>
  <c r="AH494" i="37"/>
  <c r="AG494" i="37"/>
  <c r="AL493" i="37"/>
  <c r="AK493" i="37"/>
  <c r="AJ493" i="37"/>
  <c r="AI493" i="37"/>
  <c r="AH493" i="37"/>
  <c r="AG493" i="37"/>
  <c r="AL492" i="37"/>
  <c r="AK492" i="37"/>
  <c r="AJ492" i="37"/>
  <c r="AI492" i="37"/>
  <c r="AH492" i="37"/>
  <c r="AG492" i="37"/>
  <c r="AL491" i="37"/>
  <c r="AK491" i="37"/>
  <c r="AJ491" i="37"/>
  <c r="AI491" i="37"/>
  <c r="AH491" i="37"/>
  <c r="AG491" i="37"/>
  <c r="AL490" i="37"/>
  <c r="AK490" i="37"/>
  <c r="AJ490" i="37"/>
  <c r="AI490" i="37"/>
  <c r="AH490" i="37"/>
  <c r="AG490" i="37"/>
  <c r="AL489" i="37"/>
  <c r="AK489" i="37"/>
  <c r="AJ489" i="37"/>
  <c r="AI489" i="37"/>
  <c r="AH489" i="37"/>
  <c r="AG489" i="37"/>
  <c r="AL488" i="37"/>
  <c r="AK488" i="37"/>
  <c r="AJ488" i="37"/>
  <c r="AI488" i="37"/>
  <c r="AH488" i="37"/>
  <c r="AG488" i="37"/>
  <c r="AL487" i="37"/>
  <c r="AK487" i="37"/>
  <c r="AJ487" i="37"/>
  <c r="AI487" i="37"/>
  <c r="AH487" i="37"/>
  <c r="AG487" i="37"/>
  <c r="AL486" i="37"/>
  <c r="AK486" i="37"/>
  <c r="AJ486" i="37"/>
  <c r="AI486" i="37"/>
  <c r="AH486" i="37"/>
  <c r="AG486" i="37"/>
  <c r="AL485" i="37"/>
  <c r="AK485" i="37"/>
  <c r="AJ485" i="37"/>
  <c r="AI485" i="37"/>
  <c r="AH485" i="37"/>
  <c r="AG485" i="37"/>
  <c r="AL484" i="37"/>
  <c r="AK484" i="37"/>
  <c r="AJ484" i="37"/>
  <c r="AI484" i="37"/>
  <c r="AH484" i="37"/>
  <c r="AG484" i="37"/>
  <c r="AL483" i="37"/>
  <c r="AK483" i="37"/>
  <c r="AJ483" i="37"/>
  <c r="AI483" i="37"/>
  <c r="AH483" i="37"/>
  <c r="AG483" i="37"/>
  <c r="AL482" i="37"/>
  <c r="AK482" i="37"/>
  <c r="AJ482" i="37"/>
  <c r="AI482" i="37"/>
  <c r="AH482" i="37"/>
  <c r="AG482" i="37"/>
  <c r="AL481" i="37"/>
  <c r="AK481" i="37"/>
  <c r="AJ481" i="37"/>
  <c r="AI481" i="37"/>
  <c r="AH481" i="37"/>
  <c r="AG481" i="37"/>
  <c r="AL480" i="37"/>
  <c r="AK480" i="37"/>
  <c r="AJ480" i="37"/>
  <c r="AI480" i="37"/>
  <c r="AH480" i="37"/>
  <c r="AG480" i="37"/>
  <c r="AL479" i="37"/>
  <c r="AK479" i="37"/>
  <c r="AJ479" i="37"/>
  <c r="AI479" i="37"/>
  <c r="AH479" i="37"/>
  <c r="AG479" i="37"/>
  <c r="AL478" i="37"/>
  <c r="AK478" i="37"/>
  <c r="AJ478" i="37"/>
  <c r="AI478" i="37"/>
  <c r="AH478" i="37"/>
  <c r="AG478" i="37"/>
  <c r="AL477" i="37"/>
  <c r="AK477" i="37"/>
  <c r="AJ477" i="37"/>
  <c r="AI477" i="37"/>
  <c r="AH477" i="37"/>
  <c r="AG477" i="37"/>
  <c r="AL476" i="37"/>
  <c r="AK476" i="37"/>
  <c r="AJ476" i="37"/>
  <c r="AI476" i="37"/>
  <c r="AH476" i="37"/>
  <c r="AG476" i="37"/>
  <c r="AL475" i="37"/>
  <c r="AK475" i="37"/>
  <c r="AJ475" i="37"/>
  <c r="AI475" i="37"/>
  <c r="AH475" i="37"/>
  <c r="AG475" i="37"/>
  <c r="AL474" i="37"/>
  <c r="AK474" i="37"/>
  <c r="AJ474" i="37"/>
  <c r="AI474" i="37"/>
  <c r="AH474" i="37"/>
  <c r="AG474" i="37"/>
  <c r="AL473" i="37"/>
  <c r="AK473" i="37"/>
  <c r="AJ473" i="37"/>
  <c r="AI473" i="37"/>
  <c r="AH473" i="37"/>
  <c r="AG473" i="37"/>
  <c r="AL472" i="37"/>
  <c r="AK472" i="37"/>
  <c r="AJ472" i="37"/>
  <c r="AI472" i="37"/>
  <c r="AH472" i="37"/>
  <c r="AG472" i="37"/>
  <c r="AL471" i="37"/>
  <c r="AK471" i="37"/>
  <c r="AJ471" i="37"/>
  <c r="AI471" i="37"/>
  <c r="AH471" i="37"/>
  <c r="AG471" i="37"/>
  <c r="AL470" i="37"/>
  <c r="AK470" i="37"/>
  <c r="AJ470" i="37"/>
  <c r="AI470" i="37"/>
  <c r="AH470" i="37"/>
  <c r="AG470" i="37"/>
  <c r="AL469" i="37"/>
  <c r="AK469" i="37"/>
  <c r="AJ469" i="37"/>
  <c r="AI469" i="37"/>
  <c r="AH469" i="37"/>
  <c r="AG469" i="37"/>
  <c r="AL468" i="37"/>
  <c r="AK468" i="37"/>
  <c r="AJ468" i="37"/>
  <c r="AI468" i="37"/>
  <c r="AH468" i="37"/>
  <c r="AG468" i="37"/>
  <c r="AL467" i="37"/>
  <c r="AK467" i="37"/>
  <c r="AJ467" i="37"/>
  <c r="AI467" i="37"/>
  <c r="AH467" i="37"/>
  <c r="AG467" i="37"/>
  <c r="AL466" i="37"/>
  <c r="AK466" i="37"/>
  <c r="AJ466" i="37"/>
  <c r="AI466" i="37"/>
  <c r="AH466" i="37"/>
  <c r="AG466" i="37"/>
  <c r="AL465" i="37"/>
  <c r="AK465" i="37"/>
  <c r="AJ465" i="37"/>
  <c r="AI465" i="37"/>
  <c r="AH465" i="37"/>
  <c r="AG465" i="37"/>
  <c r="AL464" i="37"/>
  <c r="AK464" i="37"/>
  <c r="AJ464" i="37"/>
  <c r="AI464" i="37"/>
  <c r="AH464" i="37"/>
  <c r="AG464" i="37"/>
  <c r="AL463" i="37"/>
  <c r="AK463" i="37"/>
  <c r="AJ463" i="37"/>
  <c r="AI463" i="37"/>
  <c r="AH463" i="37"/>
  <c r="AG463" i="37"/>
  <c r="AL462" i="37"/>
  <c r="AK462" i="37"/>
  <c r="AJ462" i="37"/>
  <c r="AI462" i="37"/>
  <c r="AH462" i="37"/>
  <c r="AG462" i="37"/>
  <c r="AL461" i="37"/>
  <c r="AK461" i="37"/>
  <c r="AJ461" i="37"/>
  <c r="AI461" i="37"/>
  <c r="AH461" i="37"/>
  <c r="AG461" i="37"/>
  <c r="AL460" i="37"/>
  <c r="AK460" i="37"/>
  <c r="AJ460" i="37"/>
  <c r="AI460" i="37"/>
  <c r="AH460" i="37"/>
  <c r="AG460" i="37"/>
  <c r="AL459" i="37"/>
  <c r="AK459" i="37"/>
  <c r="AJ459" i="37"/>
  <c r="AI459" i="37"/>
  <c r="AH459" i="37"/>
  <c r="AG459" i="37"/>
  <c r="AL458" i="37"/>
  <c r="AK458" i="37"/>
  <c r="AJ458" i="37"/>
  <c r="AI458" i="37"/>
  <c r="AH458" i="37"/>
  <c r="AG458" i="37"/>
  <c r="AL457" i="37"/>
  <c r="AK457" i="37"/>
  <c r="AJ457" i="37"/>
  <c r="AI457" i="37"/>
  <c r="AH457" i="37"/>
  <c r="AG457" i="37"/>
  <c r="AL456" i="37"/>
  <c r="AK456" i="37"/>
  <c r="AJ456" i="37"/>
  <c r="AI456" i="37"/>
  <c r="AH456" i="37"/>
  <c r="AG456" i="37"/>
  <c r="AL455" i="37"/>
  <c r="AK455" i="37"/>
  <c r="AJ455" i="37"/>
  <c r="AI455" i="37"/>
  <c r="AH455" i="37"/>
  <c r="AG455" i="37"/>
  <c r="AL454" i="37"/>
  <c r="AK454" i="37"/>
  <c r="AJ454" i="37"/>
  <c r="AI454" i="37"/>
  <c r="AH454" i="37"/>
  <c r="AG454" i="37"/>
  <c r="AL453" i="37"/>
  <c r="AK453" i="37"/>
  <c r="AJ453" i="37"/>
  <c r="AI453" i="37"/>
  <c r="AH453" i="37"/>
  <c r="AG453" i="37"/>
  <c r="AL452" i="37"/>
  <c r="AK452" i="37"/>
  <c r="AJ452" i="37"/>
  <c r="AI452" i="37"/>
  <c r="AH452" i="37"/>
  <c r="AG452" i="37"/>
  <c r="AL451" i="37"/>
  <c r="AK451" i="37"/>
  <c r="AJ451" i="37"/>
  <c r="AI451" i="37"/>
  <c r="AH451" i="37"/>
  <c r="AG451" i="37"/>
  <c r="AL450" i="37"/>
  <c r="AK450" i="37"/>
  <c r="AJ450" i="37"/>
  <c r="AI450" i="37"/>
  <c r="AH450" i="37"/>
  <c r="AG450" i="37"/>
  <c r="AL449" i="37"/>
  <c r="AK449" i="37"/>
  <c r="AJ449" i="37"/>
  <c r="AI449" i="37"/>
  <c r="AH449" i="37"/>
  <c r="AG449" i="37"/>
  <c r="AL448" i="37"/>
  <c r="AK448" i="37"/>
  <c r="AJ448" i="37"/>
  <c r="AI448" i="37"/>
  <c r="AH448" i="37"/>
  <c r="AG448" i="37"/>
  <c r="AL447" i="37"/>
  <c r="AK447" i="37"/>
  <c r="AJ447" i="37"/>
  <c r="AI447" i="37"/>
  <c r="AH447" i="37"/>
  <c r="AG447" i="37"/>
  <c r="AL446" i="37"/>
  <c r="AK446" i="37"/>
  <c r="AJ446" i="37"/>
  <c r="AI446" i="37"/>
  <c r="AH446" i="37"/>
  <c r="AG446" i="37"/>
  <c r="AL445" i="37"/>
  <c r="AK445" i="37"/>
  <c r="AJ445" i="37"/>
  <c r="AI445" i="37"/>
  <c r="AH445" i="37"/>
  <c r="AG445" i="37"/>
  <c r="AL444" i="37"/>
  <c r="AK444" i="37"/>
  <c r="AJ444" i="37"/>
  <c r="AI444" i="37"/>
  <c r="AH444" i="37"/>
  <c r="AG444" i="37"/>
  <c r="AL443" i="37"/>
  <c r="AK443" i="37"/>
  <c r="AJ443" i="37"/>
  <c r="AI443" i="37"/>
  <c r="AH443" i="37"/>
  <c r="AG443" i="37"/>
  <c r="AL442" i="37"/>
  <c r="AK442" i="37"/>
  <c r="AJ442" i="37"/>
  <c r="AI442" i="37"/>
  <c r="AH442" i="37"/>
  <c r="AG442" i="37"/>
  <c r="AL441" i="37"/>
  <c r="AK441" i="37"/>
  <c r="AJ441" i="37"/>
  <c r="AI441" i="37"/>
  <c r="AH441" i="37"/>
  <c r="AG441" i="37"/>
  <c r="AL440" i="37"/>
  <c r="AK440" i="37"/>
  <c r="AJ440" i="37"/>
  <c r="AI440" i="37"/>
  <c r="AH440" i="37"/>
  <c r="AG440" i="37"/>
  <c r="AL439" i="37"/>
  <c r="AK439" i="37"/>
  <c r="AJ439" i="37"/>
  <c r="AI439" i="37"/>
  <c r="AH439" i="37"/>
  <c r="AG439" i="37"/>
  <c r="AL438" i="37"/>
  <c r="AK438" i="37"/>
  <c r="AJ438" i="37"/>
  <c r="AI438" i="37"/>
  <c r="AH438" i="37"/>
  <c r="AG438" i="37"/>
  <c r="AL437" i="37"/>
  <c r="AK437" i="37"/>
  <c r="AJ437" i="37"/>
  <c r="AI437" i="37"/>
  <c r="AH437" i="37"/>
  <c r="AG437" i="37"/>
  <c r="AL436" i="37"/>
  <c r="AK436" i="37"/>
  <c r="AJ436" i="37"/>
  <c r="AI436" i="37"/>
  <c r="AH436" i="37"/>
  <c r="AG436" i="37"/>
  <c r="AL435" i="37"/>
  <c r="AK435" i="37"/>
  <c r="AJ435" i="37"/>
  <c r="AI435" i="37"/>
  <c r="AH435" i="37"/>
  <c r="AG435" i="37"/>
  <c r="AL434" i="37"/>
  <c r="AK434" i="37"/>
  <c r="AJ434" i="37"/>
  <c r="AI434" i="37"/>
  <c r="AH434" i="37"/>
  <c r="AG434" i="37"/>
  <c r="AL433" i="37"/>
  <c r="AK433" i="37"/>
  <c r="AJ433" i="37"/>
  <c r="AI433" i="37"/>
  <c r="AH433" i="37"/>
  <c r="AG433" i="37"/>
  <c r="AL432" i="37"/>
  <c r="AK432" i="37"/>
  <c r="AJ432" i="37"/>
  <c r="AI432" i="37"/>
  <c r="AH432" i="37"/>
  <c r="AG432" i="37"/>
  <c r="AL431" i="37"/>
  <c r="AK431" i="37"/>
  <c r="AJ431" i="37"/>
  <c r="AI431" i="37"/>
  <c r="AH431" i="37"/>
  <c r="AG431" i="37"/>
  <c r="AL430" i="37"/>
  <c r="AK430" i="37"/>
  <c r="AJ430" i="37"/>
  <c r="AI430" i="37"/>
  <c r="AH430" i="37"/>
  <c r="AG430" i="37"/>
  <c r="AL429" i="37"/>
  <c r="AK429" i="37"/>
  <c r="AJ429" i="37"/>
  <c r="AI429" i="37"/>
  <c r="AH429" i="37"/>
  <c r="AG429" i="37"/>
  <c r="AL428" i="37"/>
  <c r="AK428" i="37"/>
  <c r="AJ428" i="37"/>
  <c r="AI428" i="37"/>
  <c r="AH428" i="37"/>
  <c r="AG428" i="37"/>
  <c r="AL427" i="37"/>
  <c r="AK427" i="37"/>
  <c r="AJ427" i="37"/>
  <c r="AI427" i="37"/>
  <c r="AH427" i="37"/>
  <c r="AG427" i="37"/>
  <c r="AL426" i="37"/>
  <c r="AK426" i="37"/>
  <c r="AJ426" i="37"/>
  <c r="AI426" i="37"/>
  <c r="AH426" i="37"/>
  <c r="AG426" i="37"/>
  <c r="AL425" i="37"/>
  <c r="AK425" i="37"/>
  <c r="AJ425" i="37"/>
  <c r="AI425" i="37"/>
  <c r="AH425" i="37"/>
  <c r="AG425" i="37"/>
  <c r="AL424" i="37"/>
  <c r="AK424" i="37"/>
  <c r="AJ424" i="37"/>
  <c r="AI424" i="37"/>
  <c r="AH424" i="37"/>
  <c r="AG424" i="37"/>
  <c r="AL423" i="37"/>
  <c r="AK423" i="37"/>
  <c r="AJ423" i="37"/>
  <c r="AI423" i="37"/>
  <c r="AH423" i="37"/>
  <c r="AG423" i="37"/>
  <c r="AL422" i="37"/>
  <c r="AK422" i="37"/>
  <c r="AJ422" i="37"/>
  <c r="AI422" i="37"/>
  <c r="AH422" i="37"/>
  <c r="AG422" i="37"/>
  <c r="AL421" i="37"/>
  <c r="AK421" i="37"/>
  <c r="AJ421" i="37"/>
  <c r="AI421" i="37"/>
  <c r="AH421" i="37"/>
  <c r="AG421" i="37"/>
  <c r="AL420" i="37"/>
  <c r="AK420" i="37"/>
  <c r="AJ420" i="37"/>
  <c r="AI420" i="37"/>
  <c r="AH420" i="37"/>
  <c r="AG420" i="37"/>
  <c r="AL419" i="37"/>
  <c r="AK419" i="37"/>
  <c r="AJ419" i="37"/>
  <c r="AI419" i="37"/>
  <c r="AH419" i="37"/>
  <c r="AG419" i="37"/>
  <c r="AL418" i="37"/>
  <c r="AK418" i="37"/>
  <c r="AJ418" i="37"/>
  <c r="AI418" i="37"/>
  <c r="AH418" i="37"/>
  <c r="AG418" i="37"/>
  <c r="AL417" i="37"/>
  <c r="AK417" i="37"/>
  <c r="AJ417" i="37"/>
  <c r="AI417" i="37"/>
  <c r="AH417" i="37"/>
  <c r="AG417" i="37"/>
  <c r="AL416" i="37"/>
  <c r="AK416" i="37"/>
  <c r="AJ416" i="37"/>
  <c r="AI416" i="37"/>
  <c r="AH416" i="37"/>
  <c r="AG416" i="37"/>
  <c r="AL415" i="37"/>
  <c r="AK415" i="37"/>
  <c r="AJ415" i="37"/>
  <c r="AI415" i="37"/>
  <c r="AH415" i="37"/>
  <c r="AG415" i="37"/>
  <c r="AL414" i="37"/>
  <c r="AK414" i="37"/>
  <c r="AJ414" i="37"/>
  <c r="AI414" i="37"/>
  <c r="AH414" i="37"/>
  <c r="AG414" i="37"/>
  <c r="AL413" i="37"/>
  <c r="AK413" i="37"/>
  <c r="AJ413" i="37"/>
  <c r="AI413" i="37"/>
  <c r="AH413" i="37"/>
  <c r="AG413" i="37"/>
  <c r="AL412" i="37"/>
  <c r="AK412" i="37"/>
  <c r="AJ412" i="37"/>
  <c r="AI412" i="37"/>
  <c r="AH412" i="37"/>
  <c r="AG412" i="37"/>
  <c r="AL411" i="37"/>
  <c r="AK411" i="37"/>
  <c r="AJ411" i="37"/>
  <c r="AI411" i="37"/>
  <c r="AH411" i="37"/>
  <c r="AG411" i="37"/>
  <c r="AL410" i="37"/>
  <c r="AK410" i="37"/>
  <c r="AJ410" i="37"/>
  <c r="AI410" i="37"/>
  <c r="AH410" i="37"/>
  <c r="AG410" i="37"/>
  <c r="AL409" i="37"/>
  <c r="AK409" i="37"/>
  <c r="AJ409" i="37"/>
  <c r="AI409" i="37"/>
  <c r="AH409" i="37"/>
  <c r="AG409" i="37"/>
  <c r="AL408" i="37"/>
  <c r="AK408" i="37"/>
  <c r="AJ408" i="37"/>
  <c r="AI408" i="37"/>
  <c r="AH408" i="37"/>
  <c r="AG408" i="37"/>
  <c r="AL407" i="37"/>
  <c r="AK407" i="37"/>
  <c r="AJ407" i="37"/>
  <c r="AI407" i="37"/>
  <c r="AH407" i="37"/>
  <c r="AG407" i="37"/>
  <c r="AL406" i="37"/>
  <c r="AK406" i="37"/>
  <c r="AJ406" i="37"/>
  <c r="AI406" i="37"/>
  <c r="AH406" i="37"/>
  <c r="AG406" i="37"/>
  <c r="AL405" i="37"/>
  <c r="AK405" i="37"/>
  <c r="AJ405" i="37"/>
  <c r="AI405" i="37"/>
  <c r="AH405" i="37"/>
  <c r="AG405" i="37"/>
  <c r="AL404" i="37"/>
  <c r="AK404" i="37"/>
  <c r="AJ404" i="37"/>
  <c r="AI404" i="37"/>
  <c r="AH404" i="37"/>
  <c r="AG404" i="37"/>
  <c r="AL403" i="37"/>
  <c r="AK403" i="37"/>
  <c r="AJ403" i="37"/>
  <c r="AI403" i="37"/>
  <c r="AH403" i="37"/>
  <c r="AG403" i="37"/>
  <c r="AL402" i="37"/>
  <c r="AK402" i="37"/>
  <c r="AJ402" i="37"/>
  <c r="AI402" i="37"/>
  <c r="AH402" i="37"/>
  <c r="AG402" i="37"/>
  <c r="AL401" i="37"/>
  <c r="AK401" i="37"/>
  <c r="AJ401" i="37"/>
  <c r="AI401" i="37"/>
  <c r="AH401" i="37"/>
  <c r="AG401" i="37"/>
  <c r="AL400" i="37"/>
  <c r="AK400" i="37"/>
  <c r="AJ400" i="37"/>
  <c r="AI400" i="37"/>
  <c r="AH400" i="37"/>
  <c r="AG400" i="37"/>
  <c r="AL399" i="37"/>
  <c r="AK399" i="37"/>
  <c r="AJ399" i="37"/>
  <c r="AI399" i="37"/>
  <c r="AH399" i="37"/>
  <c r="AG399" i="37"/>
  <c r="AL398" i="37"/>
  <c r="AK398" i="37"/>
  <c r="AJ398" i="37"/>
  <c r="AI398" i="37"/>
  <c r="AH398" i="37"/>
  <c r="AG398" i="37"/>
  <c r="AL397" i="37"/>
  <c r="AK397" i="37"/>
  <c r="AJ397" i="37"/>
  <c r="AI397" i="37"/>
  <c r="AH397" i="37"/>
  <c r="AG397" i="37"/>
  <c r="AL396" i="37"/>
  <c r="AK396" i="37"/>
  <c r="AJ396" i="37"/>
  <c r="AI396" i="37"/>
  <c r="AH396" i="37"/>
  <c r="AG396" i="37"/>
  <c r="AL395" i="37"/>
  <c r="AK395" i="37"/>
  <c r="AJ395" i="37"/>
  <c r="AI395" i="37"/>
  <c r="AH395" i="37"/>
  <c r="AG395" i="37"/>
  <c r="AL394" i="37"/>
  <c r="AK394" i="37"/>
  <c r="AJ394" i="37"/>
  <c r="AI394" i="37"/>
  <c r="AH394" i="37"/>
  <c r="AG394" i="37"/>
  <c r="AL393" i="37"/>
  <c r="AK393" i="37"/>
  <c r="AJ393" i="37"/>
  <c r="AI393" i="37"/>
  <c r="AH393" i="37"/>
  <c r="AG393" i="37"/>
  <c r="AL392" i="37"/>
  <c r="AK392" i="37"/>
  <c r="AJ392" i="37"/>
  <c r="AI392" i="37"/>
  <c r="AH392" i="37"/>
  <c r="AG392" i="37"/>
  <c r="AL391" i="37"/>
  <c r="AK391" i="37"/>
  <c r="AJ391" i="37"/>
  <c r="AI391" i="37"/>
  <c r="AH391" i="37"/>
  <c r="AG391" i="37"/>
  <c r="AL390" i="37"/>
  <c r="AK390" i="37"/>
  <c r="AJ390" i="37"/>
  <c r="AI390" i="37"/>
  <c r="AH390" i="37"/>
  <c r="AG390" i="37"/>
  <c r="AL389" i="37"/>
  <c r="AK389" i="37"/>
  <c r="AJ389" i="37"/>
  <c r="AI389" i="37"/>
  <c r="AH389" i="37"/>
  <c r="AG389" i="37"/>
  <c r="AL388" i="37"/>
  <c r="AK388" i="37"/>
  <c r="AJ388" i="37"/>
  <c r="AI388" i="37"/>
  <c r="AH388" i="37"/>
  <c r="AG388" i="37"/>
  <c r="AL387" i="37"/>
  <c r="AK387" i="37"/>
  <c r="AJ387" i="37"/>
  <c r="AI387" i="37"/>
  <c r="AH387" i="37"/>
  <c r="AG387" i="37"/>
  <c r="AL386" i="37"/>
  <c r="AK386" i="37"/>
  <c r="AJ386" i="37"/>
  <c r="AI386" i="37"/>
  <c r="AH386" i="37"/>
  <c r="AG386" i="37"/>
  <c r="AL385" i="37"/>
  <c r="AK385" i="37"/>
  <c r="AJ385" i="37"/>
  <c r="AI385" i="37"/>
  <c r="AH385" i="37"/>
  <c r="AG385" i="37"/>
  <c r="AL384" i="37"/>
  <c r="AK384" i="37"/>
  <c r="AJ384" i="37"/>
  <c r="AI384" i="37"/>
  <c r="AH384" i="37"/>
  <c r="AG384" i="37"/>
  <c r="AL383" i="37"/>
  <c r="AK383" i="37"/>
  <c r="AJ383" i="37"/>
  <c r="AI383" i="37"/>
  <c r="AH383" i="37"/>
  <c r="AG383" i="37"/>
  <c r="AL382" i="37"/>
  <c r="AK382" i="37"/>
  <c r="AJ382" i="37"/>
  <c r="AI382" i="37"/>
  <c r="AH382" i="37"/>
  <c r="AG382" i="37"/>
  <c r="AL381" i="37"/>
  <c r="AK381" i="37"/>
  <c r="AJ381" i="37"/>
  <c r="AI381" i="37"/>
  <c r="AH381" i="37"/>
  <c r="AG381" i="37"/>
  <c r="AL380" i="37"/>
  <c r="AK380" i="37"/>
  <c r="AJ380" i="37"/>
  <c r="AI380" i="37"/>
  <c r="AH380" i="37"/>
  <c r="AG380" i="37"/>
  <c r="AL379" i="37"/>
  <c r="AK379" i="37"/>
  <c r="AJ379" i="37"/>
  <c r="AI379" i="37"/>
  <c r="AH379" i="37"/>
  <c r="AG379" i="37"/>
  <c r="AL378" i="37"/>
  <c r="AK378" i="37"/>
  <c r="AJ378" i="37"/>
  <c r="AI378" i="37"/>
  <c r="AH378" i="37"/>
  <c r="AG378" i="37"/>
  <c r="AL377" i="37"/>
  <c r="AK377" i="37"/>
  <c r="AJ377" i="37"/>
  <c r="AI377" i="37"/>
  <c r="AH377" i="37"/>
  <c r="AG377" i="37"/>
  <c r="AL376" i="37"/>
  <c r="AK376" i="37"/>
  <c r="AJ376" i="37"/>
  <c r="AI376" i="37"/>
  <c r="AH376" i="37"/>
  <c r="AG376" i="37"/>
  <c r="AL375" i="37"/>
  <c r="AK375" i="37"/>
  <c r="AJ375" i="37"/>
  <c r="AI375" i="37"/>
  <c r="AH375" i="37"/>
  <c r="AG375" i="37"/>
  <c r="AL374" i="37"/>
  <c r="AK374" i="37"/>
  <c r="AJ374" i="37"/>
  <c r="AI374" i="37"/>
  <c r="AH374" i="37"/>
  <c r="AG374" i="37"/>
  <c r="AL373" i="37"/>
  <c r="AK373" i="37"/>
  <c r="AJ373" i="37"/>
  <c r="AI373" i="37"/>
  <c r="AH373" i="37"/>
  <c r="AG373" i="37"/>
  <c r="AL372" i="37"/>
  <c r="AK372" i="37"/>
  <c r="AJ372" i="37"/>
  <c r="AI372" i="37"/>
  <c r="AH372" i="37"/>
  <c r="AG372" i="37"/>
  <c r="AL371" i="37"/>
  <c r="AK371" i="37"/>
  <c r="AJ371" i="37"/>
  <c r="AI371" i="37"/>
  <c r="AH371" i="37"/>
  <c r="AG371" i="37"/>
  <c r="AL370" i="37"/>
  <c r="AK370" i="37"/>
  <c r="AJ370" i="37"/>
  <c r="AI370" i="37"/>
  <c r="AH370" i="37"/>
  <c r="AG370" i="37"/>
  <c r="AL369" i="37"/>
  <c r="AK369" i="37"/>
  <c r="AJ369" i="37"/>
  <c r="AI369" i="37"/>
  <c r="AH369" i="37"/>
  <c r="AG369" i="37"/>
  <c r="AL368" i="37"/>
  <c r="AK368" i="37"/>
  <c r="AJ368" i="37"/>
  <c r="AI368" i="37"/>
  <c r="AH368" i="37"/>
  <c r="AG368" i="37"/>
  <c r="AL367" i="37"/>
  <c r="AK367" i="37"/>
  <c r="AJ367" i="37"/>
  <c r="AI367" i="37"/>
  <c r="AH367" i="37"/>
  <c r="AG367" i="37"/>
  <c r="AL366" i="37"/>
  <c r="AK366" i="37"/>
  <c r="AJ366" i="37"/>
  <c r="AI366" i="37"/>
  <c r="AH366" i="37"/>
  <c r="AG366" i="37"/>
  <c r="AL365" i="37"/>
  <c r="AK365" i="37"/>
  <c r="AJ365" i="37"/>
  <c r="AI365" i="37"/>
  <c r="AH365" i="37"/>
  <c r="AG365" i="37"/>
  <c r="AL364" i="37"/>
  <c r="AK364" i="37"/>
  <c r="AJ364" i="37"/>
  <c r="AI364" i="37"/>
  <c r="AH364" i="37"/>
  <c r="AG364" i="37"/>
  <c r="AL363" i="37"/>
  <c r="AK363" i="37"/>
  <c r="AJ363" i="37"/>
  <c r="AI363" i="37"/>
  <c r="AH363" i="37"/>
  <c r="AG363" i="37"/>
  <c r="AL362" i="37"/>
  <c r="AK362" i="37"/>
  <c r="AJ362" i="37"/>
  <c r="AI362" i="37"/>
  <c r="AH362" i="37"/>
  <c r="AG362" i="37"/>
  <c r="AL361" i="37"/>
  <c r="AK361" i="37"/>
  <c r="AJ361" i="37"/>
  <c r="AI361" i="37"/>
  <c r="AH361" i="37"/>
  <c r="AG361" i="37"/>
  <c r="AL360" i="37"/>
  <c r="AK360" i="37"/>
  <c r="AJ360" i="37"/>
  <c r="AI360" i="37"/>
  <c r="AH360" i="37"/>
  <c r="AG360" i="37"/>
  <c r="AL359" i="37"/>
  <c r="AK359" i="37"/>
  <c r="AJ359" i="37"/>
  <c r="AI359" i="37"/>
  <c r="AH359" i="37"/>
  <c r="AG359" i="37"/>
  <c r="AL358" i="37"/>
  <c r="AK358" i="37"/>
  <c r="AJ358" i="37"/>
  <c r="AI358" i="37"/>
  <c r="AH358" i="37"/>
  <c r="AG358" i="37"/>
  <c r="AL357" i="37"/>
  <c r="AK357" i="37"/>
  <c r="AJ357" i="37"/>
  <c r="AI357" i="37"/>
  <c r="AH357" i="37"/>
  <c r="AG357" i="37"/>
  <c r="AL356" i="37"/>
  <c r="AK356" i="37"/>
  <c r="AJ356" i="37"/>
  <c r="AI356" i="37"/>
  <c r="AH356" i="37"/>
  <c r="AG356" i="37"/>
  <c r="AL355" i="37"/>
  <c r="AK355" i="37"/>
  <c r="AJ355" i="37"/>
  <c r="AI355" i="37"/>
  <c r="AH355" i="37"/>
  <c r="AG355" i="37"/>
  <c r="AL354" i="37"/>
  <c r="AK354" i="37"/>
  <c r="AJ354" i="37"/>
  <c r="AI354" i="37"/>
  <c r="AH354" i="37"/>
  <c r="AG354" i="37"/>
  <c r="AL353" i="37"/>
  <c r="AK353" i="37"/>
  <c r="AJ353" i="37"/>
  <c r="AI353" i="37"/>
  <c r="AH353" i="37"/>
  <c r="AG353" i="37"/>
  <c r="AL352" i="37"/>
  <c r="AK352" i="37"/>
  <c r="AJ352" i="37"/>
  <c r="AI352" i="37"/>
  <c r="AH352" i="37"/>
  <c r="AG352" i="37"/>
  <c r="AL351" i="37"/>
  <c r="AK351" i="37"/>
  <c r="AJ351" i="37"/>
  <c r="AI351" i="37"/>
  <c r="AH351" i="37"/>
  <c r="AG351" i="37"/>
  <c r="AL350" i="37"/>
  <c r="AK350" i="37"/>
  <c r="AJ350" i="37"/>
  <c r="AI350" i="37"/>
  <c r="AH350" i="37"/>
  <c r="AG350" i="37"/>
  <c r="AL349" i="37"/>
  <c r="AK349" i="37"/>
  <c r="AJ349" i="37"/>
  <c r="AI349" i="37"/>
  <c r="AH349" i="37"/>
  <c r="AG349" i="37"/>
  <c r="AL348" i="37"/>
  <c r="AK348" i="37"/>
  <c r="AJ348" i="37"/>
  <c r="AI348" i="37"/>
  <c r="AH348" i="37"/>
  <c r="AG348" i="37"/>
  <c r="AL347" i="37"/>
  <c r="AK347" i="37"/>
  <c r="AJ347" i="37"/>
  <c r="AI347" i="37"/>
  <c r="AH347" i="37"/>
  <c r="AG347" i="37"/>
  <c r="AL346" i="37"/>
  <c r="AK346" i="37"/>
  <c r="AJ346" i="37"/>
  <c r="AI346" i="37"/>
  <c r="AH346" i="37"/>
  <c r="AG346" i="37"/>
  <c r="AL345" i="37"/>
  <c r="AK345" i="37"/>
  <c r="AJ345" i="37"/>
  <c r="AI345" i="37"/>
  <c r="AH345" i="37"/>
  <c r="AG345" i="37"/>
  <c r="AL344" i="37"/>
  <c r="AK344" i="37"/>
  <c r="AJ344" i="37"/>
  <c r="AI344" i="37"/>
  <c r="AH344" i="37"/>
  <c r="AG344" i="37"/>
  <c r="AL343" i="37"/>
  <c r="AK343" i="37"/>
  <c r="AJ343" i="37"/>
  <c r="AI343" i="37"/>
  <c r="AH343" i="37"/>
  <c r="AG343" i="37"/>
  <c r="AL342" i="37"/>
  <c r="AK342" i="37"/>
  <c r="AJ342" i="37"/>
  <c r="AI342" i="37"/>
  <c r="AH342" i="37"/>
  <c r="AG342" i="37"/>
  <c r="AL341" i="37"/>
  <c r="AK341" i="37"/>
  <c r="AJ341" i="37"/>
  <c r="AI341" i="37"/>
  <c r="AH341" i="37"/>
  <c r="AG341" i="37"/>
  <c r="AL340" i="37"/>
  <c r="AK340" i="37"/>
  <c r="AJ340" i="37"/>
  <c r="AI340" i="37"/>
  <c r="AH340" i="37"/>
  <c r="AG340" i="37"/>
  <c r="AL339" i="37"/>
  <c r="AK339" i="37"/>
  <c r="AJ339" i="37"/>
  <c r="AI339" i="37"/>
  <c r="AH339" i="37"/>
  <c r="AG339" i="37"/>
  <c r="AL338" i="37"/>
  <c r="AK338" i="37"/>
  <c r="AJ338" i="37"/>
  <c r="AI338" i="37"/>
  <c r="AH338" i="37"/>
  <c r="AG338" i="37"/>
  <c r="AL337" i="37"/>
  <c r="AK337" i="37"/>
  <c r="AJ337" i="37"/>
  <c r="AI337" i="37"/>
  <c r="AH337" i="37"/>
  <c r="AG337" i="37"/>
  <c r="AL336" i="37"/>
  <c r="AK336" i="37"/>
  <c r="AJ336" i="37"/>
  <c r="AI336" i="37"/>
  <c r="AH336" i="37"/>
  <c r="AG336" i="37"/>
  <c r="AL335" i="37"/>
  <c r="AK335" i="37"/>
  <c r="AJ335" i="37"/>
  <c r="AI335" i="37"/>
  <c r="AH335" i="37"/>
  <c r="AG335" i="37"/>
  <c r="AL334" i="37"/>
  <c r="AK334" i="37"/>
  <c r="AJ334" i="37"/>
  <c r="AI334" i="37"/>
  <c r="AH334" i="37"/>
  <c r="AG334" i="37"/>
  <c r="AL333" i="37"/>
  <c r="AK333" i="37"/>
  <c r="AJ333" i="37"/>
  <c r="AI333" i="37"/>
  <c r="AH333" i="37"/>
  <c r="AG333" i="37"/>
  <c r="AL332" i="37"/>
  <c r="AK332" i="37"/>
  <c r="AJ332" i="37"/>
  <c r="AI332" i="37"/>
  <c r="AH332" i="37"/>
  <c r="AG332" i="37"/>
  <c r="AL331" i="37"/>
  <c r="AK331" i="37"/>
  <c r="AJ331" i="37"/>
  <c r="AI331" i="37"/>
  <c r="AH331" i="37"/>
  <c r="AG331" i="37"/>
  <c r="AL330" i="37"/>
  <c r="AK330" i="37"/>
  <c r="AJ330" i="37"/>
  <c r="AI330" i="37"/>
  <c r="AH330" i="37"/>
  <c r="AG330" i="37"/>
  <c r="AL329" i="37"/>
  <c r="AK329" i="37"/>
  <c r="AJ329" i="37"/>
  <c r="AI329" i="37"/>
  <c r="AH329" i="37"/>
  <c r="AG329" i="37"/>
  <c r="AL328" i="37"/>
  <c r="AK328" i="37"/>
  <c r="AJ328" i="37"/>
  <c r="AI328" i="37"/>
  <c r="AH328" i="37"/>
  <c r="AG328" i="37"/>
  <c r="AL327" i="37"/>
  <c r="AK327" i="37"/>
  <c r="AJ327" i="37"/>
  <c r="AI327" i="37"/>
  <c r="AH327" i="37"/>
  <c r="AG327" i="37"/>
  <c r="AL326" i="37"/>
  <c r="AK326" i="37"/>
  <c r="AJ326" i="37"/>
  <c r="AI326" i="37"/>
  <c r="AH326" i="37"/>
  <c r="AG326" i="37"/>
  <c r="AL325" i="37"/>
  <c r="AK325" i="37"/>
  <c r="AJ325" i="37"/>
  <c r="AI325" i="37"/>
  <c r="AH325" i="37"/>
  <c r="AG325" i="37"/>
  <c r="AL324" i="37"/>
  <c r="AK324" i="37"/>
  <c r="AJ324" i="37"/>
  <c r="AI324" i="37"/>
  <c r="AH324" i="37"/>
  <c r="AG324" i="37"/>
  <c r="AL323" i="37"/>
  <c r="AK323" i="37"/>
  <c r="AJ323" i="37"/>
  <c r="AI323" i="37"/>
  <c r="AH323" i="37"/>
  <c r="AG323" i="37"/>
  <c r="AL322" i="37"/>
  <c r="AK322" i="37"/>
  <c r="AJ322" i="37"/>
  <c r="AI322" i="37"/>
  <c r="AH322" i="37"/>
  <c r="AG322" i="37"/>
  <c r="AL321" i="37"/>
  <c r="AK321" i="37"/>
  <c r="AJ321" i="37"/>
  <c r="AI321" i="37"/>
  <c r="AH321" i="37"/>
  <c r="AG321" i="37"/>
  <c r="AL320" i="37"/>
  <c r="AK320" i="37"/>
  <c r="AJ320" i="37"/>
  <c r="AI320" i="37"/>
  <c r="AH320" i="37"/>
  <c r="AG320" i="37"/>
  <c r="AL319" i="37"/>
  <c r="AK319" i="37"/>
  <c r="AJ319" i="37"/>
  <c r="AI319" i="37"/>
  <c r="AH319" i="37"/>
  <c r="AG319" i="37"/>
  <c r="AL318" i="37"/>
  <c r="AK318" i="37"/>
  <c r="AJ318" i="37"/>
  <c r="AI318" i="37"/>
  <c r="AH318" i="37"/>
  <c r="AG318" i="37"/>
  <c r="AL317" i="37"/>
  <c r="AK317" i="37"/>
  <c r="AJ317" i="37"/>
  <c r="AI317" i="37"/>
  <c r="AH317" i="37"/>
  <c r="AG317" i="37"/>
  <c r="AL316" i="37"/>
  <c r="AK316" i="37"/>
  <c r="AJ316" i="37"/>
  <c r="AI316" i="37"/>
  <c r="AH316" i="37"/>
  <c r="AG316" i="37"/>
  <c r="AL315" i="37"/>
  <c r="AK315" i="37"/>
  <c r="AJ315" i="37"/>
  <c r="AI315" i="37"/>
  <c r="AH315" i="37"/>
  <c r="AG315" i="37"/>
  <c r="AL314" i="37"/>
  <c r="AK314" i="37"/>
  <c r="AJ314" i="37"/>
  <c r="AI314" i="37"/>
  <c r="AH314" i="37"/>
  <c r="AG314" i="37"/>
  <c r="AL313" i="37"/>
  <c r="AK313" i="37"/>
  <c r="AJ313" i="37"/>
  <c r="AI313" i="37"/>
  <c r="AH313" i="37"/>
  <c r="AG313" i="37"/>
  <c r="AL312" i="37"/>
  <c r="AK312" i="37"/>
  <c r="AJ312" i="37"/>
  <c r="AI312" i="37"/>
  <c r="AH312" i="37"/>
  <c r="AG312" i="37"/>
  <c r="AL311" i="37"/>
  <c r="AK311" i="37"/>
  <c r="AJ311" i="37"/>
  <c r="AI311" i="37"/>
  <c r="AH311" i="37"/>
  <c r="AG311" i="37"/>
  <c r="AL310" i="37"/>
  <c r="AK310" i="37"/>
  <c r="AJ310" i="37"/>
  <c r="AI310" i="37"/>
  <c r="AH310" i="37"/>
  <c r="AG310" i="37"/>
  <c r="AL309" i="37"/>
  <c r="AK309" i="37"/>
  <c r="AJ309" i="37"/>
  <c r="AI309" i="37"/>
  <c r="AH309" i="37"/>
  <c r="AG309" i="37"/>
  <c r="AL308" i="37"/>
  <c r="AK308" i="37"/>
  <c r="AJ308" i="37"/>
  <c r="AI308" i="37"/>
  <c r="AH308" i="37"/>
  <c r="AG308" i="37"/>
  <c r="AL307" i="37"/>
  <c r="AK307" i="37"/>
  <c r="AJ307" i="37"/>
  <c r="AI307" i="37"/>
  <c r="AH307" i="37"/>
  <c r="AG307" i="37"/>
  <c r="AL306" i="37"/>
  <c r="AK306" i="37"/>
  <c r="AJ306" i="37"/>
  <c r="AI306" i="37"/>
  <c r="AH306" i="37"/>
  <c r="AG306" i="37"/>
  <c r="AL305" i="37"/>
  <c r="AK305" i="37"/>
  <c r="AJ305" i="37"/>
  <c r="AI305" i="37"/>
  <c r="AH305" i="37"/>
  <c r="AG305" i="37"/>
  <c r="AL304" i="37"/>
  <c r="AK304" i="37"/>
  <c r="AJ304" i="37"/>
  <c r="AI304" i="37"/>
  <c r="AH304" i="37"/>
  <c r="AG304" i="37"/>
  <c r="AL303" i="37"/>
  <c r="AK303" i="37"/>
  <c r="AJ303" i="37"/>
  <c r="AI303" i="37"/>
  <c r="AH303" i="37"/>
  <c r="AG303" i="37"/>
  <c r="AL302" i="37"/>
  <c r="AK302" i="37"/>
  <c r="AJ302" i="37"/>
  <c r="AI302" i="37"/>
  <c r="AH302" i="37"/>
  <c r="AG302" i="37"/>
  <c r="AL301" i="37"/>
  <c r="AK301" i="37"/>
  <c r="AJ301" i="37"/>
  <c r="AI301" i="37"/>
  <c r="AH301" i="37"/>
  <c r="AG301" i="37"/>
  <c r="AL300" i="37"/>
  <c r="AK300" i="37"/>
  <c r="AJ300" i="37"/>
  <c r="AI300" i="37"/>
  <c r="AH300" i="37"/>
  <c r="AG300" i="37"/>
  <c r="AL299" i="37"/>
  <c r="AK299" i="37"/>
  <c r="AJ299" i="37"/>
  <c r="AI299" i="37"/>
  <c r="AH299" i="37"/>
  <c r="AG299" i="37"/>
  <c r="AL298" i="37"/>
  <c r="AK298" i="37"/>
  <c r="AJ298" i="37"/>
  <c r="AI298" i="37"/>
  <c r="AH298" i="37"/>
  <c r="AG298" i="37"/>
  <c r="AL297" i="37"/>
  <c r="AK297" i="37"/>
  <c r="AJ297" i="37"/>
  <c r="AI297" i="37"/>
  <c r="AH297" i="37"/>
  <c r="AG297" i="37"/>
  <c r="AL296" i="37"/>
  <c r="AK296" i="37"/>
  <c r="AJ296" i="37"/>
  <c r="AI296" i="37"/>
  <c r="AH296" i="37"/>
  <c r="AG296" i="37"/>
  <c r="AL295" i="37"/>
  <c r="AK295" i="37"/>
  <c r="AJ295" i="37"/>
  <c r="AI295" i="37"/>
  <c r="AH295" i="37"/>
  <c r="AG295" i="37"/>
  <c r="AL294" i="37"/>
  <c r="AK294" i="37"/>
  <c r="AJ294" i="37"/>
  <c r="AI294" i="37"/>
  <c r="AH294" i="37"/>
  <c r="AG294" i="37"/>
  <c r="AL293" i="37"/>
  <c r="AK293" i="37"/>
  <c r="AJ293" i="37"/>
  <c r="AI293" i="37"/>
  <c r="AH293" i="37"/>
  <c r="AG293" i="37"/>
  <c r="AL292" i="37"/>
  <c r="AK292" i="37"/>
  <c r="AJ292" i="37"/>
  <c r="AI292" i="37"/>
  <c r="AH292" i="37"/>
  <c r="AG292" i="37"/>
  <c r="AL291" i="37"/>
  <c r="AK291" i="37"/>
  <c r="AJ291" i="37"/>
  <c r="AI291" i="37"/>
  <c r="AH291" i="37"/>
  <c r="AG291" i="37"/>
  <c r="AL290" i="37"/>
  <c r="AK290" i="37"/>
  <c r="AJ290" i="37"/>
  <c r="AI290" i="37"/>
  <c r="AH290" i="37"/>
  <c r="AG290" i="37"/>
  <c r="AL289" i="37"/>
  <c r="AK289" i="37"/>
  <c r="AJ289" i="37"/>
  <c r="AI289" i="37"/>
  <c r="AH289" i="37"/>
  <c r="AG289" i="37"/>
  <c r="AL288" i="37"/>
  <c r="AK288" i="37"/>
  <c r="AJ288" i="37"/>
  <c r="AI288" i="37"/>
  <c r="AH288" i="37"/>
  <c r="AG288" i="37"/>
  <c r="AL287" i="37"/>
  <c r="AK287" i="37"/>
  <c r="AJ287" i="37"/>
  <c r="AI287" i="37"/>
  <c r="AH287" i="37"/>
  <c r="AG287" i="37"/>
  <c r="AL286" i="37"/>
  <c r="AK286" i="37"/>
  <c r="AJ286" i="37"/>
  <c r="AI286" i="37"/>
  <c r="AH286" i="37"/>
  <c r="AG286" i="37"/>
  <c r="AL285" i="37"/>
  <c r="AK285" i="37"/>
  <c r="AJ285" i="37"/>
  <c r="AI285" i="37"/>
  <c r="AH285" i="37"/>
  <c r="AG285" i="37"/>
  <c r="AL284" i="37"/>
  <c r="AK284" i="37"/>
  <c r="AJ284" i="37"/>
  <c r="AI284" i="37"/>
  <c r="AH284" i="37"/>
  <c r="AG284" i="37"/>
  <c r="AL283" i="37"/>
  <c r="AK283" i="37"/>
  <c r="AJ283" i="37"/>
  <c r="AI283" i="37"/>
  <c r="AH283" i="37"/>
  <c r="AG283" i="37"/>
  <c r="AL282" i="37"/>
  <c r="AK282" i="37"/>
  <c r="AJ282" i="37"/>
  <c r="AI282" i="37"/>
  <c r="AH282" i="37"/>
  <c r="AG282" i="37"/>
  <c r="AL281" i="37"/>
  <c r="AK281" i="37"/>
  <c r="AJ281" i="37"/>
  <c r="AI281" i="37"/>
  <c r="AH281" i="37"/>
  <c r="AG281" i="37"/>
  <c r="AL280" i="37"/>
  <c r="AK280" i="37"/>
  <c r="AJ280" i="37"/>
  <c r="AI280" i="37"/>
  <c r="AH280" i="37"/>
  <c r="AG280" i="37"/>
  <c r="AL279" i="37"/>
  <c r="AK279" i="37"/>
  <c r="AJ279" i="37"/>
  <c r="AI279" i="37"/>
  <c r="AH279" i="37"/>
  <c r="AG279" i="37"/>
  <c r="AL278" i="37"/>
  <c r="AK278" i="37"/>
  <c r="AJ278" i="37"/>
  <c r="AI278" i="37"/>
  <c r="AH278" i="37"/>
  <c r="AG278" i="37"/>
  <c r="AL277" i="37"/>
  <c r="AK277" i="37"/>
  <c r="AJ277" i="37"/>
  <c r="AI277" i="37"/>
  <c r="AH277" i="37"/>
  <c r="AG277" i="37"/>
  <c r="AL276" i="37"/>
  <c r="AK276" i="37"/>
  <c r="AJ276" i="37"/>
  <c r="AI276" i="37"/>
  <c r="AH276" i="37"/>
  <c r="AG276" i="37"/>
  <c r="AL275" i="37"/>
  <c r="AK275" i="37"/>
  <c r="AJ275" i="37"/>
  <c r="AI275" i="37"/>
  <c r="AH275" i="37"/>
  <c r="AG275" i="37"/>
  <c r="AL274" i="37"/>
  <c r="AK274" i="37"/>
  <c r="AJ274" i="37"/>
  <c r="AI274" i="37"/>
  <c r="AH274" i="37"/>
  <c r="AG274" i="37"/>
  <c r="AL273" i="37"/>
  <c r="AK273" i="37"/>
  <c r="AJ273" i="37"/>
  <c r="AI273" i="37"/>
  <c r="AH273" i="37"/>
  <c r="AG273" i="37"/>
  <c r="AL272" i="37"/>
  <c r="AK272" i="37"/>
  <c r="AJ272" i="37"/>
  <c r="AI272" i="37"/>
  <c r="AH272" i="37"/>
  <c r="AG272" i="37"/>
  <c r="AL271" i="37"/>
  <c r="AK271" i="37"/>
  <c r="AJ271" i="37"/>
  <c r="AI271" i="37"/>
  <c r="AH271" i="37"/>
  <c r="AG271" i="37"/>
  <c r="AL270" i="37"/>
  <c r="AK270" i="37"/>
  <c r="AJ270" i="37"/>
  <c r="AI270" i="37"/>
  <c r="AH270" i="37"/>
  <c r="AG270" i="37"/>
  <c r="AL269" i="37"/>
  <c r="AK269" i="37"/>
  <c r="AJ269" i="37"/>
  <c r="AI269" i="37"/>
  <c r="AH269" i="37"/>
  <c r="AG269" i="37"/>
  <c r="AL268" i="37"/>
  <c r="AK268" i="37"/>
  <c r="AJ268" i="37"/>
  <c r="AI268" i="37"/>
  <c r="AH268" i="37"/>
  <c r="AG268" i="37"/>
  <c r="AL267" i="37"/>
  <c r="AK267" i="37"/>
  <c r="AJ267" i="37"/>
  <c r="AI267" i="37"/>
  <c r="AH267" i="37"/>
  <c r="AG267" i="37"/>
  <c r="AL266" i="37"/>
  <c r="AK266" i="37"/>
  <c r="AJ266" i="37"/>
  <c r="AI266" i="37"/>
  <c r="AH266" i="37"/>
  <c r="AG266" i="37"/>
  <c r="AL265" i="37"/>
  <c r="AK265" i="37"/>
  <c r="AJ265" i="37"/>
  <c r="AI265" i="37"/>
  <c r="AH265" i="37"/>
  <c r="AG265" i="37"/>
  <c r="AL264" i="37"/>
  <c r="AK264" i="37"/>
  <c r="AJ264" i="37"/>
  <c r="AI264" i="37"/>
  <c r="AH264" i="37"/>
  <c r="AG264" i="37"/>
  <c r="AL263" i="37"/>
  <c r="AK263" i="37"/>
  <c r="AJ263" i="37"/>
  <c r="AI263" i="37"/>
  <c r="AH263" i="37"/>
  <c r="AG263" i="37"/>
  <c r="AL262" i="37"/>
  <c r="AK262" i="37"/>
  <c r="AJ262" i="37"/>
  <c r="AI262" i="37"/>
  <c r="AH262" i="37"/>
  <c r="AG262" i="37"/>
  <c r="AL261" i="37"/>
  <c r="AK261" i="37"/>
  <c r="AJ261" i="37"/>
  <c r="AI261" i="37"/>
  <c r="AH261" i="37"/>
  <c r="AG261" i="37"/>
  <c r="AL260" i="37"/>
  <c r="AK260" i="37"/>
  <c r="AJ260" i="37"/>
  <c r="AI260" i="37"/>
  <c r="AH260" i="37"/>
  <c r="AG260" i="37"/>
  <c r="AL259" i="37"/>
  <c r="AK259" i="37"/>
  <c r="AJ259" i="37"/>
  <c r="AI259" i="37"/>
  <c r="AH259" i="37"/>
  <c r="AG259" i="37"/>
  <c r="AL258" i="37"/>
  <c r="AK258" i="37"/>
  <c r="AJ258" i="37"/>
  <c r="AI258" i="37"/>
  <c r="AH258" i="37"/>
  <c r="AG258" i="37"/>
  <c r="AL257" i="37"/>
  <c r="AK257" i="37"/>
  <c r="AJ257" i="37"/>
  <c r="AI257" i="37"/>
  <c r="AH257" i="37"/>
  <c r="AG257" i="37"/>
  <c r="AL256" i="37"/>
  <c r="AK256" i="37"/>
  <c r="AJ256" i="37"/>
  <c r="AI256" i="37"/>
  <c r="AH256" i="37"/>
  <c r="AG256" i="37"/>
  <c r="AL255" i="37"/>
  <c r="AK255" i="37"/>
  <c r="AJ255" i="37"/>
  <c r="AI255" i="37"/>
  <c r="AH255" i="37"/>
  <c r="AG255" i="37"/>
  <c r="AL254" i="37"/>
  <c r="AK254" i="37"/>
  <c r="AJ254" i="37"/>
  <c r="AI254" i="37"/>
  <c r="AH254" i="37"/>
  <c r="AG254" i="37"/>
  <c r="AL253" i="37"/>
  <c r="AK253" i="37"/>
  <c r="AJ253" i="37"/>
  <c r="AI253" i="37"/>
  <c r="AH253" i="37"/>
  <c r="AG253" i="37"/>
  <c r="AL252" i="37"/>
  <c r="AK252" i="37"/>
  <c r="AJ252" i="37"/>
  <c r="AI252" i="37"/>
  <c r="AH252" i="37"/>
  <c r="AG252" i="37"/>
  <c r="AL251" i="37"/>
  <c r="AK251" i="37"/>
  <c r="AJ251" i="37"/>
  <c r="AI251" i="37"/>
  <c r="AH251" i="37"/>
  <c r="AG251" i="37"/>
  <c r="AL250" i="37"/>
  <c r="AK250" i="37"/>
  <c r="AJ250" i="37"/>
  <c r="AI250" i="37"/>
  <c r="AH250" i="37"/>
  <c r="AG250" i="37"/>
  <c r="AL249" i="37"/>
  <c r="AK249" i="37"/>
  <c r="AJ249" i="37"/>
  <c r="AI249" i="37"/>
  <c r="AH249" i="37"/>
  <c r="AG249" i="37"/>
  <c r="AL248" i="37"/>
  <c r="AK248" i="37"/>
  <c r="AJ248" i="37"/>
  <c r="AI248" i="37"/>
  <c r="AH248" i="37"/>
  <c r="AG248" i="37"/>
  <c r="AL247" i="37"/>
  <c r="AK247" i="37"/>
  <c r="AJ247" i="37"/>
  <c r="AI247" i="37"/>
  <c r="AH247" i="37"/>
  <c r="AG247" i="37"/>
  <c r="AL246" i="37"/>
  <c r="AK246" i="37"/>
  <c r="AJ246" i="37"/>
  <c r="AI246" i="37"/>
  <c r="AH246" i="37"/>
  <c r="AG246" i="37"/>
  <c r="AL245" i="37"/>
  <c r="AK245" i="37"/>
  <c r="AJ245" i="37"/>
  <c r="AI245" i="37"/>
  <c r="AH245" i="37"/>
  <c r="AG245" i="37"/>
  <c r="AL244" i="37"/>
  <c r="AK244" i="37"/>
  <c r="AJ244" i="37"/>
  <c r="AI244" i="37"/>
  <c r="AH244" i="37"/>
  <c r="AG244" i="37"/>
  <c r="AL243" i="37"/>
  <c r="AK243" i="37"/>
  <c r="AJ243" i="37"/>
  <c r="AI243" i="37"/>
  <c r="AH243" i="37"/>
  <c r="AG243" i="37"/>
  <c r="AL242" i="37"/>
  <c r="AK242" i="37"/>
  <c r="AJ242" i="37"/>
  <c r="AI242" i="37"/>
  <c r="AH242" i="37"/>
  <c r="AG242" i="37"/>
  <c r="AL241" i="37"/>
  <c r="AK241" i="37"/>
  <c r="AJ241" i="37"/>
  <c r="AI241" i="37"/>
  <c r="AH241" i="37"/>
  <c r="AG241" i="37"/>
  <c r="AL240" i="37"/>
  <c r="AK240" i="37"/>
  <c r="AJ240" i="37"/>
  <c r="AI240" i="37"/>
  <c r="AH240" i="37"/>
  <c r="AG240" i="37"/>
  <c r="AL239" i="37"/>
  <c r="AK239" i="37"/>
  <c r="AJ239" i="37"/>
  <c r="AI239" i="37"/>
  <c r="AH239" i="37"/>
  <c r="AG239" i="37"/>
  <c r="AL238" i="37"/>
  <c r="AK238" i="37"/>
  <c r="AJ238" i="37"/>
  <c r="AI238" i="37"/>
  <c r="AH238" i="37"/>
  <c r="AG238" i="37"/>
  <c r="AL237" i="37"/>
  <c r="AK237" i="37"/>
  <c r="AJ237" i="37"/>
  <c r="AI237" i="37"/>
  <c r="AH237" i="37"/>
  <c r="AG237" i="37"/>
  <c r="AL236" i="37"/>
  <c r="AK236" i="37"/>
  <c r="AJ236" i="37"/>
  <c r="AI236" i="37"/>
  <c r="AH236" i="37"/>
  <c r="AG236" i="37"/>
  <c r="AL235" i="37"/>
  <c r="AK235" i="37"/>
  <c r="AJ235" i="37"/>
  <c r="AI235" i="37"/>
  <c r="AH235" i="37"/>
  <c r="AG235" i="37"/>
  <c r="AL234" i="37"/>
  <c r="AK234" i="37"/>
  <c r="AJ234" i="37"/>
  <c r="AI234" i="37"/>
  <c r="AH234" i="37"/>
  <c r="AG234" i="37"/>
  <c r="AL233" i="37"/>
  <c r="AK233" i="37"/>
  <c r="AJ233" i="37"/>
  <c r="AI233" i="37"/>
  <c r="AH233" i="37"/>
  <c r="AG233" i="37"/>
  <c r="AL232" i="37"/>
  <c r="AK232" i="37"/>
  <c r="AJ232" i="37"/>
  <c r="AI232" i="37"/>
  <c r="AH232" i="37"/>
  <c r="AG232" i="37"/>
  <c r="AL231" i="37"/>
  <c r="AK231" i="37"/>
  <c r="AJ231" i="37"/>
  <c r="AI231" i="37"/>
  <c r="AH231" i="37"/>
  <c r="AG231" i="37"/>
  <c r="AL230" i="37"/>
  <c r="AK230" i="37"/>
  <c r="AJ230" i="37"/>
  <c r="AI230" i="37"/>
  <c r="AH230" i="37"/>
  <c r="AG230" i="37"/>
  <c r="AL229" i="37"/>
  <c r="AK229" i="37"/>
  <c r="AJ229" i="37"/>
  <c r="AI229" i="37"/>
  <c r="AH229" i="37"/>
  <c r="AG229" i="37"/>
  <c r="AL228" i="37"/>
  <c r="AK228" i="37"/>
  <c r="AJ228" i="37"/>
  <c r="AI228" i="37"/>
  <c r="AH228" i="37"/>
  <c r="AG228" i="37"/>
  <c r="AL227" i="37"/>
  <c r="AK227" i="37"/>
  <c r="AJ227" i="37"/>
  <c r="AI227" i="37"/>
  <c r="AH227" i="37"/>
  <c r="AG227" i="37"/>
  <c r="AL226" i="37"/>
  <c r="AK226" i="37"/>
  <c r="AJ226" i="37"/>
  <c r="AI226" i="37"/>
  <c r="AH226" i="37"/>
  <c r="AG226" i="37"/>
  <c r="AL225" i="37"/>
  <c r="AK225" i="37"/>
  <c r="AJ225" i="37"/>
  <c r="AI225" i="37"/>
  <c r="AH225" i="37"/>
  <c r="AG225" i="37"/>
  <c r="AL224" i="37"/>
  <c r="AK224" i="37"/>
  <c r="AJ224" i="37"/>
  <c r="AI224" i="37"/>
  <c r="AH224" i="37"/>
  <c r="AG224" i="37"/>
  <c r="AL223" i="37"/>
  <c r="AK223" i="37"/>
  <c r="AJ223" i="37"/>
  <c r="AI223" i="37"/>
  <c r="AH223" i="37"/>
  <c r="AG223" i="37"/>
  <c r="AL222" i="37"/>
  <c r="AK222" i="37"/>
  <c r="AJ222" i="37"/>
  <c r="AI222" i="37"/>
  <c r="AH222" i="37"/>
  <c r="AG222" i="37"/>
  <c r="AL221" i="37"/>
  <c r="AK221" i="37"/>
  <c r="AJ221" i="37"/>
  <c r="AI221" i="37"/>
  <c r="AH221" i="37"/>
  <c r="AG221" i="37"/>
  <c r="AL220" i="37"/>
  <c r="AK220" i="37"/>
  <c r="AJ220" i="37"/>
  <c r="AI220" i="37"/>
  <c r="AH220" i="37"/>
  <c r="AG220" i="37"/>
  <c r="AL219" i="37"/>
  <c r="AK219" i="37"/>
  <c r="AJ219" i="37"/>
  <c r="AI219" i="37"/>
  <c r="AH219" i="37"/>
  <c r="AG219" i="37"/>
  <c r="AL218" i="37"/>
  <c r="AK218" i="37"/>
  <c r="AJ218" i="37"/>
  <c r="AI218" i="37"/>
  <c r="AH218" i="37"/>
  <c r="AG218" i="37"/>
  <c r="AL217" i="37"/>
  <c r="AK217" i="37"/>
  <c r="AJ217" i="37"/>
  <c r="AI217" i="37"/>
  <c r="AH217" i="37"/>
  <c r="AG217" i="37"/>
  <c r="AL216" i="37"/>
  <c r="AK216" i="37"/>
  <c r="AJ216" i="37"/>
  <c r="AI216" i="37"/>
  <c r="AH216" i="37"/>
  <c r="AG216" i="37"/>
  <c r="AL215" i="37"/>
  <c r="AK215" i="37"/>
  <c r="AJ215" i="37"/>
  <c r="AI215" i="37"/>
  <c r="AH215" i="37"/>
  <c r="AG215" i="37"/>
  <c r="AL214" i="37"/>
  <c r="AK214" i="37"/>
  <c r="AJ214" i="37"/>
  <c r="AI214" i="37"/>
  <c r="AH214" i="37"/>
  <c r="AG214" i="37"/>
  <c r="AL213" i="37"/>
  <c r="AK213" i="37"/>
  <c r="AJ213" i="37"/>
  <c r="AI213" i="37"/>
  <c r="AH213" i="37"/>
  <c r="AG213" i="37"/>
  <c r="AL212" i="37"/>
  <c r="AK212" i="37"/>
  <c r="AJ212" i="37"/>
  <c r="AI212" i="37"/>
  <c r="AH212" i="37"/>
  <c r="AG212" i="37"/>
  <c r="AL211" i="37"/>
  <c r="AK211" i="37"/>
  <c r="AJ211" i="37"/>
  <c r="AI211" i="37"/>
  <c r="AH211" i="37"/>
  <c r="AG211" i="37"/>
  <c r="AL210" i="37"/>
  <c r="AK210" i="37"/>
  <c r="AJ210" i="37"/>
  <c r="AI210" i="37"/>
  <c r="AH210" i="37"/>
  <c r="AG210" i="37"/>
  <c r="AL209" i="37"/>
  <c r="AK209" i="37"/>
  <c r="AJ209" i="37"/>
  <c r="AI209" i="37"/>
  <c r="AH209" i="37"/>
  <c r="AG209" i="37"/>
  <c r="AL208" i="37"/>
  <c r="AK208" i="37"/>
  <c r="AJ208" i="37"/>
  <c r="AI208" i="37"/>
  <c r="AH208" i="37"/>
  <c r="AG208" i="37"/>
  <c r="AL207" i="37"/>
  <c r="AK207" i="37"/>
  <c r="AJ207" i="37"/>
  <c r="AI207" i="37"/>
  <c r="AH207" i="37"/>
  <c r="AG207" i="37"/>
  <c r="AL206" i="37"/>
  <c r="AK206" i="37"/>
  <c r="AJ206" i="37"/>
  <c r="AI206" i="37"/>
  <c r="AH206" i="37"/>
  <c r="AG206" i="37"/>
  <c r="AL205" i="37"/>
  <c r="AK205" i="37"/>
  <c r="AJ205" i="37"/>
  <c r="AI205" i="37"/>
  <c r="AH205" i="37"/>
  <c r="AG205" i="37"/>
  <c r="AL204" i="37"/>
  <c r="AK204" i="37"/>
  <c r="AJ204" i="37"/>
  <c r="AI204" i="37"/>
  <c r="AH204" i="37"/>
  <c r="AG204" i="37"/>
  <c r="AL203" i="37"/>
  <c r="AK203" i="37"/>
  <c r="AJ203" i="37"/>
  <c r="AI203" i="37"/>
  <c r="AH203" i="37"/>
  <c r="AG203" i="37"/>
  <c r="AL202" i="37"/>
  <c r="AK202" i="37"/>
  <c r="AJ202" i="37"/>
  <c r="AI202" i="37"/>
  <c r="AH202" i="37"/>
  <c r="AG202" i="37"/>
  <c r="AL201" i="37"/>
  <c r="AK201" i="37"/>
  <c r="AJ201" i="37"/>
  <c r="AI201" i="37"/>
  <c r="AH201" i="37"/>
  <c r="AG201" i="37"/>
  <c r="AL200" i="37"/>
  <c r="AK200" i="37"/>
  <c r="AJ200" i="37"/>
  <c r="AI200" i="37"/>
  <c r="AH200" i="37"/>
  <c r="AG200" i="37"/>
  <c r="AL199" i="37"/>
  <c r="AK199" i="37"/>
  <c r="AJ199" i="37"/>
  <c r="AI199" i="37"/>
  <c r="AH199" i="37"/>
  <c r="AG199" i="37"/>
  <c r="AL198" i="37"/>
  <c r="AK198" i="37"/>
  <c r="AJ198" i="37"/>
  <c r="AI198" i="37"/>
  <c r="AH198" i="37"/>
  <c r="AG198" i="37"/>
  <c r="AL197" i="37"/>
  <c r="AK197" i="37"/>
  <c r="AJ197" i="37"/>
  <c r="AI197" i="37"/>
  <c r="AH197" i="37"/>
  <c r="AG197" i="37"/>
  <c r="AL196" i="37"/>
  <c r="AK196" i="37"/>
  <c r="AJ196" i="37"/>
  <c r="AI196" i="37"/>
  <c r="AH196" i="37"/>
  <c r="AG196" i="37"/>
  <c r="AL195" i="37"/>
  <c r="AK195" i="37"/>
  <c r="AJ195" i="37"/>
  <c r="AI195" i="37"/>
  <c r="AH195" i="37"/>
  <c r="AG195" i="37"/>
  <c r="AL194" i="37"/>
  <c r="AK194" i="37"/>
  <c r="AJ194" i="37"/>
  <c r="AI194" i="37"/>
  <c r="AH194" i="37"/>
  <c r="AG194" i="37"/>
  <c r="AL193" i="37"/>
  <c r="AK193" i="37"/>
  <c r="AJ193" i="37"/>
  <c r="AI193" i="37"/>
  <c r="AH193" i="37"/>
  <c r="AG193" i="37"/>
  <c r="AL192" i="37"/>
  <c r="AK192" i="37"/>
  <c r="AJ192" i="37"/>
  <c r="AI192" i="37"/>
  <c r="AH192" i="37"/>
  <c r="AG192" i="37"/>
  <c r="AL191" i="37"/>
  <c r="AK191" i="37"/>
  <c r="AJ191" i="37"/>
  <c r="AI191" i="37"/>
  <c r="AH191" i="37"/>
  <c r="AG191" i="37"/>
  <c r="AL190" i="37"/>
  <c r="AK190" i="37"/>
  <c r="AJ190" i="37"/>
  <c r="AI190" i="37"/>
  <c r="AH190" i="37"/>
  <c r="AG190" i="37"/>
  <c r="AL189" i="37"/>
  <c r="AK189" i="37"/>
  <c r="AJ189" i="37"/>
  <c r="AI189" i="37"/>
  <c r="AH189" i="37"/>
  <c r="AG189" i="37"/>
  <c r="AL188" i="37"/>
  <c r="AK188" i="37"/>
  <c r="AJ188" i="37"/>
  <c r="AI188" i="37"/>
  <c r="AH188" i="37"/>
  <c r="AG188" i="37"/>
  <c r="AL187" i="37"/>
  <c r="AK187" i="37"/>
  <c r="AJ187" i="37"/>
  <c r="AI187" i="37"/>
  <c r="AH187" i="37"/>
  <c r="AG187" i="37"/>
  <c r="AL186" i="37"/>
  <c r="AK186" i="37"/>
  <c r="AJ186" i="37"/>
  <c r="AI186" i="37"/>
  <c r="AH186" i="37"/>
  <c r="AG186" i="37"/>
  <c r="AL185" i="37"/>
  <c r="AK185" i="37"/>
  <c r="AJ185" i="37"/>
  <c r="AI185" i="37"/>
  <c r="AH185" i="37"/>
  <c r="AG185" i="37"/>
  <c r="AL184" i="37"/>
  <c r="AK184" i="37"/>
  <c r="AJ184" i="37"/>
  <c r="AI184" i="37"/>
  <c r="AH184" i="37"/>
  <c r="AG184" i="37"/>
  <c r="AL183" i="37"/>
  <c r="AK183" i="37"/>
  <c r="AJ183" i="37"/>
  <c r="AI183" i="37"/>
  <c r="AH183" i="37"/>
  <c r="AG183" i="37"/>
  <c r="AL182" i="37"/>
  <c r="AK182" i="37"/>
  <c r="AJ182" i="37"/>
  <c r="AI182" i="37"/>
  <c r="AH182" i="37"/>
  <c r="AG182" i="37"/>
  <c r="AL181" i="37"/>
  <c r="AK181" i="37"/>
  <c r="AJ181" i="37"/>
  <c r="AI181" i="37"/>
  <c r="AH181" i="37"/>
  <c r="AG181" i="37"/>
  <c r="AL180" i="37"/>
  <c r="AK180" i="37"/>
  <c r="AJ180" i="37"/>
  <c r="AI180" i="37"/>
  <c r="AH180" i="37"/>
  <c r="AG180" i="37"/>
  <c r="AL179" i="37"/>
  <c r="AK179" i="37"/>
  <c r="AJ179" i="37"/>
  <c r="AI179" i="37"/>
  <c r="AH179" i="37"/>
  <c r="AG179" i="37"/>
  <c r="AL178" i="37"/>
  <c r="AK178" i="37"/>
  <c r="AJ178" i="37"/>
  <c r="AI178" i="37"/>
  <c r="AH178" i="37"/>
  <c r="AG178" i="37"/>
  <c r="AL177" i="37"/>
  <c r="AK177" i="37"/>
  <c r="AJ177" i="37"/>
  <c r="AI177" i="37"/>
  <c r="AH177" i="37"/>
  <c r="AG177" i="37"/>
  <c r="AL176" i="37"/>
  <c r="AK176" i="37"/>
  <c r="AJ176" i="37"/>
  <c r="AI176" i="37"/>
  <c r="AH176" i="37"/>
  <c r="AG176" i="37"/>
  <c r="AL175" i="37"/>
  <c r="AK175" i="37"/>
  <c r="AJ175" i="37"/>
  <c r="AI175" i="37"/>
  <c r="AH175" i="37"/>
  <c r="AG175" i="37"/>
  <c r="AL174" i="37"/>
  <c r="AK174" i="37"/>
  <c r="AJ174" i="37"/>
  <c r="AI174" i="37"/>
  <c r="AH174" i="37"/>
  <c r="AG174" i="37"/>
  <c r="AL173" i="37"/>
  <c r="AK173" i="37"/>
  <c r="AJ173" i="37"/>
  <c r="AI173" i="37"/>
  <c r="AH173" i="37"/>
  <c r="AG173" i="37"/>
  <c r="AL172" i="37"/>
  <c r="AK172" i="37"/>
  <c r="AJ172" i="37"/>
  <c r="AI172" i="37"/>
  <c r="AH172" i="37"/>
  <c r="AG172" i="37"/>
  <c r="AL171" i="37"/>
  <c r="AK171" i="37"/>
  <c r="AJ171" i="37"/>
  <c r="AI171" i="37"/>
  <c r="AH171" i="37"/>
  <c r="AG171" i="37"/>
  <c r="AL170" i="37"/>
  <c r="AK170" i="37"/>
  <c r="AJ170" i="37"/>
  <c r="AI170" i="37"/>
  <c r="AH170" i="37"/>
  <c r="AG170" i="37"/>
  <c r="AL169" i="37"/>
  <c r="AK169" i="37"/>
  <c r="AJ169" i="37"/>
  <c r="AI169" i="37"/>
  <c r="AH169" i="37"/>
  <c r="AG169" i="37"/>
  <c r="AL168" i="37"/>
  <c r="AK168" i="37"/>
  <c r="AJ168" i="37"/>
  <c r="AI168" i="37"/>
  <c r="AH168" i="37"/>
  <c r="AG168" i="37"/>
  <c r="AL167" i="37"/>
  <c r="AK167" i="37"/>
  <c r="AJ167" i="37"/>
  <c r="AI167" i="37"/>
  <c r="AH167" i="37"/>
  <c r="AG167" i="37"/>
  <c r="AL166" i="37"/>
  <c r="AK166" i="37"/>
  <c r="AJ166" i="37"/>
  <c r="AI166" i="37"/>
  <c r="AH166" i="37"/>
  <c r="AG166" i="37"/>
  <c r="AL165" i="37"/>
  <c r="AK165" i="37"/>
  <c r="AJ165" i="37"/>
  <c r="AI165" i="37"/>
  <c r="AH165" i="37"/>
  <c r="AG165" i="37"/>
  <c r="AL164" i="37"/>
  <c r="AK164" i="37"/>
  <c r="AJ164" i="37"/>
  <c r="AI164" i="37"/>
  <c r="AH164" i="37"/>
  <c r="AG164" i="37"/>
  <c r="AL163" i="37"/>
  <c r="AK163" i="37"/>
  <c r="AJ163" i="37"/>
  <c r="AI163" i="37"/>
  <c r="AH163" i="37"/>
  <c r="AG163" i="37"/>
  <c r="AL162" i="37"/>
  <c r="AK162" i="37"/>
  <c r="AJ162" i="37"/>
  <c r="AI162" i="37"/>
  <c r="AH162" i="37"/>
  <c r="AG162" i="37"/>
  <c r="AL161" i="37"/>
  <c r="AK161" i="37"/>
  <c r="AJ161" i="37"/>
  <c r="AI161" i="37"/>
  <c r="AH161" i="37"/>
  <c r="AG161" i="37"/>
  <c r="AL160" i="37"/>
  <c r="AK160" i="37"/>
  <c r="AJ160" i="37"/>
  <c r="AI160" i="37"/>
  <c r="AH160" i="37"/>
  <c r="AG160" i="37"/>
  <c r="AL159" i="37"/>
  <c r="AK159" i="37"/>
  <c r="AJ159" i="37"/>
  <c r="AI159" i="37"/>
  <c r="AH159" i="37"/>
  <c r="AG159" i="37"/>
  <c r="AL158" i="37"/>
  <c r="AK158" i="37"/>
  <c r="AJ158" i="37"/>
  <c r="AI158" i="37"/>
  <c r="AH158" i="37"/>
  <c r="AG158" i="37"/>
  <c r="AL157" i="37"/>
  <c r="AK157" i="37"/>
  <c r="AJ157" i="37"/>
  <c r="AI157" i="37"/>
  <c r="AH157" i="37"/>
  <c r="AG157" i="37"/>
  <c r="AL156" i="37"/>
  <c r="AK156" i="37"/>
  <c r="AJ156" i="37"/>
  <c r="AI156" i="37"/>
  <c r="AH156" i="37"/>
  <c r="AG156" i="37"/>
  <c r="AL155" i="37"/>
  <c r="AK155" i="37"/>
  <c r="AJ155" i="37"/>
  <c r="AI155" i="37"/>
  <c r="AH155" i="37"/>
  <c r="AG155" i="37"/>
  <c r="AL154" i="37"/>
  <c r="AK154" i="37"/>
  <c r="AJ154" i="37"/>
  <c r="AI154" i="37"/>
  <c r="AH154" i="37"/>
  <c r="AG154" i="37"/>
  <c r="AL153" i="37"/>
  <c r="AK153" i="37"/>
  <c r="AJ153" i="37"/>
  <c r="AI153" i="37"/>
  <c r="AH153" i="37"/>
  <c r="AG153" i="37"/>
  <c r="AL152" i="37"/>
  <c r="AK152" i="37"/>
  <c r="AJ152" i="37"/>
  <c r="AI152" i="37"/>
  <c r="AH152" i="37"/>
  <c r="AG152" i="37"/>
  <c r="AL151" i="37"/>
  <c r="AK151" i="37"/>
  <c r="AJ151" i="37"/>
  <c r="AI151" i="37"/>
  <c r="AH151" i="37"/>
  <c r="AG151" i="37"/>
  <c r="AL150" i="37"/>
  <c r="AK150" i="37"/>
  <c r="AJ150" i="37"/>
  <c r="AI150" i="37"/>
  <c r="AH150" i="37"/>
  <c r="AG150" i="37"/>
  <c r="AL149" i="37"/>
  <c r="AK149" i="37"/>
  <c r="AJ149" i="37"/>
  <c r="AI149" i="37"/>
  <c r="AH149" i="37"/>
  <c r="AG149" i="37"/>
  <c r="AL148" i="37"/>
  <c r="AK148" i="37"/>
  <c r="AJ148" i="37"/>
  <c r="AI148" i="37"/>
  <c r="AH148" i="37"/>
  <c r="AG148" i="37"/>
  <c r="AL147" i="37"/>
  <c r="AK147" i="37"/>
  <c r="AJ147" i="37"/>
  <c r="AI147" i="37"/>
  <c r="AH147" i="37"/>
  <c r="AG147" i="37"/>
  <c r="AL146" i="37"/>
  <c r="AK146" i="37"/>
  <c r="AJ146" i="37"/>
  <c r="AI146" i="37"/>
  <c r="AH146" i="37"/>
  <c r="AG146" i="37"/>
  <c r="AL145" i="37"/>
  <c r="AK145" i="37"/>
  <c r="AJ145" i="37"/>
  <c r="AI145" i="37"/>
  <c r="AH145" i="37"/>
  <c r="AG145" i="37"/>
  <c r="AL144" i="37"/>
  <c r="AK144" i="37"/>
  <c r="AJ144" i="37"/>
  <c r="AI144" i="37"/>
  <c r="AH144" i="37"/>
  <c r="AG144" i="37"/>
  <c r="AL143" i="37"/>
  <c r="AK143" i="37"/>
  <c r="AJ143" i="37"/>
  <c r="AI143" i="37"/>
  <c r="AH143" i="37"/>
  <c r="AG143" i="37"/>
  <c r="AL142" i="37"/>
  <c r="AK142" i="37"/>
  <c r="AJ142" i="37"/>
  <c r="AI142" i="37"/>
  <c r="AH142" i="37"/>
  <c r="AG142" i="37"/>
  <c r="AL141" i="37"/>
  <c r="AK141" i="37"/>
  <c r="AJ141" i="37"/>
  <c r="AI141" i="37"/>
  <c r="AH141" i="37"/>
  <c r="AG141" i="37"/>
  <c r="AL140" i="37"/>
  <c r="AK140" i="37"/>
  <c r="AJ140" i="37"/>
  <c r="AI140" i="37"/>
  <c r="AH140" i="37"/>
  <c r="AG140" i="37"/>
  <c r="AL139" i="37"/>
  <c r="AK139" i="37"/>
  <c r="AJ139" i="37"/>
  <c r="AI139" i="37"/>
  <c r="AH139" i="37"/>
  <c r="AG139" i="37"/>
  <c r="AL138" i="37"/>
  <c r="AK138" i="37"/>
  <c r="AJ138" i="37"/>
  <c r="AI138" i="37"/>
  <c r="AH138" i="37"/>
  <c r="AG138" i="37"/>
  <c r="AL137" i="37"/>
  <c r="AK137" i="37"/>
  <c r="AJ137" i="37"/>
  <c r="AI137" i="37"/>
  <c r="AH137" i="37"/>
  <c r="AG137" i="37"/>
  <c r="AL136" i="37"/>
  <c r="AK136" i="37"/>
  <c r="AJ136" i="37"/>
  <c r="AI136" i="37"/>
  <c r="AH136" i="37"/>
  <c r="AG136" i="37"/>
  <c r="AL135" i="37"/>
  <c r="AK135" i="37"/>
  <c r="AJ135" i="37"/>
  <c r="AI135" i="37"/>
  <c r="AH135" i="37"/>
  <c r="AG135" i="37"/>
  <c r="AL134" i="37"/>
  <c r="AK134" i="37"/>
  <c r="AJ134" i="37"/>
  <c r="AI134" i="37"/>
  <c r="AH134" i="37"/>
  <c r="AG134" i="37"/>
  <c r="AL133" i="37"/>
  <c r="AK133" i="37"/>
  <c r="AJ133" i="37"/>
  <c r="AI133" i="37"/>
  <c r="AH133" i="37"/>
  <c r="AG133" i="37"/>
  <c r="AL132" i="37"/>
  <c r="AK132" i="37"/>
  <c r="AJ132" i="37"/>
  <c r="AI132" i="37"/>
  <c r="AH132" i="37"/>
  <c r="AG132" i="37"/>
  <c r="AL131" i="37"/>
  <c r="AK131" i="37"/>
  <c r="AJ131" i="37"/>
  <c r="AI131" i="37"/>
  <c r="AH131" i="37"/>
  <c r="AG131" i="37"/>
  <c r="AL130" i="37"/>
  <c r="AK130" i="37"/>
  <c r="AJ130" i="37"/>
  <c r="AI130" i="37"/>
  <c r="AH130" i="37"/>
  <c r="AG130" i="37"/>
  <c r="AL129" i="37"/>
  <c r="AK129" i="37"/>
  <c r="AJ129" i="37"/>
  <c r="AI129" i="37"/>
  <c r="AH129" i="37"/>
  <c r="AG129" i="37"/>
  <c r="AL128" i="37"/>
  <c r="AK128" i="37"/>
  <c r="AJ128" i="37"/>
  <c r="AI128" i="37"/>
  <c r="AH128" i="37"/>
  <c r="AG128" i="37"/>
  <c r="AL127" i="37"/>
  <c r="AK127" i="37"/>
  <c r="AJ127" i="37"/>
  <c r="AI127" i="37"/>
  <c r="AH127" i="37"/>
  <c r="AG127" i="37"/>
  <c r="AL126" i="37"/>
  <c r="AK126" i="37"/>
  <c r="AJ126" i="37"/>
  <c r="AI126" i="37"/>
  <c r="AH126" i="37"/>
  <c r="AG126" i="37"/>
  <c r="AL125" i="37"/>
  <c r="AK125" i="37"/>
  <c r="AJ125" i="37"/>
  <c r="AI125" i="37"/>
  <c r="AH125" i="37"/>
  <c r="AG125" i="37"/>
  <c r="AL124" i="37"/>
  <c r="AK124" i="37"/>
  <c r="AJ124" i="37"/>
  <c r="AI124" i="37"/>
  <c r="AH124" i="37"/>
  <c r="AG124" i="37"/>
  <c r="AL123" i="37"/>
  <c r="AK123" i="37"/>
  <c r="AJ123" i="37"/>
  <c r="AI123" i="37"/>
  <c r="AH123" i="37"/>
  <c r="AG123" i="37"/>
  <c r="AL122" i="37"/>
  <c r="AK122" i="37"/>
  <c r="AJ122" i="37"/>
  <c r="AI122" i="37"/>
  <c r="AH122" i="37"/>
  <c r="AG122" i="37"/>
  <c r="AL121" i="37"/>
  <c r="AK121" i="37"/>
  <c r="AJ121" i="37"/>
  <c r="AI121" i="37"/>
  <c r="AH121" i="37"/>
  <c r="AG121" i="37"/>
  <c r="AL120" i="37"/>
  <c r="AK120" i="37"/>
  <c r="AJ120" i="37"/>
  <c r="AI120" i="37"/>
  <c r="AH120" i="37"/>
  <c r="AG120" i="37"/>
  <c r="AL119" i="37"/>
  <c r="AK119" i="37"/>
  <c r="AJ119" i="37"/>
  <c r="AI119" i="37"/>
  <c r="AH119" i="37"/>
  <c r="AG119" i="37"/>
  <c r="AL118" i="37"/>
  <c r="AK118" i="37"/>
  <c r="AJ118" i="37"/>
  <c r="AI118" i="37"/>
  <c r="AH118" i="37"/>
  <c r="AG118" i="37"/>
  <c r="AL117" i="37"/>
  <c r="AK117" i="37"/>
  <c r="AJ117" i="37"/>
  <c r="AI117" i="37"/>
  <c r="AH117" i="37"/>
  <c r="AG117" i="37"/>
  <c r="AL116" i="37"/>
  <c r="AK116" i="37"/>
  <c r="AJ116" i="37"/>
  <c r="AI116" i="37"/>
  <c r="AH116" i="37"/>
  <c r="AG116" i="37"/>
  <c r="AL115" i="37"/>
  <c r="AK115" i="37"/>
  <c r="AJ115" i="37"/>
  <c r="AI115" i="37"/>
  <c r="AH115" i="37"/>
  <c r="AG115" i="37"/>
  <c r="AL114" i="37"/>
  <c r="AK114" i="37"/>
  <c r="AJ114" i="37"/>
  <c r="AI114" i="37"/>
  <c r="AH114" i="37"/>
  <c r="AG114" i="37"/>
  <c r="AL113" i="37"/>
  <c r="AK113" i="37"/>
  <c r="AJ113" i="37"/>
  <c r="AI113" i="37"/>
  <c r="AH113" i="37"/>
  <c r="AG113" i="37"/>
  <c r="AL112" i="37"/>
  <c r="AK112" i="37"/>
  <c r="AJ112" i="37"/>
  <c r="AI112" i="37"/>
  <c r="AH112" i="37"/>
  <c r="AG112" i="37"/>
  <c r="AL111" i="37"/>
  <c r="AK111" i="37"/>
  <c r="AJ111" i="37"/>
  <c r="AI111" i="37"/>
  <c r="AH111" i="37"/>
  <c r="AG111" i="37"/>
  <c r="AL110" i="37"/>
  <c r="AK110" i="37"/>
  <c r="AJ110" i="37"/>
  <c r="AI110" i="37"/>
  <c r="AH110" i="37"/>
  <c r="AG110" i="37"/>
  <c r="AL109" i="37"/>
  <c r="AK109" i="37"/>
  <c r="AJ109" i="37"/>
  <c r="AI109" i="37"/>
  <c r="AH109" i="37"/>
  <c r="AG109" i="37"/>
  <c r="AL108" i="37"/>
  <c r="AK108" i="37"/>
  <c r="AJ108" i="37"/>
  <c r="AI108" i="37"/>
  <c r="AH108" i="37"/>
  <c r="AG108" i="37"/>
  <c r="AL107" i="37"/>
  <c r="AK107" i="37"/>
  <c r="AJ107" i="37"/>
  <c r="AI107" i="37"/>
  <c r="AH107" i="37"/>
  <c r="AG107" i="37"/>
  <c r="AL106" i="37"/>
  <c r="AK106" i="37"/>
  <c r="AJ106" i="37"/>
  <c r="AI106" i="37"/>
  <c r="AH106" i="37"/>
  <c r="AG106" i="37"/>
  <c r="AL105" i="37"/>
  <c r="AK105" i="37"/>
  <c r="AJ105" i="37"/>
  <c r="AI105" i="37"/>
  <c r="AH105" i="37"/>
  <c r="AG105" i="37"/>
  <c r="AL104" i="37"/>
  <c r="AK104" i="37"/>
  <c r="AJ104" i="37"/>
  <c r="AI104" i="37"/>
  <c r="AH104" i="37"/>
  <c r="AG104" i="37"/>
  <c r="AL103" i="37"/>
  <c r="AK103" i="37"/>
  <c r="AJ103" i="37"/>
  <c r="AI103" i="37"/>
  <c r="AH103" i="37"/>
  <c r="AG103" i="37"/>
  <c r="AL102" i="37"/>
  <c r="AK102" i="37"/>
  <c r="AJ102" i="37"/>
  <c r="AI102" i="37"/>
  <c r="AH102" i="37"/>
  <c r="AG102" i="37"/>
  <c r="AL101" i="37"/>
  <c r="AK101" i="37"/>
  <c r="AJ101" i="37"/>
  <c r="AI101" i="37"/>
  <c r="AH101" i="37"/>
  <c r="AG101" i="37"/>
  <c r="AL100" i="37"/>
  <c r="AK100" i="37"/>
  <c r="AJ100" i="37"/>
  <c r="AI100" i="37"/>
  <c r="AH100" i="37"/>
  <c r="AG100" i="37"/>
  <c r="AL99" i="37"/>
  <c r="AK99" i="37"/>
  <c r="AJ99" i="37"/>
  <c r="AI99" i="37"/>
  <c r="AH99" i="37"/>
  <c r="AG99" i="37"/>
  <c r="AL98" i="37"/>
  <c r="AK98" i="37"/>
  <c r="AJ98" i="37"/>
  <c r="AI98" i="37"/>
  <c r="AH98" i="37"/>
  <c r="AG98" i="37"/>
  <c r="AL97" i="37"/>
  <c r="AK97" i="37"/>
  <c r="AJ97" i="37"/>
  <c r="AI97" i="37"/>
  <c r="AH97" i="37"/>
  <c r="AG97" i="37"/>
  <c r="AL96" i="37"/>
  <c r="AK96" i="37"/>
  <c r="AJ96" i="37"/>
  <c r="AI96" i="37"/>
  <c r="AH96" i="37"/>
  <c r="AG96" i="37"/>
  <c r="AL95" i="37"/>
  <c r="AK95" i="37"/>
  <c r="AJ95" i="37"/>
  <c r="AI95" i="37"/>
  <c r="AH95" i="37"/>
  <c r="AG95" i="37"/>
  <c r="AL94" i="37"/>
  <c r="AK94" i="37"/>
  <c r="AJ94" i="37"/>
  <c r="AI94" i="37"/>
  <c r="AH94" i="37"/>
  <c r="AG94" i="37"/>
  <c r="AL93" i="37"/>
  <c r="AK93" i="37"/>
  <c r="AJ93" i="37"/>
  <c r="AI93" i="37"/>
  <c r="AH93" i="37"/>
  <c r="AG93" i="37"/>
  <c r="AL92" i="37"/>
  <c r="AK92" i="37"/>
  <c r="AJ92" i="37"/>
  <c r="AI92" i="37"/>
  <c r="AH92" i="37"/>
  <c r="AG92" i="37"/>
  <c r="AL91" i="37"/>
  <c r="AK91" i="37"/>
  <c r="AJ91" i="37"/>
  <c r="AI91" i="37"/>
  <c r="AH91" i="37"/>
  <c r="AG91" i="37"/>
  <c r="AL90" i="37"/>
  <c r="AK90" i="37"/>
  <c r="AJ90" i="37"/>
  <c r="AI90" i="37"/>
  <c r="AH90" i="37"/>
  <c r="AG90" i="37"/>
  <c r="AL89" i="37"/>
  <c r="AK89" i="37"/>
  <c r="AJ89" i="37"/>
  <c r="AI89" i="37"/>
  <c r="AH89" i="37"/>
  <c r="AG89" i="37"/>
  <c r="AL88" i="37"/>
  <c r="AK88" i="37"/>
  <c r="AJ88" i="37"/>
  <c r="AI88" i="37"/>
  <c r="AH88" i="37"/>
  <c r="AG88" i="37"/>
  <c r="AL87" i="37"/>
  <c r="AK87" i="37"/>
  <c r="AJ87" i="37"/>
  <c r="AI87" i="37"/>
  <c r="AH87" i="37"/>
  <c r="AG87" i="37"/>
  <c r="AL86" i="37"/>
  <c r="AK86" i="37"/>
  <c r="AJ86" i="37"/>
  <c r="AI86" i="37"/>
  <c r="AH86" i="37"/>
  <c r="AG86" i="37"/>
  <c r="AL85" i="37"/>
  <c r="AK85" i="37"/>
  <c r="AJ85" i="37"/>
  <c r="AI85" i="37"/>
  <c r="AH85" i="37"/>
  <c r="AG85" i="37"/>
  <c r="AL84" i="37"/>
  <c r="AK84" i="37"/>
  <c r="AJ84" i="37"/>
  <c r="AI84" i="37"/>
  <c r="AH84" i="37"/>
  <c r="AG84" i="37"/>
  <c r="AL83" i="37"/>
  <c r="AK83" i="37"/>
  <c r="AJ83" i="37"/>
  <c r="AI83" i="37"/>
  <c r="AH83" i="37"/>
  <c r="AG83" i="37"/>
  <c r="AL82" i="37"/>
  <c r="AK82" i="37"/>
  <c r="AJ82" i="37"/>
  <c r="AI82" i="37"/>
  <c r="AH82" i="37"/>
  <c r="AG82" i="37"/>
  <c r="AL81" i="37"/>
  <c r="AK81" i="37"/>
  <c r="AJ81" i="37"/>
  <c r="AI81" i="37"/>
  <c r="AH81" i="37"/>
  <c r="AG81" i="37"/>
  <c r="AL80" i="37"/>
  <c r="AK80" i="37"/>
  <c r="AJ80" i="37"/>
  <c r="AI80" i="37"/>
  <c r="AH80" i="37"/>
  <c r="AG80" i="37"/>
  <c r="AL79" i="37"/>
  <c r="AK79" i="37"/>
  <c r="AJ79" i="37"/>
  <c r="AI79" i="37"/>
  <c r="AH79" i="37"/>
  <c r="AG79" i="37"/>
  <c r="AL78" i="37"/>
  <c r="AK78" i="37"/>
  <c r="AJ78" i="37"/>
  <c r="AI78" i="37"/>
  <c r="AH78" i="37"/>
  <c r="AG78" i="37"/>
  <c r="AL77" i="37"/>
  <c r="AK77" i="37"/>
  <c r="AJ77" i="37"/>
  <c r="AI77" i="37"/>
  <c r="AH77" i="37"/>
  <c r="AG77" i="37"/>
  <c r="AL76" i="37"/>
  <c r="AK76" i="37"/>
  <c r="AJ76" i="37"/>
  <c r="AI76" i="37"/>
  <c r="AH76" i="37"/>
  <c r="AG76" i="37"/>
  <c r="AA297" i="43"/>
  <c r="AB297" i="43"/>
  <c r="AC297" i="43"/>
  <c r="AD297" i="43"/>
  <c r="AE297" i="43"/>
  <c r="AA298" i="43"/>
  <c r="AB298" i="43"/>
  <c r="AC298" i="43"/>
  <c r="AD298" i="43"/>
  <c r="AE298" i="43"/>
  <c r="AA299" i="43"/>
  <c r="AB299" i="43"/>
  <c r="AC299" i="43"/>
  <c r="AD299" i="43"/>
  <c r="AE299" i="43"/>
  <c r="AA300" i="43"/>
  <c r="AB300" i="43"/>
  <c r="AC300" i="43"/>
  <c r="AD300" i="43"/>
  <c r="AE300" i="43"/>
  <c r="AA301" i="43"/>
  <c r="AB301" i="43"/>
  <c r="AC301" i="43"/>
  <c r="AD301" i="43"/>
  <c r="AE301" i="43"/>
  <c r="AA302" i="43"/>
  <c r="AB302" i="43"/>
  <c r="AC302" i="43"/>
  <c r="AD302" i="43"/>
  <c r="AE302" i="43"/>
  <c r="AA303" i="43"/>
  <c r="AB303" i="43"/>
  <c r="AC303" i="43"/>
  <c r="AD303" i="43"/>
  <c r="AE303" i="43"/>
  <c r="AA304" i="43"/>
  <c r="AB304" i="43"/>
  <c r="AC304" i="43"/>
  <c r="AD304" i="43"/>
  <c r="AE304" i="43"/>
  <c r="AA305" i="43"/>
  <c r="AB305" i="43"/>
  <c r="AC305" i="43"/>
  <c r="AD305" i="43"/>
  <c r="AE305" i="43"/>
  <c r="AA306" i="43"/>
  <c r="AB306" i="43"/>
  <c r="AC306" i="43"/>
  <c r="AD306" i="43"/>
  <c r="AE306" i="43"/>
  <c r="AA307" i="43"/>
  <c r="AB307" i="43"/>
  <c r="AC307" i="43"/>
  <c r="AD307" i="43"/>
  <c r="AE307" i="43"/>
  <c r="AA308" i="43"/>
  <c r="AB308" i="43"/>
  <c r="AC308" i="43"/>
  <c r="AD308" i="43"/>
  <c r="AE308" i="43"/>
  <c r="AA309" i="43"/>
  <c r="AB309" i="43"/>
  <c r="AC309" i="43"/>
  <c r="AD309" i="43"/>
  <c r="AE309" i="43"/>
  <c r="AA310" i="43"/>
  <c r="AB310" i="43"/>
  <c r="AC310" i="43"/>
  <c r="AD310" i="43"/>
  <c r="AE310" i="43"/>
  <c r="AA311" i="43"/>
  <c r="AB311" i="43"/>
  <c r="AC311" i="43"/>
  <c r="AD311" i="43"/>
  <c r="AE311" i="43"/>
  <c r="AA312" i="43"/>
  <c r="AB312" i="43"/>
  <c r="AC312" i="43"/>
  <c r="AD312" i="43"/>
  <c r="AE312" i="43"/>
  <c r="AA313" i="43"/>
  <c r="AB313" i="43"/>
  <c r="AC313" i="43"/>
  <c r="AD313" i="43"/>
  <c r="AE313" i="43"/>
  <c r="AA314" i="43"/>
  <c r="AB314" i="43"/>
  <c r="AC314" i="43"/>
  <c r="AD314" i="43"/>
  <c r="AE314" i="43"/>
  <c r="AA315" i="43"/>
  <c r="AB315" i="43"/>
  <c r="AC315" i="43"/>
  <c r="AD315" i="43"/>
  <c r="AE315" i="43"/>
  <c r="AA316" i="43"/>
  <c r="AB316" i="43"/>
  <c r="AC316" i="43"/>
  <c r="AD316" i="43"/>
  <c r="AE316" i="43"/>
  <c r="AA317" i="43"/>
  <c r="AB317" i="43"/>
  <c r="AC317" i="43"/>
  <c r="AD317" i="43"/>
  <c r="AE317" i="43"/>
  <c r="AA318" i="43"/>
  <c r="AB318" i="43"/>
  <c r="AC318" i="43"/>
  <c r="AD318" i="43"/>
  <c r="AE318" i="43"/>
  <c r="AA319" i="43"/>
  <c r="AB319" i="43"/>
  <c r="AC319" i="43"/>
  <c r="AD319" i="43"/>
  <c r="AE319" i="43"/>
  <c r="AA320" i="43"/>
  <c r="AB320" i="43"/>
  <c r="AC320" i="43"/>
  <c r="AD320" i="43"/>
  <c r="AE320" i="43"/>
  <c r="AA321" i="43"/>
  <c r="AB321" i="43"/>
  <c r="AC321" i="43"/>
  <c r="AD321" i="43"/>
  <c r="AE321" i="43"/>
  <c r="AA322" i="43"/>
  <c r="AB322" i="43"/>
  <c r="AC322" i="43"/>
  <c r="AD322" i="43"/>
  <c r="AE322" i="43"/>
  <c r="AA323" i="43"/>
  <c r="AB323" i="43"/>
  <c r="AC323" i="43"/>
  <c r="AD323" i="43"/>
  <c r="AE323" i="43"/>
  <c r="AA324" i="43"/>
  <c r="AB324" i="43"/>
  <c r="AC324" i="43"/>
  <c r="AD324" i="43"/>
  <c r="AE324" i="43"/>
  <c r="AA325" i="43"/>
  <c r="AB325" i="43"/>
  <c r="AC325" i="43"/>
  <c r="AD325" i="43"/>
  <c r="AE325" i="43"/>
  <c r="AA326" i="43"/>
  <c r="AB326" i="43"/>
  <c r="AC326" i="43"/>
  <c r="AD326" i="43"/>
  <c r="AE326" i="43"/>
  <c r="AA327" i="43"/>
  <c r="AB327" i="43"/>
  <c r="AC327" i="43"/>
  <c r="AD327" i="43"/>
  <c r="AE327" i="43"/>
  <c r="AA328" i="43"/>
  <c r="AB328" i="43"/>
  <c r="AC328" i="43"/>
  <c r="AD328" i="43"/>
  <c r="AE328" i="43"/>
  <c r="AA329" i="43"/>
  <c r="AB329" i="43"/>
  <c r="AC329" i="43"/>
  <c r="AD329" i="43"/>
  <c r="AE329" i="43"/>
  <c r="AA330" i="43"/>
  <c r="AB330" i="43"/>
  <c r="AC330" i="43"/>
  <c r="AD330" i="43"/>
  <c r="AE330" i="43"/>
  <c r="AA331" i="43"/>
  <c r="AB331" i="43"/>
  <c r="AC331" i="43"/>
  <c r="AD331" i="43"/>
  <c r="AE331" i="43"/>
  <c r="AA332" i="43"/>
  <c r="AB332" i="43"/>
  <c r="AC332" i="43"/>
  <c r="AD332" i="43"/>
  <c r="AE332" i="43"/>
  <c r="AA333" i="43"/>
  <c r="AB333" i="43"/>
  <c r="AC333" i="43"/>
  <c r="AD333" i="43"/>
  <c r="AE333" i="43"/>
  <c r="AA334" i="43"/>
  <c r="AB334" i="43"/>
  <c r="AC334" i="43"/>
  <c r="AD334" i="43"/>
  <c r="AE334" i="43"/>
  <c r="AA335" i="43"/>
  <c r="AB335" i="43"/>
  <c r="AC335" i="43"/>
  <c r="AD335" i="43"/>
  <c r="AE335" i="43"/>
  <c r="AA336" i="43"/>
  <c r="AB336" i="43"/>
  <c r="AC336" i="43"/>
  <c r="AD336" i="43"/>
  <c r="AE336" i="43"/>
  <c r="AA337" i="43"/>
  <c r="AB337" i="43"/>
  <c r="AC337" i="43"/>
  <c r="AD337" i="43"/>
  <c r="AE337" i="43"/>
  <c r="AA338" i="43"/>
  <c r="AB338" i="43"/>
  <c r="AC338" i="43"/>
  <c r="AD338" i="43"/>
  <c r="AE338" i="43"/>
  <c r="AA339" i="43"/>
  <c r="AB339" i="43"/>
  <c r="AC339" i="43"/>
  <c r="AD339" i="43"/>
  <c r="AE339" i="43"/>
  <c r="AA340" i="43"/>
  <c r="AB340" i="43"/>
  <c r="AC340" i="43"/>
  <c r="AD340" i="43"/>
  <c r="AE340" i="43"/>
  <c r="AA341" i="43"/>
  <c r="AB341" i="43"/>
  <c r="AC341" i="43"/>
  <c r="AD341" i="43"/>
  <c r="AE341" i="43"/>
  <c r="AA342" i="43"/>
  <c r="AB342" i="43"/>
  <c r="AC342" i="43"/>
  <c r="AD342" i="43"/>
  <c r="AE342" i="43"/>
  <c r="AA343" i="43"/>
  <c r="AB343" i="43"/>
  <c r="AC343" i="43"/>
  <c r="AD343" i="43"/>
  <c r="AE343" i="43"/>
  <c r="AA344" i="43"/>
  <c r="AB344" i="43"/>
  <c r="AC344" i="43"/>
  <c r="AD344" i="43"/>
  <c r="AE344" i="43"/>
  <c r="AA345" i="43"/>
  <c r="AB345" i="43"/>
  <c r="AC345" i="43"/>
  <c r="AD345" i="43"/>
  <c r="AE345" i="43"/>
  <c r="AA346" i="43"/>
  <c r="AB346" i="43"/>
  <c r="AC346" i="43"/>
  <c r="AD346" i="43"/>
  <c r="AE346" i="43"/>
  <c r="AA347" i="43"/>
  <c r="AB347" i="43"/>
  <c r="AC347" i="43"/>
  <c r="AD347" i="43"/>
  <c r="AE347" i="43"/>
  <c r="AA348" i="43"/>
  <c r="AB348" i="43"/>
  <c r="AC348" i="43"/>
  <c r="AD348" i="43"/>
  <c r="AE348" i="43"/>
  <c r="AA349" i="43"/>
  <c r="AB349" i="43"/>
  <c r="AC349" i="43"/>
  <c r="AD349" i="43"/>
  <c r="AE349" i="43"/>
  <c r="AA350" i="43"/>
  <c r="AB350" i="43"/>
  <c r="AC350" i="43"/>
  <c r="AD350" i="43"/>
  <c r="AE350" i="43"/>
  <c r="AA351" i="43"/>
  <c r="AB351" i="43"/>
  <c r="AC351" i="43"/>
  <c r="AD351" i="43"/>
  <c r="AE351" i="43"/>
  <c r="AA352" i="43"/>
  <c r="AB352" i="43"/>
  <c r="AC352" i="43"/>
  <c r="AD352" i="43"/>
  <c r="AE352" i="43"/>
  <c r="AA353" i="43"/>
  <c r="AB353" i="43"/>
  <c r="AC353" i="43"/>
  <c r="AD353" i="43"/>
  <c r="AE353" i="43"/>
  <c r="AA354" i="43"/>
  <c r="AB354" i="43"/>
  <c r="AC354" i="43"/>
  <c r="AD354" i="43"/>
  <c r="AE354" i="43"/>
  <c r="AA355" i="43"/>
  <c r="AB355" i="43"/>
  <c r="AC355" i="43"/>
  <c r="AD355" i="43"/>
  <c r="AE355" i="43"/>
  <c r="AA356" i="43"/>
  <c r="AB356" i="43"/>
  <c r="AC356" i="43"/>
  <c r="AD356" i="43"/>
  <c r="AE356" i="43"/>
  <c r="AA357" i="43"/>
  <c r="AB357" i="43"/>
  <c r="AC357" i="43"/>
  <c r="AD357" i="43"/>
  <c r="AE357" i="43"/>
  <c r="AA358" i="43"/>
  <c r="AB358" i="43"/>
  <c r="AC358" i="43"/>
  <c r="AD358" i="43"/>
  <c r="AE358" i="43"/>
  <c r="AA359" i="43"/>
  <c r="AB359" i="43"/>
  <c r="AC359" i="43"/>
  <c r="AD359" i="43"/>
  <c r="AE359" i="43"/>
  <c r="AA360" i="43"/>
  <c r="AB360" i="43"/>
  <c r="AC360" i="43"/>
  <c r="AD360" i="43"/>
  <c r="AE360" i="43"/>
  <c r="AA361" i="43"/>
  <c r="AB361" i="43"/>
  <c r="AC361" i="43"/>
  <c r="AD361" i="43"/>
  <c r="AE361" i="43"/>
  <c r="AA362" i="43"/>
  <c r="AB362" i="43"/>
  <c r="AC362" i="43"/>
  <c r="AD362" i="43"/>
  <c r="AE362" i="43"/>
  <c r="AA363" i="43"/>
  <c r="AB363" i="43"/>
  <c r="AC363" i="43"/>
  <c r="AD363" i="43"/>
  <c r="AE363" i="43"/>
  <c r="AA364" i="43"/>
  <c r="AB364" i="43"/>
  <c r="AC364" i="43"/>
  <c r="AD364" i="43"/>
  <c r="AE364" i="43"/>
  <c r="AA365" i="43"/>
  <c r="AB365" i="43"/>
  <c r="AC365" i="43"/>
  <c r="AD365" i="43"/>
  <c r="AE365" i="43"/>
  <c r="AA366" i="43"/>
  <c r="AB366" i="43"/>
  <c r="AC366" i="43"/>
  <c r="AD366" i="43"/>
  <c r="AE366" i="43"/>
  <c r="AA367" i="43"/>
  <c r="AB367" i="43"/>
  <c r="AC367" i="43"/>
  <c r="AD367" i="43"/>
  <c r="AE367" i="43"/>
  <c r="AA368" i="43"/>
  <c r="AB368" i="43"/>
  <c r="AC368" i="43"/>
  <c r="AD368" i="43"/>
  <c r="AE368" i="43"/>
  <c r="AA369" i="43"/>
  <c r="AB369" i="43"/>
  <c r="AC369" i="43"/>
  <c r="AD369" i="43"/>
  <c r="AE369" i="43"/>
  <c r="AA370" i="43"/>
  <c r="AB370" i="43"/>
  <c r="AC370" i="43"/>
  <c r="AD370" i="43"/>
  <c r="AE370" i="43"/>
  <c r="AA371" i="43"/>
  <c r="AB371" i="43"/>
  <c r="AC371" i="43"/>
  <c r="AD371" i="43"/>
  <c r="AE371" i="43"/>
  <c r="AA372" i="43"/>
  <c r="AB372" i="43"/>
  <c r="AC372" i="43"/>
  <c r="AD372" i="43"/>
  <c r="AE372" i="43"/>
  <c r="AA373" i="43"/>
  <c r="AB373" i="43"/>
  <c r="AC373" i="43"/>
  <c r="AD373" i="43"/>
  <c r="AE373" i="43"/>
  <c r="AA374" i="43"/>
  <c r="AB374" i="43"/>
  <c r="AC374" i="43"/>
  <c r="AD374" i="43"/>
  <c r="AE374" i="43"/>
  <c r="AA375" i="43"/>
  <c r="AB375" i="43"/>
  <c r="AC375" i="43"/>
  <c r="AD375" i="43"/>
  <c r="AE375" i="43"/>
  <c r="AA376" i="43"/>
  <c r="AB376" i="43"/>
  <c r="AC376" i="43"/>
  <c r="AD376" i="43"/>
  <c r="AE376" i="43"/>
  <c r="AA377" i="43"/>
  <c r="AB377" i="43"/>
  <c r="AC377" i="43"/>
  <c r="AD377" i="43"/>
  <c r="AE377" i="43"/>
  <c r="AA378" i="43"/>
  <c r="AB378" i="43"/>
  <c r="AC378" i="43"/>
  <c r="AD378" i="43"/>
  <c r="AE378" i="43"/>
  <c r="AA379" i="43"/>
  <c r="AB379" i="43"/>
  <c r="AC379" i="43"/>
  <c r="AD379" i="43"/>
  <c r="AE379" i="43"/>
  <c r="AA380" i="43"/>
  <c r="AB380" i="43"/>
  <c r="AC380" i="43"/>
  <c r="AD380" i="43"/>
  <c r="AE380" i="43"/>
  <c r="AA381" i="43"/>
  <c r="AB381" i="43"/>
  <c r="AC381" i="43"/>
  <c r="AD381" i="43"/>
  <c r="AE381" i="43"/>
  <c r="AA382" i="43"/>
  <c r="AB382" i="43"/>
  <c r="AC382" i="43"/>
  <c r="AD382" i="43"/>
  <c r="AE382" i="43"/>
  <c r="AA383" i="43"/>
  <c r="AB383" i="43"/>
  <c r="AC383" i="43"/>
  <c r="AD383" i="43"/>
  <c r="AE383" i="43"/>
  <c r="AA384" i="43"/>
  <c r="AB384" i="43"/>
  <c r="AC384" i="43"/>
  <c r="AD384" i="43"/>
  <c r="AE384" i="43"/>
  <c r="AA385" i="43"/>
  <c r="AB385" i="43"/>
  <c r="AC385" i="43"/>
  <c r="AD385" i="43"/>
  <c r="AE385" i="43"/>
  <c r="AA386" i="43"/>
  <c r="AB386" i="43"/>
  <c r="AC386" i="43"/>
  <c r="AD386" i="43"/>
  <c r="AE386" i="43"/>
  <c r="AA387" i="43"/>
  <c r="AB387" i="43"/>
  <c r="AC387" i="43"/>
  <c r="AD387" i="43"/>
  <c r="AE387" i="43"/>
  <c r="AA388" i="43"/>
  <c r="AB388" i="43"/>
  <c r="AC388" i="43"/>
  <c r="AD388" i="43"/>
  <c r="AE388" i="43"/>
  <c r="AA389" i="43"/>
  <c r="AB389" i="43"/>
  <c r="AC389" i="43"/>
  <c r="AD389" i="43"/>
  <c r="AE389" i="43"/>
  <c r="AA390" i="43"/>
  <c r="AB390" i="43"/>
  <c r="AC390" i="43"/>
  <c r="AD390" i="43"/>
  <c r="AE390" i="43"/>
  <c r="AA391" i="43"/>
  <c r="AB391" i="43"/>
  <c r="AC391" i="43"/>
  <c r="AD391" i="43"/>
  <c r="AE391" i="43"/>
  <c r="AA392" i="43"/>
  <c r="AB392" i="43"/>
  <c r="AC392" i="43"/>
  <c r="AD392" i="43"/>
  <c r="AE392" i="43"/>
  <c r="AA393" i="43"/>
  <c r="AB393" i="43"/>
  <c r="AC393" i="43"/>
  <c r="AD393" i="43"/>
  <c r="AE393" i="43"/>
  <c r="AA394" i="43"/>
  <c r="AB394" i="43"/>
  <c r="AC394" i="43"/>
  <c r="AD394" i="43"/>
  <c r="AE394" i="43"/>
  <c r="AA395" i="43"/>
  <c r="AB395" i="43"/>
  <c r="AC395" i="43"/>
  <c r="AD395" i="43"/>
  <c r="AE395" i="43"/>
  <c r="AA396" i="43"/>
  <c r="AB396" i="43"/>
  <c r="AC396" i="43"/>
  <c r="AD396" i="43"/>
  <c r="AE396" i="43"/>
  <c r="AA397" i="43"/>
  <c r="AB397" i="43"/>
  <c r="AC397" i="43"/>
  <c r="AD397" i="43"/>
  <c r="AE397" i="43"/>
  <c r="AA398" i="43"/>
  <c r="AB398" i="43"/>
  <c r="AC398" i="43"/>
  <c r="AD398" i="43"/>
  <c r="AE398" i="43"/>
  <c r="AA399" i="43"/>
  <c r="AB399" i="43"/>
  <c r="AC399" i="43"/>
  <c r="AD399" i="43"/>
  <c r="AE399" i="43"/>
  <c r="AA400" i="43"/>
  <c r="AB400" i="43"/>
  <c r="AC400" i="43"/>
  <c r="AD400" i="43"/>
  <c r="AE400" i="43"/>
  <c r="AA401" i="43"/>
  <c r="AB401" i="43"/>
  <c r="AC401" i="43"/>
  <c r="AD401" i="43"/>
  <c r="AE401" i="43"/>
  <c r="AA402" i="43"/>
  <c r="AB402" i="43"/>
  <c r="AC402" i="43"/>
  <c r="AD402" i="43"/>
  <c r="AE402" i="43"/>
  <c r="AA403" i="43"/>
  <c r="AB403" i="43"/>
  <c r="AC403" i="43"/>
  <c r="AD403" i="43"/>
  <c r="AE403" i="43"/>
  <c r="AA404" i="43"/>
  <c r="AB404" i="43"/>
  <c r="AC404" i="43"/>
  <c r="AD404" i="43"/>
  <c r="AE404" i="43"/>
  <c r="AA405" i="43"/>
  <c r="AB405" i="43"/>
  <c r="AC405" i="43"/>
  <c r="AD405" i="43"/>
  <c r="AE405" i="43"/>
  <c r="AA406" i="43"/>
  <c r="AB406" i="43"/>
  <c r="AC406" i="43"/>
  <c r="AD406" i="43"/>
  <c r="AE406" i="43"/>
  <c r="AA407" i="43"/>
  <c r="AB407" i="43"/>
  <c r="AC407" i="43"/>
  <c r="AD407" i="43"/>
  <c r="AE407" i="43"/>
  <c r="AA408" i="43"/>
  <c r="AB408" i="43"/>
  <c r="AC408" i="43"/>
  <c r="AD408" i="43"/>
  <c r="AE408" i="43"/>
  <c r="AA409" i="43"/>
  <c r="AB409" i="43"/>
  <c r="AC409" i="43"/>
  <c r="AD409" i="43"/>
  <c r="AE409" i="43"/>
  <c r="AA410" i="43"/>
  <c r="AB410" i="43"/>
  <c r="AC410" i="43"/>
  <c r="AD410" i="43"/>
  <c r="AE410" i="43"/>
  <c r="AA411" i="43"/>
  <c r="AB411" i="43"/>
  <c r="AC411" i="43"/>
  <c r="AD411" i="43"/>
  <c r="AE411" i="43"/>
  <c r="AA412" i="43"/>
  <c r="AB412" i="43"/>
  <c r="AC412" i="43"/>
  <c r="AD412" i="43"/>
  <c r="AE412" i="43"/>
  <c r="AA413" i="43"/>
  <c r="AB413" i="43"/>
  <c r="AC413" i="43"/>
  <c r="AD413" i="43"/>
  <c r="AE413" i="43"/>
  <c r="AA414" i="43"/>
  <c r="AB414" i="43"/>
  <c r="AC414" i="43"/>
  <c r="AD414" i="43"/>
  <c r="AE414" i="43"/>
  <c r="AA415" i="43"/>
  <c r="AB415" i="43"/>
  <c r="AC415" i="43"/>
  <c r="AD415" i="43"/>
  <c r="AE415" i="43"/>
  <c r="AA416" i="43"/>
  <c r="AB416" i="43"/>
  <c r="AC416" i="43"/>
  <c r="AD416" i="43"/>
  <c r="AE416" i="43"/>
  <c r="AA417" i="43"/>
  <c r="AB417" i="43"/>
  <c r="AC417" i="43"/>
  <c r="AD417" i="43"/>
  <c r="AE417" i="43"/>
  <c r="AA418" i="43"/>
  <c r="AB418" i="43"/>
  <c r="AC418" i="43"/>
  <c r="AD418" i="43"/>
  <c r="AE418" i="43"/>
  <c r="AA419" i="43"/>
  <c r="AB419" i="43"/>
  <c r="AC419" i="43"/>
  <c r="AD419" i="43"/>
  <c r="AE419" i="43"/>
  <c r="AA420" i="43"/>
  <c r="AB420" i="43"/>
  <c r="AC420" i="43"/>
  <c r="AD420" i="43"/>
  <c r="AE420" i="43"/>
  <c r="AA421" i="43"/>
  <c r="AB421" i="43"/>
  <c r="AC421" i="43"/>
  <c r="AD421" i="43"/>
  <c r="AE421" i="43"/>
  <c r="AA422" i="43"/>
  <c r="AB422" i="43"/>
  <c r="AC422" i="43"/>
  <c r="AD422" i="43"/>
  <c r="AE422" i="43"/>
  <c r="AA423" i="43"/>
  <c r="AB423" i="43"/>
  <c r="AC423" i="43"/>
  <c r="AD423" i="43"/>
  <c r="AE423" i="43"/>
  <c r="AA424" i="43"/>
  <c r="AB424" i="43"/>
  <c r="AC424" i="43"/>
  <c r="AD424" i="43"/>
  <c r="AE424" i="43"/>
  <c r="AA425" i="43"/>
  <c r="AB425" i="43"/>
  <c r="AC425" i="43"/>
  <c r="AD425" i="43"/>
  <c r="AE425" i="43"/>
  <c r="AA426" i="43"/>
  <c r="AB426" i="43"/>
  <c r="AC426" i="43"/>
  <c r="AD426" i="43"/>
  <c r="AE426" i="43"/>
  <c r="AA427" i="43"/>
  <c r="AB427" i="43"/>
  <c r="AC427" i="43"/>
  <c r="AD427" i="43"/>
  <c r="AE427" i="43"/>
  <c r="AA428" i="43"/>
  <c r="AB428" i="43"/>
  <c r="AC428" i="43"/>
  <c r="AD428" i="43"/>
  <c r="AE428" i="43"/>
  <c r="AA429" i="43"/>
  <c r="AB429" i="43"/>
  <c r="AC429" i="43"/>
  <c r="AD429" i="43"/>
  <c r="AE429" i="43"/>
  <c r="AA430" i="43"/>
  <c r="AB430" i="43"/>
  <c r="AC430" i="43"/>
  <c r="AD430" i="43"/>
  <c r="AE430" i="43"/>
  <c r="AA431" i="43"/>
  <c r="AB431" i="43"/>
  <c r="AC431" i="43"/>
  <c r="AD431" i="43"/>
  <c r="AE431" i="43"/>
  <c r="AA432" i="43"/>
  <c r="AB432" i="43"/>
  <c r="AC432" i="43"/>
  <c r="AD432" i="43"/>
  <c r="AE432" i="43"/>
  <c r="AA433" i="43"/>
  <c r="AB433" i="43"/>
  <c r="AC433" i="43"/>
  <c r="AD433" i="43"/>
  <c r="AE433" i="43"/>
  <c r="AA434" i="43"/>
  <c r="AB434" i="43"/>
  <c r="AC434" i="43"/>
  <c r="AD434" i="43"/>
  <c r="AE434" i="43"/>
  <c r="AA435" i="43"/>
  <c r="AB435" i="43"/>
  <c r="AC435" i="43"/>
  <c r="AD435" i="43"/>
  <c r="AE435" i="43"/>
  <c r="AA436" i="43"/>
  <c r="AB436" i="43"/>
  <c r="AC436" i="43"/>
  <c r="AD436" i="43"/>
  <c r="AE436" i="43"/>
  <c r="AA437" i="43"/>
  <c r="AB437" i="43"/>
  <c r="AC437" i="43"/>
  <c r="AD437" i="43"/>
  <c r="AE437" i="43"/>
  <c r="AA438" i="43"/>
  <c r="AB438" i="43"/>
  <c r="AC438" i="43"/>
  <c r="AD438" i="43"/>
  <c r="AE438" i="43"/>
  <c r="AA439" i="43"/>
  <c r="AB439" i="43"/>
  <c r="AC439" i="43"/>
  <c r="AD439" i="43"/>
  <c r="AE439" i="43"/>
  <c r="AA440" i="43"/>
  <c r="AB440" i="43"/>
  <c r="AC440" i="43"/>
  <c r="AD440" i="43"/>
  <c r="AE440" i="43"/>
  <c r="AA441" i="43"/>
  <c r="AB441" i="43"/>
  <c r="AC441" i="43"/>
  <c r="AD441" i="43"/>
  <c r="AE441" i="43"/>
  <c r="AA442" i="43"/>
  <c r="AB442" i="43"/>
  <c r="AC442" i="43"/>
  <c r="AD442" i="43"/>
  <c r="AE442" i="43"/>
  <c r="AA443" i="43"/>
  <c r="AB443" i="43"/>
  <c r="AC443" i="43"/>
  <c r="AD443" i="43"/>
  <c r="AE443" i="43"/>
  <c r="AA444" i="43"/>
  <c r="AB444" i="43"/>
  <c r="AC444" i="43"/>
  <c r="AD444" i="43"/>
  <c r="AE444" i="43"/>
  <c r="AA445" i="43"/>
  <c r="AB445" i="43"/>
  <c r="AC445" i="43"/>
  <c r="AD445" i="43"/>
  <c r="AE445" i="43"/>
  <c r="AA446" i="43"/>
  <c r="AB446" i="43"/>
  <c r="AC446" i="43"/>
  <c r="AD446" i="43"/>
  <c r="AE446" i="43"/>
  <c r="AA447" i="43"/>
  <c r="AB447" i="43"/>
  <c r="AC447" i="43"/>
  <c r="AD447" i="43"/>
  <c r="AE447" i="43"/>
  <c r="AA448" i="43"/>
  <c r="AB448" i="43"/>
  <c r="AC448" i="43"/>
  <c r="AD448" i="43"/>
  <c r="AE448" i="43"/>
  <c r="AA449" i="43"/>
  <c r="AB449" i="43"/>
  <c r="AC449" i="43"/>
  <c r="AD449" i="43"/>
  <c r="AE449" i="43"/>
  <c r="AA450" i="43"/>
  <c r="AB450" i="43"/>
  <c r="AC450" i="43"/>
  <c r="AD450" i="43"/>
  <c r="AE450" i="43"/>
  <c r="AA451" i="43"/>
  <c r="AB451" i="43"/>
  <c r="AC451" i="43"/>
  <c r="AD451" i="43"/>
  <c r="AE451" i="43"/>
  <c r="AA452" i="43"/>
  <c r="AB452" i="43"/>
  <c r="AC452" i="43"/>
  <c r="AD452" i="43"/>
  <c r="AE452" i="43"/>
  <c r="AA453" i="43"/>
  <c r="AB453" i="43"/>
  <c r="AC453" i="43"/>
  <c r="AD453" i="43"/>
  <c r="AE453" i="43"/>
  <c r="AA454" i="43"/>
  <c r="AB454" i="43"/>
  <c r="AC454" i="43"/>
  <c r="AD454" i="43"/>
  <c r="AE454" i="43"/>
  <c r="AA455" i="43"/>
  <c r="AB455" i="43"/>
  <c r="AC455" i="43"/>
  <c r="AD455" i="43"/>
  <c r="AE455" i="43"/>
  <c r="AA456" i="43"/>
  <c r="AB456" i="43"/>
  <c r="AC456" i="43"/>
  <c r="AD456" i="43"/>
  <c r="AE456" i="43"/>
  <c r="AA457" i="43"/>
  <c r="AB457" i="43"/>
  <c r="AC457" i="43"/>
  <c r="AD457" i="43"/>
  <c r="AE457" i="43"/>
  <c r="AA458" i="43"/>
  <c r="AB458" i="43"/>
  <c r="AC458" i="43"/>
  <c r="AD458" i="43"/>
  <c r="AE458" i="43"/>
  <c r="AA459" i="43"/>
  <c r="AB459" i="43"/>
  <c r="AC459" i="43"/>
  <c r="AD459" i="43"/>
  <c r="AE459" i="43"/>
  <c r="AA460" i="43"/>
  <c r="AB460" i="43"/>
  <c r="AC460" i="43"/>
  <c r="AD460" i="43"/>
  <c r="AE460" i="43"/>
  <c r="AA461" i="43"/>
  <c r="AB461" i="43"/>
  <c r="AC461" i="43"/>
  <c r="AD461" i="43"/>
  <c r="AE461" i="43"/>
  <c r="AA462" i="43"/>
  <c r="AB462" i="43"/>
  <c r="AC462" i="43"/>
  <c r="AD462" i="43"/>
  <c r="AE462" i="43"/>
  <c r="AA463" i="43"/>
  <c r="AB463" i="43"/>
  <c r="AC463" i="43"/>
  <c r="AD463" i="43"/>
  <c r="AE463" i="43"/>
  <c r="AA464" i="43"/>
  <c r="AB464" i="43"/>
  <c r="AC464" i="43"/>
  <c r="AD464" i="43"/>
  <c r="AE464" i="43"/>
  <c r="AA465" i="43"/>
  <c r="AB465" i="43"/>
  <c r="AC465" i="43"/>
  <c r="AD465" i="43"/>
  <c r="AE465" i="43"/>
  <c r="AA466" i="43"/>
  <c r="AB466" i="43"/>
  <c r="AC466" i="43"/>
  <c r="AD466" i="43"/>
  <c r="AE466" i="43"/>
  <c r="AA467" i="43"/>
  <c r="AB467" i="43"/>
  <c r="AC467" i="43"/>
  <c r="AD467" i="43"/>
  <c r="AE467" i="43"/>
  <c r="AA468" i="43"/>
  <c r="AB468" i="43"/>
  <c r="AC468" i="43"/>
  <c r="AD468" i="43"/>
  <c r="AE468" i="43"/>
  <c r="AA469" i="43"/>
  <c r="AB469" i="43"/>
  <c r="AC469" i="43"/>
  <c r="AD469" i="43"/>
  <c r="AE469" i="43"/>
  <c r="AA470" i="43"/>
  <c r="AB470" i="43"/>
  <c r="AC470" i="43"/>
  <c r="AD470" i="43"/>
  <c r="AE470" i="43"/>
  <c r="AA471" i="43"/>
  <c r="AB471" i="43"/>
  <c r="AC471" i="43"/>
  <c r="AD471" i="43"/>
  <c r="AE471" i="43"/>
  <c r="AA472" i="43"/>
  <c r="AB472" i="43"/>
  <c r="AC472" i="43"/>
  <c r="AD472" i="43"/>
  <c r="AE472" i="43"/>
  <c r="AA473" i="43"/>
  <c r="AB473" i="43"/>
  <c r="AC473" i="43"/>
  <c r="AD473" i="43"/>
  <c r="AE473" i="43"/>
  <c r="AA474" i="43"/>
  <c r="AB474" i="43"/>
  <c r="AC474" i="43"/>
  <c r="AD474" i="43"/>
  <c r="AE474" i="43"/>
  <c r="AA475" i="43"/>
  <c r="AB475" i="43"/>
  <c r="AC475" i="43"/>
  <c r="AD475" i="43"/>
  <c r="AE475" i="43"/>
  <c r="AA476" i="43"/>
  <c r="AB476" i="43"/>
  <c r="AC476" i="43"/>
  <c r="AD476" i="43"/>
  <c r="AE476" i="43"/>
  <c r="AA477" i="43"/>
  <c r="AB477" i="43"/>
  <c r="AC477" i="43"/>
  <c r="AD477" i="43"/>
  <c r="AE477" i="43"/>
  <c r="AA478" i="43"/>
  <c r="AB478" i="43"/>
  <c r="AC478" i="43"/>
  <c r="AD478" i="43"/>
  <c r="AE478" i="43"/>
  <c r="AA479" i="43"/>
  <c r="AB479" i="43"/>
  <c r="AC479" i="43"/>
  <c r="AD479" i="43"/>
  <c r="AE479" i="43"/>
  <c r="AA480" i="43"/>
  <c r="AB480" i="43"/>
  <c r="AC480" i="43"/>
  <c r="AD480" i="43"/>
  <c r="AE480" i="43"/>
  <c r="AA481" i="43"/>
  <c r="AB481" i="43"/>
  <c r="AC481" i="43"/>
  <c r="AD481" i="43"/>
  <c r="AE481" i="43"/>
  <c r="AA482" i="43"/>
  <c r="AB482" i="43"/>
  <c r="AC482" i="43"/>
  <c r="AD482" i="43"/>
  <c r="AE482" i="43"/>
  <c r="AA483" i="43"/>
  <c r="AB483" i="43"/>
  <c r="AC483" i="43"/>
  <c r="AD483" i="43"/>
  <c r="AE483" i="43"/>
  <c r="AA484" i="43"/>
  <c r="AB484" i="43"/>
  <c r="AC484" i="43"/>
  <c r="AD484" i="43"/>
  <c r="AE484" i="43"/>
  <c r="AA485" i="43"/>
  <c r="AB485" i="43"/>
  <c r="AC485" i="43"/>
  <c r="AD485" i="43"/>
  <c r="AE485" i="43"/>
  <c r="AA486" i="43"/>
  <c r="AB486" i="43"/>
  <c r="AC486" i="43"/>
  <c r="AD486" i="43"/>
  <c r="AE486" i="43"/>
  <c r="AA487" i="43"/>
  <c r="AB487" i="43"/>
  <c r="AC487" i="43"/>
  <c r="AD487" i="43"/>
  <c r="AE487" i="43"/>
  <c r="AA488" i="43"/>
  <c r="AB488" i="43"/>
  <c r="AC488" i="43"/>
  <c r="AD488" i="43"/>
  <c r="AE488" i="43"/>
  <c r="AA489" i="43"/>
  <c r="AB489" i="43"/>
  <c r="AC489" i="43"/>
  <c r="AD489" i="43"/>
  <c r="AE489" i="43"/>
  <c r="AA490" i="43"/>
  <c r="AB490" i="43"/>
  <c r="AC490" i="43"/>
  <c r="AD490" i="43"/>
  <c r="AE490" i="43"/>
  <c r="AA491" i="43"/>
  <c r="AB491" i="43"/>
  <c r="AC491" i="43"/>
  <c r="AD491" i="43"/>
  <c r="AE491" i="43"/>
  <c r="AA492" i="43"/>
  <c r="AB492" i="43"/>
  <c r="AC492" i="43"/>
  <c r="AD492" i="43"/>
  <c r="AE492" i="43"/>
  <c r="AA493" i="43"/>
  <c r="AB493" i="43"/>
  <c r="AC493" i="43"/>
  <c r="AD493" i="43"/>
  <c r="AE493" i="43"/>
  <c r="AA494" i="43"/>
  <c r="AB494" i="43"/>
  <c r="AC494" i="43"/>
  <c r="AD494" i="43"/>
  <c r="AE494" i="43"/>
  <c r="AA495" i="43"/>
  <c r="AB495" i="43"/>
  <c r="AC495" i="43"/>
  <c r="AD495" i="43"/>
  <c r="AE495" i="43"/>
  <c r="AA496" i="43"/>
  <c r="AB496" i="43"/>
  <c r="AC496" i="43"/>
  <c r="AD496" i="43"/>
  <c r="AE496" i="43"/>
  <c r="AA497" i="43"/>
  <c r="AB497" i="43"/>
  <c r="AC497" i="43"/>
  <c r="AD497" i="43"/>
  <c r="AE497" i="43"/>
  <c r="AA498" i="43"/>
  <c r="AB498" i="43"/>
  <c r="AC498" i="43"/>
  <c r="AD498" i="43"/>
  <c r="AE498" i="43"/>
  <c r="AA499" i="43"/>
  <c r="AB499" i="43"/>
  <c r="AC499" i="43"/>
  <c r="AD499" i="43"/>
  <c r="AE499" i="43"/>
  <c r="AA500" i="43"/>
  <c r="AB500" i="43"/>
  <c r="AC500" i="43"/>
  <c r="AD500" i="43"/>
  <c r="AE500" i="43"/>
  <c r="AA501" i="43"/>
  <c r="AB501" i="43"/>
  <c r="AC501" i="43"/>
  <c r="AD501" i="43"/>
  <c r="AE501" i="43"/>
  <c r="AA502" i="43"/>
  <c r="AB502" i="43"/>
  <c r="AC502" i="43"/>
  <c r="AD502" i="43"/>
  <c r="AE502" i="43"/>
  <c r="AA503" i="43"/>
  <c r="AB503" i="43"/>
  <c r="AC503" i="43"/>
  <c r="AD503" i="43"/>
  <c r="AE503" i="43"/>
  <c r="AA504" i="43"/>
  <c r="AB504" i="43"/>
  <c r="AC504" i="43"/>
  <c r="AD504" i="43"/>
  <c r="AE504" i="43"/>
  <c r="AA505" i="43"/>
  <c r="AB505" i="43"/>
  <c r="AC505" i="43"/>
  <c r="AD505" i="43"/>
  <c r="AE505" i="43"/>
  <c r="AA506" i="43"/>
  <c r="AB506" i="43"/>
  <c r="AC506" i="43"/>
  <c r="AD506" i="43"/>
  <c r="AE506" i="43"/>
  <c r="AA507" i="43"/>
  <c r="AB507" i="43"/>
  <c r="AC507" i="43"/>
  <c r="AD507" i="43"/>
  <c r="AE507" i="43"/>
  <c r="AA508" i="43"/>
  <c r="AB508" i="43"/>
  <c r="AC508" i="43"/>
  <c r="AD508" i="43"/>
  <c r="AE508" i="43"/>
  <c r="AA509" i="43"/>
  <c r="AB509" i="43"/>
  <c r="AC509" i="43"/>
  <c r="AD509" i="43"/>
  <c r="AE509" i="43"/>
  <c r="AA510" i="43"/>
  <c r="AB510" i="43"/>
  <c r="AC510" i="43"/>
  <c r="AD510" i="43"/>
  <c r="AE510" i="43"/>
  <c r="AA511" i="43"/>
  <c r="AB511" i="43"/>
  <c r="AC511" i="43"/>
  <c r="AD511" i="43"/>
  <c r="AE511" i="43"/>
  <c r="AA512" i="43"/>
  <c r="AB512" i="43"/>
  <c r="AC512" i="43"/>
  <c r="AD512" i="43"/>
  <c r="AE512" i="43"/>
  <c r="AA513" i="43"/>
  <c r="AB513" i="43"/>
  <c r="AC513" i="43"/>
  <c r="AD513" i="43"/>
  <c r="AE513" i="43"/>
  <c r="AA514" i="43"/>
  <c r="AB514" i="43"/>
  <c r="AC514" i="43"/>
  <c r="AD514" i="43"/>
  <c r="AE514" i="43"/>
  <c r="AA515" i="43"/>
  <c r="AB515" i="43"/>
  <c r="AC515" i="43"/>
  <c r="AD515" i="43"/>
  <c r="AE515" i="43"/>
  <c r="AE296" i="43"/>
  <c r="AD296" i="43"/>
  <c r="AC296" i="43"/>
  <c r="AB296" i="43"/>
  <c r="AA296" i="43"/>
  <c r="Z296" i="43"/>
  <c r="Z77" i="43"/>
  <c r="AA77" i="43"/>
  <c r="AB77" i="43"/>
  <c r="AC77" i="43"/>
  <c r="AD77" i="43"/>
  <c r="AE77" i="43"/>
  <c r="Z78" i="43"/>
  <c r="AA78" i="43"/>
  <c r="AB78" i="43"/>
  <c r="AC78" i="43"/>
  <c r="AD78" i="43"/>
  <c r="AE78" i="43"/>
  <c r="Z79" i="43"/>
  <c r="AA79" i="43"/>
  <c r="AB79" i="43"/>
  <c r="AC79" i="43"/>
  <c r="AD79" i="43"/>
  <c r="AE79" i="43"/>
  <c r="Z80" i="43"/>
  <c r="AA80" i="43"/>
  <c r="AB80" i="43"/>
  <c r="AC80" i="43"/>
  <c r="AD80" i="43"/>
  <c r="AE80" i="43"/>
  <c r="Z81" i="43"/>
  <c r="AA81" i="43"/>
  <c r="AB81" i="43"/>
  <c r="AC81" i="43"/>
  <c r="AD81" i="43"/>
  <c r="AE81" i="43"/>
  <c r="Z82" i="43"/>
  <c r="AA82" i="43"/>
  <c r="AB82" i="43"/>
  <c r="AC82" i="43"/>
  <c r="AD82" i="43"/>
  <c r="AE82" i="43"/>
  <c r="Z83" i="43"/>
  <c r="AA83" i="43"/>
  <c r="AB83" i="43"/>
  <c r="AC83" i="43"/>
  <c r="AD83" i="43"/>
  <c r="AE83" i="43"/>
  <c r="Z84" i="43"/>
  <c r="AA84" i="43"/>
  <c r="AB84" i="43"/>
  <c r="AC84" i="43"/>
  <c r="AD84" i="43"/>
  <c r="AE84" i="43"/>
  <c r="Z85" i="43"/>
  <c r="AA85" i="43"/>
  <c r="AB85" i="43"/>
  <c r="AC85" i="43"/>
  <c r="AD85" i="43"/>
  <c r="AE85" i="43"/>
  <c r="Z86" i="43"/>
  <c r="AA86" i="43"/>
  <c r="AB86" i="43"/>
  <c r="AC86" i="43"/>
  <c r="AD86" i="43"/>
  <c r="AE86" i="43"/>
  <c r="Z87" i="43"/>
  <c r="AA87" i="43"/>
  <c r="AB87" i="43"/>
  <c r="AC87" i="43"/>
  <c r="AD87" i="43"/>
  <c r="AE87" i="43"/>
  <c r="Z88" i="43"/>
  <c r="AA88" i="43"/>
  <c r="AB88" i="43"/>
  <c r="AC88" i="43"/>
  <c r="AD88" i="43"/>
  <c r="AE88" i="43"/>
  <c r="Z89" i="43"/>
  <c r="AA89" i="43"/>
  <c r="AB89" i="43"/>
  <c r="AC89" i="43"/>
  <c r="AD89" i="43"/>
  <c r="AE89" i="43"/>
  <c r="Z90" i="43"/>
  <c r="AA90" i="43"/>
  <c r="AB90" i="43"/>
  <c r="AC90" i="43"/>
  <c r="AD90" i="43"/>
  <c r="AE90" i="43"/>
  <c r="Z91" i="43"/>
  <c r="AA91" i="43"/>
  <c r="AB91" i="43"/>
  <c r="AC91" i="43"/>
  <c r="AD91" i="43"/>
  <c r="AE91" i="43"/>
  <c r="Z92" i="43"/>
  <c r="AA92" i="43"/>
  <c r="AB92" i="43"/>
  <c r="AC92" i="43"/>
  <c r="AD92" i="43"/>
  <c r="AE92" i="43"/>
  <c r="Z93" i="43"/>
  <c r="AA93" i="43"/>
  <c r="AB93" i="43"/>
  <c r="AC93" i="43"/>
  <c r="AD93" i="43"/>
  <c r="AE93" i="43"/>
  <c r="Z94" i="43"/>
  <c r="AA94" i="43"/>
  <c r="AB94" i="43"/>
  <c r="AC94" i="43"/>
  <c r="AD94" i="43"/>
  <c r="AE94" i="43"/>
  <c r="Z95" i="43"/>
  <c r="AA95" i="43"/>
  <c r="AB95" i="43"/>
  <c r="AC95" i="43"/>
  <c r="AD95" i="43"/>
  <c r="AE95" i="43"/>
  <c r="Z96" i="43"/>
  <c r="AA96" i="43"/>
  <c r="AB96" i="43"/>
  <c r="AC96" i="43"/>
  <c r="AD96" i="43"/>
  <c r="AE96" i="43"/>
  <c r="Z97" i="43"/>
  <c r="AA97" i="43"/>
  <c r="AB97" i="43"/>
  <c r="AC97" i="43"/>
  <c r="AD97" i="43"/>
  <c r="AE97" i="43"/>
  <c r="Z98" i="43"/>
  <c r="AA98" i="43"/>
  <c r="AB98" i="43"/>
  <c r="AC98" i="43"/>
  <c r="AD98" i="43"/>
  <c r="AE98" i="43"/>
  <c r="Z99" i="43"/>
  <c r="AA99" i="43"/>
  <c r="AB99" i="43"/>
  <c r="AC99" i="43"/>
  <c r="AD99" i="43"/>
  <c r="AE99" i="43"/>
  <c r="Z100" i="43"/>
  <c r="AA100" i="43"/>
  <c r="AB100" i="43"/>
  <c r="AC100" i="43"/>
  <c r="AD100" i="43"/>
  <c r="AE100" i="43"/>
  <c r="Z101" i="43"/>
  <c r="AA101" i="43"/>
  <c r="AB101" i="43"/>
  <c r="AC101" i="43"/>
  <c r="AD101" i="43"/>
  <c r="AE101" i="43"/>
  <c r="Z102" i="43"/>
  <c r="AA102" i="43"/>
  <c r="AB102" i="43"/>
  <c r="AC102" i="43"/>
  <c r="AD102" i="43"/>
  <c r="AE102" i="43"/>
  <c r="Z103" i="43"/>
  <c r="AA103" i="43"/>
  <c r="AB103" i="43"/>
  <c r="AC103" i="43"/>
  <c r="AD103" i="43"/>
  <c r="AE103" i="43"/>
  <c r="Z104" i="43"/>
  <c r="AA104" i="43"/>
  <c r="AB104" i="43"/>
  <c r="AC104" i="43"/>
  <c r="AD104" i="43"/>
  <c r="AE104" i="43"/>
  <c r="Z105" i="43"/>
  <c r="AA105" i="43"/>
  <c r="AB105" i="43"/>
  <c r="AC105" i="43"/>
  <c r="AD105" i="43"/>
  <c r="AE105" i="43"/>
  <c r="Z106" i="43"/>
  <c r="AA106" i="43"/>
  <c r="AB106" i="43"/>
  <c r="AC106" i="43"/>
  <c r="AD106" i="43"/>
  <c r="AE106" i="43"/>
  <c r="Z107" i="43"/>
  <c r="AA107" i="43"/>
  <c r="AB107" i="43"/>
  <c r="AC107" i="43"/>
  <c r="AD107" i="43"/>
  <c r="AE107" i="43"/>
  <c r="Z108" i="43"/>
  <c r="AA108" i="43"/>
  <c r="AB108" i="43"/>
  <c r="AC108" i="43"/>
  <c r="AD108" i="43"/>
  <c r="AE108" i="43"/>
  <c r="Z109" i="43"/>
  <c r="AA109" i="43"/>
  <c r="AB109" i="43"/>
  <c r="AC109" i="43"/>
  <c r="AD109" i="43"/>
  <c r="AE109" i="43"/>
  <c r="Z110" i="43"/>
  <c r="AA110" i="43"/>
  <c r="AB110" i="43"/>
  <c r="AC110" i="43"/>
  <c r="AD110" i="43"/>
  <c r="AE110" i="43"/>
  <c r="Z111" i="43"/>
  <c r="AA111" i="43"/>
  <c r="AB111" i="43"/>
  <c r="AC111" i="43"/>
  <c r="AD111" i="43"/>
  <c r="AE111" i="43"/>
  <c r="Z112" i="43"/>
  <c r="AA112" i="43"/>
  <c r="AB112" i="43"/>
  <c r="AC112" i="43"/>
  <c r="AD112" i="43"/>
  <c r="AE112" i="43"/>
  <c r="Z113" i="43"/>
  <c r="AA113" i="43"/>
  <c r="AB113" i="43"/>
  <c r="AC113" i="43"/>
  <c r="AD113" i="43"/>
  <c r="AE113" i="43"/>
  <c r="Z114" i="43"/>
  <c r="AA114" i="43"/>
  <c r="AB114" i="43"/>
  <c r="AC114" i="43"/>
  <c r="AD114" i="43"/>
  <c r="AE114" i="43"/>
  <c r="Z115" i="43"/>
  <c r="AA115" i="43"/>
  <c r="AB115" i="43"/>
  <c r="AC115" i="43"/>
  <c r="AD115" i="43"/>
  <c r="AE115" i="43"/>
  <c r="Z116" i="43"/>
  <c r="AA116" i="43"/>
  <c r="AB116" i="43"/>
  <c r="AC116" i="43"/>
  <c r="AD116" i="43"/>
  <c r="AE116" i="43"/>
  <c r="Z117" i="43"/>
  <c r="AA117" i="43"/>
  <c r="AB117" i="43"/>
  <c r="AC117" i="43"/>
  <c r="AD117" i="43"/>
  <c r="AE117" i="43"/>
  <c r="Z118" i="43"/>
  <c r="AA118" i="43"/>
  <c r="AB118" i="43"/>
  <c r="AC118" i="43"/>
  <c r="AD118" i="43"/>
  <c r="AE118" i="43"/>
  <c r="Z119" i="43"/>
  <c r="AA119" i="43"/>
  <c r="AB119" i="43"/>
  <c r="AC119" i="43"/>
  <c r="AD119" i="43"/>
  <c r="AE119" i="43"/>
  <c r="Z120" i="43"/>
  <c r="AA120" i="43"/>
  <c r="AB120" i="43"/>
  <c r="AC120" i="43"/>
  <c r="AD120" i="43"/>
  <c r="AE120" i="43"/>
  <c r="Z121" i="43"/>
  <c r="AA121" i="43"/>
  <c r="AB121" i="43"/>
  <c r="AC121" i="43"/>
  <c r="AD121" i="43"/>
  <c r="AE121" i="43"/>
  <c r="Z122" i="43"/>
  <c r="AA122" i="43"/>
  <c r="AB122" i="43"/>
  <c r="AC122" i="43"/>
  <c r="AD122" i="43"/>
  <c r="AE122" i="43"/>
  <c r="Z123" i="43"/>
  <c r="AA123" i="43"/>
  <c r="AB123" i="43"/>
  <c r="AC123" i="43"/>
  <c r="AD123" i="43"/>
  <c r="AE123" i="43"/>
  <c r="Z124" i="43"/>
  <c r="AA124" i="43"/>
  <c r="AB124" i="43"/>
  <c r="AC124" i="43"/>
  <c r="AD124" i="43"/>
  <c r="AE124" i="43"/>
  <c r="Z125" i="43"/>
  <c r="AA125" i="43"/>
  <c r="AB125" i="43"/>
  <c r="AC125" i="43"/>
  <c r="AD125" i="43"/>
  <c r="AE125" i="43"/>
  <c r="Z126" i="43"/>
  <c r="AA126" i="43"/>
  <c r="AB126" i="43"/>
  <c r="AC126" i="43"/>
  <c r="AD126" i="43"/>
  <c r="AE126" i="43"/>
  <c r="Z127" i="43"/>
  <c r="AA127" i="43"/>
  <c r="AB127" i="43"/>
  <c r="AC127" i="43"/>
  <c r="AD127" i="43"/>
  <c r="AE127" i="43"/>
  <c r="Z128" i="43"/>
  <c r="AA128" i="43"/>
  <c r="AB128" i="43"/>
  <c r="AC128" i="43"/>
  <c r="AD128" i="43"/>
  <c r="AE128" i="43"/>
  <c r="Z129" i="43"/>
  <c r="AA129" i="43"/>
  <c r="AB129" i="43"/>
  <c r="AC129" i="43"/>
  <c r="AD129" i="43"/>
  <c r="AE129" i="43"/>
  <c r="Z130" i="43"/>
  <c r="AA130" i="43"/>
  <c r="AB130" i="43"/>
  <c r="AC130" i="43"/>
  <c r="AD130" i="43"/>
  <c r="AE130" i="43"/>
  <c r="Z131" i="43"/>
  <c r="AA131" i="43"/>
  <c r="AB131" i="43"/>
  <c r="AC131" i="43"/>
  <c r="AD131" i="43"/>
  <c r="AE131" i="43"/>
  <c r="Z132" i="43"/>
  <c r="AA132" i="43"/>
  <c r="AB132" i="43"/>
  <c r="AC132" i="43"/>
  <c r="AD132" i="43"/>
  <c r="AE132" i="43"/>
  <c r="Z133" i="43"/>
  <c r="AA133" i="43"/>
  <c r="AB133" i="43"/>
  <c r="AC133" i="43"/>
  <c r="AD133" i="43"/>
  <c r="AE133" i="43"/>
  <c r="Z134" i="43"/>
  <c r="AA134" i="43"/>
  <c r="AB134" i="43"/>
  <c r="AC134" i="43"/>
  <c r="AD134" i="43"/>
  <c r="AE134" i="43"/>
  <c r="Z135" i="43"/>
  <c r="AA135" i="43"/>
  <c r="AB135" i="43"/>
  <c r="AC135" i="43"/>
  <c r="AD135" i="43"/>
  <c r="AE135" i="43"/>
  <c r="Z136" i="43"/>
  <c r="AA136" i="43"/>
  <c r="AB136" i="43"/>
  <c r="AC136" i="43"/>
  <c r="AD136" i="43"/>
  <c r="AE136" i="43"/>
  <c r="Z137" i="43"/>
  <c r="AA137" i="43"/>
  <c r="AB137" i="43"/>
  <c r="AC137" i="43"/>
  <c r="AD137" i="43"/>
  <c r="AE137" i="43"/>
  <c r="Z138" i="43"/>
  <c r="AA138" i="43"/>
  <c r="AB138" i="43"/>
  <c r="AC138" i="43"/>
  <c r="AD138" i="43"/>
  <c r="AE138" i="43"/>
  <c r="Z139" i="43"/>
  <c r="AA139" i="43"/>
  <c r="AB139" i="43"/>
  <c r="AC139" i="43"/>
  <c r="AD139" i="43"/>
  <c r="AE139" i="43"/>
  <c r="Z140" i="43"/>
  <c r="AA140" i="43"/>
  <c r="AB140" i="43"/>
  <c r="AC140" i="43"/>
  <c r="AD140" i="43"/>
  <c r="AE140" i="43"/>
  <c r="Z141" i="43"/>
  <c r="AA141" i="43"/>
  <c r="AB141" i="43"/>
  <c r="AC141" i="43"/>
  <c r="AD141" i="43"/>
  <c r="AE141" i="43"/>
  <c r="Z142" i="43"/>
  <c r="AA142" i="43"/>
  <c r="AB142" i="43"/>
  <c r="AC142" i="43"/>
  <c r="AD142" i="43"/>
  <c r="AE142" i="43"/>
  <c r="Z143" i="43"/>
  <c r="AA143" i="43"/>
  <c r="AB143" i="43"/>
  <c r="AC143" i="43"/>
  <c r="AD143" i="43"/>
  <c r="AE143" i="43"/>
  <c r="Z144" i="43"/>
  <c r="AA144" i="43"/>
  <c r="AB144" i="43"/>
  <c r="AC144" i="43"/>
  <c r="AD144" i="43"/>
  <c r="AE144" i="43"/>
  <c r="Z145" i="43"/>
  <c r="AA145" i="43"/>
  <c r="AB145" i="43"/>
  <c r="AC145" i="43"/>
  <c r="AD145" i="43"/>
  <c r="AE145" i="43"/>
  <c r="Z146" i="43"/>
  <c r="AA146" i="43"/>
  <c r="AB146" i="43"/>
  <c r="AC146" i="43"/>
  <c r="AD146" i="43"/>
  <c r="AE146" i="43"/>
  <c r="Z147" i="43"/>
  <c r="AA147" i="43"/>
  <c r="AB147" i="43"/>
  <c r="AC147" i="43"/>
  <c r="AD147" i="43"/>
  <c r="AE147" i="43"/>
  <c r="Z148" i="43"/>
  <c r="AA148" i="43"/>
  <c r="AB148" i="43"/>
  <c r="AC148" i="43"/>
  <c r="AD148" i="43"/>
  <c r="AE148" i="43"/>
  <c r="Z149" i="43"/>
  <c r="AA149" i="43"/>
  <c r="AB149" i="43"/>
  <c r="AC149" i="43"/>
  <c r="AD149" i="43"/>
  <c r="AE149" i="43"/>
  <c r="Z150" i="43"/>
  <c r="AA150" i="43"/>
  <c r="AB150" i="43"/>
  <c r="AC150" i="43"/>
  <c r="AD150" i="43"/>
  <c r="AE150" i="43"/>
  <c r="Z151" i="43"/>
  <c r="AA151" i="43"/>
  <c r="AB151" i="43"/>
  <c r="AC151" i="43"/>
  <c r="AD151" i="43"/>
  <c r="AE151" i="43"/>
  <c r="Z152" i="43"/>
  <c r="AA152" i="43"/>
  <c r="AB152" i="43"/>
  <c r="AC152" i="43"/>
  <c r="AD152" i="43"/>
  <c r="AE152" i="43"/>
  <c r="Z153" i="43"/>
  <c r="AA153" i="43"/>
  <c r="AB153" i="43"/>
  <c r="AC153" i="43"/>
  <c r="AD153" i="43"/>
  <c r="AE153" i="43"/>
  <c r="Z154" i="43"/>
  <c r="AA154" i="43"/>
  <c r="AB154" i="43"/>
  <c r="AC154" i="43"/>
  <c r="AD154" i="43"/>
  <c r="AE154" i="43"/>
  <c r="Z155" i="43"/>
  <c r="AA155" i="43"/>
  <c r="AB155" i="43"/>
  <c r="AC155" i="43"/>
  <c r="AD155" i="43"/>
  <c r="AE155" i="43"/>
  <c r="Z156" i="43"/>
  <c r="AA156" i="43"/>
  <c r="AB156" i="43"/>
  <c r="AC156" i="43"/>
  <c r="AD156" i="43"/>
  <c r="AE156" i="43"/>
  <c r="Z157" i="43"/>
  <c r="AA157" i="43"/>
  <c r="AB157" i="43"/>
  <c r="AC157" i="43"/>
  <c r="AD157" i="43"/>
  <c r="AE157" i="43"/>
  <c r="Z158" i="43"/>
  <c r="AA158" i="43"/>
  <c r="AB158" i="43"/>
  <c r="AC158" i="43"/>
  <c r="AD158" i="43"/>
  <c r="AE158" i="43"/>
  <c r="Z159" i="43"/>
  <c r="AA159" i="43"/>
  <c r="AB159" i="43"/>
  <c r="AC159" i="43"/>
  <c r="AD159" i="43"/>
  <c r="AE159" i="43"/>
  <c r="Z160" i="43"/>
  <c r="AA160" i="43"/>
  <c r="AB160" i="43"/>
  <c r="AC160" i="43"/>
  <c r="AD160" i="43"/>
  <c r="AE160" i="43"/>
  <c r="Z161" i="43"/>
  <c r="AA161" i="43"/>
  <c r="AB161" i="43"/>
  <c r="AC161" i="43"/>
  <c r="AD161" i="43"/>
  <c r="AE161" i="43"/>
  <c r="Z162" i="43"/>
  <c r="AA162" i="43"/>
  <c r="AB162" i="43"/>
  <c r="AC162" i="43"/>
  <c r="AD162" i="43"/>
  <c r="AE162" i="43"/>
  <c r="Z163" i="43"/>
  <c r="AA163" i="43"/>
  <c r="AB163" i="43"/>
  <c r="AC163" i="43"/>
  <c r="AD163" i="43"/>
  <c r="AE163" i="43"/>
  <c r="Z164" i="43"/>
  <c r="AA164" i="43"/>
  <c r="AB164" i="43"/>
  <c r="AC164" i="43"/>
  <c r="AD164" i="43"/>
  <c r="AE164" i="43"/>
  <c r="Z165" i="43"/>
  <c r="AA165" i="43"/>
  <c r="AB165" i="43"/>
  <c r="AC165" i="43"/>
  <c r="AD165" i="43"/>
  <c r="AE165" i="43"/>
  <c r="Z166" i="43"/>
  <c r="AA166" i="43"/>
  <c r="AB166" i="43"/>
  <c r="AC166" i="43"/>
  <c r="AD166" i="43"/>
  <c r="AE166" i="43"/>
  <c r="Z167" i="43"/>
  <c r="AA167" i="43"/>
  <c r="AB167" i="43"/>
  <c r="AC167" i="43"/>
  <c r="AD167" i="43"/>
  <c r="AE167" i="43"/>
  <c r="Z168" i="43"/>
  <c r="AA168" i="43"/>
  <c r="AB168" i="43"/>
  <c r="AC168" i="43"/>
  <c r="AD168" i="43"/>
  <c r="AE168" i="43"/>
  <c r="Z169" i="43"/>
  <c r="AA169" i="43"/>
  <c r="AB169" i="43"/>
  <c r="AC169" i="43"/>
  <c r="AD169" i="43"/>
  <c r="AE169" i="43"/>
  <c r="Z170" i="43"/>
  <c r="AA170" i="43"/>
  <c r="AB170" i="43"/>
  <c r="AC170" i="43"/>
  <c r="AD170" i="43"/>
  <c r="AE170" i="43"/>
  <c r="Z171" i="43"/>
  <c r="AA171" i="43"/>
  <c r="AB171" i="43"/>
  <c r="AC171" i="43"/>
  <c r="AD171" i="43"/>
  <c r="AE171" i="43"/>
  <c r="Z172" i="43"/>
  <c r="AA172" i="43"/>
  <c r="AB172" i="43"/>
  <c r="AC172" i="43"/>
  <c r="AD172" i="43"/>
  <c r="AE172" i="43"/>
  <c r="Z173" i="43"/>
  <c r="AA173" i="43"/>
  <c r="AB173" i="43"/>
  <c r="AC173" i="43"/>
  <c r="AD173" i="43"/>
  <c r="AE173" i="43"/>
  <c r="Z174" i="43"/>
  <c r="AA174" i="43"/>
  <c r="AB174" i="43"/>
  <c r="AC174" i="43"/>
  <c r="AD174" i="43"/>
  <c r="AE174" i="43"/>
  <c r="Z175" i="43"/>
  <c r="AA175" i="43"/>
  <c r="AB175" i="43"/>
  <c r="AC175" i="43"/>
  <c r="AD175" i="43"/>
  <c r="AE175" i="43"/>
  <c r="Z176" i="43"/>
  <c r="AA176" i="43"/>
  <c r="AB176" i="43"/>
  <c r="AC176" i="43"/>
  <c r="AD176" i="43"/>
  <c r="AE176" i="43"/>
  <c r="Z177" i="43"/>
  <c r="AA177" i="43"/>
  <c r="AB177" i="43"/>
  <c r="AC177" i="43"/>
  <c r="AD177" i="43"/>
  <c r="AE177" i="43"/>
  <c r="Z178" i="43"/>
  <c r="AA178" i="43"/>
  <c r="AB178" i="43"/>
  <c r="AC178" i="43"/>
  <c r="AD178" i="43"/>
  <c r="AE178" i="43"/>
  <c r="Z179" i="43"/>
  <c r="AA179" i="43"/>
  <c r="AB179" i="43"/>
  <c r="AC179" i="43"/>
  <c r="AD179" i="43"/>
  <c r="AE179" i="43"/>
  <c r="Z180" i="43"/>
  <c r="AA180" i="43"/>
  <c r="AB180" i="43"/>
  <c r="AC180" i="43"/>
  <c r="AD180" i="43"/>
  <c r="AE180" i="43"/>
  <c r="Z181" i="43"/>
  <c r="AA181" i="43"/>
  <c r="AB181" i="43"/>
  <c r="AC181" i="43"/>
  <c r="AD181" i="43"/>
  <c r="AE181" i="43"/>
  <c r="Z182" i="43"/>
  <c r="AA182" i="43"/>
  <c r="AB182" i="43"/>
  <c r="AC182" i="43"/>
  <c r="AD182" i="43"/>
  <c r="AE182" i="43"/>
  <c r="Z183" i="43"/>
  <c r="AA183" i="43"/>
  <c r="AB183" i="43"/>
  <c r="AC183" i="43"/>
  <c r="AD183" i="43"/>
  <c r="AE183" i="43"/>
  <c r="Z184" i="43"/>
  <c r="AA184" i="43"/>
  <c r="AB184" i="43"/>
  <c r="AC184" i="43"/>
  <c r="AD184" i="43"/>
  <c r="AE184" i="43"/>
  <c r="Z185" i="43"/>
  <c r="AA185" i="43"/>
  <c r="AB185" i="43"/>
  <c r="AC185" i="43"/>
  <c r="AD185" i="43"/>
  <c r="AE185" i="43"/>
  <c r="Z186" i="43"/>
  <c r="AA186" i="43"/>
  <c r="AB186" i="43"/>
  <c r="AC186" i="43"/>
  <c r="AD186" i="43"/>
  <c r="AE186" i="43"/>
  <c r="Z187" i="43"/>
  <c r="AA187" i="43"/>
  <c r="AB187" i="43"/>
  <c r="AC187" i="43"/>
  <c r="AD187" i="43"/>
  <c r="AE187" i="43"/>
  <c r="Z188" i="43"/>
  <c r="AA188" i="43"/>
  <c r="AB188" i="43"/>
  <c r="AC188" i="43"/>
  <c r="AD188" i="43"/>
  <c r="AE188" i="43"/>
  <c r="Z189" i="43"/>
  <c r="AA189" i="43"/>
  <c r="AB189" i="43"/>
  <c r="AC189" i="43"/>
  <c r="AD189" i="43"/>
  <c r="AE189" i="43"/>
  <c r="Z190" i="43"/>
  <c r="AA190" i="43"/>
  <c r="AB190" i="43"/>
  <c r="AC190" i="43"/>
  <c r="AD190" i="43"/>
  <c r="AE190" i="43"/>
  <c r="Z191" i="43"/>
  <c r="AA191" i="43"/>
  <c r="AB191" i="43"/>
  <c r="AC191" i="43"/>
  <c r="AD191" i="43"/>
  <c r="AE191" i="43"/>
  <c r="Z192" i="43"/>
  <c r="AA192" i="43"/>
  <c r="AB192" i="43"/>
  <c r="AC192" i="43"/>
  <c r="AD192" i="43"/>
  <c r="AE192" i="43"/>
  <c r="Z193" i="43"/>
  <c r="AA193" i="43"/>
  <c r="AB193" i="43"/>
  <c r="AC193" i="43"/>
  <c r="AD193" i="43"/>
  <c r="AE193" i="43"/>
  <c r="Z194" i="43"/>
  <c r="AA194" i="43"/>
  <c r="AB194" i="43"/>
  <c r="AC194" i="43"/>
  <c r="AD194" i="43"/>
  <c r="AE194" i="43"/>
  <c r="Z195" i="43"/>
  <c r="AA195" i="43"/>
  <c r="AB195" i="43"/>
  <c r="AC195" i="43"/>
  <c r="AD195" i="43"/>
  <c r="AE195" i="43"/>
  <c r="Z196" i="43"/>
  <c r="AA196" i="43"/>
  <c r="AB196" i="43"/>
  <c r="AC196" i="43"/>
  <c r="AD196" i="43"/>
  <c r="AE196" i="43"/>
  <c r="Z197" i="43"/>
  <c r="AA197" i="43"/>
  <c r="AB197" i="43"/>
  <c r="AC197" i="43"/>
  <c r="AD197" i="43"/>
  <c r="AE197" i="43"/>
  <c r="Z198" i="43"/>
  <c r="AA198" i="43"/>
  <c r="AB198" i="43"/>
  <c r="AC198" i="43"/>
  <c r="AD198" i="43"/>
  <c r="AE198" i="43"/>
  <c r="Z199" i="43"/>
  <c r="AA199" i="43"/>
  <c r="AB199" i="43"/>
  <c r="AC199" i="43"/>
  <c r="AD199" i="43"/>
  <c r="AE199" i="43"/>
  <c r="Z200" i="43"/>
  <c r="AA200" i="43"/>
  <c r="AB200" i="43"/>
  <c r="AC200" i="43"/>
  <c r="AD200" i="43"/>
  <c r="AE200" i="43"/>
  <c r="Z201" i="43"/>
  <c r="AA201" i="43"/>
  <c r="AB201" i="43"/>
  <c r="AC201" i="43"/>
  <c r="AD201" i="43"/>
  <c r="AE201" i="43"/>
  <c r="Z202" i="43"/>
  <c r="AA202" i="43"/>
  <c r="AB202" i="43"/>
  <c r="AC202" i="43"/>
  <c r="AD202" i="43"/>
  <c r="AE202" i="43"/>
  <c r="Z203" i="43"/>
  <c r="AA203" i="43"/>
  <c r="AB203" i="43"/>
  <c r="AC203" i="43"/>
  <c r="AD203" i="43"/>
  <c r="AE203" i="43"/>
  <c r="Z204" i="43"/>
  <c r="AA204" i="43"/>
  <c r="AB204" i="43"/>
  <c r="AC204" i="43"/>
  <c r="AD204" i="43"/>
  <c r="AE204" i="43"/>
  <c r="Z205" i="43"/>
  <c r="AA205" i="43"/>
  <c r="AB205" i="43"/>
  <c r="AC205" i="43"/>
  <c r="AD205" i="43"/>
  <c r="AE205" i="43"/>
  <c r="Z206" i="43"/>
  <c r="AA206" i="43"/>
  <c r="AB206" i="43"/>
  <c r="AC206" i="43"/>
  <c r="AD206" i="43"/>
  <c r="AE206" i="43"/>
  <c r="Z207" i="43"/>
  <c r="AA207" i="43"/>
  <c r="AB207" i="43"/>
  <c r="AC207" i="43"/>
  <c r="AD207" i="43"/>
  <c r="AE207" i="43"/>
  <c r="Z208" i="43"/>
  <c r="AA208" i="43"/>
  <c r="AB208" i="43"/>
  <c r="AC208" i="43"/>
  <c r="AD208" i="43"/>
  <c r="AE208" i="43"/>
  <c r="Z209" i="43"/>
  <c r="AA209" i="43"/>
  <c r="AB209" i="43"/>
  <c r="AC209" i="43"/>
  <c r="AD209" i="43"/>
  <c r="AE209" i="43"/>
  <c r="Z210" i="43"/>
  <c r="AA210" i="43"/>
  <c r="AB210" i="43"/>
  <c r="AC210" i="43"/>
  <c r="AD210" i="43"/>
  <c r="AE210" i="43"/>
  <c r="Z211" i="43"/>
  <c r="AA211" i="43"/>
  <c r="AB211" i="43"/>
  <c r="AC211" i="43"/>
  <c r="AD211" i="43"/>
  <c r="AE211" i="43"/>
  <c r="Z212" i="43"/>
  <c r="AA212" i="43"/>
  <c r="AB212" i="43"/>
  <c r="AC212" i="43"/>
  <c r="AD212" i="43"/>
  <c r="AE212" i="43"/>
  <c r="Z213" i="43"/>
  <c r="AA213" i="43"/>
  <c r="AB213" i="43"/>
  <c r="AC213" i="43"/>
  <c r="AD213" i="43"/>
  <c r="AE213" i="43"/>
  <c r="Z214" i="43"/>
  <c r="AA214" i="43"/>
  <c r="AB214" i="43"/>
  <c r="AC214" i="43"/>
  <c r="AD214" i="43"/>
  <c r="AE214" i="43"/>
  <c r="Z215" i="43"/>
  <c r="AA215" i="43"/>
  <c r="AB215" i="43"/>
  <c r="AC215" i="43"/>
  <c r="AD215" i="43"/>
  <c r="AE215" i="43"/>
  <c r="Z216" i="43"/>
  <c r="AA216" i="43"/>
  <c r="AB216" i="43"/>
  <c r="AC216" i="43"/>
  <c r="AD216" i="43"/>
  <c r="AE216" i="43"/>
  <c r="Z217" i="43"/>
  <c r="AA217" i="43"/>
  <c r="AB217" i="43"/>
  <c r="AC217" i="43"/>
  <c r="AD217" i="43"/>
  <c r="AE217" i="43"/>
  <c r="Z218" i="43"/>
  <c r="AA218" i="43"/>
  <c r="AB218" i="43"/>
  <c r="AC218" i="43"/>
  <c r="AD218" i="43"/>
  <c r="AE218" i="43"/>
  <c r="Z219" i="43"/>
  <c r="AA219" i="43"/>
  <c r="AB219" i="43"/>
  <c r="AC219" i="43"/>
  <c r="AD219" i="43"/>
  <c r="AE219" i="43"/>
  <c r="Z220" i="43"/>
  <c r="AA220" i="43"/>
  <c r="AB220" i="43"/>
  <c r="AC220" i="43"/>
  <c r="AD220" i="43"/>
  <c r="AE220" i="43"/>
  <c r="Z221" i="43"/>
  <c r="AA221" i="43"/>
  <c r="AB221" i="43"/>
  <c r="AC221" i="43"/>
  <c r="AD221" i="43"/>
  <c r="AE221" i="43"/>
  <c r="Z222" i="43"/>
  <c r="AA222" i="43"/>
  <c r="AB222" i="43"/>
  <c r="AC222" i="43"/>
  <c r="AD222" i="43"/>
  <c r="AE222" i="43"/>
  <c r="Z223" i="43"/>
  <c r="AA223" i="43"/>
  <c r="AB223" i="43"/>
  <c r="AC223" i="43"/>
  <c r="AD223" i="43"/>
  <c r="AE223" i="43"/>
  <c r="Z224" i="43"/>
  <c r="AA224" i="43"/>
  <c r="AB224" i="43"/>
  <c r="AC224" i="43"/>
  <c r="AD224" i="43"/>
  <c r="AE224" i="43"/>
  <c r="Z225" i="43"/>
  <c r="AA225" i="43"/>
  <c r="AB225" i="43"/>
  <c r="AC225" i="43"/>
  <c r="AD225" i="43"/>
  <c r="AE225" i="43"/>
  <c r="Z226" i="43"/>
  <c r="AA226" i="43"/>
  <c r="AB226" i="43"/>
  <c r="AC226" i="43"/>
  <c r="AD226" i="43"/>
  <c r="AE226" i="43"/>
  <c r="Z227" i="43"/>
  <c r="AA227" i="43"/>
  <c r="AB227" i="43"/>
  <c r="AC227" i="43"/>
  <c r="AD227" i="43"/>
  <c r="AE227" i="43"/>
  <c r="Z228" i="43"/>
  <c r="AA228" i="43"/>
  <c r="AB228" i="43"/>
  <c r="AC228" i="43"/>
  <c r="AD228" i="43"/>
  <c r="AE228" i="43"/>
  <c r="Z229" i="43"/>
  <c r="AA229" i="43"/>
  <c r="AB229" i="43"/>
  <c r="AC229" i="43"/>
  <c r="AD229" i="43"/>
  <c r="AE229" i="43"/>
  <c r="Z230" i="43"/>
  <c r="AA230" i="43"/>
  <c r="AB230" i="43"/>
  <c r="AC230" i="43"/>
  <c r="AD230" i="43"/>
  <c r="AE230" i="43"/>
  <c r="Z231" i="43"/>
  <c r="AA231" i="43"/>
  <c r="AB231" i="43"/>
  <c r="AC231" i="43"/>
  <c r="AD231" i="43"/>
  <c r="AE231" i="43"/>
  <c r="Z232" i="43"/>
  <c r="AA232" i="43"/>
  <c r="AB232" i="43"/>
  <c r="AC232" i="43"/>
  <c r="AD232" i="43"/>
  <c r="AE232" i="43"/>
  <c r="Z233" i="43"/>
  <c r="AA233" i="43"/>
  <c r="AB233" i="43"/>
  <c r="AC233" i="43"/>
  <c r="AD233" i="43"/>
  <c r="AE233" i="43"/>
  <c r="Z234" i="43"/>
  <c r="AA234" i="43"/>
  <c r="AB234" i="43"/>
  <c r="AC234" i="43"/>
  <c r="AD234" i="43"/>
  <c r="AE234" i="43"/>
  <c r="Z235" i="43"/>
  <c r="AA235" i="43"/>
  <c r="AB235" i="43"/>
  <c r="AC235" i="43"/>
  <c r="AD235" i="43"/>
  <c r="AE235" i="43"/>
  <c r="Z236" i="43"/>
  <c r="AA236" i="43"/>
  <c r="AB236" i="43"/>
  <c r="AC236" i="43"/>
  <c r="AD236" i="43"/>
  <c r="AE236" i="43"/>
  <c r="Z237" i="43"/>
  <c r="AA237" i="43"/>
  <c r="AB237" i="43"/>
  <c r="AC237" i="43"/>
  <c r="AD237" i="43"/>
  <c r="AE237" i="43"/>
  <c r="Z238" i="43"/>
  <c r="AA238" i="43"/>
  <c r="AB238" i="43"/>
  <c r="AC238" i="43"/>
  <c r="AD238" i="43"/>
  <c r="AE238" i="43"/>
  <c r="Z239" i="43"/>
  <c r="AA239" i="43"/>
  <c r="AB239" i="43"/>
  <c r="AC239" i="43"/>
  <c r="AD239" i="43"/>
  <c r="AE239" i="43"/>
  <c r="Z240" i="43"/>
  <c r="AA240" i="43"/>
  <c r="AB240" i="43"/>
  <c r="AC240" i="43"/>
  <c r="AD240" i="43"/>
  <c r="AE240" i="43"/>
  <c r="Z241" i="43"/>
  <c r="AA241" i="43"/>
  <c r="AB241" i="43"/>
  <c r="AC241" i="43"/>
  <c r="AD241" i="43"/>
  <c r="AE241" i="43"/>
  <c r="Z242" i="43"/>
  <c r="AA242" i="43"/>
  <c r="AB242" i="43"/>
  <c r="AC242" i="43"/>
  <c r="AD242" i="43"/>
  <c r="AE242" i="43"/>
  <c r="Z243" i="43"/>
  <c r="AA243" i="43"/>
  <c r="AB243" i="43"/>
  <c r="AC243" i="43"/>
  <c r="AD243" i="43"/>
  <c r="AE243" i="43"/>
  <c r="Z244" i="43"/>
  <c r="AA244" i="43"/>
  <c r="AB244" i="43"/>
  <c r="AC244" i="43"/>
  <c r="AD244" i="43"/>
  <c r="AE244" i="43"/>
  <c r="Z245" i="43"/>
  <c r="AA245" i="43"/>
  <c r="AB245" i="43"/>
  <c r="AC245" i="43"/>
  <c r="AD245" i="43"/>
  <c r="AE245" i="43"/>
  <c r="Z246" i="43"/>
  <c r="AA246" i="43"/>
  <c r="AB246" i="43"/>
  <c r="AC246" i="43"/>
  <c r="AD246" i="43"/>
  <c r="AE246" i="43"/>
  <c r="Z247" i="43"/>
  <c r="AA247" i="43"/>
  <c r="AB247" i="43"/>
  <c r="AC247" i="43"/>
  <c r="AD247" i="43"/>
  <c r="AE247" i="43"/>
  <c r="Z248" i="43"/>
  <c r="AA248" i="43"/>
  <c r="AB248" i="43"/>
  <c r="AC248" i="43"/>
  <c r="AD248" i="43"/>
  <c r="AE248" i="43"/>
  <c r="Z249" i="43"/>
  <c r="AA249" i="43"/>
  <c r="AB249" i="43"/>
  <c r="AC249" i="43"/>
  <c r="AD249" i="43"/>
  <c r="AE249" i="43"/>
  <c r="Z250" i="43"/>
  <c r="AA250" i="43"/>
  <c r="AB250" i="43"/>
  <c r="AC250" i="43"/>
  <c r="AD250" i="43"/>
  <c r="AE250" i="43"/>
  <c r="Z251" i="43"/>
  <c r="AA251" i="43"/>
  <c r="AB251" i="43"/>
  <c r="AC251" i="43"/>
  <c r="AD251" i="43"/>
  <c r="AE251" i="43"/>
  <c r="Z252" i="43"/>
  <c r="AA252" i="43"/>
  <c r="AB252" i="43"/>
  <c r="AC252" i="43"/>
  <c r="AD252" i="43"/>
  <c r="AE252" i="43"/>
  <c r="Z253" i="43"/>
  <c r="AA253" i="43"/>
  <c r="AB253" i="43"/>
  <c r="AC253" i="43"/>
  <c r="AD253" i="43"/>
  <c r="AE253" i="43"/>
  <c r="Z254" i="43"/>
  <c r="AA254" i="43"/>
  <c r="AB254" i="43"/>
  <c r="AC254" i="43"/>
  <c r="AD254" i="43"/>
  <c r="AE254" i="43"/>
  <c r="Z255" i="43"/>
  <c r="AA255" i="43"/>
  <c r="AB255" i="43"/>
  <c r="AC255" i="43"/>
  <c r="AD255" i="43"/>
  <c r="AE255" i="43"/>
  <c r="Z256" i="43"/>
  <c r="AA256" i="43"/>
  <c r="AB256" i="43"/>
  <c r="AC256" i="43"/>
  <c r="AD256" i="43"/>
  <c r="AE256" i="43"/>
  <c r="Z257" i="43"/>
  <c r="AA257" i="43"/>
  <c r="AB257" i="43"/>
  <c r="AC257" i="43"/>
  <c r="AD257" i="43"/>
  <c r="AE257" i="43"/>
  <c r="Z258" i="43"/>
  <c r="AA258" i="43"/>
  <c r="AB258" i="43"/>
  <c r="AC258" i="43"/>
  <c r="AD258" i="43"/>
  <c r="AE258" i="43"/>
  <c r="Z259" i="43"/>
  <c r="AA259" i="43"/>
  <c r="AB259" i="43"/>
  <c r="AC259" i="43"/>
  <c r="AD259" i="43"/>
  <c r="AE259" i="43"/>
  <c r="Z260" i="43"/>
  <c r="AA260" i="43"/>
  <c r="AB260" i="43"/>
  <c r="AC260" i="43"/>
  <c r="AD260" i="43"/>
  <c r="AE260" i="43"/>
  <c r="Z261" i="43"/>
  <c r="AA261" i="43"/>
  <c r="AB261" i="43"/>
  <c r="AC261" i="43"/>
  <c r="AD261" i="43"/>
  <c r="AE261" i="43"/>
  <c r="Z262" i="43"/>
  <c r="AA262" i="43"/>
  <c r="AB262" i="43"/>
  <c r="AC262" i="43"/>
  <c r="AD262" i="43"/>
  <c r="AE262" i="43"/>
  <c r="Z263" i="43"/>
  <c r="AA263" i="43"/>
  <c r="AB263" i="43"/>
  <c r="AC263" i="43"/>
  <c r="AD263" i="43"/>
  <c r="AE263" i="43"/>
  <c r="Z264" i="43"/>
  <c r="AA264" i="43"/>
  <c r="AB264" i="43"/>
  <c r="AC264" i="43"/>
  <c r="AD264" i="43"/>
  <c r="AE264" i="43"/>
  <c r="Z265" i="43"/>
  <c r="AA265" i="43"/>
  <c r="AB265" i="43"/>
  <c r="AC265" i="43"/>
  <c r="AD265" i="43"/>
  <c r="AE265" i="43"/>
  <c r="Z266" i="43"/>
  <c r="AA266" i="43"/>
  <c r="AB266" i="43"/>
  <c r="AC266" i="43"/>
  <c r="AD266" i="43"/>
  <c r="AE266" i="43"/>
  <c r="Z267" i="43"/>
  <c r="AA267" i="43"/>
  <c r="AB267" i="43"/>
  <c r="AC267" i="43"/>
  <c r="AD267" i="43"/>
  <c r="AE267" i="43"/>
  <c r="Z268" i="43"/>
  <c r="AA268" i="43"/>
  <c r="AB268" i="43"/>
  <c r="AC268" i="43"/>
  <c r="AD268" i="43"/>
  <c r="AE268" i="43"/>
  <c r="Z269" i="43"/>
  <c r="AA269" i="43"/>
  <c r="AB269" i="43"/>
  <c r="AC269" i="43"/>
  <c r="AD269" i="43"/>
  <c r="AE269" i="43"/>
  <c r="Z270" i="43"/>
  <c r="AA270" i="43"/>
  <c r="AB270" i="43"/>
  <c r="AC270" i="43"/>
  <c r="AD270" i="43"/>
  <c r="AE270" i="43"/>
  <c r="Z271" i="43"/>
  <c r="AA271" i="43"/>
  <c r="AB271" i="43"/>
  <c r="AC271" i="43"/>
  <c r="AD271" i="43"/>
  <c r="AE271" i="43"/>
  <c r="Z272" i="43"/>
  <c r="AA272" i="43"/>
  <c r="AB272" i="43"/>
  <c r="AC272" i="43"/>
  <c r="AD272" i="43"/>
  <c r="AE272" i="43"/>
  <c r="Z273" i="43"/>
  <c r="AA273" i="43"/>
  <c r="AB273" i="43"/>
  <c r="AC273" i="43"/>
  <c r="AD273" i="43"/>
  <c r="AE273" i="43"/>
  <c r="Z274" i="43"/>
  <c r="AA274" i="43"/>
  <c r="AB274" i="43"/>
  <c r="AC274" i="43"/>
  <c r="AD274" i="43"/>
  <c r="AE274" i="43"/>
  <c r="Z275" i="43"/>
  <c r="AA275" i="43"/>
  <c r="AB275" i="43"/>
  <c r="AC275" i="43"/>
  <c r="AD275" i="43"/>
  <c r="AE275" i="43"/>
  <c r="Z276" i="43"/>
  <c r="AA276" i="43"/>
  <c r="AB276" i="43"/>
  <c r="AC276" i="43"/>
  <c r="AD276" i="43"/>
  <c r="AE276" i="43"/>
  <c r="Z277" i="43"/>
  <c r="AA277" i="43"/>
  <c r="AB277" i="43"/>
  <c r="AC277" i="43"/>
  <c r="AD277" i="43"/>
  <c r="AE277" i="43"/>
  <c r="Z278" i="43"/>
  <c r="AA278" i="43"/>
  <c r="AB278" i="43"/>
  <c r="AC278" i="43"/>
  <c r="AD278" i="43"/>
  <c r="AE278" i="43"/>
  <c r="Z279" i="43"/>
  <c r="AA279" i="43"/>
  <c r="AB279" i="43"/>
  <c r="AC279" i="43"/>
  <c r="AD279" i="43"/>
  <c r="AE279" i="43"/>
  <c r="Z280" i="43"/>
  <c r="AA280" i="43"/>
  <c r="AB280" i="43"/>
  <c r="AC280" i="43"/>
  <c r="AD280" i="43"/>
  <c r="AE280" i="43"/>
  <c r="Z281" i="43"/>
  <c r="AA281" i="43"/>
  <c r="AB281" i="43"/>
  <c r="AC281" i="43"/>
  <c r="AD281" i="43"/>
  <c r="AE281" i="43"/>
  <c r="Z282" i="43"/>
  <c r="AA282" i="43"/>
  <c r="AB282" i="43"/>
  <c r="AC282" i="43"/>
  <c r="AD282" i="43"/>
  <c r="AE282" i="43"/>
  <c r="Z283" i="43"/>
  <c r="AA283" i="43"/>
  <c r="AB283" i="43"/>
  <c r="AC283" i="43"/>
  <c r="AD283" i="43"/>
  <c r="AE283" i="43"/>
  <c r="Z284" i="43"/>
  <c r="AA284" i="43"/>
  <c r="AB284" i="43"/>
  <c r="AC284" i="43"/>
  <c r="AD284" i="43"/>
  <c r="AE284" i="43"/>
  <c r="Z285" i="43"/>
  <c r="AA285" i="43"/>
  <c r="AB285" i="43"/>
  <c r="AC285" i="43"/>
  <c r="AD285" i="43"/>
  <c r="AE285" i="43"/>
  <c r="Z286" i="43"/>
  <c r="AA286" i="43"/>
  <c r="AB286" i="43"/>
  <c r="AC286" i="43"/>
  <c r="AD286" i="43"/>
  <c r="AE286" i="43"/>
  <c r="Z287" i="43"/>
  <c r="AA287" i="43"/>
  <c r="AB287" i="43"/>
  <c r="AC287" i="43"/>
  <c r="AD287" i="43"/>
  <c r="AE287" i="43"/>
  <c r="Z288" i="43"/>
  <c r="AA288" i="43"/>
  <c r="AB288" i="43"/>
  <c r="AC288" i="43"/>
  <c r="AD288" i="43"/>
  <c r="AE288" i="43"/>
  <c r="Z289" i="43"/>
  <c r="AA289" i="43"/>
  <c r="AB289" i="43"/>
  <c r="AC289" i="43"/>
  <c r="AD289" i="43"/>
  <c r="AE289" i="43"/>
  <c r="Z290" i="43"/>
  <c r="AA290" i="43"/>
  <c r="AB290" i="43"/>
  <c r="AC290" i="43"/>
  <c r="AD290" i="43"/>
  <c r="AE290" i="43"/>
  <c r="Z291" i="43"/>
  <c r="AA291" i="43"/>
  <c r="AB291" i="43"/>
  <c r="AC291" i="43"/>
  <c r="AD291" i="43"/>
  <c r="AE291" i="43"/>
  <c r="Z292" i="43"/>
  <c r="AA292" i="43"/>
  <c r="AB292" i="43"/>
  <c r="AC292" i="43"/>
  <c r="AD292" i="43"/>
  <c r="AE292" i="43"/>
  <c r="Z293" i="43"/>
  <c r="AA293" i="43"/>
  <c r="AB293" i="43"/>
  <c r="AC293" i="43"/>
  <c r="AD293" i="43"/>
  <c r="AE293" i="43"/>
  <c r="Z294" i="43"/>
  <c r="AA294" i="43"/>
  <c r="AB294" i="43"/>
  <c r="AC294" i="43"/>
  <c r="AD294" i="43"/>
  <c r="AE294" i="43"/>
  <c r="Z295" i="43"/>
  <c r="AA295" i="43"/>
  <c r="AB295" i="43"/>
  <c r="AC295" i="43"/>
  <c r="AD295" i="43"/>
  <c r="AE295" i="43"/>
  <c r="Z297" i="43"/>
  <c r="Z298" i="43"/>
  <c r="Z299" i="43"/>
  <c r="Z300" i="43"/>
  <c r="Z301" i="43"/>
  <c r="Z302" i="43"/>
  <c r="Z303" i="43"/>
  <c r="Z304" i="43"/>
  <c r="Z305" i="43"/>
  <c r="Z306" i="43"/>
  <c r="Z307" i="43"/>
  <c r="Z308" i="43"/>
  <c r="Z309" i="43"/>
  <c r="Z310" i="43"/>
  <c r="Z311" i="43"/>
  <c r="Z312" i="43"/>
  <c r="Z313" i="43"/>
  <c r="Z314" i="43"/>
  <c r="Z315" i="43"/>
  <c r="Z316" i="43"/>
  <c r="Z317" i="43"/>
  <c r="Z318" i="43"/>
  <c r="Z319" i="43"/>
  <c r="Z320" i="43"/>
  <c r="Z321" i="43"/>
  <c r="Z322" i="43"/>
  <c r="Z323" i="43"/>
  <c r="Z324" i="43"/>
  <c r="Z325" i="43"/>
  <c r="Z326" i="43"/>
  <c r="Z327" i="43"/>
  <c r="Z328" i="43"/>
  <c r="Z329" i="43"/>
  <c r="Z330" i="43"/>
  <c r="Z331" i="43"/>
  <c r="Z332" i="43"/>
  <c r="Z333" i="43"/>
  <c r="Z334" i="43"/>
  <c r="Z335" i="43"/>
  <c r="Z336" i="43"/>
  <c r="Z337" i="43"/>
  <c r="Z338" i="43"/>
  <c r="Z339" i="43"/>
  <c r="Z340" i="43"/>
  <c r="Z341" i="43"/>
  <c r="Z342" i="43"/>
  <c r="Z343" i="43"/>
  <c r="Z344" i="43"/>
  <c r="Z345" i="43"/>
  <c r="Z346" i="43"/>
  <c r="Z347" i="43"/>
  <c r="Z348" i="43"/>
  <c r="Z349" i="43"/>
  <c r="Z350" i="43"/>
  <c r="Z351" i="43"/>
  <c r="Z352" i="43"/>
  <c r="Z353" i="43"/>
  <c r="Z354" i="43"/>
  <c r="Z355" i="43"/>
  <c r="Z356" i="43"/>
  <c r="Z357" i="43"/>
  <c r="Z358" i="43"/>
  <c r="Z359" i="43"/>
  <c r="Z360" i="43"/>
  <c r="Z361" i="43"/>
  <c r="Z362" i="43"/>
  <c r="Z363" i="43"/>
  <c r="Z364" i="43"/>
  <c r="Z365" i="43"/>
  <c r="Z366" i="43"/>
  <c r="Z367" i="43"/>
  <c r="Z368" i="43"/>
  <c r="Z369" i="43"/>
  <c r="Z370" i="43"/>
  <c r="Z371" i="43"/>
  <c r="Z372" i="43"/>
  <c r="Z373" i="43"/>
  <c r="Z374" i="43"/>
  <c r="Z375" i="43"/>
  <c r="Z376" i="43"/>
  <c r="Z377" i="43"/>
  <c r="Z378" i="43"/>
  <c r="Z379" i="43"/>
  <c r="Z380" i="43"/>
  <c r="Z381" i="43"/>
  <c r="Z382" i="43"/>
  <c r="Z383" i="43"/>
  <c r="Z384" i="43"/>
  <c r="Z385" i="43"/>
  <c r="Z386" i="43"/>
  <c r="Z387" i="43"/>
  <c r="Z388" i="43"/>
  <c r="Z389" i="43"/>
  <c r="Z390" i="43"/>
  <c r="Z391" i="43"/>
  <c r="Z392" i="43"/>
  <c r="Z393" i="43"/>
  <c r="Z394" i="43"/>
  <c r="Z395" i="43"/>
  <c r="Z396" i="43"/>
  <c r="Z397" i="43"/>
  <c r="Z398" i="43"/>
  <c r="Z399" i="43"/>
  <c r="Z400" i="43"/>
  <c r="Z401" i="43"/>
  <c r="Z402" i="43"/>
  <c r="Z403" i="43"/>
  <c r="Z404" i="43"/>
  <c r="Z405" i="43"/>
  <c r="Z406" i="43"/>
  <c r="Z407" i="43"/>
  <c r="Z408" i="43"/>
  <c r="Z409" i="43"/>
  <c r="Z410" i="43"/>
  <c r="Z411" i="43"/>
  <c r="Z412" i="43"/>
  <c r="Z413" i="43"/>
  <c r="Z414" i="43"/>
  <c r="Z415" i="43"/>
  <c r="Z416" i="43"/>
  <c r="Z417" i="43"/>
  <c r="Z418" i="43"/>
  <c r="Z419" i="43"/>
  <c r="Z420" i="43"/>
  <c r="Z421" i="43"/>
  <c r="Z422" i="43"/>
  <c r="Z423" i="43"/>
  <c r="Z424" i="43"/>
  <c r="Z425" i="43"/>
  <c r="Z426" i="43"/>
  <c r="Z427" i="43"/>
  <c r="Z428" i="43"/>
  <c r="Z429" i="43"/>
  <c r="Z430" i="43"/>
  <c r="Z431" i="43"/>
  <c r="Z432" i="43"/>
  <c r="Z433" i="43"/>
  <c r="Z434" i="43"/>
  <c r="Z435" i="43"/>
  <c r="Z436" i="43"/>
  <c r="Z437" i="43"/>
  <c r="Z438" i="43"/>
  <c r="Z439" i="43"/>
  <c r="Z440" i="43"/>
  <c r="Z441" i="43"/>
  <c r="Z442" i="43"/>
  <c r="Z443" i="43"/>
  <c r="Z444" i="43"/>
  <c r="Z445" i="43"/>
  <c r="Z446" i="43"/>
  <c r="Z447" i="43"/>
  <c r="Z448" i="43"/>
  <c r="Z449" i="43"/>
  <c r="Z450" i="43"/>
  <c r="Z451" i="43"/>
  <c r="Z452" i="43"/>
  <c r="Z453" i="43"/>
  <c r="Z454" i="43"/>
  <c r="Z455" i="43"/>
  <c r="Z456" i="43"/>
  <c r="Z457" i="43"/>
  <c r="Z458" i="43"/>
  <c r="Z459" i="43"/>
  <c r="Z460" i="43"/>
  <c r="Z461" i="43"/>
  <c r="Z462" i="43"/>
  <c r="Z463" i="43"/>
  <c r="Z464" i="43"/>
  <c r="Z465" i="43"/>
  <c r="Z466" i="43"/>
  <c r="Z467" i="43"/>
  <c r="Z468" i="43"/>
  <c r="Z469" i="43"/>
  <c r="Z470" i="43"/>
  <c r="Z471" i="43"/>
  <c r="Z472" i="43"/>
  <c r="Z473" i="43"/>
  <c r="Z474" i="43"/>
  <c r="Z475" i="43"/>
  <c r="Z476" i="43"/>
  <c r="Z477" i="43"/>
  <c r="Z478" i="43"/>
  <c r="Z479" i="43"/>
  <c r="Z480" i="43"/>
  <c r="Z481" i="43"/>
  <c r="Z482" i="43"/>
  <c r="Z483" i="43"/>
  <c r="Z484" i="43"/>
  <c r="Z485" i="43"/>
  <c r="Z486" i="43"/>
  <c r="Z487" i="43"/>
  <c r="Z488" i="43"/>
  <c r="Z489" i="43"/>
  <c r="Z490" i="43"/>
  <c r="Z491" i="43"/>
  <c r="Z492" i="43"/>
  <c r="Z493" i="43"/>
  <c r="Z494" i="43"/>
  <c r="Z495" i="43"/>
  <c r="Z496" i="43"/>
  <c r="Z497" i="43"/>
  <c r="Z498" i="43"/>
  <c r="Z499" i="43"/>
  <c r="Z500" i="43"/>
  <c r="Z501" i="43"/>
  <c r="Z502" i="43"/>
  <c r="Z503" i="43"/>
  <c r="Z504" i="43"/>
  <c r="Z505" i="43"/>
  <c r="Z506" i="43"/>
  <c r="Z507" i="43"/>
  <c r="Z508" i="43"/>
  <c r="Z509" i="43"/>
  <c r="Z510" i="43"/>
  <c r="Z511" i="43"/>
  <c r="Z512" i="43"/>
  <c r="Z513" i="43"/>
  <c r="Z514" i="43"/>
  <c r="Z515" i="43"/>
  <c r="Z76" i="43"/>
  <c r="AE76" i="43"/>
  <c r="AD76" i="43"/>
  <c r="AC76" i="43"/>
  <c r="AB76" i="43"/>
  <c r="AA76" i="43"/>
  <c r="M881" i="31"/>
  <c r="M880" i="31"/>
  <c r="M879" i="31"/>
  <c r="M878" i="31"/>
  <c r="M877" i="31"/>
  <c r="M876" i="31"/>
  <c r="M875" i="31"/>
  <c r="M874" i="31"/>
  <c r="M873" i="31"/>
  <c r="M872" i="31"/>
  <c r="M871" i="31"/>
  <c r="M870" i="31"/>
  <c r="M869" i="31"/>
  <c r="M868" i="31"/>
  <c r="M867" i="31"/>
  <c r="M866" i="31"/>
  <c r="M865" i="31"/>
  <c r="M864" i="31"/>
  <c r="M863" i="31"/>
  <c r="M862" i="31"/>
  <c r="M861" i="31"/>
  <c r="M860" i="31"/>
  <c r="M859" i="31"/>
  <c r="M858" i="31"/>
  <c r="M857" i="31"/>
  <c r="M856" i="31"/>
  <c r="M855" i="31"/>
  <c r="M854" i="31"/>
  <c r="M853" i="31"/>
  <c r="M852" i="31"/>
  <c r="M851" i="31"/>
  <c r="M850" i="31"/>
  <c r="M849" i="31"/>
  <c r="M848" i="31"/>
  <c r="M847" i="31"/>
  <c r="M846" i="31"/>
  <c r="M845" i="31"/>
  <c r="M844" i="31"/>
  <c r="M843" i="31"/>
  <c r="M842" i="31"/>
  <c r="M841" i="31"/>
  <c r="M840" i="31"/>
  <c r="M839" i="31"/>
  <c r="M838" i="31"/>
  <c r="M837" i="31"/>
  <c r="M836" i="31"/>
  <c r="M835" i="31"/>
  <c r="M834" i="31"/>
  <c r="M833" i="31"/>
  <c r="M832" i="31"/>
  <c r="M831" i="31"/>
  <c r="M830" i="31"/>
  <c r="M829" i="31"/>
  <c r="M828" i="31"/>
  <c r="M827" i="31"/>
  <c r="M826" i="31"/>
  <c r="M825" i="31"/>
  <c r="M824" i="31"/>
  <c r="M823" i="31"/>
  <c r="M822" i="31"/>
  <c r="M821" i="31"/>
  <c r="M820" i="31"/>
  <c r="M819" i="31"/>
  <c r="M818" i="31"/>
  <c r="M817" i="31"/>
  <c r="M816" i="31"/>
  <c r="M815" i="31"/>
  <c r="M814" i="31"/>
  <c r="M813" i="31"/>
  <c r="M812" i="31"/>
  <c r="M811" i="31"/>
  <c r="M810" i="31"/>
  <c r="M809" i="31"/>
  <c r="M808" i="31"/>
  <c r="M807" i="31"/>
  <c r="M806" i="31"/>
  <c r="M805" i="31"/>
  <c r="M804" i="31"/>
  <c r="M803" i="31"/>
  <c r="M802" i="31"/>
  <c r="M801" i="31"/>
  <c r="M800" i="31"/>
  <c r="M799" i="31"/>
  <c r="M798" i="31"/>
  <c r="M797" i="31"/>
  <c r="M796" i="31"/>
  <c r="M795" i="31"/>
  <c r="M794" i="31"/>
  <c r="M793" i="31"/>
  <c r="M792" i="31"/>
  <c r="M791" i="31"/>
  <c r="M790" i="31"/>
  <c r="M789" i="31"/>
  <c r="M788" i="31"/>
  <c r="M787" i="31"/>
  <c r="M786" i="31"/>
  <c r="M785" i="31"/>
  <c r="M784" i="31"/>
  <c r="M783" i="31"/>
  <c r="M782" i="31"/>
  <c r="M781" i="31"/>
  <c r="M780" i="31"/>
  <c r="M779" i="31"/>
  <c r="M778" i="31"/>
  <c r="M777" i="31"/>
  <c r="M776" i="31"/>
  <c r="M775" i="31"/>
  <c r="M774" i="31"/>
  <c r="M773" i="31"/>
  <c r="M772" i="31"/>
  <c r="M771" i="31"/>
  <c r="M770" i="31"/>
  <c r="M769" i="31"/>
  <c r="M768" i="31"/>
  <c r="M767" i="31"/>
  <c r="M766" i="31"/>
  <c r="M765" i="31"/>
  <c r="M764" i="31"/>
  <c r="M763" i="31"/>
  <c r="M762" i="31"/>
  <c r="M761" i="31"/>
  <c r="M760" i="31"/>
  <c r="M759" i="31"/>
  <c r="M758" i="31"/>
  <c r="M757" i="31"/>
  <c r="M756" i="31"/>
  <c r="M755" i="31"/>
  <c r="M754" i="31"/>
  <c r="M753" i="31"/>
  <c r="M752" i="31"/>
  <c r="M751" i="31"/>
  <c r="M750" i="31"/>
  <c r="M749" i="31"/>
  <c r="M748" i="31"/>
  <c r="M747" i="31"/>
  <c r="M746" i="31"/>
  <c r="M745" i="31"/>
  <c r="M744" i="31"/>
  <c r="M743" i="31"/>
  <c r="M742" i="31"/>
  <c r="M741" i="31"/>
  <c r="M740" i="31"/>
  <c r="M739" i="31"/>
  <c r="M738" i="31"/>
  <c r="M737" i="31"/>
  <c r="M736" i="31"/>
  <c r="M735" i="31"/>
  <c r="M734" i="31"/>
  <c r="M733" i="31"/>
  <c r="M732" i="31"/>
  <c r="M731" i="31"/>
  <c r="M730" i="31"/>
  <c r="M729" i="31"/>
  <c r="M728" i="31"/>
  <c r="M727" i="31"/>
  <c r="M726" i="31"/>
  <c r="M725" i="31"/>
  <c r="M724" i="31"/>
  <c r="M723" i="31"/>
  <c r="M722" i="31"/>
  <c r="M721" i="31"/>
  <c r="M720" i="31"/>
  <c r="M719" i="31"/>
  <c r="M718" i="31"/>
  <c r="M717" i="31"/>
  <c r="M716" i="31"/>
  <c r="M715" i="31"/>
  <c r="M714" i="31"/>
  <c r="M713" i="31"/>
  <c r="M712" i="31"/>
  <c r="M711" i="31"/>
  <c r="M710" i="31"/>
  <c r="M709" i="31"/>
  <c r="M708" i="31"/>
  <c r="M707" i="31"/>
  <c r="M706" i="31"/>
  <c r="M705" i="31"/>
  <c r="M704" i="31"/>
  <c r="M703" i="31"/>
  <c r="M702" i="31"/>
  <c r="M701" i="31"/>
  <c r="M700" i="31"/>
  <c r="M699" i="31"/>
  <c r="M698" i="31"/>
  <c r="M697" i="31"/>
  <c r="M696" i="31"/>
  <c r="M695" i="31"/>
  <c r="M694" i="31"/>
  <c r="M693" i="31"/>
  <c r="M692" i="31"/>
  <c r="M691" i="31"/>
  <c r="M690" i="31"/>
  <c r="M689" i="31"/>
  <c r="M688" i="31"/>
  <c r="M687" i="31"/>
  <c r="M686" i="31"/>
  <c r="M685" i="31"/>
  <c r="M684" i="31"/>
  <c r="M683" i="31"/>
  <c r="M682" i="31"/>
  <c r="M681" i="31"/>
  <c r="M680" i="31"/>
  <c r="M679" i="31"/>
  <c r="M678" i="31"/>
  <c r="M677" i="31"/>
  <c r="M676" i="31"/>
  <c r="M675" i="31"/>
  <c r="M674" i="31"/>
  <c r="M673" i="31"/>
  <c r="M672" i="31"/>
  <c r="M671" i="31"/>
  <c r="M670" i="31"/>
  <c r="M669" i="31"/>
  <c r="M668" i="31"/>
  <c r="M667" i="31"/>
  <c r="M666" i="31"/>
  <c r="M665" i="31"/>
  <c r="M664" i="31"/>
  <c r="M663" i="31"/>
  <c r="M662" i="31"/>
  <c r="M661" i="31"/>
  <c r="M660" i="31"/>
  <c r="M659" i="31"/>
  <c r="M658" i="31"/>
  <c r="M657" i="31"/>
  <c r="M656" i="31"/>
  <c r="M655" i="31"/>
  <c r="M654" i="31"/>
  <c r="M653" i="31"/>
  <c r="M652" i="31"/>
  <c r="M651" i="31"/>
  <c r="M650" i="31"/>
  <c r="M649" i="31"/>
  <c r="M648" i="31"/>
  <c r="M647" i="31"/>
  <c r="M646" i="31"/>
  <c r="M645" i="31"/>
  <c r="M644" i="31"/>
  <c r="M643" i="31"/>
  <c r="M642" i="31"/>
  <c r="M641" i="31"/>
  <c r="M640" i="31"/>
  <c r="M639" i="31"/>
  <c r="M638" i="31"/>
  <c r="M637" i="31"/>
  <c r="M636" i="31"/>
  <c r="M635" i="31"/>
  <c r="M634" i="31"/>
  <c r="M633" i="31"/>
  <c r="M632" i="31"/>
  <c r="M631" i="31"/>
  <c r="M630" i="31"/>
  <c r="M629" i="31"/>
  <c r="M628" i="31"/>
  <c r="M627" i="31"/>
  <c r="M626" i="31"/>
  <c r="M625" i="31"/>
  <c r="M624" i="31"/>
  <c r="M623" i="31"/>
  <c r="M622" i="31"/>
  <c r="M621" i="31"/>
  <c r="M620" i="31"/>
  <c r="M619" i="31"/>
  <c r="M618" i="31"/>
  <c r="M617" i="31"/>
  <c r="M616" i="31"/>
  <c r="M615" i="31"/>
  <c r="M614" i="31"/>
  <c r="M613" i="31"/>
  <c r="M612" i="31"/>
  <c r="M611" i="31"/>
  <c r="M610" i="31"/>
  <c r="M609" i="31"/>
  <c r="M608" i="31"/>
  <c r="M607" i="31"/>
  <c r="M606" i="31"/>
  <c r="M605" i="31"/>
  <c r="M604" i="31"/>
  <c r="M603" i="31"/>
  <c r="M602" i="31"/>
  <c r="M601" i="31"/>
  <c r="M600" i="31"/>
  <c r="M599" i="31"/>
  <c r="M598" i="31"/>
  <c r="M597" i="31"/>
  <c r="M596" i="31"/>
  <c r="M595" i="31"/>
  <c r="M594" i="31"/>
  <c r="M593" i="31"/>
  <c r="M592" i="31"/>
  <c r="M591" i="31"/>
  <c r="M590" i="31"/>
  <c r="M589" i="31"/>
  <c r="M588" i="31"/>
  <c r="M587" i="31"/>
  <c r="M586" i="31"/>
  <c r="M585" i="31"/>
  <c r="M584" i="31"/>
  <c r="M583" i="31"/>
  <c r="M582" i="31"/>
  <c r="M581" i="31"/>
  <c r="M580" i="31"/>
  <c r="M579" i="31"/>
  <c r="M578" i="31"/>
  <c r="M577" i="31"/>
  <c r="M576" i="31"/>
  <c r="M575" i="31"/>
  <c r="M574" i="31"/>
  <c r="M573" i="31"/>
  <c r="M572" i="31"/>
  <c r="M571" i="31"/>
  <c r="M570" i="31"/>
  <c r="M569" i="31"/>
  <c r="M568" i="31"/>
  <c r="M567" i="31"/>
  <c r="M566" i="31"/>
  <c r="M565" i="31"/>
  <c r="M564" i="31"/>
  <c r="M563" i="31"/>
  <c r="M562" i="31"/>
  <c r="M561" i="31"/>
  <c r="M560" i="31"/>
  <c r="M559" i="31"/>
  <c r="M558" i="31"/>
  <c r="M557" i="31"/>
  <c r="M556" i="31"/>
  <c r="M555" i="31"/>
  <c r="M554" i="31"/>
  <c r="M553" i="31"/>
  <c r="M552" i="31"/>
  <c r="M551" i="31"/>
  <c r="M550" i="31"/>
  <c r="M549" i="31"/>
  <c r="M548" i="31"/>
  <c r="M547" i="31"/>
  <c r="M546" i="31"/>
  <c r="M545" i="31"/>
  <c r="M544" i="31"/>
  <c r="M543" i="31"/>
  <c r="M542" i="31"/>
  <c r="M541" i="31"/>
  <c r="M540" i="31"/>
  <c r="M539" i="31"/>
  <c r="M538" i="31"/>
  <c r="M537" i="31"/>
  <c r="M536" i="31"/>
  <c r="M535" i="31"/>
  <c r="M534" i="31"/>
  <c r="M533" i="31"/>
  <c r="M532" i="31"/>
  <c r="M531" i="31"/>
  <c r="M530" i="31"/>
  <c r="M529" i="31"/>
  <c r="M528" i="31"/>
  <c r="M527" i="31"/>
  <c r="M526" i="31"/>
  <c r="M525" i="31"/>
  <c r="M524" i="31"/>
  <c r="M523" i="31"/>
  <c r="M522" i="31"/>
  <c r="M521" i="31"/>
  <c r="M520" i="31"/>
  <c r="M519" i="31"/>
  <c r="M518" i="31"/>
  <c r="M517" i="31"/>
  <c r="M516" i="31"/>
  <c r="M515" i="31"/>
  <c r="M514" i="31"/>
  <c r="M513" i="31"/>
  <c r="M512" i="31"/>
  <c r="M511" i="31"/>
  <c r="M510" i="31"/>
  <c r="M509" i="31"/>
  <c r="M508" i="31"/>
  <c r="M507" i="31"/>
  <c r="M506" i="31"/>
  <c r="M505" i="31"/>
  <c r="M504" i="31"/>
  <c r="M503" i="31"/>
  <c r="M502" i="31"/>
  <c r="M501" i="31"/>
  <c r="M500" i="31"/>
  <c r="M499" i="31"/>
  <c r="M498" i="31"/>
  <c r="M497" i="31"/>
  <c r="M496" i="31"/>
  <c r="M495" i="31"/>
  <c r="M494" i="31"/>
  <c r="M493" i="31"/>
  <c r="M492" i="31"/>
  <c r="M491" i="31"/>
  <c r="M490" i="31"/>
  <c r="M489" i="31"/>
  <c r="M488" i="31"/>
  <c r="M487" i="31"/>
  <c r="M486" i="31"/>
  <c r="M485" i="31"/>
  <c r="M484" i="31"/>
  <c r="M483" i="31"/>
  <c r="M482" i="31"/>
  <c r="M481" i="31"/>
  <c r="M480" i="31"/>
  <c r="M479" i="31"/>
  <c r="M478" i="31"/>
  <c r="M477" i="31"/>
  <c r="M476" i="31"/>
  <c r="M475" i="31"/>
  <c r="M474" i="31"/>
  <c r="M473" i="31"/>
  <c r="M472" i="31"/>
  <c r="M471" i="31"/>
  <c r="M470" i="31"/>
  <c r="M469" i="31"/>
  <c r="M468" i="31"/>
  <c r="M467" i="31"/>
  <c r="M466" i="31"/>
  <c r="M465" i="31"/>
  <c r="M464" i="31"/>
  <c r="M463" i="31"/>
  <c r="M462" i="31"/>
  <c r="M461" i="31"/>
  <c r="M460" i="31"/>
  <c r="M459" i="31"/>
  <c r="M458" i="31"/>
  <c r="M457" i="31"/>
  <c r="M456" i="31"/>
  <c r="M455" i="31"/>
  <c r="M454" i="31"/>
  <c r="M453" i="31"/>
  <c r="M452" i="31"/>
  <c r="M451" i="31"/>
  <c r="M450" i="31"/>
  <c r="M449" i="31"/>
  <c r="M448" i="31"/>
  <c r="M447" i="31"/>
  <c r="M446" i="31"/>
  <c r="M445" i="31"/>
  <c r="M444" i="31"/>
  <c r="M443" i="31"/>
  <c r="M442" i="31"/>
  <c r="M441" i="31"/>
  <c r="M440" i="31"/>
  <c r="M439" i="31"/>
  <c r="M438" i="31"/>
  <c r="M437" i="31"/>
  <c r="M436" i="31"/>
  <c r="M435" i="31"/>
  <c r="M434" i="31"/>
  <c r="M433" i="31"/>
  <c r="M432" i="31"/>
  <c r="M431" i="31"/>
  <c r="M430" i="31"/>
  <c r="M429" i="31"/>
  <c r="M428" i="31"/>
  <c r="M427" i="31"/>
  <c r="M426" i="31"/>
  <c r="M425" i="31"/>
  <c r="M424" i="31"/>
  <c r="M423" i="31"/>
  <c r="M422" i="31"/>
  <c r="M421" i="31"/>
  <c r="M420" i="31"/>
  <c r="M419" i="31"/>
  <c r="M418" i="31"/>
  <c r="M417" i="31"/>
  <c r="M416" i="31"/>
  <c r="M415" i="31"/>
  <c r="M414" i="31"/>
  <c r="M413" i="31"/>
  <c r="M412" i="31"/>
  <c r="M411" i="31"/>
  <c r="M410" i="31"/>
  <c r="M409" i="31"/>
  <c r="M408" i="31"/>
  <c r="M407" i="31"/>
  <c r="M406" i="31"/>
  <c r="M405" i="31"/>
  <c r="M404" i="31"/>
  <c r="M403" i="31"/>
  <c r="M402" i="31"/>
  <c r="M401" i="31"/>
  <c r="M400" i="31"/>
  <c r="M399" i="31"/>
  <c r="M398" i="31"/>
  <c r="M397" i="31"/>
  <c r="M396" i="31"/>
  <c r="M395" i="31"/>
  <c r="M394" i="31"/>
  <c r="M393" i="31"/>
  <c r="M392" i="31"/>
  <c r="M391" i="31"/>
  <c r="M390" i="31"/>
  <c r="M389" i="31"/>
  <c r="M388" i="31"/>
  <c r="M387" i="31"/>
  <c r="M386" i="31"/>
  <c r="M385" i="31"/>
  <c r="M384" i="31"/>
  <c r="M383" i="31"/>
  <c r="M382" i="31"/>
  <c r="M381" i="31"/>
  <c r="M380" i="31"/>
  <c r="M379" i="31"/>
  <c r="M378" i="31"/>
  <c r="M377" i="31"/>
  <c r="M376" i="31"/>
  <c r="M375" i="31"/>
  <c r="M374" i="31"/>
  <c r="M373" i="31"/>
  <c r="M372" i="31"/>
  <c r="M371" i="31"/>
  <c r="M370" i="31"/>
  <c r="M369" i="31"/>
  <c r="M368" i="31"/>
  <c r="M367" i="31"/>
  <c r="M366" i="31"/>
  <c r="M365" i="31"/>
  <c r="M364" i="31"/>
  <c r="M363" i="31"/>
  <c r="M362" i="31"/>
  <c r="M361" i="31"/>
  <c r="M360" i="31"/>
  <c r="M359" i="31"/>
  <c r="M358" i="31"/>
  <c r="M357" i="31"/>
  <c r="M356" i="31"/>
  <c r="M355" i="31"/>
  <c r="M354" i="31"/>
  <c r="M353" i="31"/>
  <c r="M352" i="31"/>
  <c r="M351" i="31"/>
  <c r="M350" i="31"/>
  <c r="M349" i="31"/>
  <c r="M348" i="31"/>
  <c r="M347" i="31"/>
  <c r="M346" i="31"/>
  <c r="M345" i="31"/>
  <c r="M344" i="31"/>
  <c r="M343" i="31"/>
  <c r="M342" i="31"/>
  <c r="M341" i="31"/>
  <c r="M340" i="31"/>
  <c r="M339" i="31"/>
  <c r="M338" i="31"/>
  <c r="M337" i="31"/>
  <c r="M336" i="31"/>
  <c r="M335" i="31"/>
  <c r="M334" i="31"/>
  <c r="M333" i="31"/>
  <c r="M332" i="31"/>
  <c r="M331" i="31"/>
  <c r="M330" i="31"/>
  <c r="M329" i="31"/>
  <c r="M328" i="31"/>
  <c r="M327" i="31"/>
  <c r="M326" i="31"/>
  <c r="M325" i="31"/>
  <c r="M324" i="31"/>
  <c r="M323" i="31"/>
  <c r="M322" i="31"/>
  <c r="M321" i="31"/>
  <c r="M320" i="31"/>
  <c r="M319" i="31"/>
  <c r="M318" i="31"/>
  <c r="M317" i="31"/>
  <c r="M316" i="31"/>
  <c r="M315" i="31"/>
  <c r="M314" i="31"/>
  <c r="M313" i="31"/>
  <c r="M312" i="31"/>
  <c r="M311" i="31"/>
  <c r="M310" i="31"/>
  <c r="M309" i="31"/>
  <c r="M308" i="31"/>
  <c r="M307" i="31"/>
  <c r="M306" i="31"/>
  <c r="M305" i="31"/>
  <c r="M304" i="31"/>
  <c r="M303" i="31"/>
  <c r="M302" i="31"/>
  <c r="M301" i="31"/>
  <c r="M300" i="31"/>
  <c r="M299" i="31"/>
  <c r="M298" i="31"/>
  <c r="M297" i="31"/>
  <c r="M296" i="31"/>
  <c r="M295" i="31"/>
  <c r="M294" i="31"/>
  <c r="M293" i="31"/>
  <c r="M292" i="31"/>
  <c r="M291" i="31"/>
  <c r="M290" i="31"/>
  <c r="M289" i="31"/>
  <c r="M288" i="31"/>
  <c r="M287" i="31"/>
  <c r="M286" i="31"/>
  <c r="M285" i="31"/>
  <c r="M284" i="31"/>
  <c r="M283" i="31"/>
  <c r="M282" i="31"/>
  <c r="M281" i="31"/>
  <c r="M280" i="31"/>
  <c r="M279" i="31"/>
  <c r="M278" i="31"/>
  <c r="M277" i="31"/>
  <c r="M276" i="31"/>
  <c r="M275" i="31"/>
  <c r="M274" i="31"/>
  <c r="M273" i="31"/>
  <c r="M272" i="31"/>
  <c r="M271" i="31"/>
  <c r="M270" i="31"/>
  <c r="M269" i="31"/>
  <c r="M268" i="31"/>
  <c r="M267" i="31"/>
  <c r="M266" i="31"/>
  <c r="M265" i="31"/>
  <c r="M264" i="31"/>
  <c r="M263" i="31"/>
  <c r="M262" i="31"/>
  <c r="M261" i="31"/>
  <c r="M260" i="31"/>
  <c r="M259" i="31"/>
  <c r="M258" i="31"/>
  <c r="M257" i="31"/>
  <c r="M256" i="31"/>
  <c r="M255" i="31"/>
  <c r="M254" i="31"/>
  <c r="M253" i="31"/>
  <c r="M252" i="31"/>
  <c r="M251" i="31"/>
  <c r="M250" i="31"/>
  <c r="M249" i="31"/>
  <c r="M248" i="31"/>
  <c r="M247" i="31"/>
  <c r="M246" i="31"/>
  <c r="M245" i="31"/>
  <c r="M244" i="31"/>
  <c r="M243" i="31"/>
  <c r="M242" i="31"/>
  <c r="M241" i="31"/>
  <c r="M240" i="31"/>
  <c r="M239" i="31"/>
  <c r="M238" i="31"/>
  <c r="M237" i="31"/>
  <c r="M236" i="31"/>
  <c r="M235" i="31"/>
  <c r="M234" i="31"/>
  <c r="M233" i="31"/>
  <c r="M232" i="31"/>
  <c r="M231" i="31"/>
  <c r="M230" i="31"/>
  <c r="M229" i="31"/>
  <c r="M228" i="31"/>
  <c r="M227" i="31"/>
  <c r="M226" i="31"/>
  <c r="M225" i="31"/>
  <c r="M224" i="31"/>
  <c r="M223" i="31"/>
  <c r="M222" i="31"/>
  <c r="M221" i="31"/>
  <c r="M220" i="31"/>
  <c r="M219" i="31"/>
  <c r="M218" i="31"/>
  <c r="M217" i="31"/>
  <c r="M216" i="31"/>
  <c r="M215" i="31"/>
  <c r="M214" i="31"/>
  <c r="M213" i="31"/>
  <c r="M212" i="31"/>
  <c r="M211" i="31"/>
  <c r="M210" i="31"/>
  <c r="M209" i="31"/>
  <c r="M208" i="31"/>
  <c r="M207" i="31"/>
  <c r="M206" i="31"/>
  <c r="M205" i="31"/>
  <c r="M204" i="31"/>
  <c r="M203" i="31"/>
  <c r="M202" i="31"/>
  <c r="M201" i="31"/>
  <c r="M200" i="31"/>
  <c r="M199" i="31"/>
  <c r="M198" i="31"/>
  <c r="M197" i="31"/>
  <c r="M196" i="31"/>
  <c r="M195" i="31"/>
  <c r="M194" i="31"/>
  <c r="M193" i="31"/>
  <c r="M192" i="31"/>
  <c r="M191" i="31"/>
  <c r="M190" i="31"/>
  <c r="M189" i="31"/>
  <c r="M188" i="31"/>
  <c r="M187" i="31"/>
  <c r="M186" i="31"/>
  <c r="M185" i="31"/>
  <c r="M184" i="31"/>
  <c r="M183" i="31"/>
  <c r="M182" i="31"/>
  <c r="M181" i="31"/>
  <c r="M180" i="31"/>
  <c r="M179" i="31"/>
  <c r="M178" i="31"/>
  <c r="M177" i="31"/>
  <c r="M176" i="31"/>
  <c r="M175" i="31"/>
  <c r="M174" i="31"/>
  <c r="M173" i="31"/>
  <c r="M172" i="31"/>
  <c r="M171" i="31"/>
  <c r="M170" i="31"/>
  <c r="M169" i="31"/>
  <c r="M168" i="31"/>
  <c r="M167" i="31"/>
  <c r="M166" i="31"/>
  <c r="M165" i="31"/>
  <c r="M164" i="31"/>
  <c r="M163" i="31"/>
  <c r="M162" i="31"/>
  <c r="M161" i="31"/>
  <c r="M160" i="31"/>
  <c r="M159" i="31"/>
  <c r="M158" i="31"/>
  <c r="M157" i="31"/>
  <c r="M156" i="31"/>
  <c r="M155" i="31"/>
  <c r="M154" i="31"/>
  <c r="M153" i="31"/>
  <c r="M152" i="31"/>
  <c r="M151" i="31"/>
  <c r="M150" i="31"/>
  <c r="M149" i="31"/>
  <c r="M148" i="31"/>
  <c r="M147" i="31"/>
  <c r="M146" i="31"/>
  <c r="M145" i="31"/>
  <c r="M144" i="31"/>
  <c r="M143" i="31"/>
  <c r="M142" i="31"/>
  <c r="M141" i="31"/>
  <c r="M140" i="31"/>
  <c r="M139" i="31"/>
  <c r="M138" i="31"/>
  <c r="M137" i="31"/>
  <c r="M136" i="31"/>
  <c r="M135" i="31"/>
  <c r="M134" i="31"/>
  <c r="M133" i="31"/>
  <c r="M132" i="31"/>
  <c r="M131" i="31"/>
  <c r="M130" i="31"/>
  <c r="M129" i="31"/>
  <c r="M128" i="31"/>
  <c r="M127" i="31"/>
  <c r="M126" i="31"/>
  <c r="M125" i="31"/>
  <c r="M124" i="31"/>
  <c r="M123" i="31"/>
  <c r="M122" i="31"/>
  <c r="M121" i="31"/>
  <c r="M120" i="31"/>
  <c r="M119" i="31"/>
  <c r="M118" i="31"/>
  <c r="M117" i="31"/>
  <c r="M116" i="31"/>
  <c r="M115" i="31"/>
  <c r="M114" i="31"/>
  <c r="M113" i="31"/>
  <c r="M112" i="31"/>
  <c r="M111" i="31"/>
  <c r="M110" i="31"/>
  <c r="M109" i="31"/>
  <c r="M108" i="31"/>
  <c r="M107" i="31"/>
  <c r="M106" i="31"/>
  <c r="M105" i="31"/>
  <c r="M104" i="31"/>
  <c r="M103" i="31"/>
  <c r="M102" i="31"/>
  <c r="M101" i="31"/>
  <c r="M100" i="31"/>
  <c r="M99" i="31"/>
  <c r="M98" i="31"/>
  <c r="M97" i="31"/>
  <c r="M96" i="31"/>
  <c r="M95" i="31"/>
  <c r="M94" i="31"/>
  <c r="M93" i="31"/>
  <c r="M92" i="31"/>
  <c r="M91" i="31"/>
  <c r="M90" i="31"/>
  <c r="M89" i="31"/>
  <c r="M88" i="31"/>
  <c r="M87" i="31"/>
  <c r="M86" i="31"/>
  <c r="M85" i="31"/>
  <c r="M84" i="31"/>
  <c r="M83" i="31"/>
  <c r="M82" i="31"/>
  <c r="M81" i="31"/>
  <c r="M80" i="31"/>
  <c r="M79" i="31"/>
  <c r="M78" i="31"/>
  <c r="M77" i="31"/>
  <c r="M76" i="31"/>
  <c r="M75" i="31"/>
  <c r="M74" i="31"/>
  <c r="M73" i="31"/>
  <c r="M72" i="31"/>
  <c r="M71" i="31"/>
  <c r="M70" i="31"/>
  <c r="M69" i="31"/>
  <c r="M68" i="31"/>
  <c r="M67" i="31"/>
  <c r="M66" i="31"/>
  <c r="M65" i="31"/>
  <c r="M64" i="31"/>
  <c r="M63" i="31"/>
  <c r="M62" i="31"/>
  <c r="M61" i="31"/>
  <c r="M60" i="31"/>
  <c r="M59" i="31"/>
  <c r="M58" i="31"/>
  <c r="M57" i="31"/>
  <c r="M56" i="31"/>
  <c r="M55" i="31"/>
  <c r="M54" i="31"/>
  <c r="M53" i="31"/>
  <c r="M52" i="31"/>
  <c r="M51" i="31"/>
  <c r="M50" i="31"/>
  <c r="M49" i="31"/>
  <c r="M48" i="31"/>
  <c r="M47" i="31"/>
  <c r="M46" i="31"/>
  <c r="M45" i="31"/>
  <c r="M44" i="31"/>
  <c r="M43" i="31"/>
  <c r="M42" i="31"/>
  <c r="M41" i="31"/>
  <c r="M40" i="31"/>
  <c r="M39" i="31"/>
  <c r="M38" i="31"/>
  <c r="M37" i="31"/>
  <c r="M36" i="31"/>
  <c r="M35" i="31"/>
  <c r="M34" i="31"/>
  <c r="M33" i="31"/>
  <c r="M32" i="31"/>
  <c r="M31" i="31"/>
  <c r="M30" i="31"/>
  <c r="M29" i="31"/>
  <c r="M28" i="31"/>
  <c r="M27" i="31"/>
  <c r="M26" i="31"/>
  <c r="M25" i="31"/>
  <c r="M24" i="31"/>
  <c r="M23" i="31"/>
  <c r="M22" i="31"/>
  <c r="M21" i="31"/>
  <c r="M20" i="31"/>
  <c r="M19" i="31"/>
  <c r="M18" i="31"/>
  <c r="M17" i="31"/>
  <c r="M16" i="31"/>
  <c r="M15" i="31"/>
  <c r="M14" i="31"/>
  <c r="M13" i="31"/>
  <c r="M12" i="31"/>
  <c r="M11" i="31"/>
  <c r="M10" i="31"/>
  <c r="M9" i="31"/>
  <c r="M8" i="31"/>
  <c r="M7" i="31"/>
  <c r="M6" i="31"/>
  <c r="M5" i="31"/>
  <c r="M4" i="31"/>
  <c r="M3" i="31"/>
  <c r="M2" i="31"/>
  <c r="K639" i="25"/>
  <c r="L639" i="25"/>
  <c r="N639" i="25"/>
  <c r="P77" i="43"/>
  <c r="R77" i="43"/>
  <c r="J77" i="43"/>
  <c r="L77" i="43"/>
  <c r="T77" i="43"/>
  <c r="X77" i="43"/>
  <c r="U77" i="43"/>
  <c r="Q77" i="43"/>
  <c r="S77" i="43"/>
  <c r="K77" i="43"/>
  <c r="N77" i="43"/>
  <c r="V77" i="43"/>
  <c r="P78" i="43"/>
  <c r="R78" i="43"/>
  <c r="J78" i="43"/>
  <c r="L78" i="43"/>
  <c r="T78" i="43"/>
  <c r="X78" i="43"/>
  <c r="U78" i="43"/>
  <c r="Q78" i="43"/>
  <c r="S78" i="43"/>
  <c r="K78" i="43"/>
  <c r="N78" i="43"/>
  <c r="V78" i="43"/>
  <c r="P79" i="43"/>
  <c r="R79" i="43"/>
  <c r="J79" i="43"/>
  <c r="L79" i="43"/>
  <c r="T79" i="43"/>
  <c r="X79" i="43"/>
  <c r="U79" i="43"/>
  <c r="Q79" i="43"/>
  <c r="S79" i="43"/>
  <c r="K79" i="43"/>
  <c r="N79" i="43"/>
  <c r="V79" i="43"/>
  <c r="P80" i="43"/>
  <c r="R80" i="43"/>
  <c r="J80" i="43"/>
  <c r="L80" i="43"/>
  <c r="T80" i="43"/>
  <c r="X80" i="43"/>
  <c r="U80" i="43"/>
  <c r="Q80" i="43"/>
  <c r="S80" i="43"/>
  <c r="K80" i="43"/>
  <c r="N80" i="43"/>
  <c r="V80" i="43"/>
  <c r="P81" i="43"/>
  <c r="R81" i="43"/>
  <c r="J81" i="43"/>
  <c r="L81" i="43"/>
  <c r="T81" i="43"/>
  <c r="X81" i="43"/>
  <c r="U81" i="43"/>
  <c r="Q81" i="43"/>
  <c r="S81" i="43"/>
  <c r="K81" i="43"/>
  <c r="N81" i="43"/>
  <c r="V81" i="43"/>
  <c r="P82" i="43"/>
  <c r="R82" i="43"/>
  <c r="J82" i="43"/>
  <c r="L82" i="43"/>
  <c r="T82" i="43"/>
  <c r="X82" i="43"/>
  <c r="U82" i="43"/>
  <c r="Q82" i="43"/>
  <c r="S82" i="43"/>
  <c r="K82" i="43"/>
  <c r="N82" i="43"/>
  <c r="V82" i="43"/>
  <c r="P83" i="43"/>
  <c r="R83" i="43"/>
  <c r="J83" i="43"/>
  <c r="L83" i="43"/>
  <c r="T83" i="43"/>
  <c r="X83" i="43"/>
  <c r="U83" i="43"/>
  <c r="Q83" i="43"/>
  <c r="S83" i="43"/>
  <c r="K83" i="43"/>
  <c r="N83" i="43"/>
  <c r="V83" i="43"/>
  <c r="P84" i="43"/>
  <c r="R84" i="43"/>
  <c r="J84" i="43"/>
  <c r="L84" i="43"/>
  <c r="T84" i="43"/>
  <c r="X84" i="43"/>
  <c r="U84" i="43"/>
  <c r="Q84" i="43"/>
  <c r="S84" i="43"/>
  <c r="K84" i="43"/>
  <c r="N84" i="43"/>
  <c r="V84" i="43"/>
  <c r="P85" i="43"/>
  <c r="R85" i="43"/>
  <c r="J85" i="43"/>
  <c r="L85" i="43"/>
  <c r="T85" i="43"/>
  <c r="X85" i="43"/>
  <c r="U85" i="43"/>
  <c r="Q85" i="43"/>
  <c r="S85" i="43"/>
  <c r="K85" i="43"/>
  <c r="N85" i="43"/>
  <c r="V85" i="43"/>
  <c r="P86" i="43"/>
  <c r="R86" i="43"/>
  <c r="J86" i="43"/>
  <c r="L86" i="43"/>
  <c r="T86" i="43"/>
  <c r="X86" i="43"/>
  <c r="U86" i="43"/>
  <c r="Q86" i="43"/>
  <c r="S86" i="43"/>
  <c r="K86" i="43"/>
  <c r="N86" i="43"/>
  <c r="V86" i="43"/>
  <c r="P87" i="43"/>
  <c r="R87" i="43"/>
  <c r="J87" i="43"/>
  <c r="L87" i="43"/>
  <c r="T87" i="43"/>
  <c r="X87" i="43"/>
  <c r="U87" i="43"/>
  <c r="Q87" i="43"/>
  <c r="S87" i="43"/>
  <c r="K87" i="43"/>
  <c r="N87" i="43"/>
  <c r="V87" i="43"/>
  <c r="P88" i="43"/>
  <c r="R88" i="43"/>
  <c r="J88" i="43"/>
  <c r="L88" i="43"/>
  <c r="T88" i="43"/>
  <c r="X88" i="43"/>
  <c r="U88" i="43"/>
  <c r="Q88" i="43"/>
  <c r="S88" i="43"/>
  <c r="K88" i="43"/>
  <c r="N88" i="43"/>
  <c r="V88" i="43"/>
  <c r="P89" i="43"/>
  <c r="R89" i="43"/>
  <c r="J89" i="43"/>
  <c r="L89" i="43"/>
  <c r="T89" i="43"/>
  <c r="X89" i="43"/>
  <c r="U89" i="43"/>
  <c r="Q89" i="43"/>
  <c r="S89" i="43"/>
  <c r="K89" i="43"/>
  <c r="N89" i="43"/>
  <c r="V89" i="43"/>
  <c r="P90" i="43"/>
  <c r="R90" i="43"/>
  <c r="J90" i="43"/>
  <c r="L90" i="43"/>
  <c r="T90" i="43"/>
  <c r="X90" i="43"/>
  <c r="U90" i="43"/>
  <c r="Q90" i="43"/>
  <c r="S90" i="43"/>
  <c r="K90" i="43"/>
  <c r="N90" i="43"/>
  <c r="V90" i="43"/>
  <c r="P91" i="43"/>
  <c r="R91" i="43"/>
  <c r="J91" i="43"/>
  <c r="L91" i="43"/>
  <c r="T91" i="43"/>
  <c r="X91" i="43"/>
  <c r="U91" i="43"/>
  <c r="Q91" i="43"/>
  <c r="S91" i="43"/>
  <c r="K91" i="43"/>
  <c r="N91" i="43"/>
  <c r="V91" i="43"/>
  <c r="P92" i="43"/>
  <c r="R92" i="43"/>
  <c r="J92" i="43"/>
  <c r="L92" i="43"/>
  <c r="T92" i="43"/>
  <c r="X92" i="43"/>
  <c r="U92" i="43"/>
  <c r="Q92" i="43"/>
  <c r="S92" i="43"/>
  <c r="K92" i="43"/>
  <c r="N92" i="43"/>
  <c r="V92" i="43"/>
  <c r="P93" i="43"/>
  <c r="R93" i="43"/>
  <c r="J93" i="43"/>
  <c r="L93" i="43"/>
  <c r="T93" i="43"/>
  <c r="X93" i="43"/>
  <c r="U93" i="43"/>
  <c r="Q93" i="43"/>
  <c r="S93" i="43"/>
  <c r="K93" i="43"/>
  <c r="N93" i="43"/>
  <c r="V93" i="43"/>
  <c r="P94" i="43"/>
  <c r="R94" i="43"/>
  <c r="J94" i="43"/>
  <c r="L94" i="43"/>
  <c r="T94" i="43"/>
  <c r="X94" i="43"/>
  <c r="U94" i="43"/>
  <c r="Q94" i="43"/>
  <c r="S94" i="43"/>
  <c r="K94" i="43"/>
  <c r="N94" i="43"/>
  <c r="V94" i="43"/>
  <c r="P95" i="43"/>
  <c r="R95" i="43"/>
  <c r="J95" i="43"/>
  <c r="L95" i="43"/>
  <c r="T95" i="43"/>
  <c r="X95" i="43"/>
  <c r="U95" i="43"/>
  <c r="Q95" i="43"/>
  <c r="S95" i="43"/>
  <c r="K95" i="43"/>
  <c r="N95" i="43"/>
  <c r="V95" i="43"/>
  <c r="P96" i="43"/>
  <c r="R96" i="43"/>
  <c r="J96" i="43"/>
  <c r="L96" i="43"/>
  <c r="T96" i="43"/>
  <c r="X96" i="43"/>
  <c r="U96" i="43"/>
  <c r="Q96" i="43"/>
  <c r="S96" i="43"/>
  <c r="K96" i="43"/>
  <c r="N96" i="43"/>
  <c r="V96" i="43"/>
  <c r="P97" i="43"/>
  <c r="R97" i="43"/>
  <c r="J97" i="43"/>
  <c r="L97" i="43"/>
  <c r="T97" i="43"/>
  <c r="X97" i="43"/>
  <c r="U97" i="43"/>
  <c r="Q97" i="43"/>
  <c r="S97" i="43"/>
  <c r="K97" i="43"/>
  <c r="N97" i="43"/>
  <c r="V97" i="43"/>
  <c r="P98" i="43"/>
  <c r="R98" i="43"/>
  <c r="J98" i="43"/>
  <c r="L98" i="43"/>
  <c r="T98" i="43"/>
  <c r="X98" i="43"/>
  <c r="U98" i="43"/>
  <c r="Q98" i="43"/>
  <c r="S98" i="43"/>
  <c r="K98" i="43"/>
  <c r="N98" i="43"/>
  <c r="V98" i="43"/>
  <c r="P99" i="43"/>
  <c r="R99" i="43"/>
  <c r="J99" i="43"/>
  <c r="L99" i="43"/>
  <c r="T99" i="43"/>
  <c r="X99" i="43"/>
  <c r="U99" i="43"/>
  <c r="Q99" i="43"/>
  <c r="S99" i="43"/>
  <c r="K99" i="43"/>
  <c r="N99" i="43"/>
  <c r="V99" i="43"/>
  <c r="P100" i="43"/>
  <c r="R100" i="43"/>
  <c r="J100" i="43"/>
  <c r="L100" i="43"/>
  <c r="T100" i="43"/>
  <c r="X100" i="43"/>
  <c r="U100" i="43"/>
  <c r="Q100" i="43"/>
  <c r="S100" i="43"/>
  <c r="K100" i="43"/>
  <c r="N100" i="43"/>
  <c r="V100" i="43"/>
  <c r="P101" i="43"/>
  <c r="R101" i="43"/>
  <c r="J101" i="43"/>
  <c r="L101" i="43"/>
  <c r="T101" i="43"/>
  <c r="X101" i="43"/>
  <c r="U101" i="43"/>
  <c r="Q101" i="43"/>
  <c r="S101" i="43"/>
  <c r="K101" i="43"/>
  <c r="N101" i="43"/>
  <c r="V101" i="43"/>
  <c r="P102" i="43"/>
  <c r="R102" i="43"/>
  <c r="J102" i="43"/>
  <c r="L102" i="43"/>
  <c r="T102" i="43"/>
  <c r="X102" i="43"/>
  <c r="U102" i="43"/>
  <c r="Q102" i="43"/>
  <c r="S102" i="43"/>
  <c r="K102" i="43"/>
  <c r="N102" i="43"/>
  <c r="V102" i="43"/>
  <c r="P103" i="43"/>
  <c r="R103" i="43"/>
  <c r="J103" i="43"/>
  <c r="L103" i="43"/>
  <c r="T103" i="43"/>
  <c r="X103" i="43"/>
  <c r="U103" i="43"/>
  <c r="Q103" i="43"/>
  <c r="S103" i="43"/>
  <c r="K103" i="43"/>
  <c r="N103" i="43"/>
  <c r="V103" i="43"/>
  <c r="P104" i="43"/>
  <c r="R104" i="43"/>
  <c r="J104" i="43"/>
  <c r="L104" i="43"/>
  <c r="T104" i="43"/>
  <c r="X104" i="43"/>
  <c r="U104" i="43"/>
  <c r="Q104" i="43"/>
  <c r="S104" i="43"/>
  <c r="K104" i="43"/>
  <c r="N104" i="43"/>
  <c r="V104" i="43"/>
  <c r="P105" i="43"/>
  <c r="R105" i="43"/>
  <c r="J105" i="43"/>
  <c r="L105" i="43"/>
  <c r="T105" i="43"/>
  <c r="X105" i="43"/>
  <c r="U105" i="43"/>
  <c r="Q105" i="43"/>
  <c r="S105" i="43"/>
  <c r="K105" i="43"/>
  <c r="N105" i="43"/>
  <c r="V105" i="43"/>
  <c r="P106" i="43"/>
  <c r="R106" i="43"/>
  <c r="J106" i="43"/>
  <c r="L106" i="43"/>
  <c r="T106" i="43"/>
  <c r="X106" i="43"/>
  <c r="U106" i="43"/>
  <c r="Q106" i="43"/>
  <c r="S106" i="43"/>
  <c r="K106" i="43"/>
  <c r="N106" i="43"/>
  <c r="V106" i="43"/>
  <c r="P107" i="43"/>
  <c r="R107" i="43"/>
  <c r="J107" i="43"/>
  <c r="L107" i="43"/>
  <c r="T107" i="43"/>
  <c r="X107" i="43"/>
  <c r="U107" i="43"/>
  <c r="Q107" i="43"/>
  <c r="S107" i="43"/>
  <c r="K107" i="43"/>
  <c r="N107" i="43"/>
  <c r="V107" i="43"/>
  <c r="P108" i="43"/>
  <c r="R108" i="43"/>
  <c r="J108" i="43"/>
  <c r="L108" i="43"/>
  <c r="T108" i="43"/>
  <c r="X108" i="43"/>
  <c r="U108" i="43"/>
  <c r="Q108" i="43"/>
  <c r="S108" i="43"/>
  <c r="K108" i="43"/>
  <c r="N108" i="43"/>
  <c r="V108" i="43"/>
  <c r="P109" i="43"/>
  <c r="R109" i="43"/>
  <c r="J109" i="43"/>
  <c r="L109" i="43"/>
  <c r="T109" i="43"/>
  <c r="X109" i="43"/>
  <c r="U109" i="43"/>
  <c r="Q109" i="43"/>
  <c r="S109" i="43"/>
  <c r="K109" i="43"/>
  <c r="N109" i="43"/>
  <c r="V109" i="43"/>
  <c r="P110" i="43"/>
  <c r="R110" i="43"/>
  <c r="J110" i="43"/>
  <c r="L110" i="43"/>
  <c r="T110" i="43"/>
  <c r="X110" i="43"/>
  <c r="U110" i="43"/>
  <c r="Q110" i="43"/>
  <c r="S110" i="43"/>
  <c r="K110" i="43"/>
  <c r="N110" i="43"/>
  <c r="V110" i="43"/>
  <c r="P111" i="43"/>
  <c r="R111" i="43"/>
  <c r="J111" i="43"/>
  <c r="L111" i="43"/>
  <c r="T111" i="43"/>
  <c r="X111" i="43"/>
  <c r="U111" i="43"/>
  <c r="Q111" i="43"/>
  <c r="S111" i="43"/>
  <c r="K111" i="43"/>
  <c r="N111" i="43"/>
  <c r="V111" i="43"/>
  <c r="P112" i="43"/>
  <c r="R112" i="43"/>
  <c r="J112" i="43"/>
  <c r="L112" i="43"/>
  <c r="T112" i="43"/>
  <c r="X112" i="43"/>
  <c r="U112" i="43"/>
  <c r="Q112" i="43"/>
  <c r="S112" i="43"/>
  <c r="K112" i="43"/>
  <c r="N112" i="43"/>
  <c r="V112" i="43"/>
  <c r="P113" i="43"/>
  <c r="R113" i="43"/>
  <c r="J113" i="43"/>
  <c r="L113" i="43"/>
  <c r="T113" i="43"/>
  <c r="X113" i="43"/>
  <c r="U113" i="43"/>
  <c r="Q113" i="43"/>
  <c r="S113" i="43"/>
  <c r="K113" i="43"/>
  <c r="N113" i="43"/>
  <c r="V113" i="43"/>
  <c r="P114" i="43"/>
  <c r="R114" i="43"/>
  <c r="J114" i="43"/>
  <c r="L114" i="43"/>
  <c r="T114" i="43"/>
  <c r="X114" i="43"/>
  <c r="U114" i="43"/>
  <c r="Q114" i="43"/>
  <c r="S114" i="43"/>
  <c r="K114" i="43"/>
  <c r="N114" i="43"/>
  <c r="V114" i="43"/>
  <c r="P115" i="43"/>
  <c r="R115" i="43"/>
  <c r="J115" i="43"/>
  <c r="L115" i="43"/>
  <c r="T115" i="43"/>
  <c r="X115" i="43"/>
  <c r="U115" i="43"/>
  <c r="Q115" i="43"/>
  <c r="S115" i="43"/>
  <c r="K115" i="43"/>
  <c r="N115" i="43"/>
  <c r="V115" i="43"/>
  <c r="P116" i="43"/>
  <c r="R116" i="43"/>
  <c r="J116" i="43"/>
  <c r="L116" i="43"/>
  <c r="T116" i="43"/>
  <c r="X116" i="43"/>
  <c r="U116" i="43"/>
  <c r="Q116" i="43"/>
  <c r="S116" i="43"/>
  <c r="K116" i="43"/>
  <c r="N116" i="43"/>
  <c r="V116" i="43"/>
  <c r="P117" i="43"/>
  <c r="R117" i="43"/>
  <c r="J117" i="43"/>
  <c r="L117" i="43"/>
  <c r="T117" i="43"/>
  <c r="X117" i="43"/>
  <c r="U117" i="43"/>
  <c r="Q117" i="43"/>
  <c r="S117" i="43"/>
  <c r="K117" i="43"/>
  <c r="N117" i="43"/>
  <c r="V117" i="43"/>
  <c r="P118" i="43"/>
  <c r="R118" i="43"/>
  <c r="J118" i="43"/>
  <c r="L118" i="43"/>
  <c r="T118" i="43"/>
  <c r="X118" i="43"/>
  <c r="U118" i="43"/>
  <c r="Q118" i="43"/>
  <c r="S118" i="43"/>
  <c r="K118" i="43"/>
  <c r="N118" i="43"/>
  <c r="V118" i="43"/>
  <c r="P119" i="43"/>
  <c r="R119" i="43"/>
  <c r="J119" i="43"/>
  <c r="L119" i="43"/>
  <c r="T119" i="43"/>
  <c r="X119" i="43"/>
  <c r="U119" i="43"/>
  <c r="Q119" i="43"/>
  <c r="S119" i="43"/>
  <c r="K119" i="43"/>
  <c r="N119" i="43"/>
  <c r="V119" i="43"/>
  <c r="P120" i="43"/>
  <c r="R120" i="43"/>
  <c r="J120" i="43"/>
  <c r="L120" i="43"/>
  <c r="T120" i="43"/>
  <c r="X120" i="43"/>
  <c r="U120" i="43"/>
  <c r="Q120" i="43"/>
  <c r="S120" i="43"/>
  <c r="K120" i="43"/>
  <c r="N120" i="43"/>
  <c r="V120" i="43"/>
  <c r="P121" i="43"/>
  <c r="R121" i="43"/>
  <c r="J121" i="43"/>
  <c r="L121" i="43"/>
  <c r="T121" i="43"/>
  <c r="X121" i="43"/>
  <c r="U121" i="43"/>
  <c r="Q121" i="43"/>
  <c r="S121" i="43"/>
  <c r="K121" i="43"/>
  <c r="N121" i="43"/>
  <c r="V121" i="43"/>
  <c r="P122" i="43"/>
  <c r="R122" i="43"/>
  <c r="J122" i="43"/>
  <c r="L122" i="43"/>
  <c r="T122" i="43"/>
  <c r="X122" i="43"/>
  <c r="U122" i="43"/>
  <c r="Q122" i="43"/>
  <c r="S122" i="43"/>
  <c r="K122" i="43"/>
  <c r="N122" i="43"/>
  <c r="V122" i="43"/>
  <c r="P123" i="43"/>
  <c r="R123" i="43"/>
  <c r="J123" i="43"/>
  <c r="L123" i="43"/>
  <c r="T123" i="43"/>
  <c r="X123" i="43"/>
  <c r="U123" i="43"/>
  <c r="Q123" i="43"/>
  <c r="S123" i="43"/>
  <c r="K123" i="43"/>
  <c r="N123" i="43"/>
  <c r="V123" i="43"/>
  <c r="P124" i="43"/>
  <c r="R124" i="43"/>
  <c r="J124" i="43"/>
  <c r="L124" i="43"/>
  <c r="T124" i="43"/>
  <c r="X124" i="43"/>
  <c r="U124" i="43"/>
  <c r="Q124" i="43"/>
  <c r="S124" i="43"/>
  <c r="K124" i="43"/>
  <c r="N124" i="43"/>
  <c r="V124" i="43"/>
  <c r="P125" i="43"/>
  <c r="R125" i="43"/>
  <c r="J125" i="43"/>
  <c r="L125" i="43"/>
  <c r="T125" i="43"/>
  <c r="X125" i="43"/>
  <c r="U125" i="43"/>
  <c r="Q125" i="43"/>
  <c r="S125" i="43"/>
  <c r="K125" i="43"/>
  <c r="N125" i="43"/>
  <c r="V125" i="43"/>
  <c r="P126" i="43"/>
  <c r="R126" i="43"/>
  <c r="J126" i="43"/>
  <c r="L126" i="43"/>
  <c r="T126" i="43"/>
  <c r="X126" i="43"/>
  <c r="U126" i="43"/>
  <c r="Q126" i="43"/>
  <c r="S126" i="43"/>
  <c r="K126" i="43"/>
  <c r="N126" i="43"/>
  <c r="V126" i="43"/>
  <c r="P127" i="43"/>
  <c r="R127" i="43"/>
  <c r="J127" i="43"/>
  <c r="L127" i="43"/>
  <c r="T127" i="43"/>
  <c r="X127" i="43"/>
  <c r="U127" i="43"/>
  <c r="Q127" i="43"/>
  <c r="S127" i="43"/>
  <c r="K127" i="43"/>
  <c r="N127" i="43"/>
  <c r="V127" i="43"/>
  <c r="P128" i="43"/>
  <c r="R128" i="43"/>
  <c r="J128" i="43"/>
  <c r="L128" i="43"/>
  <c r="T128" i="43"/>
  <c r="X128" i="43"/>
  <c r="U128" i="43"/>
  <c r="Q128" i="43"/>
  <c r="S128" i="43"/>
  <c r="K128" i="43"/>
  <c r="N128" i="43"/>
  <c r="V128" i="43"/>
  <c r="P129" i="43"/>
  <c r="R129" i="43"/>
  <c r="J129" i="43"/>
  <c r="L129" i="43"/>
  <c r="T129" i="43"/>
  <c r="X129" i="43"/>
  <c r="U129" i="43"/>
  <c r="Q129" i="43"/>
  <c r="S129" i="43"/>
  <c r="K129" i="43"/>
  <c r="N129" i="43"/>
  <c r="V129" i="43"/>
  <c r="P130" i="43"/>
  <c r="R130" i="43"/>
  <c r="J130" i="43"/>
  <c r="L130" i="43"/>
  <c r="T130" i="43"/>
  <c r="X130" i="43"/>
  <c r="U130" i="43"/>
  <c r="Q130" i="43"/>
  <c r="S130" i="43"/>
  <c r="K130" i="43"/>
  <c r="N130" i="43"/>
  <c r="V130" i="43"/>
  <c r="P131" i="43"/>
  <c r="R131" i="43"/>
  <c r="J131" i="43"/>
  <c r="L131" i="43"/>
  <c r="T131" i="43"/>
  <c r="X131" i="43"/>
  <c r="U131" i="43"/>
  <c r="Q131" i="43"/>
  <c r="S131" i="43"/>
  <c r="K131" i="43"/>
  <c r="N131" i="43"/>
  <c r="V131" i="43"/>
  <c r="H132" i="43"/>
  <c r="P132" i="43"/>
  <c r="R132" i="43"/>
  <c r="J132" i="43"/>
  <c r="L132" i="43"/>
  <c r="T132" i="43"/>
  <c r="X132" i="43"/>
  <c r="U132" i="43"/>
  <c r="Q132" i="43"/>
  <c r="S132" i="43"/>
  <c r="K132" i="43"/>
  <c r="N132" i="43"/>
  <c r="V132" i="43"/>
  <c r="P133" i="43"/>
  <c r="R133" i="43"/>
  <c r="J133" i="43"/>
  <c r="L133" i="43"/>
  <c r="T133" i="43"/>
  <c r="X133" i="43"/>
  <c r="U133" i="43"/>
  <c r="Q133" i="43"/>
  <c r="S133" i="43"/>
  <c r="K133" i="43"/>
  <c r="N133" i="43"/>
  <c r="V133" i="43"/>
  <c r="P134" i="43"/>
  <c r="R134" i="43"/>
  <c r="J134" i="43"/>
  <c r="L134" i="43"/>
  <c r="T134" i="43"/>
  <c r="X134" i="43"/>
  <c r="U134" i="43"/>
  <c r="Q134" i="43"/>
  <c r="S134" i="43"/>
  <c r="K134" i="43"/>
  <c r="N134" i="43"/>
  <c r="V134" i="43"/>
  <c r="P135" i="43"/>
  <c r="R135" i="43"/>
  <c r="J135" i="43"/>
  <c r="L135" i="43"/>
  <c r="T135" i="43"/>
  <c r="X135" i="43"/>
  <c r="U135" i="43"/>
  <c r="Q135" i="43"/>
  <c r="S135" i="43"/>
  <c r="K135" i="43"/>
  <c r="N135" i="43"/>
  <c r="V135" i="43"/>
  <c r="P136" i="43"/>
  <c r="R136" i="43"/>
  <c r="J136" i="43"/>
  <c r="L136" i="43"/>
  <c r="T136" i="43"/>
  <c r="X136" i="43"/>
  <c r="U136" i="43"/>
  <c r="Q136" i="43"/>
  <c r="S136" i="43"/>
  <c r="K136" i="43"/>
  <c r="N136" i="43"/>
  <c r="V136" i="43"/>
  <c r="P137" i="43"/>
  <c r="R137" i="43"/>
  <c r="J137" i="43"/>
  <c r="L137" i="43"/>
  <c r="T137" i="43"/>
  <c r="X137" i="43"/>
  <c r="U137" i="43"/>
  <c r="C437" i="11"/>
  <c r="Q137" i="43"/>
  <c r="S137" i="43"/>
  <c r="K137" i="43"/>
  <c r="N137" i="43"/>
  <c r="V137" i="43"/>
  <c r="P138" i="43"/>
  <c r="R138" i="43"/>
  <c r="J138" i="43"/>
  <c r="L138" i="43"/>
  <c r="T138" i="43"/>
  <c r="X138" i="43"/>
  <c r="U138" i="43"/>
  <c r="Q138" i="43"/>
  <c r="S138" i="43"/>
  <c r="K138" i="43"/>
  <c r="N138" i="43"/>
  <c r="V138" i="43"/>
  <c r="P139" i="43"/>
  <c r="R139" i="43"/>
  <c r="J139" i="43"/>
  <c r="L139" i="43"/>
  <c r="T139" i="43"/>
  <c r="X139" i="43"/>
  <c r="U139" i="43"/>
  <c r="Q139" i="43"/>
  <c r="S139" i="43"/>
  <c r="K139" i="43"/>
  <c r="N139" i="43"/>
  <c r="V139" i="43"/>
  <c r="P140" i="43"/>
  <c r="R140" i="43"/>
  <c r="J140" i="43"/>
  <c r="L140" i="43"/>
  <c r="T140" i="43"/>
  <c r="X140" i="43"/>
  <c r="U140" i="43"/>
  <c r="Q140" i="43"/>
  <c r="S140" i="43"/>
  <c r="K140" i="43"/>
  <c r="N140" i="43"/>
  <c r="V140" i="43"/>
  <c r="P141" i="43"/>
  <c r="R141" i="43"/>
  <c r="J141" i="43"/>
  <c r="L141" i="43"/>
  <c r="T141" i="43"/>
  <c r="X141" i="43"/>
  <c r="U141" i="43"/>
  <c r="Q141" i="43"/>
  <c r="S141" i="43"/>
  <c r="K141" i="43"/>
  <c r="N141" i="43"/>
  <c r="V141" i="43"/>
  <c r="P142" i="43"/>
  <c r="R142" i="43"/>
  <c r="J142" i="43"/>
  <c r="L142" i="43"/>
  <c r="T142" i="43"/>
  <c r="X142" i="43"/>
  <c r="U142" i="43"/>
  <c r="Q142" i="43"/>
  <c r="S142" i="43"/>
  <c r="K142" i="43"/>
  <c r="N142" i="43"/>
  <c r="V142" i="43"/>
  <c r="P143" i="43"/>
  <c r="R143" i="43"/>
  <c r="J143" i="43"/>
  <c r="L143" i="43"/>
  <c r="T143" i="43"/>
  <c r="X143" i="43"/>
  <c r="U143" i="43"/>
  <c r="Q143" i="43"/>
  <c r="S143" i="43"/>
  <c r="K143" i="43"/>
  <c r="N143" i="43"/>
  <c r="V143" i="43"/>
  <c r="P144" i="43"/>
  <c r="R144" i="43"/>
  <c r="J144" i="43"/>
  <c r="L144" i="43"/>
  <c r="T144" i="43"/>
  <c r="X144" i="43"/>
  <c r="U144" i="43"/>
  <c r="Q144" i="43"/>
  <c r="S144" i="43"/>
  <c r="K144" i="43"/>
  <c r="N144" i="43"/>
  <c r="V144" i="43"/>
  <c r="P145" i="43"/>
  <c r="R145" i="43"/>
  <c r="J145" i="43"/>
  <c r="L145" i="43"/>
  <c r="T145" i="43"/>
  <c r="X145" i="43"/>
  <c r="U145" i="43"/>
  <c r="Q145" i="43"/>
  <c r="S145" i="43"/>
  <c r="K145" i="43"/>
  <c r="N145" i="43"/>
  <c r="V145" i="43"/>
  <c r="P146" i="43"/>
  <c r="R146" i="43"/>
  <c r="J146" i="43"/>
  <c r="L146" i="43"/>
  <c r="T146" i="43"/>
  <c r="X146" i="43"/>
  <c r="U146" i="43"/>
  <c r="Q146" i="43"/>
  <c r="S146" i="43"/>
  <c r="K146" i="43"/>
  <c r="N146" i="43"/>
  <c r="V146" i="43"/>
  <c r="P147" i="43"/>
  <c r="R147" i="43"/>
  <c r="J147" i="43"/>
  <c r="L147" i="43"/>
  <c r="T147" i="43"/>
  <c r="X147" i="43"/>
  <c r="U147" i="43"/>
  <c r="Q147" i="43"/>
  <c r="S147" i="43"/>
  <c r="K147" i="43"/>
  <c r="N147" i="43"/>
  <c r="V147" i="43"/>
  <c r="P148" i="43"/>
  <c r="R148" i="43"/>
  <c r="J148" i="43"/>
  <c r="L148" i="43"/>
  <c r="T148" i="43"/>
  <c r="X148" i="43"/>
  <c r="U148" i="43"/>
  <c r="Q148" i="43"/>
  <c r="S148" i="43"/>
  <c r="K148" i="43"/>
  <c r="N148" i="43"/>
  <c r="V148" i="43"/>
  <c r="P149" i="43"/>
  <c r="R149" i="43"/>
  <c r="J149" i="43"/>
  <c r="L149" i="43"/>
  <c r="T149" i="43"/>
  <c r="X149" i="43"/>
  <c r="U149" i="43"/>
  <c r="Q149" i="43"/>
  <c r="S149" i="43"/>
  <c r="K149" i="43"/>
  <c r="N149" i="43"/>
  <c r="V149" i="43"/>
  <c r="P150" i="43"/>
  <c r="R150" i="43"/>
  <c r="J150" i="43"/>
  <c r="L150" i="43"/>
  <c r="T150" i="43"/>
  <c r="X150" i="43"/>
  <c r="U150" i="43"/>
  <c r="Q150" i="43"/>
  <c r="S150" i="43"/>
  <c r="K150" i="43"/>
  <c r="N150" i="43"/>
  <c r="V150" i="43"/>
  <c r="P151" i="43"/>
  <c r="R151" i="43"/>
  <c r="J151" i="43"/>
  <c r="L151" i="43"/>
  <c r="T151" i="43"/>
  <c r="X151" i="43"/>
  <c r="U151" i="43"/>
  <c r="Q151" i="43"/>
  <c r="S151" i="43"/>
  <c r="K151" i="43"/>
  <c r="N151" i="43"/>
  <c r="V151" i="43"/>
  <c r="P152" i="43"/>
  <c r="R152" i="43"/>
  <c r="J152" i="43"/>
  <c r="L152" i="43"/>
  <c r="T152" i="43"/>
  <c r="X152" i="43"/>
  <c r="U152" i="43"/>
  <c r="Q152" i="43"/>
  <c r="S152" i="43"/>
  <c r="K152" i="43"/>
  <c r="N152" i="43"/>
  <c r="V152" i="43"/>
  <c r="P153" i="43"/>
  <c r="R153" i="43"/>
  <c r="J153" i="43"/>
  <c r="L153" i="43"/>
  <c r="T153" i="43"/>
  <c r="X153" i="43"/>
  <c r="U153" i="43"/>
  <c r="Q153" i="43"/>
  <c r="S153" i="43"/>
  <c r="K153" i="43"/>
  <c r="N153" i="43"/>
  <c r="V153" i="43"/>
  <c r="P154" i="43"/>
  <c r="R154" i="43"/>
  <c r="J154" i="43"/>
  <c r="L154" i="43"/>
  <c r="T154" i="43"/>
  <c r="X154" i="43"/>
  <c r="U154" i="43"/>
  <c r="Q154" i="43"/>
  <c r="S154" i="43"/>
  <c r="K154" i="43"/>
  <c r="N154" i="43"/>
  <c r="V154" i="43"/>
  <c r="P155" i="43"/>
  <c r="R155" i="43"/>
  <c r="J155" i="43"/>
  <c r="L155" i="43"/>
  <c r="T155" i="43"/>
  <c r="X155" i="43"/>
  <c r="U155" i="43"/>
  <c r="Q155" i="43"/>
  <c r="S155" i="43"/>
  <c r="K155" i="43"/>
  <c r="N155" i="43"/>
  <c r="V155" i="43"/>
  <c r="P156" i="43"/>
  <c r="R156" i="43"/>
  <c r="J156" i="43"/>
  <c r="L156" i="43"/>
  <c r="T156" i="43"/>
  <c r="X156" i="43"/>
  <c r="U156" i="43"/>
  <c r="Q156" i="43"/>
  <c r="S156" i="43"/>
  <c r="K156" i="43"/>
  <c r="N156" i="43"/>
  <c r="V156" i="43"/>
  <c r="P157" i="43"/>
  <c r="R157" i="43"/>
  <c r="J157" i="43"/>
  <c r="L157" i="43"/>
  <c r="T157" i="43"/>
  <c r="X157" i="43"/>
  <c r="U157" i="43"/>
  <c r="Q157" i="43"/>
  <c r="S157" i="43"/>
  <c r="K157" i="43"/>
  <c r="N157" i="43"/>
  <c r="V157" i="43"/>
  <c r="P158" i="43"/>
  <c r="R158" i="43"/>
  <c r="J158" i="43"/>
  <c r="L158" i="43"/>
  <c r="T158" i="43"/>
  <c r="X158" i="43"/>
  <c r="U158" i="43"/>
  <c r="Q158" i="43"/>
  <c r="S158" i="43"/>
  <c r="K158" i="43"/>
  <c r="N158" i="43"/>
  <c r="V158" i="43"/>
  <c r="P159" i="43"/>
  <c r="R159" i="43"/>
  <c r="J159" i="43"/>
  <c r="L159" i="43"/>
  <c r="T159" i="43"/>
  <c r="X159" i="43"/>
  <c r="U159" i="43"/>
  <c r="Q159" i="43"/>
  <c r="S159" i="43"/>
  <c r="K159" i="43"/>
  <c r="N159" i="43"/>
  <c r="V159" i="43"/>
  <c r="P160" i="43"/>
  <c r="R160" i="43"/>
  <c r="J160" i="43"/>
  <c r="L160" i="43"/>
  <c r="T160" i="43"/>
  <c r="X160" i="43"/>
  <c r="U160" i="43"/>
  <c r="Q160" i="43"/>
  <c r="S160" i="43"/>
  <c r="K160" i="43"/>
  <c r="N160" i="43"/>
  <c r="V160" i="43"/>
  <c r="P161" i="43"/>
  <c r="R161" i="43"/>
  <c r="J161" i="43"/>
  <c r="L161" i="43"/>
  <c r="T161" i="43"/>
  <c r="X161" i="43"/>
  <c r="U161" i="43"/>
  <c r="Q161" i="43"/>
  <c r="S161" i="43"/>
  <c r="K161" i="43"/>
  <c r="N161" i="43"/>
  <c r="V161" i="43"/>
  <c r="P162" i="43"/>
  <c r="R162" i="43"/>
  <c r="J162" i="43"/>
  <c r="L162" i="43"/>
  <c r="T162" i="43"/>
  <c r="X162" i="43"/>
  <c r="U162" i="43"/>
  <c r="Q162" i="43"/>
  <c r="S162" i="43"/>
  <c r="K162" i="43"/>
  <c r="N162" i="43"/>
  <c r="V162" i="43"/>
  <c r="P163" i="43"/>
  <c r="R163" i="43"/>
  <c r="J163" i="43"/>
  <c r="L163" i="43"/>
  <c r="T163" i="43"/>
  <c r="X163" i="43"/>
  <c r="U163" i="43"/>
  <c r="Q163" i="43"/>
  <c r="S163" i="43"/>
  <c r="K163" i="43"/>
  <c r="N163" i="43"/>
  <c r="V163" i="43"/>
  <c r="P164" i="43"/>
  <c r="R164" i="43"/>
  <c r="J164" i="43"/>
  <c r="L164" i="43"/>
  <c r="T164" i="43"/>
  <c r="X164" i="43"/>
  <c r="U164" i="43"/>
  <c r="Q164" i="43"/>
  <c r="S164" i="43"/>
  <c r="K164" i="43"/>
  <c r="N164" i="43"/>
  <c r="V164" i="43"/>
  <c r="P165" i="43"/>
  <c r="R165" i="43"/>
  <c r="J165" i="43"/>
  <c r="L165" i="43"/>
  <c r="T165" i="43"/>
  <c r="X165" i="43"/>
  <c r="U165" i="43"/>
  <c r="Q165" i="43"/>
  <c r="S165" i="43"/>
  <c r="K165" i="43"/>
  <c r="N165" i="43"/>
  <c r="V165" i="43"/>
  <c r="P166" i="43"/>
  <c r="R166" i="43"/>
  <c r="J166" i="43"/>
  <c r="L166" i="43"/>
  <c r="T166" i="43"/>
  <c r="X166" i="43"/>
  <c r="U166" i="43"/>
  <c r="Q166" i="43"/>
  <c r="S166" i="43"/>
  <c r="K166" i="43"/>
  <c r="N166" i="43"/>
  <c r="V166" i="43"/>
  <c r="P167" i="43"/>
  <c r="R167" i="43"/>
  <c r="J167" i="43"/>
  <c r="L167" i="43"/>
  <c r="T167" i="43"/>
  <c r="X167" i="43"/>
  <c r="U167" i="43"/>
  <c r="Q167" i="43"/>
  <c r="S167" i="43"/>
  <c r="K167" i="43"/>
  <c r="N167" i="43"/>
  <c r="V167" i="43"/>
  <c r="P168" i="43"/>
  <c r="R168" i="43"/>
  <c r="J168" i="43"/>
  <c r="L168" i="43"/>
  <c r="T168" i="43"/>
  <c r="X168" i="43"/>
  <c r="U168" i="43"/>
  <c r="Q168" i="43"/>
  <c r="S168" i="43"/>
  <c r="K168" i="43"/>
  <c r="N168" i="43"/>
  <c r="V168" i="43"/>
  <c r="P169" i="43"/>
  <c r="R169" i="43"/>
  <c r="J169" i="43"/>
  <c r="L169" i="43"/>
  <c r="T169" i="43"/>
  <c r="X169" i="43"/>
  <c r="U169" i="43"/>
  <c r="Q169" i="43"/>
  <c r="S169" i="43"/>
  <c r="K169" i="43"/>
  <c r="N169" i="43"/>
  <c r="V169" i="43"/>
  <c r="P170" i="43"/>
  <c r="R170" i="43"/>
  <c r="J170" i="43"/>
  <c r="L170" i="43"/>
  <c r="T170" i="43"/>
  <c r="X170" i="43"/>
  <c r="U170" i="43"/>
  <c r="Q170" i="43"/>
  <c r="S170" i="43"/>
  <c r="K170" i="43"/>
  <c r="N170" i="43"/>
  <c r="V170" i="43"/>
  <c r="P171" i="43"/>
  <c r="R171" i="43"/>
  <c r="J171" i="43"/>
  <c r="L171" i="43"/>
  <c r="T171" i="43"/>
  <c r="X171" i="43"/>
  <c r="U171" i="43"/>
  <c r="Q171" i="43"/>
  <c r="S171" i="43"/>
  <c r="K171" i="43"/>
  <c r="N171" i="43"/>
  <c r="V171" i="43"/>
  <c r="P172" i="43"/>
  <c r="R172" i="43"/>
  <c r="J172" i="43"/>
  <c r="L172" i="43"/>
  <c r="T172" i="43"/>
  <c r="X172" i="43"/>
  <c r="U172" i="43"/>
  <c r="Q172" i="43"/>
  <c r="S172" i="43"/>
  <c r="K172" i="43"/>
  <c r="N172" i="43"/>
  <c r="V172" i="43"/>
  <c r="P173" i="43"/>
  <c r="R173" i="43"/>
  <c r="J173" i="43"/>
  <c r="L173" i="43"/>
  <c r="T173" i="43"/>
  <c r="X173" i="43"/>
  <c r="U173" i="43"/>
  <c r="Q173" i="43"/>
  <c r="S173" i="43"/>
  <c r="K173" i="43"/>
  <c r="N173" i="43"/>
  <c r="V173" i="43"/>
  <c r="P174" i="43"/>
  <c r="R174" i="43"/>
  <c r="J174" i="43"/>
  <c r="L174" i="43"/>
  <c r="T174" i="43"/>
  <c r="X174" i="43"/>
  <c r="U174" i="43"/>
  <c r="Q174" i="43"/>
  <c r="S174" i="43"/>
  <c r="K174" i="43"/>
  <c r="N174" i="43"/>
  <c r="V174" i="43"/>
  <c r="P175" i="43"/>
  <c r="R175" i="43"/>
  <c r="J175" i="43"/>
  <c r="L175" i="43"/>
  <c r="T175" i="43"/>
  <c r="X175" i="43"/>
  <c r="U175" i="43"/>
  <c r="Q175" i="43"/>
  <c r="S175" i="43"/>
  <c r="K175" i="43"/>
  <c r="N175" i="43"/>
  <c r="V175" i="43"/>
  <c r="P176" i="43"/>
  <c r="R176" i="43"/>
  <c r="J176" i="43"/>
  <c r="L176" i="43"/>
  <c r="T176" i="43"/>
  <c r="X176" i="43"/>
  <c r="U176" i="43"/>
  <c r="Q176" i="43"/>
  <c r="S176" i="43"/>
  <c r="K176" i="43"/>
  <c r="N176" i="43"/>
  <c r="V176" i="43"/>
  <c r="P177" i="43"/>
  <c r="R177" i="43"/>
  <c r="J177" i="43"/>
  <c r="L177" i="43"/>
  <c r="T177" i="43"/>
  <c r="X177" i="43"/>
  <c r="U177" i="43"/>
  <c r="Q177" i="43"/>
  <c r="S177" i="43"/>
  <c r="K177" i="43"/>
  <c r="N177" i="43"/>
  <c r="V177" i="43"/>
  <c r="P178" i="43"/>
  <c r="R178" i="43"/>
  <c r="J178" i="43"/>
  <c r="L178" i="43"/>
  <c r="T178" i="43"/>
  <c r="X178" i="43"/>
  <c r="U178" i="43"/>
  <c r="Q178" i="43"/>
  <c r="S178" i="43"/>
  <c r="K178" i="43"/>
  <c r="N178" i="43"/>
  <c r="V178" i="43"/>
  <c r="P179" i="43"/>
  <c r="R179" i="43"/>
  <c r="J179" i="43"/>
  <c r="L179" i="43"/>
  <c r="T179" i="43"/>
  <c r="X179" i="43"/>
  <c r="U179" i="43"/>
  <c r="Q179" i="43"/>
  <c r="S179" i="43"/>
  <c r="K179" i="43"/>
  <c r="N179" i="43"/>
  <c r="V179" i="43"/>
  <c r="P180" i="43"/>
  <c r="R180" i="43"/>
  <c r="J180" i="43"/>
  <c r="L180" i="43"/>
  <c r="T180" i="43"/>
  <c r="X180" i="43"/>
  <c r="U180" i="43"/>
  <c r="Q180" i="43"/>
  <c r="S180" i="43"/>
  <c r="K180" i="43"/>
  <c r="N180" i="43"/>
  <c r="V180" i="43"/>
  <c r="P181" i="43"/>
  <c r="R181" i="43"/>
  <c r="J181" i="43"/>
  <c r="L181" i="43"/>
  <c r="T181" i="43"/>
  <c r="X181" i="43"/>
  <c r="U181" i="43"/>
  <c r="Q181" i="43"/>
  <c r="S181" i="43"/>
  <c r="K181" i="43"/>
  <c r="N181" i="43"/>
  <c r="V181" i="43"/>
  <c r="P182" i="43"/>
  <c r="R182" i="43"/>
  <c r="J182" i="43"/>
  <c r="L182" i="43"/>
  <c r="T182" i="43"/>
  <c r="X182" i="43"/>
  <c r="U182" i="43"/>
  <c r="Q182" i="43"/>
  <c r="S182" i="43"/>
  <c r="K182" i="43"/>
  <c r="N182" i="43"/>
  <c r="V182" i="43"/>
  <c r="P183" i="43"/>
  <c r="R183" i="43"/>
  <c r="J183" i="43"/>
  <c r="L183" i="43"/>
  <c r="T183" i="43"/>
  <c r="X183" i="43"/>
  <c r="U183" i="43"/>
  <c r="Q183" i="43"/>
  <c r="S183" i="43"/>
  <c r="K183" i="43"/>
  <c r="N183" i="43"/>
  <c r="V183" i="43"/>
  <c r="P184" i="43"/>
  <c r="R184" i="43"/>
  <c r="J184" i="43"/>
  <c r="L184" i="43"/>
  <c r="T184" i="43"/>
  <c r="X184" i="43"/>
  <c r="U184" i="43"/>
  <c r="Q184" i="43"/>
  <c r="S184" i="43"/>
  <c r="K184" i="43"/>
  <c r="N184" i="43"/>
  <c r="V184" i="43"/>
  <c r="P185" i="43"/>
  <c r="R185" i="43"/>
  <c r="J185" i="43"/>
  <c r="L185" i="43"/>
  <c r="T185" i="43"/>
  <c r="X185" i="43"/>
  <c r="U185" i="43"/>
  <c r="Q185" i="43"/>
  <c r="S185" i="43"/>
  <c r="K185" i="43"/>
  <c r="N185" i="43"/>
  <c r="V185" i="43"/>
  <c r="P186" i="43"/>
  <c r="R186" i="43"/>
  <c r="J186" i="43"/>
  <c r="L186" i="43"/>
  <c r="T186" i="43"/>
  <c r="X186" i="43"/>
  <c r="U186" i="43"/>
  <c r="Q186" i="43"/>
  <c r="S186" i="43"/>
  <c r="K186" i="43"/>
  <c r="N186" i="43"/>
  <c r="V186" i="43"/>
  <c r="P187" i="43"/>
  <c r="R187" i="43"/>
  <c r="J187" i="43"/>
  <c r="L187" i="43"/>
  <c r="T187" i="43"/>
  <c r="X187" i="43"/>
  <c r="U187" i="43"/>
  <c r="Q187" i="43"/>
  <c r="S187" i="43"/>
  <c r="K187" i="43"/>
  <c r="N187" i="43"/>
  <c r="V187" i="43"/>
  <c r="P188" i="43"/>
  <c r="R188" i="43"/>
  <c r="J188" i="43"/>
  <c r="L188" i="43"/>
  <c r="T188" i="43"/>
  <c r="X188" i="43"/>
  <c r="U188" i="43"/>
  <c r="Q188" i="43"/>
  <c r="S188" i="43"/>
  <c r="K188" i="43"/>
  <c r="N188" i="43"/>
  <c r="V188" i="43"/>
  <c r="P189" i="43"/>
  <c r="R189" i="43"/>
  <c r="J189" i="43"/>
  <c r="L189" i="43"/>
  <c r="T189" i="43"/>
  <c r="X189" i="43"/>
  <c r="U189" i="43"/>
  <c r="Q189" i="43"/>
  <c r="S189" i="43"/>
  <c r="K189" i="43"/>
  <c r="N189" i="43"/>
  <c r="V189" i="43"/>
  <c r="P190" i="43"/>
  <c r="R190" i="43"/>
  <c r="J190" i="43"/>
  <c r="L190" i="43"/>
  <c r="T190" i="43"/>
  <c r="X190" i="43"/>
  <c r="U190" i="43"/>
  <c r="Q190" i="43"/>
  <c r="S190" i="43"/>
  <c r="K190" i="43"/>
  <c r="N190" i="43"/>
  <c r="V190" i="43"/>
  <c r="P191" i="43"/>
  <c r="R191" i="43"/>
  <c r="J191" i="43"/>
  <c r="L191" i="43"/>
  <c r="T191" i="43"/>
  <c r="X191" i="43"/>
  <c r="U191" i="43"/>
  <c r="Q191" i="43"/>
  <c r="S191" i="43"/>
  <c r="K191" i="43"/>
  <c r="N191" i="43"/>
  <c r="V191" i="43"/>
  <c r="P192" i="43"/>
  <c r="R192" i="43"/>
  <c r="J192" i="43"/>
  <c r="L192" i="43"/>
  <c r="T192" i="43"/>
  <c r="X192" i="43"/>
  <c r="U192" i="43"/>
  <c r="Q192" i="43"/>
  <c r="S192" i="43"/>
  <c r="K192" i="43"/>
  <c r="N192" i="43"/>
  <c r="V192" i="43"/>
  <c r="P193" i="43"/>
  <c r="R193" i="43"/>
  <c r="J193" i="43"/>
  <c r="L193" i="43"/>
  <c r="T193" i="43"/>
  <c r="X193" i="43"/>
  <c r="U193" i="43"/>
  <c r="Q193" i="43"/>
  <c r="S193" i="43"/>
  <c r="K193" i="43"/>
  <c r="N193" i="43"/>
  <c r="V193" i="43"/>
  <c r="P194" i="43"/>
  <c r="R194" i="43"/>
  <c r="J194" i="43"/>
  <c r="L194" i="43"/>
  <c r="T194" i="43"/>
  <c r="X194" i="43"/>
  <c r="U194" i="43"/>
  <c r="Q194" i="43"/>
  <c r="S194" i="43"/>
  <c r="K194" i="43"/>
  <c r="N194" i="43"/>
  <c r="V194" i="43"/>
  <c r="P195" i="43"/>
  <c r="R195" i="43"/>
  <c r="J195" i="43"/>
  <c r="L195" i="43"/>
  <c r="T195" i="43"/>
  <c r="X195" i="43"/>
  <c r="U195" i="43"/>
  <c r="Q195" i="43"/>
  <c r="S195" i="43"/>
  <c r="K195" i="43"/>
  <c r="N195" i="43"/>
  <c r="V195" i="43"/>
  <c r="P196" i="43"/>
  <c r="R196" i="43"/>
  <c r="J196" i="43"/>
  <c r="L196" i="43"/>
  <c r="T196" i="43"/>
  <c r="X196" i="43"/>
  <c r="U196" i="43"/>
  <c r="Q196" i="43"/>
  <c r="S196" i="43"/>
  <c r="K196" i="43"/>
  <c r="N196" i="43"/>
  <c r="V196" i="43"/>
  <c r="P197" i="43"/>
  <c r="R197" i="43"/>
  <c r="J197" i="43"/>
  <c r="L197" i="43"/>
  <c r="T197" i="43"/>
  <c r="X197" i="43"/>
  <c r="U197" i="43"/>
  <c r="Q197" i="43"/>
  <c r="S197" i="43"/>
  <c r="K197" i="43"/>
  <c r="N197" i="43"/>
  <c r="V197" i="43"/>
  <c r="P198" i="43"/>
  <c r="R198" i="43"/>
  <c r="J198" i="43"/>
  <c r="L198" i="43"/>
  <c r="T198" i="43"/>
  <c r="X198" i="43"/>
  <c r="U198" i="43"/>
  <c r="Q198" i="43"/>
  <c r="S198" i="43"/>
  <c r="K198" i="43"/>
  <c r="N198" i="43"/>
  <c r="V198" i="43"/>
  <c r="P199" i="43"/>
  <c r="R199" i="43"/>
  <c r="J199" i="43"/>
  <c r="L199" i="43"/>
  <c r="T199" i="43"/>
  <c r="X199" i="43"/>
  <c r="U199" i="43"/>
  <c r="Q199" i="43"/>
  <c r="S199" i="43"/>
  <c r="K199" i="43"/>
  <c r="N199" i="43"/>
  <c r="V199" i="43"/>
  <c r="P200" i="43"/>
  <c r="R200" i="43"/>
  <c r="J200" i="43"/>
  <c r="L200" i="43"/>
  <c r="T200" i="43"/>
  <c r="X200" i="43"/>
  <c r="U200" i="43"/>
  <c r="Q200" i="43"/>
  <c r="S200" i="43"/>
  <c r="K200" i="43"/>
  <c r="N200" i="43"/>
  <c r="V200" i="43"/>
  <c r="P201" i="43"/>
  <c r="R201" i="43"/>
  <c r="J201" i="43"/>
  <c r="L201" i="43"/>
  <c r="T201" i="43"/>
  <c r="X201" i="43"/>
  <c r="U201" i="43"/>
  <c r="Q201" i="43"/>
  <c r="S201" i="43"/>
  <c r="K201" i="43"/>
  <c r="N201" i="43"/>
  <c r="V201" i="43"/>
  <c r="P202" i="43"/>
  <c r="R202" i="43"/>
  <c r="J202" i="43"/>
  <c r="L202" i="43"/>
  <c r="T202" i="43"/>
  <c r="X202" i="43"/>
  <c r="U202" i="43"/>
  <c r="Q202" i="43"/>
  <c r="S202" i="43"/>
  <c r="K202" i="43"/>
  <c r="N202" i="43"/>
  <c r="V202" i="43"/>
  <c r="P203" i="43"/>
  <c r="R203" i="43"/>
  <c r="J203" i="43"/>
  <c r="L203" i="43"/>
  <c r="T203" i="43"/>
  <c r="X203" i="43"/>
  <c r="U203" i="43"/>
  <c r="Q203" i="43"/>
  <c r="S203" i="43"/>
  <c r="K203" i="43"/>
  <c r="N203" i="43"/>
  <c r="V203" i="43"/>
  <c r="P204" i="43"/>
  <c r="R204" i="43"/>
  <c r="J204" i="43"/>
  <c r="L204" i="43"/>
  <c r="T204" i="43"/>
  <c r="X204" i="43"/>
  <c r="U204" i="43"/>
  <c r="Q204" i="43"/>
  <c r="S204" i="43"/>
  <c r="K204" i="43"/>
  <c r="N204" i="43"/>
  <c r="V204" i="43"/>
  <c r="P205" i="43"/>
  <c r="R205" i="43"/>
  <c r="J205" i="43"/>
  <c r="L205" i="43"/>
  <c r="T205" i="43"/>
  <c r="X205" i="43"/>
  <c r="U205" i="43"/>
  <c r="Q205" i="43"/>
  <c r="S205" i="43"/>
  <c r="K205" i="43"/>
  <c r="N205" i="43"/>
  <c r="V205" i="43"/>
  <c r="P206" i="43"/>
  <c r="R206" i="43"/>
  <c r="J206" i="43"/>
  <c r="L206" i="43"/>
  <c r="T206" i="43"/>
  <c r="X206" i="43"/>
  <c r="U206" i="43"/>
  <c r="Q206" i="43"/>
  <c r="S206" i="43"/>
  <c r="K206" i="43"/>
  <c r="N206" i="43"/>
  <c r="V206" i="43"/>
  <c r="P207" i="43"/>
  <c r="R207" i="43"/>
  <c r="J207" i="43"/>
  <c r="L207" i="43"/>
  <c r="T207" i="43"/>
  <c r="X207" i="43"/>
  <c r="U207" i="43"/>
  <c r="Q207" i="43"/>
  <c r="S207" i="43"/>
  <c r="K207" i="43"/>
  <c r="N207" i="43"/>
  <c r="V207" i="43"/>
  <c r="P208" i="43"/>
  <c r="R208" i="43"/>
  <c r="J208" i="43"/>
  <c r="L208" i="43"/>
  <c r="T208" i="43"/>
  <c r="X208" i="43"/>
  <c r="U208" i="43"/>
  <c r="Q208" i="43"/>
  <c r="S208" i="43"/>
  <c r="K208" i="43"/>
  <c r="N208" i="43"/>
  <c r="V208" i="43"/>
  <c r="P209" i="43"/>
  <c r="R209" i="43"/>
  <c r="J209" i="43"/>
  <c r="L209" i="43"/>
  <c r="T209" i="43"/>
  <c r="X209" i="43"/>
  <c r="U209" i="43"/>
  <c r="Q209" i="43"/>
  <c r="S209" i="43"/>
  <c r="K209" i="43"/>
  <c r="N209" i="43"/>
  <c r="V209" i="43"/>
  <c r="P210" i="43"/>
  <c r="R210" i="43"/>
  <c r="J210" i="43"/>
  <c r="L210" i="43"/>
  <c r="T210" i="43"/>
  <c r="X210" i="43"/>
  <c r="U210" i="43"/>
  <c r="Q210" i="43"/>
  <c r="S210" i="43"/>
  <c r="K210" i="43"/>
  <c r="N210" i="43"/>
  <c r="V210" i="43"/>
  <c r="P211" i="43"/>
  <c r="R211" i="43"/>
  <c r="J211" i="43"/>
  <c r="L211" i="43"/>
  <c r="T211" i="43"/>
  <c r="X211" i="43"/>
  <c r="U211" i="43"/>
  <c r="Q211" i="43"/>
  <c r="S211" i="43"/>
  <c r="K211" i="43"/>
  <c r="N211" i="43"/>
  <c r="V211" i="43"/>
  <c r="P212" i="43"/>
  <c r="R212" i="43"/>
  <c r="J212" i="43"/>
  <c r="L212" i="43"/>
  <c r="T212" i="43"/>
  <c r="X212" i="43"/>
  <c r="U212" i="43"/>
  <c r="Q212" i="43"/>
  <c r="S212" i="43"/>
  <c r="K212" i="43"/>
  <c r="N212" i="43"/>
  <c r="V212" i="43"/>
  <c r="P213" i="43"/>
  <c r="R213" i="43"/>
  <c r="J213" i="43"/>
  <c r="L213" i="43"/>
  <c r="T213" i="43"/>
  <c r="X213" i="43"/>
  <c r="U213" i="43"/>
  <c r="Q213" i="43"/>
  <c r="S213" i="43"/>
  <c r="K213" i="43"/>
  <c r="N213" i="43"/>
  <c r="V213" i="43"/>
  <c r="P214" i="43"/>
  <c r="R214" i="43"/>
  <c r="J214" i="43"/>
  <c r="L214" i="43"/>
  <c r="T214" i="43"/>
  <c r="X214" i="43"/>
  <c r="U214" i="43"/>
  <c r="Q214" i="43"/>
  <c r="S214" i="43"/>
  <c r="K214" i="43"/>
  <c r="N214" i="43"/>
  <c r="V214" i="43"/>
  <c r="P215" i="43"/>
  <c r="R215" i="43"/>
  <c r="J215" i="43"/>
  <c r="L215" i="43"/>
  <c r="T215" i="43"/>
  <c r="X215" i="43"/>
  <c r="U215" i="43"/>
  <c r="Q215" i="43"/>
  <c r="S215" i="43"/>
  <c r="K215" i="43"/>
  <c r="N215" i="43"/>
  <c r="V215" i="43"/>
  <c r="P216" i="43"/>
  <c r="R216" i="43"/>
  <c r="J216" i="43"/>
  <c r="L216" i="43"/>
  <c r="T216" i="43"/>
  <c r="X216" i="43"/>
  <c r="U216" i="43"/>
  <c r="Q216" i="43"/>
  <c r="S216" i="43"/>
  <c r="K216" i="43"/>
  <c r="N216" i="43"/>
  <c r="V216" i="43"/>
  <c r="P217" i="43"/>
  <c r="R217" i="43"/>
  <c r="J217" i="43"/>
  <c r="L217" i="43"/>
  <c r="T217" i="43"/>
  <c r="X217" i="43"/>
  <c r="U217" i="43"/>
  <c r="Q217" i="43"/>
  <c r="S217" i="43"/>
  <c r="K217" i="43"/>
  <c r="N217" i="43"/>
  <c r="V217" i="43"/>
  <c r="P218" i="43"/>
  <c r="R218" i="43"/>
  <c r="J218" i="43"/>
  <c r="L218" i="43"/>
  <c r="T218" i="43"/>
  <c r="X218" i="43"/>
  <c r="U218" i="43"/>
  <c r="Q218" i="43"/>
  <c r="S218" i="43"/>
  <c r="K218" i="43"/>
  <c r="N218" i="43"/>
  <c r="V218" i="43"/>
  <c r="P219" i="43"/>
  <c r="R219" i="43"/>
  <c r="J219" i="43"/>
  <c r="L219" i="43"/>
  <c r="T219" i="43"/>
  <c r="X219" i="43"/>
  <c r="U219" i="43"/>
  <c r="Q219" i="43"/>
  <c r="S219" i="43"/>
  <c r="K219" i="43"/>
  <c r="N219" i="43"/>
  <c r="V219" i="43"/>
  <c r="P220" i="43"/>
  <c r="R220" i="43"/>
  <c r="J220" i="43"/>
  <c r="L220" i="43"/>
  <c r="T220" i="43"/>
  <c r="X220" i="43"/>
  <c r="U220" i="43"/>
  <c r="Q220" i="43"/>
  <c r="S220" i="43"/>
  <c r="K220" i="43"/>
  <c r="N220" i="43"/>
  <c r="V220" i="43"/>
  <c r="P221" i="43"/>
  <c r="R221" i="43"/>
  <c r="J221" i="43"/>
  <c r="L221" i="43"/>
  <c r="T221" i="43"/>
  <c r="X221" i="43"/>
  <c r="U221" i="43"/>
  <c r="Q221" i="43"/>
  <c r="S221" i="43"/>
  <c r="K221" i="43"/>
  <c r="N221" i="43"/>
  <c r="V221" i="43"/>
  <c r="P222" i="43"/>
  <c r="R222" i="43"/>
  <c r="J222" i="43"/>
  <c r="L222" i="43"/>
  <c r="T222" i="43"/>
  <c r="X222" i="43"/>
  <c r="U222" i="43"/>
  <c r="Q222" i="43"/>
  <c r="S222" i="43"/>
  <c r="K222" i="43"/>
  <c r="N222" i="43"/>
  <c r="V222" i="43"/>
  <c r="P223" i="43"/>
  <c r="R223" i="43"/>
  <c r="J223" i="43"/>
  <c r="L223" i="43"/>
  <c r="T223" i="43"/>
  <c r="X223" i="43"/>
  <c r="U223" i="43"/>
  <c r="Q223" i="43"/>
  <c r="S223" i="43"/>
  <c r="K223" i="43"/>
  <c r="N223" i="43"/>
  <c r="V223" i="43"/>
  <c r="P224" i="43"/>
  <c r="R224" i="43"/>
  <c r="J224" i="43"/>
  <c r="L224" i="43"/>
  <c r="T224" i="43"/>
  <c r="X224" i="43"/>
  <c r="U224" i="43"/>
  <c r="Q224" i="43"/>
  <c r="S224" i="43"/>
  <c r="K224" i="43"/>
  <c r="N224" i="43"/>
  <c r="V224" i="43"/>
  <c r="P225" i="43"/>
  <c r="R225" i="43"/>
  <c r="J225" i="43"/>
  <c r="L225" i="43"/>
  <c r="T225" i="43"/>
  <c r="X225" i="43"/>
  <c r="U225" i="43"/>
  <c r="Q225" i="43"/>
  <c r="S225" i="43"/>
  <c r="K225" i="43"/>
  <c r="N225" i="43"/>
  <c r="V225" i="43"/>
  <c r="P226" i="43"/>
  <c r="R226" i="43"/>
  <c r="J226" i="43"/>
  <c r="L226" i="43"/>
  <c r="T226" i="43"/>
  <c r="X226" i="43"/>
  <c r="U226" i="43"/>
  <c r="Q226" i="43"/>
  <c r="S226" i="43"/>
  <c r="K226" i="43"/>
  <c r="N226" i="43"/>
  <c r="V226" i="43"/>
  <c r="P227" i="43"/>
  <c r="R227" i="43"/>
  <c r="J227" i="43"/>
  <c r="L227" i="43"/>
  <c r="T227" i="43"/>
  <c r="X227" i="43"/>
  <c r="U227" i="43"/>
  <c r="Q227" i="43"/>
  <c r="S227" i="43"/>
  <c r="K227" i="43"/>
  <c r="N227" i="43"/>
  <c r="V227" i="43"/>
  <c r="P228" i="43"/>
  <c r="R228" i="43"/>
  <c r="J228" i="43"/>
  <c r="L228" i="43"/>
  <c r="T228" i="43"/>
  <c r="X228" i="43"/>
  <c r="U228" i="43"/>
  <c r="Q228" i="43"/>
  <c r="S228" i="43"/>
  <c r="K228" i="43"/>
  <c r="N228" i="43"/>
  <c r="V228" i="43"/>
  <c r="P229" i="43"/>
  <c r="R229" i="43"/>
  <c r="J229" i="43"/>
  <c r="L229" i="43"/>
  <c r="T229" i="43"/>
  <c r="X229" i="43"/>
  <c r="U229" i="43"/>
  <c r="Q229" i="43"/>
  <c r="S229" i="43"/>
  <c r="K229" i="43"/>
  <c r="N229" i="43"/>
  <c r="V229" i="43"/>
  <c r="P230" i="43"/>
  <c r="R230" i="43"/>
  <c r="J230" i="43"/>
  <c r="L230" i="43"/>
  <c r="T230" i="43"/>
  <c r="X230" i="43"/>
  <c r="U230" i="43"/>
  <c r="Q230" i="43"/>
  <c r="S230" i="43"/>
  <c r="K230" i="43"/>
  <c r="N230" i="43"/>
  <c r="V230" i="43"/>
  <c r="P231" i="43"/>
  <c r="R231" i="43"/>
  <c r="J231" i="43"/>
  <c r="L231" i="43"/>
  <c r="T231" i="43"/>
  <c r="X231" i="43"/>
  <c r="U231" i="43"/>
  <c r="Q231" i="43"/>
  <c r="S231" i="43"/>
  <c r="K231" i="43"/>
  <c r="N231" i="43"/>
  <c r="V231" i="43"/>
  <c r="P232" i="43"/>
  <c r="R232" i="43"/>
  <c r="J232" i="43"/>
  <c r="L232" i="43"/>
  <c r="T232" i="43"/>
  <c r="X232" i="43"/>
  <c r="U232" i="43"/>
  <c r="Q232" i="43"/>
  <c r="S232" i="43"/>
  <c r="K232" i="43"/>
  <c r="N232" i="43"/>
  <c r="V232" i="43"/>
  <c r="P233" i="43"/>
  <c r="R233" i="43"/>
  <c r="J233" i="43"/>
  <c r="L233" i="43"/>
  <c r="T233" i="43"/>
  <c r="X233" i="43"/>
  <c r="U233" i="43"/>
  <c r="Q233" i="43"/>
  <c r="S233" i="43"/>
  <c r="K233" i="43"/>
  <c r="N233" i="43"/>
  <c r="V233" i="43"/>
  <c r="P234" i="43"/>
  <c r="R234" i="43"/>
  <c r="J234" i="43"/>
  <c r="L234" i="43"/>
  <c r="T234" i="43"/>
  <c r="X234" i="43"/>
  <c r="U234" i="43"/>
  <c r="Q234" i="43"/>
  <c r="S234" i="43"/>
  <c r="K234" i="43"/>
  <c r="N234" i="43"/>
  <c r="V234" i="43"/>
  <c r="P235" i="43"/>
  <c r="R235" i="43"/>
  <c r="J235" i="43"/>
  <c r="L235" i="43"/>
  <c r="T235" i="43"/>
  <c r="X235" i="43"/>
  <c r="U235" i="43"/>
  <c r="Q235" i="43"/>
  <c r="S235" i="43"/>
  <c r="K235" i="43"/>
  <c r="N235" i="43"/>
  <c r="V235" i="43"/>
  <c r="P236" i="43"/>
  <c r="R236" i="43"/>
  <c r="J236" i="43"/>
  <c r="L236" i="43"/>
  <c r="T236" i="43"/>
  <c r="X236" i="43"/>
  <c r="U236" i="43"/>
  <c r="Q236" i="43"/>
  <c r="S236" i="43"/>
  <c r="K236" i="43"/>
  <c r="N236" i="43"/>
  <c r="V236" i="43"/>
  <c r="P237" i="43"/>
  <c r="R237" i="43"/>
  <c r="J237" i="43"/>
  <c r="L237" i="43"/>
  <c r="T237" i="43"/>
  <c r="X237" i="43"/>
  <c r="U237" i="43"/>
  <c r="Q237" i="43"/>
  <c r="S237" i="43"/>
  <c r="K237" i="43"/>
  <c r="N237" i="43"/>
  <c r="V237" i="43"/>
  <c r="P238" i="43"/>
  <c r="R238" i="43"/>
  <c r="J238" i="43"/>
  <c r="L238" i="43"/>
  <c r="T238" i="43"/>
  <c r="X238" i="43"/>
  <c r="U238" i="43"/>
  <c r="Q238" i="43"/>
  <c r="S238" i="43"/>
  <c r="K238" i="43"/>
  <c r="N238" i="43"/>
  <c r="V238" i="43"/>
  <c r="P239" i="43"/>
  <c r="R239" i="43"/>
  <c r="J239" i="43"/>
  <c r="L239" i="43"/>
  <c r="T239" i="43"/>
  <c r="X239" i="43"/>
  <c r="U239" i="43"/>
  <c r="Q239" i="43"/>
  <c r="S239" i="43"/>
  <c r="K239" i="43"/>
  <c r="N239" i="43"/>
  <c r="V239" i="43"/>
  <c r="P240" i="43"/>
  <c r="R240" i="43"/>
  <c r="J240" i="43"/>
  <c r="L240" i="43"/>
  <c r="T240" i="43"/>
  <c r="X240" i="43"/>
  <c r="U240" i="43"/>
  <c r="Q240" i="43"/>
  <c r="S240" i="43"/>
  <c r="K240" i="43"/>
  <c r="N240" i="43"/>
  <c r="V240" i="43"/>
  <c r="P241" i="43"/>
  <c r="R241" i="43"/>
  <c r="J241" i="43"/>
  <c r="L241" i="43"/>
  <c r="T241" i="43"/>
  <c r="X241" i="43"/>
  <c r="U241" i="43"/>
  <c r="Q241" i="43"/>
  <c r="S241" i="43"/>
  <c r="K241" i="43"/>
  <c r="N241" i="43"/>
  <c r="V241" i="43"/>
  <c r="P242" i="43"/>
  <c r="R242" i="43"/>
  <c r="J242" i="43"/>
  <c r="L242" i="43"/>
  <c r="T242" i="43"/>
  <c r="X242" i="43"/>
  <c r="U242" i="43"/>
  <c r="Q242" i="43"/>
  <c r="S242" i="43"/>
  <c r="K242" i="43"/>
  <c r="N242" i="43"/>
  <c r="V242" i="43"/>
  <c r="P243" i="43"/>
  <c r="R243" i="43"/>
  <c r="J243" i="43"/>
  <c r="L243" i="43"/>
  <c r="T243" i="43"/>
  <c r="X243" i="43"/>
  <c r="U243" i="43"/>
  <c r="Q243" i="43"/>
  <c r="S243" i="43"/>
  <c r="K243" i="43"/>
  <c r="N243" i="43"/>
  <c r="V243" i="43"/>
  <c r="P244" i="43"/>
  <c r="R244" i="43"/>
  <c r="J244" i="43"/>
  <c r="L244" i="43"/>
  <c r="T244" i="43"/>
  <c r="X244" i="43"/>
  <c r="U244" i="43"/>
  <c r="Q244" i="43"/>
  <c r="S244" i="43"/>
  <c r="K244" i="43"/>
  <c r="N244" i="43"/>
  <c r="V244" i="43"/>
  <c r="P245" i="43"/>
  <c r="R245" i="43"/>
  <c r="J245" i="43"/>
  <c r="L245" i="43"/>
  <c r="T245" i="43"/>
  <c r="X245" i="43"/>
  <c r="U245" i="43"/>
  <c r="Q245" i="43"/>
  <c r="S245" i="43"/>
  <c r="K245" i="43"/>
  <c r="N245" i="43"/>
  <c r="V245" i="43"/>
  <c r="P246" i="43"/>
  <c r="R246" i="43"/>
  <c r="J246" i="43"/>
  <c r="L246" i="43"/>
  <c r="T246" i="43"/>
  <c r="X246" i="43"/>
  <c r="U246" i="43"/>
  <c r="Q246" i="43"/>
  <c r="S246" i="43"/>
  <c r="K246" i="43"/>
  <c r="N246" i="43"/>
  <c r="V246" i="43"/>
  <c r="P247" i="43"/>
  <c r="R247" i="43"/>
  <c r="J247" i="43"/>
  <c r="L247" i="43"/>
  <c r="T247" i="43"/>
  <c r="X247" i="43"/>
  <c r="U247" i="43"/>
  <c r="C473" i="11"/>
  <c r="Q247" i="43"/>
  <c r="S247" i="43"/>
  <c r="K247" i="43"/>
  <c r="N247" i="43"/>
  <c r="V247" i="43"/>
  <c r="P248" i="43"/>
  <c r="R248" i="43"/>
  <c r="J248" i="43"/>
  <c r="L248" i="43"/>
  <c r="T248" i="43"/>
  <c r="X248" i="43"/>
  <c r="U248" i="43"/>
  <c r="Q248" i="43"/>
  <c r="S248" i="43"/>
  <c r="K248" i="43"/>
  <c r="N248" i="43"/>
  <c r="V248" i="43"/>
  <c r="P249" i="43"/>
  <c r="R249" i="43"/>
  <c r="J249" i="43"/>
  <c r="L249" i="43"/>
  <c r="T249" i="43"/>
  <c r="X249" i="43"/>
  <c r="U249" i="43"/>
  <c r="Q249" i="43"/>
  <c r="S249" i="43"/>
  <c r="K249" i="43"/>
  <c r="N249" i="43"/>
  <c r="V249" i="43"/>
  <c r="P250" i="43"/>
  <c r="R250" i="43"/>
  <c r="J250" i="43"/>
  <c r="L250" i="43"/>
  <c r="T250" i="43"/>
  <c r="X250" i="43"/>
  <c r="U250" i="43"/>
  <c r="Q250" i="43"/>
  <c r="S250" i="43"/>
  <c r="K250" i="43"/>
  <c r="N250" i="43"/>
  <c r="V250" i="43"/>
  <c r="P251" i="43"/>
  <c r="R251" i="43"/>
  <c r="J251" i="43"/>
  <c r="L251" i="43"/>
  <c r="T251" i="43"/>
  <c r="X251" i="43"/>
  <c r="U251" i="43"/>
  <c r="Q251" i="43"/>
  <c r="S251" i="43"/>
  <c r="K251" i="43"/>
  <c r="N251" i="43"/>
  <c r="V251" i="43"/>
  <c r="P252" i="43"/>
  <c r="R252" i="43"/>
  <c r="J252" i="43"/>
  <c r="L252" i="43"/>
  <c r="T252" i="43"/>
  <c r="X252" i="43"/>
  <c r="U252" i="43"/>
  <c r="Q252" i="43"/>
  <c r="S252" i="43"/>
  <c r="K252" i="43"/>
  <c r="N252" i="43"/>
  <c r="V252" i="43"/>
  <c r="P253" i="43"/>
  <c r="R253" i="43"/>
  <c r="J253" i="43"/>
  <c r="L253" i="43"/>
  <c r="T253" i="43"/>
  <c r="X253" i="43"/>
  <c r="U253" i="43"/>
  <c r="Q253" i="43"/>
  <c r="S253" i="43"/>
  <c r="K253" i="43"/>
  <c r="N253" i="43"/>
  <c r="V253" i="43"/>
  <c r="P254" i="43"/>
  <c r="R254" i="43"/>
  <c r="J254" i="43"/>
  <c r="L254" i="43"/>
  <c r="T254" i="43"/>
  <c r="X254" i="43"/>
  <c r="U254" i="43"/>
  <c r="Q254" i="43"/>
  <c r="S254" i="43"/>
  <c r="K254" i="43"/>
  <c r="N254" i="43"/>
  <c r="V254" i="43"/>
  <c r="P255" i="43"/>
  <c r="R255" i="43"/>
  <c r="J255" i="43"/>
  <c r="L255" i="43"/>
  <c r="T255" i="43"/>
  <c r="X255" i="43"/>
  <c r="U255" i="43"/>
  <c r="Q255" i="43"/>
  <c r="S255" i="43"/>
  <c r="K255" i="43"/>
  <c r="N255" i="43"/>
  <c r="V255" i="43"/>
  <c r="P256" i="43"/>
  <c r="R256" i="43"/>
  <c r="J256" i="43"/>
  <c r="L256" i="43"/>
  <c r="T256" i="43"/>
  <c r="X256" i="43"/>
  <c r="U256" i="43"/>
  <c r="Q256" i="43"/>
  <c r="S256" i="43"/>
  <c r="K256" i="43"/>
  <c r="N256" i="43"/>
  <c r="V256" i="43"/>
  <c r="P257" i="43"/>
  <c r="R257" i="43"/>
  <c r="J257" i="43"/>
  <c r="L257" i="43"/>
  <c r="T257" i="43"/>
  <c r="X257" i="43"/>
  <c r="U257" i="43"/>
  <c r="Q257" i="43"/>
  <c r="S257" i="43"/>
  <c r="K257" i="43"/>
  <c r="N257" i="43"/>
  <c r="V257" i="43"/>
  <c r="P258" i="43"/>
  <c r="R258" i="43"/>
  <c r="J258" i="43"/>
  <c r="L258" i="43"/>
  <c r="T258" i="43"/>
  <c r="X258" i="43"/>
  <c r="U258" i="43"/>
  <c r="Q258" i="43"/>
  <c r="S258" i="43"/>
  <c r="K258" i="43"/>
  <c r="N258" i="43"/>
  <c r="V258" i="43"/>
  <c r="P259" i="43"/>
  <c r="R259" i="43"/>
  <c r="J259" i="43"/>
  <c r="L259" i="43"/>
  <c r="T259" i="43"/>
  <c r="X259" i="43"/>
  <c r="U259" i="43"/>
  <c r="Q259" i="43"/>
  <c r="S259" i="43"/>
  <c r="K259" i="43"/>
  <c r="N259" i="43"/>
  <c r="V259" i="43"/>
  <c r="P260" i="43"/>
  <c r="R260" i="43"/>
  <c r="J260" i="43"/>
  <c r="L260" i="43"/>
  <c r="T260" i="43"/>
  <c r="X260" i="43"/>
  <c r="U260" i="43"/>
  <c r="Q260" i="43"/>
  <c r="S260" i="43"/>
  <c r="K260" i="43"/>
  <c r="N260" i="43"/>
  <c r="V260" i="43"/>
  <c r="P261" i="43"/>
  <c r="R261" i="43"/>
  <c r="J261" i="43"/>
  <c r="L261" i="43"/>
  <c r="T261" i="43"/>
  <c r="X261" i="43"/>
  <c r="U261" i="43"/>
  <c r="Q261" i="43"/>
  <c r="S261" i="43"/>
  <c r="K261" i="43"/>
  <c r="N261" i="43"/>
  <c r="V261" i="43"/>
  <c r="P262" i="43"/>
  <c r="R262" i="43"/>
  <c r="J262" i="43"/>
  <c r="L262" i="43"/>
  <c r="T262" i="43"/>
  <c r="X262" i="43"/>
  <c r="U262" i="43"/>
  <c r="Q262" i="43"/>
  <c r="S262" i="43"/>
  <c r="K262" i="43"/>
  <c r="N262" i="43"/>
  <c r="V262" i="43"/>
  <c r="P263" i="43"/>
  <c r="R263" i="43"/>
  <c r="J263" i="43"/>
  <c r="L263" i="43"/>
  <c r="T263" i="43"/>
  <c r="X263" i="43"/>
  <c r="U263" i="43"/>
  <c r="Q263" i="43"/>
  <c r="S263" i="43"/>
  <c r="K263" i="43"/>
  <c r="N263" i="43"/>
  <c r="V263" i="43"/>
  <c r="P264" i="43"/>
  <c r="R264" i="43"/>
  <c r="J264" i="43"/>
  <c r="L264" i="43"/>
  <c r="T264" i="43"/>
  <c r="X264" i="43"/>
  <c r="U264" i="43"/>
  <c r="Q264" i="43"/>
  <c r="S264" i="43"/>
  <c r="K264" i="43"/>
  <c r="N264" i="43"/>
  <c r="V264" i="43"/>
  <c r="P265" i="43"/>
  <c r="R265" i="43"/>
  <c r="J265" i="43"/>
  <c r="L265" i="43"/>
  <c r="T265" i="43"/>
  <c r="X265" i="43"/>
  <c r="U265" i="43"/>
  <c r="Q265" i="43"/>
  <c r="S265" i="43"/>
  <c r="K265" i="43"/>
  <c r="N265" i="43"/>
  <c r="V265" i="43"/>
  <c r="P266" i="43"/>
  <c r="R266" i="43"/>
  <c r="J266" i="43"/>
  <c r="L266" i="43"/>
  <c r="T266" i="43"/>
  <c r="X266" i="43"/>
  <c r="U266" i="43"/>
  <c r="Q266" i="43"/>
  <c r="S266" i="43"/>
  <c r="K266" i="43"/>
  <c r="N266" i="43"/>
  <c r="V266" i="43"/>
  <c r="P267" i="43"/>
  <c r="R267" i="43"/>
  <c r="J267" i="43"/>
  <c r="L267" i="43"/>
  <c r="T267" i="43"/>
  <c r="X267" i="43"/>
  <c r="U267" i="43"/>
  <c r="Q267" i="43"/>
  <c r="S267" i="43"/>
  <c r="K267" i="43"/>
  <c r="N267" i="43"/>
  <c r="V267" i="43"/>
  <c r="P268" i="43"/>
  <c r="R268" i="43"/>
  <c r="J268" i="43"/>
  <c r="L268" i="43"/>
  <c r="T268" i="43"/>
  <c r="X268" i="43"/>
  <c r="U268" i="43"/>
  <c r="Q268" i="43"/>
  <c r="S268" i="43"/>
  <c r="K268" i="43"/>
  <c r="N268" i="43"/>
  <c r="V268" i="43"/>
  <c r="P269" i="43"/>
  <c r="R269" i="43"/>
  <c r="J269" i="43"/>
  <c r="L269" i="43"/>
  <c r="T269" i="43"/>
  <c r="X269" i="43"/>
  <c r="U269" i="43"/>
  <c r="Q269" i="43"/>
  <c r="S269" i="43"/>
  <c r="K269" i="43"/>
  <c r="N269" i="43"/>
  <c r="V269" i="43"/>
  <c r="P270" i="43"/>
  <c r="R270" i="43"/>
  <c r="J270" i="43"/>
  <c r="L270" i="43"/>
  <c r="T270" i="43"/>
  <c r="X270" i="43"/>
  <c r="U270" i="43"/>
  <c r="Q270" i="43"/>
  <c r="S270" i="43"/>
  <c r="K270" i="43"/>
  <c r="N270" i="43"/>
  <c r="V270" i="43"/>
  <c r="P271" i="43"/>
  <c r="R271" i="43"/>
  <c r="J271" i="43"/>
  <c r="L271" i="43"/>
  <c r="T271" i="43"/>
  <c r="X271" i="43"/>
  <c r="U271" i="43"/>
  <c r="Q271" i="43"/>
  <c r="S271" i="43"/>
  <c r="K271" i="43"/>
  <c r="N271" i="43"/>
  <c r="V271" i="43"/>
  <c r="P272" i="43"/>
  <c r="R272" i="43"/>
  <c r="J272" i="43"/>
  <c r="L272" i="43"/>
  <c r="T272" i="43"/>
  <c r="X272" i="43"/>
  <c r="U272" i="43"/>
  <c r="Q272" i="43"/>
  <c r="S272" i="43"/>
  <c r="K272" i="43"/>
  <c r="N272" i="43"/>
  <c r="V272" i="43"/>
  <c r="P273" i="43"/>
  <c r="R273" i="43"/>
  <c r="J273" i="43"/>
  <c r="L273" i="43"/>
  <c r="T273" i="43"/>
  <c r="X273" i="43"/>
  <c r="U273" i="43"/>
  <c r="Q273" i="43"/>
  <c r="S273" i="43"/>
  <c r="K273" i="43"/>
  <c r="N273" i="43"/>
  <c r="V273" i="43"/>
  <c r="P274" i="43"/>
  <c r="R274" i="43"/>
  <c r="J274" i="43"/>
  <c r="L274" i="43"/>
  <c r="T274" i="43"/>
  <c r="X274" i="43"/>
  <c r="U274" i="43"/>
  <c r="Q274" i="43"/>
  <c r="S274" i="43"/>
  <c r="K274" i="43"/>
  <c r="N274" i="43"/>
  <c r="V274" i="43"/>
  <c r="P275" i="43"/>
  <c r="R275" i="43"/>
  <c r="J275" i="43"/>
  <c r="L275" i="43"/>
  <c r="T275" i="43"/>
  <c r="X275" i="43"/>
  <c r="U275" i="43"/>
  <c r="Q275" i="43"/>
  <c r="S275" i="43"/>
  <c r="K275" i="43"/>
  <c r="N275" i="43"/>
  <c r="V275" i="43"/>
  <c r="P276" i="43"/>
  <c r="R276" i="43"/>
  <c r="J276" i="43"/>
  <c r="L276" i="43"/>
  <c r="T276" i="43"/>
  <c r="X276" i="43"/>
  <c r="U276" i="43"/>
  <c r="Q276" i="43"/>
  <c r="S276" i="43"/>
  <c r="K276" i="43"/>
  <c r="N276" i="43"/>
  <c r="V276" i="43"/>
  <c r="P277" i="43"/>
  <c r="R277" i="43"/>
  <c r="J277" i="43"/>
  <c r="L277" i="43"/>
  <c r="T277" i="43"/>
  <c r="X277" i="43"/>
  <c r="U277" i="43"/>
  <c r="Q277" i="43"/>
  <c r="S277" i="43"/>
  <c r="K277" i="43"/>
  <c r="N277" i="43"/>
  <c r="V277" i="43"/>
  <c r="P278" i="43"/>
  <c r="R278" i="43"/>
  <c r="J278" i="43"/>
  <c r="L278" i="43"/>
  <c r="T278" i="43"/>
  <c r="X278" i="43"/>
  <c r="U278" i="43"/>
  <c r="Q278" i="43"/>
  <c r="S278" i="43"/>
  <c r="K278" i="43"/>
  <c r="N278" i="43"/>
  <c r="V278" i="43"/>
  <c r="P279" i="43"/>
  <c r="R279" i="43"/>
  <c r="J279" i="43"/>
  <c r="L279" i="43"/>
  <c r="T279" i="43"/>
  <c r="X279" i="43"/>
  <c r="U279" i="43"/>
  <c r="Q279" i="43"/>
  <c r="S279" i="43"/>
  <c r="K279" i="43"/>
  <c r="N279" i="43"/>
  <c r="V279" i="43"/>
  <c r="P280" i="43"/>
  <c r="R280" i="43"/>
  <c r="J280" i="43"/>
  <c r="L280" i="43"/>
  <c r="T280" i="43"/>
  <c r="X280" i="43"/>
  <c r="U280" i="43"/>
  <c r="Q280" i="43"/>
  <c r="S280" i="43"/>
  <c r="K280" i="43"/>
  <c r="N280" i="43"/>
  <c r="V280" i="43"/>
  <c r="P281" i="43"/>
  <c r="R281" i="43"/>
  <c r="J281" i="43"/>
  <c r="L281" i="43"/>
  <c r="T281" i="43"/>
  <c r="X281" i="43"/>
  <c r="U281" i="43"/>
  <c r="Q281" i="43"/>
  <c r="S281" i="43"/>
  <c r="K281" i="43"/>
  <c r="N281" i="43"/>
  <c r="V281" i="43"/>
  <c r="P282" i="43"/>
  <c r="R282" i="43"/>
  <c r="J282" i="43"/>
  <c r="L282" i="43"/>
  <c r="T282" i="43"/>
  <c r="X282" i="43"/>
  <c r="U282" i="43"/>
  <c r="Q282" i="43"/>
  <c r="S282" i="43"/>
  <c r="K282" i="43"/>
  <c r="N282" i="43"/>
  <c r="V282" i="43"/>
  <c r="P283" i="43"/>
  <c r="R283" i="43"/>
  <c r="J283" i="43"/>
  <c r="L283" i="43"/>
  <c r="T283" i="43"/>
  <c r="X283" i="43"/>
  <c r="U283" i="43"/>
  <c r="Q283" i="43"/>
  <c r="S283" i="43"/>
  <c r="K283" i="43"/>
  <c r="N283" i="43"/>
  <c r="V283" i="43"/>
  <c r="P284" i="43"/>
  <c r="R284" i="43"/>
  <c r="J284" i="43"/>
  <c r="L284" i="43"/>
  <c r="T284" i="43"/>
  <c r="X284" i="43"/>
  <c r="U284" i="43"/>
  <c r="Q284" i="43"/>
  <c r="S284" i="43"/>
  <c r="K284" i="43"/>
  <c r="N284" i="43"/>
  <c r="V284" i="43"/>
  <c r="P285" i="43"/>
  <c r="R285" i="43"/>
  <c r="J285" i="43"/>
  <c r="L285" i="43"/>
  <c r="T285" i="43"/>
  <c r="X285" i="43"/>
  <c r="U285" i="43"/>
  <c r="Q285" i="43"/>
  <c r="S285" i="43"/>
  <c r="K285" i="43"/>
  <c r="N285" i="43"/>
  <c r="V285" i="43"/>
  <c r="P286" i="43"/>
  <c r="R286" i="43"/>
  <c r="J286" i="43"/>
  <c r="L286" i="43"/>
  <c r="T286" i="43"/>
  <c r="X286" i="43"/>
  <c r="U286" i="43"/>
  <c r="Q286" i="43"/>
  <c r="S286" i="43"/>
  <c r="K286" i="43"/>
  <c r="N286" i="43"/>
  <c r="V286" i="43"/>
  <c r="P287" i="43"/>
  <c r="R287" i="43"/>
  <c r="J287" i="43"/>
  <c r="L287" i="43"/>
  <c r="T287" i="43"/>
  <c r="X287" i="43"/>
  <c r="U287" i="43"/>
  <c r="Q287" i="43"/>
  <c r="S287" i="43"/>
  <c r="K287" i="43"/>
  <c r="N287" i="43"/>
  <c r="V287" i="43"/>
  <c r="P288" i="43"/>
  <c r="R288" i="43"/>
  <c r="J288" i="43"/>
  <c r="L288" i="43"/>
  <c r="T288" i="43"/>
  <c r="X288" i="43"/>
  <c r="U288" i="43"/>
  <c r="Q288" i="43"/>
  <c r="S288" i="43"/>
  <c r="K288" i="43"/>
  <c r="N288" i="43"/>
  <c r="V288" i="43"/>
  <c r="P289" i="43"/>
  <c r="R289" i="43"/>
  <c r="J289" i="43"/>
  <c r="L289" i="43"/>
  <c r="T289" i="43"/>
  <c r="X289" i="43"/>
  <c r="U289" i="43"/>
  <c r="Q289" i="43"/>
  <c r="S289" i="43"/>
  <c r="K289" i="43"/>
  <c r="N289" i="43"/>
  <c r="V289" i="43"/>
  <c r="P290" i="43"/>
  <c r="R290" i="43"/>
  <c r="J290" i="43"/>
  <c r="L290" i="43"/>
  <c r="T290" i="43"/>
  <c r="X290" i="43"/>
  <c r="U290" i="43"/>
  <c r="Q290" i="43"/>
  <c r="S290" i="43"/>
  <c r="K290" i="43"/>
  <c r="N290" i="43"/>
  <c r="V290" i="43"/>
  <c r="P291" i="43"/>
  <c r="R291" i="43"/>
  <c r="J291" i="43"/>
  <c r="L291" i="43"/>
  <c r="T291" i="43"/>
  <c r="X291" i="43"/>
  <c r="U291" i="43"/>
  <c r="Q291" i="43"/>
  <c r="S291" i="43"/>
  <c r="K291" i="43"/>
  <c r="N291" i="43"/>
  <c r="V291" i="43"/>
  <c r="P292" i="43"/>
  <c r="R292" i="43"/>
  <c r="J292" i="43"/>
  <c r="L292" i="43"/>
  <c r="T292" i="43"/>
  <c r="X292" i="43"/>
  <c r="U292" i="43"/>
  <c r="Q292" i="43"/>
  <c r="S292" i="43"/>
  <c r="K292" i="43"/>
  <c r="N292" i="43"/>
  <c r="V292" i="43"/>
  <c r="P293" i="43"/>
  <c r="R293" i="43"/>
  <c r="J293" i="43"/>
  <c r="L293" i="43"/>
  <c r="T293" i="43"/>
  <c r="X293" i="43"/>
  <c r="U293" i="43"/>
  <c r="Q293" i="43"/>
  <c r="S293" i="43"/>
  <c r="K293" i="43"/>
  <c r="N293" i="43"/>
  <c r="V293" i="43"/>
  <c r="P294" i="43"/>
  <c r="R294" i="43"/>
  <c r="J294" i="43"/>
  <c r="L294" i="43"/>
  <c r="T294" i="43"/>
  <c r="X294" i="43"/>
  <c r="U294" i="43"/>
  <c r="Q294" i="43"/>
  <c r="S294" i="43"/>
  <c r="K294" i="43"/>
  <c r="N294" i="43"/>
  <c r="V294" i="43"/>
  <c r="P295" i="43"/>
  <c r="R295" i="43"/>
  <c r="J295" i="43"/>
  <c r="L295" i="43"/>
  <c r="T295" i="43"/>
  <c r="X295" i="43"/>
  <c r="U295" i="43"/>
  <c r="Q295" i="43"/>
  <c r="S295" i="43"/>
  <c r="K295" i="43"/>
  <c r="N295" i="43"/>
  <c r="V295" i="43"/>
  <c r="P296" i="43"/>
  <c r="R296" i="43"/>
  <c r="J296" i="43"/>
  <c r="L296" i="43"/>
  <c r="T296" i="43"/>
  <c r="X296" i="43"/>
  <c r="U296" i="43"/>
  <c r="Q296" i="43"/>
  <c r="S296" i="43"/>
  <c r="K296" i="43"/>
  <c r="N296" i="43"/>
  <c r="V296" i="43"/>
  <c r="P297" i="43"/>
  <c r="R297" i="43"/>
  <c r="J297" i="43"/>
  <c r="L297" i="43"/>
  <c r="T297" i="43"/>
  <c r="X297" i="43"/>
  <c r="U297" i="43"/>
  <c r="Q297" i="43"/>
  <c r="S297" i="43"/>
  <c r="K297" i="43"/>
  <c r="N297" i="43"/>
  <c r="V297" i="43"/>
  <c r="P298" i="43"/>
  <c r="R298" i="43"/>
  <c r="J298" i="43"/>
  <c r="L298" i="43"/>
  <c r="T298" i="43"/>
  <c r="X298" i="43"/>
  <c r="U298" i="43"/>
  <c r="Q298" i="43"/>
  <c r="S298" i="43"/>
  <c r="K298" i="43"/>
  <c r="N298" i="43"/>
  <c r="V298" i="43"/>
  <c r="P299" i="43"/>
  <c r="R299" i="43"/>
  <c r="J299" i="43"/>
  <c r="L299" i="43"/>
  <c r="T299" i="43"/>
  <c r="X299" i="43"/>
  <c r="U299" i="43"/>
  <c r="Q299" i="43"/>
  <c r="S299" i="43"/>
  <c r="K299" i="43"/>
  <c r="N299" i="43"/>
  <c r="V299" i="43"/>
  <c r="P300" i="43"/>
  <c r="R300" i="43"/>
  <c r="J300" i="43"/>
  <c r="L300" i="43"/>
  <c r="T300" i="43"/>
  <c r="X300" i="43"/>
  <c r="U300" i="43"/>
  <c r="Q300" i="43"/>
  <c r="S300" i="43"/>
  <c r="K300" i="43"/>
  <c r="N300" i="43"/>
  <c r="V300" i="43"/>
  <c r="P301" i="43"/>
  <c r="R301" i="43"/>
  <c r="J301" i="43"/>
  <c r="L301" i="43"/>
  <c r="T301" i="43"/>
  <c r="X301" i="43"/>
  <c r="U301" i="43"/>
  <c r="Q301" i="43"/>
  <c r="S301" i="43"/>
  <c r="K301" i="43"/>
  <c r="N301" i="43"/>
  <c r="V301" i="43"/>
  <c r="P302" i="43"/>
  <c r="R302" i="43"/>
  <c r="J302" i="43"/>
  <c r="L302" i="43"/>
  <c r="T302" i="43"/>
  <c r="X302" i="43"/>
  <c r="U302" i="43"/>
  <c r="Q302" i="43"/>
  <c r="S302" i="43"/>
  <c r="K302" i="43"/>
  <c r="N302" i="43"/>
  <c r="V302" i="43"/>
  <c r="P303" i="43"/>
  <c r="R303" i="43"/>
  <c r="J303" i="43"/>
  <c r="L303" i="43"/>
  <c r="T303" i="43"/>
  <c r="X303" i="43"/>
  <c r="U303" i="43"/>
  <c r="Q303" i="43"/>
  <c r="S303" i="43"/>
  <c r="K303" i="43"/>
  <c r="N303" i="43"/>
  <c r="V303" i="43"/>
  <c r="P304" i="43"/>
  <c r="R304" i="43"/>
  <c r="J304" i="43"/>
  <c r="L304" i="43"/>
  <c r="T304" i="43"/>
  <c r="X304" i="43"/>
  <c r="U304" i="43"/>
  <c r="Q304" i="43"/>
  <c r="S304" i="43"/>
  <c r="K304" i="43"/>
  <c r="N304" i="43"/>
  <c r="V304" i="43"/>
  <c r="P305" i="43"/>
  <c r="R305" i="43"/>
  <c r="J305" i="43"/>
  <c r="L305" i="43"/>
  <c r="T305" i="43"/>
  <c r="X305" i="43"/>
  <c r="U305" i="43"/>
  <c r="Q305" i="43"/>
  <c r="S305" i="43"/>
  <c r="K305" i="43"/>
  <c r="N305" i="43"/>
  <c r="V305" i="43"/>
  <c r="P306" i="43"/>
  <c r="R306" i="43"/>
  <c r="J306" i="43"/>
  <c r="L306" i="43"/>
  <c r="T306" i="43"/>
  <c r="X306" i="43"/>
  <c r="U306" i="43"/>
  <c r="Q306" i="43"/>
  <c r="S306" i="43"/>
  <c r="K306" i="43"/>
  <c r="N306" i="43"/>
  <c r="V306" i="43"/>
  <c r="P307" i="43"/>
  <c r="R307" i="43"/>
  <c r="J307" i="43"/>
  <c r="L307" i="43"/>
  <c r="T307" i="43"/>
  <c r="X307" i="43"/>
  <c r="U307" i="43"/>
  <c r="Q307" i="43"/>
  <c r="S307" i="43"/>
  <c r="K307" i="43"/>
  <c r="N307" i="43"/>
  <c r="V307" i="43"/>
  <c r="P308" i="43"/>
  <c r="R308" i="43"/>
  <c r="J308" i="43"/>
  <c r="L308" i="43"/>
  <c r="T308" i="43"/>
  <c r="X308" i="43"/>
  <c r="U308" i="43"/>
  <c r="Q308" i="43"/>
  <c r="S308" i="43"/>
  <c r="K308" i="43"/>
  <c r="N308" i="43"/>
  <c r="V308" i="43"/>
  <c r="P309" i="43"/>
  <c r="R309" i="43"/>
  <c r="J309" i="43"/>
  <c r="L309" i="43"/>
  <c r="T309" i="43"/>
  <c r="X309" i="43"/>
  <c r="U309" i="43"/>
  <c r="Q309" i="43"/>
  <c r="S309" i="43"/>
  <c r="K309" i="43"/>
  <c r="N309" i="43"/>
  <c r="V309" i="43"/>
  <c r="P310" i="43"/>
  <c r="R310" i="43"/>
  <c r="J310" i="43"/>
  <c r="L310" i="43"/>
  <c r="T310" i="43"/>
  <c r="X310" i="43"/>
  <c r="U310" i="43"/>
  <c r="Q310" i="43"/>
  <c r="S310" i="43"/>
  <c r="K310" i="43"/>
  <c r="N310" i="43"/>
  <c r="V310" i="43"/>
  <c r="P311" i="43"/>
  <c r="R311" i="43"/>
  <c r="J311" i="43"/>
  <c r="L311" i="43"/>
  <c r="T311" i="43"/>
  <c r="X311" i="43"/>
  <c r="U311" i="43"/>
  <c r="Q311" i="43"/>
  <c r="S311" i="43"/>
  <c r="K311" i="43"/>
  <c r="N311" i="43"/>
  <c r="V311" i="43"/>
  <c r="P312" i="43"/>
  <c r="R312" i="43"/>
  <c r="J312" i="43"/>
  <c r="L312" i="43"/>
  <c r="T312" i="43"/>
  <c r="X312" i="43"/>
  <c r="U312" i="43"/>
  <c r="Q312" i="43"/>
  <c r="S312" i="43"/>
  <c r="K312" i="43"/>
  <c r="N312" i="43"/>
  <c r="V312" i="43"/>
  <c r="P313" i="43"/>
  <c r="R313" i="43"/>
  <c r="J313" i="43"/>
  <c r="L313" i="43"/>
  <c r="T313" i="43"/>
  <c r="X313" i="43"/>
  <c r="U313" i="43"/>
  <c r="Q313" i="43"/>
  <c r="S313" i="43"/>
  <c r="K313" i="43"/>
  <c r="N313" i="43"/>
  <c r="V313" i="43"/>
  <c r="P314" i="43"/>
  <c r="R314" i="43"/>
  <c r="J314" i="43"/>
  <c r="L314" i="43"/>
  <c r="T314" i="43"/>
  <c r="X314" i="43"/>
  <c r="U314" i="43"/>
  <c r="Q314" i="43"/>
  <c r="S314" i="43"/>
  <c r="K314" i="43"/>
  <c r="N314" i="43"/>
  <c r="V314" i="43"/>
  <c r="P315" i="43"/>
  <c r="R315" i="43"/>
  <c r="J315" i="43"/>
  <c r="L315" i="43"/>
  <c r="T315" i="43"/>
  <c r="X315" i="43"/>
  <c r="U315" i="43"/>
  <c r="Q315" i="43"/>
  <c r="S315" i="43"/>
  <c r="K315" i="43"/>
  <c r="N315" i="43"/>
  <c r="V315" i="43"/>
  <c r="P316" i="43"/>
  <c r="R316" i="43"/>
  <c r="J316" i="43"/>
  <c r="L316" i="43"/>
  <c r="T316" i="43"/>
  <c r="X316" i="43"/>
  <c r="U316" i="43"/>
  <c r="I316" i="43"/>
  <c r="Q316" i="43"/>
  <c r="S316" i="43"/>
  <c r="K316" i="43"/>
  <c r="N316" i="43"/>
  <c r="V316" i="43"/>
  <c r="P317" i="43"/>
  <c r="R317" i="43"/>
  <c r="J317" i="43"/>
  <c r="L317" i="43"/>
  <c r="T317" i="43"/>
  <c r="X317" i="43"/>
  <c r="U317" i="43"/>
  <c r="Q317" i="43"/>
  <c r="S317" i="43"/>
  <c r="K317" i="43"/>
  <c r="N317" i="43"/>
  <c r="V317" i="43"/>
  <c r="P318" i="43"/>
  <c r="R318" i="43"/>
  <c r="J318" i="43"/>
  <c r="L318" i="43"/>
  <c r="T318" i="43"/>
  <c r="X318" i="43"/>
  <c r="U318" i="43"/>
  <c r="Q318" i="43"/>
  <c r="S318" i="43"/>
  <c r="K318" i="43"/>
  <c r="N318" i="43"/>
  <c r="V318" i="43"/>
  <c r="P319" i="43"/>
  <c r="R319" i="43"/>
  <c r="J319" i="43"/>
  <c r="L319" i="43"/>
  <c r="T319" i="43"/>
  <c r="X319" i="43"/>
  <c r="U319" i="43"/>
  <c r="Q319" i="43"/>
  <c r="S319" i="43"/>
  <c r="K319" i="43"/>
  <c r="N319" i="43"/>
  <c r="V319" i="43"/>
  <c r="P320" i="43"/>
  <c r="R320" i="43"/>
  <c r="J320" i="43"/>
  <c r="L320" i="43"/>
  <c r="T320" i="43"/>
  <c r="X320" i="43"/>
  <c r="U320" i="43"/>
  <c r="Q320" i="43"/>
  <c r="S320" i="43"/>
  <c r="K320" i="43"/>
  <c r="N320" i="43"/>
  <c r="V320" i="43"/>
  <c r="P321" i="43"/>
  <c r="R321" i="43"/>
  <c r="J321" i="43"/>
  <c r="L321" i="43"/>
  <c r="T321" i="43"/>
  <c r="X321" i="43"/>
  <c r="U321" i="43"/>
  <c r="Q321" i="43"/>
  <c r="S321" i="43"/>
  <c r="K321" i="43"/>
  <c r="N321" i="43"/>
  <c r="V321" i="43"/>
  <c r="P322" i="43"/>
  <c r="R322" i="43"/>
  <c r="J322" i="43"/>
  <c r="L322" i="43"/>
  <c r="T322" i="43"/>
  <c r="X322" i="43"/>
  <c r="U322" i="43"/>
  <c r="Q322" i="43"/>
  <c r="S322" i="43"/>
  <c r="K322" i="43"/>
  <c r="N322" i="43"/>
  <c r="V322" i="43"/>
  <c r="P323" i="43"/>
  <c r="R323" i="43"/>
  <c r="J323" i="43"/>
  <c r="L323" i="43"/>
  <c r="T323" i="43"/>
  <c r="X323" i="43"/>
  <c r="U323" i="43"/>
  <c r="Q323" i="43"/>
  <c r="S323" i="43"/>
  <c r="K323" i="43"/>
  <c r="N323" i="43"/>
  <c r="V323" i="43"/>
  <c r="P324" i="43"/>
  <c r="R324" i="43"/>
  <c r="J324" i="43"/>
  <c r="L324" i="43"/>
  <c r="T324" i="43"/>
  <c r="X324" i="43"/>
  <c r="U324" i="43"/>
  <c r="Q324" i="43"/>
  <c r="S324" i="43"/>
  <c r="K324" i="43"/>
  <c r="N324" i="43"/>
  <c r="V324" i="43"/>
  <c r="P325" i="43"/>
  <c r="R325" i="43"/>
  <c r="J325" i="43"/>
  <c r="L325" i="43"/>
  <c r="T325" i="43"/>
  <c r="X325" i="43"/>
  <c r="U325" i="43"/>
  <c r="Q325" i="43"/>
  <c r="S325" i="43"/>
  <c r="K325" i="43"/>
  <c r="N325" i="43"/>
  <c r="V325" i="43"/>
  <c r="P326" i="43"/>
  <c r="R326" i="43"/>
  <c r="J326" i="43"/>
  <c r="L326" i="43"/>
  <c r="T326" i="43"/>
  <c r="X326" i="43"/>
  <c r="U326" i="43"/>
  <c r="Q326" i="43"/>
  <c r="S326" i="43"/>
  <c r="K326" i="43"/>
  <c r="N326" i="43"/>
  <c r="V326" i="43"/>
  <c r="P327" i="43"/>
  <c r="R327" i="43"/>
  <c r="J327" i="43"/>
  <c r="L327" i="43"/>
  <c r="T327" i="43"/>
  <c r="X327" i="43"/>
  <c r="U327" i="43"/>
  <c r="Q327" i="43"/>
  <c r="S327" i="43"/>
  <c r="K327" i="43"/>
  <c r="N327" i="43"/>
  <c r="V327" i="43"/>
  <c r="P328" i="43"/>
  <c r="R328" i="43"/>
  <c r="J328" i="43"/>
  <c r="L328" i="43"/>
  <c r="T328" i="43"/>
  <c r="X328" i="43"/>
  <c r="U328" i="43"/>
  <c r="Q328" i="43"/>
  <c r="S328" i="43"/>
  <c r="K328" i="43"/>
  <c r="N328" i="43"/>
  <c r="V328" i="43"/>
  <c r="P329" i="43"/>
  <c r="R329" i="43"/>
  <c r="J329" i="43"/>
  <c r="L329" i="43"/>
  <c r="T329" i="43"/>
  <c r="X329" i="43"/>
  <c r="U329" i="43"/>
  <c r="Q329" i="43"/>
  <c r="S329" i="43"/>
  <c r="K329" i="43"/>
  <c r="N329" i="43"/>
  <c r="V329" i="43"/>
  <c r="P330" i="43"/>
  <c r="R330" i="43"/>
  <c r="J330" i="43"/>
  <c r="L330" i="43"/>
  <c r="T330" i="43"/>
  <c r="X330" i="43"/>
  <c r="U330" i="43"/>
  <c r="Q330" i="43"/>
  <c r="S330" i="43"/>
  <c r="K330" i="43"/>
  <c r="N330" i="43"/>
  <c r="V330" i="43"/>
  <c r="P331" i="43"/>
  <c r="R331" i="43"/>
  <c r="J331" i="43"/>
  <c r="L331" i="43"/>
  <c r="T331" i="43"/>
  <c r="X331" i="43"/>
  <c r="U331" i="43"/>
  <c r="Q331" i="43"/>
  <c r="S331" i="43"/>
  <c r="K331" i="43"/>
  <c r="N331" i="43"/>
  <c r="V331" i="43"/>
  <c r="P332" i="43"/>
  <c r="R332" i="43"/>
  <c r="J332" i="43"/>
  <c r="L332" i="43"/>
  <c r="T332" i="43"/>
  <c r="X332" i="43"/>
  <c r="U332" i="43"/>
  <c r="Q332" i="43"/>
  <c r="S332" i="43"/>
  <c r="K332" i="43"/>
  <c r="N332" i="43"/>
  <c r="V332" i="43"/>
  <c r="P333" i="43"/>
  <c r="R333" i="43"/>
  <c r="J333" i="43"/>
  <c r="L333" i="43"/>
  <c r="T333" i="43"/>
  <c r="X333" i="43"/>
  <c r="U333" i="43"/>
  <c r="Q333" i="43"/>
  <c r="S333" i="43"/>
  <c r="K333" i="43"/>
  <c r="N333" i="43"/>
  <c r="V333" i="43"/>
  <c r="P334" i="43"/>
  <c r="R334" i="43"/>
  <c r="J334" i="43"/>
  <c r="L334" i="43"/>
  <c r="T334" i="43"/>
  <c r="X334" i="43"/>
  <c r="U334" i="43"/>
  <c r="Q334" i="43"/>
  <c r="S334" i="43"/>
  <c r="K334" i="43"/>
  <c r="N334" i="43"/>
  <c r="V334" i="43"/>
  <c r="P335" i="43"/>
  <c r="R335" i="43"/>
  <c r="J335" i="43"/>
  <c r="L335" i="43"/>
  <c r="T335" i="43"/>
  <c r="X335" i="43"/>
  <c r="U335" i="43"/>
  <c r="Q335" i="43"/>
  <c r="S335" i="43"/>
  <c r="K335" i="43"/>
  <c r="N335" i="43"/>
  <c r="V335" i="43"/>
  <c r="P336" i="43"/>
  <c r="R336" i="43"/>
  <c r="J336" i="43"/>
  <c r="L336" i="43"/>
  <c r="T336" i="43"/>
  <c r="X336" i="43"/>
  <c r="U336" i="43"/>
  <c r="Q336" i="43"/>
  <c r="S336" i="43"/>
  <c r="K336" i="43"/>
  <c r="N336" i="43"/>
  <c r="V336" i="43"/>
  <c r="P337" i="43"/>
  <c r="R337" i="43"/>
  <c r="J337" i="43"/>
  <c r="L337" i="43"/>
  <c r="T337" i="43"/>
  <c r="X337" i="43"/>
  <c r="U337" i="43"/>
  <c r="Q337" i="43"/>
  <c r="S337" i="43"/>
  <c r="K337" i="43"/>
  <c r="N337" i="43"/>
  <c r="V337" i="43"/>
  <c r="P338" i="43"/>
  <c r="R338" i="43"/>
  <c r="J338" i="43"/>
  <c r="L338" i="43"/>
  <c r="T338" i="43"/>
  <c r="X338" i="43"/>
  <c r="U338" i="43"/>
  <c r="Q338" i="43"/>
  <c r="S338" i="43"/>
  <c r="K338" i="43"/>
  <c r="N338" i="43"/>
  <c r="V338" i="43"/>
  <c r="P339" i="43"/>
  <c r="R339" i="43"/>
  <c r="J339" i="43"/>
  <c r="L339" i="43"/>
  <c r="T339" i="43"/>
  <c r="X339" i="43"/>
  <c r="U339" i="43"/>
  <c r="Q339" i="43"/>
  <c r="S339" i="43"/>
  <c r="K339" i="43"/>
  <c r="N339" i="43"/>
  <c r="V339" i="43"/>
  <c r="P340" i="43"/>
  <c r="R340" i="43"/>
  <c r="J340" i="43"/>
  <c r="L340" i="43"/>
  <c r="T340" i="43"/>
  <c r="X340" i="43"/>
  <c r="U340" i="43"/>
  <c r="Q340" i="43"/>
  <c r="S340" i="43"/>
  <c r="K340" i="43"/>
  <c r="N340" i="43"/>
  <c r="V340" i="43"/>
  <c r="P341" i="43"/>
  <c r="R341" i="43"/>
  <c r="J341" i="43"/>
  <c r="L341" i="43"/>
  <c r="T341" i="43"/>
  <c r="X341" i="43"/>
  <c r="U341" i="43"/>
  <c r="Q341" i="43"/>
  <c r="S341" i="43"/>
  <c r="K341" i="43"/>
  <c r="N341" i="43"/>
  <c r="V341" i="43"/>
  <c r="P342" i="43"/>
  <c r="R342" i="43"/>
  <c r="J342" i="43"/>
  <c r="L342" i="43"/>
  <c r="T342" i="43"/>
  <c r="X342" i="43"/>
  <c r="U342" i="43"/>
  <c r="Q342" i="43"/>
  <c r="S342" i="43"/>
  <c r="K342" i="43"/>
  <c r="N342" i="43"/>
  <c r="V342" i="43"/>
  <c r="P343" i="43"/>
  <c r="R343" i="43"/>
  <c r="J343" i="43"/>
  <c r="L343" i="43"/>
  <c r="T343" i="43"/>
  <c r="X343" i="43"/>
  <c r="U343" i="43"/>
  <c r="Q343" i="43"/>
  <c r="S343" i="43"/>
  <c r="K343" i="43"/>
  <c r="N343" i="43"/>
  <c r="V343" i="43"/>
  <c r="P344" i="43"/>
  <c r="R344" i="43"/>
  <c r="J344" i="43"/>
  <c r="L344" i="43"/>
  <c r="T344" i="43"/>
  <c r="X344" i="43"/>
  <c r="U344" i="43"/>
  <c r="Q344" i="43"/>
  <c r="S344" i="43"/>
  <c r="K344" i="43"/>
  <c r="N344" i="43"/>
  <c r="V344" i="43"/>
  <c r="P345" i="43"/>
  <c r="R345" i="43"/>
  <c r="J345" i="43"/>
  <c r="L345" i="43"/>
  <c r="T345" i="43"/>
  <c r="X345" i="43"/>
  <c r="U345" i="43"/>
  <c r="Q345" i="43"/>
  <c r="S345" i="43"/>
  <c r="K345" i="43"/>
  <c r="N345" i="43"/>
  <c r="V345" i="43"/>
  <c r="P346" i="43"/>
  <c r="R346" i="43"/>
  <c r="J346" i="43"/>
  <c r="L346" i="43"/>
  <c r="T346" i="43"/>
  <c r="X346" i="43"/>
  <c r="U346" i="43"/>
  <c r="Q346" i="43"/>
  <c r="S346" i="43"/>
  <c r="K346" i="43"/>
  <c r="N346" i="43"/>
  <c r="V346" i="43"/>
  <c r="P347" i="43"/>
  <c r="R347" i="43"/>
  <c r="J347" i="43"/>
  <c r="L347" i="43"/>
  <c r="T347" i="43"/>
  <c r="X347" i="43"/>
  <c r="U347" i="43"/>
  <c r="Q347" i="43"/>
  <c r="S347" i="43"/>
  <c r="K347" i="43"/>
  <c r="N347" i="43"/>
  <c r="V347" i="43"/>
  <c r="P348" i="43"/>
  <c r="R348" i="43"/>
  <c r="J348" i="43"/>
  <c r="L348" i="43"/>
  <c r="T348" i="43"/>
  <c r="X348" i="43"/>
  <c r="U348" i="43"/>
  <c r="Q348" i="43"/>
  <c r="S348" i="43"/>
  <c r="K348" i="43"/>
  <c r="N348" i="43"/>
  <c r="V348" i="43"/>
  <c r="P349" i="43"/>
  <c r="R349" i="43"/>
  <c r="J349" i="43"/>
  <c r="L349" i="43"/>
  <c r="T349" i="43"/>
  <c r="X349" i="43"/>
  <c r="U349" i="43"/>
  <c r="Q349" i="43"/>
  <c r="S349" i="43"/>
  <c r="K349" i="43"/>
  <c r="N349" i="43"/>
  <c r="V349" i="43"/>
  <c r="P350" i="43"/>
  <c r="R350" i="43"/>
  <c r="J350" i="43"/>
  <c r="L350" i="43"/>
  <c r="T350" i="43"/>
  <c r="X350" i="43"/>
  <c r="U350" i="43"/>
  <c r="Q350" i="43"/>
  <c r="S350" i="43"/>
  <c r="K350" i="43"/>
  <c r="N350" i="43"/>
  <c r="V350" i="43"/>
  <c r="P351" i="43"/>
  <c r="R351" i="43"/>
  <c r="J351" i="43"/>
  <c r="L351" i="43"/>
  <c r="T351" i="43"/>
  <c r="X351" i="43"/>
  <c r="U351" i="43"/>
  <c r="Q351" i="43"/>
  <c r="S351" i="43"/>
  <c r="K351" i="43"/>
  <c r="N351" i="43"/>
  <c r="V351" i="43"/>
  <c r="P352" i="43"/>
  <c r="R352" i="43"/>
  <c r="J352" i="43"/>
  <c r="L352" i="43"/>
  <c r="T352" i="43"/>
  <c r="X352" i="43"/>
  <c r="U352" i="43"/>
  <c r="Q352" i="43"/>
  <c r="S352" i="43"/>
  <c r="K352" i="43"/>
  <c r="N352" i="43"/>
  <c r="V352" i="43"/>
  <c r="P353" i="43"/>
  <c r="R353" i="43"/>
  <c r="J353" i="43"/>
  <c r="L353" i="43"/>
  <c r="T353" i="43"/>
  <c r="X353" i="43"/>
  <c r="U353" i="43"/>
  <c r="Q353" i="43"/>
  <c r="S353" i="43"/>
  <c r="K353" i="43"/>
  <c r="N353" i="43"/>
  <c r="V353" i="43"/>
  <c r="P354" i="43"/>
  <c r="R354" i="43"/>
  <c r="J354" i="43"/>
  <c r="L354" i="43"/>
  <c r="T354" i="43"/>
  <c r="X354" i="43"/>
  <c r="U354" i="43"/>
  <c r="Q354" i="43"/>
  <c r="S354" i="43"/>
  <c r="K354" i="43"/>
  <c r="N354" i="43"/>
  <c r="V354" i="43"/>
  <c r="P355" i="43"/>
  <c r="R355" i="43"/>
  <c r="J355" i="43"/>
  <c r="L355" i="43"/>
  <c r="T355" i="43"/>
  <c r="X355" i="43"/>
  <c r="U355" i="43"/>
  <c r="Q355" i="43"/>
  <c r="S355" i="43"/>
  <c r="K355" i="43"/>
  <c r="N355" i="43"/>
  <c r="V355" i="43"/>
  <c r="P356" i="43"/>
  <c r="R356" i="43"/>
  <c r="J356" i="43"/>
  <c r="L356" i="43"/>
  <c r="T356" i="43"/>
  <c r="X356" i="43"/>
  <c r="U356" i="43"/>
  <c r="Q356" i="43"/>
  <c r="S356" i="43"/>
  <c r="K356" i="43"/>
  <c r="N356" i="43"/>
  <c r="V356" i="43"/>
  <c r="P357" i="43"/>
  <c r="R357" i="43"/>
  <c r="J357" i="43"/>
  <c r="L357" i="43"/>
  <c r="T357" i="43"/>
  <c r="X357" i="43"/>
  <c r="U357" i="43"/>
  <c r="Q357" i="43"/>
  <c r="S357" i="43"/>
  <c r="K357" i="43"/>
  <c r="N357" i="43"/>
  <c r="V357" i="43"/>
  <c r="P358" i="43"/>
  <c r="R358" i="43"/>
  <c r="J358" i="43"/>
  <c r="L358" i="43"/>
  <c r="T358" i="43"/>
  <c r="X358" i="43"/>
  <c r="U358" i="43"/>
  <c r="Q358" i="43"/>
  <c r="S358" i="43"/>
  <c r="K358" i="43"/>
  <c r="N358" i="43"/>
  <c r="V358" i="43"/>
  <c r="P359" i="43"/>
  <c r="R359" i="43"/>
  <c r="J359" i="43"/>
  <c r="L359" i="43"/>
  <c r="T359" i="43"/>
  <c r="X359" i="43"/>
  <c r="U359" i="43"/>
  <c r="Q359" i="43"/>
  <c r="S359" i="43"/>
  <c r="K359" i="43"/>
  <c r="N359" i="43"/>
  <c r="V359" i="43"/>
  <c r="P360" i="43"/>
  <c r="R360" i="43"/>
  <c r="J360" i="43"/>
  <c r="L360" i="43"/>
  <c r="T360" i="43"/>
  <c r="X360" i="43"/>
  <c r="U360" i="43"/>
  <c r="Q360" i="43"/>
  <c r="S360" i="43"/>
  <c r="K360" i="43"/>
  <c r="N360" i="43"/>
  <c r="V360" i="43"/>
  <c r="P361" i="43"/>
  <c r="R361" i="43"/>
  <c r="J361" i="43"/>
  <c r="L361" i="43"/>
  <c r="T361" i="43"/>
  <c r="X361" i="43"/>
  <c r="U361" i="43"/>
  <c r="Q361" i="43"/>
  <c r="S361" i="43"/>
  <c r="K361" i="43"/>
  <c r="N361" i="43"/>
  <c r="V361" i="43"/>
  <c r="P362" i="43"/>
  <c r="R362" i="43"/>
  <c r="J362" i="43"/>
  <c r="L362" i="43"/>
  <c r="T362" i="43"/>
  <c r="X362" i="43"/>
  <c r="U362" i="43"/>
  <c r="Q362" i="43"/>
  <c r="S362" i="43"/>
  <c r="K362" i="43"/>
  <c r="N362" i="43"/>
  <c r="V362" i="43"/>
  <c r="P363" i="43"/>
  <c r="R363" i="43"/>
  <c r="J363" i="43"/>
  <c r="L363" i="43"/>
  <c r="T363" i="43"/>
  <c r="X363" i="43"/>
  <c r="U363" i="43"/>
  <c r="Q363" i="43"/>
  <c r="S363" i="43"/>
  <c r="K363" i="43"/>
  <c r="N363" i="43"/>
  <c r="V363" i="43"/>
  <c r="P364" i="43"/>
  <c r="R364" i="43"/>
  <c r="J364" i="43"/>
  <c r="L364" i="43"/>
  <c r="T364" i="43"/>
  <c r="X364" i="43"/>
  <c r="U364" i="43"/>
  <c r="Q364" i="43"/>
  <c r="S364" i="43"/>
  <c r="K364" i="43"/>
  <c r="N364" i="43"/>
  <c r="V364" i="43"/>
  <c r="P365" i="43"/>
  <c r="R365" i="43"/>
  <c r="J365" i="43"/>
  <c r="L365" i="43"/>
  <c r="T365" i="43"/>
  <c r="X365" i="43"/>
  <c r="U365" i="43"/>
  <c r="Q365" i="43"/>
  <c r="S365" i="43"/>
  <c r="K365" i="43"/>
  <c r="N365" i="43"/>
  <c r="V365" i="43"/>
  <c r="P366" i="43"/>
  <c r="R366" i="43"/>
  <c r="J366" i="43"/>
  <c r="L366" i="43"/>
  <c r="T366" i="43"/>
  <c r="X366" i="43"/>
  <c r="U366" i="43"/>
  <c r="Q366" i="43"/>
  <c r="S366" i="43"/>
  <c r="K366" i="43"/>
  <c r="N366" i="43"/>
  <c r="V366" i="43"/>
  <c r="P367" i="43"/>
  <c r="R367" i="43"/>
  <c r="J367" i="43"/>
  <c r="L367" i="43"/>
  <c r="T367" i="43"/>
  <c r="X367" i="43"/>
  <c r="U367" i="43"/>
  <c r="Q367" i="43"/>
  <c r="S367" i="43"/>
  <c r="K367" i="43"/>
  <c r="N367" i="43"/>
  <c r="V367" i="43"/>
  <c r="P368" i="43"/>
  <c r="R368" i="43"/>
  <c r="J368" i="43"/>
  <c r="L368" i="43"/>
  <c r="T368" i="43"/>
  <c r="X368" i="43"/>
  <c r="U368" i="43"/>
  <c r="Q368" i="43"/>
  <c r="S368" i="43"/>
  <c r="K368" i="43"/>
  <c r="N368" i="43"/>
  <c r="V368" i="43"/>
  <c r="P369" i="43"/>
  <c r="R369" i="43"/>
  <c r="J369" i="43"/>
  <c r="L369" i="43"/>
  <c r="T369" i="43"/>
  <c r="X369" i="43"/>
  <c r="U369" i="43"/>
  <c r="Q369" i="43"/>
  <c r="S369" i="43"/>
  <c r="K369" i="43"/>
  <c r="N369" i="43"/>
  <c r="V369" i="43"/>
  <c r="P370" i="43"/>
  <c r="R370" i="43"/>
  <c r="J370" i="43"/>
  <c r="L370" i="43"/>
  <c r="T370" i="43"/>
  <c r="X370" i="43"/>
  <c r="U370" i="43"/>
  <c r="Q370" i="43"/>
  <c r="S370" i="43"/>
  <c r="K370" i="43"/>
  <c r="N370" i="43"/>
  <c r="V370" i="43"/>
  <c r="P371" i="43"/>
  <c r="R371" i="43"/>
  <c r="J371" i="43"/>
  <c r="L371" i="43"/>
  <c r="T371" i="43"/>
  <c r="X371" i="43"/>
  <c r="U371" i="43"/>
  <c r="Q371" i="43"/>
  <c r="S371" i="43"/>
  <c r="K371" i="43"/>
  <c r="N371" i="43"/>
  <c r="V371" i="43"/>
  <c r="P372" i="43"/>
  <c r="R372" i="43"/>
  <c r="J372" i="43"/>
  <c r="L372" i="43"/>
  <c r="T372" i="43"/>
  <c r="X372" i="43"/>
  <c r="U372" i="43"/>
  <c r="Q372" i="43"/>
  <c r="S372" i="43"/>
  <c r="K372" i="43"/>
  <c r="N372" i="43"/>
  <c r="V372" i="43"/>
  <c r="P373" i="43"/>
  <c r="R373" i="43"/>
  <c r="J373" i="43"/>
  <c r="L373" i="43"/>
  <c r="T373" i="43"/>
  <c r="X373" i="43"/>
  <c r="U373" i="43"/>
  <c r="Q373" i="43"/>
  <c r="S373" i="43"/>
  <c r="K373" i="43"/>
  <c r="N373" i="43"/>
  <c r="V373" i="43"/>
  <c r="P374" i="43"/>
  <c r="R374" i="43"/>
  <c r="J374" i="43"/>
  <c r="L374" i="43"/>
  <c r="T374" i="43"/>
  <c r="X374" i="43"/>
  <c r="U374" i="43"/>
  <c r="Q374" i="43"/>
  <c r="S374" i="43"/>
  <c r="K374" i="43"/>
  <c r="N374" i="43"/>
  <c r="V374" i="43"/>
  <c r="P375" i="43"/>
  <c r="R375" i="43"/>
  <c r="J375" i="43"/>
  <c r="L375" i="43"/>
  <c r="T375" i="43"/>
  <c r="X375" i="43"/>
  <c r="U375" i="43"/>
  <c r="Q375" i="43"/>
  <c r="S375" i="43"/>
  <c r="K375" i="43"/>
  <c r="N375" i="43"/>
  <c r="V375" i="43"/>
  <c r="P376" i="43"/>
  <c r="R376" i="43"/>
  <c r="J376" i="43"/>
  <c r="L376" i="43"/>
  <c r="T376" i="43"/>
  <c r="X376" i="43"/>
  <c r="U376" i="43"/>
  <c r="Q376" i="43"/>
  <c r="S376" i="43"/>
  <c r="K376" i="43"/>
  <c r="N376" i="43"/>
  <c r="V376" i="43"/>
  <c r="P377" i="43"/>
  <c r="R377" i="43"/>
  <c r="J377" i="43"/>
  <c r="L377" i="43"/>
  <c r="T377" i="43"/>
  <c r="X377" i="43"/>
  <c r="U377" i="43"/>
  <c r="Q377" i="43"/>
  <c r="S377" i="43"/>
  <c r="K377" i="43"/>
  <c r="N377" i="43"/>
  <c r="V377" i="43"/>
  <c r="P378" i="43"/>
  <c r="R378" i="43"/>
  <c r="J378" i="43"/>
  <c r="L378" i="43"/>
  <c r="T378" i="43"/>
  <c r="X378" i="43"/>
  <c r="U378" i="43"/>
  <c r="Q378" i="43"/>
  <c r="S378" i="43"/>
  <c r="K378" i="43"/>
  <c r="N378" i="43"/>
  <c r="V378" i="43"/>
  <c r="P379" i="43"/>
  <c r="R379" i="43"/>
  <c r="J379" i="43"/>
  <c r="L379" i="43"/>
  <c r="T379" i="43"/>
  <c r="X379" i="43"/>
  <c r="U379" i="43"/>
  <c r="Q379" i="43"/>
  <c r="S379" i="43"/>
  <c r="K379" i="43"/>
  <c r="N379" i="43"/>
  <c r="V379" i="43"/>
  <c r="P380" i="43"/>
  <c r="R380" i="43"/>
  <c r="J380" i="43"/>
  <c r="L380" i="43"/>
  <c r="T380" i="43"/>
  <c r="X380" i="43"/>
  <c r="U380" i="43"/>
  <c r="Q380" i="43"/>
  <c r="S380" i="43"/>
  <c r="K380" i="43"/>
  <c r="N380" i="43"/>
  <c r="V380" i="43"/>
  <c r="P381" i="43"/>
  <c r="R381" i="43"/>
  <c r="J381" i="43"/>
  <c r="L381" i="43"/>
  <c r="T381" i="43"/>
  <c r="X381" i="43"/>
  <c r="U381" i="43"/>
  <c r="Q381" i="43"/>
  <c r="S381" i="43"/>
  <c r="K381" i="43"/>
  <c r="N381" i="43"/>
  <c r="V381" i="43"/>
  <c r="P382" i="43"/>
  <c r="R382" i="43"/>
  <c r="J382" i="43"/>
  <c r="L382" i="43"/>
  <c r="T382" i="43"/>
  <c r="X382" i="43"/>
  <c r="U382" i="43"/>
  <c r="Q382" i="43"/>
  <c r="S382" i="43"/>
  <c r="K382" i="43"/>
  <c r="N382" i="43"/>
  <c r="V382" i="43"/>
  <c r="P383" i="43"/>
  <c r="R383" i="43"/>
  <c r="J383" i="43"/>
  <c r="L383" i="43"/>
  <c r="T383" i="43"/>
  <c r="X383" i="43"/>
  <c r="U383" i="43"/>
  <c r="Q383" i="43"/>
  <c r="S383" i="43"/>
  <c r="K383" i="43"/>
  <c r="N383" i="43"/>
  <c r="V383" i="43"/>
  <c r="P384" i="43"/>
  <c r="R384" i="43"/>
  <c r="J384" i="43"/>
  <c r="L384" i="43"/>
  <c r="T384" i="43"/>
  <c r="X384" i="43"/>
  <c r="U384" i="43"/>
  <c r="Q384" i="43"/>
  <c r="S384" i="43"/>
  <c r="K384" i="43"/>
  <c r="N384" i="43"/>
  <c r="V384" i="43"/>
  <c r="P385" i="43"/>
  <c r="R385" i="43"/>
  <c r="J385" i="43"/>
  <c r="L385" i="43"/>
  <c r="T385" i="43"/>
  <c r="X385" i="43"/>
  <c r="U385" i="43"/>
  <c r="Q385" i="43"/>
  <c r="S385" i="43"/>
  <c r="K385" i="43"/>
  <c r="N385" i="43"/>
  <c r="V385" i="43"/>
  <c r="P386" i="43"/>
  <c r="R386" i="43"/>
  <c r="J386" i="43"/>
  <c r="L386" i="43"/>
  <c r="T386" i="43"/>
  <c r="X386" i="43"/>
  <c r="U386" i="43"/>
  <c r="Q386" i="43"/>
  <c r="S386" i="43"/>
  <c r="K386" i="43"/>
  <c r="N386" i="43"/>
  <c r="V386" i="43"/>
  <c r="P387" i="43"/>
  <c r="R387" i="43"/>
  <c r="J387" i="43"/>
  <c r="L387" i="43"/>
  <c r="T387" i="43"/>
  <c r="X387" i="43"/>
  <c r="U387" i="43"/>
  <c r="Q387" i="43"/>
  <c r="S387" i="43"/>
  <c r="K387" i="43"/>
  <c r="N387" i="43"/>
  <c r="V387" i="43"/>
  <c r="P388" i="43"/>
  <c r="R388" i="43"/>
  <c r="J388" i="43"/>
  <c r="L388" i="43"/>
  <c r="T388" i="43"/>
  <c r="X388" i="43"/>
  <c r="U388" i="43"/>
  <c r="Q388" i="43"/>
  <c r="S388" i="43"/>
  <c r="K388" i="43"/>
  <c r="N388" i="43"/>
  <c r="V388" i="43"/>
  <c r="P389" i="43"/>
  <c r="R389" i="43"/>
  <c r="J389" i="43"/>
  <c r="L389" i="43"/>
  <c r="T389" i="43"/>
  <c r="X389" i="43"/>
  <c r="U389" i="43"/>
  <c r="Q389" i="43"/>
  <c r="S389" i="43"/>
  <c r="K389" i="43"/>
  <c r="N389" i="43"/>
  <c r="V389" i="43"/>
  <c r="P390" i="43"/>
  <c r="R390" i="43"/>
  <c r="J390" i="43"/>
  <c r="L390" i="43"/>
  <c r="T390" i="43"/>
  <c r="X390" i="43"/>
  <c r="U390" i="43"/>
  <c r="Q390" i="43"/>
  <c r="S390" i="43"/>
  <c r="K390" i="43"/>
  <c r="N390" i="43"/>
  <c r="V390" i="43"/>
  <c r="P391" i="43"/>
  <c r="R391" i="43"/>
  <c r="J391" i="43"/>
  <c r="L391" i="43"/>
  <c r="T391" i="43"/>
  <c r="X391" i="43"/>
  <c r="U391" i="43"/>
  <c r="Q391" i="43"/>
  <c r="S391" i="43"/>
  <c r="K391" i="43"/>
  <c r="N391" i="43"/>
  <c r="V391" i="43"/>
  <c r="P392" i="43"/>
  <c r="R392" i="43"/>
  <c r="J392" i="43"/>
  <c r="L392" i="43"/>
  <c r="T392" i="43"/>
  <c r="X392" i="43"/>
  <c r="U392" i="43"/>
  <c r="Q392" i="43"/>
  <c r="S392" i="43"/>
  <c r="K392" i="43"/>
  <c r="N392" i="43"/>
  <c r="V392" i="43"/>
  <c r="P393" i="43"/>
  <c r="R393" i="43"/>
  <c r="J393" i="43"/>
  <c r="L393" i="43"/>
  <c r="T393" i="43"/>
  <c r="X393" i="43"/>
  <c r="U393" i="43"/>
  <c r="Q393" i="43"/>
  <c r="S393" i="43"/>
  <c r="K393" i="43"/>
  <c r="N393" i="43"/>
  <c r="V393" i="43"/>
  <c r="P394" i="43"/>
  <c r="R394" i="43"/>
  <c r="J394" i="43"/>
  <c r="L394" i="43"/>
  <c r="T394" i="43"/>
  <c r="X394" i="43"/>
  <c r="U394" i="43"/>
  <c r="Q394" i="43"/>
  <c r="S394" i="43"/>
  <c r="K394" i="43"/>
  <c r="N394" i="43"/>
  <c r="V394" i="43"/>
  <c r="P395" i="43"/>
  <c r="R395" i="43"/>
  <c r="J395" i="43"/>
  <c r="L395" i="43"/>
  <c r="T395" i="43"/>
  <c r="X395" i="43"/>
  <c r="U395" i="43"/>
  <c r="Q395" i="43"/>
  <c r="S395" i="43"/>
  <c r="K395" i="43"/>
  <c r="N395" i="43"/>
  <c r="V395" i="43"/>
  <c r="P396" i="43"/>
  <c r="R396" i="43"/>
  <c r="J396" i="43"/>
  <c r="L396" i="43"/>
  <c r="T396" i="43"/>
  <c r="X396" i="43"/>
  <c r="U396" i="43"/>
  <c r="C422" i="11"/>
  <c r="Q396" i="43"/>
  <c r="S396" i="43"/>
  <c r="K396" i="43"/>
  <c r="N396" i="43"/>
  <c r="V396" i="43"/>
  <c r="P397" i="43"/>
  <c r="R397" i="43"/>
  <c r="J397" i="43"/>
  <c r="L397" i="43"/>
  <c r="T397" i="43"/>
  <c r="X397" i="43"/>
  <c r="U397" i="43"/>
  <c r="Q397" i="43"/>
  <c r="S397" i="43"/>
  <c r="K397" i="43"/>
  <c r="N397" i="43"/>
  <c r="V397" i="43"/>
  <c r="P398" i="43"/>
  <c r="R398" i="43"/>
  <c r="J398" i="43"/>
  <c r="L398" i="43"/>
  <c r="T398" i="43"/>
  <c r="X398" i="43"/>
  <c r="U398" i="43"/>
  <c r="Q398" i="43"/>
  <c r="S398" i="43"/>
  <c r="K398" i="43"/>
  <c r="N398" i="43"/>
  <c r="V398" i="43"/>
  <c r="P399" i="43"/>
  <c r="R399" i="43"/>
  <c r="J399" i="43"/>
  <c r="L399" i="43"/>
  <c r="T399" i="43"/>
  <c r="X399" i="43"/>
  <c r="U399" i="43"/>
  <c r="Q399" i="43"/>
  <c r="S399" i="43"/>
  <c r="K399" i="43"/>
  <c r="N399" i="43"/>
  <c r="V399" i="43"/>
  <c r="P400" i="43"/>
  <c r="R400" i="43"/>
  <c r="J400" i="43"/>
  <c r="L400" i="43"/>
  <c r="T400" i="43"/>
  <c r="X400" i="43"/>
  <c r="U400" i="43"/>
  <c r="Q400" i="43"/>
  <c r="S400" i="43"/>
  <c r="K400" i="43"/>
  <c r="N400" i="43"/>
  <c r="V400" i="43"/>
  <c r="P401" i="43"/>
  <c r="R401" i="43"/>
  <c r="J401" i="43"/>
  <c r="L401" i="43"/>
  <c r="T401" i="43"/>
  <c r="X401" i="43"/>
  <c r="U401" i="43"/>
  <c r="Q401" i="43"/>
  <c r="S401" i="43"/>
  <c r="K401" i="43"/>
  <c r="N401" i="43"/>
  <c r="V401" i="43"/>
  <c r="P402" i="43"/>
  <c r="R402" i="43"/>
  <c r="J402" i="43"/>
  <c r="L402" i="43"/>
  <c r="T402" i="43"/>
  <c r="X402" i="43"/>
  <c r="U402" i="43"/>
  <c r="Q402" i="43"/>
  <c r="S402" i="43"/>
  <c r="K402" i="43"/>
  <c r="N402" i="43"/>
  <c r="V402" i="43"/>
  <c r="P403" i="43"/>
  <c r="R403" i="43"/>
  <c r="J403" i="43"/>
  <c r="L403" i="43"/>
  <c r="T403" i="43"/>
  <c r="X403" i="43"/>
  <c r="U403" i="43"/>
  <c r="Q403" i="43"/>
  <c r="S403" i="43"/>
  <c r="K403" i="43"/>
  <c r="N403" i="43"/>
  <c r="V403" i="43"/>
  <c r="P404" i="43"/>
  <c r="R404" i="43"/>
  <c r="J404" i="43"/>
  <c r="L404" i="43"/>
  <c r="T404" i="43"/>
  <c r="X404" i="43"/>
  <c r="U404" i="43"/>
  <c r="Q404" i="43"/>
  <c r="S404" i="43"/>
  <c r="K404" i="43"/>
  <c r="N404" i="43"/>
  <c r="V404" i="43"/>
  <c r="P405" i="43"/>
  <c r="R405" i="43"/>
  <c r="J405" i="43"/>
  <c r="L405" i="43"/>
  <c r="T405" i="43"/>
  <c r="X405" i="43"/>
  <c r="U405" i="43"/>
  <c r="Q405" i="43"/>
  <c r="S405" i="43"/>
  <c r="K405" i="43"/>
  <c r="N405" i="43"/>
  <c r="V405" i="43"/>
  <c r="P406" i="43"/>
  <c r="R406" i="43"/>
  <c r="J406" i="43"/>
  <c r="L406" i="43"/>
  <c r="T406" i="43"/>
  <c r="X406" i="43"/>
  <c r="U406" i="43"/>
  <c r="Q406" i="43"/>
  <c r="S406" i="43"/>
  <c r="K406" i="43"/>
  <c r="N406" i="43"/>
  <c r="V406" i="43"/>
  <c r="P407" i="43"/>
  <c r="R407" i="43"/>
  <c r="J407" i="43"/>
  <c r="L407" i="43"/>
  <c r="T407" i="43"/>
  <c r="X407" i="43"/>
  <c r="U407" i="43"/>
  <c r="Q407" i="43"/>
  <c r="S407" i="43"/>
  <c r="K407" i="43"/>
  <c r="N407" i="43"/>
  <c r="V407" i="43"/>
  <c r="P408" i="43"/>
  <c r="R408" i="43"/>
  <c r="J408" i="43"/>
  <c r="L408" i="43"/>
  <c r="T408" i="43"/>
  <c r="X408" i="43"/>
  <c r="U408" i="43"/>
  <c r="Q408" i="43"/>
  <c r="S408" i="43"/>
  <c r="K408" i="43"/>
  <c r="N408" i="43"/>
  <c r="V408" i="43"/>
  <c r="P409" i="43"/>
  <c r="R409" i="43"/>
  <c r="J409" i="43"/>
  <c r="L409" i="43"/>
  <c r="T409" i="43"/>
  <c r="X409" i="43"/>
  <c r="U409" i="43"/>
  <c r="Q409" i="43"/>
  <c r="S409" i="43"/>
  <c r="K409" i="43"/>
  <c r="N409" i="43"/>
  <c r="V409" i="43"/>
  <c r="P410" i="43"/>
  <c r="R410" i="43"/>
  <c r="J410" i="43"/>
  <c r="L410" i="43"/>
  <c r="T410" i="43"/>
  <c r="X410" i="43"/>
  <c r="U410" i="43"/>
  <c r="Q410" i="43"/>
  <c r="S410" i="43"/>
  <c r="K410" i="43"/>
  <c r="N410" i="43"/>
  <c r="V410" i="43"/>
  <c r="P411" i="43"/>
  <c r="R411" i="43"/>
  <c r="J411" i="43"/>
  <c r="L411" i="43"/>
  <c r="T411" i="43"/>
  <c r="X411" i="43"/>
  <c r="U411" i="43"/>
  <c r="Q411" i="43"/>
  <c r="S411" i="43"/>
  <c r="K411" i="43"/>
  <c r="N411" i="43"/>
  <c r="V411" i="43"/>
  <c r="P412" i="43"/>
  <c r="R412" i="43"/>
  <c r="J412" i="43"/>
  <c r="L412" i="43"/>
  <c r="T412" i="43"/>
  <c r="X412" i="43"/>
  <c r="U412" i="43"/>
  <c r="Q412" i="43"/>
  <c r="S412" i="43"/>
  <c r="K412" i="43"/>
  <c r="N412" i="43"/>
  <c r="V412" i="43"/>
  <c r="P413" i="43"/>
  <c r="R413" i="43"/>
  <c r="J413" i="43"/>
  <c r="L413" i="43"/>
  <c r="T413" i="43"/>
  <c r="X413" i="43"/>
  <c r="U413" i="43"/>
  <c r="Q413" i="43"/>
  <c r="S413" i="43"/>
  <c r="K413" i="43"/>
  <c r="N413" i="43"/>
  <c r="V413" i="43"/>
  <c r="P414" i="43"/>
  <c r="R414" i="43"/>
  <c r="J414" i="43"/>
  <c r="L414" i="43"/>
  <c r="T414" i="43"/>
  <c r="X414" i="43"/>
  <c r="U414" i="43"/>
  <c r="Q414" i="43"/>
  <c r="S414" i="43"/>
  <c r="K414" i="43"/>
  <c r="N414" i="43"/>
  <c r="V414" i="43"/>
  <c r="P415" i="43"/>
  <c r="R415" i="43"/>
  <c r="J415" i="43"/>
  <c r="L415" i="43"/>
  <c r="T415" i="43"/>
  <c r="X415" i="43"/>
  <c r="U415" i="43"/>
  <c r="Q415" i="43"/>
  <c r="S415" i="43"/>
  <c r="K415" i="43"/>
  <c r="N415" i="43"/>
  <c r="V415" i="43"/>
  <c r="P416" i="43"/>
  <c r="R416" i="43"/>
  <c r="J416" i="43"/>
  <c r="L416" i="43"/>
  <c r="T416" i="43"/>
  <c r="X416" i="43"/>
  <c r="U416" i="43"/>
  <c r="Q416" i="43"/>
  <c r="S416" i="43"/>
  <c r="K416" i="43"/>
  <c r="N416" i="43"/>
  <c r="V416" i="43"/>
  <c r="P417" i="43"/>
  <c r="R417" i="43"/>
  <c r="J417" i="43"/>
  <c r="L417" i="43"/>
  <c r="T417" i="43"/>
  <c r="X417" i="43"/>
  <c r="U417" i="43"/>
  <c r="Q417" i="43"/>
  <c r="S417" i="43"/>
  <c r="K417" i="43"/>
  <c r="N417" i="43"/>
  <c r="V417" i="43"/>
  <c r="P418" i="43"/>
  <c r="R418" i="43"/>
  <c r="J418" i="43"/>
  <c r="L418" i="43"/>
  <c r="T418" i="43"/>
  <c r="X418" i="43"/>
  <c r="U418" i="43"/>
  <c r="Q418" i="43"/>
  <c r="S418" i="43"/>
  <c r="K418" i="43"/>
  <c r="N418" i="43"/>
  <c r="V418" i="43"/>
  <c r="P419" i="43"/>
  <c r="R419" i="43"/>
  <c r="J419" i="43"/>
  <c r="L419" i="43"/>
  <c r="T419" i="43"/>
  <c r="X419" i="43"/>
  <c r="U419" i="43"/>
  <c r="Q419" i="43"/>
  <c r="S419" i="43"/>
  <c r="K419" i="43"/>
  <c r="N419" i="43"/>
  <c r="V419" i="43"/>
  <c r="P420" i="43"/>
  <c r="R420" i="43"/>
  <c r="J420" i="43"/>
  <c r="L420" i="43"/>
  <c r="T420" i="43"/>
  <c r="X420" i="43"/>
  <c r="U420" i="43"/>
  <c r="Q420" i="43"/>
  <c r="S420" i="43"/>
  <c r="K420" i="43"/>
  <c r="N420" i="43"/>
  <c r="V420" i="43"/>
  <c r="P421" i="43"/>
  <c r="R421" i="43"/>
  <c r="J421" i="43"/>
  <c r="L421" i="43"/>
  <c r="T421" i="43"/>
  <c r="X421" i="43"/>
  <c r="U421" i="43"/>
  <c r="Q421" i="43"/>
  <c r="S421" i="43"/>
  <c r="K421" i="43"/>
  <c r="N421" i="43"/>
  <c r="V421" i="43"/>
  <c r="P422" i="43"/>
  <c r="R422" i="43"/>
  <c r="J422" i="43"/>
  <c r="L422" i="43"/>
  <c r="T422" i="43"/>
  <c r="X422" i="43"/>
  <c r="U422" i="43"/>
  <c r="Q422" i="43"/>
  <c r="S422" i="43"/>
  <c r="K422" i="43"/>
  <c r="N422" i="43"/>
  <c r="V422" i="43"/>
  <c r="P423" i="43"/>
  <c r="R423" i="43"/>
  <c r="J423" i="43"/>
  <c r="L423" i="43"/>
  <c r="T423" i="43"/>
  <c r="X423" i="43"/>
  <c r="U423" i="43"/>
  <c r="Q423" i="43"/>
  <c r="S423" i="43"/>
  <c r="K423" i="43"/>
  <c r="N423" i="43"/>
  <c r="V423" i="43"/>
  <c r="P424" i="43"/>
  <c r="R424" i="43"/>
  <c r="J424" i="43"/>
  <c r="L424" i="43"/>
  <c r="T424" i="43"/>
  <c r="X424" i="43"/>
  <c r="U424" i="43"/>
  <c r="Q424" i="43"/>
  <c r="S424" i="43"/>
  <c r="K424" i="43"/>
  <c r="N424" i="43"/>
  <c r="V424" i="43"/>
  <c r="P425" i="43"/>
  <c r="R425" i="43"/>
  <c r="J425" i="43"/>
  <c r="L425" i="43"/>
  <c r="T425" i="43"/>
  <c r="X425" i="43"/>
  <c r="U425" i="43"/>
  <c r="Q425" i="43"/>
  <c r="S425" i="43"/>
  <c r="K425" i="43"/>
  <c r="N425" i="43"/>
  <c r="V425" i="43"/>
  <c r="P426" i="43"/>
  <c r="R426" i="43"/>
  <c r="J426" i="43"/>
  <c r="L426" i="43"/>
  <c r="T426" i="43"/>
  <c r="X426" i="43"/>
  <c r="U426" i="43"/>
  <c r="Q426" i="43"/>
  <c r="S426" i="43"/>
  <c r="K426" i="43"/>
  <c r="N426" i="43"/>
  <c r="V426" i="43"/>
  <c r="P427" i="43"/>
  <c r="R427" i="43"/>
  <c r="J427" i="43"/>
  <c r="L427" i="43"/>
  <c r="T427" i="43"/>
  <c r="X427" i="43"/>
  <c r="U427" i="43"/>
  <c r="Q427" i="43"/>
  <c r="S427" i="43"/>
  <c r="K427" i="43"/>
  <c r="N427" i="43"/>
  <c r="V427" i="43"/>
  <c r="P428" i="43"/>
  <c r="R428" i="43"/>
  <c r="J428" i="43"/>
  <c r="L428" i="43"/>
  <c r="T428" i="43"/>
  <c r="X428" i="43"/>
  <c r="U428" i="43"/>
  <c r="Q428" i="43"/>
  <c r="S428" i="43"/>
  <c r="K428" i="43"/>
  <c r="N428" i="43"/>
  <c r="V428" i="43"/>
  <c r="P429" i="43"/>
  <c r="R429" i="43"/>
  <c r="J429" i="43"/>
  <c r="L429" i="43"/>
  <c r="T429" i="43"/>
  <c r="X429" i="43"/>
  <c r="U429" i="43"/>
  <c r="Q429" i="43"/>
  <c r="S429" i="43"/>
  <c r="K429" i="43"/>
  <c r="N429" i="43"/>
  <c r="V429" i="43"/>
  <c r="P430" i="43"/>
  <c r="R430" i="43"/>
  <c r="J430" i="43"/>
  <c r="L430" i="43"/>
  <c r="T430" i="43"/>
  <c r="X430" i="43"/>
  <c r="U430" i="43"/>
  <c r="Q430" i="43"/>
  <c r="S430" i="43"/>
  <c r="K430" i="43"/>
  <c r="N430" i="43"/>
  <c r="V430" i="43"/>
  <c r="P431" i="43"/>
  <c r="R431" i="43"/>
  <c r="J431" i="43"/>
  <c r="L431" i="43"/>
  <c r="T431" i="43"/>
  <c r="X431" i="43"/>
  <c r="U431" i="43"/>
  <c r="Q431" i="43"/>
  <c r="S431" i="43"/>
  <c r="K431" i="43"/>
  <c r="N431" i="43"/>
  <c r="V431" i="43"/>
  <c r="P432" i="43"/>
  <c r="R432" i="43"/>
  <c r="J432" i="43"/>
  <c r="L432" i="43"/>
  <c r="T432" i="43"/>
  <c r="X432" i="43"/>
  <c r="U432" i="43"/>
  <c r="Q432" i="43"/>
  <c r="S432" i="43"/>
  <c r="K432" i="43"/>
  <c r="N432" i="43"/>
  <c r="V432" i="43"/>
  <c r="P433" i="43"/>
  <c r="R433" i="43"/>
  <c r="J433" i="43"/>
  <c r="L433" i="43"/>
  <c r="T433" i="43"/>
  <c r="X433" i="43"/>
  <c r="U433" i="43"/>
  <c r="Q433" i="43"/>
  <c r="S433" i="43"/>
  <c r="K433" i="43"/>
  <c r="N433" i="43"/>
  <c r="V433" i="43"/>
  <c r="P434" i="43"/>
  <c r="R434" i="43"/>
  <c r="J434" i="43"/>
  <c r="L434" i="43"/>
  <c r="T434" i="43"/>
  <c r="X434" i="43"/>
  <c r="U434" i="43"/>
  <c r="Q434" i="43"/>
  <c r="S434" i="43"/>
  <c r="K434" i="43"/>
  <c r="N434" i="43"/>
  <c r="V434" i="43"/>
  <c r="P435" i="43"/>
  <c r="R435" i="43"/>
  <c r="J435" i="43"/>
  <c r="L435" i="43"/>
  <c r="T435" i="43"/>
  <c r="X435" i="43"/>
  <c r="U435" i="43"/>
  <c r="Q435" i="43"/>
  <c r="S435" i="43"/>
  <c r="K435" i="43"/>
  <c r="N435" i="43"/>
  <c r="V435" i="43"/>
  <c r="P436" i="43"/>
  <c r="R436" i="43"/>
  <c r="J436" i="43"/>
  <c r="L436" i="43"/>
  <c r="T436" i="43"/>
  <c r="X436" i="43"/>
  <c r="U436" i="43"/>
  <c r="Q436" i="43"/>
  <c r="S436" i="43"/>
  <c r="K436" i="43"/>
  <c r="N436" i="43"/>
  <c r="V436" i="43"/>
  <c r="P437" i="43"/>
  <c r="R437" i="43"/>
  <c r="J437" i="43"/>
  <c r="L437" i="43"/>
  <c r="T437" i="43"/>
  <c r="X437" i="43"/>
  <c r="U437" i="43"/>
  <c r="Q437" i="43"/>
  <c r="S437" i="43"/>
  <c r="K437" i="43"/>
  <c r="N437" i="43"/>
  <c r="V437" i="43"/>
  <c r="P438" i="43"/>
  <c r="R438" i="43"/>
  <c r="J438" i="43"/>
  <c r="L438" i="43"/>
  <c r="T438" i="43"/>
  <c r="X438" i="43"/>
  <c r="U438" i="43"/>
  <c r="Q438" i="43"/>
  <c r="S438" i="43"/>
  <c r="K438" i="43"/>
  <c r="N438" i="43"/>
  <c r="V438" i="43"/>
  <c r="P439" i="43"/>
  <c r="R439" i="43"/>
  <c r="J439" i="43"/>
  <c r="L439" i="43"/>
  <c r="T439" i="43"/>
  <c r="X439" i="43"/>
  <c r="U439" i="43"/>
  <c r="Q439" i="43"/>
  <c r="S439" i="43"/>
  <c r="K439" i="43"/>
  <c r="N439" i="43"/>
  <c r="V439" i="43"/>
  <c r="P440" i="43"/>
  <c r="R440" i="43"/>
  <c r="J440" i="43"/>
  <c r="L440" i="43"/>
  <c r="T440" i="43"/>
  <c r="X440" i="43"/>
  <c r="U440" i="43"/>
  <c r="Q440" i="43"/>
  <c r="S440" i="43"/>
  <c r="K440" i="43"/>
  <c r="N440" i="43"/>
  <c r="V440" i="43"/>
  <c r="P441" i="43"/>
  <c r="R441" i="43"/>
  <c r="J441" i="43"/>
  <c r="L441" i="43"/>
  <c r="T441" i="43"/>
  <c r="X441" i="43"/>
  <c r="U441" i="43"/>
  <c r="Q441" i="43"/>
  <c r="S441" i="43"/>
  <c r="K441" i="43"/>
  <c r="N441" i="43"/>
  <c r="V441" i="43"/>
  <c r="P442" i="43"/>
  <c r="R442" i="43"/>
  <c r="J442" i="43"/>
  <c r="L442" i="43"/>
  <c r="T442" i="43"/>
  <c r="X442" i="43"/>
  <c r="U442" i="43"/>
  <c r="Q442" i="43"/>
  <c r="S442" i="43"/>
  <c r="K442" i="43"/>
  <c r="N442" i="43"/>
  <c r="V442" i="43"/>
  <c r="P443" i="43"/>
  <c r="R443" i="43"/>
  <c r="J443" i="43"/>
  <c r="L443" i="43"/>
  <c r="T443" i="43"/>
  <c r="X443" i="43"/>
  <c r="U443" i="43"/>
  <c r="Q443" i="43"/>
  <c r="S443" i="43"/>
  <c r="K443" i="43"/>
  <c r="N443" i="43"/>
  <c r="V443" i="43"/>
  <c r="P444" i="43"/>
  <c r="R444" i="43"/>
  <c r="J444" i="43"/>
  <c r="L444" i="43"/>
  <c r="T444" i="43"/>
  <c r="X444" i="43"/>
  <c r="U444" i="43"/>
  <c r="Q444" i="43"/>
  <c r="S444" i="43"/>
  <c r="K444" i="43"/>
  <c r="N444" i="43"/>
  <c r="V444" i="43"/>
  <c r="P445" i="43"/>
  <c r="R445" i="43"/>
  <c r="J445" i="43"/>
  <c r="L445" i="43"/>
  <c r="T445" i="43"/>
  <c r="X445" i="43"/>
  <c r="U445" i="43"/>
  <c r="Q445" i="43"/>
  <c r="S445" i="43"/>
  <c r="K445" i="43"/>
  <c r="N445" i="43"/>
  <c r="V445" i="43"/>
  <c r="P446" i="43"/>
  <c r="R446" i="43"/>
  <c r="J446" i="43"/>
  <c r="L446" i="43"/>
  <c r="T446" i="43"/>
  <c r="X446" i="43"/>
  <c r="U446" i="43"/>
  <c r="Q446" i="43"/>
  <c r="S446" i="43"/>
  <c r="K446" i="43"/>
  <c r="N446" i="43"/>
  <c r="V446" i="43"/>
  <c r="P447" i="43"/>
  <c r="R447" i="43"/>
  <c r="J447" i="43"/>
  <c r="L447" i="43"/>
  <c r="T447" i="43"/>
  <c r="X447" i="43"/>
  <c r="U447" i="43"/>
  <c r="Q447" i="43"/>
  <c r="S447" i="43"/>
  <c r="K447" i="43"/>
  <c r="N447" i="43"/>
  <c r="V447" i="43"/>
  <c r="P448" i="43"/>
  <c r="R448" i="43"/>
  <c r="J448" i="43"/>
  <c r="L448" i="43"/>
  <c r="T448" i="43"/>
  <c r="X448" i="43"/>
  <c r="U448" i="43"/>
  <c r="Q448" i="43"/>
  <c r="S448" i="43"/>
  <c r="K448" i="43"/>
  <c r="N448" i="43"/>
  <c r="V448" i="43"/>
  <c r="P449" i="43"/>
  <c r="R449" i="43"/>
  <c r="J449" i="43"/>
  <c r="L449" i="43"/>
  <c r="T449" i="43"/>
  <c r="X449" i="43"/>
  <c r="U449" i="43"/>
  <c r="Q449" i="43"/>
  <c r="S449" i="43"/>
  <c r="K449" i="43"/>
  <c r="N449" i="43"/>
  <c r="V449" i="43"/>
  <c r="P450" i="43"/>
  <c r="R450" i="43"/>
  <c r="J450" i="43"/>
  <c r="L450" i="43"/>
  <c r="T450" i="43"/>
  <c r="X450" i="43"/>
  <c r="U450" i="43"/>
  <c r="Q450" i="43"/>
  <c r="S450" i="43"/>
  <c r="K450" i="43"/>
  <c r="N450" i="43"/>
  <c r="V450" i="43"/>
  <c r="P451" i="43"/>
  <c r="R451" i="43"/>
  <c r="J451" i="43"/>
  <c r="L451" i="43"/>
  <c r="T451" i="43"/>
  <c r="X451" i="43"/>
  <c r="U451" i="43"/>
  <c r="Q451" i="43"/>
  <c r="S451" i="43"/>
  <c r="K451" i="43"/>
  <c r="N451" i="43"/>
  <c r="V451" i="43"/>
  <c r="P452" i="43"/>
  <c r="R452" i="43"/>
  <c r="J452" i="43"/>
  <c r="L452" i="43"/>
  <c r="T452" i="43"/>
  <c r="X452" i="43"/>
  <c r="U452" i="43"/>
  <c r="Q452" i="43"/>
  <c r="S452" i="43"/>
  <c r="K452" i="43"/>
  <c r="N452" i="43"/>
  <c r="V452" i="43"/>
  <c r="P453" i="43"/>
  <c r="R453" i="43"/>
  <c r="J453" i="43"/>
  <c r="L453" i="43"/>
  <c r="T453" i="43"/>
  <c r="X453" i="43"/>
  <c r="U453" i="43"/>
  <c r="Q453" i="43"/>
  <c r="S453" i="43"/>
  <c r="K453" i="43"/>
  <c r="N453" i="43"/>
  <c r="V453" i="43"/>
  <c r="P454" i="43"/>
  <c r="R454" i="43"/>
  <c r="J454" i="43"/>
  <c r="L454" i="43"/>
  <c r="T454" i="43"/>
  <c r="X454" i="43"/>
  <c r="U454" i="43"/>
  <c r="Q454" i="43"/>
  <c r="S454" i="43"/>
  <c r="K454" i="43"/>
  <c r="N454" i="43"/>
  <c r="V454" i="43"/>
  <c r="P455" i="43"/>
  <c r="R455" i="43"/>
  <c r="J455" i="43"/>
  <c r="L455" i="43"/>
  <c r="T455" i="43"/>
  <c r="X455" i="43"/>
  <c r="U455" i="43"/>
  <c r="Q455" i="43"/>
  <c r="S455" i="43"/>
  <c r="K455" i="43"/>
  <c r="N455" i="43"/>
  <c r="V455" i="43"/>
  <c r="P456" i="43"/>
  <c r="R456" i="43"/>
  <c r="J456" i="43"/>
  <c r="L456" i="43"/>
  <c r="T456" i="43"/>
  <c r="X456" i="43"/>
  <c r="U456" i="43"/>
  <c r="Q456" i="43"/>
  <c r="S456" i="43"/>
  <c r="K456" i="43"/>
  <c r="N456" i="43"/>
  <c r="V456" i="43"/>
  <c r="P457" i="43"/>
  <c r="R457" i="43"/>
  <c r="J457" i="43"/>
  <c r="L457" i="43"/>
  <c r="T457" i="43"/>
  <c r="X457" i="43"/>
  <c r="U457" i="43"/>
  <c r="Q457" i="43"/>
  <c r="S457" i="43"/>
  <c r="K457" i="43"/>
  <c r="N457" i="43"/>
  <c r="V457" i="43"/>
  <c r="P458" i="43"/>
  <c r="R458" i="43"/>
  <c r="J458" i="43"/>
  <c r="L458" i="43"/>
  <c r="T458" i="43"/>
  <c r="X458" i="43"/>
  <c r="U458" i="43"/>
  <c r="Q458" i="43"/>
  <c r="S458" i="43"/>
  <c r="K458" i="43"/>
  <c r="N458" i="43"/>
  <c r="V458" i="43"/>
  <c r="P459" i="43"/>
  <c r="R459" i="43"/>
  <c r="J459" i="43"/>
  <c r="L459" i="43"/>
  <c r="T459" i="43"/>
  <c r="X459" i="43"/>
  <c r="U459" i="43"/>
  <c r="Q459" i="43"/>
  <c r="S459" i="43"/>
  <c r="K459" i="43"/>
  <c r="N459" i="43"/>
  <c r="V459" i="43"/>
  <c r="P460" i="43"/>
  <c r="R460" i="43"/>
  <c r="J460" i="43"/>
  <c r="L460" i="43"/>
  <c r="T460" i="43"/>
  <c r="X460" i="43"/>
  <c r="U460" i="43"/>
  <c r="Q460" i="43"/>
  <c r="S460" i="43"/>
  <c r="K460" i="43"/>
  <c r="N460" i="43"/>
  <c r="V460" i="43"/>
  <c r="P461" i="43"/>
  <c r="R461" i="43"/>
  <c r="J461" i="43"/>
  <c r="L461" i="43"/>
  <c r="T461" i="43"/>
  <c r="X461" i="43"/>
  <c r="U461" i="43"/>
  <c r="Q461" i="43"/>
  <c r="S461" i="43"/>
  <c r="K461" i="43"/>
  <c r="N461" i="43"/>
  <c r="V461" i="43"/>
  <c r="P462" i="43"/>
  <c r="R462" i="43"/>
  <c r="J462" i="43"/>
  <c r="L462" i="43"/>
  <c r="T462" i="43"/>
  <c r="X462" i="43"/>
  <c r="U462" i="43"/>
  <c r="Q462" i="43"/>
  <c r="S462" i="43"/>
  <c r="K462" i="43"/>
  <c r="N462" i="43"/>
  <c r="V462" i="43"/>
  <c r="P463" i="43"/>
  <c r="R463" i="43"/>
  <c r="J463" i="43"/>
  <c r="L463" i="43"/>
  <c r="T463" i="43"/>
  <c r="X463" i="43"/>
  <c r="U463" i="43"/>
  <c r="Q463" i="43"/>
  <c r="S463" i="43"/>
  <c r="K463" i="43"/>
  <c r="N463" i="43"/>
  <c r="V463" i="43"/>
  <c r="P464" i="43"/>
  <c r="R464" i="43"/>
  <c r="J464" i="43"/>
  <c r="L464" i="43"/>
  <c r="T464" i="43"/>
  <c r="X464" i="43"/>
  <c r="U464" i="43"/>
  <c r="Q464" i="43"/>
  <c r="S464" i="43"/>
  <c r="K464" i="43"/>
  <c r="N464" i="43"/>
  <c r="V464" i="43"/>
  <c r="P465" i="43"/>
  <c r="R465" i="43"/>
  <c r="J465" i="43"/>
  <c r="L465" i="43"/>
  <c r="T465" i="43"/>
  <c r="X465" i="43"/>
  <c r="U465" i="43"/>
  <c r="Q465" i="43"/>
  <c r="S465" i="43"/>
  <c r="K465" i="43"/>
  <c r="N465" i="43"/>
  <c r="V465" i="43"/>
  <c r="P466" i="43"/>
  <c r="R466" i="43"/>
  <c r="J466" i="43"/>
  <c r="L466" i="43"/>
  <c r="T466" i="43"/>
  <c r="X466" i="43"/>
  <c r="U466" i="43"/>
  <c r="Q466" i="43"/>
  <c r="S466" i="43"/>
  <c r="K466" i="43"/>
  <c r="N466" i="43"/>
  <c r="V466" i="43"/>
  <c r="P467" i="43"/>
  <c r="R467" i="43"/>
  <c r="J467" i="43"/>
  <c r="L467" i="43"/>
  <c r="T467" i="43"/>
  <c r="X467" i="43"/>
  <c r="U467" i="43"/>
  <c r="Q467" i="43"/>
  <c r="S467" i="43"/>
  <c r="K467" i="43"/>
  <c r="N467" i="43"/>
  <c r="V467" i="43"/>
  <c r="P468" i="43"/>
  <c r="R468" i="43"/>
  <c r="J468" i="43"/>
  <c r="L468" i="43"/>
  <c r="T468" i="43"/>
  <c r="X468" i="43"/>
  <c r="U468" i="43"/>
  <c r="Q468" i="43"/>
  <c r="S468" i="43"/>
  <c r="K468" i="43"/>
  <c r="N468" i="43"/>
  <c r="V468" i="43"/>
  <c r="P469" i="43"/>
  <c r="R469" i="43"/>
  <c r="J469" i="43"/>
  <c r="L469" i="43"/>
  <c r="T469" i="43"/>
  <c r="X469" i="43"/>
  <c r="U469" i="43"/>
  <c r="Q469" i="43"/>
  <c r="S469" i="43"/>
  <c r="K469" i="43"/>
  <c r="N469" i="43"/>
  <c r="V469" i="43"/>
  <c r="P470" i="43"/>
  <c r="R470" i="43"/>
  <c r="J470" i="43"/>
  <c r="L470" i="43"/>
  <c r="T470" i="43"/>
  <c r="X470" i="43"/>
  <c r="U470" i="43"/>
  <c r="Q470" i="43"/>
  <c r="S470" i="43"/>
  <c r="K470" i="43"/>
  <c r="N470" i="43"/>
  <c r="V470" i="43"/>
  <c r="P471" i="43"/>
  <c r="R471" i="43"/>
  <c r="J471" i="43"/>
  <c r="L471" i="43"/>
  <c r="T471" i="43"/>
  <c r="X471" i="43"/>
  <c r="U471" i="43"/>
  <c r="Q471" i="43"/>
  <c r="S471" i="43"/>
  <c r="K471" i="43"/>
  <c r="N471" i="43"/>
  <c r="V471" i="43"/>
  <c r="P472" i="43"/>
  <c r="R472" i="43"/>
  <c r="J472" i="43"/>
  <c r="L472" i="43"/>
  <c r="T472" i="43"/>
  <c r="X472" i="43"/>
  <c r="U472" i="43"/>
  <c r="Q472" i="43"/>
  <c r="S472" i="43"/>
  <c r="K472" i="43"/>
  <c r="N472" i="43"/>
  <c r="V472" i="43"/>
  <c r="P473" i="43"/>
  <c r="R473" i="43"/>
  <c r="J473" i="43"/>
  <c r="L473" i="43"/>
  <c r="T473" i="43"/>
  <c r="X473" i="43"/>
  <c r="U473" i="43"/>
  <c r="Q473" i="43"/>
  <c r="S473" i="43"/>
  <c r="K473" i="43"/>
  <c r="N473" i="43"/>
  <c r="V473" i="43"/>
  <c r="P474" i="43"/>
  <c r="R474" i="43"/>
  <c r="J474" i="43"/>
  <c r="L474" i="43"/>
  <c r="T474" i="43"/>
  <c r="X474" i="43"/>
  <c r="U474" i="43"/>
  <c r="Q474" i="43"/>
  <c r="S474" i="43"/>
  <c r="K474" i="43"/>
  <c r="N474" i="43"/>
  <c r="V474" i="43"/>
  <c r="P475" i="43"/>
  <c r="R475" i="43"/>
  <c r="J475" i="43"/>
  <c r="L475" i="43"/>
  <c r="T475" i="43"/>
  <c r="X475" i="43"/>
  <c r="U475" i="43"/>
  <c r="Q475" i="43"/>
  <c r="S475" i="43"/>
  <c r="K475" i="43"/>
  <c r="N475" i="43"/>
  <c r="V475" i="43"/>
  <c r="P476" i="43"/>
  <c r="R476" i="43"/>
  <c r="J476" i="43"/>
  <c r="L476" i="43"/>
  <c r="T476" i="43"/>
  <c r="X476" i="43"/>
  <c r="U476" i="43"/>
  <c r="Q476" i="43"/>
  <c r="S476" i="43"/>
  <c r="K476" i="43"/>
  <c r="N476" i="43"/>
  <c r="V476" i="43"/>
  <c r="P477" i="43"/>
  <c r="R477" i="43"/>
  <c r="J477" i="43"/>
  <c r="L477" i="43"/>
  <c r="T477" i="43"/>
  <c r="X477" i="43"/>
  <c r="U477" i="43"/>
  <c r="Q477" i="43"/>
  <c r="S477" i="43"/>
  <c r="K477" i="43"/>
  <c r="N477" i="43"/>
  <c r="V477" i="43"/>
  <c r="P478" i="43"/>
  <c r="R478" i="43"/>
  <c r="J478" i="43"/>
  <c r="L478" i="43"/>
  <c r="T478" i="43"/>
  <c r="X478" i="43"/>
  <c r="U478" i="43"/>
  <c r="Q478" i="43"/>
  <c r="S478" i="43"/>
  <c r="K478" i="43"/>
  <c r="N478" i="43"/>
  <c r="V478" i="43"/>
  <c r="P479" i="43"/>
  <c r="R479" i="43"/>
  <c r="J479" i="43"/>
  <c r="L479" i="43"/>
  <c r="T479" i="43"/>
  <c r="X479" i="43"/>
  <c r="U479" i="43"/>
  <c r="Q479" i="43"/>
  <c r="S479" i="43"/>
  <c r="K479" i="43"/>
  <c r="N479" i="43"/>
  <c r="V479" i="43"/>
  <c r="P480" i="43"/>
  <c r="R480" i="43"/>
  <c r="J480" i="43"/>
  <c r="L480" i="43"/>
  <c r="T480" i="43"/>
  <c r="X480" i="43"/>
  <c r="U480" i="43"/>
  <c r="Q480" i="43"/>
  <c r="S480" i="43"/>
  <c r="K480" i="43"/>
  <c r="N480" i="43"/>
  <c r="V480" i="43"/>
  <c r="P481" i="43"/>
  <c r="R481" i="43"/>
  <c r="J481" i="43"/>
  <c r="L481" i="43"/>
  <c r="T481" i="43"/>
  <c r="X481" i="43"/>
  <c r="U481" i="43"/>
  <c r="Q481" i="43"/>
  <c r="S481" i="43"/>
  <c r="K481" i="43"/>
  <c r="N481" i="43"/>
  <c r="V481" i="43"/>
  <c r="P482" i="43"/>
  <c r="R482" i="43"/>
  <c r="J482" i="43"/>
  <c r="L482" i="43"/>
  <c r="T482" i="43"/>
  <c r="X482" i="43"/>
  <c r="U482" i="43"/>
  <c r="Q482" i="43"/>
  <c r="S482" i="43"/>
  <c r="K482" i="43"/>
  <c r="N482" i="43"/>
  <c r="V482" i="43"/>
  <c r="P483" i="43"/>
  <c r="R483" i="43"/>
  <c r="J483" i="43"/>
  <c r="L483" i="43"/>
  <c r="T483" i="43"/>
  <c r="X483" i="43"/>
  <c r="U483" i="43"/>
  <c r="Q483" i="43"/>
  <c r="S483" i="43"/>
  <c r="K483" i="43"/>
  <c r="N483" i="43"/>
  <c r="V483" i="43"/>
  <c r="P484" i="43"/>
  <c r="R484" i="43"/>
  <c r="J484" i="43"/>
  <c r="L484" i="43"/>
  <c r="T484" i="43"/>
  <c r="X484" i="43"/>
  <c r="U484" i="43"/>
  <c r="Q484" i="43"/>
  <c r="S484" i="43"/>
  <c r="K484" i="43"/>
  <c r="N484" i="43"/>
  <c r="V484" i="43"/>
  <c r="P485" i="43"/>
  <c r="R485" i="43"/>
  <c r="J485" i="43"/>
  <c r="L485" i="43"/>
  <c r="T485" i="43"/>
  <c r="X485" i="43"/>
  <c r="U485" i="43"/>
  <c r="Q485" i="43"/>
  <c r="S485" i="43"/>
  <c r="K485" i="43"/>
  <c r="N485" i="43"/>
  <c r="V485" i="43"/>
  <c r="P486" i="43"/>
  <c r="R486" i="43"/>
  <c r="J486" i="43"/>
  <c r="L486" i="43"/>
  <c r="T486" i="43"/>
  <c r="X486" i="43"/>
  <c r="U486" i="43"/>
  <c r="Q486" i="43"/>
  <c r="S486" i="43"/>
  <c r="K486" i="43"/>
  <c r="N486" i="43"/>
  <c r="V486" i="43"/>
  <c r="P487" i="43"/>
  <c r="R487" i="43"/>
  <c r="J487" i="43"/>
  <c r="L487" i="43"/>
  <c r="T487" i="43"/>
  <c r="X487" i="43"/>
  <c r="U487" i="43"/>
  <c r="Q487" i="43"/>
  <c r="S487" i="43"/>
  <c r="K487" i="43"/>
  <c r="N487" i="43"/>
  <c r="V487" i="43"/>
  <c r="P488" i="43"/>
  <c r="R488" i="43"/>
  <c r="J488" i="43"/>
  <c r="L488" i="43"/>
  <c r="T488" i="43"/>
  <c r="X488" i="43"/>
  <c r="U488" i="43"/>
  <c r="Q488" i="43"/>
  <c r="S488" i="43"/>
  <c r="K488" i="43"/>
  <c r="N488" i="43"/>
  <c r="V488" i="43"/>
  <c r="P489" i="43"/>
  <c r="R489" i="43"/>
  <c r="J489" i="43"/>
  <c r="L489" i="43"/>
  <c r="T489" i="43"/>
  <c r="X489" i="43"/>
  <c r="U489" i="43"/>
  <c r="Q489" i="43"/>
  <c r="S489" i="43"/>
  <c r="K489" i="43"/>
  <c r="N489" i="43"/>
  <c r="V489" i="43"/>
  <c r="P490" i="43"/>
  <c r="R490" i="43"/>
  <c r="J490" i="43"/>
  <c r="L490" i="43"/>
  <c r="T490" i="43"/>
  <c r="X490" i="43"/>
  <c r="U490" i="43"/>
  <c r="Q490" i="43"/>
  <c r="S490" i="43"/>
  <c r="K490" i="43"/>
  <c r="N490" i="43"/>
  <c r="V490" i="43"/>
  <c r="P491" i="43"/>
  <c r="R491" i="43"/>
  <c r="J491" i="43"/>
  <c r="L491" i="43"/>
  <c r="T491" i="43"/>
  <c r="X491" i="43"/>
  <c r="U491" i="43"/>
  <c r="Q491" i="43"/>
  <c r="S491" i="43"/>
  <c r="K491" i="43"/>
  <c r="N491" i="43"/>
  <c r="V491" i="43"/>
  <c r="P492" i="43"/>
  <c r="R492" i="43"/>
  <c r="J492" i="43"/>
  <c r="L492" i="43"/>
  <c r="T492" i="43"/>
  <c r="X492" i="43"/>
  <c r="U492" i="43"/>
  <c r="Q492" i="43"/>
  <c r="S492" i="43"/>
  <c r="K492" i="43"/>
  <c r="N492" i="43"/>
  <c r="V492" i="43"/>
  <c r="P493" i="43"/>
  <c r="R493" i="43"/>
  <c r="J493" i="43"/>
  <c r="L493" i="43"/>
  <c r="T493" i="43"/>
  <c r="X493" i="43"/>
  <c r="U493" i="43"/>
  <c r="Q493" i="43"/>
  <c r="S493" i="43"/>
  <c r="K493" i="43"/>
  <c r="N493" i="43"/>
  <c r="V493" i="43"/>
  <c r="P494" i="43"/>
  <c r="R494" i="43"/>
  <c r="J494" i="43"/>
  <c r="L494" i="43"/>
  <c r="T494" i="43"/>
  <c r="X494" i="43"/>
  <c r="U494" i="43"/>
  <c r="Q494" i="43"/>
  <c r="S494" i="43"/>
  <c r="K494" i="43"/>
  <c r="N494" i="43"/>
  <c r="V494" i="43"/>
  <c r="P495" i="43"/>
  <c r="R495" i="43"/>
  <c r="J495" i="43"/>
  <c r="L495" i="43"/>
  <c r="T495" i="43"/>
  <c r="X495" i="43"/>
  <c r="U495" i="43"/>
  <c r="Q495" i="43"/>
  <c r="S495" i="43"/>
  <c r="K495" i="43"/>
  <c r="N495" i="43"/>
  <c r="V495" i="43"/>
  <c r="P496" i="43"/>
  <c r="R496" i="43"/>
  <c r="J496" i="43"/>
  <c r="L496" i="43"/>
  <c r="T496" i="43"/>
  <c r="X496" i="43"/>
  <c r="U496" i="43"/>
  <c r="Q496" i="43"/>
  <c r="S496" i="43"/>
  <c r="K496" i="43"/>
  <c r="N496" i="43"/>
  <c r="V496" i="43"/>
  <c r="P497" i="43"/>
  <c r="R497" i="43"/>
  <c r="J497" i="43"/>
  <c r="L497" i="43"/>
  <c r="T497" i="43"/>
  <c r="X497" i="43"/>
  <c r="U497" i="43"/>
  <c r="Q497" i="43"/>
  <c r="S497" i="43"/>
  <c r="K497" i="43"/>
  <c r="N497" i="43"/>
  <c r="V497" i="43"/>
  <c r="P498" i="43"/>
  <c r="R498" i="43"/>
  <c r="J498" i="43"/>
  <c r="L498" i="43"/>
  <c r="T498" i="43"/>
  <c r="X498" i="43"/>
  <c r="U498" i="43"/>
  <c r="Q498" i="43"/>
  <c r="S498" i="43"/>
  <c r="K498" i="43"/>
  <c r="N498" i="43"/>
  <c r="V498" i="43"/>
  <c r="P499" i="43"/>
  <c r="R499" i="43"/>
  <c r="J499" i="43"/>
  <c r="L499" i="43"/>
  <c r="T499" i="43"/>
  <c r="X499" i="43"/>
  <c r="U499" i="43"/>
  <c r="Q499" i="43"/>
  <c r="S499" i="43"/>
  <c r="K499" i="43"/>
  <c r="N499" i="43"/>
  <c r="V499" i="43"/>
  <c r="P500" i="43"/>
  <c r="R500" i="43"/>
  <c r="J500" i="43"/>
  <c r="L500" i="43"/>
  <c r="T500" i="43"/>
  <c r="X500" i="43"/>
  <c r="U500" i="43"/>
  <c r="Q500" i="43"/>
  <c r="S500" i="43"/>
  <c r="K500" i="43"/>
  <c r="N500" i="43"/>
  <c r="V500" i="43"/>
  <c r="P501" i="43"/>
  <c r="R501" i="43"/>
  <c r="J501" i="43"/>
  <c r="L501" i="43"/>
  <c r="T501" i="43"/>
  <c r="X501" i="43"/>
  <c r="U501" i="43"/>
  <c r="Q501" i="43"/>
  <c r="S501" i="43"/>
  <c r="K501" i="43"/>
  <c r="N501" i="43"/>
  <c r="V501" i="43"/>
  <c r="P502" i="43"/>
  <c r="R502" i="43"/>
  <c r="J502" i="43"/>
  <c r="L502" i="43"/>
  <c r="T502" i="43"/>
  <c r="X502" i="43"/>
  <c r="U502" i="43"/>
  <c r="Q502" i="43"/>
  <c r="S502" i="43"/>
  <c r="K502" i="43"/>
  <c r="N502" i="43"/>
  <c r="V502" i="43"/>
  <c r="P503" i="43"/>
  <c r="R503" i="43"/>
  <c r="J503" i="43"/>
  <c r="L503" i="43"/>
  <c r="T503" i="43"/>
  <c r="X503" i="43"/>
  <c r="U503" i="43"/>
  <c r="Q503" i="43"/>
  <c r="S503" i="43"/>
  <c r="K503" i="43"/>
  <c r="N503" i="43"/>
  <c r="V503" i="43"/>
  <c r="P504" i="43"/>
  <c r="R504" i="43"/>
  <c r="J504" i="43"/>
  <c r="L504" i="43"/>
  <c r="T504" i="43"/>
  <c r="X504" i="43"/>
  <c r="U504" i="43"/>
  <c r="Q504" i="43"/>
  <c r="S504" i="43"/>
  <c r="K504" i="43"/>
  <c r="N504" i="43"/>
  <c r="V504" i="43"/>
  <c r="P505" i="43"/>
  <c r="R505" i="43"/>
  <c r="J505" i="43"/>
  <c r="L505" i="43"/>
  <c r="T505" i="43"/>
  <c r="X505" i="43"/>
  <c r="U505" i="43"/>
  <c r="Q505" i="43"/>
  <c r="S505" i="43"/>
  <c r="K505" i="43"/>
  <c r="N505" i="43"/>
  <c r="V505" i="43"/>
  <c r="P506" i="43"/>
  <c r="R506" i="43"/>
  <c r="J506" i="43"/>
  <c r="L506" i="43"/>
  <c r="T506" i="43"/>
  <c r="X506" i="43"/>
  <c r="U506" i="43"/>
  <c r="Q506" i="43"/>
  <c r="S506" i="43"/>
  <c r="K506" i="43"/>
  <c r="N506" i="43"/>
  <c r="V506" i="43"/>
  <c r="P507" i="43"/>
  <c r="R507" i="43"/>
  <c r="J507" i="43"/>
  <c r="L507" i="43"/>
  <c r="T507" i="43"/>
  <c r="X507" i="43"/>
  <c r="U507" i="43"/>
  <c r="Q507" i="43"/>
  <c r="S507" i="43"/>
  <c r="K507" i="43"/>
  <c r="N507" i="43"/>
  <c r="V507" i="43"/>
  <c r="P508" i="43"/>
  <c r="R508" i="43"/>
  <c r="J508" i="43"/>
  <c r="L508" i="43"/>
  <c r="T508" i="43"/>
  <c r="X508" i="43"/>
  <c r="U508" i="43"/>
  <c r="Q508" i="43"/>
  <c r="S508" i="43"/>
  <c r="K508" i="43"/>
  <c r="N508" i="43"/>
  <c r="V508" i="43"/>
  <c r="P509" i="43"/>
  <c r="R509" i="43"/>
  <c r="J509" i="43"/>
  <c r="L509" i="43"/>
  <c r="T509" i="43"/>
  <c r="X509" i="43"/>
  <c r="U509" i="43"/>
  <c r="Q509" i="43"/>
  <c r="S509" i="43"/>
  <c r="K509" i="43"/>
  <c r="N509" i="43"/>
  <c r="V509" i="43"/>
  <c r="P510" i="43"/>
  <c r="R510" i="43"/>
  <c r="J510" i="43"/>
  <c r="L510" i="43"/>
  <c r="T510" i="43"/>
  <c r="X510" i="43"/>
  <c r="U510" i="43"/>
  <c r="Q510" i="43"/>
  <c r="S510" i="43"/>
  <c r="K510" i="43"/>
  <c r="N510" i="43"/>
  <c r="V510" i="43"/>
  <c r="P511" i="43"/>
  <c r="R511" i="43"/>
  <c r="J511" i="43"/>
  <c r="L511" i="43"/>
  <c r="T511" i="43"/>
  <c r="X511" i="43"/>
  <c r="U511" i="43"/>
  <c r="Q511" i="43"/>
  <c r="S511" i="43"/>
  <c r="K511" i="43"/>
  <c r="N511" i="43"/>
  <c r="V511" i="43"/>
  <c r="P512" i="43"/>
  <c r="R512" i="43"/>
  <c r="J512" i="43"/>
  <c r="L512" i="43"/>
  <c r="T512" i="43"/>
  <c r="X512" i="43"/>
  <c r="U512" i="43"/>
  <c r="Q512" i="43"/>
  <c r="S512" i="43"/>
  <c r="K512" i="43"/>
  <c r="N512" i="43"/>
  <c r="V512" i="43"/>
  <c r="P513" i="43"/>
  <c r="R513" i="43"/>
  <c r="J513" i="43"/>
  <c r="L513" i="43"/>
  <c r="T513" i="43"/>
  <c r="X513" i="43"/>
  <c r="U513" i="43"/>
  <c r="Q513" i="43"/>
  <c r="S513" i="43"/>
  <c r="K513" i="43"/>
  <c r="N513" i="43"/>
  <c r="V513" i="43"/>
  <c r="P514" i="43"/>
  <c r="R514" i="43"/>
  <c r="J514" i="43"/>
  <c r="L514" i="43"/>
  <c r="T514" i="43"/>
  <c r="X514" i="43"/>
  <c r="U514" i="43"/>
  <c r="Q514" i="43"/>
  <c r="S514" i="43"/>
  <c r="K514" i="43"/>
  <c r="N514" i="43"/>
  <c r="V514" i="43"/>
  <c r="P515" i="43"/>
  <c r="R515" i="43"/>
  <c r="J515" i="43"/>
  <c r="L515" i="43"/>
  <c r="T515" i="43"/>
  <c r="X515" i="43"/>
  <c r="U515" i="43"/>
  <c r="Q515" i="43"/>
  <c r="S515" i="43"/>
  <c r="K515" i="43"/>
  <c r="N515" i="43"/>
  <c r="V515" i="43"/>
  <c r="Q76" i="43"/>
  <c r="S76" i="43"/>
  <c r="K76" i="43"/>
  <c r="N76" i="43"/>
  <c r="V76" i="43"/>
  <c r="P76" i="43"/>
  <c r="R76" i="43"/>
  <c r="J76" i="43"/>
  <c r="L76" i="43"/>
  <c r="T76" i="43"/>
  <c r="X76" i="43"/>
  <c r="U76" i="43"/>
  <c r="H515" i="43"/>
  <c r="F29" i="43"/>
  <c r="M515" i="43"/>
  <c r="I515" i="43"/>
  <c r="O515" i="43"/>
  <c r="G515" i="43"/>
  <c r="W515" i="43"/>
  <c r="Y515" i="43"/>
  <c r="C515" i="43"/>
  <c r="B515" i="43"/>
  <c r="H514" i="43"/>
  <c r="M514" i="43"/>
  <c r="I514" i="43"/>
  <c r="O514" i="43"/>
  <c r="G514" i="43"/>
  <c r="W514" i="43"/>
  <c r="Y514" i="43"/>
  <c r="C514" i="43"/>
  <c r="B514" i="43"/>
  <c r="H513" i="43"/>
  <c r="M513" i="43"/>
  <c r="I513" i="43"/>
  <c r="O513" i="43"/>
  <c r="G513" i="43"/>
  <c r="W513" i="43"/>
  <c r="Y513" i="43"/>
  <c r="C513" i="43"/>
  <c r="B513" i="43"/>
  <c r="H512" i="43"/>
  <c r="M512" i="43"/>
  <c r="I512" i="43"/>
  <c r="O512" i="43"/>
  <c r="G512" i="43"/>
  <c r="W512" i="43"/>
  <c r="Y512" i="43"/>
  <c r="C512" i="43"/>
  <c r="B512" i="43"/>
  <c r="H511" i="43"/>
  <c r="M511" i="43"/>
  <c r="I511" i="43"/>
  <c r="O511" i="43"/>
  <c r="G511" i="43"/>
  <c r="W511" i="43"/>
  <c r="Y511" i="43"/>
  <c r="C511" i="43"/>
  <c r="B511" i="43"/>
  <c r="H510" i="43"/>
  <c r="M510" i="43"/>
  <c r="I510" i="43"/>
  <c r="O510" i="43"/>
  <c r="G510" i="43"/>
  <c r="W510" i="43"/>
  <c r="Y510" i="43"/>
  <c r="C510" i="43"/>
  <c r="B510" i="43"/>
  <c r="H509" i="43"/>
  <c r="M509" i="43"/>
  <c r="I509" i="43"/>
  <c r="O509" i="43"/>
  <c r="G509" i="43"/>
  <c r="W509" i="43"/>
  <c r="Y509" i="43"/>
  <c r="C509" i="43"/>
  <c r="B509" i="43"/>
  <c r="H508" i="43"/>
  <c r="M508" i="43"/>
  <c r="I508" i="43"/>
  <c r="O508" i="43"/>
  <c r="G508" i="43"/>
  <c r="W508" i="43"/>
  <c r="Y508" i="43"/>
  <c r="C508" i="43"/>
  <c r="B508" i="43"/>
  <c r="H507" i="43"/>
  <c r="M507" i="43"/>
  <c r="I507" i="43"/>
  <c r="O507" i="43"/>
  <c r="G507" i="43"/>
  <c r="W507" i="43"/>
  <c r="Y507" i="43"/>
  <c r="C507" i="43"/>
  <c r="B507" i="43"/>
  <c r="H506" i="43"/>
  <c r="M506" i="43"/>
  <c r="I506" i="43"/>
  <c r="O506" i="43"/>
  <c r="G506" i="43"/>
  <c r="W506" i="43"/>
  <c r="Y506" i="43"/>
  <c r="C506" i="43"/>
  <c r="B506" i="43"/>
  <c r="H505" i="43"/>
  <c r="M505" i="43"/>
  <c r="I505" i="43"/>
  <c r="O505" i="43"/>
  <c r="G505" i="43"/>
  <c r="W505" i="43"/>
  <c r="Y505" i="43"/>
  <c r="C505" i="43"/>
  <c r="B505" i="43"/>
  <c r="H504" i="43"/>
  <c r="M504" i="43"/>
  <c r="I504" i="43"/>
  <c r="O504" i="43"/>
  <c r="G504" i="43"/>
  <c r="W504" i="43"/>
  <c r="Y504" i="43"/>
  <c r="C504" i="43"/>
  <c r="B504" i="43"/>
  <c r="H503" i="43"/>
  <c r="M503" i="43"/>
  <c r="I503" i="43"/>
  <c r="O503" i="43"/>
  <c r="G503" i="43"/>
  <c r="W503" i="43"/>
  <c r="Y503" i="43"/>
  <c r="C503" i="43"/>
  <c r="B503" i="43"/>
  <c r="H502" i="43"/>
  <c r="M502" i="43"/>
  <c r="I502" i="43"/>
  <c r="O502" i="43"/>
  <c r="G502" i="43"/>
  <c r="W502" i="43"/>
  <c r="Y502" i="43"/>
  <c r="C502" i="43"/>
  <c r="B502" i="43"/>
  <c r="H501" i="43"/>
  <c r="M501" i="43"/>
  <c r="I501" i="43"/>
  <c r="O501" i="43"/>
  <c r="G501" i="43"/>
  <c r="W501" i="43"/>
  <c r="Y501" i="43"/>
  <c r="C501" i="43"/>
  <c r="B501" i="43"/>
  <c r="H500" i="43"/>
  <c r="M500" i="43"/>
  <c r="I500" i="43"/>
  <c r="O500" i="43"/>
  <c r="G500" i="43"/>
  <c r="W500" i="43"/>
  <c r="Y500" i="43"/>
  <c r="C500" i="43"/>
  <c r="B500" i="43"/>
  <c r="H499" i="43"/>
  <c r="M499" i="43"/>
  <c r="I499" i="43"/>
  <c r="O499" i="43"/>
  <c r="G499" i="43"/>
  <c r="W499" i="43"/>
  <c r="Y499" i="43"/>
  <c r="C499" i="43"/>
  <c r="B499" i="43"/>
  <c r="H498" i="43"/>
  <c r="M498" i="43"/>
  <c r="I498" i="43"/>
  <c r="O498" i="43"/>
  <c r="G498" i="43"/>
  <c r="W498" i="43"/>
  <c r="Y498" i="43"/>
  <c r="C498" i="43"/>
  <c r="B498" i="43"/>
  <c r="H497" i="43"/>
  <c r="M497" i="43"/>
  <c r="I497" i="43"/>
  <c r="O497" i="43"/>
  <c r="G497" i="43"/>
  <c r="W497" i="43"/>
  <c r="Y497" i="43"/>
  <c r="C497" i="43"/>
  <c r="B497" i="43"/>
  <c r="H496" i="43"/>
  <c r="M496" i="43"/>
  <c r="I496" i="43"/>
  <c r="O496" i="43"/>
  <c r="G496" i="43"/>
  <c r="W496" i="43"/>
  <c r="Y496" i="43"/>
  <c r="C496" i="43"/>
  <c r="B496" i="43"/>
  <c r="H495" i="43"/>
  <c r="M495" i="43"/>
  <c r="I495" i="43"/>
  <c r="O495" i="43"/>
  <c r="G495" i="43"/>
  <c r="W495" i="43"/>
  <c r="Y495" i="43"/>
  <c r="C495" i="43"/>
  <c r="B495" i="43"/>
  <c r="H494" i="43"/>
  <c r="M494" i="43"/>
  <c r="I494" i="43"/>
  <c r="O494" i="43"/>
  <c r="G494" i="43"/>
  <c r="W494" i="43"/>
  <c r="Y494" i="43"/>
  <c r="C494" i="43"/>
  <c r="B494" i="43"/>
  <c r="H493" i="43"/>
  <c r="M493" i="43"/>
  <c r="I493" i="43"/>
  <c r="O493" i="43"/>
  <c r="G493" i="43"/>
  <c r="W493" i="43"/>
  <c r="Y493" i="43"/>
  <c r="C493" i="43"/>
  <c r="B493" i="43"/>
  <c r="H492" i="43"/>
  <c r="M492" i="43"/>
  <c r="I492" i="43"/>
  <c r="O492" i="43"/>
  <c r="G492" i="43"/>
  <c r="W492" i="43"/>
  <c r="Y492" i="43"/>
  <c r="C492" i="43"/>
  <c r="B492" i="43"/>
  <c r="H491" i="43"/>
  <c r="M491" i="43"/>
  <c r="I491" i="43"/>
  <c r="O491" i="43"/>
  <c r="G491" i="43"/>
  <c r="W491" i="43"/>
  <c r="Y491" i="43"/>
  <c r="C491" i="43"/>
  <c r="B491" i="43"/>
  <c r="H490" i="43"/>
  <c r="M490" i="43"/>
  <c r="I490" i="43"/>
  <c r="O490" i="43"/>
  <c r="G490" i="43"/>
  <c r="W490" i="43"/>
  <c r="Y490" i="43"/>
  <c r="C490" i="43"/>
  <c r="B490" i="43"/>
  <c r="H489" i="43"/>
  <c r="M489" i="43"/>
  <c r="I489" i="43"/>
  <c r="O489" i="43"/>
  <c r="G489" i="43"/>
  <c r="W489" i="43"/>
  <c r="Y489" i="43"/>
  <c r="C489" i="43"/>
  <c r="B489" i="43"/>
  <c r="H488" i="43"/>
  <c r="M488" i="43"/>
  <c r="I488" i="43"/>
  <c r="O488" i="43"/>
  <c r="G488" i="43"/>
  <c r="W488" i="43"/>
  <c r="Y488" i="43"/>
  <c r="C488" i="43"/>
  <c r="B488" i="43"/>
  <c r="H487" i="43"/>
  <c r="M487" i="43"/>
  <c r="I487" i="43"/>
  <c r="O487" i="43"/>
  <c r="G487" i="43"/>
  <c r="W487" i="43"/>
  <c r="Y487" i="43"/>
  <c r="C487" i="43"/>
  <c r="B487" i="43"/>
  <c r="H486" i="43"/>
  <c r="M486" i="43"/>
  <c r="I486" i="43"/>
  <c r="O486" i="43"/>
  <c r="G486" i="43"/>
  <c r="W486" i="43"/>
  <c r="Y486" i="43"/>
  <c r="C486" i="43"/>
  <c r="B486" i="43"/>
  <c r="H485" i="43"/>
  <c r="M485" i="43"/>
  <c r="I485" i="43"/>
  <c r="O485" i="43"/>
  <c r="G485" i="43"/>
  <c r="W485" i="43"/>
  <c r="Y485" i="43"/>
  <c r="C485" i="43"/>
  <c r="B485" i="43"/>
  <c r="H484" i="43"/>
  <c r="M484" i="43"/>
  <c r="I484" i="43"/>
  <c r="O484" i="43"/>
  <c r="G484" i="43"/>
  <c r="W484" i="43"/>
  <c r="Y484" i="43"/>
  <c r="C484" i="43"/>
  <c r="B484" i="43"/>
  <c r="H483" i="43"/>
  <c r="M483" i="43"/>
  <c r="I483" i="43"/>
  <c r="O483" i="43"/>
  <c r="G483" i="43"/>
  <c r="W483" i="43"/>
  <c r="Y483" i="43"/>
  <c r="C483" i="43"/>
  <c r="B483" i="43"/>
  <c r="H482" i="43"/>
  <c r="M482" i="43"/>
  <c r="I482" i="43"/>
  <c r="O482" i="43"/>
  <c r="G482" i="43"/>
  <c r="W482" i="43"/>
  <c r="Y482" i="43"/>
  <c r="C482" i="43"/>
  <c r="B482" i="43"/>
  <c r="H481" i="43"/>
  <c r="M481" i="43"/>
  <c r="I481" i="43"/>
  <c r="O481" i="43"/>
  <c r="G481" i="43"/>
  <c r="W481" i="43"/>
  <c r="Y481" i="43"/>
  <c r="C481" i="43"/>
  <c r="B481" i="43"/>
  <c r="H480" i="43"/>
  <c r="M480" i="43"/>
  <c r="I480" i="43"/>
  <c r="O480" i="43"/>
  <c r="G480" i="43"/>
  <c r="W480" i="43"/>
  <c r="Y480" i="43"/>
  <c r="C480" i="43"/>
  <c r="B480" i="43"/>
  <c r="H479" i="43"/>
  <c r="M479" i="43"/>
  <c r="I479" i="43"/>
  <c r="O479" i="43"/>
  <c r="G479" i="43"/>
  <c r="W479" i="43"/>
  <c r="Y479" i="43"/>
  <c r="C479" i="43"/>
  <c r="B479" i="43"/>
  <c r="H478" i="43"/>
  <c r="M478" i="43"/>
  <c r="I478" i="43"/>
  <c r="O478" i="43"/>
  <c r="G478" i="43"/>
  <c r="W478" i="43"/>
  <c r="Y478" i="43"/>
  <c r="C478" i="43"/>
  <c r="B478" i="43"/>
  <c r="H477" i="43"/>
  <c r="M477" i="43"/>
  <c r="I477" i="43"/>
  <c r="O477" i="43"/>
  <c r="G477" i="43"/>
  <c r="W477" i="43"/>
  <c r="Y477" i="43"/>
  <c r="C477" i="43"/>
  <c r="B477" i="43"/>
  <c r="H476" i="43"/>
  <c r="M476" i="43"/>
  <c r="I476" i="43"/>
  <c r="O476" i="43"/>
  <c r="G476" i="43"/>
  <c r="W476" i="43"/>
  <c r="Y476" i="43"/>
  <c r="C476" i="43"/>
  <c r="B476" i="43"/>
  <c r="H475" i="43"/>
  <c r="M475" i="43"/>
  <c r="I475" i="43"/>
  <c r="O475" i="43"/>
  <c r="G475" i="43"/>
  <c r="W475" i="43"/>
  <c r="Y475" i="43"/>
  <c r="C475" i="43"/>
  <c r="B475" i="43"/>
  <c r="H474" i="43"/>
  <c r="M474" i="43"/>
  <c r="I474" i="43"/>
  <c r="O474" i="43"/>
  <c r="G474" i="43"/>
  <c r="W474" i="43"/>
  <c r="Y474" i="43"/>
  <c r="C474" i="43"/>
  <c r="B474" i="43"/>
  <c r="H473" i="43"/>
  <c r="M473" i="43"/>
  <c r="I473" i="43"/>
  <c r="O473" i="43"/>
  <c r="G473" i="43"/>
  <c r="W473" i="43"/>
  <c r="Y473" i="43"/>
  <c r="C473" i="43"/>
  <c r="B473" i="43"/>
  <c r="H472" i="43"/>
  <c r="M472" i="43"/>
  <c r="I472" i="43"/>
  <c r="O472" i="43"/>
  <c r="G472" i="43"/>
  <c r="W472" i="43"/>
  <c r="Y472" i="43"/>
  <c r="C472" i="43"/>
  <c r="B472" i="43"/>
  <c r="H471" i="43"/>
  <c r="M471" i="43"/>
  <c r="I471" i="43"/>
  <c r="O471" i="43"/>
  <c r="G471" i="43"/>
  <c r="W471" i="43"/>
  <c r="Y471" i="43"/>
  <c r="C471" i="43"/>
  <c r="B471" i="43"/>
  <c r="H470" i="43"/>
  <c r="M470" i="43"/>
  <c r="I470" i="43"/>
  <c r="O470" i="43"/>
  <c r="G470" i="43"/>
  <c r="W470" i="43"/>
  <c r="Y470" i="43"/>
  <c r="C470" i="43"/>
  <c r="B470" i="43"/>
  <c r="H469" i="43"/>
  <c r="M469" i="43"/>
  <c r="I469" i="43"/>
  <c r="O469" i="43"/>
  <c r="G469" i="43"/>
  <c r="W469" i="43"/>
  <c r="Y469" i="43"/>
  <c r="C469" i="43"/>
  <c r="B469" i="43"/>
  <c r="H468" i="43"/>
  <c r="M468" i="43"/>
  <c r="I468" i="43"/>
  <c r="O468" i="43"/>
  <c r="G468" i="43"/>
  <c r="W468" i="43"/>
  <c r="Y468" i="43"/>
  <c r="C468" i="43"/>
  <c r="B468" i="43"/>
  <c r="H467" i="43"/>
  <c r="M467" i="43"/>
  <c r="I467" i="43"/>
  <c r="O467" i="43"/>
  <c r="G467" i="43"/>
  <c r="W467" i="43"/>
  <c r="Y467" i="43"/>
  <c r="C467" i="43"/>
  <c r="B467" i="43"/>
  <c r="H466" i="43"/>
  <c r="M466" i="43"/>
  <c r="I466" i="43"/>
  <c r="O466" i="43"/>
  <c r="G466" i="43"/>
  <c r="W466" i="43"/>
  <c r="Y466" i="43"/>
  <c r="C466" i="43"/>
  <c r="B466" i="43"/>
  <c r="H465" i="43"/>
  <c r="M465" i="43"/>
  <c r="I465" i="43"/>
  <c r="O465" i="43"/>
  <c r="G465" i="43"/>
  <c r="W465" i="43"/>
  <c r="Y465" i="43"/>
  <c r="C465" i="43"/>
  <c r="B465" i="43"/>
  <c r="H464" i="43"/>
  <c r="M464" i="43"/>
  <c r="I464" i="43"/>
  <c r="O464" i="43"/>
  <c r="G464" i="43"/>
  <c r="W464" i="43"/>
  <c r="Y464" i="43"/>
  <c r="C464" i="43"/>
  <c r="B464" i="43"/>
  <c r="H463" i="43"/>
  <c r="M463" i="43"/>
  <c r="I463" i="43"/>
  <c r="O463" i="43"/>
  <c r="G463" i="43"/>
  <c r="W463" i="43"/>
  <c r="Y463" i="43"/>
  <c r="C463" i="43"/>
  <c r="B463" i="43"/>
  <c r="H462" i="43"/>
  <c r="M462" i="43"/>
  <c r="I462" i="43"/>
  <c r="O462" i="43"/>
  <c r="G462" i="43"/>
  <c r="W462" i="43"/>
  <c r="Y462" i="43"/>
  <c r="C462" i="43"/>
  <c r="B462" i="43"/>
  <c r="H461" i="43"/>
  <c r="M461" i="43"/>
  <c r="I461" i="43"/>
  <c r="O461" i="43"/>
  <c r="G461" i="43"/>
  <c r="W461" i="43"/>
  <c r="Y461" i="43"/>
  <c r="C461" i="43"/>
  <c r="B461" i="43"/>
  <c r="H460" i="43"/>
  <c r="M460" i="43"/>
  <c r="I460" i="43"/>
  <c r="O460" i="43"/>
  <c r="G460" i="43"/>
  <c r="W460" i="43"/>
  <c r="Y460" i="43"/>
  <c r="C460" i="43"/>
  <c r="B460" i="43"/>
  <c r="H459" i="43"/>
  <c r="M459" i="43"/>
  <c r="I459" i="43"/>
  <c r="O459" i="43"/>
  <c r="G459" i="43"/>
  <c r="W459" i="43"/>
  <c r="Y459" i="43"/>
  <c r="C459" i="43"/>
  <c r="B459" i="43"/>
  <c r="H458" i="43"/>
  <c r="M458" i="43"/>
  <c r="I458" i="43"/>
  <c r="O458" i="43"/>
  <c r="G458" i="43"/>
  <c r="W458" i="43"/>
  <c r="Y458" i="43"/>
  <c r="C458" i="43"/>
  <c r="B458" i="43"/>
  <c r="H457" i="43"/>
  <c r="M457" i="43"/>
  <c r="I457" i="43"/>
  <c r="O457" i="43"/>
  <c r="G457" i="43"/>
  <c r="W457" i="43"/>
  <c r="Y457" i="43"/>
  <c r="C457" i="43"/>
  <c r="B457" i="43"/>
  <c r="H456" i="43"/>
  <c r="M456" i="43"/>
  <c r="I456" i="43"/>
  <c r="O456" i="43"/>
  <c r="G456" i="43"/>
  <c r="W456" i="43"/>
  <c r="Y456" i="43"/>
  <c r="C456" i="43"/>
  <c r="B456" i="43"/>
  <c r="H455" i="43"/>
  <c r="M455" i="43"/>
  <c r="I455" i="43"/>
  <c r="O455" i="43"/>
  <c r="G455" i="43"/>
  <c r="W455" i="43"/>
  <c r="Y455" i="43"/>
  <c r="C455" i="43"/>
  <c r="B455" i="43"/>
  <c r="H454" i="43"/>
  <c r="M454" i="43"/>
  <c r="I454" i="43"/>
  <c r="O454" i="43"/>
  <c r="G454" i="43"/>
  <c r="W454" i="43"/>
  <c r="Y454" i="43"/>
  <c r="C454" i="43"/>
  <c r="B454" i="43"/>
  <c r="H453" i="43"/>
  <c r="M453" i="43"/>
  <c r="I453" i="43"/>
  <c r="O453" i="43"/>
  <c r="G453" i="43"/>
  <c r="W453" i="43"/>
  <c r="Y453" i="43"/>
  <c r="C453" i="43"/>
  <c r="B453" i="43"/>
  <c r="H452" i="43"/>
  <c r="M452" i="43"/>
  <c r="I452" i="43"/>
  <c r="O452" i="43"/>
  <c r="G452" i="43"/>
  <c r="W452" i="43"/>
  <c r="Y452" i="43"/>
  <c r="C452" i="43"/>
  <c r="B452" i="43"/>
  <c r="H451" i="43"/>
  <c r="M451" i="43"/>
  <c r="I451" i="43"/>
  <c r="O451" i="43"/>
  <c r="G451" i="43"/>
  <c r="W451" i="43"/>
  <c r="Y451" i="43"/>
  <c r="C451" i="43"/>
  <c r="B451" i="43"/>
  <c r="H450" i="43"/>
  <c r="M450" i="43"/>
  <c r="I450" i="43"/>
  <c r="O450" i="43"/>
  <c r="G450" i="43"/>
  <c r="W450" i="43"/>
  <c r="Y450" i="43"/>
  <c r="C450" i="43"/>
  <c r="B450" i="43"/>
  <c r="H449" i="43"/>
  <c r="M449" i="43"/>
  <c r="I449" i="43"/>
  <c r="O449" i="43"/>
  <c r="G449" i="43"/>
  <c r="W449" i="43"/>
  <c r="Y449" i="43"/>
  <c r="C449" i="43"/>
  <c r="B449" i="43"/>
  <c r="H448" i="43"/>
  <c r="M448" i="43"/>
  <c r="I448" i="43"/>
  <c r="O448" i="43"/>
  <c r="G448" i="43"/>
  <c r="W448" i="43"/>
  <c r="Y448" i="43"/>
  <c r="C448" i="43"/>
  <c r="B448" i="43"/>
  <c r="H447" i="43"/>
  <c r="M447" i="43"/>
  <c r="I447" i="43"/>
  <c r="O447" i="43"/>
  <c r="G447" i="43"/>
  <c r="W447" i="43"/>
  <c r="Y447" i="43"/>
  <c r="C447" i="43"/>
  <c r="B447" i="43"/>
  <c r="H446" i="43"/>
  <c r="M446" i="43"/>
  <c r="I446" i="43"/>
  <c r="O446" i="43"/>
  <c r="G446" i="43"/>
  <c r="W446" i="43"/>
  <c r="Y446" i="43"/>
  <c r="C446" i="43"/>
  <c r="B446" i="43"/>
  <c r="H445" i="43"/>
  <c r="M445" i="43"/>
  <c r="I445" i="43"/>
  <c r="O445" i="43"/>
  <c r="G445" i="43"/>
  <c r="W445" i="43"/>
  <c r="Y445" i="43"/>
  <c r="C445" i="43"/>
  <c r="B445" i="43"/>
  <c r="H444" i="43"/>
  <c r="M444" i="43"/>
  <c r="I444" i="43"/>
  <c r="O444" i="43"/>
  <c r="G444" i="43"/>
  <c r="W444" i="43"/>
  <c r="Y444" i="43"/>
  <c r="C444" i="43"/>
  <c r="B444" i="43"/>
  <c r="H443" i="43"/>
  <c r="M443" i="43"/>
  <c r="I443" i="43"/>
  <c r="O443" i="43"/>
  <c r="G443" i="43"/>
  <c r="W443" i="43"/>
  <c r="Y443" i="43"/>
  <c r="C443" i="43"/>
  <c r="B443" i="43"/>
  <c r="H442" i="43"/>
  <c r="M442" i="43"/>
  <c r="I442" i="43"/>
  <c r="O442" i="43"/>
  <c r="G442" i="43"/>
  <c r="W442" i="43"/>
  <c r="Y442" i="43"/>
  <c r="C442" i="43"/>
  <c r="B442" i="43"/>
  <c r="H441" i="43"/>
  <c r="M441" i="43"/>
  <c r="I441" i="43"/>
  <c r="O441" i="43"/>
  <c r="G441" i="43"/>
  <c r="W441" i="43"/>
  <c r="Y441" i="43"/>
  <c r="C441" i="43"/>
  <c r="B441" i="43"/>
  <c r="H440" i="43"/>
  <c r="M440" i="43"/>
  <c r="I440" i="43"/>
  <c r="O440" i="43"/>
  <c r="G440" i="43"/>
  <c r="W440" i="43"/>
  <c r="Y440" i="43"/>
  <c r="C440" i="43"/>
  <c r="B440" i="43"/>
  <c r="H439" i="43"/>
  <c r="M439" i="43"/>
  <c r="I439" i="43"/>
  <c r="O439" i="43"/>
  <c r="G439" i="43"/>
  <c r="W439" i="43"/>
  <c r="Y439" i="43"/>
  <c r="C439" i="43"/>
  <c r="B439" i="43"/>
  <c r="H438" i="43"/>
  <c r="M438" i="43"/>
  <c r="I438" i="43"/>
  <c r="O438" i="43"/>
  <c r="G438" i="43"/>
  <c r="W438" i="43"/>
  <c r="Y438" i="43"/>
  <c r="C438" i="43"/>
  <c r="B438" i="43"/>
  <c r="H437" i="43"/>
  <c r="M437" i="43"/>
  <c r="I437" i="43"/>
  <c r="O437" i="43"/>
  <c r="G437" i="43"/>
  <c r="W437" i="43"/>
  <c r="Y437" i="43"/>
  <c r="C437" i="43"/>
  <c r="B437" i="43"/>
  <c r="H436" i="43"/>
  <c r="M436" i="43"/>
  <c r="I436" i="43"/>
  <c r="O436" i="43"/>
  <c r="G436" i="43"/>
  <c r="W436" i="43"/>
  <c r="Y436" i="43"/>
  <c r="C436" i="43"/>
  <c r="B436" i="43"/>
  <c r="H435" i="43"/>
  <c r="M435" i="43"/>
  <c r="I435" i="43"/>
  <c r="O435" i="43"/>
  <c r="G435" i="43"/>
  <c r="W435" i="43"/>
  <c r="Y435" i="43"/>
  <c r="C435" i="43"/>
  <c r="B435" i="43"/>
  <c r="H434" i="43"/>
  <c r="M434" i="43"/>
  <c r="I434" i="43"/>
  <c r="O434" i="43"/>
  <c r="G434" i="43"/>
  <c r="W434" i="43"/>
  <c r="Y434" i="43"/>
  <c r="C434" i="43"/>
  <c r="B434" i="43"/>
  <c r="H433" i="43"/>
  <c r="M433" i="43"/>
  <c r="I433" i="43"/>
  <c r="O433" i="43"/>
  <c r="G433" i="43"/>
  <c r="W433" i="43"/>
  <c r="Y433" i="43"/>
  <c r="C433" i="43"/>
  <c r="B433" i="43"/>
  <c r="H432" i="43"/>
  <c r="M432" i="43"/>
  <c r="I432" i="43"/>
  <c r="O432" i="43"/>
  <c r="G432" i="43"/>
  <c r="W432" i="43"/>
  <c r="Y432" i="43"/>
  <c r="C432" i="43"/>
  <c r="B432" i="43"/>
  <c r="H431" i="43"/>
  <c r="M431" i="43"/>
  <c r="I431" i="43"/>
  <c r="O431" i="43"/>
  <c r="G431" i="43"/>
  <c r="W431" i="43"/>
  <c r="Y431" i="43"/>
  <c r="C431" i="43"/>
  <c r="B431" i="43"/>
  <c r="H430" i="43"/>
  <c r="M430" i="43"/>
  <c r="I430" i="43"/>
  <c r="O430" i="43"/>
  <c r="G430" i="43"/>
  <c r="W430" i="43"/>
  <c r="Y430" i="43"/>
  <c r="C430" i="43"/>
  <c r="B430" i="43"/>
  <c r="H429" i="43"/>
  <c r="M429" i="43"/>
  <c r="I429" i="43"/>
  <c r="O429" i="43"/>
  <c r="G429" i="43"/>
  <c r="W429" i="43"/>
  <c r="Y429" i="43"/>
  <c r="C429" i="43"/>
  <c r="B429" i="43"/>
  <c r="H428" i="43"/>
  <c r="M428" i="43"/>
  <c r="I428" i="43"/>
  <c r="O428" i="43"/>
  <c r="G428" i="43"/>
  <c r="W428" i="43"/>
  <c r="Y428" i="43"/>
  <c r="C428" i="43"/>
  <c r="B428" i="43"/>
  <c r="H427" i="43"/>
  <c r="M427" i="43"/>
  <c r="I427" i="43"/>
  <c r="O427" i="43"/>
  <c r="G427" i="43"/>
  <c r="W427" i="43"/>
  <c r="Y427" i="43"/>
  <c r="C427" i="43"/>
  <c r="B427" i="43"/>
  <c r="H426" i="43"/>
  <c r="M426" i="43"/>
  <c r="I426" i="43"/>
  <c r="O426" i="43"/>
  <c r="G426" i="43"/>
  <c r="W426" i="43"/>
  <c r="Y426" i="43"/>
  <c r="C426" i="43"/>
  <c r="B426" i="43"/>
  <c r="H425" i="43"/>
  <c r="M425" i="43"/>
  <c r="I425" i="43"/>
  <c r="O425" i="43"/>
  <c r="G425" i="43"/>
  <c r="W425" i="43"/>
  <c r="Y425" i="43"/>
  <c r="C425" i="43"/>
  <c r="B425" i="43"/>
  <c r="H424" i="43"/>
  <c r="M424" i="43"/>
  <c r="I424" i="43"/>
  <c r="O424" i="43"/>
  <c r="G424" i="43"/>
  <c r="W424" i="43"/>
  <c r="Y424" i="43"/>
  <c r="C424" i="43"/>
  <c r="B424" i="43"/>
  <c r="H423" i="43"/>
  <c r="M423" i="43"/>
  <c r="I423" i="43"/>
  <c r="O423" i="43"/>
  <c r="G423" i="43"/>
  <c r="W423" i="43"/>
  <c r="Y423" i="43"/>
  <c r="C423" i="43"/>
  <c r="B423" i="43"/>
  <c r="H422" i="43"/>
  <c r="M422" i="43"/>
  <c r="I422" i="43"/>
  <c r="O422" i="43"/>
  <c r="G422" i="43"/>
  <c r="W422" i="43"/>
  <c r="Y422" i="43"/>
  <c r="C422" i="43"/>
  <c r="B422" i="43"/>
  <c r="H421" i="43"/>
  <c r="M421" i="43"/>
  <c r="I421" i="43"/>
  <c r="O421" i="43"/>
  <c r="G421" i="43"/>
  <c r="W421" i="43"/>
  <c r="Y421" i="43"/>
  <c r="C421" i="43"/>
  <c r="B421" i="43"/>
  <c r="H420" i="43"/>
  <c r="M420" i="43"/>
  <c r="I420" i="43"/>
  <c r="O420" i="43"/>
  <c r="G420" i="43"/>
  <c r="W420" i="43"/>
  <c r="Y420" i="43"/>
  <c r="C420" i="43"/>
  <c r="B420" i="43"/>
  <c r="H419" i="43"/>
  <c r="M419" i="43"/>
  <c r="I419" i="43"/>
  <c r="O419" i="43"/>
  <c r="G419" i="43"/>
  <c r="W419" i="43"/>
  <c r="Y419" i="43"/>
  <c r="C419" i="43"/>
  <c r="B419" i="43"/>
  <c r="H418" i="43"/>
  <c r="M418" i="43"/>
  <c r="I418" i="43"/>
  <c r="O418" i="43"/>
  <c r="G418" i="43"/>
  <c r="W418" i="43"/>
  <c r="Y418" i="43"/>
  <c r="C418" i="43"/>
  <c r="B418" i="43"/>
  <c r="H417" i="43"/>
  <c r="M417" i="43"/>
  <c r="I417" i="43"/>
  <c r="O417" i="43"/>
  <c r="G417" i="43"/>
  <c r="W417" i="43"/>
  <c r="Y417" i="43"/>
  <c r="C417" i="43"/>
  <c r="B417" i="43"/>
  <c r="H416" i="43"/>
  <c r="M416" i="43"/>
  <c r="I416" i="43"/>
  <c r="O416" i="43"/>
  <c r="G416" i="43"/>
  <c r="W416" i="43"/>
  <c r="Y416" i="43"/>
  <c r="C416" i="43"/>
  <c r="B416" i="43"/>
  <c r="H415" i="43"/>
  <c r="M415" i="43"/>
  <c r="I415" i="43"/>
  <c r="O415" i="43"/>
  <c r="G415" i="43"/>
  <c r="W415" i="43"/>
  <c r="Y415" i="43"/>
  <c r="C415" i="43"/>
  <c r="B415" i="43"/>
  <c r="H414" i="43"/>
  <c r="M414" i="43"/>
  <c r="I414" i="43"/>
  <c r="O414" i="43"/>
  <c r="G414" i="43"/>
  <c r="W414" i="43"/>
  <c r="Y414" i="43"/>
  <c r="C414" i="43"/>
  <c r="B414" i="43"/>
  <c r="H413" i="43"/>
  <c r="M413" i="43"/>
  <c r="I413" i="43"/>
  <c r="O413" i="43"/>
  <c r="G413" i="43"/>
  <c r="W413" i="43"/>
  <c r="Y413" i="43"/>
  <c r="C413" i="43"/>
  <c r="B413" i="43"/>
  <c r="H412" i="43"/>
  <c r="M412" i="43"/>
  <c r="I412" i="43"/>
  <c r="O412" i="43"/>
  <c r="G412" i="43"/>
  <c r="W412" i="43"/>
  <c r="Y412" i="43"/>
  <c r="C412" i="43"/>
  <c r="B412" i="43"/>
  <c r="H411" i="43"/>
  <c r="M411" i="43"/>
  <c r="I411" i="43"/>
  <c r="O411" i="43"/>
  <c r="G411" i="43"/>
  <c r="W411" i="43"/>
  <c r="Y411" i="43"/>
  <c r="C411" i="43"/>
  <c r="B411" i="43"/>
  <c r="H410" i="43"/>
  <c r="M410" i="43"/>
  <c r="I410" i="43"/>
  <c r="O410" i="43"/>
  <c r="G410" i="43"/>
  <c r="W410" i="43"/>
  <c r="Y410" i="43"/>
  <c r="C410" i="43"/>
  <c r="B410" i="43"/>
  <c r="H409" i="43"/>
  <c r="M409" i="43"/>
  <c r="I409" i="43"/>
  <c r="O409" i="43"/>
  <c r="G409" i="43"/>
  <c r="W409" i="43"/>
  <c r="Y409" i="43"/>
  <c r="C409" i="43"/>
  <c r="B409" i="43"/>
  <c r="H408" i="43"/>
  <c r="M408" i="43"/>
  <c r="I408" i="43"/>
  <c r="O408" i="43"/>
  <c r="G408" i="43"/>
  <c r="W408" i="43"/>
  <c r="Y408" i="43"/>
  <c r="C408" i="43"/>
  <c r="B408" i="43"/>
  <c r="H407" i="43"/>
  <c r="M407" i="43"/>
  <c r="I407" i="43"/>
  <c r="O407" i="43"/>
  <c r="G407" i="43"/>
  <c r="W407" i="43"/>
  <c r="Y407" i="43"/>
  <c r="C407" i="43"/>
  <c r="B407" i="43"/>
  <c r="H406" i="43"/>
  <c r="M406" i="43"/>
  <c r="I406" i="43"/>
  <c r="O406" i="43"/>
  <c r="G406" i="43"/>
  <c r="W406" i="43"/>
  <c r="Y406" i="43"/>
  <c r="C406" i="43"/>
  <c r="B406" i="43"/>
  <c r="H405" i="43"/>
  <c r="M405" i="43"/>
  <c r="I405" i="43"/>
  <c r="O405" i="43"/>
  <c r="G405" i="43"/>
  <c r="W405" i="43"/>
  <c r="Y405" i="43"/>
  <c r="C405" i="43"/>
  <c r="B405" i="43"/>
  <c r="H404" i="43"/>
  <c r="M404" i="43"/>
  <c r="I404" i="43"/>
  <c r="O404" i="43"/>
  <c r="G404" i="43"/>
  <c r="W404" i="43"/>
  <c r="Y404" i="43"/>
  <c r="C404" i="43"/>
  <c r="B404" i="43"/>
  <c r="H403" i="43"/>
  <c r="M403" i="43"/>
  <c r="I403" i="43"/>
  <c r="O403" i="43"/>
  <c r="G403" i="43"/>
  <c r="W403" i="43"/>
  <c r="Y403" i="43"/>
  <c r="C403" i="43"/>
  <c r="B403" i="43"/>
  <c r="H402" i="43"/>
  <c r="M402" i="43"/>
  <c r="I402" i="43"/>
  <c r="O402" i="43"/>
  <c r="G402" i="43"/>
  <c r="W402" i="43"/>
  <c r="Y402" i="43"/>
  <c r="C402" i="43"/>
  <c r="B402" i="43"/>
  <c r="H401" i="43"/>
  <c r="M401" i="43"/>
  <c r="I401" i="43"/>
  <c r="O401" i="43"/>
  <c r="G401" i="43"/>
  <c r="W401" i="43"/>
  <c r="Y401" i="43"/>
  <c r="C401" i="43"/>
  <c r="B401" i="43"/>
  <c r="H400" i="43"/>
  <c r="M400" i="43"/>
  <c r="I400" i="43"/>
  <c r="O400" i="43"/>
  <c r="G400" i="43"/>
  <c r="W400" i="43"/>
  <c r="Y400" i="43"/>
  <c r="C400" i="43"/>
  <c r="B400" i="43"/>
  <c r="H399" i="43"/>
  <c r="M399" i="43"/>
  <c r="I399" i="43"/>
  <c r="O399" i="43"/>
  <c r="G399" i="43"/>
  <c r="W399" i="43"/>
  <c r="Y399" i="43"/>
  <c r="C399" i="43"/>
  <c r="B399" i="43"/>
  <c r="H398" i="43"/>
  <c r="M398" i="43"/>
  <c r="I398" i="43"/>
  <c r="O398" i="43"/>
  <c r="G398" i="43"/>
  <c r="W398" i="43"/>
  <c r="Y398" i="43"/>
  <c r="C398" i="43"/>
  <c r="B398" i="43"/>
  <c r="H397" i="43"/>
  <c r="M397" i="43"/>
  <c r="I397" i="43"/>
  <c r="O397" i="43"/>
  <c r="G397" i="43"/>
  <c r="W397" i="43"/>
  <c r="Y397" i="43"/>
  <c r="C397" i="43"/>
  <c r="B397" i="43"/>
  <c r="H396" i="43"/>
  <c r="M396" i="43"/>
  <c r="I396" i="43"/>
  <c r="O396" i="43"/>
  <c r="G396" i="43"/>
  <c r="W396" i="43"/>
  <c r="Y396" i="43"/>
  <c r="C396" i="43"/>
  <c r="B396" i="43"/>
  <c r="H395" i="43"/>
  <c r="M395" i="43"/>
  <c r="I395" i="43"/>
  <c r="O395" i="43"/>
  <c r="G395" i="43"/>
  <c r="W395" i="43"/>
  <c r="Y395" i="43"/>
  <c r="C395" i="43"/>
  <c r="B395" i="43"/>
  <c r="H394" i="43"/>
  <c r="M394" i="43"/>
  <c r="I394" i="43"/>
  <c r="O394" i="43"/>
  <c r="G394" i="43"/>
  <c r="W394" i="43"/>
  <c r="Y394" i="43"/>
  <c r="C394" i="43"/>
  <c r="B394" i="43"/>
  <c r="H393" i="43"/>
  <c r="M393" i="43"/>
  <c r="I393" i="43"/>
  <c r="O393" i="43"/>
  <c r="G393" i="43"/>
  <c r="W393" i="43"/>
  <c r="Y393" i="43"/>
  <c r="C393" i="43"/>
  <c r="B393" i="43"/>
  <c r="H392" i="43"/>
  <c r="M392" i="43"/>
  <c r="I392" i="43"/>
  <c r="O392" i="43"/>
  <c r="G392" i="43"/>
  <c r="W392" i="43"/>
  <c r="Y392" i="43"/>
  <c r="C392" i="43"/>
  <c r="B392" i="43"/>
  <c r="H391" i="43"/>
  <c r="M391" i="43"/>
  <c r="I391" i="43"/>
  <c r="O391" i="43"/>
  <c r="G391" i="43"/>
  <c r="W391" i="43"/>
  <c r="Y391" i="43"/>
  <c r="C391" i="43"/>
  <c r="B391" i="43"/>
  <c r="H390" i="43"/>
  <c r="M390" i="43"/>
  <c r="I390" i="43"/>
  <c r="O390" i="43"/>
  <c r="G390" i="43"/>
  <c r="W390" i="43"/>
  <c r="Y390" i="43"/>
  <c r="C390" i="43"/>
  <c r="B390" i="43"/>
  <c r="H389" i="43"/>
  <c r="M389" i="43"/>
  <c r="I389" i="43"/>
  <c r="O389" i="43"/>
  <c r="G389" i="43"/>
  <c r="W389" i="43"/>
  <c r="Y389" i="43"/>
  <c r="C389" i="43"/>
  <c r="B389" i="43"/>
  <c r="H388" i="43"/>
  <c r="M388" i="43"/>
  <c r="I388" i="43"/>
  <c r="O388" i="43"/>
  <c r="G388" i="43"/>
  <c r="W388" i="43"/>
  <c r="Y388" i="43"/>
  <c r="C388" i="43"/>
  <c r="B388" i="43"/>
  <c r="H387" i="43"/>
  <c r="M387" i="43"/>
  <c r="I387" i="43"/>
  <c r="O387" i="43"/>
  <c r="G387" i="43"/>
  <c r="W387" i="43"/>
  <c r="Y387" i="43"/>
  <c r="C387" i="43"/>
  <c r="B387" i="43"/>
  <c r="H386" i="43"/>
  <c r="M386" i="43"/>
  <c r="I386" i="43"/>
  <c r="O386" i="43"/>
  <c r="G386" i="43"/>
  <c r="W386" i="43"/>
  <c r="Y386" i="43"/>
  <c r="C386" i="43"/>
  <c r="B386" i="43"/>
  <c r="H385" i="43"/>
  <c r="M385" i="43"/>
  <c r="I385" i="43"/>
  <c r="O385" i="43"/>
  <c r="G385" i="43"/>
  <c r="W385" i="43"/>
  <c r="Y385" i="43"/>
  <c r="C385" i="43"/>
  <c r="B385" i="43"/>
  <c r="H384" i="43"/>
  <c r="M384" i="43"/>
  <c r="I384" i="43"/>
  <c r="O384" i="43"/>
  <c r="G384" i="43"/>
  <c r="W384" i="43"/>
  <c r="Y384" i="43"/>
  <c r="C384" i="43"/>
  <c r="B384" i="43"/>
  <c r="H383" i="43"/>
  <c r="M383" i="43"/>
  <c r="I383" i="43"/>
  <c r="O383" i="43"/>
  <c r="G383" i="43"/>
  <c r="W383" i="43"/>
  <c r="Y383" i="43"/>
  <c r="C383" i="43"/>
  <c r="B383" i="43"/>
  <c r="H382" i="43"/>
  <c r="M382" i="43"/>
  <c r="I382" i="43"/>
  <c r="O382" i="43"/>
  <c r="G382" i="43"/>
  <c r="W382" i="43"/>
  <c r="Y382" i="43"/>
  <c r="C382" i="43"/>
  <c r="B382" i="43"/>
  <c r="H381" i="43"/>
  <c r="M381" i="43"/>
  <c r="I381" i="43"/>
  <c r="O381" i="43"/>
  <c r="G381" i="43"/>
  <c r="W381" i="43"/>
  <c r="Y381" i="43"/>
  <c r="C381" i="43"/>
  <c r="B381" i="43"/>
  <c r="H380" i="43"/>
  <c r="M380" i="43"/>
  <c r="I380" i="43"/>
  <c r="O380" i="43"/>
  <c r="G380" i="43"/>
  <c r="W380" i="43"/>
  <c r="Y380" i="43"/>
  <c r="C380" i="43"/>
  <c r="B380" i="43"/>
  <c r="H379" i="43"/>
  <c r="M379" i="43"/>
  <c r="I379" i="43"/>
  <c r="O379" i="43"/>
  <c r="G379" i="43"/>
  <c r="W379" i="43"/>
  <c r="Y379" i="43"/>
  <c r="C379" i="43"/>
  <c r="B379" i="43"/>
  <c r="H378" i="43"/>
  <c r="M378" i="43"/>
  <c r="I378" i="43"/>
  <c r="O378" i="43"/>
  <c r="G378" i="43"/>
  <c r="W378" i="43"/>
  <c r="Y378" i="43"/>
  <c r="C378" i="43"/>
  <c r="B378" i="43"/>
  <c r="H377" i="43"/>
  <c r="M377" i="43"/>
  <c r="I377" i="43"/>
  <c r="O377" i="43"/>
  <c r="G377" i="43"/>
  <c r="W377" i="43"/>
  <c r="Y377" i="43"/>
  <c r="C377" i="43"/>
  <c r="B377" i="43"/>
  <c r="H376" i="43"/>
  <c r="M376" i="43"/>
  <c r="I376" i="43"/>
  <c r="O376" i="43"/>
  <c r="G376" i="43"/>
  <c r="W376" i="43"/>
  <c r="Y376" i="43"/>
  <c r="C376" i="43"/>
  <c r="B376" i="43"/>
  <c r="H375" i="43"/>
  <c r="M375" i="43"/>
  <c r="I375" i="43"/>
  <c r="O375" i="43"/>
  <c r="G375" i="43"/>
  <c r="W375" i="43"/>
  <c r="Y375" i="43"/>
  <c r="C375" i="43"/>
  <c r="B375" i="43"/>
  <c r="H374" i="43"/>
  <c r="M374" i="43"/>
  <c r="I374" i="43"/>
  <c r="O374" i="43"/>
  <c r="G374" i="43"/>
  <c r="W374" i="43"/>
  <c r="Y374" i="43"/>
  <c r="C374" i="43"/>
  <c r="B374" i="43"/>
  <c r="H373" i="43"/>
  <c r="M373" i="43"/>
  <c r="I373" i="43"/>
  <c r="O373" i="43"/>
  <c r="G373" i="43"/>
  <c r="W373" i="43"/>
  <c r="Y373" i="43"/>
  <c r="C373" i="43"/>
  <c r="B373" i="43"/>
  <c r="H372" i="43"/>
  <c r="M372" i="43"/>
  <c r="I372" i="43"/>
  <c r="O372" i="43"/>
  <c r="G372" i="43"/>
  <c r="W372" i="43"/>
  <c r="Y372" i="43"/>
  <c r="C372" i="43"/>
  <c r="B372" i="43"/>
  <c r="H371" i="43"/>
  <c r="M371" i="43"/>
  <c r="I371" i="43"/>
  <c r="O371" i="43"/>
  <c r="G371" i="43"/>
  <c r="W371" i="43"/>
  <c r="Y371" i="43"/>
  <c r="C371" i="43"/>
  <c r="B371" i="43"/>
  <c r="H370" i="43"/>
  <c r="M370" i="43"/>
  <c r="I370" i="43"/>
  <c r="O370" i="43"/>
  <c r="G370" i="43"/>
  <c r="W370" i="43"/>
  <c r="Y370" i="43"/>
  <c r="C370" i="43"/>
  <c r="B370" i="43"/>
  <c r="H369" i="43"/>
  <c r="M369" i="43"/>
  <c r="I369" i="43"/>
  <c r="O369" i="43"/>
  <c r="G369" i="43"/>
  <c r="W369" i="43"/>
  <c r="Y369" i="43"/>
  <c r="C369" i="43"/>
  <c r="B369" i="43"/>
  <c r="H368" i="43"/>
  <c r="M368" i="43"/>
  <c r="I368" i="43"/>
  <c r="O368" i="43"/>
  <c r="G368" i="43"/>
  <c r="W368" i="43"/>
  <c r="Y368" i="43"/>
  <c r="C368" i="43"/>
  <c r="B368" i="43"/>
  <c r="H367" i="43"/>
  <c r="M367" i="43"/>
  <c r="I367" i="43"/>
  <c r="O367" i="43"/>
  <c r="G367" i="43"/>
  <c r="W367" i="43"/>
  <c r="Y367" i="43"/>
  <c r="C367" i="43"/>
  <c r="B367" i="43"/>
  <c r="H366" i="43"/>
  <c r="M366" i="43"/>
  <c r="I366" i="43"/>
  <c r="O366" i="43"/>
  <c r="G366" i="43"/>
  <c r="W366" i="43"/>
  <c r="Y366" i="43"/>
  <c r="C366" i="43"/>
  <c r="B366" i="43"/>
  <c r="H365" i="43"/>
  <c r="M365" i="43"/>
  <c r="I365" i="43"/>
  <c r="O365" i="43"/>
  <c r="G365" i="43"/>
  <c r="W365" i="43"/>
  <c r="Y365" i="43"/>
  <c r="C365" i="43"/>
  <c r="B365" i="43"/>
  <c r="H364" i="43"/>
  <c r="M364" i="43"/>
  <c r="I364" i="43"/>
  <c r="O364" i="43"/>
  <c r="G364" i="43"/>
  <c r="W364" i="43"/>
  <c r="Y364" i="43"/>
  <c r="C364" i="43"/>
  <c r="B364" i="43"/>
  <c r="H363" i="43"/>
  <c r="M363" i="43"/>
  <c r="I363" i="43"/>
  <c r="O363" i="43"/>
  <c r="G363" i="43"/>
  <c r="W363" i="43"/>
  <c r="Y363" i="43"/>
  <c r="C363" i="43"/>
  <c r="B363" i="43"/>
  <c r="H362" i="43"/>
  <c r="M362" i="43"/>
  <c r="I362" i="43"/>
  <c r="O362" i="43"/>
  <c r="G362" i="43"/>
  <c r="W362" i="43"/>
  <c r="Y362" i="43"/>
  <c r="C362" i="43"/>
  <c r="B362" i="43"/>
  <c r="H361" i="43"/>
  <c r="M361" i="43"/>
  <c r="I361" i="43"/>
  <c r="O361" i="43"/>
  <c r="G361" i="43"/>
  <c r="W361" i="43"/>
  <c r="Y361" i="43"/>
  <c r="C361" i="43"/>
  <c r="B361" i="43"/>
  <c r="H360" i="43"/>
  <c r="M360" i="43"/>
  <c r="I360" i="43"/>
  <c r="O360" i="43"/>
  <c r="G360" i="43"/>
  <c r="W360" i="43"/>
  <c r="Y360" i="43"/>
  <c r="C360" i="43"/>
  <c r="B360" i="43"/>
  <c r="H359" i="43"/>
  <c r="M359" i="43"/>
  <c r="I359" i="43"/>
  <c r="O359" i="43"/>
  <c r="G359" i="43"/>
  <c r="W359" i="43"/>
  <c r="Y359" i="43"/>
  <c r="C359" i="43"/>
  <c r="B359" i="43"/>
  <c r="H358" i="43"/>
  <c r="M358" i="43"/>
  <c r="I358" i="43"/>
  <c r="O358" i="43"/>
  <c r="G358" i="43"/>
  <c r="W358" i="43"/>
  <c r="Y358" i="43"/>
  <c r="C358" i="43"/>
  <c r="B358" i="43"/>
  <c r="H357" i="43"/>
  <c r="M357" i="43"/>
  <c r="I357" i="43"/>
  <c r="O357" i="43"/>
  <c r="G357" i="43"/>
  <c r="W357" i="43"/>
  <c r="Y357" i="43"/>
  <c r="C357" i="43"/>
  <c r="B357" i="43"/>
  <c r="H356" i="43"/>
  <c r="M356" i="43"/>
  <c r="I356" i="43"/>
  <c r="O356" i="43"/>
  <c r="G356" i="43"/>
  <c r="W356" i="43"/>
  <c r="Y356" i="43"/>
  <c r="C356" i="43"/>
  <c r="B356" i="43"/>
  <c r="H355" i="43"/>
  <c r="M355" i="43"/>
  <c r="I355" i="43"/>
  <c r="O355" i="43"/>
  <c r="G355" i="43"/>
  <c r="W355" i="43"/>
  <c r="Y355" i="43"/>
  <c r="C355" i="43"/>
  <c r="B355" i="43"/>
  <c r="H354" i="43"/>
  <c r="M354" i="43"/>
  <c r="I354" i="43"/>
  <c r="O354" i="43"/>
  <c r="G354" i="43"/>
  <c r="W354" i="43"/>
  <c r="Y354" i="43"/>
  <c r="C354" i="43"/>
  <c r="B354" i="43"/>
  <c r="H353" i="43"/>
  <c r="M353" i="43"/>
  <c r="I353" i="43"/>
  <c r="O353" i="43"/>
  <c r="G353" i="43"/>
  <c r="W353" i="43"/>
  <c r="Y353" i="43"/>
  <c r="C353" i="43"/>
  <c r="B353" i="43"/>
  <c r="H352" i="43"/>
  <c r="M352" i="43"/>
  <c r="I352" i="43"/>
  <c r="O352" i="43"/>
  <c r="G352" i="43"/>
  <c r="W352" i="43"/>
  <c r="Y352" i="43"/>
  <c r="C352" i="43"/>
  <c r="B352" i="43"/>
  <c r="H351" i="43"/>
  <c r="M351" i="43"/>
  <c r="I351" i="43"/>
  <c r="O351" i="43"/>
  <c r="G351" i="43"/>
  <c r="W351" i="43"/>
  <c r="Y351" i="43"/>
  <c r="C351" i="43"/>
  <c r="B351" i="43"/>
  <c r="H350" i="43"/>
  <c r="M350" i="43"/>
  <c r="I350" i="43"/>
  <c r="O350" i="43"/>
  <c r="G350" i="43"/>
  <c r="W350" i="43"/>
  <c r="Y350" i="43"/>
  <c r="C350" i="43"/>
  <c r="B350" i="43"/>
  <c r="H349" i="43"/>
  <c r="M349" i="43"/>
  <c r="I349" i="43"/>
  <c r="O349" i="43"/>
  <c r="G349" i="43"/>
  <c r="W349" i="43"/>
  <c r="Y349" i="43"/>
  <c r="C349" i="43"/>
  <c r="B349" i="43"/>
  <c r="H348" i="43"/>
  <c r="M348" i="43"/>
  <c r="I348" i="43"/>
  <c r="O348" i="43"/>
  <c r="G348" i="43"/>
  <c r="W348" i="43"/>
  <c r="Y348" i="43"/>
  <c r="C348" i="43"/>
  <c r="B348" i="43"/>
  <c r="H347" i="43"/>
  <c r="M347" i="43"/>
  <c r="I347" i="43"/>
  <c r="O347" i="43"/>
  <c r="G347" i="43"/>
  <c r="W347" i="43"/>
  <c r="Y347" i="43"/>
  <c r="C347" i="43"/>
  <c r="B347" i="43"/>
  <c r="H346" i="43"/>
  <c r="M346" i="43"/>
  <c r="I346" i="43"/>
  <c r="O346" i="43"/>
  <c r="G346" i="43"/>
  <c r="W346" i="43"/>
  <c r="Y346" i="43"/>
  <c r="C346" i="43"/>
  <c r="B346" i="43"/>
  <c r="H345" i="43"/>
  <c r="M345" i="43"/>
  <c r="I345" i="43"/>
  <c r="O345" i="43"/>
  <c r="G345" i="43"/>
  <c r="W345" i="43"/>
  <c r="Y345" i="43"/>
  <c r="C345" i="43"/>
  <c r="B345" i="43"/>
  <c r="H344" i="43"/>
  <c r="M344" i="43"/>
  <c r="I344" i="43"/>
  <c r="O344" i="43"/>
  <c r="G344" i="43"/>
  <c r="W344" i="43"/>
  <c r="Y344" i="43"/>
  <c r="C344" i="43"/>
  <c r="B344" i="43"/>
  <c r="H343" i="43"/>
  <c r="M343" i="43"/>
  <c r="I343" i="43"/>
  <c r="O343" i="43"/>
  <c r="G343" i="43"/>
  <c r="W343" i="43"/>
  <c r="Y343" i="43"/>
  <c r="C343" i="43"/>
  <c r="B343" i="43"/>
  <c r="H342" i="43"/>
  <c r="M342" i="43"/>
  <c r="I342" i="43"/>
  <c r="O342" i="43"/>
  <c r="G342" i="43"/>
  <c r="W342" i="43"/>
  <c r="Y342" i="43"/>
  <c r="C342" i="43"/>
  <c r="B342" i="43"/>
  <c r="H341" i="43"/>
  <c r="M341" i="43"/>
  <c r="I341" i="43"/>
  <c r="O341" i="43"/>
  <c r="G341" i="43"/>
  <c r="W341" i="43"/>
  <c r="Y341" i="43"/>
  <c r="C341" i="43"/>
  <c r="B341" i="43"/>
  <c r="H340" i="43"/>
  <c r="M340" i="43"/>
  <c r="I340" i="43"/>
  <c r="O340" i="43"/>
  <c r="G340" i="43"/>
  <c r="W340" i="43"/>
  <c r="Y340" i="43"/>
  <c r="C340" i="43"/>
  <c r="B340" i="43"/>
  <c r="H339" i="43"/>
  <c r="M339" i="43"/>
  <c r="I339" i="43"/>
  <c r="O339" i="43"/>
  <c r="G339" i="43"/>
  <c r="W339" i="43"/>
  <c r="Y339" i="43"/>
  <c r="C339" i="43"/>
  <c r="B339" i="43"/>
  <c r="H338" i="43"/>
  <c r="M338" i="43"/>
  <c r="I338" i="43"/>
  <c r="O338" i="43"/>
  <c r="G338" i="43"/>
  <c r="W338" i="43"/>
  <c r="Y338" i="43"/>
  <c r="C338" i="43"/>
  <c r="B338" i="43"/>
  <c r="H337" i="43"/>
  <c r="M337" i="43"/>
  <c r="I337" i="43"/>
  <c r="O337" i="43"/>
  <c r="G337" i="43"/>
  <c r="W337" i="43"/>
  <c r="Y337" i="43"/>
  <c r="C337" i="43"/>
  <c r="B337" i="43"/>
  <c r="H336" i="43"/>
  <c r="M336" i="43"/>
  <c r="I336" i="43"/>
  <c r="O336" i="43"/>
  <c r="G336" i="43"/>
  <c r="W336" i="43"/>
  <c r="Y336" i="43"/>
  <c r="C336" i="43"/>
  <c r="B336" i="43"/>
  <c r="H335" i="43"/>
  <c r="M335" i="43"/>
  <c r="I335" i="43"/>
  <c r="O335" i="43"/>
  <c r="G335" i="43"/>
  <c r="W335" i="43"/>
  <c r="Y335" i="43"/>
  <c r="C335" i="43"/>
  <c r="B335" i="43"/>
  <c r="H334" i="43"/>
  <c r="M334" i="43"/>
  <c r="I334" i="43"/>
  <c r="O334" i="43"/>
  <c r="G334" i="43"/>
  <c r="W334" i="43"/>
  <c r="Y334" i="43"/>
  <c r="C334" i="43"/>
  <c r="B334" i="43"/>
  <c r="H333" i="43"/>
  <c r="M333" i="43"/>
  <c r="I333" i="43"/>
  <c r="O333" i="43"/>
  <c r="G333" i="43"/>
  <c r="W333" i="43"/>
  <c r="Y333" i="43"/>
  <c r="C333" i="43"/>
  <c r="B333" i="43"/>
  <c r="H332" i="43"/>
  <c r="M332" i="43"/>
  <c r="I332" i="43"/>
  <c r="O332" i="43"/>
  <c r="G332" i="43"/>
  <c r="W332" i="43"/>
  <c r="Y332" i="43"/>
  <c r="C332" i="43"/>
  <c r="B332" i="43"/>
  <c r="H331" i="43"/>
  <c r="M331" i="43"/>
  <c r="I331" i="43"/>
  <c r="O331" i="43"/>
  <c r="G331" i="43"/>
  <c r="W331" i="43"/>
  <c r="Y331" i="43"/>
  <c r="C331" i="43"/>
  <c r="B331" i="43"/>
  <c r="H330" i="43"/>
  <c r="M330" i="43"/>
  <c r="I330" i="43"/>
  <c r="O330" i="43"/>
  <c r="G330" i="43"/>
  <c r="W330" i="43"/>
  <c r="Y330" i="43"/>
  <c r="C330" i="43"/>
  <c r="B330" i="43"/>
  <c r="H329" i="43"/>
  <c r="M329" i="43"/>
  <c r="I329" i="43"/>
  <c r="O329" i="43"/>
  <c r="G329" i="43"/>
  <c r="W329" i="43"/>
  <c r="Y329" i="43"/>
  <c r="C329" i="43"/>
  <c r="B329" i="43"/>
  <c r="H328" i="43"/>
  <c r="M328" i="43"/>
  <c r="I328" i="43"/>
  <c r="O328" i="43"/>
  <c r="G328" i="43"/>
  <c r="W328" i="43"/>
  <c r="Y328" i="43"/>
  <c r="C328" i="43"/>
  <c r="B328" i="43"/>
  <c r="H327" i="43"/>
  <c r="M327" i="43"/>
  <c r="I327" i="43"/>
  <c r="O327" i="43"/>
  <c r="G327" i="43"/>
  <c r="W327" i="43"/>
  <c r="Y327" i="43"/>
  <c r="C327" i="43"/>
  <c r="B327" i="43"/>
  <c r="H326" i="43"/>
  <c r="M326" i="43"/>
  <c r="I326" i="43"/>
  <c r="O326" i="43"/>
  <c r="G326" i="43"/>
  <c r="W326" i="43"/>
  <c r="Y326" i="43"/>
  <c r="C326" i="43"/>
  <c r="B326" i="43"/>
  <c r="H325" i="43"/>
  <c r="M325" i="43"/>
  <c r="I325" i="43"/>
  <c r="O325" i="43"/>
  <c r="G325" i="43"/>
  <c r="W325" i="43"/>
  <c r="Y325" i="43"/>
  <c r="C325" i="43"/>
  <c r="B325" i="43"/>
  <c r="H324" i="43"/>
  <c r="M324" i="43"/>
  <c r="I324" i="43"/>
  <c r="O324" i="43"/>
  <c r="G324" i="43"/>
  <c r="W324" i="43"/>
  <c r="Y324" i="43"/>
  <c r="C324" i="43"/>
  <c r="B324" i="43"/>
  <c r="H323" i="43"/>
  <c r="M323" i="43"/>
  <c r="I323" i="43"/>
  <c r="O323" i="43"/>
  <c r="G323" i="43"/>
  <c r="W323" i="43"/>
  <c r="Y323" i="43"/>
  <c r="C323" i="43"/>
  <c r="B323" i="43"/>
  <c r="H322" i="43"/>
  <c r="M322" i="43"/>
  <c r="I322" i="43"/>
  <c r="O322" i="43"/>
  <c r="G322" i="43"/>
  <c r="W322" i="43"/>
  <c r="Y322" i="43"/>
  <c r="C322" i="43"/>
  <c r="B322" i="43"/>
  <c r="H321" i="43"/>
  <c r="M321" i="43"/>
  <c r="I321" i="43"/>
  <c r="O321" i="43"/>
  <c r="G321" i="43"/>
  <c r="W321" i="43"/>
  <c r="Y321" i="43"/>
  <c r="C321" i="43"/>
  <c r="B321" i="43"/>
  <c r="H320" i="43"/>
  <c r="M320" i="43"/>
  <c r="I320" i="43"/>
  <c r="O320" i="43"/>
  <c r="G320" i="43"/>
  <c r="W320" i="43"/>
  <c r="Y320" i="43"/>
  <c r="C320" i="43"/>
  <c r="B320" i="43"/>
  <c r="H319" i="43"/>
  <c r="M319" i="43"/>
  <c r="I319" i="43"/>
  <c r="O319" i="43"/>
  <c r="G319" i="43"/>
  <c r="W319" i="43"/>
  <c r="Y319" i="43"/>
  <c r="C319" i="43"/>
  <c r="B319" i="43"/>
  <c r="H318" i="43"/>
  <c r="M318" i="43"/>
  <c r="I318" i="43"/>
  <c r="O318" i="43"/>
  <c r="G318" i="43"/>
  <c r="W318" i="43"/>
  <c r="Y318" i="43"/>
  <c r="C318" i="43"/>
  <c r="B318" i="43"/>
  <c r="H317" i="43"/>
  <c r="M317" i="43"/>
  <c r="I317" i="43"/>
  <c r="O317" i="43"/>
  <c r="G317" i="43"/>
  <c r="W317" i="43"/>
  <c r="Y317" i="43"/>
  <c r="C317" i="43"/>
  <c r="B317" i="43"/>
  <c r="H316" i="43"/>
  <c r="M316" i="43"/>
  <c r="O316" i="43"/>
  <c r="G316" i="43"/>
  <c r="W316" i="43"/>
  <c r="Y316" i="43"/>
  <c r="C316" i="43"/>
  <c r="B316" i="43"/>
  <c r="H315" i="43"/>
  <c r="M315" i="43"/>
  <c r="I315" i="43"/>
  <c r="O315" i="43"/>
  <c r="G315" i="43"/>
  <c r="W315" i="43"/>
  <c r="Y315" i="43"/>
  <c r="C315" i="43"/>
  <c r="B315" i="43"/>
  <c r="H314" i="43"/>
  <c r="M314" i="43"/>
  <c r="I314" i="43"/>
  <c r="O314" i="43"/>
  <c r="G314" i="43"/>
  <c r="W314" i="43"/>
  <c r="Y314" i="43"/>
  <c r="C314" i="43"/>
  <c r="B314" i="43"/>
  <c r="H313" i="43"/>
  <c r="M313" i="43"/>
  <c r="I313" i="43"/>
  <c r="O313" i="43"/>
  <c r="G313" i="43"/>
  <c r="W313" i="43"/>
  <c r="Y313" i="43"/>
  <c r="C313" i="43"/>
  <c r="B313" i="43"/>
  <c r="H312" i="43"/>
  <c r="M312" i="43"/>
  <c r="I312" i="43"/>
  <c r="O312" i="43"/>
  <c r="G312" i="43"/>
  <c r="W312" i="43"/>
  <c r="Y312" i="43"/>
  <c r="C312" i="43"/>
  <c r="B312" i="43"/>
  <c r="H311" i="43"/>
  <c r="M311" i="43"/>
  <c r="I311" i="43"/>
  <c r="O311" i="43"/>
  <c r="G311" i="43"/>
  <c r="W311" i="43"/>
  <c r="Y311" i="43"/>
  <c r="C311" i="43"/>
  <c r="B311" i="43"/>
  <c r="H310" i="43"/>
  <c r="M310" i="43"/>
  <c r="I310" i="43"/>
  <c r="O310" i="43"/>
  <c r="G310" i="43"/>
  <c r="W310" i="43"/>
  <c r="Y310" i="43"/>
  <c r="C310" i="43"/>
  <c r="B310" i="43"/>
  <c r="H309" i="43"/>
  <c r="M309" i="43"/>
  <c r="I309" i="43"/>
  <c r="O309" i="43"/>
  <c r="G309" i="43"/>
  <c r="W309" i="43"/>
  <c r="Y309" i="43"/>
  <c r="C309" i="43"/>
  <c r="B309" i="43"/>
  <c r="H308" i="43"/>
  <c r="M308" i="43"/>
  <c r="I308" i="43"/>
  <c r="O308" i="43"/>
  <c r="G308" i="43"/>
  <c r="W308" i="43"/>
  <c r="Y308" i="43"/>
  <c r="C308" i="43"/>
  <c r="B308" i="43"/>
  <c r="H307" i="43"/>
  <c r="M307" i="43"/>
  <c r="I307" i="43"/>
  <c r="O307" i="43"/>
  <c r="G307" i="43"/>
  <c r="W307" i="43"/>
  <c r="Y307" i="43"/>
  <c r="C307" i="43"/>
  <c r="B307" i="43"/>
  <c r="H306" i="43"/>
  <c r="M306" i="43"/>
  <c r="I306" i="43"/>
  <c r="O306" i="43"/>
  <c r="G306" i="43"/>
  <c r="W306" i="43"/>
  <c r="Y306" i="43"/>
  <c r="C306" i="43"/>
  <c r="B306" i="43"/>
  <c r="H305" i="43"/>
  <c r="M305" i="43"/>
  <c r="I305" i="43"/>
  <c r="O305" i="43"/>
  <c r="G305" i="43"/>
  <c r="W305" i="43"/>
  <c r="Y305" i="43"/>
  <c r="C305" i="43"/>
  <c r="B305" i="43"/>
  <c r="H304" i="43"/>
  <c r="M304" i="43"/>
  <c r="I304" i="43"/>
  <c r="O304" i="43"/>
  <c r="G304" i="43"/>
  <c r="W304" i="43"/>
  <c r="Y304" i="43"/>
  <c r="C304" i="43"/>
  <c r="B304" i="43"/>
  <c r="H303" i="43"/>
  <c r="M303" i="43"/>
  <c r="I303" i="43"/>
  <c r="O303" i="43"/>
  <c r="G303" i="43"/>
  <c r="W303" i="43"/>
  <c r="Y303" i="43"/>
  <c r="C303" i="43"/>
  <c r="B303" i="43"/>
  <c r="H302" i="43"/>
  <c r="M302" i="43"/>
  <c r="I302" i="43"/>
  <c r="O302" i="43"/>
  <c r="G302" i="43"/>
  <c r="W302" i="43"/>
  <c r="Y302" i="43"/>
  <c r="C302" i="43"/>
  <c r="B302" i="43"/>
  <c r="H301" i="43"/>
  <c r="M301" i="43"/>
  <c r="I301" i="43"/>
  <c r="O301" i="43"/>
  <c r="G301" i="43"/>
  <c r="W301" i="43"/>
  <c r="Y301" i="43"/>
  <c r="C301" i="43"/>
  <c r="B301" i="43"/>
  <c r="H300" i="43"/>
  <c r="M300" i="43"/>
  <c r="I300" i="43"/>
  <c r="O300" i="43"/>
  <c r="G300" i="43"/>
  <c r="W300" i="43"/>
  <c r="Y300" i="43"/>
  <c r="C300" i="43"/>
  <c r="B300" i="43"/>
  <c r="H299" i="43"/>
  <c r="M299" i="43"/>
  <c r="I299" i="43"/>
  <c r="O299" i="43"/>
  <c r="G299" i="43"/>
  <c r="W299" i="43"/>
  <c r="Y299" i="43"/>
  <c r="C299" i="43"/>
  <c r="B299" i="43"/>
  <c r="H298" i="43"/>
  <c r="M298" i="43"/>
  <c r="I298" i="43"/>
  <c r="O298" i="43"/>
  <c r="G298" i="43"/>
  <c r="W298" i="43"/>
  <c r="Y298" i="43"/>
  <c r="C298" i="43"/>
  <c r="B298" i="43"/>
  <c r="H297" i="43"/>
  <c r="M297" i="43"/>
  <c r="I297" i="43"/>
  <c r="O297" i="43"/>
  <c r="G297" i="43"/>
  <c r="W297" i="43"/>
  <c r="Y297" i="43"/>
  <c r="C297" i="43"/>
  <c r="B297" i="43"/>
  <c r="H296" i="43"/>
  <c r="M296" i="43"/>
  <c r="I296" i="43"/>
  <c r="O296" i="43"/>
  <c r="G296" i="43"/>
  <c r="W296" i="43"/>
  <c r="Y296" i="43"/>
  <c r="C296" i="43"/>
  <c r="B296" i="43"/>
  <c r="H295" i="43"/>
  <c r="M295" i="43"/>
  <c r="I295" i="43"/>
  <c r="O295" i="43"/>
  <c r="G295" i="43"/>
  <c r="W295" i="43"/>
  <c r="Y295" i="43"/>
  <c r="C295" i="43"/>
  <c r="B295" i="43"/>
  <c r="H294" i="43"/>
  <c r="M294" i="43"/>
  <c r="I294" i="43"/>
  <c r="O294" i="43"/>
  <c r="G294" i="43"/>
  <c r="W294" i="43"/>
  <c r="Y294" i="43"/>
  <c r="C294" i="43"/>
  <c r="B294" i="43"/>
  <c r="H293" i="43"/>
  <c r="M293" i="43"/>
  <c r="I293" i="43"/>
  <c r="O293" i="43"/>
  <c r="G293" i="43"/>
  <c r="W293" i="43"/>
  <c r="Y293" i="43"/>
  <c r="C293" i="43"/>
  <c r="B293" i="43"/>
  <c r="H292" i="43"/>
  <c r="M292" i="43"/>
  <c r="I292" i="43"/>
  <c r="O292" i="43"/>
  <c r="G292" i="43"/>
  <c r="W292" i="43"/>
  <c r="Y292" i="43"/>
  <c r="C292" i="43"/>
  <c r="B292" i="43"/>
  <c r="H291" i="43"/>
  <c r="M291" i="43"/>
  <c r="I291" i="43"/>
  <c r="O291" i="43"/>
  <c r="G291" i="43"/>
  <c r="W291" i="43"/>
  <c r="Y291" i="43"/>
  <c r="C291" i="43"/>
  <c r="B291" i="43"/>
  <c r="H290" i="43"/>
  <c r="M290" i="43"/>
  <c r="I290" i="43"/>
  <c r="O290" i="43"/>
  <c r="G290" i="43"/>
  <c r="W290" i="43"/>
  <c r="Y290" i="43"/>
  <c r="C290" i="43"/>
  <c r="B290" i="43"/>
  <c r="H289" i="43"/>
  <c r="M289" i="43"/>
  <c r="I289" i="43"/>
  <c r="O289" i="43"/>
  <c r="G289" i="43"/>
  <c r="W289" i="43"/>
  <c r="Y289" i="43"/>
  <c r="C289" i="43"/>
  <c r="B289" i="43"/>
  <c r="H288" i="43"/>
  <c r="M288" i="43"/>
  <c r="I288" i="43"/>
  <c r="O288" i="43"/>
  <c r="G288" i="43"/>
  <c r="W288" i="43"/>
  <c r="Y288" i="43"/>
  <c r="C288" i="43"/>
  <c r="B288" i="43"/>
  <c r="H287" i="43"/>
  <c r="M287" i="43"/>
  <c r="I287" i="43"/>
  <c r="O287" i="43"/>
  <c r="G287" i="43"/>
  <c r="W287" i="43"/>
  <c r="Y287" i="43"/>
  <c r="C287" i="43"/>
  <c r="B287" i="43"/>
  <c r="H286" i="43"/>
  <c r="M286" i="43"/>
  <c r="I286" i="43"/>
  <c r="O286" i="43"/>
  <c r="G286" i="43"/>
  <c r="W286" i="43"/>
  <c r="Y286" i="43"/>
  <c r="C286" i="43"/>
  <c r="B286" i="43"/>
  <c r="H285" i="43"/>
  <c r="M285" i="43"/>
  <c r="I285" i="43"/>
  <c r="O285" i="43"/>
  <c r="G285" i="43"/>
  <c r="W285" i="43"/>
  <c r="Y285" i="43"/>
  <c r="C285" i="43"/>
  <c r="B285" i="43"/>
  <c r="H284" i="43"/>
  <c r="M284" i="43"/>
  <c r="I284" i="43"/>
  <c r="O284" i="43"/>
  <c r="G284" i="43"/>
  <c r="W284" i="43"/>
  <c r="Y284" i="43"/>
  <c r="C284" i="43"/>
  <c r="B284" i="43"/>
  <c r="H283" i="43"/>
  <c r="M283" i="43"/>
  <c r="I283" i="43"/>
  <c r="O283" i="43"/>
  <c r="G283" i="43"/>
  <c r="W283" i="43"/>
  <c r="Y283" i="43"/>
  <c r="C283" i="43"/>
  <c r="B283" i="43"/>
  <c r="H282" i="43"/>
  <c r="M282" i="43"/>
  <c r="I282" i="43"/>
  <c r="O282" i="43"/>
  <c r="G282" i="43"/>
  <c r="W282" i="43"/>
  <c r="Y282" i="43"/>
  <c r="C282" i="43"/>
  <c r="B282" i="43"/>
  <c r="H281" i="43"/>
  <c r="M281" i="43"/>
  <c r="I281" i="43"/>
  <c r="O281" i="43"/>
  <c r="G281" i="43"/>
  <c r="W281" i="43"/>
  <c r="Y281" i="43"/>
  <c r="C281" i="43"/>
  <c r="B281" i="43"/>
  <c r="H280" i="43"/>
  <c r="M280" i="43"/>
  <c r="I280" i="43"/>
  <c r="O280" i="43"/>
  <c r="G280" i="43"/>
  <c r="W280" i="43"/>
  <c r="Y280" i="43"/>
  <c r="C280" i="43"/>
  <c r="B280" i="43"/>
  <c r="H279" i="43"/>
  <c r="M279" i="43"/>
  <c r="I279" i="43"/>
  <c r="O279" i="43"/>
  <c r="G279" i="43"/>
  <c r="W279" i="43"/>
  <c r="Y279" i="43"/>
  <c r="C279" i="43"/>
  <c r="B279" i="43"/>
  <c r="H278" i="43"/>
  <c r="M278" i="43"/>
  <c r="I278" i="43"/>
  <c r="O278" i="43"/>
  <c r="G278" i="43"/>
  <c r="W278" i="43"/>
  <c r="Y278" i="43"/>
  <c r="C278" i="43"/>
  <c r="B278" i="43"/>
  <c r="H277" i="43"/>
  <c r="M277" i="43"/>
  <c r="I277" i="43"/>
  <c r="O277" i="43"/>
  <c r="G277" i="43"/>
  <c r="W277" i="43"/>
  <c r="Y277" i="43"/>
  <c r="C277" i="43"/>
  <c r="B277" i="43"/>
  <c r="H276" i="43"/>
  <c r="M276" i="43"/>
  <c r="I276" i="43"/>
  <c r="O276" i="43"/>
  <c r="G276" i="43"/>
  <c r="W276" i="43"/>
  <c r="Y276" i="43"/>
  <c r="C276" i="43"/>
  <c r="B276" i="43"/>
  <c r="H275" i="43"/>
  <c r="M275" i="43"/>
  <c r="I275" i="43"/>
  <c r="O275" i="43"/>
  <c r="G275" i="43"/>
  <c r="W275" i="43"/>
  <c r="Y275" i="43"/>
  <c r="C275" i="43"/>
  <c r="B275" i="43"/>
  <c r="H274" i="43"/>
  <c r="M274" i="43"/>
  <c r="I274" i="43"/>
  <c r="O274" i="43"/>
  <c r="G274" i="43"/>
  <c r="W274" i="43"/>
  <c r="Y274" i="43"/>
  <c r="C274" i="43"/>
  <c r="B274" i="43"/>
  <c r="H273" i="43"/>
  <c r="M273" i="43"/>
  <c r="I273" i="43"/>
  <c r="O273" i="43"/>
  <c r="G273" i="43"/>
  <c r="W273" i="43"/>
  <c r="Y273" i="43"/>
  <c r="C273" i="43"/>
  <c r="B273" i="43"/>
  <c r="H272" i="43"/>
  <c r="M272" i="43"/>
  <c r="I272" i="43"/>
  <c r="O272" i="43"/>
  <c r="G272" i="43"/>
  <c r="W272" i="43"/>
  <c r="Y272" i="43"/>
  <c r="C272" i="43"/>
  <c r="B272" i="43"/>
  <c r="H271" i="43"/>
  <c r="M271" i="43"/>
  <c r="I271" i="43"/>
  <c r="O271" i="43"/>
  <c r="G271" i="43"/>
  <c r="W271" i="43"/>
  <c r="Y271" i="43"/>
  <c r="C271" i="43"/>
  <c r="B271" i="43"/>
  <c r="H270" i="43"/>
  <c r="M270" i="43"/>
  <c r="I270" i="43"/>
  <c r="O270" i="43"/>
  <c r="G270" i="43"/>
  <c r="W270" i="43"/>
  <c r="Y270" i="43"/>
  <c r="C270" i="43"/>
  <c r="B270" i="43"/>
  <c r="H269" i="43"/>
  <c r="M269" i="43"/>
  <c r="I269" i="43"/>
  <c r="O269" i="43"/>
  <c r="G269" i="43"/>
  <c r="W269" i="43"/>
  <c r="Y269" i="43"/>
  <c r="C269" i="43"/>
  <c r="B269" i="43"/>
  <c r="H268" i="43"/>
  <c r="M268" i="43"/>
  <c r="I268" i="43"/>
  <c r="O268" i="43"/>
  <c r="G268" i="43"/>
  <c r="W268" i="43"/>
  <c r="Y268" i="43"/>
  <c r="C268" i="43"/>
  <c r="B268" i="43"/>
  <c r="H267" i="43"/>
  <c r="M267" i="43"/>
  <c r="I267" i="43"/>
  <c r="O267" i="43"/>
  <c r="G267" i="43"/>
  <c r="W267" i="43"/>
  <c r="Y267" i="43"/>
  <c r="C267" i="43"/>
  <c r="B267" i="43"/>
  <c r="H266" i="43"/>
  <c r="M266" i="43"/>
  <c r="I266" i="43"/>
  <c r="O266" i="43"/>
  <c r="G266" i="43"/>
  <c r="W266" i="43"/>
  <c r="Y266" i="43"/>
  <c r="C266" i="43"/>
  <c r="B266" i="43"/>
  <c r="H265" i="43"/>
  <c r="M265" i="43"/>
  <c r="I265" i="43"/>
  <c r="O265" i="43"/>
  <c r="G265" i="43"/>
  <c r="W265" i="43"/>
  <c r="Y265" i="43"/>
  <c r="C265" i="43"/>
  <c r="B265" i="43"/>
  <c r="H264" i="43"/>
  <c r="M264" i="43"/>
  <c r="I264" i="43"/>
  <c r="O264" i="43"/>
  <c r="G264" i="43"/>
  <c r="W264" i="43"/>
  <c r="Y264" i="43"/>
  <c r="C264" i="43"/>
  <c r="B264" i="43"/>
  <c r="H263" i="43"/>
  <c r="M263" i="43"/>
  <c r="I263" i="43"/>
  <c r="O263" i="43"/>
  <c r="G263" i="43"/>
  <c r="W263" i="43"/>
  <c r="Y263" i="43"/>
  <c r="C263" i="43"/>
  <c r="B263" i="43"/>
  <c r="H262" i="43"/>
  <c r="M262" i="43"/>
  <c r="I262" i="43"/>
  <c r="O262" i="43"/>
  <c r="G262" i="43"/>
  <c r="W262" i="43"/>
  <c r="Y262" i="43"/>
  <c r="C262" i="43"/>
  <c r="B262" i="43"/>
  <c r="H261" i="43"/>
  <c r="M261" i="43"/>
  <c r="I261" i="43"/>
  <c r="O261" i="43"/>
  <c r="G261" i="43"/>
  <c r="W261" i="43"/>
  <c r="Y261" i="43"/>
  <c r="C261" i="43"/>
  <c r="B261" i="43"/>
  <c r="H260" i="43"/>
  <c r="M260" i="43"/>
  <c r="I260" i="43"/>
  <c r="O260" i="43"/>
  <c r="G260" i="43"/>
  <c r="W260" i="43"/>
  <c r="Y260" i="43"/>
  <c r="C260" i="43"/>
  <c r="B260" i="43"/>
  <c r="H259" i="43"/>
  <c r="M259" i="43"/>
  <c r="I259" i="43"/>
  <c r="O259" i="43"/>
  <c r="G259" i="43"/>
  <c r="W259" i="43"/>
  <c r="Y259" i="43"/>
  <c r="C259" i="43"/>
  <c r="B259" i="43"/>
  <c r="H258" i="43"/>
  <c r="M258" i="43"/>
  <c r="I258" i="43"/>
  <c r="O258" i="43"/>
  <c r="G258" i="43"/>
  <c r="W258" i="43"/>
  <c r="Y258" i="43"/>
  <c r="C258" i="43"/>
  <c r="B258" i="43"/>
  <c r="H257" i="43"/>
  <c r="M257" i="43"/>
  <c r="I257" i="43"/>
  <c r="O257" i="43"/>
  <c r="G257" i="43"/>
  <c r="W257" i="43"/>
  <c r="Y257" i="43"/>
  <c r="C257" i="43"/>
  <c r="B257" i="43"/>
  <c r="H256" i="43"/>
  <c r="M256" i="43"/>
  <c r="I256" i="43"/>
  <c r="O256" i="43"/>
  <c r="G256" i="43"/>
  <c r="W256" i="43"/>
  <c r="Y256" i="43"/>
  <c r="C256" i="43"/>
  <c r="B256" i="43"/>
  <c r="H255" i="43"/>
  <c r="M255" i="43"/>
  <c r="I255" i="43"/>
  <c r="O255" i="43"/>
  <c r="G255" i="43"/>
  <c r="W255" i="43"/>
  <c r="Y255" i="43"/>
  <c r="C255" i="43"/>
  <c r="B255" i="43"/>
  <c r="H254" i="43"/>
  <c r="M254" i="43"/>
  <c r="I254" i="43"/>
  <c r="O254" i="43"/>
  <c r="G254" i="43"/>
  <c r="W254" i="43"/>
  <c r="Y254" i="43"/>
  <c r="C254" i="43"/>
  <c r="B254" i="43"/>
  <c r="H253" i="43"/>
  <c r="M253" i="43"/>
  <c r="I253" i="43"/>
  <c r="O253" i="43"/>
  <c r="G253" i="43"/>
  <c r="W253" i="43"/>
  <c r="Y253" i="43"/>
  <c r="C253" i="43"/>
  <c r="B253" i="43"/>
  <c r="H252" i="43"/>
  <c r="M252" i="43"/>
  <c r="I252" i="43"/>
  <c r="O252" i="43"/>
  <c r="G252" i="43"/>
  <c r="W252" i="43"/>
  <c r="Y252" i="43"/>
  <c r="C252" i="43"/>
  <c r="B252" i="43"/>
  <c r="H251" i="43"/>
  <c r="M251" i="43"/>
  <c r="I251" i="43"/>
  <c r="O251" i="43"/>
  <c r="G251" i="43"/>
  <c r="W251" i="43"/>
  <c r="Y251" i="43"/>
  <c r="C251" i="43"/>
  <c r="B251" i="43"/>
  <c r="H250" i="43"/>
  <c r="M250" i="43"/>
  <c r="I250" i="43"/>
  <c r="O250" i="43"/>
  <c r="G250" i="43"/>
  <c r="W250" i="43"/>
  <c r="Y250" i="43"/>
  <c r="C250" i="43"/>
  <c r="B250" i="43"/>
  <c r="H249" i="43"/>
  <c r="M249" i="43"/>
  <c r="I249" i="43"/>
  <c r="O249" i="43"/>
  <c r="G249" i="43"/>
  <c r="W249" i="43"/>
  <c r="Y249" i="43"/>
  <c r="C249" i="43"/>
  <c r="B249" i="43"/>
  <c r="H248" i="43"/>
  <c r="M248" i="43"/>
  <c r="I248" i="43"/>
  <c r="O248" i="43"/>
  <c r="G248" i="43"/>
  <c r="W248" i="43"/>
  <c r="Y248" i="43"/>
  <c r="C248" i="43"/>
  <c r="B248" i="43"/>
  <c r="H247" i="43"/>
  <c r="M247" i="43"/>
  <c r="I247" i="43"/>
  <c r="O247" i="43"/>
  <c r="G247" i="43"/>
  <c r="W247" i="43"/>
  <c r="Y247" i="43"/>
  <c r="C247" i="43"/>
  <c r="B247" i="43"/>
  <c r="H246" i="43"/>
  <c r="M246" i="43"/>
  <c r="I246" i="43"/>
  <c r="O246" i="43"/>
  <c r="G246" i="43"/>
  <c r="W246" i="43"/>
  <c r="Y246" i="43"/>
  <c r="C246" i="43"/>
  <c r="B246" i="43"/>
  <c r="H245" i="43"/>
  <c r="M245" i="43"/>
  <c r="I245" i="43"/>
  <c r="O245" i="43"/>
  <c r="G245" i="43"/>
  <c r="W245" i="43"/>
  <c r="Y245" i="43"/>
  <c r="C245" i="43"/>
  <c r="B245" i="43"/>
  <c r="H244" i="43"/>
  <c r="M244" i="43"/>
  <c r="I244" i="43"/>
  <c r="O244" i="43"/>
  <c r="G244" i="43"/>
  <c r="W244" i="43"/>
  <c r="Y244" i="43"/>
  <c r="C244" i="43"/>
  <c r="B244" i="43"/>
  <c r="H243" i="43"/>
  <c r="M243" i="43"/>
  <c r="I243" i="43"/>
  <c r="O243" i="43"/>
  <c r="G243" i="43"/>
  <c r="W243" i="43"/>
  <c r="Y243" i="43"/>
  <c r="C243" i="43"/>
  <c r="B243" i="43"/>
  <c r="H242" i="43"/>
  <c r="M242" i="43"/>
  <c r="I242" i="43"/>
  <c r="O242" i="43"/>
  <c r="G242" i="43"/>
  <c r="W242" i="43"/>
  <c r="Y242" i="43"/>
  <c r="C242" i="43"/>
  <c r="B242" i="43"/>
  <c r="H241" i="43"/>
  <c r="M241" i="43"/>
  <c r="I241" i="43"/>
  <c r="O241" i="43"/>
  <c r="G241" i="43"/>
  <c r="W241" i="43"/>
  <c r="Y241" i="43"/>
  <c r="C241" i="43"/>
  <c r="B241" i="43"/>
  <c r="H240" i="43"/>
  <c r="M240" i="43"/>
  <c r="I240" i="43"/>
  <c r="O240" i="43"/>
  <c r="G240" i="43"/>
  <c r="W240" i="43"/>
  <c r="Y240" i="43"/>
  <c r="C240" i="43"/>
  <c r="B240" i="43"/>
  <c r="H239" i="43"/>
  <c r="M239" i="43"/>
  <c r="I239" i="43"/>
  <c r="O239" i="43"/>
  <c r="G239" i="43"/>
  <c r="W239" i="43"/>
  <c r="Y239" i="43"/>
  <c r="C239" i="43"/>
  <c r="B239" i="43"/>
  <c r="H238" i="43"/>
  <c r="M238" i="43"/>
  <c r="I238" i="43"/>
  <c r="O238" i="43"/>
  <c r="G238" i="43"/>
  <c r="W238" i="43"/>
  <c r="Y238" i="43"/>
  <c r="C238" i="43"/>
  <c r="B238" i="43"/>
  <c r="H237" i="43"/>
  <c r="M237" i="43"/>
  <c r="I237" i="43"/>
  <c r="O237" i="43"/>
  <c r="G237" i="43"/>
  <c r="W237" i="43"/>
  <c r="Y237" i="43"/>
  <c r="C237" i="43"/>
  <c r="B237" i="43"/>
  <c r="H236" i="43"/>
  <c r="M236" i="43"/>
  <c r="I236" i="43"/>
  <c r="O236" i="43"/>
  <c r="G236" i="43"/>
  <c r="W236" i="43"/>
  <c r="Y236" i="43"/>
  <c r="C236" i="43"/>
  <c r="B236" i="43"/>
  <c r="H235" i="43"/>
  <c r="M235" i="43"/>
  <c r="I235" i="43"/>
  <c r="O235" i="43"/>
  <c r="G235" i="43"/>
  <c r="W235" i="43"/>
  <c r="Y235" i="43"/>
  <c r="C235" i="43"/>
  <c r="B235" i="43"/>
  <c r="H234" i="43"/>
  <c r="M234" i="43"/>
  <c r="I234" i="43"/>
  <c r="O234" i="43"/>
  <c r="G234" i="43"/>
  <c r="W234" i="43"/>
  <c r="Y234" i="43"/>
  <c r="C234" i="43"/>
  <c r="B234" i="43"/>
  <c r="H233" i="43"/>
  <c r="M233" i="43"/>
  <c r="I233" i="43"/>
  <c r="O233" i="43"/>
  <c r="G233" i="43"/>
  <c r="W233" i="43"/>
  <c r="Y233" i="43"/>
  <c r="C233" i="43"/>
  <c r="B233" i="43"/>
  <c r="H232" i="43"/>
  <c r="M232" i="43"/>
  <c r="I232" i="43"/>
  <c r="O232" i="43"/>
  <c r="G232" i="43"/>
  <c r="W232" i="43"/>
  <c r="Y232" i="43"/>
  <c r="C232" i="43"/>
  <c r="B232" i="43"/>
  <c r="H231" i="43"/>
  <c r="M231" i="43"/>
  <c r="I231" i="43"/>
  <c r="O231" i="43"/>
  <c r="G231" i="43"/>
  <c r="W231" i="43"/>
  <c r="Y231" i="43"/>
  <c r="C231" i="43"/>
  <c r="B231" i="43"/>
  <c r="H230" i="43"/>
  <c r="M230" i="43"/>
  <c r="I230" i="43"/>
  <c r="O230" i="43"/>
  <c r="G230" i="43"/>
  <c r="W230" i="43"/>
  <c r="Y230" i="43"/>
  <c r="C230" i="43"/>
  <c r="B230" i="43"/>
  <c r="H229" i="43"/>
  <c r="M229" i="43"/>
  <c r="I229" i="43"/>
  <c r="O229" i="43"/>
  <c r="G229" i="43"/>
  <c r="W229" i="43"/>
  <c r="Y229" i="43"/>
  <c r="C229" i="43"/>
  <c r="B229" i="43"/>
  <c r="H228" i="43"/>
  <c r="M228" i="43"/>
  <c r="I228" i="43"/>
  <c r="O228" i="43"/>
  <c r="G228" i="43"/>
  <c r="W228" i="43"/>
  <c r="Y228" i="43"/>
  <c r="C228" i="43"/>
  <c r="B228" i="43"/>
  <c r="H227" i="43"/>
  <c r="M227" i="43"/>
  <c r="I227" i="43"/>
  <c r="O227" i="43"/>
  <c r="G227" i="43"/>
  <c r="W227" i="43"/>
  <c r="Y227" i="43"/>
  <c r="C227" i="43"/>
  <c r="B227" i="43"/>
  <c r="H226" i="43"/>
  <c r="M226" i="43"/>
  <c r="I226" i="43"/>
  <c r="O226" i="43"/>
  <c r="G226" i="43"/>
  <c r="W226" i="43"/>
  <c r="Y226" i="43"/>
  <c r="C226" i="43"/>
  <c r="B226" i="43"/>
  <c r="H225" i="43"/>
  <c r="M225" i="43"/>
  <c r="I225" i="43"/>
  <c r="O225" i="43"/>
  <c r="G225" i="43"/>
  <c r="W225" i="43"/>
  <c r="Y225" i="43"/>
  <c r="C225" i="43"/>
  <c r="B225" i="43"/>
  <c r="H224" i="43"/>
  <c r="M224" i="43"/>
  <c r="I224" i="43"/>
  <c r="O224" i="43"/>
  <c r="G224" i="43"/>
  <c r="W224" i="43"/>
  <c r="Y224" i="43"/>
  <c r="C224" i="43"/>
  <c r="B224" i="43"/>
  <c r="H223" i="43"/>
  <c r="M223" i="43"/>
  <c r="I223" i="43"/>
  <c r="O223" i="43"/>
  <c r="G223" i="43"/>
  <c r="W223" i="43"/>
  <c r="Y223" i="43"/>
  <c r="C223" i="43"/>
  <c r="B223" i="43"/>
  <c r="H222" i="43"/>
  <c r="M222" i="43"/>
  <c r="I222" i="43"/>
  <c r="O222" i="43"/>
  <c r="G222" i="43"/>
  <c r="W222" i="43"/>
  <c r="Y222" i="43"/>
  <c r="C222" i="43"/>
  <c r="B222" i="43"/>
  <c r="H221" i="43"/>
  <c r="M221" i="43"/>
  <c r="I221" i="43"/>
  <c r="O221" i="43"/>
  <c r="G221" i="43"/>
  <c r="W221" i="43"/>
  <c r="Y221" i="43"/>
  <c r="C221" i="43"/>
  <c r="B221" i="43"/>
  <c r="H220" i="43"/>
  <c r="M220" i="43"/>
  <c r="I220" i="43"/>
  <c r="O220" i="43"/>
  <c r="G220" i="43"/>
  <c r="W220" i="43"/>
  <c r="Y220" i="43"/>
  <c r="C220" i="43"/>
  <c r="B220" i="43"/>
  <c r="H219" i="43"/>
  <c r="M219" i="43"/>
  <c r="I219" i="43"/>
  <c r="O219" i="43"/>
  <c r="G219" i="43"/>
  <c r="W219" i="43"/>
  <c r="Y219" i="43"/>
  <c r="C219" i="43"/>
  <c r="B219" i="43"/>
  <c r="H218" i="43"/>
  <c r="M218" i="43"/>
  <c r="I218" i="43"/>
  <c r="O218" i="43"/>
  <c r="G218" i="43"/>
  <c r="W218" i="43"/>
  <c r="Y218" i="43"/>
  <c r="C218" i="43"/>
  <c r="B218" i="43"/>
  <c r="H217" i="43"/>
  <c r="M217" i="43"/>
  <c r="I217" i="43"/>
  <c r="O217" i="43"/>
  <c r="G217" i="43"/>
  <c r="W217" i="43"/>
  <c r="Y217" i="43"/>
  <c r="C217" i="43"/>
  <c r="B217" i="43"/>
  <c r="H216" i="43"/>
  <c r="M216" i="43"/>
  <c r="I216" i="43"/>
  <c r="O216" i="43"/>
  <c r="G216" i="43"/>
  <c r="W216" i="43"/>
  <c r="Y216" i="43"/>
  <c r="C216" i="43"/>
  <c r="B216" i="43"/>
  <c r="H215" i="43"/>
  <c r="M215" i="43"/>
  <c r="I215" i="43"/>
  <c r="O215" i="43"/>
  <c r="G215" i="43"/>
  <c r="W215" i="43"/>
  <c r="Y215" i="43"/>
  <c r="C215" i="43"/>
  <c r="B215" i="43"/>
  <c r="H214" i="43"/>
  <c r="M214" i="43"/>
  <c r="I214" i="43"/>
  <c r="O214" i="43"/>
  <c r="G214" i="43"/>
  <c r="W214" i="43"/>
  <c r="Y214" i="43"/>
  <c r="C214" i="43"/>
  <c r="B214" i="43"/>
  <c r="H213" i="43"/>
  <c r="M213" i="43"/>
  <c r="I213" i="43"/>
  <c r="O213" i="43"/>
  <c r="G213" i="43"/>
  <c r="W213" i="43"/>
  <c r="Y213" i="43"/>
  <c r="C213" i="43"/>
  <c r="B213" i="43"/>
  <c r="H212" i="43"/>
  <c r="M212" i="43"/>
  <c r="I212" i="43"/>
  <c r="O212" i="43"/>
  <c r="G212" i="43"/>
  <c r="W212" i="43"/>
  <c r="Y212" i="43"/>
  <c r="C212" i="43"/>
  <c r="B212" i="43"/>
  <c r="H211" i="43"/>
  <c r="M211" i="43"/>
  <c r="I211" i="43"/>
  <c r="O211" i="43"/>
  <c r="G211" i="43"/>
  <c r="W211" i="43"/>
  <c r="Y211" i="43"/>
  <c r="C211" i="43"/>
  <c r="B211" i="43"/>
  <c r="H210" i="43"/>
  <c r="M210" i="43"/>
  <c r="I210" i="43"/>
  <c r="O210" i="43"/>
  <c r="G210" i="43"/>
  <c r="W210" i="43"/>
  <c r="Y210" i="43"/>
  <c r="C210" i="43"/>
  <c r="B210" i="43"/>
  <c r="H209" i="43"/>
  <c r="M209" i="43"/>
  <c r="I209" i="43"/>
  <c r="O209" i="43"/>
  <c r="G209" i="43"/>
  <c r="W209" i="43"/>
  <c r="Y209" i="43"/>
  <c r="C209" i="43"/>
  <c r="B209" i="43"/>
  <c r="H208" i="43"/>
  <c r="M208" i="43"/>
  <c r="I208" i="43"/>
  <c r="O208" i="43"/>
  <c r="G208" i="43"/>
  <c r="W208" i="43"/>
  <c r="Y208" i="43"/>
  <c r="C208" i="43"/>
  <c r="B208" i="43"/>
  <c r="H207" i="43"/>
  <c r="M207" i="43"/>
  <c r="I207" i="43"/>
  <c r="O207" i="43"/>
  <c r="G207" i="43"/>
  <c r="W207" i="43"/>
  <c r="Y207" i="43"/>
  <c r="C207" i="43"/>
  <c r="B207" i="43"/>
  <c r="H206" i="43"/>
  <c r="M206" i="43"/>
  <c r="I206" i="43"/>
  <c r="O206" i="43"/>
  <c r="G206" i="43"/>
  <c r="W206" i="43"/>
  <c r="Y206" i="43"/>
  <c r="C206" i="43"/>
  <c r="B206" i="43"/>
  <c r="H205" i="43"/>
  <c r="M205" i="43"/>
  <c r="I205" i="43"/>
  <c r="O205" i="43"/>
  <c r="G205" i="43"/>
  <c r="W205" i="43"/>
  <c r="Y205" i="43"/>
  <c r="C205" i="43"/>
  <c r="B205" i="43"/>
  <c r="H204" i="43"/>
  <c r="M204" i="43"/>
  <c r="I204" i="43"/>
  <c r="O204" i="43"/>
  <c r="G204" i="43"/>
  <c r="W204" i="43"/>
  <c r="Y204" i="43"/>
  <c r="C204" i="43"/>
  <c r="B204" i="43"/>
  <c r="H203" i="43"/>
  <c r="M203" i="43"/>
  <c r="I203" i="43"/>
  <c r="O203" i="43"/>
  <c r="G203" i="43"/>
  <c r="W203" i="43"/>
  <c r="Y203" i="43"/>
  <c r="C203" i="43"/>
  <c r="B203" i="43"/>
  <c r="H202" i="43"/>
  <c r="M202" i="43"/>
  <c r="I202" i="43"/>
  <c r="O202" i="43"/>
  <c r="G202" i="43"/>
  <c r="W202" i="43"/>
  <c r="Y202" i="43"/>
  <c r="C202" i="43"/>
  <c r="B202" i="43"/>
  <c r="H201" i="43"/>
  <c r="M201" i="43"/>
  <c r="I201" i="43"/>
  <c r="O201" i="43"/>
  <c r="G201" i="43"/>
  <c r="W201" i="43"/>
  <c r="Y201" i="43"/>
  <c r="C201" i="43"/>
  <c r="B201" i="43"/>
  <c r="H200" i="43"/>
  <c r="M200" i="43"/>
  <c r="I200" i="43"/>
  <c r="O200" i="43"/>
  <c r="G200" i="43"/>
  <c r="W200" i="43"/>
  <c r="Y200" i="43"/>
  <c r="C200" i="43"/>
  <c r="B200" i="43"/>
  <c r="H199" i="43"/>
  <c r="M199" i="43"/>
  <c r="I199" i="43"/>
  <c r="O199" i="43"/>
  <c r="G199" i="43"/>
  <c r="W199" i="43"/>
  <c r="Y199" i="43"/>
  <c r="C199" i="43"/>
  <c r="B199" i="43"/>
  <c r="H198" i="43"/>
  <c r="M198" i="43"/>
  <c r="I198" i="43"/>
  <c r="O198" i="43"/>
  <c r="G198" i="43"/>
  <c r="W198" i="43"/>
  <c r="Y198" i="43"/>
  <c r="C198" i="43"/>
  <c r="B198" i="43"/>
  <c r="H197" i="43"/>
  <c r="M197" i="43"/>
  <c r="I197" i="43"/>
  <c r="O197" i="43"/>
  <c r="G197" i="43"/>
  <c r="W197" i="43"/>
  <c r="Y197" i="43"/>
  <c r="C197" i="43"/>
  <c r="B197" i="43"/>
  <c r="H196" i="43"/>
  <c r="M196" i="43"/>
  <c r="I196" i="43"/>
  <c r="O196" i="43"/>
  <c r="G196" i="43"/>
  <c r="W196" i="43"/>
  <c r="Y196" i="43"/>
  <c r="C196" i="43"/>
  <c r="B196" i="43"/>
  <c r="H195" i="43"/>
  <c r="M195" i="43"/>
  <c r="I195" i="43"/>
  <c r="O195" i="43"/>
  <c r="G195" i="43"/>
  <c r="W195" i="43"/>
  <c r="Y195" i="43"/>
  <c r="C195" i="43"/>
  <c r="B195" i="43"/>
  <c r="H194" i="43"/>
  <c r="M194" i="43"/>
  <c r="I194" i="43"/>
  <c r="O194" i="43"/>
  <c r="G194" i="43"/>
  <c r="W194" i="43"/>
  <c r="Y194" i="43"/>
  <c r="C194" i="43"/>
  <c r="B194" i="43"/>
  <c r="H193" i="43"/>
  <c r="M193" i="43"/>
  <c r="I193" i="43"/>
  <c r="O193" i="43"/>
  <c r="G193" i="43"/>
  <c r="W193" i="43"/>
  <c r="Y193" i="43"/>
  <c r="C193" i="43"/>
  <c r="B193" i="43"/>
  <c r="H192" i="43"/>
  <c r="M192" i="43"/>
  <c r="I192" i="43"/>
  <c r="O192" i="43"/>
  <c r="G192" i="43"/>
  <c r="W192" i="43"/>
  <c r="Y192" i="43"/>
  <c r="C192" i="43"/>
  <c r="B192" i="43"/>
  <c r="H191" i="43"/>
  <c r="M191" i="43"/>
  <c r="I191" i="43"/>
  <c r="O191" i="43"/>
  <c r="G191" i="43"/>
  <c r="W191" i="43"/>
  <c r="Y191" i="43"/>
  <c r="C191" i="43"/>
  <c r="B191" i="43"/>
  <c r="H190" i="43"/>
  <c r="M190" i="43"/>
  <c r="I190" i="43"/>
  <c r="O190" i="43"/>
  <c r="G190" i="43"/>
  <c r="W190" i="43"/>
  <c r="Y190" i="43"/>
  <c r="C190" i="43"/>
  <c r="B190" i="43"/>
  <c r="H189" i="43"/>
  <c r="M189" i="43"/>
  <c r="I189" i="43"/>
  <c r="O189" i="43"/>
  <c r="G189" i="43"/>
  <c r="W189" i="43"/>
  <c r="Y189" i="43"/>
  <c r="C189" i="43"/>
  <c r="B189" i="43"/>
  <c r="H188" i="43"/>
  <c r="M188" i="43"/>
  <c r="I188" i="43"/>
  <c r="O188" i="43"/>
  <c r="G188" i="43"/>
  <c r="W188" i="43"/>
  <c r="Y188" i="43"/>
  <c r="C188" i="43"/>
  <c r="B188" i="43"/>
  <c r="H187" i="43"/>
  <c r="M187" i="43"/>
  <c r="I187" i="43"/>
  <c r="O187" i="43"/>
  <c r="G187" i="43"/>
  <c r="W187" i="43"/>
  <c r="Y187" i="43"/>
  <c r="C187" i="43"/>
  <c r="B187" i="43"/>
  <c r="H186" i="43"/>
  <c r="M186" i="43"/>
  <c r="I186" i="43"/>
  <c r="O186" i="43"/>
  <c r="G186" i="43"/>
  <c r="W186" i="43"/>
  <c r="Y186" i="43"/>
  <c r="C186" i="43"/>
  <c r="B186" i="43"/>
  <c r="H185" i="43"/>
  <c r="M185" i="43"/>
  <c r="I185" i="43"/>
  <c r="O185" i="43"/>
  <c r="G185" i="43"/>
  <c r="W185" i="43"/>
  <c r="Y185" i="43"/>
  <c r="C185" i="43"/>
  <c r="B185" i="43"/>
  <c r="H184" i="43"/>
  <c r="M184" i="43"/>
  <c r="I184" i="43"/>
  <c r="O184" i="43"/>
  <c r="G184" i="43"/>
  <c r="W184" i="43"/>
  <c r="Y184" i="43"/>
  <c r="C184" i="43"/>
  <c r="B184" i="43"/>
  <c r="H183" i="43"/>
  <c r="M183" i="43"/>
  <c r="I183" i="43"/>
  <c r="O183" i="43"/>
  <c r="G183" i="43"/>
  <c r="W183" i="43"/>
  <c r="Y183" i="43"/>
  <c r="C183" i="43"/>
  <c r="B183" i="43"/>
  <c r="H182" i="43"/>
  <c r="M182" i="43"/>
  <c r="I182" i="43"/>
  <c r="O182" i="43"/>
  <c r="G182" i="43"/>
  <c r="W182" i="43"/>
  <c r="Y182" i="43"/>
  <c r="C182" i="43"/>
  <c r="B182" i="43"/>
  <c r="H181" i="43"/>
  <c r="M181" i="43"/>
  <c r="I181" i="43"/>
  <c r="O181" i="43"/>
  <c r="G181" i="43"/>
  <c r="W181" i="43"/>
  <c r="Y181" i="43"/>
  <c r="C181" i="43"/>
  <c r="B181" i="43"/>
  <c r="H180" i="43"/>
  <c r="M180" i="43"/>
  <c r="I180" i="43"/>
  <c r="O180" i="43"/>
  <c r="G180" i="43"/>
  <c r="W180" i="43"/>
  <c r="Y180" i="43"/>
  <c r="C180" i="43"/>
  <c r="B180" i="43"/>
  <c r="H179" i="43"/>
  <c r="M179" i="43"/>
  <c r="I179" i="43"/>
  <c r="O179" i="43"/>
  <c r="G179" i="43"/>
  <c r="W179" i="43"/>
  <c r="Y179" i="43"/>
  <c r="C179" i="43"/>
  <c r="B179" i="43"/>
  <c r="H178" i="43"/>
  <c r="M178" i="43"/>
  <c r="I178" i="43"/>
  <c r="O178" i="43"/>
  <c r="G178" i="43"/>
  <c r="W178" i="43"/>
  <c r="Y178" i="43"/>
  <c r="C178" i="43"/>
  <c r="B178" i="43"/>
  <c r="H177" i="43"/>
  <c r="M177" i="43"/>
  <c r="I177" i="43"/>
  <c r="O177" i="43"/>
  <c r="G177" i="43"/>
  <c r="W177" i="43"/>
  <c r="Y177" i="43"/>
  <c r="C177" i="43"/>
  <c r="B177" i="43"/>
  <c r="H176" i="43"/>
  <c r="M176" i="43"/>
  <c r="I176" i="43"/>
  <c r="O176" i="43"/>
  <c r="G176" i="43"/>
  <c r="W176" i="43"/>
  <c r="Y176" i="43"/>
  <c r="C176" i="43"/>
  <c r="B176" i="43"/>
  <c r="H175" i="43"/>
  <c r="M175" i="43"/>
  <c r="I175" i="43"/>
  <c r="O175" i="43"/>
  <c r="G175" i="43"/>
  <c r="W175" i="43"/>
  <c r="Y175" i="43"/>
  <c r="C175" i="43"/>
  <c r="B175" i="43"/>
  <c r="H174" i="43"/>
  <c r="M174" i="43"/>
  <c r="I174" i="43"/>
  <c r="O174" i="43"/>
  <c r="G174" i="43"/>
  <c r="W174" i="43"/>
  <c r="Y174" i="43"/>
  <c r="C174" i="43"/>
  <c r="B174" i="43"/>
  <c r="H173" i="43"/>
  <c r="M173" i="43"/>
  <c r="I173" i="43"/>
  <c r="O173" i="43"/>
  <c r="G173" i="43"/>
  <c r="W173" i="43"/>
  <c r="Y173" i="43"/>
  <c r="C173" i="43"/>
  <c r="B173" i="43"/>
  <c r="H172" i="43"/>
  <c r="M172" i="43"/>
  <c r="I172" i="43"/>
  <c r="O172" i="43"/>
  <c r="G172" i="43"/>
  <c r="W172" i="43"/>
  <c r="Y172" i="43"/>
  <c r="C172" i="43"/>
  <c r="B172" i="43"/>
  <c r="H171" i="43"/>
  <c r="M171" i="43"/>
  <c r="I171" i="43"/>
  <c r="O171" i="43"/>
  <c r="G171" i="43"/>
  <c r="W171" i="43"/>
  <c r="Y171" i="43"/>
  <c r="C171" i="43"/>
  <c r="B171" i="43"/>
  <c r="H170" i="43"/>
  <c r="M170" i="43"/>
  <c r="I170" i="43"/>
  <c r="O170" i="43"/>
  <c r="G170" i="43"/>
  <c r="W170" i="43"/>
  <c r="Y170" i="43"/>
  <c r="C170" i="43"/>
  <c r="B170" i="43"/>
  <c r="H169" i="43"/>
  <c r="M169" i="43"/>
  <c r="I169" i="43"/>
  <c r="O169" i="43"/>
  <c r="G169" i="43"/>
  <c r="W169" i="43"/>
  <c r="Y169" i="43"/>
  <c r="C169" i="43"/>
  <c r="B169" i="43"/>
  <c r="H168" i="43"/>
  <c r="M168" i="43"/>
  <c r="I168" i="43"/>
  <c r="O168" i="43"/>
  <c r="G168" i="43"/>
  <c r="W168" i="43"/>
  <c r="Y168" i="43"/>
  <c r="C168" i="43"/>
  <c r="B168" i="43"/>
  <c r="H167" i="43"/>
  <c r="M167" i="43"/>
  <c r="I167" i="43"/>
  <c r="O167" i="43"/>
  <c r="G167" i="43"/>
  <c r="W167" i="43"/>
  <c r="Y167" i="43"/>
  <c r="C167" i="43"/>
  <c r="B167" i="43"/>
  <c r="H166" i="43"/>
  <c r="M166" i="43"/>
  <c r="I166" i="43"/>
  <c r="O166" i="43"/>
  <c r="G166" i="43"/>
  <c r="W166" i="43"/>
  <c r="Y166" i="43"/>
  <c r="C166" i="43"/>
  <c r="B166" i="43"/>
  <c r="H165" i="43"/>
  <c r="M165" i="43"/>
  <c r="I165" i="43"/>
  <c r="O165" i="43"/>
  <c r="G165" i="43"/>
  <c r="W165" i="43"/>
  <c r="Y165" i="43"/>
  <c r="C165" i="43"/>
  <c r="B165" i="43"/>
  <c r="H164" i="43"/>
  <c r="M164" i="43"/>
  <c r="I164" i="43"/>
  <c r="O164" i="43"/>
  <c r="G164" i="43"/>
  <c r="W164" i="43"/>
  <c r="Y164" i="43"/>
  <c r="C164" i="43"/>
  <c r="B164" i="43"/>
  <c r="H163" i="43"/>
  <c r="M163" i="43"/>
  <c r="I163" i="43"/>
  <c r="O163" i="43"/>
  <c r="G163" i="43"/>
  <c r="W163" i="43"/>
  <c r="Y163" i="43"/>
  <c r="C163" i="43"/>
  <c r="B163" i="43"/>
  <c r="H162" i="43"/>
  <c r="M162" i="43"/>
  <c r="I162" i="43"/>
  <c r="O162" i="43"/>
  <c r="G162" i="43"/>
  <c r="W162" i="43"/>
  <c r="Y162" i="43"/>
  <c r="C162" i="43"/>
  <c r="B162" i="43"/>
  <c r="H161" i="43"/>
  <c r="M161" i="43"/>
  <c r="I161" i="43"/>
  <c r="O161" i="43"/>
  <c r="G161" i="43"/>
  <c r="W161" i="43"/>
  <c r="Y161" i="43"/>
  <c r="C161" i="43"/>
  <c r="B161" i="43"/>
  <c r="H160" i="43"/>
  <c r="M160" i="43"/>
  <c r="I160" i="43"/>
  <c r="O160" i="43"/>
  <c r="G160" i="43"/>
  <c r="W160" i="43"/>
  <c r="Y160" i="43"/>
  <c r="C160" i="43"/>
  <c r="B160" i="43"/>
  <c r="H159" i="43"/>
  <c r="M159" i="43"/>
  <c r="I159" i="43"/>
  <c r="O159" i="43"/>
  <c r="G159" i="43"/>
  <c r="W159" i="43"/>
  <c r="Y159" i="43"/>
  <c r="C159" i="43"/>
  <c r="B159" i="43"/>
  <c r="H158" i="43"/>
  <c r="M158" i="43"/>
  <c r="I158" i="43"/>
  <c r="O158" i="43"/>
  <c r="G158" i="43"/>
  <c r="W158" i="43"/>
  <c r="Y158" i="43"/>
  <c r="C158" i="43"/>
  <c r="B158" i="43"/>
  <c r="H157" i="43"/>
  <c r="M157" i="43"/>
  <c r="I157" i="43"/>
  <c r="O157" i="43"/>
  <c r="G157" i="43"/>
  <c r="W157" i="43"/>
  <c r="Y157" i="43"/>
  <c r="C157" i="43"/>
  <c r="B157" i="43"/>
  <c r="H156" i="43"/>
  <c r="M156" i="43"/>
  <c r="I156" i="43"/>
  <c r="O156" i="43"/>
  <c r="G156" i="43"/>
  <c r="W156" i="43"/>
  <c r="Y156" i="43"/>
  <c r="C156" i="43"/>
  <c r="B156" i="43"/>
  <c r="H155" i="43"/>
  <c r="M155" i="43"/>
  <c r="I155" i="43"/>
  <c r="O155" i="43"/>
  <c r="G155" i="43"/>
  <c r="W155" i="43"/>
  <c r="Y155" i="43"/>
  <c r="C155" i="43"/>
  <c r="B155" i="43"/>
  <c r="H154" i="43"/>
  <c r="M154" i="43"/>
  <c r="I154" i="43"/>
  <c r="O154" i="43"/>
  <c r="G154" i="43"/>
  <c r="W154" i="43"/>
  <c r="Y154" i="43"/>
  <c r="C154" i="43"/>
  <c r="B154" i="43"/>
  <c r="H153" i="43"/>
  <c r="M153" i="43"/>
  <c r="I153" i="43"/>
  <c r="O153" i="43"/>
  <c r="G153" i="43"/>
  <c r="W153" i="43"/>
  <c r="Y153" i="43"/>
  <c r="C153" i="43"/>
  <c r="B153" i="43"/>
  <c r="H152" i="43"/>
  <c r="M152" i="43"/>
  <c r="I152" i="43"/>
  <c r="O152" i="43"/>
  <c r="G152" i="43"/>
  <c r="W152" i="43"/>
  <c r="Y152" i="43"/>
  <c r="C152" i="43"/>
  <c r="B152" i="43"/>
  <c r="H151" i="43"/>
  <c r="M151" i="43"/>
  <c r="I151" i="43"/>
  <c r="O151" i="43"/>
  <c r="G151" i="43"/>
  <c r="W151" i="43"/>
  <c r="Y151" i="43"/>
  <c r="C151" i="43"/>
  <c r="B151" i="43"/>
  <c r="H150" i="43"/>
  <c r="M150" i="43"/>
  <c r="I150" i="43"/>
  <c r="O150" i="43"/>
  <c r="G150" i="43"/>
  <c r="W150" i="43"/>
  <c r="Y150" i="43"/>
  <c r="C150" i="43"/>
  <c r="B150" i="43"/>
  <c r="H149" i="43"/>
  <c r="M149" i="43"/>
  <c r="I149" i="43"/>
  <c r="O149" i="43"/>
  <c r="G149" i="43"/>
  <c r="W149" i="43"/>
  <c r="Y149" i="43"/>
  <c r="C149" i="43"/>
  <c r="B149" i="43"/>
  <c r="H148" i="43"/>
  <c r="M148" i="43"/>
  <c r="I148" i="43"/>
  <c r="O148" i="43"/>
  <c r="G148" i="43"/>
  <c r="W148" i="43"/>
  <c r="Y148" i="43"/>
  <c r="C148" i="43"/>
  <c r="B148" i="43"/>
  <c r="H147" i="43"/>
  <c r="M147" i="43"/>
  <c r="I147" i="43"/>
  <c r="O147" i="43"/>
  <c r="G147" i="43"/>
  <c r="W147" i="43"/>
  <c r="Y147" i="43"/>
  <c r="C147" i="43"/>
  <c r="B147" i="43"/>
  <c r="H146" i="43"/>
  <c r="M146" i="43"/>
  <c r="I146" i="43"/>
  <c r="O146" i="43"/>
  <c r="G146" i="43"/>
  <c r="W146" i="43"/>
  <c r="Y146" i="43"/>
  <c r="C146" i="43"/>
  <c r="B146" i="43"/>
  <c r="H145" i="43"/>
  <c r="M145" i="43"/>
  <c r="I145" i="43"/>
  <c r="O145" i="43"/>
  <c r="G145" i="43"/>
  <c r="W145" i="43"/>
  <c r="Y145" i="43"/>
  <c r="C145" i="43"/>
  <c r="B145" i="43"/>
  <c r="H144" i="43"/>
  <c r="M144" i="43"/>
  <c r="I144" i="43"/>
  <c r="O144" i="43"/>
  <c r="G144" i="43"/>
  <c r="W144" i="43"/>
  <c r="Y144" i="43"/>
  <c r="C144" i="43"/>
  <c r="B144" i="43"/>
  <c r="H143" i="43"/>
  <c r="M143" i="43"/>
  <c r="I143" i="43"/>
  <c r="O143" i="43"/>
  <c r="G143" i="43"/>
  <c r="W143" i="43"/>
  <c r="Y143" i="43"/>
  <c r="C143" i="43"/>
  <c r="B143" i="43"/>
  <c r="H142" i="43"/>
  <c r="M142" i="43"/>
  <c r="I142" i="43"/>
  <c r="O142" i="43"/>
  <c r="G142" i="43"/>
  <c r="W142" i="43"/>
  <c r="Y142" i="43"/>
  <c r="C142" i="43"/>
  <c r="B142" i="43"/>
  <c r="H141" i="43"/>
  <c r="M141" i="43"/>
  <c r="I141" i="43"/>
  <c r="O141" i="43"/>
  <c r="G141" i="43"/>
  <c r="W141" i="43"/>
  <c r="Y141" i="43"/>
  <c r="C141" i="43"/>
  <c r="B141" i="43"/>
  <c r="H140" i="43"/>
  <c r="M140" i="43"/>
  <c r="I140" i="43"/>
  <c r="O140" i="43"/>
  <c r="G140" i="43"/>
  <c r="W140" i="43"/>
  <c r="Y140" i="43"/>
  <c r="C140" i="43"/>
  <c r="B140" i="43"/>
  <c r="H139" i="43"/>
  <c r="M139" i="43"/>
  <c r="I139" i="43"/>
  <c r="O139" i="43"/>
  <c r="G139" i="43"/>
  <c r="W139" i="43"/>
  <c r="Y139" i="43"/>
  <c r="C139" i="43"/>
  <c r="B139" i="43"/>
  <c r="H138" i="43"/>
  <c r="M138" i="43"/>
  <c r="I138" i="43"/>
  <c r="O138" i="43"/>
  <c r="G138" i="43"/>
  <c r="W138" i="43"/>
  <c r="Y138" i="43"/>
  <c r="C138" i="43"/>
  <c r="B138" i="43"/>
  <c r="H137" i="43"/>
  <c r="M137" i="43"/>
  <c r="I137" i="43"/>
  <c r="O137" i="43"/>
  <c r="G137" i="43"/>
  <c r="W137" i="43"/>
  <c r="Y137" i="43"/>
  <c r="C137" i="43"/>
  <c r="B137" i="43"/>
  <c r="H136" i="43"/>
  <c r="M136" i="43"/>
  <c r="I136" i="43"/>
  <c r="O136" i="43"/>
  <c r="G136" i="43"/>
  <c r="W136" i="43"/>
  <c r="Y136" i="43"/>
  <c r="C136" i="43"/>
  <c r="B136" i="43"/>
  <c r="H135" i="43"/>
  <c r="M135" i="43"/>
  <c r="I135" i="43"/>
  <c r="O135" i="43"/>
  <c r="G135" i="43"/>
  <c r="W135" i="43"/>
  <c r="Y135" i="43"/>
  <c r="C135" i="43"/>
  <c r="B135" i="43"/>
  <c r="H134" i="43"/>
  <c r="M134" i="43"/>
  <c r="I134" i="43"/>
  <c r="O134" i="43"/>
  <c r="G134" i="43"/>
  <c r="W134" i="43"/>
  <c r="Y134" i="43"/>
  <c r="C134" i="43"/>
  <c r="B134" i="43"/>
  <c r="H133" i="43"/>
  <c r="M133" i="43"/>
  <c r="I133" i="43"/>
  <c r="O133" i="43"/>
  <c r="G133" i="43"/>
  <c r="W133" i="43"/>
  <c r="Y133" i="43"/>
  <c r="C133" i="43"/>
  <c r="B133" i="43"/>
  <c r="M132" i="43"/>
  <c r="I132" i="43"/>
  <c r="O132" i="43"/>
  <c r="G132" i="43"/>
  <c r="W132" i="43"/>
  <c r="Y132" i="43"/>
  <c r="C132" i="43"/>
  <c r="B132" i="43"/>
  <c r="H131" i="43"/>
  <c r="M131" i="43"/>
  <c r="I131" i="43"/>
  <c r="O131" i="43"/>
  <c r="G131" i="43"/>
  <c r="W131" i="43"/>
  <c r="Y131" i="43"/>
  <c r="C131" i="43"/>
  <c r="B131" i="43"/>
  <c r="H130" i="43"/>
  <c r="M130" i="43"/>
  <c r="I130" i="43"/>
  <c r="O130" i="43"/>
  <c r="G130" i="43"/>
  <c r="W130" i="43"/>
  <c r="Y130" i="43"/>
  <c r="C130" i="43"/>
  <c r="B130" i="43"/>
  <c r="H129" i="43"/>
  <c r="M129" i="43"/>
  <c r="I129" i="43"/>
  <c r="O129" i="43"/>
  <c r="G129" i="43"/>
  <c r="W129" i="43"/>
  <c r="Y129" i="43"/>
  <c r="C129" i="43"/>
  <c r="B129" i="43"/>
  <c r="H128" i="43"/>
  <c r="M128" i="43"/>
  <c r="I128" i="43"/>
  <c r="O128" i="43"/>
  <c r="G128" i="43"/>
  <c r="W128" i="43"/>
  <c r="Y128" i="43"/>
  <c r="C128" i="43"/>
  <c r="B128" i="43"/>
  <c r="H127" i="43"/>
  <c r="M127" i="43"/>
  <c r="I127" i="43"/>
  <c r="O127" i="43"/>
  <c r="G127" i="43"/>
  <c r="W127" i="43"/>
  <c r="Y127" i="43"/>
  <c r="C127" i="43"/>
  <c r="B127" i="43"/>
  <c r="H126" i="43"/>
  <c r="M126" i="43"/>
  <c r="I126" i="43"/>
  <c r="O126" i="43"/>
  <c r="G126" i="43"/>
  <c r="W126" i="43"/>
  <c r="Y126" i="43"/>
  <c r="C126" i="43"/>
  <c r="B126" i="43"/>
  <c r="H125" i="43"/>
  <c r="M125" i="43"/>
  <c r="I125" i="43"/>
  <c r="O125" i="43"/>
  <c r="G125" i="43"/>
  <c r="W125" i="43"/>
  <c r="Y125" i="43"/>
  <c r="C125" i="43"/>
  <c r="B125" i="43"/>
  <c r="H124" i="43"/>
  <c r="M124" i="43"/>
  <c r="I124" i="43"/>
  <c r="O124" i="43"/>
  <c r="G124" i="43"/>
  <c r="W124" i="43"/>
  <c r="Y124" i="43"/>
  <c r="C124" i="43"/>
  <c r="B124" i="43"/>
  <c r="H123" i="43"/>
  <c r="M123" i="43"/>
  <c r="I123" i="43"/>
  <c r="O123" i="43"/>
  <c r="G123" i="43"/>
  <c r="W123" i="43"/>
  <c r="Y123" i="43"/>
  <c r="C123" i="43"/>
  <c r="B123" i="43"/>
  <c r="H122" i="43"/>
  <c r="M122" i="43"/>
  <c r="I122" i="43"/>
  <c r="O122" i="43"/>
  <c r="G122" i="43"/>
  <c r="W122" i="43"/>
  <c r="Y122" i="43"/>
  <c r="C122" i="43"/>
  <c r="B122" i="43"/>
  <c r="H121" i="43"/>
  <c r="M121" i="43"/>
  <c r="I121" i="43"/>
  <c r="O121" i="43"/>
  <c r="G121" i="43"/>
  <c r="W121" i="43"/>
  <c r="Y121" i="43"/>
  <c r="C121" i="43"/>
  <c r="B121" i="43"/>
  <c r="H120" i="43"/>
  <c r="M120" i="43"/>
  <c r="I120" i="43"/>
  <c r="O120" i="43"/>
  <c r="G120" i="43"/>
  <c r="W120" i="43"/>
  <c r="Y120" i="43"/>
  <c r="C120" i="43"/>
  <c r="B120" i="43"/>
  <c r="H119" i="43"/>
  <c r="M119" i="43"/>
  <c r="I119" i="43"/>
  <c r="O119" i="43"/>
  <c r="G119" i="43"/>
  <c r="W119" i="43"/>
  <c r="Y119" i="43"/>
  <c r="C119" i="43"/>
  <c r="B119" i="43"/>
  <c r="H118" i="43"/>
  <c r="M118" i="43"/>
  <c r="I118" i="43"/>
  <c r="O118" i="43"/>
  <c r="G118" i="43"/>
  <c r="W118" i="43"/>
  <c r="Y118" i="43"/>
  <c r="C118" i="43"/>
  <c r="B118" i="43"/>
  <c r="H117" i="43"/>
  <c r="M117" i="43"/>
  <c r="I117" i="43"/>
  <c r="O117" i="43"/>
  <c r="G117" i="43"/>
  <c r="W117" i="43"/>
  <c r="Y117" i="43"/>
  <c r="C117" i="43"/>
  <c r="B117" i="43"/>
  <c r="H116" i="43"/>
  <c r="M116" i="43"/>
  <c r="I116" i="43"/>
  <c r="O116" i="43"/>
  <c r="G116" i="43"/>
  <c r="W116" i="43"/>
  <c r="Y116" i="43"/>
  <c r="C116" i="43"/>
  <c r="B116" i="43"/>
  <c r="H115" i="43"/>
  <c r="M115" i="43"/>
  <c r="I115" i="43"/>
  <c r="O115" i="43"/>
  <c r="G115" i="43"/>
  <c r="W115" i="43"/>
  <c r="Y115" i="43"/>
  <c r="C115" i="43"/>
  <c r="B115" i="43"/>
  <c r="H114" i="43"/>
  <c r="M114" i="43"/>
  <c r="I114" i="43"/>
  <c r="O114" i="43"/>
  <c r="G114" i="43"/>
  <c r="W114" i="43"/>
  <c r="Y114" i="43"/>
  <c r="C114" i="43"/>
  <c r="B114" i="43"/>
  <c r="H113" i="43"/>
  <c r="M113" i="43"/>
  <c r="I113" i="43"/>
  <c r="O113" i="43"/>
  <c r="G113" i="43"/>
  <c r="W113" i="43"/>
  <c r="Y113" i="43"/>
  <c r="C113" i="43"/>
  <c r="B113" i="43"/>
  <c r="H112" i="43"/>
  <c r="M112" i="43"/>
  <c r="I112" i="43"/>
  <c r="O112" i="43"/>
  <c r="G112" i="43"/>
  <c r="W112" i="43"/>
  <c r="Y112" i="43"/>
  <c r="C112" i="43"/>
  <c r="B112" i="43"/>
  <c r="H111" i="43"/>
  <c r="M111" i="43"/>
  <c r="I111" i="43"/>
  <c r="O111" i="43"/>
  <c r="G111" i="43"/>
  <c r="W111" i="43"/>
  <c r="Y111" i="43"/>
  <c r="C111" i="43"/>
  <c r="B111" i="43"/>
  <c r="H110" i="43"/>
  <c r="M110" i="43"/>
  <c r="I110" i="43"/>
  <c r="O110" i="43"/>
  <c r="G110" i="43"/>
  <c r="W110" i="43"/>
  <c r="Y110" i="43"/>
  <c r="C110" i="43"/>
  <c r="B110" i="43"/>
  <c r="H109" i="43"/>
  <c r="M109" i="43"/>
  <c r="I109" i="43"/>
  <c r="O109" i="43"/>
  <c r="G109" i="43"/>
  <c r="W109" i="43"/>
  <c r="Y109" i="43"/>
  <c r="C109" i="43"/>
  <c r="B109" i="43"/>
  <c r="H108" i="43"/>
  <c r="M108" i="43"/>
  <c r="I108" i="43"/>
  <c r="O108" i="43"/>
  <c r="G108" i="43"/>
  <c r="W108" i="43"/>
  <c r="Y108" i="43"/>
  <c r="C108" i="43"/>
  <c r="B108" i="43"/>
  <c r="H107" i="43"/>
  <c r="M107" i="43"/>
  <c r="I107" i="43"/>
  <c r="O107" i="43"/>
  <c r="G107" i="43"/>
  <c r="W107" i="43"/>
  <c r="Y107" i="43"/>
  <c r="C107" i="43"/>
  <c r="B107" i="43"/>
  <c r="H106" i="43"/>
  <c r="M106" i="43"/>
  <c r="I106" i="43"/>
  <c r="O106" i="43"/>
  <c r="G106" i="43"/>
  <c r="W106" i="43"/>
  <c r="Y106" i="43"/>
  <c r="C106" i="43"/>
  <c r="B106" i="43"/>
  <c r="H105" i="43"/>
  <c r="M105" i="43"/>
  <c r="I105" i="43"/>
  <c r="O105" i="43"/>
  <c r="G105" i="43"/>
  <c r="W105" i="43"/>
  <c r="Y105" i="43"/>
  <c r="C105" i="43"/>
  <c r="B105" i="43"/>
  <c r="H104" i="43"/>
  <c r="M104" i="43"/>
  <c r="I104" i="43"/>
  <c r="O104" i="43"/>
  <c r="G104" i="43"/>
  <c r="W104" i="43"/>
  <c r="Y104" i="43"/>
  <c r="C104" i="43"/>
  <c r="B104" i="43"/>
  <c r="H103" i="43"/>
  <c r="M103" i="43"/>
  <c r="I103" i="43"/>
  <c r="O103" i="43"/>
  <c r="G103" i="43"/>
  <c r="W103" i="43"/>
  <c r="Y103" i="43"/>
  <c r="C103" i="43"/>
  <c r="B103" i="43"/>
  <c r="H102" i="43"/>
  <c r="M102" i="43"/>
  <c r="I102" i="43"/>
  <c r="O102" i="43"/>
  <c r="G102" i="43"/>
  <c r="W102" i="43"/>
  <c r="Y102" i="43"/>
  <c r="C102" i="43"/>
  <c r="B102" i="43"/>
  <c r="H101" i="43"/>
  <c r="M101" i="43"/>
  <c r="I101" i="43"/>
  <c r="O101" i="43"/>
  <c r="G101" i="43"/>
  <c r="W101" i="43"/>
  <c r="Y101" i="43"/>
  <c r="C101" i="43"/>
  <c r="B101" i="43"/>
  <c r="H100" i="43"/>
  <c r="M100" i="43"/>
  <c r="I100" i="43"/>
  <c r="O100" i="43"/>
  <c r="G100" i="43"/>
  <c r="W100" i="43"/>
  <c r="Y100" i="43"/>
  <c r="C100" i="43"/>
  <c r="B100" i="43"/>
  <c r="H99" i="43"/>
  <c r="M99" i="43"/>
  <c r="I99" i="43"/>
  <c r="O99" i="43"/>
  <c r="G99" i="43"/>
  <c r="W99" i="43"/>
  <c r="Y99" i="43"/>
  <c r="C99" i="43"/>
  <c r="B99" i="43"/>
  <c r="H98" i="43"/>
  <c r="M98" i="43"/>
  <c r="I98" i="43"/>
  <c r="O98" i="43"/>
  <c r="G98" i="43"/>
  <c r="W98" i="43"/>
  <c r="Y98" i="43"/>
  <c r="C98" i="43"/>
  <c r="B98" i="43"/>
  <c r="H97" i="43"/>
  <c r="M97" i="43"/>
  <c r="I97" i="43"/>
  <c r="O97" i="43"/>
  <c r="G97" i="43"/>
  <c r="W97" i="43"/>
  <c r="Y97" i="43"/>
  <c r="C97" i="43"/>
  <c r="B97" i="43"/>
  <c r="H96" i="43"/>
  <c r="M96" i="43"/>
  <c r="I96" i="43"/>
  <c r="O96" i="43"/>
  <c r="G96" i="43"/>
  <c r="W96" i="43"/>
  <c r="Y96" i="43"/>
  <c r="C96" i="43"/>
  <c r="B96" i="43"/>
  <c r="H95" i="43"/>
  <c r="M95" i="43"/>
  <c r="I95" i="43"/>
  <c r="O95" i="43"/>
  <c r="G95" i="43"/>
  <c r="W95" i="43"/>
  <c r="Y95" i="43"/>
  <c r="C95" i="43"/>
  <c r="B95" i="43"/>
  <c r="H94" i="43"/>
  <c r="M94" i="43"/>
  <c r="I94" i="43"/>
  <c r="O94" i="43"/>
  <c r="G94" i="43"/>
  <c r="W94" i="43"/>
  <c r="Y94" i="43"/>
  <c r="C94" i="43"/>
  <c r="B94" i="43"/>
  <c r="H93" i="43"/>
  <c r="M93" i="43"/>
  <c r="I93" i="43"/>
  <c r="O93" i="43"/>
  <c r="G93" i="43"/>
  <c r="W93" i="43"/>
  <c r="Y93" i="43"/>
  <c r="C93" i="43"/>
  <c r="B93" i="43"/>
  <c r="H92" i="43"/>
  <c r="M92" i="43"/>
  <c r="I92" i="43"/>
  <c r="O92" i="43"/>
  <c r="G92" i="43"/>
  <c r="W92" i="43"/>
  <c r="Y92" i="43"/>
  <c r="C92" i="43"/>
  <c r="B92" i="43"/>
  <c r="H91" i="43"/>
  <c r="M91" i="43"/>
  <c r="I91" i="43"/>
  <c r="O91" i="43"/>
  <c r="G91" i="43"/>
  <c r="W91" i="43"/>
  <c r="Y91" i="43"/>
  <c r="C91" i="43"/>
  <c r="B91" i="43"/>
  <c r="H90" i="43"/>
  <c r="M90" i="43"/>
  <c r="I90" i="43"/>
  <c r="O90" i="43"/>
  <c r="G90" i="43"/>
  <c r="W90" i="43"/>
  <c r="Y90" i="43"/>
  <c r="C90" i="43"/>
  <c r="B90" i="43"/>
  <c r="H89" i="43"/>
  <c r="M89" i="43"/>
  <c r="I89" i="43"/>
  <c r="O89" i="43"/>
  <c r="G89" i="43"/>
  <c r="W89" i="43"/>
  <c r="Y89" i="43"/>
  <c r="C89" i="43"/>
  <c r="B89" i="43"/>
  <c r="H88" i="43"/>
  <c r="M88" i="43"/>
  <c r="I88" i="43"/>
  <c r="O88" i="43"/>
  <c r="G88" i="43"/>
  <c r="W88" i="43"/>
  <c r="Y88" i="43"/>
  <c r="C88" i="43"/>
  <c r="B88" i="43"/>
  <c r="H87" i="43"/>
  <c r="M87" i="43"/>
  <c r="I87" i="43"/>
  <c r="O87" i="43"/>
  <c r="G87" i="43"/>
  <c r="W87" i="43"/>
  <c r="Y87" i="43"/>
  <c r="C87" i="43"/>
  <c r="B87" i="43"/>
  <c r="H86" i="43"/>
  <c r="M86" i="43"/>
  <c r="I86" i="43"/>
  <c r="O86" i="43"/>
  <c r="G86" i="43"/>
  <c r="W86" i="43"/>
  <c r="Y86" i="43"/>
  <c r="C86" i="43"/>
  <c r="B86" i="43"/>
  <c r="H85" i="43"/>
  <c r="M85" i="43"/>
  <c r="I85" i="43"/>
  <c r="O85" i="43"/>
  <c r="G85" i="43"/>
  <c r="W85" i="43"/>
  <c r="Y85" i="43"/>
  <c r="C85" i="43"/>
  <c r="B85" i="43"/>
  <c r="H84" i="43"/>
  <c r="M84" i="43"/>
  <c r="I84" i="43"/>
  <c r="O84" i="43"/>
  <c r="G84" i="43"/>
  <c r="W84" i="43"/>
  <c r="Y84" i="43"/>
  <c r="C84" i="43"/>
  <c r="B84" i="43"/>
  <c r="H83" i="43"/>
  <c r="M83" i="43"/>
  <c r="I83" i="43"/>
  <c r="O83" i="43"/>
  <c r="G83" i="43"/>
  <c r="W83" i="43"/>
  <c r="Y83" i="43"/>
  <c r="C83" i="43"/>
  <c r="B83" i="43"/>
  <c r="H82" i="43"/>
  <c r="M82" i="43"/>
  <c r="I82" i="43"/>
  <c r="O82" i="43"/>
  <c r="G82" i="43"/>
  <c r="W82" i="43"/>
  <c r="Y82" i="43"/>
  <c r="C82" i="43"/>
  <c r="B82" i="43"/>
  <c r="H81" i="43"/>
  <c r="M81" i="43"/>
  <c r="I81" i="43"/>
  <c r="O81" i="43"/>
  <c r="G81" i="43"/>
  <c r="W81" i="43"/>
  <c r="Y81" i="43"/>
  <c r="C81" i="43"/>
  <c r="B81" i="43"/>
  <c r="H80" i="43"/>
  <c r="M80" i="43"/>
  <c r="I80" i="43"/>
  <c r="O80" i="43"/>
  <c r="G80" i="43"/>
  <c r="W80" i="43"/>
  <c r="Y80" i="43"/>
  <c r="C80" i="43"/>
  <c r="B80" i="43"/>
  <c r="H79" i="43"/>
  <c r="M79" i="43"/>
  <c r="I79" i="43"/>
  <c r="O79" i="43"/>
  <c r="G79" i="43"/>
  <c r="W79" i="43"/>
  <c r="Y79" i="43"/>
  <c r="C79" i="43"/>
  <c r="B79" i="43"/>
  <c r="H78" i="43"/>
  <c r="M78" i="43"/>
  <c r="I78" i="43"/>
  <c r="O78" i="43"/>
  <c r="G78" i="43"/>
  <c r="W78" i="43"/>
  <c r="Y78" i="43"/>
  <c r="C78" i="43"/>
  <c r="B78" i="43"/>
  <c r="H77" i="43"/>
  <c r="M77" i="43"/>
  <c r="I77" i="43"/>
  <c r="O77" i="43"/>
  <c r="G77" i="43"/>
  <c r="W77" i="43"/>
  <c r="Y77" i="43"/>
  <c r="C77" i="43"/>
  <c r="B77" i="43"/>
  <c r="H76" i="43"/>
  <c r="M76" i="43"/>
  <c r="I76" i="43"/>
  <c r="O76" i="43"/>
  <c r="G76" i="43"/>
  <c r="W76" i="43"/>
  <c r="Y76" i="43"/>
  <c r="C76" i="43"/>
  <c r="B76" i="43"/>
  <c r="P77" i="37"/>
  <c r="P78" i="37"/>
  <c r="P79" i="37"/>
  <c r="P80" i="37"/>
  <c r="P81" i="37"/>
  <c r="P82" i="37"/>
  <c r="P83" i="37"/>
  <c r="P84" i="37"/>
  <c r="P85" i="37"/>
  <c r="P86" i="37"/>
  <c r="P87" i="37"/>
  <c r="P88" i="37"/>
  <c r="P89" i="37"/>
  <c r="P90" i="37"/>
  <c r="P91" i="37"/>
  <c r="P92" i="37"/>
  <c r="P93" i="37"/>
  <c r="P94" i="37"/>
  <c r="P95" i="37"/>
  <c r="P96" i="37"/>
  <c r="P97" i="37"/>
  <c r="P98" i="37"/>
  <c r="P99" i="37"/>
  <c r="P100" i="37"/>
  <c r="P101" i="37"/>
  <c r="P102" i="37"/>
  <c r="P103" i="37"/>
  <c r="P104" i="37"/>
  <c r="P105" i="37"/>
  <c r="P106" i="37"/>
  <c r="P107" i="37"/>
  <c r="P108" i="37"/>
  <c r="P109" i="37"/>
  <c r="P110" i="37"/>
  <c r="P111" i="37"/>
  <c r="P112" i="37"/>
  <c r="P113" i="37"/>
  <c r="P114" i="37"/>
  <c r="P115" i="37"/>
  <c r="P116" i="37"/>
  <c r="P117" i="37"/>
  <c r="P118" i="37"/>
  <c r="P119" i="37"/>
  <c r="P120" i="37"/>
  <c r="P121" i="37"/>
  <c r="P122" i="37"/>
  <c r="P123" i="37"/>
  <c r="P124" i="37"/>
  <c r="P125" i="37"/>
  <c r="P126" i="37"/>
  <c r="P127" i="37"/>
  <c r="P128" i="37"/>
  <c r="P129" i="37"/>
  <c r="P130" i="37"/>
  <c r="P131" i="37"/>
  <c r="P132" i="37"/>
  <c r="P133" i="37"/>
  <c r="P134" i="37"/>
  <c r="P135" i="37"/>
  <c r="P136" i="37"/>
  <c r="P137" i="37"/>
  <c r="P138" i="37"/>
  <c r="P139" i="37"/>
  <c r="P140" i="37"/>
  <c r="P141" i="37"/>
  <c r="P142" i="37"/>
  <c r="P143" i="37"/>
  <c r="P144" i="37"/>
  <c r="P145" i="37"/>
  <c r="P146" i="37"/>
  <c r="P147" i="37"/>
  <c r="P148" i="37"/>
  <c r="P149" i="37"/>
  <c r="P150" i="37"/>
  <c r="P151" i="37"/>
  <c r="P152" i="37"/>
  <c r="P153" i="37"/>
  <c r="P154" i="37"/>
  <c r="P155" i="37"/>
  <c r="P156" i="37"/>
  <c r="P157" i="37"/>
  <c r="P158" i="37"/>
  <c r="P159" i="37"/>
  <c r="P160" i="37"/>
  <c r="P161" i="37"/>
  <c r="P162" i="37"/>
  <c r="P163" i="37"/>
  <c r="P164" i="37"/>
  <c r="P165" i="37"/>
  <c r="P166" i="37"/>
  <c r="P167" i="37"/>
  <c r="P168" i="37"/>
  <c r="P169" i="37"/>
  <c r="P170" i="37"/>
  <c r="P171" i="37"/>
  <c r="P172" i="37"/>
  <c r="P173" i="37"/>
  <c r="P174" i="37"/>
  <c r="P175" i="37"/>
  <c r="P176" i="37"/>
  <c r="P177" i="37"/>
  <c r="P178" i="37"/>
  <c r="P179" i="37"/>
  <c r="P180" i="37"/>
  <c r="P181" i="37"/>
  <c r="P182" i="37"/>
  <c r="P183" i="37"/>
  <c r="P184" i="37"/>
  <c r="P185" i="37"/>
  <c r="P186" i="37"/>
  <c r="P187" i="37"/>
  <c r="P188" i="37"/>
  <c r="P189" i="37"/>
  <c r="P190" i="37"/>
  <c r="P191" i="37"/>
  <c r="P192" i="37"/>
  <c r="P193" i="37"/>
  <c r="P194" i="37"/>
  <c r="P195" i="37"/>
  <c r="P196" i="37"/>
  <c r="P197" i="37"/>
  <c r="P198" i="37"/>
  <c r="P199" i="37"/>
  <c r="P200" i="37"/>
  <c r="P201" i="37"/>
  <c r="P202" i="37"/>
  <c r="P203" i="37"/>
  <c r="P204" i="37"/>
  <c r="P205" i="37"/>
  <c r="P206" i="37"/>
  <c r="P207" i="37"/>
  <c r="P208" i="37"/>
  <c r="P209" i="37"/>
  <c r="P210" i="37"/>
  <c r="P211" i="37"/>
  <c r="P212" i="37"/>
  <c r="P213" i="37"/>
  <c r="P214" i="37"/>
  <c r="P215" i="37"/>
  <c r="P216" i="37"/>
  <c r="P217" i="37"/>
  <c r="P218" i="37"/>
  <c r="P219" i="37"/>
  <c r="P220" i="37"/>
  <c r="P221" i="37"/>
  <c r="P222" i="37"/>
  <c r="P223" i="37"/>
  <c r="P224" i="37"/>
  <c r="P225" i="37"/>
  <c r="P226" i="37"/>
  <c r="P227" i="37"/>
  <c r="P228" i="37"/>
  <c r="P229" i="37"/>
  <c r="P230" i="37"/>
  <c r="P231" i="37"/>
  <c r="P232" i="37"/>
  <c r="P233" i="37"/>
  <c r="P234" i="37"/>
  <c r="P235" i="37"/>
  <c r="P236" i="37"/>
  <c r="P237" i="37"/>
  <c r="P238" i="37"/>
  <c r="P239" i="37"/>
  <c r="P240" i="37"/>
  <c r="P241" i="37"/>
  <c r="P242" i="37"/>
  <c r="P243" i="37"/>
  <c r="P244" i="37"/>
  <c r="P245" i="37"/>
  <c r="P246" i="37"/>
  <c r="P247" i="37"/>
  <c r="P248" i="37"/>
  <c r="P249" i="37"/>
  <c r="P250" i="37"/>
  <c r="P251" i="37"/>
  <c r="P252" i="37"/>
  <c r="P253" i="37"/>
  <c r="P254" i="37"/>
  <c r="P255" i="37"/>
  <c r="P256" i="37"/>
  <c r="P257" i="37"/>
  <c r="P258" i="37"/>
  <c r="P259" i="37"/>
  <c r="P260" i="37"/>
  <c r="P261" i="37"/>
  <c r="P262" i="37"/>
  <c r="P263" i="37"/>
  <c r="P264" i="37"/>
  <c r="P265" i="37"/>
  <c r="P266" i="37"/>
  <c r="P267" i="37"/>
  <c r="P268" i="37"/>
  <c r="P269" i="37"/>
  <c r="P270" i="37"/>
  <c r="P271" i="37"/>
  <c r="P272" i="37"/>
  <c r="P273" i="37"/>
  <c r="P274" i="37"/>
  <c r="P275" i="37"/>
  <c r="P276" i="37"/>
  <c r="P277" i="37"/>
  <c r="P278" i="37"/>
  <c r="P279" i="37"/>
  <c r="P280" i="37"/>
  <c r="P281" i="37"/>
  <c r="P282" i="37"/>
  <c r="P283" i="37"/>
  <c r="P284" i="37"/>
  <c r="P285" i="37"/>
  <c r="P286" i="37"/>
  <c r="P287" i="37"/>
  <c r="P288" i="37"/>
  <c r="P289" i="37"/>
  <c r="P290" i="37"/>
  <c r="P291" i="37"/>
  <c r="P292" i="37"/>
  <c r="P293" i="37"/>
  <c r="P294" i="37"/>
  <c r="P295" i="37"/>
  <c r="P296" i="37"/>
  <c r="P297" i="37"/>
  <c r="P298" i="37"/>
  <c r="P299" i="37"/>
  <c r="P300" i="37"/>
  <c r="P301" i="37"/>
  <c r="P302" i="37"/>
  <c r="P303" i="37"/>
  <c r="P304" i="37"/>
  <c r="P305" i="37"/>
  <c r="P306" i="37"/>
  <c r="P307" i="37"/>
  <c r="P308" i="37"/>
  <c r="P309" i="37"/>
  <c r="P310" i="37"/>
  <c r="P311" i="37"/>
  <c r="P312" i="37"/>
  <c r="P313" i="37"/>
  <c r="P314" i="37"/>
  <c r="P315" i="37"/>
  <c r="P316" i="37"/>
  <c r="P317" i="37"/>
  <c r="P318" i="37"/>
  <c r="P319" i="37"/>
  <c r="P320" i="37"/>
  <c r="P321" i="37"/>
  <c r="P322" i="37"/>
  <c r="P323" i="37"/>
  <c r="P324" i="37"/>
  <c r="P325" i="37"/>
  <c r="P326" i="37"/>
  <c r="P327" i="37"/>
  <c r="P328" i="37"/>
  <c r="P329" i="37"/>
  <c r="P330" i="37"/>
  <c r="P331" i="37"/>
  <c r="P332" i="37"/>
  <c r="P333" i="37"/>
  <c r="P334" i="37"/>
  <c r="P335" i="37"/>
  <c r="P336" i="37"/>
  <c r="P337" i="37"/>
  <c r="P338" i="37"/>
  <c r="P339" i="37"/>
  <c r="P340" i="37"/>
  <c r="P341" i="37"/>
  <c r="P342" i="37"/>
  <c r="P343" i="37"/>
  <c r="P344" i="37"/>
  <c r="P345" i="37"/>
  <c r="P346" i="37"/>
  <c r="P347" i="37"/>
  <c r="P348" i="37"/>
  <c r="P349" i="37"/>
  <c r="P350" i="37"/>
  <c r="P351" i="37"/>
  <c r="P352" i="37"/>
  <c r="P353" i="37"/>
  <c r="P354" i="37"/>
  <c r="P355" i="37"/>
  <c r="P356" i="37"/>
  <c r="P357" i="37"/>
  <c r="P358" i="37"/>
  <c r="P359" i="37"/>
  <c r="P360" i="37"/>
  <c r="P361" i="37"/>
  <c r="P362" i="37"/>
  <c r="P363" i="37"/>
  <c r="P364" i="37"/>
  <c r="P365" i="37"/>
  <c r="P366" i="37"/>
  <c r="P367" i="37"/>
  <c r="P368" i="37"/>
  <c r="P369" i="37"/>
  <c r="P370" i="37"/>
  <c r="P371" i="37"/>
  <c r="P372" i="37"/>
  <c r="P373" i="37"/>
  <c r="P374" i="37"/>
  <c r="P375" i="37"/>
  <c r="P376" i="37"/>
  <c r="P377" i="37"/>
  <c r="P378" i="37"/>
  <c r="P379" i="37"/>
  <c r="P380" i="37"/>
  <c r="P381" i="37"/>
  <c r="P382" i="37"/>
  <c r="P383" i="37"/>
  <c r="P384" i="37"/>
  <c r="P385" i="37"/>
  <c r="P386" i="37"/>
  <c r="P387" i="37"/>
  <c r="P388" i="37"/>
  <c r="P389" i="37"/>
  <c r="P390" i="37"/>
  <c r="P391" i="37"/>
  <c r="P392" i="37"/>
  <c r="P393" i="37"/>
  <c r="P394" i="37"/>
  <c r="P395" i="37"/>
  <c r="P396" i="37"/>
  <c r="P397" i="37"/>
  <c r="P398" i="37"/>
  <c r="P399" i="37"/>
  <c r="P400" i="37"/>
  <c r="P401" i="37"/>
  <c r="P402" i="37"/>
  <c r="P403" i="37"/>
  <c r="P404" i="37"/>
  <c r="P405" i="37"/>
  <c r="P406" i="37"/>
  <c r="P407" i="37"/>
  <c r="P408" i="37"/>
  <c r="P409" i="37"/>
  <c r="P410" i="37"/>
  <c r="P411" i="37"/>
  <c r="P412" i="37"/>
  <c r="P413" i="37"/>
  <c r="P414" i="37"/>
  <c r="P415" i="37"/>
  <c r="P416" i="37"/>
  <c r="P417" i="37"/>
  <c r="P418" i="37"/>
  <c r="P419" i="37"/>
  <c r="P420" i="37"/>
  <c r="P421" i="37"/>
  <c r="P422" i="37"/>
  <c r="P423" i="37"/>
  <c r="P424" i="37"/>
  <c r="P425" i="37"/>
  <c r="P426" i="37"/>
  <c r="P427" i="37"/>
  <c r="P428" i="37"/>
  <c r="P429" i="37"/>
  <c r="P430" i="37"/>
  <c r="P431" i="37"/>
  <c r="P432" i="37"/>
  <c r="P433" i="37"/>
  <c r="P434" i="37"/>
  <c r="P435" i="37"/>
  <c r="P436" i="37"/>
  <c r="P437" i="37"/>
  <c r="P438" i="37"/>
  <c r="P439" i="37"/>
  <c r="P440" i="37"/>
  <c r="P441" i="37"/>
  <c r="P442" i="37"/>
  <c r="P443" i="37"/>
  <c r="P444" i="37"/>
  <c r="P445" i="37"/>
  <c r="P446" i="37"/>
  <c r="P447" i="37"/>
  <c r="P448" i="37"/>
  <c r="P449" i="37"/>
  <c r="P450" i="37"/>
  <c r="P451" i="37"/>
  <c r="P452" i="37"/>
  <c r="P453" i="37"/>
  <c r="P454" i="37"/>
  <c r="P455" i="37"/>
  <c r="P456" i="37"/>
  <c r="P457" i="37"/>
  <c r="P458" i="37"/>
  <c r="P459" i="37"/>
  <c r="P460" i="37"/>
  <c r="P461" i="37"/>
  <c r="P462" i="37"/>
  <c r="P463" i="37"/>
  <c r="P464" i="37"/>
  <c r="P465" i="37"/>
  <c r="P466" i="37"/>
  <c r="P467" i="37"/>
  <c r="P468" i="37"/>
  <c r="P469" i="37"/>
  <c r="P470" i="37"/>
  <c r="P471" i="37"/>
  <c r="P472" i="37"/>
  <c r="P473" i="37"/>
  <c r="P474" i="37"/>
  <c r="P475" i="37"/>
  <c r="P476" i="37"/>
  <c r="P477" i="37"/>
  <c r="P478" i="37"/>
  <c r="P479" i="37"/>
  <c r="P480" i="37"/>
  <c r="P481" i="37"/>
  <c r="P482" i="37"/>
  <c r="P483" i="37"/>
  <c r="P484" i="37"/>
  <c r="P485" i="37"/>
  <c r="P486" i="37"/>
  <c r="P487" i="37"/>
  <c r="P488" i="37"/>
  <c r="P489" i="37"/>
  <c r="P490" i="37"/>
  <c r="P491" i="37"/>
  <c r="P492" i="37"/>
  <c r="P493" i="37"/>
  <c r="P494" i="37"/>
  <c r="P495" i="37"/>
  <c r="P496" i="37"/>
  <c r="P497" i="37"/>
  <c r="P498" i="37"/>
  <c r="P499" i="37"/>
  <c r="P500" i="37"/>
  <c r="P501" i="37"/>
  <c r="P502" i="37"/>
  <c r="P503" i="37"/>
  <c r="P504" i="37"/>
  <c r="P505" i="37"/>
  <c r="P506" i="37"/>
  <c r="P507" i="37"/>
  <c r="P508" i="37"/>
  <c r="P509" i="37"/>
  <c r="P510" i="37"/>
  <c r="P511" i="37"/>
  <c r="P512" i="37"/>
  <c r="P513" i="37"/>
  <c r="P514" i="37"/>
  <c r="P515" i="37"/>
  <c r="P76" i="37"/>
  <c r="M77" i="37"/>
  <c r="M78" i="37"/>
  <c r="M79" i="37"/>
  <c r="M80" i="37"/>
  <c r="M81" i="37"/>
  <c r="M82" i="37"/>
  <c r="M83" i="37"/>
  <c r="M84" i="37"/>
  <c r="M85" i="37"/>
  <c r="M86" i="37"/>
  <c r="M87" i="37"/>
  <c r="M88" i="37"/>
  <c r="M89" i="37"/>
  <c r="M90" i="37"/>
  <c r="M91" i="37"/>
  <c r="M92" i="37"/>
  <c r="M93" i="37"/>
  <c r="M94" i="37"/>
  <c r="M95" i="37"/>
  <c r="M96" i="37"/>
  <c r="M97" i="37"/>
  <c r="M98" i="37"/>
  <c r="M99" i="37"/>
  <c r="M100" i="37"/>
  <c r="M101" i="37"/>
  <c r="M102" i="37"/>
  <c r="M103" i="37"/>
  <c r="M104" i="37"/>
  <c r="M105" i="37"/>
  <c r="M106" i="37"/>
  <c r="M107" i="37"/>
  <c r="M108" i="37"/>
  <c r="M109" i="37"/>
  <c r="M110" i="37"/>
  <c r="M111" i="37"/>
  <c r="M112" i="37"/>
  <c r="M113" i="37"/>
  <c r="M114" i="37"/>
  <c r="M115" i="37"/>
  <c r="M116" i="37"/>
  <c r="M117" i="37"/>
  <c r="M118" i="37"/>
  <c r="M119" i="37"/>
  <c r="M120" i="37"/>
  <c r="M121" i="37"/>
  <c r="M122" i="37"/>
  <c r="M123" i="37"/>
  <c r="M124" i="37"/>
  <c r="M125" i="37"/>
  <c r="M126" i="37"/>
  <c r="M127" i="37"/>
  <c r="M128" i="37"/>
  <c r="M129" i="37"/>
  <c r="M130" i="37"/>
  <c r="M131" i="37"/>
  <c r="M132" i="37"/>
  <c r="M133" i="37"/>
  <c r="M134" i="37"/>
  <c r="M135" i="37"/>
  <c r="M136" i="37"/>
  <c r="M137" i="37"/>
  <c r="M138" i="37"/>
  <c r="M139" i="37"/>
  <c r="M140" i="37"/>
  <c r="M141" i="37"/>
  <c r="M142" i="37"/>
  <c r="M143" i="37"/>
  <c r="M144" i="37"/>
  <c r="M145" i="37"/>
  <c r="M146" i="37"/>
  <c r="M147" i="37"/>
  <c r="M148" i="37"/>
  <c r="M149" i="37"/>
  <c r="M150" i="37"/>
  <c r="M151" i="37"/>
  <c r="M152" i="37"/>
  <c r="M153" i="37"/>
  <c r="M154" i="37"/>
  <c r="M155" i="37"/>
  <c r="M156" i="37"/>
  <c r="M157" i="37"/>
  <c r="M158" i="37"/>
  <c r="M159" i="37"/>
  <c r="M160" i="37"/>
  <c r="M161" i="37"/>
  <c r="M162" i="37"/>
  <c r="M163" i="37"/>
  <c r="M164" i="37"/>
  <c r="M165" i="37"/>
  <c r="M166" i="37"/>
  <c r="M167" i="37"/>
  <c r="M168" i="37"/>
  <c r="M169" i="37"/>
  <c r="M170" i="37"/>
  <c r="M171" i="37"/>
  <c r="M172" i="37"/>
  <c r="M173" i="37"/>
  <c r="M174" i="37"/>
  <c r="M175" i="37"/>
  <c r="M176" i="37"/>
  <c r="M177" i="37"/>
  <c r="M178" i="37"/>
  <c r="M179" i="37"/>
  <c r="M180" i="37"/>
  <c r="M181" i="37"/>
  <c r="M182" i="37"/>
  <c r="M183" i="37"/>
  <c r="M184" i="37"/>
  <c r="M185" i="37"/>
  <c r="M186" i="37"/>
  <c r="M187" i="37"/>
  <c r="M188" i="37"/>
  <c r="M189" i="37"/>
  <c r="M190" i="37"/>
  <c r="M191" i="37"/>
  <c r="M192" i="37"/>
  <c r="M193" i="37"/>
  <c r="M194" i="37"/>
  <c r="M195" i="37"/>
  <c r="M196" i="37"/>
  <c r="M197" i="37"/>
  <c r="M198" i="37"/>
  <c r="M199" i="37"/>
  <c r="M200" i="37"/>
  <c r="M201" i="37"/>
  <c r="M202" i="37"/>
  <c r="M203" i="37"/>
  <c r="M204" i="37"/>
  <c r="M205" i="37"/>
  <c r="M206" i="37"/>
  <c r="M207" i="37"/>
  <c r="M208" i="37"/>
  <c r="M209" i="37"/>
  <c r="M210" i="37"/>
  <c r="M211" i="37"/>
  <c r="M212" i="37"/>
  <c r="M213" i="37"/>
  <c r="M214" i="37"/>
  <c r="M215" i="37"/>
  <c r="M216" i="37"/>
  <c r="M217" i="37"/>
  <c r="M218" i="37"/>
  <c r="M219" i="37"/>
  <c r="M220" i="37"/>
  <c r="M221" i="37"/>
  <c r="M222" i="37"/>
  <c r="M223" i="37"/>
  <c r="M224" i="37"/>
  <c r="M225" i="37"/>
  <c r="M226" i="37"/>
  <c r="M227" i="37"/>
  <c r="M228" i="37"/>
  <c r="M229" i="37"/>
  <c r="M230" i="37"/>
  <c r="M231" i="37"/>
  <c r="M232" i="37"/>
  <c r="M233" i="37"/>
  <c r="M234" i="37"/>
  <c r="M235" i="37"/>
  <c r="M236" i="37"/>
  <c r="M237" i="37"/>
  <c r="M238" i="37"/>
  <c r="M239" i="37"/>
  <c r="M240" i="37"/>
  <c r="M241" i="37"/>
  <c r="M242" i="37"/>
  <c r="M243" i="37"/>
  <c r="M244" i="37"/>
  <c r="M245" i="37"/>
  <c r="M246" i="37"/>
  <c r="M247" i="37"/>
  <c r="M248" i="37"/>
  <c r="M249" i="37"/>
  <c r="M250" i="37"/>
  <c r="M251" i="37"/>
  <c r="M252" i="37"/>
  <c r="M253" i="37"/>
  <c r="M254" i="37"/>
  <c r="M255" i="37"/>
  <c r="M256" i="37"/>
  <c r="M257" i="37"/>
  <c r="M258" i="37"/>
  <c r="M259" i="37"/>
  <c r="M260" i="37"/>
  <c r="M261" i="37"/>
  <c r="M262" i="37"/>
  <c r="M263" i="37"/>
  <c r="M264" i="37"/>
  <c r="M265" i="37"/>
  <c r="M266" i="37"/>
  <c r="M267" i="37"/>
  <c r="M268" i="37"/>
  <c r="M269" i="37"/>
  <c r="M270" i="37"/>
  <c r="M271" i="37"/>
  <c r="M272" i="37"/>
  <c r="M273" i="37"/>
  <c r="M274" i="37"/>
  <c r="M275" i="37"/>
  <c r="M276" i="37"/>
  <c r="M277" i="37"/>
  <c r="M278" i="37"/>
  <c r="M279" i="37"/>
  <c r="M280" i="37"/>
  <c r="M281" i="37"/>
  <c r="M282" i="37"/>
  <c r="M283" i="37"/>
  <c r="M284" i="37"/>
  <c r="M285" i="37"/>
  <c r="M286" i="37"/>
  <c r="M287" i="37"/>
  <c r="M288" i="37"/>
  <c r="M289" i="37"/>
  <c r="M290" i="37"/>
  <c r="M291" i="37"/>
  <c r="M292" i="37"/>
  <c r="M293" i="37"/>
  <c r="M294" i="37"/>
  <c r="M295" i="37"/>
  <c r="M296" i="37"/>
  <c r="M297" i="37"/>
  <c r="M298" i="37"/>
  <c r="M299" i="37"/>
  <c r="M300" i="37"/>
  <c r="M301" i="37"/>
  <c r="M302" i="37"/>
  <c r="M303" i="37"/>
  <c r="M304" i="37"/>
  <c r="M305" i="37"/>
  <c r="M306" i="37"/>
  <c r="M307" i="37"/>
  <c r="M308" i="37"/>
  <c r="M309" i="37"/>
  <c r="M310" i="37"/>
  <c r="M311" i="37"/>
  <c r="M312" i="37"/>
  <c r="M313" i="37"/>
  <c r="M314" i="37"/>
  <c r="M315" i="37"/>
  <c r="M316" i="37"/>
  <c r="M317" i="37"/>
  <c r="M318" i="37"/>
  <c r="M319" i="37"/>
  <c r="M320" i="37"/>
  <c r="M321" i="37"/>
  <c r="M322" i="37"/>
  <c r="M323" i="37"/>
  <c r="M324" i="37"/>
  <c r="M325" i="37"/>
  <c r="M326" i="37"/>
  <c r="M327" i="37"/>
  <c r="M328" i="37"/>
  <c r="M329" i="37"/>
  <c r="M330" i="37"/>
  <c r="M331" i="37"/>
  <c r="M332" i="37"/>
  <c r="M333" i="37"/>
  <c r="M334" i="37"/>
  <c r="M335" i="37"/>
  <c r="M336" i="37"/>
  <c r="M337" i="37"/>
  <c r="M338" i="37"/>
  <c r="M339" i="37"/>
  <c r="M340" i="37"/>
  <c r="M341" i="37"/>
  <c r="M342" i="37"/>
  <c r="M343" i="37"/>
  <c r="M344" i="37"/>
  <c r="M345" i="37"/>
  <c r="M346" i="37"/>
  <c r="M347" i="37"/>
  <c r="M348" i="37"/>
  <c r="M349" i="37"/>
  <c r="M350" i="37"/>
  <c r="M351" i="37"/>
  <c r="M352" i="37"/>
  <c r="M353" i="37"/>
  <c r="M354" i="37"/>
  <c r="M355" i="37"/>
  <c r="M356" i="37"/>
  <c r="M357" i="37"/>
  <c r="M358" i="37"/>
  <c r="M359" i="37"/>
  <c r="M360" i="37"/>
  <c r="M361" i="37"/>
  <c r="M362" i="37"/>
  <c r="M363" i="37"/>
  <c r="M364" i="37"/>
  <c r="M365" i="37"/>
  <c r="M366" i="37"/>
  <c r="M367" i="37"/>
  <c r="M368" i="37"/>
  <c r="M369" i="37"/>
  <c r="M370" i="37"/>
  <c r="M371" i="37"/>
  <c r="M372" i="37"/>
  <c r="M373" i="37"/>
  <c r="M374" i="37"/>
  <c r="M375" i="37"/>
  <c r="M376" i="37"/>
  <c r="M377" i="37"/>
  <c r="M378" i="37"/>
  <c r="M379" i="37"/>
  <c r="M380" i="37"/>
  <c r="M381" i="37"/>
  <c r="M382" i="37"/>
  <c r="M383" i="37"/>
  <c r="M384" i="37"/>
  <c r="M385" i="37"/>
  <c r="M386" i="37"/>
  <c r="M387" i="37"/>
  <c r="M388" i="37"/>
  <c r="M389" i="37"/>
  <c r="M390" i="37"/>
  <c r="M391" i="37"/>
  <c r="M392" i="37"/>
  <c r="M393" i="37"/>
  <c r="M394" i="37"/>
  <c r="M395" i="37"/>
  <c r="M396" i="37"/>
  <c r="M397" i="37"/>
  <c r="M398" i="37"/>
  <c r="M399" i="37"/>
  <c r="M400" i="37"/>
  <c r="M401" i="37"/>
  <c r="M402" i="37"/>
  <c r="M403" i="37"/>
  <c r="M404" i="37"/>
  <c r="M405" i="37"/>
  <c r="M406" i="37"/>
  <c r="M407" i="37"/>
  <c r="M408" i="37"/>
  <c r="M409" i="37"/>
  <c r="M410" i="37"/>
  <c r="M411" i="37"/>
  <c r="M412" i="37"/>
  <c r="M413" i="37"/>
  <c r="M414" i="37"/>
  <c r="M415" i="37"/>
  <c r="M416" i="37"/>
  <c r="M417" i="37"/>
  <c r="M418" i="37"/>
  <c r="M419" i="37"/>
  <c r="M420" i="37"/>
  <c r="M421" i="37"/>
  <c r="M422" i="37"/>
  <c r="M423" i="37"/>
  <c r="M424" i="37"/>
  <c r="M425" i="37"/>
  <c r="M426" i="37"/>
  <c r="M427" i="37"/>
  <c r="M428" i="37"/>
  <c r="M429" i="37"/>
  <c r="M430" i="37"/>
  <c r="M431" i="37"/>
  <c r="M432" i="37"/>
  <c r="M433" i="37"/>
  <c r="M434" i="37"/>
  <c r="M435" i="37"/>
  <c r="M436" i="37"/>
  <c r="M437" i="37"/>
  <c r="M438" i="37"/>
  <c r="M439" i="37"/>
  <c r="M440" i="37"/>
  <c r="M441" i="37"/>
  <c r="M442" i="37"/>
  <c r="M443" i="37"/>
  <c r="M444" i="37"/>
  <c r="M445" i="37"/>
  <c r="M446" i="37"/>
  <c r="M447" i="37"/>
  <c r="M448" i="37"/>
  <c r="M449" i="37"/>
  <c r="M450" i="37"/>
  <c r="M451" i="37"/>
  <c r="M452" i="37"/>
  <c r="M453" i="37"/>
  <c r="M454" i="37"/>
  <c r="M455" i="37"/>
  <c r="M456" i="37"/>
  <c r="M457" i="37"/>
  <c r="M458" i="37"/>
  <c r="M459" i="37"/>
  <c r="M460" i="37"/>
  <c r="M461" i="37"/>
  <c r="M462" i="37"/>
  <c r="M463" i="37"/>
  <c r="M464" i="37"/>
  <c r="M465" i="37"/>
  <c r="M466" i="37"/>
  <c r="M467" i="37"/>
  <c r="M468" i="37"/>
  <c r="M469" i="37"/>
  <c r="M470" i="37"/>
  <c r="M471" i="37"/>
  <c r="M472" i="37"/>
  <c r="M473" i="37"/>
  <c r="M474" i="37"/>
  <c r="M475" i="37"/>
  <c r="M476" i="37"/>
  <c r="M477" i="37"/>
  <c r="M478" i="37"/>
  <c r="M479" i="37"/>
  <c r="M480" i="37"/>
  <c r="M481" i="37"/>
  <c r="M482" i="37"/>
  <c r="M483" i="37"/>
  <c r="M484" i="37"/>
  <c r="M485" i="37"/>
  <c r="M486" i="37"/>
  <c r="M487" i="37"/>
  <c r="M488" i="37"/>
  <c r="M489" i="37"/>
  <c r="M490" i="37"/>
  <c r="M491" i="37"/>
  <c r="M492" i="37"/>
  <c r="M493" i="37"/>
  <c r="M494" i="37"/>
  <c r="M495" i="37"/>
  <c r="M496" i="37"/>
  <c r="M497" i="37"/>
  <c r="M498" i="37"/>
  <c r="M499" i="37"/>
  <c r="M500" i="37"/>
  <c r="M501" i="37"/>
  <c r="M502" i="37"/>
  <c r="M503" i="37"/>
  <c r="M504" i="37"/>
  <c r="M505" i="37"/>
  <c r="M506" i="37"/>
  <c r="M507" i="37"/>
  <c r="M508" i="37"/>
  <c r="M509" i="37"/>
  <c r="M510" i="37"/>
  <c r="M511" i="37"/>
  <c r="M512" i="37"/>
  <c r="M513" i="37"/>
  <c r="M514" i="37"/>
  <c r="M515" i="37"/>
  <c r="M76" i="37"/>
  <c r="J76" i="37"/>
  <c r="L76" i="37"/>
  <c r="N76" i="37"/>
  <c r="J77" i="37"/>
  <c r="L77" i="37"/>
  <c r="N77" i="37"/>
  <c r="J78" i="37"/>
  <c r="L78" i="37"/>
  <c r="N78" i="37"/>
  <c r="J79" i="37"/>
  <c r="L79" i="37"/>
  <c r="N79" i="37"/>
  <c r="J80" i="37"/>
  <c r="L80" i="37"/>
  <c r="N80" i="37"/>
  <c r="J81" i="37"/>
  <c r="L81" i="37"/>
  <c r="N81" i="37"/>
  <c r="J82" i="37"/>
  <c r="L82" i="37"/>
  <c r="N82" i="37"/>
  <c r="J83" i="37"/>
  <c r="L83" i="37"/>
  <c r="N83" i="37"/>
  <c r="J84" i="37"/>
  <c r="L84" i="37"/>
  <c r="N84" i="37"/>
  <c r="J85" i="37"/>
  <c r="L85" i="37"/>
  <c r="N85" i="37"/>
  <c r="J86" i="37"/>
  <c r="L86" i="37"/>
  <c r="N86" i="37"/>
  <c r="J87" i="37"/>
  <c r="L87" i="37"/>
  <c r="N87" i="37"/>
  <c r="J88" i="37"/>
  <c r="L88" i="37"/>
  <c r="N88" i="37"/>
  <c r="J89" i="37"/>
  <c r="L89" i="37"/>
  <c r="N89" i="37"/>
  <c r="J90" i="37"/>
  <c r="L90" i="37"/>
  <c r="N90" i="37"/>
  <c r="J91" i="37"/>
  <c r="L91" i="37"/>
  <c r="N91" i="37"/>
  <c r="J92" i="37"/>
  <c r="L92" i="37"/>
  <c r="N92" i="37"/>
  <c r="J93" i="37"/>
  <c r="L93" i="37"/>
  <c r="N93" i="37"/>
  <c r="J94" i="37"/>
  <c r="L94" i="37"/>
  <c r="N94" i="37"/>
  <c r="J95" i="37"/>
  <c r="L95" i="37"/>
  <c r="N95" i="37"/>
  <c r="J96" i="37"/>
  <c r="L96" i="37"/>
  <c r="N96" i="37"/>
  <c r="J97" i="37"/>
  <c r="L97" i="37"/>
  <c r="N97" i="37"/>
  <c r="J98" i="37"/>
  <c r="L98" i="37"/>
  <c r="N98" i="37"/>
  <c r="J99" i="37"/>
  <c r="L99" i="37"/>
  <c r="N99" i="37"/>
  <c r="J100" i="37"/>
  <c r="L100" i="37"/>
  <c r="N100" i="37"/>
  <c r="J101" i="37"/>
  <c r="L101" i="37"/>
  <c r="N101" i="37"/>
  <c r="J102" i="37"/>
  <c r="L102" i="37"/>
  <c r="N102" i="37"/>
  <c r="J103" i="37"/>
  <c r="L103" i="37"/>
  <c r="N103" i="37"/>
  <c r="J104" i="37"/>
  <c r="L104" i="37"/>
  <c r="N104" i="37"/>
  <c r="J105" i="37"/>
  <c r="L105" i="37"/>
  <c r="N105" i="37"/>
  <c r="J106" i="37"/>
  <c r="L106" i="37"/>
  <c r="N106" i="37"/>
  <c r="J107" i="37"/>
  <c r="L107" i="37"/>
  <c r="N107" i="37"/>
  <c r="J108" i="37"/>
  <c r="L108" i="37"/>
  <c r="N108" i="37"/>
  <c r="J109" i="37"/>
  <c r="L109" i="37"/>
  <c r="N109" i="37"/>
  <c r="J110" i="37"/>
  <c r="L110" i="37"/>
  <c r="N110" i="37"/>
  <c r="J111" i="37"/>
  <c r="L111" i="37"/>
  <c r="N111" i="37"/>
  <c r="J112" i="37"/>
  <c r="L112" i="37"/>
  <c r="N112" i="37"/>
  <c r="J113" i="37"/>
  <c r="L113" i="37"/>
  <c r="N113" i="37"/>
  <c r="J114" i="37"/>
  <c r="L114" i="37"/>
  <c r="N114" i="37"/>
  <c r="J115" i="37"/>
  <c r="L115" i="37"/>
  <c r="N115" i="37"/>
  <c r="J116" i="37"/>
  <c r="L116" i="37"/>
  <c r="N116" i="37"/>
  <c r="J117" i="37"/>
  <c r="L117" i="37"/>
  <c r="N117" i="37"/>
  <c r="J118" i="37"/>
  <c r="L118" i="37"/>
  <c r="N118" i="37"/>
  <c r="J119" i="37"/>
  <c r="L119" i="37"/>
  <c r="N119" i="37"/>
  <c r="J120" i="37"/>
  <c r="L120" i="37"/>
  <c r="N120" i="37"/>
  <c r="J121" i="37"/>
  <c r="L121" i="37"/>
  <c r="N121" i="37"/>
  <c r="J122" i="37"/>
  <c r="L122" i="37"/>
  <c r="N122" i="37"/>
  <c r="J123" i="37"/>
  <c r="L123" i="37"/>
  <c r="N123" i="37"/>
  <c r="J124" i="37"/>
  <c r="L124" i="37"/>
  <c r="N124" i="37"/>
  <c r="J125" i="37"/>
  <c r="L125" i="37"/>
  <c r="N125" i="37"/>
  <c r="J126" i="37"/>
  <c r="L126" i="37"/>
  <c r="N126" i="37"/>
  <c r="J127" i="37"/>
  <c r="L127" i="37"/>
  <c r="N127" i="37"/>
  <c r="J128" i="37"/>
  <c r="L128" i="37"/>
  <c r="N128" i="37"/>
  <c r="J129" i="37"/>
  <c r="L129" i="37"/>
  <c r="N129" i="37"/>
  <c r="J130" i="37"/>
  <c r="L130" i="37"/>
  <c r="N130" i="37"/>
  <c r="J131" i="37"/>
  <c r="L131" i="37"/>
  <c r="N131" i="37"/>
  <c r="J132" i="37"/>
  <c r="L132" i="37"/>
  <c r="N132" i="37"/>
  <c r="J133" i="37"/>
  <c r="L133" i="37"/>
  <c r="N133" i="37"/>
  <c r="J134" i="37"/>
  <c r="L134" i="37"/>
  <c r="N134" i="37"/>
  <c r="J135" i="37"/>
  <c r="L135" i="37"/>
  <c r="N135" i="37"/>
  <c r="J136" i="37"/>
  <c r="L136" i="37"/>
  <c r="N136" i="37"/>
  <c r="J137" i="37"/>
  <c r="L137" i="37"/>
  <c r="N137" i="37"/>
  <c r="J138" i="37"/>
  <c r="L138" i="37"/>
  <c r="N138" i="37"/>
  <c r="J139" i="37"/>
  <c r="L139" i="37"/>
  <c r="N139" i="37"/>
  <c r="J140" i="37"/>
  <c r="L140" i="37"/>
  <c r="N140" i="37"/>
  <c r="J141" i="37"/>
  <c r="L141" i="37"/>
  <c r="N141" i="37"/>
  <c r="J142" i="37"/>
  <c r="L142" i="37"/>
  <c r="N142" i="37"/>
  <c r="J143" i="37"/>
  <c r="L143" i="37"/>
  <c r="N143" i="37"/>
  <c r="J144" i="37"/>
  <c r="L144" i="37"/>
  <c r="N144" i="37"/>
  <c r="J145" i="37"/>
  <c r="L145" i="37"/>
  <c r="N145" i="37"/>
  <c r="J146" i="37"/>
  <c r="L146" i="37"/>
  <c r="N146" i="37"/>
  <c r="J147" i="37"/>
  <c r="L147" i="37"/>
  <c r="N147" i="37"/>
  <c r="J148" i="37"/>
  <c r="L148" i="37"/>
  <c r="N148" i="37"/>
  <c r="J149" i="37"/>
  <c r="L149" i="37"/>
  <c r="N149" i="37"/>
  <c r="J150" i="37"/>
  <c r="L150" i="37"/>
  <c r="N150" i="37"/>
  <c r="J151" i="37"/>
  <c r="L151" i="37"/>
  <c r="N151" i="37"/>
  <c r="J152" i="37"/>
  <c r="L152" i="37"/>
  <c r="N152" i="37"/>
  <c r="J153" i="37"/>
  <c r="L153" i="37"/>
  <c r="N153" i="37"/>
  <c r="J154" i="37"/>
  <c r="L154" i="37"/>
  <c r="N154" i="37"/>
  <c r="J155" i="37"/>
  <c r="L155" i="37"/>
  <c r="N155" i="37"/>
  <c r="J156" i="37"/>
  <c r="L156" i="37"/>
  <c r="N156" i="37"/>
  <c r="J157" i="37"/>
  <c r="L157" i="37"/>
  <c r="N157" i="37"/>
  <c r="J158" i="37"/>
  <c r="L158" i="37"/>
  <c r="N158" i="37"/>
  <c r="J159" i="37"/>
  <c r="L159" i="37"/>
  <c r="N159" i="37"/>
  <c r="J160" i="37"/>
  <c r="L160" i="37"/>
  <c r="N160" i="37"/>
  <c r="J161" i="37"/>
  <c r="L161" i="37"/>
  <c r="N161" i="37"/>
  <c r="J162" i="37"/>
  <c r="L162" i="37"/>
  <c r="N162" i="37"/>
  <c r="J163" i="37"/>
  <c r="L163" i="37"/>
  <c r="N163" i="37"/>
  <c r="J164" i="37"/>
  <c r="L164" i="37"/>
  <c r="N164" i="37"/>
  <c r="J165" i="37"/>
  <c r="L165" i="37"/>
  <c r="N165" i="37"/>
  <c r="J166" i="37"/>
  <c r="L166" i="37"/>
  <c r="N166" i="37"/>
  <c r="J167" i="37"/>
  <c r="L167" i="37"/>
  <c r="N167" i="37"/>
  <c r="J168" i="37"/>
  <c r="L168" i="37"/>
  <c r="N168" i="37"/>
  <c r="J169" i="37"/>
  <c r="L169" i="37"/>
  <c r="N169" i="37"/>
  <c r="J170" i="37"/>
  <c r="L170" i="37"/>
  <c r="N170" i="37"/>
  <c r="J171" i="37"/>
  <c r="L171" i="37"/>
  <c r="N171" i="37"/>
  <c r="J172" i="37"/>
  <c r="L172" i="37"/>
  <c r="N172" i="37"/>
  <c r="J173" i="37"/>
  <c r="L173" i="37"/>
  <c r="N173" i="37"/>
  <c r="J174" i="37"/>
  <c r="L174" i="37"/>
  <c r="N174" i="37"/>
  <c r="J175" i="37"/>
  <c r="L175" i="37"/>
  <c r="N175" i="37"/>
  <c r="J176" i="37"/>
  <c r="L176" i="37"/>
  <c r="N176" i="37"/>
  <c r="J177" i="37"/>
  <c r="L177" i="37"/>
  <c r="N177" i="37"/>
  <c r="J178" i="37"/>
  <c r="L178" i="37"/>
  <c r="N178" i="37"/>
  <c r="J179" i="37"/>
  <c r="L179" i="37"/>
  <c r="N179" i="37"/>
  <c r="J180" i="37"/>
  <c r="L180" i="37"/>
  <c r="N180" i="37"/>
  <c r="J181" i="37"/>
  <c r="L181" i="37"/>
  <c r="N181" i="37"/>
  <c r="J182" i="37"/>
  <c r="L182" i="37"/>
  <c r="N182" i="37"/>
  <c r="J183" i="37"/>
  <c r="L183" i="37"/>
  <c r="N183" i="37"/>
  <c r="J184" i="37"/>
  <c r="L184" i="37"/>
  <c r="N184" i="37"/>
  <c r="J185" i="37"/>
  <c r="L185" i="37"/>
  <c r="N185" i="37"/>
  <c r="J186" i="37"/>
  <c r="L186" i="37"/>
  <c r="N186" i="37"/>
  <c r="J187" i="37"/>
  <c r="L187" i="37"/>
  <c r="N187" i="37"/>
  <c r="J188" i="37"/>
  <c r="L188" i="37"/>
  <c r="N188" i="37"/>
  <c r="J189" i="37"/>
  <c r="L189" i="37"/>
  <c r="N189" i="37"/>
  <c r="J190" i="37"/>
  <c r="L190" i="37"/>
  <c r="N190" i="37"/>
  <c r="J191" i="37"/>
  <c r="L191" i="37"/>
  <c r="N191" i="37"/>
  <c r="J192" i="37"/>
  <c r="L192" i="37"/>
  <c r="N192" i="37"/>
  <c r="J193" i="37"/>
  <c r="L193" i="37"/>
  <c r="N193" i="37"/>
  <c r="J194" i="37"/>
  <c r="L194" i="37"/>
  <c r="N194" i="37"/>
  <c r="J195" i="37"/>
  <c r="L195" i="37"/>
  <c r="N195" i="37"/>
  <c r="J196" i="37"/>
  <c r="L196" i="37"/>
  <c r="N196" i="37"/>
  <c r="J197" i="37"/>
  <c r="L197" i="37"/>
  <c r="N197" i="37"/>
  <c r="J198" i="37"/>
  <c r="L198" i="37"/>
  <c r="N198" i="37"/>
  <c r="J199" i="37"/>
  <c r="L199" i="37"/>
  <c r="N199" i="37"/>
  <c r="J200" i="37"/>
  <c r="L200" i="37"/>
  <c r="N200" i="37"/>
  <c r="J201" i="37"/>
  <c r="L201" i="37"/>
  <c r="N201" i="37"/>
  <c r="J202" i="37"/>
  <c r="L202" i="37"/>
  <c r="N202" i="37"/>
  <c r="J203" i="37"/>
  <c r="L203" i="37"/>
  <c r="N203" i="37"/>
  <c r="J204" i="37"/>
  <c r="L204" i="37"/>
  <c r="N204" i="37"/>
  <c r="J205" i="37"/>
  <c r="L205" i="37"/>
  <c r="N205" i="37"/>
  <c r="J206" i="37"/>
  <c r="L206" i="37"/>
  <c r="N206" i="37"/>
  <c r="J207" i="37"/>
  <c r="L207" i="37"/>
  <c r="N207" i="37"/>
  <c r="J208" i="37"/>
  <c r="L208" i="37"/>
  <c r="N208" i="37"/>
  <c r="J209" i="37"/>
  <c r="L209" i="37"/>
  <c r="N209" i="37"/>
  <c r="J210" i="37"/>
  <c r="L210" i="37"/>
  <c r="N210" i="37"/>
  <c r="J211" i="37"/>
  <c r="L211" i="37"/>
  <c r="N211" i="37"/>
  <c r="J212" i="37"/>
  <c r="L212" i="37"/>
  <c r="N212" i="37"/>
  <c r="J213" i="37"/>
  <c r="L213" i="37"/>
  <c r="N213" i="37"/>
  <c r="J214" i="37"/>
  <c r="L214" i="37"/>
  <c r="N214" i="37"/>
  <c r="J215" i="37"/>
  <c r="L215" i="37"/>
  <c r="N215" i="37"/>
  <c r="J216" i="37"/>
  <c r="L216" i="37"/>
  <c r="N216" i="37"/>
  <c r="J217" i="37"/>
  <c r="L217" i="37"/>
  <c r="N217" i="37"/>
  <c r="J218" i="37"/>
  <c r="L218" i="37"/>
  <c r="N218" i="37"/>
  <c r="J219" i="37"/>
  <c r="L219" i="37"/>
  <c r="N219" i="37"/>
  <c r="J220" i="37"/>
  <c r="L220" i="37"/>
  <c r="N220" i="37"/>
  <c r="J221" i="37"/>
  <c r="L221" i="37"/>
  <c r="N221" i="37"/>
  <c r="J222" i="37"/>
  <c r="L222" i="37"/>
  <c r="N222" i="37"/>
  <c r="J223" i="37"/>
  <c r="L223" i="37"/>
  <c r="N223" i="37"/>
  <c r="J224" i="37"/>
  <c r="L224" i="37"/>
  <c r="N224" i="37"/>
  <c r="J225" i="37"/>
  <c r="L225" i="37"/>
  <c r="N225" i="37"/>
  <c r="J226" i="37"/>
  <c r="L226" i="37"/>
  <c r="N226" i="37"/>
  <c r="J227" i="37"/>
  <c r="L227" i="37"/>
  <c r="N227" i="37"/>
  <c r="J228" i="37"/>
  <c r="L228" i="37"/>
  <c r="N228" i="37"/>
  <c r="J229" i="37"/>
  <c r="L229" i="37"/>
  <c r="N229" i="37"/>
  <c r="J230" i="37"/>
  <c r="L230" i="37"/>
  <c r="N230" i="37"/>
  <c r="J231" i="37"/>
  <c r="L231" i="37"/>
  <c r="N231" i="37"/>
  <c r="J232" i="37"/>
  <c r="L232" i="37"/>
  <c r="N232" i="37"/>
  <c r="J233" i="37"/>
  <c r="L233" i="37"/>
  <c r="N233" i="37"/>
  <c r="J234" i="37"/>
  <c r="L234" i="37"/>
  <c r="N234" i="37"/>
  <c r="J235" i="37"/>
  <c r="L235" i="37"/>
  <c r="N235" i="37"/>
  <c r="J236" i="37"/>
  <c r="L236" i="37"/>
  <c r="N236" i="37"/>
  <c r="J237" i="37"/>
  <c r="L237" i="37"/>
  <c r="N237" i="37"/>
  <c r="J238" i="37"/>
  <c r="L238" i="37"/>
  <c r="N238" i="37"/>
  <c r="J239" i="37"/>
  <c r="L239" i="37"/>
  <c r="N239" i="37"/>
  <c r="J240" i="37"/>
  <c r="L240" i="37"/>
  <c r="N240" i="37"/>
  <c r="J241" i="37"/>
  <c r="L241" i="37"/>
  <c r="N241" i="37"/>
  <c r="J242" i="37"/>
  <c r="L242" i="37"/>
  <c r="N242" i="37"/>
  <c r="J243" i="37"/>
  <c r="L243" i="37"/>
  <c r="N243" i="37"/>
  <c r="J244" i="37"/>
  <c r="L244" i="37"/>
  <c r="N244" i="37"/>
  <c r="J245" i="37"/>
  <c r="L245" i="37"/>
  <c r="N245" i="37"/>
  <c r="J246" i="37"/>
  <c r="L246" i="37"/>
  <c r="N246" i="37"/>
  <c r="J247" i="37"/>
  <c r="L247" i="37"/>
  <c r="N247" i="37"/>
  <c r="J248" i="37"/>
  <c r="L248" i="37"/>
  <c r="N248" i="37"/>
  <c r="J249" i="37"/>
  <c r="L249" i="37"/>
  <c r="N249" i="37"/>
  <c r="J250" i="37"/>
  <c r="L250" i="37"/>
  <c r="N250" i="37"/>
  <c r="J251" i="37"/>
  <c r="L251" i="37"/>
  <c r="N251" i="37"/>
  <c r="J252" i="37"/>
  <c r="L252" i="37"/>
  <c r="N252" i="37"/>
  <c r="J253" i="37"/>
  <c r="L253" i="37"/>
  <c r="N253" i="37"/>
  <c r="J254" i="37"/>
  <c r="L254" i="37"/>
  <c r="N254" i="37"/>
  <c r="J255" i="37"/>
  <c r="L255" i="37"/>
  <c r="N255" i="37"/>
  <c r="J256" i="37"/>
  <c r="L256" i="37"/>
  <c r="N256" i="37"/>
  <c r="J257" i="37"/>
  <c r="L257" i="37"/>
  <c r="N257" i="37"/>
  <c r="J258" i="37"/>
  <c r="L258" i="37"/>
  <c r="N258" i="37"/>
  <c r="J259" i="37"/>
  <c r="L259" i="37"/>
  <c r="N259" i="37"/>
  <c r="J260" i="37"/>
  <c r="L260" i="37"/>
  <c r="N260" i="37"/>
  <c r="J261" i="37"/>
  <c r="L261" i="37"/>
  <c r="N261" i="37"/>
  <c r="J262" i="37"/>
  <c r="L262" i="37"/>
  <c r="N262" i="37"/>
  <c r="J263" i="37"/>
  <c r="L263" i="37"/>
  <c r="N263" i="37"/>
  <c r="J264" i="37"/>
  <c r="L264" i="37"/>
  <c r="N264" i="37"/>
  <c r="J265" i="37"/>
  <c r="L265" i="37"/>
  <c r="N265" i="37"/>
  <c r="J266" i="37"/>
  <c r="L266" i="37"/>
  <c r="N266" i="37"/>
  <c r="J267" i="37"/>
  <c r="L267" i="37"/>
  <c r="N267" i="37"/>
  <c r="J268" i="37"/>
  <c r="L268" i="37"/>
  <c r="N268" i="37"/>
  <c r="J269" i="37"/>
  <c r="L269" i="37"/>
  <c r="N269" i="37"/>
  <c r="J270" i="37"/>
  <c r="L270" i="37"/>
  <c r="N270" i="37"/>
  <c r="J271" i="37"/>
  <c r="L271" i="37"/>
  <c r="N271" i="37"/>
  <c r="J272" i="37"/>
  <c r="L272" i="37"/>
  <c r="N272" i="37"/>
  <c r="J273" i="37"/>
  <c r="L273" i="37"/>
  <c r="N273" i="37"/>
  <c r="J274" i="37"/>
  <c r="L274" i="37"/>
  <c r="N274" i="37"/>
  <c r="J275" i="37"/>
  <c r="L275" i="37"/>
  <c r="N275" i="37"/>
  <c r="J276" i="37"/>
  <c r="L276" i="37"/>
  <c r="N276" i="37"/>
  <c r="J277" i="37"/>
  <c r="L277" i="37"/>
  <c r="N277" i="37"/>
  <c r="J278" i="37"/>
  <c r="L278" i="37"/>
  <c r="N278" i="37"/>
  <c r="J279" i="37"/>
  <c r="L279" i="37"/>
  <c r="N279" i="37"/>
  <c r="J280" i="37"/>
  <c r="L280" i="37"/>
  <c r="N280" i="37"/>
  <c r="J281" i="37"/>
  <c r="L281" i="37"/>
  <c r="N281" i="37"/>
  <c r="J282" i="37"/>
  <c r="L282" i="37"/>
  <c r="N282" i="37"/>
  <c r="J283" i="37"/>
  <c r="L283" i="37"/>
  <c r="N283" i="37"/>
  <c r="J284" i="37"/>
  <c r="L284" i="37"/>
  <c r="N284" i="37"/>
  <c r="J285" i="37"/>
  <c r="L285" i="37"/>
  <c r="N285" i="37"/>
  <c r="J286" i="37"/>
  <c r="L286" i="37"/>
  <c r="N286" i="37"/>
  <c r="J287" i="37"/>
  <c r="L287" i="37"/>
  <c r="N287" i="37"/>
  <c r="J288" i="37"/>
  <c r="L288" i="37"/>
  <c r="N288" i="37"/>
  <c r="J289" i="37"/>
  <c r="L289" i="37"/>
  <c r="N289" i="37"/>
  <c r="J290" i="37"/>
  <c r="L290" i="37"/>
  <c r="N290" i="37"/>
  <c r="J291" i="37"/>
  <c r="L291" i="37"/>
  <c r="N291" i="37"/>
  <c r="J292" i="37"/>
  <c r="L292" i="37"/>
  <c r="N292" i="37"/>
  <c r="J293" i="37"/>
  <c r="L293" i="37"/>
  <c r="N293" i="37"/>
  <c r="J294" i="37"/>
  <c r="L294" i="37"/>
  <c r="N294" i="37"/>
  <c r="J295" i="37"/>
  <c r="L295" i="37"/>
  <c r="N295" i="37"/>
  <c r="J296" i="37"/>
  <c r="L296" i="37"/>
  <c r="N296" i="37"/>
  <c r="J297" i="37"/>
  <c r="L297" i="37"/>
  <c r="N297" i="37"/>
  <c r="J298" i="37"/>
  <c r="L298" i="37"/>
  <c r="N298" i="37"/>
  <c r="J299" i="37"/>
  <c r="L299" i="37"/>
  <c r="N299" i="37"/>
  <c r="J300" i="37"/>
  <c r="L300" i="37"/>
  <c r="N300" i="37"/>
  <c r="J301" i="37"/>
  <c r="L301" i="37"/>
  <c r="N301" i="37"/>
  <c r="J302" i="37"/>
  <c r="L302" i="37"/>
  <c r="N302" i="37"/>
  <c r="J303" i="37"/>
  <c r="L303" i="37"/>
  <c r="N303" i="37"/>
  <c r="J304" i="37"/>
  <c r="L304" i="37"/>
  <c r="N304" i="37"/>
  <c r="J305" i="37"/>
  <c r="L305" i="37"/>
  <c r="N305" i="37"/>
  <c r="J306" i="37"/>
  <c r="L306" i="37"/>
  <c r="N306" i="37"/>
  <c r="J307" i="37"/>
  <c r="L307" i="37"/>
  <c r="N307" i="37"/>
  <c r="J308" i="37"/>
  <c r="L308" i="37"/>
  <c r="N308" i="37"/>
  <c r="J309" i="37"/>
  <c r="L309" i="37"/>
  <c r="N309" i="37"/>
  <c r="J310" i="37"/>
  <c r="L310" i="37"/>
  <c r="N310" i="37"/>
  <c r="J311" i="37"/>
  <c r="L311" i="37"/>
  <c r="N311" i="37"/>
  <c r="J312" i="37"/>
  <c r="L312" i="37"/>
  <c r="N312" i="37"/>
  <c r="J313" i="37"/>
  <c r="L313" i="37"/>
  <c r="N313" i="37"/>
  <c r="J314" i="37"/>
  <c r="L314" i="37"/>
  <c r="N314" i="37"/>
  <c r="J315" i="37"/>
  <c r="L315" i="37"/>
  <c r="N315" i="37"/>
  <c r="J316" i="37"/>
  <c r="L316" i="37"/>
  <c r="N316" i="37"/>
  <c r="J317" i="37"/>
  <c r="L317" i="37"/>
  <c r="N317" i="37"/>
  <c r="J318" i="37"/>
  <c r="L318" i="37"/>
  <c r="N318" i="37"/>
  <c r="J319" i="37"/>
  <c r="L319" i="37"/>
  <c r="N319" i="37"/>
  <c r="J320" i="37"/>
  <c r="L320" i="37"/>
  <c r="N320" i="37"/>
  <c r="J321" i="37"/>
  <c r="L321" i="37"/>
  <c r="N321" i="37"/>
  <c r="J322" i="37"/>
  <c r="L322" i="37"/>
  <c r="N322" i="37"/>
  <c r="J323" i="37"/>
  <c r="L323" i="37"/>
  <c r="N323" i="37"/>
  <c r="J324" i="37"/>
  <c r="L324" i="37"/>
  <c r="N324" i="37"/>
  <c r="J325" i="37"/>
  <c r="L325" i="37"/>
  <c r="N325" i="37"/>
  <c r="J326" i="37"/>
  <c r="L326" i="37"/>
  <c r="N326" i="37"/>
  <c r="J327" i="37"/>
  <c r="L327" i="37"/>
  <c r="N327" i="37"/>
  <c r="J328" i="37"/>
  <c r="L328" i="37"/>
  <c r="N328" i="37"/>
  <c r="J329" i="37"/>
  <c r="L329" i="37"/>
  <c r="N329" i="37"/>
  <c r="J330" i="37"/>
  <c r="L330" i="37"/>
  <c r="N330" i="37"/>
  <c r="J331" i="37"/>
  <c r="L331" i="37"/>
  <c r="N331" i="37"/>
  <c r="J332" i="37"/>
  <c r="L332" i="37"/>
  <c r="N332" i="37"/>
  <c r="J333" i="37"/>
  <c r="L333" i="37"/>
  <c r="N333" i="37"/>
  <c r="J334" i="37"/>
  <c r="L334" i="37"/>
  <c r="N334" i="37"/>
  <c r="J335" i="37"/>
  <c r="L335" i="37"/>
  <c r="N335" i="37"/>
  <c r="J336" i="37"/>
  <c r="L336" i="37"/>
  <c r="N336" i="37"/>
  <c r="J337" i="37"/>
  <c r="L337" i="37"/>
  <c r="N337" i="37"/>
  <c r="J338" i="37"/>
  <c r="L338" i="37"/>
  <c r="N338" i="37"/>
  <c r="J339" i="37"/>
  <c r="L339" i="37"/>
  <c r="N339" i="37"/>
  <c r="J340" i="37"/>
  <c r="L340" i="37"/>
  <c r="N340" i="37"/>
  <c r="J341" i="37"/>
  <c r="L341" i="37"/>
  <c r="N341" i="37"/>
  <c r="J342" i="37"/>
  <c r="L342" i="37"/>
  <c r="N342" i="37"/>
  <c r="J343" i="37"/>
  <c r="L343" i="37"/>
  <c r="N343" i="37"/>
  <c r="J344" i="37"/>
  <c r="L344" i="37"/>
  <c r="N344" i="37"/>
  <c r="J345" i="37"/>
  <c r="L345" i="37"/>
  <c r="N345" i="37"/>
  <c r="J346" i="37"/>
  <c r="L346" i="37"/>
  <c r="N346" i="37"/>
  <c r="J347" i="37"/>
  <c r="L347" i="37"/>
  <c r="N347" i="37"/>
  <c r="J348" i="37"/>
  <c r="L348" i="37"/>
  <c r="N348" i="37"/>
  <c r="J349" i="37"/>
  <c r="L349" i="37"/>
  <c r="N349" i="37"/>
  <c r="J350" i="37"/>
  <c r="L350" i="37"/>
  <c r="N350" i="37"/>
  <c r="J351" i="37"/>
  <c r="L351" i="37"/>
  <c r="N351" i="37"/>
  <c r="J352" i="37"/>
  <c r="L352" i="37"/>
  <c r="N352" i="37"/>
  <c r="J353" i="37"/>
  <c r="L353" i="37"/>
  <c r="N353" i="37"/>
  <c r="J354" i="37"/>
  <c r="L354" i="37"/>
  <c r="N354" i="37"/>
  <c r="J355" i="37"/>
  <c r="L355" i="37"/>
  <c r="N355" i="37"/>
  <c r="J356" i="37"/>
  <c r="L356" i="37"/>
  <c r="N356" i="37"/>
  <c r="J357" i="37"/>
  <c r="L357" i="37"/>
  <c r="N357" i="37"/>
  <c r="J358" i="37"/>
  <c r="L358" i="37"/>
  <c r="N358" i="37"/>
  <c r="J359" i="37"/>
  <c r="L359" i="37"/>
  <c r="N359" i="37"/>
  <c r="J360" i="37"/>
  <c r="L360" i="37"/>
  <c r="N360" i="37"/>
  <c r="J361" i="37"/>
  <c r="L361" i="37"/>
  <c r="N361" i="37"/>
  <c r="J362" i="37"/>
  <c r="L362" i="37"/>
  <c r="N362" i="37"/>
  <c r="J363" i="37"/>
  <c r="L363" i="37"/>
  <c r="N363" i="37"/>
  <c r="J364" i="37"/>
  <c r="L364" i="37"/>
  <c r="N364" i="37"/>
  <c r="J365" i="37"/>
  <c r="L365" i="37"/>
  <c r="N365" i="37"/>
  <c r="J366" i="37"/>
  <c r="L366" i="37"/>
  <c r="N366" i="37"/>
  <c r="J367" i="37"/>
  <c r="L367" i="37"/>
  <c r="N367" i="37"/>
  <c r="J368" i="37"/>
  <c r="L368" i="37"/>
  <c r="N368" i="37"/>
  <c r="J369" i="37"/>
  <c r="L369" i="37"/>
  <c r="N369" i="37"/>
  <c r="J370" i="37"/>
  <c r="L370" i="37"/>
  <c r="N370" i="37"/>
  <c r="J371" i="37"/>
  <c r="L371" i="37"/>
  <c r="N371" i="37"/>
  <c r="J372" i="37"/>
  <c r="L372" i="37"/>
  <c r="N372" i="37"/>
  <c r="J373" i="37"/>
  <c r="L373" i="37"/>
  <c r="N373" i="37"/>
  <c r="J374" i="37"/>
  <c r="L374" i="37"/>
  <c r="N374" i="37"/>
  <c r="J375" i="37"/>
  <c r="L375" i="37"/>
  <c r="N375" i="37"/>
  <c r="J376" i="37"/>
  <c r="L376" i="37"/>
  <c r="N376" i="37"/>
  <c r="J377" i="37"/>
  <c r="L377" i="37"/>
  <c r="N377" i="37"/>
  <c r="J378" i="37"/>
  <c r="L378" i="37"/>
  <c r="N378" i="37"/>
  <c r="J379" i="37"/>
  <c r="L379" i="37"/>
  <c r="N379" i="37"/>
  <c r="J380" i="37"/>
  <c r="L380" i="37"/>
  <c r="N380" i="37"/>
  <c r="J381" i="37"/>
  <c r="L381" i="37"/>
  <c r="N381" i="37"/>
  <c r="J382" i="37"/>
  <c r="L382" i="37"/>
  <c r="N382" i="37"/>
  <c r="J383" i="37"/>
  <c r="L383" i="37"/>
  <c r="N383" i="37"/>
  <c r="J384" i="37"/>
  <c r="L384" i="37"/>
  <c r="N384" i="37"/>
  <c r="J385" i="37"/>
  <c r="L385" i="37"/>
  <c r="N385" i="37"/>
  <c r="J386" i="37"/>
  <c r="L386" i="37"/>
  <c r="N386" i="37"/>
  <c r="J387" i="37"/>
  <c r="L387" i="37"/>
  <c r="N387" i="37"/>
  <c r="J388" i="37"/>
  <c r="L388" i="37"/>
  <c r="N388" i="37"/>
  <c r="J389" i="37"/>
  <c r="L389" i="37"/>
  <c r="N389" i="37"/>
  <c r="J390" i="37"/>
  <c r="L390" i="37"/>
  <c r="N390" i="37"/>
  <c r="J391" i="37"/>
  <c r="L391" i="37"/>
  <c r="N391" i="37"/>
  <c r="J392" i="37"/>
  <c r="L392" i="37"/>
  <c r="N392" i="37"/>
  <c r="J393" i="37"/>
  <c r="L393" i="37"/>
  <c r="N393" i="37"/>
  <c r="J394" i="37"/>
  <c r="L394" i="37"/>
  <c r="N394" i="37"/>
  <c r="J395" i="37"/>
  <c r="L395" i="37"/>
  <c r="N395" i="37"/>
  <c r="J396" i="37"/>
  <c r="L396" i="37"/>
  <c r="N396" i="37"/>
  <c r="J397" i="37"/>
  <c r="L397" i="37"/>
  <c r="N397" i="37"/>
  <c r="J398" i="37"/>
  <c r="L398" i="37"/>
  <c r="N398" i="37"/>
  <c r="J399" i="37"/>
  <c r="L399" i="37"/>
  <c r="N399" i="37"/>
  <c r="J400" i="37"/>
  <c r="L400" i="37"/>
  <c r="N400" i="37"/>
  <c r="J401" i="37"/>
  <c r="L401" i="37"/>
  <c r="N401" i="37"/>
  <c r="J402" i="37"/>
  <c r="L402" i="37"/>
  <c r="N402" i="37"/>
  <c r="J403" i="37"/>
  <c r="L403" i="37"/>
  <c r="N403" i="37"/>
  <c r="J404" i="37"/>
  <c r="L404" i="37"/>
  <c r="N404" i="37"/>
  <c r="J405" i="37"/>
  <c r="L405" i="37"/>
  <c r="N405" i="37"/>
  <c r="J406" i="37"/>
  <c r="L406" i="37"/>
  <c r="N406" i="37"/>
  <c r="J407" i="37"/>
  <c r="L407" i="37"/>
  <c r="N407" i="37"/>
  <c r="J408" i="37"/>
  <c r="L408" i="37"/>
  <c r="N408" i="37"/>
  <c r="J409" i="37"/>
  <c r="L409" i="37"/>
  <c r="N409" i="37"/>
  <c r="J410" i="37"/>
  <c r="L410" i="37"/>
  <c r="N410" i="37"/>
  <c r="J411" i="37"/>
  <c r="L411" i="37"/>
  <c r="N411" i="37"/>
  <c r="J412" i="37"/>
  <c r="L412" i="37"/>
  <c r="N412" i="37"/>
  <c r="J413" i="37"/>
  <c r="L413" i="37"/>
  <c r="N413" i="37"/>
  <c r="J414" i="37"/>
  <c r="L414" i="37"/>
  <c r="N414" i="37"/>
  <c r="J415" i="37"/>
  <c r="L415" i="37"/>
  <c r="N415" i="37"/>
  <c r="J416" i="37"/>
  <c r="L416" i="37"/>
  <c r="N416" i="37"/>
  <c r="J417" i="37"/>
  <c r="L417" i="37"/>
  <c r="N417" i="37"/>
  <c r="J418" i="37"/>
  <c r="L418" i="37"/>
  <c r="N418" i="37"/>
  <c r="J419" i="37"/>
  <c r="L419" i="37"/>
  <c r="N419" i="37"/>
  <c r="J420" i="37"/>
  <c r="L420" i="37"/>
  <c r="N420" i="37"/>
  <c r="J421" i="37"/>
  <c r="L421" i="37"/>
  <c r="N421" i="37"/>
  <c r="J422" i="37"/>
  <c r="L422" i="37"/>
  <c r="N422" i="37"/>
  <c r="J423" i="37"/>
  <c r="L423" i="37"/>
  <c r="N423" i="37"/>
  <c r="J424" i="37"/>
  <c r="L424" i="37"/>
  <c r="N424" i="37"/>
  <c r="J425" i="37"/>
  <c r="L425" i="37"/>
  <c r="N425" i="37"/>
  <c r="J426" i="37"/>
  <c r="L426" i="37"/>
  <c r="N426" i="37"/>
  <c r="J427" i="37"/>
  <c r="L427" i="37"/>
  <c r="N427" i="37"/>
  <c r="J428" i="37"/>
  <c r="L428" i="37"/>
  <c r="N428" i="37"/>
  <c r="J429" i="37"/>
  <c r="L429" i="37"/>
  <c r="N429" i="37"/>
  <c r="J430" i="37"/>
  <c r="L430" i="37"/>
  <c r="N430" i="37"/>
  <c r="J431" i="37"/>
  <c r="L431" i="37"/>
  <c r="N431" i="37"/>
  <c r="J432" i="37"/>
  <c r="L432" i="37"/>
  <c r="N432" i="37"/>
  <c r="J433" i="37"/>
  <c r="L433" i="37"/>
  <c r="N433" i="37"/>
  <c r="J434" i="37"/>
  <c r="L434" i="37"/>
  <c r="N434" i="37"/>
  <c r="J435" i="37"/>
  <c r="L435" i="37"/>
  <c r="N435" i="37"/>
  <c r="J436" i="37"/>
  <c r="L436" i="37"/>
  <c r="N436" i="37"/>
  <c r="J437" i="37"/>
  <c r="L437" i="37"/>
  <c r="N437" i="37"/>
  <c r="J438" i="37"/>
  <c r="L438" i="37"/>
  <c r="N438" i="37"/>
  <c r="J439" i="37"/>
  <c r="L439" i="37"/>
  <c r="N439" i="37"/>
  <c r="J440" i="37"/>
  <c r="L440" i="37"/>
  <c r="N440" i="37"/>
  <c r="J441" i="37"/>
  <c r="L441" i="37"/>
  <c r="N441" i="37"/>
  <c r="J442" i="37"/>
  <c r="L442" i="37"/>
  <c r="N442" i="37"/>
  <c r="J443" i="37"/>
  <c r="L443" i="37"/>
  <c r="N443" i="37"/>
  <c r="J444" i="37"/>
  <c r="L444" i="37"/>
  <c r="N444" i="37"/>
  <c r="J445" i="37"/>
  <c r="L445" i="37"/>
  <c r="N445" i="37"/>
  <c r="J446" i="37"/>
  <c r="L446" i="37"/>
  <c r="N446" i="37"/>
  <c r="J447" i="37"/>
  <c r="L447" i="37"/>
  <c r="N447" i="37"/>
  <c r="J448" i="37"/>
  <c r="L448" i="37"/>
  <c r="N448" i="37"/>
  <c r="J449" i="37"/>
  <c r="L449" i="37"/>
  <c r="N449" i="37"/>
  <c r="J450" i="37"/>
  <c r="L450" i="37"/>
  <c r="N450" i="37"/>
  <c r="J451" i="37"/>
  <c r="L451" i="37"/>
  <c r="N451" i="37"/>
  <c r="J452" i="37"/>
  <c r="L452" i="37"/>
  <c r="N452" i="37"/>
  <c r="J453" i="37"/>
  <c r="L453" i="37"/>
  <c r="N453" i="37"/>
  <c r="J454" i="37"/>
  <c r="L454" i="37"/>
  <c r="N454" i="37"/>
  <c r="J455" i="37"/>
  <c r="L455" i="37"/>
  <c r="N455" i="37"/>
  <c r="J456" i="37"/>
  <c r="L456" i="37"/>
  <c r="N456" i="37"/>
  <c r="J457" i="37"/>
  <c r="L457" i="37"/>
  <c r="N457" i="37"/>
  <c r="J458" i="37"/>
  <c r="L458" i="37"/>
  <c r="N458" i="37"/>
  <c r="J459" i="37"/>
  <c r="L459" i="37"/>
  <c r="N459" i="37"/>
  <c r="J460" i="37"/>
  <c r="L460" i="37"/>
  <c r="N460" i="37"/>
  <c r="J461" i="37"/>
  <c r="L461" i="37"/>
  <c r="N461" i="37"/>
  <c r="J462" i="37"/>
  <c r="L462" i="37"/>
  <c r="N462" i="37"/>
  <c r="J463" i="37"/>
  <c r="L463" i="37"/>
  <c r="N463" i="37"/>
  <c r="J464" i="37"/>
  <c r="L464" i="37"/>
  <c r="N464" i="37"/>
  <c r="J465" i="37"/>
  <c r="L465" i="37"/>
  <c r="N465" i="37"/>
  <c r="J466" i="37"/>
  <c r="L466" i="37"/>
  <c r="N466" i="37"/>
  <c r="J467" i="37"/>
  <c r="L467" i="37"/>
  <c r="N467" i="37"/>
  <c r="J468" i="37"/>
  <c r="L468" i="37"/>
  <c r="N468" i="37"/>
  <c r="J469" i="37"/>
  <c r="L469" i="37"/>
  <c r="N469" i="37"/>
  <c r="J470" i="37"/>
  <c r="L470" i="37"/>
  <c r="N470" i="37"/>
  <c r="J471" i="37"/>
  <c r="L471" i="37"/>
  <c r="N471" i="37"/>
  <c r="J472" i="37"/>
  <c r="L472" i="37"/>
  <c r="N472" i="37"/>
  <c r="J473" i="37"/>
  <c r="L473" i="37"/>
  <c r="N473" i="37"/>
  <c r="J474" i="37"/>
  <c r="L474" i="37"/>
  <c r="N474" i="37"/>
  <c r="J475" i="37"/>
  <c r="L475" i="37"/>
  <c r="N475" i="37"/>
  <c r="J476" i="37"/>
  <c r="L476" i="37"/>
  <c r="N476" i="37"/>
  <c r="J477" i="37"/>
  <c r="L477" i="37"/>
  <c r="N477" i="37"/>
  <c r="J478" i="37"/>
  <c r="L478" i="37"/>
  <c r="N478" i="37"/>
  <c r="J479" i="37"/>
  <c r="L479" i="37"/>
  <c r="N479" i="37"/>
  <c r="J480" i="37"/>
  <c r="L480" i="37"/>
  <c r="N480" i="37"/>
  <c r="J481" i="37"/>
  <c r="L481" i="37"/>
  <c r="N481" i="37"/>
  <c r="J482" i="37"/>
  <c r="L482" i="37"/>
  <c r="N482" i="37"/>
  <c r="J483" i="37"/>
  <c r="L483" i="37"/>
  <c r="N483" i="37"/>
  <c r="J484" i="37"/>
  <c r="L484" i="37"/>
  <c r="N484" i="37"/>
  <c r="J485" i="37"/>
  <c r="L485" i="37"/>
  <c r="N485" i="37"/>
  <c r="J486" i="37"/>
  <c r="L486" i="37"/>
  <c r="N486" i="37"/>
  <c r="J487" i="37"/>
  <c r="L487" i="37"/>
  <c r="N487" i="37"/>
  <c r="J488" i="37"/>
  <c r="L488" i="37"/>
  <c r="N488" i="37"/>
  <c r="J489" i="37"/>
  <c r="L489" i="37"/>
  <c r="N489" i="37"/>
  <c r="J490" i="37"/>
  <c r="L490" i="37"/>
  <c r="N490" i="37"/>
  <c r="J491" i="37"/>
  <c r="L491" i="37"/>
  <c r="N491" i="37"/>
  <c r="J492" i="37"/>
  <c r="L492" i="37"/>
  <c r="N492" i="37"/>
  <c r="J493" i="37"/>
  <c r="L493" i="37"/>
  <c r="N493" i="37"/>
  <c r="J494" i="37"/>
  <c r="L494" i="37"/>
  <c r="N494" i="37"/>
  <c r="J495" i="37"/>
  <c r="L495" i="37"/>
  <c r="N495" i="37"/>
  <c r="J496" i="37"/>
  <c r="L496" i="37"/>
  <c r="N496" i="37"/>
  <c r="J497" i="37"/>
  <c r="L497" i="37"/>
  <c r="N497" i="37"/>
  <c r="J498" i="37"/>
  <c r="L498" i="37"/>
  <c r="N498" i="37"/>
  <c r="J499" i="37"/>
  <c r="L499" i="37"/>
  <c r="N499" i="37"/>
  <c r="J500" i="37"/>
  <c r="L500" i="37"/>
  <c r="N500" i="37"/>
  <c r="J501" i="37"/>
  <c r="L501" i="37"/>
  <c r="N501" i="37"/>
  <c r="J502" i="37"/>
  <c r="L502" i="37"/>
  <c r="N502" i="37"/>
  <c r="J503" i="37"/>
  <c r="L503" i="37"/>
  <c r="N503" i="37"/>
  <c r="J504" i="37"/>
  <c r="L504" i="37"/>
  <c r="N504" i="37"/>
  <c r="J505" i="37"/>
  <c r="L505" i="37"/>
  <c r="N505" i="37"/>
  <c r="J506" i="37"/>
  <c r="L506" i="37"/>
  <c r="N506" i="37"/>
  <c r="J507" i="37"/>
  <c r="L507" i="37"/>
  <c r="N507" i="37"/>
  <c r="J508" i="37"/>
  <c r="L508" i="37"/>
  <c r="N508" i="37"/>
  <c r="J509" i="37"/>
  <c r="L509" i="37"/>
  <c r="N509" i="37"/>
  <c r="J510" i="37"/>
  <c r="L510" i="37"/>
  <c r="N510" i="37"/>
  <c r="J511" i="37"/>
  <c r="L511" i="37"/>
  <c r="N511" i="37"/>
  <c r="J512" i="37"/>
  <c r="L512" i="37"/>
  <c r="N512" i="37"/>
  <c r="J513" i="37"/>
  <c r="L513" i="37"/>
  <c r="N513" i="37"/>
  <c r="J514" i="37"/>
  <c r="L514" i="37"/>
  <c r="N514" i="37"/>
  <c r="J515" i="37"/>
  <c r="L515" i="37"/>
  <c r="N515" i="37"/>
  <c r="K77" i="37"/>
  <c r="O77" i="37"/>
  <c r="Q77" i="37"/>
  <c r="K78" i="37"/>
  <c r="O78" i="37"/>
  <c r="Q78" i="37"/>
  <c r="K79" i="37"/>
  <c r="O79" i="37"/>
  <c r="Q79" i="37"/>
  <c r="K80" i="37"/>
  <c r="O80" i="37"/>
  <c r="Q80" i="37"/>
  <c r="K81" i="37"/>
  <c r="O81" i="37"/>
  <c r="Q81" i="37"/>
  <c r="K82" i="37"/>
  <c r="O82" i="37"/>
  <c r="Q82" i="37"/>
  <c r="K83" i="37"/>
  <c r="O83" i="37"/>
  <c r="Q83" i="37"/>
  <c r="K84" i="37"/>
  <c r="O84" i="37"/>
  <c r="Q84" i="37"/>
  <c r="K85" i="37"/>
  <c r="O85" i="37"/>
  <c r="Q85" i="37"/>
  <c r="K86" i="37"/>
  <c r="O86" i="37"/>
  <c r="Q86" i="37"/>
  <c r="K87" i="37"/>
  <c r="O87" i="37"/>
  <c r="Q87" i="37"/>
  <c r="K88" i="37"/>
  <c r="O88" i="37"/>
  <c r="Q88" i="37"/>
  <c r="K89" i="37"/>
  <c r="O89" i="37"/>
  <c r="Q89" i="37"/>
  <c r="K90" i="37"/>
  <c r="O90" i="37"/>
  <c r="Q90" i="37"/>
  <c r="K91" i="37"/>
  <c r="O91" i="37"/>
  <c r="Q91" i="37"/>
  <c r="K92" i="37"/>
  <c r="O92" i="37"/>
  <c r="Q92" i="37"/>
  <c r="K93" i="37"/>
  <c r="O93" i="37"/>
  <c r="Q93" i="37"/>
  <c r="K94" i="37"/>
  <c r="O94" i="37"/>
  <c r="Q94" i="37"/>
  <c r="K95" i="37"/>
  <c r="O95" i="37"/>
  <c r="Q95" i="37"/>
  <c r="K96" i="37"/>
  <c r="O96" i="37"/>
  <c r="Q96" i="37"/>
  <c r="K97" i="37"/>
  <c r="O97" i="37"/>
  <c r="Q97" i="37"/>
  <c r="K98" i="37"/>
  <c r="O98" i="37"/>
  <c r="Q98" i="37"/>
  <c r="K99" i="37"/>
  <c r="O99" i="37"/>
  <c r="Q99" i="37"/>
  <c r="K100" i="37"/>
  <c r="O100" i="37"/>
  <c r="Q100" i="37"/>
  <c r="K101" i="37"/>
  <c r="O101" i="37"/>
  <c r="Q101" i="37"/>
  <c r="K102" i="37"/>
  <c r="O102" i="37"/>
  <c r="Q102" i="37"/>
  <c r="K103" i="37"/>
  <c r="O103" i="37"/>
  <c r="Q103" i="37"/>
  <c r="K104" i="37"/>
  <c r="O104" i="37"/>
  <c r="Q104" i="37"/>
  <c r="K105" i="37"/>
  <c r="O105" i="37"/>
  <c r="Q105" i="37"/>
  <c r="K106" i="37"/>
  <c r="O106" i="37"/>
  <c r="Q106" i="37"/>
  <c r="K107" i="37"/>
  <c r="O107" i="37"/>
  <c r="Q107" i="37"/>
  <c r="K108" i="37"/>
  <c r="O108" i="37"/>
  <c r="Q108" i="37"/>
  <c r="K109" i="37"/>
  <c r="O109" i="37"/>
  <c r="Q109" i="37"/>
  <c r="K110" i="37"/>
  <c r="O110" i="37"/>
  <c r="Q110" i="37"/>
  <c r="K111" i="37"/>
  <c r="O111" i="37"/>
  <c r="Q111" i="37"/>
  <c r="K112" i="37"/>
  <c r="O112" i="37"/>
  <c r="Q112" i="37"/>
  <c r="K113" i="37"/>
  <c r="O113" i="37"/>
  <c r="Q113" i="37"/>
  <c r="K114" i="37"/>
  <c r="O114" i="37"/>
  <c r="Q114" i="37"/>
  <c r="K115" i="37"/>
  <c r="O115" i="37"/>
  <c r="Q115" i="37"/>
  <c r="K116" i="37"/>
  <c r="O116" i="37"/>
  <c r="Q116" i="37"/>
  <c r="K117" i="37"/>
  <c r="O117" i="37"/>
  <c r="Q117" i="37"/>
  <c r="K118" i="37"/>
  <c r="O118" i="37"/>
  <c r="Q118" i="37"/>
  <c r="K119" i="37"/>
  <c r="O119" i="37"/>
  <c r="Q119" i="37"/>
  <c r="K120" i="37"/>
  <c r="O120" i="37"/>
  <c r="Q120" i="37"/>
  <c r="K121" i="37"/>
  <c r="O121" i="37"/>
  <c r="Q121" i="37"/>
  <c r="K122" i="37"/>
  <c r="O122" i="37"/>
  <c r="Q122" i="37"/>
  <c r="K123" i="37"/>
  <c r="O123" i="37"/>
  <c r="Q123" i="37"/>
  <c r="K124" i="37"/>
  <c r="O124" i="37"/>
  <c r="Q124" i="37"/>
  <c r="K125" i="37"/>
  <c r="O125" i="37"/>
  <c r="Q125" i="37"/>
  <c r="K126" i="37"/>
  <c r="O126" i="37"/>
  <c r="Q126" i="37"/>
  <c r="K127" i="37"/>
  <c r="O127" i="37"/>
  <c r="Q127" i="37"/>
  <c r="K128" i="37"/>
  <c r="O128" i="37"/>
  <c r="Q128" i="37"/>
  <c r="K129" i="37"/>
  <c r="O129" i="37"/>
  <c r="Q129" i="37"/>
  <c r="K130" i="37"/>
  <c r="O130" i="37"/>
  <c r="Q130" i="37"/>
  <c r="K131" i="37"/>
  <c r="O131" i="37"/>
  <c r="Q131" i="37"/>
  <c r="K132" i="37"/>
  <c r="O132" i="37"/>
  <c r="Q132" i="37"/>
  <c r="K133" i="37"/>
  <c r="O133" i="37"/>
  <c r="Q133" i="37"/>
  <c r="K134" i="37"/>
  <c r="O134" i="37"/>
  <c r="Q134" i="37"/>
  <c r="K135" i="37"/>
  <c r="O135" i="37"/>
  <c r="Q135" i="37"/>
  <c r="K136" i="37"/>
  <c r="O136" i="37"/>
  <c r="Q136" i="37"/>
  <c r="K137" i="37"/>
  <c r="O137" i="37"/>
  <c r="Q137" i="37"/>
  <c r="K138" i="37"/>
  <c r="O138" i="37"/>
  <c r="Q138" i="37"/>
  <c r="K139" i="37"/>
  <c r="O139" i="37"/>
  <c r="Q139" i="37"/>
  <c r="K140" i="37"/>
  <c r="O140" i="37"/>
  <c r="Q140" i="37"/>
  <c r="K141" i="37"/>
  <c r="O141" i="37"/>
  <c r="Q141" i="37"/>
  <c r="K142" i="37"/>
  <c r="O142" i="37"/>
  <c r="Q142" i="37"/>
  <c r="K143" i="37"/>
  <c r="O143" i="37"/>
  <c r="Q143" i="37"/>
  <c r="K144" i="37"/>
  <c r="O144" i="37"/>
  <c r="Q144" i="37"/>
  <c r="K145" i="37"/>
  <c r="O145" i="37"/>
  <c r="Q145" i="37"/>
  <c r="K146" i="37"/>
  <c r="O146" i="37"/>
  <c r="Q146" i="37"/>
  <c r="K147" i="37"/>
  <c r="O147" i="37"/>
  <c r="Q147" i="37"/>
  <c r="K148" i="37"/>
  <c r="O148" i="37"/>
  <c r="Q148" i="37"/>
  <c r="K149" i="37"/>
  <c r="O149" i="37"/>
  <c r="Q149" i="37"/>
  <c r="K150" i="37"/>
  <c r="O150" i="37"/>
  <c r="Q150" i="37"/>
  <c r="K151" i="37"/>
  <c r="O151" i="37"/>
  <c r="Q151" i="37"/>
  <c r="K152" i="37"/>
  <c r="O152" i="37"/>
  <c r="Q152" i="37"/>
  <c r="K153" i="37"/>
  <c r="O153" i="37"/>
  <c r="Q153" i="37"/>
  <c r="K154" i="37"/>
  <c r="O154" i="37"/>
  <c r="Q154" i="37"/>
  <c r="K155" i="37"/>
  <c r="O155" i="37"/>
  <c r="Q155" i="37"/>
  <c r="K156" i="37"/>
  <c r="O156" i="37"/>
  <c r="Q156" i="37"/>
  <c r="K157" i="37"/>
  <c r="O157" i="37"/>
  <c r="Q157" i="37"/>
  <c r="K158" i="37"/>
  <c r="O158" i="37"/>
  <c r="Q158" i="37"/>
  <c r="K159" i="37"/>
  <c r="O159" i="37"/>
  <c r="Q159" i="37"/>
  <c r="K160" i="37"/>
  <c r="O160" i="37"/>
  <c r="Q160" i="37"/>
  <c r="K161" i="37"/>
  <c r="O161" i="37"/>
  <c r="Q161" i="37"/>
  <c r="K162" i="37"/>
  <c r="O162" i="37"/>
  <c r="Q162" i="37"/>
  <c r="K163" i="37"/>
  <c r="O163" i="37"/>
  <c r="Q163" i="37"/>
  <c r="K164" i="37"/>
  <c r="O164" i="37"/>
  <c r="Q164" i="37"/>
  <c r="K165" i="37"/>
  <c r="O165" i="37"/>
  <c r="Q165" i="37"/>
  <c r="K166" i="37"/>
  <c r="O166" i="37"/>
  <c r="Q166" i="37"/>
  <c r="K167" i="37"/>
  <c r="O167" i="37"/>
  <c r="Q167" i="37"/>
  <c r="K168" i="37"/>
  <c r="O168" i="37"/>
  <c r="Q168" i="37"/>
  <c r="K169" i="37"/>
  <c r="O169" i="37"/>
  <c r="Q169" i="37"/>
  <c r="K170" i="37"/>
  <c r="O170" i="37"/>
  <c r="Q170" i="37"/>
  <c r="K171" i="37"/>
  <c r="O171" i="37"/>
  <c r="Q171" i="37"/>
  <c r="K172" i="37"/>
  <c r="O172" i="37"/>
  <c r="Q172" i="37"/>
  <c r="K173" i="37"/>
  <c r="O173" i="37"/>
  <c r="Q173" i="37"/>
  <c r="K174" i="37"/>
  <c r="O174" i="37"/>
  <c r="Q174" i="37"/>
  <c r="K175" i="37"/>
  <c r="O175" i="37"/>
  <c r="Q175" i="37"/>
  <c r="K176" i="37"/>
  <c r="O176" i="37"/>
  <c r="Q176" i="37"/>
  <c r="K177" i="37"/>
  <c r="O177" i="37"/>
  <c r="Q177" i="37"/>
  <c r="K178" i="37"/>
  <c r="O178" i="37"/>
  <c r="Q178" i="37"/>
  <c r="K179" i="37"/>
  <c r="O179" i="37"/>
  <c r="Q179" i="37"/>
  <c r="K180" i="37"/>
  <c r="O180" i="37"/>
  <c r="Q180" i="37"/>
  <c r="K181" i="37"/>
  <c r="O181" i="37"/>
  <c r="Q181" i="37"/>
  <c r="K182" i="37"/>
  <c r="O182" i="37"/>
  <c r="Q182" i="37"/>
  <c r="K183" i="37"/>
  <c r="O183" i="37"/>
  <c r="Q183" i="37"/>
  <c r="K184" i="37"/>
  <c r="O184" i="37"/>
  <c r="Q184" i="37"/>
  <c r="K185" i="37"/>
  <c r="O185" i="37"/>
  <c r="Q185" i="37"/>
  <c r="K186" i="37"/>
  <c r="O186" i="37"/>
  <c r="Q186" i="37"/>
  <c r="K187" i="37"/>
  <c r="O187" i="37"/>
  <c r="Q187" i="37"/>
  <c r="K188" i="37"/>
  <c r="O188" i="37"/>
  <c r="Q188" i="37"/>
  <c r="K189" i="37"/>
  <c r="O189" i="37"/>
  <c r="Q189" i="37"/>
  <c r="K190" i="37"/>
  <c r="O190" i="37"/>
  <c r="Q190" i="37"/>
  <c r="K191" i="37"/>
  <c r="O191" i="37"/>
  <c r="Q191" i="37"/>
  <c r="K192" i="37"/>
  <c r="O192" i="37"/>
  <c r="Q192" i="37"/>
  <c r="K193" i="37"/>
  <c r="O193" i="37"/>
  <c r="Q193" i="37"/>
  <c r="K194" i="37"/>
  <c r="O194" i="37"/>
  <c r="Q194" i="37"/>
  <c r="K195" i="37"/>
  <c r="O195" i="37"/>
  <c r="Q195" i="37"/>
  <c r="K196" i="37"/>
  <c r="O196" i="37"/>
  <c r="Q196" i="37"/>
  <c r="K197" i="37"/>
  <c r="O197" i="37"/>
  <c r="Q197" i="37"/>
  <c r="K198" i="37"/>
  <c r="O198" i="37"/>
  <c r="Q198" i="37"/>
  <c r="K199" i="37"/>
  <c r="O199" i="37"/>
  <c r="Q199" i="37"/>
  <c r="K200" i="37"/>
  <c r="O200" i="37"/>
  <c r="Q200" i="37"/>
  <c r="K201" i="37"/>
  <c r="O201" i="37"/>
  <c r="Q201" i="37"/>
  <c r="K202" i="37"/>
  <c r="O202" i="37"/>
  <c r="Q202" i="37"/>
  <c r="K203" i="37"/>
  <c r="O203" i="37"/>
  <c r="Q203" i="37"/>
  <c r="K204" i="37"/>
  <c r="O204" i="37"/>
  <c r="Q204" i="37"/>
  <c r="K205" i="37"/>
  <c r="O205" i="37"/>
  <c r="Q205" i="37"/>
  <c r="K206" i="37"/>
  <c r="O206" i="37"/>
  <c r="Q206" i="37"/>
  <c r="K207" i="37"/>
  <c r="O207" i="37"/>
  <c r="Q207" i="37"/>
  <c r="K208" i="37"/>
  <c r="O208" i="37"/>
  <c r="Q208" i="37"/>
  <c r="K209" i="37"/>
  <c r="O209" i="37"/>
  <c r="Q209" i="37"/>
  <c r="K210" i="37"/>
  <c r="O210" i="37"/>
  <c r="Q210" i="37"/>
  <c r="K211" i="37"/>
  <c r="O211" i="37"/>
  <c r="Q211" i="37"/>
  <c r="K212" i="37"/>
  <c r="O212" i="37"/>
  <c r="Q212" i="37"/>
  <c r="K213" i="37"/>
  <c r="O213" i="37"/>
  <c r="Q213" i="37"/>
  <c r="K214" i="37"/>
  <c r="O214" i="37"/>
  <c r="Q214" i="37"/>
  <c r="K215" i="37"/>
  <c r="O215" i="37"/>
  <c r="Q215" i="37"/>
  <c r="K216" i="37"/>
  <c r="O216" i="37"/>
  <c r="Q216" i="37"/>
  <c r="K217" i="37"/>
  <c r="O217" i="37"/>
  <c r="Q217" i="37"/>
  <c r="K218" i="37"/>
  <c r="O218" i="37"/>
  <c r="Q218" i="37"/>
  <c r="K219" i="37"/>
  <c r="O219" i="37"/>
  <c r="Q219" i="37"/>
  <c r="K220" i="37"/>
  <c r="O220" i="37"/>
  <c r="Q220" i="37"/>
  <c r="K221" i="37"/>
  <c r="O221" i="37"/>
  <c r="Q221" i="37"/>
  <c r="K222" i="37"/>
  <c r="O222" i="37"/>
  <c r="Q222" i="37"/>
  <c r="K223" i="37"/>
  <c r="O223" i="37"/>
  <c r="Q223" i="37"/>
  <c r="K224" i="37"/>
  <c r="O224" i="37"/>
  <c r="Q224" i="37"/>
  <c r="K225" i="37"/>
  <c r="O225" i="37"/>
  <c r="Q225" i="37"/>
  <c r="K226" i="37"/>
  <c r="O226" i="37"/>
  <c r="Q226" i="37"/>
  <c r="K227" i="37"/>
  <c r="O227" i="37"/>
  <c r="Q227" i="37"/>
  <c r="K228" i="37"/>
  <c r="O228" i="37"/>
  <c r="Q228" i="37"/>
  <c r="K229" i="37"/>
  <c r="O229" i="37"/>
  <c r="Q229" i="37"/>
  <c r="K230" i="37"/>
  <c r="O230" i="37"/>
  <c r="Q230" i="37"/>
  <c r="K231" i="37"/>
  <c r="O231" i="37"/>
  <c r="Q231" i="37"/>
  <c r="K232" i="37"/>
  <c r="O232" i="37"/>
  <c r="Q232" i="37"/>
  <c r="K233" i="37"/>
  <c r="O233" i="37"/>
  <c r="Q233" i="37"/>
  <c r="K234" i="37"/>
  <c r="O234" i="37"/>
  <c r="Q234" i="37"/>
  <c r="K235" i="37"/>
  <c r="O235" i="37"/>
  <c r="Q235" i="37"/>
  <c r="K236" i="37"/>
  <c r="O236" i="37"/>
  <c r="Q236" i="37"/>
  <c r="K237" i="37"/>
  <c r="O237" i="37"/>
  <c r="Q237" i="37"/>
  <c r="K238" i="37"/>
  <c r="O238" i="37"/>
  <c r="Q238" i="37"/>
  <c r="K239" i="37"/>
  <c r="O239" i="37"/>
  <c r="Q239" i="37"/>
  <c r="K240" i="37"/>
  <c r="O240" i="37"/>
  <c r="Q240" i="37"/>
  <c r="K241" i="37"/>
  <c r="O241" i="37"/>
  <c r="Q241" i="37"/>
  <c r="K242" i="37"/>
  <c r="O242" i="37"/>
  <c r="Q242" i="37"/>
  <c r="K243" i="37"/>
  <c r="O243" i="37"/>
  <c r="Q243" i="37"/>
  <c r="K244" i="37"/>
  <c r="O244" i="37"/>
  <c r="Q244" i="37"/>
  <c r="K245" i="37"/>
  <c r="O245" i="37"/>
  <c r="Q245" i="37"/>
  <c r="K246" i="37"/>
  <c r="O246" i="37"/>
  <c r="Q246" i="37"/>
  <c r="K247" i="37"/>
  <c r="O247" i="37"/>
  <c r="Q247" i="37"/>
  <c r="K248" i="37"/>
  <c r="O248" i="37"/>
  <c r="Q248" i="37"/>
  <c r="K249" i="37"/>
  <c r="O249" i="37"/>
  <c r="Q249" i="37"/>
  <c r="K250" i="37"/>
  <c r="O250" i="37"/>
  <c r="Q250" i="37"/>
  <c r="K251" i="37"/>
  <c r="O251" i="37"/>
  <c r="Q251" i="37"/>
  <c r="K252" i="37"/>
  <c r="O252" i="37"/>
  <c r="Q252" i="37"/>
  <c r="K253" i="37"/>
  <c r="O253" i="37"/>
  <c r="Q253" i="37"/>
  <c r="K254" i="37"/>
  <c r="O254" i="37"/>
  <c r="Q254" i="37"/>
  <c r="K255" i="37"/>
  <c r="O255" i="37"/>
  <c r="Q255" i="37"/>
  <c r="K256" i="37"/>
  <c r="O256" i="37"/>
  <c r="Q256" i="37"/>
  <c r="K257" i="37"/>
  <c r="O257" i="37"/>
  <c r="Q257" i="37"/>
  <c r="K258" i="37"/>
  <c r="O258" i="37"/>
  <c r="Q258" i="37"/>
  <c r="K259" i="37"/>
  <c r="O259" i="37"/>
  <c r="Q259" i="37"/>
  <c r="K260" i="37"/>
  <c r="O260" i="37"/>
  <c r="Q260" i="37"/>
  <c r="K261" i="37"/>
  <c r="O261" i="37"/>
  <c r="Q261" i="37"/>
  <c r="K262" i="37"/>
  <c r="O262" i="37"/>
  <c r="Q262" i="37"/>
  <c r="K263" i="37"/>
  <c r="O263" i="37"/>
  <c r="Q263" i="37"/>
  <c r="K264" i="37"/>
  <c r="O264" i="37"/>
  <c r="Q264" i="37"/>
  <c r="K265" i="37"/>
  <c r="O265" i="37"/>
  <c r="Q265" i="37"/>
  <c r="K266" i="37"/>
  <c r="O266" i="37"/>
  <c r="Q266" i="37"/>
  <c r="K267" i="37"/>
  <c r="O267" i="37"/>
  <c r="Q267" i="37"/>
  <c r="K268" i="37"/>
  <c r="O268" i="37"/>
  <c r="Q268" i="37"/>
  <c r="K269" i="37"/>
  <c r="O269" i="37"/>
  <c r="Q269" i="37"/>
  <c r="K270" i="37"/>
  <c r="O270" i="37"/>
  <c r="Q270" i="37"/>
  <c r="K271" i="37"/>
  <c r="O271" i="37"/>
  <c r="Q271" i="37"/>
  <c r="K272" i="37"/>
  <c r="O272" i="37"/>
  <c r="Q272" i="37"/>
  <c r="K273" i="37"/>
  <c r="O273" i="37"/>
  <c r="Q273" i="37"/>
  <c r="K274" i="37"/>
  <c r="O274" i="37"/>
  <c r="Q274" i="37"/>
  <c r="K275" i="37"/>
  <c r="O275" i="37"/>
  <c r="Q275" i="37"/>
  <c r="K276" i="37"/>
  <c r="O276" i="37"/>
  <c r="Q276" i="37"/>
  <c r="K277" i="37"/>
  <c r="O277" i="37"/>
  <c r="Q277" i="37"/>
  <c r="K278" i="37"/>
  <c r="O278" i="37"/>
  <c r="Q278" i="37"/>
  <c r="K279" i="37"/>
  <c r="O279" i="37"/>
  <c r="Q279" i="37"/>
  <c r="K280" i="37"/>
  <c r="O280" i="37"/>
  <c r="Q280" i="37"/>
  <c r="K281" i="37"/>
  <c r="O281" i="37"/>
  <c r="Q281" i="37"/>
  <c r="K282" i="37"/>
  <c r="O282" i="37"/>
  <c r="Q282" i="37"/>
  <c r="K283" i="37"/>
  <c r="O283" i="37"/>
  <c r="Q283" i="37"/>
  <c r="K284" i="37"/>
  <c r="O284" i="37"/>
  <c r="Q284" i="37"/>
  <c r="K285" i="37"/>
  <c r="O285" i="37"/>
  <c r="Q285" i="37"/>
  <c r="K286" i="37"/>
  <c r="O286" i="37"/>
  <c r="Q286" i="37"/>
  <c r="K287" i="37"/>
  <c r="O287" i="37"/>
  <c r="Q287" i="37"/>
  <c r="K288" i="37"/>
  <c r="O288" i="37"/>
  <c r="Q288" i="37"/>
  <c r="K289" i="37"/>
  <c r="O289" i="37"/>
  <c r="Q289" i="37"/>
  <c r="K290" i="37"/>
  <c r="O290" i="37"/>
  <c r="Q290" i="37"/>
  <c r="K291" i="37"/>
  <c r="O291" i="37"/>
  <c r="Q291" i="37"/>
  <c r="K292" i="37"/>
  <c r="O292" i="37"/>
  <c r="Q292" i="37"/>
  <c r="K293" i="37"/>
  <c r="O293" i="37"/>
  <c r="Q293" i="37"/>
  <c r="K294" i="37"/>
  <c r="O294" i="37"/>
  <c r="Q294" i="37"/>
  <c r="K295" i="37"/>
  <c r="O295" i="37"/>
  <c r="Q295" i="37"/>
  <c r="K296" i="37"/>
  <c r="O296" i="37"/>
  <c r="Q296" i="37"/>
  <c r="K297" i="37"/>
  <c r="O297" i="37"/>
  <c r="Q297" i="37"/>
  <c r="K298" i="37"/>
  <c r="O298" i="37"/>
  <c r="Q298" i="37"/>
  <c r="K299" i="37"/>
  <c r="O299" i="37"/>
  <c r="Q299" i="37"/>
  <c r="K300" i="37"/>
  <c r="O300" i="37"/>
  <c r="Q300" i="37"/>
  <c r="K301" i="37"/>
  <c r="O301" i="37"/>
  <c r="Q301" i="37"/>
  <c r="K302" i="37"/>
  <c r="O302" i="37"/>
  <c r="Q302" i="37"/>
  <c r="K303" i="37"/>
  <c r="O303" i="37"/>
  <c r="Q303" i="37"/>
  <c r="K304" i="37"/>
  <c r="O304" i="37"/>
  <c r="Q304" i="37"/>
  <c r="K305" i="37"/>
  <c r="O305" i="37"/>
  <c r="Q305" i="37"/>
  <c r="K306" i="37"/>
  <c r="O306" i="37"/>
  <c r="Q306" i="37"/>
  <c r="K307" i="37"/>
  <c r="O307" i="37"/>
  <c r="Q307" i="37"/>
  <c r="K308" i="37"/>
  <c r="O308" i="37"/>
  <c r="Q308" i="37"/>
  <c r="K309" i="37"/>
  <c r="O309" i="37"/>
  <c r="Q309" i="37"/>
  <c r="K310" i="37"/>
  <c r="O310" i="37"/>
  <c r="Q310" i="37"/>
  <c r="K311" i="37"/>
  <c r="O311" i="37"/>
  <c r="Q311" i="37"/>
  <c r="K312" i="37"/>
  <c r="O312" i="37"/>
  <c r="Q312" i="37"/>
  <c r="K313" i="37"/>
  <c r="O313" i="37"/>
  <c r="Q313" i="37"/>
  <c r="K314" i="37"/>
  <c r="O314" i="37"/>
  <c r="Q314" i="37"/>
  <c r="K315" i="37"/>
  <c r="O315" i="37"/>
  <c r="Q315" i="37"/>
  <c r="K316" i="37"/>
  <c r="O316" i="37"/>
  <c r="Q316" i="37"/>
  <c r="K317" i="37"/>
  <c r="O317" i="37"/>
  <c r="Q317" i="37"/>
  <c r="K318" i="37"/>
  <c r="O318" i="37"/>
  <c r="Q318" i="37"/>
  <c r="K319" i="37"/>
  <c r="O319" i="37"/>
  <c r="Q319" i="37"/>
  <c r="K320" i="37"/>
  <c r="O320" i="37"/>
  <c r="Q320" i="37"/>
  <c r="K321" i="37"/>
  <c r="O321" i="37"/>
  <c r="Q321" i="37"/>
  <c r="K322" i="37"/>
  <c r="O322" i="37"/>
  <c r="Q322" i="37"/>
  <c r="K323" i="37"/>
  <c r="O323" i="37"/>
  <c r="Q323" i="37"/>
  <c r="K324" i="37"/>
  <c r="O324" i="37"/>
  <c r="Q324" i="37"/>
  <c r="K325" i="37"/>
  <c r="O325" i="37"/>
  <c r="Q325" i="37"/>
  <c r="K326" i="37"/>
  <c r="O326" i="37"/>
  <c r="Q326" i="37"/>
  <c r="K327" i="37"/>
  <c r="O327" i="37"/>
  <c r="Q327" i="37"/>
  <c r="K328" i="37"/>
  <c r="O328" i="37"/>
  <c r="Q328" i="37"/>
  <c r="K329" i="37"/>
  <c r="O329" i="37"/>
  <c r="Q329" i="37"/>
  <c r="K330" i="37"/>
  <c r="O330" i="37"/>
  <c r="Q330" i="37"/>
  <c r="K331" i="37"/>
  <c r="O331" i="37"/>
  <c r="Q331" i="37"/>
  <c r="K332" i="37"/>
  <c r="O332" i="37"/>
  <c r="Q332" i="37"/>
  <c r="K333" i="37"/>
  <c r="O333" i="37"/>
  <c r="Q333" i="37"/>
  <c r="K334" i="37"/>
  <c r="O334" i="37"/>
  <c r="Q334" i="37"/>
  <c r="K335" i="37"/>
  <c r="O335" i="37"/>
  <c r="Q335" i="37"/>
  <c r="K336" i="37"/>
  <c r="O336" i="37"/>
  <c r="Q336" i="37"/>
  <c r="K337" i="37"/>
  <c r="O337" i="37"/>
  <c r="Q337" i="37"/>
  <c r="K338" i="37"/>
  <c r="O338" i="37"/>
  <c r="Q338" i="37"/>
  <c r="K339" i="37"/>
  <c r="O339" i="37"/>
  <c r="Q339" i="37"/>
  <c r="K340" i="37"/>
  <c r="O340" i="37"/>
  <c r="Q340" i="37"/>
  <c r="K341" i="37"/>
  <c r="O341" i="37"/>
  <c r="Q341" i="37"/>
  <c r="K342" i="37"/>
  <c r="O342" i="37"/>
  <c r="Q342" i="37"/>
  <c r="K343" i="37"/>
  <c r="O343" i="37"/>
  <c r="Q343" i="37"/>
  <c r="K344" i="37"/>
  <c r="O344" i="37"/>
  <c r="Q344" i="37"/>
  <c r="K345" i="37"/>
  <c r="O345" i="37"/>
  <c r="Q345" i="37"/>
  <c r="K346" i="37"/>
  <c r="O346" i="37"/>
  <c r="Q346" i="37"/>
  <c r="K347" i="37"/>
  <c r="O347" i="37"/>
  <c r="Q347" i="37"/>
  <c r="K348" i="37"/>
  <c r="O348" i="37"/>
  <c r="Q348" i="37"/>
  <c r="K349" i="37"/>
  <c r="O349" i="37"/>
  <c r="Q349" i="37"/>
  <c r="K350" i="37"/>
  <c r="O350" i="37"/>
  <c r="Q350" i="37"/>
  <c r="K351" i="37"/>
  <c r="O351" i="37"/>
  <c r="Q351" i="37"/>
  <c r="K352" i="37"/>
  <c r="O352" i="37"/>
  <c r="Q352" i="37"/>
  <c r="K353" i="37"/>
  <c r="O353" i="37"/>
  <c r="Q353" i="37"/>
  <c r="K354" i="37"/>
  <c r="O354" i="37"/>
  <c r="Q354" i="37"/>
  <c r="K355" i="37"/>
  <c r="O355" i="37"/>
  <c r="Q355" i="37"/>
  <c r="K356" i="37"/>
  <c r="O356" i="37"/>
  <c r="Q356" i="37"/>
  <c r="K357" i="37"/>
  <c r="O357" i="37"/>
  <c r="Q357" i="37"/>
  <c r="K358" i="37"/>
  <c r="O358" i="37"/>
  <c r="Q358" i="37"/>
  <c r="K359" i="37"/>
  <c r="O359" i="37"/>
  <c r="Q359" i="37"/>
  <c r="K360" i="37"/>
  <c r="O360" i="37"/>
  <c r="Q360" i="37"/>
  <c r="K361" i="37"/>
  <c r="O361" i="37"/>
  <c r="Q361" i="37"/>
  <c r="K362" i="37"/>
  <c r="O362" i="37"/>
  <c r="Q362" i="37"/>
  <c r="K363" i="37"/>
  <c r="O363" i="37"/>
  <c r="Q363" i="37"/>
  <c r="K364" i="37"/>
  <c r="O364" i="37"/>
  <c r="Q364" i="37"/>
  <c r="K365" i="37"/>
  <c r="O365" i="37"/>
  <c r="Q365" i="37"/>
  <c r="K366" i="37"/>
  <c r="O366" i="37"/>
  <c r="Q366" i="37"/>
  <c r="K367" i="37"/>
  <c r="O367" i="37"/>
  <c r="Q367" i="37"/>
  <c r="K368" i="37"/>
  <c r="O368" i="37"/>
  <c r="Q368" i="37"/>
  <c r="K369" i="37"/>
  <c r="O369" i="37"/>
  <c r="Q369" i="37"/>
  <c r="K370" i="37"/>
  <c r="O370" i="37"/>
  <c r="Q370" i="37"/>
  <c r="K371" i="37"/>
  <c r="O371" i="37"/>
  <c r="Q371" i="37"/>
  <c r="K372" i="37"/>
  <c r="O372" i="37"/>
  <c r="Q372" i="37"/>
  <c r="K373" i="37"/>
  <c r="O373" i="37"/>
  <c r="Q373" i="37"/>
  <c r="K374" i="37"/>
  <c r="O374" i="37"/>
  <c r="Q374" i="37"/>
  <c r="K375" i="37"/>
  <c r="O375" i="37"/>
  <c r="Q375" i="37"/>
  <c r="K376" i="37"/>
  <c r="O376" i="37"/>
  <c r="Q376" i="37"/>
  <c r="K377" i="37"/>
  <c r="O377" i="37"/>
  <c r="Q377" i="37"/>
  <c r="K378" i="37"/>
  <c r="O378" i="37"/>
  <c r="Q378" i="37"/>
  <c r="K379" i="37"/>
  <c r="O379" i="37"/>
  <c r="Q379" i="37"/>
  <c r="K380" i="37"/>
  <c r="O380" i="37"/>
  <c r="Q380" i="37"/>
  <c r="K381" i="37"/>
  <c r="O381" i="37"/>
  <c r="Q381" i="37"/>
  <c r="K382" i="37"/>
  <c r="O382" i="37"/>
  <c r="Q382" i="37"/>
  <c r="K383" i="37"/>
  <c r="O383" i="37"/>
  <c r="Q383" i="37"/>
  <c r="K384" i="37"/>
  <c r="O384" i="37"/>
  <c r="Q384" i="37"/>
  <c r="K385" i="37"/>
  <c r="O385" i="37"/>
  <c r="Q385" i="37"/>
  <c r="K386" i="37"/>
  <c r="O386" i="37"/>
  <c r="Q386" i="37"/>
  <c r="K387" i="37"/>
  <c r="O387" i="37"/>
  <c r="Q387" i="37"/>
  <c r="K388" i="37"/>
  <c r="O388" i="37"/>
  <c r="Q388" i="37"/>
  <c r="K389" i="37"/>
  <c r="O389" i="37"/>
  <c r="Q389" i="37"/>
  <c r="K390" i="37"/>
  <c r="O390" i="37"/>
  <c r="Q390" i="37"/>
  <c r="K391" i="37"/>
  <c r="O391" i="37"/>
  <c r="Q391" i="37"/>
  <c r="K392" i="37"/>
  <c r="O392" i="37"/>
  <c r="Q392" i="37"/>
  <c r="K393" i="37"/>
  <c r="O393" i="37"/>
  <c r="Q393" i="37"/>
  <c r="K394" i="37"/>
  <c r="O394" i="37"/>
  <c r="Q394" i="37"/>
  <c r="K395" i="37"/>
  <c r="O395" i="37"/>
  <c r="Q395" i="37"/>
  <c r="K396" i="37"/>
  <c r="O396" i="37"/>
  <c r="Q396" i="37"/>
  <c r="K397" i="37"/>
  <c r="O397" i="37"/>
  <c r="Q397" i="37"/>
  <c r="K398" i="37"/>
  <c r="O398" i="37"/>
  <c r="Q398" i="37"/>
  <c r="K399" i="37"/>
  <c r="O399" i="37"/>
  <c r="Q399" i="37"/>
  <c r="K400" i="37"/>
  <c r="O400" i="37"/>
  <c r="Q400" i="37"/>
  <c r="K401" i="37"/>
  <c r="O401" i="37"/>
  <c r="Q401" i="37"/>
  <c r="K402" i="37"/>
  <c r="O402" i="37"/>
  <c r="Q402" i="37"/>
  <c r="K403" i="37"/>
  <c r="O403" i="37"/>
  <c r="Q403" i="37"/>
  <c r="K404" i="37"/>
  <c r="O404" i="37"/>
  <c r="Q404" i="37"/>
  <c r="K405" i="37"/>
  <c r="O405" i="37"/>
  <c r="Q405" i="37"/>
  <c r="K406" i="37"/>
  <c r="O406" i="37"/>
  <c r="Q406" i="37"/>
  <c r="K407" i="37"/>
  <c r="O407" i="37"/>
  <c r="Q407" i="37"/>
  <c r="K408" i="37"/>
  <c r="O408" i="37"/>
  <c r="Q408" i="37"/>
  <c r="K409" i="37"/>
  <c r="O409" i="37"/>
  <c r="Q409" i="37"/>
  <c r="K410" i="37"/>
  <c r="O410" i="37"/>
  <c r="Q410" i="37"/>
  <c r="K411" i="37"/>
  <c r="O411" i="37"/>
  <c r="Q411" i="37"/>
  <c r="K412" i="37"/>
  <c r="O412" i="37"/>
  <c r="Q412" i="37"/>
  <c r="K413" i="37"/>
  <c r="O413" i="37"/>
  <c r="Q413" i="37"/>
  <c r="K414" i="37"/>
  <c r="O414" i="37"/>
  <c r="Q414" i="37"/>
  <c r="K415" i="37"/>
  <c r="O415" i="37"/>
  <c r="Q415" i="37"/>
  <c r="K416" i="37"/>
  <c r="O416" i="37"/>
  <c r="Q416" i="37"/>
  <c r="K417" i="37"/>
  <c r="O417" i="37"/>
  <c r="Q417" i="37"/>
  <c r="K418" i="37"/>
  <c r="O418" i="37"/>
  <c r="Q418" i="37"/>
  <c r="K419" i="37"/>
  <c r="O419" i="37"/>
  <c r="Q419" i="37"/>
  <c r="K420" i="37"/>
  <c r="O420" i="37"/>
  <c r="Q420" i="37"/>
  <c r="K421" i="37"/>
  <c r="O421" i="37"/>
  <c r="Q421" i="37"/>
  <c r="K422" i="37"/>
  <c r="O422" i="37"/>
  <c r="Q422" i="37"/>
  <c r="K423" i="37"/>
  <c r="O423" i="37"/>
  <c r="Q423" i="37"/>
  <c r="K424" i="37"/>
  <c r="O424" i="37"/>
  <c r="Q424" i="37"/>
  <c r="K425" i="37"/>
  <c r="O425" i="37"/>
  <c r="Q425" i="37"/>
  <c r="K426" i="37"/>
  <c r="O426" i="37"/>
  <c r="Q426" i="37"/>
  <c r="K427" i="37"/>
  <c r="O427" i="37"/>
  <c r="Q427" i="37"/>
  <c r="K428" i="37"/>
  <c r="O428" i="37"/>
  <c r="Q428" i="37"/>
  <c r="K429" i="37"/>
  <c r="O429" i="37"/>
  <c r="Q429" i="37"/>
  <c r="K430" i="37"/>
  <c r="O430" i="37"/>
  <c r="Q430" i="37"/>
  <c r="K431" i="37"/>
  <c r="O431" i="37"/>
  <c r="Q431" i="37"/>
  <c r="K432" i="37"/>
  <c r="O432" i="37"/>
  <c r="Q432" i="37"/>
  <c r="K433" i="37"/>
  <c r="O433" i="37"/>
  <c r="Q433" i="37"/>
  <c r="K434" i="37"/>
  <c r="O434" i="37"/>
  <c r="Q434" i="37"/>
  <c r="K435" i="37"/>
  <c r="O435" i="37"/>
  <c r="Q435" i="37"/>
  <c r="K436" i="37"/>
  <c r="O436" i="37"/>
  <c r="Q436" i="37"/>
  <c r="K437" i="37"/>
  <c r="O437" i="37"/>
  <c r="Q437" i="37"/>
  <c r="K438" i="37"/>
  <c r="O438" i="37"/>
  <c r="Q438" i="37"/>
  <c r="K439" i="37"/>
  <c r="O439" i="37"/>
  <c r="Q439" i="37"/>
  <c r="K440" i="37"/>
  <c r="O440" i="37"/>
  <c r="Q440" i="37"/>
  <c r="K441" i="37"/>
  <c r="O441" i="37"/>
  <c r="Q441" i="37"/>
  <c r="K442" i="37"/>
  <c r="O442" i="37"/>
  <c r="Q442" i="37"/>
  <c r="K443" i="37"/>
  <c r="O443" i="37"/>
  <c r="Q443" i="37"/>
  <c r="K444" i="37"/>
  <c r="O444" i="37"/>
  <c r="Q444" i="37"/>
  <c r="K445" i="37"/>
  <c r="O445" i="37"/>
  <c r="Q445" i="37"/>
  <c r="K446" i="37"/>
  <c r="O446" i="37"/>
  <c r="Q446" i="37"/>
  <c r="K447" i="37"/>
  <c r="O447" i="37"/>
  <c r="Q447" i="37"/>
  <c r="K448" i="37"/>
  <c r="O448" i="37"/>
  <c r="Q448" i="37"/>
  <c r="K449" i="37"/>
  <c r="O449" i="37"/>
  <c r="Q449" i="37"/>
  <c r="K450" i="37"/>
  <c r="O450" i="37"/>
  <c r="Q450" i="37"/>
  <c r="K451" i="37"/>
  <c r="O451" i="37"/>
  <c r="Q451" i="37"/>
  <c r="K452" i="37"/>
  <c r="O452" i="37"/>
  <c r="Q452" i="37"/>
  <c r="K453" i="37"/>
  <c r="O453" i="37"/>
  <c r="Q453" i="37"/>
  <c r="K454" i="37"/>
  <c r="O454" i="37"/>
  <c r="Q454" i="37"/>
  <c r="K455" i="37"/>
  <c r="O455" i="37"/>
  <c r="Q455" i="37"/>
  <c r="K456" i="37"/>
  <c r="O456" i="37"/>
  <c r="Q456" i="37"/>
  <c r="K457" i="37"/>
  <c r="O457" i="37"/>
  <c r="Q457" i="37"/>
  <c r="K458" i="37"/>
  <c r="O458" i="37"/>
  <c r="Q458" i="37"/>
  <c r="K459" i="37"/>
  <c r="O459" i="37"/>
  <c r="Q459" i="37"/>
  <c r="K460" i="37"/>
  <c r="O460" i="37"/>
  <c r="Q460" i="37"/>
  <c r="K461" i="37"/>
  <c r="O461" i="37"/>
  <c r="Q461" i="37"/>
  <c r="K462" i="37"/>
  <c r="O462" i="37"/>
  <c r="Q462" i="37"/>
  <c r="K463" i="37"/>
  <c r="O463" i="37"/>
  <c r="Q463" i="37"/>
  <c r="K464" i="37"/>
  <c r="O464" i="37"/>
  <c r="Q464" i="37"/>
  <c r="K465" i="37"/>
  <c r="O465" i="37"/>
  <c r="Q465" i="37"/>
  <c r="K466" i="37"/>
  <c r="O466" i="37"/>
  <c r="Q466" i="37"/>
  <c r="K467" i="37"/>
  <c r="O467" i="37"/>
  <c r="Q467" i="37"/>
  <c r="K468" i="37"/>
  <c r="O468" i="37"/>
  <c r="Q468" i="37"/>
  <c r="K469" i="37"/>
  <c r="O469" i="37"/>
  <c r="Q469" i="37"/>
  <c r="K470" i="37"/>
  <c r="O470" i="37"/>
  <c r="Q470" i="37"/>
  <c r="K471" i="37"/>
  <c r="O471" i="37"/>
  <c r="Q471" i="37"/>
  <c r="K472" i="37"/>
  <c r="O472" i="37"/>
  <c r="Q472" i="37"/>
  <c r="K473" i="37"/>
  <c r="O473" i="37"/>
  <c r="Q473" i="37"/>
  <c r="K474" i="37"/>
  <c r="O474" i="37"/>
  <c r="Q474" i="37"/>
  <c r="K475" i="37"/>
  <c r="O475" i="37"/>
  <c r="Q475" i="37"/>
  <c r="K476" i="37"/>
  <c r="O476" i="37"/>
  <c r="Q476" i="37"/>
  <c r="K477" i="37"/>
  <c r="O477" i="37"/>
  <c r="Q477" i="37"/>
  <c r="K478" i="37"/>
  <c r="O478" i="37"/>
  <c r="Q478" i="37"/>
  <c r="K479" i="37"/>
  <c r="O479" i="37"/>
  <c r="Q479" i="37"/>
  <c r="K480" i="37"/>
  <c r="O480" i="37"/>
  <c r="Q480" i="37"/>
  <c r="K481" i="37"/>
  <c r="O481" i="37"/>
  <c r="Q481" i="37"/>
  <c r="K482" i="37"/>
  <c r="O482" i="37"/>
  <c r="Q482" i="37"/>
  <c r="K483" i="37"/>
  <c r="O483" i="37"/>
  <c r="Q483" i="37"/>
  <c r="K484" i="37"/>
  <c r="O484" i="37"/>
  <c r="Q484" i="37"/>
  <c r="K485" i="37"/>
  <c r="O485" i="37"/>
  <c r="Q485" i="37"/>
  <c r="K486" i="37"/>
  <c r="O486" i="37"/>
  <c r="Q486" i="37"/>
  <c r="K487" i="37"/>
  <c r="O487" i="37"/>
  <c r="Q487" i="37"/>
  <c r="K488" i="37"/>
  <c r="O488" i="37"/>
  <c r="Q488" i="37"/>
  <c r="K489" i="37"/>
  <c r="O489" i="37"/>
  <c r="Q489" i="37"/>
  <c r="K490" i="37"/>
  <c r="O490" i="37"/>
  <c r="Q490" i="37"/>
  <c r="K491" i="37"/>
  <c r="O491" i="37"/>
  <c r="Q491" i="37"/>
  <c r="K492" i="37"/>
  <c r="O492" i="37"/>
  <c r="Q492" i="37"/>
  <c r="K493" i="37"/>
  <c r="O493" i="37"/>
  <c r="Q493" i="37"/>
  <c r="K494" i="37"/>
  <c r="O494" i="37"/>
  <c r="Q494" i="37"/>
  <c r="K495" i="37"/>
  <c r="O495" i="37"/>
  <c r="Q495" i="37"/>
  <c r="K496" i="37"/>
  <c r="O496" i="37"/>
  <c r="Q496" i="37"/>
  <c r="K497" i="37"/>
  <c r="O497" i="37"/>
  <c r="Q497" i="37"/>
  <c r="K498" i="37"/>
  <c r="O498" i="37"/>
  <c r="Q498" i="37"/>
  <c r="K499" i="37"/>
  <c r="O499" i="37"/>
  <c r="Q499" i="37"/>
  <c r="K500" i="37"/>
  <c r="O500" i="37"/>
  <c r="Q500" i="37"/>
  <c r="K501" i="37"/>
  <c r="O501" i="37"/>
  <c r="Q501" i="37"/>
  <c r="K502" i="37"/>
  <c r="O502" i="37"/>
  <c r="Q502" i="37"/>
  <c r="K503" i="37"/>
  <c r="O503" i="37"/>
  <c r="Q503" i="37"/>
  <c r="K504" i="37"/>
  <c r="O504" i="37"/>
  <c r="Q504" i="37"/>
  <c r="K505" i="37"/>
  <c r="O505" i="37"/>
  <c r="Q505" i="37"/>
  <c r="K506" i="37"/>
  <c r="O506" i="37"/>
  <c r="Q506" i="37"/>
  <c r="K507" i="37"/>
  <c r="O507" i="37"/>
  <c r="Q507" i="37"/>
  <c r="K508" i="37"/>
  <c r="O508" i="37"/>
  <c r="Q508" i="37"/>
  <c r="K509" i="37"/>
  <c r="O509" i="37"/>
  <c r="Q509" i="37"/>
  <c r="K510" i="37"/>
  <c r="O510" i="37"/>
  <c r="Q510" i="37"/>
  <c r="K511" i="37"/>
  <c r="O511" i="37"/>
  <c r="Q511" i="37"/>
  <c r="K512" i="37"/>
  <c r="O512" i="37"/>
  <c r="Q512" i="37"/>
  <c r="K513" i="37"/>
  <c r="O513" i="37"/>
  <c r="Q513" i="37"/>
  <c r="K514" i="37"/>
  <c r="O514" i="37"/>
  <c r="Q514" i="37"/>
  <c r="K515" i="37"/>
  <c r="O515" i="37"/>
  <c r="Q515" i="37"/>
  <c r="K76" i="37"/>
  <c r="O76" i="37"/>
  <c r="Q76" i="37"/>
  <c r="I77" i="42"/>
  <c r="P77" i="42"/>
  <c r="F29" i="42"/>
  <c r="R77" i="42"/>
  <c r="U77" i="42"/>
  <c r="I78" i="42"/>
  <c r="P78" i="42"/>
  <c r="R78" i="42"/>
  <c r="U78" i="42"/>
  <c r="I79" i="42"/>
  <c r="P79" i="42"/>
  <c r="R79" i="42"/>
  <c r="U79" i="42"/>
  <c r="I80" i="42"/>
  <c r="P80" i="42"/>
  <c r="R80" i="42"/>
  <c r="U80" i="42"/>
  <c r="I81" i="42"/>
  <c r="P81" i="42"/>
  <c r="R81" i="42"/>
  <c r="U81" i="42"/>
  <c r="I82" i="42"/>
  <c r="P82" i="42"/>
  <c r="R82" i="42"/>
  <c r="U82" i="42"/>
  <c r="I83" i="42"/>
  <c r="P83" i="42"/>
  <c r="R83" i="42"/>
  <c r="U83" i="42"/>
  <c r="I84" i="42"/>
  <c r="P84" i="42"/>
  <c r="R84" i="42"/>
  <c r="U84" i="42"/>
  <c r="I85" i="42"/>
  <c r="P85" i="42"/>
  <c r="R85" i="42"/>
  <c r="U85" i="42"/>
  <c r="I86" i="42"/>
  <c r="P86" i="42"/>
  <c r="R86" i="42"/>
  <c r="U86" i="42"/>
  <c r="I87" i="42"/>
  <c r="P87" i="42"/>
  <c r="R87" i="42"/>
  <c r="U87" i="42"/>
  <c r="I88" i="42"/>
  <c r="P88" i="42"/>
  <c r="R88" i="42"/>
  <c r="U88" i="42"/>
  <c r="I89" i="42"/>
  <c r="P89" i="42"/>
  <c r="R89" i="42"/>
  <c r="U89" i="42"/>
  <c r="I90" i="42"/>
  <c r="P90" i="42"/>
  <c r="R90" i="42"/>
  <c r="U90" i="42"/>
  <c r="I91" i="42"/>
  <c r="P91" i="42"/>
  <c r="R91" i="42"/>
  <c r="U91" i="42"/>
  <c r="I92" i="42"/>
  <c r="P92" i="42"/>
  <c r="R92" i="42"/>
  <c r="U92" i="42"/>
  <c r="I93" i="42"/>
  <c r="P93" i="42"/>
  <c r="R93" i="42"/>
  <c r="U93" i="42"/>
  <c r="I94" i="42"/>
  <c r="P94" i="42"/>
  <c r="R94" i="42"/>
  <c r="U94" i="42"/>
  <c r="I95" i="42"/>
  <c r="P95" i="42"/>
  <c r="R95" i="42"/>
  <c r="U95" i="42"/>
  <c r="I96" i="42"/>
  <c r="P96" i="42"/>
  <c r="R96" i="42"/>
  <c r="U96" i="42"/>
  <c r="I97" i="42"/>
  <c r="P97" i="42"/>
  <c r="R97" i="42"/>
  <c r="U97" i="42"/>
  <c r="I98" i="42"/>
  <c r="P98" i="42"/>
  <c r="R98" i="42"/>
  <c r="U98" i="42"/>
  <c r="I99" i="42"/>
  <c r="P99" i="42"/>
  <c r="R99" i="42"/>
  <c r="U99" i="42"/>
  <c r="I100" i="42"/>
  <c r="P100" i="42"/>
  <c r="R100" i="42"/>
  <c r="U100" i="42"/>
  <c r="I101" i="42"/>
  <c r="P101" i="42"/>
  <c r="R101" i="42"/>
  <c r="U101" i="42"/>
  <c r="I102" i="42"/>
  <c r="P102" i="42"/>
  <c r="R102" i="42"/>
  <c r="U102" i="42"/>
  <c r="I103" i="42"/>
  <c r="P103" i="42"/>
  <c r="R103" i="42"/>
  <c r="U103" i="42"/>
  <c r="I104" i="42"/>
  <c r="P104" i="42"/>
  <c r="R104" i="42"/>
  <c r="U104" i="42"/>
  <c r="I105" i="42"/>
  <c r="P105" i="42"/>
  <c r="R105" i="42"/>
  <c r="U105" i="42"/>
  <c r="I106" i="42"/>
  <c r="P106" i="42"/>
  <c r="R106" i="42"/>
  <c r="U106" i="42"/>
  <c r="I107" i="42"/>
  <c r="P107" i="42"/>
  <c r="R107" i="42"/>
  <c r="U107" i="42"/>
  <c r="I108" i="42"/>
  <c r="P108" i="42"/>
  <c r="R108" i="42"/>
  <c r="U108" i="42"/>
  <c r="I109" i="42"/>
  <c r="P109" i="42"/>
  <c r="R109" i="42"/>
  <c r="U109" i="42"/>
  <c r="I110" i="42"/>
  <c r="P110" i="42"/>
  <c r="R110" i="42"/>
  <c r="U110" i="42"/>
  <c r="I111" i="42"/>
  <c r="P111" i="42"/>
  <c r="R111" i="42"/>
  <c r="U111" i="42"/>
  <c r="I112" i="42"/>
  <c r="P112" i="42"/>
  <c r="R112" i="42"/>
  <c r="U112" i="42"/>
  <c r="I113" i="42"/>
  <c r="P113" i="42"/>
  <c r="R113" i="42"/>
  <c r="U113" i="42"/>
  <c r="I114" i="42"/>
  <c r="P114" i="42"/>
  <c r="R114" i="42"/>
  <c r="U114" i="42"/>
  <c r="I115" i="42"/>
  <c r="P115" i="42"/>
  <c r="R115" i="42"/>
  <c r="U115" i="42"/>
  <c r="I116" i="42"/>
  <c r="P116" i="42"/>
  <c r="R116" i="42"/>
  <c r="U116" i="42"/>
  <c r="I117" i="42"/>
  <c r="P117" i="42"/>
  <c r="R117" i="42"/>
  <c r="U117" i="42"/>
  <c r="I118" i="42"/>
  <c r="P118" i="42"/>
  <c r="R118" i="42"/>
  <c r="U118" i="42"/>
  <c r="I119" i="42"/>
  <c r="P119" i="42"/>
  <c r="R119" i="42"/>
  <c r="U119" i="42"/>
  <c r="I120" i="42"/>
  <c r="P120" i="42"/>
  <c r="R120" i="42"/>
  <c r="U120" i="42"/>
  <c r="I121" i="42"/>
  <c r="P121" i="42"/>
  <c r="R121" i="42"/>
  <c r="U121" i="42"/>
  <c r="I122" i="42"/>
  <c r="P122" i="42"/>
  <c r="R122" i="42"/>
  <c r="U122" i="42"/>
  <c r="I123" i="42"/>
  <c r="P123" i="42"/>
  <c r="R123" i="42"/>
  <c r="U123" i="42"/>
  <c r="I124" i="42"/>
  <c r="P124" i="42"/>
  <c r="R124" i="42"/>
  <c r="U124" i="42"/>
  <c r="I125" i="42"/>
  <c r="P125" i="42"/>
  <c r="R125" i="42"/>
  <c r="U125" i="42"/>
  <c r="I126" i="42"/>
  <c r="P126" i="42"/>
  <c r="R126" i="42"/>
  <c r="U126" i="42"/>
  <c r="I127" i="42"/>
  <c r="P127" i="42"/>
  <c r="R127" i="42"/>
  <c r="U127" i="42"/>
  <c r="I128" i="42"/>
  <c r="P128" i="42"/>
  <c r="R128" i="42"/>
  <c r="U128" i="42"/>
  <c r="I129" i="42"/>
  <c r="P129" i="42"/>
  <c r="R129" i="42"/>
  <c r="U129" i="42"/>
  <c r="I130" i="42"/>
  <c r="P130" i="42"/>
  <c r="R130" i="42"/>
  <c r="U130" i="42"/>
  <c r="I131" i="42"/>
  <c r="P131" i="42"/>
  <c r="R131" i="42"/>
  <c r="U131" i="42"/>
  <c r="I132" i="42"/>
  <c r="P132" i="42"/>
  <c r="R132" i="42"/>
  <c r="U132" i="42"/>
  <c r="I133" i="42"/>
  <c r="P133" i="42"/>
  <c r="R133" i="42"/>
  <c r="U133" i="42"/>
  <c r="I134" i="42"/>
  <c r="P134" i="42"/>
  <c r="R134" i="42"/>
  <c r="U134" i="42"/>
  <c r="I135" i="42"/>
  <c r="P135" i="42"/>
  <c r="R135" i="42"/>
  <c r="U135" i="42"/>
  <c r="I136" i="42"/>
  <c r="P136" i="42"/>
  <c r="R136" i="42"/>
  <c r="U136" i="42"/>
  <c r="I137" i="42"/>
  <c r="P137" i="42"/>
  <c r="R137" i="42"/>
  <c r="U137" i="42"/>
  <c r="I138" i="42"/>
  <c r="P138" i="42"/>
  <c r="R138" i="42"/>
  <c r="U138" i="42"/>
  <c r="I139" i="42"/>
  <c r="P139" i="42"/>
  <c r="R139" i="42"/>
  <c r="U139" i="42"/>
  <c r="I140" i="42"/>
  <c r="P140" i="42"/>
  <c r="R140" i="42"/>
  <c r="U140" i="42"/>
  <c r="I141" i="42"/>
  <c r="P141" i="42"/>
  <c r="R141" i="42"/>
  <c r="U141" i="42"/>
  <c r="I142" i="42"/>
  <c r="P142" i="42"/>
  <c r="R142" i="42"/>
  <c r="U142" i="42"/>
  <c r="I143" i="42"/>
  <c r="P143" i="42"/>
  <c r="R143" i="42"/>
  <c r="U143" i="42"/>
  <c r="I144" i="42"/>
  <c r="P144" i="42"/>
  <c r="R144" i="42"/>
  <c r="U144" i="42"/>
  <c r="I145" i="42"/>
  <c r="P145" i="42"/>
  <c r="R145" i="42"/>
  <c r="U145" i="42"/>
  <c r="I146" i="42"/>
  <c r="P146" i="42"/>
  <c r="R146" i="42"/>
  <c r="U146" i="42"/>
  <c r="I147" i="42"/>
  <c r="P147" i="42"/>
  <c r="R147" i="42"/>
  <c r="U147" i="42"/>
  <c r="I148" i="42"/>
  <c r="P148" i="42"/>
  <c r="R148" i="42"/>
  <c r="U148" i="42"/>
  <c r="I149" i="42"/>
  <c r="P149" i="42"/>
  <c r="R149" i="42"/>
  <c r="U149" i="42"/>
  <c r="I150" i="42"/>
  <c r="P150" i="42"/>
  <c r="R150" i="42"/>
  <c r="U150" i="42"/>
  <c r="I151" i="42"/>
  <c r="P151" i="42"/>
  <c r="R151" i="42"/>
  <c r="U151" i="42"/>
  <c r="I152" i="42"/>
  <c r="P152" i="42"/>
  <c r="R152" i="42"/>
  <c r="U152" i="42"/>
  <c r="I153" i="42"/>
  <c r="P153" i="42"/>
  <c r="R153" i="42"/>
  <c r="U153" i="42"/>
  <c r="I154" i="42"/>
  <c r="P154" i="42"/>
  <c r="R154" i="42"/>
  <c r="U154" i="42"/>
  <c r="I155" i="42"/>
  <c r="P155" i="42"/>
  <c r="R155" i="42"/>
  <c r="U155" i="42"/>
  <c r="I156" i="42"/>
  <c r="P156" i="42"/>
  <c r="R156" i="42"/>
  <c r="U156" i="42"/>
  <c r="I157" i="42"/>
  <c r="P157" i="42"/>
  <c r="R157" i="42"/>
  <c r="U157" i="42"/>
  <c r="I158" i="42"/>
  <c r="P158" i="42"/>
  <c r="R158" i="42"/>
  <c r="U158" i="42"/>
  <c r="I159" i="42"/>
  <c r="P159" i="42"/>
  <c r="R159" i="42"/>
  <c r="U159" i="42"/>
  <c r="I160" i="42"/>
  <c r="P160" i="42"/>
  <c r="R160" i="42"/>
  <c r="U160" i="42"/>
  <c r="I161" i="42"/>
  <c r="P161" i="42"/>
  <c r="R161" i="42"/>
  <c r="U161" i="42"/>
  <c r="I162" i="42"/>
  <c r="P162" i="42"/>
  <c r="R162" i="42"/>
  <c r="U162" i="42"/>
  <c r="I163" i="42"/>
  <c r="P163" i="42"/>
  <c r="R163" i="42"/>
  <c r="U163" i="42"/>
  <c r="I164" i="42"/>
  <c r="P164" i="42"/>
  <c r="R164" i="42"/>
  <c r="U164" i="42"/>
  <c r="I165" i="42"/>
  <c r="P165" i="42"/>
  <c r="R165" i="42"/>
  <c r="U165" i="42"/>
  <c r="I166" i="42"/>
  <c r="P166" i="42"/>
  <c r="R166" i="42"/>
  <c r="U166" i="42"/>
  <c r="I167" i="42"/>
  <c r="P167" i="42"/>
  <c r="R167" i="42"/>
  <c r="U167" i="42"/>
  <c r="I168" i="42"/>
  <c r="P168" i="42"/>
  <c r="R168" i="42"/>
  <c r="U168" i="42"/>
  <c r="I169" i="42"/>
  <c r="P169" i="42"/>
  <c r="R169" i="42"/>
  <c r="U169" i="42"/>
  <c r="I170" i="42"/>
  <c r="P170" i="42"/>
  <c r="R170" i="42"/>
  <c r="U170" i="42"/>
  <c r="I171" i="42"/>
  <c r="P171" i="42"/>
  <c r="R171" i="42"/>
  <c r="U171" i="42"/>
  <c r="I172" i="42"/>
  <c r="P172" i="42"/>
  <c r="R172" i="42"/>
  <c r="U172" i="42"/>
  <c r="I173" i="42"/>
  <c r="P173" i="42"/>
  <c r="R173" i="42"/>
  <c r="U173" i="42"/>
  <c r="I174" i="42"/>
  <c r="P174" i="42"/>
  <c r="R174" i="42"/>
  <c r="U174" i="42"/>
  <c r="I175" i="42"/>
  <c r="P175" i="42"/>
  <c r="R175" i="42"/>
  <c r="U175" i="42"/>
  <c r="I176" i="42"/>
  <c r="P176" i="42"/>
  <c r="R176" i="42"/>
  <c r="U176" i="42"/>
  <c r="I177" i="42"/>
  <c r="P177" i="42"/>
  <c r="R177" i="42"/>
  <c r="U177" i="42"/>
  <c r="I178" i="42"/>
  <c r="P178" i="42"/>
  <c r="R178" i="42"/>
  <c r="U178" i="42"/>
  <c r="I179" i="42"/>
  <c r="P179" i="42"/>
  <c r="R179" i="42"/>
  <c r="U179" i="42"/>
  <c r="I180" i="42"/>
  <c r="P180" i="42"/>
  <c r="R180" i="42"/>
  <c r="U180" i="42"/>
  <c r="I181" i="42"/>
  <c r="P181" i="42"/>
  <c r="R181" i="42"/>
  <c r="U181" i="42"/>
  <c r="I182" i="42"/>
  <c r="P182" i="42"/>
  <c r="R182" i="42"/>
  <c r="U182" i="42"/>
  <c r="I183" i="42"/>
  <c r="P183" i="42"/>
  <c r="R183" i="42"/>
  <c r="U183" i="42"/>
  <c r="I184" i="42"/>
  <c r="P184" i="42"/>
  <c r="R184" i="42"/>
  <c r="U184" i="42"/>
  <c r="I185" i="42"/>
  <c r="P185" i="42"/>
  <c r="R185" i="42"/>
  <c r="U185" i="42"/>
  <c r="I186" i="42"/>
  <c r="P186" i="42"/>
  <c r="R186" i="42"/>
  <c r="U186" i="42"/>
  <c r="I187" i="42"/>
  <c r="P187" i="42"/>
  <c r="R187" i="42"/>
  <c r="U187" i="42"/>
  <c r="I188" i="42"/>
  <c r="P188" i="42"/>
  <c r="R188" i="42"/>
  <c r="U188" i="42"/>
  <c r="I189" i="42"/>
  <c r="P189" i="42"/>
  <c r="R189" i="42"/>
  <c r="U189" i="42"/>
  <c r="I190" i="42"/>
  <c r="P190" i="42"/>
  <c r="R190" i="42"/>
  <c r="U190" i="42"/>
  <c r="I191" i="42"/>
  <c r="P191" i="42"/>
  <c r="R191" i="42"/>
  <c r="U191" i="42"/>
  <c r="I192" i="42"/>
  <c r="P192" i="42"/>
  <c r="R192" i="42"/>
  <c r="U192" i="42"/>
  <c r="I193" i="42"/>
  <c r="P193" i="42"/>
  <c r="R193" i="42"/>
  <c r="U193" i="42"/>
  <c r="I194" i="42"/>
  <c r="P194" i="42"/>
  <c r="R194" i="42"/>
  <c r="U194" i="42"/>
  <c r="I195" i="42"/>
  <c r="P195" i="42"/>
  <c r="R195" i="42"/>
  <c r="U195" i="42"/>
  <c r="I196" i="42"/>
  <c r="P196" i="42"/>
  <c r="R196" i="42"/>
  <c r="U196" i="42"/>
  <c r="I197" i="42"/>
  <c r="P197" i="42"/>
  <c r="R197" i="42"/>
  <c r="U197" i="42"/>
  <c r="I198" i="42"/>
  <c r="P198" i="42"/>
  <c r="R198" i="42"/>
  <c r="U198" i="42"/>
  <c r="I199" i="42"/>
  <c r="P199" i="42"/>
  <c r="R199" i="42"/>
  <c r="U199" i="42"/>
  <c r="I200" i="42"/>
  <c r="P200" i="42"/>
  <c r="R200" i="42"/>
  <c r="U200" i="42"/>
  <c r="I201" i="42"/>
  <c r="P201" i="42"/>
  <c r="R201" i="42"/>
  <c r="U201" i="42"/>
  <c r="I202" i="42"/>
  <c r="P202" i="42"/>
  <c r="R202" i="42"/>
  <c r="U202" i="42"/>
  <c r="I203" i="42"/>
  <c r="P203" i="42"/>
  <c r="R203" i="42"/>
  <c r="U203" i="42"/>
  <c r="I204" i="42"/>
  <c r="P204" i="42"/>
  <c r="R204" i="42"/>
  <c r="U204" i="42"/>
  <c r="I205" i="42"/>
  <c r="P205" i="42"/>
  <c r="R205" i="42"/>
  <c r="U205" i="42"/>
  <c r="I206" i="42"/>
  <c r="P206" i="42"/>
  <c r="R206" i="42"/>
  <c r="U206" i="42"/>
  <c r="I207" i="42"/>
  <c r="P207" i="42"/>
  <c r="R207" i="42"/>
  <c r="U207" i="42"/>
  <c r="I208" i="42"/>
  <c r="P208" i="42"/>
  <c r="R208" i="42"/>
  <c r="U208" i="42"/>
  <c r="I209" i="42"/>
  <c r="P209" i="42"/>
  <c r="R209" i="42"/>
  <c r="U209" i="42"/>
  <c r="I210" i="42"/>
  <c r="P210" i="42"/>
  <c r="R210" i="42"/>
  <c r="U210" i="42"/>
  <c r="I211" i="42"/>
  <c r="P211" i="42"/>
  <c r="R211" i="42"/>
  <c r="U211" i="42"/>
  <c r="I212" i="42"/>
  <c r="P212" i="42"/>
  <c r="R212" i="42"/>
  <c r="U212" i="42"/>
  <c r="I213" i="42"/>
  <c r="P213" i="42"/>
  <c r="R213" i="42"/>
  <c r="U213" i="42"/>
  <c r="I214" i="42"/>
  <c r="P214" i="42"/>
  <c r="R214" i="42"/>
  <c r="U214" i="42"/>
  <c r="I215" i="42"/>
  <c r="P215" i="42"/>
  <c r="R215" i="42"/>
  <c r="U215" i="42"/>
  <c r="I216" i="42"/>
  <c r="P216" i="42"/>
  <c r="R216" i="42"/>
  <c r="U216" i="42"/>
  <c r="I217" i="42"/>
  <c r="P217" i="42"/>
  <c r="R217" i="42"/>
  <c r="U217" i="42"/>
  <c r="I218" i="42"/>
  <c r="P218" i="42"/>
  <c r="R218" i="42"/>
  <c r="U218" i="42"/>
  <c r="I219" i="42"/>
  <c r="P219" i="42"/>
  <c r="R219" i="42"/>
  <c r="U219" i="42"/>
  <c r="I220" i="42"/>
  <c r="P220" i="42"/>
  <c r="R220" i="42"/>
  <c r="U220" i="42"/>
  <c r="I221" i="42"/>
  <c r="P221" i="42"/>
  <c r="R221" i="42"/>
  <c r="U221" i="42"/>
  <c r="I222" i="42"/>
  <c r="P222" i="42"/>
  <c r="R222" i="42"/>
  <c r="U222" i="42"/>
  <c r="I223" i="42"/>
  <c r="P223" i="42"/>
  <c r="R223" i="42"/>
  <c r="U223" i="42"/>
  <c r="I224" i="42"/>
  <c r="P224" i="42"/>
  <c r="R224" i="42"/>
  <c r="U224" i="42"/>
  <c r="I225" i="42"/>
  <c r="P225" i="42"/>
  <c r="R225" i="42"/>
  <c r="U225" i="42"/>
  <c r="I226" i="42"/>
  <c r="P226" i="42"/>
  <c r="R226" i="42"/>
  <c r="U226" i="42"/>
  <c r="I227" i="42"/>
  <c r="P227" i="42"/>
  <c r="R227" i="42"/>
  <c r="U227" i="42"/>
  <c r="I228" i="42"/>
  <c r="P228" i="42"/>
  <c r="R228" i="42"/>
  <c r="U228" i="42"/>
  <c r="I229" i="42"/>
  <c r="P229" i="42"/>
  <c r="R229" i="42"/>
  <c r="U229" i="42"/>
  <c r="I230" i="42"/>
  <c r="P230" i="42"/>
  <c r="R230" i="42"/>
  <c r="U230" i="42"/>
  <c r="I231" i="42"/>
  <c r="P231" i="42"/>
  <c r="R231" i="42"/>
  <c r="U231" i="42"/>
  <c r="I232" i="42"/>
  <c r="P232" i="42"/>
  <c r="R232" i="42"/>
  <c r="U232" i="42"/>
  <c r="I233" i="42"/>
  <c r="P233" i="42"/>
  <c r="R233" i="42"/>
  <c r="U233" i="42"/>
  <c r="I234" i="42"/>
  <c r="P234" i="42"/>
  <c r="R234" i="42"/>
  <c r="U234" i="42"/>
  <c r="I235" i="42"/>
  <c r="P235" i="42"/>
  <c r="R235" i="42"/>
  <c r="U235" i="42"/>
  <c r="I236" i="42"/>
  <c r="P236" i="42"/>
  <c r="R236" i="42"/>
  <c r="U236" i="42"/>
  <c r="I237" i="42"/>
  <c r="P237" i="42"/>
  <c r="R237" i="42"/>
  <c r="U237" i="42"/>
  <c r="I238" i="42"/>
  <c r="P238" i="42"/>
  <c r="R238" i="42"/>
  <c r="U238" i="42"/>
  <c r="I239" i="42"/>
  <c r="P239" i="42"/>
  <c r="R239" i="42"/>
  <c r="U239" i="42"/>
  <c r="I240" i="42"/>
  <c r="P240" i="42"/>
  <c r="R240" i="42"/>
  <c r="U240" i="42"/>
  <c r="I241" i="42"/>
  <c r="P241" i="42"/>
  <c r="R241" i="42"/>
  <c r="U241" i="42"/>
  <c r="I242" i="42"/>
  <c r="P242" i="42"/>
  <c r="R242" i="42"/>
  <c r="U242" i="42"/>
  <c r="I243" i="42"/>
  <c r="P243" i="42"/>
  <c r="R243" i="42"/>
  <c r="U243" i="42"/>
  <c r="I244" i="42"/>
  <c r="P244" i="42"/>
  <c r="R244" i="42"/>
  <c r="U244" i="42"/>
  <c r="I245" i="42"/>
  <c r="P245" i="42"/>
  <c r="R245" i="42"/>
  <c r="U245" i="42"/>
  <c r="I246" i="42"/>
  <c r="P246" i="42"/>
  <c r="R246" i="42"/>
  <c r="U246" i="42"/>
  <c r="I247" i="42"/>
  <c r="P247" i="42"/>
  <c r="R247" i="42"/>
  <c r="U247" i="42"/>
  <c r="I248" i="42"/>
  <c r="P248" i="42"/>
  <c r="R248" i="42"/>
  <c r="U248" i="42"/>
  <c r="I249" i="42"/>
  <c r="P249" i="42"/>
  <c r="R249" i="42"/>
  <c r="U249" i="42"/>
  <c r="I250" i="42"/>
  <c r="P250" i="42"/>
  <c r="R250" i="42"/>
  <c r="U250" i="42"/>
  <c r="I251" i="42"/>
  <c r="P251" i="42"/>
  <c r="R251" i="42"/>
  <c r="U251" i="42"/>
  <c r="I252" i="42"/>
  <c r="P252" i="42"/>
  <c r="R252" i="42"/>
  <c r="U252" i="42"/>
  <c r="I253" i="42"/>
  <c r="P253" i="42"/>
  <c r="R253" i="42"/>
  <c r="U253" i="42"/>
  <c r="I254" i="42"/>
  <c r="P254" i="42"/>
  <c r="R254" i="42"/>
  <c r="U254" i="42"/>
  <c r="I255" i="42"/>
  <c r="P255" i="42"/>
  <c r="R255" i="42"/>
  <c r="U255" i="42"/>
  <c r="I256" i="42"/>
  <c r="P256" i="42"/>
  <c r="R256" i="42"/>
  <c r="U256" i="42"/>
  <c r="I257" i="42"/>
  <c r="P257" i="42"/>
  <c r="R257" i="42"/>
  <c r="U257" i="42"/>
  <c r="I258" i="42"/>
  <c r="P258" i="42"/>
  <c r="R258" i="42"/>
  <c r="U258" i="42"/>
  <c r="I259" i="42"/>
  <c r="P259" i="42"/>
  <c r="R259" i="42"/>
  <c r="U259" i="42"/>
  <c r="I260" i="42"/>
  <c r="P260" i="42"/>
  <c r="R260" i="42"/>
  <c r="U260" i="42"/>
  <c r="I261" i="42"/>
  <c r="P261" i="42"/>
  <c r="R261" i="42"/>
  <c r="U261" i="42"/>
  <c r="I262" i="42"/>
  <c r="P262" i="42"/>
  <c r="R262" i="42"/>
  <c r="U262" i="42"/>
  <c r="I263" i="42"/>
  <c r="P263" i="42"/>
  <c r="R263" i="42"/>
  <c r="U263" i="42"/>
  <c r="I264" i="42"/>
  <c r="P264" i="42"/>
  <c r="R264" i="42"/>
  <c r="U264" i="42"/>
  <c r="I265" i="42"/>
  <c r="P265" i="42"/>
  <c r="R265" i="42"/>
  <c r="U265" i="42"/>
  <c r="I266" i="42"/>
  <c r="P266" i="42"/>
  <c r="R266" i="42"/>
  <c r="U266" i="42"/>
  <c r="I267" i="42"/>
  <c r="P267" i="42"/>
  <c r="R267" i="42"/>
  <c r="U267" i="42"/>
  <c r="I268" i="42"/>
  <c r="P268" i="42"/>
  <c r="R268" i="42"/>
  <c r="U268" i="42"/>
  <c r="I269" i="42"/>
  <c r="P269" i="42"/>
  <c r="R269" i="42"/>
  <c r="U269" i="42"/>
  <c r="I270" i="42"/>
  <c r="P270" i="42"/>
  <c r="R270" i="42"/>
  <c r="U270" i="42"/>
  <c r="I271" i="42"/>
  <c r="P271" i="42"/>
  <c r="R271" i="42"/>
  <c r="U271" i="42"/>
  <c r="I272" i="42"/>
  <c r="P272" i="42"/>
  <c r="R272" i="42"/>
  <c r="U272" i="42"/>
  <c r="I273" i="42"/>
  <c r="P273" i="42"/>
  <c r="R273" i="42"/>
  <c r="U273" i="42"/>
  <c r="I274" i="42"/>
  <c r="P274" i="42"/>
  <c r="R274" i="42"/>
  <c r="U274" i="42"/>
  <c r="I275" i="42"/>
  <c r="P275" i="42"/>
  <c r="R275" i="42"/>
  <c r="U275" i="42"/>
  <c r="I276" i="42"/>
  <c r="P276" i="42"/>
  <c r="R276" i="42"/>
  <c r="U276" i="42"/>
  <c r="I277" i="42"/>
  <c r="P277" i="42"/>
  <c r="R277" i="42"/>
  <c r="U277" i="42"/>
  <c r="I278" i="42"/>
  <c r="P278" i="42"/>
  <c r="R278" i="42"/>
  <c r="U278" i="42"/>
  <c r="I279" i="42"/>
  <c r="P279" i="42"/>
  <c r="R279" i="42"/>
  <c r="U279" i="42"/>
  <c r="I280" i="42"/>
  <c r="P280" i="42"/>
  <c r="R280" i="42"/>
  <c r="U280" i="42"/>
  <c r="I281" i="42"/>
  <c r="P281" i="42"/>
  <c r="R281" i="42"/>
  <c r="U281" i="42"/>
  <c r="I282" i="42"/>
  <c r="P282" i="42"/>
  <c r="R282" i="42"/>
  <c r="U282" i="42"/>
  <c r="I283" i="42"/>
  <c r="P283" i="42"/>
  <c r="R283" i="42"/>
  <c r="U283" i="42"/>
  <c r="I284" i="42"/>
  <c r="P284" i="42"/>
  <c r="R284" i="42"/>
  <c r="U284" i="42"/>
  <c r="I285" i="42"/>
  <c r="P285" i="42"/>
  <c r="R285" i="42"/>
  <c r="U285" i="42"/>
  <c r="I286" i="42"/>
  <c r="P286" i="42"/>
  <c r="R286" i="42"/>
  <c r="U286" i="42"/>
  <c r="I287" i="42"/>
  <c r="P287" i="42"/>
  <c r="R287" i="42"/>
  <c r="U287" i="42"/>
  <c r="I288" i="42"/>
  <c r="P288" i="42"/>
  <c r="R288" i="42"/>
  <c r="U288" i="42"/>
  <c r="I289" i="42"/>
  <c r="P289" i="42"/>
  <c r="R289" i="42"/>
  <c r="U289" i="42"/>
  <c r="I290" i="42"/>
  <c r="P290" i="42"/>
  <c r="R290" i="42"/>
  <c r="U290" i="42"/>
  <c r="I291" i="42"/>
  <c r="P291" i="42"/>
  <c r="R291" i="42"/>
  <c r="U291" i="42"/>
  <c r="I292" i="42"/>
  <c r="P292" i="42"/>
  <c r="R292" i="42"/>
  <c r="U292" i="42"/>
  <c r="I293" i="42"/>
  <c r="P293" i="42"/>
  <c r="R293" i="42"/>
  <c r="U293" i="42"/>
  <c r="I294" i="42"/>
  <c r="P294" i="42"/>
  <c r="R294" i="42"/>
  <c r="U294" i="42"/>
  <c r="I295" i="42"/>
  <c r="P295" i="42"/>
  <c r="R295" i="42"/>
  <c r="U295" i="42"/>
  <c r="I296" i="42"/>
  <c r="P296" i="42"/>
  <c r="R296" i="42"/>
  <c r="U296" i="42"/>
  <c r="I297" i="42"/>
  <c r="P297" i="42"/>
  <c r="R297" i="42"/>
  <c r="U297" i="42"/>
  <c r="I298" i="42"/>
  <c r="P298" i="42"/>
  <c r="R298" i="42"/>
  <c r="U298" i="42"/>
  <c r="I299" i="42"/>
  <c r="P299" i="42"/>
  <c r="R299" i="42"/>
  <c r="U299" i="42"/>
  <c r="I300" i="42"/>
  <c r="P300" i="42"/>
  <c r="R300" i="42"/>
  <c r="U300" i="42"/>
  <c r="I301" i="42"/>
  <c r="P301" i="42"/>
  <c r="R301" i="42"/>
  <c r="U301" i="42"/>
  <c r="I302" i="42"/>
  <c r="P302" i="42"/>
  <c r="R302" i="42"/>
  <c r="U302" i="42"/>
  <c r="I303" i="42"/>
  <c r="P303" i="42"/>
  <c r="R303" i="42"/>
  <c r="U303" i="42"/>
  <c r="I304" i="42"/>
  <c r="P304" i="42"/>
  <c r="R304" i="42"/>
  <c r="U304" i="42"/>
  <c r="I305" i="42"/>
  <c r="P305" i="42"/>
  <c r="R305" i="42"/>
  <c r="U305" i="42"/>
  <c r="I306" i="42"/>
  <c r="P306" i="42"/>
  <c r="R306" i="42"/>
  <c r="U306" i="42"/>
  <c r="I307" i="42"/>
  <c r="P307" i="42"/>
  <c r="R307" i="42"/>
  <c r="U307" i="42"/>
  <c r="I308" i="42"/>
  <c r="P308" i="42"/>
  <c r="R308" i="42"/>
  <c r="U308" i="42"/>
  <c r="I309" i="42"/>
  <c r="P309" i="42"/>
  <c r="R309" i="42"/>
  <c r="U309" i="42"/>
  <c r="I310" i="42"/>
  <c r="P310" i="42"/>
  <c r="R310" i="42"/>
  <c r="U310" i="42"/>
  <c r="I311" i="42"/>
  <c r="P311" i="42"/>
  <c r="R311" i="42"/>
  <c r="U311" i="42"/>
  <c r="I312" i="42"/>
  <c r="P312" i="42"/>
  <c r="R312" i="42"/>
  <c r="U312" i="42"/>
  <c r="I313" i="42"/>
  <c r="P313" i="42"/>
  <c r="R313" i="42"/>
  <c r="U313" i="42"/>
  <c r="I314" i="42"/>
  <c r="P314" i="42"/>
  <c r="R314" i="42"/>
  <c r="U314" i="42"/>
  <c r="I315" i="42"/>
  <c r="P315" i="42"/>
  <c r="R315" i="42"/>
  <c r="U315" i="42"/>
  <c r="I316" i="42"/>
  <c r="P316" i="42"/>
  <c r="R316" i="42"/>
  <c r="U316" i="42"/>
  <c r="I317" i="42"/>
  <c r="P317" i="42"/>
  <c r="R317" i="42"/>
  <c r="U317" i="42"/>
  <c r="I318" i="42"/>
  <c r="P318" i="42"/>
  <c r="R318" i="42"/>
  <c r="U318" i="42"/>
  <c r="I319" i="42"/>
  <c r="P319" i="42"/>
  <c r="R319" i="42"/>
  <c r="U319" i="42"/>
  <c r="I320" i="42"/>
  <c r="P320" i="42"/>
  <c r="R320" i="42"/>
  <c r="U320" i="42"/>
  <c r="I321" i="42"/>
  <c r="P321" i="42"/>
  <c r="R321" i="42"/>
  <c r="U321" i="42"/>
  <c r="I322" i="42"/>
  <c r="P322" i="42"/>
  <c r="R322" i="42"/>
  <c r="U322" i="42"/>
  <c r="I323" i="42"/>
  <c r="P323" i="42"/>
  <c r="R323" i="42"/>
  <c r="U323" i="42"/>
  <c r="I324" i="42"/>
  <c r="P324" i="42"/>
  <c r="R324" i="42"/>
  <c r="U324" i="42"/>
  <c r="I325" i="42"/>
  <c r="P325" i="42"/>
  <c r="R325" i="42"/>
  <c r="U325" i="42"/>
  <c r="I326" i="42"/>
  <c r="P326" i="42"/>
  <c r="R326" i="42"/>
  <c r="U326" i="42"/>
  <c r="I327" i="42"/>
  <c r="P327" i="42"/>
  <c r="R327" i="42"/>
  <c r="U327" i="42"/>
  <c r="I328" i="42"/>
  <c r="P328" i="42"/>
  <c r="R328" i="42"/>
  <c r="U328" i="42"/>
  <c r="I329" i="42"/>
  <c r="P329" i="42"/>
  <c r="R329" i="42"/>
  <c r="U329" i="42"/>
  <c r="I330" i="42"/>
  <c r="P330" i="42"/>
  <c r="R330" i="42"/>
  <c r="U330" i="42"/>
  <c r="I331" i="42"/>
  <c r="P331" i="42"/>
  <c r="R331" i="42"/>
  <c r="U331" i="42"/>
  <c r="I332" i="42"/>
  <c r="P332" i="42"/>
  <c r="R332" i="42"/>
  <c r="U332" i="42"/>
  <c r="I333" i="42"/>
  <c r="P333" i="42"/>
  <c r="R333" i="42"/>
  <c r="U333" i="42"/>
  <c r="I334" i="42"/>
  <c r="P334" i="42"/>
  <c r="R334" i="42"/>
  <c r="U334" i="42"/>
  <c r="I335" i="42"/>
  <c r="P335" i="42"/>
  <c r="R335" i="42"/>
  <c r="U335" i="42"/>
  <c r="I336" i="42"/>
  <c r="P336" i="42"/>
  <c r="R336" i="42"/>
  <c r="U336" i="42"/>
  <c r="I337" i="42"/>
  <c r="P337" i="42"/>
  <c r="R337" i="42"/>
  <c r="U337" i="42"/>
  <c r="I338" i="42"/>
  <c r="P338" i="42"/>
  <c r="R338" i="42"/>
  <c r="U338" i="42"/>
  <c r="I339" i="42"/>
  <c r="P339" i="42"/>
  <c r="R339" i="42"/>
  <c r="U339" i="42"/>
  <c r="I340" i="42"/>
  <c r="P340" i="42"/>
  <c r="R340" i="42"/>
  <c r="U340" i="42"/>
  <c r="I341" i="42"/>
  <c r="P341" i="42"/>
  <c r="R341" i="42"/>
  <c r="U341" i="42"/>
  <c r="I342" i="42"/>
  <c r="P342" i="42"/>
  <c r="R342" i="42"/>
  <c r="U342" i="42"/>
  <c r="I343" i="42"/>
  <c r="P343" i="42"/>
  <c r="R343" i="42"/>
  <c r="U343" i="42"/>
  <c r="I344" i="42"/>
  <c r="P344" i="42"/>
  <c r="R344" i="42"/>
  <c r="U344" i="42"/>
  <c r="I345" i="42"/>
  <c r="P345" i="42"/>
  <c r="R345" i="42"/>
  <c r="U345" i="42"/>
  <c r="I346" i="42"/>
  <c r="P346" i="42"/>
  <c r="R346" i="42"/>
  <c r="U346" i="42"/>
  <c r="I347" i="42"/>
  <c r="P347" i="42"/>
  <c r="R347" i="42"/>
  <c r="U347" i="42"/>
  <c r="I348" i="42"/>
  <c r="P348" i="42"/>
  <c r="R348" i="42"/>
  <c r="U348" i="42"/>
  <c r="I349" i="42"/>
  <c r="P349" i="42"/>
  <c r="R349" i="42"/>
  <c r="U349" i="42"/>
  <c r="I350" i="42"/>
  <c r="P350" i="42"/>
  <c r="R350" i="42"/>
  <c r="U350" i="42"/>
  <c r="I351" i="42"/>
  <c r="P351" i="42"/>
  <c r="R351" i="42"/>
  <c r="U351" i="42"/>
  <c r="I352" i="42"/>
  <c r="P352" i="42"/>
  <c r="R352" i="42"/>
  <c r="U352" i="42"/>
  <c r="I353" i="42"/>
  <c r="P353" i="42"/>
  <c r="R353" i="42"/>
  <c r="U353" i="42"/>
  <c r="I354" i="42"/>
  <c r="P354" i="42"/>
  <c r="R354" i="42"/>
  <c r="U354" i="42"/>
  <c r="I355" i="42"/>
  <c r="P355" i="42"/>
  <c r="R355" i="42"/>
  <c r="U355" i="42"/>
  <c r="I356" i="42"/>
  <c r="P356" i="42"/>
  <c r="R356" i="42"/>
  <c r="U356" i="42"/>
  <c r="I357" i="42"/>
  <c r="P357" i="42"/>
  <c r="R357" i="42"/>
  <c r="U357" i="42"/>
  <c r="I358" i="42"/>
  <c r="P358" i="42"/>
  <c r="R358" i="42"/>
  <c r="U358" i="42"/>
  <c r="I359" i="42"/>
  <c r="P359" i="42"/>
  <c r="R359" i="42"/>
  <c r="U359" i="42"/>
  <c r="I360" i="42"/>
  <c r="P360" i="42"/>
  <c r="R360" i="42"/>
  <c r="U360" i="42"/>
  <c r="I361" i="42"/>
  <c r="P361" i="42"/>
  <c r="R361" i="42"/>
  <c r="U361" i="42"/>
  <c r="I362" i="42"/>
  <c r="P362" i="42"/>
  <c r="R362" i="42"/>
  <c r="U362" i="42"/>
  <c r="I363" i="42"/>
  <c r="P363" i="42"/>
  <c r="R363" i="42"/>
  <c r="U363" i="42"/>
  <c r="I364" i="42"/>
  <c r="P364" i="42"/>
  <c r="R364" i="42"/>
  <c r="U364" i="42"/>
  <c r="I365" i="42"/>
  <c r="P365" i="42"/>
  <c r="R365" i="42"/>
  <c r="U365" i="42"/>
  <c r="I366" i="42"/>
  <c r="P366" i="42"/>
  <c r="R366" i="42"/>
  <c r="U366" i="42"/>
  <c r="I367" i="42"/>
  <c r="P367" i="42"/>
  <c r="R367" i="42"/>
  <c r="U367" i="42"/>
  <c r="I368" i="42"/>
  <c r="P368" i="42"/>
  <c r="R368" i="42"/>
  <c r="U368" i="42"/>
  <c r="I369" i="42"/>
  <c r="P369" i="42"/>
  <c r="R369" i="42"/>
  <c r="U369" i="42"/>
  <c r="I370" i="42"/>
  <c r="P370" i="42"/>
  <c r="R370" i="42"/>
  <c r="U370" i="42"/>
  <c r="I371" i="42"/>
  <c r="P371" i="42"/>
  <c r="R371" i="42"/>
  <c r="U371" i="42"/>
  <c r="I372" i="42"/>
  <c r="P372" i="42"/>
  <c r="R372" i="42"/>
  <c r="U372" i="42"/>
  <c r="I373" i="42"/>
  <c r="P373" i="42"/>
  <c r="R373" i="42"/>
  <c r="U373" i="42"/>
  <c r="I374" i="42"/>
  <c r="P374" i="42"/>
  <c r="R374" i="42"/>
  <c r="U374" i="42"/>
  <c r="I375" i="42"/>
  <c r="P375" i="42"/>
  <c r="R375" i="42"/>
  <c r="U375" i="42"/>
  <c r="I376" i="42"/>
  <c r="P376" i="42"/>
  <c r="R376" i="42"/>
  <c r="U376" i="42"/>
  <c r="I377" i="42"/>
  <c r="P377" i="42"/>
  <c r="R377" i="42"/>
  <c r="U377" i="42"/>
  <c r="I378" i="42"/>
  <c r="P378" i="42"/>
  <c r="R378" i="42"/>
  <c r="U378" i="42"/>
  <c r="I379" i="42"/>
  <c r="P379" i="42"/>
  <c r="R379" i="42"/>
  <c r="U379" i="42"/>
  <c r="I380" i="42"/>
  <c r="P380" i="42"/>
  <c r="R380" i="42"/>
  <c r="U380" i="42"/>
  <c r="I381" i="42"/>
  <c r="P381" i="42"/>
  <c r="R381" i="42"/>
  <c r="U381" i="42"/>
  <c r="I382" i="42"/>
  <c r="P382" i="42"/>
  <c r="R382" i="42"/>
  <c r="U382" i="42"/>
  <c r="I383" i="42"/>
  <c r="P383" i="42"/>
  <c r="R383" i="42"/>
  <c r="U383" i="42"/>
  <c r="P384" i="42"/>
  <c r="R384" i="42"/>
  <c r="U384" i="42"/>
  <c r="I385" i="42"/>
  <c r="P385" i="42"/>
  <c r="R385" i="42"/>
  <c r="U385" i="42"/>
  <c r="I386" i="42"/>
  <c r="P386" i="42"/>
  <c r="R386" i="42"/>
  <c r="U386" i="42"/>
  <c r="I387" i="42"/>
  <c r="P387" i="42"/>
  <c r="R387" i="42"/>
  <c r="U387" i="42"/>
  <c r="I388" i="42"/>
  <c r="P388" i="42"/>
  <c r="R388" i="42"/>
  <c r="U388" i="42"/>
  <c r="I389" i="42"/>
  <c r="P389" i="42"/>
  <c r="R389" i="42"/>
  <c r="U389" i="42"/>
  <c r="I390" i="42"/>
  <c r="P390" i="42"/>
  <c r="R390" i="42"/>
  <c r="U390" i="42"/>
  <c r="I391" i="42"/>
  <c r="P391" i="42"/>
  <c r="R391" i="42"/>
  <c r="U391" i="42"/>
  <c r="I392" i="42"/>
  <c r="P392" i="42"/>
  <c r="R392" i="42"/>
  <c r="U392" i="42"/>
  <c r="I393" i="42"/>
  <c r="P393" i="42"/>
  <c r="R393" i="42"/>
  <c r="U393" i="42"/>
  <c r="I394" i="42"/>
  <c r="P394" i="42"/>
  <c r="R394" i="42"/>
  <c r="U394" i="42"/>
  <c r="I395" i="42"/>
  <c r="P395" i="42"/>
  <c r="R395" i="42"/>
  <c r="U395" i="42"/>
  <c r="I396" i="42"/>
  <c r="P396" i="42"/>
  <c r="R396" i="42"/>
  <c r="U396" i="42"/>
  <c r="I397" i="42"/>
  <c r="P397" i="42"/>
  <c r="R397" i="42"/>
  <c r="U397" i="42"/>
  <c r="I398" i="42"/>
  <c r="P398" i="42"/>
  <c r="R398" i="42"/>
  <c r="U398" i="42"/>
  <c r="I399" i="42"/>
  <c r="P399" i="42"/>
  <c r="R399" i="42"/>
  <c r="U399" i="42"/>
  <c r="I400" i="42"/>
  <c r="P400" i="42"/>
  <c r="R400" i="42"/>
  <c r="U400" i="42"/>
  <c r="I401" i="42"/>
  <c r="P401" i="42"/>
  <c r="R401" i="42"/>
  <c r="U401" i="42"/>
  <c r="I402" i="42"/>
  <c r="P402" i="42"/>
  <c r="R402" i="42"/>
  <c r="U402" i="42"/>
  <c r="I403" i="42"/>
  <c r="P403" i="42"/>
  <c r="R403" i="42"/>
  <c r="U403" i="42"/>
  <c r="I404" i="42"/>
  <c r="P404" i="42"/>
  <c r="R404" i="42"/>
  <c r="U404" i="42"/>
  <c r="I405" i="42"/>
  <c r="P405" i="42"/>
  <c r="R405" i="42"/>
  <c r="U405" i="42"/>
  <c r="I406" i="42"/>
  <c r="P406" i="42"/>
  <c r="R406" i="42"/>
  <c r="U406" i="42"/>
  <c r="I407" i="42"/>
  <c r="P407" i="42"/>
  <c r="R407" i="42"/>
  <c r="U407" i="42"/>
  <c r="I408" i="42"/>
  <c r="P408" i="42"/>
  <c r="R408" i="42"/>
  <c r="U408" i="42"/>
  <c r="I409" i="42"/>
  <c r="P409" i="42"/>
  <c r="R409" i="42"/>
  <c r="U409" i="42"/>
  <c r="I410" i="42"/>
  <c r="P410" i="42"/>
  <c r="R410" i="42"/>
  <c r="U410" i="42"/>
  <c r="I411" i="42"/>
  <c r="P411" i="42"/>
  <c r="R411" i="42"/>
  <c r="U411" i="42"/>
  <c r="I412" i="42"/>
  <c r="P412" i="42"/>
  <c r="R412" i="42"/>
  <c r="U412" i="42"/>
  <c r="I413" i="42"/>
  <c r="P413" i="42"/>
  <c r="R413" i="42"/>
  <c r="U413" i="42"/>
  <c r="I414" i="42"/>
  <c r="P414" i="42"/>
  <c r="R414" i="42"/>
  <c r="U414" i="42"/>
  <c r="I415" i="42"/>
  <c r="P415" i="42"/>
  <c r="R415" i="42"/>
  <c r="U415" i="42"/>
  <c r="I416" i="42"/>
  <c r="P416" i="42"/>
  <c r="R416" i="42"/>
  <c r="U416" i="42"/>
  <c r="I417" i="42"/>
  <c r="P417" i="42"/>
  <c r="R417" i="42"/>
  <c r="U417" i="42"/>
  <c r="I418" i="42"/>
  <c r="P418" i="42"/>
  <c r="R418" i="42"/>
  <c r="U418" i="42"/>
  <c r="I419" i="42"/>
  <c r="P419" i="42"/>
  <c r="R419" i="42"/>
  <c r="U419" i="42"/>
  <c r="I420" i="42"/>
  <c r="P420" i="42"/>
  <c r="R420" i="42"/>
  <c r="U420" i="42"/>
  <c r="I421" i="42"/>
  <c r="P421" i="42"/>
  <c r="R421" i="42"/>
  <c r="U421" i="42"/>
  <c r="I422" i="42"/>
  <c r="P422" i="42"/>
  <c r="R422" i="42"/>
  <c r="U422" i="42"/>
  <c r="I423" i="42"/>
  <c r="P423" i="42"/>
  <c r="R423" i="42"/>
  <c r="U423" i="42"/>
  <c r="I424" i="42"/>
  <c r="P424" i="42"/>
  <c r="R424" i="42"/>
  <c r="U424" i="42"/>
  <c r="I425" i="42"/>
  <c r="P425" i="42"/>
  <c r="R425" i="42"/>
  <c r="U425" i="42"/>
  <c r="I426" i="42"/>
  <c r="P426" i="42"/>
  <c r="R426" i="42"/>
  <c r="U426" i="42"/>
  <c r="I427" i="42"/>
  <c r="P427" i="42"/>
  <c r="R427" i="42"/>
  <c r="U427" i="42"/>
  <c r="I428" i="42"/>
  <c r="P428" i="42"/>
  <c r="R428" i="42"/>
  <c r="U428" i="42"/>
  <c r="I429" i="42"/>
  <c r="P429" i="42"/>
  <c r="R429" i="42"/>
  <c r="U429" i="42"/>
  <c r="I430" i="42"/>
  <c r="P430" i="42"/>
  <c r="R430" i="42"/>
  <c r="U430" i="42"/>
  <c r="I431" i="42"/>
  <c r="P431" i="42"/>
  <c r="R431" i="42"/>
  <c r="U431" i="42"/>
  <c r="I432" i="42"/>
  <c r="P432" i="42"/>
  <c r="R432" i="42"/>
  <c r="U432" i="42"/>
  <c r="I433" i="42"/>
  <c r="P433" i="42"/>
  <c r="R433" i="42"/>
  <c r="U433" i="42"/>
  <c r="I434" i="42"/>
  <c r="P434" i="42"/>
  <c r="R434" i="42"/>
  <c r="U434" i="42"/>
  <c r="I435" i="42"/>
  <c r="P435" i="42"/>
  <c r="R435" i="42"/>
  <c r="U435" i="42"/>
  <c r="I436" i="42"/>
  <c r="P436" i="42"/>
  <c r="R436" i="42"/>
  <c r="U436" i="42"/>
  <c r="I437" i="42"/>
  <c r="P437" i="42"/>
  <c r="R437" i="42"/>
  <c r="U437" i="42"/>
  <c r="I438" i="42"/>
  <c r="P438" i="42"/>
  <c r="R438" i="42"/>
  <c r="U438" i="42"/>
  <c r="I439" i="42"/>
  <c r="P439" i="42"/>
  <c r="R439" i="42"/>
  <c r="U439" i="42"/>
  <c r="I440" i="42"/>
  <c r="P440" i="42"/>
  <c r="R440" i="42"/>
  <c r="U440" i="42"/>
  <c r="I441" i="42"/>
  <c r="P441" i="42"/>
  <c r="R441" i="42"/>
  <c r="U441" i="42"/>
  <c r="I442" i="42"/>
  <c r="P442" i="42"/>
  <c r="R442" i="42"/>
  <c r="U442" i="42"/>
  <c r="I443" i="42"/>
  <c r="P443" i="42"/>
  <c r="R443" i="42"/>
  <c r="U443" i="42"/>
  <c r="I444" i="42"/>
  <c r="P444" i="42"/>
  <c r="R444" i="42"/>
  <c r="U444" i="42"/>
  <c r="I445" i="42"/>
  <c r="P445" i="42"/>
  <c r="R445" i="42"/>
  <c r="U445" i="42"/>
  <c r="I446" i="42"/>
  <c r="P446" i="42"/>
  <c r="R446" i="42"/>
  <c r="U446" i="42"/>
  <c r="I447" i="42"/>
  <c r="P447" i="42"/>
  <c r="R447" i="42"/>
  <c r="U447" i="42"/>
  <c r="I448" i="42"/>
  <c r="P448" i="42"/>
  <c r="R448" i="42"/>
  <c r="U448" i="42"/>
  <c r="I449" i="42"/>
  <c r="P449" i="42"/>
  <c r="R449" i="42"/>
  <c r="U449" i="42"/>
  <c r="I450" i="42"/>
  <c r="P450" i="42"/>
  <c r="R450" i="42"/>
  <c r="U450" i="42"/>
  <c r="I451" i="42"/>
  <c r="P451" i="42"/>
  <c r="R451" i="42"/>
  <c r="U451" i="42"/>
  <c r="I452" i="42"/>
  <c r="P452" i="42"/>
  <c r="R452" i="42"/>
  <c r="U452" i="42"/>
  <c r="I453" i="42"/>
  <c r="P453" i="42"/>
  <c r="R453" i="42"/>
  <c r="U453" i="42"/>
  <c r="I454" i="42"/>
  <c r="P454" i="42"/>
  <c r="R454" i="42"/>
  <c r="U454" i="42"/>
  <c r="I455" i="42"/>
  <c r="P455" i="42"/>
  <c r="R455" i="42"/>
  <c r="U455" i="42"/>
  <c r="I456" i="42"/>
  <c r="P456" i="42"/>
  <c r="R456" i="42"/>
  <c r="U456" i="42"/>
  <c r="I457" i="42"/>
  <c r="P457" i="42"/>
  <c r="R457" i="42"/>
  <c r="U457" i="42"/>
  <c r="I458" i="42"/>
  <c r="P458" i="42"/>
  <c r="R458" i="42"/>
  <c r="U458" i="42"/>
  <c r="I459" i="42"/>
  <c r="P459" i="42"/>
  <c r="R459" i="42"/>
  <c r="U459" i="42"/>
  <c r="I460" i="42"/>
  <c r="P460" i="42"/>
  <c r="R460" i="42"/>
  <c r="U460" i="42"/>
  <c r="I461" i="42"/>
  <c r="P461" i="42"/>
  <c r="R461" i="42"/>
  <c r="U461" i="42"/>
  <c r="I462" i="42"/>
  <c r="P462" i="42"/>
  <c r="R462" i="42"/>
  <c r="U462" i="42"/>
  <c r="I463" i="42"/>
  <c r="P463" i="42"/>
  <c r="R463" i="42"/>
  <c r="U463" i="42"/>
  <c r="I464" i="42"/>
  <c r="P464" i="42"/>
  <c r="R464" i="42"/>
  <c r="U464" i="42"/>
  <c r="I465" i="42"/>
  <c r="P465" i="42"/>
  <c r="R465" i="42"/>
  <c r="U465" i="42"/>
  <c r="I466" i="42"/>
  <c r="P466" i="42"/>
  <c r="R466" i="42"/>
  <c r="U466" i="42"/>
  <c r="I467" i="42"/>
  <c r="P467" i="42"/>
  <c r="R467" i="42"/>
  <c r="U467" i="42"/>
  <c r="I468" i="42"/>
  <c r="P468" i="42"/>
  <c r="R468" i="42"/>
  <c r="U468" i="42"/>
  <c r="I469" i="42"/>
  <c r="P469" i="42"/>
  <c r="R469" i="42"/>
  <c r="U469" i="42"/>
  <c r="I470" i="42"/>
  <c r="P470" i="42"/>
  <c r="R470" i="42"/>
  <c r="U470" i="42"/>
  <c r="I471" i="42"/>
  <c r="P471" i="42"/>
  <c r="R471" i="42"/>
  <c r="U471" i="42"/>
  <c r="I472" i="42"/>
  <c r="P472" i="42"/>
  <c r="R472" i="42"/>
  <c r="U472" i="42"/>
  <c r="I473" i="42"/>
  <c r="P473" i="42"/>
  <c r="R473" i="42"/>
  <c r="U473" i="42"/>
  <c r="I474" i="42"/>
  <c r="P474" i="42"/>
  <c r="R474" i="42"/>
  <c r="U474" i="42"/>
  <c r="I475" i="42"/>
  <c r="P475" i="42"/>
  <c r="R475" i="42"/>
  <c r="U475" i="42"/>
  <c r="I476" i="42"/>
  <c r="P476" i="42"/>
  <c r="R476" i="42"/>
  <c r="U476" i="42"/>
  <c r="I477" i="42"/>
  <c r="P477" i="42"/>
  <c r="R477" i="42"/>
  <c r="U477" i="42"/>
  <c r="I478" i="42"/>
  <c r="P478" i="42"/>
  <c r="R478" i="42"/>
  <c r="U478" i="42"/>
  <c r="I479" i="42"/>
  <c r="P479" i="42"/>
  <c r="R479" i="42"/>
  <c r="U479" i="42"/>
  <c r="I480" i="42"/>
  <c r="P480" i="42"/>
  <c r="R480" i="42"/>
  <c r="U480" i="42"/>
  <c r="I481" i="42"/>
  <c r="P481" i="42"/>
  <c r="R481" i="42"/>
  <c r="U481" i="42"/>
  <c r="I482" i="42"/>
  <c r="P482" i="42"/>
  <c r="R482" i="42"/>
  <c r="U482" i="42"/>
  <c r="I483" i="42"/>
  <c r="P483" i="42"/>
  <c r="R483" i="42"/>
  <c r="U483" i="42"/>
  <c r="I484" i="42"/>
  <c r="P484" i="42"/>
  <c r="R484" i="42"/>
  <c r="U484" i="42"/>
  <c r="I485" i="42"/>
  <c r="P485" i="42"/>
  <c r="R485" i="42"/>
  <c r="U485" i="42"/>
  <c r="I486" i="42"/>
  <c r="P486" i="42"/>
  <c r="R486" i="42"/>
  <c r="U486" i="42"/>
  <c r="I487" i="42"/>
  <c r="P487" i="42"/>
  <c r="R487" i="42"/>
  <c r="U487" i="42"/>
  <c r="I488" i="42"/>
  <c r="P488" i="42"/>
  <c r="R488" i="42"/>
  <c r="U488" i="42"/>
  <c r="I489" i="42"/>
  <c r="P489" i="42"/>
  <c r="R489" i="42"/>
  <c r="U489" i="42"/>
  <c r="I490" i="42"/>
  <c r="P490" i="42"/>
  <c r="R490" i="42"/>
  <c r="U490" i="42"/>
  <c r="I491" i="42"/>
  <c r="P491" i="42"/>
  <c r="R491" i="42"/>
  <c r="U491" i="42"/>
  <c r="I492" i="42"/>
  <c r="P492" i="42"/>
  <c r="R492" i="42"/>
  <c r="U492" i="42"/>
  <c r="I493" i="42"/>
  <c r="P493" i="42"/>
  <c r="R493" i="42"/>
  <c r="U493" i="42"/>
  <c r="I494" i="42"/>
  <c r="P494" i="42"/>
  <c r="R494" i="42"/>
  <c r="U494" i="42"/>
  <c r="I495" i="42"/>
  <c r="P495" i="42"/>
  <c r="R495" i="42"/>
  <c r="U495" i="42"/>
  <c r="I496" i="42"/>
  <c r="P496" i="42"/>
  <c r="R496" i="42"/>
  <c r="U496" i="42"/>
  <c r="I497" i="42"/>
  <c r="P497" i="42"/>
  <c r="R497" i="42"/>
  <c r="U497" i="42"/>
  <c r="I498" i="42"/>
  <c r="P498" i="42"/>
  <c r="R498" i="42"/>
  <c r="U498" i="42"/>
  <c r="I499" i="42"/>
  <c r="P499" i="42"/>
  <c r="R499" i="42"/>
  <c r="U499" i="42"/>
  <c r="I500" i="42"/>
  <c r="P500" i="42"/>
  <c r="R500" i="42"/>
  <c r="U500" i="42"/>
  <c r="I501" i="42"/>
  <c r="P501" i="42"/>
  <c r="R501" i="42"/>
  <c r="U501" i="42"/>
  <c r="I502" i="42"/>
  <c r="P502" i="42"/>
  <c r="R502" i="42"/>
  <c r="U502" i="42"/>
  <c r="I503" i="42"/>
  <c r="P503" i="42"/>
  <c r="R503" i="42"/>
  <c r="U503" i="42"/>
  <c r="I504" i="42"/>
  <c r="P504" i="42"/>
  <c r="R504" i="42"/>
  <c r="U504" i="42"/>
  <c r="I505" i="42"/>
  <c r="P505" i="42"/>
  <c r="R505" i="42"/>
  <c r="U505" i="42"/>
  <c r="I506" i="42"/>
  <c r="P506" i="42"/>
  <c r="R506" i="42"/>
  <c r="U506" i="42"/>
  <c r="I507" i="42"/>
  <c r="P507" i="42"/>
  <c r="R507" i="42"/>
  <c r="U507" i="42"/>
  <c r="I508" i="42"/>
  <c r="P508" i="42"/>
  <c r="R508" i="42"/>
  <c r="U508" i="42"/>
  <c r="I509" i="42"/>
  <c r="P509" i="42"/>
  <c r="R509" i="42"/>
  <c r="U509" i="42"/>
  <c r="I510" i="42"/>
  <c r="P510" i="42"/>
  <c r="R510" i="42"/>
  <c r="U510" i="42"/>
  <c r="I511" i="42"/>
  <c r="P511" i="42"/>
  <c r="R511" i="42"/>
  <c r="U511" i="42"/>
  <c r="I512" i="42"/>
  <c r="P512" i="42"/>
  <c r="R512" i="42"/>
  <c r="U512" i="42"/>
  <c r="I513" i="42"/>
  <c r="P513" i="42"/>
  <c r="R513" i="42"/>
  <c r="U513" i="42"/>
  <c r="I514" i="42"/>
  <c r="P514" i="42"/>
  <c r="R514" i="42"/>
  <c r="U514" i="42"/>
  <c r="I515" i="42"/>
  <c r="P515" i="42"/>
  <c r="R515" i="42"/>
  <c r="U515" i="42"/>
  <c r="H77" i="42"/>
  <c r="O77" i="42"/>
  <c r="Q77" i="42"/>
  <c r="S77" i="42"/>
  <c r="W77" i="42"/>
  <c r="T77" i="42"/>
  <c r="H78" i="42"/>
  <c r="O78" i="42"/>
  <c r="Q78" i="42"/>
  <c r="S78" i="42"/>
  <c r="W78" i="42"/>
  <c r="T78" i="42"/>
  <c r="H79" i="42"/>
  <c r="O79" i="42"/>
  <c r="Q79" i="42"/>
  <c r="S79" i="42"/>
  <c r="W79" i="42"/>
  <c r="T79" i="42"/>
  <c r="H80" i="42"/>
  <c r="O80" i="42"/>
  <c r="Q80" i="42"/>
  <c r="S80" i="42"/>
  <c r="W80" i="42"/>
  <c r="T80" i="42"/>
  <c r="H81" i="42"/>
  <c r="O81" i="42"/>
  <c r="Q81" i="42"/>
  <c r="S81" i="42"/>
  <c r="W81" i="42"/>
  <c r="T81" i="42"/>
  <c r="H82" i="42"/>
  <c r="O82" i="42"/>
  <c r="Q82" i="42"/>
  <c r="S82" i="42"/>
  <c r="W82" i="42"/>
  <c r="T82" i="42"/>
  <c r="H83" i="42"/>
  <c r="O83" i="42"/>
  <c r="Q83" i="42"/>
  <c r="S83" i="42"/>
  <c r="W83" i="42"/>
  <c r="T83" i="42"/>
  <c r="H84" i="42"/>
  <c r="O84" i="42"/>
  <c r="Q84" i="42"/>
  <c r="S84" i="42"/>
  <c r="W84" i="42"/>
  <c r="T84" i="42"/>
  <c r="H85" i="42"/>
  <c r="O85" i="42"/>
  <c r="Q85" i="42"/>
  <c r="S85" i="42"/>
  <c r="W85" i="42"/>
  <c r="T85" i="42"/>
  <c r="H86" i="42"/>
  <c r="O86" i="42"/>
  <c r="Q86" i="42"/>
  <c r="S86" i="42"/>
  <c r="W86" i="42"/>
  <c r="T86" i="42"/>
  <c r="H87" i="42"/>
  <c r="O87" i="42"/>
  <c r="Q87" i="42"/>
  <c r="S87" i="42"/>
  <c r="W87" i="42"/>
  <c r="T87" i="42"/>
  <c r="H88" i="42"/>
  <c r="O88" i="42"/>
  <c r="Q88" i="42"/>
  <c r="S88" i="42"/>
  <c r="W88" i="42"/>
  <c r="T88" i="42"/>
  <c r="H89" i="42"/>
  <c r="O89" i="42"/>
  <c r="Q89" i="42"/>
  <c r="S89" i="42"/>
  <c r="W89" i="42"/>
  <c r="T89" i="42"/>
  <c r="H90" i="42"/>
  <c r="O90" i="42"/>
  <c r="Q90" i="42"/>
  <c r="S90" i="42"/>
  <c r="W90" i="42"/>
  <c r="T90" i="42"/>
  <c r="H91" i="42"/>
  <c r="O91" i="42"/>
  <c r="Q91" i="42"/>
  <c r="S91" i="42"/>
  <c r="W91" i="42"/>
  <c r="T91" i="42"/>
  <c r="H92" i="42"/>
  <c r="O92" i="42"/>
  <c r="Q92" i="42"/>
  <c r="S92" i="42"/>
  <c r="W92" i="42"/>
  <c r="T92" i="42"/>
  <c r="H93" i="42"/>
  <c r="O93" i="42"/>
  <c r="Q93" i="42"/>
  <c r="S93" i="42"/>
  <c r="W93" i="42"/>
  <c r="T93" i="42"/>
  <c r="H94" i="42"/>
  <c r="O94" i="42"/>
  <c r="Q94" i="42"/>
  <c r="S94" i="42"/>
  <c r="W94" i="42"/>
  <c r="T94" i="42"/>
  <c r="H95" i="42"/>
  <c r="O95" i="42"/>
  <c r="Q95" i="42"/>
  <c r="S95" i="42"/>
  <c r="W95" i="42"/>
  <c r="T95" i="42"/>
  <c r="H96" i="42"/>
  <c r="O96" i="42"/>
  <c r="Q96" i="42"/>
  <c r="S96" i="42"/>
  <c r="W96" i="42"/>
  <c r="T96" i="42"/>
  <c r="H97" i="42"/>
  <c r="O97" i="42"/>
  <c r="Q97" i="42"/>
  <c r="S97" i="42"/>
  <c r="W97" i="42"/>
  <c r="T97" i="42"/>
  <c r="H98" i="42"/>
  <c r="O98" i="42"/>
  <c r="Q98" i="42"/>
  <c r="S98" i="42"/>
  <c r="W98" i="42"/>
  <c r="T98" i="42"/>
  <c r="H99" i="42"/>
  <c r="O99" i="42"/>
  <c r="Q99" i="42"/>
  <c r="S99" i="42"/>
  <c r="W99" i="42"/>
  <c r="T99" i="42"/>
  <c r="H100" i="42"/>
  <c r="O100" i="42"/>
  <c r="Q100" i="42"/>
  <c r="S100" i="42"/>
  <c r="W100" i="42"/>
  <c r="T100" i="42"/>
  <c r="H101" i="42"/>
  <c r="O101" i="42"/>
  <c r="Q101" i="42"/>
  <c r="S101" i="42"/>
  <c r="W101" i="42"/>
  <c r="T101" i="42"/>
  <c r="H102" i="42"/>
  <c r="O102" i="42"/>
  <c r="Q102" i="42"/>
  <c r="S102" i="42"/>
  <c r="W102" i="42"/>
  <c r="T102" i="42"/>
  <c r="H103" i="42"/>
  <c r="O103" i="42"/>
  <c r="Q103" i="42"/>
  <c r="S103" i="42"/>
  <c r="W103" i="42"/>
  <c r="T103" i="42"/>
  <c r="H104" i="42"/>
  <c r="O104" i="42"/>
  <c r="Q104" i="42"/>
  <c r="S104" i="42"/>
  <c r="W104" i="42"/>
  <c r="T104" i="42"/>
  <c r="H105" i="42"/>
  <c r="O105" i="42"/>
  <c r="Q105" i="42"/>
  <c r="S105" i="42"/>
  <c r="W105" i="42"/>
  <c r="T105" i="42"/>
  <c r="H106" i="42"/>
  <c r="O106" i="42"/>
  <c r="Q106" i="42"/>
  <c r="S106" i="42"/>
  <c r="W106" i="42"/>
  <c r="T106" i="42"/>
  <c r="H107" i="42"/>
  <c r="O107" i="42"/>
  <c r="Q107" i="42"/>
  <c r="S107" i="42"/>
  <c r="W107" i="42"/>
  <c r="T107" i="42"/>
  <c r="H108" i="42"/>
  <c r="O108" i="42"/>
  <c r="Q108" i="42"/>
  <c r="S108" i="42"/>
  <c r="W108" i="42"/>
  <c r="T108" i="42"/>
  <c r="H109" i="42"/>
  <c r="O109" i="42"/>
  <c r="Q109" i="42"/>
  <c r="S109" i="42"/>
  <c r="W109" i="42"/>
  <c r="T109" i="42"/>
  <c r="H110" i="42"/>
  <c r="O110" i="42"/>
  <c r="Q110" i="42"/>
  <c r="S110" i="42"/>
  <c r="W110" i="42"/>
  <c r="T110" i="42"/>
  <c r="H111" i="42"/>
  <c r="O111" i="42"/>
  <c r="Q111" i="42"/>
  <c r="S111" i="42"/>
  <c r="W111" i="42"/>
  <c r="T111" i="42"/>
  <c r="H112" i="42"/>
  <c r="O112" i="42"/>
  <c r="Q112" i="42"/>
  <c r="S112" i="42"/>
  <c r="W112" i="42"/>
  <c r="T112" i="42"/>
  <c r="H113" i="42"/>
  <c r="O113" i="42"/>
  <c r="Q113" i="42"/>
  <c r="S113" i="42"/>
  <c r="W113" i="42"/>
  <c r="T113" i="42"/>
  <c r="H114" i="42"/>
  <c r="O114" i="42"/>
  <c r="Q114" i="42"/>
  <c r="S114" i="42"/>
  <c r="W114" i="42"/>
  <c r="T114" i="42"/>
  <c r="H115" i="42"/>
  <c r="O115" i="42"/>
  <c r="Q115" i="42"/>
  <c r="S115" i="42"/>
  <c r="W115" i="42"/>
  <c r="T115" i="42"/>
  <c r="H116" i="42"/>
  <c r="O116" i="42"/>
  <c r="Q116" i="42"/>
  <c r="S116" i="42"/>
  <c r="W116" i="42"/>
  <c r="T116" i="42"/>
  <c r="H117" i="42"/>
  <c r="O117" i="42"/>
  <c r="Q117" i="42"/>
  <c r="S117" i="42"/>
  <c r="W117" i="42"/>
  <c r="T117" i="42"/>
  <c r="H118" i="42"/>
  <c r="O118" i="42"/>
  <c r="Q118" i="42"/>
  <c r="S118" i="42"/>
  <c r="W118" i="42"/>
  <c r="T118" i="42"/>
  <c r="H119" i="42"/>
  <c r="O119" i="42"/>
  <c r="Q119" i="42"/>
  <c r="S119" i="42"/>
  <c r="W119" i="42"/>
  <c r="T119" i="42"/>
  <c r="H120" i="42"/>
  <c r="O120" i="42"/>
  <c r="Q120" i="42"/>
  <c r="S120" i="42"/>
  <c r="W120" i="42"/>
  <c r="T120" i="42"/>
  <c r="H121" i="42"/>
  <c r="O121" i="42"/>
  <c r="Q121" i="42"/>
  <c r="S121" i="42"/>
  <c r="W121" i="42"/>
  <c r="T121" i="42"/>
  <c r="H122" i="42"/>
  <c r="O122" i="42"/>
  <c r="Q122" i="42"/>
  <c r="S122" i="42"/>
  <c r="W122" i="42"/>
  <c r="T122" i="42"/>
  <c r="H123" i="42"/>
  <c r="O123" i="42"/>
  <c r="Q123" i="42"/>
  <c r="S123" i="42"/>
  <c r="W123" i="42"/>
  <c r="T123" i="42"/>
  <c r="H124" i="42"/>
  <c r="O124" i="42"/>
  <c r="Q124" i="42"/>
  <c r="S124" i="42"/>
  <c r="W124" i="42"/>
  <c r="T124" i="42"/>
  <c r="H125" i="42"/>
  <c r="O125" i="42"/>
  <c r="Q125" i="42"/>
  <c r="S125" i="42"/>
  <c r="W125" i="42"/>
  <c r="T125" i="42"/>
  <c r="H126" i="42"/>
  <c r="O126" i="42"/>
  <c r="Q126" i="42"/>
  <c r="S126" i="42"/>
  <c r="W126" i="42"/>
  <c r="T126" i="42"/>
  <c r="H127" i="42"/>
  <c r="O127" i="42"/>
  <c r="Q127" i="42"/>
  <c r="S127" i="42"/>
  <c r="W127" i="42"/>
  <c r="T127" i="42"/>
  <c r="H128" i="42"/>
  <c r="O128" i="42"/>
  <c r="Q128" i="42"/>
  <c r="S128" i="42"/>
  <c r="W128" i="42"/>
  <c r="T128" i="42"/>
  <c r="H129" i="42"/>
  <c r="O129" i="42"/>
  <c r="Q129" i="42"/>
  <c r="S129" i="42"/>
  <c r="W129" i="42"/>
  <c r="T129" i="42"/>
  <c r="H130" i="42"/>
  <c r="O130" i="42"/>
  <c r="Q130" i="42"/>
  <c r="S130" i="42"/>
  <c r="W130" i="42"/>
  <c r="T130" i="42"/>
  <c r="H131" i="42"/>
  <c r="O131" i="42"/>
  <c r="Q131" i="42"/>
  <c r="S131" i="42"/>
  <c r="W131" i="42"/>
  <c r="T131" i="42"/>
  <c r="H132" i="42"/>
  <c r="O132" i="42"/>
  <c r="Q132" i="42"/>
  <c r="S132" i="42"/>
  <c r="W132" i="42"/>
  <c r="T132" i="42"/>
  <c r="H133" i="42"/>
  <c r="O133" i="42"/>
  <c r="Q133" i="42"/>
  <c r="S133" i="42"/>
  <c r="W133" i="42"/>
  <c r="T133" i="42"/>
  <c r="H134" i="42"/>
  <c r="O134" i="42"/>
  <c r="Q134" i="42"/>
  <c r="S134" i="42"/>
  <c r="W134" i="42"/>
  <c r="T134" i="42"/>
  <c r="H135" i="42"/>
  <c r="O135" i="42"/>
  <c r="Q135" i="42"/>
  <c r="S135" i="42"/>
  <c r="W135" i="42"/>
  <c r="T135" i="42"/>
  <c r="H136" i="42"/>
  <c r="O136" i="42"/>
  <c r="Q136" i="42"/>
  <c r="S136" i="42"/>
  <c r="W136" i="42"/>
  <c r="T136" i="42"/>
  <c r="H137" i="42"/>
  <c r="O137" i="42"/>
  <c r="Q137" i="42"/>
  <c r="S137" i="42"/>
  <c r="W137" i="42"/>
  <c r="T137" i="42"/>
  <c r="H138" i="42"/>
  <c r="O138" i="42"/>
  <c r="Q138" i="42"/>
  <c r="S138" i="42"/>
  <c r="W138" i="42"/>
  <c r="T138" i="42"/>
  <c r="H139" i="42"/>
  <c r="O139" i="42"/>
  <c r="Q139" i="42"/>
  <c r="S139" i="42"/>
  <c r="W139" i="42"/>
  <c r="T139" i="42"/>
  <c r="H140" i="42"/>
  <c r="O140" i="42"/>
  <c r="Q140" i="42"/>
  <c r="S140" i="42"/>
  <c r="W140" i="42"/>
  <c r="T140" i="42"/>
  <c r="H141" i="42"/>
  <c r="O141" i="42"/>
  <c r="Q141" i="42"/>
  <c r="S141" i="42"/>
  <c r="W141" i="42"/>
  <c r="T141" i="42"/>
  <c r="H142" i="42"/>
  <c r="O142" i="42"/>
  <c r="Q142" i="42"/>
  <c r="S142" i="42"/>
  <c r="W142" i="42"/>
  <c r="T142" i="42"/>
  <c r="H143" i="42"/>
  <c r="O143" i="42"/>
  <c r="Q143" i="42"/>
  <c r="S143" i="42"/>
  <c r="W143" i="42"/>
  <c r="T143" i="42"/>
  <c r="H144" i="42"/>
  <c r="O144" i="42"/>
  <c r="Q144" i="42"/>
  <c r="S144" i="42"/>
  <c r="W144" i="42"/>
  <c r="T144" i="42"/>
  <c r="H145" i="42"/>
  <c r="O145" i="42"/>
  <c r="Q145" i="42"/>
  <c r="S145" i="42"/>
  <c r="W145" i="42"/>
  <c r="T145" i="42"/>
  <c r="H146" i="42"/>
  <c r="O146" i="42"/>
  <c r="Q146" i="42"/>
  <c r="S146" i="42"/>
  <c r="W146" i="42"/>
  <c r="T146" i="42"/>
  <c r="H147" i="42"/>
  <c r="O147" i="42"/>
  <c r="Q147" i="42"/>
  <c r="S147" i="42"/>
  <c r="W147" i="42"/>
  <c r="T147" i="42"/>
  <c r="H148" i="42"/>
  <c r="O148" i="42"/>
  <c r="Q148" i="42"/>
  <c r="S148" i="42"/>
  <c r="W148" i="42"/>
  <c r="T148" i="42"/>
  <c r="H149" i="42"/>
  <c r="O149" i="42"/>
  <c r="Q149" i="42"/>
  <c r="S149" i="42"/>
  <c r="W149" i="42"/>
  <c r="T149" i="42"/>
  <c r="H150" i="42"/>
  <c r="O150" i="42"/>
  <c r="Q150" i="42"/>
  <c r="S150" i="42"/>
  <c r="W150" i="42"/>
  <c r="T150" i="42"/>
  <c r="H151" i="42"/>
  <c r="O151" i="42"/>
  <c r="Q151" i="42"/>
  <c r="S151" i="42"/>
  <c r="W151" i="42"/>
  <c r="T151" i="42"/>
  <c r="H152" i="42"/>
  <c r="O152" i="42"/>
  <c r="Q152" i="42"/>
  <c r="S152" i="42"/>
  <c r="W152" i="42"/>
  <c r="T152" i="42"/>
  <c r="H153" i="42"/>
  <c r="O153" i="42"/>
  <c r="Q153" i="42"/>
  <c r="S153" i="42"/>
  <c r="W153" i="42"/>
  <c r="T153" i="42"/>
  <c r="O154" i="42"/>
  <c r="Q154" i="42"/>
  <c r="S154" i="42"/>
  <c r="W154" i="42"/>
  <c r="T154" i="42"/>
  <c r="H155" i="42"/>
  <c r="O155" i="42"/>
  <c r="Q155" i="42"/>
  <c r="S155" i="42"/>
  <c r="W155" i="42"/>
  <c r="T155" i="42"/>
  <c r="H156" i="42"/>
  <c r="O156" i="42"/>
  <c r="Q156" i="42"/>
  <c r="S156" i="42"/>
  <c r="W156" i="42"/>
  <c r="T156" i="42"/>
  <c r="H157" i="42"/>
  <c r="O157" i="42"/>
  <c r="Q157" i="42"/>
  <c r="S157" i="42"/>
  <c r="W157" i="42"/>
  <c r="T157" i="42"/>
  <c r="H158" i="42"/>
  <c r="O158" i="42"/>
  <c r="Q158" i="42"/>
  <c r="S158" i="42"/>
  <c r="W158" i="42"/>
  <c r="T158" i="42"/>
  <c r="H159" i="42"/>
  <c r="O159" i="42"/>
  <c r="Q159" i="42"/>
  <c r="S159" i="42"/>
  <c r="W159" i="42"/>
  <c r="T159" i="42"/>
  <c r="H160" i="42"/>
  <c r="O160" i="42"/>
  <c r="Q160" i="42"/>
  <c r="S160" i="42"/>
  <c r="W160" i="42"/>
  <c r="T160" i="42"/>
  <c r="H161" i="42"/>
  <c r="O161" i="42"/>
  <c r="Q161" i="42"/>
  <c r="S161" i="42"/>
  <c r="W161" i="42"/>
  <c r="T161" i="42"/>
  <c r="H162" i="42"/>
  <c r="O162" i="42"/>
  <c r="Q162" i="42"/>
  <c r="S162" i="42"/>
  <c r="W162" i="42"/>
  <c r="T162" i="42"/>
  <c r="H163" i="42"/>
  <c r="O163" i="42"/>
  <c r="Q163" i="42"/>
  <c r="S163" i="42"/>
  <c r="W163" i="42"/>
  <c r="T163" i="42"/>
  <c r="H164" i="42"/>
  <c r="O164" i="42"/>
  <c r="Q164" i="42"/>
  <c r="S164" i="42"/>
  <c r="W164" i="42"/>
  <c r="T164" i="42"/>
  <c r="H165" i="42"/>
  <c r="O165" i="42"/>
  <c r="Q165" i="42"/>
  <c r="S165" i="42"/>
  <c r="W165" i="42"/>
  <c r="T165" i="42"/>
  <c r="H166" i="42"/>
  <c r="O166" i="42"/>
  <c r="Q166" i="42"/>
  <c r="S166" i="42"/>
  <c r="W166" i="42"/>
  <c r="T166" i="42"/>
  <c r="H167" i="42"/>
  <c r="O167" i="42"/>
  <c r="Q167" i="42"/>
  <c r="S167" i="42"/>
  <c r="W167" i="42"/>
  <c r="T167" i="42"/>
  <c r="H168" i="42"/>
  <c r="O168" i="42"/>
  <c r="Q168" i="42"/>
  <c r="S168" i="42"/>
  <c r="W168" i="42"/>
  <c r="T168" i="42"/>
  <c r="H169" i="42"/>
  <c r="O169" i="42"/>
  <c r="Q169" i="42"/>
  <c r="S169" i="42"/>
  <c r="W169" i="42"/>
  <c r="T169" i="42"/>
  <c r="H170" i="42"/>
  <c r="O170" i="42"/>
  <c r="Q170" i="42"/>
  <c r="S170" i="42"/>
  <c r="W170" i="42"/>
  <c r="T170" i="42"/>
  <c r="H171" i="42"/>
  <c r="O171" i="42"/>
  <c r="Q171" i="42"/>
  <c r="S171" i="42"/>
  <c r="W171" i="42"/>
  <c r="T171" i="42"/>
  <c r="H172" i="42"/>
  <c r="O172" i="42"/>
  <c r="Q172" i="42"/>
  <c r="S172" i="42"/>
  <c r="W172" i="42"/>
  <c r="T172" i="42"/>
  <c r="H173" i="42"/>
  <c r="O173" i="42"/>
  <c r="Q173" i="42"/>
  <c r="S173" i="42"/>
  <c r="W173" i="42"/>
  <c r="T173" i="42"/>
  <c r="H174" i="42"/>
  <c r="O174" i="42"/>
  <c r="Q174" i="42"/>
  <c r="S174" i="42"/>
  <c r="W174" i="42"/>
  <c r="T174" i="42"/>
  <c r="H175" i="42"/>
  <c r="O175" i="42"/>
  <c r="Q175" i="42"/>
  <c r="S175" i="42"/>
  <c r="W175" i="42"/>
  <c r="T175" i="42"/>
  <c r="H176" i="42"/>
  <c r="O176" i="42"/>
  <c r="Q176" i="42"/>
  <c r="S176" i="42"/>
  <c r="W176" i="42"/>
  <c r="T176" i="42"/>
  <c r="H177" i="42"/>
  <c r="O177" i="42"/>
  <c r="Q177" i="42"/>
  <c r="S177" i="42"/>
  <c r="W177" i="42"/>
  <c r="T177" i="42"/>
  <c r="H178" i="42"/>
  <c r="O178" i="42"/>
  <c r="Q178" i="42"/>
  <c r="S178" i="42"/>
  <c r="W178" i="42"/>
  <c r="T178" i="42"/>
  <c r="H179" i="42"/>
  <c r="O179" i="42"/>
  <c r="Q179" i="42"/>
  <c r="S179" i="42"/>
  <c r="W179" i="42"/>
  <c r="T179" i="42"/>
  <c r="H180" i="42"/>
  <c r="O180" i="42"/>
  <c r="Q180" i="42"/>
  <c r="S180" i="42"/>
  <c r="W180" i="42"/>
  <c r="T180" i="42"/>
  <c r="H181" i="42"/>
  <c r="O181" i="42"/>
  <c r="Q181" i="42"/>
  <c r="S181" i="42"/>
  <c r="W181" i="42"/>
  <c r="T181" i="42"/>
  <c r="H182" i="42"/>
  <c r="O182" i="42"/>
  <c r="Q182" i="42"/>
  <c r="S182" i="42"/>
  <c r="W182" i="42"/>
  <c r="T182" i="42"/>
  <c r="H183" i="42"/>
  <c r="O183" i="42"/>
  <c r="Q183" i="42"/>
  <c r="S183" i="42"/>
  <c r="W183" i="42"/>
  <c r="T183" i="42"/>
  <c r="H184" i="42"/>
  <c r="O184" i="42"/>
  <c r="Q184" i="42"/>
  <c r="S184" i="42"/>
  <c r="W184" i="42"/>
  <c r="T184" i="42"/>
  <c r="H185" i="42"/>
  <c r="O185" i="42"/>
  <c r="Q185" i="42"/>
  <c r="S185" i="42"/>
  <c r="W185" i="42"/>
  <c r="T185" i="42"/>
  <c r="H186" i="42"/>
  <c r="O186" i="42"/>
  <c r="Q186" i="42"/>
  <c r="S186" i="42"/>
  <c r="W186" i="42"/>
  <c r="T186" i="42"/>
  <c r="H187" i="42"/>
  <c r="O187" i="42"/>
  <c r="Q187" i="42"/>
  <c r="S187" i="42"/>
  <c r="W187" i="42"/>
  <c r="T187" i="42"/>
  <c r="H188" i="42"/>
  <c r="O188" i="42"/>
  <c r="Q188" i="42"/>
  <c r="S188" i="42"/>
  <c r="W188" i="42"/>
  <c r="T188" i="42"/>
  <c r="H189" i="42"/>
  <c r="O189" i="42"/>
  <c r="Q189" i="42"/>
  <c r="S189" i="42"/>
  <c r="W189" i="42"/>
  <c r="T189" i="42"/>
  <c r="H190" i="42"/>
  <c r="O190" i="42"/>
  <c r="Q190" i="42"/>
  <c r="S190" i="42"/>
  <c r="W190" i="42"/>
  <c r="T190" i="42"/>
  <c r="H191" i="42"/>
  <c r="O191" i="42"/>
  <c r="Q191" i="42"/>
  <c r="S191" i="42"/>
  <c r="W191" i="42"/>
  <c r="T191" i="42"/>
  <c r="H192" i="42"/>
  <c r="O192" i="42"/>
  <c r="Q192" i="42"/>
  <c r="S192" i="42"/>
  <c r="W192" i="42"/>
  <c r="T192" i="42"/>
  <c r="H193" i="42"/>
  <c r="O193" i="42"/>
  <c r="Q193" i="42"/>
  <c r="S193" i="42"/>
  <c r="W193" i="42"/>
  <c r="T193" i="42"/>
  <c r="H194" i="42"/>
  <c r="O194" i="42"/>
  <c r="Q194" i="42"/>
  <c r="S194" i="42"/>
  <c r="W194" i="42"/>
  <c r="T194" i="42"/>
  <c r="H195" i="42"/>
  <c r="O195" i="42"/>
  <c r="Q195" i="42"/>
  <c r="S195" i="42"/>
  <c r="W195" i="42"/>
  <c r="T195" i="42"/>
  <c r="H196" i="42"/>
  <c r="O196" i="42"/>
  <c r="Q196" i="42"/>
  <c r="S196" i="42"/>
  <c r="W196" i="42"/>
  <c r="T196" i="42"/>
  <c r="H197" i="42"/>
  <c r="O197" i="42"/>
  <c r="Q197" i="42"/>
  <c r="S197" i="42"/>
  <c r="W197" i="42"/>
  <c r="T197" i="42"/>
  <c r="H198" i="42"/>
  <c r="O198" i="42"/>
  <c r="Q198" i="42"/>
  <c r="S198" i="42"/>
  <c r="W198" i="42"/>
  <c r="T198" i="42"/>
  <c r="H199" i="42"/>
  <c r="O199" i="42"/>
  <c r="Q199" i="42"/>
  <c r="S199" i="42"/>
  <c r="W199" i="42"/>
  <c r="T199" i="42"/>
  <c r="H200" i="42"/>
  <c r="O200" i="42"/>
  <c r="Q200" i="42"/>
  <c r="S200" i="42"/>
  <c r="W200" i="42"/>
  <c r="T200" i="42"/>
  <c r="H201" i="42"/>
  <c r="O201" i="42"/>
  <c r="Q201" i="42"/>
  <c r="S201" i="42"/>
  <c r="W201" i="42"/>
  <c r="T201" i="42"/>
  <c r="H202" i="42"/>
  <c r="O202" i="42"/>
  <c r="Q202" i="42"/>
  <c r="S202" i="42"/>
  <c r="W202" i="42"/>
  <c r="T202" i="42"/>
  <c r="H203" i="42"/>
  <c r="O203" i="42"/>
  <c r="Q203" i="42"/>
  <c r="S203" i="42"/>
  <c r="W203" i="42"/>
  <c r="T203" i="42"/>
  <c r="H204" i="42"/>
  <c r="O204" i="42"/>
  <c r="Q204" i="42"/>
  <c r="S204" i="42"/>
  <c r="W204" i="42"/>
  <c r="T204" i="42"/>
  <c r="H205" i="42"/>
  <c r="O205" i="42"/>
  <c r="Q205" i="42"/>
  <c r="S205" i="42"/>
  <c r="W205" i="42"/>
  <c r="T205" i="42"/>
  <c r="H206" i="42"/>
  <c r="O206" i="42"/>
  <c r="Q206" i="42"/>
  <c r="S206" i="42"/>
  <c r="W206" i="42"/>
  <c r="T206" i="42"/>
  <c r="H207" i="42"/>
  <c r="O207" i="42"/>
  <c r="Q207" i="42"/>
  <c r="S207" i="42"/>
  <c r="W207" i="42"/>
  <c r="T207" i="42"/>
  <c r="H208" i="42"/>
  <c r="O208" i="42"/>
  <c r="Q208" i="42"/>
  <c r="S208" i="42"/>
  <c r="W208" i="42"/>
  <c r="T208" i="42"/>
  <c r="H209" i="42"/>
  <c r="O209" i="42"/>
  <c r="Q209" i="42"/>
  <c r="S209" i="42"/>
  <c r="W209" i="42"/>
  <c r="T209" i="42"/>
  <c r="H210" i="42"/>
  <c r="O210" i="42"/>
  <c r="Q210" i="42"/>
  <c r="S210" i="42"/>
  <c r="W210" i="42"/>
  <c r="T210" i="42"/>
  <c r="H211" i="42"/>
  <c r="O211" i="42"/>
  <c r="Q211" i="42"/>
  <c r="S211" i="42"/>
  <c r="W211" i="42"/>
  <c r="T211" i="42"/>
  <c r="H212" i="42"/>
  <c r="O212" i="42"/>
  <c r="Q212" i="42"/>
  <c r="S212" i="42"/>
  <c r="W212" i="42"/>
  <c r="T212" i="42"/>
  <c r="H213" i="42"/>
  <c r="O213" i="42"/>
  <c r="Q213" i="42"/>
  <c r="S213" i="42"/>
  <c r="W213" i="42"/>
  <c r="T213" i="42"/>
  <c r="O214" i="42"/>
  <c r="Q214" i="42"/>
  <c r="S214" i="42"/>
  <c r="W214" i="42"/>
  <c r="T214" i="42"/>
  <c r="H215" i="42"/>
  <c r="O215" i="42"/>
  <c r="Q215" i="42"/>
  <c r="S215" i="42"/>
  <c r="W215" i="42"/>
  <c r="T215" i="42"/>
  <c r="H216" i="42"/>
  <c r="O216" i="42"/>
  <c r="Q216" i="42"/>
  <c r="S216" i="42"/>
  <c r="W216" i="42"/>
  <c r="T216" i="42"/>
  <c r="H217" i="42"/>
  <c r="O217" i="42"/>
  <c r="Q217" i="42"/>
  <c r="S217" i="42"/>
  <c r="W217" i="42"/>
  <c r="T217" i="42"/>
  <c r="H218" i="42"/>
  <c r="O218" i="42"/>
  <c r="Q218" i="42"/>
  <c r="S218" i="42"/>
  <c r="W218" i="42"/>
  <c r="T218" i="42"/>
  <c r="H219" i="42"/>
  <c r="O219" i="42"/>
  <c r="Q219" i="42"/>
  <c r="S219" i="42"/>
  <c r="W219" i="42"/>
  <c r="T219" i="42"/>
  <c r="H220" i="42"/>
  <c r="O220" i="42"/>
  <c r="Q220" i="42"/>
  <c r="S220" i="42"/>
  <c r="W220" i="42"/>
  <c r="T220" i="42"/>
  <c r="H221" i="42"/>
  <c r="O221" i="42"/>
  <c r="Q221" i="42"/>
  <c r="S221" i="42"/>
  <c r="W221" i="42"/>
  <c r="T221" i="42"/>
  <c r="H222" i="42"/>
  <c r="O222" i="42"/>
  <c r="Q222" i="42"/>
  <c r="S222" i="42"/>
  <c r="W222" i="42"/>
  <c r="T222" i="42"/>
  <c r="H223" i="42"/>
  <c r="O223" i="42"/>
  <c r="Q223" i="42"/>
  <c r="S223" i="42"/>
  <c r="W223" i="42"/>
  <c r="T223" i="42"/>
  <c r="H224" i="42"/>
  <c r="O224" i="42"/>
  <c r="Q224" i="42"/>
  <c r="S224" i="42"/>
  <c r="W224" i="42"/>
  <c r="T224" i="42"/>
  <c r="H225" i="42"/>
  <c r="O225" i="42"/>
  <c r="Q225" i="42"/>
  <c r="S225" i="42"/>
  <c r="W225" i="42"/>
  <c r="T225" i="42"/>
  <c r="H226" i="42"/>
  <c r="O226" i="42"/>
  <c r="Q226" i="42"/>
  <c r="S226" i="42"/>
  <c r="W226" i="42"/>
  <c r="T226" i="42"/>
  <c r="H227" i="42"/>
  <c r="O227" i="42"/>
  <c r="Q227" i="42"/>
  <c r="S227" i="42"/>
  <c r="W227" i="42"/>
  <c r="T227" i="42"/>
  <c r="H228" i="42"/>
  <c r="O228" i="42"/>
  <c r="Q228" i="42"/>
  <c r="S228" i="42"/>
  <c r="W228" i="42"/>
  <c r="T228" i="42"/>
  <c r="H229" i="42"/>
  <c r="O229" i="42"/>
  <c r="Q229" i="42"/>
  <c r="S229" i="42"/>
  <c r="W229" i="42"/>
  <c r="T229" i="42"/>
  <c r="H230" i="42"/>
  <c r="O230" i="42"/>
  <c r="Q230" i="42"/>
  <c r="S230" i="42"/>
  <c r="W230" i="42"/>
  <c r="T230" i="42"/>
  <c r="H231" i="42"/>
  <c r="O231" i="42"/>
  <c r="Q231" i="42"/>
  <c r="S231" i="42"/>
  <c r="W231" i="42"/>
  <c r="T231" i="42"/>
  <c r="H232" i="42"/>
  <c r="O232" i="42"/>
  <c r="Q232" i="42"/>
  <c r="S232" i="42"/>
  <c r="W232" i="42"/>
  <c r="T232" i="42"/>
  <c r="H233" i="42"/>
  <c r="O233" i="42"/>
  <c r="Q233" i="42"/>
  <c r="S233" i="42"/>
  <c r="W233" i="42"/>
  <c r="T233" i="42"/>
  <c r="H234" i="42"/>
  <c r="O234" i="42"/>
  <c r="Q234" i="42"/>
  <c r="S234" i="42"/>
  <c r="W234" i="42"/>
  <c r="T234" i="42"/>
  <c r="H235" i="42"/>
  <c r="O235" i="42"/>
  <c r="Q235" i="42"/>
  <c r="S235" i="42"/>
  <c r="W235" i="42"/>
  <c r="T235" i="42"/>
  <c r="H236" i="42"/>
  <c r="O236" i="42"/>
  <c r="Q236" i="42"/>
  <c r="S236" i="42"/>
  <c r="W236" i="42"/>
  <c r="T236" i="42"/>
  <c r="H237" i="42"/>
  <c r="O237" i="42"/>
  <c r="Q237" i="42"/>
  <c r="S237" i="42"/>
  <c r="W237" i="42"/>
  <c r="T237" i="42"/>
  <c r="H238" i="42"/>
  <c r="O238" i="42"/>
  <c r="Q238" i="42"/>
  <c r="S238" i="42"/>
  <c r="W238" i="42"/>
  <c r="T238" i="42"/>
  <c r="H239" i="42"/>
  <c r="O239" i="42"/>
  <c r="Q239" i="42"/>
  <c r="S239" i="42"/>
  <c r="W239" i="42"/>
  <c r="T239" i="42"/>
  <c r="H240" i="42"/>
  <c r="O240" i="42"/>
  <c r="Q240" i="42"/>
  <c r="S240" i="42"/>
  <c r="W240" i="42"/>
  <c r="T240" i="42"/>
  <c r="H241" i="42"/>
  <c r="O241" i="42"/>
  <c r="Q241" i="42"/>
  <c r="S241" i="42"/>
  <c r="W241" i="42"/>
  <c r="T241" i="42"/>
  <c r="H242" i="42"/>
  <c r="O242" i="42"/>
  <c r="Q242" i="42"/>
  <c r="S242" i="42"/>
  <c r="W242" i="42"/>
  <c r="T242" i="42"/>
  <c r="H243" i="42"/>
  <c r="O243" i="42"/>
  <c r="Q243" i="42"/>
  <c r="S243" i="42"/>
  <c r="W243" i="42"/>
  <c r="T243" i="42"/>
  <c r="H244" i="42"/>
  <c r="O244" i="42"/>
  <c r="Q244" i="42"/>
  <c r="S244" i="42"/>
  <c r="W244" i="42"/>
  <c r="T244" i="42"/>
  <c r="H245" i="42"/>
  <c r="O245" i="42"/>
  <c r="Q245" i="42"/>
  <c r="S245" i="42"/>
  <c r="W245" i="42"/>
  <c r="T245" i="42"/>
  <c r="H246" i="42"/>
  <c r="O246" i="42"/>
  <c r="Q246" i="42"/>
  <c r="S246" i="42"/>
  <c r="W246" i="42"/>
  <c r="T246" i="42"/>
  <c r="H247" i="42"/>
  <c r="O247" i="42"/>
  <c r="Q247" i="42"/>
  <c r="S247" i="42"/>
  <c r="W247" i="42"/>
  <c r="T247" i="42"/>
  <c r="H248" i="42"/>
  <c r="O248" i="42"/>
  <c r="Q248" i="42"/>
  <c r="S248" i="42"/>
  <c r="W248" i="42"/>
  <c r="T248" i="42"/>
  <c r="H249" i="42"/>
  <c r="O249" i="42"/>
  <c r="Q249" i="42"/>
  <c r="S249" i="42"/>
  <c r="W249" i="42"/>
  <c r="T249" i="42"/>
  <c r="H250" i="42"/>
  <c r="O250" i="42"/>
  <c r="Q250" i="42"/>
  <c r="S250" i="42"/>
  <c r="W250" i="42"/>
  <c r="T250" i="42"/>
  <c r="H251" i="42"/>
  <c r="O251" i="42"/>
  <c r="Q251" i="42"/>
  <c r="S251" i="42"/>
  <c r="W251" i="42"/>
  <c r="T251" i="42"/>
  <c r="H252" i="42"/>
  <c r="O252" i="42"/>
  <c r="Q252" i="42"/>
  <c r="S252" i="42"/>
  <c r="W252" i="42"/>
  <c r="T252" i="42"/>
  <c r="H253" i="42"/>
  <c r="O253" i="42"/>
  <c r="Q253" i="42"/>
  <c r="S253" i="42"/>
  <c r="W253" i="42"/>
  <c r="T253" i="42"/>
  <c r="H254" i="42"/>
  <c r="O254" i="42"/>
  <c r="Q254" i="42"/>
  <c r="S254" i="42"/>
  <c r="W254" i="42"/>
  <c r="T254" i="42"/>
  <c r="H255" i="42"/>
  <c r="O255" i="42"/>
  <c r="Q255" i="42"/>
  <c r="S255" i="42"/>
  <c r="W255" i="42"/>
  <c r="T255" i="42"/>
  <c r="H256" i="42"/>
  <c r="O256" i="42"/>
  <c r="Q256" i="42"/>
  <c r="S256" i="42"/>
  <c r="W256" i="42"/>
  <c r="T256" i="42"/>
  <c r="H257" i="42"/>
  <c r="O257" i="42"/>
  <c r="Q257" i="42"/>
  <c r="S257" i="42"/>
  <c r="W257" i="42"/>
  <c r="T257" i="42"/>
  <c r="H258" i="42"/>
  <c r="O258" i="42"/>
  <c r="Q258" i="42"/>
  <c r="S258" i="42"/>
  <c r="W258" i="42"/>
  <c r="T258" i="42"/>
  <c r="H259" i="42"/>
  <c r="O259" i="42"/>
  <c r="Q259" i="42"/>
  <c r="S259" i="42"/>
  <c r="W259" i="42"/>
  <c r="T259" i="42"/>
  <c r="H260" i="42"/>
  <c r="O260" i="42"/>
  <c r="Q260" i="42"/>
  <c r="S260" i="42"/>
  <c r="W260" i="42"/>
  <c r="T260" i="42"/>
  <c r="H261" i="42"/>
  <c r="O261" i="42"/>
  <c r="Q261" i="42"/>
  <c r="S261" i="42"/>
  <c r="W261" i="42"/>
  <c r="T261" i="42"/>
  <c r="H262" i="42"/>
  <c r="O262" i="42"/>
  <c r="Q262" i="42"/>
  <c r="S262" i="42"/>
  <c r="W262" i="42"/>
  <c r="T262" i="42"/>
  <c r="H263" i="42"/>
  <c r="O263" i="42"/>
  <c r="Q263" i="42"/>
  <c r="S263" i="42"/>
  <c r="W263" i="42"/>
  <c r="T263" i="42"/>
  <c r="H264" i="42"/>
  <c r="O264" i="42"/>
  <c r="Q264" i="42"/>
  <c r="S264" i="42"/>
  <c r="W264" i="42"/>
  <c r="T264" i="42"/>
  <c r="H265" i="42"/>
  <c r="O265" i="42"/>
  <c r="Q265" i="42"/>
  <c r="S265" i="42"/>
  <c r="W265" i="42"/>
  <c r="T265" i="42"/>
  <c r="H266" i="42"/>
  <c r="O266" i="42"/>
  <c r="Q266" i="42"/>
  <c r="S266" i="42"/>
  <c r="W266" i="42"/>
  <c r="T266" i="42"/>
  <c r="H267" i="42"/>
  <c r="O267" i="42"/>
  <c r="Q267" i="42"/>
  <c r="S267" i="42"/>
  <c r="W267" i="42"/>
  <c r="T267" i="42"/>
  <c r="H268" i="42"/>
  <c r="O268" i="42"/>
  <c r="Q268" i="42"/>
  <c r="S268" i="42"/>
  <c r="W268" i="42"/>
  <c r="T268" i="42"/>
  <c r="H269" i="42"/>
  <c r="O269" i="42"/>
  <c r="Q269" i="42"/>
  <c r="S269" i="42"/>
  <c r="W269" i="42"/>
  <c r="T269" i="42"/>
  <c r="H270" i="42"/>
  <c r="O270" i="42"/>
  <c r="Q270" i="42"/>
  <c r="S270" i="42"/>
  <c r="W270" i="42"/>
  <c r="T270" i="42"/>
  <c r="H271" i="42"/>
  <c r="O271" i="42"/>
  <c r="Q271" i="42"/>
  <c r="S271" i="42"/>
  <c r="W271" i="42"/>
  <c r="T271" i="42"/>
  <c r="H272" i="42"/>
  <c r="O272" i="42"/>
  <c r="Q272" i="42"/>
  <c r="S272" i="42"/>
  <c r="W272" i="42"/>
  <c r="T272" i="42"/>
  <c r="H273" i="42"/>
  <c r="O273" i="42"/>
  <c r="Q273" i="42"/>
  <c r="S273" i="42"/>
  <c r="W273" i="42"/>
  <c r="T273" i="42"/>
  <c r="H274" i="42"/>
  <c r="O274" i="42"/>
  <c r="Q274" i="42"/>
  <c r="S274" i="42"/>
  <c r="W274" i="42"/>
  <c r="T274" i="42"/>
  <c r="H275" i="42"/>
  <c r="O275" i="42"/>
  <c r="Q275" i="42"/>
  <c r="S275" i="42"/>
  <c r="W275" i="42"/>
  <c r="T275" i="42"/>
  <c r="H276" i="42"/>
  <c r="O276" i="42"/>
  <c r="Q276" i="42"/>
  <c r="S276" i="42"/>
  <c r="W276" i="42"/>
  <c r="T276" i="42"/>
  <c r="H277" i="42"/>
  <c r="O277" i="42"/>
  <c r="Q277" i="42"/>
  <c r="S277" i="42"/>
  <c r="W277" i="42"/>
  <c r="T277" i="42"/>
  <c r="H278" i="42"/>
  <c r="O278" i="42"/>
  <c r="Q278" i="42"/>
  <c r="S278" i="42"/>
  <c r="W278" i="42"/>
  <c r="T278" i="42"/>
  <c r="H279" i="42"/>
  <c r="O279" i="42"/>
  <c r="Q279" i="42"/>
  <c r="S279" i="42"/>
  <c r="W279" i="42"/>
  <c r="T279" i="42"/>
  <c r="H280" i="42"/>
  <c r="O280" i="42"/>
  <c r="Q280" i="42"/>
  <c r="S280" i="42"/>
  <c r="W280" i="42"/>
  <c r="T280" i="42"/>
  <c r="H281" i="42"/>
  <c r="O281" i="42"/>
  <c r="Q281" i="42"/>
  <c r="S281" i="42"/>
  <c r="W281" i="42"/>
  <c r="T281" i="42"/>
  <c r="H282" i="42"/>
  <c r="O282" i="42"/>
  <c r="Q282" i="42"/>
  <c r="S282" i="42"/>
  <c r="W282" i="42"/>
  <c r="T282" i="42"/>
  <c r="H283" i="42"/>
  <c r="O283" i="42"/>
  <c r="Q283" i="42"/>
  <c r="S283" i="42"/>
  <c r="W283" i="42"/>
  <c r="T283" i="42"/>
  <c r="H284" i="42"/>
  <c r="O284" i="42"/>
  <c r="Q284" i="42"/>
  <c r="S284" i="42"/>
  <c r="W284" i="42"/>
  <c r="T284" i="42"/>
  <c r="H285" i="42"/>
  <c r="O285" i="42"/>
  <c r="Q285" i="42"/>
  <c r="S285" i="42"/>
  <c r="W285" i="42"/>
  <c r="T285" i="42"/>
  <c r="H286" i="42"/>
  <c r="O286" i="42"/>
  <c r="Q286" i="42"/>
  <c r="S286" i="42"/>
  <c r="W286" i="42"/>
  <c r="T286" i="42"/>
  <c r="H287" i="42"/>
  <c r="O287" i="42"/>
  <c r="Q287" i="42"/>
  <c r="S287" i="42"/>
  <c r="W287" i="42"/>
  <c r="T287" i="42"/>
  <c r="H288" i="42"/>
  <c r="O288" i="42"/>
  <c r="Q288" i="42"/>
  <c r="S288" i="42"/>
  <c r="W288" i="42"/>
  <c r="T288" i="42"/>
  <c r="H289" i="42"/>
  <c r="O289" i="42"/>
  <c r="Q289" i="42"/>
  <c r="S289" i="42"/>
  <c r="W289" i="42"/>
  <c r="T289" i="42"/>
  <c r="H290" i="42"/>
  <c r="O290" i="42"/>
  <c r="Q290" i="42"/>
  <c r="S290" i="42"/>
  <c r="W290" i="42"/>
  <c r="T290" i="42"/>
  <c r="H291" i="42"/>
  <c r="O291" i="42"/>
  <c r="Q291" i="42"/>
  <c r="S291" i="42"/>
  <c r="W291" i="42"/>
  <c r="T291" i="42"/>
  <c r="H292" i="42"/>
  <c r="O292" i="42"/>
  <c r="Q292" i="42"/>
  <c r="S292" i="42"/>
  <c r="W292" i="42"/>
  <c r="T292" i="42"/>
  <c r="H293" i="42"/>
  <c r="O293" i="42"/>
  <c r="Q293" i="42"/>
  <c r="S293" i="42"/>
  <c r="W293" i="42"/>
  <c r="T293" i="42"/>
  <c r="H294" i="42"/>
  <c r="O294" i="42"/>
  <c r="Q294" i="42"/>
  <c r="S294" i="42"/>
  <c r="W294" i="42"/>
  <c r="T294" i="42"/>
  <c r="H295" i="42"/>
  <c r="O295" i="42"/>
  <c r="Q295" i="42"/>
  <c r="S295" i="42"/>
  <c r="W295" i="42"/>
  <c r="T295" i="42"/>
  <c r="H296" i="42"/>
  <c r="O296" i="42"/>
  <c r="Q296" i="42"/>
  <c r="S296" i="42"/>
  <c r="W296" i="42"/>
  <c r="T296" i="42"/>
  <c r="H297" i="42"/>
  <c r="O297" i="42"/>
  <c r="Q297" i="42"/>
  <c r="S297" i="42"/>
  <c r="W297" i="42"/>
  <c r="T297" i="42"/>
  <c r="H298" i="42"/>
  <c r="O298" i="42"/>
  <c r="Q298" i="42"/>
  <c r="S298" i="42"/>
  <c r="W298" i="42"/>
  <c r="T298" i="42"/>
  <c r="H299" i="42"/>
  <c r="O299" i="42"/>
  <c r="Q299" i="42"/>
  <c r="S299" i="42"/>
  <c r="W299" i="42"/>
  <c r="T299" i="42"/>
  <c r="H300" i="42"/>
  <c r="O300" i="42"/>
  <c r="Q300" i="42"/>
  <c r="S300" i="42"/>
  <c r="W300" i="42"/>
  <c r="T300" i="42"/>
  <c r="H301" i="42"/>
  <c r="O301" i="42"/>
  <c r="Q301" i="42"/>
  <c r="S301" i="42"/>
  <c r="W301" i="42"/>
  <c r="T301" i="42"/>
  <c r="H302" i="42"/>
  <c r="O302" i="42"/>
  <c r="Q302" i="42"/>
  <c r="S302" i="42"/>
  <c r="W302" i="42"/>
  <c r="T302" i="42"/>
  <c r="H303" i="42"/>
  <c r="O303" i="42"/>
  <c r="Q303" i="42"/>
  <c r="S303" i="42"/>
  <c r="W303" i="42"/>
  <c r="T303" i="42"/>
  <c r="H304" i="42"/>
  <c r="O304" i="42"/>
  <c r="Q304" i="42"/>
  <c r="S304" i="42"/>
  <c r="W304" i="42"/>
  <c r="T304" i="42"/>
  <c r="H305" i="42"/>
  <c r="O305" i="42"/>
  <c r="Q305" i="42"/>
  <c r="S305" i="42"/>
  <c r="W305" i="42"/>
  <c r="T305" i="42"/>
  <c r="H306" i="42"/>
  <c r="O306" i="42"/>
  <c r="Q306" i="42"/>
  <c r="S306" i="42"/>
  <c r="W306" i="42"/>
  <c r="T306" i="42"/>
  <c r="H307" i="42"/>
  <c r="O307" i="42"/>
  <c r="Q307" i="42"/>
  <c r="S307" i="42"/>
  <c r="W307" i="42"/>
  <c r="T307" i="42"/>
  <c r="H308" i="42"/>
  <c r="O308" i="42"/>
  <c r="Q308" i="42"/>
  <c r="S308" i="42"/>
  <c r="W308" i="42"/>
  <c r="T308" i="42"/>
  <c r="H309" i="42"/>
  <c r="O309" i="42"/>
  <c r="Q309" i="42"/>
  <c r="S309" i="42"/>
  <c r="W309" i="42"/>
  <c r="T309" i="42"/>
  <c r="H310" i="42"/>
  <c r="O310" i="42"/>
  <c r="Q310" i="42"/>
  <c r="S310" i="42"/>
  <c r="W310" i="42"/>
  <c r="T310" i="42"/>
  <c r="H311" i="42"/>
  <c r="O311" i="42"/>
  <c r="Q311" i="42"/>
  <c r="S311" i="42"/>
  <c r="W311" i="42"/>
  <c r="T311" i="42"/>
  <c r="H312" i="42"/>
  <c r="O312" i="42"/>
  <c r="Q312" i="42"/>
  <c r="S312" i="42"/>
  <c r="W312" i="42"/>
  <c r="T312" i="42"/>
  <c r="H313" i="42"/>
  <c r="O313" i="42"/>
  <c r="Q313" i="42"/>
  <c r="S313" i="42"/>
  <c r="W313" i="42"/>
  <c r="T313" i="42"/>
  <c r="H314" i="42"/>
  <c r="O314" i="42"/>
  <c r="Q314" i="42"/>
  <c r="S314" i="42"/>
  <c r="W314" i="42"/>
  <c r="T314" i="42"/>
  <c r="H315" i="42"/>
  <c r="O315" i="42"/>
  <c r="Q315" i="42"/>
  <c r="S315" i="42"/>
  <c r="W315" i="42"/>
  <c r="T315" i="42"/>
  <c r="H316" i="42"/>
  <c r="O316" i="42"/>
  <c r="Q316" i="42"/>
  <c r="S316" i="42"/>
  <c r="W316" i="42"/>
  <c r="T316" i="42"/>
  <c r="H317" i="42"/>
  <c r="O317" i="42"/>
  <c r="Q317" i="42"/>
  <c r="S317" i="42"/>
  <c r="W317" i="42"/>
  <c r="T317" i="42"/>
  <c r="H318" i="42"/>
  <c r="O318" i="42"/>
  <c r="Q318" i="42"/>
  <c r="S318" i="42"/>
  <c r="W318" i="42"/>
  <c r="T318" i="42"/>
  <c r="H319" i="42"/>
  <c r="O319" i="42"/>
  <c r="Q319" i="42"/>
  <c r="S319" i="42"/>
  <c r="W319" i="42"/>
  <c r="T319" i="42"/>
  <c r="H320" i="42"/>
  <c r="O320" i="42"/>
  <c r="Q320" i="42"/>
  <c r="S320" i="42"/>
  <c r="W320" i="42"/>
  <c r="T320" i="42"/>
  <c r="H321" i="42"/>
  <c r="O321" i="42"/>
  <c r="Q321" i="42"/>
  <c r="S321" i="42"/>
  <c r="W321" i="42"/>
  <c r="T321" i="42"/>
  <c r="H322" i="42"/>
  <c r="O322" i="42"/>
  <c r="Q322" i="42"/>
  <c r="S322" i="42"/>
  <c r="W322" i="42"/>
  <c r="T322" i="42"/>
  <c r="H323" i="42"/>
  <c r="O323" i="42"/>
  <c r="Q323" i="42"/>
  <c r="S323" i="42"/>
  <c r="W323" i="42"/>
  <c r="T323" i="42"/>
  <c r="H324" i="42"/>
  <c r="O324" i="42"/>
  <c r="Q324" i="42"/>
  <c r="S324" i="42"/>
  <c r="W324" i="42"/>
  <c r="T324" i="42"/>
  <c r="H325" i="42"/>
  <c r="O325" i="42"/>
  <c r="Q325" i="42"/>
  <c r="S325" i="42"/>
  <c r="W325" i="42"/>
  <c r="T325" i="42"/>
  <c r="H326" i="42"/>
  <c r="O326" i="42"/>
  <c r="Q326" i="42"/>
  <c r="S326" i="42"/>
  <c r="W326" i="42"/>
  <c r="T326" i="42"/>
  <c r="H327" i="42"/>
  <c r="O327" i="42"/>
  <c r="Q327" i="42"/>
  <c r="S327" i="42"/>
  <c r="W327" i="42"/>
  <c r="T327" i="42"/>
  <c r="H328" i="42"/>
  <c r="O328" i="42"/>
  <c r="Q328" i="42"/>
  <c r="S328" i="42"/>
  <c r="W328" i="42"/>
  <c r="T328" i="42"/>
  <c r="H329" i="42"/>
  <c r="O329" i="42"/>
  <c r="Q329" i="42"/>
  <c r="S329" i="42"/>
  <c r="W329" i="42"/>
  <c r="T329" i="42"/>
  <c r="H330" i="42"/>
  <c r="O330" i="42"/>
  <c r="Q330" i="42"/>
  <c r="S330" i="42"/>
  <c r="W330" i="42"/>
  <c r="T330" i="42"/>
  <c r="H331" i="42"/>
  <c r="O331" i="42"/>
  <c r="Q331" i="42"/>
  <c r="S331" i="42"/>
  <c r="W331" i="42"/>
  <c r="T331" i="42"/>
  <c r="H332" i="42"/>
  <c r="O332" i="42"/>
  <c r="Q332" i="42"/>
  <c r="S332" i="42"/>
  <c r="W332" i="42"/>
  <c r="T332" i="42"/>
  <c r="H333" i="42"/>
  <c r="O333" i="42"/>
  <c r="Q333" i="42"/>
  <c r="S333" i="42"/>
  <c r="W333" i="42"/>
  <c r="T333" i="42"/>
  <c r="H334" i="42"/>
  <c r="O334" i="42"/>
  <c r="Q334" i="42"/>
  <c r="S334" i="42"/>
  <c r="W334" i="42"/>
  <c r="T334" i="42"/>
  <c r="H335" i="42"/>
  <c r="O335" i="42"/>
  <c r="Q335" i="42"/>
  <c r="S335" i="42"/>
  <c r="W335" i="42"/>
  <c r="T335" i="42"/>
  <c r="H336" i="42"/>
  <c r="O336" i="42"/>
  <c r="Q336" i="42"/>
  <c r="S336" i="42"/>
  <c r="W336" i="42"/>
  <c r="T336" i="42"/>
  <c r="H337" i="42"/>
  <c r="O337" i="42"/>
  <c r="Q337" i="42"/>
  <c r="S337" i="42"/>
  <c r="W337" i="42"/>
  <c r="T337" i="42"/>
  <c r="H338" i="42"/>
  <c r="O338" i="42"/>
  <c r="Q338" i="42"/>
  <c r="S338" i="42"/>
  <c r="W338" i="42"/>
  <c r="T338" i="42"/>
  <c r="H339" i="42"/>
  <c r="O339" i="42"/>
  <c r="Q339" i="42"/>
  <c r="S339" i="42"/>
  <c r="W339" i="42"/>
  <c r="T339" i="42"/>
  <c r="H340" i="42"/>
  <c r="O340" i="42"/>
  <c r="Q340" i="42"/>
  <c r="S340" i="42"/>
  <c r="W340" i="42"/>
  <c r="T340" i="42"/>
  <c r="H341" i="42"/>
  <c r="O341" i="42"/>
  <c r="Q341" i="42"/>
  <c r="S341" i="42"/>
  <c r="W341" i="42"/>
  <c r="T341" i="42"/>
  <c r="H342" i="42"/>
  <c r="O342" i="42"/>
  <c r="Q342" i="42"/>
  <c r="S342" i="42"/>
  <c r="W342" i="42"/>
  <c r="T342" i="42"/>
  <c r="H343" i="42"/>
  <c r="O343" i="42"/>
  <c r="Q343" i="42"/>
  <c r="S343" i="42"/>
  <c r="W343" i="42"/>
  <c r="T343" i="42"/>
  <c r="H344" i="42"/>
  <c r="O344" i="42"/>
  <c r="Q344" i="42"/>
  <c r="S344" i="42"/>
  <c r="W344" i="42"/>
  <c r="T344" i="42"/>
  <c r="H345" i="42"/>
  <c r="O345" i="42"/>
  <c r="Q345" i="42"/>
  <c r="S345" i="42"/>
  <c r="W345" i="42"/>
  <c r="T345" i="42"/>
  <c r="H346" i="42"/>
  <c r="O346" i="42"/>
  <c r="Q346" i="42"/>
  <c r="S346" i="42"/>
  <c r="W346" i="42"/>
  <c r="T346" i="42"/>
  <c r="H347" i="42"/>
  <c r="O347" i="42"/>
  <c r="Q347" i="42"/>
  <c r="S347" i="42"/>
  <c r="W347" i="42"/>
  <c r="T347" i="42"/>
  <c r="H348" i="42"/>
  <c r="O348" i="42"/>
  <c r="Q348" i="42"/>
  <c r="S348" i="42"/>
  <c r="W348" i="42"/>
  <c r="T348" i="42"/>
  <c r="H349" i="42"/>
  <c r="O349" i="42"/>
  <c r="Q349" i="42"/>
  <c r="S349" i="42"/>
  <c r="W349" i="42"/>
  <c r="T349" i="42"/>
  <c r="H350" i="42"/>
  <c r="O350" i="42"/>
  <c r="Q350" i="42"/>
  <c r="S350" i="42"/>
  <c r="W350" i="42"/>
  <c r="T350" i="42"/>
  <c r="H351" i="42"/>
  <c r="O351" i="42"/>
  <c r="Q351" i="42"/>
  <c r="S351" i="42"/>
  <c r="W351" i="42"/>
  <c r="T351" i="42"/>
  <c r="H352" i="42"/>
  <c r="O352" i="42"/>
  <c r="Q352" i="42"/>
  <c r="S352" i="42"/>
  <c r="W352" i="42"/>
  <c r="T352" i="42"/>
  <c r="H353" i="42"/>
  <c r="O353" i="42"/>
  <c r="Q353" i="42"/>
  <c r="S353" i="42"/>
  <c r="W353" i="42"/>
  <c r="T353" i="42"/>
  <c r="H354" i="42"/>
  <c r="O354" i="42"/>
  <c r="Q354" i="42"/>
  <c r="S354" i="42"/>
  <c r="W354" i="42"/>
  <c r="T354" i="42"/>
  <c r="H355" i="42"/>
  <c r="O355" i="42"/>
  <c r="Q355" i="42"/>
  <c r="S355" i="42"/>
  <c r="W355" i="42"/>
  <c r="T355" i="42"/>
  <c r="H356" i="42"/>
  <c r="O356" i="42"/>
  <c r="Q356" i="42"/>
  <c r="S356" i="42"/>
  <c r="W356" i="42"/>
  <c r="T356" i="42"/>
  <c r="H357" i="42"/>
  <c r="O357" i="42"/>
  <c r="Q357" i="42"/>
  <c r="S357" i="42"/>
  <c r="W357" i="42"/>
  <c r="T357" i="42"/>
  <c r="H358" i="42"/>
  <c r="O358" i="42"/>
  <c r="Q358" i="42"/>
  <c r="S358" i="42"/>
  <c r="W358" i="42"/>
  <c r="T358" i="42"/>
  <c r="H359" i="42"/>
  <c r="O359" i="42"/>
  <c r="Q359" i="42"/>
  <c r="S359" i="42"/>
  <c r="W359" i="42"/>
  <c r="T359" i="42"/>
  <c r="H360" i="42"/>
  <c r="O360" i="42"/>
  <c r="Q360" i="42"/>
  <c r="S360" i="42"/>
  <c r="W360" i="42"/>
  <c r="T360" i="42"/>
  <c r="H361" i="42"/>
  <c r="O361" i="42"/>
  <c r="Q361" i="42"/>
  <c r="S361" i="42"/>
  <c r="W361" i="42"/>
  <c r="T361" i="42"/>
  <c r="H362" i="42"/>
  <c r="O362" i="42"/>
  <c r="Q362" i="42"/>
  <c r="S362" i="42"/>
  <c r="W362" i="42"/>
  <c r="T362" i="42"/>
  <c r="H363" i="42"/>
  <c r="O363" i="42"/>
  <c r="Q363" i="42"/>
  <c r="S363" i="42"/>
  <c r="W363" i="42"/>
  <c r="T363" i="42"/>
  <c r="H364" i="42"/>
  <c r="O364" i="42"/>
  <c r="Q364" i="42"/>
  <c r="S364" i="42"/>
  <c r="W364" i="42"/>
  <c r="T364" i="42"/>
  <c r="H365" i="42"/>
  <c r="O365" i="42"/>
  <c r="Q365" i="42"/>
  <c r="S365" i="42"/>
  <c r="W365" i="42"/>
  <c r="T365" i="42"/>
  <c r="H366" i="42"/>
  <c r="O366" i="42"/>
  <c r="Q366" i="42"/>
  <c r="S366" i="42"/>
  <c r="W366" i="42"/>
  <c r="T366" i="42"/>
  <c r="H367" i="42"/>
  <c r="O367" i="42"/>
  <c r="Q367" i="42"/>
  <c r="S367" i="42"/>
  <c r="W367" i="42"/>
  <c r="T367" i="42"/>
  <c r="H368" i="42"/>
  <c r="O368" i="42"/>
  <c r="Q368" i="42"/>
  <c r="S368" i="42"/>
  <c r="W368" i="42"/>
  <c r="T368" i="42"/>
  <c r="H369" i="42"/>
  <c r="O369" i="42"/>
  <c r="Q369" i="42"/>
  <c r="S369" i="42"/>
  <c r="W369" i="42"/>
  <c r="T369" i="42"/>
  <c r="H370" i="42"/>
  <c r="O370" i="42"/>
  <c r="Q370" i="42"/>
  <c r="S370" i="42"/>
  <c r="W370" i="42"/>
  <c r="T370" i="42"/>
  <c r="H371" i="42"/>
  <c r="O371" i="42"/>
  <c r="Q371" i="42"/>
  <c r="S371" i="42"/>
  <c r="W371" i="42"/>
  <c r="T371" i="42"/>
  <c r="H372" i="42"/>
  <c r="O372" i="42"/>
  <c r="Q372" i="42"/>
  <c r="S372" i="42"/>
  <c r="W372" i="42"/>
  <c r="T372" i="42"/>
  <c r="H373" i="42"/>
  <c r="O373" i="42"/>
  <c r="Q373" i="42"/>
  <c r="S373" i="42"/>
  <c r="W373" i="42"/>
  <c r="T373" i="42"/>
  <c r="H374" i="42"/>
  <c r="O374" i="42"/>
  <c r="Q374" i="42"/>
  <c r="S374" i="42"/>
  <c r="W374" i="42"/>
  <c r="T374" i="42"/>
  <c r="H375" i="42"/>
  <c r="O375" i="42"/>
  <c r="Q375" i="42"/>
  <c r="S375" i="42"/>
  <c r="W375" i="42"/>
  <c r="T375" i="42"/>
  <c r="H376" i="42"/>
  <c r="O376" i="42"/>
  <c r="Q376" i="42"/>
  <c r="S376" i="42"/>
  <c r="W376" i="42"/>
  <c r="T376" i="42"/>
  <c r="H377" i="42"/>
  <c r="O377" i="42"/>
  <c r="Q377" i="42"/>
  <c r="S377" i="42"/>
  <c r="W377" i="42"/>
  <c r="T377" i="42"/>
  <c r="H378" i="42"/>
  <c r="O378" i="42"/>
  <c r="Q378" i="42"/>
  <c r="S378" i="42"/>
  <c r="W378" i="42"/>
  <c r="T378" i="42"/>
  <c r="H379" i="42"/>
  <c r="O379" i="42"/>
  <c r="Q379" i="42"/>
  <c r="S379" i="42"/>
  <c r="W379" i="42"/>
  <c r="T379" i="42"/>
  <c r="H380" i="42"/>
  <c r="O380" i="42"/>
  <c r="Q380" i="42"/>
  <c r="S380" i="42"/>
  <c r="W380" i="42"/>
  <c r="T380" i="42"/>
  <c r="H381" i="42"/>
  <c r="O381" i="42"/>
  <c r="Q381" i="42"/>
  <c r="S381" i="42"/>
  <c r="W381" i="42"/>
  <c r="T381" i="42"/>
  <c r="H382" i="42"/>
  <c r="O382" i="42"/>
  <c r="Q382" i="42"/>
  <c r="S382" i="42"/>
  <c r="W382" i="42"/>
  <c r="T382" i="42"/>
  <c r="H383" i="42"/>
  <c r="O383" i="42"/>
  <c r="Q383" i="42"/>
  <c r="S383" i="42"/>
  <c r="W383" i="42"/>
  <c r="T383" i="42"/>
  <c r="H384" i="42"/>
  <c r="O384" i="42"/>
  <c r="Q384" i="42"/>
  <c r="S384" i="42"/>
  <c r="W384" i="42"/>
  <c r="T384" i="42"/>
  <c r="H385" i="42"/>
  <c r="O385" i="42"/>
  <c r="Q385" i="42"/>
  <c r="S385" i="42"/>
  <c r="W385" i="42"/>
  <c r="T385" i="42"/>
  <c r="H386" i="42"/>
  <c r="O386" i="42"/>
  <c r="Q386" i="42"/>
  <c r="S386" i="42"/>
  <c r="W386" i="42"/>
  <c r="T386" i="42"/>
  <c r="H387" i="42"/>
  <c r="O387" i="42"/>
  <c r="Q387" i="42"/>
  <c r="S387" i="42"/>
  <c r="W387" i="42"/>
  <c r="T387" i="42"/>
  <c r="H388" i="42"/>
  <c r="O388" i="42"/>
  <c r="Q388" i="42"/>
  <c r="S388" i="42"/>
  <c r="W388" i="42"/>
  <c r="T388" i="42"/>
  <c r="H389" i="42"/>
  <c r="O389" i="42"/>
  <c r="Q389" i="42"/>
  <c r="S389" i="42"/>
  <c r="W389" i="42"/>
  <c r="T389" i="42"/>
  <c r="H390" i="42"/>
  <c r="O390" i="42"/>
  <c r="Q390" i="42"/>
  <c r="S390" i="42"/>
  <c r="W390" i="42"/>
  <c r="T390" i="42"/>
  <c r="H391" i="42"/>
  <c r="O391" i="42"/>
  <c r="Q391" i="42"/>
  <c r="S391" i="42"/>
  <c r="W391" i="42"/>
  <c r="T391" i="42"/>
  <c r="H392" i="42"/>
  <c r="O392" i="42"/>
  <c r="Q392" i="42"/>
  <c r="S392" i="42"/>
  <c r="W392" i="42"/>
  <c r="T392" i="42"/>
  <c r="H393" i="42"/>
  <c r="O393" i="42"/>
  <c r="Q393" i="42"/>
  <c r="S393" i="42"/>
  <c r="W393" i="42"/>
  <c r="T393" i="42"/>
  <c r="H394" i="42"/>
  <c r="O394" i="42"/>
  <c r="Q394" i="42"/>
  <c r="S394" i="42"/>
  <c r="W394" i="42"/>
  <c r="T394" i="42"/>
  <c r="H395" i="42"/>
  <c r="O395" i="42"/>
  <c r="Q395" i="42"/>
  <c r="S395" i="42"/>
  <c r="W395" i="42"/>
  <c r="T395" i="42"/>
  <c r="H396" i="42"/>
  <c r="O396" i="42"/>
  <c r="Q396" i="42"/>
  <c r="S396" i="42"/>
  <c r="W396" i="42"/>
  <c r="T396" i="42"/>
  <c r="H397" i="42"/>
  <c r="O397" i="42"/>
  <c r="Q397" i="42"/>
  <c r="S397" i="42"/>
  <c r="W397" i="42"/>
  <c r="T397" i="42"/>
  <c r="H398" i="42"/>
  <c r="O398" i="42"/>
  <c r="Q398" i="42"/>
  <c r="S398" i="42"/>
  <c r="W398" i="42"/>
  <c r="T398" i="42"/>
  <c r="H399" i="42"/>
  <c r="O399" i="42"/>
  <c r="Q399" i="42"/>
  <c r="S399" i="42"/>
  <c r="W399" i="42"/>
  <c r="T399" i="42"/>
  <c r="H400" i="42"/>
  <c r="O400" i="42"/>
  <c r="Q400" i="42"/>
  <c r="S400" i="42"/>
  <c r="W400" i="42"/>
  <c r="T400" i="42"/>
  <c r="H401" i="42"/>
  <c r="O401" i="42"/>
  <c r="Q401" i="42"/>
  <c r="S401" i="42"/>
  <c r="W401" i="42"/>
  <c r="T401" i="42"/>
  <c r="H402" i="42"/>
  <c r="O402" i="42"/>
  <c r="Q402" i="42"/>
  <c r="S402" i="42"/>
  <c r="W402" i="42"/>
  <c r="T402" i="42"/>
  <c r="H403" i="42"/>
  <c r="O403" i="42"/>
  <c r="Q403" i="42"/>
  <c r="S403" i="42"/>
  <c r="W403" i="42"/>
  <c r="T403" i="42"/>
  <c r="H404" i="42"/>
  <c r="O404" i="42"/>
  <c r="Q404" i="42"/>
  <c r="S404" i="42"/>
  <c r="W404" i="42"/>
  <c r="T404" i="42"/>
  <c r="H405" i="42"/>
  <c r="O405" i="42"/>
  <c r="Q405" i="42"/>
  <c r="S405" i="42"/>
  <c r="W405" i="42"/>
  <c r="T405" i="42"/>
  <c r="H406" i="42"/>
  <c r="O406" i="42"/>
  <c r="Q406" i="42"/>
  <c r="S406" i="42"/>
  <c r="W406" i="42"/>
  <c r="T406" i="42"/>
  <c r="H407" i="42"/>
  <c r="O407" i="42"/>
  <c r="Q407" i="42"/>
  <c r="S407" i="42"/>
  <c r="W407" i="42"/>
  <c r="T407" i="42"/>
  <c r="H408" i="42"/>
  <c r="O408" i="42"/>
  <c r="Q408" i="42"/>
  <c r="S408" i="42"/>
  <c r="W408" i="42"/>
  <c r="T408" i="42"/>
  <c r="H409" i="42"/>
  <c r="O409" i="42"/>
  <c r="Q409" i="42"/>
  <c r="S409" i="42"/>
  <c r="W409" i="42"/>
  <c r="T409" i="42"/>
  <c r="H410" i="42"/>
  <c r="O410" i="42"/>
  <c r="Q410" i="42"/>
  <c r="S410" i="42"/>
  <c r="W410" i="42"/>
  <c r="T410" i="42"/>
  <c r="H411" i="42"/>
  <c r="O411" i="42"/>
  <c r="Q411" i="42"/>
  <c r="S411" i="42"/>
  <c r="W411" i="42"/>
  <c r="T411" i="42"/>
  <c r="H412" i="42"/>
  <c r="O412" i="42"/>
  <c r="Q412" i="42"/>
  <c r="S412" i="42"/>
  <c r="W412" i="42"/>
  <c r="T412" i="42"/>
  <c r="H413" i="42"/>
  <c r="O413" i="42"/>
  <c r="Q413" i="42"/>
  <c r="S413" i="42"/>
  <c r="W413" i="42"/>
  <c r="T413" i="42"/>
  <c r="H414" i="42"/>
  <c r="O414" i="42"/>
  <c r="Q414" i="42"/>
  <c r="S414" i="42"/>
  <c r="W414" i="42"/>
  <c r="T414" i="42"/>
  <c r="H415" i="42"/>
  <c r="O415" i="42"/>
  <c r="Q415" i="42"/>
  <c r="S415" i="42"/>
  <c r="W415" i="42"/>
  <c r="T415" i="42"/>
  <c r="H416" i="42"/>
  <c r="O416" i="42"/>
  <c r="Q416" i="42"/>
  <c r="S416" i="42"/>
  <c r="W416" i="42"/>
  <c r="T416" i="42"/>
  <c r="H417" i="42"/>
  <c r="O417" i="42"/>
  <c r="Q417" i="42"/>
  <c r="S417" i="42"/>
  <c r="W417" i="42"/>
  <c r="T417" i="42"/>
  <c r="H418" i="42"/>
  <c r="O418" i="42"/>
  <c r="Q418" i="42"/>
  <c r="S418" i="42"/>
  <c r="W418" i="42"/>
  <c r="T418" i="42"/>
  <c r="H419" i="42"/>
  <c r="O419" i="42"/>
  <c r="Q419" i="42"/>
  <c r="S419" i="42"/>
  <c r="W419" i="42"/>
  <c r="T419" i="42"/>
  <c r="H420" i="42"/>
  <c r="O420" i="42"/>
  <c r="Q420" i="42"/>
  <c r="S420" i="42"/>
  <c r="W420" i="42"/>
  <c r="T420" i="42"/>
  <c r="H421" i="42"/>
  <c r="O421" i="42"/>
  <c r="Q421" i="42"/>
  <c r="S421" i="42"/>
  <c r="W421" i="42"/>
  <c r="T421" i="42"/>
  <c r="H422" i="42"/>
  <c r="O422" i="42"/>
  <c r="Q422" i="42"/>
  <c r="S422" i="42"/>
  <c r="W422" i="42"/>
  <c r="T422" i="42"/>
  <c r="H423" i="42"/>
  <c r="O423" i="42"/>
  <c r="Q423" i="42"/>
  <c r="S423" i="42"/>
  <c r="W423" i="42"/>
  <c r="T423" i="42"/>
  <c r="H424" i="42"/>
  <c r="O424" i="42"/>
  <c r="Q424" i="42"/>
  <c r="S424" i="42"/>
  <c r="W424" i="42"/>
  <c r="T424" i="42"/>
  <c r="H425" i="42"/>
  <c r="O425" i="42"/>
  <c r="Q425" i="42"/>
  <c r="S425" i="42"/>
  <c r="W425" i="42"/>
  <c r="T425" i="42"/>
  <c r="H426" i="42"/>
  <c r="O426" i="42"/>
  <c r="Q426" i="42"/>
  <c r="S426" i="42"/>
  <c r="W426" i="42"/>
  <c r="T426" i="42"/>
  <c r="H427" i="42"/>
  <c r="O427" i="42"/>
  <c r="Q427" i="42"/>
  <c r="S427" i="42"/>
  <c r="W427" i="42"/>
  <c r="T427" i="42"/>
  <c r="H428" i="42"/>
  <c r="O428" i="42"/>
  <c r="Q428" i="42"/>
  <c r="S428" i="42"/>
  <c r="W428" i="42"/>
  <c r="T428" i="42"/>
  <c r="H429" i="42"/>
  <c r="O429" i="42"/>
  <c r="Q429" i="42"/>
  <c r="S429" i="42"/>
  <c r="W429" i="42"/>
  <c r="T429" i="42"/>
  <c r="H430" i="42"/>
  <c r="O430" i="42"/>
  <c r="Q430" i="42"/>
  <c r="S430" i="42"/>
  <c r="W430" i="42"/>
  <c r="T430" i="42"/>
  <c r="H431" i="42"/>
  <c r="O431" i="42"/>
  <c r="Q431" i="42"/>
  <c r="S431" i="42"/>
  <c r="W431" i="42"/>
  <c r="T431" i="42"/>
  <c r="H432" i="42"/>
  <c r="O432" i="42"/>
  <c r="Q432" i="42"/>
  <c r="S432" i="42"/>
  <c r="W432" i="42"/>
  <c r="T432" i="42"/>
  <c r="H433" i="42"/>
  <c r="O433" i="42"/>
  <c r="Q433" i="42"/>
  <c r="S433" i="42"/>
  <c r="W433" i="42"/>
  <c r="T433" i="42"/>
  <c r="H434" i="42"/>
  <c r="O434" i="42"/>
  <c r="Q434" i="42"/>
  <c r="S434" i="42"/>
  <c r="W434" i="42"/>
  <c r="T434" i="42"/>
  <c r="H435" i="42"/>
  <c r="O435" i="42"/>
  <c r="Q435" i="42"/>
  <c r="S435" i="42"/>
  <c r="W435" i="42"/>
  <c r="T435" i="42"/>
  <c r="H436" i="42"/>
  <c r="O436" i="42"/>
  <c r="Q436" i="42"/>
  <c r="S436" i="42"/>
  <c r="W436" i="42"/>
  <c r="T436" i="42"/>
  <c r="H437" i="42"/>
  <c r="O437" i="42"/>
  <c r="Q437" i="42"/>
  <c r="S437" i="42"/>
  <c r="W437" i="42"/>
  <c r="T437" i="42"/>
  <c r="H438" i="42"/>
  <c r="O438" i="42"/>
  <c r="Q438" i="42"/>
  <c r="S438" i="42"/>
  <c r="W438" i="42"/>
  <c r="T438" i="42"/>
  <c r="H439" i="42"/>
  <c r="O439" i="42"/>
  <c r="Q439" i="42"/>
  <c r="S439" i="42"/>
  <c r="W439" i="42"/>
  <c r="T439" i="42"/>
  <c r="H440" i="42"/>
  <c r="O440" i="42"/>
  <c r="Q440" i="42"/>
  <c r="S440" i="42"/>
  <c r="W440" i="42"/>
  <c r="T440" i="42"/>
  <c r="H441" i="42"/>
  <c r="O441" i="42"/>
  <c r="Q441" i="42"/>
  <c r="S441" i="42"/>
  <c r="W441" i="42"/>
  <c r="T441" i="42"/>
  <c r="H442" i="42"/>
  <c r="O442" i="42"/>
  <c r="Q442" i="42"/>
  <c r="S442" i="42"/>
  <c r="W442" i="42"/>
  <c r="T442" i="42"/>
  <c r="H443" i="42"/>
  <c r="O443" i="42"/>
  <c r="Q443" i="42"/>
  <c r="S443" i="42"/>
  <c r="W443" i="42"/>
  <c r="T443" i="42"/>
  <c r="H444" i="42"/>
  <c r="O444" i="42"/>
  <c r="Q444" i="42"/>
  <c r="S444" i="42"/>
  <c r="W444" i="42"/>
  <c r="T444" i="42"/>
  <c r="H445" i="42"/>
  <c r="O445" i="42"/>
  <c r="Q445" i="42"/>
  <c r="S445" i="42"/>
  <c r="W445" i="42"/>
  <c r="T445" i="42"/>
  <c r="H446" i="42"/>
  <c r="O446" i="42"/>
  <c r="Q446" i="42"/>
  <c r="S446" i="42"/>
  <c r="W446" i="42"/>
  <c r="T446" i="42"/>
  <c r="H447" i="42"/>
  <c r="O447" i="42"/>
  <c r="Q447" i="42"/>
  <c r="S447" i="42"/>
  <c r="W447" i="42"/>
  <c r="T447" i="42"/>
  <c r="H448" i="42"/>
  <c r="O448" i="42"/>
  <c r="Q448" i="42"/>
  <c r="S448" i="42"/>
  <c r="W448" i="42"/>
  <c r="T448" i="42"/>
  <c r="H449" i="42"/>
  <c r="O449" i="42"/>
  <c r="Q449" i="42"/>
  <c r="S449" i="42"/>
  <c r="W449" i="42"/>
  <c r="T449" i="42"/>
  <c r="H450" i="42"/>
  <c r="O450" i="42"/>
  <c r="Q450" i="42"/>
  <c r="S450" i="42"/>
  <c r="W450" i="42"/>
  <c r="T450" i="42"/>
  <c r="H451" i="42"/>
  <c r="O451" i="42"/>
  <c r="Q451" i="42"/>
  <c r="S451" i="42"/>
  <c r="W451" i="42"/>
  <c r="T451" i="42"/>
  <c r="H452" i="42"/>
  <c r="O452" i="42"/>
  <c r="Q452" i="42"/>
  <c r="S452" i="42"/>
  <c r="W452" i="42"/>
  <c r="T452" i="42"/>
  <c r="H453" i="42"/>
  <c r="O453" i="42"/>
  <c r="Q453" i="42"/>
  <c r="S453" i="42"/>
  <c r="W453" i="42"/>
  <c r="T453" i="42"/>
  <c r="H454" i="42"/>
  <c r="O454" i="42"/>
  <c r="Q454" i="42"/>
  <c r="S454" i="42"/>
  <c r="W454" i="42"/>
  <c r="T454" i="42"/>
  <c r="H455" i="42"/>
  <c r="O455" i="42"/>
  <c r="Q455" i="42"/>
  <c r="S455" i="42"/>
  <c r="W455" i="42"/>
  <c r="T455" i="42"/>
  <c r="H456" i="42"/>
  <c r="O456" i="42"/>
  <c r="Q456" i="42"/>
  <c r="S456" i="42"/>
  <c r="W456" i="42"/>
  <c r="T456" i="42"/>
  <c r="H457" i="42"/>
  <c r="O457" i="42"/>
  <c r="Q457" i="42"/>
  <c r="S457" i="42"/>
  <c r="W457" i="42"/>
  <c r="T457" i="42"/>
  <c r="H458" i="42"/>
  <c r="O458" i="42"/>
  <c r="Q458" i="42"/>
  <c r="S458" i="42"/>
  <c r="W458" i="42"/>
  <c r="T458" i="42"/>
  <c r="H459" i="42"/>
  <c r="O459" i="42"/>
  <c r="Q459" i="42"/>
  <c r="S459" i="42"/>
  <c r="W459" i="42"/>
  <c r="T459" i="42"/>
  <c r="H460" i="42"/>
  <c r="O460" i="42"/>
  <c r="Q460" i="42"/>
  <c r="S460" i="42"/>
  <c r="W460" i="42"/>
  <c r="T460" i="42"/>
  <c r="H461" i="42"/>
  <c r="O461" i="42"/>
  <c r="Q461" i="42"/>
  <c r="S461" i="42"/>
  <c r="W461" i="42"/>
  <c r="T461" i="42"/>
  <c r="H462" i="42"/>
  <c r="O462" i="42"/>
  <c r="Q462" i="42"/>
  <c r="S462" i="42"/>
  <c r="W462" i="42"/>
  <c r="T462" i="42"/>
  <c r="H463" i="42"/>
  <c r="O463" i="42"/>
  <c r="Q463" i="42"/>
  <c r="S463" i="42"/>
  <c r="W463" i="42"/>
  <c r="T463" i="42"/>
  <c r="H464" i="42"/>
  <c r="O464" i="42"/>
  <c r="Q464" i="42"/>
  <c r="S464" i="42"/>
  <c r="W464" i="42"/>
  <c r="T464" i="42"/>
  <c r="H465" i="42"/>
  <c r="O465" i="42"/>
  <c r="Q465" i="42"/>
  <c r="S465" i="42"/>
  <c r="W465" i="42"/>
  <c r="T465" i="42"/>
  <c r="H466" i="42"/>
  <c r="O466" i="42"/>
  <c r="Q466" i="42"/>
  <c r="S466" i="42"/>
  <c r="W466" i="42"/>
  <c r="T466" i="42"/>
  <c r="H467" i="42"/>
  <c r="O467" i="42"/>
  <c r="Q467" i="42"/>
  <c r="S467" i="42"/>
  <c r="W467" i="42"/>
  <c r="T467" i="42"/>
  <c r="H468" i="42"/>
  <c r="O468" i="42"/>
  <c r="Q468" i="42"/>
  <c r="S468" i="42"/>
  <c r="W468" i="42"/>
  <c r="T468" i="42"/>
  <c r="H469" i="42"/>
  <c r="O469" i="42"/>
  <c r="Q469" i="42"/>
  <c r="S469" i="42"/>
  <c r="W469" i="42"/>
  <c r="T469" i="42"/>
  <c r="H470" i="42"/>
  <c r="O470" i="42"/>
  <c r="Q470" i="42"/>
  <c r="S470" i="42"/>
  <c r="W470" i="42"/>
  <c r="T470" i="42"/>
  <c r="H471" i="42"/>
  <c r="O471" i="42"/>
  <c r="Q471" i="42"/>
  <c r="S471" i="42"/>
  <c r="W471" i="42"/>
  <c r="T471" i="42"/>
  <c r="H472" i="42"/>
  <c r="O472" i="42"/>
  <c r="Q472" i="42"/>
  <c r="S472" i="42"/>
  <c r="W472" i="42"/>
  <c r="T472" i="42"/>
  <c r="H473" i="42"/>
  <c r="O473" i="42"/>
  <c r="Q473" i="42"/>
  <c r="S473" i="42"/>
  <c r="W473" i="42"/>
  <c r="T473" i="42"/>
  <c r="H474" i="42"/>
  <c r="O474" i="42"/>
  <c r="Q474" i="42"/>
  <c r="S474" i="42"/>
  <c r="W474" i="42"/>
  <c r="T474" i="42"/>
  <c r="H475" i="42"/>
  <c r="O475" i="42"/>
  <c r="Q475" i="42"/>
  <c r="S475" i="42"/>
  <c r="W475" i="42"/>
  <c r="T475" i="42"/>
  <c r="H476" i="42"/>
  <c r="O476" i="42"/>
  <c r="Q476" i="42"/>
  <c r="S476" i="42"/>
  <c r="W476" i="42"/>
  <c r="T476" i="42"/>
  <c r="H477" i="42"/>
  <c r="O477" i="42"/>
  <c r="Q477" i="42"/>
  <c r="S477" i="42"/>
  <c r="W477" i="42"/>
  <c r="T477" i="42"/>
  <c r="H478" i="42"/>
  <c r="O478" i="42"/>
  <c r="Q478" i="42"/>
  <c r="S478" i="42"/>
  <c r="W478" i="42"/>
  <c r="T478" i="42"/>
  <c r="H479" i="42"/>
  <c r="O479" i="42"/>
  <c r="Q479" i="42"/>
  <c r="S479" i="42"/>
  <c r="W479" i="42"/>
  <c r="T479" i="42"/>
  <c r="H480" i="42"/>
  <c r="O480" i="42"/>
  <c r="Q480" i="42"/>
  <c r="S480" i="42"/>
  <c r="W480" i="42"/>
  <c r="T480" i="42"/>
  <c r="H481" i="42"/>
  <c r="O481" i="42"/>
  <c r="Q481" i="42"/>
  <c r="S481" i="42"/>
  <c r="W481" i="42"/>
  <c r="T481" i="42"/>
  <c r="H482" i="42"/>
  <c r="O482" i="42"/>
  <c r="Q482" i="42"/>
  <c r="S482" i="42"/>
  <c r="W482" i="42"/>
  <c r="T482" i="42"/>
  <c r="H483" i="42"/>
  <c r="O483" i="42"/>
  <c r="Q483" i="42"/>
  <c r="S483" i="42"/>
  <c r="W483" i="42"/>
  <c r="T483" i="42"/>
  <c r="H484" i="42"/>
  <c r="O484" i="42"/>
  <c r="Q484" i="42"/>
  <c r="S484" i="42"/>
  <c r="W484" i="42"/>
  <c r="T484" i="42"/>
  <c r="H485" i="42"/>
  <c r="O485" i="42"/>
  <c r="Q485" i="42"/>
  <c r="S485" i="42"/>
  <c r="W485" i="42"/>
  <c r="T485" i="42"/>
  <c r="H486" i="42"/>
  <c r="O486" i="42"/>
  <c r="Q486" i="42"/>
  <c r="S486" i="42"/>
  <c r="W486" i="42"/>
  <c r="T486" i="42"/>
  <c r="H487" i="42"/>
  <c r="O487" i="42"/>
  <c r="Q487" i="42"/>
  <c r="S487" i="42"/>
  <c r="W487" i="42"/>
  <c r="T487" i="42"/>
  <c r="H488" i="42"/>
  <c r="O488" i="42"/>
  <c r="Q488" i="42"/>
  <c r="S488" i="42"/>
  <c r="W488" i="42"/>
  <c r="T488" i="42"/>
  <c r="H489" i="42"/>
  <c r="O489" i="42"/>
  <c r="Q489" i="42"/>
  <c r="S489" i="42"/>
  <c r="W489" i="42"/>
  <c r="T489" i="42"/>
  <c r="H490" i="42"/>
  <c r="O490" i="42"/>
  <c r="Q490" i="42"/>
  <c r="S490" i="42"/>
  <c r="W490" i="42"/>
  <c r="T490" i="42"/>
  <c r="H491" i="42"/>
  <c r="O491" i="42"/>
  <c r="Q491" i="42"/>
  <c r="S491" i="42"/>
  <c r="W491" i="42"/>
  <c r="T491" i="42"/>
  <c r="H492" i="42"/>
  <c r="O492" i="42"/>
  <c r="Q492" i="42"/>
  <c r="S492" i="42"/>
  <c r="W492" i="42"/>
  <c r="T492" i="42"/>
  <c r="H493" i="42"/>
  <c r="O493" i="42"/>
  <c r="Q493" i="42"/>
  <c r="S493" i="42"/>
  <c r="W493" i="42"/>
  <c r="T493" i="42"/>
  <c r="H494" i="42"/>
  <c r="O494" i="42"/>
  <c r="Q494" i="42"/>
  <c r="S494" i="42"/>
  <c r="W494" i="42"/>
  <c r="T494" i="42"/>
  <c r="H495" i="42"/>
  <c r="O495" i="42"/>
  <c r="Q495" i="42"/>
  <c r="S495" i="42"/>
  <c r="W495" i="42"/>
  <c r="T495" i="42"/>
  <c r="H496" i="42"/>
  <c r="O496" i="42"/>
  <c r="Q496" i="42"/>
  <c r="S496" i="42"/>
  <c r="W496" i="42"/>
  <c r="T496" i="42"/>
  <c r="H497" i="42"/>
  <c r="O497" i="42"/>
  <c r="Q497" i="42"/>
  <c r="S497" i="42"/>
  <c r="W497" i="42"/>
  <c r="T497" i="42"/>
  <c r="H498" i="42"/>
  <c r="O498" i="42"/>
  <c r="Q498" i="42"/>
  <c r="S498" i="42"/>
  <c r="W498" i="42"/>
  <c r="T498" i="42"/>
  <c r="H499" i="42"/>
  <c r="O499" i="42"/>
  <c r="Q499" i="42"/>
  <c r="S499" i="42"/>
  <c r="W499" i="42"/>
  <c r="T499" i="42"/>
  <c r="H500" i="42"/>
  <c r="O500" i="42"/>
  <c r="Q500" i="42"/>
  <c r="S500" i="42"/>
  <c r="W500" i="42"/>
  <c r="T500" i="42"/>
  <c r="H501" i="42"/>
  <c r="O501" i="42"/>
  <c r="Q501" i="42"/>
  <c r="S501" i="42"/>
  <c r="W501" i="42"/>
  <c r="T501" i="42"/>
  <c r="H502" i="42"/>
  <c r="O502" i="42"/>
  <c r="Q502" i="42"/>
  <c r="S502" i="42"/>
  <c r="W502" i="42"/>
  <c r="T502" i="42"/>
  <c r="H503" i="42"/>
  <c r="O503" i="42"/>
  <c r="Q503" i="42"/>
  <c r="S503" i="42"/>
  <c r="W503" i="42"/>
  <c r="T503" i="42"/>
  <c r="H504" i="42"/>
  <c r="O504" i="42"/>
  <c r="Q504" i="42"/>
  <c r="S504" i="42"/>
  <c r="W504" i="42"/>
  <c r="T504" i="42"/>
  <c r="H505" i="42"/>
  <c r="O505" i="42"/>
  <c r="Q505" i="42"/>
  <c r="S505" i="42"/>
  <c r="W505" i="42"/>
  <c r="T505" i="42"/>
  <c r="H506" i="42"/>
  <c r="O506" i="42"/>
  <c r="Q506" i="42"/>
  <c r="S506" i="42"/>
  <c r="W506" i="42"/>
  <c r="T506" i="42"/>
  <c r="H507" i="42"/>
  <c r="O507" i="42"/>
  <c r="Q507" i="42"/>
  <c r="S507" i="42"/>
  <c r="W507" i="42"/>
  <c r="T507" i="42"/>
  <c r="H508" i="42"/>
  <c r="O508" i="42"/>
  <c r="Q508" i="42"/>
  <c r="S508" i="42"/>
  <c r="W508" i="42"/>
  <c r="T508" i="42"/>
  <c r="H509" i="42"/>
  <c r="O509" i="42"/>
  <c r="Q509" i="42"/>
  <c r="S509" i="42"/>
  <c r="W509" i="42"/>
  <c r="T509" i="42"/>
  <c r="H510" i="42"/>
  <c r="O510" i="42"/>
  <c r="Q510" i="42"/>
  <c r="S510" i="42"/>
  <c r="W510" i="42"/>
  <c r="T510" i="42"/>
  <c r="H511" i="42"/>
  <c r="O511" i="42"/>
  <c r="Q511" i="42"/>
  <c r="S511" i="42"/>
  <c r="W511" i="42"/>
  <c r="T511" i="42"/>
  <c r="H512" i="42"/>
  <c r="O512" i="42"/>
  <c r="Q512" i="42"/>
  <c r="S512" i="42"/>
  <c r="W512" i="42"/>
  <c r="T512" i="42"/>
  <c r="H513" i="42"/>
  <c r="O513" i="42"/>
  <c r="Q513" i="42"/>
  <c r="S513" i="42"/>
  <c r="W513" i="42"/>
  <c r="T513" i="42"/>
  <c r="H514" i="42"/>
  <c r="O514" i="42"/>
  <c r="Q514" i="42"/>
  <c r="S514" i="42"/>
  <c r="W514" i="42"/>
  <c r="T514" i="42"/>
  <c r="H515" i="42"/>
  <c r="O515" i="42"/>
  <c r="Q515" i="42"/>
  <c r="S515" i="42"/>
  <c r="W515" i="42"/>
  <c r="T515" i="42"/>
  <c r="I76" i="42"/>
  <c r="P76" i="42"/>
  <c r="R76" i="42"/>
  <c r="U76" i="42"/>
  <c r="H76" i="42"/>
  <c r="O76" i="42"/>
  <c r="Q76" i="42"/>
  <c r="S76" i="42"/>
  <c r="W76" i="42"/>
  <c r="T76" i="42"/>
  <c r="N515" i="42"/>
  <c r="G515" i="42"/>
  <c r="V515" i="42"/>
  <c r="X515" i="42"/>
  <c r="C515" i="42"/>
  <c r="B515" i="42"/>
  <c r="N514" i="42"/>
  <c r="G514" i="42"/>
  <c r="V514" i="42"/>
  <c r="X514" i="42"/>
  <c r="C514" i="42"/>
  <c r="B514" i="42"/>
  <c r="N513" i="42"/>
  <c r="G513" i="42"/>
  <c r="V513" i="42"/>
  <c r="X513" i="42"/>
  <c r="C513" i="42"/>
  <c r="B513" i="42"/>
  <c r="N512" i="42"/>
  <c r="G512" i="42"/>
  <c r="V512" i="42"/>
  <c r="X512" i="42"/>
  <c r="C512" i="42"/>
  <c r="B512" i="42"/>
  <c r="N511" i="42"/>
  <c r="G511" i="42"/>
  <c r="V511" i="42"/>
  <c r="X511" i="42"/>
  <c r="C511" i="42"/>
  <c r="B511" i="42"/>
  <c r="N510" i="42"/>
  <c r="G510" i="42"/>
  <c r="V510" i="42"/>
  <c r="X510" i="42"/>
  <c r="C510" i="42"/>
  <c r="B510" i="42"/>
  <c r="N509" i="42"/>
  <c r="G509" i="42"/>
  <c r="V509" i="42"/>
  <c r="X509" i="42"/>
  <c r="C509" i="42"/>
  <c r="B509" i="42"/>
  <c r="N508" i="42"/>
  <c r="G508" i="42"/>
  <c r="V508" i="42"/>
  <c r="X508" i="42"/>
  <c r="C508" i="42"/>
  <c r="B508" i="42"/>
  <c r="N507" i="42"/>
  <c r="G507" i="42"/>
  <c r="V507" i="42"/>
  <c r="X507" i="42"/>
  <c r="C507" i="42"/>
  <c r="B507" i="42"/>
  <c r="N506" i="42"/>
  <c r="G506" i="42"/>
  <c r="V506" i="42"/>
  <c r="X506" i="42"/>
  <c r="C506" i="42"/>
  <c r="B506" i="42"/>
  <c r="N505" i="42"/>
  <c r="G505" i="42"/>
  <c r="V505" i="42"/>
  <c r="X505" i="42"/>
  <c r="C505" i="42"/>
  <c r="B505" i="42"/>
  <c r="N504" i="42"/>
  <c r="G504" i="42"/>
  <c r="V504" i="42"/>
  <c r="X504" i="42"/>
  <c r="C504" i="42"/>
  <c r="B504" i="42"/>
  <c r="N503" i="42"/>
  <c r="G503" i="42"/>
  <c r="V503" i="42"/>
  <c r="X503" i="42"/>
  <c r="C503" i="42"/>
  <c r="B503" i="42"/>
  <c r="N502" i="42"/>
  <c r="G502" i="42"/>
  <c r="V502" i="42"/>
  <c r="X502" i="42"/>
  <c r="C502" i="42"/>
  <c r="B502" i="42"/>
  <c r="N501" i="42"/>
  <c r="G501" i="42"/>
  <c r="V501" i="42"/>
  <c r="X501" i="42"/>
  <c r="C501" i="42"/>
  <c r="B501" i="42"/>
  <c r="N500" i="42"/>
  <c r="G500" i="42"/>
  <c r="V500" i="42"/>
  <c r="X500" i="42"/>
  <c r="C500" i="42"/>
  <c r="B500" i="42"/>
  <c r="N499" i="42"/>
  <c r="G499" i="42"/>
  <c r="V499" i="42"/>
  <c r="X499" i="42"/>
  <c r="C499" i="42"/>
  <c r="B499" i="42"/>
  <c r="N498" i="42"/>
  <c r="G498" i="42"/>
  <c r="V498" i="42"/>
  <c r="X498" i="42"/>
  <c r="C498" i="42"/>
  <c r="B498" i="42"/>
  <c r="N497" i="42"/>
  <c r="G497" i="42"/>
  <c r="V497" i="42"/>
  <c r="X497" i="42"/>
  <c r="C497" i="42"/>
  <c r="B497" i="42"/>
  <c r="N496" i="42"/>
  <c r="G496" i="42"/>
  <c r="V496" i="42"/>
  <c r="X496" i="42"/>
  <c r="C496" i="42"/>
  <c r="B496" i="42"/>
  <c r="N495" i="42"/>
  <c r="G495" i="42"/>
  <c r="V495" i="42"/>
  <c r="X495" i="42"/>
  <c r="C495" i="42"/>
  <c r="B495" i="42"/>
  <c r="N494" i="42"/>
  <c r="G494" i="42"/>
  <c r="V494" i="42"/>
  <c r="X494" i="42"/>
  <c r="C494" i="42"/>
  <c r="B494" i="42"/>
  <c r="N493" i="42"/>
  <c r="G493" i="42"/>
  <c r="V493" i="42"/>
  <c r="X493" i="42"/>
  <c r="C493" i="42"/>
  <c r="B493" i="42"/>
  <c r="N492" i="42"/>
  <c r="G492" i="42"/>
  <c r="V492" i="42"/>
  <c r="X492" i="42"/>
  <c r="C492" i="42"/>
  <c r="B492" i="42"/>
  <c r="N491" i="42"/>
  <c r="G491" i="42"/>
  <c r="V491" i="42"/>
  <c r="X491" i="42"/>
  <c r="C491" i="42"/>
  <c r="B491" i="42"/>
  <c r="N490" i="42"/>
  <c r="G490" i="42"/>
  <c r="V490" i="42"/>
  <c r="X490" i="42"/>
  <c r="C490" i="42"/>
  <c r="B490" i="42"/>
  <c r="N489" i="42"/>
  <c r="G489" i="42"/>
  <c r="V489" i="42"/>
  <c r="X489" i="42"/>
  <c r="C489" i="42"/>
  <c r="B489" i="42"/>
  <c r="N488" i="42"/>
  <c r="G488" i="42"/>
  <c r="V488" i="42"/>
  <c r="X488" i="42"/>
  <c r="C488" i="42"/>
  <c r="B488" i="42"/>
  <c r="N487" i="42"/>
  <c r="G487" i="42"/>
  <c r="V487" i="42"/>
  <c r="X487" i="42"/>
  <c r="C487" i="42"/>
  <c r="B487" i="42"/>
  <c r="N486" i="42"/>
  <c r="G486" i="42"/>
  <c r="V486" i="42"/>
  <c r="X486" i="42"/>
  <c r="C486" i="42"/>
  <c r="B486" i="42"/>
  <c r="N485" i="42"/>
  <c r="G485" i="42"/>
  <c r="V485" i="42"/>
  <c r="X485" i="42"/>
  <c r="C485" i="42"/>
  <c r="B485" i="42"/>
  <c r="N484" i="42"/>
  <c r="G484" i="42"/>
  <c r="V484" i="42"/>
  <c r="X484" i="42"/>
  <c r="C484" i="42"/>
  <c r="B484" i="42"/>
  <c r="N483" i="42"/>
  <c r="G483" i="42"/>
  <c r="V483" i="42"/>
  <c r="X483" i="42"/>
  <c r="C483" i="42"/>
  <c r="B483" i="42"/>
  <c r="N482" i="42"/>
  <c r="G482" i="42"/>
  <c r="V482" i="42"/>
  <c r="X482" i="42"/>
  <c r="C482" i="42"/>
  <c r="B482" i="42"/>
  <c r="N481" i="42"/>
  <c r="G481" i="42"/>
  <c r="V481" i="42"/>
  <c r="X481" i="42"/>
  <c r="C481" i="42"/>
  <c r="B481" i="42"/>
  <c r="N480" i="42"/>
  <c r="G480" i="42"/>
  <c r="V480" i="42"/>
  <c r="X480" i="42"/>
  <c r="C480" i="42"/>
  <c r="B480" i="42"/>
  <c r="N479" i="42"/>
  <c r="G479" i="42"/>
  <c r="V479" i="42"/>
  <c r="X479" i="42"/>
  <c r="C479" i="42"/>
  <c r="B479" i="42"/>
  <c r="N478" i="42"/>
  <c r="G478" i="42"/>
  <c r="V478" i="42"/>
  <c r="X478" i="42"/>
  <c r="C478" i="42"/>
  <c r="B478" i="42"/>
  <c r="N477" i="42"/>
  <c r="G477" i="42"/>
  <c r="V477" i="42"/>
  <c r="X477" i="42"/>
  <c r="C477" i="42"/>
  <c r="B477" i="42"/>
  <c r="N476" i="42"/>
  <c r="G476" i="42"/>
  <c r="V476" i="42"/>
  <c r="X476" i="42"/>
  <c r="C476" i="42"/>
  <c r="B476" i="42"/>
  <c r="N475" i="42"/>
  <c r="G475" i="42"/>
  <c r="V475" i="42"/>
  <c r="X475" i="42"/>
  <c r="C475" i="42"/>
  <c r="B475" i="42"/>
  <c r="N474" i="42"/>
  <c r="G474" i="42"/>
  <c r="V474" i="42"/>
  <c r="X474" i="42"/>
  <c r="C474" i="42"/>
  <c r="B474" i="42"/>
  <c r="N473" i="42"/>
  <c r="G473" i="42"/>
  <c r="V473" i="42"/>
  <c r="X473" i="42"/>
  <c r="C473" i="42"/>
  <c r="B473" i="42"/>
  <c r="N472" i="42"/>
  <c r="G472" i="42"/>
  <c r="V472" i="42"/>
  <c r="X472" i="42"/>
  <c r="C472" i="42"/>
  <c r="B472" i="42"/>
  <c r="N471" i="42"/>
  <c r="G471" i="42"/>
  <c r="V471" i="42"/>
  <c r="X471" i="42"/>
  <c r="C471" i="42"/>
  <c r="B471" i="42"/>
  <c r="N470" i="42"/>
  <c r="G470" i="42"/>
  <c r="V470" i="42"/>
  <c r="X470" i="42"/>
  <c r="C470" i="42"/>
  <c r="B470" i="42"/>
  <c r="N469" i="42"/>
  <c r="G469" i="42"/>
  <c r="V469" i="42"/>
  <c r="X469" i="42"/>
  <c r="C469" i="42"/>
  <c r="B469" i="42"/>
  <c r="N468" i="42"/>
  <c r="G468" i="42"/>
  <c r="V468" i="42"/>
  <c r="X468" i="42"/>
  <c r="C468" i="42"/>
  <c r="B468" i="42"/>
  <c r="N467" i="42"/>
  <c r="G467" i="42"/>
  <c r="V467" i="42"/>
  <c r="X467" i="42"/>
  <c r="C467" i="42"/>
  <c r="B467" i="42"/>
  <c r="N466" i="42"/>
  <c r="G466" i="42"/>
  <c r="V466" i="42"/>
  <c r="X466" i="42"/>
  <c r="C466" i="42"/>
  <c r="B466" i="42"/>
  <c r="N465" i="42"/>
  <c r="G465" i="42"/>
  <c r="V465" i="42"/>
  <c r="X465" i="42"/>
  <c r="C465" i="42"/>
  <c r="B465" i="42"/>
  <c r="N464" i="42"/>
  <c r="G464" i="42"/>
  <c r="V464" i="42"/>
  <c r="X464" i="42"/>
  <c r="C464" i="42"/>
  <c r="B464" i="42"/>
  <c r="N463" i="42"/>
  <c r="G463" i="42"/>
  <c r="V463" i="42"/>
  <c r="X463" i="42"/>
  <c r="C463" i="42"/>
  <c r="B463" i="42"/>
  <c r="N462" i="42"/>
  <c r="G462" i="42"/>
  <c r="V462" i="42"/>
  <c r="X462" i="42"/>
  <c r="C462" i="42"/>
  <c r="B462" i="42"/>
  <c r="N461" i="42"/>
  <c r="G461" i="42"/>
  <c r="V461" i="42"/>
  <c r="X461" i="42"/>
  <c r="C461" i="42"/>
  <c r="B461" i="42"/>
  <c r="N460" i="42"/>
  <c r="G460" i="42"/>
  <c r="V460" i="42"/>
  <c r="X460" i="42"/>
  <c r="C460" i="42"/>
  <c r="B460" i="42"/>
  <c r="N459" i="42"/>
  <c r="G459" i="42"/>
  <c r="V459" i="42"/>
  <c r="X459" i="42"/>
  <c r="C459" i="42"/>
  <c r="B459" i="42"/>
  <c r="N458" i="42"/>
  <c r="G458" i="42"/>
  <c r="V458" i="42"/>
  <c r="X458" i="42"/>
  <c r="C458" i="42"/>
  <c r="B458" i="42"/>
  <c r="N457" i="42"/>
  <c r="G457" i="42"/>
  <c r="V457" i="42"/>
  <c r="X457" i="42"/>
  <c r="C457" i="42"/>
  <c r="B457" i="42"/>
  <c r="N456" i="42"/>
  <c r="G456" i="42"/>
  <c r="V456" i="42"/>
  <c r="X456" i="42"/>
  <c r="C456" i="42"/>
  <c r="B456" i="42"/>
  <c r="N455" i="42"/>
  <c r="G455" i="42"/>
  <c r="V455" i="42"/>
  <c r="X455" i="42"/>
  <c r="C455" i="42"/>
  <c r="B455" i="42"/>
  <c r="N454" i="42"/>
  <c r="G454" i="42"/>
  <c r="V454" i="42"/>
  <c r="X454" i="42"/>
  <c r="C454" i="42"/>
  <c r="B454" i="42"/>
  <c r="N453" i="42"/>
  <c r="G453" i="42"/>
  <c r="V453" i="42"/>
  <c r="X453" i="42"/>
  <c r="C453" i="42"/>
  <c r="B453" i="42"/>
  <c r="N452" i="42"/>
  <c r="G452" i="42"/>
  <c r="V452" i="42"/>
  <c r="X452" i="42"/>
  <c r="C452" i="42"/>
  <c r="B452" i="42"/>
  <c r="N451" i="42"/>
  <c r="G451" i="42"/>
  <c r="V451" i="42"/>
  <c r="X451" i="42"/>
  <c r="C451" i="42"/>
  <c r="B451" i="42"/>
  <c r="N450" i="42"/>
  <c r="G450" i="42"/>
  <c r="V450" i="42"/>
  <c r="X450" i="42"/>
  <c r="C450" i="42"/>
  <c r="B450" i="42"/>
  <c r="N449" i="42"/>
  <c r="G449" i="42"/>
  <c r="V449" i="42"/>
  <c r="X449" i="42"/>
  <c r="C449" i="42"/>
  <c r="B449" i="42"/>
  <c r="N448" i="42"/>
  <c r="G448" i="42"/>
  <c r="V448" i="42"/>
  <c r="X448" i="42"/>
  <c r="C448" i="42"/>
  <c r="B448" i="42"/>
  <c r="N447" i="42"/>
  <c r="G447" i="42"/>
  <c r="V447" i="42"/>
  <c r="X447" i="42"/>
  <c r="C447" i="42"/>
  <c r="B447" i="42"/>
  <c r="N446" i="42"/>
  <c r="G446" i="42"/>
  <c r="V446" i="42"/>
  <c r="X446" i="42"/>
  <c r="C446" i="42"/>
  <c r="B446" i="42"/>
  <c r="N445" i="42"/>
  <c r="G445" i="42"/>
  <c r="V445" i="42"/>
  <c r="X445" i="42"/>
  <c r="C445" i="42"/>
  <c r="B445" i="42"/>
  <c r="N444" i="42"/>
  <c r="G444" i="42"/>
  <c r="V444" i="42"/>
  <c r="X444" i="42"/>
  <c r="C444" i="42"/>
  <c r="B444" i="42"/>
  <c r="N443" i="42"/>
  <c r="G443" i="42"/>
  <c r="V443" i="42"/>
  <c r="X443" i="42"/>
  <c r="C443" i="42"/>
  <c r="B443" i="42"/>
  <c r="N442" i="42"/>
  <c r="G442" i="42"/>
  <c r="V442" i="42"/>
  <c r="X442" i="42"/>
  <c r="C442" i="42"/>
  <c r="B442" i="42"/>
  <c r="N441" i="42"/>
  <c r="G441" i="42"/>
  <c r="V441" i="42"/>
  <c r="X441" i="42"/>
  <c r="C441" i="42"/>
  <c r="B441" i="42"/>
  <c r="N440" i="42"/>
  <c r="G440" i="42"/>
  <c r="V440" i="42"/>
  <c r="X440" i="42"/>
  <c r="C440" i="42"/>
  <c r="B440" i="42"/>
  <c r="N439" i="42"/>
  <c r="G439" i="42"/>
  <c r="V439" i="42"/>
  <c r="X439" i="42"/>
  <c r="C439" i="42"/>
  <c r="B439" i="42"/>
  <c r="N438" i="42"/>
  <c r="G438" i="42"/>
  <c r="V438" i="42"/>
  <c r="X438" i="42"/>
  <c r="C438" i="42"/>
  <c r="B438" i="42"/>
  <c r="N437" i="42"/>
  <c r="G437" i="42"/>
  <c r="V437" i="42"/>
  <c r="X437" i="42"/>
  <c r="C437" i="42"/>
  <c r="B437" i="42"/>
  <c r="N436" i="42"/>
  <c r="G436" i="42"/>
  <c r="V436" i="42"/>
  <c r="X436" i="42"/>
  <c r="C436" i="42"/>
  <c r="B436" i="42"/>
  <c r="N435" i="42"/>
  <c r="G435" i="42"/>
  <c r="V435" i="42"/>
  <c r="X435" i="42"/>
  <c r="C435" i="42"/>
  <c r="B435" i="42"/>
  <c r="N434" i="42"/>
  <c r="G434" i="42"/>
  <c r="V434" i="42"/>
  <c r="X434" i="42"/>
  <c r="C434" i="42"/>
  <c r="B434" i="42"/>
  <c r="N433" i="42"/>
  <c r="G433" i="42"/>
  <c r="V433" i="42"/>
  <c r="X433" i="42"/>
  <c r="C433" i="42"/>
  <c r="B433" i="42"/>
  <c r="N432" i="42"/>
  <c r="G432" i="42"/>
  <c r="V432" i="42"/>
  <c r="X432" i="42"/>
  <c r="C432" i="42"/>
  <c r="B432" i="42"/>
  <c r="N431" i="42"/>
  <c r="G431" i="42"/>
  <c r="V431" i="42"/>
  <c r="X431" i="42"/>
  <c r="C431" i="42"/>
  <c r="B431" i="42"/>
  <c r="N430" i="42"/>
  <c r="G430" i="42"/>
  <c r="V430" i="42"/>
  <c r="X430" i="42"/>
  <c r="C430" i="42"/>
  <c r="B430" i="42"/>
  <c r="N429" i="42"/>
  <c r="G429" i="42"/>
  <c r="V429" i="42"/>
  <c r="X429" i="42"/>
  <c r="C429" i="42"/>
  <c r="B429" i="42"/>
  <c r="N428" i="42"/>
  <c r="G428" i="42"/>
  <c r="V428" i="42"/>
  <c r="X428" i="42"/>
  <c r="C428" i="42"/>
  <c r="B428" i="42"/>
  <c r="N427" i="42"/>
  <c r="G427" i="42"/>
  <c r="V427" i="42"/>
  <c r="X427" i="42"/>
  <c r="C427" i="42"/>
  <c r="B427" i="42"/>
  <c r="N426" i="42"/>
  <c r="G426" i="42"/>
  <c r="V426" i="42"/>
  <c r="X426" i="42"/>
  <c r="C426" i="42"/>
  <c r="B426" i="42"/>
  <c r="N425" i="42"/>
  <c r="G425" i="42"/>
  <c r="V425" i="42"/>
  <c r="X425" i="42"/>
  <c r="C425" i="42"/>
  <c r="B425" i="42"/>
  <c r="N424" i="42"/>
  <c r="G424" i="42"/>
  <c r="V424" i="42"/>
  <c r="X424" i="42"/>
  <c r="C424" i="42"/>
  <c r="B424" i="42"/>
  <c r="N423" i="42"/>
  <c r="G423" i="42"/>
  <c r="V423" i="42"/>
  <c r="X423" i="42"/>
  <c r="C423" i="42"/>
  <c r="B423" i="42"/>
  <c r="N422" i="42"/>
  <c r="G422" i="42"/>
  <c r="V422" i="42"/>
  <c r="X422" i="42"/>
  <c r="C422" i="42"/>
  <c r="B422" i="42"/>
  <c r="N421" i="42"/>
  <c r="G421" i="42"/>
  <c r="V421" i="42"/>
  <c r="X421" i="42"/>
  <c r="C421" i="42"/>
  <c r="B421" i="42"/>
  <c r="N420" i="42"/>
  <c r="G420" i="42"/>
  <c r="V420" i="42"/>
  <c r="X420" i="42"/>
  <c r="C420" i="42"/>
  <c r="B420" i="42"/>
  <c r="N419" i="42"/>
  <c r="G419" i="42"/>
  <c r="V419" i="42"/>
  <c r="X419" i="42"/>
  <c r="C419" i="42"/>
  <c r="B419" i="42"/>
  <c r="N418" i="42"/>
  <c r="G418" i="42"/>
  <c r="V418" i="42"/>
  <c r="X418" i="42"/>
  <c r="C418" i="42"/>
  <c r="B418" i="42"/>
  <c r="N417" i="42"/>
  <c r="G417" i="42"/>
  <c r="V417" i="42"/>
  <c r="X417" i="42"/>
  <c r="C417" i="42"/>
  <c r="B417" i="42"/>
  <c r="N416" i="42"/>
  <c r="G416" i="42"/>
  <c r="V416" i="42"/>
  <c r="X416" i="42"/>
  <c r="C416" i="42"/>
  <c r="B416" i="42"/>
  <c r="N415" i="42"/>
  <c r="G415" i="42"/>
  <c r="V415" i="42"/>
  <c r="X415" i="42"/>
  <c r="C415" i="42"/>
  <c r="B415" i="42"/>
  <c r="N414" i="42"/>
  <c r="G414" i="42"/>
  <c r="V414" i="42"/>
  <c r="X414" i="42"/>
  <c r="C414" i="42"/>
  <c r="B414" i="42"/>
  <c r="N413" i="42"/>
  <c r="G413" i="42"/>
  <c r="V413" i="42"/>
  <c r="X413" i="42"/>
  <c r="C413" i="42"/>
  <c r="B413" i="42"/>
  <c r="N412" i="42"/>
  <c r="G412" i="42"/>
  <c r="V412" i="42"/>
  <c r="X412" i="42"/>
  <c r="C412" i="42"/>
  <c r="B412" i="42"/>
  <c r="N411" i="42"/>
  <c r="G411" i="42"/>
  <c r="V411" i="42"/>
  <c r="X411" i="42"/>
  <c r="C411" i="42"/>
  <c r="B411" i="42"/>
  <c r="N410" i="42"/>
  <c r="G410" i="42"/>
  <c r="V410" i="42"/>
  <c r="X410" i="42"/>
  <c r="C410" i="42"/>
  <c r="B410" i="42"/>
  <c r="N409" i="42"/>
  <c r="G409" i="42"/>
  <c r="V409" i="42"/>
  <c r="X409" i="42"/>
  <c r="C409" i="42"/>
  <c r="B409" i="42"/>
  <c r="N408" i="42"/>
  <c r="G408" i="42"/>
  <c r="V408" i="42"/>
  <c r="X408" i="42"/>
  <c r="C408" i="42"/>
  <c r="B408" i="42"/>
  <c r="N407" i="42"/>
  <c r="G407" i="42"/>
  <c r="V407" i="42"/>
  <c r="X407" i="42"/>
  <c r="C407" i="42"/>
  <c r="B407" i="42"/>
  <c r="N406" i="42"/>
  <c r="G406" i="42"/>
  <c r="V406" i="42"/>
  <c r="X406" i="42"/>
  <c r="C406" i="42"/>
  <c r="B406" i="42"/>
  <c r="N405" i="42"/>
  <c r="G405" i="42"/>
  <c r="V405" i="42"/>
  <c r="X405" i="42"/>
  <c r="C405" i="42"/>
  <c r="B405" i="42"/>
  <c r="N404" i="42"/>
  <c r="G404" i="42"/>
  <c r="V404" i="42"/>
  <c r="X404" i="42"/>
  <c r="C404" i="42"/>
  <c r="B404" i="42"/>
  <c r="N403" i="42"/>
  <c r="G403" i="42"/>
  <c r="V403" i="42"/>
  <c r="X403" i="42"/>
  <c r="C403" i="42"/>
  <c r="B403" i="42"/>
  <c r="N402" i="42"/>
  <c r="G402" i="42"/>
  <c r="V402" i="42"/>
  <c r="X402" i="42"/>
  <c r="C402" i="42"/>
  <c r="B402" i="42"/>
  <c r="N401" i="42"/>
  <c r="G401" i="42"/>
  <c r="V401" i="42"/>
  <c r="X401" i="42"/>
  <c r="C401" i="42"/>
  <c r="B401" i="42"/>
  <c r="N400" i="42"/>
  <c r="G400" i="42"/>
  <c r="V400" i="42"/>
  <c r="X400" i="42"/>
  <c r="C400" i="42"/>
  <c r="B400" i="42"/>
  <c r="N399" i="42"/>
  <c r="G399" i="42"/>
  <c r="V399" i="42"/>
  <c r="X399" i="42"/>
  <c r="C399" i="42"/>
  <c r="B399" i="42"/>
  <c r="N398" i="42"/>
  <c r="G398" i="42"/>
  <c r="V398" i="42"/>
  <c r="X398" i="42"/>
  <c r="C398" i="42"/>
  <c r="B398" i="42"/>
  <c r="N397" i="42"/>
  <c r="G397" i="42"/>
  <c r="V397" i="42"/>
  <c r="X397" i="42"/>
  <c r="C397" i="42"/>
  <c r="B397" i="42"/>
  <c r="N396" i="42"/>
  <c r="G396" i="42"/>
  <c r="V396" i="42"/>
  <c r="X396" i="42"/>
  <c r="C396" i="42"/>
  <c r="B396" i="42"/>
  <c r="N395" i="42"/>
  <c r="G395" i="42"/>
  <c r="V395" i="42"/>
  <c r="X395" i="42"/>
  <c r="C395" i="42"/>
  <c r="B395" i="42"/>
  <c r="N394" i="42"/>
  <c r="G394" i="42"/>
  <c r="V394" i="42"/>
  <c r="X394" i="42"/>
  <c r="C394" i="42"/>
  <c r="B394" i="42"/>
  <c r="N393" i="42"/>
  <c r="G393" i="42"/>
  <c r="V393" i="42"/>
  <c r="X393" i="42"/>
  <c r="C393" i="42"/>
  <c r="B393" i="42"/>
  <c r="N392" i="42"/>
  <c r="G392" i="42"/>
  <c r="V392" i="42"/>
  <c r="X392" i="42"/>
  <c r="C392" i="42"/>
  <c r="B392" i="42"/>
  <c r="N391" i="42"/>
  <c r="G391" i="42"/>
  <c r="V391" i="42"/>
  <c r="X391" i="42"/>
  <c r="C391" i="42"/>
  <c r="B391" i="42"/>
  <c r="N390" i="42"/>
  <c r="G390" i="42"/>
  <c r="V390" i="42"/>
  <c r="X390" i="42"/>
  <c r="C390" i="42"/>
  <c r="B390" i="42"/>
  <c r="N389" i="42"/>
  <c r="G389" i="42"/>
  <c r="V389" i="42"/>
  <c r="X389" i="42"/>
  <c r="C389" i="42"/>
  <c r="B389" i="42"/>
  <c r="N388" i="42"/>
  <c r="G388" i="42"/>
  <c r="V388" i="42"/>
  <c r="X388" i="42"/>
  <c r="C388" i="42"/>
  <c r="B388" i="42"/>
  <c r="N387" i="42"/>
  <c r="G387" i="42"/>
  <c r="V387" i="42"/>
  <c r="X387" i="42"/>
  <c r="C387" i="42"/>
  <c r="B387" i="42"/>
  <c r="N386" i="42"/>
  <c r="G386" i="42"/>
  <c r="V386" i="42"/>
  <c r="X386" i="42"/>
  <c r="C386" i="42"/>
  <c r="B386" i="42"/>
  <c r="N385" i="42"/>
  <c r="G385" i="42"/>
  <c r="V385" i="42"/>
  <c r="X385" i="42"/>
  <c r="C385" i="42"/>
  <c r="B385" i="42"/>
  <c r="N384" i="42"/>
  <c r="G384" i="42"/>
  <c r="V384" i="42"/>
  <c r="X384" i="42"/>
  <c r="C384" i="42"/>
  <c r="B384" i="42"/>
  <c r="N383" i="42"/>
  <c r="G383" i="42"/>
  <c r="V383" i="42"/>
  <c r="X383" i="42"/>
  <c r="C383" i="42"/>
  <c r="B383" i="42"/>
  <c r="N382" i="42"/>
  <c r="G382" i="42"/>
  <c r="V382" i="42"/>
  <c r="X382" i="42"/>
  <c r="C382" i="42"/>
  <c r="B382" i="42"/>
  <c r="N381" i="42"/>
  <c r="G381" i="42"/>
  <c r="V381" i="42"/>
  <c r="X381" i="42"/>
  <c r="C381" i="42"/>
  <c r="B381" i="42"/>
  <c r="N380" i="42"/>
  <c r="G380" i="42"/>
  <c r="V380" i="42"/>
  <c r="X380" i="42"/>
  <c r="C380" i="42"/>
  <c r="B380" i="42"/>
  <c r="N379" i="42"/>
  <c r="G379" i="42"/>
  <c r="V379" i="42"/>
  <c r="X379" i="42"/>
  <c r="C379" i="42"/>
  <c r="B379" i="42"/>
  <c r="N378" i="42"/>
  <c r="G378" i="42"/>
  <c r="V378" i="42"/>
  <c r="X378" i="42"/>
  <c r="C378" i="42"/>
  <c r="B378" i="42"/>
  <c r="N377" i="42"/>
  <c r="G377" i="42"/>
  <c r="V377" i="42"/>
  <c r="X377" i="42"/>
  <c r="C377" i="42"/>
  <c r="B377" i="42"/>
  <c r="N376" i="42"/>
  <c r="G376" i="42"/>
  <c r="V376" i="42"/>
  <c r="X376" i="42"/>
  <c r="C376" i="42"/>
  <c r="B376" i="42"/>
  <c r="N375" i="42"/>
  <c r="G375" i="42"/>
  <c r="V375" i="42"/>
  <c r="X375" i="42"/>
  <c r="C375" i="42"/>
  <c r="B375" i="42"/>
  <c r="N374" i="42"/>
  <c r="G374" i="42"/>
  <c r="V374" i="42"/>
  <c r="X374" i="42"/>
  <c r="C374" i="42"/>
  <c r="B374" i="42"/>
  <c r="N373" i="42"/>
  <c r="G373" i="42"/>
  <c r="V373" i="42"/>
  <c r="X373" i="42"/>
  <c r="C373" i="42"/>
  <c r="B373" i="42"/>
  <c r="N372" i="42"/>
  <c r="G372" i="42"/>
  <c r="V372" i="42"/>
  <c r="X372" i="42"/>
  <c r="C372" i="42"/>
  <c r="B372" i="42"/>
  <c r="N371" i="42"/>
  <c r="G371" i="42"/>
  <c r="V371" i="42"/>
  <c r="X371" i="42"/>
  <c r="C371" i="42"/>
  <c r="B371" i="42"/>
  <c r="N370" i="42"/>
  <c r="G370" i="42"/>
  <c r="V370" i="42"/>
  <c r="X370" i="42"/>
  <c r="C370" i="42"/>
  <c r="B370" i="42"/>
  <c r="N369" i="42"/>
  <c r="G369" i="42"/>
  <c r="V369" i="42"/>
  <c r="X369" i="42"/>
  <c r="C369" i="42"/>
  <c r="B369" i="42"/>
  <c r="N368" i="42"/>
  <c r="G368" i="42"/>
  <c r="V368" i="42"/>
  <c r="X368" i="42"/>
  <c r="C368" i="42"/>
  <c r="B368" i="42"/>
  <c r="N367" i="42"/>
  <c r="G367" i="42"/>
  <c r="V367" i="42"/>
  <c r="X367" i="42"/>
  <c r="C367" i="42"/>
  <c r="B367" i="42"/>
  <c r="N366" i="42"/>
  <c r="G366" i="42"/>
  <c r="V366" i="42"/>
  <c r="X366" i="42"/>
  <c r="C366" i="42"/>
  <c r="B366" i="42"/>
  <c r="N365" i="42"/>
  <c r="G365" i="42"/>
  <c r="V365" i="42"/>
  <c r="X365" i="42"/>
  <c r="C365" i="42"/>
  <c r="B365" i="42"/>
  <c r="N364" i="42"/>
  <c r="G364" i="42"/>
  <c r="V364" i="42"/>
  <c r="X364" i="42"/>
  <c r="C364" i="42"/>
  <c r="B364" i="42"/>
  <c r="N363" i="42"/>
  <c r="G363" i="42"/>
  <c r="V363" i="42"/>
  <c r="X363" i="42"/>
  <c r="C363" i="42"/>
  <c r="B363" i="42"/>
  <c r="N362" i="42"/>
  <c r="G362" i="42"/>
  <c r="V362" i="42"/>
  <c r="X362" i="42"/>
  <c r="C362" i="42"/>
  <c r="B362" i="42"/>
  <c r="N361" i="42"/>
  <c r="G361" i="42"/>
  <c r="V361" i="42"/>
  <c r="X361" i="42"/>
  <c r="C361" i="42"/>
  <c r="B361" i="42"/>
  <c r="N360" i="42"/>
  <c r="G360" i="42"/>
  <c r="V360" i="42"/>
  <c r="X360" i="42"/>
  <c r="C360" i="42"/>
  <c r="B360" i="42"/>
  <c r="N359" i="42"/>
  <c r="G359" i="42"/>
  <c r="V359" i="42"/>
  <c r="X359" i="42"/>
  <c r="C359" i="42"/>
  <c r="B359" i="42"/>
  <c r="N358" i="42"/>
  <c r="G358" i="42"/>
  <c r="V358" i="42"/>
  <c r="X358" i="42"/>
  <c r="C358" i="42"/>
  <c r="B358" i="42"/>
  <c r="N357" i="42"/>
  <c r="G357" i="42"/>
  <c r="V357" i="42"/>
  <c r="X357" i="42"/>
  <c r="C357" i="42"/>
  <c r="B357" i="42"/>
  <c r="N356" i="42"/>
  <c r="G356" i="42"/>
  <c r="V356" i="42"/>
  <c r="X356" i="42"/>
  <c r="C356" i="42"/>
  <c r="B356" i="42"/>
  <c r="N355" i="42"/>
  <c r="G355" i="42"/>
  <c r="V355" i="42"/>
  <c r="X355" i="42"/>
  <c r="C355" i="42"/>
  <c r="B355" i="42"/>
  <c r="N354" i="42"/>
  <c r="G354" i="42"/>
  <c r="V354" i="42"/>
  <c r="X354" i="42"/>
  <c r="C354" i="42"/>
  <c r="B354" i="42"/>
  <c r="N353" i="42"/>
  <c r="G353" i="42"/>
  <c r="V353" i="42"/>
  <c r="X353" i="42"/>
  <c r="C353" i="42"/>
  <c r="B353" i="42"/>
  <c r="N352" i="42"/>
  <c r="G352" i="42"/>
  <c r="V352" i="42"/>
  <c r="X352" i="42"/>
  <c r="C352" i="42"/>
  <c r="B352" i="42"/>
  <c r="N351" i="42"/>
  <c r="G351" i="42"/>
  <c r="V351" i="42"/>
  <c r="X351" i="42"/>
  <c r="C351" i="42"/>
  <c r="B351" i="42"/>
  <c r="N350" i="42"/>
  <c r="G350" i="42"/>
  <c r="V350" i="42"/>
  <c r="X350" i="42"/>
  <c r="C350" i="42"/>
  <c r="B350" i="42"/>
  <c r="N349" i="42"/>
  <c r="G349" i="42"/>
  <c r="V349" i="42"/>
  <c r="X349" i="42"/>
  <c r="C349" i="42"/>
  <c r="B349" i="42"/>
  <c r="N348" i="42"/>
  <c r="G348" i="42"/>
  <c r="V348" i="42"/>
  <c r="X348" i="42"/>
  <c r="C348" i="42"/>
  <c r="B348" i="42"/>
  <c r="N347" i="42"/>
  <c r="G347" i="42"/>
  <c r="V347" i="42"/>
  <c r="X347" i="42"/>
  <c r="C347" i="42"/>
  <c r="B347" i="42"/>
  <c r="N346" i="42"/>
  <c r="G346" i="42"/>
  <c r="V346" i="42"/>
  <c r="X346" i="42"/>
  <c r="C346" i="42"/>
  <c r="B346" i="42"/>
  <c r="N345" i="42"/>
  <c r="G345" i="42"/>
  <c r="V345" i="42"/>
  <c r="X345" i="42"/>
  <c r="C345" i="42"/>
  <c r="B345" i="42"/>
  <c r="N344" i="42"/>
  <c r="G344" i="42"/>
  <c r="V344" i="42"/>
  <c r="X344" i="42"/>
  <c r="C344" i="42"/>
  <c r="B344" i="42"/>
  <c r="N343" i="42"/>
  <c r="G343" i="42"/>
  <c r="V343" i="42"/>
  <c r="X343" i="42"/>
  <c r="C343" i="42"/>
  <c r="B343" i="42"/>
  <c r="N342" i="42"/>
  <c r="G342" i="42"/>
  <c r="V342" i="42"/>
  <c r="X342" i="42"/>
  <c r="C342" i="42"/>
  <c r="B342" i="42"/>
  <c r="N341" i="42"/>
  <c r="G341" i="42"/>
  <c r="V341" i="42"/>
  <c r="X341" i="42"/>
  <c r="C341" i="42"/>
  <c r="B341" i="42"/>
  <c r="N340" i="42"/>
  <c r="G340" i="42"/>
  <c r="V340" i="42"/>
  <c r="X340" i="42"/>
  <c r="C340" i="42"/>
  <c r="B340" i="42"/>
  <c r="N339" i="42"/>
  <c r="G339" i="42"/>
  <c r="V339" i="42"/>
  <c r="X339" i="42"/>
  <c r="C339" i="42"/>
  <c r="B339" i="42"/>
  <c r="N338" i="42"/>
  <c r="G338" i="42"/>
  <c r="V338" i="42"/>
  <c r="X338" i="42"/>
  <c r="C338" i="42"/>
  <c r="B338" i="42"/>
  <c r="N337" i="42"/>
  <c r="G337" i="42"/>
  <c r="V337" i="42"/>
  <c r="X337" i="42"/>
  <c r="C337" i="42"/>
  <c r="B337" i="42"/>
  <c r="N336" i="42"/>
  <c r="G336" i="42"/>
  <c r="V336" i="42"/>
  <c r="X336" i="42"/>
  <c r="C336" i="42"/>
  <c r="B336" i="42"/>
  <c r="N335" i="42"/>
  <c r="G335" i="42"/>
  <c r="V335" i="42"/>
  <c r="X335" i="42"/>
  <c r="C335" i="42"/>
  <c r="B335" i="42"/>
  <c r="N334" i="42"/>
  <c r="G334" i="42"/>
  <c r="V334" i="42"/>
  <c r="X334" i="42"/>
  <c r="C334" i="42"/>
  <c r="B334" i="42"/>
  <c r="N333" i="42"/>
  <c r="G333" i="42"/>
  <c r="V333" i="42"/>
  <c r="X333" i="42"/>
  <c r="C333" i="42"/>
  <c r="B333" i="42"/>
  <c r="N332" i="42"/>
  <c r="G332" i="42"/>
  <c r="V332" i="42"/>
  <c r="X332" i="42"/>
  <c r="C332" i="42"/>
  <c r="B332" i="42"/>
  <c r="N331" i="42"/>
  <c r="G331" i="42"/>
  <c r="V331" i="42"/>
  <c r="X331" i="42"/>
  <c r="C331" i="42"/>
  <c r="B331" i="42"/>
  <c r="N330" i="42"/>
  <c r="G330" i="42"/>
  <c r="V330" i="42"/>
  <c r="X330" i="42"/>
  <c r="C330" i="42"/>
  <c r="B330" i="42"/>
  <c r="N329" i="42"/>
  <c r="G329" i="42"/>
  <c r="V329" i="42"/>
  <c r="X329" i="42"/>
  <c r="C329" i="42"/>
  <c r="B329" i="42"/>
  <c r="N328" i="42"/>
  <c r="G328" i="42"/>
  <c r="V328" i="42"/>
  <c r="X328" i="42"/>
  <c r="C328" i="42"/>
  <c r="B328" i="42"/>
  <c r="N327" i="42"/>
  <c r="G327" i="42"/>
  <c r="V327" i="42"/>
  <c r="X327" i="42"/>
  <c r="C327" i="42"/>
  <c r="B327" i="42"/>
  <c r="N326" i="42"/>
  <c r="G326" i="42"/>
  <c r="V326" i="42"/>
  <c r="X326" i="42"/>
  <c r="C326" i="42"/>
  <c r="B326" i="42"/>
  <c r="N325" i="42"/>
  <c r="G325" i="42"/>
  <c r="V325" i="42"/>
  <c r="X325" i="42"/>
  <c r="C325" i="42"/>
  <c r="B325" i="42"/>
  <c r="N324" i="42"/>
  <c r="G324" i="42"/>
  <c r="V324" i="42"/>
  <c r="X324" i="42"/>
  <c r="C324" i="42"/>
  <c r="B324" i="42"/>
  <c r="N323" i="42"/>
  <c r="G323" i="42"/>
  <c r="V323" i="42"/>
  <c r="X323" i="42"/>
  <c r="C323" i="42"/>
  <c r="B323" i="42"/>
  <c r="N322" i="42"/>
  <c r="G322" i="42"/>
  <c r="V322" i="42"/>
  <c r="X322" i="42"/>
  <c r="C322" i="42"/>
  <c r="B322" i="42"/>
  <c r="N321" i="42"/>
  <c r="G321" i="42"/>
  <c r="V321" i="42"/>
  <c r="X321" i="42"/>
  <c r="C321" i="42"/>
  <c r="B321" i="42"/>
  <c r="N320" i="42"/>
  <c r="G320" i="42"/>
  <c r="V320" i="42"/>
  <c r="X320" i="42"/>
  <c r="C320" i="42"/>
  <c r="B320" i="42"/>
  <c r="N319" i="42"/>
  <c r="G319" i="42"/>
  <c r="V319" i="42"/>
  <c r="X319" i="42"/>
  <c r="C319" i="42"/>
  <c r="B319" i="42"/>
  <c r="N318" i="42"/>
  <c r="G318" i="42"/>
  <c r="V318" i="42"/>
  <c r="X318" i="42"/>
  <c r="C318" i="42"/>
  <c r="B318" i="42"/>
  <c r="N317" i="42"/>
  <c r="G317" i="42"/>
  <c r="V317" i="42"/>
  <c r="X317" i="42"/>
  <c r="C317" i="42"/>
  <c r="B317" i="42"/>
  <c r="N316" i="42"/>
  <c r="G316" i="42"/>
  <c r="V316" i="42"/>
  <c r="X316" i="42"/>
  <c r="C316" i="42"/>
  <c r="B316" i="42"/>
  <c r="N315" i="42"/>
  <c r="G315" i="42"/>
  <c r="V315" i="42"/>
  <c r="X315" i="42"/>
  <c r="C315" i="42"/>
  <c r="B315" i="42"/>
  <c r="N314" i="42"/>
  <c r="G314" i="42"/>
  <c r="V314" i="42"/>
  <c r="X314" i="42"/>
  <c r="C314" i="42"/>
  <c r="B314" i="42"/>
  <c r="N313" i="42"/>
  <c r="G313" i="42"/>
  <c r="V313" i="42"/>
  <c r="X313" i="42"/>
  <c r="C313" i="42"/>
  <c r="B313" i="42"/>
  <c r="N312" i="42"/>
  <c r="G312" i="42"/>
  <c r="V312" i="42"/>
  <c r="X312" i="42"/>
  <c r="C312" i="42"/>
  <c r="B312" i="42"/>
  <c r="N311" i="42"/>
  <c r="G311" i="42"/>
  <c r="V311" i="42"/>
  <c r="X311" i="42"/>
  <c r="C311" i="42"/>
  <c r="B311" i="42"/>
  <c r="N310" i="42"/>
  <c r="G310" i="42"/>
  <c r="V310" i="42"/>
  <c r="X310" i="42"/>
  <c r="C310" i="42"/>
  <c r="B310" i="42"/>
  <c r="N309" i="42"/>
  <c r="G309" i="42"/>
  <c r="V309" i="42"/>
  <c r="X309" i="42"/>
  <c r="C309" i="42"/>
  <c r="B309" i="42"/>
  <c r="N308" i="42"/>
  <c r="G308" i="42"/>
  <c r="V308" i="42"/>
  <c r="X308" i="42"/>
  <c r="C308" i="42"/>
  <c r="B308" i="42"/>
  <c r="N307" i="42"/>
  <c r="G307" i="42"/>
  <c r="V307" i="42"/>
  <c r="X307" i="42"/>
  <c r="C307" i="42"/>
  <c r="B307" i="42"/>
  <c r="N306" i="42"/>
  <c r="G306" i="42"/>
  <c r="V306" i="42"/>
  <c r="X306" i="42"/>
  <c r="C306" i="42"/>
  <c r="B306" i="42"/>
  <c r="N305" i="42"/>
  <c r="G305" i="42"/>
  <c r="V305" i="42"/>
  <c r="X305" i="42"/>
  <c r="C305" i="42"/>
  <c r="B305" i="42"/>
  <c r="N304" i="42"/>
  <c r="G304" i="42"/>
  <c r="V304" i="42"/>
  <c r="X304" i="42"/>
  <c r="C304" i="42"/>
  <c r="B304" i="42"/>
  <c r="N303" i="42"/>
  <c r="G303" i="42"/>
  <c r="V303" i="42"/>
  <c r="X303" i="42"/>
  <c r="C303" i="42"/>
  <c r="B303" i="42"/>
  <c r="N302" i="42"/>
  <c r="G302" i="42"/>
  <c r="V302" i="42"/>
  <c r="X302" i="42"/>
  <c r="C302" i="42"/>
  <c r="B302" i="42"/>
  <c r="N301" i="42"/>
  <c r="G301" i="42"/>
  <c r="V301" i="42"/>
  <c r="X301" i="42"/>
  <c r="C301" i="42"/>
  <c r="B301" i="42"/>
  <c r="N300" i="42"/>
  <c r="G300" i="42"/>
  <c r="V300" i="42"/>
  <c r="X300" i="42"/>
  <c r="C300" i="42"/>
  <c r="B300" i="42"/>
  <c r="N299" i="42"/>
  <c r="G299" i="42"/>
  <c r="V299" i="42"/>
  <c r="X299" i="42"/>
  <c r="C299" i="42"/>
  <c r="B299" i="42"/>
  <c r="N298" i="42"/>
  <c r="G298" i="42"/>
  <c r="V298" i="42"/>
  <c r="X298" i="42"/>
  <c r="C298" i="42"/>
  <c r="B298" i="42"/>
  <c r="N297" i="42"/>
  <c r="G297" i="42"/>
  <c r="V297" i="42"/>
  <c r="X297" i="42"/>
  <c r="C297" i="42"/>
  <c r="B297" i="42"/>
  <c r="N296" i="42"/>
  <c r="G296" i="42"/>
  <c r="V296" i="42"/>
  <c r="X296" i="42"/>
  <c r="C296" i="42"/>
  <c r="B296" i="42"/>
  <c r="N295" i="42"/>
  <c r="G295" i="42"/>
  <c r="V295" i="42"/>
  <c r="X295" i="42"/>
  <c r="C295" i="42"/>
  <c r="B295" i="42"/>
  <c r="N294" i="42"/>
  <c r="G294" i="42"/>
  <c r="V294" i="42"/>
  <c r="X294" i="42"/>
  <c r="C294" i="42"/>
  <c r="B294" i="42"/>
  <c r="N293" i="42"/>
  <c r="G293" i="42"/>
  <c r="V293" i="42"/>
  <c r="X293" i="42"/>
  <c r="C293" i="42"/>
  <c r="B293" i="42"/>
  <c r="N292" i="42"/>
  <c r="G292" i="42"/>
  <c r="V292" i="42"/>
  <c r="X292" i="42"/>
  <c r="C292" i="42"/>
  <c r="B292" i="42"/>
  <c r="N291" i="42"/>
  <c r="G291" i="42"/>
  <c r="V291" i="42"/>
  <c r="X291" i="42"/>
  <c r="C291" i="42"/>
  <c r="B291" i="42"/>
  <c r="N290" i="42"/>
  <c r="G290" i="42"/>
  <c r="V290" i="42"/>
  <c r="X290" i="42"/>
  <c r="C290" i="42"/>
  <c r="B290" i="42"/>
  <c r="N289" i="42"/>
  <c r="G289" i="42"/>
  <c r="V289" i="42"/>
  <c r="X289" i="42"/>
  <c r="C289" i="42"/>
  <c r="B289" i="42"/>
  <c r="N288" i="42"/>
  <c r="G288" i="42"/>
  <c r="V288" i="42"/>
  <c r="X288" i="42"/>
  <c r="C288" i="42"/>
  <c r="B288" i="42"/>
  <c r="N287" i="42"/>
  <c r="G287" i="42"/>
  <c r="V287" i="42"/>
  <c r="X287" i="42"/>
  <c r="C287" i="42"/>
  <c r="B287" i="42"/>
  <c r="N286" i="42"/>
  <c r="G286" i="42"/>
  <c r="V286" i="42"/>
  <c r="X286" i="42"/>
  <c r="C286" i="42"/>
  <c r="B286" i="42"/>
  <c r="N285" i="42"/>
  <c r="G285" i="42"/>
  <c r="V285" i="42"/>
  <c r="X285" i="42"/>
  <c r="C285" i="42"/>
  <c r="B285" i="42"/>
  <c r="N284" i="42"/>
  <c r="G284" i="42"/>
  <c r="V284" i="42"/>
  <c r="X284" i="42"/>
  <c r="C284" i="42"/>
  <c r="B284" i="42"/>
  <c r="N283" i="42"/>
  <c r="G283" i="42"/>
  <c r="V283" i="42"/>
  <c r="X283" i="42"/>
  <c r="C283" i="42"/>
  <c r="B283" i="42"/>
  <c r="N282" i="42"/>
  <c r="G282" i="42"/>
  <c r="V282" i="42"/>
  <c r="X282" i="42"/>
  <c r="C282" i="42"/>
  <c r="B282" i="42"/>
  <c r="N281" i="42"/>
  <c r="G281" i="42"/>
  <c r="V281" i="42"/>
  <c r="X281" i="42"/>
  <c r="C281" i="42"/>
  <c r="B281" i="42"/>
  <c r="N280" i="42"/>
  <c r="G280" i="42"/>
  <c r="V280" i="42"/>
  <c r="X280" i="42"/>
  <c r="C280" i="42"/>
  <c r="B280" i="42"/>
  <c r="N279" i="42"/>
  <c r="G279" i="42"/>
  <c r="V279" i="42"/>
  <c r="X279" i="42"/>
  <c r="C279" i="42"/>
  <c r="B279" i="42"/>
  <c r="N278" i="42"/>
  <c r="G278" i="42"/>
  <c r="V278" i="42"/>
  <c r="X278" i="42"/>
  <c r="C278" i="42"/>
  <c r="B278" i="42"/>
  <c r="N277" i="42"/>
  <c r="G277" i="42"/>
  <c r="V277" i="42"/>
  <c r="X277" i="42"/>
  <c r="C277" i="42"/>
  <c r="B277" i="42"/>
  <c r="N276" i="42"/>
  <c r="G276" i="42"/>
  <c r="V276" i="42"/>
  <c r="X276" i="42"/>
  <c r="C276" i="42"/>
  <c r="B276" i="42"/>
  <c r="N275" i="42"/>
  <c r="G275" i="42"/>
  <c r="V275" i="42"/>
  <c r="X275" i="42"/>
  <c r="C275" i="42"/>
  <c r="B275" i="42"/>
  <c r="N274" i="42"/>
  <c r="G274" i="42"/>
  <c r="V274" i="42"/>
  <c r="X274" i="42"/>
  <c r="C274" i="42"/>
  <c r="B274" i="42"/>
  <c r="N273" i="42"/>
  <c r="G273" i="42"/>
  <c r="V273" i="42"/>
  <c r="X273" i="42"/>
  <c r="C273" i="42"/>
  <c r="B273" i="42"/>
  <c r="N272" i="42"/>
  <c r="G272" i="42"/>
  <c r="V272" i="42"/>
  <c r="X272" i="42"/>
  <c r="C272" i="42"/>
  <c r="B272" i="42"/>
  <c r="N271" i="42"/>
  <c r="G271" i="42"/>
  <c r="V271" i="42"/>
  <c r="X271" i="42"/>
  <c r="C271" i="42"/>
  <c r="B271" i="42"/>
  <c r="N270" i="42"/>
  <c r="G270" i="42"/>
  <c r="V270" i="42"/>
  <c r="X270" i="42"/>
  <c r="C270" i="42"/>
  <c r="B270" i="42"/>
  <c r="N269" i="42"/>
  <c r="G269" i="42"/>
  <c r="V269" i="42"/>
  <c r="X269" i="42"/>
  <c r="C269" i="42"/>
  <c r="B269" i="42"/>
  <c r="N268" i="42"/>
  <c r="G268" i="42"/>
  <c r="V268" i="42"/>
  <c r="X268" i="42"/>
  <c r="C268" i="42"/>
  <c r="B268" i="42"/>
  <c r="N267" i="42"/>
  <c r="G267" i="42"/>
  <c r="V267" i="42"/>
  <c r="X267" i="42"/>
  <c r="C267" i="42"/>
  <c r="B267" i="42"/>
  <c r="N266" i="42"/>
  <c r="G266" i="42"/>
  <c r="V266" i="42"/>
  <c r="X266" i="42"/>
  <c r="C266" i="42"/>
  <c r="B266" i="42"/>
  <c r="N265" i="42"/>
  <c r="G265" i="42"/>
  <c r="V265" i="42"/>
  <c r="X265" i="42"/>
  <c r="C265" i="42"/>
  <c r="B265" i="42"/>
  <c r="N264" i="42"/>
  <c r="G264" i="42"/>
  <c r="V264" i="42"/>
  <c r="X264" i="42"/>
  <c r="C264" i="42"/>
  <c r="B264" i="42"/>
  <c r="N263" i="42"/>
  <c r="G263" i="42"/>
  <c r="V263" i="42"/>
  <c r="X263" i="42"/>
  <c r="C263" i="42"/>
  <c r="B263" i="42"/>
  <c r="N262" i="42"/>
  <c r="G262" i="42"/>
  <c r="V262" i="42"/>
  <c r="X262" i="42"/>
  <c r="C262" i="42"/>
  <c r="B262" i="42"/>
  <c r="N261" i="42"/>
  <c r="G261" i="42"/>
  <c r="V261" i="42"/>
  <c r="X261" i="42"/>
  <c r="C261" i="42"/>
  <c r="B261" i="42"/>
  <c r="N260" i="42"/>
  <c r="G260" i="42"/>
  <c r="V260" i="42"/>
  <c r="X260" i="42"/>
  <c r="C260" i="42"/>
  <c r="B260" i="42"/>
  <c r="N259" i="42"/>
  <c r="G259" i="42"/>
  <c r="V259" i="42"/>
  <c r="X259" i="42"/>
  <c r="C259" i="42"/>
  <c r="B259" i="42"/>
  <c r="N258" i="42"/>
  <c r="G258" i="42"/>
  <c r="V258" i="42"/>
  <c r="X258" i="42"/>
  <c r="C258" i="42"/>
  <c r="B258" i="42"/>
  <c r="N257" i="42"/>
  <c r="G257" i="42"/>
  <c r="V257" i="42"/>
  <c r="X257" i="42"/>
  <c r="C257" i="42"/>
  <c r="B257" i="42"/>
  <c r="N256" i="42"/>
  <c r="G256" i="42"/>
  <c r="V256" i="42"/>
  <c r="X256" i="42"/>
  <c r="C256" i="42"/>
  <c r="B256" i="42"/>
  <c r="N255" i="42"/>
  <c r="G255" i="42"/>
  <c r="V255" i="42"/>
  <c r="X255" i="42"/>
  <c r="C255" i="42"/>
  <c r="B255" i="42"/>
  <c r="N254" i="42"/>
  <c r="G254" i="42"/>
  <c r="V254" i="42"/>
  <c r="X254" i="42"/>
  <c r="C254" i="42"/>
  <c r="B254" i="42"/>
  <c r="N253" i="42"/>
  <c r="G253" i="42"/>
  <c r="V253" i="42"/>
  <c r="X253" i="42"/>
  <c r="C253" i="42"/>
  <c r="B253" i="42"/>
  <c r="N252" i="42"/>
  <c r="G252" i="42"/>
  <c r="V252" i="42"/>
  <c r="X252" i="42"/>
  <c r="C252" i="42"/>
  <c r="B252" i="42"/>
  <c r="N251" i="42"/>
  <c r="G251" i="42"/>
  <c r="V251" i="42"/>
  <c r="X251" i="42"/>
  <c r="C251" i="42"/>
  <c r="B251" i="42"/>
  <c r="N250" i="42"/>
  <c r="G250" i="42"/>
  <c r="V250" i="42"/>
  <c r="X250" i="42"/>
  <c r="C250" i="42"/>
  <c r="B250" i="42"/>
  <c r="N249" i="42"/>
  <c r="G249" i="42"/>
  <c r="V249" i="42"/>
  <c r="X249" i="42"/>
  <c r="C249" i="42"/>
  <c r="B249" i="42"/>
  <c r="N248" i="42"/>
  <c r="G248" i="42"/>
  <c r="V248" i="42"/>
  <c r="X248" i="42"/>
  <c r="C248" i="42"/>
  <c r="B248" i="42"/>
  <c r="N247" i="42"/>
  <c r="G247" i="42"/>
  <c r="V247" i="42"/>
  <c r="X247" i="42"/>
  <c r="C247" i="42"/>
  <c r="B247" i="42"/>
  <c r="N246" i="42"/>
  <c r="G246" i="42"/>
  <c r="V246" i="42"/>
  <c r="X246" i="42"/>
  <c r="C246" i="42"/>
  <c r="B246" i="42"/>
  <c r="N245" i="42"/>
  <c r="G245" i="42"/>
  <c r="V245" i="42"/>
  <c r="X245" i="42"/>
  <c r="C245" i="42"/>
  <c r="B245" i="42"/>
  <c r="N244" i="42"/>
  <c r="G244" i="42"/>
  <c r="V244" i="42"/>
  <c r="X244" i="42"/>
  <c r="C244" i="42"/>
  <c r="B244" i="42"/>
  <c r="N243" i="42"/>
  <c r="G243" i="42"/>
  <c r="V243" i="42"/>
  <c r="X243" i="42"/>
  <c r="C243" i="42"/>
  <c r="B243" i="42"/>
  <c r="N242" i="42"/>
  <c r="G242" i="42"/>
  <c r="V242" i="42"/>
  <c r="X242" i="42"/>
  <c r="C242" i="42"/>
  <c r="B242" i="42"/>
  <c r="N241" i="42"/>
  <c r="G241" i="42"/>
  <c r="V241" i="42"/>
  <c r="X241" i="42"/>
  <c r="C241" i="42"/>
  <c r="B241" i="42"/>
  <c r="N240" i="42"/>
  <c r="G240" i="42"/>
  <c r="V240" i="42"/>
  <c r="X240" i="42"/>
  <c r="C240" i="42"/>
  <c r="B240" i="42"/>
  <c r="N239" i="42"/>
  <c r="G239" i="42"/>
  <c r="V239" i="42"/>
  <c r="X239" i="42"/>
  <c r="C239" i="42"/>
  <c r="B239" i="42"/>
  <c r="N238" i="42"/>
  <c r="G238" i="42"/>
  <c r="V238" i="42"/>
  <c r="X238" i="42"/>
  <c r="C238" i="42"/>
  <c r="B238" i="42"/>
  <c r="N237" i="42"/>
  <c r="G237" i="42"/>
  <c r="V237" i="42"/>
  <c r="X237" i="42"/>
  <c r="C237" i="42"/>
  <c r="B237" i="42"/>
  <c r="N236" i="42"/>
  <c r="G236" i="42"/>
  <c r="V236" i="42"/>
  <c r="X236" i="42"/>
  <c r="C236" i="42"/>
  <c r="B236" i="42"/>
  <c r="N235" i="42"/>
  <c r="G235" i="42"/>
  <c r="V235" i="42"/>
  <c r="X235" i="42"/>
  <c r="C235" i="42"/>
  <c r="B235" i="42"/>
  <c r="N234" i="42"/>
  <c r="G234" i="42"/>
  <c r="V234" i="42"/>
  <c r="X234" i="42"/>
  <c r="C234" i="42"/>
  <c r="B234" i="42"/>
  <c r="N233" i="42"/>
  <c r="G233" i="42"/>
  <c r="V233" i="42"/>
  <c r="X233" i="42"/>
  <c r="C233" i="42"/>
  <c r="B233" i="42"/>
  <c r="N232" i="42"/>
  <c r="G232" i="42"/>
  <c r="V232" i="42"/>
  <c r="X232" i="42"/>
  <c r="C232" i="42"/>
  <c r="B232" i="42"/>
  <c r="N231" i="42"/>
  <c r="G231" i="42"/>
  <c r="V231" i="42"/>
  <c r="X231" i="42"/>
  <c r="C231" i="42"/>
  <c r="B231" i="42"/>
  <c r="N230" i="42"/>
  <c r="G230" i="42"/>
  <c r="V230" i="42"/>
  <c r="X230" i="42"/>
  <c r="C230" i="42"/>
  <c r="B230" i="42"/>
  <c r="N229" i="42"/>
  <c r="G229" i="42"/>
  <c r="V229" i="42"/>
  <c r="X229" i="42"/>
  <c r="C229" i="42"/>
  <c r="B229" i="42"/>
  <c r="N228" i="42"/>
  <c r="G228" i="42"/>
  <c r="V228" i="42"/>
  <c r="X228" i="42"/>
  <c r="C228" i="42"/>
  <c r="B228" i="42"/>
  <c r="N227" i="42"/>
  <c r="G227" i="42"/>
  <c r="V227" i="42"/>
  <c r="X227" i="42"/>
  <c r="C227" i="42"/>
  <c r="B227" i="42"/>
  <c r="N226" i="42"/>
  <c r="G226" i="42"/>
  <c r="V226" i="42"/>
  <c r="X226" i="42"/>
  <c r="C226" i="42"/>
  <c r="B226" i="42"/>
  <c r="N225" i="42"/>
  <c r="G225" i="42"/>
  <c r="V225" i="42"/>
  <c r="X225" i="42"/>
  <c r="C225" i="42"/>
  <c r="B225" i="42"/>
  <c r="N224" i="42"/>
  <c r="G224" i="42"/>
  <c r="V224" i="42"/>
  <c r="X224" i="42"/>
  <c r="C224" i="42"/>
  <c r="B224" i="42"/>
  <c r="N223" i="42"/>
  <c r="G223" i="42"/>
  <c r="V223" i="42"/>
  <c r="X223" i="42"/>
  <c r="C223" i="42"/>
  <c r="B223" i="42"/>
  <c r="N222" i="42"/>
  <c r="G222" i="42"/>
  <c r="V222" i="42"/>
  <c r="X222" i="42"/>
  <c r="C222" i="42"/>
  <c r="B222" i="42"/>
  <c r="N221" i="42"/>
  <c r="G221" i="42"/>
  <c r="V221" i="42"/>
  <c r="X221" i="42"/>
  <c r="C221" i="42"/>
  <c r="B221" i="42"/>
  <c r="N220" i="42"/>
  <c r="G220" i="42"/>
  <c r="V220" i="42"/>
  <c r="X220" i="42"/>
  <c r="C220" i="42"/>
  <c r="B220" i="42"/>
  <c r="N219" i="42"/>
  <c r="G219" i="42"/>
  <c r="V219" i="42"/>
  <c r="X219" i="42"/>
  <c r="C219" i="42"/>
  <c r="B219" i="42"/>
  <c r="N218" i="42"/>
  <c r="G218" i="42"/>
  <c r="V218" i="42"/>
  <c r="X218" i="42"/>
  <c r="C218" i="42"/>
  <c r="B218" i="42"/>
  <c r="N217" i="42"/>
  <c r="G217" i="42"/>
  <c r="V217" i="42"/>
  <c r="X217" i="42"/>
  <c r="C217" i="42"/>
  <c r="B217" i="42"/>
  <c r="N216" i="42"/>
  <c r="G216" i="42"/>
  <c r="V216" i="42"/>
  <c r="X216" i="42"/>
  <c r="C216" i="42"/>
  <c r="B216" i="42"/>
  <c r="N215" i="42"/>
  <c r="G215" i="42"/>
  <c r="V215" i="42"/>
  <c r="X215" i="42"/>
  <c r="C215" i="42"/>
  <c r="B215" i="42"/>
  <c r="N214" i="42"/>
  <c r="G214" i="42"/>
  <c r="V214" i="42"/>
  <c r="X214" i="42"/>
  <c r="C214" i="42"/>
  <c r="B214" i="42"/>
  <c r="N213" i="42"/>
  <c r="G213" i="42"/>
  <c r="V213" i="42"/>
  <c r="X213" i="42"/>
  <c r="C213" i="42"/>
  <c r="B213" i="42"/>
  <c r="N212" i="42"/>
  <c r="G212" i="42"/>
  <c r="V212" i="42"/>
  <c r="X212" i="42"/>
  <c r="C212" i="42"/>
  <c r="B212" i="42"/>
  <c r="N211" i="42"/>
  <c r="G211" i="42"/>
  <c r="V211" i="42"/>
  <c r="X211" i="42"/>
  <c r="C211" i="42"/>
  <c r="B211" i="42"/>
  <c r="N210" i="42"/>
  <c r="G210" i="42"/>
  <c r="V210" i="42"/>
  <c r="X210" i="42"/>
  <c r="C210" i="42"/>
  <c r="B210" i="42"/>
  <c r="N209" i="42"/>
  <c r="G209" i="42"/>
  <c r="V209" i="42"/>
  <c r="X209" i="42"/>
  <c r="C209" i="42"/>
  <c r="B209" i="42"/>
  <c r="N208" i="42"/>
  <c r="G208" i="42"/>
  <c r="V208" i="42"/>
  <c r="X208" i="42"/>
  <c r="C208" i="42"/>
  <c r="B208" i="42"/>
  <c r="N207" i="42"/>
  <c r="G207" i="42"/>
  <c r="V207" i="42"/>
  <c r="X207" i="42"/>
  <c r="C207" i="42"/>
  <c r="B207" i="42"/>
  <c r="N206" i="42"/>
  <c r="G206" i="42"/>
  <c r="V206" i="42"/>
  <c r="X206" i="42"/>
  <c r="C206" i="42"/>
  <c r="B206" i="42"/>
  <c r="N205" i="42"/>
  <c r="G205" i="42"/>
  <c r="V205" i="42"/>
  <c r="X205" i="42"/>
  <c r="C205" i="42"/>
  <c r="B205" i="42"/>
  <c r="N204" i="42"/>
  <c r="G204" i="42"/>
  <c r="V204" i="42"/>
  <c r="X204" i="42"/>
  <c r="C204" i="42"/>
  <c r="B204" i="42"/>
  <c r="N203" i="42"/>
  <c r="G203" i="42"/>
  <c r="V203" i="42"/>
  <c r="X203" i="42"/>
  <c r="C203" i="42"/>
  <c r="B203" i="42"/>
  <c r="N202" i="42"/>
  <c r="G202" i="42"/>
  <c r="V202" i="42"/>
  <c r="X202" i="42"/>
  <c r="C202" i="42"/>
  <c r="B202" i="42"/>
  <c r="N201" i="42"/>
  <c r="G201" i="42"/>
  <c r="V201" i="42"/>
  <c r="X201" i="42"/>
  <c r="C201" i="42"/>
  <c r="B201" i="42"/>
  <c r="N200" i="42"/>
  <c r="G200" i="42"/>
  <c r="V200" i="42"/>
  <c r="X200" i="42"/>
  <c r="C200" i="42"/>
  <c r="B200" i="42"/>
  <c r="N199" i="42"/>
  <c r="G199" i="42"/>
  <c r="V199" i="42"/>
  <c r="X199" i="42"/>
  <c r="C199" i="42"/>
  <c r="B199" i="42"/>
  <c r="N198" i="42"/>
  <c r="G198" i="42"/>
  <c r="V198" i="42"/>
  <c r="X198" i="42"/>
  <c r="C198" i="42"/>
  <c r="B198" i="42"/>
  <c r="N197" i="42"/>
  <c r="G197" i="42"/>
  <c r="V197" i="42"/>
  <c r="X197" i="42"/>
  <c r="C197" i="42"/>
  <c r="B197" i="42"/>
  <c r="N196" i="42"/>
  <c r="G196" i="42"/>
  <c r="V196" i="42"/>
  <c r="X196" i="42"/>
  <c r="C196" i="42"/>
  <c r="B196" i="42"/>
  <c r="N195" i="42"/>
  <c r="G195" i="42"/>
  <c r="V195" i="42"/>
  <c r="X195" i="42"/>
  <c r="C195" i="42"/>
  <c r="B195" i="42"/>
  <c r="N194" i="42"/>
  <c r="G194" i="42"/>
  <c r="V194" i="42"/>
  <c r="X194" i="42"/>
  <c r="C194" i="42"/>
  <c r="B194" i="42"/>
  <c r="N193" i="42"/>
  <c r="G193" i="42"/>
  <c r="V193" i="42"/>
  <c r="X193" i="42"/>
  <c r="C193" i="42"/>
  <c r="B193" i="42"/>
  <c r="N192" i="42"/>
  <c r="G192" i="42"/>
  <c r="V192" i="42"/>
  <c r="X192" i="42"/>
  <c r="C192" i="42"/>
  <c r="B192" i="42"/>
  <c r="N191" i="42"/>
  <c r="G191" i="42"/>
  <c r="V191" i="42"/>
  <c r="X191" i="42"/>
  <c r="C191" i="42"/>
  <c r="B191" i="42"/>
  <c r="N190" i="42"/>
  <c r="G190" i="42"/>
  <c r="V190" i="42"/>
  <c r="X190" i="42"/>
  <c r="C190" i="42"/>
  <c r="B190" i="42"/>
  <c r="N189" i="42"/>
  <c r="G189" i="42"/>
  <c r="V189" i="42"/>
  <c r="X189" i="42"/>
  <c r="C189" i="42"/>
  <c r="B189" i="42"/>
  <c r="N188" i="42"/>
  <c r="G188" i="42"/>
  <c r="V188" i="42"/>
  <c r="X188" i="42"/>
  <c r="C188" i="42"/>
  <c r="B188" i="42"/>
  <c r="N187" i="42"/>
  <c r="G187" i="42"/>
  <c r="V187" i="42"/>
  <c r="X187" i="42"/>
  <c r="C187" i="42"/>
  <c r="B187" i="42"/>
  <c r="N186" i="42"/>
  <c r="G186" i="42"/>
  <c r="V186" i="42"/>
  <c r="X186" i="42"/>
  <c r="C186" i="42"/>
  <c r="B186" i="42"/>
  <c r="N185" i="42"/>
  <c r="G185" i="42"/>
  <c r="V185" i="42"/>
  <c r="X185" i="42"/>
  <c r="C185" i="42"/>
  <c r="B185" i="42"/>
  <c r="N184" i="42"/>
  <c r="G184" i="42"/>
  <c r="V184" i="42"/>
  <c r="X184" i="42"/>
  <c r="C184" i="42"/>
  <c r="B184" i="42"/>
  <c r="N183" i="42"/>
  <c r="G183" i="42"/>
  <c r="V183" i="42"/>
  <c r="X183" i="42"/>
  <c r="C183" i="42"/>
  <c r="B183" i="42"/>
  <c r="N182" i="42"/>
  <c r="G182" i="42"/>
  <c r="V182" i="42"/>
  <c r="X182" i="42"/>
  <c r="C182" i="42"/>
  <c r="B182" i="42"/>
  <c r="N181" i="42"/>
  <c r="G181" i="42"/>
  <c r="V181" i="42"/>
  <c r="X181" i="42"/>
  <c r="C181" i="42"/>
  <c r="B181" i="42"/>
  <c r="N180" i="42"/>
  <c r="G180" i="42"/>
  <c r="V180" i="42"/>
  <c r="X180" i="42"/>
  <c r="C180" i="42"/>
  <c r="B180" i="42"/>
  <c r="N179" i="42"/>
  <c r="G179" i="42"/>
  <c r="V179" i="42"/>
  <c r="X179" i="42"/>
  <c r="C179" i="42"/>
  <c r="B179" i="42"/>
  <c r="N178" i="42"/>
  <c r="G178" i="42"/>
  <c r="V178" i="42"/>
  <c r="X178" i="42"/>
  <c r="C178" i="42"/>
  <c r="B178" i="42"/>
  <c r="N177" i="42"/>
  <c r="G177" i="42"/>
  <c r="V177" i="42"/>
  <c r="X177" i="42"/>
  <c r="C177" i="42"/>
  <c r="B177" i="42"/>
  <c r="N176" i="42"/>
  <c r="G176" i="42"/>
  <c r="V176" i="42"/>
  <c r="X176" i="42"/>
  <c r="C176" i="42"/>
  <c r="B176" i="42"/>
  <c r="N175" i="42"/>
  <c r="G175" i="42"/>
  <c r="V175" i="42"/>
  <c r="X175" i="42"/>
  <c r="C175" i="42"/>
  <c r="B175" i="42"/>
  <c r="N174" i="42"/>
  <c r="G174" i="42"/>
  <c r="V174" i="42"/>
  <c r="X174" i="42"/>
  <c r="C174" i="42"/>
  <c r="B174" i="42"/>
  <c r="N173" i="42"/>
  <c r="G173" i="42"/>
  <c r="V173" i="42"/>
  <c r="X173" i="42"/>
  <c r="C173" i="42"/>
  <c r="B173" i="42"/>
  <c r="N172" i="42"/>
  <c r="G172" i="42"/>
  <c r="V172" i="42"/>
  <c r="X172" i="42"/>
  <c r="C172" i="42"/>
  <c r="B172" i="42"/>
  <c r="N171" i="42"/>
  <c r="G171" i="42"/>
  <c r="V171" i="42"/>
  <c r="X171" i="42"/>
  <c r="C171" i="42"/>
  <c r="B171" i="42"/>
  <c r="N170" i="42"/>
  <c r="G170" i="42"/>
  <c r="V170" i="42"/>
  <c r="X170" i="42"/>
  <c r="C170" i="42"/>
  <c r="B170" i="42"/>
  <c r="N169" i="42"/>
  <c r="G169" i="42"/>
  <c r="V169" i="42"/>
  <c r="X169" i="42"/>
  <c r="C169" i="42"/>
  <c r="B169" i="42"/>
  <c r="N168" i="42"/>
  <c r="G168" i="42"/>
  <c r="V168" i="42"/>
  <c r="X168" i="42"/>
  <c r="C168" i="42"/>
  <c r="B168" i="42"/>
  <c r="N167" i="42"/>
  <c r="G167" i="42"/>
  <c r="V167" i="42"/>
  <c r="X167" i="42"/>
  <c r="C167" i="42"/>
  <c r="B167" i="42"/>
  <c r="N166" i="42"/>
  <c r="G166" i="42"/>
  <c r="V166" i="42"/>
  <c r="X166" i="42"/>
  <c r="C166" i="42"/>
  <c r="B166" i="42"/>
  <c r="N165" i="42"/>
  <c r="G165" i="42"/>
  <c r="V165" i="42"/>
  <c r="X165" i="42"/>
  <c r="C165" i="42"/>
  <c r="B165" i="42"/>
  <c r="N164" i="42"/>
  <c r="G164" i="42"/>
  <c r="V164" i="42"/>
  <c r="X164" i="42"/>
  <c r="C164" i="42"/>
  <c r="B164" i="42"/>
  <c r="N163" i="42"/>
  <c r="G163" i="42"/>
  <c r="V163" i="42"/>
  <c r="X163" i="42"/>
  <c r="C163" i="42"/>
  <c r="B163" i="42"/>
  <c r="N162" i="42"/>
  <c r="G162" i="42"/>
  <c r="V162" i="42"/>
  <c r="X162" i="42"/>
  <c r="C162" i="42"/>
  <c r="B162" i="42"/>
  <c r="N161" i="42"/>
  <c r="G161" i="42"/>
  <c r="V161" i="42"/>
  <c r="X161" i="42"/>
  <c r="C161" i="42"/>
  <c r="B161" i="42"/>
  <c r="N160" i="42"/>
  <c r="G160" i="42"/>
  <c r="V160" i="42"/>
  <c r="X160" i="42"/>
  <c r="C160" i="42"/>
  <c r="B160" i="42"/>
  <c r="N159" i="42"/>
  <c r="G159" i="42"/>
  <c r="V159" i="42"/>
  <c r="X159" i="42"/>
  <c r="C159" i="42"/>
  <c r="B159" i="42"/>
  <c r="N158" i="42"/>
  <c r="G158" i="42"/>
  <c r="V158" i="42"/>
  <c r="X158" i="42"/>
  <c r="C158" i="42"/>
  <c r="B158" i="42"/>
  <c r="N157" i="42"/>
  <c r="G157" i="42"/>
  <c r="V157" i="42"/>
  <c r="X157" i="42"/>
  <c r="C157" i="42"/>
  <c r="B157" i="42"/>
  <c r="N156" i="42"/>
  <c r="G156" i="42"/>
  <c r="V156" i="42"/>
  <c r="X156" i="42"/>
  <c r="C156" i="42"/>
  <c r="B156" i="42"/>
  <c r="N155" i="42"/>
  <c r="G155" i="42"/>
  <c r="V155" i="42"/>
  <c r="X155" i="42"/>
  <c r="C155" i="42"/>
  <c r="B155" i="42"/>
  <c r="N154" i="42"/>
  <c r="G154" i="42"/>
  <c r="V154" i="42"/>
  <c r="X154" i="42"/>
  <c r="C154" i="42"/>
  <c r="B154" i="42"/>
  <c r="N153" i="42"/>
  <c r="G153" i="42"/>
  <c r="V153" i="42"/>
  <c r="X153" i="42"/>
  <c r="C153" i="42"/>
  <c r="B153" i="42"/>
  <c r="N152" i="42"/>
  <c r="G152" i="42"/>
  <c r="V152" i="42"/>
  <c r="X152" i="42"/>
  <c r="C152" i="42"/>
  <c r="B152" i="42"/>
  <c r="N151" i="42"/>
  <c r="G151" i="42"/>
  <c r="V151" i="42"/>
  <c r="X151" i="42"/>
  <c r="C151" i="42"/>
  <c r="B151" i="42"/>
  <c r="N150" i="42"/>
  <c r="G150" i="42"/>
  <c r="V150" i="42"/>
  <c r="X150" i="42"/>
  <c r="C150" i="42"/>
  <c r="B150" i="42"/>
  <c r="N149" i="42"/>
  <c r="G149" i="42"/>
  <c r="V149" i="42"/>
  <c r="X149" i="42"/>
  <c r="C149" i="42"/>
  <c r="B149" i="42"/>
  <c r="N148" i="42"/>
  <c r="G148" i="42"/>
  <c r="V148" i="42"/>
  <c r="X148" i="42"/>
  <c r="C148" i="42"/>
  <c r="B148" i="42"/>
  <c r="N147" i="42"/>
  <c r="G147" i="42"/>
  <c r="V147" i="42"/>
  <c r="X147" i="42"/>
  <c r="C147" i="42"/>
  <c r="B147" i="42"/>
  <c r="N146" i="42"/>
  <c r="G146" i="42"/>
  <c r="V146" i="42"/>
  <c r="X146" i="42"/>
  <c r="C146" i="42"/>
  <c r="B146" i="42"/>
  <c r="N145" i="42"/>
  <c r="G145" i="42"/>
  <c r="V145" i="42"/>
  <c r="X145" i="42"/>
  <c r="C145" i="42"/>
  <c r="B145" i="42"/>
  <c r="N144" i="42"/>
  <c r="G144" i="42"/>
  <c r="V144" i="42"/>
  <c r="X144" i="42"/>
  <c r="C144" i="42"/>
  <c r="B144" i="42"/>
  <c r="N143" i="42"/>
  <c r="G143" i="42"/>
  <c r="V143" i="42"/>
  <c r="X143" i="42"/>
  <c r="C143" i="42"/>
  <c r="B143" i="42"/>
  <c r="N142" i="42"/>
  <c r="G142" i="42"/>
  <c r="V142" i="42"/>
  <c r="X142" i="42"/>
  <c r="C142" i="42"/>
  <c r="B142" i="42"/>
  <c r="N141" i="42"/>
  <c r="G141" i="42"/>
  <c r="V141" i="42"/>
  <c r="X141" i="42"/>
  <c r="C141" i="42"/>
  <c r="B141" i="42"/>
  <c r="N140" i="42"/>
  <c r="G140" i="42"/>
  <c r="V140" i="42"/>
  <c r="X140" i="42"/>
  <c r="C140" i="42"/>
  <c r="B140" i="42"/>
  <c r="N139" i="42"/>
  <c r="G139" i="42"/>
  <c r="V139" i="42"/>
  <c r="X139" i="42"/>
  <c r="C139" i="42"/>
  <c r="B139" i="42"/>
  <c r="N138" i="42"/>
  <c r="G138" i="42"/>
  <c r="V138" i="42"/>
  <c r="X138" i="42"/>
  <c r="C138" i="42"/>
  <c r="B138" i="42"/>
  <c r="N137" i="42"/>
  <c r="G137" i="42"/>
  <c r="V137" i="42"/>
  <c r="X137" i="42"/>
  <c r="C137" i="42"/>
  <c r="B137" i="42"/>
  <c r="N136" i="42"/>
  <c r="G136" i="42"/>
  <c r="V136" i="42"/>
  <c r="X136" i="42"/>
  <c r="C136" i="42"/>
  <c r="B136" i="42"/>
  <c r="N135" i="42"/>
  <c r="G135" i="42"/>
  <c r="V135" i="42"/>
  <c r="X135" i="42"/>
  <c r="C135" i="42"/>
  <c r="B135" i="42"/>
  <c r="N134" i="42"/>
  <c r="G134" i="42"/>
  <c r="V134" i="42"/>
  <c r="X134" i="42"/>
  <c r="C134" i="42"/>
  <c r="B134" i="42"/>
  <c r="N133" i="42"/>
  <c r="G133" i="42"/>
  <c r="V133" i="42"/>
  <c r="X133" i="42"/>
  <c r="C133" i="42"/>
  <c r="B133" i="42"/>
  <c r="N132" i="42"/>
  <c r="G132" i="42"/>
  <c r="V132" i="42"/>
  <c r="X132" i="42"/>
  <c r="C132" i="42"/>
  <c r="B132" i="42"/>
  <c r="N131" i="42"/>
  <c r="G131" i="42"/>
  <c r="V131" i="42"/>
  <c r="X131" i="42"/>
  <c r="C131" i="42"/>
  <c r="B131" i="42"/>
  <c r="N130" i="42"/>
  <c r="G130" i="42"/>
  <c r="V130" i="42"/>
  <c r="X130" i="42"/>
  <c r="C130" i="42"/>
  <c r="B130" i="42"/>
  <c r="N129" i="42"/>
  <c r="G129" i="42"/>
  <c r="V129" i="42"/>
  <c r="X129" i="42"/>
  <c r="C129" i="42"/>
  <c r="B129" i="42"/>
  <c r="N128" i="42"/>
  <c r="G128" i="42"/>
  <c r="V128" i="42"/>
  <c r="X128" i="42"/>
  <c r="C128" i="42"/>
  <c r="B128" i="42"/>
  <c r="N127" i="42"/>
  <c r="G127" i="42"/>
  <c r="V127" i="42"/>
  <c r="X127" i="42"/>
  <c r="C127" i="42"/>
  <c r="B127" i="42"/>
  <c r="N126" i="42"/>
  <c r="G126" i="42"/>
  <c r="V126" i="42"/>
  <c r="X126" i="42"/>
  <c r="C126" i="42"/>
  <c r="B126" i="42"/>
  <c r="N125" i="42"/>
  <c r="G125" i="42"/>
  <c r="V125" i="42"/>
  <c r="X125" i="42"/>
  <c r="C125" i="42"/>
  <c r="B125" i="42"/>
  <c r="N124" i="42"/>
  <c r="G124" i="42"/>
  <c r="V124" i="42"/>
  <c r="X124" i="42"/>
  <c r="C124" i="42"/>
  <c r="B124" i="42"/>
  <c r="N123" i="42"/>
  <c r="G123" i="42"/>
  <c r="V123" i="42"/>
  <c r="X123" i="42"/>
  <c r="C123" i="42"/>
  <c r="B123" i="42"/>
  <c r="N122" i="42"/>
  <c r="G122" i="42"/>
  <c r="V122" i="42"/>
  <c r="X122" i="42"/>
  <c r="C122" i="42"/>
  <c r="B122" i="42"/>
  <c r="N121" i="42"/>
  <c r="G121" i="42"/>
  <c r="V121" i="42"/>
  <c r="X121" i="42"/>
  <c r="C121" i="42"/>
  <c r="B121" i="42"/>
  <c r="N120" i="42"/>
  <c r="G120" i="42"/>
  <c r="V120" i="42"/>
  <c r="X120" i="42"/>
  <c r="C120" i="42"/>
  <c r="B120" i="42"/>
  <c r="N119" i="42"/>
  <c r="G119" i="42"/>
  <c r="V119" i="42"/>
  <c r="X119" i="42"/>
  <c r="C119" i="42"/>
  <c r="B119" i="42"/>
  <c r="N118" i="42"/>
  <c r="G118" i="42"/>
  <c r="V118" i="42"/>
  <c r="X118" i="42"/>
  <c r="C118" i="42"/>
  <c r="B118" i="42"/>
  <c r="N117" i="42"/>
  <c r="G117" i="42"/>
  <c r="V117" i="42"/>
  <c r="X117" i="42"/>
  <c r="C117" i="42"/>
  <c r="B117" i="42"/>
  <c r="N116" i="42"/>
  <c r="G116" i="42"/>
  <c r="V116" i="42"/>
  <c r="X116" i="42"/>
  <c r="C116" i="42"/>
  <c r="B116" i="42"/>
  <c r="N115" i="42"/>
  <c r="G115" i="42"/>
  <c r="V115" i="42"/>
  <c r="X115" i="42"/>
  <c r="C115" i="42"/>
  <c r="B115" i="42"/>
  <c r="N114" i="42"/>
  <c r="G114" i="42"/>
  <c r="V114" i="42"/>
  <c r="X114" i="42"/>
  <c r="C114" i="42"/>
  <c r="B114" i="42"/>
  <c r="N113" i="42"/>
  <c r="G113" i="42"/>
  <c r="V113" i="42"/>
  <c r="X113" i="42"/>
  <c r="C113" i="42"/>
  <c r="B113" i="42"/>
  <c r="N112" i="42"/>
  <c r="G112" i="42"/>
  <c r="V112" i="42"/>
  <c r="X112" i="42"/>
  <c r="C112" i="42"/>
  <c r="B112" i="42"/>
  <c r="N111" i="42"/>
  <c r="G111" i="42"/>
  <c r="V111" i="42"/>
  <c r="X111" i="42"/>
  <c r="C111" i="42"/>
  <c r="B111" i="42"/>
  <c r="N110" i="42"/>
  <c r="G110" i="42"/>
  <c r="V110" i="42"/>
  <c r="X110" i="42"/>
  <c r="C110" i="42"/>
  <c r="B110" i="42"/>
  <c r="N109" i="42"/>
  <c r="G109" i="42"/>
  <c r="V109" i="42"/>
  <c r="X109" i="42"/>
  <c r="C109" i="42"/>
  <c r="B109" i="42"/>
  <c r="N108" i="42"/>
  <c r="G108" i="42"/>
  <c r="V108" i="42"/>
  <c r="X108" i="42"/>
  <c r="C108" i="42"/>
  <c r="B108" i="42"/>
  <c r="N107" i="42"/>
  <c r="G107" i="42"/>
  <c r="V107" i="42"/>
  <c r="X107" i="42"/>
  <c r="C107" i="42"/>
  <c r="B107" i="42"/>
  <c r="N106" i="42"/>
  <c r="G106" i="42"/>
  <c r="V106" i="42"/>
  <c r="X106" i="42"/>
  <c r="C106" i="42"/>
  <c r="B106" i="42"/>
  <c r="N105" i="42"/>
  <c r="G105" i="42"/>
  <c r="V105" i="42"/>
  <c r="X105" i="42"/>
  <c r="C105" i="42"/>
  <c r="B105" i="42"/>
  <c r="N104" i="42"/>
  <c r="G104" i="42"/>
  <c r="V104" i="42"/>
  <c r="X104" i="42"/>
  <c r="C104" i="42"/>
  <c r="B104" i="42"/>
  <c r="N103" i="42"/>
  <c r="G103" i="42"/>
  <c r="V103" i="42"/>
  <c r="X103" i="42"/>
  <c r="C103" i="42"/>
  <c r="B103" i="42"/>
  <c r="N102" i="42"/>
  <c r="G102" i="42"/>
  <c r="V102" i="42"/>
  <c r="X102" i="42"/>
  <c r="C102" i="42"/>
  <c r="B102" i="42"/>
  <c r="N101" i="42"/>
  <c r="G101" i="42"/>
  <c r="V101" i="42"/>
  <c r="X101" i="42"/>
  <c r="C101" i="42"/>
  <c r="B101" i="42"/>
  <c r="N100" i="42"/>
  <c r="G100" i="42"/>
  <c r="V100" i="42"/>
  <c r="X100" i="42"/>
  <c r="C100" i="42"/>
  <c r="B100" i="42"/>
  <c r="N99" i="42"/>
  <c r="G99" i="42"/>
  <c r="V99" i="42"/>
  <c r="X99" i="42"/>
  <c r="C99" i="42"/>
  <c r="B99" i="42"/>
  <c r="N98" i="42"/>
  <c r="G98" i="42"/>
  <c r="V98" i="42"/>
  <c r="X98" i="42"/>
  <c r="C98" i="42"/>
  <c r="B98" i="42"/>
  <c r="N97" i="42"/>
  <c r="G97" i="42"/>
  <c r="V97" i="42"/>
  <c r="X97" i="42"/>
  <c r="C97" i="42"/>
  <c r="B97" i="42"/>
  <c r="N96" i="42"/>
  <c r="G96" i="42"/>
  <c r="V96" i="42"/>
  <c r="X96" i="42"/>
  <c r="C96" i="42"/>
  <c r="B96" i="42"/>
  <c r="N95" i="42"/>
  <c r="G95" i="42"/>
  <c r="V95" i="42"/>
  <c r="X95" i="42"/>
  <c r="C95" i="42"/>
  <c r="B95" i="42"/>
  <c r="N94" i="42"/>
  <c r="G94" i="42"/>
  <c r="V94" i="42"/>
  <c r="X94" i="42"/>
  <c r="C94" i="42"/>
  <c r="B94" i="42"/>
  <c r="N93" i="42"/>
  <c r="G93" i="42"/>
  <c r="V93" i="42"/>
  <c r="X93" i="42"/>
  <c r="C93" i="42"/>
  <c r="B93" i="42"/>
  <c r="N92" i="42"/>
  <c r="G92" i="42"/>
  <c r="V92" i="42"/>
  <c r="X92" i="42"/>
  <c r="C92" i="42"/>
  <c r="B92" i="42"/>
  <c r="N91" i="42"/>
  <c r="G91" i="42"/>
  <c r="V91" i="42"/>
  <c r="X91" i="42"/>
  <c r="C91" i="42"/>
  <c r="B91" i="42"/>
  <c r="N90" i="42"/>
  <c r="G90" i="42"/>
  <c r="V90" i="42"/>
  <c r="X90" i="42"/>
  <c r="C90" i="42"/>
  <c r="B90" i="42"/>
  <c r="N89" i="42"/>
  <c r="G89" i="42"/>
  <c r="V89" i="42"/>
  <c r="X89" i="42"/>
  <c r="C89" i="42"/>
  <c r="B89" i="42"/>
  <c r="N88" i="42"/>
  <c r="G88" i="42"/>
  <c r="V88" i="42"/>
  <c r="X88" i="42"/>
  <c r="C88" i="42"/>
  <c r="B88" i="42"/>
  <c r="N87" i="42"/>
  <c r="G87" i="42"/>
  <c r="V87" i="42"/>
  <c r="X87" i="42"/>
  <c r="C87" i="42"/>
  <c r="B87" i="42"/>
  <c r="N86" i="42"/>
  <c r="G86" i="42"/>
  <c r="V86" i="42"/>
  <c r="X86" i="42"/>
  <c r="C86" i="42"/>
  <c r="B86" i="42"/>
  <c r="N85" i="42"/>
  <c r="G85" i="42"/>
  <c r="V85" i="42"/>
  <c r="X85" i="42"/>
  <c r="C85" i="42"/>
  <c r="B85" i="42"/>
  <c r="N84" i="42"/>
  <c r="G84" i="42"/>
  <c r="V84" i="42"/>
  <c r="X84" i="42"/>
  <c r="C84" i="42"/>
  <c r="B84" i="42"/>
  <c r="N83" i="42"/>
  <c r="G83" i="42"/>
  <c r="V83" i="42"/>
  <c r="X83" i="42"/>
  <c r="C83" i="42"/>
  <c r="B83" i="42"/>
  <c r="N82" i="42"/>
  <c r="G82" i="42"/>
  <c r="V82" i="42"/>
  <c r="X82" i="42"/>
  <c r="C82" i="42"/>
  <c r="B82" i="42"/>
  <c r="N81" i="42"/>
  <c r="G81" i="42"/>
  <c r="V81" i="42"/>
  <c r="X81" i="42"/>
  <c r="C81" i="42"/>
  <c r="B81" i="42"/>
  <c r="N80" i="42"/>
  <c r="G80" i="42"/>
  <c r="V80" i="42"/>
  <c r="X80" i="42"/>
  <c r="C80" i="42"/>
  <c r="B80" i="42"/>
  <c r="N79" i="42"/>
  <c r="G79" i="42"/>
  <c r="V79" i="42"/>
  <c r="X79" i="42"/>
  <c r="C79" i="42"/>
  <c r="B79" i="42"/>
  <c r="N78" i="42"/>
  <c r="G78" i="42"/>
  <c r="V78" i="42"/>
  <c r="X78" i="42"/>
  <c r="C78" i="42"/>
  <c r="B78" i="42"/>
  <c r="N77" i="42"/>
  <c r="G77" i="42"/>
  <c r="V77" i="42"/>
  <c r="X77" i="42"/>
  <c r="C77" i="42"/>
  <c r="B77" i="42"/>
  <c r="N76" i="42"/>
  <c r="G76" i="42"/>
  <c r="V76" i="42"/>
  <c r="X76" i="42"/>
  <c r="C76" i="42"/>
  <c r="B76" i="42"/>
  <c r="G211" i="35"/>
  <c r="I211" i="35"/>
  <c r="J211" i="35"/>
  <c r="K211" i="35"/>
  <c r="W76" i="40"/>
  <c r="X515" i="40"/>
  <c r="G395" i="35"/>
  <c r="I395" i="35"/>
  <c r="J395" i="35"/>
  <c r="K395" i="35"/>
  <c r="X514" i="40"/>
  <c r="G504" i="35"/>
  <c r="I504" i="35"/>
  <c r="J504" i="35"/>
  <c r="K504" i="35"/>
  <c r="X513" i="40"/>
  <c r="G475" i="35"/>
  <c r="I475" i="35"/>
  <c r="J475" i="35"/>
  <c r="K475" i="35"/>
  <c r="X512" i="40"/>
  <c r="G490" i="35"/>
  <c r="I490" i="35"/>
  <c r="J490" i="35"/>
  <c r="K490" i="35"/>
  <c r="X511" i="40"/>
  <c r="G524" i="35"/>
  <c r="I524" i="35"/>
  <c r="J524" i="35"/>
  <c r="K524" i="35"/>
  <c r="X510" i="40"/>
  <c r="G553" i="35"/>
  <c r="I553" i="35"/>
  <c r="J553" i="35"/>
  <c r="K553" i="35"/>
  <c r="X509" i="40"/>
  <c r="G519" i="35"/>
  <c r="I519" i="35"/>
  <c r="J519" i="35"/>
  <c r="K519" i="35"/>
  <c r="X508" i="40"/>
  <c r="G399" i="35"/>
  <c r="I399" i="35"/>
  <c r="J399" i="35"/>
  <c r="K399" i="35"/>
  <c r="X507" i="40"/>
  <c r="G529" i="35"/>
  <c r="I529" i="35"/>
  <c r="J529" i="35"/>
  <c r="K529" i="35"/>
  <c r="X506" i="40"/>
  <c r="G468" i="35"/>
  <c r="I468" i="35"/>
  <c r="J468" i="35"/>
  <c r="K468" i="35"/>
  <c r="X505" i="40"/>
  <c r="G510" i="35"/>
  <c r="I510" i="35"/>
  <c r="J510" i="35"/>
  <c r="K510" i="35"/>
  <c r="X504" i="40"/>
  <c r="G493" i="35"/>
  <c r="I493" i="35"/>
  <c r="J493" i="35"/>
  <c r="K493" i="35"/>
  <c r="X503" i="40"/>
  <c r="G472" i="35"/>
  <c r="I472" i="35"/>
  <c r="J472" i="35"/>
  <c r="K472" i="35"/>
  <c r="X502" i="40"/>
  <c r="G413" i="35"/>
  <c r="I413" i="35"/>
  <c r="J413" i="35"/>
  <c r="K413" i="35"/>
  <c r="X501" i="40"/>
  <c r="G502" i="35"/>
  <c r="I502" i="35"/>
  <c r="J502" i="35"/>
  <c r="K502" i="35"/>
  <c r="X500" i="40"/>
  <c r="G561" i="35"/>
  <c r="I561" i="35"/>
  <c r="J561" i="35"/>
  <c r="K561" i="35"/>
  <c r="X499" i="40"/>
  <c r="G489" i="35"/>
  <c r="I489" i="35"/>
  <c r="J489" i="35"/>
  <c r="K489" i="35"/>
  <c r="X498" i="40"/>
  <c r="G380" i="35"/>
  <c r="I380" i="35"/>
  <c r="J380" i="35"/>
  <c r="K380" i="35"/>
  <c r="X497" i="40"/>
  <c r="G526" i="35"/>
  <c r="I526" i="35"/>
  <c r="J526" i="35"/>
  <c r="K526" i="35"/>
  <c r="X496" i="40"/>
  <c r="G369" i="35"/>
  <c r="I369" i="35"/>
  <c r="J369" i="35"/>
  <c r="K369" i="35"/>
  <c r="X495" i="40"/>
  <c r="G387" i="35"/>
  <c r="I387" i="35"/>
  <c r="J387" i="35"/>
  <c r="K387" i="35"/>
  <c r="X494" i="40"/>
  <c r="G564" i="35"/>
  <c r="I564" i="35"/>
  <c r="J564" i="35"/>
  <c r="K564" i="35"/>
  <c r="X493" i="40"/>
  <c r="G345" i="35"/>
  <c r="I345" i="35"/>
  <c r="J345" i="35"/>
  <c r="K345" i="35"/>
  <c r="X492" i="40"/>
  <c r="G562" i="35"/>
  <c r="I562" i="35"/>
  <c r="J562" i="35"/>
  <c r="K562" i="35"/>
  <c r="X491" i="40"/>
  <c r="G508" i="35"/>
  <c r="I508" i="35"/>
  <c r="J508" i="35"/>
  <c r="K508" i="35"/>
  <c r="X490" i="40"/>
  <c r="G479" i="35"/>
  <c r="I479" i="35"/>
  <c r="J479" i="35"/>
  <c r="K479" i="35"/>
  <c r="X489" i="40"/>
  <c r="G491" i="35"/>
  <c r="I491" i="35"/>
  <c r="J491" i="35"/>
  <c r="K491" i="35"/>
  <c r="X488" i="40"/>
  <c r="X487" i="40"/>
  <c r="G391" i="35"/>
  <c r="I391" i="35"/>
  <c r="J391" i="35"/>
  <c r="K391" i="35"/>
  <c r="X486" i="40"/>
  <c r="G473" i="35"/>
  <c r="I473" i="35"/>
  <c r="J473" i="35"/>
  <c r="K473" i="35"/>
  <c r="X485" i="40"/>
  <c r="G547" i="35"/>
  <c r="I547" i="35"/>
  <c r="J547" i="35"/>
  <c r="K547" i="35"/>
  <c r="X484" i="40"/>
  <c r="G540" i="35"/>
  <c r="I540" i="35"/>
  <c r="J540" i="35"/>
  <c r="K540" i="35"/>
  <c r="X483" i="40"/>
  <c r="G537" i="35"/>
  <c r="I537" i="35"/>
  <c r="J537" i="35"/>
  <c r="K537" i="35"/>
  <c r="X482" i="40"/>
  <c r="G496" i="35"/>
  <c r="I496" i="35"/>
  <c r="J496" i="35"/>
  <c r="K496" i="35"/>
  <c r="X481" i="40"/>
  <c r="X480" i="40"/>
  <c r="G532" i="35"/>
  <c r="I532" i="35"/>
  <c r="J532" i="35"/>
  <c r="K532" i="35"/>
  <c r="X479" i="40"/>
  <c r="X478" i="40"/>
  <c r="G551" i="35"/>
  <c r="I551" i="35"/>
  <c r="J551" i="35"/>
  <c r="K551" i="35"/>
  <c r="X477" i="40"/>
  <c r="G349" i="35"/>
  <c r="I349" i="35"/>
  <c r="J349" i="35"/>
  <c r="K349" i="35"/>
  <c r="X476" i="40"/>
  <c r="G528" i="35"/>
  <c r="I528" i="35"/>
  <c r="J528" i="35"/>
  <c r="K528" i="35"/>
  <c r="X475" i="40"/>
  <c r="G505" i="35"/>
  <c r="I505" i="35"/>
  <c r="J505" i="35"/>
  <c r="K505" i="35"/>
  <c r="X474" i="40"/>
  <c r="G571" i="35"/>
  <c r="I571" i="35"/>
  <c r="J571" i="35"/>
  <c r="K571" i="35"/>
  <c r="X473" i="40"/>
  <c r="X472" i="40"/>
  <c r="G431" i="35"/>
  <c r="I431" i="35"/>
  <c r="J431" i="35"/>
  <c r="K431" i="35"/>
  <c r="X471" i="40"/>
  <c r="G352" i="35"/>
  <c r="I352" i="35"/>
  <c r="J352" i="35"/>
  <c r="K352" i="35"/>
  <c r="X470" i="40"/>
  <c r="G555" i="35"/>
  <c r="I555" i="35"/>
  <c r="J555" i="35"/>
  <c r="K555" i="35"/>
  <c r="X469" i="40"/>
  <c r="X468" i="40"/>
  <c r="X467" i="40"/>
  <c r="G498" i="35"/>
  <c r="I498" i="35"/>
  <c r="J498" i="35"/>
  <c r="K498" i="35"/>
  <c r="X466" i="40"/>
  <c r="G372" i="35"/>
  <c r="I372" i="35"/>
  <c r="J372" i="35"/>
  <c r="K372" i="35"/>
  <c r="X465" i="40"/>
  <c r="G642" i="35"/>
  <c r="I642" i="35"/>
  <c r="J642" i="35"/>
  <c r="K642" i="35"/>
  <c r="X464" i="40"/>
  <c r="X463" i="40"/>
  <c r="X462" i="40"/>
  <c r="G404" i="35"/>
  <c r="I404" i="35"/>
  <c r="J404" i="35"/>
  <c r="K404" i="35"/>
  <c r="X461" i="40"/>
  <c r="G424" i="35"/>
  <c r="I424" i="35"/>
  <c r="J424" i="35"/>
  <c r="K424" i="35"/>
  <c r="X460" i="40"/>
  <c r="G374" i="35"/>
  <c r="I374" i="35"/>
  <c r="J374" i="35"/>
  <c r="K374" i="35"/>
  <c r="X459" i="40"/>
  <c r="G403" i="35"/>
  <c r="I403" i="35"/>
  <c r="J403" i="35"/>
  <c r="K403" i="35"/>
  <c r="X458" i="40"/>
  <c r="G457" i="35"/>
  <c r="I457" i="35"/>
  <c r="J457" i="35"/>
  <c r="K457" i="35"/>
  <c r="X457" i="40"/>
  <c r="G426" i="35"/>
  <c r="I426" i="35"/>
  <c r="J426" i="35"/>
  <c r="K426" i="35"/>
  <c r="X456" i="40"/>
  <c r="G437" i="35"/>
  <c r="I437" i="35"/>
  <c r="J437" i="35"/>
  <c r="K437" i="35"/>
  <c r="X455" i="40"/>
  <c r="X454" i="40"/>
  <c r="G389" i="35"/>
  <c r="I389" i="35"/>
  <c r="J389" i="35"/>
  <c r="K389" i="35"/>
  <c r="X453" i="40"/>
  <c r="X452" i="40"/>
  <c r="G675" i="35"/>
  <c r="I675" i="35"/>
  <c r="J675" i="35"/>
  <c r="K675" i="35"/>
  <c r="X451" i="40"/>
  <c r="G485" i="35"/>
  <c r="I485" i="35"/>
  <c r="J485" i="35"/>
  <c r="K485" i="35"/>
  <c r="X450" i="40"/>
  <c r="G444" i="35"/>
  <c r="I444" i="35"/>
  <c r="J444" i="35"/>
  <c r="K444" i="35"/>
  <c r="X449" i="40"/>
  <c r="G514" i="35"/>
  <c r="I514" i="35"/>
  <c r="J514" i="35"/>
  <c r="K514" i="35"/>
  <c r="X448" i="40"/>
  <c r="G500" i="35"/>
  <c r="I500" i="35"/>
  <c r="J500" i="35"/>
  <c r="K500" i="35"/>
  <c r="X447" i="40"/>
  <c r="X446" i="40"/>
  <c r="X445" i="40"/>
  <c r="G525" i="35"/>
  <c r="I525" i="35"/>
  <c r="J525" i="35"/>
  <c r="K525" i="35"/>
  <c r="X444" i="40"/>
  <c r="G456" i="35"/>
  <c r="I456" i="35"/>
  <c r="J456" i="35"/>
  <c r="K456" i="35"/>
  <c r="X443" i="40"/>
  <c r="G393" i="35"/>
  <c r="I393" i="35"/>
  <c r="J393" i="35"/>
  <c r="K393" i="35"/>
  <c r="X442" i="40"/>
  <c r="G415" i="35"/>
  <c r="I415" i="35"/>
  <c r="J415" i="35"/>
  <c r="K415" i="35"/>
  <c r="X441" i="40"/>
  <c r="G476" i="35"/>
  <c r="I476" i="35"/>
  <c r="J476" i="35"/>
  <c r="K476" i="35"/>
  <c r="X440" i="40"/>
  <c r="G417" i="35"/>
  <c r="I417" i="35"/>
  <c r="J417" i="35"/>
  <c r="K417" i="35"/>
  <c r="X439" i="40"/>
  <c r="G363" i="35"/>
  <c r="I363" i="35"/>
  <c r="J363" i="35"/>
  <c r="K363" i="35"/>
  <c r="X438" i="40"/>
  <c r="X437" i="40"/>
  <c r="X436" i="40"/>
  <c r="G563" i="35"/>
  <c r="I563" i="35"/>
  <c r="J563" i="35"/>
  <c r="K563" i="35"/>
  <c r="X435" i="40"/>
  <c r="G559" i="35"/>
  <c r="I559" i="35"/>
  <c r="J559" i="35"/>
  <c r="K559" i="35"/>
  <c r="X434" i="40"/>
  <c r="G365" i="35"/>
  <c r="I365" i="35"/>
  <c r="J365" i="35"/>
  <c r="K365" i="35"/>
  <c r="X433" i="40"/>
  <c r="G495" i="35"/>
  <c r="I495" i="35"/>
  <c r="J495" i="35"/>
  <c r="K495" i="35"/>
  <c r="X432" i="40"/>
  <c r="G377" i="35"/>
  <c r="I377" i="35"/>
  <c r="J377" i="35"/>
  <c r="K377" i="35"/>
  <c r="X431" i="40"/>
  <c r="G379" i="35"/>
  <c r="I379" i="35"/>
  <c r="J379" i="35"/>
  <c r="K379" i="35"/>
  <c r="X430" i="40"/>
  <c r="G512" i="35"/>
  <c r="I512" i="35"/>
  <c r="J512" i="35"/>
  <c r="K512" i="35"/>
  <c r="X429" i="40"/>
  <c r="X428" i="40"/>
  <c r="X427" i="40"/>
  <c r="G359" i="35"/>
  <c r="I359" i="35"/>
  <c r="J359" i="35"/>
  <c r="K359" i="35"/>
  <c r="X426" i="40"/>
  <c r="G362" i="35"/>
  <c r="I362" i="35"/>
  <c r="J362" i="35"/>
  <c r="K362" i="35"/>
  <c r="X425" i="40"/>
  <c r="G371" i="35"/>
  <c r="I371" i="35"/>
  <c r="J371" i="35"/>
  <c r="K371" i="35"/>
  <c r="X424" i="40"/>
  <c r="J406" i="35"/>
  <c r="K406" i="35"/>
  <c r="X423" i="40"/>
  <c r="G383" i="35"/>
  <c r="I383" i="35"/>
  <c r="J383" i="35"/>
  <c r="K383" i="35"/>
  <c r="X422" i="40"/>
  <c r="X421" i="40"/>
  <c r="G356" i="35"/>
  <c r="I356" i="35"/>
  <c r="J356" i="35"/>
  <c r="K356" i="35"/>
  <c r="X420" i="40"/>
  <c r="G459" i="35"/>
  <c r="I459" i="35"/>
  <c r="J459" i="35"/>
  <c r="K459" i="35"/>
  <c r="X419" i="40"/>
  <c r="G411" i="35"/>
  <c r="I411" i="35"/>
  <c r="J411" i="35"/>
  <c r="K411" i="35"/>
  <c r="X418" i="40"/>
  <c r="G448" i="35"/>
  <c r="I448" i="35"/>
  <c r="J448" i="35"/>
  <c r="K448" i="35"/>
  <c r="X417" i="40"/>
  <c r="X416" i="40"/>
  <c r="X415" i="40"/>
  <c r="G445" i="35"/>
  <c r="I445" i="35"/>
  <c r="J445" i="35"/>
  <c r="K445" i="35"/>
  <c r="X414" i="40"/>
  <c r="G350" i="35"/>
  <c r="I350" i="35"/>
  <c r="J350" i="35"/>
  <c r="K350" i="35"/>
  <c r="X413" i="40"/>
  <c r="X412" i="40"/>
  <c r="G503" i="35"/>
  <c r="I503" i="35"/>
  <c r="J503" i="35"/>
  <c r="K503" i="35"/>
  <c r="X411" i="40"/>
  <c r="G530" i="35"/>
  <c r="I530" i="35"/>
  <c r="J530" i="35"/>
  <c r="K530" i="35"/>
  <c r="X410" i="40"/>
  <c r="G396" i="35"/>
  <c r="I396" i="35"/>
  <c r="J396" i="35"/>
  <c r="K396" i="35"/>
  <c r="X409" i="40"/>
  <c r="G425" i="35"/>
  <c r="I425" i="35"/>
  <c r="J425" i="35"/>
  <c r="K425" i="35"/>
  <c r="X408" i="40"/>
  <c r="X407" i="40"/>
  <c r="G390" i="35"/>
  <c r="I390" i="35"/>
  <c r="J390" i="35"/>
  <c r="K390" i="35"/>
  <c r="X406" i="40"/>
  <c r="G501" i="35"/>
  <c r="I501" i="35"/>
  <c r="J501" i="35"/>
  <c r="K501" i="35"/>
  <c r="X405" i="40"/>
  <c r="G420" i="35"/>
  <c r="I420" i="35"/>
  <c r="J420" i="35"/>
  <c r="K420" i="35"/>
  <c r="X404" i="40"/>
  <c r="G370" i="35"/>
  <c r="I370" i="35"/>
  <c r="J370" i="35"/>
  <c r="K370" i="35"/>
  <c r="X403" i="40"/>
  <c r="X402" i="40"/>
  <c r="G521" i="35"/>
  <c r="I521" i="35"/>
  <c r="J521" i="35"/>
  <c r="K521" i="35"/>
  <c r="X401" i="40"/>
  <c r="G375" i="35"/>
  <c r="I375" i="35"/>
  <c r="J375" i="35"/>
  <c r="K375" i="35"/>
  <c r="X400" i="40"/>
  <c r="G442" i="35"/>
  <c r="I442" i="35"/>
  <c r="J442" i="35"/>
  <c r="K442" i="35"/>
  <c r="X399" i="40"/>
  <c r="G554" i="35"/>
  <c r="I554" i="35"/>
  <c r="J554" i="35"/>
  <c r="K554" i="35"/>
  <c r="X398" i="40"/>
  <c r="G567" i="35"/>
  <c r="I567" i="35"/>
  <c r="J567" i="35"/>
  <c r="K567" i="35"/>
  <c r="X397" i="40"/>
  <c r="G394" i="35"/>
  <c r="I394" i="35"/>
  <c r="J394" i="35"/>
  <c r="K394" i="35"/>
  <c r="X396" i="40"/>
  <c r="G506" i="35"/>
  <c r="I506" i="35"/>
  <c r="J506" i="35"/>
  <c r="K506" i="35"/>
  <c r="X395" i="40"/>
  <c r="X394" i="40"/>
  <c r="G560" i="35"/>
  <c r="I560" i="35"/>
  <c r="J560" i="35"/>
  <c r="K560" i="35"/>
  <c r="X393" i="40"/>
  <c r="X392" i="40"/>
  <c r="G552" i="35"/>
  <c r="I552" i="35"/>
  <c r="J552" i="35"/>
  <c r="K552" i="35"/>
  <c r="X391" i="40"/>
  <c r="G386" i="35"/>
  <c r="I386" i="35"/>
  <c r="J386" i="35"/>
  <c r="K386" i="35"/>
  <c r="X390" i="40"/>
  <c r="X389" i="40"/>
  <c r="G339" i="35"/>
  <c r="I339" i="35"/>
  <c r="J339" i="35"/>
  <c r="K339" i="35"/>
  <c r="X388" i="40"/>
  <c r="G487" i="35"/>
  <c r="I487" i="35"/>
  <c r="J487" i="35"/>
  <c r="K487" i="35"/>
  <c r="X387" i="40"/>
  <c r="G520" i="35"/>
  <c r="I520" i="35"/>
  <c r="J520" i="35"/>
  <c r="K520" i="35"/>
  <c r="X386" i="40"/>
  <c r="X385" i="40"/>
  <c r="X384" i="40"/>
  <c r="G364" i="35"/>
  <c r="I364" i="35"/>
  <c r="J364" i="35"/>
  <c r="K364" i="35"/>
  <c r="X383" i="40"/>
  <c r="G409" i="35"/>
  <c r="I409" i="35"/>
  <c r="J409" i="35"/>
  <c r="K409" i="35"/>
  <c r="X382" i="40"/>
  <c r="X381" i="40"/>
  <c r="X380" i="40"/>
  <c r="G572" i="35"/>
  <c r="I572" i="35"/>
  <c r="J572" i="35"/>
  <c r="K572" i="35"/>
  <c r="X379" i="40"/>
  <c r="G482" i="35"/>
  <c r="I482" i="35"/>
  <c r="J482" i="35"/>
  <c r="K482" i="35"/>
  <c r="X378" i="40"/>
  <c r="G478" i="35"/>
  <c r="I478" i="35"/>
  <c r="J478" i="35"/>
  <c r="K478" i="35"/>
  <c r="X377" i="40"/>
  <c r="G443" i="35"/>
  <c r="I443" i="35"/>
  <c r="J443" i="35"/>
  <c r="K443" i="35"/>
  <c r="X376" i="40"/>
  <c r="G488" i="35"/>
  <c r="I488" i="35"/>
  <c r="J488" i="35"/>
  <c r="K488" i="35"/>
  <c r="X375" i="40"/>
  <c r="G477" i="35"/>
  <c r="I477" i="35"/>
  <c r="J477" i="35"/>
  <c r="K477" i="35"/>
  <c r="X374" i="40"/>
  <c r="G446" i="35"/>
  <c r="I446" i="35"/>
  <c r="J446" i="35"/>
  <c r="K446" i="35"/>
  <c r="X373" i="40"/>
  <c r="X372" i="40"/>
  <c r="G423" i="35"/>
  <c r="I423" i="35"/>
  <c r="J423" i="35"/>
  <c r="K423" i="35"/>
  <c r="X371" i="40"/>
  <c r="G518" i="35"/>
  <c r="I518" i="35"/>
  <c r="J518" i="35"/>
  <c r="K518" i="35"/>
  <c r="X370" i="40"/>
  <c r="G407" i="35"/>
  <c r="I407" i="35"/>
  <c r="J407" i="35"/>
  <c r="K407" i="35"/>
  <c r="X369" i="40"/>
  <c r="X368" i="40"/>
  <c r="G360" i="35"/>
  <c r="I360" i="35"/>
  <c r="J360" i="35"/>
  <c r="K360" i="35"/>
  <c r="X367" i="40"/>
  <c r="G367" i="35"/>
  <c r="I367" i="35"/>
  <c r="J367" i="35"/>
  <c r="K367" i="35"/>
  <c r="X366" i="40"/>
  <c r="G402" i="35"/>
  <c r="I402" i="35"/>
  <c r="J402" i="35"/>
  <c r="K402" i="35"/>
  <c r="X365" i="40"/>
  <c r="G351" i="35"/>
  <c r="I351" i="35"/>
  <c r="J351" i="35"/>
  <c r="K351" i="35"/>
  <c r="X364" i="40"/>
  <c r="G366" i="35"/>
  <c r="I366" i="35"/>
  <c r="J366" i="35"/>
  <c r="K366" i="35"/>
  <c r="X363" i="40"/>
  <c r="X362" i="40"/>
  <c r="G499" i="35"/>
  <c r="I499" i="35"/>
  <c r="J499" i="35"/>
  <c r="K499" i="35"/>
  <c r="X361" i="40"/>
  <c r="X360" i="40"/>
  <c r="G388" i="35"/>
  <c r="I388" i="35"/>
  <c r="J388" i="35"/>
  <c r="K388" i="35"/>
  <c r="X359" i="40"/>
  <c r="G566" i="35"/>
  <c r="I566" i="35"/>
  <c r="J566" i="35"/>
  <c r="K566" i="35"/>
  <c r="X358" i="40"/>
  <c r="X357" i="40"/>
  <c r="X356" i="40"/>
  <c r="G418" i="35"/>
  <c r="I418" i="35"/>
  <c r="J418" i="35"/>
  <c r="K418" i="35"/>
  <c r="X355" i="40"/>
  <c r="G385" i="35"/>
  <c r="I385" i="35"/>
  <c r="J385" i="35"/>
  <c r="K385" i="35"/>
  <c r="X354" i="40"/>
  <c r="G544" i="35"/>
  <c r="I544" i="35"/>
  <c r="J544" i="35"/>
  <c r="K544" i="35"/>
  <c r="X353" i="40"/>
  <c r="G455" i="35"/>
  <c r="I455" i="35"/>
  <c r="J455" i="35"/>
  <c r="K455" i="35"/>
  <c r="X352" i="40"/>
  <c r="G382" i="35"/>
  <c r="I382" i="35"/>
  <c r="J382" i="35"/>
  <c r="K382" i="35"/>
  <c r="X351" i="40"/>
  <c r="G361" i="35"/>
  <c r="I361" i="35"/>
  <c r="J361" i="35"/>
  <c r="K361" i="35"/>
  <c r="X350" i="40"/>
  <c r="X349" i="40"/>
  <c r="G346" i="35"/>
  <c r="I346" i="35"/>
  <c r="J346" i="35"/>
  <c r="K346" i="35"/>
  <c r="X348" i="40"/>
  <c r="G511" i="35"/>
  <c r="I511" i="35"/>
  <c r="J511" i="35"/>
  <c r="K511" i="35"/>
  <c r="X347" i="40"/>
  <c r="G392" i="35"/>
  <c r="I392" i="35"/>
  <c r="J392" i="35"/>
  <c r="K392" i="35"/>
  <c r="X346" i="40"/>
  <c r="X345" i="40"/>
  <c r="X344" i="40"/>
  <c r="G378" i="35"/>
  <c r="I378" i="35"/>
  <c r="J378" i="35"/>
  <c r="K378" i="35"/>
  <c r="X343" i="40"/>
  <c r="G474" i="35"/>
  <c r="I474" i="35"/>
  <c r="J474" i="35"/>
  <c r="K474" i="35"/>
  <c r="X342" i="40"/>
  <c r="X341" i="40"/>
  <c r="X340" i="40"/>
  <c r="G569" i="35"/>
  <c r="I569" i="35"/>
  <c r="J569" i="35"/>
  <c r="K569" i="35"/>
  <c r="X339" i="40"/>
  <c r="G545" i="35"/>
  <c r="I545" i="35"/>
  <c r="J545" i="35"/>
  <c r="K545" i="35"/>
  <c r="X338" i="40"/>
  <c r="G400" i="35"/>
  <c r="I400" i="35"/>
  <c r="J400" i="35"/>
  <c r="K400" i="35"/>
  <c r="X337" i="40"/>
  <c r="X336" i="40"/>
  <c r="G453" i="35"/>
  <c r="I453" i="35"/>
  <c r="J453" i="35"/>
  <c r="K453" i="35"/>
  <c r="X335" i="40"/>
  <c r="X334" i="40"/>
  <c r="G401" i="35"/>
  <c r="I401" i="35"/>
  <c r="J401" i="35"/>
  <c r="K401" i="35"/>
  <c r="X333" i="40"/>
  <c r="G539" i="35"/>
  <c r="I539" i="35"/>
  <c r="J539" i="35"/>
  <c r="K539" i="35"/>
  <c r="X332" i="40"/>
  <c r="X331" i="40"/>
  <c r="G340" i="35"/>
  <c r="I340" i="35"/>
  <c r="J340" i="35"/>
  <c r="K340" i="35"/>
  <c r="X330" i="40"/>
  <c r="X329" i="40"/>
  <c r="G565" i="35"/>
  <c r="I565" i="35"/>
  <c r="J565" i="35"/>
  <c r="K565" i="35"/>
  <c r="X328" i="40"/>
  <c r="G522" i="35"/>
  <c r="I522" i="35"/>
  <c r="J522" i="35"/>
  <c r="K522" i="35"/>
  <c r="X327" i="40"/>
  <c r="X326" i="40"/>
  <c r="G435" i="35"/>
  <c r="I435" i="35"/>
  <c r="J435" i="35"/>
  <c r="K435" i="35"/>
  <c r="X325" i="40"/>
  <c r="G348" i="35"/>
  <c r="I348" i="35"/>
  <c r="J348" i="35"/>
  <c r="K348" i="35"/>
  <c r="X324" i="40"/>
  <c r="G347" i="35"/>
  <c r="I347" i="35"/>
  <c r="J347" i="35"/>
  <c r="K347" i="35"/>
  <c r="X323" i="40"/>
  <c r="X322" i="40"/>
  <c r="G507" i="35"/>
  <c r="I507" i="35"/>
  <c r="J507" i="35"/>
  <c r="K507" i="35"/>
  <c r="X321" i="40"/>
  <c r="G384" i="35"/>
  <c r="I384" i="35"/>
  <c r="J384" i="35"/>
  <c r="K384" i="35"/>
  <c r="X320" i="40"/>
  <c r="G513" i="35"/>
  <c r="I513" i="35"/>
  <c r="J513" i="35"/>
  <c r="K513" i="35"/>
  <c r="X319" i="40"/>
  <c r="X318" i="40"/>
  <c r="G509" i="35"/>
  <c r="I509" i="35"/>
  <c r="J509" i="35"/>
  <c r="K509" i="35"/>
  <c r="X317" i="40"/>
  <c r="X316" i="40"/>
  <c r="G427" i="35"/>
  <c r="I427" i="35"/>
  <c r="J427" i="35"/>
  <c r="K427" i="35"/>
  <c r="X315" i="40"/>
  <c r="G410" i="35"/>
  <c r="I410" i="35"/>
  <c r="J410" i="35"/>
  <c r="K410" i="35"/>
  <c r="X314" i="40"/>
  <c r="G441" i="35"/>
  <c r="I441" i="35"/>
  <c r="J441" i="35"/>
  <c r="K441" i="35"/>
  <c r="X313" i="40"/>
  <c r="G454" i="35"/>
  <c r="I454" i="35"/>
  <c r="J454" i="35"/>
  <c r="K454" i="35"/>
  <c r="X312" i="40"/>
  <c r="X311" i="40"/>
  <c r="G421" i="35"/>
  <c r="I421" i="35"/>
  <c r="J421" i="35"/>
  <c r="K421" i="35"/>
  <c r="X310" i="40"/>
  <c r="G515" i="35"/>
  <c r="I515" i="35"/>
  <c r="J515" i="35"/>
  <c r="K515" i="35"/>
  <c r="X309" i="40"/>
  <c r="G471" i="35"/>
  <c r="I471" i="35"/>
  <c r="J471" i="35"/>
  <c r="K471" i="35"/>
  <c r="X308" i="40"/>
  <c r="X307" i="40"/>
  <c r="G484" i="35"/>
  <c r="I484" i="35"/>
  <c r="J484" i="35"/>
  <c r="K484" i="35"/>
  <c r="X306" i="40"/>
  <c r="X305" i="40"/>
  <c r="G557" i="35"/>
  <c r="I557" i="35"/>
  <c r="J557" i="35"/>
  <c r="K557" i="35"/>
  <c r="X304" i="40"/>
  <c r="G376" i="35"/>
  <c r="I376" i="35"/>
  <c r="J376" i="35"/>
  <c r="K376" i="35"/>
  <c r="X303" i="40"/>
  <c r="G373" i="35"/>
  <c r="I373" i="35"/>
  <c r="J373" i="35"/>
  <c r="K373" i="35"/>
  <c r="X302" i="40"/>
  <c r="X301" i="40"/>
  <c r="X300" i="40"/>
  <c r="G419" i="35"/>
  <c r="I419" i="35"/>
  <c r="J419" i="35"/>
  <c r="K419" i="35"/>
  <c r="X299" i="40"/>
  <c r="G412" i="35"/>
  <c r="I412" i="35"/>
  <c r="J412" i="35"/>
  <c r="K412" i="35"/>
  <c r="X298" i="40"/>
  <c r="X297" i="40"/>
  <c r="G368" i="35"/>
  <c r="I368" i="35"/>
  <c r="J368" i="35"/>
  <c r="K368" i="35"/>
  <c r="X296" i="40"/>
  <c r="X295" i="40"/>
  <c r="G353" i="35"/>
  <c r="I353" i="35"/>
  <c r="J353" i="35"/>
  <c r="K353" i="35"/>
  <c r="X294" i="40"/>
  <c r="X293" i="40"/>
  <c r="G614" i="35"/>
  <c r="I614" i="35"/>
  <c r="J614" i="35"/>
  <c r="K614" i="35"/>
  <c r="X292" i="40"/>
  <c r="G447" i="35"/>
  <c r="I447" i="35"/>
  <c r="J447" i="35"/>
  <c r="K447" i="35"/>
  <c r="X291" i="40"/>
  <c r="G535" i="35"/>
  <c r="I535" i="35"/>
  <c r="J535" i="35"/>
  <c r="K535" i="35"/>
  <c r="X290" i="40"/>
  <c r="G428" i="35"/>
  <c r="I428" i="35"/>
  <c r="J428" i="35"/>
  <c r="K428" i="35"/>
  <c r="X289" i="40"/>
  <c r="G645" i="35"/>
  <c r="I645" i="35"/>
  <c r="J645" i="35"/>
  <c r="K645" i="35"/>
  <c r="X288" i="40"/>
  <c r="G494" i="35"/>
  <c r="I494" i="35"/>
  <c r="J494" i="35"/>
  <c r="K494" i="35"/>
  <c r="X287" i="40"/>
  <c r="G397" i="35"/>
  <c r="I397" i="35"/>
  <c r="J397" i="35"/>
  <c r="K397" i="35"/>
  <c r="X286" i="40"/>
  <c r="G432" i="35"/>
  <c r="I432" i="35"/>
  <c r="J432" i="35"/>
  <c r="K432" i="35"/>
  <c r="X285" i="40"/>
  <c r="G536" i="35"/>
  <c r="I536" i="35"/>
  <c r="J536" i="35"/>
  <c r="K536" i="35"/>
  <c r="X284" i="40"/>
  <c r="G464" i="35"/>
  <c r="I464" i="35"/>
  <c r="J464" i="35"/>
  <c r="K464" i="35"/>
  <c r="X283" i="40"/>
  <c r="G466" i="35"/>
  <c r="I466" i="35"/>
  <c r="J466" i="35"/>
  <c r="K466" i="35"/>
  <c r="X282" i="40"/>
  <c r="G543" i="35"/>
  <c r="I543" i="35"/>
  <c r="J543" i="35"/>
  <c r="K543" i="35"/>
  <c r="X281" i="40"/>
  <c r="G436" i="35"/>
  <c r="I436" i="35"/>
  <c r="J436" i="35"/>
  <c r="K436" i="35"/>
  <c r="X280" i="40"/>
  <c r="G398" i="35"/>
  <c r="I398" i="35"/>
  <c r="J398" i="35"/>
  <c r="K398" i="35"/>
  <c r="X279" i="40"/>
  <c r="G542" i="35"/>
  <c r="I542" i="35"/>
  <c r="J542" i="35"/>
  <c r="K542" i="35"/>
  <c r="X278" i="40"/>
  <c r="G534" i="35"/>
  <c r="I534" i="35"/>
  <c r="J534" i="35"/>
  <c r="K534" i="35"/>
  <c r="X277" i="40"/>
  <c r="G440" i="35"/>
  <c r="I440" i="35"/>
  <c r="J440" i="35"/>
  <c r="K440" i="35"/>
  <c r="X276" i="40"/>
  <c r="X275" i="40"/>
  <c r="G430" i="35"/>
  <c r="I430" i="35"/>
  <c r="J430" i="35"/>
  <c r="K430" i="35"/>
  <c r="X274" i="40"/>
  <c r="G438" i="35"/>
  <c r="I438" i="35"/>
  <c r="J438" i="35"/>
  <c r="K438" i="35"/>
  <c r="X273" i="40"/>
  <c r="G546" i="35"/>
  <c r="I546" i="35"/>
  <c r="J546" i="35"/>
  <c r="K546" i="35"/>
  <c r="X272" i="40"/>
  <c r="J460" i="35"/>
  <c r="K460" i="35"/>
  <c r="X271" i="40"/>
  <c r="G449" i="35"/>
  <c r="I449" i="35"/>
  <c r="J449" i="35"/>
  <c r="K449" i="35"/>
  <c r="X270" i="40"/>
  <c r="G516" i="35"/>
  <c r="I516" i="35"/>
  <c r="J516" i="35"/>
  <c r="K516" i="35"/>
  <c r="X269" i="40"/>
  <c r="G549" i="35"/>
  <c r="I549" i="35"/>
  <c r="J549" i="35"/>
  <c r="K549" i="35"/>
  <c r="X268" i="40"/>
  <c r="X267" i="40"/>
  <c r="G568" i="35"/>
  <c r="I568" i="35"/>
  <c r="J568" i="35"/>
  <c r="K568" i="35"/>
  <c r="X266" i="40"/>
  <c r="G451" i="35"/>
  <c r="I451" i="35"/>
  <c r="J451" i="35"/>
  <c r="K451" i="35"/>
  <c r="X265" i="40"/>
  <c r="G355" i="35"/>
  <c r="I355" i="35"/>
  <c r="J355" i="35"/>
  <c r="K355" i="35"/>
  <c r="X264" i="40"/>
  <c r="X263" i="40"/>
  <c r="G603" i="35"/>
  <c r="I603" i="35"/>
  <c r="J603" i="35"/>
  <c r="K603" i="35"/>
  <c r="X262" i="40"/>
  <c r="G570" i="35"/>
  <c r="I570" i="35"/>
  <c r="J570" i="35"/>
  <c r="K570" i="35"/>
  <c r="X261" i="40"/>
  <c r="X260" i="40"/>
  <c r="G354" i="35"/>
  <c r="I354" i="35"/>
  <c r="J354" i="35"/>
  <c r="K354" i="35"/>
  <c r="X259" i="40"/>
  <c r="X258" i="40"/>
  <c r="G481" i="35"/>
  <c r="I481" i="35"/>
  <c r="J481" i="35"/>
  <c r="K481" i="35"/>
  <c r="X257" i="40"/>
  <c r="G341" i="35"/>
  <c r="I341" i="35"/>
  <c r="J341" i="35"/>
  <c r="K341" i="35"/>
  <c r="X256" i="40"/>
  <c r="G429" i="35"/>
  <c r="I429" i="35"/>
  <c r="J429" i="35"/>
  <c r="K429" i="35"/>
  <c r="X255" i="40"/>
  <c r="G461" i="35"/>
  <c r="I461" i="35"/>
  <c r="J461" i="35"/>
  <c r="K461" i="35"/>
  <c r="X254" i="40"/>
  <c r="G480" i="35"/>
  <c r="I480" i="35"/>
  <c r="J480" i="35"/>
  <c r="K480" i="35"/>
  <c r="X253" i="40"/>
  <c r="X252" i="40"/>
  <c r="G465" i="35"/>
  <c r="I465" i="35"/>
  <c r="J465" i="35"/>
  <c r="K465" i="35"/>
  <c r="X251" i="40"/>
  <c r="G434" i="35"/>
  <c r="I434" i="35"/>
  <c r="J434" i="35"/>
  <c r="K434" i="35"/>
  <c r="X250" i="40"/>
  <c r="G586" i="35"/>
  <c r="I586" i="35"/>
  <c r="J586" i="35"/>
  <c r="K586" i="35"/>
  <c r="X249" i="40"/>
  <c r="X248" i="40"/>
  <c r="X247" i="40"/>
  <c r="G517" i="35"/>
  <c r="I517" i="35"/>
  <c r="J517" i="35"/>
  <c r="K517" i="35"/>
  <c r="X246" i="40"/>
  <c r="G548" i="35"/>
  <c r="I548" i="35"/>
  <c r="J548" i="35"/>
  <c r="K548" i="35"/>
  <c r="X245" i="40"/>
  <c r="G541" i="35"/>
  <c r="I541" i="35"/>
  <c r="J541" i="35"/>
  <c r="K541" i="35"/>
  <c r="X244" i="40"/>
  <c r="X243" i="40"/>
  <c r="X242" i="40"/>
  <c r="G599" i="35"/>
  <c r="I599" i="35"/>
  <c r="J599" i="35"/>
  <c r="K599" i="35"/>
  <c r="X241" i="40"/>
  <c r="G343" i="35"/>
  <c r="I343" i="35"/>
  <c r="J343" i="35"/>
  <c r="K343" i="35"/>
  <c r="X240" i="40"/>
  <c r="G463" i="35"/>
  <c r="I463" i="35"/>
  <c r="J463" i="35"/>
  <c r="K463" i="35"/>
  <c r="X239" i="40"/>
  <c r="G483" i="35"/>
  <c r="I483" i="35"/>
  <c r="J483" i="35"/>
  <c r="K483" i="35"/>
  <c r="X238" i="40"/>
  <c r="G653" i="35"/>
  <c r="I653" i="35"/>
  <c r="J653" i="35"/>
  <c r="K653" i="35"/>
  <c r="X237" i="40"/>
  <c r="G531" i="35"/>
  <c r="I531" i="35"/>
  <c r="J531" i="35"/>
  <c r="K531" i="35"/>
  <c r="X236" i="40"/>
  <c r="G452" i="35"/>
  <c r="I452" i="35"/>
  <c r="J452" i="35"/>
  <c r="K452" i="35"/>
  <c r="X235" i="40"/>
  <c r="X234" i="40"/>
  <c r="G616" i="35"/>
  <c r="I616" i="35"/>
  <c r="J616" i="35"/>
  <c r="K616" i="35"/>
  <c r="X233" i="40"/>
  <c r="X232" i="40"/>
  <c r="G342" i="35"/>
  <c r="I342" i="35"/>
  <c r="J342" i="35"/>
  <c r="K342" i="35"/>
  <c r="X231" i="40"/>
  <c r="G433" i="35"/>
  <c r="I433" i="35"/>
  <c r="J433" i="35"/>
  <c r="K433" i="35"/>
  <c r="X230" i="40"/>
  <c r="G671" i="35"/>
  <c r="I671" i="35"/>
  <c r="J671" i="35"/>
  <c r="K671" i="35"/>
  <c r="X229" i="40"/>
  <c r="G585" i="35"/>
  <c r="I585" i="35"/>
  <c r="J585" i="35"/>
  <c r="K585" i="35"/>
  <c r="X228" i="40"/>
  <c r="G630" i="35"/>
  <c r="I630" i="35"/>
  <c r="J630" i="35"/>
  <c r="K630" i="35"/>
  <c r="X227" i="40"/>
  <c r="X226" i="40"/>
  <c r="X225" i="40"/>
  <c r="G556" i="35"/>
  <c r="I556" i="35"/>
  <c r="J556" i="35"/>
  <c r="K556" i="35"/>
  <c r="X224" i="40"/>
  <c r="G660" i="35"/>
  <c r="I660" i="35"/>
  <c r="J660" i="35"/>
  <c r="K660" i="35"/>
  <c r="X223" i="40"/>
  <c r="G668" i="35"/>
  <c r="I668" i="35"/>
  <c r="J668" i="35"/>
  <c r="K668" i="35"/>
  <c r="X222" i="40"/>
  <c r="G344" i="35"/>
  <c r="I344" i="35"/>
  <c r="J344" i="35"/>
  <c r="K344" i="35"/>
  <c r="X221" i="40"/>
  <c r="G580" i="35"/>
  <c r="I580" i="35"/>
  <c r="J580" i="35"/>
  <c r="K580" i="35"/>
  <c r="X220" i="40"/>
  <c r="X219" i="40"/>
  <c r="G617" i="35"/>
  <c r="I617" i="35"/>
  <c r="J617" i="35"/>
  <c r="K617" i="35"/>
  <c r="X218" i="40"/>
  <c r="X217" i="40"/>
  <c r="X216" i="40"/>
  <c r="G581" i="35"/>
  <c r="I581" i="35"/>
  <c r="J581" i="35"/>
  <c r="K581" i="35"/>
  <c r="X215" i="40"/>
  <c r="G652" i="35"/>
  <c r="I652" i="35"/>
  <c r="J652" i="35"/>
  <c r="K652" i="35"/>
  <c r="X214" i="40"/>
  <c r="X213" i="40"/>
  <c r="G594" i="35"/>
  <c r="I594" i="35"/>
  <c r="J594" i="35"/>
  <c r="K594" i="35"/>
  <c r="X212" i="40"/>
  <c r="G358" i="35"/>
  <c r="I358" i="35"/>
  <c r="J358" i="35"/>
  <c r="K358" i="35"/>
  <c r="X211" i="40"/>
  <c r="G600" i="35"/>
  <c r="I600" i="35"/>
  <c r="J600" i="35"/>
  <c r="K600" i="35"/>
  <c r="X210" i="40"/>
  <c r="G672" i="35"/>
  <c r="I672" i="35"/>
  <c r="J672" i="35"/>
  <c r="K672" i="35"/>
  <c r="X209" i="40"/>
  <c r="X208" i="40"/>
  <c r="X207" i="40"/>
  <c r="G467" i="35"/>
  <c r="I467" i="35"/>
  <c r="J467" i="35"/>
  <c r="K467" i="35"/>
  <c r="X206" i="40"/>
  <c r="G631" i="35"/>
  <c r="I631" i="35"/>
  <c r="J631" i="35"/>
  <c r="K631" i="35"/>
  <c r="X205" i="40"/>
  <c r="G611" i="35"/>
  <c r="I611" i="35"/>
  <c r="J611" i="35"/>
  <c r="K611" i="35"/>
  <c r="X204" i="40"/>
  <c r="G657" i="35"/>
  <c r="I657" i="35"/>
  <c r="J657" i="35"/>
  <c r="K657" i="35"/>
  <c r="X203" i="40"/>
  <c r="G598" i="35"/>
  <c r="I598" i="35"/>
  <c r="J598" i="35"/>
  <c r="K598" i="35"/>
  <c r="X202" i="40"/>
  <c r="X201" i="40"/>
  <c r="G637" i="35"/>
  <c r="I637" i="35"/>
  <c r="J637" i="35"/>
  <c r="K637" i="35"/>
  <c r="X200" i="40"/>
  <c r="G639" i="35"/>
  <c r="I639" i="35"/>
  <c r="J639" i="35"/>
  <c r="K639" i="35"/>
  <c r="X199" i="40"/>
  <c r="G589" i="35"/>
  <c r="I589" i="35"/>
  <c r="J589" i="35"/>
  <c r="K589" i="35"/>
  <c r="X198" i="40"/>
  <c r="X197" i="40"/>
  <c r="X196" i="40"/>
  <c r="X195" i="40"/>
  <c r="G644" i="35"/>
  <c r="I644" i="35"/>
  <c r="J644" i="35"/>
  <c r="K644" i="35"/>
  <c r="X194" i="40"/>
  <c r="G633" i="35"/>
  <c r="I633" i="35"/>
  <c r="J633" i="35"/>
  <c r="K633" i="35"/>
  <c r="X193" i="40"/>
  <c r="X192" i="40"/>
  <c r="G601" i="35"/>
  <c r="I601" i="35"/>
  <c r="J601" i="35"/>
  <c r="K601" i="35"/>
  <c r="X191" i="40"/>
  <c r="G610" i="35"/>
  <c r="I610" i="35"/>
  <c r="J610" i="35"/>
  <c r="K610" i="35"/>
  <c r="X190" i="40"/>
  <c r="G665" i="35"/>
  <c r="I665" i="35"/>
  <c r="J665" i="35"/>
  <c r="K665" i="35"/>
  <c r="X189" i="40"/>
  <c r="G648" i="35"/>
  <c r="I648" i="35"/>
  <c r="J648" i="35"/>
  <c r="K648" i="35"/>
  <c r="X188" i="40"/>
  <c r="X187" i="40"/>
  <c r="G670" i="35"/>
  <c r="I670" i="35"/>
  <c r="J670" i="35"/>
  <c r="K670" i="35"/>
  <c r="X186" i="40"/>
  <c r="G628" i="35"/>
  <c r="I628" i="35"/>
  <c r="J628" i="35"/>
  <c r="K628" i="35"/>
  <c r="X185" i="40"/>
  <c r="G646" i="35"/>
  <c r="I646" i="35"/>
  <c r="J646" i="35"/>
  <c r="K646" i="35"/>
  <c r="X184" i="40"/>
  <c r="G619" i="35"/>
  <c r="I619" i="35"/>
  <c r="J619" i="35"/>
  <c r="K619" i="35"/>
  <c r="X183" i="40"/>
  <c r="X182" i="40"/>
  <c r="G632" i="35"/>
  <c r="I632" i="35"/>
  <c r="J632" i="35"/>
  <c r="K632" i="35"/>
  <c r="X181" i="40"/>
  <c r="G661" i="35"/>
  <c r="I661" i="35"/>
  <c r="J661" i="35"/>
  <c r="K661" i="35"/>
  <c r="X180" i="40"/>
  <c r="G593" i="35"/>
  <c r="I593" i="35"/>
  <c r="J593" i="35"/>
  <c r="K593" i="35"/>
  <c r="X179" i="40"/>
  <c r="G615" i="35"/>
  <c r="I615" i="35"/>
  <c r="J615" i="35"/>
  <c r="K615" i="35"/>
  <c r="X178" i="40"/>
  <c r="G623" i="35"/>
  <c r="I623" i="35"/>
  <c r="J623" i="35"/>
  <c r="K623" i="35"/>
  <c r="X177" i="40"/>
  <c r="G492" i="35"/>
  <c r="I492" i="35"/>
  <c r="J492" i="35"/>
  <c r="K492" i="35"/>
  <c r="X176" i="40"/>
  <c r="G408" i="35"/>
  <c r="I408" i="35"/>
  <c r="J408" i="35"/>
  <c r="K408" i="35"/>
  <c r="X175" i="40"/>
  <c r="X174" i="40"/>
  <c r="X173" i="40"/>
  <c r="X172" i="40"/>
  <c r="G587" i="35"/>
  <c r="I587" i="35"/>
  <c r="J587" i="35"/>
  <c r="K587" i="35"/>
  <c r="X171" i="40"/>
  <c r="G636" i="35"/>
  <c r="I636" i="35"/>
  <c r="J636" i="35"/>
  <c r="K636" i="35"/>
  <c r="X170" i="40"/>
  <c r="X169" i="40"/>
  <c r="G533" i="35"/>
  <c r="I533" i="35"/>
  <c r="J533" i="35"/>
  <c r="K533" i="35"/>
  <c r="X168" i="40"/>
  <c r="G651" i="35"/>
  <c r="I651" i="35"/>
  <c r="J651" i="35"/>
  <c r="K651" i="35"/>
  <c r="X167" i="40"/>
  <c r="G629" i="35"/>
  <c r="I629" i="35"/>
  <c r="J629" i="35"/>
  <c r="K629" i="35"/>
  <c r="X166" i="40"/>
  <c r="X165" i="40"/>
  <c r="G656" i="35"/>
  <c r="I656" i="35"/>
  <c r="J656" i="35"/>
  <c r="K656" i="35"/>
  <c r="X164" i="40"/>
  <c r="X163" i="40"/>
  <c r="G450" i="35"/>
  <c r="I450" i="35"/>
  <c r="J450" i="35"/>
  <c r="K450" i="35"/>
  <c r="X162" i="40"/>
  <c r="X161" i="40"/>
  <c r="X160" i="40"/>
  <c r="G620" i="35"/>
  <c r="I620" i="35"/>
  <c r="J620" i="35"/>
  <c r="K620" i="35"/>
  <c r="X159" i="40"/>
  <c r="G608" i="35"/>
  <c r="I608" i="35"/>
  <c r="J608" i="35"/>
  <c r="K608" i="35"/>
  <c r="X158" i="40"/>
  <c r="G643" i="35"/>
  <c r="I643" i="35"/>
  <c r="J643" i="35"/>
  <c r="K643" i="35"/>
  <c r="X157" i="40"/>
  <c r="G588" i="35"/>
  <c r="I588" i="35"/>
  <c r="J588" i="35"/>
  <c r="K588" i="35"/>
  <c r="X156" i="40"/>
  <c r="G578" i="35"/>
  <c r="I578" i="35"/>
  <c r="J578" i="35"/>
  <c r="K578" i="35"/>
  <c r="X155" i="40"/>
  <c r="G405" i="35"/>
  <c r="I405" i="35"/>
  <c r="J405" i="35"/>
  <c r="K405" i="35"/>
  <c r="X154" i="40"/>
  <c r="G550" i="35"/>
  <c r="I550" i="35"/>
  <c r="J550" i="35"/>
  <c r="K550" i="35"/>
  <c r="X153" i="40"/>
  <c r="X152" i="40"/>
  <c r="G613" i="35"/>
  <c r="I613" i="35"/>
  <c r="J613" i="35"/>
  <c r="K613" i="35"/>
  <c r="X151" i="40"/>
  <c r="G676" i="35"/>
  <c r="I676" i="35"/>
  <c r="J676" i="35"/>
  <c r="K676" i="35"/>
  <c r="X150" i="40"/>
  <c r="G662" i="35"/>
  <c r="I662" i="35"/>
  <c r="J662" i="35"/>
  <c r="K662" i="35"/>
  <c r="X149" i="40"/>
  <c r="X148" i="40"/>
  <c r="G622" i="35"/>
  <c r="I622" i="35"/>
  <c r="J622" i="35"/>
  <c r="K622" i="35"/>
  <c r="X147" i="40"/>
  <c r="G605" i="35"/>
  <c r="I605" i="35"/>
  <c r="J605" i="35"/>
  <c r="K605" i="35"/>
  <c r="X146" i="40"/>
  <c r="G416" i="35"/>
  <c r="I416" i="35"/>
  <c r="J416" i="35"/>
  <c r="K416" i="35"/>
  <c r="X145" i="40"/>
  <c r="G590" i="35"/>
  <c r="I590" i="35"/>
  <c r="J590" i="35"/>
  <c r="K590" i="35"/>
  <c r="X144" i="40"/>
  <c r="G654" i="35"/>
  <c r="I654" i="35"/>
  <c r="J654" i="35"/>
  <c r="K654" i="35"/>
  <c r="X143" i="40"/>
  <c r="X142" i="40"/>
  <c r="G655" i="35"/>
  <c r="I655" i="35"/>
  <c r="J655" i="35"/>
  <c r="K655" i="35"/>
  <c r="X141" i="40"/>
  <c r="X140" i="40"/>
  <c r="G609" i="35"/>
  <c r="I609" i="35"/>
  <c r="J609" i="35"/>
  <c r="K609" i="35"/>
  <c r="X139" i="40"/>
  <c r="G583" i="35"/>
  <c r="I583" i="35"/>
  <c r="J583" i="35"/>
  <c r="K583" i="35"/>
  <c r="X138" i="40"/>
  <c r="X137" i="40"/>
  <c r="X136" i="40"/>
  <c r="G607" i="35"/>
  <c r="I607" i="35"/>
  <c r="J607" i="35"/>
  <c r="K607" i="35"/>
  <c r="X135" i="40"/>
  <c r="G573" i="35"/>
  <c r="I573" i="35"/>
  <c r="J573" i="35"/>
  <c r="K573" i="35"/>
  <c r="X134" i="40"/>
  <c r="G576" i="35"/>
  <c r="I576" i="35"/>
  <c r="J576" i="35"/>
  <c r="K576" i="35"/>
  <c r="X133" i="40"/>
  <c r="G666" i="35"/>
  <c r="I666" i="35"/>
  <c r="J666" i="35"/>
  <c r="K666" i="35"/>
  <c r="X132" i="40"/>
  <c r="G604" i="35"/>
  <c r="I604" i="35"/>
  <c r="J604" i="35"/>
  <c r="K604" i="35"/>
  <c r="X131" i="40"/>
  <c r="G674" i="35"/>
  <c r="I674" i="35"/>
  <c r="J674" i="35"/>
  <c r="K674" i="35"/>
  <c r="X130" i="40"/>
  <c r="X129" i="40"/>
  <c r="G584" i="35"/>
  <c r="I584" i="35"/>
  <c r="J584" i="35"/>
  <c r="K584" i="35"/>
  <c r="X128" i="40"/>
  <c r="G669" i="35"/>
  <c r="I669" i="35"/>
  <c r="J669" i="35"/>
  <c r="K669" i="35"/>
  <c r="X127" i="40"/>
  <c r="G640" i="35"/>
  <c r="I640" i="35"/>
  <c r="J640" i="35"/>
  <c r="K640" i="35"/>
  <c r="X126" i="40"/>
  <c r="X125" i="40"/>
  <c r="X124" i="40"/>
  <c r="G664" i="35"/>
  <c r="I664" i="35"/>
  <c r="J664" i="35"/>
  <c r="K664" i="35"/>
  <c r="X123" i="40"/>
  <c r="G667" i="35"/>
  <c r="I667" i="35"/>
  <c r="J667" i="35"/>
  <c r="K667" i="35"/>
  <c r="X122" i="40"/>
  <c r="X121" i="40"/>
  <c r="X120" i="40"/>
  <c r="G625" i="35"/>
  <c r="I625" i="35"/>
  <c r="J625" i="35"/>
  <c r="K625" i="35"/>
  <c r="X119" i="40"/>
  <c r="G602" i="35"/>
  <c r="I602" i="35"/>
  <c r="J602" i="35"/>
  <c r="K602" i="35"/>
  <c r="X118" i="40"/>
  <c r="X117" i="40"/>
  <c r="G658" i="35"/>
  <c r="I658" i="35"/>
  <c r="J658" i="35"/>
  <c r="K658" i="35"/>
  <c r="X116" i="40"/>
  <c r="G624" i="35"/>
  <c r="I624" i="35"/>
  <c r="J624" i="35"/>
  <c r="K624" i="35"/>
  <c r="X115" i="40"/>
  <c r="X114" i="40"/>
  <c r="G638" i="35"/>
  <c r="I638" i="35"/>
  <c r="J638" i="35"/>
  <c r="K638" i="35"/>
  <c r="X113" i="40"/>
  <c r="G574" i="35"/>
  <c r="I574" i="35"/>
  <c r="J574" i="35"/>
  <c r="K574" i="35"/>
  <c r="X112" i="40"/>
  <c r="G641" i="35"/>
  <c r="I641" i="35"/>
  <c r="J641" i="35"/>
  <c r="K641" i="35"/>
  <c r="X111" i="40"/>
  <c r="G618" i="35"/>
  <c r="I618" i="35"/>
  <c r="J618" i="35"/>
  <c r="K618" i="35"/>
  <c r="X110" i="40"/>
  <c r="X109" i="40"/>
  <c r="G612" i="35"/>
  <c r="I612" i="35"/>
  <c r="J612" i="35"/>
  <c r="K612" i="35"/>
  <c r="X108" i="40"/>
  <c r="G592" i="35"/>
  <c r="I592" i="35"/>
  <c r="J592" i="35"/>
  <c r="K592" i="35"/>
  <c r="X107" i="40"/>
  <c r="X106" i="40"/>
  <c r="G527" i="35"/>
  <c r="I527" i="35"/>
  <c r="J527" i="35"/>
  <c r="K527" i="35"/>
  <c r="X105" i="40"/>
  <c r="G422" i="35"/>
  <c r="I422" i="35"/>
  <c r="J422" i="35"/>
  <c r="K422" i="35"/>
  <c r="X104" i="40"/>
  <c r="G558" i="35"/>
  <c r="I558" i="35"/>
  <c r="J558" i="35"/>
  <c r="K558" i="35"/>
  <c r="X103" i="40"/>
  <c r="X102" i="40"/>
  <c r="G470" i="35"/>
  <c r="I470" i="35"/>
  <c r="J470" i="35"/>
  <c r="K470" i="35"/>
  <c r="X101" i="40"/>
  <c r="G458" i="35"/>
  <c r="I458" i="35"/>
  <c r="J458" i="35"/>
  <c r="K458" i="35"/>
  <c r="X100" i="40"/>
  <c r="G381" i="35"/>
  <c r="I381" i="35"/>
  <c r="J381" i="35"/>
  <c r="K381" i="35"/>
  <c r="X99" i="40"/>
  <c r="X98" i="40"/>
  <c r="G575" i="35"/>
  <c r="I575" i="35"/>
  <c r="J575" i="35"/>
  <c r="K575" i="35"/>
  <c r="X97" i="40"/>
  <c r="X96" i="40"/>
  <c r="G497" i="35"/>
  <c r="I497" i="35"/>
  <c r="J497" i="35"/>
  <c r="K497" i="35"/>
  <c r="X95" i="40"/>
  <c r="G596" i="35"/>
  <c r="I596" i="35"/>
  <c r="J596" i="35"/>
  <c r="K596" i="35"/>
  <c r="X94" i="40"/>
  <c r="G582" i="35"/>
  <c r="I582" i="35"/>
  <c r="J582" i="35"/>
  <c r="K582" i="35"/>
  <c r="X93" i="40"/>
  <c r="G663" i="35"/>
  <c r="I663" i="35"/>
  <c r="J663" i="35"/>
  <c r="K663" i="35"/>
  <c r="X92" i="40"/>
  <c r="X91" i="40"/>
  <c r="X90" i="40"/>
  <c r="G673" i="35"/>
  <c r="I673" i="35"/>
  <c r="J673" i="35"/>
  <c r="K673" i="35"/>
  <c r="X89" i="40"/>
  <c r="G626" i="35"/>
  <c r="I626" i="35"/>
  <c r="J626" i="35"/>
  <c r="K626" i="35"/>
  <c r="X88" i="40"/>
  <c r="X87" i="40"/>
  <c r="G595" i="35"/>
  <c r="I595" i="35"/>
  <c r="J595" i="35"/>
  <c r="K595" i="35"/>
  <c r="X86" i="40"/>
  <c r="X85" i="40"/>
  <c r="G627" i="35"/>
  <c r="I627" i="35"/>
  <c r="J627" i="35"/>
  <c r="K627" i="35"/>
  <c r="X84" i="40"/>
  <c r="G579" i="35"/>
  <c r="I579" i="35"/>
  <c r="J579" i="35"/>
  <c r="K579" i="35"/>
  <c r="X83" i="40"/>
  <c r="G606" i="35"/>
  <c r="I606" i="35"/>
  <c r="J606" i="35"/>
  <c r="K606" i="35"/>
  <c r="X82" i="40"/>
  <c r="X81" i="40"/>
  <c r="X80" i="40"/>
  <c r="G523" i="35"/>
  <c r="I523" i="35"/>
  <c r="J523" i="35"/>
  <c r="K523" i="35"/>
  <c r="X79" i="40"/>
  <c r="G591" i="35"/>
  <c r="I591" i="35"/>
  <c r="J591" i="35"/>
  <c r="K591" i="35"/>
  <c r="X78" i="40"/>
  <c r="X77" i="40"/>
  <c r="G650" i="35"/>
  <c r="I650" i="35"/>
  <c r="J650" i="35"/>
  <c r="K650" i="35"/>
  <c r="X76" i="40"/>
  <c r="W515" i="40"/>
  <c r="G19" i="35"/>
  <c r="I19" i="35"/>
  <c r="J19" i="35"/>
  <c r="K19" i="35"/>
  <c r="W514" i="40"/>
  <c r="G60" i="35"/>
  <c r="I60" i="35"/>
  <c r="J60" i="35"/>
  <c r="K60" i="35"/>
  <c r="W513" i="40"/>
  <c r="G86" i="35"/>
  <c r="I86" i="35"/>
  <c r="J86" i="35"/>
  <c r="K86" i="35"/>
  <c r="W512" i="40"/>
  <c r="G191" i="35"/>
  <c r="I191" i="35"/>
  <c r="J191" i="35"/>
  <c r="K191" i="35"/>
  <c r="W511" i="40"/>
  <c r="G303" i="35"/>
  <c r="I303" i="35"/>
  <c r="J303" i="35"/>
  <c r="K303" i="35"/>
  <c r="W510" i="40"/>
  <c r="G244" i="35"/>
  <c r="I244" i="35"/>
  <c r="J244" i="35"/>
  <c r="K244" i="35"/>
  <c r="W509" i="40"/>
  <c r="G192" i="35"/>
  <c r="I192" i="35"/>
  <c r="J192" i="35"/>
  <c r="K192" i="35"/>
  <c r="W508" i="40"/>
  <c r="G254" i="35"/>
  <c r="I254" i="35"/>
  <c r="J254" i="35"/>
  <c r="K254" i="35"/>
  <c r="W507" i="40"/>
  <c r="G223" i="35"/>
  <c r="I223" i="35"/>
  <c r="J223" i="35"/>
  <c r="K223" i="35"/>
  <c r="W506" i="40"/>
  <c r="G190" i="35"/>
  <c r="I190" i="35"/>
  <c r="J190" i="35"/>
  <c r="K190" i="35"/>
  <c r="W505" i="40"/>
  <c r="G332" i="35"/>
  <c r="I332" i="35"/>
  <c r="J332" i="35"/>
  <c r="K332" i="35"/>
  <c r="W504" i="40"/>
  <c r="G35" i="35"/>
  <c r="I35" i="35"/>
  <c r="J35" i="35"/>
  <c r="K35" i="35"/>
  <c r="W503" i="40"/>
  <c r="G105" i="35"/>
  <c r="I105" i="35"/>
  <c r="J105" i="35"/>
  <c r="K105" i="35"/>
  <c r="W502" i="40"/>
  <c r="G136" i="35"/>
  <c r="I136" i="35"/>
  <c r="J136" i="35"/>
  <c r="K136" i="35"/>
  <c r="W501" i="40"/>
  <c r="G63" i="35"/>
  <c r="I63" i="35"/>
  <c r="J63" i="35"/>
  <c r="K63" i="35"/>
  <c r="W500" i="40"/>
  <c r="G286" i="35"/>
  <c r="I286" i="35"/>
  <c r="J286" i="35"/>
  <c r="K286" i="35"/>
  <c r="W499" i="40"/>
  <c r="G56" i="35"/>
  <c r="I56" i="35"/>
  <c r="J56" i="35"/>
  <c r="K56" i="35"/>
  <c r="W498" i="40"/>
  <c r="G41" i="35"/>
  <c r="I41" i="35"/>
  <c r="J41" i="35"/>
  <c r="K41" i="35"/>
  <c r="W497" i="40"/>
  <c r="G163" i="35"/>
  <c r="I163" i="35"/>
  <c r="J163" i="35"/>
  <c r="K163" i="35"/>
  <c r="W496" i="40"/>
  <c r="G73" i="35"/>
  <c r="I73" i="35"/>
  <c r="J73" i="35"/>
  <c r="K73" i="35"/>
  <c r="W495" i="40"/>
  <c r="G69" i="35"/>
  <c r="I69" i="35"/>
  <c r="J69" i="35"/>
  <c r="K69" i="35"/>
  <c r="W494" i="40"/>
  <c r="G306" i="35"/>
  <c r="I306" i="35"/>
  <c r="J306" i="35"/>
  <c r="K306" i="35"/>
  <c r="W493" i="40"/>
  <c r="G126" i="35"/>
  <c r="I126" i="35"/>
  <c r="J126" i="35"/>
  <c r="K126" i="35"/>
  <c r="W492" i="40"/>
  <c r="G117" i="35"/>
  <c r="I117" i="35"/>
  <c r="J117" i="35"/>
  <c r="K117" i="35"/>
  <c r="W491" i="40"/>
  <c r="G176" i="35"/>
  <c r="I176" i="35"/>
  <c r="J176" i="35"/>
  <c r="K176" i="35"/>
  <c r="W490" i="40"/>
  <c r="G330" i="35"/>
  <c r="I330" i="35"/>
  <c r="J330" i="35"/>
  <c r="K330" i="35"/>
  <c r="W489" i="40"/>
  <c r="G227" i="35"/>
  <c r="I227" i="35"/>
  <c r="J227" i="35"/>
  <c r="K227" i="35"/>
  <c r="W488" i="40"/>
  <c r="W487" i="40"/>
  <c r="G165" i="35"/>
  <c r="I165" i="35"/>
  <c r="J165" i="35"/>
  <c r="K165" i="35"/>
  <c r="W486" i="40"/>
  <c r="G232" i="35"/>
  <c r="I232" i="35"/>
  <c r="J232" i="35"/>
  <c r="K232" i="35"/>
  <c r="W485" i="40"/>
  <c r="G157" i="35"/>
  <c r="I157" i="35"/>
  <c r="J157" i="35"/>
  <c r="K157" i="35"/>
  <c r="W484" i="40"/>
  <c r="G72" i="35"/>
  <c r="I72" i="35"/>
  <c r="J72" i="35"/>
  <c r="K72" i="35"/>
  <c r="W483" i="40"/>
  <c r="G195" i="35"/>
  <c r="I195" i="35"/>
  <c r="J195" i="35"/>
  <c r="K195" i="35"/>
  <c r="W482" i="40"/>
  <c r="G97" i="35"/>
  <c r="I97" i="35"/>
  <c r="J97" i="35"/>
  <c r="K97" i="35"/>
  <c r="W481" i="40"/>
  <c r="W480" i="40"/>
  <c r="G139" i="35"/>
  <c r="I139" i="35"/>
  <c r="J139" i="35"/>
  <c r="K139" i="35"/>
  <c r="W479" i="40"/>
  <c r="W478" i="40"/>
  <c r="G30" i="35"/>
  <c r="I30" i="35"/>
  <c r="J30" i="35"/>
  <c r="K30" i="35"/>
  <c r="W477" i="40"/>
  <c r="G324" i="35"/>
  <c r="I324" i="35"/>
  <c r="J324" i="35"/>
  <c r="K324" i="35"/>
  <c r="W476" i="40"/>
  <c r="G219" i="35"/>
  <c r="I219" i="35"/>
  <c r="J219" i="35"/>
  <c r="K219" i="35"/>
  <c r="W475" i="40"/>
  <c r="G305" i="35"/>
  <c r="I305" i="35"/>
  <c r="J305" i="35"/>
  <c r="K305" i="35"/>
  <c r="W474" i="40"/>
  <c r="G214" i="35"/>
  <c r="I214" i="35"/>
  <c r="J214" i="35"/>
  <c r="K214" i="35"/>
  <c r="W473" i="40"/>
  <c r="W472" i="40"/>
  <c r="G168" i="35"/>
  <c r="I168" i="35"/>
  <c r="J168" i="35"/>
  <c r="K168" i="35"/>
  <c r="W471" i="40"/>
  <c r="G292" i="35"/>
  <c r="I292" i="35"/>
  <c r="J292" i="35"/>
  <c r="K292" i="35"/>
  <c r="W470" i="40"/>
  <c r="G47" i="35"/>
  <c r="I47" i="35"/>
  <c r="J47" i="35"/>
  <c r="K47" i="35"/>
  <c r="W469" i="40"/>
  <c r="W468" i="40"/>
  <c r="W467" i="40"/>
  <c r="G183" i="35"/>
  <c r="I183" i="35"/>
  <c r="J183" i="35"/>
  <c r="K183" i="35"/>
  <c r="W466" i="40"/>
  <c r="G248" i="35"/>
  <c r="I248" i="35"/>
  <c r="J248" i="35"/>
  <c r="K248" i="35"/>
  <c r="W465" i="40"/>
  <c r="G29" i="35"/>
  <c r="I29" i="35"/>
  <c r="J29" i="35"/>
  <c r="K29" i="35"/>
  <c r="W464" i="40"/>
  <c r="W463" i="40"/>
  <c r="W462" i="40"/>
  <c r="G212" i="35"/>
  <c r="I212" i="35"/>
  <c r="J212" i="35"/>
  <c r="K212" i="35"/>
  <c r="W461" i="40"/>
  <c r="G180" i="35"/>
  <c r="I180" i="35"/>
  <c r="J180" i="35"/>
  <c r="K180" i="35"/>
  <c r="W460" i="40"/>
  <c r="G114" i="35"/>
  <c r="I114" i="35"/>
  <c r="J114" i="35"/>
  <c r="K114" i="35"/>
  <c r="W459" i="40"/>
  <c r="G294" i="35"/>
  <c r="I294" i="35"/>
  <c r="J294" i="35"/>
  <c r="K294" i="35"/>
  <c r="W458" i="40"/>
  <c r="G260" i="35"/>
  <c r="I260" i="35"/>
  <c r="J260" i="35"/>
  <c r="K260" i="35"/>
  <c r="W457" i="40"/>
  <c r="G89" i="35"/>
  <c r="I89" i="35"/>
  <c r="J89" i="35"/>
  <c r="K89" i="35"/>
  <c r="W456" i="40"/>
  <c r="G65" i="35"/>
  <c r="I65" i="35"/>
  <c r="J65" i="35"/>
  <c r="K65" i="35"/>
  <c r="W455" i="40"/>
  <c r="W454" i="40"/>
  <c r="G46" i="35"/>
  <c r="I46" i="35"/>
  <c r="J46" i="35"/>
  <c r="K46" i="35"/>
  <c r="W453" i="40"/>
  <c r="W452" i="40"/>
  <c r="G279" i="35"/>
  <c r="I279" i="35"/>
  <c r="J279" i="35"/>
  <c r="K279" i="35"/>
  <c r="W451" i="40"/>
  <c r="G149" i="35"/>
  <c r="I149" i="35"/>
  <c r="J149" i="35"/>
  <c r="K149" i="35"/>
  <c r="W450" i="40"/>
  <c r="G145" i="35"/>
  <c r="I145" i="35"/>
  <c r="J145" i="35"/>
  <c r="K145" i="35"/>
  <c r="W449" i="40"/>
  <c r="W448" i="40"/>
  <c r="W447" i="40"/>
  <c r="W446" i="40"/>
  <c r="W445" i="40"/>
  <c r="G230" i="35"/>
  <c r="I230" i="35"/>
  <c r="J230" i="35"/>
  <c r="K230" i="35"/>
  <c r="W444" i="40"/>
  <c r="G53" i="35"/>
  <c r="I53" i="35"/>
  <c r="J53" i="35"/>
  <c r="K53" i="35"/>
  <c r="W443" i="40"/>
  <c r="G158" i="35"/>
  <c r="I158" i="35"/>
  <c r="J158" i="35"/>
  <c r="K158" i="35"/>
  <c r="W442" i="40"/>
  <c r="G175" i="35"/>
  <c r="I175" i="35"/>
  <c r="J175" i="35"/>
  <c r="K175" i="35"/>
  <c r="W441" i="40"/>
  <c r="G293" i="35"/>
  <c r="I293" i="35"/>
  <c r="J293" i="35"/>
  <c r="K293" i="35"/>
  <c r="W440" i="40"/>
  <c r="G202" i="35"/>
  <c r="I202" i="35"/>
  <c r="J202" i="35"/>
  <c r="K202" i="35"/>
  <c r="W439" i="40"/>
  <c r="G87" i="35"/>
  <c r="I87" i="35"/>
  <c r="J87" i="35"/>
  <c r="K87" i="35"/>
  <c r="W438" i="40"/>
  <c r="W437" i="40"/>
  <c r="W436" i="40"/>
  <c r="G308" i="35"/>
  <c r="I308" i="35"/>
  <c r="J308" i="35"/>
  <c r="K308" i="35"/>
  <c r="W435" i="40"/>
  <c r="G323" i="35"/>
  <c r="I323" i="35"/>
  <c r="J323" i="35"/>
  <c r="K323" i="35"/>
  <c r="W434" i="40"/>
  <c r="G239" i="35"/>
  <c r="I239" i="35"/>
  <c r="J239" i="35"/>
  <c r="K239" i="35"/>
  <c r="W433" i="40"/>
  <c r="G174" i="35"/>
  <c r="I174" i="35"/>
  <c r="J174" i="35"/>
  <c r="K174" i="35"/>
  <c r="W432" i="40"/>
  <c r="G284" i="35"/>
  <c r="I284" i="35"/>
  <c r="J284" i="35"/>
  <c r="K284" i="35"/>
  <c r="W431" i="40"/>
  <c r="G249" i="35"/>
  <c r="I249" i="35"/>
  <c r="J249" i="35"/>
  <c r="K249" i="35"/>
  <c r="W430" i="40"/>
  <c r="G208" i="35"/>
  <c r="I208" i="35"/>
  <c r="J208" i="35"/>
  <c r="K208" i="35"/>
  <c r="W429" i="40"/>
  <c r="W428" i="40"/>
  <c r="W427" i="40"/>
  <c r="G236" i="35"/>
  <c r="I236" i="35"/>
  <c r="J236" i="35"/>
  <c r="K236" i="35"/>
  <c r="W426" i="40"/>
  <c r="G209" i="35"/>
  <c r="I209" i="35"/>
  <c r="J209" i="35"/>
  <c r="K209" i="35"/>
  <c r="W425" i="40"/>
  <c r="G285" i="35"/>
  <c r="I285" i="35"/>
  <c r="J285" i="35"/>
  <c r="K285" i="35"/>
  <c r="W424" i="40"/>
  <c r="G28" i="35"/>
  <c r="I28" i="35"/>
  <c r="J28" i="35"/>
  <c r="K28" i="35"/>
  <c r="W423" i="40"/>
  <c r="G336" i="35"/>
  <c r="I336" i="35"/>
  <c r="J336" i="35"/>
  <c r="K336" i="35"/>
  <c r="W422" i="40"/>
  <c r="W421" i="40"/>
  <c r="G297" i="35"/>
  <c r="I297" i="35"/>
  <c r="J297" i="35"/>
  <c r="K297" i="35"/>
  <c r="W420" i="40"/>
  <c r="G99" i="35"/>
  <c r="I99" i="35"/>
  <c r="J99" i="35"/>
  <c r="K99" i="35"/>
  <c r="W419" i="40"/>
  <c r="G181" i="35"/>
  <c r="I181" i="35"/>
  <c r="J181" i="35"/>
  <c r="K181" i="35"/>
  <c r="W418" i="40"/>
  <c r="G9" i="35"/>
  <c r="I9" i="35"/>
  <c r="J9" i="35"/>
  <c r="K9" i="35"/>
  <c r="W417" i="40"/>
  <c r="G52" i="35"/>
  <c r="I52" i="35"/>
  <c r="J52" i="35"/>
  <c r="K52" i="35"/>
  <c r="W416" i="40"/>
  <c r="W415" i="40"/>
  <c r="G51" i="35"/>
  <c r="I51" i="35"/>
  <c r="J51" i="35"/>
  <c r="K51" i="35"/>
  <c r="W414" i="40"/>
  <c r="G312" i="35"/>
  <c r="I312" i="35"/>
  <c r="J312" i="35"/>
  <c r="K312" i="35"/>
  <c r="W413" i="40"/>
  <c r="W412" i="40"/>
  <c r="G88" i="35"/>
  <c r="I88" i="35"/>
  <c r="J88" i="35"/>
  <c r="K88" i="35"/>
  <c r="W411" i="40"/>
  <c r="G326" i="35"/>
  <c r="I326" i="35"/>
  <c r="J326" i="35"/>
  <c r="K326" i="35"/>
  <c r="W410" i="40"/>
  <c r="G280" i="35"/>
  <c r="I280" i="35"/>
  <c r="J280" i="35"/>
  <c r="K280" i="35"/>
  <c r="W409" i="40"/>
  <c r="G242" i="35"/>
  <c r="I242" i="35"/>
  <c r="J242" i="35"/>
  <c r="K242" i="35"/>
  <c r="W408" i="40"/>
  <c r="W407" i="40"/>
  <c r="G228" i="35"/>
  <c r="I228" i="35"/>
  <c r="J228" i="35"/>
  <c r="K228" i="35"/>
  <c r="W406" i="40"/>
  <c r="G138" i="35"/>
  <c r="I138" i="35"/>
  <c r="J138" i="35"/>
  <c r="K138" i="35"/>
  <c r="W405" i="40"/>
  <c r="G5" i="35"/>
  <c r="I5" i="35"/>
  <c r="J5" i="35"/>
  <c r="K5" i="35"/>
  <c r="W404" i="40"/>
  <c r="G271" i="35"/>
  <c r="I271" i="35"/>
  <c r="J271" i="35"/>
  <c r="K271" i="35"/>
  <c r="W403" i="40"/>
  <c r="W402" i="40"/>
  <c r="G55" i="35"/>
  <c r="I55" i="35"/>
  <c r="J55" i="35"/>
  <c r="K55" i="35"/>
  <c r="W401" i="40"/>
  <c r="G257" i="35"/>
  <c r="I257" i="35"/>
  <c r="J257" i="35"/>
  <c r="K257" i="35"/>
  <c r="W400" i="40"/>
  <c r="G299" i="35"/>
  <c r="I299" i="35"/>
  <c r="J299" i="35"/>
  <c r="K299" i="35"/>
  <c r="W399" i="40"/>
  <c r="G39" i="35"/>
  <c r="I39" i="35"/>
  <c r="J39" i="35"/>
  <c r="K39" i="35"/>
  <c r="W398" i="40"/>
  <c r="G18" i="35"/>
  <c r="I18" i="35"/>
  <c r="J18" i="35"/>
  <c r="K18" i="35"/>
  <c r="W397" i="40"/>
  <c r="G206" i="35"/>
  <c r="I206" i="35"/>
  <c r="J206" i="35"/>
  <c r="K206" i="35"/>
  <c r="W396" i="40"/>
  <c r="G74" i="35"/>
  <c r="I74" i="35"/>
  <c r="J74" i="35"/>
  <c r="K74" i="35"/>
  <c r="W395" i="40"/>
  <c r="W394" i="40"/>
  <c r="G123" i="35"/>
  <c r="I123" i="35"/>
  <c r="J123" i="35"/>
  <c r="K123" i="35"/>
  <c r="W393" i="40"/>
  <c r="W392" i="40"/>
  <c r="G196" i="35"/>
  <c r="I196" i="35"/>
  <c r="J196" i="35"/>
  <c r="K196" i="35"/>
  <c r="W391" i="40"/>
  <c r="G314" i="35"/>
  <c r="I314" i="35"/>
  <c r="J314" i="35"/>
  <c r="K314" i="35"/>
  <c r="W390" i="40"/>
  <c r="W389" i="40"/>
  <c r="G325" i="35"/>
  <c r="I325" i="35"/>
  <c r="J325" i="35"/>
  <c r="K325" i="35"/>
  <c r="W388" i="40"/>
  <c r="G200" i="35"/>
  <c r="I200" i="35"/>
  <c r="J200" i="35"/>
  <c r="K200" i="35"/>
  <c r="W387" i="40"/>
  <c r="G262" i="35"/>
  <c r="I262" i="35"/>
  <c r="J262" i="35"/>
  <c r="K262" i="35"/>
  <c r="W386" i="40"/>
  <c r="W385" i="40"/>
  <c r="G321" i="35"/>
  <c r="I321" i="35"/>
  <c r="J321" i="35"/>
  <c r="K321" i="35"/>
  <c r="W384" i="40"/>
  <c r="G193" i="35"/>
  <c r="I193" i="35"/>
  <c r="J193" i="35"/>
  <c r="K193" i="35"/>
  <c r="W383" i="40"/>
  <c r="G331" i="35"/>
  <c r="I331" i="35"/>
  <c r="J331" i="35"/>
  <c r="K331" i="35"/>
  <c r="W382" i="40"/>
  <c r="W381" i="40"/>
  <c r="W380" i="40"/>
  <c r="G318" i="35"/>
  <c r="I318" i="35"/>
  <c r="J318" i="35"/>
  <c r="K318" i="35"/>
  <c r="W379" i="40"/>
  <c r="G328" i="35"/>
  <c r="I328" i="35"/>
  <c r="J328" i="35"/>
  <c r="K328" i="35"/>
  <c r="W378" i="40"/>
  <c r="G194" i="35"/>
  <c r="I194" i="35"/>
  <c r="J194" i="35"/>
  <c r="K194" i="35"/>
  <c r="W377" i="40"/>
  <c r="G217" i="35"/>
  <c r="I217" i="35"/>
  <c r="J217" i="35"/>
  <c r="K217" i="35"/>
  <c r="W376" i="40"/>
  <c r="G319" i="35"/>
  <c r="I319" i="35"/>
  <c r="J319" i="35"/>
  <c r="K319" i="35"/>
  <c r="W375" i="40"/>
  <c r="G101" i="35"/>
  <c r="I101" i="35"/>
  <c r="J101" i="35"/>
  <c r="K101" i="35"/>
  <c r="W374" i="40"/>
  <c r="G49" i="35"/>
  <c r="I49" i="35"/>
  <c r="J49" i="35"/>
  <c r="K49" i="35"/>
  <c r="W373" i="40"/>
  <c r="W372" i="40"/>
  <c r="G266" i="35"/>
  <c r="I266" i="35"/>
  <c r="J266" i="35"/>
  <c r="K266" i="35"/>
  <c r="W371" i="40"/>
  <c r="G289" i="35"/>
  <c r="I289" i="35"/>
  <c r="J289" i="35"/>
  <c r="K289" i="35"/>
  <c r="W370" i="40"/>
  <c r="G322" i="35"/>
  <c r="I322" i="35"/>
  <c r="J322" i="35"/>
  <c r="K322" i="35"/>
  <c r="W369" i="40"/>
  <c r="W368" i="40"/>
  <c r="G290" i="35"/>
  <c r="I290" i="35"/>
  <c r="J290" i="35"/>
  <c r="K290" i="35"/>
  <c r="W367" i="40"/>
  <c r="G64" i="35"/>
  <c r="I64" i="35"/>
  <c r="J64" i="35"/>
  <c r="K64" i="35"/>
  <c r="W366" i="40"/>
  <c r="G221" i="35"/>
  <c r="I221" i="35"/>
  <c r="J221" i="35"/>
  <c r="K221" i="35"/>
  <c r="W365" i="40"/>
  <c r="G300" i="35"/>
  <c r="I300" i="35"/>
  <c r="J300" i="35"/>
  <c r="K300" i="35"/>
  <c r="W364" i="40"/>
  <c r="G233" i="35"/>
  <c r="I233" i="35"/>
  <c r="J233" i="35"/>
  <c r="K233" i="35"/>
  <c r="W363" i="40"/>
  <c r="W362" i="40"/>
  <c r="G317" i="35"/>
  <c r="I317" i="35"/>
  <c r="J317" i="35"/>
  <c r="K317" i="35"/>
  <c r="W361" i="40"/>
  <c r="W360" i="40"/>
  <c r="G313" i="35"/>
  <c r="I313" i="35"/>
  <c r="J313" i="35"/>
  <c r="K313" i="35"/>
  <c r="W359" i="40"/>
  <c r="G274" i="35"/>
  <c r="I274" i="35"/>
  <c r="J274" i="35"/>
  <c r="K274" i="35"/>
  <c r="W358" i="40"/>
  <c r="W357" i="40"/>
  <c r="W356" i="40"/>
  <c r="W355" i="40"/>
  <c r="G253" i="35"/>
  <c r="I253" i="35"/>
  <c r="J253" i="35"/>
  <c r="K253" i="35"/>
  <c r="W354" i="40"/>
  <c r="G295" i="35"/>
  <c r="I295" i="35"/>
  <c r="J295" i="35"/>
  <c r="K295" i="35"/>
  <c r="W353" i="40"/>
  <c r="G179" i="35"/>
  <c r="I179" i="35"/>
  <c r="J179" i="35"/>
  <c r="K179" i="35"/>
  <c r="W352" i="40"/>
  <c r="G243" i="35"/>
  <c r="I243" i="35"/>
  <c r="J243" i="35"/>
  <c r="K243" i="35"/>
  <c r="W351" i="40"/>
  <c r="G134" i="35"/>
  <c r="I134" i="35"/>
  <c r="J134" i="35"/>
  <c r="K134" i="35"/>
  <c r="W350" i="40"/>
  <c r="W349" i="40"/>
  <c r="G298" i="35"/>
  <c r="I298" i="35"/>
  <c r="J298" i="35"/>
  <c r="K298" i="35"/>
  <c r="W348" i="40"/>
  <c r="G315" i="35"/>
  <c r="I315" i="35"/>
  <c r="J315" i="35"/>
  <c r="K315" i="35"/>
  <c r="W347" i="40"/>
  <c r="G263" i="35"/>
  <c r="I263" i="35"/>
  <c r="J263" i="35"/>
  <c r="K263" i="35"/>
  <c r="W346" i="40"/>
  <c r="W345" i="40"/>
  <c r="W344" i="40"/>
  <c r="G140" i="35"/>
  <c r="I140" i="35"/>
  <c r="J140" i="35"/>
  <c r="K140" i="35"/>
  <c r="W343" i="40"/>
  <c r="G281" i="35"/>
  <c r="I281" i="35"/>
  <c r="J281" i="35"/>
  <c r="K281" i="35"/>
  <c r="W342" i="40"/>
  <c r="W341" i="40"/>
  <c r="W340" i="40"/>
  <c r="G311" i="35"/>
  <c r="I311" i="35"/>
  <c r="J311" i="35"/>
  <c r="K311" i="35"/>
  <c r="W339" i="40"/>
  <c r="G156" i="35"/>
  <c r="I156" i="35"/>
  <c r="J156" i="35"/>
  <c r="K156" i="35"/>
  <c r="W338" i="40"/>
  <c r="G141" i="35"/>
  <c r="I141" i="35"/>
  <c r="J141" i="35"/>
  <c r="K141" i="35"/>
  <c r="W337" i="40"/>
  <c r="G220" i="35"/>
  <c r="I220" i="35"/>
  <c r="J220" i="35"/>
  <c r="K220" i="35"/>
  <c r="W336" i="40"/>
  <c r="G278" i="35"/>
  <c r="I278" i="35"/>
  <c r="J278" i="35"/>
  <c r="K278" i="35"/>
  <c r="W335" i="40"/>
  <c r="W334" i="40"/>
  <c r="G12" i="35"/>
  <c r="I12" i="35"/>
  <c r="J12" i="35"/>
  <c r="K12" i="35"/>
  <c r="W333" i="40"/>
  <c r="G235" i="35"/>
  <c r="I235" i="35"/>
  <c r="J235" i="35"/>
  <c r="K235" i="35"/>
  <c r="W332" i="40"/>
  <c r="G301" i="35"/>
  <c r="I301" i="35"/>
  <c r="J301" i="35"/>
  <c r="K301" i="35"/>
  <c r="W331" i="40"/>
  <c r="G291" i="35"/>
  <c r="I291" i="35"/>
  <c r="J291" i="35"/>
  <c r="K291" i="35"/>
  <c r="W330" i="40"/>
  <c r="W329" i="40"/>
  <c r="G33" i="35"/>
  <c r="I33" i="35"/>
  <c r="J33" i="35"/>
  <c r="K33" i="35"/>
  <c r="G34" i="35"/>
  <c r="I34" i="35"/>
  <c r="J34" i="35"/>
  <c r="K34" i="35"/>
  <c r="W328" i="40"/>
  <c r="G152" i="35"/>
  <c r="I152" i="35"/>
  <c r="J152" i="35"/>
  <c r="K152" i="35"/>
  <c r="W327" i="40"/>
  <c r="W326" i="40"/>
  <c r="G54" i="35"/>
  <c r="I54" i="35"/>
  <c r="J54" i="35"/>
  <c r="K54" i="35"/>
  <c r="W325" i="40"/>
  <c r="G205" i="35"/>
  <c r="I205" i="35"/>
  <c r="J205" i="35"/>
  <c r="K205" i="35"/>
  <c r="W324" i="40"/>
  <c r="G229" i="35"/>
  <c r="I229" i="35"/>
  <c r="J229" i="35"/>
  <c r="K229" i="35"/>
  <c r="W323" i="40"/>
  <c r="W322" i="40"/>
  <c r="G252" i="35"/>
  <c r="I252" i="35"/>
  <c r="J252" i="35"/>
  <c r="K252" i="35"/>
  <c r="W321" i="40"/>
  <c r="G48" i="35"/>
  <c r="I48" i="35"/>
  <c r="J48" i="35"/>
  <c r="K48" i="35"/>
  <c r="W320" i="40"/>
  <c r="G255" i="35"/>
  <c r="I255" i="35"/>
  <c r="J255" i="35"/>
  <c r="K255" i="35"/>
  <c r="W319" i="40"/>
  <c r="W318" i="40"/>
  <c r="G296" i="35"/>
  <c r="I296" i="35"/>
  <c r="J296" i="35"/>
  <c r="K296" i="35"/>
  <c r="W317" i="40"/>
  <c r="W316" i="40"/>
  <c r="G307" i="35"/>
  <c r="I307" i="35"/>
  <c r="J307" i="35"/>
  <c r="K307" i="35"/>
  <c r="W315" i="40"/>
  <c r="G203" i="35"/>
  <c r="I203" i="35"/>
  <c r="J203" i="35"/>
  <c r="K203" i="35"/>
  <c r="W314" i="40"/>
  <c r="G13" i="35"/>
  <c r="I13" i="35"/>
  <c r="J13" i="35"/>
  <c r="K13" i="35"/>
  <c r="W313" i="40"/>
  <c r="G184" i="35"/>
  <c r="I184" i="35"/>
  <c r="J184" i="35"/>
  <c r="K184" i="35"/>
  <c r="W312" i="40"/>
  <c r="W311" i="40"/>
  <c r="G276" i="35"/>
  <c r="I276" i="35"/>
  <c r="J276" i="35"/>
  <c r="K276" i="35"/>
  <c r="W310" i="40"/>
  <c r="G96" i="35"/>
  <c r="I96" i="35"/>
  <c r="J96" i="35"/>
  <c r="K96" i="35"/>
  <c r="W309" i="40"/>
  <c r="G327" i="35"/>
  <c r="I327" i="35"/>
  <c r="J327" i="35"/>
  <c r="K327" i="35"/>
  <c r="W308" i="40"/>
  <c r="W307" i="40"/>
  <c r="G283" i="35"/>
  <c r="I283" i="35"/>
  <c r="J283" i="35"/>
  <c r="K283" i="35"/>
  <c r="W306" i="40"/>
  <c r="W305" i="40"/>
  <c r="G258" i="35"/>
  <c r="I258" i="35"/>
  <c r="J258" i="35"/>
  <c r="K258" i="35"/>
  <c r="W304" i="40"/>
  <c r="G104" i="35"/>
  <c r="I104" i="35"/>
  <c r="J104" i="35"/>
  <c r="K104" i="35"/>
  <c r="W303" i="40"/>
  <c r="G304" i="35"/>
  <c r="I304" i="35"/>
  <c r="J304" i="35"/>
  <c r="K304" i="35"/>
  <c r="W302" i="40"/>
  <c r="W301" i="40"/>
  <c r="W300" i="40"/>
  <c r="G189" i="35"/>
  <c r="I189" i="35"/>
  <c r="J189" i="35"/>
  <c r="K189" i="35"/>
  <c r="W299" i="40"/>
  <c r="G225" i="35"/>
  <c r="I225" i="35"/>
  <c r="J225" i="35"/>
  <c r="K225" i="35"/>
  <c r="W298" i="40"/>
  <c r="W297" i="40"/>
  <c r="G197" i="35"/>
  <c r="I197" i="35"/>
  <c r="J197" i="35"/>
  <c r="K197" i="35"/>
  <c r="W296" i="40"/>
  <c r="W295" i="40"/>
  <c r="G80" i="35"/>
  <c r="I80" i="35"/>
  <c r="J80" i="35"/>
  <c r="K80" i="35"/>
  <c r="W294" i="40"/>
  <c r="G240" i="35"/>
  <c r="I240" i="35"/>
  <c r="J240" i="35"/>
  <c r="K240" i="35"/>
  <c r="W293" i="40"/>
  <c r="G161" i="35"/>
  <c r="I161" i="35"/>
  <c r="J161" i="35"/>
  <c r="K161" i="35"/>
  <c r="W292" i="40"/>
  <c r="G335" i="35"/>
  <c r="I335" i="35"/>
  <c r="J335" i="35"/>
  <c r="K335" i="35"/>
  <c r="W291" i="40"/>
  <c r="G24" i="35"/>
  <c r="I24" i="35"/>
  <c r="J24" i="35"/>
  <c r="K24" i="35"/>
  <c r="W290" i="40"/>
  <c r="G37" i="35"/>
  <c r="I37" i="35"/>
  <c r="J37" i="35"/>
  <c r="K37" i="35"/>
  <c r="W289" i="40"/>
  <c r="G287" i="35"/>
  <c r="I287" i="35"/>
  <c r="J287" i="35"/>
  <c r="K287" i="35"/>
  <c r="W288" i="40"/>
  <c r="G57" i="35"/>
  <c r="I57" i="35"/>
  <c r="J57" i="35"/>
  <c r="K57" i="35"/>
  <c r="G58" i="35"/>
  <c r="I58" i="35"/>
  <c r="J58" i="35"/>
  <c r="K58" i="35"/>
  <c r="W287" i="40"/>
  <c r="G133" i="35"/>
  <c r="I133" i="35"/>
  <c r="J133" i="35"/>
  <c r="K133" i="35"/>
  <c r="W286" i="40"/>
  <c r="G333" i="35"/>
  <c r="I333" i="35"/>
  <c r="J333" i="35"/>
  <c r="K333" i="35"/>
  <c r="W285" i="40"/>
  <c r="G334" i="35"/>
  <c r="I334" i="35"/>
  <c r="J334" i="35"/>
  <c r="K334" i="35"/>
  <c r="W284" i="40"/>
  <c r="G216" i="35"/>
  <c r="I216" i="35"/>
  <c r="J216" i="35"/>
  <c r="K216" i="35"/>
  <c r="W283" i="40"/>
  <c r="G109" i="35"/>
  <c r="I109" i="35"/>
  <c r="J109" i="35"/>
  <c r="K109" i="35"/>
  <c r="W282" i="40"/>
  <c r="G20" i="35"/>
  <c r="I20" i="35"/>
  <c r="J20" i="35"/>
  <c r="K20" i="35"/>
  <c r="W281" i="40"/>
  <c r="G251" i="35"/>
  <c r="I251" i="35"/>
  <c r="J251" i="35"/>
  <c r="K251" i="35"/>
  <c r="W280" i="40"/>
  <c r="G122" i="35"/>
  <c r="I122" i="35"/>
  <c r="J122" i="35"/>
  <c r="K122" i="35"/>
  <c r="W279" i="40"/>
  <c r="G67" i="35"/>
  <c r="I67" i="35"/>
  <c r="J67" i="35"/>
  <c r="K67" i="35"/>
  <c r="W278" i="40"/>
  <c r="G68" i="35"/>
  <c r="I68" i="35"/>
  <c r="J68" i="35"/>
  <c r="K68" i="35"/>
  <c r="W277" i="40"/>
  <c r="G92" i="35"/>
  <c r="I92" i="35"/>
  <c r="J92" i="35"/>
  <c r="K92" i="35"/>
  <c r="W276" i="40"/>
  <c r="G50" i="35"/>
  <c r="I50" i="35"/>
  <c r="J50" i="35"/>
  <c r="K50" i="35"/>
  <c r="W275" i="40"/>
  <c r="G100" i="35"/>
  <c r="I100" i="35"/>
  <c r="J100" i="35"/>
  <c r="K100" i="35"/>
  <c r="W274" i="40"/>
  <c r="G142" i="35"/>
  <c r="I142" i="35"/>
  <c r="J142" i="35"/>
  <c r="K142" i="35"/>
  <c r="W273" i="40"/>
  <c r="G207" i="35"/>
  <c r="I207" i="35"/>
  <c r="J207" i="35"/>
  <c r="K207" i="35"/>
  <c r="W272" i="40"/>
  <c r="G17" i="35"/>
  <c r="I17" i="35"/>
  <c r="J17" i="35"/>
  <c r="K17" i="35"/>
  <c r="W271" i="40"/>
  <c r="G6" i="35"/>
  <c r="I6" i="35"/>
  <c r="J6" i="35"/>
  <c r="K6" i="35"/>
  <c r="W270" i="40"/>
  <c r="G42" i="35"/>
  <c r="I42" i="35"/>
  <c r="J42" i="35"/>
  <c r="K42" i="35"/>
  <c r="W269" i="40"/>
  <c r="G130" i="35"/>
  <c r="I130" i="35"/>
  <c r="J130" i="35"/>
  <c r="K130" i="35"/>
  <c r="W268" i="40"/>
  <c r="W267" i="40"/>
  <c r="G107" i="35"/>
  <c r="I107" i="35"/>
  <c r="J107" i="35"/>
  <c r="K107" i="35"/>
  <c r="W266" i="40"/>
  <c r="G61" i="35"/>
  <c r="I61" i="35"/>
  <c r="J61" i="35"/>
  <c r="K61" i="35"/>
  <c r="W265" i="40"/>
  <c r="G38" i="35"/>
  <c r="I38" i="35"/>
  <c r="J38" i="35"/>
  <c r="K38" i="35"/>
  <c r="W264" i="40"/>
  <c r="G40" i="35"/>
  <c r="I40" i="35"/>
  <c r="J40" i="35"/>
  <c r="K40" i="35"/>
  <c r="W263" i="40"/>
  <c r="G116" i="35"/>
  <c r="I116" i="35"/>
  <c r="J116" i="35"/>
  <c r="K116" i="35"/>
  <c r="W262" i="40"/>
  <c r="G154" i="35"/>
  <c r="I154" i="35"/>
  <c r="J154" i="35"/>
  <c r="K154" i="35"/>
  <c r="W261" i="40"/>
  <c r="W260" i="40"/>
  <c r="G110" i="35"/>
  <c r="I110" i="35"/>
  <c r="J110" i="35"/>
  <c r="K110" i="35"/>
  <c r="W259" i="40"/>
  <c r="W258" i="40"/>
  <c r="G159" i="35"/>
  <c r="I159" i="35"/>
  <c r="J159" i="35"/>
  <c r="K159" i="35"/>
  <c r="W257" i="40"/>
  <c r="G215" i="35"/>
  <c r="I215" i="35"/>
  <c r="J215" i="35"/>
  <c r="K215" i="35"/>
  <c r="W256" i="40"/>
  <c r="G119" i="35"/>
  <c r="I119" i="35"/>
  <c r="J119" i="35"/>
  <c r="K119" i="35"/>
  <c r="W255" i="40"/>
  <c r="G218" i="35"/>
  <c r="I218" i="35"/>
  <c r="J218" i="35"/>
  <c r="K218" i="35"/>
  <c r="W254" i="40"/>
  <c r="G187" i="35"/>
  <c r="I187" i="35"/>
  <c r="J187" i="35"/>
  <c r="K187" i="35"/>
  <c r="W253" i="40"/>
  <c r="W252" i="40"/>
  <c r="G70" i="35"/>
  <c r="I70" i="35"/>
  <c r="J70" i="35"/>
  <c r="K70" i="35"/>
  <c r="W251" i="40"/>
  <c r="G269" i="35"/>
  <c r="I269" i="35"/>
  <c r="J269" i="35"/>
  <c r="K269" i="35"/>
  <c r="W250" i="40"/>
  <c r="G204" i="35"/>
  <c r="I204" i="35"/>
  <c r="J204" i="35"/>
  <c r="K204" i="35"/>
  <c r="W249" i="40"/>
  <c r="W248" i="40"/>
  <c r="W247" i="40"/>
  <c r="G43" i="35"/>
  <c r="I43" i="35"/>
  <c r="J43" i="35"/>
  <c r="K43" i="35"/>
  <c r="W246" i="40"/>
  <c r="G272" i="35"/>
  <c r="I272" i="35"/>
  <c r="J272" i="35"/>
  <c r="K272" i="35"/>
  <c r="W245" i="40"/>
  <c r="G124" i="35"/>
  <c r="I124" i="35"/>
  <c r="J124" i="35"/>
  <c r="K124" i="35"/>
  <c r="W244" i="40"/>
  <c r="W243" i="40"/>
  <c r="W242" i="40"/>
  <c r="G2" i="35"/>
  <c r="I2" i="35"/>
  <c r="J2" i="35"/>
  <c r="K2" i="35"/>
  <c r="W241" i="40"/>
  <c r="G316" i="35"/>
  <c r="I316" i="35"/>
  <c r="J316" i="35"/>
  <c r="K316" i="35"/>
  <c r="W240" i="40"/>
  <c r="G288" i="35"/>
  <c r="I288" i="35"/>
  <c r="J288" i="35"/>
  <c r="K288" i="35"/>
  <c r="W239" i="40"/>
  <c r="G261" i="35"/>
  <c r="I261" i="35"/>
  <c r="J261" i="35"/>
  <c r="K261" i="35"/>
  <c r="W238" i="40"/>
  <c r="G113" i="35"/>
  <c r="I113" i="35"/>
  <c r="J113" i="35"/>
  <c r="K113" i="35"/>
  <c r="W237" i="40"/>
  <c r="G247" i="35"/>
  <c r="I247" i="35"/>
  <c r="J247" i="35"/>
  <c r="K247" i="35"/>
  <c r="W236" i="40"/>
  <c r="G238" i="35"/>
  <c r="I238" i="35"/>
  <c r="J238" i="35"/>
  <c r="K238" i="35"/>
  <c r="W235" i="40"/>
  <c r="W234" i="40"/>
  <c r="W233" i="40"/>
  <c r="W232" i="40"/>
  <c r="G234" i="35"/>
  <c r="I234" i="35"/>
  <c r="J234" i="35"/>
  <c r="K234" i="35"/>
  <c r="W231" i="40"/>
  <c r="G125" i="35"/>
  <c r="I125" i="35"/>
  <c r="J125" i="35"/>
  <c r="K125" i="35"/>
  <c r="W230" i="40"/>
  <c r="G23" i="35"/>
  <c r="I23" i="35"/>
  <c r="J23" i="35"/>
  <c r="K23" i="35"/>
  <c r="W229" i="40"/>
  <c r="G81" i="35"/>
  <c r="I81" i="35"/>
  <c r="J81" i="35"/>
  <c r="K81" i="35"/>
  <c r="W228" i="40"/>
  <c r="G82" i="35"/>
  <c r="I82" i="35"/>
  <c r="J82" i="35"/>
  <c r="K82" i="35"/>
  <c r="W227" i="40"/>
  <c r="W226" i="40"/>
  <c r="W225" i="40"/>
  <c r="G79" i="35"/>
  <c r="I79" i="35"/>
  <c r="J79" i="35"/>
  <c r="K79" i="35"/>
  <c r="W224" i="40"/>
  <c r="G150" i="35"/>
  <c r="I150" i="35"/>
  <c r="J150" i="35"/>
  <c r="K150" i="35"/>
  <c r="W223" i="40"/>
  <c r="G44" i="35"/>
  <c r="I44" i="35"/>
  <c r="J44" i="35"/>
  <c r="K44" i="35"/>
  <c r="W222" i="40"/>
  <c r="G231" i="35"/>
  <c r="I231" i="35"/>
  <c r="J231" i="35"/>
  <c r="K231" i="35"/>
  <c r="W221" i="40"/>
  <c r="G27" i="35"/>
  <c r="I27" i="35"/>
  <c r="J27" i="35"/>
  <c r="K27" i="35"/>
  <c r="W220" i="40"/>
  <c r="G36" i="35"/>
  <c r="I36" i="35"/>
  <c r="J36" i="35"/>
  <c r="K36" i="35"/>
  <c r="W219" i="40"/>
  <c r="G246" i="35"/>
  <c r="I246" i="35"/>
  <c r="J246" i="35"/>
  <c r="K246" i="35"/>
  <c r="W218" i="40"/>
  <c r="W217" i="40"/>
  <c r="W216" i="40"/>
  <c r="G210" i="35"/>
  <c r="I210" i="35"/>
  <c r="J210" i="35"/>
  <c r="K210" i="35"/>
  <c r="W215" i="40"/>
  <c r="G59" i="35"/>
  <c r="I59" i="35"/>
  <c r="J59" i="35"/>
  <c r="K59" i="35"/>
  <c r="W214" i="40"/>
  <c r="G93" i="35"/>
  <c r="I93" i="35"/>
  <c r="J93" i="35"/>
  <c r="K93" i="35"/>
  <c r="W213" i="40"/>
  <c r="G155" i="35"/>
  <c r="I155" i="35"/>
  <c r="J155" i="35"/>
  <c r="K155" i="35"/>
  <c r="W212" i="40"/>
  <c r="G173" i="35"/>
  <c r="I173" i="35"/>
  <c r="J173" i="35"/>
  <c r="K173" i="35"/>
  <c r="W211" i="40"/>
  <c r="G302" i="35"/>
  <c r="I302" i="35"/>
  <c r="J302" i="35"/>
  <c r="K302" i="35"/>
  <c r="W210" i="40"/>
  <c r="W209" i="40"/>
  <c r="W208" i="40"/>
  <c r="W207" i="40"/>
  <c r="G16" i="35"/>
  <c r="I16" i="35"/>
  <c r="J16" i="35"/>
  <c r="K16" i="35"/>
  <c r="W206" i="40"/>
  <c r="G277" i="35"/>
  <c r="I277" i="35"/>
  <c r="J277" i="35"/>
  <c r="K277" i="35"/>
  <c r="W205" i="40"/>
  <c r="G310" i="35"/>
  <c r="I310" i="35"/>
  <c r="J310" i="35"/>
  <c r="K310" i="35"/>
  <c r="W204" i="40"/>
  <c r="G177" i="35"/>
  <c r="I177" i="35"/>
  <c r="J177" i="35"/>
  <c r="K177" i="35"/>
  <c r="W203" i="40"/>
  <c r="G164" i="35"/>
  <c r="I164" i="35"/>
  <c r="J164" i="35"/>
  <c r="K164" i="35"/>
  <c r="W202" i="40"/>
  <c r="W201" i="40"/>
  <c r="G245" i="35"/>
  <c r="I245" i="35"/>
  <c r="J245" i="35"/>
  <c r="K245" i="35"/>
  <c r="W200" i="40"/>
  <c r="G15" i="35"/>
  <c r="I15" i="35"/>
  <c r="J15" i="35"/>
  <c r="K15" i="35"/>
  <c r="W199" i="40"/>
  <c r="G151" i="35"/>
  <c r="I151" i="35"/>
  <c r="J151" i="35"/>
  <c r="K151" i="35"/>
  <c r="W198" i="40"/>
  <c r="G106" i="35"/>
  <c r="I106" i="35"/>
  <c r="J106" i="35"/>
  <c r="K106" i="35"/>
  <c r="W197" i="40"/>
  <c r="W196" i="40"/>
  <c r="W195" i="40"/>
  <c r="G111" i="35"/>
  <c r="I111" i="35"/>
  <c r="J111" i="35"/>
  <c r="K111" i="35"/>
  <c r="W194" i="40"/>
  <c r="G85" i="35"/>
  <c r="I85" i="35"/>
  <c r="J85" i="35"/>
  <c r="K85" i="35"/>
  <c r="W193" i="40"/>
  <c r="W192" i="40"/>
  <c r="G76" i="35"/>
  <c r="I76" i="35"/>
  <c r="J76" i="35"/>
  <c r="K76" i="35"/>
  <c r="W191" i="40"/>
  <c r="G21" i="35"/>
  <c r="I21" i="35"/>
  <c r="J21" i="35"/>
  <c r="K21" i="35"/>
  <c r="W190" i="40"/>
  <c r="G137" i="35"/>
  <c r="I137" i="35"/>
  <c r="J137" i="35"/>
  <c r="K137" i="35"/>
  <c r="W189" i="40"/>
  <c r="G162" i="35"/>
  <c r="I162" i="35"/>
  <c r="J162" i="35"/>
  <c r="K162" i="35"/>
  <c r="W188" i="40"/>
  <c r="W187" i="40"/>
  <c r="G144" i="35"/>
  <c r="I144" i="35"/>
  <c r="J144" i="35"/>
  <c r="K144" i="35"/>
  <c r="W186" i="40"/>
  <c r="G186" i="35"/>
  <c r="I186" i="35"/>
  <c r="J186" i="35"/>
  <c r="K186" i="35"/>
  <c r="W185" i="40"/>
  <c r="G153" i="35"/>
  <c r="I153" i="35"/>
  <c r="J153" i="35"/>
  <c r="K153" i="35"/>
  <c r="W184" i="40"/>
  <c r="G131" i="35"/>
  <c r="I131" i="35"/>
  <c r="J131" i="35"/>
  <c r="K131" i="35"/>
  <c r="W183" i="40"/>
  <c r="W182" i="40"/>
  <c r="G84" i="35"/>
  <c r="I84" i="35"/>
  <c r="J84" i="35"/>
  <c r="K84" i="35"/>
  <c r="W181" i="40"/>
  <c r="G264" i="35"/>
  <c r="I264" i="35"/>
  <c r="J264" i="35"/>
  <c r="K264" i="35"/>
  <c r="W180" i="40"/>
  <c r="W179" i="40"/>
  <c r="G170" i="35"/>
  <c r="I170" i="35"/>
  <c r="J170" i="35"/>
  <c r="K170" i="35"/>
  <c r="W178" i="40"/>
  <c r="I148" i="35"/>
  <c r="J148" i="35"/>
  <c r="K148" i="35"/>
  <c r="W177" i="40"/>
  <c r="G10" i="35"/>
  <c r="I10" i="35"/>
  <c r="J10" i="35"/>
  <c r="K10" i="35"/>
  <c r="W176" i="40"/>
  <c r="G66" i="35"/>
  <c r="I66" i="35"/>
  <c r="J66" i="35"/>
  <c r="K66" i="35"/>
  <c r="W175" i="40"/>
  <c r="W174" i="40"/>
  <c r="G71" i="35"/>
  <c r="I71" i="35"/>
  <c r="J71" i="35"/>
  <c r="K71" i="35"/>
  <c r="W173" i="40"/>
  <c r="W172" i="40"/>
  <c r="G118" i="35"/>
  <c r="I118" i="35"/>
  <c r="J118" i="35"/>
  <c r="K118" i="35"/>
  <c r="W171" i="40"/>
  <c r="G22" i="35"/>
  <c r="I22" i="35"/>
  <c r="J22" i="35"/>
  <c r="K22" i="35"/>
  <c r="W170" i="40"/>
  <c r="W169" i="40"/>
  <c r="G338" i="35"/>
  <c r="I338" i="35"/>
  <c r="J338" i="35"/>
  <c r="K338" i="35"/>
  <c r="W168" i="40"/>
  <c r="G169" i="35"/>
  <c r="I169" i="35"/>
  <c r="J169" i="35"/>
  <c r="K169" i="35"/>
  <c r="W167" i="40"/>
  <c r="G25" i="35"/>
  <c r="I25" i="35"/>
  <c r="J25" i="35"/>
  <c r="K25" i="35"/>
  <c r="W166" i="40"/>
  <c r="W165" i="40"/>
  <c r="G185" i="35"/>
  <c r="I185" i="35"/>
  <c r="J185" i="35"/>
  <c r="K185" i="35"/>
  <c r="W164" i="40"/>
  <c r="G250" i="35"/>
  <c r="I250" i="35"/>
  <c r="J250" i="35"/>
  <c r="K250" i="35"/>
  <c r="W163" i="40"/>
  <c r="G98" i="35"/>
  <c r="I98" i="35"/>
  <c r="J98" i="35"/>
  <c r="K98" i="35"/>
  <c r="W162" i="40"/>
  <c r="W161" i="40"/>
  <c r="W160" i="40"/>
  <c r="G4" i="35"/>
  <c r="I4" i="35"/>
  <c r="J4" i="35"/>
  <c r="K4" i="35"/>
  <c r="W159" i="40"/>
  <c r="G172" i="35"/>
  <c r="I172" i="35"/>
  <c r="J172" i="35"/>
  <c r="K172" i="35"/>
  <c r="W158" i="40"/>
  <c r="G188" i="35"/>
  <c r="I188" i="35"/>
  <c r="J188" i="35"/>
  <c r="K188" i="35"/>
  <c r="W157" i="40"/>
  <c r="G160" i="35"/>
  <c r="I160" i="35"/>
  <c r="J160" i="35"/>
  <c r="K160" i="35"/>
  <c r="W156" i="40"/>
  <c r="J115" i="35"/>
  <c r="K115" i="35"/>
  <c r="W155" i="40"/>
  <c r="G26" i="35"/>
  <c r="I26" i="35"/>
  <c r="J26" i="35"/>
  <c r="K26" i="35"/>
  <c r="W154" i="40"/>
  <c r="G337" i="35"/>
  <c r="I337" i="35"/>
  <c r="J337" i="35"/>
  <c r="K337" i="35"/>
  <c r="W153" i="40"/>
  <c r="W152" i="40"/>
  <c r="G265" i="35"/>
  <c r="I265" i="35"/>
  <c r="J265" i="35"/>
  <c r="K265" i="35"/>
  <c r="W151" i="40"/>
  <c r="G94" i="35"/>
  <c r="I94" i="35"/>
  <c r="J94" i="35"/>
  <c r="K94" i="35"/>
  <c r="W150" i="40"/>
  <c r="G171" i="35"/>
  <c r="I171" i="35"/>
  <c r="J171" i="35"/>
  <c r="K171" i="35"/>
  <c r="W149" i="40"/>
  <c r="W148" i="40"/>
  <c r="G222" i="35"/>
  <c r="I222" i="35"/>
  <c r="J222" i="35"/>
  <c r="K222" i="35"/>
  <c r="W147" i="40"/>
  <c r="G32" i="35"/>
  <c r="I32" i="35"/>
  <c r="J32" i="35"/>
  <c r="K32" i="35"/>
  <c r="W146" i="40"/>
  <c r="G147" i="35"/>
  <c r="I147" i="35"/>
  <c r="J147" i="35"/>
  <c r="K147" i="35"/>
  <c r="W145" i="40"/>
  <c r="G201" i="35"/>
  <c r="I201" i="35"/>
  <c r="J201" i="35"/>
  <c r="K201" i="35"/>
  <c r="W144" i="40"/>
  <c r="G275" i="35"/>
  <c r="I275" i="35"/>
  <c r="J275" i="35"/>
  <c r="K275" i="35"/>
  <c r="W143" i="40"/>
  <c r="W142" i="40"/>
  <c r="G121" i="35"/>
  <c r="I121" i="35"/>
  <c r="J121" i="35"/>
  <c r="K121" i="35"/>
  <c r="W141" i="40"/>
  <c r="W140" i="40"/>
  <c r="G182" i="35"/>
  <c r="I182" i="35"/>
  <c r="J182" i="35"/>
  <c r="K182" i="35"/>
  <c r="W139" i="40"/>
  <c r="G241" i="35"/>
  <c r="I241" i="35"/>
  <c r="J241" i="35"/>
  <c r="K241" i="35"/>
  <c r="W138" i="40"/>
  <c r="W137" i="40"/>
  <c r="W136" i="40"/>
  <c r="G45" i="35"/>
  <c r="I45" i="35"/>
  <c r="J45" i="35"/>
  <c r="K45" i="35"/>
  <c r="W135" i="40"/>
  <c r="G135" i="35"/>
  <c r="I135" i="35"/>
  <c r="J135" i="35"/>
  <c r="K135" i="35"/>
  <c r="W134" i="40"/>
  <c r="G237" i="35"/>
  <c r="I237" i="35"/>
  <c r="J237" i="35"/>
  <c r="K237" i="35"/>
  <c r="W133" i="40"/>
  <c r="G213" i="35"/>
  <c r="I213" i="35"/>
  <c r="J213" i="35"/>
  <c r="K213" i="35"/>
  <c r="W132" i="40"/>
  <c r="G8" i="35"/>
  <c r="I8" i="35"/>
  <c r="J8" i="35"/>
  <c r="K8" i="35"/>
  <c r="W131" i="40"/>
  <c r="G320" i="35"/>
  <c r="I320" i="35"/>
  <c r="J320" i="35"/>
  <c r="K320" i="35"/>
  <c r="W130" i="40"/>
  <c r="W129" i="40"/>
  <c r="G62" i="35"/>
  <c r="I62" i="35"/>
  <c r="J62" i="35"/>
  <c r="K62" i="35"/>
  <c r="W128" i="40"/>
  <c r="G112" i="35"/>
  <c r="I112" i="35"/>
  <c r="J112" i="35"/>
  <c r="K112" i="35"/>
  <c r="W127" i="40"/>
  <c r="G102" i="35"/>
  <c r="I102" i="35"/>
  <c r="J102" i="35"/>
  <c r="K102" i="35"/>
  <c r="W126" i="40"/>
  <c r="W125" i="40"/>
  <c r="W124" i="40"/>
  <c r="G108" i="35"/>
  <c r="I108" i="35"/>
  <c r="J108" i="35"/>
  <c r="K108" i="35"/>
  <c r="W123" i="40"/>
  <c r="G11" i="35"/>
  <c r="I11" i="35"/>
  <c r="J11" i="35"/>
  <c r="K11" i="35"/>
  <c r="W122" i="40"/>
  <c r="W121" i="40"/>
  <c r="W120" i="40"/>
  <c r="G14" i="35"/>
  <c r="I14" i="35"/>
  <c r="J14" i="35"/>
  <c r="K14" i="35"/>
  <c r="W119" i="40"/>
  <c r="G120" i="35"/>
  <c r="I120" i="35"/>
  <c r="J120" i="35"/>
  <c r="K120" i="35"/>
  <c r="W118" i="40"/>
  <c r="G178" i="35"/>
  <c r="I178" i="35"/>
  <c r="J178" i="35"/>
  <c r="K178" i="35"/>
  <c r="W117" i="40"/>
  <c r="G129" i="35"/>
  <c r="I129" i="35"/>
  <c r="J129" i="35"/>
  <c r="K129" i="35"/>
  <c r="W116" i="40"/>
  <c r="J329" i="35"/>
  <c r="K329" i="35"/>
  <c r="W115" i="40"/>
  <c r="W114" i="40"/>
  <c r="G273" i="35"/>
  <c r="I273" i="35"/>
  <c r="J273" i="35"/>
  <c r="K273" i="35"/>
  <c r="W113" i="40"/>
  <c r="G282" i="35"/>
  <c r="I282" i="35"/>
  <c r="J282" i="35"/>
  <c r="K282" i="35"/>
  <c r="W112" i="40"/>
  <c r="G198" i="35"/>
  <c r="I198" i="35"/>
  <c r="J198" i="35"/>
  <c r="K198" i="35"/>
  <c r="W111" i="40"/>
  <c r="G75" i="35"/>
  <c r="I75" i="35"/>
  <c r="J75" i="35"/>
  <c r="K75" i="35"/>
  <c r="W110" i="40"/>
  <c r="W109" i="40"/>
  <c r="G95" i="35"/>
  <c r="I95" i="35"/>
  <c r="J95" i="35"/>
  <c r="K95" i="35"/>
  <c r="W108" i="40"/>
  <c r="G78" i="35"/>
  <c r="I78" i="35"/>
  <c r="J78" i="35"/>
  <c r="K78" i="35"/>
  <c r="W107" i="40"/>
  <c r="W106" i="40"/>
  <c r="G143" i="35"/>
  <c r="I143" i="35"/>
  <c r="J143" i="35"/>
  <c r="K143" i="35"/>
  <c r="W105" i="40"/>
  <c r="W104" i="40"/>
  <c r="G267" i="35"/>
  <c r="I267" i="35"/>
  <c r="J267" i="35"/>
  <c r="K267" i="35"/>
  <c r="W103" i="40"/>
  <c r="W102" i="40"/>
  <c r="G259" i="35"/>
  <c r="I259" i="35"/>
  <c r="J259" i="35"/>
  <c r="K259" i="35"/>
  <c r="W101" i="40"/>
  <c r="G167" i="35"/>
  <c r="I167" i="35"/>
  <c r="J167" i="35"/>
  <c r="K167" i="35"/>
  <c r="W100" i="40"/>
  <c r="G166" i="35"/>
  <c r="I166" i="35"/>
  <c r="J166" i="35"/>
  <c r="K166" i="35"/>
  <c r="W99" i="40"/>
  <c r="W98" i="40"/>
  <c r="G309" i="35"/>
  <c r="I309" i="35"/>
  <c r="J309" i="35"/>
  <c r="K309" i="35"/>
  <c r="W97" i="40"/>
  <c r="W96" i="40"/>
  <c r="G199" i="35"/>
  <c r="I199" i="35"/>
  <c r="J199" i="35"/>
  <c r="K199" i="35"/>
  <c r="W95" i="40"/>
  <c r="G77" i="35"/>
  <c r="I77" i="35"/>
  <c r="J77" i="35"/>
  <c r="K77" i="35"/>
  <c r="W94" i="40"/>
  <c r="G3" i="35"/>
  <c r="I3" i="35"/>
  <c r="J3" i="35"/>
  <c r="K3" i="35"/>
  <c r="W93" i="40"/>
  <c r="G90" i="35"/>
  <c r="I90" i="35"/>
  <c r="J90" i="35"/>
  <c r="K90" i="35"/>
  <c r="W92" i="40"/>
  <c r="W91" i="40"/>
  <c r="G226" i="35"/>
  <c r="I226" i="35"/>
  <c r="J226" i="35"/>
  <c r="K226" i="35"/>
  <c r="W90" i="40"/>
  <c r="W89" i="40"/>
  <c r="G83" i="35"/>
  <c r="I83" i="35"/>
  <c r="J83" i="35"/>
  <c r="K83" i="35"/>
  <c r="W88" i="40"/>
  <c r="W87" i="40"/>
  <c r="G224" i="35"/>
  <c r="I224" i="35"/>
  <c r="J224" i="35"/>
  <c r="K224" i="35"/>
  <c r="W86" i="40"/>
  <c r="W85" i="40"/>
  <c r="G146" i="35"/>
  <c r="I146" i="35"/>
  <c r="J146" i="35"/>
  <c r="K146" i="35"/>
  <c r="W84" i="40"/>
  <c r="G103" i="35"/>
  <c r="I103" i="35"/>
  <c r="J103" i="35"/>
  <c r="K103" i="35"/>
  <c r="W83" i="40"/>
  <c r="F7" i="35"/>
  <c r="G7" i="35"/>
  <c r="I7" i="35"/>
  <c r="J7" i="35"/>
  <c r="K7" i="35"/>
  <c r="W82" i="40"/>
  <c r="W81" i="40"/>
  <c r="W80" i="40"/>
  <c r="G127" i="35"/>
  <c r="I127" i="35"/>
  <c r="J127" i="35"/>
  <c r="K127" i="35"/>
  <c r="G128" i="35"/>
  <c r="I128" i="35"/>
  <c r="J128" i="35"/>
  <c r="K128" i="35"/>
  <c r="W79" i="40"/>
  <c r="G132" i="35"/>
  <c r="I132" i="35"/>
  <c r="J132" i="35"/>
  <c r="K132" i="35"/>
  <c r="W78" i="40"/>
  <c r="W77" i="40"/>
  <c r="T77" i="40"/>
  <c r="T78" i="40"/>
  <c r="T79" i="40"/>
  <c r="T80" i="40"/>
  <c r="T81" i="40"/>
  <c r="T82" i="40"/>
  <c r="T83" i="40"/>
  <c r="T84" i="40"/>
  <c r="T85" i="40"/>
  <c r="T86" i="40"/>
  <c r="T87" i="40"/>
  <c r="T88" i="40"/>
  <c r="T89" i="40"/>
  <c r="T90" i="40"/>
  <c r="T91" i="40"/>
  <c r="T92" i="40"/>
  <c r="T93" i="40"/>
  <c r="T94" i="40"/>
  <c r="T95" i="40"/>
  <c r="T96" i="40"/>
  <c r="T97" i="40"/>
  <c r="T98" i="40"/>
  <c r="T99" i="40"/>
  <c r="T100" i="40"/>
  <c r="T101" i="40"/>
  <c r="T102" i="40"/>
  <c r="T103" i="40"/>
  <c r="T104" i="40"/>
  <c r="T105" i="40"/>
  <c r="T106" i="40"/>
  <c r="T107" i="40"/>
  <c r="T108" i="40"/>
  <c r="T109" i="40"/>
  <c r="T110" i="40"/>
  <c r="T111" i="40"/>
  <c r="T112" i="40"/>
  <c r="T113" i="40"/>
  <c r="T114" i="40"/>
  <c r="T115" i="40"/>
  <c r="T116" i="40"/>
  <c r="T117" i="40"/>
  <c r="T118" i="40"/>
  <c r="T119" i="40"/>
  <c r="T120" i="40"/>
  <c r="T121" i="40"/>
  <c r="T122" i="40"/>
  <c r="T123" i="40"/>
  <c r="T124" i="40"/>
  <c r="T125" i="40"/>
  <c r="T126" i="40"/>
  <c r="T127" i="40"/>
  <c r="T128" i="40"/>
  <c r="T129" i="40"/>
  <c r="T130" i="40"/>
  <c r="T131" i="40"/>
  <c r="T132" i="40"/>
  <c r="T133" i="40"/>
  <c r="T134" i="40"/>
  <c r="T135" i="40"/>
  <c r="T136" i="40"/>
  <c r="T137" i="40"/>
  <c r="T138" i="40"/>
  <c r="T139" i="40"/>
  <c r="T140" i="40"/>
  <c r="T141" i="40"/>
  <c r="T142" i="40"/>
  <c r="T143" i="40"/>
  <c r="T144" i="40"/>
  <c r="T145" i="40"/>
  <c r="T146" i="40"/>
  <c r="T147" i="40"/>
  <c r="T148" i="40"/>
  <c r="T149" i="40"/>
  <c r="T150" i="40"/>
  <c r="T151" i="40"/>
  <c r="T152" i="40"/>
  <c r="T153" i="40"/>
  <c r="T154" i="40"/>
  <c r="T155" i="40"/>
  <c r="T156" i="40"/>
  <c r="T157" i="40"/>
  <c r="T158" i="40"/>
  <c r="T159" i="40"/>
  <c r="T160" i="40"/>
  <c r="T161" i="40"/>
  <c r="T162" i="40"/>
  <c r="T163" i="40"/>
  <c r="T164" i="40"/>
  <c r="T165" i="40"/>
  <c r="T166" i="40"/>
  <c r="T167" i="40"/>
  <c r="T168" i="40"/>
  <c r="T169" i="40"/>
  <c r="T170" i="40"/>
  <c r="T171" i="40"/>
  <c r="T172" i="40"/>
  <c r="T173" i="40"/>
  <c r="T174" i="40"/>
  <c r="T175" i="40"/>
  <c r="T176" i="40"/>
  <c r="T177" i="40"/>
  <c r="T178" i="40"/>
  <c r="T179" i="40"/>
  <c r="T180" i="40"/>
  <c r="T181" i="40"/>
  <c r="T182" i="40"/>
  <c r="T183" i="40"/>
  <c r="T184" i="40"/>
  <c r="T185" i="40"/>
  <c r="T186" i="40"/>
  <c r="T187" i="40"/>
  <c r="T188" i="40"/>
  <c r="T189" i="40"/>
  <c r="T190" i="40"/>
  <c r="T191" i="40"/>
  <c r="T192" i="40"/>
  <c r="T193" i="40"/>
  <c r="T194" i="40"/>
  <c r="T195" i="40"/>
  <c r="T196" i="40"/>
  <c r="T197" i="40"/>
  <c r="T198" i="40"/>
  <c r="T199" i="40"/>
  <c r="T200" i="40"/>
  <c r="T201" i="40"/>
  <c r="T202" i="40"/>
  <c r="T203" i="40"/>
  <c r="T204" i="40"/>
  <c r="T205" i="40"/>
  <c r="T206" i="40"/>
  <c r="T207" i="40"/>
  <c r="T208" i="40"/>
  <c r="T209" i="40"/>
  <c r="T210" i="40"/>
  <c r="T211" i="40"/>
  <c r="T212" i="40"/>
  <c r="T213" i="40"/>
  <c r="T214" i="40"/>
  <c r="T215" i="40"/>
  <c r="T216" i="40"/>
  <c r="T217" i="40"/>
  <c r="T218" i="40"/>
  <c r="T219" i="40"/>
  <c r="T220" i="40"/>
  <c r="T221" i="40"/>
  <c r="T222" i="40"/>
  <c r="T223" i="40"/>
  <c r="T224" i="40"/>
  <c r="T225" i="40"/>
  <c r="T226" i="40"/>
  <c r="T227" i="40"/>
  <c r="T228" i="40"/>
  <c r="T229" i="40"/>
  <c r="T230" i="40"/>
  <c r="T231" i="40"/>
  <c r="T232" i="40"/>
  <c r="T233" i="40"/>
  <c r="T234" i="40"/>
  <c r="T235" i="40"/>
  <c r="T236" i="40"/>
  <c r="T237" i="40"/>
  <c r="T238" i="40"/>
  <c r="T239" i="40"/>
  <c r="T240" i="40"/>
  <c r="T241" i="40"/>
  <c r="T242" i="40"/>
  <c r="T243" i="40"/>
  <c r="T244" i="40"/>
  <c r="T245" i="40"/>
  <c r="T246" i="40"/>
  <c r="T247" i="40"/>
  <c r="T248" i="40"/>
  <c r="T249" i="40"/>
  <c r="T250" i="40"/>
  <c r="T251" i="40"/>
  <c r="T252" i="40"/>
  <c r="T253" i="40"/>
  <c r="T254" i="40"/>
  <c r="T255" i="40"/>
  <c r="T256" i="40"/>
  <c r="T257" i="40"/>
  <c r="T258" i="40"/>
  <c r="T259" i="40"/>
  <c r="T260" i="40"/>
  <c r="T261" i="40"/>
  <c r="T262" i="40"/>
  <c r="T263" i="40"/>
  <c r="T264" i="40"/>
  <c r="T265" i="40"/>
  <c r="T266" i="40"/>
  <c r="T267" i="40"/>
  <c r="T268" i="40"/>
  <c r="T269" i="40"/>
  <c r="T270" i="40"/>
  <c r="T271" i="40"/>
  <c r="T272" i="40"/>
  <c r="T273" i="40"/>
  <c r="T274" i="40"/>
  <c r="T275" i="40"/>
  <c r="T276" i="40"/>
  <c r="T277" i="40"/>
  <c r="T278" i="40"/>
  <c r="T279" i="40"/>
  <c r="T280" i="40"/>
  <c r="T281" i="40"/>
  <c r="T282" i="40"/>
  <c r="T283" i="40"/>
  <c r="T284" i="40"/>
  <c r="T285" i="40"/>
  <c r="T286" i="40"/>
  <c r="T287" i="40"/>
  <c r="T288" i="40"/>
  <c r="T289" i="40"/>
  <c r="T290" i="40"/>
  <c r="T291" i="40"/>
  <c r="T292" i="40"/>
  <c r="T293" i="40"/>
  <c r="T294" i="40"/>
  <c r="T295" i="40"/>
  <c r="T296" i="40"/>
  <c r="T297" i="40"/>
  <c r="T298" i="40"/>
  <c r="T299" i="40"/>
  <c r="T300" i="40"/>
  <c r="T301" i="40"/>
  <c r="T302" i="40"/>
  <c r="T303" i="40"/>
  <c r="T304" i="40"/>
  <c r="T305" i="40"/>
  <c r="T306" i="40"/>
  <c r="T307" i="40"/>
  <c r="T308" i="40"/>
  <c r="T309" i="40"/>
  <c r="T310" i="40"/>
  <c r="T311" i="40"/>
  <c r="T312" i="40"/>
  <c r="T313" i="40"/>
  <c r="T314" i="40"/>
  <c r="T315" i="40"/>
  <c r="T316" i="40"/>
  <c r="T317" i="40"/>
  <c r="T318" i="40"/>
  <c r="T319" i="40"/>
  <c r="T320" i="40"/>
  <c r="T321" i="40"/>
  <c r="T322" i="40"/>
  <c r="T323" i="40"/>
  <c r="T324" i="40"/>
  <c r="T325" i="40"/>
  <c r="T326" i="40"/>
  <c r="T327" i="40"/>
  <c r="T328" i="40"/>
  <c r="T329" i="40"/>
  <c r="T330" i="40"/>
  <c r="T331" i="40"/>
  <c r="T332" i="40"/>
  <c r="T333" i="40"/>
  <c r="T334" i="40"/>
  <c r="T335" i="40"/>
  <c r="T336" i="40"/>
  <c r="T337" i="40"/>
  <c r="T338" i="40"/>
  <c r="T339" i="40"/>
  <c r="T340" i="40"/>
  <c r="T341" i="40"/>
  <c r="T342" i="40"/>
  <c r="T343" i="40"/>
  <c r="T344" i="40"/>
  <c r="T345" i="40"/>
  <c r="T346" i="40"/>
  <c r="T347" i="40"/>
  <c r="T348" i="40"/>
  <c r="T349" i="40"/>
  <c r="T350" i="40"/>
  <c r="T351" i="40"/>
  <c r="T352" i="40"/>
  <c r="T353" i="40"/>
  <c r="T354" i="40"/>
  <c r="T355" i="40"/>
  <c r="T356" i="40"/>
  <c r="T357" i="40"/>
  <c r="T358" i="40"/>
  <c r="T359" i="40"/>
  <c r="T360" i="40"/>
  <c r="T361" i="40"/>
  <c r="T362" i="40"/>
  <c r="T363" i="40"/>
  <c r="T364" i="40"/>
  <c r="T365" i="40"/>
  <c r="T366" i="40"/>
  <c r="T367" i="40"/>
  <c r="T368" i="40"/>
  <c r="T369" i="40"/>
  <c r="T370" i="40"/>
  <c r="T371" i="40"/>
  <c r="T372" i="40"/>
  <c r="T373" i="40"/>
  <c r="T374" i="40"/>
  <c r="T375" i="40"/>
  <c r="T376" i="40"/>
  <c r="T377" i="40"/>
  <c r="T378" i="40"/>
  <c r="T379" i="40"/>
  <c r="T380" i="40"/>
  <c r="T381" i="40"/>
  <c r="T382" i="40"/>
  <c r="T383" i="40"/>
  <c r="T384" i="40"/>
  <c r="T385" i="40"/>
  <c r="T386" i="40"/>
  <c r="T387" i="40"/>
  <c r="T388" i="40"/>
  <c r="T389" i="40"/>
  <c r="T390" i="40"/>
  <c r="T391" i="40"/>
  <c r="T392" i="40"/>
  <c r="T393" i="40"/>
  <c r="T394" i="40"/>
  <c r="T395" i="40"/>
  <c r="T396" i="40"/>
  <c r="T397" i="40"/>
  <c r="T398" i="40"/>
  <c r="T399" i="40"/>
  <c r="T400" i="40"/>
  <c r="T401" i="40"/>
  <c r="T402" i="40"/>
  <c r="T403" i="40"/>
  <c r="T404" i="40"/>
  <c r="T405" i="40"/>
  <c r="T406" i="40"/>
  <c r="T407" i="40"/>
  <c r="T408" i="40"/>
  <c r="T409" i="40"/>
  <c r="T410" i="40"/>
  <c r="T411" i="40"/>
  <c r="T412" i="40"/>
  <c r="T413" i="40"/>
  <c r="T414" i="40"/>
  <c r="T415" i="40"/>
  <c r="T416" i="40"/>
  <c r="T417" i="40"/>
  <c r="T418" i="40"/>
  <c r="T419" i="40"/>
  <c r="T420" i="40"/>
  <c r="T421" i="40"/>
  <c r="T422" i="40"/>
  <c r="T423" i="40"/>
  <c r="T424" i="40"/>
  <c r="T425" i="40"/>
  <c r="T426" i="40"/>
  <c r="T427" i="40"/>
  <c r="T428" i="40"/>
  <c r="T429" i="40"/>
  <c r="T430" i="40"/>
  <c r="T431" i="40"/>
  <c r="T432" i="40"/>
  <c r="T433" i="40"/>
  <c r="T434" i="40"/>
  <c r="T435" i="40"/>
  <c r="T436" i="40"/>
  <c r="T437" i="40"/>
  <c r="T438" i="40"/>
  <c r="T439" i="40"/>
  <c r="T440" i="40"/>
  <c r="T441" i="40"/>
  <c r="T442" i="40"/>
  <c r="T443" i="40"/>
  <c r="T444" i="40"/>
  <c r="T445" i="40"/>
  <c r="T446" i="40"/>
  <c r="T447" i="40"/>
  <c r="T448" i="40"/>
  <c r="T449" i="40"/>
  <c r="T450" i="40"/>
  <c r="T451" i="40"/>
  <c r="T452" i="40"/>
  <c r="T453" i="40"/>
  <c r="T454" i="40"/>
  <c r="T455" i="40"/>
  <c r="T456" i="40"/>
  <c r="T457" i="40"/>
  <c r="T458" i="40"/>
  <c r="T459" i="40"/>
  <c r="T460" i="40"/>
  <c r="T461" i="40"/>
  <c r="T462" i="40"/>
  <c r="T463" i="40"/>
  <c r="T464" i="40"/>
  <c r="T465" i="40"/>
  <c r="T466" i="40"/>
  <c r="T467" i="40"/>
  <c r="T468" i="40"/>
  <c r="T469" i="40"/>
  <c r="T470" i="40"/>
  <c r="T471" i="40"/>
  <c r="T472" i="40"/>
  <c r="T473" i="40"/>
  <c r="T474" i="40"/>
  <c r="T475" i="40"/>
  <c r="T476" i="40"/>
  <c r="T477" i="40"/>
  <c r="T478" i="40"/>
  <c r="T479" i="40"/>
  <c r="T480" i="40"/>
  <c r="T481" i="40"/>
  <c r="T482" i="40"/>
  <c r="T483" i="40"/>
  <c r="T484" i="40"/>
  <c r="T485" i="40"/>
  <c r="T486" i="40"/>
  <c r="T487" i="40"/>
  <c r="T488" i="40"/>
  <c r="T489" i="40"/>
  <c r="T490" i="40"/>
  <c r="T491" i="40"/>
  <c r="T492" i="40"/>
  <c r="T493" i="40"/>
  <c r="T494" i="40"/>
  <c r="T495" i="40"/>
  <c r="T496" i="40"/>
  <c r="T497" i="40"/>
  <c r="T498" i="40"/>
  <c r="T499" i="40"/>
  <c r="T500" i="40"/>
  <c r="T501" i="40"/>
  <c r="T502" i="40"/>
  <c r="T503" i="40"/>
  <c r="T504" i="40"/>
  <c r="T505" i="40"/>
  <c r="T506" i="40"/>
  <c r="T507" i="40"/>
  <c r="T508" i="40"/>
  <c r="T509" i="40"/>
  <c r="T510" i="40"/>
  <c r="T511" i="40"/>
  <c r="T512" i="40"/>
  <c r="T513" i="40"/>
  <c r="T514" i="40"/>
  <c r="T515" i="40"/>
  <c r="T76" i="40"/>
  <c r="S77" i="40"/>
  <c r="S78" i="40"/>
  <c r="S79" i="40"/>
  <c r="S80" i="40"/>
  <c r="S81" i="40"/>
  <c r="S82" i="40"/>
  <c r="S83" i="40"/>
  <c r="S84" i="40"/>
  <c r="S85" i="40"/>
  <c r="S86" i="40"/>
  <c r="S87" i="40"/>
  <c r="S88" i="40"/>
  <c r="S89" i="40"/>
  <c r="S90" i="40"/>
  <c r="S91" i="40"/>
  <c r="S92" i="40"/>
  <c r="S93" i="40"/>
  <c r="S94" i="40"/>
  <c r="S95" i="40"/>
  <c r="S96" i="40"/>
  <c r="S97" i="40"/>
  <c r="S98" i="40"/>
  <c r="S99" i="40"/>
  <c r="S100" i="40"/>
  <c r="S101" i="40"/>
  <c r="S102" i="40"/>
  <c r="S103" i="40"/>
  <c r="S104" i="40"/>
  <c r="S105" i="40"/>
  <c r="S106" i="40"/>
  <c r="S107" i="40"/>
  <c r="S108" i="40"/>
  <c r="S109" i="40"/>
  <c r="S110" i="40"/>
  <c r="S111" i="40"/>
  <c r="S112" i="40"/>
  <c r="S113" i="40"/>
  <c r="S114" i="40"/>
  <c r="S115" i="40"/>
  <c r="S116" i="40"/>
  <c r="S117" i="40"/>
  <c r="S118" i="40"/>
  <c r="S119" i="40"/>
  <c r="S120" i="40"/>
  <c r="S121" i="40"/>
  <c r="S122" i="40"/>
  <c r="S123" i="40"/>
  <c r="S124" i="40"/>
  <c r="S125" i="40"/>
  <c r="S126" i="40"/>
  <c r="S127" i="40"/>
  <c r="S128" i="40"/>
  <c r="S129" i="40"/>
  <c r="S130" i="40"/>
  <c r="S131" i="40"/>
  <c r="S132" i="40"/>
  <c r="S133" i="40"/>
  <c r="S134" i="40"/>
  <c r="S135" i="40"/>
  <c r="S136" i="40"/>
  <c r="S137" i="40"/>
  <c r="S138" i="40"/>
  <c r="S139" i="40"/>
  <c r="S140" i="40"/>
  <c r="S141" i="40"/>
  <c r="S142" i="40"/>
  <c r="S143" i="40"/>
  <c r="S144" i="40"/>
  <c r="S145" i="40"/>
  <c r="S146" i="40"/>
  <c r="S147" i="40"/>
  <c r="S148" i="40"/>
  <c r="S149" i="40"/>
  <c r="S150" i="40"/>
  <c r="S151" i="40"/>
  <c r="S152" i="40"/>
  <c r="S153" i="40"/>
  <c r="S154" i="40"/>
  <c r="S155" i="40"/>
  <c r="S156" i="40"/>
  <c r="S157" i="40"/>
  <c r="S158" i="40"/>
  <c r="S159" i="40"/>
  <c r="S160" i="40"/>
  <c r="S161" i="40"/>
  <c r="S162" i="40"/>
  <c r="S163" i="40"/>
  <c r="S164" i="40"/>
  <c r="S165" i="40"/>
  <c r="S166" i="40"/>
  <c r="S167" i="40"/>
  <c r="S168" i="40"/>
  <c r="S169" i="40"/>
  <c r="S170" i="40"/>
  <c r="S171" i="40"/>
  <c r="S172" i="40"/>
  <c r="S173" i="40"/>
  <c r="S174" i="40"/>
  <c r="S175" i="40"/>
  <c r="S176" i="40"/>
  <c r="S177" i="40"/>
  <c r="S178" i="40"/>
  <c r="S179" i="40"/>
  <c r="S180" i="40"/>
  <c r="S181" i="40"/>
  <c r="S182" i="40"/>
  <c r="S183" i="40"/>
  <c r="S184" i="40"/>
  <c r="S185" i="40"/>
  <c r="S186" i="40"/>
  <c r="S187" i="40"/>
  <c r="S188" i="40"/>
  <c r="S189" i="40"/>
  <c r="S190" i="40"/>
  <c r="S191" i="40"/>
  <c r="S192" i="40"/>
  <c r="S193" i="40"/>
  <c r="S194" i="40"/>
  <c r="S195" i="40"/>
  <c r="S196" i="40"/>
  <c r="S197" i="40"/>
  <c r="S198" i="40"/>
  <c r="S199" i="40"/>
  <c r="S200" i="40"/>
  <c r="S201" i="40"/>
  <c r="S202" i="40"/>
  <c r="S203" i="40"/>
  <c r="S204" i="40"/>
  <c r="S205" i="40"/>
  <c r="S206" i="40"/>
  <c r="S207" i="40"/>
  <c r="S208" i="40"/>
  <c r="S209" i="40"/>
  <c r="S210" i="40"/>
  <c r="S211" i="40"/>
  <c r="S212" i="40"/>
  <c r="S213" i="40"/>
  <c r="S214" i="40"/>
  <c r="S215" i="40"/>
  <c r="S216" i="40"/>
  <c r="S217" i="40"/>
  <c r="S218" i="40"/>
  <c r="S219" i="40"/>
  <c r="S220" i="40"/>
  <c r="S221" i="40"/>
  <c r="S222" i="40"/>
  <c r="S223" i="40"/>
  <c r="S224" i="40"/>
  <c r="S225" i="40"/>
  <c r="S226" i="40"/>
  <c r="S227" i="40"/>
  <c r="S228" i="40"/>
  <c r="S229" i="40"/>
  <c r="S230" i="40"/>
  <c r="S231" i="40"/>
  <c r="S232" i="40"/>
  <c r="S233" i="40"/>
  <c r="S234" i="40"/>
  <c r="S235" i="40"/>
  <c r="S236" i="40"/>
  <c r="S237" i="40"/>
  <c r="S238" i="40"/>
  <c r="S239" i="40"/>
  <c r="S240" i="40"/>
  <c r="S241" i="40"/>
  <c r="S242" i="40"/>
  <c r="S243" i="40"/>
  <c r="S244" i="40"/>
  <c r="S245" i="40"/>
  <c r="S246" i="40"/>
  <c r="S247" i="40"/>
  <c r="S248" i="40"/>
  <c r="S249" i="40"/>
  <c r="S250" i="40"/>
  <c r="S251" i="40"/>
  <c r="S252" i="40"/>
  <c r="S253" i="40"/>
  <c r="S254" i="40"/>
  <c r="S255" i="40"/>
  <c r="S256" i="40"/>
  <c r="S257" i="40"/>
  <c r="S258" i="40"/>
  <c r="S259" i="40"/>
  <c r="S260" i="40"/>
  <c r="S261" i="40"/>
  <c r="S262" i="40"/>
  <c r="S263" i="40"/>
  <c r="S264" i="40"/>
  <c r="S265" i="40"/>
  <c r="S266" i="40"/>
  <c r="S267" i="40"/>
  <c r="S268" i="40"/>
  <c r="S269" i="40"/>
  <c r="S270" i="40"/>
  <c r="S271" i="40"/>
  <c r="S272" i="40"/>
  <c r="S273" i="40"/>
  <c r="S274" i="40"/>
  <c r="S275" i="40"/>
  <c r="S276" i="40"/>
  <c r="S277" i="40"/>
  <c r="S278" i="40"/>
  <c r="S279" i="40"/>
  <c r="S280" i="40"/>
  <c r="S281" i="40"/>
  <c r="S282" i="40"/>
  <c r="S283" i="40"/>
  <c r="S284" i="40"/>
  <c r="S285" i="40"/>
  <c r="S286" i="40"/>
  <c r="S287" i="40"/>
  <c r="S288" i="40"/>
  <c r="S289" i="40"/>
  <c r="S290" i="40"/>
  <c r="S291" i="40"/>
  <c r="S292" i="40"/>
  <c r="S293" i="40"/>
  <c r="S294" i="40"/>
  <c r="S295" i="40"/>
  <c r="S296" i="40"/>
  <c r="S297" i="40"/>
  <c r="S298" i="40"/>
  <c r="S299" i="40"/>
  <c r="S300" i="40"/>
  <c r="S301" i="40"/>
  <c r="S302" i="40"/>
  <c r="S303" i="40"/>
  <c r="S304" i="40"/>
  <c r="S305" i="40"/>
  <c r="S306" i="40"/>
  <c r="S307" i="40"/>
  <c r="S308" i="40"/>
  <c r="S309" i="40"/>
  <c r="S310" i="40"/>
  <c r="S311" i="40"/>
  <c r="S312" i="40"/>
  <c r="S313" i="40"/>
  <c r="S314" i="40"/>
  <c r="S315" i="40"/>
  <c r="S316" i="40"/>
  <c r="S317" i="40"/>
  <c r="S318" i="40"/>
  <c r="S319" i="40"/>
  <c r="S320" i="40"/>
  <c r="S321" i="40"/>
  <c r="S322" i="40"/>
  <c r="S323" i="40"/>
  <c r="S324" i="40"/>
  <c r="S325" i="40"/>
  <c r="S326" i="40"/>
  <c r="S327" i="40"/>
  <c r="S328" i="40"/>
  <c r="S329" i="40"/>
  <c r="S330" i="40"/>
  <c r="S331" i="40"/>
  <c r="S332" i="40"/>
  <c r="S333" i="40"/>
  <c r="S334" i="40"/>
  <c r="S335" i="40"/>
  <c r="S336" i="40"/>
  <c r="S337" i="40"/>
  <c r="S338" i="40"/>
  <c r="S339" i="40"/>
  <c r="S340" i="40"/>
  <c r="S341" i="40"/>
  <c r="S342" i="40"/>
  <c r="S343" i="40"/>
  <c r="S344" i="40"/>
  <c r="S345" i="40"/>
  <c r="S346" i="40"/>
  <c r="S347" i="40"/>
  <c r="S348" i="40"/>
  <c r="S349" i="40"/>
  <c r="S350" i="40"/>
  <c r="S351" i="40"/>
  <c r="S352" i="40"/>
  <c r="S353" i="40"/>
  <c r="S354" i="40"/>
  <c r="S355" i="40"/>
  <c r="S356" i="40"/>
  <c r="S357" i="40"/>
  <c r="S358" i="40"/>
  <c r="S359" i="40"/>
  <c r="S360" i="40"/>
  <c r="S361" i="40"/>
  <c r="S362" i="40"/>
  <c r="S363" i="40"/>
  <c r="S364" i="40"/>
  <c r="S365" i="40"/>
  <c r="S366" i="40"/>
  <c r="S367" i="40"/>
  <c r="S368" i="40"/>
  <c r="S369" i="40"/>
  <c r="S370" i="40"/>
  <c r="S371" i="40"/>
  <c r="S372" i="40"/>
  <c r="S373" i="40"/>
  <c r="S374" i="40"/>
  <c r="S375" i="40"/>
  <c r="S376" i="40"/>
  <c r="S377" i="40"/>
  <c r="S378" i="40"/>
  <c r="S379" i="40"/>
  <c r="S380" i="40"/>
  <c r="S381" i="40"/>
  <c r="S382" i="40"/>
  <c r="S383" i="40"/>
  <c r="S384" i="40"/>
  <c r="S385" i="40"/>
  <c r="S386" i="40"/>
  <c r="S387" i="40"/>
  <c r="S388" i="40"/>
  <c r="S389" i="40"/>
  <c r="S390" i="40"/>
  <c r="S391" i="40"/>
  <c r="S392" i="40"/>
  <c r="S393" i="40"/>
  <c r="S394" i="40"/>
  <c r="S395" i="40"/>
  <c r="S396" i="40"/>
  <c r="S397" i="40"/>
  <c r="S398" i="40"/>
  <c r="S399" i="40"/>
  <c r="S400" i="40"/>
  <c r="S401" i="40"/>
  <c r="S402" i="40"/>
  <c r="S403" i="40"/>
  <c r="S404" i="40"/>
  <c r="S405" i="40"/>
  <c r="S406" i="40"/>
  <c r="S407" i="40"/>
  <c r="S408" i="40"/>
  <c r="S409" i="40"/>
  <c r="S410" i="40"/>
  <c r="S411" i="40"/>
  <c r="S412" i="40"/>
  <c r="S413" i="40"/>
  <c r="S414" i="40"/>
  <c r="S415" i="40"/>
  <c r="S416" i="40"/>
  <c r="S417" i="40"/>
  <c r="S418" i="40"/>
  <c r="S419" i="40"/>
  <c r="S420" i="40"/>
  <c r="S421" i="40"/>
  <c r="S422" i="40"/>
  <c r="S423" i="40"/>
  <c r="S424" i="40"/>
  <c r="S425" i="40"/>
  <c r="S426" i="40"/>
  <c r="S427" i="40"/>
  <c r="S428" i="40"/>
  <c r="S429" i="40"/>
  <c r="S430" i="40"/>
  <c r="S431" i="40"/>
  <c r="S432" i="40"/>
  <c r="S433" i="40"/>
  <c r="S434" i="40"/>
  <c r="S435" i="40"/>
  <c r="S436" i="40"/>
  <c r="S437" i="40"/>
  <c r="S438" i="40"/>
  <c r="S439" i="40"/>
  <c r="S440" i="40"/>
  <c r="S441" i="40"/>
  <c r="S442" i="40"/>
  <c r="S443" i="40"/>
  <c r="S444" i="40"/>
  <c r="S445" i="40"/>
  <c r="S446" i="40"/>
  <c r="S447" i="40"/>
  <c r="S448" i="40"/>
  <c r="S449" i="40"/>
  <c r="S450" i="40"/>
  <c r="S451" i="40"/>
  <c r="S452" i="40"/>
  <c r="S453" i="40"/>
  <c r="S454" i="40"/>
  <c r="S455" i="40"/>
  <c r="S456" i="40"/>
  <c r="S457" i="40"/>
  <c r="S458" i="40"/>
  <c r="S459" i="40"/>
  <c r="S460" i="40"/>
  <c r="S461" i="40"/>
  <c r="S462" i="40"/>
  <c r="S463" i="40"/>
  <c r="S464" i="40"/>
  <c r="S465" i="40"/>
  <c r="S466" i="40"/>
  <c r="S467" i="40"/>
  <c r="S468" i="40"/>
  <c r="S469" i="40"/>
  <c r="S470" i="40"/>
  <c r="S471" i="40"/>
  <c r="S472" i="40"/>
  <c r="S473" i="40"/>
  <c r="S474" i="40"/>
  <c r="S475" i="40"/>
  <c r="S476" i="40"/>
  <c r="S477" i="40"/>
  <c r="S478" i="40"/>
  <c r="S479" i="40"/>
  <c r="S480" i="40"/>
  <c r="S481" i="40"/>
  <c r="S482" i="40"/>
  <c r="S483" i="40"/>
  <c r="S484" i="40"/>
  <c r="S485" i="40"/>
  <c r="S486" i="40"/>
  <c r="S487" i="40"/>
  <c r="S488" i="40"/>
  <c r="S489" i="40"/>
  <c r="S490" i="40"/>
  <c r="S491" i="40"/>
  <c r="S492" i="40"/>
  <c r="S493" i="40"/>
  <c r="S494" i="40"/>
  <c r="S495" i="40"/>
  <c r="S496" i="40"/>
  <c r="S497" i="40"/>
  <c r="S498" i="40"/>
  <c r="S499" i="40"/>
  <c r="S500" i="40"/>
  <c r="S501" i="40"/>
  <c r="S502" i="40"/>
  <c r="S503" i="40"/>
  <c r="S504" i="40"/>
  <c r="S505" i="40"/>
  <c r="S506" i="40"/>
  <c r="S507" i="40"/>
  <c r="S508" i="40"/>
  <c r="S509" i="40"/>
  <c r="S510" i="40"/>
  <c r="S511" i="40"/>
  <c r="S512" i="40"/>
  <c r="S513" i="40"/>
  <c r="S514" i="40"/>
  <c r="S515" i="40"/>
  <c r="S76" i="40"/>
  <c r="P77" i="40"/>
  <c r="P78" i="40"/>
  <c r="P79" i="40"/>
  <c r="P80" i="40"/>
  <c r="P81" i="40"/>
  <c r="P82" i="40"/>
  <c r="P83" i="40"/>
  <c r="P84" i="40"/>
  <c r="P85" i="40"/>
  <c r="P86" i="40"/>
  <c r="P87" i="40"/>
  <c r="P88" i="40"/>
  <c r="P89" i="40"/>
  <c r="P90" i="40"/>
  <c r="P91" i="40"/>
  <c r="P92" i="40"/>
  <c r="P93" i="40"/>
  <c r="P94" i="40"/>
  <c r="P95" i="40"/>
  <c r="P96" i="40"/>
  <c r="P97" i="40"/>
  <c r="P98" i="40"/>
  <c r="P99" i="40"/>
  <c r="P100" i="40"/>
  <c r="P101" i="40"/>
  <c r="P102" i="40"/>
  <c r="P103" i="40"/>
  <c r="P104" i="40"/>
  <c r="P105" i="40"/>
  <c r="P106" i="40"/>
  <c r="P107" i="40"/>
  <c r="P108" i="40"/>
  <c r="P109" i="40"/>
  <c r="P110" i="40"/>
  <c r="P111" i="40"/>
  <c r="P112" i="40"/>
  <c r="P113" i="40"/>
  <c r="P114" i="40"/>
  <c r="P115" i="40"/>
  <c r="P116" i="40"/>
  <c r="P117" i="40"/>
  <c r="P118" i="40"/>
  <c r="P119" i="40"/>
  <c r="P120" i="40"/>
  <c r="P121" i="40"/>
  <c r="P122" i="40"/>
  <c r="P123" i="40"/>
  <c r="P124" i="40"/>
  <c r="P125" i="40"/>
  <c r="P126" i="40"/>
  <c r="P127" i="40"/>
  <c r="P128" i="40"/>
  <c r="P129" i="40"/>
  <c r="P130" i="40"/>
  <c r="P131" i="40"/>
  <c r="P132" i="40"/>
  <c r="P133" i="40"/>
  <c r="P134" i="40"/>
  <c r="P135" i="40"/>
  <c r="P136" i="40"/>
  <c r="P137" i="40"/>
  <c r="P138" i="40"/>
  <c r="P139" i="40"/>
  <c r="P140" i="40"/>
  <c r="P141" i="40"/>
  <c r="P142" i="40"/>
  <c r="P143" i="40"/>
  <c r="P144" i="40"/>
  <c r="P145" i="40"/>
  <c r="P146" i="40"/>
  <c r="P147" i="40"/>
  <c r="P148" i="40"/>
  <c r="P149" i="40"/>
  <c r="P150" i="40"/>
  <c r="P151" i="40"/>
  <c r="P152" i="40"/>
  <c r="P153" i="40"/>
  <c r="P154" i="40"/>
  <c r="P155" i="40"/>
  <c r="P156" i="40"/>
  <c r="P157" i="40"/>
  <c r="P158" i="40"/>
  <c r="P159" i="40"/>
  <c r="P160" i="40"/>
  <c r="P161" i="40"/>
  <c r="P162" i="40"/>
  <c r="P163" i="40"/>
  <c r="P164" i="40"/>
  <c r="P165" i="40"/>
  <c r="P166" i="40"/>
  <c r="P167" i="40"/>
  <c r="P168" i="40"/>
  <c r="P169" i="40"/>
  <c r="P170" i="40"/>
  <c r="P171" i="40"/>
  <c r="P172" i="40"/>
  <c r="P173" i="40"/>
  <c r="P174" i="40"/>
  <c r="P175" i="40"/>
  <c r="P176" i="40"/>
  <c r="P177" i="40"/>
  <c r="P178" i="40"/>
  <c r="P179" i="40"/>
  <c r="P180" i="40"/>
  <c r="P181" i="40"/>
  <c r="P182" i="40"/>
  <c r="P183" i="40"/>
  <c r="P184" i="40"/>
  <c r="P185" i="40"/>
  <c r="P186" i="40"/>
  <c r="P187" i="40"/>
  <c r="P188" i="40"/>
  <c r="P189" i="40"/>
  <c r="P190" i="40"/>
  <c r="P191" i="40"/>
  <c r="P192" i="40"/>
  <c r="P193" i="40"/>
  <c r="P194" i="40"/>
  <c r="P195" i="40"/>
  <c r="P196" i="40"/>
  <c r="P197" i="40"/>
  <c r="P198" i="40"/>
  <c r="P199" i="40"/>
  <c r="P200" i="40"/>
  <c r="P201" i="40"/>
  <c r="P202" i="40"/>
  <c r="P203" i="40"/>
  <c r="P204" i="40"/>
  <c r="P205" i="40"/>
  <c r="P206" i="40"/>
  <c r="P207" i="40"/>
  <c r="P208" i="40"/>
  <c r="P209" i="40"/>
  <c r="P210" i="40"/>
  <c r="P211" i="40"/>
  <c r="P212" i="40"/>
  <c r="P213" i="40"/>
  <c r="P214" i="40"/>
  <c r="P215" i="40"/>
  <c r="P216" i="40"/>
  <c r="P217" i="40"/>
  <c r="P218" i="40"/>
  <c r="P219" i="40"/>
  <c r="P220" i="40"/>
  <c r="P221" i="40"/>
  <c r="P222" i="40"/>
  <c r="P223" i="40"/>
  <c r="P224" i="40"/>
  <c r="P225" i="40"/>
  <c r="P226" i="40"/>
  <c r="P227" i="40"/>
  <c r="P228" i="40"/>
  <c r="P229" i="40"/>
  <c r="P230" i="40"/>
  <c r="P231" i="40"/>
  <c r="P232" i="40"/>
  <c r="P233" i="40"/>
  <c r="P234" i="40"/>
  <c r="P235" i="40"/>
  <c r="P236" i="40"/>
  <c r="P237" i="40"/>
  <c r="P238" i="40"/>
  <c r="P239" i="40"/>
  <c r="P240" i="40"/>
  <c r="P241" i="40"/>
  <c r="P242" i="40"/>
  <c r="P243" i="40"/>
  <c r="P244" i="40"/>
  <c r="P245" i="40"/>
  <c r="P246" i="40"/>
  <c r="P247" i="40"/>
  <c r="P248" i="40"/>
  <c r="P249" i="40"/>
  <c r="P250" i="40"/>
  <c r="P251" i="40"/>
  <c r="P252" i="40"/>
  <c r="P253" i="40"/>
  <c r="P254" i="40"/>
  <c r="P255" i="40"/>
  <c r="P256" i="40"/>
  <c r="P257" i="40"/>
  <c r="P258" i="40"/>
  <c r="P259" i="40"/>
  <c r="P260" i="40"/>
  <c r="P261" i="40"/>
  <c r="P262" i="40"/>
  <c r="P263" i="40"/>
  <c r="P264" i="40"/>
  <c r="P265" i="40"/>
  <c r="P266" i="40"/>
  <c r="P267" i="40"/>
  <c r="P268" i="40"/>
  <c r="P269" i="40"/>
  <c r="P270" i="40"/>
  <c r="P271" i="40"/>
  <c r="P272" i="40"/>
  <c r="P273" i="40"/>
  <c r="P274" i="40"/>
  <c r="P275" i="40"/>
  <c r="P276" i="40"/>
  <c r="P277" i="40"/>
  <c r="P278" i="40"/>
  <c r="P279" i="40"/>
  <c r="P280" i="40"/>
  <c r="P281" i="40"/>
  <c r="P282" i="40"/>
  <c r="P283" i="40"/>
  <c r="P284" i="40"/>
  <c r="P285" i="40"/>
  <c r="P286" i="40"/>
  <c r="P287" i="40"/>
  <c r="P288" i="40"/>
  <c r="P289" i="40"/>
  <c r="P290" i="40"/>
  <c r="P291" i="40"/>
  <c r="P292" i="40"/>
  <c r="P293" i="40"/>
  <c r="P294" i="40"/>
  <c r="P295" i="40"/>
  <c r="P296" i="40"/>
  <c r="P297" i="40"/>
  <c r="P298" i="40"/>
  <c r="P299" i="40"/>
  <c r="P300" i="40"/>
  <c r="P301" i="40"/>
  <c r="P302" i="40"/>
  <c r="P303" i="40"/>
  <c r="P304" i="40"/>
  <c r="P305" i="40"/>
  <c r="P306" i="40"/>
  <c r="P307" i="40"/>
  <c r="P308" i="40"/>
  <c r="P309" i="40"/>
  <c r="P310" i="40"/>
  <c r="P311" i="40"/>
  <c r="P312" i="40"/>
  <c r="P313" i="40"/>
  <c r="P314" i="40"/>
  <c r="P315" i="40"/>
  <c r="P316" i="40"/>
  <c r="P317" i="40"/>
  <c r="P318" i="40"/>
  <c r="P319" i="40"/>
  <c r="P320" i="40"/>
  <c r="P321" i="40"/>
  <c r="P322" i="40"/>
  <c r="P323" i="40"/>
  <c r="P324" i="40"/>
  <c r="P325" i="40"/>
  <c r="P326" i="40"/>
  <c r="P327" i="40"/>
  <c r="P328" i="40"/>
  <c r="P329" i="40"/>
  <c r="P330" i="40"/>
  <c r="P331" i="40"/>
  <c r="P332" i="40"/>
  <c r="P333" i="40"/>
  <c r="P334" i="40"/>
  <c r="P335" i="40"/>
  <c r="P336" i="40"/>
  <c r="P337" i="40"/>
  <c r="P338" i="40"/>
  <c r="P339" i="40"/>
  <c r="P340" i="40"/>
  <c r="P341" i="40"/>
  <c r="P342" i="40"/>
  <c r="P343" i="40"/>
  <c r="P344" i="40"/>
  <c r="P345" i="40"/>
  <c r="P346" i="40"/>
  <c r="P347" i="40"/>
  <c r="P348" i="40"/>
  <c r="P349" i="40"/>
  <c r="P350" i="40"/>
  <c r="P351" i="40"/>
  <c r="P352" i="40"/>
  <c r="P353" i="40"/>
  <c r="P354" i="40"/>
  <c r="P355" i="40"/>
  <c r="P356" i="40"/>
  <c r="P357" i="40"/>
  <c r="P358" i="40"/>
  <c r="P359" i="40"/>
  <c r="P360" i="40"/>
  <c r="P361" i="40"/>
  <c r="P362" i="40"/>
  <c r="P363" i="40"/>
  <c r="P364" i="40"/>
  <c r="P365" i="40"/>
  <c r="P366" i="40"/>
  <c r="P367" i="40"/>
  <c r="P368" i="40"/>
  <c r="P369" i="40"/>
  <c r="P370" i="40"/>
  <c r="P371" i="40"/>
  <c r="P372" i="40"/>
  <c r="P373" i="40"/>
  <c r="P374" i="40"/>
  <c r="P375" i="40"/>
  <c r="P376" i="40"/>
  <c r="P377" i="40"/>
  <c r="P378" i="40"/>
  <c r="P379" i="40"/>
  <c r="P380" i="40"/>
  <c r="P381" i="40"/>
  <c r="P382" i="40"/>
  <c r="P383" i="40"/>
  <c r="P384" i="40"/>
  <c r="P385" i="40"/>
  <c r="P386" i="40"/>
  <c r="P387" i="40"/>
  <c r="P388" i="40"/>
  <c r="P389" i="40"/>
  <c r="P390" i="40"/>
  <c r="P391" i="40"/>
  <c r="P392" i="40"/>
  <c r="P393" i="40"/>
  <c r="P394" i="40"/>
  <c r="P395" i="40"/>
  <c r="P396" i="40"/>
  <c r="P397" i="40"/>
  <c r="P398" i="40"/>
  <c r="P399" i="40"/>
  <c r="P400" i="40"/>
  <c r="P401" i="40"/>
  <c r="P402" i="40"/>
  <c r="P403" i="40"/>
  <c r="P404" i="40"/>
  <c r="P405" i="40"/>
  <c r="P406" i="40"/>
  <c r="P407" i="40"/>
  <c r="P408" i="40"/>
  <c r="P409" i="40"/>
  <c r="P410" i="40"/>
  <c r="P411" i="40"/>
  <c r="P412" i="40"/>
  <c r="P413" i="40"/>
  <c r="P414" i="40"/>
  <c r="P415" i="40"/>
  <c r="P416" i="40"/>
  <c r="P417" i="40"/>
  <c r="P418" i="40"/>
  <c r="P419" i="40"/>
  <c r="P420" i="40"/>
  <c r="P421" i="40"/>
  <c r="P422" i="40"/>
  <c r="P423" i="40"/>
  <c r="P424" i="40"/>
  <c r="P425" i="40"/>
  <c r="P426" i="40"/>
  <c r="P427" i="40"/>
  <c r="P428" i="40"/>
  <c r="P429" i="40"/>
  <c r="P430" i="40"/>
  <c r="P431" i="40"/>
  <c r="P432" i="40"/>
  <c r="P433" i="40"/>
  <c r="P434" i="40"/>
  <c r="P435" i="40"/>
  <c r="P436" i="40"/>
  <c r="P437" i="40"/>
  <c r="P438" i="40"/>
  <c r="P439" i="40"/>
  <c r="P440" i="40"/>
  <c r="P441" i="40"/>
  <c r="P442" i="40"/>
  <c r="P443" i="40"/>
  <c r="P444" i="40"/>
  <c r="P445" i="40"/>
  <c r="P446" i="40"/>
  <c r="P447" i="40"/>
  <c r="P448" i="40"/>
  <c r="P449" i="40"/>
  <c r="P450" i="40"/>
  <c r="P451" i="40"/>
  <c r="P452" i="40"/>
  <c r="P453" i="40"/>
  <c r="P454" i="40"/>
  <c r="P455" i="40"/>
  <c r="P456" i="40"/>
  <c r="P457" i="40"/>
  <c r="P458" i="40"/>
  <c r="P459" i="40"/>
  <c r="P460" i="40"/>
  <c r="P461" i="40"/>
  <c r="P462" i="40"/>
  <c r="P463" i="40"/>
  <c r="P464" i="40"/>
  <c r="P465" i="40"/>
  <c r="P466" i="40"/>
  <c r="P467" i="40"/>
  <c r="P468" i="40"/>
  <c r="P469" i="40"/>
  <c r="P470" i="40"/>
  <c r="P471" i="40"/>
  <c r="P472" i="40"/>
  <c r="P473" i="40"/>
  <c r="P474" i="40"/>
  <c r="P475" i="40"/>
  <c r="P476" i="40"/>
  <c r="P477" i="40"/>
  <c r="P478" i="40"/>
  <c r="P479" i="40"/>
  <c r="P480" i="40"/>
  <c r="P481" i="40"/>
  <c r="P482" i="40"/>
  <c r="P483" i="40"/>
  <c r="P484" i="40"/>
  <c r="P485" i="40"/>
  <c r="P486" i="40"/>
  <c r="P487" i="40"/>
  <c r="P488" i="40"/>
  <c r="P489" i="40"/>
  <c r="P490" i="40"/>
  <c r="P491" i="40"/>
  <c r="P492" i="40"/>
  <c r="P493" i="40"/>
  <c r="P494" i="40"/>
  <c r="P495" i="40"/>
  <c r="P496" i="40"/>
  <c r="P497" i="40"/>
  <c r="P498" i="40"/>
  <c r="P499" i="40"/>
  <c r="P500" i="40"/>
  <c r="P501" i="40"/>
  <c r="P502" i="40"/>
  <c r="P503" i="40"/>
  <c r="P504" i="40"/>
  <c r="P505" i="40"/>
  <c r="P506" i="40"/>
  <c r="P507" i="40"/>
  <c r="P508" i="40"/>
  <c r="P509" i="40"/>
  <c r="P510" i="40"/>
  <c r="P511" i="40"/>
  <c r="P512" i="40"/>
  <c r="P513" i="40"/>
  <c r="P514" i="40"/>
  <c r="P515" i="40"/>
  <c r="M77" i="40"/>
  <c r="M78" i="40"/>
  <c r="M79" i="40"/>
  <c r="M80" i="40"/>
  <c r="M81" i="40"/>
  <c r="M82" i="40"/>
  <c r="M83" i="40"/>
  <c r="M84" i="40"/>
  <c r="M85" i="40"/>
  <c r="M86" i="40"/>
  <c r="M87" i="40"/>
  <c r="M88" i="40"/>
  <c r="M89" i="40"/>
  <c r="M90" i="40"/>
  <c r="M91" i="40"/>
  <c r="M92" i="40"/>
  <c r="M93" i="40"/>
  <c r="M94" i="40"/>
  <c r="M95" i="40"/>
  <c r="M96" i="40"/>
  <c r="M97" i="40"/>
  <c r="M98" i="40"/>
  <c r="M99" i="40"/>
  <c r="M100" i="40"/>
  <c r="M101" i="40"/>
  <c r="M102" i="40"/>
  <c r="M103" i="40"/>
  <c r="M104" i="40"/>
  <c r="M105" i="40"/>
  <c r="M106" i="40"/>
  <c r="M107" i="40"/>
  <c r="M108" i="40"/>
  <c r="M109" i="40"/>
  <c r="M110" i="40"/>
  <c r="M111" i="40"/>
  <c r="M112" i="40"/>
  <c r="M113" i="40"/>
  <c r="M114" i="40"/>
  <c r="M115" i="40"/>
  <c r="M116" i="40"/>
  <c r="M117" i="40"/>
  <c r="M118" i="40"/>
  <c r="M119" i="40"/>
  <c r="M120" i="40"/>
  <c r="M121" i="40"/>
  <c r="M122" i="40"/>
  <c r="M123" i="40"/>
  <c r="M124" i="40"/>
  <c r="M125" i="40"/>
  <c r="M126" i="40"/>
  <c r="M127" i="40"/>
  <c r="M128" i="40"/>
  <c r="M129" i="40"/>
  <c r="M130" i="40"/>
  <c r="M131" i="40"/>
  <c r="M132" i="40"/>
  <c r="M133" i="40"/>
  <c r="M134" i="40"/>
  <c r="M135" i="40"/>
  <c r="M136" i="40"/>
  <c r="M137" i="40"/>
  <c r="M138" i="40"/>
  <c r="M139" i="40"/>
  <c r="M140" i="40"/>
  <c r="M141" i="40"/>
  <c r="M142" i="40"/>
  <c r="M143" i="40"/>
  <c r="M144" i="40"/>
  <c r="M145" i="40"/>
  <c r="M146" i="40"/>
  <c r="M147" i="40"/>
  <c r="M148" i="40"/>
  <c r="M149" i="40"/>
  <c r="M150" i="40"/>
  <c r="M151" i="40"/>
  <c r="M152" i="40"/>
  <c r="M153" i="40"/>
  <c r="M154" i="40"/>
  <c r="M155" i="40"/>
  <c r="M156" i="40"/>
  <c r="M157" i="40"/>
  <c r="M158" i="40"/>
  <c r="M159" i="40"/>
  <c r="M160" i="40"/>
  <c r="M161" i="40"/>
  <c r="M162" i="40"/>
  <c r="M163" i="40"/>
  <c r="M164" i="40"/>
  <c r="M165" i="40"/>
  <c r="M166" i="40"/>
  <c r="M167" i="40"/>
  <c r="M168" i="40"/>
  <c r="M169" i="40"/>
  <c r="M170" i="40"/>
  <c r="M171" i="40"/>
  <c r="M172" i="40"/>
  <c r="M173" i="40"/>
  <c r="M174" i="40"/>
  <c r="M175" i="40"/>
  <c r="M176" i="40"/>
  <c r="M177" i="40"/>
  <c r="M178" i="40"/>
  <c r="M179" i="40"/>
  <c r="M180" i="40"/>
  <c r="M181" i="40"/>
  <c r="M182" i="40"/>
  <c r="M183" i="40"/>
  <c r="M184" i="40"/>
  <c r="M185" i="40"/>
  <c r="M186" i="40"/>
  <c r="M187" i="40"/>
  <c r="M188" i="40"/>
  <c r="M189" i="40"/>
  <c r="M190" i="40"/>
  <c r="M191" i="40"/>
  <c r="M192" i="40"/>
  <c r="M193" i="40"/>
  <c r="M194" i="40"/>
  <c r="M195" i="40"/>
  <c r="M196" i="40"/>
  <c r="M197" i="40"/>
  <c r="M198" i="40"/>
  <c r="M199" i="40"/>
  <c r="M200" i="40"/>
  <c r="M201" i="40"/>
  <c r="M202" i="40"/>
  <c r="M203" i="40"/>
  <c r="M204" i="40"/>
  <c r="M205" i="40"/>
  <c r="M206" i="40"/>
  <c r="M207" i="40"/>
  <c r="M208" i="40"/>
  <c r="M209" i="40"/>
  <c r="M210" i="40"/>
  <c r="M211" i="40"/>
  <c r="M212" i="40"/>
  <c r="M213" i="40"/>
  <c r="M214" i="40"/>
  <c r="M215" i="40"/>
  <c r="M216" i="40"/>
  <c r="M217" i="40"/>
  <c r="M218" i="40"/>
  <c r="M219" i="40"/>
  <c r="M220" i="40"/>
  <c r="M221" i="40"/>
  <c r="M222" i="40"/>
  <c r="M223" i="40"/>
  <c r="M224" i="40"/>
  <c r="M225" i="40"/>
  <c r="M226" i="40"/>
  <c r="M227" i="40"/>
  <c r="M228" i="40"/>
  <c r="M229" i="40"/>
  <c r="M230" i="40"/>
  <c r="M231" i="40"/>
  <c r="M232" i="40"/>
  <c r="M233" i="40"/>
  <c r="M234" i="40"/>
  <c r="M235" i="40"/>
  <c r="M236" i="40"/>
  <c r="M237" i="40"/>
  <c r="M238" i="40"/>
  <c r="M239" i="40"/>
  <c r="M240" i="40"/>
  <c r="M241" i="40"/>
  <c r="M242" i="40"/>
  <c r="M243" i="40"/>
  <c r="M244" i="40"/>
  <c r="M245" i="40"/>
  <c r="M246" i="40"/>
  <c r="M247" i="40"/>
  <c r="M248" i="40"/>
  <c r="M249" i="40"/>
  <c r="M250" i="40"/>
  <c r="M251" i="40"/>
  <c r="M252" i="40"/>
  <c r="M253" i="40"/>
  <c r="M254" i="40"/>
  <c r="M255" i="40"/>
  <c r="M256" i="40"/>
  <c r="M257" i="40"/>
  <c r="M258" i="40"/>
  <c r="M259" i="40"/>
  <c r="M260" i="40"/>
  <c r="M261" i="40"/>
  <c r="M262" i="40"/>
  <c r="M263" i="40"/>
  <c r="M264" i="40"/>
  <c r="M265" i="40"/>
  <c r="M266" i="40"/>
  <c r="M267" i="40"/>
  <c r="M268" i="40"/>
  <c r="M269" i="40"/>
  <c r="M270" i="40"/>
  <c r="M271" i="40"/>
  <c r="M272" i="40"/>
  <c r="M273" i="40"/>
  <c r="M274" i="40"/>
  <c r="M275" i="40"/>
  <c r="M276" i="40"/>
  <c r="M277" i="40"/>
  <c r="M278" i="40"/>
  <c r="M279" i="40"/>
  <c r="M280" i="40"/>
  <c r="M281" i="40"/>
  <c r="M282" i="40"/>
  <c r="M283" i="40"/>
  <c r="M284" i="40"/>
  <c r="M285" i="40"/>
  <c r="M286" i="40"/>
  <c r="M287" i="40"/>
  <c r="M288" i="40"/>
  <c r="M289" i="40"/>
  <c r="M290" i="40"/>
  <c r="M291" i="40"/>
  <c r="M292" i="40"/>
  <c r="M293" i="40"/>
  <c r="M294" i="40"/>
  <c r="M295" i="40"/>
  <c r="M296" i="40"/>
  <c r="M297" i="40"/>
  <c r="M298" i="40"/>
  <c r="M299" i="40"/>
  <c r="M300" i="40"/>
  <c r="M301" i="40"/>
  <c r="M302" i="40"/>
  <c r="M303" i="40"/>
  <c r="M304" i="40"/>
  <c r="M305" i="40"/>
  <c r="M306" i="40"/>
  <c r="M307" i="40"/>
  <c r="M308" i="40"/>
  <c r="M309" i="40"/>
  <c r="M310" i="40"/>
  <c r="M311" i="40"/>
  <c r="M312" i="40"/>
  <c r="M313" i="40"/>
  <c r="M314" i="40"/>
  <c r="M315" i="40"/>
  <c r="M316" i="40"/>
  <c r="M317" i="40"/>
  <c r="M318" i="40"/>
  <c r="M319" i="40"/>
  <c r="M320" i="40"/>
  <c r="M321" i="40"/>
  <c r="M322" i="40"/>
  <c r="M323" i="40"/>
  <c r="M324" i="40"/>
  <c r="M325" i="40"/>
  <c r="M326" i="40"/>
  <c r="M327" i="40"/>
  <c r="M328" i="40"/>
  <c r="M329" i="40"/>
  <c r="M330" i="40"/>
  <c r="M331" i="40"/>
  <c r="M332" i="40"/>
  <c r="M333" i="40"/>
  <c r="M334" i="40"/>
  <c r="M335" i="40"/>
  <c r="M336" i="40"/>
  <c r="M337" i="40"/>
  <c r="M338" i="40"/>
  <c r="M339" i="40"/>
  <c r="M340" i="40"/>
  <c r="M341" i="40"/>
  <c r="M342" i="40"/>
  <c r="M343" i="40"/>
  <c r="M344" i="40"/>
  <c r="M345" i="40"/>
  <c r="M346" i="40"/>
  <c r="M347" i="40"/>
  <c r="M348" i="40"/>
  <c r="M349" i="40"/>
  <c r="M350" i="40"/>
  <c r="M351" i="40"/>
  <c r="M352" i="40"/>
  <c r="M353" i="40"/>
  <c r="M354" i="40"/>
  <c r="M355" i="40"/>
  <c r="M356" i="40"/>
  <c r="M357" i="40"/>
  <c r="M358" i="40"/>
  <c r="M359" i="40"/>
  <c r="M360" i="40"/>
  <c r="M361" i="40"/>
  <c r="M362" i="40"/>
  <c r="M363" i="40"/>
  <c r="M364" i="40"/>
  <c r="M365" i="40"/>
  <c r="M366" i="40"/>
  <c r="M367" i="40"/>
  <c r="M368" i="40"/>
  <c r="M369" i="40"/>
  <c r="M370" i="40"/>
  <c r="M371" i="40"/>
  <c r="M372" i="40"/>
  <c r="M373" i="40"/>
  <c r="M374" i="40"/>
  <c r="M375" i="40"/>
  <c r="M376" i="40"/>
  <c r="M377" i="40"/>
  <c r="M378" i="40"/>
  <c r="M379" i="40"/>
  <c r="M380" i="40"/>
  <c r="M381" i="40"/>
  <c r="M382" i="40"/>
  <c r="M383" i="40"/>
  <c r="M384" i="40"/>
  <c r="M385" i="40"/>
  <c r="M386" i="40"/>
  <c r="M387" i="40"/>
  <c r="M388" i="40"/>
  <c r="M389" i="40"/>
  <c r="M390" i="40"/>
  <c r="M391" i="40"/>
  <c r="M392" i="40"/>
  <c r="M393" i="40"/>
  <c r="M394" i="40"/>
  <c r="M395" i="40"/>
  <c r="M396" i="40"/>
  <c r="M397" i="40"/>
  <c r="M398" i="40"/>
  <c r="M399" i="40"/>
  <c r="M400" i="40"/>
  <c r="M401" i="40"/>
  <c r="M402" i="40"/>
  <c r="M403" i="40"/>
  <c r="M404" i="40"/>
  <c r="M405" i="40"/>
  <c r="M406" i="40"/>
  <c r="M407" i="40"/>
  <c r="M408" i="40"/>
  <c r="M409" i="40"/>
  <c r="M410" i="40"/>
  <c r="M411" i="40"/>
  <c r="M412" i="40"/>
  <c r="M413" i="40"/>
  <c r="M414" i="40"/>
  <c r="M415" i="40"/>
  <c r="M416" i="40"/>
  <c r="M417" i="40"/>
  <c r="M418" i="40"/>
  <c r="M419" i="40"/>
  <c r="M420" i="40"/>
  <c r="M421" i="40"/>
  <c r="M422" i="40"/>
  <c r="M423" i="40"/>
  <c r="M424" i="40"/>
  <c r="M425" i="40"/>
  <c r="M426" i="40"/>
  <c r="M427" i="40"/>
  <c r="M428" i="40"/>
  <c r="M429" i="40"/>
  <c r="M430" i="40"/>
  <c r="M431" i="40"/>
  <c r="M432" i="40"/>
  <c r="M433" i="40"/>
  <c r="M434" i="40"/>
  <c r="M435" i="40"/>
  <c r="M436" i="40"/>
  <c r="M437" i="40"/>
  <c r="M438" i="40"/>
  <c r="M439" i="40"/>
  <c r="M440" i="40"/>
  <c r="M441" i="40"/>
  <c r="M442" i="40"/>
  <c r="M443" i="40"/>
  <c r="M444" i="40"/>
  <c r="M445" i="40"/>
  <c r="M446" i="40"/>
  <c r="M447" i="40"/>
  <c r="M448" i="40"/>
  <c r="M449" i="40"/>
  <c r="M450" i="40"/>
  <c r="M451" i="40"/>
  <c r="M452" i="40"/>
  <c r="M453" i="40"/>
  <c r="M454" i="40"/>
  <c r="M455" i="40"/>
  <c r="M456" i="40"/>
  <c r="M457" i="40"/>
  <c r="M458" i="40"/>
  <c r="M459" i="40"/>
  <c r="M460" i="40"/>
  <c r="M461" i="40"/>
  <c r="M462" i="40"/>
  <c r="M463" i="40"/>
  <c r="M464" i="40"/>
  <c r="M465" i="40"/>
  <c r="M466" i="40"/>
  <c r="M467" i="40"/>
  <c r="M468" i="40"/>
  <c r="M469" i="40"/>
  <c r="M470" i="40"/>
  <c r="M471" i="40"/>
  <c r="M472" i="40"/>
  <c r="M473" i="40"/>
  <c r="M474" i="40"/>
  <c r="M475" i="40"/>
  <c r="M476" i="40"/>
  <c r="M477" i="40"/>
  <c r="M478" i="40"/>
  <c r="M479" i="40"/>
  <c r="M480" i="40"/>
  <c r="M481" i="40"/>
  <c r="M482" i="40"/>
  <c r="M483" i="40"/>
  <c r="M484" i="40"/>
  <c r="M485" i="40"/>
  <c r="M486" i="40"/>
  <c r="M487" i="40"/>
  <c r="M488" i="40"/>
  <c r="M489" i="40"/>
  <c r="M490" i="40"/>
  <c r="M491" i="40"/>
  <c r="M492" i="40"/>
  <c r="M493" i="40"/>
  <c r="M494" i="40"/>
  <c r="M495" i="40"/>
  <c r="M496" i="40"/>
  <c r="M497" i="40"/>
  <c r="M498" i="40"/>
  <c r="M499" i="40"/>
  <c r="M500" i="40"/>
  <c r="M501" i="40"/>
  <c r="M502" i="40"/>
  <c r="M503" i="40"/>
  <c r="M504" i="40"/>
  <c r="M505" i="40"/>
  <c r="M506" i="40"/>
  <c r="M507" i="40"/>
  <c r="M508" i="40"/>
  <c r="M509" i="40"/>
  <c r="M510" i="40"/>
  <c r="M511" i="40"/>
  <c r="M512" i="40"/>
  <c r="M513" i="40"/>
  <c r="M514" i="40"/>
  <c r="M515" i="40"/>
  <c r="J9" i="41"/>
  <c r="K9" i="41"/>
  <c r="M76" i="40"/>
  <c r="P76" i="40"/>
  <c r="G2" i="41"/>
  <c r="I2" i="41"/>
  <c r="J2" i="41"/>
  <c r="K2" i="41"/>
  <c r="G3" i="41"/>
  <c r="I3" i="41"/>
  <c r="J3" i="41"/>
  <c r="K3" i="41"/>
  <c r="G4" i="41"/>
  <c r="I4" i="41"/>
  <c r="J4" i="41"/>
  <c r="K4" i="41"/>
  <c r="G5" i="41"/>
  <c r="I5" i="41"/>
  <c r="J5" i="41"/>
  <c r="K5" i="41"/>
  <c r="G6" i="41"/>
  <c r="I6" i="41"/>
  <c r="J6" i="41"/>
  <c r="K6" i="41"/>
  <c r="G7" i="41"/>
  <c r="I7" i="41"/>
  <c r="J7" i="41"/>
  <c r="K7" i="41"/>
  <c r="G8" i="41"/>
  <c r="I8" i="41"/>
  <c r="J8" i="41"/>
  <c r="K8" i="41"/>
  <c r="G10" i="41"/>
  <c r="I10" i="41"/>
  <c r="J10" i="41"/>
  <c r="K10" i="41"/>
  <c r="G11" i="41"/>
  <c r="I11" i="41"/>
  <c r="J11" i="41"/>
  <c r="K11" i="41"/>
  <c r="G14" i="41"/>
  <c r="I14" i="41"/>
  <c r="J14" i="41"/>
  <c r="K14" i="41"/>
  <c r="G13" i="41"/>
  <c r="I13" i="41"/>
  <c r="J13" i="41"/>
  <c r="K13" i="41"/>
  <c r="G12" i="41"/>
  <c r="I12" i="41"/>
  <c r="J12" i="41"/>
  <c r="K12" i="41"/>
  <c r="B76" i="40"/>
  <c r="I515" i="40"/>
  <c r="I514" i="40"/>
  <c r="I513" i="40"/>
  <c r="I512" i="40"/>
  <c r="I511" i="40"/>
  <c r="I510" i="40"/>
  <c r="I509" i="40"/>
  <c r="I508" i="40"/>
  <c r="I507" i="40"/>
  <c r="I506" i="40"/>
  <c r="I505" i="40"/>
  <c r="I504" i="40"/>
  <c r="I503" i="40"/>
  <c r="I502" i="40"/>
  <c r="I501" i="40"/>
  <c r="I500" i="40"/>
  <c r="I499" i="40"/>
  <c r="I498" i="40"/>
  <c r="I497" i="40"/>
  <c r="I496" i="40"/>
  <c r="I495" i="40"/>
  <c r="I494" i="40"/>
  <c r="I493" i="40"/>
  <c r="I492" i="40"/>
  <c r="I491" i="40"/>
  <c r="I490" i="40"/>
  <c r="I489" i="40"/>
  <c r="I488" i="40"/>
  <c r="I487" i="40"/>
  <c r="I486" i="40"/>
  <c r="I485" i="40"/>
  <c r="I484" i="40"/>
  <c r="I483" i="40"/>
  <c r="I482" i="40"/>
  <c r="I481" i="40"/>
  <c r="I480" i="40"/>
  <c r="I479" i="40"/>
  <c r="I478" i="40"/>
  <c r="I477" i="40"/>
  <c r="I476" i="40"/>
  <c r="I475" i="40"/>
  <c r="I474" i="40"/>
  <c r="I473" i="40"/>
  <c r="I472" i="40"/>
  <c r="I471" i="40"/>
  <c r="I470" i="40"/>
  <c r="I469" i="40"/>
  <c r="I468" i="40"/>
  <c r="I467" i="40"/>
  <c r="I466" i="40"/>
  <c r="I465" i="40"/>
  <c r="I464" i="40"/>
  <c r="I463" i="40"/>
  <c r="I462" i="40"/>
  <c r="I461" i="40"/>
  <c r="I460" i="40"/>
  <c r="I459" i="40"/>
  <c r="I458" i="40"/>
  <c r="I457" i="40"/>
  <c r="I456" i="40"/>
  <c r="I455" i="40"/>
  <c r="I454" i="40"/>
  <c r="I453" i="40"/>
  <c r="I452" i="40"/>
  <c r="I451" i="40"/>
  <c r="I450" i="40"/>
  <c r="I449" i="40"/>
  <c r="I448" i="40"/>
  <c r="I447" i="40"/>
  <c r="I446" i="40"/>
  <c r="I445" i="40"/>
  <c r="I444" i="40"/>
  <c r="I443" i="40"/>
  <c r="I442" i="40"/>
  <c r="I441" i="40"/>
  <c r="I440" i="40"/>
  <c r="I439" i="40"/>
  <c r="I438" i="40"/>
  <c r="I437" i="40"/>
  <c r="I436" i="40"/>
  <c r="I435" i="40"/>
  <c r="I434" i="40"/>
  <c r="I433" i="40"/>
  <c r="I432" i="40"/>
  <c r="I431" i="40"/>
  <c r="I430" i="40"/>
  <c r="I429" i="40"/>
  <c r="I428" i="40"/>
  <c r="I427" i="40"/>
  <c r="I426" i="40"/>
  <c r="I425" i="40"/>
  <c r="I424" i="40"/>
  <c r="I423" i="40"/>
  <c r="I422" i="40"/>
  <c r="I421" i="40"/>
  <c r="I420" i="40"/>
  <c r="I419" i="40"/>
  <c r="I418" i="40"/>
  <c r="I417" i="40"/>
  <c r="I416" i="40"/>
  <c r="I415" i="40"/>
  <c r="I414" i="40"/>
  <c r="I413" i="40"/>
  <c r="I412" i="40"/>
  <c r="I411" i="40"/>
  <c r="I410" i="40"/>
  <c r="I409" i="40"/>
  <c r="I408" i="40"/>
  <c r="I407" i="40"/>
  <c r="I406" i="40"/>
  <c r="I405" i="40"/>
  <c r="I404" i="40"/>
  <c r="I403" i="40"/>
  <c r="I402" i="40"/>
  <c r="I401" i="40"/>
  <c r="I400" i="40"/>
  <c r="I399" i="40"/>
  <c r="I398" i="40"/>
  <c r="I397" i="40"/>
  <c r="I396" i="40"/>
  <c r="I395" i="40"/>
  <c r="I394" i="40"/>
  <c r="I393" i="40"/>
  <c r="I392" i="40"/>
  <c r="I391" i="40"/>
  <c r="I390" i="40"/>
  <c r="I389" i="40"/>
  <c r="I388" i="40"/>
  <c r="I387" i="40"/>
  <c r="I386" i="40"/>
  <c r="I385" i="40"/>
  <c r="I383" i="40"/>
  <c r="I382" i="40"/>
  <c r="I381" i="40"/>
  <c r="I380" i="40"/>
  <c r="I379" i="40"/>
  <c r="I378" i="40"/>
  <c r="I377" i="40"/>
  <c r="I376" i="40"/>
  <c r="I375" i="40"/>
  <c r="I374" i="40"/>
  <c r="I373" i="40"/>
  <c r="I372" i="40"/>
  <c r="I371" i="40"/>
  <c r="I370" i="40"/>
  <c r="I369" i="40"/>
  <c r="I368" i="40"/>
  <c r="I367" i="40"/>
  <c r="I366" i="40"/>
  <c r="I365" i="40"/>
  <c r="I364" i="40"/>
  <c r="I363" i="40"/>
  <c r="I362" i="40"/>
  <c r="I361" i="40"/>
  <c r="I360" i="40"/>
  <c r="I359" i="40"/>
  <c r="I358" i="40"/>
  <c r="I357" i="40"/>
  <c r="I356" i="40"/>
  <c r="I355" i="40"/>
  <c r="I354" i="40"/>
  <c r="I353" i="40"/>
  <c r="I352" i="40"/>
  <c r="I351" i="40"/>
  <c r="I350" i="40"/>
  <c r="I349" i="40"/>
  <c r="I348" i="40"/>
  <c r="I347" i="40"/>
  <c r="I346" i="40"/>
  <c r="I345" i="40"/>
  <c r="I344" i="40"/>
  <c r="I343" i="40"/>
  <c r="I342" i="40"/>
  <c r="I341" i="40"/>
  <c r="I340" i="40"/>
  <c r="I339" i="40"/>
  <c r="I338" i="40"/>
  <c r="I337" i="40"/>
  <c r="I336" i="40"/>
  <c r="I335" i="40"/>
  <c r="I334" i="40"/>
  <c r="I333" i="40"/>
  <c r="I332" i="40"/>
  <c r="I331" i="40"/>
  <c r="I330" i="40"/>
  <c r="I329" i="40"/>
  <c r="I328" i="40"/>
  <c r="I327" i="40"/>
  <c r="I326" i="40"/>
  <c r="I325" i="40"/>
  <c r="I324" i="40"/>
  <c r="I323" i="40"/>
  <c r="I322" i="40"/>
  <c r="I321" i="40"/>
  <c r="I320" i="40"/>
  <c r="I319" i="40"/>
  <c r="I318" i="40"/>
  <c r="I317" i="40"/>
  <c r="I316" i="40"/>
  <c r="I315" i="40"/>
  <c r="I314" i="40"/>
  <c r="I313" i="40"/>
  <c r="I312" i="40"/>
  <c r="I311" i="40"/>
  <c r="I310" i="40"/>
  <c r="I309" i="40"/>
  <c r="I308" i="40"/>
  <c r="I307" i="40"/>
  <c r="I306" i="40"/>
  <c r="I305" i="40"/>
  <c r="I304" i="40"/>
  <c r="I303" i="40"/>
  <c r="I302" i="40"/>
  <c r="I301" i="40"/>
  <c r="I300" i="40"/>
  <c r="I299" i="40"/>
  <c r="I298" i="40"/>
  <c r="I297" i="40"/>
  <c r="I296" i="40"/>
  <c r="I295" i="40"/>
  <c r="I294" i="40"/>
  <c r="I293" i="40"/>
  <c r="I292" i="40"/>
  <c r="I291" i="40"/>
  <c r="I290" i="40"/>
  <c r="I289" i="40"/>
  <c r="I288" i="40"/>
  <c r="I287" i="40"/>
  <c r="I286" i="40"/>
  <c r="I285" i="40"/>
  <c r="I284" i="40"/>
  <c r="I283" i="40"/>
  <c r="I282" i="40"/>
  <c r="I281" i="40"/>
  <c r="I280" i="40"/>
  <c r="I279" i="40"/>
  <c r="I278" i="40"/>
  <c r="I277" i="40"/>
  <c r="I276" i="40"/>
  <c r="I275" i="40"/>
  <c r="I274" i="40"/>
  <c r="I273" i="40"/>
  <c r="I272" i="40"/>
  <c r="I271" i="40"/>
  <c r="I270" i="40"/>
  <c r="I269" i="40"/>
  <c r="I268" i="40"/>
  <c r="I267" i="40"/>
  <c r="I266" i="40"/>
  <c r="I265" i="40"/>
  <c r="I264" i="40"/>
  <c r="I263" i="40"/>
  <c r="I262" i="40"/>
  <c r="I261" i="40"/>
  <c r="I260" i="40"/>
  <c r="I259" i="40"/>
  <c r="I258" i="40"/>
  <c r="I257" i="40"/>
  <c r="I256" i="40"/>
  <c r="I255" i="40"/>
  <c r="I254" i="40"/>
  <c r="I253" i="40"/>
  <c r="I252" i="40"/>
  <c r="I251" i="40"/>
  <c r="I250" i="40"/>
  <c r="I249" i="40"/>
  <c r="I248" i="40"/>
  <c r="I247" i="40"/>
  <c r="I246" i="40"/>
  <c r="I245" i="40"/>
  <c r="I244" i="40"/>
  <c r="I243" i="40"/>
  <c r="I242" i="40"/>
  <c r="I241" i="40"/>
  <c r="I240" i="40"/>
  <c r="I239" i="40"/>
  <c r="I238" i="40"/>
  <c r="I237" i="40"/>
  <c r="I236" i="40"/>
  <c r="I235" i="40"/>
  <c r="I234" i="40"/>
  <c r="I233" i="40"/>
  <c r="I232" i="40"/>
  <c r="I231" i="40"/>
  <c r="I230" i="40"/>
  <c r="I229" i="40"/>
  <c r="I228" i="40"/>
  <c r="I227" i="40"/>
  <c r="I226" i="40"/>
  <c r="I225" i="40"/>
  <c r="I224" i="40"/>
  <c r="I223" i="40"/>
  <c r="I222" i="40"/>
  <c r="I221" i="40"/>
  <c r="I220" i="40"/>
  <c r="I219" i="40"/>
  <c r="I218" i="40"/>
  <c r="I217" i="40"/>
  <c r="I216" i="40"/>
  <c r="I215" i="40"/>
  <c r="I214" i="40"/>
  <c r="I213" i="40"/>
  <c r="I212" i="40"/>
  <c r="I211" i="40"/>
  <c r="I210" i="40"/>
  <c r="I209" i="40"/>
  <c r="I208" i="40"/>
  <c r="I207" i="40"/>
  <c r="I206" i="40"/>
  <c r="I205" i="40"/>
  <c r="I204" i="40"/>
  <c r="I203" i="40"/>
  <c r="I202" i="40"/>
  <c r="I201" i="40"/>
  <c r="I200" i="40"/>
  <c r="I199" i="40"/>
  <c r="I198" i="40"/>
  <c r="I197" i="40"/>
  <c r="I196" i="40"/>
  <c r="I195" i="40"/>
  <c r="I194" i="40"/>
  <c r="I193" i="40"/>
  <c r="I192" i="40"/>
  <c r="I191" i="40"/>
  <c r="I190" i="40"/>
  <c r="I189" i="40"/>
  <c r="I188" i="40"/>
  <c r="I187" i="40"/>
  <c r="I186" i="40"/>
  <c r="I185" i="40"/>
  <c r="I184" i="40"/>
  <c r="I183" i="40"/>
  <c r="I182" i="40"/>
  <c r="I181" i="40"/>
  <c r="I180" i="40"/>
  <c r="I179" i="40"/>
  <c r="I178" i="40"/>
  <c r="I177" i="40"/>
  <c r="I176" i="40"/>
  <c r="I175" i="40"/>
  <c r="I174" i="40"/>
  <c r="I173" i="40"/>
  <c r="I172" i="40"/>
  <c r="I171" i="40"/>
  <c r="I170" i="40"/>
  <c r="I169" i="40"/>
  <c r="I168" i="40"/>
  <c r="I167" i="40"/>
  <c r="I166" i="40"/>
  <c r="I165" i="40"/>
  <c r="I164" i="40"/>
  <c r="I163" i="40"/>
  <c r="I162" i="40"/>
  <c r="I161" i="40"/>
  <c r="I160" i="40"/>
  <c r="I159" i="40"/>
  <c r="I158" i="40"/>
  <c r="I157" i="40"/>
  <c r="I156" i="40"/>
  <c r="I155" i="40"/>
  <c r="I154" i="40"/>
  <c r="I153" i="40"/>
  <c r="I152" i="40"/>
  <c r="I151" i="40"/>
  <c r="I150" i="40"/>
  <c r="I149" i="40"/>
  <c r="I148" i="40"/>
  <c r="I147" i="40"/>
  <c r="I146" i="40"/>
  <c r="I145" i="40"/>
  <c r="I144" i="40"/>
  <c r="I143" i="40"/>
  <c r="I142" i="40"/>
  <c r="I141" i="40"/>
  <c r="I140" i="40"/>
  <c r="I139" i="40"/>
  <c r="I138" i="40"/>
  <c r="I137" i="40"/>
  <c r="I136" i="40"/>
  <c r="I135" i="40"/>
  <c r="I134" i="40"/>
  <c r="I133" i="40"/>
  <c r="I132" i="40"/>
  <c r="I131" i="40"/>
  <c r="I130" i="40"/>
  <c r="I129" i="40"/>
  <c r="I128" i="40"/>
  <c r="I127" i="40"/>
  <c r="I126" i="40"/>
  <c r="I125" i="40"/>
  <c r="I124" i="40"/>
  <c r="I123" i="40"/>
  <c r="I122" i="40"/>
  <c r="I121" i="40"/>
  <c r="I120" i="40"/>
  <c r="I119" i="40"/>
  <c r="I118" i="40"/>
  <c r="I117" i="40"/>
  <c r="I116" i="40"/>
  <c r="I115" i="40"/>
  <c r="I114" i="40"/>
  <c r="I113" i="40"/>
  <c r="I112" i="40"/>
  <c r="I111" i="40"/>
  <c r="I110" i="40"/>
  <c r="I109" i="40"/>
  <c r="I108" i="40"/>
  <c r="I107" i="40"/>
  <c r="I106" i="40"/>
  <c r="I105" i="40"/>
  <c r="I104" i="40"/>
  <c r="I103" i="40"/>
  <c r="I102" i="40"/>
  <c r="I101" i="40"/>
  <c r="I100" i="40"/>
  <c r="I99" i="40"/>
  <c r="I98" i="40"/>
  <c r="I97" i="40"/>
  <c r="I96" i="40"/>
  <c r="I95" i="40"/>
  <c r="I94" i="40"/>
  <c r="I93" i="40"/>
  <c r="I92" i="40"/>
  <c r="I91" i="40"/>
  <c r="I90" i="40"/>
  <c r="I89" i="40"/>
  <c r="I88" i="40"/>
  <c r="I87" i="40"/>
  <c r="I86" i="40"/>
  <c r="I85" i="40"/>
  <c r="I84" i="40"/>
  <c r="I83" i="40"/>
  <c r="I82" i="40"/>
  <c r="I81" i="40"/>
  <c r="I80" i="40"/>
  <c r="I79" i="40"/>
  <c r="I78" i="40"/>
  <c r="I77" i="40"/>
  <c r="I76" i="40"/>
  <c r="H515" i="40"/>
  <c r="H514" i="40"/>
  <c r="H513" i="40"/>
  <c r="H512" i="40"/>
  <c r="H511" i="40"/>
  <c r="H510" i="40"/>
  <c r="H509" i="40"/>
  <c r="H508" i="40"/>
  <c r="H507" i="40"/>
  <c r="H506" i="40"/>
  <c r="H505" i="40"/>
  <c r="H504" i="40"/>
  <c r="H503" i="40"/>
  <c r="H502" i="40"/>
  <c r="H501" i="40"/>
  <c r="H500" i="40"/>
  <c r="H499" i="40"/>
  <c r="H498" i="40"/>
  <c r="H497" i="40"/>
  <c r="H496" i="40"/>
  <c r="H495" i="40"/>
  <c r="H494" i="40"/>
  <c r="H493" i="40"/>
  <c r="H492" i="40"/>
  <c r="H491" i="40"/>
  <c r="H490" i="40"/>
  <c r="H489" i="40"/>
  <c r="H488" i="40"/>
  <c r="H487" i="40"/>
  <c r="H486" i="40"/>
  <c r="H485" i="40"/>
  <c r="H484" i="40"/>
  <c r="H483" i="40"/>
  <c r="H482" i="40"/>
  <c r="H481" i="40"/>
  <c r="H480" i="40"/>
  <c r="H479" i="40"/>
  <c r="H478" i="40"/>
  <c r="H477" i="40"/>
  <c r="H476" i="40"/>
  <c r="H475" i="40"/>
  <c r="H474" i="40"/>
  <c r="H473" i="40"/>
  <c r="H472" i="40"/>
  <c r="H471" i="40"/>
  <c r="H470" i="40"/>
  <c r="H469" i="40"/>
  <c r="H468" i="40"/>
  <c r="H467" i="40"/>
  <c r="H466" i="40"/>
  <c r="H465" i="40"/>
  <c r="H464" i="40"/>
  <c r="H463" i="40"/>
  <c r="H462" i="40"/>
  <c r="H461" i="40"/>
  <c r="H460" i="40"/>
  <c r="H459" i="40"/>
  <c r="H458" i="40"/>
  <c r="H457" i="40"/>
  <c r="H456" i="40"/>
  <c r="H455" i="40"/>
  <c r="H454" i="40"/>
  <c r="H453" i="40"/>
  <c r="H452" i="40"/>
  <c r="H451" i="40"/>
  <c r="H450" i="40"/>
  <c r="H449" i="40"/>
  <c r="H448" i="40"/>
  <c r="H447" i="40"/>
  <c r="H446" i="40"/>
  <c r="H445" i="40"/>
  <c r="H444" i="40"/>
  <c r="H443" i="40"/>
  <c r="H442" i="40"/>
  <c r="H441" i="40"/>
  <c r="H440" i="40"/>
  <c r="H439" i="40"/>
  <c r="H438" i="40"/>
  <c r="H437" i="40"/>
  <c r="H436" i="40"/>
  <c r="H435" i="40"/>
  <c r="H434" i="40"/>
  <c r="H433" i="40"/>
  <c r="H432" i="40"/>
  <c r="H431" i="40"/>
  <c r="H430" i="40"/>
  <c r="H429" i="40"/>
  <c r="H428" i="40"/>
  <c r="H427" i="40"/>
  <c r="H426" i="40"/>
  <c r="H425" i="40"/>
  <c r="H424" i="40"/>
  <c r="H423" i="40"/>
  <c r="H422" i="40"/>
  <c r="H421" i="40"/>
  <c r="H420" i="40"/>
  <c r="H419" i="40"/>
  <c r="H418" i="40"/>
  <c r="H417" i="40"/>
  <c r="H416" i="40"/>
  <c r="H415" i="40"/>
  <c r="H414" i="40"/>
  <c r="H413" i="40"/>
  <c r="H412" i="40"/>
  <c r="H411" i="40"/>
  <c r="H410" i="40"/>
  <c r="H409" i="40"/>
  <c r="H408" i="40"/>
  <c r="H407" i="40"/>
  <c r="H406" i="40"/>
  <c r="H405" i="40"/>
  <c r="H404" i="40"/>
  <c r="H403" i="40"/>
  <c r="H402" i="40"/>
  <c r="H401" i="40"/>
  <c r="H400" i="40"/>
  <c r="H399" i="40"/>
  <c r="H398" i="40"/>
  <c r="H397" i="40"/>
  <c r="H396" i="40"/>
  <c r="H395" i="40"/>
  <c r="H394" i="40"/>
  <c r="H393" i="40"/>
  <c r="H392" i="40"/>
  <c r="H391" i="40"/>
  <c r="H390" i="40"/>
  <c r="H389" i="40"/>
  <c r="H388" i="40"/>
  <c r="H387" i="40"/>
  <c r="H386" i="40"/>
  <c r="H385" i="40"/>
  <c r="H384" i="40"/>
  <c r="H383" i="40"/>
  <c r="H382" i="40"/>
  <c r="H381" i="40"/>
  <c r="H380" i="40"/>
  <c r="H379" i="40"/>
  <c r="H378" i="40"/>
  <c r="H377" i="40"/>
  <c r="H376" i="40"/>
  <c r="H375" i="40"/>
  <c r="H374" i="40"/>
  <c r="H373" i="40"/>
  <c r="H372" i="40"/>
  <c r="H371" i="40"/>
  <c r="H370" i="40"/>
  <c r="H369" i="40"/>
  <c r="H368" i="40"/>
  <c r="H367" i="40"/>
  <c r="H366" i="40"/>
  <c r="H365" i="40"/>
  <c r="H364" i="40"/>
  <c r="H363" i="40"/>
  <c r="H362" i="40"/>
  <c r="H361" i="40"/>
  <c r="H360" i="40"/>
  <c r="H359" i="40"/>
  <c r="H358" i="40"/>
  <c r="H357" i="40"/>
  <c r="H356" i="40"/>
  <c r="H355" i="40"/>
  <c r="H354" i="40"/>
  <c r="H353" i="40"/>
  <c r="H352" i="40"/>
  <c r="H351" i="40"/>
  <c r="H350" i="40"/>
  <c r="H349" i="40"/>
  <c r="H348" i="40"/>
  <c r="H347" i="40"/>
  <c r="H346" i="40"/>
  <c r="H345" i="40"/>
  <c r="H344" i="40"/>
  <c r="H343" i="40"/>
  <c r="H342" i="40"/>
  <c r="H341" i="40"/>
  <c r="H340" i="40"/>
  <c r="H339" i="40"/>
  <c r="H338" i="40"/>
  <c r="H337" i="40"/>
  <c r="H336" i="40"/>
  <c r="H335" i="40"/>
  <c r="H334" i="40"/>
  <c r="H333" i="40"/>
  <c r="H332" i="40"/>
  <c r="H331" i="40"/>
  <c r="H330" i="40"/>
  <c r="H329" i="40"/>
  <c r="H328" i="40"/>
  <c r="H327" i="40"/>
  <c r="H326" i="40"/>
  <c r="H325" i="40"/>
  <c r="H324" i="40"/>
  <c r="H323" i="40"/>
  <c r="H322" i="40"/>
  <c r="H321" i="40"/>
  <c r="H320" i="40"/>
  <c r="H319" i="40"/>
  <c r="H318" i="40"/>
  <c r="H317" i="40"/>
  <c r="H316" i="40"/>
  <c r="H315" i="40"/>
  <c r="H314" i="40"/>
  <c r="H313" i="40"/>
  <c r="H312" i="40"/>
  <c r="H311" i="40"/>
  <c r="H310" i="40"/>
  <c r="H309" i="40"/>
  <c r="H308" i="40"/>
  <c r="H307" i="40"/>
  <c r="H306" i="40"/>
  <c r="H305" i="40"/>
  <c r="H304" i="40"/>
  <c r="H303" i="40"/>
  <c r="H302" i="40"/>
  <c r="H301" i="40"/>
  <c r="H300" i="40"/>
  <c r="H299" i="40"/>
  <c r="H298" i="40"/>
  <c r="H297" i="40"/>
  <c r="H296" i="40"/>
  <c r="H295" i="40"/>
  <c r="H294" i="40"/>
  <c r="H293" i="40"/>
  <c r="H292" i="40"/>
  <c r="H291" i="40"/>
  <c r="H290" i="40"/>
  <c r="H289" i="40"/>
  <c r="H288" i="40"/>
  <c r="H287" i="40"/>
  <c r="H286" i="40"/>
  <c r="H285" i="40"/>
  <c r="H284" i="40"/>
  <c r="H283" i="40"/>
  <c r="H282" i="40"/>
  <c r="H281" i="40"/>
  <c r="H280" i="40"/>
  <c r="H279" i="40"/>
  <c r="H278" i="40"/>
  <c r="H277" i="40"/>
  <c r="H276" i="40"/>
  <c r="H275" i="40"/>
  <c r="H274" i="40"/>
  <c r="H273" i="40"/>
  <c r="H272" i="40"/>
  <c r="H271" i="40"/>
  <c r="H270" i="40"/>
  <c r="H269" i="40"/>
  <c r="H268" i="40"/>
  <c r="H267" i="40"/>
  <c r="H266" i="40"/>
  <c r="H265" i="40"/>
  <c r="H264" i="40"/>
  <c r="H263" i="40"/>
  <c r="H262" i="40"/>
  <c r="H261" i="40"/>
  <c r="H260" i="40"/>
  <c r="H259" i="40"/>
  <c r="H258" i="40"/>
  <c r="H257" i="40"/>
  <c r="H256" i="40"/>
  <c r="H255" i="40"/>
  <c r="H254" i="40"/>
  <c r="H253" i="40"/>
  <c r="H252" i="40"/>
  <c r="H251" i="40"/>
  <c r="H250" i="40"/>
  <c r="H249" i="40"/>
  <c r="H248" i="40"/>
  <c r="H247" i="40"/>
  <c r="H246" i="40"/>
  <c r="H245" i="40"/>
  <c r="H244" i="40"/>
  <c r="H243" i="40"/>
  <c r="H242" i="40"/>
  <c r="H241" i="40"/>
  <c r="H240" i="40"/>
  <c r="H239" i="40"/>
  <c r="H238" i="40"/>
  <c r="H237" i="40"/>
  <c r="H236" i="40"/>
  <c r="H235" i="40"/>
  <c r="H234" i="40"/>
  <c r="H233" i="40"/>
  <c r="H232" i="40"/>
  <c r="H231" i="40"/>
  <c r="H230" i="40"/>
  <c r="H229" i="40"/>
  <c r="H228" i="40"/>
  <c r="H227" i="40"/>
  <c r="H226" i="40"/>
  <c r="H225" i="40"/>
  <c r="H224" i="40"/>
  <c r="H223" i="40"/>
  <c r="H222" i="40"/>
  <c r="H221" i="40"/>
  <c r="H220" i="40"/>
  <c r="H219" i="40"/>
  <c r="H218" i="40"/>
  <c r="H217" i="40"/>
  <c r="H216" i="40"/>
  <c r="H215" i="40"/>
  <c r="H213" i="40"/>
  <c r="H212" i="40"/>
  <c r="H211" i="40"/>
  <c r="H210" i="40"/>
  <c r="H209" i="40"/>
  <c r="H208" i="40"/>
  <c r="H207" i="40"/>
  <c r="H206" i="40"/>
  <c r="H205" i="40"/>
  <c r="H204" i="40"/>
  <c r="H203" i="40"/>
  <c r="H202" i="40"/>
  <c r="H201" i="40"/>
  <c r="H200" i="40"/>
  <c r="H199" i="40"/>
  <c r="H198" i="40"/>
  <c r="H197" i="40"/>
  <c r="H196" i="40"/>
  <c r="H195" i="40"/>
  <c r="H194" i="40"/>
  <c r="H193" i="40"/>
  <c r="H192" i="40"/>
  <c r="H191" i="40"/>
  <c r="H190" i="40"/>
  <c r="H189" i="40"/>
  <c r="H188" i="40"/>
  <c r="H187" i="40"/>
  <c r="H186" i="40"/>
  <c r="H185" i="40"/>
  <c r="H184" i="40"/>
  <c r="H183" i="40"/>
  <c r="H182" i="40"/>
  <c r="H181" i="40"/>
  <c r="H180" i="40"/>
  <c r="H179" i="40"/>
  <c r="H178" i="40"/>
  <c r="H177" i="40"/>
  <c r="H176" i="40"/>
  <c r="H175" i="40"/>
  <c r="H174" i="40"/>
  <c r="H173" i="40"/>
  <c r="H172" i="40"/>
  <c r="H171" i="40"/>
  <c r="H170" i="40"/>
  <c r="H169" i="40"/>
  <c r="H168" i="40"/>
  <c r="H167" i="40"/>
  <c r="H166" i="40"/>
  <c r="H165" i="40"/>
  <c r="H164" i="40"/>
  <c r="H163" i="40"/>
  <c r="H162" i="40"/>
  <c r="H161" i="40"/>
  <c r="H160" i="40"/>
  <c r="H159" i="40"/>
  <c r="H158" i="40"/>
  <c r="H157" i="40"/>
  <c r="H156" i="40"/>
  <c r="H155" i="40"/>
  <c r="H153" i="40"/>
  <c r="H152" i="40"/>
  <c r="H151" i="40"/>
  <c r="H150" i="40"/>
  <c r="H149" i="40"/>
  <c r="H148" i="40"/>
  <c r="H147" i="40"/>
  <c r="H146" i="40"/>
  <c r="H145" i="40"/>
  <c r="H144" i="40"/>
  <c r="H143" i="40"/>
  <c r="H142" i="40"/>
  <c r="H141" i="40"/>
  <c r="H140" i="40"/>
  <c r="H139" i="40"/>
  <c r="H138" i="40"/>
  <c r="H137" i="40"/>
  <c r="H136" i="40"/>
  <c r="H135" i="40"/>
  <c r="H134" i="40"/>
  <c r="H133" i="40"/>
  <c r="H132" i="40"/>
  <c r="H131" i="40"/>
  <c r="H130" i="40"/>
  <c r="H129" i="40"/>
  <c r="H128" i="40"/>
  <c r="H127" i="40"/>
  <c r="H126" i="40"/>
  <c r="H125" i="40"/>
  <c r="H124" i="40"/>
  <c r="H123" i="40"/>
  <c r="H122" i="40"/>
  <c r="H121" i="40"/>
  <c r="H120" i="40"/>
  <c r="H119" i="40"/>
  <c r="H118" i="40"/>
  <c r="H117" i="40"/>
  <c r="H116" i="40"/>
  <c r="H115" i="40"/>
  <c r="H114" i="40"/>
  <c r="H113" i="40"/>
  <c r="H112" i="40"/>
  <c r="H111" i="40"/>
  <c r="H110" i="40"/>
  <c r="H109" i="40"/>
  <c r="H108" i="40"/>
  <c r="H107" i="40"/>
  <c r="H106" i="40"/>
  <c r="H105" i="40"/>
  <c r="H104" i="40"/>
  <c r="H103" i="40"/>
  <c r="H102" i="40"/>
  <c r="H101" i="40"/>
  <c r="H100" i="40"/>
  <c r="H99" i="40"/>
  <c r="H98" i="40"/>
  <c r="H97" i="40"/>
  <c r="H96" i="40"/>
  <c r="H95" i="40"/>
  <c r="H94" i="40"/>
  <c r="H93" i="40"/>
  <c r="H92" i="40"/>
  <c r="H91" i="40"/>
  <c r="H90" i="40"/>
  <c r="H89" i="40"/>
  <c r="H88" i="40"/>
  <c r="H87" i="40"/>
  <c r="H86" i="40"/>
  <c r="H85" i="40"/>
  <c r="H84" i="40"/>
  <c r="H83" i="40"/>
  <c r="H82" i="40"/>
  <c r="H81" i="40"/>
  <c r="H80" i="40"/>
  <c r="H79" i="40"/>
  <c r="H78" i="40"/>
  <c r="H77" i="40"/>
  <c r="H76" i="40"/>
  <c r="C515" i="40"/>
  <c r="C514" i="40"/>
  <c r="C513" i="40"/>
  <c r="C512" i="40"/>
  <c r="C511" i="40"/>
  <c r="C510" i="40"/>
  <c r="C509" i="40"/>
  <c r="C508" i="40"/>
  <c r="C507" i="40"/>
  <c r="C506" i="40"/>
  <c r="C505" i="40"/>
  <c r="C504" i="40"/>
  <c r="C503" i="40"/>
  <c r="C502" i="40"/>
  <c r="C501" i="40"/>
  <c r="C500" i="40"/>
  <c r="C499" i="40"/>
  <c r="C498" i="40"/>
  <c r="C497" i="40"/>
  <c r="C496" i="40"/>
  <c r="C495" i="40"/>
  <c r="C494" i="40"/>
  <c r="C493" i="40"/>
  <c r="C492" i="40"/>
  <c r="C491" i="40"/>
  <c r="C490" i="40"/>
  <c r="C489" i="40"/>
  <c r="C488" i="40"/>
  <c r="C487" i="40"/>
  <c r="C486" i="40"/>
  <c r="C485" i="40"/>
  <c r="C484" i="40"/>
  <c r="C483" i="40"/>
  <c r="C482" i="40"/>
  <c r="C481" i="40"/>
  <c r="C480" i="40"/>
  <c r="C479" i="40"/>
  <c r="C478" i="40"/>
  <c r="C477" i="40"/>
  <c r="C476" i="40"/>
  <c r="C475" i="40"/>
  <c r="C474" i="40"/>
  <c r="C473" i="40"/>
  <c r="C472" i="40"/>
  <c r="C471" i="40"/>
  <c r="C470" i="40"/>
  <c r="C469" i="40"/>
  <c r="C468" i="40"/>
  <c r="C467" i="40"/>
  <c r="C466" i="40"/>
  <c r="C465" i="40"/>
  <c r="C464" i="40"/>
  <c r="C463" i="40"/>
  <c r="C462" i="40"/>
  <c r="C461" i="40"/>
  <c r="C460" i="40"/>
  <c r="C459" i="40"/>
  <c r="C458" i="40"/>
  <c r="C457" i="40"/>
  <c r="C456" i="40"/>
  <c r="C455" i="40"/>
  <c r="C454" i="40"/>
  <c r="C453" i="40"/>
  <c r="C452" i="40"/>
  <c r="C451" i="40"/>
  <c r="C450" i="40"/>
  <c r="C449" i="40"/>
  <c r="C448" i="40"/>
  <c r="C447" i="40"/>
  <c r="C446" i="40"/>
  <c r="C445" i="40"/>
  <c r="C444" i="40"/>
  <c r="C443" i="40"/>
  <c r="C442" i="40"/>
  <c r="C441" i="40"/>
  <c r="C440" i="40"/>
  <c r="C439" i="40"/>
  <c r="C438" i="40"/>
  <c r="C437" i="40"/>
  <c r="C436" i="40"/>
  <c r="C435" i="40"/>
  <c r="C434" i="40"/>
  <c r="C433" i="40"/>
  <c r="C432" i="40"/>
  <c r="C431" i="40"/>
  <c r="C430" i="40"/>
  <c r="C429" i="40"/>
  <c r="C428" i="40"/>
  <c r="C427" i="40"/>
  <c r="C426" i="40"/>
  <c r="C425" i="40"/>
  <c r="C424" i="40"/>
  <c r="C423" i="40"/>
  <c r="C422" i="40"/>
  <c r="C421" i="40"/>
  <c r="C420" i="40"/>
  <c r="C419" i="40"/>
  <c r="C418" i="40"/>
  <c r="C417" i="40"/>
  <c r="C416" i="40"/>
  <c r="C415" i="40"/>
  <c r="C414" i="40"/>
  <c r="C413" i="40"/>
  <c r="C412" i="40"/>
  <c r="C411" i="40"/>
  <c r="C410" i="40"/>
  <c r="C409" i="40"/>
  <c r="C408" i="40"/>
  <c r="C407" i="40"/>
  <c r="C406" i="40"/>
  <c r="C405" i="40"/>
  <c r="C404" i="40"/>
  <c r="C403" i="40"/>
  <c r="C402" i="40"/>
  <c r="C401" i="40"/>
  <c r="C400" i="40"/>
  <c r="C399" i="40"/>
  <c r="C398" i="40"/>
  <c r="C397" i="40"/>
  <c r="C396" i="40"/>
  <c r="C395" i="40"/>
  <c r="C394" i="40"/>
  <c r="C393" i="40"/>
  <c r="C392" i="40"/>
  <c r="C391" i="40"/>
  <c r="C390" i="40"/>
  <c r="C389" i="40"/>
  <c r="C388" i="40"/>
  <c r="C387" i="40"/>
  <c r="C386" i="40"/>
  <c r="C385" i="40"/>
  <c r="C384" i="40"/>
  <c r="C383" i="40"/>
  <c r="C382" i="40"/>
  <c r="C381" i="40"/>
  <c r="C380" i="40"/>
  <c r="C379" i="40"/>
  <c r="C378" i="40"/>
  <c r="C377" i="40"/>
  <c r="C376" i="40"/>
  <c r="C375" i="40"/>
  <c r="C374" i="40"/>
  <c r="C373" i="40"/>
  <c r="C372" i="40"/>
  <c r="C371" i="40"/>
  <c r="C370" i="40"/>
  <c r="C369" i="40"/>
  <c r="C368" i="40"/>
  <c r="C367" i="40"/>
  <c r="C366" i="40"/>
  <c r="C365" i="40"/>
  <c r="C364" i="40"/>
  <c r="C363" i="40"/>
  <c r="C362" i="40"/>
  <c r="C361" i="40"/>
  <c r="C360" i="40"/>
  <c r="C359" i="40"/>
  <c r="C358" i="40"/>
  <c r="C357" i="40"/>
  <c r="C356" i="40"/>
  <c r="C355" i="40"/>
  <c r="C354" i="40"/>
  <c r="C353" i="40"/>
  <c r="C352" i="40"/>
  <c r="C351" i="40"/>
  <c r="C350" i="40"/>
  <c r="C349" i="40"/>
  <c r="C348" i="40"/>
  <c r="C347" i="40"/>
  <c r="C346" i="40"/>
  <c r="C345" i="40"/>
  <c r="C344" i="40"/>
  <c r="C343" i="40"/>
  <c r="C342" i="40"/>
  <c r="C341" i="40"/>
  <c r="C340" i="40"/>
  <c r="C339" i="40"/>
  <c r="C338" i="40"/>
  <c r="C337" i="40"/>
  <c r="C336" i="40"/>
  <c r="C335" i="40"/>
  <c r="C334" i="40"/>
  <c r="C333" i="40"/>
  <c r="C332" i="40"/>
  <c r="C331" i="40"/>
  <c r="C330" i="40"/>
  <c r="C329" i="40"/>
  <c r="C328" i="40"/>
  <c r="C327" i="40"/>
  <c r="C326" i="40"/>
  <c r="C325" i="40"/>
  <c r="C324" i="40"/>
  <c r="C323" i="40"/>
  <c r="C322" i="40"/>
  <c r="C321" i="40"/>
  <c r="C320" i="40"/>
  <c r="C319" i="40"/>
  <c r="C318" i="40"/>
  <c r="C317" i="40"/>
  <c r="C316" i="40"/>
  <c r="C315" i="40"/>
  <c r="C314" i="40"/>
  <c r="C313" i="40"/>
  <c r="C312" i="40"/>
  <c r="C311" i="40"/>
  <c r="C310" i="40"/>
  <c r="C309" i="40"/>
  <c r="C308" i="40"/>
  <c r="C307" i="40"/>
  <c r="C306" i="40"/>
  <c r="C305" i="40"/>
  <c r="C304" i="40"/>
  <c r="C303" i="40"/>
  <c r="C302" i="40"/>
  <c r="C301" i="40"/>
  <c r="C300" i="40"/>
  <c r="C299" i="40"/>
  <c r="C298" i="40"/>
  <c r="C297" i="40"/>
  <c r="C296" i="40"/>
  <c r="C295" i="40"/>
  <c r="C294" i="40"/>
  <c r="C293" i="40"/>
  <c r="C292" i="40"/>
  <c r="C291" i="40"/>
  <c r="C290" i="40"/>
  <c r="C289" i="40"/>
  <c r="C288" i="40"/>
  <c r="C287" i="40"/>
  <c r="C286" i="40"/>
  <c r="C285" i="40"/>
  <c r="C284" i="40"/>
  <c r="C283" i="40"/>
  <c r="C282" i="40"/>
  <c r="C281" i="40"/>
  <c r="C280" i="40"/>
  <c r="C279" i="40"/>
  <c r="C278" i="40"/>
  <c r="C277" i="40"/>
  <c r="C276" i="40"/>
  <c r="C275" i="40"/>
  <c r="C274" i="40"/>
  <c r="C273" i="40"/>
  <c r="C272" i="40"/>
  <c r="C271" i="40"/>
  <c r="C270" i="40"/>
  <c r="C269" i="40"/>
  <c r="C268" i="40"/>
  <c r="C267" i="40"/>
  <c r="C266" i="40"/>
  <c r="C265" i="40"/>
  <c r="C264" i="40"/>
  <c r="C263" i="40"/>
  <c r="C262" i="40"/>
  <c r="C261" i="40"/>
  <c r="C260" i="40"/>
  <c r="C259" i="40"/>
  <c r="C258" i="40"/>
  <c r="C257" i="40"/>
  <c r="C256" i="40"/>
  <c r="C255" i="40"/>
  <c r="C254" i="40"/>
  <c r="C253" i="40"/>
  <c r="C252" i="40"/>
  <c r="C251" i="40"/>
  <c r="C250" i="40"/>
  <c r="C249" i="40"/>
  <c r="C248" i="40"/>
  <c r="C247" i="40"/>
  <c r="C246" i="40"/>
  <c r="C245" i="40"/>
  <c r="C244" i="40"/>
  <c r="C243" i="40"/>
  <c r="C242" i="40"/>
  <c r="C241" i="40"/>
  <c r="C240" i="40"/>
  <c r="C239" i="40"/>
  <c r="C238" i="40"/>
  <c r="C237" i="40"/>
  <c r="C236" i="40"/>
  <c r="C235" i="40"/>
  <c r="C234" i="40"/>
  <c r="C233" i="40"/>
  <c r="C232" i="40"/>
  <c r="C231" i="40"/>
  <c r="C230" i="40"/>
  <c r="C229" i="40"/>
  <c r="C228" i="40"/>
  <c r="C227" i="40"/>
  <c r="C226" i="40"/>
  <c r="C225" i="40"/>
  <c r="C224" i="40"/>
  <c r="C223" i="40"/>
  <c r="C222" i="40"/>
  <c r="C221" i="40"/>
  <c r="C220" i="40"/>
  <c r="C219" i="40"/>
  <c r="C218" i="40"/>
  <c r="C217" i="40"/>
  <c r="C216" i="40"/>
  <c r="C215" i="40"/>
  <c r="C214" i="40"/>
  <c r="C213" i="40"/>
  <c r="C212" i="40"/>
  <c r="C211" i="40"/>
  <c r="C210" i="40"/>
  <c r="C209" i="40"/>
  <c r="C208" i="40"/>
  <c r="C207" i="40"/>
  <c r="C206" i="40"/>
  <c r="C205" i="40"/>
  <c r="C204" i="40"/>
  <c r="C203" i="40"/>
  <c r="C202" i="40"/>
  <c r="C201" i="40"/>
  <c r="C200" i="40"/>
  <c r="C199" i="40"/>
  <c r="C198" i="40"/>
  <c r="C197" i="40"/>
  <c r="C196" i="40"/>
  <c r="C195" i="40"/>
  <c r="C194" i="40"/>
  <c r="C193" i="40"/>
  <c r="C192" i="40"/>
  <c r="C191" i="40"/>
  <c r="C190" i="40"/>
  <c r="C189" i="40"/>
  <c r="C188" i="40"/>
  <c r="C187" i="40"/>
  <c r="C186" i="40"/>
  <c r="C185" i="40"/>
  <c r="C184" i="40"/>
  <c r="C183" i="40"/>
  <c r="C182" i="40"/>
  <c r="C181" i="40"/>
  <c r="C180" i="40"/>
  <c r="C179" i="40"/>
  <c r="C178" i="40"/>
  <c r="C177" i="40"/>
  <c r="C176" i="40"/>
  <c r="C175" i="40"/>
  <c r="C174" i="40"/>
  <c r="C173" i="40"/>
  <c r="C172" i="40"/>
  <c r="C171" i="40"/>
  <c r="C170" i="40"/>
  <c r="C169" i="40"/>
  <c r="C168" i="40"/>
  <c r="C167" i="40"/>
  <c r="C166" i="40"/>
  <c r="C165" i="40"/>
  <c r="C164" i="40"/>
  <c r="C163" i="40"/>
  <c r="C162"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8" i="40"/>
  <c r="C107" i="40"/>
  <c r="C106" i="40"/>
  <c r="C105" i="40"/>
  <c r="C104" i="40"/>
  <c r="C103" i="40"/>
  <c r="C102" i="40"/>
  <c r="C101" i="40"/>
  <c r="C100" i="40"/>
  <c r="C99" i="40"/>
  <c r="C98" i="40"/>
  <c r="C97" i="40"/>
  <c r="C96" i="40"/>
  <c r="C95" i="40"/>
  <c r="C94" i="40"/>
  <c r="C93" i="40"/>
  <c r="C92" i="40"/>
  <c r="C91" i="40"/>
  <c r="C90" i="40"/>
  <c r="C89" i="40"/>
  <c r="C88" i="40"/>
  <c r="C87" i="40"/>
  <c r="C86" i="40"/>
  <c r="C85" i="40"/>
  <c r="C84" i="40"/>
  <c r="C83" i="40"/>
  <c r="C82" i="40"/>
  <c r="C81" i="40"/>
  <c r="C80" i="40"/>
  <c r="C79" i="40"/>
  <c r="C78" i="40"/>
  <c r="C77" i="40"/>
  <c r="C76" i="40"/>
  <c r="B515" i="40"/>
  <c r="B514" i="40"/>
  <c r="B513" i="40"/>
  <c r="B512" i="40"/>
  <c r="B511" i="40"/>
  <c r="B510" i="40"/>
  <c r="B509" i="40"/>
  <c r="B508" i="40"/>
  <c r="B507" i="40"/>
  <c r="B506" i="40"/>
  <c r="B505" i="40"/>
  <c r="B504" i="40"/>
  <c r="B503" i="40"/>
  <c r="B502" i="40"/>
  <c r="B501" i="40"/>
  <c r="B500" i="40"/>
  <c r="B499" i="40"/>
  <c r="B498" i="40"/>
  <c r="B497" i="40"/>
  <c r="B496" i="40"/>
  <c r="B495" i="40"/>
  <c r="B494" i="40"/>
  <c r="B493" i="40"/>
  <c r="B492" i="40"/>
  <c r="B491" i="40"/>
  <c r="B490" i="40"/>
  <c r="B489" i="40"/>
  <c r="B488" i="40"/>
  <c r="B487" i="40"/>
  <c r="B486" i="40"/>
  <c r="B485" i="40"/>
  <c r="B484" i="40"/>
  <c r="B483" i="40"/>
  <c r="B482" i="40"/>
  <c r="B481" i="40"/>
  <c r="B480" i="40"/>
  <c r="B479" i="40"/>
  <c r="B478" i="40"/>
  <c r="B477" i="40"/>
  <c r="B476" i="40"/>
  <c r="B475" i="40"/>
  <c r="B474" i="40"/>
  <c r="B473" i="40"/>
  <c r="B472" i="40"/>
  <c r="B471" i="40"/>
  <c r="B470" i="40"/>
  <c r="B469" i="40"/>
  <c r="B468" i="40"/>
  <c r="B467" i="40"/>
  <c r="B466" i="40"/>
  <c r="B465" i="40"/>
  <c r="B464" i="40"/>
  <c r="B463" i="40"/>
  <c r="B462" i="40"/>
  <c r="B461" i="40"/>
  <c r="B460" i="40"/>
  <c r="B459" i="40"/>
  <c r="B458" i="40"/>
  <c r="B457" i="40"/>
  <c r="B456" i="40"/>
  <c r="B455" i="40"/>
  <c r="B454" i="40"/>
  <c r="B453" i="40"/>
  <c r="B452" i="40"/>
  <c r="B451" i="40"/>
  <c r="B450" i="40"/>
  <c r="B449" i="40"/>
  <c r="B448" i="40"/>
  <c r="B447" i="40"/>
  <c r="B446" i="40"/>
  <c r="B445" i="40"/>
  <c r="B444" i="40"/>
  <c r="B443" i="40"/>
  <c r="B442" i="40"/>
  <c r="B441" i="40"/>
  <c r="B440" i="40"/>
  <c r="B439" i="40"/>
  <c r="B438" i="40"/>
  <c r="B437" i="40"/>
  <c r="B436" i="40"/>
  <c r="B435" i="40"/>
  <c r="B434" i="40"/>
  <c r="B433" i="40"/>
  <c r="B432" i="40"/>
  <c r="B431" i="40"/>
  <c r="B430" i="40"/>
  <c r="B429" i="40"/>
  <c r="B428" i="40"/>
  <c r="B427" i="40"/>
  <c r="B426" i="40"/>
  <c r="B425" i="40"/>
  <c r="B424" i="40"/>
  <c r="B423" i="40"/>
  <c r="B422" i="40"/>
  <c r="B421" i="40"/>
  <c r="B420" i="40"/>
  <c r="B419" i="40"/>
  <c r="B418" i="40"/>
  <c r="B417" i="40"/>
  <c r="B416" i="40"/>
  <c r="B415" i="40"/>
  <c r="B414" i="40"/>
  <c r="B413" i="40"/>
  <c r="B412" i="40"/>
  <c r="B411" i="40"/>
  <c r="B410" i="40"/>
  <c r="B409" i="40"/>
  <c r="B408" i="40"/>
  <c r="B407" i="40"/>
  <c r="B406" i="40"/>
  <c r="B405" i="40"/>
  <c r="B404" i="40"/>
  <c r="B403" i="40"/>
  <c r="B402" i="40"/>
  <c r="B401" i="40"/>
  <c r="B400" i="40"/>
  <c r="B399" i="40"/>
  <c r="B398" i="40"/>
  <c r="B397" i="40"/>
  <c r="B396" i="40"/>
  <c r="B395" i="40"/>
  <c r="B394" i="40"/>
  <c r="B393" i="40"/>
  <c r="B392" i="40"/>
  <c r="B391" i="40"/>
  <c r="B390" i="40"/>
  <c r="B389" i="40"/>
  <c r="B388" i="40"/>
  <c r="B387" i="40"/>
  <c r="B386" i="40"/>
  <c r="B385" i="40"/>
  <c r="B384" i="40"/>
  <c r="B383" i="40"/>
  <c r="B382" i="40"/>
  <c r="B381" i="40"/>
  <c r="B380" i="40"/>
  <c r="B379" i="40"/>
  <c r="B378" i="40"/>
  <c r="B377" i="40"/>
  <c r="B376" i="40"/>
  <c r="B375" i="40"/>
  <c r="B374" i="40"/>
  <c r="B373" i="40"/>
  <c r="B372" i="40"/>
  <c r="B371" i="40"/>
  <c r="B370" i="40"/>
  <c r="B369" i="40"/>
  <c r="B368" i="40"/>
  <c r="B367" i="40"/>
  <c r="B366" i="40"/>
  <c r="B365" i="40"/>
  <c r="B364" i="40"/>
  <c r="B363" i="40"/>
  <c r="B362" i="40"/>
  <c r="B361" i="40"/>
  <c r="B360" i="40"/>
  <c r="B359" i="40"/>
  <c r="B358" i="40"/>
  <c r="B357" i="40"/>
  <c r="B356" i="40"/>
  <c r="B355" i="40"/>
  <c r="B354" i="40"/>
  <c r="B353" i="40"/>
  <c r="B352" i="40"/>
  <c r="B351" i="40"/>
  <c r="B350" i="40"/>
  <c r="B349" i="40"/>
  <c r="B348" i="40"/>
  <c r="B347" i="40"/>
  <c r="B346" i="40"/>
  <c r="B345" i="40"/>
  <c r="B344" i="40"/>
  <c r="B343" i="40"/>
  <c r="B342" i="40"/>
  <c r="B341" i="40"/>
  <c r="B340" i="40"/>
  <c r="B339" i="40"/>
  <c r="B338" i="40"/>
  <c r="B337" i="40"/>
  <c r="B336" i="40"/>
  <c r="B335" i="40"/>
  <c r="B334" i="40"/>
  <c r="B333" i="40"/>
  <c r="B332" i="40"/>
  <c r="B331" i="40"/>
  <c r="B330" i="40"/>
  <c r="B329" i="40"/>
  <c r="B328" i="40"/>
  <c r="B327" i="40"/>
  <c r="B326" i="40"/>
  <c r="B325" i="40"/>
  <c r="B324" i="40"/>
  <c r="B323" i="40"/>
  <c r="B322" i="40"/>
  <c r="B321" i="40"/>
  <c r="B320" i="40"/>
  <c r="B319" i="40"/>
  <c r="B318" i="40"/>
  <c r="B317" i="40"/>
  <c r="B316" i="40"/>
  <c r="B315" i="40"/>
  <c r="B314" i="40"/>
  <c r="B313" i="40"/>
  <c r="B312" i="40"/>
  <c r="B311" i="40"/>
  <c r="B310" i="40"/>
  <c r="B309" i="40"/>
  <c r="B308" i="40"/>
  <c r="B307" i="40"/>
  <c r="B306" i="40"/>
  <c r="B305" i="40"/>
  <c r="B304" i="40"/>
  <c r="B303" i="40"/>
  <c r="B302" i="40"/>
  <c r="B301" i="40"/>
  <c r="B300" i="40"/>
  <c r="B299" i="40"/>
  <c r="B298" i="40"/>
  <c r="B297" i="40"/>
  <c r="B296" i="40"/>
  <c r="B295" i="40"/>
  <c r="B294" i="40"/>
  <c r="B293" i="40"/>
  <c r="B292" i="40"/>
  <c r="B291" i="40"/>
  <c r="B290" i="40"/>
  <c r="B289" i="40"/>
  <c r="B288" i="40"/>
  <c r="B287" i="40"/>
  <c r="B286" i="40"/>
  <c r="B285" i="40"/>
  <c r="B284" i="40"/>
  <c r="B283" i="40"/>
  <c r="B282" i="40"/>
  <c r="B281" i="40"/>
  <c r="B280" i="40"/>
  <c r="B279" i="40"/>
  <c r="B278" i="40"/>
  <c r="B277" i="40"/>
  <c r="B276" i="40"/>
  <c r="B275" i="40"/>
  <c r="B274" i="40"/>
  <c r="B273" i="40"/>
  <c r="B272" i="40"/>
  <c r="B271" i="40"/>
  <c r="B270" i="40"/>
  <c r="B269" i="40"/>
  <c r="B268" i="40"/>
  <c r="B267" i="40"/>
  <c r="B266" i="40"/>
  <c r="B265" i="40"/>
  <c r="B264" i="40"/>
  <c r="B263" i="40"/>
  <c r="B262" i="40"/>
  <c r="B261" i="40"/>
  <c r="B260" i="40"/>
  <c r="B259" i="40"/>
  <c r="B258" i="40"/>
  <c r="B257" i="40"/>
  <c r="B256" i="40"/>
  <c r="B255" i="40"/>
  <c r="B254" i="40"/>
  <c r="B253" i="40"/>
  <c r="B252" i="40"/>
  <c r="B251" i="40"/>
  <c r="B250" i="40"/>
  <c r="B249" i="40"/>
  <c r="B248" i="40"/>
  <c r="B247" i="40"/>
  <c r="B246" i="40"/>
  <c r="B245" i="40"/>
  <c r="B244" i="40"/>
  <c r="B243" i="40"/>
  <c r="B242" i="40"/>
  <c r="B241" i="40"/>
  <c r="B240" i="40"/>
  <c r="B239" i="40"/>
  <c r="B238" i="40"/>
  <c r="B237" i="40"/>
  <c r="B236" i="40"/>
  <c r="B235" i="40"/>
  <c r="B234" i="40"/>
  <c r="B233" i="40"/>
  <c r="B232" i="40"/>
  <c r="B231" i="40"/>
  <c r="B230" i="40"/>
  <c r="B229" i="40"/>
  <c r="B228" i="40"/>
  <c r="B227" i="40"/>
  <c r="B226" i="40"/>
  <c r="B225" i="40"/>
  <c r="B224" i="40"/>
  <c r="B223" i="40"/>
  <c r="B222" i="40"/>
  <c r="B221" i="40"/>
  <c r="B220" i="40"/>
  <c r="B219" i="40"/>
  <c r="B218" i="40"/>
  <c r="B217" i="40"/>
  <c r="B216" i="40"/>
  <c r="B215" i="40"/>
  <c r="B214" i="40"/>
  <c r="B213" i="40"/>
  <c r="B212" i="40"/>
  <c r="B211" i="40"/>
  <c r="B210" i="40"/>
  <c r="B209" i="40"/>
  <c r="B208" i="40"/>
  <c r="B207" i="40"/>
  <c r="B206" i="40"/>
  <c r="B205" i="40"/>
  <c r="B204" i="40"/>
  <c r="B203" i="40"/>
  <c r="B202" i="40"/>
  <c r="B201" i="40"/>
  <c r="B200" i="40"/>
  <c r="B199" i="40"/>
  <c r="B198" i="40"/>
  <c r="B197" i="40"/>
  <c r="B196" i="40"/>
  <c r="B195" i="40"/>
  <c r="B194" i="40"/>
  <c r="B193" i="40"/>
  <c r="B192" i="40"/>
  <c r="B191" i="40"/>
  <c r="B190" i="40"/>
  <c r="B189" i="40"/>
  <c r="B188" i="40"/>
  <c r="B187" i="40"/>
  <c r="B186" i="40"/>
  <c r="B185" i="40"/>
  <c r="B184" i="40"/>
  <c r="B183" i="40"/>
  <c r="B182" i="40"/>
  <c r="B181" i="40"/>
  <c r="B180" i="40"/>
  <c r="B179" i="40"/>
  <c r="B178" i="40"/>
  <c r="B177" i="40"/>
  <c r="B176" i="40"/>
  <c r="B175" i="40"/>
  <c r="B174" i="40"/>
  <c r="B173" i="40"/>
  <c r="B172" i="40"/>
  <c r="B171" i="40"/>
  <c r="B170" i="40"/>
  <c r="B169" i="40"/>
  <c r="B168" i="40"/>
  <c r="B167" i="40"/>
  <c r="B166" i="40"/>
  <c r="B165" i="40"/>
  <c r="B164" i="40"/>
  <c r="B163" i="40"/>
  <c r="B162" i="40"/>
  <c r="B161" i="40"/>
  <c r="B160" i="40"/>
  <c r="B159" i="40"/>
  <c r="B158" i="40"/>
  <c r="B157" i="40"/>
  <c r="B156" i="40"/>
  <c r="B155" i="40"/>
  <c r="B154" i="40"/>
  <c r="B153" i="40"/>
  <c r="B152" i="40"/>
  <c r="B151" i="40"/>
  <c r="B150" i="40"/>
  <c r="B149" i="40"/>
  <c r="B148" i="40"/>
  <c r="B147" i="40"/>
  <c r="B146" i="40"/>
  <c r="B145" i="40"/>
  <c r="B144" i="40"/>
  <c r="B143" i="40"/>
  <c r="B142" i="40"/>
  <c r="B141" i="40"/>
  <c r="B140" i="40"/>
  <c r="B139" i="40"/>
  <c r="B138" i="40"/>
  <c r="B137" i="40"/>
  <c r="B136" i="40"/>
  <c r="B135" i="40"/>
  <c r="B134" i="40"/>
  <c r="B133" i="40"/>
  <c r="B132" i="40"/>
  <c r="B131" i="40"/>
  <c r="B130" i="40"/>
  <c r="B129" i="40"/>
  <c r="B128" i="40"/>
  <c r="B127" i="40"/>
  <c r="B126" i="40"/>
  <c r="B125" i="40"/>
  <c r="B124" i="40"/>
  <c r="B123" i="40"/>
  <c r="B122" i="40"/>
  <c r="B121" i="40"/>
  <c r="B120" i="40"/>
  <c r="B119" i="40"/>
  <c r="B118" i="40"/>
  <c r="B117" i="40"/>
  <c r="B116" i="40"/>
  <c r="B115" i="40"/>
  <c r="B114" i="40"/>
  <c r="B113" i="40"/>
  <c r="B112" i="40"/>
  <c r="B111" i="40"/>
  <c r="B110" i="40"/>
  <c r="B109" i="40"/>
  <c r="B108" i="40"/>
  <c r="B107" i="40"/>
  <c r="B106" i="40"/>
  <c r="B105" i="40"/>
  <c r="B104" i="40"/>
  <c r="B103" i="40"/>
  <c r="B102" i="40"/>
  <c r="B101" i="40"/>
  <c r="B100" i="40"/>
  <c r="B99" i="40"/>
  <c r="B98" i="40"/>
  <c r="B97" i="40"/>
  <c r="B96" i="40"/>
  <c r="B95" i="40"/>
  <c r="B94" i="40"/>
  <c r="B93" i="40"/>
  <c r="B92" i="40"/>
  <c r="B91" i="40"/>
  <c r="B90" i="40"/>
  <c r="B89" i="40"/>
  <c r="B88" i="40"/>
  <c r="B87" i="40"/>
  <c r="B86" i="40"/>
  <c r="B85" i="40"/>
  <c r="B84" i="40"/>
  <c r="B83" i="40"/>
  <c r="B82" i="40"/>
  <c r="B81" i="40"/>
  <c r="B80" i="40"/>
  <c r="B79" i="40"/>
  <c r="B78" i="40"/>
  <c r="B77" i="40"/>
  <c r="G87" i="40"/>
  <c r="R515" i="40"/>
  <c r="R514" i="40"/>
  <c r="R513" i="40"/>
  <c r="R512" i="40"/>
  <c r="R511" i="40"/>
  <c r="R510" i="40"/>
  <c r="R509" i="40"/>
  <c r="R508" i="40"/>
  <c r="R507" i="40"/>
  <c r="R506" i="40"/>
  <c r="R505" i="40"/>
  <c r="R504" i="40"/>
  <c r="R503" i="40"/>
  <c r="R502" i="40"/>
  <c r="R501" i="40"/>
  <c r="R500" i="40"/>
  <c r="R499" i="40"/>
  <c r="R498" i="40"/>
  <c r="R497" i="40"/>
  <c r="R496" i="40"/>
  <c r="R495" i="40"/>
  <c r="R494" i="40"/>
  <c r="R493" i="40"/>
  <c r="R492" i="40"/>
  <c r="R491" i="40"/>
  <c r="R490" i="40"/>
  <c r="R489" i="40"/>
  <c r="R488" i="40"/>
  <c r="R487" i="40"/>
  <c r="R486" i="40"/>
  <c r="R485" i="40"/>
  <c r="R484" i="40"/>
  <c r="R483" i="40"/>
  <c r="R482" i="40"/>
  <c r="R481" i="40"/>
  <c r="R480" i="40"/>
  <c r="R479" i="40"/>
  <c r="R478" i="40"/>
  <c r="R477" i="40"/>
  <c r="R476" i="40"/>
  <c r="R475" i="40"/>
  <c r="R474" i="40"/>
  <c r="R473" i="40"/>
  <c r="R472" i="40"/>
  <c r="R471" i="40"/>
  <c r="R470" i="40"/>
  <c r="R469" i="40"/>
  <c r="R468" i="40"/>
  <c r="R467" i="40"/>
  <c r="R466" i="40"/>
  <c r="R465" i="40"/>
  <c r="R464" i="40"/>
  <c r="R463" i="40"/>
  <c r="R462" i="40"/>
  <c r="R461" i="40"/>
  <c r="R460" i="40"/>
  <c r="R459" i="40"/>
  <c r="R458" i="40"/>
  <c r="R457" i="40"/>
  <c r="R456" i="40"/>
  <c r="R455" i="40"/>
  <c r="R454" i="40"/>
  <c r="R453" i="40"/>
  <c r="R452" i="40"/>
  <c r="R451" i="40"/>
  <c r="R450" i="40"/>
  <c r="R449" i="40"/>
  <c r="R448" i="40"/>
  <c r="R447" i="40"/>
  <c r="R446" i="40"/>
  <c r="R445" i="40"/>
  <c r="R444" i="40"/>
  <c r="R443" i="40"/>
  <c r="R442" i="40"/>
  <c r="R441" i="40"/>
  <c r="R440" i="40"/>
  <c r="R439" i="40"/>
  <c r="R438" i="40"/>
  <c r="R437" i="40"/>
  <c r="R436" i="40"/>
  <c r="R435" i="40"/>
  <c r="R434" i="40"/>
  <c r="R433" i="40"/>
  <c r="R432" i="40"/>
  <c r="R431" i="40"/>
  <c r="R430" i="40"/>
  <c r="R429" i="40"/>
  <c r="R428" i="40"/>
  <c r="R427" i="40"/>
  <c r="R426" i="40"/>
  <c r="R425" i="40"/>
  <c r="R424" i="40"/>
  <c r="R423" i="40"/>
  <c r="R422" i="40"/>
  <c r="R421" i="40"/>
  <c r="R420" i="40"/>
  <c r="R419" i="40"/>
  <c r="R418" i="40"/>
  <c r="R417" i="40"/>
  <c r="R416" i="40"/>
  <c r="R415" i="40"/>
  <c r="R414" i="40"/>
  <c r="R413" i="40"/>
  <c r="R412" i="40"/>
  <c r="R411" i="40"/>
  <c r="R410" i="40"/>
  <c r="R409" i="40"/>
  <c r="R408" i="40"/>
  <c r="R407" i="40"/>
  <c r="R406" i="40"/>
  <c r="R405" i="40"/>
  <c r="R404" i="40"/>
  <c r="R403" i="40"/>
  <c r="R402" i="40"/>
  <c r="R401" i="40"/>
  <c r="R400" i="40"/>
  <c r="R399" i="40"/>
  <c r="R398" i="40"/>
  <c r="R397" i="40"/>
  <c r="R396" i="40"/>
  <c r="R395" i="40"/>
  <c r="R394" i="40"/>
  <c r="R393" i="40"/>
  <c r="R392" i="40"/>
  <c r="R391" i="40"/>
  <c r="R390" i="40"/>
  <c r="R389" i="40"/>
  <c r="R388" i="40"/>
  <c r="R387" i="40"/>
  <c r="R386" i="40"/>
  <c r="R385" i="40"/>
  <c r="R384" i="40"/>
  <c r="R383" i="40"/>
  <c r="R382" i="40"/>
  <c r="R381" i="40"/>
  <c r="R380" i="40"/>
  <c r="R379" i="40"/>
  <c r="R378" i="40"/>
  <c r="R377" i="40"/>
  <c r="R376" i="40"/>
  <c r="R375" i="40"/>
  <c r="R374" i="40"/>
  <c r="R373" i="40"/>
  <c r="R372" i="40"/>
  <c r="R371" i="40"/>
  <c r="R370" i="40"/>
  <c r="R369" i="40"/>
  <c r="R368" i="40"/>
  <c r="R367" i="40"/>
  <c r="R366" i="40"/>
  <c r="R365" i="40"/>
  <c r="R364" i="40"/>
  <c r="R363" i="40"/>
  <c r="R362" i="40"/>
  <c r="R361" i="40"/>
  <c r="R360" i="40"/>
  <c r="R359" i="40"/>
  <c r="R358" i="40"/>
  <c r="R357" i="40"/>
  <c r="R356" i="40"/>
  <c r="R355" i="40"/>
  <c r="R354" i="40"/>
  <c r="R353" i="40"/>
  <c r="R352" i="40"/>
  <c r="R351" i="40"/>
  <c r="R350" i="40"/>
  <c r="R349" i="40"/>
  <c r="R348" i="40"/>
  <c r="R347" i="40"/>
  <c r="R346" i="40"/>
  <c r="R345" i="40"/>
  <c r="R344" i="40"/>
  <c r="R343" i="40"/>
  <c r="R342" i="40"/>
  <c r="R341" i="40"/>
  <c r="R340" i="40"/>
  <c r="R339" i="40"/>
  <c r="R338" i="40"/>
  <c r="R337" i="40"/>
  <c r="R336" i="40"/>
  <c r="R335" i="40"/>
  <c r="R334" i="40"/>
  <c r="R333" i="40"/>
  <c r="R332" i="40"/>
  <c r="R331" i="40"/>
  <c r="R330" i="40"/>
  <c r="R329" i="40"/>
  <c r="R328" i="40"/>
  <c r="R327" i="40"/>
  <c r="R326" i="40"/>
  <c r="R325" i="40"/>
  <c r="R324" i="40"/>
  <c r="R323" i="40"/>
  <c r="R322" i="40"/>
  <c r="R321" i="40"/>
  <c r="R320" i="40"/>
  <c r="R319" i="40"/>
  <c r="R318" i="40"/>
  <c r="R317" i="40"/>
  <c r="R316" i="40"/>
  <c r="R315" i="40"/>
  <c r="R314" i="40"/>
  <c r="R313" i="40"/>
  <c r="R312" i="40"/>
  <c r="R311" i="40"/>
  <c r="R310" i="40"/>
  <c r="R309" i="40"/>
  <c r="R308" i="40"/>
  <c r="R307" i="40"/>
  <c r="R306" i="40"/>
  <c r="R305" i="40"/>
  <c r="R304" i="40"/>
  <c r="R303" i="40"/>
  <c r="R302" i="40"/>
  <c r="R301" i="40"/>
  <c r="R300" i="40"/>
  <c r="R299" i="40"/>
  <c r="R298" i="40"/>
  <c r="R297" i="40"/>
  <c r="R296" i="40"/>
  <c r="R295" i="40"/>
  <c r="R294" i="40"/>
  <c r="R293" i="40"/>
  <c r="R292" i="40"/>
  <c r="R291" i="40"/>
  <c r="R290" i="40"/>
  <c r="R289" i="40"/>
  <c r="R288" i="40"/>
  <c r="R287" i="40"/>
  <c r="R286" i="40"/>
  <c r="R285" i="40"/>
  <c r="R284" i="40"/>
  <c r="R283" i="40"/>
  <c r="R282" i="40"/>
  <c r="R281" i="40"/>
  <c r="R280" i="40"/>
  <c r="R279" i="40"/>
  <c r="R278" i="40"/>
  <c r="R277" i="40"/>
  <c r="R276" i="40"/>
  <c r="R275" i="40"/>
  <c r="R274" i="40"/>
  <c r="R273" i="40"/>
  <c r="R272" i="40"/>
  <c r="R271" i="40"/>
  <c r="R270" i="40"/>
  <c r="R269" i="40"/>
  <c r="R268" i="40"/>
  <c r="R267" i="40"/>
  <c r="R266" i="40"/>
  <c r="R265" i="40"/>
  <c r="R264" i="40"/>
  <c r="R263" i="40"/>
  <c r="R262" i="40"/>
  <c r="R261" i="40"/>
  <c r="R260" i="40"/>
  <c r="R259" i="40"/>
  <c r="R258" i="40"/>
  <c r="R257" i="40"/>
  <c r="R256" i="40"/>
  <c r="R255" i="40"/>
  <c r="R254" i="40"/>
  <c r="R253" i="40"/>
  <c r="R252" i="40"/>
  <c r="R251" i="40"/>
  <c r="R250" i="40"/>
  <c r="R249" i="40"/>
  <c r="R248" i="40"/>
  <c r="R247" i="40"/>
  <c r="R246" i="40"/>
  <c r="R245" i="40"/>
  <c r="R244" i="40"/>
  <c r="R243" i="40"/>
  <c r="R242" i="40"/>
  <c r="R241" i="40"/>
  <c r="R240" i="40"/>
  <c r="R239" i="40"/>
  <c r="R238" i="40"/>
  <c r="R237" i="40"/>
  <c r="R236" i="40"/>
  <c r="R235" i="40"/>
  <c r="R234" i="40"/>
  <c r="R233" i="40"/>
  <c r="R232" i="40"/>
  <c r="R231" i="40"/>
  <c r="R230" i="40"/>
  <c r="R229" i="40"/>
  <c r="R228" i="40"/>
  <c r="R227" i="40"/>
  <c r="R226" i="40"/>
  <c r="R225" i="40"/>
  <c r="R224" i="40"/>
  <c r="R223" i="40"/>
  <c r="R222" i="40"/>
  <c r="R221" i="40"/>
  <c r="R220" i="40"/>
  <c r="R219" i="40"/>
  <c r="R218" i="40"/>
  <c r="R217" i="40"/>
  <c r="R216" i="40"/>
  <c r="R215" i="40"/>
  <c r="R214" i="40"/>
  <c r="R213" i="40"/>
  <c r="R212" i="40"/>
  <c r="R211" i="40"/>
  <c r="R210" i="40"/>
  <c r="R209" i="40"/>
  <c r="R208" i="40"/>
  <c r="R207" i="40"/>
  <c r="R206" i="40"/>
  <c r="R205" i="40"/>
  <c r="R204" i="40"/>
  <c r="R203" i="40"/>
  <c r="R202" i="40"/>
  <c r="R201" i="40"/>
  <c r="R200" i="40"/>
  <c r="R199" i="40"/>
  <c r="R198" i="40"/>
  <c r="R197" i="40"/>
  <c r="R196" i="40"/>
  <c r="R195" i="40"/>
  <c r="R194" i="40"/>
  <c r="R193" i="40"/>
  <c r="R192" i="40"/>
  <c r="R191" i="40"/>
  <c r="R190" i="40"/>
  <c r="R189" i="40"/>
  <c r="R188" i="40"/>
  <c r="R187" i="40"/>
  <c r="R186" i="40"/>
  <c r="R185" i="40"/>
  <c r="R184" i="40"/>
  <c r="R183" i="40"/>
  <c r="R182" i="40"/>
  <c r="R181" i="40"/>
  <c r="R180" i="40"/>
  <c r="R179" i="40"/>
  <c r="R178" i="40"/>
  <c r="R177" i="40"/>
  <c r="R176" i="40"/>
  <c r="R175" i="40"/>
  <c r="R174" i="40"/>
  <c r="R173" i="40"/>
  <c r="R172" i="40"/>
  <c r="R171" i="40"/>
  <c r="R170" i="40"/>
  <c r="R169" i="40"/>
  <c r="R168" i="40"/>
  <c r="R167" i="40"/>
  <c r="R166" i="40"/>
  <c r="R165" i="40"/>
  <c r="R164" i="40"/>
  <c r="R163" i="40"/>
  <c r="R162" i="40"/>
  <c r="R161" i="40"/>
  <c r="R160" i="40"/>
  <c r="R159" i="40"/>
  <c r="R158" i="40"/>
  <c r="R157" i="40"/>
  <c r="R156" i="40"/>
  <c r="R155" i="40"/>
  <c r="R154" i="40"/>
  <c r="R153" i="40"/>
  <c r="R152" i="40"/>
  <c r="R151" i="40"/>
  <c r="R150" i="40"/>
  <c r="R149" i="40"/>
  <c r="R148" i="40"/>
  <c r="R147" i="40"/>
  <c r="R146" i="40"/>
  <c r="R145" i="40"/>
  <c r="R144" i="40"/>
  <c r="R143" i="40"/>
  <c r="R142" i="40"/>
  <c r="R141" i="40"/>
  <c r="R140" i="40"/>
  <c r="R139" i="40"/>
  <c r="R138" i="40"/>
  <c r="R137" i="40"/>
  <c r="R136" i="40"/>
  <c r="R135" i="40"/>
  <c r="R134" i="40"/>
  <c r="R133" i="40"/>
  <c r="R132" i="40"/>
  <c r="R131" i="40"/>
  <c r="R130" i="40"/>
  <c r="R129" i="40"/>
  <c r="R128" i="40"/>
  <c r="R127" i="40"/>
  <c r="R126" i="40"/>
  <c r="R125" i="40"/>
  <c r="R124" i="40"/>
  <c r="R123" i="40"/>
  <c r="R122" i="40"/>
  <c r="R121" i="40"/>
  <c r="R120" i="40"/>
  <c r="R119" i="40"/>
  <c r="R118" i="40"/>
  <c r="R117" i="40"/>
  <c r="R116" i="40"/>
  <c r="R115" i="40"/>
  <c r="R114" i="40"/>
  <c r="R113" i="40"/>
  <c r="R112" i="40"/>
  <c r="R111" i="40"/>
  <c r="R110" i="40"/>
  <c r="R109" i="40"/>
  <c r="R108" i="40"/>
  <c r="R107" i="40"/>
  <c r="R106" i="40"/>
  <c r="R105" i="40"/>
  <c r="R104" i="40"/>
  <c r="R103" i="40"/>
  <c r="R102" i="40"/>
  <c r="R101" i="40"/>
  <c r="R100" i="40"/>
  <c r="R99" i="40"/>
  <c r="R98" i="40"/>
  <c r="R97" i="40"/>
  <c r="R96" i="40"/>
  <c r="R95" i="40"/>
  <c r="R94" i="40"/>
  <c r="R93" i="40"/>
  <c r="R92" i="40"/>
  <c r="R91" i="40"/>
  <c r="R90" i="40"/>
  <c r="R89" i="40"/>
  <c r="R88" i="40"/>
  <c r="R87" i="40"/>
  <c r="R86" i="40"/>
  <c r="R85" i="40"/>
  <c r="R84" i="40"/>
  <c r="R83" i="40"/>
  <c r="R82" i="40"/>
  <c r="R81" i="40"/>
  <c r="R80" i="40"/>
  <c r="R79" i="40"/>
  <c r="R78" i="40"/>
  <c r="R77" i="40"/>
  <c r="R76" i="40"/>
  <c r="G515" i="40"/>
  <c r="G514" i="40"/>
  <c r="G513" i="40"/>
  <c r="G512" i="40"/>
  <c r="G511" i="40"/>
  <c r="G510" i="40"/>
  <c r="G509" i="40"/>
  <c r="G508" i="40"/>
  <c r="G507" i="40"/>
  <c r="G506" i="40"/>
  <c r="G505" i="40"/>
  <c r="G504" i="40"/>
  <c r="G503" i="40"/>
  <c r="G502" i="40"/>
  <c r="G501" i="40"/>
  <c r="G500" i="40"/>
  <c r="G499" i="40"/>
  <c r="G498" i="40"/>
  <c r="G497" i="40"/>
  <c r="G496" i="40"/>
  <c r="G495" i="40"/>
  <c r="G494" i="40"/>
  <c r="G493" i="40"/>
  <c r="G492" i="40"/>
  <c r="G491" i="40"/>
  <c r="G490" i="40"/>
  <c r="G489" i="40"/>
  <c r="G488" i="40"/>
  <c r="G487" i="40"/>
  <c r="G486" i="40"/>
  <c r="G485" i="40"/>
  <c r="G484" i="40"/>
  <c r="G483" i="40"/>
  <c r="G482" i="40"/>
  <c r="G481" i="40"/>
  <c r="G480" i="40"/>
  <c r="G479" i="40"/>
  <c r="G478" i="40"/>
  <c r="G477" i="40"/>
  <c r="G476" i="40"/>
  <c r="G475" i="40"/>
  <c r="G474" i="40"/>
  <c r="G473" i="40"/>
  <c r="G472" i="40"/>
  <c r="G471" i="40"/>
  <c r="G470" i="40"/>
  <c r="G469" i="40"/>
  <c r="G468" i="40"/>
  <c r="G467" i="40"/>
  <c r="G466" i="40"/>
  <c r="G465" i="40"/>
  <c r="G464" i="40"/>
  <c r="G463" i="40"/>
  <c r="G462" i="40"/>
  <c r="G461" i="40"/>
  <c r="G460" i="40"/>
  <c r="G459" i="40"/>
  <c r="G458" i="40"/>
  <c r="G457" i="40"/>
  <c r="G456" i="40"/>
  <c r="G455" i="40"/>
  <c r="G454" i="40"/>
  <c r="G453" i="40"/>
  <c r="G452" i="40"/>
  <c r="G451" i="40"/>
  <c r="G450" i="40"/>
  <c r="G449" i="40"/>
  <c r="G448" i="40"/>
  <c r="G447" i="40"/>
  <c r="G446" i="40"/>
  <c r="G445" i="40"/>
  <c r="G444" i="40"/>
  <c r="G443" i="40"/>
  <c r="G442" i="40"/>
  <c r="G441" i="40"/>
  <c r="G440" i="40"/>
  <c r="G439" i="40"/>
  <c r="G438" i="40"/>
  <c r="G437" i="40"/>
  <c r="G436" i="40"/>
  <c r="G435" i="40"/>
  <c r="G434" i="40"/>
  <c r="G433" i="40"/>
  <c r="G432" i="40"/>
  <c r="G431" i="40"/>
  <c r="G430" i="40"/>
  <c r="G429" i="40"/>
  <c r="G428" i="40"/>
  <c r="G427" i="40"/>
  <c r="G426" i="40"/>
  <c r="G425" i="40"/>
  <c r="G424" i="40"/>
  <c r="G423" i="40"/>
  <c r="G422" i="40"/>
  <c r="G421" i="40"/>
  <c r="G420" i="40"/>
  <c r="G419" i="40"/>
  <c r="G418" i="40"/>
  <c r="G417" i="40"/>
  <c r="G416" i="40"/>
  <c r="G415" i="40"/>
  <c r="G414" i="40"/>
  <c r="G413" i="40"/>
  <c r="G412" i="40"/>
  <c r="G411" i="40"/>
  <c r="G410" i="40"/>
  <c r="G409" i="40"/>
  <c r="G408" i="40"/>
  <c r="G407" i="40"/>
  <c r="G406" i="40"/>
  <c r="G405" i="40"/>
  <c r="G404" i="40"/>
  <c r="G403" i="40"/>
  <c r="G402" i="40"/>
  <c r="G401" i="40"/>
  <c r="G400" i="40"/>
  <c r="G399" i="40"/>
  <c r="G398" i="40"/>
  <c r="G397" i="40"/>
  <c r="G396" i="40"/>
  <c r="G395" i="40"/>
  <c r="G394" i="40"/>
  <c r="G393" i="40"/>
  <c r="G392" i="40"/>
  <c r="G391" i="40"/>
  <c r="G390" i="40"/>
  <c r="G389" i="40"/>
  <c r="G388" i="40"/>
  <c r="G387" i="40"/>
  <c r="G386" i="40"/>
  <c r="G385" i="40"/>
  <c r="G384" i="40"/>
  <c r="G383" i="40"/>
  <c r="G382" i="40"/>
  <c r="G381" i="40"/>
  <c r="G380" i="40"/>
  <c r="G379" i="40"/>
  <c r="G378" i="40"/>
  <c r="G377" i="40"/>
  <c r="G376" i="40"/>
  <c r="G375" i="40"/>
  <c r="G374" i="40"/>
  <c r="G373" i="40"/>
  <c r="G372" i="40"/>
  <c r="G371" i="40"/>
  <c r="G370" i="40"/>
  <c r="G369" i="40"/>
  <c r="G368" i="40"/>
  <c r="G367" i="40"/>
  <c r="G366" i="40"/>
  <c r="G365" i="40"/>
  <c r="G364" i="40"/>
  <c r="G363" i="40"/>
  <c r="G362" i="40"/>
  <c r="G361" i="40"/>
  <c r="G360" i="40"/>
  <c r="G359" i="40"/>
  <c r="G358" i="40"/>
  <c r="G357" i="40"/>
  <c r="G356" i="40"/>
  <c r="G355" i="40"/>
  <c r="G354" i="40"/>
  <c r="G353" i="40"/>
  <c r="G352" i="40"/>
  <c r="G351" i="40"/>
  <c r="G350" i="40"/>
  <c r="G349" i="40"/>
  <c r="G348" i="40"/>
  <c r="G347" i="40"/>
  <c r="G346" i="40"/>
  <c r="G345" i="40"/>
  <c r="G344" i="40"/>
  <c r="G343" i="40"/>
  <c r="G342" i="40"/>
  <c r="G341" i="40"/>
  <c r="G340" i="40"/>
  <c r="G339" i="40"/>
  <c r="G338" i="40"/>
  <c r="G337" i="40"/>
  <c r="G336" i="40"/>
  <c r="G335" i="40"/>
  <c r="G334" i="40"/>
  <c r="G333" i="40"/>
  <c r="G332" i="40"/>
  <c r="G331" i="40"/>
  <c r="G330" i="40"/>
  <c r="G329" i="40"/>
  <c r="G328" i="40"/>
  <c r="G327" i="40"/>
  <c r="G326" i="40"/>
  <c r="G325" i="40"/>
  <c r="G324" i="40"/>
  <c r="G323" i="40"/>
  <c r="G322" i="40"/>
  <c r="G321" i="40"/>
  <c r="G320" i="40"/>
  <c r="G319" i="40"/>
  <c r="G318" i="40"/>
  <c r="G317" i="40"/>
  <c r="G316" i="40"/>
  <c r="G315" i="40"/>
  <c r="G314" i="40"/>
  <c r="G313" i="40"/>
  <c r="G312" i="40"/>
  <c r="G311" i="40"/>
  <c r="G310" i="40"/>
  <c r="G309" i="40"/>
  <c r="G308" i="40"/>
  <c r="G307" i="40"/>
  <c r="G306" i="40"/>
  <c r="G305" i="40"/>
  <c r="G304" i="40"/>
  <c r="G303" i="40"/>
  <c r="G302" i="40"/>
  <c r="G301" i="40"/>
  <c r="G300" i="40"/>
  <c r="G299" i="40"/>
  <c r="G298" i="40"/>
  <c r="G297" i="40"/>
  <c r="G296" i="40"/>
  <c r="G295" i="40"/>
  <c r="G294" i="40"/>
  <c r="G293" i="40"/>
  <c r="G292" i="40"/>
  <c r="G291" i="40"/>
  <c r="G290" i="40"/>
  <c r="G289" i="40"/>
  <c r="G288" i="40"/>
  <c r="G287" i="40"/>
  <c r="G286" i="40"/>
  <c r="G285" i="40"/>
  <c r="G284" i="40"/>
  <c r="G283" i="40"/>
  <c r="G282" i="40"/>
  <c r="G281" i="40"/>
  <c r="G280" i="40"/>
  <c r="G279" i="40"/>
  <c r="G278" i="40"/>
  <c r="G277" i="40"/>
  <c r="G276" i="40"/>
  <c r="G275" i="40"/>
  <c r="G274" i="40"/>
  <c r="G273" i="40"/>
  <c r="G272" i="40"/>
  <c r="G271" i="40"/>
  <c r="G270" i="40"/>
  <c r="G269" i="40"/>
  <c r="G268" i="40"/>
  <c r="G267" i="40"/>
  <c r="G266" i="40"/>
  <c r="G265" i="40"/>
  <c r="G264" i="40"/>
  <c r="G263" i="40"/>
  <c r="G262" i="40"/>
  <c r="G261" i="40"/>
  <c r="G260" i="40"/>
  <c r="G259" i="40"/>
  <c r="G258" i="40"/>
  <c r="G257" i="40"/>
  <c r="G256" i="40"/>
  <c r="G255" i="40"/>
  <c r="G254" i="40"/>
  <c r="G253" i="40"/>
  <c r="G252" i="40"/>
  <c r="G251" i="40"/>
  <c r="G250" i="40"/>
  <c r="G249" i="40"/>
  <c r="G248" i="40"/>
  <c r="G247" i="40"/>
  <c r="G246" i="40"/>
  <c r="G245" i="40"/>
  <c r="G244" i="40"/>
  <c r="G243" i="40"/>
  <c r="G242" i="40"/>
  <c r="G241" i="40"/>
  <c r="G240" i="40"/>
  <c r="G239" i="40"/>
  <c r="G238" i="40"/>
  <c r="G237" i="40"/>
  <c r="G236" i="40"/>
  <c r="G235" i="40"/>
  <c r="G234" i="40"/>
  <c r="G233" i="40"/>
  <c r="G232" i="40"/>
  <c r="G231" i="40"/>
  <c r="G230" i="40"/>
  <c r="G229" i="40"/>
  <c r="G228" i="40"/>
  <c r="G227" i="40"/>
  <c r="G226" i="40"/>
  <c r="G225" i="40"/>
  <c r="G224" i="40"/>
  <c r="G223" i="40"/>
  <c r="G222" i="40"/>
  <c r="G221" i="40"/>
  <c r="G220" i="40"/>
  <c r="G219" i="40"/>
  <c r="G218" i="40"/>
  <c r="G217" i="40"/>
  <c r="G216" i="40"/>
  <c r="G215" i="40"/>
  <c r="G214" i="40"/>
  <c r="G213" i="40"/>
  <c r="G212" i="40"/>
  <c r="G211" i="40"/>
  <c r="G210" i="40"/>
  <c r="G209" i="40"/>
  <c r="G208" i="40"/>
  <c r="G207" i="40"/>
  <c r="G206" i="40"/>
  <c r="G205" i="40"/>
  <c r="G204" i="40"/>
  <c r="G203" i="40"/>
  <c r="G202" i="40"/>
  <c r="G201" i="40"/>
  <c r="G200" i="40"/>
  <c r="G199" i="40"/>
  <c r="G198" i="40"/>
  <c r="G197" i="40"/>
  <c r="G196" i="40"/>
  <c r="G195" i="40"/>
  <c r="G194" i="40"/>
  <c r="G193" i="40"/>
  <c r="G192" i="40"/>
  <c r="G191" i="40"/>
  <c r="G190" i="40"/>
  <c r="G189" i="40"/>
  <c r="G188" i="40"/>
  <c r="G187" i="40"/>
  <c r="G186" i="40"/>
  <c r="G185" i="40"/>
  <c r="G184" i="40"/>
  <c r="G183" i="40"/>
  <c r="G182" i="40"/>
  <c r="G181" i="40"/>
  <c r="G180" i="40"/>
  <c r="G179" i="40"/>
  <c r="G178" i="40"/>
  <c r="G177" i="40"/>
  <c r="G176" i="40"/>
  <c r="G175" i="40"/>
  <c r="G174" i="40"/>
  <c r="G173" i="40"/>
  <c r="G172" i="40"/>
  <c r="G171" i="40"/>
  <c r="G170" i="40"/>
  <c r="G169" i="40"/>
  <c r="G168" i="40"/>
  <c r="G167" i="40"/>
  <c r="G166" i="40"/>
  <c r="G165" i="40"/>
  <c r="G164" i="40"/>
  <c r="G163" i="40"/>
  <c r="G162" i="40"/>
  <c r="G161" i="40"/>
  <c r="G160" i="40"/>
  <c r="G159" i="40"/>
  <c r="G158" i="40"/>
  <c r="G157" i="40"/>
  <c r="G156" i="40"/>
  <c r="G155" i="40"/>
  <c r="G154" i="40"/>
  <c r="G153" i="40"/>
  <c r="G152" i="40"/>
  <c r="G151" i="40"/>
  <c r="G150" i="40"/>
  <c r="G149" i="40"/>
  <c r="G148" i="40"/>
  <c r="G147" i="40"/>
  <c r="G146" i="40"/>
  <c r="G145" i="40"/>
  <c r="G144" i="40"/>
  <c r="G143" i="40"/>
  <c r="G142" i="40"/>
  <c r="G141" i="40"/>
  <c r="G140" i="40"/>
  <c r="G139" i="40"/>
  <c r="G138" i="40"/>
  <c r="G137" i="40"/>
  <c r="G136" i="40"/>
  <c r="G135" i="40"/>
  <c r="G134" i="40"/>
  <c r="G133" i="40"/>
  <c r="G132" i="40"/>
  <c r="G131" i="40"/>
  <c r="G130" i="40"/>
  <c r="G129" i="40"/>
  <c r="G128" i="40"/>
  <c r="G127" i="40"/>
  <c r="G126" i="40"/>
  <c r="G125" i="40"/>
  <c r="G124" i="40"/>
  <c r="G123" i="40"/>
  <c r="G122" i="40"/>
  <c r="G121" i="40"/>
  <c r="G120" i="40"/>
  <c r="G119" i="40"/>
  <c r="G118" i="40"/>
  <c r="G117" i="40"/>
  <c r="G116" i="40"/>
  <c r="G115" i="40"/>
  <c r="G114" i="40"/>
  <c r="G113" i="40"/>
  <c r="G112" i="40"/>
  <c r="G111" i="40"/>
  <c r="G110" i="40"/>
  <c r="G109" i="40"/>
  <c r="G108" i="40"/>
  <c r="G107" i="40"/>
  <c r="G106" i="40"/>
  <c r="G105" i="40"/>
  <c r="G104" i="40"/>
  <c r="G103" i="40"/>
  <c r="G102" i="40"/>
  <c r="G101" i="40"/>
  <c r="G100" i="40"/>
  <c r="G99" i="40"/>
  <c r="G98" i="40"/>
  <c r="G97" i="40"/>
  <c r="G96" i="40"/>
  <c r="G95" i="40"/>
  <c r="G94" i="40"/>
  <c r="G93" i="40"/>
  <c r="G92" i="40"/>
  <c r="G91" i="40"/>
  <c r="G90" i="40"/>
  <c r="G89" i="40"/>
  <c r="G88" i="40"/>
  <c r="G86" i="40"/>
  <c r="G85" i="40"/>
  <c r="G84" i="40"/>
  <c r="G83" i="40"/>
  <c r="G82" i="40"/>
  <c r="G81" i="40"/>
  <c r="G80" i="40"/>
  <c r="G79" i="40"/>
  <c r="G78" i="40"/>
  <c r="G77" i="40"/>
  <c r="G76" i="40"/>
  <c r="F29" i="40"/>
  <c r="U515" i="40"/>
  <c r="Y515" i="40"/>
  <c r="N515" i="40"/>
  <c r="AA515" i="40"/>
  <c r="AE515" i="40"/>
  <c r="AB515" i="40"/>
  <c r="V515" i="40"/>
  <c r="Z515" i="40"/>
  <c r="Q515" i="40"/>
  <c r="AC515" i="40"/>
  <c r="AD515" i="40"/>
  <c r="AF515" i="40"/>
  <c r="U514" i="40"/>
  <c r="Y514" i="40"/>
  <c r="N514" i="40"/>
  <c r="AA514" i="40"/>
  <c r="AE514" i="40"/>
  <c r="AB514" i="40"/>
  <c r="V514" i="40"/>
  <c r="Z514" i="40"/>
  <c r="Q514" i="40"/>
  <c r="AC514" i="40"/>
  <c r="AD514" i="40"/>
  <c r="AF514" i="40"/>
  <c r="U513" i="40"/>
  <c r="Y513" i="40"/>
  <c r="N513" i="40"/>
  <c r="AA513" i="40"/>
  <c r="AE513" i="40"/>
  <c r="AB513" i="40"/>
  <c r="V513" i="40"/>
  <c r="Z513" i="40"/>
  <c r="Q513" i="40"/>
  <c r="AC513" i="40"/>
  <c r="AD513" i="40"/>
  <c r="AF513" i="40"/>
  <c r="U512" i="40"/>
  <c r="Y512" i="40"/>
  <c r="N512" i="40"/>
  <c r="AA512" i="40"/>
  <c r="AE512" i="40"/>
  <c r="AB512" i="40"/>
  <c r="V512" i="40"/>
  <c r="Z512" i="40"/>
  <c r="Q512" i="40"/>
  <c r="AC512" i="40"/>
  <c r="AD512" i="40"/>
  <c r="AF512" i="40"/>
  <c r="U511" i="40"/>
  <c r="Y511" i="40"/>
  <c r="N511" i="40"/>
  <c r="AA511" i="40"/>
  <c r="AE511" i="40"/>
  <c r="AB511" i="40"/>
  <c r="V511" i="40"/>
  <c r="Z511" i="40"/>
  <c r="Q511" i="40"/>
  <c r="AC511" i="40"/>
  <c r="AD511" i="40"/>
  <c r="AF511" i="40"/>
  <c r="U510" i="40"/>
  <c r="Y510" i="40"/>
  <c r="N510" i="40"/>
  <c r="AA510" i="40"/>
  <c r="AE510" i="40"/>
  <c r="AB510" i="40"/>
  <c r="V510" i="40"/>
  <c r="Z510" i="40"/>
  <c r="Q510" i="40"/>
  <c r="AC510" i="40"/>
  <c r="AD510" i="40"/>
  <c r="AF510" i="40"/>
  <c r="U509" i="40"/>
  <c r="Y509" i="40"/>
  <c r="N509" i="40"/>
  <c r="AA509" i="40"/>
  <c r="AE509" i="40"/>
  <c r="AB509" i="40"/>
  <c r="V509" i="40"/>
  <c r="Z509" i="40"/>
  <c r="Q509" i="40"/>
  <c r="AC509" i="40"/>
  <c r="AD509" i="40"/>
  <c r="AF509" i="40"/>
  <c r="U508" i="40"/>
  <c r="Y508" i="40"/>
  <c r="N508" i="40"/>
  <c r="AA508" i="40"/>
  <c r="AE508" i="40"/>
  <c r="AB508" i="40"/>
  <c r="V508" i="40"/>
  <c r="Z508" i="40"/>
  <c r="Q508" i="40"/>
  <c r="AC508" i="40"/>
  <c r="AD508" i="40"/>
  <c r="AF508" i="40"/>
  <c r="U507" i="40"/>
  <c r="Y507" i="40"/>
  <c r="N507" i="40"/>
  <c r="AA507" i="40"/>
  <c r="AE507" i="40"/>
  <c r="AB507" i="40"/>
  <c r="V507" i="40"/>
  <c r="Z507" i="40"/>
  <c r="Q507" i="40"/>
  <c r="AC507" i="40"/>
  <c r="AD507" i="40"/>
  <c r="AF507" i="40"/>
  <c r="U506" i="40"/>
  <c r="Y506" i="40"/>
  <c r="N506" i="40"/>
  <c r="AA506" i="40"/>
  <c r="AE506" i="40"/>
  <c r="AB506" i="40"/>
  <c r="V506" i="40"/>
  <c r="Z506" i="40"/>
  <c r="Q506" i="40"/>
  <c r="AC506" i="40"/>
  <c r="AD506" i="40"/>
  <c r="AF506" i="40"/>
  <c r="U505" i="40"/>
  <c r="Y505" i="40"/>
  <c r="N505" i="40"/>
  <c r="AA505" i="40"/>
  <c r="AE505" i="40"/>
  <c r="AB505" i="40"/>
  <c r="V505" i="40"/>
  <c r="Z505" i="40"/>
  <c r="Q505" i="40"/>
  <c r="AC505" i="40"/>
  <c r="AD505" i="40"/>
  <c r="AF505" i="40"/>
  <c r="U504" i="40"/>
  <c r="Y504" i="40"/>
  <c r="N504" i="40"/>
  <c r="AA504" i="40"/>
  <c r="AE504" i="40"/>
  <c r="AB504" i="40"/>
  <c r="V504" i="40"/>
  <c r="Z504" i="40"/>
  <c r="Q504" i="40"/>
  <c r="AC504" i="40"/>
  <c r="AD504" i="40"/>
  <c r="AF504" i="40"/>
  <c r="U503" i="40"/>
  <c r="Y503" i="40"/>
  <c r="N503" i="40"/>
  <c r="AA503" i="40"/>
  <c r="AE503" i="40"/>
  <c r="AB503" i="40"/>
  <c r="V503" i="40"/>
  <c r="Z503" i="40"/>
  <c r="Q503" i="40"/>
  <c r="AC503" i="40"/>
  <c r="AD503" i="40"/>
  <c r="AF503" i="40"/>
  <c r="U502" i="40"/>
  <c r="Y502" i="40"/>
  <c r="N502" i="40"/>
  <c r="AA502" i="40"/>
  <c r="AE502" i="40"/>
  <c r="AB502" i="40"/>
  <c r="V502" i="40"/>
  <c r="Z502" i="40"/>
  <c r="Q502" i="40"/>
  <c r="AC502" i="40"/>
  <c r="AD502" i="40"/>
  <c r="AF502" i="40"/>
  <c r="U501" i="40"/>
  <c r="Y501" i="40"/>
  <c r="N501" i="40"/>
  <c r="AA501" i="40"/>
  <c r="AE501" i="40"/>
  <c r="AB501" i="40"/>
  <c r="V501" i="40"/>
  <c r="Z501" i="40"/>
  <c r="Q501" i="40"/>
  <c r="AC501" i="40"/>
  <c r="AD501" i="40"/>
  <c r="AF501" i="40"/>
  <c r="U500" i="40"/>
  <c r="Y500" i="40"/>
  <c r="N500" i="40"/>
  <c r="AA500" i="40"/>
  <c r="AE500" i="40"/>
  <c r="AB500" i="40"/>
  <c r="V500" i="40"/>
  <c r="Z500" i="40"/>
  <c r="Q500" i="40"/>
  <c r="AC500" i="40"/>
  <c r="AD500" i="40"/>
  <c r="AF500" i="40"/>
  <c r="U499" i="40"/>
  <c r="Y499" i="40"/>
  <c r="N499" i="40"/>
  <c r="AA499" i="40"/>
  <c r="AE499" i="40"/>
  <c r="AB499" i="40"/>
  <c r="V499" i="40"/>
  <c r="Z499" i="40"/>
  <c r="Q499" i="40"/>
  <c r="AC499" i="40"/>
  <c r="AD499" i="40"/>
  <c r="AF499" i="40"/>
  <c r="U498" i="40"/>
  <c r="Y498" i="40"/>
  <c r="N498" i="40"/>
  <c r="AA498" i="40"/>
  <c r="AE498" i="40"/>
  <c r="AB498" i="40"/>
  <c r="V498" i="40"/>
  <c r="Z498" i="40"/>
  <c r="Q498" i="40"/>
  <c r="AC498" i="40"/>
  <c r="AD498" i="40"/>
  <c r="AF498" i="40"/>
  <c r="U497" i="40"/>
  <c r="Y497" i="40"/>
  <c r="N497" i="40"/>
  <c r="AA497" i="40"/>
  <c r="AE497" i="40"/>
  <c r="AB497" i="40"/>
  <c r="V497" i="40"/>
  <c r="Z497" i="40"/>
  <c r="Q497" i="40"/>
  <c r="AC497" i="40"/>
  <c r="AD497" i="40"/>
  <c r="AF497" i="40"/>
  <c r="U496" i="40"/>
  <c r="Y496" i="40"/>
  <c r="N496" i="40"/>
  <c r="AA496" i="40"/>
  <c r="AE496" i="40"/>
  <c r="AB496" i="40"/>
  <c r="V496" i="40"/>
  <c r="Z496" i="40"/>
  <c r="Q496" i="40"/>
  <c r="AC496" i="40"/>
  <c r="AD496" i="40"/>
  <c r="AF496" i="40"/>
  <c r="U495" i="40"/>
  <c r="Y495" i="40"/>
  <c r="N495" i="40"/>
  <c r="AA495" i="40"/>
  <c r="AE495" i="40"/>
  <c r="AB495" i="40"/>
  <c r="V495" i="40"/>
  <c r="Z495" i="40"/>
  <c r="Q495" i="40"/>
  <c r="AC495" i="40"/>
  <c r="AD495" i="40"/>
  <c r="AF495" i="40"/>
  <c r="U494" i="40"/>
  <c r="Y494" i="40"/>
  <c r="N494" i="40"/>
  <c r="AA494" i="40"/>
  <c r="AE494" i="40"/>
  <c r="AB494" i="40"/>
  <c r="V494" i="40"/>
  <c r="Z494" i="40"/>
  <c r="Q494" i="40"/>
  <c r="AC494" i="40"/>
  <c r="AD494" i="40"/>
  <c r="AF494" i="40"/>
  <c r="U493" i="40"/>
  <c r="Y493" i="40"/>
  <c r="N493" i="40"/>
  <c r="AA493" i="40"/>
  <c r="AE493" i="40"/>
  <c r="AB493" i="40"/>
  <c r="V493" i="40"/>
  <c r="Z493" i="40"/>
  <c r="Q493" i="40"/>
  <c r="AC493" i="40"/>
  <c r="AD493" i="40"/>
  <c r="AF493" i="40"/>
  <c r="U492" i="40"/>
  <c r="Y492" i="40"/>
  <c r="N492" i="40"/>
  <c r="AA492" i="40"/>
  <c r="AE492" i="40"/>
  <c r="AB492" i="40"/>
  <c r="V492" i="40"/>
  <c r="Z492" i="40"/>
  <c r="Q492" i="40"/>
  <c r="AC492" i="40"/>
  <c r="AD492" i="40"/>
  <c r="AF492" i="40"/>
  <c r="U491" i="40"/>
  <c r="Y491" i="40"/>
  <c r="N491" i="40"/>
  <c r="AA491" i="40"/>
  <c r="AE491" i="40"/>
  <c r="AB491" i="40"/>
  <c r="V491" i="40"/>
  <c r="Z491" i="40"/>
  <c r="Q491" i="40"/>
  <c r="AC491" i="40"/>
  <c r="AD491" i="40"/>
  <c r="AF491" i="40"/>
  <c r="U490" i="40"/>
  <c r="Y490" i="40"/>
  <c r="N490" i="40"/>
  <c r="AA490" i="40"/>
  <c r="AE490" i="40"/>
  <c r="AB490" i="40"/>
  <c r="V490" i="40"/>
  <c r="Z490" i="40"/>
  <c r="Q490" i="40"/>
  <c r="AC490" i="40"/>
  <c r="AD490" i="40"/>
  <c r="AF490" i="40"/>
  <c r="U489" i="40"/>
  <c r="Y489" i="40"/>
  <c r="N489" i="40"/>
  <c r="AA489" i="40"/>
  <c r="AE489" i="40"/>
  <c r="AB489" i="40"/>
  <c r="V489" i="40"/>
  <c r="Z489" i="40"/>
  <c r="Q489" i="40"/>
  <c r="AC489" i="40"/>
  <c r="AD489" i="40"/>
  <c r="AF489" i="40"/>
  <c r="U488" i="40"/>
  <c r="Y488" i="40"/>
  <c r="N488" i="40"/>
  <c r="AA488" i="40"/>
  <c r="AE488" i="40"/>
  <c r="AB488" i="40"/>
  <c r="V488" i="40"/>
  <c r="Z488" i="40"/>
  <c r="Q488" i="40"/>
  <c r="AC488" i="40"/>
  <c r="AD488" i="40"/>
  <c r="AF488" i="40"/>
  <c r="U487" i="40"/>
  <c r="Y487" i="40"/>
  <c r="N487" i="40"/>
  <c r="AA487" i="40"/>
  <c r="AE487" i="40"/>
  <c r="AB487" i="40"/>
  <c r="V487" i="40"/>
  <c r="Z487" i="40"/>
  <c r="Q487" i="40"/>
  <c r="AC487" i="40"/>
  <c r="AD487" i="40"/>
  <c r="AF487" i="40"/>
  <c r="U486" i="40"/>
  <c r="Y486" i="40"/>
  <c r="N486" i="40"/>
  <c r="AA486" i="40"/>
  <c r="AE486" i="40"/>
  <c r="AB486" i="40"/>
  <c r="V486" i="40"/>
  <c r="Z486" i="40"/>
  <c r="Q486" i="40"/>
  <c r="AC486" i="40"/>
  <c r="AD486" i="40"/>
  <c r="AF486" i="40"/>
  <c r="U485" i="40"/>
  <c r="Y485" i="40"/>
  <c r="N485" i="40"/>
  <c r="AA485" i="40"/>
  <c r="AE485" i="40"/>
  <c r="AB485" i="40"/>
  <c r="V485" i="40"/>
  <c r="Z485" i="40"/>
  <c r="Q485" i="40"/>
  <c r="AC485" i="40"/>
  <c r="AD485" i="40"/>
  <c r="AF485" i="40"/>
  <c r="U484" i="40"/>
  <c r="Y484" i="40"/>
  <c r="N484" i="40"/>
  <c r="AA484" i="40"/>
  <c r="AE484" i="40"/>
  <c r="AB484" i="40"/>
  <c r="V484" i="40"/>
  <c r="Z484" i="40"/>
  <c r="Q484" i="40"/>
  <c r="AC484" i="40"/>
  <c r="AD484" i="40"/>
  <c r="AF484" i="40"/>
  <c r="U483" i="40"/>
  <c r="Y483" i="40"/>
  <c r="N483" i="40"/>
  <c r="AA483" i="40"/>
  <c r="AE483" i="40"/>
  <c r="AB483" i="40"/>
  <c r="V483" i="40"/>
  <c r="Z483" i="40"/>
  <c r="Q483" i="40"/>
  <c r="AC483" i="40"/>
  <c r="AD483" i="40"/>
  <c r="AF483" i="40"/>
  <c r="U482" i="40"/>
  <c r="Y482" i="40"/>
  <c r="N482" i="40"/>
  <c r="AA482" i="40"/>
  <c r="AE482" i="40"/>
  <c r="AB482" i="40"/>
  <c r="V482" i="40"/>
  <c r="Z482" i="40"/>
  <c r="Q482" i="40"/>
  <c r="AC482" i="40"/>
  <c r="AD482" i="40"/>
  <c r="AF482" i="40"/>
  <c r="U481" i="40"/>
  <c r="Y481" i="40"/>
  <c r="N481" i="40"/>
  <c r="AA481" i="40"/>
  <c r="AE481" i="40"/>
  <c r="AB481" i="40"/>
  <c r="V481" i="40"/>
  <c r="Z481" i="40"/>
  <c r="Q481" i="40"/>
  <c r="AC481" i="40"/>
  <c r="AD481" i="40"/>
  <c r="AF481" i="40"/>
  <c r="U480" i="40"/>
  <c r="Y480" i="40"/>
  <c r="N480" i="40"/>
  <c r="AA480" i="40"/>
  <c r="AE480" i="40"/>
  <c r="AB480" i="40"/>
  <c r="V480" i="40"/>
  <c r="Z480" i="40"/>
  <c r="Q480" i="40"/>
  <c r="AC480" i="40"/>
  <c r="AD480" i="40"/>
  <c r="AF480" i="40"/>
  <c r="U479" i="40"/>
  <c r="Y479" i="40"/>
  <c r="N479" i="40"/>
  <c r="AA479" i="40"/>
  <c r="AE479" i="40"/>
  <c r="AB479" i="40"/>
  <c r="V479" i="40"/>
  <c r="Z479" i="40"/>
  <c r="Q479" i="40"/>
  <c r="AC479" i="40"/>
  <c r="AD479" i="40"/>
  <c r="AF479" i="40"/>
  <c r="U478" i="40"/>
  <c r="Y478" i="40"/>
  <c r="N478" i="40"/>
  <c r="AA478" i="40"/>
  <c r="AE478" i="40"/>
  <c r="AB478" i="40"/>
  <c r="V478" i="40"/>
  <c r="Z478" i="40"/>
  <c r="Q478" i="40"/>
  <c r="AC478" i="40"/>
  <c r="AD478" i="40"/>
  <c r="AF478" i="40"/>
  <c r="U477" i="40"/>
  <c r="Y477" i="40"/>
  <c r="N477" i="40"/>
  <c r="AA477" i="40"/>
  <c r="AE477" i="40"/>
  <c r="AB477" i="40"/>
  <c r="V477" i="40"/>
  <c r="Z477" i="40"/>
  <c r="Q477" i="40"/>
  <c r="AC477" i="40"/>
  <c r="AD477" i="40"/>
  <c r="AF477" i="40"/>
  <c r="U476" i="40"/>
  <c r="Y476" i="40"/>
  <c r="N476" i="40"/>
  <c r="AA476" i="40"/>
  <c r="AE476" i="40"/>
  <c r="AB476" i="40"/>
  <c r="V476" i="40"/>
  <c r="Z476" i="40"/>
  <c r="Q476" i="40"/>
  <c r="AC476" i="40"/>
  <c r="AD476" i="40"/>
  <c r="AF476" i="40"/>
  <c r="U475" i="40"/>
  <c r="Y475" i="40"/>
  <c r="N475" i="40"/>
  <c r="AA475" i="40"/>
  <c r="AE475" i="40"/>
  <c r="AB475" i="40"/>
  <c r="V475" i="40"/>
  <c r="Z475" i="40"/>
  <c r="Q475" i="40"/>
  <c r="AC475" i="40"/>
  <c r="AD475" i="40"/>
  <c r="AF475" i="40"/>
  <c r="U474" i="40"/>
  <c r="Y474" i="40"/>
  <c r="N474" i="40"/>
  <c r="AA474" i="40"/>
  <c r="AE474" i="40"/>
  <c r="AB474" i="40"/>
  <c r="V474" i="40"/>
  <c r="Z474" i="40"/>
  <c r="Q474" i="40"/>
  <c r="AC474" i="40"/>
  <c r="AD474" i="40"/>
  <c r="AF474" i="40"/>
  <c r="U473" i="40"/>
  <c r="Y473" i="40"/>
  <c r="N473" i="40"/>
  <c r="AA473" i="40"/>
  <c r="AE473" i="40"/>
  <c r="AB473" i="40"/>
  <c r="V473" i="40"/>
  <c r="Z473" i="40"/>
  <c r="Q473" i="40"/>
  <c r="AC473" i="40"/>
  <c r="AD473" i="40"/>
  <c r="AF473" i="40"/>
  <c r="U472" i="40"/>
  <c r="Y472" i="40"/>
  <c r="N472" i="40"/>
  <c r="AA472" i="40"/>
  <c r="AE472" i="40"/>
  <c r="AB472" i="40"/>
  <c r="V472" i="40"/>
  <c r="Z472" i="40"/>
  <c r="Q472" i="40"/>
  <c r="AC472" i="40"/>
  <c r="AD472" i="40"/>
  <c r="AF472" i="40"/>
  <c r="U471" i="40"/>
  <c r="Y471" i="40"/>
  <c r="N471" i="40"/>
  <c r="AA471" i="40"/>
  <c r="AE471" i="40"/>
  <c r="AB471" i="40"/>
  <c r="V471" i="40"/>
  <c r="Z471" i="40"/>
  <c r="Q471" i="40"/>
  <c r="AC471" i="40"/>
  <c r="AD471" i="40"/>
  <c r="AF471" i="40"/>
  <c r="U470" i="40"/>
  <c r="Y470" i="40"/>
  <c r="N470" i="40"/>
  <c r="AA470" i="40"/>
  <c r="AE470" i="40"/>
  <c r="AB470" i="40"/>
  <c r="V470" i="40"/>
  <c r="Z470" i="40"/>
  <c r="Q470" i="40"/>
  <c r="AC470" i="40"/>
  <c r="AD470" i="40"/>
  <c r="AF470" i="40"/>
  <c r="U469" i="40"/>
  <c r="Y469" i="40"/>
  <c r="N469" i="40"/>
  <c r="AA469" i="40"/>
  <c r="AE469" i="40"/>
  <c r="AB469" i="40"/>
  <c r="V469" i="40"/>
  <c r="Z469" i="40"/>
  <c r="Q469" i="40"/>
  <c r="AC469" i="40"/>
  <c r="AD469" i="40"/>
  <c r="AF469" i="40"/>
  <c r="U468" i="40"/>
  <c r="Y468" i="40"/>
  <c r="N468" i="40"/>
  <c r="AA468" i="40"/>
  <c r="AE468" i="40"/>
  <c r="AB468" i="40"/>
  <c r="V468" i="40"/>
  <c r="Z468" i="40"/>
  <c r="Q468" i="40"/>
  <c r="AC468" i="40"/>
  <c r="AD468" i="40"/>
  <c r="AF468" i="40"/>
  <c r="U467" i="40"/>
  <c r="Y467" i="40"/>
  <c r="N467" i="40"/>
  <c r="AA467" i="40"/>
  <c r="AE467" i="40"/>
  <c r="AB467" i="40"/>
  <c r="V467" i="40"/>
  <c r="Z467" i="40"/>
  <c r="Q467" i="40"/>
  <c r="AC467" i="40"/>
  <c r="AD467" i="40"/>
  <c r="AF467" i="40"/>
  <c r="U466" i="40"/>
  <c r="Y466" i="40"/>
  <c r="N466" i="40"/>
  <c r="AA466" i="40"/>
  <c r="AE466" i="40"/>
  <c r="AB466" i="40"/>
  <c r="V466" i="40"/>
  <c r="Z466" i="40"/>
  <c r="Q466" i="40"/>
  <c r="AC466" i="40"/>
  <c r="AD466" i="40"/>
  <c r="AF466" i="40"/>
  <c r="U465" i="40"/>
  <c r="Y465" i="40"/>
  <c r="N465" i="40"/>
  <c r="AA465" i="40"/>
  <c r="AE465" i="40"/>
  <c r="AB465" i="40"/>
  <c r="V465" i="40"/>
  <c r="Z465" i="40"/>
  <c r="Q465" i="40"/>
  <c r="AC465" i="40"/>
  <c r="AD465" i="40"/>
  <c r="AF465" i="40"/>
  <c r="U464" i="40"/>
  <c r="Y464" i="40"/>
  <c r="N464" i="40"/>
  <c r="AA464" i="40"/>
  <c r="AE464" i="40"/>
  <c r="AB464" i="40"/>
  <c r="V464" i="40"/>
  <c r="Z464" i="40"/>
  <c r="Q464" i="40"/>
  <c r="AC464" i="40"/>
  <c r="AD464" i="40"/>
  <c r="AF464" i="40"/>
  <c r="U463" i="40"/>
  <c r="Y463" i="40"/>
  <c r="N463" i="40"/>
  <c r="AA463" i="40"/>
  <c r="AE463" i="40"/>
  <c r="AB463" i="40"/>
  <c r="V463" i="40"/>
  <c r="Z463" i="40"/>
  <c r="Q463" i="40"/>
  <c r="AC463" i="40"/>
  <c r="AD463" i="40"/>
  <c r="AF463" i="40"/>
  <c r="U462" i="40"/>
  <c r="Y462" i="40"/>
  <c r="N462" i="40"/>
  <c r="AA462" i="40"/>
  <c r="AE462" i="40"/>
  <c r="AB462" i="40"/>
  <c r="V462" i="40"/>
  <c r="Z462" i="40"/>
  <c r="Q462" i="40"/>
  <c r="AC462" i="40"/>
  <c r="AD462" i="40"/>
  <c r="AF462" i="40"/>
  <c r="U461" i="40"/>
  <c r="Y461" i="40"/>
  <c r="N461" i="40"/>
  <c r="AA461" i="40"/>
  <c r="AE461" i="40"/>
  <c r="AB461" i="40"/>
  <c r="V461" i="40"/>
  <c r="Z461" i="40"/>
  <c r="Q461" i="40"/>
  <c r="AC461" i="40"/>
  <c r="AD461" i="40"/>
  <c r="AF461" i="40"/>
  <c r="U460" i="40"/>
  <c r="Y460" i="40"/>
  <c r="N460" i="40"/>
  <c r="AA460" i="40"/>
  <c r="AE460" i="40"/>
  <c r="AB460" i="40"/>
  <c r="V460" i="40"/>
  <c r="Z460" i="40"/>
  <c r="Q460" i="40"/>
  <c r="AC460" i="40"/>
  <c r="AD460" i="40"/>
  <c r="AF460" i="40"/>
  <c r="U459" i="40"/>
  <c r="Y459" i="40"/>
  <c r="N459" i="40"/>
  <c r="AA459" i="40"/>
  <c r="AE459" i="40"/>
  <c r="AB459" i="40"/>
  <c r="V459" i="40"/>
  <c r="Z459" i="40"/>
  <c r="Q459" i="40"/>
  <c r="AC459" i="40"/>
  <c r="AD459" i="40"/>
  <c r="AF459" i="40"/>
  <c r="U458" i="40"/>
  <c r="Y458" i="40"/>
  <c r="N458" i="40"/>
  <c r="AA458" i="40"/>
  <c r="AE458" i="40"/>
  <c r="AB458" i="40"/>
  <c r="V458" i="40"/>
  <c r="Z458" i="40"/>
  <c r="Q458" i="40"/>
  <c r="AC458" i="40"/>
  <c r="AD458" i="40"/>
  <c r="AF458" i="40"/>
  <c r="U457" i="40"/>
  <c r="Y457" i="40"/>
  <c r="N457" i="40"/>
  <c r="AA457" i="40"/>
  <c r="AE457" i="40"/>
  <c r="AB457" i="40"/>
  <c r="V457" i="40"/>
  <c r="Z457" i="40"/>
  <c r="Q457" i="40"/>
  <c r="AC457" i="40"/>
  <c r="AD457" i="40"/>
  <c r="AF457" i="40"/>
  <c r="U456" i="40"/>
  <c r="Y456" i="40"/>
  <c r="N456" i="40"/>
  <c r="AA456" i="40"/>
  <c r="AE456" i="40"/>
  <c r="AB456" i="40"/>
  <c r="V456" i="40"/>
  <c r="Z456" i="40"/>
  <c r="Q456" i="40"/>
  <c r="AC456" i="40"/>
  <c r="AD456" i="40"/>
  <c r="AF456" i="40"/>
  <c r="U455" i="40"/>
  <c r="Y455" i="40"/>
  <c r="N455" i="40"/>
  <c r="AA455" i="40"/>
  <c r="AE455" i="40"/>
  <c r="AB455" i="40"/>
  <c r="V455" i="40"/>
  <c r="Z455" i="40"/>
  <c r="Q455" i="40"/>
  <c r="AC455" i="40"/>
  <c r="AD455" i="40"/>
  <c r="AF455" i="40"/>
  <c r="U454" i="40"/>
  <c r="Y454" i="40"/>
  <c r="N454" i="40"/>
  <c r="AA454" i="40"/>
  <c r="AE454" i="40"/>
  <c r="AB454" i="40"/>
  <c r="V454" i="40"/>
  <c r="Z454" i="40"/>
  <c r="Q454" i="40"/>
  <c r="AC454" i="40"/>
  <c r="AD454" i="40"/>
  <c r="AF454" i="40"/>
  <c r="U453" i="40"/>
  <c r="Y453" i="40"/>
  <c r="N453" i="40"/>
  <c r="AA453" i="40"/>
  <c r="AE453" i="40"/>
  <c r="AB453" i="40"/>
  <c r="V453" i="40"/>
  <c r="Z453" i="40"/>
  <c r="Q453" i="40"/>
  <c r="AC453" i="40"/>
  <c r="AD453" i="40"/>
  <c r="AF453" i="40"/>
  <c r="U452" i="40"/>
  <c r="Y452" i="40"/>
  <c r="N452" i="40"/>
  <c r="AA452" i="40"/>
  <c r="AE452" i="40"/>
  <c r="AB452" i="40"/>
  <c r="V452" i="40"/>
  <c r="Z452" i="40"/>
  <c r="Q452" i="40"/>
  <c r="AC452" i="40"/>
  <c r="AD452" i="40"/>
  <c r="AF452" i="40"/>
  <c r="U451" i="40"/>
  <c r="Y451" i="40"/>
  <c r="N451" i="40"/>
  <c r="AA451" i="40"/>
  <c r="AE451" i="40"/>
  <c r="AB451" i="40"/>
  <c r="V451" i="40"/>
  <c r="Z451" i="40"/>
  <c r="Q451" i="40"/>
  <c r="AC451" i="40"/>
  <c r="AD451" i="40"/>
  <c r="AF451" i="40"/>
  <c r="U450" i="40"/>
  <c r="Y450" i="40"/>
  <c r="N450" i="40"/>
  <c r="AA450" i="40"/>
  <c r="AE450" i="40"/>
  <c r="AB450" i="40"/>
  <c r="V450" i="40"/>
  <c r="Z450" i="40"/>
  <c r="Q450" i="40"/>
  <c r="AC450" i="40"/>
  <c r="AD450" i="40"/>
  <c r="AF450" i="40"/>
  <c r="U449" i="40"/>
  <c r="Y449" i="40"/>
  <c r="N449" i="40"/>
  <c r="AA449" i="40"/>
  <c r="AE449" i="40"/>
  <c r="AB449" i="40"/>
  <c r="V449" i="40"/>
  <c r="Z449" i="40"/>
  <c r="Q449" i="40"/>
  <c r="AC449" i="40"/>
  <c r="AD449" i="40"/>
  <c r="AF449" i="40"/>
  <c r="U448" i="40"/>
  <c r="Y448" i="40"/>
  <c r="N448" i="40"/>
  <c r="AA448" i="40"/>
  <c r="AE448" i="40"/>
  <c r="AB448" i="40"/>
  <c r="V448" i="40"/>
  <c r="Z448" i="40"/>
  <c r="Q448" i="40"/>
  <c r="AC448" i="40"/>
  <c r="AD448" i="40"/>
  <c r="AF448" i="40"/>
  <c r="U447" i="40"/>
  <c r="Y447" i="40"/>
  <c r="N447" i="40"/>
  <c r="AA447" i="40"/>
  <c r="AE447" i="40"/>
  <c r="AB447" i="40"/>
  <c r="V447" i="40"/>
  <c r="Z447" i="40"/>
  <c r="Q447" i="40"/>
  <c r="AC447" i="40"/>
  <c r="AD447" i="40"/>
  <c r="AF447" i="40"/>
  <c r="U446" i="40"/>
  <c r="Y446" i="40"/>
  <c r="N446" i="40"/>
  <c r="AA446" i="40"/>
  <c r="AE446" i="40"/>
  <c r="AB446" i="40"/>
  <c r="V446" i="40"/>
  <c r="Z446" i="40"/>
  <c r="Q446" i="40"/>
  <c r="AC446" i="40"/>
  <c r="AD446" i="40"/>
  <c r="AF446" i="40"/>
  <c r="U445" i="40"/>
  <c r="Y445" i="40"/>
  <c r="N445" i="40"/>
  <c r="AA445" i="40"/>
  <c r="AE445" i="40"/>
  <c r="AB445" i="40"/>
  <c r="V445" i="40"/>
  <c r="Z445" i="40"/>
  <c r="Q445" i="40"/>
  <c r="AC445" i="40"/>
  <c r="AD445" i="40"/>
  <c r="AF445" i="40"/>
  <c r="U444" i="40"/>
  <c r="Y444" i="40"/>
  <c r="N444" i="40"/>
  <c r="AA444" i="40"/>
  <c r="AE444" i="40"/>
  <c r="AB444" i="40"/>
  <c r="V444" i="40"/>
  <c r="Z444" i="40"/>
  <c r="Q444" i="40"/>
  <c r="AC444" i="40"/>
  <c r="AD444" i="40"/>
  <c r="AF444" i="40"/>
  <c r="U443" i="40"/>
  <c r="Y443" i="40"/>
  <c r="N443" i="40"/>
  <c r="AA443" i="40"/>
  <c r="AE443" i="40"/>
  <c r="AB443" i="40"/>
  <c r="V443" i="40"/>
  <c r="Z443" i="40"/>
  <c r="Q443" i="40"/>
  <c r="AC443" i="40"/>
  <c r="AD443" i="40"/>
  <c r="AF443" i="40"/>
  <c r="U442" i="40"/>
  <c r="Y442" i="40"/>
  <c r="N442" i="40"/>
  <c r="AA442" i="40"/>
  <c r="AE442" i="40"/>
  <c r="AB442" i="40"/>
  <c r="V442" i="40"/>
  <c r="Z442" i="40"/>
  <c r="Q442" i="40"/>
  <c r="AC442" i="40"/>
  <c r="AD442" i="40"/>
  <c r="AF442" i="40"/>
  <c r="U441" i="40"/>
  <c r="Y441" i="40"/>
  <c r="N441" i="40"/>
  <c r="AA441" i="40"/>
  <c r="AE441" i="40"/>
  <c r="AB441" i="40"/>
  <c r="V441" i="40"/>
  <c r="Z441" i="40"/>
  <c r="Q441" i="40"/>
  <c r="AC441" i="40"/>
  <c r="AD441" i="40"/>
  <c r="AF441" i="40"/>
  <c r="U440" i="40"/>
  <c r="Y440" i="40"/>
  <c r="N440" i="40"/>
  <c r="AA440" i="40"/>
  <c r="AE440" i="40"/>
  <c r="AB440" i="40"/>
  <c r="V440" i="40"/>
  <c r="Z440" i="40"/>
  <c r="Q440" i="40"/>
  <c r="AC440" i="40"/>
  <c r="AD440" i="40"/>
  <c r="AF440" i="40"/>
  <c r="U439" i="40"/>
  <c r="Y439" i="40"/>
  <c r="N439" i="40"/>
  <c r="AA439" i="40"/>
  <c r="AE439" i="40"/>
  <c r="AB439" i="40"/>
  <c r="V439" i="40"/>
  <c r="Z439" i="40"/>
  <c r="Q439" i="40"/>
  <c r="AC439" i="40"/>
  <c r="AD439" i="40"/>
  <c r="AF439" i="40"/>
  <c r="U438" i="40"/>
  <c r="Y438" i="40"/>
  <c r="N438" i="40"/>
  <c r="AA438" i="40"/>
  <c r="AE438" i="40"/>
  <c r="AB438" i="40"/>
  <c r="V438" i="40"/>
  <c r="Z438" i="40"/>
  <c r="Q438" i="40"/>
  <c r="AC438" i="40"/>
  <c r="AD438" i="40"/>
  <c r="AF438" i="40"/>
  <c r="U437" i="40"/>
  <c r="Y437" i="40"/>
  <c r="N437" i="40"/>
  <c r="AA437" i="40"/>
  <c r="AE437" i="40"/>
  <c r="AB437" i="40"/>
  <c r="V437" i="40"/>
  <c r="Z437" i="40"/>
  <c r="Q437" i="40"/>
  <c r="AC437" i="40"/>
  <c r="AD437" i="40"/>
  <c r="AF437" i="40"/>
  <c r="U436" i="40"/>
  <c r="Y436" i="40"/>
  <c r="N436" i="40"/>
  <c r="AA436" i="40"/>
  <c r="AE436" i="40"/>
  <c r="AB436" i="40"/>
  <c r="V436" i="40"/>
  <c r="Z436" i="40"/>
  <c r="Q436" i="40"/>
  <c r="AC436" i="40"/>
  <c r="AD436" i="40"/>
  <c r="AF436" i="40"/>
  <c r="U435" i="40"/>
  <c r="Y435" i="40"/>
  <c r="N435" i="40"/>
  <c r="AA435" i="40"/>
  <c r="AE435" i="40"/>
  <c r="AB435" i="40"/>
  <c r="V435" i="40"/>
  <c r="Z435" i="40"/>
  <c r="Q435" i="40"/>
  <c r="AC435" i="40"/>
  <c r="AD435" i="40"/>
  <c r="AF435" i="40"/>
  <c r="U434" i="40"/>
  <c r="Y434" i="40"/>
  <c r="N434" i="40"/>
  <c r="AA434" i="40"/>
  <c r="AE434" i="40"/>
  <c r="AB434" i="40"/>
  <c r="V434" i="40"/>
  <c r="Z434" i="40"/>
  <c r="Q434" i="40"/>
  <c r="AC434" i="40"/>
  <c r="AD434" i="40"/>
  <c r="AF434" i="40"/>
  <c r="U433" i="40"/>
  <c r="Y433" i="40"/>
  <c r="N433" i="40"/>
  <c r="AA433" i="40"/>
  <c r="AE433" i="40"/>
  <c r="AB433" i="40"/>
  <c r="V433" i="40"/>
  <c r="Z433" i="40"/>
  <c r="Q433" i="40"/>
  <c r="AC433" i="40"/>
  <c r="AD433" i="40"/>
  <c r="AF433" i="40"/>
  <c r="U432" i="40"/>
  <c r="Y432" i="40"/>
  <c r="N432" i="40"/>
  <c r="AA432" i="40"/>
  <c r="AE432" i="40"/>
  <c r="AB432" i="40"/>
  <c r="V432" i="40"/>
  <c r="Z432" i="40"/>
  <c r="Q432" i="40"/>
  <c r="AC432" i="40"/>
  <c r="AD432" i="40"/>
  <c r="AF432" i="40"/>
  <c r="U431" i="40"/>
  <c r="Y431" i="40"/>
  <c r="N431" i="40"/>
  <c r="AA431" i="40"/>
  <c r="AE431" i="40"/>
  <c r="AB431" i="40"/>
  <c r="V431" i="40"/>
  <c r="Z431" i="40"/>
  <c r="Q431" i="40"/>
  <c r="AC431" i="40"/>
  <c r="AD431" i="40"/>
  <c r="AF431" i="40"/>
  <c r="U430" i="40"/>
  <c r="Y430" i="40"/>
  <c r="N430" i="40"/>
  <c r="AA430" i="40"/>
  <c r="AE430" i="40"/>
  <c r="AB430" i="40"/>
  <c r="V430" i="40"/>
  <c r="Z430" i="40"/>
  <c r="Q430" i="40"/>
  <c r="AC430" i="40"/>
  <c r="AD430" i="40"/>
  <c r="AF430" i="40"/>
  <c r="U429" i="40"/>
  <c r="Y429" i="40"/>
  <c r="N429" i="40"/>
  <c r="AA429" i="40"/>
  <c r="AE429" i="40"/>
  <c r="AB429" i="40"/>
  <c r="V429" i="40"/>
  <c r="Z429" i="40"/>
  <c r="Q429" i="40"/>
  <c r="AC429" i="40"/>
  <c r="AD429" i="40"/>
  <c r="AF429" i="40"/>
  <c r="U428" i="40"/>
  <c r="Y428" i="40"/>
  <c r="N428" i="40"/>
  <c r="AA428" i="40"/>
  <c r="AE428" i="40"/>
  <c r="AB428" i="40"/>
  <c r="V428" i="40"/>
  <c r="Z428" i="40"/>
  <c r="Q428" i="40"/>
  <c r="AC428" i="40"/>
  <c r="AD428" i="40"/>
  <c r="AF428" i="40"/>
  <c r="U427" i="40"/>
  <c r="Y427" i="40"/>
  <c r="N427" i="40"/>
  <c r="AA427" i="40"/>
  <c r="AE427" i="40"/>
  <c r="AB427" i="40"/>
  <c r="V427" i="40"/>
  <c r="Z427" i="40"/>
  <c r="Q427" i="40"/>
  <c r="AC427" i="40"/>
  <c r="AD427" i="40"/>
  <c r="AF427" i="40"/>
  <c r="U426" i="40"/>
  <c r="Y426" i="40"/>
  <c r="N426" i="40"/>
  <c r="AA426" i="40"/>
  <c r="AE426" i="40"/>
  <c r="AB426" i="40"/>
  <c r="V426" i="40"/>
  <c r="Z426" i="40"/>
  <c r="Q426" i="40"/>
  <c r="AC426" i="40"/>
  <c r="AD426" i="40"/>
  <c r="AF426" i="40"/>
  <c r="U425" i="40"/>
  <c r="Y425" i="40"/>
  <c r="N425" i="40"/>
  <c r="AA425" i="40"/>
  <c r="AE425" i="40"/>
  <c r="AB425" i="40"/>
  <c r="V425" i="40"/>
  <c r="Z425" i="40"/>
  <c r="Q425" i="40"/>
  <c r="AC425" i="40"/>
  <c r="AD425" i="40"/>
  <c r="AF425" i="40"/>
  <c r="U424" i="40"/>
  <c r="Y424" i="40"/>
  <c r="N424" i="40"/>
  <c r="AA424" i="40"/>
  <c r="AE424" i="40"/>
  <c r="AB424" i="40"/>
  <c r="V424" i="40"/>
  <c r="Z424" i="40"/>
  <c r="Q424" i="40"/>
  <c r="AC424" i="40"/>
  <c r="AD424" i="40"/>
  <c r="AF424" i="40"/>
  <c r="U423" i="40"/>
  <c r="Y423" i="40"/>
  <c r="N423" i="40"/>
  <c r="AA423" i="40"/>
  <c r="AE423" i="40"/>
  <c r="AB423" i="40"/>
  <c r="V423" i="40"/>
  <c r="Z423" i="40"/>
  <c r="Q423" i="40"/>
  <c r="AC423" i="40"/>
  <c r="AD423" i="40"/>
  <c r="AF423" i="40"/>
  <c r="U422" i="40"/>
  <c r="Y422" i="40"/>
  <c r="N422" i="40"/>
  <c r="AA422" i="40"/>
  <c r="AE422" i="40"/>
  <c r="AB422" i="40"/>
  <c r="V422" i="40"/>
  <c r="Z422" i="40"/>
  <c r="Q422" i="40"/>
  <c r="AC422" i="40"/>
  <c r="AD422" i="40"/>
  <c r="AF422" i="40"/>
  <c r="U421" i="40"/>
  <c r="Y421" i="40"/>
  <c r="N421" i="40"/>
  <c r="AA421" i="40"/>
  <c r="AE421" i="40"/>
  <c r="AB421" i="40"/>
  <c r="V421" i="40"/>
  <c r="Z421" i="40"/>
  <c r="Q421" i="40"/>
  <c r="AC421" i="40"/>
  <c r="AD421" i="40"/>
  <c r="AF421" i="40"/>
  <c r="U420" i="40"/>
  <c r="Y420" i="40"/>
  <c r="N420" i="40"/>
  <c r="AA420" i="40"/>
  <c r="AE420" i="40"/>
  <c r="AB420" i="40"/>
  <c r="V420" i="40"/>
  <c r="Z420" i="40"/>
  <c r="Q420" i="40"/>
  <c r="AC420" i="40"/>
  <c r="AD420" i="40"/>
  <c r="AF420" i="40"/>
  <c r="U419" i="40"/>
  <c r="Y419" i="40"/>
  <c r="N419" i="40"/>
  <c r="AA419" i="40"/>
  <c r="AE419" i="40"/>
  <c r="AB419" i="40"/>
  <c r="V419" i="40"/>
  <c r="Z419" i="40"/>
  <c r="Q419" i="40"/>
  <c r="AC419" i="40"/>
  <c r="AD419" i="40"/>
  <c r="AF419" i="40"/>
  <c r="U418" i="40"/>
  <c r="Y418" i="40"/>
  <c r="N418" i="40"/>
  <c r="AA418" i="40"/>
  <c r="AE418" i="40"/>
  <c r="AB418" i="40"/>
  <c r="V418" i="40"/>
  <c r="Z418" i="40"/>
  <c r="Q418" i="40"/>
  <c r="AC418" i="40"/>
  <c r="AD418" i="40"/>
  <c r="AF418" i="40"/>
  <c r="U417" i="40"/>
  <c r="Y417" i="40"/>
  <c r="N417" i="40"/>
  <c r="AA417" i="40"/>
  <c r="AE417" i="40"/>
  <c r="AB417" i="40"/>
  <c r="V417" i="40"/>
  <c r="Z417" i="40"/>
  <c r="Q417" i="40"/>
  <c r="AC417" i="40"/>
  <c r="AD417" i="40"/>
  <c r="AF417" i="40"/>
  <c r="U416" i="40"/>
  <c r="Y416" i="40"/>
  <c r="N416" i="40"/>
  <c r="AA416" i="40"/>
  <c r="AE416" i="40"/>
  <c r="AB416" i="40"/>
  <c r="V416" i="40"/>
  <c r="Z416" i="40"/>
  <c r="Q416" i="40"/>
  <c r="AC416" i="40"/>
  <c r="AD416" i="40"/>
  <c r="AF416" i="40"/>
  <c r="U415" i="40"/>
  <c r="Y415" i="40"/>
  <c r="N415" i="40"/>
  <c r="AA415" i="40"/>
  <c r="AE415" i="40"/>
  <c r="AB415" i="40"/>
  <c r="V415" i="40"/>
  <c r="Z415" i="40"/>
  <c r="Q415" i="40"/>
  <c r="AC415" i="40"/>
  <c r="AD415" i="40"/>
  <c r="AF415" i="40"/>
  <c r="U414" i="40"/>
  <c r="Y414" i="40"/>
  <c r="N414" i="40"/>
  <c r="AA414" i="40"/>
  <c r="AE414" i="40"/>
  <c r="AB414" i="40"/>
  <c r="V414" i="40"/>
  <c r="Z414" i="40"/>
  <c r="Q414" i="40"/>
  <c r="AC414" i="40"/>
  <c r="AD414" i="40"/>
  <c r="AF414" i="40"/>
  <c r="U413" i="40"/>
  <c r="Y413" i="40"/>
  <c r="N413" i="40"/>
  <c r="AA413" i="40"/>
  <c r="AE413" i="40"/>
  <c r="AB413" i="40"/>
  <c r="V413" i="40"/>
  <c r="Z413" i="40"/>
  <c r="Q413" i="40"/>
  <c r="AC413" i="40"/>
  <c r="AD413" i="40"/>
  <c r="AF413" i="40"/>
  <c r="U412" i="40"/>
  <c r="Y412" i="40"/>
  <c r="N412" i="40"/>
  <c r="AA412" i="40"/>
  <c r="AE412" i="40"/>
  <c r="AB412" i="40"/>
  <c r="V412" i="40"/>
  <c r="Z412" i="40"/>
  <c r="Q412" i="40"/>
  <c r="AC412" i="40"/>
  <c r="AD412" i="40"/>
  <c r="AF412" i="40"/>
  <c r="U411" i="40"/>
  <c r="Y411" i="40"/>
  <c r="N411" i="40"/>
  <c r="AA411" i="40"/>
  <c r="AE411" i="40"/>
  <c r="AB411" i="40"/>
  <c r="V411" i="40"/>
  <c r="Z411" i="40"/>
  <c r="Q411" i="40"/>
  <c r="AC411" i="40"/>
  <c r="AD411" i="40"/>
  <c r="AF411" i="40"/>
  <c r="U410" i="40"/>
  <c r="Y410" i="40"/>
  <c r="N410" i="40"/>
  <c r="AA410" i="40"/>
  <c r="AE410" i="40"/>
  <c r="AB410" i="40"/>
  <c r="V410" i="40"/>
  <c r="Z410" i="40"/>
  <c r="Q410" i="40"/>
  <c r="AC410" i="40"/>
  <c r="AD410" i="40"/>
  <c r="AF410" i="40"/>
  <c r="U409" i="40"/>
  <c r="Y409" i="40"/>
  <c r="N409" i="40"/>
  <c r="AA409" i="40"/>
  <c r="AE409" i="40"/>
  <c r="AB409" i="40"/>
  <c r="V409" i="40"/>
  <c r="Z409" i="40"/>
  <c r="Q409" i="40"/>
  <c r="AC409" i="40"/>
  <c r="AD409" i="40"/>
  <c r="AF409" i="40"/>
  <c r="U408" i="40"/>
  <c r="Y408" i="40"/>
  <c r="N408" i="40"/>
  <c r="AA408" i="40"/>
  <c r="AE408" i="40"/>
  <c r="AB408" i="40"/>
  <c r="V408" i="40"/>
  <c r="Z408" i="40"/>
  <c r="Q408" i="40"/>
  <c r="AC408" i="40"/>
  <c r="AD408" i="40"/>
  <c r="AF408" i="40"/>
  <c r="U407" i="40"/>
  <c r="Y407" i="40"/>
  <c r="N407" i="40"/>
  <c r="AA407" i="40"/>
  <c r="AE407" i="40"/>
  <c r="AB407" i="40"/>
  <c r="V407" i="40"/>
  <c r="Z407" i="40"/>
  <c r="Q407" i="40"/>
  <c r="AC407" i="40"/>
  <c r="AD407" i="40"/>
  <c r="AF407" i="40"/>
  <c r="U406" i="40"/>
  <c r="Y406" i="40"/>
  <c r="N406" i="40"/>
  <c r="AA406" i="40"/>
  <c r="AE406" i="40"/>
  <c r="AB406" i="40"/>
  <c r="V406" i="40"/>
  <c r="Z406" i="40"/>
  <c r="Q406" i="40"/>
  <c r="AC406" i="40"/>
  <c r="AD406" i="40"/>
  <c r="AF406" i="40"/>
  <c r="U405" i="40"/>
  <c r="Y405" i="40"/>
  <c r="N405" i="40"/>
  <c r="AA405" i="40"/>
  <c r="AE405" i="40"/>
  <c r="AB405" i="40"/>
  <c r="V405" i="40"/>
  <c r="Z405" i="40"/>
  <c r="Q405" i="40"/>
  <c r="AC405" i="40"/>
  <c r="AD405" i="40"/>
  <c r="AF405" i="40"/>
  <c r="U404" i="40"/>
  <c r="Y404" i="40"/>
  <c r="N404" i="40"/>
  <c r="AA404" i="40"/>
  <c r="AE404" i="40"/>
  <c r="AB404" i="40"/>
  <c r="V404" i="40"/>
  <c r="Z404" i="40"/>
  <c r="Q404" i="40"/>
  <c r="AC404" i="40"/>
  <c r="AD404" i="40"/>
  <c r="AF404" i="40"/>
  <c r="U403" i="40"/>
  <c r="Y403" i="40"/>
  <c r="N403" i="40"/>
  <c r="AA403" i="40"/>
  <c r="AE403" i="40"/>
  <c r="AB403" i="40"/>
  <c r="V403" i="40"/>
  <c r="Z403" i="40"/>
  <c r="Q403" i="40"/>
  <c r="AC403" i="40"/>
  <c r="AD403" i="40"/>
  <c r="AF403" i="40"/>
  <c r="U402" i="40"/>
  <c r="Y402" i="40"/>
  <c r="N402" i="40"/>
  <c r="AA402" i="40"/>
  <c r="AE402" i="40"/>
  <c r="AB402" i="40"/>
  <c r="V402" i="40"/>
  <c r="Z402" i="40"/>
  <c r="Q402" i="40"/>
  <c r="AC402" i="40"/>
  <c r="AD402" i="40"/>
  <c r="AF402" i="40"/>
  <c r="U401" i="40"/>
  <c r="Y401" i="40"/>
  <c r="N401" i="40"/>
  <c r="AA401" i="40"/>
  <c r="AE401" i="40"/>
  <c r="AB401" i="40"/>
  <c r="V401" i="40"/>
  <c r="Z401" i="40"/>
  <c r="Q401" i="40"/>
  <c r="AC401" i="40"/>
  <c r="AD401" i="40"/>
  <c r="AF401" i="40"/>
  <c r="U400" i="40"/>
  <c r="Y400" i="40"/>
  <c r="N400" i="40"/>
  <c r="AA400" i="40"/>
  <c r="AE400" i="40"/>
  <c r="AB400" i="40"/>
  <c r="V400" i="40"/>
  <c r="Z400" i="40"/>
  <c r="Q400" i="40"/>
  <c r="AC400" i="40"/>
  <c r="AD400" i="40"/>
  <c r="AF400" i="40"/>
  <c r="U399" i="40"/>
  <c r="Y399" i="40"/>
  <c r="N399" i="40"/>
  <c r="AA399" i="40"/>
  <c r="AE399" i="40"/>
  <c r="AB399" i="40"/>
  <c r="V399" i="40"/>
  <c r="Z399" i="40"/>
  <c r="Q399" i="40"/>
  <c r="AC399" i="40"/>
  <c r="AD399" i="40"/>
  <c r="AF399" i="40"/>
  <c r="U398" i="40"/>
  <c r="Y398" i="40"/>
  <c r="N398" i="40"/>
  <c r="AA398" i="40"/>
  <c r="AE398" i="40"/>
  <c r="AB398" i="40"/>
  <c r="V398" i="40"/>
  <c r="Z398" i="40"/>
  <c r="Q398" i="40"/>
  <c r="AC398" i="40"/>
  <c r="AD398" i="40"/>
  <c r="AF398" i="40"/>
  <c r="U397" i="40"/>
  <c r="Y397" i="40"/>
  <c r="N397" i="40"/>
  <c r="AA397" i="40"/>
  <c r="AE397" i="40"/>
  <c r="AB397" i="40"/>
  <c r="V397" i="40"/>
  <c r="Z397" i="40"/>
  <c r="Q397" i="40"/>
  <c r="AC397" i="40"/>
  <c r="AD397" i="40"/>
  <c r="AF397" i="40"/>
  <c r="U396" i="40"/>
  <c r="Y396" i="40"/>
  <c r="N396" i="40"/>
  <c r="AA396" i="40"/>
  <c r="AE396" i="40"/>
  <c r="AB396" i="40"/>
  <c r="V396" i="40"/>
  <c r="Z396" i="40"/>
  <c r="Q396" i="40"/>
  <c r="AC396" i="40"/>
  <c r="AD396" i="40"/>
  <c r="AF396" i="40"/>
  <c r="U395" i="40"/>
  <c r="Y395" i="40"/>
  <c r="N395" i="40"/>
  <c r="AA395" i="40"/>
  <c r="AE395" i="40"/>
  <c r="AB395" i="40"/>
  <c r="V395" i="40"/>
  <c r="Z395" i="40"/>
  <c r="Q395" i="40"/>
  <c r="AC395" i="40"/>
  <c r="AD395" i="40"/>
  <c r="AF395" i="40"/>
  <c r="U394" i="40"/>
  <c r="Y394" i="40"/>
  <c r="N394" i="40"/>
  <c r="AA394" i="40"/>
  <c r="AE394" i="40"/>
  <c r="AB394" i="40"/>
  <c r="V394" i="40"/>
  <c r="Z394" i="40"/>
  <c r="Q394" i="40"/>
  <c r="AC394" i="40"/>
  <c r="AD394" i="40"/>
  <c r="AF394" i="40"/>
  <c r="U393" i="40"/>
  <c r="Y393" i="40"/>
  <c r="N393" i="40"/>
  <c r="AA393" i="40"/>
  <c r="AE393" i="40"/>
  <c r="AB393" i="40"/>
  <c r="V393" i="40"/>
  <c r="Z393" i="40"/>
  <c r="Q393" i="40"/>
  <c r="AC393" i="40"/>
  <c r="AD393" i="40"/>
  <c r="AF393" i="40"/>
  <c r="U392" i="40"/>
  <c r="Y392" i="40"/>
  <c r="N392" i="40"/>
  <c r="AA392" i="40"/>
  <c r="AE392" i="40"/>
  <c r="AB392" i="40"/>
  <c r="V392" i="40"/>
  <c r="Z392" i="40"/>
  <c r="Q392" i="40"/>
  <c r="AC392" i="40"/>
  <c r="AD392" i="40"/>
  <c r="AF392" i="40"/>
  <c r="U391" i="40"/>
  <c r="Y391" i="40"/>
  <c r="N391" i="40"/>
  <c r="AA391" i="40"/>
  <c r="AE391" i="40"/>
  <c r="AB391" i="40"/>
  <c r="V391" i="40"/>
  <c r="Z391" i="40"/>
  <c r="Q391" i="40"/>
  <c r="AC391" i="40"/>
  <c r="AD391" i="40"/>
  <c r="AF391" i="40"/>
  <c r="U390" i="40"/>
  <c r="Y390" i="40"/>
  <c r="N390" i="40"/>
  <c r="AA390" i="40"/>
  <c r="AE390" i="40"/>
  <c r="AB390" i="40"/>
  <c r="V390" i="40"/>
  <c r="Z390" i="40"/>
  <c r="Q390" i="40"/>
  <c r="AC390" i="40"/>
  <c r="AD390" i="40"/>
  <c r="AF390" i="40"/>
  <c r="U389" i="40"/>
  <c r="Y389" i="40"/>
  <c r="N389" i="40"/>
  <c r="AA389" i="40"/>
  <c r="AE389" i="40"/>
  <c r="AB389" i="40"/>
  <c r="V389" i="40"/>
  <c r="Z389" i="40"/>
  <c r="Q389" i="40"/>
  <c r="AC389" i="40"/>
  <c r="AD389" i="40"/>
  <c r="AF389" i="40"/>
  <c r="U388" i="40"/>
  <c r="Y388" i="40"/>
  <c r="N388" i="40"/>
  <c r="AA388" i="40"/>
  <c r="AE388" i="40"/>
  <c r="AB388" i="40"/>
  <c r="V388" i="40"/>
  <c r="Z388" i="40"/>
  <c r="Q388" i="40"/>
  <c r="AC388" i="40"/>
  <c r="AD388" i="40"/>
  <c r="AF388" i="40"/>
  <c r="U387" i="40"/>
  <c r="Y387" i="40"/>
  <c r="N387" i="40"/>
  <c r="AA387" i="40"/>
  <c r="AE387" i="40"/>
  <c r="AB387" i="40"/>
  <c r="V387" i="40"/>
  <c r="Z387" i="40"/>
  <c r="Q387" i="40"/>
  <c r="AC387" i="40"/>
  <c r="AD387" i="40"/>
  <c r="AF387" i="40"/>
  <c r="U386" i="40"/>
  <c r="Y386" i="40"/>
  <c r="N386" i="40"/>
  <c r="AA386" i="40"/>
  <c r="AE386" i="40"/>
  <c r="AB386" i="40"/>
  <c r="V386" i="40"/>
  <c r="Z386" i="40"/>
  <c r="Q386" i="40"/>
  <c r="AC386" i="40"/>
  <c r="AD386" i="40"/>
  <c r="AF386" i="40"/>
  <c r="U385" i="40"/>
  <c r="Y385" i="40"/>
  <c r="N385" i="40"/>
  <c r="AA385" i="40"/>
  <c r="AE385" i="40"/>
  <c r="AB385" i="40"/>
  <c r="V385" i="40"/>
  <c r="Z385" i="40"/>
  <c r="Q385" i="40"/>
  <c r="AC385" i="40"/>
  <c r="AD385" i="40"/>
  <c r="AF385" i="40"/>
  <c r="U384" i="40"/>
  <c r="Y384" i="40"/>
  <c r="N384" i="40"/>
  <c r="AA384" i="40"/>
  <c r="AE384" i="40"/>
  <c r="AB384" i="40"/>
  <c r="V384" i="40"/>
  <c r="Z384" i="40"/>
  <c r="Q384" i="40"/>
  <c r="AC384" i="40"/>
  <c r="AD384" i="40"/>
  <c r="AF384" i="40"/>
  <c r="U383" i="40"/>
  <c r="Y383" i="40"/>
  <c r="N383" i="40"/>
  <c r="AA383" i="40"/>
  <c r="AE383" i="40"/>
  <c r="AB383" i="40"/>
  <c r="V383" i="40"/>
  <c r="Z383" i="40"/>
  <c r="Q383" i="40"/>
  <c r="AC383" i="40"/>
  <c r="AD383" i="40"/>
  <c r="AF383" i="40"/>
  <c r="U382" i="40"/>
  <c r="Y382" i="40"/>
  <c r="N382" i="40"/>
  <c r="AA382" i="40"/>
  <c r="AE382" i="40"/>
  <c r="AB382" i="40"/>
  <c r="V382" i="40"/>
  <c r="Z382" i="40"/>
  <c r="Q382" i="40"/>
  <c r="AC382" i="40"/>
  <c r="AD382" i="40"/>
  <c r="AF382" i="40"/>
  <c r="U381" i="40"/>
  <c r="Y381" i="40"/>
  <c r="N381" i="40"/>
  <c r="AA381" i="40"/>
  <c r="AE381" i="40"/>
  <c r="AB381" i="40"/>
  <c r="V381" i="40"/>
  <c r="Z381" i="40"/>
  <c r="Q381" i="40"/>
  <c r="AC381" i="40"/>
  <c r="AD381" i="40"/>
  <c r="AF381" i="40"/>
  <c r="U380" i="40"/>
  <c r="Y380" i="40"/>
  <c r="N380" i="40"/>
  <c r="AA380" i="40"/>
  <c r="AE380" i="40"/>
  <c r="AB380" i="40"/>
  <c r="V380" i="40"/>
  <c r="Z380" i="40"/>
  <c r="Q380" i="40"/>
  <c r="AC380" i="40"/>
  <c r="AD380" i="40"/>
  <c r="AF380" i="40"/>
  <c r="U379" i="40"/>
  <c r="Y379" i="40"/>
  <c r="N379" i="40"/>
  <c r="AA379" i="40"/>
  <c r="AE379" i="40"/>
  <c r="AB379" i="40"/>
  <c r="V379" i="40"/>
  <c r="Z379" i="40"/>
  <c r="Q379" i="40"/>
  <c r="AC379" i="40"/>
  <c r="AD379" i="40"/>
  <c r="AF379" i="40"/>
  <c r="U378" i="40"/>
  <c r="Y378" i="40"/>
  <c r="N378" i="40"/>
  <c r="AA378" i="40"/>
  <c r="AE378" i="40"/>
  <c r="AB378" i="40"/>
  <c r="V378" i="40"/>
  <c r="Z378" i="40"/>
  <c r="Q378" i="40"/>
  <c r="AC378" i="40"/>
  <c r="AD378" i="40"/>
  <c r="AF378" i="40"/>
  <c r="U377" i="40"/>
  <c r="Y377" i="40"/>
  <c r="N377" i="40"/>
  <c r="AA377" i="40"/>
  <c r="AE377" i="40"/>
  <c r="AB377" i="40"/>
  <c r="V377" i="40"/>
  <c r="Z377" i="40"/>
  <c r="Q377" i="40"/>
  <c r="AC377" i="40"/>
  <c r="AD377" i="40"/>
  <c r="AF377" i="40"/>
  <c r="U376" i="40"/>
  <c r="Y376" i="40"/>
  <c r="N376" i="40"/>
  <c r="AA376" i="40"/>
  <c r="AE376" i="40"/>
  <c r="AB376" i="40"/>
  <c r="V376" i="40"/>
  <c r="Z376" i="40"/>
  <c r="Q376" i="40"/>
  <c r="AC376" i="40"/>
  <c r="AD376" i="40"/>
  <c r="AF376" i="40"/>
  <c r="U375" i="40"/>
  <c r="Y375" i="40"/>
  <c r="N375" i="40"/>
  <c r="AA375" i="40"/>
  <c r="AE375" i="40"/>
  <c r="AB375" i="40"/>
  <c r="V375" i="40"/>
  <c r="Z375" i="40"/>
  <c r="Q375" i="40"/>
  <c r="AC375" i="40"/>
  <c r="AD375" i="40"/>
  <c r="AF375" i="40"/>
  <c r="U374" i="40"/>
  <c r="Y374" i="40"/>
  <c r="N374" i="40"/>
  <c r="AA374" i="40"/>
  <c r="AE374" i="40"/>
  <c r="AB374" i="40"/>
  <c r="V374" i="40"/>
  <c r="Z374" i="40"/>
  <c r="Q374" i="40"/>
  <c r="AC374" i="40"/>
  <c r="AD374" i="40"/>
  <c r="AF374" i="40"/>
  <c r="U373" i="40"/>
  <c r="Y373" i="40"/>
  <c r="N373" i="40"/>
  <c r="AA373" i="40"/>
  <c r="AE373" i="40"/>
  <c r="AB373" i="40"/>
  <c r="V373" i="40"/>
  <c r="Z373" i="40"/>
  <c r="Q373" i="40"/>
  <c r="AC373" i="40"/>
  <c r="AD373" i="40"/>
  <c r="AF373" i="40"/>
  <c r="U372" i="40"/>
  <c r="Y372" i="40"/>
  <c r="N372" i="40"/>
  <c r="AA372" i="40"/>
  <c r="AE372" i="40"/>
  <c r="AB372" i="40"/>
  <c r="V372" i="40"/>
  <c r="Z372" i="40"/>
  <c r="Q372" i="40"/>
  <c r="AC372" i="40"/>
  <c r="AD372" i="40"/>
  <c r="AF372" i="40"/>
  <c r="U371" i="40"/>
  <c r="Y371" i="40"/>
  <c r="N371" i="40"/>
  <c r="AA371" i="40"/>
  <c r="AE371" i="40"/>
  <c r="AB371" i="40"/>
  <c r="V371" i="40"/>
  <c r="Z371" i="40"/>
  <c r="Q371" i="40"/>
  <c r="AC371" i="40"/>
  <c r="AD371" i="40"/>
  <c r="AF371" i="40"/>
  <c r="U370" i="40"/>
  <c r="Y370" i="40"/>
  <c r="N370" i="40"/>
  <c r="AA370" i="40"/>
  <c r="AE370" i="40"/>
  <c r="AB370" i="40"/>
  <c r="V370" i="40"/>
  <c r="Z370" i="40"/>
  <c r="Q370" i="40"/>
  <c r="AC370" i="40"/>
  <c r="AD370" i="40"/>
  <c r="AF370" i="40"/>
  <c r="U369" i="40"/>
  <c r="Y369" i="40"/>
  <c r="N369" i="40"/>
  <c r="AA369" i="40"/>
  <c r="AE369" i="40"/>
  <c r="AB369" i="40"/>
  <c r="V369" i="40"/>
  <c r="Z369" i="40"/>
  <c r="Q369" i="40"/>
  <c r="AC369" i="40"/>
  <c r="AD369" i="40"/>
  <c r="AF369" i="40"/>
  <c r="U368" i="40"/>
  <c r="Y368" i="40"/>
  <c r="N368" i="40"/>
  <c r="AA368" i="40"/>
  <c r="AE368" i="40"/>
  <c r="AB368" i="40"/>
  <c r="V368" i="40"/>
  <c r="Z368" i="40"/>
  <c r="Q368" i="40"/>
  <c r="AC368" i="40"/>
  <c r="AD368" i="40"/>
  <c r="AF368" i="40"/>
  <c r="U367" i="40"/>
  <c r="Y367" i="40"/>
  <c r="N367" i="40"/>
  <c r="AA367" i="40"/>
  <c r="AE367" i="40"/>
  <c r="AB367" i="40"/>
  <c r="V367" i="40"/>
  <c r="Z367" i="40"/>
  <c r="Q367" i="40"/>
  <c r="AC367" i="40"/>
  <c r="AD367" i="40"/>
  <c r="AF367" i="40"/>
  <c r="U366" i="40"/>
  <c r="Y366" i="40"/>
  <c r="N366" i="40"/>
  <c r="AA366" i="40"/>
  <c r="AE366" i="40"/>
  <c r="AB366" i="40"/>
  <c r="V366" i="40"/>
  <c r="Z366" i="40"/>
  <c r="Q366" i="40"/>
  <c r="AC366" i="40"/>
  <c r="AD366" i="40"/>
  <c r="AF366" i="40"/>
  <c r="U365" i="40"/>
  <c r="Y365" i="40"/>
  <c r="N365" i="40"/>
  <c r="AA365" i="40"/>
  <c r="AE365" i="40"/>
  <c r="AB365" i="40"/>
  <c r="V365" i="40"/>
  <c r="Z365" i="40"/>
  <c r="Q365" i="40"/>
  <c r="AC365" i="40"/>
  <c r="AD365" i="40"/>
  <c r="AF365" i="40"/>
  <c r="U364" i="40"/>
  <c r="Y364" i="40"/>
  <c r="N364" i="40"/>
  <c r="AA364" i="40"/>
  <c r="AE364" i="40"/>
  <c r="AB364" i="40"/>
  <c r="V364" i="40"/>
  <c r="Z364" i="40"/>
  <c r="Q364" i="40"/>
  <c r="AC364" i="40"/>
  <c r="AD364" i="40"/>
  <c r="AF364" i="40"/>
  <c r="U363" i="40"/>
  <c r="Y363" i="40"/>
  <c r="N363" i="40"/>
  <c r="AA363" i="40"/>
  <c r="AE363" i="40"/>
  <c r="AB363" i="40"/>
  <c r="V363" i="40"/>
  <c r="Z363" i="40"/>
  <c r="Q363" i="40"/>
  <c r="AC363" i="40"/>
  <c r="AD363" i="40"/>
  <c r="AF363" i="40"/>
  <c r="U362" i="40"/>
  <c r="Y362" i="40"/>
  <c r="N362" i="40"/>
  <c r="AA362" i="40"/>
  <c r="AE362" i="40"/>
  <c r="AB362" i="40"/>
  <c r="V362" i="40"/>
  <c r="Z362" i="40"/>
  <c r="Q362" i="40"/>
  <c r="AC362" i="40"/>
  <c r="AD362" i="40"/>
  <c r="AF362" i="40"/>
  <c r="U361" i="40"/>
  <c r="Y361" i="40"/>
  <c r="N361" i="40"/>
  <c r="AA361" i="40"/>
  <c r="AE361" i="40"/>
  <c r="AB361" i="40"/>
  <c r="V361" i="40"/>
  <c r="Z361" i="40"/>
  <c r="Q361" i="40"/>
  <c r="AC361" i="40"/>
  <c r="AD361" i="40"/>
  <c r="AF361" i="40"/>
  <c r="U360" i="40"/>
  <c r="Y360" i="40"/>
  <c r="N360" i="40"/>
  <c r="AA360" i="40"/>
  <c r="AE360" i="40"/>
  <c r="AB360" i="40"/>
  <c r="V360" i="40"/>
  <c r="Z360" i="40"/>
  <c r="Q360" i="40"/>
  <c r="AC360" i="40"/>
  <c r="AD360" i="40"/>
  <c r="AF360" i="40"/>
  <c r="U359" i="40"/>
  <c r="Y359" i="40"/>
  <c r="N359" i="40"/>
  <c r="AA359" i="40"/>
  <c r="AE359" i="40"/>
  <c r="AB359" i="40"/>
  <c r="V359" i="40"/>
  <c r="Z359" i="40"/>
  <c r="Q359" i="40"/>
  <c r="AC359" i="40"/>
  <c r="AD359" i="40"/>
  <c r="AF359" i="40"/>
  <c r="U358" i="40"/>
  <c r="Y358" i="40"/>
  <c r="N358" i="40"/>
  <c r="AA358" i="40"/>
  <c r="AE358" i="40"/>
  <c r="AB358" i="40"/>
  <c r="V358" i="40"/>
  <c r="Z358" i="40"/>
  <c r="Q358" i="40"/>
  <c r="AC358" i="40"/>
  <c r="AD358" i="40"/>
  <c r="AF358" i="40"/>
  <c r="U357" i="40"/>
  <c r="Y357" i="40"/>
  <c r="N357" i="40"/>
  <c r="AA357" i="40"/>
  <c r="AE357" i="40"/>
  <c r="AB357" i="40"/>
  <c r="V357" i="40"/>
  <c r="Z357" i="40"/>
  <c r="Q357" i="40"/>
  <c r="AC357" i="40"/>
  <c r="AD357" i="40"/>
  <c r="AF357" i="40"/>
  <c r="U356" i="40"/>
  <c r="Y356" i="40"/>
  <c r="N356" i="40"/>
  <c r="AA356" i="40"/>
  <c r="AE356" i="40"/>
  <c r="AB356" i="40"/>
  <c r="V356" i="40"/>
  <c r="Z356" i="40"/>
  <c r="Q356" i="40"/>
  <c r="AC356" i="40"/>
  <c r="AD356" i="40"/>
  <c r="AF356" i="40"/>
  <c r="U355" i="40"/>
  <c r="Y355" i="40"/>
  <c r="N355" i="40"/>
  <c r="AA355" i="40"/>
  <c r="AE355" i="40"/>
  <c r="AB355" i="40"/>
  <c r="V355" i="40"/>
  <c r="Z355" i="40"/>
  <c r="Q355" i="40"/>
  <c r="AC355" i="40"/>
  <c r="AD355" i="40"/>
  <c r="AF355" i="40"/>
  <c r="U354" i="40"/>
  <c r="Y354" i="40"/>
  <c r="N354" i="40"/>
  <c r="AA354" i="40"/>
  <c r="AE354" i="40"/>
  <c r="AB354" i="40"/>
  <c r="V354" i="40"/>
  <c r="Z354" i="40"/>
  <c r="Q354" i="40"/>
  <c r="AC354" i="40"/>
  <c r="AD354" i="40"/>
  <c r="AF354" i="40"/>
  <c r="U353" i="40"/>
  <c r="Y353" i="40"/>
  <c r="N353" i="40"/>
  <c r="AA353" i="40"/>
  <c r="AE353" i="40"/>
  <c r="AB353" i="40"/>
  <c r="V353" i="40"/>
  <c r="Z353" i="40"/>
  <c r="Q353" i="40"/>
  <c r="AC353" i="40"/>
  <c r="AD353" i="40"/>
  <c r="AF353" i="40"/>
  <c r="U352" i="40"/>
  <c r="Y352" i="40"/>
  <c r="N352" i="40"/>
  <c r="AA352" i="40"/>
  <c r="AE352" i="40"/>
  <c r="AB352" i="40"/>
  <c r="V352" i="40"/>
  <c r="Z352" i="40"/>
  <c r="Q352" i="40"/>
  <c r="AC352" i="40"/>
  <c r="AD352" i="40"/>
  <c r="AF352" i="40"/>
  <c r="U351" i="40"/>
  <c r="Y351" i="40"/>
  <c r="N351" i="40"/>
  <c r="AA351" i="40"/>
  <c r="AE351" i="40"/>
  <c r="AB351" i="40"/>
  <c r="V351" i="40"/>
  <c r="Z351" i="40"/>
  <c r="Q351" i="40"/>
  <c r="AC351" i="40"/>
  <c r="AD351" i="40"/>
  <c r="AF351" i="40"/>
  <c r="U350" i="40"/>
  <c r="Y350" i="40"/>
  <c r="N350" i="40"/>
  <c r="AA350" i="40"/>
  <c r="AE350" i="40"/>
  <c r="AB350" i="40"/>
  <c r="V350" i="40"/>
  <c r="Z350" i="40"/>
  <c r="Q350" i="40"/>
  <c r="AC350" i="40"/>
  <c r="AD350" i="40"/>
  <c r="AF350" i="40"/>
  <c r="U349" i="40"/>
  <c r="Y349" i="40"/>
  <c r="N349" i="40"/>
  <c r="AA349" i="40"/>
  <c r="AE349" i="40"/>
  <c r="AB349" i="40"/>
  <c r="V349" i="40"/>
  <c r="Z349" i="40"/>
  <c r="Q349" i="40"/>
  <c r="AC349" i="40"/>
  <c r="AD349" i="40"/>
  <c r="AF349" i="40"/>
  <c r="U348" i="40"/>
  <c r="Y348" i="40"/>
  <c r="N348" i="40"/>
  <c r="AA348" i="40"/>
  <c r="AE348" i="40"/>
  <c r="AB348" i="40"/>
  <c r="V348" i="40"/>
  <c r="Z348" i="40"/>
  <c r="Q348" i="40"/>
  <c r="AC348" i="40"/>
  <c r="AD348" i="40"/>
  <c r="AF348" i="40"/>
  <c r="U347" i="40"/>
  <c r="Y347" i="40"/>
  <c r="N347" i="40"/>
  <c r="AA347" i="40"/>
  <c r="AE347" i="40"/>
  <c r="AB347" i="40"/>
  <c r="V347" i="40"/>
  <c r="Z347" i="40"/>
  <c r="Q347" i="40"/>
  <c r="AC347" i="40"/>
  <c r="AD347" i="40"/>
  <c r="AF347" i="40"/>
  <c r="U346" i="40"/>
  <c r="Y346" i="40"/>
  <c r="N346" i="40"/>
  <c r="AA346" i="40"/>
  <c r="AE346" i="40"/>
  <c r="AB346" i="40"/>
  <c r="V346" i="40"/>
  <c r="Z346" i="40"/>
  <c r="Q346" i="40"/>
  <c r="AC346" i="40"/>
  <c r="AD346" i="40"/>
  <c r="AF346" i="40"/>
  <c r="U345" i="40"/>
  <c r="Y345" i="40"/>
  <c r="N345" i="40"/>
  <c r="AA345" i="40"/>
  <c r="AE345" i="40"/>
  <c r="AB345" i="40"/>
  <c r="V345" i="40"/>
  <c r="Z345" i="40"/>
  <c r="Q345" i="40"/>
  <c r="AC345" i="40"/>
  <c r="AD345" i="40"/>
  <c r="AF345" i="40"/>
  <c r="U344" i="40"/>
  <c r="Y344" i="40"/>
  <c r="N344" i="40"/>
  <c r="AA344" i="40"/>
  <c r="AE344" i="40"/>
  <c r="AB344" i="40"/>
  <c r="V344" i="40"/>
  <c r="Z344" i="40"/>
  <c r="Q344" i="40"/>
  <c r="AC344" i="40"/>
  <c r="AD344" i="40"/>
  <c r="AF344" i="40"/>
  <c r="U343" i="40"/>
  <c r="Y343" i="40"/>
  <c r="N343" i="40"/>
  <c r="AA343" i="40"/>
  <c r="AE343" i="40"/>
  <c r="AB343" i="40"/>
  <c r="V343" i="40"/>
  <c r="Z343" i="40"/>
  <c r="Q343" i="40"/>
  <c r="AC343" i="40"/>
  <c r="AD343" i="40"/>
  <c r="AF343" i="40"/>
  <c r="U342" i="40"/>
  <c r="Y342" i="40"/>
  <c r="N342" i="40"/>
  <c r="AA342" i="40"/>
  <c r="AE342" i="40"/>
  <c r="AB342" i="40"/>
  <c r="V342" i="40"/>
  <c r="Z342" i="40"/>
  <c r="Q342" i="40"/>
  <c r="AC342" i="40"/>
  <c r="AD342" i="40"/>
  <c r="AF342" i="40"/>
  <c r="U341" i="40"/>
  <c r="Y341" i="40"/>
  <c r="N341" i="40"/>
  <c r="AA341" i="40"/>
  <c r="AE341" i="40"/>
  <c r="AB341" i="40"/>
  <c r="V341" i="40"/>
  <c r="Z341" i="40"/>
  <c r="Q341" i="40"/>
  <c r="AC341" i="40"/>
  <c r="AD341" i="40"/>
  <c r="AF341" i="40"/>
  <c r="U340" i="40"/>
  <c r="Y340" i="40"/>
  <c r="N340" i="40"/>
  <c r="AA340" i="40"/>
  <c r="AE340" i="40"/>
  <c r="AB340" i="40"/>
  <c r="V340" i="40"/>
  <c r="Z340" i="40"/>
  <c r="Q340" i="40"/>
  <c r="AC340" i="40"/>
  <c r="AD340" i="40"/>
  <c r="AF340" i="40"/>
  <c r="U339" i="40"/>
  <c r="Y339" i="40"/>
  <c r="N339" i="40"/>
  <c r="AA339" i="40"/>
  <c r="AE339" i="40"/>
  <c r="AB339" i="40"/>
  <c r="V339" i="40"/>
  <c r="Z339" i="40"/>
  <c r="Q339" i="40"/>
  <c r="AC339" i="40"/>
  <c r="AD339" i="40"/>
  <c r="AF339" i="40"/>
  <c r="U338" i="40"/>
  <c r="Y338" i="40"/>
  <c r="N338" i="40"/>
  <c r="AA338" i="40"/>
  <c r="AE338" i="40"/>
  <c r="AB338" i="40"/>
  <c r="V338" i="40"/>
  <c r="Z338" i="40"/>
  <c r="Q338" i="40"/>
  <c r="AC338" i="40"/>
  <c r="AD338" i="40"/>
  <c r="AF338" i="40"/>
  <c r="U337" i="40"/>
  <c r="Y337" i="40"/>
  <c r="N337" i="40"/>
  <c r="AA337" i="40"/>
  <c r="AE337" i="40"/>
  <c r="AB337" i="40"/>
  <c r="V337" i="40"/>
  <c r="Z337" i="40"/>
  <c r="Q337" i="40"/>
  <c r="AC337" i="40"/>
  <c r="AD337" i="40"/>
  <c r="AF337" i="40"/>
  <c r="U336" i="40"/>
  <c r="Y336" i="40"/>
  <c r="N336" i="40"/>
  <c r="AA336" i="40"/>
  <c r="AE336" i="40"/>
  <c r="AB336" i="40"/>
  <c r="V336" i="40"/>
  <c r="Z336" i="40"/>
  <c r="Q336" i="40"/>
  <c r="AC336" i="40"/>
  <c r="AD336" i="40"/>
  <c r="AF336" i="40"/>
  <c r="U335" i="40"/>
  <c r="Y335" i="40"/>
  <c r="N335" i="40"/>
  <c r="AA335" i="40"/>
  <c r="AE335" i="40"/>
  <c r="AB335" i="40"/>
  <c r="V335" i="40"/>
  <c r="Z335" i="40"/>
  <c r="Q335" i="40"/>
  <c r="AC335" i="40"/>
  <c r="AD335" i="40"/>
  <c r="AF335" i="40"/>
  <c r="U334" i="40"/>
  <c r="Y334" i="40"/>
  <c r="N334" i="40"/>
  <c r="AA334" i="40"/>
  <c r="AE334" i="40"/>
  <c r="AB334" i="40"/>
  <c r="V334" i="40"/>
  <c r="Z334" i="40"/>
  <c r="Q334" i="40"/>
  <c r="AC334" i="40"/>
  <c r="AD334" i="40"/>
  <c r="AF334" i="40"/>
  <c r="U333" i="40"/>
  <c r="Y333" i="40"/>
  <c r="N333" i="40"/>
  <c r="AA333" i="40"/>
  <c r="AE333" i="40"/>
  <c r="AB333" i="40"/>
  <c r="V333" i="40"/>
  <c r="Z333" i="40"/>
  <c r="Q333" i="40"/>
  <c r="AC333" i="40"/>
  <c r="AD333" i="40"/>
  <c r="AF333" i="40"/>
  <c r="U332" i="40"/>
  <c r="Y332" i="40"/>
  <c r="N332" i="40"/>
  <c r="AA332" i="40"/>
  <c r="AE332" i="40"/>
  <c r="AB332" i="40"/>
  <c r="V332" i="40"/>
  <c r="Z332" i="40"/>
  <c r="Q332" i="40"/>
  <c r="AC332" i="40"/>
  <c r="AD332" i="40"/>
  <c r="AF332" i="40"/>
  <c r="U331" i="40"/>
  <c r="Y331" i="40"/>
  <c r="N331" i="40"/>
  <c r="AA331" i="40"/>
  <c r="AE331" i="40"/>
  <c r="AB331" i="40"/>
  <c r="V331" i="40"/>
  <c r="Z331" i="40"/>
  <c r="Q331" i="40"/>
  <c r="AC331" i="40"/>
  <c r="AD331" i="40"/>
  <c r="AF331" i="40"/>
  <c r="U330" i="40"/>
  <c r="Y330" i="40"/>
  <c r="N330" i="40"/>
  <c r="AA330" i="40"/>
  <c r="AE330" i="40"/>
  <c r="AB330" i="40"/>
  <c r="V330" i="40"/>
  <c r="Z330" i="40"/>
  <c r="Q330" i="40"/>
  <c r="AC330" i="40"/>
  <c r="AD330" i="40"/>
  <c r="AF330" i="40"/>
  <c r="U329" i="40"/>
  <c r="Y329" i="40"/>
  <c r="N329" i="40"/>
  <c r="AA329" i="40"/>
  <c r="AE329" i="40"/>
  <c r="AB329" i="40"/>
  <c r="V329" i="40"/>
  <c r="Z329" i="40"/>
  <c r="Q329" i="40"/>
  <c r="AC329" i="40"/>
  <c r="AD329" i="40"/>
  <c r="AF329" i="40"/>
  <c r="U328" i="40"/>
  <c r="Y328" i="40"/>
  <c r="N328" i="40"/>
  <c r="AA328" i="40"/>
  <c r="AE328" i="40"/>
  <c r="AB328" i="40"/>
  <c r="V328" i="40"/>
  <c r="Z328" i="40"/>
  <c r="Q328" i="40"/>
  <c r="AC328" i="40"/>
  <c r="AD328" i="40"/>
  <c r="AF328" i="40"/>
  <c r="U327" i="40"/>
  <c r="Y327" i="40"/>
  <c r="N327" i="40"/>
  <c r="AA327" i="40"/>
  <c r="AE327" i="40"/>
  <c r="AB327" i="40"/>
  <c r="V327" i="40"/>
  <c r="Z327" i="40"/>
  <c r="Q327" i="40"/>
  <c r="AC327" i="40"/>
  <c r="AD327" i="40"/>
  <c r="AF327" i="40"/>
  <c r="U326" i="40"/>
  <c r="Y326" i="40"/>
  <c r="N326" i="40"/>
  <c r="AA326" i="40"/>
  <c r="AE326" i="40"/>
  <c r="AB326" i="40"/>
  <c r="V326" i="40"/>
  <c r="Z326" i="40"/>
  <c r="Q326" i="40"/>
  <c r="AC326" i="40"/>
  <c r="AD326" i="40"/>
  <c r="AF326" i="40"/>
  <c r="U325" i="40"/>
  <c r="Y325" i="40"/>
  <c r="N325" i="40"/>
  <c r="AA325" i="40"/>
  <c r="AE325" i="40"/>
  <c r="AB325" i="40"/>
  <c r="V325" i="40"/>
  <c r="Z325" i="40"/>
  <c r="Q325" i="40"/>
  <c r="AC325" i="40"/>
  <c r="AD325" i="40"/>
  <c r="AF325" i="40"/>
  <c r="U324" i="40"/>
  <c r="Y324" i="40"/>
  <c r="N324" i="40"/>
  <c r="AA324" i="40"/>
  <c r="AE324" i="40"/>
  <c r="AB324" i="40"/>
  <c r="V324" i="40"/>
  <c r="Z324" i="40"/>
  <c r="Q324" i="40"/>
  <c r="AC324" i="40"/>
  <c r="AD324" i="40"/>
  <c r="AF324" i="40"/>
  <c r="U323" i="40"/>
  <c r="Y323" i="40"/>
  <c r="N323" i="40"/>
  <c r="AA323" i="40"/>
  <c r="AE323" i="40"/>
  <c r="AB323" i="40"/>
  <c r="V323" i="40"/>
  <c r="Z323" i="40"/>
  <c r="Q323" i="40"/>
  <c r="AC323" i="40"/>
  <c r="AD323" i="40"/>
  <c r="AF323" i="40"/>
  <c r="U322" i="40"/>
  <c r="Y322" i="40"/>
  <c r="N322" i="40"/>
  <c r="AA322" i="40"/>
  <c r="AE322" i="40"/>
  <c r="AB322" i="40"/>
  <c r="V322" i="40"/>
  <c r="Z322" i="40"/>
  <c r="Q322" i="40"/>
  <c r="AC322" i="40"/>
  <c r="AD322" i="40"/>
  <c r="AF322" i="40"/>
  <c r="U321" i="40"/>
  <c r="Y321" i="40"/>
  <c r="N321" i="40"/>
  <c r="AA321" i="40"/>
  <c r="AE321" i="40"/>
  <c r="AB321" i="40"/>
  <c r="V321" i="40"/>
  <c r="Z321" i="40"/>
  <c r="Q321" i="40"/>
  <c r="AC321" i="40"/>
  <c r="AD321" i="40"/>
  <c r="AF321" i="40"/>
  <c r="U320" i="40"/>
  <c r="Y320" i="40"/>
  <c r="N320" i="40"/>
  <c r="AA320" i="40"/>
  <c r="AE320" i="40"/>
  <c r="AB320" i="40"/>
  <c r="V320" i="40"/>
  <c r="Z320" i="40"/>
  <c r="Q320" i="40"/>
  <c r="AC320" i="40"/>
  <c r="AD320" i="40"/>
  <c r="AF320" i="40"/>
  <c r="U319" i="40"/>
  <c r="Y319" i="40"/>
  <c r="N319" i="40"/>
  <c r="AA319" i="40"/>
  <c r="AE319" i="40"/>
  <c r="AB319" i="40"/>
  <c r="V319" i="40"/>
  <c r="Z319" i="40"/>
  <c r="Q319" i="40"/>
  <c r="AC319" i="40"/>
  <c r="AD319" i="40"/>
  <c r="AF319" i="40"/>
  <c r="U318" i="40"/>
  <c r="Y318" i="40"/>
  <c r="N318" i="40"/>
  <c r="AA318" i="40"/>
  <c r="AE318" i="40"/>
  <c r="AB318" i="40"/>
  <c r="V318" i="40"/>
  <c r="Z318" i="40"/>
  <c r="Q318" i="40"/>
  <c r="AC318" i="40"/>
  <c r="AD318" i="40"/>
  <c r="AF318" i="40"/>
  <c r="U317" i="40"/>
  <c r="Y317" i="40"/>
  <c r="N317" i="40"/>
  <c r="AA317" i="40"/>
  <c r="AE317" i="40"/>
  <c r="AB317" i="40"/>
  <c r="V317" i="40"/>
  <c r="Z317" i="40"/>
  <c r="Q317" i="40"/>
  <c r="AC317" i="40"/>
  <c r="AD317" i="40"/>
  <c r="AF317" i="40"/>
  <c r="U316" i="40"/>
  <c r="Y316" i="40"/>
  <c r="N316" i="40"/>
  <c r="AA316" i="40"/>
  <c r="AE316" i="40"/>
  <c r="AB316" i="40"/>
  <c r="V316" i="40"/>
  <c r="Z316" i="40"/>
  <c r="Q316" i="40"/>
  <c r="AC316" i="40"/>
  <c r="AD316" i="40"/>
  <c r="AF316" i="40"/>
  <c r="U315" i="40"/>
  <c r="Y315" i="40"/>
  <c r="N315" i="40"/>
  <c r="AA315" i="40"/>
  <c r="AE315" i="40"/>
  <c r="AB315" i="40"/>
  <c r="V315" i="40"/>
  <c r="Z315" i="40"/>
  <c r="Q315" i="40"/>
  <c r="AC315" i="40"/>
  <c r="AD315" i="40"/>
  <c r="AF315" i="40"/>
  <c r="U314" i="40"/>
  <c r="Y314" i="40"/>
  <c r="N314" i="40"/>
  <c r="AA314" i="40"/>
  <c r="AE314" i="40"/>
  <c r="AB314" i="40"/>
  <c r="V314" i="40"/>
  <c r="Z314" i="40"/>
  <c r="Q314" i="40"/>
  <c r="AC314" i="40"/>
  <c r="AD314" i="40"/>
  <c r="AF314" i="40"/>
  <c r="U313" i="40"/>
  <c r="Y313" i="40"/>
  <c r="N313" i="40"/>
  <c r="AA313" i="40"/>
  <c r="AE313" i="40"/>
  <c r="AB313" i="40"/>
  <c r="V313" i="40"/>
  <c r="Z313" i="40"/>
  <c r="Q313" i="40"/>
  <c r="AC313" i="40"/>
  <c r="AD313" i="40"/>
  <c r="AF313" i="40"/>
  <c r="U312" i="40"/>
  <c r="Y312" i="40"/>
  <c r="N312" i="40"/>
  <c r="AA312" i="40"/>
  <c r="AE312" i="40"/>
  <c r="AB312" i="40"/>
  <c r="V312" i="40"/>
  <c r="Z312" i="40"/>
  <c r="Q312" i="40"/>
  <c r="AC312" i="40"/>
  <c r="AD312" i="40"/>
  <c r="AF312" i="40"/>
  <c r="U311" i="40"/>
  <c r="Y311" i="40"/>
  <c r="N311" i="40"/>
  <c r="AA311" i="40"/>
  <c r="AE311" i="40"/>
  <c r="AB311" i="40"/>
  <c r="V311" i="40"/>
  <c r="Z311" i="40"/>
  <c r="Q311" i="40"/>
  <c r="AC311" i="40"/>
  <c r="AD311" i="40"/>
  <c r="AF311" i="40"/>
  <c r="U310" i="40"/>
  <c r="Y310" i="40"/>
  <c r="N310" i="40"/>
  <c r="AA310" i="40"/>
  <c r="AE310" i="40"/>
  <c r="AB310" i="40"/>
  <c r="V310" i="40"/>
  <c r="Z310" i="40"/>
  <c r="Q310" i="40"/>
  <c r="AC310" i="40"/>
  <c r="AD310" i="40"/>
  <c r="AF310" i="40"/>
  <c r="U309" i="40"/>
  <c r="Y309" i="40"/>
  <c r="N309" i="40"/>
  <c r="AA309" i="40"/>
  <c r="AE309" i="40"/>
  <c r="AB309" i="40"/>
  <c r="V309" i="40"/>
  <c r="Z309" i="40"/>
  <c r="Q309" i="40"/>
  <c r="AC309" i="40"/>
  <c r="AD309" i="40"/>
  <c r="AF309" i="40"/>
  <c r="U308" i="40"/>
  <c r="Y308" i="40"/>
  <c r="N308" i="40"/>
  <c r="AA308" i="40"/>
  <c r="AE308" i="40"/>
  <c r="AB308" i="40"/>
  <c r="V308" i="40"/>
  <c r="Z308" i="40"/>
  <c r="Q308" i="40"/>
  <c r="AC308" i="40"/>
  <c r="AD308" i="40"/>
  <c r="AF308" i="40"/>
  <c r="U307" i="40"/>
  <c r="Y307" i="40"/>
  <c r="N307" i="40"/>
  <c r="AA307" i="40"/>
  <c r="AE307" i="40"/>
  <c r="AB307" i="40"/>
  <c r="V307" i="40"/>
  <c r="Z307" i="40"/>
  <c r="Q307" i="40"/>
  <c r="AC307" i="40"/>
  <c r="AD307" i="40"/>
  <c r="AF307" i="40"/>
  <c r="U306" i="40"/>
  <c r="Y306" i="40"/>
  <c r="N306" i="40"/>
  <c r="AA306" i="40"/>
  <c r="AE306" i="40"/>
  <c r="AB306" i="40"/>
  <c r="V306" i="40"/>
  <c r="Z306" i="40"/>
  <c r="Q306" i="40"/>
  <c r="AC306" i="40"/>
  <c r="AD306" i="40"/>
  <c r="AF306" i="40"/>
  <c r="U305" i="40"/>
  <c r="Y305" i="40"/>
  <c r="N305" i="40"/>
  <c r="AA305" i="40"/>
  <c r="AE305" i="40"/>
  <c r="AB305" i="40"/>
  <c r="V305" i="40"/>
  <c r="Z305" i="40"/>
  <c r="Q305" i="40"/>
  <c r="AC305" i="40"/>
  <c r="AD305" i="40"/>
  <c r="AF305" i="40"/>
  <c r="U304" i="40"/>
  <c r="Y304" i="40"/>
  <c r="N304" i="40"/>
  <c r="AA304" i="40"/>
  <c r="AE304" i="40"/>
  <c r="AB304" i="40"/>
  <c r="V304" i="40"/>
  <c r="Z304" i="40"/>
  <c r="Q304" i="40"/>
  <c r="AC304" i="40"/>
  <c r="AD304" i="40"/>
  <c r="AF304" i="40"/>
  <c r="U303" i="40"/>
  <c r="Y303" i="40"/>
  <c r="N303" i="40"/>
  <c r="AA303" i="40"/>
  <c r="AE303" i="40"/>
  <c r="AB303" i="40"/>
  <c r="V303" i="40"/>
  <c r="Z303" i="40"/>
  <c r="Q303" i="40"/>
  <c r="AC303" i="40"/>
  <c r="AD303" i="40"/>
  <c r="AF303" i="40"/>
  <c r="U302" i="40"/>
  <c r="Y302" i="40"/>
  <c r="N302" i="40"/>
  <c r="AA302" i="40"/>
  <c r="AE302" i="40"/>
  <c r="AB302" i="40"/>
  <c r="V302" i="40"/>
  <c r="Z302" i="40"/>
  <c r="Q302" i="40"/>
  <c r="AC302" i="40"/>
  <c r="AD302" i="40"/>
  <c r="AF302" i="40"/>
  <c r="U301" i="40"/>
  <c r="Y301" i="40"/>
  <c r="N301" i="40"/>
  <c r="AA301" i="40"/>
  <c r="AE301" i="40"/>
  <c r="AB301" i="40"/>
  <c r="V301" i="40"/>
  <c r="Z301" i="40"/>
  <c r="Q301" i="40"/>
  <c r="AC301" i="40"/>
  <c r="AD301" i="40"/>
  <c r="AF301" i="40"/>
  <c r="U300" i="40"/>
  <c r="Y300" i="40"/>
  <c r="N300" i="40"/>
  <c r="AA300" i="40"/>
  <c r="AE300" i="40"/>
  <c r="AB300" i="40"/>
  <c r="V300" i="40"/>
  <c r="Z300" i="40"/>
  <c r="Q300" i="40"/>
  <c r="AC300" i="40"/>
  <c r="AD300" i="40"/>
  <c r="AF300" i="40"/>
  <c r="U299" i="40"/>
  <c r="Y299" i="40"/>
  <c r="N299" i="40"/>
  <c r="AA299" i="40"/>
  <c r="AE299" i="40"/>
  <c r="AB299" i="40"/>
  <c r="V299" i="40"/>
  <c r="Z299" i="40"/>
  <c r="Q299" i="40"/>
  <c r="AC299" i="40"/>
  <c r="AD299" i="40"/>
  <c r="AF299" i="40"/>
  <c r="U298" i="40"/>
  <c r="Y298" i="40"/>
  <c r="N298" i="40"/>
  <c r="AA298" i="40"/>
  <c r="AE298" i="40"/>
  <c r="AB298" i="40"/>
  <c r="V298" i="40"/>
  <c r="Z298" i="40"/>
  <c r="Q298" i="40"/>
  <c r="AC298" i="40"/>
  <c r="AD298" i="40"/>
  <c r="AF298" i="40"/>
  <c r="U297" i="40"/>
  <c r="Y297" i="40"/>
  <c r="N297" i="40"/>
  <c r="AA297" i="40"/>
  <c r="AE297" i="40"/>
  <c r="AB297" i="40"/>
  <c r="V297" i="40"/>
  <c r="Z297" i="40"/>
  <c r="Q297" i="40"/>
  <c r="AC297" i="40"/>
  <c r="AD297" i="40"/>
  <c r="AF297" i="40"/>
  <c r="U296" i="40"/>
  <c r="Y296" i="40"/>
  <c r="N296" i="40"/>
  <c r="AA296" i="40"/>
  <c r="AE296" i="40"/>
  <c r="AB296" i="40"/>
  <c r="V296" i="40"/>
  <c r="Z296" i="40"/>
  <c r="Q296" i="40"/>
  <c r="AC296" i="40"/>
  <c r="AD296" i="40"/>
  <c r="AF296" i="40"/>
  <c r="U295" i="40"/>
  <c r="Y295" i="40"/>
  <c r="N295" i="40"/>
  <c r="AA295" i="40"/>
  <c r="AE295" i="40"/>
  <c r="AB295" i="40"/>
  <c r="V295" i="40"/>
  <c r="Z295" i="40"/>
  <c r="Q295" i="40"/>
  <c r="AC295" i="40"/>
  <c r="AD295" i="40"/>
  <c r="AF295" i="40"/>
  <c r="U294" i="40"/>
  <c r="Y294" i="40"/>
  <c r="N294" i="40"/>
  <c r="AA294" i="40"/>
  <c r="AE294" i="40"/>
  <c r="AB294" i="40"/>
  <c r="V294" i="40"/>
  <c r="Z294" i="40"/>
  <c r="Q294" i="40"/>
  <c r="AC294" i="40"/>
  <c r="AD294" i="40"/>
  <c r="AF294" i="40"/>
  <c r="U293" i="40"/>
  <c r="Y293" i="40"/>
  <c r="N293" i="40"/>
  <c r="AA293" i="40"/>
  <c r="AE293" i="40"/>
  <c r="AB293" i="40"/>
  <c r="V293" i="40"/>
  <c r="Z293" i="40"/>
  <c r="Q293" i="40"/>
  <c r="AC293" i="40"/>
  <c r="AD293" i="40"/>
  <c r="AF293" i="40"/>
  <c r="U292" i="40"/>
  <c r="Y292" i="40"/>
  <c r="N292" i="40"/>
  <c r="AA292" i="40"/>
  <c r="AE292" i="40"/>
  <c r="AB292" i="40"/>
  <c r="V292" i="40"/>
  <c r="Z292" i="40"/>
  <c r="Q292" i="40"/>
  <c r="AC292" i="40"/>
  <c r="AD292" i="40"/>
  <c r="AF292" i="40"/>
  <c r="U291" i="40"/>
  <c r="Y291" i="40"/>
  <c r="N291" i="40"/>
  <c r="AA291" i="40"/>
  <c r="AE291" i="40"/>
  <c r="AB291" i="40"/>
  <c r="V291" i="40"/>
  <c r="Z291" i="40"/>
  <c r="Q291" i="40"/>
  <c r="AC291" i="40"/>
  <c r="AD291" i="40"/>
  <c r="AF291" i="40"/>
  <c r="U290" i="40"/>
  <c r="Y290" i="40"/>
  <c r="N290" i="40"/>
  <c r="AA290" i="40"/>
  <c r="AE290" i="40"/>
  <c r="AB290" i="40"/>
  <c r="V290" i="40"/>
  <c r="Z290" i="40"/>
  <c r="Q290" i="40"/>
  <c r="AC290" i="40"/>
  <c r="AD290" i="40"/>
  <c r="AF290" i="40"/>
  <c r="U289" i="40"/>
  <c r="Y289" i="40"/>
  <c r="N289" i="40"/>
  <c r="AA289" i="40"/>
  <c r="AE289" i="40"/>
  <c r="AB289" i="40"/>
  <c r="V289" i="40"/>
  <c r="Z289" i="40"/>
  <c r="Q289" i="40"/>
  <c r="AC289" i="40"/>
  <c r="AD289" i="40"/>
  <c r="AF289" i="40"/>
  <c r="U288" i="40"/>
  <c r="Y288" i="40"/>
  <c r="N288" i="40"/>
  <c r="AA288" i="40"/>
  <c r="AE288" i="40"/>
  <c r="AB288" i="40"/>
  <c r="V288" i="40"/>
  <c r="Z288" i="40"/>
  <c r="Q288" i="40"/>
  <c r="AC288" i="40"/>
  <c r="AD288" i="40"/>
  <c r="AF288" i="40"/>
  <c r="U287" i="40"/>
  <c r="Y287" i="40"/>
  <c r="N287" i="40"/>
  <c r="AA287" i="40"/>
  <c r="AE287" i="40"/>
  <c r="AB287" i="40"/>
  <c r="V287" i="40"/>
  <c r="Z287" i="40"/>
  <c r="Q287" i="40"/>
  <c r="AC287" i="40"/>
  <c r="AD287" i="40"/>
  <c r="AF287" i="40"/>
  <c r="U286" i="40"/>
  <c r="Y286" i="40"/>
  <c r="N286" i="40"/>
  <c r="AA286" i="40"/>
  <c r="AE286" i="40"/>
  <c r="AB286" i="40"/>
  <c r="V286" i="40"/>
  <c r="Z286" i="40"/>
  <c r="Q286" i="40"/>
  <c r="AC286" i="40"/>
  <c r="AD286" i="40"/>
  <c r="AF286" i="40"/>
  <c r="U285" i="40"/>
  <c r="Y285" i="40"/>
  <c r="N285" i="40"/>
  <c r="AA285" i="40"/>
  <c r="AE285" i="40"/>
  <c r="AB285" i="40"/>
  <c r="V285" i="40"/>
  <c r="Z285" i="40"/>
  <c r="Q285" i="40"/>
  <c r="AC285" i="40"/>
  <c r="AD285" i="40"/>
  <c r="AF285" i="40"/>
  <c r="U284" i="40"/>
  <c r="Y284" i="40"/>
  <c r="N284" i="40"/>
  <c r="AA284" i="40"/>
  <c r="AE284" i="40"/>
  <c r="AB284" i="40"/>
  <c r="V284" i="40"/>
  <c r="Z284" i="40"/>
  <c r="Q284" i="40"/>
  <c r="AC284" i="40"/>
  <c r="AD284" i="40"/>
  <c r="AF284" i="40"/>
  <c r="U283" i="40"/>
  <c r="Y283" i="40"/>
  <c r="N283" i="40"/>
  <c r="AA283" i="40"/>
  <c r="AE283" i="40"/>
  <c r="AB283" i="40"/>
  <c r="V283" i="40"/>
  <c r="Z283" i="40"/>
  <c r="Q283" i="40"/>
  <c r="AC283" i="40"/>
  <c r="AD283" i="40"/>
  <c r="AF283" i="40"/>
  <c r="U282" i="40"/>
  <c r="Y282" i="40"/>
  <c r="N282" i="40"/>
  <c r="AA282" i="40"/>
  <c r="AE282" i="40"/>
  <c r="AB282" i="40"/>
  <c r="V282" i="40"/>
  <c r="Z282" i="40"/>
  <c r="Q282" i="40"/>
  <c r="AC282" i="40"/>
  <c r="AD282" i="40"/>
  <c r="AF282" i="40"/>
  <c r="U281" i="40"/>
  <c r="Y281" i="40"/>
  <c r="N281" i="40"/>
  <c r="AA281" i="40"/>
  <c r="AE281" i="40"/>
  <c r="AB281" i="40"/>
  <c r="V281" i="40"/>
  <c r="Z281" i="40"/>
  <c r="Q281" i="40"/>
  <c r="AC281" i="40"/>
  <c r="AD281" i="40"/>
  <c r="AF281" i="40"/>
  <c r="U280" i="40"/>
  <c r="Y280" i="40"/>
  <c r="N280" i="40"/>
  <c r="AA280" i="40"/>
  <c r="AE280" i="40"/>
  <c r="AB280" i="40"/>
  <c r="V280" i="40"/>
  <c r="Z280" i="40"/>
  <c r="Q280" i="40"/>
  <c r="AC280" i="40"/>
  <c r="AD280" i="40"/>
  <c r="AF280" i="40"/>
  <c r="U279" i="40"/>
  <c r="Y279" i="40"/>
  <c r="N279" i="40"/>
  <c r="AA279" i="40"/>
  <c r="AE279" i="40"/>
  <c r="AB279" i="40"/>
  <c r="V279" i="40"/>
  <c r="Z279" i="40"/>
  <c r="Q279" i="40"/>
  <c r="AC279" i="40"/>
  <c r="AD279" i="40"/>
  <c r="AF279" i="40"/>
  <c r="U278" i="40"/>
  <c r="Y278" i="40"/>
  <c r="N278" i="40"/>
  <c r="AA278" i="40"/>
  <c r="AE278" i="40"/>
  <c r="AB278" i="40"/>
  <c r="V278" i="40"/>
  <c r="Z278" i="40"/>
  <c r="Q278" i="40"/>
  <c r="AC278" i="40"/>
  <c r="AD278" i="40"/>
  <c r="AF278" i="40"/>
  <c r="U277" i="40"/>
  <c r="Y277" i="40"/>
  <c r="N277" i="40"/>
  <c r="AA277" i="40"/>
  <c r="AE277" i="40"/>
  <c r="AB277" i="40"/>
  <c r="V277" i="40"/>
  <c r="Z277" i="40"/>
  <c r="Q277" i="40"/>
  <c r="AC277" i="40"/>
  <c r="AD277" i="40"/>
  <c r="AF277" i="40"/>
  <c r="U276" i="40"/>
  <c r="Y276" i="40"/>
  <c r="N276" i="40"/>
  <c r="AA276" i="40"/>
  <c r="AE276" i="40"/>
  <c r="AB276" i="40"/>
  <c r="V276" i="40"/>
  <c r="Z276" i="40"/>
  <c r="Q276" i="40"/>
  <c r="AC276" i="40"/>
  <c r="AD276" i="40"/>
  <c r="AF276" i="40"/>
  <c r="U275" i="40"/>
  <c r="Y275" i="40"/>
  <c r="N275" i="40"/>
  <c r="AA275" i="40"/>
  <c r="AE275" i="40"/>
  <c r="AB275" i="40"/>
  <c r="V275" i="40"/>
  <c r="Z275" i="40"/>
  <c r="Q275" i="40"/>
  <c r="AC275" i="40"/>
  <c r="AD275" i="40"/>
  <c r="AF275" i="40"/>
  <c r="U274" i="40"/>
  <c r="Y274" i="40"/>
  <c r="N274" i="40"/>
  <c r="AA274" i="40"/>
  <c r="AE274" i="40"/>
  <c r="AB274" i="40"/>
  <c r="V274" i="40"/>
  <c r="Z274" i="40"/>
  <c r="Q274" i="40"/>
  <c r="AC274" i="40"/>
  <c r="AD274" i="40"/>
  <c r="AF274" i="40"/>
  <c r="U273" i="40"/>
  <c r="Y273" i="40"/>
  <c r="N273" i="40"/>
  <c r="AA273" i="40"/>
  <c r="AE273" i="40"/>
  <c r="AB273" i="40"/>
  <c r="V273" i="40"/>
  <c r="Z273" i="40"/>
  <c r="Q273" i="40"/>
  <c r="AC273" i="40"/>
  <c r="AD273" i="40"/>
  <c r="AF273" i="40"/>
  <c r="U272" i="40"/>
  <c r="Y272" i="40"/>
  <c r="N272" i="40"/>
  <c r="AA272" i="40"/>
  <c r="AE272" i="40"/>
  <c r="AB272" i="40"/>
  <c r="V272" i="40"/>
  <c r="Z272" i="40"/>
  <c r="Q272" i="40"/>
  <c r="AC272" i="40"/>
  <c r="AD272" i="40"/>
  <c r="AF272" i="40"/>
  <c r="U271" i="40"/>
  <c r="Y271" i="40"/>
  <c r="N271" i="40"/>
  <c r="AA271" i="40"/>
  <c r="AE271" i="40"/>
  <c r="AB271" i="40"/>
  <c r="V271" i="40"/>
  <c r="Z271" i="40"/>
  <c r="Q271" i="40"/>
  <c r="AC271" i="40"/>
  <c r="AD271" i="40"/>
  <c r="AF271" i="40"/>
  <c r="U270" i="40"/>
  <c r="Y270" i="40"/>
  <c r="N270" i="40"/>
  <c r="AA270" i="40"/>
  <c r="AE270" i="40"/>
  <c r="AB270" i="40"/>
  <c r="V270" i="40"/>
  <c r="Z270" i="40"/>
  <c r="Q270" i="40"/>
  <c r="AC270" i="40"/>
  <c r="AD270" i="40"/>
  <c r="AF270" i="40"/>
  <c r="U269" i="40"/>
  <c r="Y269" i="40"/>
  <c r="N269" i="40"/>
  <c r="AA269" i="40"/>
  <c r="AE269" i="40"/>
  <c r="AB269" i="40"/>
  <c r="V269" i="40"/>
  <c r="Z269" i="40"/>
  <c r="Q269" i="40"/>
  <c r="AC269" i="40"/>
  <c r="AD269" i="40"/>
  <c r="AF269" i="40"/>
  <c r="U268" i="40"/>
  <c r="Y268" i="40"/>
  <c r="N268" i="40"/>
  <c r="AA268" i="40"/>
  <c r="AE268" i="40"/>
  <c r="AB268" i="40"/>
  <c r="V268" i="40"/>
  <c r="Z268" i="40"/>
  <c r="Q268" i="40"/>
  <c r="AC268" i="40"/>
  <c r="AD268" i="40"/>
  <c r="AF268" i="40"/>
  <c r="U267" i="40"/>
  <c r="Y267" i="40"/>
  <c r="N267" i="40"/>
  <c r="AA267" i="40"/>
  <c r="AE267" i="40"/>
  <c r="AB267" i="40"/>
  <c r="V267" i="40"/>
  <c r="Z267" i="40"/>
  <c r="Q267" i="40"/>
  <c r="AC267" i="40"/>
  <c r="AD267" i="40"/>
  <c r="AF267" i="40"/>
  <c r="U266" i="40"/>
  <c r="Y266" i="40"/>
  <c r="N266" i="40"/>
  <c r="AA266" i="40"/>
  <c r="AE266" i="40"/>
  <c r="AB266" i="40"/>
  <c r="V266" i="40"/>
  <c r="Z266" i="40"/>
  <c r="Q266" i="40"/>
  <c r="AC266" i="40"/>
  <c r="AD266" i="40"/>
  <c r="AF266" i="40"/>
  <c r="U265" i="40"/>
  <c r="Y265" i="40"/>
  <c r="N265" i="40"/>
  <c r="AA265" i="40"/>
  <c r="AE265" i="40"/>
  <c r="AB265" i="40"/>
  <c r="V265" i="40"/>
  <c r="Z265" i="40"/>
  <c r="Q265" i="40"/>
  <c r="AC265" i="40"/>
  <c r="AD265" i="40"/>
  <c r="AF265" i="40"/>
  <c r="U264" i="40"/>
  <c r="Y264" i="40"/>
  <c r="N264" i="40"/>
  <c r="AA264" i="40"/>
  <c r="AE264" i="40"/>
  <c r="AB264" i="40"/>
  <c r="V264" i="40"/>
  <c r="Z264" i="40"/>
  <c r="Q264" i="40"/>
  <c r="AC264" i="40"/>
  <c r="AD264" i="40"/>
  <c r="AF264" i="40"/>
  <c r="U263" i="40"/>
  <c r="Y263" i="40"/>
  <c r="N263" i="40"/>
  <c r="AA263" i="40"/>
  <c r="AE263" i="40"/>
  <c r="AB263" i="40"/>
  <c r="V263" i="40"/>
  <c r="Z263" i="40"/>
  <c r="Q263" i="40"/>
  <c r="AC263" i="40"/>
  <c r="AD263" i="40"/>
  <c r="AF263" i="40"/>
  <c r="U262" i="40"/>
  <c r="Y262" i="40"/>
  <c r="N262" i="40"/>
  <c r="AA262" i="40"/>
  <c r="AE262" i="40"/>
  <c r="AB262" i="40"/>
  <c r="V262" i="40"/>
  <c r="Z262" i="40"/>
  <c r="Q262" i="40"/>
  <c r="AC262" i="40"/>
  <c r="AD262" i="40"/>
  <c r="AF262" i="40"/>
  <c r="U261" i="40"/>
  <c r="Y261" i="40"/>
  <c r="N261" i="40"/>
  <c r="AA261" i="40"/>
  <c r="AE261" i="40"/>
  <c r="AB261" i="40"/>
  <c r="V261" i="40"/>
  <c r="Z261" i="40"/>
  <c r="Q261" i="40"/>
  <c r="AC261" i="40"/>
  <c r="AD261" i="40"/>
  <c r="AF261" i="40"/>
  <c r="U260" i="40"/>
  <c r="Y260" i="40"/>
  <c r="N260" i="40"/>
  <c r="AA260" i="40"/>
  <c r="AE260" i="40"/>
  <c r="AB260" i="40"/>
  <c r="V260" i="40"/>
  <c r="Z260" i="40"/>
  <c r="Q260" i="40"/>
  <c r="AC260" i="40"/>
  <c r="AD260" i="40"/>
  <c r="AF260" i="40"/>
  <c r="U259" i="40"/>
  <c r="Y259" i="40"/>
  <c r="N259" i="40"/>
  <c r="AA259" i="40"/>
  <c r="AE259" i="40"/>
  <c r="AB259" i="40"/>
  <c r="V259" i="40"/>
  <c r="Z259" i="40"/>
  <c r="Q259" i="40"/>
  <c r="AC259" i="40"/>
  <c r="AD259" i="40"/>
  <c r="AF259" i="40"/>
  <c r="U258" i="40"/>
  <c r="Y258" i="40"/>
  <c r="N258" i="40"/>
  <c r="AA258" i="40"/>
  <c r="AE258" i="40"/>
  <c r="AB258" i="40"/>
  <c r="V258" i="40"/>
  <c r="Z258" i="40"/>
  <c r="Q258" i="40"/>
  <c r="AC258" i="40"/>
  <c r="AD258" i="40"/>
  <c r="AF258" i="40"/>
  <c r="U257" i="40"/>
  <c r="Y257" i="40"/>
  <c r="N257" i="40"/>
  <c r="AA257" i="40"/>
  <c r="AE257" i="40"/>
  <c r="AB257" i="40"/>
  <c r="V257" i="40"/>
  <c r="Z257" i="40"/>
  <c r="Q257" i="40"/>
  <c r="AC257" i="40"/>
  <c r="AD257" i="40"/>
  <c r="AF257" i="40"/>
  <c r="U256" i="40"/>
  <c r="Y256" i="40"/>
  <c r="N256" i="40"/>
  <c r="AA256" i="40"/>
  <c r="AE256" i="40"/>
  <c r="AB256" i="40"/>
  <c r="V256" i="40"/>
  <c r="Z256" i="40"/>
  <c r="Q256" i="40"/>
  <c r="AC256" i="40"/>
  <c r="AD256" i="40"/>
  <c r="AF256" i="40"/>
  <c r="U255" i="40"/>
  <c r="Y255" i="40"/>
  <c r="N255" i="40"/>
  <c r="AA255" i="40"/>
  <c r="AE255" i="40"/>
  <c r="AB255" i="40"/>
  <c r="V255" i="40"/>
  <c r="Z255" i="40"/>
  <c r="Q255" i="40"/>
  <c r="AC255" i="40"/>
  <c r="AD255" i="40"/>
  <c r="AF255" i="40"/>
  <c r="U254" i="40"/>
  <c r="Y254" i="40"/>
  <c r="N254" i="40"/>
  <c r="AA254" i="40"/>
  <c r="AE254" i="40"/>
  <c r="AB254" i="40"/>
  <c r="V254" i="40"/>
  <c r="Z254" i="40"/>
  <c r="Q254" i="40"/>
  <c r="AC254" i="40"/>
  <c r="AD254" i="40"/>
  <c r="AF254" i="40"/>
  <c r="U253" i="40"/>
  <c r="Y253" i="40"/>
  <c r="N253" i="40"/>
  <c r="AA253" i="40"/>
  <c r="AE253" i="40"/>
  <c r="AB253" i="40"/>
  <c r="V253" i="40"/>
  <c r="Z253" i="40"/>
  <c r="Q253" i="40"/>
  <c r="AC253" i="40"/>
  <c r="AD253" i="40"/>
  <c r="AF253" i="40"/>
  <c r="U252" i="40"/>
  <c r="Y252" i="40"/>
  <c r="N252" i="40"/>
  <c r="AA252" i="40"/>
  <c r="AE252" i="40"/>
  <c r="AB252" i="40"/>
  <c r="V252" i="40"/>
  <c r="Z252" i="40"/>
  <c r="Q252" i="40"/>
  <c r="AC252" i="40"/>
  <c r="AD252" i="40"/>
  <c r="AF252" i="40"/>
  <c r="U251" i="40"/>
  <c r="Y251" i="40"/>
  <c r="N251" i="40"/>
  <c r="AA251" i="40"/>
  <c r="AE251" i="40"/>
  <c r="AB251" i="40"/>
  <c r="V251" i="40"/>
  <c r="Z251" i="40"/>
  <c r="Q251" i="40"/>
  <c r="AC251" i="40"/>
  <c r="AD251" i="40"/>
  <c r="AF251" i="40"/>
  <c r="U250" i="40"/>
  <c r="Y250" i="40"/>
  <c r="N250" i="40"/>
  <c r="AA250" i="40"/>
  <c r="AE250" i="40"/>
  <c r="AB250" i="40"/>
  <c r="V250" i="40"/>
  <c r="Z250" i="40"/>
  <c r="Q250" i="40"/>
  <c r="AC250" i="40"/>
  <c r="AD250" i="40"/>
  <c r="AF250" i="40"/>
  <c r="U249" i="40"/>
  <c r="Y249" i="40"/>
  <c r="N249" i="40"/>
  <c r="AA249" i="40"/>
  <c r="AE249" i="40"/>
  <c r="AB249" i="40"/>
  <c r="V249" i="40"/>
  <c r="Z249" i="40"/>
  <c r="Q249" i="40"/>
  <c r="AC249" i="40"/>
  <c r="AD249" i="40"/>
  <c r="AF249" i="40"/>
  <c r="U248" i="40"/>
  <c r="Y248" i="40"/>
  <c r="N248" i="40"/>
  <c r="AA248" i="40"/>
  <c r="AE248" i="40"/>
  <c r="AB248" i="40"/>
  <c r="V248" i="40"/>
  <c r="Z248" i="40"/>
  <c r="Q248" i="40"/>
  <c r="AC248" i="40"/>
  <c r="AD248" i="40"/>
  <c r="AF248" i="40"/>
  <c r="U247" i="40"/>
  <c r="Y247" i="40"/>
  <c r="N247" i="40"/>
  <c r="AA247" i="40"/>
  <c r="AE247" i="40"/>
  <c r="AB247" i="40"/>
  <c r="V247" i="40"/>
  <c r="Z247" i="40"/>
  <c r="Q247" i="40"/>
  <c r="AC247" i="40"/>
  <c r="AD247" i="40"/>
  <c r="AF247" i="40"/>
  <c r="U246" i="40"/>
  <c r="Y246" i="40"/>
  <c r="N246" i="40"/>
  <c r="AA246" i="40"/>
  <c r="AE246" i="40"/>
  <c r="AB246" i="40"/>
  <c r="V246" i="40"/>
  <c r="Z246" i="40"/>
  <c r="Q246" i="40"/>
  <c r="AC246" i="40"/>
  <c r="AD246" i="40"/>
  <c r="AF246" i="40"/>
  <c r="U245" i="40"/>
  <c r="Y245" i="40"/>
  <c r="N245" i="40"/>
  <c r="AA245" i="40"/>
  <c r="AE245" i="40"/>
  <c r="AB245" i="40"/>
  <c r="V245" i="40"/>
  <c r="Z245" i="40"/>
  <c r="Q245" i="40"/>
  <c r="AC245" i="40"/>
  <c r="AD245" i="40"/>
  <c r="AF245" i="40"/>
  <c r="U244" i="40"/>
  <c r="Y244" i="40"/>
  <c r="N244" i="40"/>
  <c r="AA244" i="40"/>
  <c r="AE244" i="40"/>
  <c r="AB244" i="40"/>
  <c r="V244" i="40"/>
  <c r="Z244" i="40"/>
  <c r="Q244" i="40"/>
  <c r="AC244" i="40"/>
  <c r="AD244" i="40"/>
  <c r="AF244" i="40"/>
  <c r="U243" i="40"/>
  <c r="Y243" i="40"/>
  <c r="N243" i="40"/>
  <c r="AA243" i="40"/>
  <c r="AE243" i="40"/>
  <c r="AB243" i="40"/>
  <c r="V243" i="40"/>
  <c r="Z243" i="40"/>
  <c r="Q243" i="40"/>
  <c r="AC243" i="40"/>
  <c r="AD243" i="40"/>
  <c r="AF243" i="40"/>
  <c r="U242" i="40"/>
  <c r="Y242" i="40"/>
  <c r="N242" i="40"/>
  <c r="AA242" i="40"/>
  <c r="AE242" i="40"/>
  <c r="AB242" i="40"/>
  <c r="V242" i="40"/>
  <c r="Z242" i="40"/>
  <c r="Q242" i="40"/>
  <c r="AC242" i="40"/>
  <c r="AD242" i="40"/>
  <c r="AF242" i="40"/>
  <c r="U241" i="40"/>
  <c r="Y241" i="40"/>
  <c r="N241" i="40"/>
  <c r="AA241" i="40"/>
  <c r="AE241" i="40"/>
  <c r="AB241" i="40"/>
  <c r="V241" i="40"/>
  <c r="Z241" i="40"/>
  <c r="Q241" i="40"/>
  <c r="AC241" i="40"/>
  <c r="AD241" i="40"/>
  <c r="AF241" i="40"/>
  <c r="U240" i="40"/>
  <c r="Y240" i="40"/>
  <c r="N240" i="40"/>
  <c r="AA240" i="40"/>
  <c r="AE240" i="40"/>
  <c r="AB240" i="40"/>
  <c r="V240" i="40"/>
  <c r="Z240" i="40"/>
  <c r="Q240" i="40"/>
  <c r="AC240" i="40"/>
  <c r="AD240" i="40"/>
  <c r="AF240" i="40"/>
  <c r="U239" i="40"/>
  <c r="Y239" i="40"/>
  <c r="N239" i="40"/>
  <c r="AA239" i="40"/>
  <c r="AE239" i="40"/>
  <c r="AB239" i="40"/>
  <c r="V239" i="40"/>
  <c r="Z239" i="40"/>
  <c r="Q239" i="40"/>
  <c r="AC239" i="40"/>
  <c r="AD239" i="40"/>
  <c r="AF239" i="40"/>
  <c r="U238" i="40"/>
  <c r="Y238" i="40"/>
  <c r="N238" i="40"/>
  <c r="AA238" i="40"/>
  <c r="AE238" i="40"/>
  <c r="AB238" i="40"/>
  <c r="V238" i="40"/>
  <c r="Z238" i="40"/>
  <c r="Q238" i="40"/>
  <c r="AC238" i="40"/>
  <c r="AD238" i="40"/>
  <c r="AF238" i="40"/>
  <c r="U237" i="40"/>
  <c r="Y237" i="40"/>
  <c r="N237" i="40"/>
  <c r="AA237" i="40"/>
  <c r="AE237" i="40"/>
  <c r="AB237" i="40"/>
  <c r="V237" i="40"/>
  <c r="Z237" i="40"/>
  <c r="Q237" i="40"/>
  <c r="AC237" i="40"/>
  <c r="AD237" i="40"/>
  <c r="AF237" i="40"/>
  <c r="U236" i="40"/>
  <c r="Y236" i="40"/>
  <c r="N236" i="40"/>
  <c r="AA236" i="40"/>
  <c r="AE236" i="40"/>
  <c r="AB236" i="40"/>
  <c r="V236" i="40"/>
  <c r="Z236" i="40"/>
  <c r="Q236" i="40"/>
  <c r="AC236" i="40"/>
  <c r="AD236" i="40"/>
  <c r="AF236" i="40"/>
  <c r="U235" i="40"/>
  <c r="Y235" i="40"/>
  <c r="N235" i="40"/>
  <c r="AA235" i="40"/>
  <c r="AE235" i="40"/>
  <c r="AB235" i="40"/>
  <c r="V235" i="40"/>
  <c r="Z235" i="40"/>
  <c r="Q235" i="40"/>
  <c r="AC235" i="40"/>
  <c r="AD235" i="40"/>
  <c r="AF235" i="40"/>
  <c r="U234" i="40"/>
  <c r="Y234" i="40"/>
  <c r="N234" i="40"/>
  <c r="AA234" i="40"/>
  <c r="AE234" i="40"/>
  <c r="AB234" i="40"/>
  <c r="V234" i="40"/>
  <c r="Z234" i="40"/>
  <c r="Q234" i="40"/>
  <c r="AC234" i="40"/>
  <c r="AD234" i="40"/>
  <c r="AF234" i="40"/>
  <c r="U233" i="40"/>
  <c r="Y233" i="40"/>
  <c r="N233" i="40"/>
  <c r="AA233" i="40"/>
  <c r="AE233" i="40"/>
  <c r="AB233" i="40"/>
  <c r="V233" i="40"/>
  <c r="Z233" i="40"/>
  <c r="Q233" i="40"/>
  <c r="AC233" i="40"/>
  <c r="AD233" i="40"/>
  <c r="AF233" i="40"/>
  <c r="U232" i="40"/>
  <c r="Y232" i="40"/>
  <c r="N232" i="40"/>
  <c r="AA232" i="40"/>
  <c r="AE232" i="40"/>
  <c r="AB232" i="40"/>
  <c r="V232" i="40"/>
  <c r="Z232" i="40"/>
  <c r="Q232" i="40"/>
  <c r="AC232" i="40"/>
  <c r="AD232" i="40"/>
  <c r="AF232" i="40"/>
  <c r="U231" i="40"/>
  <c r="Y231" i="40"/>
  <c r="N231" i="40"/>
  <c r="AA231" i="40"/>
  <c r="AE231" i="40"/>
  <c r="AB231" i="40"/>
  <c r="V231" i="40"/>
  <c r="Z231" i="40"/>
  <c r="Q231" i="40"/>
  <c r="AC231" i="40"/>
  <c r="AD231" i="40"/>
  <c r="AF231" i="40"/>
  <c r="U230" i="40"/>
  <c r="Y230" i="40"/>
  <c r="N230" i="40"/>
  <c r="AA230" i="40"/>
  <c r="AE230" i="40"/>
  <c r="AB230" i="40"/>
  <c r="V230" i="40"/>
  <c r="Z230" i="40"/>
  <c r="Q230" i="40"/>
  <c r="AC230" i="40"/>
  <c r="AD230" i="40"/>
  <c r="AF230" i="40"/>
  <c r="U229" i="40"/>
  <c r="Y229" i="40"/>
  <c r="N229" i="40"/>
  <c r="AA229" i="40"/>
  <c r="AE229" i="40"/>
  <c r="AB229" i="40"/>
  <c r="V229" i="40"/>
  <c r="Z229" i="40"/>
  <c r="Q229" i="40"/>
  <c r="AC229" i="40"/>
  <c r="AD229" i="40"/>
  <c r="AF229" i="40"/>
  <c r="U228" i="40"/>
  <c r="Y228" i="40"/>
  <c r="N228" i="40"/>
  <c r="AA228" i="40"/>
  <c r="AE228" i="40"/>
  <c r="AB228" i="40"/>
  <c r="V228" i="40"/>
  <c r="Z228" i="40"/>
  <c r="Q228" i="40"/>
  <c r="AC228" i="40"/>
  <c r="AD228" i="40"/>
  <c r="AF228" i="40"/>
  <c r="U227" i="40"/>
  <c r="Y227" i="40"/>
  <c r="N227" i="40"/>
  <c r="AA227" i="40"/>
  <c r="AE227" i="40"/>
  <c r="AB227" i="40"/>
  <c r="V227" i="40"/>
  <c r="Z227" i="40"/>
  <c r="Q227" i="40"/>
  <c r="AC227" i="40"/>
  <c r="AD227" i="40"/>
  <c r="AF227" i="40"/>
  <c r="U226" i="40"/>
  <c r="Y226" i="40"/>
  <c r="N226" i="40"/>
  <c r="AA226" i="40"/>
  <c r="AE226" i="40"/>
  <c r="AB226" i="40"/>
  <c r="V226" i="40"/>
  <c r="Z226" i="40"/>
  <c r="Q226" i="40"/>
  <c r="AC226" i="40"/>
  <c r="AD226" i="40"/>
  <c r="AF226" i="40"/>
  <c r="U225" i="40"/>
  <c r="Y225" i="40"/>
  <c r="N225" i="40"/>
  <c r="AA225" i="40"/>
  <c r="AE225" i="40"/>
  <c r="AB225" i="40"/>
  <c r="V225" i="40"/>
  <c r="Z225" i="40"/>
  <c r="Q225" i="40"/>
  <c r="AC225" i="40"/>
  <c r="AD225" i="40"/>
  <c r="AF225" i="40"/>
  <c r="U224" i="40"/>
  <c r="Y224" i="40"/>
  <c r="N224" i="40"/>
  <c r="AA224" i="40"/>
  <c r="AE224" i="40"/>
  <c r="AB224" i="40"/>
  <c r="V224" i="40"/>
  <c r="Z224" i="40"/>
  <c r="Q224" i="40"/>
  <c r="AC224" i="40"/>
  <c r="AD224" i="40"/>
  <c r="AF224" i="40"/>
  <c r="U223" i="40"/>
  <c r="Y223" i="40"/>
  <c r="N223" i="40"/>
  <c r="AA223" i="40"/>
  <c r="AE223" i="40"/>
  <c r="AB223" i="40"/>
  <c r="V223" i="40"/>
  <c r="Z223" i="40"/>
  <c r="Q223" i="40"/>
  <c r="AC223" i="40"/>
  <c r="AD223" i="40"/>
  <c r="AF223" i="40"/>
  <c r="U222" i="40"/>
  <c r="Y222" i="40"/>
  <c r="N222" i="40"/>
  <c r="AA222" i="40"/>
  <c r="AE222" i="40"/>
  <c r="AB222" i="40"/>
  <c r="V222" i="40"/>
  <c r="Z222" i="40"/>
  <c r="Q222" i="40"/>
  <c r="AC222" i="40"/>
  <c r="AD222" i="40"/>
  <c r="AF222" i="40"/>
  <c r="U221" i="40"/>
  <c r="Y221" i="40"/>
  <c r="N221" i="40"/>
  <c r="AA221" i="40"/>
  <c r="AE221" i="40"/>
  <c r="AB221" i="40"/>
  <c r="V221" i="40"/>
  <c r="Z221" i="40"/>
  <c r="Q221" i="40"/>
  <c r="AC221" i="40"/>
  <c r="AD221" i="40"/>
  <c r="AF221" i="40"/>
  <c r="U220" i="40"/>
  <c r="Y220" i="40"/>
  <c r="N220" i="40"/>
  <c r="AA220" i="40"/>
  <c r="AE220" i="40"/>
  <c r="AB220" i="40"/>
  <c r="V220" i="40"/>
  <c r="Z220" i="40"/>
  <c r="Q220" i="40"/>
  <c r="AC220" i="40"/>
  <c r="AD220" i="40"/>
  <c r="AF220" i="40"/>
  <c r="U219" i="40"/>
  <c r="Y219" i="40"/>
  <c r="N219" i="40"/>
  <c r="AA219" i="40"/>
  <c r="AE219" i="40"/>
  <c r="AB219" i="40"/>
  <c r="V219" i="40"/>
  <c r="Z219" i="40"/>
  <c r="Q219" i="40"/>
  <c r="AC219" i="40"/>
  <c r="AD219" i="40"/>
  <c r="AF219" i="40"/>
  <c r="U218" i="40"/>
  <c r="Y218" i="40"/>
  <c r="N218" i="40"/>
  <c r="AA218" i="40"/>
  <c r="AE218" i="40"/>
  <c r="AB218" i="40"/>
  <c r="V218" i="40"/>
  <c r="Z218" i="40"/>
  <c r="Q218" i="40"/>
  <c r="AC218" i="40"/>
  <c r="AD218" i="40"/>
  <c r="AF218" i="40"/>
  <c r="U217" i="40"/>
  <c r="Y217" i="40"/>
  <c r="N217" i="40"/>
  <c r="AA217" i="40"/>
  <c r="AE217" i="40"/>
  <c r="AB217" i="40"/>
  <c r="V217" i="40"/>
  <c r="Z217" i="40"/>
  <c r="Q217" i="40"/>
  <c r="AC217" i="40"/>
  <c r="AD217" i="40"/>
  <c r="AF217" i="40"/>
  <c r="U216" i="40"/>
  <c r="Y216" i="40"/>
  <c r="N216" i="40"/>
  <c r="AA216" i="40"/>
  <c r="AE216" i="40"/>
  <c r="AB216" i="40"/>
  <c r="V216" i="40"/>
  <c r="Z216" i="40"/>
  <c r="Q216" i="40"/>
  <c r="AC216" i="40"/>
  <c r="AD216" i="40"/>
  <c r="AF216" i="40"/>
  <c r="U215" i="40"/>
  <c r="Y215" i="40"/>
  <c r="N215" i="40"/>
  <c r="AA215" i="40"/>
  <c r="AE215" i="40"/>
  <c r="AB215" i="40"/>
  <c r="V215" i="40"/>
  <c r="Z215" i="40"/>
  <c r="Q215" i="40"/>
  <c r="AC215" i="40"/>
  <c r="AD215" i="40"/>
  <c r="AF215" i="40"/>
  <c r="U214" i="40"/>
  <c r="Y214" i="40"/>
  <c r="N214" i="40"/>
  <c r="AA214" i="40"/>
  <c r="AE214" i="40"/>
  <c r="AB214" i="40"/>
  <c r="V214" i="40"/>
  <c r="Z214" i="40"/>
  <c r="Q214" i="40"/>
  <c r="AC214" i="40"/>
  <c r="AD214" i="40"/>
  <c r="AF214" i="40"/>
  <c r="U213" i="40"/>
  <c r="Y213" i="40"/>
  <c r="N213" i="40"/>
  <c r="AA213" i="40"/>
  <c r="AE213" i="40"/>
  <c r="AB213" i="40"/>
  <c r="V213" i="40"/>
  <c r="Z213" i="40"/>
  <c r="Q213" i="40"/>
  <c r="AC213" i="40"/>
  <c r="AD213" i="40"/>
  <c r="AF213" i="40"/>
  <c r="U212" i="40"/>
  <c r="Y212" i="40"/>
  <c r="N212" i="40"/>
  <c r="AA212" i="40"/>
  <c r="AE212" i="40"/>
  <c r="AB212" i="40"/>
  <c r="V212" i="40"/>
  <c r="Z212" i="40"/>
  <c r="Q212" i="40"/>
  <c r="AC212" i="40"/>
  <c r="AD212" i="40"/>
  <c r="AF212" i="40"/>
  <c r="U211" i="40"/>
  <c r="Y211" i="40"/>
  <c r="N211" i="40"/>
  <c r="AA211" i="40"/>
  <c r="AE211" i="40"/>
  <c r="AB211" i="40"/>
  <c r="V211" i="40"/>
  <c r="Z211" i="40"/>
  <c r="Q211" i="40"/>
  <c r="AC211" i="40"/>
  <c r="AD211" i="40"/>
  <c r="AF211" i="40"/>
  <c r="U210" i="40"/>
  <c r="Y210" i="40"/>
  <c r="N210" i="40"/>
  <c r="AA210" i="40"/>
  <c r="AE210" i="40"/>
  <c r="AB210" i="40"/>
  <c r="V210" i="40"/>
  <c r="Z210" i="40"/>
  <c r="Q210" i="40"/>
  <c r="AC210" i="40"/>
  <c r="AD210" i="40"/>
  <c r="AF210" i="40"/>
  <c r="U209" i="40"/>
  <c r="Y209" i="40"/>
  <c r="N209" i="40"/>
  <c r="AA209" i="40"/>
  <c r="AE209" i="40"/>
  <c r="AB209" i="40"/>
  <c r="V209" i="40"/>
  <c r="Z209" i="40"/>
  <c r="Q209" i="40"/>
  <c r="AC209" i="40"/>
  <c r="AD209" i="40"/>
  <c r="AF209" i="40"/>
  <c r="U208" i="40"/>
  <c r="Y208" i="40"/>
  <c r="N208" i="40"/>
  <c r="AA208" i="40"/>
  <c r="AE208" i="40"/>
  <c r="AB208" i="40"/>
  <c r="V208" i="40"/>
  <c r="Z208" i="40"/>
  <c r="Q208" i="40"/>
  <c r="AC208" i="40"/>
  <c r="AD208" i="40"/>
  <c r="AF208" i="40"/>
  <c r="U207" i="40"/>
  <c r="Y207" i="40"/>
  <c r="N207" i="40"/>
  <c r="AA207" i="40"/>
  <c r="AE207" i="40"/>
  <c r="AB207" i="40"/>
  <c r="V207" i="40"/>
  <c r="Z207" i="40"/>
  <c r="Q207" i="40"/>
  <c r="AC207" i="40"/>
  <c r="AD207" i="40"/>
  <c r="AF207" i="40"/>
  <c r="U206" i="40"/>
  <c r="Y206" i="40"/>
  <c r="N206" i="40"/>
  <c r="AA206" i="40"/>
  <c r="AE206" i="40"/>
  <c r="AB206" i="40"/>
  <c r="V206" i="40"/>
  <c r="Z206" i="40"/>
  <c r="Q206" i="40"/>
  <c r="AC206" i="40"/>
  <c r="AD206" i="40"/>
  <c r="AF206" i="40"/>
  <c r="U205" i="40"/>
  <c r="Y205" i="40"/>
  <c r="N205" i="40"/>
  <c r="AA205" i="40"/>
  <c r="AE205" i="40"/>
  <c r="AB205" i="40"/>
  <c r="V205" i="40"/>
  <c r="Z205" i="40"/>
  <c r="Q205" i="40"/>
  <c r="AC205" i="40"/>
  <c r="AD205" i="40"/>
  <c r="AF205" i="40"/>
  <c r="U204" i="40"/>
  <c r="Y204" i="40"/>
  <c r="N204" i="40"/>
  <c r="AA204" i="40"/>
  <c r="AE204" i="40"/>
  <c r="AB204" i="40"/>
  <c r="V204" i="40"/>
  <c r="Z204" i="40"/>
  <c r="Q204" i="40"/>
  <c r="AC204" i="40"/>
  <c r="AD204" i="40"/>
  <c r="AF204" i="40"/>
  <c r="U203" i="40"/>
  <c r="Y203" i="40"/>
  <c r="N203" i="40"/>
  <c r="AA203" i="40"/>
  <c r="AE203" i="40"/>
  <c r="AB203" i="40"/>
  <c r="V203" i="40"/>
  <c r="Z203" i="40"/>
  <c r="Q203" i="40"/>
  <c r="AC203" i="40"/>
  <c r="AD203" i="40"/>
  <c r="AF203" i="40"/>
  <c r="U202" i="40"/>
  <c r="Y202" i="40"/>
  <c r="N202" i="40"/>
  <c r="AA202" i="40"/>
  <c r="AE202" i="40"/>
  <c r="AB202" i="40"/>
  <c r="V202" i="40"/>
  <c r="Z202" i="40"/>
  <c r="Q202" i="40"/>
  <c r="AC202" i="40"/>
  <c r="AD202" i="40"/>
  <c r="AF202" i="40"/>
  <c r="U201" i="40"/>
  <c r="Y201" i="40"/>
  <c r="N201" i="40"/>
  <c r="AA201" i="40"/>
  <c r="AE201" i="40"/>
  <c r="AB201" i="40"/>
  <c r="V201" i="40"/>
  <c r="Z201" i="40"/>
  <c r="Q201" i="40"/>
  <c r="AC201" i="40"/>
  <c r="AD201" i="40"/>
  <c r="AF201" i="40"/>
  <c r="U200" i="40"/>
  <c r="Y200" i="40"/>
  <c r="N200" i="40"/>
  <c r="AA200" i="40"/>
  <c r="AE200" i="40"/>
  <c r="AB200" i="40"/>
  <c r="V200" i="40"/>
  <c r="Z200" i="40"/>
  <c r="Q200" i="40"/>
  <c r="AC200" i="40"/>
  <c r="AD200" i="40"/>
  <c r="AF200" i="40"/>
  <c r="U199" i="40"/>
  <c r="Y199" i="40"/>
  <c r="N199" i="40"/>
  <c r="AA199" i="40"/>
  <c r="AE199" i="40"/>
  <c r="AB199" i="40"/>
  <c r="V199" i="40"/>
  <c r="Z199" i="40"/>
  <c r="Q199" i="40"/>
  <c r="AC199" i="40"/>
  <c r="AD199" i="40"/>
  <c r="AF199" i="40"/>
  <c r="U198" i="40"/>
  <c r="Y198" i="40"/>
  <c r="N198" i="40"/>
  <c r="AA198" i="40"/>
  <c r="AE198" i="40"/>
  <c r="AB198" i="40"/>
  <c r="V198" i="40"/>
  <c r="Z198" i="40"/>
  <c r="Q198" i="40"/>
  <c r="AC198" i="40"/>
  <c r="AD198" i="40"/>
  <c r="AF198" i="40"/>
  <c r="U197" i="40"/>
  <c r="Y197" i="40"/>
  <c r="N197" i="40"/>
  <c r="AA197" i="40"/>
  <c r="AE197" i="40"/>
  <c r="AB197" i="40"/>
  <c r="V197" i="40"/>
  <c r="Z197" i="40"/>
  <c r="Q197" i="40"/>
  <c r="AC197" i="40"/>
  <c r="AD197" i="40"/>
  <c r="AF197" i="40"/>
  <c r="U196" i="40"/>
  <c r="Y196" i="40"/>
  <c r="N196" i="40"/>
  <c r="AA196" i="40"/>
  <c r="AE196" i="40"/>
  <c r="AB196" i="40"/>
  <c r="V196" i="40"/>
  <c r="Z196" i="40"/>
  <c r="Q196" i="40"/>
  <c r="AC196" i="40"/>
  <c r="AD196" i="40"/>
  <c r="AF196" i="40"/>
  <c r="U195" i="40"/>
  <c r="Y195" i="40"/>
  <c r="N195" i="40"/>
  <c r="AA195" i="40"/>
  <c r="AE195" i="40"/>
  <c r="AB195" i="40"/>
  <c r="V195" i="40"/>
  <c r="Z195" i="40"/>
  <c r="Q195" i="40"/>
  <c r="AC195" i="40"/>
  <c r="AD195" i="40"/>
  <c r="AF195" i="40"/>
  <c r="U194" i="40"/>
  <c r="Y194" i="40"/>
  <c r="N194" i="40"/>
  <c r="AA194" i="40"/>
  <c r="AE194" i="40"/>
  <c r="AB194" i="40"/>
  <c r="V194" i="40"/>
  <c r="Z194" i="40"/>
  <c r="Q194" i="40"/>
  <c r="AC194" i="40"/>
  <c r="AD194" i="40"/>
  <c r="AF194" i="40"/>
  <c r="U193" i="40"/>
  <c r="Y193" i="40"/>
  <c r="N193" i="40"/>
  <c r="AA193" i="40"/>
  <c r="AE193" i="40"/>
  <c r="AB193" i="40"/>
  <c r="V193" i="40"/>
  <c r="Z193" i="40"/>
  <c r="Q193" i="40"/>
  <c r="AC193" i="40"/>
  <c r="AD193" i="40"/>
  <c r="AF193" i="40"/>
  <c r="U192" i="40"/>
  <c r="Y192" i="40"/>
  <c r="N192" i="40"/>
  <c r="AA192" i="40"/>
  <c r="AE192" i="40"/>
  <c r="AB192" i="40"/>
  <c r="V192" i="40"/>
  <c r="Z192" i="40"/>
  <c r="Q192" i="40"/>
  <c r="AC192" i="40"/>
  <c r="AD192" i="40"/>
  <c r="AF192" i="40"/>
  <c r="U191" i="40"/>
  <c r="Y191" i="40"/>
  <c r="N191" i="40"/>
  <c r="AA191" i="40"/>
  <c r="AE191" i="40"/>
  <c r="AB191" i="40"/>
  <c r="V191" i="40"/>
  <c r="Z191" i="40"/>
  <c r="Q191" i="40"/>
  <c r="AC191" i="40"/>
  <c r="AD191" i="40"/>
  <c r="AF191" i="40"/>
  <c r="U190" i="40"/>
  <c r="Y190" i="40"/>
  <c r="N190" i="40"/>
  <c r="AA190" i="40"/>
  <c r="AE190" i="40"/>
  <c r="AB190" i="40"/>
  <c r="V190" i="40"/>
  <c r="Z190" i="40"/>
  <c r="Q190" i="40"/>
  <c r="AC190" i="40"/>
  <c r="AD190" i="40"/>
  <c r="AF190" i="40"/>
  <c r="U189" i="40"/>
  <c r="Y189" i="40"/>
  <c r="N189" i="40"/>
  <c r="AA189" i="40"/>
  <c r="AE189" i="40"/>
  <c r="AB189" i="40"/>
  <c r="V189" i="40"/>
  <c r="Z189" i="40"/>
  <c r="Q189" i="40"/>
  <c r="AC189" i="40"/>
  <c r="AD189" i="40"/>
  <c r="AF189" i="40"/>
  <c r="U188" i="40"/>
  <c r="Y188" i="40"/>
  <c r="N188" i="40"/>
  <c r="AA188" i="40"/>
  <c r="AE188" i="40"/>
  <c r="AB188" i="40"/>
  <c r="V188" i="40"/>
  <c r="Z188" i="40"/>
  <c r="Q188" i="40"/>
  <c r="AC188" i="40"/>
  <c r="AD188" i="40"/>
  <c r="AF188" i="40"/>
  <c r="U187" i="40"/>
  <c r="Y187" i="40"/>
  <c r="N187" i="40"/>
  <c r="AA187" i="40"/>
  <c r="AE187" i="40"/>
  <c r="AB187" i="40"/>
  <c r="V187" i="40"/>
  <c r="Z187" i="40"/>
  <c r="Q187" i="40"/>
  <c r="AC187" i="40"/>
  <c r="AD187" i="40"/>
  <c r="AF187" i="40"/>
  <c r="U186" i="40"/>
  <c r="Y186" i="40"/>
  <c r="N186" i="40"/>
  <c r="AA186" i="40"/>
  <c r="AE186" i="40"/>
  <c r="AB186" i="40"/>
  <c r="V186" i="40"/>
  <c r="Z186" i="40"/>
  <c r="Q186" i="40"/>
  <c r="AC186" i="40"/>
  <c r="AD186" i="40"/>
  <c r="AF186" i="40"/>
  <c r="U185" i="40"/>
  <c r="Y185" i="40"/>
  <c r="N185" i="40"/>
  <c r="AA185" i="40"/>
  <c r="AE185" i="40"/>
  <c r="AB185" i="40"/>
  <c r="V185" i="40"/>
  <c r="Z185" i="40"/>
  <c r="Q185" i="40"/>
  <c r="AC185" i="40"/>
  <c r="AD185" i="40"/>
  <c r="AF185" i="40"/>
  <c r="U184" i="40"/>
  <c r="Y184" i="40"/>
  <c r="N184" i="40"/>
  <c r="AA184" i="40"/>
  <c r="AE184" i="40"/>
  <c r="AB184" i="40"/>
  <c r="V184" i="40"/>
  <c r="Z184" i="40"/>
  <c r="Q184" i="40"/>
  <c r="AC184" i="40"/>
  <c r="AD184" i="40"/>
  <c r="AF184" i="40"/>
  <c r="U183" i="40"/>
  <c r="Y183" i="40"/>
  <c r="N183" i="40"/>
  <c r="AA183" i="40"/>
  <c r="AE183" i="40"/>
  <c r="AB183" i="40"/>
  <c r="V183" i="40"/>
  <c r="Z183" i="40"/>
  <c r="Q183" i="40"/>
  <c r="AC183" i="40"/>
  <c r="AD183" i="40"/>
  <c r="AF183" i="40"/>
  <c r="U182" i="40"/>
  <c r="Y182" i="40"/>
  <c r="N182" i="40"/>
  <c r="AA182" i="40"/>
  <c r="AE182" i="40"/>
  <c r="AB182" i="40"/>
  <c r="V182" i="40"/>
  <c r="Z182" i="40"/>
  <c r="Q182" i="40"/>
  <c r="AC182" i="40"/>
  <c r="AD182" i="40"/>
  <c r="AF182" i="40"/>
  <c r="U181" i="40"/>
  <c r="Y181" i="40"/>
  <c r="N181" i="40"/>
  <c r="AA181" i="40"/>
  <c r="AE181" i="40"/>
  <c r="AB181" i="40"/>
  <c r="V181" i="40"/>
  <c r="Z181" i="40"/>
  <c r="Q181" i="40"/>
  <c r="AC181" i="40"/>
  <c r="AD181" i="40"/>
  <c r="AF181" i="40"/>
  <c r="U180" i="40"/>
  <c r="Y180" i="40"/>
  <c r="N180" i="40"/>
  <c r="AA180" i="40"/>
  <c r="AE180" i="40"/>
  <c r="AB180" i="40"/>
  <c r="V180" i="40"/>
  <c r="Z180" i="40"/>
  <c r="Q180" i="40"/>
  <c r="AC180" i="40"/>
  <c r="AD180" i="40"/>
  <c r="AF180" i="40"/>
  <c r="U179" i="40"/>
  <c r="Y179" i="40"/>
  <c r="N179" i="40"/>
  <c r="AA179" i="40"/>
  <c r="AE179" i="40"/>
  <c r="AB179" i="40"/>
  <c r="V179" i="40"/>
  <c r="Z179" i="40"/>
  <c r="Q179" i="40"/>
  <c r="AC179" i="40"/>
  <c r="AD179" i="40"/>
  <c r="AF179" i="40"/>
  <c r="U178" i="40"/>
  <c r="Y178" i="40"/>
  <c r="N178" i="40"/>
  <c r="AA178" i="40"/>
  <c r="AE178" i="40"/>
  <c r="AB178" i="40"/>
  <c r="V178" i="40"/>
  <c r="Z178" i="40"/>
  <c r="Q178" i="40"/>
  <c r="AC178" i="40"/>
  <c r="AD178" i="40"/>
  <c r="AF178" i="40"/>
  <c r="U177" i="40"/>
  <c r="Y177" i="40"/>
  <c r="N177" i="40"/>
  <c r="AA177" i="40"/>
  <c r="AE177" i="40"/>
  <c r="AB177" i="40"/>
  <c r="V177" i="40"/>
  <c r="Z177" i="40"/>
  <c r="Q177" i="40"/>
  <c r="AC177" i="40"/>
  <c r="AD177" i="40"/>
  <c r="AF177" i="40"/>
  <c r="U176" i="40"/>
  <c r="Y176" i="40"/>
  <c r="N176" i="40"/>
  <c r="AA176" i="40"/>
  <c r="AE176" i="40"/>
  <c r="AB176" i="40"/>
  <c r="V176" i="40"/>
  <c r="Z176" i="40"/>
  <c r="Q176" i="40"/>
  <c r="AC176" i="40"/>
  <c r="AD176" i="40"/>
  <c r="AF176" i="40"/>
  <c r="U175" i="40"/>
  <c r="Y175" i="40"/>
  <c r="N175" i="40"/>
  <c r="AA175" i="40"/>
  <c r="AE175" i="40"/>
  <c r="AB175" i="40"/>
  <c r="V175" i="40"/>
  <c r="Z175" i="40"/>
  <c r="Q175" i="40"/>
  <c r="AC175" i="40"/>
  <c r="AD175" i="40"/>
  <c r="AF175" i="40"/>
  <c r="U174" i="40"/>
  <c r="Y174" i="40"/>
  <c r="N174" i="40"/>
  <c r="AA174" i="40"/>
  <c r="AE174" i="40"/>
  <c r="AB174" i="40"/>
  <c r="V174" i="40"/>
  <c r="Z174" i="40"/>
  <c r="Q174" i="40"/>
  <c r="AC174" i="40"/>
  <c r="AD174" i="40"/>
  <c r="AF174" i="40"/>
  <c r="U173" i="40"/>
  <c r="Y173" i="40"/>
  <c r="N173" i="40"/>
  <c r="AA173" i="40"/>
  <c r="AE173" i="40"/>
  <c r="AB173" i="40"/>
  <c r="V173" i="40"/>
  <c r="Z173" i="40"/>
  <c r="Q173" i="40"/>
  <c r="AC173" i="40"/>
  <c r="AD173" i="40"/>
  <c r="AF173" i="40"/>
  <c r="U172" i="40"/>
  <c r="Y172" i="40"/>
  <c r="N172" i="40"/>
  <c r="AA172" i="40"/>
  <c r="AE172" i="40"/>
  <c r="AB172" i="40"/>
  <c r="V172" i="40"/>
  <c r="Z172" i="40"/>
  <c r="Q172" i="40"/>
  <c r="AC172" i="40"/>
  <c r="AD172" i="40"/>
  <c r="AF172" i="40"/>
  <c r="U171" i="40"/>
  <c r="Y171" i="40"/>
  <c r="N171" i="40"/>
  <c r="AA171" i="40"/>
  <c r="AE171" i="40"/>
  <c r="AB171" i="40"/>
  <c r="V171" i="40"/>
  <c r="Z171" i="40"/>
  <c r="Q171" i="40"/>
  <c r="AC171" i="40"/>
  <c r="AD171" i="40"/>
  <c r="AF171" i="40"/>
  <c r="U170" i="40"/>
  <c r="Y170" i="40"/>
  <c r="N170" i="40"/>
  <c r="AA170" i="40"/>
  <c r="AE170" i="40"/>
  <c r="AB170" i="40"/>
  <c r="V170" i="40"/>
  <c r="Z170" i="40"/>
  <c r="Q170" i="40"/>
  <c r="AC170" i="40"/>
  <c r="AD170" i="40"/>
  <c r="AF170" i="40"/>
  <c r="U169" i="40"/>
  <c r="Y169" i="40"/>
  <c r="N169" i="40"/>
  <c r="AA169" i="40"/>
  <c r="AE169" i="40"/>
  <c r="AB169" i="40"/>
  <c r="V169" i="40"/>
  <c r="Z169" i="40"/>
  <c r="Q169" i="40"/>
  <c r="AC169" i="40"/>
  <c r="AD169" i="40"/>
  <c r="AF169" i="40"/>
  <c r="U168" i="40"/>
  <c r="Y168" i="40"/>
  <c r="N168" i="40"/>
  <c r="AA168" i="40"/>
  <c r="AE168" i="40"/>
  <c r="AB168" i="40"/>
  <c r="V168" i="40"/>
  <c r="Z168" i="40"/>
  <c r="Q168" i="40"/>
  <c r="AC168" i="40"/>
  <c r="AD168" i="40"/>
  <c r="AF168" i="40"/>
  <c r="U167" i="40"/>
  <c r="Y167" i="40"/>
  <c r="N167" i="40"/>
  <c r="AA167" i="40"/>
  <c r="AE167" i="40"/>
  <c r="AB167" i="40"/>
  <c r="V167" i="40"/>
  <c r="Z167" i="40"/>
  <c r="Q167" i="40"/>
  <c r="AC167" i="40"/>
  <c r="AD167" i="40"/>
  <c r="AF167" i="40"/>
  <c r="U166" i="40"/>
  <c r="Y166" i="40"/>
  <c r="N166" i="40"/>
  <c r="AA166" i="40"/>
  <c r="AE166" i="40"/>
  <c r="AB166" i="40"/>
  <c r="V166" i="40"/>
  <c r="Z166" i="40"/>
  <c r="Q166" i="40"/>
  <c r="AC166" i="40"/>
  <c r="AD166" i="40"/>
  <c r="AF166" i="40"/>
  <c r="U165" i="40"/>
  <c r="Y165" i="40"/>
  <c r="N165" i="40"/>
  <c r="AA165" i="40"/>
  <c r="AE165" i="40"/>
  <c r="AB165" i="40"/>
  <c r="V165" i="40"/>
  <c r="Z165" i="40"/>
  <c r="Q165" i="40"/>
  <c r="AC165" i="40"/>
  <c r="AD165" i="40"/>
  <c r="AF165" i="40"/>
  <c r="U164" i="40"/>
  <c r="Y164" i="40"/>
  <c r="N164" i="40"/>
  <c r="AA164" i="40"/>
  <c r="AE164" i="40"/>
  <c r="AB164" i="40"/>
  <c r="V164" i="40"/>
  <c r="Z164" i="40"/>
  <c r="Q164" i="40"/>
  <c r="AC164" i="40"/>
  <c r="AD164" i="40"/>
  <c r="AF164" i="40"/>
  <c r="U163" i="40"/>
  <c r="Y163" i="40"/>
  <c r="N163" i="40"/>
  <c r="AA163" i="40"/>
  <c r="AE163" i="40"/>
  <c r="AB163" i="40"/>
  <c r="V163" i="40"/>
  <c r="Z163" i="40"/>
  <c r="Q163" i="40"/>
  <c r="AC163" i="40"/>
  <c r="AD163" i="40"/>
  <c r="AF163" i="40"/>
  <c r="U162" i="40"/>
  <c r="Y162" i="40"/>
  <c r="N162" i="40"/>
  <c r="AA162" i="40"/>
  <c r="AE162" i="40"/>
  <c r="AB162" i="40"/>
  <c r="V162" i="40"/>
  <c r="Z162" i="40"/>
  <c r="Q162" i="40"/>
  <c r="AC162" i="40"/>
  <c r="AD162" i="40"/>
  <c r="AF162" i="40"/>
  <c r="U161" i="40"/>
  <c r="Y161" i="40"/>
  <c r="N161" i="40"/>
  <c r="AA161" i="40"/>
  <c r="AE161" i="40"/>
  <c r="AB161" i="40"/>
  <c r="V161" i="40"/>
  <c r="Z161" i="40"/>
  <c r="Q161" i="40"/>
  <c r="AC161" i="40"/>
  <c r="AD161" i="40"/>
  <c r="AF161" i="40"/>
  <c r="U160" i="40"/>
  <c r="Y160" i="40"/>
  <c r="N160" i="40"/>
  <c r="AA160" i="40"/>
  <c r="AE160" i="40"/>
  <c r="AB160" i="40"/>
  <c r="V160" i="40"/>
  <c r="Z160" i="40"/>
  <c r="Q160" i="40"/>
  <c r="AC160" i="40"/>
  <c r="AD160" i="40"/>
  <c r="AF160" i="40"/>
  <c r="U159" i="40"/>
  <c r="Y159" i="40"/>
  <c r="N159" i="40"/>
  <c r="AA159" i="40"/>
  <c r="AE159" i="40"/>
  <c r="AB159" i="40"/>
  <c r="V159" i="40"/>
  <c r="Z159" i="40"/>
  <c r="Q159" i="40"/>
  <c r="AC159" i="40"/>
  <c r="AD159" i="40"/>
  <c r="AF159" i="40"/>
  <c r="U158" i="40"/>
  <c r="Y158" i="40"/>
  <c r="N158" i="40"/>
  <c r="AA158" i="40"/>
  <c r="AE158" i="40"/>
  <c r="AB158" i="40"/>
  <c r="V158" i="40"/>
  <c r="Z158" i="40"/>
  <c r="Q158" i="40"/>
  <c r="AC158" i="40"/>
  <c r="AD158" i="40"/>
  <c r="AF158" i="40"/>
  <c r="U157" i="40"/>
  <c r="Y157" i="40"/>
  <c r="N157" i="40"/>
  <c r="AA157" i="40"/>
  <c r="AE157" i="40"/>
  <c r="AB157" i="40"/>
  <c r="V157" i="40"/>
  <c r="Z157" i="40"/>
  <c r="Q157" i="40"/>
  <c r="AC157" i="40"/>
  <c r="AD157" i="40"/>
  <c r="AF157" i="40"/>
  <c r="U156" i="40"/>
  <c r="Y156" i="40"/>
  <c r="N156" i="40"/>
  <c r="AA156" i="40"/>
  <c r="AE156" i="40"/>
  <c r="AB156" i="40"/>
  <c r="V156" i="40"/>
  <c r="Z156" i="40"/>
  <c r="Q156" i="40"/>
  <c r="AC156" i="40"/>
  <c r="AD156" i="40"/>
  <c r="AF156" i="40"/>
  <c r="U155" i="40"/>
  <c r="Y155" i="40"/>
  <c r="N155" i="40"/>
  <c r="AA155" i="40"/>
  <c r="AE155" i="40"/>
  <c r="AB155" i="40"/>
  <c r="V155" i="40"/>
  <c r="Z155" i="40"/>
  <c r="Q155" i="40"/>
  <c r="AC155" i="40"/>
  <c r="AD155" i="40"/>
  <c r="AF155" i="40"/>
  <c r="U154" i="40"/>
  <c r="Y154" i="40"/>
  <c r="N154" i="40"/>
  <c r="AA154" i="40"/>
  <c r="AE154" i="40"/>
  <c r="AB154" i="40"/>
  <c r="V154" i="40"/>
  <c r="Z154" i="40"/>
  <c r="Q154" i="40"/>
  <c r="AC154" i="40"/>
  <c r="AD154" i="40"/>
  <c r="AF154" i="40"/>
  <c r="U153" i="40"/>
  <c r="Y153" i="40"/>
  <c r="N153" i="40"/>
  <c r="AA153" i="40"/>
  <c r="AE153" i="40"/>
  <c r="AB153" i="40"/>
  <c r="V153" i="40"/>
  <c r="Z153" i="40"/>
  <c r="Q153" i="40"/>
  <c r="AC153" i="40"/>
  <c r="AD153" i="40"/>
  <c r="AF153" i="40"/>
  <c r="U152" i="40"/>
  <c r="Y152" i="40"/>
  <c r="N152" i="40"/>
  <c r="AA152" i="40"/>
  <c r="AE152" i="40"/>
  <c r="AB152" i="40"/>
  <c r="V152" i="40"/>
  <c r="Z152" i="40"/>
  <c r="Q152" i="40"/>
  <c r="AC152" i="40"/>
  <c r="AD152" i="40"/>
  <c r="AF152" i="40"/>
  <c r="U151" i="40"/>
  <c r="Y151" i="40"/>
  <c r="N151" i="40"/>
  <c r="AA151" i="40"/>
  <c r="AE151" i="40"/>
  <c r="AB151" i="40"/>
  <c r="V151" i="40"/>
  <c r="Z151" i="40"/>
  <c r="Q151" i="40"/>
  <c r="AC151" i="40"/>
  <c r="AD151" i="40"/>
  <c r="AF151" i="40"/>
  <c r="U150" i="40"/>
  <c r="Y150" i="40"/>
  <c r="N150" i="40"/>
  <c r="AA150" i="40"/>
  <c r="AE150" i="40"/>
  <c r="AB150" i="40"/>
  <c r="V150" i="40"/>
  <c r="Z150" i="40"/>
  <c r="Q150" i="40"/>
  <c r="AC150" i="40"/>
  <c r="AD150" i="40"/>
  <c r="AF150" i="40"/>
  <c r="U149" i="40"/>
  <c r="Y149" i="40"/>
  <c r="N149" i="40"/>
  <c r="AA149" i="40"/>
  <c r="AE149" i="40"/>
  <c r="AB149" i="40"/>
  <c r="V149" i="40"/>
  <c r="Z149" i="40"/>
  <c r="Q149" i="40"/>
  <c r="AC149" i="40"/>
  <c r="AD149" i="40"/>
  <c r="AF149" i="40"/>
  <c r="U148" i="40"/>
  <c r="Y148" i="40"/>
  <c r="N148" i="40"/>
  <c r="AA148" i="40"/>
  <c r="AE148" i="40"/>
  <c r="AB148" i="40"/>
  <c r="V148" i="40"/>
  <c r="Z148" i="40"/>
  <c r="Q148" i="40"/>
  <c r="AC148" i="40"/>
  <c r="AD148" i="40"/>
  <c r="AF148" i="40"/>
  <c r="U147" i="40"/>
  <c r="Y147" i="40"/>
  <c r="N147" i="40"/>
  <c r="AA147" i="40"/>
  <c r="AE147" i="40"/>
  <c r="AB147" i="40"/>
  <c r="V147" i="40"/>
  <c r="Z147" i="40"/>
  <c r="Q147" i="40"/>
  <c r="AC147" i="40"/>
  <c r="AD147" i="40"/>
  <c r="AF147" i="40"/>
  <c r="U146" i="40"/>
  <c r="Y146" i="40"/>
  <c r="N146" i="40"/>
  <c r="AA146" i="40"/>
  <c r="AE146" i="40"/>
  <c r="AB146" i="40"/>
  <c r="V146" i="40"/>
  <c r="Z146" i="40"/>
  <c r="Q146" i="40"/>
  <c r="AC146" i="40"/>
  <c r="AD146" i="40"/>
  <c r="AF146" i="40"/>
  <c r="U145" i="40"/>
  <c r="Y145" i="40"/>
  <c r="N145" i="40"/>
  <c r="AA145" i="40"/>
  <c r="AE145" i="40"/>
  <c r="AB145" i="40"/>
  <c r="V145" i="40"/>
  <c r="Z145" i="40"/>
  <c r="Q145" i="40"/>
  <c r="AC145" i="40"/>
  <c r="AD145" i="40"/>
  <c r="AF145" i="40"/>
  <c r="U144" i="40"/>
  <c r="Y144" i="40"/>
  <c r="N144" i="40"/>
  <c r="AA144" i="40"/>
  <c r="AE144" i="40"/>
  <c r="AB144" i="40"/>
  <c r="V144" i="40"/>
  <c r="Z144" i="40"/>
  <c r="Q144" i="40"/>
  <c r="AC144" i="40"/>
  <c r="AD144" i="40"/>
  <c r="AF144" i="40"/>
  <c r="U143" i="40"/>
  <c r="Y143" i="40"/>
  <c r="N143" i="40"/>
  <c r="AA143" i="40"/>
  <c r="AE143" i="40"/>
  <c r="AB143" i="40"/>
  <c r="V143" i="40"/>
  <c r="Z143" i="40"/>
  <c r="Q143" i="40"/>
  <c r="AC143" i="40"/>
  <c r="AD143" i="40"/>
  <c r="AF143" i="40"/>
  <c r="U142" i="40"/>
  <c r="Y142" i="40"/>
  <c r="N142" i="40"/>
  <c r="AA142" i="40"/>
  <c r="AE142" i="40"/>
  <c r="AB142" i="40"/>
  <c r="V142" i="40"/>
  <c r="Z142" i="40"/>
  <c r="Q142" i="40"/>
  <c r="AC142" i="40"/>
  <c r="AD142" i="40"/>
  <c r="AF142" i="40"/>
  <c r="U141" i="40"/>
  <c r="Y141" i="40"/>
  <c r="N141" i="40"/>
  <c r="AA141" i="40"/>
  <c r="AE141" i="40"/>
  <c r="AB141" i="40"/>
  <c r="V141" i="40"/>
  <c r="Z141" i="40"/>
  <c r="Q141" i="40"/>
  <c r="AC141" i="40"/>
  <c r="AD141" i="40"/>
  <c r="AF141" i="40"/>
  <c r="U140" i="40"/>
  <c r="Y140" i="40"/>
  <c r="N140" i="40"/>
  <c r="AA140" i="40"/>
  <c r="AE140" i="40"/>
  <c r="AB140" i="40"/>
  <c r="V140" i="40"/>
  <c r="Z140" i="40"/>
  <c r="Q140" i="40"/>
  <c r="AC140" i="40"/>
  <c r="AD140" i="40"/>
  <c r="AF140" i="40"/>
  <c r="U139" i="40"/>
  <c r="Y139" i="40"/>
  <c r="N139" i="40"/>
  <c r="AA139" i="40"/>
  <c r="AE139" i="40"/>
  <c r="AB139" i="40"/>
  <c r="V139" i="40"/>
  <c r="Z139" i="40"/>
  <c r="Q139" i="40"/>
  <c r="AC139" i="40"/>
  <c r="AD139" i="40"/>
  <c r="AF139" i="40"/>
  <c r="U138" i="40"/>
  <c r="Y138" i="40"/>
  <c r="N138" i="40"/>
  <c r="AA138" i="40"/>
  <c r="AE138" i="40"/>
  <c r="AB138" i="40"/>
  <c r="V138" i="40"/>
  <c r="Z138" i="40"/>
  <c r="Q138" i="40"/>
  <c r="AC138" i="40"/>
  <c r="AD138" i="40"/>
  <c r="AF138" i="40"/>
  <c r="U137" i="40"/>
  <c r="Y137" i="40"/>
  <c r="N137" i="40"/>
  <c r="AA137" i="40"/>
  <c r="AE137" i="40"/>
  <c r="AB137" i="40"/>
  <c r="V137" i="40"/>
  <c r="Z137" i="40"/>
  <c r="Q137" i="40"/>
  <c r="AC137" i="40"/>
  <c r="AD137" i="40"/>
  <c r="AF137" i="40"/>
  <c r="U136" i="40"/>
  <c r="Y136" i="40"/>
  <c r="N136" i="40"/>
  <c r="AA136" i="40"/>
  <c r="AE136" i="40"/>
  <c r="AB136" i="40"/>
  <c r="V136" i="40"/>
  <c r="Z136" i="40"/>
  <c r="Q136" i="40"/>
  <c r="AC136" i="40"/>
  <c r="AD136" i="40"/>
  <c r="AF136" i="40"/>
  <c r="U135" i="40"/>
  <c r="Y135" i="40"/>
  <c r="N135" i="40"/>
  <c r="AA135" i="40"/>
  <c r="AE135" i="40"/>
  <c r="AB135" i="40"/>
  <c r="V135" i="40"/>
  <c r="Z135" i="40"/>
  <c r="Q135" i="40"/>
  <c r="AC135" i="40"/>
  <c r="AD135" i="40"/>
  <c r="AF135" i="40"/>
  <c r="U134" i="40"/>
  <c r="Y134" i="40"/>
  <c r="N134" i="40"/>
  <c r="AA134" i="40"/>
  <c r="AE134" i="40"/>
  <c r="AB134" i="40"/>
  <c r="V134" i="40"/>
  <c r="Z134" i="40"/>
  <c r="Q134" i="40"/>
  <c r="AC134" i="40"/>
  <c r="AD134" i="40"/>
  <c r="AF134" i="40"/>
  <c r="U133" i="40"/>
  <c r="Y133" i="40"/>
  <c r="N133" i="40"/>
  <c r="AA133" i="40"/>
  <c r="AE133" i="40"/>
  <c r="AB133" i="40"/>
  <c r="V133" i="40"/>
  <c r="Z133" i="40"/>
  <c r="Q133" i="40"/>
  <c r="AC133" i="40"/>
  <c r="AD133" i="40"/>
  <c r="AF133" i="40"/>
  <c r="U132" i="40"/>
  <c r="Y132" i="40"/>
  <c r="N132" i="40"/>
  <c r="AA132" i="40"/>
  <c r="AE132" i="40"/>
  <c r="AB132" i="40"/>
  <c r="V132" i="40"/>
  <c r="Z132" i="40"/>
  <c r="Q132" i="40"/>
  <c r="AC132" i="40"/>
  <c r="AD132" i="40"/>
  <c r="AF132" i="40"/>
  <c r="U131" i="40"/>
  <c r="Y131" i="40"/>
  <c r="N131" i="40"/>
  <c r="AA131" i="40"/>
  <c r="AE131" i="40"/>
  <c r="AB131" i="40"/>
  <c r="V131" i="40"/>
  <c r="Z131" i="40"/>
  <c r="Q131" i="40"/>
  <c r="AC131" i="40"/>
  <c r="AD131" i="40"/>
  <c r="AF131" i="40"/>
  <c r="U130" i="40"/>
  <c r="Y130" i="40"/>
  <c r="N130" i="40"/>
  <c r="AA130" i="40"/>
  <c r="AE130" i="40"/>
  <c r="AB130" i="40"/>
  <c r="V130" i="40"/>
  <c r="Z130" i="40"/>
  <c r="Q130" i="40"/>
  <c r="AC130" i="40"/>
  <c r="AD130" i="40"/>
  <c r="AF130" i="40"/>
  <c r="U129" i="40"/>
  <c r="Y129" i="40"/>
  <c r="N129" i="40"/>
  <c r="AA129" i="40"/>
  <c r="AE129" i="40"/>
  <c r="AB129" i="40"/>
  <c r="V129" i="40"/>
  <c r="Z129" i="40"/>
  <c r="Q129" i="40"/>
  <c r="AC129" i="40"/>
  <c r="AD129" i="40"/>
  <c r="AF129" i="40"/>
  <c r="U128" i="40"/>
  <c r="Y128" i="40"/>
  <c r="N128" i="40"/>
  <c r="AA128" i="40"/>
  <c r="AE128" i="40"/>
  <c r="AB128" i="40"/>
  <c r="V128" i="40"/>
  <c r="Z128" i="40"/>
  <c r="Q128" i="40"/>
  <c r="AC128" i="40"/>
  <c r="AD128" i="40"/>
  <c r="AF128" i="40"/>
  <c r="U127" i="40"/>
  <c r="Y127" i="40"/>
  <c r="N127" i="40"/>
  <c r="AA127" i="40"/>
  <c r="AE127" i="40"/>
  <c r="AB127" i="40"/>
  <c r="V127" i="40"/>
  <c r="Z127" i="40"/>
  <c r="Q127" i="40"/>
  <c r="AC127" i="40"/>
  <c r="AD127" i="40"/>
  <c r="AF127" i="40"/>
  <c r="U126" i="40"/>
  <c r="Y126" i="40"/>
  <c r="N126" i="40"/>
  <c r="AA126" i="40"/>
  <c r="AE126" i="40"/>
  <c r="AB126" i="40"/>
  <c r="V126" i="40"/>
  <c r="Z126" i="40"/>
  <c r="Q126" i="40"/>
  <c r="AC126" i="40"/>
  <c r="AD126" i="40"/>
  <c r="AF126" i="40"/>
  <c r="U125" i="40"/>
  <c r="Y125" i="40"/>
  <c r="N125" i="40"/>
  <c r="AA125" i="40"/>
  <c r="AE125" i="40"/>
  <c r="AB125" i="40"/>
  <c r="V125" i="40"/>
  <c r="Z125" i="40"/>
  <c r="Q125" i="40"/>
  <c r="AC125" i="40"/>
  <c r="AD125" i="40"/>
  <c r="AF125" i="40"/>
  <c r="U124" i="40"/>
  <c r="Y124" i="40"/>
  <c r="N124" i="40"/>
  <c r="AA124" i="40"/>
  <c r="AE124" i="40"/>
  <c r="AB124" i="40"/>
  <c r="V124" i="40"/>
  <c r="Z124" i="40"/>
  <c r="Q124" i="40"/>
  <c r="AC124" i="40"/>
  <c r="AD124" i="40"/>
  <c r="AF124" i="40"/>
  <c r="U123" i="40"/>
  <c r="Y123" i="40"/>
  <c r="N123" i="40"/>
  <c r="AA123" i="40"/>
  <c r="AE123" i="40"/>
  <c r="AB123" i="40"/>
  <c r="V123" i="40"/>
  <c r="Z123" i="40"/>
  <c r="Q123" i="40"/>
  <c r="AC123" i="40"/>
  <c r="AD123" i="40"/>
  <c r="AF123" i="40"/>
  <c r="U122" i="40"/>
  <c r="Y122" i="40"/>
  <c r="N122" i="40"/>
  <c r="AA122" i="40"/>
  <c r="AE122" i="40"/>
  <c r="AB122" i="40"/>
  <c r="V122" i="40"/>
  <c r="Z122" i="40"/>
  <c r="Q122" i="40"/>
  <c r="AC122" i="40"/>
  <c r="AD122" i="40"/>
  <c r="AF122" i="40"/>
  <c r="U121" i="40"/>
  <c r="Y121" i="40"/>
  <c r="N121" i="40"/>
  <c r="AA121" i="40"/>
  <c r="AE121" i="40"/>
  <c r="AB121" i="40"/>
  <c r="V121" i="40"/>
  <c r="Z121" i="40"/>
  <c r="Q121" i="40"/>
  <c r="AC121" i="40"/>
  <c r="AD121" i="40"/>
  <c r="AF121" i="40"/>
  <c r="U120" i="40"/>
  <c r="Y120" i="40"/>
  <c r="N120" i="40"/>
  <c r="AA120" i="40"/>
  <c r="AE120" i="40"/>
  <c r="AB120" i="40"/>
  <c r="V120" i="40"/>
  <c r="Z120" i="40"/>
  <c r="Q120" i="40"/>
  <c r="AC120" i="40"/>
  <c r="AD120" i="40"/>
  <c r="AF120" i="40"/>
  <c r="U119" i="40"/>
  <c r="Y119" i="40"/>
  <c r="N119" i="40"/>
  <c r="AA119" i="40"/>
  <c r="AE119" i="40"/>
  <c r="AB119" i="40"/>
  <c r="V119" i="40"/>
  <c r="Z119" i="40"/>
  <c r="Q119" i="40"/>
  <c r="AC119" i="40"/>
  <c r="AD119" i="40"/>
  <c r="AF119" i="40"/>
  <c r="U118" i="40"/>
  <c r="Y118" i="40"/>
  <c r="N118" i="40"/>
  <c r="AA118" i="40"/>
  <c r="AE118" i="40"/>
  <c r="AB118" i="40"/>
  <c r="V118" i="40"/>
  <c r="Z118" i="40"/>
  <c r="Q118" i="40"/>
  <c r="AC118" i="40"/>
  <c r="AD118" i="40"/>
  <c r="AF118" i="40"/>
  <c r="U117" i="40"/>
  <c r="Y117" i="40"/>
  <c r="N117" i="40"/>
  <c r="AA117" i="40"/>
  <c r="AE117" i="40"/>
  <c r="AB117" i="40"/>
  <c r="V117" i="40"/>
  <c r="Z117" i="40"/>
  <c r="Q117" i="40"/>
  <c r="AC117" i="40"/>
  <c r="AD117" i="40"/>
  <c r="AF117" i="40"/>
  <c r="U116" i="40"/>
  <c r="Y116" i="40"/>
  <c r="N116" i="40"/>
  <c r="AA116" i="40"/>
  <c r="AE116" i="40"/>
  <c r="AB116" i="40"/>
  <c r="V116" i="40"/>
  <c r="Z116" i="40"/>
  <c r="Q116" i="40"/>
  <c r="AC116" i="40"/>
  <c r="AD116" i="40"/>
  <c r="AF116" i="40"/>
  <c r="U115" i="40"/>
  <c r="Y115" i="40"/>
  <c r="N115" i="40"/>
  <c r="AA115" i="40"/>
  <c r="AE115" i="40"/>
  <c r="AB115" i="40"/>
  <c r="V115" i="40"/>
  <c r="Z115" i="40"/>
  <c r="Q115" i="40"/>
  <c r="AC115" i="40"/>
  <c r="AD115" i="40"/>
  <c r="AF115" i="40"/>
  <c r="U114" i="40"/>
  <c r="Y114" i="40"/>
  <c r="N114" i="40"/>
  <c r="AA114" i="40"/>
  <c r="AE114" i="40"/>
  <c r="AB114" i="40"/>
  <c r="V114" i="40"/>
  <c r="Z114" i="40"/>
  <c r="Q114" i="40"/>
  <c r="AC114" i="40"/>
  <c r="AD114" i="40"/>
  <c r="AF114" i="40"/>
  <c r="U113" i="40"/>
  <c r="Y113" i="40"/>
  <c r="N113" i="40"/>
  <c r="AA113" i="40"/>
  <c r="AE113" i="40"/>
  <c r="AB113" i="40"/>
  <c r="V113" i="40"/>
  <c r="Z113" i="40"/>
  <c r="Q113" i="40"/>
  <c r="AC113" i="40"/>
  <c r="AD113" i="40"/>
  <c r="AF113" i="40"/>
  <c r="U112" i="40"/>
  <c r="Y112" i="40"/>
  <c r="N112" i="40"/>
  <c r="AA112" i="40"/>
  <c r="AE112" i="40"/>
  <c r="AB112" i="40"/>
  <c r="V112" i="40"/>
  <c r="Z112" i="40"/>
  <c r="Q112" i="40"/>
  <c r="AC112" i="40"/>
  <c r="AD112" i="40"/>
  <c r="AF112" i="40"/>
  <c r="U111" i="40"/>
  <c r="Y111" i="40"/>
  <c r="N111" i="40"/>
  <c r="AA111" i="40"/>
  <c r="AE111" i="40"/>
  <c r="AB111" i="40"/>
  <c r="V111" i="40"/>
  <c r="Z111" i="40"/>
  <c r="Q111" i="40"/>
  <c r="AC111" i="40"/>
  <c r="AD111" i="40"/>
  <c r="AF111" i="40"/>
  <c r="U110" i="40"/>
  <c r="Y110" i="40"/>
  <c r="N110" i="40"/>
  <c r="AA110" i="40"/>
  <c r="AE110" i="40"/>
  <c r="AB110" i="40"/>
  <c r="V110" i="40"/>
  <c r="Z110" i="40"/>
  <c r="Q110" i="40"/>
  <c r="AC110" i="40"/>
  <c r="AD110" i="40"/>
  <c r="AF110" i="40"/>
  <c r="U109" i="40"/>
  <c r="Y109" i="40"/>
  <c r="N109" i="40"/>
  <c r="AA109" i="40"/>
  <c r="AE109" i="40"/>
  <c r="AB109" i="40"/>
  <c r="V109" i="40"/>
  <c r="Z109" i="40"/>
  <c r="Q109" i="40"/>
  <c r="AC109" i="40"/>
  <c r="AD109" i="40"/>
  <c r="AF109" i="40"/>
  <c r="U108" i="40"/>
  <c r="Y108" i="40"/>
  <c r="N108" i="40"/>
  <c r="AA108" i="40"/>
  <c r="AE108" i="40"/>
  <c r="AB108" i="40"/>
  <c r="V108" i="40"/>
  <c r="Z108" i="40"/>
  <c r="Q108" i="40"/>
  <c r="AC108" i="40"/>
  <c r="AD108" i="40"/>
  <c r="AF108" i="40"/>
  <c r="U107" i="40"/>
  <c r="Y107" i="40"/>
  <c r="N107" i="40"/>
  <c r="AA107" i="40"/>
  <c r="AE107" i="40"/>
  <c r="AB107" i="40"/>
  <c r="V107" i="40"/>
  <c r="Z107" i="40"/>
  <c r="Q107" i="40"/>
  <c r="AC107" i="40"/>
  <c r="AD107" i="40"/>
  <c r="AF107" i="40"/>
  <c r="U106" i="40"/>
  <c r="Y106" i="40"/>
  <c r="N106" i="40"/>
  <c r="AA106" i="40"/>
  <c r="AE106" i="40"/>
  <c r="AB106" i="40"/>
  <c r="V106" i="40"/>
  <c r="Z106" i="40"/>
  <c r="Q106" i="40"/>
  <c r="AC106" i="40"/>
  <c r="AD106" i="40"/>
  <c r="AF106" i="40"/>
  <c r="U105" i="40"/>
  <c r="Y105" i="40"/>
  <c r="N105" i="40"/>
  <c r="AA105" i="40"/>
  <c r="AE105" i="40"/>
  <c r="AB105" i="40"/>
  <c r="V105" i="40"/>
  <c r="Z105" i="40"/>
  <c r="Q105" i="40"/>
  <c r="AC105" i="40"/>
  <c r="AD105" i="40"/>
  <c r="AF105" i="40"/>
  <c r="U104" i="40"/>
  <c r="Y104" i="40"/>
  <c r="N104" i="40"/>
  <c r="AA104" i="40"/>
  <c r="AE104" i="40"/>
  <c r="AB104" i="40"/>
  <c r="V104" i="40"/>
  <c r="Z104" i="40"/>
  <c r="Q104" i="40"/>
  <c r="AC104" i="40"/>
  <c r="AD104" i="40"/>
  <c r="AF104" i="40"/>
  <c r="U103" i="40"/>
  <c r="Y103" i="40"/>
  <c r="N103" i="40"/>
  <c r="AA103" i="40"/>
  <c r="AE103" i="40"/>
  <c r="AB103" i="40"/>
  <c r="V103" i="40"/>
  <c r="Z103" i="40"/>
  <c r="Q103" i="40"/>
  <c r="AC103" i="40"/>
  <c r="AD103" i="40"/>
  <c r="AF103" i="40"/>
  <c r="U102" i="40"/>
  <c r="Y102" i="40"/>
  <c r="N102" i="40"/>
  <c r="AA102" i="40"/>
  <c r="AE102" i="40"/>
  <c r="AB102" i="40"/>
  <c r="V102" i="40"/>
  <c r="Z102" i="40"/>
  <c r="Q102" i="40"/>
  <c r="AC102" i="40"/>
  <c r="AD102" i="40"/>
  <c r="AF102" i="40"/>
  <c r="U101" i="40"/>
  <c r="Y101" i="40"/>
  <c r="N101" i="40"/>
  <c r="AA101" i="40"/>
  <c r="AE101" i="40"/>
  <c r="AB101" i="40"/>
  <c r="V101" i="40"/>
  <c r="Z101" i="40"/>
  <c r="Q101" i="40"/>
  <c r="AC101" i="40"/>
  <c r="AD101" i="40"/>
  <c r="AF101" i="40"/>
  <c r="U100" i="40"/>
  <c r="Y100" i="40"/>
  <c r="N100" i="40"/>
  <c r="AA100" i="40"/>
  <c r="AE100" i="40"/>
  <c r="AB100" i="40"/>
  <c r="V100" i="40"/>
  <c r="Z100" i="40"/>
  <c r="Q100" i="40"/>
  <c r="AC100" i="40"/>
  <c r="AD100" i="40"/>
  <c r="AF100" i="40"/>
  <c r="U99" i="40"/>
  <c r="Y99" i="40"/>
  <c r="N99" i="40"/>
  <c r="AA99" i="40"/>
  <c r="AE99" i="40"/>
  <c r="AB99" i="40"/>
  <c r="V99" i="40"/>
  <c r="Z99" i="40"/>
  <c r="Q99" i="40"/>
  <c r="AC99" i="40"/>
  <c r="AD99" i="40"/>
  <c r="AF99" i="40"/>
  <c r="U98" i="40"/>
  <c r="Y98" i="40"/>
  <c r="N98" i="40"/>
  <c r="AA98" i="40"/>
  <c r="AE98" i="40"/>
  <c r="AB98" i="40"/>
  <c r="V98" i="40"/>
  <c r="Z98" i="40"/>
  <c r="Q98" i="40"/>
  <c r="AC98" i="40"/>
  <c r="AD98" i="40"/>
  <c r="AF98" i="40"/>
  <c r="U97" i="40"/>
  <c r="Y97" i="40"/>
  <c r="N97" i="40"/>
  <c r="AA97" i="40"/>
  <c r="AE97" i="40"/>
  <c r="AB97" i="40"/>
  <c r="V97" i="40"/>
  <c r="Z97" i="40"/>
  <c r="Q97" i="40"/>
  <c r="AC97" i="40"/>
  <c r="AD97" i="40"/>
  <c r="AF97" i="40"/>
  <c r="U96" i="40"/>
  <c r="Y96" i="40"/>
  <c r="N96" i="40"/>
  <c r="AA96" i="40"/>
  <c r="AE96" i="40"/>
  <c r="AB96" i="40"/>
  <c r="V96" i="40"/>
  <c r="Z96" i="40"/>
  <c r="Q96" i="40"/>
  <c r="AC96" i="40"/>
  <c r="AD96" i="40"/>
  <c r="AF96" i="40"/>
  <c r="U95" i="40"/>
  <c r="Y95" i="40"/>
  <c r="N95" i="40"/>
  <c r="AA95" i="40"/>
  <c r="AE95" i="40"/>
  <c r="AB95" i="40"/>
  <c r="V95" i="40"/>
  <c r="Z95" i="40"/>
  <c r="Q95" i="40"/>
  <c r="AC95" i="40"/>
  <c r="AD95" i="40"/>
  <c r="AF95" i="40"/>
  <c r="U94" i="40"/>
  <c r="Y94" i="40"/>
  <c r="N94" i="40"/>
  <c r="AA94" i="40"/>
  <c r="AE94" i="40"/>
  <c r="AB94" i="40"/>
  <c r="V94" i="40"/>
  <c r="Z94" i="40"/>
  <c r="Q94" i="40"/>
  <c r="AC94" i="40"/>
  <c r="AD94" i="40"/>
  <c r="AF94" i="40"/>
  <c r="U93" i="40"/>
  <c r="Y93" i="40"/>
  <c r="N93" i="40"/>
  <c r="AA93" i="40"/>
  <c r="AE93" i="40"/>
  <c r="AB93" i="40"/>
  <c r="V93" i="40"/>
  <c r="Z93" i="40"/>
  <c r="Q93" i="40"/>
  <c r="AC93" i="40"/>
  <c r="AD93" i="40"/>
  <c r="AF93" i="40"/>
  <c r="U92" i="40"/>
  <c r="Y92" i="40"/>
  <c r="N92" i="40"/>
  <c r="AA92" i="40"/>
  <c r="AE92" i="40"/>
  <c r="AB92" i="40"/>
  <c r="V92" i="40"/>
  <c r="Z92" i="40"/>
  <c r="Q92" i="40"/>
  <c r="AC92" i="40"/>
  <c r="AD92" i="40"/>
  <c r="AF92" i="40"/>
  <c r="U91" i="40"/>
  <c r="Y91" i="40"/>
  <c r="N91" i="40"/>
  <c r="AA91" i="40"/>
  <c r="AE91" i="40"/>
  <c r="AB91" i="40"/>
  <c r="V91" i="40"/>
  <c r="Z91" i="40"/>
  <c r="Q91" i="40"/>
  <c r="AC91" i="40"/>
  <c r="AD91" i="40"/>
  <c r="AF91" i="40"/>
  <c r="U90" i="40"/>
  <c r="Y90" i="40"/>
  <c r="N90" i="40"/>
  <c r="AA90" i="40"/>
  <c r="AE90" i="40"/>
  <c r="AB90" i="40"/>
  <c r="V90" i="40"/>
  <c r="Z90" i="40"/>
  <c r="Q90" i="40"/>
  <c r="AC90" i="40"/>
  <c r="AD90" i="40"/>
  <c r="AF90" i="40"/>
  <c r="U89" i="40"/>
  <c r="Y89" i="40"/>
  <c r="N89" i="40"/>
  <c r="AA89" i="40"/>
  <c r="AE89" i="40"/>
  <c r="AB89" i="40"/>
  <c r="V89" i="40"/>
  <c r="Z89" i="40"/>
  <c r="Q89" i="40"/>
  <c r="AC89" i="40"/>
  <c r="AD89" i="40"/>
  <c r="AF89" i="40"/>
  <c r="U88" i="40"/>
  <c r="Y88" i="40"/>
  <c r="N88" i="40"/>
  <c r="AA88" i="40"/>
  <c r="AE88" i="40"/>
  <c r="AB88" i="40"/>
  <c r="V88" i="40"/>
  <c r="Z88" i="40"/>
  <c r="Q88" i="40"/>
  <c r="AC88" i="40"/>
  <c r="AD88" i="40"/>
  <c r="AF88" i="40"/>
  <c r="U87" i="40"/>
  <c r="Y87" i="40"/>
  <c r="N87" i="40"/>
  <c r="AA87" i="40"/>
  <c r="AE87" i="40"/>
  <c r="AB87" i="40"/>
  <c r="V87" i="40"/>
  <c r="Z87" i="40"/>
  <c r="Q87" i="40"/>
  <c r="AC87" i="40"/>
  <c r="AD87" i="40"/>
  <c r="AF87" i="40"/>
  <c r="U86" i="40"/>
  <c r="Y86" i="40"/>
  <c r="N86" i="40"/>
  <c r="AA86" i="40"/>
  <c r="AE86" i="40"/>
  <c r="AB86" i="40"/>
  <c r="V86" i="40"/>
  <c r="Z86" i="40"/>
  <c r="Q86" i="40"/>
  <c r="AC86" i="40"/>
  <c r="AD86" i="40"/>
  <c r="AF86" i="40"/>
  <c r="U85" i="40"/>
  <c r="Y85" i="40"/>
  <c r="N85" i="40"/>
  <c r="AA85" i="40"/>
  <c r="AE85" i="40"/>
  <c r="AB85" i="40"/>
  <c r="V85" i="40"/>
  <c r="Z85" i="40"/>
  <c r="Q85" i="40"/>
  <c r="AC85" i="40"/>
  <c r="AD85" i="40"/>
  <c r="AF85" i="40"/>
  <c r="U84" i="40"/>
  <c r="Y84" i="40"/>
  <c r="N84" i="40"/>
  <c r="AA84" i="40"/>
  <c r="AE84" i="40"/>
  <c r="AB84" i="40"/>
  <c r="V84" i="40"/>
  <c r="Z84" i="40"/>
  <c r="Q84" i="40"/>
  <c r="AC84" i="40"/>
  <c r="AD84" i="40"/>
  <c r="AF84" i="40"/>
  <c r="U83" i="40"/>
  <c r="Y83" i="40"/>
  <c r="N83" i="40"/>
  <c r="AA83" i="40"/>
  <c r="AE83" i="40"/>
  <c r="AB83" i="40"/>
  <c r="V83" i="40"/>
  <c r="Z83" i="40"/>
  <c r="Q83" i="40"/>
  <c r="AC83" i="40"/>
  <c r="AD83" i="40"/>
  <c r="AF83" i="40"/>
  <c r="U82" i="40"/>
  <c r="Y82" i="40"/>
  <c r="N82" i="40"/>
  <c r="AA82" i="40"/>
  <c r="AE82" i="40"/>
  <c r="AB82" i="40"/>
  <c r="V82" i="40"/>
  <c r="Z82" i="40"/>
  <c r="Q82" i="40"/>
  <c r="AC82" i="40"/>
  <c r="AD82" i="40"/>
  <c r="AF82" i="40"/>
  <c r="U81" i="40"/>
  <c r="Y81" i="40"/>
  <c r="N81" i="40"/>
  <c r="AA81" i="40"/>
  <c r="AE81" i="40"/>
  <c r="AB81" i="40"/>
  <c r="V81" i="40"/>
  <c r="Z81" i="40"/>
  <c r="Q81" i="40"/>
  <c r="AC81" i="40"/>
  <c r="AD81" i="40"/>
  <c r="AF81" i="40"/>
  <c r="U80" i="40"/>
  <c r="Y80" i="40"/>
  <c r="N80" i="40"/>
  <c r="AA80" i="40"/>
  <c r="AE80" i="40"/>
  <c r="AB80" i="40"/>
  <c r="V80" i="40"/>
  <c r="Z80" i="40"/>
  <c r="Q80" i="40"/>
  <c r="AC80" i="40"/>
  <c r="AD80" i="40"/>
  <c r="AF80" i="40"/>
  <c r="U79" i="40"/>
  <c r="Y79" i="40"/>
  <c r="N79" i="40"/>
  <c r="AA79" i="40"/>
  <c r="AE79" i="40"/>
  <c r="AB79" i="40"/>
  <c r="V79" i="40"/>
  <c r="Z79" i="40"/>
  <c r="Q79" i="40"/>
  <c r="AC79" i="40"/>
  <c r="AD79" i="40"/>
  <c r="AF79" i="40"/>
  <c r="U78" i="40"/>
  <c r="Y78" i="40"/>
  <c r="N78" i="40"/>
  <c r="AA78" i="40"/>
  <c r="AE78" i="40"/>
  <c r="AB78" i="40"/>
  <c r="V78" i="40"/>
  <c r="Z78" i="40"/>
  <c r="Q78" i="40"/>
  <c r="AC78" i="40"/>
  <c r="AD78" i="40"/>
  <c r="AF78" i="40"/>
  <c r="U77" i="40"/>
  <c r="Y77" i="40"/>
  <c r="N77" i="40"/>
  <c r="AA77" i="40"/>
  <c r="AE77" i="40"/>
  <c r="AB77" i="40"/>
  <c r="V77" i="40"/>
  <c r="Z77" i="40"/>
  <c r="Q77" i="40"/>
  <c r="AC77" i="40"/>
  <c r="AD77" i="40"/>
  <c r="AF77" i="40"/>
  <c r="U76" i="40"/>
  <c r="Y76" i="40"/>
  <c r="N76" i="40"/>
  <c r="AA76" i="40"/>
  <c r="AE76" i="40"/>
  <c r="AB76" i="40"/>
  <c r="V76" i="40"/>
  <c r="Z76" i="40"/>
  <c r="Q76" i="40"/>
  <c r="AC76" i="40"/>
  <c r="AD76" i="40"/>
  <c r="AF76" i="40"/>
  <c r="G435" i="23"/>
  <c r="I435" i="23"/>
  <c r="J435" i="23"/>
  <c r="K435" i="23"/>
  <c r="X77" i="37"/>
  <c r="X78" i="37"/>
  <c r="G431" i="23"/>
  <c r="I431" i="23"/>
  <c r="J431" i="23"/>
  <c r="K431" i="23"/>
  <c r="X79" i="37"/>
  <c r="G682" i="23"/>
  <c r="I682" i="23"/>
  <c r="J682" i="23"/>
  <c r="K682" i="23"/>
  <c r="X80" i="37"/>
  <c r="G479" i="23"/>
  <c r="I479" i="23"/>
  <c r="J479" i="23"/>
  <c r="K479" i="23"/>
  <c r="X81" i="37"/>
  <c r="G708" i="23"/>
  <c r="I708" i="23"/>
  <c r="J708" i="23"/>
  <c r="K708" i="23"/>
  <c r="X82" i="37"/>
  <c r="G606" i="23"/>
  <c r="I606" i="23"/>
  <c r="J606" i="23"/>
  <c r="K606" i="23"/>
  <c r="X83" i="37"/>
  <c r="G474" i="23"/>
  <c r="I474" i="23"/>
  <c r="J474" i="23"/>
  <c r="K474" i="23"/>
  <c r="X84" i="37"/>
  <c r="G804" i="23"/>
  <c r="I804" i="23"/>
  <c r="J804" i="23"/>
  <c r="K804" i="23"/>
  <c r="X85" i="37"/>
  <c r="G634" i="23"/>
  <c r="I634" i="23"/>
  <c r="J634" i="23"/>
  <c r="K634" i="23"/>
  <c r="X86" i="37"/>
  <c r="X87" i="37"/>
  <c r="G639" i="23"/>
  <c r="I639" i="23"/>
  <c r="J639" i="23"/>
  <c r="K639" i="23"/>
  <c r="X88" i="37"/>
  <c r="G590" i="23"/>
  <c r="I590" i="23"/>
  <c r="J590" i="23"/>
  <c r="K590" i="23"/>
  <c r="X89" i="37"/>
  <c r="G612" i="23"/>
  <c r="I612" i="23"/>
  <c r="J612" i="23"/>
  <c r="K612" i="23"/>
  <c r="X90" i="37"/>
  <c r="G696" i="23"/>
  <c r="I696" i="23"/>
  <c r="J696" i="23"/>
  <c r="K696" i="23"/>
  <c r="X91" i="37"/>
  <c r="G720" i="23"/>
  <c r="I720" i="23"/>
  <c r="J720" i="23"/>
  <c r="K720" i="23"/>
  <c r="X92" i="37"/>
  <c r="G439" i="23"/>
  <c r="I439" i="23"/>
  <c r="J439" i="23"/>
  <c r="K439" i="23"/>
  <c r="X93" i="37"/>
  <c r="G797" i="23"/>
  <c r="I797" i="23"/>
  <c r="J797" i="23"/>
  <c r="K797" i="23"/>
  <c r="X94" i="37"/>
  <c r="G679" i="23"/>
  <c r="I679" i="23"/>
  <c r="J679" i="23"/>
  <c r="K679" i="23"/>
  <c r="X95" i="37"/>
  <c r="G706" i="23"/>
  <c r="I706" i="23"/>
  <c r="J706" i="23"/>
  <c r="K706" i="23"/>
  <c r="X96" i="37"/>
  <c r="G576" i="23"/>
  <c r="I576" i="23"/>
  <c r="J576" i="23"/>
  <c r="K576" i="23"/>
  <c r="X97" i="37"/>
  <c r="G486" i="23"/>
  <c r="I486" i="23"/>
  <c r="J486" i="23"/>
  <c r="K486" i="23"/>
  <c r="X98" i="37"/>
  <c r="G453" i="23"/>
  <c r="I453" i="23"/>
  <c r="J453" i="23"/>
  <c r="K453" i="23"/>
  <c r="X99" i="37"/>
  <c r="G524" i="23"/>
  <c r="I524" i="23"/>
  <c r="J524" i="23"/>
  <c r="K524" i="23"/>
  <c r="X100" i="37"/>
  <c r="G457" i="23"/>
  <c r="I457" i="23"/>
  <c r="J457" i="23"/>
  <c r="K457" i="23"/>
  <c r="X101" i="37"/>
  <c r="G429" i="23"/>
  <c r="I429" i="23"/>
  <c r="J429" i="23"/>
  <c r="K429" i="23"/>
  <c r="X102" i="37"/>
  <c r="G628" i="23"/>
  <c r="I628" i="23"/>
  <c r="J628" i="23"/>
  <c r="K628" i="23"/>
  <c r="X103" i="37"/>
  <c r="G593" i="23"/>
  <c r="I593" i="23"/>
  <c r="J593" i="23"/>
  <c r="K593" i="23"/>
  <c r="X104" i="37"/>
  <c r="G686" i="23"/>
  <c r="I686" i="23"/>
  <c r="J686" i="23"/>
  <c r="K686" i="23"/>
  <c r="X105" i="37"/>
  <c r="G450" i="23"/>
  <c r="I450" i="23"/>
  <c r="J450" i="23"/>
  <c r="K450" i="23"/>
  <c r="X106" i="37"/>
  <c r="G601" i="23"/>
  <c r="I601" i="23"/>
  <c r="J601" i="23"/>
  <c r="K601" i="23"/>
  <c r="X107" i="37"/>
  <c r="X108" i="37"/>
  <c r="X109" i="37"/>
  <c r="G782" i="23"/>
  <c r="I782" i="23"/>
  <c r="J782" i="23"/>
  <c r="K782" i="23"/>
  <c r="X110" i="37"/>
  <c r="G438" i="23"/>
  <c r="I438" i="23"/>
  <c r="J438" i="23"/>
  <c r="K438" i="23"/>
  <c r="X111" i="37"/>
  <c r="G781" i="23"/>
  <c r="I781" i="23"/>
  <c r="J781" i="23"/>
  <c r="K781" i="23"/>
  <c r="X112" i="37"/>
  <c r="G800" i="23"/>
  <c r="I800" i="23"/>
  <c r="J800" i="23"/>
  <c r="K800" i="23"/>
  <c r="X113" i="37"/>
  <c r="G629" i="23"/>
  <c r="I629" i="23"/>
  <c r="J629" i="23"/>
  <c r="K629" i="23"/>
  <c r="X114" i="37"/>
  <c r="G430" i="23"/>
  <c r="I430" i="23"/>
  <c r="J430" i="23"/>
  <c r="K430" i="23"/>
  <c r="X115" i="37"/>
  <c r="G698" i="23"/>
  <c r="I698" i="23"/>
  <c r="J698" i="23"/>
  <c r="K698" i="23"/>
  <c r="X116" i="37"/>
  <c r="G582" i="23"/>
  <c r="I582" i="23"/>
  <c r="J582" i="23"/>
  <c r="K582" i="23"/>
  <c r="X117" i="37"/>
  <c r="G585" i="23"/>
  <c r="I585" i="23"/>
  <c r="J585" i="23"/>
  <c r="K585" i="23"/>
  <c r="X118" i="37"/>
  <c r="G471" i="23"/>
  <c r="I471" i="23"/>
  <c r="J471" i="23"/>
  <c r="K471" i="23"/>
  <c r="X119" i="37"/>
  <c r="G654" i="23"/>
  <c r="I654" i="23"/>
  <c r="J654" i="23"/>
  <c r="K654" i="23"/>
  <c r="X120" i="37"/>
  <c r="X121" i="37"/>
  <c r="G455" i="23"/>
  <c r="I455" i="23"/>
  <c r="J455" i="23"/>
  <c r="K455" i="23"/>
  <c r="X122" i="37"/>
  <c r="G788" i="23"/>
  <c r="I788" i="23"/>
  <c r="J788" i="23"/>
  <c r="K788" i="23"/>
  <c r="X123" i="37"/>
  <c r="G525" i="23"/>
  <c r="I525" i="23"/>
  <c r="J525" i="23"/>
  <c r="K525" i="23"/>
  <c r="X124" i="37"/>
  <c r="X125" i="37"/>
  <c r="G799" i="23"/>
  <c r="I799" i="23"/>
  <c r="J799" i="23"/>
  <c r="K799" i="23"/>
  <c r="X126" i="37"/>
  <c r="G693" i="23"/>
  <c r="I693" i="23"/>
  <c r="J693" i="23"/>
  <c r="K693" i="23"/>
  <c r="X127" i="37"/>
  <c r="X128" i="37"/>
  <c r="X129" i="37"/>
  <c r="X130" i="37"/>
  <c r="G777" i="23"/>
  <c r="I777" i="23"/>
  <c r="J777" i="23"/>
  <c r="K777" i="23"/>
  <c r="X131" i="37"/>
  <c r="G468" i="23"/>
  <c r="I468" i="23"/>
  <c r="J468" i="23"/>
  <c r="K468" i="23"/>
  <c r="X132" i="37"/>
  <c r="G661" i="23"/>
  <c r="I661" i="23"/>
  <c r="J661" i="23"/>
  <c r="K661" i="23"/>
  <c r="X133" i="37"/>
  <c r="G499" i="23"/>
  <c r="I499" i="23"/>
  <c r="J499" i="23"/>
  <c r="K499" i="23"/>
  <c r="X134" i="37"/>
  <c r="G793" i="23"/>
  <c r="I793" i="23"/>
  <c r="J793" i="23"/>
  <c r="K793" i="23"/>
  <c r="X135" i="37"/>
  <c r="X136" i="37"/>
  <c r="G433" i="23"/>
  <c r="I433" i="23"/>
  <c r="J433" i="23"/>
  <c r="K433" i="23"/>
  <c r="X137" i="37"/>
  <c r="G482" i="23"/>
  <c r="I482" i="23"/>
  <c r="J482" i="23"/>
  <c r="K482" i="23"/>
  <c r="X138" i="37"/>
  <c r="G466" i="23"/>
  <c r="I466" i="23"/>
  <c r="J466" i="23"/>
  <c r="K466" i="23"/>
  <c r="X139" i="37"/>
  <c r="G702" i="23"/>
  <c r="I702" i="23"/>
  <c r="J702" i="23"/>
  <c r="K702" i="23"/>
  <c r="X140" i="37"/>
  <c r="J460" i="23"/>
  <c r="K460" i="23"/>
  <c r="X141" i="37"/>
  <c r="G470" i="23"/>
  <c r="I470" i="23"/>
  <c r="J470" i="23"/>
  <c r="K470" i="23"/>
  <c r="X142" i="37"/>
  <c r="G440" i="23"/>
  <c r="I440" i="23"/>
  <c r="J440" i="23"/>
  <c r="K440" i="23"/>
  <c r="X143" i="37"/>
  <c r="G611" i="23"/>
  <c r="I611" i="23"/>
  <c r="J611" i="23"/>
  <c r="K611" i="23"/>
  <c r="X144" i="37"/>
  <c r="G461" i="23"/>
  <c r="I461" i="23"/>
  <c r="J461" i="23"/>
  <c r="K461" i="23"/>
  <c r="X145" i="37"/>
  <c r="G808" i="23"/>
  <c r="I808" i="23"/>
  <c r="J808" i="23"/>
  <c r="K808" i="23"/>
  <c r="X146" i="37"/>
  <c r="G724" i="23"/>
  <c r="I724" i="23"/>
  <c r="J724" i="23"/>
  <c r="K724" i="23"/>
  <c r="X147" i="37"/>
  <c r="X148" i="37"/>
  <c r="X149" i="37"/>
  <c r="X150" i="37"/>
  <c r="G681" i="23"/>
  <c r="I681" i="23"/>
  <c r="J681" i="23"/>
  <c r="K681" i="23"/>
  <c r="X151" i="37"/>
  <c r="G446" i="23"/>
  <c r="I446" i="23"/>
  <c r="J446" i="23"/>
  <c r="K446" i="23"/>
  <c r="X152" i="37"/>
  <c r="X153" i="37"/>
  <c r="G502" i="23"/>
  <c r="I502" i="23"/>
  <c r="J502" i="23"/>
  <c r="K502" i="23"/>
  <c r="X154" i="37"/>
  <c r="X155" i="37"/>
  <c r="G484" i="23"/>
  <c r="I484" i="23"/>
  <c r="J484" i="23"/>
  <c r="K484" i="23"/>
  <c r="X156" i="37"/>
  <c r="G798" i="23"/>
  <c r="I798" i="23"/>
  <c r="J798" i="23"/>
  <c r="K798" i="23"/>
  <c r="X157" i="37"/>
  <c r="G443" i="23"/>
  <c r="I443" i="23"/>
  <c r="J443" i="23"/>
  <c r="K443" i="23"/>
  <c r="X158" i="37"/>
  <c r="G672" i="23"/>
  <c r="I672" i="23"/>
  <c r="J672" i="23"/>
  <c r="K672" i="23"/>
  <c r="X159" i="37"/>
  <c r="G545" i="23"/>
  <c r="I545" i="23"/>
  <c r="J545" i="23"/>
  <c r="K545" i="23"/>
  <c r="X160" i="37"/>
  <c r="X161" i="37"/>
  <c r="X162" i="37"/>
  <c r="X163" i="37"/>
  <c r="X164" i="37"/>
  <c r="G807" i="23"/>
  <c r="I807" i="23"/>
  <c r="J807" i="23"/>
  <c r="K807" i="23"/>
  <c r="X165" i="37"/>
  <c r="G566" i="23"/>
  <c r="I566" i="23"/>
  <c r="J566" i="23"/>
  <c r="K566" i="23"/>
  <c r="X166" i="37"/>
  <c r="X167" i="37"/>
  <c r="X168" i="37"/>
  <c r="X169" i="37"/>
  <c r="G574" i="23"/>
  <c r="I574" i="23"/>
  <c r="J574" i="23"/>
  <c r="K574" i="23"/>
  <c r="X170" i="37"/>
  <c r="G547" i="23"/>
  <c r="I547" i="23"/>
  <c r="J547" i="23"/>
  <c r="K547" i="23"/>
  <c r="X171" i="37"/>
  <c r="X172" i="37"/>
  <c r="G671" i="23"/>
  <c r="I671" i="23"/>
  <c r="J671" i="23"/>
  <c r="K671" i="23"/>
  <c r="X173" i="37"/>
  <c r="G727" i="23"/>
  <c r="I727" i="23"/>
  <c r="J727" i="23"/>
  <c r="K727" i="23"/>
  <c r="X174" i="37"/>
  <c r="G680" i="23"/>
  <c r="I680" i="23"/>
  <c r="J680" i="23"/>
  <c r="K680" i="23"/>
  <c r="X175" i="37"/>
  <c r="G664" i="23"/>
  <c r="I664" i="23"/>
  <c r="J664" i="23"/>
  <c r="K664" i="23"/>
  <c r="X176" i="37"/>
  <c r="G747" i="23"/>
  <c r="I747" i="23"/>
  <c r="J747" i="23"/>
  <c r="K747" i="23"/>
  <c r="X177" i="37"/>
  <c r="G623" i="23"/>
  <c r="I623" i="23"/>
  <c r="J623" i="23"/>
  <c r="K623" i="23"/>
  <c r="X178" i="37"/>
  <c r="G755" i="23"/>
  <c r="I755" i="23"/>
  <c r="J755" i="23"/>
  <c r="K755" i="23"/>
  <c r="X179" i="37"/>
  <c r="G726" i="23"/>
  <c r="I726" i="23"/>
  <c r="J726" i="23"/>
  <c r="K726" i="23"/>
  <c r="X180" i="37"/>
  <c r="G768" i="23"/>
  <c r="I768" i="23"/>
  <c r="J768" i="23"/>
  <c r="K768" i="23"/>
  <c r="X181" i="37"/>
  <c r="G752" i="23"/>
  <c r="I752" i="23"/>
  <c r="J752" i="23"/>
  <c r="K752" i="23"/>
  <c r="X182" i="37"/>
  <c r="G795" i="23"/>
  <c r="I795" i="23"/>
  <c r="J795" i="23"/>
  <c r="K795" i="23"/>
  <c r="X183" i="37"/>
  <c r="G732" i="23"/>
  <c r="I732" i="23"/>
  <c r="J732" i="23"/>
  <c r="K732" i="23"/>
  <c r="X184" i="37"/>
  <c r="G647" i="23"/>
  <c r="I647" i="23"/>
  <c r="J647" i="23"/>
  <c r="K647" i="23"/>
  <c r="X185" i="37"/>
  <c r="G684" i="23"/>
  <c r="I684" i="23"/>
  <c r="J684" i="23"/>
  <c r="K684" i="23"/>
  <c r="X186" i="37"/>
  <c r="G607" i="23"/>
  <c r="I607" i="23"/>
  <c r="J607" i="23"/>
  <c r="K607" i="23"/>
  <c r="X187" i="37"/>
  <c r="G621" i="23"/>
  <c r="I621" i="23"/>
  <c r="J621" i="23"/>
  <c r="K621" i="23"/>
  <c r="X188" i="37"/>
  <c r="G779" i="23"/>
  <c r="I779" i="23"/>
  <c r="J779" i="23"/>
  <c r="K779" i="23"/>
  <c r="X189" i="37"/>
  <c r="G733" i="23"/>
  <c r="I733" i="23"/>
  <c r="J733" i="23"/>
  <c r="K733" i="23"/>
  <c r="X190" i="37"/>
  <c r="G645" i="23"/>
  <c r="I645" i="23"/>
  <c r="J645" i="23"/>
  <c r="K645" i="23"/>
  <c r="X191" i="37"/>
  <c r="G691" i="23"/>
  <c r="I691" i="23"/>
  <c r="J691" i="23"/>
  <c r="K691" i="23"/>
  <c r="X192" i="37"/>
  <c r="G676" i="23"/>
  <c r="I676" i="23"/>
  <c r="J676" i="23"/>
  <c r="K676" i="23"/>
  <c r="X193" i="37"/>
  <c r="X194" i="37"/>
  <c r="X195" i="37"/>
  <c r="G709" i="23"/>
  <c r="I709" i="23"/>
  <c r="J709" i="23"/>
  <c r="K709" i="23"/>
  <c r="X196" i="37"/>
  <c r="G426" i="23"/>
  <c r="I426" i="23"/>
  <c r="J426" i="23"/>
  <c r="K426" i="23"/>
  <c r="X197" i="37"/>
  <c r="G753" i="23"/>
  <c r="I753" i="23"/>
  <c r="J753" i="23"/>
  <c r="K753" i="23"/>
  <c r="X198" i="37"/>
  <c r="G595" i="23"/>
  <c r="I595" i="23"/>
  <c r="J595" i="23"/>
  <c r="K595" i="23"/>
  <c r="X199" i="37"/>
  <c r="G741" i="23"/>
  <c r="I741" i="23"/>
  <c r="J741" i="23"/>
  <c r="K741" i="23"/>
  <c r="X200" i="37"/>
  <c r="X201" i="37"/>
  <c r="G685" i="23"/>
  <c r="I685" i="23"/>
  <c r="J685" i="23"/>
  <c r="K685" i="23"/>
  <c r="X202" i="37"/>
  <c r="G734" i="23"/>
  <c r="I734" i="23"/>
  <c r="J734" i="23"/>
  <c r="K734" i="23"/>
  <c r="X203" i="37"/>
  <c r="X204" i="37"/>
  <c r="G763" i="23"/>
  <c r="I763" i="23"/>
  <c r="J763" i="23"/>
  <c r="K763" i="23"/>
  <c r="X205" i="37"/>
  <c r="X206" i="37"/>
  <c r="G714" i="23"/>
  <c r="I714" i="23"/>
  <c r="J714" i="23"/>
  <c r="K714" i="23"/>
  <c r="X207" i="37"/>
  <c r="G701" i="23"/>
  <c r="I701" i="23"/>
  <c r="J701" i="23"/>
  <c r="K701" i="23"/>
  <c r="X208" i="37"/>
  <c r="G778" i="23"/>
  <c r="I778" i="23"/>
  <c r="J778" i="23"/>
  <c r="K778" i="23"/>
  <c r="X209" i="37"/>
  <c r="G624" i="23"/>
  <c r="I624" i="23"/>
  <c r="J624" i="23"/>
  <c r="K624" i="23"/>
  <c r="X210" i="37"/>
  <c r="G657" i="23"/>
  <c r="I657" i="23"/>
  <c r="J657" i="23"/>
  <c r="K657" i="23"/>
  <c r="X211" i="37"/>
  <c r="G562" i="23"/>
  <c r="I562" i="23"/>
  <c r="J562" i="23"/>
  <c r="K562" i="23"/>
  <c r="X212" i="37"/>
  <c r="G619" i="23"/>
  <c r="I619" i="23"/>
  <c r="J619" i="23"/>
  <c r="K619" i="23"/>
  <c r="X213" i="37"/>
  <c r="G743" i="23"/>
  <c r="I743" i="23"/>
  <c r="J743" i="23"/>
  <c r="K743" i="23"/>
  <c r="X214" i="37"/>
  <c r="G712" i="23"/>
  <c r="I712" i="23"/>
  <c r="J712" i="23"/>
  <c r="K712" i="23"/>
  <c r="X215" i="37"/>
  <c r="G760" i="23"/>
  <c r="I760" i="23"/>
  <c r="J760" i="23"/>
  <c r="K760" i="23"/>
  <c r="X216" i="37"/>
  <c r="X217" i="37"/>
  <c r="G642" i="23"/>
  <c r="I642" i="23"/>
  <c r="J642" i="23"/>
  <c r="K642" i="23"/>
  <c r="X218" i="37"/>
  <c r="G749" i="23"/>
  <c r="I749" i="23"/>
  <c r="J749" i="23"/>
  <c r="K749" i="23"/>
  <c r="X219" i="37"/>
  <c r="G520" i="23"/>
  <c r="I520" i="23"/>
  <c r="J520" i="23"/>
  <c r="K520" i="23"/>
  <c r="X220" i="37"/>
  <c r="G674" i="23"/>
  <c r="I674" i="23"/>
  <c r="J674" i="23"/>
  <c r="K674" i="23"/>
  <c r="X221" i="37"/>
  <c r="G751" i="23"/>
  <c r="I751" i="23"/>
  <c r="J751" i="23"/>
  <c r="K751" i="23"/>
  <c r="X222" i="37"/>
  <c r="X223" i="37"/>
  <c r="G723" i="23"/>
  <c r="I723" i="23"/>
  <c r="J723" i="23"/>
  <c r="K723" i="23"/>
  <c r="X224" i="37"/>
  <c r="G786" i="23"/>
  <c r="I786" i="23"/>
  <c r="J786" i="23"/>
  <c r="K786" i="23"/>
  <c r="X225" i="37"/>
  <c r="G635" i="23"/>
  <c r="I635" i="23"/>
  <c r="J635" i="23"/>
  <c r="K635" i="23"/>
  <c r="X226" i="37"/>
  <c r="G769" i="23"/>
  <c r="I769" i="23"/>
  <c r="J769" i="23"/>
  <c r="K769" i="23"/>
  <c r="X227" i="37"/>
  <c r="G660" i="23"/>
  <c r="I660" i="23"/>
  <c r="J660" i="23"/>
  <c r="K660" i="23"/>
  <c r="X228" i="37"/>
  <c r="X229" i="37"/>
  <c r="G666" i="23"/>
  <c r="I666" i="23"/>
  <c r="J666" i="23"/>
  <c r="K666" i="23"/>
  <c r="X230" i="37"/>
  <c r="G775" i="23"/>
  <c r="I775" i="23"/>
  <c r="J775" i="23"/>
  <c r="K775" i="23"/>
  <c r="X231" i="37"/>
  <c r="G536" i="23"/>
  <c r="I536" i="23"/>
  <c r="J536" i="23"/>
  <c r="K536" i="23"/>
  <c r="X232" i="37"/>
  <c r="G467" i="23"/>
  <c r="I467" i="23"/>
  <c r="J467" i="23"/>
  <c r="K467" i="23"/>
  <c r="X233" i="37"/>
  <c r="X234" i="37"/>
  <c r="G616" i="23"/>
  <c r="I616" i="23"/>
  <c r="J616" i="23"/>
  <c r="K616" i="23"/>
  <c r="X235" i="37"/>
  <c r="G436" i="23"/>
  <c r="I436" i="23"/>
  <c r="J436" i="23"/>
  <c r="K436" i="23"/>
  <c r="X236" i="37"/>
  <c r="G489" i="23"/>
  <c r="I489" i="23"/>
  <c r="J489" i="23"/>
  <c r="K489" i="23"/>
  <c r="X237" i="37"/>
  <c r="G809" i="23"/>
  <c r="I809" i="23"/>
  <c r="J809" i="23"/>
  <c r="K809" i="23"/>
  <c r="X238" i="37"/>
  <c r="G546" i="23"/>
  <c r="I546" i="23"/>
  <c r="J546" i="23"/>
  <c r="K546" i="23"/>
  <c r="X239" i="37"/>
  <c r="J557" i="23"/>
  <c r="K557" i="23"/>
  <c r="X240" i="37"/>
  <c r="G528" i="23"/>
  <c r="I528" i="23"/>
  <c r="J528" i="23"/>
  <c r="K528" i="23"/>
  <c r="X241" i="37"/>
  <c r="G510" i="23"/>
  <c r="I510" i="23"/>
  <c r="J510" i="23"/>
  <c r="K510" i="23"/>
  <c r="X242" i="37"/>
  <c r="G711" i="23"/>
  <c r="I711" i="23"/>
  <c r="J711" i="23"/>
  <c r="K711" i="23"/>
  <c r="X243" i="37"/>
  <c r="X244" i="37"/>
  <c r="G556" i="23"/>
  <c r="I556" i="23"/>
  <c r="J556" i="23"/>
  <c r="K556" i="23"/>
  <c r="X245" i="37"/>
  <c r="G738" i="23"/>
  <c r="I738" i="23"/>
  <c r="J738" i="23"/>
  <c r="K738" i="23"/>
  <c r="X246" i="37"/>
  <c r="G465" i="23"/>
  <c r="I465" i="23"/>
  <c r="J465" i="23"/>
  <c r="K465" i="23"/>
  <c r="X247" i="37"/>
  <c r="X248" i="37"/>
  <c r="G540" i="23"/>
  <c r="I540" i="23"/>
  <c r="J540" i="23"/>
  <c r="K540" i="23"/>
  <c r="X249" i="37"/>
  <c r="G644" i="23"/>
  <c r="I644" i="23"/>
  <c r="J644" i="23"/>
  <c r="K644" i="23"/>
  <c r="X250" i="37"/>
  <c r="G552" i="23"/>
  <c r="I552" i="23"/>
  <c r="J552" i="23"/>
  <c r="K552" i="23"/>
  <c r="X251" i="37"/>
  <c r="G514" i="23"/>
  <c r="I514" i="23"/>
  <c r="J514" i="23"/>
  <c r="K514" i="23"/>
  <c r="X252" i="37"/>
  <c r="G541" i="23"/>
  <c r="I541" i="23"/>
  <c r="J541" i="23"/>
  <c r="K541" i="23"/>
  <c r="X253" i="37"/>
  <c r="G549" i="23"/>
  <c r="I549" i="23"/>
  <c r="J549" i="23"/>
  <c r="K549" i="23"/>
  <c r="X254" i="37"/>
  <c r="G519" i="23"/>
  <c r="I519" i="23"/>
  <c r="J519" i="23"/>
  <c r="K519" i="23"/>
  <c r="X255" i="37"/>
  <c r="G764" i="23"/>
  <c r="I764" i="23"/>
  <c r="J764" i="23"/>
  <c r="K764" i="23"/>
  <c r="X256" i="37"/>
  <c r="G633" i="23"/>
  <c r="I633" i="23"/>
  <c r="J633" i="23"/>
  <c r="K633" i="23"/>
  <c r="X257" i="37"/>
  <c r="X258" i="37"/>
  <c r="G719" i="23"/>
  <c r="I719" i="23"/>
  <c r="J719" i="23"/>
  <c r="K719" i="23"/>
  <c r="X259" i="37"/>
  <c r="G689" i="23"/>
  <c r="I689" i="23"/>
  <c r="J689" i="23"/>
  <c r="K689" i="23"/>
  <c r="X260" i="37"/>
  <c r="G737" i="23"/>
  <c r="I737" i="23"/>
  <c r="J737" i="23"/>
  <c r="K737" i="23"/>
  <c r="X261" i="37"/>
  <c r="G620" i="23"/>
  <c r="I620" i="23"/>
  <c r="J620" i="23"/>
  <c r="K620" i="23"/>
  <c r="X262" i="37"/>
  <c r="G700" i="23"/>
  <c r="I700" i="23"/>
  <c r="J700" i="23"/>
  <c r="K700" i="23"/>
  <c r="X263" i="37"/>
  <c r="G571" i="23"/>
  <c r="I571" i="23"/>
  <c r="J571" i="23"/>
  <c r="K571" i="23"/>
  <c r="X264" i="37"/>
  <c r="G469" i="23"/>
  <c r="I469" i="23"/>
  <c r="J469" i="23"/>
  <c r="K469" i="23"/>
  <c r="X265" i="37"/>
  <c r="G560" i="23"/>
  <c r="I560" i="23"/>
  <c r="J560" i="23"/>
  <c r="K560" i="23"/>
  <c r="X266" i="37"/>
  <c r="G515" i="23"/>
  <c r="I515" i="23"/>
  <c r="J515" i="23"/>
  <c r="K515" i="23"/>
  <c r="X267" i="37"/>
  <c r="G437" i="23"/>
  <c r="I437" i="23"/>
  <c r="J437" i="23"/>
  <c r="K437" i="23"/>
  <c r="X268" i="37"/>
  <c r="G529" i="23"/>
  <c r="I529" i="23"/>
  <c r="J529" i="23"/>
  <c r="K529" i="23"/>
  <c r="X269" i="37"/>
  <c r="G586" i="23"/>
  <c r="I586" i="23"/>
  <c r="J586" i="23"/>
  <c r="K586" i="23"/>
  <c r="X270" i="37"/>
  <c r="G584" i="23"/>
  <c r="I584" i="23"/>
  <c r="J584" i="23"/>
  <c r="K584" i="23"/>
  <c r="X271" i="37"/>
  <c r="G495" i="23"/>
  <c r="I495" i="23"/>
  <c r="J495" i="23"/>
  <c r="K495" i="23"/>
  <c r="X272" i="37"/>
  <c r="G648" i="23"/>
  <c r="I648" i="23"/>
  <c r="J648" i="23"/>
  <c r="K648" i="23"/>
  <c r="X273" i="37"/>
  <c r="G561" i="23"/>
  <c r="I561" i="23"/>
  <c r="J561" i="23"/>
  <c r="K561" i="23"/>
  <c r="X274" i="37"/>
  <c r="G539" i="23"/>
  <c r="I539" i="23"/>
  <c r="J539" i="23"/>
  <c r="K539" i="23"/>
  <c r="X275" i="37"/>
  <c r="G494" i="23"/>
  <c r="I494" i="23"/>
  <c r="J494" i="23"/>
  <c r="K494" i="23"/>
  <c r="X276" i="37"/>
  <c r="G444" i="23"/>
  <c r="I444" i="23"/>
  <c r="J444" i="23"/>
  <c r="K444" i="23"/>
  <c r="X277" i="37"/>
  <c r="G583" i="23"/>
  <c r="I583" i="23"/>
  <c r="J583" i="23"/>
  <c r="K583" i="23"/>
  <c r="X278" i="37"/>
  <c r="G559" i="23"/>
  <c r="I559" i="23"/>
  <c r="J559" i="23"/>
  <c r="K559" i="23"/>
  <c r="X279" i="37"/>
  <c r="G517" i="23"/>
  <c r="I517" i="23"/>
  <c r="J517" i="23"/>
  <c r="K517" i="23"/>
  <c r="X280" i="37"/>
  <c r="G501" i="23"/>
  <c r="I501" i="23"/>
  <c r="J501" i="23"/>
  <c r="K501" i="23"/>
  <c r="X281" i="37"/>
  <c r="G511" i="23"/>
  <c r="I511" i="23"/>
  <c r="J511" i="23"/>
  <c r="K511" i="23"/>
  <c r="X282" i="37"/>
  <c r="G567" i="23"/>
  <c r="I567" i="23"/>
  <c r="J567" i="23"/>
  <c r="K567" i="23"/>
  <c r="X283" i="37"/>
  <c r="G521" i="23"/>
  <c r="I521" i="23"/>
  <c r="J521" i="23"/>
  <c r="K521" i="23"/>
  <c r="X284" i="37"/>
  <c r="G563" i="23"/>
  <c r="I563" i="23"/>
  <c r="J563" i="23"/>
  <c r="K563" i="23"/>
  <c r="X285" i="37"/>
  <c r="G589" i="23"/>
  <c r="I589" i="23"/>
  <c r="J589" i="23"/>
  <c r="K589" i="23"/>
  <c r="X286" i="37"/>
  <c r="G806" i="23"/>
  <c r="I806" i="23"/>
  <c r="J806" i="23"/>
  <c r="K806" i="23"/>
  <c r="X287" i="37"/>
  <c r="G801" i="23"/>
  <c r="I801" i="23"/>
  <c r="J801" i="23"/>
  <c r="K801" i="23"/>
  <c r="X288" i="37"/>
  <c r="J591" i="23"/>
  <c r="K591" i="23"/>
  <c r="X289" i="37"/>
  <c r="G454" i="23"/>
  <c r="I454" i="23"/>
  <c r="J454" i="23"/>
  <c r="K454" i="23"/>
  <c r="X290" i="37"/>
  <c r="G504" i="23"/>
  <c r="I504" i="23"/>
  <c r="J504" i="23"/>
  <c r="K504" i="23"/>
  <c r="X291" i="37"/>
  <c r="G538" i="23"/>
  <c r="I538" i="23"/>
  <c r="J538" i="23"/>
  <c r="K538" i="23"/>
  <c r="X292" i="37"/>
  <c r="G632" i="23"/>
  <c r="I632" i="23"/>
  <c r="J632" i="23"/>
  <c r="K632" i="23"/>
  <c r="X293" i="37"/>
  <c r="G478" i="23"/>
  <c r="I478" i="23"/>
  <c r="J478" i="23"/>
  <c r="K478" i="23"/>
  <c r="X294" i="37"/>
  <c r="G507" i="23"/>
  <c r="I507" i="23"/>
  <c r="J507" i="23"/>
  <c r="K507" i="23"/>
  <c r="X295" i="37"/>
  <c r="X296" i="37"/>
  <c r="G704" i="23"/>
  <c r="I704" i="23"/>
  <c r="J704" i="23"/>
  <c r="K704" i="23"/>
  <c r="X297" i="37"/>
  <c r="X298" i="37"/>
  <c r="G687" i="23"/>
  <c r="I687" i="23"/>
  <c r="J687" i="23"/>
  <c r="K687" i="23"/>
  <c r="X299" i="37"/>
  <c r="G587" i="23"/>
  <c r="I587" i="23"/>
  <c r="J587" i="23"/>
  <c r="K587" i="23"/>
  <c r="X300" i="37"/>
  <c r="G767" i="23"/>
  <c r="I767" i="23"/>
  <c r="J767" i="23"/>
  <c r="K767" i="23"/>
  <c r="X301" i="37"/>
  <c r="G602" i="23"/>
  <c r="I602" i="23"/>
  <c r="J602" i="23"/>
  <c r="K602" i="23"/>
  <c r="X302" i="37"/>
  <c r="G692" i="23"/>
  <c r="I692" i="23"/>
  <c r="J692" i="23"/>
  <c r="K692" i="23"/>
  <c r="X303" i="37"/>
  <c r="G421" i="23"/>
  <c r="I421" i="23"/>
  <c r="J421" i="23"/>
  <c r="K421" i="23"/>
  <c r="X304" i="37"/>
  <c r="G694" i="23"/>
  <c r="I694" i="23"/>
  <c r="J694" i="23"/>
  <c r="K694" i="23"/>
  <c r="X305" i="37"/>
  <c r="G487" i="23"/>
  <c r="I487" i="23"/>
  <c r="J487" i="23"/>
  <c r="K487" i="23"/>
  <c r="X306" i="37"/>
  <c r="X307" i="37"/>
  <c r="G535" i="23"/>
  <c r="I535" i="23"/>
  <c r="J535" i="23"/>
  <c r="K535" i="23"/>
  <c r="X308" i="37"/>
  <c r="G526" i="23"/>
  <c r="I526" i="23"/>
  <c r="J526" i="23"/>
  <c r="K526" i="23"/>
  <c r="X309" i="37"/>
  <c r="G811" i="23"/>
  <c r="I811" i="23"/>
  <c r="J811" i="23"/>
  <c r="K811" i="23"/>
  <c r="X310" i="37"/>
  <c r="G462" i="23"/>
  <c r="I462" i="23"/>
  <c r="J462" i="23"/>
  <c r="K462" i="23"/>
  <c r="X311" i="37"/>
  <c r="G588" i="23"/>
  <c r="I588" i="23"/>
  <c r="J588" i="23"/>
  <c r="K588" i="23"/>
  <c r="X312" i="37"/>
  <c r="G523" i="23"/>
  <c r="I523" i="23"/>
  <c r="J523" i="23"/>
  <c r="K523" i="23"/>
  <c r="X313" i="37"/>
  <c r="G745" i="23"/>
  <c r="I745" i="23"/>
  <c r="J745" i="23"/>
  <c r="K745" i="23"/>
  <c r="X314" i="37"/>
  <c r="G427" i="23"/>
  <c r="I427" i="23"/>
  <c r="J427" i="23"/>
  <c r="K427" i="23"/>
  <c r="X315" i="37"/>
  <c r="G794" i="23"/>
  <c r="I794" i="23"/>
  <c r="J794" i="23"/>
  <c r="K794" i="23"/>
  <c r="X316" i="37"/>
  <c r="G638" i="23"/>
  <c r="I638" i="23"/>
  <c r="J638" i="23"/>
  <c r="K638" i="23"/>
  <c r="X317" i="37"/>
  <c r="G442" i="23"/>
  <c r="I442" i="23"/>
  <c r="J442" i="23"/>
  <c r="K442" i="23"/>
  <c r="X318" i="37"/>
  <c r="G787" i="23"/>
  <c r="I787" i="23"/>
  <c r="J787" i="23"/>
  <c r="K787" i="23"/>
  <c r="X319" i="37"/>
  <c r="G423" i="23"/>
  <c r="I423" i="23"/>
  <c r="J423" i="23"/>
  <c r="K423" i="23"/>
  <c r="X320" i="37"/>
  <c r="G485" i="23"/>
  <c r="I485" i="23"/>
  <c r="J485" i="23"/>
  <c r="K485" i="23"/>
  <c r="X321" i="37"/>
  <c r="G493" i="23"/>
  <c r="I493" i="23"/>
  <c r="J493" i="23"/>
  <c r="K493" i="23"/>
  <c r="X322" i="37"/>
  <c r="G477" i="23"/>
  <c r="I477" i="23"/>
  <c r="J477" i="23"/>
  <c r="K477" i="23"/>
  <c r="X323" i="37"/>
  <c r="G569" i="23"/>
  <c r="I569" i="23"/>
  <c r="J569" i="23"/>
  <c r="K569" i="23"/>
  <c r="X324" i="37"/>
  <c r="G534" i="23"/>
  <c r="I534" i="23"/>
  <c r="J534" i="23"/>
  <c r="K534" i="23"/>
  <c r="X325" i="37"/>
  <c r="G551" i="23"/>
  <c r="I551" i="23"/>
  <c r="J551" i="23"/>
  <c r="K551" i="23"/>
  <c r="X326" i="37"/>
  <c r="G464" i="23"/>
  <c r="I464" i="23"/>
  <c r="J464" i="23"/>
  <c r="K464" i="23"/>
  <c r="X327" i="37"/>
  <c r="G641" i="23"/>
  <c r="I641" i="23"/>
  <c r="J641" i="23"/>
  <c r="K641" i="23"/>
  <c r="X328" i="37"/>
  <c r="G503" i="23"/>
  <c r="I503" i="23"/>
  <c r="J503" i="23"/>
  <c r="K503" i="23"/>
  <c r="X329" i="37"/>
  <c r="G785" i="23"/>
  <c r="I785" i="23"/>
  <c r="J785" i="23"/>
  <c r="K785" i="23"/>
  <c r="X330" i="37"/>
  <c r="G810" i="23"/>
  <c r="I810" i="23"/>
  <c r="J810" i="23"/>
  <c r="K810" i="23"/>
  <c r="X331" i="37"/>
  <c r="G802" i="23"/>
  <c r="I802" i="23"/>
  <c r="J802" i="23"/>
  <c r="K802" i="23"/>
  <c r="X332" i="37"/>
  <c r="G456" i="23"/>
  <c r="I456" i="23"/>
  <c r="J456" i="23"/>
  <c r="K456" i="23"/>
  <c r="X333" i="37"/>
  <c r="G783" i="23"/>
  <c r="I783" i="23"/>
  <c r="J783" i="23"/>
  <c r="K783" i="23"/>
  <c r="X334" i="37"/>
  <c r="G615" i="23"/>
  <c r="I615" i="23"/>
  <c r="J615" i="23"/>
  <c r="K615" i="23"/>
  <c r="X335" i="37"/>
  <c r="G792" i="23"/>
  <c r="I792" i="23"/>
  <c r="J792" i="23"/>
  <c r="K792" i="23"/>
  <c r="X336" i="37"/>
  <c r="G796" i="23"/>
  <c r="I796" i="23"/>
  <c r="J796" i="23"/>
  <c r="K796" i="23"/>
  <c r="X337" i="37"/>
  <c r="G432" i="23"/>
  <c r="I432" i="23"/>
  <c r="J432" i="23"/>
  <c r="K432" i="23"/>
  <c r="X338" i="37"/>
  <c r="G776" i="23"/>
  <c r="I776" i="23"/>
  <c r="J776" i="23"/>
  <c r="K776" i="23"/>
  <c r="X339" i="37"/>
  <c r="G790" i="23"/>
  <c r="I790" i="23"/>
  <c r="J790" i="23"/>
  <c r="K790" i="23"/>
  <c r="X340" i="37"/>
  <c r="X341" i="37"/>
  <c r="G791" i="23"/>
  <c r="I791" i="23"/>
  <c r="J791" i="23"/>
  <c r="K791" i="23"/>
  <c r="X342" i="37"/>
  <c r="G425" i="23"/>
  <c r="I425" i="23"/>
  <c r="J425" i="23"/>
  <c r="K425" i="23"/>
  <c r="X343" i="37"/>
  <c r="G463" i="23"/>
  <c r="I463" i="23"/>
  <c r="J463" i="23"/>
  <c r="K463" i="23"/>
  <c r="X344" i="37"/>
  <c r="X345" i="37"/>
  <c r="G530" i="23"/>
  <c r="I530" i="23"/>
  <c r="J530" i="23"/>
  <c r="K530" i="23"/>
  <c r="X346" i="37"/>
  <c r="G543" i="23"/>
  <c r="I543" i="23"/>
  <c r="J543" i="23"/>
  <c r="K543" i="23"/>
  <c r="X347" i="37"/>
  <c r="X348" i="37"/>
  <c r="X349" i="37"/>
  <c r="G729" i="23"/>
  <c r="I729" i="23"/>
  <c r="J729" i="23"/>
  <c r="K729" i="23"/>
  <c r="X350" i="37"/>
  <c r="G758" i="23"/>
  <c r="I758" i="23"/>
  <c r="J758" i="23"/>
  <c r="K758" i="23"/>
  <c r="X351" i="37"/>
  <c r="G627" i="23"/>
  <c r="I627" i="23"/>
  <c r="J627" i="23"/>
  <c r="K627" i="23"/>
  <c r="X352" i="37"/>
  <c r="X353" i="37"/>
  <c r="G434" i="23"/>
  <c r="I434" i="23"/>
  <c r="J434" i="23"/>
  <c r="K434" i="23"/>
  <c r="X354" i="37"/>
  <c r="G596" i="23"/>
  <c r="I596" i="23"/>
  <c r="J596" i="23"/>
  <c r="K596" i="23"/>
  <c r="X355" i="37"/>
  <c r="G452" i="23"/>
  <c r="I452" i="23"/>
  <c r="J452" i="23"/>
  <c r="K452" i="23"/>
  <c r="X356" i="37"/>
  <c r="G636" i="23"/>
  <c r="I636" i="23"/>
  <c r="J636" i="23"/>
  <c r="K636" i="23"/>
  <c r="X357" i="37"/>
  <c r="G617" i="23"/>
  <c r="I617" i="23"/>
  <c r="J617" i="23"/>
  <c r="K617" i="23"/>
  <c r="X358" i="37"/>
  <c r="G731" i="23"/>
  <c r="I731" i="23"/>
  <c r="J731" i="23"/>
  <c r="K731" i="23"/>
  <c r="X359" i="37"/>
  <c r="G558" i="23"/>
  <c r="I558" i="23"/>
  <c r="J558" i="23"/>
  <c r="K558" i="23"/>
  <c r="X360" i="37"/>
  <c r="X361" i="37"/>
  <c r="G630" i="23"/>
  <c r="I630" i="23"/>
  <c r="J630" i="23"/>
  <c r="K630" i="23"/>
  <c r="X362" i="37"/>
  <c r="G803" i="23"/>
  <c r="I803" i="23"/>
  <c r="J803" i="23"/>
  <c r="K803" i="23"/>
  <c r="X363" i="37"/>
  <c r="G508" i="23"/>
  <c r="I508" i="23"/>
  <c r="J508" i="23"/>
  <c r="K508" i="23"/>
  <c r="X364" i="37"/>
  <c r="G518" i="23"/>
  <c r="I518" i="23"/>
  <c r="J518" i="23"/>
  <c r="K518" i="23"/>
  <c r="X365" i="37"/>
  <c r="G705" i="23"/>
  <c r="I705" i="23"/>
  <c r="J705" i="23"/>
  <c r="K705" i="23"/>
  <c r="X366" i="37"/>
  <c r="G449" i="23"/>
  <c r="I449" i="23"/>
  <c r="J449" i="23"/>
  <c r="K449" i="23"/>
  <c r="X367" i="37"/>
  <c r="G599" i="23"/>
  <c r="I599" i="23"/>
  <c r="J599" i="23"/>
  <c r="K599" i="23"/>
  <c r="X368" i="37"/>
  <c r="G447" i="23"/>
  <c r="I447" i="23"/>
  <c r="J447" i="23"/>
  <c r="K447" i="23"/>
  <c r="X369" i="37"/>
  <c r="G542" i="23"/>
  <c r="I542" i="23"/>
  <c r="J542" i="23"/>
  <c r="K542" i="23"/>
  <c r="X370" i="37"/>
  <c r="G481" i="23"/>
  <c r="I481" i="23"/>
  <c r="J481" i="23"/>
  <c r="K481" i="23"/>
  <c r="X371" i="37"/>
  <c r="G498" i="23"/>
  <c r="I498" i="23"/>
  <c r="J498" i="23"/>
  <c r="K498" i="23"/>
  <c r="X372" i="37"/>
  <c r="G420" i="23"/>
  <c r="I420" i="23"/>
  <c r="J420" i="23"/>
  <c r="K420" i="23"/>
  <c r="X373" i="37"/>
  <c r="G740" i="23"/>
  <c r="I740" i="23"/>
  <c r="J740" i="23"/>
  <c r="K740" i="23"/>
  <c r="X374" i="37"/>
  <c r="G784" i="23"/>
  <c r="I784" i="23"/>
  <c r="J784" i="23"/>
  <c r="K784" i="23"/>
  <c r="X375" i="37"/>
  <c r="G533" i="23"/>
  <c r="I533" i="23"/>
  <c r="J533" i="23"/>
  <c r="K533" i="23"/>
  <c r="X376" i="37"/>
  <c r="G579" i="23"/>
  <c r="I579" i="23"/>
  <c r="J579" i="23"/>
  <c r="K579" i="23"/>
  <c r="X377" i="37"/>
  <c r="G496" i="23"/>
  <c r="I496" i="23"/>
  <c r="J496" i="23"/>
  <c r="K496" i="23"/>
  <c r="X378" i="37"/>
  <c r="G613" i="23"/>
  <c r="I613" i="23"/>
  <c r="J613" i="23"/>
  <c r="K613" i="23"/>
  <c r="X379" i="37"/>
  <c r="G597" i="23"/>
  <c r="I597" i="23"/>
  <c r="J597" i="23"/>
  <c r="K597" i="23"/>
  <c r="X380" i="37"/>
  <c r="G780" i="23"/>
  <c r="I780" i="23"/>
  <c r="J780" i="23"/>
  <c r="K780" i="23"/>
  <c r="X381" i="37"/>
  <c r="G554" i="23"/>
  <c r="I554" i="23"/>
  <c r="J554" i="23"/>
  <c r="K554" i="23"/>
  <c r="X382" i="37"/>
  <c r="X383" i="37"/>
  <c r="G476" i="23"/>
  <c r="I476" i="23"/>
  <c r="J476" i="23"/>
  <c r="K476" i="23"/>
  <c r="X384" i="37"/>
  <c r="G695" i="23"/>
  <c r="I695" i="23"/>
  <c r="J695" i="23"/>
  <c r="K695" i="23"/>
  <c r="X385" i="37"/>
  <c r="G789" i="23"/>
  <c r="I789" i="23"/>
  <c r="J789" i="23"/>
  <c r="K789" i="23"/>
  <c r="X386" i="37"/>
  <c r="G603" i="23"/>
  <c r="I603" i="23"/>
  <c r="J603" i="23"/>
  <c r="K603" i="23"/>
  <c r="X387" i="37"/>
  <c r="G445" i="23"/>
  <c r="I445" i="23"/>
  <c r="J445" i="23"/>
  <c r="K445" i="23"/>
  <c r="X388" i="37"/>
  <c r="X389" i="37"/>
  <c r="G725" i="23"/>
  <c r="I725" i="23"/>
  <c r="J725" i="23"/>
  <c r="K725" i="23"/>
  <c r="X390" i="37"/>
  <c r="G765" i="23"/>
  <c r="I765" i="23"/>
  <c r="J765" i="23"/>
  <c r="K765" i="23"/>
  <c r="X391" i="37"/>
  <c r="G754" i="23"/>
  <c r="I754" i="23"/>
  <c r="J754" i="23"/>
  <c r="K754" i="23"/>
  <c r="X392" i="37"/>
  <c r="G742" i="23"/>
  <c r="I742" i="23"/>
  <c r="J742" i="23"/>
  <c r="K742" i="23"/>
  <c r="X393" i="37"/>
  <c r="G677" i="23"/>
  <c r="I677" i="23"/>
  <c r="J677" i="23"/>
  <c r="K677" i="23"/>
  <c r="X394" i="37"/>
  <c r="G678" i="23"/>
  <c r="I678" i="23"/>
  <c r="J678" i="23"/>
  <c r="K678" i="23"/>
  <c r="X395" i="37"/>
  <c r="G419" i="23"/>
  <c r="I419" i="23"/>
  <c r="J419" i="23"/>
  <c r="K419" i="23"/>
  <c r="X396" i="37"/>
  <c r="G513" i="23"/>
  <c r="I513" i="23"/>
  <c r="J513" i="23"/>
  <c r="K513" i="23"/>
  <c r="X397" i="37"/>
  <c r="G675" i="23"/>
  <c r="I675" i="23"/>
  <c r="J675" i="23"/>
  <c r="K675" i="23"/>
  <c r="X398" i="37"/>
  <c r="G658" i="23"/>
  <c r="I658" i="23"/>
  <c r="J658" i="23"/>
  <c r="K658" i="23"/>
  <c r="X399" i="37"/>
  <c r="G718" i="23"/>
  <c r="I718" i="23"/>
  <c r="J718" i="23"/>
  <c r="K718" i="23"/>
  <c r="X400" i="37"/>
  <c r="G771" i="23"/>
  <c r="I771" i="23"/>
  <c r="J771" i="23"/>
  <c r="K771" i="23"/>
  <c r="X401" i="37"/>
  <c r="G690" i="23"/>
  <c r="I690" i="23"/>
  <c r="J690" i="23"/>
  <c r="K690" i="23"/>
  <c r="X402" i="37"/>
  <c r="G688" i="23"/>
  <c r="I688" i="23"/>
  <c r="J688" i="23"/>
  <c r="K688" i="23"/>
  <c r="X403" i="37"/>
  <c r="G555" i="23"/>
  <c r="I555" i="23"/>
  <c r="J555" i="23"/>
  <c r="K555" i="23"/>
  <c r="X404" i="37"/>
  <c r="G728" i="23"/>
  <c r="I728" i="23"/>
  <c r="J728" i="23"/>
  <c r="K728" i="23"/>
  <c r="X405" i="37"/>
  <c r="G669" i="23"/>
  <c r="I669" i="23"/>
  <c r="J669" i="23"/>
  <c r="K669" i="23"/>
  <c r="X406" i="37"/>
  <c r="J707" i="23"/>
  <c r="K707" i="23"/>
  <c r="X407" i="37"/>
  <c r="G756" i="23"/>
  <c r="I756" i="23"/>
  <c r="J756" i="23"/>
  <c r="K756" i="23"/>
  <c r="X408" i="37"/>
  <c r="G580" i="23"/>
  <c r="I580" i="23"/>
  <c r="J580" i="23"/>
  <c r="K580" i="23"/>
  <c r="X409" i="37"/>
  <c r="G699" i="23"/>
  <c r="I699" i="23"/>
  <c r="J699" i="23"/>
  <c r="K699" i="23"/>
  <c r="X410" i="37"/>
  <c r="G662" i="23"/>
  <c r="I662" i="23"/>
  <c r="J662" i="23"/>
  <c r="K662" i="23"/>
  <c r="X411" i="37"/>
  <c r="X412" i="37"/>
  <c r="G722" i="23"/>
  <c r="I722" i="23"/>
  <c r="J722" i="23"/>
  <c r="K722" i="23"/>
  <c r="X413" i="37"/>
  <c r="G703" i="23"/>
  <c r="I703" i="23"/>
  <c r="J703" i="23"/>
  <c r="K703" i="23"/>
  <c r="X414" i="37"/>
  <c r="G772" i="23"/>
  <c r="I772" i="23"/>
  <c r="J772" i="23"/>
  <c r="K772" i="23"/>
  <c r="X415" i="37"/>
  <c r="G744" i="23"/>
  <c r="I744" i="23"/>
  <c r="J744" i="23"/>
  <c r="K744" i="23"/>
  <c r="X416" i="37"/>
  <c r="G622" i="23"/>
  <c r="I622" i="23"/>
  <c r="J622" i="23"/>
  <c r="K622" i="23"/>
  <c r="X417" i="37"/>
  <c r="G651" i="23"/>
  <c r="I651" i="23"/>
  <c r="J651" i="23"/>
  <c r="K651" i="23"/>
  <c r="X418" i="37"/>
  <c r="G656" i="23"/>
  <c r="I656" i="23"/>
  <c r="J656" i="23"/>
  <c r="K656" i="23"/>
  <c r="X419" i="37"/>
  <c r="G668" i="23"/>
  <c r="I668" i="23"/>
  <c r="J668" i="23"/>
  <c r="K668" i="23"/>
  <c r="X420" i="37"/>
  <c r="G730" i="23"/>
  <c r="I730" i="23"/>
  <c r="J730" i="23"/>
  <c r="K730" i="23"/>
  <c r="X421" i="37"/>
  <c r="G618" i="23"/>
  <c r="I618" i="23"/>
  <c r="J618" i="23"/>
  <c r="K618" i="23"/>
  <c r="X422" i="37"/>
  <c r="G614" i="23"/>
  <c r="I614" i="23"/>
  <c r="J614" i="23"/>
  <c r="K614" i="23"/>
  <c r="X423" i="37"/>
  <c r="G697" i="23"/>
  <c r="I697" i="23"/>
  <c r="J697" i="23"/>
  <c r="K697" i="23"/>
  <c r="X424" i="37"/>
  <c r="G625" i="23"/>
  <c r="I625" i="23"/>
  <c r="J625" i="23"/>
  <c r="K625" i="23"/>
  <c r="X425" i="37"/>
  <c r="G770" i="23"/>
  <c r="I770" i="23"/>
  <c r="J770" i="23"/>
  <c r="K770" i="23"/>
  <c r="X426" i="37"/>
  <c r="G659" i="23"/>
  <c r="I659" i="23"/>
  <c r="J659" i="23"/>
  <c r="K659" i="23"/>
  <c r="X427" i="37"/>
  <c r="G774" i="23"/>
  <c r="I774" i="23"/>
  <c r="J774" i="23"/>
  <c r="K774" i="23"/>
  <c r="X428" i="37"/>
  <c r="G652" i="23"/>
  <c r="I652" i="23"/>
  <c r="J652" i="23"/>
  <c r="K652" i="23"/>
  <c r="X429" i="37"/>
  <c r="G773" i="23"/>
  <c r="I773" i="23"/>
  <c r="J773" i="23"/>
  <c r="K773" i="23"/>
  <c r="X430" i="37"/>
  <c r="G721" i="23"/>
  <c r="I721" i="23"/>
  <c r="J721" i="23"/>
  <c r="K721" i="23"/>
  <c r="X431" i="37"/>
  <c r="G665" i="23"/>
  <c r="I665" i="23"/>
  <c r="J665" i="23"/>
  <c r="K665" i="23"/>
  <c r="X432" i="37"/>
  <c r="G490" i="23"/>
  <c r="I490" i="23"/>
  <c r="J490" i="23"/>
  <c r="K490" i="23"/>
  <c r="X433" i="37"/>
  <c r="G716" i="23"/>
  <c r="I716" i="23"/>
  <c r="J716" i="23"/>
  <c r="K716" i="23"/>
  <c r="X434" i="37"/>
  <c r="G739" i="23"/>
  <c r="I739" i="23"/>
  <c r="J739" i="23"/>
  <c r="K739" i="23"/>
  <c r="X435" i="37"/>
  <c r="G650" i="23"/>
  <c r="I650" i="23"/>
  <c r="J650" i="23"/>
  <c r="K650" i="23"/>
  <c r="X436" i="37"/>
  <c r="X437" i="37"/>
  <c r="G746" i="23"/>
  <c r="I746" i="23"/>
  <c r="J746" i="23"/>
  <c r="K746" i="23"/>
  <c r="X438" i="37"/>
  <c r="G459" i="23"/>
  <c r="I459" i="23"/>
  <c r="J459" i="23"/>
  <c r="K459" i="23"/>
  <c r="X439" i="37"/>
  <c r="G604" i="23"/>
  <c r="I604" i="23"/>
  <c r="J604" i="23"/>
  <c r="K604" i="23"/>
  <c r="X440" i="37"/>
  <c r="G653" i="23"/>
  <c r="I653" i="23"/>
  <c r="J653" i="23"/>
  <c r="K653" i="23"/>
  <c r="X441" i="37"/>
  <c r="G761" i="23"/>
  <c r="I761" i="23"/>
  <c r="J761" i="23"/>
  <c r="K761" i="23"/>
  <c r="X442" i="37"/>
  <c r="G488" i="23"/>
  <c r="I488" i="23"/>
  <c r="J488" i="23"/>
  <c r="K488" i="23"/>
  <c r="X443" i="37"/>
  <c r="G710" i="23"/>
  <c r="I710" i="23"/>
  <c r="J710" i="23"/>
  <c r="K710" i="23"/>
  <c r="X444" i="37"/>
  <c r="G750" i="23"/>
  <c r="I750" i="23"/>
  <c r="J750" i="23"/>
  <c r="K750" i="23"/>
  <c r="X445" i="37"/>
  <c r="G683" i="23"/>
  <c r="I683" i="23"/>
  <c r="J683" i="23"/>
  <c r="K683" i="23"/>
  <c r="X446" i="37"/>
  <c r="G757" i="23"/>
  <c r="I757" i="23"/>
  <c r="J757" i="23"/>
  <c r="K757" i="23"/>
  <c r="X447" i="37"/>
  <c r="G631" i="23"/>
  <c r="I631" i="23"/>
  <c r="J631" i="23"/>
  <c r="K631" i="23"/>
  <c r="X448" i="37"/>
  <c r="G667" i="23"/>
  <c r="I667" i="23"/>
  <c r="J667" i="23"/>
  <c r="K667" i="23"/>
  <c r="X449" i="37"/>
  <c r="G736" i="23"/>
  <c r="I736" i="23"/>
  <c r="J736" i="23"/>
  <c r="K736" i="23"/>
  <c r="X450" i="37"/>
  <c r="G649" i="23"/>
  <c r="I649" i="23"/>
  <c r="J649" i="23"/>
  <c r="K649" i="23"/>
  <c r="X451" i="37"/>
  <c r="G570" i="23"/>
  <c r="I570" i="23"/>
  <c r="J570" i="23"/>
  <c r="K570" i="23"/>
  <c r="X452" i="37"/>
  <c r="G748" i="23"/>
  <c r="I748" i="23"/>
  <c r="J748" i="23"/>
  <c r="K748" i="23"/>
  <c r="X453" i="37"/>
  <c r="X454" i="37"/>
  <c r="G646" i="23"/>
  <c r="I646" i="23"/>
  <c r="J646" i="23"/>
  <c r="K646" i="23"/>
  <c r="X455" i="37"/>
  <c r="G509" i="23"/>
  <c r="I509" i="23"/>
  <c r="J509" i="23"/>
  <c r="K509" i="23"/>
  <c r="X456" i="37"/>
  <c r="G527" i="23"/>
  <c r="I527" i="23"/>
  <c r="J527" i="23"/>
  <c r="K527" i="23"/>
  <c r="X457" i="37"/>
  <c r="G564" i="23"/>
  <c r="I564" i="23"/>
  <c r="J564" i="23"/>
  <c r="K564" i="23"/>
  <c r="X458" i="37"/>
  <c r="G516" i="23"/>
  <c r="I516" i="23"/>
  <c r="J516" i="23"/>
  <c r="K516" i="23"/>
  <c r="X459" i="37"/>
  <c r="G609" i="23"/>
  <c r="I609" i="23"/>
  <c r="J609" i="23"/>
  <c r="K609" i="23"/>
  <c r="X460" i="37"/>
  <c r="G512" i="23"/>
  <c r="I512" i="23"/>
  <c r="J512" i="23"/>
  <c r="K512" i="23"/>
  <c r="X461" i="37"/>
  <c r="G491" i="23"/>
  <c r="I491" i="23"/>
  <c r="J491" i="23"/>
  <c r="K491" i="23"/>
  <c r="X462" i="37"/>
  <c r="G550" i="23"/>
  <c r="I550" i="23"/>
  <c r="J550" i="23"/>
  <c r="K550" i="23"/>
  <c r="X463" i="37"/>
  <c r="G605" i="23"/>
  <c r="I605" i="23"/>
  <c r="J605" i="23"/>
  <c r="K605" i="23"/>
  <c r="X464" i="37"/>
  <c r="G762" i="23"/>
  <c r="I762" i="23"/>
  <c r="J762" i="23"/>
  <c r="K762" i="23"/>
  <c r="X465" i="37"/>
  <c r="G640" i="23"/>
  <c r="I640" i="23"/>
  <c r="J640" i="23"/>
  <c r="K640" i="23"/>
  <c r="X466" i="37"/>
  <c r="X467" i="37"/>
  <c r="G424" i="23"/>
  <c r="I424" i="23"/>
  <c r="J424" i="23"/>
  <c r="K424" i="23"/>
  <c r="X468" i="37"/>
  <c r="G592" i="23"/>
  <c r="I592" i="23"/>
  <c r="J592" i="23"/>
  <c r="K592" i="23"/>
  <c r="X469" i="37"/>
  <c r="G663" i="23"/>
  <c r="I663" i="23"/>
  <c r="J663" i="23"/>
  <c r="K663" i="23"/>
  <c r="X470" i="37"/>
  <c r="G673" i="23"/>
  <c r="I673" i="23"/>
  <c r="J673" i="23"/>
  <c r="K673" i="23"/>
  <c r="X471" i="37"/>
  <c r="G655" i="23"/>
  <c r="I655" i="23"/>
  <c r="J655" i="23"/>
  <c r="K655" i="23"/>
  <c r="X472" i="37"/>
  <c r="G670" i="23"/>
  <c r="I670" i="23"/>
  <c r="J670" i="23"/>
  <c r="K670" i="23"/>
  <c r="X473" i="37"/>
  <c r="G522" i="23"/>
  <c r="I522" i="23"/>
  <c r="J522" i="23"/>
  <c r="K522" i="23"/>
  <c r="X474" i="37"/>
  <c r="G537" i="23"/>
  <c r="I537" i="23"/>
  <c r="J537" i="23"/>
  <c r="K537" i="23"/>
  <c r="X475" i="37"/>
  <c r="G532" i="23"/>
  <c r="I532" i="23"/>
  <c r="J532" i="23"/>
  <c r="K532" i="23"/>
  <c r="X476" i="37"/>
  <c r="G715" i="23"/>
  <c r="I715" i="23"/>
  <c r="J715" i="23"/>
  <c r="K715" i="23"/>
  <c r="X477" i="37"/>
  <c r="G531" i="23"/>
  <c r="I531" i="23"/>
  <c r="J531" i="23"/>
  <c r="K531" i="23"/>
  <c r="X478" i="37"/>
  <c r="G735" i="23"/>
  <c r="I735" i="23"/>
  <c r="J735" i="23"/>
  <c r="K735" i="23"/>
  <c r="X479" i="37"/>
  <c r="G717" i="23"/>
  <c r="I717" i="23"/>
  <c r="J717" i="23"/>
  <c r="K717" i="23"/>
  <c r="X480" i="37"/>
  <c r="G483" i="23"/>
  <c r="I483" i="23"/>
  <c r="J483" i="23"/>
  <c r="K483" i="23"/>
  <c r="X481" i="37"/>
  <c r="G759" i="23"/>
  <c r="I759" i="23"/>
  <c r="J759" i="23"/>
  <c r="K759" i="23"/>
  <c r="X482" i="37"/>
  <c r="G497" i="23"/>
  <c r="I497" i="23"/>
  <c r="J497" i="23"/>
  <c r="K497" i="23"/>
  <c r="X483" i="37"/>
  <c r="G492" i="23"/>
  <c r="I492" i="23"/>
  <c r="J492" i="23"/>
  <c r="K492" i="23"/>
  <c r="X484" i="37"/>
  <c r="G500" i="23"/>
  <c r="I500" i="23"/>
  <c r="J500" i="23"/>
  <c r="K500" i="23"/>
  <c r="X485" i="37"/>
  <c r="G594" i="23"/>
  <c r="I594" i="23"/>
  <c r="J594" i="23"/>
  <c r="K594" i="23"/>
  <c r="X486" i="37"/>
  <c r="G568" i="23"/>
  <c r="I568" i="23"/>
  <c r="J568" i="23"/>
  <c r="K568" i="23"/>
  <c r="X487" i="37"/>
  <c r="G577" i="23"/>
  <c r="I577" i="23"/>
  <c r="J577" i="23"/>
  <c r="K577" i="23"/>
  <c r="X488" i="37"/>
  <c r="G472" i="23"/>
  <c r="I472" i="23"/>
  <c r="J472" i="23"/>
  <c r="K472" i="23"/>
  <c r="X489" i="37"/>
  <c r="G505" i="23"/>
  <c r="I505" i="23"/>
  <c r="J505" i="23"/>
  <c r="K505" i="23"/>
  <c r="X490" i="37"/>
  <c r="G575" i="23"/>
  <c r="I575" i="23"/>
  <c r="J575" i="23"/>
  <c r="K575" i="23"/>
  <c r="X491" i="37"/>
  <c r="G581" i="23"/>
  <c r="I581" i="23"/>
  <c r="J581" i="23"/>
  <c r="K581" i="23"/>
  <c r="X492" i="37"/>
  <c r="G473" i="23"/>
  <c r="I473" i="23"/>
  <c r="J473" i="23"/>
  <c r="K473" i="23"/>
  <c r="X493" i="37"/>
  <c r="X494" i="37"/>
  <c r="G573" i="23"/>
  <c r="I573" i="23"/>
  <c r="J573" i="23"/>
  <c r="K573" i="23"/>
  <c r="X495" i="37"/>
  <c r="G600" i="23"/>
  <c r="I600" i="23"/>
  <c r="J600" i="23"/>
  <c r="K600" i="23"/>
  <c r="X496" i="37"/>
  <c r="G480" i="23"/>
  <c r="I480" i="23"/>
  <c r="J480" i="23"/>
  <c r="K480" i="23"/>
  <c r="X497" i="37"/>
  <c r="G565" i="23"/>
  <c r="I565" i="23"/>
  <c r="J565" i="23"/>
  <c r="K565" i="23"/>
  <c r="X498" i="37"/>
  <c r="G448" i="23"/>
  <c r="I448" i="23"/>
  <c r="J448" i="23"/>
  <c r="K448" i="23"/>
  <c r="X499" i="37"/>
  <c r="G805" i="23"/>
  <c r="I805" i="23"/>
  <c r="J805" i="23"/>
  <c r="K805" i="23"/>
  <c r="X500" i="37"/>
  <c r="G553" i="23"/>
  <c r="I553" i="23"/>
  <c r="J553" i="23"/>
  <c r="K553" i="23"/>
  <c r="X501" i="37"/>
  <c r="G458" i="23"/>
  <c r="I458" i="23"/>
  <c r="J458" i="23"/>
  <c r="K458" i="23"/>
  <c r="X502" i="37"/>
  <c r="G637" i="23"/>
  <c r="I637" i="23"/>
  <c r="J637" i="23"/>
  <c r="K637" i="23"/>
  <c r="X503" i="37"/>
  <c r="G451" i="23"/>
  <c r="I451" i="23"/>
  <c r="J451" i="23"/>
  <c r="K451" i="23"/>
  <c r="X504" i="37"/>
  <c r="G598" i="23"/>
  <c r="I598" i="23"/>
  <c r="J598" i="23"/>
  <c r="K598" i="23"/>
  <c r="X505" i="37"/>
  <c r="G766" i="23"/>
  <c r="I766" i="23"/>
  <c r="J766" i="23"/>
  <c r="K766" i="23"/>
  <c r="X506" i="37"/>
  <c r="G441" i="23"/>
  <c r="I441" i="23"/>
  <c r="J441" i="23"/>
  <c r="K441" i="23"/>
  <c r="X507" i="37"/>
  <c r="G428" i="23"/>
  <c r="I428" i="23"/>
  <c r="J428" i="23"/>
  <c r="K428" i="23"/>
  <c r="X508" i="37"/>
  <c r="G610" i="23"/>
  <c r="I610" i="23"/>
  <c r="J610" i="23"/>
  <c r="K610" i="23"/>
  <c r="X509" i="37"/>
  <c r="G626" i="23"/>
  <c r="I626" i="23"/>
  <c r="J626" i="23"/>
  <c r="K626" i="23"/>
  <c r="X510" i="37"/>
  <c r="G643" i="23"/>
  <c r="I643" i="23"/>
  <c r="J643" i="23"/>
  <c r="K643" i="23"/>
  <c r="X511" i="37"/>
  <c r="G608" i="23"/>
  <c r="I608" i="23"/>
  <c r="J608" i="23"/>
  <c r="K608" i="23"/>
  <c r="X512" i="37"/>
  <c r="G422" i="23"/>
  <c r="I422" i="23"/>
  <c r="J422" i="23"/>
  <c r="K422" i="23"/>
  <c r="X513" i="37"/>
  <c r="G572" i="23"/>
  <c r="I572" i="23"/>
  <c r="J572" i="23"/>
  <c r="K572" i="23"/>
  <c r="X514" i="37"/>
  <c r="G548" i="23"/>
  <c r="I548" i="23"/>
  <c r="J548" i="23"/>
  <c r="K548" i="23"/>
  <c r="X515" i="37"/>
  <c r="G475" i="23"/>
  <c r="I475" i="23"/>
  <c r="J475" i="23"/>
  <c r="K475" i="23"/>
  <c r="X76" i="37"/>
  <c r="G162" i="23"/>
  <c r="I162" i="23"/>
  <c r="J162" i="23"/>
  <c r="K162" i="23"/>
  <c r="W77" i="37"/>
  <c r="W78" i="37"/>
  <c r="W79" i="37"/>
  <c r="G103" i="23"/>
  <c r="I103" i="23"/>
  <c r="J103" i="23"/>
  <c r="K103" i="23"/>
  <c r="W80" i="37"/>
  <c r="G74" i="23"/>
  <c r="I74" i="23"/>
  <c r="J74" i="23"/>
  <c r="K74" i="23"/>
  <c r="W81" i="37"/>
  <c r="G78" i="23"/>
  <c r="I78" i="23"/>
  <c r="J78" i="23"/>
  <c r="K78" i="23"/>
  <c r="W82" i="37"/>
  <c r="G45" i="23"/>
  <c r="I45" i="23"/>
  <c r="J45" i="23"/>
  <c r="K45" i="23"/>
  <c r="W83" i="37"/>
  <c r="G118" i="23"/>
  <c r="I118" i="23"/>
  <c r="J118" i="23"/>
  <c r="K118" i="23"/>
  <c r="W84" i="37"/>
  <c r="G16" i="23"/>
  <c r="I16" i="23"/>
  <c r="J16" i="23"/>
  <c r="K16" i="23"/>
  <c r="W85" i="37"/>
  <c r="G141" i="23"/>
  <c r="I141" i="23"/>
  <c r="J141" i="23"/>
  <c r="K141" i="23"/>
  <c r="W86" i="37"/>
  <c r="W87" i="37"/>
  <c r="G180" i="23"/>
  <c r="I180" i="23"/>
  <c r="J180" i="23"/>
  <c r="K180" i="23"/>
  <c r="W88" i="37"/>
  <c r="G190" i="23"/>
  <c r="I190" i="23"/>
  <c r="J190" i="23"/>
  <c r="K190" i="23"/>
  <c r="W89" i="37"/>
  <c r="G7" i="23"/>
  <c r="I7" i="23"/>
  <c r="J7" i="23"/>
  <c r="K7" i="23"/>
  <c r="W90" i="37"/>
  <c r="G51" i="23"/>
  <c r="I51" i="23"/>
  <c r="J51" i="23"/>
  <c r="K51" i="23"/>
  <c r="W91" i="37"/>
  <c r="G163" i="23"/>
  <c r="I163" i="23"/>
  <c r="J163" i="23"/>
  <c r="K163" i="23"/>
  <c r="W92" i="37"/>
  <c r="G57" i="23"/>
  <c r="I57" i="23"/>
  <c r="J57" i="23"/>
  <c r="K57" i="23"/>
  <c r="W93" i="37"/>
  <c r="G8" i="23"/>
  <c r="I8" i="23"/>
  <c r="J8" i="23"/>
  <c r="K8" i="23"/>
  <c r="W94" i="37"/>
  <c r="G126" i="23"/>
  <c r="I126" i="23"/>
  <c r="J126" i="23"/>
  <c r="K126" i="23"/>
  <c r="W95" i="37"/>
  <c r="G257" i="23"/>
  <c r="I257" i="23"/>
  <c r="J257" i="23"/>
  <c r="K257" i="23"/>
  <c r="W96" i="37"/>
  <c r="G167" i="23"/>
  <c r="I167" i="23"/>
  <c r="J167" i="23"/>
  <c r="K167" i="23"/>
  <c r="W97" i="37"/>
  <c r="G100" i="23"/>
  <c r="I100" i="23"/>
  <c r="J100" i="23"/>
  <c r="K100" i="23"/>
  <c r="W98" i="37"/>
  <c r="G345" i="23"/>
  <c r="I345" i="23"/>
  <c r="J345" i="23"/>
  <c r="K345" i="23"/>
  <c r="W99" i="37"/>
  <c r="G52" i="23"/>
  <c r="I52" i="23"/>
  <c r="J52" i="23"/>
  <c r="K52" i="23"/>
  <c r="W100" i="37"/>
  <c r="G219" i="23"/>
  <c r="I219" i="23"/>
  <c r="J219" i="23"/>
  <c r="K219" i="23"/>
  <c r="W101" i="37"/>
  <c r="G172" i="23"/>
  <c r="I172" i="23"/>
  <c r="J172" i="23"/>
  <c r="K172" i="23"/>
  <c r="W102" i="37"/>
  <c r="G260" i="23"/>
  <c r="I260" i="23"/>
  <c r="J260" i="23"/>
  <c r="K260" i="23"/>
  <c r="W103" i="37"/>
  <c r="G367" i="23"/>
  <c r="I367" i="23"/>
  <c r="J367" i="23"/>
  <c r="K367" i="23"/>
  <c r="W104" i="37"/>
  <c r="G120" i="23"/>
  <c r="I120" i="23"/>
  <c r="J120" i="23"/>
  <c r="K120" i="23"/>
  <c r="W105" i="37"/>
  <c r="G50" i="23"/>
  <c r="I50" i="23"/>
  <c r="J50" i="23"/>
  <c r="K50" i="23"/>
  <c r="W106" i="37"/>
  <c r="G129" i="23"/>
  <c r="I129" i="23"/>
  <c r="J129" i="23"/>
  <c r="K129" i="23"/>
  <c r="W107" i="37"/>
  <c r="G35" i="23"/>
  <c r="I35" i="23"/>
  <c r="J35" i="23"/>
  <c r="K35" i="23"/>
  <c r="W108" i="37"/>
  <c r="G119" i="23"/>
  <c r="I119" i="23"/>
  <c r="J119" i="23"/>
  <c r="K119" i="23"/>
  <c r="W109" i="37"/>
  <c r="G232" i="23"/>
  <c r="I232" i="23"/>
  <c r="J232" i="23"/>
  <c r="K232" i="23"/>
  <c r="W110" i="37"/>
  <c r="G112" i="23"/>
  <c r="I112" i="23"/>
  <c r="J112" i="23"/>
  <c r="K112" i="23"/>
  <c r="W111" i="37"/>
  <c r="G31" i="23"/>
  <c r="I31" i="23"/>
  <c r="J31" i="23"/>
  <c r="K31" i="23"/>
  <c r="W112" i="37"/>
  <c r="G105" i="23"/>
  <c r="I105" i="23"/>
  <c r="J105" i="23"/>
  <c r="K105" i="23"/>
  <c r="W113" i="37"/>
  <c r="G4" i="23"/>
  <c r="I4" i="23"/>
  <c r="J4" i="23"/>
  <c r="K4" i="23"/>
  <c r="W114" i="37"/>
  <c r="G171" i="23"/>
  <c r="I171" i="23"/>
  <c r="J171" i="23"/>
  <c r="K171" i="23"/>
  <c r="W115" i="37"/>
  <c r="G79" i="23"/>
  <c r="I79" i="23"/>
  <c r="J79" i="23"/>
  <c r="K79" i="23"/>
  <c r="W116" i="37"/>
  <c r="G307" i="23"/>
  <c r="I307" i="23"/>
  <c r="J307" i="23"/>
  <c r="K307" i="23"/>
  <c r="W117" i="37"/>
  <c r="W118" i="37"/>
  <c r="G314" i="23"/>
  <c r="I314" i="23"/>
  <c r="J314" i="23"/>
  <c r="K314" i="23"/>
  <c r="W119" i="37"/>
  <c r="G121" i="23"/>
  <c r="I121" i="23"/>
  <c r="J121" i="23"/>
  <c r="K121" i="23"/>
  <c r="W120" i="37"/>
  <c r="W121" i="37"/>
  <c r="G137" i="23"/>
  <c r="I137" i="23"/>
  <c r="J137" i="23"/>
  <c r="K137" i="23"/>
  <c r="W122" i="37"/>
  <c r="G239" i="23"/>
  <c r="I239" i="23"/>
  <c r="J239" i="23"/>
  <c r="K239" i="23"/>
  <c r="W123" i="37"/>
  <c r="G26" i="23"/>
  <c r="I26" i="23"/>
  <c r="J26" i="23"/>
  <c r="K26" i="23"/>
  <c r="W124" i="37"/>
  <c r="W125" i="37"/>
  <c r="G146" i="23"/>
  <c r="I146" i="23"/>
  <c r="J146" i="23"/>
  <c r="K146" i="23"/>
  <c r="W126" i="37"/>
  <c r="G209" i="23"/>
  <c r="I209" i="23"/>
  <c r="J209" i="23"/>
  <c r="K209" i="23"/>
  <c r="W127" i="37"/>
  <c r="W128" i="37"/>
  <c r="W129" i="37"/>
  <c r="W130" i="37"/>
  <c r="G136" i="23"/>
  <c r="I136" i="23"/>
  <c r="J136" i="23"/>
  <c r="K136" i="23"/>
  <c r="W131" i="37"/>
  <c r="G144" i="23"/>
  <c r="I144" i="23"/>
  <c r="J144" i="23"/>
  <c r="K144" i="23"/>
  <c r="W132" i="37"/>
  <c r="G117" i="23"/>
  <c r="I117" i="23"/>
  <c r="J117" i="23"/>
  <c r="K117" i="23"/>
  <c r="W133" i="37"/>
  <c r="G98" i="23"/>
  <c r="I98" i="23"/>
  <c r="J98" i="23"/>
  <c r="K98" i="23"/>
  <c r="W134" i="37"/>
  <c r="G205" i="23"/>
  <c r="I205" i="23"/>
  <c r="J205" i="23"/>
  <c r="K205" i="23"/>
  <c r="W135" i="37"/>
  <c r="G139" i="23"/>
  <c r="I139" i="23"/>
  <c r="J139" i="23"/>
  <c r="K139" i="23"/>
  <c r="W136" i="37"/>
  <c r="G158" i="23"/>
  <c r="I158" i="23"/>
  <c r="J158" i="23"/>
  <c r="K158" i="23"/>
  <c r="W137" i="37"/>
  <c r="G43" i="23"/>
  <c r="I43" i="23"/>
  <c r="J43" i="23"/>
  <c r="K43" i="23"/>
  <c r="W138" i="37"/>
  <c r="G151" i="23"/>
  <c r="I151" i="23"/>
  <c r="J151" i="23"/>
  <c r="K151" i="23"/>
  <c r="W139" i="37"/>
  <c r="G193" i="23"/>
  <c r="I193" i="23"/>
  <c r="J193" i="23"/>
  <c r="K193" i="23"/>
  <c r="W140" i="37"/>
  <c r="G14" i="23"/>
  <c r="I14" i="23"/>
  <c r="J14" i="23"/>
  <c r="K14" i="23"/>
  <c r="W141" i="37"/>
  <c r="G76" i="23"/>
  <c r="I76" i="23"/>
  <c r="J76" i="23"/>
  <c r="K76" i="23"/>
  <c r="W142" i="37"/>
  <c r="G12" i="23"/>
  <c r="I12" i="23"/>
  <c r="J12" i="23"/>
  <c r="K12" i="23"/>
  <c r="W143" i="37"/>
  <c r="W144" i="37"/>
  <c r="G30" i="23"/>
  <c r="I30" i="23"/>
  <c r="J30" i="23"/>
  <c r="K30" i="23"/>
  <c r="W145" i="37"/>
  <c r="G115" i="23"/>
  <c r="I115" i="23"/>
  <c r="J115" i="23"/>
  <c r="K115" i="23"/>
  <c r="W146" i="37"/>
  <c r="G40" i="23"/>
  <c r="I40" i="23"/>
  <c r="J40" i="23"/>
  <c r="K40" i="23"/>
  <c r="W147" i="37"/>
  <c r="G147" i="23"/>
  <c r="I147" i="23"/>
  <c r="J147" i="23"/>
  <c r="K147" i="23"/>
  <c r="W148" i="37"/>
  <c r="G186" i="23"/>
  <c r="I186" i="23"/>
  <c r="J186" i="23"/>
  <c r="K186" i="23"/>
  <c r="W149" i="37"/>
  <c r="G53" i="23"/>
  <c r="I53" i="23"/>
  <c r="J53" i="23"/>
  <c r="K53" i="23"/>
  <c r="W150" i="37"/>
  <c r="G55" i="23"/>
  <c r="I55" i="23"/>
  <c r="J55" i="23"/>
  <c r="K55" i="23"/>
  <c r="W151" i="37"/>
  <c r="G179" i="23"/>
  <c r="I179" i="23"/>
  <c r="J179" i="23"/>
  <c r="K179" i="23"/>
  <c r="W152" i="37"/>
  <c r="G85" i="23"/>
  <c r="I85" i="23"/>
  <c r="J85" i="23"/>
  <c r="K85" i="23"/>
  <c r="W153" i="37"/>
  <c r="G6" i="23"/>
  <c r="I6" i="23"/>
  <c r="J6" i="23"/>
  <c r="K6" i="23"/>
  <c r="W154" i="37"/>
  <c r="G188" i="23"/>
  <c r="I188" i="23"/>
  <c r="J188" i="23"/>
  <c r="K188" i="23"/>
  <c r="W155" i="37"/>
  <c r="G140" i="23"/>
  <c r="I140" i="23"/>
  <c r="J140" i="23"/>
  <c r="K140" i="23"/>
  <c r="W156" i="37"/>
  <c r="G134" i="23"/>
  <c r="I134" i="23"/>
  <c r="J134" i="23"/>
  <c r="K134" i="23"/>
  <c r="W157" i="37"/>
  <c r="G101" i="23"/>
  <c r="I101" i="23"/>
  <c r="J101" i="23"/>
  <c r="K101" i="23"/>
  <c r="W158" i="37"/>
  <c r="G18" i="23"/>
  <c r="I18" i="23"/>
  <c r="J18" i="23"/>
  <c r="K18" i="23"/>
  <c r="W159" i="37"/>
  <c r="G22" i="23"/>
  <c r="I22" i="23"/>
  <c r="J22" i="23"/>
  <c r="K22" i="23"/>
  <c r="W160" i="37"/>
  <c r="G275" i="23"/>
  <c r="I275" i="23"/>
  <c r="J275" i="23"/>
  <c r="K275" i="23"/>
  <c r="W161" i="37"/>
  <c r="G203" i="23"/>
  <c r="I203" i="23"/>
  <c r="J203" i="23"/>
  <c r="K203" i="23"/>
  <c r="W162" i="37"/>
  <c r="W163" i="37"/>
  <c r="W164" i="37"/>
  <c r="G177" i="23"/>
  <c r="I177" i="23"/>
  <c r="J177" i="23"/>
  <c r="K177" i="23"/>
  <c r="W165" i="37"/>
  <c r="G90" i="23"/>
  <c r="I90" i="23"/>
  <c r="J90" i="23"/>
  <c r="K90" i="23"/>
  <c r="W166" i="37"/>
  <c r="G131" i="23"/>
  <c r="I131" i="23"/>
  <c r="J131" i="23"/>
  <c r="K131" i="23"/>
  <c r="W167" i="37"/>
  <c r="G207" i="23"/>
  <c r="I207" i="23"/>
  <c r="J207" i="23"/>
  <c r="K207" i="23"/>
  <c r="W168" i="37"/>
  <c r="W169" i="37"/>
  <c r="G212" i="23"/>
  <c r="I212" i="23"/>
  <c r="J212" i="23"/>
  <c r="K212" i="23"/>
  <c r="W170" i="37"/>
  <c r="G95" i="23"/>
  <c r="I95" i="23"/>
  <c r="J95" i="23"/>
  <c r="K95" i="23"/>
  <c r="W171" i="37"/>
  <c r="G289" i="23"/>
  <c r="I289" i="23"/>
  <c r="J289" i="23"/>
  <c r="K289" i="23"/>
  <c r="W172" i="37"/>
  <c r="G191" i="23"/>
  <c r="I191" i="23"/>
  <c r="J191" i="23"/>
  <c r="K191" i="23"/>
  <c r="W173" i="37"/>
  <c r="G308" i="23"/>
  <c r="I308" i="23"/>
  <c r="J308" i="23"/>
  <c r="K308" i="23"/>
  <c r="W174" i="37"/>
  <c r="G279" i="23"/>
  <c r="I279" i="23"/>
  <c r="J279" i="23"/>
  <c r="K279" i="23"/>
  <c r="W175" i="37"/>
  <c r="G341" i="23"/>
  <c r="I341" i="23"/>
  <c r="J341" i="23"/>
  <c r="K341" i="23"/>
  <c r="W176" i="37"/>
  <c r="G407" i="23"/>
  <c r="I407" i="23"/>
  <c r="J407" i="23"/>
  <c r="K407" i="23"/>
  <c r="W177" i="37"/>
  <c r="G389" i="23"/>
  <c r="I389" i="23"/>
  <c r="J389" i="23"/>
  <c r="K389" i="23"/>
  <c r="W178" i="37"/>
  <c r="G396" i="23"/>
  <c r="I396" i="23"/>
  <c r="J396" i="23"/>
  <c r="K396" i="23"/>
  <c r="W179" i="37"/>
  <c r="G280" i="23"/>
  <c r="I280" i="23"/>
  <c r="J280" i="23"/>
  <c r="K280" i="23"/>
  <c r="W180" i="37"/>
  <c r="G366" i="23"/>
  <c r="I366" i="23"/>
  <c r="J366" i="23"/>
  <c r="K366" i="23"/>
  <c r="W181" i="37"/>
  <c r="G247" i="23"/>
  <c r="I247" i="23"/>
  <c r="J247" i="23"/>
  <c r="K247" i="23"/>
  <c r="W182" i="37"/>
  <c r="G398" i="23"/>
  <c r="I398" i="23"/>
  <c r="J398" i="23"/>
  <c r="K398" i="23"/>
  <c r="W183" i="37"/>
  <c r="G262" i="23"/>
  <c r="I262" i="23"/>
  <c r="J262" i="23"/>
  <c r="K262" i="23"/>
  <c r="W184" i="37"/>
  <c r="G290" i="23"/>
  <c r="I290" i="23"/>
  <c r="J290" i="23"/>
  <c r="K290" i="23"/>
  <c r="W185" i="37"/>
  <c r="G361" i="23"/>
  <c r="I361" i="23"/>
  <c r="J361" i="23"/>
  <c r="K361" i="23"/>
  <c r="W186" i="37"/>
  <c r="G414" i="23"/>
  <c r="I414" i="23"/>
  <c r="J414" i="23"/>
  <c r="K414" i="23"/>
  <c r="W187" i="37"/>
  <c r="G276" i="23"/>
  <c r="I276" i="23"/>
  <c r="J276" i="23"/>
  <c r="K276" i="23"/>
  <c r="W188" i="37"/>
  <c r="G336" i="23"/>
  <c r="I336" i="23"/>
  <c r="J336" i="23"/>
  <c r="K336" i="23"/>
  <c r="W189" i="37"/>
  <c r="G251" i="23"/>
  <c r="I251" i="23"/>
  <c r="J251" i="23"/>
  <c r="K251" i="23"/>
  <c r="W190" i="37"/>
  <c r="G412" i="23"/>
  <c r="I412" i="23"/>
  <c r="J412" i="23"/>
  <c r="K412" i="23"/>
  <c r="W191" i="37"/>
  <c r="G326" i="23"/>
  <c r="I326" i="23"/>
  <c r="J326" i="23"/>
  <c r="K326" i="23"/>
  <c r="W192" i="37"/>
  <c r="G241" i="23"/>
  <c r="I241" i="23"/>
  <c r="J241" i="23"/>
  <c r="K241" i="23"/>
  <c r="W193" i="37"/>
  <c r="G224" i="23"/>
  <c r="I224" i="23"/>
  <c r="J224" i="23"/>
  <c r="K224" i="23"/>
  <c r="W194" i="37"/>
  <c r="G302" i="23"/>
  <c r="I302" i="23"/>
  <c r="J302" i="23"/>
  <c r="K302" i="23"/>
  <c r="W195" i="37"/>
  <c r="G228" i="23"/>
  <c r="I228" i="23"/>
  <c r="J228" i="23"/>
  <c r="K228" i="23"/>
  <c r="W196" i="37"/>
  <c r="G383" i="23"/>
  <c r="I383" i="23"/>
  <c r="J383" i="23"/>
  <c r="K383" i="23"/>
  <c r="W197" i="37"/>
  <c r="G252" i="23"/>
  <c r="I252" i="23"/>
  <c r="J252" i="23"/>
  <c r="K252" i="23"/>
  <c r="W198" i="37"/>
  <c r="G388" i="23"/>
  <c r="I388" i="23"/>
  <c r="J388" i="23"/>
  <c r="K388" i="23"/>
  <c r="W199" i="37"/>
  <c r="G328" i="23"/>
  <c r="I328" i="23"/>
  <c r="J328" i="23"/>
  <c r="K328" i="23"/>
  <c r="W200" i="37"/>
  <c r="G296" i="23"/>
  <c r="I296" i="23"/>
  <c r="J296" i="23"/>
  <c r="K296" i="23"/>
  <c r="W201" i="37"/>
  <c r="G413" i="23"/>
  <c r="I413" i="23"/>
  <c r="J413" i="23"/>
  <c r="K413" i="23"/>
  <c r="W202" i="37"/>
  <c r="G364" i="23"/>
  <c r="I364" i="23"/>
  <c r="J364" i="23"/>
  <c r="K364" i="23"/>
  <c r="W203" i="37"/>
  <c r="G351" i="23"/>
  <c r="I351" i="23"/>
  <c r="J351" i="23"/>
  <c r="K351" i="23"/>
  <c r="W204" i="37"/>
  <c r="G360" i="23"/>
  <c r="I360" i="23"/>
  <c r="J360" i="23"/>
  <c r="K360" i="23"/>
  <c r="W205" i="37"/>
  <c r="G294" i="23"/>
  <c r="I294" i="23"/>
  <c r="J294" i="23"/>
  <c r="K294" i="23"/>
  <c r="W206" i="37"/>
  <c r="G277" i="23"/>
  <c r="I277" i="23"/>
  <c r="J277" i="23"/>
  <c r="K277" i="23"/>
  <c r="W207" i="37"/>
  <c r="G373" i="23"/>
  <c r="I373" i="23"/>
  <c r="J373" i="23"/>
  <c r="K373" i="23"/>
  <c r="W208" i="37"/>
  <c r="G301" i="23"/>
  <c r="I301" i="23"/>
  <c r="J301" i="23"/>
  <c r="K301" i="23"/>
  <c r="W209" i="37"/>
  <c r="G293" i="23"/>
  <c r="I293" i="23"/>
  <c r="J293" i="23"/>
  <c r="K293" i="23"/>
  <c r="W210" i="37"/>
  <c r="G362" i="23"/>
  <c r="I362" i="23"/>
  <c r="J362" i="23"/>
  <c r="K362" i="23"/>
  <c r="W211" i="37"/>
  <c r="G338" i="23"/>
  <c r="I338" i="23"/>
  <c r="J338" i="23"/>
  <c r="K338" i="23"/>
  <c r="W212" i="37"/>
  <c r="G347" i="23"/>
  <c r="I347" i="23"/>
  <c r="J347" i="23"/>
  <c r="K347" i="23"/>
  <c r="W213" i="37"/>
  <c r="G331" i="23"/>
  <c r="I331" i="23"/>
  <c r="J331" i="23"/>
  <c r="K331" i="23"/>
  <c r="W214" i="37"/>
  <c r="G325" i="23"/>
  <c r="I325" i="23"/>
  <c r="J325" i="23"/>
  <c r="K325" i="23"/>
  <c r="W215" i="37"/>
  <c r="G416" i="23"/>
  <c r="I416" i="23"/>
  <c r="J416" i="23"/>
  <c r="K416" i="23"/>
  <c r="W216" i="37"/>
  <c r="G349" i="23"/>
  <c r="I349" i="23"/>
  <c r="J349" i="23"/>
  <c r="K349" i="23"/>
  <c r="W217" i="37"/>
  <c r="G365" i="23"/>
  <c r="I365" i="23"/>
  <c r="J365" i="23"/>
  <c r="K365" i="23"/>
  <c r="W218" i="37"/>
  <c r="G322" i="23"/>
  <c r="I322" i="23"/>
  <c r="J322" i="23"/>
  <c r="K322" i="23"/>
  <c r="W219" i="37"/>
  <c r="G418" i="23"/>
  <c r="I418" i="23"/>
  <c r="J418" i="23"/>
  <c r="K418" i="23"/>
  <c r="W220" i="37"/>
  <c r="G248" i="23"/>
  <c r="I248" i="23"/>
  <c r="J248" i="23"/>
  <c r="K248" i="23"/>
  <c r="W221" i="37"/>
  <c r="G238" i="23"/>
  <c r="I238" i="23"/>
  <c r="J238" i="23"/>
  <c r="K238" i="23"/>
  <c r="W222" i="37"/>
  <c r="W223" i="37"/>
  <c r="G283" i="23"/>
  <c r="I283" i="23"/>
  <c r="J283" i="23"/>
  <c r="K283" i="23"/>
  <c r="W224" i="37"/>
  <c r="G225" i="23"/>
  <c r="I225" i="23"/>
  <c r="J225" i="23"/>
  <c r="K225" i="23"/>
  <c r="W225" i="37"/>
  <c r="G161" i="23"/>
  <c r="I161" i="23"/>
  <c r="J161" i="23"/>
  <c r="K161" i="23"/>
  <c r="W226" i="37"/>
  <c r="G378" i="23"/>
  <c r="I378" i="23"/>
  <c r="J378" i="23"/>
  <c r="K378" i="23"/>
  <c r="W227" i="37"/>
  <c r="G333" i="23"/>
  <c r="I333" i="23"/>
  <c r="J333" i="23"/>
  <c r="K333" i="23"/>
  <c r="W228" i="37"/>
  <c r="G235" i="23"/>
  <c r="I235" i="23"/>
  <c r="J235" i="23"/>
  <c r="K235" i="23"/>
  <c r="W229" i="37"/>
  <c r="G382" i="23"/>
  <c r="I382" i="23"/>
  <c r="J382" i="23"/>
  <c r="K382" i="23"/>
  <c r="W230" i="37"/>
  <c r="G221" i="23"/>
  <c r="I221" i="23"/>
  <c r="J221" i="23"/>
  <c r="K221" i="23"/>
  <c r="W231" i="37"/>
  <c r="G405" i="23"/>
  <c r="I405" i="23"/>
  <c r="J405" i="23"/>
  <c r="K405" i="23"/>
  <c r="W232" i="37"/>
  <c r="W233" i="37"/>
  <c r="W234" i="37"/>
  <c r="G342" i="23"/>
  <c r="I342" i="23"/>
  <c r="J342" i="23"/>
  <c r="K342" i="23"/>
  <c r="W235" i="37"/>
  <c r="W236" i="37"/>
  <c r="G41" i="23"/>
  <c r="I41" i="23"/>
  <c r="J41" i="23"/>
  <c r="K41" i="23"/>
  <c r="W237" i="37"/>
  <c r="G3" i="23"/>
  <c r="I3" i="23"/>
  <c r="J3" i="23"/>
  <c r="K3" i="23"/>
  <c r="W238" i="37"/>
  <c r="G245" i="23"/>
  <c r="I245" i="23"/>
  <c r="J245" i="23"/>
  <c r="K245" i="23"/>
  <c r="W239" i="37"/>
  <c r="G37" i="23"/>
  <c r="I37" i="23"/>
  <c r="J37" i="23"/>
  <c r="K37" i="23"/>
  <c r="W240" i="37"/>
  <c r="G23" i="23"/>
  <c r="I23" i="23"/>
  <c r="J23" i="23"/>
  <c r="K23" i="23"/>
  <c r="W241" i="37"/>
  <c r="G63" i="23"/>
  <c r="I63" i="23"/>
  <c r="J63" i="23"/>
  <c r="K63" i="23"/>
  <c r="W242" i="37"/>
  <c r="G86" i="23"/>
  <c r="I86" i="23"/>
  <c r="J86" i="23"/>
  <c r="K86" i="23"/>
  <c r="W243" i="37"/>
  <c r="G62" i="23"/>
  <c r="I62" i="23"/>
  <c r="J62" i="23"/>
  <c r="K62" i="23"/>
  <c r="W244" i="37"/>
  <c r="G64" i="23"/>
  <c r="I64" i="23"/>
  <c r="J64" i="23"/>
  <c r="K64" i="23"/>
  <c r="W245" i="37"/>
  <c r="G223" i="23"/>
  <c r="I223" i="23"/>
  <c r="J223" i="23"/>
  <c r="K223" i="23"/>
  <c r="W246" i="37"/>
  <c r="G13" i="23"/>
  <c r="I13" i="23"/>
  <c r="J13" i="23"/>
  <c r="K13" i="23"/>
  <c r="W247" i="37"/>
  <c r="G5" i="23"/>
  <c r="I5" i="23"/>
  <c r="J5" i="23"/>
  <c r="K5" i="23"/>
  <c r="W248" i="37"/>
  <c r="G222" i="23"/>
  <c r="I222" i="23"/>
  <c r="J222" i="23"/>
  <c r="K222" i="23"/>
  <c r="W249" i="37"/>
  <c r="G82" i="23"/>
  <c r="I82" i="23"/>
  <c r="J82" i="23"/>
  <c r="K82" i="23"/>
  <c r="W250" i="37"/>
  <c r="G80" i="23"/>
  <c r="I80" i="23"/>
  <c r="J80" i="23"/>
  <c r="K80" i="23"/>
  <c r="W251" i="37"/>
  <c r="G33" i="23"/>
  <c r="I33" i="23"/>
  <c r="J33" i="23"/>
  <c r="K33" i="23"/>
  <c r="W252" i="37"/>
  <c r="G319" i="23"/>
  <c r="I319" i="23"/>
  <c r="J319" i="23"/>
  <c r="K319" i="23"/>
  <c r="W253" i="37"/>
  <c r="G77" i="23"/>
  <c r="I77" i="23"/>
  <c r="J77" i="23"/>
  <c r="K77" i="23"/>
  <c r="W254" i="37"/>
  <c r="G32" i="23"/>
  <c r="I32" i="23"/>
  <c r="J32" i="23"/>
  <c r="K32" i="23"/>
  <c r="W255" i="37"/>
  <c r="G83" i="23"/>
  <c r="I83" i="23"/>
  <c r="J83" i="23"/>
  <c r="K83" i="23"/>
  <c r="W256" i="37"/>
  <c r="G49" i="23"/>
  <c r="I49" i="23"/>
  <c r="J49" i="23"/>
  <c r="K49" i="23"/>
  <c r="W257" i="37"/>
  <c r="G174" i="23"/>
  <c r="I174" i="23"/>
  <c r="J174" i="23"/>
  <c r="K174" i="23"/>
  <c r="W258" i="37"/>
  <c r="G231" i="23"/>
  <c r="I231" i="23"/>
  <c r="J231" i="23"/>
  <c r="K231" i="23"/>
  <c r="W259" i="37"/>
  <c r="G60" i="23"/>
  <c r="I60" i="23"/>
  <c r="J60" i="23"/>
  <c r="K60" i="23"/>
  <c r="W260" i="37"/>
  <c r="G142" i="23"/>
  <c r="I142" i="23"/>
  <c r="J142" i="23"/>
  <c r="K142" i="23"/>
  <c r="W261" i="37"/>
  <c r="G198" i="23"/>
  <c r="I198" i="23"/>
  <c r="J198" i="23"/>
  <c r="K198" i="23"/>
  <c r="W262" i="37"/>
  <c r="G58" i="23"/>
  <c r="I58" i="23"/>
  <c r="J58" i="23"/>
  <c r="K58" i="23"/>
  <c r="W263" i="37"/>
  <c r="G36" i="23"/>
  <c r="I36" i="23"/>
  <c r="J36" i="23"/>
  <c r="K36" i="23"/>
  <c r="W264" i="37"/>
  <c r="G128" i="23"/>
  <c r="I128" i="23"/>
  <c r="J128" i="23"/>
  <c r="K128" i="23"/>
  <c r="W265" i="37"/>
  <c r="G124" i="23"/>
  <c r="I124" i="23"/>
  <c r="J124" i="23"/>
  <c r="K124" i="23"/>
  <c r="W266" i="37"/>
  <c r="G176" i="23"/>
  <c r="I176" i="23"/>
  <c r="J176" i="23"/>
  <c r="K176" i="23"/>
  <c r="W267" i="37"/>
  <c r="G385" i="23"/>
  <c r="I385" i="23"/>
  <c r="J385" i="23"/>
  <c r="K385" i="23"/>
  <c r="W268" i="37"/>
  <c r="G194" i="23"/>
  <c r="I194" i="23"/>
  <c r="J194" i="23"/>
  <c r="K194" i="23"/>
  <c r="W269" i="37"/>
  <c r="G353" i="23"/>
  <c r="I353" i="23"/>
  <c r="J353" i="23"/>
  <c r="K353" i="23"/>
  <c r="W270" i="37"/>
  <c r="G299" i="23"/>
  <c r="I299" i="23"/>
  <c r="J299" i="23"/>
  <c r="K299" i="23"/>
  <c r="W271" i="37"/>
  <c r="G270" i="23"/>
  <c r="I270" i="23"/>
  <c r="J270" i="23"/>
  <c r="K270" i="23"/>
  <c r="W272" i="37"/>
  <c r="G323" i="23"/>
  <c r="I323" i="23"/>
  <c r="J323" i="23"/>
  <c r="K323" i="23"/>
  <c r="W273" i="37"/>
  <c r="G393" i="23"/>
  <c r="I393" i="23"/>
  <c r="J393" i="23"/>
  <c r="K393" i="23"/>
  <c r="W274" i="37"/>
  <c r="G348" i="23"/>
  <c r="I348" i="23"/>
  <c r="J348" i="23"/>
  <c r="K348" i="23"/>
  <c r="W275" i="37"/>
  <c r="G344" i="23"/>
  <c r="I344" i="23"/>
  <c r="J344" i="23"/>
  <c r="K344" i="23"/>
  <c r="W276" i="37"/>
  <c r="G313" i="23"/>
  <c r="I313" i="23"/>
  <c r="J313" i="23"/>
  <c r="K313" i="23"/>
  <c r="W277" i="37"/>
  <c r="G215" i="23"/>
  <c r="I215" i="23"/>
  <c r="J215" i="23"/>
  <c r="K215" i="23"/>
  <c r="W278" i="37"/>
  <c r="G346" i="23"/>
  <c r="I346" i="23"/>
  <c r="J346" i="23"/>
  <c r="K346" i="23"/>
  <c r="W279" i="37"/>
  <c r="G199" i="23"/>
  <c r="I199" i="23"/>
  <c r="J199" i="23"/>
  <c r="K199" i="23"/>
  <c r="W280" i="37"/>
  <c r="G237" i="23"/>
  <c r="I237" i="23"/>
  <c r="J237" i="23"/>
  <c r="K237" i="23"/>
  <c r="W281" i="37"/>
  <c r="G166" i="23"/>
  <c r="I166" i="23"/>
  <c r="J166" i="23"/>
  <c r="K166" i="23"/>
  <c r="W282" i="37"/>
  <c r="G267" i="23"/>
  <c r="I267" i="23"/>
  <c r="J267" i="23"/>
  <c r="K267" i="23"/>
  <c r="W283" i="37"/>
  <c r="G185" i="23"/>
  <c r="I185" i="23"/>
  <c r="J185" i="23"/>
  <c r="K185" i="23"/>
  <c r="W284" i="37"/>
  <c r="G390" i="23"/>
  <c r="I390" i="23"/>
  <c r="J390" i="23"/>
  <c r="K390" i="23"/>
  <c r="W285" i="37"/>
  <c r="G354" i="23"/>
  <c r="I354" i="23"/>
  <c r="J354" i="23"/>
  <c r="K354" i="23"/>
  <c r="W286" i="37"/>
  <c r="G324" i="23"/>
  <c r="I324" i="23"/>
  <c r="J324" i="23"/>
  <c r="K324" i="23"/>
  <c r="W287" i="37"/>
  <c r="G164" i="23"/>
  <c r="I164" i="23"/>
  <c r="J164" i="23"/>
  <c r="K164" i="23"/>
  <c r="W288" i="37"/>
  <c r="G304" i="23"/>
  <c r="I304" i="23"/>
  <c r="J304" i="23"/>
  <c r="K304" i="23"/>
  <c r="W289" i="37"/>
  <c r="G381" i="23"/>
  <c r="I381" i="23"/>
  <c r="J381" i="23"/>
  <c r="K381" i="23"/>
  <c r="W290" i="37"/>
  <c r="G300" i="23"/>
  <c r="I300" i="23"/>
  <c r="J300" i="23"/>
  <c r="K300" i="23"/>
  <c r="W291" i="37"/>
  <c r="G329" i="23"/>
  <c r="I329" i="23"/>
  <c r="J329" i="23"/>
  <c r="K329" i="23"/>
  <c r="W292" i="37"/>
  <c r="G11" i="23"/>
  <c r="I11" i="23"/>
  <c r="J11" i="23"/>
  <c r="K11" i="23"/>
  <c r="W293" i="37"/>
  <c r="G278" i="23"/>
  <c r="I278" i="23"/>
  <c r="J278" i="23"/>
  <c r="K278" i="23"/>
  <c r="W294" i="37"/>
  <c r="G320" i="23"/>
  <c r="I320" i="23"/>
  <c r="J320" i="23"/>
  <c r="K320" i="23"/>
  <c r="W295" i="37"/>
  <c r="G297" i="23"/>
  <c r="I297" i="23"/>
  <c r="J297" i="23"/>
  <c r="K297" i="23"/>
  <c r="W296" i="37"/>
  <c r="G285" i="23"/>
  <c r="I285" i="23"/>
  <c r="J285" i="23"/>
  <c r="K285" i="23"/>
  <c r="W297" i="37"/>
  <c r="W298" i="37"/>
  <c r="G132" i="23"/>
  <c r="I132" i="23"/>
  <c r="J132" i="23"/>
  <c r="K132" i="23"/>
  <c r="W299" i="37"/>
  <c r="G168" i="23"/>
  <c r="I168" i="23"/>
  <c r="J168" i="23"/>
  <c r="K168" i="23"/>
  <c r="W300" i="37"/>
  <c r="G206" i="23"/>
  <c r="I206" i="23"/>
  <c r="J206" i="23"/>
  <c r="K206" i="23"/>
  <c r="W301" i="37"/>
  <c r="G227" i="23"/>
  <c r="I227" i="23"/>
  <c r="J227" i="23"/>
  <c r="K227" i="23"/>
  <c r="W302" i="37"/>
  <c r="G259" i="23"/>
  <c r="I259" i="23"/>
  <c r="J259" i="23"/>
  <c r="K259" i="23"/>
  <c r="W303" i="37"/>
  <c r="G93" i="23"/>
  <c r="I93" i="23"/>
  <c r="J93" i="23"/>
  <c r="K93" i="23"/>
  <c r="W304" i="37"/>
  <c r="G187" i="23"/>
  <c r="I187" i="23"/>
  <c r="J187" i="23"/>
  <c r="K187" i="23"/>
  <c r="W305" i="37"/>
  <c r="G125" i="23"/>
  <c r="I125" i="23"/>
  <c r="J125" i="23"/>
  <c r="K125" i="23"/>
  <c r="W306" i="37"/>
  <c r="W307" i="37"/>
  <c r="G9" i="23"/>
  <c r="I9" i="23"/>
  <c r="J9" i="23"/>
  <c r="K9" i="23"/>
  <c r="W308" i="37"/>
  <c r="G108" i="23"/>
  <c r="I108" i="23"/>
  <c r="J108" i="23"/>
  <c r="K108" i="23"/>
  <c r="W309" i="37"/>
  <c r="G244" i="23"/>
  <c r="I244" i="23"/>
  <c r="J244" i="23"/>
  <c r="K244" i="23"/>
  <c r="W310" i="37"/>
  <c r="G214" i="23"/>
  <c r="I214" i="23"/>
  <c r="J214" i="23"/>
  <c r="K214" i="23"/>
  <c r="W311" i="37"/>
  <c r="G217" i="23"/>
  <c r="I217" i="23"/>
  <c r="J217" i="23"/>
  <c r="K217" i="23"/>
  <c r="W312" i="37"/>
  <c r="G165" i="23"/>
  <c r="I165" i="23"/>
  <c r="J165" i="23"/>
  <c r="K165" i="23"/>
  <c r="W313" i="37"/>
  <c r="G210" i="23"/>
  <c r="I210" i="23"/>
  <c r="J210" i="23"/>
  <c r="K210" i="23"/>
  <c r="W314" i="37"/>
  <c r="G110" i="23"/>
  <c r="I110" i="23"/>
  <c r="J110" i="23"/>
  <c r="K110" i="23"/>
  <c r="W315" i="37"/>
  <c r="G274" i="23"/>
  <c r="I274" i="23"/>
  <c r="J274" i="23"/>
  <c r="K274" i="23"/>
  <c r="W316" i="37"/>
  <c r="G150" i="23"/>
  <c r="I150" i="23"/>
  <c r="J150" i="23"/>
  <c r="K150" i="23"/>
  <c r="W317" i="37"/>
  <c r="G81" i="23"/>
  <c r="I81" i="23"/>
  <c r="J81" i="23"/>
  <c r="K81" i="23"/>
  <c r="W318" i="37"/>
  <c r="G59" i="23"/>
  <c r="I59" i="23"/>
  <c r="J59" i="23"/>
  <c r="K59" i="23"/>
  <c r="W319" i="37"/>
  <c r="G386" i="23"/>
  <c r="I386" i="23"/>
  <c r="J386" i="23"/>
  <c r="K386" i="23"/>
  <c r="W320" i="37"/>
  <c r="G111" i="23"/>
  <c r="I111" i="23"/>
  <c r="J111" i="23"/>
  <c r="K111" i="23"/>
  <c r="W321" i="37"/>
  <c r="G75" i="23"/>
  <c r="I75" i="23"/>
  <c r="J75" i="23"/>
  <c r="K75" i="23"/>
  <c r="W322" i="37"/>
  <c r="G107" i="23"/>
  <c r="I107" i="23"/>
  <c r="J107" i="23"/>
  <c r="K107" i="23"/>
  <c r="W323" i="37"/>
  <c r="G25" i="23"/>
  <c r="I25" i="23"/>
  <c r="J25" i="23"/>
  <c r="K25" i="23"/>
  <c r="W324" i="37"/>
  <c r="G106" i="23"/>
  <c r="I106" i="23"/>
  <c r="J106" i="23"/>
  <c r="K106" i="23"/>
  <c r="W325" i="37"/>
  <c r="G123" i="23"/>
  <c r="I123" i="23"/>
  <c r="J123" i="23"/>
  <c r="K123" i="23"/>
  <c r="W326" i="37"/>
  <c r="G2" i="23"/>
  <c r="I2" i="23"/>
  <c r="J2" i="23"/>
  <c r="K2" i="23"/>
  <c r="W327" i="37"/>
  <c r="G152" i="23"/>
  <c r="I152" i="23"/>
  <c r="J152" i="23"/>
  <c r="K152" i="23"/>
  <c r="W328" i="37"/>
  <c r="G218" i="23"/>
  <c r="I218" i="23"/>
  <c r="J218" i="23"/>
  <c r="K218" i="23"/>
  <c r="W329" i="37"/>
  <c r="G282" i="23"/>
  <c r="I282" i="23"/>
  <c r="J282" i="23"/>
  <c r="K282" i="23"/>
  <c r="W330" i="37"/>
  <c r="G148" i="23"/>
  <c r="I148" i="23"/>
  <c r="J148" i="23"/>
  <c r="K148" i="23"/>
  <c r="W331" i="37"/>
  <c r="G130" i="23"/>
  <c r="I130" i="23"/>
  <c r="J130" i="23"/>
  <c r="K130" i="23"/>
  <c r="W332" i="37"/>
  <c r="G261" i="23"/>
  <c r="I261" i="23"/>
  <c r="J261" i="23"/>
  <c r="K261" i="23"/>
  <c r="W333" i="37"/>
  <c r="G160" i="23"/>
  <c r="I160" i="23"/>
  <c r="J160" i="23"/>
  <c r="K160" i="23"/>
  <c r="W334" i="37"/>
  <c r="G197" i="23"/>
  <c r="I197" i="23"/>
  <c r="J197" i="23"/>
  <c r="K197" i="23"/>
  <c r="W335" i="37"/>
  <c r="G201" i="23"/>
  <c r="I201" i="23"/>
  <c r="J201" i="23"/>
  <c r="K201" i="23"/>
  <c r="W336" i="37"/>
  <c r="G66" i="23"/>
  <c r="I66" i="23"/>
  <c r="J66" i="23"/>
  <c r="K66" i="23"/>
  <c r="W337" i="37"/>
  <c r="G213" i="23"/>
  <c r="I213" i="23"/>
  <c r="J213" i="23"/>
  <c r="K213" i="23"/>
  <c r="W338" i="37"/>
  <c r="G15" i="23"/>
  <c r="I15" i="23"/>
  <c r="J15" i="23"/>
  <c r="K15" i="23"/>
  <c r="W339" i="37"/>
  <c r="G183" i="23"/>
  <c r="I183" i="23"/>
  <c r="J183" i="23"/>
  <c r="K183" i="23"/>
  <c r="W340" i="37"/>
  <c r="W341" i="37"/>
  <c r="G116" i="23"/>
  <c r="I116" i="23"/>
  <c r="J116" i="23"/>
  <c r="K116" i="23"/>
  <c r="W342" i="37"/>
  <c r="G21" i="23"/>
  <c r="I21" i="23"/>
  <c r="J21" i="23"/>
  <c r="K21" i="23"/>
  <c r="W343" i="37"/>
  <c r="G287" i="23"/>
  <c r="I287" i="23"/>
  <c r="J287" i="23"/>
  <c r="K287" i="23"/>
  <c r="W344" i="37"/>
  <c r="W345" i="37"/>
  <c r="G379" i="23"/>
  <c r="I379" i="23"/>
  <c r="J379" i="23"/>
  <c r="K379" i="23"/>
  <c r="W346" i="37"/>
  <c r="G181" i="23"/>
  <c r="I181" i="23"/>
  <c r="J181" i="23"/>
  <c r="K181" i="23"/>
  <c r="W347" i="37"/>
  <c r="W348" i="37"/>
  <c r="W349" i="37"/>
  <c r="G195" i="23"/>
  <c r="I195" i="23"/>
  <c r="J195" i="23"/>
  <c r="K195" i="23"/>
  <c r="W350" i="37"/>
  <c r="G153" i="23"/>
  <c r="I153" i="23"/>
  <c r="J153" i="23"/>
  <c r="K153" i="23"/>
  <c r="W351" i="37"/>
  <c r="G196" i="23"/>
  <c r="I196" i="23"/>
  <c r="J196" i="23"/>
  <c r="K196" i="23"/>
  <c r="W352" i="37"/>
  <c r="G178" i="23"/>
  <c r="I178" i="23"/>
  <c r="J178" i="23"/>
  <c r="K178" i="23"/>
  <c r="W353" i="37"/>
  <c r="G182" i="23"/>
  <c r="I182" i="23"/>
  <c r="J182" i="23"/>
  <c r="K182" i="23"/>
  <c r="W354" i="37"/>
  <c r="G133" i="23"/>
  <c r="I133" i="23"/>
  <c r="J133" i="23"/>
  <c r="K133" i="23"/>
  <c r="W355" i="37"/>
  <c r="G47" i="23"/>
  <c r="I47" i="23"/>
  <c r="J47" i="23"/>
  <c r="K47" i="23"/>
  <c r="W356" i="37"/>
  <c r="G72" i="23"/>
  <c r="I72" i="23"/>
  <c r="J72" i="23"/>
  <c r="K72" i="23"/>
  <c r="W357" i="37"/>
  <c r="G68" i="23"/>
  <c r="I68" i="23"/>
  <c r="J68" i="23"/>
  <c r="K68" i="23"/>
  <c r="W358" i="37"/>
  <c r="G233" i="23"/>
  <c r="I233" i="23"/>
  <c r="J233" i="23"/>
  <c r="K233" i="23"/>
  <c r="W359" i="37"/>
  <c r="G258" i="23"/>
  <c r="I258" i="23"/>
  <c r="J258" i="23"/>
  <c r="K258" i="23"/>
  <c r="W360" i="37"/>
  <c r="G303" i="23"/>
  <c r="I303" i="23"/>
  <c r="J303" i="23"/>
  <c r="K303" i="23"/>
  <c r="W361" i="37"/>
  <c r="G226" i="23"/>
  <c r="I226" i="23"/>
  <c r="J226" i="23"/>
  <c r="K226" i="23"/>
  <c r="W362" i="37"/>
  <c r="G94" i="23"/>
  <c r="I94" i="23"/>
  <c r="J94" i="23"/>
  <c r="K94" i="23"/>
  <c r="W363" i="37"/>
  <c r="G42" i="23"/>
  <c r="I42" i="23"/>
  <c r="J42" i="23"/>
  <c r="K42" i="23"/>
  <c r="W364" i="37"/>
  <c r="G54" i="23"/>
  <c r="I54" i="23"/>
  <c r="J54" i="23"/>
  <c r="K54" i="23"/>
  <c r="W365" i="37"/>
  <c r="G84" i="23"/>
  <c r="I84" i="23"/>
  <c r="J84" i="23"/>
  <c r="K84" i="23"/>
  <c r="W366" i="37"/>
  <c r="G202" i="23"/>
  <c r="I202" i="23"/>
  <c r="J202" i="23"/>
  <c r="K202" i="23"/>
  <c r="W367" i="37"/>
  <c r="G104" i="23"/>
  <c r="I104" i="23"/>
  <c r="J104" i="23"/>
  <c r="K104" i="23"/>
  <c r="W368" i="37"/>
  <c r="G169" i="23"/>
  <c r="I169" i="23"/>
  <c r="J169" i="23"/>
  <c r="K169" i="23"/>
  <c r="W369" i="37"/>
  <c r="G38" i="23"/>
  <c r="I38" i="23"/>
  <c r="J38" i="23"/>
  <c r="K38" i="23"/>
  <c r="W370" i="37"/>
  <c r="G184" i="23"/>
  <c r="I184" i="23"/>
  <c r="J184" i="23"/>
  <c r="K184" i="23"/>
  <c r="W371" i="37"/>
  <c r="W372" i="37"/>
  <c r="G73" i="23"/>
  <c r="I73" i="23"/>
  <c r="J73" i="23"/>
  <c r="K73" i="23"/>
  <c r="W373" i="37"/>
  <c r="G10" i="23"/>
  <c r="I10" i="23"/>
  <c r="J10" i="23"/>
  <c r="K10" i="23"/>
  <c r="W374" i="37"/>
  <c r="G91" i="23"/>
  <c r="I91" i="23"/>
  <c r="J91" i="23"/>
  <c r="K91" i="23"/>
  <c r="W375" i="37"/>
  <c r="G92" i="23"/>
  <c r="I92" i="23"/>
  <c r="J92" i="23"/>
  <c r="K92" i="23"/>
  <c r="W376" i="37"/>
  <c r="G369" i="23"/>
  <c r="I369" i="23"/>
  <c r="J369" i="23"/>
  <c r="K369" i="23"/>
  <c r="W377" i="37"/>
  <c r="G20" i="23"/>
  <c r="I20" i="23"/>
  <c r="J20" i="23"/>
  <c r="K20" i="23"/>
  <c r="W378" i="37"/>
  <c r="G122" i="23"/>
  <c r="I122" i="23"/>
  <c r="J122" i="23"/>
  <c r="K122" i="23"/>
  <c r="W379" i="37"/>
  <c r="G69" i="23"/>
  <c r="I69" i="23"/>
  <c r="J69" i="23"/>
  <c r="K69" i="23"/>
  <c r="W380" i="37"/>
  <c r="G155" i="23"/>
  <c r="I155" i="23"/>
  <c r="J155" i="23"/>
  <c r="K155" i="23"/>
  <c r="W381" i="37"/>
  <c r="G204" i="23"/>
  <c r="I204" i="23"/>
  <c r="J204" i="23"/>
  <c r="K204" i="23"/>
  <c r="W382" i="37"/>
  <c r="W383" i="37"/>
  <c r="G88" i="23"/>
  <c r="I88" i="23"/>
  <c r="J88" i="23"/>
  <c r="K88" i="23"/>
  <c r="W384" i="37"/>
  <c r="G29" i="23"/>
  <c r="I29" i="23"/>
  <c r="J29" i="23"/>
  <c r="K29" i="23"/>
  <c r="W385" i="37"/>
  <c r="G145" i="23"/>
  <c r="I145" i="23"/>
  <c r="J145" i="23"/>
  <c r="K145" i="23"/>
  <c r="W386" i="37"/>
  <c r="G306" i="23"/>
  <c r="I306" i="23"/>
  <c r="J306" i="23"/>
  <c r="K306" i="23"/>
  <c r="W387" i="37"/>
  <c r="G61" i="23"/>
  <c r="I61" i="23"/>
  <c r="J61" i="23"/>
  <c r="K61" i="23"/>
  <c r="W388" i="37"/>
  <c r="W389" i="37"/>
  <c r="G97" i="23"/>
  <c r="I97" i="23"/>
  <c r="J97" i="23"/>
  <c r="K97" i="23"/>
  <c r="W390" i="37"/>
  <c r="G143" i="23"/>
  <c r="I143" i="23"/>
  <c r="J143" i="23"/>
  <c r="K143" i="23"/>
  <c r="W391" i="37"/>
  <c r="G374" i="23"/>
  <c r="I374" i="23"/>
  <c r="J374" i="23"/>
  <c r="K374" i="23"/>
  <c r="W392" i="37"/>
  <c r="G281" i="23"/>
  <c r="I281" i="23"/>
  <c r="J281" i="23"/>
  <c r="K281" i="23"/>
  <c r="W393" i="37"/>
  <c r="G249" i="23"/>
  <c r="I249" i="23"/>
  <c r="J249" i="23"/>
  <c r="K249" i="23"/>
  <c r="W394" i="37"/>
  <c r="G359" i="23"/>
  <c r="I359" i="23"/>
  <c r="J359" i="23"/>
  <c r="K359" i="23"/>
  <c r="W395" i="37"/>
  <c r="G391" i="23"/>
  <c r="I391" i="23"/>
  <c r="J391" i="23"/>
  <c r="K391" i="23"/>
  <c r="W396" i="37"/>
  <c r="G355" i="23"/>
  <c r="I355" i="23"/>
  <c r="J355" i="23"/>
  <c r="K355" i="23"/>
  <c r="W397" i="37"/>
  <c r="G250" i="23"/>
  <c r="I250" i="23"/>
  <c r="J250" i="23"/>
  <c r="K250" i="23"/>
  <c r="W398" i="37"/>
  <c r="G339" i="23"/>
  <c r="I339" i="23"/>
  <c r="J339" i="23"/>
  <c r="K339" i="23"/>
  <c r="W399" i="37"/>
  <c r="G384" i="23"/>
  <c r="I384" i="23"/>
  <c r="J384" i="23"/>
  <c r="K384" i="23"/>
  <c r="W400" i="37"/>
  <c r="G286" i="23"/>
  <c r="I286" i="23"/>
  <c r="J286" i="23"/>
  <c r="K286" i="23"/>
  <c r="W401" i="37"/>
  <c r="G236" i="23"/>
  <c r="I236" i="23"/>
  <c r="J236" i="23"/>
  <c r="K236" i="23"/>
  <c r="W402" i="37"/>
  <c r="G372" i="23"/>
  <c r="I372" i="23"/>
  <c r="J372" i="23"/>
  <c r="K372" i="23"/>
  <c r="W403" i="37"/>
  <c r="G402" i="23"/>
  <c r="I402" i="23"/>
  <c r="J402" i="23"/>
  <c r="K402" i="23"/>
  <c r="W404" i="37"/>
  <c r="G397" i="23"/>
  <c r="I397" i="23"/>
  <c r="J397" i="23"/>
  <c r="K397" i="23"/>
  <c r="W405" i="37"/>
  <c r="G253" i="23"/>
  <c r="I253" i="23"/>
  <c r="J253" i="23"/>
  <c r="K253" i="23"/>
  <c r="W406" i="37"/>
  <c r="G377" i="23"/>
  <c r="I377" i="23"/>
  <c r="J377" i="23"/>
  <c r="K377" i="23"/>
  <c r="W407" i="37"/>
  <c r="G310" i="23"/>
  <c r="I310" i="23"/>
  <c r="J310" i="23"/>
  <c r="K310" i="23"/>
  <c r="W408" i="37"/>
  <c r="G404" i="23"/>
  <c r="I404" i="23"/>
  <c r="J404" i="23"/>
  <c r="K404" i="23"/>
  <c r="W409" i="37"/>
  <c r="G317" i="23"/>
  <c r="I317" i="23"/>
  <c r="J317" i="23"/>
  <c r="K317" i="23"/>
  <c r="W410" i="37"/>
  <c r="G156" i="23"/>
  <c r="I156" i="23"/>
  <c r="J156" i="23"/>
  <c r="K156" i="23"/>
  <c r="W411" i="37"/>
  <c r="G417" i="23"/>
  <c r="I417" i="23"/>
  <c r="J417" i="23"/>
  <c r="K417" i="23"/>
  <c r="W412" i="37"/>
  <c r="G327" i="23"/>
  <c r="I327" i="23"/>
  <c r="J327" i="23"/>
  <c r="K327" i="23"/>
  <c r="W413" i="37"/>
  <c r="G335" i="23"/>
  <c r="I335" i="23"/>
  <c r="J335" i="23"/>
  <c r="K335" i="23"/>
  <c r="W414" i="37"/>
  <c r="G256" i="23"/>
  <c r="I256" i="23"/>
  <c r="J256" i="23"/>
  <c r="K256" i="23"/>
  <c r="W415" i="37"/>
  <c r="G356" i="23"/>
  <c r="I356" i="23"/>
  <c r="J356" i="23"/>
  <c r="K356" i="23"/>
  <c r="W416" i="37"/>
  <c r="G368" i="23"/>
  <c r="I368" i="23"/>
  <c r="J368" i="23"/>
  <c r="K368" i="23"/>
  <c r="W417" i="37"/>
  <c r="G410" i="23"/>
  <c r="I410" i="23"/>
  <c r="J410" i="23"/>
  <c r="K410" i="23"/>
  <c r="W418" i="37"/>
  <c r="G242" i="23"/>
  <c r="I242" i="23"/>
  <c r="J242" i="23"/>
  <c r="K242" i="23"/>
  <c r="W419" i="37"/>
  <c r="G288" i="23"/>
  <c r="I288" i="23"/>
  <c r="J288" i="23"/>
  <c r="K288" i="23"/>
  <c r="W420" i="37"/>
  <c r="G370" i="23"/>
  <c r="I370" i="23"/>
  <c r="J370" i="23"/>
  <c r="K370" i="23"/>
  <c r="W421" i="37"/>
  <c r="G246" i="23"/>
  <c r="I246" i="23"/>
  <c r="J246" i="23"/>
  <c r="K246" i="23"/>
  <c r="W422" i="37"/>
  <c r="G363" i="23"/>
  <c r="I363" i="23"/>
  <c r="J363" i="23"/>
  <c r="K363" i="23"/>
  <c r="W423" i="37"/>
  <c r="G403" i="23"/>
  <c r="I403" i="23"/>
  <c r="J403" i="23"/>
  <c r="K403" i="23"/>
  <c r="W424" i="37"/>
  <c r="G265" i="23"/>
  <c r="I265" i="23"/>
  <c r="J265" i="23"/>
  <c r="K265" i="23"/>
  <c r="W425" i="37"/>
  <c r="G309" i="23"/>
  <c r="I309" i="23"/>
  <c r="J309" i="23"/>
  <c r="K309" i="23"/>
  <c r="W426" i="37"/>
  <c r="G318" i="23"/>
  <c r="I318" i="23"/>
  <c r="J318" i="23"/>
  <c r="K318" i="23"/>
  <c r="W427" i="37"/>
  <c r="G332" i="23"/>
  <c r="I332" i="23"/>
  <c r="J332" i="23"/>
  <c r="K332" i="23"/>
  <c r="W428" i="37"/>
  <c r="G352" i="23"/>
  <c r="I352" i="23"/>
  <c r="J352" i="23"/>
  <c r="K352" i="23"/>
  <c r="W429" i="37"/>
  <c r="G371" i="23"/>
  <c r="I371" i="23"/>
  <c r="J371" i="23"/>
  <c r="K371" i="23"/>
  <c r="W430" i="37"/>
  <c r="G295" i="23"/>
  <c r="I295" i="23"/>
  <c r="J295" i="23"/>
  <c r="K295" i="23"/>
  <c r="W431" i="37"/>
  <c r="G380" i="23"/>
  <c r="I380" i="23"/>
  <c r="J380" i="23"/>
  <c r="K380" i="23"/>
  <c r="W432" i="37"/>
  <c r="G200" i="23"/>
  <c r="I200" i="23"/>
  <c r="J200" i="23"/>
  <c r="K200" i="23"/>
  <c r="W433" i="37"/>
  <c r="G395" i="23"/>
  <c r="I395" i="23"/>
  <c r="J395" i="23"/>
  <c r="K395" i="23"/>
  <c r="W434" i="37"/>
  <c r="G263" i="23"/>
  <c r="I263" i="23"/>
  <c r="J263" i="23"/>
  <c r="K263" i="23"/>
  <c r="W435" i="37"/>
  <c r="G315" i="23"/>
  <c r="I315" i="23"/>
  <c r="J315" i="23"/>
  <c r="K315" i="23"/>
  <c r="W436" i="37"/>
  <c r="G376" i="23"/>
  <c r="I376" i="23"/>
  <c r="J376" i="23"/>
  <c r="K376" i="23"/>
  <c r="W437" i="37"/>
  <c r="G255" i="23"/>
  <c r="I255" i="23"/>
  <c r="J255" i="23"/>
  <c r="K255" i="23"/>
  <c r="W438" i="37"/>
  <c r="G409" i="23"/>
  <c r="I409" i="23"/>
  <c r="J409" i="23"/>
  <c r="K409" i="23"/>
  <c r="W439" i="37"/>
  <c r="G220" i="23"/>
  <c r="I220" i="23"/>
  <c r="J220" i="23"/>
  <c r="K220" i="23"/>
  <c r="W440" i="37"/>
  <c r="G305" i="23"/>
  <c r="I305" i="23"/>
  <c r="J305" i="23"/>
  <c r="K305" i="23"/>
  <c r="W441" i="37"/>
  <c r="G394" i="23"/>
  <c r="I394" i="23"/>
  <c r="J394" i="23"/>
  <c r="K394" i="23"/>
  <c r="W442" i="37"/>
  <c r="G340" i="23"/>
  <c r="I340" i="23"/>
  <c r="J340" i="23"/>
  <c r="K340" i="23"/>
  <c r="W443" i="37"/>
  <c r="G254" i="23"/>
  <c r="I254" i="23"/>
  <c r="J254" i="23"/>
  <c r="K254" i="23"/>
  <c r="W444" i="37"/>
  <c r="G334" i="23"/>
  <c r="I334" i="23"/>
  <c r="J334" i="23"/>
  <c r="K334" i="23"/>
  <c r="W445" i="37"/>
  <c r="G216" i="23"/>
  <c r="I216" i="23"/>
  <c r="J216" i="23"/>
  <c r="K216" i="23"/>
  <c r="W446" i="37"/>
  <c r="G292" i="23"/>
  <c r="I292" i="23"/>
  <c r="J292" i="23"/>
  <c r="K292" i="23"/>
  <c r="W447" i="37"/>
  <c r="G400" i="23"/>
  <c r="I400" i="23"/>
  <c r="J400" i="23"/>
  <c r="K400" i="23"/>
  <c r="W448" i="37"/>
  <c r="G243" i="23"/>
  <c r="I243" i="23"/>
  <c r="J243" i="23"/>
  <c r="K243" i="23"/>
  <c r="W449" i="37"/>
  <c r="G358" i="23"/>
  <c r="I358" i="23"/>
  <c r="J358" i="23"/>
  <c r="K358" i="23"/>
  <c r="W450" i="37"/>
  <c r="G229" i="23"/>
  <c r="I229" i="23"/>
  <c r="J229" i="23"/>
  <c r="K229" i="23"/>
  <c r="W451" i="37"/>
  <c r="G316" i="23"/>
  <c r="I316" i="23"/>
  <c r="J316" i="23"/>
  <c r="K316" i="23"/>
  <c r="W452" i="37"/>
  <c r="G399" i="23"/>
  <c r="I399" i="23"/>
  <c r="J399" i="23"/>
  <c r="K399" i="23"/>
  <c r="W453" i="37"/>
  <c r="W454" i="37"/>
  <c r="G392" i="23"/>
  <c r="I392" i="23"/>
  <c r="J392" i="23"/>
  <c r="K392" i="23"/>
  <c r="W455" i="37"/>
  <c r="G27" i="23"/>
  <c r="I27" i="23"/>
  <c r="J27" i="23"/>
  <c r="K27" i="23"/>
  <c r="W456" i="37"/>
  <c r="G70" i="23"/>
  <c r="I70" i="23"/>
  <c r="J70" i="23"/>
  <c r="K70" i="23"/>
  <c r="W457" i="37"/>
  <c r="G291" i="23"/>
  <c r="I291" i="23"/>
  <c r="J291" i="23"/>
  <c r="K291" i="23"/>
  <c r="W458" i="37"/>
  <c r="G46" i="23"/>
  <c r="I46" i="23"/>
  <c r="J46" i="23"/>
  <c r="K46" i="23"/>
  <c r="W459" i="37"/>
  <c r="G343" i="23"/>
  <c r="I343" i="23"/>
  <c r="J343" i="23"/>
  <c r="K343" i="23"/>
  <c r="W460" i="37"/>
  <c r="G17" i="23"/>
  <c r="I17" i="23"/>
  <c r="J17" i="23"/>
  <c r="K17" i="23"/>
  <c r="W461" i="37"/>
  <c r="G71" i="23"/>
  <c r="I71" i="23"/>
  <c r="J71" i="23"/>
  <c r="K71" i="23"/>
  <c r="W462" i="37"/>
  <c r="G240" i="23"/>
  <c r="I240" i="23"/>
  <c r="J240" i="23"/>
  <c r="K240" i="23"/>
  <c r="W463" i="37"/>
  <c r="G102" i="23"/>
  <c r="I102" i="23"/>
  <c r="J102" i="23"/>
  <c r="K102" i="23"/>
  <c r="W464" i="37"/>
  <c r="G234" i="23"/>
  <c r="I234" i="23"/>
  <c r="J234" i="23"/>
  <c r="K234" i="23"/>
  <c r="W465" i="37"/>
  <c r="G109" i="23"/>
  <c r="I109" i="23"/>
  <c r="J109" i="23"/>
  <c r="K109" i="23"/>
  <c r="W466" i="37"/>
  <c r="G67" i="23"/>
  <c r="I67" i="23"/>
  <c r="J67" i="23"/>
  <c r="K67" i="23"/>
  <c r="W467" i="37"/>
  <c r="G387" i="23"/>
  <c r="I387" i="23"/>
  <c r="J387" i="23"/>
  <c r="K387" i="23"/>
  <c r="W468" i="37"/>
  <c r="G284" i="23"/>
  <c r="I284" i="23"/>
  <c r="J284" i="23"/>
  <c r="K284" i="23"/>
  <c r="W469" i="37"/>
  <c r="W470" i="37"/>
  <c r="G89" i="23"/>
  <c r="I89" i="23"/>
  <c r="J89" i="23"/>
  <c r="K89" i="23"/>
  <c r="W471" i="37"/>
  <c r="G96" i="23"/>
  <c r="I96" i="23"/>
  <c r="J96" i="23"/>
  <c r="K96" i="23"/>
  <c r="W472" i="37"/>
  <c r="G408" i="23"/>
  <c r="I408" i="23"/>
  <c r="J408" i="23"/>
  <c r="K408" i="23"/>
  <c r="W473" i="37"/>
  <c r="G357" i="23"/>
  <c r="I357" i="23"/>
  <c r="J357" i="23"/>
  <c r="K357" i="23"/>
  <c r="W474" i="37"/>
  <c r="G321" i="23"/>
  <c r="I321" i="23"/>
  <c r="J321" i="23"/>
  <c r="K321" i="23"/>
  <c r="W475" i="37"/>
  <c r="G149" i="23"/>
  <c r="I149" i="23"/>
  <c r="J149" i="23"/>
  <c r="K149" i="23"/>
  <c r="W476" i="37"/>
  <c r="G350" i="23"/>
  <c r="I350" i="23"/>
  <c r="J350" i="23"/>
  <c r="K350" i="23"/>
  <c r="W477" i="37"/>
  <c r="G411" i="23"/>
  <c r="I411" i="23"/>
  <c r="J411" i="23"/>
  <c r="K411" i="23"/>
  <c r="W478" i="37"/>
  <c r="G24" i="23"/>
  <c r="I24" i="23"/>
  <c r="J24" i="23"/>
  <c r="K24" i="23"/>
  <c r="W479" i="37"/>
  <c r="G157" i="23"/>
  <c r="I157" i="23"/>
  <c r="J157" i="23"/>
  <c r="K157" i="23"/>
  <c r="W480" i="37"/>
  <c r="G189" i="23"/>
  <c r="I189" i="23"/>
  <c r="J189" i="23"/>
  <c r="K189" i="23"/>
  <c r="W481" i="37"/>
  <c r="G34" i="23"/>
  <c r="I34" i="23"/>
  <c r="J34" i="23"/>
  <c r="K34" i="23"/>
  <c r="W482" i="37"/>
  <c r="G39" i="23"/>
  <c r="I39" i="23"/>
  <c r="J39" i="23"/>
  <c r="K39" i="23"/>
  <c r="W483" i="37"/>
  <c r="G135" i="23"/>
  <c r="I135" i="23"/>
  <c r="J135" i="23"/>
  <c r="K135" i="23"/>
  <c r="W484" i="37"/>
  <c r="G48" i="23"/>
  <c r="I48" i="23"/>
  <c r="J48" i="23"/>
  <c r="K48" i="23"/>
  <c r="W485" i="37"/>
  <c r="G56" i="23"/>
  <c r="I56" i="23"/>
  <c r="J56" i="23"/>
  <c r="K56" i="23"/>
  <c r="W486" i="37"/>
  <c r="G19" i="23"/>
  <c r="I19" i="23"/>
  <c r="J19" i="23"/>
  <c r="K19" i="23"/>
  <c r="W487" i="37"/>
  <c r="G173" i="23"/>
  <c r="I173" i="23"/>
  <c r="J173" i="23"/>
  <c r="K173" i="23"/>
  <c r="W488" i="37"/>
  <c r="G269" i="23"/>
  <c r="I269" i="23"/>
  <c r="J269" i="23"/>
  <c r="K269" i="23"/>
  <c r="W489" i="37"/>
  <c r="G127" i="23"/>
  <c r="I127" i="23"/>
  <c r="J127" i="23"/>
  <c r="K127" i="23"/>
  <c r="W490" i="37"/>
  <c r="G401" i="23"/>
  <c r="I401" i="23"/>
  <c r="J401" i="23"/>
  <c r="K401" i="23"/>
  <c r="W491" i="37"/>
  <c r="G44" i="23"/>
  <c r="I44" i="23"/>
  <c r="J44" i="23"/>
  <c r="K44" i="23"/>
  <c r="W492" i="37"/>
  <c r="G87" i="23"/>
  <c r="I87" i="23"/>
  <c r="J87" i="23"/>
  <c r="K87" i="23"/>
  <c r="W493" i="37"/>
  <c r="G268" i="23"/>
  <c r="I268" i="23"/>
  <c r="J268" i="23"/>
  <c r="K268" i="23"/>
  <c r="W494" i="37"/>
  <c r="G266" i="23"/>
  <c r="I266" i="23"/>
  <c r="J266" i="23"/>
  <c r="K266" i="23"/>
  <c r="W495" i="37"/>
  <c r="G264" i="23"/>
  <c r="I264" i="23"/>
  <c r="J264" i="23"/>
  <c r="K264" i="23"/>
  <c r="W496" i="37"/>
  <c r="G311" i="23"/>
  <c r="I311" i="23"/>
  <c r="J311" i="23"/>
  <c r="K311" i="23"/>
  <c r="W497" i="37"/>
  <c r="G298" i="23"/>
  <c r="I298" i="23"/>
  <c r="J298" i="23"/>
  <c r="K298" i="23"/>
  <c r="W498" i="37"/>
  <c r="G211" i="23"/>
  <c r="I211" i="23"/>
  <c r="J211" i="23"/>
  <c r="K211" i="23"/>
  <c r="W499" i="37"/>
  <c r="G230" i="23"/>
  <c r="I230" i="23"/>
  <c r="J230" i="23"/>
  <c r="K230" i="23"/>
  <c r="W500" i="37"/>
  <c r="G406" i="23"/>
  <c r="I406" i="23"/>
  <c r="J406" i="23"/>
  <c r="K406" i="23"/>
  <c r="W501" i="37"/>
  <c r="G138" i="23"/>
  <c r="I138" i="23"/>
  <c r="J138" i="23"/>
  <c r="K138" i="23"/>
  <c r="W502" i="37"/>
  <c r="G113" i="23"/>
  <c r="I113" i="23"/>
  <c r="J113" i="23"/>
  <c r="K113" i="23"/>
  <c r="W503" i="37"/>
  <c r="G208" i="23"/>
  <c r="I208" i="23"/>
  <c r="J208" i="23"/>
  <c r="K208" i="23"/>
  <c r="W504" i="37"/>
  <c r="G273" i="23"/>
  <c r="I273" i="23"/>
  <c r="J273" i="23"/>
  <c r="K273" i="23"/>
  <c r="W505" i="37"/>
  <c r="G330" i="23"/>
  <c r="I330" i="23"/>
  <c r="J330" i="23"/>
  <c r="K330" i="23"/>
  <c r="W506" i="37"/>
  <c r="G154" i="23"/>
  <c r="I154" i="23"/>
  <c r="J154" i="23"/>
  <c r="K154" i="23"/>
  <c r="W507" i="37"/>
  <c r="G271" i="23"/>
  <c r="I271" i="23"/>
  <c r="J271" i="23"/>
  <c r="K271" i="23"/>
  <c r="W508" i="37"/>
  <c r="G170" i="23"/>
  <c r="I170" i="23"/>
  <c r="J170" i="23"/>
  <c r="K170" i="23"/>
  <c r="W509" i="37"/>
  <c r="G272" i="23"/>
  <c r="I272" i="23"/>
  <c r="J272" i="23"/>
  <c r="K272" i="23"/>
  <c r="W510" i="37"/>
  <c r="G192" i="23"/>
  <c r="I192" i="23"/>
  <c r="J192" i="23"/>
  <c r="K192" i="23"/>
  <c r="W511" i="37"/>
  <c r="G337" i="23"/>
  <c r="I337" i="23"/>
  <c r="J337" i="23"/>
  <c r="K337" i="23"/>
  <c r="W512" i="37"/>
  <c r="G175" i="23"/>
  <c r="I175" i="23"/>
  <c r="J175" i="23"/>
  <c r="K175" i="23"/>
  <c r="W513" i="37"/>
  <c r="G99" i="23"/>
  <c r="I99" i="23"/>
  <c r="J99" i="23"/>
  <c r="K99" i="23"/>
  <c r="W514" i="37"/>
  <c r="G375" i="23"/>
  <c r="I375" i="23"/>
  <c r="J375" i="23"/>
  <c r="K375" i="23"/>
  <c r="W515" i="37"/>
  <c r="G65" i="23"/>
  <c r="I65" i="23"/>
  <c r="J65" i="23"/>
  <c r="K65" i="23"/>
  <c r="W76" i="37"/>
  <c r="H515" i="37"/>
  <c r="S515" i="37"/>
  <c r="F29" i="37"/>
  <c r="U515" i="37"/>
  <c r="Y515" i="37"/>
  <c r="AA515" i="37"/>
  <c r="AE515" i="37"/>
  <c r="AB515" i="37"/>
  <c r="I515" i="37"/>
  <c r="T515" i="37"/>
  <c r="V515" i="37"/>
  <c r="Z515" i="37"/>
  <c r="AC515" i="37"/>
  <c r="R515" i="37"/>
  <c r="G515" i="37"/>
  <c r="AD515" i="37"/>
  <c r="AF515" i="37"/>
  <c r="C515" i="37"/>
  <c r="B515" i="37"/>
  <c r="H514" i="37"/>
  <c r="S514" i="37"/>
  <c r="U514" i="37"/>
  <c r="Y514" i="37"/>
  <c r="AA514" i="37"/>
  <c r="AE514" i="37"/>
  <c r="AB514" i="37"/>
  <c r="I514" i="37"/>
  <c r="T514" i="37"/>
  <c r="V514" i="37"/>
  <c r="Z514" i="37"/>
  <c r="AC514" i="37"/>
  <c r="R514" i="37"/>
  <c r="G514" i="37"/>
  <c r="AD514" i="37"/>
  <c r="AF514" i="37"/>
  <c r="C514" i="37"/>
  <c r="B514" i="37"/>
  <c r="H513" i="37"/>
  <c r="S513" i="37"/>
  <c r="U513" i="37"/>
  <c r="Y513" i="37"/>
  <c r="AA513" i="37"/>
  <c r="AE513" i="37"/>
  <c r="AB513" i="37"/>
  <c r="I513" i="37"/>
  <c r="T513" i="37"/>
  <c r="V513" i="37"/>
  <c r="Z513" i="37"/>
  <c r="AC513" i="37"/>
  <c r="R513" i="37"/>
  <c r="G513" i="37"/>
  <c r="AD513" i="37"/>
  <c r="AF513" i="37"/>
  <c r="C513" i="37"/>
  <c r="B513" i="37"/>
  <c r="H512" i="37"/>
  <c r="S512" i="37"/>
  <c r="U512" i="37"/>
  <c r="Y512" i="37"/>
  <c r="AA512" i="37"/>
  <c r="AE512" i="37"/>
  <c r="AB512" i="37"/>
  <c r="I512" i="37"/>
  <c r="T512" i="37"/>
  <c r="V512" i="37"/>
  <c r="Z512" i="37"/>
  <c r="AC512" i="37"/>
  <c r="R512" i="37"/>
  <c r="G512" i="37"/>
  <c r="AD512" i="37"/>
  <c r="AF512" i="37"/>
  <c r="C512" i="37"/>
  <c r="B512" i="37"/>
  <c r="H511" i="37"/>
  <c r="S511" i="37"/>
  <c r="U511" i="37"/>
  <c r="Y511" i="37"/>
  <c r="AA511" i="37"/>
  <c r="AE511" i="37"/>
  <c r="AB511" i="37"/>
  <c r="I511" i="37"/>
  <c r="T511" i="37"/>
  <c r="V511" i="37"/>
  <c r="Z511" i="37"/>
  <c r="AC511" i="37"/>
  <c r="R511" i="37"/>
  <c r="G511" i="37"/>
  <c r="AD511" i="37"/>
  <c r="AF511" i="37"/>
  <c r="C511" i="37"/>
  <c r="B511" i="37"/>
  <c r="H510" i="37"/>
  <c r="S510" i="37"/>
  <c r="U510" i="37"/>
  <c r="Y510" i="37"/>
  <c r="AA510" i="37"/>
  <c r="AE510" i="37"/>
  <c r="AB510" i="37"/>
  <c r="I510" i="37"/>
  <c r="T510" i="37"/>
  <c r="V510" i="37"/>
  <c r="Z510" i="37"/>
  <c r="AC510" i="37"/>
  <c r="R510" i="37"/>
  <c r="G510" i="37"/>
  <c r="AD510" i="37"/>
  <c r="AF510" i="37"/>
  <c r="C510" i="37"/>
  <c r="B510" i="37"/>
  <c r="H509" i="37"/>
  <c r="S509" i="37"/>
  <c r="U509" i="37"/>
  <c r="Y509" i="37"/>
  <c r="AA509" i="37"/>
  <c r="AE509" i="37"/>
  <c r="AB509" i="37"/>
  <c r="I509" i="37"/>
  <c r="T509" i="37"/>
  <c r="V509" i="37"/>
  <c r="Z509" i="37"/>
  <c r="AC509" i="37"/>
  <c r="R509" i="37"/>
  <c r="G509" i="37"/>
  <c r="AD509" i="37"/>
  <c r="AF509" i="37"/>
  <c r="C509" i="37"/>
  <c r="B509" i="37"/>
  <c r="H508" i="37"/>
  <c r="S508" i="37"/>
  <c r="U508" i="37"/>
  <c r="Y508" i="37"/>
  <c r="AA508" i="37"/>
  <c r="AE508" i="37"/>
  <c r="AB508" i="37"/>
  <c r="I508" i="37"/>
  <c r="T508" i="37"/>
  <c r="V508" i="37"/>
  <c r="Z508" i="37"/>
  <c r="AC508" i="37"/>
  <c r="R508" i="37"/>
  <c r="G508" i="37"/>
  <c r="AD508" i="37"/>
  <c r="AF508" i="37"/>
  <c r="C508" i="37"/>
  <c r="B508" i="37"/>
  <c r="H507" i="37"/>
  <c r="S507" i="37"/>
  <c r="U507" i="37"/>
  <c r="Y507" i="37"/>
  <c r="AA507" i="37"/>
  <c r="AE507" i="37"/>
  <c r="AB507" i="37"/>
  <c r="I507" i="37"/>
  <c r="T507" i="37"/>
  <c r="V507" i="37"/>
  <c r="Z507" i="37"/>
  <c r="AC507" i="37"/>
  <c r="R507" i="37"/>
  <c r="G507" i="37"/>
  <c r="AD507" i="37"/>
  <c r="AF507" i="37"/>
  <c r="C507" i="37"/>
  <c r="B507" i="37"/>
  <c r="H506" i="37"/>
  <c r="S506" i="37"/>
  <c r="U506" i="37"/>
  <c r="Y506" i="37"/>
  <c r="AA506" i="37"/>
  <c r="AE506" i="37"/>
  <c r="AB506" i="37"/>
  <c r="I506" i="37"/>
  <c r="T506" i="37"/>
  <c r="V506" i="37"/>
  <c r="Z506" i="37"/>
  <c r="AC506" i="37"/>
  <c r="R506" i="37"/>
  <c r="G506" i="37"/>
  <c r="AD506" i="37"/>
  <c r="AF506" i="37"/>
  <c r="C506" i="37"/>
  <c r="B506" i="37"/>
  <c r="H505" i="37"/>
  <c r="S505" i="37"/>
  <c r="U505" i="37"/>
  <c r="Y505" i="37"/>
  <c r="AA505" i="37"/>
  <c r="AE505" i="37"/>
  <c r="AB505" i="37"/>
  <c r="I505" i="37"/>
  <c r="T505" i="37"/>
  <c r="V505" i="37"/>
  <c r="Z505" i="37"/>
  <c r="AC505" i="37"/>
  <c r="R505" i="37"/>
  <c r="G505" i="37"/>
  <c r="AD505" i="37"/>
  <c r="AF505" i="37"/>
  <c r="C505" i="37"/>
  <c r="B505" i="37"/>
  <c r="H504" i="37"/>
  <c r="S504" i="37"/>
  <c r="U504" i="37"/>
  <c r="Y504" i="37"/>
  <c r="AA504" i="37"/>
  <c r="AE504" i="37"/>
  <c r="AB504" i="37"/>
  <c r="I504" i="37"/>
  <c r="T504" i="37"/>
  <c r="V504" i="37"/>
  <c r="Z504" i="37"/>
  <c r="AC504" i="37"/>
  <c r="R504" i="37"/>
  <c r="G504" i="37"/>
  <c r="AD504" i="37"/>
  <c r="AF504" i="37"/>
  <c r="C504" i="37"/>
  <c r="B504" i="37"/>
  <c r="H503" i="37"/>
  <c r="S503" i="37"/>
  <c r="U503" i="37"/>
  <c r="Y503" i="37"/>
  <c r="AA503" i="37"/>
  <c r="AE503" i="37"/>
  <c r="AB503" i="37"/>
  <c r="I503" i="37"/>
  <c r="T503" i="37"/>
  <c r="V503" i="37"/>
  <c r="Z503" i="37"/>
  <c r="AC503" i="37"/>
  <c r="R503" i="37"/>
  <c r="G503" i="37"/>
  <c r="AD503" i="37"/>
  <c r="AF503" i="37"/>
  <c r="C503" i="37"/>
  <c r="B503" i="37"/>
  <c r="H502" i="37"/>
  <c r="S502" i="37"/>
  <c r="U502" i="37"/>
  <c r="Y502" i="37"/>
  <c r="AA502" i="37"/>
  <c r="AE502" i="37"/>
  <c r="AB502" i="37"/>
  <c r="I502" i="37"/>
  <c r="T502" i="37"/>
  <c r="V502" i="37"/>
  <c r="Z502" i="37"/>
  <c r="AC502" i="37"/>
  <c r="R502" i="37"/>
  <c r="G502" i="37"/>
  <c r="AD502" i="37"/>
  <c r="AF502" i="37"/>
  <c r="C502" i="37"/>
  <c r="B502" i="37"/>
  <c r="H501" i="37"/>
  <c r="S501" i="37"/>
  <c r="U501" i="37"/>
  <c r="Y501" i="37"/>
  <c r="AA501" i="37"/>
  <c r="AE501" i="37"/>
  <c r="AB501" i="37"/>
  <c r="I501" i="37"/>
  <c r="T501" i="37"/>
  <c r="V501" i="37"/>
  <c r="Z501" i="37"/>
  <c r="AC501" i="37"/>
  <c r="R501" i="37"/>
  <c r="G501" i="37"/>
  <c r="AD501" i="37"/>
  <c r="AF501" i="37"/>
  <c r="C501" i="37"/>
  <c r="B501" i="37"/>
  <c r="H500" i="37"/>
  <c r="S500" i="37"/>
  <c r="U500" i="37"/>
  <c r="Y500" i="37"/>
  <c r="AA500" i="37"/>
  <c r="AE500" i="37"/>
  <c r="AB500" i="37"/>
  <c r="I500" i="37"/>
  <c r="T500" i="37"/>
  <c r="V500" i="37"/>
  <c r="Z500" i="37"/>
  <c r="AC500" i="37"/>
  <c r="R500" i="37"/>
  <c r="G500" i="37"/>
  <c r="AD500" i="37"/>
  <c r="AF500" i="37"/>
  <c r="C500" i="37"/>
  <c r="B500" i="37"/>
  <c r="H499" i="37"/>
  <c r="S499" i="37"/>
  <c r="U499" i="37"/>
  <c r="Y499" i="37"/>
  <c r="AA499" i="37"/>
  <c r="AE499" i="37"/>
  <c r="AB499" i="37"/>
  <c r="I499" i="37"/>
  <c r="T499" i="37"/>
  <c r="V499" i="37"/>
  <c r="Z499" i="37"/>
  <c r="AC499" i="37"/>
  <c r="R499" i="37"/>
  <c r="G499" i="37"/>
  <c r="AD499" i="37"/>
  <c r="AF499" i="37"/>
  <c r="C499" i="37"/>
  <c r="B499" i="37"/>
  <c r="H498" i="37"/>
  <c r="S498" i="37"/>
  <c r="U498" i="37"/>
  <c r="Y498" i="37"/>
  <c r="AA498" i="37"/>
  <c r="AE498" i="37"/>
  <c r="AB498" i="37"/>
  <c r="I498" i="37"/>
  <c r="T498" i="37"/>
  <c r="V498" i="37"/>
  <c r="Z498" i="37"/>
  <c r="AC498" i="37"/>
  <c r="R498" i="37"/>
  <c r="G498" i="37"/>
  <c r="AD498" i="37"/>
  <c r="AF498" i="37"/>
  <c r="C498" i="37"/>
  <c r="B498" i="37"/>
  <c r="H497" i="37"/>
  <c r="S497" i="37"/>
  <c r="U497" i="37"/>
  <c r="Y497" i="37"/>
  <c r="AA497" i="37"/>
  <c r="AE497" i="37"/>
  <c r="AB497" i="37"/>
  <c r="I497" i="37"/>
  <c r="T497" i="37"/>
  <c r="V497" i="37"/>
  <c r="Z497" i="37"/>
  <c r="AC497" i="37"/>
  <c r="R497" i="37"/>
  <c r="G497" i="37"/>
  <c r="AD497" i="37"/>
  <c r="AF497" i="37"/>
  <c r="C497" i="37"/>
  <c r="B497" i="37"/>
  <c r="H496" i="37"/>
  <c r="S496" i="37"/>
  <c r="U496" i="37"/>
  <c r="Y496" i="37"/>
  <c r="AA496" i="37"/>
  <c r="AE496" i="37"/>
  <c r="AB496" i="37"/>
  <c r="I496" i="37"/>
  <c r="T496" i="37"/>
  <c r="V496" i="37"/>
  <c r="Z496" i="37"/>
  <c r="AC496" i="37"/>
  <c r="R496" i="37"/>
  <c r="G496" i="37"/>
  <c r="AD496" i="37"/>
  <c r="AF496" i="37"/>
  <c r="C496" i="37"/>
  <c r="B496" i="37"/>
  <c r="H495" i="37"/>
  <c r="S495" i="37"/>
  <c r="U495" i="37"/>
  <c r="Y495" i="37"/>
  <c r="AA495" i="37"/>
  <c r="AE495" i="37"/>
  <c r="AB495" i="37"/>
  <c r="I495" i="37"/>
  <c r="T495" i="37"/>
  <c r="V495" i="37"/>
  <c r="Z495" i="37"/>
  <c r="AC495" i="37"/>
  <c r="R495" i="37"/>
  <c r="G495" i="37"/>
  <c r="AD495" i="37"/>
  <c r="AF495" i="37"/>
  <c r="C495" i="37"/>
  <c r="B495" i="37"/>
  <c r="H494" i="37"/>
  <c r="S494" i="37"/>
  <c r="U494" i="37"/>
  <c r="Y494" i="37"/>
  <c r="AA494" i="37"/>
  <c r="AE494" i="37"/>
  <c r="AB494" i="37"/>
  <c r="I494" i="37"/>
  <c r="T494" i="37"/>
  <c r="V494" i="37"/>
  <c r="Z494" i="37"/>
  <c r="AC494" i="37"/>
  <c r="R494" i="37"/>
  <c r="G494" i="37"/>
  <c r="AD494" i="37"/>
  <c r="AF494" i="37"/>
  <c r="C494" i="37"/>
  <c r="B494" i="37"/>
  <c r="H493" i="37"/>
  <c r="S493" i="37"/>
  <c r="U493" i="37"/>
  <c r="Y493" i="37"/>
  <c r="AA493" i="37"/>
  <c r="AE493" i="37"/>
  <c r="AB493" i="37"/>
  <c r="I493" i="37"/>
  <c r="T493" i="37"/>
  <c r="V493" i="37"/>
  <c r="Z493" i="37"/>
  <c r="AC493" i="37"/>
  <c r="R493" i="37"/>
  <c r="G493" i="37"/>
  <c r="AD493" i="37"/>
  <c r="AF493" i="37"/>
  <c r="C493" i="37"/>
  <c r="B493" i="37"/>
  <c r="H492" i="37"/>
  <c r="S492" i="37"/>
  <c r="U492" i="37"/>
  <c r="Y492" i="37"/>
  <c r="AA492" i="37"/>
  <c r="AE492" i="37"/>
  <c r="AB492" i="37"/>
  <c r="I492" i="37"/>
  <c r="T492" i="37"/>
  <c r="V492" i="37"/>
  <c r="Z492" i="37"/>
  <c r="AC492" i="37"/>
  <c r="R492" i="37"/>
  <c r="G492" i="37"/>
  <c r="AD492" i="37"/>
  <c r="AF492" i="37"/>
  <c r="C492" i="37"/>
  <c r="B492" i="37"/>
  <c r="H491" i="37"/>
  <c r="S491" i="37"/>
  <c r="U491" i="37"/>
  <c r="Y491" i="37"/>
  <c r="AA491" i="37"/>
  <c r="AE491" i="37"/>
  <c r="AB491" i="37"/>
  <c r="I491" i="37"/>
  <c r="T491" i="37"/>
  <c r="V491" i="37"/>
  <c r="Z491" i="37"/>
  <c r="AC491" i="37"/>
  <c r="R491" i="37"/>
  <c r="G491" i="37"/>
  <c r="AD491" i="37"/>
  <c r="AF491" i="37"/>
  <c r="C491" i="37"/>
  <c r="B491" i="37"/>
  <c r="H490" i="37"/>
  <c r="S490" i="37"/>
  <c r="U490" i="37"/>
  <c r="Y490" i="37"/>
  <c r="AA490" i="37"/>
  <c r="AE490" i="37"/>
  <c r="AB490" i="37"/>
  <c r="I490" i="37"/>
  <c r="T490" i="37"/>
  <c r="V490" i="37"/>
  <c r="Z490" i="37"/>
  <c r="AC490" i="37"/>
  <c r="R490" i="37"/>
  <c r="G490" i="37"/>
  <c r="AD490" i="37"/>
  <c r="AF490" i="37"/>
  <c r="C490" i="37"/>
  <c r="B490" i="37"/>
  <c r="H489" i="37"/>
  <c r="S489" i="37"/>
  <c r="U489" i="37"/>
  <c r="Y489" i="37"/>
  <c r="AA489" i="37"/>
  <c r="AE489" i="37"/>
  <c r="AB489" i="37"/>
  <c r="I489" i="37"/>
  <c r="T489" i="37"/>
  <c r="V489" i="37"/>
  <c r="Z489" i="37"/>
  <c r="AC489" i="37"/>
  <c r="R489" i="37"/>
  <c r="G489" i="37"/>
  <c r="AD489" i="37"/>
  <c r="AF489" i="37"/>
  <c r="C489" i="37"/>
  <c r="B489" i="37"/>
  <c r="H488" i="37"/>
  <c r="S488" i="37"/>
  <c r="U488" i="37"/>
  <c r="Y488" i="37"/>
  <c r="AA488" i="37"/>
  <c r="AE488" i="37"/>
  <c r="AB488" i="37"/>
  <c r="I488" i="37"/>
  <c r="T488" i="37"/>
  <c r="V488" i="37"/>
  <c r="Z488" i="37"/>
  <c r="AC488" i="37"/>
  <c r="R488" i="37"/>
  <c r="G488" i="37"/>
  <c r="AD488" i="37"/>
  <c r="AF488" i="37"/>
  <c r="C488" i="37"/>
  <c r="B488" i="37"/>
  <c r="H487" i="37"/>
  <c r="S487" i="37"/>
  <c r="U487" i="37"/>
  <c r="Y487" i="37"/>
  <c r="AA487" i="37"/>
  <c r="AE487" i="37"/>
  <c r="AB487" i="37"/>
  <c r="I487" i="37"/>
  <c r="T487" i="37"/>
  <c r="V487" i="37"/>
  <c r="Z487" i="37"/>
  <c r="AC487" i="37"/>
  <c r="R487" i="37"/>
  <c r="G487" i="37"/>
  <c r="AD487" i="37"/>
  <c r="AF487" i="37"/>
  <c r="C487" i="37"/>
  <c r="B487" i="37"/>
  <c r="H486" i="37"/>
  <c r="S486" i="37"/>
  <c r="U486" i="37"/>
  <c r="Y486" i="37"/>
  <c r="AA486" i="37"/>
  <c r="AE486" i="37"/>
  <c r="AB486" i="37"/>
  <c r="I486" i="37"/>
  <c r="T486" i="37"/>
  <c r="V486" i="37"/>
  <c r="Z486" i="37"/>
  <c r="AC486" i="37"/>
  <c r="R486" i="37"/>
  <c r="G486" i="37"/>
  <c r="AD486" i="37"/>
  <c r="AF486" i="37"/>
  <c r="C486" i="37"/>
  <c r="B486" i="37"/>
  <c r="H485" i="37"/>
  <c r="S485" i="37"/>
  <c r="U485" i="37"/>
  <c r="Y485" i="37"/>
  <c r="AA485" i="37"/>
  <c r="AE485" i="37"/>
  <c r="AB485" i="37"/>
  <c r="I485" i="37"/>
  <c r="T485" i="37"/>
  <c r="V485" i="37"/>
  <c r="Z485" i="37"/>
  <c r="AC485" i="37"/>
  <c r="R485" i="37"/>
  <c r="G485" i="37"/>
  <c r="AD485" i="37"/>
  <c r="AF485" i="37"/>
  <c r="C485" i="37"/>
  <c r="B485" i="37"/>
  <c r="H484" i="37"/>
  <c r="S484" i="37"/>
  <c r="U484" i="37"/>
  <c r="Y484" i="37"/>
  <c r="AA484" i="37"/>
  <c r="AE484" i="37"/>
  <c r="AB484" i="37"/>
  <c r="I484" i="37"/>
  <c r="T484" i="37"/>
  <c r="V484" i="37"/>
  <c r="Z484" i="37"/>
  <c r="AC484" i="37"/>
  <c r="R484" i="37"/>
  <c r="G484" i="37"/>
  <c r="AD484" i="37"/>
  <c r="AF484" i="37"/>
  <c r="C484" i="37"/>
  <c r="B484" i="37"/>
  <c r="H483" i="37"/>
  <c r="S483" i="37"/>
  <c r="U483" i="37"/>
  <c r="Y483" i="37"/>
  <c r="AA483" i="37"/>
  <c r="AE483" i="37"/>
  <c r="AB483" i="37"/>
  <c r="I483" i="37"/>
  <c r="T483" i="37"/>
  <c r="V483" i="37"/>
  <c r="Z483" i="37"/>
  <c r="AC483" i="37"/>
  <c r="R483" i="37"/>
  <c r="G483" i="37"/>
  <c r="AD483" i="37"/>
  <c r="AF483" i="37"/>
  <c r="C483" i="37"/>
  <c r="B483" i="37"/>
  <c r="H482" i="37"/>
  <c r="S482" i="37"/>
  <c r="U482" i="37"/>
  <c r="Y482" i="37"/>
  <c r="AA482" i="37"/>
  <c r="AE482" i="37"/>
  <c r="AB482" i="37"/>
  <c r="I482" i="37"/>
  <c r="T482" i="37"/>
  <c r="V482" i="37"/>
  <c r="Z482" i="37"/>
  <c r="AC482" i="37"/>
  <c r="R482" i="37"/>
  <c r="G482" i="37"/>
  <c r="AD482" i="37"/>
  <c r="AF482" i="37"/>
  <c r="C482" i="37"/>
  <c r="B482" i="37"/>
  <c r="H481" i="37"/>
  <c r="S481" i="37"/>
  <c r="U481" i="37"/>
  <c r="Y481" i="37"/>
  <c r="AA481" i="37"/>
  <c r="AE481" i="37"/>
  <c r="AB481" i="37"/>
  <c r="I481" i="37"/>
  <c r="T481" i="37"/>
  <c r="V481" i="37"/>
  <c r="Z481" i="37"/>
  <c r="AC481" i="37"/>
  <c r="R481" i="37"/>
  <c r="G481" i="37"/>
  <c r="AD481" i="37"/>
  <c r="AF481" i="37"/>
  <c r="C481" i="37"/>
  <c r="B481" i="37"/>
  <c r="H480" i="37"/>
  <c r="S480" i="37"/>
  <c r="U480" i="37"/>
  <c r="Y480" i="37"/>
  <c r="AA480" i="37"/>
  <c r="AE480" i="37"/>
  <c r="AB480" i="37"/>
  <c r="I480" i="37"/>
  <c r="T480" i="37"/>
  <c r="V480" i="37"/>
  <c r="Z480" i="37"/>
  <c r="AC480" i="37"/>
  <c r="R480" i="37"/>
  <c r="G480" i="37"/>
  <c r="AD480" i="37"/>
  <c r="AF480" i="37"/>
  <c r="C480" i="37"/>
  <c r="B480" i="37"/>
  <c r="H479" i="37"/>
  <c r="S479" i="37"/>
  <c r="U479" i="37"/>
  <c r="Y479" i="37"/>
  <c r="AA479" i="37"/>
  <c r="AE479" i="37"/>
  <c r="AB479" i="37"/>
  <c r="I479" i="37"/>
  <c r="T479" i="37"/>
  <c r="V479" i="37"/>
  <c r="Z479" i="37"/>
  <c r="AC479" i="37"/>
  <c r="R479" i="37"/>
  <c r="G479" i="37"/>
  <c r="AD479" i="37"/>
  <c r="AF479" i="37"/>
  <c r="C479" i="37"/>
  <c r="B479" i="37"/>
  <c r="H478" i="37"/>
  <c r="S478" i="37"/>
  <c r="U478" i="37"/>
  <c r="Y478" i="37"/>
  <c r="AA478" i="37"/>
  <c r="AE478" i="37"/>
  <c r="AB478" i="37"/>
  <c r="I478" i="37"/>
  <c r="T478" i="37"/>
  <c r="V478" i="37"/>
  <c r="Z478" i="37"/>
  <c r="AC478" i="37"/>
  <c r="R478" i="37"/>
  <c r="G478" i="37"/>
  <c r="AD478" i="37"/>
  <c r="AF478" i="37"/>
  <c r="C478" i="37"/>
  <c r="B478" i="37"/>
  <c r="H477" i="37"/>
  <c r="S477" i="37"/>
  <c r="U477" i="37"/>
  <c r="Y477" i="37"/>
  <c r="AA477" i="37"/>
  <c r="AE477" i="37"/>
  <c r="AB477" i="37"/>
  <c r="I477" i="37"/>
  <c r="T477" i="37"/>
  <c r="V477" i="37"/>
  <c r="Z477" i="37"/>
  <c r="AC477" i="37"/>
  <c r="R477" i="37"/>
  <c r="G477" i="37"/>
  <c r="AD477" i="37"/>
  <c r="AF477" i="37"/>
  <c r="C477" i="37"/>
  <c r="B477" i="37"/>
  <c r="H476" i="37"/>
  <c r="S476" i="37"/>
  <c r="U476" i="37"/>
  <c r="Y476" i="37"/>
  <c r="AA476" i="37"/>
  <c r="AE476" i="37"/>
  <c r="AB476" i="37"/>
  <c r="I476" i="37"/>
  <c r="T476" i="37"/>
  <c r="V476" i="37"/>
  <c r="Z476" i="37"/>
  <c r="AC476" i="37"/>
  <c r="R476" i="37"/>
  <c r="G476" i="37"/>
  <c r="AD476" i="37"/>
  <c r="AF476" i="37"/>
  <c r="C476" i="37"/>
  <c r="B476" i="37"/>
  <c r="H475" i="37"/>
  <c r="S475" i="37"/>
  <c r="U475" i="37"/>
  <c r="Y475" i="37"/>
  <c r="AA475" i="37"/>
  <c r="AE475" i="37"/>
  <c r="AB475" i="37"/>
  <c r="I475" i="37"/>
  <c r="T475" i="37"/>
  <c r="V475" i="37"/>
  <c r="Z475" i="37"/>
  <c r="AC475" i="37"/>
  <c r="R475" i="37"/>
  <c r="G475" i="37"/>
  <c r="AD475" i="37"/>
  <c r="AF475" i="37"/>
  <c r="C475" i="37"/>
  <c r="B475" i="37"/>
  <c r="H474" i="37"/>
  <c r="S474" i="37"/>
  <c r="U474" i="37"/>
  <c r="Y474" i="37"/>
  <c r="AA474" i="37"/>
  <c r="AE474" i="37"/>
  <c r="AB474" i="37"/>
  <c r="I474" i="37"/>
  <c r="T474" i="37"/>
  <c r="V474" i="37"/>
  <c r="Z474" i="37"/>
  <c r="AC474" i="37"/>
  <c r="R474" i="37"/>
  <c r="G474" i="37"/>
  <c r="AD474" i="37"/>
  <c r="AF474" i="37"/>
  <c r="C474" i="37"/>
  <c r="B474" i="37"/>
  <c r="H473" i="37"/>
  <c r="S473" i="37"/>
  <c r="U473" i="37"/>
  <c r="Y473" i="37"/>
  <c r="AA473" i="37"/>
  <c r="AE473" i="37"/>
  <c r="AB473" i="37"/>
  <c r="I473" i="37"/>
  <c r="T473" i="37"/>
  <c r="V473" i="37"/>
  <c r="Z473" i="37"/>
  <c r="AC473" i="37"/>
  <c r="R473" i="37"/>
  <c r="G473" i="37"/>
  <c r="AD473" i="37"/>
  <c r="AF473" i="37"/>
  <c r="C473" i="37"/>
  <c r="B473" i="37"/>
  <c r="H472" i="37"/>
  <c r="S472" i="37"/>
  <c r="U472" i="37"/>
  <c r="Y472" i="37"/>
  <c r="AA472" i="37"/>
  <c r="AE472" i="37"/>
  <c r="AB472" i="37"/>
  <c r="I472" i="37"/>
  <c r="T472" i="37"/>
  <c r="V472" i="37"/>
  <c r="Z472" i="37"/>
  <c r="AC472" i="37"/>
  <c r="R472" i="37"/>
  <c r="G472" i="37"/>
  <c r="AD472" i="37"/>
  <c r="AF472" i="37"/>
  <c r="C472" i="37"/>
  <c r="B472" i="37"/>
  <c r="H471" i="37"/>
  <c r="S471" i="37"/>
  <c r="U471" i="37"/>
  <c r="Y471" i="37"/>
  <c r="AA471" i="37"/>
  <c r="AE471" i="37"/>
  <c r="AB471" i="37"/>
  <c r="I471" i="37"/>
  <c r="T471" i="37"/>
  <c r="V471" i="37"/>
  <c r="Z471" i="37"/>
  <c r="AC471" i="37"/>
  <c r="R471" i="37"/>
  <c r="G471" i="37"/>
  <c r="AD471" i="37"/>
  <c r="AF471" i="37"/>
  <c r="C471" i="37"/>
  <c r="B471" i="37"/>
  <c r="H470" i="37"/>
  <c r="S470" i="37"/>
  <c r="U470" i="37"/>
  <c r="Y470" i="37"/>
  <c r="AA470" i="37"/>
  <c r="AE470" i="37"/>
  <c r="AB470" i="37"/>
  <c r="I470" i="37"/>
  <c r="T470" i="37"/>
  <c r="V470" i="37"/>
  <c r="Z470" i="37"/>
  <c r="AC470" i="37"/>
  <c r="R470" i="37"/>
  <c r="G470" i="37"/>
  <c r="AD470" i="37"/>
  <c r="AF470" i="37"/>
  <c r="C470" i="37"/>
  <c r="B470" i="37"/>
  <c r="H469" i="37"/>
  <c r="S469" i="37"/>
  <c r="U469" i="37"/>
  <c r="Y469" i="37"/>
  <c r="AA469" i="37"/>
  <c r="AE469" i="37"/>
  <c r="AB469" i="37"/>
  <c r="I469" i="37"/>
  <c r="T469" i="37"/>
  <c r="V469" i="37"/>
  <c r="Z469" i="37"/>
  <c r="AC469" i="37"/>
  <c r="R469" i="37"/>
  <c r="G469" i="37"/>
  <c r="AD469" i="37"/>
  <c r="AF469" i="37"/>
  <c r="C469" i="37"/>
  <c r="B469" i="37"/>
  <c r="H468" i="37"/>
  <c r="S468" i="37"/>
  <c r="U468" i="37"/>
  <c r="Y468" i="37"/>
  <c r="AA468" i="37"/>
  <c r="AE468" i="37"/>
  <c r="AB468" i="37"/>
  <c r="I468" i="37"/>
  <c r="T468" i="37"/>
  <c r="V468" i="37"/>
  <c r="Z468" i="37"/>
  <c r="AC468" i="37"/>
  <c r="R468" i="37"/>
  <c r="G468" i="37"/>
  <c r="AD468" i="37"/>
  <c r="AF468" i="37"/>
  <c r="C468" i="37"/>
  <c r="B468" i="37"/>
  <c r="H467" i="37"/>
  <c r="S467" i="37"/>
  <c r="U467" i="37"/>
  <c r="Y467" i="37"/>
  <c r="AA467" i="37"/>
  <c r="AE467" i="37"/>
  <c r="AB467" i="37"/>
  <c r="I467" i="37"/>
  <c r="T467" i="37"/>
  <c r="V467" i="37"/>
  <c r="Z467" i="37"/>
  <c r="AC467" i="37"/>
  <c r="R467" i="37"/>
  <c r="G467" i="37"/>
  <c r="AD467" i="37"/>
  <c r="AF467" i="37"/>
  <c r="C467" i="37"/>
  <c r="B467" i="37"/>
  <c r="H466" i="37"/>
  <c r="S466" i="37"/>
  <c r="U466" i="37"/>
  <c r="Y466" i="37"/>
  <c r="AA466" i="37"/>
  <c r="AE466" i="37"/>
  <c r="AB466" i="37"/>
  <c r="I466" i="37"/>
  <c r="T466" i="37"/>
  <c r="V466" i="37"/>
  <c r="Z466" i="37"/>
  <c r="AC466" i="37"/>
  <c r="R466" i="37"/>
  <c r="G466" i="37"/>
  <c r="AD466" i="37"/>
  <c r="AF466" i="37"/>
  <c r="C466" i="37"/>
  <c r="B466" i="37"/>
  <c r="H465" i="37"/>
  <c r="S465" i="37"/>
  <c r="U465" i="37"/>
  <c r="Y465" i="37"/>
  <c r="AA465" i="37"/>
  <c r="AE465" i="37"/>
  <c r="AB465" i="37"/>
  <c r="I465" i="37"/>
  <c r="T465" i="37"/>
  <c r="V465" i="37"/>
  <c r="Z465" i="37"/>
  <c r="AC465" i="37"/>
  <c r="R465" i="37"/>
  <c r="G465" i="37"/>
  <c r="AD465" i="37"/>
  <c r="AF465" i="37"/>
  <c r="C465" i="37"/>
  <c r="B465" i="37"/>
  <c r="H464" i="37"/>
  <c r="S464" i="37"/>
  <c r="U464" i="37"/>
  <c r="Y464" i="37"/>
  <c r="AA464" i="37"/>
  <c r="AE464" i="37"/>
  <c r="AB464" i="37"/>
  <c r="I464" i="37"/>
  <c r="T464" i="37"/>
  <c r="V464" i="37"/>
  <c r="Z464" i="37"/>
  <c r="AC464" i="37"/>
  <c r="R464" i="37"/>
  <c r="G464" i="37"/>
  <c r="AD464" i="37"/>
  <c r="AF464" i="37"/>
  <c r="C464" i="37"/>
  <c r="B464" i="37"/>
  <c r="H463" i="37"/>
  <c r="S463" i="37"/>
  <c r="U463" i="37"/>
  <c r="Y463" i="37"/>
  <c r="AA463" i="37"/>
  <c r="AE463" i="37"/>
  <c r="AB463" i="37"/>
  <c r="I463" i="37"/>
  <c r="T463" i="37"/>
  <c r="V463" i="37"/>
  <c r="Z463" i="37"/>
  <c r="AC463" i="37"/>
  <c r="R463" i="37"/>
  <c r="G463" i="37"/>
  <c r="AD463" i="37"/>
  <c r="AF463" i="37"/>
  <c r="C463" i="37"/>
  <c r="B463" i="37"/>
  <c r="H462" i="37"/>
  <c r="S462" i="37"/>
  <c r="U462" i="37"/>
  <c r="Y462" i="37"/>
  <c r="AA462" i="37"/>
  <c r="AE462" i="37"/>
  <c r="AB462" i="37"/>
  <c r="I462" i="37"/>
  <c r="T462" i="37"/>
  <c r="V462" i="37"/>
  <c r="Z462" i="37"/>
  <c r="AC462" i="37"/>
  <c r="R462" i="37"/>
  <c r="G462" i="37"/>
  <c r="AD462" i="37"/>
  <c r="AF462" i="37"/>
  <c r="C462" i="37"/>
  <c r="B462" i="37"/>
  <c r="H461" i="37"/>
  <c r="S461" i="37"/>
  <c r="U461" i="37"/>
  <c r="Y461" i="37"/>
  <c r="AA461" i="37"/>
  <c r="AE461" i="37"/>
  <c r="AB461" i="37"/>
  <c r="I461" i="37"/>
  <c r="T461" i="37"/>
  <c r="V461" i="37"/>
  <c r="Z461" i="37"/>
  <c r="AC461" i="37"/>
  <c r="R461" i="37"/>
  <c r="G461" i="37"/>
  <c r="AD461" i="37"/>
  <c r="AF461" i="37"/>
  <c r="C461" i="37"/>
  <c r="B461" i="37"/>
  <c r="H460" i="37"/>
  <c r="S460" i="37"/>
  <c r="U460" i="37"/>
  <c r="Y460" i="37"/>
  <c r="AA460" i="37"/>
  <c r="AE460" i="37"/>
  <c r="AB460" i="37"/>
  <c r="I460" i="37"/>
  <c r="T460" i="37"/>
  <c r="V460" i="37"/>
  <c r="Z460" i="37"/>
  <c r="AC460" i="37"/>
  <c r="R460" i="37"/>
  <c r="G460" i="37"/>
  <c r="AD460" i="37"/>
  <c r="AF460" i="37"/>
  <c r="C460" i="37"/>
  <c r="B460" i="37"/>
  <c r="H459" i="37"/>
  <c r="S459" i="37"/>
  <c r="U459" i="37"/>
  <c r="Y459" i="37"/>
  <c r="AA459" i="37"/>
  <c r="AE459" i="37"/>
  <c r="AB459" i="37"/>
  <c r="I459" i="37"/>
  <c r="T459" i="37"/>
  <c r="V459" i="37"/>
  <c r="Z459" i="37"/>
  <c r="AC459" i="37"/>
  <c r="R459" i="37"/>
  <c r="G459" i="37"/>
  <c r="AD459" i="37"/>
  <c r="AF459" i="37"/>
  <c r="C459" i="37"/>
  <c r="B459" i="37"/>
  <c r="H458" i="37"/>
  <c r="S458" i="37"/>
  <c r="U458" i="37"/>
  <c r="Y458" i="37"/>
  <c r="AA458" i="37"/>
  <c r="AE458" i="37"/>
  <c r="AB458" i="37"/>
  <c r="I458" i="37"/>
  <c r="T458" i="37"/>
  <c r="V458" i="37"/>
  <c r="Z458" i="37"/>
  <c r="AC458" i="37"/>
  <c r="R458" i="37"/>
  <c r="G458" i="37"/>
  <c r="AD458" i="37"/>
  <c r="AF458" i="37"/>
  <c r="C458" i="37"/>
  <c r="B458" i="37"/>
  <c r="H457" i="37"/>
  <c r="S457" i="37"/>
  <c r="U457" i="37"/>
  <c r="Y457" i="37"/>
  <c r="AA457" i="37"/>
  <c r="AE457" i="37"/>
  <c r="AB457" i="37"/>
  <c r="I457" i="37"/>
  <c r="T457" i="37"/>
  <c r="V457" i="37"/>
  <c r="Z457" i="37"/>
  <c r="AC457" i="37"/>
  <c r="R457" i="37"/>
  <c r="G457" i="37"/>
  <c r="AD457" i="37"/>
  <c r="AF457" i="37"/>
  <c r="C457" i="37"/>
  <c r="B457" i="37"/>
  <c r="H456" i="37"/>
  <c r="S456" i="37"/>
  <c r="U456" i="37"/>
  <c r="Y456" i="37"/>
  <c r="AA456" i="37"/>
  <c r="AE456" i="37"/>
  <c r="AB456" i="37"/>
  <c r="I456" i="37"/>
  <c r="T456" i="37"/>
  <c r="V456" i="37"/>
  <c r="Z456" i="37"/>
  <c r="AC456" i="37"/>
  <c r="R456" i="37"/>
  <c r="G456" i="37"/>
  <c r="AD456" i="37"/>
  <c r="AF456" i="37"/>
  <c r="C456" i="37"/>
  <c r="B456" i="37"/>
  <c r="H455" i="37"/>
  <c r="S455" i="37"/>
  <c r="U455" i="37"/>
  <c r="Y455" i="37"/>
  <c r="AA455" i="37"/>
  <c r="AE455" i="37"/>
  <c r="AB455" i="37"/>
  <c r="I455" i="37"/>
  <c r="T455" i="37"/>
  <c r="V455" i="37"/>
  <c r="Z455" i="37"/>
  <c r="AC455" i="37"/>
  <c r="R455" i="37"/>
  <c r="G455" i="37"/>
  <c r="AD455" i="37"/>
  <c r="AF455" i="37"/>
  <c r="C455" i="37"/>
  <c r="B455" i="37"/>
  <c r="H454" i="37"/>
  <c r="S454" i="37"/>
  <c r="U454" i="37"/>
  <c r="Y454" i="37"/>
  <c r="AA454" i="37"/>
  <c r="AE454" i="37"/>
  <c r="AB454" i="37"/>
  <c r="I454" i="37"/>
  <c r="T454" i="37"/>
  <c r="V454" i="37"/>
  <c r="Z454" i="37"/>
  <c r="AC454" i="37"/>
  <c r="R454" i="37"/>
  <c r="G454" i="37"/>
  <c r="AD454" i="37"/>
  <c r="AF454" i="37"/>
  <c r="C454" i="37"/>
  <c r="B454" i="37"/>
  <c r="H453" i="37"/>
  <c r="S453" i="37"/>
  <c r="U453" i="37"/>
  <c r="Y453" i="37"/>
  <c r="AA453" i="37"/>
  <c r="AE453" i="37"/>
  <c r="AB453" i="37"/>
  <c r="I453" i="37"/>
  <c r="T453" i="37"/>
  <c r="V453" i="37"/>
  <c r="Z453" i="37"/>
  <c r="AC453" i="37"/>
  <c r="R453" i="37"/>
  <c r="G453" i="37"/>
  <c r="AD453" i="37"/>
  <c r="AF453" i="37"/>
  <c r="C453" i="37"/>
  <c r="B453" i="37"/>
  <c r="H452" i="37"/>
  <c r="S452" i="37"/>
  <c r="U452" i="37"/>
  <c r="Y452" i="37"/>
  <c r="AA452" i="37"/>
  <c r="AE452" i="37"/>
  <c r="AB452" i="37"/>
  <c r="I452" i="37"/>
  <c r="T452" i="37"/>
  <c r="V452" i="37"/>
  <c r="Z452" i="37"/>
  <c r="AC452" i="37"/>
  <c r="R452" i="37"/>
  <c r="G452" i="37"/>
  <c r="AD452" i="37"/>
  <c r="AF452" i="37"/>
  <c r="C452" i="37"/>
  <c r="B452" i="37"/>
  <c r="H451" i="37"/>
  <c r="S451" i="37"/>
  <c r="U451" i="37"/>
  <c r="Y451" i="37"/>
  <c r="AA451" i="37"/>
  <c r="AE451" i="37"/>
  <c r="AB451" i="37"/>
  <c r="I451" i="37"/>
  <c r="T451" i="37"/>
  <c r="V451" i="37"/>
  <c r="Z451" i="37"/>
  <c r="AC451" i="37"/>
  <c r="R451" i="37"/>
  <c r="G451" i="37"/>
  <c r="AD451" i="37"/>
  <c r="AF451" i="37"/>
  <c r="C451" i="37"/>
  <c r="B451" i="37"/>
  <c r="H450" i="37"/>
  <c r="S450" i="37"/>
  <c r="U450" i="37"/>
  <c r="Y450" i="37"/>
  <c r="AA450" i="37"/>
  <c r="AE450" i="37"/>
  <c r="AB450" i="37"/>
  <c r="I450" i="37"/>
  <c r="T450" i="37"/>
  <c r="V450" i="37"/>
  <c r="Z450" i="37"/>
  <c r="AC450" i="37"/>
  <c r="R450" i="37"/>
  <c r="G450" i="37"/>
  <c r="AD450" i="37"/>
  <c r="AF450" i="37"/>
  <c r="C450" i="37"/>
  <c r="B450" i="37"/>
  <c r="H449" i="37"/>
  <c r="S449" i="37"/>
  <c r="U449" i="37"/>
  <c r="Y449" i="37"/>
  <c r="AA449" i="37"/>
  <c r="AE449" i="37"/>
  <c r="AB449" i="37"/>
  <c r="I449" i="37"/>
  <c r="T449" i="37"/>
  <c r="V449" i="37"/>
  <c r="Z449" i="37"/>
  <c r="AC449" i="37"/>
  <c r="R449" i="37"/>
  <c r="G449" i="37"/>
  <c r="AD449" i="37"/>
  <c r="AF449" i="37"/>
  <c r="C449" i="37"/>
  <c r="B449" i="37"/>
  <c r="H448" i="37"/>
  <c r="S448" i="37"/>
  <c r="U448" i="37"/>
  <c r="Y448" i="37"/>
  <c r="AA448" i="37"/>
  <c r="AE448" i="37"/>
  <c r="AB448" i="37"/>
  <c r="I448" i="37"/>
  <c r="T448" i="37"/>
  <c r="V448" i="37"/>
  <c r="Z448" i="37"/>
  <c r="AC448" i="37"/>
  <c r="R448" i="37"/>
  <c r="G448" i="37"/>
  <c r="AD448" i="37"/>
  <c r="AF448" i="37"/>
  <c r="C448" i="37"/>
  <c r="B448" i="37"/>
  <c r="H447" i="37"/>
  <c r="S447" i="37"/>
  <c r="U447" i="37"/>
  <c r="Y447" i="37"/>
  <c r="AA447" i="37"/>
  <c r="AE447" i="37"/>
  <c r="AB447" i="37"/>
  <c r="I447" i="37"/>
  <c r="T447" i="37"/>
  <c r="V447" i="37"/>
  <c r="Z447" i="37"/>
  <c r="AC447" i="37"/>
  <c r="R447" i="37"/>
  <c r="G447" i="37"/>
  <c r="AD447" i="37"/>
  <c r="AF447" i="37"/>
  <c r="C447" i="37"/>
  <c r="B447" i="37"/>
  <c r="H446" i="37"/>
  <c r="S446" i="37"/>
  <c r="U446" i="37"/>
  <c r="Y446" i="37"/>
  <c r="AA446" i="37"/>
  <c r="AE446" i="37"/>
  <c r="AB446" i="37"/>
  <c r="I446" i="37"/>
  <c r="T446" i="37"/>
  <c r="V446" i="37"/>
  <c r="Z446" i="37"/>
  <c r="AC446" i="37"/>
  <c r="R446" i="37"/>
  <c r="G446" i="37"/>
  <c r="AD446" i="37"/>
  <c r="AF446" i="37"/>
  <c r="C446" i="37"/>
  <c r="B446" i="37"/>
  <c r="H445" i="37"/>
  <c r="S445" i="37"/>
  <c r="U445" i="37"/>
  <c r="Y445" i="37"/>
  <c r="AA445" i="37"/>
  <c r="AE445" i="37"/>
  <c r="AB445" i="37"/>
  <c r="I445" i="37"/>
  <c r="T445" i="37"/>
  <c r="V445" i="37"/>
  <c r="Z445" i="37"/>
  <c r="AC445" i="37"/>
  <c r="R445" i="37"/>
  <c r="G445" i="37"/>
  <c r="AD445" i="37"/>
  <c r="AF445" i="37"/>
  <c r="C445" i="37"/>
  <c r="B445" i="37"/>
  <c r="H444" i="37"/>
  <c r="S444" i="37"/>
  <c r="U444" i="37"/>
  <c r="Y444" i="37"/>
  <c r="AA444" i="37"/>
  <c r="AE444" i="37"/>
  <c r="AB444" i="37"/>
  <c r="I444" i="37"/>
  <c r="T444" i="37"/>
  <c r="V444" i="37"/>
  <c r="Z444" i="37"/>
  <c r="AC444" i="37"/>
  <c r="R444" i="37"/>
  <c r="G444" i="37"/>
  <c r="AD444" i="37"/>
  <c r="AF444" i="37"/>
  <c r="C444" i="37"/>
  <c r="B444" i="37"/>
  <c r="H443" i="37"/>
  <c r="S443" i="37"/>
  <c r="U443" i="37"/>
  <c r="Y443" i="37"/>
  <c r="AA443" i="37"/>
  <c r="AE443" i="37"/>
  <c r="AB443" i="37"/>
  <c r="I443" i="37"/>
  <c r="T443" i="37"/>
  <c r="V443" i="37"/>
  <c r="Z443" i="37"/>
  <c r="AC443" i="37"/>
  <c r="R443" i="37"/>
  <c r="G443" i="37"/>
  <c r="AD443" i="37"/>
  <c r="AF443" i="37"/>
  <c r="C443" i="37"/>
  <c r="B443" i="37"/>
  <c r="H442" i="37"/>
  <c r="S442" i="37"/>
  <c r="U442" i="37"/>
  <c r="Y442" i="37"/>
  <c r="AA442" i="37"/>
  <c r="AE442" i="37"/>
  <c r="AB442" i="37"/>
  <c r="I442" i="37"/>
  <c r="T442" i="37"/>
  <c r="V442" i="37"/>
  <c r="Z442" i="37"/>
  <c r="AC442" i="37"/>
  <c r="R442" i="37"/>
  <c r="G442" i="37"/>
  <c r="AD442" i="37"/>
  <c r="AF442" i="37"/>
  <c r="C442" i="37"/>
  <c r="B442" i="37"/>
  <c r="H441" i="37"/>
  <c r="S441" i="37"/>
  <c r="U441" i="37"/>
  <c r="Y441" i="37"/>
  <c r="AA441" i="37"/>
  <c r="AE441" i="37"/>
  <c r="AB441" i="37"/>
  <c r="I441" i="37"/>
  <c r="T441" i="37"/>
  <c r="V441" i="37"/>
  <c r="Z441" i="37"/>
  <c r="AC441" i="37"/>
  <c r="R441" i="37"/>
  <c r="G441" i="37"/>
  <c r="AD441" i="37"/>
  <c r="AF441" i="37"/>
  <c r="C441" i="37"/>
  <c r="B441" i="37"/>
  <c r="H440" i="37"/>
  <c r="S440" i="37"/>
  <c r="U440" i="37"/>
  <c r="Y440" i="37"/>
  <c r="AA440" i="37"/>
  <c r="AE440" i="37"/>
  <c r="AB440" i="37"/>
  <c r="I440" i="37"/>
  <c r="T440" i="37"/>
  <c r="V440" i="37"/>
  <c r="Z440" i="37"/>
  <c r="AC440" i="37"/>
  <c r="R440" i="37"/>
  <c r="G440" i="37"/>
  <c r="AD440" i="37"/>
  <c r="AF440" i="37"/>
  <c r="C440" i="37"/>
  <c r="B440" i="37"/>
  <c r="H439" i="37"/>
  <c r="S439" i="37"/>
  <c r="U439" i="37"/>
  <c r="Y439" i="37"/>
  <c r="AA439" i="37"/>
  <c r="AE439" i="37"/>
  <c r="AB439" i="37"/>
  <c r="I439" i="37"/>
  <c r="T439" i="37"/>
  <c r="V439" i="37"/>
  <c r="Z439" i="37"/>
  <c r="AC439" i="37"/>
  <c r="R439" i="37"/>
  <c r="G439" i="37"/>
  <c r="AD439" i="37"/>
  <c r="AF439" i="37"/>
  <c r="C439" i="37"/>
  <c r="B439" i="37"/>
  <c r="H438" i="37"/>
  <c r="S438" i="37"/>
  <c r="U438" i="37"/>
  <c r="Y438" i="37"/>
  <c r="AA438" i="37"/>
  <c r="AE438" i="37"/>
  <c r="AB438" i="37"/>
  <c r="I438" i="37"/>
  <c r="T438" i="37"/>
  <c r="V438" i="37"/>
  <c r="Z438" i="37"/>
  <c r="AC438" i="37"/>
  <c r="R438" i="37"/>
  <c r="G438" i="37"/>
  <c r="AD438" i="37"/>
  <c r="AF438" i="37"/>
  <c r="C438" i="37"/>
  <c r="B438" i="37"/>
  <c r="H437" i="37"/>
  <c r="S437" i="37"/>
  <c r="U437" i="37"/>
  <c r="Y437" i="37"/>
  <c r="AA437" i="37"/>
  <c r="AE437" i="37"/>
  <c r="AB437" i="37"/>
  <c r="I437" i="37"/>
  <c r="T437" i="37"/>
  <c r="V437" i="37"/>
  <c r="Z437" i="37"/>
  <c r="AC437" i="37"/>
  <c r="R437" i="37"/>
  <c r="G437" i="37"/>
  <c r="AD437" i="37"/>
  <c r="AF437" i="37"/>
  <c r="C437" i="37"/>
  <c r="B437" i="37"/>
  <c r="H436" i="37"/>
  <c r="S436" i="37"/>
  <c r="U436" i="37"/>
  <c r="Y436" i="37"/>
  <c r="AA436" i="37"/>
  <c r="AE436" i="37"/>
  <c r="AB436" i="37"/>
  <c r="I436" i="37"/>
  <c r="T436" i="37"/>
  <c r="V436" i="37"/>
  <c r="Z436" i="37"/>
  <c r="AC436" i="37"/>
  <c r="R436" i="37"/>
  <c r="G436" i="37"/>
  <c r="AD436" i="37"/>
  <c r="AF436" i="37"/>
  <c r="C436" i="37"/>
  <c r="B436" i="37"/>
  <c r="H435" i="37"/>
  <c r="S435" i="37"/>
  <c r="U435" i="37"/>
  <c r="Y435" i="37"/>
  <c r="AA435" i="37"/>
  <c r="AE435" i="37"/>
  <c r="AB435" i="37"/>
  <c r="I435" i="37"/>
  <c r="T435" i="37"/>
  <c r="V435" i="37"/>
  <c r="Z435" i="37"/>
  <c r="AC435" i="37"/>
  <c r="R435" i="37"/>
  <c r="G435" i="37"/>
  <c r="AD435" i="37"/>
  <c r="AF435" i="37"/>
  <c r="C435" i="37"/>
  <c r="B435" i="37"/>
  <c r="H434" i="37"/>
  <c r="S434" i="37"/>
  <c r="U434" i="37"/>
  <c r="Y434" i="37"/>
  <c r="AA434" i="37"/>
  <c r="AE434" i="37"/>
  <c r="AB434" i="37"/>
  <c r="I434" i="37"/>
  <c r="T434" i="37"/>
  <c r="V434" i="37"/>
  <c r="Z434" i="37"/>
  <c r="AC434" i="37"/>
  <c r="R434" i="37"/>
  <c r="G434" i="37"/>
  <c r="AD434" i="37"/>
  <c r="AF434" i="37"/>
  <c r="C434" i="37"/>
  <c r="B434" i="37"/>
  <c r="H433" i="37"/>
  <c r="S433" i="37"/>
  <c r="U433" i="37"/>
  <c r="Y433" i="37"/>
  <c r="AA433" i="37"/>
  <c r="AE433" i="37"/>
  <c r="AB433" i="37"/>
  <c r="I433" i="37"/>
  <c r="T433" i="37"/>
  <c r="V433" i="37"/>
  <c r="Z433" i="37"/>
  <c r="AC433" i="37"/>
  <c r="R433" i="37"/>
  <c r="G433" i="37"/>
  <c r="AD433" i="37"/>
  <c r="AF433" i="37"/>
  <c r="C433" i="37"/>
  <c r="B433" i="37"/>
  <c r="H432" i="37"/>
  <c r="S432" i="37"/>
  <c r="U432" i="37"/>
  <c r="Y432" i="37"/>
  <c r="AA432" i="37"/>
  <c r="AE432" i="37"/>
  <c r="AB432" i="37"/>
  <c r="I432" i="37"/>
  <c r="T432" i="37"/>
  <c r="V432" i="37"/>
  <c r="Z432" i="37"/>
  <c r="AC432" i="37"/>
  <c r="R432" i="37"/>
  <c r="G432" i="37"/>
  <c r="AD432" i="37"/>
  <c r="AF432" i="37"/>
  <c r="C432" i="37"/>
  <c r="B432" i="37"/>
  <c r="H431" i="37"/>
  <c r="S431" i="37"/>
  <c r="U431" i="37"/>
  <c r="Y431" i="37"/>
  <c r="AA431" i="37"/>
  <c r="AE431" i="37"/>
  <c r="AB431" i="37"/>
  <c r="I431" i="37"/>
  <c r="T431" i="37"/>
  <c r="V431" i="37"/>
  <c r="Z431" i="37"/>
  <c r="AC431" i="37"/>
  <c r="R431" i="37"/>
  <c r="G431" i="37"/>
  <c r="AD431" i="37"/>
  <c r="AF431" i="37"/>
  <c r="C431" i="37"/>
  <c r="B431" i="37"/>
  <c r="H430" i="37"/>
  <c r="S430" i="37"/>
  <c r="U430" i="37"/>
  <c r="Y430" i="37"/>
  <c r="AA430" i="37"/>
  <c r="AE430" i="37"/>
  <c r="AB430" i="37"/>
  <c r="I430" i="37"/>
  <c r="T430" i="37"/>
  <c r="V430" i="37"/>
  <c r="Z430" i="37"/>
  <c r="AC430" i="37"/>
  <c r="R430" i="37"/>
  <c r="G430" i="37"/>
  <c r="AD430" i="37"/>
  <c r="AF430" i="37"/>
  <c r="C430" i="37"/>
  <c r="B430" i="37"/>
  <c r="H429" i="37"/>
  <c r="S429" i="37"/>
  <c r="U429" i="37"/>
  <c r="Y429" i="37"/>
  <c r="AA429" i="37"/>
  <c r="AE429" i="37"/>
  <c r="AB429" i="37"/>
  <c r="I429" i="37"/>
  <c r="T429" i="37"/>
  <c r="V429" i="37"/>
  <c r="Z429" i="37"/>
  <c r="AC429" i="37"/>
  <c r="R429" i="37"/>
  <c r="G429" i="37"/>
  <c r="AD429" i="37"/>
  <c r="AF429" i="37"/>
  <c r="C429" i="37"/>
  <c r="B429" i="37"/>
  <c r="H428" i="37"/>
  <c r="S428" i="37"/>
  <c r="U428" i="37"/>
  <c r="Y428" i="37"/>
  <c r="AA428" i="37"/>
  <c r="AE428" i="37"/>
  <c r="AB428" i="37"/>
  <c r="I428" i="37"/>
  <c r="T428" i="37"/>
  <c r="V428" i="37"/>
  <c r="Z428" i="37"/>
  <c r="AC428" i="37"/>
  <c r="R428" i="37"/>
  <c r="G428" i="37"/>
  <c r="AD428" i="37"/>
  <c r="AF428" i="37"/>
  <c r="C428" i="37"/>
  <c r="B428" i="37"/>
  <c r="H427" i="37"/>
  <c r="S427" i="37"/>
  <c r="U427" i="37"/>
  <c r="Y427" i="37"/>
  <c r="AA427" i="37"/>
  <c r="AE427" i="37"/>
  <c r="AB427" i="37"/>
  <c r="I427" i="37"/>
  <c r="T427" i="37"/>
  <c r="V427" i="37"/>
  <c r="Z427" i="37"/>
  <c r="AC427" i="37"/>
  <c r="R427" i="37"/>
  <c r="G427" i="37"/>
  <c r="AD427" i="37"/>
  <c r="AF427" i="37"/>
  <c r="C427" i="37"/>
  <c r="B427" i="37"/>
  <c r="H426" i="37"/>
  <c r="S426" i="37"/>
  <c r="U426" i="37"/>
  <c r="Y426" i="37"/>
  <c r="AA426" i="37"/>
  <c r="AE426" i="37"/>
  <c r="AB426" i="37"/>
  <c r="I426" i="37"/>
  <c r="T426" i="37"/>
  <c r="V426" i="37"/>
  <c r="Z426" i="37"/>
  <c r="AC426" i="37"/>
  <c r="R426" i="37"/>
  <c r="G426" i="37"/>
  <c r="AD426" i="37"/>
  <c r="AF426" i="37"/>
  <c r="C426" i="37"/>
  <c r="B426" i="37"/>
  <c r="H425" i="37"/>
  <c r="S425" i="37"/>
  <c r="U425" i="37"/>
  <c r="Y425" i="37"/>
  <c r="AA425" i="37"/>
  <c r="AE425" i="37"/>
  <c r="AB425" i="37"/>
  <c r="I425" i="37"/>
  <c r="T425" i="37"/>
  <c r="V425" i="37"/>
  <c r="Z425" i="37"/>
  <c r="AC425" i="37"/>
  <c r="R425" i="37"/>
  <c r="G425" i="37"/>
  <c r="AD425" i="37"/>
  <c r="AF425" i="37"/>
  <c r="C425" i="37"/>
  <c r="B425" i="37"/>
  <c r="H424" i="37"/>
  <c r="S424" i="37"/>
  <c r="U424" i="37"/>
  <c r="Y424" i="37"/>
  <c r="AA424" i="37"/>
  <c r="AE424" i="37"/>
  <c r="AB424" i="37"/>
  <c r="I424" i="37"/>
  <c r="T424" i="37"/>
  <c r="V424" i="37"/>
  <c r="Z424" i="37"/>
  <c r="AC424" i="37"/>
  <c r="R424" i="37"/>
  <c r="G424" i="37"/>
  <c r="AD424" i="37"/>
  <c r="AF424" i="37"/>
  <c r="C424" i="37"/>
  <c r="B424" i="37"/>
  <c r="H423" i="37"/>
  <c r="S423" i="37"/>
  <c r="U423" i="37"/>
  <c r="Y423" i="37"/>
  <c r="AA423" i="37"/>
  <c r="AE423" i="37"/>
  <c r="AB423" i="37"/>
  <c r="I423" i="37"/>
  <c r="T423" i="37"/>
  <c r="V423" i="37"/>
  <c r="Z423" i="37"/>
  <c r="AC423" i="37"/>
  <c r="R423" i="37"/>
  <c r="G423" i="37"/>
  <c r="AD423" i="37"/>
  <c r="AF423" i="37"/>
  <c r="C423" i="37"/>
  <c r="B423" i="37"/>
  <c r="H422" i="37"/>
  <c r="S422" i="37"/>
  <c r="U422" i="37"/>
  <c r="Y422" i="37"/>
  <c r="AA422" i="37"/>
  <c r="AE422" i="37"/>
  <c r="AB422" i="37"/>
  <c r="I422" i="37"/>
  <c r="T422" i="37"/>
  <c r="V422" i="37"/>
  <c r="Z422" i="37"/>
  <c r="AC422" i="37"/>
  <c r="R422" i="37"/>
  <c r="G422" i="37"/>
  <c r="AD422" i="37"/>
  <c r="AF422" i="37"/>
  <c r="C422" i="37"/>
  <c r="B422" i="37"/>
  <c r="H421" i="37"/>
  <c r="S421" i="37"/>
  <c r="U421" i="37"/>
  <c r="Y421" i="37"/>
  <c r="AA421" i="37"/>
  <c r="AE421" i="37"/>
  <c r="AB421" i="37"/>
  <c r="I421" i="37"/>
  <c r="T421" i="37"/>
  <c r="V421" i="37"/>
  <c r="Z421" i="37"/>
  <c r="AC421" i="37"/>
  <c r="R421" i="37"/>
  <c r="G421" i="37"/>
  <c r="AD421" i="37"/>
  <c r="AF421" i="37"/>
  <c r="C421" i="37"/>
  <c r="B421" i="37"/>
  <c r="H420" i="37"/>
  <c r="S420" i="37"/>
  <c r="U420" i="37"/>
  <c r="Y420" i="37"/>
  <c r="AA420" i="37"/>
  <c r="AE420" i="37"/>
  <c r="AB420" i="37"/>
  <c r="I420" i="37"/>
  <c r="T420" i="37"/>
  <c r="V420" i="37"/>
  <c r="Z420" i="37"/>
  <c r="AC420" i="37"/>
  <c r="R420" i="37"/>
  <c r="G420" i="37"/>
  <c r="AD420" i="37"/>
  <c r="AF420" i="37"/>
  <c r="C420" i="37"/>
  <c r="B420" i="37"/>
  <c r="H419" i="37"/>
  <c r="S419" i="37"/>
  <c r="U419" i="37"/>
  <c r="Y419" i="37"/>
  <c r="AA419" i="37"/>
  <c r="AE419" i="37"/>
  <c r="AB419" i="37"/>
  <c r="I419" i="37"/>
  <c r="T419" i="37"/>
  <c r="V419" i="37"/>
  <c r="Z419" i="37"/>
  <c r="AC419" i="37"/>
  <c r="R419" i="37"/>
  <c r="G419" i="37"/>
  <c r="AD419" i="37"/>
  <c r="AF419" i="37"/>
  <c r="C419" i="37"/>
  <c r="B419" i="37"/>
  <c r="H418" i="37"/>
  <c r="S418" i="37"/>
  <c r="U418" i="37"/>
  <c r="Y418" i="37"/>
  <c r="AA418" i="37"/>
  <c r="AE418" i="37"/>
  <c r="AB418" i="37"/>
  <c r="I418" i="37"/>
  <c r="T418" i="37"/>
  <c r="V418" i="37"/>
  <c r="Z418" i="37"/>
  <c r="AC418" i="37"/>
  <c r="R418" i="37"/>
  <c r="G418" i="37"/>
  <c r="AD418" i="37"/>
  <c r="AF418" i="37"/>
  <c r="C418" i="37"/>
  <c r="B418" i="37"/>
  <c r="H417" i="37"/>
  <c r="S417" i="37"/>
  <c r="U417" i="37"/>
  <c r="Y417" i="37"/>
  <c r="AA417" i="37"/>
  <c r="AE417" i="37"/>
  <c r="AB417" i="37"/>
  <c r="I417" i="37"/>
  <c r="T417" i="37"/>
  <c r="V417" i="37"/>
  <c r="Z417" i="37"/>
  <c r="AC417" i="37"/>
  <c r="R417" i="37"/>
  <c r="G417" i="37"/>
  <c r="AD417" i="37"/>
  <c r="AF417" i="37"/>
  <c r="C417" i="37"/>
  <c r="B417" i="37"/>
  <c r="H416" i="37"/>
  <c r="S416" i="37"/>
  <c r="U416" i="37"/>
  <c r="Y416" i="37"/>
  <c r="AA416" i="37"/>
  <c r="AE416" i="37"/>
  <c r="AB416" i="37"/>
  <c r="I416" i="37"/>
  <c r="T416" i="37"/>
  <c r="V416" i="37"/>
  <c r="Z416" i="37"/>
  <c r="AC416" i="37"/>
  <c r="R416" i="37"/>
  <c r="G416" i="37"/>
  <c r="AD416" i="37"/>
  <c r="AF416" i="37"/>
  <c r="C416" i="37"/>
  <c r="B416" i="37"/>
  <c r="H415" i="37"/>
  <c r="S415" i="37"/>
  <c r="U415" i="37"/>
  <c r="Y415" i="37"/>
  <c r="AA415" i="37"/>
  <c r="AE415" i="37"/>
  <c r="AB415" i="37"/>
  <c r="I415" i="37"/>
  <c r="T415" i="37"/>
  <c r="V415" i="37"/>
  <c r="Z415" i="37"/>
  <c r="AC415" i="37"/>
  <c r="R415" i="37"/>
  <c r="G415" i="37"/>
  <c r="AD415" i="37"/>
  <c r="AF415" i="37"/>
  <c r="C415" i="37"/>
  <c r="B415" i="37"/>
  <c r="H414" i="37"/>
  <c r="S414" i="37"/>
  <c r="U414" i="37"/>
  <c r="Y414" i="37"/>
  <c r="AA414" i="37"/>
  <c r="AE414" i="37"/>
  <c r="AB414" i="37"/>
  <c r="I414" i="37"/>
  <c r="T414" i="37"/>
  <c r="V414" i="37"/>
  <c r="Z414" i="37"/>
  <c r="AC414" i="37"/>
  <c r="R414" i="37"/>
  <c r="G414" i="37"/>
  <c r="AD414" i="37"/>
  <c r="AF414" i="37"/>
  <c r="C414" i="37"/>
  <c r="B414" i="37"/>
  <c r="H413" i="37"/>
  <c r="S413" i="37"/>
  <c r="U413" i="37"/>
  <c r="Y413" i="37"/>
  <c r="AA413" i="37"/>
  <c r="AE413" i="37"/>
  <c r="AB413" i="37"/>
  <c r="I413" i="37"/>
  <c r="T413" i="37"/>
  <c r="V413" i="37"/>
  <c r="Z413" i="37"/>
  <c r="AC413" i="37"/>
  <c r="R413" i="37"/>
  <c r="G413" i="37"/>
  <c r="AD413" i="37"/>
  <c r="AF413" i="37"/>
  <c r="C413" i="37"/>
  <c r="B413" i="37"/>
  <c r="H412" i="37"/>
  <c r="S412" i="37"/>
  <c r="U412" i="37"/>
  <c r="Y412" i="37"/>
  <c r="AA412" i="37"/>
  <c r="AE412" i="37"/>
  <c r="AB412" i="37"/>
  <c r="I412" i="37"/>
  <c r="T412" i="37"/>
  <c r="V412" i="37"/>
  <c r="Z412" i="37"/>
  <c r="AC412" i="37"/>
  <c r="R412" i="37"/>
  <c r="G412" i="37"/>
  <c r="AD412" i="37"/>
  <c r="AF412" i="37"/>
  <c r="C412" i="37"/>
  <c r="B412" i="37"/>
  <c r="H411" i="37"/>
  <c r="S411" i="37"/>
  <c r="U411" i="37"/>
  <c r="Y411" i="37"/>
  <c r="AA411" i="37"/>
  <c r="AE411" i="37"/>
  <c r="AB411" i="37"/>
  <c r="I411" i="37"/>
  <c r="T411" i="37"/>
  <c r="V411" i="37"/>
  <c r="Z411" i="37"/>
  <c r="AC411" i="37"/>
  <c r="R411" i="37"/>
  <c r="G411" i="37"/>
  <c r="AD411" i="37"/>
  <c r="AF411" i="37"/>
  <c r="C411" i="37"/>
  <c r="B411" i="37"/>
  <c r="H410" i="37"/>
  <c r="S410" i="37"/>
  <c r="U410" i="37"/>
  <c r="Y410" i="37"/>
  <c r="AA410" i="37"/>
  <c r="AE410" i="37"/>
  <c r="AB410" i="37"/>
  <c r="I410" i="37"/>
  <c r="T410" i="37"/>
  <c r="V410" i="37"/>
  <c r="Z410" i="37"/>
  <c r="AC410" i="37"/>
  <c r="R410" i="37"/>
  <c r="G410" i="37"/>
  <c r="AD410" i="37"/>
  <c r="AF410" i="37"/>
  <c r="C410" i="37"/>
  <c r="B410" i="37"/>
  <c r="H409" i="37"/>
  <c r="S409" i="37"/>
  <c r="U409" i="37"/>
  <c r="Y409" i="37"/>
  <c r="AA409" i="37"/>
  <c r="AE409" i="37"/>
  <c r="AB409" i="37"/>
  <c r="I409" i="37"/>
  <c r="T409" i="37"/>
  <c r="V409" i="37"/>
  <c r="Z409" i="37"/>
  <c r="AC409" i="37"/>
  <c r="R409" i="37"/>
  <c r="G409" i="37"/>
  <c r="AD409" i="37"/>
  <c r="AF409" i="37"/>
  <c r="C409" i="37"/>
  <c r="B409" i="37"/>
  <c r="H408" i="37"/>
  <c r="S408" i="37"/>
  <c r="U408" i="37"/>
  <c r="Y408" i="37"/>
  <c r="AA408" i="37"/>
  <c r="AE408" i="37"/>
  <c r="AB408" i="37"/>
  <c r="I408" i="37"/>
  <c r="T408" i="37"/>
  <c r="V408" i="37"/>
  <c r="Z408" i="37"/>
  <c r="AC408" i="37"/>
  <c r="R408" i="37"/>
  <c r="G408" i="37"/>
  <c r="AD408" i="37"/>
  <c r="AF408" i="37"/>
  <c r="C408" i="37"/>
  <c r="B408" i="37"/>
  <c r="H407" i="37"/>
  <c r="S407" i="37"/>
  <c r="U407" i="37"/>
  <c r="Y407" i="37"/>
  <c r="AA407" i="37"/>
  <c r="AE407" i="37"/>
  <c r="AB407" i="37"/>
  <c r="I407" i="37"/>
  <c r="T407" i="37"/>
  <c r="V407" i="37"/>
  <c r="Z407" i="37"/>
  <c r="AC407" i="37"/>
  <c r="R407" i="37"/>
  <c r="G407" i="37"/>
  <c r="AD407" i="37"/>
  <c r="AF407" i="37"/>
  <c r="C407" i="37"/>
  <c r="B407" i="37"/>
  <c r="H406" i="37"/>
  <c r="S406" i="37"/>
  <c r="U406" i="37"/>
  <c r="Y406" i="37"/>
  <c r="AA406" i="37"/>
  <c r="AE406" i="37"/>
  <c r="AB406" i="37"/>
  <c r="I406" i="37"/>
  <c r="T406" i="37"/>
  <c r="V406" i="37"/>
  <c r="Z406" i="37"/>
  <c r="AC406" i="37"/>
  <c r="R406" i="37"/>
  <c r="G406" i="37"/>
  <c r="AD406" i="37"/>
  <c r="AF406" i="37"/>
  <c r="C406" i="37"/>
  <c r="B406" i="37"/>
  <c r="H405" i="37"/>
  <c r="S405" i="37"/>
  <c r="U405" i="37"/>
  <c r="Y405" i="37"/>
  <c r="AA405" i="37"/>
  <c r="AE405" i="37"/>
  <c r="AB405" i="37"/>
  <c r="I405" i="37"/>
  <c r="T405" i="37"/>
  <c r="V405" i="37"/>
  <c r="Z405" i="37"/>
  <c r="AC405" i="37"/>
  <c r="R405" i="37"/>
  <c r="G405" i="37"/>
  <c r="AD405" i="37"/>
  <c r="AF405" i="37"/>
  <c r="C405" i="37"/>
  <c r="B405" i="37"/>
  <c r="H404" i="37"/>
  <c r="S404" i="37"/>
  <c r="U404" i="37"/>
  <c r="Y404" i="37"/>
  <c r="AA404" i="37"/>
  <c r="AE404" i="37"/>
  <c r="AB404" i="37"/>
  <c r="I404" i="37"/>
  <c r="T404" i="37"/>
  <c r="V404" i="37"/>
  <c r="Z404" i="37"/>
  <c r="AC404" i="37"/>
  <c r="R404" i="37"/>
  <c r="G404" i="37"/>
  <c r="AD404" i="37"/>
  <c r="AF404" i="37"/>
  <c r="C404" i="37"/>
  <c r="B404" i="37"/>
  <c r="H403" i="37"/>
  <c r="S403" i="37"/>
  <c r="U403" i="37"/>
  <c r="Y403" i="37"/>
  <c r="AA403" i="37"/>
  <c r="AE403" i="37"/>
  <c r="AB403" i="37"/>
  <c r="I403" i="37"/>
  <c r="T403" i="37"/>
  <c r="V403" i="37"/>
  <c r="Z403" i="37"/>
  <c r="AC403" i="37"/>
  <c r="R403" i="37"/>
  <c r="G403" i="37"/>
  <c r="AD403" i="37"/>
  <c r="AF403" i="37"/>
  <c r="C403" i="37"/>
  <c r="B403" i="37"/>
  <c r="H402" i="37"/>
  <c r="S402" i="37"/>
  <c r="U402" i="37"/>
  <c r="Y402" i="37"/>
  <c r="AA402" i="37"/>
  <c r="AE402" i="37"/>
  <c r="AB402" i="37"/>
  <c r="I402" i="37"/>
  <c r="T402" i="37"/>
  <c r="V402" i="37"/>
  <c r="Z402" i="37"/>
  <c r="AC402" i="37"/>
  <c r="R402" i="37"/>
  <c r="G402" i="37"/>
  <c r="AD402" i="37"/>
  <c r="AF402" i="37"/>
  <c r="C402" i="37"/>
  <c r="B402" i="37"/>
  <c r="H401" i="37"/>
  <c r="S401" i="37"/>
  <c r="U401" i="37"/>
  <c r="Y401" i="37"/>
  <c r="AA401" i="37"/>
  <c r="AE401" i="37"/>
  <c r="AB401" i="37"/>
  <c r="I401" i="37"/>
  <c r="T401" i="37"/>
  <c r="V401" i="37"/>
  <c r="Z401" i="37"/>
  <c r="AC401" i="37"/>
  <c r="R401" i="37"/>
  <c r="G401" i="37"/>
  <c r="AD401" i="37"/>
  <c r="AF401" i="37"/>
  <c r="C401" i="37"/>
  <c r="B401" i="37"/>
  <c r="H400" i="37"/>
  <c r="S400" i="37"/>
  <c r="U400" i="37"/>
  <c r="Y400" i="37"/>
  <c r="AA400" i="37"/>
  <c r="AE400" i="37"/>
  <c r="AB400" i="37"/>
  <c r="I400" i="37"/>
  <c r="T400" i="37"/>
  <c r="V400" i="37"/>
  <c r="Z400" i="37"/>
  <c r="AC400" i="37"/>
  <c r="R400" i="37"/>
  <c r="G400" i="37"/>
  <c r="AD400" i="37"/>
  <c r="AF400" i="37"/>
  <c r="C400" i="37"/>
  <c r="B400" i="37"/>
  <c r="H399" i="37"/>
  <c r="S399" i="37"/>
  <c r="U399" i="37"/>
  <c r="Y399" i="37"/>
  <c r="AA399" i="37"/>
  <c r="AE399" i="37"/>
  <c r="AB399" i="37"/>
  <c r="I399" i="37"/>
  <c r="T399" i="37"/>
  <c r="V399" i="37"/>
  <c r="Z399" i="37"/>
  <c r="AC399" i="37"/>
  <c r="R399" i="37"/>
  <c r="G399" i="37"/>
  <c r="AD399" i="37"/>
  <c r="AF399" i="37"/>
  <c r="C399" i="37"/>
  <c r="B399" i="37"/>
  <c r="H398" i="37"/>
  <c r="S398" i="37"/>
  <c r="U398" i="37"/>
  <c r="Y398" i="37"/>
  <c r="AA398" i="37"/>
  <c r="AE398" i="37"/>
  <c r="AB398" i="37"/>
  <c r="I398" i="37"/>
  <c r="T398" i="37"/>
  <c r="V398" i="37"/>
  <c r="Z398" i="37"/>
  <c r="AC398" i="37"/>
  <c r="R398" i="37"/>
  <c r="G398" i="37"/>
  <c r="AD398" i="37"/>
  <c r="AF398" i="37"/>
  <c r="C398" i="37"/>
  <c r="B398" i="37"/>
  <c r="H397" i="37"/>
  <c r="S397" i="37"/>
  <c r="U397" i="37"/>
  <c r="Y397" i="37"/>
  <c r="AA397" i="37"/>
  <c r="AE397" i="37"/>
  <c r="AB397" i="37"/>
  <c r="I397" i="37"/>
  <c r="T397" i="37"/>
  <c r="V397" i="37"/>
  <c r="Z397" i="37"/>
  <c r="AC397" i="37"/>
  <c r="R397" i="37"/>
  <c r="G397" i="37"/>
  <c r="AD397" i="37"/>
  <c r="AF397" i="37"/>
  <c r="C397" i="37"/>
  <c r="B397" i="37"/>
  <c r="H396" i="37"/>
  <c r="S396" i="37"/>
  <c r="U396" i="37"/>
  <c r="Y396" i="37"/>
  <c r="AA396" i="37"/>
  <c r="AE396" i="37"/>
  <c r="AB396" i="37"/>
  <c r="I396" i="37"/>
  <c r="T396" i="37"/>
  <c r="V396" i="37"/>
  <c r="Z396" i="37"/>
  <c r="AC396" i="37"/>
  <c r="R396" i="37"/>
  <c r="G396" i="37"/>
  <c r="AD396" i="37"/>
  <c r="AF396" i="37"/>
  <c r="C396" i="37"/>
  <c r="B396" i="37"/>
  <c r="H395" i="37"/>
  <c r="S395" i="37"/>
  <c r="U395" i="37"/>
  <c r="Y395" i="37"/>
  <c r="AA395" i="37"/>
  <c r="AE395" i="37"/>
  <c r="AB395" i="37"/>
  <c r="I395" i="37"/>
  <c r="T395" i="37"/>
  <c r="V395" i="37"/>
  <c r="Z395" i="37"/>
  <c r="AC395" i="37"/>
  <c r="R395" i="37"/>
  <c r="G395" i="37"/>
  <c r="AD395" i="37"/>
  <c r="AF395" i="37"/>
  <c r="C395" i="37"/>
  <c r="B395" i="37"/>
  <c r="H394" i="37"/>
  <c r="S394" i="37"/>
  <c r="U394" i="37"/>
  <c r="Y394" i="37"/>
  <c r="AA394" i="37"/>
  <c r="AE394" i="37"/>
  <c r="AB394" i="37"/>
  <c r="I394" i="37"/>
  <c r="T394" i="37"/>
  <c r="V394" i="37"/>
  <c r="Z394" i="37"/>
  <c r="AC394" i="37"/>
  <c r="R394" i="37"/>
  <c r="G394" i="37"/>
  <c r="AD394" i="37"/>
  <c r="AF394" i="37"/>
  <c r="C394" i="37"/>
  <c r="B394" i="37"/>
  <c r="H393" i="37"/>
  <c r="S393" i="37"/>
  <c r="U393" i="37"/>
  <c r="Y393" i="37"/>
  <c r="AA393" i="37"/>
  <c r="AE393" i="37"/>
  <c r="AB393" i="37"/>
  <c r="I393" i="37"/>
  <c r="T393" i="37"/>
  <c r="V393" i="37"/>
  <c r="Z393" i="37"/>
  <c r="AC393" i="37"/>
  <c r="R393" i="37"/>
  <c r="G393" i="37"/>
  <c r="AD393" i="37"/>
  <c r="AF393" i="37"/>
  <c r="C393" i="37"/>
  <c r="B393" i="37"/>
  <c r="H392" i="37"/>
  <c r="S392" i="37"/>
  <c r="U392" i="37"/>
  <c r="Y392" i="37"/>
  <c r="AA392" i="37"/>
  <c r="AE392" i="37"/>
  <c r="AB392" i="37"/>
  <c r="I392" i="37"/>
  <c r="T392" i="37"/>
  <c r="V392" i="37"/>
  <c r="Z392" i="37"/>
  <c r="AC392" i="37"/>
  <c r="R392" i="37"/>
  <c r="G392" i="37"/>
  <c r="AD392" i="37"/>
  <c r="AF392" i="37"/>
  <c r="C392" i="37"/>
  <c r="B392" i="37"/>
  <c r="H391" i="37"/>
  <c r="S391" i="37"/>
  <c r="U391" i="37"/>
  <c r="Y391" i="37"/>
  <c r="AA391" i="37"/>
  <c r="AE391" i="37"/>
  <c r="AB391" i="37"/>
  <c r="I391" i="37"/>
  <c r="T391" i="37"/>
  <c r="V391" i="37"/>
  <c r="Z391" i="37"/>
  <c r="AC391" i="37"/>
  <c r="R391" i="37"/>
  <c r="G391" i="37"/>
  <c r="AD391" i="37"/>
  <c r="AF391" i="37"/>
  <c r="C391" i="37"/>
  <c r="B391" i="37"/>
  <c r="H390" i="37"/>
  <c r="S390" i="37"/>
  <c r="U390" i="37"/>
  <c r="Y390" i="37"/>
  <c r="AA390" i="37"/>
  <c r="AE390" i="37"/>
  <c r="AB390" i="37"/>
  <c r="I390" i="37"/>
  <c r="T390" i="37"/>
  <c r="V390" i="37"/>
  <c r="Z390" i="37"/>
  <c r="AC390" i="37"/>
  <c r="R390" i="37"/>
  <c r="G390" i="37"/>
  <c r="AD390" i="37"/>
  <c r="AF390" i="37"/>
  <c r="C390" i="37"/>
  <c r="B390" i="37"/>
  <c r="H389" i="37"/>
  <c r="S389" i="37"/>
  <c r="U389" i="37"/>
  <c r="Y389" i="37"/>
  <c r="AA389" i="37"/>
  <c r="AE389" i="37"/>
  <c r="AB389" i="37"/>
  <c r="I389" i="37"/>
  <c r="T389" i="37"/>
  <c r="V389" i="37"/>
  <c r="Z389" i="37"/>
  <c r="AC389" i="37"/>
  <c r="R389" i="37"/>
  <c r="G389" i="37"/>
  <c r="AD389" i="37"/>
  <c r="AF389" i="37"/>
  <c r="C389" i="37"/>
  <c r="B389" i="37"/>
  <c r="H388" i="37"/>
  <c r="S388" i="37"/>
  <c r="U388" i="37"/>
  <c r="Y388" i="37"/>
  <c r="AA388" i="37"/>
  <c r="AE388" i="37"/>
  <c r="AB388" i="37"/>
  <c r="I388" i="37"/>
  <c r="T388" i="37"/>
  <c r="V388" i="37"/>
  <c r="Z388" i="37"/>
  <c r="AC388" i="37"/>
  <c r="R388" i="37"/>
  <c r="G388" i="37"/>
  <c r="AD388" i="37"/>
  <c r="AF388" i="37"/>
  <c r="C388" i="37"/>
  <c r="B388" i="37"/>
  <c r="H387" i="37"/>
  <c r="S387" i="37"/>
  <c r="U387" i="37"/>
  <c r="Y387" i="37"/>
  <c r="AA387" i="37"/>
  <c r="AE387" i="37"/>
  <c r="AB387" i="37"/>
  <c r="I387" i="37"/>
  <c r="T387" i="37"/>
  <c r="V387" i="37"/>
  <c r="Z387" i="37"/>
  <c r="AC387" i="37"/>
  <c r="R387" i="37"/>
  <c r="G387" i="37"/>
  <c r="AD387" i="37"/>
  <c r="AF387" i="37"/>
  <c r="C387" i="37"/>
  <c r="B387" i="37"/>
  <c r="H386" i="37"/>
  <c r="S386" i="37"/>
  <c r="U386" i="37"/>
  <c r="Y386" i="37"/>
  <c r="AA386" i="37"/>
  <c r="AE386" i="37"/>
  <c r="AB386" i="37"/>
  <c r="I386" i="37"/>
  <c r="T386" i="37"/>
  <c r="V386" i="37"/>
  <c r="Z386" i="37"/>
  <c r="AC386" i="37"/>
  <c r="R386" i="37"/>
  <c r="G386" i="37"/>
  <c r="AD386" i="37"/>
  <c r="AF386" i="37"/>
  <c r="C386" i="37"/>
  <c r="B386" i="37"/>
  <c r="H385" i="37"/>
  <c r="S385" i="37"/>
  <c r="U385" i="37"/>
  <c r="Y385" i="37"/>
  <c r="AA385" i="37"/>
  <c r="AE385" i="37"/>
  <c r="AB385" i="37"/>
  <c r="I385" i="37"/>
  <c r="T385" i="37"/>
  <c r="V385" i="37"/>
  <c r="Z385" i="37"/>
  <c r="AC385" i="37"/>
  <c r="R385" i="37"/>
  <c r="G385" i="37"/>
  <c r="AD385" i="37"/>
  <c r="AF385" i="37"/>
  <c r="C385" i="37"/>
  <c r="B385" i="37"/>
  <c r="H384" i="37"/>
  <c r="S384" i="37"/>
  <c r="U384" i="37"/>
  <c r="Y384" i="37"/>
  <c r="AA384" i="37"/>
  <c r="AE384" i="37"/>
  <c r="AB384" i="37"/>
  <c r="I384" i="37"/>
  <c r="T384" i="37"/>
  <c r="V384" i="37"/>
  <c r="Z384" i="37"/>
  <c r="AC384" i="37"/>
  <c r="R384" i="37"/>
  <c r="G384" i="37"/>
  <c r="AD384" i="37"/>
  <c r="AF384" i="37"/>
  <c r="C384" i="37"/>
  <c r="B384" i="37"/>
  <c r="H383" i="37"/>
  <c r="S383" i="37"/>
  <c r="U383" i="37"/>
  <c r="Y383" i="37"/>
  <c r="AA383" i="37"/>
  <c r="AE383" i="37"/>
  <c r="AB383" i="37"/>
  <c r="I383" i="37"/>
  <c r="T383" i="37"/>
  <c r="V383" i="37"/>
  <c r="Z383" i="37"/>
  <c r="AC383" i="37"/>
  <c r="R383" i="37"/>
  <c r="G383" i="37"/>
  <c r="AD383" i="37"/>
  <c r="AF383" i="37"/>
  <c r="C383" i="37"/>
  <c r="B383" i="37"/>
  <c r="H382" i="37"/>
  <c r="S382" i="37"/>
  <c r="U382" i="37"/>
  <c r="Y382" i="37"/>
  <c r="AA382" i="37"/>
  <c r="AE382" i="37"/>
  <c r="AB382" i="37"/>
  <c r="I382" i="37"/>
  <c r="T382" i="37"/>
  <c r="V382" i="37"/>
  <c r="Z382" i="37"/>
  <c r="AC382" i="37"/>
  <c r="R382" i="37"/>
  <c r="G382" i="37"/>
  <c r="AD382" i="37"/>
  <c r="AF382" i="37"/>
  <c r="C382" i="37"/>
  <c r="B382" i="37"/>
  <c r="H381" i="37"/>
  <c r="S381" i="37"/>
  <c r="U381" i="37"/>
  <c r="Y381" i="37"/>
  <c r="AA381" i="37"/>
  <c r="AE381" i="37"/>
  <c r="AB381" i="37"/>
  <c r="I381" i="37"/>
  <c r="T381" i="37"/>
  <c r="V381" i="37"/>
  <c r="Z381" i="37"/>
  <c r="AC381" i="37"/>
  <c r="R381" i="37"/>
  <c r="G381" i="37"/>
  <c r="AD381" i="37"/>
  <c r="AF381" i="37"/>
  <c r="C381" i="37"/>
  <c r="B381" i="37"/>
  <c r="H380" i="37"/>
  <c r="S380" i="37"/>
  <c r="U380" i="37"/>
  <c r="Y380" i="37"/>
  <c r="AA380" i="37"/>
  <c r="AE380" i="37"/>
  <c r="AB380" i="37"/>
  <c r="I380" i="37"/>
  <c r="T380" i="37"/>
  <c r="V380" i="37"/>
  <c r="Z380" i="37"/>
  <c r="AC380" i="37"/>
  <c r="R380" i="37"/>
  <c r="G380" i="37"/>
  <c r="AD380" i="37"/>
  <c r="AF380" i="37"/>
  <c r="C380" i="37"/>
  <c r="B380" i="37"/>
  <c r="H379" i="37"/>
  <c r="S379" i="37"/>
  <c r="U379" i="37"/>
  <c r="Y379" i="37"/>
  <c r="AA379" i="37"/>
  <c r="AE379" i="37"/>
  <c r="AB379" i="37"/>
  <c r="I379" i="37"/>
  <c r="T379" i="37"/>
  <c r="V379" i="37"/>
  <c r="Z379" i="37"/>
  <c r="AC379" i="37"/>
  <c r="R379" i="37"/>
  <c r="G379" i="37"/>
  <c r="AD379" i="37"/>
  <c r="AF379" i="37"/>
  <c r="C379" i="37"/>
  <c r="B379" i="37"/>
  <c r="H378" i="37"/>
  <c r="S378" i="37"/>
  <c r="U378" i="37"/>
  <c r="Y378" i="37"/>
  <c r="AA378" i="37"/>
  <c r="AE378" i="37"/>
  <c r="AB378" i="37"/>
  <c r="I378" i="37"/>
  <c r="T378" i="37"/>
  <c r="V378" i="37"/>
  <c r="Z378" i="37"/>
  <c r="AC378" i="37"/>
  <c r="R378" i="37"/>
  <c r="G378" i="37"/>
  <c r="AD378" i="37"/>
  <c r="AF378" i="37"/>
  <c r="C378" i="37"/>
  <c r="B378" i="37"/>
  <c r="H377" i="37"/>
  <c r="S377" i="37"/>
  <c r="U377" i="37"/>
  <c r="Y377" i="37"/>
  <c r="AA377" i="37"/>
  <c r="AE377" i="37"/>
  <c r="AB377" i="37"/>
  <c r="I377" i="37"/>
  <c r="T377" i="37"/>
  <c r="V377" i="37"/>
  <c r="Z377" i="37"/>
  <c r="AC377" i="37"/>
  <c r="R377" i="37"/>
  <c r="G377" i="37"/>
  <c r="AD377" i="37"/>
  <c r="AF377" i="37"/>
  <c r="C377" i="37"/>
  <c r="B377" i="37"/>
  <c r="H376" i="37"/>
  <c r="S376" i="37"/>
  <c r="U376" i="37"/>
  <c r="Y376" i="37"/>
  <c r="AA376" i="37"/>
  <c r="AE376" i="37"/>
  <c r="AB376" i="37"/>
  <c r="I376" i="37"/>
  <c r="T376" i="37"/>
  <c r="V376" i="37"/>
  <c r="Z376" i="37"/>
  <c r="AC376" i="37"/>
  <c r="R376" i="37"/>
  <c r="G376" i="37"/>
  <c r="AD376" i="37"/>
  <c r="AF376" i="37"/>
  <c r="C376" i="37"/>
  <c r="B376" i="37"/>
  <c r="H375" i="37"/>
  <c r="S375" i="37"/>
  <c r="U375" i="37"/>
  <c r="Y375" i="37"/>
  <c r="AA375" i="37"/>
  <c r="AE375" i="37"/>
  <c r="AB375" i="37"/>
  <c r="I375" i="37"/>
  <c r="T375" i="37"/>
  <c r="V375" i="37"/>
  <c r="Z375" i="37"/>
  <c r="AC375" i="37"/>
  <c r="R375" i="37"/>
  <c r="G375" i="37"/>
  <c r="AD375" i="37"/>
  <c r="AF375" i="37"/>
  <c r="C375" i="37"/>
  <c r="B375" i="37"/>
  <c r="H374" i="37"/>
  <c r="S374" i="37"/>
  <c r="U374" i="37"/>
  <c r="Y374" i="37"/>
  <c r="AA374" i="37"/>
  <c r="AE374" i="37"/>
  <c r="AB374" i="37"/>
  <c r="I374" i="37"/>
  <c r="T374" i="37"/>
  <c r="V374" i="37"/>
  <c r="Z374" i="37"/>
  <c r="AC374" i="37"/>
  <c r="R374" i="37"/>
  <c r="G374" i="37"/>
  <c r="AD374" i="37"/>
  <c r="AF374" i="37"/>
  <c r="C374" i="37"/>
  <c r="B374" i="37"/>
  <c r="H373" i="37"/>
  <c r="S373" i="37"/>
  <c r="U373" i="37"/>
  <c r="Y373" i="37"/>
  <c r="AA373" i="37"/>
  <c r="AE373" i="37"/>
  <c r="AB373" i="37"/>
  <c r="I373" i="37"/>
  <c r="T373" i="37"/>
  <c r="V373" i="37"/>
  <c r="Z373" i="37"/>
  <c r="AC373" i="37"/>
  <c r="R373" i="37"/>
  <c r="G373" i="37"/>
  <c r="AD373" i="37"/>
  <c r="AF373" i="37"/>
  <c r="C373" i="37"/>
  <c r="B373" i="37"/>
  <c r="H372" i="37"/>
  <c r="S372" i="37"/>
  <c r="U372" i="37"/>
  <c r="Y372" i="37"/>
  <c r="AA372" i="37"/>
  <c r="AE372" i="37"/>
  <c r="AB372" i="37"/>
  <c r="I372" i="37"/>
  <c r="T372" i="37"/>
  <c r="V372" i="37"/>
  <c r="Z372" i="37"/>
  <c r="AC372" i="37"/>
  <c r="R372" i="37"/>
  <c r="G372" i="37"/>
  <c r="AD372" i="37"/>
  <c r="AF372" i="37"/>
  <c r="C372" i="37"/>
  <c r="B372" i="37"/>
  <c r="H371" i="37"/>
  <c r="S371" i="37"/>
  <c r="U371" i="37"/>
  <c r="Y371" i="37"/>
  <c r="AA371" i="37"/>
  <c r="AE371" i="37"/>
  <c r="AB371" i="37"/>
  <c r="I371" i="37"/>
  <c r="T371" i="37"/>
  <c r="V371" i="37"/>
  <c r="Z371" i="37"/>
  <c r="AC371" i="37"/>
  <c r="R371" i="37"/>
  <c r="G371" i="37"/>
  <c r="AD371" i="37"/>
  <c r="AF371" i="37"/>
  <c r="C371" i="37"/>
  <c r="B371" i="37"/>
  <c r="H370" i="37"/>
  <c r="S370" i="37"/>
  <c r="U370" i="37"/>
  <c r="Y370" i="37"/>
  <c r="AA370" i="37"/>
  <c r="AE370" i="37"/>
  <c r="AB370" i="37"/>
  <c r="I370" i="37"/>
  <c r="T370" i="37"/>
  <c r="V370" i="37"/>
  <c r="Z370" i="37"/>
  <c r="AC370" i="37"/>
  <c r="R370" i="37"/>
  <c r="G370" i="37"/>
  <c r="AD370" i="37"/>
  <c r="AF370" i="37"/>
  <c r="C370" i="37"/>
  <c r="B370" i="37"/>
  <c r="H369" i="37"/>
  <c r="S369" i="37"/>
  <c r="U369" i="37"/>
  <c r="Y369" i="37"/>
  <c r="AA369" i="37"/>
  <c r="AE369" i="37"/>
  <c r="AB369" i="37"/>
  <c r="I369" i="37"/>
  <c r="T369" i="37"/>
  <c r="V369" i="37"/>
  <c r="Z369" i="37"/>
  <c r="AC369" i="37"/>
  <c r="R369" i="37"/>
  <c r="G369" i="37"/>
  <c r="AD369" i="37"/>
  <c r="AF369" i="37"/>
  <c r="C369" i="37"/>
  <c r="B369" i="37"/>
  <c r="H368" i="37"/>
  <c r="S368" i="37"/>
  <c r="U368" i="37"/>
  <c r="Y368" i="37"/>
  <c r="AA368" i="37"/>
  <c r="AE368" i="37"/>
  <c r="AB368" i="37"/>
  <c r="I368" i="37"/>
  <c r="T368" i="37"/>
  <c r="V368" i="37"/>
  <c r="Z368" i="37"/>
  <c r="AC368" i="37"/>
  <c r="R368" i="37"/>
  <c r="G368" i="37"/>
  <c r="AD368" i="37"/>
  <c r="AF368" i="37"/>
  <c r="C368" i="37"/>
  <c r="B368" i="37"/>
  <c r="H367" i="37"/>
  <c r="S367" i="37"/>
  <c r="U367" i="37"/>
  <c r="Y367" i="37"/>
  <c r="AA367" i="37"/>
  <c r="AE367" i="37"/>
  <c r="AB367" i="37"/>
  <c r="I367" i="37"/>
  <c r="T367" i="37"/>
  <c r="V367" i="37"/>
  <c r="Z367" i="37"/>
  <c r="AC367" i="37"/>
  <c r="R367" i="37"/>
  <c r="G367" i="37"/>
  <c r="AD367" i="37"/>
  <c r="AF367" i="37"/>
  <c r="C367" i="37"/>
  <c r="B367" i="37"/>
  <c r="H366" i="37"/>
  <c r="S366" i="37"/>
  <c r="U366" i="37"/>
  <c r="Y366" i="37"/>
  <c r="AA366" i="37"/>
  <c r="AE366" i="37"/>
  <c r="AB366" i="37"/>
  <c r="I366" i="37"/>
  <c r="T366" i="37"/>
  <c r="V366" i="37"/>
  <c r="Z366" i="37"/>
  <c r="AC366" i="37"/>
  <c r="R366" i="37"/>
  <c r="G366" i="37"/>
  <c r="AD366" i="37"/>
  <c r="AF366" i="37"/>
  <c r="C366" i="37"/>
  <c r="B366" i="37"/>
  <c r="H365" i="37"/>
  <c r="S365" i="37"/>
  <c r="U365" i="37"/>
  <c r="Y365" i="37"/>
  <c r="AA365" i="37"/>
  <c r="AE365" i="37"/>
  <c r="AB365" i="37"/>
  <c r="I365" i="37"/>
  <c r="T365" i="37"/>
  <c r="V365" i="37"/>
  <c r="Z365" i="37"/>
  <c r="AC365" i="37"/>
  <c r="R365" i="37"/>
  <c r="G365" i="37"/>
  <c r="AD365" i="37"/>
  <c r="AF365" i="37"/>
  <c r="C365" i="37"/>
  <c r="B365" i="37"/>
  <c r="H364" i="37"/>
  <c r="S364" i="37"/>
  <c r="U364" i="37"/>
  <c r="Y364" i="37"/>
  <c r="AA364" i="37"/>
  <c r="AE364" i="37"/>
  <c r="AB364" i="37"/>
  <c r="I364" i="37"/>
  <c r="T364" i="37"/>
  <c r="V364" i="37"/>
  <c r="Z364" i="37"/>
  <c r="AC364" i="37"/>
  <c r="R364" i="37"/>
  <c r="G364" i="37"/>
  <c r="AD364" i="37"/>
  <c r="AF364" i="37"/>
  <c r="C364" i="37"/>
  <c r="B364" i="37"/>
  <c r="H363" i="37"/>
  <c r="S363" i="37"/>
  <c r="U363" i="37"/>
  <c r="Y363" i="37"/>
  <c r="AA363" i="37"/>
  <c r="AE363" i="37"/>
  <c r="AB363" i="37"/>
  <c r="I363" i="37"/>
  <c r="T363" i="37"/>
  <c r="V363" i="37"/>
  <c r="Z363" i="37"/>
  <c r="AC363" i="37"/>
  <c r="R363" i="37"/>
  <c r="G363" i="37"/>
  <c r="AD363" i="37"/>
  <c r="AF363" i="37"/>
  <c r="C363" i="37"/>
  <c r="B363" i="37"/>
  <c r="H362" i="37"/>
  <c r="S362" i="37"/>
  <c r="U362" i="37"/>
  <c r="Y362" i="37"/>
  <c r="AA362" i="37"/>
  <c r="AE362" i="37"/>
  <c r="AB362" i="37"/>
  <c r="I362" i="37"/>
  <c r="T362" i="37"/>
  <c r="V362" i="37"/>
  <c r="Z362" i="37"/>
  <c r="AC362" i="37"/>
  <c r="R362" i="37"/>
  <c r="G362" i="37"/>
  <c r="AD362" i="37"/>
  <c r="AF362" i="37"/>
  <c r="C362" i="37"/>
  <c r="B362" i="37"/>
  <c r="H361" i="37"/>
  <c r="S361" i="37"/>
  <c r="U361" i="37"/>
  <c r="Y361" i="37"/>
  <c r="AA361" i="37"/>
  <c r="AE361" i="37"/>
  <c r="AB361" i="37"/>
  <c r="I361" i="37"/>
  <c r="T361" i="37"/>
  <c r="V361" i="37"/>
  <c r="Z361" i="37"/>
  <c r="AC361" i="37"/>
  <c r="R361" i="37"/>
  <c r="G361" i="37"/>
  <c r="AD361" i="37"/>
  <c r="AF361" i="37"/>
  <c r="C361" i="37"/>
  <c r="B361" i="37"/>
  <c r="H360" i="37"/>
  <c r="S360" i="37"/>
  <c r="U360" i="37"/>
  <c r="Y360" i="37"/>
  <c r="AA360" i="37"/>
  <c r="AE360" i="37"/>
  <c r="AB360" i="37"/>
  <c r="I360" i="37"/>
  <c r="T360" i="37"/>
  <c r="V360" i="37"/>
  <c r="Z360" i="37"/>
  <c r="AC360" i="37"/>
  <c r="R360" i="37"/>
  <c r="G360" i="37"/>
  <c r="AD360" i="37"/>
  <c r="AF360" i="37"/>
  <c r="C360" i="37"/>
  <c r="B360" i="37"/>
  <c r="H359" i="37"/>
  <c r="S359" i="37"/>
  <c r="U359" i="37"/>
  <c r="Y359" i="37"/>
  <c r="AA359" i="37"/>
  <c r="AE359" i="37"/>
  <c r="AB359" i="37"/>
  <c r="I359" i="37"/>
  <c r="T359" i="37"/>
  <c r="V359" i="37"/>
  <c r="Z359" i="37"/>
  <c r="AC359" i="37"/>
  <c r="R359" i="37"/>
  <c r="G359" i="37"/>
  <c r="AD359" i="37"/>
  <c r="AF359" i="37"/>
  <c r="C359" i="37"/>
  <c r="B359" i="37"/>
  <c r="H358" i="37"/>
  <c r="S358" i="37"/>
  <c r="U358" i="37"/>
  <c r="Y358" i="37"/>
  <c r="AA358" i="37"/>
  <c r="AE358" i="37"/>
  <c r="AB358" i="37"/>
  <c r="I358" i="37"/>
  <c r="T358" i="37"/>
  <c r="V358" i="37"/>
  <c r="Z358" i="37"/>
  <c r="AC358" i="37"/>
  <c r="R358" i="37"/>
  <c r="G358" i="37"/>
  <c r="AD358" i="37"/>
  <c r="AF358" i="37"/>
  <c r="C358" i="37"/>
  <c r="B358" i="37"/>
  <c r="H357" i="37"/>
  <c r="S357" i="37"/>
  <c r="U357" i="37"/>
  <c r="Y357" i="37"/>
  <c r="AA357" i="37"/>
  <c r="AE357" i="37"/>
  <c r="AB357" i="37"/>
  <c r="I357" i="37"/>
  <c r="T357" i="37"/>
  <c r="V357" i="37"/>
  <c r="Z357" i="37"/>
  <c r="AC357" i="37"/>
  <c r="R357" i="37"/>
  <c r="G357" i="37"/>
  <c r="AD357" i="37"/>
  <c r="AF357" i="37"/>
  <c r="C357" i="37"/>
  <c r="B357" i="37"/>
  <c r="H356" i="37"/>
  <c r="S356" i="37"/>
  <c r="U356" i="37"/>
  <c r="Y356" i="37"/>
  <c r="AA356" i="37"/>
  <c r="AE356" i="37"/>
  <c r="AB356" i="37"/>
  <c r="I356" i="37"/>
  <c r="T356" i="37"/>
  <c r="V356" i="37"/>
  <c r="Z356" i="37"/>
  <c r="AC356" i="37"/>
  <c r="R356" i="37"/>
  <c r="G356" i="37"/>
  <c r="AD356" i="37"/>
  <c r="AF356" i="37"/>
  <c r="C356" i="37"/>
  <c r="B356" i="37"/>
  <c r="H355" i="37"/>
  <c r="S355" i="37"/>
  <c r="U355" i="37"/>
  <c r="Y355" i="37"/>
  <c r="AA355" i="37"/>
  <c r="AE355" i="37"/>
  <c r="AB355" i="37"/>
  <c r="I355" i="37"/>
  <c r="T355" i="37"/>
  <c r="V355" i="37"/>
  <c r="Z355" i="37"/>
  <c r="AC355" i="37"/>
  <c r="R355" i="37"/>
  <c r="G355" i="37"/>
  <c r="AD355" i="37"/>
  <c r="AF355" i="37"/>
  <c r="C355" i="37"/>
  <c r="B355" i="37"/>
  <c r="H354" i="37"/>
  <c r="S354" i="37"/>
  <c r="U354" i="37"/>
  <c r="Y354" i="37"/>
  <c r="AA354" i="37"/>
  <c r="AE354" i="37"/>
  <c r="AB354" i="37"/>
  <c r="I354" i="37"/>
  <c r="T354" i="37"/>
  <c r="V354" i="37"/>
  <c r="Z354" i="37"/>
  <c r="AC354" i="37"/>
  <c r="R354" i="37"/>
  <c r="G354" i="37"/>
  <c r="AD354" i="37"/>
  <c r="AF354" i="37"/>
  <c r="C354" i="37"/>
  <c r="B354" i="37"/>
  <c r="H353" i="37"/>
  <c r="S353" i="37"/>
  <c r="U353" i="37"/>
  <c r="Y353" i="37"/>
  <c r="AA353" i="37"/>
  <c r="AE353" i="37"/>
  <c r="AB353" i="37"/>
  <c r="I353" i="37"/>
  <c r="T353" i="37"/>
  <c r="V353" i="37"/>
  <c r="Z353" i="37"/>
  <c r="AC353" i="37"/>
  <c r="R353" i="37"/>
  <c r="G353" i="37"/>
  <c r="AD353" i="37"/>
  <c r="AF353" i="37"/>
  <c r="C353" i="37"/>
  <c r="B353" i="37"/>
  <c r="H352" i="37"/>
  <c r="S352" i="37"/>
  <c r="U352" i="37"/>
  <c r="Y352" i="37"/>
  <c r="AA352" i="37"/>
  <c r="AE352" i="37"/>
  <c r="AB352" i="37"/>
  <c r="I352" i="37"/>
  <c r="T352" i="37"/>
  <c r="V352" i="37"/>
  <c r="Z352" i="37"/>
  <c r="AC352" i="37"/>
  <c r="R352" i="37"/>
  <c r="G352" i="37"/>
  <c r="AD352" i="37"/>
  <c r="AF352" i="37"/>
  <c r="C352" i="37"/>
  <c r="B352" i="37"/>
  <c r="H351" i="37"/>
  <c r="S351" i="37"/>
  <c r="U351" i="37"/>
  <c r="Y351" i="37"/>
  <c r="AA351" i="37"/>
  <c r="AE351" i="37"/>
  <c r="AB351" i="37"/>
  <c r="I351" i="37"/>
  <c r="T351" i="37"/>
  <c r="V351" i="37"/>
  <c r="Z351" i="37"/>
  <c r="AC351" i="37"/>
  <c r="R351" i="37"/>
  <c r="G351" i="37"/>
  <c r="AD351" i="37"/>
  <c r="AF351" i="37"/>
  <c r="C351" i="37"/>
  <c r="B351" i="37"/>
  <c r="H350" i="37"/>
  <c r="S350" i="37"/>
  <c r="U350" i="37"/>
  <c r="Y350" i="37"/>
  <c r="AA350" i="37"/>
  <c r="AE350" i="37"/>
  <c r="AB350" i="37"/>
  <c r="I350" i="37"/>
  <c r="T350" i="37"/>
  <c r="V350" i="37"/>
  <c r="Z350" i="37"/>
  <c r="AC350" i="37"/>
  <c r="R350" i="37"/>
  <c r="G350" i="37"/>
  <c r="AD350" i="37"/>
  <c r="AF350" i="37"/>
  <c r="C350" i="37"/>
  <c r="B350" i="37"/>
  <c r="H349" i="37"/>
  <c r="S349" i="37"/>
  <c r="U349" i="37"/>
  <c r="Y349" i="37"/>
  <c r="AA349" i="37"/>
  <c r="AE349" i="37"/>
  <c r="AB349" i="37"/>
  <c r="I349" i="37"/>
  <c r="T349" i="37"/>
  <c r="V349" i="37"/>
  <c r="Z349" i="37"/>
  <c r="AC349" i="37"/>
  <c r="R349" i="37"/>
  <c r="G349" i="37"/>
  <c r="AD349" i="37"/>
  <c r="AF349" i="37"/>
  <c r="C349" i="37"/>
  <c r="B349" i="37"/>
  <c r="H348" i="37"/>
  <c r="S348" i="37"/>
  <c r="U348" i="37"/>
  <c r="Y348" i="37"/>
  <c r="AA348" i="37"/>
  <c r="AE348" i="37"/>
  <c r="AB348" i="37"/>
  <c r="I348" i="37"/>
  <c r="T348" i="37"/>
  <c r="V348" i="37"/>
  <c r="Z348" i="37"/>
  <c r="AC348" i="37"/>
  <c r="R348" i="37"/>
  <c r="G348" i="37"/>
  <c r="AD348" i="37"/>
  <c r="AF348" i="37"/>
  <c r="C348" i="37"/>
  <c r="B348" i="37"/>
  <c r="H347" i="37"/>
  <c r="S347" i="37"/>
  <c r="U347" i="37"/>
  <c r="Y347" i="37"/>
  <c r="AA347" i="37"/>
  <c r="AE347" i="37"/>
  <c r="AB347" i="37"/>
  <c r="I347" i="37"/>
  <c r="T347" i="37"/>
  <c r="V347" i="37"/>
  <c r="Z347" i="37"/>
  <c r="AC347" i="37"/>
  <c r="R347" i="37"/>
  <c r="G347" i="37"/>
  <c r="AD347" i="37"/>
  <c r="AF347" i="37"/>
  <c r="C347" i="37"/>
  <c r="B347" i="37"/>
  <c r="H346" i="37"/>
  <c r="S346" i="37"/>
  <c r="U346" i="37"/>
  <c r="Y346" i="37"/>
  <c r="AA346" i="37"/>
  <c r="AE346" i="37"/>
  <c r="AB346" i="37"/>
  <c r="I346" i="37"/>
  <c r="T346" i="37"/>
  <c r="V346" i="37"/>
  <c r="Z346" i="37"/>
  <c r="AC346" i="37"/>
  <c r="R346" i="37"/>
  <c r="G346" i="37"/>
  <c r="AD346" i="37"/>
  <c r="AF346" i="37"/>
  <c r="C346" i="37"/>
  <c r="B346" i="37"/>
  <c r="H345" i="37"/>
  <c r="S345" i="37"/>
  <c r="U345" i="37"/>
  <c r="Y345" i="37"/>
  <c r="AA345" i="37"/>
  <c r="AE345" i="37"/>
  <c r="AB345" i="37"/>
  <c r="I345" i="37"/>
  <c r="T345" i="37"/>
  <c r="V345" i="37"/>
  <c r="Z345" i="37"/>
  <c r="AC345" i="37"/>
  <c r="R345" i="37"/>
  <c r="G345" i="37"/>
  <c r="AD345" i="37"/>
  <c r="AF345" i="37"/>
  <c r="C345" i="37"/>
  <c r="B345" i="37"/>
  <c r="H344" i="37"/>
  <c r="S344" i="37"/>
  <c r="U344" i="37"/>
  <c r="Y344" i="37"/>
  <c r="AA344" i="37"/>
  <c r="AE344" i="37"/>
  <c r="AB344" i="37"/>
  <c r="I344" i="37"/>
  <c r="T344" i="37"/>
  <c r="V344" i="37"/>
  <c r="Z344" i="37"/>
  <c r="AC344" i="37"/>
  <c r="R344" i="37"/>
  <c r="G344" i="37"/>
  <c r="AD344" i="37"/>
  <c r="AF344" i="37"/>
  <c r="C344" i="37"/>
  <c r="B344" i="37"/>
  <c r="H343" i="37"/>
  <c r="S343" i="37"/>
  <c r="U343" i="37"/>
  <c r="Y343" i="37"/>
  <c r="AA343" i="37"/>
  <c r="AE343" i="37"/>
  <c r="AB343" i="37"/>
  <c r="I343" i="37"/>
  <c r="T343" i="37"/>
  <c r="V343" i="37"/>
  <c r="Z343" i="37"/>
  <c r="AC343" i="37"/>
  <c r="R343" i="37"/>
  <c r="G343" i="37"/>
  <c r="AD343" i="37"/>
  <c r="AF343" i="37"/>
  <c r="C343" i="37"/>
  <c r="B343" i="37"/>
  <c r="H342" i="37"/>
  <c r="S342" i="37"/>
  <c r="U342" i="37"/>
  <c r="Y342" i="37"/>
  <c r="AA342" i="37"/>
  <c r="AE342" i="37"/>
  <c r="AB342" i="37"/>
  <c r="I342" i="37"/>
  <c r="T342" i="37"/>
  <c r="V342" i="37"/>
  <c r="Z342" i="37"/>
  <c r="AC342" i="37"/>
  <c r="R342" i="37"/>
  <c r="G342" i="37"/>
  <c r="AD342" i="37"/>
  <c r="AF342" i="37"/>
  <c r="C342" i="37"/>
  <c r="B342" i="37"/>
  <c r="H341" i="37"/>
  <c r="S341" i="37"/>
  <c r="U341" i="37"/>
  <c r="Y341" i="37"/>
  <c r="AA341" i="37"/>
  <c r="AE341" i="37"/>
  <c r="AB341" i="37"/>
  <c r="I341" i="37"/>
  <c r="T341" i="37"/>
  <c r="V341" i="37"/>
  <c r="Z341" i="37"/>
  <c r="AC341" i="37"/>
  <c r="R341" i="37"/>
  <c r="G341" i="37"/>
  <c r="AD341" i="37"/>
  <c r="AF341" i="37"/>
  <c r="C341" i="37"/>
  <c r="B341" i="37"/>
  <c r="H340" i="37"/>
  <c r="S340" i="37"/>
  <c r="U340" i="37"/>
  <c r="Y340" i="37"/>
  <c r="AA340" i="37"/>
  <c r="AE340" i="37"/>
  <c r="AB340" i="37"/>
  <c r="I340" i="37"/>
  <c r="T340" i="37"/>
  <c r="V340" i="37"/>
  <c r="Z340" i="37"/>
  <c r="AC340" i="37"/>
  <c r="R340" i="37"/>
  <c r="G340" i="37"/>
  <c r="AD340" i="37"/>
  <c r="AF340" i="37"/>
  <c r="C340" i="37"/>
  <c r="B340" i="37"/>
  <c r="H339" i="37"/>
  <c r="S339" i="37"/>
  <c r="U339" i="37"/>
  <c r="Y339" i="37"/>
  <c r="AA339" i="37"/>
  <c r="AE339" i="37"/>
  <c r="AB339" i="37"/>
  <c r="I339" i="37"/>
  <c r="T339" i="37"/>
  <c r="V339" i="37"/>
  <c r="Z339" i="37"/>
  <c r="AC339" i="37"/>
  <c r="R339" i="37"/>
  <c r="G339" i="37"/>
  <c r="AD339" i="37"/>
  <c r="AF339" i="37"/>
  <c r="C339" i="37"/>
  <c r="B339" i="37"/>
  <c r="H338" i="37"/>
  <c r="S338" i="37"/>
  <c r="U338" i="37"/>
  <c r="Y338" i="37"/>
  <c r="AA338" i="37"/>
  <c r="AE338" i="37"/>
  <c r="AB338" i="37"/>
  <c r="I338" i="37"/>
  <c r="T338" i="37"/>
  <c r="V338" i="37"/>
  <c r="Z338" i="37"/>
  <c r="AC338" i="37"/>
  <c r="R338" i="37"/>
  <c r="G338" i="37"/>
  <c r="AD338" i="37"/>
  <c r="AF338" i="37"/>
  <c r="C338" i="37"/>
  <c r="B338" i="37"/>
  <c r="H337" i="37"/>
  <c r="S337" i="37"/>
  <c r="U337" i="37"/>
  <c r="Y337" i="37"/>
  <c r="AA337" i="37"/>
  <c r="AE337" i="37"/>
  <c r="AB337" i="37"/>
  <c r="I337" i="37"/>
  <c r="T337" i="37"/>
  <c r="V337" i="37"/>
  <c r="Z337" i="37"/>
  <c r="AC337" i="37"/>
  <c r="R337" i="37"/>
  <c r="G337" i="37"/>
  <c r="AD337" i="37"/>
  <c r="AF337" i="37"/>
  <c r="C337" i="37"/>
  <c r="B337" i="37"/>
  <c r="H336" i="37"/>
  <c r="S336" i="37"/>
  <c r="U336" i="37"/>
  <c r="Y336" i="37"/>
  <c r="AA336" i="37"/>
  <c r="AE336" i="37"/>
  <c r="AB336" i="37"/>
  <c r="I336" i="37"/>
  <c r="T336" i="37"/>
  <c r="V336" i="37"/>
  <c r="Z336" i="37"/>
  <c r="AC336" i="37"/>
  <c r="R336" i="37"/>
  <c r="G336" i="37"/>
  <c r="AD336" i="37"/>
  <c r="AF336" i="37"/>
  <c r="C336" i="37"/>
  <c r="B336" i="37"/>
  <c r="H335" i="37"/>
  <c r="S335" i="37"/>
  <c r="U335" i="37"/>
  <c r="Y335" i="37"/>
  <c r="AA335" i="37"/>
  <c r="AE335" i="37"/>
  <c r="AB335" i="37"/>
  <c r="I335" i="37"/>
  <c r="T335" i="37"/>
  <c r="V335" i="37"/>
  <c r="Z335" i="37"/>
  <c r="AC335" i="37"/>
  <c r="R335" i="37"/>
  <c r="G335" i="37"/>
  <c r="AD335" i="37"/>
  <c r="AF335" i="37"/>
  <c r="C335" i="37"/>
  <c r="B335" i="37"/>
  <c r="H334" i="37"/>
  <c r="S334" i="37"/>
  <c r="U334" i="37"/>
  <c r="Y334" i="37"/>
  <c r="AA334" i="37"/>
  <c r="AE334" i="37"/>
  <c r="AB334" i="37"/>
  <c r="I334" i="37"/>
  <c r="T334" i="37"/>
  <c r="V334" i="37"/>
  <c r="Z334" i="37"/>
  <c r="AC334" i="37"/>
  <c r="R334" i="37"/>
  <c r="G334" i="37"/>
  <c r="AD334" i="37"/>
  <c r="AF334" i="37"/>
  <c r="C334" i="37"/>
  <c r="B334" i="37"/>
  <c r="H333" i="37"/>
  <c r="S333" i="37"/>
  <c r="U333" i="37"/>
  <c r="Y333" i="37"/>
  <c r="AA333" i="37"/>
  <c r="AE333" i="37"/>
  <c r="AB333" i="37"/>
  <c r="I333" i="37"/>
  <c r="T333" i="37"/>
  <c r="V333" i="37"/>
  <c r="Z333" i="37"/>
  <c r="AC333" i="37"/>
  <c r="R333" i="37"/>
  <c r="G333" i="37"/>
  <c r="AD333" i="37"/>
  <c r="AF333" i="37"/>
  <c r="C333" i="37"/>
  <c r="B333" i="37"/>
  <c r="H332" i="37"/>
  <c r="S332" i="37"/>
  <c r="U332" i="37"/>
  <c r="Y332" i="37"/>
  <c r="AA332" i="37"/>
  <c r="AE332" i="37"/>
  <c r="AB332" i="37"/>
  <c r="I332" i="37"/>
  <c r="T332" i="37"/>
  <c r="V332" i="37"/>
  <c r="Z332" i="37"/>
  <c r="AC332" i="37"/>
  <c r="R332" i="37"/>
  <c r="G332" i="37"/>
  <c r="AD332" i="37"/>
  <c r="AF332" i="37"/>
  <c r="C332" i="37"/>
  <c r="B332" i="37"/>
  <c r="H331" i="37"/>
  <c r="S331" i="37"/>
  <c r="U331" i="37"/>
  <c r="Y331" i="37"/>
  <c r="AA331" i="37"/>
  <c r="AE331" i="37"/>
  <c r="AB331" i="37"/>
  <c r="I331" i="37"/>
  <c r="T331" i="37"/>
  <c r="V331" i="37"/>
  <c r="Z331" i="37"/>
  <c r="AC331" i="37"/>
  <c r="R331" i="37"/>
  <c r="G331" i="37"/>
  <c r="AD331" i="37"/>
  <c r="AF331" i="37"/>
  <c r="C331" i="37"/>
  <c r="B331" i="37"/>
  <c r="H330" i="37"/>
  <c r="S330" i="37"/>
  <c r="U330" i="37"/>
  <c r="Y330" i="37"/>
  <c r="AA330" i="37"/>
  <c r="AE330" i="37"/>
  <c r="AB330" i="37"/>
  <c r="I330" i="37"/>
  <c r="T330" i="37"/>
  <c r="V330" i="37"/>
  <c r="Z330" i="37"/>
  <c r="AC330" i="37"/>
  <c r="R330" i="37"/>
  <c r="G330" i="37"/>
  <c r="AD330" i="37"/>
  <c r="AF330" i="37"/>
  <c r="C330" i="37"/>
  <c r="B330" i="37"/>
  <c r="H329" i="37"/>
  <c r="S329" i="37"/>
  <c r="U329" i="37"/>
  <c r="Y329" i="37"/>
  <c r="AA329" i="37"/>
  <c r="AE329" i="37"/>
  <c r="AB329" i="37"/>
  <c r="I329" i="37"/>
  <c r="T329" i="37"/>
  <c r="V329" i="37"/>
  <c r="Z329" i="37"/>
  <c r="AC329" i="37"/>
  <c r="R329" i="37"/>
  <c r="G329" i="37"/>
  <c r="AD329" i="37"/>
  <c r="AF329" i="37"/>
  <c r="C329" i="37"/>
  <c r="B329" i="37"/>
  <c r="H328" i="37"/>
  <c r="S328" i="37"/>
  <c r="U328" i="37"/>
  <c r="Y328" i="37"/>
  <c r="AA328" i="37"/>
  <c r="AE328" i="37"/>
  <c r="AB328" i="37"/>
  <c r="I328" i="37"/>
  <c r="T328" i="37"/>
  <c r="V328" i="37"/>
  <c r="Z328" i="37"/>
  <c r="AC328" i="37"/>
  <c r="R328" i="37"/>
  <c r="G328" i="37"/>
  <c r="AD328" i="37"/>
  <c r="AF328" i="37"/>
  <c r="C328" i="37"/>
  <c r="B328" i="37"/>
  <c r="H327" i="37"/>
  <c r="S327" i="37"/>
  <c r="U327" i="37"/>
  <c r="Y327" i="37"/>
  <c r="AA327" i="37"/>
  <c r="AE327" i="37"/>
  <c r="AB327" i="37"/>
  <c r="I327" i="37"/>
  <c r="T327" i="37"/>
  <c r="V327" i="37"/>
  <c r="Z327" i="37"/>
  <c r="AC327" i="37"/>
  <c r="R327" i="37"/>
  <c r="G327" i="37"/>
  <c r="AD327" i="37"/>
  <c r="AF327" i="37"/>
  <c r="C327" i="37"/>
  <c r="B327" i="37"/>
  <c r="H326" i="37"/>
  <c r="S326" i="37"/>
  <c r="U326" i="37"/>
  <c r="Y326" i="37"/>
  <c r="AA326" i="37"/>
  <c r="AE326" i="37"/>
  <c r="AB326" i="37"/>
  <c r="I326" i="37"/>
  <c r="T326" i="37"/>
  <c r="V326" i="37"/>
  <c r="Z326" i="37"/>
  <c r="AC326" i="37"/>
  <c r="R326" i="37"/>
  <c r="G326" i="37"/>
  <c r="AD326" i="37"/>
  <c r="AF326" i="37"/>
  <c r="C326" i="37"/>
  <c r="B326" i="37"/>
  <c r="H325" i="37"/>
  <c r="S325" i="37"/>
  <c r="U325" i="37"/>
  <c r="Y325" i="37"/>
  <c r="AA325" i="37"/>
  <c r="AE325" i="37"/>
  <c r="AB325" i="37"/>
  <c r="I325" i="37"/>
  <c r="T325" i="37"/>
  <c r="V325" i="37"/>
  <c r="Z325" i="37"/>
  <c r="AC325" i="37"/>
  <c r="R325" i="37"/>
  <c r="G325" i="37"/>
  <c r="AD325" i="37"/>
  <c r="AF325" i="37"/>
  <c r="C325" i="37"/>
  <c r="B325" i="37"/>
  <c r="H324" i="37"/>
  <c r="S324" i="37"/>
  <c r="U324" i="37"/>
  <c r="Y324" i="37"/>
  <c r="AA324" i="37"/>
  <c r="AE324" i="37"/>
  <c r="AB324" i="37"/>
  <c r="I324" i="37"/>
  <c r="T324" i="37"/>
  <c r="V324" i="37"/>
  <c r="Z324" i="37"/>
  <c r="AC324" i="37"/>
  <c r="R324" i="37"/>
  <c r="G324" i="37"/>
  <c r="AD324" i="37"/>
  <c r="AF324" i="37"/>
  <c r="C324" i="37"/>
  <c r="B324" i="37"/>
  <c r="H323" i="37"/>
  <c r="S323" i="37"/>
  <c r="U323" i="37"/>
  <c r="Y323" i="37"/>
  <c r="AA323" i="37"/>
  <c r="AE323" i="37"/>
  <c r="AB323" i="37"/>
  <c r="I323" i="37"/>
  <c r="T323" i="37"/>
  <c r="V323" i="37"/>
  <c r="Z323" i="37"/>
  <c r="AC323" i="37"/>
  <c r="R323" i="37"/>
  <c r="G323" i="37"/>
  <c r="AD323" i="37"/>
  <c r="AF323" i="37"/>
  <c r="C323" i="37"/>
  <c r="B323" i="37"/>
  <c r="H322" i="37"/>
  <c r="S322" i="37"/>
  <c r="U322" i="37"/>
  <c r="Y322" i="37"/>
  <c r="AA322" i="37"/>
  <c r="AE322" i="37"/>
  <c r="AB322" i="37"/>
  <c r="I322" i="37"/>
  <c r="T322" i="37"/>
  <c r="V322" i="37"/>
  <c r="Z322" i="37"/>
  <c r="AC322" i="37"/>
  <c r="R322" i="37"/>
  <c r="G322" i="37"/>
  <c r="AD322" i="37"/>
  <c r="AF322" i="37"/>
  <c r="C322" i="37"/>
  <c r="B322" i="37"/>
  <c r="H321" i="37"/>
  <c r="S321" i="37"/>
  <c r="U321" i="37"/>
  <c r="Y321" i="37"/>
  <c r="AA321" i="37"/>
  <c r="AE321" i="37"/>
  <c r="AB321" i="37"/>
  <c r="I321" i="37"/>
  <c r="T321" i="37"/>
  <c r="V321" i="37"/>
  <c r="Z321" i="37"/>
  <c r="AC321" i="37"/>
  <c r="R321" i="37"/>
  <c r="G321" i="37"/>
  <c r="AD321" i="37"/>
  <c r="AF321" i="37"/>
  <c r="C321" i="37"/>
  <c r="B321" i="37"/>
  <c r="H320" i="37"/>
  <c r="S320" i="37"/>
  <c r="U320" i="37"/>
  <c r="Y320" i="37"/>
  <c r="AA320" i="37"/>
  <c r="AE320" i="37"/>
  <c r="AB320" i="37"/>
  <c r="I320" i="37"/>
  <c r="T320" i="37"/>
  <c r="V320" i="37"/>
  <c r="Z320" i="37"/>
  <c r="AC320" i="37"/>
  <c r="R320" i="37"/>
  <c r="G320" i="37"/>
  <c r="AD320" i="37"/>
  <c r="AF320" i="37"/>
  <c r="C320" i="37"/>
  <c r="B320" i="37"/>
  <c r="H319" i="37"/>
  <c r="S319" i="37"/>
  <c r="U319" i="37"/>
  <c r="Y319" i="37"/>
  <c r="AA319" i="37"/>
  <c r="AE319" i="37"/>
  <c r="AB319" i="37"/>
  <c r="I319" i="37"/>
  <c r="T319" i="37"/>
  <c r="V319" i="37"/>
  <c r="Z319" i="37"/>
  <c r="AC319" i="37"/>
  <c r="R319" i="37"/>
  <c r="G319" i="37"/>
  <c r="AD319" i="37"/>
  <c r="AF319" i="37"/>
  <c r="C319" i="37"/>
  <c r="B319" i="37"/>
  <c r="H318" i="37"/>
  <c r="S318" i="37"/>
  <c r="U318" i="37"/>
  <c r="Y318" i="37"/>
  <c r="AA318" i="37"/>
  <c r="AE318" i="37"/>
  <c r="AB318" i="37"/>
  <c r="I318" i="37"/>
  <c r="T318" i="37"/>
  <c r="V318" i="37"/>
  <c r="Z318" i="37"/>
  <c r="AC318" i="37"/>
  <c r="R318" i="37"/>
  <c r="G318" i="37"/>
  <c r="AD318" i="37"/>
  <c r="AF318" i="37"/>
  <c r="C318" i="37"/>
  <c r="B318" i="37"/>
  <c r="H317" i="37"/>
  <c r="S317" i="37"/>
  <c r="U317" i="37"/>
  <c r="Y317" i="37"/>
  <c r="AA317" i="37"/>
  <c r="AE317" i="37"/>
  <c r="AB317" i="37"/>
  <c r="I317" i="37"/>
  <c r="T317" i="37"/>
  <c r="V317" i="37"/>
  <c r="Z317" i="37"/>
  <c r="AC317" i="37"/>
  <c r="R317" i="37"/>
  <c r="G317" i="37"/>
  <c r="AD317" i="37"/>
  <c r="AF317" i="37"/>
  <c r="C317" i="37"/>
  <c r="B317" i="37"/>
  <c r="H316" i="37"/>
  <c r="S316" i="37"/>
  <c r="U316" i="37"/>
  <c r="Y316" i="37"/>
  <c r="AA316" i="37"/>
  <c r="AE316" i="37"/>
  <c r="AB316" i="37"/>
  <c r="T316" i="37"/>
  <c r="V316" i="37"/>
  <c r="Z316" i="37"/>
  <c r="AC316" i="37"/>
  <c r="R316" i="37"/>
  <c r="G316" i="37"/>
  <c r="AD316" i="37"/>
  <c r="AF316" i="37"/>
  <c r="C316" i="37"/>
  <c r="B316" i="37"/>
  <c r="H315" i="37"/>
  <c r="S315" i="37"/>
  <c r="U315" i="37"/>
  <c r="Y315" i="37"/>
  <c r="AA315" i="37"/>
  <c r="AE315" i="37"/>
  <c r="AB315" i="37"/>
  <c r="I315" i="37"/>
  <c r="T315" i="37"/>
  <c r="V315" i="37"/>
  <c r="Z315" i="37"/>
  <c r="AC315" i="37"/>
  <c r="R315" i="37"/>
  <c r="G315" i="37"/>
  <c r="AD315" i="37"/>
  <c r="AF315" i="37"/>
  <c r="C315" i="37"/>
  <c r="B315" i="37"/>
  <c r="H314" i="37"/>
  <c r="S314" i="37"/>
  <c r="U314" i="37"/>
  <c r="Y314" i="37"/>
  <c r="AA314" i="37"/>
  <c r="AE314" i="37"/>
  <c r="AB314" i="37"/>
  <c r="I314" i="37"/>
  <c r="T314" i="37"/>
  <c r="V314" i="37"/>
  <c r="Z314" i="37"/>
  <c r="AC314" i="37"/>
  <c r="R314" i="37"/>
  <c r="G314" i="37"/>
  <c r="AD314" i="37"/>
  <c r="AF314" i="37"/>
  <c r="C314" i="37"/>
  <c r="B314" i="37"/>
  <c r="H313" i="37"/>
  <c r="S313" i="37"/>
  <c r="U313" i="37"/>
  <c r="Y313" i="37"/>
  <c r="AA313" i="37"/>
  <c r="AE313" i="37"/>
  <c r="AB313" i="37"/>
  <c r="I313" i="37"/>
  <c r="T313" i="37"/>
  <c r="V313" i="37"/>
  <c r="Z313" i="37"/>
  <c r="AC313" i="37"/>
  <c r="R313" i="37"/>
  <c r="G313" i="37"/>
  <c r="AD313" i="37"/>
  <c r="AF313" i="37"/>
  <c r="C313" i="37"/>
  <c r="B313" i="37"/>
  <c r="H312" i="37"/>
  <c r="S312" i="37"/>
  <c r="U312" i="37"/>
  <c r="Y312" i="37"/>
  <c r="AA312" i="37"/>
  <c r="AE312" i="37"/>
  <c r="AB312" i="37"/>
  <c r="I312" i="37"/>
  <c r="T312" i="37"/>
  <c r="V312" i="37"/>
  <c r="Z312" i="37"/>
  <c r="AC312" i="37"/>
  <c r="R312" i="37"/>
  <c r="G312" i="37"/>
  <c r="AD312" i="37"/>
  <c r="AF312" i="37"/>
  <c r="C312" i="37"/>
  <c r="B312" i="37"/>
  <c r="H311" i="37"/>
  <c r="S311" i="37"/>
  <c r="U311" i="37"/>
  <c r="Y311" i="37"/>
  <c r="AA311" i="37"/>
  <c r="AE311" i="37"/>
  <c r="AB311" i="37"/>
  <c r="I311" i="37"/>
  <c r="T311" i="37"/>
  <c r="V311" i="37"/>
  <c r="Z311" i="37"/>
  <c r="AC311" i="37"/>
  <c r="R311" i="37"/>
  <c r="G311" i="37"/>
  <c r="AD311" i="37"/>
  <c r="AF311" i="37"/>
  <c r="C311" i="37"/>
  <c r="B311" i="37"/>
  <c r="H310" i="37"/>
  <c r="S310" i="37"/>
  <c r="U310" i="37"/>
  <c r="Y310" i="37"/>
  <c r="AA310" i="37"/>
  <c r="AE310" i="37"/>
  <c r="AB310" i="37"/>
  <c r="I310" i="37"/>
  <c r="T310" i="37"/>
  <c r="V310" i="37"/>
  <c r="Z310" i="37"/>
  <c r="AC310" i="37"/>
  <c r="R310" i="37"/>
  <c r="G310" i="37"/>
  <c r="AD310" i="37"/>
  <c r="AF310" i="37"/>
  <c r="C310" i="37"/>
  <c r="B310" i="37"/>
  <c r="H309" i="37"/>
  <c r="S309" i="37"/>
  <c r="U309" i="37"/>
  <c r="Y309" i="37"/>
  <c r="AA309" i="37"/>
  <c r="AE309" i="37"/>
  <c r="AB309" i="37"/>
  <c r="I309" i="37"/>
  <c r="T309" i="37"/>
  <c r="V309" i="37"/>
  <c r="Z309" i="37"/>
  <c r="AC309" i="37"/>
  <c r="R309" i="37"/>
  <c r="G309" i="37"/>
  <c r="AD309" i="37"/>
  <c r="AF309" i="37"/>
  <c r="C309" i="37"/>
  <c r="B309" i="37"/>
  <c r="H308" i="37"/>
  <c r="S308" i="37"/>
  <c r="U308" i="37"/>
  <c r="Y308" i="37"/>
  <c r="AA308" i="37"/>
  <c r="AE308" i="37"/>
  <c r="AB308" i="37"/>
  <c r="I308" i="37"/>
  <c r="T308" i="37"/>
  <c r="V308" i="37"/>
  <c r="Z308" i="37"/>
  <c r="AC308" i="37"/>
  <c r="R308" i="37"/>
  <c r="G308" i="37"/>
  <c r="AD308" i="37"/>
  <c r="AF308" i="37"/>
  <c r="C308" i="37"/>
  <c r="B308" i="37"/>
  <c r="H307" i="37"/>
  <c r="S307" i="37"/>
  <c r="U307" i="37"/>
  <c r="Y307" i="37"/>
  <c r="AA307" i="37"/>
  <c r="AE307" i="37"/>
  <c r="AB307" i="37"/>
  <c r="I307" i="37"/>
  <c r="T307" i="37"/>
  <c r="V307" i="37"/>
  <c r="Z307" i="37"/>
  <c r="AC307" i="37"/>
  <c r="R307" i="37"/>
  <c r="G307" i="37"/>
  <c r="AD307" i="37"/>
  <c r="AF307" i="37"/>
  <c r="C307" i="37"/>
  <c r="B307" i="37"/>
  <c r="H306" i="37"/>
  <c r="S306" i="37"/>
  <c r="U306" i="37"/>
  <c r="Y306" i="37"/>
  <c r="AA306" i="37"/>
  <c r="AE306" i="37"/>
  <c r="AB306" i="37"/>
  <c r="I306" i="37"/>
  <c r="T306" i="37"/>
  <c r="V306" i="37"/>
  <c r="Z306" i="37"/>
  <c r="AC306" i="37"/>
  <c r="R306" i="37"/>
  <c r="G306" i="37"/>
  <c r="AD306" i="37"/>
  <c r="AF306" i="37"/>
  <c r="C306" i="37"/>
  <c r="B306" i="37"/>
  <c r="H305" i="37"/>
  <c r="S305" i="37"/>
  <c r="U305" i="37"/>
  <c r="Y305" i="37"/>
  <c r="AA305" i="37"/>
  <c r="AE305" i="37"/>
  <c r="AB305" i="37"/>
  <c r="I305" i="37"/>
  <c r="T305" i="37"/>
  <c r="V305" i="37"/>
  <c r="Z305" i="37"/>
  <c r="AC305" i="37"/>
  <c r="R305" i="37"/>
  <c r="G305" i="37"/>
  <c r="AD305" i="37"/>
  <c r="AF305" i="37"/>
  <c r="C305" i="37"/>
  <c r="B305" i="37"/>
  <c r="H304" i="37"/>
  <c r="S304" i="37"/>
  <c r="U304" i="37"/>
  <c r="Y304" i="37"/>
  <c r="AA304" i="37"/>
  <c r="AE304" i="37"/>
  <c r="AB304" i="37"/>
  <c r="I304" i="37"/>
  <c r="T304" i="37"/>
  <c r="V304" i="37"/>
  <c r="Z304" i="37"/>
  <c r="AC304" i="37"/>
  <c r="R304" i="37"/>
  <c r="G304" i="37"/>
  <c r="AD304" i="37"/>
  <c r="AF304" i="37"/>
  <c r="C304" i="37"/>
  <c r="B304" i="37"/>
  <c r="H303" i="37"/>
  <c r="S303" i="37"/>
  <c r="U303" i="37"/>
  <c r="Y303" i="37"/>
  <c r="AA303" i="37"/>
  <c r="AE303" i="37"/>
  <c r="AB303" i="37"/>
  <c r="I303" i="37"/>
  <c r="T303" i="37"/>
  <c r="V303" i="37"/>
  <c r="Z303" i="37"/>
  <c r="AC303" i="37"/>
  <c r="R303" i="37"/>
  <c r="G303" i="37"/>
  <c r="AD303" i="37"/>
  <c r="AF303" i="37"/>
  <c r="C303" i="37"/>
  <c r="B303" i="37"/>
  <c r="H302" i="37"/>
  <c r="S302" i="37"/>
  <c r="U302" i="37"/>
  <c r="Y302" i="37"/>
  <c r="AA302" i="37"/>
  <c r="AE302" i="37"/>
  <c r="AB302" i="37"/>
  <c r="I302" i="37"/>
  <c r="T302" i="37"/>
  <c r="V302" i="37"/>
  <c r="Z302" i="37"/>
  <c r="AC302" i="37"/>
  <c r="R302" i="37"/>
  <c r="G302" i="37"/>
  <c r="AD302" i="37"/>
  <c r="AF302" i="37"/>
  <c r="C302" i="37"/>
  <c r="B302" i="37"/>
  <c r="H301" i="37"/>
  <c r="S301" i="37"/>
  <c r="U301" i="37"/>
  <c r="Y301" i="37"/>
  <c r="AA301" i="37"/>
  <c r="AE301" i="37"/>
  <c r="AB301" i="37"/>
  <c r="I301" i="37"/>
  <c r="T301" i="37"/>
  <c r="V301" i="37"/>
  <c r="Z301" i="37"/>
  <c r="AC301" i="37"/>
  <c r="R301" i="37"/>
  <c r="G301" i="37"/>
  <c r="AD301" i="37"/>
  <c r="AF301" i="37"/>
  <c r="C301" i="37"/>
  <c r="B301" i="37"/>
  <c r="H300" i="37"/>
  <c r="S300" i="37"/>
  <c r="U300" i="37"/>
  <c r="Y300" i="37"/>
  <c r="AA300" i="37"/>
  <c r="AE300" i="37"/>
  <c r="AB300" i="37"/>
  <c r="I300" i="37"/>
  <c r="T300" i="37"/>
  <c r="V300" i="37"/>
  <c r="Z300" i="37"/>
  <c r="AC300" i="37"/>
  <c r="R300" i="37"/>
  <c r="G300" i="37"/>
  <c r="AD300" i="37"/>
  <c r="AF300" i="37"/>
  <c r="C300" i="37"/>
  <c r="B300" i="37"/>
  <c r="H299" i="37"/>
  <c r="S299" i="37"/>
  <c r="U299" i="37"/>
  <c r="Y299" i="37"/>
  <c r="AA299" i="37"/>
  <c r="AE299" i="37"/>
  <c r="AB299" i="37"/>
  <c r="I299" i="37"/>
  <c r="T299" i="37"/>
  <c r="V299" i="37"/>
  <c r="Z299" i="37"/>
  <c r="AC299" i="37"/>
  <c r="R299" i="37"/>
  <c r="G299" i="37"/>
  <c r="AD299" i="37"/>
  <c r="AF299" i="37"/>
  <c r="C299" i="37"/>
  <c r="B299" i="37"/>
  <c r="H298" i="37"/>
  <c r="S298" i="37"/>
  <c r="U298" i="37"/>
  <c r="Y298" i="37"/>
  <c r="AA298" i="37"/>
  <c r="AE298" i="37"/>
  <c r="AB298" i="37"/>
  <c r="I298" i="37"/>
  <c r="T298" i="37"/>
  <c r="V298" i="37"/>
  <c r="Z298" i="37"/>
  <c r="AC298" i="37"/>
  <c r="R298" i="37"/>
  <c r="G298" i="37"/>
  <c r="AD298" i="37"/>
  <c r="AF298" i="37"/>
  <c r="C298" i="37"/>
  <c r="B298" i="37"/>
  <c r="H297" i="37"/>
  <c r="S297" i="37"/>
  <c r="U297" i="37"/>
  <c r="Y297" i="37"/>
  <c r="AA297" i="37"/>
  <c r="AE297" i="37"/>
  <c r="AB297" i="37"/>
  <c r="I297" i="37"/>
  <c r="T297" i="37"/>
  <c r="V297" i="37"/>
  <c r="Z297" i="37"/>
  <c r="AC297" i="37"/>
  <c r="R297" i="37"/>
  <c r="G297" i="37"/>
  <c r="AD297" i="37"/>
  <c r="AF297" i="37"/>
  <c r="C297" i="37"/>
  <c r="B297" i="37"/>
  <c r="H296" i="37"/>
  <c r="S296" i="37"/>
  <c r="U296" i="37"/>
  <c r="Y296" i="37"/>
  <c r="AA296" i="37"/>
  <c r="AE296" i="37"/>
  <c r="AB296" i="37"/>
  <c r="I296" i="37"/>
  <c r="T296" i="37"/>
  <c r="V296" i="37"/>
  <c r="Z296" i="37"/>
  <c r="AC296" i="37"/>
  <c r="R296" i="37"/>
  <c r="G296" i="37"/>
  <c r="AD296" i="37"/>
  <c r="AF296" i="37"/>
  <c r="C296" i="37"/>
  <c r="B296" i="37"/>
  <c r="H295" i="37"/>
  <c r="S295" i="37"/>
  <c r="U295" i="37"/>
  <c r="Y295" i="37"/>
  <c r="AA295" i="37"/>
  <c r="AE295" i="37"/>
  <c r="AB295" i="37"/>
  <c r="I295" i="37"/>
  <c r="T295" i="37"/>
  <c r="V295" i="37"/>
  <c r="Z295" i="37"/>
  <c r="AC295" i="37"/>
  <c r="R295" i="37"/>
  <c r="G295" i="37"/>
  <c r="AD295" i="37"/>
  <c r="AF295" i="37"/>
  <c r="C295" i="37"/>
  <c r="B295" i="37"/>
  <c r="H294" i="37"/>
  <c r="S294" i="37"/>
  <c r="U294" i="37"/>
  <c r="Y294" i="37"/>
  <c r="AA294" i="37"/>
  <c r="AE294" i="37"/>
  <c r="AB294" i="37"/>
  <c r="I294" i="37"/>
  <c r="T294" i="37"/>
  <c r="V294" i="37"/>
  <c r="Z294" i="37"/>
  <c r="AC294" i="37"/>
  <c r="R294" i="37"/>
  <c r="G294" i="37"/>
  <c r="AD294" i="37"/>
  <c r="AF294" i="37"/>
  <c r="C294" i="37"/>
  <c r="B294" i="37"/>
  <c r="H293" i="37"/>
  <c r="S293" i="37"/>
  <c r="U293" i="37"/>
  <c r="Y293" i="37"/>
  <c r="AA293" i="37"/>
  <c r="AE293" i="37"/>
  <c r="AB293" i="37"/>
  <c r="I293" i="37"/>
  <c r="T293" i="37"/>
  <c r="V293" i="37"/>
  <c r="Z293" i="37"/>
  <c r="AC293" i="37"/>
  <c r="R293" i="37"/>
  <c r="G293" i="37"/>
  <c r="AD293" i="37"/>
  <c r="AF293" i="37"/>
  <c r="C293" i="37"/>
  <c r="B293" i="37"/>
  <c r="H292" i="37"/>
  <c r="S292" i="37"/>
  <c r="U292" i="37"/>
  <c r="Y292" i="37"/>
  <c r="AA292" i="37"/>
  <c r="AE292" i="37"/>
  <c r="AB292" i="37"/>
  <c r="I292" i="37"/>
  <c r="T292" i="37"/>
  <c r="V292" i="37"/>
  <c r="Z292" i="37"/>
  <c r="AC292" i="37"/>
  <c r="R292" i="37"/>
  <c r="G292" i="37"/>
  <c r="AD292" i="37"/>
  <c r="AF292" i="37"/>
  <c r="C292" i="37"/>
  <c r="B292" i="37"/>
  <c r="H291" i="37"/>
  <c r="S291" i="37"/>
  <c r="U291" i="37"/>
  <c r="Y291" i="37"/>
  <c r="AA291" i="37"/>
  <c r="AE291" i="37"/>
  <c r="AB291" i="37"/>
  <c r="I291" i="37"/>
  <c r="T291" i="37"/>
  <c r="V291" i="37"/>
  <c r="Z291" i="37"/>
  <c r="AC291" i="37"/>
  <c r="R291" i="37"/>
  <c r="G291" i="37"/>
  <c r="AD291" i="37"/>
  <c r="AF291" i="37"/>
  <c r="C291" i="37"/>
  <c r="B291" i="37"/>
  <c r="H290" i="37"/>
  <c r="S290" i="37"/>
  <c r="U290" i="37"/>
  <c r="Y290" i="37"/>
  <c r="AA290" i="37"/>
  <c r="AE290" i="37"/>
  <c r="AB290" i="37"/>
  <c r="I290" i="37"/>
  <c r="T290" i="37"/>
  <c r="V290" i="37"/>
  <c r="Z290" i="37"/>
  <c r="AC290" i="37"/>
  <c r="R290" i="37"/>
  <c r="G290" i="37"/>
  <c r="AD290" i="37"/>
  <c r="AF290" i="37"/>
  <c r="C290" i="37"/>
  <c r="B290" i="37"/>
  <c r="H289" i="37"/>
  <c r="S289" i="37"/>
  <c r="U289" i="37"/>
  <c r="Y289" i="37"/>
  <c r="AA289" i="37"/>
  <c r="AE289" i="37"/>
  <c r="AB289" i="37"/>
  <c r="I289" i="37"/>
  <c r="T289" i="37"/>
  <c r="V289" i="37"/>
  <c r="Z289" i="37"/>
  <c r="AC289" i="37"/>
  <c r="R289" i="37"/>
  <c r="G289" i="37"/>
  <c r="AD289" i="37"/>
  <c r="AF289" i="37"/>
  <c r="C289" i="37"/>
  <c r="B289" i="37"/>
  <c r="H288" i="37"/>
  <c r="S288" i="37"/>
  <c r="U288" i="37"/>
  <c r="Y288" i="37"/>
  <c r="AA288" i="37"/>
  <c r="AE288" i="37"/>
  <c r="AB288" i="37"/>
  <c r="I288" i="37"/>
  <c r="T288" i="37"/>
  <c r="V288" i="37"/>
  <c r="Z288" i="37"/>
  <c r="AC288" i="37"/>
  <c r="R288" i="37"/>
  <c r="G288" i="37"/>
  <c r="AD288" i="37"/>
  <c r="AF288" i="37"/>
  <c r="C288" i="37"/>
  <c r="B288" i="37"/>
  <c r="H287" i="37"/>
  <c r="S287" i="37"/>
  <c r="U287" i="37"/>
  <c r="Y287" i="37"/>
  <c r="AA287" i="37"/>
  <c r="AE287" i="37"/>
  <c r="AB287" i="37"/>
  <c r="I287" i="37"/>
  <c r="T287" i="37"/>
  <c r="V287" i="37"/>
  <c r="Z287" i="37"/>
  <c r="AC287" i="37"/>
  <c r="R287" i="37"/>
  <c r="G287" i="37"/>
  <c r="AD287" i="37"/>
  <c r="AF287" i="37"/>
  <c r="C287" i="37"/>
  <c r="B287" i="37"/>
  <c r="H286" i="37"/>
  <c r="S286" i="37"/>
  <c r="U286" i="37"/>
  <c r="Y286" i="37"/>
  <c r="AA286" i="37"/>
  <c r="AE286" i="37"/>
  <c r="AB286" i="37"/>
  <c r="I286" i="37"/>
  <c r="T286" i="37"/>
  <c r="V286" i="37"/>
  <c r="Z286" i="37"/>
  <c r="AC286" i="37"/>
  <c r="R286" i="37"/>
  <c r="G286" i="37"/>
  <c r="AD286" i="37"/>
  <c r="AF286" i="37"/>
  <c r="C286" i="37"/>
  <c r="B286" i="37"/>
  <c r="H285" i="37"/>
  <c r="S285" i="37"/>
  <c r="U285" i="37"/>
  <c r="Y285" i="37"/>
  <c r="AA285" i="37"/>
  <c r="AE285" i="37"/>
  <c r="AB285" i="37"/>
  <c r="I285" i="37"/>
  <c r="T285" i="37"/>
  <c r="V285" i="37"/>
  <c r="Z285" i="37"/>
  <c r="AC285" i="37"/>
  <c r="R285" i="37"/>
  <c r="G285" i="37"/>
  <c r="AD285" i="37"/>
  <c r="AF285" i="37"/>
  <c r="C285" i="37"/>
  <c r="B285" i="37"/>
  <c r="H284" i="37"/>
  <c r="S284" i="37"/>
  <c r="U284" i="37"/>
  <c r="Y284" i="37"/>
  <c r="AA284" i="37"/>
  <c r="AE284" i="37"/>
  <c r="AB284" i="37"/>
  <c r="I284" i="37"/>
  <c r="T284" i="37"/>
  <c r="V284" i="37"/>
  <c r="Z284" i="37"/>
  <c r="AC284" i="37"/>
  <c r="R284" i="37"/>
  <c r="G284" i="37"/>
  <c r="AD284" i="37"/>
  <c r="AF284" i="37"/>
  <c r="C284" i="37"/>
  <c r="B284" i="37"/>
  <c r="H283" i="37"/>
  <c r="S283" i="37"/>
  <c r="U283" i="37"/>
  <c r="Y283" i="37"/>
  <c r="AA283" i="37"/>
  <c r="AE283" i="37"/>
  <c r="AB283" i="37"/>
  <c r="I283" i="37"/>
  <c r="T283" i="37"/>
  <c r="V283" i="37"/>
  <c r="Z283" i="37"/>
  <c r="AC283" i="37"/>
  <c r="R283" i="37"/>
  <c r="G283" i="37"/>
  <c r="AD283" i="37"/>
  <c r="AF283" i="37"/>
  <c r="C283" i="37"/>
  <c r="B283" i="37"/>
  <c r="H282" i="37"/>
  <c r="S282" i="37"/>
  <c r="U282" i="37"/>
  <c r="Y282" i="37"/>
  <c r="AA282" i="37"/>
  <c r="AE282" i="37"/>
  <c r="AB282" i="37"/>
  <c r="I282" i="37"/>
  <c r="T282" i="37"/>
  <c r="V282" i="37"/>
  <c r="Z282" i="37"/>
  <c r="AC282" i="37"/>
  <c r="R282" i="37"/>
  <c r="G282" i="37"/>
  <c r="AD282" i="37"/>
  <c r="AF282" i="37"/>
  <c r="C282" i="37"/>
  <c r="B282" i="37"/>
  <c r="H281" i="37"/>
  <c r="S281" i="37"/>
  <c r="U281" i="37"/>
  <c r="Y281" i="37"/>
  <c r="AA281" i="37"/>
  <c r="AE281" i="37"/>
  <c r="AB281" i="37"/>
  <c r="I281" i="37"/>
  <c r="T281" i="37"/>
  <c r="V281" i="37"/>
  <c r="Z281" i="37"/>
  <c r="AC281" i="37"/>
  <c r="R281" i="37"/>
  <c r="G281" i="37"/>
  <c r="AD281" i="37"/>
  <c r="AF281" i="37"/>
  <c r="C281" i="37"/>
  <c r="B281" i="37"/>
  <c r="H280" i="37"/>
  <c r="S280" i="37"/>
  <c r="U280" i="37"/>
  <c r="Y280" i="37"/>
  <c r="AA280" i="37"/>
  <c r="AE280" i="37"/>
  <c r="AB280" i="37"/>
  <c r="I280" i="37"/>
  <c r="T280" i="37"/>
  <c r="V280" i="37"/>
  <c r="Z280" i="37"/>
  <c r="AC280" i="37"/>
  <c r="R280" i="37"/>
  <c r="G280" i="37"/>
  <c r="AD280" i="37"/>
  <c r="AF280" i="37"/>
  <c r="C280" i="37"/>
  <c r="B280" i="37"/>
  <c r="H279" i="37"/>
  <c r="S279" i="37"/>
  <c r="U279" i="37"/>
  <c r="Y279" i="37"/>
  <c r="AA279" i="37"/>
  <c r="AE279" i="37"/>
  <c r="AB279" i="37"/>
  <c r="I279" i="37"/>
  <c r="T279" i="37"/>
  <c r="V279" i="37"/>
  <c r="Z279" i="37"/>
  <c r="AC279" i="37"/>
  <c r="R279" i="37"/>
  <c r="G279" i="37"/>
  <c r="AD279" i="37"/>
  <c r="AF279" i="37"/>
  <c r="C279" i="37"/>
  <c r="B279" i="37"/>
  <c r="H278" i="37"/>
  <c r="S278" i="37"/>
  <c r="U278" i="37"/>
  <c r="Y278" i="37"/>
  <c r="AA278" i="37"/>
  <c r="AE278" i="37"/>
  <c r="AB278" i="37"/>
  <c r="I278" i="37"/>
  <c r="T278" i="37"/>
  <c r="V278" i="37"/>
  <c r="Z278" i="37"/>
  <c r="AC278" i="37"/>
  <c r="R278" i="37"/>
  <c r="G278" i="37"/>
  <c r="AD278" i="37"/>
  <c r="AF278" i="37"/>
  <c r="C278" i="37"/>
  <c r="B278" i="37"/>
  <c r="H277" i="37"/>
  <c r="S277" i="37"/>
  <c r="U277" i="37"/>
  <c r="Y277" i="37"/>
  <c r="AA277" i="37"/>
  <c r="AE277" i="37"/>
  <c r="AB277" i="37"/>
  <c r="I277" i="37"/>
  <c r="T277" i="37"/>
  <c r="V277" i="37"/>
  <c r="Z277" i="37"/>
  <c r="AC277" i="37"/>
  <c r="R277" i="37"/>
  <c r="G277" i="37"/>
  <c r="AD277" i="37"/>
  <c r="AF277" i="37"/>
  <c r="C277" i="37"/>
  <c r="B277" i="37"/>
  <c r="H276" i="37"/>
  <c r="S276" i="37"/>
  <c r="U276" i="37"/>
  <c r="Y276" i="37"/>
  <c r="AA276" i="37"/>
  <c r="AE276" i="37"/>
  <c r="AB276" i="37"/>
  <c r="I276" i="37"/>
  <c r="T276" i="37"/>
  <c r="V276" i="37"/>
  <c r="Z276" i="37"/>
  <c r="AC276" i="37"/>
  <c r="R276" i="37"/>
  <c r="G276" i="37"/>
  <c r="AD276" i="37"/>
  <c r="AF276" i="37"/>
  <c r="C276" i="37"/>
  <c r="B276" i="37"/>
  <c r="H275" i="37"/>
  <c r="S275" i="37"/>
  <c r="U275" i="37"/>
  <c r="Y275" i="37"/>
  <c r="AA275" i="37"/>
  <c r="AE275" i="37"/>
  <c r="AB275" i="37"/>
  <c r="I275" i="37"/>
  <c r="T275" i="37"/>
  <c r="V275" i="37"/>
  <c r="Z275" i="37"/>
  <c r="AC275" i="37"/>
  <c r="R275" i="37"/>
  <c r="G275" i="37"/>
  <c r="AD275" i="37"/>
  <c r="AF275" i="37"/>
  <c r="C275" i="37"/>
  <c r="B275" i="37"/>
  <c r="H274" i="37"/>
  <c r="S274" i="37"/>
  <c r="U274" i="37"/>
  <c r="Y274" i="37"/>
  <c r="AA274" i="37"/>
  <c r="AE274" i="37"/>
  <c r="AB274" i="37"/>
  <c r="I274" i="37"/>
  <c r="T274" i="37"/>
  <c r="V274" i="37"/>
  <c r="Z274" i="37"/>
  <c r="AC274" i="37"/>
  <c r="R274" i="37"/>
  <c r="G274" i="37"/>
  <c r="AD274" i="37"/>
  <c r="AF274" i="37"/>
  <c r="C274" i="37"/>
  <c r="B274" i="37"/>
  <c r="H273" i="37"/>
  <c r="S273" i="37"/>
  <c r="U273" i="37"/>
  <c r="Y273" i="37"/>
  <c r="AA273" i="37"/>
  <c r="AE273" i="37"/>
  <c r="AB273" i="37"/>
  <c r="I273" i="37"/>
  <c r="T273" i="37"/>
  <c r="V273" i="37"/>
  <c r="Z273" i="37"/>
  <c r="AC273" i="37"/>
  <c r="R273" i="37"/>
  <c r="G273" i="37"/>
  <c r="AD273" i="37"/>
  <c r="AF273" i="37"/>
  <c r="C273" i="37"/>
  <c r="B273" i="37"/>
  <c r="H272" i="37"/>
  <c r="S272" i="37"/>
  <c r="U272" i="37"/>
  <c r="Y272" i="37"/>
  <c r="AA272" i="37"/>
  <c r="AE272" i="37"/>
  <c r="AB272" i="37"/>
  <c r="I272" i="37"/>
  <c r="T272" i="37"/>
  <c r="V272" i="37"/>
  <c r="Z272" i="37"/>
  <c r="AC272" i="37"/>
  <c r="R272" i="37"/>
  <c r="G272" i="37"/>
  <c r="AD272" i="37"/>
  <c r="AF272" i="37"/>
  <c r="C272" i="37"/>
  <c r="B272" i="37"/>
  <c r="H271" i="37"/>
  <c r="S271" i="37"/>
  <c r="U271" i="37"/>
  <c r="Y271" i="37"/>
  <c r="AA271" i="37"/>
  <c r="AE271" i="37"/>
  <c r="AB271" i="37"/>
  <c r="I271" i="37"/>
  <c r="T271" i="37"/>
  <c r="V271" i="37"/>
  <c r="Z271" i="37"/>
  <c r="AC271" i="37"/>
  <c r="R271" i="37"/>
  <c r="G271" i="37"/>
  <c r="AD271" i="37"/>
  <c r="AF271" i="37"/>
  <c r="C271" i="37"/>
  <c r="B271" i="37"/>
  <c r="H270" i="37"/>
  <c r="S270" i="37"/>
  <c r="U270" i="37"/>
  <c r="Y270" i="37"/>
  <c r="AA270" i="37"/>
  <c r="AE270" i="37"/>
  <c r="AB270" i="37"/>
  <c r="I270" i="37"/>
  <c r="T270" i="37"/>
  <c r="V270" i="37"/>
  <c r="Z270" i="37"/>
  <c r="AC270" i="37"/>
  <c r="R270" i="37"/>
  <c r="G270" i="37"/>
  <c r="AD270" i="37"/>
  <c r="AF270" i="37"/>
  <c r="C270" i="37"/>
  <c r="B270" i="37"/>
  <c r="H269" i="37"/>
  <c r="S269" i="37"/>
  <c r="U269" i="37"/>
  <c r="Y269" i="37"/>
  <c r="AA269" i="37"/>
  <c r="AE269" i="37"/>
  <c r="AB269" i="37"/>
  <c r="I269" i="37"/>
  <c r="T269" i="37"/>
  <c r="V269" i="37"/>
  <c r="Z269" i="37"/>
  <c r="AC269" i="37"/>
  <c r="R269" i="37"/>
  <c r="G269" i="37"/>
  <c r="AD269" i="37"/>
  <c r="AF269" i="37"/>
  <c r="C269" i="37"/>
  <c r="B269" i="37"/>
  <c r="H268" i="37"/>
  <c r="S268" i="37"/>
  <c r="U268" i="37"/>
  <c r="Y268" i="37"/>
  <c r="AA268" i="37"/>
  <c r="AE268" i="37"/>
  <c r="AB268" i="37"/>
  <c r="I268" i="37"/>
  <c r="T268" i="37"/>
  <c r="V268" i="37"/>
  <c r="Z268" i="37"/>
  <c r="AC268" i="37"/>
  <c r="R268" i="37"/>
  <c r="G268" i="37"/>
  <c r="AD268" i="37"/>
  <c r="AF268" i="37"/>
  <c r="C268" i="37"/>
  <c r="B268" i="37"/>
  <c r="H267" i="37"/>
  <c r="S267" i="37"/>
  <c r="U267" i="37"/>
  <c r="Y267" i="37"/>
  <c r="AA267" i="37"/>
  <c r="AE267" i="37"/>
  <c r="AB267" i="37"/>
  <c r="I267" i="37"/>
  <c r="T267" i="37"/>
  <c r="V267" i="37"/>
  <c r="Z267" i="37"/>
  <c r="AC267" i="37"/>
  <c r="R267" i="37"/>
  <c r="G267" i="37"/>
  <c r="AD267" i="37"/>
  <c r="AF267" i="37"/>
  <c r="C267" i="37"/>
  <c r="B267" i="37"/>
  <c r="H266" i="37"/>
  <c r="S266" i="37"/>
  <c r="U266" i="37"/>
  <c r="Y266" i="37"/>
  <c r="AA266" i="37"/>
  <c r="AE266" i="37"/>
  <c r="AB266" i="37"/>
  <c r="I266" i="37"/>
  <c r="T266" i="37"/>
  <c r="V266" i="37"/>
  <c r="Z266" i="37"/>
  <c r="AC266" i="37"/>
  <c r="R266" i="37"/>
  <c r="G266" i="37"/>
  <c r="AD266" i="37"/>
  <c r="AF266" i="37"/>
  <c r="C266" i="37"/>
  <c r="B266" i="37"/>
  <c r="H265" i="37"/>
  <c r="S265" i="37"/>
  <c r="U265" i="37"/>
  <c r="Y265" i="37"/>
  <c r="AA265" i="37"/>
  <c r="AE265" i="37"/>
  <c r="AB265" i="37"/>
  <c r="I265" i="37"/>
  <c r="T265" i="37"/>
  <c r="V265" i="37"/>
  <c r="Z265" i="37"/>
  <c r="AC265" i="37"/>
  <c r="R265" i="37"/>
  <c r="G265" i="37"/>
  <c r="AD265" i="37"/>
  <c r="AF265" i="37"/>
  <c r="C265" i="37"/>
  <c r="B265" i="37"/>
  <c r="H264" i="37"/>
  <c r="S264" i="37"/>
  <c r="U264" i="37"/>
  <c r="Y264" i="37"/>
  <c r="AA264" i="37"/>
  <c r="AE264" i="37"/>
  <c r="AB264" i="37"/>
  <c r="I264" i="37"/>
  <c r="T264" i="37"/>
  <c r="V264" i="37"/>
  <c r="Z264" i="37"/>
  <c r="AC264" i="37"/>
  <c r="R264" i="37"/>
  <c r="G264" i="37"/>
  <c r="AD264" i="37"/>
  <c r="AF264" i="37"/>
  <c r="C264" i="37"/>
  <c r="B264" i="37"/>
  <c r="H263" i="37"/>
  <c r="S263" i="37"/>
  <c r="U263" i="37"/>
  <c r="Y263" i="37"/>
  <c r="AA263" i="37"/>
  <c r="AE263" i="37"/>
  <c r="AB263" i="37"/>
  <c r="I263" i="37"/>
  <c r="T263" i="37"/>
  <c r="V263" i="37"/>
  <c r="Z263" i="37"/>
  <c r="AC263" i="37"/>
  <c r="R263" i="37"/>
  <c r="G263" i="37"/>
  <c r="AD263" i="37"/>
  <c r="AF263" i="37"/>
  <c r="C263" i="37"/>
  <c r="B263" i="37"/>
  <c r="H262" i="37"/>
  <c r="S262" i="37"/>
  <c r="U262" i="37"/>
  <c r="Y262" i="37"/>
  <c r="AA262" i="37"/>
  <c r="AE262" i="37"/>
  <c r="AB262" i="37"/>
  <c r="I262" i="37"/>
  <c r="T262" i="37"/>
  <c r="V262" i="37"/>
  <c r="Z262" i="37"/>
  <c r="AC262" i="37"/>
  <c r="R262" i="37"/>
  <c r="G262" i="37"/>
  <c r="AD262" i="37"/>
  <c r="AF262" i="37"/>
  <c r="C262" i="37"/>
  <c r="B262" i="37"/>
  <c r="H261" i="37"/>
  <c r="S261" i="37"/>
  <c r="U261" i="37"/>
  <c r="Y261" i="37"/>
  <c r="AA261" i="37"/>
  <c r="AE261" i="37"/>
  <c r="AB261" i="37"/>
  <c r="I261" i="37"/>
  <c r="T261" i="37"/>
  <c r="V261" i="37"/>
  <c r="Z261" i="37"/>
  <c r="AC261" i="37"/>
  <c r="R261" i="37"/>
  <c r="G261" i="37"/>
  <c r="AD261" i="37"/>
  <c r="AF261" i="37"/>
  <c r="C261" i="37"/>
  <c r="B261" i="37"/>
  <c r="H260" i="37"/>
  <c r="S260" i="37"/>
  <c r="U260" i="37"/>
  <c r="Y260" i="37"/>
  <c r="AA260" i="37"/>
  <c r="AE260" i="37"/>
  <c r="AB260" i="37"/>
  <c r="I260" i="37"/>
  <c r="T260" i="37"/>
  <c r="V260" i="37"/>
  <c r="Z260" i="37"/>
  <c r="AC260" i="37"/>
  <c r="R260" i="37"/>
  <c r="G260" i="37"/>
  <c r="AD260" i="37"/>
  <c r="AF260" i="37"/>
  <c r="C260" i="37"/>
  <c r="B260" i="37"/>
  <c r="H259" i="37"/>
  <c r="S259" i="37"/>
  <c r="U259" i="37"/>
  <c r="Y259" i="37"/>
  <c r="AA259" i="37"/>
  <c r="AE259" i="37"/>
  <c r="AB259" i="37"/>
  <c r="I259" i="37"/>
  <c r="T259" i="37"/>
  <c r="V259" i="37"/>
  <c r="Z259" i="37"/>
  <c r="AC259" i="37"/>
  <c r="R259" i="37"/>
  <c r="G259" i="37"/>
  <c r="AD259" i="37"/>
  <c r="AF259" i="37"/>
  <c r="C259" i="37"/>
  <c r="B259" i="37"/>
  <c r="H258" i="37"/>
  <c r="S258" i="37"/>
  <c r="U258" i="37"/>
  <c r="Y258" i="37"/>
  <c r="AA258" i="37"/>
  <c r="AE258" i="37"/>
  <c r="AB258" i="37"/>
  <c r="I258" i="37"/>
  <c r="T258" i="37"/>
  <c r="V258" i="37"/>
  <c r="Z258" i="37"/>
  <c r="AC258" i="37"/>
  <c r="R258" i="37"/>
  <c r="G258" i="37"/>
  <c r="AD258" i="37"/>
  <c r="AF258" i="37"/>
  <c r="C258" i="37"/>
  <c r="B258" i="37"/>
  <c r="H257" i="37"/>
  <c r="S257" i="37"/>
  <c r="U257" i="37"/>
  <c r="Y257" i="37"/>
  <c r="AA257" i="37"/>
  <c r="AE257" i="37"/>
  <c r="AB257" i="37"/>
  <c r="I257" i="37"/>
  <c r="T257" i="37"/>
  <c r="V257" i="37"/>
  <c r="Z257" i="37"/>
  <c r="AC257" i="37"/>
  <c r="R257" i="37"/>
  <c r="G257" i="37"/>
  <c r="AD257" i="37"/>
  <c r="AF257" i="37"/>
  <c r="C257" i="37"/>
  <c r="B257" i="37"/>
  <c r="H256" i="37"/>
  <c r="S256" i="37"/>
  <c r="U256" i="37"/>
  <c r="Y256" i="37"/>
  <c r="AA256" i="37"/>
  <c r="AE256" i="37"/>
  <c r="AB256" i="37"/>
  <c r="I256" i="37"/>
  <c r="T256" i="37"/>
  <c r="V256" i="37"/>
  <c r="Z256" i="37"/>
  <c r="AC256" i="37"/>
  <c r="R256" i="37"/>
  <c r="G256" i="37"/>
  <c r="AD256" i="37"/>
  <c r="AF256" i="37"/>
  <c r="C256" i="37"/>
  <c r="B256" i="37"/>
  <c r="H255" i="37"/>
  <c r="S255" i="37"/>
  <c r="U255" i="37"/>
  <c r="Y255" i="37"/>
  <c r="AA255" i="37"/>
  <c r="AE255" i="37"/>
  <c r="AB255" i="37"/>
  <c r="I255" i="37"/>
  <c r="T255" i="37"/>
  <c r="V255" i="37"/>
  <c r="Z255" i="37"/>
  <c r="AC255" i="37"/>
  <c r="R255" i="37"/>
  <c r="G255" i="37"/>
  <c r="AD255" i="37"/>
  <c r="AF255" i="37"/>
  <c r="C255" i="37"/>
  <c r="B255" i="37"/>
  <c r="H254" i="37"/>
  <c r="S254" i="37"/>
  <c r="U254" i="37"/>
  <c r="Y254" i="37"/>
  <c r="AA254" i="37"/>
  <c r="AE254" i="37"/>
  <c r="AB254" i="37"/>
  <c r="I254" i="37"/>
  <c r="T254" i="37"/>
  <c r="V254" i="37"/>
  <c r="Z254" i="37"/>
  <c r="AC254" i="37"/>
  <c r="R254" i="37"/>
  <c r="G254" i="37"/>
  <c r="AD254" i="37"/>
  <c r="AF254" i="37"/>
  <c r="C254" i="37"/>
  <c r="B254" i="37"/>
  <c r="H253" i="37"/>
  <c r="S253" i="37"/>
  <c r="U253" i="37"/>
  <c r="Y253" i="37"/>
  <c r="AA253" i="37"/>
  <c r="AE253" i="37"/>
  <c r="AB253" i="37"/>
  <c r="I253" i="37"/>
  <c r="T253" i="37"/>
  <c r="V253" i="37"/>
  <c r="Z253" i="37"/>
  <c r="AC253" i="37"/>
  <c r="R253" i="37"/>
  <c r="G253" i="37"/>
  <c r="AD253" i="37"/>
  <c r="AF253" i="37"/>
  <c r="C253" i="37"/>
  <c r="B253" i="37"/>
  <c r="H252" i="37"/>
  <c r="S252" i="37"/>
  <c r="U252" i="37"/>
  <c r="Y252" i="37"/>
  <c r="AA252" i="37"/>
  <c r="AE252" i="37"/>
  <c r="AB252" i="37"/>
  <c r="I252" i="37"/>
  <c r="T252" i="37"/>
  <c r="V252" i="37"/>
  <c r="Z252" i="37"/>
  <c r="AC252" i="37"/>
  <c r="R252" i="37"/>
  <c r="G252" i="37"/>
  <c r="AD252" i="37"/>
  <c r="AF252" i="37"/>
  <c r="C252" i="37"/>
  <c r="B252" i="37"/>
  <c r="H251" i="37"/>
  <c r="S251" i="37"/>
  <c r="U251" i="37"/>
  <c r="Y251" i="37"/>
  <c r="AA251" i="37"/>
  <c r="AE251" i="37"/>
  <c r="AB251" i="37"/>
  <c r="I251" i="37"/>
  <c r="T251" i="37"/>
  <c r="V251" i="37"/>
  <c r="Z251" i="37"/>
  <c r="AC251" i="37"/>
  <c r="R251" i="37"/>
  <c r="G251" i="37"/>
  <c r="AD251" i="37"/>
  <c r="AF251" i="37"/>
  <c r="C251" i="37"/>
  <c r="B251" i="37"/>
  <c r="H250" i="37"/>
  <c r="S250" i="37"/>
  <c r="U250" i="37"/>
  <c r="Y250" i="37"/>
  <c r="AA250" i="37"/>
  <c r="AE250" i="37"/>
  <c r="AB250" i="37"/>
  <c r="I250" i="37"/>
  <c r="T250" i="37"/>
  <c r="V250" i="37"/>
  <c r="Z250" i="37"/>
  <c r="AC250" i="37"/>
  <c r="R250" i="37"/>
  <c r="G250" i="37"/>
  <c r="AD250" i="37"/>
  <c r="AF250" i="37"/>
  <c r="C250" i="37"/>
  <c r="B250" i="37"/>
  <c r="H249" i="37"/>
  <c r="S249" i="37"/>
  <c r="U249" i="37"/>
  <c r="Y249" i="37"/>
  <c r="AA249" i="37"/>
  <c r="AE249" i="37"/>
  <c r="AB249" i="37"/>
  <c r="I249" i="37"/>
  <c r="T249" i="37"/>
  <c r="V249" i="37"/>
  <c r="Z249" i="37"/>
  <c r="AC249" i="37"/>
  <c r="R249" i="37"/>
  <c r="G249" i="37"/>
  <c r="AD249" i="37"/>
  <c r="AF249" i="37"/>
  <c r="C249" i="37"/>
  <c r="B249" i="37"/>
  <c r="H248" i="37"/>
  <c r="S248" i="37"/>
  <c r="U248" i="37"/>
  <c r="Y248" i="37"/>
  <c r="AA248" i="37"/>
  <c r="AE248" i="37"/>
  <c r="AB248" i="37"/>
  <c r="I248" i="37"/>
  <c r="T248" i="37"/>
  <c r="V248" i="37"/>
  <c r="Z248" i="37"/>
  <c r="AC248" i="37"/>
  <c r="R248" i="37"/>
  <c r="G248" i="37"/>
  <c r="AD248" i="37"/>
  <c r="AF248" i="37"/>
  <c r="C248" i="37"/>
  <c r="B248" i="37"/>
  <c r="H247" i="37"/>
  <c r="S247" i="37"/>
  <c r="U247" i="37"/>
  <c r="Y247" i="37"/>
  <c r="AA247" i="37"/>
  <c r="AE247" i="37"/>
  <c r="AB247" i="37"/>
  <c r="I247" i="37"/>
  <c r="T247" i="37"/>
  <c r="V247" i="37"/>
  <c r="Z247" i="37"/>
  <c r="AC247" i="37"/>
  <c r="R247" i="37"/>
  <c r="G247" i="37"/>
  <c r="AD247" i="37"/>
  <c r="AF247" i="37"/>
  <c r="C247" i="37"/>
  <c r="B247" i="37"/>
  <c r="H246" i="37"/>
  <c r="S246" i="37"/>
  <c r="U246" i="37"/>
  <c r="Y246" i="37"/>
  <c r="AA246" i="37"/>
  <c r="AE246" i="37"/>
  <c r="AB246" i="37"/>
  <c r="I246" i="37"/>
  <c r="T246" i="37"/>
  <c r="V246" i="37"/>
  <c r="Z246" i="37"/>
  <c r="AC246" i="37"/>
  <c r="R246" i="37"/>
  <c r="G246" i="37"/>
  <c r="AD246" i="37"/>
  <c r="AF246" i="37"/>
  <c r="C246" i="37"/>
  <c r="B246" i="37"/>
  <c r="H245" i="37"/>
  <c r="S245" i="37"/>
  <c r="U245" i="37"/>
  <c r="Y245" i="37"/>
  <c r="AA245" i="37"/>
  <c r="AE245" i="37"/>
  <c r="AB245" i="37"/>
  <c r="I245" i="37"/>
  <c r="T245" i="37"/>
  <c r="V245" i="37"/>
  <c r="Z245" i="37"/>
  <c r="AC245" i="37"/>
  <c r="R245" i="37"/>
  <c r="G245" i="37"/>
  <c r="AD245" i="37"/>
  <c r="AF245" i="37"/>
  <c r="C245" i="37"/>
  <c r="B245" i="37"/>
  <c r="H244" i="37"/>
  <c r="S244" i="37"/>
  <c r="U244" i="37"/>
  <c r="Y244" i="37"/>
  <c r="AA244" i="37"/>
  <c r="AE244" i="37"/>
  <c r="AB244" i="37"/>
  <c r="I244" i="37"/>
  <c r="T244" i="37"/>
  <c r="V244" i="37"/>
  <c r="Z244" i="37"/>
  <c r="AC244" i="37"/>
  <c r="R244" i="37"/>
  <c r="G244" i="37"/>
  <c r="AD244" i="37"/>
  <c r="AF244" i="37"/>
  <c r="C244" i="37"/>
  <c r="B244" i="37"/>
  <c r="H243" i="37"/>
  <c r="S243" i="37"/>
  <c r="U243" i="37"/>
  <c r="Y243" i="37"/>
  <c r="AA243" i="37"/>
  <c r="AE243" i="37"/>
  <c r="AB243" i="37"/>
  <c r="I243" i="37"/>
  <c r="T243" i="37"/>
  <c r="V243" i="37"/>
  <c r="Z243" i="37"/>
  <c r="AC243" i="37"/>
  <c r="R243" i="37"/>
  <c r="G243" i="37"/>
  <c r="AD243" i="37"/>
  <c r="AF243" i="37"/>
  <c r="C243" i="37"/>
  <c r="B243" i="37"/>
  <c r="H242" i="37"/>
  <c r="S242" i="37"/>
  <c r="U242" i="37"/>
  <c r="Y242" i="37"/>
  <c r="AA242" i="37"/>
  <c r="AE242" i="37"/>
  <c r="AB242" i="37"/>
  <c r="I242" i="37"/>
  <c r="T242" i="37"/>
  <c r="V242" i="37"/>
  <c r="Z242" i="37"/>
  <c r="AC242" i="37"/>
  <c r="R242" i="37"/>
  <c r="G242" i="37"/>
  <c r="AD242" i="37"/>
  <c r="AF242" i="37"/>
  <c r="C242" i="37"/>
  <c r="B242" i="37"/>
  <c r="H241" i="37"/>
  <c r="S241" i="37"/>
  <c r="U241" i="37"/>
  <c r="Y241" i="37"/>
  <c r="AA241" i="37"/>
  <c r="AE241" i="37"/>
  <c r="AB241" i="37"/>
  <c r="I241" i="37"/>
  <c r="T241" i="37"/>
  <c r="V241" i="37"/>
  <c r="Z241" i="37"/>
  <c r="AC241" i="37"/>
  <c r="R241" i="37"/>
  <c r="G241" i="37"/>
  <c r="AD241" i="37"/>
  <c r="AF241" i="37"/>
  <c r="C241" i="37"/>
  <c r="B241" i="37"/>
  <c r="H240" i="37"/>
  <c r="S240" i="37"/>
  <c r="U240" i="37"/>
  <c r="Y240" i="37"/>
  <c r="AA240" i="37"/>
  <c r="AE240" i="37"/>
  <c r="AB240" i="37"/>
  <c r="I240" i="37"/>
  <c r="T240" i="37"/>
  <c r="V240" i="37"/>
  <c r="Z240" i="37"/>
  <c r="AC240" i="37"/>
  <c r="R240" i="37"/>
  <c r="G240" i="37"/>
  <c r="AD240" i="37"/>
  <c r="AF240" i="37"/>
  <c r="C240" i="37"/>
  <c r="B240" i="37"/>
  <c r="H239" i="37"/>
  <c r="S239" i="37"/>
  <c r="U239" i="37"/>
  <c r="Y239" i="37"/>
  <c r="AA239" i="37"/>
  <c r="AE239" i="37"/>
  <c r="AB239" i="37"/>
  <c r="I239" i="37"/>
  <c r="T239" i="37"/>
  <c r="V239" i="37"/>
  <c r="Z239" i="37"/>
  <c r="AC239" i="37"/>
  <c r="R239" i="37"/>
  <c r="G239" i="37"/>
  <c r="AD239" i="37"/>
  <c r="AF239" i="37"/>
  <c r="C239" i="37"/>
  <c r="B239" i="37"/>
  <c r="H238" i="37"/>
  <c r="S238" i="37"/>
  <c r="U238" i="37"/>
  <c r="Y238" i="37"/>
  <c r="AA238" i="37"/>
  <c r="AE238" i="37"/>
  <c r="AB238" i="37"/>
  <c r="I238" i="37"/>
  <c r="T238" i="37"/>
  <c r="V238" i="37"/>
  <c r="Z238" i="37"/>
  <c r="AC238" i="37"/>
  <c r="R238" i="37"/>
  <c r="G238" i="37"/>
  <c r="AD238" i="37"/>
  <c r="AF238" i="37"/>
  <c r="C238" i="37"/>
  <c r="B238" i="37"/>
  <c r="H237" i="37"/>
  <c r="S237" i="37"/>
  <c r="U237" i="37"/>
  <c r="Y237" i="37"/>
  <c r="AA237" i="37"/>
  <c r="AE237" i="37"/>
  <c r="AB237" i="37"/>
  <c r="I237" i="37"/>
  <c r="T237" i="37"/>
  <c r="V237" i="37"/>
  <c r="Z237" i="37"/>
  <c r="AC237" i="37"/>
  <c r="R237" i="37"/>
  <c r="G237" i="37"/>
  <c r="AD237" i="37"/>
  <c r="AF237" i="37"/>
  <c r="C237" i="37"/>
  <c r="B237" i="37"/>
  <c r="H236" i="37"/>
  <c r="S236" i="37"/>
  <c r="U236" i="37"/>
  <c r="Y236" i="37"/>
  <c r="AA236" i="37"/>
  <c r="AE236" i="37"/>
  <c r="AB236" i="37"/>
  <c r="I236" i="37"/>
  <c r="T236" i="37"/>
  <c r="V236" i="37"/>
  <c r="Z236" i="37"/>
  <c r="AC236" i="37"/>
  <c r="R236" i="37"/>
  <c r="G236" i="37"/>
  <c r="AD236" i="37"/>
  <c r="AF236" i="37"/>
  <c r="C236" i="37"/>
  <c r="B236" i="37"/>
  <c r="H235" i="37"/>
  <c r="S235" i="37"/>
  <c r="U235" i="37"/>
  <c r="Y235" i="37"/>
  <c r="AA235" i="37"/>
  <c r="AE235" i="37"/>
  <c r="AB235" i="37"/>
  <c r="I235" i="37"/>
  <c r="T235" i="37"/>
  <c r="V235" i="37"/>
  <c r="Z235" i="37"/>
  <c r="AC235" i="37"/>
  <c r="R235" i="37"/>
  <c r="G235" i="37"/>
  <c r="AD235" i="37"/>
  <c r="AF235" i="37"/>
  <c r="C235" i="37"/>
  <c r="B235" i="37"/>
  <c r="H234" i="37"/>
  <c r="S234" i="37"/>
  <c r="U234" i="37"/>
  <c r="Y234" i="37"/>
  <c r="AA234" i="37"/>
  <c r="AE234" i="37"/>
  <c r="AB234" i="37"/>
  <c r="I234" i="37"/>
  <c r="T234" i="37"/>
  <c r="V234" i="37"/>
  <c r="Z234" i="37"/>
  <c r="AC234" i="37"/>
  <c r="R234" i="37"/>
  <c r="G234" i="37"/>
  <c r="AD234" i="37"/>
  <c r="AF234" i="37"/>
  <c r="C234" i="37"/>
  <c r="B234" i="37"/>
  <c r="H233" i="37"/>
  <c r="S233" i="37"/>
  <c r="U233" i="37"/>
  <c r="Y233" i="37"/>
  <c r="AA233" i="37"/>
  <c r="AE233" i="37"/>
  <c r="AB233" i="37"/>
  <c r="I233" i="37"/>
  <c r="T233" i="37"/>
  <c r="V233" i="37"/>
  <c r="Z233" i="37"/>
  <c r="AC233" i="37"/>
  <c r="R233" i="37"/>
  <c r="G233" i="37"/>
  <c r="AD233" i="37"/>
  <c r="AF233" i="37"/>
  <c r="C233" i="37"/>
  <c r="B233" i="37"/>
  <c r="H232" i="37"/>
  <c r="S232" i="37"/>
  <c r="U232" i="37"/>
  <c r="Y232" i="37"/>
  <c r="AA232" i="37"/>
  <c r="AE232" i="37"/>
  <c r="AB232" i="37"/>
  <c r="I232" i="37"/>
  <c r="T232" i="37"/>
  <c r="V232" i="37"/>
  <c r="Z232" i="37"/>
  <c r="AC232" i="37"/>
  <c r="R232" i="37"/>
  <c r="G232" i="37"/>
  <c r="AD232" i="37"/>
  <c r="AF232" i="37"/>
  <c r="C232" i="37"/>
  <c r="B232" i="37"/>
  <c r="H231" i="37"/>
  <c r="S231" i="37"/>
  <c r="U231" i="37"/>
  <c r="Y231" i="37"/>
  <c r="AA231" i="37"/>
  <c r="AE231" i="37"/>
  <c r="AB231" i="37"/>
  <c r="I231" i="37"/>
  <c r="T231" i="37"/>
  <c r="V231" i="37"/>
  <c r="Z231" i="37"/>
  <c r="AC231" i="37"/>
  <c r="R231" i="37"/>
  <c r="G231" i="37"/>
  <c r="AD231" i="37"/>
  <c r="AF231" i="37"/>
  <c r="C231" i="37"/>
  <c r="B231" i="37"/>
  <c r="H230" i="37"/>
  <c r="S230" i="37"/>
  <c r="U230" i="37"/>
  <c r="Y230" i="37"/>
  <c r="AA230" i="37"/>
  <c r="AE230" i="37"/>
  <c r="AB230" i="37"/>
  <c r="I230" i="37"/>
  <c r="T230" i="37"/>
  <c r="V230" i="37"/>
  <c r="Z230" i="37"/>
  <c r="AC230" i="37"/>
  <c r="R230" i="37"/>
  <c r="G230" i="37"/>
  <c r="AD230" i="37"/>
  <c r="AF230" i="37"/>
  <c r="C230" i="37"/>
  <c r="B230" i="37"/>
  <c r="H229" i="37"/>
  <c r="S229" i="37"/>
  <c r="U229" i="37"/>
  <c r="Y229" i="37"/>
  <c r="AA229" i="37"/>
  <c r="AE229" i="37"/>
  <c r="AB229" i="37"/>
  <c r="I229" i="37"/>
  <c r="T229" i="37"/>
  <c r="V229" i="37"/>
  <c r="Z229" i="37"/>
  <c r="AC229" i="37"/>
  <c r="R229" i="37"/>
  <c r="G229" i="37"/>
  <c r="AD229" i="37"/>
  <c r="AF229" i="37"/>
  <c r="C229" i="37"/>
  <c r="B229" i="37"/>
  <c r="H228" i="37"/>
  <c r="S228" i="37"/>
  <c r="U228" i="37"/>
  <c r="Y228" i="37"/>
  <c r="AA228" i="37"/>
  <c r="AE228" i="37"/>
  <c r="AB228" i="37"/>
  <c r="I228" i="37"/>
  <c r="T228" i="37"/>
  <c r="V228" i="37"/>
  <c r="Z228" i="37"/>
  <c r="AC228" i="37"/>
  <c r="R228" i="37"/>
  <c r="G228" i="37"/>
  <c r="AD228" i="37"/>
  <c r="AF228" i="37"/>
  <c r="C228" i="37"/>
  <c r="B228" i="37"/>
  <c r="H227" i="37"/>
  <c r="S227" i="37"/>
  <c r="U227" i="37"/>
  <c r="Y227" i="37"/>
  <c r="AA227" i="37"/>
  <c r="AE227" i="37"/>
  <c r="AB227" i="37"/>
  <c r="I227" i="37"/>
  <c r="T227" i="37"/>
  <c r="V227" i="37"/>
  <c r="Z227" i="37"/>
  <c r="AC227" i="37"/>
  <c r="R227" i="37"/>
  <c r="G227" i="37"/>
  <c r="AD227" i="37"/>
  <c r="AF227" i="37"/>
  <c r="C227" i="37"/>
  <c r="B227" i="37"/>
  <c r="H226" i="37"/>
  <c r="S226" i="37"/>
  <c r="U226" i="37"/>
  <c r="Y226" i="37"/>
  <c r="AA226" i="37"/>
  <c r="AE226" i="37"/>
  <c r="AB226" i="37"/>
  <c r="I226" i="37"/>
  <c r="T226" i="37"/>
  <c r="V226" i="37"/>
  <c r="Z226" i="37"/>
  <c r="AC226" i="37"/>
  <c r="R226" i="37"/>
  <c r="G226" i="37"/>
  <c r="AD226" i="37"/>
  <c r="AF226" i="37"/>
  <c r="C226" i="37"/>
  <c r="B226" i="37"/>
  <c r="H225" i="37"/>
  <c r="S225" i="37"/>
  <c r="U225" i="37"/>
  <c r="Y225" i="37"/>
  <c r="AA225" i="37"/>
  <c r="AE225" i="37"/>
  <c r="AB225" i="37"/>
  <c r="I225" i="37"/>
  <c r="T225" i="37"/>
  <c r="V225" i="37"/>
  <c r="Z225" i="37"/>
  <c r="AC225" i="37"/>
  <c r="R225" i="37"/>
  <c r="G225" i="37"/>
  <c r="AD225" i="37"/>
  <c r="AF225" i="37"/>
  <c r="C225" i="37"/>
  <c r="B225" i="37"/>
  <c r="H224" i="37"/>
  <c r="S224" i="37"/>
  <c r="U224" i="37"/>
  <c r="Y224" i="37"/>
  <c r="AA224" i="37"/>
  <c r="AE224" i="37"/>
  <c r="AB224" i="37"/>
  <c r="I224" i="37"/>
  <c r="T224" i="37"/>
  <c r="V224" i="37"/>
  <c r="Z224" i="37"/>
  <c r="AC224" i="37"/>
  <c r="R224" i="37"/>
  <c r="G224" i="37"/>
  <c r="AD224" i="37"/>
  <c r="AF224" i="37"/>
  <c r="C224" i="37"/>
  <c r="B224" i="37"/>
  <c r="H223" i="37"/>
  <c r="S223" i="37"/>
  <c r="U223" i="37"/>
  <c r="Y223" i="37"/>
  <c r="AA223" i="37"/>
  <c r="AE223" i="37"/>
  <c r="AB223" i="37"/>
  <c r="I223" i="37"/>
  <c r="T223" i="37"/>
  <c r="V223" i="37"/>
  <c r="Z223" i="37"/>
  <c r="AC223" i="37"/>
  <c r="R223" i="37"/>
  <c r="G223" i="37"/>
  <c r="AD223" i="37"/>
  <c r="AF223" i="37"/>
  <c r="C223" i="37"/>
  <c r="B223" i="37"/>
  <c r="H222" i="37"/>
  <c r="S222" i="37"/>
  <c r="U222" i="37"/>
  <c r="Y222" i="37"/>
  <c r="AA222" i="37"/>
  <c r="AE222" i="37"/>
  <c r="AB222" i="37"/>
  <c r="I222" i="37"/>
  <c r="T222" i="37"/>
  <c r="V222" i="37"/>
  <c r="Z222" i="37"/>
  <c r="AC222" i="37"/>
  <c r="R222" i="37"/>
  <c r="G222" i="37"/>
  <c r="AD222" i="37"/>
  <c r="AF222" i="37"/>
  <c r="C222" i="37"/>
  <c r="B222" i="37"/>
  <c r="H221" i="37"/>
  <c r="S221" i="37"/>
  <c r="U221" i="37"/>
  <c r="Y221" i="37"/>
  <c r="AA221" i="37"/>
  <c r="AE221" i="37"/>
  <c r="AB221" i="37"/>
  <c r="I221" i="37"/>
  <c r="T221" i="37"/>
  <c r="V221" i="37"/>
  <c r="Z221" i="37"/>
  <c r="AC221" i="37"/>
  <c r="R221" i="37"/>
  <c r="G221" i="37"/>
  <c r="AD221" i="37"/>
  <c r="AF221" i="37"/>
  <c r="C221" i="37"/>
  <c r="B221" i="37"/>
  <c r="H220" i="37"/>
  <c r="S220" i="37"/>
  <c r="U220" i="37"/>
  <c r="Y220" i="37"/>
  <c r="AA220" i="37"/>
  <c r="AE220" i="37"/>
  <c r="AB220" i="37"/>
  <c r="I220" i="37"/>
  <c r="T220" i="37"/>
  <c r="V220" i="37"/>
  <c r="Z220" i="37"/>
  <c r="AC220" i="37"/>
  <c r="R220" i="37"/>
  <c r="G220" i="37"/>
  <c r="AD220" i="37"/>
  <c r="AF220" i="37"/>
  <c r="C220" i="37"/>
  <c r="B220" i="37"/>
  <c r="H219" i="37"/>
  <c r="S219" i="37"/>
  <c r="U219" i="37"/>
  <c r="Y219" i="37"/>
  <c r="AA219" i="37"/>
  <c r="AE219" i="37"/>
  <c r="AB219" i="37"/>
  <c r="I219" i="37"/>
  <c r="T219" i="37"/>
  <c r="V219" i="37"/>
  <c r="Z219" i="37"/>
  <c r="AC219" i="37"/>
  <c r="R219" i="37"/>
  <c r="G219" i="37"/>
  <c r="AD219" i="37"/>
  <c r="AF219" i="37"/>
  <c r="C219" i="37"/>
  <c r="B219" i="37"/>
  <c r="H218" i="37"/>
  <c r="S218" i="37"/>
  <c r="U218" i="37"/>
  <c r="Y218" i="37"/>
  <c r="AA218" i="37"/>
  <c r="AE218" i="37"/>
  <c r="AB218" i="37"/>
  <c r="I218" i="37"/>
  <c r="T218" i="37"/>
  <c r="V218" i="37"/>
  <c r="Z218" i="37"/>
  <c r="AC218" i="37"/>
  <c r="R218" i="37"/>
  <c r="G218" i="37"/>
  <c r="AD218" i="37"/>
  <c r="AF218" i="37"/>
  <c r="C218" i="37"/>
  <c r="B218" i="37"/>
  <c r="H217" i="37"/>
  <c r="S217" i="37"/>
  <c r="U217" i="37"/>
  <c r="Y217" i="37"/>
  <c r="AA217" i="37"/>
  <c r="AE217" i="37"/>
  <c r="AB217" i="37"/>
  <c r="I217" i="37"/>
  <c r="T217" i="37"/>
  <c r="V217" i="37"/>
  <c r="Z217" i="37"/>
  <c r="AC217" i="37"/>
  <c r="R217" i="37"/>
  <c r="G217" i="37"/>
  <c r="AD217" i="37"/>
  <c r="AF217" i="37"/>
  <c r="C217" i="37"/>
  <c r="B217" i="37"/>
  <c r="H216" i="37"/>
  <c r="S216" i="37"/>
  <c r="U216" i="37"/>
  <c r="Y216" i="37"/>
  <c r="AA216" i="37"/>
  <c r="AE216" i="37"/>
  <c r="AB216" i="37"/>
  <c r="I216" i="37"/>
  <c r="T216" i="37"/>
  <c r="V216" i="37"/>
  <c r="Z216" i="37"/>
  <c r="AC216" i="37"/>
  <c r="R216" i="37"/>
  <c r="G216" i="37"/>
  <c r="AD216" i="37"/>
  <c r="AF216" i="37"/>
  <c r="C216" i="37"/>
  <c r="B216" i="37"/>
  <c r="H215" i="37"/>
  <c r="S215" i="37"/>
  <c r="U215" i="37"/>
  <c r="Y215" i="37"/>
  <c r="AA215" i="37"/>
  <c r="AE215" i="37"/>
  <c r="AB215" i="37"/>
  <c r="I215" i="37"/>
  <c r="T215" i="37"/>
  <c r="V215" i="37"/>
  <c r="Z215" i="37"/>
  <c r="AC215" i="37"/>
  <c r="R215" i="37"/>
  <c r="G215" i="37"/>
  <c r="AD215" i="37"/>
  <c r="AF215" i="37"/>
  <c r="C215" i="37"/>
  <c r="B215" i="37"/>
  <c r="H214" i="37"/>
  <c r="S214" i="37"/>
  <c r="U214" i="37"/>
  <c r="Y214" i="37"/>
  <c r="AA214" i="37"/>
  <c r="AE214" i="37"/>
  <c r="AB214" i="37"/>
  <c r="I214" i="37"/>
  <c r="T214" i="37"/>
  <c r="V214" i="37"/>
  <c r="Z214" i="37"/>
  <c r="AC214" i="37"/>
  <c r="R214" i="37"/>
  <c r="G214" i="37"/>
  <c r="AD214" i="37"/>
  <c r="AF214" i="37"/>
  <c r="C214" i="37"/>
  <c r="B214" i="37"/>
  <c r="H213" i="37"/>
  <c r="S213" i="37"/>
  <c r="U213" i="37"/>
  <c r="Y213" i="37"/>
  <c r="AA213" i="37"/>
  <c r="AE213" i="37"/>
  <c r="AB213" i="37"/>
  <c r="I213" i="37"/>
  <c r="T213" i="37"/>
  <c r="V213" i="37"/>
  <c r="Z213" i="37"/>
  <c r="AC213" i="37"/>
  <c r="R213" i="37"/>
  <c r="G213" i="37"/>
  <c r="AD213" i="37"/>
  <c r="AF213" i="37"/>
  <c r="C213" i="37"/>
  <c r="B213" i="37"/>
  <c r="H212" i="37"/>
  <c r="S212" i="37"/>
  <c r="U212" i="37"/>
  <c r="Y212" i="37"/>
  <c r="AA212" i="37"/>
  <c r="AE212" i="37"/>
  <c r="AB212" i="37"/>
  <c r="I212" i="37"/>
  <c r="T212" i="37"/>
  <c r="V212" i="37"/>
  <c r="Z212" i="37"/>
  <c r="AC212" i="37"/>
  <c r="R212" i="37"/>
  <c r="G212" i="37"/>
  <c r="AD212" i="37"/>
  <c r="AF212" i="37"/>
  <c r="C212" i="37"/>
  <c r="B212" i="37"/>
  <c r="H211" i="37"/>
  <c r="S211" i="37"/>
  <c r="U211" i="37"/>
  <c r="Y211" i="37"/>
  <c r="AA211" i="37"/>
  <c r="AE211" i="37"/>
  <c r="AB211" i="37"/>
  <c r="I211" i="37"/>
  <c r="T211" i="37"/>
  <c r="V211" i="37"/>
  <c r="Z211" i="37"/>
  <c r="AC211" i="37"/>
  <c r="R211" i="37"/>
  <c r="G211" i="37"/>
  <c r="AD211" i="37"/>
  <c r="AF211" i="37"/>
  <c r="C211" i="37"/>
  <c r="B211" i="37"/>
  <c r="H210" i="37"/>
  <c r="S210" i="37"/>
  <c r="U210" i="37"/>
  <c r="Y210" i="37"/>
  <c r="AA210" i="37"/>
  <c r="AE210" i="37"/>
  <c r="AB210" i="37"/>
  <c r="I210" i="37"/>
  <c r="T210" i="37"/>
  <c r="V210" i="37"/>
  <c r="Z210" i="37"/>
  <c r="AC210" i="37"/>
  <c r="R210" i="37"/>
  <c r="G210" i="37"/>
  <c r="AD210" i="37"/>
  <c r="AF210" i="37"/>
  <c r="C210" i="37"/>
  <c r="B210" i="37"/>
  <c r="H209" i="37"/>
  <c r="S209" i="37"/>
  <c r="U209" i="37"/>
  <c r="Y209" i="37"/>
  <c r="AA209" i="37"/>
  <c r="AE209" i="37"/>
  <c r="AB209" i="37"/>
  <c r="I209" i="37"/>
  <c r="T209" i="37"/>
  <c r="V209" i="37"/>
  <c r="Z209" i="37"/>
  <c r="AC209" i="37"/>
  <c r="R209" i="37"/>
  <c r="G209" i="37"/>
  <c r="AD209" i="37"/>
  <c r="AF209" i="37"/>
  <c r="C209" i="37"/>
  <c r="B209" i="37"/>
  <c r="H208" i="37"/>
  <c r="S208" i="37"/>
  <c r="U208" i="37"/>
  <c r="Y208" i="37"/>
  <c r="AA208" i="37"/>
  <c r="AE208" i="37"/>
  <c r="AB208" i="37"/>
  <c r="I208" i="37"/>
  <c r="T208" i="37"/>
  <c r="V208" i="37"/>
  <c r="Z208" i="37"/>
  <c r="AC208" i="37"/>
  <c r="R208" i="37"/>
  <c r="G208" i="37"/>
  <c r="AD208" i="37"/>
  <c r="AF208" i="37"/>
  <c r="C208" i="37"/>
  <c r="B208" i="37"/>
  <c r="H207" i="37"/>
  <c r="S207" i="37"/>
  <c r="U207" i="37"/>
  <c r="Y207" i="37"/>
  <c r="AA207" i="37"/>
  <c r="AE207" i="37"/>
  <c r="AB207" i="37"/>
  <c r="I207" i="37"/>
  <c r="T207" i="37"/>
  <c r="V207" i="37"/>
  <c r="Z207" i="37"/>
  <c r="AC207" i="37"/>
  <c r="R207" i="37"/>
  <c r="G207" i="37"/>
  <c r="AD207" i="37"/>
  <c r="AF207" i="37"/>
  <c r="C207" i="37"/>
  <c r="B207" i="37"/>
  <c r="H206" i="37"/>
  <c r="S206" i="37"/>
  <c r="U206" i="37"/>
  <c r="Y206" i="37"/>
  <c r="AA206" i="37"/>
  <c r="AE206" i="37"/>
  <c r="AB206" i="37"/>
  <c r="I206" i="37"/>
  <c r="T206" i="37"/>
  <c r="V206" i="37"/>
  <c r="Z206" i="37"/>
  <c r="AC206" i="37"/>
  <c r="R206" i="37"/>
  <c r="G206" i="37"/>
  <c r="AD206" i="37"/>
  <c r="AF206" i="37"/>
  <c r="C206" i="37"/>
  <c r="B206" i="37"/>
  <c r="H205" i="37"/>
  <c r="S205" i="37"/>
  <c r="U205" i="37"/>
  <c r="Y205" i="37"/>
  <c r="AA205" i="37"/>
  <c r="AE205" i="37"/>
  <c r="AB205" i="37"/>
  <c r="I205" i="37"/>
  <c r="T205" i="37"/>
  <c r="V205" i="37"/>
  <c r="Z205" i="37"/>
  <c r="AC205" i="37"/>
  <c r="R205" i="37"/>
  <c r="G205" i="37"/>
  <c r="AD205" i="37"/>
  <c r="AF205" i="37"/>
  <c r="C205" i="37"/>
  <c r="B205" i="37"/>
  <c r="H204" i="37"/>
  <c r="S204" i="37"/>
  <c r="U204" i="37"/>
  <c r="Y204" i="37"/>
  <c r="AA204" i="37"/>
  <c r="AE204" i="37"/>
  <c r="AB204" i="37"/>
  <c r="I204" i="37"/>
  <c r="T204" i="37"/>
  <c r="V204" i="37"/>
  <c r="Z204" i="37"/>
  <c r="AC204" i="37"/>
  <c r="R204" i="37"/>
  <c r="G204" i="37"/>
  <c r="AD204" i="37"/>
  <c r="AF204" i="37"/>
  <c r="C204" i="37"/>
  <c r="B204" i="37"/>
  <c r="H203" i="37"/>
  <c r="S203" i="37"/>
  <c r="U203" i="37"/>
  <c r="Y203" i="37"/>
  <c r="AA203" i="37"/>
  <c r="AE203" i="37"/>
  <c r="AB203" i="37"/>
  <c r="I203" i="37"/>
  <c r="T203" i="37"/>
  <c r="V203" i="37"/>
  <c r="Z203" i="37"/>
  <c r="AC203" i="37"/>
  <c r="R203" i="37"/>
  <c r="G203" i="37"/>
  <c r="AD203" i="37"/>
  <c r="AF203" i="37"/>
  <c r="C203" i="37"/>
  <c r="B203" i="37"/>
  <c r="H202" i="37"/>
  <c r="S202" i="37"/>
  <c r="U202" i="37"/>
  <c r="Y202" i="37"/>
  <c r="AA202" i="37"/>
  <c r="AE202" i="37"/>
  <c r="AB202" i="37"/>
  <c r="I202" i="37"/>
  <c r="T202" i="37"/>
  <c r="V202" i="37"/>
  <c r="Z202" i="37"/>
  <c r="AC202" i="37"/>
  <c r="R202" i="37"/>
  <c r="G202" i="37"/>
  <c r="AD202" i="37"/>
  <c r="AF202" i="37"/>
  <c r="C202" i="37"/>
  <c r="B202" i="37"/>
  <c r="H201" i="37"/>
  <c r="S201" i="37"/>
  <c r="U201" i="37"/>
  <c r="Y201" i="37"/>
  <c r="AA201" i="37"/>
  <c r="AE201" i="37"/>
  <c r="AB201" i="37"/>
  <c r="I201" i="37"/>
  <c r="T201" i="37"/>
  <c r="V201" i="37"/>
  <c r="Z201" i="37"/>
  <c r="AC201" i="37"/>
  <c r="R201" i="37"/>
  <c r="G201" i="37"/>
  <c r="AD201" i="37"/>
  <c r="AF201" i="37"/>
  <c r="C201" i="37"/>
  <c r="B201" i="37"/>
  <c r="H200" i="37"/>
  <c r="S200" i="37"/>
  <c r="U200" i="37"/>
  <c r="Y200" i="37"/>
  <c r="AA200" i="37"/>
  <c r="AE200" i="37"/>
  <c r="AB200" i="37"/>
  <c r="I200" i="37"/>
  <c r="T200" i="37"/>
  <c r="V200" i="37"/>
  <c r="Z200" i="37"/>
  <c r="AC200" i="37"/>
  <c r="R200" i="37"/>
  <c r="G200" i="37"/>
  <c r="AD200" i="37"/>
  <c r="AF200" i="37"/>
  <c r="C200" i="37"/>
  <c r="B200" i="37"/>
  <c r="H199" i="37"/>
  <c r="S199" i="37"/>
  <c r="U199" i="37"/>
  <c r="Y199" i="37"/>
  <c r="AA199" i="37"/>
  <c r="AE199" i="37"/>
  <c r="AB199" i="37"/>
  <c r="I199" i="37"/>
  <c r="T199" i="37"/>
  <c r="V199" i="37"/>
  <c r="Z199" i="37"/>
  <c r="AC199" i="37"/>
  <c r="R199" i="37"/>
  <c r="G199" i="37"/>
  <c r="AD199" i="37"/>
  <c r="AF199" i="37"/>
  <c r="C199" i="37"/>
  <c r="B199" i="37"/>
  <c r="H198" i="37"/>
  <c r="S198" i="37"/>
  <c r="U198" i="37"/>
  <c r="Y198" i="37"/>
  <c r="AA198" i="37"/>
  <c r="AE198" i="37"/>
  <c r="AB198" i="37"/>
  <c r="I198" i="37"/>
  <c r="T198" i="37"/>
  <c r="V198" i="37"/>
  <c r="Z198" i="37"/>
  <c r="AC198" i="37"/>
  <c r="R198" i="37"/>
  <c r="G198" i="37"/>
  <c r="AD198" i="37"/>
  <c r="AF198" i="37"/>
  <c r="C198" i="37"/>
  <c r="B198" i="37"/>
  <c r="H197" i="37"/>
  <c r="S197" i="37"/>
  <c r="U197" i="37"/>
  <c r="Y197" i="37"/>
  <c r="AA197" i="37"/>
  <c r="AE197" i="37"/>
  <c r="AB197" i="37"/>
  <c r="I197" i="37"/>
  <c r="T197" i="37"/>
  <c r="V197" i="37"/>
  <c r="Z197" i="37"/>
  <c r="AC197" i="37"/>
  <c r="R197" i="37"/>
  <c r="G197" i="37"/>
  <c r="AD197" i="37"/>
  <c r="AF197" i="37"/>
  <c r="C197" i="37"/>
  <c r="B197" i="37"/>
  <c r="H196" i="37"/>
  <c r="S196" i="37"/>
  <c r="U196" i="37"/>
  <c r="Y196" i="37"/>
  <c r="AA196" i="37"/>
  <c r="AE196" i="37"/>
  <c r="AB196" i="37"/>
  <c r="I196" i="37"/>
  <c r="T196" i="37"/>
  <c r="V196" i="37"/>
  <c r="Z196" i="37"/>
  <c r="AC196" i="37"/>
  <c r="R196" i="37"/>
  <c r="G196" i="37"/>
  <c r="AD196" i="37"/>
  <c r="AF196" i="37"/>
  <c r="C196" i="37"/>
  <c r="B196" i="37"/>
  <c r="H195" i="37"/>
  <c r="S195" i="37"/>
  <c r="U195" i="37"/>
  <c r="Y195" i="37"/>
  <c r="AA195" i="37"/>
  <c r="AE195" i="37"/>
  <c r="AB195" i="37"/>
  <c r="I195" i="37"/>
  <c r="T195" i="37"/>
  <c r="V195" i="37"/>
  <c r="Z195" i="37"/>
  <c r="AC195" i="37"/>
  <c r="R195" i="37"/>
  <c r="G195" i="37"/>
  <c r="AD195" i="37"/>
  <c r="AF195" i="37"/>
  <c r="C195" i="37"/>
  <c r="B195" i="37"/>
  <c r="H194" i="37"/>
  <c r="S194" i="37"/>
  <c r="U194" i="37"/>
  <c r="Y194" i="37"/>
  <c r="AA194" i="37"/>
  <c r="AE194" i="37"/>
  <c r="AB194" i="37"/>
  <c r="I194" i="37"/>
  <c r="T194" i="37"/>
  <c r="V194" i="37"/>
  <c r="Z194" i="37"/>
  <c r="AC194" i="37"/>
  <c r="R194" i="37"/>
  <c r="G194" i="37"/>
  <c r="AD194" i="37"/>
  <c r="AF194" i="37"/>
  <c r="C194" i="37"/>
  <c r="B194" i="37"/>
  <c r="H193" i="37"/>
  <c r="S193" i="37"/>
  <c r="U193" i="37"/>
  <c r="Y193" i="37"/>
  <c r="AA193" i="37"/>
  <c r="AE193" i="37"/>
  <c r="AB193" i="37"/>
  <c r="I193" i="37"/>
  <c r="T193" i="37"/>
  <c r="V193" i="37"/>
  <c r="Z193" i="37"/>
  <c r="AC193" i="37"/>
  <c r="R193" i="37"/>
  <c r="G193" i="37"/>
  <c r="AD193" i="37"/>
  <c r="AF193" i="37"/>
  <c r="C193" i="37"/>
  <c r="B193" i="37"/>
  <c r="H192" i="37"/>
  <c r="S192" i="37"/>
  <c r="U192" i="37"/>
  <c r="Y192" i="37"/>
  <c r="AA192" i="37"/>
  <c r="AE192" i="37"/>
  <c r="AB192" i="37"/>
  <c r="I192" i="37"/>
  <c r="T192" i="37"/>
  <c r="V192" i="37"/>
  <c r="Z192" i="37"/>
  <c r="AC192" i="37"/>
  <c r="R192" i="37"/>
  <c r="G192" i="37"/>
  <c r="AD192" i="37"/>
  <c r="AF192" i="37"/>
  <c r="C192" i="37"/>
  <c r="B192" i="37"/>
  <c r="H191" i="37"/>
  <c r="S191" i="37"/>
  <c r="U191" i="37"/>
  <c r="Y191" i="37"/>
  <c r="AA191" i="37"/>
  <c r="AE191" i="37"/>
  <c r="AB191" i="37"/>
  <c r="I191" i="37"/>
  <c r="T191" i="37"/>
  <c r="V191" i="37"/>
  <c r="Z191" i="37"/>
  <c r="AC191" i="37"/>
  <c r="R191" i="37"/>
  <c r="G191" i="37"/>
  <c r="AD191" i="37"/>
  <c r="AF191" i="37"/>
  <c r="C191" i="37"/>
  <c r="B191" i="37"/>
  <c r="H190" i="37"/>
  <c r="S190" i="37"/>
  <c r="U190" i="37"/>
  <c r="Y190" i="37"/>
  <c r="AA190" i="37"/>
  <c r="AE190" i="37"/>
  <c r="AB190" i="37"/>
  <c r="I190" i="37"/>
  <c r="T190" i="37"/>
  <c r="V190" i="37"/>
  <c r="Z190" i="37"/>
  <c r="AC190" i="37"/>
  <c r="R190" i="37"/>
  <c r="G190" i="37"/>
  <c r="AD190" i="37"/>
  <c r="AF190" i="37"/>
  <c r="C190" i="37"/>
  <c r="B190" i="37"/>
  <c r="H189" i="37"/>
  <c r="S189" i="37"/>
  <c r="U189" i="37"/>
  <c r="Y189" i="37"/>
  <c r="AA189" i="37"/>
  <c r="AE189" i="37"/>
  <c r="AB189" i="37"/>
  <c r="I189" i="37"/>
  <c r="T189" i="37"/>
  <c r="V189" i="37"/>
  <c r="Z189" i="37"/>
  <c r="AC189" i="37"/>
  <c r="R189" i="37"/>
  <c r="G189" i="37"/>
  <c r="AD189" i="37"/>
  <c r="AF189" i="37"/>
  <c r="C189" i="37"/>
  <c r="B189" i="37"/>
  <c r="H188" i="37"/>
  <c r="S188" i="37"/>
  <c r="U188" i="37"/>
  <c r="Y188" i="37"/>
  <c r="AA188" i="37"/>
  <c r="AE188" i="37"/>
  <c r="AB188" i="37"/>
  <c r="I188" i="37"/>
  <c r="T188" i="37"/>
  <c r="V188" i="37"/>
  <c r="Z188" i="37"/>
  <c r="AC188" i="37"/>
  <c r="R188" i="37"/>
  <c r="G188" i="37"/>
  <c r="AD188" i="37"/>
  <c r="AF188" i="37"/>
  <c r="C188" i="37"/>
  <c r="B188" i="37"/>
  <c r="H187" i="37"/>
  <c r="S187" i="37"/>
  <c r="U187" i="37"/>
  <c r="Y187" i="37"/>
  <c r="AA187" i="37"/>
  <c r="AE187" i="37"/>
  <c r="AB187" i="37"/>
  <c r="I187" i="37"/>
  <c r="T187" i="37"/>
  <c r="V187" i="37"/>
  <c r="Z187" i="37"/>
  <c r="AC187" i="37"/>
  <c r="R187" i="37"/>
  <c r="G187" i="37"/>
  <c r="AD187" i="37"/>
  <c r="AF187" i="37"/>
  <c r="C187" i="37"/>
  <c r="B187" i="37"/>
  <c r="H186" i="37"/>
  <c r="S186" i="37"/>
  <c r="U186" i="37"/>
  <c r="Y186" i="37"/>
  <c r="AA186" i="37"/>
  <c r="AE186" i="37"/>
  <c r="AB186" i="37"/>
  <c r="I186" i="37"/>
  <c r="T186" i="37"/>
  <c r="V186" i="37"/>
  <c r="Z186" i="37"/>
  <c r="AC186" i="37"/>
  <c r="R186" i="37"/>
  <c r="G186" i="37"/>
  <c r="AD186" i="37"/>
  <c r="AF186" i="37"/>
  <c r="C186" i="37"/>
  <c r="B186" i="37"/>
  <c r="H185" i="37"/>
  <c r="S185" i="37"/>
  <c r="U185" i="37"/>
  <c r="Y185" i="37"/>
  <c r="AA185" i="37"/>
  <c r="AE185" i="37"/>
  <c r="AB185" i="37"/>
  <c r="I185" i="37"/>
  <c r="T185" i="37"/>
  <c r="V185" i="37"/>
  <c r="Z185" i="37"/>
  <c r="AC185" i="37"/>
  <c r="R185" i="37"/>
  <c r="G185" i="37"/>
  <c r="AD185" i="37"/>
  <c r="AF185" i="37"/>
  <c r="C185" i="37"/>
  <c r="B185" i="37"/>
  <c r="H184" i="37"/>
  <c r="S184" i="37"/>
  <c r="U184" i="37"/>
  <c r="Y184" i="37"/>
  <c r="AA184" i="37"/>
  <c r="AE184" i="37"/>
  <c r="AB184" i="37"/>
  <c r="I184" i="37"/>
  <c r="T184" i="37"/>
  <c r="V184" i="37"/>
  <c r="Z184" i="37"/>
  <c r="AC184" i="37"/>
  <c r="R184" i="37"/>
  <c r="G184" i="37"/>
  <c r="AD184" i="37"/>
  <c r="AF184" i="37"/>
  <c r="C184" i="37"/>
  <c r="B184" i="37"/>
  <c r="H183" i="37"/>
  <c r="S183" i="37"/>
  <c r="U183" i="37"/>
  <c r="Y183" i="37"/>
  <c r="AA183" i="37"/>
  <c r="AE183" i="37"/>
  <c r="AB183" i="37"/>
  <c r="I183" i="37"/>
  <c r="T183" i="37"/>
  <c r="V183" i="37"/>
  <c r="Z183" i="37"/>
  <c r="AC183" i="37"/>
  <c r="R183" i="37"/>
  <c r="G183" i="37"/>
  <c r="AD183" i="37"/>
  <c r="AF183" i="37"/>
  <c r="C183" i="37"/>
  <c r="B183" i="37"/>
  <c r="H182" i="37"/>
  <c r="S182" i="37"/>
  <c r="U182" i="37"/>
  <c r="Y182" i="37"/>
  <c r="AA182" i="37"/>
  <c r="AE182" i="37"/>
  <c r="AB182" i="37"/>
  <c r="I182" i="37"/>
  <c r="T182" i="37"/>
  <c r="V182" i="37"/>
  <c r="Z182" i="37"/>
  <c r="AC182" i="37"/>
  <c r="R182" i="37"/>
  <c r="G182" i="37"/>
  <c r="AD182" i="37"/>
  <c r="AF182" i="37"/>
  <c r="C182" i="37"/>
  <c r="B182" i="37"/>
  <c r="H181" i="37"/>
  <c r="S181" i="37"/>
  <c r="U181" i="37"/>
  <c r="Y181" i="37"/>
  <c r="AA181" i="37"/>
  <c r="AE181" i="37"/>
  <c r="AB181" i="37"/>
  <c r="I181" i="37"/>
  <c r="T181" i="37"/>
  <c r="V181" i="37"/>
  <c r="Z181" i="37"/>
  <c r="AC181" i="37"/>
  <c r="R181" i="37"/>
  <c r="G181" i="37"/>
  <c r="AD181" i="37"/>
  <c r="AF181" i="37"/>
  <c r="C181" i="37"/>
  <c r="B181" i="37"/>
  <c r="H180" i="37"/>
  <c r="S180" i="37"/>
  <c r="U180" i="37"/>
  <c r="Y180" i="37"/>
  <c r="AA180" i="37"/>
  <c r="AE180" i="37"/>
  <c r="AB180" i="37"/>
  <c r="I180" i="37"/>
  <c r="T180" i="37"/>
  <c r="V180" i="37"/>
  <c r="Z180" i="37"/>
  <c r="AC180" i="37"/>
  <c r="R180" i="37"/>
  <c r="G180" i="37"/>
  <c r="AD180" i="37"/>
  <c r="AF180" i="37"/>
  <c r="C180" i="37"/>
  <c r="B180" i="37"/>
  <c r="H179" i="37"/>
  <c r="S179" i="37"/>
  <c r="U179" i="37"/>
  <c r="Y179" i="37"/>
  <c r="AA179" i="37"/>
  <c r="AE179" i="37"/>
  <c r="AB179" i="37"/>
  <c r="I179" i="37"/>
  <c r="T179" i="37"/>
  <c r="V179" i="37"/>
  <c r="Z179" i="37"/>
  <c r="AC179" i="37"/>
  <c r="R179" i="37"/>
  <c r="G179" i="37"/>
  <c r="AD179" i="37"/>
  <c r="AF179" i="37"/>
  <c r="C179" i="37"/>
  <c r="B179" i="37"/>
  <c r="H178" i="37"/>
  <c r="S178" i="37"/>
  <c r="U178" i="37"/>
  <c r="Y178" i="37"/>
  <c r="AA178" i="37"/>
  <c r="AE178" i="37"/>
  <c r="AB178" i="37"/>
  <c r="I178" i="37"/>
  <c r="T178" i="37"/>
  <c r="V178" i="37"/>
  <c r="Z178" i="37"/>
  <c r="AC178" i="37"/>
  <c r="R178" i="37"/>
  <c r="G178" i="37"/>
  <c r="AD178" i="37"/>
  <c r="AF178" i="37"/>
  <c r="C178" i="37"/>
  <c r="B178" i="37"/>
  <c r="H177" i="37"/>
  <c r="S177" i="37"/>
  <c r="U177" i="37"/>
  <c r="Y177" i="37"/>
  <c r="AA177" i="37"/>
  <c r="AE177" i="37"/>
  <c r="AB177" i="37"/>
  <c r="I177" i="37"/>
  <c r="T177" i="37"/>
  <c r="V177" i="37"/>
  <c r="Z177" i="37"/>
  <c r="AC177" i="37"/>
  <c r="R177" i="37"/>
  <c r="G177" i="37"/>
  <c r="AD177" i="37"/>
  <c r="AF177" i="37"/>
  <c r="C177" i="37"/>
  <c r="B177" i="37"/>
  <c r="H176" i="37"/>
  <c r="S176" i="37"/>
  <c r="U176" i="37"/>
  <c r="Y176" i="37"/>
  <c r="AA176" i="37"/>
  <c r="AE176" i="37"/>
  <c r="AB176" i="37"/>
  <c r="I176" i="37"/>
  <c r="T176" i="37"/>
  <c r="V176" i="37"/>
  <c r="Z176" i="37"/>
  <c r="AC176" i="37"/>
  <c r="R176" i="37"/>
  <c r="G176" i="37"/>
  <c r="AD176" i="37"/>
  <c r="AF176" i="37"/>
  <c r="C176" i="37"/>
  <c r="B176" i="37"/>
  <c r="H175" i="37"/>
  <c r="S175" i="37"/>
  <c r="U175" i="37"/>
  <c r="Y175" i="37"/>
  <c r="AA175" i="37"/>
  <c r="AE175" i="37"/>
  <c r="AB175" i="37"/>
  <c r="I175" i="37"/>
  <c r="T175" i="37"/>
  <c r="V175" i="37"/>
  <c r="Z175" i="37"/>
  <c r="AC175" i="37"/>
  <c r="R175" i="37"/>
  <c r="G175" i="37"/>
  <c r="AD175" i="37"/>
  <c r="AF175" i="37"/>
  <c r="C175" i="37"/>
  <c r="B175" i="37"/>
  <c r="H174" i="37"/>
  <c r="S174" i="37"/>
  <c r="U174" i="37"/>
  <c r="Y174" i="37"/>
  <c r="AA174" i="37"/>
  <c r="AE174" i="37"/>
  <c r="AB174" i="37"/>
  <c r="I174" i="37"/>
  <c r="T174" i="37"/>
  <c r="V174" i="37"/>
  <c r="Z174" i="37"/>
  <c r="AC174" i="37"/>
  <c r="R174" i="37"/>
  <c r="G174" i="37"/>
  <c r="AD174" i="37"/>
  <c r="AF174" i="37"/>
  <c r="C174" i="37"/>
  <c r="B174" i="37"/>
  <c r="H173" i="37"/>
  <c r="S173" i="37"/>
  <c r="U173" i="37"/>
  <c r="Y173" i="37"/>
  <c r="AA173" i="37"/>
  <c r="AE173" i="37"/>
  <c r="AB173" i="37"/>
  <c r="I173" i="37"/>
  <c r="T173" i="37"/>
  <c r="V173" i="37"/>
  <c r="Z173" i="37"/>
  <c r="AC173" i="37"/>
  <c r="R173" i="37"/>
  <c r="G173" i="37"/>
  <c r="AD173" i="37"/>
  <c r="AF173" i="37"/>
  <c r="C173" i="37"/>
  <c r="B173" i="37"/>
  <c r="H172" i="37"/>
  <c r="S172" i="37"/>
  <c r="U172" i="37"/>
  <c r="Y172" i="37"/>
  <c r="AA172" i="37"/>
  <c r="AE172" i="37"/>
  <c r="AB172" i="37"/>
  <c r="I172" i="37"/>
  <c r="T172" i="37"/>
  <c r="V172" i="37"/>
  <c r="Z172" i="37"/>
  <c r="AC172" i="37"/>
  <c r="R172" i="37"/>
  <c r="G172" i="37"/>
  <c r="AD172" i="37"/>
  <c r="AF172" i="37"/>
  <c r="C172" i="37"/>
  <c r="B172" i="37"/>
  <c r="H171" i="37"/>
  <c r="S171" i="37"/>
  <c r="U171" i="37"/>
  <c r="Y171" i="37"/>
  <c r="AA171" i="37"/>
  <c r="AE171" i="37"/>
  <c r="AB171" i="37"/>
  <c r="I171" i="37"/>
  <c r="T171" i="37"/>
  <c r="V171" i="37"/>
  <c r="Z171" i="37"/>
  <c r="AC171" i="37"/>
  <c r="R171" i="37"/>
  <c r="G171" i="37"/>
  <c r="AD171" i="37"/>
  <c r="AF171" i="37"/>
  <c r="C171" i="37"/>
  <c r="B171" i="37"/>
  <c r="H170" i="37"/>
  <c r="S170" i="37"/>
  <c r="U170" i="37"/>
  <c r="Y170" i="37"/>
  <c r="AA170" i="37"/>
  <c r="AE170" i="37"/>
  <c r="AB170" i="37"/>
  <c r="I170" i="37"/>
  <c r="T170" i="37"/>
  <c r="V170" i="37"/>
  <c r="Z170" i="37"/>
  <c r="AC170" i="37"/>
  <c r="R170" i="37"/>
  <c r="G170" i="37"/>
  <c r="AD170" i="37"/>
  <c r="AF170" i="37"/>
  <c r="C170" i="37"/>
  <c r="B170" i="37"/>
  <c r="H169" i="37"/>
  <c r="S169" i="37"/>
  <c r="U169" i="37"/>
  <c r="Y169" i="37"/>
  <c r="AA169" i="37"/>
  <c r="AE169" i="37"/>
  <c r="AB169" i="37"/>
  <c r="I169" i="37"/>
  <c r="T169" i="37"/>
  <c r="V169" i="37"/>
  <c r="Z169" i="37"/>
  <c r="AC169" i="37"/>
  <c r="R169" i="37"/>
  <c r="G169" i="37"/>
  <c r="AD169" i="37"/>
  <c r="AF169" i="37"/>
  <c r="C169" i="37"/>
  <c r="B169" i="37"/>
  <c r="H168" i="37"/>
  <c r="S168" i="37"/>
  <c r="U168" i="37"/>
  <c r="Y168" i="37"/>
  <c r="AA168" i="37"/>
  <c r="AE168" i="37"/>
  <c r="AB168" i="37"/>
  <c r="I168" i="37"/>
  <c r="T168" i="37"/>
  <c r="V168" i="37"/>
  <c r="Z168" i="37"/>
  <c r="AC168" i="37"/>
  <c r="R168" i="37"/>
  <c r="G168" i="37"/>
  <c r="AD168" i="37"/>
  <c r="AF168" i="37"/>
  <c r="C168" i="37"/>
  <c r="B168" i="37"/>
  <c r="H167" i="37"/>
  <c r="S167" i="37"/>
  <c r="U167" i="37"/>
  <c r="Y167" i="37"/>
  <c r="AA167" i="37"/>
  <c r="AE167" i="37"/>
  <c r="AB167" i="37"/>
  <c r="I167" i="37"/>
  <c r="T167" i="37"/>
  <c r="V167" i="37"/>
  <c r="Z167" i="37"/>
  <c r="AC167" i="37"/>
  <c r="R167" i="37"/>
  <c r="G167" i="37"/>
  <c r="AD167" i="37"/>
  <c r="AF167" i="37"/>
  <c r="C167" i="37"/>
  <c r="B167" i="37"/>
  <c r="H166" i="37"/>
  <c r="S166" i="37"/>
  <c r="U166" i="37"/>
  <c r="Y166" i="37"/>
  <c r="AA166" i="37"/>
  <c r="AE166" i="37"/>
  <c r="AB166" i="37"/>
  <c r="I166" i="37"/>
  <c r="T166" i="37"/>
  <c r="V166" i="37"/>
  <c r="Z166" i="37"/>
  <c r="AC166" i="37"/>
  <c r="R166" i="37"/>
  <c r="G166" i="37"/>
  <c r="AD166" i="37"/>
  <c r="AF166" i="37"/>
  <c r="C166" i="37"/>
  <c r="B166" i="37"/>
  <c r="H165" i="37"/>
  <c r="S165" i="37"/>
  <c r="U165" i="37"/>
  <c r="Y165" i="37"/>
  <c r="AA165" i="37"/>
  <c r="AE165" i="37"/>
  <c r="AB165" i="37"/>
  <c r="I165" i="37"/>
  <c r="T165" i="37"/>
  <c r="V165" i="37"/>
  <c r="Z165" i="37"/>
  <c r="AC165" i="37"/>
  <c r="R165" i="37"/>
  <c r="G165" i="37"/>
  <c r="AD165" i="37"/>
  <c r="AF165" i="37"/>
  <c r="C165" i="37"/>
  <c r="B165" i="37"/>
  <c r="H164" i="37"/>
  <c r="S164" i="37"/>
  <c r="U164" i="37"/>
  <c r="Y164" i="37"/>
  <c r="AA164" i="37"/>
  <c r="AE164" i="37"/>
  <c r="AB164" i="37"/>
  <c r="I164" i="37"/>
  <c r="T164" i="37"/>
  <c r="V164" i="37"/>
  <c r="Z164" i="37"/>
  <c r="AC164" i="37"/>
  <c r="R164" i="37"/>
  <c r="G164" i="37"/>
  <c r="AD164" i="37"/>
  <c r="AF164" i="37"/>
  <c r="C164" i="37"/>
  <c r="B164" i="37"/>
  <c r="H163" i="37"/>
  <c r="S163" i="37"/>
  <c r="U163" i="37"/>
  <c r="Y163" i="37"/>
  <c r="AA163" i="37"/>
  <c r="AE163" i="37"/>
  <c r="AB163" i="37"/>
  <c r="I163" i="37"/>
  <c r="T163" i="37"/>
  <c r="V163" i="37"/>
  <c r="Z163" i="37"/>
  <c r="AC163" i="37"/>
  <c r="R163" i="37"/>
  <c r="G163" i="37"/>
  <c r="AD163" i="37"/>
  <c r="AF163" i="37"/>
  <c r="C163" i="37"/>
  <c r="B163" i="37"/>
  <c r="H162" i="37"/>
  <c r="S162" i="37"/>
  <c r="U162" i="37"/>
  <c r="Y162" i="37"/>
  <c r="AA162" i="37"/>
  <c r="AE162" i="37"/>
  <c r="AB162" i="37"/>
  <c r="I162" i="37"/>
  <c r="T162" i="37"/>
  <c r="V162" i="37"/>
  <c r="Z162" i="37"/>
  <c r="AC162" i="37"/>
  <c r="R162" i="37"/>
  <c r="G162" i="37"/>
  <c r="AD162" i="37"/>
  <c r="AF162" i="37"/>
  <c r="C162" i="37"/>
  <c r="B162" i="37"/>
  <c r="H161" i="37"/>
  <c r="S161" i="37"/>
  <c r="U161" i="37"/>
  <c r="Y161" i="37"/>
  <c r="AA161" i="37"/>
  <c r="AE161" i="37"/>
  <c r="AB161" i="37"/>
  <c r="I161" i="37"/>
  <c r="T161" i="37"/>
  <c r="V161" i="37"/>
  <c r="Z161" i="37"/>
  <c r="AC161" i="37"/>
  <c r="R161" i="37"/>
  <c r="G161" i="37"/>
  <c r="AD161" i="37"/>
  <c r="AF161" i="37"/>
  <c r="C161" i="37"/>
  <c r="B161" i="37"/>
  <c r="H160" i="37"/>
  <c r="S160" i="37"/>
  <c r="U160" i="37"/>
  <c r="Y160" i="37"/>
  <c r="AA160" i="37"/>
  <c r="AE160" i="37"/>
  <c r="AB160" i="37"/>
  <c r="I160" i="37"/>
  <c r="T160" i="37"/>
  <c r="V160" i="37"/>
  <c r="Z160" i="37"/>
  <c r="AC160" i="37"/>
  <c r="R160" i="37"/>
  <c r="G160" i="37"/>
  <c r="AD160" i="37"/>
  <c r="AF160" i="37"/>
  <c r="C160" i="37"/>
  <c r="B160" i="37"/>
  <c r="H159" i="37"/>
  <c r="S159" i="37"/>
  <c r="U159" i="37"/>
  <c r="Y159" i="37"/>
  <c r="AA159" i="37"/>
  <c r="AE159" i="37"/>
  <c r="AB159" i="37"/>
  <c r="I159" i="37"/>
  <c r="T159" i="37"/>
  <c r="V159" i="37"/>
  <c r="Z159" i="37"/>
  <c r="AC159" i="37"/>
  <c r="R159" i="37"/>
  <c r="G159" i="37"/>
  <c r="AD159" i="37"/>
  <c r="AF159" i="37"/>
  <c r="C159" i="37"/>
  <c r="B159" i="37"/>
  <c r="H158" i="37"/>
  <c r="S158" i="37"/>
  <c r="U158" i="37"/>
  <c r="Y158" i="37"/>
  <c r="AA158" i="37"/>
  <c r="AE158" i="37"/>
  <c r="AB158" i="37"/>
  <c r="I158" i="37"/>
  <c r="T158" i="37"/>
  <c r="V158" i="37"/>
  <c r="Z158" i="37"/>
  <c r="AC158" i="37"/>
  <c r="R158" i="37"/>
  <c r="G158" i="37"/>
  <c r="AD158" i="37"/>
  <c r="AF158" i="37"/>
  <c r="C158" i="37"/>
  <c r="B158" i="37"/>
  <c r="H157" i="37"/>
  <c r="S157" i="37"/>
  <c r="U157" i="37"/>
  <c r="Y157" i="37"/>
  <c r="AA157" i="37"/>
  <c r="AE157" i="37"/>
  <c r="AB157" i="37"/>
  <c r="I157" i="37"/>
  <c r="T157" i="37"/>
  <c r="V157" i="37"/>
  <c r="Z157" i="37"/>
  <c r="AC157" i="37"/>
  <c r="R157" i="37"/>
  <c r="G157" i="37"/>
  <c r="AD157" i="37"/>
  <c r="AF157" i="37"/>
  <c r="C157" i="37"/>
  <c r="B157" i="37"/>
  <c r="H156" i="37"/>
  <c r="S156" i="37"/>
  <c r="U156" i="37"/>
  <c r="Y156" i="37"/>
  <c r="AA156" i="37"/>
  <c r="AE156" i="37"/>
  <c r="AB156" i="37"/>
  <c r="I156" i="37"/>
  <c r="T156" i="37"/>
  <c r="V156" i="37"/>
  <c r="Z156" i="37"/>
  <c r="AC156" i="37"/>
  <c r="R156" i="37"/>
  <c r="G156" i="37"/>
  <c r="AD156" i="37"/>
  <c r="AF156" i="37"/>
  <c r="C156" i="37"/>
  <c r="B156" i="37"/>
  <c r="H155" i="37"/>
  <c r="S155" i="37"/>
  <c r="U155" i="37"/>
  <c r="Y155" i="37"/>
  <c r="AA155" i="37"/>
  <c r="AE155" i="37"/>
  <c r="AB155" i="37"/>
  <c r="I155" i="37"/>
  <c r="T155" i="37"/>
  <c r="V155" i="37"/>
  <c r="Z155" i="37"/>
  <c r="AC155" i="37"/>
  <c r="R155" i="37"/>
  <c r="G155" i="37"/>
  <c r="AD155" i="37"/>
  <c r="AF155" i="37"/>
  <c r="C155" i="37"/>
  <c r="B155" i="37"/>
  <c r="H154" i="37"/>
  <c r="S154" i="37"/>
  <c r="U154" i="37"/>
  <c r="Y154" i="37"/>
  <c r="AA154" i="37"/>
  <c r="AE154" i="37"/>
  <c r="AB154" i="37"/>
  <c r="I154" i="37"/>
  <c r="T154" i="37"/>
  <c r="V154" i="37"/>
  <c r="Z154" i="37"/>
  <c r="AC154" i="37"/>
  <c r="R154" i="37"/>
  <c r="G154" i="37"/>
  <c r="AD154" i="37"/>
  <c r="AF154" i="37"/>
  <c r="C154" i="37"/>
  <c r="B154" i="37"/>
  <c r="H153" i="37"/>
  <c r="S153" i="37"/>
  <c r="U153" i="37"/>
  <c r="Y153" i="37"/>
  <c r="AA153" i="37"/>
  <c r="AE153" i="37"/>
  <c r="AB153" i="37"/>
  <c r="I153" i="37"/>
  <c r="T153" i="37"/>
  <c r="V153" i="37"/>
  <c r="Z153" i="37"/>
  <c r="AC153" i="37"/>
  <c r="R153" i="37"/>
  <c r="G153" i="37"/>
  <c r="AD153" i="37"/>
  <c r="AF153" i="37"/>
  <c r="C153" i="37"/>
  <c r="B153" i="37"/>
  <c r="H152" i="37"/>
  <c r="S152" i="37"/>
  <c r="U152" i="37"/>
  <c r="Y152" i="37"/>
  <c r="AA152" i="37"/>
  <c r="AE152" i="37"/>
  <c r="AB152" i="37"/>
  <c r="I152" i="37"/>
  <c r="T152" i="37"/>
  <c r="V152" i="37"/>
  <c r="Z152" i="37"/>
  <c r="AC152" i="37"/>
  <c r="R152" i="37"/>
  <c r="G152" i="37"/>
  <c r="AD152" i="37"/>
  <c r="AF152" i="37"/>
  <c r="C152" i="37"/>
  <c r="B152" i="37"/>
  <c r="H151" i="37"/>
  <c r="S151" i="37"/>
  <c r="U151" i="37"/>
  <c r="Y151" i="37"/>
  <c r="AA151" i="37"/>
  <c r="AE151" i="37"/>
  <c r="AB151" i="37"/>
  <c r="I151" i="37"/>
  <c r="T151" i="37"/>
  <c r="V151" i="37"/>
  <c r="Z151" i="37"/>
  <c r="AC151" i="37"/>
  <c r="R151" i="37"/>
  <c r="G151" i="37"/>
  <c r="AD151" i="37"/>
  <c r="AF151" i="37"/>
  <c r="C151" i="37"/>
  <c r="B151" i="37"/>
  <c r="H150" i="37"/>
  <c r="S150" i="37"/>
  <c r="U150" i="37"/>
  <c r="Y150" i="37"/>
  <c r="AA150" i="37"/>
  <c r="AE150" i="37"/>
  <c r="AB150" i="37"/>
  <c r="I150" i="37"/>
  <c r="T150" i="37"/>
  <c r="V150" i="37"/>
  <c r="Z150" i="37"/>
  <c r="AC150" i="37"/>
  <c r="R150" i="37"/>
  <c r="G150" i="37"/>
  <c r="AD150" i="37"/>
  <c r="AF150" i="37"/>
  <c r="C150" i="37"/>
  <c r="B150" i="37"/>
  <c r="H149" i="37"/>
  <c r="S149" i="37"/>
  <c r="U149" i="37"/>
  <c r="Y149" i="37"/>
  <c r="AA149" i="37"/>
  <c r="AE149" i="37"/>
  <c r="AB149" i="37"/>
  <c r="I149" i="37"/>
  <c r="T149" i="37"/>
  <c r="V149" i="37"/>
  <c r="Z149" i="37"/>
  <c r="AC149" i="37"/>
  <c r="R149" i="37"/>
  <c r="G149" i="37"/>
  <c r="AD149" i="37"/>
  <c r="AF149" i="37"/>
  <c r="C149" i="37"/>
  <c r="B149" i="37"/>
  <c r="H148" i="37"/>
  <c r="S148" i="37"/>
  <c r="U148" i="37"/>
  <c r="Y148" i="37"/>
  <c r="AA148" i="37"/>
  <c r="AE148" i="37"/>
  <c r="AB148" i="37"/>
  <c r="I148" i="37"/>
  <c r="T148" i="37"/>
  <c r="V148" i="37"/>
  <c r="Z148" i="37"/>
  <c r="AC148" i="37"/>
  <c r="R148" i="37"/>
  <c r="G148" i="37"/>
  <c r="AD148" i="37"/>
  <c r="AF148" i="37"/>
  <c r="C148" i="37"/>
  <c r="B148" i="37"/>
  <c r="H147" i="37"/>
  <c r="S147" i="37"/>
  <c r="U147" i="37"/>
  <c r="Y147" i="37"/>
  <c r="AA147" i="37"/>
  <c r="AE147" i="37"/>
  <c r="AB147" i="37"/>
  <c r="I147" i="37"/>
  <c r="T147" i="37"/>
  <c r="V147" i="37"/>
  <c r="Z147" i="37"/>
  <c r="AC147" i="37"/>
  <c r="R147" i="37"/>
  <c r="G147" i="37"/>
  <c r="AD147" i="37"/>
  <c r="AF147" i="37"/>
  <c r="C147" i="37"/>
  <c r="B147" i="37"/>
  <c r="H146" i="37"/>
  <c r="S146" i="37"/>
  <c r="U146" i="37"/>
  <c r="Y146" i="37"/>
  <c r="AA146" i="37"/>
  <c r="AE146" i="37"/>
  <c r="AB146" i="37"/>
  <c r="I146" i="37"/>
  <c r="T146" i="37"/>
  <c r="V146" i="37"/>
  <c r="Z146" i="37"/>
  <c r="AC146" i="37"/>
  <c r="R146" i="37"/>
  <c r="G146" i="37"/>
  <c r="AD146" i="37"/>
  <c r="AF146" i="37"/>
  <c r="C146" i="37"/>
  <c r="B146" i="37"/>
  <c r="H145" i="37"/>
  <c r="S145" i="37"/>
  <c r="U145" i="37"/>
  <c r="Y145" i="37"/>
  <c r="AA145" i="37"/>
  <c r="AE145" i="37"/>
  <c r="AB145" i="37"/>
  <c r="I145" i="37"/>
  <c r="T145" i="37"/>
  <c r="V145" i="37"/>
  <c r="Z145" i="37"/>
  <c r="AC145" i="37"/>
  <c r="R145" i="37"/>
  <c r="G145" i="37"/>
  <c r="AD145" i="37"/>
  <c r="AF145" i="37"/>
  <c r="C145" i="37"/>
  <c r="B145" i="37"/>
  <c r="H144" i="37"/>
  <c r="S144" i="37"/>
  <c r="U144" i="37"/>
  <c r="Y144" i="37"/>
  <c r="AA144" i="37"/>
  <c r="AE144" i="37"/>
  <c r="AB144" i="37"/>
  <c r="I144" i="37"/>
  <c r="T144" i="37"/>
  <c r="V144" i="37"/>
  <c r="Z144" i="37"/>
  <c r="AC144" i="37"/>
  <c r="R144" i="37"/>
  <c r="G144" i="37"/>
  <c r="AD144" i="37"/>
  <c r="AF144" i="37"/>
  <c r="C144" i="37"/>
  <c r="B144" i="37"/>
  <c r="H143" i="37"/>
  <c r="S143" i="37"/>
  <c r="U143" i="37"/>
  <c r="Y143" i="37"/>
  <c r="AA143" i="37"/>
  <c r="AE143" i="37"/>
  <c r="AB143" i="37"/>
  <c r="I143" i="37"/>
  <c r="T143" i="37"/>
  <c r="V143" i="37"/>
  <c r="Z143" i="37"/>
  <c r="AC143" i="37"/>
  <c r="R143" i="37"/>
  <c r="G143" i="37"/>
  <c r="AD143" i="37"/>
  <c r="AF143" i="37"/>
  <c r="C143" i="37"/>
  <c r="B143" i="37"/>
  <c r="H142" i="37"/>
  <c r="S142" i="37"/>
  <c r="U142" i="37"/>
  <c r="Y142" i="37"/>
  <c r="AA142" i="37"/>
  <c r="AE142" i="37"/>
  <c r="AB142" i="37"/>
  <c r="I142" i="37"/>
  <c r="T142" i="37"/>
  <c r="V142" i="37"/>
  <c r="Z142" i="37"/>
  <c r="AC142" i="37"/>
  <c r="R142" i="37"/>
  <c r="G142" i="37"/>
  <c r="AD142" i="37"/>
  <c r="AF142" i="37"/>
  <c r="C142" i="37"/>
  <c r="B142" i="37"/>
  <c r="H141" i="37"/>
  <c r="S141" i="37"/>
  <c r="U141" i="37"/>
  <c r="Y141" i="37"/>
  <c r="AA141" i="37"/>
  <c r="AE141" i="37"/>
  <c r="AB141" i="37"/>
  <c r="I141" i="37"/>
  <c r="T141" i="37"/>
  <c r="V141" i="37"/>
  <c r="Z141" i="37"/>
  <c r="AC141" i="37"/>
  <c r="R141" i="37"/>
  <c r="G141" i="37"/>
  <c r="AD141" i="37"/>
  <c r="AF141" i="37"/>
  <c r="C141" i="37"/>
  <c r="B141" i="37"/>
  <c r="H140" i="37"/>
  <c r="S140" i="37"/>
  <c r="U140" i="37"/>
  <c r="Y140" i="37"/>
  <c r="AA140" i="37"/>
  <c r="AE140" i="37"/>
  <c r="AB140" i="37"/>
  <c r="I140" i="37"/>
  <c r="T140" i="37"/>
  <c r="V140" i="37"/>
  <c r="Z140" i="37"/>
  <c r="AC140" i="37"/>
  <c r="R140" i="37"/>
  <c r="G140" i="37"/>
  <c r="AD140" i="37"/>
  <c r="AF140" i="37"/>
  <c r="C140" i="37"/>
  <c r="B140" i="37"/>
  <c r="H139" i="37"/>
  <c r="S139" i="37"/>
  <c r="U139" i="37"/>
  <c r="Y139" i="37"/>
  <c r="AA139" i="37"/>
  <c r="AE139" i="37"/>
  <c r="AB139" i="37"/>
  <c r="I139" i="37"/>
  <c r="T139" i="37"/>
  <c r="V139" i="37"/>
  <c r="Z139" i="37"/>
  <c r="AC139" i="37"/>
  <c r="R139" i="37"/>
  <c r="G139" i="37"/>
  <c r="AD139" i="37"/>
  <c r="AF139" i="37"/>
  <c r="C139" i="37"/>
  <c r="B139" i="37"/>
  <c r="H138" i="37"/>
  <c r="S138" i="37"/>
  <c r="U138" i="37"/>
  <c r="Y138" i="37"/>
  <c r="AA138" i="37"/>
  <c r="AE138" i="37"/>
  <c r="AB138" i="37"/>
  <c r="I138" i="37"/>
  <c r="T138" i="37"/>
  <c r="V138" i="37"/>
  <c r="Z138" i="37"/>
  <c r="AC138" i="37"/>
  <c r="R138" i="37"/>
  <c r="G138" i="37"/>
  <c r="AD138" i="37"/>
  <c r="AF138" i="37"/>
  <c r="C138" i="37"/>
  <c r="B138" i="37"/>
  <c r="H137" i="37"/>
  <c r="S137" i="37"/>
  <c r="U137" i="37"/>
  <c r="Y137" i="37"/>
  <c r="AA137" i="37"/>
  <c r="AE137" i="37"/>
  <c r="AB137" i="37"/>
  <c r="I137" i="37"/>
  <c r="T137" i="37"/>
  <c r="V137" i="37"/>
  <c r="Z137" i="37"/>
  <c r="AC137" i="37"/>
  <c r="R137" i="37"/>
  <c r="G137" i="37"/>
  <c r="AD137" i="37"/>
  <c r="AF137" i="37"/>
  <c r="C137" i="37"/>
  <c r="B137" i="37"/>
  <c r="H136" i="37"/>
  <c r="S136" i="37"/>
  <c r="U136" i="37"/>
  <c r="Y136" i="37"/>
  <c r="AA136" i="37"/>
  <c r="AE136" i="37"/>
  <c r="AB136" i="37"/>
  <c r="I136" i="37"/>
  <c r="T136" i="37"/>
  <c r="V136" i="37"/>
  <c r="Z136" i="37"/>
  <c r="AC136" i="37"/>
  <c r="R136" i="37"/>
  <c r="G136" i="37"/>
  <c r="AD136" i="37"/>
  <c r="AF136" i="37"/>
  <c r="C136" i="37"/>
  <c r="B136" i="37"/>
  <c r="H135" i="37"/>
  <c r="S135" i="37"/>
  <c r="U135" i="37"/>
  <c r="Y135" i="37"/>
  <c r="AA135" i="37"/>
  <c r="AE135" i="37"/>
  <c r="AB135" i="37"/>
  <c r="I135" i="37"/>
  <c r="T135" i="37"/>
  <c r="V135" i="37"/>
  <c r="Z135" i="37"/>
  <c r="AC135" i="37"/>
  <c r="R135" i="37"/>
  <c r="G135" i="37"/>
  <c r="AD135" i="37"/>
  <c r="AF135" i="37"/>
  <c r="C135" i="37"/>
  <c r="B135" i="37"/>
  <c r="H134" i="37"/>
  <c r="S134" i="37"/>
  <c r="U134" i="37"/>
  <c r="Y134" i="37"/>
  <c r="AA134" i="37"/>
  <c r="AE134" i="37"/>
  <c r="AB134" i="37"/>
  <c r="I134" i="37"/>
  <c r="T134" i="37"/>
  <c r="V134" i="37"/>
  <c r="Z134" i="37"/>
  <c r="AC134" i="37"/>
  <c r="R134" i="37"/>
  <c r="G134" i="37"/>
  <c r="AD134" i="37"/>
  <c r="AF134" i="37"/>
  <c r="C134" i="37"/>
  <c r="B134" i="37"/>
  <c r="H133" i="37"/>
  <c r="S133" i="37"/>
  <c r="U133" i="37"/>
  <c r="Y133" i="37"/>
  <c r="AA133" i="37"/>
  <c r="AE133" i="37"/>
  <c r="AB133" i="37"/>
  <c r="I133" i="37"/>
  <c r="T133" i="37"/>
  <c r="V133" i="37"/>
  <c r="Z133" i="37"/>
  <c r="AC133" i="37"/>
  <c r="R133" i="37"/>
  <c r="G133" i="37"/>
  <c r="AD133" i="37"/>
  <c r="AF133" i="37"/>
  <c r="C133" i="37"/>
  <c r="B133" i="37"/>
  <c r="S132" i="37"/>
  <c r="U132" i="37"/>
  <c r="Y132" i="37"/>
  <c r="AA132" i="37"/>
  <c r="AE132" i="37"/>
  <c r="AB132" i="37"/>
  <c r="I132" i="37"/>
  <c r="T132" i="37"/>
  <c r="V132" i="37"/>
  <c r="Z132" i="37"/>
  <c r="AC132" i="37"/>
  <c r="R132" i="37"/>
  <c r="G132" i="37"/>
  <c r="AD132" i="37"/>
  <c r="AF132" i="37"/>
  <c r="C132" i="37"/>
  <c r="B132" i="37"/>
  <c r="H131" i="37"/>
  <c r="S131" i="37"/>
  <c r="U131" i="37"/>
  <c r="Y131" i="37"/>
  <c r="AA131" i="37"/>
  <c r="AE131" i="37"/>
  <c r="AB131" i="37"/>
  <c r="I131" i="37"/>
  <c r="T131" i="37"/>
  <c r="V131" i="37"/>
  <c r="Z131" i="37"/>
  <c r="AC131" i="37"/>
  <c r="R131" i="37"/>
  <c r="G131" i="37"/>
  <c r="AD131" i="37"/>
  <c r="AF131" i="37"/>
  <c r="C131" i="37"/>
  <c r="B131" i="37"/>
  <c r="H130" i="37"/>
  <c r="S130" i="37"/>
  <c r="U130" i="37"/>
  <c r="Y130" i="37"/>
  <c r="AA130" i="37"/>
  <c r="AE130" i="37"/>
  <c r="AB130" i="37"/>
  <c r="I130" i="37"/>
  <c r="T130" i="37"/>
  <c r="V130" i="37"/>
  <c r="Z130" i="37"/>
  <c r="AC130" i="37"/>
  <c r="R130" i="37"/>
  <c r="G130" i="37"/>
  <c r="AD130" i="37"/>
  <c r="AF130" i="37"/>
  <c r="C130" i="37"/>
  <c r="B130" i="37"/>
  <c r="H129" i="37"/>
  <c r="S129" i="37"/>
  <c r="U129" i="37"/>
  <c r="Y129" i="37"/>
  <c r="AA129" i="37"/>
  <c r="AE129" i="37"/>
  <c r="AB129" i="37"/>
  <c r="I129" i="37"/>
  <c r="T129" i="37"/>
  <c r="V129" i="37"/>
  <c r="Z129" i="37"/>
  <c r="AC129" i="37"/>
  <c r="R129" i="37"/>
  <c r="G129" i="37"/>
  <c r="AD129" i="37"/>
  <c r="AF129" i="37"/>
  <c r="C129" i="37"/>
  <c r="B129" i="37"/>
  <c r="H128" i="37"/>
  <c r="S128" i="37"/>
  <c r="U128" i="37"/>
  <c r="Y128" i="37"/>
  <c r="AA128" i="37"/>
  <c r="AE128" i="37"/>
  <c r="AB128" i="37"/>
  <c r="I128" i="37"/>
  <c r="T128" i="37"/>
  <c r="V128" i="37"/>
  <c r="Z128" i="37"/>
  <c r="AC128" i="37"/>
  <c r="R128" i="37"/>
  <c r="G128" i="37"/>
  <c r="AD128" i="37"/>
  <c r="AF128" i="37"/>
  <c r="C128" i="37"/>
  <c r="B128" i="37"/>
  <c r="H127" i="37"/>
  <c r="S127" i="37"/>
  <c r="U127" i="37"/>
  <c r="Y127" i="37"/>
  <c r="AA127" i="37"/>
  <c r="AE127" i="37"/>
  <c r="AB127" i="37"/>
  <c r="I127" i="37"/>
  <c r="T127" i="37"/>
  <c r="V127" i="37"/>
  <c r="Z127" i="37"/>
  <c r="AC127" i="37"/>
  <c r="R127" i="37"/>
  <c r="G127" i="37"/>
  <c r="AD127" i="37"/>
  <c r="AF127" i="37"/>
  <c r="C127" i="37"/>
  <c r="B127" i="37"/>
  <c r="H126" i="37"/>
  <c r="S126" i="37"/>
  <c r="U126" i="37"/>
  <c r="Y126" i="37"/>
  <c r="AA126" i="37"/>
  <c r="AE126" i="37"/>
  <c r="AB126" i="37"/>
  <c r="I126" i="37"/>
  <c r="T126" i="37"/>
  <c r="V126" i="37"/>
  <c r="Z126" i="37"/>
  <c r="AC126" i="37"/>
  <c r="R126" i="37"/>
  <c r="G126" i="37"/>
  <c r="AD126" i="37"/>
  <c r="AF126" i="37"/>
  <c r="C126" i="37"/>
  <c r="B126" i="37"/>
  <c r="H125" i="37"/>
  <c r="S125" i="37"/>
  <c r="U125" i="37"/>
  <c r="Y125" i="37"/>
  <c r="AA125" i="37"/>
  <c r="AE125" i="37"/>
  <c r="AB125" i="37"/>
  <c r="I125" i="37"/>
  <c r="T125" i="37"/>
  <c r="V125" i="37"/>
  <c r="Z125" i="37"/>
  <c r="AC125" i="37"/>
  <c r="R125" i="37"/>
  <c r="G125" i="37"/>
  <c r="AD125" i="37"/>
  <c r="AF125" i="37"/>
  <c r="C125" i="37"/>
  <c r="B125" i="37"/>
  <c r="H124" i="37"/>
  <c r="S124" i="37"/>
  <c r="U124" i="37"/>
  <c r="Y124" i="37"/>
  <c r="AA124" i="37"/>
  <c r="AE124" i="37"/>
  <c r="AB124" i="37"/>
  <c r="I124" i="37"/>
  <c r="T124" i="37"/>
  <c r="V124" i="37"/>
  <c r="Z124" i="37"/>
  <c r="AC124" i="37"/>
  <c r="R124" i="37"/>
  <c r="G124" i="37"/>
  <c r="AD124" i="37"/>
  <c r="AF124" i="37"/>
  <c r="C124" i="37"/>
  <c r="B124" i="37"/>
  <c r="H123" i="37"/>
  <c r="S123" i="37"/>
  <c r="U123" i="37"/>
  <c r="Y123" i="37"/>
  <c r="AA123" i="37"/>
  <c r="AE123" i="37"/>
  <c r="AB123" i="37"/>
  <c r="I123" i="37"/>
  <c r="T123" i="37"/>
  <c r="V123" i="37"/>
  <c r="Z123" i="37"/>
  <c r="AC123" i="37"/>
  <c r="R123" i="37"/>
  <c r="G123" i="37"/>
  <c r="AD123" i="37"/>
  <c r="AF123" i="37"/>
  <c r="C123" i="37"/>
  <c r="B123" i="37"/>
  <c r="H122" i="37"/>
  <c r="S122" i="37"/>
  <c r="U122" i="37"/>
  <c r="Y122" i="37"/>
  <c r="AA122" i="37"/>
  <c r="AE122" i="37"/>
  <c r="AB122" i="37"/>
  <c r="I122" i="37"/>
  <c r="T122" i="37"/>
  <c r="V122" i="37"/>
  <c r="Z122" i="37"/>
  <c r="AC122" i="37"/>
  <c r="R122" i="37"/>
  <c r="G122" i="37"/>
  <c r="AD122" i="37"/>
  <c r="AF122" i="37"/>
  <c r="C122" i="37"/>
  <c r="B122" i="37"/>
  <c r="H121" i="37"/>
  <c r="S121" i="37"/>
  <c r="U121" i="37"/>
  <c r="Y121" i="37"/>
  <c r="AA121" i="37"/>
  <c r="AE121" i="37"/>
  <c r="AB121" i="37"/>
  <c r="I121" i="37"/>
  <c r="T121" i="37"/>
  <c r="V121" i="37"/>
  <c r="Z121" i="37"/>
  <c r="AC121" i="37"/>
  <c r="R121" i="37"/>
  <c r="G121" i="37"/>
  <c r="AD121" i="37"/>
  <c r="AF121" i="37"/>
  <c r="C121" i="37"/>
  <c r="B121" i="37"/>
  <c r="H120" i="37"/>
  <c r="S120" i="37"/>
  <c r="U120" i="37"/>
  <c r="Y120" i="37"/>
  <c r="AA120" i="37"/>
  <c r="AE120" i="37"/>
  <c r="AB120" i="37"/>
  <c r="I120" i="37"/>
  <c r="T120" i="37"/>
  <c r="V120" i="37"/>
  <c r="Z120" i="37"/>
  <c r="AC120" i="37"/>
  <c r="R120" i="37"/>
  <c r="G120" i="37"/>
  <c r="AD120" i="37"/>
  <c r="AF120" i="37"/>
  <c r="C120" i="37"/>
  <c r="B120" i="37"/>
  <c r="H119" i="37"/>
  <c r="S119" i="37"/>
  <c r="U119" i="37"/>
  <c r="Y119" i="37"/>
  <c r="AA119" i="37"/>
  <c r="AE119" i="37"/>
  <c r="AB119" i="37"/>
  <c r="I119" i="37"/>
  <c r="T119" i="37"/>
  <c r="V119" i="37"/>
  <c r="Z119" i="37"/>
  <c r="AC119" i="37"/>
  <c r="R119" i="37"/>
  <c r="G119" i="37"/>
  <c r="AD119" i="37"/>
  <c r="AF119" i="37"/>
  <c r="C119" i="37"/>
  <c r="B119" i="37"/>
  <c r="H118" i="37"/>
  <c r="S118" i="37"/>
  <c r="U118" i="37"/>
  <c r="Y118" i="37"/>
  <c r="AA118" i="37"/>
  <c r="AE118" i="37"/>
  <c r="AB118" i="37"/>
  <c r="I118" i="37"/>
  <c r="T118" i="37"/>
  <c r="V118" i="37"/>
  <c r="Z118" i="37"/>
  <c r="AC118" i="37"/>
  <c r="R118" i="37"/>
  <c r="G118" i="37"/>
  <c r="AD118" i="37"/>
  <c r="AF118" i="37"/>
  <c r="C118" i="37"/>
  <c r="B118" i="37"/>
  <c r="H117" i="37"/>
  <c r="S117" i="37"/>
  <c r="U117" i="37"/>
  <c r="Y117" i="37"/>
  <c r="AA117" i="37"/>
  <c r="AE117" i="37"/>
  <c r="AB117" i="37"/>
  <c r="I117" i="37"/>
  <c r="T117" i="37"/>
  <c r="V117" i="37"/>
  <c r="Z117" i="37"/>
  <c r="AC117" i="37"/>
  <c r="R117" i="37"/>
  <c r="G117" i="37"/>
  <c r="AD117" i="37"/>
  <c r="AF117" i="37"/>
  <c r="C117" i="37"/>
  <c r="B117" i="37"/>
  <c r="H116" i="37"/>
  <c r="S116" i="37"/>
  <c r="U116" i="37"/>
  <c r="Y116" i="37"/>
  <c r="AA116" i="37"/>
  <c r="AE116" i="37"/>
  <c r="AB116" i="37"/>
  <c r="I116" i="37"/>
  <c r="T116" i="37"/>
  <c r="V116" i="37"/>
  <c r="Z116" i="37"/>
  <c r="AC116" i="37"/>
  <c r="R116" i="37"/>
  <c r="G116" i="37"/>
  <c r="AD116" i="37"/>
  <c r="AF116" i="37"/>
  <c r="C116" i="37"/>
  <c r="B116" i="37"/>
  <c r="H115" i="37"/>
  <c r="S115" i="37"/>
  <c r="U115" i="37"/>
  <c r="Y115" i="37"/>
  <c r="AA115" i="37"/>
  <c r="AE115" i="37"/>
  <c r="AB115" i="37"/>
  <c r="I115" i="37"/>
  <c r="T115" i="37"/>
  <c r="V115" i="37"/>
  <c r="Z115" i="37"/>
  <c r="AC115" i="37"/>
  <c r="R115" i="37"/>
  <c r="G115" i="37"/>
  <c r="AD115" i="37"/>
  <c r="AF115" i="37"/>
  <c r="C115" i="37"/>
  <c r="B115" i="37"/>
  <c r="H114" i="37"/>
  <c r="S114" i="37"/>
  <c r="U114" i="37"/>
  <c r="Y114" i="37"/>
  <c r="AA114" i="37"/>
  <c r="AE114" i="37"/>
  <c r="AB114" i="37"/>
  <c r="I114" i="37"/>
  <c r="T114" i="37"/>
  <c r="V114" i="37"/>
  <c r="Z114" i="37"/>
  <c r="AC114" i="37"/>
  <c r="R114" i="37"/>
  <c r="G114" i="37"/>
  <c r="AD114" i="37"/>
  <c r="AF114" i="37"/>
  <c r="C114" i="37"/>
  <c r="B114" i="37"/>
  <c r="H113" i="37"/>
  <c r="S113" i="37"/>
  <c r="U113" i="37"/>
  <c r="Y113" i="37"/>
  <c r="AA113" i="37"/>
  <c r="AE113" i="37"/>
  <c r="AB113" i="37"/>
  <c r="I113" i="37"/>
  <c r="T113" i="37"/>
  <c r="V113" i="37"/>
  <c r="Z113" i="37"/>
  <c r="AC113" i="37"/>
  <c r="R113" i="37"/>
  <c r="G113" i="37"/>
  <c r="AD113" i="37"/>
  <c r="AF113" i="37"/>
  <c r="C113" i="37"/>
  <c r="B113" i="37"/>
  <c r="H112" i="37"/>
  <c r="S112" i="37"/>
  <c r="U112" i="37"/>
  <c r="Y112" i="37"/>
  <c r="AA112" i="37"/>
  <c r="AE112" i="37"/>
  <c r="AB112" i="37"/>
  <c r="I112" i="37"/>
  <c r="T112" i="37"/>
  <c r="V112" i="37"/>
  <c r="Z112" i="37"/>
  <c r="AC112" i="37"/>
  <c r="R112" i="37"/>
  <c r="G112" i="37"/>
  <c r="AD112" i="37"/>
  <c r="AF112" i="37"/>
  <c r="C112" i="37"/>
  <c r="B112" i="37"/>
  <c r="H111" i="37"/>
  <c r="S111" i="37"/>
  <c r="U111" i="37"/>
  <c r="Y111" i="37"/>
  <c r="AA111" i="37"/>
  <c r="AE111" i="37"/>
  <c r="AB111" i="37"/>
  <c r="I111" i="37"/>
  <c r="T111" i="37"/>
  <c r="V111" i="37"/>
  <c r="Z111" i="37"/>
  <c r="AC111" i="37"/>
  <c r="R111" i="37"/>
  <c r="G111" i="37"/>
  <c r="AD111" i="37"/>
  <c r="AF111" i="37"/>
  <c r="C111" i="37"/>
  <c r="B111" i="37"/>
  <c r="H110" i="37"/>
  <c r="S110" i="37"/>
  <c r="U110" i="37"/>
  <c r="Y110" i="37"/>
  <c r="AA110" i="37"/>
  <c r="AE110" i="37"/>
  <c r="AB110" i="37"/>
  <c r="I110" i="37"/>
  <c r="T110" i="37"/>
  <c r="V110" i="37"/>
  <c r="Z110" i="37"/>
  <c r="AC110" i="37"/>
  <c r="R110" i="37"/>
  <c r="G110" i="37"/>
  <c r="AD110" i="37"/>
  <c r="AF110" i="37"/>
  <c r="C110" i="37"/>
  <c r="B110" i="37"/>
  <c r="H109" i="37"/>
  <c r="S109" i="37"/>
  <c r="U109" i="37"/>
  <c r="Y109" i="37"/>
  <c r="AA109" i="37"/>
  <c r="AE109" i="37"/>
  <c r="AB109" i="37"/>
  <c r="I109" i="37"/>
  <c r="T109" i="37"/>
  <c r="V109" i="37"/>
  <c r="Z109" i="37"/>
  <c r="AC109" i="37"/>
  <c r="R109" i="37"/>
  <c r="G109" i="37"/>
  <c r="AD109" i="37"/>
  <c r="AF109" i="37"/>
  <c r="C109" i="37"/>
  <c r="B109" i="37"/>
  <c r="H108" i="37"/>
  <c r="S108" i="37"/>
  <c r="U108" i="37"/>
  <c r="Y108" i="37"/>
  <c r="AA108" i="37"/>
  <c r="AE108" i="37"/>
  <c r="AB108" i="37"/>
  <c r="I108" i="37"/>
  <c r="T108" i="37"/>
  <c r="V108" i="37"/>
  <c r="Z108" i="37"/>
  <c r="AC108" i="37"/>
  <c r="R108" i="37"/>
  <c r="G108" i="37"/>
  <c r="AD108" i="37"/>
  <c r="AF108" i="37"/>
  <c r="C108" i="37"/>
  <c r="B108" i="37"/>
  <c r="H107" i="37"/>
  <c r="S107" i="37"/>
  <c r="U107" i="37"/>
  <c r="Y107" i="37"/>
  <c r="AA107" i="37"/>
  <c r="AE107" i="37"/>
  <c r="AB107" i="37"/>
  <c r="I107" i="37"/>
  <c r="T107" i="37"/>
  <c r="V107" i="37"/>
  <c r="Z107" i="37"/>
  <c r="AC107" i="37"/>
  <c r="R107" i="37"/>
  <c r="G107" i="37"/>
  <c r="AD107" i="37"/>
  <c r="AF107" i="37"/>
  <c r="C107" i="37"/>
  <c r="B107" i="37"/>
  <c r="H106" i="37"/>
  <c r="S106" i="37"/>
  <c r="U106" i="37"/>
  <c r="Y106" i="37"/>
  <c r="AA106" i="37"/>
  <c r="AE106" i="37"/>
  <c r="AB106" i="37"/>
  <c r="I106" i="37"/>
  <c r="T106" i="37"/>
  <c r="V106" i="37"/>
  <c r="Z106" i="37"/>
  <c r="AC106" i="37"/>
  <c r="R106" i="37"/>
  <c r="G106" i="37"/>
  <c r="AD106" i="37"/>
  <c r="AF106" i="37"/>
  <c r="C106" i="37"/>
  <c r="B106" i="37"/>
  <c r="H105" i="37"/>
  <c r="S105" i="37"/>
  <c r="U105" i="37"/>
  <c r="Y105" i="37"/>
  <c r="AA105" i="37"/>
  <c r="AE105" i="37"/>
  <c r="AB105" i="37"/>
  <c r="I105" i="37"/>
  <c r="T105" i="37"/>
  <c r="V105" i="37"/>
  <c r="Z105" i="37"/>
  <c r="AC105" i="37"/>
  <c r="R105" i="37"/>
  <c r="G105" i="37"/>
  <c r="AD105" i="37"/>
  <c r="AF105" i="37"/>
  <c r="C105" i="37"/>
  <c r="B105" i="37"/>
  <c r="H104" i="37"/>
  <c r="S104" i="37"/>
  <c r="U104" i="37"/>
  <c r="Y104" i="37"/>
  <c r="AA104" i="37"/>
  <c r="AE104" i="37"/>
  <c r="AB104" i="37"/>
  <c r="I104" i="37"/>
  <c r="T104" i="37"/>
  <c r="V104" i="37"/>
  <c r="Z104" i="37"/>
  <c r="AC104" i="37"/>
  <c r="R104" i="37"/>
  <c r="G104" i="37"/>
  <c r="AD104" i="37"/>
  <c r="AF104" i="37"/>
  <c r="C104" i="37"/>
  <c r="B104" i="37"/>
  <c r="H103" i="37"/>
  <c r="S103" i="37"/>
  <c r="U103" i="37"/>
  <c r="Y103" i="37"/>
  <c r="AA103" i="37"/>
  <c r="AE103" i="37"/>
  <c r="AB103" i="37"/>
  <c r="I103" i="37"/>
  <c r="T103" i="37"/>
  <c r="V103" i="37"/>
  <c r="Z103" i="37"/>
  <c r="AC103" i="37"/>
  <c r="R103" i="37"/>
  <c r="G103" i="37"/>
  <c r="AD103" i="37"/>
  <c r="AF103" i="37"/>
  <c r="C103" i="37"/>
  <c r="B103" i="37"/>
  <c r="H102" i="37"/>
  <c r="S102" i="37"/>
  <c r="U102" i="37"/>
  <c r="Y102" i="37"/>
  <c r="AA102" i="37"/>
  <c r="AE102" i="37"/>
  <c r="AB102" i="37"/>
  <c r="I102" i="37"/>
  <c r="T102" i="37"/>
  <c r="V102" i="37"/>
  <c r="Z102" i="37"/>
  <c r="AC102" i="37"/>
  <c r="R102" i="37"/>
  <c r="G102" i="37"/>
  <c r="AD102" i="37"/>
  <c r="AF102" i="37"/>
  <c r="C102" i="37"/>
  <c r="B102" i="37"/>
  <c r="H101" i="37"/>
  <c r="S101" i="37"/>
  <c r="U101" i="37"/>
  <c r="Y101" i="37"/>
  <c r="AA101" i="37"/>
  <c r="AE101" i="37"/>
  <c r="AB101" i="37"/>
  <c r="I101" i="37"/>
  <c r="T101" i="37"/>
  <c r="V101" i="37"/>
  <c r="Z101" i="37"/>
  <c r="AC101" i="37"/>
  <c r="R101" i="37"/>
  <c r="G101" i="37"/>
  <c r="AD101" i="37"/>
  <c r="AF101" i="37"/>
  <c r="C101" i="37"/>
  <c r="B101" i="37"/>
  <c r="H100" i="37"/>
  <c r="S100" i="37"/>
  <c r="U100" i="37"/>
  <c r="Y100" i="37"/>
  <c r="AA100" i="37"/>
  <c r="AE100" i="37"/>
  <c r="AB100" i="37"/>
  <c r="I100" i="37"/>
  <c r="T100" i="37"/>
  <c r="V100" i="37"/>
  <c r="Z100" i="37"/>
  <c r="AC100" i="37"/>
  <c r="R100" i="37"/>
  <c r="G100" i="37"/>
  <c r="AD100" i="37"/>
  <c r="AF100" i="37"/>
  <c r="C100" i="37"/>
  <c r="B100" i="37"/>
  <c r="H99" i="37"/>
  <c r="S99" i="37"/>
  <c r="U99" i="37"/>
  <c r="Y99" i="37"/>
  <c r="AA99" i="37"/>
  <c r="AE99" i="37"/>
  <c r="AB99" i="37"/>
  <c r="I99" i="37"/>
  <c r="T99" i="37"/>
  <c r="V99" i="37"/>
  <c r="Z99" i="37"/>
  <c r="AC99" i="37"/>
  <c r="R99" i="37"/>
  <c r="G99" i="37"/>
  <c r="AD99" i="37"/>
  <c r="AF99" i="37"/>
  <c r="C99" i="37"/>
  <c r="B99" i="37"/>
  <c r="H98" i="37"/>
  <c r="S98" i="37"/>
  <c r="U98" i="37"/>
  <c r="Y98" i="37"/>
  <c r="AA98" i="37"/>
  <c r="AE98" i="37"/>
  <c r="AB98" i="37"/>
  <c r="I98" i="37"/>
  <c r="T98" i="37"/>
  <c r="V98" i="37"/>
  <c r="Z98" i="37"/>
  <c r="AC98" i="37"/>
  <c r="R98" i="37"/>
  <c r="G98" i="37"/>
  <c r="AD98" i="37"/>
  <c r="AF98" i="37"/>
  <c r="C98" i="37"/>
  <c r="B98" i="37"/>
  <c r="H97" i="37"/>
  <c r="S97" i="37"/>
  <c r="U97" i="37"/>
  <c r="Y97" i="37"/>
  <c r="AA97" i="37"/>
  <c r="AE97" i="37"/>
  <c r="AB97" i="37"/>
  <c r="I97" i="37"/>
  <c r="T97" i="37"/>
  <c r="V97" i="37"/>
  <c r="Z97" i="37"/>
  <c r="AC97" i="37"/>
  <c r="R97" i="37"/>
  <c r="G97" i="37"/>
  <c r="AD97" i="37"/>
  <c r="AF97" i="37"/>
  <c r="C97" i="37"/>
  <c r="B97" i="37"/>
  <c r="H96" i="37"/>
  <c r="S96" i="37"/>
  <c r="U96" i="37"/>
  <c r="Y96" i="37"/>
  <c r="AA96" i="37"/>
  <c r="AE96" i="37"/>
  <c r="AB96" i="37"/>
  <c r="I96" i="37"/>
  <c r="T96" i="37"/>
  <c r="V96" i="37"/>
  <c r="Z96" i="37"/>
  <c r="AC96" i="37"/>
  <c r="R96" i="37"/>
  <c r="G96" i="37"/>
  <c r="AD96" i="37"/>
  <c r="AF96" i="37"/>
  <c r="C96" i="37"/>
  <c r="B96" i="37"/>
  <c r="H95" i="37"/>
  <c r="S95" i="37"/>
  <c r="U95" i="37"/>
  <c r="Y95" i="37"/>
  <c r="AA95" i="37"/>
  <c r="AE95" i="37"/>
  <c r="AB95" i="37"/>
  <c r="I95" i="37"/>
  <c r="T95" i="37"/>
  <c r="V95" i="37"/>
  <c r="Z95" i="37"/>
  <c r="AC95" i="37"/>
  <c r="R95" i="37"/>
  <c r="G95" i="37"/>
  <c r="AD95" i="37"/>
  <c r="AF95" i="37"/>
  <c r="C95" i="37"/>
  <c r="B95" i="37"/>
  <c r="H94" i="37"/>
  <c r="S94" i="37"/>
  <c r="U94" i="37"/>
  <c r="Y94" i="37"/>
  <c r="AA94" i="37"/>
  <c r="AE94" i="37"/>
  <c r="AB94" i="37"/>
  <c r="I94" i="37"/>
  <c r="T94" i="37"/>
  <c r="V94" i="37"/>
  <c r="Z94" i="37"/>
  <c r="AC94" i="37"/>
  <c r="R94" i="37"/>
  <c r="G94" i="37"/>
  <c r="AD94" i="37"/>
  <c r="AF94" i="37"/>
  <c r="C94" i="37"/>
  <c r="B94" i="37"/>
  <c r="H93" i="37"/>
  <c r="S93" i="37"/>
  <c r="U93" i="37"/>
  <c r="Y93" i="37"/>
  <c r="AA93" i="37"/>
  <c r="AE93" i="37"/>
  <c r="AB93" i="37"/>
  <c r="I93" i="37"/>
  <c r="T93" i="37"/>
  <c r="V93" i="37"/>
  <c r="Z93" i="37"/>
  <c r="AC93" i="37"/>
  <c r="R93" i="37"/>
  <c r="G93" i="37"/>
  <c r="AD93" i="37"/>
  <c r="AF93" i="37"/>
  <c r="C93" i="37"/>
  <c r="B93" i="37"/>
  <c r="H92" i="37"/>
  <c r="S92" i="37"/>
  <c r="U92" i="37"/>
  <c r="Y92" i="37"/>
  <c r="AA92" i="37"/>
  <c r="AE92" i="37"/>
  <c r="AB92" i="37"/>
  <c r="I92" i="37"/>
  <c r="T92" i="37"/>
  <c r="V92" i="37"/>
  <c r="Z92" i="37"/>
  <c r="AC92" i="37"/>
  <c r="R92" i="37"/>
  <c r="G92" i="37"/>
  <c r="AD92" i="37"/>
  <c r="AF92" i="37"/>
  <c r="C92" i="37"/>
  <c r="B92" i="37"/>
  <c r="H91" i="37"/>
  <c r="S91" i="37"/>
  <c r="U91" i="37"/>
  <c r="Y91" i="37"/>
  <c r="AA91" i="37"/>
  <c r="AE91" i="37"/>
  <c r="AB91" i="37"/>
  <c r="I91" i="37"/>
  <c r="T91" i="37"/>
  <c r="V91" i="37"/>
  <c r="Z91" i="37"/>
  <c r="AC91" i="37"/>
  <c r="R91" i="37"/>
  <c r="G91" i="37"/>
  <c r="AD91" i="37"/>
  <c r="AF91" i="37"/>
  <c r="C91" i="37"/>
  <c r="B91" i="37"/>
  <c r="H90" i="37"/>
  <c r="S90" i="37"/>
  <c r="U90" i="37"/>
  <c r="Y90" i="37"/>
  <c r="AA90" i="37"/>
  <c r="AE90" i="37"/>
  <c r="AB90" i="37"/>
  <c r="I90" i="37"/>
  <c r="T90" i="37"/>
  <c r="V90" i="37"/>
  <c r="Z90" i="37"/>
  <c r="AC90" i="37"/>
  <c r="R90" i="37"/>
  <c r="G90" i="37"/>
  <c r="AD90" i="37"/>
  <c r="AF90" i="37"/>
  <c r="C90" i="37"/>
  <c r="B90" i="37"/>
  <c r="H89" i="37"/>
  <c r="S89" i="37"/>
  <c r="U89" i="37"/>
  <c r="Y89" i="37"/>
  <c r="AA89" i="37"/>
  <c r="AE89" i="37"/>
  <c r="AB89" i="37"/>
  <c r="I89" i="37"/>
  <c r="T89" i="37"/>
  <c r="V89" i="37"/>
  <c r="Z89" i="37"/>
  <c r="AC89" i="37"/>
  <c r="R89" i="37"/>
  <c r="G89" i="37"/>
  <c r="AD89" i="37"/>
  <c r="AF89" i="37"/>
  <c r="C89" i="37"/>
  <c r="B89" i="37"/>
  <c r="H88" i="37"/>
  <c r="S88" i="37"/>
  <c r="U88" i="37"/>
  <c r="Y88" i="37"/>
  <c r="AA88" i="37"/>
  <c r="AE88" i="37"/>
  <c r="AB88" i="37"/>
  <c r="I88" i="37"/>
  <c r="T88" i="37"/>
  <c r="V88" i="37"/>
  <c r="Z88" i="37"/>
  <c r="AC88" i="37"/>
  <c r="R88" i="37"/>
  <c r="G88" i="37"/>
  <c r="AD88" i="37"/>
  <c r="AF88" i="37"/>
  <c r="C88" i="37"/>
  <c r="B88" i="37"/>
  <c r="H87" i="37"/>
  <c r="S87" i="37"/>
  <c r="U87" i="37"/>
  <c r="Y87" i="37"/>
  <c r="AA87" i="37"/>
  <c r="AE87" i="37"/>
  <c r="AB87" i="37"/>
  <c r="I87" i="37"/>
  <c r="T87" i="37"/>
  <c r="V87" i="37"/>
  <c r="Z87" i="37"/>
  <c r="AC87" i="37"/>
  <c r="R87" i="37"/>
  <c r="G87" i="37"/>
  <c r="AD87" i="37"/>
  <c r="AF87" i="37"/>
  <c r="C87" i="37"/>
  <c r="B87" i="37"/>
  <c r="H86" i="37"/>
  <c r="S86" i="37"/>
  <c r="U86" i="37"/>
  <c r="Y86" i="37"/>
  <c r="AA86" i="37"/>
  <c r="AE86" i="37"/>
  <c r="AB86" i="37"/>
  <c r="I86" i="37"/>
  <c r="T86" i="37"/>
  <c r="V86" i="37"/>
  <c r="Z86" i="37"/>
  <c r="AC86" i="37"/>
  <c r="R86" i="37"/>
  <c r="G86" i="37"/>
  <c r="AD86" i="37"/>
  <c r="AF86" i="37"/>
  <c r="C86" i="37"/>
  <c r="B86" i="37"/>
  <c r="H85" i="37"/>
  <c r="S85" i="37"/>
  <c r="U85" i="37"/>
  <c r="Y85" i="37"/>
  <c r="AA85" i="37"/>
  <c r="AE85" i="37"/>
  <c r="AB85" i="37"/>
  <c r="I85" i="37"/>
  <c r="T85" i="37"/>
  <c r="V85" i="37"/>
  <c r="Z85" i="37"/>
  <c r="AC85" i="37"/>
  <c r="R85" i="37"/>
  <c r="G85" i="37"/>
  <c r="AD85" i="37"/>
  <c r="AF85" i="37"/>
  <c r="C85" i="37"/>
  <c r="B85" i="37"/>
  <c r="H84" i="37"/>
  <c r="S84" i="37"/>
  <c r="U84" i="37"/>
  <c r="Y84" i="37"/>
  <c r="AA84" i="37"/>
  <c r="AE84" i="37"/>
  <c r="AB84" i="37"/>
  <c r="I84" i="37"/>
  <c r="T84" i="37"/>
  <c r="V84" i="37"/>
  <c r="Z84" i="37"/>
  <c r="AC84" i="37"/>
  <c r="R84" i="37"/>
  <c r="G84" i="37"/>
  <c r="AD84" i="37"/>
  <c r="AF84" i="37"/>
  <c r="C84" i="37"/>
  <c r="B84" i="37"/>
  <c r="H83" i="37"/>
  <c r="S83" i="37"/>
  <c r="U83" i="37"/>
  <c r="Y83" i="37"/>
  <c r="AA83" i="37"/>
  <c r="AE83" i="37"/>
  <c r="AB83" i="37"/>
  <c r="I83" i="37"/>
  <c r="T83" i="37"/>
  <c r="V83" i="37"/>
  <c r="Z83" i="37"/>
  <c r="AC83" i="37"/>
  <c r="R83" i="37"/>
  <c r="G83" i="37"/>
  <c r="AD83" i="37"/>
  <c r="AF83" i="37"/>
  <c r="C83" i="37"/>
  <c r="B83" i="37"/>
  <c r="H82" i="37"/>
  <c r="S82" i="37"/>
  <c r="U82" i="37"/>
  <c r="Y82" i="37"/>
  <c r="AA82" i="37"/>
  <c r="AE82" i="37"/>
  <c r="AB82" i="37"/>
  <c r="I82" i="37"/>
  <c r="T82" i="37"/>
  <c r="V82" i="37"/>
  <c r="Z82" i="37"/>
  <c r="AC82" i="37"/>
  <c r="R82" i="37"/>
  <c r="G82" i="37"/>
  <c r="AD82" i="37"/>
  <c r="AF82" i="37"/>
  <c r="C82" i="37"/>
  <c r="B82" i="37"/>
  <c r="H81" i="37"/>
  <c r="S81" i="37"/>
  <c r="U81" i="37"/>
  <c r="Y81" i="37"/>
  <c r="AA81" i="37"/>
  <c r="AE81" i="37"/>
  <c r="AB81" i="37"/>
  <c r="I81" i="37"/>
  <c r="T81" i="37"/>
  <c r="V81" i="37"/>
  <c r="Z81" i="37"/>
  <c r="AC81" i="37"/>
  <c r="R81" i="37"/>
  <c r="G81" i="37"/>
  <c r="AD81" i="37"/>
  <c r="AF81" i="37"/>
  <c r="C81" i="37"/>
  <c r="B81" i="37"/>
  <c r="H80" i="37"/>
  <c r="S80" i="37"/>
  <c r="U80" i="37"/>
  <c r="Y80" i="37"/>
  <c r="AA80" i="37"/>
  <c r="AE80" i="37"/>
  <c r="AB80" i="37"/>
  <c r="I80" i="37"/>
  <c r="T80" i="37"/>
  <c r="V80" i="37"/>
  <c r="Z80" i="37"/>
  <c r="AC80" i="37"/>
  <c r="R80" i="37"/>
  <c r="G80" i="37"/>
  <c r="AD80" i="37"/>
  <c r="AF80" i="37"/>
  <c r="C80" i="37"/>
  <c r="B80" i="37"/>
  <c r="H79" i="37"/>
  <c r="S79" i="37"/>
  <c r="U79" i="37"/>
  <c r="Y79" i="37"/>
  <c r="AA79" i="37"/>
  <c r="AE79" i="37"/>
  <c r="AB79" i="37"/>
  <c r="I79" i="37"/>
  <c r="T79" i="37"/>
  <c r="V79" i="37"/>
  <c r="Z79" i="37"/>
  <c r="AC79" i="37"/>
  <c r="R79" i="37"/>
  <c r="G79" i="37"/>
  <c r="AD79" i="37"/>
  <c r="AF79" i="37"/>
  <c r="C79" i="37"/>
  <c r="B79" i="37"/>
  <c r="H78" i="37"/>
  <c r="S78" i="37"/>
  <c r="U78" i="37"/>
  <c r="Y78" i="37"/>
  <c r="AA78" i="37"/>
  <c r="AE78" i="37"/>
  <c r="AB78" i="37"/>
  <c r="I78" i="37"/>
  <c r="T78" i="37"/>
  <c r="V78" i="37"/>
  <c r="Z78" i="37"/>
  <c r="AC78" i="37"/>
  <c r="R78" i="37"/>
  <c r="G78" i="37"/>
  <c r="AD78" i="37"/>
  <c r="AF78" i="37"/>
  <c r="C78" i="37"/>
  <c r="B78" i="37"/>
  <c r="H77" i="37"/>
  <c r="S77" i="37"/>
  <c r="U77" i="37"/>
  <c r="Y77" i="37"/>
  <c r="AA77" i="37"/>
  <c r="AE77" i="37"/>
  <c r="AB77" i="37"/>
  <c r="I77" i="37"/>
  <c r="T77" i="37"/>
  <c r="V77" i="37"/>
  <c r="Z77" i="37"/>
  <c r="AC77" i="37"/>
  <c r="R77" i="37"/>
  <c r="G77" i="37"/>
  <c r="AD77" i="37"/>
  <c r="AF77" i="37"/>
  <c r="C77" i="37"/>
  <c r="B77" i="37"/>
  <c r="H76" i="37"/>
  <c r="S76" i="37"/>
  <c r="U76" i="37"/>
  <c r="Y76" i="37"/>
  <c r="AA76" i="37"/>
  <c r="AE76" i="37"/>
  <c r="AB76" i="37"/>
  <c r="I76" i="37"/>
  <c r="T76" i="37"/>
  <c r="V76" i="37"/>
  <c r="Z76" i="37"/>
  <c r="AC76" i="37"/>
  <c r="R76" i="37"/>
  <c r="G76" i="37"/>
  <c r="AD76" i="37"/>
  <c r="AF76" i="37"/>
  <c r="C76" i="37"/>
  <c r="B76" i="37"/>
  <c r="K3" i="31"/>
  <c r="L3" i="31"/>
  <c r="N3" i="31"/>
  <c r="Q3" i="31"/>
  <c r="O3" i="31"/>
  <c r="P3" i="31"/>
  <c r="R3" i="31"/>
  <c r="W3" i="31"/>
  <c r="K4" i="31"/>
  <c r="L4" i="31"/>
  <c r="N4" i="31"/>
  <c r="Q4" i="31"/>
  <c r="O4" i="31"/>
  <c r="P4" i="31"/>
  <c r="R4" i="31"/>
  <c r="W4" i="31"/>
  <c r="K5" i="31"/>
  <c r="L5" i="31"/>
  <c r="N5" i="31"/>
  <c r="Q5" i="31"/>
  <c r="O5" i="31"/>
  <c r="P5" i="31"/>
  <c r="R5" i="31"/>
  <c r="W5" i="31"/>
  <c r="K6" i="31"/>
  <c r="L6" i="31"/>
  <c r="N6" i="31"/>
  <c r="Q6" i="31"/>
  <c r="O6" i="31"/>
  <c r="P6" i="31"/>
  <c r="R6" i="31"/>
  <c r="W6" i="31"/>
  <c r="K7" i="31"/>
  <c r="L7" i="31"/>
  <c r="N7" i="31"/>
  <c r="Q7" i="31"/>
  <c r="O7" i="31"/>
  <c r="P7" i="31"/>
  <c r="R7" i="31"/>
  <c r="W7" i="31"/>
  <c r="K8" i="31"/>
  <c r="L8" i="31"/>
  <c r="N8" i="31"/>
  <c r="Q8" i="31"/>
  <c r="O8" i="31"/>
  <c r="P8" i="31"/>
  <c r="R8" i="31"/>
  <c r="W8" i="31"/>
  <c r="K9" i="31"/>
  <c r="L9" i="31"/>
  <c r="N9" i="31"/>
  <c r="Q9" i="31"/>
  <c r="O9" i="31"/>
  <c r="P9" i="31"/>
  <c r="R9" i="31"/>
  <c r="W9" i="31"/>
  <c r="K10" i="31"/>
  <c r="L10" i="31"/>
  <c r="N10" i="31"/>
  <c r="Q10" i="31"/>
  <c r="O10" i="31"/>
  <c r="P10" i="31"/>
  <c r="R10" i="31"/>
  <c r="W10" i="31"/>
  <c r="K11" i="31"/>
  <c r="L11" i="31"/>
  <c r="N11" i="31"/>
  <c r="Q11" i="31"/>
  <c r="O11" i="31"/>
  <c r="P11" i="31"/>
  <c r="R11" i="31"/>
  <c r="W11" i="31"/>
  <c r="K12" i="31"/>
  <c r="L12" i="31"/>
  <c r="N12" i="31"/>
  <c r="Q12" i="31"/>
  <c r="O12" i="31"/>
  <c r="P12" i="31"/>
  <c r="R12" i="31"/>
  <c r="W12" i="31"/>
  <c r="K13" i="31"/>
  <c r="L13" i="31"/>
  <c r="N13" i="31"/>
  <c r="Q13" i="31"/>
  <c r="O13" i="31"/>
  <c r="P13" i="31"/>
  <c r="R13" i="31"/>
  <c r="W13" i="31"/>
  <c r="K14" i="31"/>
  <c r="L14" i="31"/>
  <c r="N14" i="31"/>
  <c r="Q14" i="31"/>
  <c r="O14" i="31"/>
  <c r="P14" i="31"/>
  <c r="R14" i="31"/>
  <c r="W14" i="31"/>
  <c r="K15" i="31"/>
  <c r="L15" i="31"/>
  <c r="N15" i="31"/>
  <c r="Q15" i="31"/>
  <c r="O15" i="31"/>
  <c r="P15" i="31"/>
  <c r="R15" i="31"/>
  <c r="W15" i="31"/>
  <c r="K16" i="31"/>
  <c r="L16" i="31"/>
  <c r="N16" i="31"/>
  <c r="Q16" i="31"/>
  <c r="O16" i="31"/>
  <c r="P16" i="31"/>
  <c r="R16" i="31"/>
  <c r="W16" i="31"/>
  <c r="K17" i="31"/>
  <c r="L17" i="31"/>
  <c r="N17" i="31"/>
  <c r="Q17" i="31"/>
  <c r="O17" i="31"/>
  <c r="P17" i="31"/>
  <c r="R17" i="31"/>
  <c r="W17" i="31"/>
  <c r="K18" i="31"/>
  <c r="L18" i="31"/>
  <c r="N18" i="31"/>
  <c r="Q18" i="31"/>
  <c r="O18" i="31"/>
  <c r="P18" i="31"/>
  <c r="R18" i="31"/>
  <c r="W18" i="31"/>
  <c r="K19" i="31"/>
  <c r="L19" i="31"/>
  <c r="N19" i="31"/>
  <c r="Q19" i="31"/>
  <c r="O19" i="31"/>
  <c r="P19" i="31"/>
  <c r="R19" i="31"/>
  <c r="W19" i="31"/>
  <c r="K20" i="31"/>
  <c r="L20" i="31"/>
  <c r="N20" i="31"/>
  <c r="Q20" i="31"/>
  <c r="O20" i="31"/>
  <c r="P20" i="31"/>
  <c r="R20" i="31"/>
  <c r="W20" i="31"/>
  <c r="K21" i="31"/>
  <c r="L21" i="31"/>
  <c r="N21" i="31"/>
  <c r="Q21" i="31"/>
  <c r="O21" i="31"/>
  <c r="P21" i="31"/>
  <c r="R21" i="31"/>
  <c r="W21" i="31"/>
  <c r="K22" i="31"/>
  <c r="L22" i="31"/>
  <c r="N22" i="31"/>
  <c r="Q22" i="31"/>
  <c r="O22" i="31"/>
  <c r="P22" i="31"/>
  <c r="R22" i="31"/>
  <c r="W22" i="31"/>
  <c r="K23" i="31"/>
  <c r="L23" i="31"/>
  <c r="N23" i="31"/>
  <c r="Q23" i="31"/>
  <c r="O23" i="31"/>
  <c r="P23" i="31"/>
  <c r="R23" i="31"/>
  <c r="W23" i="31"/>
  <c r="K24" i="31"/>
  <c r="L24" i="31"/>
  <c r="N24" i="31"/>
  <c r="Q24" i="31"/>
  <c r="O24" i="31"/>
  <c r="P24" i="31"/>
  <c r="R24" i="31"/>
  <c r="W24" i="31"/>
  <c r="K25" i="31"/>
  <c r="L25" i="31"/>
  <c r="N25" i="31"/>
  <c r="Q25" i="31"/>
  <c r="O25" i="31"/>
  <c r="P25" i="31"/>
  <c r="R25" i="31"/>
  <c r="W25" i="31"/>
  <c r="K26" i="31"/>
  <c r="L26" i="31"/>
  <c r="N26" i="31"/>
  <c r="Q26" i="31"/>
  <c r="O26" i="31"/>
  <c r="P26" i="31"/>
  <c r="R26" i="31"/>
  <c r="W26" i="31"/>
  <c r="K27" i="31"/>
  <c r="L27" i="31"/>
  <c r="N27" i="31"/>
  <c r="Q27" i="31"/>
  <c r="O27" i="31"/>
  <c r="P27" i="31"/>
  <c r="R27" i="31"/>
  <c r="W27" i="31"/>
  <c r="K28" i="31"/>
  <c r="L28" i="31"/>
  <c r="N28" i="31"/>
  <c r="Q28" i="31"/>
  <c r="O28" i="31"/>
  <c r="P28" i="31"/>
  <c r="R28" i="31"/>
  <c r="W28" i="31"/>
  <c r="K29" i="31"/>
  <c r="L29" i="31"/>
  <c r="N29" i="31"/>
  <c r="Q29" i="31"/>
  <c r="O29" i="31"/>
  <c r="P29" i="31"/>
  <c r="R29" i="31"/>
  <c r="W29" i="31"/>
  <c r="K30" i="31"/>
  <c r="L30" i="31"/>
  <c r="N30" i="31"/>
  <c r="Q30" i="31"/>
  <c r="O30" i="31"/>
  <c r="P30" i="31"/>
  <c r="R30" i="31"/>
  <c r="W30" i="31"/>
  <c r="K31" i="31"/>
  <c r="L31" i="31"/>
  <c r="N31" i="31"/>
  <c r="Q31" i="31"/>
  <c r="O31" i="31"/>
  <c r="P31" i="31"/>
  <c r="R31" i="31"/>
  <c r="W31" i="31"/>
  <c r="K32" i="31"/>
  <c r="L32" i="31"/>
  <c r="N32" i="31"/>
  <c r="Q32" i="31"/>
  <c r="O32" i="31"/>
  <c r="P32" i="31"/>
  <c r="R32" i="31"/>
  <c r="W32" i="31"/>
  <c r="K33" i="31"/>
  <c r="L33" i="31"/>
  <c r="N33" i="31"/>
  <c r="Q33" i="31"/>
  <c r="O33" i="31"/>
  <c r="P33" i="31"/>
  <c r="R33" i="31"/>
  <c r="W33" i="31"/>
  <c r="K34" i="31"/>
  <c r="L34" i="31"/>
  <c r="N34" i="31"/>
  <c r="Q34" i="31"/>
  <c r="O34" i="31"/>
  <c r="P34" i="31"/>
  <c r="R34" i="31"/>
  <c r="W34" i="31"/>
  <c r="K35" i="31"/>
  <c r="L35" i="31"/>
  <c r="N35" i="31"/>
  <c r="Q35" i="31"/>
  <c r="O35" i="31"/>
  <c r="P35" i="31"/>
  <c r="R35" i="31"/>
  <c r="W35" i="31"/>
  <c r="K36" i="31"/>
  <c r="L36" i="31"/>
  <c r="N36" i="31"/>
  <c r="Q36" i="31"/>
  <c r="O36" i="31"/>
  <c r="P36" i="31"/>
  <c r="R36" i="31"/>
  <c r="W36" i="31"/>
  <c r="K37" i="31"/>
  <c r="L37" i="31"/>
  <c r="N37" i="31"/>
  <c r="Q37" i="31"/>
  <c r="O37" i="31"/>
  <c r="P37" i="31"/>
  <c r="R37" i="31"/>
  <c r="W37" i="31"/>
  <c r="K38" i="31"/>
  <c r="L38" i="31"/>
  <c r="N38" i="31"/>
  <c r="Q38" i="31"/>
  <c r="O38" i="31"/>
  <c r="P38" i="31"/>
  <c r="R38" i="31"/>
  <c r="W38" i="31"/>
  <c r="K39" i="31"/>
  <c r="L39" i="31"/>
  <c r="N39" i="31"/>
  <c r="Q39" i="31"/>
  <c r="O39" i="31"/>
  <c r="P39" i="31"/>
  <c r="R39" i="31"/>
  <c r="W39" i="31"/>
  <c r="K40" i="31"/>
  <c r="L40" i="31"/>
  <c r="N40" i="31"/>
  <c r="Q40" i="31"/>
  <c r="O40" i="31"/>
  <c r="P40" i="31"/>
  <c r="R40" i="31"/>
  <c r="W40" i="31"/>
  <c r="K41" i="31"/>
  <c r="L41" i="31"/>
  <c r="N41" i="31"/>
  <c r="Q41" i="31"/>
  <c r="O41" i="31"/>
  <c r="P41" i="31"/>
  <c r="R41" i="31"/>
  <c r="W41" i="31"/>
  <c r="K42" i="31"/>
  <c r="L42" i="31"/>
  <c r="N42" i="31"/>
  <c r="Q42" i="31"/>
  <c r="O42" i="31"/>
  <c r="P42" i="31"/>
  <c r="R42" i="31"/>
  <c r="W42" i="31"/>
  <c r="K43" i="31"/>
  <c r="L43" i="31"/>
  <c r="N43" i="31"/>
  <c r="Q43" i="31"/>
  <c r="O43" i="31"/>
  <c r="P43" i="31"/>
  <c r="R43" i="31"/>
  <c r="W43" i="31"/>
  <c r="K44" i="31"/>
  <c r="L44" i="31"/>
  <c r="N44" i="31"/>
  <c r="Q44" i="31"/>
  <c r="O44" i="31"/>
  <c r="P44" i="31"/>
  <c r="R44" i="31"/>
  <c r="W44" i="31"/>
  <c r="K45" i="31"/>
  <c r="L45" i="31"/>
  <c r="N45" i="31"/>
  <c r="Q45" i="31"/>
  <c r="O45" i="31"/>
  <c r="P45" i="31"/>
  <c r="R45" i="31"/>
  <c r="W45" i="31"/>
  <c r="K46" i="31"/>
  <c r="L46" i="31"/>
  <c r="N46" i="31"/>
  <c r="Q46" i="31"/>
  <c r="O46" i="31"/>
  <c r="P46" i="31"/>
  <c r="R46" i="31"/>
  <c r="W46" i="31"/>
  <c r="K47" i="31"/>
  <c r="L47" i="31"/>
  <c r="N47" i="31"/>
  <c r="Q47" i="31"/>
  <c r="O47" i="31"/>
  <c r="P47" i="31"/>
  <c r="R47" i="31"/>
  <c r="W47" i="31"/>
  <c r="K48" i="31"/>
  <c r="L48" i="31"/>
  <c r="N48" i="31"/>
  <c r="Q48" i="31"/>
  <c r="O48" i="31"/>
  <c r="P48" i="31"/>
  <c r="R48" i="31"/>
  <c r="W48" i="31"/>
  <c r="K49" i="31"/>
  <c r="L49" i="31"/>
  <c r="N49" i="31"/>
  <c r="Q49" i="31"/>
  <c r="O49" i="31"/>
  <c r="P49" i="31"/>
  <c r="R49" i="31"/>
  <c r="W49" i="31"/>
  <c r="K50" i="31"/>
  <c r="L50" i="31"/>
  <c r="N50" i="31"/>
  <c r="Q50" i="31"/>
  <c r="O50" i="31"/>
  <c r="P50" i="31"/>
  <c r="R50" i="31"/>
  <c r="W50" i="31"/>
  <c r="K51" i="31"/>
  <c r="L51" i="31"/>
  <c r="N51" i="31"/>
  <c r="Q51" i="31"/>
  <c r="O51" i="31"/>
  <c r="P51" i="31"/>
  <c r="R51" i="31"/>
  <c r="W51" i="31"/>
  <c r="K52" i="31"/>
  <c r="L52" i="31"/>
  <c r="N52" i="31"/>
  <c r="Q52" i="31"/>
  <c r="O52" i="31"/>
  <c r="P52" i="31"/>
  <c r="R52" i="31"/>
  <c r="W52" i="31"/>
  <c r="K53" i="31"/>
  <c r="L53" i="31"/>
  <c r="N53" i="31"/>
  <c r="Q53" i="31"/>
  <c r="O53" i="31"/>
  <c r="P53" i="31"/>
  <c r="R53" i="31"/>
  <c r="W53" i="31"/>
  <c r="K54" i="31"/>
  <c r="L54" i="31"/>
  <c r="N54" i="31"/>
  <c r="Q54" i="31"/>
  <c r="O54" i="31"/>
  <c r="P54" i="31"/>
  <c r="R54" i="31"/>
  <c r="W54" i="31"/>
  <c r="K55" i="31"/>
  <c r="L55" i="31"/>
  <c r="N55" i="31"/>
  <c r="Q55" i="31"/>
  <c r="O55" i="31"/>
  <c r="P55" i="31"/>
  <c r="R55" i="31"/>
  <c r="W55" i="31"/>
  <c r="K56" i="31"/>
  <c r="L56" i="31"/>
  <c r="N56" i="31"/>
  <c r="Q56" i="31"/>
  <c r="O56" i="31"/>
  <c r="P56" i="31"/>
  <c r="R56" i="31"/>
  <c r="W56" i="31"/>
  <c r="K57" i="31"/>
  <c r="L57" i="31"/>
  <c r="N57" i="31"/>
  <c r="Q57" i="31"/>
  <c r="O57" i="31"/>
  <c r="P57" i="31"/>
  <c r="R57" i="31"/>
  <c r="W57" i="31"/>
  <c r="K58" i="31"/>
  <c r="L58" i="31"/>
  <c r="N58" i="31"/>
  <c r="Q58" i="31"/>
  <c r="O58" i="31"/>
  <c r="P58" i="31"/>
  <c r="R58" i="31"/>
  <c r="W58" i="31"/>
  <c r="K59" i="31"/>
  <c r="L59" i="31"/>
  <c r="N59" i="31"/>
  <c r="Q59" i="31"/>
  <c r="O59" i="31"/>
  <c r="P59" i="31"/>
  <c r="R59" i="31"/>
  <c r="W59" i="31"/>
  <c r="K60" i="31"/>
  <c r="L60" i="31"/>
  <c r="N60" i="31"/>
  <c r="Q60" i="31"/>
  <c r="O60" i="31"/>
  <c r="P60" i="31"/>
  <c r="R60" i="31"/>
  <c r="W60" i="31"/>
  <c r="K61" i="31"/>
  <c r="L61" i="31"/>
  <c r="N61" i="31"/>
  <c r="Q61" i="31"/>
  <c r="O61" i="31"/>
  <c r="P61" i="31"/>
  <c r="R61" i="31"/>
  <c r="W61" i="31"/>
  <c r="K62" i="31"/>
  <c r="L62" i="31"/>
  <c r="N62" i="31"/>
  <c r="Q62" i="31"/>
  <c r="O62" i="31"/>
  <c r="P62" i="31"/>
  <c r="R62" i="31"/>
  <c r="W62" i="31"/>
  <c r="K63" i="31"/>
  <c r="L63" i="31"/>
  <c r="N63" i="31"/>
  <c r="Q63" i="31"/>
  <c r="O63" i="31"/>
  <c r="P63" i="31"/>
  <c r="R63" i="31"/>
  <c r="W63" i="31"/>
  <c r="K64" i="31"/>
  <c r="L64" i="31"/>
  <c r="N64" i="31"/>
  <c r="Q64" i="31"/>
  <c r="O64" i="31"/>
  <c r="P64" i="31"/>
  <c r="R64" i="31"/>
  <c r="W64" i="31"/>
  <c r="K65" i="31"/>
  <c r="L65" i="31"/>
  <c r="N65" i="31"/>
  <c r="Q65" i="31"/>
  <c r="O65" i="31"/>
  <c r="P65" i="31"/>
  <c r="R65" i="31"/>
  <c r="W65" i="31"/>
  <c r="K66" i="31"/>
  <c r="L66" i="31"/>
  <c r="N66" i="31"/>
  <c r="Q66" i="31"/>
  <c r="O66" i="31"/>
  <c r="P66" i="31"/>
  <c r="R66" i="31"/>
  <c r="W66" i="31"/>
  <c r="K67" i="31"/>
  <c r="L67" i="31"/>
  <c r="N67" i="31"/>
  <c r="Q67" i="31"/>
  <c r="O67" i="31"/>
  <c r="P67" i="31"/>
  <c r="R67" i="31"/>
  <c r="W67" i="31"/>
  <c r="K68" i="31"/>
  <c r="L68" i="31"/>
  <c r="N68" i="31"/>
  <c r="Q68" i="31"/>
  <c r="O68" i="31"/>
  <c r="P68" i="31"/>
  <c r="R68" i="31"/>
  <c r="W68" i="31"/>
  <c r="K69" i="31"/>
  <c r="L69" i="31"/>
  <c r="N69" i="31"/>
  <c r="Q69" i="31"/>
  <c r="O69" i="31"/>
  <c r="P69" i="31"/>
  <c r="R69" i="31"/>
  <c r="W69" i="31"/>
  <c r="K70" i="31"/>
  <c r="L70" i="31"/>
  <c r="N70" i="31"/>
  <c r="Q70" i="31"/>
  <c r="O70" i="31"/>
  <c r="P70" i="31"/>
  <c r="R70" i="31"/>
  <c r="W70" i="31"/>
  <c r="K71" i="31"/>
  <c r="L71" i="31"/>
  <c r="N71" i="31"/>
  <c r="Q71" i="31"/>
  <c r="O71" i="31"/>
  <c r="P71" i="31"/>
  <c r="R71" i="31"/>
  <c r="W71" i="31"/>
  <c r="K72" i="31"/>
  <c r="L72" i="31"/>
  <c r="N72" i="31"/>
  <c r="Q72" i="31"/>
  <c r="O72" i="31"/>
  <c r="P72" i="31"/>
  <c r="R72" i="31"/>
  <c r="W72" i="31"/>
  <c r="K73" i="31"/>
  <c r="L73" i="31"/>
  <c r="N73" i="31"/>
  <c r="Q73" i="31"/>
  <c r="O73" i="31"/>
  <c r="P73" i="31"/>
  <c r="R73" i="31"/>
  <c r="W73" i="31"/>
  <c r="K74" i="31"/>
  <c r="L74" i="31"/>
  <c r="N74" i="31"/>
  <c r="Q74" i="31"/>
  <c r="O74" i="31"/>
  <c r="P74" i="31"/>
  <c r="R74" i="31"/>
  <c r="W74" i="31"/>
  <c r="K75" i="31"/>
  <c r="L75" i="31"/>
  <c r="N75" i="31"/>
  <c r="Q75" i="31"/>
  <c r="O75" i="31"/>
  <c r="P75" i="31"/>
  <c r="R75" i="31"/>
  <c r="W75" i="31"/>
  <c r="K76" i="31"/>
  <c r="L76" i="31"/>
  <c r="N76" i="31"/>
  <c r="Q76" i="31"/>
  <c r="O76" i="31"/>
  <c r="P76" i="31"/>
  <c r="R76" i="31"/>
  <c r="W76" i="31"/>
  <c r="K77" i="31"/>
  <c r="L77" i="31"/>
  <c r="N77" i="31"/>
  <c r="Q77" i="31"/>
  <c r="O77" i="31"/>
  <c r="P77" i="31"/>
  <c r="R77" i="31"/>
  <c r="W77" i="31"/>
  <c r="K78" i="31"/>
  <c r="L78" i="31"/>
  <c r="N78" i="31"/>
  <c r="Q78" i="31"/>
  <c r="O78" i="31"/>
  <c r="P78" i="31"/>
  <c r="R78" i="31"/>
  <c r="W78" i="31"/>
  <c r="K79" i="31"/>
  <c r="L79" i="31"/>
  <c r="N79" i="31"/>
  <c r="Q79" i="31"/>
  <c r="O79" i="31"/>
  <c r="P79" i="31"/>
  <c r="R79" i="31"/>
  <c r="W79" i="31"/>
  <c r="K80" i="31"/>
  <c r="L80" i="31"/>
  <c r="N80" i="31"/>
  <c r="Q80" i="31"/>
  <c r="O80" i="31"/>
  <c r="P80" i="31"/>
  <c r="R80" i="31"/>
  <c r="W80" i="31"/>
  <c r="K81" i="31"/>
  <c r="L81" i="31"/>
  <c r="N81" i="31"/>
  <c r="Q81" i="31"/>
  <c r="O81" i="31"/>
  <c r="P81" i="31"/>
  <c r="R81" i="31"/>
  <c r="W81" i="31"/>
  <c r="K82" i="31"/>
  <c r="L82" i="31"/>
  <c r="N82" i="31"/>
  <c r="Q82" i="31"/>
  <c r="O82" i="31"/>
  <c r="P82" i="31"/>
  <c r="R82" i="31"/>
  <c r="W82" i="31"/>
  <c r="K83" i="31"/>
  <c r="L83" i="31"/>
  <c r="N83" i="31"/>
  <c r="Q83" i="31"/>
  <c r="O83" i="31"/>
  <c r="P83" i="31"/>
  <c r="R83" i="31"/>
  <c r="W83" i="31"/>
  <c r="K84" i="31"/>
  <c r="L84" i="31"/>
  <c r="N84" i="31"/>
  <c r="Q84" i="31"/>
  <c r="O84" i="31"/>
  <c r="P84" i="31"/>
  <c r="R84" i="31"/>
  <c r="W84" i="31"/>
  <c r="K85" i="31"/>
  <c r="L85" i="31"/>
  <c r="N85" i="31"/>
  <c r="Q85" i="31"/>
  <c r="O85" i="31"/>
  <c r="P85" i="31"/>
  <c r="R85" i="31"/>
  <c r="W85" i="31"/>
  <c r="K86" i="31"/>
  <c r="L86" i="31"/>
  <c r="N86" i="31"/>
  <c r="Q86" i="31"/>
  <c r="O86" i="31"/>
  <c r="P86" i="31"/>
  <c r="R86" i="31"/>
  <c r="W86" i="31"/>
  <c r="K87" i="31"/>
  <c r="L87" i="31"/>
  <c r="N87" i="31"/>
  <c r="Q87" i="31"/>
  <c r="O87" i="31"/>
  <c r="P87" i="31"/>
  <c r="R87" i="31"/>
  <c r="W87" i="31"/>
  <c r="K88" i="31"/>
  <c r="L88" i="31"/>
  <c r="N88" i="31"/>
  <c r="Q88" i="31"/>
  <c r="O88" i="31"/>
  <c r="P88" i="31"/>
  <c r="R88" i="31"/>
  <c r="W88" i="31"/>
  <c r="K89" i="31"/>
  <c r="L89" i="31"/>
  <c r="N89" i="31"/>
  <c r="Q89" i="31"/>
  <c r="O89" i="31"/>
  <c r="P89" i="31"/>
  <c r="R89" i="31"/>
  <c r="W89" i="31"/>
  <c r="K90" i="31"/>
  <c r="L90" i="31"/>
  <c r="N90" i="31"/>
  <c r="Q90" i="31"/>
  <c r="O90" i="31"/>
  <c r="P90" i="31"/>
  <c r="R90" i="31"/>
  <c r="W90" i="31"/>
  <c r="K91" i="31"/>
  <c r="L91" i="31"/>
  <c r="N91" i="31"/>
  <c r="Q91" i="31"/>
  <c r="O91" i="31"/>
  <c r="P91" i="31"/>
  <c r="R91" i="31"/>
  <c r="W91" i="31"/>
  <c r="K92" i="31"/>
  <c r="L92" i="31"/>
  <c r="N92" i="31"/>
  <c r="Q92" i="31"/>
  <c r="O92" i="31"/>
  <c r="P92" i="31"/>
  <c r="R92" i="31"/>
  <c r="W92" i="31"/>
  <c r="K93" i="31"/>
  <c r="L93" i="31"/>
  <c r="N93" i="31"/>
  <c r="Q93" i="31"/>
  <c r="O93" i="31"/>
  <c r="P93" i="31"/>
  <c r="R93" i="31"/>
  <c r="W93" i="31"/>
  <c r="K94" i="31"/>
  <c r="L94" i="31"/>
  <c r="N94" i="31"/>
  <c r="Q94" i="31"/>
  <c r="O94" i="31"/>
  <c r="P94" i="31"/>
  <c r="R94" i="31"/>
  <c r="W94" i="31"/>
  <c r="K95" i="31"/>
  <c r="L95" i="31"/>
  <c r="N95" i="31"/>
  <c r="Q95" i="31"/>
  <c r="O95" i="31"/>
  <c r="P95" i="31"/>
  <c r="R95" i="31"/>
  <c r="W95" i="31"/>
  <c r="K96" i="31"/>
  <c r="L96" i="31"/>
  <c r="N96" i="31"/>
  <c r="Q96" i="31"/>
  <c r="O96" i="31"/>
  <c r="P96" i="31"/>
  <c r="R96" i="31"/>
  <c r="W96" i="31"/>
  <c r="K97" i="31"/>
  <c r="L97" i="31"/>
  <c r="N97" i="31"/>
  <c r="Q97" i="31"/>
  <c r="O97" i="31"/>
  <c r="P97" i="31"/>
  <c r="R97" i="31"/>
  <c r="W97" i="31"/>
  <c r="K98" i="31"/>
  <c r="L98" i="31"/>
  <c r="N98" i="31"/>
  <c r="Q98" i="31"/>
  <c r="O98" i="31"/>
  <c r="P98" i="31"/>
  <c r="R98" i="31"/>
  <c r="W98" i="31"/>
  <c r="K99" i="31"/>
  <c r="L99" i="31"/>
  <c r="N99" i="31"/>
  <c r="Q99" i="31"/>
  <c r="O99" i="31"/>
  <c r="P99" i="31"/>
  <c r="R99" i="31"/>
  <c r="W99" i="31"/>
  <c r="K100" i="31"/>
  <c r="L100" i="31"/>
  <c r="N100" i="31"/>
  <c r="Q100" i="31"/>
  <c r="O100" i="31"/>
  <c r="P100" i="31"/>
  <c r="R100" i="31"/>
  <c r="W100" i="31"/>
  <c r="K101" i="31"/>
  <c r="L101" i="31"/>
  <c r="N101" i="31"/>
  <c r="Q101" i="31"/>
  <c r="O101" i="31"/>
  <c r="P101" i="31"/>
  <c r="R101" i="31"/>
  <c r="W101" i="31"/>
  <c r="K102" i="31"/>
  <c r="L102" i="31"/>
  <c r="N102" i="31"/>
  <c r="Q102" i="31"/>
  <c r="O102" i="31"/>
  <c r="P102" i="31"/>
  <c r="R102" i="31"/>
  <c r="W102" i="31"/>
  <c r="K103" i="31"/>
  <c r="L103" i="31"/>
  <c r="N103" i="31"/>
  <c r="Q103" i="31"/>
  <c r="O103" i="31"/>
  <c r="P103" i="31"/>
  <c r="R103" i="31"/>
  <c r="W103" i="31"/>
  <c r="K104" i="31"/>
  <c r="L104" i="31"/>
  <c r="N104" i="31"/>
  <c r="Q104" i="31"/>
  <c r="O104" i="31"/>
  <c r="P104" i="31"/>
  <c r="R104" i="31"/>
  <c r="W104" i="31"/>
  <c r="K105" i="31"/>
  <c r="L105" i="31"/>
  <c r="N105" i="31"/>
  <c r="Q105" i="31"/>
  <c r="O105" i="31"/>
  <c r="P105" i="31"/>
  <c r="R105" i="31"/>
  <c r="W105" i="31"/>
  <c r="K106" i="31"/>
  <c r="L106" i="31"/>
  <c r="N106" i="31"/>
  <c r="Q106" i="31"/>
  <c r="O106" i="31"/>
  <c r="P106" i="31"/>
  <c r="R106" i="31"/>
  <c r="W106" i="31"/>
  <c r="K107" i="31"/>
  <c r="L107" i="31"/>
  <c r="N107" i="31"/>
  <c r="Q107" i="31"/>
  <c r="O107" i="31"/>
  <c r="P107" i="31"/>
  <c r="R107" i="31"/>
  <c r="W107" i="31"/>
  <c r="K108" i="31"/>
  <c r="L108" i="31"/>
  <c r="N108" i="31"/>
  <c r="Q108" i="31"/>
  <c r="O108" i="31"/>
  <c r="P108" i="31"/>
  <c r="R108" i="31"/>
  <c r="W108" i="31"/>
  <c r="K109" i="31"/>
  <c r="L109" i="31"/>
  <c r="N109" i="31"/>
  <c r="Q109" i="31"/>
  <c r="O109" i="31"/>
  <c r="P109" i="31"/>
  <c r="R109" i="31"/>
  <c r="W109" i="31"/>
  <c r="K110" i="31"/>
  <c r="L110" i="31"/>
  <c r="N110" i="31"/>
  <c r="Q110" i="31"/>
  <c r="O110" i="31"/>
  <c r="P110" i="31"/>
  <c r="R110" i="31"/>
  <c r="W110" i="31"/>
  <c r="K111" i="31"/>
  <c r="L111" i="31"/>
  <c r="N111" i="31"/>
  <c r="Q111" i="31"/>
  <c r="O111" i="31"/>
  <c r="P111" i="31"/>
  <c r="R111" i="31"/>
  <c r="W111" i="31"/>
  <c r="K112" i="31"/>
  <c r="L112" i="31"/>
  <c r="N112" i="31"/>
  <c r="Q112" i="31"/>
  <c r="O112" i="31"/>
  <c r="P112" i="31"/>
  <c r="R112" i="31"/>
  <c r="W112" i="31"/>
  <c r="K113" i="31"/>
  <c r="L113" i="31"/>
  <c r="N113" i="31"/>
  <c r="Q113" i="31"/>
  <c r="O113" i="31"/>
  <c r="P113" i="31"/>
  <c r="R113" i="31"/>
  <c r="W113" i="31"/>
  <c r="K114" i="31"/>
  <c r="L114" i="31"/>
  <c r="N114" i="31"/>
  <c r="Q114" i="31"/>
  <c r="O114" i="31"/>
  <c r="P114" i="31"/>
  <c r="R114" i="31"/>
  <c r="W114" i="31"/>
  <c r="K115" i="31"/>
  <c r="L115" i="31"/>
  <c r="N115" i="31"/>
  <c r="Q115" i="31"/>
  <c r="O115" i="31"/>
  <c r="P115" i="31"/>
  <c r="R115" i="31"/>
  <c r="W115" i="31"/>
  <c r="K116" i="31"/>
  <c r="L116" i="31"/>
  <c r="N116" i="31"/>
  <c r="Q116" i="31"/>
  <c r="O116" i="31"/>
  <c r="P116" i="31"/>
  <c r="R116" i="31"/>
  <c r="W116" i="31"/>
  <c r="K117" i="31"/>
  <c r="L117" i="31"/>
  <c r="N117" i="31"/>
  <c r="Q117" i="31"/>
  <c r="O117" i="31"/>
  <c r="P117" i="31"/>
  <c r="R117" i="31"/>
  <c r="W117" i="31"/>
  <c r="K118" i="31"/>
  <c r="L118" i="31"/>
  <c r="N118" i="31"/>
  <c r="Q118" i="31"/>
  <c r="O118" i="31"/>
  <c r="P118" i="31"/>
  <c r="R118" i="31"/>
  <c r="W118" i="31"/>
  <c r="K119" i="31"/>
  <c r="L119" i="31"/>
  <c r="N119" i="31"/>
  <c r="Q119" i="31"/>
  <c r="O119" i="31"/>
  <c r="P119" i="31"/>
  <c r="R119" i="31"/>
  <c r="W119" i="31"/>
  <c r="K120" i="31"/>
  <c r="L120" i="31"/>
  <c r="N120" i="31"/>
  <c r="Q120" i="31"/>
  <c r="O120" i="31"/>
  <c r="P120" i="31"/>
  <c r="R120" i="31"/>
  <c r="W120" i="31"/>
  <c r="K121" i="31"/>
  <c r="L121" i="31"/>
  <c r="N121" i="31"/>
  <c r="Q121" i="31"/>
  <c r="O121" i="31"/>
  <c r="P121" i="31"/>
  <c r="R121" i="31"/>
  <c r="W121" i="31"/>
  <c r="K122" i="31"/>
  <c r="L122" i="31"/>
  <c r="N122" i="31"/>
  <c r="Q122" i="31"/>
  <c r="O122" i="31"/>
  <c r="P122" i="31"/>
  <c r="R122" i="31"/>
  <c r="W122" i="31"/>
  <c r="K123" i="31"/>
  <c r="L123" i="31"/>
  <c r="N123" i="31"/>
  <c r="Q123" i="31"/>
  <c r="O123" i="31"/>
  <c r="P123" i="31"/>
  <c r="R123" i="31"/>
  <c r="W123" i="31"/>
  <c r="K124" i="31"/>
  <c r="L124" i="31"/>
  <c r="N124" i="31"/>
  <c r="Q124" i="31"/>
  <c r="O124" i="31"/>
  <c r="P124" i="31"/>
  <c r="R124" i="31"/>
  <c r="W124" i="31"/>
  <c r="K125" i="31"/>
  <c r="L125" i="31"/>
  <c r="N125" i="31"/>
  <c r="Q125" i="31"/>
  <c r="O125" i="31"/>
  <c r="P125" i="31"/>
  <c r="R125" i="31"/>
  <c r="W125" i="31"/>
  <c r="K126" i="31"/>
  <c r="L126" i="31"/>
  <c r="N126" i="31"/>
  <c r="Q126" i="31"/>
  <c r="O126" i="31"/>
  <c r="P126" i="31"/>
  <c r="R126" i="31"/>
  <c r="W126" i="31"/>
  <c r="K127" i="31"/>
  <c r="L127" i="31"/>
  <c r="N127" i="31"/>
  <c r="Q127" i="31"/>
  <c r="O127" i="31"/>
  <c r="P127" i="31"/>
  <c r="R127" i="31"/>
  <c r="W127" i="31"/>
  <c r="K128" i="31"/>
  <c r="L128" i="31"/>
  <c r="N128" i="31"/>
  <c r="Q128" i="31"/>
  <c r="O128" i="31"/>
  <c r="P128" i="31"/>
  <c r="R128" i="31"/>
  <c r="W128" i="31"/>
  <c r="K129" i="31"/>
  <c r="L129" i="31"/>
  <c r="N129" i="31"/>
  <c r="Q129" i="31"/>
  <c r="O129" i="31"/>
  <c r="P129" i="31"/>
  <c r="R129" i="31"/>
  <c r="W129" i="31"/>
  <c r="K130" i="31"/>
  <c r="L130" i="31"/>
  <c r="N130" i="31"/>
  <c r="Q130" i="31"/>
  <c r="O130" i="31"/>
  <c r="P130" i="31"/>
  <c r="R130" i="31"/>
  <c r="W130" i="31"/>
  <c r="K131" i="31"/>
  <c r="L131" i="31"/>
  <c r="N131" i="31"/>
  <c r="Q131" i="31"/>
  <c r="O131" i="31"/>
  <c r="P131" i="31"/>
  <c r="R131" i="31"/>
  <c r="W131" i="31"/>
  <c r="K132" i="31"/>
  <c r="L132" i="31"/>
  <c r="N132" i="31"/>
  <c r="Q132" i="31"/>
  <c r="O132" i="31"/>
  <c r="P132" i="31"/>
  <c r="R132" i="31"/>
  <c r="W132" i="31"/>
  <c r="K133" i="31"/>
  <c r="L133" i="31"/>
  <c r="N133" i="31"/>
  <c r="Q133" i="31"/>
  <c r="O133" i="31"/>
  <c r="P133" i="31"/>
  <c r="R133" i="31"/>
  <c r="W133" i="31"/>
  <c r="K134" i="31"/>
  <c r="L134" i="31"/>
  <c r="N134" i="31"/>
  <c r="Q134" i="31"/>
  <c r="O134" i="31"/>
  <c r="P134" i="31"/>
  <c r="R134" i="31"/>
  <c r="W134" i="31"/>
  <c r="K135" i="31"/>
  <c r="L135" i="31"/>
  <c r="N135" i="31"/>
  <c r="Q135" i="31"/>
  <c r="O135" i="31"/>
  <c r="P135" i="31"/>
  <c r="R135" i="31"/>
  <c r="W135" i="31"/>
  <c r="K136" i="31"/>
  <c r="L136" i="31"/>
  <c r="N136" i="31"/>
  <c r="Q136" i="31"/>
  <c r="O136" i="31"/>
  <c r="P136" i="31"/>
  <c r="R136" i="31"/>
  <c r="W136" i="31"/>
  <c r="K137" i="31"/>
  <c r="L137" i="31"/>
  <c r="N137" i="31"/>
  <c r="Q137" i="31"/>
  <c r="O137" i="31"/>
  <c r="P137" i="31"/>
  <c r="R137" i="31"/>
  <c r="W137" i="31"/>
  <c r="K138" i="31"/>
  <c r="L138" i="31"/>
  <c r="N138" i="31"/>
  <c r="Q138" i="31"/>
  <c r="O138" i="31"/>
  <c r="P138" i="31"/>
  <c r="R138" i="31"/>
  <c r="W138" i="31"/>
  <c r="K139" i="31"/>
  <c r="L139" i="31"/>
  <c r="N139" i="31"/>
  <c r="Q139" i="31"/>
  <c r="O139" i="31"/>
  <c r="P139" i="31"/>
  <c r="R139" i="31"/>
  <c r="W139" i="31"/>
  <c r="K140" i="31"/>
  <c r="L140" i="31"/>
  <c r="N140" i="31"/>
  <c r="Q140" i="31"/>
  <c r="O140" i="31"/>
  <c r="P140" i="31"/>
  <c r="R140" i="31"/>
  <c r="W140" i="31"/>
  <c r="K141" i="31"/>
  <c r="L141" i="31"/>
  <c r="N141" i="31"/>
  <c r="Q141" i="31"/>
  <c r="O141" i="31"/>
  <c r="P141" i="31"/>
  <c r="R141" i="31"/>
  <c r="W141" i="31"/>
  <c r="K142" i="31"/>
  <c r="L142" i="31"/>
  <c r="N142" i="31"/>
  <c r="Q142" i="31"/>
  <c r="O142" i="31"/>
  <c r="P142" i="31"/>
  <c r="R142" i="31"/>
  <c r="W142" i="31"/>
  <c r="K143" i="31"/>
  <c r="L143" i="31"/>
  <c r="N143" i="31"/>
  <c r="Q143" i="31"/>
  <c r="O143" i="31"/>
  <c r="P143" i="31"/>
  <c r="R143" i="31"/>
  <c r="W143" i="31"/>
  <c r="K144" i="31"/>
  <c r="L144" i="31"/>
  <c r="N144" i="31"/>
  <c r="Q144" i="31"/>
  <c r="O144" i="31"/>
  <c r="P144" i="31"/>
  <c r="R144" i="31"/>
  <c r="W144" i="31"/>
  <c r="K145" i="31"/>
  <c r="L145" i="31"/>
  <c r="N145" i="31"/>
  <c r="Q145" i="31"/>
  <c r="O145" i="31"/>
  <c r="P145" i="31"/>
  <c r="R145" i="31"/>
  <c r="W145" i="31"/>
  <c r="K146" i="31"/>
  <c r="L146" i="31"/>
  <c r="N146" i="31"/>
  <c r="Q146" i="31"/>
  <c r="O146" i="31"/>
  <c r="P146" i="31"/>
  <c r="R146" i="31"/>
  <c r="W146" i="31"/>
  <c r="K147" i="31"/>
  <c r="L147" i="31"/>
  <c r="N147" i="31"/>
  <c r="Q147" i="31"/>
  <c r="O147" i="31"/>
  <c r="P147" i="31"/>
  <c r="R147" i="31"/>
  <c r="W147" i="31"/>
  <c r="K148" i="31"/>
  <c r="L148" i="31"/>
  <c r="N148" i="31"/>
  <c r="Q148" i="31"/>
  <c r="O148" i="31"/>
  <c r="P148" i="31"/>
  <c r="R148" i="31"/>
  <c r="W148" i="31"/>
  <c r="K149" i="31"/>
  <c r="L149" i="31"/>
  <c r="N149" i="31"/>
  <c r="Q149" i="31"/>
  <c r="O149" i="31"/>
  <c r="P149" i="31"/>
  <c r="R149" i="31"/>
  <c r="W149" i="31"/>
  <c r="K150" i="31"/>
  <c r="L150" i="31"/>
  <c r="N150" i="31"/>
  <c r="Q150" i="31"/>
  <c r="O150" i="31"/>
  <c r="P150" i="31"/>
  <c r="R150" i="31"/>
  <c r="W150" i="31"/>
  <c r="K151" i="31"/>
  <c r="L151" i="31"/>
  <c r="N151" i="31"/>
  <c r="Q151" i="31"/>
  <c r="O151" i="31"/>
  <c r="P151" i="31"/>
  <c r="R151" i="31"/>
  <c r="W151" i="31"/>
  <c r="K152" i="31"/>
  <c r="L152" i="31"/>
  <c r="N152" i="31"/>
  <c r="Q152" i="31"/>
  <c r="O152" i="31"/>
  <c r="P152" i="31"/>
  <c r="R152" i="31"/>
  <c r="W152" i="31"/>
  <c r="K153" i="31"/>
  <c r="L153" i="31"/>
  <c r="N153" i="31"/>
  <c r="Q153" i="31"/>
  <c r="O153" i="31"/>
  <c r="P153" i="31"/>
  <c r="R153" i="31"/>
  <c r="W153" i="31"/>
  <c r="K154" i="31"/>
  <c r="L154" i="31"/>
  <c r="N154" i="31"/>
  <c r="Q154" i="31"/>
  <c r="O154" i="31"/>
  <c r="P154" i="31"/>
  <c r="R154" i="31"/>
  <c r="W154" i="31"/>
  <c r="K155" i="31"/>
  <c r="L155" i="31"/>
  <c r="N155" i="31"/>
  <c r="Q155" i="31"/>
  <c r="O155" i="31"/>
  <c r="P155" i="31"/>
  <c r="R155" i="31"/>
  <c r="W155" i="31"/>
  <c r="K156" i="31"/>
  <c r="L156" i="31"/>
  <c r="N156" i="31"/>
  <c r="Q156" i="31"/>
  <c r="O156" i="31"/>
  <c r="P156" i="31"/>
  <c r="R156" i="31"/>
  <c r="W156" i="31"/>
  <c r="K157" i="31"/>
  <c r="L157" i="31"/>
  <c r="N157" i="31"/>
  <c r="Q157" i="31"/>
  <c r="O157" i="31"/>
  <c r="P157" i="31"/>
  <c r="R157" i="31"/>
  <c r="W157" i="31"/>
  <c r="K158" i="31"/>
  <c r="L158" i="31"/>
  <c r="N158" i="31"/>
  <c r="Q158" i="31"/>
  <c r="O158" i="31"/>
  <c r="P158" i="31"/>
  <c r="R158" i="31"/>
  <c r="W158" i="31"/>
  <c r="K159" i="31"/>
  <c r="L159" i="31"/>
  <c r="N159" i="31"/>
  <c r="Q159" i="31"/>
  <c r="O159" i="31"/>
  <c r="P159" i="31"/>
  <c r="R159" i="31"/>
  <c r="W159" i="31"/>
  <c r="K160" i="31"/>
  <c r="L160" i="31"/>
  <c r="N160" i="31"/>
  <c r="Q160" i="31"/>
  <c r="O160" i="31"/>
  <c r="P160" i="31"/>
  <c r="R160" i="31"/>
  <c r="W160" i="31"/>
  <c r="K161" i="31"/>
  <c r="L161" i="31"/>
  <c r="N161" i="31"/>
  <c r="Q161" i="31"/>
  <c r="O161" i="31"/>
  <c r="P161" i="31"/>
  <c r="R161" i="31"/>
  <c r="W161" i="31"/>
  <c r="K162" i="31"/>
  <c r="L162" i="31"/>
  <c r="N162" i="31"/>
  <c r="Q162" i="31"/>
  <c r="O162" i="31"/>
  <c r="P162" i="31"/>
  <c r="R162" i="31"/>
  <c r="W162" i="31"/>
  <c r="K163" i="31"/>
  <c r="L163" i="31"/>
  <c r="N163" i="31"/>
  <c r="Q163" i="31"/>
  <c r="O163" i="31"/>
  <c r="P163" i="31"/>
  <c r="R163" i="31"/>
  <c r="W163" i="31"/>
  <c r="K164" i="31"/>
  <c r="L164" i="31"/>
  <c r="N164" i="31"/>
  <c r="Q164" i="31"/>
  <c r="O164" i="31"/>
  <c r="P164" i="31"/>
  <c r="R164" i="31"/>
  <c r="W164" i="31"/>
  <c r="K165" i="31"/>
  <c r="L165" i="31"/>
  <c r="N165" i="31"/>
  <c r="Q165" i="31"/>
  <c r="O165" i="31"/>
  <c r="P165" i="31"/>
  <c r="R165" i="31"/>
  <c r="W165" i="31"/>
  <c r="K166" i="31"/>
  <c r="L166" i="31"/>
  <c r="N166" i="31"/>
  <c r="Q166" i="31"/>
  <c r="O166" i="31"/>
  <c r="P166" i="31"/>
  <c r="R166" i="31"/>
  <c r="W166" i="31"/>
  <c r="K167" i="31"/>
  <c r="L167" i="31"/>
  <c r="N167" i="31"/>
  <c r="Q167" i="31"/>
  <c r="O167" i="31"/>
  <c r="P167" i="31"/>
  <c r="R167" i="31"/>
  <c r="W167" i="31"/>
  <c r="K168" i="31"/>
  <c r="L168" i="31"/>
  <c r="N168" i="31"/>
  <c r="Q168" i="31"/>
  <c r="O168" i="31"/>
  <c r="P168" i="31"/>
  <c r="R168" i="31"/>
  <c r="W168" i="31"/>
  <c r="K169" i="31"/>
  <c r="L169" i="31"/>
  <c r="N169" i="31"/>
  <c r="Q169" i="31"/>
  <c r="O169" i="31"/>
  <c r="P169" i="31"/>
  <c r="R169" i="31"/>
  <c r="W169" i="31"/>
  <c r="K170" i="31"/>
  <c r="L170" i="31"/>
  <c r="N170" i="31"/>
  <c r="Q170" i="31"/>
  <c r="O170" i="31"/>
  <c r="P170" i="31"/>
  <c r="R170" i="31"/>
  <c r="W170" i="31"/>
  <c r="K171" i="31"/>
  <c r="L171" i="31"/>
  <c r="N171" i="31"/>
  <c r="Q171" i="31"/>
  <c r="O171" i="31"/>
  <c r="P171" i="31"/>
  <c r="R171" i="31"/>
  <c r="W171" i="31"/>
  <c r="K172" i="31"/>
  <c r="L172" i="31"/>
  <c r="N172" i="31"/>
  <c r="Q172" i="31"/>
  <c r="O172" i="31"/>
  <c r="P172" i="31"/>
  <c r="R172" i="31"/>
  <c r="W172" i="31"/>
  <c r="K173" i="31"/>
  <c r="L173" i="31"/>
  <c r="N173" i="31"/>
  <c r="Q173" i="31"/>
  <c r="O173" i="31"/>
  <c r="P173" i="31"/>
  <c r="R173" i="31"/>
  <c r="W173" i="31"/>
  <c r="K174" i="31"/>
  <c r="L174" i="31"/>
  <c r="N174" i="31"/>
  <c r="Q174" i="31"/>
  <c r="O174" i="31"/>
  <c r="P174" i="31"/>
  <c r="R174" i="31"/>
  <c r="W174" i="31"/>
  <c r="K175" i="31"/>
  <c r="L175" i="31"/>
  <c r="N175" i="31"/>
  <c r="Q175" i="31"/>
  <c r="O175" i="31"/>
  <c r="P175" i="31"/>
  <c r="R175" i="31"/>
  <c r="W175" i="31"/>
  <c r="K176" i="31"/>
  <c r="L176" i="31"/>
  <c r="N176" i="31"/>
  <c r="Q176" i="31"/>
  <c r="O176" i="31"/>
  <c r="P176" i="31"/>
  <c r="R176" i="31"/>
  <c r="W176" i="31"/>
  <c r="K177" i="31"/>
  <c r="L177" i="31"/>
  <c r="N177" i="31"/>
  <c r="Q177" i="31"/>
  <c r="O177" i="31"/>
  <c r="P177" i="31"/>
  <c r="R177" i="31"/>
  <c r="W177" i="31"/>
  <c r="K178" i="31"/>
  <c r="L178" i="31"/>
  <c r="N178" i="31"/>
  <c r="Q178" i="31"/>
  <c r="O178" i="31"/>
  <c r="P178" i="31"/>
  <c r="R178" i="31"/>
  <c r="W178" i="31"/>
  <c r="K179" i="31"/>
  <c r="L179" i="31"/>
  <c r="N179" i="31"/>
  <c r="Q179" i="31"/>
  <c r="O179" i="31"/>
  <c r="P179" i="31"/>
  <c r="R179" i="31"/>
  <c r="W179" i="31"/>
  <c r="K180" i="31"/>
  <c r="L180" i="31"/>
  <c r="N180" i="31"/>
  <c r="Q180" i="31"/>
  <c r="O180" i="31"/>
  <c r="P180" i="31"/>
  <c r="R180" i="31"/>
  <c r="W180" i="31"/>
  <c r="K181" i="31"/>
  <c r="L181" i="31"/>
  <c r="N181" i="31"/>
  <c r="Q181" i="31"/>
  <c r="O181" i="31"/>
  <c r="P181" i="31"/>
  <c r="R181" i="31"/>
  <c r="W181" i="31"/>
  <c r="K182" i="31"/>
  <c r="L182" i="31"/>
  <c r="N182" i="31"/>
  <c r="Q182" i="31"/>
  <c r="O182" i="31"/>
  <c r="P182" i="31"/>
  <c r="R182" i="31"/>
  <c r="W182" i="31"/>
  <c r="K183" i="31"/>
  <c r="L183" i="31"/>
  <c r="N183" i="31"/>
  <c r="Q183" i="31"/>
  <c r="O183" i="31"/>
  <c r="P183" i="31"/>
  <c r="R183" i="31"/>
  <c r="W183" i="31"/>
  <c r="K184" i="31"/>
  <c r="L184" i="31"/>
  <c r="N184" i="31"/>
  <c r="Q184" i="31"/>
  <c r="O184" i="31"/>
  <c r="P184" i="31"/>
  <c r="R184" i="31"/>
  <c r="W184" i="31"/>
  <c r="K185" i="31"/>
  <c r="L185" i="31"/>
  <c r="N185" i="31"/>
  <c r="Q185" i="31"/>
  <c r="O185" i="31"/>
  <c r="P185" i="31"/>
  <c r="R185" i="31"/>
  <c r="W185" i="31"/>
  <c r="K186" i="31"/>
  <c r="L186" i="31"/>
  <c r="N186" i="31"/>
  <c r="Q186" i="31"/>
  <c r="O186" i="31"/>
  <c r="P186" i="31"/>
  <c r="R186" i="31"/>
  <c r="W186" i="31"/>
  <c r="K187" i="31"/>
  <c r="L187" i="31"/>
  <c r="N187" i="31"/>
  <c r="Q187" i="31"/>
  <c r="O187" i="31"/>
  <c r="P187" i="31"/>
  <c r="R187" i="31"/>
  <c r="W187" i="31"/>
  <c r="K188" i="31"/>
  <c r="L188" i="31"/>
  <c r="N188" i="31"/>
  <c r="Q188" i="31"/>
  <c r="O188" i="31"/>
  <c r="P188" i="31"/>
  <c r="R188" i="31"/>
  <c r="W188" i="31"/>
  <c r="K189" i="31"/>
  <c r="L189" i="31"/>
  <c r="N189" i="31"/>
  <c r="Q189" i="31"/>
  <c r="O189" i="31"/>
  <c r="P189" i="31"/>
  <c r="R189" i="31"/>
  <c r="W189" i="31"/>
  <c r="K190" i="31"/>
  <c r="L190" i="31"/>
  <c r="N190" i="31"/>
  <c r="Q190" i="31"/>
  <c r="O190" i="31"/>
  <c r="P190" i="31"/>
  <c r="R190" i="31"/>
  <c r="W190" i="31"/>
  <c r="K191" i="31"/>
  <c r="L191" i="31"/>
  <c r="N191" i="31"/>
  <c r="Q191" i="31"/>
  <c r="O191" i="31"/>
  <c r="P191" i="31"/>
  <c r="R191" i="31"/>
  <c r="W191" i="31"/>
  <c r="K192" i="31"/>
  <c r="L192" i="31"/>
  <c r="N192" i="31"/>
  <c r="Q192" i="31"/>
  <c r="O192" i="31"/>
  <c r="P192" i="31"/>
  <c r="R192" i="31"/>
  <c r="W192" i="31"/>
  <c r="K193" i="31"/>
  <c r="L193" i="31"/>
  <c r="N193" i="31"/>
  <c r="Q193" i="31"/>
  <c r="O193" i="31"/>
  <c r="P193" i="31"/>
  <c r="R193" i="31"/>
  <c r="W193" i="31"/>
  <c r="K194" i="31"/>
  <c r="L194" i="31"/>
  <c r="N194" i="31"/>
  <c r="Q194" i="31"/>
  <c r="O194" i="31"/>
  <c r="P194" i="31"/>
  <c r="R194" i="31"/>
  <c r="W194" i="31"/>
  <c r="K195" i="31"/>
  <c r="L195" i="31"/>
  <c r="N195" i="31"/>
  <c r="Q195" i="31"/>
  <c r="O195" i="31"/>
  <c r="P195" i="31"/>
  <c r="R195" i="31"/>
  <c r="W195" i="31"/>
  <c r="K196" i="31"/>
  <c r="L196" i="31"/>
  <c r="N196" i="31"/>
  <c r="Q196" i="31"/>
  <c r="O196" i="31"/>
  <c r="P196" i="31"/>
  <c r="R196" i="31"/>
  <c r="W196" i="31"/>
  <c r="K197" i="31"/>
  <c r="L197" i="31"/>
  <c r="N197" i="31"/>
  <c r="Q197" i="31"/>
  <c r="O197" i="31"/>
  <c r="P197" i="31"/>
  <c r="R197" i="31"/>
  <c r="W197" i="31"/>
  <c r="K198" i="31"/>
  <c r="L198" i="31"/>
  <c r="N198" i="31"/>
  <c r="Q198" i="31"/>
  <c r="O198" i="31"/>
  <c r="P198" i="31"/>
  <c r="R198" i="31"/>
  <c r="W198" i="31"/>
  <c r="K199" i="31"/>
  <c r="L199" i="31"/>
  <c r="N199" i="31"/>
  <c r="Q199" i="31"/>
  <c r="O199" i="31"/>
  <c r="P199" i="31"/>
  <c r="R199" i="31"/>
  <c r="W199" i="31"/>
  <c r="K200" i="31"/>
  <c r="L200" i="31"/>
  <c r="N200" i="31"/>
  <c r="Q200" i="31"/>
  <c r="O200" i="31"/>
  <c r="P200" i="31"/>
  <c r="R200" i="31"/>
  <c r="W200" i="31"/>
  <c r="K201" i="31"/>
  <c r="L201" i="31"/>
  <c r="N201" i="31"/>
  <c r="Q201" i="31"/>
  <c r="O201" i="31"/>
  <c r="P201" i="31"/>
  <c r="R201" i="31"/>
  <c r="W201" i="31"/>
  <c r="K202" i="31"/>
  <c r="L202" i="31"/>
  <c r="N202" i="31"/>
  <c r="Q202" i="31"/>
  <c r="O202" i="31"/>
  <c r="P202" i="31"/>
  <c r="R202" i="31"/>
  <c r="W202" i="31"/>
  <c r="K203" i="31"/>
  <c r="L203" i="31"/>
  <c r="N203" i="31"/>
  <c r="Q203" i="31"/>
  <c r="O203" i="31"/>
  <c r="P203" i="31"/>
  <c r="R203" i="31"/>
  <c r="W203" i="31"/>
  <c r="K204" i="31"/>
  <c r="L204" i="31"/>
  <c r="N204" i="31"/>
  <c r="Q204" i="31"/>
  <c r="O204" i="31"/>
  <c r="P204" i="31"/>
  <c r="R204" i="31"/>
  <c r="W204" i="31"/>
  <c r="K205" i="31"/>
  <c r="L205" i="31"/>
  <c r="N205" i="31"/>
  <c r="Q205" i="31"/>
  <c r="O205" i="31"/>
  <c r="P205" i="31"/>
  <c r="R205" i="31"/>
  <c r="W205" i="31"/>
  <c r="K206" i="31"/>
  <c r="L206" i="31"/>
  <c r="N206" i="31"/>
  <c r="Q206" i="31"/>
  <c r="O206" i="31"/>
  <c r="P206" i="31"/>
  <c r="R206" i="31"/>
  <c r="W206" i="31"/>
  <c r="K207" i="31"/>
  <c r="L207" i="31"/>
  <c r="N207" i="31"/>
  <c r="Q207" i="31"/>
  <c r="O207" i="31"/>
  <c r="P207" i="31"/>
  <c r="R207" i="31"/>
  <c r="W207" i="31"/>
  <c r="K208" i="31"/>
  <c r="L208" i="31"/>
  <c r="N208" i="31"/>
  <c r="Q208" i="31"/>
  <c r="O208" i="31"/>
  <c r="P208" i="31"/>
  <c r="R208" i="31"/>
  <c r="W208" i="31"/>
  <c r="K209" i="31"/>
  <c r="L209" i="31"/>
  <c r="N209" i="31"/>
  <c r="Q209" i="31"/>
  <c r="O209" i="31"/>
  <c r="P209" i="31"/>
  <c r="R209" i="31"/>
  <c r="W209" i="31"/>
  <c r="K210" i="31"/>
  <c r="L210" i="31"/>
  <c r="N210" i="31"/>
  <c r="Q210" i="31"/>
  <c r="O210" i="31"/>
  <c r="P210" i="31"/>
  <c r="R210" i="31"/>
  <c r="W210" i="31"/>
  <c r="K211" i="31"/>
  <c r="L211" i="31"/>
  <c r="N211" i="31"/>
  <c r="Q211" i="31"/>
  <c r="O211" i="31"/>
  <c r="P211" i="31"/>
  <c r="R211" i="31"/>
  <c r="W211" i="31"/>
  <c r="K212" i="31"/>
  <c r="L212" i="31"/>
  <c r="N212" i="31"/>
  <c r="Q212" i="31"/>
  <c r="O212" i="31"/>
  <c r="P212" i="31"/>
  <c r="R212" i="31"/>
  <c r="W212" i="31"/>
  <c r="K213" i="31"/>
  <c r="L213" i="31"/>
  <c r="N213" i="31"/>
  <c r="Q213" i="31"/>
  <c r="O213" i="31"/>
  <c r="P213" i="31"/>
  <c r="R213" i="31"/>
  <c r="W213" i="31"/>
  <c r="K214" i="31"/>
  <c r="L214" i="31"/>
  <c r="N214" i="31"/>
  <c r="Q214" i="31"/>
  <c r="O214" i="31"/>
  <c r="P214" i="31"/>
  <c r="R214" i="31"/>
  <c r="W214" i="31"/>
  <c r="K215" i="31"/>
  <c r="L215" i="31"/>
  <c r="N215" i="31"/>
  <c r="Q215" i="31"/>
  <c r="O215" i="31"/>
  <c r="P215" i="31"/>
  <c r="R215" i="31"/>
  <c r="W215" i="31"/>
  <c r="K216" i="31"/>
  <c r="L216" i="31"/>
  <c r="N216" i="31"/>
  <c r="Q216" i="31"/>
  <c r="O216" i="31"/>
  <c r="P216" i="31"/>
  <c r="R216" i="31"/>
  <c r="W216" i="31"/>
  <c r="K217" i="31"/>
  <c r="L217" i="31"/>
  <c r="N217" i="31"/>
  <c r="Q217" i="31"/>
  <c r="O217" i="31"/>
  <c r="P217" i="31"/>
  <c r="R217" i="31"/>
  <c r="W217" i="31"/>
  <c r="K218" i="31"/>
  <c r="L218" i="31"/>
  <c r="N218" i="31"/>
  <c r="Q218" i="31"/>
  <c r="O218" i="31"/>
  <c r="P218" i="31"/>
  <c r="R218" i="31"/>
  <c r="W218" i="31"/>
  <c r="K219" i="31"/>
  <c r="L219" i="31"/>
  <c r="N219" i="31"/>
  <c r="Q219" i="31"/>
  <c r="O219" i="31"/>
  <c r="P219" i="31"/>
  <c r="R219" i="31"/>
  <c r="W219" i="31"/>
  <c r="K220" i="31"/>
  <c r="L220" i="31"/>
  <c r="N220" i="31"/>
  <c r="Q220" i="31"/>
  <c r="O220" i="31"/>
  <c r="P220" i="31"/>
  <c r="R220" i="31"/>
  <c r="W220" i="31"/>
  <c r="K221" i="31"/>
  <c r="L221" i="31"/>
  <c r="N221" i="31"/>
  <c r="Q221" i="31"/>
  <c r="O221" i="31"/>
  <c r="P221" i="31"/>
  <c r="R221" i="31"/>
  <c r="W221" i="31"/>
  <c r="K222" i="31"/>
  <c r="L222" i="31"/>
  <c r="N222" i="31"/>
  <c r="Q222" i="31"/>
  <c r="O222" i="31"/>
  <c r="P222" i="31"/>
  <c r="R222" i="31"/>
  <c r="W222" i="31"/>
  <c r="K223" i="31"/>
  <c r="L223" i="31"/>
  <c r="N223" i="31"/>
  <c r="Q223" i="31"/>
  <c r="O223" i="31"/>
  <c r="P223" i="31"/>
  <c r="R223" i="31"/>
  <c r="W223" i="31"/>
  <c r="K224" i="31"/>
  <c r="L224" i="31"/>
  <c r="N224" i="31"/>
  <c r="Q224" i="31"/>
  <c r="O224" i="31"/>
  <c r="P224" i="31"/>
  <c r="R224" i="31"/>
  <c r="W224" i="31"/>
  <c r="K225" i="31"/>
  <c r="L225" i="31"/>
  <c r="N225" i="31"/>
  <c r="Q225" i="31"/>
  <c r="O225" i="31"/>
  <c r="P225" i="31"/>
  <c r="R225" i="31"/>
  <c r="W225" i="31"/>
  <c r="K226" i="31"/>
  <c r="L226" i="31"/>
  <c r="N226" i="31"/>
  <c r="Q226" i="31"/>
  <c r="O226" i="31"/>
  <c r="P226" i="31"/>
  <c r="R226" i="31"/>
  <c r="W226" i="31"/>
  <c r="K227" i="31"/>
  <c r="L227" i="31"/>
  <c r="N227" i="31"/>
  <c r="Q227" i="31"/>
  <c r="O227" i="31"/>
  <c r="P227" i="31"/>
  <c r="R227" i="31"/>
  <c r="W227" i="31"/>
  <c r="K228" i="31"/>
  <c r="L228" i="31"/>
  <c r="N228" i="31"/>
  <c r="Q228" i="31"/>
  <c r="O228" i="31"/>
  <c r="P228" i="31"/>
  <c r="R228" i="31"/>
  <c r="W228" i="31"/>
  <c r="K229" i="31"/>
  <c r="L229" i="31"/>
  <c r="N229" i="31"/>
  <c r="Q229" i="31"/>
  <c r="O229" i="31"/>
  <c r="P229" i="31"/>
  <c r="R229" i="31"/>
  <c r="W229" i="31"/>
  <c r="K230" i="31"/>
  <c r="L230" i="31"/>
  <c r="N230" i="31"/>
  <c r="Q230" i="31"/>
  <c r="O230" i="31"/>
  <c r="P230" i="31"/>
  <c r="R230" i="31"/>
  <c r="W230" i="31"/>
  <c r="K231" i="31"/>
  <c r="L231" i="31"/>
  <c r="N231" i="31"/>
  <c r="Q231" i="31"/>
  <c r="O231" i="31"/>
  <c r="P231" i="31"/>
  <c r="R231" i="31"/>
  <c r="W231" i="31"/>
  <c r="K232" i="31"/>
  <c r="L232" i="31"/>
  <c r="N232" i="31"/>
  <c r="Q232" i="31"/>
  <c r="O232" i="31"/>
  <c r="P232" i="31"/>
  <c r="R232" i="31"/>
  <c r="W232" i="31"/>
  <c r="K233" i="31"/>
  <c r="L233" i="31"/>
  <c r="N233" i="31"/>
  <c r="Q233" i="31"/>
  <c r="O233" i="31"/>
  <c r="P233" i="31"/>
  <c r="R233" i="31"/>
  <c r="W233" i="31"/>
  <c r="K234" i="31"/>
  <c r="L234" i="31"/>
  <c r="N234" i="31"/>
  <c r="Q234" i="31"/>
  <c r="O234" i="31"/>
  <c r="P234" i="31"/>
  <c r="R234" i="31"/>
  <c r="W234" i="31"/>
  <c r="K235" i="31"/>
  <c r="L235" i="31"/>
  <c r="N235" i="31"/>
  <c r="Q235" i="31"/>
  <c r="O235" i="31"/>
  <c r="P235" i="31"/>
  <c r="R235" i="31"/>
  <c r="W235" i="31"/>
  <c r="K236" i="31"/>
  <c r="L236" i="31"/>
  <c r="N236" i="31"/>
  <c r="Q236" i="31"/>
  <c r="O236" i="31"/>
  <c r="P236" i="31"/>
  <c r="R236" i="31"/>
  <c r="W236" i="31"/>
  <c r="K237" i="31"/>
  <c r="L237" i="31"/>
  <c r="N237" i="31"/>
  <c r="Q237" i="31"/>
  <c r="O237" i="31"/>
  <c r="P237" i="31"/>
  <c r="R237" i="31"/>
  <c r="W237" i="31"/>
  <c r="K238" i="31"/>
  <c r="L238" i="31"/>
  <c r="N238" i="31"/>
  <c r="Q238" i="31"/>
  <c r="O238" i="31"/>
  <c r="P238" i="31"/>
  <c r="R238" i="31"/>
  <c r="W238" i="31"/>
  <c r="K239" i="31"/>
  <c r="L239" i="31"/>
  <c r="N239" i="31"/>
  <c r="Q239" i="31"/>
  <c r="O239" i="31"/>
  <c r="P239" i="31"/>
  <c r="R239" i="31"/>
  <c r="W239" i="31"/>
  <c r="K240" i="31"/>
  <c r="L240" i="31"/>
  <c r="N240" i="31"/>
  <c r="Q240" i="31"/>
  <c r="O240" i="31"/>
  <c r="P240" i="31"/>
  <c r="R240" i="31"/>
  <c r="W240" i="31"/>
  <c r="K241" i="31"/>
  <c r="L241" i="31"/>
  <c r="N241" i="31"/>
  <c r="Q241" i="31"/>
  <c r="O241" i="31"/>
  <c r="P241" i="31"/>
  <c r="R241" i="31"/>
  <c r="W241" i="31"/>
  <c r="K242" i="31"/>
  <c r="L242" i="31"/>
  <c r="N242" i="31"/>
  <c r="Q242" i="31"/>
  <c r="O242" i="31"/>
  <c r="P242" i="31"/>
  <c r="R242" i="31"/>
  <c r="W242" i="31"/>
  <c r="K243" i="31"/>
  <c r="L243" i="31"/>
  <c r="N243" i="31"/>
  <c r="Q243" i="31"/>
  <c r="O243" i="31"/>
  <c r="P243" i="31"/>
  <c r="R243" i="31"/>
  <c r="W243" i="31"/>
  <c r="K244" i="31"/>
  <c r="L244" i="31"/>
  <c r="N244" i="31"/>
  <c r="Q244" i="31"/>
  <c r="O244" i="31"/>
  <c r="P244" i="31"/>
  <c r="R244" i="31"/>
  <c r="W244" i="31"/>
  <c r="K245" i="31"/>
  <c r="L245" i="31"/>
  <c r="N245" i="31"/>
  <c r="Q245" i="31"/>
  <c r="O245" i="31"/>
  <c r="P245" i="31"/>
  <c r="R245" i="31"/>
  <c r="W245" i="31"/>
  <c r="K246" i="31"/>
  <c r="L246" i="31"/>
  <c r="N246" i="31"/>
  <c r="Q246" i="31"/>
  <c r="O246" i="31"/>
  <c r="P246" i="31"/>
  <c r="R246" i="31"/>
  <c r="W246" i="31"/>
  <c r="K247" i="31"/>
  <c r="L247" i="31"/>
  <c r="N247" i="31"/>
  <c r="Q247" i="31"/>
  <c r="O247" i="31"/>
  <c r="P247" i="31"/>
  <c r="R247" i="31"/>
  <c r="W247" i="31"/>
  <c r="K248" i="31"/>
  <c r="L248" i="31"/>
  <c r="N248" i="31"/>
  <c r="Q248" i="31"/>
  <c r="O248" i="31"/>
  <c r="P248" i="31"/>
  <c r="R248" i="31"/>
  <c r="W248" i="31"/>
  <c r="K249" i="31"/>
  <c r="L249" i="31"/>
  <c r="N249" i="31"/>
  <c r="Q249" i="31"/>
  <c r="O249" i="31"/>
  <c r="P249" i="31"/>
  <c r="R249" i="31"/>
  <c r="W249" i="31"/>
  <c r="K250" i="31"/>
  <c r="L250" i="31"/>
  <c r="N250" i="31"/>
  <c r="Q250" i="31"/>
  <c r="O250" i="31"/>
  <c r="P250" i="31"/>
  <c r="R250" i="31"/>
  <c r="W250" i="31"/>
  <c r="K251" i="31"/>
  <c r="L251" i="31"/>
  <c r="N251" i="31"/>
  <c r="Q251" i="31"/>
  <c r="O251" i="31"/>
  <c r="P251" i="31"/>
  <c r="R251" i="31"/>
  <c r="W251" i="31"/>
  <c r="K252" i="31"/>
  <c r="L252" i="31"/>
  <c r="N252" i="31"/>
  <c r="Q252" i="31"/>
  <c r="O252" i="31"/>
  <c r="P252" i="31"/>
  <c r="R252" i="31"/>
  <c r="W252" i="31"/>
  <c r="K253" i="31"/>
  <c r="L253" i="31"/>
  <c r="N253" i="31"/>
  <c r="Q253" i="31"/>
  <c r="O253" i="31"/>
  <c r="P253" i="31"/>
  <c r="R253" i="31"/>
  <c r="W253" i="31"/>
  <c r="K254" i="31"/>
  <c r="L254" i="31"/>
  <c r="N254" i="31"/>
  <c r="Q254" i="31"/>
  <c r="O254" i="31"/>
  <c r="P254" i="31"/>
  <c r="R254" i="31"/>
  <c r="W254" i="31"/>
  <c r="K255" i="31"/>
  <c r="L255" i="31"/>
  <c r="N255" i="31"/>
  <c r="Q255" i="31"/>
  <c r="O255" i="31"/>
  <c r="P255" i="31"/>
  <c r="R255" i="31"/>
  <c r="W255" i="31"/>
  <c r="K256" i="31"/>
  <c r="L256" i="31"/>
  <c r="N256" i="31"/>
  <c r="Q256" i="31"/>
  <c r="O256" i="31"/>
  <c r="P256" i="31"/>
  <c r="R256" i="31"/>
  <c r="W256" i="31"/>
  <c r="K257" i="31"/>
  <c r="L257" i="31"/>
  <c r="N257" i="31"/>
  <c r="Q257" i="31"/>
  <c r="O257" i="31"/>
  <c r="P257" i="31"/>
  <c r="R257" i="31"/>
  <c r="W257" i="31"/>
  <c r="K258" i="31"/>
  <c r="L258" i="31"/>
  <c r="N258" i="31"/>
  <c r="Q258" i="31"/>
  <c r="O258" i="31"/>
  <c r="P258" i="31"/>
  <c r="R258" i="31"/>
  <c r="W258" i="31"/>
  <c r="K259" i="31"/>
  <c r="L259" i="31"/>
  <c r="N259" i="31"/>
  <c r="Q259" i="31"/>
  <c r="O259" i="31"/>
  <c r="P259" i="31"/>
  <c r="R259" i="31"/>
  <c r="W259" i="31"/>
  <c r="K260" i="31"/>
  <c r="L260" i="31"/>
  <c r="N260" i="31"/>
  <c r="Q260" i="31"/>
  <c r="O260" i="31"/>
  <c r="P260" i="31"/>
  <c r="R260" i="31"/>
  <c r="W260" i="31"/>
  <c r="K261" i="31"/>
  <c r="L261" i="31"/>
  <c r="N261" i="31"/>
  <c r="Q261" i="31"/>
  <c r="O261" i="31"/>
  <c r="P261" i="31"/>
  <c r="R261" i="31"/>
  <c r="W261" i="31"/>
  <c r="K262" i="31"/>
  <c r="L262" i="31"/>
  <c r="N262" i="31"/>
  <c r="Q262" i="31"/>
  <c r="O262" i="31"/>
  <c r="P262" i="31"/>
  <c r="R262" i="31"/>
  <c r="W262" i="31"/>
  <c r="K263" i="31"/>
  <c r="L263" i="31"/>
  <c r="N263" i="31"/>
  <c r="Q263" i="31"/>
  <c r="O263" i="31"/>
  <c r="P263" i="31"/>
  <c r="R263" i="31"/>
  <c r="W263" i="31"/>
  <c r="K264" i="31"/>
  <c r="L264" i="31"/>
  <c r="N264" i="31"/>
  <c r="Q264" i="31"/>
  <c r="O264" i="31"/>
  <c r="P264" i="31"/>
  <c r="R264" i="31"/>
  <c r="W264" i="31"/>
  <c r="K265" i="31"/>
  <c r="L265" i="31"/>
  <c r="N265" i="31"/>
  <c r="Q265" i="31"/>
  <c r="O265" i="31"/>
  <c r="P265" i="31"/>
  <c r="R265" i="31"/>
  <c r="W265" i="31"/>
  <c r="K266" i="31"/>
  <c r="L266" i="31"/>
  <c r="N266" i="31"/>
  <c r="Q266" i="31"/>
  <c r="O266" i="31"/>
  <c r="P266" i="31"/>
  <c r="R266" i="31"/>
  <c r="W266" i="31"/>
  <c r="K267" i="31"/>
  <c r="L267" i="31"/>
  <c r="N267" i="31"/>
  <c r="Q267" i="31"/>
  <c r="O267" i="31"/>
  <c r="P267" i="31"/>
  <c r="R267" i="31"/>
  <c r="W267" i="31"/>
  <c r="K268" i="31"/>
  <c r="L268" i="31"/>
  <c r="N268" i="31"/>
  <c r="Q268" i="31"/>
  <c r="O268" i="31"/>
  <c r="P268" i="31"/>
  <c r="R268" i="31"/>
  <c r="W268" i="31"/>
  <c r="K269" i="31"/>
  <c r="L269" i="31"/>
  <c r="N269" i="31"/>
  <c r="Q269" i="31"/>
  <c r="O269" i="31"/>
  <c r="P269" i="31"/>
  <c r="R269" i="31"/>
  <c r="W269" i="31"/>
  <c r="K270" i="31"/>
  <c r="L270" i="31"/>
  <c r="N270" i="31"/>
  <c r="Q270" i="31"/>
  <c r="O270" i="31"/>
  <c r="P270" i="31"/>
  <c r="R270" i="31"/>
  <c r="W270" i="31"/>
  <c r="K271" i="31"/>
  <c r="L271" i="31"/>
  <c r="N271" i="31"/>
  <c r="Q271" i="31"/>
  <c r="O271" i="31"/>
  <c r="P271" i="31"/>
  <c r="R271" i="31"/>
  <c r="W271" i="31"/>
  <c r="K272" i="31"/>
  <c r="L272" i="31"/>
  <c r="N272" i="31"/>
  <c r="Q272" i="31"/>
  <c r="O272" i="31"/>
  <c r="P272" i="31"/>
  <c r="R272" i="31"/>
  <c r="W272" i="31"/>
  <c r="K273" i="31"/>
  <c r="L273" i="31"/>
  <c r="N273" i="31"/>
  <c r="Q273" i="31"/>
  <c r="O273" i="31"/>
  <c r="P273" i="31"/>
  <c r="R273" i="31"/>
  <c r="W273" i="31"/>
  <c r="K274" i="31"/>
  <c r="L274" i="31"/>
  <c r="N274" i="31"/>
  <c r="Q274" i="31"/>
  <c r="O274" i="31"/>
  <c r="P274" i="31"/>
  <c r="R274" i="31"/>
  <c r="W274" i="31"/>
  <c r="K275" i="31"/>
  <c r="L275" i="31"/>
  <c r="N275" i="31"/>
  <c r="Q275" i="31"/>
  <c r="O275" i="31"/>
  <c r="P275" i="31"/>
  <c r="R275" i="31"/>
  <c r="W275" i="31"/>
  <c r="K276" i="31"/>
  <c r="L276" i="31"/>
  <c r="N276" i="31"/>
  <c r="Q276" i="31"/>
  <c r="O276" i="31"/>
  <c r="P276" i="31"/>
  <c r="R276" i="31"/>
  <c r="W276" i="31"/>
  <c r="K277" i="31"/>
  <c r="L277" i="31"/>
  <c r="N277" i="31"/>
  <c r="Q277" i="31"/>
  <c r="O277" i="31"/>
  <c r="P277" i="31"/>
  <c r="R277" i="31"/>
  <c r="W277" i="31"/>
  <c r="K278" i="31"/>
  <c r="L278" i="31"/>
  <c r="N278" i="31"/>
  <c r="Q278" i="31"/>
  <c r="O278" i="31"/>
  <c r="P278" i="31"/>
  <c r="R278" i="31"/>
  <c r="W278" i="31"/>
  <c r="K279" i="31"/>
  <c r="L279" i="31"/>
  <c r="N279" i="31"/>
  <c r="Q279" i="31"/>
  <c r="O279" i="31"/>
  <c r="P279" i="31"/>
  <c r="R279" i="31"/>
  <c r="W279" i="31"/>
  <c r="K280" i="31"/>
  <c r="L280" i="31"/>
  <c r="N280" i="31"/>
  <c r="Q280" i="31"/>
  <c r="O280" i="31"/>
  <c r="P280" i="31"/>
  <c r="R280" i="31"/>
  <c r="W280" i="31"/>
  <c r="K281" i="31"/>
  <c r="L281" i="31"/>
  <c r="N281" i="31"/>
  <c r="Q281" i="31"/>
  <c r="O281" i="31"/>
  <c r="P281" i="31"/>
  <c r="R281" i="31"/>
  <c r="W281" i="31"/>
  <c r="K282" i="31"/>
  <c r="L282" i="31"/>
  <c r="N282" i="31"/>
  <c r="Q282" i="31"/>
  <c r="O282" i="31"/>
  <c r="P282" i="31"/>
  <c r="R282" i="31"/>
  <c r="W282" i="31"/>
  <c r="K283" i="31"/>
  <c r="L283" i="31"/>
  <c r="N283" i="31"/>
  <c r="Q283" i="31"/>
  <c r="O283" i="31"/>
  <c r="P283" i="31"/>
  <c r="R283" i="31"/>
  <c r="W283" i="31"/>
  <c r="K284" i="31"/>
  <c r="L284" i="31"/>
  <c r="N284" i="31"/>
  <c r="Q284" i="31"/>
  <c r="O284" i="31"/>
  <c r="P284" i="31"/>
  <c r="R284" i="31"/>
  <c r="W284" i="31"/>
  <c r="K285" i="31"/>
  <c r="L285" i="31"/>
  <c r="N285" i="31"/>
  <c r="Q285" i="31"/>
  <c r="O285" i="31"/>
  <c r="P285" i="31"/>
  <c r="R285" i="31"/>
  <c r="W285" i="31"/>
  <c r="K286" i="31"/>
  <c r="L286" i="31"/>
  <c r="N286" i="31"/>
  <c r="Q286" i="31"/>
  <c r="O286" i="31"/>
  <c r="P286" i="31"/>
  <c r="R286" i="31"/>
  <c r="W286" i="31"/>
  <c r="K287" i="31"/>
  <c r="L287" i="31"/>
  <c r="N287" i="31"/>
  <c r="Q287" i="31"/>
  <c r="O287" i="31"/>
  <c r="P287" i="31"/>
  <c r="R287" i="31"/>
  <c r="W287" i="31"/>
  <c r="K288" i="31"/>
  <c r="L288" i="31"/>
  <c r="N288" i="31"/>
  <c r="Q288" i="31"/>
  <c r="O288" i="31"/>
  <c r="P288" i="31"/>
  <c r="R288" i="31"/>
  <c r="W288" i="31"/>
  <c r="K289" i="31"/>
  <c r="L289" i="31"/>
  <c r="N289" i="31"/>
  <c r="Q289" i="31"/>
  <c r="O289" i="31"/>
  <c r="P289" i="31"/>
  <c r="R289" i="31"/>
  <c r="W289" i="31"/>
  <c r="K290" i="31"/>
  <c r="L290" i="31"/>
  <c r="N290" i="31"/>
  <c r="Q290" i="31"/>
  <c r="O290" i="31"/>
  <c r="P290" i="31"/>
  <c r="R290" i="31"/>
  <c r="W290" i="31"/>
  <c r="K291" i="31"/>
  <c r="L291" i="31"/>
  <c r="N291" i="31"/>
  <c r="Q291" i="31"/>
  <c r="O291" i="31"/>
  <c r="P291" i="31"/>
  <c r="R291" i="31"/>
  <c r="W291" i="31"/>
  <c r="K292" i="31"/>
  <c r="L292" i="31"/>
  <c r="N292" i="31"/>
  <c r="Q292" i="31"/>
  <c r="O292" i="31"/>
  <c r="P292" i="31"/>
  <c r="R292" i="31"/>
  <c r="W292" i="31"/>
  <c r="K293" i="31"/>
  <c r="L293" i="31"/>
  <c r="N293" i="31"/>
  <c r="Q293" i="31"/>
  <c r="O293" i="31"/>
  <c r="P293" i="31"/>
  <c r="R293" i="31"/>
  <c r="W293" i="31"/>
  <c r="K294" i="31"/>
  <c r="L294" i="31"/>
  <c r="N294" i="31"/>
  <c r="Q294" i="31"/>
  <c r="O294" i="31"/>
  <c r="P294" i="31"/>
  <c r="R294" i="31"/>
  <c r="W294" i="31"/>
  <c r="K295" i="31"/>
  <c r="L295" i="31"/>
  <c r="N295" i="31"/>
  <c r="Q295" i="31"/>
  <c r="O295" i="31"/>
  <c r="P295" i="31"/>
  <c r="R295" i="31"/>
  <c r="W295" i="31"/>
  <c r="K296" i="31"/>
  <c r="L296" i="31"/>
  <c r="N296" i="31"/>
  <c r="Q296" i="31"/>
  <c r="O296" i="31"/>
  <c r="P296" i="31"/>
  <c r="R296" i="31"/>
  <c r="W296" i="31"/>
  <c r="K297" i="31"/>
  <c r="L297" i="31"/>
  <c r="N297" i="31"/>
  <c r="Q297" i="31"/>
  <c r="O297" i="31"/>
  <c r="P297" i="31"/>
  <c r="R297" i="31"/>
  <c r="W297" i="31"/>
  <c r="K298" i="31"/>
  <c r="L298" i="31"/>
  <c r="N298" i="31"/>
  <c r="Q298" i="31"/>
  <c r="O298" i="31"/>
  <c r="P298" i="31"/>
  <c r="R298" i="31"/>
  <c r="W298" i="31"/>
  <c r="K299" i="31"/>
  <c r="L299" i="31"/>
  <c r="N299" i="31"/>
  <c r="Q299" i="31"/>
  <c r="O299" i="31"/>
  <c r="P299" i="31"/>
  <c r="R299" i="31"/>
  <c r="W299" i="31"/>
  <c r="K300" i="31"/>
  <c r="L300" i="31"/>
  <c r="N300" i="31"/>
  <c r="Q300" i="31"/>
  <c r="O300" i="31"/>
  <c r="P300" i="31"/>
  <c r="R300" i="31"/>
  <c r="W300" i="31"/>
  <c r="K301" i="31"/>
  <c r="L301" i="31"/>
  <c r="N301" i="31"/>
  <c r="Q301" i="31"/>
  <c r="O301" i="31"/>
  <c r="P301" i="31"/>
  <c r="R301" i="31"/>
  <c r="W301" i="31"/>
  <c r="K302" i="31"/>
  <c r="L302" i="31"/>
  <c r="N302" i="31"/>
  <c r="Q302" i="31"/>
  <c r="O302" i="31"/>
  <c r="P302" i="31"/>
  <c r="R302" i="31"/>
  <c r="W302" i="31"/>
  <c r="K303" i="31"/>
  <c r="L303" i="31"/>
  <c r="N303" i="31"/>
  <c r="Q303" i="31"/>
  <c r="O303" i="31"/>
  <c r="P303" i="31"/>
  <c r="R303" i="31"/>
  <c r="W303" i="31"/>
  <c r="K304" i="31"/>
  <c r="L304" i="31"/>
  <c r="N304" i="31"/>
  <c r="Q304" i="31"/>
  <c r="O304" i="31"/>
  <c r="P304" i="31"/>
  <c r="R304" i="31"/>
  <c r="W304" i="31"/>
  <c r="K305" i="31"/>
  <c r="L305" i="31"/>
  <c r="N305" i="31"/>
  <c r="Q305" i="31"/>
  <c r="O305" i="31"/>
  <c r="P305" i="31"/>
  <c r="R305" i="31"/>
  <c r="W305" i="31"/>
  <c r="K306" i="31"/>
  <c r="L306" i="31"/>
  <c r="N306" i="31"/>
  <c r="Q306" i="31"/>
  <c r="O306" i="31"/>
  <c r="P306" i="31"/>
  <c r="R306" i="31"/>
  <c r="W306" i="31"/>
  <c r="K307" i="31"/>
  <c r="L307" i="31"/>
  <c r="N307" i="31"/>
  <c r="Q307" i="31"/>
  <c r="O307" i="31"/>
  <c r="P307" i="31"/>
  <c r="R307" i="31"/>
  <c r="W307" i="31"/>
  <c r="K308" i="31"/>
  <c r="L308" i="31"/>
  <c r="N308" i="31"/>
  <c r="Q308" i="31"/>
  <c r="O308" i="31"/>
  <c r="P308" i="31"/>
  <c r="R308" i="31"/>
  <c r="W308" i="31"/>
  <c r="K309" i="31"/>
  <c r="L309" i="31"/>
  <c r="N309" i="31"/>
  <c r="Q309" i="31"/>
  <c r="O309" i="31"/>
  <c r="P309" i="31"/>
  <c r="R309" i="31"/>
  <c r="W309" i="31"/>
  <c r="K310" i="31"/>
  <c r="L310" i="31"/>
  <c r="N310" i="31"/>
  <c r="Q310" i="31"/>
  <c r="O310" i="31"/>
  <c r="P310" i="31"/>
  <c r="R310" i="31"/>
  <c r="W310" i="31"/>
  <c r="K311" i="31"/>
  <c r="L311" i="31"/>
  <c r="N311" i="31"/>
  <c r="Q311" i="31"/>
  <c r="O311" i="31"/>
  <c r="P311" i="31"/>
  <c r="R311" i="31"/>
  <c r="W311" i="31"/>
  <c r="K312" i="31"/>
  <c r="L312" i="31"/>
  <c r="N312" i="31"/>
  <c r="Q312" i="31"/>
  <c r="O312" i="31"/>
  <c r="P312" i="31"/>
  <c r="R312" i="31"/>
  <c r="W312" i="31"/>
  <c r="K313" i="31"/>
  <c r="L313" i="31"/>
  <c r="N313" i="31"/>
  <c r="Q313" i="31"/>
  <c r="O313" i="31"/>
  <c r="P313" i="31"/>
  <c r="R313" i="31"/>
  <c r="W313" i="31"/>
  <c r="K314" i="31"/>
  <c r="L314" i="31"/>
  <c r="N314" i="31"/>
  <c r="Q314" i="31"/>
  <c r="O314" i="31"/>
  <c r="P314" i="31"/>
  <c r="R314" i="31"/>
  <c r="W314" i="31"/>
  <c r="K315" i="31"/>
  <c r="L315" i="31"/>
  <c r="N315" i="31"/>
  <c r="Q315" i="31"/>
  <c r="O315" i="31"/>
  <c r="P315" i="31"/>
  <c r="R315" i="31"/>
  <c r="W315" i="31"/>
  <c r="K316" i="31"/>
  <c r="L316" i="31"/>
  <c r="N316" i="31"/>
  <c r="Q316" i="31"/>
  <c r="O316" i="31"/>
  <c r="P316" i="31"/>
  <c r="R316" i="31"/>
  <c r="W316" i="31"/>
  <c r="K317" i="31"/>
  <c r="L317" i="31"/>
  <c r="N317" i="31"/>
  <c r="Q317" i="31"/>
  <c r="O317" i="31"/>
  <c r="P317" i="31"/>
  <c r="R317" i="31"/>
  <c r="W317" i="31"/>
  <c r="K318" i="31"/>
  <c r="L318" i="31"/>
  <c r="N318" i="31"/>
  <c r="Q318" i="31"/>
  <c r="O318" i="31"/>
  <c r="P318" i="31"/>
  <c r="R318" i="31"/>
  <c r="W318" i="31"/>
  <c r="K319" i="31"/>
  <c r="L319" i="31"/>
  <c r="N319" i="31"/>
  <c r="Q319" i="31"/>
  <c r="O319" i="31"/>
  <c r="P319" i="31"/>
  <c r="R319" i="31"/>
  <c r="W319" i="31"/>
  <c r="K320" i="31"/>
  <c r="L320" i="31"/>
  <c r="N320" i="31"/>
  <c r="Q320" i="31"/>
  <c r="O320" i="31"/>
  <c r="P320" i="31"/>
  <c r="R320" i="31"/>
  <c r="W320" i="31"/>
  <c r="K321" i="31"/>
  <c r="L321" i="31"/>
  <c r="N321" i="31"/>
  <c r="Q321" i="31"/>
  <c r="O321" i="31"/>
  <c r="P321" i="31"/>
  <c r="R321" i="31"/>
  <c r="W321" i="31"/>
  <c r="K322" i="31"/>
  <c r="L322" i="31"/>
  <c r="N322" i="31"/>
  <c r="Q322" i="31"/>
  <c r="O322" i="31"/>
  <c r="P322" i="31"/>
  <c r="R322" i="31"/>
  <c r="W322" i="31"/>
  <c r="K323" i="31"/>
  <c r="L323" i="31"/>
  <c r="N323" i="31"/>
  <c r="Q323" i="31"/>
  <c r="O323" i="31"/>
  <c r="P323" i="31"/>
  <c r="R323" i="31"/>
  <c r="W323" i="31"/>
  <c r="K324" i="31"/>
  <c r="L324" i="31"/>
  <c r="N324" i="31"/>
  <c r="Q324" i="31"/>
  <c r="O324" i="31"/>
  <c r="P324" i="31"/>
  <c r="R324" i="31"/>
  <c r="W324" i="31"/>
  <c r="K325" i="31"/>
  <c r="L325" i="31"/>
  <c r="N325" i="31"/>
  <c r="Q325" i="31"/>
  <c r="O325" i="31"/>
  <c r="P325" i="31"/>
  <c r="R325" i="31"/>
  <c r="W325" i="31"/>
  <c r="K326" i="31"/>
  <c r="L326" i="31"/>
  <c r="N326" i="31"/>
  <c r="Q326" i="31"/>
  <c r="O326" i="31"/>
  <c r="P326" i="31"/>
  <c r="R326" i="31"/>
  <c r="W326" i="31"/>
  <c r="K327" i="31"/>
  <c r="L327" i="31"/>
  <c r="N327" i="31"/>
  <c r="Q327" i="31"/>
  <c r="O327" i="31"/>
  <c r="P327" i="31"/>
  <c r="R327" i="31"/>
  <c r="W327" i="31"/>
  <c r="K328" i="31"/>
  <c r="L328" i="31"/>
  <c r="N328" i="31"/>
  <c r="Q328" i="31"/>
  <c r="O328" i="31"/>
  <c r="P328" i="31"/>
  <c r="R328" i="31"/>
  <c r="W328" i="31"/>
  <c r="K329" i="31"/>
  <c r="L329" i="31"/>
  <c r="N329" i="31"/>
  <c r="Q329" i="31"/>
  <c r="O329" i="31"/>
  <c r="P329" i="31"/>
  <c r="R329" i="31"/>
  <c r="W329" i="31"/>
  <c r="K330" i="31"/>
  <c r="L330" i="31"/>
  <c r="N330" i="31"/>
  <c r="Q330" i="31"/>
  <c r="O330" i="31"/>
  <c r="P330" i="31"/>
  <c r="R330" i="31"/>
  <c r="W330" i="31"/>
  <c r="K331" i="31"/>
  <c r="L331" i="31"/>
  <c r="N331" i="31"/>
  <c r="Q331" i="31"/>
  <c r="O331" i="31"/>
  <c r="P331" i="31"/>
  <c r="R331" i="31"/>
  <c r="W331" i="31"/>
  <c r="K332" i="31"/>
  <c r="L332" i="31"/>
  <c r="N332" i="31"/>
  <c r="Q332" i="31"/>
  <c r="O332" i="31"/>
  <c r="P332" i="31"/>
  <c r="R332" i="31"/>
  <c r="W332" i="31"/>
  <c r="K333" i="31"/>
  <c r="L333" i="31"/>
  <c r="N333" i="31"/>
  <c r="Q333" i="31"/>
  <c r="O333" i="31"/>
  <c r="P333" i="31"/>
  <c r="R333" i="31"/>
  <c r="W333" i="31"/>
  <c r="K334" i="31"/>
  <c r="L334" i="31"/>
  <c r="N334" i="31"/>
  <c r="Q334" i="31"/>
  <c r="O334" i="31"/>
  <c r="P334" i="31"/>
  <c r="R334" i="31"/>
  <c r="W334" i="31"/>
  <c r="K335" i="31"/>
  <c r="L335" i="31"/>
  <c r="N335" i="31"/>
  <c r="Q335" i="31"/>
  <c r="O335" i="31"/>
  <c r="P335" i="31"/>
  <c r="R335" i="31"/>
  <c r="W335" i="31"/>
  <c r="K336" i="31"/>
  <c r="L336" i="31"/>
  <c r="N336" i="31"/>
  <c r="Q336" i="31"/>
  <c r="O336" i="31"/>
  <c r="P336" i="31"/>
  <c r="R336" i="31"/>
  <c r="W336" i="31"/>
  <c r="K337" i="31"/>
  <c r="L337" i="31"/>
  <c r="N337" i="31"/>
  <c r="Q337" i="31"/>
  <c r="O337" i="31"/>
  <c r="P337" i="31"/>
  <c r="R337" i="31"/>
  <c r="W337" i="31"/>
  <c r="K338" i="31"/>
  <c r="L338" i="31"/>
  <c r="N338" i="31"/>
  <c r="Q338" i="31"/>
  <c r="O338" i="31"/>
  <c r="P338" i="31"/>
  <c r="R338" i="31"/>
  <c r="W338" i="31"/>
  <c r="K339" i="31"/>
  <c r="L339" i="31"/>
  <c r="N339" i="31"/>
  <c r="Q339" i="31"/>
  <c r="O339" i="31"/>
  <c r="P339" i="31"/>
  <c r="R339" i="31"/>
  <c r="W339" i="31"/>
  <c r="K340" i="31"/>
  <c r="L340" i="31"/>
  <c r="N340" i="31"/>
  <c r="Q340" i="31"/>
  <c r="O340" i="31"/>
  <c r="P340" i="31"/>
  <c r="R340" i="31"/>
  <c r="W340" i="31"/>
  <c r="K341" i="31"/>
  <c r="L341" i="31"/>
  <c r="N341" i="31"/>
  <c r="Q341" i="31"/>
  <c r="O341" i="31"/>
  <c r="P341" i="31"/>
  <c r="R341" i="31"/>
  <c r="W341" i="31"/>
  <c r="K342" i="31"/>
  <c r="L342" i="31"/>
  <c r="N342" i="31"/>
  <c r="Q342" i="31"/>
  <c r="O342" i="31"/>
  <c r="P342" i="31"/>
  <c r="R342" i="31"/>
  <c r="W342" i="31"/>
  <c r="K343" i="31"/>
  <c r="L343" i="31"/>
  <c r="N343" i="31"/>
  <c r="Q343" i="31"/>
  <c r="O343" i="31"/>
  <c r="P343" i="31"/>
  <c r="R343" i="31"/>
  <c r="W343" i="31"/>
  <c r="K344" i="31"/>
  <c r="L344" i="31"/>
  <c r="N344" i="31"/>
  <c r="Q344" i="31"/>
  <c r="O344" i="31"/>
  <c r="P344" i="31"/>
  <c r="R344" i="31"/>
  <c r="W344" i="31"/>
  <c r="K345" i="31"/>
  <c r="L345" i="31"/>
  <c r="N345" i="31"/>
  <c r="Q345" i="31"/>
  <c r="O345" i="31"/>
  <c r="P345" i="31"/>
  <c r="R345" i="31"/>
  <c r="W345" i="31"/>
  <c r="K346" i="31"/>
  <c r="L346" i="31"/>
  <c r="N346" i="31"/>
  <c r="Q346" i="31"/>
  <c r="O346" i="31"/>
  <c r="P346" i="31"/>
  <c r="R346" i="31"/>
  <c r="W346" i="31"/>
  <c r="K347" i="31"/>
  <c r="L347" i="31"/>
  <c r="N347" i="31"/>
  <c r="Q347" i="31"/>
  <c r="O347" i="31"/>
  <c r="P347" i="31"/>
  <c r="R347" i="31"/>
  <c r="W347" i="31"/>
  <c r="K348" i="31"/>
  <c r="L348" i="31"/>
  <c r="N348" i="31"/>
  <c r="Q348" i="31"/>
  <c r="O348" i="31"/>
  <c r="P348" i="31"/>
  <c r="R348" i="31"/>
  <c r="W348" i="31"/>
  <c r="K349" i="31"/>
  <c r="L349" i="31"/>
  <c r="N349" i="31"/>
  <c r="Q349" i="31"/>
  <c r="O349" i="31"/>
  <c r="P349" i="31"/>
  <c r="R349" i="31"/>
  <c r="W349" i="31"/>
  <c r="K350" i="31"/>
  <c r="L350" i="31"/>
  <c r="N350" i="31"/>
  <c r="Q350" i="31"/>
  <c r="O350" i="31"/>
  <c r="P350" i="31"/>
  <c r="R350" i="31"/>
  <c r="W350" i="31"/>
  <c r="K351" i="31"/>
  <c r="L351" i="31"/>
  <c r="N351" i="31"/>
  <c r="Q351" i="31"/>
  <c r="O351" i="31"/>
  <c r="P351" i="31"/>
  <c r="R351" i="31"/>
  <c r="W351" i="31"/>
  <c r="K352" i="31"/>
  <c r="L352" i="31"/>
  <c r="N352" i="31"/>
  <c r="Q352" i="31"/>
  <c r="O352" i="31"/>
  <c r="P352" i="31"/>
  <c r="R352" i="31"/>
  <c r="W352" i="31"/>
  <c r="K353" i="31"/>
  <c r="L353" i="31"/>
  <c r="N353" i="31"/>
  <c r="Q353" i="31"/>
  <c r="O353" i="31"/>
  <c r="P353" i="31"/>
  <c r="R353" i="31"/>
  <c r="W353" i="31"/>
  <c r="K354" i="31"/>
  <c r="L354" i="31"/>
  <c r="N354" i="31"/>
  <c r="Q354" i="31"/>
  <c r="O354" i="31"/>
  <c r="P354" i="31"/>
  <c r="R354" i="31"/>
  <c r="W354" i="31"/>
  <c r="K355" i="31"/>
  <c r="L355" i="31"/>
  <c r="N355" i="31"/>
  <c r="Q355" i="31"/>
  <c r="O355" i="31"/>
  <c r="P355" i="31"/>
  <c r="R355" i="31"/>
  <c r="W355" i="31"/>
  <c r="K356" i="31"/>
  <c r="L356" i="31"/>
  <c r="N356" i="31"/>
  <c r="Q356" i="31"/>
  <c r="O356" i="31"/>
  <c r="P356" i="31"/>
  <c r="R356" i="31"/>
  <c r="W356" i="31"/>
  <c r="K357" i="31"/>
  <c r="L357" i="31"/>
  <c r="N357" i="31"/>
  <c r="Q357" i="31"/>
  <c r="O357" i="31"/>
  <c r="P357" i="31"/>
  <c r="R357" i="31"/>
  <c r="W357" i="31"/>
  <c r="K358" i="31"/>
  <c r="L358" i="31"/>
  <c r="N358" i="31"/>
  <c r="Q358" i="31"/>
  <c r="O358" i="31"/>
  <c r="P358" i="31"/>
  <c r="R358" i="31"/>
  <c r="W358" i="31"/>
  <c r="K359" i="31"/>
  <c r="L359" i="31"/>
  <c r="N359" i="31"/>
  <c r="Q359" i="31"/>
  <c r="O359" i="31"/>
  <c r="P359" i="31"/>
  <c r="R359" i="31"/>
  <c r="W359" i="31"/>
  <c r="K360" i="31"/>
  <c r="L360" i="31"/>
  <c r="N360" i="31"/>
  <c r="Q360" i="31"/>
  <c r="O360" i="31"/>
  <c r="P360" i="31"/>
  <c r="R360" i="31"/>
  <c r="W360" i="31"/>
  <c r="K361" i="31"/>
  <c r="L361" i="31"/>
  <c r="N361" i="31"/>
  <c r="Q361" i="31"/>
  <c r="O361" i="31"/>
  <c r="P361" i="31"/>
  <c r="R361" i="31"/>
  <c r="W361" i="31"/>
  <c r="K362" i="31"/>
  <c r="L362" i="31"/>
  <c r="N362" i="31"/>
  <c r="Q362" i="31"/>
  <c r="O362" i="31"/>
  <c r="P362" i="31"/>
  <c r="R362" i="31"/>
  <c r="W362" i="31"/>
  <c r="K363" i="31"/>
  <c r="L363" i="31"/>
  <c r="N363" i="31"/>
  <c r="Q363" i="31"/>
  <c r="O363" i="31"/>
  <c r="P363" i="31"/>
  <c r="R363" i="31"/>
  <c r="W363" i="31"/>
  <c r="K364" i="31"/>
  <c r="L364" i="31"/>
  <c r="N364" i="31"/>
  <c r="Q364" i="31"/>
  <c r="O364" i="31"/>
  <c r="P364" i="31"/>
  <c r="R364" i="31"/>
  <c r="W364" i="31"/>
  <c r="K365" i="31"/>
  <c r="L365" i="31"/>
  <c r="N365" i="31"/>
  <c r="Q365" i="31"/>
  <c r="O365" i="31"/>
  <c r="P365" i="31"/>
  <c r="R365" i="31"/>
  <c r="W365" i="31"/>
  <c r="K366" i="31"/>
  <c r="L366" i="31"/>
  <c r="N366" i="31"/>
  <c r="Q366" i="31"/>
  <c r="O366" i="31"/>
  <c r="P366" i="31"/>
  <c r="R366" i="31"/>
  <c r="W366" i="31"/>
  <c r="K367" i="31"/>
  <c r="L367" i="31"/>
  <c r="N367" i="31"/>
  <c r="Q367" i="31"/>
  <c r="O367" i="31"/>
  <c r="P367" i="31"/>
  <c r="R367" i="31"/>
  <c r="W367" i="31"/>
  <c r="K368" i="31"/>
  <c r="L368" i="31"/>
  <c r="N368" i="31"/>
  <c r="Q368" i="31"/>
  <c r="O368" i="31"/>
  <c r="P368" i="31"/>
  <c r="R368" i="31"/>
  <c r="W368" i="31"/>
  <c r="K369" i="31"/>
  <c r="L369" i="31"/>
  <c r="N369" i="31"/>
  <c r="Q369" i="31"/>
  <c r="O369" i="31"/>
  <c r="P369" i="31"/>
  <c r="R369" i="31"/>
  <c r="W369" i="31"/>
  <c r="K370" i="31"/>
  <c r="L370" i="31"/>
  <c r="N370" i="31"/>
  <c r="Q370" i="31"/>
  <c r="O370" i="31"/>
  <c r="P370" i="31"/>
  <c r="R370" i="31"/>
  <c r="W370" i="31"/>
  <c r="K371" i="31"/>
  <c r="L371" i="31"/>
  <c r="N371" i="31"/>
  <c r="Q371" i="31"/>
  <c r="O371" i="31"/>
  <c r="P371" i="31"/>
  <c r="R371" i="31"/>
  <c r="W371" i="31"/>
  <c r="K372" i="31"/>
  <c r="L372" i="31"/>
  <c r="N372" i="31"/>
  <c r="Q372" i="31"/>
  <c r="O372" i="31"/>
  <c r="P372" i="31"/>
  <c r="R372" i="31"/>
  <c r="W372" i="31"/>
  <c r="K373" i="31"/>
  <c r="L373" i="31"/>
  <c r="N373" i="31"/>
  <c r="Q373" i="31"/>
  <c r="O373" i="31"/>
  <c r="P373" i="31"/>
  <c r="R373" i="31"/>
  <c r="W373" i="31"/>
  <c r="K374" i="31"/>
  <c r="L374" i="31"/>
  <c r="N374" i="31"/>
  <c r="Q374" i="31"/>
  <c r="O374" i="31"/>
  <c r="P374" i="31"/>
  <c r="R374" i="31"/>
  <c r="W374" i="31"/>
  <c r="K375" i="31"/>
  <c r="L375" i="31"/>
  <c r="N375" i="31"/>
  <c r="Q375" i="31"/>
  <c r="O375" i="31"/>
  <c r="P375" i="31"/>
  <c r="R375" i="31"/>
  <c r="W375" i="31"/>
  <c r="K376" i="31"/>
  <c r="L376" i="31"/>
  <c r="N376" i="31"/>
  <c r="Q376" i="31"/>
  <c r="O376" i="31"/>
  <c r="P376" i="31"/>
  <c r="R376" i="31"/>
  <c r="W376" i="31"/>
  <c r="K377" i="31"/>
  <c r="L377" i="31"/>
  <c r="N377" i="31"/>
  <c r="Q377" i="31"/>
  <c r="O377" i="31"/>
  <c r="P377" i="31"/>
  <c r="R377" i="31"/>
  <c r="W377" i="31"/>
  <c r="K378" i="31"/>
  <c r="L378" i="31"/>
  <c r="N378" i="31"/>
  <c r="Q378" i="31"/>
  <c r="O378" i="31"/>
  <c r="P378" i="31"/>
  <c r="R378" i="31"/>
  <c r="W378" i="31"/>
  <c r="K379" i="31"/>
  <c r="L379" i="31"/>
  <c r="N379" i="31"/>
  <c r="Q379" i="31"/>
  <c r="O379" i="31"/>
  <c r="P379" i="31"/>
  <c r="R379" i="31"/>
  <c r="W379" i="31"/>
  <c r="K380" i="31"/>
  <c r="L380" i="31"/>
  <c r="N380" i="31"/>
  <c r="Q380" i="31"/>
  <c r="O380" i="31"/>
  <c r="P380" i="31"/>
  <c r="R380" i="31"/>
  <c r="W380" i="31"/>
  <c r="K381" i="31"/>
  <c r="L381" i="31"/>
  <c r="N381" i="31"/>
  <c r="Q381" i="31"/>
  <c r="O381" i="31"/>
  <c r="P381" i="31"/>
  <c r="R381" i="31"/>
  <c r="W381" i="31"/>
  <c r="K382" i="31"/>
  <c r="L382" i="31"/>
  <c r="N382" i="31"/>
  <c r="Q382" i="31"/>
  <c r="O382" i="31"/>
  <c r="P382" i="31"/>
  <c r="R382" i="31"/>
  <c r="W382" i="31"/>
  <c r="K383" i="31"/>
  <c r="L383" i="31"/>
  <c r="N383" i="31"/>
  <c r="Q383" i="31"/>
  <c r="O383" i="31"/>
  <c r="P383" i="31"/>
  <c r="R383" i="31"/>
  <c r="W383" i="31"/>
  <c r="K384" i="31"/>
  <c r="L384" i="31"/>
  <c r="N384" i="31"/>
  <c r="Q384" i="31"/>
  <c r="O384" i="31"/>
  <c r="P384" i="31"/>
  <c r="R384" i="31"/>
  <c r="W384" i="31"/>
  <c r="K385" i="31"/>
  <c r="L385" i="31"/>
  <c r="N385" i="31"/>
  <c r="Q385" i="31"/>
  <c r="O385" i="31"/>
  <c r="P385" i="31"/>
  <c r="R385" i="31"/>
  <c r="W385" i="31"/>
  <c r="K386" i="31"/>
  <c r="L386" i="31"/>
  <c r="N386" i="31"/>
  <c r="Q386" i="31"/>
  <c r="O386" i="31"/>
  <c r="P386" i="31"/>
  <c r="R386" i="31"/>
  <c r="W386" i="31"/>
  <c r="K387" i="31"/>
  <c r="L387" i="31"/>
  <c r="N387" i="31"/>
  <c r="Q387" i="31"/>
  <c r="O387" i="31"/>
  <c r="P387" i="31"/>
  <c r="R387" i="31"/>
  <c r="W387" i="31"/>
  <c r="K388" i="31"/>
  <c r="L388" i="31"/>
  <c r="N388" i="31"/>
  <c r="Q388" i="31"/>
  <c r="O388" i="31"/>
  <c r="P388" i="31"/>
  <c r="R388" i="31"/>
  <c r="W388" i="31"/>
  <c r="K389" i="31"/>
  <c r="L389" i="31"/>
  <c r="N389" i="31"/>
  <c r="Q389" i="31"/>
  <c r="O389" i="31"/>
  <c r="P389" i="31"/>
  <c r="R389" i="31"/>
  <c r="W389" i="31"/>
  <c r="K390" i="31"/>
  <c r="L390" i="31"/>
  <c r="N390" i="31"/>
  <c r="Q390" i="31"/>
  <c r="O390" i="31"/>
  <c r="P390" i="31"/>
  <c r="R390" i="31"/>
  <c r="W390" i="31"/>
  <c r="K391" i="31"/>
  <c r="L391" i="31"/>
  <c r="N391" i="31"/>
  <c r="Q391" i="31"/>
  <c r="O391" i="31"/>
  <c r="P391" i="31"/>
  <c r="R391" i="31"/>
  <c r="W391" i="31"/>
  <c r="K392" i="31"/>
  <c r="L392" i="31"/>
  <c r="N392" i="31"/>
  <c r="Q392" i="31"/>
  <c r="O392" i="31"/>
  <c r="P392" i="31"/>
  <c r="R392" i="31"/>
  <c r="W392" i="31"/>
  <c r="K393" i="31"/>
  <c r="L393" i="31"/>
  <c r="N393" i="31"/>
  <c r="Q393" i="31"/>
  <c r="O393" i="31"/>
  <c r="P393" i="31"/>
  <c r="R393" i="31"/>
  <c r="W393" i="31"/>
  <c r="K394" i="31"/>
  <c r="L394" i="31"/>
  <c r="N394" i="31"/>
  <c r="Q394" i="31"/>
  <c r="O394" i="31"/>
  <c r="P394" i="31"/>
  <c r="R394" i="31"/>
  <c r="W394" i="31"/>
  <c r="K395" i="31"/>
  <c r="L395" i="31"/>
  <c r="N395" i="31"/>
  <c r="Q395" i="31"/>
  <c r="O395" i="31"/>
  <c r="P395" i="31"/>
  <c r="R395" i="31"/>
  <c r="W395" i="31"/>
  <c r="K396" i="31"/>
  <c r="L396" i="31"/>
  <c r="N396" i="31"/>
  <c r="Q396" i="31"/>
  <c r="O396" i="31"/>
  <c r="P396" i="31"/>
  <c r="R396" i="31"/>
  <c r="W396" i="31"/>
  <c r="K397" i="31"/>
  <c r="L397" i="31"/>
  <c r="N397" i="31"/>
  <c r="Q397" i="31"/>
  <c r="O397" i="31"/>
  <c r="P397" i="31"/>
  <c r="R397" i="31"/>
  <c r="W397" i="31"/>
  <c r="K398" i="31"/>
  <c r="L398" i="31"/>
  <c r="N398" i="31"/>
  <c r="Q398" i="31"/>
  <c r="O398" i="31"/>
  <c r="P398" i="31"/>
  <c r="R398" i="31"/>
  <c r="W398" i="31"/>
  <c r="K399" i="31"/>
  <c r="L399" i="31"/>
  <c r="N399" i="31"/>
  <c r="Q399" i="31"/>
  <c r="O399" i="31"/>
  <c r="P399" i="31"/>
  <c r="R399" i="31"/>
  <c r="W399" i="31"/>
  <c r="K400" i="31"/>
  <c r="L400" i="31"/>
  <c r="N400" i="31"/>
  <c r="Q400" i="31"/>
  <c r="O400" i="31"/>
  <c r="P400" i="31"/>
  <c r="R400" i="31"/>
  <c r="W400" i="31"/>
  <c r="K401" i="31"/>
  <c r="L401" i="31"/>
  <c r="N401" i="31"/>
  <c r="Q401" i="31"/>
  <c r="O401" i="31"/>
  <c r="P401" i="31"/>
  <c r="R401" i="31"/>
  <c r="W401" i="31"/>
  <c r="K402" i="31"/>
  <c r="L402" i="31"/>
  <c r="N402" i="31"/>
  <c r="Q402" i="31"/>
  <c r="O402" i="31"/>
  <c r="P402" i="31"/>
  <c r="R402" i="31"/>
  <c r="W402" i="31"/>
  <c r="K403" i="31"/>
  <c r="L403" i="31"/>
  <c r="N403" i="31"/>
  <c r="Q403" i="31"/>
  <c r="O403" i="31"/>
  <c r="P403" i="31"/>
  <c r="R403" i="31"/>
  <c r="W403" i="31"/>
  <c r="K404" i="31"/>
  <c r="L404" i="31"/>
  <c r="N404" i="31"/>
  <c r="Q404" i="31"/>
  <c r="O404" i="31"/>
  <c r="P404" i="31"/>
  <c r="R404" i="31"/>
  <c r="W404" i="31"/>
  <c r="K405" i="31"/>
  <c r="L405" i="31"/>
  <c r="N405" i="31"/>
  <c r="Q405" i="31"/>
  <c r="O405" i="31"/>
  <c r="P405" i="31"/>
  <c r="R405" i="31"/>
  <c r="W405" i="31"/>
  <c r="K406" i="31"/>
  <c r="L406" i="31"/>
  <c r="N406" i="31"/>
  <c r="Q406" i="31"/>
  <c r="O406" i="31"/>
  <c r="P406" i="31"/>
  <c r="R406" i="31"/>
  <c r="W406" i="31"/>
  <c r="K407" i="31"/>
  <c r="L407" i="31"/>
  <c r="N407" i="31"/>
  <c r="Q407" i="31"/>
  <c r="O407" i="31"/>
  <c r="P407" i="31"/>
  <c r="R407" i="31"/>
  <c r="W407" i="31"/>
  <c r="K408" i="31"/>
  <c r="L408" i="31"/>
  <c r="N408" i="31"/>
  <c r="Q408" i="31"/>
  <c r="O408" i="31"/>
  <c r="P408" i="31"/>
  <c r="R408" i="31"/>
  <c r="W408" i="31"/>
  <c r="K409" i="31"/>
  <c r="L409" i="31"/>
  <c r="N409" i="31"/>
  <c r="Q409" i="31"/>
  <c r="O409" i="31"/>
  <c r="P409" i="31"/>
  <c r="R409" i="31"/>
  <c r="W409" i="31"/>
  <c r="K410" i="31"/>
  <c r="L410" i="31"/>
  <c r="N410" i="31"/>
  <c r="Q410" i="31"/>
  <c r="O410" i="31"/>
  <c r="P410" i="31"/>
  <c r="R410" i="31"/>
  <c r="W410" i="31"/>
  <c r="K411" i="31"/>
  <c r="L411" i="31"/>
  <c r="N411" i="31"/>
  <c r="Q411" i="31"/>
  <c r="O411" i="31"/>
  <c r="P411" i="31"/>
  <c r="R411" i="31"/>
  <c r="W411" i="31"/>
  <c r="K412" i="31"/>
  <c r="L412" i="31"/>
  <c r="N412" i="31"/>
  <c r="Q412" i="31"/>
  <c r="O412" i="31"/>
  <c r="P412" i="31"/>
  <c r="R412" i="31"/>
  <c r="W412" i="31"/>
  <c r="K413" i="31"/>
  <c r="L413" i="31"/>
  <c r="N413" i="31"/>
  <c r="Q413" i="31"/>
  <c r="O413" i="31"/>
  <c r="P413" i="31"/>
  <c r="R413" i="31"/>
  <c r="W413" i="31"/>
  <c r="K414" i="31"/>
  <c r="L414" i="31"/>
  <c r="N414" i="31"/>
  <c r="Q414" i="31"/>
  <c r="O414" i="31"/>
  <c r="P414" i="31"/>
  <c r="R414" i="31"/>
  <c r="W414" i="31"/>
  <c r="K415" i="31"/>
  <c r="L415" i="31"/>
  <c r="N415" i="31"/>
  <c r="Q415" i="31"/>
  <c r="O415" i="31"/>
  <c r="P415" i="31"/>
  <c r="R415" i="31"/>
  <c r="W415" i="31"/>
  <c r="K416" i="31"/>
  <c r="L416" i="31"/>
  <c r="N416" i="31"/>
  <c r="Q416" i="31"/>
  <c r="O416" i="31"/>
  <c r="P416" i="31"/>
  <c r="R416" i="31"/>
  <c r="W416" i="31"/>
  <c r="K417" i="31"/>
  <c r="L417" i="31"/>
  <c r="N417" i="31"/>
  <c r="Q417" i="31"/>
  <c r="O417" i="31"/>
  <c r="P417" i="31"/>
  <c r="R417" i="31"/>
  <c r="W417" i="31"/>
  <c r="K418" i="31"/>
  <c r="L418" i="31"/>
  <c r="N418" i="31"/>
  <c r="Q418" i="31"/>
  <c r="O418" i="31"/>
  <c r="P418" i="31"/>
  <c r="R418" i="31"/>
  <c r="W418" i="31"/>
  <c r="K419" i="31"/>
  <c r="L419" i="31"/>
  <c r="N419" i="31"/>
  <c r="Q419" i="31"/>
  <c r="O419" i="31"/>
  <c r="P419" i="31"/>
  <c r="R419" i="31"/>
  <c r="W419" i="31"/>
  <c r="K420" i="31"/>
  <c r="L420" i="31"/>
  <c r="N420" i="31"/>
  <c r="Q420" i="31"/>
  <c r="O420" i="31"/>
  <c r="P420" i="31"/>
  <c r="R420" i="31"/>
  <c r="W420" i="31"/>
  <c r="K421" i="31"/>
  <c r="L421" i="31"/>
  <c r="N421" i="31"/>
  <c r="Q421" i="31"/>
  <c r="O421" i="31"/>
  <c r="P421" i="31"/>
  <c r="R421" i="31"/>
  <c r="W421" i="31"/>
  <c r="K422" i="31"/>
  <c r="L422" i="31"/>
  <c r="N422" i="31"/>
  <c r="Q422" i="31"/>
  <c r="O422" i="31"/>
  <c r="P422" i="31"/>
  <c r="R422" i="31"/>
  <c r="W422" i="31"/>
  <c r="K423" i="31"/>
  <c r="L423" i="31"/>
  <c r="N423" i="31"/>
  <c r="Q423" i="31"/>
  <c r="O423" i="31"/>
  <c r="P423" i="31"/>
  <c r="R423" i="31"/>
  <c r="W423" i="31"/>
  <c r="K424" i="31"/>
  <c r="L424" i="31"/>
  <c r="N424" i="31"/>
  <c r="Q424" i="31"/>
  <c r="O424" i="31"/>
  <c r="P424" i="31"/>
  <c r="R424" i="31"/>
  <c r="W424" i="31"/>
  <c r="K425" i="31"/>
  <c r="L425" i="31"/>
  <c r="N425" i="31"/>
  <c r="Q425" i="31"/>
  <c r="O425" i="31"/>
  <c r="P425" i="31"/>
  <c r="R425" i="31"/>
  <c r="W425" i="31"/>
  <c r="K426" i="31"/>
  <c r="L426" i="31"/>
  <c r="N426" i="31"/>
  <c r="Q426" i="31"/>
  <c r="O426" i="31"/>
  <c r="P426" i="31"/>
  <c r="R426" i="31"/>
  <c r="W426" i="31"/>
  <c r="K427" i="31"/>
  <c r="L427" i="31"/>
  <c r="N427" i="31"/>
  <c r="Q427" i="31"/>
  <c r="O427" i="31"/>
  <c r="P427" i="31"/>
  <c r="R427" i="31"/>
  <c r="W427" i="31"/>
  <c r="K428" i="31"/>
  <c r="L428" i="31"/>
  <c r="N428" i="31"/>
  <c r="Q428" i="31"/>
  <c r="O428" i="31"/>
  <c r="P428" i="31"/>
  <c r="R428" i="31"/>
  <c r="W428" i="31"/>
  <c r="K429" i="31"/>
  <c r="L429" i="31"/>
  <c r="N429" i="31"/>
  <c r="Q429" i="31"/>
  <c r="O429" i="31"/>
  <c r="P429" i="31"/>
  <c r="R429" i="31"/>
  <c r="W429" i="31"/>
  <c r="K430" i="31"/>
  <c r="L430" i="31"/>
  <c r="N430" i="31"/>
  <c r="Q430" i="31"/>
  <c r="O430" i="31"/>
  <c r="P430" i="31"/>
  <c r="R430" i="31"/>
  <c r="W430" i="31"/>
  <c r="K431" i="31"/>
  <c r="L431" i="31"/>
  <c r="N431" i="31"/>
  <c r="Q431" i="31"/>
  <c r="O431" i="31"/>
  <c r="P431" i="31"/>
  <c r="R431" i="31"/>
  <c r="W431" i="31"/>
  <c r="K432" i="31"/>
  <c r="L432" i="31"/>
  <c r="N432" i="31"/>
  <c r="Q432" i="31"/>
  <c r="O432" i="31"/>
  <c r="P432" i="31"/>
  <c r="R432" i="31"/>
  <c r="W432" i="31"/>
  <c r="K433" i="31"/>
  <c r="L433" i="31"/>
  <c r="N433" i="31"/>
  <c r="Q433" i="31"/>
  <c r="O433" i="31"/>
  <c r="P433" i="31"/>
  <c r="R433" i="31"/>
  <c r="W433" i="31"/>
  <c r="K434" i="31"/>
  <c r="L434" i="31"/>
  <c r="N434" i="31"/>
  <c r="Q434" i="31"/>
  <c r="O434" i="31"/>
  <c r="P434" i="31"/>
  <c r="R434" i="31"/>
  <c r="W434" i="31"/>
  <c r="K435" i="31"/>
  <c r="L435" i="31"/>
  <c r="N435" i="31"/>
  <c r="Q435" i="31"/>
  <c r="O435" i="31"/>
  <c r="P435" i="31"/>
  <c r="R435" i="31"/>
  <c r="W435" i="31"/>
  <c r="K436" i="31"/>
  <c r="L436" i="31"/>
  <c r="N436" i="31"/>
  <c r="Q436" i="31"/>
  <c r="O436" i="31"/>
  <c r="P436" i="31"/>
  <c r="R436" i="31"/>
  <c r="W436" i="31"/>
  <c r="K437" i="31"/>
  <c r="L437" i="31"/>
  <c r="N437" i="31"/>
  <c r="Q437" i="31"/>
  <c r="O437" i="31"/>
  <c r="P437" i="31"/>
  <c r="R437" i="31"/>
  <c r="W437" i="31"/>
  <c r="K438" i="31"/>
  <c r="L438" i="31"/>
  <c r="N438" i="31"/>
  <c r="Q438" i="31"/>
  <c r="O438" i="31"/>
  <c r="P438" i="31"/>
  <c r="R438" i="31"/>
  <c r="W438" i="31"/>
  <c r="K439" i="31"/>
  <c r="L439" i="31"/>
  <c r="N439" i="31"/>
  <c r="Q439" i="31"/>
  <c r="O439" i="31"/>
  <c r="P439" i="31"/>
  <c r="R439" i="31"/>
  <c r="W439" i="31"/>
  <c r="K440" i="31"/>
  <c r="L440" i="31"/>
  <c r="N440" i="31"/>
  <c r="Q440" i="31"/>
  <c r="O440" i="31"/>
  <c r="P440" i="31"/>
  <c r="R440" i="31"/>
  <c r="W440" i="31"/>
  <c r="K441" i="31"/>
  <c r="L441" i="31"/>
  <c r="N441" i="31"/>
  <c r="Q441" i="31"/>
  <c r="O441" i="31"/>
  <c r="P441" i="31"/>
  <c r="R441" i="31"/>
  <c r="W441" i="31"/>
  <c r="K442" i="31"/>
  <c r="L442" i="31"/>
  <c r="N442" i="31"/>
  <c r="Q442" i="31"/>
  <c r="O442" i="31"/>
  <c r="P442" i="31"/>
  <c r="R442" i="31"/>
  <c r="W442" i="31"/>
  <c r="K443" i="31"/>
  <c r="L443" i="31"/>
  <c r="N443" i="31"/>
  <c r="Q443" i="31"/>
  <c r="O443" i="31"/>
  <c r="P443" i="31"/>
  <c r="R443" i="31"/>
  <c r="W443" i="31"/>
  <c r="K444" i="31"/>
  <c r="L444" i="31"/>
  <c r="N444" i="31"/>
  <c r="Q444" i="31"/>
  <c r="O444" i="31"/>
  <c r="P444" i="31"/>
  <c r="R444" i="31"/>
  <c r="W444" i="31"/>
  <c r="K445" i="31"/>
  <c r="L445" i="31"/>
  <c r="N445" i="31"/>
  <c r="Q445" i="31"/>
  <c r="O445" i="31"/>
  <c r="P445" i="31"/>
  <c r="R445" i="31"/>
  <c r="W445" i="31"/>
  <c r="K446" i="31"/>
  <c r="L446" i="31"/>
  <c r="N446" i="31"/>
  <c r="Q446" i="31"/>
  <c r="O446" i="31"/>
  <c r="P446" i="31"/>
  <c r="R446" i="31"/>
  <c r="W446" i="31"/>
  <c r="K447" i="31"/>
  <c r="L447" i="31"/>
  <c r="N447" i="31"/>
  <c r="Q447" i="31"/>
  <c r="O447" i="31"/>
  <c r="P447" i="31"/>
  <c r="R447" i="31"/>
  <c r="W447" i="31"/>
  <c r="K448" i="31"/>
  <c r="L448" i="31"/>
  <c r="N448" i="31"/>
  <c r="Q448" i="31"/>
  <c r="O448" i="31"/>
  <c r="P448" i="31"/>
  <c r="R448" i="31"/>
  <c r="W448" i="31"/>
  <c r="K449" i="31"/>
  <c r="L449" i="31"/>
  <c r="N449" i="31"/>
  <c r="Q449" i="31"/>
  <c r="O449" i="31"/>
  <c r="P449" i="31"/>
  <c r="R449" i="31"/>
  <c r="W449" i="31"/>
  <c r="K450" i="31"/>
  <c r="L450" i="31"/>
  <c r="N450" i="31"/>
  <c r="Q450" i="31"/>
  <c r="O450" i="31"/>
  <c r="P450" i="31"/>
  <c r="R450" i="31"/>
  <c r="W450" i="31"/>
  <c r="K451" i="31"/>
  <c r="L451" i="31"/>
  <c r="N451" i="31"/>
  <c r="Q451" i="31"/>
  <c r="O451" i="31"/>
  <c r="P451" i="31"/>
  <c r="R451" i="31"/>
  <c r="W451" i="31"/>
  <c r="K452" i="31"/>
  <c r="L452" i="31"/>
  <c r="N452" i="31"/>
  <c r="Q452" i="31"/>
  <c r="O452" i="31"/>
  <c r="P452" i="31"/>
  <c r="R452" i="31"/>
  <c r="W452" i="31"/>
  <c r="K453" i="31"/>
  <c r="L453" i="31"/>
  <c r="N453" i="31"/>
  <c r="Q453" i="31"/>
  <c r="O453" i="31"/>
  <c r="P453" i="31"/>
  <c r="R453" i="31"/>
  <c r="W453" i="31"/>
  <c r="K454" i="31"/>
  <c r="L454" i="31"/>
  <c r="N454" i="31"/>
  <c r="Q454" i="31"/>
  <c r="O454" i="31"/>
  <c r="P454" i="31"/>
  <c r="R454" i="31"/>
  <c r="W454" i="31"/>
  <c r="K455" i="31"/>
  <c r="L455" i="31"/>
  <c r="N455" i="31"/>
  <c r="Q455" i="31"/>
  <c r="O455" i="31"/>
  <c r="P455" i="31"/>
  <c r="R455" i="31"/>
  <c r="W455" i="31"/>
  <c r="K456" i="31"/>
  <c r="L456" i="31"/>
  <c r="N456" i="31"/>
  <c r="Q456" i="31"/>
  <c r="O456" i="31"/>
  <c r="P456" i="31"/>
  <c r="R456" i="31"/>
  <c r="W456" i="31"/>
  <c r="K457" i="31"/>
  <c r="L457" i="31"/>
  <c r="N457" i="31"/>
  <c r="Q457" i="31"/>
  <c r="O457" i="31"/>
  <c r="P457" i="31"/>
  <c r="R457" i="31"/>
  <c r="W457" i="31"/>
  <c r="K458" i="31"/>
  <c r="L458" i="31"/>
  <c r="N458" i="31"/>
  <c r="Q458" i="31"/>
  <c r="O458" i="31"/>
  <c r="P458" i="31"/>
  <c r="R458" i="31"/>
  <c r="W458" i="31"/>
  <c r="K459" i="31"/>
  <c r="L459" i="31"/>
  <c r="N459" i="31"/>
  <c r="Q459" i="31"/>
  <c r="O459" i="31"/>
  <c r="P459" i="31"/>
  <c r="R459" i="31"/>
  <c r="W459" i="31"/>
  <c r="K460" i="31"/>
  <c r="L460" i="31"/>
  <c r="N460" i="31"/>
  <c r="Q460" i="31"/>
  <c r="O460" i="31"/>
  <c r="P460" i="31"/>
  <c r="R460" i="31"/>
  <c r="W460" i="31"/>
  <c r="K461" i="31"/>
  <c r="L461" i="31"/>
  <c r="N461" i="31"/>
  <c r="Q461" i="31"/>
  <c r="O461" i="31"/>
  <c r="P461" i="31"/>
  <c r="R461" i="31"/>
  <c r="W461" i="31"/>
  <c r="K462" i="31"/>
  <c r="L462" i="31"/>
  <c r="N462" i="31"/>
  <c r="Q462" i="31"/>
  <c r="O462" i="31"/>
  <c r="P462" i="31"/>
  <c r="R462" i="31"/>
  <c r="W462" i="31"/>
  <c r="K463" i="31"/>
  <c r="L463" i="31"/>
  <c r="N463" i="31"/>
  <c r="Q463" i="31"/>
  <c r="O463" i="31"/>
  <c r="P463" i="31"/>
  <c r="R463" i="31"/>
  <c r="W463" i="31"/>
  <c r="K464" i="31"/>
  <c r="L464" i="31"/>
  <c r="N464" i="31"/>
  <c r="Q464" i="31"/>
  <c r="O464" i="31"/>
  <c r="P464" i="31"/>
  <c r="R464" i="31"/>
  <c r="W464" i="31"/>
  <c r="K465" i="31"/>
  <c r="L465" i="31"/>
  <c r="N465" i="31"/>
  <c r="Q465" i="31"/>
  <c r="O465" i="31"/>
  <c r="P465" i="31"/>
  <c r="R465" i="31"/>
  <c r="W465" i="31"/>
  <c r="K466" i="31"/>
  <c r="L466" i="31"/>
  <c r="N466" i="31"/>
  <c r="Q466" i="31"/>
  <c r="O466" i="31"/>
  <c r="P466" i="31"/>
  <c r="R466" i="31"/>
  <c r="W466" i="31"/>
  <c r="K467" i="31"/>
  <c r="L467" i="31"/>
  <c r="N467" i="31"/>
  <c r="Q467" i="31"/>
  <c r="O467" i="31"/>
  <c r="P467" i="31"/>
  <c r="R467" i="31"/>
  <c r="W467" i="31"/>
  <c r="K468" i="31"/>
  <c r="L468" i="31"/>
  <c r="N468" i="31"/>
  <c r="Q468" i="31"/>
  <c r="O468" i="31"/>
  <c r="P468" i="31"/>
  <c r="R468" i="31"/>
  <c r="W468" i="31"/>
  <c r="K469" i="31"/>
  <c r="L469" i="31"/>
  <c r="N469" i="31"/>
  <c r="Q469" i="31"/>
  <c r="O469" i="31"/>
  <c r="P469" i="31"/>
  <c r="R469" i="31"/>
  <c r="W469" i="31"/>
  <c r="K470" i="31"/>
  <c r="L470" i="31"/>
  <c r="N470" i="31"/>
  <c r="Q470" i="31"/>
  <c r="O470" i="31"/>
  <c r="P470" i="31"/>
  <c r="R470" i="31"/>
  <c r="W470" i="31"/>
  <c r="K471" i="31"/>
  <c r="L471" i="31"/>
  <c r="N471" i="31"/>
  <c r="Q471" i="31"/>
  <c r="O471" i="31"/>
  <c r="P471" i="31"/>
  <c r="R471" i="31"/>
  <c r="W471" i="31"/>
  <c r="K472" i="31"/>
  <c r="L472" i="31"/>
  <c r="N472" i="31"/>
  <c r="Q472" i="31"/>
  <c r="O472" i="31"/>
  <c r="P472" i="31"/>
  <c r="R472" i="31"/>
  <c r="W472" i="31"/>
  <c r="K473" i="31"/>
  <c r="L473" i="31"/>
  <c r="N473" i="31"/>
  <c r="Q473" i="31"/>
  <c r="O473" i="31"/>
  <c r="P473" i="31"/>
  <c r="R473" i="31"/>
  <c r="W473" i="31"/>
  <c r="K474" i="31"/>
  <c r="L474" i="31"/>
  <c r="N474" i="31"/>
  <c r="Q474" i="31"/>
  <c r="O474" i="31"/>
  <c r="P474" i="31"/>
  <c r="R474" i="31"/>
  <c r="W474" i="31"/>
  <c r="K475" i="31"/>
  <c r="L475" i="31"/>
  <c r="N475" i="31"/>
  <c r="Q475" i="31"/>
  <c r="O475" i="31"/>
  <c r="P475" i="31"/>
  <c r="R475" i="31"/>
  <c r="W475" i="31"/>
  <c r="K476" i="31"/>
  <c r="L476" i="31"/>
  <c r="N476" i="31"/>
  <c r="Q476" i="31"/>
  <c r="O476" i="31"/>
  <c r="P476" i="31"/>
  <c r="R476" i="31"/>
  <c r="W476" i="31"/>
  <c r="K477" i="31"/>
  <c r="L477" i="31"/>
  <c r="N477" i="31"/>
  <c r="Q477" i="31"/>
  <c r="O477" i="31"/>
  <c r="P477" i="31"/>
  <c r="R477" i="31"/>
  <c r="W477" i="31"/>
  <c r="K478" i="31"/>
  <c r="L478" i="31"/>
  <c r="N478" i="31"/>
  <c r="Q478" i="31"/>
  <c r="O478" i="31"/>
  <c r="P478" i="31"/>
  <c r="R478" i="31"/>
  <c r="W478" i="31"/>
  <c r="K479" i="31"/>
  <c r="L479" i="31"/>
  <c r="N479" i="31"/>
  <c r="Q479" i="31"/>
  <c r="O479" i="31"/>
  <c r="P479" i="31"/>
  <c r="R479" i="31"/>
  <c r="W479" i="31"/>
  <c r="K480" i="31"/>
  <c r="L480" i="31"/>
  <c r="N480" i="31"/>
  <c r="Q480" i="31"/>
  <c r="O480" i="31"/>
  <c r="P480" i="31"/>
  <c r="R480" i="31"/>
  <c r="W480" i="31"/>
  <c r="K481" i="31"/>
  <c r="L481" i="31"/>
  <c r="N481" i="31"/>
  <c r="Q481" i="31"/>
  <c r="O481" i="31"/>
  <c r="P481" i="31"/>
  <c r="R481" i="31"/>
  <c r="W481" i="31"/>
  <c r="K482" i="31"/>
  <c r="L482" i="31"/>
  <c r="N482" i="31"/>
  <c r="Q482" i="31"/>
  <c r="O482" i="31"/>
  <c r="P482" i="31"/>
  <c r="R482" i="31"/>
  <c r="W482" i="31"/>
  <c r="K483" i="31"/>
  <c r="L483" i="31"/>
  <c r="N483" i="31"/>
  <c r="Q483" i="31"/>
  <c r="O483" i="31"/>
  <c r="P483" i="31"/>
  <c r="R483" i="31"/>
  <c r="W483" i="31"/>
  <c r="K484" i="31"/>
  <c r="L484" i="31"/>
  <c r="N484" i="31"/>
  <c r="Q484" i="31"/>
  <c r="O484" i="31"/>
  <c r="P484" i="31"/>
  <c r="R484" i="31"/>
  <c r="W484" i="31"/>
  <c r="K485" i="31"/>
  <c r="L485" i="31"/>
  <c r="N485" i="31"/>
  <c r="Q485" i="31"/>
  <c r="O485" i="31"/>
  <c r="P485" i="31"/>
  <c r="R485" i="31"/>
  <c r="W485" i="31"/>
  <c r="K486" i="31"/>
  <c r="L486" i="31"/>
  <c r="N486" i="31"/>
  <c r="Q486" i="31"/>
  <c r="O486" i="31"/>
  <c r="P486" i="31"/>
  <c r="R486" i="31"/>
  <c r="W486" i="31"/>
  <c r="K487" i="31"/>
  <c r="L487" i="31"/>
  <c r="N487" i="31"/>
  <c r="Q487" i="31"/>
  <c r="O487" i="31"/>
  <c r="P487" i="31"/>
  <c r="R487" i="31"/>
  <c r="W487" i="31"/>
  <c r="K488" i="31"/>
  <c r="L488" i="31"/>
  <c r="N488" i="31"/>
  <c r="Q488" i="31"/>
  <c r="O488" i="31"/>
  <c r="P488" i="31"/>
  <c r="R488" i="31"/>
  <c r="W488" i="31"/>
  <c r="K489" i="31"/>
  <c r="L489" i="31"/>
  <c r="N489" i="31"/>
  <c r="Q489" i="31"/>
  <c r="O489" i="31"/>
  <c r="P489" i="31"/>
  <c r="R489" i="31"/>
  <c r="W489" i="31"/>
  <c r="K490" i="31"/>
  <c r="L490" i="31"/>
  <c r="N490" i="31"/>
  <c r="Q490" i="31"/>
  <c r="O490" i="31"/>
  <c r="P490" i="31"/>
  <c r="R490" i="31"/>
  <c r="W490" i="31"/>
  <c r="K491" i="31"/>
  <c r="L491" i="31"/>
  <c r="N491" i="31"/>
  <c r="Q491" i="31"/>
  <c r="O491" i="31"/>
  <c r="P491" i="31"/>
  <c r="R491" i="31"/>
  <c r="W491" i="31"/>
  <c r="K492" i="31"/>
  <c r="L492" i="31"/>
  <c r="N492" i="31"/>
  <c r="Q492" i="31"/>
  <c r="O492" i="31"/>
  <c r="P492" i="31"/>
  <c r="R492" i="31"/>
  <c r="W492" i="31"/>
  <c r="K493" i="31"/>
  <c r="L493" i="31"/>
  <c r="N493" i="31"/>
  <c r="Q493" i="31"/>
  <c r="O493" i="31"/>
  <c r="P493" i="31"/>
  <c r="R493" i="31"/>
  <c r="W493" i="31"/>
  <c r="K494" i="31"/>
  <c r="L494" i="31"/>
  <c r="N494" i="31"/>
  <c r="Q494" i="31"/>
  <c r="O494" i="31"/>
  <c r="P494" i="31"/>
  <c r="R494" i="31"/>
  <c r="W494" i="31"/>
  <c r="K495" i="31"/>
  <c r="L495" i="31"/>
  <c r="N495" i="31"/>
  <c r="Q495" i="31"/>
  <c r="O495" i="31"/>
  <c r="P495" i="31"/>
  <c r="R495" i="31"/>
  <c r="W495" i="31"/>
  <c r="K496" i="31"/>
  <c r="L496" i="31"/>
  <c r="N496" i="31"/>
  <c r="Q496" i="31"/>
  <c r="O496" i="31"/>
  <c r="P496" i="31"/>
  <c r="R496" i="31"/>
  <c r="W496" i="31"/>
  <c r="K497" i="31"/>
  <c r="L497" i="31"/>
  <c r="N497" i="31"/>
  <c r="Q497" i="31"/>
  <c r="O497" i="31"/>
  <c r="P497" i="31"/>
  <c r="R497" i="31"/>
  <c r="W497" i="31"/>
  <c r="K498" i="31"/>
  <c r="L498" i="31"/>
  <c r="N498" i="31"/>
  <c r="Q498" i="31"/>
  <c r="O498" i="31"/>
  <c r="P498" i="31"/>
  <c r="R498" i="31"/>
  <c r="W498" i="31"/>
  <c r="K499" i="31"/>
  <c r="L499" i="31"/>
  <c r="N499" i="31"/>
  <c r="Q499" i="31"/>
  <c r="O499" i="31"/>
  <c r="P499" i="31"/>
  <c r="R499" i="31"/>
  <c r="W499" i="31"/>
  <c r="K500" i="31"/>
  <c r="L500" i="31"/>
  <c r="N500" i="31"/>
  <c r="Q500" i="31"/>
  <c r="O500" i="31"/>
  <c r="P500" i="31"/>
  <c r="R500" i="31"/>
  <c r="W500" i="31"/>
  <c r="K501" i="31"/>
  <c r="L501" i="31"/>
  <c r="N501" i="31"/>
  <c r="Q501" i="31"/>
  <c r="O501" i="31"/>
  <c r="P501" i="31"/>
  <c r="R501" i="31"/>
  <c r="W501" i="31"/>
  <c r="K502" i="31"/>
  <c r="L502" i="31"/>
  <c r="N502" i="31"/>
  <c r="Q502" i="31"/>
  <c r="O502" i="31"/>
  <c r="P502" i="31"/>
  <c r="R502" i="31"/>
  <c r="W502" i="31"/>
  <c r="K503" i="31"/>
  <c r="L503" i="31"/>
  <c r="N503" i="31"/>
  <c r="Q503" i="31"/>
  <c r="O503" i="31"/>
  <c r="P503" i="31"/>
  <c r="R503" i="31"/>
  <c r="W503" i="31"/>
  <c r="K504" i="31"/>
  <c r="L504" i="31"/>
  <c r="N504" i="31"/>
  <c r="Q504" i="31"/>
  <c r="O504" i="31"/>
  <c r="P504" i="31"/>
  <c r="R504" i="31"/>
  <c r="W504" i="31"/>
  <c r="K505" i="31"/>
  <c r="L505" i="31"/>
  <c r="N505" i="31"/>
  <c r="Q505" i="31"/>
  <c r="O505" i="31"/>
  <c r="P505" i="31"/>
  <c r="R505" i="31"/>
  <c r="W505" i="31"/>
  <c r="K506" i="31"/>
  <c r="L506" i="31"/>
  <c r="N506" i="31"/>
  <c r="Q506" i="31"/>
  <c r="O506" i="31"/>
  <c r="P506" i="31"/>
  <c r="R506" i="31"/>
  <c r="W506" i="31"/>
  <c r="K507" i="31"/>
  <c r="L507" i="31"/>
  <c r="N507" i="31"/>
  <c r="Q507" i="31"/>
  <c r="O507" i="31"/>
  <c r="P507" i="31"/>
  <c r="R507" i="31"/>
  <c r="W507" i="31"/>
  <c r="K508" i="31"/>
  <c r="L508" i="31"/>
  <c r="N508" i="31"/>
  <c r="Q508" i="31"/>
  <c r="O508" i="31"/>
  <c r="P508" i="31"/>
  <c r="R508" i="31"/>
  <c r="W508" i="31"/>
  <c r="K509" i="31"/>
  <c r="L509" i="31"/>
  <c r="N509" i="31"/>
  <c r="Q509" i="31"/>
  <c r="O509" i="31"/>
  <c r="P509" i="31"/>
  <c r="R509" i="31"/>
  <c r="W509" i="31"/>
  <c r="K510" i="31"/>
  <c r="L510" i="31"/>
  <c r="N510" i="31"/>
  <c r="Q510" i="31"/>
  <c r="O510" i="31"/>
  <c r="P510" i="31"/>
  <c r="R510" i="31"/>
  <c r="W510" i="31"/>
  <c r="K511" i="31"/>
  <c r="L511" i="31"/>
  <c r="N511" i="31"/>
  <c r="Q511" i="31"/>
  <c r="O511" i="31"/>
  <c r="P511" i="31"/>
  <c r="R511" i="31"/>
  <c r="W511" i="31"/>
  <c r="K512" i="31"/>
  <c r="L512" i="31"/>
  <c r="N512" i="31"/>
  <c r="Q512" i="31"/>
  <c r="O512" i="31"/>
  <c r="P512" i="31"/>
  <c r="R512" i="31"/>
  <c r="W512" i="31"/>
  <c r="K513" i="31"/>
  <c r="L513" i="31"/>
  <c r="N513" i="31"/>
  <c r="Q513" i="31"/>
  <c r="O513" i="31"/>
  <c r="P513" i="31"/>
  <c r="R513" i="31"/>
  <c r="W513" i="31"/>
  <c r="K514" i="31"/>
  <c r="L514" i="31"/>
  <c r="N514" i="31"/>
  <c r="Q514" i="31"/>
  <c r="O514" i="31"/>
  <c r="P514" i="31"/>
  <c r="R514" i="31"/>
  <c r="W514" i="31"/>
  <c r="K515" i="31"/>
  <c r="L515" i="31"/>
  <c r="N515" i="31"/>
  <c r="Q515" i="31"/>
  <c r="O515" i="31"/>
  <c r="P515" i="31"/>
  <c r="R515" i="31"/>
  <c r="W515" i="31"/>
  <c r="K516" i="31"/>
  <c r="L516" i="31"/>
  <c r="N516" i="31"/>
  <c r="Q516" i="31"/>
  <c r="O516" i="31"/>
  <c r="P516" i="31"/>
  <c r="R516" i="31"/>
  <c r="W516" i="31"/>
  <c r="K517" i="31"/>
  <c r="L517" i="31"/>
  <c r="N517" i="31"/>
  <c r="Q517" i="31"/>
  <c r="O517" i="31"/>
  <c r="P517" i="31"/>
  <c r="R517" i="31"/>
  <c r="W517" i="31"/>
  <c r="K518" i="31"/>
  <c r="L518" i="31"/>
  <c r="N518" i="31"/>
  <c r="Q518" i="31"/>
  <c r="O518" i="31"/>
  <c r="P518" i="31"/>
  <c r="R518" i="31"/>
  <c r="W518" i="31"/>
  <c r="K519" i="31"/>
  <c r="L519" i="31"/>
  <c r="N519" i="31"/>
  <c r="Q519" i="31"/>
  <c r="O519" i="31"/>
  <c r="P519" i="31"/>
  <c r="R519" i="31"/>
  <c r="W519" i="31"/>
  <c r="K520" i="31"/>
  <c r="L520" i="31"/>
  <c r="N520" i="31"/>
  <c r="Q520" i="31"/>
  <c r="O520" i="31"/>
  <c r="P520" i="31"/>
  <c r="R520" i="31"/>
  <c r="W520" i="31"/>
  <c r="K521" i="31"/>
  <c r="L521" i="31"/>
  <c r="N521" i="31"/>
  <c r="Q521" i="31"/>
  <c r="O521" i="31"/>
  <c r="P521" i="31"/>
  <c r="R521" i="31"/>
  <c r="W521" i="31"/>
  <c r="K522" i="31"/>
  <c r="L522" i="31"/>
  <c r="N522" i="31"/>
  <c r="Q522" i="31"/>
  <c r="O522" i="31"/>
  <c r="P522" i="31"/>
  <c r="R522" i="31"/>
  <c r="W522" i="31"/>
  <c r="K523" i="31"/>
  <c r="L523" i="31"/>
  <c r="N523" i="31"/>
  <c r="Q523" i="31"/>
  <c r="O523" i="31"/>
  <c r="P523" i="31"/>
  <c r="R523" i="31"/>
  <c r="W523" i="31"/>
  <c r="K524" i="31"/>
  <c r="L524" i="31"/>
  <c r="N524" i="31"/>
  <c r="Q524" i="31"/>
  <c r="O524" i="31"/>
  <c r="P524" i="31"/>
  <c r="R524" i="31"/>
  <c r="W524" i="31"/>
  <c r="K525" i="31"/>
  <c r="L525" i="31"/>
  <c r="N525" i="31"/>
  <c r="Q525" i="31"/>
  <c r="O525" i="31"/>
  <c r="P525" i="31"/>
  <c r="R525" i="31"/>
  <c r="W525" i="31"/>
  <c r="K526" i="31"/>
  <c r="L526" i="31"/>
  <c r="N526" i="31"/>
  <c r="Q526" i="31"/>
  <c r="O526" i="31"/>
  <c r="P526" i="31"/>
  <c r="R526" i="31"/>
  <c r="W526" i="31"/>
  <c r="K527" i="31"/>
  <c r="L527" i="31"/>
  <c r="N527" i="31"/>
  <c r="Q527" i="31"/>
  <c r="O527" i="31"/>
  <c r="P527" i="31"/>
  <c r="R527" i="31"/>
  <c r="W527" i="31"/>
  <c r="K528" i="31"/>
  <c r="L528" i="31"/>
  <c r="N528" i="31"/>
  <c r="Q528" i="31"/>
  <c r="O528" i="31"/>
  <c r="P528" i="31"/>
  <c r="R528" i="31"/>
  <c r="W528" i="31"/>
  <c r="K529" i="31"/>
  <c r="L529" i="31"/>
  <c r="N529" i="31"/>
  <c r="Q529" i="31"/>
  <c r="O529" i="31"/>
  <c r="P529" i="31"/>
  <c r="R529" i="31"/>
  <c r="W529" i="31"/>
  <c r="K530" i="31"/>
  <c r="L530" i="31"/>
  <c r="N530" i="31"/>
  <c r="Q530" i="31"/>
  <c r="O530" i="31"/>
  <c r="P530" i="31"/>
  <c r="R530" i="31"/>
  <c r="W530" i="31"/>
  <c r="K531" i="31"/>
  <c r="L531" i="31"/>
  <c r="N531" i="31"/>
  <c r="Q531" i="31"/>
  <c r="O531" i="31"/>
  <c r="P531" i="31"/>
  <c r="R531" i="31"/>
  <c r="W531" i="31"/>
  <c r="K532" i="31"/>
  <c r="L532" i="31"/>
  <c r="N532" i="31"/>
  <c r="Q532" i="31"/>
  <c r="O532" i="31"/>
  <c r="P532" i="31"/>
  <c r="R532" i="31"/>
  <c r="W532" i="31"/>
  <c r="K533" i="31"/>
  <c r="L533" i="31"/>
  <c r="N533" i="31"/>
  <c r="Q533" i="31"/>
  <c r="O533" i="31"/>
  <c r="P533" i="31"/>
  <c r="R533" i="31"/>
  <c r="W533" i="31"/>
  <c r="K534" i="31"/>
  <c r="L534" i="31"/>
  <c r="N534" i="31"/>
  <c r="Q534" i="31"/>
  <c r="O534" i="31"/>
  <c r="P534" i="31"/>
  <c r="R534" i="31"/>
  <c r="W534" i="31"/>
  <c r="K535" i="31"/>
  <c r="L535" i="31"/>
  <c r="N535" i="31"/>
  <c r="Q535" i="31"/>
  <c r="O535" i="31"/>
  <c r="P535" i="31"/>
  <c r="R535" i="31"/>
  <c r="W535" i="31"/>
  <c r="K536" i="31"/>
  <c r="L536" i="31"/>
  <c r="N536" i="31"/>
  <c r="Q536" i="31"/>
  <c r="O536" i="31"/>
  <c r="P536" i="31"/>
  <c r="R536" i="31"/>
  <c r="W536" i="31"/>
  <c r="K537" i="31"/>
  <c r="L537" i="31"/>
  <c r="N537" i="31"/>
  <c r="Q537" i="31"/>
  <c r="O537" i="31"/>
  <c r="P537" i="31"/>
  <c r="R537" i="31"/>
  <c r="W537" i="31"/>
  <c r="K538" i="31"/>
  <c r="L538" i="31"/>
  <c r="N538" i="31"/>
  <c r="Q538" i="31"/>
  <c r="O538" i="31"/>
  <c r="P538" i="31"/>
  <c r="R538" i="31"/>
  <c r="W538" i="31"/>
  <c r="K539" i="31"/>
  <c r="L539" i="31"/>
  <c r="N539" i="31"/>
  <c r="Q539" i="31"/>
  <c r="O539" i="31"/>
  <c r="P539" i="31"/>
  <c r="R539" i="31"/>
  <c r="W539" i="31"/>
  <c r="K540" i="31"/>
  <c r="L540" i="31"/>
  <c r="N540" i="31"/>
  <c r="Q540" i="31"/>
  <c r="O540" i="31"/>
  <c r="P540" i="31"/>
  <c r="R540" i="31"/>
  <c r="W540" i="31"/>
  <c r="K541" i="31"/>
  <c r="L541" i="31"/>
  <c r="N541" i="31"/>
  <c r="Q541" i="31"/>
  <c r="O541" i="31"/>
  <c r="P541" i="31"/>
  <c r="R541" i="31"/>
  <c r="W541" i="31"/>
  <c r="K542" i="31"/>
  <c r="L542" i="31"/>
  <c r="N542" i="31"/>
  <c r="Q542" i="31"/>
  <c r="O542" i="31"/>
  <c r="P542" i="31"/>
  <c r="R542" i="31"/>
  <c r="W542" i="31"/>
  <c r="K543" i="31"/>
  <c r="L543" i="31"/>
  <c r="N543" i="31"/>
  <c r="Q543" i="31"/>
  <c r="O543" i="31"/>
  <c r="P543" i="31"/>
  <c r="R543" i="31"/>
  <c r="W543" i="31"/>
  <c r="K544" i="31"/>
  <c r="L544" i="31"/>
  <c r="N544" i="31"/>
  <c r="Q544" i="31"/>
  <c r="O544" i="31"/>
  <c r="P544" i="31"/>
  <c r="R544" i="31"/>
  <c r="W544" i="31"/>
  <c r="K545" i="31"/>
  <c r="L545" i="31"/>
  <c r="N545" i="31"/>
  <c r="Q545" i="31"/>
  <c r="O545" i="31"/>
  <c r="P545" i="31"/>
  <c r="R545" i="31"/>
  <c r="W545" i="31"/>
  <c r="K546" i="31"/>
  <c r="L546" i="31"/>
  <c r="N546" i="31"/>
  <c r="Q546" i="31"/>
  <c r="O546" i="31"/>
  <c r="P546" i="31"/>
  <c r="R546" i="31"/>
  <c r="W546" i="31"/>
  <c r="K547" i="31"/>
  <c r="L547" i="31"/>
  <c r="N547" i="31"/>
  <c r="Q547" i="31"/>
  <c r="O547" i="31"/>
  <c r="P547" i="31"/>
  <c r="R547" i="31"/>
  <c r="W547" i="31"/>
  <c r="K548" i="31"/>
  <c r="L548" i="31"/>
  <c r="N548" i="31"/>
  <c r="Q548" i="31"/>
  <c r="O548" i="31"/>
  <c r="P548" i="31"/>
  <c r="R548" i="31"/>
  <c r="W548" i="31"/>
  <c r="K549" i="31"/>
  <c r="L549" i="31"/>
  <c r="N549" i="31"/>
  <c r="Q549" i="31"/>
  <c r="O549" i="31"/>
  <c r="P549" i="31"/>
  <c r="R549" i="31"/>
  <c r="W549" i="31"/>
  <c r="K550" i="31"/>
  <c r="L550" i="31"/>
  <c r="N550" i="31"/>
  <c r="Q550" i="31"/>
  <c r="O550" i="31"/>
  <c r="P550" i="31"/>
  <c r="R550" i="31"/>
  <c r="W550" i="31"/>
  <c r="K551" i="31"/>
  <c r="L551" i="31"/>
  <c r="N551" i="31"/>
  <c r="Q551" i="31"/>
  <c r="O551" i="31"/>
  <c r="P551" i="31"/>
  <c r="R551" i="31"/>
  <c r="W551" i="31"/>
  <c r="K552" i="31"/>
  <c r="L552" i="31"/>
  <c r="N552" i="31"/>
  <c r="Q552" i="31"/>
  <c r="O552" i="31"/>
  <c r="P552" i="31"/>
  <c r="R552" i="31"/>
  <c r="W552" i="31"/>
  <c r="K553" i="31"/>
  <c r="L553" i="31"/>
  <c r="N553" i="31"/>
  <c r="Q553" i="31"/>
  <c r="O553" i="31"/>
  <c r="P553" i="31"/>
  <c r="R553" i="31"/>
  <c r="W553" i="31"/>
  <c r="K554" i="31"/>
  <c r="L554" i="31"/>
  <c r="N554" i="31"/>
  <c r="Q554" i="31"/>
  <c r="O554" i="31"/>
  <c r="P554" i="31"/>
  <c r="R554" i="31"/>
  <c r="W554" i="31"/>
  <c r="K555" i="31"/>
  <c r="L555" i="31"/>
  <c r="N555" i="31"/>
  <c r="Q555" i="31"/>
  <c r="O555" i="31"/>
  <c r="P555" i="31"/>
  <c r="R555" i="31"/>
  <c r="W555" i="31"/>
  <c r="K556" i="31"/>
  <c r="L556" i="31"/>
  <c r="N556" i="31"/>
  <c r="Q556" i="31"/>
  <c r="O556" i="31"/>
  <c r="P556" i="31"/>
  <c r="R556" i="31"/>
  <c r="W556" i="31"/>
  <c r="K557" i="31"/>
  <c r="L557" i="31"/>
  <c r="N557" i="31"/>
  <c r="Q557" i="31"/>
  <c r="O557" i="31"/>
  <c r="P557" i="31"/>
  <c r="R557" i="31"/>
  <c r="W557" i="31"/>
  <c r="K558" i="31"/>
  <c r="L558" i="31"/>
  <c r="N558" i="31"/>
  <c r="Q558" i="31"/>
  <c r="O558" i="31"/>
  <c r="P558" i="31"/>
  <c r="R558" i="31"/>
  <c r="W558" i="31"/>
  <c r="K559" i="31"/>
  <c r="L559" i="31"/>
  <c r="N559" i="31"/>
  <c r="Q559" i="31"/>
  <c r="O559" i="31"/>
  <c r="P559" i="31"/>
  <c r="R559" i="31"/>
  <c r="W559" i="31"/>
  <c r="K560" i="31"/>
  <c r="L560" i="31"/>
  <c r="N560" i="31"/>
  <c r="Q560" i="31"/>
  <c r="O560" i="31"/>
  <c r="P560" i="31"/>
  <c r="R560" i="31"/>
  <c r="W560" i="31"/>
  <c r="K561" i="31"/>
  <c r="L561" i="31"/>
  <c r="N561" i="31"/>
  <c r="Q561" i="31"/>
  <c r="O561" i="31"/>
  <c r="P561" i="31"/>
  <c r="R561" i="31"/>
  <c r="W561" i="31"/>
  <c r="K562" i="31"/>
  <c r="L562" i="31"/>
  <c r="N562" i="31"/>
  <c r="Q562" i="31"/>
  <c r="O562" i="31"/>
  <c r="P562" i="31"/>
  <c r="R562" i="31"/>
  <c r="W562" i="31"/>
  <c r="K563" i="31"/>
  <c r="L563" i="31"/>
  <c r="N563" i="31"/>
  <c r="Q563" i="31"/>
  <c r="O563" i="31"/>
  <c r="P563" i="31"/>
  <c r="R563" i="31"/>
  <c r="W563" i="31"/>
  <c r="K564" i="31"/>
  <c r="L564" i="31"/>
  <c r="N564" i="31"/>
  <c r="Q564" i="31"/>
  <c r="O564" i="31"/>
  <c r="P564" i="31"/>
  <c r="R564" i="31"/>
  <c r="W564" i="31"/>
  <c r="K565" i="31"/>
  <c r="L565" i="31"/>
  <c r="N565" i="31"/>
  <c r="Q565" i="31"/>
  <c r="O565" i="31"/>
  <c r="P565" i="31"/>
  <c r="R565" i="31"/>
  <c r="W565" i="31"/>
  <c r="K566" i="31"/>
  <c r="L566" i="31"/>
  <c r="N566" i="31"/>
  <c r="Q566" i="31"/>
  <c r="O566" i="31"/>
  <c r="P566" i="31"/>
  <c r="R566" i="31"/>
  <c r="W566" i="31"/>
  <c r="K567" i="31"/>
  <c r="L567" i="31"/>
  <c r="N567" i="31"/>
  <c r="Q567" i="31"/>
  <c r="O567" i="31"/>
  <c r="P567" i="31"/>
  <c r="R567" i="31"/>
  <c r="W567" i="31"/>
  <c r="K568" i="31"/>
  <c r="L568" i="31"/>
  <c r="N568" i="31"/>
  <c r="Q568" i="31"/>
  <c r="O568" i="31"/>
  <c r="P568" i="31"/>
  <c r="R568" i="31"/>
  <c r="W568" i="31"/>
  <c r="K569" i="31"/>
  <c r="L569" i="31"/>
  <c r="N569" i="31"/>
  <c r="Q569" i="31"/>
  <c r="O569" i="31"/>
  <c r="P569" i="31"/>
  <c r="R569" i="31"/>
  <c r="W569" i="31"/>
  <c r="K570" i="31"/>
  <c r="L570" i="31"/>
  <c r="N570" i="31"/>
  <c r="Q570" i="31"/>
  <c r="O570" i="31"/>
  <c r="P570" i="31"/>
  <c r="R570" i="31"/>
  <c r="W570" i="31"/>
  <c r="K571" i="31"/>
  <c r="L571" i="31"/>
  <c r="N571" i="31"/>
  <c r="Q571" i="31"/>
  <c r="O571" i="31"/>
  <c r="P571" i="31"/>
  <c r="R571" i="31"/>
  <c r="W571" i="31"/>
  <c r="K572" i="31"/>
  <c r="L572" i="31"/>
  <c r="N572" i="31"/>
  <c r="Q572" i="31"/>
  <c r="O572" i="31"/>
  <c r="P572" i="31"/>
  <c r="R572" i="31"/>
  <c r="W572" i="31"/>
  <c r="K573" i="31"/>
  <c r="L573" i="31"/>
  <c r="N573" i="31"/>
  <c r="Q573" i="31"/>
  <c r="O573" i="31"/>
  <c r="P573" i="31"/>
  <c r="R573" i="31"/>
  <c r="W573" i="31"/>
  <c r="K574" i="31"/>
  <c r="L574" i="31"/>
  <c r="N574" i="31"/>
  <c r="Q574" i="31"/>
  <c r="O574" i="31"/>
  <c r="P574" i="31"/>
  <c r="R574" i="31"/>
  <c r="W574" i="31"/>
  <c r="K575" i="31"/>
  <c r="L575" i="31"/>
  <c r="N575" i="31"/>
  <c r="Q575" i="31"/>
  <c r="O575" i="31"/>
  <c r="P575" i="31"/>
  <c r="R575" i="31"/>
  <c r="W575" i="31"/>
  <c r="K576" i="31"/>
  <c r="L576" i="31"/>
  <c r="N576" i="31"/>
  <c r="Q576" i="31"/>
  <c r="O576" i="31"/>
  <c r="P576" i="31"/>
  <c r="R576" i="31"/>
  <c r="W576" i="31"/>
  <c r="K577" i="31"/>
  <c r="L577" i="31"/>
  <c r="N577" i="31"/>
  <c r="Q577" i="31"/>
  <c r="O577" i="31"/>
  <c r="P577" i="31"/>
  <c r="R577" i="31"/>
  <c r="W577" i="31"/>
  <c r="K578" i="31"/>
  <c r="L578" i="31"/>
  <c r="N578" i="31"/>
  <c r="Q578" i="31"/>
  <c r="O578" i="31"/>
  <c r="P578" i="31"/>
  <c r="R578" i="31"/>
  <c r="W578" i="31"/>
  <c r="K579" i="31"/>
  <c r="L579" i="31"/>
  <c r="N579" i="31"/>
  <c r="Q579" i="31"/>
  <c r="O579" i="31"/>
  <c r="P579" i="31"/>
  <c r="R579" i="31"/>
  <c r="W579" i="31"/>
  <c r="K580" i="31"/>
  <c r="L580" i="31"/>
  <c r="N580" i="31"/>
  <c r="Q580" i="31"/>
  <c r="O580" i="31"/>
  <c r="P580" i="31"/>
  <c r="R580" i="31"/>
  <c r="W580" i="31"/>
  <c r="K581" i="31"/>
  <c r="L581" i="31"/>
  <c r="N581" i="31"/>
  <c r="Q581" i="31"/>
  <c r="O581" i="31"/>
  <c r="P581" i="31"/>
  <c r="R581" i="31"/>
  <c r="W581" i="31"/>
  <c r="K582" i="31"/>
  <c r="L582" i="31"/>
  <c r="N582" i="31"/>
  <c r="Q582" i="31"/>
  <c r="O582" i="31"/>
  <c r="P582" i="31"/>
  <c r="R582" i="31"/>
  <c r="W582" i="31"/>
  <c r="K583" i="31"/>
  <c r="L583" i="31"/>
  <c r="N583" i="31"/>
  <c r="Q583" i="31"/>
  <c r="O583" i="31"/>
  <c r="P583" i="31"/>
  <c r="R583" i="31"/>
  <c r="W583" i="31"/>
  <c r="K584" i="31"/>
  <c r="L584" i="31"/>
  <c r="N584" i="31"/>
  <c r="Q584" i="31"/>
  <c r="O584" i="31"/>
  <c r="P584" i="31"/>
  <c r="R584" i="31"/>
  <c r="W584" i="31"/>
  <c r="K585" i="31"/>
  <c r="L585" i="31"/>
  <c r="N585" i="31"/>
  <c r="Q585" i="31"/>
  <c r="O585" i="31"/>
  <c r="P585" i="31"/>
  <c r="R585" i="31"/>
  <c r="W585" i="31"/>
  <c r="K586" i="31"/>
  <c r="L586" i="31"/>
  <c r="N586" i="31"/>
  <c r="Q586" i="31"/>
  <c r="O586" i="31"/>
  <c r="P586" i="31"/>
  <c r="R586" i="31"/>
  <c r="W586" i="31"/>
  <c r="K587" i="31"/>
  <c r="L587" i="31"/>
  <c r="N587" i="31"/>
  <c r="Q587" i="31"/>
  <c r="O587" i="31"/>
  <c r="P587" i="31"/>
  <c r="R587" i="31"/>
  <c r="W587" i="31"/>
  <c r="K588" i="31"/>
  <c r="L588" i="31"/>
  <c r="N588" i="31"/>
  <c r="Q588" i="31"/>
  <c r="O588" i="31"/>
  <c r="P588" i="31"/>
  <c r="R588" i="31"/>
  <c r="W588" i="31"/>
  <c r="K589" i="31"/>
  <c r="L589" i="31"/>
  <c r="N589" i="31"/>
  <c r="Q589" i="31"/>
  <c r="O589" i="31"/>
  <c r="P589" i="31"/>
  <c r="R589" i="31"/>
  <c r="W589" i="31"/>
  <c r="K590" i="31"/>
  <c r="L590" i="31"/>
  <c r="N590" i="31"/>
  <c r="Q590" i="31"/>
  <c r="O590" i="31"/>
  <c r="P590" i="31"/>
  <c r="R590" i="31"/>
  <c r="W590" i="31"/>
  <c r="K591" i="31"/>
  <c r="L591" i="31"/>
  <c r="N591" i="31"/>
  <c r="Q591" i="31"/>
  <c r="O591" i="31"/>
  <c r="P591" i="31"/>
  <c r="R591" i="31"/>
  <c r="W591" i="31"/>
  <c r="K592" i="31"/>
  <c r="L592" i="31"/>
  <c r="N592" i="31"/>
  <c r="Q592" i="31"/>
  <c r="O592" i="31"/>
  <c r="P592" i="31"/>
  <c r="R592" i="31"/>
  <c r="W592" i="31"/>
  <c r="K593" i="31"/>
  <c r="L593" i="31"/>
  <c r="N593" i="31"/>
  <c r="Q593" i="31"/>
  <c r="O593" i="31"/>
  <c r="P593" i="31"/>
  <c r="R593" i="31"/>
  <c r="W593" i="31"/>
  <c r="K594" i="31"/>
  <c r="L594" i="31"/>
  <c r="N594" i="31"/>
  <c r="Q594" i="31"/>
  <c r="O594" i="31"/>
  <c r="P594" i="31"/>
  <c r="R594" i="31"/>
  <c r="W594" i="31"/>
  <c r="K595" i="31"/>
  <c r="L595" i="31"/>
  <c r="N595" i="31"/>
  <c r="Q595" i="31"/>
  <c r="O595" i="31"/>
  <c r="P595" i="31"/>
  <c r="R595" i="31"/>
  <c r="W595" i="31"/>
  <c r="K596" i="31"/>
  <c r="L596" i="31"/>
  <c r="N596" i="31"/>
  <c r="Q596" i="31"/>
  <c r="O596" i="31"/>
  <c r="P596" i="31"/>
  <c r="R596" i="31"/>
  <c r="W596" i="31"/>
  <c r="K597" i="31"/>
  <c r="L597" i="31"/>
  <c r="N597" i="31"/>
  <c r="Q597" i="31"/>
  <c r="O597" i="31"/>
  <c r="P597" i="31"/>
  <c r="R597" i="31"/>
  <c r="W597" i="31"/>
  <c r="K598" i="31"/>
  <c r="L598" i="31"/>
  <c r="N598" i="31"/>
  <c r="Q598" i="31"/>
  <c r="O598" i="31"/>
  <c r="P598" i="31"/>
  <c r="R598" i="31"/>
  <c r="W598" i="31"/>
  <c r="K599" i="31"/>
  <c r="L599" i="31"/>
  <c r="N599" i="31"/>
  <c r="Q599" i="31"/>
  <c r="O599" i="31"/>
  <c r="P599" i="31"/>
  <c r="R599" i="31"/>
  <c r="W599" i="31"/>
  <c r="K600" i="31"/>
  <c r="L600" i="31"/>
  <c r="N600" i="31"/>
  <c r="Q600" i="31"/>
  <c r="O600" i="31"/>
  <c r="P600" i="31"/>
  <c r="R600" i="31"/>
  <c r="W600" i="31"/>
  <c r="K601" i="31"/>
  <c r="L601" i="31"/>
  <c r="N601" i="31"/>
  <c r="Q601" i="31"/>
  <c r="O601" i="31"/>
  <c r="P601" i="31"/>
  <c r="R601" i="31"/>
  <c r="W601" i="31"/>
  <c r="K602" i="31"/>
  <c r="L602" i="31"/>
  <c r="N602" i="31"/>
  <c r="Q602" i="31"/>
  <c r="O602" i="31"/>
  <c r="P602" i="31"/>
  <c r="R602" i="31"/>
  <c r="W602" i="31"/>
  <c r="K603" i="31"/>
  <c r="L603" i="31"/>
  <c r="N603" i="31"/>
  <c r="Q603" i="31"/>
  <c r="O603" i="31"/>
  <c r="P603" i="31"/>
  <c r="R603" i="31"/>
  <c r="W603" i="31"/>
  <c r="K604" i="31"/>
  <c r="L604" i="31"/>
  <c r="N604" i="31"/>
  <c r="Q604" i="31"/>
  <c r="O604" i="31"/>
  <c r="P604" i="31"/>
  <c r="R604" i="31"/>
  <c r="W604" i="31"/>
  <c r="K605" i="31"/>
  <c r="L605" i="31"/>
  <c r="N605" i="31"/>
  <c r="Q605" i="31"/>
  <c r="O605" i="31"/>
  <c r="P605" i="31"/>
  <c r="R605" i="31"/>
  <c r="W605" i="31"/>
  <c r="K606" i="31"/>
  <c r="L606" i="31"/>
  <c r="N606" i="31"/>
  <c r="Q606" i="31"/>
  <c r="O606" i="31"/>
  <c r="P606" i="31"/>
  <c r="R606" i="31"/>
  <c r="W606" i="31"/>
  <c r="K607" i="31"/>
  <c r="L607" i="31"/>
  <c r="N607" i="31"/>
  <c r="Q607" i="31"/>
  <c r="O607" i="31"/>
  <c r="P607" i="31"/>
  <c r="R607" i="31"/>
  <c r="W607" i="31"/>
  <c r="K608" i="31"/>
  <c r="L608" i="31"/>
  <c r="N608" i="31"/>
  <c r="Q608" i="31"/>
  <c r="O608" i="31"/>
  <c r="P608" i="31"/>
  <c r="R608" i="31"/>
  <c r="W608" i="31"/>
  <c r="K609" i="31"/>
  <c r="L609" i="31"/>
  <c r="N609" i="31"/>
  <c r="Q609" i="31"/>
  <c r="O609" i="31"/>
  <c r="P609" i="31"/>
  <c r="R609" i="31"/>
  <c r="W609" i="31"/>
  <c r="K610" i="31"/>
  <c r="L610" i="31"/>
  <c r="N610" i="31"/>
  <c r="Q610" i="31"/>
  <c r="O610" i="31"/>
  <c r="P610" i="31"/>
  <c r="R610" i="31"/>
  <c r="W610" i="31"/>
  <c r="K611" i="31"/>
  <c r="L611" i="31"/>
  <c r="N611" i="31"/>
  <c r="Q611" i="31"/>
  <c r="O611" i="31"/>
  <c r="P611" i="31"/>
  <c r="R611" i="31"/>
  <c r="W611" i="31"/>
  <c r="K612" i="31"/>
  <c r="L612" i="31"/>
  <c r="N612" i="31"/>
  <c r="Q612" i="31"/>
  <c r="O612" i="31"/>
  <c r="P612" i="31"/>
  <c r="R612" i="31"/>
  <c r="W612" i="31"/>
  <c r="K613" i="31"/>
  <c r="L613" i="31"/>
  <c r="N613" i="31"/>
  <c r="Q613" i="31"/>
  <c r="O613" i="31"/>
  <c r="P613" i="31"/>
  <c r="R613" i="31"/>
  <c r="W613" i="31"/>
  <c r="K614" i="31"/>
  <c r="L614" i="31"/>
  <c r="N614" i="31"/>
  <c r="Q614" i="31"/>
  <c r="O614" i="31"/>
  <c r="P614" i="31"/>
  <c r="R614" i="31"/>
  <c r="W614" i="31"/>
  <c r="K615" i="31"/>
  <c r="L615" i="31"/>
  <c r="N615" i="31"/>
  <c r="Q615" i="31"/>
  <c r="O615" i="31"/>
  <c r="P615" i="31"/>
  <c r="R615" i="31"/>
  <c r="W615" i="31"/>
  <c r="K616" i="31"/>
  <c r="L616" i="31"/>
  <c r="N616" i="31"/>
  <c r="Q616" i="31"/>
  <c r="O616" i="31"/>
  <c r="P616" i="31"/>
  <c r="R616" i="31"/>
  <c r="W616" i="31"/>
  <c r="K617" i="31"/>
  <c r="L617" i="31"/>
  <c r="N617" i="31"/>
  <c r="Q617" i="31"/>
  <c r="O617" i="31"/>
  <c r="P617" i="31"/>
  <c r="R617" i="31"/>
  <c r="W617" i="31"/>
  <c r="K618" i="31"/>
  <c r="L618" i="31"/>
  <c r="N618" i="31"/>
  <c r="Q618" i="31"/>
  <c r="O618" i="31"/>
  <c r="P618" i="31"/>
  <c r="R618" i="31"/>
  <c r="W618" i="31"/>
  <c r="K619" i="31"/>
  <c r="L619" i="31"/>
  <c r="N619" i="31"/>
  <c r="Q619" i="31"/>
  <c r="O619" i="31"/>
  <c r="P619" i="31"/>
  <c r="R619" i="31"/>
  <c r="W619" i="31"/>
  <c r="K620" i="31"/>
  <c r="L620" i="31"/>
  <c r="N620" i="31"/>
  <c r="Q620" i="31"/>
  <c r="O620" i="31"/>
  <c r="P620" i="31"/>
  <c r="R620" i="31"/>
  <c r="W620" i="31"/>
  <c r="K621" i="31"/>
  <c r="L621" i="31"/>
  <c r="N621" i="31"/>
  <c r="Q621" i="31"/>
  <c r="O621" i="31"/>
  <c r="P621" i="31"/>
  <c r="R621" i="31"/>
  <c r="W621" i="31"/>
  <c r="K622" i="31"/>
  <c r="L622" i="31"/>
  <c r="N622" i="31"/>
  <c r="Q622" i="31"/>
  <c r="O622" i="31"/>
  <c r="P622" i="31"/>
  <c r="R622" i="31"/>
  <c r="W622" i="31"/>
  <c r="K623" i="31"/>
  <c r="L623" i="31"/>
  <c r="N623" i="31"/>
  <c r="Q623" i="31"/>
  <c r="O623" i="31"/>
  <c r="P623" i="31"/>
  <c r="R623" i="31"/>
  <c r="W623" i="31"/>
  <c r="K624" i="31"/>
  <c r="L624" i="31"/>
  <c r="N624" i="31"/>
  <c r="Q624" i="31"/>
  <c r="O624" i="31"/>
  <c r="P624" i="31"/>
  <c r="R624" i="31"/>
  <c r="W624" i="31"/>
  <c r="K625" i="31"/>
  <c r="L625" i="31"/>
  <c r="N625" i="31"/>
  <c r="Q625" i="31"/>
  <c r="O625" i="31"/>
  <c r="P625" i="31"/>
  <c r="R625" i="31"/>
  <c r="W625" i="31"/>
  <c r="K626" i="31"/>
  <c r="L626" i="31"/>
  <c r="N626" i="31"/>
  <c r="Q626" i="31"/>
  <c r="O626" i="31"/>
  <c r="P626" i="31"/>
  <c r="R626" i="31"/>
  <c r="W626" i="31"/>
  <c r="K627" i="31"/>
  <c r="L627" i="31"/>
  <c r="N627" i="31"/>
  <c r="Q627" i="31"/>
  <c r="O627" i="31"/>
  <c r="P627" i="31"/>
  <c r="R627" i="31"/>
  <c r="W627" i="31"/>
  <c r="K628" i="31"/>
  <c r="L628" i="31"/>
  <c r="N628" i="31"/>
  <c r="Q628" i="31"/>
  <c r="O628" i="31"/>
  <c r="P628" i="31"/>
  <c r="R628" i="31"/>
  <c r="W628" i="31"/>
  <c r="K629" i="31"/>
  <c r="L629" i="31"/>
  <c r="N629" i="31"/>
  <c r="Q629" i="31"/>
  <c r="O629" i="31"/>
  <c r="P629" i="31"/>
  <c r="R629" i="31"/>
  <c r="W629" i="31"/>
  <c r="K630" i="31"/>
  <c r="L630" i="31"/>
  <c r="N630" i="31"/>
  <c r="Q630" i="31"/>
  <c r="O630" i="31"/>
  <c r="P630" i="31"/>
  <c r="R630" i="31"/>
  <c r="W630" i="31"/>
  <c r="K631" i="31"/>
  <c r="L631" i="31"/>
  <c r="N631" i="31"/>
  <c r="Q631" i="31"/>
  <c r="O631" i="31"/>
  <c r="P631" i="31"/>
  <c r="R631" i="31"/>
  <c r="W631" i="31"/>
  <c r="K632" i="31"/>
  <c r="L632" i="31"/>
  <c r="N632" i="31"/>
  <c r="Q632" i="31"/>
  <c r="O632" i="31"/>
  <c r="P632" i="31"/>
  <c r="R632" i="31"/>
  <c r="W632" i="31"/>
  <c r="K633" i="31"/>
  <c r="L633" i="31"/>
  <c r="N633" i="31"/>
  <c r="Q633" i="31"/>
  <c r="O633" i="31"/>
  <c r="P633" i="31"/>
  <c r="R633" i="31"/>
  <c r="W633" i="31"/>
  <c r="K634" i="31"/>
  <c r="L634" i="31"/>
  <c r="N634" i="31"/>
  <c r="Q634" i="31"/>
  <c r="O634" i="31"/>
  <c r="P634" i="31"/>
  <c r="R634" i="31"/>
  <c r="W634" i="31"/>
  <c r="K635" i="31"/>
  <c r="L635" i="31"/>
  <c r="N635" i="31"/>
  <c r="Q635" i="31"/>
  <c r="O635" i="31"/>
  <c r="P635" i="31"/>
  <c r="R635" i="31"/>
  <c r="W635" i="31"/>
  <c r="K636" i="31"/>
  <c r="L636" i="31"/>
  <c r="N636" i="31"/>
  <c r="Q636" i="31"/>
  <c r="O636" i="31"/>
  <c r="P636" i="31"/>
  <c r="R636" i="31"/>
  <c r="W636" i="31"/>
  <c r="K637" i="31"/>
  <c r="L637" i="31"/>
  <c r="N637" i="31"/>
  <c r="Q637" i="31"/>
  <c r="O637" i="31"/>
  <c r="P637" i="31"/>
  <c r="R637" i="31"/>
  <c r="W637" i="31"/>
  <c r="K638" i="31"/>
  <c r="L638" i="31"/>
  <c r="N638" i="31"/>
  <c r="Q638" i="31"/>
  <c r="O638" i="31"/>
  <c r="P638" i="31"/>
  <c r="R638" i="31"/>
  <c r="W638" i="31"/>
  <c r="K639" i="31"/>
  <c r="L639" i="31"/>
  <c r="N639" i="31"/>
  <c r="Q639" i="31"/>
  <c r="O639" i="31"/>
  <c r="P639" i="31"/>
  <c r="R639" i="31"/>
  <c r="W639" i="31"/>
  <c r="K640" i="31"/>
  <c r="L640" i="31"/>
  <c r="N640" i="31"/>
  <c r="Q640" i="31"/>
  <c r="O640" i="31"/>
  <c r="P640" i="31"/>
  <c r="R640" i="31"/>
  <c r="W640" i="31"/>
  <c r="K641" i="31"/>
  <c r="L641" i="31"/>
  <c r="N641" i="31"/>
  <c r="Q641" i="31"/>
  <c r="O641" i="31"/>
  <c r="P641" i="31"/>
  <c r="R641" i="31"/>
  <c r="W641" i="31"/>
  <c r="K642" i="31"/>
  <c r="L642" i="31"/>
  <c r="N642" i="31"/>
  <c r="Q642" i="31"/>
  <c r="O642" i="31"/>
  <c r="P642" i="31"/>
  <c r="R642" i="31"/>
  <c r="W642" i="31"/>
  <c r="K643" i="31"/>
  <c r="L643" i="31"/>
  <c r="N643" i="31"/>
  <c r="Q643" i="31"/>
  <c r="O643" i="31"/>
  <c r="P643" i="31"/>
  <c r="R643" i="31"/>
  <c r="W643" i="31"/>
  <c r="K644" i="31"/>
  <c r="L644" i="31"/>
  <c r="N644" i="31"/>
  <c r="Q644" i="31"/>
  <c r="O644" i="31"/>
  <c r="P644" i="31"/>
  <c r="R644" i="31"/>
  <c r="W644" i="31"/>
  <c r="K645" i="31"/>
  <c r="L645" i="31"/>
  <c r="N645" i="31"/>
  <c r="Q645" i="31"/>
  <c r="O645" i="31"/>
  <c r="P645" i="31"/>
  <c r="R645" i="31"/>
  <c r="W645" i="31"/>
  <c r="K646" i="31"/>
  <c r="L646" i="31"/>
  <c r="N646" i="31"/>
  <c r="Q646" i="31"/>
  <c r="O646" i="31"/>
  <c r="P646" i="31"/>
  <c r="R646" i="31"/>
  <c r="W646" i="31"/>
  <c r="K647" i="31"/>
  <c r="L647" i="31"/>
  <c r="N647" i="31"/>
  <c r="Q647" i="31"/>
  <c r="O647" i="31"/>
  <c r="P647" i="31"/>
  <c r="R647" i="31"/>
  <c r="W647" i="31"/>
  <c r="K648" i="31"/>
  <c r="L648" i="31"/>
  <c r="N648" i="31"/>
  <c r="Q648" i="31"/>
  <c r="O648" i="31"/>
  <c r="P648" i="31"/>
  <c r="R648" i="31"/>
  <c r="W648" i="31"/>
  <c r="K649" i="31"/>
  <c r="L649" i="31"/>
  <c r="N649" i="31"/>
  <c r="Q649" i="31"/>
  <c r="O649" i="31"/>
  <c r="P649" i="31"/>
  <c r="R649" i="31"/>
  <c r="W649" i="31"/>
  <c r="K650" i="31"/>
  <c r="L650" i="31"/>
  <c r="N650" i="31"/>
  <c r="Q650" i="31"/>
  <c r="O650" i="31"/>
  <c r="P650" i="31"/>
  <c r="R650" i="31"/>
  <c r="W650" i="31"/>
  <c r="K651" i="31"/>
  <c r="L651" i="31"/>
  <c r="N651" i="31"/>
  <c r="Q651" i="31"/>
  <c r="O651" i="31"/>
  <c r="P651" i="31"/>
  <c r="R651" i="31"/>
  <c r="W651" i="31"/>
  <c r="K652" i="31"/>
  <c r="L652" i="31"/>
  <c r="N652" i="31"/>
  <c r="Q652" i="31"/>
  <c r="O652" i="31"/>
  <c r="P652" i="31"/>
  <c r="R652" i="31"/>
  <c r="W652" i="31"/>
  <c r="K653" i="31"/>
  <c r="L653" i="31"/>
  <c r="N653" i="31"/>
  <c r="Q653" i="31"/>
  <c r="O653" i="31"/>
  <c r="P653" i="31"/>
  <c r="R653" i="31"/>
  <c r="W653" i="31"/>
  <c r="K654" i="31"/>
  <c r="L654" i="31"/>
  <c r="N654" i="31"/>
  <c r="Q654" i="31"/>
  <c r="O654" i="31"/>
  <c r="P654" i="31"/>
  <c r="R654" i="31"/>
  <c r="W654" i="31"/>
  <c r="K655" i="31"/>
  <c r="L655" i="31"/>
  <c r="N655" i="31"/>
  <c r="Q655" i="31"/>
  <c r="O655" i="31"/>
  <c r="P655" i="31"/>
  <c r="R655" i="31"/>
  <c r="W655" i="31"/>
  <c r="K656" i="31"/>
  <c r="L656" i="31"/>
  <c r="N656" i="31"/>
  <c r="Q656" i="31"/>
  <c r="O656" i="31"/>
  <c r="P656" i="31"/>
  <c r="R656" i="31"/>
  <c r="W656" i="31"/>
  <c r="K657" i="31"/>
  <c r="L657" i="31"/>
  <c r="N657" i="31"/>
  <c r="Q657" i="31"/>
  <c r="O657" i="31"/>
  <c r="P657" i="31"/>
  <c r="R657" i="31"/>
  <c r="W657" i="31"/>
  <c r="K658" i="31"/>
  <c r="L658" i="31"/>
  <c r="N658" i="31"/>
  <c r="Q658" i="31"/>
  <c r="O658" i="31"/>
  <c r="P658" i="31"/>
  <c r="R658" i="31"/>
  <c r="W658" i="31"/>
  <c r="K659" i="31"/>
  <c r="L659" i="31"/>
  <c r="N659" i="31"/>
  <c r="Q659" i="31"/>
  <c r="O659" i="31"/>
  <c r="P659" i="31"/>
  <c r="R659" i="31"/>
  <c r="W659" i="31"/>
  <c r="K660" i="31"/>
  <c r="L660" i="31"/>
  <c r="N660" i="31"/>
  <c r="Q660" i="31"/>
  <c r="O660" i="31"/>
  <c r="P660" i="31"/>
  <c r="R660" i="31"/>
  <c r="W660" i="31"/>
  <c r="K661" i="31"/>
  <c r="L661" i="31"/>
  <c r="N661" i="31"/>
  <c r="Q661" i="31"/>
  <c r="O661" i="31"/>
  <c r="P661" i="31"/>
  <c r="R661" i="31"/>
  <c r="W661" i="31"/>
  <c r="K662" i="31"/>
  <c r="L662" i="31"/>
  <c r="N662" i="31"/>
  <c r="Q662" i="31"/>
  <c r="O662" i="31"/>
  <c r="P662" i="31"/>
  <c r="R662" i="31"/>
  <c r="W662" i="31"/>
  <c r="K663" i="31"/>
  <c r="L663" i="31"/>
  <c r="N663" i="31"/>
  <c r="Q663" i="31"/>
  <c r="O663" i="31"/>
  <c r="P663" i="31"/>
  <c r="R663" i="31"/>
  <c r="W663" i="31"/>
  <c r="K664" i="31"/>
  <c r="L664" i="31"/>
  <c r="N664" i="31"/>
  <c r="Q664" i="31"/>
  <c r="O664" i="31"/>
  <c r="P664" i="31"/>
  <c r="R664" i="31"/>
  <c r="W664" i="31"/>
  <c r="K665" i="31"/>
  <c r="L665" i="31"/>
  <c r="N665" i="31"/>
  <c r="Q665" i="31"/>
  <c r="O665" i="31"/>
  <c r="P665" i="31"/>
  <c r="R665" i="31"/>
  <c r="W665" i="31"/>
  <c r="K666" i="31"/>
  <c r="L666" i="31"/>
  <c r="N666" i="31"/>
  <c r="Q666" i="31"/>
  <c r="O666" i="31"/>
  <c r="P666" i="31"/>
  <c r="R666" i="31"/>
  <c r="W666" i="31"/>
  <c r="K667" i="31"/>
  <c r="L667" i="31"/>
  <c r="N667" i="31"/>
  <c r="Q667" i="31"/>
  <c r="O667" i="31"/>
  <c r="P667" i="31"/>
  <c r="R667" i="31"/>
  <c r="W667" i="31"/>
  <c r="K668" i="31"/>
  <c r="L668" i="31"/>
  <c r="N668" i="31"/>
  <c r="Q668" i="31"/>
  <c r="O668" i="31"/>
  <c r="P668" i="31"/>
  <c r="R668" i="31"/>
  <c r="W668" i="31"/>
  <c r="K669" i="31"/>
  <c r="L669" i="31"/>
  <c r="N669" i="31"/>
  <c r="Q669" i="31"/>
  <c r="O669" i="31"/>
  <c r="P669" i="31"/>
  <c r="R669" i="31"/>
  <c r="W669" i="31"/>
  <c r="K670" i="31"/>
  <c r="L670" i="31"/>
  <c r="N670" i="31"/>
  <c r="Q670" i="31"/>
  <c r="O670" i="31"/>
  <c r="P670" i="31"/>
  <c r="R670" i="31"/>
  <c r="W670" i="31"/>
  <c r="K671" i="31"/>
  <c r="L671" i="31"/>
  <c r="N671" i="31"/>
  <c r="Q671" i="31"/>
  <c r="O671" i="31"/>
  <c r="P671" i="31"/>
  <c r="R671" i="31"/>
  <c r="W671" i="31"/>
  <c r="K672" i="31"/>
  <c r="L672" i="31"/>
  <c r="N672" i="31"/>
  <c r="Q672" i="31"/>
  <c r="O672" i="31"/>
  <c r="P672" i="31"/>
  <c r="R672" i="31"/>
  <c r="W672" i="31"/>
  <c r="K673" i="31"/>
  <c r="L673" i="31"/>
  <c r="N673" i="31"/>
  <c r="Q673" i="31"/>
  <c r="O673" i="31"/>
  <c r="P673" i="31"/>
  <c r="R673" i="31"/>
  <c r="W673" i="31"/>
  <c r="K674" i="31"/>
  <c r="L674" i="31"/>
  <c r="N674" i="31"/>
  <c r="Q674" i="31"/>
  <c r="O674" i="31"/>
  <c r="P674" i="31"/>
  <c r="R674" i="31"/>
  <c r="W674" i="31"/>
  <c r="K675" i="31"/>
  <c r="L675" i="31"/>
  <c r="N675" i="31"/>
  <c r="Q675" i="31"/>
  <c r="O675" i="31"/>
  <c r="P675" i="31"/>
  <c r="R675" i="31"/>
  <c r="W675" i="31"/>
  <c r="K676" i="31"/>
  <c r="L676" i="31"/>
  <c r="N676" i="31"/>
  <c r="Q676" i="31"/>
  <c r="O676" i="31"/>
  <c r="P676" i="31"/>
  <c r="R676" i="31"/>
  <c r="W676" i="31"/>
  <c r="K677" i="31"/>
  <c r="L677" i="31"/>
  <c r="N677" i="31"/>
  <c r="Q677" i="31"/>
  <c r="O677" i="31"/>
  <c r="P677" i="31"/>
  <c r="R677" i="31"/>
  <c r="W677" i="31"/>
  <c r="K678" i="31"/>
  <c r="L678" i="31"/>
  <c r="N678" i="31"/>
  <c r="Q678" i="31"/>
  <c r="O678" i="31"/>
  <c r="P678" i="31"/>
  <c r="R678" i="31"/>
  <c r="W678" i="31"/>
  <c r="K679" i="31"/>
  <c r="L679" i="31"/>
  <c r="N679" i="31"/>
  <c r="Q679" i="31"/>
  <c r="O679" i="31"/>
  <c r="P679" i="31"/>
  <c r="R679" i="31"/>
  <c r="W679" i="31"/>
  <c r="K680" i="31"/>
  <c r="L680" i="31"/>
  <c r="N680" i="31"/>
  <c r="Q680" i="31"/>
  <c r="O680" i="31"/>
  <c r="P680" i="31"/>
  <c r="R680" i="31"/>
  <c r="W680" i="31"/>
  <c r="K681" i="31"/>
  <c r="L681" i="31"/>
  <c r="N681" i="31"/>
  <c r="Q681" i="31"/>
  <c r="O681" i="31"/>
  <c r="P681" i="31"/>
  <c r="R681" i="31"/>
  <c r="W681" i="31"/>
  <c r="K682" i="31"/>
  <c r="L682" i="31"/>
  <c r="N682" i="31"/>
  <c r="Q682" i="31"/>
  <c r="O682" i="31"/>
  <c r="P682" i="31"/>
  <c r="R682" i="31"/>
  <c r="W682" i="31"/>
  <c r="K683" i="31"/>
  <c r="L683" i="31"/>
  <c r="N683" i="31"/>
  <c r="Q683" i="31"/>
  <c r="O683" i="31"/>
  <c r="P683" i="31"/>
  <c r="R683" i="31"/>
  <c r="W683" i="31"/>
  <c r="K684" i="31"/>
  <c r="L684" i="31"/>
  <c r="N684" i="31"/>
  <c r="Q684" i="31"/>
  <c r="O684" i="31"/>
  <c r="P684" i="31"/>
  <c r="R684" i="31"/>
  <c r="W684" i="31"/>
  <c r="K685" i="31"/>
  <c r="L685" i="31"/>
  <c r="N685" i="31"/>
  <c r="Q685" i="31"/>
  <c r="O685" i="31"/>
  <c r="P685" i="31"/>
  <c r="R685" i="31"/>
  <c r="W685" i="31"/>
  <c r="K686" i="31"/>
  <c r="L686" i="31"/>
  <c r="N686" i="31"/>
  <c r="Q686" i="31"/>
  <c r="O686" i="31"/>
  <c r="P686" i="31"/>
  <c r="R686" i="31"/>
  <c r="W686" i="31"/>
  <c r="K687" i="31"/>
  <c r="L687" i="31"/>
  <c r="N687" i="31"/>
  <c r="Q687" i="31"/>
  <c r="O687" i="31"/>
  <c r="P687" i="31"/>
  <c r="R687" i="31"/>
  <c r="W687" i="31"/>
  <c r="K688" i="31"/>
  <c r="L688" i="31"/>
  <c r="N688" i="31"/>
  <c r="Q688" i="31"/>
  <c r="O688" i="31"/>
  <c r="P688" i="31"/>
  <c r="R688" i="31"/>
  <c r="W688" i="31"/>
  <c r="K689" i="31"/>
  <c r="L689" i="31"/>
  <c r="N689" i="31"/>
  <c r="Q689" i="31"/>
  <c r="O689" i="31"/>
  <c r="P689" i="31"/>
  <c r="R689" i="31"/>
  <c r="W689" i="31"/>
  <c r="K690" i="31"/>
  <c r="L690" i="31"/>
  <c r="N690" i="31"/>
  <c r="Q690" i="31"/>
  <c r="O690" i="31"/>
  <c r="P690" i="31"/>
  <c r="R690" i="31"/>
  <c r="W690" i="31"/>
  <c r="K691" i="31"/>
  <c r="L691" i="31"/>
  <c r="N691" i="31"/>
  <c r="Q691" i="31"/>
  <c r="O691" i="31"/>
  <c r="P691" i="31"/>
  <c r="R691" i="31"/>
  <c r="W691" i="31"/>
  <c r="K692" i="31"/>
  <c r="L692" i="31"/>
  <c r="N692" i="31"/>
  <c r="Q692" i="31"/>
  <c r="O692" i="31"/>
  <c r="P692" i="31"/>
  <c r="R692" i="31"/>
  <c r="W692" i="31"/>
  <c r="K693" i="31"/>
  <c r="L693" i="31"/>
  <c r="N693" i="31"/>
  <c r="Q693" i="31"/>
  <c r="O693" i="31"/>
  <c r="P693" i="31"/>
  <c r="R693" i="31"/>
  <c r="W693" i="31"/>
  <c r="K694" i="31"/>
  <c r="L694" i="31"/>
  <c r="N694" i="31"/>
  <c r="Q694" i="31"/>
  <c r="O694" i="31"/>
  <c r="P694" i="31"/>
  <c r="R694" i="31"/>
  <c r="W694" i="31"/>
  <c r="K695" i="31"/>
  <c r="L695" i="31"/>
  <c r="N695" i="31"/>
  <c r="Q695" i="31"/>
  <c r="O695" i="31"/>
  <c r="P695" i="31"/>
  <c r="R695" i="31"/>
  <c r="W695" i="31"/>
  <c r="K696" i="31"/>
  <c r="L696" i="31"/>
  <c r="N696" i="31"/>
  <c r="Q696" i="31"/>
  <c r="O696" i="31"/>
  <c r="P696" i="31"/>
  <c r="R696" i="31"/>
  <c r="W696" i="31"/>
  <c r="K697" i="31"/>
  <c r="L697" i="31"/>
  <c r="N697" i="31"/>
  <c r="Q697" i="31"/>
  <c r="O697" i="31"/>
  <c r="P697" i="31"/>
  <c r="R697" i="31"/>
  <c r="W697" i="31"/>
  <c r="K698" i="31"/>
  <c r="L698" i="31"/>
  <c r="N698" i="31"/>
  <c r="Q698" i="31"/>
  <c r="O698" i="31"/>
  <c r="P698" i="31"/>
  <c r="R698" i="31"/>
  <c r="W698" i="31"/>
  <c r="K699" i="31"/>
  <c r="L699" i="31"/>
  <c r="N699" i="31"/>
  <c r="Q699" i="31"/>
  <c r="O699" i="31"/>
  <c r="P699" i="31"/>
  <c r="R699" i="31"/>
  <c r="W699" i="31"/>
  <c r="K700" i="31"/>
  <c r="L700" i="31"/>
  <c r="N700" i="31"/>
  <c r="Q700" i="31"/>
  <c r="O700" i="31"/>
  <c r="P700" i="31"/>
  <c r="R700" i="31"/>
  <c r="W700" i="31"/>
  <c r="K701" i="31"/>
  <c r="L701" i="31"/>
  <c r="N701" i="31"/>
  <c r="Q701" i="31"/>
  <c r="O701" i="31"/>
  <c r="P701" i="31"/>
  <c r="R701" i="31"/>
  <c r="W701" i="31"/>
  <c r="K702" i="31"/>
  <c r="L702" i="31"/>
  <c r="N702" i="31"/>
  <c r="Q702" i="31"/>
  <c r="O702" i="31"/>
  <c r="P702" i="31"/>
  <c r="R702" i="31"/>
  <c r="W702" i="31"/>
  <c r="K703" i="31"/>
  <c r="L703" i="31"/>
  <c r="N703" i="31"/>
  <c r="Q703" i="31"/>
  <c r="O703" i="31"/>
  <c r="P703" i="31"/>
  <c r="R703" i="31"/>
  <c r="W703" i="31"/>
  <c r="K704" i="31"/>
  <c r="L704" i="31"/>
  <c r="N704" i="31"/>
  <c r="Q704" i="31"/>
  <c r="O704" i="31"/>
  <c r="P704" i="31"/>
  <c r="R704" i="31"/>
  <c r="W704" i="31"/>
  <c r="K705" i="31"/>
  <c r="L705" i="31"/>
  <c r="N705" i="31"/>
  <c r="Q705" i="31"/>
  <c r="O705" i="31"/>
  <c r="P705" i="31"/>
  <c r="R705" i="31"/>
  <c r="W705" i="31"/>
  <c r="K706" i="31"/>
  <c r="L706" i="31"/>
  <c r="N706" i="31"/>
  <c r="Q706" i="31"/>
  <c r="O706" i="31"/>
  <c r="P706" i="31"/>
  <c r="R706" i="31"/>
  <c r="W706" i="31"/>
  <c r="K707" i="31"/>
  <c r="L707" i="31"/>
  <c r="N707" i="31"/>
  <c r="Q707" i="31"/>
  <c r="O707" i="31"/>
  <c r="P707" i="31"/>
  <c r="R707" i="31"/>
  <c r="W707" i="31"/>
  <c r="K708" i="31"/>
  <c r="L708" i="31"/>
  <c r="N708" i="31"/>
  <c r="Q708" i="31"/>
  <c r="O708" i="31"/>
  <c r="P708" i="31"/>
  <c r="R708" i="31"/>
  <c r="W708" i="31"/>
  <c r="K709" i="31"/>
  <c r="L709" i="31"/>
  <c r="N709" i="31"/>
  <c r="Q709" i="31"/>
  <c r="O709" i="31"/>
  <c r="P709" i="31"/>
  <c r="R709" i="31"/>
  <c r="W709" i="31"/>
  <c r="K710" i="31"/>
  <c r="L710" i="31"/>
  <c r="N710" i="31"/>
  <c r="Q710" i="31"/>
  <c r="O710" i="31"/>
  <c r="P710" i="31"/>
  <c r="R710" i="31"/>
  <c r="W710" i="31"/>
  <c r="K711" i="31"/>
  <c r="L711" i="31"/>
  <c r="N711" i="31"/>
  <c r="Q711" i="31"/>
  <c r="O711" i="31"/>
  <c r="P711" i="31"/>
  <c r="R711" i="31"/>
  <c r="W711" i="31"/>
  <c r="K712" i="31"/>
  <c r="L712" i="31"/>
  <c r="N712" i="31"/>
  <c r="Q712" i="31"/>
  <c r="O712" i="31"/>
  <c r="P712" i="31"/>
  <c r="R712" i="31"/>
  <c r="W712" i="31"/>
  <c r="K713" i="31"/>
  <c r="L713" i="31"/>
  <c r="N713" i="31"/>
  <c r="Q713" i="31"/>
  <c r="O713" i="31"/>
  <c r="P713" i="31"/>
  <c r="R713" i="31"/>
  <c r="W713" i="31"/>
  <c r="K714" i="31"/>
  <c r="L714" i="31"/>
  <c r="N714" i="31"/>
  <c r="Q714" i="31"/>
  <c r="O714" i="31"/>
  <c r="P714" i="31"/>
  <c r="R714" i="31"/>
  <c r="W714" i="31"/>
  <c r="K715" i="31"/>
  <c r="L715" i="31"/>
  <c r="N715" i="31"/>
  <c r="Q715" i="31"/>
  <c r="O715" i="31"/>
  <c r="P715" i="31"/>
  <c r="R715" i="31"/>
  <c r="W715" i="31"/>
  <c r="K716" i="31"/>
  <c r="L716" i="31"/>
  <c r="N716" i="31"/>
  <c r="Q716" i="31"/>
  <c r="O716" i="31"/>
  <c r="P716" i="31"/>
  <c r="R716" i="31"/>
  <c r="W716" i="31"/>
  <c r="K717" i="31"/>
  <c r="L717" i="31"/>
  <c r="N717" i="31"/>
  <c r="Q717" i="31"/>
  <c r="O717" i="31"/>
  <c r="P717" i="31"/>
  <c r="R717" i="31"/>
  <c r="W717" i="31"/>
  <c r="K718" i="31"/>
  <c r="L718" i="31"/>
  <c r="N718" i="31"/>
  <c r="Q718" i="31"/>
  <c r="O718" i="31"/>
  <c r="P718" i="31"/>
  <c r="R718" i="31"/>
  <c r="W718" i="31"/>
  <c r="K719" i="31"/>
  <c r="L719" i="31"/>
  <c r="N719" i="31"/>
  <c r="Q719" i="31"/>
  <c r="O719" i="31"/>
  <c r="P719" i="31"/>
  <c r="R719" i="31"/>
  <c r="W719" i="31"/>
  <c r="K720" i="31"/>
  <c r="L720" i="31"/>
  <c r="N720" i="31"/>
  <c r="Q720" i="31"/>
  <c r="O720" i="31"/>
  <c r="P720" i="31"/>
  <c r="R720" i="31"/>
  <c r="W720" i="31"/>
  <c r="K721" i="31"/>
  <c r="L721" i="31"/>
  <c r="N721" i="31"/>
  <c r="Q721" i="31"/>
  <c r="O721" i="31"/>
  <c r="P721" i="31"/>
  <c r="R721" i="31"/>
  <c r="W721" i="31"/>
  <c r="K722" i="31"/>
  <c r="L722" i="31"/>
  <c r="N722" i="31"/>
  <c r="Q722" i="31"/>
  <c r="O722" i="31"/>
  <c r="P722" i="31"/>
  <c r="R722" i="31"/>
  <c r="W722" i="31"/>
  <c r="K723" i="31"/>
  <c r="L723" i="31"/>
  <c r="N723" i="31"/>
  <c r="Q723" i="31"/>
  <c r="O723" i="31"/>
  <c r="P723" i="31"/>
  <c r="R723" i="31"/>
  <c r="W723" i="31"/>
  <c r="K724" i="31"/>
  <c r="L724" i="31"/>
  <c r="N724" i="31"/>
  <c r="Q724" i="31"/>
  <c r="O724" i="31"/>
  <c r="P724" i="31"/>
  <c r="R724" i="31"/>
  <c r="W724" i="31"/>
  <c r="K725" i="31"/>
  <c r="L725" i="31"/>
  <c r="N725" i="31"/>
  <c r="Q725" i="31"/>
  <c r="O725" i="31"/>
  <c r="P725" i="31"/>
  <c r="R725" i="31"/>
  <c r="W725" i="31"/>
  <c r="K726" i="31"/>
  <c r="L726" i="31"/>
  <c r="N726" i="31"/>
  <c r="Q726" i="31"/>
  <c r="O726" i="31"/>
  <c r="P726" i="31"/>
  <c r="R726" i="31"/>
  <c r="W726" i="31"/>
  <c r="K727" i="31"/>
  <c r="L727" i="31"/>
  <c r="N727" i="31"/>
  <c r="Q727" i="31"/>
  <c r="O727" i="31"/>
  <c r="P727" i="31"/>
  <c r="R727" i="31"/>
  <c r="W727" i="31"/>
  <c r="K728" i="31"/>
  <c r="L728" i="31"/>
  <c r="N728" i="31"/>
  <c r="Q728" i="31"/>
  <c r="O728" i="31"/>
  <c r="P728" i="31"/>
  <c r="R728" i="31"/>
  <c r="W728" i="31"/>
  <c r="K729" i="31"/>
  <c r="L729" i="31"/>
  <c r="N729" i="31"/>
  <c r="Q729" i="31"/>
  <c r="O729" i="31"/>
  <c r="P729" i="31"/>
  <c r="R729" i="31"/>
  <c r="W729" i="31"/>
  <c r="K730" i="31"/>
  <c r="L730" i="31"/>
  <c r="N730" i="31"/>
  <c r="Q730" i="31"/>
  <c r="O730" i="31"/>
  <c r="P730" i="31"/>
  <c r="R730" i="31"/>
  <c r="W730" i="31"/>
  <c r="K731" i="31"/>
  <c r="L731" i="31"/>
  <c r="N731" i="31"/>
  <c r="Q731" i="31"/>
  <c r="O731" i="31"/>
  <c r="P731" i="31"/>
  <c r="R731" i="31"/>
  <c r="W731" i="31"/>
  <c r="K732" i="31"/>
  <c r="L732" i="31"/>
  <c r="N732" i="31"/>
  <c r="Q732" i="31"/>
  <c r="O732" i="31"/>
  <c r="P732" i="31"/>
  <c r="R732" i="31"/>
  <c r="W732" i="31"/>
  <c r="K733" i="31"/>
  <c r="L733" i="31"/>
  <c r="N733" i="31"/>
  <c r="Q733" i="31"/>
  <c r="O733" i="31"/>
  <c r="P733" i="31"/>
  <c r="R733" i="31"/>
  <c r="W733" i="31"/>
  <c r="K734" i="31"/>
  <c r="L734" i="31"/>
  <c r="N734" i="31"/>
  <c r="Q734" i="31"/>
  <c r="O734" i="31"/>
  <c r="P734" i="31"/>
  <c r="R734" i="31"/>
  <c r="W734" i="31"/>
  <c r="K735" i="31"/>
  <c r="L735" i="31"/>
  <c r="N735" i="31"/>
  <c r="Q735" i="31"/>
  <c r="O735" i="31"/>
  <c r="P735" i="31"/>
  <c r="R735" i="31"/>
  <c r="W735" i="31"/>
  <c r="K736" i="31"/>
  <c r="L736" i="31"/>
  <c r="N736" i="31"/>
  <c r="Q736" i="31"/>
  <c r="O736" i="31"/>
  <c r="P736" i="31"/>
  <c r="R736" i="31"/>
  <c r="W736" i="31"/>
  <c r="K737" i="31"/>
  <c r="L737" i="31"/>
  <c r="N737" i="31"/>
  <c r="Q737" i="31"/>
  <c r="O737" i="31"/>
  <c r="P737" i="31"/>
  <c r="R737" i="31"/>
  <c r="W737" i="31"/>
  <c r="K738" i="31"/>
  <c r="L738" i="31"/>
  <c r="N738" i="31"/>
  <c r="Q738" i="31"/>
  <c r="O738" i="31"/>
  <c r="P738" i="31"/>
  <c r="R738" i="31"/>
  <c r="W738" i="31"/>
  <c r="K739" i="31"/>
  <c r="L739" i="31"/>
  <c r="N739" i="31"/>
  <c r="Q739" i="31"/>
  <c r="O739" i="31"/>
  <c r="P739" i="31"/>
  <c r="R739" i="31"/>
  <c r="W739" i="31"/>
  <c r="K740" i="31"/>
  <c r="L740" i="31"/>
  <c r="N740" i="31"/>
  <c r="Q740" i="31"/>
  <c r="O740" i="31"/>
  <c r="P740" i="31"/>
  <c r="R740" i="31"/>
  <c r="W740" i="31"/>
  <c r="K741" i="31"/>
  <c r="L741" i="31"/>
  <c r="N741" i="31"/>
  <c r="Q741" i="31"/>
  <c r="O741" i="31"/>
  <c r="P741" i="31"/>
  <c r="R741" i="31"/>
  <c r="W741" i="31"/>
  <c r="K742" i="31"/>
  <c r="L742" i="31"/>
  <c r="N742" i="31"/>
  <c r="Q742" i="31"/>
  <c r="O742" i="31"/>
  <c r="P742" i="31"/>
  <c r="R742" i="31"/>
  <c r="W742" i="31"/>
  <c r="K743" i="31"/>
  <c r="L743" i="31"/>
  <c r="N743" i="31"/>
  <c r="Q743" i="31"/>
  <c r="O743" i="31"/>
  <c r="P743" i="31"/>
  <c r="R743" i="31"/>
  <c r="W743" i="31"/>
  <c r="K744" i="31"/>
  <c r="L744" i="31"/>
  <c r="N744" i="31"/>
  <c r="Q744" i="31"/>
  <c r="O744" i="31"/>
  <c r="P744" i="31"/>
  <c r="R744" i="31"/>
  <c r="W744" i="31"/>
  <c r="K745" i="31"/>
  <c r="L745" i="31"/>
  <c r="N745" i="31"/>
  <c r="Q745" i="31"/>
  <c r="O745" i="31"/>
  <c r="P745" i="31"/>
  <c r="R745" i="31"/>
  <c r="W745" i="31"/>
  <c r="K746" i="31"/>
  <c r="L746" i="31"/>
  <c r="N746" i="31"/>
  <c r="Q746" i="31"/>
  <c r="O746" i="31"/>
  <c r="P746" i="31"/>
  <c r="R746" i="31"/>
  <c r="W746" i="31"/>
  <c r="K747" i="31"/>
  <c r="L747" i="31"/>
  <c r="N747" i="31"/>
  <c r="Q747" i="31"/>
  <c r="O747" i="31"/>
  <c r="P747" i="31"/>
  <c r="R747" i="31"/>
  <c r="W747" i="31"/>
  <c r="K748" i="31"/>
  <c r="L748" i="31"/>
  <c r="N748" i="31"/>
  <c r="Q748" i="31"/>
  <c r="O748" i="31"/>
  <c r="P748" i="31"/>
  <c r="R748" i="31"/>
  <c r="W748" i="31"/>
  <c r="K749" i="31"/>
  <c r="L749" i="31"/>
  <c r="N749" i="31"/>
  <c r="Q749" i="31"/>
  <c r="O749" i="31"/>
  <c r="P749" i="31"/>
  <c r="R749" i="31"/>
  <c r="W749" i="31"/>
  <c r="K750" i="31"/>
  <c r="L750" i="31"/>
  <c r="N750" i="31"/>
  <c r="Q750" i="31"/>
  <c r="O750" i="31"/>
  <c r="P750" i="31"/>
  <c r="R750" i="31"/>
  <c r="W750" i="31"/>
  <c r="K751" i="31"/>
  <c r="L751" i="31"/>
  <c r="N751" i="31"/>
  <c r="Q751" i="31"/>
  <c r="O751" i="31"/>
  <c r="P751" i="31"/>
  <c r="R751" i="31"/>
  <c r="W751" i="31"/>
  <c r="K752" i="31"/>
  <c r="L752" i="31"/>
  <c r="N752" i="31"/>
  <c r="Q752" i="31"/>
  <c r="O752" i="31"/>
  <c r="P752" i="31"/>
  <c r="R752" i="31"/>
  <c r="W752" i="31"/>
  <c r="K753" i="31"/>
  <c r="L753" i="31"/>
  <c r="N753" i="31"/>
  <c r="Q753" i="31"/>
  <c r="O753" i="31"/>
  <c r="P753" i="31"/>
  <c r="R753" i="31"/>
  <c r="W753" i="31"/>
  <c r="K754" i="31"/>
  <c r="L754" i="31"/>
  <c r="N754" i="31"/>
  <c r="Q754" i="31"/>
  <c r="O754" i="31"/>
  <c r="P754" i="31"/>
  <c r="R754" i="31"/>
  <c r="W754" i="31"/>
  <c r="K755" i="31"/>
  <c r="L755" i="31"/>
  <c r="N755" i="31"/>
  <c r="Q755" i="31"/>
  <c r="O755" i="31"/>
  <c r="P755" i="31"/>
  <c r="R755" i="31"/>
  <c r="W755" i="31"/>
  <c r="K756" i="31"/>
  <c r="L756" i="31"/>
  <c r="N756" i="31"/>
  <c r="Q756" i="31"/>
  <c r="O756" i="31"/>
  <c r="P756" i="31"/>
  <c r="R756" i="31"/>
  <c r="W756" i="31"/>
  <c r="K757" i="31"/>
  <c r="L757" i="31"/>
  <c r="N757" i="31"/>
  <c r="Q757" i="31"/>
  <c r="O757" i="31"/>
  <c r="P757" i="31"/>
  <c r="R757" i="31"/>
  <c r="W757" i="31"/>
  <c r="K758" i="31"/>
  <c r="L758" i="31"/>
  <c r="N758" i="31"/>
  <c r="Q758" i="31"/>
  <c r="O758" i="31"/>
  <c r="P758" i="31"/>
  <c r="R758" i="31"/>
  <c r="W758" i="31"/>
  <c r="K759" i="31"/>
  <c r="L759" i="31"/>
  <c r="N759" i="31"/>
  <c r="Q759" i="31"/>
  <c r="O759" i="31"/>
  <c r="P759" i="31"/>
  <c r="R759" i="31"/>
  <c r="W759" i="31"/>
  <c r="K760" i="31"/>
  <c r="L760" i="31"/>
  <c r="N760" i="31"/>
  <c r="Q760" i="31"/>
  <c r="O760" i="31"/>
  <c r="P760" i="31"/>
  <c r="R760" i="31"/>
  <c r="W760" i="31"/>
  <c r="K761" i="31"/>
  <c r="L761" i="31"/>
  <c r="N761" i="31"/>
  <c r="Q761" i="31"/>
  <c r="O761" i="31"/>
  <c r="P761" i="31"/>
  <c r="R761" i="31"/>
  <c r="W761" i="31"/>
  <c r="K762" i="31"/>
  <c r="L762" i="31"/>
  <c r="N762" i="31"/>
  <c r="Q762" i="31"/>
  <c r="O762" i="31"/>
  <c r="P762" i="31"/>
  <c r="R762" i="31"/>
  <c r="W762" i="31"/>
  <c r="K763" i="31"/>
  <c r="L763" i="31"/>
  <c r="N763" i="31"/>
  <c r="Q763" i="31"/>
  <c r="O763" i="31"/>
  <c r="P763" i="31"/>
  <c r="R763" i="31"/>
  <c r="W763" i="31"/>
  <c r="K764" i="31"/>
  <c r="L764" i="31"/>
  <c r="N764" i="31"/>
  <c r="Q764" i="31"/>
  <c r="O764" i="31"/>
  <c r="P764" i="31"/>
  <c r="R764" i="31"/>
  <c r="W764" i="31"/>
  <c r="K765" i="31"/>
  <c r="L765" i="31"/>
  <c r="N765" i="31"/>
  <c r="Q765" i="31"/>
  <c r="O765" i="31"/>
  <c r="P765" i="31"/>
  <c r="R765" i="31"/>
  <c r="W765" i="31"/>
  <c r="K766" i="31"/>
  <c r="L766" i="31"/>
  <c r="N766" i="31"/>
  <c r="Q766" i="31"/>
  <c r="O766" i="31"/>
  <c r="P766" i="31"/>
  <c r="R766" i="31"/>
  <c r="W766" i="31"/>
  <c r="K767" i="31"/>
  <c r="L767" i="31"/>
  <c r="N767" i="31"/>
  <c r="Q767" i="31"/>
  <c r="O767" i="31"/>
  <c r="P767" i="31"/>
  <c r="R767" i="31"/>
  <c r="W767" i="31"/>
  <c r="K768" i="31"/>
  <c r="L768" i="31"/>
  <c r="N768" i="31"/>
  <c r="Q768" i="31"/>
  <c r="O768" i="31"/>
  <c r="P768" i="31"/>
  <c r="R768" i="31"/>
  <c r="W768" i="31"/>
  <c r="K769" i="31"/>
  <c r="L769" i="31"/>
  <c r="N769" i="31"/>
  <c r="Q769" i="31"/>
  <c r="O769" i="31"/>
  <c r="P769" i="31"/>
  <c r="R769" i="31"/>
  <c r="W769" i="31"/>
  <c r="K770" i="31"/>
  <c r="L770" i="31"/>
  <c r="N770" i="31"/>
  <c r="Q770" i="31"/>
  <c r="O770" i="31"/>
  <c r="P770" i="31"/>
  <c r="R770" i="31"/>
  <c r="W770" i="31"/>
  <c r="K771" i="31"/>
  <c r="L771" i="31"/>
  <c r="N771" i="31"/>
  <c r="Q771" i="31"/>
  <c r="O771" i="31"/>
  <c r="P771" i="31"/>
  <c r="R771" i="31"/>
  <c r="W771" i="31"/>
  <c r="K772" i="31"/>
  <c r="L772" i="31"/>
  <c r="N772" i="31"/>
  <c r="Q772" i="31"/>
  <c r="O772" i="31"/>
  <c r="P772" i="31"/>
  <c r="R772" i="31"/>
  <c r="W772" i="31"/>
  <c r="K773" i="31"/>
  <c r="L773" i="31"/>
  <c r="N773" i="31"/>
  <c r="Q773" i="31"/>
  <c r="O773" i="31"/>
  <c r="P773" i="31"/>
  <c r="R773" i="31"/>
  <c r="W773" i="31"/>
  <c r="K774" i="31"/>
  <c r="L774" i="31"/>
  <c r="N774" i="31"/>
  <c r="Q774" i="31"/>
  <c r="O774" i="31"/>
  <c r="P774" i="31"/>
  <c r="R774" i="31"/>
  <c r="W774" i="31"/>
  <c r="K775" i="31"/>
  <c r="L775" i="31"/>
  <c r="N775" i="31"/>
  <c r="Q775" i="31"/>
  <c r="O775" i="31"/>
  <c r="P775" i="31"/>
  <c r="R775" i="31"/>
  <c r="W775" i="31"/>
  <c r="K776" i="31"/>
  <c r="L776" i="31"/>
  <c r="N776" i="31"/>
  <c r="Q776" i="31"/>
  <c r="O776" i="31"/>
  <c r="P776" i="31"/>
  <c r="R776" i="31"/>
  <c r="W776" i="31"/>
  <c r="K777" i="31"/>
  <c r="L777" i="31"/>
  <c r="N777" i="31"/>
  <c r="Q777" i="31"/>
  <c r="O777" i="31"/>
  <c r="P777" i="31"/>
  <c r="R777" i="31"/>
  <c r="W777" i="31"/>
  <c r="K778" i="31"/>
  <c r="L778" i="31"/>
  <c r="N778" i="31"/>
  <c r="Q778" i="31"/>
  <c r="O778" i="31"/>
  <c r="P778" i="31"/>
  <c r="R778" i="31"/>
  <c r="W778" i="31"/>
  <c r="K779" i="31"/>
  <c r="L779" i="31"/>
  <c r="N779" i="31"/>
  <c r="Q779" i="31"/>
  <c r="O779" i="31"/>
  <c r="P779" i="31"/>
  <c r="R779" i="31"/>
  <c r="W779" i="31"/>
  <c r="K780" i="31"/>
  <c r="L780" i="31"/>
  <c r="N780" i="31"/>
  <c r="Q780" i="31"/>
  <c r="O780" i="31"/>
  <c r="P780" i="31"/>
  <c r="R780" i="31"/>
  <c r="W780" i="31"/>
  <c r="K781" i="31"/>
  <c r="L781" i="31"/>
  <c r="N781" i="31"/>
  <c r="Q781" i="31"/>
  <c r="O781" i="31"/>
  <c r="P781" i="31"/>
  <c r="R781" i="31"/>
  <c r="W781" i="31"/>
  <c r="K782" i="31"/>
  <c r="L782" i="31"/>
  <c r="N782" i="31"/>
  <c r="Q782" i="31"/>
  <c r="O782" i="31"/>
  <c r="P782" i="31"/>
  <c r="R782" i="31"/>
  <c r="W782" i="31"/>
  <c r="K783" i="31"/>
  <c r="L783" i="31"/>
  <c r="N783" i="31"/>
  <c r="Q783" i="31"/>
  <c r="O783" i="31"/>
  <c r="P783" i="31"/>
  <c r="R783" i="31"/>
  <c r="W783" i="31"/>
  <c r="K784" i="31"/>
  <c r="L784" i="31"/>
  <c r="N784" i="31"/>
  <c r="Q784" i="31"/>
  <c r="O784" i="31"/>
  <c r="P784" i="31"/>
  <c r="R784" i="31"/>
  <c r="W784" i="31"/>
  <c r="K785" i="31"/>
  <c r="L785" i="31"/>
  <c r="N785" i="31"/>
  <c r="Q785" i="31"/>
  <c r="O785" i="31"/>
  <c r="P785" i="31"/>
  <c r="R785" i="31"/>
  <c r="W785" i="31"/>
  <c r="K786" i="31"/>
  <c r="L786" i="31"/>
  <c r="N786" i="31"/>
  <c r="Q786" i="31"/>
  <c r="O786" i="31"/>
  <c r="P786" i="31"/>
  <c r="R786" i="31"/>
  <c r="W786" i="31"/>
  <c r="K787" i="31"/>
  <c r="L787" i="31"/>
  <c r="N787" i="31"/>
  <c r="Q787" i="31"/>
  <c r="O787" i="31"/>
  <c r="P787" i="31"/>
  <c r="R787" i="31"/>
  <c r="W787" i="31"/>
  <c r="K788" i="31"/>
  <c r="L788" i="31"/>
  <c r="N788" i="31"/>
  <c r="Q788" i="31"/>
  <c r="O788" i="31"/>
  <c r="P788" i="31"/>
  <c r="R788" i="31"/>
  <c r="W788" i="31"/>
  <c r="K789" i="31"/>
  <c r="L789" i="31"/>
  <c r="N789" i="31"/>
  <c r="Q789" i="31"/>
  <c r="O789" i="31"/>
  <c r="P789" i="31"/>
  <c r="R789" i="31"/>
  <c r="W789" i="31"/>
  <c r="K790" i="31"/>
  <c r="L790" i="31"/>
  <c r="N790" i="31"/>
  <c r="Q790" i="31"/>
  <c r="O790" i="31"/>
  <c r="P790" i="31"/>
  <c r="R790" i="31"/>
  <c r="W790" i="31"/>
  <c r="K791" i="31"/>
  <c r="L791" i="31"/>
  <c r="N791" i="31"/>
  <c r="Q791" i="31"/>
  <c r="O791" i="31"/>
  <c r="P791" i="31"/>
  <c r="R791" i="31"/>
  <c r="W791" i="31"/>
  <c r="K792" i="31"/>
  <c r="L792" i="31"/>
  <c r="N792" i="31"/>
  <c r="Q792" i="31"/>
  <c r="O792" i="31"/>
  <c r="P792" i="31"/>
  <c r="R792" i="31"/>
  <c r="W792" i="31"/>
  <c r="K793" i="31"/>
  <c r="L793" i="31"/>
  <c r="N793" i="31"/>
  <c r="Q793" i="31"/>
  <c r="O793" i="31"/>
  <c r="P793" i="31"/>
  <c r="R793" i="31"/>
  <c r="W793" i="31"/>
  <c r="K794" i="31"/>
  <c r="L794" i="31"/>
  <c r="N794" i="31"/>
  <c r="Q794" i="31"/>
  <c r="O794" i="31"/>
  <c r="P794" i="31"/>
  <c r="R794" i="31"/>
  <c r="W794" i="31"/>
  <c r="K795" i="31"/>
  <c r="L795" i="31"/>
  <c r="N795" i="31"/>
  <c r="Q795" i="31"/>
  <c r="O795" i="31"/>
  <c r="P795" i="31"/>
  <c r="R795" i="31"/>
  <c r="W795" i="31"/>
  <c r="K796" i="31"/>
  <c r="L796" i="31"/>
  <c r="N796" i="31"/>
  <c r="Q796" i="31"/>
  <c r="O796" i="31"/>
  <c r="P796" i="31"/>
  <c r="R796" i="31"/>
  <c r="W796" i="31"/>
  <c r="K797" i="31"/>
  <c r="L797" i="31"/>
  <c r="N797" i="31"/>
  <c r="Q797" i="31"/>
  <c r="O797" i="31"/>
  <c r="P797" i="31"/>
  <c r="R797" i="31"/>
  <c r="W797" i="31"/>
  <c r="K798" i="31"/>
  <c r="L798" i="31"/>
  <c r="N798" i="31"/>
  <c r="Q798" i="31"/>
  <c r="O798" i="31"/>
  <c r="P798" i="31"/>
  <c r="R798" i="31"/>
  <c r="W798" i="31"/>
  <c r="K799" i="31"/>
  <c r="L799" i="31"/>
  <c r="N799" i="31"/>
  <c r="Q799" i="31"/>
  <c r="O799" i="31"/>
  <c r="P799" i="31"/>
  <c r="R799" i="31"/>
  <c r="W799" i="31"/>
  <c r="K800" i="31"/>
  <c r="L800" i="31"/>
  <c r="N800" i="31"/>
  <c r="Q800" i="31"/>
  <c r="O800" i="31"/>
  <c r="P800" i="31"/>
  <c r="R800" i="31"/>
  <c r="W800" i="31"/>
  <c r="K801" i="31"/>
  <c r="L801" i="31"/>
  <c r="N801" i="31"/>
  <c r="Q801" i="31"/>
  <c r="O801" i="31"/>
  <c r="P801" i="31"/>
  <c r="R801" i="31"/>
  <c r="W801" i="31"/>
  <c r="K802" i="31"/>
  <c r="L802" i="31"/>
  <c r="N802" i="31"/>
  <c r="Q802" i="31"/>
  <c r="O802" i="31"/>
  <c r="P802" i="31"/>
  <c r="R802" i="31"/>
  <c r="W802" i="31"/>
  <c r="K803" i="31"/>
  <c r="L803" i="31"/>
  <c r="N803" i="31"/>
  <c r="Q803" i="31"/>
  <c r="O803" i="31"/>
  <c r="P803" i="31"/>
  <c r="R803" i="31"/>
  <c r="W803" i="31"/>
  <c r="K804" i="31"/>
  <c r="L804" i="31"/>
  <c r="N804" i="31"/>
  <c r="Q804" i="31"/>
  <c r="O804" i="31"/>
  <c r="P804" i="31"/>
  <c r="R804" i="31"/>
  <c r="W804" i="31"/>
  <c r="K805" i="31"/>
  <c r="L805" i="31"/>
  <c r="N805" i="31"/>
  <c r="Q805" i="31"/>
  <c r="O805" i="31"/>
  <c r="P805" i="31"/>
  <c r="R805" i="31"/>
  <c r="W805" i="31"/>
  <c r="K806" i="31"/>
  <c r="L806" i="31"/>
  <c r="N806" i="31"/>
  <c r="Q806" i="31"/>
  <c r="O806" i="31"/>
  <c r="P806" i="31"/>
  <c r="R806" i="31"/>
  <c r="W806" i="31"/>
  <c r="K807" i="31"/>
  <c r="L807" i="31"/>
  <c r="N807" i="31"/>
  <c r="Q807" i="31"/>
  <c r="O807" i="31"/>
  <c r="P807" i="31"/>
  <c r="R807" i="31"/>
  <c r="W807" i="31"/>
  <c r="K808" i="31"/>
  <c r="L808" i="31"/>
  <c r="N808" i="31"/>
  <c r="Q808" i="31"/>
  <c r="O808" i="31"/>
  <c r="P808" i="31"/>
  <c r="R808" i="31"/>
  <c r="W808" i="31"/>
  <c r="K809" i="31"/>
  <c r="L809" i="31"/>
  <c r="N809" i="31"/>
  <c r="Q809" i="31"/>
  <c r="O809" i="31"/>
  <c r="P809" i="31"/>
  <c r="R809" i="31"/>
  <c r="W809" i="31"/>
  <c r="K810" i="31"/>
  <c r="L810" i="31"/>
  <c r="N810" i="31"/>
  <c r="Q810" i="31"/>
  <c r="O810" i="31"/>
  <c r="P810" i="31"/>
  <c r="R810" i="31"/>
  <c r="W810" i="31"/>
  <c r="K811" i="31"/>
  <c r="L811" i="31"/>
  <c r="N811" i="31"/>
  <c r="Q811" i="31"/>
  <c r="O811" i="31"/>
  <c r="P811" i="31"/>
  <c r="R811" i="31"/>
  <c r="W811" i="31"/>
  <c r="K812" i="31"/>
  <c r="L812" i="31"/>
  <c r="N812" i="31"/>
  <c r="Q812" i="31"/>
  <c r="O812" i="31"/>
  <c r="P812" i="31"/>
  <c r="R812" i="31"/>
  <c r="W812" i="31"/>
  <c r="K813" i="31"/>
  <c r="L813" i="31"/>
  <c r="N813" i="31"/>
  <c r="Q813" i="31"/>
  <c r="O813" i="31"/>
  <c r="P813" i="31"/>
  <c r="R813" i="31"/>
  <c r="W813" i="31"/>
  <c r="K814" i="31"/>
  <c r="L814" i="31"/>
  <c r="N814" i="31"/>
  <c r="Q814" i="31"/>
  <c r="O814" i="31"/>
  <c r="P814" i="31"/>
  <c r="R814" i="31"/>
  <c r="W814" i="31"/>
  <c r="K815" i="31"/>
  <c r="L815" i="31"/>
  <c r="N815" i="31"/>
  <c r="Q815" i="31"/>
  <c r="O815" i="31"/>
  <c r="P815" i="31"/>
  <c r="R815" i="31"/>
  <c r="W815" i="31"/>
  <c r="K816" i="31"/>
  <c r="L816" i="31"/>
  <c r="N816" i="31"/>
  <c r="Q816" i="31"/>
  <c r="O816" i="31"/>
  <c r="P816" i="31"/>
  <c r="R816" i="31"/>
  <c r="W816" i="31"/>
  <c r="K817" i="31"/>
  <c r="L817" i="31"/>
  <c r="N817" i="31"/>
  <c r="Q817" i="31"/>
  <c r="O817" i="31"/>
  <c r="P817" i="31"/>
  <c r="R817" i="31"/>
  <c r="W817" i="31"/>
  <c r="K818" i="31"/>
  <c r="L818" i="31"/>
  <c r="N818" i="31"/>
  <c r="Q818" i="31"/>
  <c r="O818" i="31"/>
  <c r="P818" i="31"/>
  <c r="R818" i="31"/>
  <c r="W818" i="31"/>
  <c r="K819" i="31"/>
  <c r="L819" i="31"/>
  <c r="N819" i="31"/>
  <c r="Q819" i="31"/>
  <c r="O819" i="31"/>
  <c r="P819" i="31"/>
  <c r="R819" i="31"/>
  <c r="W819" i="31"/>
  <c r="K820" i="31"/>
  <c r="L820" i="31"/>
  <c r="N820" i="31"/>
  <c r="Q820" i="31"/>
  <c r="O820" i="31"/>
  <c r="P820" i="31"/>
  <c r="R820" i="31"/>
  <c r="W820" i="31"/>
  <c r="K821" i="31"/>
  <c r="L821" i="31"/>
  <c r="N821" i="31"/>
  <c r="Q821" i="31"/>
  <c r="O821" i="31"/>
  <c r="P821" i="31"/>
  <c r="R821" i="31"/>
  <c r="W821" i="31"/>
  <c r="K822" i="31"/>
  <c r="L822" i="31"/>
  <c r="N822" i="31"/>
  <c r="Q822" i="31"/>
  <c r="O822" i="31"/>
  <c r="P822" i="31"/>
  <c r="R822" i="31"/>
  <c r="W822" i="31"/>
  <c r="K823" i="31"/>
  <c r="L823" i="31"/>
  <c r="N823" i="31"/>
  <c r="Q823" i="31"/>
  <c r="O823" i="31"/>
  <c r="P823" i="31"/>
  <c r="R823" i="31"/>
  <c r="W823" i="31"/>
  <c r="K824" i="31"/>
  <c r="L824" i="31"/>
  <c r="N824" i="31"/>
  <c r="Q824" i="31"/>
  <c r="O824" i="31"/>
  <c r="P824" i="31"/>
  <c r="R824" i="31"/>
  <c r="W824" i="31"/>
  <c r="K825" i="31"/>
  <c r="L825" i="31"/>
  <c r="N825" i="31"/>
  <c r="Q825" i="31"/>
  <c r="O825" i="31"/>
  <c r="P825" i="31"/>
  <c r="R825" i="31"/>
  <c r="W825" i="31"/>
  <c r="K826" i="31"/>
  <c r="L826" i="31"/>
  <c r="N826" i="31"/>
  <c r="Q826" i="31"/>
  <c r="O826" i="31"/>
  <c r="P826" i="31"/>
  <c r="R826" i="31"/>
  <c r="W826" i="31"/>
  <c r="K827" i="31"/>
  <c r="L827" i="31"/>
  <c r="N827" i="31"/>
  <c r="Q827" i="31"/>
  <c r="O827" i="31"/>
  <c r="P827" i="31"/>
  <c r="R827" i="31"/>
  <c r="W827" i="31"/>
  <c r="K828" i="31"/>
  <c r="L828" i="31"/>
  <c r="N828" i="31"/>
  <c r="Q828" i="31"/>
  <c r="O828" i="31"/>
  <c r="P828" i="31"/>
  <c r="R828" i="31"/>
  <c r="W828" i="31"/>
  <c r="K829" i="31"/>
  <c r="L829" i="31"/>
  <c r="N829" i="31"/>
  <c r="Q829" i="31"/>
  <c r="O829" i="31"/>
  <c r="P829" i="31"/>
  <c r="R829" i="31"/>
  <c r="W829" i="31"/>
  <c r="K830" i="31"/>
  <c r="L830" i="31"/>
  <c r="N830" i="31"/>
  <c r="Q830" i="31"/>
  <c r="O830" i="31"/>
  <c r="P830" i="31"/>
  <c r="R830" i="31"/>
  <c r="W830" i="31"/>
  <c r="K831" i="31"/>
  <c r="L831" i="31"/>
  <c r="N831" i="31"/>
  <c r="Q831" i="31"/>
  <c r="O831" i="31"/>
  <c r="P831" i="31"/>
  <c r="R831" i="31"/>
  <c r="W831" i="31"/>
  <c r="K832" i="31"/>
  <c r="L832" i="31"/>
  <c r="N832" i="31"/>
  <c r="Q832" i="31"/>
  <c r="O832" i="31"/>
  <c r="P832" i="31"/>
  <c r="R832" i="31"/>
  <c r="W832" i="31"/>
  <c r="K833" i="31"/>
  <c r="L833" i="31"/>
  <c r="N833" i="31"/>
  <c r="Q833" i="31"/>
  <c r="O833" i="31"/>
  <c r="P833" i="31"/>
  <c r="R833" i="31"/>
  <c r="W833" i="31"/>
  <c r="K834" i="31"/>
  <c r="L834" i="31"/>
  <c r="N834" i="31"/>
  <c r="Q834" i="31"/>
  <c r="O834" i="31"/>
  <c r="P834" i="31"/>
  <c r="R834" i="31"/>
  <c r="W834" i="31"/>
  <c r="K835" i="31"/>
  <c r="L835" i="31"/>
  <c r="N835" i="31"/>
  <c r="Q835" i="31"/>
  <c r="O835" i="31"/>
  <c r="P835" i="31"/>
  <c r="R835" i="31"/>
  <c r="W835" i="31"/>
  <c r="K836" i="31"/>
  <c r="L836" i="31"/>
  <c r="N836" i="31"/>
  <c r="Q836" i="31"/>
  <c r="O836" i="31"/>
  <c r="P836" i="31"/>
  <c r="R836" i="31"/>
  <c r="W836" i="31"/>
  <c r="K837" i="31"/>
  <c r="L837" i="31"/>
  <c r="N837" i="31"/>
  <c r="Q837" i="31"/>
  <c r="O837" i="31"/>
  <c r="P837" i="31"/>
  <c r="R837" i="31"/>
  <c r="W837" i="31"/>
  <c r="K838" i="31"/>
  <c r="L838" i="31"/>
  <c r="N838" i="31"/>
  <c r="Q838" i="31"/>
  <c r="O838" i="31"/>
  <c r="P838" i="31"/>
  <c r="R838" i="31"/>
  <c r="W838" i="31"/>
  <c r="K839" i="31"/>
  <c r="L839" i="31"/>
  <c r="N839" i="31"/>
  <c r="Q839" i="31"/>
  <c r="O839" i="31"/>
  <c r="P839" i="31"/>
  <c r="R839" i="31"/>
  <c r="W839" i="31"/>
  <c r="K840" i="31"/>
  <c r="L840" i="31"/>
  <c r="N840" i="31"/>
  <c r="Q840" i="31"/>
  <c r="O840" i="31"/>
  <c r="P840" i="31"/>
  <c r="R840" i="31"/>
  <c r="W840" i="31"/>
  <c r="K841" i="31"/>
  <c r="L841" i="31"/>
  <c r="N841" i="31"/>
  <c r="Q841" i="31"/>
  <c r="O841" i="31"/>
  <c r="P841" i="31"/>
  <c r="R841" i="31"/>
  <c r="W841" i="31"/>
  <c r="K842" i="31"/>
  <c r="L842" i="31"/>
  <c r="N842" i="31"/>
  <c r="Q842" i="31"/>
  <c r="O842" i="31"/>
  <c r="P842" i="31"/>
  <c r="R842" i="31"/>
  <c r="W842" i="31"/>
  <c r="K843" i="31"/>
  <c r="L843" i="31"/>
  <c r="N843" i="31"/>
  <c r="Q843" i="31"/>
  <c r="O843" i="31"/>
  <c r="P843" i="31"/>
  <c r="R843" i="31"/>
  <c r="W843" i="31"/>
  <c r="K844" i="31"/>
  <c r="L844" i="31"/>
  <c r="N844" i="31"/>
  <c r="Q844" i="31"/>
  <c r="O844" i="31"/>
  <c r="P844" i="31"/>
  <c r="R844" i="31"/>
  <c r="W844" i="31"/>
  <c r="K845" i="31"/>
  <c r="L845" i="31"/>
  <c r="N845" i="31"/>
  <c r="Q845" i="31"/>
  <c r="O845" i="31"/>
  <c r="P845" i="31"/>
  <c r="R845" i="31"/>
  <c r="W845" i="31"/>
  <c r="K846" i="31"/>
  <c r="L846" i="31"/>
  <c r="N846" i="31"/>
  <c r="Q846" i="31"/>
  <c r="O846" i="31"/>
  <c r="P846" i="31"/>
  <c r="R846" i="31"/>
  <c r="W846" i="31"/>
  <c r="K847" i="31"/>
  <c r="L847" i="31"/>
  <c r="N847" i="31"/>
  <c r="Q847" i="31"/>
  <c r="O847" i="31"/>
  <c r="P847" i="31"/>
  <c r="R847" i="31"/>
  <c r="W847" i="31"/>
  <c r="K848" i="31"/>
  <c r="L848" i="31"/>
  <c r="N848" i="31"/>
  <c r="Q848" i="31"/>
  <c r="O848" i="31"/>
  <c r="P848" i="31"/>
  <c r="R848" i="31"/>
  <c r="W848" i="31"/>
  <c r="K849" i="31"/>
  <c r="L849" i="31"/>
  <c r="N849" i="31"/>
  <c r="Q849" i="31"/>
  <c r="O849" i="31"/>
  <c r="P849" i="31"/>
  <c r="R849" i="31"/>
  <c r="W849" i="31"/>
  <c r="K850" i="31"/>
  <c r="L850" i="31"/>
  <c r="N850" i="31"/>
  <c r="Q850" i="31"/>
  <c r="O850" i="31"/>
  <c r="P850" i="31"/>
  <c r="R850" i="31"/>
  <c r="W850" i="31"/>
  <c r="K851" i="31"/>
  <c r="L851" i="31"/>
  <c r="N851" i="31"/>
  <c r="Q851" i="31"/>
  <c r="O851" i="31"/>
  <c r="P851" i="31"/>
  <c r="R851" i="31"/>
  <c r="W851" i="31"/>
  <c r="K852" i="31"/>
  <c r="L852" i="31"/>
  <c r="N852" i="31"/>
  <c r="Q852" i="31"/>
  <c r="O852" i="31"/>
  <c r="P852" i="31"/>
  <c r="R852" i="31"/>
  <c r="W852" i="31"/>
  <c r="K853" i="31"/>
  <c r="L853" i="31"/>
  <c r="N853" i="31"/>
  <c r="Q853" i="31"/>
  <c r="O853" i="31"/>
  <c r="P853" i="31"/>
  <c r="R853" i="31"/>
  <c r="W853" i="31"/>
  <c r="K854" i="31"/>
  <c r="L854" i="31"/>
  <c r="N854" i="31"/>
  <c r="Q854" i="31"/>
  <c r="O854" i="31"/>
  <c r="P854" i="31"/>
  <c r="R854" i="31"/>
  <c r="W854" i="31"/>
  <c r="K855" i="31"/>
  <c r="L855" i="31"/>
  <c r="N855" i="31"/>
  <c r="Q855" i="31"/>
  <c r="O855" i="31"/>
  <c r="P855" i="31"/>
  <c r="R855" i="31"/>
  <c r="W855" i="31"/>
  <c r="K856" i="31"/>
  <c r="L856" i="31"/>
  <c r="N856" i="31"/>
  <c r="Q856" i="31"/>
  <c r="O856" i="31"/>
  <c r="P856" i="31"/>
  <c r="R856" i="31"/>
  <c r="W856" i="31"/>
  <c r="K857" i="31"/>
  <c r="L857" i="31"/>
  <c r="N857" i="31"/>
  <c r="Q857" i="31"/>
  <c r="O857" i="31"/>
  <c r="P857" i="31"/>
  <c r="R857" i="31"/>
  <c r="W857" i="31"/>
  <c r="K858" i="31"/>
  <c r="L858" i="31"/>
  <c r="N858" i="31"/>
  <c r="Q858" i="31"/>
  <c r="O858" i="31"/>
  <c r="P858" i="31"/>
  <c r="R858" i="31"/>
  <c r="W858" i="31"/>
  <c r="K859" i="31"/>
  <c r="L859" i="31"/>
  <c r="N859" i="31"/>
  <c r="Q859" i="31"/>
  <c r="O859" i="31"/>
  <c r="P859" i="31"/>
  <c r="R859" i="31"/>
  <c r="W859" i="31"/>
  <c r="K860" i="31"/>
  <c r="L860" i="31"/>
  <c r="N860" i="31"/>
  <c r="Q860" i="31"/>
  <c r="O860" i="31"/>
  <c r="P860" i="31"/>
  <c r="R860" i="31"/>
  <c r="W860" i="31"/>
  <c r="K861" i="31"/>
  <c r="L861" i="31"/>
  <c r="N861" i="31"/>
  <c r="Q861" i="31"/>
  <c r="O861" i="31"/>
  <c r="P861" i="31"/>
  <c r="R861" i="31"/>
  <c r="W861" i="31"/>
  <c r="K862" i="31"/>
  <c r="L862" i="31"/>
  <c r="N862" i="31"/>
  <c r="Q862" i="31"/>
  <c r="O862" i="31"/>
  <c r="P862" i="31"/>
  <c r="R862" i="31"/>
  <c r="W862" i="31"/>
  <c r="K863" i="31"/>
  <c r="L863" i="31"/>
  <c r="N863" i="31"/>
  <c r="Q863" i="31"/>
  <c r="O863" i="31"/>
  <c r="P863" i="31"/>
  <c r="R863" i="31"/>
  <c r="W863" i="31"/>
  <c r="K864" i="31"/>
  <c r="L864" i="31"/>
  <c r="N864" i="31"/>
  <c r="Q864" i="31"/>
  <c r="O864" i="31"/>
  <c r="P864" i="31"/>
  <c r="R864" i="31"/>
  <c r="W864" i="31"/>
  <c r="K865" i="31"/>
  <c r="L865" i="31"/>
  <c r="N865" i="31"/>
  <c r="Q865" i="31"/>
  <c r="O865" i="31"/>
  <c r="P865" i="31"/>
  <c r="R865" i="31"/>
  <c r="W865" i="31"/>
  <c r="K866" i="31"/>
  <c r="L866" i="31"/>
  <c r="N866" i="31"/>
  <c r="Q866" i="31"/>
  <c r="O866" i="31"/>
  <c r="P866" i="31"/>
  <c r="R866" i="31"/>
  <c r="W866" i="31"/>
  <c r="K867" i="31"/>
  <c r="L867" i="31"/>
  <c r="N867" i="31"/>
  <c r="Q867" i="31"/>
  <c r="O867" i="31"/>
  <c r="P867" i="31"/>
  <c r="R867" i="31"/>
  <c r="W867" i="31"/>
  <c r="K868" i="31"/>
  <c r="L868" i="31"/>
  <c r="N868" i="31"/>
  <c r="Q868" i="31"/>
  <c r="O868" i="31"/>
  <c r="P868" i="31"/>
  <c r="R868" i="31"/>
  <c r="W868" i="31"/>
  <c r="K869" i="31"/>
  <c r="L869" i="31"/>
  <c r="N869" i="31"/>
  <c r="Q869" i="31"/>
  <c r="O869" i="31"/>
  <c r="P869" i="31"/>
  <c r="R869" i="31"/>
  <c r="W869" i="31"/>
  <c r="K870" i="31"/>
  <c r="L870" i="31"/>
  <c r="N870" i="31"/>
  <c r="Q870" i="31"/>
  <c r="O870" i="31"/>
  <c r="P870" i="31"/>
  <c r="R870" i="31"/>
  <c r="W870" i="31"/>
  <c r="K871" i="31"/>
  <c r="L871" i="31"/>
  <c r="N871" i="31"/>
  <c r="Q871" i="31"/>
  <c r="O871" i="31"/>
  <c r="P871" i="31"/>
  <c r="R871" i="31"/>
  <c r="W871" i="31"/>
  <c r="K872" i="31"/>
  <c r="L872" i="31"/>
  <c r="N872" i="31"/>
  <c r="Q872" i="31"/>
  <c r="O872" i="31"/>
  <c r="P872" i="31"/>
  <c r="R872" i="31"/>
  <c r="W872" i="31"/>
  <c r="K873" i="31"/>
  <c r="L873" i="31"/>
  <c r="N873" i="31"/>
  <c r="Q873" i="31"/>
  <c r="O873" i="31"/>
  <c r="P873" i="31"/>
  <c r="R873" i="31"/>
  <c r="W873" i="31"/>
  <c r="K874" i="31"/>
  <c r="L874" i="31"/>
  <c r="N874" i="31"/>
  <c r="Q874" i="31"/>
  <c r="O874" i="31"/>
  <c r="P874" i="31"/>
  <c r="R874" i="31"/>
  <c r="W874" i="31"/>
  <c r="K875" i="31"/>
  <c r="L875" i="31"/>
  <c r="N875" i="31"/>
  <c r="Q875" i="31"/>
  <c r="O875" i="31"/>
  <c r="P875" i="31"/>
  <c r="R875" i="31"/>
  <c r="W875" i="31"/>
  <c r="K876" i="31"/>
  <c r="L876" i="31"/>
  <c r="N876" i="31"/>
  <c r="Q876" i="31"/>
  <c r="O876" i="31"/>
  <c r="P876" i="31"/>
  <c r="R876" i="31"/>
  <c r="W876" i="31"/>
  <c r="K877" i="31"/>
  <c r="L877" i="31"/>
  <c r="N877" i="31"/>
  <c r="Q877" i="31"/>
  <c r="O877" i="31"/>
  <c r="P877" i="31"/>
  <c r="R877" i="31"/>
  <c r="W877" i="31"/>
  <c r="K878" i="31"/>
  <c r="L878" i="31"/>
  <c r="N878" i="31"/>
  <c r="Q878" i="31"/>
  <c r="O878" i="31"/>
  <c r="P878" i="31"/>
  <c r="R878" i="31"/>
  <c r="W878" i="31"/>
  <c r="K879" i="31"/>
  <c r="L879" i="31"/>
  <c r="N879" i="31"/>
  <c r="Q879" i="31"/>
  <c r="O879" i="31"/>
  <c r="P879" i="31"/>
  <c r="R879" i="31"/>
  <c r="W879" i="31"/>
  <c r="K880" i="31"/>
  <c r="L880" i="31"/>
  <c r="N880" i="31"/>
  <c r="Q880" i="31"/>
  <c r="O880" i="31"/>
  <c r="P880" i="31"/>
  <c r="R880" i="31"/>
  <c r="W880" i="31"/>
  <c r="K881" i="31"/>
  <c r="L881" i="31"/>
  <c r="N881" i="31"/>
  <c r="Q881" i="31"/>
  <c r="O881" i="31"/>
  <c r="P881" i="31"/>
  <c r="R881" i="31"/>
  <c r="W881" i="31"/>
  <c r="Q2" i="31"/>
  <c r="O2" i="31"/>
  <c r="P2" i="31"/>
  <c r="R2" i="31"/>
  <c r="K2" i="31"/>
  <c r="L2" i="31"/>
  <c r="N2" i="31"/>
  <c r="W2" i="31"/>
  <c r="G268" i="35"/>
  <c r="I268" i="35"/>
  <c r="J268" i="35"/>
  <c r="K268" i="35"/>
  <c r="G414" i="35"/>
  <c r="I414" i="35"/>
  <c r="J414" i="35"/>
  <c r="K414" i="35"/>
  <c r="G357" i="35"/>
  <c r="I357" i="35"/>
  <c r="J357" i="35"/>
  <c r="K357" i="35"/>
  <c r="G460" i="35"/>
  <c r="G462" i="35"/>
  <c r="I462" i="35"/>
  <c r="J462" i="35"/>
  <c r="K462" i="35"/>
  <c r="G256" i="35"/>
  <c r="I256" i="35"/>
  <c r="J256" i="35"/>
  <c r="K256" i="35"/>
  <c r="G31" i="35"/>
  <c r="I31" i="35"/>
  <c r="J31" i="35"/>
  <c r="K31" i="35"/>
  <c r="G486" i="35"/>
  <c r="I486" i="35"/>
  <c r="J486" i="35"/>
  <c r="K486" i="35"/>
  <c r="G270" i="35"/>
  <c r="I270" i="35"/>
  <c r="J270" i="35"/>
  <c r="K270" i="35"/>
  <c r="D232" i="35"/>
  <c r="G469" i="35"/>
  <c r="I469" i="35"/>
  <c r="J469" i="35"/>
  <c r="K469" i="35"/>
  <c r="D188" i="35"/>
  <c r="D336" i="35"/>
  <c r="I577" i="35"/>
  <c r="J577" i="35"/>
  <c r="K577" i="35"/>
  <c r="E148" i="35"/>
  <c r="G415" i="23"/>
  <c r="I415" i="23"/>
  <c r="J415" i="23"/>
  <c r="K415" i="23"/>
  <c r="G544" i="23"/>
  <c r="I544" i="23"/>
  <c r="J544" i="23"/>
  <c r="K544" i="23"/>
  <c r="G159" i="23"/>
  <c r="I159" i="23"/>
  <c r="J159" i="23"/>
  <c r="K159" i="23"/>
  <c r="G28" i="23"/>
  <c r="I28" i="23"/>
  <c r="J28" i="23"/>
  <c r="K28" i="23"/>
  <c r="G713" i="23"/>
  <c r="I713" i="23"/>
  <c r="J713" i="23"/>
  <c r="K713" i="23"/>
  <c r="G312" i="23"/>
  <c r="I312" i="23"/>
  <c r="J312" i="23"/>
  <c r="K312" i="23"/>
  <c r="G506" i="23"/>
  <c r="I506" i="23"/>
  <c r="J506" i="23"/>
  <c r="K506" i="23"/>
  <c r="G578" i="23"/>
  <c r="I578" i="23"/>
  <c r="J578" i="23"/>
  <c r="K578" i="23"/>
  <c r="G812" i="23"/>
  <c r="I812" i="23"/>
  <c r="J812" i="23"/>
  <c r="K812" i="23"/>
  <c r="K3" i="25"/>
  <c r="L3" i="25"/>
  <c r="K4" i="25"/>
  <c r="L4" i="25"/>
  <c r="K5" i="25"/>
  <c r="L5" i="25"/>
  <c r="K6" i="25"/>
  <c r="L6" i="25"/>
  <c r="K7" i="25"/>
  <c r="L7" i="25"/>
  <c r="K8" i="25"/>
  <c r="L8" i="25"/>
  <c r="K9" i="25"/>
  <c r="L9" i="25"/>
  <c r="K10" i="25"/>
  <c r="L10" i="25"/>
  <c r="K11" i="25"/>
  <c r="L11" i="25"/>
  <c r="K12" i="25"/>
  <c r="L12" i="25"/>
  <c r="K13" i="25"/>
  <c r="L13" i="25"/>
  <c r="K14" i="25"/>
  <c r="L14" i="25"/>
  <c r="K15" i="25"/>
  <c r="L15" i="25"/>
  <c r="K16" i="25"/>
  <c r="L16" i="25"/>
  <c r="K17" i="25"/>
  <c r="L17" i="25"/>
  <c r="K18" i="25"/>
  <c r="L18" i="25"/>
  <c r="K19" i="25"/>
  <c r="L19" i="25"/>
  <c r="K20" i="25"/>
  <c r="L20" i="25"/>
  <c r="K21" i="25"/>
  <c r="L21" i="25"/>
  <c r="K22" i="25"/>
  <c r="L22" i="25"/>
  <c r="K23" i="25"/>
  <c r="L23" i="25"/>
  <c r="K24" i="25"/>
  <c r="L24" i="25"/>
  <c r="K25" i="25"/>
  <c r="L25" i="25"/>
  <c r="K26" i="25"/>
  <c r="L26" i="25"/>
  <c r="K27" i="25"/>
  <c r="L27" i="25"/>
  <c r="K28" i="25"/>
  <c r="L28" i="25"/>
  <c r="K29" i="25"/>
  <c r="L29" i="25"/>
  <c r="K30" i="25"/>
  <c r="L30" i="25"/>
  <c r="K31" i="25"/>
  <c r="L31" i="25"/>
  <c r="K32" i="25"/>
  <c r="L32" i="25"/>
  <c r="K33" i="25"/>
  <c r="L33" i="25"/>
  <c r="K34" i="25"/>
  <c r="L34" i="25"/>
  <c r="K35" i="25"/>
  <c r="L35" i="25"/>
  <c r="K36" i="25"/>
  <c r="L36" i="25"/>
  <c r="K37" i="25"/>
  <c r="L37" i="25"/>
  <c r="K38" i="25"/>
  <c r="L38" i="25"/>
  <c r="K39" i="25"/>
  <c r="L39" i="25"/>
  <c r="K40" i="25"/>
  <c r="L40" i="25"/>
  <c r="K41" i="25"/>
  <c r="L41" i="25"/>
  <c r="K42" i="25"/>
  <c r="L42" i="25"/>
  <c r="K43" i="25"/>
  <c r="L43" i="25"/>
  <c r="K44" i="25"/>
  <c r="L44" i="25"/>
  <c r="K45" i="25"/>
  <c r="L45" i="25"/>
  <c r="K46" i="25"/>
  <c r="L46" i="25"/>
  <c r="K47" i="25"/>
  <c r="L47" i="25"/>
  <c r="K48" i="25"/>
  <c r="L48" i="25"/>
  <c r="K49" i="25"/>
  <c r="L49" i="25"/>
  <c r="K50" i="25"/>
  <c r="L50" i="25"/>
  <c r="K51" i="25"/>
  <c r="L51" i="25"/>
  <c r="K52" i="25"/>
  <c r="L52" i="25"/>
  <c r="K53" i="25"/>
  <c r="L53" i="25"/>
  <c r="K54" i="25"/>
  <c r="L54" i="25"/>
  <c r="K55" i="25"/>
  <c r="L55" i="25"/>
  <c r="K56" i="25"/>
  <c r="L56" i="25"/>
  <c r="K57" i="25"/>
  <c r="L57" i="25"/>
  <c r="K58" i="25"/>
  <c r="L58" i="25"/>
  <c r="K59" i="25"/>
  <c r="L59" i="25"/>
  <c r="K60" i="25"/>
  <c r="L60" i="25"/>
  <c r="K61" i="25"/>
  <c r="L61" i="25"/>
  <c r="K62" i="25"/>
  <c r="L62" i="25"/>
  <c r="K63" i="25"/>
  <c r="L63" i="25"/>
  <c r="K64" i="25"/>
  <c r="L64" i="25"/>
  <c r="K65" i="25"/>
  <c r="L65" i="25"/>
  <c r="K66" i="25"/>
  <c r="L66" i="25"/>
  <c r="K67" i="25"/>
  <c r="L67" i="25"/>
  <c r="K68" i="25"/>
  <c r="L68" i="25"/>
  <c r="K69" i="25"/>
  <c r="L69" i="25"/>
  <c r="K70" i="25"/>
  <c r="L70" i="25"/>
  <c r="K71" i="25"/>
  <c r="L71" i="25"/>
  <c r="K72" i="25"/>
  <c r="L72" i="25"/>
  <c r="K73" i="25"/>
  <c r="L73" i="25"/>
  <c r="K74" i="25"/>
  <c r="L74" i="25"/>
  <c r="K75" i="25"/>
  <c r="L75" i="25"/>
  <c r="K76" i="25"/>
  <c r="L76" i="25"/>
  <c r="K77" i="25"/>
  <c r="L77" i="25"/>
  <c r="K78" i="25"/>
  <c r="L78" i="25"/>
  <c r="K79" i="25"/>
  <c r="L79" i="25"/>
  <c r="K80" i="25"/>
  <c r="L80" i="25"/>
  <c r="K81" i="25"/>
  <c r="L81" i="25"/>
  <c r="K82" i="25"/>
  <c r="L82" i="25"/>
  <c r="K83" i="25"/>
  <c r="L83" i="25"/>
  <c r="K84" i="25"/>
  <c r="L84" i="25"/>
  <c r="K85" i="25"/>
  <c r="L85" i="25"/>
  <c r="K86" i="25"/>
  <c r="L86" i="25"/>
  <c r="K87" i="25"/>
  <c r="L87" i="25"/>
  <c r="K88" i="25"/>
  <c r="L88" i="25"/>
  <c r="K89" i="25"/>
  <c r="L89" i="25"/>
  <c r="K90" i="25"/>
  <c r="L90" i="25"/>
  <c r="K91" i="25"/>
  <c r="L91" i="25"/>
  <c r="K92" i="25"/>
  <c r="L92" i="25"/>
  <c r="K93" i="25"/>
  <c r="L93" i="25"/>
  <c r="K94" i="25"/>
  <c r="L94" i="25"/>
  <c r="K95" i="25"/>
  <c r="L95" i="25"/>
  <c r="K96" i="25"/>
  <c r="L96" i="25"/>
  <c r="K97" i="25"/>
  <c r="L97" i="25"/>
  <c r="K98" i="25"/>
  <c r="L98" i="25"/>
  <c r="K99" i="25"/>
  <c r="L99" i="25"/>
  <c r="K100" i="25"/>
  <c r="L100" i="25"/>
  <c r="K101" i="25"/>
  <c r="L101" i="25"/>
  <c r="K102" i="25"/>
  <c r="L102" i="25"/>
  <c r="K103" i="25"/>
  <c r="L103" i="25"/>
  <c r="K104" i="25"/>
  <c r="L104" i="25"/>
  <c r="K105" i="25"/>
  <c r="L105" i="25"/>
  <c r="K106" i="25"/>
  <c r="L106" i="25"/>
  <c r="K107" i="25"/>
  <c r="L107" i="25"/>
  <c r="K108" i="25"/>
  <c r="L108" i="25"/>
  <c r="K109" i="25"/>
  <c r="L109" i="25"/>
  <c r="K110" i="25"/>
  <c r="L110" i="25"/>
  <c r="K111" i="25"/>
  <c r="L111" i="25"/>
  <c r="K112" i="25"/>
  <c r="L112" i="25"/>
  <c r="K113" i="25"/>
  <c r="L113" i="25"/>
  <c r="K114" i="25"/>
  <c r="L114" i="25"/>
  <c r="K115" i="25"/>
  <c r="L115" i="25"/>
  <c r="K116" i="25"/>
  <c r="L116" i="25"/>
  <c r="K117" i="25"/>
  <c r="L117" i="25"/>
  <c r="K118" i="25"/>
  <c r="L118" i="25"/>
  <c r="K119" i="25"/>
  <c r="L119" i="25"/>
  <c r="K120" i="25"/>
  <c r="L120" i="25"/>
  <c r="K121" i="25"/>
  <c r="L121" i="25"/>
  <c r="K122" i="25"/>
  <c r="L122" i="25"/>
  <c r="K123" i="25"/>
  <c r="L123" i="25"/>
  <c r="K124" i="25"/>
  <c r="L124" i="25"/>
  <c r="K125" i="25"/>
  <c r="L125" i="25"/>
  <c r="K126" i="25"/>
  <c r="L126" i="25"/>
  <c r="K127" i="25"/>
  <c r="L127" i="25"/>
  <c r="K128" i="25"/>
  <c r="L128" i="25"/>
  <c r="K129" i="25"/>
  <c r="L129" i="25"/>
  <c r="K130" i="25"/>
  <c r="L130" i="25"/>
  <c r="K131" i="25"/>
  <c r="L131" i="25"/>
  <c r="K132" i="25"/>
  <c r="L132" i="25"/>
  <c r="K133" i="25"/>
  <c r="L133" i="25"/>
  <c r="K134" i="25"/>
  <c r="L134" i="25"/>
  <c r="K135" i="25"/>
  <c r="L135" i="25"/>
  <c r="K136" i="25"/>
  <c r="L136" i="25"/>
  <c r="K137" i="25"/>
  <c r="L137" i="25"/>
  <c r="K138" i="25"/>
  <c r="L138" i="25"/>
  <c r="K139" i="25"/>
  <c r="L139" i="25"/>
  <c r="K140" i="25"/>
  <c r="L140" i="25"/>
  <c r="K141" i="25"/>
  <c r="L141" i="25"/>
  <c r="K142" i="25"/>
  <c r="L142" i="25"/>
  <c r="K143" i="25"/>
  <c r="L143" i="25"/>
  <c r="K144" i="25"/>
  <c r="L144" i="25"/>
  <c r="K145" i="25"/>
  <c r="L145" i="25"/>
  <c r="K146" i="25"/>
  <c r="L146" i="25"/>
  <c r="K147" i="25"/>
  <c r="L147" i="25"/>
  <c r="K148" i="25"/>
  <c r="L148" i="25"/>
  <c r="K149" i="25"/>
  <c r="L149" i="25"/>
  <c r="K150" i="25"/>
  <c r="L150" i="25"/>
  <c r="K151" i="25"/>
  <c r="L151" i="25"/>
  <c r="K152" i="25"/>
  <c r="L152" i="25"/>
  <c r="K153" i="25"/>
  <c r="L153" i="25"/>
  <c r="K154" i="25"/>
  <c r="L154" i="25"/>
  <c r="K155" i="25"/>
  <c r="L155" i="25"/>
  <c r="K156" i="25"/>
  <c r="L156" i="25"/>
  <c r="K157" i="25"/>
  <c r="L157" i="25"/>
  <c r="K158" i="25"/>
  <c r="L158" i="25"/>
  <c r="K159" i="25"/>
  <c r="L159" i="25"/>
  <c r="K160" i="25"/>
  <c r="L160" i="25"/>
  <c r="K161" i="25"/>
  <c r="L161" i="25"/>
  <c r="K162" i="25"/>
  <c r="L162" i="25"/>
  <c r="K163" i="25"/>
  <c r="L163" i="25"/>
  <c r="K164" i="25"/>
  <c r="L164" i="25"/>
  <c r="K165" i="25"/>
  <c r="L165" i="25"/>
  <c r="K166" i="25"/>
  <c r="L166" i="25"/>
  <c r="K167" i="25"/>
  <c r="L167" i="25"/>
  <c r="K168" i="25"/>
  <c r="L168" i="25"/>
  <c r="K169" i="25"/>
  <c r="L169" i="25"/>
  <c r="K170" i="25"/>
  <c r="L170" i="25"/>
  <c r="K171" i="25"/>
  <c r="L171" i="25"/>
  <c r="K172" i="25"/>
  <c r="L172" i="25"/>
  <c r="K173" i="25"/>
  <c r="L173" i="25"/>
  <c r="K174" i="25"/>
  <c r="L174" i="25"/>
  <c r="K175" i="25"/>
  <c r="L175" i="25"/>
  <c r="K176" i="25"/>
  <c r="L176" i="25"/>
  <c r="K177" i="25"/>
  <c r="L177" i="25"/>
  <c r="K178" i="25"/>
  <c r="L178" i="25"/>
  <c r="K179" i="25"/>
  <c r="L179" i="25"/>
  <c r="K180" i="25"/>
  <c r="L180" i="25"/>
  <c r="K181" i="25"/>
  <c r="L181" i="25"/>
  <c r="K182" i="25"/>
  <c r="L182" i="25"/>
  <c r="K183" i="25"/>
  <c r="L183" i="25"/>
  <c r="K184" i="25"/>
  <c r="L184" i="25"/>
  <c r="K185" i="25"/>
  <c r="L185" i="25"/>
  <c r="K186" i="25"/>
  <c r="L186" i="25"/>
  <c r="K187" i="25"/>
  <c r="L187" i="25"/>
  <c r="K188" i="25"/>
  <c r="L188" i="25"/>
  <c r="K189" i="25"/>
  <c r="L189" i="25"/>
  <c r="K190" i="25"/>
  <c r="L190" i="25"/>
  <c r="K191" i="25"/>
  <c r="L191" i="25"/>
  <c r="K192" i="25"/>
  <c r="L192" i="25"/>
  <c r="K193" i="25"/>
  <c r="L193" i="25"/>
  <c r="K194" i="25"/>
  <c r="L194" i="25"/>
  <c r="K195" i="25"/>
  <c r="L195" i="25"/>
  <c r="K196" i="25"/>
  <c r="L196" i="25"/>
  <c r="K197" i="25"/>
  <c r="L197" i="25"/>
  <c r="K198" i="25"/>
  <c r="L198" i="25"/>
  <c r="K199" i="25"/>
  <c r="L199" i="25"/>
  <c r="K200" i="25"/>
  <c r="L200" i="25"/>
  <c r="K201" i="25"/>
  <c r="L201" i="25"/>
  <c r="K202" i="25"/>
  <c r="L202" i="25"/>
  <c r="K203" i="25"/>
  <c r="L203" i="25"/>
  <c r="K204" i="25"/>
  <c r="L204" i="25"/>
  <c r="K205" i="25"/>
  <c r="L205" i="25"/>
  <c r="K206" i="25"/>
  <c r="L206" i="25"/>
  <c r="K207" i="25"/>
  <c r="L207" i="25"/>
  <c r="K208" i="25"/>
  <c r="L208" i="25"/>
  <c r="K209" i="25"/>
  <c r="L209" i="25"/>
  <c r="K210" i="25"/>
  <c r="L210" i="25"/>
  <c r="K211" i="25"/>
  <c r="L211" i="25"/>
  <c r="K212" i="25"/>
  <c r="L212" i="25"/>
  <c r="K213" i="25"/>
  <c r="L213" i="25"/>
  <c r="K214" i="25"/>
  <c r="L214" i="25"/>
  <c r="K215" i="25"/>
  <c r="L215" i="25"/>
  <c r="K216" i="25"/>
  <c r="L216" i="25"/>
  <c r="K217" i="25"/>
  <c r="L217" i="25"/>
  <c r="K218" i="25"/>
  <c r="L218" i="25"/>
  <c r="K219" i="25"/>
  <c r="L219" i="25"/>
  <c r="K220" i="25"/>
  <c r="L220" i="25"/>
  <c r="K221" i="25"/>
  <c r="L221" i="25"/>
  <c r="K222" i="25"/>
  <c r="L222" i="25"/>
  <c r="K223" i="25"/>
  <c r="L223" i="25"/>
  <c r="K224" i="25"/>
  <c r="L224" i="25"/>
  <c r="K225" i="25"/>
  <c r="L225" i="25"/>
  <c r="K226" i="25"/>
  <c r="L226" i="25"/>
  <c r="K227" i="25"/>
  <c r="L227" i="25"/>
  <c r="K228" i="25"/>
  <c r="L228" i="25"/>
  <c r="K229" i="25"/>
  <c r="L229" i="25"/>
  <c r="K230" i="25"/>
  <c r="L230" i="25"/>
  <c r="K231" i="25"/>
  <c r="L231" i="25"/>
  <c r="K232" i="25"/>
  <c r="L232" i="25"/>
  <c r="K233" i="25"/>
  <c r="L233" i="25"/>
  <c r="K234" i="25"/>
  <c r="L234" i="25"/>
  <c r="K235" i="25"/>
  <c r="L235" i="25"/>
  <c r="K236" i="25"/>
  <c r="L236" i="25"/>
  <c r="K237" i="25"/>
  <c r="L237" i="25"/>
  <c r="K238" i="25"/>
  <c r="L238" i="25"/>
  <c r="K239" i="25"/>
  <c r="L239" i="25"/>
  <c r="K240" i="25"/>
  <c r="L240" i="25"/>
  <c r="K241" i="25"/>
  <c r="L241" i="25"/>
  <c r="K242" i="25"/>
  <c r="L242" i="25"/>
  <c r="K243" i="25"/>
  <c r="L243" i="25"/>
  <c r="K244" i="25"/>
  <c r="L244" i="25"/>
  <c r="K245" i="25"/>
  <c r="L245" i="25"/>
  <c r="K246" i="25"/>
  <c r="L246" i="25"/>
  <c r="K247" i="25"/>
  <c r="L247" i="25"/>
  <c r="K248" i="25"/>
  <c r="L248" i="25"/>
  <c r="K249" i="25"/>
  <c r="L249" i="25"/>
  <c r="K250" i="25"/>
  <c r="L250" i="25"/>
  <c r="K251" i="25"/>
  <c r="L251" i="25"/>
  <c r="K252" i="25"/>
  <c r="L252" i="25"/>
  <c r="K253" i="25"/>
  <c r="L253" i="25"/>
  <c r="K254" i="25"/>
  <c r="L254" i="25"/>
  <c r="K255" i="25"/>
  <c r="L255" i="25"/>
  <c r="K256" i="25"/>
  <c r="L256" i="25"/>
  <c r="K257" i="25"/>
  <c r="L257" i="25"/>
  <c r="K258" i="25"/>
  <c r="L258" i="25"/>
  <c r="K259" i="25"/>
  <c r="L259" i="25"/>
  <c r="K260" i="25"/>
  <c r="L260" i="25"/>
  <c r="K261" i="25"/>
  <c r="L261" i="25"/>
  <c r="K262" i="25"/>
  <c r="L262" i="25"/>
  <c r="K263" i="25"/>
  <c r="L263" i="25"/>
  <c r="K264" i="25"/>
  <c r="L264" i="25"/>
  <c r="K265" i="25"/>
  <c r="L265" i="25"/>
  <c r="K266" i="25"/>
  <c r="L266" i="25"/>
  <c r="K267" i="25"/>
  <c r="L267" i="25"/>
  <c r="K268" i="25"/>
  <c r="L268" i="25"/>
  <c r="K269" i="25"/>
  <c r="L269" i="25"/>
  <c r="K270" i="25"/>
  <c r="L270" i="25"/>
  <c r="K271" i="25"/>
  <c r="L271" i="25"/>
  <c r="K272" i="25"/>
  <c r="L272" i="25"/>
  <c r="K273" i="25"/>
  <c r="L273" i="25"/>
  <c r="K274" i="25"/>
  <c r="L274" i="25"/>
  <c r="K275" i="25"/>
  <c r="L275" i="25"/>
  <c r="K276" i="25"/>
  <c r="L276" i="25"/>
  <c r="K277" i="25"/>
  <c r="L277" i="25"/>
  <c r="K278" i="25"/>
  <c r="L278" i="25"/>
  <c r="K279" i="25"/>
  <c r="L279" i="25"/>
  <c r="K280" i="25"/>
  <c r="L280" i="25"/>
  <c r="K281" i="25"/>
  <c r="L281" i="25"/>
  <c r="K282" i="25"/>
  <c r="L282" i="25"/>
  <c r="K283" i="25"/>
  <c r="L283" i="25"/>
  <c r="K284" i="25"/>
  <c r="L284" i="25"/>
  <c r="K285" i="25"/>
  <c r="L285" i="25"/>
  <c r="K286" i="25"/>
  <c r="L286" i="25"/>
  <c r="K287" i="25"/>
  <c r="L287" i="25"/>
  <c r="K288" i="25"/>
  <c r="L288" i="25"/>
  <c r="K289" i="25"/>
  <c r="L289" i="25"/>
  <c r="K290" i="25"/>
  <c r="L290" i="25"/>
  <c r="K291" i="25"/>
  <c r="L291" i="25"/>
  <c r="K292" i="25"/>
  <c r="L292" i="25"/>
  <c r="K293" i="25"/>
  <c r="L293" i="25"/>
  <c r="K294" i="25"/>
  <c r="L294" i="25"/>
  <c r="K295" i="25"/>
  <c r="L295" i="25"/>
  <c r="K296" i="25"/>
  <c r="L296" i="25"/>
  <c r="K297" i="25"/>
  <c r="L297" i="25"/>
  <c r="K298" i="25"/>
  <c r="L298" i="25"/>
  <c r="K299" i="25"/>
  <c r="L299" i="25"/>
  <c r="K300" i="25"/>
  <c r="L300" i="25"/>
  <c r="K301" i="25"/>
  <c r="L301" i="25"/>
  <c r="K302" i="25"/>
  <c r="L302" i="25"/>
  <c r="K303" i="25"/>
  <c r="L303" i="25"/>
  <c r="K304" i="25"/>
  <c r="L304" i="25"/>
  <c r="K305" i="25"/>
  <c r="L305" i="25"/>
  <c r="K306" i="25"/>
  <c r="L306" i="25"/>
  <c r="K307" i="25"/>
  <c r="L307" i="25"/>
  <c r="K308" i="25"/>
  <c r="L308" i="25"/>
  <c r="K309" i="25"/>
  <c r="L309" i="25"/>
  <c r="K310" i="25"/>
  <c r="L310" i="25"/>
  <c r="K311" i="25"/>
  <c r="L311" i="25"/>
  <c r="K312" i="25"/>
  <c r="L312" i="25"/>
  <c r="K313" i="25"/>
  <c r="L313" i="25"/>
  <c r="K314" i="25"/>
  <c r="L314" i="25"/>
  <c r="K315" i="25"/>
  <c r="L315" i="25"/>
  <c r="K316" i="25"/>
  <c r="L316" i="25"/>
  <c r="K317" i="25"/>
  <c r="L317" i="25"/>
  <c r="K318" i="25"/>
  <c r="L318" i="25"/>
  <c r="K319" i="25"/>
  <c r="L319" i="25"/>
  <c r="K320" i="25"/>
  <c r="L320" i="25"/>
  <c r="K321" i="25"/>
  <c r="L321" i="25"/>
  <c r="K322" i="25"/>
  <c r="L322" i="25"/>
  <c r="K323" i="25"/>
  <c r="L323" i="25"/>
  <c r="K324" i="25"/>
  <c r="L324" i="25"/>
  <c r="K325" i="25"/>
  <c r="L325" i="25"/>
  <c r="K326" i="25"/>
  <c r="L326" i="25"/>
  <c r="K327" i="25"/>
  <c r="L327" i="25"/>
  <c r="K328" i="25"/>
  <c r="L328" i="25"/>
  <c r="K329" i="25"/>
  <c r="L329" i="25"/>
  <c r="K330" i="25"/>
  <c r="L330" i="25"/>
  <c r="K331" i="25"/>
  <c r="L331" i="25"/>
  <c r="K332" i="25"/>
  <c r="L332" i="25"/>
  <c r="K333" i="25"/>
  <c r="L333" i="25"/>
  <c r="K334" i="25"/>
  <c r="L334" i="25"/>
  <c r="K335" i="25"/>
  <c r="L335" i="25"/>
  <c r="K336" i="25"/>
  <c r="L336" i="25"/>
  <c r="K337" i="25"/>
  <c r="L337" i="25"/>
  <c r="K338" i="25"/>
  <c r="L338" i="25"/>
  <c r="K339" i="25"/>
  <c r="L339" i="25"/>
  <c r="K340" i="25"/>
  <c r="L340" i="25"/>
  <c r="K341" i="25"/>
  <c r="L341" i="25"/>
  <c r="K342" i="25"/>
  <c r="L342" i="25"/>
  <c r="K343" i="25"/>
  <c r="L343" i="25"/>
  <c r="K344" i="25"/>
  <c r="L344" i="25"/>
  <c r="K345" i="25"/>
  <c r="L345" i="25"/>
  <c r="K346" i="25"/>
  <c r="L346" i="25"/>
  <c r="K347" i="25"/>
  <c r="L347" i="25"/>
  <c r="K348" i="25"/>
  <c r="L348" i="25"/>
  <c r="K349" i="25"/>
  <c r="L349" i="25"/>
  <c r="K350" i="25"/>
  <c r="L350" i="25"/>
  <c r="K351" i="25"/>
  <c r="L351" i="25"/>
  <c r="K352" i="25"/>
  <c r="L352" i="25"/>
  <c r="K353" i="25"/>
  <c r="L353" i="25"/>
  <c r="K354" i="25"/>
  <c r="L354" i="25"/>
  <c r="K355" i="25"/>
  <c r="L355" i="25"/>
  <c r="K356" i="25"/>
  <c r="L356" i="25"/>
  <c r="K357" i="25"/>
  <c r="L357" i="25"/>
  <c r="K358" i="25"/>
  <c r="L358" i="25"/>
  <c r="K359" i="25"/>
  <c r="L359" i="25"/>
  <c r="K360" i="25"/>
  <c r="L360" i="25"/>
  <c r="K361" i="25"/>
  <c r="L361" i="25"/>
  <c r="K362" i="25"/>
  <c r="L362" i="25"/>
  <c r="K363" i="25"/>
  <c r="L363" i="25"/>
  <c r="K364" i="25"/>
  <c r="L364" i="25"/>
  <c r="K365" i="25"/>
  <c r="L365" i="25"/>
  <c r="K366" i="25"/>
  <c r="L366" i="25"/>
  <c r="K367" i="25"/>
  <c r="L367" i="25"/>
  <c r="K368" i="25"/>
  <c r="L368" i="25"/>
  <c r="K369" i="25"/>
  <c r="L369" i="25"/>
  <c r="K370" i="25"/>
  <c r="L370" i="25"/>
  <c r="K371" i="25"/>
  <c r="L371" i="25"/>
  <c r="K372" i="25"/>
  <c r="L372" i="25"/>
  <c r="K373" i="25"/>
  <c r="L373" i="25"/>
  <c r="K374" i="25"/>
  <c r="L374" i="25"/>
  <c r="K375" i="25"/>
  <c r="L375" i="25"/>
  <c r="K376" i="25"/>
  <c r="L376" i="25"/>
  <c r="K377" i="25"/>
  <c r="L377" i="25"/>
  <c r="K378" i="25"/>
  <c r="L378" i="25"/>
  <c r="K379" i="25"/>
  <c r="L379" i="25"/>
  <c r="K380" i="25"/>
  <c r="L380" i="25"/>
  <c r="K381" i="25"/>
  <c r="L381" i="25"/>
  <c r="K382" i="25"/>
  <c r="L382" i="25"/>
  <c r="K383" i="25"/>
  <c r="L383" i="25"/>
  <c r="K384" i="25"/>
  <c r="L384" i="25"/>
  <c r="K385" i="25"/>
  <c r="L385" i="25"/>
  <c r="K386" i="25"/>
  <c r="L386" i="25"/>
  <c r="K387" i="25"/>
  <c r="L387" i="25"/>
  <c r="K388" i="25"/>
  <c r="L388" i="25"/>
  <c r="K389" i="25"/>
  <c r="L389" i="25"/>
  <c r="K390" i="25"/>
  <c r="L390" i="25"/>
  <c r="K391" i="25"/>
  <c r="L391" i="25"/>
  <c r="K392" i="25"/>
  <c r="L392" i="25"/>
  <c r="K393" i="25"/>
  <c r="L393" i="25"/>
  <c r="K394" i="25"/>
  <c r="L394" i="25"/>
  <c r="K395" i="25"/>
  <c r="L395" i="25"/>
  <c r="K396" i="25"/>
  <c r="L396" i="25"/>
  <c r="K397" i="25"/>
  <c r="L397" i="25"/>
  <c r="K398" i="25"/>
  <c r="L398" i="25"/>
  <c r="K399" i="25"/>
  <c r="L399" i="25"/>
  <c r="K400" i="25"/>
  <c r="L400" i="25"/>
  <c r="K401" i="25"/>
  <c r="L401" i="25"/>
  <c r="K402" i="25"/>
  <c r="L402" i="25"/>
  <c r="K403" i="25"/>
  <c r="L403" i="25"/>
  <c r="K404" i="25"/>
  <c r="L404" i="25"/>
  <c r="K405" i="25"/>
  <c r="L405" i="25"/>
  <c r="K406" i="25"/>
  <c r="L406" i="25"/>
  <c r="K407" i="25"/>
  <c r="L407" i="25"/>
  <c r="K408" i="25"/>
  <c r="L408" i="25"/>
  <c r="K409" i="25"/>
  <c r="L409" i="25"/>
  <c r="K410" i="25"/>
  <c r="L410" i="25"/>
  <c r="K411" i="25"/>
  <c r="L411" i="25"/>
  <c r="K412" i="25"/>
  <c r="L412" i="25"/>
  <c r="K413" i="25"/>
  <c r="L413" i="25"/>
  <c r="K414" i="25"/>
  <c r="L414" i="25"/>
  <c r="K415" i="25"/>
  <c r="L415" i="25"/>
  <c r="K416" i="25"/>
  <c r="L416" i="25"/>
  <c r="K417" i="25"/>
  <c r="L417" i="25"/>
  <c r="K418" i="25"/>
  <c r="L418" i="25"/>
  <c r="K419" i="25"/>
  <c r="L419" i="25"/>
  <c r="K420" i="25"/>
  <c r="L420" i="25"/>
  <c r="K421" i="25"/>
  <c r="L421" i="25"/>
  <c r="K422" i="25"/>
  <c r="L422" i="25"/>
  <c r="K423" i="25"/>
  <c r="L423" i="25"/>
  <c r="K424" i="25"/>
  <c r="L424" i="25"/>
  <c r="K425" i="25"/>
  <c r="L425" i="25"/>
  <c r="K426" i="25"/>
  <c r="L426" i="25"/>
  <c r="K427" i="25"/>
  <c r="L427" i="25"/>
  <c r="K428" i="25"/>
  <c r="L428" i="25"/>
  <c r="K429" i="25"/>
  <c r="L429" i="25"/>
  <c r="K430" i="25"/>
  <c r="L430" i="25"/>
  <c r="K431" i="25"/>
  <c r="L431" i="25"/>
  <c r="K432" i="25"/>
  <c r="L432" i="25"/>
  <c r="K433" i="25"/>
  <c r="L433" i="25"/>
  <c r="K434" i="25"/>
  <c r="L434" i="25"/>
  <c r="K435" i="25"/>
  <c r="L435" i="25"/>
  <c r="K436" i="25"/>
  <c r="L436" i="25"/>
  <c r="K437" i="25"/>
  <c r="L437" i="25"/>
  <c r="K438" i="25"/>
  <c r="L438" i="25"/>
  <c r="K439" i="25"/>
  <c r="L439" i="25"/>
  <c r="K440" i="25"/>
  <c r="L440" i="25"/>
  <c r="K441" i="25"/>
  <c r="L441" i="25"/>
  <c r="K442" i="25"/>
  <c r="L442" i="25"/>
  <c r="K443" i="25"/>
  <c r="L443" i="25"/>
  <c r="K444" i="25"/>
  <c r="L444" i="25"/>
  <c r="K445" i="25"/>
  <c r="L445" i="25"/>
  <c r="K446" i="25"/>
  <c r="L446" i="25"/>
  <c r="K447" i="25"/>
  <c r="L447" i="25"/>
  <c r="K448" i="25"/>
  <c r="L448" i="25"/>
  <c r="K449" i="25"/>
  <c r="L449" i="25"/>
  <c r="K450" i="25"/>
  <c r="L450" i="25"/>
  <c r="K451" i="25"/>
  <c r="L451" i="25"/>
  <c r="K452" i="25"/>
  <c r="L452" i="25"/>
  <c r="K453" i="25"/>
  <c r="L453" i="25"/>
  <c r="K454" i="25"/>
  <c r="L454" i="25"/>
  <c r="K455" i="25"/>
  <c r="L455" i="25"/>
  <c r="K456" i="25"/>
  <c r="L456" i="25"/>
  <c r="K457" i="25"/>
  <c r="L457" i="25"/>
  <c r="K458" i="25"/>
  <c r="L458" i="25"/>
  <c r="K459" i="25"/>
  <c r="L459" i="25"/>
  <c r="K460" i="25"/>
  <c r="L460" i="25"/>
  <c r="K461" i="25"/>
  <c r="L461" i="25"/>
  <c r="K462" i="25"/>
  <c r="L462" i="25"/>
  <c r="K463" i="25"/>
  <c r="L463" i="25"/>
  <c r="K464" i="25"/>
  <c r="L464" i="25"/>
  <c r="K465" i="25"/>
  <c r="L465" i="25"/>
  <c r="K466" i="25"/>
  <c r="L466" i="25"/>
  <c r="K467" i="25"/>
  <c r="L467" i="25"/>
  <c r="K468" i="25"/>
  <c r="L468" i="25"/>
  <c r="K469" i="25"/>
  <c r="L469" i="25"/>
  <c r="K470" i="25"/>
  <c r="L470" i="25"/>
  <c r="K471" i="25"/>
  <c r="L471" i="25"/>
  <c r="K472" i="25"/>
  <c r="L472" i="25"/>
  <c r="K473" i="25"/>
  <c r="L473" i="25"/>
  <c r="K474" i="25"/>
  <c r="L474" i="25"/>
  <c r="K475" i="25"/>
  <c r="L475" i="25"/>
  <c r="K476" i="25"/>
  <c r="L476" i="25"/>
  <c r="K477" i="25"/>
  <c r="L477" i="25"/>
  <c r="K478" i="25"/>
  <c r="L478" i="25"/>
  <c r="K479" i="25"/>
  <c r="L479" i="25"/>
  <c r="K480" i="25"/>
  <c r="L480" i="25"/>
  <c r="K481" i="25"/>
  <c r="L481" i="25"/>
  <c r="K482" i="25"/>
  <c r="L482" i="25"/>
  <c r="K483" i="25"/>
  <c r="L483" i="25"/>
  <c r="K484" i="25"/>
  <c r="L484" i="25"/>
  <c r="K485" i="25"/>
  <c r="L485" i="25"/>
  <c r="K486" i="25"/>
  <c r="L486" i="25"/>
  <c r="K487" i="25"/>
  <c r="L487" i="25"/>
  <c r="K488" i="25"/>
  <c r="L488" i="25"/>
  <c r="K489" i="25"/>
  <c r="L489" i="25"/>
  <c r="K490" i="25"/>
  <c r="L490" i="25"/>
  <c r="K491" i="25"/>
  <c r="L491" i="25"/>
  <c r="K492" i="25"/>
  <c r="L492" i="25"/>
  <c r="K493" i="25"/>
  <c r="L493" i="25"/>
  <c r="K494" i="25"/>
  <c r="L494" i="25"/>
  <c r="K495" i="25"/>
  <c r="L495" i="25"/>
  <c r="K496" i="25"/>
  <c r="L496" i="25"/>
  <c r="K497" i="25"/>
  <c r="L497" i="25"/>
  <c r="K498" i="25"/>
  <c r="L498" i="25"/>
  <c r="K499" i="25"/>
  <c r="L499" i="25"/>
  <c r="K500" i="25"/>
  <c r="L500" i="25"/>
  <c r="K501" i="25"/>
  <c r="L501" i="25"/>
  <c r="K502" i="25"/>
  <c r="L502" i="25"/>
  <c r="K503" i="25"/>
  <c r="L503" i="25"/>
  <c r="K504" i="25"/>
  <c r="L504" i="25"/>
  <c r="K505" i="25"/>
  <c r="L505" i="25"/>
  <c r="K506" i="25"/>
  <c r="L506" i="25"/>
  <c r="K507" i="25"/>
  <c r="L507" i="25"/>
  <c r="K508" i="25"/>
  <c r="L508" i="25"/>
  <c r="K509" i="25"/>
  <c r="L509" i="25"/>
  <c r="K510" i="25"/>
  <c r="L510" i="25"/>
  <c r="K511" i="25"/>
  <c r="L511" i="25"/>
  <c r="K512" i="25"/>
  <c r="L512" i="25"/>
  <c r="K513" i="25"/>
  <c r="L513" i="25"/>
  <c r="K514" i="25"/>
  <c r="L514" i="25"/>
  <c r="K515" i="25"/>
  <c r="L515" i="25"/>
  <c r="K516" i="25"/>
  <c r="L516" i="25"/>
  <c r="K517" i="25"/>
  <c r="L517" i="25"/>
  <c r="K518" i="25"/>
  <c r="L518" i="25"/>
  <c r="K519" i="25"/>
  <c r="L519" i="25"/>
  <c r="K520" i="25"/>
  <c r="L520" i="25"/>
  <c r="K521" i="25"/>
  <c r="L521" i="25"/>
  <c r="K522" i="25"/>
  <c r="L522" i="25"/>
  <c r="K523" i="25"/>
  <c r="L523" i="25"/>
  <c r="K524" i="25"/>
  <c r="L524" i="25"/>
  <c r="K525" i="25"/>
  <c r="L525" i="25"/>
  <c r="K526" i="25"/>
  <c r="L526" i="25"/>
  <c r="K527" i="25"/>
  <c r="L527" i="25"/>
  <c r="K528" i="25"/>
  <c r="L528" i="25"/>
  <c r="K529" i="25"/>
  <c r="L529" i="25"/>
  <c r="K530" i="25"/>
  <c r="L530" i="25"/>
  <c r="K531" i="25"/>
  <c r="L531" i="25"/>
  <c r="K532" i="25"/>
  <c r="L532" i="25"/>
  <c r="K533" i="25"/>
  <c r="L533" i="25"/>
  <c r="K534" i="25"/>
  <c r="L534" i="25"/>
  <c r="K535" i="25"/>
  <c r="L535" i="25"/>
  <c r="K536" i="25"/>
  <c r="L536" i="25"/>
  <c r="K537" i="25"/>
  <c r="L537" i="25"/>
  <c r="K538" i="25"/>
  <c r="L538" i="25"/>
  <c r="K539" i="25"/>
  <c r="L539" i="25"/>
  <c r="K540" i="25"/>
  <c r="L540" i="25"/>
  <c r="K541" i="25"/>
  <c r="L541" i="25"/>
  <c r="K542" i="25"/>
  <c r="L542" i="25"/>
  <c r="K543" i="25"/>
  <c r="L543" i="25"/>
  <c r="K544" i="25"/>
  <c r="L544" i="25"/>
  <c r="K545" i="25"/>
  <c r="L545" i="25"/>
  <c r="K546" i="25"/>
  <c r="L546" i="25"/>
  <c r="K547" i="25"/>
  <c r="L547" i="25"/>
  <c r="K548" i="25"/>
  <c r="L548" i="25"/>
  <c r="K549" i="25"/>
  <c r="L549" i="25"/>
  <c r="K550" i="25"/>
  <c r="L550" i="25"/>
  <c r="K551" i="25"/>
  <c r="L551" i="25"/>
  <c r="K552" i="25"/>
  <c r="L552" i="25"/>
  <c r="K553" i="25"/>
  <c r="L553" i="25"/>
  <c r="K554" i="25"/>
  <c r="L554" i="25"/>
  <c r="K555" i="25"/>
  <c r="L555" i="25"/>
  <c r="K556" i="25"/>
  <c r="L556" i="25"/>
  <c r="K557" i="25"/>
  <c r="L557" i="25"/>
  <c r="K558" i="25"/>
  <c r="L558" i="25"/>
  <c r="K559" i="25"/>
  <c r="L559" i="25"/>
  <c r="K560" i="25"/>
  <c r="L560" i="25"/>
  <c r="K561" i="25"/>
  <c r="L561" i="25"/>
  <c r="K562" i="25"/>
  <c r="L562" i="25"/>
  <c r="K563" i="25"/>
  <c r="L563" i="25"/>
  <c r="K564" i="25"/>
  <c r="L564" i="25"/>
  <c r="K565" i="25"/>
  <c r="L565" i="25"/>
  <c r="K566" i="25"/>
  <c r="L566" i="25"/>
  <c r="K567" i="25"/>
  <c r="L567" i="25"/>
  <c r="K568" i="25"/>
  <c r="L568" i="25"/>
  <c r="K569" i="25"/>
  <c r="L569" i="25"/>
  <c r="K570" i="25"/>
  <c r="L570" i="25"/>
  <c r="K571" i="25"/>
  <c r="L571" i="25"/>
  <c r="K572" i="25"/>
  <c r="L572" i="25"/>
  <c r="K573" i="25"/>
  <c r="L573" i="25"/>
  <c r="K574" i="25"/>
  <c r="L574" i="25"/>
  <c r="K575" i="25"/>
  <c r="L575" i="25"/>
  <c r="K576" i="25"/>
  <c r="L576" i="25"/>
  <c r="K577" i="25"/>
  <c r="L577" i="25"/>
  <c r="K578" i="25"/>
  <c r="L578" i="25"/>
  <c r="K579" i="25"/>
  <c r="L579" i="25"/>
  <c r="K580" i="25"/>
  <c r="L580" i="25"/>
  <c r="K581" i="25"/>
  <c r="L581" i="25"/>
  <c r="K582" i="25"/>
  <c r="L582" i="25"/>
  <c r="K583" i="25"/>
  <c r="L583" i="25"/>
  <c r="K584" i="25"/>
  <c r="L584" i="25"/>
  <c r="K585" i="25"/>
  <c r="L585" i="25"/>
  <c r="K586" i="25"/>
  <c r="L586" i="25"/>
  <c r="K587" i="25"/>
  <c r="L587" i="25"/>
  <c r="K588" i="25"/>
  <c r="L588" i="25"/>
  <c r="K589" i="25"/>
  <c r="L589" i="25"/>
  <c r="K590" i="25"/>
  <c r="L590" i="25"/>
  <c r="K591" i="25"/>
  <c r="L591" i="25"/>
  <c r="K592" i="25"/>
  <c r="L592" i="25"/>
  <c r="K593" i="25"/>
  <c r="L593" i="25"/>
  <c r="K594" i="25"/>
  <c r="L594" i="25"/>
  <c r="K595" i="25"/>
  <c r="L595" i="25"/>
  <c r="K596" i="25"/>
  <c r="L596" i="25"/>
  <c r="K597" i="25"/>
  <c r="L597" i="25"/>
  <c r="K598" i="25"/>
  <c r="L598" i="25"/>
  <c r="K599" i="25"/>
  <c r="L599" i="25"/>
  <c r="K600" i="25"/>
  <c r="L600" i="25"/>
  <c r="K601" i="25"/>
  <c r="L601" i="25"/>
  <c r="K602" i="25"/>
  <c r="L602" i="25"/>
  <c r="K603" i="25"/>
  <c r="L603" i="25"/>
  <c r="K604" i="25"/>
  <c r="L604" i="25"/>
  <c r="K605" i="25"/>
  <c r="L605" i="25"/>
  <c r="K606" i="25"/>
  <c r="L606" i="25"/>
  <c r="K607" i="25"/>
  <c r="L607" i="25"/>
  <c r="K608" i="25"/>
  <c r="L608" i="25"/>
  <c r="K609" i="25"/>
  <c r="L609" i="25"/>
  <c r="K610" i="25"/>
  <c r="L610" i="25"/>
  <c r="K611" i="25"/>
  <c r="L611" i="25"/>
  <c r="K612" i="25"/>
  <c r="L612" i="25"/>
  <c r="K613" i="25"/>
  <c r="L613" i="25"/>
  <c r="K614" i="25"/>
  <c r="L614" i="25"/>
  <c r="K615" i="25"/>
  <c r="L615" i="25"/>
  <c r="K616" i="25"/>
  <c r="L616" i="25"/>
  <c r="K617" i="25"/>
  <c r="L617" i="25"/>
  <c r="K618" i="25"/>
  <c r="L618" i="25"/>
  <c r="K619" i="25"/>
  <c r="L619" i="25"/>
  <c r="K620" i="25"/>
  <c r="L620" i="25"/>
  <c r="K621" i="25"/>
  <c r="L621" i="25"/>
  <c r="K622" i="25"/>
  <c r="L622" i="25"/>
  <c r="K623" i="25"/>
  <c r="L623" i="25"/>
  <c r="K624" i="25"/>
  <c r="L624" i="25"/>
  <c r="K625" i="25"/>
  <c r="L625" i="25"/>
  <c r="K626" i="25"/>
  <c r="L626" i="25"/>
  <c r="K627" i="25"/>
  <c r="L627" i="25"/>
  <c r="K628" i="25"/>
  <c r="L628" i="25"/>
  <c r="K629" i="25"/>
  <c r="L629" i="25"/>
  <c r="K630" i="25"/>
  <c r="L630" i="25"/>
  <c r="K631" i="25"/>
  <c r="L631" i="25"/>
  <c r="K632" i="25"/>
  <c r="L632" i="25"/>
  <c r="K633" i="25"/>
  <c r="L633" i="25"/>
  <c r="K634" i="25"/>
  <c r="L634" i="25"/>
  <c r="K635" i="25"/>
  <c r="L635" i="25"/>
  <c r="K636" i="25"/>
  <c r="L636" i="25"/>
  <c r="K637" i="25"/>
  <c r="L637" i="25"/>
  <c r="K638" i="25"/>
  <c r="L638" i="25"/>
  <c r="K640" i="25"/>
  <c r="L640" i="25"/>
  <c r="K641" i="25"/>
  <c r="L641" i="25"/>
  <c r="K642" i="25"/>
  <c r="L642" i="25"/>
  <c r="K643" i="25"/>
  <c r="L643" i="25"/>
  <c r="K644" i="25"/>
  <c r="L644" i="25"/>
  <c r="K645" i="25"/>
  <c r="L645" i="25"/>
  <c r="K646" i="25"/>
  <c r="L646" i="25"/>
  <c r="K647" i="25"/>
  <c r="L647" i="25"/>
  <c r="K648" i="25"/>
  <c r="L648" i="25"/>
  <c r="K649" i="25"/>
  <c r="L649" i="25"/>
  <c r="K650" i="25"/>
  <c r="L650" i="25"/>
  <c r="K651" i="25"/>
  <c r="L651" i="25"/>
  <c r="K652" i="25"/>
  <c r="L652" i="25"/>
  <c r="K653" i="25"/>
  <c r="L653" i="25"/>
  <c r="K654" i="25"/>
  <c r="L654" i="25"/>
  <c r="K655" i="25"/>
  <c r="L655" i="25"/>
  <c r="K656" i="25"/>
  <c r="L656" i="25"/>
  <c r="K657" i="25"/>
  <c r="L657" i="25"/>
  <c r="K658" i="25"/>
  <c r="L658" i="25"/>
  <c r="K659" i="25"/>
  <c r="L659" i="25"/>
  <c r="K660" i="25"/>
  <c r="L660" i="25"/>
  <c r="K661" i="25"/>
  <c r="L661" i="25"/>
  <c r="K662" i="25"/>
  <c r="L662" i="25"/>
  <c r="K663" i="25"/>
  <c r="L663" i="25"/>
  <c r="K664" i="25"/>
  <c r="L664" i="25"/>
  <c r="K665" i="25"/>
  <c r="L665" i="25"/>
  <c r="K666" i="25"/>
  <c r="L666" i="25"/>
  <c r="K667" i="25"/>
  <c r="L667" i="25"/>
  <c r="K668" i="25"/>
  <c r="L668" i="25"/>
  <c r="K669" i="25"/>
  <c r="L669" i="25"/>
  <c r="K670" i="25"/>
  <c r="L670" i="25"/>
  <c r="K671" i="25"/>
  <c r="L671" i="25"/>
  <c r="K672" i="25"/>
  <c r="L672" i="25"/>
  <c r="K673" i="25"/>
  <c r="L673" i="25"/>
  <c r="K674" i="25"/>
  <c r="L674" i="25"/>
  <c r="K675" i="25"/>
  <c r="L675" i="25"/>
  <c r="K676" i="25"/>
  <c r="L676" i="25"/>
  <c r="K677" i="25"/>
  <c r="L677" i="25"/>
  <c r="K678" i="25"/>
  <c r="L678" i="25"/>
  <c r="K679" i="25"/>
  <c r="L679" i="25"/>
  <c r="K680" i="25"/>
  <c r="L680" i="25"/>
  <c r="K681" i="25"/>
  <c r="L681" i="25"/>
  <c r="K682" i="25"/>
  <c r="L682" i="25"/>
  <c r="K683" i="25"/>
  <c r="L683" i="25"/>
  <c r="K684" i="25"/>
  <c r="L684" i="25"/>
  <c r="K685" i="25"/>
  <c r="L685" i="25"/>
  <c r="K686" i="25"/>
  <c r="L686" i="25"/>
  <c r="K687" i="25"/>
  <c r="L687" i="25"/>
  <c r="K688" i="25"/>
  <c r="L688" i="25"/>
  <c r="K689" i="25"/>
  <c r="L689" i="25"/>
  <c r="K690" i="25"/>
  <c r="L690" i="25"/>
  <c r="K691" i="25"/>
  <c r="L691" i="25"/>
  <c r="K692" i="25"/>
  <c r="L692" i="25"/>
  <c r="K693" i="25"/>
  <c r="L693" i="25"/>
  <c r="K694" i="25"/>
  <c r="L694" i="25"/>
  <c r="K695" i="25"/>
  <c r="L695" i="25"/>
  <c r="K696" i="25"/>
  <c r="L696" i="25"/>
  <c r="K697" i="25"/>
  <c r="L697" i="25"/>
  <c r="K698" i="25"/>
  <c r="L698" i="25"/>
  <c r="K699" i="25"/>
  <c r="L699" i="25"/>
  <c r="K700" i="25"/>
  <c r="L700" i="25"/>
  <c r="K701" i="25"/>
  <c r="L701" i="25"/>
  <c r="K702" i="25"/>
  <c r="L702" i="25"/>
  <c r="K703" i="25"/>
  <c r="L703" i="25"/>
  <c r="K704" i="25"/>
  <c r="L704" i="25"/>
  <c r="K705" i="25"/>
  <c r="L705" i="25"/>
  <c r="K706" i="25"/>
  <c r="L706" i="25"/>
  <c r="K707" i="25"/>
  <c r="L707" i="25"/>
  <c r="K708" i="25"/>
  <c r="L708" i="25"/>
  <c r="K709" i="25"/>
  <c r="L709" i="25"/>
  <c r="K710" i="25"/>
  <c r="L710" i="25"/>
  <c r="K711" i="25"/>
  <c r="L711" i="25"/>
  <c r="K712" i="25"/>
  <c r="L712" i="25"/>
  <c r="K713" i="25"/>
  <c r="L713" i="25"/>
  <c r="K714" i="25"/>
  <c r="L714" i="25"/>
  <c r="K715" i="25"/>
  <c r="L715" i="25"/>
  <c r="K716" i="25"/>
  <c r="L716" i="25"/>
  <c r="K717" i="25"/>
  <c r="L717" i="25"/>
  <c r="K718" i="25"/>
  <c r="L718" i="25"/>
  <c r="K719" i="25"/>
  <c r="L719" i="25"/>
  <c r="K720" i="25"/>
  <c r="L720" i="25"/>
  <c r="K721" i="25"/>
  <c r="L721" i="25"/>
  <c r="K722" i="25"/>
  <c r="L722" i="25"/>
  <c r="K723" i="25"/>
  <c r="L723" i="25"/>
  <c r="K724" i="25"/>
  <c r="L724" i="25"/>
  <c r="K725" i="25"/>
  <c r="L725" i="25"/>
  <c r="K726" i="25"/>
  <c r="L726" i="25"/>
  <c r="K727" i="25"/>
  <c r="L727" i="25"/>
  <c r="K728" i="25"/>
  <c r="L728" i="25"/>
  <c r="K729" i="25"/>
  <c r="L729" i="25"/>
  <c r="K730" i="25"/>
  <c r="L730" i="25"/>
  <c r="K731" i="25"/>
  <c r="L731" i="25"/>
  <c r="K732" i="25"/>
  <c r="L732" i="25"/>
  <c r="K733" i="25"/>
  <c r="L733" i="25"/>
  <c r="K734" i="25"/>
  <c r="L734" i="25"/>
  <c r="K735" i="25"/>
  <c r="L735" i="25"/>
  <c r="K736" i="25"/>
  <c r="L736" i="25"/>
  <c r="K737" i="25"/>
  <c r="L737" i="25"/>
  <c r="K738" i="25"/>
  <c r="L738" i="25"/>
  <c r="K739" i="25"/>
  <c r="L739" i="25"/>
  <c r="K740" i="25"/>
  <c r="L740" i="25"/>
  <c r="K741" i="25"/>
  <c r="L741" i="25"/>
  <c r="K742" i="25"/>
  <c r="L742" i="25"/>
  <c r="K743" i="25"/>
  <c r="L743" i="25"/>
  <c r="K744" i="25"/>
  <c r="L744" i="25"/>
  <c r="K745" i="25"/>
  <c r="L745" i="25"/>
  <c r="K746" i="25"/>
  <c r="L746" i="25"/>
  <c r="K747" i="25"/>
  <c r="L747" i="25"/>
  <c r="K748" i="25"/>
  <c r="L748" i="25"/>
  <c r="K749" i="25"/>
  <c r="L749" i="25"/>
  <c r="K750" i="25"/>
  <c r="L750" i="25"/>
  <c r="K751" i="25"/>
  <c r="L751" i="25"/>
  <c r="K752" i="25"/>
  <c r="L752" i="25"/>
  <c r="K753" i="25"/>
  <c r="L753" i="25"/>
  <c r="K754" i="25"/>
  <c r="L754" i="25"/>
  <c r="K755" i="25"/>
  <c r="L755" i="25"/>
  <c r="K756" i="25"/>
  <c r="L756" i="25"/>
  <c r="K757" i="25"/>
  <c r="L757" i="25"/>
  <c r="K758" i="25"/>
  <c r="L758" i="25"/>
  <c r="K759" i="25"/>
  <c r="L759" i="25"/>
  <c r="K760" i="25"/>
  <c r="L760" i="25"/>
  <c r="K761" i="25"/>
  <c r="L761" i="25"/>
  <c r="K762" i="25"/>
  <c r="L762" i="25"/>
  <c r="K763" i="25"/>
  <c r="L763" i="25"/>
  <c r="K764" i="25"/>
  <c r="L764" i="25"/>
  <c r="K765" i="25"/>
  <c r="L765" i="25"/>
  <c r="K766" i="25"/>
  <c r="L766" i="25"/>
  <c r="K767" i="25"/>
  <c r="L767" i="25"/>
  <c r="K768" i="25"/>
  <c r="L768" i="25"/>
  <c r="K769" i="25"/>
  <c r="L769" i="25"/>
  <c r="K770" i="25"/>
  <c r="L770" i="25"/>
  <c r="K771" i="25"/>
  <c r="L771" i="25"/>
  <c r="K772" i="25"/>
  <c r="L772" i="25"/>
  <c r="K773" i="25"/>
  <c r="L773" i="25"/>
  <c r="K774" i="25"/>
  <c r="L774" i="25"/>
  <c r="K775" i="25"/>
  <c r="L775" i="25"/>
  <c r="K776" i="25"/>
  <c r="L776" i="25"/>
  <c r="K777" i="25"/>
  <c r="L777" i="25"/>
  <c r="K778" i="25"/>
  <c r="L778" i="25"/>
  <c r="K779" i="25"/>
  <c r="L779" i="25"/>
  <c r="K780" i="25"/>
  <c r="L780" i="25"/>
  <c r="K781" i="25"/>
  <c r="L781" i="25"/>
  <c r="K782" i="25"/>
  <c r="L782" i="25"/>
  <c r="K783" i="25"/>
  <c r="L783" i="25"/>
  <c r="K784" i="25"/>
  <c r="L784" i="25"/>
  <c r="K785" i="25"/>
  <c r="L785" i="25"/>
  <c r="K786" i="25"/>
  <c r="L786" i="25"/>
  <c r="K787" i="25"/>
  <c r="L787" i="25"/>
  <c r="K788" i="25"/>
  <c r="L788" i="25"/>
  <c r="K789" i="25"/>
  <c r="L789" i="25"/>
  <c r="K790" i="25"/>
  <c r="L790" i="25"/>
  <c r="K791" i="25"/>
  <c r="L791" i="25"/>
  <c r="K792" i="25"/>
  <c r="L792" i="25"/>
  <c r="K793" i="25"/>
  <c r="L793" i="25"/>
  <c r="K794" i="25"/>
  <c r="L794" i="25"/>
  <c r="K795" i="25"/>
  <c r="L795" i="25"/>
  <c r="K796" i="25"/>
  <c r="L796" i="25"/>
  <c r="K797" i="25"/>
  <c r="L797" i="25"/>
  <c r="K798" i="25"/>
  <c r="L798" i="25"/>
  <c r="K799" i="25"/>
  <c r="L799" i="25"/>
  <c r="K800" i="25"/>
  <c r="L800" i="25"/>
  <c r="K801" i="25"/>
  <c r="L801" i="25"/>
  <c r="K802" i="25"/>
  <c r="L802" i="25"/>
  <c r="K803" i="25"/>
  <c r="L803" i="25"/>
  <c r="K804" i="25"/>
  <c r="L804" i="25"/>
  <c r="K805" i="25"/>
  <c r="L805" i="25"/>
  <c r="K806" i="25"/>
  <c r="L806" i="25"/>
  <c r="K807" i="25"/>
  <c r="L807" i="25"/>
  <c r="K808" i="25"/>
  <c r="L808" i="25"/>
  <c r="K809" i="25"/>
  <c r="L809" i="25"/>
  <c r="K810" i="25"/>
  <c r="L810" i="25"/>
  <c r="K811" i="25"/>
  <c r="L811" i="25"/>
  <c r="K812" i="25"/>
  <c r="L812" i="25"/>
  <c r="K813" i="25"/>
  <c r="L813" i="25"/>
  <c r="K814" i="25"/>
  <c r="L814" i="25"/>
  <c r="K815" i="25"/>
  <c r="L815" i="25"/>
  <c r="K816" i="25"/>
  <c r="L816" i="25"/>
  <c r="K817" i="25"/>
  <c r="L817" i="25"/>
  <c r="K818" i="25"/>
  <c r="L818" i="25"/>
  <c r="K819" i="25"/>
  <c r="L819" i="25"/>
  <c r="K820" i="25"/>
  <c r="L820" i="25"/>
  <c r="K821" i="25"/>
  <c r="L821" i="25"/>
  <c r="K822" i="25"/>
  <c r="L822" i="25"/>
  <c r="K823" i="25"/>
  <c r="L823" i="25"/>
  <c r="K824" i="25"/>
  <c r="L824" i="25"/>
  <c r="K825" i="25"/>
  <c r="L825" i="25"/>
  <c r="K826" i="25"/>
  <c r="L826" i="25"/>
  <c r="K827" i="25"/>
  <c r="L827" i="25"/>
  <c r="K828" i="25"/>
  <c r="L828" i="25"/>
  <c r="K829" i="25"/>
  <c r="L829" i="25"/>
  <c r="K830" i="25"/>
  <c r="L830" i="25"/>
  <c r="K831" i="25"/>
  <c r="L831" i="25"/>
  <c r="K832" i="25"/>
  <c r="L832" i="25"/>
  <c r="K833" i="25"/>
  <c r="L833" i="25"/>
  <c r="K834" i="25"/>
  <c r="L834" i="25"/>
  <c r="K835" i="25"/>
  <c r="L835" i="25"/>
  <c r="K836" i="25"/>
  <c r="L836" i="25"/>
  <c r="K837" i="25"/>
  <c r="L837" i="25"/>
  <c r="K838" i="25"/>
  <c r="L838" i="25"/>
  <c r="K839" i="25"/>
  <c r="L839" i="25"/>
  <c r="K840" i="25"/>
  <c r="L840" i="25"/>
  <c r="K841" i="25"/>
  <c r="L841" i="25"/>
  <c r="K842" i="25"/>
  <c r="L842" i="25"/>
  <c r="K843" i="25"/>
  <c r="L843" i="25"/>
  <c r="K844" i="25"/>
  <c r="L844" i="25"/>
  <c r="K845" i="25"/>
  <c r="L845" i="25"/>
  <c r="K846" i="25"/>
  <c r="L846" i="25"/>
  <c r="K847" i="25"/>
  <c r="L847" i="25"/>
  <c r="K848" i="25"/>
  <c r="L848" i="25"/>
  <c r="K849" i="25"/>
  <c r="L849" i="25"/>
  <c r="K850" i="25"/>
  <c r="L850" i="25"/>
  <c r="K851" i="25"/>
  <c r="L851" i="25"/>
  <c r="K852" i="25"/>
  <c r="L852" i="25"/>
  <c r="K853" i="25"/>
  <c r="L853" i="25"/>
  <c r="K854" i="25"/>
  <c r="L854" i="25"/>
  <c r="K855" i="25"/>
  <c r="L855" i="25"/>
  <c r="K856" i="25"/>
  <c r="L856" i="25"/>
  <c r="K857" i="25"/>
  <c r="L857" i="25"/>
  <c r="K858" i="25"/>
  <c r="L858" i="25"/>
  <c r="K859" i="25"/>
  <c r="L859" i="25"/>
  <c r="K860" i="25"/>
  <c r="L860" i="25"/>
  <c r="K861" i="25"/>
  <c r="L861" i="25"/>
  <c r="K862" i="25"/>
  <c r="L862" i="25"/>
  <c r="K863" i="25"/>
  <c r="L863" i="25"/>
  <c r="K864" i="25"/>
  <c r="L864" i="25"/>
  <c r="K865" i="25"/>
  <c r="L865" i="25"/>
  <c r="K866" i="25"/>
  <c r="L866" i="25"/>
  <c r="K867" i="25"/>
  <c r="L867" i="25"/>
  <c r="K868" i="25"/>
  <c r="L868" i="25"/>
  <c r="K869" i="25"/>
  <c r="L869" i="25"/>
  <c r="K870" i="25"/>
  <c r="L870" i="25"/>
  <c r="K871" i="25"/>
  <c r="L871" i="25"/>
  <c r="K872" i="25"/>
  <c r="L872" i="25"/>
  <c r="K873" i="25"/>
  <c r="L873" i="25"/>
  <c r="K874" i="25"/>
  <c r="L874" i="25"/>
  <c r="K875" i="25"/>
  <c r="L875" i="25"/>
  <c r="K876" i="25"/>
  <c r="L876" i="25"/>
  <c r="K877" i="25"/>
  <c r="L877" i="25"/>
  <c r="K878" i="25"/>
  <c r="L878" i="25"/>
  <c r="K879" i="25"/>
  <c r="L879" i="25"/>
  <c r="K880" i="25"/>
  <c r="L880" i="25"/>
  <c r="K881" i="25"/>
  <c r="L881" i="25"/>
  <c r="K2" i="25"/>
  <c r="L2" i="25"/>
  <c r="Q9" i="34"/>
  <c r="H9" i="34"/>
  <c r="B220" i="25"/>
  <c r="C220" i="25"/>
  <c r="K30" i="26"/>
  <c r="H30" i="26"/>
  <c r="I30" i="26"/>
  <c r="G30" i="26"/>
  <c r="B18" i="24"/>
  <c r="F18" i="24"/>
  <c r="I18" i="24"/>
  <c r="K18" i="24"/>
  <c r="I19" i="24"/>
  <c r="G881" i="25"/>
  <c r="C881" i="25"/>
  <c r="B881" i="25"/>
  <c r="G880" i="25"/>
  <c r="C880" i="25"/>
  <c r="B880" i="25"/>
  <c r="G879" i="25"/>
  <c r="C879" i="25"/>
  <c r="B879" i="25"/>
  <c r="G878" i="25"/>
  <c r="C878" i="25"/>
  <c r="B878" i="25"/>
  <c r="G877" i="25"/>
  <c r="C877" i="25"/>
  <c r="B877" i="25"/>
  <c r="G876" i="25"/>
  <c r="C876" i="25"/>
  <c r="B876" i="25"/>
  <c r="G875" i="25"/>
  <c r="C875" i="25"/>
  <c r="B875" i="25"/>
  <c r="G874" i="25"/>
  <c r="C874" i="25"/>
  <c r="B874" i="25"/>
  <c r="G873" i="25"/>
  <c r="C873" i="25"/>
  <c r="B873" i="25"/>
  <c r="G872" i="25"/>
  <c r="C872" i="25"/>
  <c r="B872" i="25"/>
  <c r="G871" i="25"/>
  <c r="C871" i="25"/>
  <c r="B871" i="25"/>
  <c r="G870" i="25"/>
  <c r="C870" i="25"/>
  <c r="B870" i="25"/>
  <c r="G869" i="25"/>
  <c r="C869" i="25"/>
  <c r="B869" i="25"/>
  <c r="G868" i="25"/>
  <c r="C868" i="25"/>
  <c r="B868" i="25"/>
  <c r="G867" i="25"/>
  <c r="C867" i="25"/>
  <c r="B867" i="25"/>
  <c r="G866" i="25"/>
  <c r="C866" i="25"/>
  <c r="B866" i="25"/>
  <c r="G865" i="25"/>
  <c r="C865" i="25"/>
  <c r="B865" i="25"/>
  <c r="G864" i="25"/>
  <c r="C864" i="25"/>
  <c r="B864" i="25"/>
  <c r="G863" i="25"/>
  <c r="C863" i="25"/>
  <c r="B863" i="25"/>
  <c r="G862" i="25"/>
  <c r="C862" i="25"/>
  <c r="B862" i="25"/>
  <c r="G861" i="25"/>
  <c r="C861" i="25"/>
  <c r="B861" i="25"/>
  <c r="G860" i="25"/>
  <c r="C860" i="25"/>
  <c r="B860" i="25"/>
  <c r="G859" i="25"/>
  <c r="C859" i="25"/>
  <c r="B859" i="25"/>
  <c r="G858" i="25"/>
  <c r="C858" i="25"/>
  <c r="B858" i="25"/>
  <c r="G857" i="25"/>
  <c r="C857" i="25"/>
  <c r="B857" i="25"/>
  <c r="G856" i="25"/>
  <c r="C856" i="25"/>
  <c r="B856" i="25"/>
  <c r="G855" i="25"/>
  <c r="C855" i="25"/>
  <c r="B855" i="25"/>
  <c r="G854" i="25"/>
  <c r="C854" i="25"/>
  <c r="B854" i="25"/>
  <c r="G853" i="25"/>
  <c r="C853" i="25"/>
  <c r="B853" i="25"/>
  <c r="G852" i="25"/>
  <c r="C852" i="25"/>
  <c r="B852" i="25"/>
  <c r="G851" i="25"/>
  <c r="C851" i="25"/>
  <c r="B851" i="25"/>
  <c r="G850" i="25"/>
  <c r="C850" i="25"/>
  <c r="B850" i="25"/>
  <c r="G849" i="25"/>
  <c r="C849" i="25"/>
  <c r="B849" i="25"/>
  <c r="G848" i="25"/>
  <c r="C848" i="25"/>
  <c r="B848" i="25"/>
  <c r="G847" i="25"/>
  <c r="C847" i="25"/>
  <c r="B847" i="25"/>
  <c r="G846" i="25"/>
  <c r="C846" i="25"/>
  <c r="B846" i="25"/>
  <c r="G845" i="25"/>
  <c r="C845" i="25"/>
  <c r="B845" i="25"/>
  <c r="G844" i="25"/>
  <c r="C844" i="25"/>
  <c r="B844" i="25"/>
  <c r="G843" i="25"/>
  <c r="C843" i="25"/>
  <c r="B843" i="25"/>
  <c r="G842" i="25"/>
  <c r="C842" i="25"/>
  <c r="B842" i="25"/>
  <c r="G841" i="25"/>
  <c r="C841" i="25"/>
  <c r="B841" i="25"/>
  <c r="G840" i="25"/>
  <c r="C840" i="25"/>
  <c r="B840" i="25"/>
  <c r="G839" i="25"/>
  <c r="C839" i="25"/>
  <c r="B839" i="25"/>
  <c r="G838" i="25"/>
  <c r="C838" i="25"/>
  <c r="B838" i="25"/>
  <c r="G837" i="25"/>
  <c r="C837" i="25"/>
  <c r="B837" i="25"/>
  <c r="G836" i="25"/>
  <c r="C836" i="25"/>
  <c r="B836" i="25"/>
  <c r="G835" i="25"/>
  <c r="C835" i="25"/>
  <c r="B835" i="25"/>
  <c r="G834" i="25"/>
  <c r="C834" i="25"/>
  <c r="B834" i="25"/>
  <c r="G833" i="25"/>
  <c r="C833" i="25"/>
  <c r="B833" i="25"/>
  <c r="G832" i="25"/>
  <c r="C832" i="25"/>
  <c r="B832" i="25"/>
  <c r="G831" i="25"/>
  <c r="C831" i="25"/>
  <c r="B831" i="25"/>
  <c r="G830" i="25"/>
  <c r="C830" i="25"/>
  <c r="B830" i="25"/>
  <c r="G829" i="25"/>
  <c r="C829" i="25"/>
  <c r="B829" i="25"/>
  <c r="G828" i="25"/>
  <c r="C828" i="25"/>
  <c r="B828" i="25"/>
  <c r="G827" i="25"/>
  <c r="C827" i="25"/>
  <c r="B827" i="25"/>
  <c r="G826" i="25"/>
  <c r="C826" i="25"/>
  <c r="B826" i="25"/>
  <c r="G825" i="25"/>
  <c r="C825" i="25"/>
  <c r="B825" i="25"/>
  <c r="G824" i="25"/>
  <c r="C824" i="25"/>
  <c r="B824" i="25"/>
  <c r="G823" i="25"/>
  <c r="C823" i="25"/>
  <c r="B823" i="25"/>
  <c r="G822" i="25"/>
  <c r="C822" i="25"/>
  <c r="B822" i="25"/>
  <c r="G821" i="25"/>
  <c r="C821" i="25"/>
  <c r="B821" i="25"/>
  <c r="G820" i="25"/>
  <c r="C820" i="25"/>
  <c r="B820" i="25"/>
  <c r="G819" i="25"/>
  <c r="C819" i="25"/>
  <c r="B819" i="25"/>
  <c r="G818" i="25"/>
  <c r="C818" i="25"/>
  <c r="B818" i="25"/>
  <c r="G817" i="25"/>
  <c r="C817" i="25"/>
  <c r="B817" i="25"/>
  <c r="G816" i="25"/>
  <c r="C816" i="25"/>
  <c r="B816" i="25"/>
  <c r="G815" i="25"/>
  <c r="C815" i="25"/>
  <c r="B815" i="25"/>
  <c r="G814" i="25"/>
  <c r="C814" i="25"/>
  <c r="B814" i="25"/>
  <c r="G813" i="25"/>
  <c r="C813" i="25"/>
  <c r="B813" i="25"/>
  <c r="G812" i="25"/>
  <c r="C812" i="25"/>
  <c r="B812" i="25"/>
  <c r="G811" i="25"/>
  <c r="C811" i="25"/>
  <c r="B811" i="25"/>
  <c r="G810" i="25"/>
  <c r="C810" i="25"/>
  <c r="B810" i="25"/>
  <c r="G809" i="25"/>
  <c r="C809" i="25"/>
  <c r="B809" i="25"/>
  <c r="G808" i="25"/>
  <c r="C808" i="25"/>
  <c r="B808" i="25"/>
  <c r="G807" i="25"/>
  <c r="C807" i="25"/>
  <c r="B807" i="25"/>
  <c r="G806" i="25"/>
  <c r="C806" i="25"/>
  <c r="B806" i="25"/>
  <c r="G805" i="25"/>
  <c r="C805" i="25"/>
  <c r="B805" i="25"/>
  <c r="G804" i="25"/>
  <c r="C804" i="25"/>
  <c r="B804" i="25"/>
  <c r="G803" i="25"/>
  <c r="C803" i="25"/>
  <c r="B803" i="25"/>
  <c r="G802" i="25"/>
  <c r="C802" i="25"/>
  <c r="B802" i="25"/>
  <c r="G801" i="25"/>
  <c r="C801" i="25"/>
  <c r="B801" i="25"/>
  <c r="G800" i="25"/>
  <c r="C800" i="25"/>
  <c r="B800" i="25"/>
  <c r="G799" i="25"/>
  <c r="C799" i="25"/>
  <c r="B799" i="25"/>
  <c r="G798" i="25"/>
  <c r="C798" i="25"/>
  <c r="B798" i="25"/>
  <c r="G797" i="25"/>
  <c r="C797" i="25"/>
  <c r="B797" i="25"/>
  <c r="G796" i="25"/>
  <c r="C796" i="25"/>
  <c r="B796" i="25"/>
  <c r="G795" i="25"/>
  <c r="C795" i="25"/>
  <c r="B795" i="25"/>
  <c r="G794" i="25"/>
  <c r="C794" i="25"/>
  <c r="B794" i="25"/>
  <c r="G793" i="25"/>
  <c r="C793" i="25"/>
  <c r="B793" i="25"/>
  <c r="G792" i="25"/>
  <c r="C792" i="25"/>
  <c r="B792" i="25"/>
  <c r="G791" i="25"/>
  <c r="C791" i="25"/>
  <c r="B791" i="25"/>
  <c r="G790" i="25"/>
  <c r="C790" i="25"/>
  <c r="B790" i="25"/>
  <c r="G789" i="25"/>
  <c r="C789" i="25"/>
  <c r="B789" i="25"/>
  <c r="G788" i="25"/>
  <c r="C788" i="25"/>
  <c r="B788" i="25"/>
  <c r="G787" i="25"/>
  <c r="C787" i="25"/>
  <c r="B787" i="25"/>
  <c r="G786" i="25"/>
  <c r="C786" i="25"/>
  <c r="B786" i="25"/>
  <c r="G785" i="25"/>
  <c r="C785" i="25"/>
  <c r="B785" i="25"/>
  <c r="G784" i="25"/>
  <c r="C784" i="25"/>
  <c r="B784" i="25"/>
  <c r="G783" i="25"/>
  <c r="C783" i="25"/>
  <c r="B783" i="25"/>
  <c r="G782" i="25"/>
  <c r="C782" i="25"/>
  <c r="B782" i="25"/>
  <c r="G781" i="25"/>
  <c r="C781" i="25"/>
  <c r="B781" i="25"/>
  <c r="G780" i="25"/>
  <c r="C780" i="25"/>
  <c r="B780" i="25"/>
  <c r="G779" i="25"/>
  <c r="C779" i="25"/>
  <c r="B779" i="25"/>
  <c r="G778" i="25"/>
  <c r="C778" i="25"/>
  <c r="B778" i="25"/>
  <c r="G777" i="25"/>
  <c r="C777" i="25"/>
  <c r="B777" i="25"/>
  <c r="G776" i="25"/>
  <c r="C776" i="25"/>
  <c r="B776" i="25"/>
  <c r="G775" i="25"/>
  <c r="C775" i="25"/>
  <c r="B775" i="25"/>
  <c r="G774" i="25"/>
  <c r="C774" i="25"/>
  <c r="B774" i="25"/>
  <c r="G773" i="25"/>
  <c r="C773" i="25"/>
  <c r="B773" i="25"/>
  <c r="G772" i="25"/>
  <c r="C772" i="25"/>
  <c r="B772" i="25"/>
  <c r="G771" i="25"/>
  <c r="C771" i="25"/>
  <c r="B771" i="25"/>
  <c r="G770" i="25"/>
  <c r="C770" i="25"/>
  <c r="B770" i="25"/>
  <c r="G769" i="25"/>
  <c r="C769" i="25"/>
  <c r="B769" i="25"/>
  <c r="G768" i="25"/>
  <c r="C768" i="25"/>
  <c r="B768" i="25"/>
  <c r="G767" i="25"/>
  <c r="C767" i="25"/>
  <c r="B767" i="25"/>
  <c r="G766" i="25"/>
  <c r="C766" i="25"/>
  <c r="B766" i="25"/>
  <c r="G765" i="25"/>
  <c r="C765" i="25"/>
  <c r="B765" i="25"/>
  <c r="G764" i="25"/>
  <c r="C764" i="25"/>
  <c r="B764" i="25"/>
  <c r="G763" i="25"/>
  <c r="C763" i="25"/>
  <c r="B763" i="25"/>
  <c r="G762" i="25"/>
  <c r="C762" i="25"/>
  <c r="B762" i="25"/>
  <c r="G761" i="25"/>
  <c r="C761" i="25"/>
  <c r="B761" i="25"/>
  <c r="G760" i="25"/>
  <c r="C760" i="25"/>
  <c r="B760" i="25"/>
  <c r="G759" i="25"/>
  <c r="C759" i="25"/>
  <c r="B759" i="25"/>
  <c r="G758" i="25"/>
  <c r="C758" i="25"/>
  <c r="B758" i="25"/>
  <c r="G757" i="25"/>
  <c r="C757" i="25"/>
  <c r="B757" i="25"/>
  <c r="G756" i="25"/>
  <c r="C756" i="25"/>
  <c r="B756" i="25"/>
  <c r="G755" i="25"/>
  <c r="C755" i="25"/>
  <c r="B755" i="25"/>
  <c r="G754" i="25"/>
  <c r="C754" i="25"/>
  <c r="B754" i="25"/>
  <c r="G753" i="25"/>
  <c r="C753" i="25"/>
  <c r="B753" i="25"/>
  <c r="G752" i="25"/>
  <c r="C752" i="25"/>
  <c r="B752" i="25"/>
  <c r="G751" i="25"/>
  <c r="C751" i="25"/>
  <c r="B751" i="25"/>
  <c r="G750" i="25"/>
  <c r="C750" i="25"/>
  <c r="B750" i="25"/>
  <c r="G749" i="25"/>
  <c r="C749" i="25"/>
  <c r="B749" i="25"/>
  <c r="G748" i="25"/>
  <c r="C748" i="25"/>
  <c r="B748" i="25"/>
  <c r="G747" i="25"/>
  <c r="C747" i="25"/>
  <c r="B747" i="25"/>
  <c r="G746" i="25"/>
  <c r="C746" i="25"/>
  <c r="B746" i="25"/>
  <c r="G745" i="25"/>
  <c r="C745" i="25"/>
  <c r="B745" i="25"/>
  <c r="G744" i="25"/>
  <c r="C744" i="25"/>
  <c r="B744" i="25"/>
  <c r="G743" i="25"/>
  <c r="C743" i="25"/>
  <c r="B743" i="25"/>
  <c r="G742" i="25"/>
  <c r="C742" i="25"/>
  <c r="B742" i="25"/>
  <c r="G741" i="25"/>
  <c r="C741" i="25"/>
  <c r="B741" i="25"/>
  <c r="G740" i="25"/>
  <c r="C740" i="25"/>
  <c r="B740" i="25"/>
  <c r="G739" i="25"/>
  <c r="C739" i="25"/>
  <c r="B739" i="25"/>
  <c r="G738" i="25"/>
  <c r="C738" i="25"/>
  <c r="B738" i="25"/>
  <c r="G737" i="25"/>
  <c r="C737" i="25"/>
  <c r="B737" i="25"/>
  <c r="G736" i="25"/>
  <c r="C736" i="25"/>
  <c r="B736" i="25"/>
  <c r="G735" i="25"/>
  <c r="C735" i="25"/>
  <c r="B735" i="25"/>
  <c r="G734" i="25"/>
  <c r="C734" i="25"/>
  <c r="B734" i="25"/>
  <c r="G733" i="25"/>
  <c r="C733" i="25"/>
  <c r="B733" i="25"/>
  <c r="G732" i="25"/>
  <c r="C732" i="25"/>
  <c r="B732" i="25"/>
  <c r="G731" i="25"/>
  <c r="C731" i="25"/>
  <c r="B731" i="25"/>
  <c r="G730" i="25"/>
  <c r="C730" i="25"/>
  <c r="B730" i="25"/>
  <c r="G729" i="25"/>
  <c r="C729" i="25"/>
  <c r="B729" i="25"/>
  <c r="G728" i="25"/>
  <c r="C728" i="25"/>
  <c r="B728" i="25"/>
  <c r="G727" i="25"/>
  <c r="C727" i="25"/>
  <c r="B727" i="25"/>
  <c r="G726" i="25"/>
  <c r="C726" i="25"/>
  <c r="B726" i="25"/>
  <c r="G725" i="25"/>
  <c r="C725" i="25"/>
  <c r="B725" i="25"/>
  <c r="G724" i="25"/>
  <c r="C724" i="25"/>
  <c r="B724" i="25"/>
  <c r="G723" i="25"/>
  <c r="C723" i="25"/>
  <c r="B723" i="25"/>
  <c r="G722" i="25"/>
  <c r="C722" i="25"/>
  <c r="B722" i="25"/>
  <c r="G721" i="25"/>
  <c r="C721" i="25"/>
  <c r="B721" i="25"/>
  <c r="G720" i="25"/>
  <c r="C720" i="25"/>
  <c r="B720" i="25"/>
  <c r="G719" i="25"/>
  <c r="C719" i="25"/>
  <c r="B719" i="25"/>
  <c r="G718" i="25"/>
  <c r="C718" i="25"/>
  <c r="B718" i="25"/>
  <c r="G717" i="25"/>
  <c r="C717" i="25"/>
  <c r="B717" i="25"/>
  <c r="G716" i="25"/>
  <c r="C716" i="25"/>
  <c r="B716" i="25"/>
  <c r="G715" i="25"/>
  <c r="C715" i="25"/>
  <c r="B715" i="25"/>
  <c r="G714" i="25"/>
  <c r="C714" i="25"/>
  <c r="B714" i="25"/>
  <c r="G713" i="25"/>
  <c r="C713" i="25"/>
  <c r="B713" i="25"/>
  <c r="G712" i="25"/>
  <c r="C712" i="25"/>
  <c r="B712" i="25"/>
  <c r="G711" i="25"/>
  <c r="C711" i="25"/>
  <c r="B711" i="25"/>
  <c r="G710" i="25"/>
  <c r="C710" i="25"/>
  <c r="B710" i="25"/>
  <c r="G709" i="25"/>
  <c r="C709" i="25"/>
  <c r="B709" i="25"/>
  <c r="G708" i="25"/>
  <c r="C708" i="25"/>
  <c r="B708" i="25"/>
  <c r="G707" i="25"/>
  <c r="C707" i="25"/>
  <c r="B707" i="25"/>
  <c r="G706" i="25"/>
  <c r="C706" i="25"/>
  <c r="B706" i="25"/>
  <c r="G705" i="25"/>
  <c r="C705" i="25"/>
  <c r="B705" i="25"/>
  <c r="G704" i="25"/>
  <c r="C704" i="25"/>
  <c r="B704" i="25"/>
  <c r="G703" i="25"/>
  <c r="C703" i="25"/>
  <c r="B703" i="25"/>
  <c r="G702" i="25"/>
  <c r="C702" i="25"/>
  <c r="B702" i="25"/>
  <c r="G701" i="25"/>
  <c r="C701" i="25"/>
  <c r="B701" i="25"/>
  <c r="G700" i="25"/>
  <c r="C700" i="25"/>
  <c r="B700" i="25"/>
  <c r="G699" i="25"/>
  <c r="C699" i="25"/>
  <c r="B699" i="25"/>
  <c r="G698" i="25"/>
  <c r="C698" i="25"/>
  <c r="B698" i="25"/>
  <c r="G697" i="25"/>
  <c r="C697" i="25"/>
  <c r="B697" i="25"/>
  <c r="G696" i="25"/>
  <c r="C696" i="25"/>
  <c r="B696" i="25"/>
  <c r="G695" i="25"/>
  <c r="C695" i="25"/>
  <c r="B695" i="25"/>
  <c r="G694" i="25"/>
  <c r="C694" i="25"/>
  <c r="B694" i="25"/>
  <c r="G693" i="25"/>
  <c r="C693" i="25"/>
  <c r="B693" i="25"/>
  <c r="G692" i="25"/>
  <c r="C692" i="25"/>
  <c r="B692" i="25"/>
  <c r="G691" i="25"/>
  <c r="C691" i="25"/>
  <c r="B691" i="25"/>
  <c r="G690" i="25"/>
  <c r="C690" i="25"/>
  <c r="B690" i="25"/>
  <c r="G689" i="25"/>
  <c r="C689" i="25"/>
  <c r="B689" i="25"/>
  <c r="G688" i="25"/>
  <c r="C688" i="25"/>
  <c r="B688" i="25"/>
  <c r="G687" i="25"/>
  <c r="C687" i="25"/>
  <c r="B687" i="25"/>
  <c r="G686" i="25"/>
  <c r="C686" i="25"/>
  <c r="B686" i="25"/>
  <c r="G685" i="25"/>
  <c r="C685" i="25"/>
  <c r="B685" i="25"/>
  <c r="G684" i="25"/>
  <c r="C684" i="25"/>
  <c r="B684" i="25"/>
  <c r="G683" i="25"/>
  <c r="C683" i="25"/>
  <c r="B683" i="25"/>
  <c r="G682" i="25"/>
  <c r="C682" i="25"/>
  <c r="B682" i="25"/>
  <c r="G681" i="25"/>
  <c r="C681" i="25"/>
  <c r="B681" i="25"/>
  <c r="G680" i="25"/>
  <c r="C680" i="25"/>
  <c r="B680" i="25"/>
  <c r="G679" i="25"/>
  <c r="C679" i="25"/>
  <c r="B679" i="25"/>
  <c r="G678" i="25"/>
  <c r="C678" i="25"/>
  <c r="B678" i="25"/>
  <c r="G677" i="25"/>
  <c r="C677" i="25"/>
  <c r="B677" i="25"/>
  <c r="G676" i="25"/>
  <c r="C676" i="25"/>
  <c r="B676" i="25"/>
  <c r="G675" i="25"/>
  <c r="C675" i="25"/>
  <c r="B675" i="25"/>
  <c r="G674" i="25"/>
  <c r="C674" i="25"/>
  <c r="B674" i="25"/>
  <c r="G673" i="25"/>
  <c r="C673" i="25"/>
  <c r="B673" i="25"/>
  <c r="G672" i="25"/>
  <c r="C672" i="25"/>
  <c r="B672" i="25"/>
  <c r="G671" i="25"/>
  <c r="C671" i="25"/>
  <c r="B671" i="25"/>
  <c r="G670" i="25"/>
  <c r="C670" i="25"/>
  <c r="B670" i="25"/>
  <c r="G669" i="25"/>
  <c r="C669" i="25"/>
  <c r="B669" i="25"/>
  <c r="G668" i="25"/>
  <c r="C668" i="25"/>
  <c r="B668" i="25"/>
  <c r="G667" i="25"/>
  <c r="C667" i="25"/>
  <c r="B667" i="25"/>
  <c r="G666" i="25"/>
  <c r="C666" i="25"/>
  <c r="B666" i="25"/>
  <c r="G665" i="25"/>
  <c r="C665" i="25"/>
  <c r="B665" i="25"/>
  <c r="G664" i="25"/>
  <c r="C664" i="25"/>
  <c r="B664" i="25"/>
  <c r="G663" i="25"/>
  <c r="C663" i="25"/>
  <c r="B663" i="25"/>
  <c r="G662" i="25"/>
  <c r="C662" i="25"/>
  <c r="B662" i="25"/>
  <c r="G661" i="25"/>
  <c r="C661" i="25"/>
  <c r="B661" i="25"/>
  <c r="G660" i="25"/>
  <c r="C660" i="25"/>
  <c r="B660" i="25"/>
  <c r="G659" i="25"/>
  <c r="C659" i="25"/>
  <c r="B659" i="25"/>
  <c r="G658" i="25"/>
  <c r="C658" i="25"/>
  <c r="B658" i="25"/>
  <c r="G657" i="25"/>
  <c r="C657" i="25"/>
  <c r="B657" i="25"/>
  <c r="G656" i="25"/>
  <c r="C656" i="25"/>
  <c r="B656" i="25"/>
  <c r="G655" i="25"/>
  <c r="C655" i="25"/>
  <c r="B655" i="25"/>
  <c r="G654" i="25"/>
  <c r="C654" i="25"/>
  <c r="B654" i="25"/>
  <c r="G653" i="25"/>
  <c r="C653" i="25"/>
  <c r="B653" i="25"/>
  <c r="G652" i="25"/>
  <c r="C652" i="25"/>
  <c r="B652" i="25"/>
  <c r="G651" i="25"/>
  <c r="C651" i="25"/>
  <c r="B651" i="25"/>
  <c r="G650" i="25"/>
  <c r="C650" i="25"/>
  <c r="B650" i="25"/>
  <c r="G649" i="25"/>
  <c r="C649" i="25"/>
  <c r="B649" i="25"/>
  <c r="G648" i="25"/>
  <c r="C648" i="25"/>
  <c r="B648" i="25"/>
  <c r="G647" i="25"/>
  <c r="C647" i="25"/>
  <c r="B647" i="25"/>
  <c r="G646" i="25"/>
  <c r="C646" i="25"/>
  <c r="B646" i="25"/>
  <c r="G645" i="25"/>
  <c r="C645" i="25"/>
  <c r="B645" i="25"/>
  <c r="G644" i="25"/>
  <c r="C644" i="25"/>
  <c r="B644" i="25"/>
  <c r="G643" i="25"/>
  <c r="C643" i="25"/>
  <c r="B643" i="25"/>
  <c r="G642" i="25"/>
  <c r="C642" i="25"/>
  <c r="B642" i="25"/>
  <c r="G641" i="25"/>
  <c r="C641" i="25"/>
  <c r="B641" i="25"/>
  <c r="G640" i="25"/>
  <c r="C640" i="25"/>
  <c r="B640" i="25"/>
  <c r="G639" i="25"/>
  <c r="C639" i="25"/>
  <c r="B639" i="25"/>
  <c r="G638" i="25"/>
  <c r="C638" i="25"/>
  <c r="B638" i="25"/>
  <c r="G637" i="25"/>
  <c r="C637" i="25"/>
  <c r="B637" i="25"/>
  <c r="G636" i="25"/>
  <c r="C636" i="25"/>
  <c r="B636" i="25"/>
  <c r="G635" i="25"/>
  <c r="C635" i="25"/>
  <c r="B635" i="25"/>
  <c r="G634" i="25"/>
  <c r="C634" i="25"/>
  <c r="B634" i="25"/>
  <c r="G633" i="25"/>
  <c r="C633" i="25"/>
  <c r="B633" i="25"/>
  <c r="G632" i="25"/>
  <c r="C632" i="25"/>
  <c r="B632" i="25"/>
  <c r="G631" i="25"/>
  <c r="C631" i="25"/>
  <c r="B631" i="25"/>
  <c r="G630" i="25"/>
  <c r="C630" i="25"/>
  <c r="B630" i="25"/>
  <c r="G629" i="25"/>
  <c r="C629" i="25"/>
  <c r="B629" i="25"/>
  <c r="G628" i="25"/>
  <c r="C628" i="25"/>
  <c r="B628" i="25"/>
  <c r="G627" i="25"/>
  <c r="C627" i="25"/>
  <c r="B627" i="25"/>
  <c r="G626" i="25"/>
  <c r="C626" i="25"/>
  <c r="B626" i="25"/>
  <c r="G625" i="25"/>
  <c r="C625" i="25"/>
  <c r="B625" i="25"/>
  <c r="G624" i="25"/>
  <c r="C624" i="25"/>
  <c r="B624" i="25"/>
  <c r="G623" i="25"/>
  <c r="C623" i="25"/>
  <c r="B623" i="25"/>
  <c r="G622" i="25"/>
  <c r="C622" i="25"/>
  <c r="B622" i="25"/>
  <c r="G621" i="25"/>
  <c r="C621" i="25"/>
  <c r="B621" i="25"/>
  <c r="G620" i="25"/>
  <c r="C620" i="25"/>
  <c r="B620" i="25"/>
  <c r="G619" i="25"/>
  <c r="C619" i="25"/>
  <c r="B619" i="25"/>
  <c r="G618" i="25"/>
  <c r="C618" i="25"/>
  <c r="B618" i="25"/>
  <c r="G617" i="25"/>
  <c r="C617" i="25"/>
  <c r="B617" i="25"/>
  <c r="G616" i="25"/>
  <c r="C616" i="25"/>
  <c r="B616" i="25"/>
  <c r="G615" i="25"/>
  <c r="C615" i="25"/>
  <c r="B615" i="25"/>
  <c r="G614" i="25"/>
  <c r="C614" i="25"/>
  <c r="B614" i="25"/>
  <c r="G613" i="25"/>
  <c r="C613" i="25"/>
  <c r="B613" i="25"/>
  <c r="G612" i="25"/>
  <c r="C612" i="25"/>
  <c r="B612" i="25"/>
  <c r="G611" i="25"/>
  <c r="C611" i="25"/>
  <c r="B611" i="25"/>
  <c r="G610" i="25"/>
  <c r="C610" i="25"/>
  <c r="B610" i="25"/>
  <c r="G609" i="25"/>
  <c r="C609" i="25"/>
  <c r="B609" i="25"/>
  <c r="G608" i="25"/>
  <c r="C608" i="25"/>
  <c r="B608" i="25"/>
  <c r="G607" i="25"/>
  <c r="C607" i="25"/>
  <c r="B607" i="25"/>
  <c r="G606" i="25"/>
  <c r="C606" i="25"/>
  <c r="B606" i="25"/>
  <c r="G605" i="25"/>
  <c r="C605" i="25"/>
  <c r="B605" i="25"/>
  <c r="G604" i="25"/>
  <c r="C604" i="25"/>
  <c r="B604" i="25"/>
  <c r="G603" i="25"/>
  <c r="C603" i="25"/>
  <c r="B603" i="25"/>
  <c r="G602" i="25"/>
  <c r="C602" i="25"/>
  <c r="B602" i="25"/>
  <c r="G601" i="25"/>
  <c r="C601" i="25"/>
  <c r="B601" i="25"/>
  <c r="G600" i="25"/>
  <c r="C600" i="25"/>
  <c r="B600" i="25"/>
  <c r="G599" i="25"/>
  <c r="C599" i="25"/>
  <c r="B599" i="25"/>
  <c r="G598" i="25"/>
  <c r="C598" i="25"/>
  <c r="B598" i="25"/>
  <c r="G597" i="25"/>
  <c r="C597" i="25"/>
  <c r="B597" i="25"/>
  <c r="G596" i="25"/>
  <c r="C596" i="25"/>
  <c r="B596" i="25"/>
  <c r="G595" i="25"/>
  <c r="C595" i="25"/>
  <c r="B595" i="25"/>
  <c r="G594" i="25"/>
  <c r="C594" i="25"/>
  <c r="B594" i="25"/>
  <c r="G593" i="25"/>
  <c r="C593" i="25"/>
  <c r="B593" i="25"/>
  <c r="G592" i="25"/>
  <c r="C592" i="25"/>
  <c r="B592" i="25"/>
  <c r="G591" i="25"/>
  <c r="C591" i="25"/>
  <c r="B591" i="25"/>
  <c r="G590" i="25"/>
  <c r="C590" i="25"/>
  <c r="B590" i="25"/>
  <c r="G589" i="25"/>
  <c r="C589" i="25"/>
  <c r="B589" i="25"/>
  <c r="G588" i="25"/>
  <c r="C588" i="25"/>
  <c r="B588" i="25"/>
  <c r="G587" i="25"/>
  <c r="C587" i="25"/>
  <c r="B587" i="25"/>
  <c r="G586" i="25"/>
  <c r="C586" i="25"/>
  <c r="B586" i="25"/>
  <c r="G585" i="25"/>
  <c r="C585" i="25"/>
  <c r="B585" i="25"/>
  <c r="G584" i="25"/>
  <c r="C584" i="25"/>
  <c r="B584" i="25"/>
  <c r="G583" i="25"/>
  <c r="C583" i="25"/>
  <c r="B583" i="25"/>
  <c r="G582" i="25"/>
  <c r="C582" i="25"/>
  <c r="B582" i="25"/>
  <c r="G581" i="25"/>
  <c r="C581" i="25"/>
  <c r="B581" i="25"/>
  <c r="G580" i="25"/>
  <c r="C580" i="25"/>
  <c r="B580" i="25"/>
  <c r="G579" i="25"/>
  <c r="C579" i="25"/>
  <c r="B579" i="25"/>
  <c r="G578" i="25"/>
  <c r="C578" i="25"/>
  <c r="B578" i="25"/>
  <c r="G577" i="25"/>
  <c r="C577" i="25"/>
  <c r="B577" i="25"/>
  <c r="G576" i="25"/>
  <c r="C576" i="25"/>
  <c r="B576" i="25"/>
  <c r="G575" i="25"/>
  <c r="C575" i="25"/>
  <c r="B575" i="25"/>
  <c r="G574" i="25"/>
  <c r="C574" i="25"/>
  <c r="B574" i="25"/>
  <c r="G573" i="25"/>
  <c r="C573" i="25"/>
  <c r="B573" i="25"/>
  <c r="G572" i="25"/>
  <c r="C572" i="25"/>
  <c r="B572" i="25"/>
  <c r="G571" i="25"/>
  <c r="C571" i="25"/>
  <c r="B571" i="25"/>
  <c r="G570" i="25"/>
  <c r="C570" i="25"/>
  <c r="B570" i="25"/>
  <c r="G569" i="25"/>
  <c r="C569" i="25"/>
  <c r="B569" i="25"/>
  <c r="G568" i="25"/>
  <c r="C568" i="25"/>
  <c r="B568" i="25"/>
  <c r="G567" i="25"/>
  <c r="C567" i="25"/>
  <c r="B567" i="25"/>
  <c r="G566" i="25"/>
  <c r="C566" i="25"/>
  <c r="B566" i="25"/>
  <c r="G565" i="25"/>
  <c r="C565" i="25"/>
  <c r="B565" i="25"/>
  <c r="G564" i="25"/>
  <c r="C564" i="25"/>
  <c r="B564" i="25"/>
  <c r="G563" i="25"/>
  <c r="C563" i="25"/>
  <c r="B563" i="25"/>
  <c r="G562" i="25"/>
  <c r="C562" i="25"/>
  <c r="B562" i="25"/>
  <c r="G561" i="25"/>
  <c r="C561" i="25"/>
  <c r="B561" i="25"/>
  <c r="G560" i="25"/>
  <c r="C560" i="25"/>
  <c r="B560" i="25"/>
  <c r="G559" i="25"/>
  <c r="C559" i="25"/>
  <c r="B559" i="25"/>
  <c r="G558" i="25"/>
  <c r="C558" i="25"/>
  <c r="B558" i="25"/>
  <c r="G557" i="25"/>
  <c r="C557" i="25"/>
  <c r="B557" i="25"/>
  <c r="G556" i="25"/>
  <c r="C556" i="25"/>
  <c r="B556" i="25"/>
  <c r="G555" i="25"/>
  <c r="C555" i="25"/>
  <c r="B555" i="25"/>
  <c r="G554" i="25"/>
  <c r="C554" i="25"/>
  <c r="B554" i="25"/>
  <c r="G553" i="25"/>
  <c r="C553" i="25"/>
  <c r="B553" i="25"/>
  <c r="G552" i="25"/>
  <c r="C552" i="25"/>
  <c r="B552" i="25"/>
  <c r="G551" i="25"/>
  <c r="C551" i="25"/>
  <c r="B551" i="25"/>
  <c r="G550" i="25"/>
  <c r="C550" i="25"/>
  <c r="B550" i="25"/>
  <c r="G549" i="25"/>
  <c r="C549" i="25"/>
  <c r="B549" i="25"/>
  <c r="G548" i="25"/>
  <c r="C548" i="25"/>
  <c r="B548" i="25"/>
  <c r="G547" i="25"/>
  <c r="C547" i="25"/>
  <c r="B547" i="25"/>
  <c r="G546" i="25"/>
  <c r="C546" i="25"/>
  <c r="B546" i="25"/>
  <c r="G545" i="25"/>
  <c r="C545" i="25"/>
  <c r="B545" i="25"/>
  <c r="G544" i="25"/>
  <c r="C544" i="25"/>
  <c r="B544" i="25"/>
  <c r="G543" i="25"/>
  <c r="C543" i="25"/>
  <c r="B543" i="25"/>
  <c r="G542" i="25"/>
  <c r="C542" i="25"/>
  <c r="B542" i="25"/>
  <c r="G541" i="25"/>
  <c r="C541" i="25"/>
  <c r="B541" i="25"/>
  <c r="G540" i="25"/>
  <c r="C540" i="25"/>
  <c r="B540" i="25"/>
  <c r="G539" i="25"/>
  <c r="C539" i="25"/>
  <c r="B539" i="25"/>
  <c r="G538" i="25"/>
  <c r="C538" i="25"/>
  <c r="B538" i="25"/>
  <c r="G537" i="25"/>
  <c r="C537" i="25"/>
  <c r="B537" i="25"/>
  <c r="G536" i="25"/>
  <c r="C536" i="25"/>
  <c r="B536" i="25"/>
  <c r="G535" i="25"/>
  <c r="C535" i="25"/>
  <c r="B535" i="25"/>
  <c r="G534" i="25"/>
  <c r="C534" i="25"/>
  <c r="B534" i="25"/>
  <c r="G533" i="25"/>
  <c r="C533" i="25"/>
  <c r="B533" i="25"/>
  <c r="G532" i="25"/>
  <c r="C532" i="25"/>
  <c r="B532" i="25"/>
  <c r="G531" i="25"/>
  <c r="C531" i="25"/>
  <c r="B531" i="25"/>
  <c r="G530" i="25"/>
  <c r="C530" i="25"/>
  <c r="B530" i="25"/>
  <c r="G529" i="25"/>
  <c r="C529" i="25"/>
  <c r="B529" i="25"/>
  <c r="G528" i="25"/>
  <c r="C528" i="25"/>
  <c r="B528" i="25"/>
  <c r="G527" i="25"/>
  <c r="C527" i="25"/>
  <c r="B527" i="25"/>
  <c r="G526" i="25"/>
  <c r="C526" i="25"/>
  <c r="B526" i="25"/>
  <c r="G525" i="25"/>
  <c r="C525" i="25"/>
  <c r="B525" i="25"/>
  <c r="G524" i="25"/>
  <c r="C524" i="25"/>
  <c r="B524" i="25"/>
  <c r="G523" i="25"/>
  <c r="C523" i="25"/>
  <c r="B523" i="25"/>
  <c r="G522" i="25"/>
  <c r="C522" i="25"/>
  <c r="B522" i="25"/>
  <c r="G521" i="25"/>
  <c r="C521" i="25"/>
  <c r="B521" i="25"/>
  <c r="G520" i="25"/>
  <c r="C520" i="25"/>
  <c r="B520" i="25"/>
  <c r="G519" i="25"/>
  <c r="C519" i="25"/>
  <c r="B519" i="25"/>
  <c r="G518" i="25"/>
  <c r="C518" i="25"/>
  <c r="B518" i="25"/>
  <c r="G517" i="25"/>
  <c r="C517" i="25"/>
  <c r="B517" i="25"/>
  <c r="G516" i="25"/>
  <c r="C516" i="25"/>
  <c r="B516" i="25"/>
  <c r="G515" i="25"/>
  <c r="C515" i="25"/>
  <c r="B515" i="25"/>
  <c r="G514" i="25"/>
  <c r="C514" i="25"/>
  <c r="B514" i="25"/>
  <c r="G513" i="25"/>
  <c r="C513" i="25"/>
  <c r="B513" i="25"/>
  <c r="G512" i="25"/>
  <c r="C512" i="25"/>
  <c r="B512" i="25"/>
  <c r="G511" i="25"/>
  <c r="C511" i="25"/>
  <c r="B511" i="25"/>
  <c r="G510" i="25"/>
  <c r="C510" i="25"/>
  <c r="B510" i="25"/>
  <c r="G509" i="25"/>
  <c r="C509" i="25"/>
  <c r="B509" i="25"/>
  <c r="G508" i="25"/>
  <c r="C508" i="25"/>
  <c r="B508" i="25"/>
  <c r="G507" i="25"/>
  <c r="C507" i="25"/>
  <c r="B507" i="25"/>
  <c r="G506" i="25"/>
  <c r="C506" i="25"/>
  <c r="B506" i="25"/>
  <c r="G505" i="25"/>
  <c r="C505" i="25"/>
  <c r="B505" i="25"/>
  <c r="G504" i="25"/>
  <c r="C504" i="25"/>
  <c r="B504" i="25"/>
  <c r="G503" i="25"/>
  <c r="C503" i="25"/>
  <c r="B503" i="25"/>
  <c r="G502" i="25"/>
  <c r="C502" i="25"/>
  <c r="B502" i="25"/>
  <c r="G501" i="25"/>
  <c r="C501" i="25"/>
  <c r="B501" i="25"/>
  <c r="G500" i="25"/>
  <c r="C500" i="25"/>
  <c r="B500" i="25"/>
  <c r="G499" i="25"/>
  <c r="C499" i="25"/>
  <c r="B499" i="25"/>
  <c r="G498" i="25"/>
  <c r="C498" i="25"/>
  <c r="B498" i="25"/>
  <c r="G497" i="25"/>
  <c r="C497" i="25"/>
  <c r="B497" i="25"/>
  <c r="G496" i="25"/>
  <c r="C496" i="25"/>
  <c r="B496" i="25"/>
  <c r="G495" i="25"/>
  <c r="C495" i="25"/>
  <c r="B495" i="25"/>
  <c r="G494" i="25"/>
  <c r="C494" i="25"/>
  <c r="B494" i="25"/>
  <c r="G493" i="25"/>
  <c r="C493" i="25"/>
  <c r="B493" i="25"/>
  <c r="G492" i="25"/>
  <c r="C492" i="25"/>
  <c r="B492" i="25"/>
  <c r="G491" i="25"/>
  <c r="C491" i="25"/>
  <c r="B491" i="25"/>
  <c r="G490" i="25"/>
  <c r="C490" i="25"/>
  <c r="B490" i="25"/>
  <c r="G489" i="25"/>
  <c r="C489" i="25"/>
  <c r="B489" i="25"/>
  <c r="G488" i="25"/>
  <c r="C488" i="25"/>
  <c r="B488" i="25"/>
  <c r="G487" i="25"/>
  <c r="C487" i="25"/>
  <c r="B487" i="25"/>
  <c r="G486" i="25"/>
  <c r="C486" i="25"/>
  <c r="B486" i="25"/>
  <c r="G485" i="25"/>
  <c r="C485" i="25"/>
  <c r="B485" i="25"/>
  <c r="G484" i="25"/>
  <c r="C484" i="25"/>
  <c r="B484" i="25"/>
  <c r="G483" i="25"/>
  <c r="C483" i="25"/>
  <c r="B483" i="25"/>
  <c r="G482" i="25"/>
  <c r="C482" i="25"/>
  <c r="B482" i="25"/>
  <c r="G481" i="25"/>
  <c r="C481" i="25"/>
  <c r="B481" i="25"/>
  <c r="G480" i="25"/>
  <c r="C480" i="25"/>
  <c r="B480" i="25"/>
  <c r="G479" i="25"/>
  <c r="C479" i="25"/>
  <c r="B479" i="25"/>
  <c r="G478" i="25"/>
  <c r="C478" i="25"/>
  <c r="B478" i="25"/>
  <c r="G477" i="25"/>
  <c r="C477" i="25"/>
  <c r="B477" i="25"/>
  <c r="G476" i="25"/>
  <c r="C476" i="25"/>
  <c r="B476" i="25"/>
  <c r="G475" i="25"/>
  <c r="C475" i="25"/>
  <c r="B475" i="25"/>
  <c r="G474" i="25"/>
  <c r="C474" i="25"/>
  <c r="B474" i="25"/>
  <c r="G473" i="25"/>
  <c r="C473" i="25"/>
  <c r="B473" i="25"/>
  <c r="G472" i="25"/>
  <c r="C472" i="25"/>
  <c r="B472" i="25"/>
  <c r="G471" i="25"/>
  <c r="C471" i="25"/>
  <c r="B471" i="25"/>
  <c r="G470" i="25"/>
  <c r="C470" i="25"/>
  <c r="B470" i="25"/>
  <c r="G469" i="25"/>
  <c r="C469" i="25"/>
  <c r="B469" i="25"/>
  <c r="G468" i="25"/>
  <c r="C468" i="25"/>
  <c r="B468" i="25"/>
  <c r="G467" i="25"/>
  <c r="C467" i="25"/>
  <c r="B467" i="25"/>
  <c r="G466" i="25"/>
  <c r="C466" i="25"/>
  <c r="B466" i="25"/>
  <c r="G465" i="25"/>
  <c r="C465" i="25"/>
  <c r="B465" i="25"/>
  <c r="G464" i="25"/>
  <c r="C464" i="25"/>
  <c r="B464" i="25"/>
  <c r="G463" i="25"/>
  <c r="C463" i="25"/>
  <c r="B463" i="25"/>
  <c r="G462" i="25"/>
  <c r="C462" i="25"/>
  <c r="B462" i="25"/>
  <c r="G461" i="25"/>
  <c r="C461" i="25"/>
  <c r="B461" i="25"/>
  <c r="G460" i="25"/>
  <c r="C460" i="25"/>
  <c r="B460" i="25"/>
  <c r="G459" i="25"/>
  <c r="C459" i="25"/>
  <c r="B459" i="25"/>
  <c r="G458" i="25"/>
  <c r="C458" i="25"/>
  <c r="B458" i="25"/>
  <c r="G457" i="25"/>
  <c r="C457" i="25"/>
  <c r="B457" i="25"/>
  <c r="G456" i="25"/>
  <c r="C456" i="25"/>
  <c r="B456" i="25"/>
  <c r="G455" i="25"/>
  <c r="C455" i="25"/>
  <c r="B455" i="25"/>
  <c r="G454" i="25"/>
  <c r="C454" i="25"/>
  <c r="B454" i="25"/>
  <c r="G453" i="25"/>
  <c r="C453" i="25"/>
  <c r="B453" i="25"/>
  <c r="G452" i="25"/>
  <c r="C452" i="25"/>
  <c r="B452" i="25"/>
  <c r="G451" i="25"/>
  <c r="C451" i="25"/>
  <c r="B451" i="25"/>
  <c r="G450" i="25"/>
  <c r="C450" i="25"/>
  <c r="B450" i="25"/>
  <c r="G449" i="25"/>
  <c r="C449" i="25"/>
  <c r="B449" i="25"/>
  <c r="G448" i="25"/>
  <c r="C448" i="25"/>
  <c r="B448" i="25"/>
  <c r="G447" i="25"/>
  <c r="C447" i="25"/>
  <c r="B447" i="25"/>
  <c r="G446" i="25"/>
  <c r="C446" i="25"/>
  <c r="B446" i="25"/>
  <c r="G445" i="25"/>
  <c r="C445" i="25"/>
  <c r="B445" i="25"/>
  <c r="G444" i="25"/>
  <c r="C444" i="25"/>
  <c r="B444" i="25"/>
  <c r="G443" i="25"/>
  <c r="C443" i="25"/>
  <c r="B443" i="25"/>
  <c r="G442" i="25"/>
  <c r="C442" i="25"/>
  <c r="B442" i="25"/>
  <c r="G441" i="25"/>
  <c r="C441" i="25"/>
  <c r="B441" i="25"/>
  <c r="G440" i="25"/>
  <c r="C440" i="25"/>
  <c r="B440" i="25"/>
  <c r="G439" i="25"/>
  <c r="C439" i="25"/>
  <c r="B439" i="25"/>
  <c r="G438" i="25"/>
  <c r="C438" i="25"/>
  <c r="B438" i="25"/>
  <c r="G437" i="25"/>
  <c r="C437" i="25"/>
  <c r="B437" i="25"/>
  <c r="G436" i="25"/>
  <c r="C436" i="25"/>
  <c r="B436" i="25"/>
  <c r="G435" i="25"/>
  <c r="C435" i="25"/>
  <c r="B435" i="25"/>
  <c r="G434" i="25"/>
  <c r="C434" i="25"/>
  <c r="B434" i="25"/>
  <c r="G433" i="25"/>
  <c r="C433" i="25"/>
  <c r="B433" i="25"/>
  <c r="G432" i="25"/>
  <c r="C432" i="25"/>
  <c r="B432" i="25"/>
  <c r="G431" i="25"/>
  <c r="C431" i="25"/>
  <c r="B431" i="25"/>
  <c r="G430" i="25"/>
  <c r="C430" i="25"/>
  <c r="B430" i="25"/>
  <c r="G429" i="25"/>
  <c r="C429" i="25"/>
  <c r="B429" i="25"/>
  <c r="G428" i="25"/>
  <c r="C428" i="25"/>
  <c r="B428" i="25"/>
  <c r="G427" i="25"/>
  <c r="C427" i="25"/>
  <c r="B427" i="25"/>
  <c r="G426" i="25"/>
  <c r="C426" i="25"/>
  <c r="B426" i="25"/>
  <c r="G425" i="25"/>
  <c r="C425" i="25"/>
  <c r="B425" i="25"/>
  <c r="G424" i="25"/>
  <c r="C424" i="25"/>
  <c r="B424" i="25"/>
  <c r="G423" i="25"/>
  <c r="C423" i="25"/>
  <c r="B423" i="25"/>
  <c r="G422" i="25"/>
  <c r="C422" i="25"/>
  <c r="B422" i="25"/>
  <c r="G421" i="25"/>
  <c r="C421" i="25"/>
  <c r="B421" i="25"/>
  <c r="G420" i="25"/>
  <c r="C420" i="25"/>
  <c r="B420" i="25"/>
  <c r="G419" i="25"/>
  <c r="C419" i="25"/>
  <c r="B419" i="25"/>
  <c r="G418" i="25"/>
  <c r="C418" i="25"/>
  <c r="B418" i="25"/>
  <c r="G417" i="25"/>
  <c r="C417" i="25"/>
  <c r="B417" i="25"/>
  <c r="G416" i="25"/>
  <c r="C416" i="25"/>
  <c r="B416" i="25"/>
  <c r="G415" i="25"/>
  <c r="C415" i="25"/>
  <c r="B415" i="25"/>
  <c r="G414" i="25"/>
  <c r="C414" i="25"/>
  <c r="B414" i="25"/>
  <c r="G413" i="25"/>
  <c r="C413" i="25"/>
  <c r="B413" i="25"/>
  <c r="G412" i="25"/>
  <c r="C412" i="25"/>
  <c r="B412" i="25"/>
  <c r="G411" i="25"/>
  <c r="C411" i="25"/>
  <c r="B411" i="25"/>
  <c r="G410" i="25"/>
  <c r="C410" i="25"/>
  <c r="B410" i="25"/>
  <c r="G409" i="25"/>
  <c r="C409" i="25"/>
  <c r="B409" i="25"/>
  <c r="G408" i="25"/>
  <c r="C408" i="25"/>
  <c r="B408" i="25"/>
  <c r="G407" i="25"/>
  <c r="C407" i="25"/>
  <c r="B407" i="25"/>
  <c r="G406" i="25"/>
  <c r="C406" i="25"/>
  <c r="B406" i="25"/>
  <c r="G405" i="25"/>
  <c r="C405" i="25"/>
  <c r="B405" i="25"/>
  <c r="G404" i="25"/>
  <c r="C404" i="25"/>
  <c r="B404" i="25"/>
  <c r="G403" i="25"/>
  <c r="C403" i="25"/>
  <c r="B403" i="25"/>
  <c r="G402" i="25"/>
  <c r="C402" i="25"/>
  <c r="B402" i="25"/>
  <c r="G401" i="25"/>
  <c r="C401" i="25"/>
  <c r="B401" i="25"/>
  <c r="G400" i="25"/>
  <c r="C400" i="25"/>
  <c r="B400" i="25"/>
  <c r="G399" i="25"/>
  <c r="C399" i="25"/>
  <c r="B399" i="25"/>
  <c r="G398" i="25"/>
  <c r="C398" i="25"/>
  <c r="B398" i="25"/>
  <c r="G397" i="25"/>
  <c r="C397" i="25"/>
  <c r="B397" i="25"/>
  <c r="G396" i="25"/>
  <c r="C396" i="25"/>
  <c r="B396" i="25"/>
  <c r="G395" i="25"/>
  <c r="C395" i="25"/>
  <c r="B395" i="25"/>
  <c r="G394" i="25"/>
  <c r="C394" i="25"/>
  <c r="B394" i="25"/>
  <c r="G393" i="25"/>
  <c r="C393" i="25"/>
  <c r="B393" i="25"/>
  <c r="G392" i="25"/>
  <c r="C392" i="25"/>
  <c r="B392" i="25"/>
  <c r="G391" i="25"/>
  <c r="C391" i="25"/>
  <c r="B391" i="25"/>
  <c r="G390" i="25"/>
  <c r="C390" i="25"/>
  <c r="B390" i="25"/>
  <c r="G389" i="25"/>
  <c r="C389" i="25"/>
  <c r="B389" i="25"/>
  <c r="G388" i="25"/>
  <c r="C388" i="25"/>
  <c r="B388" i="25"/>
  <c r="G387" i="25"/>
  <c r="C387" i="25"/>
  <c r="B387" i="25"/>
  <c r="G386" i="25"/>
  <c r="C386" i="25"/>
  <c r="B386" i="25"/>
  <c r="G385" i="25"/>
  <c r="C385" i="25"/>
  <c r="B385" i="25"/>
  <c r="G384" i="25"/>
  <c r="C384" i="25"/>
  <c r="B384" i="25"/>
  <c r="G383" i="25"/>
  <c r="C383" i="25"/>
  <c r="B383" i="25"/>
  <c r="G382" i="25"/>
  <c r="C382" i="25"/>
  <c r="B382" i="25"/>
  <c r="G381" i="25"/>
  <c r="C381" i="25"/>
  <c r="B381" i="25"/>
  <c r="G380" i="25"/>
  <c r="C380" i="25"/>
  <c r="B380" i="25"/>
  <c r="G379" i="25"/>
  <c r="C379" i="25"/>
  <c r="B379" i="25"/>
  <c r="G378" i="25"/>
  <c r="C378" i="25"/>
  <c r="B378" i="25"/>
  <c r="G377" i="25"/>
  <c r="C377" i="25"/>
  <c r="B377" i="25"/>
  <c r="G376" i="25"/>
  <c r="C376" i="25"/>
  <c r="B376" i="25"/>
  <c r="G375" i="25"/>
  <c r="C375" i="25"/>
  <c r="B375" i="25"/>
  <c r="G374" i="25"/>
  <c r="C374" i="25"/>
  <c r="B374" i="25"/>
  <c r="G373" i="25"/>
  <c r="C373" i="25"/>
  <c r="B373" i="25"/>
  <c r="G372" i="25"/>
  <c r="C372" i="25"/>
  <c r="B372" i="25"/>
  <c r="G371" i="25"/>
  <c r="C371" i="25"/>
  <c r="B371" i="25"/>
  <c r="G370" i="25"/>
  <c r="C370" i="25"/>
  <c r="B370" i="25"/>
  <c r="G369" i="25"/>
  <c r="C369" i="25"/>
  <c r="B369" i="25"/>
  <c r="G368" i="25"/>
  <c r="C368" i="25"/>
  <c r="B368" i="25"/>
  <c r="G367" i="25"/>
  <c r="C367" i="25"/>
  <c r="B367" i="25"/>
  <c r="G366" i="25"/>
  <c r="C366" i="25"/>
  <c r="B366" i="25"/>
  <c r="G365" i="25"/>
  <c r="C365" i="25"/>
  <c r="B365" i="25"/>
  <c r="G364" i="25"/>
  <c r="C364" i="25"/>
  <c r="B364" i="25"/>
  <c r="G363" i="25"/>
  <c r="C363" i="25"/>
  <c r="B363" i="25"/>
  <c r="G362" i="25"/>
  <c r="C362" i="25"/>
  <c r="B362" i="25"/>
  <c r="G361" i="25"/>
  <c r="C361" i="25"/>
  <c r="B361" i="25"/>
  <c r="G360" i="25"/>
  <c r="C360" i="25"/>
  <c r="B360" i="25"/>
  <c r="G359" i="25"/>
  <c r="C359" i="25"/>
  <c r="B359" i="25"/>
  <c r="G358" i="25"/>
  <c r="C358" i="25"/>
  <c r="B358" i="25"/>
  <c r="G357" i="25"/>
  <c r="C357" i="25"/>
  <c r="B357" i="25"/>
  <c r="G356" i="25"/>
  <c r="C356" i="25"/>
  <c r="B356" i="25"/>
  <c r="G355" i="25"/>
  <c r="C355" i="25"/>
  <c r="B355" i="25"/>
  <c r="G354" i="25"/>
  <c r="C354" i="25"/>
  <c r="B354" i="25"/>
  <c r="G353" i="25"/>
  <c r="C353" i="25"/>
  <c r="B353" i="25"/>
  <c r="G352" i="25"/>
  <c r="C352" i="25"/>
  <c r="B352" i="25"/>
  <c r="G351" i="25"/>
  <c r="C351" i="25"/>
  <c r="B351" i="25"/>
  <c r="G350" i="25"/>
  <c r="C350" i="25"/>
  <c r="B350" i="25"/>
  <c r="G349" i="25"/>
  <c r="C349" i="25"/>
  <c r="B349" i="25"/>
  <c r="G348" i="25"/>
  <c r="C348" i="25"/>
  <c r="B348" i="25"/>
  <c r="G347" i="25"/>
  <c r="C347" i="25"/>
  <c r="B347" i="25"/>
  <c r="G346" i="25"/>
  <c r="C346" i="25"/>
  <c r="B346" i="25"/>
  <c r="G345" i="25"/>
  <c r="C345" i="25"/>
  <c r="B345" i="25"/>
  <c r="G344" i="25"/>
  <c r="C344" i="25"/>
  <c r="B344" i="25"/>
  <c r="G343" i="25"/>
  <c r="C343" i="25"/>
  <c r="B343" i="25"/>
  <c r="G342" i="25"/>
  <c r="C342" i="25"/>
  <c r="B342" i="25"/>
  <c r="G341" i="25"/>
  <c r="C341" i="25"/>
  <c r="B341" i="25"/>
  <c r="G340" i="25"/>
  <c r="C340" i="25"/>
  <c r="B340" i="25"/>
  <c r="G339" i="25"/>
  <c r="C339" i="25"/>
  <c r="B339" i="25"/>
  <c r="G338" i="25"/>
  <c r="C338" i="25"/>
  <c r="B338" i="25"/>
  <c r="G337" i="25"/>
  <c r="C337" i="25"/>
  <c r="B337" i="25"/>
  <c r="G336" i="25"/>
  <c r="C336" i="25"/>
  <c r="B336" i="25"/>
  <c r="G335" i="25"/>
  <c r="C335" i="25"/>
  <c r="B335" i="25"/>
  <c r="G334" i="25"/>
  <c r="C334" i="25"/>
  <c r="B334" i="25"/>
  <c r="G333" i="25"/>
  <c r="C333" i="25"/>
  <c r="B333" i="25"/>
  <c r="G332" i="25"/>
  <c r="C332" i="25"/>
  <c r="B332" i="25"/>
  <c r="G331" i="25"/>
  <c r="C331" i="25"/>
  <c r="B331" i="25"/>
  <c r="G330" i="25"/>
  <c r="C330" i="25"/>
  <c r="B330" i="25"/>
  <c r="G329" i="25"/>
  <c r="C329" i="25"/>
  <c r="B329" i="25"/>
  <c r="G328" i="25"/>
  <c r="C328" i="25"/>
  <c r="B328" i="25"/>
  <c r="G327" i="25"/>
  <c r="C327" i="25"/>
  <c r="B327" i="25"/>
  <c r="G326" i="25"/>
  <c r="C326" i="25"/>
  <c r="B326" i="25"/>
  <c r="G325" i="25"/>
  <c r="C325" i="25"/>
  <c r="B325" i="25"/>
  <c r="G324" i="25"/>
  <c r="C324" i="25"/>
  <c r="B324" i="25"/>
  <c r="G323" i="25"/>
  <c r="C323" i="25"/>
  <c r="B323" i="25"/>
  <c r="G322" i="25"/>
  <c r="C322" i="25"/>
  <c r="B322" i="25"/>
  <c r="G321" i="25"/>
  <c r="C321" i="25"/>
  <c r="B321" i="25"/>
  <c r="G320" i="25"/>
  <c r="C320" i="25"/>
  <c r="B320" i="25"/>
  <c r="G319" i="25"/>
  <c r="C319" i="25"/>
  <c r="B319" i="25"/>
  <c r="G318" i="25"/>
  <c r="C318" i="25"/>
  <c r="B318" i="25"/>
  <c r="G317" i="25"/>
  <c r="C317" i="25"/>
  <c r="B317" i="25"/>
  <c r="G316" i="25"/>
  <c r="C316" i="25"/>
  <c r="B316" i="25"/>
  <c r="G315" i="25"/>
  <c r="C315" i="25"/>
  <c r="B315" i="25"/>
  <c r="G314" i="25"/>
  <c r="C314" i="25"/>
  <c r="B314" i="25"/>
  <c r="G313" i="25"/>
  <c r="C313" i="25"/>
  <c r="B313" i="25"/>
  <c r="G312" i="25"/>
  <c r="C312" i="25"/>
  <c r="B312" i="25"/>
  <c r="G311" i="25"/>
  <c r="C311" i="25"/>
  <c r="B311" i="25"/>
  <c r="G310" i="25"/>
  <c r="C310" i="25"/>
  <c r="B310" i="25"/>
  <c r="G309" i="25"/>
  <c r="C309" i="25"/>
  <c r="B309" i="25"/>
  <c r="G308" i="25"/>
  <c r="C308" i="25"/>
  <c r="B308" i="25"/>
  <c r="G307" i="25"/>
  <c r="C307" i="25"/>
  <c r="B307" i="25"/>
  <c r="G306" i="25"/>
  <c r="C306" i="25"/>
  <c r="B306" i="25"/>
  <c r="G305" i="25"/>
  <c r="C305" i="25"/>
  <c r="B305" i="25"/>
  <c r="G304" i="25"/>
  <c r="C304" i="25"/>
  <c r="B304" i="25"/>
  <c r="G303" i="25"/>
  <c r="C303" i="25"/>
  <c r="B303" i="25"/>
  <c r="G302" i="25"/>
  <c r="C302" i="25"/>
  <c r="B302" i="25"/>
  <c r="G301" i="25"/>
  <c r="C301" i="25"/>
  <c r="B301" i="25"/>
  <c r="G300" i="25"/>
  <c r="C300" i="25"/>
  <c r="B300" i="25"/>
  <c r="G299" i="25"/>
  <c r="C299" i="25"/>
  <c r="B299" i="25"/>
  <c r="G298" i="25"/>
  <c r="C298" i="25"/>
  <c r="B298" i="25"/>
  <c r="G297" i="25"/>
  <c r="C297" i="25"/>
  <c r="B297" i="25"/>
  <c r="G296" i="25"/>
  <c r="C296" i="25"/>
  <c r="B296" i="25"/>
  <c r="G295" i="25"/>
  <c r="C295" i="25"/>
  <c r="B295" i="25"/>
  <c r="G294" i="25"/>
  <c r="C294" i="25"/>
  <c r="B294" i="25"/>
  <c r="G293" i="25"/>
  <c r="C293" i="25"/>
  <c r="B293" i="25"/>
  <c r="G292" i="25"/>
  <c r="C292" i="25"/>
  <c r="B292" i="25"/>
  <c r="G291" i="25"/>
  <c r="C291" i="25"/>
  <c r="B291" i="25"/>
  <c r="G290" i="25"/>
  <c r="C290" i="25"/>
  <c r="B290" i="25"/>
  <c r="G289" i="25"/>
  <c r="C289" i="25"/>
  <c r="B289" i="25"/>
  <c r="G288" i="25"/>
  <c r="C288" i="25"/>
  <c r="B288" i="25"/>
  <c r="G287" i="25"/>
  <c r="C287" i="25"/>
  <c r="B287" i="25"/>
  <c r="G286" i="25"/>
  <c r="C286" i="25"/>
  <c r="B286" i="25"/>
  <c r="G285" i="25"/>
  <c r="C285" i="25"/>
  <c r="B285" i="25"/>
  <c r="G284" i="25"/>
  <c r="C284" i="25"/>
  <c r="B284" i="25"/>
  <c r="G283" i="25"/>
  <c r="C283" i="25"/>
  <c r="B283" i="25"/>
  <c r="G282" i="25"/>
  <c r="C282" i="25"/>
  <c r="B282" i="25"/>
  <c r="G281" i="25"/>
  <c r="C281" i="25"/>
  <c r="B281" i="25"/>
  <c r="G280" i="25"/>
  <c r="C280" i="25"/>
  <c r="B280" i="25"/>
  <c r="G279" i="25"/>
  <c r="C279" i="25"/>
  <c r="B279" i="25"/>
  <c r="G278" i="25"/>
  <c r="C278" i="25"/>
  <c r="B278" i="25"/>
  <c r="G277" i="25"/>
  <c r="C277" i="25"/>
  <c r="B277" i="25"/>
  <c r="G276" i="25"/>
  <c r="C276" i="25"/>
  <c r="B276" i="25"/>
  <c r="G275" i="25"/>
  <c r="C275" i="25"/>
  <c r="B275" i="25"/>
  <c r="G274" i="25"/>
  <c r="C274" i="25"/>
  <c r="B274" i="25"/>
  <c r="G273" i="25"/>
  <c r="C273" i="25"/>
  <c r="B273" i="25"/>
  <c r="G272" i="25"/>
  <c r="C272" i="25"/>
  <c r="B272" i="25"/>
  <c r="G271" i="25"/>
  <c r="C271" i="25"/>
  <c r="B271" i="25"/>
  <c r="G270" i="25"/>
  <c r="C270" i="25"/>
  <c r="B270" i="25"/>
  <c r="G269" i="25"/>
  <c r="C269" i="25"/>
  <c r="B269" i="25"/>
  <c r="G268" i="25"/>
  <c r="C268" i="25"/>
  <c r="B268" i="25"/>
  <c r="G267" i="25"/>
  <c r="C267" i="25"/>
  <c r="B267" i="25"/>
  <c r="G266" i="25"/>
  <c r="C266" i="25"/>
  <c r="B266" i="25"/>
  <c r="G265" i="25"/>
  <c r="C265" i="25"/>
  <c r="B265" i="25"/>
  <c r="G264" i="25"/>
  <c r="C264" i="25"/>
  <c r="B264" i="25"/>
  <c r="G263" i="25"/>
  <c r="C263" i="25"/>
  <c r="B263" i="25"/>
  <c r="G262" i="25"/>
  <c r="C262" i="25"/>
  <c r="B262" i="25"/>
  <c r="G261" i="25"/>
  <c r="C261" i="25"/>
  <c r="B261" i="25"/>
  <c r="G260" i="25"/>
  <c r="C260" i="25"/>
  <c r="B260" i="25"/>
  <c r="G259" i="25"/>
  <c r="C259" i="25"/>
  <c r="B259" i="25"/>
  <c r="G258" i="25"/>
  <c r="C258" i="25"/>
  <c r="B258" i="25"/>
  <c r="G257" i="25"/>
  <c r="C257" i="25"/>
  <c r="B257" i="25"/>
  <c r="G256" i="25"/>
  <c r="C256" i="25"/>
  <c r="B256" i="25"/>
  <c r="G255" i="25"/>
  <c r="C255" i="25"/>
  <c r="B255" i="25"/>
  <c r="G254" i="25"/>
  <c r="C254" i="25"/>
  <c r="B254" i="25"/>
  <c r="G253" i="25"/>
  <c r="C253" i="25"/>
  <c r="B253" i="25"/>
  <c r="G252" i="25"/>
  <c r="C252" i="25"/>
  <c r="B252" i="25"/>
  <c r="G251" i="25"/>
  <c r="C251" i="25"/>
  <c r="B251" i="25"/>
  <c r="G250" i="25"/>
  <c r="C250" i="25"/>
  <c r="B250" i="25"/>
  <c r="G249" i="25"/>
  <c r="C249" i="25"/>
  <c r="B249" i="25"/>
  <c r="G248" i="25"/>
  <c r="C248" i="25"/>
  <c r="B248" i="25"/>
  <c r="G247" i="25"/>
  <c r="C247" i="25"/>
  <c r="B247" i="25"/>
  <c r="G246" i="25"/>
  <c r="C246" i="25"/>
  <c r="B246" i="25"/>
  <c r="G245" i="25"/>
  <c r="C245" i="25"/>
  <c r="B245" i="25"/>
  <c r="G244" i="25"/>
  <c r="C244" i="25"/>
  <c r="B244" i="25"/>
  <c r="G243" i="25"/>
  <c r="C243" i="25"/>
  <c r="B243" i="25"/>
  <c r="G242" i="25"/>
  <c r="C242" i="25"/>
  <c r="B242" i="25"/>
  <c r="G241" i="25"/>
  <c r="C241" i="25"/>
  <c r="B241" i="25"/>
  <c r="G240" i="25"/>
  <c r="C240" i="25"/>
  <c r="B240" i="25"/>
  <c r="G239" i="25"/>
  <c r="C239" i="25"/>
  <c r="B239" i="25"/>
  <c r="G238" i="25"/>
  <c r="C238" i="25"/>
  <c r="B238" i="25"/>
  <c r="G237" i="25"/>
  <c r="C237" i="25"/>
  <c r="B237" i="25"/>
  <c r="G236" i="25"/>
  <c r="C236" i="25"/>
  <c r="B236" i="25"/>
  <c r="G235" i="25"/>
  <c r="C235" i="25"/>
  <c r="B235" i="25"/>
  <c r="G234" i="25"/>
  <c r="C234" i="25"/>
  <c r="B234" i="25"/>
  <c r="G233" i="25"/>
  <c r="C233" i="25"/>
  <c r="B233" i="25"/>
  <c r="G232" i="25"/>
  <c r="C232" i="25"/>
  <c r="B232" i="25"/>
  <c r="G231" i="25"/>
  <c r="C231" i="25"/>
  <c r="B231" i="25"/>
  <c r="G230" i="25"/>
  <c r="C230" i="25"/>
  <c r="B230" i="25"/>
  <c r="G229" i="25"/>
  <c r="C229" i="25"/>
  <c r="B229" i="25"/>
  <c r="G228" i="25"/>
  <c r="C228" i="25"/>
  <c r="B228" i="25"/>
  <c r="G227" i="25"/>
  <c r="C227" i="25"/>
  <c r="B227" i="25"/>
  <c r="G226" i="25"/>
  <c r="C226" i="25"/>
  <c r="B226" i="25"/>
  <c r="G225" i="25"/>
  <c r="C225" i="25"/>
  <c r="B225" i="25"/>
  <c r="G224" i="25"/>
  <c r="C224" i="25"/>
  <c r="B224" i="25"/>
  <c r="G223" i="25"/>
  <c r="C223" i="25"/>
  <c r="B223" i="25"/>
  <c r="G222" i="25"/>
  <c r="C222" i="25"/>
  <c r="B222" i="25"/>
  <c r="G221" i="25"/>
  <c r="C221" i="25"/>
  <c r="B221" i="25"/>
  <c r="G220" i="25"/>
  <c r="G219" i="25"/>
  <c r="C219" i="25"/>
  <c r="B219" i="25"/>
  <c r="G218" i="25"/>
  <c r="C218" i="25"/>
  <c r="B218" i="25"/>
  <c r="G217" i="25"/>
  <c r="C217" i="25"/>
  <c r="B217" i="25"/>
  <c r="G216" i="25"/>
  <c r="C216" i="25"/>
  <c r="B216" i="25"/>
  <c r="G215" i="25"/>
  <c r="C215" i="25"/>
  <c r="B215" i="25"/>
  <c r="G214" i="25"/>
  <c r="C214" i="25"/>
  <c r="B214" i="25"/>
  <c r="G213" i="25"/>
  <c r="C213" i="25"/>
  <c r="B213" i="25"/>
  <c r="G212" i="25"/>
  <c r="C212" i="25"/>
  <c r="B212" i="25"/>
  <c r="G211" i="25"/>
  <c r="C211" i="25"/>
  <c r="B211" i="25"/>
  <c r="G210" i="25"/>
  <c r="C210" i="25"/>
  <c r="B210" i="25"/>
  <c r="G209" i="25"/>
  <c r="C209" i="25"/>
  <c r="B209" i="25"/>
  <c r="G208" i="25"/>
  <c r="C208" i="25"/>
  <c r="B208" i="25"/>
  <c r="G207" i="25"/>
  <c r="C207" i="25"/>
  <c r="B207" i="25"/>
  <c r="G206" i="25"/>
  <c r="C206" i="25"/>
  <c r="B206" i="25"/>
  <c r="G205" i="25"/>
  <c r="C205" i="25"/>
  <c r="B205" i="25"/>
  <c r="G204" i="25"/>
  <c r="C204" i="25"/>
  <c r="B204" i="25"/>
  <c r="G203" i="25"/>
  <c r="C203" i="25"/>
  <c r="B203" i="25"/>
  <c r="G202" i="25"/>
  <c r="C202" i="25"/>
  <c r="B202" i="25"/>
  <c r="G201" i="25"/>
  <c r="C201" i="25"/>
  <c r="B201" i="25"/>
  <c r="G200" i="25"/>
  <c r="C200" i="25"/>
  <c r="B200" i="25"/>
  <c r="G199" i="25"/>
  <c r="C199" i="25"/>
  <c r="B199" i="25"/>
  <c r="G198" i="25"/>
  <c r="C198" i="25"/>
  <c r="B198" i="25"/>
  <c r="G197" i="25"/>
  <c r="C197" i="25"/>
  <c r="B197" i="25"/>
  <c r="G196" i="25"/>
  <c r="C196" i="25"/>
  <c r="B196" i="25"/>
  <c r="G195" i="25"/>
  <c r="C195" i="25"/>
  <c r="B195" i="25"/>
  <c r="G194" i="25"/>
  <c r="C194" i="25"/>
  <c r="B194" i="25"/>
  <c r="G193" i="25"/>
  <c r="C193" i="25"/>
  <c r="B193" i="25"/>
  <c r="G192" i="25"/>
  <c r="C192" i="25"/>
  <c r="B192" i="25"/>
  <c r="G191" i="25"/>
  <c r="C191" i="25"/>
  <c r="B191" i="25"/>
  <c r="G190" i="25"/>
  <c r="C190" i="25"/>
  <c r="B190" i="25"/>
  <c r="G189" i="25"/>
  <c r="C189" i="25"/>
  <c r="B189" i="25"/>
  <c r="G188" i="25"/>
  <c r="C188" i="25"/>
  <c r="B188" i="25"/>
  <c r="G187" i="25"/>
  <c r="C187" i="25"/>
  <c r="B187" i="25"/>
  <c r="G186" i="25"/>
  <c r="C186" i="25"/>
  <c r="B186" i="25"/>
  <c r="G185" i="25"/>
  <c r="C185" i="25"/>
  <c r="B185" i="25"/>
  <c r="G184" i="25"/>
  <c r="C184" i="25"/>
  <c r="B184" i="25"/>
  <c r="G183" i="25"/>
  <c r="C183" i="25"/>
  <c r="B183" i="25"/>
  <c r="G182" i="25"/>
  <c r="C182" i="25"/>
  <c r="B182" i="25"/>
  <c r="G181" i="25"/>
  <c r="C181" i="25"/>
  <c r="B181" i="25"/>
  <c r="G180" i="25"/>
  <c r="C180" i="25"/>
  <c r="B180" i="25"/>
  <c r="G179" i="25"/>
  <c r="C179" i="25"/>
  <c r="B179" i="25"/>
  <c r="G178" i="25"/>
  <c r="C178" i="25"/>
  <c r="B178" i="25"/>
  <c r="G177" i="25"/>
  <c r="C177" i="25"/>
  <c r="B177" i="25"/>
  <c r="G176" i="25"/>
  <c r="C176" i="25"/>
  <c r="B176" i="25"/>
  <c r="G175" i="25"/>
  <c r="C175" i="25"/>
  <c r="B175" i="25"/>
  <c r="G174" i="25"/>
  <c r="C174" i="25"/>
  <c r="B174" i="25"/>
  <c r="G173" i="25"/>
  <c r="C173" i="25"/>
  <c r="B173" i="25"/>
  <c r="G172" i="25"/>
  <c r="C172" i="25"/>
  <c r="B172" i="25"/>
  <c r="G171" i="25"/>
  <c r="C171" i="25"/>
  <c r="B171" i="25"/>
  <c r="G170" i="25"/>
  <c r="C170" i="25"/>
  <c r="B170" i="25"/>
  <c r="G169" i="25"/>
  <c r="C169" i="25"/>
  <c r="B169" i="25"/>
  <c r="G168" i="25"/>
  <c r="C168" i="25"/>
  <c r="B168" i="25"/>
  <c r="G167" i="25"/>
  <c r="C167" i="25"/>
  <c r="B167" i="25"/>
  <c r="G166" i="25"/>
  <c r="C166" i="25"/>
  <c r="B166" i="25"/>
  <c r="G165" i="25"/>
  <c r="C165" i="25"/>
  <c r="B165" i="25"/>
  <c r="G164" i="25"/>
  <c r="C164" i="25"/>
  <c r="B164" i="25"/>
  <c r="G163" i="25"/>
  <c r="C163" i="25"/>
  <c r="B163" i="25"/>
  <c r="G162" i="25"/>
  <c r="C162" i="25"/>
  <c r="B162" i="25"/>
  <c r="G161" i="25"/>
  <c r="C161" i="25"/>
  <c r="B161" i="25"/>
  <c r="G160" i="25"/>
  <c r="C160" i="25"/>
  <c r="B160" i="25"/>
  <c r="G159" i="25"/>
  <c r="C159" i="25"/>
  <c r="B159" i="25"/>
  <c r="G158" i="25"/>
  <c r="C158" i="25"/>
  <c r="B158" i="25"/>
  <c r="G157" i="25"/>
  <c r="C157" i="25"/>
  <c r="B157" i="25"/>
  <c r="G156" i="25"/>
  <c r="C156" i="25"/>
  <c r="B156" i="25"/>
  <c r="G155" i="25"/>
  <c r="C155" i="25"/>
  <c r="B155" i="25"/>
  <c r="G154" i="25"/>
  <c r="C154" i="25"/>
  <c r="B154" i="25"/>
  <c r="G153" i="25"/>
  <c r="C153" i="25"/>
  <c r="B153" i="25"/>
  <c r="G152" i="25"/>
  <c r="C152" i="25"/>
  <c r="B152" i="25"/>
  <c r="G151" i="25"/>
  <c r="C151" i="25"/>
  <c r="B151" i="25"/>
  <c r="G150" i="25"/>
  <c r="C150" i="25"/>
  <c r="B150" i="25"/>
  <c r="G149" i="25"/>
  <c r="C149" i="25"/>
  <c r="B149" i="25"/>
  <c r="G148" i="25"/>
  <c r="C148" i="25"/>
  <c r="B148" i="25"/>
  <c r="G147" i="25"/>
  <c r="C147" i="25"/>
  <c r="B147" i="25"/>
  <c r="G146" i="25"/>
  <c r="C146" i="25"/>
  <c r="B146" i="25"/>
  <c r="G145" i="25"/>
  <c r="C145" i="25"/>
  <c r="B145" i="25"/>
  <c r="G144" i="25"/>
  <c r="C144" i="25"/>
  <c r="B144" i="25"/>
  <c r="G143" i="25"/>
  <c r="C143" i="25"/>
  <c r="B143" i="25"/>
  <c r="G142" i="25"/>
  <c r="C142" i="25"/>
  <c r="B142" i="25"/>
  <c r="G141" i="25"/>
  <c r="C141" i="25"/>
  <c r="B141" i="25"/>
  <c r="G140" i="25"/>
  <c r="C140" i="25"/>
  <c r="B140" i="25"/>
  <c r="G139" i="25"/>
  <c r="C139" i="25"/>
  <c r="B139" i="25"/>
  <c r="G138" i="25"/>
  <c r="C138" i="25"/>
  <c r="B138" i="25"/>
  <c r="G137" i="25"/>
  <c r="C137" i="25"/>
  <c r="B137" i="25"/>
  <c r="G136" i="25"/>
  <c r="C136" i="25"/>
  <c r="B136" i="25"/>
  <c r="G135" i="25"/>
  <c r="C135" i="25"/>
  <c r="B135" i="25"/>
  <c r="G134" i="25"/>
  <c r="C134" i="25"/>
  <c r="B134" i="25"/>
  <c r="G133" i="25"/>
  <c r="C133" i="25"/>
  <c r="B133" i="25"/>
  <c r="G132" i="25"/>
  <c r="C132" i="25"/>
  <c r="B132" i="25"/>
  <c r="G131" i="25"/>
  <c r="C131" i="25"/>
  <c r="B131" i="25"/>
  <c r="G130" i="25"/>
  <c r="C130" i="25"/>
  <c r="B130" i="25"/>
  <c r="G129" i="25"/>
  <c r="C129" i="25"/>
  <c r="B129" i="25"/>
  <c r="G128" i="25"/>
  <c r="C128" i="25"/>
  <c r="B128" i="25"/>
  <c r="G127" i="25"/>
  <c r="C127" i="25"/>
  <c r="B127" i="25"/>
  <c r="G126" i="25"/>
  <c r="C126" i="25"/>
  <c r="B126" i="25"/>
  <c r="G125" i="25"/>
  <c r="C125" i="25"/>
  <c r="B125" i="25"/>
  <c r="G124" i="25"/>
  <c r="C124" i="25"/>
  <c r="B124" i="25"/>
  <c r="G123" i="25"/>
  <c r="C123" i="25"/>
  <c r="B123" i="25"/>
  <c r="G122" i="25"/>
  <c r="C122" i="25"/>
  <c r="B122" i="25"/>
  <c r="G121" i="25"/>
  <c r="C121" i="25"/>
  <c r="B121" i="25"/>
  <c r="G120" i="25"/>
  <c r="C120" i="25"/>
  <c r="B120" i="25"/>
  <c r="G119" i="25"/>
  <c r="C119" i="25"/>
  <c r="B119" i="25"/>
  <c r="G118" i="25"/>
  <c r="C118" i="25"/>
  <c r="B118" i="25"/>
  <c r="G117" i="25"/>
  <c r="C117" i="25"/>
  <c r="B117" i="25"/>
  <c r="G116" i="25"/>
  <c r="C116" i="25"/>
  <c r="B116" i="25"/>
  <c r="G115" i="25"/>
  <c r="C115" i="25"/>
  <c r="B115" i="25"/>
  <c r="G114" i="25"/>
  <c r="C114" i="25"/>
  <c r="B114" i="25"/>
  <c r="G113" i="25"/>
  <c r="C113" i="25"/>
  <c r="B113" i="25"/>
  <c r="G112" i="25"/>
  <c r="C112" i="25"/>
  <c r="B112" i="25"/>
  <c r="G111" i="25"/>
  <c r="C111" i="25"/>
  <c r="B111" i="25"/>
  <c r="G110" i="25"/>
  <c r="C110" i="25"/>
  <c r="B110" i="25"/>
  <c r="G109" i="25"/>
  <c r="C109" i="25"/>
  <c r="B109" i="25"/>
  <c r="G108" i="25"/>
  <c r="C108" i="25"/>
  <c r="B108" i="25"/>
  <c r="G107" i="25"/>
  <c r="C107" i="25"/>
  <c r="B107" i="25"/>
  <c r="G106" i="25"/>
  <c r="C106" i="25"/>
  <c r="B106" i="25"/>
  <c r="G105" i="25"/>
  <c r="C105" i="25"/>
  <c r="B105" i="25"/>
  <c r="G104" i="25"/>
  <c r="C104" i="25"/>
  <c r="B104" i="25"/>
  <c r="G103" i="25"/>
  <c r="C103" i="25"/>
  <c r="B103" i="25"/>
  <c r="G102" i="25"/>
  <c r="C102" i="25"/>
  <c r="B102" i="25"/>
  <c r="G101" i="25"/>
  <c r="C101" i="25"/>
  <c r="B101" i="25"/>
  <c r="G100" i="25"/>
  <c r="C100" i="25"/>
  <c r="B100" i="25"/>
  <c r="G99" i="25"/>
  <c r="C99" i="25"/>
  <c r="B99" i="25"/>
  <c r="G98" i="25"/>
  <c r="C98" i="25"/>
  <c r="B98" i="25"/>
  <c r="G97" i="25"/>
  <c r="C97" i="25"/>
  <c r="B97" i="25"/>
  <c r="G96" i="25"/>
  <c r="C96" i="25"/>
  <c r="B96" i="25"/>
  <c r="G95" i="25"/>
  <c r="C95" i="25"/>
  <c r="B95" i="25"/>
  <c r="G94" i="25"/>
  <c r="C94" i="25"/>
  <c r="B94" i="25"/>
  <c r="G93" i="25"/>
  <c r="C93" i="25"/>
  <c r="B93" i="25"/>
  <c r="G92" i="25"/>
  <c r="C92" i="25"/>
  <c r="B92" i="25"/>
  <c r="G91" i="25"/>
  <c r="C91" i="25"/>
  <c r="B91" i="25"/>
  <c r="G90" i="25"/>
  <c r="C90" i="25"/>
  <c r="B90" i="25"/>
  <c r="G89" i="25"/>
  <c r="C89" i="25"/>
  <c r="B89" i="25"/>
  <c r="G88" i="25"/>
  <c r="C88" i="25"/>
  <c r="B88" i="25"/>
  <c r="G87" i="25"/>
  <c r="C87" i="25"/>
  <c r="B87" i="25"/>
  <c r="G86" i="25"/>
  <c r="C86" i="25"/>
  <c r="B86" i="25"/>
  <c r="G85" i="25"/>
  <c r="C85" i="25"/>
  <c r="B85" i="25"/>
  <c r="G84" i="25"/>
  <c r="C84" i="25"/>
  <c r="B84" i="25"/>
  <c r="G83" i="25"/>
  <c r="C83" i="25"/>
  <c r="B83" i="25"/>
  <c r="G82" i="25"/>
  <c r="C82" i="25"/>
  <c r="B82" i="25"/>
  <c r="G81" i="25"/>
  <c r="C81" i="25"/>
  <c r="B81" i="25"/>
  <c r="G80" i="25"/>
  <c r="C80" i="25"/>
  <c r="B80" i="25"/>
  <c r="G79" i="25"/>
  <c r="C79" i="25"/>
  <c r="B79" i="25"/>
  <c r="G78" i="25"/>
  <c r="C78" i="25"/>
  <c r="B78" i="25"/>
  <c r="G77" i="25"/>
  <c r="C77" i="25"/>
  <c r="B77" i="25"/>
  <c r="G76" i="25"/>
  <c r="C76" i="25"/>
  <c r="B76" i="25"/>
  <c r="G75" i="25"/>
  <c r="C75" i="25"/>
  <c r="B75" i="25"/>
  <c r="G74" i="25"/>
  <c r="C74" i="25"/>
  <c r="B74" i="25"/>
  <c r="G73" i="25"/>
  <c r="C73" i="25"/>
  <c r="B73" i="25"/>
  <c r="G72" i="25"/>
  <c r="C72" i="25"/>
  <c r="B72" i="25"/>
  <c r="G71" i="25"/>
  <c r="C71" i="25"/>
  <c r="B71" i="25"/>
  <c r="G70" i="25"/>
  <c r="C70" i="25"/>
  <c r="B70" i="25"/>
  <c r="G69" i="25"/>
  <c r="C69" i="25"/>
  <c r="B69" i="25"/>
  <c r="G68" i="25"/>
  <c r="C68" i="25"/>
  <c r="B68" i="25"/>
  <c r="G67" i="25"/>
  <c r="C67" i="25"/>
  <c r="B67" i="25"/>
  <c r="G66" i="25"/>
  <c r="C66" i="25"/>
  <c r="B66" i="25"/>
  <c r="G65" i="25"/>
  <c r="C65" i="25"/>
  <c r="B65" i="25"/>
  <c r="G64" i="25"/>
  <c r="C64" i="25"/>
  <c r="B64" i="25"/>
  <c r="G63" i="25"/>
  <c r="C63" i="25"/>
  <c r="B63" i="25"/>
  <c r="G62" i="25"/>
  <c r="C62" i="25"/>
  <c r="B62" i="25"/>
  <c r="G61" i="25"/>
  <c r="C61" i="25"/>
  <c r="B61" i="25"/>
  <c r="G60" i="25"/>
  <c r="C60" i="25"/>
  <c r="B60" i="25"/>
  <c r="G59" i="25"/>
  <c r="C59" i="25"/>
  <c r="B59" i="25"/>
  <c r="G58" i="25"/>
  <c r="C58" i="25"/>
  <c r="B58" i="25"/>
  <c r="G57" i="25"/>
  <c r="C57" i="25"/>
  <c r="B57" i="25"/>
  <c r="G56" i="25"/>
  <c r="C56" i="25"/>
  <c r="B56" i="25"/>
  <c r="G55" i="25"/>
  <c r="C55" i="25"/>
  <c r="B55" i="25"/>
  <c r="G54" i="25"/>
  <c r="C54" i="25"/>
  <c r="B54" i="25"/>
  <c r="G53" i="25"/>
  <c r="C53" i="25"/>
  <c r="B53" i="25"/>
  <c r="G52" i="25"/>
  <c r="C52" i="25"/>
  <c r="B52" i="25"/>
  <c r="G51" i="25"/>
  <c r="C51" i="25"/>
  <c r="B51" i="25"/>
  <c r="G50" i="25"/>
  <c r="C50" i="25"/>
  <c r="B50" i="25"/>
  <c r="G49" i="25"/>
  <c r="C49" i="25"/>
  <c r="B49" i="25"/>
  <c r="G48" i="25"/>
  <c r="C48" i="25"/>
  <c r="B48" i="25"/>
  <c r="G47" i="25"/>
  <c r="C47" i="25"/>
  <c r="B47" i="25"/>
  <c r="G46" i="25"/>
  <c r="C46" i="25"/>
  <c r="B46" i="25"/>
  <c r="G45" i="25"/>
  <c r="C45" i="25"/>
  <c r="B45" i="25"/>
  <c r="G44" i="25"/>
  <c r="C44" i="25"/>
  <c r="B44" i="25"/>
  <c r="G43" i="25"/>
  <c r="C43" i="25"/>
  <c r="B43" i="25"/>
  <c r="G42" i="25"/>
  <c r="C42" i="25"/>
  <c r="B42" i="25"/>
  <c r="G41" i="25"/>
  <c r="C41" i="25"/>
  <c r="B41" i="25"/>
  <c r="G40" i="25"/>
  <c r="C40" i="25"/>
  <c r="B40" i="25"/>
  <c r="G39" i="25"/>
  <c r="C39" i="25"/>
  <c r="B39" i="25"/>
  <c r="G38" i="25"/>
  <c r="C38" i="25"/>
  <c r="B38" i="25"/>
  <c r="G37" i="25"/>
  <c r="C37" i="25"/>
  <c r="B37" i="25"/>
  <c r="G36" i="25"/>
  <c r="C36" i="25"/>
  <c r="B36" i="25"/>
  <c r="G35" i="25"/>
  <c r="C35" i="25"/>
  <c r="B35" i="25"/>
  <c r="G34" i="25"/>
  <c r="C34" i="25"/>
  <c r="B34" i="25"/>
  <c r="G33" i="25"/>
  <c r="C33" i="25"/>
  <c r="B33" i="25"/>
  <c r="G32" i="25"/>
  <c r="C32" i="25"/>
  <c r="B32" i="25"/>
  <c r="G31" i="25"/>
  <c r="C31" i="25"/>
  <c r="B31" i="25"/>
  <c r="G30" i="25"/>
  <c r="C30" i="25"/>
  <c r="B30" i="25"/>
  <c r="G29" i="25"/>
  <c r="C29" i="25"/>
  <c r="B29" i="25"/>
  <c r="G28" i="25"/>
  <c r="C28" i="25"/>
  <c r="B28" i="25"/>
  <c r="G27" i="25"/>
  <c r="C27" i="25"/>
  <c r="B27" i="25"/>
  <c r="G26" i="25"/>
  <c r="C26" i="25"/>
  <c r="B26" i="25"/>
  <c r="G25" i="25"/>
  <c r="C25" i="25"/>
  <c r="B25" i="25"/>
  <c r="G24" i="25"/>
  <c r="C24" i="25"/>
  <c r="B24" i="25"/>
  <c r="G23" i="25"/>
  <c r="C23" i="25"/>
  <c r="B23" i="25"/>
  <c r="G22" i="25"/>
  <c r="C22" i="25"/>
  <c r="B22" i="25"/>
  <c r="G21" i="25"/>
  <c r="C21" i="25"/>
  <c r="B21" i="25"/>
  <c r="G20" i="25"/>
  <c r="C20" i="25"/>
  <c r="B20" i="25"/>
  <c r="G19" i="25"/>
  <c r="C19" i="25"/>
  <c r="B19" i="25"/>
  <c r="G18" i="25"/>
  <c r="C18" i="25"/>
  <c r="B18" i="25"/>
  <c r="G17" i="25"/>
  <c r="C17" i="25"/>
  <c r="B17" i="25"/>
  <c r="G16" i="25"/>
  <c r="C16" i="25"/>
  <c r="B16" i="25"/>
  <c r="G15" i="25"/>
  <c r="C15" i="25"/>
  <c r="B15" i="25"/>
  <c r="G14" i="25"/>
  <c r="C14" i="25"/>
  <c r="B14" i="25"/>
  <c r="G13" i="25"/>
  <c r="C13" i="25"/>
  <c r="B13" i="25"/>
  <c r="G12" i="25"/>
  <c r="C12" i="25"/>
  <c r="B12" i="25"/>
  <c r="G11" i="25"/>
  <c r="C11" i="25"/>
  <c r="B11" i="25"/>
  <c r="G10" i="25"/>
  <c r="C10" i="25"/>
  <c r="B10" i="25"/>
  <c r="G9" i="25"/>
  <c r="C9" i="25"/>
  <c r="B9" i="25"/>
  <c r="G8" i="25"/>
  <c r="C8" i="25"/>
  <c r="B8" i="25"/>
  <c r="G7" i="25"/>
  <c r="C7" i="25"/>
  <c r="B7" i="25"/>
  <c r="G6" i="25"/>
  <c r="C6" i="25"/>
  <c r="B6" i="25"/>
  <c r="G5" i="25"/>
  <c r="C5" i="25"/>
  <c r="B5" i="25"/>
  <c r="G4" i="25"/>
  <c r="C4" i="25"/>
  <c r="B4" i="25"/>
  <c r="G3" i="25"/>
  <c r="C3" i="25"/>
  <c r="B3" i="25"/>
  <c r="G2" i="25"/>
  <c r="C2" i="25"/>
  <c r="B2" i="25"/>
  <c r="K4" i="12"/>
  <c r="J3" i="25"/>
  <c r="O3" i="25"/>
  <c r="P3" i="25"/>
  <c r="Q3" i="25"/>
  <c r="R3" i="25"/>
  <c r="N3" i="25"/>
  <c r="W3" i="25"/>
  <c r="K5" i="12"/>
  <c r="J4" i="25"/>
  <c r="O4" i="25"/>
  <c r="P4" i="25"/>
  <c r="Q4" i="25"/>
  <c r="R4" i="25"/>
  <c r="N4" i="25"/>
  <c r="W4" i="25"/>
  <c r="K6" i="12"/>
  <c r="J5" i="25"/>
  <c r="O5" i="25"/>
  <c r="P5" i="25"/>
  <c r="Q5" i="25"/>
  <c r="R5" i="25"/>
  <c r="N5" i="25"/>
  <c r="W5" i="25"/>
  <c r="K7" i="12"/>
  <c r="J6" i="25"/>
  <c r="O6" i="25"/>
  <c r="P6" i="25"/>
  <c r="Q6" i="25"/>
  <c r="R6" i="25"/>
  <c r="N6" i="25"/>
  <c r="W6" i="25"/>
  <c r="K8" i="12"/>
  <c r="J7" i="25"/>
  <c r="O7" i="25"/>
  <c r="P7" i="25"/>
  <c r="Q7" i="25"/>
  <c r="R7" i="25"/>
  <c r="N7" i="25"/>
  <c r="W7" i="25"/>
  <c r="K9" i="12"/>
  <c r="J8" i="25"/>
  <c r="O8" i="25"/>
  <c r="P8" i="25"/>
  <c r="Q8" i="25"/>
  <c r="R8" i="25"/>
  <c r="N8" i="25"/>
  <c r="W8" i="25"/>
  <c r="K10" i="12"/>
  <c r="J9" i="25"/>
  <c r="O9" i="25"/>
  <c r="P9" i="25"/>
  <c r="Q9" i="25"/>
  <c r="R9" i="25"/>
  <c r="N9" i="25"/>
  <c r="W9" i="25"/>
  <c r="K11" i="12"/>
  <c r="J10" i="25"/>
  <c r="O10" i="25"/>
  <c r="P10" i="25"/>
  <c r="Q10" i="25"/>
  <c r="R10" i="25"/>
  <c r="N10" i="25"/>
  <c r="W10" i="25"/>
  <c r="K12" i="12"/>
  <c r="J11" i="25"/>
  <c r="O11" i="25"/>
  <c r="P11" i="25"/>
  <c r="Q11" i="25"/>
  <c r="R11" i="25"/>
  <c r="N11" i="25"/>
  <c r="W11" i="25"/>
  <c r="K13" i="12"/>
  <c r="J12" i="25"/>
  <c r="O12" i="25"/>
  <c r="P12" i="25"/>
  <c r="Q12" i="25"/>
  <c r="R12" i="25"/>
  <c r="N12" i="25"/>
  <c r="W12" i="25"/>
  <c r="K14" i="12"/>
  <c r="J13" i="25"/>
  <c r="O13" i="25"/>
  <c r="P13" i="25"/>
  <c r="Q13" i="25"/>
  <c r="R13" i="25"/>
  <c r="N13" i="25"/>
  <c r="W13" i="25"/>
  <c r="K15" i="12"/>
  <c r="J14" i="25"/>
  <c r="O14" i="25"/>
  <c r="P14" i="25"/>
  <c r="Q14" i="25"/>
  <c r="R14" i="25"/>
  <c r="N14" i="25"/>
  <c r="W14" i="25"/>
  <c r="K16" i="12"/>
  <c r="J15" i="25"/>
  <c r="O15" i="25"/>
  <c r="P15" i="25"/>
  <c r="Q15" i="25"/>
  <c r="R15" i="25"/>
  <c r="N15" i="25"/>
  <c r="W15" i="25"/>
  <c r="K17" i="12"/>
  <c r="J16" i="25"/>
  <c r="O16" i="25"/>
  <c r="P16" i="25"/>
  <c r="Q16" i="25"/>
  <c r="R16" i="25"/>
  <c r="N16" i="25"/>
  <c r="W16" i="25"/>
  <c r="K18" i="12"/>
  <c r="J17" i="25"/>
  <c r="O17" i="25"/>
  <c r="P17" i="25"/>
  <c r="Q17" i="25"/>
  <c r="R17" i="25"/>
  <c r="N17" i="25"/>
  <c r="W17" i="25"/>
  <c r="K19" i="12"/>
  <c r="J18" i="25"/>
  <c r="O18" i="25"/>
  <c r="P18" i="25"/>
  <c r="Q18" i="25"/>
  <c r="R18" i="25"/>
  <c r="N18" i="25"/>
  <c r="W18" i="25"/>
  <c r="K20" i="12"/>
  <c r="J19" i="25"/>
  <c r="O19" i="25"/>
  <c r="P19" i="25"/>
  <c r="Q19" i="25"/>
  <c r="R19" i="25"/>
  <c r="N19" i="25"/>
  <c r="W19" i="25"/>
  <c r="K21" i="12"/>
  <c r="J20" i="25"/>
  <c r="O20" i="25"/>
  <c r="P20" i="25"/>
  <c r="Q20" i="25"/>
  <c r="R20" i="25"/>
  <c r="N20" i="25"/>
  <c r="W20" i="25"/>
  <c r="K22" i="12"/>
  <c r="J21" i="25"/>
  <c r="O21" i="25"/>
  <c r="P21" i="25"/>
  <c r="Q21" i="25"/>
  <c r="R21" i="25"/>
  <c r="N21" i="25"/>
  <c r="W21" i="25"/>
  <c r="K23" i="12"/>
  <c r="J22" i="25"/>
  <c r="O22" i="25"/>
  <c r="P22" i="25"/>
  <c r="Q22" i="25"/>
  <c r="R22" i="25"/>
  <c r="N22" i="25"/>
  <c r="W22" i="25"/>
  <c r="K24" i="12"/>
  <c r="J23" i="25"/>
  <c r="O23" i="25"/>
  <c r="P23" i="25"/>
  <c r="Q23" i="25"/>
  <c r="R23" i="25"/>
  <c r="N23" i="25"/>
  <c r="W23" i="25"/>
  <c r="K25" i="12"/>
  <c r="J24" i="25"/>
  <c r="O24" i="25"/>
  <c r="P24" i="25"/>
  <c r="Q24" i="25"/>
  <c r="R24" i="25"/>
  <c r="N24" i="25"/>
  <c r="W24" i="25"/>
  <c r="K26" i="12"/>
  <c r="J25" i="25"/>
  <c r="O25" i="25"/>
  <c r="P25" i="25"/>
  <c r="Q25" i="25"/>
  <c r="R25" i="25"/>
  <c r="N25" i="25"/>
  <c r="W25" i="25"/>
  <c r="K27" i="12"/>
  <c r="J26" i="25"/>
  <c r="O26" i="25"/>
  <c r="P26" i="25"/>
  <c r="Q26" i="25"/>
  <c r="R26" i="25"/>
  <c r="N26" i="25"/>
  <c r="W26" i="25"/>
  <c r="K28" i="12"/>
  <c r="J27" i="25"/>
  <c r="O27" i="25"/>
  <c r="P27" i="25"/>
  <c r="Q27" i="25"/>
  <c r="R27" i="25"/>
  <c r="N27" i="25"/>
  <c r="W27" i="25"/>
  <c r="K29" i="12"/>
  <c r="J28" i="25"/>
  <c r="O28" i="25"/>
  <c r="P28" i="25"/>
  <c r="Q28" i="25"/>
  <c r="R28" i="25"/>
  <c r="N28" i="25"/>
  <c r="W28" i="25"/>
  <c r="K30" i="12"/>
  <c r="J29" i="25"/>
  <c r="O29" i="25"/>
  <c r="P29" i="25"/>
  <c r="Q29" i="25"/>
  <c r="R29" i="25"/>
  <c r="N29" i="25"/>
  <c r="W29" i="25"/>
  <c r="K31" i="12"/>
  <c r="J30" i="25"/>
  <c r="O30" i="25"/>
  <c r="P30" i="25"/>
  <c r="Q30" i="25"/>
  <c r="R30" i="25"/>
  <c r="N30" i="25"/>
  <c r="W30" i="25"/>
  <c r="K32" i="12"/>
  <c r="J31" i="25"/>
  <c r="O31" i="25"/>
  <c r="P31" i="25"/>
  <c r="Q31" i="25"/>
  <c r="R31" i="25"/>
  <c r="N31" i="25"/>
  <c r="W31" i="25"/>
  <c r="K33" i="12"/>
  <c r="J32" i="25"/>
  <c r="O32" i="25"/>
  <c r="P32" i="25"/>
  <c r="Q32" i="25"/>
  <c r="R32" i="25"/>
  <c r="N32" i="25"/>
  <c r="W32" i="25"/>
  <c r="K34" i="12"/>
  <c r="J33" i="25"/>
  <c r="O33" i="25"/>
  <c r="P33" i="25"/>
  <c r="Q33" i="25"/>
  <c r="R33" i="25"/>
  <c r="N33" i="25"/>
  <c r="W33" i="25"/>
  <c r="K35" i="12"/>
  <c r="J34" i="25"/>
  <c r="O34" i="25"/>
  <c r="P34" i="25"/>
  <c r="Q34" i="25"/>
  <c r="R34" i="25"/>
  <c r="N34" i="25"/>
  <c r="W34" i="25"/>
  <c r="K36" i="12"/>
  <c r="J35" i="25"/>
  <c r="O35" i="25"/>
  <c r="P35" i="25"/>
  <c r="Q35" i="25"/>
  <c r="R35" i="25"/>
  <c r="N35" i="25"/>
  <c r="W35" i="25"/>
  <c r="K37" i="12"/>
  <c r="J36" i="25"/>
  <c r="O36" i="25"/>
  <c r="P36" i="25"/>
  <c r="Q36" i="25"/>
  <c r="R36" i="25"/>
  <c r="N36" i="25"/>
  <c r="W36" i="25"/>
  <c r="K38" i="12"/>
  <c r="J37" i="25"/>
  <c r="O37" i="25"/>
  <c r="P37" i="25"/>
  <c r="Q37" i="25"/>
  <c r="R37" i="25"/>
  <c r="N37" i="25"/>
  <c r="W37" i="25"/>
  <c r="K39" i="12"/>
  <c r="J38" i="25"/>
  <c r="O38" i="25"/>
  <c r="P38" i="25"/>
  <c r="Q38" i="25"/>
  <c r="R38" i="25"/>
  <c r="N38" i="25"/>
  <c r="W38" i="25"/>
  <c r="K40" i="12"/>
  <c r="J39" i="25"/>
  <c r="O39" i="25"/>
  <c r="P39" i="25"/>
  <c r="Q39" i="25"/>
  <c r="R39" i="25"/>
  <c r="N39" i="25"/>
  <c r="W39" i="25"/>
  <c r="K41" i="12"/>
  <c r="J40" i="25"/>
  <c r="O40" i="25"/>
  <c r="P40" i="25"/>
  <c r="Q40" i="25"/>
  <c r="R40" i="25"/>
  <c r="N40" i="25"/>
  <c r="W40" i="25"/>
  <c r="K42" i="12"/>
  <c r="J41" i="25"/>
  <c r="O41" i="25"/>
  <c r="P41" i="25"/>
  <c r="Q41" i="25"/>
  <c r="R41" i="25"/>
  <c r="N41" i="25"/>
  <c r="W41" i="25"/>
  <c r="K43" i="12"/>
  <c r="J42" i="25"/>
  <c r="O42" i="25"/>
  <c r="P42" i="25"/>
  <c r="Q42" i="25"/>
  <c r="R42" i="25"/>
  <c r="N42" i="25"/>
  <c r="W42" i="25"/>
  <c r="K44" i="12"/>
  <c r="J43" i="25"/>
  <c r="O43" i="25"/>
  <c r="P43" i="25"/>
  <c r="Q43" i="25"/>
  <c r="R43" i="25"/>
  <c r="N43" i="25"/>
  <c r="W43" i="25"/>
  <c r="K45" i="12"/>
  <c r="J44" i="25"/>
  <c r="O44" i="25"/>
  <c r="P44" i="25"/>
  <c r="Q44" i="25"/>
  <c r="R44" i="25"/>
  <c r="N44" i="25"/>
  <c r="W44" i="25"/>
  <c r="K46" i="12"/>
  <c r="J45" i="25"/>
  <c r="O45" i="25"/>
  <c r="P45" i="25"/>
  <c r="Q45" i="25"/>
  <c r="R45" i="25"/>
  <c r="N45" i="25"/>
  <c r="W45" i="25"/>
  <c r="K47" i="12"/>
  <c r="J46" i="25"/>
  <c r="O46" i="25"/>
  <c r="P46" i="25"/>
  <c r="Q46" i="25"/>
  <c r="R46" i="25"/>
  <c r="N46" i="25"/>
  <c r="W46" i="25"/>
  <c r="K48" i="12"/>
  <c r="J47" i="25"/>
  <c r="O47" i="25"/>
  <c r="P47" i="25"/>
  <c r="Q47" i="25"/>
  <c r="R47" i="25"/>
  <c r="N47" i="25"/>
  <c r="W47" i="25"/>
  <c r="K49" i="12"/>
  <c r="J48" i="25"/>
  <c r="O48" i="25"/>
  <c r="P48" i="25"/>
  <c r="Q48" i="25"/>
  <c r="R48" i="25"/>
  <c r="N48" i="25"/>
  <c r="W48" i="25"/>
  <c r="K50" i="12"/>
  <c r="J49" i="25"/>
  <c r="O49" i="25"/>
  <c r="P49" i="25"/>
  <c r="Q49" i="25"/>
  <c r="R49" i="25"/>
  <c r="N49" i="25"/>
  <c r="W49" i="25"/>
  <c r="K51" i="12"/>
  <c r="J50" i="25"/>
  <c r="O50" i="25"/>
  <c r="P50" i="25"/>
  <c r="Q50" i="25"/>
  <c r="R50" i="25"/>
  <c r="N50" i="25"/>
  <c r="W50" i="25"/>
  <c r="K52" i="12"/>
  <c r="J51" i="25"/>
  <c r="O51" i="25"/>
  <c r="P51" i="25"/>
  <c r="Q51" i="25"/>
  <c r="R51" i="25"/>
  <c r="N51" i="25"/>
  <c r="W51" i="25"/>
  <c r="K53" i="12"/>
  <c r="J52" i="25"/>
  <c r="O52" i="25"/>
  <c r="P52" i="25"/>
  <c r="Q52" i="25"/>
  <c r="R52" i="25"/>
  <c r="N52" i="25"/>
  <c r="W52" i="25"/>
  <c r="K54" i="12"/>
  <c r="J53" i="25"/>
  <c r="O53" i="25"/>
  <c r="P53" i="25"/>
  <c r="Q53" i="25"/>
  <c r="R53" i="25"/>
  <c r="N53" i="25"/>
  <c r="W53" i="25"/>
  <c r="K55" i="12"/>
  <c r="J54" i="25"/>
  <c r="O54" i="25"/>
  <c r="P54" i="25"/>
  <c r="Q54" i="25"/>
  <c r="R54" i="25"/>
  <c r="N54" i="25"/>
  <c r="W54" i="25"/>
  <c r="K56" i="12"/>
  <c r="J55" i="25"/>
  <c r="O55" i="25"/>
  <c r="P55" i="25"/>
  <c r="Q55" i="25"/>
  <c r="R55" i="25"/>
  <c r="N55" i="25"/>
  <c r="W55" i="25"/>
  <c r="K57" i="12"/>
  <c r="J56" i="25"/>
  <c r="O56" i="25"/>
  <c r="P56" i="25"/>
  <c r="Q56" i="25"/>
  <c r="R56" i="25"/>
  <c r="N56" i="25"/>
  <c r="W56" i="25"/>
  <c r="K58" i="12"/>
  <c r="J57" i="25"/>
  <c r="O57" i="25"/>
  <c r="P57" i="25"/>
  <c r="Q57" i="25"/>
  <c r="R57" i="25"/>
  <c r="N57" i="25"/>
  <c r="W57" i="25"/>
  <c r="O58" i="25"/>
  <c r="P58" i="25"/>
  <c r="Q58" i="25"/>
  <c r="R58" i="25"/>
  <c r="N58" i="25"/>
  <c r="W58" i="25"/>
  <c r="K60" i="12"/>
  <c r="J59" i="25"/>
  <c r="O59" i="25"/>
  <c r="P59" i="25"/>
  <c r="Q59" i="25"/>
  <c r="R59" i="25"/>
  <c r="N59" i="25"/>
  <c r="W59" i="25"/>
  <c r="K61" i="12"/>
  <c r="J60" i="25"/>
  <c r="O60" i="25"/>
  <c r="P60" i="25"/>
  <c r="Q60" i="25"/>
  <c r="R60" i="25"/>
  <c r="N60" i="25"/>
  <c r="W60" i="25"/>
  <c r="K62" i="12"/>
  <c r="J61" i="25"/>
  <c r="O61" i="25"/>
  <c r="P61" i="25"/>
  <c r="Q61" i="25"/>
  <c r="R61" i="25"/>
  <c r="N61" i="25"/>
  <c r="W61" i="25"/>
  <c r="K63" i="12"/>
  <c r="J62" i="25"/>
  <c r="O62" i="25"/>
  <c r="P62" i="25"/>
  <c r="Q62" i="25"/>
  <c r="R62" i="25"/>
  <c r="N62" i="25"/>
  <c r="W62" i="25"/>
  <c r="K64" i="12"/>
  <c r="J63" i="25"/>
  <c r="O63" i="25"/>
  <c r="P63" i="25"/>
  <c r="Q63" i="25"/>
  <c r="R63" i="25"/>
  <c r="N63" i="25"/>
  <c r="W63" i="25"/>
  <c r="K65" i="12"/>
  <c r="J64" i="25"/>
  <c r="O64" i="25"/>
  <c r="P64" i="25"/>
  <c r="Q64" i="25"/>
  <c r="R64" i="25"/>
  <c r="N64" i="25"/>
  <c r="W64" i="25"/>
  <c r="K66" i="12"/>
  <c r="J65" i="25"/>
  <c r="O65" i="25"/>
  <c r="P65" i="25"/>
  <c r="Q65" i="25"/>
  <c r="R65" i="25"/>
  <c r="N65" i="25"/>
  <c r="W65" i="25"/>
  <c r="K67" i="12"/>
  <c r="J66" i="25"/>
  <c r="O66" i="25"/>
  <c r="P66" i="25"/>
  <c r="Q66" i="25"/>
  <c r="R66" i="25"/>
  <c r="N66" i="25"/>
  <c r="W66" i="25"/>
  <c r="K68" i="12"/>
  <c r="J67" i="25"/>
  <c r="O67" i="25"/>
  <c r="P67" i="25"/>
  <c r="Q67" i="25"/>
  <c r="R67" i="25"/>
  <c r="N67" i="25"/>
  <c r="W67" i="25"/>
  <c r="K69" i="12"/>
  <c r="J68" i="25"/>
  <c r="O68" i="25"/>
  <c r="P68" i="25"/>
  <c r="Q68" i="25"/>
  <c r="R68" i="25"/>
  <c r="N68" i="25"/>
  <c r="W68" i="25"/>
  <c r="K70" i="12"/>
  <c r="J69" i="25"/>
  <c r="O69" i="25"/>
  <c r="P69" i="25"/>
  <c r="Q69" i="25"/>
  <c r="R69" i="25"/>
  <c r="N69" i="25"/>
  <c r="W69" i="25"/>
  <c r="K71" i="12"/>
  <c r="J70" i="25"/>
  <c r="O70" i="25"/>
  <c r="P70" i="25"/>
  <c r="Q70" i="25"/>
  <c r="R70" i="25"/>
  <c r="N70" i="25"/>
  <c r="W70" i="25"/>
  <c r="K72" i="12"/>
  <c r="J71" i="25"/>
  <c r="O71" i="25"/>
  <c r="P71" i="25"/>
  <c r="Q71" i="25"/>
  <c r="R71" i="25"/>
  <c r="N71" i="25"/>
  <c r="W71" i="25"/>
  <c r="K73" i="12"/>
  <c r="J72" i="25"/>
  <c r="O72" i="25"/>
  <c r="P72" i="25"/>
  <c r="Q72" i="25"/>
  <c r="R72" i="25"/>
  <c r="N72" i="25"/>
  <c r="W72" i="25"/>
  <c r="K74" i="12"/>
  <c r="J73" i="25"/>
  <c r="O73" i="25"/>
  <c r="P73" i="25"/>
  <c r="Q73" i="25"/>
  <c r="R73" i="25"/>
  <c r="N73" i="25"/>
  <c r="W73" i="25"/>
  <c r="K75" i="12"/>
  <c r="J74" i="25"/>
  <c r="O74" i="25"/>
  <c r="P74" i="25"/>
  <c r="Q74" i="25"/>
  <c r="R74" i="25"/>
  <c r="N74" i="25"/>
  <c r="W74" i="25"/>
  <c r="K76" i="12"/>
  <c r="J75" i="25"/>
  <c r="O75" i="25"/>
  <c r="P75" i="25"/>
  <c r="Q75" i="25"/>
  <c r="R75" i="25"/>
  <c r="N75" i="25"/>
  <c r="W75" i="25"/>
  <c r="K77" i="12"/>
  <c r="J76" i="25"/>
  <c r="O76" i="25"/>
  <c r="P76" i="25"/>
  <c r="Q76" i="25"/>
  <c r="R76" i="25"/>
  <c r="N76" i="25"/>
  <c r="W76" i="25"/>
  <c r="K78" i="12"/>
  <c r="J77" i="25"/>
  <c r="O77" i="25"/>
  <c r="P77" i="25"/>
  <c r="Q77" i="25"/>
  <c r="R77" i="25"/>
  <c r="N77" i="25"/>
  <c r="W77" i="25"/>
  <c r="K79" i="12"/>
  <c r="J78" i="25"/>
  <c r="O78" i="25"/>
  <c r="P78" i="25"/>
  <c r="Q78" i="25"/>
  <c r="R78" i="25"/>
  <c r="N78" i="25"/>
  <c r="W78" i="25"/>
  <c r="K80" i="12"/>
  <c r="J79" i="25"/>
  <c r="O79" i="25"/>
  <c r="P79" i="25"/>
  <c r="Q79" i="25"/>
  <c r="R79" i="25"/>
  <c r="N79" i="25"/>
  <c r="W79" i="25"/>
  <c r="K81" i="12"/>
  <c r="J80" i="25"/>
  <c r="O80" i="25"/>
  <c r="P80" i="25"/>
  <c r="Q80" i="25"/>
  <c r="R80" i="25"/>
  <c r="N80" i="25"/>
  <c r="W80" i="25"/>
  <c r="K82" i="12"/>
  <c r="J81" i="25"/>
  <c r="O81" i="25"/>
  <c r="P81" i="25"/>
  <c r="Q81" i="25"/>
  <c r="R81" i="25"/>
  <c r="N81" i="25"/>
  <c r="W81" i="25"/>
  <c r="K83" i="12"/>
  <c r="J82" i="25"/>
  <c r="O82" i="25"/>
  <c r="P82" i="25"/>
  <c r="Q82" i="25"/>
  <c r="R82" i="25"/>
  <c r="N82" i="25"/>
  <c r="W82" i="25"/>
  <c r="K84" i="12"/>
  <c r="J83" i="25"/>
  <c r="O83" i="25"/>
  <c r="P83" i="25"/>
  <c r="Q83" i="25"/>
  <c r="R83" i="25"/>
  <c r="N83" i="25"/>
  <c r="W83" i="25"/>
  <c r="K85" i="12"/>
  <c r="J84" i="25"/>
  <c r="O84" i="25"/>
  <c r="P84" i="25"/>
  <c r="Q84" i="25"/>
  <c r="R84" i="25"/>
  <c r="N84" i="25"/>
  <c r="W84" i="25"/>
  <c r="K86" i="12"/>
  <c r="J85" i="25"/>
  <c r="O85" i="25"/>
  <c r="P85" i="25"/>
  <c r="Q85" i="25"/>
  <c r="R85" i="25"/>
  <c r="N85" i="25"/>
  <c r="W85" i="25"/>
  <c r="K87" i="12"/>
  <c r="J86" i="25"/>
  <c r="O86" i="25"/>
  <c r="P86" i="25"/>
  <c r="Q86" i="25"/>
  <c r="R86" i="25"/>
  <c r="N86" i="25"/>
  <c r="W86" i="25"/>
  <c r="K88" i="12"/>
  <c r="J87" i="25"/>
  <c r="O87" i="25"/>
  <c r="P87" i="25"/>
  <c r="Q87" i="25"/>
  <c r="R87" i="25"/>
  <c r="N87" i="25"/>
  <c r="W87" i="25"/>
  <c r="K89" i="12"/>
  <c r="J88" i="25"/>
  <c r="O88" i="25"/>
  <c r="P88" i="25"/>
  <c r="Q88" i="25"/>
  <c r="R88" i="25"/>
  <c r="N88" i="25"/>
  <c r="W88" i="25"/>
  <c r="K90" i="12"/>
  <c r="J89" i="25"/>
  <c r="O89" i="25"/>
  <c r="P89" i="25"/>
  <c r="Q89" i="25"/>
  <c r="R89" i="25"/>
  <c r="N89" i="25"/>
  <c r="W89" i="25"/>
  <c r="K91" i="12"/>
  <c r="J90" i="25"/>
  <c r="O90" i="25"/>
  <c r="P90" i="25"/>
  <c r="Q90" i="25"/>
  <c r="R90" i="25"/>
  <c r="N90" i="25"/>
  <c r="W90" i="25"/>
  <c r="K92" i="12"/>
  <c r="J91" i="25"/>
  <c r="O91" i="25"/>
  <c r="P91" i="25"/>
  <c r="Q91" i="25"/>
  <c r="R91" i="25"/>
  <c r="N91" i="25"/>
  <c r="W91" i="25"/>
  <c r="K93" i="12"/>
  <c r="J92" i="25"/>
  <c r="O92" i="25"/>
  <c r="P92" i="25"/>
  <c r="Q92" i="25"/>
  <c r="R92" i="25"/>
  <c r="N92" i="25"/>
  <c r="W92" i="25"/>
  <c r="K94" i="12"/>
  <c r="J93" i="25"/>
  <c r="O93" i="25"/>
  <c r="P93" i="25"/>
  <c r="Q93" i="25"/>
  <c r="R93" i="25"/>
  <c r="N93" i="25"/>
  <c r="W93" i="25"/>
  <c r="K95" i="12"/>
  <c r="J94" i="25"/>
  <c r="O94" i="25"/>
  <c r="P94" i="25"/>
  <c r="Q94" i="25"/>
  <c r="R94" i="25"/>
  <c r="N94" i="25"/>
  <c r="W94" i="25"/>
  <c r="K96" i="12"/>
  <c r="J95" i="25"/>
  <c r="O95" i="25"/>
  <c r="P95" i="25"/>
  <c r="Q95" i="25"/>
  <c r="R95" i="25"/>
  <c r="N95" i="25"/>
  <c r="W95" i="25"/>
  <c r="K97" i="12"/>
  <c r="J96" i="25"/>
  <c r="O96" i="25"/>
  <c r="P96" i="25"/>
  <c r="Q96" i="25"/>
  <c r="R96" i="25"/>
  <c r="N96" i="25"/>
  <c r="W96" i="25"/>
  <c r="K98" i="12"/>
  <c r="J97" i="25"/>
  <c r="O97" i="25"/>
  <c r="P97" i="25"/>
  <c r="Q97" i="25"/>
  <c r="R97" i="25"/>
  <c r="N97" i="25"/>
  <c r="W97" i="25"/>
  <c r="K99" i="12"/>
  <c r="J98" i="25"/>
  <c r="O98" i="25"/>
  <c r="P98" i="25"/>
  <c r="Q98" i="25"/>
  <c r="R98" i="25"/>
  <c r="N98" i="25"/>
  <c r="W98" i="25"/>
  <c r="K100" i="12"/>
  <c r="J99" i="25"/>
  <c r="O99" i="25"/>
  <c r="P99" i="25"/>
  <c r="Q99" i="25"/>
  <c r="R99" i="25"/>
  <c r="N99" i="25"/>
  <c r="W99" i="25"/>
  <c r="K101" i="12"/>
  <c r="J100" i="25"/>
  <c r="O100" i="25"/>
  <c r="P100" i="25"/>
  <c r="Q100" i="25"/>
  <c r="R100" i="25"/>
  <c r="N100" i="25"/>
  <c r="W100" i="25"/>
  <c r="K102" i="12"/>
  <c r="J101" i="25"/>
  <c r="O101" i="25"/>
  <c r="P101" i="25"/>
  <c r="Q101" i="25"/>
  <c r="R101" i="25"/>
  <c r="N101" i="25"/>
  <c r="W101" i="25"/>
  <c r="K103" i="12"/>
  <c r="J102" i="25"/>
  <c r="O102" i="25"/>
  <c r="P102" i="25"/>
  <c r="Q102" i="25"/>
  <c r="R102" i="25"/>
  <c r="N102" i="25"/>
  <c r="W102" i="25"/>
  <c r="K104" i="12"/>
  <c r="J103" i="25"/>
  <c r="O103" i="25"/>
  <c r="P103" i="25"/>
  <c r="Q103" i="25"/>
  <c r="R103" i="25"/>
  <c r="N103" i="25"/>
  <c r="W103" i="25"/>
  <c r="K105" i="12"/>
  <c r="J104" i="25"/>
  <c r="O104" i="25"/>
  <c r="P104" i="25"/>
  <c r="Q104" i="25"/>
  <c r="R104" i="25"/>
  <c r="N104" i="25"/>
  <c r="W104" i="25"/>
  <c r="K106" i="12"/>
  <c r="J105" i="25"/>
  <c r="O105" i="25"/>
  <c r="P105" i="25"/>
  <c r="Q105" i="25"/>
  <c r="R105" i="25"/>
  <c r="N105" i="25"/>
  <c r="W105" i="25"/>
  <c r="K107" i="12"/>
  <c r="J106" i="25"/>
  <c r="O106" i="25"/>
  <c r="P106" i="25"/>
  <c r="Q106" i="25"/>
  <c r="R106" i="25"/>
  <c r="N106" i="25"/>
  <c r="W106" i="25"/>
  <c r="K108" i="12"/>
  <c r="J107" i="25"/>
  <c r="O107" i="25"/>
  <c r="P107" i="25"/>
  <c r="Q107" i="25"/>
  <c r="R107" i="25"/>
  <c r="N107" i="25"/>
  <c r="W107" i="25"/>
  <c r="K109" i="12"/>
  <c r="J108" i="25"/>
  <c r="O108" i="25"/>
  <c r="P108" i="25"/>
  <c r="Q108" i="25"/>
  <c r="R108" i="25"/>
  <c r="N108" i="25"/>
  <c r="W108" i="25"/>
  <c r="K110" i="12"/>
  <c r="J109" i="25"/>
  <c r="O109" i="25"/>
  <c r="P109" i="25"/>
  <c r="Q109" i="25"/>
  <c r="R109" i="25"/>
  <c r="N109" i="25"/>
  <c r="W109" i="25"/>
  <c r="K111" i="12"/>
  <c r="J110" i="25"/>
  <c r="O110" i="25"/>
  <c r="P110" i="25"/>
  <c r="Q110" i="25"/>
  <c r="R110" i="25"/>
  <c r="N110" i="25"/>
  <c r="W110" i="25"/>
  <c r="K112" i="12"/>
  <c r="J111" i="25"/>
  <c r="O111" i="25"/>
  <c r="P111" i="25"/>
  <c r="Q111" i="25"/>
  <c r="R111" i="25"/>
  <c r="N111" i="25"/>
  <c r="W111" i="25"/>
  <c r="K113" i="12"/>
  <c r="J112" i="25"/>
  <c r="O112" i="25"/>
  <c r="P112" i="25"/>
  <c r="Q112" i="25"/>
  <c r="R112" i="25"/>
  <c r="N112" i="25"/>
  <c r="W112" i="25"/>
  <c r="K114" i="12"/>
  <c r="J113" i="25"/>
  <c r="O113" i="25"/>
  <c r="P113" i="25"/>
  <c r="Q113" i="25"/>
  <c r="R113" i="25"/>
  <c r="N113" i="25"/>
  <c r="W113" i="25"/>
  <c r="K115" i="12"/>
  <c r="J114" i="25"/>
  <c r="O114" i="25"/>
  <c r="P114" i="25"/>
  <c r="Q114" i="25"/>
  <c r="R114" i="25"/>
  <c r="N114" i="25"/>
  <c r="W114" i="25"/>
  <c r="K116" i="12"/>
  <c r="J115" i="25"/>
  <c r="O115" i="25"/>
  <c r="P115" i="25"/>
  <c r="Q115" i="25"/>
  <c r="R115" i="25"/>
  <c r="N115" i="25"/>
  <c r="W115" i="25"/>
  <c r="K117" i="12"/>
  <c r="J116" i="25"/>
  <c r="O116" i="25"/>
  <c r="P116" i="25"/>
  <c r="Q116" i="25"/>
  <c r="R116" i="25"/>
  <c r="N116" i="25"/>
  <c r="W116" i="25"/>
  <c r="K118" i="12"/>
  <c r="J117" i="25"/>
  <c r="O117" i="25"/>
  <c r="P117" i="25"/>
  <c r="Q117" i="25"/>
  <c r="R117" i="25"/>
  <c r="N117" i="25"/>
  <c r="W117" i="25"/>
  <c r="K119" i="12"/>
  <c r="J118" i="25"/>
  <c r="O118" i="25"/>
  <c r="P118" i="25"/>
  <c r="Q118" i="25"/>
  <c r="R118" i="25"/>
  <c r="N118" i="25"/>
  <c r="W118" i="25"/>
  <c r="K120" i="12"/>
  <c r="J119" i="25"/>
  <c r="O119" i="25"/>
  <c r="P119" i="25"/>
  <c r="Q119" i="25"/>
  <c r="R119" i="25"/>
  <c r="N119" i="25"/>
  <c r="W119" i="25"/>
  <c r="K121" i="12"/>
  <c r="J120" i="25"/>
  <c r="O120" i="25"/>
  <c r="P120" i="25"/>
  <c r="Q120" i="25"/>
  <c r="R120" i="25"/>
  <c r="N120" i="25"/>
  <c r="W120" i="25"/>
  <c r="K122" i="12"/>
  <c r="J121" i="25"/>
  <c r="O121" i="25"/>
  <c r="P121" i="25"/>
  <c r="Q121" i="25"/>
  <c r="R121" i="25"/>
  <c r="N121" i="25"/>
  <c r="W121" i="25"/>
  <c r="K123" i="12"/>
  <c r="J122" i="25"/>
  <c r="O122" i="25"/>
  <c r="P122" i="25"/>
  <c r="Q122" i="25"/>
  <c r="R122" i="25"/>
  <c r="N122" i="25"/>
  <c r="W122" i="25"/>
  <c r="K124" i="12"/>
  <c r="J123" i="25"/>
  <c r="O123" i="25"/>
  <c r="P123" i="25"/>
  <c r="Q123" i="25"/>
  <c r="R123" i="25"/>
  <c r="N123" i="25"/>
  <c r="W123" i="25"/>
  <c r="K125" i="12"/>
  <c r="J124" i="25"/>
  <c r="O124" i="25"/>
  <c r="P124" i="25"/>
  <c r="Q124" i="25"/>
  <c r="R124" i="25"/>
  <c r="N124" i="25"/>
  <c r="W124" i="25"/>
  <c r="K126" i="12"/>
  <c r="J125" i="25"/>
  <c r="O125" i="25"/>
  <c r="P125" i="25"/>
  <c r="Q125" i="25"/>
  <c r="R125" i="25"/>
  <c r="N125" i="25"/>
  <c r="W125" i="25"/>
  <c r="K127" i="12"/>
  <c r="J126" i="25"/>
  <c r="O126" i="25"/>
  <c r="P126" i="25"/>
  <c r="Q126" i="25"/>
  <c r="R126" i="25"/>
  <c r="N126" i="25"/>
  <c r="W126" i="25"/>
  <c r="K128" i="12"/>
  <c r="J127" i="25"/>
  <c r="O127" i="25"/>
  <c r="P127" i="25"/>
  <c r="Q127" i="25"/>
  <c r="R127" i="25"/>
  <c r="N127" i="25"/>
  <c r="W127" i="25"/>
  <c r="K129" i="12"/>
  <c r="J128" i="25"/>
  <c r="O128" i="25"/>
  <c r="P128" i="25"/>
  <c r="Q128" i="25"/>
  <c r="R128" i="25"/>
  <c r="N128" i="25"/>
  <c r="W128" i="25"/>
  <c r="K130" i="12"/>
  <c r="J129" i="25"/>
  <c r="O129" i="25"/>
  <c r="P129" i="25"/>
  <c r="Q129" i="25"/>
  <c r="R129" i="25"/>
  <c r="N129" i="25"/>
  <c r="W129" i="25"/>
  <c r="K131" i="12"/>
  <c r="J130" i="25"/>
  <c r="O130" i="25"/>
  <c r="P130" i="25"/>
  <c r="Q130" i="25"/>
  <c r="R130" i="25"/>
  <c r="N130" i="25"/>
  <c r="W130" i="25"/>
  <c r="K132" i="12"/>
  <c r="J131" i="25"/>
  <c r="O131" i="25"/>
  <c r="P131" i="25"/>
  <c r="Q131" i="25"/>
  <c r="R131" i="25"/>
  <c r="N131" i="25"/>
  <c r="W131" i="25"/>
  <c r="K133" i="12"/>
  <c r="J132" i="25"/>
  <c r="O132" i="25"/>
  <c r="P132" i="25"/>
  <c r="Q132" i="25"/>
  <c r="R132" i="25"/>
  <c r="N132" i="25"/>
  <c r="W132" i="25"/>
  <c r="K134" i="12"/>
  <c r="J133" i="25"/>
  <c r="O133" i="25"/>
  <c r="P133" i="25"/>
  <c r="Q133" i="25"/>
  <c r="R133" i="25"/>
  <c r="N133" i="25"/>
  <c r="W133" i="25"/>
  <c r="K135" i="12"/>
  <c r="J134" i="25"/>
  <c r="O134" i="25"/>
  <c r="P134" i="25"/>
  <c r="Q134" i="25"/>
  <c r="R134" i="25"/>
  <c r="N134" i="25"/>
  <c r="W134" i="25"/>
  <c r="K136" i="12"/>
  <c r="J135" i="25"/>
  <c r="O135" i="25"/>
  <c r="P135" i="25"/>
  <c r="Q135" i="25"/>
  <c r="R135" i="25"/>
  <c r="N135" i="25"/>
  <c r="W135" i="25"/>
  <c r="K137" i="12"/>
  <c r="J136" i="25"/>
  <c r="O136" i="25"/>
  <c r="P136" i="25"/>
  <c r="Q136" i="25"/>
  <c r="R136" i="25"/>
  <c r="N136" i="25"/>
  <c r="W136" i="25"/>
  <c r="K138" i="12"/>
  <c r="J137" i="25"/>
  <c r="O137" i="25"/>
  <c r="P137" i="25"/>
  <c r="Q137" i="25"/>
  <c r="R137" i="25"/>
  <c r="N137" i="25"/>
  <c r="W137" i="25"/>
  <c r="K139" i="12"/>
  <c r="J138" i="25"/>
  <c r="O138" i="25"/>
  <c r="P138" i="25"/>
  <c r="Q138" i="25"/>
  <c r="R138" i="25"/>
  <c r="N138" i="25"/>
  <c r="W138" i="25"/>
  <c r="K140" i="12"/>
  <c r="J139" i="25"/>
  <c r="O139" i="25"/>
  <c r="P139" i="25"/>
  <c r="Q139" i="25"/>
  <c r="R139" i="25"/>
  <c r="N139" i="25"/>
  <c r="W139" i="25"/>
  <c r="K141" i="12"/>
  <c r="J140" i="25"/>
  <c r="O140" i="25"/>
  <c r="P140" i="25"/>
  <c r="Q140" i="25"/>
  <c r="R140" i="25"/>
  <c r="N140" i="25"/>
  <c r="W140" i="25"/>
  <c r="K142" i="12"/>
  <c r="J141" i="25"/>
  <c r="O141" i="25"/>
  <c r="P141" i="25"/>
  <c r="Q141" i="25"/>
  <c r="R141" i="25"/>
  <c r="N141" i="25"/>
  <c r="W141" i="25"/>
  <c r="K143" i="12"/>
  <c r="J142" i="25"/>
  <c r="O142" i="25"/>
  <c r="P142" i="25"/>
  <c r="Q142" i="25"/>
  <c r="R142" i="25"/>
  <c r="N142" i="25"/>
  <c r="W142" i="25"/>
  <c r="K144" i="12"/>
  <c r="J143" i="25"/>
  <c r="O143" i="25"/>
  <c r="P143" i="25"/>
  <c r="Q143" i="25"/>
  <c r="R143" i="25"/>
  <c r="N143" i="25"/>
  <c r="W143" i="25"/>
  <c r="K145" i="12"/>
  <c r="J144" i="25"/>
  <c r="O144" i="25"/>
  <c r="P144" i="25"/>
  <c r="Q144" i="25"/>
  <c r="R144" i="25"/>
  <c r="N144" i="25"/>
  <c r="W144" i="25"/>
  <c r="K146" i="12"/>
  <c r="J145" i="25"/>
  <c r="O145" i="25"/>
  <c r="P145" i="25"/>
  <c r="Q145" i="25"/>
  <c r="R145" i="25"/>
  <c r="N145" i="25"/>
  <c r="W145" i="25"/>
  <c r="K147" i="12"/>
  <c r="J146" i="25"/>
  <c r="O146" i="25"/>
  <c r="P146" i="25"/>
  <c r="Q146" i="25"/>
  <c r="R146" i="25"/>
  <c r="N146" i="25"/>
  <c r="W146" i="25"/>
  <c r="K148" i="12"/>
  <c r="J147" i="25"/>
  <c r="O147" i="25"/>
  <c r="P147" i="25"/>
  <c r="Q147" i="25"/>
  <c r="R147" i="25"/>
  <c r="N147" i="25"/>
  <c r="W147" i="25"/>
  <c r="K149" i="12"/>
  <c r="J148" i="25"/>
  <c r="O148" i="25"/>
  <c r="P148" i="25"/>
  <c r="Q148" i="25"/>
  <c r="R148" i="25"/>
  <c r="N148" i="25"/>
  <c r="W148" i="25"/>
  <c r="K150" i="12"/>
  <c r="J149" i="25"/>
  <c r="O149" i="25"/>
  <c r="P149" i="25"/>
  <c r="Q149" i="25"/>
  <c r="R149" i="25"/>
  <c r="N149" i="25"/>
  <c r="W149" i="25"/>
  <c r="K151" i="12"/>
  <c r="J150" i="25"/>
  <c r="O150" i="25"/>
  <c r="P150" i="25"/>
  <c r="Q150" i="25"/>
  <c r="R150" i="25"/>
  <c r="N150" i="25"/>
  <c r="W150" i="25"/>
  <c r="K152" i="12"/>
  <c r="J151" i="25"/>
  <c r="O151" i="25"/>
  <c r="P151" i="25"/>
  <c r="Q151" i="25"/>
  <c r="R151" i="25"/>
  <c r="N151" i="25"/>
  <c r="W151" i="25"/>
  <c r="K153" i="12"/>
  <c r="J152" i="25"/>
  <c r="O152" i="25"/>
  <c r="P152" i="25"/>
  <c r="Q152" i="25"/>
  <c r="R152" i="25"/>
  <c r="N152" i="25"/>
  <c r="W152" i="25"/>
  <c r="K154" i="12"/>
  <c r="J153" i="25"/>
  <c r="O153" i="25"/>
  <c r="P153" i="25"/>
  <c r="Q153" i="25"/>
  <c r="R153" i="25"/>
  <c r="N153" i="25"/>
  <c r="W153" i="25"/>
  <c r="K155" i="12"/>
  <c r="J154" i="25"/>
  <c r="O154" i="25"/>
  <c r="P154" i="25"/>
  <c r="Q154" i="25"/>
  <c r="R154" i="25"/>
  <c r="N154" i="25"/>
  <c r="W154" i="25"/>
  <c r="K156" i="12"/>
  <c r="J155" i="25"/>
  <c r="O155" i="25"/>
  <c r="P155" i="25"/>
  <c r="Q155" i="25"/>
  <c r="R155" i="25"/>
  <c r="N155" i="25"/>
  <c r="W155" i="25"/>
  <c r="K157" i="12"/>
  <c r="J156" i="25"/>
  <c r="O156" i="25"/>
  <c r="P156" i="25"/>
  <c r="Q156" i="25"/>
  <c r="R156" i="25"/>
  <c r="N156" i="25"/>
  <c r="W156" i="25"/>
  <c r="K158" i="12"/>
  <c r="J157" i="25"/>
  <c r="O157" i="25"/>
  <c r="P157" i="25"/>
  <c r="Q157" i="25"/>
  <c r="R157" i="25"/>
  <c r="N157" i="25"/>
  <c r="W157" i="25"/>
  <c r="K159" i="12"/>
  <c r="J158" i="25"/>
  <c r="O158" i="25"/>
  <c r="P158" i="25"/>
  <c r="Q158" i="25"/>
  <c r="R158" i="25"/>
  <c r="N158" i="25"/>
  <c r="W158" i="25"/>
  <c r="K160" i="12"/>
  <c r="J159" i="25"/>
  <c r="O159" i="25"/>
  <c r="P159" i="25"/>
  <c r="Q159" i="25"/>
  <c r="R159" i="25"/>
  <c r="N159" i="25"/>
  <c r="W159" i="25"/>
  <c r="K161" i="12"/>
  <c r="J160" i="25"/>
  <c r="O160" i="25"/>
  <c r="P160" i="25"/>
  <c r="Q160" i="25"/>
  <c r="R160" i="25"/>
  <c r="N160" i="25"/>
  <c r="W160" i="25"/>
  <c r="K162" i="12"/>
  <c r="J161" i="25"/>
  <c r="O161" i="25"/>
  <c r="P161" i="25"/>
  <c r="Q161" i="25"/>
  <c r="R161" i="25"/>
  <c r="N161" i="25"/>
  <c r="W161" i="25"/>
  <c r="K163" i="12"/>
  <c r="J162" i="25"/>
  <c r="O162" i="25"/>
  <c r="P162" i="25"/>
  <c r="Q162" i="25"/>
  <c r="R162" i="25"/>
  <c r="N162" i="25"/>
  <c r="W162" i="25"/>
  <c r="K164" i="12"/>
  <c r="J163" i="25"/>
  <c r="O163" i="25"/>
  <c r="P163" i="25"/>
  <c r="Q163" i="25"/>
  <c r="R163" i="25"/>
  <c r="N163" i="25"/>
  <c r="W163" i="25"/>
  <c r="K165" i="12"/>
  <c r="J164" i="25"/>
  <c r="O164" i="25"/>
  <c r="P164" i="25"/>
  <c r="Q164" i="25"/>
  <c r="R164" i="25"/>
  <c r="N164" i="25"/>
  <c r="W164" i="25"/>
  <c r="K166" i="12"/>
  <c r="J165" i="25"/>
  <c r="O165" i="25"/>
  <c r="P165" i="25"/>
  <c r="Q165" i="25"/>
  <c r="R165" i="25"/>
  <c r="N165" i="25"/>
  <c r="W165" i="25"/>
  <c r="K167" i="12"/>
  <c r="J166" i="25"/>
  <c r="O166" i="25"/>
  <c r="P166" i="25"/>
  <c r="Q166" i="25"/>
  <c r="R166" i="25"/>
  <c r="N166" i="25"/>
  <c r="W166" i="25"/>
  <c r="K168" i="12"/>
  <c r="J167" i="25"/>
  <c r="O167" i="25"/>
  <c r="P167" i="25"/>
  <c r="Q167" i="25"/>
  <c r="R167" i="25"/>
  <c r="N167" i="25"/>
  <c r="W167" i="25"/>
  <c r="K169" i="12"/>
  <c r="J168" i="25"/>
  <c r="O168" i="25"/>
  <c r="P168" i="25"/>
  <c r="Q168" i="25"/>
  <c r="R168" i="25"/>
  <c r="N168" i="25"/>
  <c r="W168" i="25"/>
  <c r="K170" i="12"/>
  <c r="J169" i="25"/>
  <c r="O169" i="25"/>
  <c r="P169" i="25"/>
  <c r="Q169" i="25"/>
  <c r="R169" i="25"/>
  <c r="N169" i="25"/>
  <c r="W169" i="25"/>
  <c r="K171" i="12"/>
  <c r="J170" i="25"/>
  <c r="O170" i="25"/>
  <c r="P170" i="25"/>
  <c r="Q170" i="25"/>
  <c r="R170" i="25"/>
  <c r="N170" i="25"/>
  <c r="W170" i="25"/>
  <c r="K172" i="12"/>
  <c r="J171" i="25"/>
  <c r="O171" i="25"/>
  <c r="P171" i="25"/>
  <c r="Q171" i="25"/>
  <c r="R171" i="25"/>
  <c r="N171" i="25"/>
  <c r="W171" i="25"/>
  <c r="K173" i="12"/>
  <c r="J172" i="25"/>
  <c r="O172" i="25"/>
  <c r="P172" i="25"/>
  <c r="Q172" i="25"/>
  <c r="R172" i="25"/>
  <c r="N172" i="25"/>
  <c r="W172" i="25"/>
  <c r="K174" i="12"/>
  <c r="J173" i="25"/>
  <c r="O173" i="25"/>
  <c r="P173" i="25"/>
  <c r="Q173" i="25"/>
  <c r="R173" i="25"/>
  <c r="N173" i="25"/>
  <c r="W173" i="25"/>
  <c r="K175" i="12"/>
  <c r="J174" i="25"/>
  <c r="O174" i="25"/>
  <c r="P174" i="25"/>
  <c r="Q174" i="25"/>
  <c r="R174" i="25"/>
  <c r="N174" i="25"/>
  <c r="W174" i="25"/>
  <c r="K176" i="12"/>
  <c r="J175" i="25"/>
  <c r="O175" i="25"/>
  <c r="P175" i="25"/>
  <c r="Q175" i="25"/>
  <c r="R175" i="25"/>
  <c r="N175" i="25"/>
  <c r="W175" i="25"/>
  <c r="K177" i="12"/>
  <c r="J176" i="25"/>
  <c r="O176" i="25"/>
  <c r="P176" i="25"/>
  <c r="Q176" i="25"/>
  <c r="R176" i="25"/>
  <c r="N176" i="25"/>
  <c r="W176" i="25"/>
  <c r="K178" i="12"/>
  <c r="J177" i="25"/>
  <c r="O177" i="25"/>
  <c r="P177" i="25"/>
  <c r="Q177" i="25"/>
  <c r="R177" i="25"/>
  <c r="N177" i="25"/>
  <c r="W177" i="25"/>
  <c r="K179" i="12"/>
  <c r="J178" i="25"/>
  <c r="O178" i="25"/>
  <c r="P178" i="25"/>
  <c r="Q178" i="25"/>
  <c r="R178" i="25"/>
  <c r="N178" i="25"/>
  <c r="W178" i="25"/>
  <c r="K180" i="12"/>
  <c r="J179" i="25"/>
  <c r="O179" i="25"/>
  <c r="P179" i="25"/>
  <c r="Q179" i="25"/>
  <c r="R179" i="25"/>
  <c r="N179" i="25"/>
  <c r="W179" i="25"/>
  <c r="K181" i="12"/>
  <c r="J180" i="25"/>
  <c r="O180" i="25"/>
  <c r="P180" i="25"/>
  <c r="Q180" i="25"/>
  <c r="R180" i="25"/>
  <c r="N180" i="25"/>
  <c r="W180" i="25"/>
  <c r="K182" i="12"/>
  <c r="J181" i="25"/>
  <c r="O181" i="25"/>
  <c r="P181" i="25"/>
  <c r="Q181" i="25"/>
  <c r="R181" i="25"/>
  <c r="N181" i="25"/>
  <c r="W181" i="25"/>
  <c r="K183" i="12"/>
  <c r="J182" i="25"/>
  <c r="O182" i="25"/>
  <c r="P182" i="25"/>
  <c r="Q182" i="25"/>
  <c r="R182" i="25"/>
  <c r="N182" i="25"/>
  <c r="W182" i="25"/>
  <c r="K184" i="12"/>
  <c r="J183" i="25"/>
  <c r="O183" i="25"/>
  <c r="P183" i="25"/>
  <c r="Q183" i="25"/>
  <c r="R183" i="25"/>
  <c r="N183" i="25"/>
  <c r="W183" i="25"/>
  <c r="K185" i="12"/>
  <c r="J184" i="25"/>
  <c r="O184" i="25"/>
  <c r="P184" i="25"/>
  <c r="Q184" i="25"/>
  <c r="R184" i="25"/>
  <c r="N184" i="25"/>
  <c r="W184" i="25"/>
  <c r="K186" i="12"/>
  <c r="J185" i="25"/>
  <c r="O185" i="25"/>
  <c r="P185" i="25"/>
  <c r="Q185" i="25"/>
  <c r="R185" i="25"/>
  <c r="N185" i="25"/>
  <c r="W185" i="25"/>
  <c r="K187" i="12"/>
  <c r="J186" i="25"/>
  <c r="O186" i="25"/>
  <c r="P186" i="25"/>
  <c r="Q186" i="25"/>
  <c r="R186" i="25"/>
  <c r="N186" i="25"/>
  <c r="W186" i="25"/>
  <c r="K188" i="12"/>
  <c r="J187" i="25"/>
  <c r="O187" i="25"/>
  <c r="P187" i="25"/>
  <c r="Q187" i="25"/>
  <c r="R187" i="25"/>
  <c r="N187" i="25"/>
  <c r="W187" i="25"/>
  <c r="K189" i="12"/>
  <c r="J188" i="25"/>
  <c r="O188" i="25"/>
  <c r="P188" i="25"/>
  <c r="Q188" i="25"/>
  <c r="R188" i="25"/>
  <c r="N188" i="25"/>
  <c r="W188" i="25"/>
  <c r="K190" i="12"/>
  <c r="J189" i="25"/>
  <c r="O189" i="25"/>
  <c r="P189" i="25"/>
  <c r="Q189" i="25"/>
  <c r="R189" i="25"/>
  <c r="N189" i="25"/>
  <c r="W189" i="25"/>
  <c r="K191" i="12"/>
  <c r="J190" i="25"/>
  <c r="O190" i="25"/>
  <c r="P190" i="25"/>
  <c r="Q190" i="25"/>
  <c r="R190" i="25"/>
  <c r="N190" i="25"/>
  <c r="W190" i="25"/>
  <c r="K192" i="12"/>
  <c r="J191" i="25"/>
  <c r="O191" i="25"/>
  <c r="P191" i="25"/>
  <c r="Q191" i="25"/>
  <c r="R191" i="25"/>
  <c r="N191" i="25"/>
  <c r="W191" i="25"/>
  <c r="K193" i="12"/>
  <c r="J192" i="25"/>
  <c r="O192" i="25"/>
  <c r="P192" i="25"/>
  <c r="Q192" i="25"/>
  <c r="R192" i="25"/>
  <c r="N192" i="25"/>
  <c r="W192" i="25"/>
  <c r="K194" i="12"/>
  <c r="J193" i="25"/>
  <c r="O193" i="25"/>
  <c r="P193" i="25"/>
  <c r="Q193" i="25"/>
  <c r="R193" i="25"/>
  <c r="N193" i="25"/>
  <c r="W193" i="25"/>
  <c r="K195" i="12"/>
  <c r="J194" i="25"/>
  <c r="O194" i="25"/>
  <c r="P194" i="25"/>
  <c r="Q194" i="25"/>
  <c r="R194" i="25"/>
  <c r="N194" i="25"/>
  <c r="W194" i="25"/>
  <c r="K196" i="12"/>
  <c r="J195" i="25"/>
  <c r="O195" i="25"/>
  <c r="P195" i="25"/>
  <c r="Q195" i="25"/>
  <c r="R195" i="25"/>
  <c r="N195" i="25"/>
  <c r="W195" i="25"/>
  <c r="K197" i="12"/>
  <c r="J196" i="25"/>
  <c r="O196" i="25"/>
  <c r="P196" i="25"/>
  <c r="Q196" i="25"/>
  <c r="R196" i="25"/>
  <c r="N196" i="25"/>
  <c r="W196" i="25"/>
  <c r="K198" i="12"/>
  <c r="J197" i="25"/>
  <c r="O197" i="25"/>
  <c r="P197" i="25"/>
  <c r="Q197" i="25"/>
  <c r="R197" i="25"/>
  <c r="N197" i="25"/>
  <c r="W197" i="25"/>
  <c r="K199" i="12"/>
  <c r="J198" i="25"/>
  <c r="O198" i="25"/>
  <c r="P198" i="25"/>
  <c r="Q198" i="25"/>
  <c r="R198" i="25"/>
  <c r="N198" i="25"/>
  <c r="W198" i="25"/>
  <c r="K200" i="12"/>
  <c r="J199" i="25"/>
  <c r="O199" i="25"/>
  <c r="P199" i="25"/>
  <c r="Q199" i="25"/>
  <c r="R199" i="25"/>
  <c r="N199" i="25"/>
  <c r="W199" i="25"/>
  <c r="K201" i="12"/>
  <c r="J200" i="25"/>
  <c r="O200" i="25"/>
  <c r="P200" i="25"/>
  <c r="Q200" i="25"/>
  <c r="R200" i="25"/>
  <c r="N200" i="25"/>
  <c r="W200" i="25"/>
  <c r="K202" i="12"/>
  <c r="J201" i="25"/>
  <c r="O201" i="25"/>
  <c r="P201" i="25"/>
  <c r="Q201" i="25"/>
  <c r="R201" i="25"/>
  <c r="N201" i="25"/>
  <c r="W201" i="25"/>
  <c r="K203" i="12"/>
  <c r="J202" i="25"/>
  <c r="O202" i="25"/>
  <c r="P202" i="25"/>
  <c r="Q202" i="25"/>
  <c r="R202" i="25"/>
  <c r="N202" i="25"/>
  <c r="W202" i="25"/>
  <c r="K204" i="12"/>
  <c r="J203" i="25"/>
  <c r="O203" i="25"/>
  <c r="P203" i="25"/>
  <c r="Q203" i="25"/>
  <c r="R203" i="25"/>
  <c r="N203" i="25"/>
  <c r="W203" i="25"/>
  <c r="K205" i="12"/>
  <c r="J204" i="25"/>
  <c r="O204" i="25"/>
  <c r="P204" i="25"/>
  <c r="Q204" i="25"/>
  <c r="R204" i="25"/>
  <c r="N204" i="25"/>
  <c r="W204" i="25"/>
  <c r="K206" i="12"/>
  <c r="J205" i="25"/>
  <c r="O205" i="25"/>
  <c r="P205" i="25"/>
  <c r="Q205" i="25"/>
  <c r="R205" i="25"/>
  <c r="N205" i="25"/>
  <c r="W205" i="25"/>
  <c r="K207" i="12"/>
  <c r="J206" i="25"/>
  <c r="O206" i="25"/>
  <c r="P206" i="25"/>
  <c r="Q206" i="25"/>
  <c r="R206" i="25"/>
  <c r="N206" i="25"/>
  <c r="W206" i="25"/>
  <c r="K208" i="12"/>
  <c r="J207" i="25"/>
  <c r="O207" i="25"/>
  <c r="P207" i="25"/>
  <c r="Q207" i="25"/>
  <c r="R207" i="25"/>
  <c r="N207" i="25"/>
  <c r="W207" i="25"/>
  <c r="K209" i="12"/>
  <c r="J208" i="25"/>
  <c r="O208" i="25"/>
  <c r="P208" i="25"/>
  <c r="Q208" i="25"/>
  <c r="R208" i="25"/>
  <c r="N208" i="25"/>
  <c r="W208" i="25"/>
  <c r="K210" i="12"/>
  <c r="J209" i="25"/>
  <c r="O209" i="25"/>
  <c r="P209" i="25"/>
  <c r="Q209" i="25"/>
  <c r="R209" i="25"/>
  <c r="N209" i="25"/>
  <c r="W209" i="25"/>
  <c r="K211" i="12"/>
  <c r="J210" i="25"/>
  <c r="O210" i="25"/>
  <c r="P210" i="25"/>
  <c r="Q210" i="25"/>
  <c r="R210" i="25"/>
  <c r="N210" i="25"/>
  <c r="W210" i="25"/>
  <c r="K212" i="12"/>
  <c r="J211" i="25"/>
  <c r="O211" i="25"/>
  <c r="P211" i="25"/>
  <c r="Q211" i="25"/>
  <c r="R211" i="25"/>
  <c r="N211" i="25"/>
  <c r="W211" i="25"/>
  <c r="K213" i="12"/>
  <c r="J212" i="25"/>
  <c r="O212" i="25"/>
  <c r="P212" i="25"/>
  <c r="Q212" i="25"/>
  <c r="R212" i="25"/>
  <c r="N212" i="25"/>
  <c r="W212" i="25"/>
  <c r="K214" i="12"/>
  <c r="J213" i="25"/>
  <c r="O213" i="25"/>
  <c r="P213" i="25"/>
  <c r="Q213" i="25"/>
  <c r="R213" i="25"/>
  <c r="N213" i="25"/>
  <c r="W213" i="25"/>
  <c r="K215" i="12"/>
  <c r="J214" i="25"/>
  <c r="O214" i="25"/>
  <c r="P214" i="25"/>
  <c r="Q214" i="25"/>
  <c r="R214" i="25"/>
  <c r="N214" i="25"/>
  <c r="W214" i="25"/>
  <c r="K216" i="12"/>
  <c r="J215" i="25"/>
  <c r="O215" i="25"/>
  <c r="P215" i="25"/>
  <c r="Q215" i="25"/>
  <c r="R215" i="25"/>
  <c r="N215" i="25"/>
  <c r="W215" i="25"/>
  <c r="K217" i="12"/>
  <c r="J216" i="25"/>
  <c r="O216" i="25"/>
  <c r="P216" i="25"/>
  <c r="Q216" i="25"/>
  <c r="R216" i="25"/>
  <c r="N216" i="25"/>
  <c r="W216" i="25"/>
  <c r="K218" i="12"/>
  <c r="J217" i="25"/>
  <c r="O217" i="25"/>
  <c r="P217" i="25"/>
  <c r="Q217" i="25"/>
  <c r="R217" i="25"/>
  <c r="N217" i="25"/>
  <c r="W217" i="25"/>
  <c r="K219" i="12"/>
  <c r="J218" i="25"/>
  <c r="O218" i="25"/>
  <c r="P218" i="25"/>
  <c r="Q218" i="25"/>
  <c r="R218" i="25"/>
  <c r="N218" i="25"/>
  <c r="W218" i="25"/>
  <c r="K220" i="12"/>
  <c r="J219" i="25"/>
  <c r="O219" i="25"/>
  <c r="P219" i="25"/>
  <c r="Q219" i="25"/>
  <c r="R219" i="25"/>
  <c r="N219" i="25"/>
  <c r="W219" i="25"/>
  <c r="K221" i="12"/>
  <c r="J220" i="25"/>
  <c r="O220" i="25"/>
  <c r="P220" i="25"/>
  <c r="Q220" i="25"/>
  <c r="R220" i="25"/>
  <c r="N220" i="25"/>
  <c r="W220" i="25"/>
  <c r="K222" i="12"/>
  <c r="J221" i="25"/>
  <c r="O221" i="25"/>
  <c r="P221" i="25"/>
  <c r="Q221" i="25"/>
  <c r="R221" i="25"/>
  <c r="N221" i="25"/>
  <c r="W221" i="25"/>
  <c r="M3" i="12"/>
  <c r="J222" i="25"/>
  <c r="O222" i="25"/>
  <c r="P222" i="25"/>
  <c r="Q222" i="25"/>
  <c r="R222" i="25"/>
  <c r="N222" i="25"/>
  <c r="W222" i="25"/>
  <c r="M4" i="12"/>
  <c r="J223" i="25"/>
  <c r="O223" i="25"/>
  <c r="P223" i="25"/>
  <c r="Q223" i="25"/>
  <c r="R223" i="25"/>
  <c r="N223" i="25"/>
  <c r="W223" i="25"/>
  <c r="M5" i="12"/>
  <c r="J224" i="25"/>
  <c r="O224" i="25"/>
  <c r="P224" i="25"/>
  <c r="Q224" i="25"/>
  <c r="R224" i="25"/>
  <c r="N224" i="25"/>
  <c r="W224" i="25"/>
  <c r="M6" i="12"/>
  <c r="J225" i="25"/>
  <c r="O225" i="25"/>
  <c r="P225" i="25"/>
  <c r="Q225" i="25"/>
  <c r="R225" i="25"/>
  <c r="N225" i="25"/>
  <c r="W225" i="25"/>
  <c r="M7" i="12"/>
  <c r="J226" i="25"/>
  <c r="O226" i="25"/>
  <c r="P226" i="25"/>
  <c r="Q226" i="25"/>
  <c r="R226" i="25"/>
  <c r="N226" i="25"/>
  <c r="W226" i="25"/>
  <c r="M8" i="12"/>
  <c r="J227" i="25"/>
  <c r="O227" i="25"/>
  <c r="P227" i="25"/>
  <c r="Q227" i="25"/>
  <c r="R227" i="25"/>
  <c r="N227" i="25"/>
  <c r="W227" i="25"/>
  <c r="M9" i="12"/>
  <c r="J228" i="25"/>
  <c r="O228" i="25"/>
  <c r="P228" i="25"/>
  <c r="Q228" i="25"/>
  <c r="R228" i="25"/>
  <c r="N228" i="25"/>
  <c r="W228" i="25"/>
  <c r="M10" i="12"/>
  <c r="J229" i="25"/>
  <c r="O229" i="25"/>
  <c r="P229" i="25"/>
  <c r="Q229" i="25"/>
  <c r="R229" i="25"/>
  <c r="N229" i="25"/>
  <c r="W229" i="25"/>
  <c r="M11" i="12"/>
  <c r="J230" i="25"/>
  <c r="O230" i="25"/>
  <c r="P230" i="25"/>
  <c r="Q230" i="25"/>
  <c r="R230" i="25"/>
  <c r="N230" i="25"/>
  <c r="W230" i="25"/>
  <c r="M12" i="12"/>
  <c r="J231" i="25"/>
  <c r="O231" i="25"/>
  <c r="P231" i="25"/>
  <c r="Q231" i="25"/>
  <c r="R231" i="25"/>
  <c r="N231" i="25"/>
  <c r="W231" i="25"/>
  <c r="M13" i="12"/>
  <c r="J232" i="25"/>
  <c r="O232" i="25"/>
  <c r="P232" i="25"/>
  <c r="Q232" i="25"/>
  <c r="R232" i="25"/>
  <c r="N232" i="25"/>
  <c r="W232" i="25"/>
  <c r="M14" i="12"/>
  <c r="J233" i="25"/>
  <c r="O233" i="25"/>
  <c r="P233" i="25"/>
  <c r="Q233" i="25"/>
  <c r="R233" i="25"/>
  <c r="N233" i="25"/>
  <c r="W233" i="25"/>
  <c r="M15" i="12"/>
  <c r="J234" i="25"/>
  <c r="O234" i="25"/>
  <c r="P234" i="25"/>
  <c r="Q234" i="25"/>
  <c r="R234" i="25"/>
  <c r="N234" i="25"/>
  <c r="W234" i="25"/>
  <c r="M16" i="12"/>
  <c r="J235" i="25"/>
  <c r="O235" i="25"/>
  <c r="P235" i="25"/>
  <c r="Q235" i="25"/>
  <c r="R235" i="25"/>
  <c r="N235" i="25"/>
  <c r="W235" i="25"/>
  <c r="M17" i="12"/>
  <c r="J236" i="25"/>
  <c r="O236" i="25"/>
  <c r="P236" i="25"/>
  <c r="Q236" i="25"/>
  <c r="R236" i="25"/>
  <c r="N236" i="25"/>
  <c r="W236" i="25"/>
  <c r="M18" i="12"/>
  <c r="J237" i="25"/>
  <c r="O237" i="25"/>
  <c r="P237" i="25"/>
  <c r="Q237" i="25"/>
  <c r="R237" i="25"/>
  <c r="N237" i="25"/>
  <c r="W237" i="25"/>
  <c r="M19" i="12"/>
  <c r="J238" i="25"/>
  <c r="O238" i="25"/>
  <c r="P238" i="25"/>
  <c r="Q238" i="25"/>
  <c r="R238" i="25"/>
  <c r="N238" i="25"/>
  <c r="W238" i="25"/>
  <c r="M20" i="12"/>
  <c r="J239" i="25"/>
  <c r="O239" i="25"/>
  <c r="P239" i="25"/>
  <c r="Q239" i="25"/>
  <c r="R239" i="25"/>
  <c r="N239" i="25"/>
  <c r="W239" i="25"/>
  <c r="M21" i="12"/>
  <c r="J240" i="25"/>
  <c r="O240" i="25"/>
  <c r="P240" i="25"/>
  <c r="Q240" i="25"/>
  <c r="R240" i="25"/>
  <c r="N240" i="25"/>
  <c r="W240" i="25"/>
  <c r="M22" i="12"/>
  <c r="J241" i="25"/>
  <c r="O241" i="25"/>
  <c r="P241" i="25"/>
  <c r="Q241" i="25"/>
  <c r="R241" i="25"/>
  <c r="N241" i="25"/>
  <c r="W241" i="25"/>
  <c r="M23" i="12"/>
  <c r="J242" i="25"/>
  <c r="O242" i="25"/>
  <c r="P242" i="25"/>
  <c r="Q242" i="25"/>
  <c r="R242" i="25"/>
  <c r="N242" i="25"/>
  <c r="W242" i="25"/>
  <c r="M24" i="12"/>
  <c r="J243" i="25"/>
  <c r="O243" i="25"/>
  <c r="P243" i="25"/>
  <c r="Q243" i="25"/>
  <c r="R243" i="25"/>
  <c r="N243" i="25"/>
  <c r="W243" i="25"/>
  <c r="M25" i="12"/>
  <c r="J244" i="25"/>
  <c r="O244" i="25"/>
  <c r="P244" i="25"/>
  <c r="Q244" i="25"/>
  <c r="R244" i="25"/>
  <c r="N244" i="25"/>
  <c r="W244" i="25"/>
  <c r="M26" i="12"/>
  <c r="J245" i="25"/>
  <c r="O245" i="25"/>
  <c r="P245" i="25"/>
  <c r="Q245" i="25"/>
  <c r="R245" i="25"/>
  <c r="N245" i="25"/>
  <c r="W245" i="25"/>
  <c r="M27" i="12"/>
  <c r="J246" i="25"/>
  <c r="O246" i="25"/>
  <c r="P246" i="25"/>
  <c r="Q246" i="25"/>
  <c r="R246" i="25"/>
  <c r="N246" i="25"/>
  <c r="W246" i="25"/>
  <c r="M28" i="12"/>
  <c r="J247" i="25"/>
  <c r="O247" i="25"/>
  <c r="P247" i="25"/>
  <c r="Q247" i="25"/>
  <c r="R247" i="25"/>
  <c r="N247" i="25"/>
  <c r="W247" i="25"/>
  <c r="M29" i="12"/>
  <c r="J248" i="25"/>
  <c r="O248" i="25"/>
  <c r="P248" i="25"/>
  <c r="Q248" i="25"/>
  <c r="R248" i="25"/>
  <c r="N248" i="25"/>
  <c r="W248" i="25"/>
  <c r="M30" i="12"/>
  <c r="J249" i="25"/>
  <c r="O249" i="25"/>
  <c r="P249" i="25"/>
  <c r="Q249" i="25"/>
  <c r="R249" i="25"/>
  <c r="N249" i="25"/>
  <c r="W249" i="25"/>
  <c r="M31" i="12"/>
  <c r="J250" i="25"/>
  <c r="O250" i="25"/>
  <c r="P250" i="25"/>
  <c r="Q250" i="25"/>
  <c r="R250" i="25"/>
  <c r="N250" i="25"/>
  <c r="W250" i="25"/>
  <c r="M32" i="12"/>
  <c r="J251" i="25"/>
  <c r="O251" i="25"/>
  <c r="P251" i="25"/>
  <c r="Q251" i="25"/>
  <c r="R251" i="25"/>
  <c r="N251" i="25"/>
  <c r="W251" i="25"/>
  <c r="M33" i="12"/>
  <c r="J252" i="25"/>
  <c r="O252" i="25"/>
  <c r="P252" i="25"/>
  <c r="Q252" i="25"/>
  <c r="R252" i="25"/>
  <c r="N252" i="25"/>
  <c r="W252" i="25"/>
  <c r="M34" i="12"/>
  <c r="J253" i="25"/>
  <c r="O253" i="25"/>
  <c r="P253" i="25"/>
  <c r="Q253" i="25"/>
  <c r="R253" i="25"/>
  <c r="N253" i="25"/>
  <c r="W253" i="25"/>
  <c r="M35" i="12"/>
  <c r="J254" i="25"/>
  <c r="O254" i="25"/>
  <c r="P254" i="25"/>
  <c r="Q254" i="25"/>
  <c r="R254" i="25"/>
  <c r="N254" i="25"/>
  <c r="W254" i="25"/>
  <c r="M36" i="12"/>
  <c r="J255" i="25"/>
  <c r="O255" i="25"/>
  <c r="P255" i="25"/>
  <c r="Q255" i="25"/>
  <c r="R255" i="25"/>
  <c r="N255" i="25"/>
  <c r="W255" i="25"/>
  <c r="M37" i="12"/>
  <c r="J256" i="25"/>
  <c r="O256" i="25"/>
  <c r="P256" i="25"/>
  <c r="Q256" i="25"/>
  <c r="R256" i="25"/>
  <c r="N256" i="25"/>
  <c r="W256" i="25"/>
  <c r="M38" i="12"/>
  <c r="J257" i="25"/>
  <c r="O257" i="25"/>
  <c r="P257" i="25"/>
  <c r="Q257" i="25"/>
  <c r="R257" i="25"/>
  <c r="N257" i="25"/>
  <c r="W257" i="25"/>
  <c r="M39" i="12"/>
  <c r="J258" i="25"/>
  <c r="O258" i="25"/>
  <c r="P258" i="25"/>
  <c r="Q258" i="25"/>
  <c r="R258" i="25"/>
  <c r="N258" i="25"/>
  <c r="W258" i="25"/>
  <c r="M40" i="12"/>
  <c r="J259" i="25"/>
  <c r="O259" i="25"/>
  <c r="P259" i="25"/>
  <c r="Q259" i="25"/>
  <c r="R259" i="25"/>
  <c r="N259" i="25"/>
  <c r="W259" i="25"/>
  <c r="M41" i="12"/>
  <c r="J260" i="25"/>
  <c r="O260" i="25"/>
  <c r="P260" i="25"/>
  <c r="Q260" i="25"/>
  <c r="R260" i="25"/>
  <c r="N260" i="25"/>
  <c r="W260" i="25"/>
  <c r="M42" i="12"/>
  <c r="J261" i="25"/>
  <c r="O261" i="25"/>
  <c r="P261" i="25"/>
  <c r="Q261" i="25"/>
  <c r="R261" i="25"/>
  <c r="N261" i="25"/>
  <c r="W261" i="25"/>
  <c r="M43" i="12"/>
  <c r="J262" i="25"/>
  <c r="O262" i="25"/>
  <c r="P262" i="25"/>
  <c r="Q262" i="25"/>
  <c r="R262" i="25"/>
  <c r="N262" i="25"/>
  <c r="W262" i="25"/>
  <c r="M44" i="12"/>
  <c r="J263" i="25"/>
  <c r="O263" i="25"/>
  <c r="P263" i="25"/>
  <c r="Q263" i="25"/>
  <c r="R263" i="25"/>
  <c r="N263" i="25"/>
  <c r="W263" i="25"/>
  <c r="M45" i="12"/>
  <c r="J264" i="25"/>
  <c r="O264" i="25"/>
  <c r="P264" i="25"/>
  <c r="Q264" i="25"/>
  <c r="R264" i="25"/>
  <c r="N264" i="25"/>
  <c r="W264" i="25"/>
  <c r="M46" i="12"/>
  <c r="J265" i="25"/>
  <c r="O265" i="25"/>
  <c r="P265" i="25"/>
  <c r="Q265" i="25"/>
  <c r="R265" i="25"/>
  <c r="N265" i="25"/>
  <c r="W265" i="25"/>
  <c r="M47" i="12"/>
  <c r="J266" i="25"/>
  <c r="O266" i="25"/>
  <c r="P266" i="25"/>
  <c r="Q266" i="25"/>
  <c r="R266" i="25"/>
  <c r="N266" i="25"/>
  <c r="W266" i="25"/>
  <c r="M48" i="12"/>
  <c r="J267" i="25"/>
  <c r="O267" i="25"/>
  <c r="P267" i="25"/>
  <c r="Q267" i="25"/>
  <c r="R267" i="25"/>
  <c r="N267" i="25"/>
  <c r="W267" i="25"/>
  <c r="M49" i="12"/>
  <c r="J268" i="25"/>
  <c r="O268" i="25"/>
  <c r="P268" i="25"/>
  <c r="Q268" i="25"/>
  <c r="R268" i="25"/>
  <c r="N268" i="25"/>
  <c r="W268" i="25"/>
  <c r="M50" i="12"/>
  <c r="J269" i="25"/>
  <c r="O269" i="25"/>
  <c r="P269" i="25"/>
  <c r="Q269" i="25"/>
  <c r="R269" i="25"/>
  <c r="N269" i="25"/>
  <c r="W269" i="25"/>
  <c r="M51" i="12"/>
  <c r="J270" i="25"/>
  <c r="O270" i="25"/>
  <c r="P270" i="25"/>
  <c r="Q270" i="25"/>
  <c r="R270" i="25"/>
  <c r="N270" i="25"/>
  <c r="W270" i="25"/>
  <c r="M52" i="12"/>
  <c r="J271" i="25"/>
  <c r="O271" i="25"/>
  <c r="P271" i="25"/>
  <c r="Q271" i="25"/>
  <c r="R271" i="25"/>
  <c r="N271" i="25"/>
  <c r="W271" i="25"/>
  <c r="M53" i="12"/>
  <c r="J272" i="25"/>
  <c r="O272" i="25"/>
  <c r="P272" i="25"/>
  <c r="Q272" i="25"/>
  <c r="R272" i="25"/>
  <c r="N272" i="25"/>
  <c r="W272" i="25"/>
  <c r="M54" i="12"/>
  <c r="J273" i="25"/>
  <c r="O273" i="25"/>
  <c r="P273" i="25"/>
  <c r="Q273" i="25"/>
  <c r="R273" i="25"/>
  <c r="N273" i="25"/>
  <c r="W273" i="25"/>
  <c r="M55" i="12"/>
  <c r="J274" i="25"/>
  <c r="O274" i="25"/>
  <c r="P274" i="25"/>
  <c r="Q274" i="25"/>
  <c r="R274" i="25"/>
  <c r="N274" i="25"/>
  <c r="W274" i="25"/>
  <c r="M56" i="12"/>
  <c r="J275" i="25"/>
  <c r="O275" i="25"/>
  <c r="P275" i="25"/>
  <c r="Q275" i="25"/>
  <c r="R275" i="25"/>
  <c r="N275" i="25"/>
  <c r="W275" i="25"/>
  <c r="M57" i="12"/>
  <c r="J276" i="25"/>
  <c r="O276" i="25"/>
  <c r="P276" i="25"/>
  <c r="Q276" i="25"/>
  <c r="R276" i="25"/>
  <c r="N276" i="25"/>
  <c r="W276" i="25"/>
  <c r="M58" i="12"/>
  <c r="J277" i="25"/>
  <c r="O277" i="25"/>
  <c r="P277" i="25"/>
  <c r="Q277" i="25"/>
  <c r="R277" i="25"/>
  <c r="N277" i="25"/>
  <c r="W277" i="25"/>
  <c r="M59" i="12"/>
  <c r="J278" i="25"/>
  <c r="O278" i="25"/>
  <c r="P278" i="25"/>
  <c r="Q278" i="25"/>
  <c r="R278" i="25"/>
  <c r="N278" i="25"/>
  <c r="W278" i="25"/>
  <c r="M60" i="12"/>
  <c r="J279" i="25"/>
  <c r="O279" i="25"/>
  <c r="P279" i="25"/>
  <c r="Q279" i="25"/>
  <c r="R279" i="25"/>
  <c r="N279" i="25"/>
  <c r="W279" i="25"/>
  <c r="M61" i="12"/>
  <c r="J280" i="25"/>
  <c r="O280" i="25"/>
  <c r="P280" i="25"/>
  <c r="Q280" i="25"/>
  <c r="R280" i="25"/>
  <c r="N280" i="25"/>
  <c r="W280" i="25"/>
  <c r="M62" i="12"/>
  <c r="J281" i="25"/>
  <c r="O281" i="25"/>
  <c r="P281" i="25"/>
  <c r="Q281" i="25"/>
  <c r="R281" i="25"/>
  <c r="N281" i="25"/>
  <c r="W281" i="25"/>
  <c r="M63" i="12"/>
  <c r="J282" i="25"/>
  <c r="O282" i="25"/>
  <c r="P282" i="25"/>
  <c r="Q282" i="25"/>
  <c r="R282" i="25"/>
  <c r="N282" i="25"/>
  <c r="W282" i="25"/>
  <c r="M64" i="12"/>
  <c r="J283" i="25"/>
  <c r="O283" i="25"/>
  <c r="P283" i="25"/>
  <c r="Q283" i="25"/>
  <c r="R283" i="25"/>
  <c r="N283" i="25"/>
  <c r="W283" i="25"/>
  <c r="M65" i="12"/>
  <c r="J284" i="25"/>
  <c r="O284" i="25"/>
  <c r="P284" i="25"/>
  <c r="Q284" i="25"/>
  <c r="R284" i="25"/>
  <c r="N284" i="25"/>
  <c r="W284" i="25"/>
  <c r="M66" i="12"/>
  <c r="J285" i="25"/>
  <c r="O285" i="25"/>
  <c r="P285" i="25"/>
  <c r="Q285" i="25"/>
  <c r="R285" i="25"/>
  <c r="N285" i="25"/>
  <c r="W285" i="25"/>
  <c r="M67" i="12"/>
  <c r="J286" i="25"/>
  <c r="O286" i="25"/>
  <c r="P286" i="25"/>
  <c r="Q286" i="25"/>
  <c r="R286" i="25"/>
  <c r="N286" i="25"/>
  <c r="W286" i="25"/>
  <c r="M68" i="12"/>
  <c r="J287" i="25"/>
  <c r="O287" i="25"/>
  <c r="P287" i="25"/>
  <c r="Q287" i="25"/>
  <c r="R287" i="25"/>
  <c r="N287" i="25"/>
  <c r="W287" i="25"/>
  <c r="M69" i="12"/>
  <c r="J288" i="25"/>
  <c r="O288" i="25"/>
  <c r="P288" i="25"/>
  <c r="Q288" i="25"/>
  <c r="R288" i="25"/>
  <c r="N288" i="25"/>
  <c r="W288" i="25"/>
  <c r="M70" i="12"/>
  <c r="J289" i="25"/>
  <c r="O289" i="25"/>
  <c r="P289" i="25"/>
  <c r="Q289" i="25"/>
  <c r="R289" i="25"/>
  <c r="N289" i="25"/>
  <c r="W289" i="25"/>
  <c r="M71" i="12"/>
  <c r="J290" i="25"/>
  <c r="O290" i="25"/>
  <c r="P290" i="25"/>
  <c r="Q290" i="25"/>
  <c r="R290" i="25"/>
  <c r="N290" i="25"/>
  <c r="W290" i="25"/>
  <c r="M72" i="12"/>
  <c r="J291" i="25"/>
  <c r="O291" i="25"/>
  <c r="P291" i="25"/>
  <c r="Q291" i="25"/>
  <c r="R291" i="25"/>
  <c r="N291" i="25"/>
  <c r="W291" i="25"/>
  <c r="M73" i="12"/>
  <c r="J292" i="25"/>
  <c r="O292" i="25"/>
  <c r="P292" i="25"/>
  <c r="Q292" i="25"/>
  <c r="R292" i="25"/>
  <c r="N292" i="25"/>
  <c r="W292" i="25"/>
  <c r="M74" i="12"/>
  <c r="J293" i="25"/>
  <c r="O293" i="25"/>
  <c r="P293" i="25"/>
  <c r="Q293" i="25"/>
  <c r="R293" i="25"/>
  <c r="N293" i="25"/>
  <c r="W293" i="25"/>
  <c r="M75" i="12"/>
  <c r="J294" i="25"/>
  <c r="O294" i="25"/>
  <c r="P294" i="25"/>
  <c r="Q294" i="25"/>
  <c r="R294" i="25"/>
  <c r="N294" i="25"/>
  <c r="W294" i="25"/>
  <c r="M76" i="12"/>
  <c r="J295" i="25"/>
  <c r="O295" i="25"/>
  <c r="P295" i="25"/>
  <c r="Q295" i="25"/>
  <c r="R295" i="25"/>
  <c r="N295" i="25"/>
  <c r="W295" i="25"/>
  <c r="M77" i="12"/>
  <c r="J296" i="25"/>
  <c r="O296" i="25"/>
  <c r="P296" i="25"/>
  <c r="Q296" i="25"/>
  <c r="R296" i="25"/>
  <c r="N296" i="25"/>
  <c r="W296" i="25"/>
  <c r="M78" i="12"/>
  <c r="J297" i="25"/>
  <c r="O297" i="25"/>
  <c r="P297" i="25"/>
  <c r="Q297" i="25"/>
  <c r="R297" i="25"/>
  <c r="N297" i="25"/>
  <c r="W297" i="25"/>
  <c r="M79" i="12"/>
  <c r="J298" i="25"/>
  <c r="O298" i="25"/>
  <c r="P298" i="25"/>
  <c r="Q298" i="25"/>
  <c r="R298" i="25"/>
  <c r="N298" i="25"/>
  <c r="W298" i="25"/>
  <c r="M80" i="12"/>
  <c r="J299" i="25"/>
  <c r="O299" i="25"/>
  <c r="P299" i="25"/>
  <c r="Q299" i="25"/>
  <c r="R299" i="25"/>
  <c r="N299" i="25"/>
  <c r="W299" i="25"/>
  <c r="M81" i="12"/>
  <c r="J300" i="25"/>
  <c r="O300" i="25"/>
  <c r="P300" i="25"/>
  <c r="Q300" i="25"/>
  <c r="R300" i="25"/>
  <c r="N300" i="25"/>
  <c r="W300" i="25"/>
  <c r="M82" i="12"/>
  <c r="J301" i="25"/>
  <c r="O301" i="25"/>
  <c r="P301" i="25"/>
  <c r="Q301" i="25"/>
  <c r="R301" i="25"/>
  <c r="N301" i="25"/>
  <c r="W301" i="25"/>
  <c r="M83" i="12"/>
  <c r="J302" i="25"/>
  <c r="O302" i="25"/>
  <c r="P302" i="25"/>
  <c r="Q302" i="25"/>
  <c r="R302" i="25"/>
  <c r="N302" i="25"/>
  <c r="W302" i="25"/>
  <c r="M84" i="12"/>
  <c r="J303" i="25"/>
  <c r="O303" i="25"/>
  <c r="P303" i="25"/>
  <c r="Q303" i="25"/>
  <c r="R303" i="25"/>
  <c r="N303" i="25"/>
  <c r="W303" i="25"/>
  <c r="M85" i="12"/>
  <c r="J304" i="25"/>
  <c r="O304" i="25"/>
  <c r="P304" i="25"/>
  <c r="Q304" i="25"/>
  <c r="R304" i="25"/>
  <c r="N304" i="25"/>
  <c r="W304" i="25"/>
  <c r="M86" i="12"/>
  <c r="J305" i="25"/>
  <c r="O305" i="25"/>
  <c r="P305" i="25"/>
  <c r="Q305" i="25"/>
  <c r="R305" i="25"/>
  <c r="N305" i="25"/>
  <c r="W305" i="25"/>
  <c r="M87" i="12"/>
  <c r="J306" i="25"/>
  <c r="O306" i="25"/>
  <c r="P306" i="25"/>
  <c r="Q306" i="25"/>
  <c r="R306" i="25"/>
  <c r="N306" i="25"/>
  <c r="W306" i="25"/>
  <c r="M88" i="12"/>
  <c r="J307" i="25"/>
  <c r="O307" i="25"/>
  <c r="P307" i="25"/>
  <c r="Q307" i="25"/>
  <c r="R307" i="25"/>
  <c r="N307" i="25"/>
  <c r="W307" i="25"/>
  <c r="M89" i="12"/>
  <c r="J308" i="25"/>
  <c r="O308" i="25"/>
  <c r="P308" i="25"/>
  <c r="Q308" i="25"/>
  <c r="R308" i="25"/>
  <c r="N308" i="25"/>
  <c r="W308" i="25"/>
  <c r="M90" i="12"/>
  <c r="J309" i="25"/>
  <c r="O309" i="25"/>
  <c r="P309" i="25"/>
  <c r="Q309" i="25"/>
  <c r="R309" i="25"/>
  <c r="N309" i="25"/>
  <c r="W309" i="25"/>
  <c r="M91" i="12"/>
  <c r="J310" i="25"/>
  <c r="O310" i="25"/>
  <c r="P310" i="25"/>
  <c r="Q310" i="25"/>
  <c r="R310" i="25"/>
  <c r="N310" i="25"/>
  <c r="W310" i="25"/>
  <c r="M92" i="12"/>
  <c r="J311" i="25"/>
  <c r="O311" i="25"/>
  <c r="P311" i="25"/>
  <c r="Q311" i="25"/>
  <c r="R311" i="25"/>
  <c r="N311" i="25"/>
  <c r="W311" i="25"/>
  <c r="M93" i="12"/>
  <c r="J312" i="25"/>
  <c r="O312" i="25"/>
  <c r="P312" i="25"/>
  <c r="Q312" i="25"/>
  <c r="R312" i="25"/>
  <c r="N312" i="25"/>
  <c r="W312" i="25"/>
  <c r="M94" i="12"/>
  <c r="J313" i="25"/>
  <c r="O313" i="25"/>
  <c r="P313" i="25"/>
  <c r="Q313" i="25"/>
  <c r="R313" i="25"/>
  <c r="N313" i="25"/>
  <c r="W313" i="25"/>
  <c r="M95" i="12"/>
  <c r="J314" i="25"/>
  <c r="O314" i="25"/>
  <c r="P314" i="25"/>
  <c r="Q314" i="25"/>
  <c r="R314" i="25"/>
  <c r="N314" i="25"/>
  <c r="W314" i="25"/>
  <c r="M96" i="12"/>
  <c r="J315" i="25"/>
  <c r="O315" i="25"/>
  <c r="P315" i="25"/>
  <c r="Q315" i="25"/>
  <c r="R315" i="25"/>
  <c r="N315" i="25"/>
  <c r="W315" i="25"/>
  <c r="M97" i="12"/>
  <c r="J316" i="25"/>
  <c r="O316" i="25"/>
  <c r="P316" i="25"/>
  <c r="Q316" i="25"/>
  <c r="R316" i="25"/>
  <c r="N316" i="25"/>
  <c r="W316" i="25"/>
  <c r="M98" i="12"/>
  <c r="J317" i="25"/>
  <c r="O317" i="25"/>
  <c r="P317" i="25"/>
  <c r="Q317" i="25"/>
  <c r="R317" i="25"/>
  <c r="N317" i="25"/>
  <c r="W317" i="25"/>
  <c r="M99" i="12"/>
  <c r="J318" i="25"/>
  <c r="O318" i="25"/>
  <c r="P318" i="25"/>
  <c r="Q318" i="25"/>
  <c r="R318" i="25"/>
  <c r="N318" i="25"/>
  <c r="W318" i="25"/>
  <c r="M100" i="12"/>
  <c r="J319" i="25"/>
  <c r="O319" i="25"/>
  <c r="P319" i="25"/>
  <c r="Q319" i="25"/>
  <c r="R319" i="25"/>
  <c r="N319" i="25"/>
  <c r="W319" i="25"/>
  <c r="M101" i="12"/>
  <c r="J320" i="25"/>
  <c r="O320" i="25"/>
  <c r="P320" i="25"/>
  <c r="Q320" i="25"/>
  <c r="R320" i="25"/>
  <c r="N320" i="25"/>
  <c r="W320" i="25"/>
  <c r="M102" i="12"/>
  <c r="J321" i="25"/>
  <c r="O321" i="25"/>
  <c r="P321" i="25"/>
  <c r="Q321" i="25"/>
  <c r="R321" i="25"/>
  <c r="N321" i="25"/>
  <c r="W321" i="25"/>
  <c r="M103" i="12"/>
  <c r="J322" i="25"/>
  <c r="O322" i="25"/>
  <c r="P322" i="25"/>
  <c r="Q322" i="25"/>
  <c r="R322" i="25"/>
  <c r="N322" i="25"/>
  <c r="W322" i="25"/>
  <c r="M104" i="12"/>
  <c r="J323" i="25"/>
  <c r="O323" i="25"/>
  <c r="P323" i="25"/>
  <c r="Q323" i="25"/>
  <c r="R323" i="25"/>
  <c r="N323" i="25"/>
  <c r="W323" i="25"/>
  <c r="M105" i="12"/>
  <c r="J324" i="25"/>
  <c r="O324" i="25"/>
  <c r="P324" i="25"/>
  <c r="Q324" i="25"/>
  <c r="R324" i="25"/>
  <c r="N324" i="25"/>
  <c r="W324" i="25"/>
  <c r="M106" i="12"/>
  <c r="J325" i="25"/>
  <c r="O325" i="25"/>
  <c r="P325" i="25"/>
  <c r="Q325" i="25"/>
  <c r="R325" i="25"/>
  <c r="N325" i="25"/>
  <c r="W325" i="25"/>
  <c r="M107" i="12"/>
  <c r="J326" i="25"/>
  <c r="O326" i="25"/>
  <c r="P326" i="25"/>
  <c r="Q326" i="25"/>
  <c r="R326" i="25"/>
  <c r="N326" i="25"/>
  <c r="W326" i="25"/>
  <c r="M108" i="12"/>
  <c r="J327" i="25"/>
  <c r="O327" i="25"/>
  <c r="P327" i="25"/>
  <c r="Q327" i="25"/>
  <c r="R327" i="25"/>
  <c r="N327" i="25"/>
  <c r="W327" i="25"/>
  <c r="M109" i="12"/>
  <c r="J328" i="25"/>
  <c r="O328" i="25"/>
  <c r="P328" i="25"/>
  <c r="Q328" i="25"/>
  <c r="R328" i="25"/>
  <c r="N328" i="25"/>
  <c r="W328" i="25"/>
  <c r="M110" i="12"/>
  <c r="J329" i="25"/>
  <c r="O329" i="25"/>
  <c r="P329" i="25"/>
  <c r="Q329" i="25"/>
  <c r="R329" i="25"/>
  <c r="N329" i="25"/>
  <c r="W329" i="25"/>
  <c r="M111" i="12"/>
  <c r="J330" i="25"/>
  <c r="O330" i="25"/>
  <c r="P330" i="25"/>
  <c r="Q330" i="25"/>
  <c r="R330" i="25"/>
  <c r="N330" i="25"/>
  <c r="W330" i="25"/>
  <c r="M112" i="12"/>
  <c r="J331" i="25"/>
  <c r="O331" i="25"/>
  <c r="P331" i="25"/>
  <c r="Q331" i="25"/>
  <c r="R331" i="25"/>
  <c r="N331" i="25"/>
  <c r="W331" i="25"/>
  <c r="M113" i="12"/>
  <c r="J332" i="25"/>
  <c r="O332" i="25"/>
  <c r="P332" i="25"/>
  <c r="Q332" i="25"/>
  <c r="R332" i="25"/>
  <c r="N332" i="25"/>
  <c r="W332" i="25"/>
  <c r="M114" i="12"/>
  <c r="J333" i="25"/>
  <c r="O333" i="25"/>
  <c r="P333" i="25"/>
  <c r="Q333" i="25"/>
  <c r="R333" i="25"/>
  <c r="N333" i="25"/>
  <c r="W333" i="25"/>
  <c r="M115" i="12"/>
  <c r="J334" i="25"/>
  <c r="O334" i="25"/>
  <c r="P334" i="25"/>
  <c r="Q334" i="25"/>
  <c r="R334" i="25"/>
  <c r="N334" i="25"/>
  <c r="W334" i="25"/>
  <c r="M116" i="12"/>
  <c r="J335" i="25"/>
  <c r="O335" i="25"/>
  <c r="P335" i="25"/>
  <c r="Q335" i="25"/>
  <c r="R335" i="25"/>
  <c r="N335" i="25"/>
  <c r="W335" i="25"/>
  <c r="M117" i="12"/>
  <c r="J336" i="25"/>
  <c r="O336" i="25"/>
  <c r="P336" i="25"/>
  <c r="Q336" i="25"/>
  <c r="R336" i="25"/>
  <c r="N336" i="25"/>
  <c r="W336" i="25"/>
  <c r="M118" i="12"/>
  <c r="J337" i="25"/>
  <c r="O337" i="25"/>
  <c r="P337" i="25"/>
  <c r="Q337" i="25"/>
  <c r="R337" i="25"/>
  <c r="N337" i="25"/>
  <c r="W337" i="25"/>
  <c r="M119" i="12"/>
  <c r="J338" i="25"/>
  <c r="O338" i="25"/>
  <c r="P338" i="25"/>
  <c r="Q338" i="25"/>
  <c r="R338" i="25"/>
  <c r="N338" i="25"/>
  <c r="W338" i="25"/>
  <c r="M120" i="12"/>
  <c r="J339" i="25"/>
  <c r="O339" i="25"/>
  <c r="P339" i="25"/>
  <c r="Q339" i="25"/>
  <c r="R339" i="25"/>
  <c r="N339" i="25"/>
  <c r="W339" i="25"/>
  <c r="M121" i="12"/>
  <c r="J340" i="25"/>
  <c r="O340" i="25"/>
  <c r="P340" i="25"/>
  <c r="Q340" i="25"/>
  <c r="R340" i="25"/>
  <c r="N340" i="25"/>
  <c r="W340" i="25"/>
  <c r="M122" i="12"/>
  <c r="J341" i="25"/>
  <c r="O341" i="25"/>
  <c r="P341" i="25"/>
  <c r="Q341" i="25"/>
  <c r="R341" i="25"/>
  <c r="N341" i="25"/>
  <c r="W341" i="25"/>
  <c r="M123" i="12"/>
  <c r="J342" i="25"/>
  <c r="O342" i="25"/>
  <c r="P342" i="25"/>
  <c r="Q342" i="25"/>
  <c r="R342" i="25"/>
  <c r="N342" i="25"/>
  <c r="W342" i="25"/>
  <c r="M124" i="12"/>
  <c r="J343" i="25"/>
  <c r="O343" i="25"/>
  <c r="P343" i="25"/>
  <c r="Q343" i="25"/>
  <c r="R343" i="25"/>
  <c r="N343" i="25"/>
  <c r="W343" i="25"/>
  <c r="M125" i="12"/>
  <c r="J344" i="25"/>
  <c r="O344" i="25"/>
  <c r="P344" i="25"/>
  <c r="Q344" i="25"/>
  <c r="R344" i="25"/>
  <c r="N344" i="25"/>
  <c r="W344" i="25"/>
  <c r="M126" i="12"/>
  <c r="J345" i="25"/>
  <c r="O345" i="25"/>
  <c r="P345" i="25"/>
  <c r="Q345" i="25"/>
  <c r="R345" i="25"/>
  <c r="N345" i="25"/>
  <c r="W345" i="25"/>
  <c r="M127" i="12"/>
  <c r="J346" i="25"/>
  <c r="O346" i="25"/>
  <c r="P346" i="25"/>
  <c r="Q346" i="25"/>
  <c r="R346" i="25"/>
  <c r="N346" i="25"/>
  <c r="W346" i="25"/>
  <c r="M128" i="12"/>
  <c r="J347" i="25"/>
  <c r="O347" i="25"/>
  <c r="P347" i="25"/>
  <c r="Q347" i="25"/>
  <c r="R347" i="25"/>
  <c r="N347" i="25"/>
  <c r="W347" i="25"/>
  <c r="M129" i="12"/>
  <c r="J348" i="25"/>
  <c r="O348" i="25"/>
  <c r="P348" i="25"/>
  <c r="Q348" i="25"/>
  <c r="R348" i="25"/>
  <c r="N348" i="25"/>
  <c r="W348" i="25"/>
  <c r="M130" i="12"/>
  <c r="J349" i="25"/>
  <c r="O349" i="25"/>
  <c r="P349" i="25"/>
  <c r="Q349" i="25"/>
  <c r="R349" i="25"/>
  <c r="N349" i="25"/>
  <c r="W349" i="25"/>
  <c r="M131" i="12"/>
  <c r="J350" i="25"/>
  <c r="O350" i="25"/>
  <c r="P350" i="25"/>
  <c r="Q350" i="25"/>
  <c r="R350" i="25"/>
  <c r="N350" i="25"/>
  <c r="W350" i="25"/>
  <c r="M132" i="12"/>
  <c r="J351" i="25"/>
  <c r="O351" i="25"/>
  <c r="P351" i="25"/>
  <c r="Q351" i="25"/>
  <c r="R351" i="25"/>
  <c r="N351" i="25"/>
  <c r="W351" i="25"/>
  <c r="M133" i="12"/>
  <c r="J352" i="25"/>
  <c r="O352" i="25"/>
  <c r="P352" i="25"/>
  <c r="Q352" i="25"/>
  <c r="R352" i="25"/>
  <c r="N352" i="25"/>
  <c r="W352" i="25"/>
  <c r="M134" i="12"/>
  <c r="J353" i="25"/>
  <c r="O353" i="25"/>
  <c r="P353" i="25"/>
  <c r="Q353" i="25"/>
  <c r="R353" i="25"/>
  <c r="N353" i="25"/>
  <c r="W353" i="25"/>
  <c r="M135" i="12"/>
  <c r="J354" i="25"/>
  <c r="O354" i="25"/>
  <c r="P354" i="25"/>
  <c r="Q354" i="25"/>
  <c r="R354" i="25"/>
  <c r="N354" i="25"/>
  <c r="W354" i="25"/>
  <c r="M136" i="12"/>
  <c r="J355" i="25"/>
  <c r="O355" i="25"/>
  <c r="P355" i="25"/>
  <c r="Q355" i="25"/>
  <c r="R355" i="25"/>
  <c r="N355" i="25"/>
  <c r="W355" i="25"/>
  <c r="M137" i="12"/>
  <c r="J356" i="25"/>
  <c r="O356" i="25"/>
  <c r="P356" i="25"/>
  <c r="Q356" i="25"/>
  <c r="R356" i="25"/>
  <c r="N356" i="25"/>
  <c r="W356" i="25"/>
  <c r="M138" i="12"/>
  <c r="J357" i="25"/>
  <c r="O357" i="25"/>
  <c r="P357" i="25"/>
  <c r="Q357" i="25"/>
  <c r="R357" i="25"/>
  <c r="N357" i="25"/>
  <c r="W357" i="25"/>
  <c r="M139" i="12"/>
  <c r="J358" i="25"/>
  <c r="O358" i="25"/>
  <c r="P358" i="25"/>
  <c r="Q358" i="25"/>
  <c r="R358" i="25"/>
  <c r="N358" i="25"/>
  <c r="W358" i="25"/>
  <c r="M140" i="12"/>
  <c r="J359" i="25"/>
  <c r="O359" i="25"/>
  <c r="P359" i="25"/>
  <c r="Q359" i="25"/>
  <c r="R359" i="25"/>
  <c r="N359" i="25"/>
  <c r="W359" i="25"/>
  <c r="M141" i="12"/>
  <c r="J360" i="25"/>
  <c r="O360" i="25"/>
  <c r="P360" i="25"/>
  <c r="Q360" i="25"/>
  <c r="R360" i="25"/>
  <c r="N360" i="25"/>
  <c r="W360" i="25"/>
  <c r="M142" i="12"/>
  <c r="J361" i="25"/>
  <c r="O361" i="25"/>
  <c r="P361" i="25"/>
  <c r="Q361" i="25"/>
  <c r="R361" i="25"/>
  <c r="N361" i="25"/>
  <c r="W361" i="25"/>
  <c r="M143" i="12"/>
  <c r="J362" i="25"/>
  <c r="O362" i="25"/>
  <c r="P362" i="25"/>
  <c r="Q362" i="25"/>
  <c r="R362" i="25"/>
  <c r="N362" i="25"/>
  <c r="W362" i="25"/>
  <c r="M144" i="12"/>
  <c r="J363" i="25"/>
  <c r="O363" i="25"/>
  <c r="P363" i="25"/>
  <c r="Q363" i="25"/>
  <c r="R363" i="25"/>
  <c r="N363" i="25"/>
  <c r="W363" i="25"/>
  <c r="M145" i="12"/>
  <c r="J364" i="25"/>
  <c r="O364" i="25"/>
  <c r="P364" i="25"/>
  <c r="Q364" i="25"/>
  <c r="R364" i="25"/>
  <c r="N364" i="25"/>
  <c r="W364" i="25"/>
  <c r="M146" i="12"/>
  <c r="J365" i="25"/>
  <c r="O365" i="25"/>
  <c r="P365" i="25"/>
  <c r="Q365" i="25"/>
  <c r="R365" i="25"/>
  <c r="N365" i="25"/>
  <c r="W365" i="25"/>
  <c r="M147" i="12"/>
  <c r="J366" i="25"/>
  <c r="O366" i="25"/>
  <c r="P366" i="25"/>
  <c r="Q366" i="25"/>
  <c r="R366" i="25"/>
  <c r="N366" i="25"/>
  <c r="W366" i="25"/>
  <c r="M148" i="12"/>
  <c r="J367" i="25"/>
  <c r="O367" i="25"/>
  <c r="P367" i="25"/>
  <c r="Q367" i="25"/>
  <c r="R367" i="25"/>
  <c r="N367" i="25"/>
  <c r="W367" i="25"/>
  <c r="M149" i="12"/>
  <c r="J368" i="25"/>
  <c r="O368" i="25"/>
  <c r="P368" i="25"/>
  <c r="Q368" i="25"/>
  <c r="R368" i="25"/>
  <c r="N368" i="25"/>
  <c r="W368" i="25"/>
  <c r="M150" i="12"/>
  <c r="J369" i="25"/>
  <c r="O369" i="25"/>
  <c r="P369" i="25"/>
  <c r="Q369" i="25"/>
  <c r="R369" i="25"/>
  <c r="N369" i="25"/>
  <c r="W369" i="25"/>
  <c r="M151" i="12"/>
  <c r="J370" i="25"/>
  <c r="O370" i="25"/>
  <c r="P370" i="25"/>
  <c r="Q370" i="25"/>
  <c r="R370" i="25"/>
  <c r="N370" i="25"/>
  <c r="W370" i="25"/>
  <c r="M152" i="12"/>
  <c r="J371" i="25"/>
  <c r="O371" i="25"/>
  <c r="P371" i="25"/>
  <c r="Q371" i="25"/>
  <c r="R371" i="25"/>
  <c r="N371" i="25"/>
  <c r="W371" i="25"/>
  <c r="M153" i="12"/>
  <c r="J372" i="25"/>
  <c r="O372" i="25"/>
  <c r="P372" i="25"/>
  <c r="Q372" i="25"/>
  <c r="R372" i="25"/>
  <c r="N372" i="25"/>
  <c r="W372" i="25"/>
  <c r="M154" i="12"/>
  <c r="J373" i="25"/>
  <c r="O373" i="25"/>
  <c r="P373" i="25"/>
  <c r="Q373" i="25"/>
  <c r="R373" i="25"/>
  <c r="N373" i="25"/>
  <c r="W373" i="25"/>
  <c r="M155" i="12"/>
  <c r="J374" i="25"/>
  <c r="O374" i="25"/>
  <c r="P374" i="25"/>
  <c r="Q374" i="25"/>
  <c r="R374" i="25"/>
  <c r="N374" i="25"/>
  <c r="W374" i="25"/>
  <c r="M156" i="12"/>
  <c r="J375" i="25"/>
  <c r="O375" i="25"/>
  <c r="P375" i="25"/>
  <c r="Q375" i="25"/>
  <c r="R375" i="25"/>
  <c r="N375" i="25"/>
  <c r="W375" i="25"/>
  <c r="M157" i="12"/>
  <c r="J376" i="25"/>
  <c r="O376" i="25"/>
  <c r="P376" i="25"/>
  <c r="Q376" i="25"/>
  <c r="R376" i="25"/>
  <c r="N376" i="25"/>
  <c r="W376" i="25"/>
  <c r="M158" i="12"/>
  <c r="J377" i="25"/>
  <c r="O377" i="25"/>
  <c r="P377" i="25"/>
  <c r="Q377" i="25"/>
  <c r="R377" i="25"/>
  <c r="N377" i="25"/>
  <c r="W377" i="25"/>
  <c r="M159" i="12"/>
  <c r="J378" i="25"/>
  <c r="O378" i="25"/>
  <c r="P378" i="25"/>
  <c r="Q378" i="25"/>
  <c r="R378" i="25"/>
  <c r="N378" i="25"/>
  <c r="W378" i="25"/>
  <c r="M160" i="12"/>
  <c r="J379" i="25"/>
  <c r="O379" i="25"/>
  <c r="P379" i="25"/>
  <c r="Q379" i="25"/>
  <c r="R379" i="25"/>
  <c r="N379" i="25"/>
  <c r="W379" i="25"/>
  <c r="M161" i="12"/>
  <c r="J380" i="25"/>
  <c r="O380" i="25"/>
  <c r="P380" i="25"/>
  <c r="Q380" i="25"/>
  <c r="R380" i="25"/>
  <c r="N380" i="25"/>
  <c r="W380" i="25"/>
  <c r="M162" i="12"/>
  <c r="J381" i="25"/>
  <c r="O381" i="25"/>
  <c r="P381" i="25"/>
  <c r="Q381" i="25"/>
  <c r="R381" i="25"/>
  <c r="N381" i="25"/>
  <c r="W381" i="25"/>
  <c r="M163" i="12"/>
  <c r="J382" i="25"/>
  <c r="O382" i="25"/>
  <c r="P382" i="25"/>
  <c r="Q382" i="25"/>
  <c r="R382" i="25"/>
  <c r="N382" i="25"/>
  <c r="W382" i="25"/>
  <c r="M164" i="12"/>
  <c r="J383" i="25"/>
  <c r="O383" i="25"/>
  <c r="P383" i="25"/>
  <c r="Q383" i="25"/>
  <c r="R383" i="25"/>
  <c r="N383" i="25"/>
  <c r="W383" i="25"/>
  <c r="M165" i="12"/>
  <c r="J384" i="25"/>
  <c r="O384" i="25"/>
  <c r="P384" i="25"/>
  <c r="Q384" i="25"/>
  <c r="R384" i="25"/>
  <c r="N384" i="25"/>
  <c r="W384" i="25"/>
  <c r="M166" i="12"/>
  <c r="J385" i="25"/>
  <c r="O385" i="25"/>
  <c r="P385" i="25"/>
  <c r="Q385" i="25"/>
  <c r="R385" i="25"/>
  <c r="N385" i="25"/>
  <c r="W385" i="25"/>
  <c r="M167" i="12"/>
  <c r="J386" i="25"/>
  <c r="O386" i="25"/>
  <c r="P386" i="25"/>
  <c r="Q386" i="25"/>
  <c r="R386" i="25"/>
  <c r="N386" i="25"/>
  <c r="W386" i="25"/>
  <c r="M168" i="12"/>
  <c r="J387" i="25"/>
  <c r="O387" i="25"/>
  <c r="P387" i="25"/>
  <c r="Q387" i="25"/>
  <c r="R387" i="25"/>
  <c r="N387" i="25"/>
  <c r="W387" i="25"/>
  <c r="M169" i="12"/>
  <c r="J388" i="25"/>
  <c r="O388" i="25"/>
  <c r="P388" i="25"/>
  <c r="Q388" i="25"/>
  <c r="R388" i="25"/>
  <c r="N388" i="25"/>
  <c r="W388" i="25"/>
  <c r="M170" i="12"/>
  <c r="J389" i="25"/>
  <c r="O389" i="25"/>
  <c r="P389" i="25"/>
  <c r="Q389" i="25"/>
  <c r="R389" i="25"/>
  <c r="N389" i="25"/>
  <c r="W389" i="25"/>
  <c r="M171" i="12"/>
  <c r="J390" i="25"/>
  <c r="O390" i="25"/>
  <c r="P390" i="25"/>
  <c r="Q390" i="25"/>
  <c r="R390" i="25"/>
  <c r="N390" i="25"/>
  <c r="W390" i="25"/>
  <c r="M172" i="12"/>
  <c r="J391" i="25"/>
  <c r="O391" i="25"/>
  <c r="P391" i="25"/>
  <c r="Q391" i="25"/>
  <c r="R391" i="25"/>
  <c r="N391" i="25"/>
  <c r="W391" i="25"/>
  <c r="M173" i="12"/>
  <c r="J392" i="25"/>
  <c r="O392" i="25"/>
  <c r="P392" i="25"/>
  <c r="Q392" i="25"/>
  <c r="R392" i="25"/>
  <c r="N392" i="25"/>
  <c r="W392" i="25"/>
  <c r="M174" i="12"/>
  <c r="J393" i="25"/>
  <c r="O393" i="25"/>
  <c r="P393" i="25"/>
  <c r="Q393" i="25"/>
  <c r="R393" i="25"/>
  <c r="N393" i="25"/>
  <c r="W393" i="25"/>
  <c r="M175" i="12"/>
  <c r="J394" i="25"/>
  <c r="O394" i="25"/>
  <c r="P394" i="25"/>
  <c r="Q394" i="25"/>
  <c r="R394" i="25"/>
  <c r="N394" i="25"/>
  <c r="W394" i="25"/>
  <c r="M176" i="12"/>
  <c r="J395" i="25"/>
  <c r="O395" i="25"/>
  <c r="P395" i="25"/>
  <c r="Q395" i="25"/>
  <c r="R395" i="25"/>
  <c r="N395" i="25"/>
  <c r="W395" i="25"/>
  <c r="M177" i="12"/>
  <c r="J396" i="25"/>
  <c r="O396" i="25"/>
  <c r="P396" i="25"/>
  <c r="Q396" i="25"/>
  <c r="R396" i="25"/>
  <c r="N396" i="25"/>
  <c r="W396" i="25"/>
  <c r="M178" i="12"/>
  <c r="J397" i="25"/>
  <c r="O397" i="25"/>
  <c r="P397" i="25"/>
  <c r="Q397" i="25"/>
  <c r="R397" i="25"/>
  <c r="N397" i="25"/>
  <c r="W397" i="25"/>
  <c r="M179" i="12"/>
  <c r="J398" i="25"/>
  <c r="O398" i="25"/>
  <c r="P398" i="25"/>
  <c r="Q398" i="25"/>
  <c r="R398" i="25"/>
  <c r="N398" i="25"/>
  <c r="W398" i="25"/>
  <c r="M180" i="12"/>
  <c r="J399" i="25"/>
  <c r="O399" i="25"/>
  <c r="P399" i="25"/>
  <c r="Q399" i="25"/>
  <c r="R399" i="25"/>
  <c r="N399" i="25"/>
  <c r="W399" i="25"/>
  <c r="M181" i="12"/>
  <c r="J400" i="25"/>
  <c r="O400" i="25"/>
  <c r="P400" i="25"/>
  <c r="Q400" i="25"/>
  <c r="R400" i="25"/>
  <c r="N400" i="25"/>
  <c r="W400" i="25"/>
  <c r="M182" i="12"/>
  <c r="J401" i="25"/>
  <c r="O401" i="25"/>
  <c r="P401" i="25"/>
  <c r="Q401" i="25"/>
  <c r="R401" i="25"/>
  <c r="N401" i="25"/>
  <c r="W401" i="25"/>
  <c r="M183" i="12"/>
  <c r="J402" i="25"/>
  <c r="O402" i="25"/>
  <c r="P402" i="25"/>
  <c r="Q402" i="25"/>
  <c r="R402" i="25"/>
  <c r="N402" i="25"/>
  <c r="W402" i="25"/>
  <c r="M184" i="12"/>
  <c r="J403" i="25"/>
  <c r="O403" i="25"/>
  <c r="P403" i="25"/>
  <c r="Q403" i="25"/>
  <c r="R403" i="25"/>
  <c r="N403" i="25"/>
  <c r="W403" i="25"/>
  <c r="M185" i="12"/>
  <c r="J404" i="25"/>
  <c r="O404" i="25"/>
  <c r="P404" i="25"/>
  <c r="Q404" i="25"/>
  <c r="R404" i="25"/>
  <c r="N404" i="25"/>
  <c r="W404" i="25"/>
  <c r="M186" i="12"/>
  <c r="J405" i="25"/>
  <c r="O405" i="25"/>
  <c r="P405" i="25"/>
  <c r="Q405" i="25"/>
  <c r="R405" i="25"/>
  <c r="N405" i="25"/>
  <c r="W405" i="25"/>
  <c r="M187" i="12"/>
  <c r="J406" i="25"/>
  <c r="O406" i="25"/>
  <c r="P406" i="25"/>
  <c r="Q406" i="25"/>
  <c r="R406" i="25"/>
  <c r="N406" i="25"/>
  <c r="W406" i="25"/>
  <c r="M188" i="12"/>
  <c r="J407" i="25"/>
  <c r="O407" i="25"/>
  <c r="P407" i="25"/>
  <c r="Q407" i="25"/>
  <c r="R407" i="25"/>
  <c r="N407" i="25"/>
  <c r="W407" i="25"/>
  <c r="M189" i="12"/>
  <c r="J408" i="25"/>
  <c r="O408" i="25"/>
  <c r="P408" i="25"/>
  <c r="Q408" i="25"/>
  <c r="R408" i="25"/>
  <c r="N408" i="25"/>
  <c r="W408" i="25"/>
  <c r="M190" i="12"/>
  <c r="J409" i="25"/>
  <c r="O409" i="25"/>
  <c r="P409" i="25"/>
  <c r="Q409" i="25"/>
  <c r="R409" i="25"/>
  <c r="N409" i="25"/>
  <c r="W409" i="25"/>
  <c r="M191" i="12"/>
  <c r="J410" i="25"/>
  <c r="O410" i="25"/>
  <c r="P410" i="25"/>
  <c r="Q410" i="25"/>
  <c r="R410" i="25"/>
  <c r="N410" i="25"/>
  <c r="W410" i="25"/>
  <c r="M192" i="12"/>
  <c r="J411" i="25"/>
  <c r="O411" i="25"/>
  <c r="P411" i="25"/>
  <c r="Q411" i="25"/>
  <c r="R411" i="25"/>
  <c r="N411" i="25"/>
  <c r="W411" i="25"/>
  <c r="M193" i="12"/>
  <c r="J412" i="25"/>
  <c r="O412" i="25"/>
  <c r="P412" i="25"/>
  <c r="Q412" i="25"/>
  <c r="R412" i="25"/>
  <c r="N412" i="25"/>
  <c r="W412" i="25"/>
  <c r="M194" i="12"/>
  <c r="J413" i="25"/>
  <c r="O413" i="25"/>
  <c r="P413" i="25"/>
  <c r="Q413" i="25"/>
  <c r="R413" i="25"/>
  <c r="N413" i="25"/>
  <c r="W413" i="25"/>
  <c r="M195" i="12"/>
  <c r="J414" i="25"/>
  <c r="O414" i="25"/>
  <c r="P414" i="25"/>
  <c r="Q414" i="25"/>
  <c r="R414" i="25"/>
  <c r="N414" i="25"/>
  <c r="W414" i="25"/>
  <c r="M196" i="12"/>
  <c r="J415" i="25"/>
  <c r="O415" i="25"/>
  <c r="P415" i="25"/>
  <c r="Q415" i="25"/>
  <c r="R415" i="25"/>
  <c r="N415" i="25"/>
  <c r="W415" i="25"/>
  <c r="M197" i="12"/>
  <c r="J416" i="25"/>
  <c r="O416" i="25"/>
  <c r="P416" i="25"/>
  <c r="Q416" i="25"/>
  <c r="R416" i="25"/>
  <c r="N416" i="25"/>
  <c r="W416" i="25"/>
  <c r="M198" i="12"/>
  <c r="J417" i="25"/>
  <c r="O417" i="25"/>
  <c r="P417" i="25"/>
  <c r="Q417" i="25"/>
  <c r="R417" i="25"/>
  <c r="N417" i="25"/>
  <c r="W417" i="25"/>
  <c r="M199" i="12"/>
  <c r="J418" i="25"/>
  <c r="O418" i="25"/>
  <c r="P418" i="25"/>
  <c r="Q418" i="25"/>
  <c r="R418" i="25"/>
  <c r="N418" i="25"/>
  <c r="W418" i="25"/>
  <c r="M200" i="12"/>
  <c r="J419" i="25"/>
  <c r="O419" i="25"/>
  <c r="P419" i="25"/>
  <c r="Q419" i="25"/>
  <c r="R419" i="25"/>
  <c r="N419" i="25"/>
  <c r="W419" i="25"/>
  <c r="M201" i="12"/>
  <c r="J420" i="25"/>
  <c r="O420" i="25"/>
  <c r="P420" i="25"/>
  <c r="Q420" i="25"/>
  <c r="R420" i="25"/>
  <c r="N420" i="25"/>
  <c r="W420" i="25"/>
  <c r="M202" i="12"/>
  <c r="J421" i="25"/>
  <c r="O421" i="25"/>
  <c r="P421" i="25"/>
  <c r="Q421" i="25"/>
  <c r="R421" i="25"/>
  <c r="N421" i="25"/>
  <c r="W421" i="25"/>
  <c r="M203" i="12"/>
  <c r="J422" i="25"/>
  <c r="O422" i="25"/>
  <c r="P422" i="25"/>
  <c r="Q422" i="25"/>
  <c r="R422" i="25"/>
  <c r="N422" i="25"/>
  <c r="W422" i="25"/>
  <c r="M204" i="12"/>
  <c r="J423" i="25"/>
  <c r="O423" i="25"/>
  <c r="P423" i="25"/>
  <c r="Q423" i="25"/>
  <c r="R423" i="25"/>
  <c r="N423" i="25"/>
  <c r="W423" i="25"/>
  <c r="M205" i="12"/>
  <c r="J424" i="25"/>
  <c r="O424" i="25"/>
  <c r="P424" i="25"/>
  <c r="Q424" i="25"/>
  <c r="R424" i="25"/>
  <c r="N424" i="25"/>
  <c r="W424" i="25"/>
  <c r="M206" i="12"/>
  <c r="J425" i="25"/>
  <c r="O425" i="25"/>
  <c r="P425" i="25"/>
  <c r="Q425" i="25"/>
  <c r="R425" i="25"/>
  <c r="N425" i="25"/>
  <c r="W425" i="25"/>
  <c r="M207" i="12"/>
  <c r="J426" i="25"/>
  <c r="O426" i="25"/>
  <c r="P426" i="25"/>
  <c r="Q426" i="25"/>
  <c r="R426" i="25"/>
  <c r="N426" i="25"/>
  <c r="W426" i="25"/>
  <c r="M208" i="12"/>
  <c r="J427" i="25"/>
  <c r="O427" i="25"/>
  <c r="P427" i="25"/>
  <c r="Q427" i="25"/>
  <c r="R427" i="25"/>
  <c r="N427" i="25"/>
  <c r="W427" i="25"/>
  <c r="M209" i="12"/>
  <c r="J428" i="25"/>
  <c r="O428" i="25"/>
  <c r="P428" i="25"/>
  <c r="Q428" i="25"/>
  <c r="R428" i="25"/>
  <c r="N428" i="25"/>
  <c r="W428" i="25"/>
  <c r="M210" i="12"/>
  <c r="J429" i="25"/>
  <c r="O429" i="25"/>
  <c r="P429" i="25"/>
  <c r="Q429" i="25"/>
  <c r="R429" i="25"/>
  <c r="N429" i="25"/>
  <c r="W429" i="25"/>
  <c r="M211" i="12"/>
  <c r="J430" i="25"/>
  <c r="O430" i="25"/>
  <c r="P430" i="25"/>
  <c r="Q430" i="25"/>
  <c r="R430" i="25"/>
  <c r="N430" i="25"/>
  <c r="W430" i="25"/>
  <c r="M212" i="12"/>
  <c r="J431" i="25"/>
  <c r="O431" i="25"/>
  <c r="P431" i="25"/>
  <c r="Q431" i="25"/>
  <c r="R431" i="25"/>
  <c r="N431" i="25"/>
  <c r="W431" i="25"/>
  <c r="M213" i="12"/>
  <c r="J432" i="25"/>
  <c r="O432" i="25"/>
  <c r="P432" i="25"/>
  <c r="Q432" i="25"/>
  <c r="R432" i="25"/>
  <c r="N432" i="25"/>
  <c r="W432" i="25"/>
  <c r="M214" i="12"/>
  <c r="J433" i="25"/>
  <c r="O433" i="25"/>
  <c r="P433" i="25"/>
  <c r="Q433" i="25"/>
  <c r="R433" i="25"/>
  <c r="N433" i="25"/>
  <c r="W433" i="25"/>
  <c r="M215" i="12"/>
  <c r="J434" i="25"/>
  <c r="O434" i="25"/>
  <c r="P434" i="25"/>
  <c r="Q434" i="25"/>
  <c r="R434" i="25"/>
  <c r="N434" i="25"/>
  <c r="W434" i="25"/>
  <c r="M216" i="12"/>
  <c r="J435" i="25"/>
  <c r="O435" i="25"/>
  <c r="P435" i="25"/>
  <c r="Q435" i="25"/>
  <c r="R435" i="25"/>
  <c r="N435" i="25"/>
  <c r="W435" i="25"/>
  <c r="M217" i="12"/>
  <c r="J436" i="25"/>
  <c r="O436" i="25"/>
  <c r="P436" i="25"/>
  <c r="Q436" i="25"/>
  <c r="R436" i="25"/>
  <c r="N436" i="25"/>
  <c r="W436" i="25"/>
  <c r="M218" i="12"/>
  <c r="J437" i="25"/>
  <c r="O437" i="25"/>
  <c r="P437" i="25"/>
  <c r="Q437" i="25"/>
  <c r="R437" i="25"/>
  <c r="N437" i="25"/>
  <c r="W437" i="25"/>
  <c r="M219" i="12"/>
  <c r="J438" i="25"/>
  <c r="O438" i="25"/>
  <c r="P438" i="25"/>
  <c r="Q438" i="25"/>
  <c r="R438" i="25"/>
  <c r="N438" i="25"/>
  <c r="W438" i="25"/>
  <c r="M220" i="12"/>
  <c r="J439" i="25"/>
  <c r="O439" i="25"/>
  <c r="P439" i="25"/>
  <c r="Q439" i="25"/>
  <c r="R439" i="25"/>
  <c r="N439" i="25"/>
  <c r="W439" i="25"/>
  <c r="M221" i="12"/>
  <c r="J440" i="25"/>
  <c r="O440" i="25"/>
  <c r="P440" i="25"/>
  <c r="Q440" i="25"/>
  <c r="R440" i="25"/>
  <c r="N440" i="25"/>
  <c r="W440" i="25"/>
  <c r="M222" i="12"/>
  <c r="J441" i="25"/>
  <c r="O441" i="25"/>
  <c r="P441" i="25"/>
  <c r="Q441" i="25"/>
  <c r="R441" i="25"/>
  <c r="N441" i="25"/>
  <c r="W441" i="25"/>
  <c r="O3" i="12"/>
  <c r="J442" i="25"/>
  <c r="O442" i="25"/>
  <c r="P442" i="25"/>
  <c r="Q442" i="25"/>
  <c r="R442" i="25"/>
  <c r="N442" i="25"/>
  <c r="W442" i="25"/>
  <c r="O4" i="12"/>
  <c r="J443" i="25"/>
  <c r="O443" i="25"/>
  <c r="P443" i="25"/>
  <c r="Q443" i="25"/>
  <c r="R443" i="25"/>
  <c r="N443" i="25"/>
  <c r="W443" i="25"/>
  <c r="O5" i="12"/>
  <c r="J444" i="25"/>
  <c r="O444" i="25"/>
  <c r="P444" i="25"/>
  <c r="Q444" i="25"/>
  <c r="R444" i="25"/>
  <c r="N444" i="25"/>
  <c r="W444" i="25"/>
  <c r="O6" i="12"/>
  <c r="J445" i="25"/>
  <c r="O445" i="25"/>
  <c r="P445" i="25"/>
  <c r="Q445" i="25"/>
  <c r="R445" i="25"/>
  <c r="N445" i="25"/>
  <c r="W445" i="25"/>
  <c r="O7" i="12"/>
  <c r="J446" i="25"/>
  <c r="O446" i="25"/>
  <c r="P446" i="25"/>
  <c r="Q446" i="25"/>
  <c r="R446" i="25"/>
  <c r="N446" i="25"/>
  <c r="W446" i="25"/>
  <c r="O8" i="12"/>
  <c r="J447" i="25"/>
  <c r="O447" i="25"/>
  <c r="P447" i="25"/>
  <c r="Q447" i="25"/>
  <c r="R447" i="25"/>
  <c r="N447" i="25"/>
  <c r="W447" i="25"/>
  <c r="O9" i="12"/>
  <c r="J448" i="25"/>
  <c r="O448" i="25"/>
  <c r="P448" i="25"/>
  <c r="Q448" i="25"/>
  <c r="R448" i="25"/>
  <c r="N448" i="25"/>
  <c r="W448" i="25"/>
  <c r="O10" i="12"/>
  <c r="J449" i="25"/>
  <c r="O449" i="25"/>
  <c r="P449" i="25"/>
  <c r="Q449" i="25"/>
  <c r="R449" i="25"/>
  <c r="N449" i="25"/>
  <c r="W449" i="25"/>
  <c r="O11" i="12"/>
  <c r="J450" i="25"/>
  <c r="O450" i="25"/>
  <c r="P450" i="25"/>
  <c r="Q450" i="25"/>
  <c r="R450" i="25"/>
  <c r="N450" i="25"/>
  <c r="W450" i="25"/>
  <c r="O12" i="12"/>
  <c r="J451" i="25"/>
  <c r="O451" i="25"/>
  <c r="P451" i="25"/>
  <c r="Q451" i="25"/>
  <c r="R451" i="25"/>
  <c r="N451" i="25"/>
  <c r="W451" i="25"/>
  <c r="O13" i="12"/>
  <c r="J452" i="25"/>
  <c r="O452" i="25"/>
  <c r="P452" i="25"/>
  <c r="Q452" i="25"/>
  <c r="R452" i="25"/>
  <c r="N452" i="25"/>
  <c r="W452" i="25"/>
  <c r="O14" i="12"/>
  <c r="J453" i="25"/>
  <c r="O453" i="25"/>
  <c r="P453" i="25"/>
  <c r="Q453" i="25"/>
  <c r="R453" i="25"/>
  <c r="N453" i="25"/>
  <c r="W453" i="25"/>
  <c r="O15" i="12"/>
  <c r="J454" i="25"/>
  <c r="O454" i="25"/>
  <c r="P454" i="25"/>
  <c r="Q454" i="25"/>
  <c r="R454" i="25"/>
  <c r="N454" i="25"/>
  <c r="W454" i="25"/>
  <c r="O16" i="12"/>
  <c r="J455" i="25"/>
  <c r="O455" i="25"/>
  <c r="P455" i="25"/>
  <c r="Q455" i="25"/>
  <c r="R455" i="25"/>
  <c r="N455" i="25"/>
  <c r="W455" i="25"/>
  <c r="O17" i="12"/>
  <c r="J456" i="25"/>
  <c r="O456" i="25"/>
  <c r="P456" i="25"/>
  <c r="Q456" i="25"/>
  <c r="R456" i="25"/>
  <c r="N456" i="25"/>
  <c r="W456" i="25"/>
  <c r="O18" i="12"/>
  <c r="J457" i="25"/>
  <c r="O457" i="25"/>
  <c r="P457" i="25"/>
  <c r="Q457" i="25"/>
  <c r="R457" i="25"/>
  <c r="N457" i="25"/>
  <c r="W457" i="25"/>
  <c r="O19" i="12"/>
  <c r="J458" i="25"/>
  <c r="O458" i="25"/>
  <c r="P458" i="25"/>
  <c r="Q458" i="25"/>
  <c r="R458" i="25"/>
  <c r="N458" i="25"/>
  <c r="W458" i="25"/>
  <c r="O20" i="12"/>
  <c r="J459" i="25"/>
  <c r="O459" i="25"/>
  <c r="P459" i="25"/>
  <c r="Q459" i="25"/>
  <c r="R459" i="25"/>
  <c r="N459" i="25"/>
  <c r="W459" i="25"/>
  <c r="O21" i="12"/>
  <c r="J460" i="25"/>
  <c r="O460" i="25"/>
  <c r="P460" i="25"/>
  <c r="Q460" i="25"/>
  <c r="R460" i="25"/>
  <c r="N460" i="25"/>
  <c r="W460" i="25"/>
  <c r="O22" i="12"/>
  <c r="J461" i="25"/>
  <c r="O461" i="25"/>
  <c r="P461" i="25"/>
  <c r="Q461" i="25"/>
  <c r="R461" i="25"/>
  <c r="N461" i="25"/>
  <c r="W461" i="25"/>
  <c r="O23" i="12"/>
  <c r="J462" i="25"/>
  <c r="O462" i="25"/>
  <c r="P462" i="25"/>
  <c r="Q462" i="25"/>
  <c r="R462" i="25"/>
  <c r="N462" i="25"/>
  <c r="W462" i="25"/>
  <c r="O24" i="12"/>
  <c r="J463" i="25"/>
  <c r="O463" i="25"/>
  <c r="P463" i="25"/>
  <c r="Q463" i="25"/>
  <c r="R463" i="25"/>
  <c r="N463" i="25"/>
  <c r="W463" i="25"/>
  <c r="O25" i="12"/>
  <c r="J464" i="25"/>
  <c r="O464" i="25"/>
  <c r="P464" i="25"/>
  <c r="Q464" i="25"/>
  <c r="R464" i="25"/>
  <c r="N464" i="25"/>
  <c r="W464" i="25"/>
  <c r="O26" i="12"/>
  <c r="J465" i="25"/>
  <c r="O465" i="25"/>
  <c r="P465" i="25"/>
  <c r="Q465" i="25"/>
  <c r="R465" i="25"/>
  <c r="N465" i="25"/>
  <c r="W465" i="25"/>
  <c r="O27" i="12"/>
  <c r="J466" i="25"/>
  <c r="O466" i="25"/>
  <c r="P466" i="25"/>
  <c r="Q466" i="25"/>
  <c r="R466" i="25"/>
  <c r="N466" i="25"/>
  <c r="W466" i="25"/>
  <c r="O28" i="12"/>
  <c r="J467" i="25"/>
  <c r="O467" i="25"/>
  <c r="P467" i="25"/>
  <c r="Q467" i="25"/>
  <c r="R467" i="25"/>
  <c r="N467" i="25"/>
  <c r="W467" i="25"/>
  <c r="O29" i="12"/>
  <c r="J468" i="25"/>
  <c r="O468" i="25"/>
  <c r="P468" i="25"/>
  <c r="Q468" i="25"/>
  <c r="R468" i="25"/>
  <c r="N468" i="25"/>
  <c r="W468" i="25"/>
  <c r="O30" i="12"/>
  <c r="J469" i="25"/>
  <c r="O469" i="25"/>
  <c r="P469" i="25"/>
  <c r="Q469" i="25"/>
  <c r="R469" i="25"/>
  <c r="N469" i="25"/>
  <c r="W469" i="25"/>
  <c r="O31" i="12"/>
  <c r="J470" i="25"/>
  <c r="O470" i="25"/>
  <c r="P470" i="25"/>
  <c r="Q470" i="25"/>
  <c r="R470" i="25"/>
  <c r="N470" i="25"/>
  <c r="W470" i="25"/>
  <c r="O32" i="12"/>
  <c r="J471" i="25"/>
  <c r="O471" i="25"/>
  <c r="P471" i="25"/>
  <c r="Q471" i="25"/>
  <c r="R471" i="25"/>
  <c r="N471" i="25"/>
  <c r="W471" i="25"/>
  <c r="O33" i="12"/>
  <c r="J472" i="25"/>
  <c r="O472" i="25"/>
  <c r="P472" i="25"/>
  <c r="Q472" i="25"/>
  <c r="R472" i="25"/>
  <c r="N472" i="25"/>
  <c r="W472" i="25"/>
  <c r="O34" i="12"/>
  <c r="J473" i="25"/>
  <c r="O473" i="25"/>
  <c r="P473" i="25"/>
  <c r="Q473" i="25"/>
  <c r="R473" i="25"/>
  <c r="N473" i="25"/>
  <c r="W473" i="25"/>
  <c r="O35" i="12"/>
  <c r="J474" i="25"/>
  <c r="O474" i="25"/>
  <c r="P474" i="25"/>
  <c r="Q474" i="25"/>
  <c r="R474" i="25"/>
  <c r="N474" i="25"/>
  <c r="W474" i="25"/>
  <c r="O36" i="12"/>
  <c r="J475" i="25"/>
  <c r="O475" i="25"/>
  <c r="P475" i="25"/>
  <c r="Q475" i="25"/>
  <c r="R475" i="25"/>
  <c r="N475" i="25"/>
  <c r="W475" i="25"/>
  <c r="O37" i="12"/>
  <c r="J476" i="25"/>
  <c r="O476" i="25"/>
  <c r="P476" i="25"/>
  <c r="Q476" i="25"/>
  <c r="R476" i="25"/>
  <c r="N476" i="25"/>
  <c r="W476" i="25"/>
  <c r="O38" i="12"/>
  <c r="J477" i="25"/>
  <c r="O477" i="25"/>
  <c r="P477" i="25"/>
  <c r="Q477" i="25"/>
  <c r="R477" i="25"/>
  <c r="N477" i="25"/>
  <c r="W477" i="25"/>
  <c r="O39" i="12"/>
  <c r="J478" i="25"/>
  <c r="O478" i="25"/>
  <c r="P478" i="25"/>
  <c r="Q478" i="25"/>
  <c r="R478" i="25"/>
  <c r="N478" i="25"/>
  <c r="W478" i="25"/>
  <c r="O40" i="12"/>
  <c r="J479" i="25"/>
  <c r="O479" i="25"/>
  <c r="P479" i="25"/>
  <c r="Q479" i="25"/>
  <c r="R479" i="25"/>
  <c r="N479" i="25"/>
  <c r="W479" i="25"/>
  <c r="O41" i="12"/>
  <c r="J480" i="25"/>
  <c r="O480" i="25"/>
  <c r="P480" i="25"/>
  <c r="Q480" i="25"/>
  <c r="R480" i="25"/>
  <c r="N480" i="25"/>
  <c r="W480" i="25"/>
  <c r="O42" i="12"/>
  <c r="J481" i="25"/>
  <c r="O481" i="25"/>
  <c r="P481" i="25"/>
  <c r="Q481" i="25"/>
  <c r="R481" i="25"/>
  <c r="N481" i="25"/>
  <c r="W481" i="25"/>
  <c r="O43" i="12"/>
  <c r="J482" i="25"/>
  <c r="O482" i="25"/>
  <c r="P482" i="25"/>
  <c r="Q482" i="25"/>
  <c r="R482" i="25"/>
  <c r="N482" i="25"/>
  <c r="W482" i="25"/>
  <c r="O44" i="12"/>
  <c r="J483" i="25"/>
  <c r="O483" i="25"/>
  <c r="P483" i="25"/>
  <c r="Q483" i="25"/>
  <c r="R483" i="25"/>
  <c r="N483" i="25"/>
  <c r="W483" i="25"/>
  <c r="O45" i="12"/>
  <c r="J484" i="25"/>
  <c r="O484" i="25"/>
  <c r="P484" i="25"/>
  <c r="Q484" i="25"/>
  <c r="R484" i="25"/>
  <c r="N484" i="25"/>
  <c r="W484" i="25"/>
  <c r="O46" i="12"/>
  <c r="J485" i="25"/>
  <c r="O485" i="25"/>
  <c r="P485" i="25"/>
  <c r="Q485" i="25"/>
  <c r="R485" i="25"/>
  <c r="N485" i="25"/>
  <c r="W485" i="25"/>
  <c r="O47" i="12"/>
  <c r="J486" i="25"/>
  <c r="O486" i="25"/>
  <c r="P486" i="25"/>
  <c r="Q486" i="25"/>
  <c r="R486" i="25"/>
  <c r="N486" i="25"/>
  <c r="W486" i="25"/>
  <c r="O48" i="12"/>
  <c r="J487" i="25"/>
  <c r="O487" i="25"/>
  <c r="P487" i="25"/>
  <c r="Q487" i="25"/>
  <c r="R487" i="25"/>
  <c r="N487" i="25"/>
  <c r="W487" i="25"/>
  <c r="O49" i="12"/>
  <c r="J488" i="25"/>
  <c r="O488" i="25"/>
  <c r="P488" i="25"/>
  <c r="Q488" i="25"/>
  <c r="R488" i="25"/>
  <c r="N488" i="25"/>
  <c r="W488" i="25"/>
  <c r="O50" i="12"/>
  <c r="J489" i="25"/>
  <c r="O489" i="25"/>
  <c r="P489" i="25"/>
  <c r="Q489" i="25"/>
  <c r="R489" i="25"/>
  <c r="N489" i="25"/>
  <c r="W489" i="25"/>
  <c r="O51" i="12"/>
  <c r="J490" i="25"/>
  <c r="O490" i="25"/>
  <c r="P490" i="25"/>
  <c r="Q490" i="25"/>
  <c r="R490" i="25"/>
  <c r="N490" i="25"/>
  <c r="W490" i="25"/>
  <c r="O52" i="12"/>
  <c r="J491" i="25"/>
  <c r="O491" i="25"/>
  <c r="P491" i="25"/>
  <c r="Q491" i="25"/>
  <c r="R491" i="25"/>
  <c r="N491" i="25"/>
  <c r="W491" i="25"/>
  <c r="O53" i="12"/>
  <c r="J492" i="25"/>
  <c r="O492" i="25"/>
  <c r="P492" i="25"/>
  <c r="Q492" i="25"/>
  <c r="R492" i="25"/>
  <c r="N492" i="25"/>
  <c r="W492" i="25"/>
  <c r="O54" i="12"/>
  <c r="J493" i="25"/>
  <c r="O493" i="25"/>
  <c r="P493" i="25"/>
  <c r="Q493" i="25"/>
  <c r="R493" i="25"/>
  <c r="N493" i="25"/>
  <c r="W493" i="25"/>
  <c r="O55" i="12"/>
  <c r="J494" i="25"/>
  <c r="O494" i="25"/>
  <c r="P494" i="25"/>
  <c r="Q494" i="25"/>
  <c r="R494" i="25"/>
  <c r="N494" i="25"/>
  <c r="W494" i="25"/>
  <c r="O56" i="12"/>
  <c r="J495" i="25"/>
  <c r="O495" i="25"/>
  <c r="P495" i="25"/>
  <c r="Q495" i="25"/>
  <c r="R495" i="25"/>
  <c r="N495" i="25"/>
  <c r="W495" i="25"/>
  <c r="O57" i="12"/>
  <c r="J496" i="25"/>
  <c r="O496" i="25"/>
  <c r="P496" i="25"/>
  <c r="Q496" i="25"/>
  <c r="R496" i="25"/>
  <c r="N496" i="25"/>
  <c r="W496" i="25"/>
  <c r="O58" i="12"/>
  <c r="J497" i="25"/>
  <c r="O497" i="25"/>
  <c r="P497" i="25"/>
  <c r="Q497" i="25"/>
  <c r="R497" i="25"/>
  <c r="N497" i="25"/>
  <c r="W497" i="25"/>
  <c r="O59" i="12"/>
  <c r="J498" i="25"/>
  <c r="O498" i="25"/>
  <c r="P498" i="25"/>
  <c r="Q498" i="25"/>
  <c r="R498" i="25"/>
  <c r="N498" i="25"/>
  <c r="W498" i="25"/>
  <c r="O60" i="12"/>
  <c r="J499" i="25"/>
  <c r="O499" i="25"/>
  <c r="P499" i="25"/>
  <c r="Q499" i="25"/>
  <c r="R499" i="25"/>
  <c r="N499" i="25"/>
  <c r="W499" i="25"/>
  <c r="O61" i="12"/>
  <c r="J500" i="25"/>
  <c r="O500" i="25"/>
  <c r="P500" i="25"/>
  <c r="Q500" i="25"/>
  <c r="R500" i="25"/>
  <c r="N500" i="25"/>
  <c r="W500" i="25"/>
  <c r="O62" i="12"/>
  <c r="J501" i="25"/>
  <c r="O501" i="25"/>
  <c r="P501" i="25"/>
  <c r="Q501" i="25"/>
  <c r="R501" i="25"/>
  <c r="N501" i="25"/>
  <c r="W501" i="25"/>
  <c r="O63" i="12"/>
  <c r="J502" i="25"/>
  <c r="O502" i="25"/>
  <c r="P502" i="25"/>
  <c r="Q502" i="25"/>
  <c r="R502" i="25"/>
  <c r="N502" i="25"/>
  <c r="W502" i="25"/>
  <c r="O64" i="12"/>
  <c r="J503" i="25"/>
  <c r="O503" i="25"/>
  <c r="P503" i="25"/>
  <c r="Q503" i="25"/>
  <c r="R503" i="25"/>
  <c r="N503" i="25"/>
  <c r="W503" i="25"/>
  <c r="O65" i="12"/>
  <c r="J504" i="25"/>
  <c r="O504" i="25"/>
  <c r="P504" i="25"/>
  <c r="Q504" i="25"/>
  <c r="R504" i="25"/>
  <c r="N504" i="25"/>
  <c r="W504" i="25"/>
  <c r="O66" i="12"/>
  <c r="J505" i="25"/>
  <c r="O505" i="25"/>
  <c r="P505" i="25"/>
  <c r="Q505" i="25"/>
  <c r="R505" i="25"/>
  <c r="N505" i="25"/>
  <c r="W505" i="25"/>
  <c r="O67" i="12"/>
  <c r="J506" i="25"/>
  <c r="O506" i="25"/>
  <c r="P506" i="25"/>
  <c r="Q506" i="25"/>
  <c r="R506" i="25"/>
  <c r="N506" i="25"/>
  <c r="W506" i="25"/>
  <c r="O68" i="12"/>
  <c r="J507" i="25"/>
  <c r="O507" i="25"/>
  <c r="P507" i="25"/>
  <c r="Q507" i="25"/>
  <c r="R507" i="25"/>
  <c r="N507" i="25"/>
  <c r="W507" i="25"/>
  <c r="O69" i="12"/>
  <c r="J508" i="25"/>
  <c r="O508" i="25"/>
  <c r="P508" i="25"/>
  <c r="Q508" i="25"/>
  <c r="R508" i="25"/>
  <c r="N508" i="25"/>
  <c r="W508" i="25"/>
  <c r="O70" i="12"/>
  <c r="J509" i="25"/>
  <c r="O509" i="25"/>
  <c r="P509" i="25"/>
  <c r="Q509" i="25"/>
  <c r="R509" i="25"/>
  <c r="N509" i="25"/>
  <c r="W509" i="25"/>
  <c r="O71" i="12"/>
  <c r="J510" i="25"/>
  <c r="O510" i="25"/>
  <c r="P510" i="25"/>
  <c r="Q510" i="25"/>
  <c r="R510" i="25"/>
  <c r="N510" i="25"/>
  <c r="W510" i="25"/>
  <c r="O72" i="12"/>
  <c r="J511" i="25"/>
  <c r="O511" i="25"/>
  <c r="P511" i="25"/>
  <c r="Q511" i="25"/>
  <c r="R511" i="25"/>
  <c r="N511" i="25"/>
  <c r="W511" i="25"/>
  <c r="O73" i="12"/>
  <c r="J512" i="25"/>
  <c r="O512" i="25"/>
  <c r="P512" i="25"/>
  <c r="Q512" i="25"/>
  <c r="R512" i="25"/>
  <c r="N512" i="25"/>
  <c r="W512" i="25"/>
  <c r="O74" i="12"/>
  <c r="J513" i="25"/>
  <c r="O513" i="25"/>
  <c r="P513" i="25"/>
  <c r="Q513" i="25"/>
  <c r="R513" i="25"/>
  <c r="N513" i="25"/>
  <c r="W513" i="25"/>
  <c r="O75" i="12"/>
  <c r="J514" i="25"/>
  <c r="O514" i="25"/>
  <c r="P514" i="25"/>
  <c r="Q514" i="25"/>
  <c r="R514" i="25"/>
  <c r="N514" i="25"/>
  <c r="W514" i="25"/>
  <c r="O76" i="12"/>
  <c r="J515" i="25"/>
  <c r="O515" i="25"/>
  <c r="P515" i="25"/>
  <c r="Q515" i="25"/>
  <c r="R515" i="25"/>
  <c r="N515" i="25"/>
  <c r="W515" i="25"/>
  <c r="O77" i="12"/>
  <c r="J516" i="25"/>
  <c r="O516" i="25"/>
  <c r="P516" i="25"/>
  <c r="Q516" i="25"/>
  <c r="R516" i="25"/>
  <c r="N516" i="25"/>
  <c r="W516" i="25"/>
  <c r="O78" i="12"/>
  <c r="J517" i="25"/>
  <c r="O517" i="25"/>
  <c r="P517" i="25"/>
  <c r="Q517" i="25"/>
  <c r="R517" i="25"/>
  <c r="N517" i="25"/>
  <c r="W517" i="25"/>
  <c r="O79" i="12"/>
  <c r="J518" i="25"/>
  <c r="O518" i="25"/>
  <c r="P518" i="25"/>
  <c r="Q518" i="25"/>
  <c r="R518" i="25"/>
  <c r="N518" i="25"/>
  <c r="W518" i="25"/>
  <c r="O80" i="12"/>
  <c r="J519" i="25"/>
  <c r="O519" i="25"/>
  <c r="P519" i="25"/>
  <c r="Q519" i="25"/>
  <c r="R519" i="25"/>
  <c r="N519" i="25"/>
  <c r="W519" i="25"/>
  <c r="O81" i="12"/>
  <c r="J520" i="25"/>
  <c r="O520" i="25"/>
  <c r="P520" i="25"/>
  <c r="Q520" i="25"/>
  <c r="R520" i="25"/>
  <c r="N520" i="25"/>
  <c r="W520" i="25"/>
  <c r="O82" i="12"/>
  <c r="J521" i="25"/>
  <c r="O521" i="25"/>
  <c r="P521" i="25"/>
  <c r="Q521" i="25"/>
  <c r="R521" i="25"/>
  <c r="N521" i="25"/>
  <c r="W521" i="25"/>
  <c r="O83" i="12"/>
  <c r="J522" i="25"/>
  <c r="O522" i="25"/>
  <c r="P522" i="25"/>
  <c r="Q522" i="25"/>
  <c r="R522" i="25"/>
  <c r="N522" i="25"/>
  <c r="W522" i="25"/>
  <c r="O84" i="12"/>
  <c r="J523" i="25"/>
  <c r="O523" i="25"/>
  <c r="P523" i="25"/>
  <c r="Q523" i="25"/>
  <c r="R523" i="25"/>
  <c r="N523" i="25"/>
  <c r="W523" i="25"/>
  <c r="O85" i="12"/>
  <c r="J524" i="25"/>
  <c r="O524" i="25"/>
  <c r="P524" i="25"/>
  <c r="Q524" i="25"/>
  <c r="R524" i="25"/>
  <c r="N524" i="25"/>
  <c r="W524" i="25"/>
  <c r="O86" i="12"/>
  <c r="J525" i="25"/>
  <c r="O525" i="25"/>
  <c r="P525" i="25"/>
  <c r="Q525" i="25"/>
  <c r="R525" i="25"/>
  <c r="N525" i="25"/>
  <c r="W525" i="25"/>
  <c r="O87" i="12"/>
  <c r="J526" i="25"/>
  <c r="O526" i="25"/>
  <c r="P526" i="25"/>
  <c r="Q526" i="25"/>
  <c r="R526" i="25"/>
  <c r="N526" i="25"/>
  <c r="W526" i="25"/>
  <c r="O88" i="12"/>
  <c r="J527" i="25"/>
  <c r="O527" i="25"/>
  <c r="P527" i="25"/>
  <c r="Q527" i="25"/>
  <c r="R527" i="25"/>
  <c r="N527" i="25"/>
  <c r="W527" i="25"/>
  <c r="O89" i="12"/>
  <c r="J528" i="25"/>
  <c r="O528" i="25"/>
  <c r="P528" i="25"/>
  <c r="Q528" i="25"/>
  <c r="R528" i="25"/>
  <c r="N528" i="25"/>
  <c r="W528" i="25"/>
  <c r="O90" i="12"/>
  <c r="J529" i="25"/>
  <c r="O529" i="25"/>
  <c r="P529" i="25"/>
  <c r="Q529" i="25"/>
  <c r="R529" i="25"/>
  <c r="N529" i="25"/>
  <c r="W529" i="25"/>
  <c r="O91" i="12"/>
  <c r="J530" i="25"/>
  <c r="O530" i="25"/>
  <c r="P530" i="25"/>
  <c r="Q530" i="25"/>
  <c r="R530" i="25"/>
  <c r="N530" i="25"/>
  <c r="W530" i="25"/>
  <c r="O92" i="12"/>
  <c r="J531" i="25"/>
  <c r="O531" i="25"/>
  <c r="P531" i="25"/>
  <c r="Q531" i="25"/>
  <c r="R531" i="25"/>
  <c r="N531" i="25"/>
  <c r="W531" i="25"/>
  <c r="O93" i="12"/>
  <c r="J532" i="25"/>
  <c r="O532" i="25"/>
  <c r="P532" i="25"/>
  <c r="Q532" i="25"/>
  <c r="R532" i="25"/>
  <c r="N532" i="25"/>
  <c r="W532" i="25"/>
  <c r="O94" i="12"/>
  <c r="J533" i="25"/>
  <c r="O533" i="25"/>
  <c r="P533" i="25"/>
  <c r="Q533" i="25"/>
  <c r="R533" i="25"/>
  <c r="N533" i="25"/>
  <c r="W533" i="25"/>
  <c r="O95" i="12"/>
  <c r="J534" i="25"/>
  <c r="O534" i="25"/>
  <c r="P534" i="25"/>
  <c r="Q534" i="25"/>
  <c r="R534" i="25"/>
  <c r="N534" i="25"/>
  <c r="W534" i="25"/>
  <c r="O96" i="12"/>
  <c r="J535" i="25"/>
  <c r="O535" i="25"/>
  <c r="P535" i="25"/>
  <c r="Q535" i="25"/>
  <c r="R535" i="25"/>
  <c r="N535" i="25"/>
  <c r="W535" i="25"/>
  <c r="O97" i="12"/>
  <c r="J536" i="25"/>
  <c r="O536" i="25"/>
  <c r="P536" i="25"/>
  <c r="Q536" i="25"/>
  <c r="R536" i="25"/>
  <c r="N536" i="25"/>
  <c r="W536" i="25"/>
  <c r="O98" i="12"/>
  <c r="J537" i="25"/>
  <c r="O537" i="25"/>
  <c r="P537" i="25"/>
  <c r="Q537" i="25"/>
  <c r="R537" i="25"/>
  <c r="N537" i="25"/>
  <c r="W537" i="25"/>
  <c r="O99" i="12"/>
  <c r="J538" i="25"/>
  <c r="O538" i="25"/>
  <c r="P538" i="25"/>
  <c r="Q538" i="25"/>
  <c r="R538" i="25"/>
  <c r="N538" i="25"/>
  <c r="W538" i="25"/>
  <c r="O100" i="12"/>
  <c r="J539" i="25"/>
  <c r="O539" i="25"/>
  <c r="P539" i="25"/>
  <c r="Q539" i="25"/>
  <c r="R539" i="25"/>
  <c r="N539" i="25"/>
  <c r="W539" i="25"/>
  <c r="O101" i="12"/>
  <c r="J540" i="25"/>
  <c r="O540" i="25"/>
  <c r="P540" i="25"/>
  <c r="Q540" i="25"/>
  <c r="R540" i="25"/>
  <c r="N540" i="25"/>
  <c r="W540" i="25"/>
  <c r="O102" i="12"/>
  <c r="J541" i="25"/>
  <c r="O541" i="25"/>
  <c r="P541" i="25"/>
  <c r="Q541" i="25"/>
  <c r="R541" i="25"/>
  <c r="N541" i="25"/>
  <c r="W541" i="25"/>
  <c r="O103" i="12"/>
  <c r="J542" i="25"/>
  <c r="O542" i="25"/>
  <c r="P542" i="25"/>
  <c r="Q542" i="25"/>
  <c r="R542" i="25"/>
  <c r="N542" i="25"/>
  <c r="W542" i="25"/>
  <c r="O104" i="12"/>
  <c r="J543" i="25"/>
  <c r="O543" i="25"/>
  <c r="P543" i="25"/>
  <c r="Q543" i="25"/>
  <c r="R543" i="25"/>
  <c r="N543" i="25"/>
  <c r="W543" i="25"/>
  <c r="O105" i="12"/>
  <c r="J544" i="25"/>
  <c r="O544" i="25"/>
  <c r="P544" i="25"/>
  <c r="Q544" i="25"/>
  <c r="R544" i="25"/>
  <c r="N544" i="25"/>
  <c r="W544" i="25"/>
  <c r="O106" i="12"/>
  <c r="J545" i="25"/>
  <c r="O545" i="25"/>
  <c r="P545" i="25"/>
  <c r="Q545" i="25"/>
  <c r="R545" i="25"/>
  <c r="N545" i="25"/>
  <c r="W545" i="25"/>
  <c r="O107" i="12"/>
  <c r="J546" i="25"/>
  <c r="O546" i="25"/>
  <c r="P546" i="25"/>
  <c r="Q546" i="25"/>
  <c r="R546" i="25"/>
  <c r="N546" i="25"/>
  <c r="W546" i="25"/>
  <c r="O108" i="12"/>
  <c r="J547" i="25"/>
  <c r="O547" i="25"/>
  <c r="P547" i="25"/>
  <c r="Q547" i="25"/>
  <c r="R547" i="25"/>
  <c r="N547" i="25"/>
  <c r="W547" i="25"/>
  <c r="O109" i="12"/>
  <c r="J548" i="25"/>
  <c r="O548" i="25"/>
  <c r="P548" i="25"/>
  <c r="Q548" i="25"/>
  <c r="R548" i="25"/>
  <c r="N548" i="25"/>
  <c r="W548" i="25"/>
  <c r="O110" i="12"/>
  <c r="J549" i="25"/>
  <c r="O549" i="25"/>
  <c r="P549" i="25"/>
  <c r="Q549" i="25"/>
  <c r="R549" i="25"/>
  <c r="N549" i="25"/>
  <c r="W549" i="25"/>
  <c r="O111" i="12"/>
  <c r="J550" i="25"/>
  <c r="O550" i="25"/>
  <c r="P550" i="25"/>
  <c r="Q550" i="25"/>
  <c r="R550" i="25"/>
  <c r="N550" i="25"/>
  <c r="W550" i="25"/>
  <c r="O112" i="12"/>
  <c r="J551" i="25"/>
  <c r="O551" i="25"/>
  <c r="P551" i="25"/>
  <c r="Q551" i="25"/>
  <c r="R551" i="25"/>
  <c r="N551" i="25"/>
  <c r="W551" i="25"/>
  <c r="O113" i="12"/>
  <c r="J552" i="25"/>
  <c r="O552" i="25"/>
  <c r="P552" i="25"/>
  <c r="Q552" i="25"/>
  <c r="R552" i="25"/>
  <c r="N552" i="25"/>
  <c r="W552" i="25"/>
  <c r="O114" i="12"/>
  <c r="J553" i="25"/>
  <c r="O553" i="25"/>
  <c r="P553" i="25"/>
  <c r="Q553" i="25"/>
  <c r="R553" i="25"/>
  <c r="N553" i="25"/>
  <c r="W553" i="25"/>
  <c r="O115" i="12"/>
  <c r="J554" i="25"/>
  <c r="O554" i="25"/>
  <c r="P554" i="25"/>
  <c r="Q554" i="25"/>
  <c r="R554" i="25"/>
  <c r="N554" i="25"/>
  <c r="W554" i="25"/>
  <c r="O116" i="12"/>
  <c r="J555" i="25"/>
  <c r="O555" i="25"/>
  <c r="P555" i="25"/>
  <c r="Q555" i="25"/>
  <c r="R555" i="25"/>
  <c r="N555" i="25"/>
  <c r="W555" i="25"/>
  <c r="O117" i="12"/>
  <c r="J556" i="25"/>
  <c r="O556" i="25"/>
  <c r="P556" i="25"/>
  <c r="Q556" i="25"/>
  <c r="R556" i="25"/>
  <c r="N556" i="25"/>
  <c r="W556" i="25"/>
  <c r="O118" i="12"/>
  <c r="J557" i="25"/>
  <c r="O557" i="25"/>
  <c r="P557" i="25"/>
  <c r="Q557" i="25"/>
  <c r="R557" i="25"/>
  <c r="N557" i="25"/>
  <c r="W557" i="25"/>
  <c r="O119" i="12"/>
  <c r="J558" i="25"/>
  <c r="O558" i="25"/>
  <c r="P558" i="25"/>
  <c r="Q558" i="25"/>
  <c r="R558" i="25"/>
  <c r="N558" i="25"/>
  <c r="W558" i="25"/>
  <c r="O120" i="12"/>
  <c r="J559" i="25"/>
  <c r="O559" i="25"/>
  <c r="P559" i="25"/>
  <c r="Q559" i="25"/>
  <c r="R559" i="25"/>
  <c r="N559" i="25"/>
  <c r="W559" i="25"/>
  <c r="O121" i="12"/>
  <c r="J560" i="25"/>
  <c r="O560" i="25"/>
  <c r="P560" i="25"/>
  <c r="Q560" i="25"/>
  <c r="R560" i="25"/>
  <c r="N560" i="25"/>
  <c r="W560" i="25"/>
  <c r="O122" i="12"/>
  <c r="J561" i="25"/>
  <c r="O561" i="25"/>
  <c r="P561" i="25"/>
  <c r="Q561" i="25"/>
  <c r="R561" i="25"/>
  <c r="N561" i="25"/>
  <c r="W561" i="25"/>
  <c r="O123" i="12"/>
  <c r="J562" i="25"/>
  <c r="O562" i="25"/>
  <c r="P562" i="25"/>
  <c r="Q562" i="25"/>
  <c r="R562" i="25"/>
  <c r="N562" i="25"/>
  <c r="W562" i="25"/>
  <c r="O124" i="12"/>
  <c r="J563" i="25"/>
  <c r="O563" i="25"/>
  <c r="P563" i="25"/>
  <c r="Q563" i="25"/>
  <c r="R563" i="25"/>
  <c r="N563" i="25"/>
  <c r="W563" i="25"/>
  <c r="O125" i="12"/>
  <c r="J564" i="25"/>
  <c r="O564" i="25"/>
  <c r="P564" i="25"/>
  <c r="Q564" i="25"/>
  <c r="R564" i="25"/>
  <c r="N564" i="25"/>
  <c r="W564" i="25"/>
  <c r="O126" i="12"/>
  <c r="J565" i="25"/>
  <c r="O565" i="25"/>
  <c r="P565" i="25"/>
  <c r="Q565" i="25"/>
  <c r="R565" i="25"/>
  <c r="N565" i="25"/>
  <c r="W565" i="25"/>
  <c r="O127" i="12"/>
  <c r="J566" i="25"/>
  <c r="O566" i="25"/>
  <c r="P566" i="25"/>
  <c r="Q566" i="25"/>
  <c r="R566" i="25"/>
  <c r="N566" i="25"/>
  <c r="W566" i="25"/>
  <c r="O128" i="12"/>
  <c r="J567" i="25"/>
  <c r="O567" i="25"/>
  <c r="P567" i="25"/>
  <c r="Q567" i="25"/>
  <c r="R567" i="25"/>
  <c r="N567" i="25"/>
  <c r="W567" i="25"/>
  <c r="O129" i="12"/>
  <c r="J568" i="25"/>
  <c r="O568" i="25"/>
  <c r="P568" i="25"/>
  <c r="Q568" i="25"/>
  <c r="R568" i="25"/>
  <c r="N568" i="25"/>
  <c r="W568" i="25"/>
  <c r="O130" i="12"/>
  <c r="J569" i="25"/>
  <c r="O569" i="25"/>
  <c r="P569" i="25"/>
  <c r="Q569" i="25"/>
  <c r="R569" i="25"/>
  <c r="N569" i="25"/>
  <c r="W569" i="25"/>
  <c r="O131" i="12"/>
  <c r="J570" i="25"/>
  <c r="O570" i="25"/>
  <c r="P570" i="25"/>
  <c r="Q570" i="25"/>
  <c r="R570" i="25"/>
  <c r="N570" i="25"/>
  <c r="W570" i="25"/>
  <c r="O132" i="12"/>
  <c r="J571" i="25"/>
  <c r="O571" i="25"/>
  <c r="P571" i="25"/>
  <c r="Q571" i="25"/>
  <c r="R571" i="25"/>
  <c r="N571" i="25"/>
  <c r="W571" i="25"/>
  <c r="O133" i="12"/>
  <c r="J572" i="25"/>
  <c r="O572" i="25"/>
  <c r="P572" i="25"/>
  <c r="Q572" i="25"/>
  <c r="R572" i="25"/>
  <c r="N572" i="25"/>
  <c r="W572" i="25"/>
  <c r="O134" i="12"/>
  <c r="J573" i="25"/>
  <c r="O573" i="25"/>
  <c r="P573" i="25"/>
  <c r="Q573" i="25"/>
  <c r="R573" i="25"/>
  <c r="N573" i="25"/>
  <c r="W573" i="25"/>
  <c r="O135" i="12"/>
  <c r="J574" i="25"/>
  <c r="O574" i="25"/>
  <c r="P574" i="25"/>
  <c r="Q574" i="25"/>
  <c r="R574" i="25"/>
  <c r="N574" i="25"/>
  <c r="W574" i="25"/>
  <c r="O136" i="12"/>
  <c r="J575" i="25"/>
  <c r="O575" i="25"/>
  <c r="P575" i="25"/>
  <c r="Q575" i="25"/>
  <c r="R575" i="25"/>
  <c r="N575" i="25"/>
  <c r="W575" i="25"/>
  <c r="O137" i="12"/>
  <c r="J576" i="25"/>
  <c r="O576" i="25"/>
  <c r="P576" i="25"/>
  <c r="Q576" i="25"/>
  <c r="R576" i="25"/>
  <c r="N576" i="25"/>
  <c r="W576" i="25"/>
  <c r="O138" i="12"/>
  <c r="J577" i="25"/>
  <c r="O577" i="25"/>
  <c r="P577" i="25"/>
  <c r="Q577" i="25"/>
  <c r="R577" i="25"/>
  <c r="N577" i="25"/>
  <c r="W577" i="25"/>
  <c r="O139" i="12"/>
  <c r="J578" i="25"/>
  <c r="O578" i="25"/>
  <c r="P578" i="25"/>
  <c r="Q578" i="25"/>
  <c r="R578" i="25"/>
  <c r="N578" i="25"/>
  <c r="W578" i="25"/>
  <c r="O140" i="12"/>
  <c r="J579" i="25"/>
  <c r="O579" i="25"/>
  <c r="P579" i="25"/>
  <c r="Q579" i="25"/>
  <c r="R579" i="25"/>
  <c r="N579" i="25"/>
  <c r="W579" i="25"/>
  <c r="O141" i="12"/>
  <c r="J580" i="25"/>
  <c r="O580" i="25"/>
  <c r="P580" i="25"/>
  <c r="Q580" i="25"/>
  <c r="R580" i="25"/>
  <c r="N580" i="25"/>
  <c r="W580" i="25"/>
  <c r="O142" i="12"/>
  <c r="J581" i="25"/>
  <c r="O581" i="25"/>
  <c r="P581" i="25"/>
  <c r="Q581" i="25"/>
  <c r="R581" i="25"/>
  <c r="N581" i="25"/>
  <c r="W581" i="25"/>
  <c r="O143" i="12"/>
  <c r="J582" i="25"/>
  <c r="O582" i="25"/>
  <c r="P582" i="25"/>
  <c r="Q582" i="25"/>
  <c r="R582" i="25"/>
  <c r="N582" i="25"/>
  <c r="W582" i="25"/>
  <c r="O144" i="12"/>
  <c r="J583" i="25"/>
  <c r="O583" i="25"/>
  <c r="P583" i="25"/>
  <c r="Q583" i="25"/>
  <c r="R583" i="25"/>
  <c r="N583" i="25"/>
  <c r="W583" i="25"/>
  <c r="O145" i="12"/>
  <c r="J584" i="25"/>
  <c r="O584" i="25"/>
  <c r="P584" i="25"/>
  <c r="Q584" i="25"/>
  <c r="R584" i="25"/>
  <c r="N584" i="25"/>
  <c r="W584" i="25"/>
  <c r="O146" i="12"/>
  <c r="J585" i="25"/>
  <c r="O585" i="25"/>
  <c r="P585" i="25"/>
  <c r="Q585" i="25"/>
  <c r="R585" i="25"/>
  <c r="N585" i="25"/>
  <c r="W585" i="25"/>
  <c r="O147" i="12"/>
  <c r="J586" i="25"/>
  <c r="O586" i="25"/>
  <c r="P586" i="25"/>
  <c r="Q586" i="25"/>
  <c r="R586" i="25"/>
  <c r="N586" i="25"/>
  <c r="W586" i="25"/>
  <c r="O148" i="12"/>
  <c r="J587" i="25"/>
  <c r="O587" i="25"/>
  <c r="P587" i="25"/>
  <c r="Q587" i="25"/>
  <c r="R587" i="25"/>
  <c r="N587" i="25"/>
  <c r="W587" i="25"/>
  <c r="O149" i="12"/>
  <c r="J588" i="25"/>
  <c r="O588" i="25"/>
  <c r="P588" i="25"/>
  <c r="Q588" i="25"/>
  <c r="R588" i="25"/>
  <c r="N588" i="25"/>
  <c r="W588" i="25"/>
  <c r="O150" i="12"/>
  <c r="J589" i="25"/>
  <c r="O589" i="25"/>
  <c r="P589" i="25"/>
  <c r="Q589" i="25"/>
  <c r="R589" i="25"/>
  <c r="N589" i="25"/>
  <c r="W589" i="25"/>
  <c r="O151" i="12"/>
  <c r="J590" i="25"/>
  <c r="O590" i="25"/>
  <c r="P590" i="25"/>
  <c r="Q590" i="25"/>
  <c r="R590" i="25"/>
  <c r="N590" i="25"/>
  <c r="W590" i="25"/>
  <c r="O152" i="12"/>
  <c r="J591" i="25"/>
  <c r="O591" i="25"/>
  <c r="P591" i="25"/>
  <c r="Q591" i="25"/>
  <c r="R591" i="25"/>
  <c r="N591" i="25"/>
  <c r="W591" i="25"/>
  <c r="O153" i="12"/>
  <c r="J592" i="25"/>
  <c r="O592" i="25"/>
  <c r="P592" i="25"/>
  <c r="Q592" i="25"/>
  <c r="R592" i="25"/>
  <c r="N592" i="25"/>
  <c r="W592" i="25"/>
  <c r="O154" i="12"/>
  <c r="J593" i="25"/>
  <c r="O593" i="25"/>
  <c r="P593" i="25"/>
  <c r="Q593" i="25"/>
  <c r="R593" i="25"/>
  <c r="N593" i="25"/>
  <c r="W593" i="25"/>
  <c r="O155" i="12"/>
  <c r="J594" i="25"/>
  <c r="O594" i="25"/>
  <c r="P594" i="25"/>
  <c r="Q594" i="25"/>
  <c r="R594" i="25"/>
  <c r="N594" i="25"/>
  <c r="W594" i="25"/>
  <c r="O156" i="12"/>
  <c r="J595" i="25"/>
  <c r="O595" i="25"/>
  <c r="P595" i="25"/>
  <c r="Q595" i="25"/>
  <c r="R595" i="25"/>
  <c r="N595" i="25"/>
  <c r="W595" i="25"/>
  <c r="O157" i="12"/>
  <c r="J596" i="25"/>
  <c r="O596" i="25"/>
  <c r="P596" i="25"/>
  <c r="Q596" i="25"/>
  <c r="R596" i="25"/>
  <c r="N596" i="25"/>
  <c r="W596" i="25"/>
  <c r="O158" i="12"/>
  <c r="J597" i="25"/>
  <c r="O597" i="25"/>
  <c r="P597" i="25"/>
  <c r="Q597" i="25"/>
  <c r="R597" i="25"/>
  <c r="N597" i="25"/>
  <c r="W597" i="25"/>
  <c r="O159" i="12"/>
  <c r="J598" i="25"/>
  <c r="O598" i="25"/>
  <c r="P598" i="25"/>
  <c r="Q598" i="25"/>
  <c r="R598" i="25"/>
  <c r="N598" i="25"/>
  <c r="W598" i="25"/>
  <c r="O160" i="12"/>
  <c r="J599" i="25"/>
  <c r="O599" i="25"/>
  <c r="P599" i="25"/>
  <c r="Q599" i="25"/>
  <c r="R599" i="25"/>
  <c r="N599" i="25"/>
  <c r="W599" i="25"/>
  <c r="O161" i="12"/>
  <c r="J600" i="25"/>
  <c r="O600" i="25"/>
  <c r="P600" i="25"/>
  <c r="Q600" i="25"/>
  <c r="R600" i="25"/>
  <c r="N600" i="25"/>
  <c r="W600" i="25"/>
  <c r="O162" i="12"/>
  <c r="J601" i="25"/>
  <c r="O601" i="25"/>
  <c r="P601" i="25"/>
  <c r="Q601" i="25"/>
  <c r="R601" i="25"/>
  <c r="N601" i="25"/>
  <c r="W601" i="25"/>
  <c r="O163" i="12"/>
  <c r="J602" i="25"/>
  <c r="O602" i="25"/>
  <c r="P602" i="25"/>
  <c r="Q602" i="25"/>
  <c r="R602" i="25"/>
  <c r="N602" i="25"/>
  <c r="W602" i="25"/>
  <c r="O164" i="12"/>
  <c r="J603" i="25"/>
  <c r="O603" i="25"/>
  <c r="P603" i="25"/>
  <c r="Q603" i="25"/>
  <c r="R603" i="25"/>
  <c r="N603" i="25"/>
  <c r="W603" i="25"/>
  <c r="O165" i="12"/>
  <c r="J604" i="25"/>
  <c r="O604" i="25"/>
  <c r="P604" i="25"/>
  <c r="Q604" i="25"/>
  <c r="R604" i="25"/>
  <c r="N604" i="25"/>
  <c r="W604" i="25"/>
  <c r="O166" i="12"/>
  <c r="J605" i="25"/>
  <c r="O605" i="25"/>
  <c r="P605" i="25"/>
  <c r="Q605" i="25"/>
  <c r="R605" i="25"/>
  <c r="N605" i="25"/>
  <c r="W605" i="25"/>
  <c r="O167" i="12"/>
  <c r="J606" i="25"/>
  <c r="O606" i="25"/>
  <c r="P606" i="25"/>
  <c r="Q606" i="25"/>
  <c r="R606" i="25"/>
  <c r="N606" i="25"/>
  <c r="W606" i="25"/>
  <c r="O168" i="12"/>
  <c r="J607" i="25"/>
  <c r="O607" i="25"/>
  <c r="P607" i="25"/>
  <c r="Q607" i="25"/>
  <c r="R607" i="25"/>
  <c r="N607" i="25"/>
  <c r="W607" i="25"/>
  <c r="O169" i="12"/>
  <c r="J608" i="25"/>
  <c r="O608" i="25"/>
  <c r="P608" i="25"/>
  <c r="Q608" i="25"/>
  <c r="R608" i="25"/>
  <c r="N608" i="25"/>
  <c r="W608" i="25"/>
  <c r="O170" i="12"/>
  <c r="J609" i="25"/>
  <c r="O609" i="25"/>
  <c r="P609" i="25"/>
  <c r="Q609" i="25"/>
  <c r="R609" i="25"/>
  <c r="N609" i="25"/>
  <c r="W609" i="25"/>
  <c r="O171" i="12"/>
  <c r="J610" i="25"/>
  <c r="O610" i="25"/>
  <c r="P610" i="25"/>
  <c r="Q610" i="25"/>
  <c r="R610" i="25"/>
  <c r="N610" i="25"/>
  <c r="W610" i="25"/>
  <c r="O172" i="12"/>
  <c r="J611" i="25"/>
  <c r="O611" i="25"/>
  <c r="P611" i="25"/>
  <c r="Q611" i="25"/>
  <c r="R611" i="25"/>
  <c r="N611" i="25"/>
  <c r="W611" i="25"/>
  <c r="O173" i="12"/>
  <c r="J612" i="25"/>
  <c r="O612" i="25"/>
  <c r="P612" i="25"/>
  <c r="Q612" i="25"/>
  <c r="R612" i="25"/>
  <c r="N612" i="25"/>
  <c r="W612" i="25"/>
  <c r="O174" i="12"/>
  <c r="J613" i="25"/>
  <c r="O613" i="25"/>
  <c r="P613" i="25"/>
  <c r="Q613" i="25"/>
  <c r="R613" i="25"/>
  <c r="N613" i="25"/>
  <c r="W613" i="25"/>
  <c r="O175" i="12"/>
  <c r="J614" i="25"/>
  <c r="O614" i="25"/>
  <c r="P614" i="25"/>
  <c r="Q614" i="25"/>
  <c r="R614" i="25"/>
  <c r="N614" i="25"/>
  <c r="W614" i="25"/>
  <c r="O176" i="12"/>
  <c r="J615" i="25"/>
  <c r="O615" i="25"/>
  <c r="P615" i="25"/>
  <c r="Q615" i="25"/>
  <c r="R615" i="25"/>
  <c r="N615" i="25"/>
  <c r="W615" i="25"/>
  <c r="O177" i="12"/>
  <c r="J616" i="25"/>
  <c r="O616" i="25"/>
  <c r="P616" i="25"/>
  <c r="Q616" i="25"/>
  <c r="R616" i="25"/>
  <c r="N616" i="25"/>
  <c r="W616" i="25"/>
  <c r="O178" i="12"/>
  <c r="J617" i="25"/>
  <c r="O617" i="25"/>
  <c r="P617" i="25"/>
  <c r="Q617" i="25"/>
  <c r="R617" i="25"/>
  <c r="N617" i="25"/>
  <c r="W617" i="25"/>
  <c r="O179" i="12"/>
  <c r="J618" i="25"/>
  <c r="O618" i="25"/>
  <c r="P618" i="25"/>
  <c r="Q618" i="25"/>
  <c r="R618" i="25"/>
  <c r="N618" i="25"/>
  <c r="W618" i="25"/>
  <c r="O180" i="12"/>
  <c r="J619" i="25"/>
  <c r="O619" i="25"/>
  <c r="P619" i="25"/>
  <c r="Q619" i="25"/>
  <c r="R619" i="25"/>
  <c r="N619" i="25"/>
  <c r="W619" i="25"/>
  <c r="O181" i="12"/>
  <c r="J620" i="25"/>
  <c r="O620" i="25"/>
  <c r="P620" i="25"/>
  <c r="Q620" i="25"/>
  <c r="R620" i="25"/>
  <c r="N620" i="25"/>
  <c r="W620" i="25"/>
  <c r="O182" i="12"/>
  <c r="J621" i="25"/>
  <c r="O621" i="25"/>
  <c r="P621" i="25"/>
  <c r="Q621" i="25"/>
  <c r="R621" i="25"/>
  <c r="N621" i="25"/>
  <c r="W621" i="25"/>
  <c r="O183" i="12"/>
  <c r="J622" i="25"/>
  <c r="O622" i="25"/>
  <c r="P622" i="25"/>
  <c r="Q622" i="25"/>
  <c r="R622" i="25"/>
  <c r="N622" i="25"/>
  <c r="W622" i="25"/>
  <c r="O184" i="12"/>
  <c r="J623" i="25"/>
  <c r="O623" i="25"/>
  <c r="P623" i="25"/>
  <c r="Q623" i="25"/>
  <c r="R623" i="25"/>
  <c r="N623" i="25"/>
  <c r="W623" i="25"/>
  <c r="O185" i="12"/>
  <c r="J624" i="25"/>
  <c r="O624" i="25"/>
  <c r="P624" i="25"/>
  <c r="Q624" i="25"/>
  <c r="R624" i="25"/>
  <c r="N624" i="25"/>
  <c r="W624" i="25"/>
  <c r="O186" i="12"/>
  <c r="J625" i="25"/>
  <c r="O625" i="25"/>
  <c r="P625" i="25"/>
  <c r="Q625" i="25"/>
  <c r="R625" i="25"/>
  <c r="N625" i="25"/>
  <c r="W625" i="25"/>
  <c r="O187" i="12"/>
  <c r="J626" i="25"/>
  <c r="O626" i="25"/>
  <c r="P626" i="25"/>
  <c r="Q626" i="25"/>
  <c r="R626" i="25"/>
  <c r="N626" i="25"/>
  <c r="W626" i="25"/>
  <c r="O188" i="12"/>
  <c r="J627" i="25"/>
  <c r="O627" i="25"/>
  <c r="P627" i="25"/>
  <c r="Q627" i="25"/>
  <c r="R627" i="25"/>
  <c r="N627" i="25"/>
  <c r="W627" i="25"/>
  <c r="O189" i="12"/>
  <c r="J628" i="25"/>
  <c r="O628" i="25"/>
  <c r="P628" i="25"/>
  <c r="Q628" i="25"/>
  <c r="R628" i="25"/>
  <c r="N628" i="25"/>
  <c r="W628" i="25"/>
  <c r="O190" i="12"/>
  <c r="J629" i="25"/>
  <c r="O629" i="25"/>
  <c r="P629" i="25"/>
  <c r="Q629" i="25"/>
  <c r="R629" i="25"/>
  <c r="N629" i="25"/>
  <c r="W629" i="25"/>
  <c r="O191" i="12"/>
  <c r="J630" i="25"/>
  <c r="O630" i="25"/>
  <c r="P630" i="25"/>
  <c r="Q630" i="25"/>
  <c r="R630" i="25"/>
  <c r="N630" i="25"/>
  <c r="W630" i="25"/>
  <c r="O192" i="12"/>
  <c r="J631" i="25"/>
  <c r="O631" i="25"/>
  <c r="P631" i="25"/>
  <c r="Q631" i="25"/>
  <c r="R631" i="25"/>
  <c r="N631" i="25"/>
  <c r="W631" i="25"/>
  <c r="O193" i="12"/>
  <c r="J632" i="25"/>
  <c r="O632" i="25"/>
  <c r="P632" i="25"/>
  <c r="Q632" i="25"/>
  <c r="R632" i="25"/>
  <c r="N632" i="25"/>
  <c r="W632" i="25"/>
  <c r="O194" i="12"/>
  <c r="J633" i="25"/>
  <c r="O633" i="25"/>
  <c r="P633" i="25"/>
  <c r="Q633" i="25"/>
  <c r="R633" i="25"/>
  <c r="N633" i="25"/>
  <c r="W633" i="25"/>
  <c r="O195" i="12"/>
  <c r="J634" i="25"/>
  <c r="O634" i="25"/>
  <c r="P634" i="25"/>
  <c r="Q634" i="25"/>
  <c r="R634" i="25"/>
  <c r="N634" i="25"/>
  <c r="W634" i="25"/>
  <c r="O196" i="12"/>
  <c r="J635" i="25"/>
  <c r="O635" i="25"/>
  <c r="P635" i="25"/>
  <c r="Q635" i="25"/>
  <c r="R635" i="25"/>
  <c r="N635" i="25"/>
  <c r="W635" i="25"/>
  <c r="O197" i="12"/>
  <c r="J636" i="25"/>
  <c r="O636" i="25"/>
  <c r="P636" i="25"/>
  <c r="Q636" i="25"/>
  <c r="R636" i="25"/>
  <c r="N636" i="25"/>
  <c r="W636" i="25"/>
  <c r="O198" i="12"/>
  <c r="J637" i="25"/>
  <c r="O637" i="25"/>
  <c r="P637" i="25"/>
  <c r="Q637" i="25"/>
  <c r="R637" i="25"/>
  <c r="N637" i="25"/>
  <c r="W637" i="25"/>
  <c r="O199" i="12"/>
  <c r="J638" i="25"/>
  <c r="O638" i="25"/>
  <c r="P638" i="25"/>
  <c r="Q638" i="25"/>
  <c r="R638" i="25"/>
  <c r="N638" i="25"/>
  <c r="W638" i="25"/>
  <c r="O200" i="12"/>
  <c r="J639" i="25"/>
  <c r="O639" i="25"/>
  <c r="P639" i="25"/>
  <c r="Q639" i="25"/>
  <c r="R639" i="25"/>
  <c r="W639" i="25"/>
  <c r="O201" i="12"/>
  <c r="J640" i="25"/>
  <c r="O640" i="25"/>
  <c r="P640" i="25"/>
  <c r="Q640" i="25"/>
  <c r="R640" i="25"/>
  <c r="N640" i="25"/>
  <c r="W640" i="25"/>
  <c r="O202" i="12"/>
  <c r="J641" i="25"/>
  <c r="O641" i="25"/>
  <c r="P641" i="25"/>
  <c r="Q641" i="25"/>
  <c r="R641" i="25"/>
  <c r="N641" i="25"/>
  <c r="W641" i="25"/>
  <c r="O203" i="12"/>
  <c r="J642" i="25"/>
  <c r="O642" i="25"/>
  <c r="P642" i="25"/>
  <c r="Q642" i="25"/>
  <c r="R642" i="25"/>
  <c r="N642" i="25"/>
  <c r="W642" i="25"/>
  <c r="O204" i="12"/>
  <c r="J643" i="25"/>
  <c r="O643" i="25"/>
  <c r="P643" i="25"/>
  <c r="Q643" i="25"/>
  <c r="R643" i="25"/>
  <c r="N643" i="25"/>
  <c r="W643" i="25"/>
  <c r="O205" i="12"/>
  <c r="J644" i="25"/>
  <c r="O644" i="25"/>
  <c r="P644" i="25"/>
  <c r="Q644" i="25"/>
  <c r="R644" i="25"/>
  <c r="N644" i="25"/>
  <c r="W644" i="25"/>
  <c r="O206" i="12"/>
  <c r="J645" i="25"/>
  <c r="O645" i="25"/>
  <c r="P645" i="25"/>
  <c r="Q645" i="25"/>
  <c r="R645" i="25"/>
  <c r="N645" i="25"/>
  <c r="W645" i="25"/>
  <c r="O207" i="12"/>
  <c r="J646" i="25"/>
  <c r="O646" i="25"/>
  <c r="P646" i="25"/>
  <c r="Q646" i="25"/>
  <c r="R646" i="25"/>
  <c r="N646" i="25"/>
  <c r="W646" i="25"/>
  <c r="O208" i="12"/>
  <c r="J647" i="25"/>
  <c r="O647" i="25"/>
  <c r="P647" i="25"/>
  <c r="Q647" i="25"/>
  <c r="R647" i="25"/>
  <c r="N647" i="25"/>
  <c r="W647" i="25"/>
  <c r="O209" i="12"/>
  <c r="J648" i="25"/>
  <c r="O648" i="25"/>
  <c r="P648" i="25"/>
  <c r="Q648" i="25"/>
  <c r="R648" i="25"/>
  <c r="N648" i="25"/>
  <c r="W648" i="25"/>
  <c r="O210" i="12"/>
  <c r="J649" i="25"/>
  <c r="O649" i="25"/>
  <c r="P649" i="25"/>
  <c r="Q649" i="25"/>
  <c r="R649" i="25"/>
  <c r="N649" i="25"/>
  <c r="W649" i="25"/>
  <c r="O211" i="12"/>
  <c r="J650" i="25"/>
  <c r="O650" i="25"/>
  <c r="P650" i="25"/>
  <c r="Q650" i="25"/>
  <c r="R650" i="25"/>
  <c r="N650" i="25"/>
  <c r="W650" i="25"/>
  <c r="O212" i="12"/>
  <c r="J651" i="25"/>
  <c r="O651" i="25"/>
  <c r="P651" i="25"/>
  <c r="Q651" i="25"/>
  <c r="R651" i="25"/>
  <c r="N651" i="25"/>
  <c r="W651" i="25"/>
  <c r="O213" i="12"/>
  <c r="J652" i="25"/>
  <c r="O652" i="25"/>
  <c r="P652" i="25"/>
  <c r="Q652" i="25"/>
  <c r="R652" i="25"/>
  <c r="N652" i="25"/>
  <c r="W652" i="25"/>
  <c r="O214" i="12"/>
  <c r="J653" i="25"/>
  <c r="O653" i="25"/>
  <c r="P653" i="25"/>
  <c r="Q653" i="25"/>
  <c r="R653" i="25"/>
  <c r="N653" i="25"/>
  <c r="W653" i="25"/>
  <c r="O215" i="12"/>
  <c r="J654" i="25"/>
  <c r="O654" i="25"/>
  <c r="P654" i="25"/>
  <c r="Q654" i="25"/>
  <c r="R654" i="25"/>
  <c r="N654" i="25"/>
  <c r="W654" i="25"/>
  <c r="O216" i="12"/>
  <c r="J655" i="25"/>
  <c r="O655" i="25"/>
  <c r="P655" i="25"/>
  <c r="Q655" i="25"/>
  <c r="R655" i="25"/>
  <c r="N655" i="25"/>
  <c r="W655" i="25"/>
  <c r="O217" i="12"/>
  <c r="J656" i="25"/>
  <c r="O656" i="25"/>
  <c r="P656" i="25"/>
  <c r="Q656" i="25"/>
  <c r="R656" i="25"/>
  <c r="N656" i="25"/>
  <c r="W656" i="25"/>
  <c r="O218" i="12"/>
  <c r="J657" i="25"/>
  <c r="O657" i="25"/>
  <c r="P657" i="25"/>
  <c r="Q657" i="25"/>
  <c r="R657" i="25"/>
  <c r="N657" i="25"/>
  <c r="W657" i="25"/>
  <c r="O219" i="12"/>
  <c r="J658" i="25"/>
  <c r="O658" i="25"/>
  <c r="P658" i="25"/>
  <c r="Q658" i="25"/>
  <c r="R658" i="25"/>
  <c r="N658" i="25"/>
  <c r="W658" i="25"/>
  <c r="O220" i="12"/>
  <c r="J659" i="25"/>
  <c r="O659" i="25"/>
  <c r="P659" i="25"/>
  <c r="Q659" i="25"/>
  <c r="R659" i="25"/>
  <c r="N659" i="25"/>
  <c r="W659" i="25"/>
  <c r="O221" i="12"/>
  <c r="J660" i="25"/>
  <c r="O660" i="25"/>
  <c r="P660" i="25"/>
  <c r="Q660" i="25"/>
  <c r="R660" i="25"/>
  <c r="N660" i="25"/>
  <c r="W660" i="25"/>
  <c r="O222" i="12"/>
  <c r="J661" i="25"/>
  <c r="O661" i="25"/>
  <c r="P661" i="25"/>
  <c r="Q661" i="25"/>
  <c r="R661" i="25"/>
  <c r="N661" i="25"/>
  <c r="W661" i="25"/>
  <c r="Q3" i="12"/>
  <c r="J662" i="25"/>
  <c r="O662" i="25"/>
  <c r="P662" i="25"/>
  <c r="Q662" i="25"/>
  <c r="R662" i="25"/>
  <c r="N662" i="25"/>
  <c r="W662" i="25"/>
  <c r="Q4" i="12"/>
  <c r="J663" i="25"/>
  <c r="O663" i="25"/>
  <c r="P663" i="25"/>
  <c r="Q663" i="25"/>
  <c r="R663" i="25"/>
  <c r="N663" i="25"/>
  <c r="W663" i="25"/>
  <c r="Q5" i="12"/>
  <c r="J664" i="25"/>
  <c r="O664" i="25"/>
  <c r="P664" i="25"/>
  <c r="Q664" i="25"/>
  <c r="R664" i="25"/>
  <c r="N664" i="25"/>
  <c r="W664" i="25"/>
  <c r="Q6" i="12"/>
  <c r="J665" i="25"/>
  <c r="O665" i="25"/>
  <c r="P665" i="25"/>
  <c r="Q665" i="25"/>
  <c r="R665" i="25"/>
  <c r="N665" i="25"/>
  <c r="W665" i="25"/>
  <c r="Q7" i="12"/>
  <c r="J666" i="25"/>
  <c r="O666" i="25"/>
  <c r="P666" i="25"/>
  <c r="Q666" i="25"/>
  <c r="R666" i="25"/>
  <c r="N666" i="25"/>
  <c r="W666" i="25"/>
  <c r="Q8" i="12"/>
  <c r="J667" i="25"/>
  <c r="O667" i="25"/>
  <c r="P667" i="25"/>
  <c r="Q667" i="25"/>
  <c r="R667" i="25"/>
  <c r="N667" i="25"/>
  <c r="W667" i="25"/>
  <c r="Q9" i="12"/>
  <c r="J668" i="25"/>
  <c r="O668" i="25"/>
  <c r="P668" i="25"/>
  <c r="Q668" i="25"/>
  <c r="R668" i="25"/>
  <c r="N668" i="25"/>
  <c r="W668" i="25"/>
  <c r="Q10" i="12"/>
  <c r="J669" i="25"/>
  <c r="O669" i="25"/>
  <c r="P669" i="25"/>
  <c r="Q669" i="25"/>
  <c r="R669" i="25"/>
  <c r="N669" i="25"/>
  <c r="W669" i="25"/>
  <c r="Q11" i="12"/>
  <c r="J670" i="25"/>
  <c r="O670" i="25"/>
  <c r="P670" i="25"/>
  <c r="Q670" i="25"/>
  <c r="R670" i="25"/>
  <c r="N670" i="25"/>
  <c r="W670" i="25"/>
  <c r="Q12" i="12"/>
  <c r="J671" i="25"/>
  <c r="O671" i="25"/>
  <c r="P671" i="25"/>
  <c r="Q671" i="25"/>
  <c r="R671" i="25"/>
  <c r="N671" i="25"/>
  <c r="W671" i="25"/>
  <c r="Q13" i="12"/>
  <c r="J672" i="25"/>
  <c r="O672" i="25"/>
  <c r="P672" i="25"/>
  <c r="Q672" i="25"/>
  <c r="R672" i="25"/>
  <c r="N672" i="25"/>
  <c r="W672" i="25"/>
  <c r="Q14" i="12"/>
  <c r="J673" i="25"/>
  <c r="O673" i="25"/>
  <c r="P673" i="25"/>
  <c r="Q673" i="25"/>
  <c r="R673" i="25"/>
  <c r="N673" i="25"/>
  <c r="W673" i="25"/>
  <c r="Q15" i="12"/>
  <c r="J674" i="25"/>
  <c r="O674" i="25"/>
  <c r="P674" i="25"/>
  <c r="Q674" i="25"/>
  <c r="R674" i="25"/>
  <c r="N674" i="25"/>
  <c r="W674" i="25"/>
  <c r="Q16" i="12"/>
  <c r="J675" i="25"/>
  <c r="O675" i="25"/>
  <c r="P675" i="25"/>
  <c r="Q675" i="25"/>
  <c r="R675" i="25"/>
  <c r="N675" i="25"/>
  <c r="W675" i="25"/>
  <c r="Q17" i="12"/>
  <c r="J676" i="25"/>
  <c r="O676" i="25"/>
  <c r="P676" i="25"/>
  <c r="Q676" i="25"/>
  <c r="R676" i="25"/>
  <c r="N676" i="25"/>
  <c r="W676" i="25"/>
  <c r="Q18" i="12"/>
  <c r="J677" i="25"/>
  <c r="O677" i="25"/>
  <c r="P677" i="25"/>
  <c r="Q677" i="25"/>
  <c r="R677" i="25"/>
  <c r="N677" i="25"/>
  <c r="W677" i="25"/>
  <c r="Q19" i="12"/>
  <c r="J678" i="25"/>
  <c r="O678" i="25"/>
  <c r="P678" i="25"/>
  <c r="Q678" i="25"/>
  <c r="R678" i="25"/>
  <c r="N678" i="25"/>
  <c r="W678" i="25"/>
  <c r="Q20" i="12"/>
  <c r="J679" i="25"/>
  <c r="O679" i="25"/>
  <c r="P679" i="25"/>
  <c r="Q679" i="25"/>
  <c r="R679" i="25"/>
  <c r="N679" i="25"/>
  <c r="W679" i="25"/>
  <c r="Q21" i="12"/>
  <c r="J680" i="25"/>
  <c r="O680" i="25"/>
  <c r="P680" i="25"/>
  <c r="Q680" i="25"/>
  <c r="R680" i="25"/>
  <c r="N680" i="25"/>
  <c r="W680" i="25"/>
  <c r="Q22" i="12"/>
  <c r="J681" i="25"/>
  <c r="O681" i="25"/>
  <c r="P681" i="25"/>
  <c r="Q681" i="25"/>
  <c r="R681" i="25"/>
  <c r="N681" i="25"/>
  <c r="W681" i="25"/>
  <c r="O682" i="25"/>
  <c r="P682" i="25"/>
  <c r="Q682" i="25"/>
  <c r="R682" i="25"/>
  <c r="N682" i="25"/>
  <c r="W682" i="25"/>
  <c r="Q24" i="12"/>
  <c r="J683" i="25"/>
  <c r="O683" i="25"/>
  <c r="P683" i="25"/>
  <c r="Q683" i="25"/>
  <c r="R683" i="25"/>
  <c r="N683" i="25"/>
  <c r="W683" i="25"/>
  <c r="Q25" i="12"/>
  <c r="J684" i="25"/>
  <c r="O684" i="25"/>
  <c r="P684" i="25"/>
  <c r="Q684" i="25"/>
  <c r="R684" i="25"/>
  <c r="N684" i="25"/>
  <c r="W684" i="25"/>
  <c r="Q26" i="12"/>
  <c r="J685" i="25"/>
  <c r="O685" i="25"/>
  <c r="P685" i="25"/>
  <c r="Q685" i="25"/>
  <c r="R685" i="25"/>
  <c r="N685" i="25"/>
  <c r="W685" i="25"/>
  <c r="Q27" i="12"/>
  <c r="J686" i="25"/>
  <c r="O686" i="25"/>
  <c r="P686" i="25"/>
  <c r="Q686" i="25"/>
  <c r="R686" i="25"/>
  <c r="N686" i="25"/>
  <c r="W686" i="25"/>
  <c r="Q28" i="12"/>
  <c r="J687" i="25"/>
  <c r="O687" i="25"/>
  <c r="P687" i="25"/>
  <c r="Q687" i="25"/>
  <c r="R687" i="25"/>
  <c r="N687" i="25"/>
  <c r="W687" i="25"/>
  <c r="Q29" i="12"/>
  <c r="J688" i="25"/>
  <c r="O688" i="25"/>
  <c r="P688" i="25"/>
  <c r="Q688" i="25"/>
  <c r="R688" i="25"/>
  <c r="N688" i="25"/>
  <c r="W688" i="25"/>
  <c r="Q30" i="12"/>
  <c r="J689" i="25"/>
  <c r="O689" i="25"/>
  <c r="P689" i="25"/>
  <c r="Q689" i="25"/>
  <c r="R689" i="25"/>
  <c r="N689" i="25"/>
  <c r="W689" i="25"/>
  <c r="Q31" i="12"/>
  <c r="J690" i="25"/>
  <c r="O690" i="25"/>
  <c r="P690" i="25"/>
  <c r="Q690" i="25"/>
  <c r="R690" i="25"/>
  <c r="N690" i="25"/>
  <c r="W690" i="25"/>
  <c r="Q32" i="12"/>
  <c r="J691" i="25"/>
  <c r="O691" i="25"/>
  <c r="P691" i="25"/>
  <c r="Q691" i="25"/>
  <c r="R691" i="25"/>
  <c r="N691" i="25"/>
  <c r="W691" i="25"/>
  <c r="Q33" i="12"/>
  <c r="J692" i="25"/>
  <c r="O692" i="25"/>
  <c r="P692" i="25"/>
  <c r="Q692" i="25"/>
  <c r="R692" i="25"/>
  <c r="N692" i="25"/>
  <c r="W692" i="25"/>
  <c r="Q34" i="12"/>
  <c r="J693" i="25"/>
  <c r="O693" i="25"/>
  <c r="P693" i="25"/>
  <c r="Q693" i="25"/>
  <c r="R693" i="25"/>
  <c r="N693" i="25"/>
  <c r="W693" i="25"/>
  <c r="Q35" i="12"/>
  <c r="J694" i="25"/>
  <c r="O694" i="25"/>
  <c r="P694" i="25"/>
  <c r="Q694" i="25"/>
  <c r="R694" i="25"/>
  <c r="N694" i="25"/>
  <c r="W694" i="25"/>
  <c r="Q36" i="12"/>
  <c r="J695" i="25"/>
  <c r="O695" i="25"/>
  <c r="P695" i="25"/>
  <c r="Q695" i="25"/>
  <c r="R695" i="25"/>
  <c r="N695" i="25"/>
  <c r="W695" i="25"/>
  <c r="Q37" i="12"/>
  <c r="J696" i="25"/>
  <c r="O696" i="25"/>
  <c r="P696" i="25"/>
  <c r="Q696" i="25"/>
  <c r="R696" i="25"/>
  <c r="N696" i="25"/>
  <c r="W696" i="25"/>
  <c r="Q38" i="12"/>
  <c r="J697" i="25"/>
  <c r="O697" i="25"/>
  <c r="P697" i="25"/>
  <c r="Q697" i="25"/>
  <c r="R697" i="25"/>
  <c r="N697" i="25"/>
  <c r="W697" i="25"/>
  <c r="Q39" i="12"/>
  <c r="J698" i="25"/>
  <c r="O698" i="25"/>
  <c r="P698" i="25"/>
  <c r="Q698" i="25"/>
  <c r="R698" i="25"/>
  <c r="N698" i="25"/>
  <c r="W698" i="25"/>
  <c r="Q40" i="12"/>
  <c r="J699" i="25"/>
  <c r="O699" i="25"/>
  <c r="P699" i="25"/>
  <c r="Q699" i="25"/>
  <c r="R699" i="25"/>
  <c r="N699" i="25"/>
  <c r="W699" i="25"/>
  <c r="Q41" i="12"/>
  <c r="J700" i="25"/>
  <c r="O700" i="25"/>
  <c r="P700" i="25"/>
  <c r="Q700" i="25"/>
  <c r="R700" i="25"/>
  <c r="N700" i="25"/>
  <c r="W700" i="25"/>
  <c r="Q42" i="12"/>
  <c r="J701" i="25"/>
  <c r="O701" i="25"/>
  <c r="P701" i="25"/>
  <c r="Q701" i="25"/>
  <c r="R701" i="25"/>
  <c r="N701" i="25"/>
  <c r="W701" i="25"/>
  <c r="Q43" i="12"/>
  <c r="J702" i="25"/>
  <c r="O702" i="25"/>
  <c r="P702" i="25"/>
  <c r="Q702" i="25"/>
  <c r="R702" i="25"/>
  <c r="N702" i="25"/>
  <c r="W702" i="25"/>
  <c r="Q44" i="12"/>
  <c r="J703" i="25"/>
  <c r="O703" i="25"/>
  <c r="P703" i="25"/>
  <c r="Q703" i="25"/>
  <c r="R703" i="25"/>
  <c r="N703" i="25"/>
  <c r="W703" i="25"/>
  <c r="Q45" i="12"/>
  <c r="J704" i="25"/>
  <c r="O704" i="25"/>
  <c r="P704" i="25"/>
  <c r="Q704" i="25"/>
  <c r="R704" i="25"/>
  <c r="N704" i="25"/>
  <c r="W704" i="25"/>
  <c r="Q46" i="12"/>
  <c r="J705" i="25"/>
  <c r="O705" i="25"/>
  <c r="P705" i="25"/>
  <c r="Q705" i="25"/>
  <c r="R705" i="25"/>
  <c r="N705" i="25"/>
  <c r="W705" i="25"/>
  <c r="Q47" i="12"/>
  <c r="J706" i="25"/>
  <c r="O706" i="25"/>
  <c r="P706" i="25"/>
  <c r="Q706" i="25"/>
  <c r="R706" i="25"/>
  <c r="N706" i="25"/>
  <c r="W706" i="25"/>
  <c r="Q48" i="12"/>
  <c r="J707" i="25"/>
  <c r="O707" i="25"/>
  <c r="P707" i="25"/>
  <c r="Q707" i="25"/>
  <c r="R707" i="25"/>
  <c r="N707" i="25"/>
  <c r="W707" i="25"/>
  <c r="Q49" i="12"/>
  <c r="J708" i="25"/>
  <c r="O708" i="25"/>
  <c r="P708" i="25"/>
  <c r="Q708" i="25"/>
  <c r="R708" i="25"/>
  <c r="N708" i="25"/>
  <c r="W708" i="25"/>
  <c r="Q50" i="12"/>
  <c r="J709" i="25"/>
  <c r="O709" i="25"/>
  <c r="P709" i="25"/>
  <c r="Q709" i="25"/>
  <c r="R709" i="25"/>
  <c r="N709" i="25"/>
  <c r="W709" i="25"/>
  <c r="Q51" i="12"/>
  <c r="J710" i="25"/>
  <c r="O710" i="25"/>
  <c r="P710" i="25"/>
  <c r="Q710" i="25"/>
  <c r="R710" i="25"/>
  <c r="N710" i="25"/>
  <c r="W710" i="25"/>
  <c r="Q52" i="12"/>
  <c r="J711" i="25"/>
  <c r="O711" i="25"/>
  <c r="P711" i="25"/>
  <c r="Q711" i="25"/>
  <c r="R711" i="25"/>
  <c r="N711" i="25"/>
  <c r="W711" i="25"/>
  <c r="Q53" i="12"/>
  <c r="J712" i="25"/>
  <c r="O712" i="25"/>
  <c r="P712" i="25"/>
  <c r="Q712" i="25"/>
  <c r="R712" i="25"/>
  <c r="N712" i="25"/>
  <c r="W712" i="25"/>
  <c r="Q54" i="12"/>
  <c r="J713" i="25"/>
  <c r="O713" i="25"/>
  <c r="P713" i="25"/>
  <c r="Q713" i="25"/>
  <c r="R713" i="25"/>
  <c r="N713" i="25"/>
  <c r="W713" i="25"/>
  <c r="Q55" i="12"/>
  <c r="J714" i="25"/>
  <c r="O714" i="25"/>
  <c r="P714" i="25"/>
  <c r="Q714" i="25"/>
  <c r="R714" i="25"/>
  <c r="N714" i="25"/>
  <c r="W714" i="25"/>
  <c r="Q56" i="12"/>
  <c r="J715" i="25"/>
  <c r="O715" i="25"/>
  <c r="P715" i="25"/>
  <c r="Q715" i="25"/>
  <c r="R715" i="25"/>
  <c r="N715" i="25"/>
  <c r="W715" i="25"/>
  <c r="Q57" i="12"/>
  <c r="J716" i="25"/>
  <c r="O716" i="25"/>
  <c r="P716" i="25"/>
  <c r="Q716" i="25"/>
  <c r="R716" i="25"/>
  <c r="N716" i="25"/>
  <c r="W716" i="25"/>
  <c r="Q58" i="12"/>
  <c r="J717" i="25"/>
  <c r="O717" i="25"/>
  <c r="P717" i="25"/>
  <c r="Q717" i="25"/>
  <c r="R717" i="25"/>
  <c r="N717" i="25"/>
  <c r="W717" i="25"/>
  <c r="Q59" i="12"/>
  <c r="J718" i="25"/>
  <c r="O718" i="25"/>
  <c r="P718" i="25"/>
  <c r="Q718" i="25"/>
  <c r="R718" i="25"/>
  <c r="N718" i="25"/>
  <c r="W718" i="25"/>
  <c r="Q60" i="12"/>
  <c r="J719" i="25"/>
  <c r="O719" i="25"/>
  <c r="P719" i="25"/>
  <c r="Q719" i="25"/>
  <c r="R719" i="25"/>
  <c r="N719" i="25"/>
  <c r="W719" i="25"/>
  <c r="Q61" i="12"/>
  <c r="J720" i="25"/>
  <c r="O720" i="25"/>
  <c r="P720" i="25"/>
  <c r="Q720" i="25"/>
  <c r="R720" i="25"/>
  <c r="N720" i="25"/>
  <c r="W720" i="25"/>
  <c r="Q62" i="12"/>
  <c r="J721" i="25"/>
  <c r="O721" i="25"/>
  <c r="P721" i="25"/>
  <c r="Q721" i="25"/>
  <c r="R721" i="25"/>
  <c r="N721" i="25"/>
  <c r="W721" i="25"/>
  <c r="Q63" i="12"/>
  <c r="J722" i="25"/>
  <c r="O722" i="25"/>
  <c r="P722" i="25"/>
  <c r="Q722" i="25"/>
  <c r="R722" i="25"/>
  <c r="N722" i="25"/>
  <c r="W722" i="25"/>
  <c r="Q64" i="12"/>
  <c r="J723" i="25"/>
  <c r="O723" i="25"/>
  <c r="P723" i="25"/>
  <c r="Q723" i="25"/>
  <c r="R723" i="25"/>
  <c r="N723" i="25"/>
  <c r="W723" i="25"/>
  <c r="Q65" i="12"/>
  <c r="J724" i="25"/>
  <c r="O724" i="25"/>
  <c r="P724" i="25"/>
  <c r="Q724" i="25"/>
  <c r="R724" i="25"/>
  <c r="N724" i="25"/>
  <c r="W724" i="25"/>
  <c r="Q66" i="12"/>
  <c r="J725" i="25"/>
  <c r="O725" i="25"/>
  <c r="P725" i="25"/>
  <c r="Q725" i="25"/>
  <c r="R725" i="25"/>
  <c r="N725" i="25"/>
  <c r="W725" i="25"/>
  <c r="Q67" i="12"/>
  <c r="J726" i="25"/>
  <c r="O726" i="25"/>
  <c r="P726" i="25"/>
  <c r="Q726" i="25"/>
  <c r="R726" i="25"/>
  <c r="N726" i="25"/>
  <c r="W726" i="25"/>
  <c r="Q68" i="12"/>
  <c r="J727" i="25"/>
  <c r="O727" i="25"/>
  <c r="P727" i="25"/>
  <c r="Q727" i="25"/>
  <c r="R727" i="25"/>
  <c r="N727" i="25"/>
  <c r="W727" i="25"/>
  <c r="Q69" i="12"/>
  <c r="J728" i="25"/>
  <c r="O728" i="25"/>
  <c r="P728" i="25"/>
  <c r="Q728" i="25"/>
  <c r="R728" i="25"/>
  <c r="N728" i="25"/>
  <c r="W728" i="25"/>
  <c r="Q70" i="12"/>
  <c r="J729" i="25"/>
  <c r="O729" i="25"/>
  <c r="P729" i="25"/>
  <c r="Q729" i="25"/>
  <c r="R729" i="25"/>
  <c r="N729" i="25"/>
  <c r="W729" i="25"/>
  <c r="Q71" i="12"/>
  <c r="J730" i="25"/>
  <c r="O730" i="25"/>
  <c r="P730" i="25"/>
  <c r="Q730" i="25"/>
  <c r="R730" i="25"/>
  <c r="N730" i="25"/>
  <c r="W730" i="25"/>
  <c r="Q72" i="12"/>
  <c r="J731" i="25"/>
  <c r="O731" i="25"/>
  <c r="P731" i="25"/>
  <c r="Q731" i="25"/>
  <c r="R731" i="25"/>
  <c r="N731" i="25"/>
  <c r="W731" i="25"/>
  <c r="Q73" i="12"/>
  <c r="J732" i="25"/>
  <c r="O732" i="25"/>
  <c r="P732" i="25"/>
  <c r="Q732" i="25"/>
  <c r="R732" i="25"/>
  <c r="N732" i="25"/>
  <c r="W732" i="25"/>
  <c r="Q74" i="12"/>
  <c r="J733" i="25"/>
  <c r="O733" i="25"/>
  <c r="P733" i="25"/>
  <c r="Q733" i="25"/>
  <c r="R733" i="25"/>
  <c r="N733" i="25"/>
  <c r="W733" i="25"/>
  <c r="Q75" i="12"/>
  <c r="J734" i="25"/>
  <c r="O734" i="25"/>
  <c r="P734" i="25"/>
  <c r="Q734" i="25"/>
  <c r="R734" i="25"/>
  <c r="N734" i="25"/>
  <c r="W734" i="25"/>
  <c r="Q76" i="12"/>
  <c r="J735" i="25"/>
  <c r="O735" i="25"/>
  <c r="P735" i="25"/>
  <c r="Q735" i="25"/>
  <c r="R735" i="25"/>
  <c r="N735" i="25"/>
  <c r="W735" i="25"/>
  <c r="Q77" i="12"/>
  <c r="J736" i="25"/>
  <c r="O736" i="25"/>
  <c r="P736" i="25"/>
  <c r="Q736" i="25"/>
  <c r="R736" i="25"/>
  <c r="N736" i="25"/>
  <c r="W736" i="25"/>
  <c r="Q78" i="12"/>
  <c r="J737" i="25"/>
  <c r="O737" i="25"/>
  <c r="P737" i="25"/>
  <c r="Q737" i="25"/>
  <c r="R737" i="25"/>
  <c r="N737" i="25"/>
  <c r="W737" i="25"/>
  <c r="Q79" i="12"/>
  <c r="J738" i="25"/>
  <c r="O738" i="25"/>
  <c r="P738" i="25"/>
  <c r="Q738" i="25"/>
  <c r="R738" i="25"/>
  <c r="N738" i="25"/>
  <c r="W738" i="25"/>
  <c r="Q80" i="12"/>
  <c r="J739" i="25"/>
  <c r="O739" i="25"/>
  <c r="P739" i="25"/>
  <c r="Q739" i="25"/>
  <c r="R739" i="25"/>
  <c r="N739" i="25"/>
  <c r="W739" i="25"/>
  <c r="Q81" i="12"/>
  <c r="J740" i="25"/>
  <c r="O740" i="25"/>
  <c r="P740" i="25"/>
  <c r="Q740" i="25"/>
  <c r="R740" i="25"/>
  <c r="N740" i="25"/>
  <c r="W740" i="25"/>
  <c r="Q82" i="12"/>
  <c r="J741" i="25"/>
  <c r="O741" i="25"/>
  <c r="P741" i="25"/>
  <c r="Q741" i="25"/>
  <c r="R741" i="25"/>
  <c r="N741" i="25"/>
  <c r="W741" i="25"/>
  <c r="Q83" i="12"/>
  <c r="J742" i="25"/>
  <c r="O742" i="25"/>
  <c r="P742" i="25"/>
  <c r="Q742" i="25"/>
  <c r="R742" i="25"/>
  <c r="N742" i="25"/>
  <c r="W742" i="25"/>
  <c r="Q84" i="12"/>
  <c r="J743" i="25"/>
  <c r="O743" i="25"/>
  <c r="P743" i="25"/>
  <c r="Q743" i="25"/>
  <c r="R743" i="25"/>
  <c r="N743" i="25"/>
  <c r="W743" i="25"/>
  <c r="Q85" i="12"/>
  <c r="J744" i="25"/>
  <c r="O744" i="25"/>
  <c r="P744" i="25"/>
  <c r="Q744" i="25"/>
  <c r="R744" i="25"/>
  <c r="N744" i="25"/>
  <c r="W744" i="25"/>
  <c r="Q86" i="12"/>
  <c r="J745" i="25"/>
  <c r="O745" i="25"/>
  <c r="P745" i="25"/>
  <c r="Q745" i="25"/>
  <c r="R745" i="25"/>
  <c r="N745" i="25"/>
  <c r="W745" i="25"/>
  <c r="Q87" i="12"/>
  <c r="J746" i="25"/>
  <c r="O746" i="25"/>
  <c r="P746" i="25"/>
  <c r="Q746" i="25"/>
  <c r="R746" i="25"/>
  <c r="N746" i="25"/>
  <c r="W746" i="25"/>
  <c r="Q88" i="12"/>
  <c r="J747" i="25"/>
  <c r="O747" i="25"/>
  <c r="P747" i="25"/>
  <c r="Q747" i="25"/>
  <c r="R747" i="25"/>
  <c r="N747" i="25"/>
  <c r="W747" i="25"/>
  <c r="Q89" i="12"/>
  <c r="J748" i="25"/>
  <c r="O748" i="25"/>
  <c r="P748" i="25"/>
  <c r="Q748" i="25"/>
  <c r="R748" i="25"/>
  <c r="N748" i="25"/>
  <c r="W748" i="25"/>
  <c r="Q90" i="12"/>
  <c r="J749" i="25"/>
  <c r="O749" i="25"/>
  <c r="P749" i="25"/>
  <c r="Q749" i="25"/>
  <c r="R749" i="25"/>
  <c r="N749" i="25"/>
  <c r="W749" i="25"/>
  <c r="Q91" i="12"/>
  <c r="J750" i="25"/>
  <c r="O750" i="25"/>
  <c r="P750" i="25"/>
  <c r="Q750" i="25"/>
  <c r="R750" i="25"/>
  <c r="N750" i="25"/>
  <c r="W750" i="25"/>
  <c r="Q92" i="12"/>
  <c r="J751" i="25"/>
  <c r="O751" i="25"/>
  <c r="P751" i="25"/>
  <c r="Q751" i="25"/>
  <c r="R751" i="25"/>
  <c r="N751" i="25"/>
  <c r="W751" i="25"/>
  <c r="Q93" i="12"/>
  <c r="J752" i="25"/>
  <c r="O752" i="25"/>
  <c r="P752" i="25"/>
  <c r="Q752" i="25"/>
  <c r="R752" i="25"/>
  <c r="N752" i="25"/>
  <c r="W752" i="25"/>
  <c r="Q94" i="12"/>
  <c r="J753" i="25"/>
  <c r="O753" i="25"/>
  <c r="P753" i="25"/>
  <c r="Q753" i="25"/>
  <c r="R753" i="25"/>
  <c r="N753" i="25"/>
  <c r="W753" i="25"/>
  <c r="Q95" i="12"/>
  <c r="J754" i="25"/>
  <c r="O754" i="25"/>
  <c r="P754" i="25"/>
  <c r="Q754" i="25"/>
  <c r="R754" i="25"/>
  <c r="N754" i="25"/>
  <c r="W754" i="25"/>
  <c r="Q96" i="12"/>
  <c r="J755" i="25"/>
  <c r="O755" i="25"/>
  <c r="P755" i="25"/>
  <c r="Q755" i="25"/>
  <c r="R755" i="25"/>
  <c r="N755" i="25"/>
  <c r="W755" i="25"/>
  <c r="Q97" i="12"/>
  <c r="J756" i="25"/>
  <c r="O756" i="25"/>
  <c r="P756" i="25"/>
  <c r="Q756" i="25"/>
  <c r="R756" i="25"/>
  <c r="N756" i="25"/>
  <c r="W756" i="25"/>
  <c r="Q98" i="12"/>
  <c r="J757" i="25"/>
  <c r="O757" i="25"/>
  <c r="P757" i="25"/>
  <c r="Q757" i="25"/>
  <c r="R757" i="25"/>
  <c r="N757" i="25"/>
  <c r="W757" i="25"/>
  <c r="Q99" i="12"/>
  <c r="J758" i="25"/>
  <c r="O758" i="25"/>
  <c r="P758" i="25"/>
  <c r="Q758" i="25"/>
  <c r="R758" i="25"/>
  <c r="N758" i="25"/>
  <c r="W758" i="25"/>
  <c r="Q100" i="12"/>
  <c r="J759" i="25"/>
  <c r="O759" i="25"/>
  <c r="P759" i="25"/>
  <c r="Q759" i="25"/>
  <c r="R759" i="25"/>
  <c r="N759" i="25"/>
  <c r="W759" i="25"/>
  <c r="Q101" i="12"/>
  <c r="J760" i="25"/>
  <c r="O760" i="25"/>
  <c r="P760" i="25"/>
  <c r="Q760" i="25"/>
  <c r="R760" i="25"/>
  <c r="N760" i="25"/>
  <c r="W760" i="25"/>
  <c r="Q102" i="12"/>
  <c r="J761" i="25"/>
  <c r="O761" i="25"/>
  <c r="P761" i="25"/>
  <c r="Q761" i="25"/>
  <c r="R761" i="25"/>
  <c r="N761" i="25"/>
  <c r="W761" i="25"/>
  <c r="Q103" i="12"/>
  <c r="J762" i="25"/>
  <c r="O762" i="25"/>
  <c r="P762" i="25"/>
  <c r="Q762" i="25"/>
  <c r="R762" i="25"/>
  <c r="N762" i="25"/>
  <c r="W762" i="25"/>
  <c r="Q104" i="12"/>
  <c r="J763" i="25"/>
  <c r="O763" i="25"/>
  <c r="P763" i="25"/>
  <c r="Q763" i="25"/>
  <c r="R763" i="25"/>
  <c r="N763" i="25"/>
  <c r="W763" i="25"/>
  <c r="Q105" i="12"/>
  <c r="J764" i="25"/>
  <c r="O764" i="25"/>
  <c r="P764" i="25"/>
  <c r="Q764" i="25"/>
  <c r="R764" i="25"/>
  <c r="N764" i="25"/>
  <c r="W764" i="25"/>
  <c r="Q106" i="12"/>
  <c r="J765" i="25"/>
  <c r="O765" i="25"/>
  <c r="P765" i="25"/>
  <c r="Q765" i="25"/>
  <c r="R765" i="25"/>
  <c r="N765" i="25"/>
  <c r="W765" i="25"/>
  <c r="Q107" i="12"/>
  <c r="J766" i="25"/>
  <c r="O766" i="25"/>
  <c r="P766" i="25"/>
  <c r="Q766" i="25"/>
  <c r="R766" i="25"/>
  <c r="N766" i="25"/>
  <c r="W766" i="25"/>
  <c r="Q108" i="12"/>
  <c r="J767" i="25"/>
  <c r="O767" i="25"/>
  <c r="P767" i="25"/>
  <c r="Q767" i="25"/>
  <c r="R767" i="25"/>
  <c r="N767" i="25"/>
  <c r="W767" i="25"/>
  <c r="Q109" i="12"/>
  <c r="J768" i="25"/>
  <c r="O768" i="25"/>
  <c r="P768" i="25"/>
  <c r="Q768" i="25"/>
  <c r="R768" i="25"/>
  <c r="N768" i="25"/>
  <c r="W768" i="25"/>
  <c r="Q110" i="12"/>
  <c r="J769" i="25"/>
  <c r="O769" i="25"/>
  <c r="P769" i="25"/>
  <c r="Q769" i="25"/>
  <c r="R769" i="25"/>
  <c r="N769" i="25"/>
  <c r="W769" i="25"/>
  <c r="Q111" i="12"/>
  <c r="J770" i="25"/>
  <c r="O770" i="25"/>
  <c r="P770" i="25"/>
  <c r="Q770" i="25"/>
  <c r="R770" i="25"/>
  <c r="N770" i="25"/>
  <c r="W770" i="25"/>
  <c r="Q112" i="12"/>
  <c r="J771" i="25"/>
  <c r="O771" i="25"/>
  <c r="P771" i="25"/>
  <c r="Q771" i="25"/>
  <c r="R771" i="25"/>
  <c r="N771" i="25"/>
  <c r="W771" i="25"/>
  <c r="Q113" i="12"/>
  <c r="J772" i="25"/>
  <c r="O772" i="25"/>
  <c r="P772" i="25"/>
  <c r="Q772" i="25"/>
  <c r="R772" i="25"/>
  <c r="N772" i="25"/>
  <c r="W772" i="25"/>
  <c r="Q114" i="12"/>
  <c r="J773" i="25"/>
  <c r="O773" i="25"/>
  <c r="P773" i="25"/>
  <c r="Q773" i="25"/>
  <c r="R773" i="25"/>
  <c r="N773" i="25"/>
  <c r="W773" i="25"/>
  <c r="Q115" i="12"/>
  <c r="J774" i="25"/>
  <c r="O774" i="25"/>
  <c r="P774" i="25"/>
  <c r="Q774" i="25"/>
  <c r="R774" i="25"/>
  <c r="N774" i="25"/>
  <c r="W774" i="25"/>
  <c r="Q116" i="12"/>
  <c r="J775" i="25"/>
  <c r="O775" i="25"/>
  <c r="P775" i="25"/>
  <c r="Q775" i="25"/>
  <c r="R775" i="25"/>
  <c r="N775" i="25"/>
  <c r="W775" i="25"/>
  <c r="Q117" i="12"/>
  <c r="J776" i="25"/>
  <c r="O776" i="25"/>
  <c r="P776" i="25"/>
  <c r="Q776" i="25"/>
  <c r="R776" i="25"/>
  <c r="N776" i="25"/>
  <c r="W776" i="25"/>
  <c r="Q118" i="12"/>
  <c r="J777" i="25"/>
  <c r="O777" i="25"/>
  <c r="P777" i="25"/>
  <c r="Q777" i="25"/>
  <c r="R777" i="25"/>
  <c r="N777" i="25"/>
  <c r="W777" i="25"/>
  <c r="Q119" i="12"/>
  <c r="J778" i="25"/>
  <c r="O778" i="25"/>
  <c r="P778" i="25"/>
  <c r="Q778" i="25"/>
  <c r="R778" i="25"/>
  <c r="N778" i="25"/>
  <c r="W778" i="25"/>
  <c r="Q120" i="12"/>
  <c r="J779" i="25"/>
  <c r="O779" i="25"/>
  <c r="P779" i="25"/>
  <c r="Q779" i="25"/>
  <c r="R779" i="25"/>
  <c r="N779" i="25"/>
  <c r="W779" i="25"/>
  <c r="Q121" i="12"/>
  <c r="J780" i="25"/>
  <c r="O780" i="25"/>
  <c r="P780" i="25"/>
  <c r="Q780" i="25"/>
  <c r="R780" i="25"/>
  <c r="N780" i="25"/>
  <c r="W780" i="25"/>
  <c r="Q122" i="12"/>
  <c r="J781" i="25"/>
  <c r="O781" i="25"/>
  <c r="P781" i="25"/>
  <c r="Q781" i="25"/>
  <c r="R781" i="25"/>
  <c r="N781" i="25"/>
  <c r="W781" i="25"/>
  <c r="Q123" i="12"/>
  <c r="J782" i="25"/>
  <c r="O782" i="25"/>
  <c r="P782" i="25"/>
  <c r="Q782" i="25"/>
  <c r="R782" i="25"/>
  <c r="N782" i="25"/>
  <c r="W782" i="25"/>
  <c r="Q124" i="12"/>
  <c r="J783" i="25"/>
  <c r="O783" i="25"/>
  <c r="P783" i="25"/>
  <c r="Q783" i="25"/>
  <c r="R783" i="25"/>
  <c r="N783" i="25"/>
  <c r="W783" i="25"/>
  <c r="Q125" i="12"/>
  <c r="J784" i="25"/>
  <c r="O784" i="25"/>
  <c r="P784" i="25"/>
  <c r="Q784" i="25"/>
  <c r="R784" i="25"/>
  <c r="N784" i="25"/>
  <c r="W784" i="25"/>
  <c r="Q126" i="12"/>
  <c r="J785" i="25"/>
  <c r="O785" i="25"/>
  <c r="P785" i="25"/>
  <c r="Q785" i="25"/>
  <c r="R785" i="25"/>
  <c r="N785" i="25"/>
  <c r="W785" i="25"/>
  <c r="Q127" i="12"/>
  <c r="J786" i="25"/>
  <c r="O786" i="25"/>
  <c r="P786" i="25"/>
  <c r="Q786" i="25"/>
  <c r="R786" i="25"/>
  <c r="N786" i="25"/>
  <c r="W786" i="25"/>
  <c r="Q128" i="12"/>
  <c r="J787" i="25"/>
  <c r="O787" i="25"/>
  <c r="P787" i="25"/>
  <c r="Q787" i="25"/>
  <c r="R787" i="25"/>
  <c r="N787" i="25"/>
  <c r="W787" i="25"/>
  <c r="Q129" i="12"/>
  <c r="J788" i="25"/>
  <c r="O788" i="25"/>
  <c r="P788" i="25"/>
  <c r="Q788" i="25"/>
  <c r="R788" i="25"/>
  <c r="N788" i="25"/>
  <c r="W788" i="25"/>
  <c r="Q130" i="12"/>
  <c r="J789" i="25"/>
  <c r="O789" i="25"/>
  <c r="P789" i="25"/>
  <c r="Q789" i="25"/>
  <c r="R789" i="25"/>
  <c r="N789" i="25"/>
  <c r="W789" i="25"/>
  <c r="Q131" i="12"/>
  <c r="J790" i="25"/>
  <c r="O790" i="25"/>
  <c r="P790" i="25"/>
  <c r="Q790" i="25"/>
  <c r="R790" i="25"/>
  <c r="N790" i="25"/>
  <c r="W790" i="25"/>
  <c r="Q132" i="12"/>
  <c r="J791" i="25"/>
  <c r="O791" i="25"/>
  <c r="P791" i="25"/>
  <c r="Q791" i="25"/>
  <c r="R791" i="25"/>
  <c r="N791" i="25"/>
  <c r="W791" i="25"/>
  <c r="Q133" i="12"/>
  <c r="J792" i="25"/>
  <c r="O792" i="25"/>
  <c r="P792" i="25"/>
  <c r="Q792" i="25"/>
  <c r="R792" i="25"/>
  <c r="N792" i="25"/>
  <c r="W792" i="25"/>
  <c r="Q134" i="12"/>
  <c r="J793" i="25"/>
  <c r="O793" i="25"/>
  <c r="P793" i="25"/>
  <c r="Q793" i="25"/>
  <c r="R793" i="25"/>
  <c r="N793" i="25"/>
  <c r="W793" i="25"/>
  <c r="Q135" i="12"/>
  <c r="J794" i="25"/>
  <c r="O794" i="25"/>
  <c r="P794" i="25"/>
  <c r="Q794" i="25"/>
  <c r="R794" i="25"/>
  <c r="N794" i="25"/>
  <c r="W794" i="25"/>
  <c r="Q136" i="12"/>
  <c r="J795" i="25"/>
  <c r="O795" i="25"/>
  <c r="P795" i="25"/>
  <c r="Q795" i="25"/>
  <c r="R795" i="25"/>
  <c r="N795" i="25"/>
  <c r="W795" i="25"/>
  <c r="Q137" i="12"/>
  <c r="J796" i="25"/>
  <c r="O796" i="25"/>
  <c r="P796" i="25"/>
  <c r="Q796" i="25"/>
  <c r="R796" i="25"/>
  <c r="N796" i="25"/>
  <c r="W796" i="25"/>
  <c r="Q138" i="12"/>
  <c r="J797" i="25"/>
  <c r="O797" i="25"/>
  <c r="P797" i="25"/>
  <c r="Q797" i="25"/>
  <c r="R797" i="25"/>
  <c r="N797" i="25"/>
  <c r="W797" i="25"/>
  <c r="Q139" i="12"/>
  <c r="J798" i="25"/>
  <c r="O798" i="25"/>
  <c r="P798" i="25"/>
  <c r="Q798" i="25"/>
  <c r="R798" i="25"/>
  <c r="N798" i="25"/>
  <c r="W798" i="25"/>
  <c r="Q140" i="12"/>
  <c r="J799" i="25"/>
  <c r="O799" i="25"/>
  <c r="P799" i="25"/>
  <c r="Q799" i="25"/>
  <c r="R799" i="25"/>
  <c r="N799" i="25"/>
  <c r="W799" i="25"/>
  <c r="Q141" i="12"/>
  <c r="J800" i="25"/>
  <c r="O800" i="25"/>
  <c r="P800" i="25"/>
  <c r="Q800" i="25"/>
  <c r="R800" i="25"/>
  <c r="N800" i="25"/>
  <c r="W800" i="25"/>
  <c r="Q142" i="12"/>
  <c r="J801" i="25"/>
  <c r="O801" i="25"/>
  <c r="P801" i="25"/>
  <c r="Q801" i="25"/>
  <c r="R801" i="25"/>
  <c r="N801" i="25"/>
  <c r="W801" i="25"/>
  <c r="Q143" i="12"/>
  <c r="J802" i="25"/>
  <c r="O802" i="25"/>
  <c r="P802" i="25"/>
  <c r="Q802" i="25"/>
  <c r="R802" i="25"/>
  <c r="N802" i="25"/>
  <c r="W802" i="25"/>
  <c r="Q144" i="12"/>
  <c r="J803" i="25"/>
  <c r="O803" i="25"/>
  <c r="P803" i="25"/>
  <c r="Q803" i="25"/>
  <c r="R803" i="25"/>
  <c r="N803" i="25"/>
  <c r="W803" i="25"/>
  <c r="Q145" i="12"/>
  <c r="J804" i="25"/>
  <c r="O804" i="25"/>
  <c r="P804" i="25"/>
  <c r="Q804" i="25"/>
  <c r="R804" i="25"/>
  <c r="N804" i="25"/>
  <c r="W804" i="25"/>
  <c r="Q146" i="12"/>
  <c r="J805" i="25"/>
  <c r="O805" i="25"/>
  <c r="P805" i="25"/>
  <c r="Q805" i="25"/>
  <c r="R805" i="25"/>
  <c r="N805" i="25"/>
  <c r="W805" i="25"/>
  <c r="Q147" i="12"/>
  <c r="J806" i="25"/>
  <c r="O806" i="25"/>
  <c r="P806" i="25"/>
  <c r="Q806" i="25"/>
  <c r="R806" i="25"/>
  <c r="N806" i="25"/>
  <c r="W806" i="25"/>
  <c r="Q148" i="12"/>
  <c r="J807" i="25"/>
  <c r="O807" i="25"/>
  <c r="P807" i="25"/>
  <c r="Q807" i="25"/>
  <c r="R807" i="25"/>
  <c r="N807" i="25"/>
  <c r="W807" i="25"/>
  <c r="Q149" i="12"/>
  <c r="J808" i="25"/>
  <c r="O808" i="25"/>
  <c r="P808" i="25"/>
  <c r="Q808" i="25"/>
  <c r="R808" i="25"/>
  <c r="N808" i="25"/>
  <c r="W808" i="25"/>
  <c r="Q150" i="12"/>
  <c r="J809" i="25"/>
  <c r="O809" i="25"/>
  <c r="P809" i="25"/>
  <c r="Q809" i="25"/>
  <c r="R809" i="25"/>
  <c r="N809" i="25"/>
  <c r="W809" i="25"/>
  <c r="Q151" i="12"/>
  <c r="J810" i="25"/>
  <c r="O810" i="25"/>
  <c r="P810" i="25"/>
  <c r="Q810" i="25"/>
  <c r="R810" i="25"/>
  <c r="N810" i="25"/>
  <c r="W810" i="25"/>
  <c r="Q152" i="12"/>
  <c r="J811" i="25"/>
  <c r="O811" i="25"/>
  <c r="P811" i="25"/>
  <c r="Q811" i="25"/>
  <c r="R811" i="25"/>
  <c r="N811" i="25"/>
  <c r="W811" i="25"/>
  <c r="Q153" i="12"/>
  <c r="J812" i="25"/>
  <c r="O812" i="25"/>
  <c r="P812" i="25"/>
  <c r="Q812" i="25"/>
  <c r="R812" i="25"/>
  <c r="N812" i="25"/>
  <c r="W812" i="25"/>
  <c r="Q154" i="12"/>
  <c r="J813" i="25"/>
  <c r="O813" i="25"/>
  <c r="P813" i="25"/>
  <c r="Q813" i="25"/>
  <c r="R813" i="25"/>
  <c r="N813" i="25"/>
  <c r="W813" i="25"/>
  <c r="Q155" i="12"/>
  <c r="J814" i="25"/>
  <c r="O814" i="25"/>
  <c r="P814" i="25"/>
  <c r="Q814" i="25"/>
  <c r="R814" i="25"/>
  <c r="N814" i="25"/>
  <c r="W814" i="25"/>
  <c r="Q156" i="12"/>
  <c r="J815" i="25"/>
  <c r="O815" i="25"/>
  <c r="P815" i="25"/>
  <c r="Q815" i="25"/>
  <c r="R815" i="25"/>
  <c r="N815" i="25"/>
  <c r="W815" i="25"/>
  <c r="Q157" i="12"/>
  <c r="J816" i="25"/>
  <c r="O816" i="25"/>
  <c r="P816" i="25"/>
  <c r="Q816" i="25"/>
  <c r="R816" i="25"/>
  <c r="N816" i="25"/>
  <c r="W816" i="25"/>
  <c r="Q158" i="12"/>
  <c r="J817" i="25"/>
  <c r="O817" i="25"/>
  <c r="P817" i="25"/>
  <c r="Q817" i="25"/>
  <c r="R817" i="25"/>
  <c r="N817" i="25"/>
  <c r="W817" i="25"/>
  <c r="Q159" i="12"/>
  <c r="J818" i="25"/>
  <c r="O818" i="25"/>
  <c r="P818" i="25"/>
  <c r="Q818" i="25"/>
  <c r="R818" i="25"/>
  <c r="N818" i="25"/>
  <c r="W818" i="25"/>
  <c r="Q160" i="12"/>
  <c r="J819" i="25"/>
  <c r="O819" i="25"/>
  <c r="P819" i="25"/>
  <c r="Q819" i="25"/>
  <c r="R819" i="25"/>
  <c r="N819" i="25"/>
  <c r="W819" i="25"/>
  <c r="Q161" i="12"/>
  <c r="J820" i="25"/>
  <c r="O820" i="25"/>
  <c r="P820" i="25"/>
  <c r="Q820" i="25"/>
  <c r="R820" i="25"/>
  <c r="N820" i="25"/>
  <c r="W820" i="25"/>
  <c r="Q162" i="12"/>
  <c r="J821" i="25"/>
  <c r="O821" i="25"/>
  <c r="P821" i="25"/>
  <c r="Q821" i="25"/>
  <c r="R821" i="25"/>
  <c r="N821" i="25"/>
  <c r="W821" i="25"/>
  <c r="Q163" i="12"/>
  <c r="J822" i="25"/>
  <c r="O822" i="25"/>
  <c r="P822" i="25"/>
  <c r="Q822" i="25"/>
  <c r="R822" i="25"/>
  <c r="N822" i="25"/>
  <c r="W822" i="25"/>
  <c r="Q164" i="12"/>
  <c r="J823" i="25"/>
  <c r="O823" i="25"/>
  <c r="P823" i="25"/>
  <c r="Q823" i="25"/>
  <c r="R823" i="25"/>
  <c r="N823" i="25"/>
  <c r="W823" i="25"/>
  <c r="Q165" i="12"/>
  <c r="J824" i="25"/>
  <c r="O824" i="25"/>
  <c r="P824" i="25"/>
  <c r="Q824" i="25"/>
  <c r="R824" i="25"/>
  <c r="N824" i="25"/>
  <c r="W824" i="25"/>
  <c r="Q166" i="12"/>
  <c r="J825" i="25"/>
  <c r="O825" i="25"/>
  <c r="P825" i="25"/>
  <c r="Q825" i="25"/>
  <c r="R825" i="25"/>
  <c r="N825" i="25"/>
  <c r="W825" i="25"/>
  <c r="Q167" i="12"/>
  <c r="J826" i="25"/>
  <c r="O826" i="25"/>
  <c r="P826" i="25"/>
  <c r="Q826" i="25"/>
  <c r="R826" i="25"/>
  <c r="N826" i="25"/>
  <c r="W826" i="25"/>
  <c r="Q168" i="12"/>
  <c r="J827" i="25"/>
  <c r="O827" i="25"/>
  <c r="P827" i="25"/>
  <c r="Q827" i="25"/>
  <c r="R827" i="25"/>
  <c r="N827" i="25"/>
  <c r="W827" i="25"/>
  <c r="Q169" i="12"/>
  <c r="J828" i="25"/>
  <c r="O828" i="25"/>
  <c r="P828" i="25"/>
  <c r="Q828" i="25"/>
  <c r="R828" i="25"/>
  <c r="N828" i="25"/>
  <c r="W828" i="25"/>
  <c r="Q170" i="12"/>
  <c r="J829" i="25"/>
  <c r="O829" i="25"/>
  <c r="P829" i="25"/>
  <c r="Q829" i="25"/>
  <c r="R829" i="25"/>
  <c r="N829" i="25"/>
  <c r="W829" i="25"/>
  <c r="Q171" i="12"/>
  <c r="J830" i="25"/>
  <c r="O830" i="25"/>
  <c r="P830" i="25"/>
  <c r="Q830" i="25"/>
  <c r="R830" i="25"/>
  <c r="N830" i="25"/>
  <c r="W830" i="25"/>
  <c r="Q172" i="12"/>
  <c r="J831" i="25"/>
  <c r="O831" i="25"/>
  <c r="P831" i="25"/>
  <c r="Q831" i="25"/>
  <c r="R831" i="25"/>
  <c r="N831" i="25"/>
  <c r="W831" i="25"/>
  <c r="Q173" i="12"/>
  <c r="J832" i="25"/>
  <c r="O832" i="25"/>
  <c r="P832" i="25"/>
  <c r="Q832" i="25"/>
  <c r="R832" i="25"/>
  <c r="N832" i="25"/>
  <c r="W832" i="25"/>
  <c r="Q174" i="12"/>
  <c r="J833" i="25"/>
  <c r="O833" i="25"/>
  <c r="P833" i="25"/>
  <c r="Q833" i="25"/>
  <c r="R833" i="25"/>
  <c r="N833" i="25"/>
  <c r="W833" i="25"/>
  <c r="Q175" i="12"/>
  <c r="J834" i="25"/>
  <c r="O834" i="25"/>
  <c r="P834" i="25"/>
  <c r="Q834" i="25"/>
  <c r="R834" i="25"/>
  <c r="N834" i="25"/>
  <c r="W834" i="25"/>
  <c r="Q176" i="12"/>
  <c r="J835" i="25"/>
  <c r="O835" i="25"/>
  <c r="P835" i="25"/>
  <c r="Q835" i="25"/>
  <c r="R835" i="25"/>
  <c r="N835" i="25"/>
  <c r="W835" i="25"/>
  <c r="Q177" i="12"/>
  <c r="J836" i="25"/>
  <c r="O836" i="25"/>
  <c r="P836" i="25"/>
  <c r="Q836" i="25"/>
  <c r="R836" i="25"/>
  <c r="N836" i="25"/>
  <c r="W836" i="25"/>
  <c r="Q178" i="12"/>
  <c r="J837" i="25"/>
  <c r="O837" i="25"/>
  <c r="P837" i="25"/>
  <c r="Q837" i="25"/>
  <c r="R837" i="25"/>
  <c r="N837" i="25"/>
  <c r="W837" i="25"/>
  <c r="Q179" i="12"/>
  <c r="J838" i="25"/>
  <c r="O838" i="25"/>
  <c r="P838" i="25"/>
  <c r="Q838" i="25"/>
  <c r="R838" i="25"/>
  <c r="N838" i="25"/>
  <c r="W838" i="25"/>
  <c r="Q180" i="12"/>
  <c r="J839" i="25"/>
  <c r="O839" i="25"/>
  <c r="P839" i="25"/>
  <c r="Q839" i="25"/>
  <c r="R839" i="25"/>
  <c r="N839" i="25"/>
  <c r="W839" i="25"/>
  <c r="Q181" i="12"/>
  <c r="J840" i="25"/>
  <c r="O840" i="25"/>
  <c r="P840" i="25"/>
  <c r="Q840" i="25"/>
  <c r="R840" i="25"/>
  <c r="N840" i="25"/>
  <c r="W840" i="25"/>
  <c r="Q182" i="12"/>
  <c r="J841" i="25"/>
  <c r="O841" i="25"/>
  <c r="P841" i="25"/>
  <c r="Q841" i="25"/>
  <c r="R841" i="25"/>
  <c r="N841" i="25"/>
  <c r="W841" i="25"/>
  <c r="Q183" i="12"/>
  <c r="J842" i="25"/>
  <c r="O842" i="25"/>
  <c r="P842" i="25"/>
  <c r="Q842" i="25"/>
  <c r="R842" i="25"/>
  <c r="N842" i="25"/>
  <c r="W842" i="25"/>
  <c r="Q184" i="12"/>
  <c r="J843" i="25"/>
  <c r="O843" i="25"/>
  <c r="P843" i="25"/>
  <c r="Q843" i="25"/>
  <c r="R843" i="25"/>
  <c r="N843" i="25"/>
  <c r="W843" i="25"/>
  <c r="Q185" i="12"/>
  <c r="J844" i="25"/>
  <c r="O844" i="25"/>
  <c r="P844" i="25"/>
  <c r="Q844" i="25"/>
  <c r="R844" i="25"/>
  <c r="N844" i="25"/>
  <c r="W844" i="25"/>
  <c r="Q186" i="12"/>
  <c r="J845" i="25"/>
  <c r="O845" i="25"/>
  <c r="P845" i="25"/>
  <c r="Q845" i="25"/>
  <c r="R845" i="25"/>
  <c r="N845" i="25"/>
  <c r="W845" i="25"/>
  <c r="Q187" i="12"/>
  <c r="J846" i="25"/>
  <c r="O846" i="25"/>
  <c r="P846" i="25"/>
  <c r="Q846" i="25"/>
  <c r="R846" i="25"/>
  <c r="N846" i="25"/>
  <c r="W846" i="25"/>
  <c r="Q188" i="12"/>
  <c r="J847" i="25"/>
  <c r="O847" i="25"/>
  <c r="P847" i="25"/>
  <c r="Q847" i="25"/>
  <c r="R847" i="25"/>
  <c r="N847" i="25"/>
  <c r="W847" i="25"/>
  <c r="Q189" i="12"/>
  <c r="J848" i="25"/>
  <c r="O848" i="25"/>
  <c r="P848" i="25"/>
  <c r="Q848" i="25"/>
  <c r="R848" i="25"/>
  <c r="N848" i="25"/>
  <c r="W848" i="25"/>
  <c r="Q190" i="12"/>
  <c r="J849" i="25"/>
  <c r="O849" i="25"/>
  <c r="P849" i="25"/>
  <c r="Q849" i="25"/>
  <c r="R849" i="25"/>
  <c r="N849" i="25"/>
  <c r="W849" i="25"/>
  <c r="Q191" i="12"/>
  <c r="J850" i="25"/>
  <c r="O850" i="25"/>
  <c r="P850" i="25"/>
  <c r="Q850" i="25"/>
  <c r="R850" i="25"/>
  <c r="N850" i="25"/>
  <c r="W850" i="25"/>
  <c r="Q192" i="12"/>
  <c r="J851" i="25"/>
  <c r="O851" i="25"/>
  <c r="P851" i="25"/>
  <c r="Q851" i="25"/>
  <c r="R851" i="25"/>
  <c r="N851" i="25"/>
  <c r="W851" i="25"/>
  <c r="Q193" i="12"/>
  <c r="J852" i="25"/>
  <c r="O852" i="25"/>
  <c r="P852" i="25"/>
  <c r="Q852" i="25"/>
  <c r="R852" i="25"/>
  <c r="N852" i="25"/>
  <c r="W852" i="25"/>
  <c r="Q194" i="12"/>
  <c r="J853" i="25"/>
  <c r="O853" i="25"/>
  <c r="P853" i="25"/>
  <c r="Q853" i="25"/>
  <c r="R853" i="25"/>
  <c r="N853" i="25"/>
  <c r="W853" i="25"/>
  <c r="Q195" i="12"/>
  <c r="J854" i="25"/>
  <c r="O854" i="25"/>
  <c r="P854" i="25"/>
  <c r="Q854" i="25"/>
  <c r="R854" i="25"/>
  <c r="N854" i="25"/>
  <c r="W854" i="25"/>
  <c r="Q196" i="12"/>
  <c r="J855" i="25"/>
  <c r="O855" i="25"/>
  <c r="P855" i="25"/>
  <c r="Q855" i="25"/>
  <c r="R855" i="25"/>
  <c r="N855" i="25"/>
  <c r="W855" i="25"/>
  <c r="Q197" i="12"/>
  <c r="J856" i="25"/>
  <c r="O856" i="25"/>
  <c r="P856" i="25"/>
  <c r="Q856" i="25"/>
  <c r="R856" i="25"/>
  <c r="N856" i="25"/>
  <c r="W856" i="25"/>
  <c r="Q198" i="12"/>
  <c r="J857" i="25"/>
  <c r="O857" i="25"/>
  <c r="P857" i="25"/>
  <c r="Q857" i="25"/>
  <c r="R857" i="25"/>
  <c r="N857" i="25"/>
  <c r="W857" i="25"/>
  <c r="Q199" i="12"/>
  <c r="J858" i="25"/>
  <c r="O858" i="25"/>
  <c r="P858" i="25"/>
  <c r="Q858" i="25"/>
  <c r="R858" i="25"/>
  <c r="N858" i="25"/>
  <c r="W858" i="25"/>
  <c r="Q200" i="12"/>
  <c r="J859" i="25"/>
  <c r="O859" i="25"/>
  <c r="P859" i="25"/>
  <c r="Q859" i="25"/>
  <c r="R859" i="25"/>
  <c r="N859" i="25"/>
  <c r="W859" i="25"/>
  <c r="Q201" i="12"/>
  <c r="J860" i="25"/>
  <c r="O860" i="25"/>
  <c r="P860" i="25"/>
  <c r="Q860" i="25"/>
  <c r="R860" i="25"/>
  <c r="N860" i="25"/>
  <c r="W860" i="25"/>
  <c r="Q202" i="12"/>
  <c r="J861" i="25"/>
  <c r="O861" i="25"/>
  <c r="P861" i="25"/>
  <c r="Q861" i="25"/>
  <c r="R861" i="25"/>
  <c r="N861" i="25"/>
  <c r="W861" i="25"/>
  <c r="Q203" i="12"/>
  <c r="J862" i="25"/>
  <c r="O862" i="25"/>
  <c r="P862" i="25"/>
  <c r="Q862" i="25"/>
  <c r="R862" i="25"/>
  <c r="N862" i="25"/>
  <c r="W862" i="25"/>
  <c r="Q204" i="12"/>
  <c r="J863" i="25"/>
  <c r="O863" i="25"/>
  <c r="P863" i="25"/>
  <c r="Q863" i="25"/>
  <c r="R863" i="25"/>
  <c r="N863" i="25"/>
  <c r="W863" i="25"/>
  <c r="Q205" i="12"/>
  <c r="J864" i="25"/>
  <c r="O864" i="25"/>
  <c r="P864" i="25"/>
  <c r="Q864" i="25"/>
  <c r="R864" i="25"/>
  <c r="N864" i="25"/>
  <c r="W864" i="25"/>
  <c r="Q206" i="12"/>
  <c r="J865" i="25"/>
  <c r="O865" i="25"/>
  <c r="P865" i="25"/>
  <c r="Q865" i="25"/>
  <c r="R865" i="25"/>
  <c r="N865" i="25"/>
  <c r="W865" i="25"/>
  <c r="Q207" i="12"/>
  <c r="J866" i="25"/>
  <c r="O866" i="25"/>
  <c r="P866" i="25"/>
  <c r="Q866" i="25"/>
  <c r="R866" i="25"/>
  <c r="N866" i="25"/>
  <c r="W866" i="25"/>
  <c r="Q208" i="12"/>
  <c r="J867" i="25"/>
  <c r="O867" i="25"/>
  <c r="P867" i="25"/>
  <c r="Q867" i="25"/>
  <c r="R867" i="25"/>
  <c r="N867" i="25"/>
  <c r="W867" i="25"/>
  <c r="Q209" i="12"/>
  <c r="J868" i="25"/>
  <c r="O868" i="25"/>
  <c r="P868" i="25"/>
  <c r="Q868" i="25"/>
  <c r="R868" i="25"/>
  <c r="N868" i="25"/>
  <c r="W868" i="25"/>
  <c r="Q210" i="12"/>
  <c r="J869" i="25"/>
  <c r="O869" i="25"/>
  <c r="P869" i="25"/>
  <c r="Q869" i="25"/>
  <c r="R869" i="25"/>
  <c r="N869" i="25"/>
  <c r="W869" i="25"/>
  <c r="Q211" i="12"/>
  <c r="J870" i="25"/>
  <c r="O870" i="25"/>
  <c r="P870" i="25"/>
  <c r="Q870" i="25"/>
  <c r="R870" i="25"/>
  <c r="N870" i="25"/>
  <c r="W870" i="25"/>
  <c r="Q212" i="12"/>
  <c r="J871" i="25"/>
  <c r="O871" i="25"/>
  <c r="P871" i="25"/>
  <c r="Q871" i="25"/>
  <c r="R871" i="25"/>
  <c r="N871" i="25"/>
  <c r="W871" i="25"/>
  <c r="Q213" i="12"/>
  <c r="J872" i="25"/>
  <c r="O872" i="25"/>
  <c r="P872" i="25"/>
  <c r="Q872" i="25"/>
  <c r="R872" i="25"/>
  <c r="N872" i="25"/>
  <c r="W872" i="25"/>
  <c r="Q214" i="12"/>
  <c r="J873" i="25"/>
  <c r="O873" i="25"/>
  <c r="P873" i="25"/>
  <c r="Q873" i="25"/>
  <c r="R873" i="25"/>
  <c r="N873" i="25"/>
  <c r="W873" i="25"/>
  <c r="Q215" i="12"/>
  <c r="J874" i="25"/>
  <c r="O874" i="25"/>
  <c r="P874" i="25"/>
  <c r="Q874" i="25"/>
  <c r="R874" i="25"/>
  <c r="N874" i="25"/>
  <c r="W874" i="25"/>
  <c r="Q216" i="12"/>
  <c r="J875" i="25"/>
  <c r="O875" i="25"/>
  <c r="P875" i="25"/>
  <c r="Q875" i="25"/>
  <c r="R875" i="25"/>
  <c r="N875" i="25"/>
  <c r="W875" i="25"/>
  <c r="Q217" i="12"/>
  <c r="J876" i="25"/>
  <c r="O876" i="25"/>
  <c r="P876" i="25"/>
  <c r="Q876" i="25"/>
  <c r="R876" i="25"/>
  <c r="N876" i="25"/>
  <c r="W876" i="25"/>
  <c r="Q218" i="12"/>
  <c r="J877" i="25"/>
  <c r="O877" i="25"/>
  <c r="P877" i="25"/>
  <c r="Q877" i="25"/>
  <c r="R877" i="25"/>
  <c r="N877" i="25"/>
  <c r="W877" i="25"/>
  <c r="Q219" i="12"/>
  <c r="J878" i="25"/>
  <c r="O878" i="25"/>
  <c r="P878" i="25"/>
  <c r="Q878" i="25"/>
  <c r="R878" i="25"/>
  <c r="N878" i="25"/>
  <c r="W878" i="25"/>
  <c r="Q220" i="12"/>
  <c r="J879" i="25"/>
  <c r="O879" i="25"/>
  <c r="P879" i="25"/>
  <c r="Q879" i="25"/>
  <c r="R879" i="25"/>
  <c r="N879" i="25"/>
  <c r="W879" i="25"/>
  <c r="Q221" i="12"/>
  <c r="J880" i="25"/>
  <c r="O880" i="25"/>
  <c r="P880" i="25"/>
  <c r="Q880" i="25"/>
  <c r="R880" i="25"/>
  <c r="N880" i="25"/>
  <c r="W880" i="25"/>
  <c r="Q222" i="12"/>
  <c r="J881" i="25"/>
  <c r="O881" i="25"/>
  <c r="P881" i="25"/>
  <c r="Q881" i="25"/>
  <c r="R881" i="25"/>
  <c r="N881" i="25"/>
  <c r="W881" i="25"/>
  <c r="K3" i="12"/>
  <c r="J2" i="25"/>
  <c r="O2" i="25"/>
  <c r="P2" i="25"/>
  <c r="Q2" i="25"/>
  <c r="R2" i="25"/>
  <c r="N2" i="25"/>
  <c r="W2" i="25"/>
  <c r="V3" i="25"/>
  <c r="V4" i="25"/>
  <c r="V5" i="25"/>
  <c r="V6" i="25"/>
  <c r="V7" i="25"/>
  <c r="V8" i="25"/>
  <c r="V9" i="25"/>
  <c r="V10" i="25"/>
  <c r="V11" i="25"/>
  <c r="V12" i="25"/>
  <c r="V13" i="25"/>
  <c r="V14" i="25"/>
  <c r="V15" i="25"/>
  <c r="V16" i="25"/>
  <c r="V17" i="25"/>
  <c r="V18" i="25"/>
  <c r="V19" i="25"/>
  <c r="V20" i="25"/>
  <c r="V21" i="25"/>
  <c r="V22" i="25"/>
  <c r="V23" i="25"/>
  <c r="V24" i="25"/>
  <c r="V25" i="25"/>
  <c r="V26" i="25"/>
  <c r="V27" i="25"/>
  <c r="V28" i="25"/>
  <c r="V29" i="25"/>
  <c r="V30" i="25"/>
  <c r="V31" i="25"/>
  <c r="V32" i="25"/>
  <c r="V33" i="25"/>
  <c r="V34" i="25"/>
  <c r="V35" i="25"/>
  <c r="V36" i="25"/>
  <c r="V37" i="25"/>
  <c r="V38" i="25"/>
  <c r="V39" i="25"/>
  <c r="V40" i="25"/>
  <c r="V41" i="25"/>
  <c r="V42" i="25"/>
  <c r="V43" i="25"/>
  <c r="V44" i="25"/>
  <c r="V45" i="25"/>
  <c r="V46" i="25"/>
  <c r="V47" i="25"/>
  <c r="V48" i="25"/>
  <c r="V49" i="25"/>
  <c r="V50" i="25"/>
  <c r="V51" i="25"/>
  <c r="V52" i="25"/>
  <c r="V53" i="25"/>
  <c r="V54" i="25"/>
  <c r="V55" i="25"/>
  <c r="V56" i="25"/>
  <c r="V57" i="25"/>
  <c r="V58" i="25"/>
  <c r="V59" i="25"/>
  <c r="V60" i="25"/>
  <c r="V61" i="25"/>
  <c r="V62" i="25"/>
  <c r="V63" i="25"/>
  <c r="V64" i="25"/>
  <c r="V65" i="25"/>
  <c r="V66" i="25"/>
  <c r="V67" i="25"/>
  <c r="V68" i="25"/>
  <c r="V69" i="25"/>
  <c r="V70" i="25"/>
  <c r="V71" i="25"/>
  <c r="V72" i="25"/>
  <c r="V73" i="25"/>
  <c r="V74" i="25"/>
  <c r="V75" i="25"/>
  <c r="V76" i="25"/>
  <c r="V77" i="25"/>
  <c r="V78" i="25"/>
  <c r="V79" i="25"/>
  <c r="V80" i="25"/>
  <c r="V81" i="25"/>
  <c r="V82" i="25"/>
  <c r="V83" i="25"/>
  <c r="V84" i="25"/>
  <c r="V85" i="25"/>
  <c r="V86" i="25"/>
  <c r="V87" i="25"/>
  <c r="V88" i="25"/>
  <c r="V89" i="25"/>
  <c r="V90" i="25"/>
  <c r="V91" i="25"/>
  <c r="V92" i="25"/>
  <c r="V93" i="25"/>
  <c r="V94" i="25"/>
  <c r="V95" i="25"/>
  <c r="V96" i="25"/>
  <c r="V97" i="25"/>
  <c r="V98" i="25"/>
  <c r="V99" i="25"/>
  <c r="V100" i="25"/>
  <c r="V101" i="25"/>
  <c r="V102" i="25"/>
  <c r="V103" i="25"/>
  <c r="V104" i="25"/>
  <c r="V105" i="25"/>
  <c r="V106" i="25"/>
  <c r="V107" i="25"/>
  <c r="V108" i="25"/>
  <c r="V109" i="25"/>
  <c r="V110" i="25"/>
  <c r="V111" i="25"/>
  <c r="V112" i="25"/>
  <c r="V113" i="25"/>
  <c r="V114" i="25"/>
  <c r="V115" i="25"/>
  <c r="V116" i="25"/>
  <c r="V117" i="25"/>
  <c r="V118" i="25"/>
  <c r="V119" i="25"/>
  <c r="V120" i="25"/>
  <c r="V121" i="25"/>
  <c r="V122" i="25"/>
  <c r="V123" i="25"/>
  <c r="V124" i="25"/>
  <c r="V125" i="25"/>
  <c r="V126" i="25"/>
  <c r="V127" i="25"/>
  <c r="V128" i="25"/>
  <c r="V129" i="25"/>
  <c r="V130" i="25"/>
  <c r="V131" i="25"/>
  <c r="V132" i="25"/>
  <c r="V133" i="25"/>
  <c r="V134" i="25"/>
  <c r="V135" i="25"/>
  <c r="V136" i="25"/>
  <c r="V137" i="25"/>
  <c r="V138" i="25"/>
  <c r="V139" i="25"/>
  <c r="V140" i="25"/>
  <c r="V141" i="25"/>
  <c r="V142" i="25"/>
  <c r="V143" i="25"/>
  <c r="V144" i="25"/>
  <c r="V145" i="25"/>
  <c r="V146" i="25"/>
  <c r="V147" i="25"/>
  <c r="V148" i="25"/>
  <c r="V149" i="25"/>
  <c r="V150" i="25"/>
  <c r="V151" i="25"/>
  <c r="V152" i="25"/>
  <c r="V153" i="25"/>
  <c r="V154" i="25"/>
  <c r="V155" i="25"/>
  <c r="V156" i="25"/>
  <c r="V157" i="25"/>
  <c r="V158" i="25"/>
  <c r="V159" i="25"/>
  <c r="V160" i="25"/>
  <c r="V161" i="25"/>
  <c r="V162" i="25"/>
  <c r="V163" i="25"/>
  <c r="V164" i="25"/>
  <c r="V165" i="25"/>
  <c r="V166" i="25"/>
  <c r="V167" i="25"/>
  <c r="V168" i="25"/>
  <c r="V169" i="25"/>
  <c r="V170" i="25"/>
  <c r="V171" i="25"/>
  <c r="V172" i="25"/>
  <c r="V173" i="25"/>
  <c r="V174" i="25"/>
  <c r="V175" i="25"/>
  <c r="V176" i="25"/>
  <c r="V177" i="25"/>
  <c r="V178" i="25"/>
  <c r="V179" i="25"/>
  <c r="V180" i="25"/>
  <c r="V181" i="25"/>
  <c r="V182" i="25"/>
  <c r="V183" i="25"/>
  <c r="V184" i="25"/>
  <c r="V185" i="25"/>
  <c r="V186" i="25"/>
  <c r="V187" i="25"/>
  <c r="V188" i="25"/>
  <c r="V189" i="25"/>
  <c r="V190" i="25"/>
  <c r="V191" i="25"/>
  <c r="V192" i="25"/>
  <c r="V193" i="25"/>
  <c r="V194" i="25"/>
  <c r="V195" i="25"/>
  <c r="V196" i="25"/>
  <c r="V197" i="25"/>
  <c r="V198" i="25"/>
  <c r="V199" i="25"/>
  <c r="V200" i="25"/>
  <c r="V201" i="25"/>
  <c r="V202" i="25"/>
  <c r="V203" i="25"/>
  <c r="V204" i="25"/>
  <c r="V205" i="25"/>
  <c r="V206" i="25"/>
  <c r="V207" i="25"/>
  <c r="V208" i="25"/>
  <c r="V209" i="25"/>
  <c r="V210" i="25"/>
  <c r="V211" i="25"/>
  <c r="V212" i="25"/>
  <c r="V213" i="25"/>
  <c r="V214" i="25"/>
  <c r="V215" i="25"/>
  <c r="V216" i="25"/>
  <c r="V217" i="25"/>
  <c r="V218" i="25"/>
  <c r="V219" i="25"/>
  <c r="V220" i="25"/>
  <c r="V221" i="25"/>
  <c r="V222" i="25"/>
  <c r="V223" i="25"/>
  <c r="V224" i="25"/>
  <c r="V225" i="25"/>
  <c r="V226" i="25"/>
  <c r="V227" i="25"/>
  <c r="V228" i="25"/>
  <c r="V229" i="25"/>
  <c r="V230" i="25"/>
  <c r="V231" i="25"/>
  <c r="V232" i="25"/>
  <c r="V233" i="25"/>
  <c r="V234" i="25"/>
  <c r="V235" i="25"/>
  <c r="V236" i="25"/>
  <c r="V237" i="25"/>
  <c r="V238" i="25"/>
  <c r="V239" i="25"/>
  <c r="V240" i="25"/>
  <c r="V241" i="25"/>
  <c r="V242" i="25"/>
  <c r="V243" i="25"/>
  <c r="V244" i="25"/>
  <c r="V245" i="25"/>
  <c r="V246" i="25"/>
  <c r="V247" i="25"/>
  <c r="V248" i="25"/>
  <c r="V249" i="25"/>
  <c r="V250" i="25"/>
  <c r="V251" i="25"/>
  <c r="V252" i="25"/>
  <c r="V253" i="25"/>
  <c r="V254" i="25"/>
  <c r="V255" i="25"/>
  <c r="V256" i="25"/>
  <c r="V257" i="25"/>
  <c r="V258" i="25"/>
  <c r="V259" i="25"/>
  <c r="V260" i="25"/>
  <c r="V261" i="25"/>
  <c r="V262" i="25"/>
  <c r="V263" i="25"/>
  <c r="V264" i="25"/>
  <c r="V265" i="25"/>
  <c r="V266" i="25"/>
  <c r="V267" i="25"/>
  <c r="V268" i="25"/>
  <c r="V269" i="25"/>
  <c r="V270" i="25"/>
  <c r="V271" i="25"/>
  <c r="V272" i="25"/>
  <c r="V273" i="25"/>
  <c r="V274" i="25"/>
  <c r="V275" i="25"/>
  <c r="V276" i="25"/>
  <c r="V277" i="25"/>
  <c r="V278" i="25"/>
  <c r="V279" i="25"/>
  <c r="V280" i="25"/>
  <c r="V281" i="25"/>
  <c r="V282" i="25"/>
  <c r="V283" i="25"/>
  <c r="V284" i="25"/>
  <c r="V285" i="25"/>
  <c r="V286" i="25"/>
  <c r="V287" i="25"/>
  <c r="V288" i="25"/>
  <c r="V289" i="25"/>
  <c r="V290" i="25"/>
  <c r="V291" i="25"/>
  <c r="V292" i="25"/>
  <c r="V293" i="25"/>
  <c r="V294" i="25"/>
  <c r="V295" i="25"/>
  <c r="V296" i="25"/>
  <c r="V297" i="25"/>
  <c r="V298" i="25"/>
  <c r="V299" i="25"/>
  <c r="V300" i="25"/>
  <c r="V301" i="25"/>
  <c r="V302" i="25"/>
  <c r="V303" i="25"/>
  <c r="V304" i="25"/>
  <c r="V305" i="25"/>
  <c r="V306" i="25"/>
  <c r="V307" i="25"/>
  <c r="V308" i="25"/>
  <c r="V309" i="25"/>
  <c r="V310" i="25"/>
  <c r="V311" i="25"/>
  <c r="V312" i="25"/>
  <c r="V313" i="25"/>
  <c r="V314" i="25"/>
  <c r="V315" i="25"/>
  <c r="V316" i="25"/>
  <c r="V317" i="25"/>
  <c r="V318" i="25"/>
  <c r="V319" i="25"/>
  <c r="V320" i="25"/>
  <c r="V321" i="25"/>
  <c r="V322" i="25"/>
  <c r="V323" i="25"/>
  <c r="V324" i="25"/>
  <c r="V325" i="25"/>
  <c r="V326" i="25"/>
  <c r="V327" i="25"/>
  <c r="V328" i="25"/>
  <c r="V329" i="25"/>
  <c r="V330" i="25"/>
  <c r="V331" i="25"/>
  <c r="V332" i="25"/>
  <c r="V333" i="25"/>
  <c r="V334" i="25"/>
  <c r="V335" i="25"/>
  <c r="V336" i="25"/>
  <c r="V337" i="25"/>
  <c r="V338" i="25"/>
  <c r="V339" i="25"/>
  <c r="V340" i="25"/>
  <c r="V341" i="25"/>
  <c r="V342" i="25"/>
  <c r="V343" i="25"/>
  <c r="V344" i="25"/>
  <c r="V345" i="25"/>
  <c r="V346" i="25"/>
  <c r="V347" i="25"/>
  <c r="V348" i="25"/>
  <c r="V349" i="25"/>
  <c r="V350" i="25"/>
  <c r="V351" i="25"/>
  <c r="V352" i="25"/>
  <c r="V353" i="25"/>
  <c r="V354" i="25"/>
  <c r="V355" i="25"/>
  <c r="V356" i="25"/>
  <c r="V357" i="25"/>
  <c r="V358" i="25"/>
  <c r="V359" i="25"/>
  <c r="V360" i="25"/>
  <c r="V361" i="25"/>
  <c r="V362" i="25"/>
  <c r="V363" i="25"/>
  <c r="V364" i="25"/>
  <c r="V365" i="25"/>
  <c r="V366" i="25"/>
  <c r="V367" i="25"/>
  <c r="V368" i="25"/>
  <c r="V369" i="25"/>
  <c r="V370" i="25"/>
  <c r="V371" i="25"/>
  <c r="V372" i="25"/>
  <c r="V373" i="25"/>
  <c r="V374" i="25"/>
  <c r="V375" i="25"/>
  <c r="V376" i="25"/>
  <c r="V377" i="25"/>
  <c r="V378" i="25"/>
  <c r="V379" i="25"/>
  <c r="V380" i="25"/>
  <c r="V381" i="25"/>
  <c r="V382" i="25"/>
  <c r="V383" i="25"/>
  <c r="V384" i="25"/>
  <c r="V385" i="25"/>
  <c r="V386" i="25"/>
  <c r="V387" i="25"/>
  <c r="V388" i="25"/>
  <c r="V389" i="25"/>
  <c r="V390" i="25"/>
  <c r="V391" i="25"/>
  <c r="V392" i="25"/>
  <c r="V393" i="25"/>
  <c r="V394" i="25"/>
  <c r="V395" i="25"/>
  <c r="V396" i="25"/>
  <c r="V397" i="25"/>
  <c r="V398" i="25"/>
  <c r="V399" i="25"/>
  <c r="V400" i="25"/>
  <c r="V401" i="25"/>
  <c r="V402" i="25"/>
  <c r="V403" i="25"/>
  <c r="V404" i="25"/>
  <c r="V405" i="25"/>
  <c r="V406" i="25"/>
  <c r="V407" i="25"/>
  <c r="V408" i="25"/>
  <c r="V409" i="25"/>
  <c r="V410" i="25"/>
  <c r="V411" i="25"/>
  <c r="V412" i="25"/>
  <c r="V413" i="25"/>
  <c r="V414" i="25"/>
  <c r="V415" i="25"/>
  <c r="V416" i="25"/>
  <c r="V417" i="25"/>
  <c r="V418" i="25"/>
  <c r="V419" i="25"/>
  <c r="V420" i="25"/>
  <c r="V421" i="25"/>
  <c r="V422" i="25"/>
  <c r="V423" i="25"/>
  <c r="V424" i="25"/>
  <c r="V425" i="25"/>
  <c r="V426" i="25"/>
  <c r="V427" i="25"/>
  <c r="V428" i="25"/>
  <c r="V429" i="25"/>
  <c r="V430" i="25"/>
  <c r="V431" i="25"/>
  <c r="V432" i="25"/>
  <c r="V433" i="25"/>
  <c r="V434" i="25"/>
  <c r="V435" i="25"/>
  <c r="V436" i="25"/>
  <c r="V437" i="25"/>
  <c r="V438" i="25"/>
  <c r="V439" i="25"/>
  <c r="V440" i="25"/>
  <c r="V441" i="25"/>
  <c r="V442" i="25"/>
  <c r="V443" i="25"/>
  <c r="V444" i="25"/>
  <c r="V445" i="25"/>
  <c r="V446" i="25"/>
  <c r="V447" i="25"/>
  <c r="V448" i="25"/>
  <c r="V449" i="25"/>
  <c r="V450" i="25"/>
  <c r="V451" i="25"/>
  <c r="V452" i="25"/>
  <c r="V453" i="25"/>
  <c r="V454" i="25"/>
  <c r="V455" i="25"/>
  <c r="V456" i="25"/>
  <c r="V457" i="25"/>
  <c r="V458" i="25"/>
  <c r="V459" i="25"/>
  <c r="V460" i="25"/>
  <c r="V461" i="25"/>
  <c r="V462" i="25"/>
  <c r="V463" i="25"/>
  <c r="V464" i="25"/>
  <c r="V465" i="25"/>
  <c r="V466" i="25"/>
  <c r="V467" i="25"/>
  <c r="V468" i="25"/>
  <c r="V469" i="25"/>
  <c r="V470" i="25"/>
  <c r="V471" i="25"/>
  <c r="V472" i="25"/>
  <c r="V473" i="25"/>
  <c r="V474" i="25"/>
  <c r="V475" i="25"/>
  <c r="V476" i="25"/>
  <c r="V477" i="25"/>
  <c r="V478" i="25"/>
  <c r="V479" i="25"/>
  <c r="V480" i="25"/>
  <c r="V481" i="25"/>
  <c r="V482" i="25"/>
  <c r="V483" i="25"/>
  <c r="V484" i="25"/>
  <c r="V485" i="25"/>
  <c r="V486" i="25"/>
  <c r="V487" i="25"/>
  <c r="V488" i="25"/>
  <c r="V489" i="25"/>
  <c r="V490" i="25"/>
  <c r="V491" i="25"/>
  <c r="V492" i="25"/>
  <c r="V493" i="25"/>
  <c r="V494" i="25"/>
  <c r="V495" i="25"/>
  <c r="V496" i="25"/>
  <c r="V497" i="25"/>
  <c r="V498" i="25"/>
  <c r="V499" i="25"/>
  <c r="V500" i="25"/>
  <c r="V501" i="25"/>
  <c r="V502" i="25"/>
  <c r="V503" i="25"/>
  <c r="V504" i="25"/>
  <c r="V505" i="25"/>
  <c r="V506" i="25"/>
  <c r="V507" i="25"/>
  <c r="V508" i="25"/>
  <c r="V509" i="25"/>
  <c r="V510" i="25"/>
  <c r="V511" i="25"/>
  <c r="V512" i="25"/>
  <c r="V513" i="25"/>
  <c r="V514" i="25"/>
  <c r="V515" i="25"/>
  <c r="V516" i="25"/>
  <c r="V517" i="25"/>
  <c r="V518" i="25"/>
  <c r="V519" i="25"/>
  <c r="V520" i="25"/>
  <c r="V521" i="25"/>
  <c r="V522" i="25"/>
  <c r="V523" i="25"/>
  <c r="V524" i="25"/>
  <c r="V525" i="25"/>
  <c r="V526" i="25"/>
  <c r="V527" i="25"/>
  <c r="V528" i="25"/>
  <c r="V529" i="25"/>
  <c r="V530" i="25"/>
  <c r="V531" i="25"/>
  <c r="V532" i="25"/>
  <c r="V533" i="25"/>
  <c r="V534" i="25"/>
  <c r="V535" i="25"/>
  <c r="V536" i="25"/>
  <c r="V537" i="25"/>
  <c r="V538" i="25"/>
  <c r="V539" i="25"/>
  <c r="V540" i="25"/>
  <c r="V541" i="25"/>
  <c r="V542" i="25"/>
  <c r="V543" i="25"/>
  <c r="V544" i="25"/>
  <c r="V545" i="25"/>
  <c r="V546" i="25"/>
  <c r="V547" i="25"/>
  <c r="V548" i="25"/>
  <c r="V549" i="25"/>
  <c r="V550" i="25"/>
  <c r="V551" i="25"/>
  <c r="V552" i="25"/>
  <c r="V553" i="25"/>
  <c r="V554" i="25"/>
  <c r="V555" i="25"/>
  <c r="V556" i="25"/>
  <c r="V557" i="25"/>
  <c r="V558" i="25"/>
  <c r="V559" i="25"/>
  <c r="V560" i="25"/>
  <c r="V561" i="25"/>
  <c r="V562" i="25"/>
  <c r="V563" i="25"/>
  <c r="V564" i="25"/>
  <c r="V565" i="25"/>
  <c r="V566" i="25"/>
  <c r="V567" i="25"/>
  <c r="V568" i="25"/>
  <c r="V569" i="25"/>
  <c r="V570" i="25"/>
  <c r="V571" i="25"/>
  <c r="V572" i="25"/>
  <c r="V573" i="25"/>
  <c r="V574" i="25"/>
  <c r="V575" i="25"/>
  <c r="V576" i="25"/>
  <c r="V577" i="25"/>
  <c r="V578" i="25"/>
  <c r="V579" i="25"/>
  <c r="V580" i="25"/>
  <c r="V581" i="25"/>
  <c r="V582" i="25"/>
  <c r="V583" i="25"/>
  <c r="V584" i="25"/>
  <c r="V585" i="25"/>
  <c r="V586" i="25"/>
  <c r="V587" i="25"/>
  <c r="V588" i="25"/>
  <c r="V589" i="25"/>
  <c r="V590" i="25"/>
  <c r="V591" i="25"/>
  <c r="V592" i="25"/>
  <c r="V593" i="25"/>
  <c r="V594" i="25"/>
  <c r="V595" i="25"/>
  <c r="V596" i="25"/>
  <c r="V597" i="25"/>
  <c r="V598" i="25"/>
  <c r="V599" i="25"/>
  <c r="V600" i="25"/>
  <c r="V601" i="25"/>
  <c r="V602" i="25"/>
  <c r="V603" i="25"/>
  <c r="V604" i="25"/>
  <c r="V605" i="25"/>
  <c r="V606" i="25"/>
  <c r="V607" i="25"/>
  <c r="V608" i="25"/>
  <c r="V609" i="25"/>
  <c r="V610" i="25"/>
  <c r="V611" i="25"/>
  <c r="V612" i="25"/>
  <c r="V613" i="25"/>
  <c r="V614" i="25"/>
  <c r="V615" i="25"/>
  <c r="V616" i="25"/>
  <c r="V617" i="25"/>
  <c r="V618" i="25"/>
  <c r="V619" i="25"/>
  <c r="V620" i="25"/>
  <c r="V621" i="25"/>
  <c r="V622" i="25"/>
  <c r="V623" i="25"/>
  <c r="V624" i="25"/>
  <c r="V625" i="25"/>
  <c r="V626" i="25"/>
  <c r="V627" i="25"/>
  <c r="V628" i="25"/>
  <c r="V629" i="25"/>
  <c r="V630" i="25"/>
  <c r="V631" i="25"/>
  <c r="V632" i="25"/>
  <c r="V633" i="25"/>
  <c r="V634" i="25"/>
  <c r="V635" i="25"/>
  <c r="V636" i="25"/>
  <c r="V637" i="25"/>
  <c r="V638" i="25"/>
  <c r="V639" i="25"/>
  <c r="V640" i="25"/>
  <c r="V641" i="25"/>
  <c r="V642" i="25"/>
  <c r="V643" i="25"/>
  <c r="V644" i="25"/>
  <c r="V645" i="25"/>
  <c r="V646" i="25"/>
  <c r="V647" i="25"/>
  <c r="V648" i="25"/>
  <c r="V649" i="25"/>
  <c r="V650" i="25"/>
  <c r="V651" i="25"/>
  <c r="V652" i="25"/>
  <c r="V653" i="25"/>
  <c r="V654" i="25"/>
  <c r="V655" i="25"/>
  <c r="V656" i="25"/>
  <c r="V657" i="25"/>
  <c r="V658" i="25"/>
  <c r="V659" i="25"/>
  <c r="V660" i="25"/>
  <c r="V661" i="25"/>
  <c r="V662" i="25"/>
  <c r="V663" i="25"/>
  <c r="V664" i="25"/>
  <c r="V665" i="25"/>
  <c r="V666" i="25"/>
  <c r="V667" i="25"/>
  <c r="V668" i="25"/>
  <c r="V669" i="25"/>
  <c r="V670" i="25"/>
  <c r="V671" i="25"/>
  <c r="V672" i="25"/>
  <c r="V673" i="25"/>
  <c r="V674" i="25"/>
  <c r="V675" i="25"/>
  <c r="V676" i="25"/>
  <c r="V677" i="25"/>
  <c r="V678" i="25"/>
  <c r="V679" i="25"/>
  <c r="V680" i="25"/>
  <c r="V681" i="25"/>
  <c r="V682" i="25"/>
  <c r="V683" i="25"/>
  <c r="V684" i="25"/>
  <c r="V685" i="25"/>
  <c r="V686" i="25"/>
  <c r="V687" i="25"/>
  <c r="V688" i="25"/>
  <c r="V689" i="25"/>
  <c r="V690" i="25"/>
  <c r="V691" i="25"/>
  <c r="V692" i="25"/>
  <c r="V693" i="25"/>
  <c r="V694" i="25"/>
  <c r="V695" i="25"/>
  <c r="V696" i="25"/>
  <c r="V697" i="25"/>
  <c r="V698" i="25"/>
  <c r="V699" i="25"/>
  <c r="V700" i="25"/>
  <c r="V701" i="25"/>
  <c r="V702" i="25"/>
  <c r="V703" i="25"/>
  <c r="V704" i="25"/>
  <c r="V705" i="25"/>
  <c r="V706" i="25"/>
  <c r="V707" i="25"/>
  <c r="V708" i="25"/>
  <c r="V709" i="25"/>
  <c r="V710" i="25"/>
  <c r="V711" i="25"/>
  <c r="V712" i="25"/>
  <c r="V713" i="25"/>
  <c r="V714" i="25"/>
  <c r="V715" i="25"/>
  <c r="V716" i="25"/>
  <c r="V717" i="25"/>
  <c r="V718" i="25"/>
  <c r="V719" i="25"/>
  <c r="V720" i="25"/>
  <c r="V721" i="25"/>
  <c r="V722" i="25"/>
  <c r="V723" i="25"/>
  <c r="V724" i="25"/>
  <c r="V725" i="25"/>
  <c r="V726" i="25"/>
  <c r="V727" i="25"/>
  <c r="V728" i="25"/>
  <c r="V729" i="25"/>
  <c r="V730" i="25"/>
  <c r="V731" i="25"/>
  <c r="V732" i="25"/>
  <c r="V733" i="25"/>
  <c r="V734" i="25"/>
  <c r="V735" i="25"/>
  <c r="V736" i="25"/>
  <c r="V737" i="25"/>
  <c r="V738" i="25"/>
  <c r="V739" i="25"/>
  <c r="V740" i="25"/>
  <c r="V741" i="25"/>
  <c r="V742" i="25"/>
  <c r="V743" i="25"/>
  <c r="V744" i="25"/>
  <c r="V745" i="25"/>
  <c r="V746" i="25"/>
  <c r="V747" i="25"/>
  <c r="V748" i="25"/>
  <c r="V749" i="25"/>
  <c r="V750" i="25"/>
  <c r="V751" i="25"/>
  <c r="V752" i="25"/>
  <c r="V753" i="25"/>
  <c r="V754" i="25"/>
  <c r="V755" i="25"/>
  <c r="V756" i="25"/>
  <c r="V757" i="25"/>
  <c r="V758" i="25"/>
  <c r="V759" i="25"/>
  <c r="V760" i="25"/>
  <c r="V761" i="25"/>
  <c r="V762" i="25"/>
  <c r="V763" i="25"/>
  <c r="V764" i="25"/>
  <c r="V765" i="25"/>
  <c r="V766" i="25"/>
  <c r="V767" i="25"/>
  <c r="V768" i="25"/>
  <c r="V769" i="25"/>
  <c r="V770" i="25"/>
  <c r="V771" i="25"/>
  <c r="V772" i="25"/>
  <c r="V773" i="25"/>
  <c r="V774" i="25"/>
  <c r="V775" i="25"/>
  <c r="V776" i="25"/>
  <c r="V777" i="25"/>
  <c r="V778" i="25"/>
  <c r="V779" i="25"/>
  <c r="V780" i="25"/>
  <c r="V781" i="25"/>
  <c r="V782" i="25"/>
  <c r="V783" i="25"/>
  <c r="V784" i="25"/>
  <c r="V785" i="25"/>
  <c r="V786" i="25"/>
  <c r="V787" i="25"/>
  <c r="V788" i="25"/>
  <c r="V789" i="25"/>
  <c r="V790" i="25"/>
  <c r="V791" i="25"/>
  <c r="V792" i="25"/>
  <c r="V793" i="25"/>
  <c r="V794" i="25"/>
  <c r="V795" i="25"/>
  <c r="V796" i="25"/>
  <c r="V797" i="25"/>
  <c r="V798" i="25"/>
  <c r="V799" i="25"/>
  <c r="V800" i="25"/>
  <c r="V801" i="25"/>
  <c r="V802" i="25"/>
  <c r="V803" i="25"/>
  <c r="V804" i="25"/>
  <c r="V805" i="25"/>
  <c r="V806" i="25"/>
  <c r="V807" i="25"/>
  <c r="V808" i="25"/>
  <c r="V809" i="25"/>
  <c r="V810" i="25"/>
  <c r="V811" i="25"/>
  <c r="V812" i="25"/>
  <c r="V813" i="25"/>
  <c r="V814" i="25"/>
  <c r="V815" i="25"/>
  <c r="V816" i="25"/>
  <c r="V817" i="25"/>
  <c r="V818" i="25"/>
  <c r="V819" i="25"/>
  <c r="V820" i="25"/>
  <c r="V821" i="25"/>
  <c r="V822" i="25"/>
  <c r="V823" i="25"/>
  <c r="V824" i="25"/>
  <c r="V825" i="25"/>
  <c r="V826" i="25"/>
  <c r="V827" i="25"/>
  <c r="V828" i="25"/>
  <c r="V829" i="25"/>
  <c r="V830" i="25"/>
  <c r="V831" i="25"/>
  <c r="V832" i="25"/>
  <c r="V833" i="25"/>
  <c r="V834" i="25"/>
  <c r="V835" i="25"/>
  <c r="V836" i="25"/>
  <c r="V837" i="25"/>
  <c r="V838" i="25"/>
  <c r="V839" i="25"/>
  <c r="V840" i="25"/>
  <c r="V841" i="25"/>
  <c r="V842" i="25"/>
  <c r="V843" i="25"/>
  <c r="V844" i="25"/>
  <c r="V845" i="25"/>
  <c r="V846" i="25"/>
  <c r="V847" i="25"/>
  <c r="V848" i="25"/>
  <c r="V849" i="25"/>
  <c r="V850" i="25"/>
  <c r="V851" i="25"/>
  <c r="V852" i="25"/>
  <c r="V853" i="25"/>
  <c r="V854" i="25"/>
  <c r="V855" i="25"/>
  <c r="V856" i="25"/>
  <c r="V857" i="25"/>
  <c r="V858" i="25"/>
  <c r="V859" i="25"/>
  <c r="V860" i="25"/>
  <c r="V861" i="25"/>
  <c r="V862" i="25"/>
  <c r="V863" i="25"/>
  <c r="V864" i="25"/>
  <c r="V865" i="25"/>
  <c r="V866" i="25"/>
  <c r="V867" i="25"/>
  <c r="V868" i="25"/>
  <c r="V869" i="25"/>
  <c r="V870" i="25"/>
  <c r="V871" i="25"/>
  <c r="V872" i="25"/>
  <c r="V873" i="25"/>
  <c r="V874" i="25"/>
  <c r="V875" i="25"/>
  <c r="V876" i="25"/>
  <c r="V877" i="25"/>
  <c r="V878" i="25"/>
  <c r="V879" i="25"/>
  <c r="V880" i="25"/>
  <c r="V881" i="25"/>
  <c r="V2" i="25"/>
  <c r="J493" i="31"/>
  <c r="AI663" i="31"/>
  <c r="AI664" i="31"/>
  <c r="AI665" i="31"/>
  <c r="AI666" i="31"/>
  <c r="AI667" i="31"/>
  <c r="AI668" i="31"/>
  <c r="AI669" i="31"/>
  <c r="AI670" i="31"/>
  <c r="AI671" i="31"/>
  <c r="AI672" i="31"/>
  <c r="AI673" i="31"/>
  <c r="AI674" i="31"/>
  <c r="AI675" i="31"/>
  <c r="AI676" i="31"/>
  <c r="AI677" i="31"/>
  <c r="AI678" i="31"/>
  <c r="AI679" i="31"/>
  <c r="AI680" i="31"/>
  <c r="AI681" i="31"/>
  <c r="AI682" i="31"/>
  <c r="AI683" i="31"/>
  <c r="AI684" i="31"/>
  <c r="AI685" i="31"/>
  <c r="AI686" i="31"/>
  <c r="AI687" i="31"/>
  <c r="AI688" i="31"/>
  <c r="AI689" i="31"/>
  <c r="AI690" i="31"/>
  <c r="AI691" i="31"/>
  <c r="AI692" i="31"/>
  <c r="AI693" i="31"/>
  <c r="AI694" i="31"/>
  <c r="AI695" i="31"/>
  <c r="AI696" i="31"/>
  <c r="AI697" i="31"/>
  <c r="AI698" i="31"/>
  <c r="AI699" i="31"/>
  <c r="AI700" i="31"/>
  <c r="AI701" i="31"/>
  <c r="AI702" i="31"/>
  <c r="AI703" i="31"/>
  <c r="AI704" i="31"/>
  <c r="AI705" i="31"/>
  <c r="AI706" i="31"/>
  <c r="AI707" i="31"/>
  <c r="AI708" i="31"/>
  <c r="AI709" i="31"/>
  <c r="AI710" i="31"/>
  <c r="AI711" i="31"/>
  <c r="AI712" i="31"/>
  <c r="AI713" i="31"/>
  <c r="AI714" i="31"/>
  <c r="AI715" i="31"/>
  <c r="AI716" i="31"/>
  <c r="AI717" i="31"/>
  <c r="AI718" i="31"/>
  <c r="AI719" i="31"/>
  <c r="AI720" i="31"/>
  <c r="AI721" i="31"/>
  <c r="AI722" i="31"/>
  <c r="AI723" i="31"/>
  <c r="AI724" i="31"/>
  <c r="AI725" i="31"/>
  <c r="AI726" i="31"/>
  <c r="AI727" i="31"/>
  <c r="AI728" i="31"/>
  <c r="AI729" i="31"/>
  <c r="AI730" i="31"/>
  <c r="AI731" i="31"/>
  <c r="AI732" i="31"/>
  <c r="AI733" i="31"/>
  <c r="AI734" i="31"/>
  <c r="AI735" i="31"/>
  <c r="AI736" i="31"/>
  <c r="AI737" i="31"/>
  <c r="AI738" i="31"/>
  <c r="AI739" i="31"/>
  <c r="AI740" i="31"/>
  <c r="AI741" i="31"/>
  <c r="AI742" i="31"/>
  <c r="AI743" i="31"/>
  <c r="AI744" i="31"/>
  <c r="AI745" i="31"/>
  <c r="AI746" i="31"/>
  <c r="AI747" i="31"/>
  <c r="AI748" i="31"/>
  <c r="AI749" i="31"/>
  <c r="AI750" i="31"/>
  <c r="AI751" i="31"/>
  <c r="AI752" i="31"/>
  <c r="AI753" i="31"/>
  <c r="AI754" i="31"/>
  <c r="AI755" i="31"/>
  <c r="AI756" i="31"/>
  <c r="AI757" i="31"/>
  <c r="AI758" i="31"/>
  <c r="AI759" i="31"/>
  <c r="AI760" i="31"/>
  <c r="AI761" i="31"/>
  <c r="AI762" i="31"/>
  <c r="AI763" i="31"/>
  <c r="AI764" i="31"/>
  <c r="AI765" i="31"/>
  <c r="AI766" i="31"/>
  <c r="AI767" i="31"/>
  <c r="AI768" i="31"/>
  <c r="AI769" i="31"/>
  <c r="AI770" i="31"/>
  <c r="AI771" i="31"/>
  <c r="AI772" i="31"/>
  <c r="AI773" i="31"/>
  <c r="AI774" i="31"/>
  <c r="AI775" i="31"/>
  <c r="AI776" i="31"/>
  <c r="AI777" i="31"/>
  <c r="AI778" i="31"/>
  <c r="AI779" i="31"/>
  <c r="AI780" i="31"/>
  <c r="AI781" i="31"/>
  <c r="AI782" i="31"/>
  <c r="AI783" i="31"/>
  <c r="AI784" i="31"/>
  <c r="AI785" i="31"/>
  <c r="AI786" i="31"/>
  <c r="AI787" i="31"/>
  <c r="AI788" i="31"/>
  <c r="AI789" i="31"/>
  <c r="AI790" i="31"/>
  <c r="AI791" i="31"/>
  <c r="AI792" i="31"/>
  <c r="AI793" i="31"/>
  <c r="AI794" i="31"/>
  <c r="AI795" i="31"/>
  <c r="AI796" i="31"/>
  <c r="AI797" i="31"/>
  <c r="AI798" i="31"/>
  <c r="AI799" i="31"/>
  <c r="AI800" i="31"/>
  <c r="AI801" i="31"/>
  <c r="AI802" i="31"/>
  <c r="AI803" i="31"/>
  <c r="AI804" i="31"/>
  <c r="AI805" i="31"/>
  <c r="AI806" i="31"/>
  <c r="AI807" i="31"/>
  <c r="AI808" i="31"/>
  <c r="AI809" i="31"/>
  <c r="AI810" i="31"/>
  <c r="AI811" i="31"/>
  <c r="AI812" i="31"/>
  <c r="AI813" i="31"/>
  <c r="AI814" i="31"/>
  <c r="AI815" i="31"/>
  <c r="AI816" i="31"/>
  <c r="AI817" i="31"/>
  <c r="AI818" i="31"/>
  <c r="AI819" i="31"/>
  <c r="AI820" i="31"/>
  <c r="AI821" i="31"/>
  <c r="AI822" i="31"/>
  <c r="AI823" i="31"/>
  <c r="AI824" i="31"/>
  <c r="AI825" i="31"/>
  <c r="AI826" i="31"/>
  <c r="AI827" i="31"/>
  <c r="AI828" i="31"/>
  <c r="AI829" i="31"/>
  <c r="AI830" i="31"/>
  <c r="AI831" i="31"/>
  <c r="AI832" i="31"/>
  <c r="AI833" i="31"/>
  <c r="AI834" i="31"/>
  <c r="AI835" i="31"/>
  <c r="AI836" i="31"/>
  <c r="AI837" i="31"/>
  <c r="AI838" i="31"/>
  <c r="AI839" i="31"/>
  <c r="AI840" i="31"/>
  <c r="AI841" i="31"/>
  <c r="AI842" i="31"/>
  <c r="AI843" i="31"/>
  <c r="AI844" i="31"/>
  <c r="AI845" i="31"/>
  <c r="AI846" i="31"/>
  <c r="AI847" i="31"/>
  <c r="AI848" i="31"/>
  <c r="AI849" i="31"/>
  <c r="AI850" i="31"/>
  <c r="AI851" i="31"/>
  <c r="AI852" i="31"/>
  <c r="AI853" i="31"/>
  <c r="AI854" i="31"/>
  <c r="AI855" i="31"/>
  <c r="AI856" i="31"/>
  <c r="AI857" i="31"/>
  <c r="AI858" i="31"/>
  <c r="AI859" i="31"/>
  <c r="AI860" i="31"/>
  <c r="AI861" i="31"/>
  <c r="AI862" i="31"/>
  <c r="AI863" i="31"/>
  <c r="AI864" i="31"/>
  <c r="AI865" i="31"/>
  <c r="AI866" i="31"/>
  <c r="AI867" i="31"/>
  <c r="AI868" i="31"/>
  <c r="AI869" i="31"/>
  <c r="AI870" i="31"/>
  <c r="AI871" i="31"/>
  <c r="AI872" i="31"/>
  <c r="AI873" i="31"/>
  <c r="AI874" i="31"/>
  <c r="AI875" i="31"/>
  <c r="AI876" i="31"/>
  <c r="AI877" i="31"/>
  <c r="AI878" i="31"/>
  <c r="AI879" i="31"/>
  <c r="AI880" i="31"/>
  <c r="AI881" i="31"/>
  <c r="AI662" i="31"/>
  <c r="AI443" i="31"/>
  <c r="AI444" i="31"/>
  <c r="AI445" i="31"/>
  <c r="AI446" i="31"/>
  <c r="AI447" i="31"/>
  <c r="AI448" i="31"/>
  <c r="AI449" i="31"/>
  <c r="AI450" i="31"/>
  <c r="AI451" i="31"/>
  <c r="AI452" i="31"/>
  <c r="AI453" i="31"/>
  <c r="AI454" i="31"/>
  <c r="AI455" i="31"/>
  <c r="AI456" i="31"/>
  <c r="AI457" i="31"/>
  <c r="AI458" i="31"/>
  <c r="AI459" i="31"/>
  <c r="AI460" i="31"/>
  <c r="AI461" i="31"/>
  <c r="AI462" i="31"/>
  <c r="AI463" i="31"/>
  <c r="AI464" i="31"/>
  <c r="AI465" i="31"/>
  <c r="AI466" i="31"/>
  <c r="AI467" i="31"/>
  <c r="AI468" i="31"/>
  <c r="AI469" i="31"/>
  <c r="AI470" i="31"/>
  <c r="AI471" i="31"/>
  <c r="AI472" i="31"/>
  <c r="AI473" i="31"/>
  <c r="AI474" i="31"/>
  <c r="AI475" i="31"/>
  <c r="AI476" i="31"/>
  <c r="AI477" i="31"/>
  <c r="AI478" i="31"/>
  <c r="AI479" i="31"/>
  <c r="AI480" i="31"/>
  <c r="AI481" i="31"/>
  <c r="AI482" i="31"/>
  <c r="AI483" i="31"/>
  <c r="AI484" i="31"/>
  <c r="AI485" i="31"/>
  <c r="AI486" i="31"/>
  <c r="AI487" i="31"/>
  <c r="AI488" i="31"/>
  <c r="AI489" i="31"/>
  <c r="AI490" i="31"/>
  <c r="AI491" i="31"/>
  <c r="AI492" i="31"/>
  <c r="AI493" i="31"/>
  <c r="AI494" i="31"/>
  <c r="AI495" i="31"/>
  <c r="AI496" i="31"/>
  <c r="AI497" i="31"/>
  <c r="AI498" i="31"/>
  <c r="AI499" i="31"/>
  <c r="AI500" i="31"/>
  <c r="AI501" i="31"/>
  <c r="AI502" i="31"/>
  <c r="AI503" i="31"/>
  <c r="AI504" i="31"/>
  <c r="AI505" i="31"/>
  <c r="AI506" i="31"/>
  <c r="AI507" i="31"/>
  <c r="AI508" i="31"/>
  <c r="AI509" i="31"/>
  <c r="AI510" i="31"/>
  <c r="AI511" i="31"/>
  <c r="AI512" i="31"/>
  <c r="AI513" i="31"/>
  <c r="AI514" i="31"/>
  <c r="AI515" i="31"/>
  <c r="AI516" i="31"/>
  <c r="AI517" i="31"/>
  <c r="AI518" i="31"/>
  <c r="AI519" i="31"/>
  <c r="AI520" i="31"/>
  <c r="AI521" i="31"/>
  <c r="AI522" i="31"/>
  <c r="AI523" i="31"/>
  <c r="AI524" i="31"/>
  <c r="AI525" i="31"/>
  <c r="AI526" i="31"/>
  <c r="AI527" i="31"/>
  <c r="AI528" i="31"/>
  <c r="AI529" i="31"/>
  <c r="AI530" i="31"/>
  <c r="AI531" i="31"/>
  <c r="AI532" i="31"/>
  <c r="AI533" i="31"/>
  <c r="AI534" i="31"/>
  <c r="AI535" i="31"/>
  <c r="AI536" i="31"/>
  <c r="AI537" i="31"/>
  <c r="AI538" i="31"/>
  <c r="AI539" i="31"/>
  <c r="AI540" i="31"/>
  <c r="AI541" i="31"/>
  <c r="AI542" i="31"/>
  <c r="AI543" i="31"/>
  <c r="AI544" i="31"/>
  <c r="AI545" i="31"/>
  <c r="AI546" i="31"/>
  <c r="AI547" i="31"/>
  <c r="AI548" i="31"/>
  <c r="AI549" i="31"/>
  <c r="AI550" i="31"/>
  <c r="AI551" i="31"/>
  <c r="AI552" i="31"/>
  <c r="AI553" i="31"/>
  <c r="AI554" i="31"/>
  <c r="AI555" i="31"/>
  <c r="AI556" i="31"/>
  <c r="AI557" i="31"/>
  <c r="AI558" i="31"/>
  <c r="AI559" i="31"/>
  <c r="AI560" i="31"/>
  <c r="AI561" i="31"/>
  <c r="AI562" i="31"/>
  <c r="AI563" i="31"/>
  <c r="AI564" i="31"/>
  <c r="AI565" i="31"/>
  <c r="AI566" i="31"/>
  <c r="AI567" i="31"/>
  <c r="AI568" i="31"/>
  <c r="AI569" i="31"/>
  <c r="AI570" i="31"/>
  <c r="AI571" i="31"/>
  <c r="AI572" i="31"/>
  <c r="AI573" i="31"/>
  <c r="AI574" i="31"/>
  <c r="AI575" i="31"/>
  <c r="AI576" i="31"/>
  <c r="AI577" i="31"/>
  <c r="AI578" i="31"/>
  <c r="AI579" i="31"/>
  <c r="AI580" i="31"/>
  <c r="AI581" i="31"/>
  <c r="AI582" i="31"/>
  <c r="AI583" i="31"/>
  <c r="AI584" i="31"/>
  <c r="AI585" i="31"/>
  <c r="AI586" i="31"/>
  <c r="AI587" i="31"/>
  <c r="AI588" i="31"/>
  <c r="AI589" i="31"/>
  <c r="AI590" i="31"/>
  <c r="AI591" i="31"/>
  <c r="AI592" i="31"/>
  <c r="AI593" i="31"/>
  <c r="AI594" i="31"/>
  <c r="AI595" i="31"/>
  <c r="AI596" i="31"/>
  <c r="AI597" i="31"/>
  <c r="AI598" i="31"/>
  <c r="AI599" i="31"/>
  <c r="AI600" i="31"/>
  <c r="AI601" i="31"/>
  <c r="AI602" i="31"/>
  <c r="AI603" i="31"/>
  <c r="AI604" i="31"/>
  <c r="AI605" i="31"/>
  <c r="AI606" i="31"/>
  <c r="AI607" i="31"/>
  <c r="AI608" i="31"/>
  <c r="AI609" i="31"/>
  <c r="AI610" i="31"/>
  <c r="AI611" i="31"/>
  <c r="AI612" i="31"/>
  <c r="AI613" i="31"/>
  <c r="AI614" i="31"/>
  <c r="AI615" i="31"/>
  <c r="AI616" i="31"/>
  <c r="AI617" i="31"/>
  <c r="AI618" i="31"/>
  <c r="AI619" i="31"/>
  <c r="AI620" i="31"/>
  <c r="AI621" i="31"/>
  <c r="AI622" i="31"/>
  <c r="AI623" i="31"/>
  <c r="AI624" i="31"/>
  <c r="AI625" i="31"/>
  <c r="AI626" i="31"/>
  <c r="AI627" i="31"/>
  <c r="AI628" i="31"/>
  <c r="AI629" i="31"/>
  <c r="AI630" i="31"/>
  <c r="AI631" i="31"/>
  <c r="AI632" i="31"/>
  <c r="AI633" i="31"/>
  <c r="AI634" i="31"/>
  <c r="AI635" i="31"/>
  <c r="AI636" i="31"/>
  <c r="AI637" i="31"/>
  <c r="AI638" i="31"/>
  <c r="AI639" i="31"/>
  <c r="AI640" i="31"/>
  <c r="AI641" i="31"/>
  <c r="AI642" i="31"/>
  <c r="AI643" i="31"/>
  <c r="AI644" i="31"/>
  <c r="AI645" i="31"/>
  <c r="AI646" i="31"/>
  <c r="AI647" i="31"/>
  <c r="AI648" i="31"/>
  <c r="AI649" i="31"/>
  <c r="AI650" i="31"/>
  <c r="AI651" i="31"/>
  <c r="AI652" i="31"/>
  <c r="AI653" i="31"/>
  <c r="AI654" i="31"/>
  <c r="AI655" i="31"/>
  <c r="AI656" i="31"/>
  <c r="AI657" i="31"/>
  <c r="AI658" i="31"/>
  <c r="AI659" i="31"/>
  <c r="AI660" i="31"/>
  <c r="AI661" i="31"/>
  <c r="AI442" i="31"/>
  <c r="AI223" i="31"/>
  <c r="AI224" i="31"/>
  <c r="AI225" i="31"/>
  <c r="AI226" i="31"/>
  <c r="AI227" i="31"/>
  <c r="AI228" i="31"/>
  <c r="AI229" i="31"/>
  <c r="AI230" i="31"/>
  <c r="AI231" i="31"/>
  <c r="AI232" i="31"/>
  <c r="AI233" i="31"/>
  <c r="AI234" i="31"/>
  <c r="AI235" i="31"/>
  <c r="AI236" i="31"/>
  <c r="AI237" i="31"/>
  <c r="AI238" i="31"/>
  <c r="AI239" i="31"/>
  <c r="AI240" i="31"/>
  <c r="AI241" i="31"/>
  <c r="AI242" i="31"/>
  <c r="AI243" i="31"/>
  <c r="AI244" i="31"/>
  <c r="AI245" i="31"/>
  <c r="AI246" i="31"/>
  <c r="AI247" i="31"/>
  <c r="AI248" i="31"/>
  <c r="AI249" i="31"/>
  <c r="AI250" i="31"/>
  <c r="AI251" i="31"/>
  <c r="AI252" i="31"/>
  <c r="AI253" i="31"/>
  <c r="AI254" i="31"/>
  <c r="AI255" i="31"/>
  <c r="AI256" i="31"/>
  <c r="AI257" i="31"/>
  <c r="AI258" i="31"/>
  <c r="AI259" i="31"/>
  <c r="AI260" i="31"/>
  <c r="AI261" i="31"/>
  <c r="AI262" i="31"/>
  <c r="AI263" i="31"/>
  <c r="AI264" i="31"/>
  <c r="AI265" i="31"/>
  <c r="AI266" i="31"/>
  <c r="AI267" i="31"/>
  <c r="AI268" i="31"/>
  <c r="AI269" i="31"/>
  <c r="AI270" i="31"/>
  <c r="AI271" i="31"/>
  <c r="AI272" i="31"/>
  <c r="AI273" i="31"/>
  <c r="AI274" i="31"/>
  <c r="AI275" i="31"/>
  <c r="AI276" i="31"/>
  <c r="AI277" i="31"/>
  <c r="AI278" i="31"/>
  <c r="AI279" i="31"/>
  <c r="AI280" i="31"/>
  <c r="AI281" i="31"/>
  <c r="AI282" i="31"/>
  <c r="AI283" i="31"/>
  <c r="AI284" i="31"/>
  <c r="AI285" i="31"/>
  <c r="AI286" i="31"/>
  <c r="AI287" i="31"/>
  <c r="AI288" i="31"/>
  <c r="AI289" i="31"/>
  <c r="AI290" i="31"/>
  <c r="AI291" i="31"/>
  <c r="AI292" i="31"/>
  <c r="AI293" i="31"/>
  <c r="AI294" i="31"/>
  <c r="AI295" i="31"/>
  <c r="AI296" i="31"/>
  <c r="AI297" i="31"/>
  <c r="AI298" i="31"/>
  <c r="AI299" i="31"/>
  <c r="AI300" i="31"/>
  <c r="AI301" i="31"/>
  <c r="AI302" i="31"/>
  <c r="AI303" i="31"/>
  <c r="AI304" i="31"/>
  <c r="AI305" i="31"/>
  <c r="AI306" i="31"/>
  <c r="AI307" i="31"/>
  <c r="AI308" i="31"/>
  <c r="AI309" i="31"/>
  <c r="AI310" i="31"/>
  <c r="AI311" i="31"/>
  <c r="AI312" i="31"/>
  <c r="AI313" i="31"/>
  <c r="AI314" i="31"/>
  <c r="AI315" i="31"/>
  <c r="AI316" i="31"/>
  <c r="AI317" i="31"/>
  <c r="AI318" i="31"/>
  <c r="AI319" i="31"/>
  <c r="AI320" i="31"/>
  <c r="AI321" i="31"/>
  <c r="AI322" i="31"/>
  <c r="AI323" i="31"/>
  <c r="AI324" i="31"/>
  <c r="AI325" i="31"/>
  <c r="AI326" i="31"/>
  <c r="AI327" i="31"/>
  <c r="AI328" i="31"/>
  <c r="AI329" i="31"/>
  <c r="AI330" i="31"/>
  <c r="AI331" i="31"/>
  <c r="AI332" i="31"/>
  <c r="AI333" i="31"/>
  <c r="AI334" i="31"/>
  <c r="AI335" i="31"/>
  <c r="AI336" i="31"/>
  <c r="AI337" i="31"/>
  <c r="AI338" i="31"/>
  <c r="AI339" i="31"/>
  <c r="AI340" i="31"/>
  <c r="AI341" i="31"/>
  <c r="AI342" i="31"/>
  <c r="AI343" i="31"/>
  <c r="AI344" i="31"/>
  <c r="AI345" i="31"/>
  <c r="AI346" i="31"/>
  <c r="AI347" i="31"/>
  <c r="AI348" i="31"/>
  <c r="AI349" i="31"/>
  <c r="AI350" i="31"/>
  <c r="AI351" i="31"/>
  <c r="AI352" i="31"/>
  <c r="AI353" i="31"/>
  <c r="AI354" i="31"/>
  <c r="AI355" i="31"/>
  <c r="AI356" i="31"/>
  <c r="AI357" i="31"/>
  <c r="AI358" i="31"/>
  <c r="AI359" i="31"/>
  <c r="AI360" i="31"/>
  <c r="AI361" i="31"/>
  <c r="AI362" i="31"/>
  <c r="AI363" i="31"/>
  <c r="AI364" i="31"/>
  <c r="AI365" i="31"/>
  <c r="AI366" i="31"/>
  <c r="AI367" i="31"/>
  <c r="AI368" i="31"/>
  <c r="AI369" i="31"/>
  <c r="AI370" i="31"/>
  <c r="AI371" i="31"/>
  <c r="AI372" i="31"/>
  <c r="AI373" i="31"/>
  <c r="AI374" i="31"/>
  <c r="AI375" i="31"/>
  <c r="AI376" i="31"/>
  <c r="AI377" i="31"/>
  <c r="AI378" i="31"/>
  <c r="AI379" i="31"/>
  <c r="AI380" i="31"/>
  <c r="AI381" i="31"/>
  <c r="AI382" i="31"/>
  <c r="AI383" i="31"/>
  <c r="AI384" i="31"/>
  <c r="AI385" i="31"/>
  <c r="AI386" i="31"/>
  <c r="AI387" i="31"/>
  <c r="AI388" i="31"/>
  <c r="AI389" i="31"/>
  <c r="AI390" i="31"/>
  <c r="AI391" i="31"/>
  <c r="AI392" i="31"/>
  <c r="AI393" i="31"/>
  <c r="AI394" i="31"/>
  <c r="AI395" i="31"/>
  <c r="AI396" i="31"/>
  <c r="AI397" i="31"/>
  <c r="AI398" i="31"/>
  <c r="AI399" i="31"/>
  <c r="AI400" i="31"/>
  <c r="AI401" i="31"/>
  <c r="AI402" i="31"/>
  <c r="AI403" i="31"/>
  <c r="AI404" i="31"/>
  <c r="AI405" i="31"/>
  <c r="AI406" i="31"/>
  <c r="AI407" i="31"/>
  <c r="AI408" i="31"/>
  <c r="AI409" i="31"/>
  <c r="AI410" i="31"/>
  <c r="AI411" i="31"/>
  <c r="AI412" i="31"/>
  <c r="AI413" i="31"/>
  <c r="AI414" i="31"/>
  <c r="AI415" i="31"/>
  <c r="AI416" i="31"/>
  <c r="AI417" i="31"/>
  <c r="AI418" i="31"/>
  <c r="AI419" i="31"/>
  <c r="AI420" i="31"/>
  <c r="AI421" i="31"/>
  <c r="AI422" i="31"/>
  <c r="AI423" i="31"/>
  <c r="AI424" i="31"/>
  <c r="AI425" i="31"/>
  <c r="AI426" i="31"/>
  <c r="AI427" i="31"/>
  <c r="AI428" i="31"/>
  <c r="AI429" i="31"/>
  <c r="AI430" i="31"/>
  <c r="AI431" i="31"/>
  <c r="AI432" i="31"/>
  <c r="AI433" i="31"/>
  <c r="AI434" i="31"/>
  <c r="AI435" i="31"/>
  <c r="AI436" i="31"/>
  <c r="AI437" i="31"/>
  <c r="AI438" i="31"/>
  <c r="AI439" i="31"/>
  <c r="AI440" i="31"/>
  <c r="AI441" i="31"/>
  <c r="AI222" i="31"/>
  <c r="AH663" i="31"/>
  <c r="AH664" i="31"/>
  <c r="AH665" i="31"/>
  <c r="AH666" i="31"/>
  <c r="AH667" i="31"/>
  <c r="AH668" i="31"/>
  <c r="AH669" i="31"/>
  <c r="AH670" i="31"/>
  <c r="AH671" i="31"/>
  <c r="AH672" i="31"/>
  <c r="AH673" i="31"/>
  <c r="AH674" i="31"/>
  <c r="AH675" i="31"/>
  <c r="AH676" i="31"/>
  <c r="AH677" i="31"/>
  <c r="AH678" i="31"/>
  <c r="AH679" i="31"/>
  <c r="AH680" i="31"/>
  <c r="AH681" i="31"/>
  <c r="AH682" i="31"/>
  <c r="AH683" i="31"/>
  <c r="AH684" i="31"/>
  <c r="AH685" i="31"/>
  <c r="AH686" i="31"/>
  <c r="AH687" i="31"/>
  <c r="AH688" i="31"/>
  <c r="AH689" i="31"/>
  <c r="AH690" i="31"/>
  <c r="AH691" i="31"/>
  <c r="AH692" i="31"/>
  <c r="AH693" i="31"/>
  <c r="AH694" i="31"/>
  <c r="AH695" i="31"/>
  <c r="AH696" i="31"/>
  <c r="AH697" i="31"/>
  <c r="AH698" i="31"/>
  <c r="AH699" i="31"/>
  <c r="AH700" i="31"/>
  <c r="AH701" i="31"/>
  <c r="AH702" i="31"/>
  <c r="AH703" i="31"/>
  <c r="AH704" i="31"/>
  <c r="AH705" i="31"/>
  <c r="AH706" i="31"/>
  <c r="AH707" i="31"/>
  <c r="AH708" i="31"/>
  <c r="AH709" i="31"/>
  <c r="AH710" i="31"/>
  <c r="AH711" i="31"/>
  <c r="AH712" i="31"/>
  <c r="AH713" i="31"/>
  <c r="AH714" i="31"/>
  <c r="AH715" i="31"/>
  <c r="AH716" i="31"/>
  <c r="AH717" i="31"/>
  <c r="AH718" i="31"/>
  <c r="AH719" i="31"/>
  <c r="AH720" i="31"/>
  <c r="AH721" i="31"/>
  <c r="AH722" i="31"/>
  <c r="AH723" i="31"/>
  <c r="AH724" i="31"/>
  <c r="AH725" i="31"/>
  <c r="AH726" i="31"/>
  <c r="AH727" i="31"/>
  <c r="AH728" i="31"/>
  <c r="AH729" i="31"/>
  <c r="AH730" i="31"/>
  <c r="AH731" i="31"/>
  <c r="AH732" i="31"/>
  <c r="AH733" i="31"/>
  <c r="AH734" i="31"/>
  <c r="AH735" i="31"/>
  <c r="AH736" i="31"/>
  <c r="AH737" i="31"/>
  <c r="AH738" i="31"/>
  <c r="AH739" i="31"/>
  <c r="AH740" i="31"/>
  <c r="AH741" i="31"/>
  <c r="AH742" i="31"/>
  <c r="AH743" i="31"/>
  <c r="AH744" i="31"/>
  <c r="AH745" i="31"/>
  <c r="AH746" i="31"/>
  <c r="AH747" i="31"/>
  <c r="AH748" i="31"/>
  <c r="AH749" i="31"/>
  <c r="AH750" i="31"/>
  <c r="AH751" i="31"/>
  <c r="AH752" i="31"/>
  <c r="AH753" i="31"/>
  <c r="AH754" i="31"/>
  <c r="AH755" i="31"/>
  <c r="AH756" i="31"/>
  <c r="AH757" i="31"/>
  <c r="AH758" i="31"/>
  <c r="AH759" i="31"/>
  <c r="AH760" i="31"/>
  <c r="AH761" i="31"/>
  <c r="AH762" i="31"/>
  <c r="AH763" i="31"/>
  <c r="AH764" i="31"/>
  <c r="AH765" i="31"/>
  <c r="AH766" i="31"/>
  <c r="AH767" i="31"/>
  <c r="AH768" i="31"/>
  <c r="AH769" i="31"/>
  <c r="AH770" i="31"/>
  <c r="AH771" i="31"/>
  <c r="AH772" i="31"/>
  <c r="AH773" i="31"/>
  <c r="AH774" i="31"/>
  <c r="AH775" i="31"/>
  <c r="AH776" i="31"/>
  <c r="AH777" i="31"/>
  <c r="AH778" i="31"/>
  <c r="AH779" i="31"/>
  <c r="AH780" i="31"/>
  <c r="AH781" i="31"/>
  <c r="AH782" i="31"/>
  <c r="AH783" i="31"/>
  <c r="AH784" i="31"/>
  <c r="AH785" i="31"/>
  <c r="AH786" i="31"/>
  <c r="AH787" i="31"/>
  <c r="AH788" i="31"/>
  <c r="AH789" i="31"/>
  <c r="AH790" i="31"/>
  <c r="AH791" i="31"/>
  <c r="AH792" i="31"/>
  <c r="AH793" i="31"/>
  <c r="AH794" i="31"/>
  <c r="AH795" i="31"/>
  <c r="AH796" i="31"/>
  <c r="AH797" i="31"/>
  <c r="AH798" i="31"/>
  <c r="AH799" i="31"/>
  <c r="AH800" i="31"/>
  <c r="AH801" i="31"/>
  <c r="AH802" i="31"/>
  <c r="AH803" i="31"/>
  <c r="AH804" i="31"/>
  <c r="AH805" i="31"/>
  <c r="AH806" i="31"/>
  <c r="AH807" i="31"/>
  <c r="AH808" i="31"/>
  <c r="AH809" i="31"/>
  <c r="AH810" i="31"/>
  <c r="AH811" i="31"/>
  <c r="AH812" i="31"/>
  <c r="AH813" i="31"/>
  <c r="AH814" i="31"/>
  <c r="AH815" i="31"/>
  <c r="AH816" i="31"/>
  <c r="AH817" i="31"/>
  <c r="AH818" i="31"/>
  <c r="AH819" i="31"/>
  <c r="AH820" i="31"/>
  <c r="AH821" i="31"/>
  <c r="AH822" i="31"/>
  <c r="AH823" i="31"/>
  <c r="AH824" i="31"/>
  <c r="AH825" i="31"/>
  <c r="AH826" i="31"/>
  <c r="AH827" i="31"/>
  <c r="AH828" i="31"/>
  <c r="AH829" i="31"/>
  <c r="AH830" i="31"/>
  <c r="AH831" i="31"/>
  <c r="AH832" i="31"/>
  <c r="AH833" i="31"/>
  <c r="AH834" i="31"/>
  <c r="AH835" i="31"/>
  <c r="AH836" i="31"/>
  <c r="AH837" i="31"/>
  <c r="AH838" i="31"/>
  <c r="AH839" i="31"/>
  <c r="AH840" i="31"/>
  <c r="AH841" i="31"/>
  <c r="AH842" i="31"/>
  <c r="AH843" i="31"/>
  <c r="AH844" i="31"/>
  <c r="AH845" i="31"/>
  <c r="AH846" i="31"/>
  <c r="AH847" i="31"/>
  <c r="AH848" i="31"/>
  <c r="AH849" i="31"/>
  <c r="AH850" i="31"/>
  <c r="AH851" i="31"/>
  <c r="AH852" i="31"/>
  <c r="AH853" i="31"/>
  <c r="AH854" i="31"/>
  <c r="AH855" i="31"/>
  <c r="AH856" i="31"/>
  <c r="AH857" i="31"/>
  <c r="AH858" i="31"/>
  <c r="AH859" i="31"/>
  <c r="AH860" i="31"/>
  <c r="AH861" i="31"/>
  <c r="AH862" i="31"/>
  <c r="AH863" i="31"/>
  <c r="AH864" i="31"/>
  <c r="AH865" i="31"/>
  <c r="AH866" i="31"/>
  <c r="AH867" i="31"/>
  <c r="AH868" i="31"/>
  <c r="AH869" i="31"/>
  <c r="AH870" i="31"/>
  <c r="AH871" i="31"/>
  <c r="AH872" i="31"/>
  <c r="AH873" i="31"/>
  <c r="AH874" i="31"/>
  <c r="AH875" i="31"/>
  <c r="AH876" i="31"/>
  <c r="AH877" i="31"/>
  <c r="AH878" i="31"/>
  <c r="AH879" i="31"/>
  <c r="AH880" i="31"/>
  <c r="AH881" i="31"/>
  <c r="AH662" i="31"/>
  <c r="AH443" i="31"/>
  <c r="AH444" i="31"/>
  <c r="AH445" i="31"/>
  <c r="AH446" i="31"/>
  <c r="AH447" i="31"/>
  <c r="AH448" i="31"/>
  <c r="AH449" i="31"/>
  <c r="AH450" i="31"/>
  <c r="AH451" i="31"/>
  <c r="AH452" i="31"/>
  <c r="AH453" i="31"/>
  <c r="AH454" i="31"/>
  <c r="AH455" i="31"/>
  <c r="AH456" i="31"/>
  <c r="AH457" i="31"/>
  <c r="AH458" i="31"/>
  <c r="AH459" i="31"/>
  <c r="AH460" i="31"/>
  <c r="AH461" i="31"/>
  <c r="AH462" i="31"/>
  <c r="AH463" i="31"/>
  <c r="AH464" i="31"/>
  <c r="AH465" i="31"/>
  <c r="AH466" i="31"/>
  <c r="AH467" i="31"/>
  <c r="AH468" i="31"/>
  <c r="AH469" i="31"/>
  <c r="AH470" i="31"/>
  <c r="AH471" i="31"/>
  <c r="AH472" i="31"/>
  <c r="AH473" i="31"/>
  <c r="AH474" i="31"/>
  <c r="AH475" i="31"/>
  <c r="AH476" i="31"/>
  <c r="AH477" i="31"/>
  <c r="AH478" i="31"/>
  <c r="AH479" i="31"/>
  <c r="AH480" i="31"/>
  <c r="AH481" i="31"/>
  <c r="AH482" i="31"/>
  <c r="AH483" i="31"/>
  <c r="AH484" i="31"/>
  <c r="AH485" i="31"/>
  <c r="AH486" i="31"/>
  <c r="AH487" i="31"/>
  <c r="AH488" i="31"/>
  <c r="AH489" i="31"/>
  <c r="AH490" i="31"/>
  <c r="AH491" i="31"/>
  <c r="AH492" i="31"/>
  <c r="AH493" i="31"/>
  <c r="AH494" i="31"/>
  <c r="AH495" i="31"/>
  <c r="AH496" i="31"/>
  <c r="AH497" i="31"/>
  <c r="AH498" i="31"/>
  <c r="AH499" i="31"/>
  <c r="AH500" i="31"/>
  <c r="AH501" i="31"/>
  <c r="AH502" i="31"/>
  <c r="AH503" i="31"/>
  <c r="AH504" i="31"/>
  <c r="AH505" i="31"/>
  <c r="AH506" i="31"/>
  <c r="AH507" i="31"/>
  <c r="AH508" i="31"/>
  <c r="AH509" i="31"/>
  <c r="AH510" i="31"/>
  <c r="AH511" i="31"/>
  <c r="AH512" i="31"/>
  <c r="AH513" i="31"/>
  <c r="AH514" i="31"/>
  <c r="AH515" i="31"/>
  <c r="AH516" i="31"/>
  <c r="AH517" i="31"/>
  <c r="AH518" i="31"/>
  <c r="AH519" i="31"/>
  <c r="AH520" i="31"/>
  <c r="AH521" i="31"/>
  <c r="AH522" i="31"/>
  <c r="AH523" i="31"/>
  <c r="AH524" i="31"/>
  <c r="AH525" i="31"/>
  <c r="AH526" i="31"/>
  <c r="AH527" i="31"/>
  <c r="AH528" i="31"/>
  <c r="AH529" i="31"/>
  <c r="AH530" i="31"/>
  <c r="AH531" i="31"/>
  <c r="AH532" i="31"/>
  <c r="AH533" i="31"/>
  <c r="AH534" i="31"/>
  <c r="AH535" i="31"/>
  <c r="AH536" i="31"/>
  <c r="AH537" i="31"/>
  <c r="AH538" i="31"/>
  <c r="AH539" i="31"/>
  <c r="AH540" i="31"/>
  <c r="AH541" i="31"/>
  <c r="AH542" i="31"/>
  <c r="AH543" i="31"/>
  <c r="AH544" i="31"/>
  <c r="AH545" i="31"/>
  <c r="AH546" i="31"/>
  <c r="AH547" i="31"/>
  <c r="AH548" i="31"/>
  <c r="AH549" i="31"/>
  <c r="AH550" i="31"/>
  <c r="AH551" i="31"/>
  <c r="AH552" i="31"/>
  <c r="AH553" i="31"/>
  <c r="AH554" i="31"/>
  <c r="AH555" i="31"/>
  <c r="AH556" i="31"/>
  <c r="AH557" i="31"/>
  <c r="AH558" i="31"/>
  <c r="AH559" i="31"/>
  <c r="AH560" i="31"/>
  <c r="AH561" i="31"/>
  <c r="AH562" i="31"/>
  <c r="AH563" i="31"/>
  <c r="AH564" i="31"/>
  <c r="AH565" i="31"/>
  <c r="AH566" i="31"/>
  <c r="AH567" i="31"/>
  <c r="AH568" i="31"/>
  <c r="AH569" i="31"/>
  <c r="AH570" i="31"/>
  <c r="AH571" i="31"/>
  <c r="AH572" i="31"/>
  <c r="AH573" i="31"/>
  <c r="AH574" i="31"/>
  <c r="AH575" i="31"/>
  <c r="AH576" i="31"/>
  <c r="AH577" i="31"/>
  <c r="AH578" i="31"/>
  <c r="AH579" i="31"/>
  <c r="AH580" i="31"/>
  <c r="AH581" i="31"/>
  <c r="AH582" i="31"/>
  <c r="AH583" i="31"/>
  <c r="AH584" i="31"/>
  <c r="AH585" i="31"/>
  <c r="AH586" i="31"/>
  <c r="AH587" i="31"/>
  <c r="AH588" i="31"/>
  <c r="AH589" i="31"/>
  <c r="AH590" i="31"/>
  <c r="AH591" i="31"/>
  <c r="AH592" i="31"/>
  <c r="AH593" i="31"/>
  <c r="AH594" i="31"/>
  <c r="AH595" i="31"/>
  <c r="AH596" i="31"/>
  <c r="AH597" i="31"/>
  <c r="AH598" i="31"/>
  <c r="AH599" i="31"/>
  <c r="AH600" i="31"/>
  <c r="AH601" i="31"/>
  <c r="AH602" i="31"/>
  <c r="AH603" i="31"/>
  <c r="AH604" i="31"/>
  <c r="AH605" i="31"/>
  <c r="AH606" i="31"/>
  <c r="AH607" i="31"/>
  <c r="AH608" i="31"/>
  <c r="AH609" i="31"/>
  <c r="AH610" i="31"/>
  <c r="AH611" i="31"/>
  <c r="AH612" i="31"/>
  <c r="AH613" i="31"/>
  <c r="AH614" i="31"/>
  <c r="AH615" i="31"/>
  <c r="AH616" i="31"/>
  <c r="AH617" i="31"/>
  <c r="AH618" i="31"/>
  <c r="AH619" i="31"/>
  <c r="AH620" i="31"/>
  <c r="AH621" i="31"/>
  <c r="AH622" i="31"/>
  <c r="AH623" i="31"/>
  <c r="AH624" i="31"/>
  <c r="AH625" i="31"/>
  <c r="AH626" i="31"/>
  <c r="AH627" i="31"/>
  <c r="AH628" i="31"/>
  <c r="AH629" i="31"/>
  <c r="AH630" i="31"/>
  <c r="AH631" i="31"/>
  <c r="AH632" i="31"/>
  <c r="AH633" i="31"/>
  <c r="AH634" i="31"/>
  <c r="AH635" i="31"/>
  <c r="AH636" i="31"/>
  <c r="AH637" i="31"/>
  <c r="AH638" i="31"/>
  <c r="AH639" i="31"/>
  <c r="AH640" i="31"/>
  <c r="AH641" i="31"/>
  <c r="AH642" i="31"/>
  <c r="AH643" i="31"/>
  <c r="AH644" i="31"/>
  <c r="AH645" i="31"/>
  <c r="AH646" i="31"/>
  <c r="AH647" i="31"/>
  <c r="AH648" i="31"/>
  <c r="AH649" i="31"/>
  <c r="AH650" i="31"/>
  <c r="AH651" i="31"/>
  <c r="AH652" i="31"/>
  <c r="AH653" i="31"/>
  <c r="AH654" i="31"/>
  <c r="AH655" i="31"/>
  <c r="AH656" i="31"/>
  <c r="AH657" i="31"/>
  <c r="AH658" i="31"/>
  <c r="AH659" i="31"/>
  <c r="AH660" i="31"/>
  <c r="AH661" i="31"/>
  <c r="AH442" i="31"/>
  <c r="AH223" i="31"/>
  <c r="AH224" i="31"/>
  <c r="AH225" i="31"/>
  <c r="AH226" i="31"/>
  <c r="AH227" i="31"/>
  <c r="AH228" i="31"/>
  <c r="AH229" i="31"/>
  <c r="AH230" i="31"/>
  <c r="AH231" i="31"/>
  <c r="AH232" i="31"/>
  <c r="AH233" i="31"/>
  <c r="AH234" i="31"/>
  <c r="AH235" i="31"/>
  <c r="AH236" i="31"/>
  <c r="AH237" i="31"/>
  <c r="AH238" i="31"/>
  <c r="AH239" i="31"/>
  <c r="AH240" i="31"/>
  <c r="AH241" i="31"/>
  <c r="AH242" i="31"/>
  <c r="AH243" i="31"/>
  <c r="AH244" i="31"/>
  <c r="AH245" i="31"/>
  <c r="AH246" i="31"/>
  <c r="AH247" i="31"/>
  <c r="AH248" i="31"/>
  <c r="AH249" i="31"/>
  <c r="AH250" i="31"/>
  <c r="AH251" i="31"/>
  <c r="AH252" i="31"/>
  <c r="AH253" i="31"/>
  <c r="AH254" i="31"/>
  <c r="AH255" i="31"/>
  <c r="AH256" i="31"/>
  <c r="AH257" i="31"/>
  <c r="AH258" i="31"/>
  <c r="AH259" i="31"/>
  <c r="AH260" i="31"/>
  <c r="AH261" i="31"/>
  <c r="AH262" i="31"/>
  <c r="AH263" i="31"/>
  <c r="AH264" i="31"/>
  <c r="AH265" i="31"/>
  <c r="AH266" i="31"/>
  <c r="AH267" i="31"/>
  <c r="AH268" i="31"/>
  <c r="AH269" i="31"/>
  <c r="AH270" i="31"/>
  <c r="AH271" i="31"/>
  <c r="AH272" i="31"/>
  <c r="AH273" i="31"/>
  <c r="AH274" i="31"/>
  <c r="AH275" i="31"/>
  <c r="AH276" i="31"/>
  <c r="AH277" i="31"/>
  <c r="AH278" i="31"/>
  <c r="AH279" i="31"/>
  <c r="AH280" i="31"/>
  <c r="AH281" i="31"/>
  <c r="AH282" i="31"/>
  <c r="AH283" i="31"/>
  <c r="AH284" i="31"/>
  <c r="AH285" i="31"/>
  <c r="AH286" i="31"/>
  <c r="AH287" i="31"/>
  <c r="AH288" i="31"/>
  <c r="AH289" i="31"/>
  <c r="AH290" i="31"/>
  <c r="AH291" i="31"/>
  <c r="AH292" i="31"/>
  <c r="AH293" i="31"/>
  <c r="AH294" i="31"/>
  <c r="AH295" i="31"/>
  <c r="AH296" i="31"/>
  <c r="AH297" i="31"/>
  <c r="AH298" i="31"/>
  <c r="AH299" i="31"/>
  <c r="AH300" i="31"/>
  <c r="AH301" i="31"/>
  <c r="AH302" i="31"/>
  <c r="AH303" i="31"/>
  <c r="AH304" i="31"/>
  <c r="AH305" i="31"/>
  <c r="AH306" i="31"/>
  <c r="AH307" i="31"/>
  <c r="AH308" i="31"/>
  <c r="AH309" i="31"/>
  <c r="AH310" i="31"/>
  <c r="AH311" i="31"/>
  <c r="AH312" i="31"/>
  <c r="AH313" i="31"/>
  <c r="AH314" i="31"/>
  <c r="AH315" i="31"/>
  <c r="AH316" i="31"/>
  <c r="AH317" i="31"/>
  <c r="AH318" i="31"/>
  <c r="AH319" i="31"/>
  <c r="AH320" i="31"/>
  <c r="AH321" i="31"/>
  <c r="AH322" i="31"/>
  <c r="AH323" i="31"/>
  <c r="AH324" i="31"/>
  <c r="AH325" i="31"/>
  <c r="AH326" i="31"/>
  <c r="AH327" i="31"/>
  <c r="AH328" i="31"/>
  <c r="AH329" i="31"/>
  <c r="AH330" i="31"/>
  <c r="AH331" i="31"/>
  <c r="AH332" i="31"/>
  <c r="AH333" i="31"/>
  <c r="AH334" i="31"/>
  <c r="AH335" i="31"/>
  <c r="AH336" i="31"/>
  <c r="AH337" i="31"/>
  <c r="AH338" i="31"/>
  <c r="AH339" i="31"/>
  <c r="AH340" i="31"/>
  <c r="AH341" i="31"/>
  <c r="AH342" i="31"/>
  <c r="AH343" i="31"/>
  <c r="AH344" i="31"/>
  <c r="AH345" i="31"/>
  <c r="AH346" i="31"/>
  <c r="AH347" i="31"/>
  <c r="AH348" i="31"/>
  <c r="AH349" i="31"/>
  <c r="AH350" i="31"/>
  <c r="AH351" i="31"/>
  <c r="AH352" i="31"/>
  <c r="AH353" i="31"/>
  <c r="AH354" i="31"/>
  <c r="AH355" i="31"/>
  <c r="AH356" i="31"/>
  <c r="AH357" i="31"/>
  <c r="AH358" i="31"/>
  <c r="AH359" i="31"/>
  <c r="AH360" i="31"/>
  <c r="AH361" i="31"/>
  <c r="AH362" i="31"/>
  <c r="AH363" i="31"/>
  <c r="AH364" i="31"/>
  <c r="AH365" i="31"/>
  <c r="AH366" i="31"/>
  <c r="AH367" i="31"/>
  <c r="AH368" i="31"/>
  <c r="AH369" i="31"/>
  <c r="AH370" i="31"/>
  <c r="AH371" i="31"/>
  <c r="AH372" i="31"/>
  <c r="AH373" i="31"/>
  <c r="AH374" i="31"/>
  <c r="AH375" i="31"/>
  <c r="AH376" i="31"/>
  <c r="AH377" i="31"/>
  <c r="AH378" i="31"/>
  <c r="AH379" i="31"/>
  <c r="AH380" i="31"/>
  <c r="AH381" i="31"/>
  <c r="AH382" i="31"/>
  <c r="AH383" i="31"/>
  <c r="AH384" i="31"/>
  <c r="AH385" i="31"/>
  <c r="AH386" i="31"/>
  <c r="AH387" i="31"/>
  <c r="AH388" i="31"/>
  <c r="AH389" i="31"/>
  <c r="AH390" i="31"/>
  <c r="AH391" i="31"/>
  <c r="AH392" i="31"/>
  <c r="AH393" i="31"/>
  <c r="AH394" i="31"/>
  <c r="AH395" i="31"/>
  <c r="AH396" i="31"/>
  <c r="AH397" i="31"/>
  <c r="AH398" i="31"/>
  <c r="AH399" i="31"/>
  <c r="AH400" i="31"/>
  <c r="AH401" i="31"/>
  <c r="AH402" i="31"/>
  <c r="AH403" i="31"/>
  <c r="AH404" i="31"/>
  <c r="AH405" i="31"/>
  <c r="AH406" i="31"/>
  <c r="AH407" i="31"/>
  <c r="AH408" i="31"/>
  <c r="AH409" i="31"/>
  <c r="AH410" i="31"/>
  <c r="AH411" i="31"/>
  <c r="AH412" i="31"/>
  <c r="AH413" i="31"/>
  <c r="AH414" i="31"/>
  <c r="AH415" i="31"/>
  <c r="AH416" i="31"/>
  <c r="AH417" i="31"/>
  <c r="AH418" i="31"/>
  <c r="AH419" i="31"/>
  <c r="AH420" i="31"/>
  <c r="AH421" i="31"/>
  <c r="AH422" i="31"/>
  <c r="AH423" i="31"/>
  <c r="AH424" i="31"/>
  <c r="AH425" i="31"/>
  <c r="AH426" i="31"/>
  <c r="AH427" i="31"/>
  <c r="AH428" i="31"/>
  <c r="AH429" i="31"/>
  <c r="AH430" i="31"/>
  <c r="AH431" i="31"/>
  <c r="AH432" i="31"/>
  <c r="AH433" i="31"/>
  <c r="AH434" i="31"/>
  <c r="AH435" i="31"/>
  <c r="AH436" i="31"/>
  <c r="AH437" i="31"/>
  <c r="AH438" i="31"/>
  <c r="AH439" i="31"/>
  <c r="AH440" i="31"/>
  <c r="AH441" i="31"/>
  <c r="AH222" i="31"/>
  <c r="AG881" i="31"/>
  <c r="AF881" i="31"/>
  <c r="AE881" i="31"/>
  <c r="AD881" i="31"/>
  <c r="AG880" i="31"/>
  <c r="AF880" i="31"/>
  <c r="AE880" i="31"/>
  <c r="AD880" i="31"/>
  <c r="AG879" i="31"/>
  <c r="AF879" i="31"/>
  <c r="AE879" i="31"/>
  <c r="AD879" i="31"/>
  <c r="AG878" i="31"/>
  <c r="AF878" i="31"/>
  <c r="AE878" i="31"/>
  <c r="AD878" i="31"/>
  <c r="AG877" i="31"/>
  <c r="AF877" i="31"/>
  <c r="AE877" i="31"/>
  <c r="AD877" i="31"/>
  <c r="AG876" i="31"/>
  <c r="AF876" i="31"/>
  <c r="AE876" i="31"/>
  <c r="AD876" i="31"/>
  <c r="AG875" i="31"/>
  <c r="AF875" i="31"/>
  <c r="AE875" i="31"/>
  <c r="AD875" i="31"/>
  <c r="AG874" i="31"/>
  <c r="AF874" i="31"/>
  <c r="AE874" i="31"/>
  <c r="AD874" i="31"/>
  <c r="AG873" i="31"/>
  <c r="AF873" i="31"/>
  <c r="AE873" i="31"/>
  <c r="AD873" i="31"/>
  <c r="AG872" i="31"/>
  <c r="AF872" i="31"/>
  <c r="AE872" i="31"/>
  <c r="AD872" i="31"/>
  <c r="AG871" i="31"/>
  <c r="AF871" i="31"/>
  <c r="AE871" i="31"/>
  <c r="AD871" i="31"/>
  <c r="AG870" i="31"/>
  <c r="AF870" i="31"/>
  <c r="AE870" i="31"/>
  <c r="AD870" i="31"/>
  <c r="AG869" i="31"/>
  <c r="AF869" i="31"/>
  <c r="AE869" i="31"/>
  <c r="AD869" i="31"/>
  <c r="AG868" i="31"/>
  <c r="AF868" i="31"/>
  <c r="AE868" i="31"/>
  <c r="AD868" i="31"/>
  <c r="AG867" i="31"/>
  <c r="AF867" i="31"/>
  <c r="AE867" i="31"/>
  <c r="AD867" i="31"/>
  <c r="AG866" i="31"/>
  <c r="AF866" i="31"/>
  <c r="AE866" i="31"/>
  <c r="AD866" i="31"/>
  <c r="AG865" i="31"/>
  <c r="AF865" i="31"/>
  <c r="AE865" i="31"/>
  <c r="AD865" i="31"/>
  <c r="AG864" i="31"/>
  <c r="AF864" i="31"/>
  <c r="AE864" i="31"/>
  <c r="AD864" i="31"/>
  <c r="AG863" i="31"/>
  <c r="AF863" i="31"/>
  <c r="AE863" i="31"/>
  <c r="AD863" i="31"/>
  <c r="AG862" i="31"/>
  <c r="AF862" i="31"/>
  <c r="AE862" i="31"/>
  <c r="AD862" i="31"/>
  <c r="AG861" i="31"/>
  <c r="AF861" i="31"/>
  <c r="AE861" i="31"/>
  <c r="AD861" i="31"/>
  <c r="AG860" i="31"/>
  <c r="AF860" i="31"/>
  <c r="AE860" i="31"/>
  <c r="AD860" i="31"/>
  <c r="AG859" i="31"/>
  <c r="AF859" i="31"/>
  <c r="AE859" i="31"/>
  <c r="AD859" i="31"/>
  <c r="AG858" i="31"/>
  <c r="AF858" i="31"/>
  <c r="AE858" i="31"/>
  <c r="AD858" i="31"/>
  <c r="AG857" i="31"/>
  <c r="AF857" i="31"/>
  <c r="AE857" i="31"/>
  <c r="AD857" i="31"/>
  <c r="AG856" i="31"/>
  <c r="AF856" i="31"/>
  <c r="AE856" i="31"/>
  <c r="AD856" i="31"/>
  <c r="AG855" i="31"/>
  <c r="AF855" i="31"/>
  <c r="AE855" i="31"/>
  <c r="AD855" i="31"/>
  <c r="AG854" i="31"/>
  <c r="AF854" i="31"/>
  <c r="AE854" i="31"/>
  <c r="AD854" i="31"/>
  <c r="AG853" i="31"/>
  <c r="AF853" i="31"/>
  <c r="AE853" i="31"/>
  <c r="AD853" i="31"/>
  <c r="AG852" i="31"/>
  <c r="AF852" i="31"/>
  <c r="AE852" i="31"/>
  <c r="AD852" i="31"/>
  <c r="AG851" i="31"/>
  <c r="AF851" i="31"/>
  <c r="AE851" i="31"/>
  <c r="AD851" i="31"/>
  <c r="AG850" i="31"/>
  <c r="AF850" i="31"/>
  <c r="AE850" i="31"/>
  <c r="AD850" i="31"/>
  <c r="AG849" i="31"/>
  <c r="AF849" i="31"/>
  <c r="AE849" i="31"/>
  <c r="AD849" i="31"/>
  <c r="AG848" i="31"/>
  <c r="AF848" i="31"/>
  <c r="AE848" i="31"/>
  <c r="AD848" i="31"/>
  <c r="AG847" i="31"/>
  <c r="AF847" i="31"/>
  <c r="AE847" i="31"/>
  <c r="AD847" i="31"/>
  <c r="AG846" i="31"/>
  <c r="AF846" i="31"/>
  <c r="AE846" i="31"/>
  <c r="AD846" i="31"/>
  <c r="AG845" i="31"/>
  <c r="AF845" i="31"/>
  <c r="AE845" i="31"/>
  <c r="AD845" i="31"/>
  <c r="AG844" i="31"/>
  <c r="AF844" i="31"/>
  <c r="AE844" i="31"/>
  <c r="AD844" i="31"/>
  <c r="AG843" i="31"/>
  <c r="AF843" i="31"/>
  <c r="AE843" i="31"/>
  <c r="AD843" i="31"/>
  <c r="AG842" i="31"/>
  <c r="AF842" i="31"/>
  <c r="AE842" i="31"/>
  <c r="AD842" i="31"/>
  <c r="AG841" i="31"/>
  <c r="AF841" i="31"/>
  <c r="AE841" i="31"/>
  <c r="AD841" i="31"/>
  <c r="AG840" i="31"/>
  <c r="AF840" i="31"/>
  <c r="AE840" i="31"/>
  <c r="AD840" i="31"/>
  <c r="AG839" i="31"/>
  <c r="AF839" i="31"/>
  <c r="AE839" i="31"/>
  <c r="AD839" i="31"/>
  <c r="AG838" i="31"/>
  <c r="AF838" i="31"/>
  <c r="AE838" i="31"/>
  <c r="AD838" i="31"/>
  <c r="AG837" i="31"/>
  <c r="AF837" i="31"/>
  <c r="AE837" i="31"/>
  <c r="AD837" i="31"/>
  <c r="AG836" i="31"/>
  <c r="AF836" i="31"/>
  <c r="AE836" i="31"/>
  <c r="AD836" i="31"/>
  <c r="AG835" i="31"/>
  <c r="AF835" i="31"/>
  <c r="AE835" i="31"/>
  <c r="AD835" i="31"/>
  <c r="AG834" i="31"/>
  <c r="AF834" i="31"/>
  <c r="AE834" i="31"/>
  <c r="AD834" i="31"/>
  <c r="AG833" i="31"/>
  <c r="AF833" i="31"/>
  <c r="AE833" i="31"/>
  <c r="AD833" i="31"/>
  <c r="AG832" i="31"/>
  <c r="AF832" i="31"/>
  <c r="AE832" i="31"/>
  <c r="AD832" i="31"/>
  <c r="AG831" i="31"/>
  <c r="AF831" i="31"/>
  <c r="AE831" i="31"/>
  <c r="AD831" i="31"/>
  <c r="AG830" i="31"/>
  <c r="AF830" i="31"/>
  <c r="AE830" i="31"/>
  <c r="AD830" i="31"/>
  <c r="AG829" i="31"/>
  <c r="AF829" i="31"/>
  <c r="AE829" i="31"/>
  <c r="AD829" i="31"/>
  <c r="AG828" i="31"/>
  <c r="AF828" i="31"/>
  <c r="AE828" i="31"/>
  <c r="AD828" i="31"/>
  <c r="AG827" i="31"/>
  <c r="AF827" i="31"/>
  <c r="AE827" i="31"/>
  <c r="AD827" i="31"/>
  <c r="AG826" i="31"/>
  <c r="AF826" i="31"/>
  <c r="AE826" i="31"/>
  <c r="AD826" i="31"/>
  <c r="AG825" i="31"/>
  <c r="AF825" i="31"/>
  <c r="AE825" i="31"/>
  <c r="AD825" i="31"/>
  <c r="AG824" i="31"/>
  <c r="AF824" i="31"/>
  <c r="AE824" i="31"/>
  <c r="AD824" i="31"/>
  <c r="AG823" i="31"/>
  <c r="AF823" i="31"/>
  <c r="AE823" i="31"/>
  <c r="AD823" i="31"/>
  <c r="AG822" i="31"/>
  <c r="AF822" i="31"/>
  <c r="AE822" i="31"/>
  <c r="AD822" i="31"/>
  <c r="AG821" i="31"/>
  <c r="AF821" i="31"/>
  <c r="AE821" i="31"/>
  <c r="AD821" i="31"/>
  <c r="AG820" i="31"/>
  <c r="AF820" i="31"/>
  <c r="AE820" i="31"/>
  <c r="AD820" i="31"/>
  <c r="AG819" i="31"/>
  <c r="AF819" i="31"/>
  <c r="AE819" i="31"/>
  <c r="AD819" i="31"/>
  <c r="AG818" i="31"/>
  <c r="AF818" i="31"/>
  <c r="AE818" i="31"/>
  <c r="AD818" i="31"/>
  <c r="AG817" i="31"/>
  <c r="AF817" i="31"/>
  <c r="AE817" i="31"/>
  <c r="AD817" i="31"/>
  <c r="AG816" i="31"/>
  <c r="AF816" i="31"/>
  <c r="AE816" i="31"/>
  <c r="AD816" i="31"/>
  <c r="AG815" i="31"/>
  <c r="AF815" i="31"/>
  <c r="AE815" i="31"/>
  <c r="AD815" i="31"/>
  <c r="AG814" i="31"/>
  <c r="AF814" i="31"/>
  <c r="AE814" i="31"/>
  <c r="AD814" i="31"/>
  <c r="AG813" i="31"/>
  <c r="AF813" i="31"/>
  <c r="AE813" i="31"/>
  <c r="AD813" i="31"/>
  <c r="AG812" i="31"/>
  <c r="AF812" i="31"/>
  <c r="AE812" i="31"/>
  <c r="AD812" i="31"/>
  <c r="AG811" i="31"/>
  <c r="AF811" i="31"/>
  <c r="AE811" i="31"/>
  <c r="AD811" i="31"/>
  <c r="AG810" i="31"/>
  <c r="AF810" i="31"/>
  <c r="AE810" i="31"/>
  <c r="AD810" i="31"/>
  <c r="AG809" i="31"/>
  <c r="AF809" i="31"/>
  <c r="AE809" i="31"/>
  <c r="AD809" i="31"/>
  <c r="AG808" i="31"/>
  <c r="AF808" i="31"/>
  <c r="AE808" i="31"/>
  <c r="AD808" i="31"/>
  <c r="AG807" i="31"/>
  <c r="AF807" i="31"/>
  <c r="AE807" i="31"/>
  <c r="AD807" i="31"/>
  <c r="AG806" i="31"/>
  <c r="AF806" i="31"/>
  <c r="AE806" i="31"/>
  <c r="AD806" i="31"/>
  <c r="AG805" i="31"/>
  <c r="AF805" i="31"/>
  <c r="AE805" i="31"/>
  <c r="AD805" i="31"/>
  <c r="AG804" i="31"/>
  <c r="AF804" i="31"/>
  <c r="AE804" i="31"/>
  <c r="AD804" i="31"/>
  <c r="AG803" i="31"/>
  <c r="AF803" i="31"/>
  <c r="AE803" i="31"/>
  <c r="AD803" i="31"/>
  <c r="AG802" i="31"/>
  <c r="AF802" i="31"/>
  <c r="AE802" i="31"/>
  <c r="AD802" i="31"/>
  <c r="AG801" i="31"/>
  <c r="AF801" i="31"/>
  <c r="AE801" i="31"/>
  <c r="AD801" i="31"/>
  <c r="AG800" i="31"/>
  <c r="AF800" i="31"/>
  <c r="AE800" i="31"/>
  <c r="AD800" i="31"/>
  <c r="AG799" i="31"/>
  <c r="AF799" i="31"/>
  <c r="AE799" i="31"/>
  <c r="AD799" i="31"/>
  <c r="AG798" i="31"/>
  <c r="AF798" i="31"/>
  <c r="AE798" i="31"/>
  <c r="AD798" i="31"/>
  <c r="AG797" i="31"/>
  <c r="AF797" i="31"/>
  <c r="AE797" i="31"/>
  <c r="AD797" i="31"/>
  <c r="AG796" i="31"/>
  <c r="AF796" i="31"/>
  <c r="AE796" i="31"/>
  <c r="AD796" i="31"/>
  <c r="AG795" i="31"/>
  <c r="AF795" i="31"/>
  <c r="AE795" i="31"/>
  <c r="AD795" i="31"/>
  <c r="AG794" i="31"/>
  <c r="AF794" i="31"/>
  <c r="AE794" i="31"/>
  <c r="AD794" i="31"/>
  <c r="AG793" i="31"/>
  <c r="AF793" i="31"/>
  <c r="AE793" i="31"/>
  <c r="AD793" i="31"/>
  <c r="AG792" i="31"/>
  <c r="AF792" i="31"/>
  <c r="AE792" i="31"/>
  <c r="AD792" i="31"/>
  <c r="AG791" i="31"/>
  <c r="AF791" i="31"/>
  <c r="AE791" i="31"/>
  <c r="AD791" i="31"/>
  <c r="AG790" i="31"/>
  <c r="AF790" i="31"/>
  <c r="AE790" i="31"/>
  <c r="AD790" i="31"/>
  <c r="AG789" i="31"/>
  <c r="AF789" i="31"/>
  <c r="AE789" i="31"/>
  <c r="AD789" i="31"/>
  <c r="AG788" i="31"/>
  <c r="AF788" i="31"/>
  <c r="AE788" i="31"/>
  <c r="AD788" i="31"/>
  <c r="AG787" i="31"/>
  <c r="AF787" i="31"/>
  <c r="AE787" i="31"/>
  <c r="AD787" i="31"/>
  <c r="AG786" i="31"/>
  <c r="AF786" i="31"/>
  <c r="AE786" i="31"/>
  <c r="AD786" i="31"/>
  <c r="AG785" i="31"/>
  <c r="AF785" i="31"/>
  <c r="AE785" i="31"/>
  <c r="AD785" i="31"/>
  <c r="AG784" i="31"/>
  <c r="AF784" i="31"/>
  <c r="AE784" i="31"/>
  <c r="AD784" i="31"/>
  <c r="AG783" i="31"/>
  <c r="AF783" i="31"/>
  <c r="AE783" i="31"/>
  <c r="AD783" i="31"/>
  <c r="AG782" i="31"/>
  <c r="AF782" i="31"/>
  <c r="AE782" i="31"/>
  <c r="AD782" i="31"/>
  <c r="AG781" i="31"/>
  <c r="AF781" i="31"/>
  <c r="AE781" i="31"/>
  <c r="AD781" i="31"/>
  <c r="AG780" i="31"/>
  <c r="AF780" i="31"/>
  <c r="AE780" i="31"/>
  <c r="AD780" i="31"/>
  <c r="AG779" i="31"/>
  <c r="AF779" i="31"/>
  <c r="AE779" i="31"/>
  <c r="AD779" i="31"/>
  <c r="AG778" i="31"/>
  <c r="AF778" i="31"/>
  <c r="AE778" i="31"/>
  <c r="AD778" i="31"/>
  <c r="AG777" i="31"/>
  <c r="AF777" i="31"/>
  <c r="AE777" i="31"/>
  <c r="AD777" i="31"/>
  <c r="AG776" i="31"/>
  <c r="AF776" i="31"/>
  <c r="AE776" i="31"/>
  <c r="AD776" i="31"/>
  <c r="AG775" i="31"/>
  <c r="AF775" i="31"/>
  <c r="AE775" i="31"/>
  <c r="AD775" i="31"/>
  <c r="AG774" i="31"/>
  <c r="AF774" i="31"/>
  <c r="AE774" i="31"/>
  <c r="AD774" i="31"/>
  <c r="AG773" i="31"/>
  <c r="AF773" i="31"/>
  <c r="AE773" i="31"/>
  <c r="AD773" i="31"/>
  <c r="AG772" i="31"/>
  <c r="AF772" i="31"/>
  <c r="AE772" i="31"/>
  <c r="AD772" i="31"/>
  <c r="AG771" i="31"/>
  <c r="AF771" i="31"/>
  <c r="AE771" i="31"/>
  <c r="AD771" i="31"/>
  <c r="AG770" i="31"/>
  <c r="AF770" i="31"/>
  <c r="AE770" i="31"/>
  <c r="AD770" i="31"/>
  <c r="AG769" i="31"/>
  <c r="AF769" i="31"/>
  <c r="AE769" i="31"/>
  <c r="AD769" i="31"/>
  <c r="AG768" i="31"/>
  <c r="AF768" i="31"/>
  <c r="AE768" i="31"/>
  <c r="AD768" i="31"/>
  <c r="AG767" i="31"/>
  <c r="AF767" i="31"/>
  <c r="AE767" i="31"/>
  <c r="AD767" i="31"/>
  <c r="AG766" i="31"/>
  <c r="AF766" i="31"/>
  <c r="AE766" i="31"/>
  <c r="AD766" i="31"/>
  <c r="AG765" i="31"/>
  <c r="AF765" i="31"/>
  <c r="AE765" i="31"/>
  <c r="AD765" i="31"/>
  <c r="AG764" i="31"/>
  <c r="AF764" i="31"/>
  <c r="AE764" i="31"/>
  <c r="AD764" i="31"/>
  <c r="AG763" i="31"/>
  <c r="AF763" i="31"/>
  <c r="AE763" i="31"/>
  <c r="AD763" i="31"/>
  <c r="AG762" i="31"/>
  <c r="AF762" i="31"/>
  <c r="AE762" i="31"/>
  <c r="AD762" i="31"/>
  <c r="AG761" i="31"/>
  <c r="AF761" i="31"/>
  <c r="AE761" i="31"/>
  <c r="AD761" i="31"/>
  <c r="AG760" i="31"/>
  <c r="AF760" i="31"/>
  <c r="AE760" i="31"/>
  <c r="AD760" i="31"/>
  <c r="AG759" i="31"/>
  <c r="AF759" i="31"/>
  <c r="AE759" i="31"/>
  <c r="AD759" i="31"/>
  <c r="AG758" i="31"/>
  <c r="AF758" i="31"/>
  <c r="AE758" i="31"/>
  <c r="AD758" i="31"/>
  <c r="AG757" i="31"/>
  <c r="AF757" i="31"/>
  <c r="AE757" i="31"/>
  <c r="AD757" i="31"/>
  <c r="AG756" i="31"/>
  <c r="AF756" i="31"/>
  <c r="AE756" i="31"/>
  <c r="AD756" i="31"/>
  <c r="AG755" i="31"/>
  <c r="AF755" i="31"/>
  <c r="AE755" i="31"/>
  <c r="AD755" i="31"/>
  <c r="AG754" i="31"/>
  <c r="AF754" i="31"/>
  <c r="AE754" i="31"/>
  <c r="AD754" i="31"/>
  <c r="AG753" i="31"/>
  <c r="AF753" i="31"/>
  <c r="AE753" i="31"/>
  <c r="AD753" i="31"/>
  <c r="AG752" i="31"/>
  <c r="AF752" i="31"/>
  <c r="AE752" i="31"/>
  <c r="AD752" i="31"/>
  <c r="AG751" i="31"/>
  <c r="AF751" i="31"/>
  <c r="AE751" i="31"/>
  <c r="AD751" i="31"/>
  <c r="AG750" i="31"/>
  <c r="AF750" i="31"/>
  <c r="AE750" i="31"/>
  <c r="AD750" i="31"/>
  <c r="AG749" i="31"/>
  <c r="AF749" i="31"/>
  <c r="AE749" i="31"/>
  <c r="AD749" i="31"/>
  <c r="AG748" i="31"/>
  <c r="AF748" i="31"/>
  <c r="AE748" i="31"/>
  <c r="AD748" i="31"/>
  <c r="AG747" i="31"/>
  <c r="AF747" i="31"/>
  <c r="AE747" i="31"/>
  <c r="AD747" i="31"/>
  <c r="AG746" i="31"/>
  <c r="AF746" i="31"/>
  <c r="AE746" i="31"/>
  <c r="AD746" i="31"/>
  <c r="AG745" i="31"/>
  <c r="AF745" i="31"/>
  <c r="AE745" i="31"/>
  <c r="AD745" i="31"/>
  <c r="AG744" i="31"/>
  <c r="AF744" i="31"/>
  <c r="AE744" i="31"/>
  <c r="AD744" i="31"/>
  <c r="AG743" i="31"/>
  <c r="AF743" i="31"/>
  <c r="AE743" i="31"/>
  <c r="AD743" i="31"/>
  <c r="AG742" i="31"/>
  <c r="AF742" i="31"/>
  <c r="AE742" i="31"/>
  <c r="AD742" i="31"/>
  <c r="AG741" i="31"/>
  <c r="AF741" i="31"/>
  <c r="AE741" i="31"/>
  <c r="AD741" i="31"/>
  <c r="AG740" i="31"/>
  <c r="AF740" i="31"/>
  <c r="AE740" i="31"/>
  <c r="AD740" i="31"/>
  <c r="AG739" i="31"/>
  <c r="AF739" i="31"/>
  <c r="AE739" i="31"/>
  <c r="AD739" i="31"/>
  <c r="AG738" i="31"/>
  <c r="AF738" i="31"/>
  <c r="AE738" i="31"/>
  <c r="AD738" i="31"/>
  <c r="AG737" i="31"/>
  <c r="AF737" i="31"/>
  <c r="AE737" i="31"/>
  <c r="AD737" i="31"/>
  <c r="AG736" i="31"/>
  <c r="AF736" i="31"/>
  <c r="AE736" i="31"/>
  <c r="AD736" i="31"/>
  <c r="AG735" i="31"/>
  <c r="AF735" i="31"/>
  <c r="AE735" i="31"/>
  <c r="AD735" i="31"/>
  <c r="AG734" i="31"/>
  <c r="AF734" i="31"/>
  <c r="AE734" i="31"/>
  <c r="AD734" i="31"/>
  <c r="AG733" i="31"/>
  <c r="AF733" i="31"/>
  <c r="AE733" i="31"/>
  <c r="AD733" i="31"/>
  <c r="AG732" i="31"/>
  <c r="AF732" i="31"/>
  <c r="AE732" i="31"/>
  <c r="AD732" i="31"/>
  <c r="AG731" i="31"/>
  <c r="AF731" i="31"/>
  <c r="AE731" i="31"/>
  <c r="AD731" i="31"/>
  <c r="AG730" i="31"/>
  <c r="AF730" i="31"/>
  <c r="AE730" i="31"/>
  <c r="AD730" i="31"/>
  <c r="AG729" i="31"/>
  <c r="AF729" i="31"/>
  <c r="AE729" i="31"/>
  <c r="AD729" i="31"/>
  <c r="AG728" i="31"/>
  <c r="AF728" i="31"/>
  <c r="AE728" i="31"/>
  <c r="AD728" i="31"/>
  <c r="AG727" i="31"/>
  <c r="AF727" i="31"/>
  <c r="AE727" i="31"/>
  <c r="AD727" i="31"/>
  <c r="AG726" i="31"/>
  <c r="AF726" i="31"/>
  <c r="AE726" i="31"/>
  <c r="AD726" i="31"/>
  <c r="AG725" i="31"/>
  <c r="AF725" i="31"/>
  <c r="AE725" i="31"/>
  <c r="AD725" i="31"/>
  <c r="AG724" i="31"/>
  <c r="AF724" i="31"/>
  <c r="AE724" i="31"/>
  <c r="AD724" i="31"/>
  <c r="AG723" i="31"/>
  <c r="AF723" i="31"/>
  <c r="AE723" i="31"/>
  <c r="AD723" i="31"/>
  <c r="AG722" i="31"/>
  <c r="AF722" i="31"/>
  <c r="AE722" i="31"/>
  <c r="AD722" i="31"/>
  <c r="AG721" i="31"/>
  <c r="AF721" i="31"/>
  <c r="AE721" i="31"/>
  <c r="AD721" i="31"/>
  <c r="AG720" i="31"/>
  <c r="AF720" i="31"/>
  <c r="AE720" i="31"/>
  <c r="AD720" i="31"/>
  <c r="AG719" i="31"/>
  <c r="AF719" i="31"/>
  <c r="AE719" i="31"/>
  <c r="AD719" i="31"/>
  <c r="AG718" i="31"/>
  <c r="AF718" i="31"/>
  <c r="AE718" i="31"/>
  <c r="AD718" i="31"/>
  <c r="AG717" i="31"/>
  <c r="AF717" i="31"/>
  <c r="AE717" i="31"/>
  <c r="AD717" i="31"/>
  <c r="AG716" i="31"/>
  <c r="AF716" i="31"/>
  <c r="AE716" i="31"/>
  <c r="AD716" i="31"/>
  <c r="AG715" i="31"/>
  <c r="AF715" i="31"/>
  <c r="AE715" i="31"/>
  <c r="AD715" i="31"/>
  <c r="AG714" i="31"/>
  <c r="AF714" i="31"/>
  <c r="AE714" i="31"/>
  <c r="AD714" i="31"/>
  <c r="AG713" i="31"/>
  <c r="AF713" i="31"/>
  <c r="AE713" i="31"/>
  <c r="AD713" i="31"/>
  <c r="AG712" i="31"/>
  <c r="AF712" i="31"/>
  <c r="AE712" i="31"/>
  <c r="AD712" i="31"/>
  <c r="AG711" i="31"/>
  <c r="AF711" i="31"/>
  <c r="AE711" i="31"/>
  <c r="AD711" i="31"/>
  <c r="AG710" i="31"/>
  <c r="AF710" i="31"/>
  <c r="AE710" i="31"/>
  <c r="AD710" i="31"/>
  <c r="AG709" i="31"/>
  <c r="AF709" i="31"/>
  <c r="AE709" i="31"/>
  <c r="AD709" i="31"/>
  <c r="AG708" i="31"/>
  <c r="AF708" i="31"/>
  <c r="AE708" i="31"/>
  <c r="AD708" i="31"/>
  <c r="AG707" i="31"/>
  <c r="AF707" i="31"/>
  <c r="AE707" i="31"/>
  <c r="AD707" i="31"/>
  <c r="AG706" i="31"/>
  <c r="AF706" i="31"/>
  <c r="AE706" i="31"/>
  <c r="AD706" i="31"/>
  <c r="AG705" i="31"/>
  <c r="AF705" i="31"/>
  <c r="AE705" i="31"/>
  <c r="AD705" i="31"/>
  <c r="AG704" i="31"/>
  <c r="AF704" i="31"/>
  <c r="AE704" i="31"/>
  <c r="AD704" i="31"/>
  <c r="AG703" i="31"/>
  <c r="AF703" i="31"/>
  <c r="AE703" i="31"/>
  <c r="AD703" i="31"/>
  <c r="AG702" i="31"/>
  <c r="AF702" i="31"/>
  <c r="AE702" i="31"/>
  <c r="AD702" i="31"/>
  <c r="AG701" i="31"/>
  <c r="AF701" i="31"/>
  <c r="AE701" i="31"/>
  <c r="AD701" i="31"/>
  <c r="AG700" i="31"/>
  <c r="AF700" i="31"/>
  <c r="AE700" i="31"/>
  <c r="AD700" i="31"/>
  <c r="AG699" i="31"/>
  <c r="AF699" i="31"/>
  <c r="AE699" i="31"/>
  <c r="AD699" i="31"/>
  <c r="AG698" i="31"/>
  <c r="AF698" i="31"/>
  <c r="AE698" i="31"/>
  <c r="AD698" i="31"/>
  <c r="AG697" i="31"/>
  <c r="AF697" i="31"/>
  <c r="AE697" i="31"/>
  <c r="AD697" i="31"/>
  <c r="AG696" i="31"/>
  <c r="AF696" i="31"/>
  <c r="AE696" i="31"/>
  <c r="AD696" i="31"/>
  <c r="AG695" i="31"/>
  <c r="AF695" i="31"/>
  <c r="AE695" i="31"/>
  <c r="AD695" i="31"/>
  <c r="AG694" i="31"/>
  <c r="AF694" i="31"/>
  <c r="AE694" i="31"/>
  <c r="AD694" i="31"/>
  <c r="AG693" i="31"/>
  <c r="AF693" i="31"/>
  <c r="AE693" i="31"/>
  <c r="AD693" i="31"/>
  <c r="AG692" i="31"/>
  <c r="AF692" i="31"/>
  <c r="AE692" i="31"/>
  <c r="AD692" i="31"/>
  <c r="AG691" i="31"/>
  <c r="AF691" i="31"/>
  <c r="AE691" i="31"/>
  <c r="AD691" i="31"/>
  <c r="AG690" i="31"/>
  <c r="AF690" i="31"/>
  <c r="AE690" i="31"/>
  <c r="AD690" i="31"/>
  <c r="AG689" i="31"/>
  <c r="AF689" i="31"/>
  <c r="AE689" i="31"/>
  <c r="AD689" i="31"/>
  <c r="AG688" i="31"/>
  <c r="AF688" i="31"/>
  <c r="AE688" i="31"/>
  <c r="AD688" i="31"/>
  <c r="AG687" i="31"/>
  <c r="AF687" i="31"/>
  <c r="AE687" i="31"/>
  <c r="AD687" i="31"/>
  <c r="AG686" i="31"/>
  <c r="AF686" i="31"/>
  <c r="AE686" i="31"/>
  <c r="AD686" i="31"/>
  <c r="AG685" i="31"/>
  <c r="AF685" i="31"/>
  <c r="AE685" i="31"/>
  <c r="AD685" i="31"/>
  <c r="AG684" i="31"/>
  <c r="AF684" i="31"/>
  <c r="AE684" i="31"/>
  <c r="AD684" i="31"/>
  <c r="AG683" i="31"/>
  <c r="AF683" i="31"/>
  <c r="AE683" i="31"/>
  <c r="AD683" i="31"/>
  <c r="AG682" i="31"/>
  <c r="AF682" i="31"/>
  <c r="AE682" i="31"/>
  <c r="AD682" i="31"/>
  <c r="AG681" i="31"/>
  <c r="AF681" i="31"/>
  <c r="AE681" i="31"/>
  <c r="AD681" i="31"/>
  <c r="AG680" i="31"/>
  <c r="AF680" i="31"/>
  <c r="AE680" i="31"/>
  <c r="AD680" i="31"/>
  <c r="AG679" i="31"/>
  <c r="AF679" i="31"/>
  <c r="AE679" i="31"/>
  <c r="AD679" i="31"/>
  <c r="AG678" i="31"/>
  <c r="AF678" i="31"/>
  <c r="AE678" i="31"/>
  <c r="AD678" i="31"/>
  <c r="AG677" i="31"/>
  <c r="AF677" i="31"/>
  <c r="AE677" i="31"/>
  <c r="AD677" i="31"/>
  <c r="AG676" i="31"/>
  <c r="AF676" i="31"/>
  <c r="AE676" i="31"/>
  <c r="AD676" i="31"/>
  <c r="AG675" i="31"/>
  <c r="AF675" i="31"/>
  <c r="AE675" i="31"/>
  <c r="AD675" i="31"/>
  <c r="AG674" i="31"/>
  <c r="AF674" i="31"/>
  <c r="AE674" i="31"/>
  <c r="AD674" i="31"/>
  <c r="AG673" i="31"/>
  <c r="AF673" i="31"/>
  <c r="AE673" i="31"/>
  <c r="AD673" i="31"/>
  <c r="AG672" i="31"/>
  <c r="AF672" i="31"/>
  <c r="AE672" i="31"/>
  <c r="AD672" i="31"/>
  <c r="AG671" i="31"/>
  <c r="AF671" i="31"/>
  <c r="AE671" i="31"/>
  <c r="AD671" i="31"/>
  <c r="AG670" i="31"/>
  <c r="AF670" i="31"/>
  <c r="AE670" i="31"/>
  <c r="AD670" i="31"/>
  <c r="AG669" i="31"/>
  <c r="AF669" i="31"/>
  <c r="AE669" i="31"/>
  <c r="AD669" i="31"/>
  <c r="AG668" i="31"/>
  <c r="AF668" i="31"/>
  <c r="AE668" i="31"/>
  <c r="AD668" i="31"/>
  <c r="AG667" i="31"/>
  <c r="AF667" i="31"/>
  <c r="AE667" i="31"/>
  <c r="AD667" i="31"/>
  <c r="AG666" i="31"/>
  <c r="AF666" i="31"/>
  <c r="AE666" i="31"/>
  <c r="AD666" i="31"/>
  <c r="AG665" i="31"/>
  <c r="AF665" i="31"/>
  <c r="AE665" i="31"/>
  <c r="AD665" i="31"/>
  <c r="AG664" i="31"/>
  <c r="AF664" i="31"/>
  <c r="AE664" i="31"/>
  <c r="AD664" i="31"/>
  <c r="AG663" i="31"/>
  <c r="AF663" i="31"/>
  <c r="AE663" i="31"/>
  <c r="AD663" i="31"/>
  <c r="AG662" i="31"/>
  <c r="AF662" i="31"/>
  <c r="AE662" i="31"/>
  <c r="AD662" i="31"/>
  <c r="AG661" i="31"/>
  <c r="AF661" i="31"/>
  <c r="AE661" i="31"/>
  <c r="AD661" i="31"/>
  <c r="AG660" i="31"/>
  <c r="AF660" i="31"/>
  <c r="AE660" i="31"/>
  <c r="AD660" i="31"/>
  <c r="AG659" i="31"/>
  <c r="AF659" i="31"/>
  <c r="AE659" i="31"/>
  <c r="AD659" i="31"/>
  <c r="AG658" i="31"/>
  <c r="AF658" i="31"/>
  <c r="AE658" i="31"/>
  <c r="AD658" i="31"/>
  <c r="AG657" i="31"/>
  <c r="AF657" i="31"/>
  <c r="AE657" i="31"/>
  <c r="AD657" i="31"/>
  <c r="AG656" i="31"/>
  <c r="AF656" i="31"/>
  <c r="AE656" i="31"/>
  <c r="AD656" i="31"/>
  <c r="AG655" i="31"/>
  <c r="AF655" i="31"/>
  <c r="AE655" i="31"/>
  <c r="AD655" i="31"/>
  <c r="AG654" i="31"/>
  <c r="AF654" i="31"/>
  <c r="AE654" i="31"/>
  <c r="AD654" i="31"/>
  <c r="AG653" i="31"/>
  <c r="AF653" i="31"/>
  <c r="AE653" i="31"/>
  <c r="AD653" i="31"/>
  <c r="AG652" i="31"/>
  <c r="AF652" i="31"/>
  <c r="AE652" i="31"/>
  <c r="AD652" i="31"/>
  <c r="AG651" i="31"/>
  <c r="AF651" i="31"/>
  <c r="AE651" i="31"/>
  <c r="AD651" i="31"/>
  <c r="AG650" i="31"/>
  <c r="AF650" i="31"/>
  <c r="AE650" i="31"/>
  <c r="AD650" i="31"/>
  <c r="AG649" i="31"/>
  <c r="AF649" i="31"/>
  <c r="AE649" i="31"/>
  <c r="AD649" i="31"/>
  <c r="AG648" i="31"/>
  <c r="AF648" i="31"/>
  <c r="AE648" i="31"/>
  <c r="AD648" i="31"/>
  <c r="AG647" i="31"/>
  <c r="AF647" i="31"/>
  <c r="AE647" i="31"/>
  <c r="AD647" i="31"/>
  <c r="AG646" i="31"/>
  <c r="AF646" i="31"/>
  <c r="AE646" i="31"/>
  <c r="AD646" i="31"/>
  <c r="AG645" i="31"/>
  <c r="AF645" i="31"/>
  <c r="AE645" i="31"/>
  <c r="AD645" i="31"/>
  <c r="AG644" i="31"/>
  <c r="AF644" i="31"/>
  <c r="AE644" i="31"/>
  <c r="AD644" i="31"/>
  <c r="AG643" i="31"/>
  <c r="AF643" i="31"/>
  <c r="AE643" i="31"/>
  <c r="AD643" i="31"/>
  <c r="AG642" i="31"/>
  <c r="AF642" i="31"/>
  <c r="AE642" i="31"/>
  <c r="AD642" i="31"/>
  <c r="AG641" i="31"/>
  <c r="AF641" i="31"/>
  <c r="AE641" i="31"/>
  <c r="AD641" i="31"/>
  <c r="AG640" i="31"/>
  <c r="AF640" i="31"/>
  <c r="AE640" i="31"/>
  <c r="AD640" i="31"/>
  <c r="AG639" i="31"/>
  <c r="AF639" i="31"/>
  <c r="AE639" i="31"/>
  <c r="AD639" i="31"/>
  <c r="AG638" i="31"/>
  <c r="AF638" i="31"/>
  <c r="AE638" i="31"/>
  <c r="AD638" i="31"/>
  <c r="AG637" i="31"/>
  <c r="AF637" i="31"/>
  <c r="AE637" i="31"/>
  <c r="AD637" i="31"/>
  <c r="AG636" i="31"/>
  <c r="AF636" i="31"/>
  <c r="AE636" i="31"/>
  <c r="AD636" i="31"/>
  <c r="AG635" i="31"/>
  <c r="AF635" i="31"/>
  <c r="AE635" i="31"/>
  <c r="AD635" i="31"/>
  <c r="AG634" i="31"/>
  <c r="AF634" i="31"/>
  <c r="AE634" i="31"/>
  <c r="AD634" i="31"/>
  <c r="AG633" i="31"/>
  <c r="AF633" i="31"/>
  <c r="AE633" i="31"/>
  <c r="AD633" i="31"/>
  <c r="AG632" i="31"/>
  <c r="AF632" i="31"/>
  <c r="AE632" i="31"/>
  <c r="AD632" i="31"/>
  <c r="AG631" i="31"/>
  <c r="AF631" i="31"/>
  <c r="AE631" i="31"/>
  <c r="AD631" i="31"/>
  <c r="AG630" i="31"/>
  <c r="AF630" i="31"/>
  <c r="AE630" i="31"/>
  <c r="AD630" i="31"/>
  <c r="AG629" i="31"/>
  <c r="AF629" i="31"/>
  <c r="AE629" i="31"/>
  <c r="AD629" i="31"/>
  <c r="AG628" i="31"/>
  <c r="AF628" i="31"/>
  <c r="AE628" i="31"/>
  <c r="AD628" i="31"/>
  <c r="AG627" i="31"/>
  <c r="AF627" i="31"/>
  <c r="AE627" i="31"/>
  <c r="AD627" i="31"/>
  <c r="AG626" i="31"/>
  <c r="AF626" i="31"/>
  <c r="AE626" i="31"/>
  <c r="AD626" i="31"/>
  <c r="AG625" i="31"/>
  <c r="AF625" i="31"/>
  <c r="AE625" i="31"/>
  <c r="AD625" i="31"/>
  <c r="AG624" i="31"/>
  <c r="AF624" i="31"/>
  <c r="AE624" i="31"/>
  <c r="AD624" i="31"/>
  <c r="AG623" i="31"/>
  <c r="AF623" i="31"/>
  <c r="AE623" i="31"/>
  <c r="AD623" i="31"/>
  <c r="AG622" i="31"/>
  <c r="AF622" i="31"/>
  <c r="AE622" i="31"/>
  <c r="AD622" i="31"/>
  <c r="AG621" i="31"/>
  <c r="AF621" i="31"/>
  <c r="AE621" i="31"/>
  <c r="AD621" i="31"/>
  <c r="AG620" i="31"/>
  <c r="AF620" i="31"/>
  <c r="AE620" i="31"/>
  <c r="AD620" i="31"/>
  <c r="AG619" i="31"/>
  <c r="AF619" i="31"/>
  <c r="AE619" i="31"/>
  <c r="AD619" i="31"/>
  <c r="AG618" i="31"/>
  <c r="AF618" i="31"/>
  <c r="AE618" i="31"/>
  <c r="AD618" i="31"/>
  <c r="AG617" i="31"/>
  <c r="AF617" i="31"/>
  <c r="AE617" i="31"/>
  <c r="AD617" i="31"/>
  <c r="AG616" i="31"/>
  <c r="AF616" i="31"/>
  <c r="AE616" i="31"/>
  <c r="AD616" i="31"/>
  <c r="AG615" i="31"/>
  <c r="AF615" i="31"/>
  <c r="AE615" i="31"/>
  <c r="AD615" i="31"/>
  <c r="AG614" i="31"/>
  <c r="AF614" i="31"/>
  <c r="AE614" i="31"/>
  <c r="AD614" i="31"/>
  <c r="AG613" i="31"/>
  <c r="AF613" i="31"/>
  <c r="AE613" i="31"/>
  <c r="AD613" i="31"/>
  <c r="AG612" i="31"/>
  <c r="AF612" i="31"/>
  <c r="AE612" i="31"/>
  <c r="AD612" i="31"/>
  <c r="AG611" i="31"/>
  <c r="AF611" i="31"/>
  <c r="AE611" i="31"/>
  <c r="AD611" i="31"/>
  <c r="AG610" i="31"/>
  <c r="AF610" i="31"/>
  <c r="AE610" i="31"/>
  <c r="AD610" i="31"/>
  <c r="AG609" i="31"/>
  <c r="AF609" i="31"/>
  <c r="AE609" i="31"/>
  <c r="AD609" i="31"/>
  <c r="AG608" i="31"/>
  <c r="AF608" i="31"/>
  <c r="AE608" i="31"/>
  <c r="AD608" i="31"/>
  <c r="AG607" i="31"/>
  <c r="AF607" i="31"/>
  <c r="AE607" i="31"/>
  <c r="AD607" i="31"/>
  <c r="AG606" i="31"/>
  <c r="AF606" i="31"/>
  <c r="AE606" i="31"/>
  <c r="AD606" i="31"/>
  <c r="AG605" i="31"/>
  <c r="AF605" i="31"/>
  <c r="AE605" i="31"/>
  <c r="AD605" i="31"/>
  <c r="AG604" i="31"/>
  <c r="AF604" i="31"/>
  <c r="AE604" i="31"/>
  <c r="AD604" i="31"/>
  <c r="AG603" i="31"/>
  <c r="AF603" i="31"/>
  <c r="AE603" i="31"/>
  <c r="AD603" i="31"/>
  <c r="AG602" i="31"/>
  <c r="AF602" i="31"/>
  <c r="AE602" i="31"/>
  <c r="AD602" i="31"/>
  <c r="AG601" i="31"/>
  <c r="AF601" i="31"/>
  <c r="AE601" i="31"/>
  <c r="AD601" i="31"/>
  <c r="AG600" i="31"/>
  <c r="AF600" i="31"/>
  <c r="AE600" i="31"/>
  <c r="AD600" i="31"/>
  <c r="AG599" i="31"/>
  <c r="AF599" i="31"/>
  <c r="AE599" i="31"/>
  <c r="AD599" i="31"/>
  <c r="AG598" i="31"/>
  <c r="AF598" i="31"/>
  <c r="AE598" i="31"/>
  <c r="AD598" i="31"/>
  <c r="AG597" i="31"/>
  <c r="AF597" i="31"/>
  <c r="AE597" i="31"/>
  <c r="AD597" i="31"/>
  <c r="AG596" i="31"/>
  <c r="AF596" i="31"/>
  <c r="AE596" i="31"/>
  <c r="AD596" i="31"/>
  <c r="AG595" i="31"/>
  <c r="AF595" i="31"/>
  <c r="AE595" i="31"/>
  <c r="AD595" i="31"/>
  <c r="AG594" i="31"/>
  <c r="AF594" i="31"/>
  <c r="AE594" i="31"/>
  <c r="AD594" i="31"/>
  <c r="AG593" i="31"/>
  <c r="AF593" i="31"/>
  <c r="AE593" i="31"/>
  <c r="AD593" i="31"/>
  <c r="AG592" i="31"/>
  <c r="AF592" i="31"/>
  <c r="AE592" i="31"/>
  <c r="AD592" i="31"/>
  <c r="AG591" i="31"/>
  <c r="AF591" i="31"/>
  <c r="AE591" i="31"/>
  <c r="AD591" i="31"/>
  <c r="AG590" i="31"/>
  <c r="AF590" i="31"/>
  <c r="AE590" i="31"/>
  <c r="AD590" i="31"/>
  <c r="AG589" i="31"/>
  <c r="AF589" i="31"/>
  <c r="AE589" i="31"/>
  <c r="AD589" i="31"/>
  <c r="AG588" i="31"/>
  <c r="AF588" i="31"/>
  <c r="AE588" i="31"/>
  <c r="AD588" i="31"/>
  <c r="AG587" i="31"/>
  <c r="AF587" i="31"/>
  <c r="AE587" i="31"/>
  <c r="AD587" i="31"/>
  <c r="AG586" i="31"/>
  <c r="AF586" i="31"/>
  <c r="AE586" i="31"/>
  <c r="AD586" i="31"/>
  <c r="AG585" i="31"/>
  <c r="AF585" i="31"/>
  <c r="AE585" i="31"/>
  <c r="AD585" i="31"/>
  <c r="AG584" i="31"/>
  <c r="AF584" i="31"/>
  <c r="AE584" i="31"/>
  <c r="AD584" i="31"/>
  <c r="AG583" i="31"/>
  <c r="AF583" i="31"/>
  <c r="AE583" i="31"/>
  <c r="AD583" i="31"/>
  <c r="AG582" i="31"/>
  <c r="AF582" i="31"/>
  <c r="AE582" i="31"/>
  <c r="AD582" i="31"/>
  <c r="AG581" i="31"/>
  <c r="AF581" i="31"/>
  <c r="AE581" i="31"/>
  <c r="AD581" i="31"/>
  <c r="AG580" i="31"/>
  <c r="AF580" i="31"/>
  <c r="AE580" i="31"/>
  <c r="AD580" i="31"/>
  <c r="AG579" i="31"/>
  <c r="AF579" i="31"/>
  <c r="AE579" i="31"/>
  <c r="AD579" i="31"/>
  <c r="AG578" i="31"/>
  <c r="AF578" i="31"/>
  <c r="AE578" i="31"/>
  <c r="AD578" i="31"/>
  <c r="AG577" i="31"/>
  <c r="AF577" i="31"/>
  <c r="AE577" i="31"/>
  <c r="AD577" i="31"/>
  <c r="AG576" i="31"/>
  <c r="AF576" i="31"/>
  <c r="AE576" i="31"/>
  <c r="AD576" i="31"/>
  <c r="AG575" i="31"/>
  <c r="AF575" i="31"/>
  <c r="AE575" i="31"/>
  <c r="AD575" i="31"/>
  <c r="AG574" i="31"/>
  <c r="AF574" i="31"/>
  <c r="AE574" i="31"/>
  <c r="AD574" i="31"/>
  <c r="AG573" i="31"/>
  <c r="AF573" i="31"/>
  <c r="AE573" i="31"/>
  <c r="AD573" i="31"/>
  <c r="AG572" i="31"/>
  <c r="AF572" i="31"/>
  <c r="AE572" i="31"/>
  <c r="AD572" i="31"/>
  <c r="AG571" i="31"/>
  <c r="AF571" i="31"/>
  <c r="AE571" i="31"/>
  <c r="AD571" i="31"/>
  <c r="AG570" i="31"/>
  <c r="AF570" i="31"/>
  <c r="AE570" i="31"/>
  <c r="AD570" i="31"/>
  <c r="AG569" i="31"/>
  <c r="AF569" i="31"/>
  <c r="AE569" i="31"/>
  <c r="AD569" i="31"/>
  <c r="AG568" i="31"/>
  <c r="AF568" i="31"/>
  <c r="AE568" i="31"/>
  <c r="AD568" i="31"/>
  <c r="AG567" i="31"/>
  <c r="AF567" i="31"/>
  <c r="AE567" i="31"/>
  <c r="AD567" i="31"/>
  <c r="AG566" i="31"/>
  <c r="AF566" i="31"/>
  <c r="AE566" i="31"/>
  <c r="AD566" i="31"/>
  <c r="AG565" i="31"/>
  <c r="AF565" i="31"/>
  <c r="AE565" i="31"/>
  <c r="AD565" i="31"/>
  <c r="AG564" i="31"/>
  <c r="AF564" i="31"/>
  <c r="AE564" i="31"/>
  <c r="AD564" i="31"/>
  <c r="AG563" i="31"/>
  <c r="AF563" i="31"/>
  <c r="AE563" i="31"/>
  <c r="AD563" i="31"/>
  <c r="AG562" i="31"/>
  <c r="AF562" i="31"/>
  <c r="AE562" i="31"/>
  <c r="AD562" i="31"/>
  <c r="AG561" i="31"/>
  <c r="AF561" i="31"/>
  <c r="AE561" i="31"/>
  <c r="AD561" i="31"/>
  <c r="AG560" i="31"/>
  <c r="AF560" i="31"/>
  <c r="AE560" i="31"/>
  <c r="AD560" i="31"/>
  <c r="AG559" i="31"/>
  <c r="AF559" i="31"/>
  <c r="AE559" i="31"/>
  <c r="AD559" i="31"/>
  <c r="AG558" i="31"/>
  <c r="AF558" i="31"/>
  <c r="AE558" i="31"/>
  <c r="AD558" i="31"/>
  <c r="AG557" i="31"/>
  <c r="AF557" i="31"/>
  <c r="AE557" i="31"/>
  <c r="AD557" i="31"/>
  <c r="AG556" i="31"/>
  <c r="AF556" i="31"/>
  <c r="AE556" i="31"/>
  <c r="AD556" i="31"/>
  <c r="AG555" i="31"/>
  <c r="AF555" i="31"/>
  <c r="AE555" i="31"/>
  <c r="AD555" i="31"/>
  <c r="AG554" i="31"/>
  <c r="AF554" i="31"/>
  <c r="AE554" i="31"/>
  <c r="AD554" i="31"/>
  <c r="AG553" i="31"/>
  <c r="AF553" i="31"/>
  <c r="AE553" i="31"/>
  <c r="AD553" i="31"/>
  <c r="AG552" i="31"/>
  <c r="AF552" i="31"/>
  <c r="AE552" i="31"/>
  <c r="AD552" i="31"/>
  <c r="AG551" i="31"/>
  <c r="AF551" i="31"/>
  <c r="AE551" i="31"/>
  <c r="AD551" i="31"/>
  <c r="AG550" i="31"/>
  <c r="AF550" i="31"/>
  <c r="AE550" i="31"/>
  <c r="AD550" i="31"/>
  <c r="AG549" i="31"/>
  <c r="AF549" i="31"/>
  <c r="AE549" i="31"/>
  <c r="AD549" i="31"/>
  <c r="AG548" i="31"/>
  <c r="AF548" i="31"/>
  <c r="AE548" i="31"/>
  <c r="AD548" i="31"/>
  <c r="AG547" i="31"/>
  <c r="AF547" i="31"/>
  <c r="AE547" i="31"/>
  <c r="AD547" i="31"/>
  <c r="AG546" i="31"/>
  <c r="AF546" i="31"/>
  <c r="AE546" i="31"/>
  <c r="AD546" i="31"/>
  <c r="AG545" i="31"/>
  <c r="AF545" i="31"/>
  <c r="AE545" i="31"/>
  <c r="AD545" i="31"/>
  <c r="AG544" i="31"/>
  <c r="AF544" i="31"/>
  <c r="AE544" i="31"/>
  <c r="AD544" i="31"/>
  <c r="AG543" i="31"/>
  <c r="AF543" i="31"/>
  <c r="AE543" i="31"/>
  <c r="AD543" i="31"/>
  <c r="AG542" i="31"/>
  <c r="AF542" i="31"/>
  <c r="AE542" i="31"/>
  <c r="AD542" i="31"/>
  <c r="AG541" i="31"/>
  <c r="AF541" i="31"/>
  <c r="AE541" i="31"/>
  <c r="AD541" i="31"/>
  <c r="AG540" i="31"/>
  <c r="AF540" i="31"/>
  <c r="AE540" i="31"/>
  <c r="AD540" i="31"/>
  <c r="AG539" i="31"/>
  <c r="AF539" i="31"/>
  <c r="AE539" i="31"/>
  <c r="AD539" i="31"/>
  <c r="AG538" i="31"/>
  <c r="AF538" i="31"/>
  <c r="AE538" i="31"/>
  <c r="AD538" i="31"/>
  <c r="AG537" i="31"/>
  <c r="AF537" i="31"/>
  <c r="AE537" i="31"/>
  <c r="AD537" i="31"/>
  <c r="AG536" i="31"/>
  <c r="AF536" i="31"/>
  <c r="AE536" i="31"/>
  <c r="AD536" i="31"/>
  <c r="AG535" i="31"/>
  <c r="AF535" i="31"/>
  <c r="AE535" i="31"/>
  <c r="AD535" i="31"/>
  <c r="AG534" i="31"/>
  <c r="AF534" i="31"/>
  <c r="AE534" i="31"/>
  <c r="AD534" i="31"/>
  <c r="AG533" i="31"/>
  <c r="AF533" i="31"/>
  <c r="AE533" i="31"/>
  <c r="AD533" i="31"/>
  <c r="AG532" i="31"/>
  <c r="AF532" i="31"/>
  <c r="AE532" i="31"/>
  <c r="AD532" i="31"/>
  <c r="AG531" i="31"/>
  <c r="AF531" i="31"/>
  <c r="AE531" i="31"/>
  <c r="AD531" i="31"/>
  <c r="AG530" i="31"/>
  <c r="AF530" i="31"/>
  <c r="AE530" i="31"/>
  <c r="AD530" i="31"/>
  <c r="AG529" i="31"/>
  <c r="AF529" i="31"/>
  <c r="AE529" i="31"/>
  <c r="AD529" i="31"/>
  <c r="AG528" i="31"/>
  <c r="AF528" i="31"/>
  <c r="AE528" i="31"/>
  <c r="AD528" i="31"/>
  <c r="AG527" i="31"/>
  <c r="AF527" i="31"/>
  <c r="AE527" i="31"/>
  <c r="AD527" i="31"/>
  <c r="AG526" i="31"/>
  <c r="AF526" i="31"/>
  <c r="AE526" i="31"/>
  <c r="AD526" i="31"/>
  <c r="AG525" i="31"/>
  <c r="AF525" i="31"/>
  <c r="AE525" i="31"/>
  <c r="AD525" i="31"/>
  <c r="AG524" i="31"/>
  <c r="AF524" i="31"/>
  <c r="AE524" i="31"/>
  <c r="AD524" i="31"/>
  <c r="AG523" i="31"/>
  <c r="AF523" i="31"/>
  <c r="AE523" i="31"/>
  <c r="AD523" i="31"/>
  <c r="AG522" i="31"/>
  <c r="AF522" i="31"/>
  <c r="AE522" i="31"/>
  <c r="AD522" i="31"/>
  <c r="AG521" i="31"/>
  <c r="AF521" i="31"/>
  <c r="AE521" i="31"/>
  <c r="AD521" i="31"/>
  <c r="AG520" i="31"/>
  <c r="AF520" i="31"/>
  <c r="AE520" i="31"/>
  <c r="AD520" i="31"/>
  <c r="AG519" i="31"/>
  <c r="AF519" i="31"/>
  <c r="AE519" i="31"/>
  <c r="AD519" i="31"/>
  <c r="AG518" i="31"/>
  <c r="AF518" i="31"/>
  <c r="AE518" i="31"/>
  <c r="AD518" i="31"/>
  <c r="AG517" i="31"/>
  <c r="AF517" i="31"/>
  <c r="AE517" i="31"/>
  <c r="AD517" i="31"/>
  <c r="AG516" i="31"/>
  <c r="AF516" i="31"/>
  <c r="AE516" i="31"/>
  <c r="AD516" i="31"/>
  <c r="AG515" i="31"/>
  <c r="AF515" i="31"/>
  <c r="AE515" i="31"/>
  <c r="AD515" i="31"/>
  <c r="AG514" i="31"/>
  <c r="AF514" i="31"/>
  <c r="AE514" i="31"/>
  <c r="AD514" i="31"/>
  <c r="AG513" i="31"/>
  <c r="AF513" i="31"/>
  <c r="AE513" i="31"/>
  <c r="AD513" i="31"/>
  <c r="AG512" i="31"/>
  <c r="AF512" i="31"/>
  <c r="AE512" i="31"/>
  <c r="AD512" i="31"/>
  <c r="AG511" i="31"/>
  <c r="AF511" i="31"/>
  <c r="AE511" i="31"/>
  <c r="AD511" i="31"/>
  <c r="AG510" i="31"/>
  <c r="AF510" i="31"/>
  <c r="AE510" i="31"/>
  <c r="AD510" i="31"/>
  <c r="AG509" i="31"/>
  <c r="AF509" i="31"/>
  <c r="AE509" i="31"/>
  <c r="AD509" i="31"/>
  <c r="AG508" i="31"/>
  <c r="AF508" i="31"/>
  <c r="AE508" i="31"/>
  <c r="AD508" i="31"/>
  <c r="AG507" i="31"/>
  <c r="AF507" i="31"/>
  <c r="AE507" i="31"/>
  <c r="AD507" i="31"/>
  <c r="AG506" i="31"/>
  <c r="AF506" i="31"/>
  <c r="AE506" i="31"/>
  <c r="AD506" i="31"/>
  <c r="AG505" i="31"/>
  <c r="AF505" i="31"/>
  <c r="AE505" i="31"/>
  <c r="AD505" i="31"/>
  <c r="AG504" i="31"/>
  <c r="AF504" i="31"/>
  <c r="AE504" i="31"/>
  <c r="AD504" i="31"/>
  <c r="AG503" i="31"/>
  <c r="AF503" i="31"/>
  <c r="AE503" i="31"/>
  <c r="AD503" i="31"/>
  <c r="AG502" i="31"/>
  <c r="AF502" i="31"/>
  <c r="AE502" i="31"/>
  <c r="AD502" i="31"/>
  <c r="AG501" i="31"/>
  <c r="AF501" i="31"/>
  <c r="AE501" i="31"/>
  <c r="AD501" i="31"/>
  <c r="AG500" i="31"/>
  <c r="AF500" i="31"/>
  <c r="AE500" i="31"/>
  <c r="AD500" i="31"/>
  <c r="AG499" i="31"/>
  <c r="AF499" i="31"/>
  <c r="AE499" i="31"/>
  <c r="AD499" i="31"/>
  <c r="AG498" i="31"/>
  <c r="AF498" i="31"/>
  <c r="AE498" i="31"/>
  <c r="AD498" i="31"/>
  <c r="AG497" i="31"/>
  <c r="AF497" i="31"/>
  <c r="AE497" i="31"/>
  <c r="AD497" i="31"/>
  <c r="AG496" i="31"/>
  <c r="AF496" i="31"/>
  <c r="AE496" i="31"/>
  <c r="AD496" i="31"/>
  <c r="AG495" i="31"/>
  <c r="AF495" i="31"/>
  <c r="AE495" i="31"/>
  <c r="AD495" i="31"/>
  <c r="AG494" i="31"/>
  <c r="AF494" i="31"/>
  <c r="AE494" i="31"/>
  <c r="AD494" i="31"/>
  <c r="AG493" i="31"/>
  <c r="AF493" i="31"/>
  <c r="AE493" i="31"/>
  <c r="AD493" i="31"/>
  <c r="AG492" i="31"/>
  <c r="AF492" i="31"/>
  <c r="AE492" i="31"/>
  <c r="AD492" i="31"/>
  <c r="AG491" i="31"/>
  <c r="AF491" i="31"/>
  <c r="AE491" i="31"/>
  <c r="AD491" i="31"/>
  <c r="AG490" i="31"/>
  <c r="AF490" i="31"/>
  <c r="AE490" i="31"/>
  <c r="AD490" i="31"/>
  <c r="AG489" i="31"/>
  <c r="AF489" i="31"/>
  <c r="AE489" i="31"/>
  <c r="AD489" i="31"/>
  <c r="AG488" i="31"/>
  <c r="AF488" i="31"/>
  <c r="AE488" i="31"/>
  <c r="AD488" i="31"/>
  <c r="AG487" i="31"/>
  <c r="AF487" i="31"/>
  <c r="AE487" i="31"/>
  <c r="AD487" i="31"/>
  <c r="AG486" i="31"/>
  <c r="AF486" i="31"/>
  <c r="AE486" i="31"/>
  <c r="AD486" i="31"/>
  <c r="AG485" i="31"/>
  <c r="AF485" i="31"/>
  <c r="AE485" i="31"/>
  <c r="AD485" i="31"/>
  <c r="AG484" i="31"/>
  <c r="AF484" i="31"/>
  <c r="AE484" i="31"/>
  <c r="AD484" i="31"/>
  <c r="AG483" i="31"/>
  <c r="AF483" i="31"/>
  <c r="AE483" i="31"/>
  <c r="AD483" i="31"/>
  <c r="AG482" i="31"/>
  <c r="AF482" i="31"/>
  <c r="AE482" i="31"/>
  <c r="AD482" i="31"/>
  <c r="AG481" i="31"/>
  <c r="AF481" i="31"/>
  <c r="AE481" i="31"/>
  <c r="AD481" i="31"/>
  <c r="AG480" i="31"/>
  <c r="AF480" i="31"/>
  <c r="AE480" i="31"/>
  <c r="AD480" i="31"/>
  <c r="AG479" i="31"/>
  <c r="AF479" i="31"/>
  <c r="AE479" i="31"/>
  <c r="AD479" i="31"/>
  <c r="AG478" i="31"/>
  <c r="AF478" i="31"/>
  <c r="AE478" i="31"/>
  <c r="AD478" i="31"/>
  <c r="AG477" i="31"/>
  <c r="AF477" i="31"/>
  <c r="AE477" i="31"/>
  <c r="AD477" i="31"/>
  <c r="AG476" i="31"/>
  <c r="AF476" i="31"/>
  <c r="AE476" i="31"/>
  <c r="AD476" i="31"/>
  <c r="AG475" i="31"/>
  <c r="AF475" i="31"/>
  <c r="AE475" i="31"/>
  <c r="AD475" i="31"/>
  <c r="AG474" i="31"/>
  <c r="AF474" i="31"/>
  <c r="AE474" i="31"/>
  <c r="AD474" i="31"/>
  <c r="AG473" i="31"/>
  <c r="AF473" i="31"/>
  <c r="AE473" i="31"/>
  <c r="AD473" i="31"/>
  <c r="AG472" i="31"/>
  <c r="AF472" i="31"/>
  <c r="AE472" i="31"/>
  <c r="AD472" i="31"/>
  <c r="AG471" i="31"/>
  <c r="AF471" i="31"/>
  <c r="AE471" i="31"/>
  <c r="AD471" i="31"/>
  <c r="AG470" i="31"/>
  <c r="AF470" i="31"/>
  <c r="AE470" i="31"/>
  <c r="AD470" i="31"/>
  <c r="AG469" i="31"/>
  <c r="AF469" i="31"/>
  <c r="AE469" i="31"/>
  <c r="AD469" i="31"/>
  <c r="AG468" i="31"/>
  <c r="AF468" i="31"/>
  <c r="AE468" i="31"/>
  <c r="AD468" i="31"/>
  <c r="AG467" i="31"/>
  <c r="AF467" i="31"/>
  <c r="AE467" i="31"/>
  <c r="AD467" i="31"/>
  <c r="AG466" i="31"/>
  <c r="AF466" i="31"/>
  <c r="AE466" i="31"/>
  <c r="AD466" i="31"/>
  <c r="AG465" i="31"/>
  <c r="AF465" i="31"/>
  <c r="AE465" i="31"/>
  <c r="AD465" i="31"/>
  <c r="AG464" i="31"/>
  <c r="AF464" i="31"/>
  <c r="AE464" i="31"/>
  <c r="AD464" i="31"/>
  <c r="AG463" i="31"/>
  <c r="AF463" i="31"/>
  <c r="AE463" i="31"/>
  <c r="AD463" i="31"/>
  <c r="AG462" i="31"/>
  <c r="AF462" i="31"/>
  <c r="AE462" i="31"/>
  <c r="AD462" i="31"/>
  <c r="AG461" i="31"/>
  <c r="AF461" i="31"/>
  <c r="AE461" i="31"/>
  <c r="AD461" i="31"/>
  <c r="AG460" i="31"/>
  <c r="AF460" i="31"/>
  <c r="AE460" i="31"/>
  <c r="AD460" i="31"/>
  <c r="AG459" i="31"/>
  <c r="AF459" i="31"/>
  <c r="AE459" i="31"/>
  <c r="AD459" i="31"/>
  <c r="AG458" i="31"/>
  <c r="AF458" i="31"/>
  <c r="AE458" i="31"/>
  <c r="AD458" i="31"/>
  <c r="AG457" i="31"/>
  <c r="AF457" i="31"/>
  <c r="AE457" i="31"/>
  <c r="AD457" i="31"/>
  <c r="AG456" i="31"/>
  <c r="AF456" i="31"/>
  <c r="AE456" i="31"/>
  <c r="AD456" i="31"/>
  <c r="AG455" i="31"/>
  <c r="AF455" i="31"/>
  <c r="AE455" i="31"/>
  <c r="AD455" i="31"/>
  <c r="AG454" i="31"/>
  <c r="AF454" i="31"/>
  <c r="AE454" i="31"/>
  <c r="AD454" i="31"/>
  <c r="AG453" i="31"/>
  <c r="AF453" i="31"/>
  <c r="AE453" i="31"/>
  <c r="AD453" i="31"/>
  <c r="AG452" i="31"/>
  <c r="AF452" i="31"/>
  <c r="AE452" i="31"/>
  <c r="AD452" i="31"/>
  <c r="AG451" i="31"/>
  <c r="AF451" i="31"/>
  <c r="AE451" i="31"/>
  <c r="AD451" i="31"/>
  <c r="AG450" i="31"/>
  <c r="AF450" i="31"/>
  <c r="AE450" i="31"/>
  <c r="AD450" i="31"/>
  <c r="AG449" i="31"/>
  <c r="AF449" i="31"/>
  <c r="AE449" i="31"/>
  <c r="AD449" i="31"/>
  <c r="AG448" i="31"/>
  <c r="AF448" i="31"/>
  <c r="AE448" i="31"/>
  <c r="AD448" i="31"/>
  <c r="AG447" i="31"/>
  <c r="AF447" i="31"/>
  <c r="AE447" i="31"/>
  <c r="AD447" i="31"/>
  <c r="AG446" i="31"/>
  <c r="AF446" i="31"/>
  <c r="AE446" i="31"/>
  <c r="AD446" i="31"/>
  <c r="AG445" i="31"/>
  <c r="AF445" i="31"/>
  <c r="AE445" i="31"/>
  <c r="AD445" i="31"/>
  <c r="AG444" i="31"/>
  <c r="AF444" i="31"/>
  <c r="AE444" i="31"/>
  <c r="AD444" i="31"/>
  <c r="AG443" i="31"/>
  <c r="AF443" i="31"/>
  <c r="AE443" i="31"/>
  <c r="AD443" i="31"/>
  <c r="AG442" i="31"/>
  <c r="AF442" i="31"/>
  <c r="AE442" i="31"/>
  <c r="AD442" i="31"/>
  <c r="AG441" i="31"/>
  <c r="AF441" i="31"/>
  <c r="AE441" i="31"/>
  <c r="AD441" i="31"/>
  <c r="AG440" i="31"/>
  <c r="AF440" i="31"/>
  <c r="AE440" i="31"/>
  <c r="AD440" i="31"/>
  <c r="AG439" i="31"/>
  <c r="AF439" i="31"/>
  <c r="AE439" i="31"/>
  <c r="AD439" i="31"/>
  <c r="AG438" i="31"/>
  <c r="AF438" i="31"/>
  <c r="AE438" i="31"/>
  <c r="AD438" i="31"/>
  <c r="AG437" i="31"/>
  <c r="AF437" i="31"/>
  <c r="AE437" i="31"/>
  <c r="AD437" i="31"/>
  <c r="AG436" i="31"/>
  <c r="AF436" i="31"/>
  <c r="AE436" i="31"/>
  <c r="AD436" i="31"/>
  <c r="AG435" i="31"/>
  <c r="AF435" i="31"/>
  <c r="AE435" i="31"/>
  <c r="AD435" i="31"/>
  <c r="AG434" i="31"/>
  <c r="AF434" i="31"/>
  <c r="AE434" i="31"/>
  <c r="AD434" i="31"/>
  <c r="AG433" i="31"/>
  <c r="AF433" i="31"/>
  <c r="AE433" i="31"/>
  <c r="AD433" i="31"/>
  <c r="AG432" i="31"/>
  <c r="AF432" i="31"/>
  <c r="AE432" i="31"/>
  <c r="AD432" i="31"/>
  <c r="AG431" i="31"/>
  <c r="AF431" i="31"/>
  <c r="AE431" i="31"/>
  <c r="AD431" i="31"/>
  <c r="AG430" i="31"/>
  <c r="AF430" i="31"/>
  <c r="AE430" i="31"/>
  <c r="AD430" i="31"/>
  <c r="AG429" i="31"/>
  <c r="AF429" i="31"/>
  <c r="AE429" i="31"/>
  <c r="AD429" i="31"/>
  <c r="AG428" i="31"/>
  <c r="AF428" i="31"/>
  <c r="AE428" i="31"/>
  <c r="AD428" i="31"/>
  <c r="AG427" i="31"/>
  <c r="AF427" i="31"/>
  <c r="AE427" i="31"/>
  <c r="AD427" i="31"/>
  <c r="AG426" i="31"/>
  <c r="AF426" i="31"/>
  <c r="AE426" i="31"/>
  <c r="AD426" i="31"/>
  <c r="AG425" i="31"/>
  <c r="AF425" i="31"/>
  <c r="AE425" i="31"/>
  <c r="AD425" i="31"/>
  <c r="AG424" i="31"/>
  <c r="AF424" i="31"/>
  <c r="AE424" i="31"/>
  <c r="AD424" i="31"/>
  <c r="AG423" i="31"/>
  <c r="AF423" i="31"/>
  <c r="AE423" i="31"/>
  <c r="AD423" i="31"/>
  <c r="AG422" i="31"/>
  <c r="AF422" i="31"/>
  <c r="AE422" i="31"/>
  <c r="AD422" i="31"/>
  <c r="AG421" i="31"/>
  <c r="AF421" i="31"/>
  <c r="AE421" i="31"/>
  <c r="AD421" i="31"/>
  <c r="AG420" i="31"/>
  <c r="AF420" i="31"/>
  <c r="AE420" i="31"/>
  <c r="AD420" i="31"/>
  <c r="AG419" i="31"/>
  <c r="AF419" i="31"/>
  <c r="AE419" i="31"/>
  <c r="AD419" i="31"/>
  <c r="AG418" i="31"/>
  <c r="AF418" i="31"/>
  <c r="AE418" i="31"/>
  <c r="AD418" i="31"/>
  <c r="AG417" i="31"/>
  <c r="AF417" i="31"/>
  <c r="AE417" i="31"/>
  <c r="AD417" i="31"/>
  <c r="AG416" i="31"/>
  <c r="AF416" i="31"/>
  <c r="AE416" i="31"/>
  <c r="AD416" i="31"/>
  <c r="AG415" i="31"/>
  <c r="AF415" i="31"/>
  <c r="AE415" i="31"/>
  <c r="AD415" i="31"/>
  <c r="AG414" i="31"/>
  <c r="AF414" i="31"/>
  <c r="AE414" i="31"/>
  <c r="AD414" i="31"/>
  <c r="AG413" i="31"/>
  <c r="AF413" i="31"/>
  <c r="AE413" i="31"/>
  <c r="AD413" i="31"/>
  <c r="AG412" i="31"/>
  <c r="AF412" i="31"/>
  <c r="AE412" i="31"/>
  <c r="AD412" i="31"/>
  <c r="AG411" i="31"/>
  <c r="AF411" i="31"/>
  <c r="AE411" i="31"/>
  <c r="AD411" i="31"/>
  <c r="AG410" i="31"/>
  <c r="AF410" i="31"/>
  <c r="AE410" i="31"/>
  <c r="AD410" i="31"/>
  <c r="AG409" i="31"/>
  <c r="AF409" i="31"/>
  <c r="AE409" i="31"/>
  <c r="AD409" i="31"/>
  <c r="AG408" i="31"/>
  <c r="AF408" i="31"/>
  <c r="AE408" i="31"/>
  <c r="AD408" i="31"/>
  <c r="AG407" i="31"/>
  <c r="AF407" i="31"/>
  <c r="AE407" i="31"/>
  <c r="AD407" i="31"/>
  <c r="AG406" i="31"/>
  <c r="AF406" i="31"/>
  <c r="AE406" i="31"/>
  <c r="AD406" i="31"/>
  <c r="AG405" i="31"/>
  <c r="AF405" i="31"/>
  <c r="AE405" i="31"/>
  <c r="AD405" i="31"/>
  <c r="AG404" i="31"/>
  <c r="AF404" i="31"/>
  <c r="AE404" i="31"/>
  <c r="AD404" i="31"/>
  <c r="AG403" i="31"/>
  <c r="AF403" i="31"/>
  <c r="AE403" i="31"/>
  <c r="AD403" i="31"/>
  <c r="AG402" i="31"/>
  <c r="AF402" i="31"/>
  <c r="AE402" i="31"/>
  <c r="AD402" i="31"/>
  <c r="AG401" i="31"/>
  <c r="AF401" i="31"/>
  <c r="AE401" i="31"/>
  <c r="AD401" i="31"/>
  <c r="AG400" i="31"/>
  <c r="AF400" i="31"/>
  <c r="AE400" i="31"/>
  <c r="AD400" i="31"/>
  <c r="AG399" i="31"/>
  <c r="AF399" i="31"/>
  <c r="AE399" i="31"/>
  <c r="AD399" i="31"/>
  <c r="AG398" i="31"/>
  <c r="AF398" i="31"/>
  <c r="AE398" i="31"/>
  <c r="AD398" i="31"/>
  <c r="AG397" i="31"/>
  <c r="AF397" i="31"/>
  <c r="AE397" i="31"/>
  <c r="AD397" i="31"/>
  <c r="AG396" i="31"/>
  <c r="AF396" i="31"/>
  <c r="AE396" i="31"/>
  <c r="AD396" i="31"/>
  <c r="AG395" i="31"/>
  <c r="AF395" i="31"/>
  <c r="AE395" i="31"/>
  <c r="AD395" i="31"/>
  <c r="AG394" i="31"/>
  <c r="AF394" i="31"/>
  <c r="AE394" i="31"/>
  <c r="AD394" i="31"/>
  <c r="AG393" i="31"/>
  <c r="AF393" i="31"/>
  <c r="AE393" i="31"/>
  <c r="AD393" i="31"/>
  <c r="AG392" i="31"/>
  <c r="AF392" i="31"/>
  <c r="AE392" i="31"/>
  <c r="AD392" i="31"/>
  <c r="AG391" i="31"/>
  <c r="AF391" i="31"/>
  <c r="AE391" i="31"/>
  <c r="AD391" i="31"/>
  <c r="AG390" i="31"/>
  <c r="AF390" i="31"/>
  <c r="AE390" i="31"/>
  <c r="AD390" i="31"/>
  <c r="AG389" i="31"/>
  <c r="AF389" i="31"/>
  <c r="AE389" i="31"/>
  <c r="AD389" i="31"/>
  <c r="AG388" i="31"/>
  <c r="AF388" i="31"/>
  <c r="AE388" i="31"/>
  <c r="AD388" i="31"/>
  <c r="AG387" i="31"/>
  <c r="AF387" i="31"/>
  <c r="AE387" i="31"/>
  <c r="AD387" i="31"/>
  <c r="AG386" i="31"/>
  <c r="AF386" i="31"/>
  <c r="AE386" i="31"/>
  <c r="AD386" i="31"/>
  <c r="AG385" i="31"/>
  <c r="AF385" i="31"/>
  <c r="AE385" i="31"/>
  <c r="AD385" i="31"/>
  <c r="AG384" i="31"/>
  <c r="AF384" i="31"/>
  <c r="AE384" i="31"/>
  <c r="AD384" i="31"/>
  <c r="AG383" i="31"/>
  <c r="AF383" i="31"/>
  <c r="AE383" i="31"/>
  <c r="AD383" i="31"/>
  <c r="AG382" i="31"/>
  <c r="AF382" i="31"/>
  <c r="AE382" i="31"/>
  <c r="AD382" i="31"/>
  <c r="AG381" i="31"/>
  <c r="AF381" i="31"/>
  <c r="AE381" i="31"/>
  <c r="AD381" i="31"/>
  <c r="AG380" i="31"/>
  <c r="AF380" i="31"/>
  <c r="AE380" i="31"/>
  <c r="AD380" i="31"/>
  <c r="AG379" i="31"/>
  <c r="AF379" i="31"/>
  <c r="AE379" i="31"/>
  <c r="AD379" i="31"/>
  <c r="AG378" i="31"/>
  <c r="AF378" i="31"/>
  <c r="AE378" i="31"/>
  <c r="AD378" i="31"/>
  <c r="AG377" i="31"/>
  <c r="AF377" i="31"/>
  <c r="AE377" i="31"/>
  <c r="AD377" i="31"/>
  <c r="AG376" i="31"/>
  <c r="AF376" i="31"/>
  <c r="AE376" i="31"/>
  <c r="AD376" i="31"/>
  <c r="AG375" i="31"/>
  <c r="AF375" i="31"/>
  <c r="AE375" i="31"/>
  <c r="AD375" i="31"/>
  <c r="AG374" i="31"/>
  <c r="AF374" i="31"/>
  <c r="AE374" i="31"/>
  <c r="AD374" i="31"/>
  <c r="AG373" i="31"/>
  <c r="AF373" i="31"/>
  <c r="AE373" i="31"/>
  <c r="AD373" i="31"/>
  <c r="AG372" i="31"/>
  <c r="AF372" i="31"/>
  <c r="AE372" i="31"/>
  <c r="AD372" i="31"/>
  <c r="AG371" i="31"/>
  <c r="AF371" i="31"/>
  <c r="AE371" i="31"/>
  <c r="AD371" i="31"/>
  <c r="AG370" i="31"/>
  <c r="AF370" i="31"/>
  <c r="AE370" i="31"/>
  <c r="AD370" i="31"/>
  <c r="AG369" i="31"/>
  <c r="AF369" i="31"/>
  <c r="AE369" i="31"/>
  <c r="AD369" i="31"/>
  <c r="AG368" i="31"/>
  <c r="AF368" i="31"/>
  <c r="AE368" i="31"/>
  <c r="AD368" i="31"/>
  <c r="AG367" i="31"/>
  <c r="AF367" i="31"/>
  <c r="AE367" i="31"/>
  <c r="AD367" i="31"/>
  <c r="AG366" i="31"/>
  <c r="AF366" i="31"/>
  <c r="AE366" i="31"/>
  <c r="AD366" i="31"/>
  <c r="AG365" i="31"/>
  <c r="AF365" i="31"/>
  <c r="AE365" i="31"/>
  <c r="AD365" i="31"/>
  <c r="AG364" i="31"/>
  <c r="AF364" i="31"/>
  <c r="AE364" i="31"/>
  <c r="AD364" i="31"/>
  <c r="AG363" i="31"/>
  <c r="AF363" i="31"/>
  <c r="AE363" i="31"/>
  <c r="AD363" i="31"/>
  <c r="AG362" i="31"/>
  <c r="AF362" i="31"/>
  <c r="AE362" i="31"/>
  <c r="AD362" i="31"/>
  <c r="AG361" i="31"/>
  <c r="AF361" i="31"/>
  <c r="AE361" i="31"/>
  <c r="AD361" i="31"/>
  <c r="AG360" i="31"/>
  <c r="AF360" i="31"/>
  <c r="AE360" i="31"/>
  <c r="AD360" i="31"/>
  <c r="AG359" i="31"/>
  <c r="AF359" i="31"/>
  <c r="AE359" i="31"/>
  <c r="AD359" i="31"/>
  <c r="AG358" i="31"/>
  <c r="AF358" i="31"/>
  <c r="AE358" i="31"/>
  <c r="AD358" i="31"/>
  <c r="AG357" i="31"/>
  <c r="AF357" i="31"/>
  <c r="AE357" i="31"/>
  <c r="AD357" i="31"/>
  <c r="AG356" i="31"/>
  <c r="AF356" i="31"/>
  <c r="AE356" i="31"/>
  <c r="AD356" i="31"/>
  <c r="AG355" i="31"/>
  <c r="AF355" i="31"/>
  <c r="AE355" i="31"/>
  <c r="AD355" i="31"/>
  <c r="AG354" i="31"/>
  <c r="AF354" i="31"/>
  <c r="AE354" i="31"/>
  <c r="AD354" i="31"/>
  <c r="AG353" i="31"/>
  <c r="AF353" i="31"/>
  <c r="AE353" i="31"/>
  <c r="AD353" i="31"/>
  <c r="AG352" i="31"/>
  <c r="AF352" i="31"/>
  <c r="AE352" i="31"/>
  <c r="AD352" i="31"/>
  <c r="AG351" i="31"/>
  <c r="AF351" i="31"/>
  <c r="AE351" i="31"/>
  <c r="AD351" i="31"/>
  <c r="AG350" i="31"/>
  <c r="AF350" i="31"/>
  <c r="AE350" i="31"/>
  <c r="AD350" i="31"/>
  <c r="AG349" i="31"/>
  <c r="AF349" i="31"/>
  <c r="AE349" i="31"/>
  <c r="AD349" i="31"/>
  <c r="AG348" i="31"/>
  <c r="AF348" i="31"/>
  <c r="AE348" i="31"/>
  <c r="AD348" i="31"/>
  <c r="AG347" i="31"/>
  <c r="AF347" i="31"/>
  <c r="AE347" i="31"/>
  <c r="AD347" i="31"/>
  <c r="AG346" i="31"/>
  <c r="AF346" i="31"/>
  <c r="AE346" i="31"/>
  <c r="AD346" i="31"/>
  <c r="AG345" i="31"/>
  <c r="AF345" i="31"/>
  <c r="AE345" i="31"/>
  <c r="AD345" i="31"/>
  <c r="AG344" i="31"/>
  <c r="AF344" i="31"/>
  <c r="AE344" i="31"/>
  <c r="AD344" i="31"/>
  <c r="AG343" i="31"/>
  <c r="AF343" i="31"/>
  <c r="AE343" i="31"/>
  <c r="AD343" i="31"/>
  <c r="AG342" i="31"/>
  <c r="AF342" i="31"/>
  <c r="AE342" i="31"/>
  <c r="AD342" i="31"/>
  <c r="AG341" i="31"/>
  <c r="AF341" i="31"/>
  <c r="AE341" i="31"/>
  <c r="AD341" i="31"/>
  <c r="AG340" i="31"/>
  <c r="AF340" i="31"/>
  <c r="AE340" i="31"/>
  <c r="AD340" i="31"/>
  <c r="AG339" i="31"/>
  <c r="AF339" i="31"/>
  <c r="AE339" i="31"/>
  <c r="AD339" i="31"/>
  <c r="AG338" i="31"/>
  <c r="AF338" i="31"/>
  <c r="AE338" i="31"/>
  <c r="AD338" i="31"/>
  <c r="AG337" i="31"/>
  <c r="AF337" i="31"/>
  <c r="AE337" i="31"/>
  <c r="AD337" i="31"/>
  <c r="AG336" i="31"/>
  <c r="AF336" i="31"/>
  <c r="AE336" i="31"/>
  <c r="AD336" i="31"/>
  <c r="AG335" i="31"/>
  <c r="AF335" i="31"/>
  <c r="AE335" i="31"/>
  <c r="AD335" i="31"/>
  <c r="AG334" i="31"/>
  <c r="AF334" i="31"/>
  <c r="AE334" i="31"/>
  <c r="AD334" i="31"/>
  <c r="AG333" i="31"/>
  <c r="AF333" i="31"/>
  <c r="AE333" i="31"/>
  <c r="AD333" i="31"/>
  <c r="AG332" i="31"/>
  <c r="AF332" i="31"/>
  <c r="AE332" i="31"/>
  <c r="AD332" i="31"/>
  <c r="AG331" i="31"/>
  <c r="AF331" i="31"/>
  <c r="AE331" i="31"/>
  <c r="AD331" i="31"/>
  <c r="AG330" i="31"/>
  <c r="AF330" i="31"/>
  <c r="AE330" i="31"/>
  <c r="AD330" i="31"/>
  <c r="AG329" i="31"/>
  <c r="AF329" i="31"/>
  <c r="AE329" i="31"/>
  <c r="AD329" i="31"/>
  <c r="AG328" i="31"/>
  <c r="AF328" i="31"/>
  <c r="AE328" i="31"/>
  <c r="AD328" i="31"/>
  <c r="AG327" i="31"/>
  <c r="AF327" i="31"/>
  <c r="AE327" i="31"/>
  <c r="AD327" i="31"/>
  <c r="AG326" i="31"/>
  <c r="AF326" i="31"/>
  <c r="AE326" i="31"/>
  <c r="AD326" i="31"/>
  <c r="AG325" i="31"/>
  <c r="AF325" i="31"/>
  <c r="AE325" i="31"/>
  <c r="AD325" i="31"/>
  <c r="AG324" i="31"/>
  <c r="AF324" i="31"/>
  <c r="AE324" i="31"/>
  <c r="AD324" i="31"/>
  <c r="AG323" i="31"/>
  <c r="AF323" i="31"/>
  <c r="AE323" i="31"/>
  <c r="AD323" i="31"/>
  <c r="AG322" i="31"/>
  <c r="AF322" i="31"/>
  <c r="AE322" i="31"/>
  <c r="AD322" i="31"/>
  <c r="AG321" i="31"/>
  <c r="AF321" i="31"/>
  <c r="AE321" i="31"/>
  <c r="AD321" i="31"/>
  <c r="AG320" i="31"/>
  <c r="AF320" i="31"/>
  <c r="AE320" i="31"/>
  <c r="AD320" i="31"/>
  <c r="AG319" i="31"/>
  <c r="AF319" i="31"/>
  <c r="AE319" i="31"/>
  <c r="AD319" i="31"/>
  <c r="AG318" i="31"/>
  <c r="AF318" i="31"/>
  <c r="AE318" i="31"/>
  <c r="AD318" i="31"/>
  <c r="AG317" i="31"/>
  <c r="AF317" i="31"/>
  <c r="AE317" i="31"/>
  <c r="AD317" i="31"/>
  <c r="AG316" i="31"/>
  <c r="AF316" i="31"/>
  <c r="AE316" i="31"/>
  <c r="AD316" i="31"/>
  <c r="AG315" i="31"/>
  <c r="AF315" i="31"/>
  <c r="AE315" i="31"/>
  <c r="AD315" i="31"/>
  <c r="AG314" i="31"/>
  <c r="AF314" i="31"/>
  <c r="AE314" i="31"/>
  <c r="AD314" i="31"/>
  <c r="AG313" i="31"/>
  <c r="AF313" i="31"/>
  <c r="AE313" i="31"/>
  <c r="AD313" i="31"/>
  <c r="AG312" i="31"/>
  <c r="AF312" i="31"/>
  <c r="AE312" i="31"/>
  <c r="AD312" i="31"/>
  <c r="AG311" i="31"/>
  <c r="AF311" i="31"/>
  <c r="AE311" i="31"/>
  <c r="AD311" i="31"/>
  <c r="AG310" i="31"/>
  <c r="AF310" i="31"/>
  <c r="AE310" i="31"/>
  <c r="AD310" i="31"/>
  <c r="AG309" i="31"/>
  <c r="AF309" i="31"/>
  <c r="AE309" i="31"/>
  <c r="AD309" i="31"/>
  <c r="AG308" i="31"/>
  <c r="AF308" i="31"/>
  <c r="AE308" i="31"/>
  <c r="AD308" i="31"/>
  <c r="AG307" i="31"/>
  <c r="AF307" i="31"/>
  <c r="AE307" i="31"/>
  <c r="AD307" i="31"/>
  <c r="AG306" i="31"/>
  <c r="AF306" i="31"/>
  <c r="AE306" i="31"/>
  <c r="AD306" i="31"/>
  <c r="AG305" i="31"/>
  <c r="AF305" i="31"/>
  <c r="AE305" i="31"/>
  <c r="AD305" i="31"/>
  <c r="AG304" i="31"/>
  <c r="AF304" i="31"/>
  <c r="AE304" i="31"/>
  <c r="AD304" i="31"/>
  <c r="AG303" i="31"/>
  <c r="AF303" i="31"/>
  <c r="AE303" i="31"/>
  <c r="AD303" i="31"/>
  <c r="AG302" i="31"/>
  <c r="AF302" i="31"/>
  <c r="AE302" i="31"/>
  <c r="AD302" i="31"/>
  <c r="AG301" i="31"/>
  <c r="AF301" i="31"/>
  <c r="AE301" i="31"/>
  <c r="AD301" i="31"/>
  <c r="AG300" i="31"/>
  <c r="AF300" i="31"/>
  <c r="AE300" i="31"/>
  <c r="AD300" i="31"/>
  <c r="AG299" i="31"/>
  <c r="AF299" i="31"/>
  <c r="AE299" i="31"/>
  <c r="AD299" i="31"/>
  <c r="AG298" i="31"/>
  <c r="AF298" i="31"/>
  <c r="AE298" i="31"/>
  <c r="AD298" i="31"/>
  <c r="AG297" i="31"/>
  <c r="AF297" i="31"/>
  <c r="AE297" i="31"/>
  <c r="AD297" i="31"/>
  <c r="AG296" i="31"/>
  <c r="AF296" i="31"/>
  <c r="AE296" i="31"/>
  <c r="AD296" i="31"/>
  <c r="AG295" i="31"/>
  <c r="AF295" i="31"/>
  <c r="AE295" i="31"/>
  <c r="AD295" i="31"/>
  <c r="AG294" i="31"/>
  <c r="AF294" i="31"/>
  <c r="AE294" i="31"/>
  <c r="AD294" i="31"/>
  <c r="AG293" i="31"/>
  <c r="AF293" i="31"/>
  <c r="AE293" i="31"/>
  <c r="AD293" i="31"/>
  <c r="AG292" i="31"/>
  <c r="AF292" i="31"/>
  <c r="AE292" i="31"/>
  <c r="AD292" i="31"/>
  <c r="AG291" i="31"/>
  <c r="AF291" i="31"/>
  <c r="AE291" i="31"/>
  <c r="AD291" i="31"/>
  <c r="AG290" i="31"/>
  <c r="AF290" i="31"/>
  <c r="AE290" i="31"/>
  <c r="AD290" i="31"/>
  <c r="AG289" i="31"/>
  <c r="AF289" i="31"/>
  <c r="AE289" i="31"/>
  <c r="AD289" i="31"/>
  <c r="AG288" i="31"/>
  <c r="AF288" i="31"/>
  <c r="AE288" i="31"/>
  <c r="AD288" i="31"/>
  <c r="AG287" i="31"/>
  <c r="AF287" i="31"/>
  <c r="AE287" i="31"/>
  <c r="AD287" i="31"/>
  <c r="AG286" i="31"/>
  <c r="AF286" i="31"/>
  <c r="AE286" i="31"/>
  <c r="AD286" i="31"/>
  <c r="AG285" i="31"/>
  <c r="AF285" i="31"/>
  <c r="AE285" i="31"/>
  <c r="AD285" i="31"/>
  <c r="AG284" i="31"/>
  <c r="AF284" i="31"/>
  <c r="AE284" i="31"/>
  <c r="AD284" i="31"/>
  <c r="AG283" i="31"/>
  <c r="AF283" i="31"/>
  <c r="AE283" i="31"/>
  <c r="AD283" i="31"/>
  <c r="AG282" i="31"/>
  <c r="AF282" i="31"/>
  <c r="AE282" i="31"/>
  <c r="AD282" i="31"/>
  <c r="AG281" i="31"/>
  <c r="AF281" i="31"/>
  <c r="AE281" i="31"/>
  <c r="AD281" i="31"/>
  <c r="AG280" i="31"/>
  <c r="AF280" i="31"/>
  <c r="AE280" i="31"/>
  <c r="AD280" i="31"/>
  <c r="AG279" i="31"/>
  <c r="AF279" i="31"/>
  <c r="AE279" i="31"/>
  <c r="AD279" i="31"/>
  <c r="AG278" i="31"/>
  <c r="AF278" i="31"/>
  <c r="AE278" i="31"/>
  <c r="AD278" i="31"/>
  <c r="AG277" i="31"/>
  <c r="AF277" i="31"/>
  <c r="AE277" i="31"/>
  <c r="AD277" i="31"/>
  <c r="AG276" i="31"/>
  <c r="AF276" i="31"/>
  <c r="AE276" i="31"/>
  <c r="AD276" i="31"/>
  <c r="AG275" i="31"/>
  <c r="AF275" i="31"/>
  <c r="AE275" i="31"/>
  <c r="AD275" i="31"/>
  <c r="AG274" i="31"/>
  <c r="AF274" i="31"/>
  <c r="AE274" i="31"/>
  <c r="AD274" i="31"/>
  <c r="AG273" i="31"/>
  <c r="AF273" i="31"/>
  <c r="AE273" i="31"/>
  <c r="AD273" i="31"/>
  <c r="AG272" i="31"/>
  <c r="AF272" i="31"/>
  <c r="AE272" i="31"/>
  <c r="AD272" i="31"/>
  <c r="AG271" i="31"/>
  <c r="AF271" i="31"/>
  <c r="AE271" i="31"/>
  <c r="AD271" i="31"/>
  <c r="AG270" i="31"/>
  <c r="AF270" i="31"/>
  <c r="AE270" i="31"/>
  <c r="AD270" i="31"/>
  <c r="AG269" i="31"/>
  <c r="AF269" i="31"/>
  <c r="AE269" i="31"/>
  <c r="AD269" i="31"/>
  <c r="AG268" i="31"/>
  <c r="AF268" i="31"/>
  <c r="AE268" i="31"/>
  <c r="AD268" i="31"/>
  <c r="AG267" i="31"/>
  <c r="AF267" i="31"/>
  <c r="AE267" i="31"/>
  <c r="AD267" i="31"/>
  <c r="AG266" i="31"/>
  <c r="AF266" i="31"/>
  <c r="AE266" i="31"/>
  <c r="AD266" i="31"/>
  <c r="AG265" i="31"/>
  <c r="AF265" i="31"/>
  <c r="AE265" i="31"/>
  <c r="AD265" i="31"/>
  <c r="AG264" i="31"/>
  <c r="AF264" i="31"/>
  <c r="AE264" i="31"/>
  <c r="AD264" i="31"/>
  <c r="AG263" i="31"/>
  <c r="AF263" i="31"/>
  <c r="AE263" i="31"/>
  <c r="AD263" i="31"/>
  <c r="AG262" i="31"/>
  <c r="AF262" i="31"/>
  <c r="AE262" i="31"/>
  <c r="AD262" i="31"/>
  <c r="AG261" i="31"/>
  <c r="AF261" i="31"/>
  <c r="AE261" i="31"/>
  <c r="AD261" i="31"/>
  <c r="AG260" i="31"/>
  <c r="AF260" i="31"/>
  <c r="AE260" i="31"/>
  <c r="AD260" i="31"/>
  <c r="AG259" i="31"/>
  <c r="AF259" i="31"/>
  <c r="AE259" i="31"/>
  <c r="AD259" i="31"/>
  <c r="AG258" i="31"/>
  <c r="AF258" i="31"/>
  <c r="AE258" i="31"/>
  <c r="AD258" i="31"/>
  <c r="AG257" i="31"/>
  <c r="AF257" i="31"/>
  <c r="AE257" i="31"/>
  <c r="AD257" i="31"/>
  <c r="AG256" i="31"/>
  <c r="AF256" i="31"/>
  <c r="AE256" i="31"/>
  <c r="AD256" i="31"/>
  <c r="AG255" i="31"/>
  <c r="AF255" i="31"/>
  <c r="AE255" i="31"/>
  <c r="AD255" i="31"/>
  <c r="AG254" i="31"/>
  <c r="AF254" i="31"/>
  <c r="AE254" i="31"/>
  <c r="AD254" i="31"/>
  <c r="AG253" i="31"/>
  <c r="AF253" i="31"/>
  <c r="AE253" i="31"/>
  <c r="AD253" i="31"/>
  <c r="AG252" i="31"/>
  <c r="AF252" i="31"/>
  <c r="AE252" i="31"/>
  <c r="AD252" i="31"/>
  <c r="AG251" i="31"/>
  <c r="AF251" i="31"/>
  <c r="AE251" i="31"/>
  <c r="AD251" i="31"/>
  <c r="AG250" i="31"/>
  <c r="AF250" i="31"/>
  <c r="AE250" i="31"/>
  <c r="AD250" i="31"/>
  <c r="AG249" i="31"/>
  <c r="AF249" i="31"/>
  <c r="AE249" i="31"/>
  <c r="AD249" i="31"/>
  <c r="AG248" i="31"/>
  <c r="AF248" i="31"/>
  <c r="AE248" i="31"/>
  <c r="AD248" i="31"/>
  <c r="AG247" i="31"/>
  <c r="AF247" i="31"/>
  <c r="AE247" i="31"/>
  <c r="AD247" i="31"/>
  <c r="AG246" i="31"/>
  <c r="AF246" i="31"/>
  <c r="AE246" i="31"/>
  <c r="AD246" i="31"/>
  <c r="AG245" i="31"/>
  <c r="AF245" i="31"/>
  <c r="AE245" i="31"/>
  <c r="AD245" i="31"/>
  <c r="AG244" i="31"/>
  <c r="AF244" i="31"/>
  <c r="AE244" i="31"/>
  <c r="AD244" i="31"/>
  <c r="AG243" i="31"/>
  <c r="AF243" i="31"/>
  <c r="AE243" i="31"/>
  <c r="AD243" i="31"/>
  <c r="AG242" i="31"/>
  <c r="AF242" i="31"/>
  <c r="AE242" i="31"/>
  <c r="AD242" i="31"/>
  <c r="AG241" i="31"/>
  <c r="AF241" i="31"/>
  <c r="AE241" i="31"/>
  <c r="AD241" i="31"/>
  <c r="AG240" i="31"/>
  <c r="AF240" i="31"/>
  <c r="AE240" i="31"/>
  <c r="AD240" i="31"/>
  <c r="AG239" i="31"/>
  <c r="AF239" i="31"/>
  <c r="AE239" i="31"/>
  <c r="AD239" i="31"/>
  <c r="AG238" i="31"/>
  <c r="AF238" i="31"/>
  <c r="AE238" i="31"/>
  <c r="AD238" i="31"/>
  <c r="AG237" i="31"/>
  <c r="AF237" i="31"/>
  <c r="AE237" i="31"/>
  <c r="AD237" i="31"/>
  <c r="AG236" i="31"/>
  <c r="AF236" i="31"/>
  <c r="AE236" i="31"/>
  <c r="AD236" i="31"/>
  <c r="AG235" i="31"/>
  <c r="AF235" i="31"/>
  <c r="AE235" i="31"/>
  <c r="AD235" i="31"/>
  <c r="AG234" i="31"/>
  <c r="AF234" i="31"/>
  <c r="AE234" i="31"/>
  <c r="AD234" i="31"/>
  <c r="AG233" i="31"/>
  <c r="AF233" i="31"/>
  <c r="AE233" i="31"/>
  <c r="AD233" i="31"/>
  <c r="AG232" i="31"/>
  <c r="AF232" i="31"/>
  <c r="AE232" i="31"/>
  <c r="AD232" i="31"/>
  <c r="AG231" i="31"/>
  <c r="AF231" i="31"/>
  <c r="AE231" i="31"/>
  <c r="AD231" i="31"/>
  <c r="AG230" i="31"/>
  <c r="AF230" i="31"/>
  <c r="AE230" i="31"/>
  <c r="AD230" i="31"/>
  <c r="AG229" i="31"/>
  <c r="AF229" i="31"/>
  <c r="AE229" i="31"/>
  <c r="AD229" i="31"/>
  <c r="AG228" i="31"/>
  <c r="AF228" i="31"/>
  <c r="AE228" i="31"/>
  <c r="AD228" i="31"/>
  <c r="AG227" i="31"/>
  <c r="AF227" i="31"/>
  <c r="AE227" i="31"/>
  <c r="AD227" i="31"/>
  <c r="AG226" i="31"/>
  <c r="AF226" i="31"/>
  <c r="AE226" i="31"/>
  <c r="AD226" i="31"/>
  <c r="AG225" i="31"/>
  <c r="AF225" i="31"/>
  <c r="AE225" i="31"/>
  <c r="AD225" i="31"/>
  <c r="AG224" i="31"/>
  <c r="AF224" i="31"/>
  <c r="AE224" i="31"/>
  <c r="AD224" i="31"/>
  <c r="AG223" i="31"/>
  <c r="AF223" i="31"/>
  <c r="AE223" i="31"/>
  <c r="AD223" i="31"/>
  <c r="AG222" i="31"/>
  <c r="AF222" i="31"/>
  <c r="AE222" i="31"/>
  <c r="AD222" i="31"/>
  <c r="AG221" i="31"/>
  <c r="AF221" i="31"/>
  <c r="AE221" i="31"/>
  <c r="AD221" i="31"/>
  <c r="AG220" i="31"/>
  <c r="AF220" i="31"/>
  <c r="AE220" i="31"/>
  <c r="AD220" i="31"/>
  <c r="AG219" i="31"/>
  <c r="AF219" i="31"/>
  <c r="AE219" i="31"/>
  <c r="AD219" i="31"/>
  <c r="AG218" i="31"/>
  <c r="AF218" i="31"/>
  <c r="AE218" i="31"/>
  <c r="AD218" i="31"/>
  <c r="AG217" i="31"/>
  <c r="AF217" i="31"/>
  <c r="AE217" i="31"/>
  <c r="AD217" i="31"/>
  <c r="AG216" i="31"/>
  <c r="AF216" i="31"/>
  <c r="AE216" i="31"/>
  <c r="AD216" i="31"/>
  <c r="AG215" i="31"/>
  <c r="AF215" i="31"/>
  <c r="AE215" i="31"/>
  <c r="AD215" i="31"/>
  <c r="AG214" i="31"/>
  <c r="AF214" i="31"/>
  <c r="AE214" i="31"/>
  <c r="AD214" i="31"/>
  <c r="AG213" i="31"/>
  <c r="AF213" i="31"/>
  <c r="AE213" i="31"/>
  <c r="AD213" i="31"/>
  <c r="AG212" i="31"/>
  <c r="AF212" i="31"/>
  <c r="AE212" i="31"/>
  <c r="AD212" i="31"/>
  <c r="AG211" i="31"/>
  <c r="AF211" i="31"/>
  <c r="AE211" i="31"/>
  <c r="AD211" i="31"/>
  <c r="AG210" i="31"/>
  <c r="AF210" i="31"/>
  <c r="AE210" i="31"/>
  <c r="AD210" i="31"/>
  <c r="AG209" i="31"/>
  <c r="AF209" i="31"/>
  <c r="AE209" i="31"/>
  <c r="AD209" i="31"/>
  <c r="AG208" i="31"/>
  <c r="AF208" i="31"/>
  <c r="AE208" i="31"/>
  <c r="AD208" i="31"/>
  <c r="AG207" i="31"/>
  <c r="AF207" i="31"/>
  <c r="AE207" i="31"/>
  <c r="AD207" i="31"/>
  <c r="AG206" i="31"/>
  <c r="AF206" i="31"/>
  <c r="AE206" i="31"/>
  <c r="AD206" i="31"/>
  <c r="AG205" i="31"/>
  <c r="AF205" i="31"/>
  <c r="AE205" i="31"/>
  <c r="AD205" i="31"/>
  <c r="AG204" i="31"/>
  <c r="AF204" i="31"/>
  <c r="AE204" i="31"/>
  <c r="AD204" i="31"/>
  <c r="AG203" i="31"/>
  <c r="AF203" i="31"/>
  <c r="AE203" i="31"/>
  <c r="AD203" i="31"/>
  <c r="AG202" i="31"/>
  <c r="AF202" i="31"/>
  <c r="AE202" i="31"/>
  <c r="AD202" i="31"/>
  <c r="AG201" i="31"/>
  <c r="AF201" i="31"/>
  <c r="AE201" i="31"/>
  <c r="AD201" i="31"/>
  <c r="AG200" i="31"/>
  <c r="AF200" i="31"/>
  <c r="AE200" i="31"/>
  <c r="AD200" i="31"/>
  <c r="AG199" i="31"/>
  <c r="AF199" i="31"/>
  <c r="AE199" i="31"/>
  <c r="AD199" i="31"/>
  <c r="AG198" i="31"/>
  <c r="AF198" i="31"/>
  <c r="AE198" i="31"/>
  <c r="AD198" i="31"/>
  <c r="AG197" i="31"/>
  <c r="AF197" i="31"/>
  <c r="AE197" i="31"/>
  <c r="AD197" i="31"/>
  <c r="AG196" i="31"/>
  <c r="AF196" i="31"/>
  <c r="AE196" i="31"/>
  <c r="AD196" i="31"/>
  <c r="AG195" i="31"/>
  <c r="AF195" i="31"/>
  <c r="AE195" i="31"/>
  <c r="AD195" i="31"/>
  <c r="AG194" i="31"/>
  <c r="AF194" i="31"/>
  <c r="AE194" i="31"/>
  <c r="AD194" i="31"/>
  <c r="AG193" i="31"/>
  <c r="AF193" i="31"/>
  <c r="AE193" i="31"/>
  <c r="AD193" i="31"/>
  <c r="AG192" i="31"/>
  <c r="AF192" i="31"/>
  <c r="AE192" i="31"/>
  <c r="AD192" i="31"/>
  <c r="AG191" i="31"/>
  <c r="AF191" i="31"/>
  <c r="AE191" i="31"/>
  <c r="AD191" i="31"/>
  <c r="AG190" i="31"/>
  <c r="AF190" i="31"/>
  <c r="AE190" i="31"/>
  <c r="AD190" i="31"/>
  <c r="AG189" i="31"/>
  <c r="AF189" i="31"/>
  <c r="AE189" i="31"/>
  <c r="AD189" i="31"/>
  <c r="AG188" i="31"/>
  <c r="AF188" i="31"/>
  <c r="AE188" i="31"/>
  <c r="AD188" i="31"/>
  <c r="AG187" i="31"/>
  <c r="AF187" i="31"/>
  <c r="AE187" i="31"/>
  <c r="AD187" i="31"/>
  <c r="AG186" i="31"/>
  <c r="AF186" i="31"/>
  <c r="AE186" i="31"/>
  <c r="AD186" i="31"/>
  <c r="AG185" i="31"/>
  <c r="AF185" i="31"/>
  <c r="AE185" i="31"/>
  <c r="AD185" i="31"/>
  <c r="AG184" i="31"/>
  <c r="AF184" i="31"/>
  <c r="AE184" i="31"/>
  <c r="AD184" i="31"/>
  <c r="AG183" i="31"/>
  <c r="AF183" i="31"/>
  <c r="AE183" i="31"/>
  <c r="AD183" i="31"/>
  <c r="AG182" i="31"/>
  <c r="AF182" i="31"/>
  <c r="AE182" i="31"/>
  <c r="AD182" i="31"/>
  <c r="AG181" i="31"/>
  <c r="AF181" i="31"/>
  <c r="AE181" i="31"/>
  <c r="AD181" i="31"/>
  <c r="AG180" i="31"/>
  <c r="AF180" i="31"/>
  <c r="AE180" i="31"/>
  <c r="AD180" i="31"/>
  <c r="AG179" i="31"/>
  <c r="AF179" i="31"/>
  <c r="AE179" i="31"/>
  <c r="AD179" i="31"/>
  <c r="AG178" i="31"/>
  <c r="AF178" i="31"/>
  <c r="AE178" i="31"/>
  <c r="AD178" i="31"/>
  <c r="AG177" i="31"/>
  <c r="AF177" i="31"/>
  <c r="AE177" i="31"/>
  <c r="AD177" i="31"/>
  <c r="AG176" i="31"/>
  <c r="AF176" i="31"/>
  <c r="AE176" i="31"/>
  <c r="AD176" i="31"/>
  <c r="AG175" i="31"/>
  <c r="AF175" i="31"/>
  <c r="AE175" i="31"/>
  <c r="AD175" i="31"/>
  <c r="AG174" i="31"/>
  <c r="AF174" i="31"/>
  <c r="AE174" i="31"/>
  <c r="AD174" i="31"/>
  <c r="AG173" i="31"/>
  <c r="AF173" i="31"/>
  <c r="AE173" i="31"/>
  <c r="AD173" i="31"/>
  <c r="AG172" i="31"/>
  <c r="AF172" i="31"/>
  <c r="AE172" i="31"/>
  <c r="AD172" i="31"/>
  <c r="AG171" i="31"/>
  <c r="AF171" i="31"/>
  <c r="AE171" i="31"/>
  <c r="AD171" i="31"/>
  <c r="AG170" i="31"/>
  <c r="AF170" i="31"/>
  <c r="AE170" i="31"/>
  <c r="AD170" i="31"/>
  <c r="AG169" i="31"/>
  <c r="AF169" i="31"/>
  <c r="AE169" i="31"/>
  <c r="AD169" i="31"/>
  <c r="AG168" i="31"/>
  <c r="AF168" i="31"/>
  <c r="AE168" i="31"/>
  <c r="AD168" i="31"/>
  <c r="AG167" i="31"/>
  <c r="AF167" i="31"/>
  <c r="AE167" i="31"/>
  <c r="AD167" i="31"/>
  <c r="AG166" i="31"/>
  <c r="AF166" i="31"/>
  <c r="AE166" i="31"/>
  <c r="AD166" i="31"/>
  <c r="AG165" i="31"/>
  <c r="AF165" i="31"/>
  <c r="AE165" i="31"/>
  <c r="AD165" i="31"/>
  <c r="AG164" i="31"/>
  <c r="AF164" i="31"/>
  <c r="AE164" i="31"/>
  <c r="AD164" i="31"/>
  <c r="AG163" i="31"/>
  <c r="AF163" i="31"/>
  <c r="AE163" i="31"/>
  <c r="AD163" i="31"/>
  <c r="AG162" i="31"/>
  <c r="AF162" i="31"/>
  <c r="AE162" i="31"/>
  <c r="AD162" i="31"/>
  <c r="AG161" i="31"/>
  <c r="AF161" i="31"/>
  <c r="AE161" i="31"/>
  <c r="AD161" i="31"/>
  <c r="AG160" i="31"/>
  <c r="AF160" i="31"/>
  <c r="AE160" i="31"/>
  <c r="AD160" i="31"/>
  <c r="AG159" i="31"/>
  <c r="AF159" i="31"/>
  <c r="AE159" i="31"/>
  <c r="AD159" i="31"/>
  <c r="AG158" i="31"/>
  <c r="AF158" i="31"/>
  <c r="AE158" i="31"/>
  <c r="AD158" i="31"/>
  <c r="AG157" i="31"/>
  <c r="AF157" i="31"/>
  <c r="AE157" i="31"/>
  <c r="AD157" i="31"/>
  <c r="AG156" i="31"/>
  <c r="AF156" i="31"/>
  <c r="AE156" i="31"/>
  <c r="AD156" i="31"/>
  <c r="AG155" i="31"/>
  <c r="AF155" i="31"/>
  <c r="AE155" i="31"/>
  <c r="AD155" i="31"/>
  <c r="AG154" i="31"/>
  <c r="AF154" i="31"/>
  <c r="AE154" i="31"/>
  <c r="AD154" i="31"/>
  <c r="AG153" i="31"/>
  <c r="AF153" i="31"/>
  <c r="AE153" i="31"/>
  <c r="AD153" i="31"/>
  <c r="AG152" i="31"/>
  <c r="AF152" i="31"/>
  <c r="AE152" i="31"/>
  <c r="AD152" i="31"/>
  <c r="AG151" i="31"/>
  <c r="AF151" i="31"/>
  <c r="AE151" i="31"/>
  <c r="AD151" i="31"/>
  <c r="AG150" i="31"/>
  <c r="AF150" i="31"/>
  <c r="AE150" i="31"/>
  <c r="AD150" i="31"/>
  <c r="AG149" i="31"/>
  <c r="AF149" i="31"/>
  <c r="AE149" i="31"/>
  <c r="AD149" i="31"/>
  <c r="AG148" i="31"/>
  <c r="AF148" i="31"/>
  <c r="AE148" i="31"/>
  <c r="AD148" i="31"/>
  <c r="AG147" i="31"/>
  <c r="AF147" i="31"/>
  <c r="AE147" i="31"/>
  <c r="AD147" i="31"/>
  <c r="AG146" i="31"/>
  <c r="AF146" i="31"/>
  <c r="AE146" i="31"/>
  <c r="AD146" i="31"/>
  <c r="AG145" i="31"/>
  <c r="AF145" i="31"/>
  <c r="AE145" i="31"/>
  <c r="AD145" i="31"/>
  <c r="AG144" i="31"/>
  <c r="AF144" i="31"/>
  <c r="AE144" i="31"/>
  <c r="AD144" i="31"/>
  <c r="AG143" i="31"/>
  <c r="AF143" i="31"/>
  <c r="AE143" i="31"/>
  <c r="AD143" i="31"/>
  <c r="AG142" i="31"/>
  <c r="AF142" i="31"/>
  <c r="AE142" i="31"/>
  <c r="AD142" i="31"/>
  <c r="AG141" i="31"/>
  <c r="AF141" i="31"/>
  <c r="AE141" i="31"/>
  <c r="AD141" i="31"/>
  <c r="AG140" i="31"/>
  <c r="AF140" i="31"/>
  <c r="AE140" i="31"/>
  <c r="AD140" i="31"/>
  <c r="AG139" i="31"/>
  <c r="AF139" i="31"/>
  <c r="AE139" i="31"/>
  <c r="AD139" i="31"/>
  <c r="AG138" i="31"/>
  <c r="AF138" i="31"/>
  <c r="AE138" i="31"/>
  <c r="AD138" i="31"/>
  <c r="AG137" i="31"/>
  <c r="AF137" i="31"/>
  <c r="AE137" i="31"/>
  <c r="AD137" i="31"/>
  <c r="AG136" i="31"/>
  <c r="AF136" i="31"/>
  <c r="AE136" i="31"/>
  <c r="AD136" i="31"/>
  <c r="AG135" i="31"/>
  <c r="AF135" i="31"/>
  <c r="AE135" i="31"/>
  <c r="AD135" i="31"/>
  <c r="AG134" i="31"/>
  <c r="AF134" i="31"/>
  <c r="AE134" i="31"/>
  <c r="AD134" i="31"/>
  <c r="AG133" i="31"/>
  <c r="AF133" i="31"/>
  <c r="AE133" i="31"/>
  <c r="AD133" i="31"/>
  <c r="AG132" i="31"/>
  <c r="AF132" i="31"/>
  <c r="AE132" i="31"/>
  <c r="AD132" i="31"/>
  <c r="AG131" i="31"/>
  <c r="AF131" i="31"/>
  <c r="AE131" i="31"/>
  <c r="AD131" i="31"/>
  <c r="AG130" i="31"/>
  <c r="AF130" i="31"/>
  <c r="AE130" i="31"/>
  <c r="AD130" i="31"/>
  <c r="AG129" i="31"/>
  <c r="AF129" i="31"/>
  <c r="AE129" i="31"/>
  <c r="AD129" i="31"/>
  <c r="AG128" i="31"/>
  <c r="AF128" i="31"/>
  <c r="AE128" i="31"/>
  <c r="AD128" i="31"/>
  <c r="AG127" i="31"/>
  <c r="AF127" i="31"/>
  <c r="AE127" i="31"/>
  <c r="AD127" i="31"/>
  <c r="AG126" i="31"/>
  <c r="AF126" i="31"/>
  <c r="AE126" i="31"/>
  <c r="AD126" i="31"/>
  <c r="AG125" i="31"/>
  <c r="AF125" i="31"/>
  <c r="AE125" i="31"/>
  <c r="AD125" i="31"/>
  <c r="AG124" i="31"/>
  <c r="AF124" i="31"/>
  <c r="AE124" i="31"/>
  <c r="AD124" i="31"/>
  <c r="AG123" i="31"/>
  <c r="AF123" i="31"/>
  <c r="AE123" i="31"/>
  <c r="AD123" i="31"/>
  <c r="AG122" i="31"/>
  <c r="AF122" i="31"/>
  <c r="AE122" i="31"/>
  <c r="AD122" i="31"/>
  <c r="AG121" i="31"/>
  <c r="AF121" i="31"/>
  <c r="AE121" i="31"/>
  <c r="AD121" i="31"/>
  <c r="AG120" i="31"/>
  <c r="AF120" i="31"/>
  <c r="AE120" i="31"/>
  <c r="AD120" i="31"/>
  <c r="AG119" i="31"/>
  <c r="AF119" i="31"/>
  <c r="AE119" i="31"/>
  <c r="AD119" i="31"/>
  <c r="AG118" i="31"/>
  <c r="AF118" i="31"/>
  <c r="AE118" i="31"/>
  <c r="AD118" i="31"/>
  <c r="AG117" i="31"/>
  <c r="AF117" i="31"/>
  <c r="AE117" i="31"/>
  <c r="AD117" i="31"/>
  <c r="AG116" i="31"/>
  <c r="AF116" i="31"/>
  <c r="AE116" i="31"/>
  <c r="AD116" i="31"/>
  <c r="AG115" i="31"/>
  <c r="AF115" i="31"/>
  <c r="AE115" i="31"/>
  <c r="AD115" i="31"/>
  <c r="AG114" i="31"/>
  <c r="AF114" i="31"/>
  <c r="AE114" i="31"/>
  <c r="AD114" i="31"/>
  <c r="AG113" i="31"/>
  <c r="AF113" i="31"/>
  <c r="AE113" i="31"/>
  <c r="AD113" i="31"/>
  <c r="AG112" i="31"/>
  <c r="AF112" i="31"/>
  <c r="AE112" i="31"/>
  <c r="AD112" i="31"/>
  <c r="AG111" i="31"/>
  <c r="AF111" i="31"/>
  <c r="AE111" i="31"/>
  <c r="AD111" i="31"/>
  <c r="AG110" i="31"/>
  <c r="AF110" i="31"/>
  <c r="AE110" i="31"/>
  <c r="AD110" i="31"/>
  <c r="AG109" i="31"/>
  <c r="AF109" i="31"/>
  <c r="AE109" i="31"/>
  <c r="AD109" i="31"/>
  <c r="AG108" i="31"/>
  <c r="AF108" i="31"/>
  <c r="AE108" i="31"/>
  <c r="AD108" i="31"/>
  <c r="AG107" i="31"/>
  <c r="AF107" i="31"/>
  <c r="AE107" i="31"/>
  <c r="AD107" i="31"/>
  <c r="AG106" i="31"/>
  <c r="AF106" i="31"/>
  <c r="AE106" i="31"/>
  <c r="AD106" i="31"/>
  <c r="AG105" i="31"/>
  <c r="AF105" i="31"/>
  <c r="AE105" i="31"/>
  <c r="AD105" i="31"/>
  <c r="AG104" i="31"/>
  <c r="AF104" i="31"/>
  <c r="AE104" i="31"/>
  <c r="AD104" i="31"/>
  <c r="AG103" i="31"/>
  <c r="AF103" i="31"/>
  <c r="AE103" i="31"/>
  <c r="AD103" i="31"/>
  <c r="AG102" i="31"/>
  <c r="AF102" i="31"/>
  <c r="AE102" i="31"/>
  <c r="AD102" i="31"/>
  <c r="AG101" i="31"/>
  <c r="AF101" i="31"/>
  <c r="AE101" i="31"/>
  <c r="AD101" i="31"/>
  <c r="AG100" i="31"/>
  <c r="AF100" i="31"/>
  <c r="AE100" i="31"/>
  <c r="AD100" i="31"/>
  <c r="AG99" i="31"/>
  <c r="AF99" i="31"/>
  <c r="AE99" i="31"/>
  <c r="AD99" i="31"/>
  <c r="AG98" i="31"/>
  <c r="AF98" i="31"/>
  <c r="AE98" i="31"/>
  <c r="AD98" i="31"/>
  <c r="AG97" i="31"/>
  <c r="AF97" i="31"/>
  <c r="AE97" i="31"/>
  <c r="AD97" i="31"/>
  <c r="AG96" i="31"/>
  <c r="AF96" i="31"/>
  <c r="AE96" i="31"/>
  <c r="AD96" i="31"/>
  <c r="AG95" i="31"/>
  <c r="AF95" i="31"/>
  <c r="AE95" i="31"/>
  <c r="AD95" i="31"/>
  <c r="AG94" i="31"/>
  <c r="AF94" i="31"/>
  <c r="AE94" i="31"/>
  <c r="AD94" i="31"/>
  <c r="AG93" i="31"/>
  <c r="AF93" i="31"/>
  <c r="AE93" i="31"/>
  <c r="AD93" i="31"/>
  <c r="AG92" i="31"/>
  <c r="AF92" i="31"/>
  <c r="AE92" i="31"/>
  <c r="AD92" i="31"/>
  <c r="AG91" i="31"/>
  <c r="AF91" i="31"/>
  <c r="AE91" i="31"/>
  <c r="AD91" i="31"/>
  <c r="AG90" i="31"/>
  <c r="AF90" i="31"/>
  <c r="AE90" i="31"/>
  <c r="AD90" i="31"/>
  <c r="AG89" i="31"/>
  <c r="AF89" i="31"/>
  <c r="AE89" i="31"/>
  <c r="AD89" i="31"/>
  <c r="AG88" i="31"/>
  <c r="AF88" i="31"/>
  <c r="AE88" i="31"/>
  <c r="AD88" i="31"/>
  <c r="AG87" i="31"/>
  <c r="AF87" i="31"/>
  <c r="AE87" i="31"/>
  <c r="AD87" i="31"/>
  <c r="AG86" i="31"/>
  <c r="AF86" i="31"/>
  <c r="AE86" i="31"/>
  <c r="AD86" i="31"/>
  <c r="AG85" i="31"/>
  <c r="AF85" i="31"/>
  <c r="AE85" i="31"/>
  <c r="AD85" i="31"/>
  <c r="AG84" i="31"/>
  <c r="AF84" i="31"/>
  <c r="AE84" i="31"/>
  <c r="AD84" i="31"/>
  <c r="AG83" i="31"/>
  <c r="AF83" i="31"/>
  <c r="AE83" i="31"/>
  <c r="AD83" i="31"/>
  <c r="AG82" i="31"/>
  <c r="AF82" i="31"/>
  <c r="AE82" i="31"/>
  <c r="AD82" i="31"/>
  <c r="AG81" i="31"/>
  <c r="AF81" i="31"/>
  <c r="AE81" i="31"/>
  <c r="AD81" i="31"/>
  <c r="AG80" i="31"/>
  <c r="AF80" i="31"/>
  <c r="AE80" i="31"/>
  <c r="AD80" i="31"/>
  <c r="AG79" i="31"/>
  <c r="AF79" i="31"/>
  <c r="AE79" i="31"/>
  <c r="AD79" i="31"/>
  <c r="AG78" i="31"/>
  <c r="AF78" i="31"/>
  <c r="AE78" i="31"/>
  <c r="AD78" i="31"/>
  <c r="AG77" i="31"/>
  <c r="AF77" i="31"/>
  <c r="AE77" i="31"/>
  <c r="AD77" i="31"/>
  <c r="AG76" i="31"/>
  <c r="AF76" i="31"/>
  <c r="AE76" i="31"/>
  <c r="AD76" i="31"/>
  <c r="AG75" i="31"/>
  <c r="AF75" i="31"/>
  <c r="AE75" i="31"/>
  <c r="AD75" i="31"/>
  <c r="AG74" i="31"/>
  <c r="AF74" i="31"/>
  <c r="AE74" i="31"/>
  <c r="AD74" i="31"/>
  <c r="AG73" i="31"/>
  <c r="AF73" i="31"/>
  <c r="AE73" i="31"/>
  <c r="AD73" i="31"/>
  <c r="AG72" i="31"/>
  <c r="AF72" i="31"/>
  <c r="AE72" i="31"/>
  <c r="AD72" i="31"/>
  <c r="AG71" i="31"/>
  <c r="AF71" i="31"/>
  <c r="AE71" i="31"/>
  <c r="AD71" i="31"/>
  <c r="AG70" i="31"/>
  <c r="AF70" i="31"/>
  <c r="AE70" i="31"/>
  <c r="AD70" i="31"/>
  <c r="AG69" i="31"/>
  <c r="AF69" i="31"/>
  <c r="AE69" i="31"/>
  <c r="AD69" i="31"/>
  <c r="AG68" i="31"/>
  <c r="AF68" i="31"/>
  <c r="AE68" i="31"/>
  <c r="AD68" i="31"/>
  <c r="AG67" i="31"/>
  <c r="AF67" i="31"/>
  <c r="AE67" i="31"/>
  <c r="AD67" i="31"/>
  <c r="AG66" i="31"/>
  <c r="AF66" i="31"/>
  <c r="AE66" i="31"/>
  <c r="AD66" i="31"/>
  <c r="AG65" i="31"/>
  <c r="AF65" i="31"/>
  <c r="AE65" i="31"/>
  <c r="AD65" i="31"/>
  <c r="AG64" i="31"/>
  <c r="AF64" i="31"/>
  <c r="AE64" i="31"/>
  <c r="AD64" i="31"/>
  <c r="AG63" i="31"/>
  <c r="AF63" i="31"/>
  <c r="AE63" i="31"/>
  <c r="AD63" i="31"/>
  <c r="AG62" i="31"/>
  <c r="AF62" i="31"/>
  <c r="AE62" i="31"/>
  <c r="AD62" i="31"/>
  <c r="AG61" i="31"/>
  <c r="AF61" i="31"/>
  <c r="AE61" i="31"/>
  <c r="AD61" i="31"/>
  <c r="AG60" i="31"/>
  <c r="AF60" i="31"/>
  <c r="AE60" i="31"/>
  <c r="AD60" i="31"/>
  <c r="AG59" i="31"/>
  <c r="AF59" i="31"/>
  <c r="AE59" i="31"/>
  <c r="AD59" i="31"/>
  <c r="AG58" i="31"/>
  <c r="AF58" i="31"/>
  <c r="AE58" i="31"/>
  <c r="AD58" i="31"/>
  <c r="AG57" i="31"/>
  <c r="AF57" i="31"/>
  <c r="AE57" i="31"/>
  <c r="AD57" i="31"/>
  <c r="AG56" i="31"/>
  <c r="AF56" i="31"/>
  <c r="AE56" i="31"/>
  <c r="AD56" i="31"/>
  <c r="AG55" i="31"/>
  <c r="AF55" i="31"/>
  <c r="AE55" i="31"/>
  <c r="AD55" i="31"/>
  <c r="AG54" i="31"/>
  <c r="AF54" i="31"/>
  <c r="AE54" i="31"/>
  <c r="AD54" i="31"/>
  <c r="AG53" i="31"/>
  <c r="AF53" i="31"/>
  <c r="AE53" i="31"/>
  <c r="AD53" i="31"/>
  <c r="AG52" i="31"/>
  <c r="AF52" i="31"/>
  <c r="AE52" i="31"/>
  <c r="AD52" i="31"/>
  <c r="AG51" i="31"/>
  <c r="AF51" i="31"/>
  <c r="AE51" i="31"/>
  <c r="AD51" i="31"/>
  <c r="AG50" i="31"/>
  <c r="AF50" i="31"/>
  <c r="AE50" i="31"/>
  <c r="AD50" i="31"/>
  <c r="AG49" i="31"/>
  <c r="AF49" i="31"/>
  <c r="AE49" i="31"/>
  <c r="AD49" i="31"/>
  <c r="AG48" i="31"/>
  <c r="AF48" i="31"/>
  <c r="AE48" i="31"/>
  <c r="AD48" i="31"/>
  <c r="AG47" i="31"/>
  <c r="AF47" i="31"/>
  <c r="AE47" i="31"/>
  <c r="AD47" i="31"/>
  <c r="AG46" i="31"/>
  <c r="AF46" i="31"/>
  <c r="AE46" i="31"/>
  <c r="AD46" i="31"/>
  <c r="AG45" i="31"/>
  <c r="AF45" i="31"/>
  <c r="AE45" i="31"/>
  <c r="AD45" i="31"/>
  <c r="AG44" i="31"/>
  <c r="AF44" i="31"/>
  <c r="AE44" i="31"/>
  <c r="AD44" i="31"/>
  <c r="AG43" i="31"/>
  <c r="AF43" i="31"/>
  <c r="AE43" i="31"/>
  <c r="AD43" i="31"/>
  <c r="AG42" i="31"/>
  <c r="AF42" i="31"/>
  <c r="AE42" i="31"/>
  <c r="AD42" i="31"/>
  <c r="AG41" i="31"/>
  <c r="AF41" i="31"/>
  <c r="AE41" i="31"/>
  <c r="AD41" i="31"/>
  <c r="AG40" i="31"/>
  <c r="AF40" i="31"/>
  <c r="AE40" i="31"/>
  <c r="AD40" i="31"/>
  <c r="AG39" i="31"/>
  <c r="AF39" i="31"/>
  <c r="AE39" i="31"/>
  <c r="AD39" i="31"/>
  <c r="AG38" i="31"/>
  <c r="AF38" i="31"/>
  <c r="AE38" i="31"/>
  <c r="AD38" i="31"/>
  <c r="AG37" i="31"/>
  <c r="AF37" i="31"/>
  <c r="AE37" i="31"/>
  <c r="AD37" i="31"/>
  <c r="AG36" i="31"/>
  <c r="AF36" i="31"/>
  <c r="AE36" i="31"/>
  <c r="AD36" i="31"/>
  <c r="AG35" i="31"/>
  <c r="AF35" i="31"/>
  <c r="AE35" i="31"/>
  <c r="AD35" i="31"/>
  <c r="AG34" i="31"/>
  <c r="AF34" i="31"/>
  <c r="AE34" i="31"/>
  <c r="AD34" i="31"/>
  <c r="AG33" i="31"/>
  <c r="AF33" i="31"/>
  <c r="AE33" i="31"/>
  <c r="AD33" i="31"/>
  <c r="AG32" i="31"/>
  <c r="AF32" i="31"/>
  <c r="AE32" i="31"/>
  <c r="AD32" i="31"/>
  <c r="AG31" i="31"/>
  <c r="AF31" i="31"/>
  <c r="AE31" i="31"/>
  <c r="AD31" i="31"/>
  <c r="AG30" i="31"/>
  <c r="AF30" i="31"/>
  <c r="AE30" i="31"/>
  <c r="AD30" i="31"/>
  <c r="AG29" i="31"/>
  <c r="AF29" i="31"/>
  <c r="AE29" i="31"/>
  <c r="AD29" i="31"/>
  <c r="AG28" i="31"/>
  <c r="AF28" i="31"/>
  <c r="AE28" i="31"/>
  <c r="AD28" i="31"/>
  <c r="AG27" i="31"/>
  <c r="AF27" i="31"/>
  <c r="AE27" i="31"/>
  <c r="AD27" i="31"/>
  <c r="AG26" i="31"/>
  <c r="AF26" i="31"/>
  <c r="AE26" i="31"/>
  <c r="AD26" i="31"/>
  <c r="AG25" i="31"/>
  <c r="AF25" i="31"/>
  <c r="AE25" i="31"/>
  <c r="AD25" i="31"/>
  <c r="AG24" i="31"/>
  <c r="AF24" i="31"/>
  <c r="AE24" i="31"/>
  <c r="AD24" i="31"/>
  <c r="AG23" i="31"/>
  <c r="AF23" i="31"/>
  <c r="AE23" i="31"/>
  <c r="AD23" i="31"/>
  <c r="AG22" i="31"/>
  <c r="AF22" i="31"/>
  <c r="AE22" i="31"/>
  <c r="AD22" i="31"/>
  <c r="AG21" i="31"/>
  <c r="AF21" i="31"/>
  <c r="AE21" i="31"/>
  <c r="AD21" i="31"/>
  <c r="AG20" i="31"/>
  <c r="AF20" i="31"/>
  <c r="AE20" i="31"/>
  <c r="AD20" i="31"/>
  <c r="AG19" i="31"/>
  <c r="AF19" i="31"/>
  <c r="AE19" i="31"/>
  <c r="AD19" i="31"/>
  <c r="AG18" i="31"/>
  <c r="AF18" i="31"/>
  <c r="AE18" i="31"/>
  <c r="AD18" i="31"/>
  <c r="AG17" i="31"/>
  <c r="AF17" i="31"/>
  <c r="AE17" i="31"/>
  <c r="AD17" i="31"/>
  <c r="AG16" i="31"/>
  <c r="AF16" i="31"/>
  <c r="AE16" i="31"/>
  <c r="AD16" i="31"/>
  <c r="AG15" i="31"/>
  <c r="AF15" i="31"/>
  <c r="AE15" i="31"/>
  <c r="AD15" i="31"/>
  <c r="AG14" i="31"/>
  <c r="AF14" i="31"/>
  <c r="AE14" i="31"/>
  <c r="AD14" i="31"/>
  <c r="AG13" i="31"/>
  <c r="AF13" i="31"/>
  <c r="AE13" i="31"/>
  <c r="AD13" i="31"/>
  <c r="AG12" i="31"/>
  <c r="AF12" i="31"/>
  <c r="AE12" i="31"/>
  <c r="AD12" i="31"/>
  <c r="AG11" i="31"/>
  <c r="AF11" i="31"/>
  <c r="AE11" i="31"/>
  <c r="AD11" i="31"/>
  <c r="AG10" i="31"/>
  <c r="AF10" i="31"/>
  <c r="AE10" i="31"/>
  <c r="AD10" i="31"/>
  <c r="AG9" i="31"/>
  <c r="AF9" i="31"/>
  <c r="AE9" i="31"/>
  <c r="AD9" i="31"/>
  <c r="AG8" i="31"/>
  <c r="AF8" i="31"/>
  <c r="AE8" i="31"/>
  <c r="AD8" i="31"/>
  <c r="AG7" i="31"/>
  <c r="AF7" i="31"/>
  <c r="AE7" i="31"/>
  <c r="AD7" i="31"/>
  <c r="AG6" i="31"/>
  <c r="AF6" i="31"/>
  <c r="AE6" i="31"/>
  <c r="AD6" i="31"/>
  <c r="AG5" i="31"/>
  <c r="AF5" i="31"/>
  <c r="AE5" i="31"/>
  <c r="AD5" i="31"/>
  <c r="AG4" i="31"/>
  <c r="AF4" i="31"/>
  <c r="AE4" i="31"/>
  <c r="AD4" i="31"/>
  <c r="AG3" i="31"/>
  <c r="AF3" i="31"/>
  <c r="AE3" i="31"/>
  <c r="AD3" i="31"/>
  <c r="AG2" i="31"/>
  <c r="AF2" i="31"/>
  <c r="AE2" i="31"/>
  <c r="AD2" i="31"/>
  <c r="C2" i="31"/>
  <c r="AI3" i="31"/>
  <c r="AI4" i="31"/>
  <c r="AI5" i="31"/>
  <c r="AI6" i="31"/>
  <c r="AI7" i="31"/>
  <c r="AI8" i="31"/>
  <c r="AI9" i="31"/>
  <c r="AI10" i="31"/>
  <c r="AI11" i="31"/>
  <c r="AI12" i="31"/>
  <c r="AI13" i="31"/>
  <c r="AI14" i="31"/>
  <c r="AI15" i="31"/>
  <c r="AI16" i="31"/>
  <c r="AI17" i="31"/>
  <c r="AI18" i="31"/>
  <c r="AI19" i="31"/>
  <c r="AI20" i="31"/>
  <c r="AI21" i="31"/>
  <c r="AI22" i="31"/>
  <c r="AI23" i="31"/>
  <c r="AI24" i="31"/>
  <c r="AI25" i="31"/>
  <c r="AI26" i="31"/>
  <c r="AI27" i="31"/>
  <c r="AI28" i="31"/>
  <c r="AI29" i="31"/>
  <c r="AI30" i="31"/>
  <c r="AI31" i="31"/>
  <c r="AI32" i="31"/>
  <c r="AI33" i="31"/>
  <c r="AI34" i="31"/>
  <c r="AI35" i="31"/>
  <c r="AI36" i="31"/>
  <c r="AI37" i="31"/>
  <c r="AI38" i="31"/>
  <c r="AI39" i="31"/>
  <c r="AI40" i="31"/>
  <c r="AI41" i="31"/>
  <c r="AI42" i="31"/>
  <c r="AI43" i="31"/>
  <c r="AI44" i="31"/>
  <c r="AI45" i="31"/>
  <c r="AI46" i="31"/>
  <c r="AI47" i="31"/>
  <c r="AI48" i="31"/>
  <c r="AI49" i="31"/>
  <c r="AI50" i="31"/>
  <c r="AI51" i="31"/>
  <c r="AI52" i="31"/>
  <c r="AI53" i="31"/>
  <c r="AI54" i="31"/>
  <c r="AI55" i="31"/>
  <c r="AI56" i="31"/>
  <c r="AI57" i="31"/>
  <c r="AI58" i="31"/>
  <c r="AI59" i="31"/>
  <c r="AI60" i="31"/>
  <c r="AI61" i="31"/>
  <c r="AI62" i="31"/>
  <c r="AI63" i="31"/>
  <c r="AI64" i="31"/>
  <c r="AI65" i="31"/>
  <c r="AI66" i="31"/>
  <c r="AI67" i="31"/>
  <c r="AI68" i="31"/>
  <c r="AI69" i="31"/>
  <c r="AI70" i="31"/>
  <c r="AI71" i="31"/>
  <c r="AI72" i="31"/>
  <c r="AI73" i="31"/>
  <c r="AI74" i="31"/>
  <c r="AI75" i="31"/>
  <c r="AI76" i="31"/>
  <c r="AI77" i="31"/>
  <c r="AI78" i="31"/>
  <c r="AI79" i="31"/>
  <c r="AI80" i="31"/>
  <c r="AI81" i="31"/>
  <c r="AI82" i="31"/>
  <c r="AI83" i="31"/>
  <c r="AI84" i="31"/>
  <c r="AI85" i="31"/>
  <c r="AI86" i="31"/>
  <c r="AI87" i="31"/>
  <c r="AI88" i="31"/>
  <c r="AI89" i="31"/>
  <c r="AI90" i="31"/>
  <c r="AI91" i="31"/>
  <c r="AI92" i="31"/>
  <c r="AI93" i="31"/>
  <c r="AI94" i="31"/>
  <c r="AI95" i="31"/>
  <c r="AI96" i="31"/>
  <c r="AI97" i="31"/>
  <c r="AI98" i="31"/>
  <c r="AI99" i="31"/>
  <c r="AI100" i="31"/>
  <c r="AI101" i="31"/>
  <c r="AI102" i="31"/>
  <c r="AI103" i="31"/>
  <c r="AI104" i="31"/>
  <c r="AI105" i="31"/>
  <c r="AI106" i="31"/>
  <c r="AI107" i="31"/>
  <c r="AI108" i="31"/>
  <c r="AI109" i="31"/>
  <c r="AI110" i="31"/>
  <c r="AI111" i="31"/>
  <c r="AI112" i="31"/>
  <c r="AI113" i="31"/>
  <c r="AI114" i="31"/>
  <c r="AI115" i="31"/>
  <c r="AI116" i="31"/>
  <c r="AI117" i="31"/>
  <c r="AI118" i="31"/>
  <c r="AI119" i="31"/>
  <c r="AI120" i="31"/>
  <c r="AI121" i="31"/>
  <c r="AI122" i="31"/>
  <c r="AI123" i="31"/>
  <c r="AI124" i="31"/>
  <c r="AI125" i="31"/>
  <c r="AI126" i="31"/>
  <c r="AI127" i="31"/>
  <c r="AI128" i="31"/>
  <c r="AI129" i="31"/>
  <c r="AI130" i="31"/>
  <c r="AI131" i="31"/>
  <c r="AI132" i="31"/>
  <c r="AI133" i="31"/>
  <c r="AI134" i="31"/>
  <c r="AI135" i="31"/>
  <c r="AI136" i="31"/>
  <c r="AI137" i="31"/>
  <c r="AI138" i="31"/>
  <c r="AI139" i="31"/>
  <c r="AI140" i="31"/>
  <c r="AI141" i="31"/>
  <c r="AI142" i="31"/>
  <c r="AI143" i="31"/>
  <c r="AI144" i="31"/>
  <c r="AI145" i="31"/>
  <c r="AI146" i="31"/>
  <c r="AI147" i="31"/>
  <c r="AI148" i="31"/>
  <c r="AI149" i="31"/>
  <c r="AI150" i="31"/>
  <c r="AI151" i="31"/>
  <c r="AI152" i="31"/>
  <c r="AI153" i="31"/>
  <c r="AI154" i="31"/>
  <c r="AI155" i="31"/>
  <c r="AI156" i="31"/>
  <c r="AI157" i="31"/>
  <c r="AI158" i="31"/>
  <c r="AI159" i="31"/>
  <c r="AI160" i="31"/>
  <c r="AI161" i="31"/>
  <c r="AI162" i="31"/>
  <c r="AI163" i="31"/>
  <c r="AI164" i="31"/>
  <c r="AI165" i="31"/>
  <c r="AI166" i="31"/>
  <c r="AI167" i="31"/>
  <c r="AI168" i="31"/>
  <c r="AI169" i="31"/>
  <c r="AI170" i="31"/>
  <c r="AI171" i="31"/>
  <c r="AI172" i="31"/>
  <c r="AI173" i="31"/>
  <c r="AI174" i="31"/>
  <c r="AI175" i="31"/>
  <c r="AI176" i="31"/>
  <c r="AI177" i="31"/>
  <c r="AI178" i="31"/>
  <c r="AI179" i="31"/>
  <c r="AI180" i="31"/>
  <c r="AI181" i="31"/>
  <c r="AI182" i="31"/>
  <c r="AI183" i="31"/>
  <c r="AI184" i="31"/>
  <c r="AI185" i="31"/>
  <c r="AI186" i="31"/>
  <c r="AI187" i="31"/>
  <c r="AI188" i="31"/>
  <c r="AI189" i="31"/>
  <c r="AI190" i="31"/>
  <c r="AI191" i="31"/>
  <c r="AI192" i="31"/>
  <c r="AI193" i="31"/>
  <c r="AI194" i="31"/>
  <c r="AI195" i="31"/>
  <c r="AI196" i="31"/>
  <c r="AI197" i="31"/>
  <c r="AI198" i="31"/>
  <c r="AI199" i="31"/>
  <c r="AI200" i="31"/>
  <c r="AI201" i="31"/>
  <c r="AI202" i="31"/>
  <c r="AI203" i="31"/>
  <c r="AI204" i="31"/>
  <c r="AI205" i="31"/>
  <c r="AI206" i="31"/>
  <c r="AI207" i="31"/>
  <c r="AI208" i="31"/>
  <c r="AI209" i="31"/>
  <c r="AI210" i="31"/>
  <c r="AI211" i="31"/>
  <c r="AI212" i="31"/>
  <c r="AI213" i="31"/>
  <c r="AI214" i="31"/>
  <c r="AI215" i="31"/>
  <c r="AI216" i="31"/>
  <c r="AI217" i="31"/>
  <c r="AI218" i="31"/>
  <c r="AI219" i="31"/>
  <c r="AI220" i="31"/>
  <c r="AI221" i="31"/>
  <c r="AI2" i="31"/>
  <c r="AH3" i="31"/>
  <c r="AH4" i="31"/>
  <c r="AH5" i="31"/>
  <c r="AH6" i="31"/>
  <c r="AH7" i="31"/>
  <c r="AH8" i="31"/>
  <c r="AH9" i="31"/>
  <c r="AH10" i="31"/>
  <c r="AH11" i="31"/>
  <c r="AH12" i="31"/>
  <c r="AH13" i="31"/>
  <c r="AH14" i="31"/>
  <c r="AH15" i="31"/>
  <c r="AH16" i="31"/>
  <c r="AH17" i="31"/>
  <c r="AH18" i="31"/>
  <c r="AH19" i="31"/>
  <c r="AH20" i="31"/>
  <c r="AH21" i="31"/>
  <c r="AH22" i="31"/>
  <c r="AH23" i="31"/>
  <c r="AH24" i="31"/>
  <c r="AH25" i="31"/>
  <c r="AH26" i="31"/>
  <c r="AH27" i="31"/>
  <c r="AH28" i="31"/>
  <c r="AH29" i="31"/>
  <c r="AH30" i="31"/>
  <c r="AH31" i="31"/>
  <c r="AH32" i="31"/>
  <c r="AH33" i="31"/>
  <c r="AH34" i="31"/>
  <c r="AH35" i="31"/>
  <c r="AH36" i="31"/>
  <c r="AH37" i="31"/>
  <c r="AH38" i="31"/>
  <c r="AH39" i="31"/>
  <c r="AH40" i="31"/>
  <c r="AH41" i="31"/>
  <c r="AH42" i="31"/>
  <c r="AH43" i="31"/>
  <c r="AH44" i="31"/>
  <c r="AH45" i="31"/>
  <c r="AH46" i="31"/>
  <c r="AH47" i="31"/>
  <c r="AH48" i="31"/>
  <c r="AH49" i="31"/>
  <c r="AH50" i="31"/>
  <c r="AH51" i="31"/>
  <c r="AH52" i="31"/>
  <c r="AH53" i="31"/>
  <c r="AH54" i="31"/>
  <c r="AH55" i="31"/>
  <c r="AH56" i="31"/>
  <c r="AH57" i="31"/>
  <c r="AH58" i="31"/>
  <c r="AH59" i="31"/>
  <c r="AH60" i="31"/>
  <c r="AH61" i="31"/>
  <c r="AH62" i="31"/>
  <c r="AH63" i="31"/>
  <c r="AH64" i="31"/>
  <c r="AH65" i="31"/>
  <c r="AH66" i="31"/>
  <c r="AH67" i="31"/>
  <c r="AH68" i="31"/>
  <c r="AH69" i="31"/>
  <c r="AH70" i="31"/>
  <c r="AH71" i="31"/>
  <c r="AH72" i="31"/>
  <c r="AH73" i="31"/>
  <c r="AH74" i="31"/>
  <c r="AH75" i="31"/>
  <c r="AH76" i="31"/>
  <c r="AH77" i="31"/>
  <c r="AH78" i="31"/>
  <c r="AH79" i="31"/>
  <c r="AH80" i="31"/>
  <c r="AH81" i="31"/>
  <c r="AH82" i="31"/>
  <c r="AH83" i="31"/>
  <c r="AH84" i="31"/>
  <c r="AH85" i="31"/>
  <c r="AH86" i="31"/>
  <c r="AH87" i="31"/>
  <c r="AH88" i="31"/>
  <c r="AH89" i="31"/>
  <c r="AH90" i="31"/>
  <c r="AH91" i="31"/>
  <c r="AH92" i="31"/>
  <c r="AH93" i="31"/>
  <c r="AH94" i="31"/>
  <c r="AH95" i="31"/>
  <c r="AH96" i="31"/>
  <c r="AH97" i="31"/>
  <c r="AH98" i="31"/>
  <c r="AH99" i="31"/>
  <c r="AH100" i="31"/>
  <c r="AH101" i="31"/>
  <c r="AH102" i="31"/>
  <c r="AH103" i="31"/>
  <c r="AH104" i="31"/>
  <c r="AH105" i="31"/>
  <c r="AH106" i="31"/>
  <c r="AH107" i="31"/>
  <c r="AH108" i="31"/>
  <c r="AH109" i="31"/>
  <c r="AH110" i="31"/>
  <c r="AH111" i="31"/>
  <c r="AH112" i="31"/>
  <c r="AH113" i="31"/>
  <c r="AH114" i="31"/>
  <c r="AH115" i="31"/>
  <c r="AH116" i="31"/>
  <c r="AH117" i="31"/>
  <c r="AH118" i="31"/>
  <c r="AH119" i="31"/>
  <c r="AH120" i="31"/>
  <c r="AH121" i="31"/>
  <c r="AH122" i="31"/>
  <c r="AH123" i="31"/>
  <c r="AH124" i="31"/>
  <c r="AH125" i="31"/>
  <c r="AH126" i="31"/>
  <c r="AH127" i="31"/>
  <c r="AH128" i="31"/>
  <c r="AH129" i="31"/>
  <c r="AH130" i="31"/>
  <c r="AH131" i="31"/>
  <c r="AH132" i="31"/>
  <c r="AH133" i="31"/>
  <c r="AH134" i="31"/>
  <c r="AH135" i="31"/>
  <c r="AH136" i="31"/>
  <c r="AH137" i="31"/>
  <c r="AH138" i="31"/>
  <c r="AH139" i="31"/>
  <c r="AH140" i="31"/>
  <c r="AH141" i="31"/>
  <c r="AH142" i="31"/>
  <c r="AH143" i="31"/>
  <c r="AH144" i="31"/>
  <c r="AH145" i="31"/>
  <c r="AH146" i="31"/>
  <c r="AH147" i="31"/>
  <c r="AH148" i="31"/>
  <c r="AH149" i="31"/>
  <c r="AH150" i="31"/>
  <c r="AH151" i="31"/>
  <c r="AH152" i="31"/>
  <c r="AH153" i="31"/>
  <c r="AH154" i="31"/>
  <c r="AH155" i="31"/>
  <c r="AH156" i="31"/>
  <c r="AH157" i="31"/>
  <c r="AH158" i="31"/>
  <c r="AH159" i="31"/>
  <c r="AH160" i="31"/>
  <c r="AH161" i="31"/>
  <c r="AH162" i="31"/>
  <c r="AH163" i="31"/>
  <c r="AH164" i="31"/>
  <c r="AH165" i="31"/>
  <c r="AH166" i="31"/>
  <c r="AH167" i="31"/>
  <c r="AH168" i="31"/>
  <c r="AH169" i="31"/>
  <c r="AH170" i="31"/>
  <c r="AH171" i="31"/>
  <c r="AH172" i="31"/>
  <c r="AH173" i="31"/>
  <c r="AH174" i="31"/>
  <c r="AH175" i="31"/>
  <c r="AH176" i="31"/>
  <c r="AH177" i="31"/>
  <c r="AH178" i="31"/>
  <c r="AH179" i="31"/>
  <c r="AH180" i="31"/>
  <c r="AH181" i="31"/>
  <c r="AH182" i="31"/>
  <c r="AH183" i="31"/>
  <c r="AH184" i="31"/>
  <c r="AH185" i="31"/>
  <c r="AH186" i="31"/>
  <c r="AH187" i="31"/>
  <c r="AH188" i="31"/>
  <c r="AH189" i="31"/>
  <c r="AH190" i="31"/>
  <c r="AH191" i="31"/>
  <c r="AH192" i="31"/>
  <c r="AH193" i="31"/>
  <c r="AH194" i="31"/>
  <c r="AH195" i="31"/>
  <c r="AH196" i="31"/>
  <c r="AH197" i="31"/>
  <c r="AH198" i="31"/>
  <c r="AH199" i="31"/>
  <c r="AH200" i="31"/>
  <c r="AH201" i="31"/>
  <c r="AH202" i="31"/>
  <c r="AH203" i="31"/>
  <c r="AH204" i="31"/>
  <c r="AH205" i="31"/>
  <c r="AH206" i="31"/>
  <c r="AH207" i="31"/>
  <c r="AH208" i="31"/>
  <c r="AH209" i="31"/>
  <c r="AH210" i="31"/>
  <c r="AH211" i="31"/>
  <c r="AH212" i="31"/>
  <c r="AH213" i="31"/>
  <c r="AH214" i="31"/>
  <c r="AH215" i="31"/>
  <c r="AH216" i="31"/>
  <c r="AH217" i="31"/>
  <c r="AH218" i="31"/>
  <c r="AH219" i="31"/>
  <c r="AH220" i="31"/>
  <c r="AH221" i="31"/>
  <c r="AH2" i="31"/>
  <c r="T663" i="31"/>
  <c r="T664" i="31"/>
  <c r="T665" i="31"/>
  <c r="T666" i="31"/>
  <c r="T667" i="31"/>
  <c r="T668" i="31"/>
  <c r="T669" i="31"/>
  <c r="T670" i="31"/>
  <c r="T671" i="31"/>
  <c r="T672" i="31"/>
  <c r="T673" i="31"/>
  <c r="T674" i="31"/>
  <c r="T675" i="31"/>
  <c r="T676" i="31"/>
  <c r="T677" i="31"/>
  <c r="T678" i="31"/>
  <c r="T679" i="31"/>
  <c r="T680" i="31"/>
  <c r="T681" i="31"/>
  <c r="T682" i="31"/>
  <c r="T683" i="31"/>
  <c r="T684" i="31"/>
  <c r="T685" i="31"/>
  <c r="T686" i="31"/>
  <c r="T687" i="31"/>
  <c r="T688" i="31"/>
  <c r="T689" i="31"/>
  <c r="T690" i="31"/>
  <c r="T691" i="31"/>
  <c r="T692" i="31"/>
  <c r="T693" i="31"/>
  <c r="T694" i="31"/>
  <c r="T695" i="31"/>
  <c r="T696" i="31"/>
  <c r="T697" i="31"/>
  <c r="T698" i="31"/>
  <c r="T699" i="31"/>
  <c r="T700" i="31"/>
  <c r="T701" i="31"/>
  <c r="T702" i="31"/>
  <c r="T703" i="31"/>
  <c r="T704" i="31"/>
  <c r="T705" i="31"/>
  <c r="T706" i="31"/>
  <c r="T707" i="31"/>
  <c r="T708" i="31"/>
  <c r="T709" i="31"/>
  <c r="T710" i="31"/>
  <c r="T711" i="31"/>
  <c r="T712" i="31"/>
  <c r="T713" i="31"/>
  <c r="T714" i="31"/>
  <c r="T715" i="31"/>
  <c r="T716" i="31"/>
  <c r="T717" i="31"/>
  <c r="T718" i="31"/>
  <c r="T719" i="31"/>
  <c r="T720" i="31"/>
  <c r="T721" i="31"/>
  <c r="T722" i="31"/>
  <c r="T723" i="31"/>
  <c r="T724" i="31"/>
  <c r="T725" i="31"/>
  <c r="T726" i="31"/>
  <c r="T727" i="31"/>
  <c r="T728" i="31"/>
  <c r="T729" i="31"/>
  <c r="T730" i="31"/>
  <c r="T731" i="31"/>
  <c r="T732" i="31"/>
  <c r="T733" i="31"/>
  <c r="T734" i="31"/>
  <c r="T735" i="31"/>
  <c r="T736" i="31"/>
  <c r="T737" i="31"/>
  <c r="T738" i="31"/>
  <c r="T739" i="31"/>
  <c r="T740" i="31"/>
  <c r="T741" i="31"/>
  <c r="T742" i="31"/>
  <c r="T743" i="31"/>
  <c r="T744" i="31"/>
  <c r="T745" i="31"/>
  <c r="T746" i="31"/>
  <c r="T747" i="31"/>
  <c r="T748" i="31"/>
  <c r="T749" i="31"/>
  <c r="T750" i="31"/>
  <c r="T751" i="31"/>
  <c r="T752" i="31"/>
  <c r="T753" i="31"/>
  <c r="T754" i="31"/>
  <c r="T755" i="31"/>
  <c r="T756" i="31"/>
  <c r="T757" i="31"/>
  <c r="T758" i="31"/>
  <c r="T759" i="31"/>
  <c r="T760" i="31"/>
  <c r="T761" i="31"/>
  <c r="T762" i="31"/>
  <c r="T763" i="31"/>
  <c r="T764" i="31"/>
  <c r="T765" i="31"/>
  <c r="T766" i="31"/>
  <c r="T767" i="31"/>
  <c r="T768" i="31"/>
  <c r="T769" i="31"/>
  <c r="T770" i="31"/>
  <c r="T771" i="31"/>
  <c r="T772" i="31"/>
  <c r="T773" i="31"/>
  <c r="T774" i="31"/>
  <c r="T775" i="31"/>
  <c r="T776" i="31"/>
  <c r="T777" i="31"/>
  <c r="T778" i="31"/>
  <c r="T779" i="31"/>
  <c r="T780" i="31"/>
  <c r="T781" i="31"/>
  <c r="T782" i="31"/>
  <c r="T783" i="31"/>
  <c r="T784" i="31"/>
  <c r="T785" i="31"/>
  <c r="T786" i="31"/>
  <c r="T787" i="31"/>
  <c r="T788" i="31"/>
  <c r="T789" i="31"/>
  <c r="T790" i="31"/>
  <c r="T791" i="31"/>
  <c r="T792" i="31"/>
  <c r="T793" i="31"/>
  <c r="T794" i="31"/>
  <c r="T795" i="31"/>
  <c r="T796" i="31"/>
  <c r="T797" i="31"/>
  <c r="T798" i="31"/>
  <c r="T799" i="31"/>
  <c r="T800" i="31"/>
  <c r="T801" i="31"/>
  <c r="T802" i="31"/>
  <c r="T803" i="31"/>
  <c r="T804" i="31"/>
  <c r="T805" i="31"/>
  <c r="T806" i="31"/>
  <c r="T807" i="31"/>
  <c r="T808" i="31"/>
  <c r="T809" i="31"/>
  <c r="T810" i="31"/>
  <c r="T811" i="31"/>
  <c r="T812" i="31"/>
  <c r="T813" i="31"/>
  <c r="T814" i="31"/>
  <c r="T815" i="31"/>
  <c r="T816" i="31"/>
  <c r="T817" i="31"/>
  <c r="T818" i="31"/>
  <c r="T819" i="31"/>
  <c r="T820" i="31"/>
  <c r="T821" i="31"/>
  <c r="T822" i="31"/>
  <c r="T823" i="31"/>
  <c r="T824" i="31"/>
  <c r="T825" i="31"/>
  <c r="T826" i="31"/>
  <c r="T827" i="31"/>
  <c r="T828" i="31"/>
  <c r="T829" i="31"/>
  <c r="T830" i="31"/>
  <c r="T831" i="31"/>
  <c r="T832" i="31"/>
  <c r="T833" i="31"/>
  <c r="T834" i="31"/>
  <c r="T835" i="31"/>
  <c r="T836" i="31"/>
  <c r="T837" i="31"/>
  <c r="T838" i="31"/>
  <c r="T839" i="31"/>
  <c r="T840" i="31"/>
  <c r="T841" i="31"/>
  <c r="T842" i="31"/>
  <c r="T843" i="31"/>
  <c r="T844" i="31"/>
  <c r="T845" i="31"/>
  <c r="T846" i="31"/>
  <c r="T847" i="31"/>
  <c r="T848" i="31"/>
  <c r="T849" i="31"/>
  <c r="T850" i="31"/>
  <c r="T851" i="31"/>
  <c r="T852" i="31"/>
  <c r="T853" i="31"/>
  <c r="T854" i="31"/>
  <c r="T855" i="31"/>
  <c r="T856" i="31"/>
  <c r="T857" i="31"/>
  <c r="T858" i="31"/>
  <c r="T859" i="31"/>
  <c r="T860" i="31"/>
  <c r="T861" i="31"/>
  <c r="T862" i="31"/>
  <c r="T863" i="31"/>
  <c r="T864" i="31"/>
  <c r="T865" i="31"/>
  <c r="T866" i="31"/>
  <c r="T867" i="31"/>
  <c r="T868" i="31"/>
  <c r="T869" i="31"/>
  <c r="T870" i="31"/>
  <c r="T871" i="31"/>
  <c r="T872" i="31"/>
  <c r="T873" i="31"/>
  <c r="T874" i="31"/>
  <c r="T875" i="31"/>
  <c r="T876" i="31"/>
  <c r="T877" i="31"/>
  <c r="T878" i="31"/>
  <c r="T879" i="31"/>
  <c r="T880" i="31"/>
  <c r="T881" i="31"/>
  <c r="T662" i="31"/>
  <c r="T443" i="31"/>
  <c r="T444" i="31"/>
  <c r="T445" i="31"/>
  <c r="T446" i="31"/>
  <c r="T447" i="31"/>
  <c r="T448" i="31"/>
  <c r="T449" i="31"/>
  <c r="T450" i="31"/>
  <c r="T451" i="31"/>
  <c r="T452" i="31"/>
  <c r="T453" i="31"/>
  <c r="T454" i="31"/>
  <c r="T455" i="31"/>
  <c r="T456" i="31"/>
  <c r="T457" i="31"/>
  <c r="T458" i="31"/>
  <c r="T459" i="31"/>
  <c r="T460" i="31"/>
  <c r="T461" i="31"/>
  <c r="T462" i="31"/>
  <c r="T463" i="31"/>
  <c r="T464" i="31"/>
  <c r="T465" i="31"/>
  <c r="T466" i="31"/>
  <c r="T467" i="31"/>
  <c r="T468" i="31"/>
  <c r="T469" i="31"/>
  <c r="T470" i="31"/>
  <c r="T471" i="31"/>
  <c r="T472" i="31"/>
  <c r="T473" i="31"/>
  <c r="T474" i="31"/>
  <c r="T475" i="31"/>
  <c r="T476" i="31"/>
  <c r="T477" i="31"/>
  <c r="T478" i="31"/>
  <c r="T479" i="31"/>
  <c r="T480" i="31"/>
  <c r="T481" i="31"/>
  <c r="T482" i="31"/>
  <c r="T483" i="31"/>
  <c r="T484" i="31"/>
  <c r="T485" i="31"/>
  <c r="T486" i="31"/>
  <c r="T487" i="31"/>
  <c r="T488" i="31"/>
  <c r="T489" i="31"/>
  <c r="T490" i="31"/>
  <c r="T491" i="31"/>
  <c r="T492" i="31"/>
  <c r="T493" i="31"/>
  <c r="T494" i="31"/>
  <c r="T495" i="31"/>
  <c r="T496" i="31"/>
  <c r="T497" i="31"/>
  <c r="T498" i="31"/>
  <c r="T499" i="31"/>
  <c r="T500" i="31"/>
  <c r="T501" i="31"/>
  <c r="T502" i="31"/>
  <c r="T503" i="31"/>
  <c r="T504" i="31"/>
  <c r="T505" i="31"/>
  <c r="T506" i="31"/>
  <c r="T507" i="31"/>
  <c r="T508" i="31"/>
  <c r="T509" i="31"/>
  <c r="T510" i="31"/>
  <c r="T511" i="31"/>
  <c r="T512" i="31"/>
  <c r="T513" i="31"/>
  <c r="T514" i="31"/>
  <c r="T515" i="31"/>
  <c r="T516" i="31"/>
  <c r="T517" i="31"/>
  <c r="T518" i="31"/>
  <c r="T519" i="31"/>
  <c r="T520" i="31"/>
  <c r="T521" i="31"/>
  <c r="T522" i="31"/>
  <c r="T523" i="31"/>
  <c r="T524" i="31"/>
  <c r="T525" i="31"/>
  <c r="T526" i="31"/>
  <c r="T527" i="31"/>
  <c r="T528" i="31"/>
  <c r="T529" i="31"/>
  <c r="T530" i="31"/>
  <c r="T531" i="31"/>
  <c r="T532" i="31"/>
  <c r="T533" i="31"/>
  <c r="T534" i="31"/>
  <c r="T535" i="31"/>
  <c r="T536" i="31"/>
  <c r="T537" i="31"/>
  <c r="T538" i="31"/>
  <c r="T539" i="31"/>
  <c r="T540" i="31"/>
  <c r="T541" i="31"/>
  <c r="T542" i="31"/>
  <c r="T543" i="31"/>
  <c r="T544" i="31"/>
  <c r="T545" i="31"/>
  <c r="T546" i="31"/>
  <c r="T547" i="31"/>
  <c r="T548" i="31"/>
  <c r="T549" i="31"/>
  <c r="T550" i="31"/>
  <c r="T551" i="31"/>
  <c r="T552" i="31"/>
  <c r="T553" i="31"/>
  <c r="T554" i="31"/>
  <c r="T555" i="31"/>
  <c r="T556" i="31"/>
  <c r="T557" i="31"/>
  <c r="T558" i="31"/>
  <c r="T559" i="31"/>
  <c r="T560" i="31"/>
  <c r="T561" i="31"/>
  <c r="T562" i="31"/>
  <c r="T563" i="31"/>
  <c r="T564" i="31"/>
  <c r="T565" i="31"/>
  <c r="T566" i="31"/>
  <c r="T567" i="31"/>
  <c r="T568" i="31"/>
  <c r="T569" i="31"/>
  <c r="T570" i="31"/>
  <c r="T571" i="31"/>
  <c r="T572" i="31"/>
  <c r="T573" i="31"/>
  <c r="T574" i="31"/>
  <c r="T575" i="31"/>
  <c r="T576" i="31"/>
  <c r="T577" i="31"/>
  <c r="T578" i="31"/>
  <c r="T579" i="31"/>
  <c r="T580" i="31"/>
  <c r="T581" i="31"/>
  <c r="T582" i="31"/>
  <c r="T583" i="31"/>
  <c r="T584" i="31"/>
  <c r="T585" i="31"/>
  <c r="T586" i="31"/>
  <c r="T587" i="31"/>
  <c r="T588" i="31"/>
  <c r="T589" i="31"/>
  <c r="T590" i="31"/>
  <c r="T591" i="31"/>
  <c r="T592" i="31"/>
  <c r="T593" i="31"/>
  <c r="T594" i="31"/>
  <c r="T595" i="31"/>
  <c r="T596" i="31"/>
  <c r="T597" i="31"/>
  <c r="T598" i="31"/>
  <c r="T599" i="31"/>
  <c r="T600" i="31"/>
  <c r="T601" i="31"/>
  <c r="T602" i="31"/>
  <c r="T603" i="31"/>
  <c r="T604" i="31"/>
  <c r="T605" i="31"/>
  <c r="T606" i="31"/>
  <c r="T607" i="31"/>
  <c r="T608" i="31"/>
  <c r="T609" i="31"/>
  <c r="T610" i="31"/>
  <c r="T611" i="31"/>
  <c r="T612" i="31"/>
  <c r="T613" i="31"/>
  <c r="T614" i="31"/>
  <c r="T615" i="31"/>
  <c r="T616" i="31"/>
  <c r="T617" i="31"/>
  <c r="T618" i="31"/>
  <c r="T619" i="31"/>
  <c r="T620" i="31"/>
  <c r="T621" i="31"/>
  <c r="T622" i="31"/>
  <c r="T623" i="31"/>
  <c r="T624" i="31"/>
  <c r="T625" i="31"/>
  <c r="T626" i="31"/>
  <c r="T627" i="31"/>
  <c r="T628" i="31"/>
  <c r="T629" i="31"/>
  <c r="T630" i="31"/>
  <c r="T631" i="31"/>
  <c r="T632" i="31"/>
  <c r="T633" i="31"/>
  <c r="T634" i="31"/>
  <c r="T635" i="31"/>
  <c r="T636" i="31"/>
  <c r="T637" i="31"/>
  <c r="T638" i="31"/>
  <c r="T639" i="31"/>
  <c r="T640" i="31"/>
  <c r="T641" i="31"/>
  <c r="T642" i="31"/>
  <c r="T643" i="31"/>
  <c r="T644" i="31"/>
  <c r="T645" i="31"/>
  <c r="T646" i="31"/>
  <c r="T647" i="31"/>
  <c r="T648" i="31"/>
  <c r="T649" i="31"/>
  <c r="T650" i="31"/>
  <c r="T651" i="31"/>
  <c r="T652" i="31"/>
  <c r="T653" i="31"/>
  <c r="T654" i="31"/>
  <c r="T655" i="31"/>
  <c r="T656" i="31"/>
  <c r="T657" i="31"/>
  <c r="T658" i="31"/>
  <c r="T659" i="31"/>
  <c r="T660" i="31"/>
  <c r="T661" i="31"/>
  <c r="T442" i="31"/>
  <c r="T223" i="31"/>
  <c r="T224" i="31"/>
  <c r="T225" i="31"/>
  <c r="T226" i="31"/>
  <c r="T227" i="31"/>
  <c r="T228" i="31"/>
  <c r="T229" i="31"/>
  <c r="T230" i="31"/>
  <c r="T231" i="31"/>
  <c r="T232" i="31"/>
  <c r="T233" i="31"/>
  <c r="T234" i="31"/>
  <c r="T235" i="31"/>
  <c r="T236" i="31"/>
  <c r="T237" i="31"/>
  <c r="T238" i="31"/>
  <c r="T239" i="31"/>
  <c r="T240" i="31"/>
  <c r="T241" i="31"/>
  <c r="T242" i="31"/>
  <c r="T243" i="31"/>
  <c r="T244" i="31"/>
  <c r="T245" i="31"/>
  <c r="T246" i="31"/>
  <c r="T247" i="31"/>
  <c r="T248" i="31"/>
  <c r="T249" i="31"/>
  <c r="T250" i="31"/>
  <c r="T251" i="31"/>
  <c r="T252" i="31"/>
  <c r="T253" i="31"/>
  <c r="T254" i="31"/>
  <c r="T255" i="31"/>
  <c r="T256" i="31"/>
  <c r="T257" i="31"/>
  <c r="T258" i="31"/>
  <c r="T259" i="31"/>
  <c r="T260" i="31"/>
  <c r="T261" i="31"/>
  <c r="T262" i="31"/>
  <c r="T263" i="31"/>
  <c r="T264" i="31"/>
  <c r="T265" i="31"/>
  <c r="T266" i="31"/>
  <c r="T267" i="31"/>
  <c r="T268" i="31"/>
  <c r="T269" i="31"/>
  <c r="T270" i="31"/>
  <c r="T271" i="31"/>
  <c r="T272" i="31"/>
  <c r="T273" i="31"/>
  <c r="T274" i="31"/>
  <c r="T275" i="31"/>
  <c r="T276" i="31"/>
  <c r="T277" i="31"/>
  <c r="T278" i="31"/>
  <c r="T279" i="31"/>
  <c r="T280" i="31"/>
  <c r="T281" i="31"/>
  <c r="T282" i="31"/>
  <c r="T283" i="31"/>
  <c r="T284" i="31"/>
  <c r="T285" i="31"/>
  <c r="T286" i="31"/>
  <c r="T287" i="31"/>
  <c r="T288" i="31"/>
  <c r="T289" i="31"/>
  <c r="T290" i="31"/>
  <c r="T291" i="31"/>
  <c r="T292" i="31"/>
  <c r="T293" i="31"/>
  <c r="T294" i="31"/>
  <c r="T295" i="31"/>
  <c r="T296" i="31"/>
  <c r="T297" i="31"/>
  <c r="T298" i="31"/>
  <c r="T299" i="31"/>
  <c r="T300" i="31"/>
  <c r="T301" i="31"/>
  <c r="T302" i="31"/>
  <c r="T303" i="31"/>
  <c r="T304" i="31"/>
  <c r="T305" i="31"/>
  <c r="T306" i="31"/>
  <c r="T307" i="31"/>
  <c r="T308" i="31"/>
  <c r="T309" i="31"/>
  <c r="T310" i="31"/>
  <c r="T311" i="31"/>
  <c r="T312" i="31"/>
  <c r="T313" i="31"/>
  <c r="T314" i="31"/>
  <c r="T315" i="31"/>
  <c r="T316" i="31"/>
  <c r="T317" i="31"/>
  <c r="T318" i="31"/>
  <c r="T319" i="31"/>
  <c r="T320" i="31"/>
  <c r="T321" i="31"/>
  <c r="T322" i="31"/>
  <c r="T323" i="31"/>
  <c r="T324" i="31"/>
  <c r="T325" i="31"/>
  <c r="T326" i="31"/>
  <c r="T327" i="31"/>
  <c r="T328" i="31"/>
  <c r="T329" i="31"/>
  <c r="T330" i="31"/>
  <c r="T331" i="31"/>
  <c r="T332" i="31"/>
  <c r="T333" i="31"/>
  <c r="T334" i="31"/>
  <c r="T335" i="31"/>
  <c r="T336" i="31"/>
  <c r="T337" i="31"/>
  <c r="T338" i="31"/>
  <c r="T339" i="31"/>
  <c r="T340" i="31"/>
  <c r="T341" i="31"/>
  <c r="T342" i="31"/>
  <c r="T343" i="31"/>
  <c r="T344" i="31"/>
  <c r="T345" i="31"/>
  <c r="T346" i="31"/>
  <c r="T347" i="31"/>
  <c r="T348" i="31"/>
  <c r="T349" i="31"/>
  <c r="T350" i="31"/>
  <c r="T351" i="31"/>
  <c r="T352" i="31"/>
  <c r="T353" i="31"/>
  <c r="T354" i="31"/>
  <c r="T355" i="31"/>
  <c r="T356" i="31"/>
  <c r="T357" i="31"/>
  <c r="T358" i="31"/>
  <c r="T359" i="31"/>
  <c r="T360" i="31"/>
  <c r="T361" i="31"/>
  <c r="T362" i="31"/>
  <c r="T363" i="31"/>
  <c r="T364" i="31"/>
  <c r="T365" i="31"/>
  <c r="T366" i="31"/>
  <c r="T367" i="31"/>
  <c r="T368" i="31"/>
  <c r="T369" i="31"/>
  <c r="T370" i="31"/>
  <c r="T371" i="31"/>
  <c r="T372" i="31"/>
  <c r="T373" i="31"/>
  <c r="T374" i="31"/>
  <c r="T375" i="31"/>
  <c r="T376" i="31"/>
  <c r="T377" i="31"/>
  <c r="T378" i="31"/>
  <c r="T379" i="31"/>
  <c r="T380" i="31"/>
  <c r="T381" i="31"/>
  <c r="T382" i="31"/>
  <c r="T383" i="31"/>
  <c r="T384" i="31"/>
  <c r="T385" i="31"/>
  <c r="T386" i="31"/>
  <c r="T387" i="31"/>
  <c r="T388" i="31"/>
  <c r="T389" i="31"/>
  <c r="T390" i="31"/>
  <c r="T391" i="31"/>
  <c r="T392" i="31"/>
  <c r="T393" i="31"/>
  <c r="T394" i="31"/>
  <c r="T395" i="31"/>
  <c r="T396" i="31"/>
  <c r="T397" i="31"/>
  <c r="T398" i="31"/>
  <c r="T399" i="31"/>
  <c r="T400" i="31"/>
  <c r="T401" i="31"/>
  <c r="T402" i="31"/>
  <c r="T403" i="31"/>
  <c r="T404" i="31"/>
  <c r="T405" i="31"/>
  <c r="T406" i="31"/>
  <c r="T407" i="31"/>
  <c r="T408" i="31"/>
  <c r="T409" i="31"/>
  <c r="T410" i="31"/>
  <c r="T411" i="31"/>
  <c r="T412" i="31"/>
  <c r="T413" i="31"/>
  <c r="T414" i="31"/>
  <c r="T415" i="31"/>
  <c r="T416" i="31"/>
  <c r="T417" i="31"/>
  <c r="T418" i="31"/>
  <c r="T419" i="31"/>
  <c r="T420" i="31"/>
  <c r="T421" i="31"/>
  <c r="T422" i="31"/>
  <c r="T423" i="31"/>
  <c r="T424" i="31"/>
  <c r="T425" i="31"/>
  <c r="T426" i="31"/>
  <c r="T427" i="31"/>
  <c r="T428" i="31"/>
  <c r="T429" i="31"/>
  <c r="T430" i="31"/>
  <c r="T431" i="31"/>
  <c r="T432" i="31"/>
  <c r="T433" i="31"/>
  <c r="T434" i="31"/>
  <c r="T435" i="31"/>
  <c r="T436" i="31"/>
  <c r="T437" i="31"/>
  <c r="T438" i="31"/>
  <c r="T439" i="31"/>
  <c r="T440" i="31"/>
  <c r="T441" i="31"/>
  <c r="T222" i="31"/>
  <c r="S663" i="31"/>
  <c r="S664" i="31"/>
  <c r="S665" i="31"/>
  <c r="S666" i="31"/>
  <c r="S667" i="31"/>
  <c r="S668" i="31"/>
  <c r="S669" i="31"/>
  <c r="S670" i="31"/>
  <c r="S671" i="31"/>
  <c r="S672" i="31"/>
  <c r="S673" i="31"/>
  <c r="S674" i="31"/>
  <c r="S675" i="31"/>
  <c r="S676" i="31"/>
  <c r="S677" i="31"/>
  <c r="S678" i="31"/>
  <c r="S679" i="31"/>
  <c r="S680" i="31"/>
  <c r="S681" i="31"/>
  <c r="S682" i="31"/>
  <c r="S683" i="31"/>
  <c r="S684" i="31"/>
  <c r="S685" i="31"/>
  <c r="S686" i="31"/>
  <c r="S687" i="31"/>
  <c r="U687" i="31"/>
  <c r="S688" i="31"/>
  <c r="S689" i="31"/>
  <c r="S690" i="31"/>
  <c r="S691" i="31"/>
  <c r="S692" i="31"/>
  <c r="S693" i="31"/>
  <c r="S694" i="31"/>
  <c r="S695" i="31"/>
  <c r="S696" i="31"/>
  <c r="S697" i="31"/>
  <c r="S698" i="31"/>
  <c r="S699" i="31"/>
  <c r="U699" i="31"/>
  <c r="S700" i="31"/>
  <c r="S701" i="31"/>
  <c r="S702" i="31"/>
  <c r="S703" i="31"/>
  <c r="S704" i="31"/>
  <c r="S705" i="31"/>
  <c r="S706" i="31"/>
  <c r="S707" i="31"/>
  <c r="U707" i="31"/>
  <c r="S708" i="31"/>
  <c r="S709" i="31"/>
  <c r="S710" i="31"/>
  <c r="S711" i="31"/>
  <c r="S712" i="31"/>
  <c r="S713" i="31"/>
  <c r="S714" i="31"/>
  <c r="S715" i="31"/>
  <c r="S716" i="31"/>
  <c r="S717" i="31"/>
  <c r="S718" i="31"/>
  <c r="S719" i="31"/>
  <c r="S720" i="31"/>
  <c r="S721" i="31"/>
  <c r="S722" i="31"/>
  <c r="S723" i="31"/>
  <c r="S724" i="31"/>
  <c r="S725" i="31"/>
  <c r="S726" i="31"/>
  <c r="S727" i="31"/>
  <c r="U727" i="31"/>
  <c r="S728" i="31"/>
  <c r="S729" i="31"/>
  <c r="S730" i="31"/>
  <c r="S731" i="31"/>
  <c r="S732" i="31"/>
  <c r="S733" i="31"/>
  <c r="S734" i="31"/>
  <c r="S735" i="31"/>
  <c r="S736" i="31"/>
  <c r="S737" i="31"/>
  <c r="S738" i="31"/>
  <c r="S739" i="31"/>
  <c r="S740" i="31"/>
  <c r="S741" i="31"/>
  <c r="S742" i="31"/>
  <c r="S743" i="31"/>
  <c r="S744" i="31"/>
  <c r="S745" i="31"/>
  <c r="S746" i="31"/>
  <c r="S747" i="31"/>
  <c r="U747" i="31"/>
  <c r="S748" i="31"/>
  <c r="S749" i="31"/>
  <c r="S750" i="31"/>
  <c r="S751" i="31"/>
  <c r="S752" i="31"/>
  <c r="S753" i="31"/>
  <c r="S754" i="31"/>
  <c r="S755" i="31"/>
  <c r="S756" i="31"/>
  <c r="S757" i="31"/>
  <c r="S758" i="31"/>
  <c r="S759" i="31"/>
  <c r="S760" i="31"/>
  <c r="S761" i="31"/>
  <c r="S762" i="31"/>
  <c r="S763" i="31"/>
  <c r="S764" i="31"/>
  <c r="S765" i="31"/>
  <c r="S766" i="31"/>
  <c r="S767" i="31"/>
  <c r="U767" i="31"/>
  <c r="S768" i="31"/>
  <c r="S769" i="31"/>
  <c r="S770" i="31"/>
  <c r="S771" i="31"/>
  <c r="S772" i="31"/>
  <c r="S773" i="31"/>
  <c r="S774" i="31"/>
  <c r="S775" i="31"/>
  <c r="U775" i="31"/>
  <c r="S776" i="31"/>
  <c r="S777" i="31"/>
  <c r="S778" i="31"/>
  <c r="S779" i="31"/>
  <c r="S780" i="31"/>
  <c r="S781" i="31"/>
  <c r="S782" i="31"/>
  <c r="S783" i="31"/>
  <c r="S784" i="31"/>
  <c r="S785" i="31"/>
  <c r="S786" i="31"/>
  <c r="S787" i="31"/>
  <c r="U787" i="31"/>
  <c r="S788" i="31"/>
  <c r="S789" i="31"/>
  <c r="S790" i="31"/>
  <c r="S791" i="31"/>
  <c r="S792" i="31"/>
  <c r="S793" i="31"/>
  <c r="S794" i="31"/>
  <c r="S795" i="31"/>
  <c r="S796" i="31"/>
  <c r="S797" i="31"/>
  <c r="S798" i="31"/>
  <c r="S799" i="31"/>
  <c r="S800" i="31"/>
  <c r="S801" i="31"/>
  <c r="S802" i="31"/>
  <c r="S803" i="31"/>
  <c r="U803" i="31"/>
  <c r="S804" i="31"/>
  <c r="S805" i="31"/>
  <c r="S806" i="31"/>
  <c r="S807" i="31"/>
  <c r="S808" i="31"/>
  <c r="S809" i="31"/>
  <c r="S810" i="31"/>
  <c r="S811" i="31"/>
  <c r="S812" i="31"/>
  <c r="S813" i="31"/>
  <c r="S814" i="31"/>
  <c r="S815" i="31"/>
  <c r="S816" i="31"/>
  <c r="S817" i="31"/>
  <c r="S818" i="31"/>
  <c r="S819" i="31"/>
  <c r="U819" i="31"/>
  <c r="S820" i="31"/>
  <c r="S821" i="31"/>
  <c r="S822" i="31"/>
  <c r="S823" i="31"/>
  <c r="S824" i="31"/>
  <c r="S825" i="31"/>
  <c r="S826" i="31"/>
  <c r="S827" i="31"/>
  <c r="S828" i="31"/>
  <c r="S829" i="31"/>
  <c r="S830" i="31"/>
  <c r="S831" i="31"/>
  <c r="S832" i="31"/>
  <c r="S833" i="31"/>
  <c r="S834" i="31"/>
  <c r="S835" i="31"/>
  <c r="U835" i="31"/>
  <c r="S836" i="31"/>
  <c r="S837" i="31"/>
  <c r="S838" i="31"/>
  <c r="S839" i="31"/>
  <c r="S840" i="31"/>
  <c r="S841" i="31"/>
  <c r="S842" i="31"/>
  <c r="S843" i="31"/>
  <c r="S844" i="31"/>
  <c r="S845" i="31"/>
  <c r="S846" i="31"/>
  <c r="S847" i="31"/>
  <c r="S848" i="31"/>
  <c r="S849" i="31"/>
  <c r="S850" i="31"/>
  <c r="S851" i="31"/>
  <c r="U851" i="31"/>
  <c r="S852" i="31"/>
  <c r="S853" i="31"/>
  <c r="S854" i="31"/>
  <c r="S855" i="31"/>
  <c r="S856" i="31"/>
  <c r="S857" i="31"/>
  <c r="S858" i="31"/>
  <c r="S859" i="31"/>
  <c r="S860" i="31"/>
  <c r="S861" i="31"/>
  <c r="S862" i="31"/>
  <c r="S863" i="31"/>
  <c r="S864" i="31"/>
  <c r="S865" i="31"/>
  <c r="S866" i="31"/>
  <c r="S867" i="31"/>
  <c r="U867" i="31"/>
  <c r="S868" i="31"/>
  <c r="S869" i="31"/>
  <c r="S870" i="31"/>
  <c r="S871" i="31"/>
  <c r="S872" i="31"/>
  <c r="S873" i="31"/>
  <c r="S874" i="31"/>
  <c r="S875" i="31"/>
  <c r="S876" i="31"/>
  <c r="S877" i="31"/>
  <c r="S878" i="31"/>
  <c r="S879" i="31"/>
  <c r="S880" i="31"/>
  <c r="S881" i="31"/>
  <c r="S662" i="31"/>
  <c r="S443" i="31"/>
  <c r="S444" i="31"/>
  <c r="S445" i="31"/>
  <c r="S446" i="31"/>
  <c r="S447" i="31"/>
  <c r="U447" i="31"/>
  <c r="S448" i="31"/>
  <c r="S449" i="31"/>
  <c r="S450" i="31"/>
  <c r="S451" i="31"/>
  <c r="S452" i="31"/>
  <c r="S453" i="31"/>
  <c r="U453" i="31"/>
  <c r="S454" i="31"/>
  <c r="S455" i="31"/>
  <c r="S456" i="31"/>
  <c r="S457" i="31"/>
  <c r="S458" i="31"/>
  <c r="S459" i="31"/>
  <c r="S460" i="31"/>
  <c r="S461" i="31"/>
  <c r="S462" i="31"/>
  <c r="S463" i="31"/>
  <c r="S464" i="31"/>
  <c r="S465" i="31"/>
  <c r="S466" i="31"/>
  <c r="S467" i="31"/>
  <c r="S468" i="31"/>
  <c r="S469" i="31"/>
  <c r="S470" i="31"/>
  <c r="S471" i="31"/>
  <c r="S472" i="31"/>
  <c r="S473" i="31"/>
  <c r="U473" i="31"/>
  <c r="S474" i="31"/>
  <c r="S475" i="31"/>
  <c r="U475" i="31"/>
  <c r="S476" i="31"/>
  <c r="S477" i="31"/>
  <c r="S478" i="31"/>
  <c r="S479" i="31"/>
  <c r="S480" i="31"/>
  <c r="S481" i="31"/>
  <c r="S482" i="31"/>
  <c r="S483" i="31"/>
  <c r="U483" i="31"/>
  <c r="S484" i="31"/>
  <c r="S485" i="31"/>
  <c r="U485" i="31"/>
  <c r="S486" i="31"/>
  <c r="S487" i="31"/>
  <c r="S488" i="31"/>
  <c r="S489" i="31"/>
  <c r="S490" i="31"/>
  <c r="S491" i="31"/>
  <c r="S492" i="31"/>
  <c r="S493" i="31"/>
  <c r="S494" i="31"/>
  <c r="S495" i="31"/>
  <c r="S496" i="31"/>
  <c r="S497" i="31"/>
  <c r="S498" i="31"/>
  <c r="S499" i="31"/>
  <c r="S500" i="31"/>
  <c r="S501" i="31"/>
  <c r="S502" i="31"/>
  <c r="S503" i="31"/>
  <c r="S504" i="31"/>
  <c r="S505" i="31"/>
  <c r="U505" i="31"/>
  <c r="S506" i="31"/>
  <c r="S507" i="31"/>
  <c r="S508" i="31"/>
  <c r="S509" i="31"/>
  <c r="S510" i="31"/>
  <c r="S511" i="31"/>
  <c r="U511" i="31"/>
  <c r="S512" i="31"/>
  <c r="S513" i="31"/>
  <c r="S514" i="31"/>
  <c r="S515" i="31"/>
  <c r="S516" i="31"/>
  <c r="S517" i="31"/>
  <c r="U517" i="31"/>
  <c r="S518" i="31"/>
  <c r="S519" i="31"/>
  <c r="S520" i="31"/>
  <c r="S521" i="31"/>
  <c r="S522" i="31"/>
  <c r="S523" i="31"/>
  <c r="S524" i="31"/>
  <c r="S525" i="31"/>
  <c r="S526" i="31"/>
  <c r="S527" i="31"/>
  <c r="S528" i="31"/>
  <c r="S529" i="31"/>
  <c r="S530" i="31"/>
  <c r="S531" i="31"/>
  <c r="S532" i="31"/>
  <c r="S533" i="31"/>
  <c r="S534" i="31"/>
  <c r="S535" i="31"/>
  <c r="S536" i="31"/>
  <c r="S537" i="31"/>
  <c r="U537" i="31"/>
  <c r="S538" i="31"/>
  <c r="S539" i="31"/>
  <c r="U539" i="31"/>
  <c r="S540" i="31"/>
  <c r="S541" i="31"/>
  <c r="S542" i="31"/>
  <c r="S543" i="31"/>
  <c r="S544" i="31"/>
  <c r="S545" i="31"/>
  <c r="S546" i="31"/>
  <c r="S547" i="31"/>
  <c r="U547" i="31"/>
  <c r="S548" i="31"/>
  <c r="S549" i="31"/>
  <c r="U549" i="31"/>
  <c r="S550" i="31"/>
  <c r="S551" i="31"/>
  <c r="S552" i="31"/>
  <c r="S553" i="31"/>
  <c r="S554" i="31"/>
  <c r="S555" i="31"/>
  <c r="S556" i="31"/>
  <c r="S557" i="31"/>
  <c r="S558" i="31"/>
  <c r="S559" i="31"/>
  <c r="S560" i="31"/>
  <c r="S561" i="31"/>
  <c r="S562" i="31"/>
  <c r="S563" i="31"/>
  <c r="S564" i="31"/>
  <c r="S565" i="31"/>
  <c r="S566" i="31"/>
  <c r="S567" i="31"/>
  <c r="S568" i="31"/>
  <c r="S569" i="31"/>
  <c r="S570" i="31"/>
  <c r="S571" i="31"/>
  <c r="U571" i="31"/>
  <c r="S572" i="31"/>
  <c r="S573" i="31"/>
  <c r="S574" i="31"/>
  <c r="S575" i="31"/>
  <c r="S576" i="31"/>
  <c r="S577" i="31"/>
  <c r="S578" i="31"/>
  <c r="S579" i="31"/>
  <c r="U579" i="31"/>
  <c r="S580" i="31"/>
  <c r="S581" i="31"/>
  <c r="S582" i="31"/>
  <c r="S583" i="31"/>
  <c r="S584" i="31"/>
  <c r="S585" i="31"/>
  <c r="S586" i="31"/>
  <c r="S587" i="31"/>
  <c r="S588" i="31"/>
  <c r="S589" i="31"/>
  <c r="S590" i="31"/>
  <c r="S591" i="31"/>
  <c r="S592" i="31"/>
  <c r="S593" i="31"/>
  <c r="S594" i="31"/>
  <c r="S595" i="31"/>
  <c r="S596" i="31"/>
  <c r="S597" i="31"/>
  <c r="S598" i="31"/>
  <c r="S599" i="31"/>
  <c r="U599" i="31"/>
  <c r="S600" i="31"/>
  <c r="S601" i="31"/>
  <c r="S602" i="31"/>
  <c r="S603" i="31"/>
  <c r="S604" i="31"/>
  <c r="S605" i="31"/>
  <c r="S606" i="31"/>
  <c r="S607" i="31"/>
  <c r="S608" i="31"/>
  <c r="S609" i="31"/>
  <c r="S610" i="31"/>
  <c r="S611" i="31"/>
  <c r="S612" i="31"/>
  <c r="S613" i="31"/>
  <c r="S614" i="31"/>
  <c r="S615" i="31"/>
  <c r="S616" i="31"/>
  <c r="S617" i="31"/>
  <c r="S618" i="31"/>
  <c r="S619" i="31"/>
  <c r="U619" i="31"/>
  <c r="S620" i="31"/>
  <c r="S621" i="31"/>
  <c r="S622" i="31"/>
  <c r="S623" i="31"/>
  <c r="S624" i="31"/>
  <c r="S625" i="31"/>
  <c r="S626" i="31"/>
  <c r="S627" i="31"/>
  <c r="S628" i="31"/>
  <c r="S629" i="31"/>
  <c r="S630" i="31"/>
  <c r="S631" i="31"/>
  <c r="U631" i="31"/>
  <c r="S632" i="31"/>
  <c r="S633" i="31"/>
  <c r="S634" i="31"/>
  <c r="S635" i="31"/>
  <c r="S636" i="31"/>
  <c r="S637" i="31"/>
  <c r="S638" i="31"/>
  <c r="S639" i="31"/>
  <c r="U639" i="31"/>
  <c r="S640" i="31"/>
  <c r="S641" i="31"/>
  <c r="S642" i="31"/>
  <c r="S643" i="31"/>
  <c r="S644" i="31"/>
  <c r="S645" i="31"/>
  <c r="S646" i="31"/>
  <c r="S647" i="31"/>
  <c r="U647" i="31"/>
  <c r="S648" i="31"/>
  <c r="S649" i="31"/>
  <c r="S650" i="31"/>
  <c r="S651" i="31"/>
  <c r="S652" i="31"/>
  <c r="S653" i="31"/>
  <c r="S654" i="31"/>
  <c r="S655" i="31"/>
  <c r="U655" i="31"/>
  <c r="S656" i="31"/>
  <c r="S657" i="31"/>
  <c r="S658" i="31"/>
  <c r="S659" i="31"/>
  <c r="U659" i="31"/>
  <c r="S660" i="31"/>
  <c r="S661" i="31"/>
  <c r="S442" i="31"/>
  <c r="S223" i="31"/>
  <c r="S224" i="31"/>
  <c r="U224" i="31"/>
  <c r="S225" i="31"/>
  <c r="U225" i="31"/>
  <c r="S226" i="31"/>
  <c r="S227" i="31"/>
  <c r="S228" i="31"/>
  <c r="U228" i="31"/>
  <c r="S229" i="31"/>
  <c r="S230" i="31"/>
  <c r="S231" i="31"/>
  <c r="U231" i="31"/>
  <c r="S232" i="31"/>
  <c r="U232" i="31"/>
  <c r="S233" i="31"/>
  <c r="S234" i="31"/>
  <c r="S235" i="31"/>
  <c r="S236" i="31"/>
  <c r="U236" i="31"/>
  <c r="S237" i="31"/>
  <c r="U237" i="31"/>
  <c r="S238" i="31"/>
  <c r="U238" i="31"/>
  <c r="S239" i="31"/>
  <c r="S240" i="31"/>
  <c r="U240" i="31"/>
  <c r="S241" i="31"/>
  <c r="S242" i="31"/>
  <c r="S243" i="31"/>
  <c r="U243" i="31"/>
  <c r="S244" i="31"/>
  <c r="S245" i="31"/>
  <c r="S246" i="31"/>
  <c r="S247" i="31"/>
  <c r="S248" i="31"/>
  <c r="S249" i="31"/>
  <c r="S250" i="31"/>
  <c r="S251" i="31"/>
  <c r="U251" i="31"/>
  <c r="S252" i="31"/>
  <c r="S253" i="31"/>
  <c r="U253" i="31"/>
  <c r="S254" i="31"/>
  <c r="S255" i="31"/>
  <c r="S256" i="31"/>
  <c r="S257" i="31"/>
  <c r="S258" i="31"/>
  <c r="S259" i="31"/>
  <c r="U259" i="31"/>
  <c r="S260" i="31"/>
  <c r="S261" i="31"/>
  <c r="U261" i="31"/>
  <c r="S262" i="31"/>
  <c r="S263" i="31"/>
  <c r="S264" i="31"/>
  <c r="S265" i="31"/>
  <c r="S266" i="31"/>
  <c r="S267" i="31"/>
  <c r="U267" i="31"/>
  <c r="S268" i="31"/>
  <c r="S269" i="31"/>
  <c r="U269" i="31"/>
  <c r="S270" i="31"/>
  <c r="S271" i="31"/>
  <c r="S272" i="31"/>
  <c r="S273" i="31"/>
  <c r="S274" i="31"/>
  <c r="S275" i="31"/>
  <c r="S276" i="31"/>
  <c r="S277" i="31"/>
  <c r="S278" i="31"/>
  <c r="S279" i="31"/>
  <c r="U279" i="31"/>
  <c r="S280" i="31"/>
  <c r="S281" i="31"/>
  <c r="S282" i="31"/>
  <c r="S283" i="31"/>
  <c r="S284" i="31"/>
  <c r="S285" i="31"/>
  <c r="S286" i="31"/>
  <c r="S287" i="31"/>
  <c r="U287" i="31"/>
  <c r="S288" i="31"/>
  <c r="S289" i="31"/>
  <c r="S290" i="31"/>
  <c r="S291" i="31"/>
  <c r="S292" i="31"/>
  <c r="S293" i="31"/>
  <c r="S294" i="31"/>
  <c r="S295" i="31"/>
  <c r="U295" i="31"/>
  <c r="S296" i="31"/>
  <c r="S297" i="31"/>
  <c r="S298" i="31"/>
  <c r="S299" i="31"/>
  <c r="S300" i="31"/>
  <c r="S301" i="31"/>
  <c r="S302" i="31"/>
  <c r="S303" i="31"/>
  <c r="S304" i="31"/>
  <c r="S305" i="31"/>
  <c r="S306" i="31"/>
  <c r="S307" i="31"/>
  <c r="S308" i="31"/>
  <c r="S309" i="31"/>
  <c r="S310" i="31"/>
  <c r="S311" i="31"/>
  <c r="U311" i="31"/>
  <c r="S312" i="31"/>
  <c r="S313" i="31"/>
  <c r="S314" i="31"/>
  <c r="S315" i="31"/>
  <c r="S316" i="31"/>
  <c r="S317" i="31"/>
  <c r="S318" i="31"/>
  <c r="S319" i="31"/>
  <c r="U319" i="31"/>
  <c r="S320" i="31"/>
  <c r="S321" i="31"/>
  <c r="U321" i="31"/>
  <c r="S322" i="31"/>
  <c r="S323" i="31"/>
  <c r="S324" i="31"/>
  <c r="S325" i="31"/>
  <c r="S326" i="31"/>
  <c r="S327" i="31"/>
  <c r="S328" i="31"/>
  <c r="S329" i="31"/>
  <c r="S330" i="31"/>
  <c r="S331" i="31"/>
  <c r="U331" i="31"/>
  <c r="S332" i="31"/>
  <c r="S333" i="31"/>
  <c r="S334" i="31"/>
  <c r="S335" i="31"/>
  <c r="S336" i="31"/>
  <c r="S337" i="31"/>
  <c r="U337" i="31"/>
  <c r="S338" i="31"/>
  <c r="S339" i="31"/>
  <c r="S340" i="31"/>
  <c r="S341" i="31"/>
  <c r="S342" i="31"/>
  <c r="S343" i="31"/>
  <c r="U343" i="31"/>
  <c r="S344" i="31"/>
  <c r="S345" i="31"/>
  <c r="U345" i="31"/>
  <c r="S346" i="31"/>
  <c r="S347" i="31"/>
  <c r="S348" i="31"/>
  <c r="S349" i="31"/>
  <c r="S350" i="31"/>
  <c r="S351" i="31"/>
  <c r="S352" i="31"/>
  <c r="S353" i="31"/>
  <c r="S354" i="31"/>
  <c r="S355" i="31"/>
  <c r="U355" i="31"/>
  <c r="S356" i="31"/>
  <c r="S357" i="31"/>
  <c r="S358" i="31"/>
  <c r="S359" i="31"/>
  <c r="S360" i="31"/>
  <c r="S361" i="31"/>
  <c r="S362" i="31"/>
  <c r="S363" i="31"/>
  <c r="U363" i="31"/>
  <c r="S364" i="31"/>
  <c r="S365" i="31"/>
  <c r="S366" i="31"/>
  <c r="S367" i="31"/>
  <c r="S368" i="31"/>
  <c r="S369" i="31"/>
  <c r="S370" i="31"/>
  <c r="S371" i="31"/>
  <c r="U371" i="31"/>
  <c r="S372" i="31"/>
  <c r="S373" i="31"/>
  <c r="S374" i="31"/>
  <c r="S375" i="31"/>
  <c r="S376" i="31"/>
  <c r="S377" i="31"/>
  <c r="S378" i="31"/>
  <c r="S379" i="31"/>
  <c r="S380" i="31"/>
  <c r="S381" i="31"/>
  <c r="U381" i="31"/>
  <c r="S382" i="31"/>
  <c r="S383" i="31"/>
  <c r="U383" i="31"/>
  <c r="S384" i="31"/>
  <c r="S385" i="31"/>
  <c r="S386" i="31"/>
  <c r="S387" i="31"/>
  <c r="U387" i="31"/>
  <c r="S388" i="31"/>
  <c r="S389" i="31"/>
  <c r="U389" i="31"/>
  <c r="S390" i="31"/>
  <c r="S391" i="31"/>
  <c r="S392" i="31"/>
  <c r="S393" i="31"/>
  <c r="S394" i="31"/>
  <c r="S395" i="31"/>
  <c r="S396" i="31"/>
  <c r="S397" i="31"/>
  <c r="U397" i="31"/>
  <c r="S398" i="31"/>
  <c r="S399" i="31"/>
  <c r="U399" i="31"/>
  <c r="S400" i="31"/>
  <c r="S401" i="31"/>
  <c r="S402" i="31"/>
  <c r="S403" i="31"/>
  <c r="S404" i="31"/>
  <c r="S405" i="31"/>
  <c r="S406" i="31"/>
  <c r="S407" i="31"/>
  <c r="U407" i="31"/>
  <c r="S408" i="31"/>
  <c r="S409" i="31"/>
  <c r="S410" i="31"/>
  <c r="S411" i="31"/>
  <c r="S412" i="31"/>
  <c r="S413" i="31"/>
  <c r="S414" i="31"/>
  <c r="S415" i="31"/>
  <c r="U415" i="31"/>
  <c r="S416" i="31"/>
  <c r="S417" i="31"/>
  <c r="S418" i="31"/>
  <c r="S419" i="31"/>
  <c r="S420" i="31"/>
  <c r="S421" i="31"/>
  <c r="S422" i="31"/>
  <c r="S423" i="31"/>
  <c r="U423" i="31"/>
  <c r="S424" i="31"/>
  <c r="S425" i="31"/>
  <c r="U425" i="31"/>
  <c r="S426" i="31"/>
  <c r="S427" i="31"/>
  <c r="U427" i="31"/>
  <c r="S428" i="31"/>
  <c r="S429" i="31"/>
  <c r="U429" i="31"/>
  <c r="S430" i="31"/>
  <c r="S431" i="31"/>
  <c r="U431" i="31"/>
  <c r="S432" i="31"/>
  <c r="S433" i="31"/>
  <c r="S434" i="31"/>
  <c r="S435" i="31"/>
  <c r="S436" i="31"/>
  <c r="S437" i="31"/>
  <c r="U437" i="31"/>
  <c r="S438" i="31"/>
  <c r="S439" i="31"/>
  <c r="S440" i="31"/>
  <c r="S441" i="31"/>
  <c r="U441" i="31"/>
  <c r="S222" i="31"/>
  <c r="U222" i="31"/>
  <c r="U227" i="31"/>
  <c r="U235" i="31"/>
  <c r="U255" i="31"/>
  <c r="U275" i="31"/>
  <c r="U283" i="31"/>
  <c r="U291" i="31"/>
  <c r="U315" i="31"/>
  <c r="U323" i="31"/>
  <c r="U335" i="31"/>
  <c r="U367" i="31"/>
  <c r="U375" i="31"/>
  <c r="U411" i="31"/>
  <c r="U419" i="31"/>
  <c r="U443" i="31"/>
  <c r="U451" i="31"/>
  <c r="U459" i="31"/>
  <c r="U463" i="31"/>
  <c r="U467" i="31"/>
  <c r="U479" i="31"/>
  <c r="U487" i="31"/>
  <c r="U491" i="31"/>
  <c r="U499" i="31"/>
  <c r="U503" i="31"/>
  <c r="U507" i="31"/>
  <c r="U519" i="31"/>
  <c r="U523" i="31"/>
  <c r="U527" i="31"/>
  <c r="U535" i="31"/>
  <c r="U543" i="31"/>
  <c r="U551" i="31"/>
  <c r="U559" i="31"/>
  <c r="U563" i="31"/>
  <c r="U567" i="31"/>
  <c r="U583" i="31"/>
  <c r="U584" i="31"/>
  <c r="U587" i="31"/>
  <c r="U595" i="31"/>
  <c r="U600" i="31"/>
  <c r="U607" i="31"/>
  <c r="U611" i="31"/>
  <c r="U615" i="31"/>
  <c r="U627" i="31"/>
  <c r="U635" i="31"/>
  <c r="U651" i="31"/>
  <c r="U656" i="31"/>
  <c r="U667" i="31"/>
  <c r="U671" i="31"/>
  <c r="U679" i="31"/>
  <c r="U683" i="31"/>
  <c r="U691" i="31"/>
  <c r="U703" i="31"/>
  <c r="U711" i="31"/>
  <c r="U715" i="31"/>
  <c r="U723" i="31"/>
  <c r="U731" i="31"/>
  <c r="U739" i="31"/>
  <c r="U743" i="31"/>
  <c r="U755" i="31"/>
  <c r="U759" i="31"/>
  <c r="U771" i="31"/>
  <c r="U779" i="31"/>
  <c r="U783" i="31"/>
  <c r="U791" i="31"/>
  <c r="U795" i="31"/>
  <c r="U807" i="31"/>
  <c r="U811" i="31"/>
  <c r="U823" i="31"/>
  <c r="U831" i="31"/>
  <c r="U832" i="31"/>
  <c r="U839" i="31"/>
  <c r="U847" i="31"/>
  <c r="U859" i="31"/>
  <c r="U860" i="31"/>
  <c r="U863" i="31"/>
  <c r="U871" i="31"/>
  <c r="U875" i="31"/>
  <c r="U879" i="31"/>
  <c r="T3" i="31"/>
  <c r="T4" i="31"/>
  <c r="T5" i="31"/>
  <c r="T6" i="31"/>
  <c r="T7" i="31"/>
  <c r="T8" i="31"/>
  <c r="T9" i="31"/>
  <c r="T10" i="31"/>
  <c r="T11" i="31"/>
  <c r="T12" i="31"/>
  <c r="T13" i="31"/>
  <c r="T14" i="31"/>
  <c r="T15" i="31"/>
  <c r="T16" i="31"/>
  <c r="T17" i="31"/>
  <c r="T18" i="31"/>
  <c r="T19" i="31"/>
  <c r="T20" i="31"/>
  <c r="T21" i="31"/>
  <c r="T22" i="31"/>
  <c r="T23" i="31"/>
  <c r="T24" i="31"/>
  <c r="T25" i="31"/>
  <c r="T26" i="31"/>
  <c r="T27" i="31"/>
  <c r="T28" i="31"/>
  <c r="T29" i="31"/>
  <c r="T30" i="31"/>
  <c r="T31" i="31"/>
  <c r="T32" i="31"/>
  <c r="T33" i="31"/>
  <c r="T34" i="31"/>
  <c r="T35" i="31"/>
  <c r="T36" i="31"/>
  <c r="T37" i="31"/>
  <c r="T38" i="31"/>
  <c r="T39" i="31"/>
  <c r="T40" i="31"/>
  <c r="T41" i="31"/>
  <c r="T42" i="31"/>
  <c r="T43" i="31"/>
  <c r="T44" i="31"/>
  <c r="T45" i="31"/>
  <c r="T46" i="31"/>
  <c r="T47" i="31"/>
  <c r="T48" i="31"/>
  <c r="T49" i="31"/>
  <c r="T50" i="31"/>
  <c r="T51" i="31"/>
  <c r="T52" i="31"/>
  <c r="T53" i="31"/>
  <c r="T54" i="31"/>
  <c r="T55" i="31"/>
  <c r="T56" i="31"/>
  <c r="T57" i="31"/>
  <c r="T58" i="31"/>
  <c r="T59" i="31"/>
  <c r="T60" i="31"/>
  <c r="T61" i="31"/>
  <c r="T62" i="31"/>
  <c r="T63" i="31"/>
  <c r="T64" i="31"/>
  <c r="T65" i="31"/>
  <c r="T66" i="31"/>
  <c r="T67" i="31"/>
  <c r="T68" i="31"/>
  <c r="T69" i="31"/>
  <c r="T70" i="31"/>
  <c r="T71" i="31"/>
  <c r="T72" i="31"/>
  <c r="T73" i="31"/>
  <c r="T74" i="31"/>
  <c r="T75" i="31"/>
  <c r="T76" i="31"/>
  <c r="T77" i="31"/>
  <c r="T78" i="31"/>
  <c r="T79" i="31"/>
  <c r="T80" i="31"/>
  <c r="T81" i="31"/>
  <c r="T82" i="31"/>
  <c r="T83" i="31"/>
  <c r="T84" i="31"/>
  <c r="T85" i="31"/>
  <c r="T86" i="31"/>
  <c r="T87" i="31"/>
  <c r="T88" i="31"/>
  <c r="T89" i="31"/>
  <c r="T90" i="31"/>
  <c r="T91" i="31"/>
  <c r="T92" i="31"/>
  <c r="T93" i="31"/>
  <c r="T94" i="31"/>
  <c r="T95" i="31"/>
  <c r="T96" i="31"/>
  <c r="T97" i="31"/>
  <c r="T98" i="31"/>
  <c r="T99" i="31"/>
  <c r="T100" i="31"/>
  <c r="T101" i="31"/>
  <c r="T102" i="31"/>
  <c r="T103" i="31"/>
  <c r="T104" i="31"/>
  <c r="T105" i="31"/>
  <c r="T106" i="31"/>
  <c r="T107" i="31"/>
  <c r="T108" i="31"/>
  <c r="T109" i="31"/>
  <c r="T110" i="31"/>
  <c r="T111" i="31"/>
  <c r="T112" i="31"/>
  <c r="T113" i="31"/>
  <c r="T114" i="31"/>
  <c r="T115" i="31"/>
  <c r="T116" i="31"/>
  <c r="T117" i="31"/>
  <c r="T118" i="31"/>
  <c r="T119" i="31"/>
  <c r="T120" i="31"/>
  <c r="T121" i="31"/>
  <c r="T122" i="31"/>
  <c r="T123" i="31"/>
  <c r="T124" i="31"/>
  <c r="T125" i="31"/>
  <c r="T126" i="31"/>
  <c r="T127" i="31"/>
  <c r="T128" i="31"/>
  <c r="T129" i="31"/>
  <c r="T130" i="31"/>
  <c r="T131" i="31"/>
  <c r="T132" i="31"/>
  <c r="T133" i="31"/>
  <c r="T134" i="31"/>
  <c r="T135" i="31"/>
  <c r="T136" i="31"/>
  <c r="T137" i="31"/>
  <c r="T138" i="31"/>
  <c r="T139" i="31"/>
  <c r="T140" i="31"/>
  <c r="T141" i="31"/>
  <c r="T142" i="31"/>
  <c r="T143" i="31"/>
  <c r="T144" i="31"/>
  <c r="T145" i="31"/>
  <c r="T146" i="31"/>
  <c r="T147" i="31"/>
  <c r="T148" i="31"/>
  <c r="T149" i="31"/>
  <c r="T150" i="31"/>
  <c r="T151" i="31"/>
  <c r="T152" i="31"/>
  <c r="T153" i="31"/>
  <c r="T154" i="31"/>
  <c r="T155" i="31"/>
  <c r="T156" i="31"/>
  <c r="T157" i="31"/>
  <c r="T158" i="31"/>
  <c r="T159" i="31"/>
  <c r="T160" i="31"/>
  <c r="T161" i="31"/>
  <c r="T162" i="31"/>
  <c r="T163" i="31"/>
  <c r="T164" i="31"/>
  <c r="T165" i="31"/>
  <c r="T166" i="31"/>
  <c r="T167" i="31"/>
  <c r="T168" i="31"/>
  <c r="T169" i="31"/>
  <c r="T170" i="31"/>
  <c r="T171" i="31"/>
  <c r="T172" i="31"/>
  <c r="T173" i="31"/>
  <c r="T174" i="31"/>
  <c r="T175" i="31"/>
  <c r="T176" i="31"/>
  <c r="T177" i="31"/>
  <c r="T178" i="31"/>
  <c r="T179" i="31"/>
  <c r="T180" i="31"/>
  <c r="T181" i="31"/>
  <c r="T182" i="31"/>
  <c r="T183" i="31"/>
  <c r="T184" i="31"/>
  <c r="T185" i="31"/>
  <c r="T186" i="31"/>
  <c r="T187" i="31"/>
  <c r="T188" i="31"/>
  <c r="T189" i="31"/>
  <c r="T190" i="31"/>
  <c r="T191" i="31"/>
  <c r="T192" i="31"/>
  <c r="T193" i="31"/>
  <c r="T194" i="31"/>
  <c r="T195" i="31"/>
  <c r="T196" i="31"/>
  <c r="T197" i="31"/>
  <c r="T198" i="31"/>
  <c r="T199" i="31"/>
  <c r="T200" i="31"/>
  <c r="T201" i="31"/>
  <c r="T202" i="31"/>
  <c r="T203" i="31"/>
  <c r="T204" i="31"/>
  <c r="T205" i="31"/>
  <c r="T206" i="31"/>
  <c r="T207" i="31"/>
  <c r="T208" i="31"/>
  <c r="T209" i="31"/>
  <c r="T210" i="31"/>
  <c r="T211" i="31"/>
  <c r="T212" i="31"/>
  <c r="T213" i="31"/>
  <c r="T214" i="31"/>
  <c r="T215" i="31"/>
  <c r="T216" i="31"/>
  <c r="T217" i="31"/>
  <c r="T218" i="31"/>
  <c r="T219" i="31"/>
  <c r="T220" i="31"/>
  <c r="T221" i="31"/>
  <c r="S3" i="31"/>
  <c r="S4" i="31"/>
  <c r="S5" i="31"/>
  <c r="S6" i="31"/>
  <c r="S7" i="31"/>
  <c r="S8" i="31"/>
  <c r="S9" i="31"/>
  <c r="S10" i="31"/>
  <c r="S11" i="31"/>
  <c r="S12" i="31"/>
  <c r="S13" i="31"/>
  <c r="S14" i="31"/>
  <c r="S15" i="31"/>
  <c r="S16" i="31"/>
  <c r="S17" i="31"/>
  <c r="S18" i="31"/>
  <c r="S19" i="31"/>
  <c r="S20" i="31"/>
  <c r="S21" i="31"/>
  <c r="S22" i="31"/>
  <c r="S23" i="31"/>
  <c r="S24" i="31"/>
  <c r="S25" i="31"/>
  <c r="S26" i="31"/>
  <c r="S27" i="31"/>
  <c r="S28" i="31"/>
  <c r="S29" i="31"/>
  <c r="S30" i="31"/>
  <c r="S31" i="31"/>
  <c r="S32" i="31"/>
  <c r="S33" i="31"/>
  <c r="S34" i="31"/>
  <c r="S35" i="31"/>
  <c r="S36" i="31"/>
  <c r="S37" i="31"/>
  <c r="S38" i="31"/>
  <c r="S39" i="31"/>
  <c r="S40" i="31"/>
  <c r="S41" i="31"/>
  <c r="S42" i="31"/>
  <c r="S43" i="31"/>
  <c r="S44" i="31"/>
  <c r="S45" i="31"/>
  <c r="S46" i="31"/>
  <c r="S47" i="31"/>
  <c r="S48" i="31"/>
  <c r="S49" i="31"/>
  <c r="S50" i="31"/>
  <c r="S51" i="31"/>
  <c r="S52" i="31"/>
  <c r="S53" i="31"/>
  <c r="S54" i="31"/>
  <c r="S55" i="31"/>
  <c r="S56" i="31"/>
  <c r="S57" i="31"/>
  <c r="S58" i="31"/>
  <c r="S59" i="31"/>
  <c r="S60" i="31"/>
  <c r="S61" i="31"/>
  <c r="S62" i="31"/>
  <c r="S63" i="31"/>
  <c r="S64" i="31"/>
  <c r="S65" i="31"/>
  <c r="S66" i="31"/>
  <c r="S67" i="31"/>
  <c r="S68" i="31"/>
  <c r="S69" i="31"/>
  <c r="S70" i="31"/>
  <c r="S71" i="31"/>
  <c r="S72" i="31"/>
  <c r="S73" i="31"/>
  <c r="S74" i="31"/>
  <c r="S75" i="31"/>
  <c r="S76" i="31"/>
  <c r="S77" i="31"/>
  <c r="S78" i="31"/>
  <c r="S79" i="31"/>
  <c r="S80" i="31"/>
  <c r="S81" i="31"/>
  <c r="S82" i="31"/>
  <c r="S83" i="31"/>
  <c r="S84" i="31"/>
  <c r="S85" i="31"/>
  <c r="S86" i="31"/>
  <c r="S87" i="31"/>
  <c r="S88" i="31"/>
  <c r="S89" i="31"/>
  <c r="S90" i="31"/>
  <c r="S91" i="31"/>
  <c r="S92" i="31"/>
  <c r="S93" i="31"/>
  <c r="S94" i="31"/>
  <c r="S95" i="31"/>
  <c r="S96" i="31"/>
  <c r="S97" i="31"/>
  <c r="S98" i="31"/>
  <c r="S99" i="31"/>
  <c r="S100" i="31"/>
  <c r="S101" i="31"/>
  <c r="S102" i="31"/>
  <c r="S103" i="31"/>
  <c r="S104" i="31"/>
  <c r="S105" i="31"/>
  <c r="S106" i="31"/>
  <c r="S107" i="31"/>
  <c r="S108" i="31"/>
  <c r="S109" i="31"/>
  <c r="S110" i="31"/>
  <c r="S111" i="31"/>
  <c r="S112" i="31"/>
  <c r="S113" i="31"/>
  <c r="S114" i="31"/>
  <c r="S115" i="31"/>
  <c r="S116" i="31"/>
  <c r="S117" i="31"/>
  <c r="S118" i="31"/>
  <c r="S119" i="31"/>
  <c r="S120" i="31"/>
  <c r="S121" i="31"/>
  <c r="S122" i="31"/>
  <c r="S123" i="31"/>
  <c r="S124" i="31"/>
  <c r="S125" i="31"/>
  <c r="S126" i="31"/>
  <c r="S127" i="31"/>
  <c r="S128" i="31"/>
  <c r="S129" i="31"/>
  <c r="S130" i="31"/>
  <c r="S131" i="31"/>
  <c r="S132" i="31"/>
  <c r="S133" i="31"/>
  <c r="S134" i="31"/>
  <c r="S135" i="31"/>
  <c r="S136" i="31"/>
  <c r="S137" i="31"/>
  <c r="S138" i="31"/>
  <c r="S139" i="31"/>
  <c r="S140" i="31"/>
  <c r="S141" i="31"/>
  <c r="S142" i="31"/>
  <c r="S143" i="31"/>
  <c r="S144" i="31"/>
  <c r="S145" i="31"/>
  <c r="S146" i="31"/>
  <c r="S147" i="31"/>
  <c r="S148" i="31"/>
  <c r="S149" i="31"/>
  <c r="S150" i="31"/>
  <c r="S151" i="31"/>
  <c r="S152" i="31"/>
  <c r="S153" i="31"/>
  <c r="S154" i="31"/>
  <c r="S155" i="31"/>
  <c r="S156" i="31"/>
  <c r="S157" i="31"/>
  <c r="S158" i="31"/>
  <c r="S159" i="31"/>
  <c r="S160" i="31"/>
  <c r="S161" i="31"/>
  <c r="S162" i="31"/>
  <c r="S163" i="31"/>
  <c r="S164" i="31"/>
  <c r="S165" i="31"/>
  <c r="S166" i="31"/>
  <c r="S167" i="31"/>
  <c r="S168" i="31"/>
  <c r="S169" i="31"/>
  <c r="S170" i="31"/>
  <c r="S171" i="31"/>
  <c r="S172" i="31"/>
  <c r="S173" i="31"/>
  <c r="S174" i="31"/>
  <c r="S175" i="31"/>
  <c r="S176" i="31"/>
  <c r="S177" i="31"/>
  <c r="S178" i="31"/>
  <c r="S179" i="31"/>
  <c r="S180" i="31"/>
  <c r="S181" i="31"/>
  <c r="S182" i="31"/>
  <c r="S183" i="31"/>
  <c r="S184" i="31"/>
  <c r="S185" i="31"/>
  <c r="S186" i="31"/>
  <c r="S187" i="31"/>
  <c r="S188" i="31"/>
  <c r="S189" i="31"/>
  <c r="S190" i="31"/>
  <c r="S191" i="31"/>
  <c r="S192" i="31"/>
  <c r="S193" i="31"/>
  <c r="S194" i="31"/>
  <c r="S195" i="31"/>
  <c r="S196" i="31"/>
  <c r="S197" i="31"/>
  <c r="S198" i="31"/>
  <c r="S199" i="31"/>
  <c r="S200" i="31"/>
  <c r="S201" i="31"/>
  <c r="S202" i="31"/>
  <c r="S203" i="31"/>
  <c r="S204" i="31"/>
  <c r="S205" i="31"/>
  <c r="S206" i="31"/>
  <c r="S207" i="31"/>
  <c r="S208" i="31"/>
  <c r="S209" i="31"/>
  <c r="S210" i="31"/>
  <c r="S211" i="31"/>
  <c r="S212" i="31"/>
  <c r="S213" i="31"/>
  <c r="S214" i="31"/>
  <c r="S215" i="31"/>
  <c r="S216" i="31"/>
  <c r="S217" i="31"/>
  <c r="S218" i="31"/>
  <c r="S219" i="31"/>
  <c r="S220" i="31"/>
  <c r="S221" i="31"/>
  <c r="T2" i="31"/>
  <c r="S2" i="31"/>
  <c r="J663" i="31"/>
  <c r="J664" i="31"/>
  <c r="J665" i="31"/>
  <c r="J666" i="31"/>
  <c r="J667" i="31"/>
  <c r="J668" i="31"/>
  <c r="J669" i="31"/>
  <c r="J670" i="31"/>
  <c r="J671" i="31"/>
  <c r="J672" i="31"/>
  <c r="J673" i="31"/>
  <c r="J674" i="31"/>
  <c r="J675" i="31"/>
  <c r="J676" i="31"/>
  <c r="J677" i="31"/>
  <c r="J678" i="31"/>
  <c r="J679" i="31"/>
  <c r="J680" i="31"/>
  <c r="J681" i="31"/>
  <c r="J682" i="31"/>
  <c r="J683" i="31"/>
  <c r="J684" i="31"/>
  <c r="J685" i="31"/>
  <c r="J686" i="31"/>
  <c r="J687" i="31"/>
  <c r="J688" i="31"/>
  <c r="J689" i="31"/>
  <c r="J690" i="31"/>
  <c r="J691" i="31"/>
  <c r="J692" i="31"/>
  <c r="J693" i="31"/>
  <c r="J694" i="31"/>
  <c r="J695" i="31"/>
  <c r="J696" i="31"/>
  <c r="J697" i="31"/>
  <c r="J698" i="31"/>
  <c r="J699" i="31"/>
  <c r="J700" i="31"/>
  <c r="J701" i="31"/>
  <c r="J702" i="31"/>
  <c r="J703" i="31"/>
  <c r="J704" i="31"/>
  <c r="J705" i="31"/>
  <c r="J706" i="31"/>
  <c r="J707" i="31"/>
  <c r="J708" i="31"/>
  <c r="J709" i="31"/>
  <c r="J710" i="31"/>
  <c r="J711" i="31"/>
  <c r="J712" i="31"/>
  <c r="J713" i="31"/>
  <c r="J714" i="31"/>
  <c r="J715" i="31"/>
  <c r="J716" i="31"/>
  <c r="J717" i="31"/>
  <c r="J718" i="31"/>
  <c r="J719" i="31"/>
  <c r="J720" i="31"/>
  <c r="J721" i="31"/>
  <c r="J722" i="31"/>
  <c r="J723" i="31"/>
  <c r="J724" i="31"/>
  <c r="J725" i="31"/>
  <c r="J726" i="31"/>
  <c r="J727" i="31"/>
  <c r="J728" i="31"/>
  <c r="J729" i="31"/>
  <c r="J730" i="31"/>
  <c r="J731" i="31"/>
  <c r="J732" i="31"/>
  <c r="J733" i="31"/>
  <c r="J734" i="31"/>
  <c r="J735" i="31"/>
  <c r="J736" i="31"/>
  <c r="J737" i="31"/>
  <c r="J738" i="31"/>
  <c r="J739" i="31"/>
  <c r="J740" i="31"/>
  <c r="J741" i="31"/>
  <c r="J742" i="31"/>
  <c r="J743" i="31"/>
  <c r="J744" i="31"/>
  <c r="J745" i="31"/>
  <c r="J746" i="31"/>
  <c r="J747" i="31"/>
  <c r="J748" i="31"/>
  <c r="J749" i="31"/>
  <c r="J751" i="31"/>
  <c r="J752" i="31"/>
  <c r="J753" i="31"/>
  <c r="J754" i="31"/>
  <c r="J755" i="31"/>
  <c r="J756" i="31"/>
  <c r="J757" i="31"/>
  <c r="J758" i="31"/>
  <c r="J759" i="31"/>
  <c r="J760" i="31"/>
  <c r="J761" i="31"/>
  <c r="J762" i="31"/>
  <c r="J763" i="31"/>
  <c r="J764" i="31"/>
  <c r="J765" i="31"/>
  <c r="J766" i="31"/>
  <c r="J767" i="31"/>
  <c r="J768" i="31"/>
  <c r="J769" i="31"/>
  <c r="J770" i="31"/>
  <c r="J771" i="31"/>
  <c r="J772" i="31"/>
  <c r="J773" i="31"/>
  <c r="J774" i="31"/>
  <c r="J775" i="31"/>
  <c r="J776" i="31"/>
  <c r="J777" i="31"/>
  <c r="J778" i="31"/>
  <c r="J779" i="31"/>
  <c r="J780" i="31"/>
  <c r="J781" i="31"/>
  <c r="J782" i="31"/>
  <c r="J783" i="31"/>
  <c r="J784" i="31"/>
  <c r="J785" i="31"/>
  <c r="J786" i="31"/>
  <c r="J787" i="31"/>
  <c r="J788" i="31"/>
  <c r="J789" i="31"/>
  <c r="J790" i="31"/>
  <c r="J791" i="31"/>
  <c r="J792" i="31"/>
  <c r="J793" i="31"/>
  <c r="J794" i="31"/>
  <c r="J795" i="31"/>
  <c r="J796" i="31"/>
  <c r="J797" i="31"/>
  <c r="J798" i="31"/>
  <c r="J799" i="31"/>
  <c r="J800" i="31"/>
  <c r="J801" i="31"/>
  <c r="J802" i="31"/>
  <c r="J803" i="31"/>
  <c r="J804" i="31"/>
  <c r="J805" i="31"/>
  <c r="J806" i="31"/>
  <c r="J807" i="31"/>
  <c r="J808" i="31"/>
  <c r="J809" i="31"/>
  <c r="J810" i="31"/>
  <c r="J811" i="31"/>
  <c r="J812" i="31"/>
  <c r="J813" i="31"/>
  <c r="J814" i="31"/>
  <c r="J815" i="31"/>
  <c r="J816" i="31"/>
  <c r="J817" i="31"/>
  <c r="J818" i="31"/>
  <c r="J819" i="31"/>
  <c r="J820" i="31"/>
  <c r="J821" i="31"/>
  <c r="J822" i="31"/>
  <c r="J823" i="31"/>
  <c r="J824" i="31"/>
  <c r="J825" i="31"/>
  <c r="J826" i="31"/>
  <c r="J827" i="31"/>
  <c r="J828" i="31"/>
  <c r="J829" i="31"/>
  <c r="J830" i="31"/>
  <c r="J831" i="31"/>
  <c r="J832" i="31"/>
  <c r="J833" i="31"/>
  <c r="J834" i="31"/>
  <c r="J835" i="31"/>
  <c r="J836" i="31"/>
  <c r="J837" i="31"/>
  <c r="J838" i="31"/>
  <c r="J839" i="31"/>
  <c r="J840" i="31"/>
  <c r="J841" i="31"/>
  <c r="J842" i="31"/>
  <c r="J843" i="31"/>
  <c r="J844" i="31"/>
  <c r="J845" i="31"/>
  <c r="J846" i="31"/>
  <c r="J847" i="31"/>
  <c r="J848" i="31"/>
  <c r="J849" i="31"/>
  <c r="J850" i="31"/>
  <c r="J851" i="31"/>
  <c r="J852" i="31"/>
  <c r="J853" i="31"/>
  <c r="J854" i="31"/>
  <c r="J855" i="31"/>
  <c r="J856" i="31"/>
  <c r="J857" i="31"/>
  <c r="J858" i="31"/>
  <c r="J859" i="31"/>
  <c r="J860" i="31"/>
  <c r="J861" i="31"/>
  <c r="J862" i="31"/>
  <c r="J863" i="31"/>
  <c r="J864" i="31"/>
  <c r="J865" i="31"/>
  <c r="J866" i="31"/>
  <c r="J867" i="31"/>
  <c r="J868" i="31"/>
  <c r="J869" i="31"/>
  <c r="J870" i="31"/>
  <c r="J871" i="31"/>
  <c r="J872" i="31"/>
  <c r="J873" i="31"/>
  <c r="J874" i="31"/>
  <c r="J875" i="31"/>
  <c r="J876" i="31"/>
  <c r="J877" i="31"/>
  <c r="J878" i="31"/>
  <c r="J879" i="31"/>
  <c r="J880" i="31"/>
  <c r="J881" i="31"/>
  <c r="J662" i="31"/>
  <c r="J443" i="31"/>
  <c r="J444" i="31"/>
  <c r="J445" i="31"/>
  <c r="J446" i="31"/>
  <c r="J447" i="31"/>
  <c r="J448" i="31"/>
  <c r="J449" i="31"/>
  <c r="J450" i="31"/>
  <c r="J451" i="31"/>
  <c r="J452" i="31"/>
  <c r="J453" i="31"/>
  <c r="J454" i="31"/>
  <c r="J455" i="31"/>
  <c r="J456" i="31"/>
  <c r="J457" i="31"/>
  <c r="J458" i="31"/>
  <c r="J459" i="31"/>
  <c r="J460" i="31"/>
  <c r="J461" i="31"/>
  <c r="J462" i="31"/>
  <c r="J463" i="31"/>
  <c r="J464" i="31"/>
  <c r="J465" i="31"/>
  <c r="J466" i="31"/>
  <c r="J467" i="31"/>
  <c r="J468" i="31"/>
  <c r="J469" i="31"/>
  <c r="J470" i="31"/>
  <c r="J471" i="31"/>
  <c r="J472" i="31"/>
  <c r="J473" i="31"/>
  <c r="J474" i="31"/>
  <c r="J475" i="31"/>
  <c r="J476" i="31"/>
  <c r="J477" i="31"/>
  <c r="J478" i="31"/>
  <c r="J479" i="31"/>
  <c r="J480" i="31"/>
  <c r="J481" i="31"/>
  <c r="J482" i="31"/>
  <c r="J483" i="31"/>
  <c r="J484" i="31"/>
  <c r="J485" i="31"/>
  <c r="J486" i="31"/>
  <c r="J487" i="31"/>
  <c r="J488" i="31"/>
  <c r="J489" i="31"/>
  <c r="J490" i="31"/>
  <c r="J491" i="31"/>
  <c r="J492" i="31"/>
  <c r="J494" i="31"/>
  <c r="J495" i="31"/>
  <c r="J496" i="31"/>
  <c r="J497" i="31"/>
  <c r="J498" i="31"/>
  <c r="J499" i="31"/>
  <c r="J500" i="31"/>
  <c r="J501" i="31"/>
  <c r="J502" i="31"/>
  <c r="J503" i="31"/>
  <c r="J504" i="31"/>
  <c r="J505" i="31"/>
  <c r="J506" i="31"/>
  <c r="J507" i="31"/>
  <c r="J508" i="31"/>
  <c r="J509" i="31"/>
  <c r="J510" i="31"/>
  <c r="J511" i="31"/>
  <c r="J512" i="31"/>
  <c r="J513" i="31"/>
  <c r="J514" i="31"/>
  <c r="J515" i="31"/>
  <c r="J516" i="31"/>
  <c r="J517" i="31"/>
  <c r="J518" i="31"/>
  <c r="J519" i="31"/>
  <c r="J520" i="31"/>
  <c r="J521" i="31"/>
  <c r="J522" i="31"/>
  <c r="J523" i="31"/>
  <c r="J524" i="31"/>
  <c r="J525" i="31"/>
  <c r="J526" i="31"/>
  <c r="J527" i="31"/>
  <c r="J528" i="31"/>
  <c r="J529" i="31"/>
  <c r="J530" i="31"/>
  <c r="J531" i="31"/>
  <c r="J532" i="31"/>
  <c r="J533" i="31"/>
  <c r="J534" i="31"/>
  <c r="J535" i="31"/>
  <c r="J536" i="31"/>
  <c r="J537" i="31"/>
  <c r="J538" i="31"/>
  <c r="J539" i="31"/>
  <c r="J540" i="31"/>
  <c r="J541" i="31"/>
  <c r="J542" i="31"/>
  <c r="J543" i="31"/>
  <c r="J544" i="31"/>
  <c r="J545" i="31"/>
  <c r="J546" i="31"/>
  <c r="J547" i="31"/>
  <c r="J548" i="31"/>
  <c r="J549" i="31"/>
  <c r="J550" i="31"/>
  <c r="J551" i="31"/>
  <c r="J552" i="31"/>
  <c r="J553" i="31"/>
  <c r="J554" i="31"/>
  <c r="J555" i="31"/>
  <c r="J556" i="31"/>
  <c r="J557" i="31"/>
  <c r="J558" i="31"/>
  <c r="J559" i="31"/>
  <c r="J560" i="31"/>
  <c r="J561" i="31"/>
  <c r="J562" i="31"/>
  <c r="J563" i="31"/>
  <c r="J564" i="31"/>
  <c r="J565" i="31"/>
  <c r="J566" i="31"/>
  <c r="J567" i="31"/>
  <c r="J568" i="31"/>
  <c r="J569" i="31"/>
  <c r="J570" i="31"/>
  <c r="J571" i="31"/>
  <c r="J572" i="31"/>
  <c r="J573" i="31"/>
  <c r="J574" i="31"/>
  <c r="J575" i="31"/>
  <c r="J576" i="31"/>
  <c r="J577" i="31"/>
  <c r="J578" i="31"/>
  <c r="J579" i="31"/>
  <c r="J580" i="31"/>
  <c r="J581" i="31"/>
  <c r="J582" i="31"/>
  <c r="J583" i="31"/>
  <c r="J584" i="31"/>
  <c r="J585" i="31"/>
  <c r="J586" i="31"/>
  <c r="J587" i="31"/>
  <c r="J588" i="31"/>
  <c r="J589" i="31"/>
  <c r="J590" i="31"/>
  <c r="J591" i="31"/>
  <c r="J592" i="31"/>
  <c r="J593" i="31"/>
  <c r="J594" i="31"/>
  <c r="J595" i="31"/>
  <c r="J596" i="31"/>
  <c r="J597" i="31"/>
  <c r="J598" i="31"/>
  <c r="J599" i="31"/>
  <c r="J600" i="31"/>
  <c r="J601" i="31"/>
  <c r="J602" i="31"/>
  <c r="J603" i="31"/>
  <c r="J604" i="31"/>
  <c r="J605" i="31"/>
  <c r="J606" i="31"/>
  <c r="J607" i="31"/>
  <c r="J608" i="31"/>
  <c r="J609" i="31"/>
  <c r="J610" i="31"/>
  <c r="J611" i="31"/>
  <c r="J612" i="31"/>
  <c r="J613" i="31"/>
  <c r="J614" i="31"/>
  <c r="J615" i="31"/>
  <c r="J616" i="31"/>
  <c r="J617" i="31"/>
  <c r="J618" i="31"/>
  <c r="J619" i="31"/>
  <c r="J620" i="31"/>
  <c r="J621" i="31"/>
  <c r="J622" i="31"/>
  <c r="J623" i="31"/>
  <c r="J624" i="31"/>
  <c r="J625" i="31"/>
  <c r="J626" i="31"/>
  <c r="J627" i="31"/>
  <c r="J628" i="31"/>
  <c r="J629" i="31"/>
  <c r="J630" i="31"/>
  <c r="J631" i="31"/>
  <c r="J632" i="31"/>
  <c r="J633" i="31"/>
  <c r="J634" i="31"/>
  <c r="J635" i="31"/>
  <c r="J636" i="31"/>
  <c r="J637" i="31"/>
  <c r="J638" i="31"/>
  <c r="J639" i="31"/>
  <c r="J640" i="31"/>
  <c r="J641" i="31"/>
  <c r="J642" i="31"/>
  <c r="J643" i="31"/>
  <c r="J644" i="31"/>
  <c r="J645" i="31"/>
  <c r="J646" i="31"/>
  <c r="J647" i="31"/>
  <c r="J648" i="31"/>
  <c r="J649" i="31"/>
  <c r="J650" i="31"/>
  <c r="J651" i="31"/>
  <c r="J652" i="31"/>
  <c r="J653" i="31"/>
  <c r="J654" i="31"/>
  <c r="J655" i="31"/>
  <c r="J656" i="31"/>
  <c r="J657" i="31"/>
  <c r="J658" i="31"/>
  <c r="J659" i="31"/>
  <c r="J660" i="31"/>
  <c r="J661" i="31"/>
  <c r="J442" i="31"/>
  <c r="J223" i="31"/>
  <c r="J224" i="31"/>
  <c r="J225" i="31"/>
  <c r="J226" i="31"/>
  <c r="J227" i="31"/>
  <c r="J228" i="31"/>
  <c r="J229" i="31"/>
  <c r="J230" i="31"/>
  <c r="J231" i="31"/>
  <c r="J232" i="31"/>
  <c r="J233" i="31"/>
  <c r="J234" i="31"/>
  <c r="J235" i="31"/>
  <c r="J236" i="31"/>
  <c r="J237" i="31"/>
  <c r="J238" i="31"/>
  <c r="J239" i="31"/>
  <c r="J240" i="31"/>
  <c r="J241" i="31"/>
  <c r="J242" i="31"/>
  <c r="J243" i="31"/>
  <c r="J244" i="31"/>
  <c r="J245" i="31"/>
  <c r="J246" i="31"/>
  <c r="J247" i="31"/>
  <c r="J248" i="31"/>
  <c r="J249" i="31"/>
  <c r="J250" i="31"/>
  <c r="J251" i="31"/>
  <c r="J252" i="31"/>
  <c r="J253" i="31"/>
  <c r="J254" i="31"/>
  <c r="J255" i="31"/>
  <c r="J256" i="31"/>
  <c r="J257" i="31"/>
  <c r="J258" i="31"/>
  <c r="J259" i="31"/>
  <c r="J260" i="31"/>
  <c r="J261" i="31"/>
  <c r="J262" i="31"/>
  <c r="J263" i="31"/>
  <c r="J264" i="31"/>
  <c r="J265" i="31"/>
  <c r="J266" i="31"/>
  <c r="J267" i="31"/>
  <c r="J268" i="31"/>
  <c r="J269" i="31"/>
  <c r="J270" i="31"/>
  <c r="J271" i="31"/>
  <c r="J272" i="31"/>
  <c r="J273" i="31"/>
  <c r="J274" i="31"/>
  <c r="J275" i="31"/>
  <c r="J276" i="31"/>
  <c r="J277" i="31"/>
  <c r="J278" i="31"/>
  <c r="J279" i="31"/>
  <c r="J280" i="31"/>
  <c r="J281" i="31"/>
  <c r="J282" i="31"/>
  <c r="J283" i="31"/>
  <c r="J284" i="31"/>
  <c r="J285" i="31"/>
  <c r="J286" i="31"/>
  <c r="J287" i="31"/>
  <c r="J288" i="31"/>
  <c r="J289" i="31"/>
  <c r="J290" i="31"/>
  <c r="J291" i="31"/>
  <c r="J292" i="31"/>
  <c r="J293" i="31"/>
  <c r="J294" i="31"/>
  <c r="J295" i="31"/>
  <c r="J296" i="31"/>
  <c r="J297" i="31"/>
  <c r="J298" i="31"/>
  <c r="J299" i="31"/>
  <c r="J300" i="31"/>
  <c r="J301" i="31"/>
  <c r="J302" i="31"/>
  <c r="J303" i="31"/>
  <c r="J304" i="31"/>
  <c r="J305" i="31"/>
  <c r="J306" i="31"/>
  <c r="J307" i="31"/>
  <c r="J308" i="31"/>
  <c r="J309" i="31"/>
  <c r="J310" i="31"/>
  <c r="J311" i="31"/>
  <c r="J312" i="31"/>
  <c r="J313" i="31"/>
  <c r="J314" i="31"/>
  <c r="J315" i="31"/>
  <c r="J316" i="31"/>
  <c r="J317" i="31"/>
  <c r="J318" i="31"/>
  <c r="J319" i="31"/>
  <c r="J320" i="31"/>
  <c r="J321" i="31"/>
  <c r="J322" i="31"/>
  <c r="J323" i="31"/>
  <c r="J324" i="31"/>
  <c r="J325" i="31"/>
  <c r="J326" i="31"/>
  <c r="J327" i="31"/>
  <c r="J328" i="31"/>
  <c r="J329" i="31"/>
  <c r="J330" i="31"/>
  <c r="J331" i="31"/>
  <c r="J332" i="31"/>
  <c r="J333" i="31"/>
  <c r="J334" i="31"/>
  <c r="J335" i="31"/>
  <c r="J336" i="31"/>
  <c r="J337" i="31"/>
  <c r="J338" i="31"/>
  <c r="J339" i="31"/>
  <c r="J340" i="31"/>
  <c r="J341" i="31"/>
  <c r="J342" i="31"/>
  <c r="J343" i="31"/>
  <c r="J344" i="31"/>
  <c r="J345" i="31"/>
  <c r="J346" i="31"/>
  <c r="J347" i="31"/>
  <c r="J348" i="31"/>
  <c r="J349" i="31"/>
  <c r="J350" i="31"/>
  <c r="J351" i="31"/>
  <c r="J352" i="31"/>
  <c r="J353" i="31"/>
  <c r="J354" i="31"/>
  <c r="J355" i="31"/>
  <c r="J356" i="31"/>
  <c r="J357" i="31"/>
  <c r="J358" i="31"/>
  <c r="J359" i="31"/>
  <c r="J360" i="31"/>
  <c r="J361" i="31"/>
  <c r="J362" i="31"/>
  <c r="J363" i="31"/>
  <c r="J364" i="31"/>
  <c r="J365" i="31"/>
  <c r="J366" i="31"/>
  <c r="J367" i="31"/>
  <c r="J368" i="31"/>
  <c r="J369" i="31"/>
  <c r="J370" i="31"/>
  <c r="J371" i="31"/>
  <c r="J372" i="31"/>
  <c r="J373" i="31"/>
  <c r="J374" i="31"/>
  <c r="J375" i="31"/>
  <c r="J376" i="31"/>
  <c r="J377" i="31"/>
  <c r="J378" i="31"/>
  <c r="J379" i="31"/>
  <c r="J380" i="31"/>
  <c r="J381" i="31"/>
  <c r="J382" i="31"/>
  <c r="J383" i="31"/>
  <c r="J384" i="31"/>
  <c r="J385" i="31"/>
  <c r="J386" i="31"/>
  <c r="J387" i="31"/>
  <c r="J388" i="31"/>
  <c r="J389" i="31"/>
  <c r="J390" i="31"/>
  <c r="J391" i="31"/>
  <c r="J392" i="31"/>
  <c r="J393" i="31"/>
  <c r="J394" i="31"/>
  <c r="J395" i="31"/>
  <c r="J396" i="31"/>
  <c r="J397" i="31"/>
  <c r="J398" i="31"/>
  <c r="J399" i="31"/>
  <c r="J400" i="31"/>
  <c r="J401" i="31"/>
  <c r="J402" i="31"/>
  <c r="J403" i="31"/>
  <c r="J404" i="31"/>
  <c r="J405" i="31"/>
  <c r="J406" i="31"/>
  <c r="J407" i="31"/>
  <c r="J408" i="31"/>
  <c r="J409" i="31"/>
  <c r="J410" i="31"/>
  <c r="J411" i="31"/>
  <c r="J412" i="31"/>
  <c r="J413" i="31"/>
  <c r="J414" i="31"/>
  <c r="J415" i="31"/>
  <c r="J416" i="31"/>
  <c r="J417" i="31"/>
  <c r="J418" i="31"/>
  <c r="J419" i="31"/>
  <c r="J420" i="31"/>
  <c r="J421" i="31"/>
  <c r="J422" i="31"/>
  <c r="J423" i="31"/>
  <c r="J424" i="31"/>
  <c r="J425" i="31"/>
  <c r="J426" i="31"/>
  <c r="J427" i="31"/>
  <c r="J428" i="31"/>
  <c r="J429" i="31"/>
  <c r="J430" i="31"/>
  <c r="J431" i="31"/>
  <c r="J432" i="31"/>
  <c r="J433" i="31"/>
  <c r="J434" i="31"/>
  <c r="J435" i="31"/>
  <c r="J436" i="31"/>
  <c r="J437" i="31"/>
  <c r="J438" i="31"/>
  <c r="J439" i="31"/>
  <c r="J440" i="31"/>
  <c r="J441" i="31"/>
  <c r="J222" i="31"/>
  <c r="J3" i="31"/>
  <c r="J4" i="31"/>
  <c r="J5" i="31"/>
  <c r="J6" i="31"/>
  <c r="J7" i="31"/>
  <c r="J8" i="31"/>
  <c r="J9" i="31"/>
  <c r="J10" i="31"/>
  <c r="J11" i="31"/>
  <c r="J12" i="31"/>
  <c r="J13" i="31"/>
  <c r="J14" i="31"/>
  <c r="J15" i="31"/>
  <c r="J16" i="31"/>
  <c r="J17" i="31"/>
  <c r="J18" i="31"/>
  <c r="J19" i="31"/>
  <c r="J20" i="31"/>
  <c r="J21" i="31"/>
  <c r="J22" i="31"/>
  <c r="J23" i="31"/>
  <c r="J24" i="31"/>
  <c r="J25" i="31"/>
  <c r="J26" i="31"/>
  <c r="J27" i="31"/>
  <c r="J28" i="31"/>
  <c r="J29" i="31"/>
  <c r="J30" i="31"/>
  <c r="J31" i="31"/>
  <c r="J32" i="31"/>
  <c r="J33" i="31"/>
  <c r="J34" i="31"/>
  <c r="J35" i="31"/>
  <c r="J36" i="31"/>
  <c r="J37" i="31"/>
  <c r="J38" i="31"/>
  <c r="J39" i="31"/>
  <c r="J40" i="31"/>
  <c r="J41" i="31"/>
  <c r="J42" i="31"/>
  <c r="J43" i="31"/>
  <c r="J44" i="31"/>
  <c r="J45" i="31"/>
  <c r="J46" i="31"/>
  <c r="J47" i="31"/>
  <c r="J48" i="31"/>
  <c r="J49" i="31"/>
  <c r="J50" i="31"/>
  <c r="J51" i="31"/>
  <c r="J52" i="31"/>
  <c r="J53" i="31"/>
  <c r="J54" i="31"/>
  <c r="J55" i="31"/>
  <c r="J56" i="31"/>
  <c r="J57" i="31"/>
  <c r="J58" i="31"/>
  <c r="J59" i="31"/>
  <c r="J60" i="31"/>
  <c r="J61" i="31"/>
  <c r="J62" i="31"/>
  <c r="J63" i="31"/>
  <c r="J64" i="31"/>
  <c r="J65" i="31"/>
  <c r="J66" i="31"/>
  <c r="J67" i="31"/>
  <c r="J68" i="31"/>
  <c r="J69" i="31"/>
  <c r="J70" i="31"/>
  <c r="J71" i="31"/>
  <c r="J72" i="31"/>
  <c r="J73" i="31"/>
  <c r="J74" i="31"/>
  <c r="J75" i="31"/>
  <c r="J76" i="31"/>
  <c r="J77" i="31"/>
  <c r="J78" i="31"/>
  <c r="J79" i="31"/>
  <c r="J81" i="31"/>
  <c r="J82" i="31"/>
  <c r="J83" i="31"/>
  <c r="J84" i="31"/>
  <c r="J85" i="31"/>
  <c r="J86" i="31"/>
  <c r="J87" i="31"/>
  <c r="J88" i="31"/>
  <c r="J89" i="31"/>
  <c r="J90" i="31"/>
  <c r="J91" i="31"/>
  <c r="J92" i="31"/>
  <c r="J93" i="31"/>
  <c r="J94" i="31"/>
  <c r="J95" i="31"/>
  <c r="J96" i="31"/>
  <c r="J97" i="31"/>
  <c r="J98" i="31"/>
  <c r="J99" i="31"/>
  <c r="J100" i="31"/>
  <c r="J101" i="31"/>
  <c r="J102" i="31"/>
  <c r="J103" i="31"/>
  <c r="J104" i="31"/>
  <c r="J105" i="31"/>
  <c r="J106" i="31"/>
  <c r="J107" i="31"/>
  <c r="J108" i="31"/>
  <c r="J109" i="31"/>
  <c r="J110" i="31"/>
  <c r="J111" i="31"/>
  <c r="J112" i="31"/>
  <c r="J113" i="31"/>
  <c r="J114" i="31"/>
  <c r="J115" i="31"/>
  <c r="J116" i="31"/>
  <c r="J117" i="31"/>
  <c r="J118" i="31"/>
  <c r="J119" i="31"/>
  <c r="J120" i="31"/>
  <c r="J121" i="31"/>
  <c r="J122" i="31"/>
  <c r="J123" i="31"/>
  <c r="J124" i="31"/>
  <c r="J125" i="31"/>
  <c r="J126" i="31"/>
  <c r="J127" i="31"/>
  <c r="J128" i="31"/>
  <c r="J129" i="31"/>
  <c r="J130" i="31"/>
  <c r="J131" i="31"/>
  <c r="J132" i="31"/>
  <c r="J133" i="31"/>
  <c r="J134" i="31"/>
  <c r="J135" i="31"/>
  <c r="J136" i="31"/>
  <c r="J137" i="31"/>
  <c r="J138" i="31"/>
  <c r="J139" i="31"/>
  <c r="J141" i="31"/>
  <c r="J142" i="31"/>
  <c r="J143" i="31"/>
  <c r="J144" i="31"/>
  <c r="J145" i="31"/>
  <c r="J146" i="31"/>
  <c r="J147" i="31"/>
  <c r="J148" i="31"/>
  <c r="J149" i="31"/>
  <c r="J150" i="31"/>
  <c r="J151" i="31"/>
  <c r="J152" i="31"/>
  <c r="J153" i="31"/>
  <c r="J154" i="31"/>
  <c r="J155" i="31"/>
  <c r="J156" i="31"/>
  <c r="J157" i="31"/>
  <c r="J158" i="31"/>
  <c r="J159" i="31"/>
  <c r="J160" i="31"/>
  <c r="J161" i="31"/>
  <c r="J162" i="31"/>
  <c r="J163" i="31"/>
  <c r="J164" i="31"/>
  <c r="J165" i="31"/>
  <c r="J166" i="31"/>
  <c r="J167" i="31"/>
  <c r="J168" i="31"/>
  <c r="J169" i="31"/>
  <c r="J170" i="31"/>
  <c r="J171" i="31"/>
  <c r="J172" i="31"/>
  <c r="J173" i="31"/>
  <c r="J174" i="31"/>
  <c r="J175" i="31"/>
  <c r="J176" i="31"/>
  <c r="J177" i="31"/>
  <c r="J178" i="31"/>
  <c r="J179" i="31"/>
  <c r="J180" i="31"/>
  <c r="J181" i="31"/>
  <c r="J182" i="31"/>
  <c r="J183" i="31"/>
  <c r="J184" i="31"/>
  <c r="J185" i="31"/>
  <c r="J186" i="31"/>
  <c r="J187" i="31"/>
  <c r="J188" i="31"/>
  <c r="J189" i="31"/>
  <c r="J190" i="31"/>
  <c r="J191" i="31"/>
  <c r="J192" i="31"/>
  <c r="J193" i="31"/>
  <c r="J194" i="31"/>
  <c r="J195" i="31"/>
  <c r="J196" i="31"/>
  <c r="J197" i="31"/>
  <c r="J198" i="31"/>
  <c r="J199" i="31"/>
  <c r="J200" i="31"/>
  <c r="J201" i="31"/>
  <c r="J202" i="31"/>
  <c r="J203" i="31"/>
  <c r="J204" i="31"/>
  <c r="J205" i="31"/>
  <c r="J206" i="31"/>
  <c r="J207" i="31"/>
  <c r="J208" i="31"/>
  <c r="J209" i="31"/>
  <c r="J210" i="31"/>
  <c r="J211" i="31"/>
  <c r="J212" i="31"/>
  <c r="J213" i="31"/>
  <c r="J214" i="31"/>
  <c r="J215" i="31"/>
  <c r="J216" i="31"/>
  <c r="J217" i="31"/>
  <c r="J218" i="31"/>
  <c r="J219" i="31"/>
  <c r="J220" i="31"/>
  <c r="J221" i="31"/>
  <c r="J2" i="31"/>
  <c r="B663" i="31"/>
  <c r="X663" i="31"/>
  <c r="B664" i="31"/>
  <c r="X664" i="31"/>
  <c r="B665" i="31"/>
  <c r="X665" i="31"/>
  <c r="B666" i="31"/>
  <c r="X666" i="31"/>
  <c r="B667" i="31"/>
  <c r="X667" i="31"/>
  <c r="B668" i="31"/>
  <c r="X668" i="31"/>
  <c r="B669" i="31"/>
  <c r="X669" i="31"/>
  <c r="B670" i="31"/>
  <c r="X670" i="31"/>
  <c r="B671" i="31"/>
  <c r="X671" i="31"/>
  <c r="B672" i="31"/>
  <c r="X672" i="31"/>
  <c r="B673" i="31"/>
  <c r="X673" i="31"/>
  <c r="B674" i="31"/>
  <c r="X674" i="31"/>
  <c r="B675" i="31"/>
  <c r="X675" i="31"/>
  <c r="B676" i="31"/>
  <c r="X676" i="31"/>
  <c r="B677" i="31"/>
  <c r="X677" i="31"/>
  <c r="B678" i="31"/>
  <c r="X678" i="31"/>
  <c r="B679" i="31"/>
  <c r="X679" i="31"/>
  <c r="B680" i="31"/>
  <c r="X680" i="31"/>
  <c r="B681" i="31"/>
  <c r="X681" i="31"/>
  <c r="B682" i="31"/>
  <c r="X682" i="31"/>
  <c r="B683" i="31"/>
  <c r="X683" i="31"/>
  <c r="B684" i="31"/>
  <c r="X684" i="31"/>
  <c r="B685" i="31"/>
  <c r="X685" i="31"/>
  <c r="B686" i="31"/>
  <c r="X686" i="31"/>
  <c r="B687" i="31"/>
  <c r="X687" i="31"/>
  <c r="B688" i="31"/>
  <c r="X688" i="31"/>
  <c r="B689" i="31"/>
  <c r="X689" i="31"/>
  <c r="B690" i="31"/>
  <c r="X690" i="31"/>
  <c r="B691" i="31"/>
  <c r="X691" i="31"/>
  <c r="B692" i="31"/>
  <c r="X692" i="31"/>
  <c r="B693" i="31"/>
  <c r="X693" i="31"/>
  <c r="B694" i="31"/>
  <c r="X694" i="31"/>
  <c r="B695" i="31"/>
  <c r="X695" i="31"/>
  <c r="B696" i="31"/>
  <c r="X696" i="31"/>
  <c r="B697" i="31"/>
  <c r="X697" i="31"/>
  <c r="B698" i="31"/>
  <c r="X698" i="31"/>
  <c r="B699" i="31"/>
  <c r="X699" i="31"/>
  <c r="B700" i="31"/>
  <c r="X700" i="31"/>
  <c r="B701" i="31"/>
  <c r="X701" i="31"/>
  <c r="B702" i="31"/>
  <c r="X702" i="31"/>
  <c r="B703" i="31"/>
  <c r="X703" i="31"/>
  <c r="B704" i="31"/>
  <c r="X704" i="31"/>
  <c r="B705" i="31"/>
  <c r="X705" i="31"/>
  <c r="B706" i="31"/>
  <c r="X706" i="31"/>
  <c r="B707" i="31"/>
  <c r="X707" i="31"/>
  <c r="B708" i="31"/>
  <c r="X708" i="31"/>
  <c r="B709" i="31"/>
  <c r="X709" i="31"/>
  <c r="B710" i="31"/>
  <c r="X710" i="31"/>
  <c r="B711" i="31"/>
  <c r="X711" i="31"/>
  <c r="B712" i="31"/>
  <c r="X712" i="31"/>
  <c r="B713" i="31"/>
  <c r="X713" i="31"/>
  <c r="B714" i="31"/>
  <c r="X714" i="31"/>
  <c r="B715" i="31"/>
  <c r="X715" i="31"/>
  <c r="B716" i="31"/>
  <c r="X716" i="31"/>
  <c r="B717" i="31"/>
  <c r="X717" i="31"/>
  <c r="B718" i="31"/>
  <c r="X718" i="31"/>
  <c r="B719" i="31"/>
  <c r="X719" i="31"/>
  <c r="B720" i="31"/>
  <c r="X720" i="31"/>
  <c r="B721" i="31"/>
  <c r="X721" i="31"/>
  <c r="B722" i="31"/>
  <c r="X722" i="31"/>
  <c r="B723" i="31"/>
  <c r="X723" i="31"/>
  <c r="B724" i="31"/>
  <c r="X724" i="31"/>
  <c r="B725" i="31"/>
  <c r="X725" i="31"/>
  <c r="B726" i="31"/>
  <c r="X726" i="31"/>
  <c r="B727" i="31"/>
  <c r="X727" i="31"/>
  <c r="B728" i="31"/>
  <c r="X728" i="31"/>
  <c r="B729" i="31"/>
  <c r="X729" i="31"/>
  <c r="B730" i="31"/>
  <c r="X730" i="31"/>
  <c r="B731" i="31"/>
  <c r="X731" i="31"/>
  <c r="B732" i="31"/>
  <c r="X732" i="31"/>
  <c r="B733" i="31"/>
  <c r="X733" i="31"/>
  <c r="B734" i="31"/>
  <c r="X734" i="31"/>
  <c r="B735" i="31"/>
  <c r="X735" i="31"/>
  <c r="B736" i="31"/>
  <c r="X736" i="31"/>
  <c r="B737" i="31"/>
  <c r="X737" i="31"/>
  <c r="B738" i="31"/>
  <c r="X738" i="31"/>
  <c r="B739" i="31"/>
  <c r="X739" i="31"/>
  <c r="B740" i="31"/>
  <c r="X740" i="31"/>
  <c r="B741" i="31"/>
  <c r="X741" i="31"/>
  <c r="B742" i="31"/>
  <c r="X742" i="31"/>
  <c r="B743" i="31"/>
  <c r="X743" i="31"/>
  <c r="B744" i="31"/>
  <c r="X744" i="31"/>
  <c r="B745" i="31"/>
  <c r="X745" i="31"/>
  <c r="B746" i="31"/>
  <c r="X746" i="31"/>
  <c r="B747" i="31"/>
  <c r="X747" i="31"/>
  <c r="B748" i="31"/>
  <c r="X748" i="31"/>
  <c r="B749" i="31"/>
  <c r="X749" i="31"/>
  <c r="B750" i="31"/>
  <c r="X750" i="31"/>
  <c r="B751" i="31"/>
  <c r="X751" i="31"/>
  <c r="B752" i="31"/>
  <c r="X752" i="31"/>
  <c r="B753" i="31"/>
  <c r="X753" i="31"/>
  <c r="B754" i="31"/>
  <c r="X754" i="31"/>
  <c r="B755" i="31"/>
  <c r="X755" i="31"/>
  <c r="B756" i="31"/>
  <c r="X756" i="31"/>
  <c r="B757" i="31"/>
  <c r="X757" i="31"/>
  <c r="B758" i="31"/>
  <c r="X758" i="31"/>
  <c r="B759" i="31"/>
  <c r="X759" i="31"/>
  <c r="B760" i="31"/>
  <c r="X760" i="31"/>
  <c r="B761" i="31"/>
  <c r="X761" i="31"/>
  <c r="B762" i="31"/>
  <c r="X762" i="31"/>
  <c r="B763" i="31"/>
  <c r="X763" i="31"/>
  <c r="B764" i="31"/>
  <c r="X764" i="31"/>
  <c r="B765" i="31"/>
  <c r="X765" i="31"/>
  <c r="B766" i="31"/>
  <c r="X766" i="31"/>
  <c r="B767" i="31"/>
  <c r="X767" i="31"/>
  <c r="B768" i="31"/>
  <c r="X768" i="31"/>
  <c r="B769" i="31"/>
  <c r="X769" i="31"/>
  <c r="B770" i="31"/>
  <c r="X770" i="31"/>
  <c r="B771" i="31"/>
  <c r="X771" i="31"/>
  <c r="B772" i="31"/>
  <c r="X772" i="31"/>
  <c r="B773" i="31"/>
  <c r="X773" i="31"/>
  <c r="B774" i="31"/>
  <c r="X774" i="31"/>
  <c r="B775" i="31"/>
  <c r="X775" i="31"/>
  <c r="B776" i="31"/>
  <c r="X776" i="31"/>
  <c r="B777" i="31"/>
  <c r="X777" i="31"/>
  <c r="B778" i="31"/>
  <c r="X778" i="31"/>
  <c r="B779" i="31"/>
  <c r="X779" i="31"/>
  <c r="B780" i="31"/>
  <c r="X780" i="31"/>
  <c r="B781" i="31"/>
  <c r="X781" i="31"/>
  <c r="B782" i="31"/>
  <c r="X782" i="31"/>
  <c r="B783" i="31"/>
  <c r="X783" i="31"/>
  <c r="B784" i="31"/>
  <c r="X784" i="31"/>
  <c r="B785" i="31"/>
  <c r="X785" i="31"/>
  <c r="B786" i="31"/>
  <c r="X786" i="31"/>
  <c r="B787" i="31"/>
  <c r="X787" i="31"/>
  <c r="B788" i="31"/>
  <c r="X788" i="31"/>
  <c r="B789" i="31"/>
  <c r="X789" i="31"/>
  <c r="B790" i="31"/>
  <c r="X790" i="31"/>
  <c r="B791" i="31"/>
  <c r="X791" i="31"/>
  <c r="B792" i="31"/>
  <c r="X792" i="31"/>
  <c r="B793" i="31"/>
  <c r="X793" i="31"/>
  <c r="B794" i="31"/>
  <c r="X794" i="31"/>
  <c r="B795" i="31"/>
  <c r="X795" i="31"/>
  <c r="B796" i="31"/>
  <c r="X796" i="31"/>
  <c r="B797" i="31"/>
  <c r="X797" i="31"/>
  <c r="B798" i="31"/>
  <c r="X798" i="31"/>
  <c r="B799" i="31"/>
  <c r="X799" i="31"/>
  <c r="B800" i="31"/>
  <c r="X800" i="31"/>
  <c r="B801" i="31"/>
  <c r="X801" i="31"/>
  <c r="B802" i="31"/>
  <c r="X802" i="31"/>
  <c r="B803" i="31"/>
  <c r="X803" i="31"/>
  <c r="B804" i="31"/>
  <c r="X804" i="31"/>
  <c r="B805" i="31"/>
  <c r="X805" i="31"/>
  <c r="B806" i="31"/>
  <c r="X806" i="31"/>
  <c r="B807" i="31"/>
  <c r="X807" i="31"/>
  <c r="B808" i="31"/>
  <c r="X808" i="31"/>
  <c r="B809" i="31"/>
  <c r="X809" i="31"/>
  <c r="B810" i="31"/>
  <c r="X810" i="31"/>
  <c r="B811" i="31"/>
  <c r="X811" i="31"/>
  <c r="B812" i="31"/>
  <c r="X812" i="31"/>
  <c r="B813" i="31"/>
  <c r="X813" i="31"/>
  <c r="B814" i="31"/>
  <c r="X814" i="31"/>
  <c r="B815" i="31"/>
  <c r="X815" i="31"/>
  <c r="B816" i="31"/>
  <c r="X816" i="31"/>
  <c r="B817" i="31"/>
  <c r="X817" i="31"/>
  <c r="B818" i="31"/>
  <c r="X818" i="31"/>
  <c r="B819" i="31"/>
  <c r="X819" i="31"/>
  <c r="B820" i="31"/>
  <c r="X820" i="31"/>
  <c r="B821" i="31"/>
  <c r="X821" i="31"/>
  <c r="B822" i="31"/>
  <c r="X822" i="31"/>
  <c r="B823" i="31"/>
  <c r="X823" i="31"/>
  <c r="B824" i="31"/>
  <c r="X824" i="31"/>
  <c r="B825" i="31"/>
  <c r="X825" i="31"/>
  <c r="B826" i="31"/>
  <c r="X826" i="31"/>
  <c r="B827" i="31"/>
  <c r="X827" i="31"/>
  <c r="B828" i="31"/>
  <c r="X828" i="31"/>
  <c r="B829" i="31"/>
  <c r="X829" i="31"/>
  <c r="B830" i="31"/>
  <c r="X830" i="31"/>
  <c r="B831" i="31"/>
  <c r="X831" i="31"/>
  <c r="B832" i="31"/>
  <c r="X832" i="31"/>
  <c r="B833" i="31"/>
  <c r="X833" i="31"/>
  <c r="B834" i="31"/>
  <c r="X834" i="31"/>
  <c r="B835" i="31"/>
  <c r="X835" i="31"/>
  <c r="B836" i="31"/>
  <c r="X836" i="31"/>
  <c r="B837" i="31"/>
  <c r="X837" i="31"/>
  <c r="B838" i="31"/>
  <c r="X838" i="31"/>
  <c r="B839" i="31"/>
  <c r="X839" i="31"/>
  <c r="B840" i="31"/>
  <c r="X840" i="31"/>
  <c r="B841" i="31"/>
  <c r="X841" i="31"/>
  <c r="B842" i="31"/>
  <c r="X842" i="31"/>
  <c r="B843" i="31"/>
  <c r="X843" i="31"/>
  <c r="B844" i="31"/>
  <c r="X844" i="31"/>
  <c r="B845" i="31"/>
  <c r="X845" i="31"/>
  <c r="B846" i="31"/>
  <c r="X846" i="31"/>
  <c r="B847" i="31"/>
  <c r="X847" i="31"/>
  <c r="B848" i="31"/>
  <c r="X848" i="31"/>
  <c r="B849" i="31"/>
  <c r="X849" i="31"/>
  <c r="B850" i="31"/>
  <c r="X850" i="31"/>
  <c r="B851" i="31"/>
  <c r="X851" i="31"/>
  <c r="B852" i="31"/>
  <c r="X852" i="31"/>
  <c r="B853" i="31"/>
  <c r="X853" i="31"/>
  <c r="B854" i="31"/>
  <c r="X854" i="31"/>
  <c r="B855" i="31"/>
  <c r="X855" i="31"/>
  <c r="B856" i="31"/>
  <c r="X856" i="31"/>
  <c r="B857" i="31"/>
  <c r="X857" i="31"/>
  <c r="B858" i="31"/>
  <c r="X858" i="31"/>
  <c r="B859" i="31"/>
  <c r="X859" i="31"/>
  <c r="B860" i="31"/>
  <c r="X860" i="31"/>
  <c r="B861" i="31"/>
  <c r="X861" i="31"/>
  <c r="B862" i="31"/>
  <c r="X862" i="31"/>
  <c r="B863" i="31"/>
  <c r="X863" i="31"/>
  <c r="B864" i="31"/>
  <c r="X864" i="31"/>
  <c r="B865" i="31"/>
  <c r="X865" i="31"/>
  <c r="B866" i="31"/>
  <c r="X866" i="31"/>
  <c r="B867" i="31"/>
  <c r="X867" i="31"/>
  <c r="B868" i="31"/>
  <c r="X868" i="31"/>
  <c r="B869" i="31"/>
  <c r="X869" i="31"/>
  <c r="B870" i="31"/>
  <c r="X870" i="31"/>
  <c r="B871" i="31"/>
  <c r="X871" i="31"/>
  <c r="B872" i="31"/>
  <c r="X872" i="31"/>
  <c r="B873" i="31"/>
  <c r="X873" i="31"/>
  <c r="B874" i="31"/>
  <c r="X874" i="31"/>
  <c r="B875" i="31"/>
  <c r="X875" i="31"/>
  <c r="B876" i="31"/>
  <c r="X876" i="31"/>
  <c r="B877" i="31"/>
  <c r="X877" i="31"/>
  <c r="B878" i="31"/>
  <c r="X878" i="31"/>
  <c r="B879" i="31"/>
  <c r="X879" i="31"/>
  <c r="B880" i="31"/>
  <c r="X880" i="31"/>
  <c r="B881" i="31"/>
  <c r="X881" i="31"/>
  <c r="B662" i="31"/>
  <c r="X662" i="31"/>
  <c r="C663" i="31"/>
  <c r="C664" i="31"/>
  <c r="C665" i="31"/>
  <c r="C666" i="31"/>
  <c r="C667" i="31"/>
  <c r="C668" i="31"/>
  <c r="C669" i="31"/>
  <c r="C670" i="31"/>
  <c r="C671" i="31"/>
  <c r="C672" i="31"/>
  <c r="C673" i="31"/>
  <c r="C674" i="31"/>
  <c r="C675" i="31"/>
  <c r="C676" i="31"/>
  <c r="C677" i="31"/>
  <c r="C678" i="31"/>
  <c r="C679" i="31"/>
  <c r="C680" i="31"/>
  <c r="C681" i="31"/>
  <c r="C682" i="31"/>
  <c r="C683" i="31"/>
  <c r="C684" i="31"/>
  <c r="C685" i="31"/>
  <c r="C686" i="31"/>
  <c r="C687" i="31"/>
  <c r="C688" i="31"/>
  <c r="C689" i="31"/>
  <c r="C690" i="31"/>
  <c r="C691" i="31"/>
  <c r="C692" i="31"/>
  <c r="C693" i="31"/>
  <c r="C694" i="31"/>
  <c r="C695" i="31"/>
  <c r="C696" i="31"/>
  <c r="C697" i="31"/>
  <c r="C698" i="31"/>
  <c r="C699" i="31"/>
  <c r="C700" i="31"/>
  <c r="C701" i="31"/>
  <c r="C702" i="31"/>
  <c r="C703" i="31"/>
  <c r="C704" i="31"/>
  <c r="C705" i="31"/>
  <c r="C706" i="31"/>
  <c r="C707" i="31"/>
  <c r="C708" i="31"/>
  <c r="C709" i="31"/>
  <c r="C710" i="31"/>
  <c r="C711" i="31"/>
  <c r="C712" i="31"/>
  <c r="C713" i="31"/>
  <c r="C714" i="31"/>
  <c r="C715" i="31"/>
  <c r="C716" i="31"/>
  <c r="C717" i="31"/>
  <c r="C718" i="31"/>
  <c r="C719" i="31"/>
  <c r="C720" i="31"/>
  <c r="C721" i="31"/>
  <c r="C722" i="31"/>
  <c r="C723" i="31"/>
  <c r="C724" i="31"/>
  <c r="C725" i="31"/>
  <c r="C726" i="31"/>
  <c r="C727" i="31"/>
  <c r="C728" i="31"/>
  <c r="C729" i="31"/>
  <c r="C730" i="31"/>
  <c r="C731" i="31"/>
  <c r="C732" i="31"/>
  <c r="C733" i="31"/>
  <c r="C734" i="31"/>
  <c r="C735" i="31"/>
  <c r="C736" i="31"/>
  <c r="C737" i="31"/>
  <c r="C738" i="31"/>
  <c r="C739" i="31"/>
  <c r="C740" i="31"/>
  <c r="C741" i="31"/>
  <c r="C742" i="31"/>
  <c r="C743" i="31"/>
  <c r="C744" i="31"/>
  <c r="C745" i="31"/>
  <c r="C746" i="31"/>
  <c r="C747" i="31"/>
  <c r="C748" i="31"/>
  <c r="C749" i="31"/>
  <c r="C750" i="31"/>
  <c r="C751" i="31"/>
  <c r="C752" i="31"/>
  <c r="C753" i="31"/>
  <c r="C754" i="31"/>
  <c r="C755" i="31"/>
  <c r="C756" i="31"/>
  <c r="C757" i="31"/>
  <c r="C758" i="31"/>
  <c r="C759" i="31"/>
  <c r="C760" i="31"/>
  <c r="C761" i="31"/>
  <c r="C762" i="31"/>
  <c r="C763" i="31"/>
  <c r="C764" i="31"/>
  <c r="C765" i="31"/>
  <c r="C766" i="31"/>
  <c r="C767" i="31"/>
  <c r="C768" i="31"/>
  <c r="C769" i="31"/>
  <c r="C770" i="31"/>
  <c r="C771" i="31"/>
  <c r="C772" i="31"/>
  <c r="C773" i="31"/>
  <c r="C774" i="31"/>
  <c r="C775" i="31"/>
  <c r="C776" i="31"/>
  <c r="C777" i="31"/>
  <c r="C778" i="31"/>
  <c r="C779" i="31"/>
  <c r="C780" i="31"/>
  <c r="C781" i="31"/>
  <c r="C782" i="31"/>
  <c r="C783" i="31"/>
  <c r="C784" i="31"/>
  <c r="C785" i="31"/>
  <c r="C786" i="31"/>
  <c r="C787" i="31"/>
  <c r="C788" i="31"/>
  <c r="C789" i="31"/>
  <c r="C790" i="31"/>
  <c r="C791" i="31"/>
  <c r="C792" i="31"/>
  <c r="C793" i="31"/>
  <c r="C794" i="31"/>
  <c r="C795" i="31"/>
  <c r="C796" i="31"/>
  <c r="C797" i="31"/>
  <c r="C798" i="31"/>
  <c r="C799" i="31"/>
  <c r="C800" i="31"/>
  <c r="C801" i="31"/>
  <c r="C802" i="31"/>
  <c r="C803" i="31"/>
  <c r="C804" i="31"/>
  <c r="C805" i="31"/>
  <c r="C806" i="31"/>
  <c r="C807" i="31"/>
  <c r="C808" i="31"/>
  <c r="C809" i="31"/>
  <c r="C810" i="31"/>
  <c r="C811" i="31"/>
  <c r="C812" i="31"/>
  <c r="C813" i="31"/>
  <c r="C814" i="31"/>
  <c r="C815" i="31"/>
  <c r="C816" i="31"/>
  <c r="C817" i="31"/>
  <c r="C818" i="31"/>
  <c r="C819" i="31"/>
  <c r="C820" i="31"/>
  <c r="C821" i="31"/>
  <c r="C822" i="31"/>
  <c r="C823" i="31"/>
  <c r="C824" i="31"/>
  <c r="C825" i="31"/>
  <c r="C826" i="31"/>
  <c r="C827" i="31"/>
  <c r="C828" i="31"/>
  <c r="C829" i="31"/>
  <c r="C830" i="31"/>
  <c r="C831" i="31"/>
  <c r="C832" i="31"/>
  <c r="C833" i="31"/>
  <c r="C834" i="31"/>
  <c r="C835" i="31"/>
  <c r="C836" i="31"/>
  <c r="C837" i="31"/>
  <c r="C838" i="31"/>
  <c r="C839" i="31"/>
  <c r="C840" i="31"/>
  <c r="C841" i="31"/>
  <c r="C842" i="31"/>
  <c r="C843" i="31"/>
  <c r="C844" i="31"/>
  <c r="C845" i="31"/>
  <c r="C846" i="31"/>
  <c r="C847" i="31"/>
  <c r="C848" i="31"/>
  <c r="C849" i="31"/>
  <c r="C850" i="31"/>
  <c r="C851" i="31"/>
  <c r="C852" i="31"/>
  <c r="C853" i="31"/>
  <c r="C854" i="31"/>
  <c r="C855" i="31"/>
  <c r="C856" i="31"/>
  <c r="C857" i="31"/>
  <c r="C858" i="31"/>
  <c r="C859" i="31"/>
  <c r="C860" i="31"/>
  <c r="C861" i="31"/>
  <c r="C862" i="31"/>
  <c r="C863" i="31"/>
  <c r="C864" i="31"/>
  <c r="C865" i="31"/>
  <c r="C866" i="31"/>
  <c r="C867" i="31"/>
  <c r="C868" i="31"/>
  <c r="C869" i="31"/>
  <c r="C870" i="31"/>
  <c r="C871" i="31"/>
  <c r="C872" i="31"/>
  <c r="C873" i="31"/>
  <c r="C874" i="31"/>
  <c r="C875" i="31"/>
  <c r="C876" i="31"/>
  <c r="C877" i="31"/>
  <c r="C878" i="31"/>
  <c r="C879" i="31"/>
  <c r="C880" i="31"/>
  <c r="C881" i="31"/>
  <c r="C662" i="31"/>
  <c r="G663" i="31"/>
  <c r="G664" i="31"/>
  <c r="G665" i="31"/>
  <c r="G666" i="31"/>
  <c r="G667" i="31"/>
  <c r="G668" i="31"/>
  <c r="G669" i="31"/>
  <c r="G670" i="31"/>
  <c r="G671" i="31"/>
  <c r="G672" i="31"/>
  <c r="G673" i="31"/>
  <c r="G674" i="31"/>
  <c r="G675" i="31"/>
  <c r="G676" i="31"/>
  <c r="G677" i="31"/>
  <c r="G678" i="31"/>
  <c r="G679" i="31"/>
  <c r="G680" i="31"/>
  <c r="G681" i="31"/>
  <c r="G682" i="31"/>
  <c r="G683" i="31"/>
  <c r="G684" i="31"/>
  <c r="G685" i="31"/>
  <c r="G686" i="31"/>
  <c r="G687" i="31"/>
  <c r="G688" i="31"/>
  <c r="G689" i="31"/>
  <c r="G690" i="31"/>
  <c r="G691" i="31"/>
  <c r="G692" i="31"/>
  <c r="G693" i="31"/>
  <c r="G694" i="31"/>
  <c r="G695" i="31"/>
  <c r="G696" i="31"/>
  <c r="G697" i="31"/>
  <c r="G698" i="31"/>
  <c r="G699" i="31"/>
  <c r="G700" i="31"/>
  <c r="G701" i="31"/>
  <c r="G702" i="31"/>
  <c r="G703" i="31"/>
  <c r="G704" i="31"/>
  <c r="G705" i="31"/>
  <c r="G706" i="31"/>
  <c r="G707" i="31"/>
  <c r="G708" i="31"/>
  <c r="G709" i="31"/>
  <c r="G710" i="31"/>
  <c r="G711" i="31"/>
  <c r="G712" i="31"/>
  <c r="G713" i="31"/>
  <c r="G714" i="31"/>
  <c r="G715" i="31"/>
  <c r="G716" i="31"/>
  <c r="G717" i="31"/>
  <c r="G718" i="31"/>
  <c r="G719" i="31"/>
  <c r="G720" i="31"/>
  <c r="G721" i="31"/>
  <c r="G722" i="31"/>
  <c r="G723" i="31"/>
  <c r="G724" i="31"/>
  <c r="G725" i="31"/>
  <c r="G726" i="31"/>
  <c r="G727" i="31"/>
  <c r="G728" i="31"/>
  <c r="G729" i="31"/>
  <c r="G730" i="31"/>
  <c r="G731" i="31"/>
  <c r="G732" i="31"/>
  <c r="G733" i="31"/>
  <c r="G734" i="31"/>
  <c r="G735" i="31"/>
  <c r="G736" i="31"/>
  <c r="G737" i="31"/>
  <c r="G738" i="31"/>
  <c r="G739" i="31"/>
  <c r="G740" i="31"/>
  <c r="G741" i="31"/>
  <c r="G742" i="31"/>
  <c r="G743" i="31"/>
  <c r="G744" i="31"/>
  <c r="G745" i="31"/>
  <c r="G746" i="31"/>
  <c r="G747" i="31"/>
  <c r="G748" i="31"/>
  <c r="G749" i="31"/>
  <c r="G750" i="31"/>
  <c r="G751" i="31"/>
  <c r="G752" i="31"/>
  <c r="G753" i="31"/>
  <c r="G754" i="31"/>
  <c r="G755" i="31"/>
  <c r="G756" i="31"/>
  <c r="G757" i="31"/>
  <c r="G758" i="31"/>
  <c r="G759" i="31"/>
  <c r="G760" i="31"/>
  <c r="G761" i="31"/>
  <c r="G762" i="31"/>
  <c r="G763" i="31"/>
  <c r="G764" i="31"/>
  <c r="G765" i="31"/>
  <c r="G766" i="31"/>
  <c r="G767" i="31"/>
  <c r="G768" i="31"/>
  <c r="G769" i="31"/>
  <c r="G770" i="31"/>
  <c r="G771" i="31"/>
  <c r="G772" i="31"/>
  <c r="G773" i="31"/>
  <c r="G774" i="31"/>
  <c r="G775" i="31"/>
  <c r="G776" i="31"/>
  <c r="G777" i="31"/>
  <c r="G778" i="31"/>
  <c r="G779" i="31"/>
  <c r="G780" i="31"/>
  <c r="G781" i="31"/>
  <c r="G782" i="31"/>
  <c r="G783" i="31"/>
  <c r="G784" i="31"/>
  <c r="G785" i="31"/>
  <c r="G786" i="31"/>
  <c r="G787" i="31"/>
  <c r="G788" i="31"/>
  <c r="G789" i="31"/>
  <c r="G790" i="31"/>
  <c r="G791" i="31"/>
  <c r="G792" i="31"/>
  <c r="G793" i="31"/>
  <c r="G794" i="31"/>
  <c r="G795" i="31"/>
  <c r="G796" i="31"/>
  <c r="G797" i="31"/>
  <c r="G798" i="31"/>
  <c r="G799" i="31"/>
  <c r="G800" i="31"/>
  <c r="G801" i="31"/>
  <c r="G802" i="31"/>
  <c r="G803" i="31"/>
  <c r="G804" i="31"/>
  <c r="G805" i="31"/>
  <c r="G806" i="31"/>
  <c r="G807" i="31"/>
  <c r="G808" i="31"/>
  <c r="G809" i="31"/>
  <c r="G810" i="31"/>
  <c r="G811" i="31"/>
  <c r="G812" i="31"/>
  <c r="G813" i="31"/>
  <c r="G814" i="31"/>
  <c r="G815" i="31"/>
  <c r="G816" i="31"/>
  <c r="G817" i="31"/>
  <c r="G818" i="31"/>
  <c r="G819" i="31"/>
  <c r="G820" i="31"/>
  <c r="G821" i="31"/>
  <c r="G822" i="31"/>
  <c r="G823" i="31"/>
  <c r="G824" i="31"/>
  <c r="G825" i="31"/>
  <c r="G826" i="31"/>
  <c r="G827" i="31"/>
  <c r="G828" i="31"/>
  <c r="G829" i="31"/>
  <c r="G830" i="31"/>
  <c r="G831" i="31"/>
  <c r="G832" i="31"/>
  <c r="G833" i="31"/>
  <c r="G834" i="31"/>
  <c r="G835" i="31"/>
  <c r="G836" i="31"/>
  <c r="G837" i="31"/>
  <c r="G838" i="31"/>
  <c r="G839" i="31"/>
  <c r="G840" i="31"/>
  <c r="G841" i="31"/>
  <c r="G842" i="31"/>
  <c r="G843" i="31"/>
  <c r="G844" i="31"/>
  <c r="G845" i="31"/>
  <c r="G846" i="31"/>
  <c r="G847" i="31"/>
  <c r="G848" i="31"/>
  <c r="G849" i="31"/>
  <c r="G850" i="31"/>
  <c r="G851" i="31"/>
  <c r="G852" i="31"/>
  <c r="G853" i="31"/>
  <c r="G854" i="31"/>
  <c r="G855" i="31"/>
  <c r="G856" i="31"/>
  <c r="G857" i="31"/>
  <c r="G858" i="31"/>
  <c r="G859" i="31"/>
  <c r="G860" i="31"/>
  <c r="G861" i="31"/>
  <c r="G862" i="31"/>
  <c r="G863" i="31"/>
  <c r="G864" i="31"/>
  <c r="G865" i="31"/>
  <c r="G866" i="31"/>
  <c r="G867" i="31"/>
  <c r="G868" i="31"/>
  <c r="G869" i="31"/>
  <c r="G870" i="31"/>
  <c r="G871" i="31"/>
  <c r="G872" i="31"/>
  <c r="G873" i="31"/>
  <c r="G874" i="31"/>
  <c r="G875" i="31"/>
  <c r="G876" i="31"/>
  <c r="G877" i="31"/>
  <c r="G878" i="31"/>
  <c r="G879" i="31"/>
  <c r="G880" i="31"/>
  <c r="G881" i="31"/>
  <c r="G662" i="31"/>
  <c r="G443" i="31"/>
  <c r="G444" i="31"/>
  <c r="G445" i="31"/>
  <c r="G446" i="31"/>
  <c r="G447" i="31"/>
  <c r="G448" i="31"/>
  <c r="G449" i="31"/>
  <c r="G450" i="31"/>
  <c r="G451" i="31"/>
  <c r="G452" i="31"/>
  <c r="G453" i="31"/>
  <c r="G454" i="31"/>
  <c r="G455" i="31"/>
  <c r="G456" i="31"/>
  <c r="G457" i="31"/>
  <c r="G458" i="31"/>
  <c r="G459" i="31"/>
  <c r="G460" i="31"/>
  <c r="G461" i="31"/>
  <c r="G462" i="31"/>
  <c r="G463" i="31"/>
  <c r="G464" i="31"/>
  <c r="G465" i="31"/>
  <c r="G466" i="31"/>
  <c r="G467" i="31"/>
  <c r="G468" i="31"/>
  <c r="G469" i="31"/>
  <c r="G470" i="31"/>
  <c r="G471" i="31"/>
  <c r="G472" i="31"/>
  <c r="G473" i="31"/>
  <c r="G474" i="31"/>
  <c r="G475" i="31"/>
  <c r="G476" i="31"/>
  <c r="G477" i="31"/>
  <c r="G478" i="31"/>
  <c r="G479" i="31"/>
  <c r="G480" i="31"/>
  <c r="G481" i="31"/>
  <c r="G482" i="31"/>
  <c r="G483" i="31"/>
  <c r="G484" i="31"/>
  <c r="G485" i="31"/>
  <c r="G486" i="31"/>
  <c r="G487" i="31"/>
  <c r="G488" i="31"/>
  <c r="G489" i="31"/>
  <c r="G490" i="31"/>
  <c r="G491" i="31"/>
  <c r="G492" i="31"/>
  <c r="G493" i="31"/>
  <c r="G494" i="31"/>
  <c r="G495" i="31"/>
  <c r="G496" i="31"/>
  <c r="G497" i="31"/>
  <c r="G498" i="31"/>
  <c r="G499" i="31"/>
  <c r="G500" i="31"/>
  <c r="G501" i="31"/>
  <c r="G502" i="31"/>
  <c r="G503" i="31"/>
  <c r="G504" i="31"/>
  <c r="G505" i="31"/>
  <c r="G506" i="31"/>
  <c r="G507" i="31"/>
  <c r="G508" i="31"/>
  <c r="G509" i="31"/>
  <c r="G510" i="31"/>
  <c r="G511" i="31"/>
  <c r="G512" i="31"/>
  <c r="G513" i="31"/>
  <c r="G514" i="31"/>
  <c r="G515" i="31"/>
  <c r="G516" i="31"/>
  <c r="G517" i="31"/>
  <c r="G518" i="31"/>
  <c r="G519" i="31"/>
  <c r="G520" i="31"/>
  <c r="G521" i="31"/>
  <c r="G522" i="31"/>
  <c r="G523" i="31"/>
  <c r="G524" i="31"/>
  <c r="G525" i="31"/>
  <c r="G526" i="31"/>
  <c r="G527" i="31"/>
  <c r="G528" i="31"/>
  <c r="G529" i="31"/>
  <c r="G530" i="31"/>
  <c r="G531" i="31"/>
  <c r="G532" i="31"/>
  <c r="G533" i="31"/>
  <c r="G534" i="31"/>
  <c r="G535" i="31"/>
  <c r="G536" i="31"/>
  <c r="G537" i="31"/>
  <c r="G538" i="31"/>
  <c r="G539" i="31"/>
  <c r="G540" i="31"/>
  <c r="G541" i="31"/>
  <c r="G542" i="31"/>
  <c r="G543" i="31"/>
  <c r="G544" i="31"/>
  <c r="G545" i="31"/>
  <c r="G546" i="31"/>
  <c r="G547" i="31"/>
  <c r="G548" i="31"/>
  <c r="G549" i="31"/>
  <c r="G550" i="31"/>
  <c r="G551" i="31"/>
  <c r="G552" i="31"/>
  <c r="G553" i="31"/>
  <c r="G554" i="31"/>
  <c r="G555" i="31"/>
  <c r="G556" i="31"/>
  <c r="G557" i="31"/>
  <c r="G558" i="31"/>
  <c r="G559" i="31"/>
  <c r="G560" i="31"/>
  <c r="G561" i="31"/>
  <c r="G562" i="31"/>
  <c r="G563" i="31"/>
  <c r="G564" i="31"/>
  <c r="G565" i="31"/>
  <c r="G566" i="31"/>
  <c r="G567" i="31"/>
  <c r="G568" i="31"/>
  <c r="G569" i="31"/>
  <c r="G570" i="31"/>
  <c r="G571" i="31"/>
  <c r="G572" i="31"/>
  <c r="G573" i="31"/>
  <c r="G574" i="31"/>
  <c r="G575" i="31"/>
  <c r="G576" i="31"/>
  <c r="G577" i="31"/>
  <c r="G578" i="31"/>
  <c r="G579" i="31"/>
  <c r="G580" i="31"/>
  <c r="G581" i="31"/>
  <c r="G582" i="31"/>
  <c r="G583" i="31"/>
  <c r="G584" i="31"/>
  <c r="G585" i="31"/>
  <c r="G586" i="31"/>
  <c r="G587" i="31"/>
  <c r="G588" i="31"/>
  <c r="G589" i="31"/>
  <c r="G590" i="31"/>
  <c r="G591" i="31"/>
  <c r="G592" i="31"/>
  <c r="G593" i="31"/>
  <c r="G594" i="31"/>
  <c r="G595" i="31"/>
  <c r="G596" i="31"/>
  <c r="G597" i="31"/>
  <c r="G598" i="31"/>
  <c r="G599" i="31"/>
  <c r="G600" i="31"/>
  <c r="G601" i="31"/>
  <c r="G602" i="31"/>
  <c r="G603" i="31"/>
  <c r="G604" i="31"/>
  <c r="G605" i="31"/>
  <c r="G606" i="31"/>
  <c r="G607" i="31"/>
  <c r="G608" i="31"/>
  <c r="G609" i="31"/>
  <c r="G610" i="31"/>
  <c r="G611" i="31"/>
  <c r="G612" i="31"/>
  <c r="G613" i="31"/>
  <c r="G614" i="31"/>
  <c r="G615" i="31"/>
  <c r="G616" i="31"/>
  <c r="G617" i="31"/>
  <c r="G618" i="31"/>
  <c r="G619" i="31"/>
  <c r="G620" i="31"/>
  <c r="G621" i="31"/>
  <c r="G622" i="31"/>
  <c r="G623" i="31"/>
  <c r="G624" i="31"/>
  <c r="G625" i="31"/>
  <c r="G626" i="31"/>
  <c r="G627" i="31"/>
  <c r="G628" i="31"/>
  <c r="G629" i="31"/>
  <c r="G630" i="31"/>
  <c r="G631" i="31"/>
  <c r="G632" i="31"/>
  <c r="G633" i="31"/>
  <c r="G634" i="31"/>
  <c r="G635" i="31"/>
  <c r="G636" i="31"/>
  <c r="G637" i="31"/>
  <c r="G638" i="31"/>
  <c r="G639" i="31"/>
  <c r="G640" i="31"/>
  <c r="G641" i="31"/>
  <c r="G642" i="31"/>
  <c r="G643" i="31"/>
  <c r="G644" i="31"/>
  <c r="G645" i="31"/>
  <c r="G646" i="31"/>
  <c r="G647" i="31"/>
  <c r="G648" i="31"/>
  <c r="G649" i="31"/>
  <c r="G650" i="31"/>
  <c r="G651" i="31"/>
  <c r="G652" i="31"/>
  <c r="G653" i="31"/>
  <c r="G654" i="31"/>
  <c r="G655" i="31"/>
  <c r="G656" i="31"/>
  <c r="G657" i="31"/>
  <c r="G658" i="31"/>
  <c r="G659" i="31"/>
  <c r="G660" i="31"/>
  <c r="G661" i="31"/>
  <c r="C443" i="31"/>
  <c r="C444" i="31"/>
  <c r="C445" i="31"/>
  <c r="C446" i="31"/>
  <c r="C447" i="31"/>
  <c r="C448" i="31"/>
  <c r="C449" i="31"/>
  <c r="C450" i="31"/>
  <c r="C451" i="31"/>
  <c r="C452" i="31"/>
  <c r="C453" i="31"/>
  <c r="C454" i="31"/>
  <c r="C455" i="31"/>
  <c r="C456" i="31"/>
  <c r="C457" i="31"/>
  <c r="C458" i="31"/>
  <c r="C459" i="31"/>
  <c r="C460" i="31"/>
  <c r="C461" i="31"/>
  <c r="C462" i="31"/>
  <c r="C463" i="31"/>
  <c r="C464" i="31"/>
  <c r="C465" i="31"/>
  <c r="C466" i="31"/>
  <c r="C467" i="31"/>
  <c r="C468" i="31"/>
  <c r="C469" i="31"/>
  <c r="C470" i="31"/>
  <c r="C471" i="31"/>
  <c r="C472" i="31"/>
  <c r="C473" i="31"/>
  <c r="C474" i="31"/>
  <c r="C475" i="31"/>
  <c r="C476" i="31"/>
  <c r="C477" i="31"/>
  <c r="C478" i="31"/>
  <c r="C479" i="31"/>
  <c r="C480" i="31"/>
  <c r="C481" i="31"/>
  <c r="C482" i="31"/>
  <c r="C483" i="31"/>
  <c r="C484" i="31"/>
  <c r="C485" i="31"/>
  <c r="C486" i="31"/>
  <c r="C487" i="31"/>
  <c r="C488" i="31"/>
  <c r="C489" i="31"/>
  <c r="C490" i="31"/>
  <c r="C491" i="31"/>
  <c r="C492" i="31"/>
  <c r="C493" i="31"/>
  <c r="C494" i="31"/>
  <c r="C495" i="31"/>
  <c r="C496" i="31"/>
  <c r="C497" i="31"/>
  <c r="C498" i="31"/>
  <c r="C499" i="31"/>
  <c r="C500" i="31"/>
  <c r="C501" i="31"/>
  <c r="C502" i="31"/>
  <c r="C503" i="31"/>
  <c r="C504" i="31"/>
  <c r="C505" i="31"/>
  <c r="C506" i="31"/>
  <c r="C507" i="31"/>
  <c r="C508" i="31"/>
  <c r="C509" i="31"/>
  <c r="C510" i="31"/>
  <c r="C511" i="31"/>
  <c r="C512" i="31"/>
  <c r="C513" i="31"/>
  <c r="C514" i="31"/>
  <c r="C515" i="31"/>
  <c r="C516" i="31"/>
  <c r="C517" i="31"/>
  <c r="C518" i="31"/>
  <c r="C519" i="31"/>
  <c r="C520" i="31"/>
  <c r="C521" i="31"/>
  <c r="C522" i="31"/>
  <c r="C523" i="31"/>
  <c r="C524" i="31"/>
  <c r="C525" i="31"/>
  <c r="C526" i="31"/>
  <c r="C527" i="31"/>
  <c r="C528" i="31"/>
  <c r="C529" i="31"/>
  <c r="C530" i="31"/>
  <c r="C531" i="31"/>
  <c r="C532" i="31"/>
  <c r="C533" i="31"/>
  <c r="C534" i="31"/>
  <c r="C535" i="31"/>
  <c r="C536" i="31"/>
  <c r="C537" i="31"/>
  <c r="C538" i="31"/>
  <c r="C539" i="31"/>
  <c r="C540" i="31"/>
  <c r="C541" i="31"/>
  <c r="C542" i="31"/>
  <c r="C543" i="31"/>
  <c r="C544" i="31"/>
  <c r="C545" i="31"/>
  <c r="C546" i="31"/>
  <c r="C547" i="31"/>
  <c r="C548" i="31"/>
  <c r="C549" i="31"/>
  <c r="C550" i="31"/>
  <c r="C551" i="31"/>
  <c r="C552" i="31"/>
  <c r="C553" i="31"/>
  <c r="C554" i="31"/>
  <c r="C555" i="31"/>
  <c r="C556" i="31"/>
  <c r="C557" i="31"/>
  <c r="C558" i="31"/>
  <c r="C559" i="31"/>
  <c r="C560" i="31"/>
  <c r="C561" i="31"/>
  <c r="C562" i="31"/>
  <c r="C563" i="31"/>
  <c r="C564" i="31"/>
  <c r="C565" i="31"/>
  <c r="C566" i="31"/>
  <c r="C567" i="31"/>
  <c r="C568" i="31"/>
  <c r="C569" i="31"/>
  <c r="C570" i="31"/>
  <c r="C571" i="31"/>
  <c r="C572" i="31"/>
  <c r="C573" i="31"/>
  <c r="C574" i="31"/>
  <c r="C575" i="31"/>
  <c r="C576" i="31"/>
  <c r="C577" i="31"/>
  <c r="C578" i="31"/>
  <c r="C579" i="31"/>
  <c r="C580" i="31"/>
  <c r="C581" i="31"/>
  <c r="C582" i="31"/>
  <c r="C583" i="31"/>
  <c r="C584" i="31"/>
  <c r="C585" i="31"/>
  <c r="C586" i="31"/>
  <c r="C587" i="31"/>
  <c r="C588" i="31"/>
  <c r="C589" i="31"/>
  <c r="C590" i="31"/>
  <c r="C591" i="31"/>
  <c r="C592" i="31"/>
  <c r="C593" i="31"/>
  <c r="C594" i="31"/>
  <c r="C595" i="31"/>
  <c r="C596" i="31"/>
  <c r="C597" i="31"/>
  <c r="C598" i="31"/>
  <c r="C599" i="31"/>
  <c r="C600" i="31"/>
  <c r="C601" i="31"/>
  <c r="C602" i="31"/>
  <c r="C603" i="31"/>
  <c r="C604" i="31"/>
  <c r="C605" i="31"/>
  <c r="C606" i="31"/>
  <c r="C607" i="31"/>
  <c r="C608" i="31"/>
  <c r="C609" i="31"/>
  <c r="C610" i="31"/>
  <c r="C611" i="31"/>
  <c r="C612" i="31"/>
  <c r="C613" i="31"/>
  <c r="C614" i="31"/>
  <c r="C615" i="31"/>
  <c r="C616" i="31"/>
  <c r="C617" i="31"/>
  <c r="C618" i="31"/>
  <c r="C619" i="31"/>
  <c r="C620" i="31"/>
  <c r="C621" i="31"/>
  <c r="C622" i="31"/>
  <c r="C623" i="31"/>
  <c r="C624" i="31"/>
  <c r="C625" i="31"/>
  <c r="C626" i="31"/>
  <c r="C627" i="31"/>
  <c r="C628" i="31"/>
  <c r="C629" i="31"/>
  <c r="C630" i="31"/>
  <c r="C631" i="31"/>
  <c r="C632" i="31"/>
  <c r="C633" i="31"/>
  <c r="C634" i="31"/>
  <c r="C635" i="31"/>
  <c r="C636" i="31"/>
  <c r="C637" i="31"/>
  <c r="C638" i="31"/>
  <c r="C639" i="31"/>
  <c r="C640" i="31"/>
  <c r="C641" i="31"/>
  <c r="C642" i="31"/>
  <c r="C643" i="31"/>
  <c r="C644" i="31"/>
  <c r="C645" i="31"/>
  <c r="C646" i="31"/>
  <c r="C647" i="31"/>
  <c r="C648" i="31"/>
  <c r="C649" i="31"/>
  <c r="C650" i="31"/>
  <c r="C651" i="31"/>
  <c r="C652" i="31"/>
  <c r="C653" i="31"/>
  <c r="C654" i="31"/>
  <c r="C655" i="31"/>
  <c r="C656" i="31"/>
  <c r="C657" i="31"/>
  <c r="C658" i="31"/>
  <c r="C659" i="31"/>
  <c r="C660" i="31"/>
  <c r="C661" i="31"/>
  <c r="B443" i="31"/>
  <c r="X443" i="31"/>
  <c r="B444" i="31"/>
  <c r="X444" i="31"/>
  <c r="B445" i="31"/>
  <c r="X445" i="31"/>
  <c r="B446" i="31"/>
  <c r="X446" i="31"/>
  <c r="B447" i="31"/>
  <c r="X447" i="31"/>
  <c r="B448" i="31"/>
  <c r="X448" i="31"/>
  <c r="B449" i="31"/>
  <c r="X449" i="31"/>
  <c r="B450" i="31"/>
  <c r="X450" i="31"/>
  <c r="B451" i="31"/>
  <c r="X451" i="31"/>
  <c r="B452" i="31"/>
  <c r="X452" i="31"/>
  <c r="B453" i="31"/>
  <c r="X453" i="31"/>
  <c r="B454" i="31"/>
  <c r="X454" i="31"/>
  <c r="B455" i="31"/>
  <c r="X455" i="31"/>
  <c r="B456" i="31"/>
  <c r="X456" i="31"/>
  <c r="B457" i="31"/>
  <c r="X457" i="31"/>
  <c r="B458" i="31"/>
  <c r="X458" i="31"/>
  <c r="B459" i="31"/>
  <c r="X459" i="31"/>
  <c r="B460" i="31"/>
  <c r="X460" i="31"/>
  <c r="B461" i="31"/>
  <c r="X461" i="31"/>
  <c r="B462" i="31"/>
  <c r="X462" i="31"/>
  <c r="B463" i="31"/>
  <c r="X463" i="31"/>
  <c r="B464" i="31"/>
  <c r="X464" i="31"/>
  <c r="B465" i="31"/>
  <c r="X465" i="31"/>
  <c r="B466" i="31"/>
  <c r="X466" i="31"/>
  <c r="B467" i="31"/>
  <c r="X467" i="31"/>
  <c r="B468" i="31"/>
  <c r="X468" i="31"/>
  <c r="B469" i="31"/>
  <c r="X469" i="31"/>
  <c r="B470" i="31"/>
  <c r="X470" i="31"/>
  <c r="B471" i="31"/>
  <c r="X471" i="31"/>
  <c r="B472" i="31"/>
  <c r="X472" i="31"/>
  <c r="B473" i="31"/>
  <c r="X473" i="31"/>
  <c r="B474" i="31"/>
  <c r="X474" i="31"/>
  <c r="B475" i="31"/>
  <c r="X475" i="31"/>
  <c r="B476" i="31"/>
  <c r="X476" i="31"/>
  <c r="B477" i="31"/>
  <c r="X477" i="31"/>
  <c r="B478" i="31"/>
  <c r="X478" i="31"/>
  <c r="B479" i="31"/>
  <c r="X479" i="31"/>
  <c r="B480" i="31"/>
  <c r="X480" i="31"/>
  <c r="B481" i="31"/>
  <c r="X481" i="31"/>
  <c r="B482" i="31"/>
  <c r="X482" i="31"/>
  <c r="B483" i="31"/>
  <c r="X483" i="31"/>
  <c r="B484" i="31"/>
  <c r="X484" i="31"/>
  <c r="B485" i="31"/>
  <c r="X485" i="31"/>
  <c r="B486" i="31"/>
  <c r="X486" i="31"/>
  <c r="B487" i="31"/>
  <c r="X487" i="31"/>
  <c r="B488" i="31"/>
  <c r="X488" i="31"/>
  <c r="B489" i="31"/>
  <c r="X489" i="31"/>
  <c r="B490" i="31"/>
  <c r="X490" i="31"/>
  <c r="B491" i="31"/>
  <c r="X491" i="31"/>
  <c r="B492" i="31"/>
  <c r="X492" i="31"/>
  <c r="B493" i="31"/>
  <c r="X493" i="31"/>
  <c r="B494" i="31"/>
  <c r="X494" i="31"/>
  <c r="B495" i="31"/>
  <c r="X495" i="31"/>
  <c r="B496" i="31"/>
  <c r="X496" i="31"/>
  <c r="B497" i="31"/>
  <c r="X497" i="31"/>
  <c r="B498" i="31"/>
  <c r="X498" i="31"/>
  <c r="B499" i="31"/>
  <c r="X499" i="31"/>
  <c r="B500" i="31"/>
  <c r="X500" i="31"/>
  <c r="B501" i="31"/>
  <c r="X501" i="31"/>
  <c r="B502" i="31"/>
  <c r="X502" i="31"/>
  <c r="B503" i="31"/>
  <c r="X503" i="31"/>
  <c r="B504" i="31"/>
  <c r="X504" i="31"/>
  <c r="B505" i="31"/>
  <c r="X505" i="31"/>
  <c r="B506" i="31"/>
  <c r="X506" i="31"/>
  <c r="B507" i="31"/>
  <c r="X507" i="31"/>
  <c r="B508" i="31"/>
  <c r="X508" i="31"/>
  <c r="B509" i="31"/>
  <c r="X509" i="31"/>
  <c r="B510" i="31"/>
  <c r="X510" i="31"/>
  <c r="B511" i="31"/>
  <c r="X511" i="31"/>
  <c r="B512" i="31"/>
  <c r="X512" i="31"/>
  <c r="B513" i="31"/>
  <c r="X513" i="31"/>
  <c r="B514" i="31"/>
  <c r="X514" i="31"/>
  <c r="B515" i="31"/>
  <c r="X515" i="31"/>
  <c r="B516" i="31"/>
  <c r="X516" i="31"/>
  <c r="B517" i="31"/>
  <c r="X517" i="31"/>
  <c r="B518" i="31"/>
  <c r="X518" i="31"/>
  <c r="B519" i="31"/>
  <c r="X519" i="31"/>
  <c r="B520" i="31"/>
  <c r="X520" i="31"/>
  <c r="B521" i="31"/>
  <c r="X521" i="31"/>
  <c r="B522" i="31"/>
  <c r="X522" i="31"/>
  <c r="B523" i="31"/>
  <c r="X523" i="31"/>
  <c r="B524" i="31"/>
  <c r="X524" i="31"/>
  <c r="B525" i="31"/>
  <c r="X525" i="31"/>
  <c r="B526" i="31"/>
  <c r="X526" i="31"/>
  <c r="B527" i="31"/>
  <c r="X527" i="31"/>
  <c r="B528" i="31"/>
  <c r="X528" i="31"/>
  <c r="B529" i="31"/>
  <c r="X529" i="31"/>
  <c r="B530" i="31"/>
  <c r="X530" i="31"/>
  <c r="B531" i="31"/>
  <c r="X531" i="31"/>
  <c r="B532" i="31"/>
  <c r="X532" i="31"/>
  <c r="B533" i="31"/>
  <c r="X533" i="31"/>
  <c r="B534" i="31"/>
  <c r="X534" i="31"/>
  <c r="B535" i="31"/>
  <c r="X535" i="31"/>
  <c r="B536" i="31"/>
  <c r="X536" i="31"/>
  <c r="B537" i="31"/>
  <c r="X537" i="31"/>
  <c r="B538" i="31"/>
  <c r="X538" i="31"/>
  <c r="B539" i="31"/>
  <c r="X539" i="31"/>
  <c r="B540" i="31"/>
  <c r="X540" i="31"/>
  <c r="B541" i="31"/>
  <c r="X541" i="31"/>
  <c r="B542" i="31"/>
  <c r="X542" i="31"/>
  <c r="B543" i="31"/>
  <c r="X543" i="31"/>
  <c r="B544" i="31"/>
  <c r="X544" i="31"/>
  <c r="B545" i="31"/>
  <c r="X545" i="31"/>
  <c r="B546" i="31"/>
  <c r="X546" i="31"/>
  <c r="B547" i="31"/>
  <c r="X547" i="31"/>
  <c r="B548" i="31"/>
  <c r="X548" i="31"/>
  <c r="B549" i="31"/>
  <c r="X549" i="31"/>
  <c r="B550" i="31"/>
  <c r="X550" i="31"/>
  <c r="B551" i="31"/>
  <c r="X551" i="31"/>
  <c r="B552" i="31"/>
  <c r="X552" i="31"/>
  <c r="B553" i="31"/>
  <c r="X553" i="31"/>
  <c r="B554" i="31"/>
  <c r="X554" i="31"/>
  <c r="B555" i="31"/>
  <c r="X555" i="31"/>
  <c r="B556" i="31"/>
  <c r="X556" i="31"/>
  <c r="B557" i="31"/>
  <c r="X557" i="31"/>
  <c r="B558" i="31"/>
  <c r="X558" i="31"/>
  <c r="B559" i="31"/>
  <c r="X559" i="31"/>
  <c r="B560" i="31"/>
  <c r="X560" i="31"/>
  <c r="B561" i="31"/>
  <c r="X561" i="31"/>
  <c r="B562" i="31"/>
  <c r="X562" i="31"/>
  <c r="B563" i="31"/>
  <c r="X563" i="31"/>
  <c r="B564" i="31"/>
  <c r="X564" i="31"/>
  <c r="B565" i="31"/>
  <c r="X565" i="31"/>
  <c r="B566" i="31"/>
  <c r="X566" i="31"/>
  <c r="B567" i="31"/>
  <c r="X567" i="31"/>
  <c r="B568" i="31"/>
  <c r="X568" i="31"/>
  <c r="B569" i="31"/>
  <c r="X569" i="31"/>
  <c r="B570" i="31"/>
  <c r="X570" i="31"/>
  <c r="B571" i="31"/>
  <c r="X571" i="31"/>
  <c r="B572" i="31"/>
  <c r="X572" i="31"/>
  <c r="B573" i="31"/>
  <c r="X573" i="31"/>
  <c r="B574" i="31"/>
  <c r="X574" i="31"/>
  <c r="B575" i="31"/>
  <c r="X575" i="31"/>
  <c r="B576" i="31"/>
  <c r="X576" i="31"/>
  <c r="B577" i="31"/>
  <c r="X577" i="31"/>
  <c r="B578" i="31"/>
  <c r="X578" i="31"/>
  <c r="B579" i="31"/>
  <c r="X579" i="31"/>
  <c r="B580" i="31"/>
  <c r="X580" i="31"/>
  <c r="B581" i="31"/>
  <c r="X581" i="31"/>
  <c r="B582" i="31"/>
  <c r="X582" i="31"/>
  <c r="B583" i="31"/>
  <c r="X583" i="31"/>
  <c r="B584" i="31"/>
  <c r="X584" i="31"/>
  <c r="B585" i="31"/>
  <c r="X585" i="31"/>
  <c r="B586" i="31"/>
  <c r="X586" i="31"/>
  <c r="B587" i="31"/>
  <c r="X587" i="31"/>
  <c r="B588" i="31"/>
  <c r="X588" i="31"/>
  <c r="B589" i="31"/>
  <c r="X589" i="31"/>
  <c r="B590" i="31"/>
  <c r="X590" i="31"/>
  <c r="B591" i="31"/>
  <c r="X591" i="31"/>
  <c r="B592" i="31"/>
  <c r="X592" i="31"/>
  <c r="B593" i="31"/>
  <c r="X593" i="31"/>
  <c r="B594" i="31"/>
  <c r="X594" i="31"/>
  <c r="B595" i="31"/>
  <c r="X595" i="31"/>
  <c r="B596" i="31"/>
  <c r="X596" i="31"/>
  <c r="B597" i="31"/>
  <c r="X597" i="31"/>
  <c r="B598" i="31"/>
  <c r="X598" i="31"/>
  <c r="B599" i="31"/>
  <c r="X599" i="31"/>
  <c r="B600" i="31"/>
  <c r="X600" i="31"/>
  <c r="B601" i="31"/>
  <c r="X601" i="31"/>
  <c r="B602" i="31"/>
  <c r="X602" i="31"/>
  <c r="B603" i="31"/>
  <c r="X603" i="31"/>
  <c r="B604" i="31"/>
  <c r="X604" i="31"/>
  <c r="B605" i="31"/>
  <c r="X605" i="31"/>
  <c r="B606" i="31"/>
  <c r="X606" i="31"/>
  <c r="B607" i="31"/>
  <c r="X607" i="31"/>
  <c r="B608" i="31"/>
  <c r="X608" i="31"/>
  <c r="B609" i="31"/>
  <c r="X609" i="31"/>
  <c r="B610" i="31"/>
  <c r="X610" i="31"/>
  <c r="B611" i="31"/>
  <c r="X611" i="31"/>
  <c r="B612" i="31"/>
  <c r="X612" i="31"/>
  <c r="B613" i="31"/>
  <c r="X613" i="31"/>
  <c r="B614" i="31"/>
  <c r="X614" i="31"/>
  <c r="B615" i="31"/>
  <c r="X615" i="31"/>
  <c r="B616" i="31"/>
  <c r="X616" i="31"/>
  <c r="B617" i="31"/>
  <c r="X617" i="31"/>
  <c r="B618" i="31"/>
  <c r="X618" i="31"/>
  <c r="B619" i="31"/>
  <c r="X619" i="31"/>
  <c r="B620" i="31"/>
  <c r="X620" i="31"/>
  <c r="B621" i="31"/>
  <c r="X621" i="31"/>
  <c r="B622" i="31"/>
  <c r="X622" i="31"/>
  <c r="B623" i="31"/>
  <c r="X623" i="31"/>
  <c r="B624" i="31"/>
  <c r="X624" i="31"/>
  <c r="B625" i="31"/>
  <c r="X625" i="31"/>
  <c r="B626" i="31"/>
  <c r="X626" i="31"/>
  <c r="B627" i="31"/>
  <c r="X627" i="31"/>
  <c r="B628" i="31"/>
  <c r="X628" i="31"/>
  <c r="B629" i="31"/>
  <c r="X629" i="31"/>
  <c r="B630" i="31"/>
  <c r="X630" i="31"/>
  <c r="B631" i="31"/>
  <c r="X631" i="31"/>
  <c r="B632" i="31"/>
  <c r="X632" i="31"/>
  <c r="B633" i="31"/>
  <c r="X633" i="31"/>
  <c r="B634" i="31"/>
  <c r="X634" i="31"/>
  <c r="B635" i="31"/>
  <c r="X635" i="31"/>
  <c r="B636" i="31"/>
  <c r="X636" i="31"/>
  <c r="B637" i="31"/>
  <c r="X637" i="31"/>
  <c r="B638" i="31"/>
  <c r="X638" i="31"/>
  <c r="B639" i="31"/>
  <c r="X639" i="31"/>
  <c r="B640" i="31"/>
  <c r="X640" i="31"/>
  <c r="B641" i="31"/>
  <c r="X641" i="31"/>
  <c r="B642" i="31"/>
  <c r="X642" i="31"/>
  <c r="B643" i="31"/>
  <c r="X643" i="31"/>
  <c r="B644" i="31"/>
  <c r="X644" i="31"/>
  <c r="B645" i="31"/>
  <c r="X645" i="31"/>
  <c r="B646" i="31"/>
  <c r="X646" i="31"/>
  <c r="B647" i="31"/>
  <c r="X647" i="31"/>
  <c r="B648" i="31"/>
  <c r="X648" i="31"/>
  <c r="B649" i="31"/>
  <c r="X649" i="31"/>
  <c r="B650" i="31"/>
  <c r="X650" i="31"/>
  <c r="B651" i="31"/>
  <c r="X651" i="31"/>
  <c r="B652" i="31"/>
  <c r="X652" i="31"/>
  <c r="B653" i="31"/>
  <c r="X653" i="31"/>
  <c r="B654" i="31"/>
  <c r="X654" i="31"/>
  <c r="B655" i="31"/>
  <c r="X655" i="31"/>
  <c r="B656" i="31"/>
  <c r="X656" i="31"/>
  <c r="B657" i="31"/>
  <c r="X657" i="31"/>
  <c r="B658" i="31"/>
  <c r="X658" i="31"/>
  <c r="B659" i="31"/>
  <c r="X659" i="31"/>
  <c r="B660" i="31"/>
  <c r="X660" i="31"/>
  <c r="B661" i="31"/>
  <c r="X661" i="31"/>
  <c r="G442" i="31"/>
  <c r="C442" i="31"/>
  <c r="B442" i="31"/>
  <c r="X442" i="31"/>
  <c r="B223" i="31"/>
  <c r="X223" i="31"/>
  <c r="B224" i="31"/>
  <c r="X224" i="31"/>
  <c r="B225" i="31"/>
  <c r="X225" i="31"/>
  <c r="B226" i="31"/>
  <c r="X226" i="31"/>
  <c r="B227" i="31"/>
  <c r="X227" i="31"/>
  <c r="B228" i="31"/>
  <c r="X228" i="31"/>
  <c r="B229" i="31"/>
  <c r="X229" i="31"/>
  <c r="B230" i="31"/>
  <c r="X230" i="31"/>
  <c r="B231" i="31"/>
  <c r="X231" i="31"/>
  <c r="B232" i="31"/>
  <c r="X232" i="31"/>
  <c r="B233" i="31"/>
  <c r="X233" i="31"/>
  <c r="B234" i="31"/>
  <c r="X234" i="31"/>
  <c r="B235" i="31"/>
  <c r="X235" i="31"/>
  <c r="B236" i="31"/>
  <c r="X236" i="31"/>
  <c r="B237" i="31"/>
  <c r="X237" i="31"/>
  <c r="B238" i="31"/>
  <c r="X238" i="31"/>
  <c r="B239" i="31"/>
  <c r="X239" i="31"/>
  <c r="B240" i="31"/>
  <c r="X240" i="31"/>
  <c r="B241" i="31"/>
  <c r="X241" i="31"/>
  <c r="B242" i="31"/>
  <c r="X242" i="31"/>
  <c r="B243" i="31"/>
  <c r="X243" i="31"/>
  <c r="B244" i="31"/>
  <c r="X244" i="31"/>
  <c r="B245" i="31"/>
  <c r="X245" i="31"/>
  <c r="B246" i="31"/>
  <c r="X246" i="31"/>
  <c r="B247" i="31"/>
  <c r="X247" i="31"/>
  <c r="B248" i="31"/>
  <c r="X248" i="31"/>
  <c r="B249" i="31"/>
  <c r="X249" i="31"/>
  <c r="B250" i="31"/>
  <c r="X250" i="31"/>
  <c r="B251" i="31"/>
  <c r="X251" i="31"/>
  <c r="B252" i="31"/>
  <c r="X252" i="31"/>
  <c r="B253" i="31"/>
  <c r="X253" i="31"/>
  <c r="B254" i="31"/>
  <c r="X254" i="31"/>
  <c r="B255" i="31"/>
  <c r="X255" i="31"/>
  <c r="B256" i="31"/>
  <c r="X256" i="31"/>
  <c r="B257" i="31"/>
  <c r="X257" i="31"/>
  <c r="B258" i="31"/>
  <c r="X258" i="31"/>
  <c r="B259" i="31"/>
  <c r="X259" i="31"/>
  <c r="B260" i="31"/>
  <c r="X260" i="31"/>
  <c r="B261" i="31"/>
  <c r="X261" i="31"/>
  <c r="B262" i="31"/>
  <c r="X262" i="31"/>
  <c r="B263" i="31"/>
  <c r="X263" i="31"/>
  <c r="B264" i="31"/>
  <c r="X264" i="31"/>
  <c r="B265" i="31"/>
  <c r="X265" i="31"/>
  <c r="B266" i="31"/>
  <c r="X266" i="31"/>
  <c r="B267" i="31"/>
  <c r="X267" i="31"/>
  <c r="B268" i="31"/>
  <c r="X268" i="31"/>
  <c r="B269" i="31"/>
  <c r="X269" i="31"/>
  <c r="B270" i="31"/>
  <c r="X270" i="31"/>
  <c r="B271" i="31"/>
  <c r="X271" i="31"/>
  <c r="B272" i="31"/>
  <c r="X272" i="31"/>
  <c r="B273" i="31"/>
  <c r="X273" i="31"/>
  <c r="B274" i="31"/>
  <c r="X274" i="31"/>
  <c r="B275" i="31"/>
  <c r="X275" i="31"/>
  <c r="B276" i="31"/>
  <c r="X276" i="31"/>
  <c r="B277" i="31"/>
  <c r="X277" i="31"/>
  <c r="B278" i="31"/>
  <c r="X278" i="31"/>
  <c r="B279" i="31"/>
  <c r="X279" i="31"/>
  <c r="B280" i="31"/>
  <c r="X280" i="31"/>
  <c r="B281" i="31"/>
  <c r="X281" i="31"/>
  <c r="B282" i="31"/>
  <c r="X282" i="31"/>
  <c r="B283" i="31"/>
  <c r="X283" i="31"/>
  <c r="B284" i="31"/>
  <c r="X284" i="31"/>
  <c r="B285" i="31"/>
  <c r="X285" i="31"/>
  <c r="B286" i="31"/>
  <c r="X286" i="31"/>
  <c r="B287" i="31"/>
  <c r="X287" i="31"/>
  <c r="B288" i="31"/>
  <c r="X288" i="31"/>
  <c r="B289" i="31"/>
  <c r="X289" i="31"/>
  <c r="B290" i="31"/>
  <c r="X290" i="31"/>
  <c r="B291" i="31"/>
  <c r="X291" i="31"/>
  <c r="B292" i="31"/>
  <c r="X292" i="31"/>
  <c r="B293" i="31"/>
  <c r="X293" i="31"/>
  <c r="B294" i="31"/>
  <c r="X294" i="31"/>
  <c r="B295" i="31"/>
  <c r="X295" i="31"/>
  <c r="B296" i="31"/>
  <c r="X296" i="31"/>
  <c r="B297" i="31"/>
  <c r="X297" i="31"/>
  <c r="B298" i="31"/>
  <c r="X298" i="31"/>
  <c r="B299" i="31"/>
  <c r="X299" i="31"/>
  <c r="B300" i="31"/>
  <c r="X300" i="31"/>
  <c r="B301" i="31"/>
  <c r="X301" i="31"/>
  <c r="B302" i="31"/>
  <c r="X302" i="31"/>
  <c r="B303" i="31"/>
  <c r="X303" i="31"/>
  <c r="B304" i="31"/>
  <c r="X304" i="31"/>
  <c r="B305" i="31"/>
  <c r="X305" i="31"/>
  <c r="B306" i="31"/>
  <c r="X306" i="31"/>
  <c r="B307" i="31"/>
  <c r="X307" i="31"/>
  <c r="B308" i="31"/>
  <c r="X308" i="31"/>
  <c r="B309" i="31"/>
  <c r="X309" i="31"/>
  <c r="B310" i="31"/>
  <c r="X310" i="31"/>
  <c r="B311" i="31"/>
  <c r="X311" i="31"/>
  <c r="B312" i="31"/>
  <c r="X312" i="31"/>
  <c r="B313" i="31"/>
  <c r="X313" i="31"/>
  <c r="B314" i="31"/>
  <c r="X314" i="31"/>
  <c r="B315" i="31"/>
  <c r="X315" i="31"/>
  <c r="B316" i="31"/>
  <c r="X316" i="31"/>
  <c r="B317" i="31"/>
  <c r="X317" i="31"/>
  <c r="B318" i="31"/>
  <c r="X318" i="31"/>
  <c r="B319" i="31"/>
  <c r="X319" i="31"/>
  <c r="B320" i="31"/>
  <c r="X320" i="31"/>
  <c r="B321" i="31"/>
  <c r="X321" i="31"/>
  <c r="B322" i="31"/>
  <c r="X322" i="31"/>
  <c r="B323" i="31"/>
  <c r="X323" i="31"/>
  <c r="B324" i="31"/>
  <c r="X324" i="31"/>
  <c r="B325" i="31"/>
  <c r="X325" i="31"/>
  <c r="B326" i="31"/>
  <c r="X326" i="31"/>
  <c r="B327" i="31"/>
  <c r="X327" i="31"/>
  <c r="B328" i="31"/>
  <c r="X328" i="31"/>
  <c r="B329" i="31"/>
  <c r="X329" i="31"/>
  <c r="B330" i="31"/>
  <c r="X330" i="31"/>
  <c r="B331" i="31"/>
  <c r="X331" i="31"/>
  <c r="B332" i="31"/>
  <c r="X332" i="31"/>
  <c r="B333" i="31"/>
  <c r="X333" i="31"/>
  <c r="B334" i="31"/>
  <c r="X334" i="31"/>
  <c r="B335" i="31"/>
  <c r="X335" i="31"/>
  <c r="B336" i="31"/>
  <c r="X336" i="31"/>
  <c r="B337" i="31"/>
  <c r="X337" i="31"/>
  <c r="B338" i="31"/>
  <c r="X338" i="31"/>
  <c r="B339" i="31"/>
  <c r="X339" i="31"/>
  <c r="B340" i="31"/>
  <c r="X340" i="31"/>
  <c r="B341" i="31"/>
  <c r="X341" i="31"/>
  <c r="B342" i="31"/>
  <c r="X342" i="31"/>
  <c r="B343" i="31"/>
  <c r="X343" i="31"/>
  <c r="B344" i="31"/>
  <c r="X344" i="31"/>
  <c r="B345" i="31"/>
  <c r="X345" i="31"/>
  <c r="B346" i="31"/>
  <c r="X346" i="31"/>
  <c r="B347" i="31"/>
  <c r="X347" i="31"/>
  <c r="B348" i="31"/>
  <c r="X348" i="31"/>
  <c r="B349" i="31"/>
  <c r="X349" i="31"/>
  <c r="B350" i="31"/>
  <c r="X350" i="31"/>
  <c r="B351" i="31"/>
  <c r="X351" i="31"/>
  <c r="B352" i="31"/>
  <c r="X352" i="31"/>
  <c r="B353" i="31"/>
  <c r="X353" i="31"/>
  <c r="B354" i="31"/>
  <c r="X354" i="31"/>
  <c r="B355" i="31"/>
  <c r="X355" i="31"/>
  <c r="B356" i="31"/>
  <c r="X356" i="31"/>
  <c r="B357" i="31"/>
  <c r="X357" i="31"/>
  <c r="B358" i="31"/>
  <c r="X358" i="31"/>
  <c r="B359" i="31"/>
  <c r="X359" i="31"/>
  <c r="B360" i="31"/>
  <c r="X360" i="31"/>
  <c r="B361" i="31"/>
  <c r="X361" i="31"/>
  <c r="B362" i="31"/>
  <c r="X362" i="31"/>
  <c r="B363" i="31"/>
  <c r="X363" i="31"/>
  <c r="B364" i="31"/>
  <c r="X364" i="31"/>
  <c r="B365" i="31"/>
  <c r="X365" i="31"/>
  <c r="B366" i="31"/>
  <c r="X366" i="31"/>
  <c r="B367" i="31"/>
  <c r="X367" i="31"/>
  <c r="B368" i="31"/>
  <c r="X368" i="31"/>
  <c r="B369" i="31"/>
  <c r="X369" i="31"/>
  <c r="B370" i="31"/>
  <c r="X370" i="31"/>
  <c r="B371" i="31"/>
  <c r="X371" i="31"/>
  <c r="B372" i="31"/>
  <c r="X372" i="31"/>
  <c r="B373" i="31"/>
  <c r="X373" i="31"/>
  <c r="B374" i="31"/>
  <c r="X374" i="31"/>
  <c r="B375" i="31"/>
  <c r="X375" i="31"/>
  <c r="B376" i="31"/>
  <c r="X376" i="31"/>
  <c r="B377" i="31"/>
  <c r="X377" i="31"/>
  <c r="B378" i="31"/>
  <c r="X378" i="31"/>
  <c r="B379" i="31"/>
  <c r="X379" i="31"/>
  <c r="B380" i="31"/>
  <c r="X380" i="31"/>
  <c r="B381" i="31"/>
  <c r="X381" i="31"/>
  <c r="B382" i="31"/>
  <c r="X382" i="31"/>
  <c r="B383" i="31"/>
  <c r="X383" i="31"/>
  <c r="B384" i="31"/>
  <c r="X384" i="31"/>
  <c r="B385" i="31"/>
  <c r="X385" i="31"/>
  <c r="B386" i="31"/>
  <c r="X386" i="31"/>
  <c r="B387" i="31"/>
  <c r="X387" i="31"/>
  <c r="B388" i="31"/>
  <c r="X388" i="31"/>
  <c r="B389" i="31"/>
  <c r="X389" i="31"/>
  <c r="B390" i="31"/>
  <c r="X390" i="31"/>
  <c r="B391" i="31"/>
  <c r="X391" i="31"/>
  <c r="B392" i="31"/>
  <c r="X392" i="31"/>
  <c r="B393" i="31"/>
  <c r="X393" i="31"/>
  <c r="B394" i="31"/>
  <c r="X394" i="31"/>
  <c r="B395" i="31"/>
  <c r="X395" i="31"/>
  <c r="B396" i="31"/>
  <c r="X396" i="31"/>
  <c r="B397" i="31"/>
  <c r="X397" i="31"/>
  <c r="B398" i="31"/>
  <c r="X398" i="31"/>
  <c r="B399" i="31"/>
  <c r="X399" i="31"/>
  <c r="B400" i="31"/>
  <c r="X400" i="31"/>
  <c r="B401" i="31"/>
  <c r="X401" i="31"/>
  <c r="B402" i="31"/>
  <c r="X402" i="31"/>
  <c r="B403" i="31"/>
  <c r="X403" i="31"/>
  <c r="B404" i="31"/>
  <c r="X404" i="31"/>
  <c r="B405" i="31"/>
  <c r="X405" i="31"/>
  <c r="B406" i="31"/>
  <c r="X406" i="31"/>
  <c r="B407" i="31"/>
  <c r="X407" i="31"/>
  <c r="B408" i="31"/>
  <c r="X408" i="31"/>
  <c r="B409" i="31"/>
  <c r="X409" i="31"/>
  <c r="B410" i="31"/>
  <c r="X410" i="31"/>
  <c r="B411" i="31"/>
  <c r="X411" i="31"/>
  <c r="B412" i="31"/>
  <c r="X412" i="31"/>
  <c r="B413" i="31"/>
  <c r="X413" i="31"/>
  <c r="B414" i="31"/>
  <c r="X414" i="31"/>
  <c r="B415" i="31"/>
  <c r="X415" i="31"/>
  <c r="B416" i="31"/>
  <c r="X416" i="31"/>
  <c r="B417" i="31"/>
  <c r="X417" i="31"/>
  <c r="B418" i="31"/>
  <c r="X418" i="31"/>
  <c r="B419" i="31"/>
  <c r="X419" i="31"/>
  <c r="B420" i="31"/>
  <c r="X420" i="31"/>
  <c r="B421" i="31"/>
  <c r="X421" i="31"/>
  <c r="B422" i="31"/>
  <c r="X422" i="31"/>
  <c r="B423" i="31"/>
  <c r="X423" i="31"/>
  <c r="B424" i="31"/>
  <c r="X424" i="31"/>
  <c r="B425" i="31"/>
  <c r="X425" i="31"/>
  <c r="B426" i="31"/>
  <c r="X426" i="31"/>
  <c r="B427" i="31"/>
  <c r="X427" i="31"/>
  <c r="B428" i="31"/>
  <c r="X428" i="31"/>
  <c r="B429" i="31"/>
  <c r="X429" i="31"/>
  <c r="B430" i="31"/>
  <c r="X430" i="31"/>
  <c r="B431" i="31"/>
  <c r="X431" i="31"/>
  <c r="B432" i="31"/>
  <c r="X432" i="31"/>
  <c r="B433" i="31"/>
  <c r="X433" i="31"/>
  <c r="B434" i="31"/>
  <c r="X434" i="31"/>
  <c r="B435" i="31"/>
  <c r="X435" i="31"/>
  <c r="B436" i="31"/>
  <c r="X436" i="31"/>
  <c r="B437" i="31"/>
  <c r="X437" i="31"/>
  <c r="B438" i="31"/>
  <c r="X438" i="31"/>
  <c r="B439" i="31"/>
  <c r="X439" i="31"/>
  <c r="B440" i="31"/>
  <c r="X440" i="31"/>
  <c r="B441" i="31"/>
  <c r="X441" i="31"/>
  <c r="C223" i="31"/>
  <c r="C224" i="31"/>
  <c r="C225" i="31"/>
  <c r="C226" i="31"/>
  <c r="C227" i="31"/>
  <c r="C228" i="31"/>
  <c r="C229" i="31"/>
  <c r="C230" i="31"/>
  <c r="C231" i="31"/>
  <c r="C232" i="31"/>
  <c r="C233" i="31"/>
  <c r="C234" i="31"/>
  <c r="C235" i="31"/>
  <c r="C236" i="31"/>
  <c r="C237" i="31"/>
  <c r="C238" i="31"/>
  <c r="C239" i="31"/>
  <c r="C240" i="31"/>
  <c r="C241" i="31"/>
  <c r="C242" i="31"/>
  <c r="C243" i="31"/>
  <c r="C244" i="31"/>
  <c r="C245" i="31"/>
  <c r="C246" i="31"/>
  <c r="C247" i="31"/>
  <c r="C248" i="31"/>
  <c r="C249" i="31"/>
  <c r="C250" i="31"/>
  <c r="C251" i="31"/>
  <c r="C252" i="31"/>
  <c r="C253" i="31"/>
  <c r="C254" i="31"/>
  <c r="C255" i="31"/>
  <c r="C256" i="31"/>
  <c r="C257" i="31"/>
  <c r="C258" i="31"/>
  <c r="C259" i="31"/>
  <c r="C260" i="31"/>
  <c r="C261" i="31"/>
  <c r="C262" i="31"/>
  <c r="C263" i="31"/>
  <c r="C264" i="31"/>
  <c r="C265" i="31"/>
  <c r="C266" i="31"/>
  <c r="C267" i="31"/>
  <c r="C268" i="31"/>
  <c r="C269" i="31"/>
  <c r="C270" i="31"/>
  <c r="C271" i="31"/>
  <c r="C272" i="31"/>
  <c r="C273" i="31"/>
  <c r="C274" i="31"/>
  <c r="C275" i="31"/>
  <c r="C276" i="31"/>
  <c r="C277" i="31"/>
  <c r="C278" i="31"/>
  <c r="C279" i="31"/>
  <c r="C280" i="31"/>
  <c r="C281" i="31"/>
  <c r="C282" i="31"/>
  <c r="C283" i="31"/>
  <c r="C284" i="31"/>
  <c r="C285" i="31"/>
  <c r="C286" i="31"/>
  <c r="C287" i="31"/>
  <c r="C288" i="31"/>
  <c r="C289" i="31"/>
  <c r="C290" i="31"/>
  <c r="C291" i="31"/>
  <c r="C292" i="31"/>
  <c r="C293" i="31"/>
  <c r="C294" i="31"/>
  <c r="C295" i="31"/>
  <c r="C296" i="31"/>
  <c r="C297" i="31"/>
  <c r="C298" i="31"/>
  <c r="C299" i="31"/>
  <c r="C300" i="31"/>
  <c r="C301" i="31"/>
  <c r="C302" i="31"/>
  <c r="C303" i="31"/>
  <c r="C304" i="31"/>
  <c r="C305" i="31"/>
  <c r="C306" i="31"/>
  <c r="C307" i="31"/>
  <c r="C308" i="31"/>
  <c r="C309" i="31"/>
  <c r="C310" i="31"/>
  <c r="C311" i="31"/>
  <c r="C312" i="31"/>
  <c r="C313" i="31"/>
  <c r="C314" i="31"/>
  <c r="C315" i="31"/>
  <c r="C316" i="31"/>
  <c r="C317" i="31"/>
  <c r="C318" i="31"/>
  <c r="C319" i="31"/>
  <c r="C320" i="31"/>
  <c r="C321" i="31"/>
  <c r="C322" i="31"/>
  <c r="C323" i="31"/>
  <c r="C324" i="31"/>
  <c r="C325" i="31"/>
  <c r="C326" i="31"/>
  <c r="C327" i="31"/>
  <c r="C328" i="31"/>
  <c r="C329" i="31"/>
  <c r="C330" i="31"/>
  <c r="C331" i="31"/>
  <c r="C332" i="31"/>
  <c r="C333" i="31"/>
  <c r="C334" i="31"/>
  <c r="C335" i="31"/>
  <c r="C336" i="31"/>
  <c r="C337" i="31"/>
  <c r="C338" i="31"/>
  <c r="C339" i="31"/>
  <c r="C340" i="31"/>
  <c r="C341" i="31"/>
  <c r="C342" i="31"/>
  <c r="C343" i="31"/>
  <c r="C344" i="31"/>
  <c r="C345" i="31"/>
  <c r="C346" i="31"/>
  <c r="C347" i="31"/>
  <c r="C348" i="31"/>
  <c r="C349" i="31"/>
  <c r="C350" i="31"/>
  <c r="C351" i="31"/>
  <c r="C352" i="31"/>
  <c r="C353" i="31"/>
  <c r="C354" i="31"/>
  <c r="C355" i="31"/>
  <c r="C356" i="31"/>
  <c r="C357" i="31"/>
  <c r="C358" i="31"/>
  <c r="C359" i="31"/>
  <c r="C360" i="31"/>
  <c r="C361" i="31"/>
  <c r="C362" i="31"/>
  <c r="C363" i="31"/>
  <c r="C364" i="31"/>
  <c r="C365" i="31"/>
  <c r="C366" i="31"/>
  <c r="C367" i="31"/>
  <c r="C368" i="31"/>
  <c r="C369" i="31"/>
  <c r="C370" i="31"/>
  <c r="C371" i="31"/>
  <c r="C372" i="31"/>
  <c r="C373" i="31"/>
  <c r="C374" i="31"/>
  <c r="C375" i="31"/>
  <c r="C376" i="31"/>
  <c r="C377" i="31"/>
  <c r="C378" i="31"/>
  <c r="C379" i="31"/>
  <c r="C380" i="31"/>
  <c r="C381" i="31"/>
  <c r="C382" i="31"/>
  <c r="C383" i="31"/>
  <c r="C384" i="31"/>
  <c r="C385" i="31"/>
  <c r="C386" i="31"/>
  <c r="C387" i="31"/>
  <c r="C388" i="31"/>
  <c r="C389" i="31"/>
  <c r="C390" i="31"/>
  <c r="C391" i="31"/>
  <c r="C392" i="31"/>
  <c r="C393" i="31"/>
  <c r="C394" i="31"/>
  <c r="C395" i="31"/>
  <c r="C396" i="31"/>
  <c r="C397" i="31"/>
  <c r="C398" i="31"/>
  <c r="C399" i="31"/>
  <c r="C400" i="31"/>
  <c r="C401" i="31"/>
  <c r="C402" i="31"/>
  <c r="C403" i="31"/>
  <c r="C404" i="31"/>
  <c r="C405" i="31"/>
  <c r="C406" i="31"/>
  <c r="C407" i="31"/>
  <c r="C408" i="31"/>
  <c r="C409" i="31"/>
  <c r="C410" i="31"/>
  <c r="C411" i="31"/>
  <c r="C412" i="31"/>
  <c r="C413" i="31"/>
  <c r="C414" i="31"/>
  <c r="C415" i="31"/>
  <c r="C416" i="31"/>
  <c r="C417" i="31"/>
  <c r="C418" i="31"/>
  <c r="C419" i="31"/>
  <c r="C420" i="31"/>
  <c r="C421" i="31"/>
  <c r="C422" i="31"/>
  <c r="C423" i="31"/>
  <c r="C424" i="31"/>
  <c r="C425" i="31"/>
  <c r="C426" i="31"/>
  <c r="C427" i="31"/>
  <c r="C428" i="31"/>
  <c r="C429" i="31"/>
  <c r="C430" i="31"/>
  <c r="C431" i="31"/>
  <c r="C432" i="31"/>
  <c r="C433" i="31"/>
  <c r="C434" i="31"/>
  <c r="C435" i="31"/>
  <c r="C436" i="31"/>
  <c r="C437" i="31"/>
  <c r="C438" i="31"/>
  <c r="C439" i="31"/>
  <c r="C440" i="31"/>
  <c r="C441" i="31"/>
  <c r="G223" i="31"/>
  <c r="G224" i="31"/>
  <c r="G225" i="31"/>
  <c r="G226" i="31"/>
  <c r="G227" i="31"/>
  <c r="G228" i="31"/>
  <c r="G229" i="31"/>
  <c r="G230" i="31"/>
  <c r="G231" i="31"/>
  <c r="G232" i="31"/>
  <c r="G233" i="31"/>
  <c r="G234" i="31"/>
  <c r="G235" i="31"/>
  <c r="G236" i="31"/>
  <c r="G237" i="31"/>
  <c r="G238" i="31"/>
  <c r="G239" i="31"/>
  <c r="G240" i="31"/>
  <c r="G241" i="31"/>
  <c r="G242" i="31"/>
  <c r="G243" i="31"/>
  <c r="G244" i="31"/>
  <c r="G245" i="31"/>
  <c r="G246" i="31"/>
  <c r="G247" i="31"/>
  <c r="G248" i="31"/>
  <c r="G249" i="31"/>
  <c r="G250" i="31"/>
  <c r="G251" i="31"/>
  <c r="G252" i="31"/>
  <c r="G253" i="31"/>
  <c r="G254" i="31"/>
  <c r="G255" i="31"/>
  <c r="G256" i="31"/>
  <c r="G257" i="31"/>
  <c r="G258" i="31"/>
  <c r="G259" i="31"/>
  <c r="G260" i="31"/>
  <c r="G261" i="31"/>
  <c r="G262" i="31"/>
  <c r="G263" i="31"/>
  <c r="G264" i="31"/>
  <c r="G265" i="31"/>
  <c r="G266" i="31"/>
  <c r="G267" i="31"/>
  <c r="G268" i="31"/>
  <c r="G269" i="31"/>
  <c r="G270" i="31"/>
  <c r="G271" i="31"/>
  <c r="G272" i="31"/>
  <c r="G273" i="31"/>
  <c r="G274" i="31"/>
  <c r="G275" i="31"/>
  <c r="G276" i="31"/>
  <c r="G277" i="31"/>
  <c r="G278" i="31"/>
  <c r="G279" i="31"/>
  <c r="G280" i="31"/>
  <c r="G281" i="31"/>
  <c r="G282" i="31"/>
  <c r="G283" i="31"/>
  <c r="G284" i="31"/>
  <c r="G285" i="31"/>
  <c r="G286" i="31"/>
  <c r="G287" i="31"/>
  <c r="G288" i="31"/>
  <c r="G289" i="31"/>
  <c r="G290" i="31"/>
  <c r="G291" i="31"/>
  <c r="G292" i="31"/>
  <c r="G293" i="31"/>
  <c r="G294" i="31"/>
  <c r="G295" i="31"/>
  <c r="G296" i="31"/>
  <c r="G297" i="31"/>
  <c r="G298" i="31"/>
  <c r="G299" i="31"/>
  <c r="G300" i="31"/>
  <c r="G301" i="31"/>
  <c r="G302" i="31"/>
  <c r="G303" i="31"/>
  <c r="G304" i="31"/>
  <c r="G305" i="31"/>
  <c r="G306" i="31"/>
  <c r="G307" i="31"/>
  <c r="G308" i="31"/>
  <c r="G309" i="31"/>
  <c r="G310" i="31"/>
  <c r="G311" i="31"/>
  <c r="G312" i="31"/>
  <c r="G313" i="31"/>
  <c r="G314" i="31"/>
  <c r="G315" i="31"/>
  <c r="G316" i="31"/>
  <c r="G317" i="31"/>
  <c r="G318" i="31"/>
  <c r="G319" i="31"/>
  <c r="G320" i="31"/>
  <c r="G321" i="31"/>
  <c r="G322" i="31"/>
  <c r="G323" i="31"/>
  <c r="G324" i="31"/>
  <c r="G325" i="31"/>
  <c r="G326" i="31"/>
  <c r="G327" i="31"/>
  <c r="G328" i="31"/>
  <c r="G329" i="31"/>
  <c r="G330" i="31"/>
  <c r="G331" i="31"/>
  <c r="G332" i="31"/>
  <c r="G333" i="31"/>
  <c r="G334" i="31"/>
  <c r="G335" i="31"/>
  <c r="G336" i="31"/>
  <c r="G337" i="31"/>
  <c r="G338" i="31"/>
  <c r="G339" i="31"/>
  <c r="G340" i="31"/>
  <c r="G341" i="31"/>
  <c r="G342" i="31"/>
  <c r="G343" i="31"/>
  <c r="G344" i="31"/>
  <c r="G345" i="31"/>
  <c r="G346" i="31"/>
  <c r="G347" i="31"/>
  <c r="G348" i="31"/>
  <c r="G349" i="31"/>
  <c r="G350" i="31"/>
  <c r="G351" i="31"/>
  <c r="G352" i="31"/>
  <c r="G353" i="31"/>
  <c r="G354" i="31"/>
  <c r="G355" i="31"/>
  <c r="G356" i="31"/>
  <c r="G357" i="31"/>
  <c r="G358" i="31"/>
  <c r="G359" i="31"/>
  <c r="G360" i="31"/>
  <c r="G361" i="31"/>
  <c r="G362" i="31"/>
  <c r="G363" i="31"/>
  <c r="G364" i="31"/>
  <c r="G365" i="31"/>
  <c r="G366" i="31"/>
  <c r="G367" i="31"/>
  <c r="G368" i="31"/>
  <c r="G369" i="31"/>
  <c r="G370" i="31"/>
  <c r="G371" i="31"/>
  <c r="G372" i="31"/>
  <c r="G373" i="31"/>
  <c r="G374" i="31"/>
  <c r="G375" i="31"/>
  <c r="G376" i="31"/>
  <c r="G377" i="31"/>
  <c r="G378" i="31"/>
  <c r="G379" i="31"/>
  <c r="G380" i="31"/>
  <c r="G381" i="31"/>
  <c r="G382" i="31"/>
  <c r="G383" i="31"/>
  <c r="G384" i="31"/>
  <c r="G385" i="31"/>
  <c r="G386" i="31"/>
  <c r="G387" i="31"/>
  <c r="G388" i="31"/>
  <c r="G389" i="31"/>
  <c r="G390" i="31"/>
  <c r="G391" i="31"/>
  <c r="G392" i="31"/>
  <c r="G393" i="31"/>
  <c r="G394" i="31"/>
  <c r="G395" i="31"/>
  <c r="G396" i="31"/>
  <c r="G397" i="31"/>
  <c r="G398" i="31"/>
  <c r="G399" i="31"/>
  <c r="G400" i="31"/>
  <c r="G401" i="31"/>
  <c r="G402" i="31"/>
  <c r="G403" i="31"/>
  <c r="G404" i="31"/>
  <c r="G405" i="31"/>
  <c r="G406" i="31"/>
  <c r="G407" i="31"/>
  <c r="G408" i="31"/>
  <c r="G409" i="31"/>
  <c r="G410" i="31"/>
  <c r="G411" i="31"/>
  <c r="G412" i="31"/>
  <c r="G413" i="31"/>
  <c r="G414" i="31"/>
  <c r="G415" i="31"/>
  <c r="G416" i="31"/>
  <c r="G417" i="31"/>
  <c r="G418" i="31"/>
  <c r="G419" i="31"/>
  <c r="G420" i="31"/>
  <c r="G421" i="31"/>
  <c r="G422" i="31"/>
  <c r="G423" i="31"/>
  <c r="G424" i="31"/>
  <c r="G425" i="31"/>
  <c r="G426" i="31"/>
  <c r="G427" i="31"/>
  <c r="G428" i="31"/>
  <c r="G429" i="31"/>
  <c r="G430" i="31"/>
  <c r="G431" i="31"/>
  <c r="G432" i="31"/>
  <c r="G433" i="31"/>
  <c r="G434" i="31"/>
  <c r="G435" i="31"/>
  <c r="G436" i="31"/>
  <c r="G437" i="31"/>
  <c r="G438" i="31"/>
  <c r="G439" i="31"/>
  <c r="G440" i="31"/>
  <c r="G441" i="31"/>
  <c r="G222" i="31"/>
  <c r="C222" i="31"/>
  <c r="B222" i="31"/>
  <c r="X222" i="31"/>
  <c r="G3" i="31"/>
  <c r="G4" i="31"/>
  <c r="G5" i="31"/>
  <c r="G6" i="31"/>
  <c r="G7" i="31"/>
  <c r="G8" i="31"/>
  <c r="G9" i="31"/>
  <c r="G10" i="31"/>
  <c r="G11" i="31"/>
  <c r="G12" i="31"/>
  <c r="G13" i="31"/>
  <c r="G14" i="31"/>
  <c r="G15" i="31"/>
  <c r="G16" i="31"/>
  <c r="G17" i="31"/>
  <c r="G18" i="31"/>
  <c r="G19" i="31"/>
  <c r="G20" i="31"/>
  <c r="G21" i="31"/>
  <c r="G22" i="31"/>
  <c r="G23" i="31"/>
  <c r="G24" i="31"/>
  <c r="G25" i="31"/>
  <c r="G26" i="31"/>
  <c r="G27" i="31"/>
  <c r="G28" i="31"/>
  <c r="G29" i="31"/>
  <c r="G30" i="31"/>
  <c r="G31" i="31"/>
  <c r="G32" i="31"/>
  <c r="G33" i="31"/>
  <c r="G34" i="31"/>
  <c r="G35" i="31"/>
  <c r="G36" i="31"/>
  <c r="G37" i="31"/>
  <c r="G38" i="31"/>
  <c r="G39" i="31"/>
  <c r="G40" i="31"/>
  <c r="G41" i="31"/>
  <c r="G42" i="31"/>
  <c r="G43" i="31"/>
  <c r="G44" i="31"/>
  <c r="G45" i="31"/>
  <c r="G46" i="31"/>
  <c r="G47" i="31"/>
  <c r="G48" i="31"/>
  <c r="G49" i="31"/>
  <c r="G50" i="31"/>
  <c r="G51" i="31"/>
  <c r="G52" i="31"/>
  <c r="G53" i="31"/>
  <c r="G54" i="31"/>
  <c r="G55" i="31"/>
  <c r="G56" i="31"/>
  <c r="G57" i="31"/>
  <c r="G58" i="31"/>
  <c r="G59" i="31"/>
  <c r="G60" i="31"/>
  <c r="G61" i="31"/>
  <c r="G62" i="31"/>
  <c r="G63" i="31"/>
  <c r="G64" i="31"/>
  <c r="G65" i="31"/>
  <c r="G66" i="31"/>
  <c r="G67" i="31"/>
  <c r="G68" i="31"/>
  <c r="G69" i="31"/>
  <c r="G70" i="31"/>
  <c r="G71" i="31"/>
  <c r="G72" i="31"/>
  <c r="G73" i="31"/>
  <c r="G74" i="31"/>
  <c r="G75" i="31"/>
  <c r="G76" i="31"/>
  <c r="G77" i="31"/>
  <c r="G78" i="31"/>
  <c r="G79" i="31"/>
  <c r="G80" i="31"/>
  <c r="G81" i="31"/>
  <c r="G82" i="31"/>
  <c r="G83" i="31"/>
  <c r="G84" i="31"/>
  <c r="G85" i="31"/>
  <c r="G86" i="31"/>
  <c r="G87" i="31"/>
  <c r="G88" i="31"/>
  <c r="G89" i="31"/>
  <c r="G90" i="31"/>
  <c r="G91" i="31"/>
  <c r="G92" i="31"/>
  <c r="G93" i="31"/>
  <c r="G94" i="31"/>
  <c r="G95" i="31"/>
  <c r="G96" i="31"/>
  <c r="G97" i="31"/>
  <c r="G98" i="31"/>
  <c r="G99" i="31"/>
  <c r="G100" i="31"/>
  <c r="G101" i="31"/>
  <c r="G102" i="31"/>
  <c r="G103" i="31"/>
  <c r="G104" i="31"/>
  <c r="G105" i="31"/>
  <c r="G106" i="31"/>
  <c r="G107" i="31"/>
  <c r="G108" i="31"/>
  <c r="G109" i="31"/>
  <c r="G110" i="31"/>
  <c r="G111" i="31"/>
  <c r="G112" i="31"/>
  <c r="G113" i="31"/>
  <c r="G114" i="31"/>
  <c r="G115" i="31"/>
  <c r="G116" i="31"/>
  <c r="G117" i="31"/>
  <c r="G118" i="31"/>
  <c r="G119" i="31"/>
  <c r="G120" i="31"/>
  <c r="G121" i="31"/>
  <c r="G122" i="31"/>
  <c r="G123" i="31"/>
  <c r="G124" i="31"/>
  <c r="G125" i="31"/>
  <c r="G126" i="31"/>
  <c r="G127" i="31"/>
  <c r="G128" i="31"/>
  <c r="G129" i="31"/>
  <c r="G130" i="31"/>
  <c r="G131" i="31"/>
  <c r="G132" i="31"/>
  <c r="G133" i="31"/>
  <c r="G134" i="31"/>
  <c r="G135" i="31"/>
  <c r="G136" i="31"/>
  <c r="G137" i="31"/>
  <c r="G138" i="31"/>
  <c r="G139" i="31"/>
  <c r="G140" i="31"/>
  <c r="G141" i="31"/>
  <c r="G142" i="31"/>
  <c r="G143" i="31"/>
  <c r="G144" i="31"/>
  <c r="G145" i="31"/>
  <c r="G146" i="31"/>
  <c r="G147" i="31"/>
  <c r="G148" i="31"/>
  <c r="G149" i="31"/>
  <c r="G150" i="31"/>
  <c r="G151" i="31"/>
  <c r="G152" i="31"/>
  <c r="G153" i="31"/>
  <c r="G154" i="31"/>
  <c r="G155" i="31"/>
  <c r="G156" i="31"/>
  <c r="G157" i="31"/>
  <c r="G158" i="31"/>
  <c r="G159" i="31"/>
  <c r="G160" i="31"/>
  <c r="G161" i="31"/>
  <c r="G162" i="31"/>
  <c r="G163" i="31"/>
  <c r="G164" i="31"/>
  <c r="G165" i="31"/>
  <c r="G166" i="31"/>
  <c r="G167" i="31"/>
  <c r="G168" i="31"/>
  <c r="G169" i="31"/>
  <c r="G170" i="31"/>
  <c r="G171" i="31"/>
  <c r="G172" i="31"/>
  <c r="G173" i="31"/>
  <c r="G174" i="31"/>
  <c r="G175" i="31"/>
  <c r="G176" i="31"/>
  <c r="G177" i="31"/>
  <c r="G178" i="31"/>
  <c r="G179" i="31"/>
  <c r="G180" i="31"/>
  <c r="G181" i="31"/>
  <c r="G182" i="31"/>
  <c r="G183" i="31"/>
  <c r="G184" i="31"/>
  <c r="G185" i="31"/>
  <c r="G186" i="31"/>
  <c r="G187" i="31"/>
  <c r="G188" i="31"/>
  <c r="G189" i="31"/>
  <c r="G190" i="31"/>
  <c r="G191" i="31"/>
  <c r="G192" i="31"/>
  <c r="G193" i="31"/>
  <c r="G194" i="31"/>
  <c r="G195" i="31"/>
  <c r="G196" i="31"/>
  <c r="G197" i="31"/>
  <c r="G198" i="31"/>
  <c r="G199" i="31"/>
  <c r="G200" i="31"/>
  <c r="G201" i="31"/>
  <c r="G202" i="31"/>
  <c r="G203" i="31"/>
  <c r="G204" i="31"/>
  <c r="G205" i="31"/>
  <c r="G206" i="31"/>
  <c r="G207" i="31"/>
  <c r="G208" i="31"/>
  <c r="G209" i="31"/>
  <c r="G210" i="31"/>
  <c r="G211" i="31"/>
  <c r="G212" i="31"/>
  <c r="G213" i="31"/>
  <c r="G214" i="31"/>
  <c r="G215" i="31"/>
  <c r="G216" i="31"/>
  <c r="G217" i="31"/>
  <c r="G218" i="31"/>
  <c r="G219" i="31"/>
  <c r="G220" i="31"/>
  <c r="G221" i="31"/>
  <c r="G2" i="31"/>
  <c r="AK2" i="31"/>
  <c r="C3" i="31"/>
  <c r="C4" i="31"/>
  <c r="C5" i="31"/>
  <c r="C6" i="31"/>
  <c r="C7" i="31"/>
  <c r="C8" i="31"/>
  <c r="C9" i="31"/>
  <c r="C10" i="31"/>
  <c r="C11" i="31"/>
  <c r="C12" i="31"/>
  <c r="C13" i="31"/>
  <c r="C14" i="31"/>
  <c r="C15" i="31"/>
  <c r="C16" i="31"/>
  <c r="C17" i="31"/>
  <c r="C18" i="31"/>
  <c r="C19" i="31"/>
  <c r="C20" i="31"/>
  <c r="C21" i="31"/>
  <c r="C22" i="31"/>
  <c r="C23" i="31"/>
  <c r="C24" i="31"/>
  <c r="C25" i="31"/>
  <c r="C26" i="31"/>
  <c r="C27" i="31"/>
  <c r="C28" i="31"/>
  <c r="C29" i="31"/>
  <c r="C30" i="31"/>
  <c r="C31" i="31"/>
  <c r="C32" i="31"/>
  <c r="C33" i="31"/>
  <c r="C34" i="31"/>
  <c r="C35" i="31"/>
  <c r="C36" i="31"/>
  <c r="C37" i="31"/>
  <c r="C38" i="31"/>
  <c r="C39" i="31"/>
  <c r="C40" i="31"/>
  <c r="C41" i="31"/>
  <c r="C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80" i="31"/>
  <c r="C81" i="31"/>
  <c r="C82" i="31"/>
  <c r="C83" i="31"/>
  <c r="C84" i="31"/>
  <c r="C85" i="31"/>
  <c r="C86" i="31"/>
  <c r="C87" i="31"/>
  <c r="C88" i="31"/>
  <c r="C89" i="31"/>
  <c r="C90" i="31"/>
  <c r="C91" i="31"/>
  <c r="C92" i="31"/>
  <c r="C93" i="31"/>
  <c r="C94" i="31"/>
  <c r="C95" i="31"/>
  <c r="C96" i="31"/>
  <c r="C97" i="31"/>
  <c r="C98" i="31"/>
  <c r="C99" i="31"/>
  <c r="C100" i="31"/>
  <c r="C101" i="31"/>
  <c r="C102" i="31"/>
  <c r="C103" i="31"/>
  <c r="C104" i="31"/>
  <c r="C105" i="31"/>
  <c r="C106" i="31"/>
  <c r="C107" i="31"/>
  <c r="C108" i="31"/>
  <c r="C109" i="31"/>
  <c r="C110" i="31"/>
  <c r="C111" i="31"/>
  <c r="C112" i="31"/>
  <c r="C113" i="31"/>
  <c r="C114" i="31"/>
  <c r="C115" i="31"/>
  <c r="C116" i="31"/>
  <c r="C117" i="31"/>
  <c r="C118" i="31"/>
  <c r="C119" i="31"/>
  <c r="C120" i="31"/>
  <c r="C121" i="31"/>
  <c r="C122" i="31"/>
  <c r="C123" i="31"/>
  <c r="C124" i="31"/>
  <c r="C125" i="31"/>
  <c r="C126" i="31"/>
  <c r="C127" i="31"/>
  <c r="C128" i="31"/>
  <c r="C129" i="31"/>
  <c r="C130" i="31"/>
  <c r="C131" i="31"/>
  <c r="C132" i="31"/>
  <c r="C133" i="31"/>
  <c r="C134" i="31"/>
  <c r="C135" i="31"/>
  <c r="C136" i="31"/>
  <c r="C137" i="31"/>
  <c r="C138" i="31"/>
  <c r="C139" i="31"/>
  <c r="C140" i="31"/>
  <c r="C141" i="31"/>
  <c r="C142" i="31"/>
  <c r="C143" i="31"/>
  <c r="C144" i="31"/>
  <c r="C145" i="31"/>
  <c r="C146" i="31"/>
  <c r="C147" i="31"/>
  <c r="C148" i="31"/>
  <c r="C149" i="31"/>
  <c r="C150" i="31"/>
  <c r="C151" i="31"/>
  <c r="C152" i="31"/>
  <c r="C153" i="31"/>
  <c r="C154" i="31"/>
  <c r="C155" i="31"/>
  <c r="C156" i="31"/>
  <c r="C157" i="31"/>
  <c r="C158" i="31"/>
  <c r="C159" i="31"/>
  <c r="C160" i="31"/>
  <c r="C161" i="31"/>
  <c r="C162" i="31"/>
  <c r="C163" i="31"/>
  <c r="C164" i="31"/>
  <c r="C165" i="31"/>
  <c r="C166" i="31"/>
  <c r="C167" i="31"/>
  <c r="C168" i="31"/>
  <c r="C169" i="31"/>
  <c r="C170" i="31"/>
  <c r="C171" i="31"/>
  <c r="C172" i="31"/>
  <c r="C173" i="31"/>
  <c r="C174" i="31"/>
  <c r="C175" i="31"/>
  <c r="C176" i="31"/>
  <c r="C177" i="31"/>
  <c r="C178" i="31"/>
  <c r="C179" i="31"/>
  <c r="C180" i="31"/>
  <c r="C181" i="31"/>
  <c r="C182" i="31"/>
  <c r="C183" i="31"/>
  <c r="C184" i="31"/>
  <c r="C185" i="31"/>
  <c r="C186" i="31"/>
  <c r="C187" i="31"/>
  <c r="C188" i="31"/>
  <c r="C189" i="31"/>
  <c r="C190" i="31"/>
  <c r="C191" i="31"/>
  <c r="C192" i="31"/>
  <c r="C193" i="31"/>
  <c r="C194" i="31"/>
  <c r="C195" i="31"/>
  <c r="C196" i="31"/>
  <c r="C197" i="31"/>
  <c r="C198" i="31"/>
  <c r="C199" i="31"/>
  <c r="C200" i="31"/>
  <c r="C201" i="31"/>
  <c r="C202" i="31"/>
  <c r="C203" i="31"/>
  <c r="C204" i="31"/>
  <c r="C205" i="31"/>
  <c r="C206" i="31"/>
  <c r="C207" i="31"/>
  <c r="C208" i="31"/>
  <c r="C209" i="31"/>
  <c r="C210" i="31"/>
  <c r="C211" i="31"/>
  <c r="C212" i="31"/>
  <c r="C213" i="31"/>
  <c r="C214" i="31"/>
  <c r="C215" i="31"/>
  <c r="C216" i="31"/>
  <c r="C217" i="31"/>
  <c r="C218" i="31"/>
  <c r="C219" i="31"/>
  <c r="C220" i="31"/>
  <c r="C221" i="31"/>
  <c r="B3" i="31"/>
  <c r="X3" i="31"/>
  <c r="B4" i="31"/>
  <c r="X4" i="31"/>
  <c r="B5" i="31"/>
  <c r="X5" i="31"/>
  <c r="B6" i="31"/>
  <c r="X6" i="31"/>
  <c r="B7" i="31"/>
  <c r="X7" i="31"/>
  <c r="B8" i="31"/>
  <c r="X8" i="31"/>
  <c r="B9" i="31"/>
  <c r="X9" i="31"/>
  <c r="B10" i="31"/>
  <c r="X10" i="31"/>
  <c r="B11" i="31"/>
  <c r="X11" i="31"/>
  <c r="B12" i="31"/>
  <c r="X12" i="31"/>
  <c r="B13" i="31"/>
  <c r="X13" i="31"/>
  <c r="B14" i="31"/>
  <c r="X14" i="31"/>
  <c r="B15" i="31"/>
  <c r="X15" i="31"/>
  <c r="B16" i="31"/>
  <c r="X16" i="31"/>
  <c r="B17" i="31"/>
  <c r="X17" i="31"/>
  <c r="B18" i="31"/>
  <c r="X18" i="31"/>
  <c r="B19" i="31"/>
  <c r="X19" i="31"/>
  <c r="B20" i="31"/>
  <c r="X20" i="31"/>
  <c r="B21" i="31"/>
  <c r="X21" i="31"/>
  <c r="B22" i="31"/>
  <c r="X22" i="31"/>
  <c r="B23" i="31"/>
  <c r="X23" i="31"/>
  <c r="B24" i="31"/>
  <c r="X24" i="31"/>
  <c r="B25" i="31"/>
  <c r="X25" i="31"/>
  <c r="B26" i="31"/>
  <c r="X26" i="31"/>
  <c r="B27" i="31"/>
  <c r="X27" i="31"/>
  <c r="B28" i="31"/>
  <c r="X28" i="31"/>
  <c r="B29" i="31"/>
  <c r="X29" i="31"/>
  <c r="B30" i="31"/>
  <c r="X30" i="31"/>
  <c r="B31" i="31"/>
  <c r="X31" i="31"/>
  <c r="B32" i="31"/>
  <c r="X32" i="31"/>
  <c r="B33" i="31"/>
  <c r="X33" i="31"/>
  <c r="B34" i="31"/>
  <c r="X34" i="31"/>
  <c r="B35" i="31"/>
  <c r="X35" i="31"/>
  <c r="B36" i="31"/>
  <c r="X36" i="31"/>
  <c r="B37" i="31"/>
  <c r="X37" i="31"/>
  <c r="B38" i="31"/>
  <c r="X38" i="31"/>
  <c r="B39" i="31"/>
  <c r="X39" i="31"/>
  <c r="B40" i="31"/>
  <c r="X40" i="31"/>
  <c r="B41" i="31"/>
  <c r="X41" i="31"/>
  <c r="B42" i="31"/>
  <c r="X42" i="31"/>
  <c r="B43" i="31"/>
  <c r="X43" i="31"/>
  <c r="B44" i="31"/>
  <c r="X44" i="31"/>
  <c r="B45" i="31"/>
  <c r="X45" i="31"/>
  <c r="B46" i="31"/>
  <c r="X46" i="31"/>
  <c r="B47" i="31"/>
  <c r="X47" i="31"/>
  <c r="B48" i="31"/>
  <c r="X48" i="31"/>
  <c r="B49" i="31"/>
  <c r="X49" i="31"/>
  <c r="B50" i="31"/>
  <c r="X50" i="31"/>
  <c r="B51" i="31"/>
  <c r="X51" i="31"/>
  <c r="B52" i="31"/>
  <c r="X52" i="31"/>
  <c r="B53" i="31"/>
  <c r="X53" i="31"/>
  <c r="B54" i="31"/>
  <c r="X54" i="31"/>
  <c r="B55" i="31"/>
  <c r="X55" i="31"/>
  <c r="B56" i="31"/>
  <c r="X56" i="31"/>
  <c r="B57" i="31"/>
  <c r="X57" i="31"/>
  <c r="B58" i="31"/>
  <c r="X58" i="31"/>
  <c r="B59" i="31"/>
  <c r="X59" i="31"/>
  <c r="B60" i="31"/>
  <c r="X60" i="31"/>
  <c r="B61" i="31"/>
  <c r="X61" i="31"/>
  <c r="B62" i="31"/>
  <c r="X62" i="31"/>
  <c r="B63" i="31"/>
  <c r="X63" i="31"/>
  <c r="B64" i="31"/>
  <c r="X64" i="31"/>
  <c r="B65" i="31"/>
  <c r="X65" i="31"/>
  <c r="B66" i="31"/>
  <c r="X66" i="31"/>
  <c r="B67" i="31"/>
  <c r="X67" i="31"/>
  <c r="B68" i="31"/>
  <c r="X68" i="31"/>
  <c r="B69" i="31"/>
  <c r="X69" i="31"/>
  <c r="B70" i="31"/>
  <c r="X70" i="31"/>
  <c r="B71" i="31"/>
  <c r="X71" i="31"/>
  <c r="B72" i="31"/>
  <c r="X72" i="31"/>
  <c r="B73" i="31"/>
  <c r="X73" i="31"/>
  <c r="B74" i="31"/>
  <c r="X74" i="31"/>
  <c r="B75" i="31"/>
  <c r="X75" i="31"/>
  <c r="B76" i="31"/>
  <c r="X76" i="31"/>
  <c r="B77" i="31"/>
  <c r="X77" i="31"/>
  <c r="B78" i="31"/>
  <c r="X78" i="31"/>
  <c r="B79" i="31"/>
  <c r="X79" i="31"/>
  <c r="B80" i="31"/>
  <c r="X80" i="31"/>
  <c r="B81" i="31"/>
  <c r="X81" i="31"/>
  <c r="B82" i="31"/>
  <c r="X82" i="31"/>
  <c r="B83" i="31"/>
  <c r="X83" i="31"/>
  <c r="B84" i="31"/>
  <c r="X84" i="31"/>
  <c r="B85" i="31"/>
  <c r="X85" i="31"/>
  <c r="B86" i="31"/>
  <c r="X86" i="31"/>
  <c r="B87" i="31"/>
  <c r="X87" i="31"/>
  <c r="B88" i="31"/>
  <c r="X88" i="31"/>
  <c r="B89" i="31"/>
  <c r="X89" i="31"/>
  <c r="B90" i="31"/>
  <c r="X90" i="31"/>
  <c r="B91" i="31"/>
  <c r="X91" i="31"/>
  <c r="B92" i="31"/>
  <c r="X92" i="31"/>
  <c r="B93" i="31"/>
  <c r="X93" i="31"/>
  <c r="B94" i="31"/>
  <c r="X94" i="31"/>
  <c r="B95" i="31"/>
  <c r="X95" i="31"/>
  <c r="B96" i="31"/>
  <c r="X96" i="31"/>
  <c r="B97" i="31"/>
  <c r="X97" i="31"/>
  <c r="B98" i="31"/>
  <c r="X98" i="31"/>
  <c r="B99" i="31"/>
  <c r="X99" i="31"/>
  <c r="B100" i="31"/>
  <c r="X100" i="31"/>
  <c r="B101" i="31"/>
  <c r="X101" i="31"/>
  <c r="B102" i="31"/>
  <c r="X102" i="31"/>
  <c r="B103" i="31"/>
  <c r="X103" i="31"/>
  <c r="B104" i="31"/>
  <c r="X104" i="31"/>
  <c r="B105" i="31"/>
  <c r="X105" i="31"/>
  <c r="B106" i="31"/>
  <c r="X106" i="31"/>
  <c r="B107" i="31"/>
  <c r="X107" i="31"/>
  <c r="B108" i="31"/>
  <c r="X108" i="31"/>
  <c r="B109" i="31"/>
  <c r="X109" i="31"/>
  <c r="B110" i="31"/>
  <c r="X110" i="31"/>
  <c r="B111" i="31"/>
  <c r="X111" i="31"/>
  <c r="B112" i="31"/>
  <c r="X112" i="31"/>
  <c r="B113" i="31"/>
  <c r="X113" i="31"/>
  <c r="B114" i="31"/>
  <c r="X114" i="31"/>
  <c r="B115" i="31"/>
  <c r="X115" i="31"/>
  <c r="B116" i="31"/>
  <c r="X116" i="31"/>
  <c r="B117" i="31"/>
  <c r="X117" i="31"/>
  <c r="B118" i="31"/>
  <c r="X118" i="31"/>
  <c r="B119" i="31"/>
  <c r="X119" i="31"/>
  <c r="B120" i="31"/>
  <c r="X120" i="31"/>
  <c r="B121" i="31"/>
  <c r="X121" i="31"/>
  <c r="B122" i="31"/>
  <c r="X122" i="31"/>
  <c r="B123" i="31"/>
  <c r="X123" i="31"/>
  <c r="B124" i="31"/>
  <c r="X124" i="31"/>
  <c r="B125" i="31"/>
  <c r="X125" i="31"/>
  <c r="B126" i="31"/>
  <c r="X126" i="31"/>
  <c r="B127" i="31"/>
  <c r="X127" i="31"/>
  <c r="B128" i="31"/>
  <c r="X128" i="31"/>
  <c r="B129" i="31"/>
  <c r="X129" i="31"/>
  <c r="B130" i="31"/>
  <c r="X130" i="31"/>
  <c r="B131" i="31"/>
  <c r="X131" i="31"/>
  <c r="B132" i="31"/>
  <c r="X132" i="31"/>
  <c r="B133" i="31"/>
  <c r="X133" i="31"/>
  <c r="B134" i="31"/>
  <c r="X134" i="31"/>
  <c r="B135" i="31"/>
  <c r="X135" i="31"/>
  <c r="B136" i="31"/>
  <c r="X136" i="31"/>
  <c r="B137" i="31"/>
  <c r="X137" i="31"/>
  <c r="B138" i="31"/>
  <c r="X138" i="31"/>
  <c r="B139" i="31"/>
  <c r="X139" i="31"/>
  <c r="B140" i="31"/>
  <c r="X140" i="31"/>
  <c r="B141" i="31"/>
  <c r="X141" i="31"/>
  <c r="B142" i="31"/>
  <c r="X142" i="31"/>
  <c r="B143" i="31"/>
  <c r="X143" i="31"/>
  <c r="B144" i="31"/>
  <c r="X144" i="31"/>
  <c r="B145" i="31"/>
  <c r="X145" i="31"/>
  <c r="B146" i="31"/>
  <c r="X146" i="31"/>
  <c r="B147" i="31"/>
  <c r="X147" i="31"/>
  <c r="B148" i="31"/>
  <c r="X148" i="31"/>
  <c r="B149" i="31"/>
  <c r="X149" i="31"/>
  <c r="B150" i="31"/>
  <c r="X150" i="31"/>
  <c r="B151" i="31"/>
  <c r="X151" i="31"/>
  <c r="B152" i="31"/>
  <c r="X152" i="31"/>
  <c r="B153" i="31"/>
  <c r="X153" i="31"/>
  <c r="B154" i="31"/>
  <c r="X154" i="31"/>
  <c r="B155" i="31"/>
  <c r="X155" i="31"/>
  <c r="B156" i="31"/>
  <c r="X156" i="31"/>
  <c r="B157" i="31"/>
  <c r="X157" i="31"/>
  <c r="B158" i="31"/>
  <c r="X158" i="31"/>
  <c r="B159" i="31"/>
  <c r="X159" i="31"/>
  <c r="B160" i="31"/>
  <c r="X160" i="31"/>
  <c r="B161" i="31"/>
  <c r="X161" i="31"/>
  <c r="B162" i="31"/>
  <c r="X162" i="31"/>
  <c r="B163" i="31"/>
  <c r="X163" i="31"/>
  <c r="B164" i="31"/>
  <c r="X164" i="31"/>
  <c r="B165" i="31"/>
  <c r="X165" i="31"/>
  <c r="B166" i="31"/>
  <c r="X166" i="31"/>
  <c r="B167" i="31"/>
  <c r="X167" i="31"/>
  <c r="B168" i="31"/>
  <c r="X168" i="31"/>
  <c r="B169" i="31"/>
  <c r="X169" i="31"/>
  <c r="B170" i="31"/>
  <c r="X170" i="31"/>
  <c r="B171" i="31"/>
  <c r="X171" i="31"/>
  <c r="B172" i="31"/>
  <c r="X172" i="31"/>
  <c r="B173" i="31"/>
  <c r="X173" i="31"/>
  <c r="B174" i="31"/>
  <c r="X174" i="31"/>
  <c r="B175" i="31"/>
  <c r="X175" i="31"/>
  <c r="B176" i="31"/>
  <c r="X176" i="31"/>
  <c r="B177" i="31"/>
  <c r="X177" i="31"/>
  <c r="B178" i="31"/>
  <c r="X178" i="31"/>
  <c r="B179" i="31"/>
  <c r="X179" i="31"/>
  <c r="B180" i="31"/>
  <c r="X180" i="31"/>
  <c r="B181" i="31"/>
  <c r="X181" i="31"/>
  <c r="B182" i="31"/>
  <c r="X182" i="31"/>
  <c r="B183" i="31"/>
  <c r="X183" i="31"/>
  <c r="B184" i="31"/>
  <c r="X184" i="31"/>
  <c r="B185" i="31"/>
  <c r="X185" i="31"/>
  <c r="B186" i="31"/>
  <c r="X186" i="31"/>
  <c r="B187" i="31"/>
  <c r="X187" i="31"/>
  <c r="B188" i="31"/>
  <c r="X188" i="31"/>
  <c r="B189" i="31"/>
  <c r="X189" i="31"/>
  <c r="B190" i="31"/>
  <c r="X190" i="31"/>
  <c r="B191" i="31"/>
  <c r="X191" i="31"/>
  <c r="B192" i="31"/>
  <c r="X192" i="31"/>
  <c r="B193" i="31"/>
  <c r="X193" i="31"/>
  <c r="B194" i="31"/>
  <c r="X194" i="31"/>
  <c r="B195" i="31"/>
  <c r="X195" i="31"/>
  <c r="B196" i="31"/>
  <c r="X196" i="31"/>
  <c r="B197" i="31"/>
  <c r="X197" i="31"/>
  <c r="B198" i="31"/>
  <c r="X198" i="31"/>
  <c r="B199" i="31"/>
  <c r="X199" i="31"/>
  <c r="B200" i="31"/>
  <c r="X200" i="31"/>
  <c r="B201" i="31"/>
  <c r="X201" i="31"/>
  <c r="B202" i="31"/>
  <c r="X202" i="31"/>
  <c r="B203" i="31"/>
  <c r="X203" i="31"/>
  <c r="B204" i="31"/>
  <c r="X204" i="31"/>
  <c r="B205" i="31"/>
  <c r="X205" i="31"/>
  <c r="B206" i="31"/>
  <c r="X206" i="31"/>
  <c r="B207" i="31"/>
  <c r="X207" i="31"/>
  <c r="B208" i="31"/>
  <c r="X208" i="31"/>
  <c r="B209" i="31"/>
  <c r="X209" i="31"/>
  <c r="B210" i="31"/>
  <c r="X210" i="31"/>
  <c r="B211" i="31"/>
  <c r="X211" i="31"/>
  <c r="B212" i="31"/>
  <c r="X212" i="31"/>
  <c r="B213" i="31"/>
  <c r="X213" i="31"/>
  <c r="B214" i="31"/>
  <c r="X214" i="31"/>
  <c r="B215" i="31"/>
  <c r="X215" i="31"/>
  <c r="B216" i="31"/>
  <c r="X216" i="31"/>
  <c r="B217" i="31"/>
  <c r="X217" i="31"/>
  <c r="B218" i="31"/>
  <c r="X218" i="31"/>
  <c r="B219" i="31"/>
  <c r="X219" i="31"/>
  <c r="B220" i="31"/>
  <c r="X220" i="31"/>
  <c r="B221" i="31"/>
  <c r="X221" i="31"/>
  <c r="B2" i="31"/>
  <c r="X2" i="31"/>
  <c r="U2" i="31"/>
  <c r="P5" i="19"/>
  <c r="P6" i="19"/>
  <c r="P7" i="19"/>
  <c r="P8" i="19"/>
  <c r="P9" i="19"/>
  <c r="P10" i="19"/>
  <c r="P11" i="19"/>
  <c r="P12" i="19"/>
  <c r="P13" i="19"/>
  <c r="P14" i="19"/>
  <c r="P15" i="19"/>
  <c r="P16" i="19"/>
  <c r="P17" i="19"/>
  <c r="P18" i="19"/>
  <c r="P19" i="19"/>
  <c r="P20" i="19"/>
  <c r="P21" i="19"/>
  <c r="P22" i="19"/>
  <c r="P23" i="19"/>
  <c r="P24" i="19"/>
  <c r="P25" i="19"/>
  <c r="P26" i="19"/>
  <c r="P27" i="19"/>
  <c r="P28" i="19"/>
  <c r="P29" i="19"/>
  <c r="P30" i="19"/>
  <c r="P31" i="19"/>
  <c r="P32" i="19"/>
  <c r="P33" i="19"/>
  <c r="P34" i="19"/>
  <c r="P35" i="19"/>
  <c r="P36" i="19"/>
  <c r="P37" i="19"/>
  <c r="P38" i="19"/>
  <c r="P39" i="19"/>
  <c r="P40" i="19"/>
  <c r="P41" i="19"/>
  <c r="P42" i="19"/>
  <c r="P43" i="19"/>
  <c r="P44" i="19"/>
  <c r="P45" i="19"/>
  <c r="P46" i="19"/>
  <c r="P47" i="19"/>
  <c r="P48" i="19"/>
  <c r="P49" i="19"/>
  <c r="P50" i="19"/>
  <c r="P51" i="19"/>
  <c r="P52" i="19"/>
  <c r="P53" i="19"/>
  <c r="P54" i="19"/>
  <c r="P55" i="19"/>
  <c r="P56" i="19"/>
  <c r="P57" i="19"/>
  <c r="P58" i="19"/>
  <c r="P59" i="19"/>
  <c r="P60" i="19"/>
  <c r="P61" i="19"/>
  <c r="P62" i="19"/>
  <c r="P63" i="19"/>
  <c r="P64" i="19"/>
  <c r="P65" i="19"/>
  <c r="P66" i="19"/>
  <c r="P67" i="19"/>
  <c r="P68" i="19"/>
  <c r="P69" i="19"/>
  <c r="P70" i="19"/>
  <c r="P71" i="19"/>
  <c r="P72" i="19"/>
  <c r="P73" i="19"/>
  <c r="P74" i="19"/>
  <c r="P75" i="19"/>
  <c r="P76" i="19"/>
  <c r="P77" i="19"/>
  <c r="P78" i="19"/>
  <c r="P79" i="19"/>
  <c r="P80" i="19"/>
  <c r="P81" i="19"/>
  <c r="P82" i="19"/>
  <c r="P83" i="19"/>
  <c r="P84" i="19"/>
  <c r="P85" i="19"/>
  <c r="P86" i="19"/>
  <c r="P87" i="19"/>
  <c r="P88" i="19"/>
  <c r="P89" i="19"/>
  <c r="P90" i="19"/>
  <c r="P91" i="19"/>
  <c r="P92" i="19"/>
  <c r="P93" i="19"/>
  <c r="P94" i="19"/>
  <c r="P95" i="19"/>
  <c r="P96" i="19"/>
  <c r="P97" i="19"/>
  <c r="P98" i="19"/>
  <c r="P99" i="19"/>
  <c r="P100" i="19"/>
  <c r="P101" i="19"/>
  <c r="P102" i="19"/>
  <c r="P103" i="19"/>
  <c r="P104" i="19"/>
  <c r="P105" i="19"/>
  <c r="P106" i="19"/>
  <c r="P107" i="19"/>
  <c r="P108" i="19"/>
  <c r="P109" i="19"/>
  <c r="P110" i="19"/>
  <c r="P111" i="19"/>
  <c r="P112" i="19"/>
  <c r="P113" i="19"/>
  <c r="P114" i="19"/>
  <c r="P115" i="19"/>
  <c r="P116" i="19"/>
  <c r="P117" i="19"/>
  <c r="P118" i="19"/>
  <c r="P119" i="19"/>
  <c r="P120" i="19"/>
  <c r="P121" i="19"/>
  <c r="P122" i="19"/>
  <c r="P123" i="19"/>
  <c r="P124" i="19"/>
  <c r="P125" i="19"/>
  <c r="P126" i="19"/>
  <c r="P127" i="19"/>
  <c r="P128" i="19"/>
  <c r="P129" i="19"/>
  <c r="P130" i="19"/>
  <c r="P131" i="19"/>
  <c r="P132" i="19"/>
  <c r="P133" i="19"/>
  <c r="P134" i="19"/>
  <c r="P135" i="19"/>
  <c r="P136" i="19"/>
  <c r="P137" i="19"/>
  <c r="P138" i="19"/>
  <c r="P139" i="19"/>
  <c r="P140" i="19"/>
  <c r="P141" i="19"/>
  <c r="P142" i="19"/>
  <c r="P143" i="19"/>
  <c r="P144" i="19"/>
  <c r="P145" i="19"/>
  <c r="P146" i="19"/>
  <c r="P147" i="19"/>
  <c r="P148" i="19"/>
  <c r="P149" i="19"/>
  <c r="P150" i="19"/>
  <c r="P151" i="19"/>
  <c r="P152" i="19"/>
  <c r="P153" i="19"/>
  <c r="P154" i="19"/>
  <c r="P155" i="19"/>
  <c r="P156" i="19"/>
  <c r="P157" i="19"/>
  <c r="P158" i="19"/>
  <c r="P159" i="19"/>
  <c r="P160" i="19"/>
  <c r="P161" i="19"/>
  <c r="P162" i="19"/>
  <c r="P163" i="19"/>
  <c r="P164" i="19"/>
  <c r="P165" i="19"/>
  <c r="P166" i="19"/>
  <c r="P167" i="19"/>
  <c r="P168" i="19"/>
  <c r="P169" i="19"/>
  <c r="P170" i="19"/>
  <c r="P171" i="19"/>
  <c r="P172" i="19"/>
  <c r="P173" i="19"/>
  <c r="P174" i="19"/>
  <c r="P175" i="19"/>
  <c r="P176" i="19"/>
  <c r="P177" i="19"/>
  <c r="P178" i="19"/>
  <c r="P179" i="19"/>
  <c r="P180" i="19"/>
  <c r="P181" i="19"/>
  <c r="P182" i="19"/>
  <c r="P183" i="19"/>
  <c r="P184" i="19"/>
  <c r="P185" i="19"/>
  <c r="P186" i="19"/>
  <c r="P187" i="19"/>
  <c r="P188" i="19"/>
  <c r="P189" i="19"/>
  <c r="P190" i="19"/>
  <c r="P191" i="19"/>
  <c r="P192" i="19"/>
  <c r="P193" i="19"/>
  <c r="P194" i="19"/>
  <c r="P195" i="19"/>
  <c r="P196" i="19"/>
  <c r="P197" i="19"/>
  <c r="P198" i="19"/>
  <c r="P199" i="19"/>
  <c r="P200" i="19"/>
  <c r="P201" i="19"/>
  <c r="P202" i="19"/>
  <c r="P203" i="19"/>
  <c r="P204" i="19"/>
  <c r="P205" i="19"/>
  <c r="P206" i="19"/>
  <c r="P207" i="19"/>
  <c r="P208" i="19"/>
  <c r="P209" i="19"/>
  <c r="P210" i="19"/>
  <c r="P211" i="19"/>
  <c r="P212" i="19"/>
  <c r="P213" i="19"/>
  <c r="P214" i="19"/>
  <c r="P215" i="19"/>
  <c r="P216" i="19"/>
  <c r="P217" i="19"/>
  <c r="P218" i="19"/>
  <c r="P219" i="19"/>
  <c r="P220" i="19"/>
  <c r="P221" i="19"/>
  <c r="P222" i="19"/>
  <c r="P223" i="19"/>
  <c r="P224" i="19"/>
  <c r="P225" i="19"/>
  <c r="P226" i="19"/>
  <c r="P227" i="19"/>
  <c r="P228" i="19"/>
  <c r="P229" i="19"/>
  <c r="P230" i="19"/>
  <c r="P231" i="19"/>
  <c r="P232" i="19"/>
  <c r="P233" i="19"/>
  <c r="P234" i="19"/>
  <c r="P235" i="19"/>
  <c r="P236" i="19"/>
  <c r="P237" i="19"/>
  <c r="P238" i="19"/>
  <c r="P239" i="19"/>
  <c r="P240" i="19"/>
  <c r="P241" i="19"/>
  <c r="P242" i="19"/>
  <c r="P243" i="19"/>
  <c r="P244" i="19"/>
  <c r="P245" i="19"/>
  <c r="P246" i="19"/>
  <c r="P247" i="19"/>
  <c r="P248" i="19"/>
  <c r="P249" i="19"/>
  <c r="P250" i="19"/>
  <c r="P251" i="19"/>
  <c r="P252" i="19"/>
  <c r="P253" i="19"/>
  <c r="P254" i="19"/>
  <c r="P255" i="19"/>
  <c r="P256" i="19"/>
  <c r="P257" i="19"/>
  <c r="P258" i="19"/>
  <c r="P259" i="19"/>
  <c r="P260" i="19"/>
  <c r="P261" i="19"/>
  <c r="P262" i="19"/>
  <c r="P263" i="19"/>
  <c r="P264" i="19"/>
  <c r="P265" i="19"/>
  <c r="P266" i="19"/>
  <c r="P267" i="19"/>
  <c r="P268" i="19"/>
  <c r="P269" i="19"/>
  <c r="P270" i="19"/>
  <c r="P271" i="19"/>
  <c r="P272" i="19"/>
  <c r="P273" i="19"/>
  <c r="P274" i="19"/>
  <c r="P275" i="19"/>
  <c r="P276" i="19"/>
  <c r="P277" i="19"/>
  <c r="P278" i="19"/>
  <c r="P279" i="19"/>
  <c r="P280" i="19"/>
  <c r="P281" i="19"/>
  <c r="P282" i="19"/>
  <c r="P283" i="19"/>
  <c r="P284" i="19"/>
  <c r="P285" i="19"/>
  <c r="P286" i="19"/>
  <c r="P287" i="19"/>
  <c r="P288" i="19"/>
  <c r="P289" i="19"/>
  <c r="P290" i="19"/>
  <c r="P291" i="19"/>
  <c r="P292" i="19"/>
  <c r="P293" i="19"/>
  <c r="P294" i="19"/>
  <c r="P295" i="19"/>
  <c r="P296" i="19"/>
  <c r="P297" i="19"/>
  <c r="P298" i="19"/>
  <c r="P299" i="19"/>
  <c r="P300" i="19"/>
  <c r="P301" i="19"/>
  <c r="P302" i="19"/>
  <c r="P303" i="19"/>
  <c r="P304" i="19"/>
  <c r="P305" i="19"/>
  <c r="P306" i="19"/>
  <c r="P307" i="19"/>
  <c r="P308" i="19"/>
  <c r="P309" i="19"/>
  <c r="P310" i="19"/>
  <c r="P311" i="19"/>
  <c r="P312" i="19"/>
  <c r="P313" i="19"/>
  <c r="P314" i="19"/>
  <c r="P315" i="19"/>
  <c r="P316" i="19"/>
  <c r="P317" i="19"/>
  <c r="P318" i="19"/>
  <c r="P319" i="19"/>
  <c r="P320" i="19"/>
  <c r="P321" i="19"/>
  <c r="P322" i="19"/>
  <c r="P323" i="19"/>
  <c r="P324" i="19"/>
  <c r="P325" i="19"/>
  <c r="P326" i="19"/>
  <c r="P327" i="19"/>
  <c r="P328" i="19"/>
  <c r="P329" i="19"/>
  <c r="P330" i="19"/>
  <c r="P331" i="19"/>
  <c r="P332" i="19"/>
  <c r="P333" i="19"/>
  <c r="P334" i="19"/>
  <c r="P335" i="19"/>
  <c r="P336" i="19"/>
  <c r="P337" i="19"/>
  <c r="P338" i="19"/>
  <c r="P339" i="19"/>
  <c r="P340" i="19"/>
  <c r="P341" i="19"/>
  <c r="P342" i="19"/>
  <c r="P343" i="19"/>
  <c r="P344" i="19"/>
  <c r="P345" i="19"/>
  <c r="P346" i="19"/>
  <c r="P347" i="19"/>
  <c r="P348" i="19"/>
  <c r="P349" i="19"/>
  <c r="P350" i="19"/>
  <c r="P351" i="19"/>
  <c r="P352" i="19"/>
  <c r="P353" i="19"/>
  <c r="P354" i="19"/>
  <c r="P355" i="19"/>
  <c r="P356" i="19"/>
  <c r="P357" i="19"/>
  <c r="P358" i="19"/>
  <c r="P359" i="19"/>
  <c r="P360" i="19"/>
  <c r="P361" i="19"/>
  <c r="P362" i="19"/>
  <c r="P363" i="19"/>
  <c r="P364" i="19"/>
  <c r="P365" i="19"/>
  <c r="P366" i="19"/>
  <c r="P367" i="19"/>
  <c r="P368" i="19"/>
  <c r="P369" i="19"/>
  <c r="P370" i="19"/>
  <c r="P371" i="19"/>
  <c r="P372" i="19"/>
  <c r="P373" i="19"/>
  <c r="P374" i="19"/>
  <c r="P375" i="19"/>
  <c r="P376" i="19"/>
  <c r="P377" i="19"/>
  <c r="P378" i="19"/>
  <c r="P379" i="19"/>
  <c r="P380" i="19"/>
  <c r="P381" i="19"/>
  <c r="P382" i="19"/>
  <c r="P383" i="19"/>
  <c r="P384" i="19"/>
  <c r="P385" i="19"/>
  <c r="P386" i="19"/>
  <c r="P387" i="19"/>
  <c r="P388" i="19"/>
  <c r="P389" i="19"/>
  <c r="P390" i="19"/>
  <c r="P391" i="19"/>
  <c r="P392" i="19"/>
  <c r="P393" i="19"/>
  <c r="P394" i="19"/>
  <c r="P395" i="19"/>
  <c r="P396" i="19"/>
  <c r="P397" i="19"/>
  <c r="P398" i="19"/>
  <c r="P399" i="19"/>
  <c r="P400" i="19"/>
  <c r="P401" i="19"/>
  <c r="P402" i="19"/>
  <c r="P403" i="19"/>
  <c r="P404" i="19"/>
  <c r="P405" i="19"/>
  <c r="P406" i="19"/>
  <c r="P407" i="19"/>
  <c r="P408" i="19"/>
  <c r="P409" i="19"/>
  <c r="P410" i="19"/>
  <c r="P411" i="19"/>
  <c r="P412" i="19"/>
  <c r="P413" i="19"/>
  <c r="P414" i="19"/>
  <c r="P415" i="19"/>
  <c r="P416" i="19"/>
  <c r="P417" i="19"/>
  <c r="P418" i="19"/>
  <c r="P419" i="19"/>
  <c r="P420" i="19"/>
  <c r="P421" i="19"/>
  <c r="P422" i="19"/>
  <c r="P423" i="19"/>
  <c r="P424" i="19"/>
  <c r="P425" i="19"/>
  <c r="P426" i="19"/>
  <c r="P427" i="19"/>
  <c r="P428" i="19"/>
  <c r="P429" i="19"/>
  <c r="P430" i="19"/>
  <c r="P431" i="19"/>
  <c r="P432" i="19"/>
  <c r="P433" i="19"/>
  <c r="P434" i="19"/>
  <c r="P435" i="19"/>
  <c r="P436" i="19"/>
  <c r="P437" i="19"/>
  <c r="P438" i="19"/>
  <c r="P439" i="19"/>
  <c r="P440" i="19"/>
  <c r="P441" i="19"/>
  <c r="P442" i="19"/>
  <c r="P443"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P4" i="19"/>
  <c r="N4" i="19"/>
  <c r="P2" i="19"/>
  <c r="M2" i="19"/>
  <c r="AJ3" i="25"/>
  <c r="AK3" i="25"/>
  <c r="AJ4" i="25"/>
  <c r="AK4" i="25"/>
  <c r="AJ5" i="25"/>
  <c r="AK5" i="25"/>
  <c r="AJ6" i="25"/>
  <c r="AK6" i="25"/>
  <c r="AJ7" i="25"/>
  <c r="AK7" i="25"/>
  <c r="AJ8" i="25"/>
  <c r="AK8" i="25"/>
  <c r="AJ9" i="25"/>
  <c r="AK9" i="25"/>
  <c r="AJ10" i="25"/>
  <c r="AK10" i="25"/>
  <c r="AJ11" i="25"/>
  <c r="AK11" i="25"/>
  <c r="AJ12" i="25"/>
  <c r="AK12" i="25"/>
  <c r="AJ13" i="25"/>
  <c r="AK13" i="25"/>
  <c r="AJ14" i="25"/>
  <c r="AK14" i="25"/>
  <c r="AJ15" i="25"/>
  <c r="AK15" i="25"/>
  <c r="AJ16" i="25"/>
  <c r="AK16" i="25"/>
  <c r="AJ17" i="25"/>
  <c r="AK17" i="25"/>
  <c r="AJ18" i="25"/>
  <c r="AK18" i="25"/>
  <c r="AJ19" i="25"/>
  <c r="AK19" i="25"/>
  <c r="AJ20" i="25"/>
  <c r="AK20" i="25"/>
  <c r="AJ21" i="25"/>
  <c r="AK21" i="25"/>
  <c r="AJ22" i="25"/>
  <c r="AK22" i="25"/>
  <c r="AJ23" i="25"/>
  <c r="AK23" i="25"/>
  <c r="AJ24" i="25"/>
  <c r="AK24" i="25"/>
  <c r="AJ25" i="25"/>
  <c r="AK25" i="25"/>
  <c r="AJ26" i="25"/>
  <c r="AK26" i="25"/>
  <c r="AJ27" i="25"/>
  <c r="AK27" i="25"/>
  <c r="AJ28" i="25"/>
  <c r="AK28" i="25"/>
  <c r="AJ29" i="25"/>
  <c r="AK29" i="25"/>
  <c r="AJ30" i="25"/>
  <c r="AK30" i="25"/>
  <c r="AJ31" i="25"/>
  <c r="AK31" i="25"/>
  <c r="AJ32" i="25"/>
  <c r="AK32" i="25"/>
  <c r="AJ33" i="25"/>
  <c r="AK33" i="25"/>
  <c r="AJ34" i="25"/>
  <c r="AK34" i="25"/>
  <c r="AJ35" i="25"/>
  <c r="AK35" i="25"/>
  <c r="AJ36" i="25"/>
  <c r="AK36" i="25"/>
  <c r="AJ37" i="25"/>
  <c r="AK37" i="25"/>
  <c r="AJ38" i="25"/>
  <c r="AK38" i="25"/>
  <c r="AJ39" i="25"/>
  <c r="AK39" i="25"/>
  <c r="AJ40" i="25"/>
  <c r="AK40" i="25"/>
  <c r="AJ41" i="25"/>
  <c r="AK41" i="25"/>
  <c r="AJ42" i="25"/>
  <c r="AK42" i="25"/>
  <c r="AJ43" i="25"/>
  <c r="AK43" i="25"/>
  <c r="AJ44" i="25"/>
  <c r="AK44" i="25"/>
  <c r="AJ45" i="25"/>
  <c r="AK45" i="25"/>
  <c r="AJ46" i="25"/>
  <c r="AK46" i="25"/>
  <c r="AJ47" i="25"/>
  <c r="AK47" i="25"/>
  <c r="AJ48" i="25"/>
  <c r="AK48" i="25"/>
  <c r="AJ49" i="25"/>
  <c r="AK49" i="25"/>
  <c r="AJ50" i="25"/>
  <c r="AK50" i="25"/>
  <c r="AJ51" i="25"/>
  <c r="AK51" i="25"/>
  <c r="AJ52" i="25"/>
  <c r="AK52" i="25"/>
  <c r="AJ53" i="25"/>
  <c r="AK53" i="25"/>
  <c r="AJ54" i="25"/>
  <c r="AK54" i="25"/>
  <c r="AJ55" i="25"/>
  <c r="AK55" i="25"/>
  <c r="AJ56" i="25"/>
  <c r="AK56" i="25"/>
  <c r="AJ57" i="25"/>
  <c r="AK57" i="25"/>
  <c r="AJ58" i="25"/>
  <c r="AK58" i="25"/>
  <c r="AJ59" i="25"/>
  <c r="AK59" i="25"/>
  <c r="AJ60" i="25"/>
  <c r="AK60" i="25"/>
  <c r="AJ61" i="25"/>
  <c r="AK61" i="25"/>
  <c r="AJ62" i="25"/>
  <c r="AK62" i="25"/>
  <c r="AJ63" i="25"/>
  <c r="AK63" i="25"/>
  <c r="AJ64" i="25"/>
  <c r="AK64" i="25"/>
  <c r="AJ65" i="25"/>
  <c r="AK65" i="25"/>
  <c r="AJ66" i="25"/>
  <c r="AK66" i="25"/>
  <c r="AJ67" i="25"/>
  <c r="AK67" i="25"/>
  <c r="AJ68" i="25"/>
  <c r="AK68" i="25"/>
  <c r="AJ69" i="25"/>
  <c r="AK69" i="25"/>
  <c r="AJ70" i="25"/>
  <c r="AK70" i="25"/>
  <c r="AJ71" i="25"/>
  <c r="AK71" i="25"/>
  <c r="AJ72" i="25"/>
  <c r="AK72" i="25"/>
  <c r="AJ73" i="25"/>
  <c r="AK73" i="25"/>
  <c r="AJ74" i="25"/>
  <c r="AK74" i="25"/>
  <c r="AJ75" i="25"/>
  <c r="AK75" i="25"/>
  <c r="AJ76" i="25"/>
  <c r="AK76" i="25"/>
  <c r="AJ77" i="25"/>
  <c r="AK77" i="25"/>
  <c r="AJ78" i="25"/>
  <c r="AK78" i="25"/>
  <c r="AJ79" i="25"/>
  <c r="AK79" i="25"/>
  <c r="AJ80" i="25"/>
  <c r="AK80" i="25"/>
  <c r="AJ81" i="25"/>
  <c r="AK81" i="25"/>
  <c r="AJ82" i="25"/>
  <c r="AK82" i="25"/>
  <c r="AJ83" i="25"/>
  <c r="AK83" i="25"/>
  <c r="AJ84" i="25"/>
  <c r="AK84" i="25"/>
  <c r="AJ85" i="25"/>
  <c r="AK85" i="25"/>
  <c r="AJ86" i="25"/>
  <c r="AK86" i="25"/>
  <c r="AJ87" i="25"/>
  <c r="AK87" i="25"/>
  <c r="AJ88" i="25"/>
  <c r="AK88" i="25"/>
  <c r="AJ89" i="25"/>
  <c r="AK89" i="25"/>
  <c r="AJ90" i="25"/>
  <c r="AK90" i="25"/>
  <c r="AJ91" i="25"/>
  <c r="AK91" i="25"/>
  <c r="AJ92" i="25"/>
  <c r="AK92" i="25"/>
  <c r="AJ93" i="25"/>
  <c r="AK93" i="25"/>
  <c r="AJ94" i="25"/>
  <c r="AK94" i="25"/>
  <c r="AJ95" i="25"/>
  <c r="AK95" i="25"/>
  <c r="AJ96" i="25"/>
  <c r="AK96" i="25"/>
  <c r="AJ97" i="25"/>
  <c r="AK97" i="25"/>
  <c r="AJ98" i="25"/>
  <c r="AK98" i="25"/>
  <c r="AJ99" i="25"/>
  <c r="AK99" i="25"/>
  <c r="AJ100" i="25"/>
  <c r="AK100" i="25"/>
  <c r="AJ101" i="25"/>
  <c r="AK101" i="25"/>
  <c r="AJ102" i="25"/>
  <c r="AK102" i="25"/>
  <c r="AJ103" i="25"/>
  <c r="AK103" i="25"/>
  <c r="AJ104" i="25"/>
  <c r="AK104" i="25"/>
  <c r="AJ105" i="25"/>
  <c r="AK105" i="25"/>
  <c r="AJ106" i="25"/>
  <c r="AK106" i="25"/>
  <c r="AJ107" i="25"/>
  <c r="AK107" i="25"/>
  <c r="AJ108" i="25"/>
  <c r="AK108" i="25"/>
  <c r="AJ109" i="25"/>
  <c r="AK109" i="25"/>
  <c r="AJ110" i="25"/>
  <c r="AK110" i="25"/>
  <c r="AJ111" i="25"/>
  <c r="AK111" i="25"/>
  <c r="AJ112" i="25"/>
  <c r="AK112" i="25"/>
  <c r="AJ113" i="25"/>
  <c r="AK113" i="25"/>
  <c r="AJ114" i="25"/>
  <c r="AK114" i="25"/>
  <c r="AJ115" i="25"/>
  <c r="AK115" i="25"/>
  <c r="AJ116" i="25"/>
  <c r="AK116" i="25"/>
  <c r="AJ117" i="25"/>
  <c r="AK117" i="25"/>
  <c r="AJ118" i="25"/>
  <c r="AK118" i="25"/>
  <c r="AJ119" i="25"/>
  <c r="AK119" i="25"/>
  <c r="AJ120" i="25"/>
  <c r="AK120" i="25"/>
  <c r="AJ121" i="25"/>
  <c r="AK121" i="25"/>
  <c r="AJ122" i="25"/>
  <c r="AK122" i="25"/>
  <c r="AJ123" i="25"/>
  <c r="AK123" i="25"/>
  <c r="AJ124" i="25"/>
  <c r="AK124" i="25"/>
  <c r="AJ125" i="25"/>
  <c r="AK125" i="25"/>
  <c r="AJ126" i="25"/>
  <c r="AK126" i="25"/>
  <c r="AJ127" i="25"/>
  <c r="AK127" i="25"/>
  <c r="AJ128" i="25"/>
  <c r="AK128" i="25"/>
  <c r="AJ129" i="25"/>
  <c r="AK129" i="25"/>
  <c r="AJ130" i="25"/>
  <c r="AK130" i="25"/>
  <c r="AJ131" i="25"/>
  <c r="AK131" i="25"/>
  <c r="AJ132" i="25"/>
  <c r="AK132" i="25"/>
  <c r="AJ133" i="25"/>
  <c r="AK133" i="25"/>
  <c r="AJ134" i="25"/>
  <c r="AK134" i="25"/>
  <c r="AJ135" i="25"/>
  <c r="AK135" i="25"/>
  <c r="AJ136" i="25"/>
  <c r="AK136" i="25"/>
  <c r="AJ137" i="25"/>
  <c r="AK137" i="25"/>
  <c r="AJ138" i="25"/>
  <c r="AK138" i="25"/>
  <c r="AJ139" i="25"/>
  <c r="AK139" i="25"/>
  <c r="AJ140" i="25"/>
  <c r="AK140" i="25"/>
  <c r="AJ141" i="25"/>
  <c r="AK141" i="25"/>
  <c r="AJ142" i="25"/>
  <c r="AK142" i="25"/>
  <c r="AJ143" i="25"/>
  <c r="AK143" i="25"/>
  <c r="AJ144" i="25"/>
  <c r="AK144" i="25"/>
  <c r="AJ145" i="25"/>
  <c r="AK145" i="25"/>
  <c r="AJ146" i="25"/>
  <c r="AK146" i="25"/>
  <c r="AJ147" i="25"/>
  <c r="AK147" i="25"/>
  <c r="AJ148" i="25"/>
  <c r="AK148" i="25"/>
  <c r="AJ149" i="25"/>
  <c r="AK149" i="25"/>
  <c r="AJ150" i="25"/>
  <c r="AK150" i="25"/>
  <c r="AJ151" i="25"/>
  <c r="AK151" i="25"/>
  <c r="AJ152" i="25"/>
  <c r="AK152" i="25"/>
  <c r="AJ153" i="25"/>
  <c r="AK153" i="25"/>
  <c r="AJ154" i="25"/>
  <c r="AK154" i="25"/>
  <c r="AJ155" i="25"/>
  <c r="AK155" i="25"/>
  <c r="AJ156" i="25"/>
  <c r="AK156" i="25"/>
  <c r="AJ157" i="25"/>
  <c r="AK157" i="25"/>
  <c r="AJ158" i="25"/>
  <c r="AK158" i="25"/>
  <c r="AJ159" i="25"/>
  <c r="AK159" i="25"/>
  <c r="AJ160" i="25"/>
  <c r="AK160" i="25"/>
  <c r="AJ161" i="25"/>
  <c r="AK161" i="25"/>
  <c r="AJ162" i="25"/>
  <c r="AK162" i="25"/>
  <c r="AJ163" i="25"/>
  <c r="AK163" i="25"/>
  <c r="AJ164" i="25"/>
  <c r="AK164" i="25"/>
  <c r="AJ165" i="25"/>
  <c r="AK165" i="25"/>
  <c r="AJ166" i="25"/>
  <c r="AK166" i="25"/>
  <c r="AJ167" i="25"/>
  <c r="AK167" i="25"/>
  <c r="AJ168" i="25"/>
  <c r="AK168" i="25"/>
  <c r="AJ169" i="25"/>
  <c r="AK169" i="25"/>
  <c r="AJ170" i="25"/>
  <c r="AK170" i="25"/>
  <c r="AJ171" i="25"/>
  <c r="AK171" i="25"/>
  <c r="AJ172" i="25"/>
  <c r="AK172" i="25"/>
  <c r="AJ173" i="25"/>
  <c r="AK173" i="25"/>
  <c r="AJ174" i="25"/>
  <c r="AK174" i="25"/>
  <c r="AJ175" i="25"/>
  <c r="AK175" i="25"/>
  <c r="AJ176" i="25"/>
  <c r="AK176" i="25"/>
  <c r="AJ177" i="25"/>
  <c r="AK177" i="25"/>
  <c r="AJ178" i="25"/>
  <c r="AK178" i="25"/>
  <c r="AJ179" i="25"/>
  <c r="AK179" i="25"/>
  <c r="AJ180" i="25"/>
  <c r="AK180" i="25"/>
  <c r="AJ181" i="25"/>
  <c r="AK181" i="25"/>
  <c r="AJ182" i="25"/>
  <c r="AK182" i="25"/>
  <c r="AJ183" i="25"/>
  <c r="AK183" i="25"/>
  <c r="AJ184" i="25"/>
  <c r="AK184" i="25"/>
  <c r="AJ185" i="25"/>
  <c r="AK185" i="25"/>
  <c r="AJ186" i="25"/>
  <c r="AK186" i="25"/>
  <c r="AJ187" i="25"/>
  <c r="AK187" i="25"/>
  <c r="AJ188" i="25"/>
  <c r="AK188" i="25"/>
  <c r="AJ189" i="25"/>
  <c r="AK189" i="25"/>
  <c r="AJ190" i="25"/>
  <c r="AK190" i="25"/>
  <c r="AJ191" i="25"/>
  <c r="AK191" i="25"/>
  <c r="AJ192" i="25"/>
  <c r="AK192" i="25"/>
  <c r="AJ193" i="25"/>
  <c r="AK193" i="25"/>
  <c r="AJ222" i="25"/>
  <c r="AK222" i="25"/>
  <c r="AJ223" i="25"/>
  <c r="AK223" i="25"/>
  <c r="AJ224" i="25"/>
  <c r="AK224" i="25"/>
  <c r="AJ225" i="25"/>
  <c r="AK225" i="25"/>
  <c r="AJ226" i="25"/>
  <c r="AK226" i="25"/>
  <c r="AJ227" i="25"/>
  <c r="AK227" i="25"/>
  <c r="AJ228" i="25"/>
  <c r="AK228" i="25"/>
  <c r="AJ229" i="25"/>
  <c r="AK229" i="25"/>
  <c r="AJ230" i="25"/>
  <c r="AK230" i="25"/>
  <c r="AJ231" i="25"/>
  <c r="AK231" i="25"/>
  <c r="AJ232" i="25"/>
  <c r="AK232" i="25"/>
  <c r="AJ233" i="25"/>
  <c r="AK233" i="25"/>
  <c r="AJ234" i="25"/>
  <c r="AK234" i="25"/>
  <c r="AJ235" i="25"/>
  <c r="AK235" i="25"/>
  <c r="AJ236" i="25"/>
  <c r="AK236" i="25"/>
  <c r="AJ237" i="25"/>
  <c r="AK237" i="25"/>
  <c r="AJ238" i="25"/>
  <c r="AK238" i="25"/>
  <c r="AJ239" i="25"/>
  <c r="AK239" i="25"/>
  <c r="AJ240" i="25"/>
  <c r="AK240" i="25"/>
  <c r="AJ241" i="25"/>
  <c r="AK241" i="25"/>
  <c r="AJ242" i="25"/>
  <c r="AK242" i="25"/>
  <c r="AJ243" i="25"/>
  <c r="AK243" i="25"/>
  <c r="AJ244" i="25"/>
  <c r="AK244" i="25"/>
  <c r="AJ245" i="25"/>
  <c r="AK245" i="25"/>
  <c r="AJ246" i="25"/>
  <c r="AK246" i="25"/>
  <c r="AJ247" i="25"/>
  <c r="AK247" i="25"/>
  <c r="AJ248" i="25"/>
  <c r="AK248" i="25"/>
  <c r="AJ249" i="25"/>
  <c r="AK249" i="25"/>
  <c r="AJ250" i="25"/>
  <c r="AK250" i="25"/>
  <c r="AJ251" i="25"/>
  <c r="AK251" i="25"/>
  <c r="AJ252" i="25"/>
  <c r="AK252" i="25"/>
  <c r="AJ253" i="25"/>
  <c r="AK253" i="25"/>
  <c r="AJ254" i="25"/>
  <c r="AK254" i="25"/>
  <c r="AJ255" i="25"/>
  <c r="AK255" i="25"/>
  <c r="AJ256" i="25"/>
  <c r="AK256" i="25"/>
  <c r="AJ257" i="25"/>
  <c r="AK257" i="25"/>
  <c r="AJ258" i="25"/>
  <c r="AK258" i="25"/>
  <c r="AJ259" i="25"/>
  <c r="AK259" i="25"/>
  <c r="AJ260" i="25"/>
  <c r="AK260" i="25"/>
  <c r="AJ261" i="25"/>
  <c r="AK261" i="25"/>
  <c r="AJ262" i="25"/>
  <c r="AK262" i="25"/>
  <c r="AJ263" i="25"/>
  <c r="AK263" i="25"/>
  <c r="AJ264" i="25"/>
  <c r="AK264" i="25"/>
  <c r="AJ265" i="25"/>
  <c r="AK265" i="25"/>
  <c r="AJ266" i="25"/>
  <c r="AK266" i="25"/>
  <c r="AJ267" i="25"/>
  <c r="AK267" i="25"/>
  <c r="AJ268" i="25"/>
  <c r="AK268" i="25"/>
  <c r="AJ269" i="25"/>
  <c r="AK269" i="25"/>
  <c r="AJ270" i="25"/>
  <c r="AK270" i="25"/>
  <c r="AJ271" i="25"/>
  <c r="AK271" i="25"/>
  <c r="AJ272" i="25"/>
  <c r="AK272" i="25"/>
  <c r="AJ273" i="25"/>
  <c r="AK273" i="25"/>
  <c r="AJ274" i="25"/>
  <c r="AK274" i="25"/>
  <c r="AJ275" i="25"/>
  <c r="AK275" i="25"/>
  <c r="AJ276" i="25"/>
  <c r="AK276" i="25"/>
  <c r="AJ277" i="25"/>
  <c r="AK277" i="25"/>
  <c r="AJ278" i="25"/>
  <c r="AK278" i="25"/>
  <c r="AJ279" i="25"/>
  <c r="AK279" i="25"/>
  <c r="AJ280" i="25"/>
  <c r="AK280" i="25"/>
  <c r="AJ281" i="25"/>
  <c r="AK281" i="25"/>
  <c r="AJ282" i="25"/>
  <c r="AK282" i="25"/>
  <c r="AJ283" i="25"/>
  <c r="AK283" i="25"/>
  <c r="AJ284" i="25"/>
  <c r="AK284" i="25"/>
  <c r="AJ285" i="25"/>
  <c r="AK285" i="25"/>
  <c r="AJ286" i="25"/>
  <c r="AK286" i="25"/>
  <c r="AJ287" i="25"/>
  <c r="AK287" i="25"/>
  <c r="AJ288" i="25"/>
  <c r="AK288" i="25"/>
  <c r="AJ289" i="25"/>
  <c r="AK289" i="25"/>
  <c r="AJ290" i="25"/>
  <c r="AK290" i="25"/>
  <c r="AJ291" i="25"/>
  <c r="AK291" i="25"/>
  <c r="AJ292" i="25"/>
  <c r="AK292" i="25"/>
  <c r="AJ293" i="25"/>
  <c r="AK293" i="25"/>
  <c r="AJ294" i="25"/>
  <c r="AK294" i="25"/>
  <c r="AJ295" i="25"/>
  <c r="AK295" i="25"/>
  <c r="AJ296" i="25"/>
  <c r="AK296" i="25"/>
  <c r="AJ297" i="25"/>
  <c r="AK297" i="25"/>
  <c r="AJ298" i="25"/>
  <c r="AK298" i="25"/>
  <c r="AJ299" i="25"/>
  <c r="AK299" i="25"/>
  <c r="AJ300" i="25"/>
  <c r="AK300" i="25"/>
  <c r="AJ301" i="25"/>
  <c r="AK301" i="25"/>
  <c r="AJ302" i="25"/>
  <c r="AK302" i="25"/>
  <c r="AJ303" i="25"/>
  <c r="AK303" i="25"/>
  <c r="AJ304" i="25"/>
  <c r="AK304" i="25"/>
  <c r="AJ305" i="25"/>
  <c r="AK305" i="25"/>
  <c r="AJ306" i="25"/>
  <c r="AK306" i="25"/>
  <c r="AJ307" i="25"/>
  <c r="AK307" i="25"/>
  <c r="AJ308" i="25"/>
  <c r="AK308" i="25"/>
  <c r="AJ309" i="25"/>
  <c r="AK309" i="25"/>
  <c r="AJ310" i="25"/>
  <c r="AK310" i="25"/>
  <c r="AJ311" i="25"/>
  <c r="AK311" i="25"/>
  <c r="AJ312" i="25"/>
  <c r="AK312" i="25"/>
  <c r="AJ313" i="25"/>
  <c r="AK313" i="25"/>
  <c r="AJ314" i="25"/>
  <c r="AK314" i="25"/>
  <c r="AJ315" i="25"/>
  <c r="AK315" i="25"/>
  <c r="AJ316" i="25"/>
  <c r="AK316" i="25"/>
  <c r="AJ317" i="25"/>
  <c r="AK317" i="25"/>
  <c r="AJ318" i="25"/>
  <c r="AK318" i="25"/>
  <c r="AJ319" i="25"/>
  <c r="AK319" i="25"/>
  <c r="AJ320" i="25"/>
  <c r="AK320" i="25"/>
  <c r="AJ321" i="25"/>
  <c r="AK321" i="25"/>
  <c r="AJ322" i="25"/>
  <c r="AK322" i="25"/>
  <c r="AJ323" i="25"/>
  <c r="AK323" i="25"/>
  <c r="AJ324" i="25"/>
  <c r="AK324" i="25"/>
  <c r="AJ325" i="25"/>
  <c r="AK325" i="25"/>
  <c r="AJ326" i="25"/>
  <c r="AK326" i="25"/>
  <c r="AJ327" i="25"/>
  <c r="AK327" i="25"/>
  <c r="AJ328" i="25"/>
  <c r="AK328" i="25"/>
  <c r="AJ329" i="25"/>
  <c r="AK329" i="25"/>
  <c r="AJ330" i="25"/>
  <c r="AK330" i="25"/>
  <c r="AJ331" i="25"/>
  <c r="AK331" i="25"/>
  <c r="AJ332" i="25"/>
  <c r="AK332" i="25"/>
  <c r="AJ333" i="25"/>
  <c r="AK333" i="25"/>
  <c r="AJ334" i="25"/>
  <c r="AK334" i="25"/>
  <c r="AJ335" i="25"/>
  <c r="AK335" i="25"/>
  <c r="AJ336" i="25"/>
  <c r="AK336" i="25"/>
  <c r="AJ337" i="25"/>
  <c r="AK337" i="25"/>
  <c r="AJ338" i="25"/>
  <c r="AK338" i="25"/>
  <c r="AJ339" i="25"/>
  <c r="AK339" i="25"/>
  <c r="AJ340" i="25"/>
  <c r="AK340" i="25"/>
  <c r="AJ341" i="25"/>
  <c r="AK341" i="25"/>
  <c r="AJ342" i="25"/>
  <c r="AK342" i="25"/>
  <c r="AJ343" i="25"/>
  <c r="AK343" i="25"/>
  <c r="AJ344" i="25"/>
  <c r="AK344" i="25"/>
  <c r="AJ345" i="25"/>
  <c r="AK345" i="25"/>
  <c r="AJ346" i="25"/>
  <c r="AK346" i="25"/>
  <c r="AJ347" i="25"/>
  <c r="AK347" i="25"/>
  <c r="AJ348" i="25"/>
  <c r="AK348" i="25"/>
  <c r="AJ349" i="25"/>
  <c r="AK349" i="25"/>
  <c r="AJ350" i="25"/>
  <c r="AK350" i="25"/>
  <c r="AJ351" i="25"/>
  <c r="AK351" i="25"/>
  <c r="AJ352" i="25"/>
  <c r="AK352" i="25"/>
  <c r="AJ353" i="25"/>
  <c r="AK353" i="25"/>
  <c r="AJ354" i="25"/>
  <c r="AK354" i="25"/>
  <c r="AJ355" i="25"/>
  <c r="AK355" i="25"/>
  <c r="AJ356" i="25"/>
  <c r="AK356" i="25"/>
  <c r="AJ357" i="25"/>
  <c r="AK357" i="25"/>
  <c r="AJ358" i="25"/>
  <c r="AK358" i="25"/>
  <c r="AJ359" i="25"/>
  <c r="AK359" i="25"/>
  <c r="AJ360" i="25"/>
  <c r="AK360" i="25"/>
  <c r="AJ361" i="25"/>
  <c r="AK361" i="25"/>
  <c r="AJ362" i="25"/>
  <c r="AK362" i="25"/>
  <c r="AJ363" i="25"/>
  <c r="AK363" i="25"/>
  <c r="AJ364" i="25"/>
  <c r="AK364" i="25"/>
  <c r="AJ365" i="25"/>
  <c r="AK365" i="25"/>
  <c r="AJ366" i="25"/>
  <c r="AK366" i="25"/>
  <c r="AJ367" i="25"/>
  <c r="AK367" i="25"/>
  <c r="AJ368" i="25"/>
  <c r="AK368" i="25"/>
  <c r="AJ369" i="25"/>
  <c r="AK369" i="25"/>
  <c r="AJ370" i="25"/>
  <c r="AK370" i="25"/>
  <c r="AJ371" i="25"/>
  <c r="AK371" i="25"/>
  <c r="AJ372" i="25"/>
  <c r="AK372" i="25"/>
  <c r="AJ373" i="25"/>
  <c r="AK373" i="25"/>
  <c r="AJ374" i="25"/>
  <c r="AK374" i="25"/>
  <c r="AJ375" i="25"/>
  <c r="AK375" i="25"/>
  <c r="AJ376" i="25"/>
  <c r="AK376" i="25"/>
  <c r="AJ377" i="25"/>
  <c r="AK377" i="25"/>
  <c r="AJ378" i="25"/>
  <c r="AK378" i="25"/>
  <c r="AJ379" i="25"/>
  <c r="AK379" i="25"/>
  <c r="AJ380" i="25"/>
  <c r="AK380" i="25"/>
  <c r="AJ381" i="25"/>
  <c r="AK381" i="25"/>
  <c r="AJ382" i="25"/>
  <c r="AK382" i="25"/>
  <c r="AJ383" i="25"/>
  <c r="AK383" i="25"/>
  <c r="AJ384" i="25"/>
  <c r="AK384" i="25"/>
  <c r="AJ385" i="25"/>
  <c r="AK385" i="25"/>
  <c r="AJ386" i="25"/>
  <c r="AK386" i="25"/>
  <c r="AJ387" i="25"/>
  <c r="AK387" i="25"/>
  <c r="AJ388" i="25"/>
  <c r="AK388" i="25"/>
  <c r="AJ389" i="25"/>
  <c r="AK389" i="25"/>
  <c r="AJ390" i="25"/>
  <c r="AK390" i="25"/>
  <c r="AJ391" i="25"/>
  <c r="AK391" i="25"/>
  <c r="AJ392" i="25"/>
  <c r="AK392" i="25"/>
  <c r="AJ393" i="25"/>
  <c r="AK393" i="25"/>
  <c r="AJ394" i="25"/>
  <c r="AK394" i="25"/>
  <c r="AJ395" i="25"/>
  <c r="AK395" i="25"/>
  <c r="AJ396" i="25"/>
  <c r="AK396" i="25"/>
  <c r="AJ397" i="25"/>
  <c r="AK397" i="25"/>
  <c r="AJ398" i="25"/>
  <c r="AK398" i="25"/>
  <c r="AJ399" i="25"/>
  <c r="AK399" i="25"/>
  <c r="AJ400" i="25"/>
  <c r="AK400" i="25"/>
  <c r="AJ401" i="25"/>
  <c r="AK401" i="25"/>
  <c r="AJ402" i="25"/>
  <c r="AK402" i="25"/>
  <c r="AJ403" i="25"/>
  <c r="AK403" i="25"/>
  <c r="AJ404" i="25"/>
  <c r="AK404" i="25"/>
  <c r="AJ405" i="25"/>
  <c r="AK405" i="25"/>
  <c r="AJ406" i="25"/>
  <c r="AK406" i="25"/>
  <c r="AJ407" i="25"/>
  <c r="AK407" i="25"/>
  <c r="AJ408" i="25"/>
  <c r="AK408" i="25"/>
  <c r="AJ409" i="25"/>
  <c r="AK409" i="25"/>
  <c r="AJ410" i="25"/>
  <c r="AK410" i="25"/>
  <c r="AJ411" i="25"/>
  <c r="AK411" i="25"/>
  <c r="AJ412" i="25"/>
  <c r="AK412" i="25"/>
  <c r="AJ413" i="25"/>
  <c r="AK413" i="25"/>
  <c r="AJ442" i="25"/>
  <c r="AK442" i="25"/>
  <c r="AJ443" i="25"/>
  <c r="AK443" i="25"/>
  <c r="AJ444" i="25"/>
  <c r="AK444" i="25"/>
  <c r="AJ445" i="25"/>
  <c r="AK445" i="25"/>
  <c r="AJ446" i="25"/>
  <c r="AK446" i="25"/>
  <c r="AJ447" i="25"/>
  <c r="AK447" i="25"/>
  <c r="AJ448" i="25"/>
  <c r="AK448" i="25"/>
  <c r="AJ449" i="25"/>
  <c r="AK449" i="25"/>
  <c r="AJ450" i="25"/>
  <c r="AK450" i="25"/>
  <c r="AJ451" i="25"/>
  <c r="AK451" i="25"/>
  <c r="AJ452" i="25"/>
  <c r="AK452" i="25"/>
  <c r="AJ453" i="25"/>
  <c r="AK453" i="25"/>
  <c r="AJ454" i="25"/>
  <c r="AK454" i="25"/>
  <c r="AJ455" i="25"/>
  <c r="AK455" i="25"/>
  <c r="AJ456" i="25"/>
  <c r="AK456" i="25"/>
  <c r="AJ457" i="25"/>
  <c r="AK457" i="25"/>
  <c r="AJ458" i="25"/>
  <c r="AK458" i="25"/>
  <c r="AJ459" i="25"/>
  <c r="AK459" i="25"/>
  <c r="AJ460" i="25"/>
  <c r="AK460" i="25"/>
  <c r="AJ461" i="25"/>
  <c r="AK461" i="25"/>
  <c r="AJ462" i="25"/>
  <c r="AK462" i="25"/>
  <c r="AJ463" i="25"/>
  <c r="AK463" i="25"/>
  <c r="AJ464" i="25"/>
  <c r="AK464" i="25"/>
  <c r="AJ465" i="25"/>
  <c r="AK465" i="25"/>
  <c r="AJ466" i="25"/>
  <c r="AK466" i="25"/>
  <c r="AJ467" i="25"/>
  <c r="AK467" i="25"/>
  <c r="AJ468" i="25"/>
  <c r="AK468" i="25"/>
  <c r="AJ469" i="25"/>
  <c r="AK469" i="25"/>
  <c r="AJ470" i="25"/>
  <c r="AK470" i="25"/>
  <c r="AJ471" i="25"/>
  <c r="AK471" i="25"/>
  <c r="AJ472" i="25"/>
  <c r="AK472" i="25"/>
  <c r="AJ473" i="25"/>
  <c r="AK473" i="25"/>
  <c r="AJ474" i="25"/>
  <c r="AK474" i="25"/>
  <c r="AJ475" i="25"/>
  <c r="AK475" i="25"/>
  <c r="AJ476" i="25"/>
  <c r="AK476" i="25"/>
  <c r="AJ477" i="25"/>
  <c r="AK477" i="25"/>
  <c r="AJ478" i="25"/>
  <c r="AK478" i="25"/>
  <c r="AJ479" i="25"/>
  <c r="AK479" i="25"/>
  <c r="AJ480" i="25"/>
  <c r="AK480" i="25"/>
  <c r="AJ481" i="25"/>
  <c r="AK481" i="25"/>
  <c r="AJ482" i="25"/>
  <c r="AK482" i="25"/>
  <c r="AJ483" i="25"/>
  <c r="AK483" i="25"/>
  <c r="AJ484" i="25"/>
  <c r="AK484" i="25"/>
  <c r="AJ485" i="25"/>
  <c r="AK485" i="25"/>
  <c r="AJ486" i="25"/>
  <c r="AK486" i="25"/>
  <c r="AJ487" i="25"/>
  <c r="AK487" i="25"/>
  <c r="AJ488" i="25"/>
  <c r="AK488" i="25"/>
  <c r="AJ489" i="25"/>
  <c r="AK489" i="25"/>
  <c r="AJ490" i="25"/>
  <c r="AK490" i="25"/>
  <c r="AJ491" i="25"/>
  <c r="AK491" i="25"/>
  <c r="AJ492" i="25"/>
  <c r="AK492" i="25"/>
  <c r="AJ493" i="25"/>
  <c r="AK493" i="25"/>
  <c r="AJ494" i="25"/>
  <c r="AK494" i="25"/>
  <c r="AJ495" i="25"/>
  <c r="AK495" i="25"/>
  <c r="AJ496" i="25"/>
  <c r="AK496" i="25"/>
  <c r="AJ497" i="25"/>
  <c r="AK497" i="25"/>
  <c r="AJ498" i="25"/>
  <c r="AK498" i="25"/>
  <c r="AJ499" i="25"/>
  <c r="AK499" i="25"/>
  <c r="AJ500" i="25"/>
  <c r="AK500" i="25"/>
  <c r="AJ501" i="25"/>
  <c r="AK501" i="25"/>
  <c r="AJ502" i="25"/>
  <c r="AK502" i="25"/>
  <c r="AJ503" i="25"/>
  <c r="AK503" i="25"/>
  <c r="AJ504" i="25"/>
  <c r="AK504" i="25"/>
  <c r="AJ505" i="25"/>
  <c r="AK505" i="25"/>
  <c r="AJ506" i="25"/>
  <c r="AK506" i="25"/>
  <c r="AJ507" i="25"/>
  <c r="AK507" i="25"/>
  <c r="AJ508" i="25"/>
  <c r="AK508" i="25"/>
  <c r="AJ509" i="25"/>
  <c r="AK509" i="25"/>
  <c r="AJ510" i="25"/>
  <c r="AK510" i="25"/>
  <c r="AJ511" i="25"/>
  <c r="AK511" i="25"/>
  <c r="AJ512" i="25"/>
  <c r="AK512" i="25"/>
  <c r="AJ513" i="25"/>
  <c r="AK513" i="25"/>
  <c r="AJ514" i="25"/>
  <c r="AK514" i="25"/>
  <c r="AJ515" i="25"/>
  <c r="AK515" i="25"/>
  <c r="AJ516" i="25"/>
  <c r="AK516" i="25"/>
  <c r="AJ517" i="25"/>
  <c r="AK517" i="25"/>
  <c r="AJ518" i="25"/>
  <c r="AK518" i="25"/>
  <c r="AJ519" i="25"/>
  <c r="AK519" i="25"/>
  <c r="AJ520" i="25"/>
  <c r="AK520" i="25"/>
  <c r="AJ521" i="25"/>
  <c r="AK521" i="25"/>
  <c r="AJ522" i="25"/>
  <c r="AK522" i="25"/>
  <c r="AJ523" i="25"/>
  <c r="AK523" i="25"/>
  <c r="AJ524" i="25"/>
  <c r="AK524" i="25"/>
  <c r="AJ525" i="25"/>
  <c r="AK525" i="25"/>
  <c r="AJ526" i="25"/>
  <c r="AK526" i="25"/>
  <c r="AJ527" i="25"/>
  <c r="AK527" i="25"/>
  <c r="AJ528" i="25"/>
  <c r="AK528" i="25"/>
  <c r="AJ529" i="25"/>
  <c r="AK529" i="25"/>
  <c r="AJ530" i="25"/>
  <c r="AK530" i="25"/>
  <c r="AJ531" i="25"/>
  <c r="AK531" i="25"/>
  <c r="AJ532" i="25"/>
  <c r="AK532" i="25"/>
  <c r="AJ533" i="25"/>
  <c r="AK533" i="25"/>
  <c r="AJ534" i="25"/>
  <c r="AK534" i="25"/>
  <c r="AJ535" i="25"/>
  <c r="AK535" i="25"/>
  <c r="AJ536" i="25"/>
  <c r="AK536" i="25"/>
  <c r="AJ537" i="25"/>
  <c r="AK537" i="25"/>
  <c r="AJ538" i="25"/>
  <c r="AK538" i="25"/>
  <c r="AJ539" i="25"/>
  <c r="AK539" i="25"/>
  <c r="AJ540" i="25"/>
  <c r="AK540" i="25"/>
  <c r="AJ541" i="25"/>
  <c r="AK541" i="25"/>
  <c r="AJ542" i="25"/>
  <c r="AK542" i="25"/>
  <c r="AJ543" i="25"/>
  <c r="AK543" i="25"/>
  <c r="AJ544" i="25"/>
  <c r="AK544" i="25"/>
  <c r="AJ545" i="25"/>
  <c r="AK545" i="25"/>
  <c r="AJ546" i="25"/>
  <c r="AK546" i="25"/>
  <c r="AJ547" i="25"/>
  <c r="AK547" i="25"/>
  <c r="AJ548" i="25"/>
  <c r="AK548" i="25"/>
  <c r="AJ549" i="25"/>
  <c r="AK549" i="25"/>
  <c r="AJ550" i="25"/>
  <c r="AK550" i="25"/>
  <c r="AJ551" i="25"/>
  <c r="AK551" i="25"/>
  <c r="AJ552" i="25"/>
  <c r="AK552" i="25"/>
  <c r="AJ553" i="25"/>
  <c r="AK553" i="25"/>
  <c r="AJ554" i="25"/>
  <c r="AK554" i="25"/>
  <c r="AJ555" i="25"/>
  <c r="AK555" i="25"/>
  <c r="AJ556" i="25"/>
  <c r="AK556" i="25"/>
  <c r="AJ557" i="25"/>
  <c r="AK557" i="25"/>
  <c r="AJ558" i="25"/>
  <c r="AK558" i="25"/>
  <c r="AJ559" i="25"/>
  <c r="AK559" i="25"/>
  <c r="AJ560" i="25"/>
  <c r="AK560" i="25"/>
  <c r="AJ561" i="25"/>
  <c r="AK561" i="25"/>
  <c r="AJ562" i="25"/>
  <c r="AK562" i="25"/>
  <c r="AJ563" i="25"/>
  <c r="AK563" i="25"/>
  <c r="AJ564" i="25"/>
  <c r="AK564" i="25"/>
  <c r="AJ565" i="25"/>
  <c r="AK565" i="25"/>
  <c r="AJ566" i="25"/>
  <c r="AK566" i="25"/>
  <c r="AJ567" i="25"/>
  <c r="AK567" i="25"/>
  <c r="AJ568" i="25"/>
  <c r="AK568" i="25"/>
  <c r="AJ569" i="25"/>
  <c r="AK569" i="25"/>
  <c r="AJ570" i="25"/>
  <c r="AK570" i="25"/>
  <c r="AJ571" i="25"/>
  <c r="AK571" i="25"/>
  <c r="AJ572" i="25"/>
  <c r="AK572" i="25"/>
  <c r="AJ573" i="25"/>
  <c r="AK573" i="25"/>
  <c r="AJ574" i="25"/>
  <c r="AK574" i="25"/>
  <c r="AJ575" i="25"/>
  <c r="AK575" i="25"/>
  <c r="AJ576" i="25"/>
  <c r="AK576" i="25"/>
  <c r="AJ577" i="25"/>
  <c r="AK577" i="25"/>
  <c r="AJ578" i="25"/>
  <c r="AK578" i="25"/>
  <c r="AJ579" i="25"/>
  <c r="AK579" i="25"/>
  <c r="AJ580" i="25"/>
  <c r="AK580" i="25"/>
  <c r="AJ581" i="25"/>
  <c r="AK581" i="25"/>
  <c r="AJ582" i="25"/>
  <c r="AK582" i="25"/>
  <c r="AJ583" i="25"/>
  <c r="AK583" i="25"/>
  <c r="AJ584" i="25"/>
  <c r="AK584" i="25"/>
  <c r="AJ585" i="25"/>
  <c r="AK585" i="25"/>
  <c r="AJ586" i="25"/>
  <c r="AK586" i="25"/>
  <c r="AJ587" i="25"/>
  <c r="AK587" i="25"/>
  <c r="AJ588" i="25"/>
  <c r="AK588" i="25"/>
  <c r="AJ589" i="25"/>
  <c r="AK589" i="25"/>
  <c r="AJ590" i="25"/>
  <c r="AK590" i="25"/>
  <c r="AJ591" i="25"/>
  <c r="AK591" i="25"/>
  <c r="AJ592" i="25"/>
  <c r="AK592" i="25"/>
  <c r="AJ593" i="25"/>
  <c r="AK593" i="25"/>
  <c r="AJ594" i="25"/>
  <c r="AK594" i="25"/>
  <c r="AJ595" i="25"/>
  <c r="AK595" i="25"/>
  <c r="AJ596" i="25"/>
  <c r="AK596" i="25"/>
  <c r="AJ597" i="25"/>
  <c r="AK597" i="25"/>
  <c r="AJ598" i="25"/>
  <c r="AK598" i="25"/>
  <c r="AJ599" i="25"/>
  <c r="AK599" i="25"/>
  <c r="AJ600" i="25"/>
  <c r="AK600" i="25"/>
  <c r="AJ601" i="25"/>
  <c r="AK601" i="25"/>
  <c r="AJ602" i="25"/>
  <c r="AK602" i="25"/>
  <c r="AJ603" i="25"/>
  <c r="AK603" i="25"/>
  <c r="AJ604" i="25"/>
  <c r="AK604" i="25"/>
  <c r="AJ605" i="25"/>
  <c r="AK605" i="25"/>
  <c r="AJ606" i="25"/>
  <c r="AK606" i="25"/>
  <c r="AJ607" i="25"/>
  <c r="AK607" i="25"/>
  <c r="AJ608" i="25"/>
  <c r="AK608" i="25"/>
  <c r="AJ609" i="25"/>
  <c r="AK609" i="25"/>
  <c r="AJ610" i="25"/>
  <c r="AK610" i="25"/>
  <c r="AJ611" i="25"/>
  <c r="AK611" i="25"/>
  <c r="AJ612" i="25"/>
  <c r="AK612" i="25"/>
  <c r="AJ613" i="25"/>
  <c r="AK613" i="25"/>
  <c r="AJ614" i="25"/>
  <c r="AK614" i="25"/>
  <c r="AJ615" i="25"/>
  <c r="AK615" i="25"/>
  <c r="AJ616" i="25"/>
  <c r="AK616" i="25"/>
  <c r="AJ617" i="25"/>
  <c r="AK617" i="25"/>
  <c r="AJ618" i="25"/>
  <c r="AK618" i="25"/>
  <c r="AJ619" i="25"/>
  <c r="AK619" i="25"/>
  <c r="AJ620" i="25"/>
  <c r="AK620" i="25"/>
  <c r="AJ621" i="25"/>
  <c r="AK621" i="25"/>
  <c r="AJ622" i="25"/>
  <c r="AK622" i="25"/>
  <c r="AJ623" i="25"/>
  <c r="AK623" i="25"/>
  <c r="AJ624" i="25"/>
  <c r="AK624" i="25"/>
  <c r="AJ625" i="25"/>
  <c r="AK625" i="25"/>
  <c r="AJ626" i="25"/>
  <c r="AK626" i="25"/>
  <c r="AJ627" i="25"/>
  <c r="AK627" i="25"/>
  <c r="AJ628" i="25"/>
  <c r="AK628" i="25"/>
  <c r="AJ629" i="25"/>
  <c r="AK629" i="25"/>
  <c r="AJ630" i="25"/>
  <c r="AK630" i="25"/>
  <c r="AJ631" i="25"/>
  <c r="AK631" i="25"/>
  <c r="AJ632" i="25"/>
  <c r="AK632" i="25"/>
  <c r="AJ633" i="25"/>
  <c r="AK633" i="25"/>
  <c r="AJ662" i="25"/>
  <c r="AK662" i="25"/>
  <c r="AJ663" i="25"/>
  <c r="AK663" i="25"/>
  <c r="AJ664" i="25"/>
  <c r="AK664" i="25"/>
  <c r="AJ665" i="25"/>
  <c r="AK665" i="25"/>
  <c r="AJ666" i="25"/>
  <c r="AK666" i="25"/>
  <c r="AJ667" i="25"/>
  <c r="AK667" i="25"/>
  <c r="AJ668" i="25"/>
  <c r="AK668" i="25"/>
  <c r="AJ669" i="25"/>
  <c r="AK669" i="25"/>
  <c r="AJ670" i="25"/>
  <c r="AK670" i="25"/>
  <c r="AJ671" i="25"/>
  <c r="AK671" i="25"/>
  <c r="AJ672" i="25"/>
  <c r="AK672" i="25"/>
  <c r="AJ673" i="25"/>
  <c r="AK673" i="25"/>
  <c r="AJ674" i="25"/>
  <c r="AK674" i="25"/>
  <c r="AJ675" i="25"/>
  <c r="AK675" i="25"/>
  <c r="AJ676" i="25"/>
  <c r="AK676" i="25"/>
  <c r="AJ677" i="25"/>
  <c r="AK677" i="25"/>
  <c r="AJ678" i="25"/>
  <c r="AK678" i="25"/>
  <c r="AJ679" i="25"/>
  <c r="AK679" i="25"/>
  <c r="AJ680" i="25"/>
  <c r="AK680" i="25"/>
  <c r="AJ681" i="25"/>
  <c r="AK681" i="25"/>
  <c r="AJ682" i="25"/>
  <c r="AK682" i="25"/>
  <c r="AJ683" i="25"/>
  <c r="AK683" i="25"/>
  <c r="AJ684" i="25"/>
  <c r="AK684" i="25"/>
  <c r="AJ685" i="25"/>
  <c r="AK685" i="25"/>
  <c r="AJ686" i="25"/>
  <c r="AK686" i="25"/>
  <c r="AJ687" i="25"/>
  <c r="AK687" i="25"/>
  <c r="AJ688" i="25"/>
  <c r="AK688" i="25"/>
  <c r="AJ689" i="25"/>
  <c r="AK689" i="25"/>
  <c r="AJ690" i="25"/>
  <c r="AK690" i="25"/>
  <c r="AJ691" i="25"/>
  <c r="AK691" i="25"/>
  <c r="AJ692" i="25"/>
  <c r="AK692" i="25"/>
  <c r="AJ693" i="25"/>
  <c r="AK693" i="25"/>
  <c r="AJ694" i="25"/>
  <c r="AK694" i="25"/>
  <c r="AJ695" i="25"/>
  <c r="AK695" i="25"/>
  <c r="AJ696" i="25"/>
  <c r="AK696" i="25"/>
  <c r="AJ697" i="25"/>
  <c r="AK697" i="25"/>
  <c r="AJ698" i="25"/>
  <c r="AK698" i="25"/>
  <c r="AJ699" i="25"/>
  <c r="AK699" i="25"/>
  <c r="AJ700" i="25"/>
  <c r="AK700" i="25"/>
  <c r="AJ701" i="25"/>
  <c r="AK701" i="25"/>
  <c r="AJ702" i="25"/>
  <c r="AK702" i="25"/>
  <c r="AJ703" i="25"/>
  <c r="AK703" i="25"/>
  <c r="AJ704" i="25"/>
  <c r="AK704" i="25"/>
  <c r="AJ705" i="25"/>
  <c r="AK705" i="25"/>
  <c r="AJ706" i="25"/>
  <c r="AK706" i="25"/>
  <c r="AJ707" i="25"/>
  <c r="AK707" i="25"/>
  <c r="AJ708" i="25"/>
  <c r="AK708" i="25"/>
  <c r="AJ709" i="25"/>
  <c r="AK709" i="25"/>
  <c r="AJ710" i="25"/>
  <c r="AK710" i="25"/>
  <c r="AJ711" i="25"/>
  <c r="AK711" i="25"/>
  <c r="AJ712" i="25"/>
  <c r="AK712" i="25"/>
  <c r="AJ713" i="25"/>
  <c r="AK713" i="25"/>
  <c r="AJ714" i="25"/>
  <c r="AK714" i="25"/>
  <c r="AJ715" i="25"/>
  <c r="AK715" i="25"/>
  <c r="AJ716" i="25"/>
  <c r="AK716" i="25"/>
  <c r="AJ717" i="25"/>
  <c r="AK717" i="25"/>
  <c r="AJ718" i="25"/>
  <c r="AK718" i="25"/>
  <c r="AJ719" i="25"/>
  <c r="AK719" i="25"/>
  <c r="AJ720" i="25"/>
  <c r="AK720" i="25"/>
  <c r="AJ721" i="25"/>
  <c r="AK721" i="25"/>
  <c r="AJ722" i="25"/>
  <c r="AK722" i="25"/>
  <c r="AJ723" i="25"/>
  <c r="AK723" i="25"/>
  <c r="AJ724" i="25"/>
  <c r="AK724" i="25"/>
  <c r="AJ725" i="25"/>
  <c r="AK725" i="25"/>
  <c r="AJ726" i="25"/>
  <c r="AK726" i="25"/>
  <c r="AJ727" i="25"/>
  <c r="AK727" i="25"/>
  <c r="AJ728" i="25"/>
  <c r="AK728" i="25"/>
  <c r="AJ729" i="25"/>
  <c r="AK729" i="25"/>
  <c r="AJ730" i="25"/>
  <c r="AK730" i="25"/>
  <c r="AJ731" i="25"/>
  <c r="AK731" i="25"/>
  <c r="AJ732" i="25"/>
  <c r="AK732" i="25"/>
  <c r="AJ733" i="25"/>
  <c r="AK733" i="25"/>
  <c r="AJ734" i="25"/>
  <c r="AK734" i="25"/>
  <c r="AJ735" i="25"/>
  <c r="AK735" i="25"/>
  <c r="AJ736" i="25"/>
  <c r="AK736" i="25"/>
  <c r="AJ737" i="25"/>
  <c r="AK737" i="25"/>
  <c r="AJ738" i="25"/>
  <c r="AK738" i="25"/>
  <c r="AJ739" i="25"/>
  <c r="AK739" i="25"/>
  <c r="AJ740" i="25"/>
  <c r="AK740" i="25"/>
  <c r="AJ741" i="25"/>
  <c r="AK741" i="25"/>
  <c r="AJ742" i="25"/>
  <c r="AK742" i="25"/>
  <c r="AJ743" i="25"/>
  <c r="AK743" i="25"/>
  <c r="AJ744" i="25"/>
  <c r="AK744" i="25"/>
  <c r="AJ745" i="25"/>
  <c r="AK745" i="25"/>
  <c r="AJ746" i="25"/>
  <c r="AK746" i="25"/>
  <c r="AJ747" i="25"/>
  <c r="AK747" i="25"/>
  <c r="AJ748" i="25"/>
  <c r="AK748" i="25"/>
  <c r="AJ749" i="25"/>
  <c r="AK749" i="25"/>
  <c r="AJ750" i="25"/>
  <c r="AK750" i="25"/>
  <c r="AJ751" i="25"/>
  <c r="AK751" i="25"/>
  <c r="AJ752" i="25"/>
  <c r="AK752" i="25"/>
  <c r="AJ753" i="25"/>
  <c r="AK753" i="25"/>
  <c r="AJ754" i="25"/>
  <c r="AK754" i="25"/>
  <c r="AJ755" i="25"/>
  <c r="AK755" i="25"/>
  <c r="AJ756" i="25"/>
  <c r="AK756" i="25"/>
  <c r="AJ757" i="25"/>
  <c r="AK757" i="25"/>
  <c r="AJ758" i="25"/>
  <c r="AK758" i="25"/>
  <c r="AJ759" i="25"/>
  <c r="AK759" i="25"/>
  <c r="AJ760" i="25"/>
  <c r="AK760" i="25"/>
  <c r="AJ761" i="25"/>
  <c r="AK761" i="25"/>
  <c r="AJ762" i="25"/>
  <c r="AK762" i="25"/>
  <c r="AJ763" i="25"/>
  <c r="AK763" i="25"/>
  <c r="AJ764" i="25"/>
  <c r="AK764" i="25"/>
  <c r="AJ765" i="25"/>
  <c r="AK765" i="25"/>
  <c r="AJ766" i="25"/>
  <c r="AK766" i="25"/>
  <c r="AJ767" i="25"/>
  <c r="AK767" i="25"/>
  <c r="AJ768" i="25"/>
  <c r="AK768" i="25"/>
  <c r="AJ769" i="25"/>
  <c r="AK769" i="25"/>
  <c r="AJ770" i="25"/>
  <c r="AK770" i="25"/>
  <c r="AJ771" i="25"/>
  <c r="AK771" i="25"/>
  <c r="AJ772" i="25"/>
  <c r="AK772" i="25"/>
  <c r="AJ773" i="25"/>
  <c r="AK773" i="25"/>
  <c r="AJ774" i="25"/>
  <c r="AK774" i="25"/>
  <c r="AJ775" i="25"/>
  <c r="AK775" i="25"/>
  <c r="AJ776" i="25"/>
  <c r="AK776" i="25"/>
  <c r="AJ777" i="25"/>
  <c r="AK777" i="25"/>
  <c r="AJ778" i="25"/>
  <c r="AK778" i="25"/>
  <c r="AJ779" i="25"/>
  <c r="AK779" i="25"/>
  <c r="AJ780" i="25"/>
  <c r="AK780" i="25"/>
  <c r="AJ781" i="25"/>
  <c r="AK781" i="25"/>
  <c r="AJ782" i="25"/>
  <c r="AK782" i="25"/>
  <c r="AJ783" i="25"/>
  <c r="AK783" i="25"/>
  <c r="AJ784" i="25"/>
  <c r="AK784" i="25"/>
  <c r="AJ785" i="25"/>
  <c r="AK785" i="25"/>
  <c r="AJ786" i="25"/>
  <c r="AK786" i="25"/>
  <c r="AJ787" i="25"/>
  <c r="AK787" i="25"/>
  <c r="AJ788" i="25"/>
  <c r="AK788" i="25"/>
  <c r="AJ789" i="25"/>
  <c r="AK789" i="25"/>
  <c r="AJ790" i="25"/>
  <c r="AK790" i="25"/>
  <c r="AJ791" i="25"/>
  <c r="AK791" i="25"/>
  <c r="AJ792" i="25"/>
  <c r="AK792" i="25"/>
  <c r="AJ793" i="25"/>
  <c r="AK793" i="25"/>
  <c r="AJ794" i="25"/>
  <c r="AK794" i="25"/>
  <c r="AJ795" i="25"/>
  <c r="AK795" i="25"/>
  <c r="AJ796" i="25"/>
  <c r="AK796" i="25"/>
  <c r="AJ797" i="25"/>
  <c r="AK797" i="25"/>
  <c r="AJ798" i="25"/>
  <c r="AK798" i="25"/>
  <c r="AJ799" i="25"/>
  <c r="AK799" i="25"/>
  <c r="AJ800" i="25"/>
  <c r="AK800" i="25"/>
  <c r="AJ801" i="25"/>
  <c r="AK801" i="25"/>
  <c r="AJ802" i="25"/>
  <c r="AK802" i="25"/>
  <c r="AJ803" i="25"/>
  <c r="AK803" i="25"/>
  <c r="AJ804" i="25"/>
  <c r="AK804" i="25"/>
  <c r="AJ805" i="25"/>
  <c r="AK805" i="25"/>
  <c r="AJ806" i="25"/>
  <c r="AK806" i="25"/>
  <c r="AJ807" i="25"/>
  <c r="AK807" i="25"/>
  <c r="AJ808" i="25"/>
  <c r="AK808" i="25"/>
  <c r="AJ809" i="25"/>
  <c r="AK809" i="25"/>
  <c r="AJ810" i="25"/>
  <c r="AK810" i="25"/>
  <c r="AJ811" i="25"/>
  <c r="AK811" i="25"/>
  <c r="AJ812" i="25"/>
  <c r="AK812" i="25"/>
  <c r="AJ813" i="25"/>
  <c r="AK813" i="25"/>
  <c r="AJ814" i="25"/>
  <c r="AK814" i="25"/>
  <c r="AJ815" i="25"/>
  <c r="AK815" i="25"/>
  <c r="AJ816" i="25"/>
  <c r="AK816" i="25"/>
  <c r="AJ817" i="25"/>
  <c r="AK817" i="25"/>
  <c r="AJ818" i="25"/>
  <c r="AK818" i="25"/>
  <c r="AJ819" i="25"/>
  <c r="AK819" i="25"/>
  <c r="AJ820" i="25"/>
  <c r="AK820" i="25"/>
  <c r="AJ821" i="25"/>
  <c r="AK821" i="25"/>
  <c r="AJ822" i="25"/>
  <c r="AK822" i="25"/>
  <c r="AJ823" i="25"/>
  <c r="AK823" i="25"/>
  <c r="AJ824" i="25"/>
  <c r="AK824" i="25"/>
  <c r="AJ825" i="25"/>
  <c r="AK825" i="25"/>
  <c r="AJ826" i="25"/>
  <c r="AK826" i="25"/>
  <c r="AJ827" i="25"/>
  <c r="AK827" i="25"/>
  <c r="AJ828" i="25"/>
  <c r="AK828" i="25"/>
  <c r="AJ829" i="25"/>
  <c r="AK829" i="25"/>
  <c r="AJ830" i="25"/>
  <c r="AK830" i="25"/>
  <c r="AJ831" i="25"/>
  <c r="AK831" i="25"/>
  <c r="AJ832" i="25"/>
  <c r="AK832" i="25"/>
  <c r="AJ833" i="25"/>
  <c r="AK833" i="25"/>
  <c r="AJ834" i="25"/>
  <c r="AK834" i="25"/>
  <c r="AJ835" i="25"/>
  <c r="AK835" i="25"/>
  <c r="AJ836" i="25"/>
  <c r="AK836" i="25"/>
  <c r="AJ837" i="25"/>
  <c r="AK837" i="25"/>
  <c r="AJ838" i="25"/>
  <c r="AK838" i="25"/>
  <c r="AJ839" i="25"/>
  <c r="AK839" i="25"/>
  <c r="AJ840" i="25"/>
  <c r="AK840" i="25"/>
  <c r="AJ841" i="25"/>
  <c r="AK841" i="25"/>
  <c r="AJ842" i="25"/>
  <c r="AK842" i="25"/>
  <c r="AJ843" i="25"/>
  <c r="AK843" i="25"/>
  <c r="AJ844" i="25"/>
  <c r="AK844" i="25"/>
  <c r="AJ845" i="25"/>
  <c r="AK845" i="25"/>
  <c r="AJ846" i="25"/>
  <c r="AK846" i="25"/>
  <c r="AJ847" i="25"/>
  <c r="AK847" i="25"/>
  <c r="AJ848" i="25"/>
  <c r="AK848" i="25"/>
  <c r="AJ849" i="25"/>
  <c r="AK849" i="25"/>
  <c r="AJ850" i="25"/>
  <c r="AK850" i="25"/>
  <c r="AJ851" i="25"/>
  <c r="AK851" i="25"/>
  <c r="AJ852" i="25"/>
  <c r="AK852" i="25"/>
  <c r="AJ853" i="25"/>
  <c r="AK853" i="25"/>
  <c r="AJ2" i="25"/>
  <c r="AK2" i="25"/>
  <c r="T818" i="25"/>
  <c r="T817" i="25"/>
  <c r="T443" i="25"/>
  <c r="T881" i="25"/>
  <c r="T880" i="25"/>
  <c r="T879" i="25"/>
  <c r="T878" i="25"/>
  <c r="T877" i="25"/>
  <c r="T876" i="25"/>
  <c r="T875" i="25"/>
  <c r="T874" i="25"/>
  <c r="T873" i="25"/>
  <c r="T872" i="25"/>
  <c r="T871" i="25"/>
  <c r="T870" i="25"/>
  <c r="T869" i="25"/>
  <c r="T868" i="25"/>
  <c r="T867" i="25"/>
  <c r="T866" i="25"/>
  <c r="T865" i="25"/>
  <c r="T864" i="25"/>
  <c r="T863" i="25"/>
  <c r="T862" i="25"/>
  <c r="T861" i="25"/>
  <c r="T860" i="25"/>
  <c r="T859" i="25"/>
  <c r="T858" i="25"/>
  <c r="T857" i="25"/>
  <c r="T856" i="25"/>
  <c r="T855" i="25"/>
  <c r="T854" i="25"/>
  <c r="T853" i="25"/>
  <c r="T852" i="25"/>
  <c r="T851" i="25"/>
  <c r="T850" i="25"/>
  <c r="T849" i="25"/>
  <c r="T848" i="25"/>
  <c r="T847" i="25"/>
  <c r="T846" i="25"/>
  <c r="T845" i="25"/>
  <c r="T844" i="25"/>
  <c r="T843" i="25"/>
  <c r="T842" i="25"/>
  <c r="T841" i="25"/>
  <c r="T840" i="25"/>
  <c r="T839" i="25"/>
  <c r="T838" i="25"/>
  <c r="T837" i="25"/>
  <c r="T836" i="25"/>
  <c r="T835" i="25"/>
  <c r="T834" i="25"/>
  <c r="T833" i="25"/>
  <c r="T832" i="25"/>
  <c r="T831" i="25"/>
  <c r="T830" i="25"/>
  <c r="T829" i="25"/>
  <c r="T828" i="25"/>
  <c r="T827" i="25"/>
  <c r="T826" i="25"/>
  <c r="T825" i="25"/>
  <c r="T824" i="25"/>
  <c r="T823" i="25"/>
  <c r="T822" i="25"/>
  <c r="T821" i="25"/>
  <c r="T820" i="25"/>
  <c r="T819" i="25"/>
  <c r="T816" i="25"/>
  <c r="T815" i="25"/>
  <c r="T814" i="25"/>
  <c r="T813" i="25"/>
  <c r="T812" i="25"/>
  <c r="T811" i="25"/>
  <c r="T810" i="25"/>
  <c r="T809" i="25"/>
  <c r="T808" i="25"/>
  <c r="T807" i="25"/>
  <c r="T806" i="25"/>
  <c r="T805" i="25"/>
  <c r="T804" i="25"/>
  <c r="T803" i="25"/>
  <c r="T802" i="25"/>
  <c r="T801" i="25"/>
  <c r="T800" i="25"/>
  <c r="T799" i="25"/>
  <c r="T798" i="25"/>
  <c r="T797" i="25"/>
  <c r="T796" i="25"/>
  <c r="T795" i="25"/>
  <c r="T794" i="25"/>
  <c r="T793" i="25"/>
  <c r="T792" i="25"/>
  <c r="T791" i="25"/>
  <c r="T790" i="25"/>
  <c r="T789" i="25"/>
  <c r="T788" i="25"/>
  <c r="T787" i="25"/>
  <c r="T786" i="25"/>
  <c r="T785" i="25"/>
  <c r="T784" i="25"/>
  <c r="T783" i="25"/>
  <c r="T782" i="25"/>
  <c r="T781" i="25"/>
  <c r="T780" i="25"/>
  <c r="T779" i="25"/>
  <c r="T778" i="25"/>
  <c r="T777" i="25"/>
  <c r="T776" i="25"/>
  <c r="T775" i="25"/>
  <c r="T774" i="25"/>
  <c r="T773" i="25"/>
  <c r="T772" i="25"/>
  <c r="T771" i="25"/>
  <c r="T770" i="25"/>
  <c r="T769" i="25"/>
  <c r="T768" i="25"/>
  <c r="T767" i="25"/>
  <c r="T766" i="25"/>
  <c r="T765" i="25"/>
  <c r="T764" i="25"/>
  <c r="T763" i="25"/>
  <c r="T762" i="25"/>
  <c r="T761" i="25"/>
  <c r="T760" i="25"/>
  <c r="T759" i="25"/>
  <c r="T758" i="25"/>
  <c r="T757" i="25"/>
  <c r="T756" i="25"/>
  <c r="T755" i="25"/>
  <c r="T754" i="25"/>
  <c r="T753" i="25"/>
  <c r="T752" i="25"/>
  <c r="T751" i="25"/>
  <c r="T750" i="25"/>
  <c r="T749" i="25"/>
  <c r="T748" i="25"/>
  <c r="T747" i="25"/>
  <c r="T746" i="25"/>
  <c r="T745" i="25"/>
  <c r="T744" i="25"/>
  <c r="T743" i="25"/>
  <c r="T742" i="25"/>
  <c r="T741" i="25"/>
  <c r="T740" i="25"/>
  <c r="T739" i="25"/>
  <c r="T738" i="25"/>
  <c r="T737" i="25"/>
  <c r="T736" i="25"/>
  <c r="T735" i="25"/>
  <c r="T734" i="25"/>
  <c r="T733" i="25"/>
  <c r="T732" i="25"/>
  <c r="T731" i="25"/>
  <c r="T730" i="25"/>
  <c r="T729" i="25"/>
  <c r="T728" i="25"/>
  <c r="T727" i="25"/>
  <c r="T726" i="25"/>
  <c r="T725" i="25"/>
  <c r="T724" i="25"/>
  <c r="T723" i="25"/>
  <c r="T722" i="25"/>
  <c r="T721" i="25"/>
  <c r="T720" i="25"/>
  <c r="T719" i="25"/>
  <c r="T718" i="25"/>
  <c r="T717" i="25"/>
  <c r="T716" i="25"/>
  <c r="T715" i="25"/>
  <c r="T714" i="25"/>
  <c r="T713" i="25"/>
  <c r="T712" i="25"/>
  <c r="T711" i="25"/>
  <c r="T710" i="25"/>
  <c r="T709" i="25"/>
  <c r="T708" i="25"/>
  <c r="T707" i="25"/>
  <c r="T706" i="25"/>
  <c r="T705" i="25"/>
  <c r="T704" i="25"/>
  <c r="T703" i="25"/>
  <c r="T702" i="25"/>
  <c r="T701" i="25"/>
  <c r="T700" i="25"/>
  <c r="T699" i="25"/>
  <c r="T698" i="25"/>
  <c r="T697" i="25"/>
  <c r="T696" i="25"/>
  <c r="T695" i="25"/>
  <c r="T694" i="25"/>
  <c r="T693" i="25"/>
  <c r="T692" i="25"/>
  <c r="T691" i="25"/>
  <c r="T690" i="25"/>
  <c r="T689" i="25"/>
  <c r="T688" i="25"/>
  <c r="T687" i="25"/>
  <c r="T686" i="25"/>
  <c r="T685" i="25"/>
  <c r="T684" i="25"/>
  <c r="T683" i="25"/>
  <c r="T682" i="25"/>
  <c r="T681" i="25"/>
  <c r="T680" i="25"/>
  <c r="T679" i="25"/>
  <c r="T678" i="25"/>
  <c r="T677" i="25"/>
  <c r="T676" i="25"/>
  <c r="T675" i="25"/>
  <c r="T674" i="25"/>
  <c r="T673" i="25"/>
  <c r="T672" i="25"/>
  <c r="T671" i="25"/>
  <c r="T670" i="25"/>
  <c r="T669" i="25"/>
  <c r="T668" i="25"/>
  <c r="T667" i="25"/>
  <c r="T666" i="25"/>
  <c r="T665" i="25"/>
  <c r="T664" i="25"/>
  <c r="T663" i="25"/>
  <c r="T662" i="25"/>
  <c r="T661" i="25"/>
  <c r="T660" i="25"/>
  <c r="T659" i="25"/>
  <c r="T658" i="25"/>
  <c r="T657" i="25"/>
  <c r="T656" i="25"/>
  <c r="T655" i="25"/>
  <c r="T654" i="25"/>
  <c r="T653" i="25"/>
  <c r="T652" i="25"/>
  <c r="T651" i="25"/>
  <c r="T650" i="25"/>
  <c r="T649" i="25"/>
  <c r="T648" i="25"/>
  <c r="T647" i="25"/>
  <c r="T646" i="25"/>
  <c r="T645" i="25"/>
  <c r="T644" i="25"/>
  <c r="T643" i="25"/>
  <c r="T642" i="25"/>
  <c r="T641" i="25"/>
  <c r="T640" i="25"/>
  <c r="T639" i="25"/>
  <c r="T638" i="25"/>
  <c r="T637" i="25"/>
  <c r="T636" i="25"/>
  <c r="T635" i="25"/>
  <c r="T634" i="25"/>
  <c r="T633" i="25"/>
  <c r="T632" i="25"/>
  <c r="T631" i="25"/>
  <c r="T630" i="25"/>
  <c r="T629" i="25"/>
  <c r="T628" i="25"/>
  <c r="T627" i="25"/>
  <c r="T626" i="25"/>
  <c r="T625" i="25"/>
  <c r="T624" i="25"/>
  <c r="T623" i="25"/>
  <c r="T622" i="25"/>
  <c r="T621" i="25"/>
  <c r="T620" i="25"/>
  <c r="T619" i="25"/>
  <c r="T618" i="25"/>
  <c r="T617" i="25"/>
  <c r="T616" i="25"/>
  <c r="T615" i="25"/>
  <c r="T614" i="25"/>
  <c r="T613" i="25"/>
  <c r="T612" i="25"/>
  <c r="T611" i="25"/>
  <c r="T610" i="25"/>
  <c r="T609" i="25"/>
  <c r="T608" i="25"/>
  <c r="T607" i="25"/>
  <c r="T606" i="25"/>
  <c r="T605" i="25"/>
  <c r="T604" i="25"/>
  <c r="T603" i="25"/>
  <c r="T602" i="25"/>
  <c r="T601" i="25"/>
  <c r="T600" i="25"/>
  <c r="T599" i="25"/>
  <c r="T598" i="25"/>
  <c r="T597" i="25"/>
  <c r="T596" i="25"/>
  <c r="T595" i="25"/>
  <c r="T594" i="25"/>
  <c r="T593" i="25"/>
  <c r="T592" i="25"/>
  <c r="T591" i="25"/>
  <c r="T590" i="25"/>
  <c r="T589" i="25"/>
  <c r="T588" i="25"/>
  <c r="T587" i="25"/>
  <c r="T586" i="25"/>
  <c r="T585" i="25"/>
  <c r="T584" i="25"/>
  <c r="T583" i="25"/>
  <c r="T582" i="25"/>
  <c r="T581" i="25"/>
  <c r="T580" i="25"/>
  <c r="T579" i="25"/>
  <c r="T578" i="25"/>
  <c r="T577" i="25"/>
  <c r="T576" i="25"/>
  <c r="T575" i="25"/>
  <c r="T574" i="25"/>
  <c r="T573" i="25"/>
  <c r="T572" i="25"/>
  <c r="T571" i="25"/>
  <c r="T570" i="25"/>
  <c r="T569" i="25"/>
  <c r="T568" i="25"/>
  <c r="T567" i="25"/>
  <c r="T566" i="25"/>
  <c r="T565" i="25"/>
  <c r="T564" i="25"/>
  <c r="T563" i="25"/>
  <c r="T562" i="25"/>
  <c r="T561" i="25"/>
  <c r="T560" i="25"/>
  <c r="T559" i="25"/>
  <c r="T558" i="25"/>
  <c r="T557" i="25"/>
  <c r="T556" i="25"/>
  <c r="T555" i="25"/>
  <c r="T554" i="25"/>
  <c r="T553" i="25"/>
  <c r="T552" i="25"/>
  <c r="T551" i="25"/>
  <c r="T550" i="25"/>
  <c r="T549" i="25"/>
  <c r="T548" i="25"/>
  <c r="T547" i="25"/>
  <c r="T546" i="25"/>
  <c r="T545" i="25"/>
  <c r="T544" i="25"/>
  <c r="T543" i="25"/>
  <c r="T542" i="25"/>
  <c r="T541" i="25"/>
  <c r="T540" i="25"/>
  <c r="T539" i="25"/>
  <c r="T538" i="25"/>
  <c r="T537" i="25"/>
  <c r="T536" i="25"/>
  <c r="T535" i="25"/>
  <c r="T534" i="25"/>
  <c r="T533" i="25"/>
  <c r="T532" i="25"/>
  <c r="T531" i="25"/>
  <c r="T530" i="25"/>
  <c r="T529" i="25"/>
  <c r="T528" i="25"/>
  <c r="T527" i="25"/>
  <c r="T526" i="25"/>
  <c r="T525" i="25"/>
  <c r="T524" i="25"/>
  <c r="T523" i="25"/>
  <c r="T522" i="25"/>
  <c r="T521" i="25"/>
  <c r="T520" i="25"/>
  <c r="T519" i="25"/>
  <c r="T518" i="25"/>
  <c r="T517" i="25"/>
  <c r="T516" i="25"/>
  <c r="T515" i="25"/>
  <c r="T514" i="25"/>
  <c r="T513" i="25"/>
  <c r="T512" i="25"/>
  <c r="T511" i="25"/>
  <c r="T510" i="25"/>
  <c r="T509" i="25"/>
  <c r="T508" i="25"/>
  <c r="T507" i="25"/>
  <c r="T506" i="25"/>
  <c r="T505" i="25"/>
  <c r="T504" i="25"/>
  <c r="T503" i="25"/>
  <c r="T502" i="25"/>
  <c r="T501" i="25"/>
  <c r="T500" i="25"/>
  <c r="T499" i="25"/>
  <c r="T498" i="25"/>
  <c r="T497" i="25"/>
  <c r="T496" i="25"/>
  <c r="T495" i="25"/>
  <c r="T494" i="25"/>
  <c r="T493" i="25"/>
  <c r="T492" i="25"/>
  <c r="T491" i="25"/>
  <c r="T490" i="25"/>
  <c r="T489" i="25"/>
  <c r="T488" i="25"/>
  <c r="T487" i="25"/>
  <c r="T486" i="25"/>
  <c r="T485" i="25"/>
  <c r="T484" i="25"/>
  <c r="T483" i="25"/>
  <c r="T482" i="25"/>
  <c r="T481" i="25"/>
  <c r="T480" i="25"/>
  <c r="T479" i="25"/>
  <c r="T478" i="25"/>
  <c r="T477" i="25"/>
  <c r="T476" i="25"/>
  <c r="T475" i="25"/>
  <c r="T474" i="25"/>
  <c r="T473" i="25"/>
  <c r="T472" i="25"/>
  <c r="T471" i="25"/>
  <c r="T470" i="25"/>
  <c r="T469" i="25"/>
  <c r="T468" i="25"/>
  <c r="T467" i="25"/>
  <c r="T466" i="25"/>
  <c r="T465" i="25"/>
  <c r="T464" i="25"/>
  <c r="T463" i="25"/>
  <c r="T462" i="25"/>
  <c r="T461" i="25"/>
  <c r="T460" i="25"/>
  <c r="T459" i="25"/>
  <c r="T458" i="25"/>
  <c r="T457" i="25"/>
  <c r="T456" i="25"/>
  <c r="T455" i="25"/>
  <c r="T454" i="25"/>
  <c r="T453" i="25"/>
  <c r="T452" i="25"/>
  <c r="T451" i="25"/>
  <c r="T450" i="25"/>
  <c r="T449" i="25"/>
  <c r="T448" i="25"/>
  <c r="T447" i="25"/>
  <c r="T446" i="25"/>
  <c r="T445" i="25"/>
  <c r="T444" i="25"/>
  <c r="T442" i="25"/>
  <c r="T223" i="25"/>
  <c r="T224" i="25"/>
  <c r="T225" i="25"/>
  <c r="T226" i="25"/>
  <c r="T227" i="25"/>
  <c r="T228" i="25"/>
  <c r="T229" i="25"/>
  <c r="T230" i="25"/>
  <c r="T231" i="25"/>
  <c r="T232" i="25"/>
  <c r="T233" i="25"/>
  <c r="T234" i="25"/>
  <c r="T235" i="25"/>
  <c r="T236" i="25"/>
  <c r="T237" i="25"/>
  <c r="T238" i="25"/>
  <c r="T239" i="25"/>
  <c r="T240" i="25"/>
  <c r="T241" i="25"/>
  <c r="T242" i="25"/>
  <c r="T243" i="25"/>
  <c r="T244" i="25"/>
  <c r="T245" i="25"/>
  <c r="T246" i="25"/>
  <c r="T247" i="25"/>
  <c r="T248" i="25"/>
  <c r="T249" i="25"/>
  <c r="T250" i="25"/>
  <c r="T251" i="25"/>
  <c r="T252" i="25"/>
  <c r="T253" i="25"/>
  <c r="T254" i="25"/>
  <c r="T255" i="25"/>
  <c r="T256" i="25"/>
  <c r="T257" i="25"/>
  <c r="T258" i="25"/>
  <c r="T259" i="25"/>
  <c r="T260" i="25"/>
  <c r="T261" i="25"/>
  <c r="T262" i="25"/>
  <c r="T263" i="25"/>
  <c r="T264" i="25"/>
  <c r="T265" i="25"/>
  <c r="T266" i="25"/>
  <c r="T267" i="25"/>
  <c r="T268" i="25"/>
  <c r="T269" i="25"/>
  <c r="T270" i="25"/>
  <c r="T271" i="25"/>
  <c r="T272" i="25"/>
  <c r="T273" i="25"/>
  <c r="T274" i="25"/>
  <c r="T275" i="25"/>
  <c r="T276" i="25"/>
  <c r="T277" i="25"/>
  <c r="T278" i="25"/>
  <c r="T279" i="25"/>
  <c r="T280" i="25"/>
  <c r="T281" i="25"/>
  <c r="T282" i="25"/>
  <c r="T283" i="25"/>
  <c r="T284" i="25"/>
  <c r="T285" i="25"/>
  <c r="T286" i="25"/>
  <c r="T287" i="25"/>
  <c r="T288" i="25"/>
  <c r="T289" i="25"/>
  <c r="T290" i="25"/>
  <c r="T291" i="25"/>
  <c r="T292" i="25"/>
  <c r="T293" i="25"/>
  <c r="T294" i="25"/>
  <c r="T295" i="25"/>
  <c r="T296" i="25"/>
  <c r="T297" i="25"/>
  <c r="T298" i="25"/>
  <c r="T299" i="25"/>
  <c r="T300" i="25"/>
  <c r="T301" i="25"/>
  <c r="T302" i="25"/>
  <c r="T303" i="25"/>
  <c r="T304" i="25"/>
  <c r="T305" i="25"/>
  <c r="T306" i="25"/>
  <c r="T307" i="25"/>
  <c r="T308" i="25"/>
  <c r="T309" i="25"/>
  <c r="T310" i="25"/>
  <c r="T311" i="25"/>
  <c r="T312" i="25"/>
  <c r="T313" i="25"/>
  <c r="T314" i="25"/>
  <c r="T315" i="25"/>
  <c r="T316" i="25"/>
  <c r="T317" i="25"/>
  <c r="T318" i="25"/>
  <c r="T319" i="25"/>
  <c r="T320" i="25"/>
  <c r="T321" i="25"/>
  <c r="T322" i="25"/>
  <c r="T323" i="25"/>
  <c r="T324" i="25"/>
  <c r="T325" i="25"/>
  <c r="T326" i="25"/>
  <c r="T327" i="25"/>
  <c r="T328" i="25"/>
  <c r="T329" i="25"/>
  <c r="T330" i="25"/>
  <c r="T331" i="25"/>
  <c r="T332" i="25"/>
  <c r="T333" i="25"/>
  <c r="T334" i="25"/>
  <c r="T335" i="25"/>
  <c r="T336" i="25"/>
  <c r="T337" i="25"/>
  <c r="T338" i="25"/>
  <c r="T339" i="25"/>
  <c r="T340" i="25"/>
  <c r="T341" i="25"/>
  <c r="T342" i="25"/>
  <c r="T343" i="25"/>
  <c r="T344" i="25"/>
  <c r="T345" i="25"/>
  <c r="T346" i="25"/>
  <c r="T347" i="25"/>
  <c r="T348" i="25"/>
  <c r="T349" i="25"/>
  <c r="T350" i="25"/>
  <c r="T351" i="25"/>
  <c r="T352" i="25"/>
  <c r="T353" i="25"/>
  <c r="T354" i="25"/>
  <c r="T355" i="25"/>
  <c r="T356" i="25"/>
  <c r="T357" i="25"/>
  <c r="T358" i="25"/>
  <c r="T359" i="25"/>
  <c r="T360" i="25"/>
  <c r="T361" i="25"/>
  <c r="T362" i="25"/>
  <c r="T363" i="25"/>
  <c r="T364" i="25"/>
  <c r="T365" i="25"/>
  <c r="T366" i="25"/>
  <c r="T367" i="25"/>
  <c r="T368" i="25"/>
  <c r="T369" i="25"/>
  <c r="T370" i="25"/>
  <c r="T371" i="25"/>
  <c r="T372" i="25"/>
  <c r="T373" i="25"/>
  <c r="T374" i="25"/>
  <c r="T375" i="25"/>
  <c r="T376" i="25"/>
  <c r="T377" i="25"/>
  <c r="T378" i="25"/>
  <c r="T379" i="25"/>
  <c r="T380" i="25"/>
  <c r="T381" i="25"/>
  <c r="T382" i="25"/>
  <c r="T383" i="25"/>
  <c r="T384" i="25"/>
  <c r="T385" i="25"/>
  <c r="T386" i="25"/>
  <c r="T387" i="25"/>
  <c r="T388" i="25"/>
  <c r="T389" i="25"/>
  <c r="T390" i="25"/>
  <c r="T391" i="25"/>
  <c r="T392" i="25"/>
  <c r="T393" i="25"/>
  <c r="T394" i="25"/>
  <c r="T395" i="25"/>
  <c r="T396" i="25"/>
  <c r="T397" i="25"/>
  <c r="T398" i="25"/>
  <c r="T399" i="25"/>
  <c r="T400" i="25"/>
  <c r="T401" i="25"/>
  <c r="T402" i="25"/>
  <c r="T403" i="25"/>
  <c r="T404" i="25"/>
  <c r="T405" i="25"/>
  <c r="T406" i="25"/>
  <c r="T407" i="25"/>
  <c r="T408" i="25"/>
  <c r="T409" i="25"/>
  <c r="T410" i="25"/>
  <c r="T411" i="25"/>
  <c r="T412" i="25"/>
  <c r="T413" i="25"/>
  <c r="T414" i="25"/>
  <c r="T415" i="25"/>
  <c r="T416" i="25"/>
  <c r="T417" i="25"/>
  <c r="T418" i="25"/>
  <c r="T419" i="25"/>
  <c r="T420" i="25"/>
  <c r="T421" i="25"/>
  <c r="T422" i="25"/>
  <c r="T423" i="25"/>
  <c r="T424" i="25"/>
  <c r="T425" i="25"/>
  <c r="T426" i="25"/>
  <c r="T427" i="25"/>
  <c r="T428" i="25"/>
  <c r="T429" i="25"/>
  <c r="T430" i="25"/>
  <c r="T431" i="25"/>
  <c r="T432" i="25"/>
  <c r="T433" i="25"/>
  <c r="T434" i="25"/>
  <c r="T435" i="25"/>
  <c r="T436" i="25"/>
  <c r="T437" i="25"/>
  <c r="T438" i="25"/>
  <c r="T439" i="25"/>
  <c r="T440" i="25"/>
  <c r="T441" i="25"/>
  <c r="T222" i="25"/>
  <c r="T18" i="25"/>
  <c r="T19" i="25"/>
  <c r="T20" i="25"/>
  <c r="T21" i="25"/>
  <c r="T22" i="25"/>
  <c r="T23" i="25"/>
  <c r="T24" i="25"/>
  <c r="T25" i="25"/>
  <c r="T26" i="25"/>
  <c r="T27" i="25"/>
  <c r="T28" i="25"/>
  <c r="T29" i="25"/>
  <c r="T30" i="25"/>
  <c r="T31" i="25"/>
  <c r="T32" i="25"/>
  <c r="T33" i="25"/>
  <c r="T34" i="25"/>
  <c r="T35" i="25"/>
  <c r="T36" i="25"/>
  <c r="T37" i="25"/>
  <c r="T38" i="25"/>
  <c r="T39" i="25"/>
  <c r="T40" i="25"/>
  <c r="T41" i="25"/>
  <c r="T42" i="25"/>
  <c r="T43" i="25"/>
  <c r="T44" i="25"/>
  <c r="T45" i="25"/>
  <c r="T46" i="25"/>
  <c r="T47" i="25"/>
  <c r="T48" i="25"/>
  <c r="T49" i="25"/>
  <c r="T50" i="25"/>
  <c r="T51" i="25"/>
  <c r="T52" i="25"/>
  <c r="T53" i="25"/>
  <c r="T54" i="25"/>
  <c r="T55" i="25"/>
  <c r="T56" i="25"/>
  <c r="T57" i="25"/>
  <c r="T58" i="25"/>
  <c r="T59" i="25"/>
  <c r="T60" i="25"/>
  <c r="T61" i="25"/>
  <c r="T62" i="25"/>
  <c r="T63" i="25"/>
  <c r="T64" i="25"/>
  <c r="T65" i="25"/>
  <c r="T66" i="25"/>
  <c r="T67" i="25"/>
  <c r="T68" i="25"/>
  <c r="T69" i="25"/>
  <c r="T70" i="25"/>
  <c r="T71" i="25"/>
  <c r="T72" i="25"/>
  <c r="T73" i="25"/>
  <c r="T74" i="25"/>
  <c r="T75" i="25"/>
  <c r="T76" i="25"/>
  <c r="T77" i="25"/>
  <c r="T78" i="25"/>
  <c r="T79" i="25"/>
  <c r="T80" i="25"/>
  <c r="T81" i="25"/>
  <c r="T82" i="25"/>
  <c r="T83" i="25"/>
  <c r="T84" i="25"/>
  <c r="T85" i="25"/>
  <c r="T86" i="25"/>
  <c r="T87" i="25"/>
  <c r="T88" i="25"/>
  <c r="T89" i="25"/>
  <c r="T90" i="25"/>
  <c r="T91" i="25"/>
  <c r="T92" i="25"/>
  <c r="T93" i="25"/>
  <c r="T94" i="25"/>
  <c r="T95" i="25"/>
  <c r="T96" i="25"/>
  <c r="T97" i="25"/>
  <c r="T98" i="25"/>
  <c r="T99" i="25"/>
  <c r="T100" i="25"/>
  <c r="T101" i="25"/>
  <c r="T102" i="25"/>
  <c r="T103" i="25"/>
  <c r="T104" i="25"/>
  <c r="T105" i="25"/>
  <c r="T106" i="25"/>
  <c r="T107" i="25"/>
  <c r="T108" i="25"/>
  <c r="T109" i="25"/>
  <c r="T110" i="25"/>
  <c r="T111" i="25"/>
  <c r="T112" i="25"/>
  <c r="T113" i="25"/>
  <c r="T114" i="25"/>
  <c r="T115" i="25"/>
  <c r="T116" i="25"/>
  <c r="T117" i="25"/>
  <c r="T118" i="25"/>
  <c r="T119" i="25"/>
  <c r="T120" i="25"/>
  <c r="T121" i="25"/>
  <c r="T122" i="25"/>
  <c r="T123" i="25"/>
  <c r="T124" i="25"/>
  <c r="T125" i="25"/>
  <c r="T126" i="25"/>
  <c r="T127" i="25"/>
  <c r="T128" i="25"/>
  <c r="T129" i="25"/>
  <c r="T130" i="25"/>
  <c r="T131" i="25"/>
  <c r="T132" i="25"/>
  <c r="T133" i="25"/>
  <c r="T134" i="25"/>
  <c r="T135" i="25"/>
  <c r="T136" i="25"/>
  <c r="T137" i="25"/>
  <c r="T138" i="25"/>
  <c r="T139" i="25"/>
  <c r="T140" i="25"/>
  <c r="T141" i="25"/>
  <c r="T142" i="25"/>
  <c r="T143" i="25"/>
  <c r="T144" i="25"/>
  <c r="T145" i="25"/>
  <c r="T146" i="25"/>
  <c r="T147" i="25"/>
  <c r="T148" i="25"/>
  <c r="T149" i="25"/>
  <c r="T150" i="25"/>
  <c r="T151" i="25"/>
  <c r="T152" i="25"/>
  <c r="T153" i="25"/>
  <c r="T154" i="25"/>
  <c r="T155" i="25"/>
  <c r="T156" i="25"/>
  <c r="T157" i="25"/>
  <c r="T158" i="25"/>
  <c r="T159" i="25"/>
  <c r="T160" i="25"/>
  <c r="T161" i="25"/>
  <c r="T162" i="25"/>
  <c r="T163" i="25"/>
  <c r="T164" i="25"/>
  <c r="T165" i="25"/>
  <c r="T166" i="25"/>
  <c r="T167" i="25"/>
  <c r="T168" i="25"/>
  <c r="T169" i="25"/>
  <c r="T170" i="25"/>
  <c r="T171" i="25"/>
  <c r="T172" i="25"/>
  <c r="T173" i="25"/>
  <c r="T174" i="25"/>
  <c r="T175" i="25"/>
  <c r="T176" i="25"/>
  <c r="T177" i="25"/>
  <c r="T178" i="25"/>
  <c r="T179" i="25"/>
  <c r="T180" i="25"/>
  <c r="T181" i="25"/>
  <c r="T182" i="25"/>
  <c r="T183" i="25"/>
  <c r="T184" i="25"/>
  <c r="T185" i="25"/>
  <c r="T186" i="25"/>
  <c r="T187" i="25"/>
  <c r="T188" i="25"/>
  <c r="T189" i="25"/>
  <c r="T190" i="25"/>
  <c r="T191" i="25"/>
  <c r="T192" i="25"/>
  <c r="T193" i="25"/>
  <c r="T194" i="25"/>
  <c r="T195" i="25"/>
  <c r="T196" i="25"/>
  <c r="T197" i="25"/>
  <c r="T198" i="25"/>
  <c r="T199" i="25"/>
  <c r="T200" i="25"/>
  <c r="T201" i="25"/>
  <c r="T202" i="25"/>
  <c r="T203" i="25"/>
  <c r="T204" i="25"/>
  <c r="T205" i="25"/>
  <c r="T206" i="25"/>
  <c r="T207" i="25"/>
  <c r="T208" i="25"/>
  <c r="T209" i="25"/>
  <c r="T210" i="25"/>
  <c r="T211" i="25"/>
  <c r="T212" i="25"/>
  <c r="T213" i="25"/>
  <c r="T214" i="25"/>
  <c r="T215" i="25"/>
  <c r="T216" i="25"/>
  <c r="T217" i="25"/>
  <c r="T218" i="25"/>
  <c r="T219" i="25"/>
  <c r="T220" i="25"/>
  <c r="T221" i="25"/>
  <c r="T3" i="25"/>
  <c r="T4" i="25"/>
  <c r="T5" i="25"/>
  <c r="T6" i="25"/>
  <c r="T7" i="25"/>
  <c r="T8" i="25"/>
  <c r="T9" i="25"/>
  <c r="T10" i="25"/>
  <c r="T11" i="25"/>
  <c r="T12" i="25"/>
  <c r="T13" i="25"/>
  <c r="T14" i="25"/>
  <c r="T15" i="25"/>
  <c r="T16" i="25"/>
  <c r="T17" i="25"/>
  <c r="T2" i="25"/>
  <c r="S4" i="25"/>
  <c r="AD222" i="25"/>
  <c r="AE222" i="25"/>
  <c r="AF222" i="25"/>
  <c r="AG222" i="25"/>
  <c r="AD442" i="25"/>
  <c r="AE442" i="25"/>
  <c r="AF442" i="25"/>
  <c r="AG442" i="25"/>
  <c r="AD663" i="25"/>
  <c r="AE663" i="25"/>
  <c r="AF663" i="25"/>
  <c r="AG663" i="25"/>
  <c r="AD664" i="25"/>
  <c r="AE664" i="25"/>
  <c r="AF664" i="25"/>
  <c r="AG664" i="25"/>
  <c r="AD665" i="25"/>
  <c r="AE665" i="25"/>
  <c r="AF665" i="25"/>
  <c r="AG665" i="25"/>
  <c r="AD666" i="25"/>
  <c r="AE666" i="25"/>
  <c r="AF666" i="25"/>
  <c r="AG666" i="25"/>
  <c r="AD667" i="25"/>
  <c r="AE667" i="25"/>
  <c r="AF667" i="25"/>
  <c r="AG667" i="25"/>
  <c r="AD668" i="25"/>
  <c r="AE668" i="25"/>
  <c r="AF668" i="25"/>
  <c r="AG668" i="25"/>
  <c r="AD669" i="25"/>
  <c r="AE669" i="25"/>
  <c r="AF669" i="25"/>
  <c r="AG669" i="25"/>
  <c r="AD670" i="25"/>
  <c r="AE670" i="25"/>
  <c r="AF670" i="25"/>
  <c r="AG670" i="25"/>
  <c r="AD671" i="25"/>
  <c r="AE671" i="25"/>
  <c r="AF671" i="25"/>
  <c r="AG671" i="25"/>
  <c r="AD672" i="25"/>
  <c r="AE672" i="25"/>
  <c r="AF672" i="25"/>
  <c r="AG672" i="25"/>
  <c r="AD673" i="25"/>
  <c r="AE673" i="25"/>
  <c r="AF673" i="25"/>
  <c r="AG673" i="25"/>
  <c r="AD674" i="25"/>
  <c r="AE674" i="25"/>
  <c r="AF674" i="25"/>
  <c r="AG674" i="25"/>
  <c r="AD675" i="25"/>
  <c r="AE675" i="25"/>
  <c r="AF675" i="25"/>
  <c r="AG675" i="25"/>
  <c r="AD676" i="25"/>
  <c r="AE676" i="25"/>
  <c r="AF676" i="25"/>
  <c r="AG676" i="25"/>
  <c r="AD677" i="25"/>
  <c r="AE677" i="25"/>
  <c r="AF677" i="25"/>
  <c r="AG677" i="25"/>
  <c r="AD678" i="25"/>
  <c r="AE678" i="25"/>
  <c r="AF678" i="25"/>
  <c r="AG678" i="25"/>
  <c r="AD679" i="25"/>
  <c r="AE679" i="25"/>
  <c r="AF679" i="25"/>
  <c r="AG679" i="25"/>
  <c r="AD680" i="25"/>
  <c r="AE680" i="25"/>
  <c r="AF680" i="25"/>
  <c r="AG680" i="25"/>
  <c r="AD681" i="25"/>
  <c r="AE681" i="25"/>
  <c r="AF681" i="25"/>
  <c r="AG681" i="25"/>
  <c r="AD682" i="25"/>
  <c r="AE682" i="25"/>
  <c r="AF682" i="25"/>
  <c r="AG682" i="25"/>
  <c r="AD683" i="25"/>
  <c r="AE683" i="25"/>
  <c r="AF683" i="25"/>
  <c r="AG683" i="25"/>
  <c r="AD684" i="25"/>
  <c r="AE684" i="25"/>
  <c r="AF684" i="25"/>
  <c r="AG684" i="25"/>
  <c r="AD685" i="25"/>
  <c r="AE685" i="25"/>
  <c r="AF685" i="25"/>
  <c r="AG685" i="25"/>
  <c r="AD686" i="25"/>
  <c r="AE686" i="25"/>
  <c r="AF686" i="25"/>
  <c r="AG686" i="25"/>
  <c r="AD687" i="25"/>
  <c r="AE687" i="25"/>
  <c r="AF687" i="25"/>
  <c r="AG687" i="25"/>
  <c r="AD688" i="25"/>
  <c r="AE688" i="25"/>
  <c r="AF688" i="25"/>
  <c r="AG688" i="25"/>
  <c r="AD689" i="25"/>
  <c r="AE689" i="25"/>
  <c r="AF689" i="25"/>
  <c r="AG689" i="25"/>
  <c r="AD690" i="25"/>
  <c r="AE690" i="25"/>
  <c r="AF690" i="25"/>
  <c r="AG690" i="25"/>
  <c r="AD691" i="25"/>
  <c r="AE691" i="25"/>
  <c r="AF691" i="25"/>
  <c r="AG691" i="25"/>
  <c r="AD692" i="25"/>
  <c r="AE692" i="25"/>
  <c r="AF692" i="25"/>
  <c r="AG692" i="25"/>
  <c r="AD693" i="25"/>
  <c r="AE693" i="25"/>
  <c r="AF693" i="25"/>
  <c r="AG693" i="25"/>
  <c r="AD694" i="25"/>
  <c r="AE694" i="25"/>
  <c r="AF694" i="25"/>
  <c r="AG694" i="25"/>
  <c r="AD695" i="25"/>
  <c r="AE695" i="25"/>
  <c r="AF695" i="25"/>
  <c r="AG695" i="25"/>
  <c r="AD696" i="25"/>
  <c r="AE696" i="25"/>
  <c r="AF696" i="25"/>
  <c r="AG696" i="25"/>
  <c r="AD697" i="25"/>
  <c r="AE697" i="25"/>
  <c r="AF697" i="25"/>
  <c r="AG697" i="25"/>
  <c r="AD698" i="25"/>
  <c r="AE698" i="25"/>
  <c r="AF698" i="25"/>
  <c r="AG698" i="25"/>
  <c r="AD699" i="25"/>
  <c r="AE699" i="25"/>
  <c r="AF699" i="25"/>
  <c r="AG699" i="25"/>
  <c r="AD700" i="25"/>
  <c r="AE700" i="25"/>
  <c r="AF700" i="25"/>
  <c r="AG700" i="25"/>
  <c r="AD701" i="25"/>
  <c r="AE701" i="25"/>
  <c r="AF701" i="25"/>
  <c r="AG701" i="25"/>
  <c r="AD702" i="25"/>
  <c r="AE702" i="25"/>
  <c r="AF702" i="25"/>
  <c r="AG702" i="25"/>
  <c r="AD703" i="25"/>
  <c r="AE703" i="25"/>
  <c r="AF703" i="25"/>
  <c r="AG703" i="25"/>
  <c r="AD704" i="25"/>
  <c r="AE704" i="25"/>
  <c r="AF704" i="25"/>
  <c r="AG704" i="25"/>
  <c r="AD705" i="25"/>
  <c r="AE705" i="25"/>
  <c r="AF705" i="25"/>
  <c r="AG705" i="25"/>
  <c r="AD706" i="25"/>
  <c r="AE706" i="25"/>
  <c r="AF706" i="25"/>
  <c r="AG706" i="25"/>
  <c r="AD707" i="25"/>
  <c r="AE707" i="25"/>
  <c r="AF707" i="25"/>
  <c r="AG707" i="25"/>
  <c r="AD708" i="25"/>
  <c r="AE708" i="25"/>
  <c r="AF708" i="25"/>
  <c r="AG708" i="25"/>
  <c r="AD709" i="25"/>
  <c r="AE709" i="25"/>
  <c r="AF709" i="25"/>
  <c r="AG709" i="25"/>
  <c r="AD710" i="25"/>
  <c r="AE710" i="25"/>
  <c r="AF710" i="25"/>
  <c r="AG710" i="25"/>
  <c r="AD711" i="25"/>
  <c r="AE711" i="25"/>
  <c r="AF711" i="25"/>
  <c r="AG711" i="25"/>
  <c r="AD712" i="25"/>
  <c r="AE712" i="25"/>
  <c r="AF712" i="25"/>
  <c r="AG712" i="25"/>
  <c r="AD713" i="25"/>
  <c r="AE713" i="25"/>
  <c r="AF713" i="25"/>
  <c r="AG713" i="25"/>
  <c r="AD714" i="25"/>
  <c r="AE714" i="25"/>
  <c r="AF714" i="25"/>
  <c r="AG714" i="25"/>
  <c r="AD715" i="25"/>
  <c r="AE715" i="25"/>
  <c r="AF715" i="25"/>
  <c r="AG715" i="25"/>
  <c r="AD716" i="25"/>
  <c r="AE716" i="25"/>
  <c r="AF716" i="25"/>
  <c r="AG716" i="25"/>
  <c r="AD717" i="25"/>
  <c r="AE717" i="25"/>
  <c r="AF717" i="25"/>
  <c r="AG717" i="25"/>
  <c r="AD718" i="25"/>
  <c r="AE718" i="25"/>
  <c r="AF718" i="25"/>
  <c r="AG718" i="25"/>
  <c r="AD719" i="25"/>
  <c r="AE719" i="25"/>
  <c r="AF719" i="25"/>
  <c r="AG719" i="25"/>
  <c r="AD720" i="25"/>
  <c r="AE720" i="25"/>
  <c r="AF720" i="25"/>
  <c r="AG720" i="25"/>
  <c r="AD721" i="25"/>
  <c r="AE721" i="25"/>
  <c r="AF721" i="25"/>
  <c r="AG721" i="25"/>
  <c r="AD722" i="25"/>
  <c r="AE722" i="25"/>
  <c r="AF722" i="25"/>
  <c r="AG722" i="25"/>
  <c r="AD723" i="25"/>
  <c r="AE723" i="25"/>
  <c r="AF723" i="25"/>
  <c r="AG723" i="25"/>
  <c r="AD724" i="25"/>
  <c r="AE724" i="25"/>
  <c r="AF724" i="25"/>
  <c r="AG724" i="25"/>
  <c r="AD725" i="25"/>
  <c r="AE725" i="25"/>
  <c r="AF725" i="25"/>
  <c r="AG725" i="25"/>
  <c r="AD726" i="25"/>
  <c r="AE726" i="25"/>
  <c r="AF726" i="25"/>
  <c r="AG726" i="25"/>
  <c r="AD727" i="25"/>
  <c r="AE727" i="25"/>
  <c r="AF727" i="25"/>
  <c r="AG727" i="25"/>
  <c r="AD728" i="25"/>
  <c r="AE728" i="25"/>
  <c r="AF728" i="25"/>
  <c r="AG728" i="25"/>
  <c r="AD729" i="25"/>
  <c r="AE729" i="25"/>
  <c r="AF729" i="25"/>
  <c r="AG729" i="25"/>
  <c r="AD730" i="25"/>
  <c r="AE730" i="25"/>
  <c r="AF730" i="25"/>
  <c r="AG730" i="25"/>
  <c r="AD731" i="25"/>
  <c r="AE731" i="25"/>
  <c r="AF731" i="25"/>
  <c r="AG731" i="25"/>
  <c r="AD732" i="25"/>
  <c r="AE732" i="25"/>
  <c r="AF732" i="25"/>
  <c r="AG732" i="25"/>
  <c r="AD733" i="25"/>
  <c r="AE733" i="25"/>
  <c r="AF733" i="25"/>
  <c r="AG733" i="25"/>
  <c r="AD734" i="25"/>
  <c r="AE734" i="25"/>
  <c r="AF734" i="25"/>
  <c r="AG734" i="25"/>
  <c r="AD735" i="25"/>
  <c r="AE735" i="25"/>
  <c r="AF735" i="25"/>
  <c r="AG735" i="25"/>
  <c r="AD736" i="25"/>
  <c r="AE736" i="25"/>
  <c r="AF736" i="25"/>
  <c r="AG736" i="25"/>
  <c r="AD737" i="25"/>
  <c r="AE737" i="25"/>
  <c r="AF737" i="25"/>
  <c r="AG737" i="25"/>
  <c r="AD738" i="25"/>
  <c r="AE738" i="25"/>
  <c r="AF738" i="25"/>
  <c r="AG738" i="25"/>
  <c r="AD739" i="25"/>
  <c r="AE739" i="25"/>
  <c r="AF739" i="25"/>
  <c r="AG739" i="25"/>
  <c r="AD740" i="25"/>
  <c r="AE740" i="25"/>
  <c r="AF740" i="25"/>
  <c r="AG740" i="25"/>
  <c r="AD741" i="25"/>
  <c r="AE741" i="25"/>
  <c r="AF741" i="25"/>
  <c r="AG741" i="25"/>
  <c r="AD742" i="25"/>
  <c r="AE742" i="25"/>
  <c r="AF742" i="25"/>
  <c r="AG742" i="25"/>
  <c r="AD743" i="25"/>
  <c r="AE743" i="25"/>
  <c r="AF743" i="25"/>
  <c r="AG743" i="25"/>
  <c r="AD744" i="25"/>
  <c r="AE744" i="25"/>
  <c r="AF744" i="25"/>
  <c r="AG744" i="25"/>
  <c r="AD745" i="25"/>
  <c r="AE745" i="25"/>
  <c r="AF745" i="25"/>
  <c r="AG745" i="25"/>
  <c r="AD746" i="25"/>
  <c r="AE746" i="25"/>
  <c r="AF746" i="25"/>
  <c r="AG746" i="25"/>
  <c r="AD747" i="25"/>
  <c r="AE747" i="25"/>
  <c r="AF747" i="25"/>
  <c r="AG747" i="25"/>
  <c r="AD748" i="25"/>
  <c r="AE748" i="25"/>
  <c r="AF748" i="25"/>
  <c r="AG748" i="25"/>
  <c r="AD749" i="25"/>
  <c r="AE749" i="25"/>
  <c r="AF749" i="25"/>
  <c r="AG749" i="25"/>
  <c r="AD750" i="25"/>
  <c r="AE750" i="25"/>
  <c r="AF750" i="25"/>
  <c r="AG750" i="25"/>
  <c r="AD751" i="25"/>
  <c r="AE751" i="25"/>
  <c r="AF751" i="25"/>
  <c r="AG751" i="25"/>
  <c r="AD752" i="25"/>
  <c r="AE752" i="25"/>
  <c r="AF752" i="25"/>
  <c r="AG752" i="25"/>
  <c r="AD753" i="25"/>
  <c r="AE753" i="25"/>
  <c r="AF753" i="25"/>
  <c r="AG753" i="25"/>
  <c r="AD754" i="25"/>
  <c r="AE754" i="25"/>
  <c r="AF754" i="25"/>
  <c r="AG754" i="25"/>
  <c r="AD755" i="25"/>
  <c r="AE755" i="25"/>
  <c r="AF755" i="25"/>
  <c r="AG755" i="25"/>
  <c r="AD756" i="25"/>
  <c r="AE756" i="25"/>
  <c r="AF756" i="25"/>
  <c r="AG756" i="25"/>
  <c r="AD757" i="25"/>
  <c r="AE757" i="25"/>
  <c r="AF757" i="25"/>
  <c r="AG757" i="25"/>
  <c r="AD758" i="25"/>
  <c r="AE758" i="25"/>
  <c r="AF758" i="25"/>
  <c r="AG758" i="25"/>
  <c r="AD759" i="25"/>
  <c r="AE759" i="25"/>
  <c r="AF759" i="25"/>
  <c r="AG759" i="25"/>
  <c r="AD760" i="25"/>
  <c r="AE760" i="25"/>
  <c r="AF760" i="25"/>
  <c r="AG760" i="25"/>
  <c r="AD761" i="25"/>
  <c r="AE761" i="25"/>
  <c r="AF761" i="25"/>
  <c r="AG761" i="25"/>
  <c r="AD762" i="25"/>
  <c r="AE762" i="25"/>
  <c r="AF762" i="25"/>
  <c r="AG762" i="25"/>
  <c r="AD763" i="25"/>
  <c r="AE763" i="25"/>
  <c r="AF763" i="25"/>
  <c r="AG763" i="25"/>
  <c r="AD764" i="25"/>
  <c r="AE764" i="25"/>
  <c r="AF764" i="25"/>
  <c r="AG764" i="25"/>
  <c r="AD765" i="25"/>
  <c r="AE765" i="25"/>
  <c r="AF765" i="25"/>
  <c r="AG765" i="25"/>
  <c r="AD766" i="25"/>
  <c r="AE766" i="25"/>
  <c r="AF766" i="25"/>
  <c r="AG766" i="25"/>
  <c r="AD767" i="25"/>
  <c r="AE767" i="25"/>
  <c r="AF767" i="25"/>
  <c r="AG767" i="25"/>
  <c r="AD768" i="25"/>
  <c r="AE768" i="25"/>
  <c r="AF768" i="25"/>
  <c r="AG768" i="25"/>
  <c r="AD769" i="25"/>
  <c r="AE769" i="25"/>
  <c r="AF769" i="25"/>
  <c r="AG769" i="25"/>
  <c r="AD770" i="25"/>
  <c r="AE770" i="25"/>
  <c r="AF770" i="25"/>
  <c r="AG770" i="25"/>
  <c r="AD771" i="25"/>
  <c r="AE771" i="25"/>
  <c r="AF771" i="25"/>
  <c r="AG771" i="25"/>
  <c r="AD772" i="25"/>
  <c r="AE772" i="25"/>
  <c r="AF772" i="25"/>
  <c r="AG772" i="25"/>
  <c r="AD773" i="25"/>
  <c r="AE773" i="25"/>
  <c r="AF773" i="25"/>
  <c r="AG773" i="25"/>
  <c r="AD774" i="25"/>
  <c r="AE774" i="25"/>
  <c r="AF774" i="25"/>
  <c r="AG774" i="25"/>
  <c r="AD775" i="25"/>
  <c r="AE775" i="25"/>
  <c r="AF775" i="25"/>
  <c r="AG775" i="25"/>
  <c r="AD776" i="25"/>
  <c r="AE776" i="25"/>
  <c r="AF776" i="25"/>
  <c r="AG776" i="25"/>
  <c r="AD777" i="25"/>
  <c r="AE777" i="25"/>
  <c r="AF777" i="25"/>
  <c r="AG777" i="25"/>
  <c r="AD778" i="25"/>
  <c r="AE778" i="25"/>
  <c r="AF778" i="25"/>
  <c r="AG778" i="25"/>
  <c r="AD779" i="25"/>
  <c r="AE779" i="25"/>
  <c r="AF779" i="25"/>
  <c r="AG779" i="25"/>
  <c r="AD780" i="25"/>
  <c r="AE780" i="25"/>
  <c r="AF780" i="25"/>
  <c r="AG780" i="25"/>
  <c r="AD781" i="25"/>
  <c r="AE781" i="25"/>
  <c r="AF781" i="25"/>
  <c r="AG781" i="25"/>
  <c r="AD782" i="25"/>
  <c r="AE782" i="25"/>
  <c r="AF782" i="25"/>
  <c r="AG782" i="25"/>
  <c r="AD783" i="25"/>
  <c r="AE783" i="25"/>
  <c r="AF783" i="25"/>
  <c r="AG783" i="25"/>
  <c r="AD784" i="25"/>
  <c r="AE784" i="25"/>
  <c r="AF784" i="25"/>
  <c r="AG784" i="25"/>
  <c r="AD785" i="25"/>
  <c r="AE785" i="25"/>
  <c r="AF785" i="25"/>
  <c r="AG785" i="25"/>
  <c r="AD786" i="25"/>
  <c r="AE786" i="25"/>
  <c r="AF786" i="25"/>
  <c r="AG786" i="25"/>
  <c r="AD787" i="25"/>
  <c r="AE787" i="25"/>
  <c r="AF787" i="25"/>
  <c r="AG787" i="25"/>
  <c r="AD788" i="25"/>
  <c r="AE788" i="25"/>
  <c r="AF788" i="25"/>
  <c r="AG788" i="25"/>
  <c r="AD789" i="25"/>
  <c r="AE789" i="25"/>
  <c r="AF789" i="25"/>
  <c r="AG789" i="25"/>
  <c r="AD790" i="25"/>
  <c r="AE790" i="25"/>
  <c r="AF790" i="25"/>
  <c r="AG790" i="25"/>
  <c r="AD791" i="25"/>
  <c r="AE791" i="25"/>
  <c r="AF791" i="25"/>
  <c r="AG791" i="25"/>
  <c r="AD792" i="25"/>
  <c r="AE792" i="25"/>
  <c r="AF792" i="25"/>
  <c r="AG792" i="25"/>
  <c r="AD793" i="25"/>
  <c r="AE793" i="25"/>
  <c r="AF793" i="25"/>
  <c r="AG793" i="25"/>
  <c r="AD794" i="25"/>
  <c r="AE794" i="25"/>
  <c r="AF794" i="25"/>
  <c r="AG794" i="25"/>
  <c r="AD795" i="25"/>
  <c r="AE795" i="25"/>
  <c r="AF795" i="25"/>
  <c r="AG795" i="25"/>
  <c r="AD796" i="25"/>
  <c r="AE796" i="25"/>
  <c r="AF796" i="25"/>
  <c r="AG796" i="25"/>
  <c r="AD797" i="25"/>
  <c r="AE797" i="25"/>
  <c r="AF797" i="25"/>
  <c r="AG797" i="25"/>
  <c r="AD798" i="25"/>
  <c r="AE798" i="25"/>
  <c r="AF798" i="25"/>
  <c r="AG798" i="25"/>
  <c r="AD799" i="25"/>
  <c r="AE799" i="25"/>
  <c r="AF799" i="25"/>
  <c r="AG799" i="25"/>
  <c r="AD800" i="25"/>
  <c r="AE800" i="25"/>
  <c r="AF800" i="25"/>
  <c r="AG800" i="25"/>
  <c r="AD801" i="25"/>
  <c r="AE801" i="25"/>
  <c r="AF801" i="25"/>
  <c r="AG801" i="25"/>
  <c r="AD802" i="25"/>
  <c r="AE802" i="25"/>
  <c r="AF802" i="25"/>
  <c r="AG802" i="25"/>
  <c r="AD803" i="25"/>
  <c r="AE803" i="25"/>
  <c r="AF803" i="25"/>
  <c r="AG803" i="25"/>
  <c r="AD804" i="25"/>
  <c r="AE804" i="25"/>
  <c r="AF804" i="25"/>
  <c r="AG804" i="25"/>
  <c r="AD805" i="25"/>
  <c r="AE805" i="25"/>
  <c r="AF805" i="25"/>
  <c r="AG805" i="25"/>
  <c r="AD806" i="25"/>
  <c r="AE806" i="25"/>
  <c r="AF806" i="25"/>
  <c r="AG806" i="25"/>
  <c r="AD807" i="25"/>
  <c r="AE807" i="25"/>
  <c r="AF807" i="25"/>
  <c r="AG807" i="25"/>
  <c r="AD808" i="25"/>
  <c r="AE808" i="25"/>
  <c r="AF808" i="25"/>
  <c r="AG808" i="25"/>
  <c r="AD809" i="25"/>
  <c r="AE809" i="25"/>
  <c r="AF809" i="25"/>
  <c r="AG809" i="25"/>
  <c r="AD810" i="25"/>
  <c r="AE810" i="25"/>
  <c r="AF810" i="25"/>
  <c r="AG810" i="25"/>
  <c r="AD811" i="25"/>
  <c r="AE811" i="25"/>
  <c r="AF811" i="25"/>
  <c r="AG811" i="25"/>
  <c r="AD812" i="25"/>
  <c r="AE812" i="25"/>
  <c r="AF812" i="25"/>
  <c r="AG812" i="25"/>
  <c r="AD813" i="25"/>
  <c r="AE813" i="25"/>
  <c r="AF813" i="25"/>
  <c r="AG813" i="25"/>
  <c r="AD814" i="25"/>
  <c r="AE814" i="25"/>
  <c r="AF814" i="25"/>
  <c r="AG814" i="25"/>
  <c r="AD815" i="25"/>
  <c r="AE815" i="25"/>
  <c r="AF815" i="25"/>
  <c r="AG815" i="25"/>
  <c r="AD816" i="25"/>
  <c r="AE816" i="25"/>
  <c r="AF816" i="25"/>
  <c r="AG816" i="25"/>
  <c r="AD817" i="25"/>
  <c r="AE817" i="25"/>
  <c r="AF817" i="25"/>
  <c r="AG817" i="25"/>
  <c r="AD818" i="25"/>
  <c r="AE818" i="25"/>
  <c r="AF818" i="25"/>
  <c r="AG818" i="25"/>
  <c r="AD819" i="25"/>
  <c r="AE819" i="25"/>
  <c r="AF819" i="25"/>
  <c r="AG819" i="25"/>
  <c r="AD820" i="25"/>
  <c r="AE820" i="25"/>
  <c r="AF820" i="25"/>
  <c r="AG820" i="25"/>
  <c r="AD821" i="25"/>
  <c r="AE821" i="25"/>
  <c r="AF821" i="25"/>
  <c r="AG821" i="25"/>
  <c r="AD822" i="25"/>
  <c r="AE822" i="25"/>
  <c r="AF822" i="25"/>
  <c r="AG822" i="25"/>
  <c r="AD823" i="25"/>
  <c r="AE823" i="25"/>
  <c r="AF823" i="25"/>
  <c r="AG823" i="25"/>
  <c r="AD824" i="25"/>
  <c r="AE824" i="25"/>
  <c r="AF824" i="25"/>
  <c r="AG824" i="25"/>
  <c r="AD825" i="25"/>
  <c r="AE825" i="25"/>
  <c r="AF825" i="25"/>
  <c r="AG825" i="25"/>
  <c r="AD826" i="25"/>
  <c r="AE826" i="25"/>
  <c r="AF826" i="25"/>
  <c r="AG826" i="25"/>
  <c r="AD827" i="25"/>
  <c r="AE827" i="25"/>
  <c r="AF827" i="25"/>
  <c r="AG827" i="25"/>
  <c r="AD828" i="25"/>
  <c r="AE828" i="25"/>
  <c r="AF828" i="25"/>
  <c r="AG828" i="25"/>
  <c r="AD829" i="25"/>
  <c r="AE829" i="25"/>
  <c r="AF829" i="25"/>
  <c r="AG829" i="25"/>
  <c r="AD830" i="25"/>
  <c r="AE830" i="25"/>
  <c r="AF830" i="25"/>
  <c r="AG830" i="25"/>
  <c r="AD831" i="25"/>
  <c r="AE831" i="25"/>
  <c r="AF831" i="25"/>
  <c r="AG831" i="25"/>
  <c r="AD832" i="25"/>
  <c r="AE832" i="25"/>
  <c r="AF832" i="25"/>
  <c r="AG832" i="25"/>
  <c r="AD833" i="25"/>
  <c r="AE833" i="25"/>
  <c r="AF833" i="25"/>
  <c r="AG833" i="25"/>
  <c r="AD834" i="25"/>
  <c r="AE834" i="25"/>
  <c r="AF834" i="25"/>
  <c r="AG834" i="25"/>
  <c r="AD835" i="25"/>
  <c r="AE835" i="25"/>
  <c r="AF835" i="25"/>
  <c r="AG835" i="25"/>
  <c r="AD836" i="25"/>
  <c r="AE836" i="25"/>
  <c r="AF836" i="25"/>
  <c r="AG836" i="25"/>
  <c r="AD837" i="25"/>
  <c r="AE837" i="25"/>
  <c r="AF837" i="25"/>
  <c r="AG837" i="25"/>
  <c r="AD838" i="25"/>
  <c r="AE838" i="25"/>
  <c r="AF838" i="25"/>
  <c r="AG838" i="25"/>
  <c r="AD839" i="25"/>
  <c r="AE839" i="25"/>
  <c r="AF839" i="25"/>
  <c r="AG839" i="25"/>
  <c r="AD840" i="25"/>
  <c r="AE840" i="25"/>
  <c r="AF840" i="25"/>
  <c r="AG840" i="25"/>
  <c r="AD841" i="25"/>
  <c r="AE841" i="25"/>
  <c r="AF841" i="25"/>
  <c r="AG841" i="25"/>
  <c r="AD842" i="25"/>
  <c r="AE842" i="25"/>
  <c r="AF842" i="25"/>
  <c r="AG842" i="25"/>
  <c r="AD843" i="25"/>
  <c r="AE843" i="25"/>
  <c r="AF843" i="25"/>
  <c r="AG843" i="25"/>
  <c r="AD844" i="25"/>
  <c r="AE844" i="25"/>
  <c r="AF844" i="25"/>
  <c r="AG844" i="25"/>
  <c r="AD845" i="25"/>
  <c r="AE845" i="25"/>
  <c r="AF845" i="25"/>
  <c r="AG845" i="25"/>
  <c r="AD846" i="25"/>
  <c r="AE846" i="25"/>
  <c r="AF846" i="25"/>
  <c r="AG846" i="25"/>
  <c r="AD847" i="25"/>
  <c r="AE847" i="25"/>
  <c r="AF847" i="25"/>
  <c r="AG847" i="25"/>
  <c r="AD848" i="25"/>
  <c r="AE848" i="25"/>
  <c r="AF848" i="25"/>
  <c r="AG848" i="25"/>
  <c r="AD849" i="25"/>
  <c r="AE849" i="25"/>
  <c r="AF849" i="25"/>
  <c r="AG849" i="25"/>
  <c r="AD850" i="25"/>
  <c r="AE850" i="25"/>
  <c r="AF850" i="25"/>
  <c r="AG850" i="25"/>
  <c r="AD851" i="25"/>
  <c r="AE851" i="25"/>
  <c r="AF851" i="25"/>
  <c r="AG851" i="25"/>
  <c r="AD852" i="25"/>
  <c r="AE852" i="25"/>
  <c r="AF852" i="25"/>
  <c r="AG852" i="25"/>
  <c r="AD853" i="25"/>
  <c r="AE853" i="25"/>
  <c r="AF853" i="25"/>
  <c r="AG853" i="25"/>
  <c r="AD854" i="25"/>
  <c r="AE854" i="25"/>
  <c r="AF854" i="25"/>
  <c r="AG854" i="25"/>
  <c r="AD855" i="25"/>
  <c r="AE855" i="25"/>
  <c r="AF855" i="25"/>
  <c r="AG855" i="25"/>
  <c r="AD856" i="25"/>
  <c r="AE856" i="25"/>
  <c r="AF856" i="25"/>
  <c r="AG856" i="25"/>
  <c r="AD857" i="25"/>
  <c r="AE857" i="25"/>
  <c r="AF857" i="25"/>
  <c r="AG857" i="25"/>
  <c r="AD858" i="25"/>
  <c r="AE858" i="25"/>
  <c r="AF858" i="25"/>
  <c r="AG858" i="25"/>
  <c r="AD859" i="25"/>
  <c r="AE859" i="25"/>
  <c r="AF859" i="25"/>
  <c r="AG859" i="25"/>
  <c r="AD860" i="25"/>
  <c r="AE860" i="25"/>
  <c r="AF860" i="25"/>
  <c r="AG860" i="25"/>
  <c r="AD861" i="25"/>
  <c r="AE861" i="25"/>
  <c r="AF861" i="25"/>
  <c r="AG861" i="25"/>
  <c r="AD862" i="25"/>
  <c r="AE862" i="25"/>
  <c r="AF862" i="25"/>
  <c r="AG862" i="25"/>
  <c r="AD863" i="25"/>
  <c r="AE863" i="25"/>
  <c r="AF863" i="25"/>
  <c r="AG863" i="25"/>
  <c r="AD864" i="25"/>
  <c r="AE864" i="25"/>
  <c r="AF864" i="25"/>
  <c r="AG864" i="25"/>
  <c r="AD865" i="25"/>
  <c r="AE865" i="25"/>
  <c r="AF865" i="25"/>
  <c r="AG865" i="25"/>
  <c r="AD866" i="25"/>
  <c r="AE866" i="25"/>
  <c r="AF866" i="25"/>
  <c r="AG866" i="25"/>
  <c r="AD867" i="25"/>
  <c r="AE867" i="25"/>
  <c r="AF867" i="25"/>
  <c r="AG867" i="25"/>
  <c r="AD868" i="25"/>
  <c r="AE868" i="25"/>
  <c r="AF868" i="25"/>
  <c r="AG868" i="25"/>
  <c r="AD869" i="25"/>
  <c r="AE869" i="25"/>
  <c r="AF869" i="25"/>
  <c r="AG869" i="25"/>
  <c r="AD870" i="25"/>
  <c r="AE870" i="25"/>
  <c r="AF870" i="25"/>
  <c r="AG870" i="25"/>
  <c r="AD871" i="25"/>
  <c r="AE871" i="25"/>
  <c r="AF871" i="25"/>
  <c r="AG871" i="25"/>
  <c r="AD872" i="25"/>
  <c r="AE872" i="25"/>
  <c r="AF872" i="25"/>
  <c r="AG872" i="25"/>
  <c r="AD873" i="25"/>
  <c r="AE873" i="25"/>
  <c r="AF873" i="25"/>
  <c r="AG873" i="25"/>
  <c r="AD874" i="25"/>
  <c r="AE874" i="25"/>
  <c r="AF874" i="25"/>
  <c r="AG874" i="25"/>
  <c r="AD875" i="25"/>
  <c r="AE875" i="25"/>
  <c r="AF875" i="25"/>
  <c r="AG875" i="25"/>
  <c r="AD876" i="25"/>
  <c r="AE876" i="25"/>
  <c r="AF876" i="25"/>
  <c r="AG876" i="25"/>
  <c r="AD877" i="25"/>
  <c r="AE877" i="25"/>
  <c r="AF877" i="25"/>
  <c r="AG877" i="25"/>
  <c r="AD878" i="25"/>
  <c r="AE878" i="25"/>
  <c r="AF878" i="25"/>
  <c r="AG878" i="25"/>
  <c r="AD879" i="25"/>
  <c r="AE879" i="25"/>
  <c r="AF879" i="25"/>
  <c r="AG879" i="25"/>
  <c r="AD880" i="25"/>
  <c r="AE880" i="25"/>
  <c r="AF880" i="25"/>
  <c r="AG880" i="25"/>
  <c r="AD881" i="25"/>
  <c r="AE881" i="25"/>
  <c r="AF881" i="25"/>
  <c r="AG881" i="25"/>
  <c r="AD443" i="25"/>
  <c r="AE443" i="25"/>
  <c r="AF443" i="25"/>
  <c r="AG443" i="25"/>
  <c r="AD444" i="25"/>
  <c r="AE444" i="25"/>
  <c r="AF444" i="25"/>
  <c r="AG444" i="25"/>
  <c r="AD445" i="25"/>
  <c r="AE445" i="25"/>
  <c r="AF445" i="25"/>
  <c r="AG445" i="25"/>
  <c r="AD446" i="25"/>
  <c r="AE446" i="25"/>
  <c r="AF446" i="25"/>
  <c r="AG446" i="25"/>
  <c r="AD447" i="25"/>
  <c r="AE447" i="25"/>
  <c r="AF447" i="25"/>
  <c r="AG447" i="25"/>
  <c r="AD448" i="25"/>
  <c r="AE448" i="25"/>
  <c r="AF448" i="25"/>
  <c r="AG448" i="25"/>
  <c r="AD449" i="25"/>
  <c r="AE449" i="25"/>
  <c r="AF449" i="25"/>
  <c r="AG449" i="25"/>
  <c r="AD450" i="25"/>
  <c r="AE450" i="25"/>
  <c r="AF450" i="25"/>
  <c r="AG450" i="25"/>
  <c r="AD451" i="25"/>
  <c r="AE451" i="25"/>
  <c r="AF451" i="25"/>
  <c r="AG451" i="25"/>
  <c r="AD452" i="25"/>
  <c r="AE452" i="25"/>
  <c r="AF452" i="25"/>
  <c r="AG452" i="25"/>
  <c r="AD453" i="25"/>
  <c r="AE453" i="25"/>
  <c r="AF453" i="25"/>
  <c r="AG453" i="25"/>
  <c r="AD454" i="25"/>
  <c r="AE454" i="25"/>
  <c r="AF454" i="25"/>
  <c r="AG454" i="25"/>
  <c r="AD455" i="25"/>
  <c r="AE455" i="25"/>
  <c r="AF455" i="25"/>
  <c r="AG455" i="25"/>
  <c r="AD456" i="25"/>
  <c r="AE456" i="25"/>
  <c r="AF456" i="25"/>
  <c r="AG456" i="25"/>
  <c r="AD457" i="25"/>
  <c r="AE457" i="25"/>
  <c r="AF457" i="25"/>
  <c r="AG457" i="25"/>
  <c r="AD458" i="25"/>
  <c r="AE458" i="25"/>
  <c r="AF458" i="25"/>
  <c r="AG458" i="25"/>
  <c r="AD459" i="25"/>
  <c r="AE459" i="25"/>
  <c r="AF459" i="25"/>
  <c r="AG459" i="25"/>
  <c r="AD460" i="25"/>
  <c r="AE460" i="25"/>
  <c r="AF460" i="25"/>
  <c r="AG460" i="25"/>
  <c r="AD461" i="25"/>
  <c r="AE461" i="25"/>
  <c r="AF461" i="25"/>
  <c r="AG461" i="25"/>
  <c r="AD462" i="25"/>
  <c r="AE462" i="25"/>
  <c r="AF462" i="25"/>
  <c r="AG462" i="25"/>
  <c r="AD463" i="25"/>
  <c r="AE463" i="25"/>
  <c r="AF463" i="25"/>
  <c r="AG463" i="25"/>
  <c r="AD464" i="25"/>
  <c r="AE464" i="25"/>
  <c r="AF464" i="25"/>
  <c r="AG464" i="25"/>
  <c r="AD465" i="25"/>
  <c r="AE465" i="25"/>
  <c r="AF465" i="25"/>
  <c r="AG465" i="25"/>
  <c r="AD466" i="25"/>
  <c r="AE466" i="25"/>
  <c r="AF466" i="25"/>
  <c r="AG466" i="25"/>
  <c r="AD467" i="25"/>
  <c r="AE467" i="25"/>
  <c r="AF467" i="25"/>
  <c r="AG467" i="25"/>
  <c r="AD468" i="25"/>
  <c r="AE468" i="25"/>
  <c r="AF468" i="25"/>
  <c r="AG468" i="25"/>
  <c r="AD469" i="25"/>
  <c r="AE469" i="25"/>
  <c r="AF469" i="25"/>
  <c r="AG469" i="25"/>
  <c r="AD470" i="25"/>
  <c r="AE470" i="25"/>
  <c r="AF470" i="25"/>
  <c r="AG470" i="25"/>
  <c r="AD471" i="25"/>
  <c r="AE471" i="25"/>
  <c r="AF471" i="25"/>
  <c r="AG471" i="25"/>
  <c r="AD472" i="25"/>
  <c r="AE472" i="25"/>
  <c r="AF472" i="25"/>
  <c r="AG472" i="25"/>
  <c r="AD473" i="25"/>
  <c r="AE473" i="25"/>
  <c r="AF473" i="25"/>
  <c r="AG473" i="25"/>
  <c r="AD474" i="25"/>
  <c r="AE474" i="25"/>
  <c r="AF474" i="25"/>
  <c r="AG474" i="25"/>
  <c r="AD475" i="25"/>
  <c r="AE475" i="25"/>
  <c r="AF475" i="25"/>
  <c r="AG475" i="25"/>
  <c r="AD476" i="25"/>
  <c r="AE476" i="25"/>
  <c r="AF476" i="25"/>
  <c r="AG476" i="25"/>
  <c r="AD477" i="25"/>
  <c r="AE477" i="25"/>
  <c r="AF477" i="25"/>
  <c r="AG477" i="25"/>
  <c r="AD478" i="25"/>
  <c r="AE478" i="25"/>
  <c r="AF478" i="25"/>
  <c r="AG478" i="25"/>
  <c r="AD479" i="25"/>
  <c r="AE479" i="25"/>
  <c r="AF479" i="25"/>
  <c r="AG479" i="25"/>
  <c r="AD480" i="25"/>
  <c r="AE480" i="25"/>
  <c r="AF480" i="25"/>
  <c r="AG480" i="25"/>
  <c r="AD481" i="25"/>
  <c r="AE481" i="25"/>
  <c r="AF481" i="25"/>
  <c r="AG481" i="25"/>
  <c r="AD482" i="25"/>
  <c r="AE482" i="25"/>
  <c r="AF482" i="25"/>
  <c r="AG482" i="25"/>
  <c r="AD483" i="25"/>
  <c r="AE483" i="25"/>
  <c r="AF483" i="25"/>
  <c r="AG483" i="25"/>
  <c r="AD484" i="25"/>
  <c r="AE484" i="25"/>
  <c r="AF484" i="25"/>
  <c r="AG484" i="25"/>
  <c r="AD485" i="25"/>
  <c r="AE485" i="25"/>
  <c r="AF485" i="25"/>
  <c r="AG485" i="25"/>
  <c r="AD486" i="25"/>
  <c r="AE486" i="25"/>
  <c r="AF486" i="25"/>
  <c r="AG486" i="25"/>
  <c r="AD487" i="25"/>
  <c r="AE487" i="25"/>
  <c r="AF487" i="25"/>
  <c r="AG487" i="25"/>
  <c r="AD488" i="25"/>
  <c r="AE488" i="25"/>
  <c r="AF488" i="25"/>
  <c r="AG488" i="25"/>
  <c r="AD489" i="25"/>
  <c r="AE489" i="25"/>
  <c r="AF489" i="25"/>
  <c r="AG489" i="25"/>
  <c r="AD490" i="25"/>
  <c r="AE490" i="25"/>
  <c r="AF490" i="25"/>
  <c r="AG490" i="25"/>
  <c r="AD491" i="25"/>
  <c r="AE491" i="25"/>
  <c r="AF491" i="25"/>
  <c r="AG491" i="25"/>
  <c r="AD492" i="25"/>
  <c r="AE492" i="25"/>
  <c r="AF492" i="25"/>
  <c r="AG492" i="25"/>
  <c r="AD493" i="25"/>
  <c r="AE493" i="25"/>
  <c r="AF493" i="25"/>
  <c r="AG493" i="25"/>
  <c r="AD494" i="25"/>
  <c r="AE494" i="25"/>
  <c r="AF494" i="25"/>
  <c r="AG494" i="25"/>
  <c r="AD495" i="25"/>
  <c r="AE495" i="25"/>
  <c r="AF495" i="25"/>
  <c r="AG495" i="25"/>
  <c r="AD496" i="25"/>
  <c r="AE496" i="25"/>
  <c r="AF496" i="25"/>
  <c r="AG496" i="25"/>
  <c r="AD497" i="25"/>
  <c r="AE497" i="25"/>
  <c r="AF497" i="25"/>
  <c r="AG497" i="25"/>
  <c r="AD498" i="25"/>
  <c r="AE498" i="25"/>
  <c r="AF498" i="25"/>
  <c r="AG498" i="25"/>
  <c r="AD499" i="25"/>
  <c r="AE499" i="25"/>
  <c r="AF499" i="25"/>
  <c r="AG499" i="25"/>
  <c r="AD500" i="25"/>
  <c r="AE500" i="25"/>
  <c r="AF500" i="25"/>
  <c r="AG500" i="25"/>
  <c r="AD501" i="25"/>
  <c r="AE501" i="25"/>
  <c r="AF501" i="25"/>
  <c r="AG501" i="25"/>
  <c r="AD502" i="25"/>
  <c r="AE502" i="25"/>
  <c r="AF502" i="25"/>
  <c r="AG502" i="25"/>
  <c r="AD503" i="25"/>
  <c r="AE503" i="25"/>
  <c r="AF503" i="25"/>
  <c r="AG503" i="25"/>
  <c r="AD504" i="25"/>
  <c r="AE504" i="25"/>
  <c r="AF504" i="25"/>
  <c r="AG504" i="25"/>
  <c r="AD505" i="25"/>
  <c r="AE505" i="25"/>
  <c r="AF505" i="25"/>
  <c r="AG505" i="25"/>
  <c r="AD506" i="25"/>
  <c r="AE506" i="25"/>
  <c r="AF506" i="25"/>
  <c r="AG506" i="25"/>
  <c r="AD507" i="25"/>
  <c r="AE507" i="25"/>
  <c r="AF507" i="25"/>
  <c r="AG507" i="25"/>
  <c r="AD508" i="25"/>
  <c r="AE508" i="25"/>
  <c r="AF508" i="25"/>
  <c r="AG508" i="25"/>
  <c r="AD509" i="25"/>
  <c r="AE509" i="25"/>
  <c r="AF509" i="25"/>
  <c r="AG509" i="25"/>
  <c r="AD510" i="25"/>
  <c r="AE510" i="25"/>
  <c r="AF510" i="25"/>
  <c r="AG510" i="25"/>
  <c r="AD511" i="25"/>
  <c r="AE511" i="25"/>
  <c r="AF511" i="25"/>
  <c r="AG511" i="25"/>
  <c r="AD512" i="25"/>
  <c r="AE512" i="25"/>
  <c r="AF512" i="25"/>
  <c r="AG512" i="25"/>
  <c r="AD513" i="25"/>
  <c r="AE513" i="25"/>
  <c r="AF513" i="25"/>
  <c r="AG513" i="25"/>
  <c r="AD514" i="25"/>
  <c r="AE514" i="25"/>
  <c r="AF514" i="25"/>
  <c r="AG514" i="25"/>
  <c r="AD515" i="25"/>
  <c r="AE515" i="25"/>
  <c r="AF515" i="25"/>
  <c r="AG515" i="25"/>
  <c r="AD516" i="25"/>
  <c r="AE516" i="25"/>
  <c r="AF516" i="25"/>
  <c r="AG516" i="25"/>
  <c r="AD517" i="25"/>
  <c r="AE517" i="25"/>
  <c r="AF517" i="25"/>
  <c r="AG517" i="25"/>
  <c r="AD518" i="25"/>
  <c r="AE518" i="25"/>
  <c r="AF518" i="25"/>
  <c r="AG518" i="25"/>
  <c r="AD519" i="25"/>
  <c r="AE519" i="25"/>
  <c r="AF519" i="25"/>
  <c r="AG519" i="25"/>
  <c r="AD520" i="25"/>
  <c r="AE520" i="25"/>
  <c r="AF520" i="25"/>
  <c r="AG520" i="25"/>
  <c r="AD521" i="25"/>
  <c r="AE521" i="25"/>
  <c r="AF521" i="25"/>
  <c r="AG521" i="25"/>
  <c r="AD522" i="25"/>
  <c r="AE522" i="25"/>
  <c r="AF522" i="25"/>
  <c r="AG522" i="25"/>
  <c r="AD523" i="25"/>
  <c r="AE523" i="25"/>
  <c r="AF523" i="25"/>
  <c r="AG523" i="25"/>
  <c r="AD524" i="25"/>
  <c r="AE524" i="25"/>
  <c r="AF524" i="25"/>
  <c r="AG524" i="25"/>
  <c r="AD525" i="25"/>
  <c r="AE525" i="25"/>
  <c r="AF525" i="25"/>
  <c r="AG525" i="25"/>
  <c r="AD526" i="25"/>
  <c r="AE526" i="25"/>
  <c r="AF526" i="25"/>
  <c r="AG526" i="25"/>
  <c r="AD527" i="25"/>
  <c r="AE527" i="25"/>
  <c r="AF527" i="25"/>
  <c r="AG527" i="25"/>
  <c r="AD528" i="25"/>
  <c r="AE528" i="25"/>
  <c r="AF528" i="25"/>
  <c r="AG528" i="25"/>
  <c r="AD529" i="25"/>
  <c r="AE529" i="25"/>
  <c r="AF529" i="25"/>
  <c r="AG529" i="25"/>
  <c r="AD530" i="25"/>
  <c r="AE530" i="25"/>
  <c r="AF530" i="25"/>
  <c r="AG530" i="25"/>
  <c r="AD531" i="25"/>
  <c r="AE531" i="25"/>
  <c r="AF531" i="25"/>
  <c r="AG531" i="25"/>
  <c r="AD532" i="25"/>
  <c r="AE532" i="25"/>
  <c r="AF532" i="25"/>
  <c r="AG532" i="25"/>
  <c r="AD533" i="25"/>
  <c r="AE533" i="25"/>
  <c r="AF533" i="25"/>
  <c r="AG533" i="25"/>
  <c r="AD534" i="25"/>
  <c r="AE534" i="25"/>
  <c r="AF534" i="25"/>
  <c r="AG534" i="25"/>
  <c r="AD535" i="25"/>
  <c r="AE535" i="25"/>
  <c r="AF535" i="25"/>
  <c r="AG535" i="25"/>
  <c r="AD536" i="25"/>
  <c r="AE536" i="25"/>
  <c r="AF536" i="25"/>
  <c r="AG536" i="25"/>
  <c r="AD537" i="25"/>
  <c r="AE537" i="25"/>
  <c r="AF537" i="25"/>
  <c r="AG537" i="25"/>
  <c r="AD538" i="25"/>
  <c r="AE538" i="25"/>
  <c r="AF538" i="25"/>
  <c r="AG538" i="25"/>
  <c r="AD539" i="25"/>
  <c r="AE539" i="25"/>
  <c r="AF539" i="25"/>
  <c r="AG539" i="25"/>
  <c r="AD540" i="25"/>
  <c r="AE540" i="25"/>
  <c r="AF540" i="25"/>
  <c r="AG540" i="25"/>
  <c r="AD541" i="25"/>
  <c r="AE541" i="25"/>
  <c r="AF541" i="25"/>
  <c r="AG541" i="25"/>
  <c r="AD542" i="25"/>
  <c r="AE542" i="25"/>
  <c r="AF542" i="25"/>
  <c r="AG542" i="25"/>
  <c r="AD543" i="25"/>
  <c r="AE543" i="25"/>
  <c r="AF543" i="25"/>
  <c r="AG543" i="25"/>
  <c r="AD544" i="25"/>
  <c r="AE544" i="25"/>
  <c r="AF544" i="25"/>
  <c r="AG544" i="25"/>
  <c r="AD545" i="25"/>
  <c r="AE545" i="25"/>
  <c r="AF545" i="25"/>
  <c r="AG545" i="25"/>
  <c r="AD546" i="25"/>
  <c r="AE546" i="25"/>
  <c r="AF546" i="25"/>
  <c r="AG546" i="25"/>
  <c r="AD547" i="25"/>
  <c r="AE547" i="25"/>
  <c r="AF547" i="25"/>
  <c r="AG547" i="25"/>
  <c r="AD548" i="25"/>
  <c r="AE548" i="25"/>
  <c r="AF548" i="25"/>
  <c r="AG548" i="25"/>
  <c r="AD549" i="25"/>
  <c r="AE549" i="25"/>
  <c r="AF549" i="25"/>
  <c r="AG549" i="25"/>
  <c r="AD550" i="25"/>
  <c r="AE550" i="25"/>
  <c r="AF550" i="25"/>
  <c r="AG550" i="25"/>
  <c r="AD551" i="25"/>
  <c r="AE551" i="25"/>
  <c r="AF551" i="25"/>
  <c r="AG551" i="25"/>
  <c r="AD552" i="25"/>
  <c r="AE552" i="25"/>
  <c r="AF552" i="25"/>
  <c r="AG552" i="25"/>
  <c r="AD553" i="25"/>
  <c r="AE553" i="25"/>
  <c r="AF553" i="25"/>
  <c r="AG553" i="25"/>
  <c r="AD554" i="25"/>
  <c r="AE554" i="25"/>
  <c r="AF554" i="25"/>
  <c r="AG554" i="25"/>
  <c r="AD555" i="25"/>
  <c r="AE555" i="25"/>
  <c r="AF555" i="25"/>
  <c r="AG555" i="25"/>
  <c r="AD556" i="25"/>
  <c r="AE556" i="25"/>
  <c r="AF556" i="25"/>
  <c r="AG556" i="25"/>
  <c r="AD557" i="25"/>
  <c r="AE557" i="25"/>
  <c r="AF557" i="25"/>
  <c r="AG557" i="25"/>
  <c r="AD558" i="25"/>
  <c r="AE558" i="25"/>
  <c r="AF558" i="25"/>
  <c r="AG558" i="25"/>
  <c r="AD559" i="25"/>
  <c r="AE559" i="25"/>
  <c r="AF559" i="25"/>
  <c r="AG559" i="25"/>
  <c r="AD560" i="25"/>
  <c r="AE560" i="25"/>
  <c r="AF560" i="25"/>
  <c r="AG560" i="25"/>
  <c r="AD561" i="25"/>
  <c r="AE561" i="25"/>
  <c r="AF561" i="25"/>
  <c r="AG561" i="25"/>
  <c r="AD562" i="25"/>
  <c r="AE562" i="25"/>
  <c r="AF562" i="25"/>
  <c r="AG562" i="25"/>
  <c r="AD563" i="25"/>
  <c r="AE563" i="25"/>
  <c r="AF563" i="25"/>
  <c r="AG563" i="25"/>
  <c r="AD564" i="25"/>
  <c r="AE564" i="25"/>
  <c r="AF564" i="25"/>
  <c r="AG564" i="25"/>
  <c r="AD565" i="25"/>
  <c r="AE565" i="25"/>
  <c r="AF565" i="25"/>
  <c r="AG565" i="25"/>
  <c r="AD566" i="25"/>
  <c r="AE566" i="25"/>
  <c r="AF566" i="25"/>
  <c r="AG566" i="25"/>
  <c r="AD567" i="25"/>
  <c r="AE567" i="25"/>
  <c r="AF567" i="25"/>
  <c r="AG567" i="25"/>
  <c r="AD568" i="25"/>
  <c r="AE568" i="25"/>
  <c r="AF568" i="25"/>
  <c r="AG568" i="25"/>
  <c r="AD569" i="25"/>
  <c r="AE569" i="25"/>
  <c r="AF569" i="25"/>
  <c r="AG569" i="25"/>
  <c r="AD570" i="25"/>
  <c r="AE570" i="25"/>
  <c r="AF570" i="25"/>
  <c r="AG570" i="25"/>
  <c r="AD571" i="25"/>
  <c r="AE571" i="25"/>
  <c r="AF571" i="25"/>
  <c r="AG571" i="25"/>
  <c r="AD572" i="25"/>
  <c r="AE572" i="25"/>
  <c r="AF572" i="25"/>
  <c r="AG572" i="25"/>
  <c r="AD573" i="25"/>
  <c r="AE573" i="25"/>
  <c r="AF573" i="25"/>
  <c r="AG573" i="25"/>
  <c r="AD574" i="25"/>
  <c r="AE574" i="25"/>
  <c r="AF574" i="25"/>
  <c r="AG574" i="25"/>
  <c r="AD575" i="25"/>
  <c r="AE575" i="25"/>
  <c r="AF575" i="25"/>
  <c r="AG575" i="25"/>
  <c r="AD576" i="25"/>
  <c r="AE576" i="25"/>
  <c r="AF576" i="25"/>
  <c r="AG576" i="25"/>
  <c r="AD577" i="25"/>
  <c r="AE577" i="25"/>
  <c r="AF577" i="25"/>
  <c r="AG577" i="25"/>
  <c r="AD578" i="25"/>
  <c r="AE578" i="25"/>
  <c r="AF578" i="25"/>
  <c r="AG578" i="25"/>
  <c r="AD579" i="25"/>
  <c r="AE579" i="25"/>
  <c r="AF579" i="25"/>
  <c r="AG579" i="25"/>
  <c r="AD580" i="25"/>
  <c r="AE580" i="25"/>
  <c r="AF580" i="25"/>
  <c r="AG580" i="25"/>
  <c r="AD581" i="25"/>
  <c r="AE581" i="25"/>
  <c r="AF581" i="25"/>
  <c r="AG581" i="25"/>
  <c r="AD582" i="25"/>
  <c r="AE582" i="25"/>
  <c r="AF582" i="25"/>
  <c r="AG582" i="25"/>
  <c r="AD583" i="25"/>
  <c r="AE583" i="25"/>
  <c r="AF583" i="25"/>
  <c r="AG583" i="25"/>
  <c r="AD584" i="25"/>
  <c r="AE584" i="25"/>
  <c r="AF584" i="25"/>
  <c r="AG584" i="25"/>
  <c r="AD585" i="25"/>
  <c r="AE585" i="25"/>
  <c r="AF585" i="25"/>
  <c r="AG585" i="25"/>
  <c r="AD586" i="25"/>
  <c r="AE586" i="25"/>
  <c r="AF586" i="25"/>
  <c r="AG586" i="25"/>
  <c r="AD587" i="25"/>
  <c r="AE587" i="25"/>
  <c r="AF587" i="25"/>
  <c r="AG587" i="25"/>
  <c r="AD588" i="25"/>
  <c r="AE588" i="25"/>
  <c r="AF588" i="25"/>
  <c r="AG588" i="25"/>
  <c r="AD589" i="25"/>
  <c r="AE589" i="25"/>
  <c r="AF589" i="25"/>
  <c r="AG589" i="25"/>
  <c r="AD590" i="25"/>
  <c r="AE590" i="25"/>
  <c r="AF590" i="25"/>
  <c r="AG590" i="25"/>
  <c r="AD591" i="25"/>
  <c r="AE591" i="25"/>
  <c r="AF591" i="25"/>
  <c r="AG591" i="25"/>
  <c r="AD592" i="25"/>
  <c r="AE592" i="25"/>
  <c r="AF592" i="25"/>
  <c r="AG592" i="25"/>
  <c r="AD593" i="25"/>
  <c r="AE593" i="25"/>
  <c r="AF593" i="25"/>
  <c r="AG593" i="25"/>
  <c r="AD594" i="25"/>
  <c r="AE594" i="25"/>
  <c r="AF594" i="25"/>
  <c r="AG594" i="25"/>
  <c r="AD595" i="25"/>
  <c r="AE595" i="25"/>
  <c r="AF595" i="25"/>
  <c r="AG595" i="25"/>
  <c r="AD596" i="25"/>
  <c r="AE596" i="25"/>
  <c r="AF596" i="25"/>
  <c r="AG596" i="25"/>
  <c r="AD597" i="25"/>
  <c r="AE597" i="25"/>
  <c r="AF597" i="25"/>
  <c r="AG597" i="25"/>
  <c r="AD598" i="25"/>
  <c r="AE598" i="25"/>
  <c r="AF598" i="25"/>
  <c r="AG598" i="25"/>
  <c r="AD599" i="25"/>
  <c r="AE599" i="25"/>
  <c r="AF599" i="25"/>
  <c r="AG599" i="25"/>
  <c r="AD600" i="25"/>
  <c r="AE600" i="25"/>
  <c r="AF600" i="25"/>
  <c r="AG600" i="25"/>
  <c r="AD601" i="25"/>
  <c r="AE601" i="25"/>
  <c r="AF601" i="25"/>
  <c r="AG601" i="25"/>
  <c r="AD602" i="25"/>
  <c r="AE602" i="25"/>
  <c r="AF602" i="25"/>
  <c r="AG602" i="25"/>
  <c r="AD603" i="25"/>
  <c r="AE603" i="25"/>
  <c r="AF603" i="25"/>
  <c r="AG603" i="25"/>
  <c r="AD604" i="25"/>
  <c r="AE604" i="25"/>
  <c r="AF604" i="25"/>
  <c r="AG604" i="25"/>
  <c r="AD605" i="25"/>
  <c r="AE605" i="25"/>
  <c r="AF605" i="25"/>
  <c r="AG605" i="25"/>
  <c r="AD606" i="25"/>
  <c r="AE606" i="25"/>
  <c r="AF606" i="25"/>
  <c r="AG606" i="25"/>
  <c r="AD607" i="25"/>
  <c r="AE607" i="25"/>
  <c r="AF607" i="25"/>
  <c r="AG607" i="25"/>
  <c r="AD608" i="25"/>
  <c r="AE608" i="25"/>
  <c r="AF608" i="25"/>
  <c r="AG608" i="25"/>
  <c r="AD609" i="25"/>
  <c r="AE609" i="25"/>
  <c r="AF609" i="25"/>
  <c r="AG609" i="25"/>
  <c r="AD610" i="25"/>
  <c r="AE610" i="25"/>
  <c r="AF610" i="25"/>
  <c r="AG610" i="25"/>
  <c r="AD611" i="25"/>
  <c r="AE611" i="25"/>
  <c r="AF611" i="25"/>
  <c r="AG611" i="25"/>
  <c r="AD612" i="25"/>
  <c r="AE612" i="25"/>
  <c r="AF612" i="25"/>
  <c r="AG612" i="25"/>
  <c r="AD613" i="25"/>
  <c r="AE613" i="25"/>
  <c r="AF613" i="25"/>
  <c r="AG613" i="25"/>
  <c r="AD614" i="25"/>
  <c r="AE614" i="25"/>
  <c r="AF614" i="25"/>
  <c r="AG614" i="25"/>
  <c r="AD615" i="25"/>
  <c r="AE615" i="25"/>
  <c r="AF615" i="25"/>
  <c r="AG615" i="25"/>
  <c r="AD616" i="25"/>
  <c r="AE616" i="25"/>
  <c r="AF616" i="25"/>
  <c r="AG616" i="25"/>
  <c r="AD617" i="25"/>
  <c r="AE617" i="25"/>
  <c r="AF617" i="25"/>
  <c r="AG617" i="25"/>
  <c r="AD618" i="25"/>
  <c r="AE618" i="25"/>
  <c r="AF618" i="25"/>
  <c r="AG618" i="25"/>
  <c r="AD619" i="25"/>
  <c r="AE619" i="25"/>
  <c r="AF619" i="25"/>
  <c r="AG619" i="25"/>
  <c r="AD620" i="25"/>
  <c r="AE620" i="25"/>
  <c r="AF620" i="25"/>
  <c r="AG620" i="25"/>
  <c r="AD621" i="25"/>
  <c r="AE621" i="25"/>
  <c r="AF621" i="25"/>
  <c r="AG621" i="25"/>
  <c r="AD622" i="25"/>
  <c r="AE622" i="25"/>
  <c r="AF622" i="25"/>
  <c r="AG622" i="25"/>
  <c r="AD623" i="25"/>
  <c r="AE623" i="25"/>
  <c r="AF623" i="25"/>
  <c r="AG623" i="25"/>
  <c r="AD624" i="25"/>
  <c r="AE624" i="25"/>
  <c r="AF624" i="25"/>
  <c r="AG624" i="25"/>
  <c r="AD625" i="25"/>
  <c r="AE625" i="25"/>
  <c r="AF625" i="25"/>
  <c r="AG625" i="25"/>
  <c r="AD626" i="25"/>
  <c r="AE626" i="25"/>
  <c r="AF626" i="25"/>
  <c r="AG626" i="25"/>
  <c r="AD627" i="25"/>
  <c r="AE627" i="25"/>
  <c r="AF627" i="25"/>
  <c r="AG627" i="25"/>
  <c r="AD628" i="25"/>
  <c r="AE628" i="25"/>
  <c r="AF628" i="25"/>
  <c r="AG628" i="25"/>
  <c r="AD629" i="25"/>
  <c r="AE629" i="25"/>
  <c r="AF629" i="25"/>
  <c r="AG629" i="25"/>
  <c r="AD630" i="25"/>
  <c r="AE630" i="25"/>
  <c r="AF630" i="25"/>
  <c r="AG630" i="25"/>
  <c r="AD631" i="25"/>
  <c r="AE631" i="25"/>
  <c r="AF631" i="25"/>
  <c r="AG631" i="25"/>
  <c r="AD632" i="25"/>
  <c r="AE632" i="25"/>
  <c r="AF632" i="25"/>
  <c r="AG632" i="25"/>
  <c r="AD633" i="25"/>
  <c r="AE633" i="25"/>
  <c r="AF633" i="25"/>
  <c r="AG633" i="25"/>
  <c r="AD634" i="25"/>
  <c r="AE634" i="25"/>
  <c r="AF634" i="25"/>
  <c r="AG634" i="25"/>
  <c r="AD635" i="25"/>
  <c r="AE635" i="25"/>
  <c r="AF635" i="25"/>
  <c r="AG635" i="25"/>
  <c r="AD636" i="25"/>
  <c r="AE636" i="25"/>
  <c r="AF636" i="25"/>
  <c r="AG636" i="25"/>
  <c r="AD637" i="25"/>
  <c r="AE637" i="25"/>
  <c r="AF637" i="25"/>
  <c r="AG637" i="25"/>
  <c r="AD638" i="25"/>
  <c r="AE638" i="25"/>
  <c r="AF638" i="25"/>
  <c r="AG638" i="25"/>
  <c r="AD639" i="25"/>
  <c r="AE639" i="25"/>
  <c r="AF639" i="25"/>
  <c r="AG639" i="25"/>
  <c r="AD640" i="25"/>
  <c r="AE640" i="25"/>
  <c r="AF640" i="25"/>
  <c r="AG640" i="25"/>
  <c r="AD641" i="25"/>
  <c r="AE641" i="25"/>
  <c r="AF641" i="25"/>
  <c r="AG641" i="25"/>
  <c r="AD642" i="25"/>
  <c r="AE642" i="25"/>
  <c r="AF642" i="25"/>
  <c r="AG642" i="25"/>
  <c r="AD643" i="25"/>
  <c r="AE643" i="25"/>
  <c r="AF643" i="25"/>
  <c r="AG643" i="25"/>
  <c r="AD644" i="25"/>
  <c r="AE644" i="25"/>
  <c r="AF644" i="25"/>
  <c r="AG644" i="25"/>
  <c r="AD645" i="25"/>
  <c r="AE645" i="25"/>
  <c r="AF645" i="25"/>
  <c r="AG645" i="25"/>
  <c r="AD646" i="25"/>
  <c r="AE646" i="25"/>
  <c r="AF646" i="25"/>
  <c r="AG646" i="25"/>
  <c r="AD647" i="25"/>
  <c r="AE647" i="25"/>
  <c r="AF647" i="25"/>
  <c r="AG647" i="25"/>
  <c r="AD648" i="25"/>
  <c r="AE648" i="25"/>
  <c r="AF648" i="25"/>
  <c r="AG648" i="25"/>
  <c r="AD649" i="25"/>
  <c r="AE649" i="25"/>
  <c r="AF649" i="25"/>
  <c r="AG649" i="25"/>
  <c r="AD650" i="25"/>
  <c r="AE650" i="25"/>
  <c r="AF650" i="25"/>
  <c r="AG650" i="25"/>
  <c r="AD651" i="25"/>
  <c r="AE651" i="25"/>
  <c r="AF651" i="25"/>
  <c r="AG651" i="25"/>
  <c r="AD652" i="25"/>
  <c r="AE652" i="25"/>
  <c r="AF652" i="25"/>
  <c r="AG652" i="25"/>
  <c r="AD653" i="25"/>
  <c r="AE653" i="25"/>
  <c r="AF653" i="25"/>
  <c r="AG653" i="25"/>
  <c r="AD654" i="25"/>
  <c r="AE654" i="25"/>
  <c r="AF654" i="25"/>
  <c r="AG654" i="25"/>
  <c r="AD655" i="25"/>
  <c r="AE655" i="25"/>
  <c r="AF655" i="25"/>
  <c r="AG655" i="25"/>
  <c r="AD656" i="25"/>
  <c r="AE656" i="25"/>
  <c r="AF656" i="25"/>
  <c r="AG656" i="25"/>
  <c r="AD657" i="25"/>
  <c r="AE657" i="25"/>
  <c r="AF657" i="25"/>
  <c r="AG657" i="25"/>
  <c r="AD658" i="25"/>
  <c r="AE658" i="25"/>
  <c r="AF658" i="25"/>
  <c r="AG658" i="25"/>
  <c r="AD659" i="25"/>
  <c r="AE659" i="25"/>
  <c r="AF659" i="25"/>
  <c r="AG659" i="25"/>
  <c r="AD660" i="25"/>
  <c r="AE660" i="25"/>
  <c r="AF660" i="25"/>
  <c r="AG660" i="25"/>
  <c r="AD661" i="25"/>
  <c r="AE661" i="25"/>
  <c r="AF661" i="25"/>
  <c r="AG661" i="25"/>
  <c r="AD223" i="25"/>
  <c r="AE223" i="25"/>
  <c r="AF223" i="25"/>
  <c r="AG223" i="25"/>
  <c r="AD224" i="25"/>
  <c r="AE224" i="25"/>
  <c r="AF224" i="25"/>
  <c r="AG224" i="25"/>
  <c r="AD225" i="25"/>
  <c r="AE225" i="25"/>
  <c r="AF225" i="25"/>
  <c r="AG225" i="25"/>
  <c r="AD226" i="25"/>
  <c r="AE226" i="25"/>
  <c r="AF226" i="25"/>
  <c r="AG226" i="25"/>
  <c r="AD227" i="25"/>
  <c r="AE227" i="25"/>
  <c r="AF227" i="25"/>
  <c r="AG227" i="25"/>
  <c r="AD228" i="25"/>
  <c r="AE228" i="25"/>
  <c r="AF228" i="25"/>
  <c r="AG228" i="25"/>
  <c r="AD229" i="25"/>
  <c r="AE229" i="25"/>
  <c r="AF229" i="25"/>
  <c r="AG229" i="25"/>
  <c r="AD230" i="25"/>
  <c r="AE230" i="25"/>
  <c r="AF230" i="25"/>
  <c r="AG230" i="25"/>
  <c r="AD231" i="25"/>
  <c r="AE231" i="25"/>
  <c r="AF231" i="25"/>
  <c r="AG231" i="25"/>
  <c r="AD232" i="25"/>
  <c r="AE232" i="25"/>
  <c r="AF232" i="25"/>
  <c r="AG232" i="25"/>
  <c r="AD233" i="25"/>
  <c r="AE233" i="25"/>
  <c r="AF233" i="25"/>
  <c r="AG233" i="25"/>
  <c r="AD234" i="25"/>
  <c r="AE234" i="25"/>
  <c r="AF234" i="25"/>
  <c r="AG234" i="25"/>
  <c r="AD235" i="25"/>
  <c r="AE235" i="25"/>
  <c r="AF235" i="25"/>
  <c r="AG235" i="25"/>
  <c r="AD236" i="25"/>
  <c r="AE236" i="25"/>
  <c r="AF236" i="25"/>
  <c r="AG236" i="25"/>
  <c r="AD237" i="25"/>
  <c r="AE237" i="25"/>
  <c r="AF237" i="25"/>
  <c r="AG237" i="25"/>
  <c r="AD238" i="25"/>
  <c r="AE238" i="25"/>
  <c r="AF238" i="25"/>
  <c r="AG238" i="25"/>
  <c r="AD239" i="25"/>
  <c r="AE239" i="25"/>
  <c r="AF239" i="25"/>
  <c r="AG239" i="25"/>
  <c r="AD240" i="25"/>
  <c r="AE240" i="25"/>
  <c r="AF240" i="25"/>
  <c r="AG240" i="25"/>
  <c r="AD241" i="25"/>
  <c r="AE241" i="25"/>
  <c r="AF241" i="25"/>
  <c r="AG241" i="25"/>
  <c r="AD242" i="25"/>
  <c r="AE242" i="25"/>
  <c r="AF242" i="25"/>
  <c r="AG242" i="25"/>
  <c r="AD243" i="25"/>
  <c r="AE243" i="25"/>
  <c r="AF243" i="25"/>
  <c r="AG243" i="25"/>
  <c r="AD244" i="25"/>
  <c r="AE244" i="25"/>
  <c r="AF244" i="25"/>
  <c r="AG244" i="25"/>
  <c r="AD245" i="25"/>
  <c r="AE245" i="25"/>
  <c r="AF245" i="25"/>
  <c r="AG245" i="25"/>
  <c r="AD246" i="25"/>
  <c r="AE246" i="25"/>
  <c r="AF246" i="25"/>
  <c r="AG246" i="25"/>
  <c r="AD247" i="25"/>
  <c r="AE247" i="25"/>
  <c r="AF247" i="25"/>
  <c r="AG247" i="25"/>
  <c r="AD248" i="25"/>
  <c r="AE248" i="25"/>
  <c r="AF248" i="25"/>
  <c r="AG248" i="25"/>
  <c r="AD249" i="25"/>
  <c r="AE249" i="25"/>
  <c r="AF249" i="25"/>
  <c r="AG249" i="25"/>
  <c r="AD250" i="25"/>
  <c r="AE250" i="25"/>
  <c r="AF250" i="25"/>
  <c r="AG250" i="25"/>
  <c r="AD251" i="25"/>
  <c r="AE251" i="25"/>
  <c r="AF251" i="25"/>
  <c r="AG251" i="25"/>
  <c r="AD252" i="25"/>
  <c r="AE252" i="25"/>
  <c r="AF252" i="25"/>
  <c r="AG252" i="25"/>
  <c r="AD253" i="25"/>
  <c r="AE253" i="25"/>
  <c r="AF253" i="25"/>
  <c r="AG253" i="25"/>
  <c r="AD254" i="25"/>
  <c r="AE254" i="25"/>
  <c r="AF254" i="25"/>
  <c r="AG254" i="25"/>
  <c r="AD255" i="25"/>
  <c r="AE255" i="25"/>
  <c r="AF255" i="25"/>
  <c r="AG255" i="25"/>
  <c r="AD256" i="25"/>
  <c r="AE256" i="25"/>
  <c r="AF256" i="25"/>
  <c r="AG256" i="25"/>
  <c r="AD257" i="25"/>
  <c r="AE257" i="25"/>
  <c r="AF257" i="25"/>
  <c r="AG257" i="25"/>
  <c r="AD258" i="25"/>
  <c r="AE258" i="25"/>
  <c r="AF258" i="25"/>
  <c r="AG258" i="25"/>
  <c r="AD259" i="25"/>
  <c r="AE259" i="25"/>
  <c r="AF259" i="25"/>
  <c r="AG259" i="25"/>
  <c r="AD260" i="25"/>
  <c r="AE260" i="25"/>
  <c r="AF260" i="25"/>
  <c r="AG260" i="25"/>
  <c r="AD261" i="25"/>
  <c r="AE261" i="25"/>
  <c r="AF261" i="25"/>
  <c r="AG261" i="25"/>
  <c r="AD262" i="25"/>
  <c r="AE262" i="25"/>
  <c r="AF262" i="25"/>
  <c r="AG262" i="25"/>
  <c r="AD263" i="25"/>
  <c r="AE263" i="25"/>
  <c r="AF263" i="25"/>
  <c r="AG263" i="25"/>
  <c r="AD264" i="25"/>
  <c r="AE264" i="25"/>
  <c r="AF264" i="25"/>
  <c r="AG264" i="25"/>
  <c r="AD265" i="25"/>
  <c r="AE265" i="25"/>
  <c r="AF265" i="25"/>
  <c r="AG265" i="25"/>
  <c r="AD266" i="25"/>
  <c r="AE266" i="25"/>
  <c r="AF266" i="25"/>
  <c r="AG266" i="25"/>
  <c r="AD267" i="25"/>
  <c r="AE267" i="25"/>
  <c r="AF267" i="25"/>
  <c r="AG267" i="25"/>
  <c r="AD268" i="25"/>
  <c r="AE268" i="25"/>
  <c r="AF268" i="25"/>
  <c r="AG268" i="25"/>
  <c r="AD269" i="25"/>
  <c r="AE269" i="25"/>
  <c r="AF269" i="25"/>
  <c r="AG269" i="25"/>
  <c r="AD270" i="25"/>
  <c r="AE270" i="25"/>
  <c r="AF270" i="25"/>
  <c r="AG270" i="25"/>
  <c r="AD271" i="25"/>
  <c r="AE271" i="25"/>
  <c r="AF271" i="25"/>
  <c r="AG271" i="25"/>
  <c r="AD272" i="25"/>
  <c r="AE272" i="25"/>
  <c r="AF272" i="25"/>
  <c r="AG272" i="25"/>
  <c r="AD273" i="25"/>
  <c r="AE273" i="25"/>
  <c r="AF273" i="25"/>
  <c r="AG273" i="25"/>
  <c r="AD274" i="25"/>
  <c r="AE274" i="25"/>
  <c r="AF274" i="25"/>
  <c r="AG274" i="25"/>
  <c r="AD275" i="25"/>
  <c r="AE275" i="25"/>
  <c r="AF275" i="25"/>
  <c r="AG275" i="25"/>
  <c r="AD276" i="25"/>
  <c r="AE276" i="25"/>
  <c r="AF276" i="25"/>
  <c r="AG276" i="25"/>
  <c r="AD277" i="25"/>
  <c r="AE277" i="25"/>
  <c r="AF277" i="25"/>
  <c r="AG277" i="25"/>
  <c r="AD278" i="25"/>
  <c r="AE278" i="25"/>
  <c r="AF278" i="25"/>
  <c r="AG278" i="25"/>
  <c r="AD279" i="25"/>
  <c r="AE279" i="25"/>
  <c r="AF279" i="25"/>
  <c r="AG279" i="25"/>
  <c r="AD280" i="25"/>
  <c r="AE280" i="25"/>
  <c r="AF280" i="25"/>
  <c r="AG280" i="25"/>
  <c r="AD281" i="25"/>
  <c r="AE281" i="25"/>
  <c r="AF281" i="25"/>
  <c r="AG281" i="25"/>
  <c r="AD282" i="25"/>
  <c r="AE282" i="25"/>
  <c r="AF282" i="25"/>
  <c r="AG282" i="25"/>
  <c r="AD283" i="25"/>
  <c r="AE283" i="25"/>
  <c r="AF283" i="25"/>
  <c r="AG283" i="25"/>
  <c r="AD284" i="25"/>
  <c r="AE284" i="25"/>
  <c r="AF284" i="25"/>
  <c r="AG284" i="25"/>
  <c r="AD285" i="25"/>
  <c r="AE285" i="25"/>
  <c r="AF285" i="25"/>
  <c r="AG285" i="25"/>
  <c r="AD286" i="25"/>
  <c r="AE286" i="25"/>
  <c r="AF286" i="25"/>
  <c r="AG286" i="25"/>
  <c r="AD287" i="25"/>
  <c r="AE287" i="25"/>
  <c r="AF287" i="25"/>
  <c r="AG287" i="25"/>
  <c r="AD288" i="25"/>
  <c r="AE288" i="25"/>
  <c r="AF288" i="25"/>
  <c r="AG288" i="25"/>
  <c r="AD289" i="25"/>
  <c r="AE289" i="25"/>
  <c r="AF289" i="25"/>
  <c r="AG289" i="25"/>
  <c r="AD290" i="25"/>
  <c r="AE290" i="25"/>
  <c r="AF290" i="25"/>
  <c r="AG290" i="25"/>
  <c r="AD291" i="25"/>
  <c r="AE291" i="25"/>
  <c r="AF291" i="25"/>
  <c r="AG291" i="25"/>
  <c r="AD292" i="25"/>
  <c r="AE292" i="25"/>
  <c r="AF292" i="25"/>
  <c r="AG292" i="25"/>
  <c r="AD293" i="25"/>
  <c r="AE293" i="25"/>
  <c r="AF293" i="25"/>
  <c r="AG293" i="25"/>
  <c r="AD294" i="25"/>
  <c r="AE294" i="25"/>
  <c r="AF294" i="25"/>
  <c r="AG294" i="25"/>
  <c r="AD295" i="25"/>
  <c r="AE295" i="25"/>
  <c r="AF295" i="25"/>
  <c r="AG295" i="25"/>
  <c r="AD296" i="25"/>
  <c r="AE296" i="25"/>
  <c r="AF296" i="25"/>
  <c r="AG296" i="25"/>
  <c r="AD297" i="25"/>
  <c r="AE297" i="25"/>
  <c r="AF297" i="25"/>
  <c r="AG297" i="25"/>
  <c r="AD298" i="25"/>
  <c r="AE298" i="25"/>
  <c r="AF298" i="25"/>
  <c r="AG298" i="25"/>
  <c r="AD299" i="25"/>
  <c r="AE299" i="25"/>
  <c r="AF299" i="25"/>
  <c r="AG299" i="25"/>
  <c r="AD300" i="25"/>
  <c r="AE300" i="25"/>
  <c r="AF300" i="25"/>
  <c r="AG300" i="25"/>
  <c r="AD301" i="25"/>
  <c r="AE301" i="25"/>
  <c r="AF301" i="25"/>
  <c r="AG301" i="25"/>
  <c r="AD302" i="25"/>
  <c r="AE302" i="25"/>
  <c r="AF302" i="25"/>
  <c r="AG302" i="25"/>
  <c r="AD303" i="25"/>
  <c r="AE303" i="25"/>
  <c r="AF303" i="25"/>
  <c r="AG303" i="25"/>
  <c r="AD304" i="25"/>
  <c r="AE304" i="25"/>
  <c r="AF304" i="25"/>
  <c r="AG304" i="25"/>
  <c r="AD305" i="25"/>
  <c r="AE305" i="25"/>
  <c r="AF305" i="25"/>
  <c r="AG305" i="25"/>
  <c r="AD306" i="25"/>
  <c r="AE306" i="25"/>
  <c r="AF306" i="25"/>
  <c r="AG306" i="25"/>
  <c r="AD307" i="25"/>
  <c r="AE307" i="25"/>
  <c r="AF307" i="25"/>
  <c r="AG307" i="25"/>
  <c r="AD308" i="25"/>
  <c r="AE308" i="25"/>
  <c r="AF308" i="25"/>
  <c r="AG308" i="25"/>
  <c r="AD309" i="25"/>
  <c r="AE309" i="25"/>
  <c r="AF309" i="25"/>
  <c r="AG309" i="25"/>
  <c r="AD310" i="25"/>
  <c r="AE310" i="25"/>
  <c r="AF310" i="25"/>
  <c r="AG310" i="25"/>
  <c r="AD311" i="25"/>
  <c r="AE311" i="25"/>
  <c r="AF311" i="25"/>
  <c r="AG311" i="25"/>
  <c r="AD312" i="25"/>
  <c r="AE312" i="25"/>
  <c r="AF312" i="25"/>
  <c r="AG312" i="25"/>
  <c r="AD313" i="25"/>
  <c r="AE313" i="25"/>
  <c r="AF313" i="25"/>
  <c r="AG313" i="25"/>
  <c r="AD314" i="25"/>
  <c r="AE314" i="25"/>
  <c r="AF314" i="25"/>
  <c r="AG314" i="25"/>
  <c r="AD315" i="25"/>
  <c r="AE315" i="25"/>
  <c r="AF315" i="25"/>
  <c r="AG315" i="25"/>
  <c r="AD316" i="25"/>
  <c r="AE316" i="25"/>
  <c r="AF316" i="25"/>
  <c r="AG316" i="25"/>
  <c r="AD317" i="25"/>
  <c r="AE317" i="25"/>
  <c r="AF317" i="25"/>
  <c r="AG317" i="25"/>
  <c r="AD318" i="25"/>
  <c r="AE318" i="25"/>
  <c r="AF318" i="25"/>
  <c r="AG318" i="25"/>
  <c r="AD319" i="25"/>
  <c r="AE319" i="25"/>
  <c r="AF319" i="25"/>
  <c r="AG319" i="25"/>
  <c r="AD320" i="25"/>
  <c r="AE320" i="25"/>
  <c r="AF320" i="25"/>
  <c r="AG320" i="25"/>
  <c r="AD321" i="25"/>
  <c r="AE321" i="25"/>
  <c r="AF321" i="25"/>
  <c r="AG321" i="25"/>
  <c r="AD322" i="25"/>
  <c r="AE322" i="25"/>
  <c r="AF322" i="25"/>
  <c r="AG322" i="25"/>
  <c r="AD323" i="25"/>
  <c r="AE323" i="25"/>
  <c r="AF323" i="25"/>
  <c r="AG323" i="25"/>
  <c r="AD324" i="25"/>
  <c r="AE324" i="25"/>
  <c r="AF324" i="25"/>
  <c r="AG324" i="25"/>
  <c r="AD325" i="25"/>
  <c r="AE325" i="25"/>
  <c r="AF325" i="25"/>
  <c r="AG325" i="25"/>
  <c r="AD326" i="25"/>
  <c r="AE326" i="25"/>
  <c r="AF326" i="25"/>
  <c r="AG326" i="25"/>
  <c r="AD327" i="25"/>
  <c r="AE327" i="25"/>
  <c r="AF327" i="25"/>
  <c r="AG327" i="25"/>
  <c r="AD328" i="25"/>
  <c r="AE328" i="25"/>
  <c r="AF328" i="25"/>
  <c r="AG328" i="25"/>
  <c r="AD329" i="25"/>
  <c r="AE329" i="25"/>
  <c r="AF329" i="25"/>
  <c r="AG329" i="25"/>
  <c r="AD330" i="25"/>
  <c r="AE330" i="25"/>
  <c r="AF330" i="25"/>
  <c r="AG330" i="25"/>
  <c r="AD331" i="25"/>
  <c r="AE331" i="25"/>
  <c r="AF331" i="25"/>
  <c r="AG331" i="25"/>
  <c r="AD332" i="25"/>
  <c r="AE332" i="25"/>
  <c r="AF332" i="25"/>
  <c r="AG332" i="25"/>
  <c r="AD333" i="25"/>
  <c r="AE333" i="25"/>
  <c r="AF333" i="25"/>
  <c r="AG333" i="25"/>
  <c r="AD334" i="25"/>
  <c r="AE334" i="25"/>
  <c r="AF334" i="25"/>
  <c r="AG334" i="25"/>
  <c r="AD335" i="25"/>
  <c r="AE335" i="25"/>
  <c r="AF335" i="25"/>
  <c r="AG335" i="25"/>
  <c r="AD336" i="25"/>
  <c r="AE336" i="25"/>
  <c r="AF336" i="25"/>
  <c r="AG336" i="25"/>
  <c r="AD337" i="25"/>
  <c r="AE337" i="25"/>
  <c r="AF337" i="25"/>
  <c r="AG337" i="25"/>
  <c r="AD338" i="25"/>
  <c r="AE338" i="25"/>
  <c r="AF338" i="25"/>
  <c r="AG338" i="25"/>
  <c r="AD339" i="25"/>
  <c r="AE339" i="25"/>
  <c r="AF339" i="25"/>
  <c r="AG339" i="25"/>
  <c r="AD340" i="25"/>
  <c r="AE340" i="25"/>
  <c r="AF340" i="25"/>
  <c r="AG340" i="25"/>
  <c r="AD341" i="25"/>
  <c r="AE341" i="25"/>
  <c r="AF341" i="25"/>
  <c r="AG341" i="25"/>
  <c r="AD342" i="25"/>
  <c r="AE342" i="25"/>
  <c r="AF342" i="25"/>
  <c r="AG342" i="25"/>
  <c r="AD343" i="25"/>
  <c r="AE343" i="25"/>
  <c r="AF343" i="25"/>
  <c r="AG343" i="25"/>
  <c r="AD344" i="25"/>
  <c r="AE344" i="25"/>
  <c r="AF344" i="25"/>
  <c r="AG344" i="25"/>
  <c r="AD345" i="25"/>
  <c r="AE345" i="25"/>
  <c r="AF345" i="25"/>
  <c r="AG345" i="25"/>
  <c r="AD346" i="25"/>
  <c r="AE346" i="25"/>
  <c r="AF346" i="25"/>
  <c r="AG346" i="25"/>
  <c r="AD347" i="25"/>
  <c r="AE347" i="25"/>
  <c r="AF347" i="25"/>
  <c r="AG347" i="25"/>
  <c r="AD348" i="25"/>
  <c r="AE348" i="25"/>
  <c r="AF348" i="25"/>
  <c r="AG348" i="25"/>
  <c r="AD349" i="25"/>
  <c r="AE349" i="25"/>
  <c r="AF349" i="25"/>
  <c r="AG349" i="25"/>
  <c r="AD350" i="25"/>
  <c r="AE350" i="25"/>
  <c r="AF350" i="25"/>
  <c r="AG350" i="25"/>
  <c r="AD351" i="25"/>
  <c r="AE351" i="25"/>
  <c r="AF351" i="25"/>
  <c r="AG351" i="25"/>
  <c r="AD352" i="25"/>
  <c r="AE352" i="25"/>
  <c r="AF352" i="25"/>
  <c r="AG352" i="25"/>
  <c r="AD353" i="25"/>
  <c r="AE353" i="25"/>
  <c r="AF353" i="25"/>
  <c r="AG353" i="25"/>
  <c r="AD354" i="25"/>
  <c r="AE354" i="25"/>
  <c r="AF354" i="25"/>
  <c r="AG354" i="25"/>
  <c r="AD355" i="25"/>
  <c r="AE355" i="25"/>
  <c r="AF355" i="25"/>
  <c r="AG355" i="25"/>
  <c r="AD356" i="25"/>
  <c r="AE356" i="25"/>
  <c r="AF356" i="25"/>
  <c r="AG356" i="25"/>
  <c r="AD357" i="25"/>
  <c r="AE357" i="25"/>
  <c r="AF357" i="25"/>
  <c r="AG357" i="25"/>
  <c r="AD358" i="25"/>
  <c r="AE358" i="25"/>
  <c r="AF358" i="25"/>
  <c r="AG358" i="25"/>
  <c r="AD359" i="25"/>
  <c r="AE359" i="25"/>
  <c r="AF359" i="25"/>
  <c r="AG359" i="25"/>
  <c r="AD360" i="25"/>
  <c r="AE360" i="25"/>
  <c r="AF360" i="25"/>
  <c r="AG360" i="25"/>
  <c r="AD361" i="25"/>
  <c r="AE361" i="25"/>
  <c r="AF361" i="25"/>
  <c r="AG361" i="25"/>
  <c r="AD362" i="25"/>
  <c r="AE362" i="25"/>
  <c r="AF362" i="25"/>
  <c r="AG362" i="25"/>
  <c r="AD363" i="25"/>
  <c r="AE363" i="25"/>
  <c r="AF363" i="25"/>
  <c r="AG363" i="25"/>
  <c r="AD364" i="25"/>
  <c r="AE364" i="25"/>
  <c r="AF364" i="25"/>
  <c r="AG364" i="25"/>
  <c r="AD365" i="25"/>
  <c r="AE365" i="25"/>
  <c r="AF365" i="25"/>
  <c r="AG365" i="25"/>
  <c r="AD366" i="25"/>
  <c r="AE366" i="25"/>
  <c r="AF366" i="25"/>
  <c r="AG366" i="25"/>
  <c r="AD367" i="25"/>
  <c r="AE367" i="25"/>
  <c r="AF367" i="25"/>
  <c r="AG367" i="25"/>
  <c r="AD368" i="25"/>
  <c r="AE368" i="25"/>
  <c r="AF368" i="25"/>
  <c r="AG368" i="25"/>
  <c r="AD369" i="25"/>
  <c r="AE369" i="25"/>
  <c r="AF369" i="25"/>
  <c r="AG369" i="25"/>
  <c r="AD370" i="25"/>
  <c r="AE370" i="25"/>
  <c r="AF370" i="25"/>
  <c r="AG370" i="25"/>
  <c r="AD371" i="25"/>
  <c r="AE371" i="25"/>
  <c r="AF371" i="25"/>
  <c r="AG371" i="25"/>
  <c r="AD372" i="25"/>
  <c r="AE372" i="25"/>
  <c r="AF372" i="25"/>
  <c r="AG372" i="25"/>
  <c r="AD373" i="25"/>
  <c r="AE373" i="25"/>
  <c r="AF373" i="25"/>
  <c r="AG373" i="25"/>
  <c r="AD374" i="25"/>
  <c r="AE374" i="25"/>
  <c r="AF374" i="25"/>
  <c r="AG374" i="25"/>
  <c r="AD375" i="25"/>
  <c r="AE375" i="25"/>
  <c r="AF375" i="25"/>
  <c r="AG375" i="25"/>
  <c r="AD376" i="25"/>
  <c r="AE376" i="25"/>
  <c r="AF376" i="25"/>
  <c r="AG376" i="25"/>
  <c r="AD377" i="25"/>
  <c r="AE377" i="25"/>
  <c r="AF377" i="25"/>
  <c r="AG377" i="25"/>
  <c r="AD378" i="25"/>
  <c r="AE378" i="25"/>
  <c r="AF378" i="25"/>
  <c r="AG378" i="25"/>
  <c r="AD379" i="25"/>
  <c r="AE379" i="25"/>
  <c r="AF379" i="25"/>
  <c r="AG379" i="25"/>
  <c r="AD380" i="25"/>
  <c r="AE380" i="25"/>
  <c r="AF380" i="25"/>
  <c r="AG380" i="25"/>
  <c r="AD381" i="25"/>
  <c r="AE381" i="25"/>
  <c r="AF381" i="25"/>
  <c r="AG381" i="25"/>
  <c r="AD382" i="25"/>
  <c r="AE382" i="25"/>
  <c r="AF382" i="25"/>
  <c r="AG382" i="25"/>
  <c r="AD383" i="25"/>
  <c r="AE383" i="25"/>
  <c r="AF383" i="25"/>
  <c r="AG383" i="25"/>
  <c r="AD384" i="25"/>
  <c r="AE384" i="25"/>
  <c r="AF384" i="25"/>
  <c r="AG384" i="25"/>
  <c r="AD385" i="25"/>
  <c r="AE385" i="25"/>
  <c r="AF385" i="25"/>
  <c r="AG385" i="25"/>
  <c r="AD386" i="25"/>
  <c r="AE386" i="25"/>
  <c r="AF386" i="25"/>
  <c r="AG386" i="25"/>
  <c r="AD387" i="25"/>
  <c r="AE387" i="25"/>
  <c r="AF387" i="25"/>
  <c r="AG387" i="25"/>
  <c r="AD388" i="25"/>
  <c r="AE388" i="25"/>
  <c r="AF388" i="25"/>
  <c r="AG388" i="25"/>
  <c r="AD389" i="25"/>
  <c r="AE389" i="25"/>
  <c r="AF389" i="25"/>
  <c r="AG389" i="25"/>
  <c r="AD390" i="25"/>
  <c r="AE390" i="25"/>
  <c r="AF390" i="25"/>
  <c r="AG390" i="25"/>
  <c r="AD391" i="25"/>
  <c r="AE391" i="25"/>
  <c r="AF391" i="25"/>
  <c r="AG391" i="25"/>
  <c r="AD392" i="25"/>
  <c r="AE392" i="25"/>
  <c r="AF392" i="25"/>
  <c r="AG392" i="25"/>
  <c r="AD393" i="25"/>
  <c r="AE393" i="25"/>
  <c r="AF393" i="25"/>
  <c r="AG393" i="25"/>
  <c r="AD394" i="25"/>
  <c r="AE394" i="25"/>
  <c r="AF394" i="25"/>
  <c r="AG394" i="25"/>
  <c r="AD395" i="25"/>
  <c r="AE395" i="25"/>
  <c r="AF395" i="25"/>
  <c r="AG395" i="25"/>
  <c r="AD396" i="25"/>
  <c r="AE396" i="25"/>
  <c r="AF396" i="25"/>
  <c r="AG396" i="25"/>
  <c r="AD397" i="25"/>
  <c r="AE397" i="25"/>
  <c r="AF397" i="25"/>
  <c r="AG397" i="25"/>
  <c r="AD398" i="25"/>
  <c r="AE398" i="25"/>
  <c r="AF398" i="25"/>
  <c r="AG398" i="25"/>
  <c r="AD399" i="25"/>
  <c r="AE399" i="25"/>
  <c r="AF399" i="25"/>
  <c r="AG399" i="25"/>
  <c r="AD400" i="25"/>
  <c r="AE400" i="25"/>
  <c r="AF400" i="25"/>
  <c r="AG400" i="25"/>
  <c r="AD401" i="25"/>
  <c r="AE401" i="25"/>
  <c r="AF401" i="25"/>
  <c r="AG401" i="25"/>
  <c r="AD402" i="25"/>
  <c r="AE402" i="25"/>
  <c r="AF402" i="25"/>
  <c r="AG402" i="25"/>
  <c r="AD403" i="25"/>
  <c r="AE403" i="25"/>
  <c r="AF403" i="25"/>
  <c r="AG403" i="25"/>
  <c r="AD404" i="25"/>
  <c r="AE404" i="25"/>
  <c r="AF404" i="25"/>
  <c r="AG404" i="25"/>
  <c r="AD405" i="25"/>
  <c r="AE405" i="25"/>
  <c r="AF405" i="25"/>
  <c r="AG405" i="25"/>
  <c r="AD406" i="25"/>
  <c r="AE406" i="25"/>
  <c r="AF406" i="25"/>
  <c r="AG406" i="25"/>
  <c r="AD407" i="25"/>
  <c r="AE407" i="25"/>
  <c r="AF407" i="25"/>
  <c r="AG407" i="25"/>
  <c r="AD408" i="25"/>
  <c r="AE408" i="25"/>
  <c r="AF408" i="25"/>
  <c r="AG408" i="25"/>
  <c r="AD409" i="25"/>
  <c r="AE409" i="25"/>
  <c r="AF409" i="25"/>
  <c r="AG409" i="25"/>
  <c r="AD410" i="25"/>
  <c r="AE410" i="25"/>
  <c r="AF410" i="25"/>
  <c r="AG410" i="25"/>
  <c r="AD411" i="25"/>
  <c r="AE411" i="25"/>
  <c r="AF411" i="25"/>
  <c r="AG411" i="25"/>
  <c r="AD412" i="25"/>
  <c r="AE412" i="25"/>
  <c r="AF412" i="25"/>
  <c r="AG412" i="25"/>
  <c r="AD413" i="25"/>
  <c r="AE413" i="25"/>
  <c r="AF413" i="25"/>
  <c r="AG413" i="25"/>
  <c r="AD414" i="25"/>
  <c r="AE414" i="25"/>
  <c r="AF414" i="25"/>
  <c r="AG414" i="25"/>
  <c r="AD415" i="25"/>
  <c r="AE415" i="25"/>
  <c r="AF415" i="25"/>
  <c r="AG415" i="25"/>
  <c r="AD416" i="25"/>
  <c r="AE416" i="25"/>
  <c r="AF416" i="25"/>
  <c r="AG416" i="25"/>
  <c r="AD417" i="25"/>
  <c r="AE417" i="25"/>
  <c r="AF417" i="25"/>
  <c r="AG417" i="25"/>
  <c r="AD418" i="25"/>
  <c r="AE418" i="25"/>
  <c r="AF418" i="25"/>
  <c r="AG418" i="25"/>
  <c r="AD419" i="25"/>
  <c r="AE419" i="25"/>
  <c r="AF419" i="25"/>
  <c r="AG419" i="25"/>
  <c r="AD420" i="25"/>
  <c r="AE420" i="25"/>
  <c r="AF420" i="25"/>
  <c r="AG420" i="25"/>
  <c r="AD421" i="25"/>
  <c r="AE421" i="25"/>
  <c r="AF421" i="25"/>
  <c r="AG421" i="25"/>
  <c r="AD422" i="25"/>
  <c r="AE422" i="25"/>
  <c r="AF422" i="25"/>
  <c r="AG422" i="25"/>
  <c r="AD423" i="25"/>
  <c r="AE423" i="25"/>
  <c r="AF423" i="25"/>
  <c r="AG423" i="25"/>
  <c r="AD424" i="25"/>
  <c r="AE424" i="25"/>
  <c r="AF424" i="25"/>
  <c r="AG424" i="25"/>
  <c r="AD425" i="25"/>
  <c r="AE425" i="25"/>
  <c r="AF425" i="25"/>
  <c r="AG425" i="25"/>
  <c r="AD426" i="25"/>
  <c r="AE426" i="25"/>
  <c r="AF426" i="25"/>
  <c r="AG426" i="25"/>
  <c r="AD427" i="25"/>
  <c r="AE427" i="25"/>
  <c r="AF427" i="25"/>
  <c r="AG427" i="25"/>
  <c r="AD428" i="25"/>
  <c r="AE428" i="25"/>
  <c r="AF428" i="25"/>
  <c r="AG428" i="25"/>
  <c r="AD429" i="25"/>
  <c r="AE429" i="25"/>
  <c r="AF429" i="25"/>
  <c r="AG429" i="25"/>
  <c r="AD430" i="25"/>
  <c r="AE430" i="25"/>
  <c r="AF430" i="25"/>
  <c r="AG430" i="25"/>
  <c r="AD431" i="25"/>
  <c r="AE431" i="25"/>
  <c r="AF431" i="25"/>
  <c r="AG431" i="25"/>
  <c r="AD432" i="25"/>
  <c r="AE432" i="25"/>
  <c r="AF432" i="25"/>
  <c r="AG432" i="25"/>
  <c r="AD433" i="25"/>
  <c r="AE433" i="25"/>
  <c r="AF433" i="25"/>
  <c r="AG433" i="25"/>
  <c r="AD434" i="25"/>
  <c r="AE434" i="25"/>
  <c r="AF434" i="25"/>
  <c r="AG434" i="25"/>
  <c r="AD435" i="25"/>
  <c r="AE435" i="25"/>
  <c r="AF435" i="25"/>
  <c r="AG435" i="25"/>
  <c r="AD436" i="25"/>
  <c r="AE436" i="25"/>
  <c r="AF436" i="25"/>
  <c r="AG436" i="25"/>
  <c r="AD437" i="25"/>
  <c r="AE437" i="25"/>
  <c r="AF437" i="25"/>
  <c r="AG437" i="25"/>
  <c r="AD438" i="25"/>
  <c r="AE438" i="25"/>
  <c r="AF438" i="25"/>
  <c r="AG438" i="25"/>
  <c r="AD439" i="25"/>
  <c r="AE439" i="25"/>
  <c r="AF439" i="25"/>
  <c r="AG439" i="25"/>
  <c r="AD440" i="25"/>
  <c r="AE440" i="25"/>
  <c r="AF440" i="25"/>
  <c r="AG440" i="25"/>
  <c r="AD441" i="25"/>
  <c r="AE441" i="25"/>
  <c r="AF441" i="25"/>
  <c r="AG441" i="25"/>
  <c r="AD2" i="25"/>
  <c r="AE2" i="25"/>
  <c r="AF2" i="25"/>
  <c r="AG2" i="25"/>
  <c r="AD3" i="25"/>
  <c r="AE3" i="25"/>
  <c r="AF3" i="25"/>
  <c r="AG3" i="25"/>
  <c r="AD4" i="25"/>
  <c r="AE4" i="25"/>
  <c r="AF4" i="25"/>
  <c r="AG4" i="25"/>
  <c r="AD5" i="25"/>
  <c r="AE5" i="25"/>
  <c r="AF5" i="25"/>
  <c r="AG5" i="25"/>
  <c r="AD6" i="25"/>
  <c r="AE6" i="25"/>
  <c r="AF6" i="25"/>
  <c r="AG6" i="25"/>
  <c r="AD7" i="25"/>
  <c r="AE7" i="25"/>
  <c r="AF7" i="25"/>
  <c r="AG7" i="25"/>
  <c r="AD8" i="25"/>
  <c r="AE8" i="25"/>
  <c r="AF8" i="25"/>
  <c r="AG8" i="25"/>
  <c r="AD9" i="25"/>
  <c r="AE9" i="25"/>
  <c r="AF9" i="25"/>
  <c r="AG9" i="25"/>
  <c r="AD10" i="25"/>
  <c r="AE10" i="25"/>
  <c r="AF10" i="25"/>
  <c r="AG10" i="25"/>
  <c r="AD11" i="25"/>
  <c r="AE11" i="25"/>
  <c r="AF11" i="25"/>
  <c r="AG11" i="25"/>
  <c r="AD12" i="25"/>
  <c r="AE12" i="25"/>
  <c r="AF12" i="25"/>
  <c r="AG12" i="25"/>
  <c r="AD13" i="25"/>
  <c r="AE13" i="25"/>
  <c r="AF13" i="25"/>
  <c r="AG13" i="25"/>
  <c r="AD14" i="25"/>
  <c r="AE14" i="25"/>
  <c r="AF14" i="25"/>
  <c r="AG14" i="25"/>
  <c r="AD15" i="25"/>
  <c r="AE15" i="25"/>
  <c r="AF15" i="25"/>
  <c r="AG15" i="25"/>
  <c r="AD16" i="25"/>
  <c r="AE16" i="25"/>
  <c r="AF16" i="25"/>
  <c r="AG16" i="25"/>
  <c r="AD17" i="25"/>
  <c r="AE17" i="25"/>
  <c r="AF17" i="25"/>
  <c r="AG17" i="25"/>
  <c r="AD18" i="25"/>
  <c r="AE18" i="25"/>
  <c r="AF18" i="25"/>
  <c r="AG18" i="25"/>
  <c r="AD19" i="25"/>
  <c r="AE19" i="25"/>
  <c r="AF19" i="25"/>
  <c r="AG19" i="25"/>
  <c r="AD20" i="25"/>
  <c r="AE20" i="25"/>
  <c r="AF20" i="25"/>
  <c r="AG20" i="25"/>
  <c r="AD21" i="25"/>
  <c r="AE21" i="25"/>
  <c r="AF21" i="25"/>
  <c r="AG21" i="25"/>
  <c r="AD22" i="25"/>
  <c r="AE22" i="25"/>
  <c r="AF22" i="25"/>
  <c r="AG22" i="25"/>
  <c r="AD23" i="25"/>
  <c r="AE23" i="25"/>
  <c r="AF23" i="25"/>
  <c r="AG23" i="25"/>
  <c r="AD24" i="25"/>
  <c r="AE24" i="25"/>
  <c r="AF24" i="25"/>
  <c r="AG24" i="25"/>
  <c r="AD25" i="25"/>
  <c r="AE25" i="25"/>
  <c r="AF25" i="25"/>
  <c r="AG25" i="25"/>
  <c r="AD26" i="25"/>
  <c r="AE26" i="25"/>
  <c r="AF26" i="25"/>
  <c r="AG26" i="25"/>
  <c r="AD27" i="25"/>
  <c r="AE27" i="25"/>
  <c r="AF27" i="25"/>
  <c r="AG27" i="25"/>
  <c r="AD28" i="25"/>
  <c r="AE28" i="25"/>
  <c r="AF28" i="25"/>
  <c r="AG28" i="25"/>
  <c r="AD29" i="25"/>
  <c r="AE29" i="25"/>
  <c r="AF29" i="25"/>
  <c r="AG29" i="25"/>
  <c r="AD30" i="25"/>
  <c r="AE30" i="25"/>
  <c r="AF30" i="25"/>
  <c r="AG30" i="25"/>
  <c r="AD31" i="25"/>
  <c r="AE31" i="25"/>
  <c r="AF31" i="25"/>
  <c r="AG31" i="25"/>
  <c r="AD32" i="25"/>
  <c r="AE32" i="25"/>
  <c r="AF32" i="25"/>
  <c r="AG32" i="25"/>
  <c r="AD33" i="25"/>
  <c r="AE33" i="25"/>
  <c r="AF33" i="25"/>
  <c r="AG33" i="25"/>
  <c r="AD34" i="25"/>
  <c r="AE34" i="25"/>
  <c r="AF34" i="25"/>
  <c r="AG34" i="25"/>
  <c r="AD35" i="25"/>
  <c r="AE35" i="25"/>
  <c r="AF35" i="25"/>
  <c r="AG35" i="25"/>
  <c r="AD36" i="25"/>
  <c r="AE36" i="25"/>
  <c r="AF36" i="25"/>
  <c r="AG36" i="25"/>
  <c r="AD37" i="25"/>
  <c r="AE37" i="25"/>
  <c r="AF37" i="25"/>
  <c r="AG37" i="25"/>
  <c r="AD38" i="25"/>
  <c r="AE38" i="25"/>
  <c r="AF38" i="25"/>
  <c r="AG38" i="25"/>
  <c r="AD39" i="25"/>
  <c r="AE39" i="25"/>
  <c r="AF39" i="25"/>
  <c r="AG39" i="25"/>
  <c r="AD40" i="25"/>
  <c r="AE40" i="25"/>
  <c r="AF40" i="25"/>
  <c r="AG40" i="25"/>
  <c r="AD41" i="25"/>
  <c r="AE41" i="25"/>
  <c r="AF41" i="25"/>
  <c r="AG41" i="25"/>
  <c r="AD42" i="25"/>
  <c r="AE42" i="25"/>
  <c r="AF42" i="25"/>
  <c r="AG42" i="25"/>
  <c r="AD43" i="25"/>
  <c r="AE43" i="25"/>
  <c r="AF43" i="25"/>
  <c r="AG43" i="25"/>
  <c r="AD44" i="25"/>
  <c r="AE44" i="25"/>
  <c r="AF44" i="25"/>
  <c r="AG44" i="25"/>
  <c r="AD45" i="25"/>
  <c r="AE45" i="25"/>
  <c r="AF45" i="25"/>
  <c r="AG45" i="25"/>
  <c r="AD46" i="25"/>
  <c r="AE46" i="25"/>
  <c r="AF46" i="25"/>
  <c r="AG46" i="25"/>
  <c r="AD47" i="25"/>
  <c r="AE47" i="25"/>
  <c r="AF47" i="25"/>
  <c r="AG47" i="25"/>
  <c r="AD48" i="25"/>
  <c r="AE48" i="25"/>
  <c r="AF48" i="25"/>
  <c r="AG48" i="25"/>
  <c r="AD49" i="25"/>
  <c r="AE49" i="25"/>
  <c r="AF49" i="25"/>
  <c r="AG49" i="25"/>
  <c r="AD50" i="25"/>
  <c r="AE50" i="25"/>
  <c r="AF50" i="25"/>
  <c r="AG50" i="25"/>
  <c r="AD51" i="25"/>
  <c r="AE51" i="25"/>
  <c r="AF51" i="25"/>
  <c r="AG51" i="25"/>
  <c r="AD52" i="25"/>
  <c r="AE52" i="25"/>
  <c r="AF52" i="25"/>
  <c r="AG52" i="25"/>
  <c r="AD53" i="25"/>
  <c r="AE53" i="25"/>
  <c r="AF53" i="25"/>
  <c r="AG53" i="25"/>
  <c r="AD54" i="25"/>
  <c r="AE54" i="25"/>
  <c r="AF54" i="25"/>
  <c r="AG54" i="25"/>
  <c r="AD55" i="25"/>
  <c r="AE55" i="25"/>
  <c r="AF55" i="25"/>
  <c r="AG55" i="25"/>
  <c r="AD56" i="25"/>
  <c r="AE56" i="25"/>
  <c r="AF56" i="25"/>
  <c r="AG56" i="25"/>
  <c r="AD57" i="25"/>
  <c r="AE57" i="25"/>
  <c r="AF57" i="25"/>
  <c r="AG57" i="25"/>
  <c r="AD58" i="25"/>
  <c r="AE58" i="25"/>
  <c r="AF58" i="25"/>
  <c r="AG58" i="25"/>
  <c r="AD59" i="25"/>
  <c r="AE59" i="25"/>
  <c r="AF59" i="25"/>
  <c r="AG59" i="25"/>
  <c r="AD60" i="25"/>
  <c r="AE60" i="25"/>
  <c r="AF60" i="25"/>
  <c r="AG60" i="25"/>
  <c r="AD61" i="25"/>
  <c r="AE61" i="25"/>
  <c r="AF61" i="25"/>
  <c r="AG61" i="25"/>
  <c r="AD62" i="25"/>
  <c r="AE62" i="25"/>
  <c r="AF62" i="25"/>
  <c r="AG62" i="25"/>
  <c r="AD63" i="25"/>
  <c r="AE63" i="25"/>
  <c r="AF63" i="25"/>
  <c r="AG63" i="25"/>
  <c r="AD64" i="25"/>
  <c r="AE64" i="25"/>
  <c r="AF64" i="25"/>
  <c r="AG64" i="25"/>
  <c r="AD65" i="25"/>
  <c r="AE65" i="25"/>
  <c r="AF65" i="25"/>
  <c r="AG65" i="25"/>
  <c r="AD66" i="25"/>
  <c r="AE66" i="25"/>
  <c r="AF66" i="25"/>
  <c r="AG66" i="25"/>
  <c r="AD67" i="25"/>
  <c r="AE67" i="25"/>
  <c r="AF67" i="25"/>
  <c r="AG67" i="25"/>
  <c r="AD68" i="25"/>
  <c r="AE68" i="25"/>
  <c r="AF68" i="25"/>
  <c r="AG68" i="25"/>
  <c r="AD69" i="25"/>
  <c r="AE69" i="25"/>
  <c r="AF69" i="25"/>
  <c r="AG69" i="25"/>
  <c r="AD70" i="25"/>
  <c r="AE70" i="25"/>
  <c r="AF70" i="25"/>
  <c r="AG70" i="25"/>
  <c r="AD71" i="25"/>
  <c r="AE71" i="25"/>
  <c r="AF71" i="25"/>
  <c r="AG71" i="25"/>
  <c r="AD72" i="25"/>
  <c r="AE72" i="25"/>
  <c r="AF72" i="25"/>
  <c r="AG72" i="25"/>
  <c r="AD73" i="25"/>
  <c r="AE73" i="25"/>
  <c r="AF73" i="25"/>
  <c r="AG73" i="25"/>
  <c r="AD74" i="25"/>
  <c r="AE74" i="25"/>
  <c r="AF74" i="25"/>
  <c r="AG74" i="25"/>
  <c r="AD75" i="25"/>
  <c r="AE75" i="25"/>
  <c r="AF75" i="25"/>
  <c r="AG75" i="25"/>
  <c r="AD76" i="25"/>
  <c r="AE76" i="25"/>
  <c r="AF76" i="25"/>
  <c r="AG76" i="25"/>
  <c r="AD77" i="25"/>
  <c r="AE77" i="25"/>
  <c r="AF77" i="25"/>
  <c r="AG77" i="25"/>
  <c r="AD78" i="25"/>
  <c r="AE78" i="25"/>
  <c r="AF78" i="25"/>
  <c r="AG78" i="25"/>
  <c r="AD79" i="25"/>
  <c r="AE79" i="25"/>
  <c r="AF79" i="25"/>
  <c r="AG79" i="25"/>
  <c r="AD80" i="25"/>
  <c r="AE80" i="25"/>
  <c r="AF80" i="25"/>
  <c r="AG80" i="25"/>
  <c r="AD81" i="25"/>
  <c r="AE81" i="25"/>
  <c r="AF81" i="25"/>
  <c r="AG81" i="25"/>
  <c r="AD82" i="25"/>
  <c r="AE82" i="25"/>
  <c r="AF82" i="25"/>
  <c r="AG82" i="25"/>
  <c r="AD83" i="25"/>
  <c r="AE83" i="25"/>
  <c r="AF83" i="25"/>
  <c r="AG83" i="25"/>
  <c r="AD84" i="25"/>
  <c r="AE84" i="25"/>
  <c r="AF84" i="25"/>
  <c r="AG84" i="25"/>
  <c r="AD85" i="25"/>
  <c r="AE85" i="25"/>
  <c r="AF85" i="25"/>
  <c r="AG85" i="25"/>
  <c r="AD86" i="25"/>
  <c r="AE86" i="25"/>
  <c r="AF86" i="25"/>
  <c r="AG86" i="25"/>
  <c r="AD87" i="25"/>
  <c r="AE87" i="25"/>
  <c r="AF87" i="25"/>
  <c r="AG87" i="25"/>
  <c r="AD88" i="25"/>
  <c r="AE88" i="25"/>
  <c r="AF88" i="25"/>
  <c r="AG88" i="25"/>
  <c r="AD89" i="25"/>
  <c r="AE89" i="25"/>
  <c r="AF89" i="25"/>
  <c r="AG89" i="25"/>
  <c r="AD90" i="25"/>
  <c r="AE90" i="25"/>
  <c r="AF90" i="25"/>
  <c r="AG90" i="25"/>
  <c r="AD91" i="25"/>
  <c r="AE91" i="25"/>
  <c r="AF91" i="25"/>
  <c r="AG91" i="25"/>
  <c r="AD92" i="25"/>
  <c r="AE92" i="25"/>
  <c r="AF92" i="25"/>
  <c r="AG92" i="25"/>
  <c r="AD93" i="25"/>
  <c r="AE93" i="25"/>
  <c r="AF93" i="25"/>
  <c r="AG93" i="25"/>
  <c r="AD94" i="25"/>
  <c r="AE94" i="25"/>
  <c r="AF94" i="25"/>
  <c r="AG94" i="25"/>
  <c r="AD95" i="25"/>
  <c r="AE95" i="25"/>
  <c r="AF95" i="25"/>
  <c r="AG95" i="25"/>
  <c r="AD96" i="25"/>
  <c r="AE96" i="25"/>
  <c r="AF96" i="25"/>
  <c r="AG96" i="25"/>
  <c r="AD97" i="25"/>
  <c r="AE97" i="25"/>
  <c r="AF97" i="25"/>
  <c r="AG97" i="25"/>
  <c r="AD98" i="25"/>
  <c r="AE98" i="25"/>
  <c r="AF98" i="25"/>
  <c r="AG98" i="25"/>
  <c r="AD99" i="25"/>
  <c r="AE99" i="25"/>
  <c r="AF99" i="25"/>
  <c r="AG99" i="25"/>
  <c r="AD100" i="25"/>
  <c r="AE100" i="25"/>
  <c r="AF100" i="25"/>
  <c r="AG100" i="25"/>
  <c r="AD101" i="25"/>
  <c r="AE101" i="25"/>
  <c r="AF101" i="25"/>
  <c r="AG101" i="25"/>
  <c r="AD102" i="25"/>
  <c r="AE102" i="25"/>
  <c r="AF102" i="25"/>
  <c r="AG102" i="25"/>
  <c r="AD103" i="25"/>
  <c r="AE103" i="25"/>
  <c r="AF103" i="25"/>
  <c r="AG103" i="25"/>
  <c r="AD104" i="25"/>
  <c r="AE104" i="25"/>
  <c r="AF104" i="25"/>
  <c r="AG104" i="25"/>
  <c r="AD105" i="25"/>
  <c r="AE105" i="25"/>
  <c r="AF105" i="25"/>
  <c r="AG105" i="25"/>
  <c r="AD106" i="25"/>
  <c r="AE106" i="25"/>
  <c r="AF106" i="25"/>
  <c r="AG106" i="25"/>
  <c r="AD107" i="25"/>
  <c r="AE107" i="25"/>
  <c r="AF107" i="25"/>
  <c r="AG107" i="25"/>
  <c r="AD108" i="25"/>
  <c r="AE108" i="25"/>
  <c r="AF108" i="25"/>
  <c r="AG108" i="25"/>
  <c r="AD109" i="25"/>
  <c r="AE109" i="25"/>
  <c r="AF109" i="25"/>
  <c r="AG109" i="25"/>
  <c r="AD110" i="25"/>
  <c r="AE110" i="25"/>
  <c r="AF110" i="25"/>
  <c r="AG110" i="25"/>
  <c r="AD111" i="25"/>
  <c r="AE111" i="25"/>
  <c r="AF111" i="25"/>
  <c r="AG111" i="25"/>
  <c r="AD112" i="25"/>
  <c r="AE112" i="25"/>
  <c r="AF112" i="25"/>
  <c r="AG112" i="25"/>
  <c r="AD113" i="25"/>
  <c r="AE113" i="25"/>
  <c r="AF113" i="25"/>
  <c r="AG113" i="25"/>
  <c r="AD114" i="25"/>
  <c r="AE114" i="25"/>
  <c r="AF114" i="25"/>
  <c r="AG114" i="25"/>
  <c r="AD115" i="25"/>
  <c r="AE115" i="25"/>
  <c r="AF115" i="25"/>
  <c r="AG115" i="25"/>
  <c r="AD116" i="25"/>
  <c r="AE116" i="25"/>
  <c r="AF116" i="25"/>
  <c r="AG116" i="25"/>
  <c r="AD117" i="25"/>
  <c r="AE117" i="25"/>
  <c r="AF117" i="25"/>
  <c r="AG117" i="25"/>
  <c r="AD118" i="25"/>
  <c r="AE118" i="25"/>
  <c r="AF118" i="25"/>
  <c r="AG118" i="25"/>
  <c r="AD119" i="25"/>
  <c r="AE119" i="25"/>
  <c r="AF119" i="25"/>
  <c r="AG119" i="25"/>
  <c r="AD120" i="25"/>
  <c r="AE120" i="25"/>
  <c r="AF120" i="25"/>
  <c r="AG120" i="25"/>
  <c r="AD121" i="25"/>
  <c r="AE121" i="25"/>
  <c r="AF121" i="25"/>
  <c r="AG121" i="25"/>
  <c r="AD122" i="25"/>
  <c r="AE122" i="25"/>
  <c r="AF122" i="25"/>
  <c r="AG122" i="25"/>
  <c r="AD123" i="25"/>
  <c r="AE123" i="25"/>
  <c r="AF123" i="25"/>
  <c r="AG123" i="25"/>
  <c r="AD124" i="25"/>
  <c r="AE124" i="25"/>
  <c r="AF124" i="25"/>
  <c r="AG124" i="25"/>
  <c r="AD125" i="25"/>
  <c r="AE125" i="25"/>
  <c r="AF125" i="25"/>
  <c r="AG125" i="25"/>
  <c r="AD126" i="25"/>
  <c r="AE126" i="25"/>
  <c r="AF126" i="25"/>
  <c r="AG126" i="25"/>
  <c r="AD127" i="25"/>
  <c r="AE127" i="25"/>
  <c r="AF127" i="25"/>
  <c r="AG127" i="25"/>
  <c r="AD128" i="25"/>
  <c r="AE128" i="25"/>
  <c r="AF128" i="25"/>
  <c r="AG128" i="25"/>
  <c r="AD129" i="25"/>
  <c r="AE129" i="25"/>
  <c r="AF129" i="25"/>
  <c r="AG129" i="25"/>
  <c r="AD130" i="25"/>
  <c r="AE130" i="25"/>
  <c r="AF130" i="25"/>
  <c r="AG130" i="25"/>
  <c r="AD131" i="25"/>
  <c r="AE131" i="25"/>
  <c r="AF131" i="25"/>
  <c r="AG131" i="25"/>
  <c r="AD132" i="25"/>
  <c r="AE132" i="25"/>
  <c r="AF132" i="25"/>
  <c r="AG132" i="25"/>
  <c r="AD133" i="25"/>
  <c r="AE133" i="25"/>
  <c r="AF133" i="25"/>
  <c r="AG133" i="25"/>
  <c r="AD134" i="25"/>
  <c r="AE134" i="25"/>
  <c r="AF134" i="25"/>
  <c r="AG134" i="25"/>
  <c r="AD135" i="25"/>
  <c r="AE135" i="25"/>
  <c r="AF135" i="25"/>
  <c r="AG135" i="25"/>
  <c r="AD136" i="25"/>
  <c r="AE136" i="25"/>
  <c r="AF136" i="25"/>
  <c r="AG136" i="25"/>
  <c r="AD137" i="25"/>
  <c r="AE137" i="25"/>
  <c r="AF137" i="25"/>
  <c r="AG137" i="25"/>
  <c r="AD138" i="25"/>
  <c r="AE138" i="25"/>
  <c r="AF138" i="25"/>
  <c r="AG138" i="25"/>
  <c r="AD139" i="25"/>
  <c r="AE139" i="25"/>
  <c r="AF139" i="25"/>
  <c r="AG139" i="25"/>
  <c r="AD140" i="25"/>
  <c r="AE140" i="25"/>
  <c r="AF140" i="25"/>
  <c r="AG140" i="25"/>
  <c r="AD141" i="25"/>
  <c r="AE141" i="25"/>
  <c r="AF141" i="25"/>
  <c r="AG141" i="25"/>
  <c r="AD142" i="25"/>
  <c r="AE142" i="25"/>
  <c r="AF142" i="25"/>
  <c r="AG142" i="25"/>
  <c r="AD143" i="25"/>
  <c r="AE143" i="25"/>
  <c r="AF143" i="25"/>
  <c r="AG143" i="25"/>
  <c r="AD144" i="25"/>
  <c r="AE144" i="25"/>
  <c r="AF144" i="25"/>
  <c r="AG144" i="25"/>
  <c r="AD145" i="25"/>
  <c r="AE145" i="25"/>
  <c r="AF145" i="25"/>
  <c r="AG145" i="25"/>
  <c r="AD146" i="25"/>
  <c r="AE146" i="25"/>
  <c r="AF146" i="25"/>
  <c r="AG146" i="25"/>
  <c r="AD147" i="25"/>
  <c r="AE147" i="25"/>
  <c r="AF147" i="25"/>
  <c r="AG147" i="25"/>
  <c r="AD148" i="25"/>
  <c r="AE148" i="25"/>
  <c r="AF148" i="25"/>
  <c r="AG148" i="25"/>
  <c r="AD149" i="25"/>
  <c r="AE149" i="25"/>
  <c r="AF149" i="25"/>
  <c r="AG149" i="25"/>
  <c r="AD150" i="25"/>
  <c r="AE150" i="25"/>
  <c r="AF150" i="25"/>
  <c r="AG150" i="25"/>
  <c r="AD151" i="25"/>
  <c r="AE151" i="25"/>
  <c r="AF151" i="25"/>
  <c r="AG151" i="25"/>
  <c r="AD152" i="25"/>
  <c r="AE152" i="25"/>
  <c r="AF152" i="25"/>
  <c r="AG152" i="25"/>
  <c r="AD153" i="25"/>
  <c r="AE153" i="25"/>
  <c r="AF153" i="25"/>
  <c r="AG153" i="25"/>
  <c r="AD154" i="25"/>
  <c r="AE154" i="25"/>
  <c r="AF154" i="25"/>
  <c r="AG154" i="25"/>
  <c r="AD155" i="25"/>
  <c r="AE155" i="25"/>
  <c r="AF155" i="25"/>
  <c r="AG155" i="25"/>
  <c r="AD156" i="25"/>
  <c r="AE156" i="25"/>
  <c r="AF156" i="25"/>
  <c r="AG156" i="25"/>
  <c r="AD157" i="25"/>
  <c r="AE157" i="25"/>
  <c r="AF157" i="25"/>
  <c r="AG157" i="25"/>
  <c r="AD158" i="25"/>
  <c r="AE158" i="25"/>
  <c r="AF158" i="25"/>
  <c r="AG158" i="25"/>
  <c r="AD159" i="25"/>
  <c r="AE159" i="25"/>
  <c r="AF159" i="25"/>
  <c r="AG159" i="25"/>
  <c r="AD160" i="25"/>
  <c r="AE160" i="25"/>
  <c r="AF160" i="25"/>
  <c r="AG160" i="25"/>
  <c r="AD161" i="25"/>
  <c r="AE161" i="25"/>
  <c r="AF161" i="25"/>
  <c r="AG161" i="25"/>
  <c r="AD162" i="25"/>
  <c r="AE162" i="25"/>
  <c r="AF162" i="25"/>
  <c r="AG162" i="25"/>
  <c r="AD163" i="25"/>
  <c r="AE163" i="25"/>
  <c r="AF163" i="25"/>
  <c r="AG163" i="25"/>
  <c r="AD164" i="25"/>
  <c r="AE164" i="25"/>
  <c r="AF164" i="25"/>
  <c r="AG164" i="25"/>
  <c r="AD165" i="25"/>
  <c r="AE165" i="25"/>
  <c r="AF165" i="25"/>
  <c r="AG165" i="25"/>
  <c r="AD166" i="25"/>
  <c r="AE166" i="25"/>
  <c r="AF166" i="25"/>
  <c r="AG166" i="25"/>
  <c r="AD167" i="25"/>
  <c r="AE167" i="25"/>
  <c r="AF167" i="25"/>
  <c r="AG167" i="25"/>
  <c r="AD168" i="25"/>
  <c r="AE168" i="25"/>
  <c r="AF168" i="25"/>
  <c r="AG168" i="25"/>
  <c r="AD169" i="25"/>
  <c r="AE169" i="25"/>
  <c r="AF169" i="25"/>
  <c r="AG169" i="25"/>
  <c r="AD170" i="25"/>
  <c r="AE170" i="25"/>
  <c r="AF170" i="25"/>
  <c r="AG170" i="25"/>
  <c r="AD171" i="25"/>
  <c r="AE171" i="25"/>
  <c r="AF171" i="25"/>
  <c r="AG171" i="25"/>
  <c r="AD172" i="25"/>
  <c r="AE172" i="25"/>
  <c r="AF172" i="25"/>
  <c r="AG172" i="25"/>
  <c r="AD173" i="25"/>
  <c r="AE173" i="25"/>
  <c r="AF173" i="25"/>
  <c r="AG173" i="25"/>
  <c r="AD174" i="25"/>
  <c r="AE174" i="25"/>
  <c r="AF174" i="25"/>
  <c r="AG174" i="25"/>
  <c r="AD175" i="25"/>
  <c r="AE175" i="25"/>
  <c r="AF175" i="25"/>
  <c r="AG175" i="25"/>
  <c r="AD176" i="25"/>
  <c r="AE176" i="25"/>
  <c r="AF176" i="25"/>
  <c r="AG176" i="25"/>
  <c r="AD177" i="25"/>
  <c r="AE177" i="25"/>
  <c r="AF177" i="25"/>
  <c r="AG177" i="25"/>
  <c r="AD178" i="25"/>
  <c r="AE178" i="25"/>
  <c r="AF178" i="25"/>
  <c r="AG178" i="25"/>
  <c r="AD179" i="25"/>
  <c r="AE179" i="25"/>
  <c r="AF179" i="25"/>
  <c r="AG179" i="25"/>
  <c r="AD180" i="25"/>
  <c r="AE180" i="25"/>
  <c r="AF180" i="25"/>
  <c r="AG180" i="25"/>
  <c r="AD181" i="25"/>
  <c r="AE181" i="25"/>
  <c r="AF181" i="25"/>
  <c r="AG181" i="25"/>
  <c r="AD182" i="25"/>
  <c r="AE182" i="25"/>
  <c r="AF182" i="25"/>
  <c r="AG182" i="25"/>
  <c r="AD183" i="25"/>
  <c r="AE183" i="25"/>
  <c r="AF183" i="25"/>
  <c r="AG183" i="25"/>
  <c r="AD184" i="25"/>
  <c r="AE184" i="25"/>
  <c r="AF184" i="25"/>
  <c r="AG184" i="25"/>
  <c r="AD185" i="25"/>
  <c r="AE185" i="25"/>
  <c r="AF185" i="25"/>
  <c r="AG185" i="25"/>
  <c r="AD186" i="25"/>
  <c r="AE186" i="25"/>
  <c r="AF186" i="25"/>
  <c r="AG186" i="25"/>
  <c r="AD187" i="25"/>
  <c r="AE187" i="25"/>
  <c r="AF187" i="25"/>
  <c r="AG187" i="25"/>
  <c r="AD188" i="25"/>
  <c r="AE188" i="25"/>
  <c r="AF188" i="25"/>
  <c r="AG188" i="25"/>
  <c r="AD189" i="25"/>
  <c r="AE189" i="25"/>
  <c r="AF189" i="25"/>
  <c r="AG189" i="25"/>
  <c r="AD190" i="25"/>
  <c r="AE190" i="25"/>
  <c r="AF190" i="25"/>
  <c r="AG190" i="25"/>
  <c r="AD191" i="25"/>
  <c r="AE191" i="25"/>
  <c r="AF191" i="25"/>
  <c r="AG191" i="25"/>
  <c r="AD192" i="25"/>
  <c r="AE192" i="25"/>
  <c r="AF192" i="25"/>
  <c r="AG192" i="25"/>
  <c r="AD193" i="25"/>
  <c r="AE193" i="25"/>
  <c r="AF193" i="25"/>
  <c r="AG193" i="25"/>
  <c r="AD194" i="25"/>
  <c r="AE194" i="25"/>
  <c r="AF194" i="25"/>
  <c r="AG194" i="25"/>
  <c r="AD195" i="25"/>
  <c r="AE195" i="25"/>
  <c r="AF195" i="25"/>
  <c r="AG195" i="25"/>
  <c r="AD196" i="25"/>
  <c r="AE196" i="25"/>
  <c r="AF196" i="25"/>
  <c r="AG196" i="25"/>
  <c r="AD197" i="25"/>
  <c r="AE197" i="25"/>
  <c r="AF197" i="25"/>
  <c r="AG197" i="25"/>
  <c r="AD198" i="25"/>
  <c r="AE198" i="25"/>
  <c r="AF198" i="25"/>
  <c r="AG198" i="25"/>
  <c r="AD199" i="25"/>
  <c r="AE199" i="25"/>
  <c r="AF199" i="25"/>
  <c r="AG199" i="25"/>
  <c r="AD200" i="25"/>
  <c r="AE200" i="25"/>
  <c r="AF200" i="25"/>
  <c r="AG200" i="25"/>
  <c r="AD201" i="25"/>
  <c r="AE201" i="25"/>
  <c r="AF201" i="25"/>
  <c r="AG201" i="25"/>
  <c r="AD202" i="25"/>
  <c r="AE202" i="25"/>
  <c r="AF202" i="25"/>
  <c r="AG202" i="25"/>
  <c r="AD203" i="25"/>
  <c r="AE203" i="25"/>
  <c r="AF203" i="25"/>
  <c r="AG203" i="25"/>
  <c r="AD204" i="25"/>
  <c r="AE204" i="25"/>
  <c r="AF204" i="25"/>
  <c r="AG204" i="25"/>
  <c r="AD205" i="25"/>
  <c r="AE205" i="25"/>
  <c r="AF205" i="25"/>
  <c r="AG205" i="25"/>
  <c r="AD206" i="25"/>
  <c r="AE206" i="25"/>
  <c r="AF206" i="25"/>
  <c r="AG206" i="25"/>
  <c r="AD207" i="25"/>
  <c r="AE207" i="25"/>
  <c r="AF207" i="25"/>
  <c r="AG207" i="25"/>
  <c r="AD208" i="25"/>
  <c r="AE208" i="25"/>
  <c r="AF208" i="25"/>
  <c r="AG208" i="25"/>
  <c r="AD209" i="25"/>
  <c r="AE209" i="25"/>
  <c r="AF209" i="25"/>
  <c r="AG209" i="25"/>
  <c r="AD210" i="25"/>
  <c r="AE210" i="25"/>
  <c r="AF210" i="25"/>
  <c r="AG210" i="25"/>
  <c r="AD211" i="25"/>
  <c r="AE211" i="25"/>
  <c r="AF211" i="25"/>
  <c r="AG211" i="25"/>
  <c r="AD212" i="25"/>
  <c r="AE212" i="25"/>
  <c r="AF212" i="25"/>
  <c r="AG212" i="25"/>
  <c r="AD213" i="25"/>
  <c r="AE213" i="25"/>
  <c r="AF213" i="25"/>
  <c r="AG213" i="25"/>
  <c r="AD214" i="25"/>
  <c r="AE214" i="25"/>
  <c r="AF214" i="25"/>
  <c r="AG214" i="25"/>
  <c r="AD215" i="25"/>
  <c r="AE215" i="25"/>
  <c r="AF215" i="25"/>
  <c r="AG215" i="25"/>
  <c r="AD216" i="25"/>
  <c r="AE216" i="25"/>
  <c r="AF216" i="25"/>
  <c r="AG216" i="25"/>
  <c r="AD217" i="25"/>
  <c r="AE217" i="25"/>
  <c r="AF217" i="25"/>
  <c r="AG217" i="25"/>
  <c r="AD218" i="25"/>
  <c r="AE218" i="25"/>
  <c r="AF218" i="25"/>
  <c r="AG218" i="25"/>
  <c r="AD219" i="25"/>
  <c r="AE219" i="25"/>
  <c r="AF219" i="25"/>
  <c r="AG219" i="25"/>
  <c r="AD220" i="25"/>
  <c r="AE220" i="25"/>
  <c r="AF220" i="25"/>
  <c r="AG220" i="25"/>
  <c r="AD221" i="25"/>
  <c r="AE221" i="25"/>
  <c r="AF221" i="25"/>
  <c r="AG221" i="25"/>
  <c r="AG662" i="25"/>
  <c r="AF662" i="25"/>
  <c r="AE662" i="25"/>
  <c r="AD662" i="25"/>
  <c r="AJ443" i="12"/>
  <c r="AJ3" i="12"/>
  <c r="AJ4" i="12"/>
  <c r="AJ5" i="12"/>
  <c r="AJ6" i="12"/>
  <c r="AJ7" i="12"/>
  <c r="AJ8" i="12"/>
  <c r="AJ9" i="12"/>
  <c r="AJ10" i="12"/>
  <c r="AJ11" i="12"/>
  <c r="AJ12" i="12"/>
  <c r="AJ13" i="12"/>
  <c r="AJ14" i="12"/>
  <c r="AJ15" i="12"/>
  <c r="AJ16" i="12"/>
  <c r="AJ17" i="12"/>
  <c r="AJ18" i="12"/>
  <c r="AJ19" i="12"/>
  <c r="AJ20" i="12"/>
  <c r="AJ21" i="12"/>
  <c r="AJ22" i="12"/>
  <c r="AJ23" i="12"/>
  <c r="AJ24" i="12"/>
  <c r="AJ25" i="12"/>
  <c r="AJ26" i="12"/>
  <c r="AJ27" i="12"/>
  <c r="AJ28" i="12"/>
  <c r="AJ29" i="12"/>
  <c r="AJ30" i="12"/>
  <c r="AJ31" i="12"/>
  <c r="AJ32" i="12"/>
  <c r="AJ33" i="12"/>
  <c r="AJ34" i="12"/>
  <c r="AJ35" i="12"/>
  <c r="AJ36" i="12"/>
  <c r="AJ37" i="12"/>
  <c r="AJ38" i="12"/>
  <c r="AJ39" i="12"/>
  <c r="AJ40" i="12"/>
  <c r="AJ41" i="12"/>
  <c r="AJ42" i="12"/>
  <c r="AJ43" i="12"/>
  <c r="AJ44" i="12"/>
  <c r="AJ45" i="12"/>
  <c r="AJ46" i="12"/>
  <c r="AJ47" i="12"/>
  <c r="AJ48" i="12"/>
  <c r="AJ49" i="12"/>
  <c r="AJ50" i="12"/>
  <c r="AJ51" i="12"/>
  <c r="AJ52" i="12"/>
  <c r="AJ53" i="12"/>
  <c r="AJ54" i="12"/>
  <c r="AJ55" i="12"/>
  <c r="AJ56" i="12"/>
  <c r="AJ57" i="12"/>
  <c r="AJ58" i="12"/>
  <c r="AJ59" i="12"/>
  <c r="AJ60" i="12"/>
  <c r="AJ61" i="12"/>
  <c r="AJ62" i="12"/>
  <c r="AJ63" i="12"/>
  <c r="AJ64" i="12"/>
  <c r="AJ65" i="12"/>
  <c r="AJ66" i="12"/>
  <c r="AJ67" i="12"/>
  <c r="AJ68" i="12"/>
  <c r="AJ69" i="12"/>
  <c r="AJ70" i="12"/>
  <c r="AJ71" i="12"/>
  <c r="AJ72" i="12"/>
  <c r="AJ73" i="12"/>
  <c r="AJ74" i="12"/>
  <c r="AJ75" i="12"/>
  <c r="AJ76" i="12"/>
  <c r="AJ77" i="12"/>
  <c r="AJ78" i="12"/>
  <c r="AJ79" i="12"/>
  <c r="AJ80" i="12"/>
  <c r="AJ81" i="12"/>
  <c r="AJ82" i="12"/>
  <c r="AJ83" i="12"/>
  <c r="AJ84" i="12"/>
  <c r="AJ85" i="12"/>
  <c r="AJ86" i="12"/>
  <c r="AJ87" i="12"/>
  <c r="AJ88" i="12"/>
  <c r="AJ89" i="12"/>
  <c r="AJ90" i="12"/>
  <c r="AJ91" i="12"/>
  <c r="AJ92" i="12"/>
  <c r="AJ93" i="12"/>
  <c r="AJ94" i="12"/>
  <c r="AJ95" i="12"/>
  <c r="AJ96" i="12"/>
  <c r="AJ97" i="12"/>
  <c r="AJ98" i="12"/>
  <c r="AJ99" i="12"/>
  <c r="AJ100" i="12"/>
  <c r="AJ101" i="12"/>
  <c r="AJ102" i="12"/>
  <c r="AJ103" i="12"/>
  <c r="AJ104" i="12"/>
  <c r="AJ105" i="12"/>
  <c r="AJ106" i="12"/>
  <c r="AJ107" i="12"/>
  <c r="AJ108" i="12"/>
  <c r="AJ109" i="12"/>
  <c r="AJ110" i="12"/>
  <c r="AJ111" i="12"/>
  <c r="AJ112" i="12"/>
  <c r="AJ113" i="12"/>
  <c r="AJ114" i="12"/>
  <c r="AJ115" i="12"/>
  <c r="AJ116" i="12"/>
  <c r="AJ117" i="12"/>
  <c r="AJ118" i="12"/>
  <c r="AJ119" i="12"/>
  <c r="AJ120" i="12"/>
  <c r="AJ121" i="12"/>
  <c r="AJ122" i="12"/>
  <c r="AJ123" i="12"/>
  <c r="AJ124" i="12"/>
  <c r="AJ125" i="12"/>
  <c r="AJ126" i="12"/>
  <c r="AJ127" i="12"/>
  <c r="AJ128" i="12"/>
  <c r="AJ129" i="12"/>
  <c r="AJ130" i="12"/>
  <c r="AJ131" i="12"/>
  <c r="AJ132" i="12"/>
  <c r="AJ133" i="12"/>
  <c r="AJ134" i="12"/>
  <c r="AJ135" i="12"/>
  <c r="AJ136" i="12"/>
  <c r="AJ137" i="12"/>
  <c r="AJ138" i="12"/>
  <c r="AJ139" i="12"/>
  <c r="AJ140" i="12"/>
  <c r="AJ141" i="12"/>
  <c r="AJ142" i="12"/>
  <c r="AJ143" i="12"/>
  <c r="AJ144" i="12"/>
  <c r="AJ145" i="12"/>
  <c r="AJ146" i="12"/>
  <c r="AJ147" i="12"/>
  <c r="AJ148" i="12"/>
  <c r="AJ149" i="12"/>
  <c r="AJ150" i="12"/>
  <c r="AJ151" i="12"/>
  <c r="AJ152" i="12"/>
  <c r="AJ153" i="12"/>
  <c r="AJ154" i="12"/>
  <c r="AJ155" i="12"/>
  <c r="AJ156" i="12"/>
  <c r="AJ157" i="12"/>
  <c r="AJ158" i="12"/>
  <c r="AJ159" i="12"/>
  <c r="AJ160" i="12"/>
  <c r="AJ161" i="12"/>
  <c r="AJ162" i="12"/>
  <c r="AJ163" i="12"/>
  <c r="AJ164" i="12"/>
  <c r="AJ165" i="12"/>
  <c r="AJ166" i="12"/>
  <c r="AJ167" i="12"/>
  <c r="AJ168" i="12"/>
  <c r="AJ169" i="12"/>
  <c r="AJ170" i="12"/>
  <c r="AJ171" i="12"/>
  <c r="AJ172" i="12"/>
  <c r="AJ173" i="12"/>
  <c r="AJ174" i="12"/>
  <c r="AJ175" i="12"/>
  <c r="AJ176" i="12"/>
  <c r="AJ177" i="12"/>
  <c r="AJ178" i="12"/>
  <c r="AJ179" i="12"/>
  <c r="AJ180" i="12"/>
  <c r="AJ181" i="12"/>
  <c r="AJ182" i="12"/>
  <c r="AJ183" i="12"/>
  <c r="AJ184" i="12"/>
  <c r="AJ185" i="12"/>
  <c r="AJ186" i="12"/>
  <c r="AJ187" i="12"/>
  <c r="AJ188" i="12"/>
  <c r="AJ189" i="12"/>
  <c r="AJ190" i="12"/>
  <c r="AJ191" i="12"/>
  <c r="AJ192" i="12"/>
  <c r="AJ193" i="12"/>
  <c r="AJ194" i="12"/>
  <c r="AJ195" i="12"/>
  <c r="AJ196" i="12"/>
  <c r="AJ197" i="12"/>
  <c r="AJ198" i="12"/>
  <c r="AJ199" i="12"/>
  <c r="AJ200" i="12"/>
  <c r="AJ201" i="12"/>
  <c r="AJ202" i="12"/>
  <c r="AJ203" i="12"/>
  <c r="AJ204" i="12"/>
  <c r="AJ205" i="12"/>
  <c r="AJ206" i="12"/>
  <c r="AJ207" i="12"/>
  <c r="AJ208" i="12"/>
  <c r="AJ209" i="12"/>
  <c r="AJ210" i="12"/>
  <c r="AJ211" i="12"/>
  <c r="AJ212" i="12"/>
  <c r="AJ213" i="12"/>
  <c r="AJ214" i="12"/>
  <c r="AJ215" i="12"/>
  <c r="AJ216" i="12"/>
  <c r="AJ217" i="12"/>
  <c r="AJ218" i="12"/>
  <c r="AJ219" i="12"/>
  <c r="AJ220" i="12"/>
  <c r="AJ221" i="12"/>
  <c r="AJ222" i="12"/>
  <c r="AJ224" i="12"/>
  <c r="AJ290" i="12"/>
  <c r="AJ291" i="12"/>
  <c r="AJ292" i="12"/>
  <c r="AJ293" i="12"/>
  <c r="AJ294" i="12"/>
  <c r="AJ295" i="12"/>
  <c r="AJ296" i="12"/>
  <c r="AJ297" i="12"/>
  <c r="AJ298" i="12"/>
  <c r="AJ299" i="12"/>
  <c r="AJ300" i="12"/>
  <c r="AJ301" i="12"/>
  <c r="AJ302" i="12"/>
  <c r="AJ303" i="12"/>
  <c r="AJ304" i="12"/>
  <c r="AJ305" i="12"/>
  <c r="AJ306" i="12"/>
  <c r="AJ307" i="12"/>
  <c r="AJ308" i="12"/>
  <c r="AJ309" i="12"/>
  <c r="AJ310" i="12"/>
  <c r="AJ311" i="12"/>
  <c r="AJ312" i="12"/>
  <c r="AJ313" i="12"/>
  <c r="AJ314" i="12"/>
  <c r="AJ315" i="12"/>
  <c r="AJ316" i="12"/>
  <c r="AJ317" i="12"/>
  <c r="AJ318" i="12"/>
  <c r="AJ319" i="12"/>
  <c r="AJ320" i="12"/>
  <c r="AJ321" i="12"/>
  <c r="AJ322" i="12"/>
  <c r="AJ323" i="12"/>
  <c r="AJ324" i="12"/>
  <c r="AJ325" i="12"/>
  <c r="AJ326" i="12"/>
  <c r="AJ327" i="12"/>
  <c r="AJ328" i="12"/>
  <c r="AJ329" i="12"/>
  <c r="AJ330" i="12"/>
  <c r="AJ331" i="12"/>
  <c r="AJ332" i="12"/>
  <c r="AJ333" i="12"/>
  <c r="AJ334" i="12"/>
  <c r="AJ335" i="12"/>
  <c r="AJ336" i="12"/>
  <c r="AJ337" i="12"/>
  <c r="AJ338" i="12"/>
  <c r="AJ339" i="12"/>
  <c r="AJ340" i="12"/>
  <c r="AJ341" i="12"/>
  <c r="AJ342" i="12"/>
  <c r="AJ343" i="12"/>
  <c r="AJ344" i="12"/>
  <c r="AJ345" i="12"/>
  <c r="AJ346" i="12"/>
  <c r="AJ347" i="12"/>
  <c r="AJ348" i="12"/>
  <c r="AJ349" i="12"/>
  <c r="AJ350" i="12"/>
  <c r="AJ351" i="12"/>
  <c r="AJ352" i="12"/>
  <c r="AJ353" i="12"/>
  <c r="AJ354" i="12"/>
  <c r="AJ355" i="12"/>
  <c r="AJ356" i="12"/>
  <c r="AJ357" i="12"/>
  <c r="AJ358" i="12"/>
  <c r="AJ359" i="12"/>
  <c r="AJ360" i="12"/>
  <c r="AJ361" i="12"/>
  <c r="AJ362" i="12"/>
  <c r="AJ363" i="12"/>
  <c r="AJ364" i="12"/>
  <c r="AJ365" i="12"/>
  <c r="AJ366" i="12"/>
  <c r="AJ367" i="12"/>
  <c r="AJ368" i="12"/>
  <c r="AJ369" i="12"/>
  <c r="AJ370" i="12"/>
  <c r="AJ371" i="12"/>
  <c r="AJ372" i="12"/>
  <c r="AJ373" i="12"/>
  <c r="AJ374" i="12"/>
  <c r="AJ375" i="12"/>
  <c r="AJ376" i="12"/>
  <c r="AJ377" i="12"/>
  <c r="AJ378" i="12"/>
  <c r="AJ379" i="12"/>
  <c r="AJ380" i="12"/>
  <c r="AJ381" i="12"/>
  <c r="AJ382" i="12"/>
  <c r="AJ383" i="12"/>
  <c r="AJ384" i="12"/>
  <c r="AJ385" i="12"/>
  <c r="AJ386" i="12"/>
  <c r="AJ387" i="12"/>
  <c r="AJ388" i="12"/>
  <c r="AJ389" i="12"/>
  <c r="AJ390" i="12"/>
  <c r="AJ391" i="12"/>
  <c r="AJ392" i="12"/>
  <c r="AJ393" i="12"/>
  <c r="AJ394" i="12"/>
  <c r="AJ395" i="12"/>
  <c r="AJ396" i="12"/>
  <c r="AJ397" i="12"/>
  <c r="AJ398" i="12"/>
  <c r="AJ399" i="12"/>
  <c r="AJ400" i="12"/>
  <c r="AJ401" i="12"/>
  <c r="AJ402" i="12"/>
  <c r="AJ403" i="12"/>
  <c r="AJ404" i="12"/>
  <c r="AJ405" i="12"/>
  <c r="AJ406" i="12"/>
  <c r="AJ407" i="12"/>
  <c r="AJ408" i="12"/>
  <c r="AJ409" i="12"/>
  <c r="AJ410" i="12"/>
  <c r="AJ411" i="12"/>
  <c r="AJ412" i="12"/>
  <c r="AJ413" i="12"/>
  <c r="AJ414" i="12"/>
  <c r="AJ415" i="12"/>
  <c r="AJ416" i="12"/>
  <c r="AJ417" i="12"/>
  <c r="AJ418" i="12"/>
  <c r="AJ419" i="12"/>
  <c r="AJ420" i="12"/>
  <c r="AJ421" i="12"/>
  <c r="AJ422" i="12"/>
  <c r="AJ423" i="12"/>
  <c r="AJ424" i="12"/>
  <c r="AJ425" i="12"/>
  <c r="AJ426" i="12"/>
  <c r="AJ427" i="12"/>
  <c r="AJ428" i="12"/>
  <c r="AJ429" i="12"/>
  <c r="AJ430" i="12"/>
  <c r="AJ431" i="12"/>
  <c r="AJ432" i="12"/>
  <c r="AJ433" i="12"/>
  <c r="AJ434" i="12"/>
  <c r="AJ435" i="12"/>
  <c r="AJ436" i="12"/>
  <c r="AJ437" i="12"/>
  <c r="AJ438" i="12"/>
  <c r="AJ439" i="12"/>
  <c r="AJ440" i="12"/>
  <c r="AJ441" i="12"/>
  <c r="AJ442" i="12"/>
  <c r="AJ225" i="12"/>
  <c r="AJ226" i="12"/>
  <c r="AJ227" i="12"/>
  <c r="AJ228" i="12"/>
  <c r="AJ229" i="12"/>
  <c r="AJ230" i="12"/>
  <c r="AJ231" i="12"/>
  <c r="AJ232" i="12"/>
  <c r="AJ233" i="12"/>
  <c r="AJ234" i="12"/>
  <c r="AJ235" i="12"/>
  <c r="AJ236" i="12"/>
  <c r="AJ237" i="12"/>
  <c r="AJ238" i="12"/>
  <c r="AJ239" i="12"/>
  <c r="AJ240" i="12"/>
  <c r="AJ241" i="12"/>
  <c r="AJ242" i="12"/>
  <c r="AJ243" i="12"/>
  <c r="AJ244" i="12"/>
  <c r="AJ245" i="12"/>
  <c r="AJ246" i="12"/>
  <c r="AJ247" i="12"/>
  <c r="AJ248" i="12"/>
  <c r="AJ249" i="12"/>
  <c r="AJ250" i="12"/>
  <c r="AJ251" i="12"/>
  <c r="AJ252" i="12"/>
  <c r="AJ253" i="12"/>
  <c r="AJ254" i="12"/>
  <c r="AJ255" i="12"/>
  <c r="AJ256" i="12"/>
  <c r="AJ257" i="12"/>
  <c r="AJ258" i="12"/>
  <c r="AJ259" i="12"/>
  <c r="AJ260" i="12"/>
  <c r="AJ261" i="12"/>
  <c r="AJ262" i="12"/>
  <c r="AJ263" i="12"/>
  <c r="AJ264" i="12"/>
  <c r="AJ265" i="12"/>
  <c r="AJ266" i="12"/>
  <c r="AJ267" i="12"/>
  <c r="AJ268" i="12"/>
  <c r="AJ269" i="12"/>
  <c r="AJ270" i="12"/>
  <c r="AJ271" i="12"/>
  <c r="AJ272" i="12"/>
  <c r="AJ273" i="12"/>
  <c r="AJ274" i="12"/>
  <c r="AJ275" i="12"/>
  <c r="AJ276" i="12"/>
  <c r="AJ277" i="12"/>
  <c r="AJ278" i="12"/>
  <c r="AJ279" i="12"/>
  <c r="AJ280" i="12"/>
  <c r="AJ281" i="12"/>
  <c r="AJ282" i="12"/>
  <c r="AJ283" i="12"/>
  <c r="AJ284" i="12"/>
  <c r="AJ285" i="12"/>
  <c r="AJ286" i="12"/>
  <c r="AJ287" i="12"/>
  <c r="AJ288" i="12"/>
  <c r="AJ289" i="12"/>
  <c r="AK443" i="12"/>
  <c r="AK442" i="12"/>
  <c r="AK441" i="12"/>
  <c r="AK440" i="12"/>
  <c r="AK439" i="12"/>
  <c r="AK438" i="12"/>
  <c r="AK437" i="12"/>
  <c r="AK436" i="12"/>
  <c r="AK435" i="12"/>
  <c r="AK434" i="12"/>
  <c r="AK433" i="12"/>
  <c r="AK432" i="12"/>
  <c r="AK431" i="12"/>
  <c r="AK430" i="12"/>
  <c r="AK429" i="12"/>
  <c r="AK428" i="12"/>
  <c r="AK427" i="12"/>
  <c r="AK426" i="12"/>
  <c r="AK425" i="12"/>
  <c r="AK424" i="12"/>
  <c r="AK423" i="12"/>
  <c r="AK422" i="12"/>
  <c r="AK421" i="12"/>
  <c r="AK420" i="12"/>
  <c r="AK419" i="12"/>
  <c r="AK418" i="12"/>
  <c r="AK417" i="12"/>
  <c r="AK416" i="12"/>
  <c r="AK415" i="12"/>
  <c r="AK414" i="12"/>
  <c r="AK413" i="12"/>
  <c r="AK412" i="12"/>
  <c r="AK411" i="12"/>
  <c r="AK410" i="12"/>
  <c r="AK409" i="12"/>
  <c r="AK408" i="12"/>
  <c r="AK407" i="12"/>
  <c r="AK406" i="12"/>
  <c r="AK405" i="12"/>
  <c r="AK404" i="12"/>
  <c r="AK403" i="12"/>
  <c r="AK402" i="12"/>
  <c r="AK401" i="12"/>
  <c r="AK400" i="12"/>
  <c r="AK399" i="12"/>
  <c r="AK398" i="12"/>
  <c r="AK397" i="12"/>
  <c r="AK396" i="12"/>
  <c r="AK395" i="12"/>
  <c r="AK394" i="12"/>
  <c r="AK393" i="12"/>
  <c r="AK392" i="12"/>
  <c r="AK391" i="12"/>
  <c r="AK390" i="12"/>
  <c r="AK389" i="12"/>
  <c r="AK388" i="12"/>
  <c r="AK387" i="12"/>
  <c r="AK386" i="12"/>
  <c r="AK385" i="12"/>
  <c r="AK384" i="12"/>
  <c r="AK383" i="12"/>
  <c r="AK382" i="12"/>
  <c r="AK381" i="12"/>
  <c r="AK380" i="12"/>
  <c r="AK379" i="12"/>
  <c r="AK378" i="12"/>
  <c r="AK377" i="12"/>
  <c r="AK376" i="12"/>
  <c r="AK375" i="12"/>
  <c r="AK374" i="12"/>
  <c r="AK373" i="12"/>
  <c r="AK372" i="12"/>
  <c r="AK371" i="12"/>
  <c r="AK370" i="12"/>
  <c r="AK369" i="12"/>
  <c r="AK368" i="12"/>
  <c r="AK367" i="12"/>
  <c r="AK366" i="12"/>
  <c r="AK365" i="12"/>
  <c r="AK364" i="12"/>
  <c r="AK363" i="12"/>
  <c r="AK362" i="12"/>
  <c r="AK361" i="12"/>
  <c r="AK360" i="12"/>
  <c r="AK359" i="12"/>
  <c r="AK358" i="12"/>
  <c r="AK357" i="12"/>
  <c r="AK356" i="12"/>
  <c r="AK355" i="12"/>
  <c r="AK354" i="12"/>
  <c r="AK353" i="12"/>
  <c r="AK352" i="12"/>
  <c r="AK351" i="12"/>
  <c r="AK350" i="12"/>
  <c r="AK349" i="12"/>
  <c r="AK348" i="12"/>
  <c r="AK347" i="12"/>
  <c r="AK346" i="12"/>
  <c r="AK345" i="12"/>
  <c r="AK344" i="12"/>
  <c r="AK343" i="12"/>
  <c r="AK342" i="12"/>
  <c r="AK341" i="12"/>
  <c r="AK340" i="12"/>
  <c r="AK339" i="12"/>
  <c r="AK338" i="12"/>
  <c r="AK337" i="12"/>
  <c r="AK336" i="12"/>
  <c r="AK335" i="12"/>
  <c r="AK334" i="12"/>
  <c r="AK333" i="12"/>
  <c r="AK332" i="12"/>
  <c r="AK331" i="12"/>
  <c r="AK330" i="12"/>
  <c r="AK329" i="12"/>
  <c r="AK328" i="12"/>
  <c r="AK327" i="12"/>
  <c r="AK326" i="12"/>
  <c r="AK325" i="12"/>
  <c r="AK324" i="12"/>
  <c r="AK323" i="12"/>
  <c r="AK322" i="12"/>
  <c r="AK321" i="12"/>
  <c r="AK320" i="12"/>
  <c r="AK319" i="12"/>
  <c r="AK318" i="12"/>
  <c r="AK317" i="12"/>
  <c r="AK316" i="12"/>
  <c r="AK315" i="12"/>
  <c r="AK314" i="12"/>
  <c r="AK313" i="12"/>
  <c r="AK312" i="12"/>
  <c r="AK311" i="12"/>
  <c r="AK310" i="12"/>
  <c r="AK309" i="12"/>
  <c r="AK308" i="12"/>
  <c r="AK307" i="12"/>
  <c r="AK306" i="12"/>
  <c r="AK305" i="12"/>
  <c r="AK304" i="12"/>
  <c r="AK303" i="12"/>
  <c r="AK302" i="12"/>
  <c r="AK301" i="12"/>
  <c r="AK300" i="12"/>
  <c r="AK299" i="12"/>
  <c r="AK298" i="12"/>
  <c r="AK297" i="12"/>
  <c r="AK296" i="12"/>
  <c r="AK295" i="12"/>
  <c r="AK294" i="12"/>
  <c r="AK293" i="12"/>
  <c r="AK292" i="12"/>
  <c r="AK291" i="12"/>
  <c r="AK290" i="12"/>
  <c r="AK289" i="12"/>
  <c r="AK288" i="12"/>
  <c r="AK287" i="12"/>
  <c r="AK286" i="12"/>
  <c r="AK285" i="12"/>
  <c r="AK284" i="12"/>
  <c r="AK283" i="12"/>
  <c r="AK282" i="12"/>
  <c r="AK281" i="12"/>
  <c r="AK280" i="12"/>
  <c r="AK279" i="12"/>
  <c r="AK278" i="12"/>
  <c r="AK277" i="12"/>
  <c r="AK276" i="12"/>
  <c r="AK275" i="12"/>
  <c r="AK274" i="12"/>
  <c r="AK273" i="12"/>
  <c r="AK272" i="12"/>
  <c r="AK271" i="12"/>
  <c r="AK270" i="12"/>
  <c r="AK269" i="12"/>
  <c r="AK268" i="12"/>
  <c r="AK267" i="12"/>
  <c r="AK266" i="12"/>
  <c r="AK265" i="12"/>
  <c r="AK264" i="12"/>
  <c r="AK263" i="12"/>
  <c r="AK262" i="12"/>
  <c r="AK261" i="12"/>
  <c r="AK260" i="12"/>
  <c r="AK259" i="12"/>
  <c r="AK258" i="12"/>
  <c r="AK257" i="12"/>
  <c r="AK256" i="12"/>
  <c r="AK255" i="12"/>
  <c r="AK254" i="12"/>
  <c r="AK253" i="12"/>
  <c r="AK252" i="12"/>
  <c r="AK251" i="12"/>
  <c r="AK250" i="12"/>
  <c r="AK249" i="12"/>
  <c r="AK248" i="12"/>
  <c r="AK247" i="12"/>
  <c r="AK246" i="12"/>
  <c r="AK245" i="12"/>
  <c r="AK244" i="12"/>
  <c r="AK243" i="12"/>
  <c r="AK242" i="12"/>
  <c r="AK241" i="12"/>
  <c r="AK240" i="12"/>
  <c r="AK239" i="12"/>
  <c r="AK238" i="12"/>
  <c r="AK237" i="12"/>
  <c r="AK236" i="12"/>
  <c r="AK235" i="12"/>
  <c r="AK234" i="12"/>
  <c r="AK233" i="12"/>
  <c r="AK232" i="12"/>
  <c r="AK231" i="12"/>
  <c r="AK230" i="12"/>
  <c r="AK229" i="12"/>
  <c r="AK228" i="12"/>
  <c r="AK227" i="12"/>
  <c r="AK226" i="12"/>
  <c r="AK225" i="12"/>
  <c r="AK224" i="12"/>
  <c r="AK223" i="12"/>
  <c r="AK222" i="12"/>
  <c r="AK221" i="12"/>
  <c r="AK220" i="12"/>
  <c r="AK219" i="12"/>
  <c r="AK218" i="12"/>
  <c r="AK217" i="12"/>
  <c r="AK216" i="12"/>
  <c r="AK215" i="12"/>
  <c r="AK214" i="12"/>
  <c r="AK213" i="12"/>
  <c r="AK212" i="12"/>
  <c r="AK211" i="12"/>
  <c r="AK210" i="12"/>
  <c r="AK209" i="12"/>
  <c r="AK208" i="12"/>
  <c r="AK207" i="12"/>
  <c r="AK206" i="12"/>
  <c r="AK205" i="12"/>
  <c r="AK204" i="12"/>
  <c r="AK203" i="12"/>
  <c r="AK202" i="12"/>
  <c r="AK201" i="12"/>
  <c r="AK200" i="12"/>
  <c r="AK199" i="12"/>
  <c r="AK198" i="12"/>
  <c r="AK197" i="12"/>
  <c r="AK196" i="12"/>
  <c r="AK195" i="12"/>
  <c r="AK194" i="12"/>
  <c r="AK193" i="12"/>
  <c r="AK192" i="12"/>
  <c r="AK191" i="12"/>
  <c r="AK190" i="12"/>
  <c r="AK189" i="12"/>
  <c r="AK188" i="12"/>
  <c r="AK187" i="12"/>
  <c r="AK186" i="12"/>
  <c r="AK185" i="12"/>
  <c r="AK184" i="12"/>
  <c r="AK183" i="12"/>
  <c r="AK182" i="12"/>
  <c r="AK181" i="12"/>
  <c r="AK180" i="12"/>
  <c r="AK179" i="12"/>
  <c r="AK178" i="12"/>
  <c r="AK177" i="12"/>
  <c r="AK176" i="12"/>
  <c r="AK175" i="12"/>
  <c r="AK174" i="12"/>
  <c r="AK173" i="12"/>
  <c r="AK172" i="12"/>
  <c r="AK171" i="12"/>
  <c r="AK170" i="12"/>
  <c r="AK169" i="12"/>
  <c r="AK168" i="12"/>
  <c r="AK167" i="12"/>
  <c r="AK166" i="12"/>
  <c r="AK165" i="12"/>
  <c r="AK164" i="12"/>
  <c r="AK163" i="12"/>
  <c r="AK162" i="12"/>
  <c r="AK161" i="12"/>
  <c r="AK160" i="12"/>
  <c r="AK159" i="12"/>
  <c r="AK158" i="12"/>
  <c r="AK157" i="12"/>
  <c r="AK156" i="12"/>
  <c r="AK155" i="12"/>
  <c r="AK154" i="12"/>
  <c r="AK153" i="12"/>
  <c r="AK152" i="12"/>
  <c r="AK151" i="12"/>
  <c r="AK150" i="12"/>
  <c r="AK149" i="12"/>
  <c r="AK148" i="12"/>
  <c r="AK147" i="12"/>
  <c r="AK146" i="12"/>
  <c r="AK145" i="12"/>
  <c r="AK144" i="12"/>
  <c r="AK143" i="12"/>
  <c r="AK142" i="12"/>
  <c r="AK141" i="12"/>
  <c r="AK140" i="12"/>
  <c r="AK139" i="12"/>
  <c r="AK138" i="12"/>
  <c r="AK137" i="12"/>
  <c r="AK136" i="12"/>
  <c r="AK135" i="12"/>
  <c r="AK134" i="12"/>
  <c r="AK133" i="12"/>
  <c r="AK132" i="12"/>
  <c r="AK131" i="12"/>
  <c r="AK130" i="12"/>
  <c r="AK129" i="12"/>
  <c r="AK128" i="12"/>
  <c r="AK127" i="12"/>
  <c r="AK126" i="12"/>
  <c r="AK125" i="12"/>
  <c r="AK124" i="12"/>
  <c r="AK123" i="12"/>
  <c r="AK122" i="12"/>
  <c r="AK121" i="12"/>
  <c r="AK120" i="12"/>
  <c r="AK119" i="12"/>
  <c r="AK118" i="12"/>
  <c r="AK117" i="12"/>
  <c r="AK116" i="12"/>
  <c r="AK115" i="12"/>
  <c r="AK114" i="12"/>
  <c r="AK113" i="12"/>
  <c r="AK112" i="12"/>
  <c r="AK111" i="12"/>
  <c r="AK110" i="12"/>
  <c r="AK109" i="12"/>
  <c r="AK108" i="12"/>
  <c r="AK107" i="12"/>
  <c r="AK106" i="12"/>
  <c r="AK105" i="12"/>
  <c r="AK104" i="12"/>
  <c r="AK103" i="12"/>
  <c r="AK102" i="12"/>
  <c r="AK101" i="12"/>
  <c r="AK100" i="12"/>
  <c r="AK99" i="12"/>
  <c r="AK98" i="12"/>
  <c r="AK97" i="12"/>
  <c r="AK96" i="12"/>
  <c r="AK95" i="12"/>
  <c r="AK94" i="12"/>
  <c r="AK93" i="12"/>
  <c r="AK92" i="12"/>
  <c r="AK91" i="12"/>
  <c r="AK90" i="12"/>
  <c r="AK89" i="12"/>
  <c r="AK88" i="12"/>
  <c r="AK87" i="12"/>
  <c r="AK86" i="12"/>
  <c r="AK85" i="12"/>
  <c r="AK84" i="12"/>
  <c r="AK83" i="12"/>
  <c r="AK82" i="12"/>
  <c r="AK81" i="12"/>
  <c r="AK80" i="12"/>
  <c r="AK79" i="12"/>
  <c r="AK78" i="12"/>
  <c r="AK77" i="12"/>
  <c r="AK76" i="12"/>
  <c r="AK75" i="12"/>
  <c r="AK74" i="12"/>
  <c r="AK73" i="12"/>
  <c r="AK72" i="12"/>
  <c r="AK71" i="12"/>
  <c r="AK70" i="12"/>
  <c r="AK69" i="12"/>
  <c r="AK68" i="12"/>
  <c r="AK67" i="12"/>
  <c r="AK66" i="12"/>
  <c r="AK65" i="12"/>
  <c r="AK64" i="12"/>
  <c r="AK63" i="12"/>
  <c r="AK62" i="12"/>
  <c r="AK61" i="12"/>
  <c r="AK60" i="12"/>
  <c r="AK59" i="12"/>
  <c r="AK58" i="12"/>
  <c r="AK57" i="12"/>
  <c r="AK56" i="12"/>
  <c r="AK55" i="12"/>
  <c r="AK54" i="12"/>
  <c r="AK53" i="12"/>
  <c r="AK52" i="12"/>
  <c r="AK51" i="12"/>
  <c r="AK50" i="12"/>
  <c r="AK49" i="12"/>
  <c r="AK48" i="12"/>
  <c r="AK47" i="12"/>
  <c r="AK46" i="12"/>
  <c r="AK45" i="12"/>
  <c r="AK44" i="12"/>
  <c r="AK43" i="12"/>
  <c r="AK42" i="12"/>
  <c r="AK41" i="12"/>
  <c r="AK40" i="12"/>
  <c r="AK39" i="12"/>
  <c r="AK38" i="12"/>
  <c r="AK37" i="12"/>
  <c r="AK36" i="12"/>
  <c r="AK35" i="12"/>
  <c r="AK34" i="12"/>
  <c r="AK33" i="12"/>
  <c r="AK32" i="12"/>
  <c r="AK31" i="12"/>
  <c r="AK30" i="12"/>
  <c r="AK29" i="12"/>
  <c r="AK28" i="12"/>
  <c r="AK27" i="12"/>
  <c r="AK26" i="12"/>
  <c r="AK25" i="12"/>
  <c r="AK24" i="12"/>
  <c r="AK23" i="12"/>
  <c r="AK22" i="12"/>
  <c r="AK21" i="12"/>
  <c r="AK20" i="12"/>
  <c r="AK19" i="12"/>
  <c r="AK18" i="12"/>
  <c r="AK17" i="12"/>
  <c r="AK16" i="12"/>
  <c r="AK15" i="12"/>
  <c r="AK14" i="12"/>
  <c r="AK13" i="12"/>
  <c r="AK12" i="12"/>
  <c r="AK11" i="12"/>
  <c r="AK10" i="12"/>
  <c r="AK9" i="12"/>
  <c r="AK8" i="12"/>
  <c r="AK7" i="12"/>
  <c r="AK6" i="12"/>
  <c r="AK5" i="12"/>
  <c r="AK4" i="12"/>
  <c r="AK3" i="12"/>
  <c r="AH443" i="12"/>
  <c r="AH224" i="12"/>
  <c r="AH225" i="12"/>
  <c r="AH226" i="12"/>
  <c r="AH227" i="12"/>
  <c r="AH228" i="12"/>
  <c r="AH229" i="12"/>
  <c r="AH230" i="12"/>
  <c r="AH231" i="12"/>
  <c r="AH232" i="12"/>
  <c r="AH233" i="12"/>
  <c r="AH234" i="12"/>
  <c r="AH235" i="12"/>
  <c r="AH236" i="12"/>
  <c r="AH237" i="12"/>
  <c r="AH238" i="12"/>
  <c r="AH239" i="12"/>
  <c r="AH240" i="12"/>
  <c r="AH241" i="12"/>
  <c r="AH242" i="12"/>
  <c r="AH243" i="12"/>
  <c r="AH244" i="12"/>
  <c r="AH245" i="12"/>
  <c r="AH246" i="12"/>
  <c r="AH247" i="12"/>
  <c r="AH248" i="12"/>
  <c r="AH249" i="12"/>
  <c r="AH250" i="12"/>
  <c r="AH251" i="12"/>
  <c r="AH252" i="12"/>
  <c r="AH253" i="12"/>
  <c r="AH254" i="12"/>
  <c r="AH255" i="12"/>
  <c r="AH256" i="12"/>
  <c r="AH257" i="12"/>
  <c r="AH258" i="12"/>
  <c r="AH259" i="12"/>
  <c r="AH260" i="12"/>
  <c r="AH261" i="12"/>
  <c r="AH262" i="12"/>
  <c r="AH263" i="12"/>
  <c r="AH264" i="12"/>
  <c r="AH265" i="12"/>
  <c r="AH266" i="12"/>
  <c r="AH267" i="12"/>
  <c r="AH268" i="12"/>
  <c r="AH269" i="12"/>
  <c r="AH270" i="12"/>
  <c r="AH271" i="12"/>
  <c r="AH272" i="12"/>
  <c r="AH273" i="12"/>
  <c r="AH274" i="12"/>
  <c r="AH275" i="12"/>
  <c r="AH276" i="12"/>
  <c r="AH277" i="12"/>
  <c r="AH278" i="12"/>
  <c r="AH279" i="12"/>
  <c r="AH280" i="12"/>
  <c r="AH281" i="12"/>
  <c r="AH282" i="12"/>
  <c r="AH283" i="12"/>
  <c r="AH284" i="12"/>
  <c r="AH285" i="12"/>
  <c r="AH286" i="12"/>
  <c r="AH287" i="12"/>
  <c r="AH288" i="12"/>
  <c r="AH289" i="12"/>
  <c r="AH290" i="12"/>
  <c r="AH291" i="12"/>
  <c r="AH292" i="12"/>
  <c r="AH293" i="12"/>
  <c r="AH294" i="12"/>
  <c r="AH295" i="12"/>
  <c r="AH296" i="12"/>
  <c r="AH297" i="12"/>
  <c r="AH298" i="12"/>
  <c r="AH299" i="12"/>
  <c r="AH300" i="12"/>
  <c r="AH301" i="12"/>
  <c r="AH302" i="12"/>
  <c r="AH303" i="12"/>
  <c r="AH304" i="12"/>
  <c r="AH305" i="12"/>
  <c r="AH306" i="12"/>
  <c r="AH307" i="12"/>
  <c r="AH308" i="12"/>
  <c r="AH309" i="12"/>
  <c r="AH310" i="12"/>
  <c r="AH311" i="12"/>
  <c r="AH312" i="12"/>
  <c r="AH313" i="12"/>
  <c r="AH314" i="12"/>
  <c r="AH315" i="12"/>
  <c r="AH316" i="12"/>
  <c r="AH317" i="12"/>
  <c r="AH318" i="12"/>
  <c r="AH319" i="12"/>
  <c r="AH320" i="12"/>
  <c r="AH321" i="12"/>
  <c r="AH322" i="12"/>
  <c r="AH323" i="12"/>
  <c r="AH324" i="12"/>
  <c r="AH325" i="12"/>
  <c r="AH326" i="12"/>
  <c r="AH327" i="12"/>
  <c r="AH328" i="12"/>
  <c r="AH329" i="12"/>
  <c r="AH330" i="12"/>
  <c r="AH331" i="12"/>
  <c r="AH332" i="12"/>
  <c r="AH333" i="12"/>
  <c r="AH334" i="12"/>
  <c r="AH335" i="12"/>
  <c r="AH336" i="12"/>
  <c r="AH337" i="12"/>
  <c r="AH338" i="12"/>
  <c r="AH339" i="12"/>
  <c r="AH340" i="12"/>
  <c r="AH341" i="12"/>
  <c r="AH342" i="12"/>
  <c r="AH343" i="12"/>
  <c r="AH344" i="12"/>
  <c r="AH345" i="12"/>
  <c r="AH346" i="12"/>
  <c r="AH347" i="12"/>
  <c r="AH348" i="12"/>
  <c r="AH349" i="12"/>
  <c r="AH350" i="12"/>
  <c r="AH351" i="12"/>
  <c r="AH352" i="12"/>
  <c r="AH353" i="12"/>
  <c r="AH354" i="12"/>
  <c r="AH355" i="12"/>
  <c r="AH356" i="12"/>
  <c r="AH357" i="12"/>
  <c r="AH358" i="12"/>
  <c r="AH359" i="12"/>
  <c r="AH360" i="12"/>
  <c r="AH361" i="12"/>
  <c r="AH362" i="12"/>
  <c r="AH363" i="12"/>
  <c r="AH364" i="12"/>
  <c r="AH365" i="12"/>
  <c r="AH366" i="12"/>
  <c r="AH367" i="12"/>
  <c r="AH368" i="12"/>
  <c r="AH369" i="12"/>
  <c r="AH370" i="12"/>
  <c r="AH371" i="12"/>
  <c r="AH372" i="12"/>
  <c r="AH373" i="12"/>
  <c r="AH374" i="12"/>
  <c r="AH375" i="12"/>
  <c r="AH376" i="12"/>
  <c r="AH377" i="12"/>
  <c r="AH378" i="12"/>
  <c r="AH379" i="12"/>
  <c r="AH380" i="12"/>
  <c r="AH381" i="12"/>
  <c r="AH382" i="12"/>
  <c r="AH383" i="12"/>
  <c r="AH384" i="12"/>
  <c r="AH385" i="12"/>
  <c r="AH386" i="12"/>
  <c r="AH387" i="12"/>
  <c r="AH388" i="12"/>
  <c r="AH389" i="12"/>
  <c r="AH390" i="12"/>
  <c r="AH391" i="12"/>
  <c r="AH392" i="12"/>
  <c r="AH393" i="12"/>
  <c r="AH394" i="12"/>
  <c r="AH395" i="12"/>
  <c r="AH396" i="12"/>
  <c r="AH397" i="12"/>
  <c r="AH398" i="12"/>
  <c r="AH399" i="12"/>
  <c r="AH400" i="12"/>
  <c r="AH401" i="12"/>
  <c r="AH402" i="12"/>
  <c r="AH403" i="12"/>
  <c r="AH404" i="12"/>
  <c r="AH405" i="12"/>
  <c r="AH406" i="12"/>
  <c r="AH407" i="12"/>
  <c r="AH408" i="12"/>
  <c r="AH409" i="12"/>
  <c r="AH410" i="12"/>
  <c r="AH411" i="12"/>
  <c r="AH412" i="12"/>
  <c r="AH413" i="12"/>
  <c r="AH414" i="12"/>
  <c r="AH415" i="12"/>
  <c r="AH416" i="12"/>
  <c r="AH417" i="12"/>
  <c r="AH418" i="12"/>
  <c r="AH419" i="12"/>
  <c r="AH420" i="12"/>
  <c r="AH421" i="12"/>
  <c r="AH422" i="12"/>
  <c r="AH423" i="12"/>
  <c r="AH424" i="12"/>
  <c r="AH425" i="12"/>
  <c r="AH426" i="12"/>
  <c r="AH427" i="12"/>
  <c r="AH428" i="12"/>
  <c r="AH429" i="12"/>
  <c r="AH430" i="12"/>
  <c r="AH431" i="12"/>
  <c r="AH432" i="12"/>
  <c r="AH433" i="12"/>
  <c r="AH434" i="12"/>
  <c r="AH435" i="12"/>
  <c r="AH436" i="12"/>
  <c r="AH437" i="12"/>
  <c r="AH438" i="12"/>
  <c r="AH439" i="12"/>
  <c r="AH440" i="12"/>
  <c r="AH441" i="12"/>
  <c r="AH442" i="12"/>
  <c r="AH3" i="12"/>
  <c r="AH4" i="12"/>
  <c r="AH5" i="12"/>
  <c r="AH6" i="12"/>
  <c r="AH7" i="12"/>
  <c r="AH8" i="12"/>
  <c r="AH9" i="12"/>
  <c r="AH10" i="12"/>
  <c r="AH11" i="12"/>
  <c r="AH12" i="12"/>
  <c r="AH13" i="12"/>
  <c r="AH14" i="12"/>
  <c r="AH15" i="12"/>
  <c r="AH16" i="12"/>
  <c r="AH17" i="12"/>
  <c r="AH18" i="12"/>
  <c r="AH19" i="12"/>
  <c r="AH20" i="12"/>
  <c r="AH21" i="12"/>
  <c r="AH22" i="12"/>
  <c r="AH23" i="12"/>
  <c r="AH24" i="12"/>
  <c r="AH25" i="12"/>
  <c r="AH26" i="12"/>
  <c r="AH27" i="12"/>
  <c r="AH28" i="12"/>
  <c r="AH29" i="12"/>
  <c r="AH30" i="12"/>
  <c r="AH31" i="12"/>
  <c r="AH32" i="12"/>
  <c r="AH33" i="12"/>
  <c r="AH34" i="12"/>
  <c r="AH35" i="12"/>
  <c r="AH36" i="12"/>
  <c r="AH37" i="12"/>
  <c r="AH38" i="12"/>
  <c r="AH39" i="12"/>
  <c r="AH40" i="12"/>
  <c r="AH41" i="12"/>
  <c r="AH42" i="12"/>
  <c r="AH43" i="12"/>
  <c r="AH44" i="12"/>
  <c r="AH45" i="12"/>
  <c r="AH46" i="12"/>
  <c r="AH47" i="12"/>
  <c r="AH48" i="12"/>
  <c r="AH49" i="12"/>
  <c r="AH50" i="12"/>
  <c r="AH51" i="12"/>
  <c r="AH52" i="12"/>
  <c r="AH53" i="12"/>
  <c r="AH54" i="12"/>
  <c r="AH55" i="12"/>
  <c r="AH56" i="12"/>
  <c r="AH57" i="12"/>
  <c r="AH58" i="12"/>
  <c r="AH59" i="12"/>
  <c r="AH60" i="12"/>
  <c r="AH61" i="12"/>
  <c r="AH62" i="12"/>
  <c r="AH63" i="12"/>
  <c r="AH64" i="12"/>
  <c r="AH65" i="12"/>
  <c r="AH66" i="12"/>
  <c r="AH67" i="12"/>
  <c r="AH68" i="12"/>
  <c r="AH69" i="12"/>
  <c r="AH70" i="12"/>
  <c r="AH71" i="12"/>
  <c r="AH72" i="12"/>
  <c r="AH73" i="12"/>
  <c r="AH74" i="12"/>
  <c r="AH75" i="12"/>
  <c r="AH76" i="12"/>
  <c r="AH77" i="12"/>
  <c r="AH78" i="12"/>
  <c r="AH79" i="12"/>
  <c r="AH80" i="12"/>
  <c r="AH81" i="12"/>
  <c r="AH82" i="12"/>
  <c r="AH83" i="12"/>
  <c r="AH84" i="12"/>
  <c r="AH85" i="12"/>
  <c r="AH86" i="12"/>
  <c r="AH87" i="12"/>
  <c r="AH88" i="12"/>
  <c r="AH89" i="12"/>
  <c r="AH90" i="12"/>
  <c r="AH91" i="12"/>
  <c r="AH92" i="12"/>
  <c r="AH93" i="12"/>
  <c r="AH94" i="12"/>
  <c r="AH95" i="12"/>
  <c r="AH96" i="12"/>
  <c r="AH97" i="12"/>
  <c r="AH98" i="12"/>
  <c r="AH99" i="12"/>
  <c r="AH100" i="12"/>
  <c r="AH101" i="12"/>
  <c r="AH102" i="12"/>
  <c r="AH103" i="12"/>
  <c r="AH104" i="12"/>
  <c r="AH105" i="12"/>
  <c r="AH106" i="12"/>
  <c r="AH107" i="12"/>
  <c r="AH108" i="12"/>
  <c r="AH109" i="12"/>
  <c r="AH110" i="12"/>
  <c r="AH111" i="12"/>
  <c r="AH112" i="12"/>
  <c r="AH113" i="12"/>
  <c r="AH114" i="12"/>
  <c r="AH115" i="12"/>
  <c r="AH116" i="12"/>
  <c r="AH117" i="12"/>
  <c r="AH118" i="12"/>
  <c r="AH119" i="12"/>
  <c r="AH120" i="12"/>
  <c r="AH121" i="12"/>
  <c r="AH122" i="12"/>
  <c r="AH123" i="12"/>
  <c r="AH124" i="12"/>
  <c r="AH125" i="12"/>
  <c r="AH126" i="12"/>
  <c r="AH127" i="12"/>
  <c r="AH128" i="12"/>
  <c r="AH129" i="12"/>
  <c r="AH130" i="12"/>
  <c r="AH131" i="12"/>
  <c r="AH132" i="12"/>
  <c r="AH133" i="12"/>
  <c r="AH134" i="12"/>
  <c r="AH135" i="12"/>
  <c r="AH136" i="12"/>
  <c r="AH137" i="12"/>
  <c r="AH138" i="12"/>
  <c r="AH139" i="12"/>
  <c r="AH140" i="12"/>
  <c r="AH141" i="12"/>
  <c r="AH142" i="12"/>
  <c r="AH143" i="12"/>
  <c r="AH144" i="12"/>
  <c r="AH145" i="12"/>
  <c r="AH146" i="12"/>
  <c r="AH147" i="12"/>
  <c r="AH148" i="12"/>
  <c r="AH149" i="12"/>
  <c r="AH150" i="12"/>
  <c r="AH151" i="12"/>
  <c r="AH152" i="12"/>
  <c r="AH153" i="12"/>
  <c r="AH154" i="12"/>
  <c r="AH155" i="12"/>
  <c r="AH156" i="12"/>
  <c r="AH157" i="12"/>
  <c r="AH158" i="12"/>
  <c r="AH159" i="12"/>
  <c r="AH160" i="12"/>
  <c r="AH161" i="12"/>
  <c r="AH162" i="12"/>
  <c r="AH163" i="12"/>
  <c r="AH164" i="12"/>
  <c r="AH165" i="12"/>
  <c r="AH166" i="12"/>
  <c r="AH167" i="12"/>
  <c r="AH168" i="12"/>
  <c r="AH169" i="12"/>
  <c r="AH170" i="12"/>
  <c r="AH171" i="12"/>
  <c r="AH172" i="12"/>
  <c r="AH173" i="12"/>
  <c r="AH174" i="12"/>
  <c r="AH175" i="12"/>
  <c r="AH176" i="12"/>
  <c r="AH177" i="12"/>
  <c r="AH178" i="12"/>
  <c r="AH179" i="12"/>
  <c r="AH180" i="12"/>
  <c r="AH181" i="12"/>
  <c r="AH182" i="12"/>
  <c r="AH183" i="12"/>
  <c r="AH184" i="12"/>
  <c r="AH185" i="12"/>
  <c r="AH186" i="12"/>
  <c r="AH187" i="12"/>
  <c r="AH188" i="12"/>
  <c r="AH189" i="12"/>
  <c r="AH190" i="12"/>
  <c r="AH191" i="12"/>
  <c r="AH192" i="12"/>
  <c r="AH193" i="12"/>
  <c r="AH194" i="12"/>
  <c r="AH195" i="12"/>
  <c r="AH196" i="12"/>
  <c r="AH197" i="12"/>
  <c r="AH198" i="12"/>
  <c r="AH199" i="12"/>
  <c r="AH200" i="12"/>
  <c r="AH201" i="12"/>
  <c r="AH202" i="12"/>
  <c r="AH203" i="12"/>
  <c r="AH204" i="12"/>
  <c r="AH205" i="12"/>
  <c r="AH206" i="12"/>
  <c r="AH207" i="12"/>
  <c r="AH208" i="12"/>
  <c r="AH209" i="12"/>
  <c r="AH210" i="12"/>
  <c r="AH211" i="12"/>
  <c r="AH212" i="12"/>
  <c r="AH213" i="12"/>
  <c r="AH214" i="12"/>
  <c r="AH215" i="12"/>
  <c r="AH216" i="12"/>
  <c r="AH217" i="12"/>
  <c r="AH218" i="12"/>
  <c r="AH219" i="12"/>
  <c r="AH220" i="12"/>
  <c r="AH221" i="12"/>
  <c r="AH222" i="12"/>
  <c r="AI443" i="12"/>
  <c r="AI442" i="12"/>
  <c r="AI441" i="12"/>
  <c r="AI440" i="12"/>
  <c r="AI439" i="12"/>
  <c r="AI438" i="12"/>
  <c r="AI437" i="12"/>
  <c r="AI436" i="12"/>
  <c r="AI435" i="12"/>
  <c r="AI434" i="12"/>
  <c r="AI433" i="12"/>
  <c r="AI432" i="12"/>
  <c r="AI431" i="12"/>
  <c r="AI430" i="12"/>
  <c r="AI429" i="12"/>
  <c r="AI428" i="12"/>
  <c r="AI427" i="12"/>
  <c r="AI426" i="12"/>
  <c r="AI425" i="12"/>
  <c r="AI424" i="12"/>
  <c r="AI423" i="12"/>
  <c r="AI422" i="12"/>
  <c r="AI421" i="12"/>
  <c r="AI420" i="12"/>
  <c r="AI419" i="12"/>
  <c r="AI418" i="12"/>
  <c r="AI417" i="12"/>
  <c r="AI416" i="12"/>
  <c r="AI415" i="12"/>
  <c r="AI414" i="12"/>
  <c r="AI413" i="12"/>
  <c r="AI412" i="12"/>
  <c r="AI411" i="12"/>
  <c r="AI410" i="12"/>
  <c r="AI409" i="12"/>
  <c r="AI408" i="12"/>
  <c r="AI407" i="12"/>
  <c r="AI406" i="12"/>
  <c r="AI405" i="12"/>
  <c r="AI404" i="12"/>
  <c r="AI403" i="12"/>
  <c r="AI402" i="12"/>
  <c r="AI401" i="12"/>
  <c r="AI400" i="12"/>
  <c r="AI399" i="12"/>
  <c r="AI398" i="12"/>
  <c r="AI397" i="12"/>
  <c r="AI396" i="12"/>
  <c r="AI395" i="12"/>
  <c r="AI394" i="12"/>
  <c r="AI393" i="12"/>
  <c r="AI392" i="12"/>
  <c r="AI391" i="12"/>
  <c r="AI390" i="12"/>
  <c r="AI389" i="12"/>
  <c r="AI388" i="12"/>
  <c r="AI387" i="12"/>
  <c r="AI386" i="12"/>
  <c r="AI385" i="12"/>
  <c r="AI384" i="12"/>
  <c r="AI383" i="12"/>
  <c r="AI382" i="12"/>
  <c r="AI381" i="12"/>
  <c r="AI380" i="12"/>
  <c r="AI379" i="12"/>
  <c r="AI378" i="12"/>
  <c r="AI377" i="12"/>
  <c r="AI376" i="12"/>
  <c r="AI375" i="12"/>
  <c r="AI374" i="12"/>
  <c r="AI373" i="12"/>
  <c r="AI372" i="12"/>
  <c r="AI371" i="12"/>
  <c r="AI370" i="12"/>
  <c r="AI369" i="12"/>
  <c r="AI368" i="12"/>
  <c r="AI367" i="12"/>
  <c r="AI366" i="12"/>
  <c r="AI365" i="12"/>
  <c r="AI364" i="12"/>
  <c r="AI363" i="12"/>
  <c r="AI362" i="12"/>
  <c r="AI361" i="12"/>
  <c r="AI360" i="12"/>
  <c r="AI359" i="12"/>
  <c r="AI358" i="12"/>
  <c r="AI357" i="12"/>
  <c r="AI356" i="12"/>
  <c r="AI355" i="12"/>
  <c r="AI354" i="12"/>
  <c r="AI353" i="12"/>
  <c r="AI352" i="12"/>
  <c r="AI351" i="12"/>
  <c r="AI350" i="12"/>
  <c r="AI349" i="12"/>
  <c r="AI348" i="12"/>
  <c r="AI347" i="12"/>
  <c r="AI346" i="12"/>
  <c r="AI345" i="12"/>
  <c r="AI344" i="12"/>
  <c r="AI343" i="12"/>
  <c r="AI342" i="12"/>
  <c r="AI341" i="12"/>
  <c r="AI340" i="12"/>
  <c r="AI339" i="12"/>
  <c r="AI338" i="12"/>
  <c r="AI337" i="12"/>
  <c r="AI336" i="12"/>
  <c r="AI335" i="12"/>
  <c r="AI334" i="12"/>
  <c r="AI333" i="12"/>
  <c r="AI332" i="12"/>
  <c r="AI331" i="12"/>
  <c r="AI330" i="12"/>
  <c r="AI329" i="12"/>
  <c r="AI328" i="12"/>
  <c r="AI327" i="12"/>
  <c r="AI326" i="12"/>
  <c r="AI325" i="12"/>
  <c r="AI324" i="12"/>
  <c r="AI323" i="12"/>
  <c r="AI322" i="12"/>
  <c r="AI321" i="12"/>
  <c r="AI320" i="12"/>
  <c r="AI319" i="12"/>
  <c r="AI318" i="12"/>
  <c r="AI317" i="12"/>
  <c r="AI316" i="12"/>
  <c r="AI315" i="12"/>
  <c r="AI314" i="12"/>
  <c r="AI313" i="12"/>
  <c r="AI312" i="12"/>
  <c r="AI311" i="12"/>
  <c r="AI310" i="12"/>
  <c r="AI309" i="12"/>
  <c r="AI308" i="12"/>
  <c r="AI307" i="12"/>
  <c r="AI306" i="12"/>
  <c r="AI305" i="12"/>
  <c r="AI304" i="12"/>
  <c r="AI303" i="12"/>
  <c r="AI302" i="12"/>
  <c r="AI301" i="12"/>
  <c r="AI300" i="12"/>
  <c r="AI299" i="12"/>
  <c r="AI298" i="12"/>
  <c r="AI297" i="12"/>
  <c r="AI296" i="12"/>
  <c r="AI295" i="12"/>
  <c r="AI294" i="12"/>
  <c r="AI293" i="12"/>
  <c r="AI292" i="12"/>
  <c r="AI291" i="12"/>
  <c r="AI290" i="12"/>
  <c r="AI289" i="12"/>
  <c r="AI288" i="12"/>
  <c r="AI287" i="12"/>
  <c r="AI286" i="12"/>
  <c r="AI285" i="12"/>
  <c r="AI284" i="12"/>
  <c r="AI283" i="12"/>
  <c r="AI282" i="12"/>
  <c r="AI281" i="12"/>
  <c r="AI280" i="12"/>
  <c r="AI279" i="12"/>
  <c r="AI278" i="12"/>
  <c r="AI277" i="12"/>
  <c r="AI276" i="12"/>
  <c r="AI275" i="12"/>
  <c r="AI274" i="12"/>
  <c r="AI273" i="12"/>
  <c r="AI272" i="12"/>
  <c r="AI271" i="12"/>
  <c r="AI270" i="12"/>
  <c r="AI269" i="12"/>
  <c r="AI268" i="12"/>
  <c r="AI267" i="12"/>
  <c r="AI266" i="12"/>
  <c r="AI265" i="12"/>
  <c r="AI264" i="12"/>
  <c r="AI263" i="12"/>
  <c r="AI262" i="12"/>
  <c r="AI261" i="12"/>
  <c r="AI260" i="12"/>
  <c r="AI259" i="12"/>
  <c r="AI258" i="12"/>
  <c r="AI257" i="12"/>
  <c r="AI256" i="12"/>
  <c r="AI255" i="12"/>
  <c r="AI254" i="12"/>
  <c r="AI253" i="12"/>
  <c r="AI252" i="12"/>
  <c r="AI251" i="12"/>
  <c r="AI250" i="12"/>
  <c r="AI249" i="12"/>
  <c r="AI248" i="12"/>
  <c r="AI247" i="12"/>
  <c r="AI246" i="12"/>
  <c r="AI245" i="12"/>
  <c r="AI244" i="12"/>
  <c r="AI243" i="12"/>
  <c r="AI242" i="12"/>
  <c r="AI241" i="12"/>
  <c r="AI240" i="12"/>
  <c r="AI239" i="12"/>
  <c r="AI238" i="12"/>
  <c r="AI237" i="12"/>
  <c r="AI236" i="12"/>
  <c r="AI235" i="12"/>
  <c r="AI234" i="12"/>
  <c r="AI233" i="12"/>
  <c r="AI232" i="12"/>
  <c r="AI231" i="12"/>
  <c r="AI230" i="12"/>
  <c r="AI229" i="12"/>
  <c r="AI228" i="12"/>
  <c r="AI227" i="12"/>
  <c r="AI226" i="12"/>
  <c r="AI225" i="12"/>
  <c r="AI224" i="12"/>
  <c r="AI223" i="12"/>
  <c r="AI222" i="12"/>
  <c r="AI221" i="12"/>
  <c r="AI220" i="12"/>
  <c r="AI219" i="12"/>
  <c r="AI218" i="12"/>
  <c r="AI217" i="12"/>
  <c r="AI216" i="12"/>
  <c r="AI215" i="12"/>
  <c r="AI214" i="12"/>
  <c r="AI213" i="12"/>
  <c r="AI212" i="12"/>
  <c r="AI211" i="12"/>
  <c r="AI210" i="12"/>
  <c r="AI209" i="12"/>
  <c r="AI208" i="12"/>
  <c r="AI207" i="12"/>
  <c r="AI206" i="12"/>
  <c r="AI205" i="12"/>
  <c r="AI204" i="12"/>
  <c r="AI203" i="12"/>
  <c r="AI202" i="12"/>
  <c r="AI201" i="12"/>
  <c r="AI200" i="12"/>
  <c r="AI199" i="12"/>
  <c r="AI198" i="12"/>
  <c r="AI197" i="12"/>
  <c r="AI196" i="12"/>
  <c r="AI195" i="12"/>
  <c r="AI194" i="12"/>
  <c r="AI193" i="12"/>
  <c r="AI192" i="12"/>
  <c r="AI191" i="12"/>
  <c r="AI190" i="12"/>
  <c r="AI189" i="12"/>
  <c r="AI188" i="12"/>
  <c r="AI187" i="12"/>
  <c r="AI186" i="12"/>
  <c r="AI185" i="12"/>
  <c r="AI184" i="12"/>
  <c r="AI183" i="12"/>
  <c r="AI182" i="12"/>
  <c r="AI181" i="12"/>
  <c r="AI180" i="12"/>
  <c r="AI179" i="12"/>
  <c r="AI178" i="12"/>
  <c r="AI177" i="12"/>
  <c r="AI176" i="12"/>
  <c r="AI175" i="12"/>
  <c r="AI174" i="12"/>
  <c r="AI173" i="12"/>
  <c r="AI172" i="12"/>
  <c r="AI171" i="12"/>
  <c r="AI170" i="12"/>
  <c r="AI169" i="12"/>
  <c r="AI168" i="12"/>
  <c r="AI167" i="12"/>
  <c r="AI166" i="12"/>
  <c r="AI165" i="12"/>
  <c r="AI164" i="12"/>
  <c r="AI163" i="12"/>
  <c r="AI162" i="12"/>
  <c r="AI161" i="12"/>
  <c r="AI160" i="12"/>
  <c r="AI159" i="12"/>
  <c r="AI158" i="12"/>
  <c r="AI157" i="12"/>
  <c r="AI156" i="12"/>
  <c r="AI155" i="12"/>
  <c r="AI154" i="12"/>
  <c r="AI153" i="12"/>
  <c r="AI152" i="12"/>
  <c r="AI151" i="12"/>
  <c r="AI150" i="12"/>
  <c r="AI149" i="12"/>
  <c r="AI148" i="12"/>
  <c r="AI147" i="12"/>
  <c r="AI146" i="12"/>
  <c r="AI145" i="12"/>
  <c r="AI144" i="12"/>
  <c r="AI143" i="12"/>
  <c r="AI142" i="12"/>
  <c r="AI141" i="12"/>
  <c r="AI140" i="12"/>
  <c r="AI139" i="12"/>
  <c r="AI138" i="12"/>
  <c r="AI137" i="12"/>
  <c r="AI136" i="12"/>
  <c r="AI135" i="12"/>
  <c r="AI134" i="12"/>
  <c r="AI133" i="12"/>
  <c r="AI132" i="12"/>
  <c r="AI131" i="12"/>
  <c r="AI130" i="12"/>
  <c r="AI129" i="12"/>
  <c r="AI128" i="12"/>
  <c r="AI127" i="12"/>
  <c r="AI126" i="12"/>
  <c r="AI125" i="12"/>
  <c r="AI124" i="12"/>
  <c r="AI123" i="12"/>
  <c r="AI122" i="12"/>
  <c r="AI121" i="12"/>
  <c r="AI120" i="12"/>
  <c r="AI119" i="12"/>
  <c r="AI118" i="12"/>
  <c r="AI117" i="12"/>
  <c r="AI116" i="12"/>
  <c r="AI115" i="12"/>
  <c r="AI114" i="12"/>
  <c r="AI113" i="12"/>
  <c r="AI112" i="12"/>
  <c r="AI111" i="12"/>
  <c r="AI110" i="12"/>
  <c r="AI109" i="12"/>
  <c r="AI108" i="12"/>
  <c r="AI107" i="12"/>
  <c r="AI106" i="12"/>
  <c r="AI105" i="12"/>
  <c r="AI104" i="12"/>
  <c r="AI103" i="12"/>
  <c r="AI102" i="12"/>
  <c r="AI101" i="12"/>
  <c r="AI100" i="12"/>
  <c r="AI99" i="12"/>
  <c r="AI98" i="12"/>
  <c r="AI97" i="12"/>
  <c r="AI96" i="12"/>
  <c r="AI95" i="12"/>
  <c r="AI94" i="12"/>
  <c r="AI93" i="12"/>
  <c r="AI92" i="12"/>
  <c r="AI91" i="12"/>
  <c r="AI90" i="12"/>
  <c r="AI89" i="12"/>
  <c r="AI88" i="12"/>
  <c r="AI87" i="12"/>
  <c r="AI86" i="12"/>
  <c r="AI85" i="12"/>
  <c r="AI84" i="12"/>
  <c r="AI83" i="12"/>
  <c r="AI82" i="12"/>
  <c r="AI81" i="12"/>
  <c r="AI80" i="12"/>
  <c r="AI79" i="12"/>
  <c r="AI78" i="12"/>
  <c r="AI77" i="12"/>
  <c r="AI76" i="12"/>
  <c r="AI75" i="12"/>
  <c r="AI74" i="12"/>
  <c r="AI73" i="12"/>
  <c r="AI72" i="12"/>
  <c r="AI71" i="12"/>
  <c r="AI70" i="12"/>
  <c r="AI69" i="12"/>
  <c r="AI68" i="12"/>
  <c r="AI67" i="12"/>
  <c r="AI66" i="12"/>
  <c r="AI65" i="12"/>
  <c r="AI64" i="12"/>
  <c r="AI63" i="12"/>
  <c r="AI62" i="12"/>
  <c r="AI61" i="12"/>
  <c r="AI60" i="12"/>
  <c r="AI59" i="12"/>
  <c r="AI58" i="12"/>
  <c r="AI57" i="12"/>
  <c r="AI56" i="12"/>
  <c r="AI55" i="12"/>
  <c r="AI54" i="12"/>
  <c r="AI53" i="12"/>
  <c r="AI52" i="12"/>
  <c r="AI51" i="12"/>
  <c r="AI50" i="12"/>
  <c r="AI49" i="12"/>
  <c r="AI48" i="12"/>
  <c r="AI47" i="12"/>
  <c r="AI46" i="12"/>
  <c r="AI45" i="12"/>
  <c r="AI44" i="12"/>
  <c r="AI43" i="12"/>
  <c r="AI42" i="12"/>
  <c r="AI41" i="12"/>
  <c r="AI40" i="12"/>
  <c r="AI39" i="12"/>
  <c r="AI38" i="12"/>
  <c r="AI37" i="12"/>
  <c r="AI36" i="12"/>
  <c r="AI35" i="12"/>
  <c r="AI34" i="12"/>
  <c r="AI33" i="12"/>
  <c r="AI32" i="12"/>
  <c r="AI31" i="12"/>
  <c r="AI30" i="12"/>
  <c r="AI29" i="12"/>
  <c r="AI28" i="12"/>
  <c r="AI27" i="12"/>
  <c r="AI26" i="12"/>
  <c r="AI25" i="12"/>
  <c r="AI24" i="12"/>
  <c r="AI23" i="12"/>
  <c r="AI22" i="12"/>
  <c r="AI21" i="12"/>
  <c r="AI20" i="12"/>
  <c r="AI19" i="12"/>
  <c r="AI18" i="12"/>
  <c r="AI17" i="12"/>
  <c r="AI16" i="12"/>
  <c r="AI15" i="12"/>
  <c r="AI14" i="12"/>
  <c r="AI13" i="12"/>
  <c r="AI12" i="12"/>
  <c r="AI11" i="12"/>
  <c r="AI10" i="12"/>
  <c r="AI9" i="12"/>
  <c r="AI8" i="12"/>
  <c r="AI7" i="12"/>
  <c r="AI6" i="12"/>
  <c r="AI5" i="12"/>
  <c r="AI4" i="12"/>
  <c r="AI3" i="12"/>
  <c r="X4" i="25"/>
  <c r="X3" i="25"/>
  <c r="X5" i="25"/>
  <c r="X6" i="25"/>
  <c r="X7" i="25"/>
  <c r="X8" i="25"/>
  <c r="X9" i="25"/>
  <c r="X10" i="25"/>
  <c r="X11" i="25"/>
  <c r="X12" i="25"/>
  <c r="X13" i="25"/>
  <c r="X14" i="25"/>
  <c r="X15" i="25"/>
  <c r="X16" i="25"/>
  <c r="X17" i="25"/>
  <c r="X18" i="25"/>
  <c r="X19" i="25"/>
  <c r="X20" i="25"/>
  <c r="X21" i="25"/>
  <c r="X22" i="25"/>
  <c r="X23" i="25"/>
  <c r="X24" i="25"/>
  <c r="X25" i="25"/>
  <c r="X26" i="25"/>
  <c r="X27" i="25"/>
  <c r="X28" i="25"/>
  <c r="X29" i="25"/>
  <c r="X30" i="25"/>
  <c r="X31" i="25"/>
  <c r="X32" i="25"/>
  <c r="X33" i="25"/>
  <c r="X34" i="25"/>
  <c r="X35" i="25"/>
  <c r="X36" i="25"/>
  <c r="X37" i="25"/>
  <c r="X38" i="25"/>
  <c r="X39" i="25"/>
  <c r="X40" i="25"/>
  <c r="X41" i="25"/>
  <c r="X42" i="25"/>
  <c r="X43" i="25"/>
  <c r="X44" i="25"/>
  <c r="X45" i="25"/>
  <c r="X46" i="25"/>
  <c r="X47" i="25"/>
  <c r="X48" i="25"/>
  <c r="X49" i="25"/>
  <c r="X50" i="25"/>
  <c r="X51" i="25"/>
  <c r="X52" i="25"/>
  <c r="X53" i="25"/>
  <c r="X54" i="25"/>
  <c r="X55" i="25"/>
  <c r="X56" i="25"/>
  <c r="X57" i="25"/>
  <c r="X58" i="25"/>
  <c r="X59" i="25"/>
  <c r="X60" i="25"/>
  <c r="X61" i="25"/>
  <c r="X62" i="25"/>
  <c r="X63" i="25"/>
  <c r="X64" i="25"/>
  <c r="X65" i="25"/>
  <c r="X66" i="25"/>
  <c r="X67" i="25"/>
  <c r="X68" i="25"/>
  <c r="X69" i="25"/>
  <c r="X70" i="25"/>
  <c r="X71" i="25"/>
  <c r="X72" i="25"/>
  <c r="X73" i="25"/>
  <c r="X74" i="25"/>
  <c r="X75" i="25"/>
  <c r="X76" i="25"/>
  <c r="X77" i="25"/>
  <c r="X78" i="25"/>
  <c r="X79" i="25"/>
  <c r="X80" i="25"/>
  <c r="X81" i="25"/>
  <c r="X82" i="25"/>
  <c r="X83" i="25"/>
  <c r="X84" i="25"/>
  <c r="X85" i="25"/>
  <c r="X86" i="25"/>
  <c r="X87" i="25"/>
  <c r="X88" i="25"/>
  <c r="X89" i="25"/>
  <c r="X90" i="25"/>
  <c r="X91" i="25"/>
  <c r="X92" i="25"/>
  <c r="X93" i="25"/>
  <c r="X94" i="25"/>
  <c r="X95" i="25"/>
  <c r="X96" i="25"/>
  <c r="X97" i="25"/>
  <c r="X98" i="25"/>
  <c r="X99" i="25"/>
  <c r="X100" i="25"/>
  <c r="X101" i="25"/>
  <c r="X102" i="25"/>
  <c r="X103" i="25"/>
  <c r="X104" i="25"/>
  <c r="X105" i="25"/>
  <c r="X106" i="25"/>
  <c r="X107" i="25"/>
  <c r="X108" i="25"/>
  <c r="X109" i="25"/>
  <c r="X110" i="25"/>
  <c r="X111" i="25"/>
  <c r="X112" i="25"/>
  <c r="X113" i="25"/>
  <c r="X114" i="25"/>
  <c r="X115" i="25"/>
  <c r="X116" i="25"/>
  <c r="X117" i="25"/>
  <c r="X118" i="25"/>
  <c r="X119" i="25"/>
  <c r="X120" i="25"/>
  <c r="X121" i="25"/>
  <c r="X122" i="25"/>
  <c r="X123" i="25"/>
  <c r="X124" i="25"/>
  <c r="X125" i="25"/>
  <c r="X126" i="25"/>
  <c r="X127" i="25"/>
  <c r="X128" i="25"/>
  <c r="X129" i="25"/>
  <c r="X130" i="25"/>
  <c r="X131" i="25"/>
  <c r="X132" i="25"/>
  <c r="X133" i="25"/>
  <c r="X134" i="25"/>
  <c r="X135" i="25"/>
  <c r="X136" i="25"/>
  <c r="X137" i="25"/>
  <c r="X138" i="25"/>
  <c r="X139" i="25"/>
  <c r="X140" i="25"/>
  <c r="X141" i="25"/>
  <c r="X142" i="25"/>
  <c r="X143" i="25"/>
  <c r="X144" i="25"/>
  <c r="X145" i="25"/>
  <c r="X146" i="25"/>
  <c r="X147" i="25"/>
  <c r="X148" i="25"/>
  <c r="X149" i="25"/>
  <c r="X150" i="25"/>
  <c r="X151" i="25"/>
  <c r="X152" i="25"/>
  <c r="X153" i="25"/>
  <c r="X154" i="25"/>
  <c r="X155" i="25"/>
  <c r="X156" i="25"/>
  <c r="X157" i="25"/>
  <c r="X158" i="25"/>
  <c r="X159" i="25"/>
  <c r="X160" i="25"/>
  <c r="X161" i="25"/>
  <c r="X162" i="25"/>
  <c r="X163" i="25"/>
  <c r="X164" i="25"/>
  <c r="X165" i="25"/>
  <c r="X166" i="25"/>
  <c r="X167" i="25"/>
  <c r="X168" i="25"/>
  <c r="X169" i="25"/>
  <c r="X170" i="25"/>
  <c r="X171" i="25"/>
  <c r="X172" i="25"/>
  <c r="X173" i="25"/>
  <c r="X174" i="25"/>
  <c r="X175" i="25"/>
  <c r="X176" i="25"/>
  <c r="X177" i="25"/>
  <c r="X178" i="25"/>
  <c r="X179" i="25"/>
  <c r="X180" i="25"/>
  <c r="X181" i="25"/>
  <c r="X182" i="25"/>
  <c r="X183" i="25"/>
  <c r="X184" i="25"/>
  <c r="X185" i="25"/>
  <c r="X186" i="25"/>
  <c r="X187" i="25"/>
  <c r="X188" i="25"/>
  <c r="X189" i="25"/>
  <c r="X190" i="25"/>
  <c r="X191" i="25"/>
  <c r="X192" i="25"/>
  <c r="X193" i="25"/>
  <c r="X194" i="25"/>
  <c r="X195" i="25"/>
  <c r="X196" i="25"/>
  <c r="X197" i="25"/>
  <c r="X198" i="25"/>
  <c r="X199" i="25"/>
  <c r="X200" i="25"/>
  <c r="X201" i="25"/>
  <c r="X202" i="25"/>
  <c r="X203" i="25"/>
  <c r="X204" i="25"/>
  <c r="X205" i="25"/>
  <c r="X206" i="25"/>
  <c r="X207" i="25"/>
  <c r="X208" i="25"/>
  <c r="X209" i="25"/>
  <c r="X210" i="25"/>
  <c r="X211" i="25"/>
  <c r="X212" i="25"/>
  <c r="X213" i="25"/>
  <c r="X214" i="25"/>
  <c r="X215" i="25"/>
  <c r="X216" i="25"/>
  <c r="X217" i="25"/>
  <c r="X218" i="25"/>
  <c r="X219" i="25"/>
  <c r="X220" i="25"/>
  <c r="X221" i="25"/>
  <c r="X222" i="25"/>
  <c r="X223" i="25"/>
  <c r="X224" i="25"/>
  <c r="X225" i="25"/>
  <c r="X226" i="25"/>
  <c r="X227" i="25"/>
  <c r="X228" i="25"/>
  <c r="X229" i="25"/>
  <c r="X230" i="25"/>
  <c r="X231" i="25"/>
  <c r="X232" i="25"/>
  <c r="X233" i="25"/>
  <c r="X234" i="25"/>
  <c r="X235" i="25"/>
  <c r="X236" i="25"/>
  <c r="X237" i="25"/>
  <c r="X238" i="25"/>
  <c r="X239" i="25"/>
  <c r="X240" i="25"/>
  <c r="X241" i="25"/>
  <c r="X242" i="25"/>
  <c r="X243" i="25"/>
  <c r="X244" i="25"/>
  <c r="X245" i="25"/>
  <c r="X246" i="25"/>
  <c r="X247" i="25"/>
  <c r="X248" i="25"/>
  <c r="X249" i="25"/>
  <c r="X250" i="25"/>
  <c r="X251" i="25"/>
  <c r="X252" i="25"/>
  <c r="X253" i="25"/>
  <c r="X254" i="25"/>
  <c r="X255" i="25"/>
  <c r="X256" i="25"/>
  <c r="X257" i="25"/>
  <c r="X258" i="25"/>
  <c r="X259" i="25"/>
  <c r="X260" i="25"/>
  <c r="X261" i="25"/>
  <c r="X262" i="25"/>
  <c r="X263" i="25"/>
  <c r="X264" i="25"/>
  <c r="X265" i="25"/>
  <c r="X266" i="25"/>
  <c r="X267" i="25"/>
  <c r="X268" i="25"/>
  <c r="X269" i="25"/>
  <c r="X270" i="25"/>
  <c r="X271" i="25"/>
  <c r="X272" i="25"/>
  <c r="X273" i="25"/>
  <c r="X274" i="25"/>
  <c r="X275" i="25"/>
  <c r="X276" i="25"/>
  <c r="X277" i="25"/>
  <c r="X278" i="25"/>
  <c r="X279" i="25"/>
  <c r="X280" i="25"/>
  <c r="X281" i="25"/>
  <c r="X282" i="25"/>
  <c r="X283" i="25"/>
  <c r="X284" i="25"/>
  <c r="X285" i="25"/>
  <c r="X286" i="25"/>
  <c r="X287" i="25"/>
  <c r="X288" i="25"/>
  <c r="X289" i="25"/>
  <c r="X290" i="25"/>
  <c r="X291" i="25"/>
  <c r="X292" i="25"/>
  <c r="X293" i="25"/>
  <c r="X294" i="25"/>
  <c r="X295" i="25"/>
  <c r="X296" i="25"/>
  <c r="X297" i="25"/>
  <c r="X298" i="25"/>
  <c r="X299" i="25"/>
  <c r="X300" i="25"/>
  <c r="X301" i="25"/>
  <c r="X302" i="25"/>
  <c r="X303" i="25"/>
  <c r="X304" i="25"/>
  <c r="X305" i="25"/>
  <c r="X306" i="25"/>
  <c r="X307" i="25"/>
  <c r="X308" i="25"/>
  <c r="X309" i="25"/>
  <c r="X310" i="25"/>
  <c r="X311" i="25"/>
  <c r="X312" i="25"/>
  <c r="X313" i="25"/>
  <c r="X314" i="25"/>
  <c r="X315" i="25"/>
  <c r="X316" i="25"/>
  <c r="X317" i="25"/>
  <c r="X318" i="25"/>
  <c r="X319" i="25"/>
  <c r="X320" i="25"/>
  <c r="X321" i="25"/>
  <c r="X322" i="25"/>
  <c r="X323" i="25"/>
  <c r="X324" i="25"/>
  <c r="X325" i="25"/>
  <c r="X326" i="25"/>
  <c r="X327" i="25"/>
  <c r="X328" i="25"/>
  <c r="X329" i="25"/>
  <c r="X330" i="25"/>
  <c r="X331" i="25"/>
  <c r="X332" i="25"/>
  <c r="X333" i="25"/>
  <c r="X334" i="25"/>
  <c r="X335" i="25"/>
  <c r="X336" i="25"/>
  <c r="X337" i="25"/>
  <c r="X338" i="25"/>
  <c r="X339" i="25"/>
  <c r="X340" i="25"/>
  <c r="X341" i="25"/>
  <c r="X342" i="25"/>
  <c r="X343" i="25"/>
  <c r="X344" i="25"/>
  <c r="X345" i="25"/>
  <c r="X346" i="25"/>
  <c r="X347" i="25"/>
  <c r="X348" i="25"/>
  <c r="X349" i="25"/>
  <c r="X350" i="25"/>
  <c r="X351" i="25"/>
  <c r="X352" i="25"/>
  <c r="X353" i="25"/>
  <c r="X354" i="25"/>
  <c r="X355" i="25"/>
  <c r="X356" i="25"/>
  <c r="X357" i="25"/>
  <c r="X358" i="25"/>
  <c r="X359" i="25"/>
  <c r="X360" i="25"/>
  <c r="X361" i="25"/>
  <c r="X362" i="25"/>
  <c r="X363" i="25"/>
  <c r="X364" i="25"/>
  <c r="X365" i="25"/>
  <c r="X366" i="25"/>
  <c r="X367" i="25"/>
  <c r="X368" i="25"/>
  <c r="X369" i="25"/>
  <c r="X370" i="25"/>
  <c r="X371" i="25"/>
  <c r="X372" i="25"/>
  <c r="X373" i="25"/>
  <c r="X374" i="25"/>
  <c r="X375" i="25"/>
  <c r="X376" i="25"/>
  <c r="X377" i="25"/>
  <c r="X378" i="25"/>
  <c r="X379" i="25"/>
  <c r="X380" i="25"/>
  <c r="X381" i="25"/>
  <c r="X382" i="25"/>
  <c r="X383" i="25"/>
  <c r="X384" i="25"/>
  <c r="X385" i="25"/>
  <c r="X386" i="25"/>
  <c r="X387" i="25"/>
  <c r="X388" i="25"/>
  <c r="X389" i="25"/>
  <c r="X390" i="25"/>
  <c r="X391" i="25"/>
  <c r="X392" i="25"/>
  <c r="X393" i="25"/>
  <c r="X394" i="25"/>
  <c r="X395" i="25"/>
  <c r="X396" i="25"/>
  <c r="X397" i="25"/>
  <c r="X398" i="25"/>
  <c r="X399" i="25"/>
  <c r="X400" i="25"/>
  <c r="X401" i="25"/>
  <c r="X402" i="25"/>
  <c r="X403" i="25"/>
  <c r="X404" i="25"/>
  <c r="X405" i="25"/>
  <c r="X406" i="25"/>
  <c r="X407" i="25"/>
  <c r="X408" i="25"/>
  <c r="X409" i="25"/>
  <c r="X410" i="25"/>
  <c r="X411" i="25"/>
  <c r="X412" i="25"/>
  <c r="X413" i="25"/>
  <c r="X414" i="25"/>
  <c r="X415" i="25"/>
  <c r="X416" i="25"/>
  <c r="X417" i="25"/>
  <c r="X418" i="25"/>
  <c r="X419" i="25"/>
  <c r="X420" i="25"/>
  <c r="X421" i="25"/>
  <c r="X422" i="25"/>
  <c r="X423" i="25"/>
  <c r="X424" i="25"/>
  <c r="X425" i="25"/>
  <c r="X426" i="25"/>
  <c r="X427" i="25"/>
  <c r="X428" i="25"/>
  <c r="X429" i="25"/>
  <c r="X430" i="25"/>
  <c r="X431" i="25"/>
  <c r="X432" i="25"/>
  <c r="X433" i="25"/>
  <c r="X434" i="25"/>
  <c r="X435" i="25"/>
  <c r="X436" i="25"/>
  <c r="X437" i="25"/>
  <c r="X438" i="25"/>
  <c r="X439" i="25"/>
  <c r="X440" i="25"/>
  <c r="X441" i="25"/>
  <c r="X442" i="25"/>
  <c r="X443" i="25"/>
  <c r="X444" i="25"/>
  <c r="X445" i="25"/>
  <c r="X446" i="25"/>
  <c r="X447" i="25"/>
  <c r="X448" i="25"/>
  <c r="X449" i="25"/>
  <c r="X450" i="25"/>
  <c r="X451" i="25"/>
  <c r="X452" i="25"/>
  <c r="X453" i="25"/>
  <c r="X454" i="25"/>
  <c r="X455" i="25"/>
  <c r="X456" i="25"/>
  <c r="X457" i="25"/>
  <c r="X458" i="25"/>
  <c r="X459" i="25"/>
  <c r="X460" i="25"/>
  <c r="X461" i="25"/>
  <c r="X462" i="25"/>
  <c r="X463" i="25"/>
  <c r="X464" i="25"/>
  <c r="X465" i="25"/>
  <c r="X466" i="25"/>
  <c r="X467" i="25"/>
  <c r="X468" i="25"/>
  <c r="X469" i="25"/>
  <c r="X470" i="25"/>
  <c r="X471" i="25"/>
  <c r="X472" i="25"/>
  <c r="X473" i="25"/>
  <c r="X474" i="25"/>
  <c r="X475" i="25"/>
  <c r="X476" i="25"/>
  <c r="X477" i="25"/>
  <c r="X478" i="25"/>
  <c r="X479" i="25"/>
  <c r="X480" i="25"/>
  <c r="X481" i="25"/>
  <c r="X482" i="25"/>
  <c r="X483" i="25"/>
  <c r="X484" i="25"/>
  <c r="X485" i="25"/>
  <c r="X486" i="25"/>
  <c r="X487" i="25"/>
  <c r="X488" i="25"/>
  <c r="X489" i="25"/>
  <c r="X490" i="25"/>
  <c r="X491" i="25"/>
  <c r="X492" i="25"/>
  <c r="X493" i="25"/>
  <c r="X494" i="25"/>
  <c r="X495" i="25"/>
  <c r="X496" i="25"/>
  <c r="X497" i="25"/>
  <c r="X498" i="25"/>
  <c r="X499" i="25"/>
  <c r="X500" i="25"/>
  <c r="X501" i="25"/>
  <c r="X502" i="25"/>
  <c r="X503" i="25"/>
  <c r="X504" i="25"/>
  <c r="X505" i="25"/>
  <c r="X506" i="25"/>
  <c r="X507" i="25"/>
  <c r="X508" i="25"/>
  <c r="X509" i="25"/>
  <c r="X510" i="25"/>
  <c r="X511" i="25"/>
  <c r="X512" i="25"/>
  <c r="X513" i="25"/>
  <c r="X514" i="25"/>
  <c r="X515" i="25"/>
  <c r="X516" i="25"/>
  <c r="X517" i="25"/>
  <c r="X518" i="25"/>
  <c r="X519" i="25"/>
  <c r="X520" i="25"/>
  <c r="X521" i="25"/>
  <c r="X522" i="25"/>
  <c r="X523" i="25"/>
  <c r="X524" i="25"/>
  <c r="X525" i="25"/>
  <c r="X526" i="25"/>
  <c r="X527" i="25"/>
  <c r="X528" i="25"/>
  <c r="X529" i="25"/>
  <c r="X530" i="25"/>
  <c r="X531" i="25"/>
  <c r="X532" i="25"/>
  <c r="X533" i="25"/>
  <c r="X534" i="25"/>
  <c r="X535" i="25"/>
  <c r="X536" i="25"/>
  <c r="X537" i="25"/>
  <c r="X538" i="25"/>
  <c r="X539" i="25"/>
  <c r="X540" i="25"/>
  <c r="X541" i="25"/>
  <c r="X542" i="25"/>
  <c r="X543" i="25"/>
  <c r="X544" i="25"/>
  <c r="X545" i="25"/>
  <c r="X546" i="25"/>
  <c r="X547" i="25"/>
  <c r="X548" i="25"/>
  <c r="X549" i="25"/>
  <c r="X550" i="25"/>
  <c r="X551" i="25"/>
  <c r="X552" i="25"/>
  <c r="X553" i="25"/>
  <c r="X554" i="25"/>
  <c r="X555" i="25"/>
  <c r="X556" i="25"/>
  <c r="X557" i="25"/>
  <c r="X558" i="25"/>
  <c r="X559" i="25"/>
  <c r="X560" i="25"/>
  <c r="X561" i="25"/>
  <c r="X562" i="25"/>
  <c r="X563" i="25"/>
  <c r="X564" i="25"/>
  <c r="X565" i="25"/>
  <c r="X566" i="25"/>
  <c r="X567" i="25"/>
  <c r="X568" i="25"/>
  <c r="X569" i="25"/>
  <c r="X570" i="25"/>
  <c r="X571" i="25"/>
  <c r="X572" i="25"/>
  <c r="X573" i="25"/>
  <c r="X574" i="25"/>
  <c r="X575" i="25"/>
  <c r="X576" i="25"/>
  <c r="X577" i="25"/>
  <c r="X578" i="25"/>
  <c r="X579" i="25"/>
  <c r="X580" i="25"/>
  <c r="X581" i="25"/>
  <c r="X582" i="25"/>
  <c r="X583" i="25"/>
  <c r="X584" i="25"/>
  <c r="X585" i="25"/>
  <c r="X586" i="25"/>
  <c r="X587" i="25"/>
  <c r="X588" i="25"/>
  <c r="X589" i="25"/>
  <c r="X590" i="25"/>
  <c r="X591" i="25"/>
  <c r="X592" i="25"/>
  <c r="X593" i="25"/>
  <c r="X594" i="25"/>
  <c r="X595" i="25"/>
  <c r="X596" i="25"/>
  <c r="X597" i="25"/>
  <c r="X598" i="25"/>
  <c r="X599" i="25"/>
  <c r="X600" i="25"/>
  <c r="X601" i="25"/>
  <c r="X602" i="25"/>
  <c r="X603" i="25"/>
  <c r="X604" i="25"/>
  <c r="X605" i="25"/>
  <c r="X606" i="25"/>
  <c r="X607" i="25"/>
  <c r="X608" i="25"/>
  <c r="X609" i="25"/>
  <c r="X610" i="25"/>
  <c r="X611" i="25"/>
  <c r="X612" i="25"/>
  <c r="X613" i="25"/>
  <c r="X614" i="25"/>
  <c r="X615" i="25"/>
  <c r="X616" i="25"/>
  <c r="X617" i="25"/>
  <c r="X618" i="25"/>
  <c r="X619" i="25"/>
  <c r="X620" i="25"/>
  <c r="X621" i="25"/>
  <c r="X622" i="25"/>
  <c r="X623" i="25"/>
  <c r="X624" i="25"/>
  <c r="X625" i="25"/>
  <c r="X626" i="25"/>
  <c r="X627" i="25"/>
  <c r="X628" i="25"/>
  <c r="X629" i="25"/>
  <c r="X630" i="25"/>
  <c r="X631" i="25"/>
  <c r="X632" i="25"/>
  <c r="X633" i="25"/>
  <c r="X634" i="25"/>
  <c r="X635" i="25"/>
  <c r="X636" i="25"/>
  <c r="X637" i="25"/>
  <c r="X638" i="25"/>
  <c r="X639" i="25"/>
  <c r="X640" i="25"/>
  <c r="X641" i="25"/>
  <c r="X642" i="25"/>
  <c r="X643" i="25"/>
  <c r="X644" i="25"/>
  <c r="X645" i="25"/>
  <c r="X646" i="25"/>
  <c r="X647" i="25"/>
  <c r="X648" i="25"/>
  <c r="X649" i="25"/>
  <c r="X650" i="25"/>
  <c r="X651" i="25"/>
  <c r="X652" i="25"/>
  <c r="X653" i="25"/>
  <c r="X654" i="25"/>
  <c r="X655" i="25"/>
  <c r="X656" i="25"/>
  <c r="X657" i="25"/>
  <c r="X658" i="25"/>
  <c r="X659" i="25"/>
  <c r="X660" i="25"/>
  <c r="X661" i="25"/>
  <c r="X662" i="25"/>
  <c r="X663" i="25"/>
  <c r="X664" i="25"/>
  <c r="X665" i="25"/>
  <c r="X666" i="25"/>
  <c r="X667" i="25"/>
  <c r="X668" i="25"/>
  <c r="X669" i="25"/>
  <c r="X670" i="25"/>
  <c r="X671" i="25"/>
  <c r="X672" i="25"/>
  <c r="X673" i="25"/>
  <c r="X674" i="25"/>
  <c r="X675" i="25"/>
  <c r="X676" i="25"/>
  <c r="X677" i="25"/>
  <c r="X678" i="25"/>
  <c r="X679" i="25"/>
  <c r="X680" i="25"/>
  <c r="X681" i="25"/>
  <c r="X682" i="25"/>
  <c r="X683" i="25"/>
  <c r="X684" i="25"/>
  <c r="X685" i="25"/>
  <c r="X686" i="25"/>
  <c r="X687" i="25"/>
  <c r="X688" i="25"/>
  <c r="X689" i="25"/>
  <c r="X690" i="25"/>
  <c r="X691" i="25"/>
  <c r="X692" i="25"/>
  <c r="X693" i="25"/>
  <c r="X694" i="25"/>
  <c r="X695" i="25"/>
  <c r="X696" i="25"/>
  <c r="X697" i="25"/>
  <c r="X698" i="25"/>
  <c r="X699" i="25"/>
  <c r="X700" i="25"/>
  <c r="X701" i="25"/>
  <c r="X702" i="25"/>
  <c r="X703" i="25"/>
  <c r="X704" i="25"/>
  <c r="X705" i="25"/>
  <c r="X706" i="25"/>
  <c r="X707" i="25"/>
  <c r="X708" i="25"/>
  <c r="X709" i="25"/>
  <c r="X710" i="25"/>
  <c r="X711" i="25"/>
  <c r="X712" i="25"/>
  <c r="X713" i="25"/>
  <c r="X714" i="25"/>
  <c r="X715" i="25"/>
  <c r="X716" i="25"/>
  <c r="X717" i="25"/>
  <c r="X718" i="25"/>
  <c r="X719" i="25"/>
  <c r="X720" i="25"/>
  <c r="X721" i="25"/>
  <c r="X722" i="25"/>
  <c r="X723" i="25"/>
  <c r="X724" i="25"/>
  <c r="X725" i="25"/>
  <c r="X726" i="25"/>
  <c r="X727" i="25"/>
  <c r="X728" i="25"/>
  <c r="X729" i="25"/>
  <c r="X730" i="25"/>
  <c r="X731" i="25"/>
  <c r="X732" i="25"/>
  <c r="X733" i="25"/>
  <c r="X734" i="25"/>
  <c r="X735" i="25"/>
  <c r="X736" i="25"/>
  <c r="X737" i="25"/>
  <c r="X738" i="25"/>
  <c r="X739" i="25"/>
  <c r="X740" i="25"/>
  <c r="X741" i="25"/>
  <c r="X742" i="25"/>
  <c r="X743" i="25"/>
  <c r="X744" i="25"/>
  <c r="X745" i="25"/>
  <c r="X746" i="25"/>
  <c r="X747" i="25"/>
  <c r="X748" i="25"/>
  <c r="X749" i="25"/>
  <c r="X750" i="25"/>
  <c r="X751" i="25"/>
  <c r="X752" i="25"/>
  <c r="X753" i="25"/>
  <c r="X754" i="25"/>
  <c r="X755" i="25"/>
  <c r="X756" i="25"/>
  <c r="X757" i="25"/>
  <c r="X758" i="25"/>
  <c r="X759" i="25"/>
  <c r="X760" i="25"/>
  <c r="X761" i="25"/>
  <c r="X762" i="25"/>
  <c r="X763" i="25"/>
  <c r="X764" i="25"/>
  <c r="X765" i="25"/>
  <c r="X766" i="25"/>
  <c r="X767" i="25"/>
  <c r="X768" i="25"/>
  <c r="X769" i="25"/>
  <c r="X770" i="25"/>
  <c r="X771" i="25"/>
  <c r="X772" i="25"/>
  <c r="X773" i="25"/>
  <c r="X774" i="25"/>
  <c r="X775" i="25"/>
  <c r="X776" i="25"/>
  <c r="X777" i="25"/>
  <c r="X778" i="25"/>
  <c r="X779" i="25"/>
  <c r="X780" i="25"/>
  <c r="X781" i="25"/>
  <c r="X782" i="25"/>
  <c r="X783" i="25"/>
  <c r="X784" i="25"/>
  <c r="X785" i="25"/>
  <c r="X786" i="25"/>
  <c r="X787" i="25"/>
  <c r="X788" i="25"/>
  <c r="X789" i="25"/>
  <c r="X790" i="25"/>
  <c r="X791" i="25"/>
  <c r="X792" i="25"/>
  <c r="X793" i="25"/>
  <c r="X794" i="25"/>
  <c r="X795" i="25"/>
  <c r="X796" i="25"/>
  <c r="X797" i="25"/>
  <c r="X798" i="25"/>
  <c r="X799" i="25"/>
  <c r="X800" i="25"/>
  <c r="X801" i="25"/>
  <c r="X802" i="25"/>
  <c r="X803" i="25"/>
  <c r="X804" i="25"/>
  <c r="X805" i="25"/>
  <c r="X806" i="25"/>
  <c r="X807" i="25"/>
  <c r="X808" i="25"/>
  <c r="X809" i="25"/>
  <c r="X810" i="25"/>
  <c r="X811" i="25"/>
  <c r="X812" i="25"/>
  <c r="X813" i="25"/>
  <c r="X814" i="25"/>
  <c r="X815" i="25"/>
  <c r="X816" i="25"/>
  <c r="X817" i="25"/>
  <c r="X818" i="25"/>
  <c r="X819" i="25"/>
  <c r="X820" i="25"/>
  <c r="X821" i="25"/>
  <c r="X822" i="25"/>
  <c r="X823" i="25"/>
  <c r="X824" i="25"/>
  <c r="X825" i="25"/>
  <c r="X826" i="25"/>
  <c r="X827" i="25"/>
  <c r="X828" i="25"/>
  <c r="X829" i="25"/>
  <c r="X830" i="25"/>
  <c r="X831" i="25"/>
  <c r="X832" i="25"/>
  <c r="X833" i="25"/>
  <c r="X834" i="25"/>
  <c r="X835" i="25"/>
  <c r="X836" i="25"/>
  <c r="X837" i="25"/>
  <c r="X838" i="25"/>
  <c r="X839" i="25"/>
  <c r="X840" i="25"/>
  <c r="X841" i="25"/>
  <c r="X842" i="25"/>
  <c r="X843" i="25"/>
  <c r="X844" i="25"/>
  <c r="X845" i="25"/>
  <c r="X846" i="25"/>
  <c r="X847" i="25"/>
  <c r="X848" i="25"/>
  <c r="X849" i="25"/>
  <c r="X850" i="25"/>
  <c r="X851" i="25"/>
  <c r="X852" i="25"/>
  <c r="X853" i="25"/>
  <c r="X854" i="25"/>
  <c r="X855" i="25"/>
  <c r="X856" i="25"/>
  <c r="X857" i="25"/>
  <c r="X858" i="25"/>
  <c r="X859" i="25"/>
  <c r="X860" i="25"/>
  <c r="X861" i="25"/>
  <c r="X862" i="25"/>
  <c r="X863" i="25"/>
  <c r="X864" i="25"/>
  <c r="X865" i="25"/>
  <c r="X866" i="25"/>
  <c r="X867" i="25"/>
  <c r="X868" i="25"/>
  <c r="X869" i="25"/>
  <c r="X870" i="25"/>
  <c r="X871" i="25"/>
  <c r="X872" i="25"/>
  <c r="X873" i="25"/>
  <c r="X874" i="25"/>
  <c r="X875" i="25"/>
  <c r="X876" i="25"/>
  <c r="X877" i="25"/>
  <c r="X878" i="25"/>
  <c r="X879" i="25"/>
  <c r="X880" i="25"/>
  <c r="X881" i="25"/>
  <c r="X2" i="25"/>
  <c r="S881" i="25"/>
  <c r="S880" i="25"/>
  <c r="S879" i="25"/>
  <c r="S878" i="25"/>
  <c r="S877" i="25"/>
  <c r="S876" i="25"/>
  <c r="S875" i="25"/>
  <c r="S874" i="25"/>
  <c r="S873" i="25"/>
  <c r="S872" i="25"/>
  <c r="S871" i="25"/>
  <c r="S870" i="25"/>
  <c r="S869" i="25"/>
  <c r="S868" i="25"/>
  <c r="S867" i="25"/>
  <c r="S866" i="25"/>
  <c r="S865" i="25"/>
  <c r="S864" i="25"/>
  <c r="S863" i="25"/>
  <c r="S862" i="25"/>
  <c r="S861" i="25"/>
  <c r="S860" i="25"/>
  <c r="S859" i="25"/>
  <c r="S858" i="25"/>
  <c r="S857" i="25"/>
  <c r="S856" i="25"/>
  <c r="S855" i="25"/>
  <c r="S854" i="25"/>
  <c r="S853" i="25"/>
  <c r="S852" i="25"/>
  <c r="S851" i="25"/>
  <c r="S850" i="25"/>
  <c r="S849" i="25"/>
  <c r="S848" i="25"/>
  <c r="S847" i="25"/>
  <c r="S846" i="25"/>
  <c r="S845" i="25"/>
  <c r="S844" i="25"/>
  <c r="S843" i="25"/>
  <c r="S842" i="25"/>
  <c r="S841" i="25"/>
  <c r="S840" i="25"/>
  <c r="S839" i="25"/>
  <c r="S838" i="25"/>
  <c r="S837" i="25"/>
  <c r="S836" i="25"/>
  <c r="S835" i="25"/>
  <c r="S834" i="25"/>
  <c r="S833" i="25"/>
  <c r="S832" i="25"/>
  <c r="S831" i="25"/>
  <c r="S830" i="25"/>
  <c r="S829" i="25"/>
  <c r="S828" i="25"/>
  <c r="S827" i="25"/>
  <c r="S826" i="25"/>
  <c r="S825" i="25"/>
  <c r="S824" i="25"/>
  <c r="S823" i="25"/>
  <c r="S822" i="25"/>
  <c r="S821" i="25"/>
  <c r="S820" i="25"/>
  <c r="S819" i="25"/>
  <c r="S818" i="25"/>
  <c r="S817" i="25"/>
  <c r="S816" i="25"/>
  <c r="S815" i="25"/>
  <c r="S814" i="25"/>
  <c r="S813" i="25"/>
  <c r="S812" i="25"/>
  <c r="S811" i="25"/>
  <c r="S810" i="25"/>
  <c r="S809" i="25"/>
  <c r="S808" i="25"/>
  <c r="S807" i="25"/>
  <c r="S806" i="25"/>
  <c r="S805" i="25"/>
  <c r="S804" i="25"/>
  <c r="S803" i="25"/>
  <c r="S802" i="25"/>
  <c r="S801" i="25"/>
  <c r="S800" i="25"/>
  <c r="S799" i="25"/>
  <c r="S798" i="25"/>
  <c r="S797" i="25"/>
  <c r="S796" i="25"/>
  <c r="S795" i="25"/>
  <c r="S794" i="25"/>
  <c r="S793" i="25"/>
  <c r="S792" i="25"/>
  <c r="S791" i="25"/>
  <c r="S790" i="25"/>
  <c r="S789" i="25"/>
  <c r="S788" i="25"/>
  <c r="S787" i="25"/>
  <c r="S786" i="25"/>
  <c r="S785" i="25"/>
  <c r="S784" i="25"/>
  <c r="S783" i="25"/>
  <c r="S782" i="25"/>
  <c r="S781" i="25"/>
  <c r="S780" i="25"/>
  <c r="S779" i="25"/>
  <c r="S778" i="25"/>
  <c r="S777" i="25"/>
  <c r="S776" i="25"/>
  <c r="S775" i="25"/>
  <c r="S774" i="25"/>
  <c r="S773" i="25"/>
  <c r="S772" i="25"/>
  <c r="S771" i="25"/>
  <c r="S770" i="25"/>
  <c r="S769" i="25"/>
  <c r="S768" i="25"/>
  <c r="S767" i="25"/>
  <c r="S766" i="25"/>
  <c r="S765" i="25"/>
  <c r="S764" i="25"/>
  <c r="S763" i="25"/>
  <c r="S762" i="25"/>
  <c r="S761" i="25"/>
  <c r="S760" i="25"/>
  <c r="S759" i="25"/>
  <c r="S758" i="25"/>
  <c r="S757" i="25"/>
  <c r="S756" i="25"/>
  <c r="S755" i="25"/>
  <c r="S754" i="25"/>
  <c r="S753" i="25"/>
  <c r="S752" i="25"/>
  <c r="S751" i="25"/>
  <c r="S750" i="25"/>
  <c r="S749" i="25"/>
  <c r="S748" i="25"/>
  <c r="S747" i="25"/>
  <c r="S746" i="25"/>
  <c r="S745" i="25"/>
  <c r="S744" i="25"/>
  <c r="S743" i="25"/>
  <c r="S742" i="25"/>
  <c r="S741" i="25"/>
  <c r="S740" i="25"/>
  <c r="S739" i="25"/>
  <c r="S738" i="25"/>
  <c r="S737" i="25"/>
  <c r="S736" i="25"/>
  <c r="S735" i="25"/>
  <c r="S734" i="25"/>
  <c r="S733" i="25"/>
  <c r="S732" i="25"/>
  <c r="S731" i="25"/>
  <c r="S730" i="25"/>
  <c r="S729" i="25"/>
  <c r="S728" i="25"/>
  <c r="S727" i="25"/>
  <c r="S726" i="25"/>
  <c r="S725" i="25"/>
  <c r="S724" i="25"/>
  <c r="S723" i="25"/>
  <c r="S722" i="25"/>
  <c r="S721" i="25"/>
  <c r="S720" i="25"/>
  <c r="S719" i="25"/>
  <c r="S718" i="25"/>
  <c r="S717" i="25"/>
  <c r="S716" i="25"/>
  <c r="S715" i="25"/>
  <c r="S714" i="25"/>
  <c r="S713" i="25"/>
  <c r="S712" i="25"/>
  <c r="S711" i="25"/>
  <c r="S710" i="25"/>
  <c r="S709" i="25"/>
  <c r="S708" i="25"/>
  <c r="S707" i="25"/>
  <c r="S706" i="25"/>
  <c r="S705" i="25"/>
  <c r="S704" i="25"/>
  <c r="S703" i="25"/>
  <c r="S702" i="25"/>
  <c r="S701" i="25"/>
  <c r="S700" i="25"/>
  <c r="S699" i="25"/>
  <c r="S698" i="25"/>
  <c r="S697" i="25"/>
  <c r="S696" i="25"/>
  <c r="S695" i="25"/>
  <c r="S694" i="25"/>
  <c r="S693" i="25"/>
  <c r="S692" i="25"/>
  <c r="S691" i="25"/>
  <c r="S690" i="25"/>
  <c r="S689" i="25"/>
  <c r="S688" i="25"/>
  <c r="S687" i="25"/>
  <c r="S686" i="25"/>
  <c r="S685" i="25"/>
  <c r="S684" i="25"/>
  <c r="S683" i="25"/>
  <c r="S682" i="25"/>
  <c r="S681" i="25"/>
  <c r="S680" i="25"/>
  <c r="S679" i="25"/>
  <c r="S678" i="25"/>
  <c r="S677" i="25"/>
  <c r="S676" i="25"/>
  <c r="S675" i="25"/>
  <c r="S674" i="25"/>
  <c r="S673" i="25"/>
  <c r="S672" i="25"/>
  <c r="S671" i="25"/>
  <c r="S670" i="25"/>
  <c r="S669" i="25"/>
  <c r="S668" i="25"/>
  <c r="S667" i="25"/>
  <c r="S666" i="25"/>
  <c r="S665" i="25"/>
  <c r="S664" i="25"/>
  <c r="S663" i="25"/>
  <c r="S662" i="25"/>
  <c r="S661" i="25"/>
  <c r="S660" i="25"/>
  <c r="S659" i="25"/>
  <c r="S658" i="25"/>
  <c r="S657" i="25"/>
  <c r="S656" i="25"/>
  <c r="S655" i="25"/>
  <c r="S654" i="25"/>
  <c r="S653" i="25"/>
  <c r="S652" i="25"/>
  <c r="S651" i="25"/>
  <c r="S650" i="25"/>
  <c r="S649" i="25"/>
  <c r="S648" i="25"/>
  <c r="S647" i="25"/>
  <c r="S646" i="25"/>
  <c r="S645" i="25"/>
  <c r="S644" i="25"/>
  <c r="S643" i="25"/>
  <c r="S642" i="25"/>
  <c r="S641" i="25"/>
  <c r="S640" i="25"/>
  <c r="S639" i="25"/>
  <c r="S638" i="25"/>
  <c r="S637" i="25"/>
  <c r="S636" i="25"/>
  <c r="S635" i="25"/>
  <c r="S634" i="25"/>
  <c r="S633" i="25"/>
  <c r="S632" i="25"/>
  <c r="S631" i="25"/>
  <c r="S630" i="25"/>
  <c r="S629" i="25"/>
  <c r="S628" i="25"/>
  <c r="S627" i="25"/>
  <c r="S626" i="25"/>
  <c r="S625" i="25"/>
  <c r="S624" i="25"/>
  <c r="S623" i="25"/>
  <c r="S622" i="25"/>
  <c r="S621" i="25"/>
  <c r="S620" i="25"/>
  <c r="S619" i="25"/>
  <c r="S618" i="25"/>
  <c r="S617" i="25"/>
  <c r="S616" i="25"/>
  <c r="S615" i="25"/>
  <c r="S614" i="25"/>
  <c r="S613" i="25"/>
  <c r="S612" i="25"/>
  <c r="S611" i="25"/>
  <c r="S610" i="25"/>
  <c r="S609" i="25"/>
  <c r="S608" i="25"/>
  <c r="S607" i="25"/>
  <c r="S606" i="25"/>
  <c r="S605" i="25"/>
  <c r="S604" i="25"/>
  <c r="S603" i="25"/>
  <c r="S602" i="25"/>
  <c r="S601" i="25"/>
  <c r="S600" i="25"/>
  <c r="S599" i="25"/>
  <c r="S598" i="25"/>
  <c r="S597" i="25"/>
  <c r="S596" i="25"/>
  <c r="S595" i="25"/>
  <c r="S594" i="25"/>
  <c r="S593" i="25"/>
  <c r="S592" i="25"/>
  <c r="S591" i="25"/>
  <c r="S590" i="25"/>
  <c r="S589" i="25"/>
  <c r="S588" i="25"/>
  <c r="S587" i="25"/>
  <c r="S586" i="25"/>
  <c r="S585" i="25"/>
  <c r="S584" i="25"/>
  <c r="S583" i="25"/>
  <c r="S582" i="25"/>
  <c r="S581" i="25"/>
  <c r="S580" i="25"/>
  <c r="S579" i="25"/>
  <c r="S578" i="25"/>
  <c r="S577" i="25"/>
  <c r="S576" i="25"/>
  <c r="S575" i="25"/>
  <c r="S574" i="25"/>
  <c r="S573" i="25"/>
  <c r="S572" i="25"/>
  <c r="S571" i="25"/>
  <c r="S570" i="25"/>
  <c r="S569" i="25"/>
  <c r="S568" i="25"/>
  <c r="S567" i="25"/>
  <c r="S566" i="25"/>
  <c r="S565" i="25"/>
  <c r="S564" i="25"/>
  <c r="S563" i="25"/>
  <c r="S562" i="25"/>
  <c r="S561" i="25"/>
  <c r="S560" i="25"/>
  <c r="S559" i="25"/>
  <c r="S558" i="25"/>
  <c r="S557" i="25"/>
  <c r="S556" i="25"/>
  <c r="S555" i="25"/>
  <c r="S554" i="25"/>
  <c r="S553" i="25"/>
  <c r="S552" i="25"/>
  <c r="S551" i="25"/>
  <c r="S550" i="25"/>
  <c r="S549" i="25"/>
  <c r="S548" i="25"/>
  <c r="S547" i="25"/>
  <c r="S546" i="25"/>
  <c r="S545" i="25"/>
  <c r="S544" i="25"/>
  <c r="S543" i="25"/>
  <c r="S542" i="25"/>
  <c r="S541" i="25"/>
  <c r="S540" i="25"/>
  <c r="S539" i="25"/>
  <c r="S538" i="25"/>
  <c r="S537" i="25"/>
  <c r="S536" i="25"/>
  <c r="S535" i="25"/>
  <c r="S534" i="25"/>
  <c r="S533" i="25"/>
  <c r="S532" i="25"/>
  <c r="S531" i="25"/>
  <c r="S530" i="25"/>
  <c r="S529" i="25"/>
  <c r="S528" i="25"/>
  <c r="S527" i="25"/>
  <c r="S526" i="25"/>
  <c r="S525" i="25"/>
  <c r="S524" i="25"/>
  <c r="S523" i="25"/>
  <c r="S522" i="25"/>
  <c r="S521" i="25"/>
  <c r="S520" i="25"/>
  <c r="S519" i="25"/>
  <c r="S518" i="25"/>
  <c r="S517" i="25"/>
  <c r="S516" i="25"/>
  <c r="S515" i="25"/>
  <c r="S514" i="25"/>
  <c r="S513" i="25"/>
  <c r="S512" i="25"/>
  <c r="S511" i="25"/>
  <c r="S510" i="25"/>
  <c r="S509" i="25"/>
  <c r="S508" i="25"/>
  <c r="S507" i="25"/>
  <c r="S506" i="25"/>
  <c r="S505" i="25"/>
  <c r="S504" i="25"/>
  <c r="S503" i="25"/>
  <c r="S502" i="25"/>
  <c r="S501" i="25"/>
  <c r="S500" i="25"/>
  <c r="S499" i="25"/>
  <c r="S498" i="25"/>
  <c r="S497" i="25"/>
  <c r="S496" i="25"/>
  <c r="S495" i="25"/>
  <c r="S494" i="25"/>
  <c r="S493" i="25"/>
  <c r="S492" i="25"/>
  <c r="S491" i="25"/>
  <c r="S490" i="25"/>
  <c r="S489" i="25"/>
  <c r="S488" i="25"/>
  <c r="S487" i="25"/>
  <c r="S486" i="25"/>
  <c r="S485" i="25"/>
  <c r="S484" i="25"/>
  <c r="S483" i="25"/>
  <c r="S482" i="25"/>
  <c r="S481" i="25"/>
  <c r="S480" i="25"/>
  <c r="S479" i="25"/>
  <c r="S478" i="25"/>
  <c r="S477" i="25"/>
  <c r="S476" i="25"/>
  <c r="S475" i="25"/>
  <c r="S474" i="25"/>
  <c r="S473" i="25"/>
  <c r="S472" i="25"/>
  <c r="S471" i="25"/>
  <c r="S470" i="25"/>
  <c r="S469" i="25"/>
  <c r="S468" i="25"/>
  <c r="S467" i="25"/>
  <c r="S466" i="25"/>
  <c r="S465" i="25"/>
  <c r="S464" i="25"/>
  <c r="S463" i="25"/>
  <c r="S462" i="25"/>
  <c r="S461" i="25"/>
  <c r="S460" i="25"/>
  <c r="S459" i="25"/>
  <c r="S458" i="25"/>
  <c r="S457" i="25"/>
  <c r="S456" i="25"/>
  <c r="S455" i="25"/>
  <c r="S454" i="25"/>
  <c r="S453" i="25"/>
  <c r="S452" i="25"/>
  <c r="S451" i="25"/>
  <c r="S450" i="25"/>
  <c r="S449" i="25"/>
  <c r="S448" i="25"/>
  <c r="S447" i="25"/>
  <c r="S446" i="25"/>
  <c r="S445" i="25"/>
  <c r="S444" i="25"/>
  <c r="S443" i="25"/>
  <c r="S442" i="25"/>
  <c r="S441" i="25"/>
  <c r="S440" i="25"/>
  <c r="S439" i="25"/>
  <c r="S438" i="25"/>
  <c r="S437" i="25"/>
  <c r="S436" i="25"/>
  <c r="S435" i="25"/>
  <c r="S434" i="25"/>
  <c r="S433" i="25"/>
  <c r="S432" i="25"/>
  <c r="S431" i="25"/>
  <c r="S430" i="25"/>
  <c r="S429" i="25"/>
  <c r="S428" i="25"/>
  <c r="S427" i="25"/>
  <c r="S426" i="25"/>
  <c r="S425" i="25"/>
  <c r="S424" i="25"/>
  <c r="S423" i="25"/>
  <c r="S422" i="25"/>
  <c r="S421" i="25"/>
  <c r="S420" i="25"/>
  <c r="S419" i="25"/>
  <c r="S418" i="25"/>
  <c r="S417" i="25"/>
  <c r="S416" i="25"/>
  <c r="S415" i="25"/>
  <c r="S414" i="25"/>
  <c r="S413" i="25"/>
  <c r="S412" i="25"/>
  <c r="S411" i="25"/>
  <c r="S410" i="25"/>
  <c r="S409" i="25"/>
  <c r="S408" i="25"/>
  <c r="S407" i="25"/>
  <c r="S406" i="25"/>
  <c r="S405" i="25"/>
  <c r="S404" i="25"/>
  <c r="S403" i="25"/>
  <c r="S402" i="25"/>
  <c r="S401" i="25"/>
  <c r="S400" i="25"/>
  <c r="S399" i="25"/>
  <c r="S398" i="25"/>
  <c r="S397" i="25"/>
  <c r="S396" i="25"/>
  <c r="S395" i="25"/>
  <c r="S394" i="25"/>
  <c r="S393" i="25"/>
  <c r="S392" i="25"/>
  <c r="S391" i="25"/>
  <c r="S390" i="25"/>
  <c r="S389" i="25"/>
  <c r="S388" i="25"/>
  <c r="S387" i="25"/>
  <c r="S386" i="25"/>
  <c r="S385" i="25"/>
  <c r="S384" i="25"/>
  <c r="S383" i="25"/>
  <c r="S382" i="25"/>
  <c r="S381" i="25"/>
  <c r="S380" i="25"/>
  <c r="S379" i="25"/>
  <c r="S378" i="25"/>
  <c r="S377" i="25"/>
  <c r="S376" i="25"/>
  <c r="S375" i="25"/>
  <c r="S374" i="25"/>
  <c r="S373" i="25"/>
  <c r="S372" i="25"/>
  <c r="S371" i="25"/>
  <c r="S370" i="25"/>
  <c r="S369" i="25"/>
  <c r="S368" i="25"/>
  <c r="S367" i="25"/>
  <c r="S366" i="25"/>
  <c r="S365" i="25"/>
  <c r="S364" i="25"/>
  <c r="S363" i="25"/>
  <c r="S362" i="25"/>
  <c r="S361" i="25"/>
  <c r="S360" i="25"/>
  <c r="S359" i="25"/>
  <c r="S358" i="25"/>
  <c r="S357" i="25"/>
  <c r="S356" i="25"/>
  <c r="S355" i="25"/>
  <c r="S354" i="25"/>
  <c r="S353" i="25"/>
  <c r="S352" i="25"/>
  <c r="S351" i="25"/>
  <c r="S350" i="25"/>
  <c r="S349" i="25"/>
  <c r="S348" i="25"/>
  <c r="S347" i="25"/>
  <c r="S346" i="25"/>
  <c r="S345" i="25"/>
  <c r="S344" i="25"/>
  <c r="S343" i="25"/>
  <c r="S342" i="25"/>
  <c r="S341" i="25"/>
  <c r="S340" i="25"/>
  <c r="S339" i="25"/>
  <c r="S338" i="25"/>
  <c r="S337" i="25"/>
  <c r="S336" i="25"/>
  <c r="S335" i="25"/>
  <c r="S334" i="25"/>
  <c r="S333" i="25"/>
  <c r="S332" i="25"/>
  <c r="S331" i="25"/>
  <c r="S330" i="25"/>
  <c r="S329" i="25"/>
  <c r="S328" i="25"/>
  <c r="S327" i="25"/>
  <c r="S326" i="25"/>
  <c r="S325" i="25"/>
  <c r="S324" i="25"/>
  <c r="S323" i="25"/>
  <c r="S322" i="25"/>
  <c r="S321" i="25"/>
  <c r="S320" i="25"/>
  <c r="S319" i="25"/>
  <c r="S318" i="25"/>
  <c r="S317" i="25"/>
  <c r="S316" i="25"/>
  <c r="S315" i="25"/>
  <c r="S314" i="25"/>
  <c r="S313" i="25"/>
  <c r="S312" i="25"/>
  <c r="S311" i="25"/>
  <c r="S310" i="25"/>
  <c r="S309" i="25"/>
  <c r="S308" i="25"/>
  <c r="S307" i="25"/>
  <c r="S306" i="25"/>
  <c r="S305" i="25"/>
  <c r="S304" i="25"/>
  <c r="S303" i="25"/>
  <c r="S302" i="25"/>
  <c r="S301" i="25"/>
  <c r="S300" i="25"/>
  <c r="S299" i="25"/>
  <c r="S298" i="25"/>
  <c r="S297" i="25"/>
  <c r="S296" i="25"/>
  <c r="S295" i="25"/>
  <c r="S294" i="25"/>
  <c r="S293" i="25"/>
  <c r="S292" i="25"/>
  <c r="S291" i="25"/>
  <c r="S290" i="25"/>
  <c r="S289" i="25"/>
  <c r="S288" i="25"/>
  <c r="S287" i="25"/>
  <c r="S286" i="25"/>
  <c r="S285" i="25"/>
  <c r="S284" i="25"/>
  <c r="S283" i="25"/>
  <c r="S282" i="25"/>
  <c r="S281" i="25"/>
  <c r="S280" i="25"/>
  <c r="S279" i="25"/>
  <c r="S278" i="25"/>
  <c r="S277" i="25"/>
  <c r="S276" i="25"/>
  <c r="S275" i="25"/>
  <c r="S274" i="25"/>
  <c r="S273" i="25"/>
  <c r="S272" i="25"/>
  <c r="S271" i="25"/>
  <c r="S270" i="25"/>
  <c r="S269" i="25"/>
  <c r="S268" i="25"/>
  <c r="S267" i="25"/>
  <c r="S266" i="25"/>
  <c r="S265" i="25"/>
  <c r="S264" i="25"/>
  <c r="S263" i="25"/>
  <c r="S262" i="25"/>
  <c r="S261" i="25"/>
  <c r="S260" i="25"/>
  <c r="S259" i="25"/>
  <c r="S258" i="25"/>
  <c r="S257" i="25"/>
  <c r="S256" i="25"/>
  <c r="S255" i="25"/>
  <c r="S254" i="25"/>
  <c r="S253" i="25"/>
  <c r="S252" i="25"/>
  <c r="S251" i="25"/>
  <c r="S250" i="25"/>
  <c r="S249" i="25"/>
  <c r="S248" i="25"/>
  <c r="S247" i="25"/>
  <c r="S246" i="25"/>
  <c r="S245" i="25"/>
  <c r="S244" i="25"/>
  <c r="S243" i="25"/>
  <c r="S242" i="25"/>
  <c r="S241" i="25"/>
  <c r="S240" i="25"/>
  <c r="S239" i="25"/>
  <c r="S238" i="25"/>
  <c r="S237" i="25"/>
  <c r="S236" i="25"/>
  <c r="S235" i="25"/>
  <c r="S234" i="25"/>
  <c r="S233" i="25"/>
  <c r="S232" i="25"/>
  <c r="S231" i="25"/>
  <c r="S230" i="25"/>
  <c r="S229" i="25"/>
  <c r="S228" i="25"/>
  <c r="S227" i="25"/>
  <c r="S226" i="25"/>
  <c r="S225" i="25"/>
  <c r="S224" i="25"/>
  <c r="S223" i="25"/>
  <c r="S222" i="25"/>
  <c r="S221" i="25"/>
  <c r="S220" i="25"/>
  <c r="S219" i="25"/>
  <c r="S218" i="25"/>
  <c r="S217" i="25"/>
  <c r="S216" i="25"/>
  <c r="S215" i="25"/>
  <c r="S214" i="25"/>
  <c r="S213" i="25"/>
  <c r="S212" i="25"/>
  <c r="S211" i="25"/>
  <c r="S210" i="25"/>
  <c r="S209" i="25"/>
  <c r="S208" i="25"/>
  <c r="S207" i="25"/>
  <c r="S206" i="25"/>
  <c r="S205" i="25"/>
  <c r="S204" i="25"/>
  <c r="S203" i="25"/>
  <c r="S202" i="25"/>
  <c r="S201" i="25"/>
  <c r="S200" i="25"/>
  <c r="S199" i="25"/>
  <c r="S198" i="25"/>
  <c r="S197" i="25"/>
  <c r="S196" i="25"/>
  <c r="S195" i="25"/>
  <c r="S194" i="25"/>
  <c r="S193" i="25"/>
  <c r="S192" i="25"/>
  <c r="S191" i="25"/>
  <c r="S190" i="25"/>
  <c r="S189" i="25"/>
  <c r="S188" i="25"/>
  <c r="S187" i="25"/>
  <c r="S186" i="25"/>
  <c r="S185" i="25"/>
  <c r="S184" i="25"/>
  <c r="S183" i="25"/>
  <c r="S182" i="25"/>
  <c r="S181" i="25"/>
  <c r="S180" i="25"/>
  <c r="S179" i="25"/>
  <c r="S178" i="25"/>
  <c r="S177" i="25"/>
  <c r="S176" i="25"/>
  <c r="S175" i="25"/>
  <c r="S174" i="25"/>
  <c r="S173" i="25"/>
  <c r="S172" i="25"/>
  <c r="S171" i="25"/>
  <c r="S170" i="25"/>
  <c r="S169" i="25"/>
  <c r="S168" i="25"/>
  <c r="S167" i="25"/>
  <c r="S166" i="25"/>
  <c r="S165" i="25"/>
  <c r="S164" i="25"/>
  <c r="S163" i="25"/>
  <c r="S162" i="25"/>
  <c r="S161" i="25"/>
  <c r="S160" i="25"/>
  <c r="S159" i="25"/>
  <c r="S158" i="25"/>
  <c r="S157" i="25"/>
  <c r="S156" i="25"/>
  <c r="S155" i="25"/>
  <c r="S154" i="25"/>
  <c r="S153" i="25"/>
  <c r="S152" i="25"/>
  <c r="S151" i="25"/>
  <c r="S150" i="25"/>
  <c r="S149" i="25"/>
  <c r="S148" i="25"/>
  <c r="S147" i="25"/>
  <c r="S146" i="25"/>
  <c r="S145" i="25"/>
  <c r="S144" i="25"/>
  <c r="S143" i="25"/>
  <c r="S142" i="25"/>
  <c r="S141" i="25"/>
  <c r="S140" i="25"/>
  <c r="S139" i="25"/>
  <c r="S138" i="25"/>
  <c r="S137" i="25"/>
  <c r="S136" i="25"/>
  <c r="S135" i="25"/>
  <c r="S134" i="25"/>
  <c r="S133" i="25"/>
  <c r="S132" i="25"/>
  <c r="S131" i="25"/>
  <c r="S130" i="25"/>
  <c r="S129" i="25"/>
  <c r="S128" i="25"/>
  <c r="S127" i="25"/>
  <c r="S126" i="25"/>
  <c r="S125" i="25"/>
  <c r="S124" i="25"/>
  <c r="S123" i="25"/>
  <c r="S122" i="25"/>
  <c r="S121" i="25"/>
  <c r="S120" i="25"/>
  <c r="S119" i="25"/>
  <c r="S118" i="25"/>
  <c r="S117" i="25"/>
  <c r="S116" i="25"/>
  <c r="S115" i="25"/>
  <c r="S114" i="25"/>
  <c r="S113" i="25"/>
  <c r="S112" i="25"/>
  <c r="S111" i="25"/>
  <c r="S110" i="25"/>
  <c r="S109" i="25"/>
  <c r="S108" i="25"/>
  <c r="S107" i="25"/>
  <c r="S106" i="25"/>
  <c r="S105" i="25"/>
  <c r="S104" i="25"/>
  <c r="S103" i="25"/>
  <c r="S102" i="25"/>
  <c r="S101" i="25"/>
  <c r="S100" i="25"/>
  <c r="S99" i="25"/>
  <c r="S98" i="25"/>
  <c r="S97" i="25"/>
  <c r="S96" i="25"/>
  <c r="S95" i="25"/>
  <c r="S94" i="25"/>
  <c r="S93" i="25"/>
  <c r="S92" i="25"/>
  <c r="S91" i="25"/>
  <c r="S90" i="25"/>
  <c r="S89" i="25"/>
  <c r="S88" i="25"/>
  <c r="S87" i="25"/>
  <c r="S86" i="25"/>
  <c r="S85" i="25"/>
  <c r="S84" i="25"/>
  <c r="S83" i="25"/>
  <c r="S82" i="25"/>
  <c r="S81" i="25"/>
  <c r="S80" i="25"/>
  <c r="S79" i="25"/>
  <c r="S78" i="25"/>
  <c r="S77" i="25"/>
  <c r="S76" i="25"/>
  <c r="S75" i="25"/>
  <c r="S74" i="25"/>
  <c r="S73" i="25"/>
  <c r="S72" i="25"/>
  <c r="S71" i="25"/>
  <c r="S70" i="25"/>
  <c r="S69" i="25"/>
  <c r="S68" i="25"/>
  <c r="S67" i="25"/>
  <c r="S66" i="25"/>
  <c r="S65" i="25"/>
  <c r="S64" i="25"/>
  <c r="S63" i="25"/>
  <c r="S62" i="25"/>
  <c r="S61" i="25"/>
  <c r="S60" i="25"/>
  <c r="S59" i="25"/>
  <c r="S58" i="25"/>
  <c r="S57" i="25"/>
  <c r="S56" i="25"/>
  <c r="S55" i="25"/>
  <c r="S54" i="25"/>
  <c r="S53" i="25"/>
  <c r="S52" i="25"/>
  <c r="S51" i="25"/>
  <c r="S50" i="25"/>
  <c r="S49" i="25"/>
  <c r="S48" i="25"/>
  <c r="S47" i="25"/>
  <c r="S46" i="25"/>
  <c r="S45" i="25"/>
  <c r="S44" i="25"/>
  <c r="S43" i="25"/>
  <c r="S42" i="25"/>
  <c r="S41" i="25"/>
  <c r="S40" i="25"/>
  <c r="S39" i="25"/>
  <c r="S38" i="25"/>
  <c r="S37" i="25"/>
  <c r="S36" i="25"/>
  <c r="S35" i="25"/>
  <c r="S34" i="25"/>
  <c r="S33" i="25"/>
  <c r="S32" i="25"/>
  <c r="S31" i="25"/>
  <c r="S30" i="25"/>
  <c r="S29" i="25"/>
  <c r="S28" i="25"/>
  <c r="S27" i="25"/>
  <c r="S26" i="25"/>
  <c r="S25" i="25"/>
  <c r="S24" i="25"/>
  <c r="S23" i="25"/>
  <c r="S22" i="25"/>
  <c r="S21" i="25"/>
  <c r="S20" i="25"/>
  <c r="S19" i="25"/>
  <c r="S18" i="25"/>
  <c r="S17" i="25"/>
  <c r="S16" i="25"/>
  <c r="S15" i="25"/>
  <c r="S14" i="25"/>
  <c r="S13" i="25"/>
  <c r="S12" i="25"/>
  <c r="S11" i="25"/>
  <c r="S10" i="25"/>
  <c r="S9" i="25"/>
  <c r="S8" i="25"/>
  <c r="S7" i="25"/>
  <c r="S6" i="25"/>
  <c r="S5" i="25"/>
  <c r="S3" i="25"/>
  <c r="S2" i="25"/>
  <c r="U2" i="25"/>
  <c r="U663" i="25"/>
  <c r="U664" i="25"/>
  <c r="U665" i="25"/>
  <c r="U666" i="25"/>
  <c r="U669" i="25"/>
  <c r="U670" i="25"/>
  <c r="U673" i="25"/>
  <c r="U674" i="25"/>
  <c r="U675" i="25"/>
  <c r="U677" i="25"/>
  <c r="U678" i="25"/>
  <c r="U681" i="25"/>
  <c r="U682" i="25"/>
  <c r="U685" i="25"/>
  <c r="U686" i="25"/>
  <c r="U689" i="25"/>
  <c r="U690" i="25"/>
  <c r="U691" i="25"/>
  <c r="U693" i="25"/>
  <c r="U694" i="25"/>
  <c r="U697" i="25"/>
  <c r="U698" i="25"/>
  <c r="U701" i="25"/>
  <c r="U702" i="25"/>
  <c r="U705" i="25"/>
  <c r="U706" i="25"/>
  <c r="U709" i="25"/>
  <c r="U710" i="25"/>
  <c r="U713" i="25"/>
  <c r="U714" i="25"/>
  <c r="U717" i="25"/>
  <c r="U718" i="25"/>
  <c r="U721" i="25"/>
  <c r="U722" i="25"/>
  <c r="U725" i="25"/>
  <c r="U726" i="25"/>
  <c r="U727" i="25"/>
  <c r="U729" i="25"/>
  <c r="U730" i="25"/>
  <c r="U733" i="25"/>
  <c r="U734" i="25"/>
  <c r="U737" i="25"/>
  <c r="U738" i="25"/>
  <c r="U739" i="25"/>
  <c r="U741" i="25"/>
  <c r="U742" i="25"/>
  <c r="U743" i="25"/>
  <c r="U745" i="25"/>
  <c r="U746" i="25"/>
  <c r="U750" i="25"/>
  <c r="U751" i="25"/>
  <c r="U752" i="25"/>
  <c r="U753" i="25"/>
  <c r="U754" i="25"/>
  <c r="U758" i="25"/>
  <c r="U759" i="25"/>
  <c r="U760" i="25"/>
  <c r="U761" i="25"/>
  <c r="U762" i="25"/>
  <c r="U766" i="25"/>
  <c r="U767" i="25"/>
  <c r="U768" i="25"/>
  <c r="U769" i="25"/>
  <c r="U770" i="25"/>
  <c r="U774" i="25"/>
  <c r="U775" i="25"/>
  <c r="U776" i="25"/>
  <c r="U777" i="25"/>
  <c r="U778" i="25"/>
  <c r="U782" i="25"/>
  <c r="U783" i="25"/>
  <c r="U784" i="25"/>
  <c r="U785" i="25"/>
  <c r="U786" i="25"/>
  <c r="U790" i="25"/>
  <c r="U791" i="25"/>
  <c r="U792" i="25"/>
  <c r="U793" i="25"/>
  <c r="U794" i="25"/>
  <c r="U798" i="25"/>
  <c r="U799" i="25"/>
  <c r="U800" i="25"/>
  <c r="U801" i="25"/>
  <c r="U802" i="25"/>
  <c r="U806" i="25"/>
  <c r="U808" i="25"/>
  <c r="U809" i="25"/>
  <c r="U810" i="25"/>
  <c r="U814" i="25"/>
  <c r="U815" i="25"/>
  <c r="U816" i="25"/>
  <c r="U817" i="25"/>
  <c r="U818" i="25"/>
  <c r="U822" i="25"/>
  <c r="U824" i="25"/>
  <c r="U825" i="25"/>
  <c r="U826" i="25"/>
  <c r="U827" i="25"/>
  <c r="U830" i="25"/>
  <c r="U832" i="25"/>
  <c r="U833" i="25"/>
  <c r="U834" i="25"/>
  <c r="U835" i="25"/>
  <c r="U838" i="25"/>
  <c r="U840" i="25"/>
  <c r="U841" i="25"/>
  <c r="U842" i="25"/>
  <c r="U843" i="25"/>
  <c r="U846" i="25"/>
  <c r="U848" i="25"/>
  <c r="U849" i="25"/>
  <c r="U850" i="25"/>
  <c r="U851" i="25"/>
  <c r="U854" i="25"/>
  <c r="U856" i="25"/>
  <c r="U857" i="25"/>
  <c r="U858" i="25"/>
  <c r="U859" i="25"/>
  <c r="U862" i="25"/>
  <c r="U864" i="25"/>
  <c r="U865" i="25"/>
  <c r="U866" i="25"/>
  <c r="U867" i="25"/>
  <c r="U870" i="25"/>
  <c r="U872" i="25"/>
  <c r="U873" i="25"/>
  <c r="U874" i="25"/>
  <c r="U875" i="25"/>
  <c r="U878" i="25"/>
  <c r="U880" i="25"/>
  <c r="U881" i="25"/>
  <c r="U662" i="25"/>
  <c r="U450" i="25"/>
  <c r="U451" i="25"/>
  <c r="U453" i="25"/>
  <c r="U454" i="25"/>
  <c r="U455" i="25"/>
  <c r="U457" i="25"/>
  <c r="U458" i="25"/>
  <c r="U459" i="25"/>
  <c r="U461" i="25"/>
  <c r="U462" i="25"/>
  <c r="U465" i="25"/>
  <c r="U466" i="25"/>
  <c r="U468" i="25"/>
  <c r="U469" i="25"/>
  <c r="U470" i="25"/>
  <c r="U471" i="25"/>
  <c r="U473" i="25"/>
  <c r="U474" i="25"/>
  <c r="U475" i="25"/>
  <c r="U476" i="25"/>
  <c r="U477" i="25"/>
  <c r="U478" i="25"/>
  <c r="U481" i="25"/>
  <c r="U482" i="25"/>
  <c r="U483" i="25"/>
  <c r="U484" i="25"/>
  <c r="U485" i="25"/>
  <c r="U486" i="25"/>
  <c r="U489" i="25"/>
  <c r="U490" i="25"/>
  <c r="U491" i="25"/>
  <c r="U492" i="25"/>
  <c r="U493" i="25"/>
  <c r="U494" i="25"/>
  <c r="U495" i="25"/>
  <c r="U497" i="25"/>
  <c r="U498" i="25"/>
  <c r="U499" i="25"/>
  <c r="U500" i="25"/>
  <c r="U501" i="25"/>
  <c r="U502" i="25"/>
  <c r="U505" i="25"/>
  <c r="U506" i="25"/>
  <c r="U507" i="25"/>
  <c r="U508" i="25"/>
  <c r="U509" i="25"/>
  <c r="U510" i="25"/>
  <c r="U513" i="25"/>
  <c r="U514" i="25"/>
  <c r="U515" i="25"/>
  <c r="U516" i="25"/>
  <c r="U517" i="25"/>
  <c r="U518" i="25"/>
  <c r="U521" i="25"/>
  <c r="U522" i="25"/>
  <c r="U523" i="25"/>
  <c r="U524" i="25"/>
  <c r="U525" i="25"/>
  <c r="U526" i="25"/>
  <c r="U529" i="25"/>
  <c r="U530" i="25"/>
  <c r="U531" i="25"/>
  <c r="U532" i="25"/>
  <c r="U533" i="25"/>
  <c r="U534" i="25"/>
  <c r="U535" i="25"/>
  <c r="U537" i="25"/>
  <c r="U538" i="25"/>
  <c r="U540" i="25"/>
  <c r="U541" i="25"/>
  <c r="U542" i="25"/>
  <c r="U543" i="25"/>
  <c r="U545" i="25"/>
  <c r="U546" i="25"/>
  <c r="U548" i="25"/>
  <c r="U549" i="25"/>
  <c r="U550" i="25"/>
  <c r="U551" i="25"/>
  <c r="U553" i="25"/>
  <c r="U554" i="25"/>
  <c r="U556" i="25"/>
  <c r="U557" i="25"/>
  <c r="U558" i="25"/>
  <c r="U559" i="25"/>
  <c r="U561" i="25"/>
  <c r="U562" i="25"/>
  <c r="U564" i="25"/>
  <c r="U565" i="25"/>
  <c r="U566" i="25"/>
  <c r="U567" i="25"/>
  <c r="U569" i="25"/>
  <c r="U570" i="25"/>
  <c r="U572" i="25"/>
  <c r="U573" i="25"/>
  <c r="U574" i="25"/>
  <c r="U575" i="25"/>
  <c r="U577" i="25"/>
  <c r="U578" i="25"/>
  <c r="U580" i="25"/>
  <c r="U581" i="25"/>
  <c r="U582" i="25"/>
  <c r="U583" i="25"/>
  <c r="U585" i="25"/>
  <c r="U586" i="25"/>
  <c r="U588" i="25"/>
  <c r="U589" i="25"/>
  <c r="U590" i="25"/>
  <c r="U591" i="25"/>
  <c r="U593" i="25"/>
  <c r="U594" i="25"/>
  <c r="U596" i="25"/>
  <c r="U597" i="25"/>
  <c r="U598" i="25"/>
  <c r="U599" i="25"/>
  <c r="U601" i="25"/>
  <c r="U602" i="25"/>
  <c r="U604" i="25"/>
  <c r="U605" i="25"/>
  <c r="U606" i="25"/>
  <c r="U607" i="25"/>
  <c r="U609" i="25"/>
  <c r="U610" i="25"/>
  <c r="U612" i="25"/>
  <c r="U613" i="25"/>
  <c r="U614" i="25"/>
  <c r="U615" i="25"/>
  <c r="U617" i="25"/>
  <c r="U618" i="25"/>
  <c r="U620" i="25"/>
  <c r="U621" i="25"/>
  <c r="U622" i="25"/>
  <c r="U623" i="25"/>
  <c r="U625" i="25"/>
  <c r="U626" i="25"/>
  <c r="U628" i="25"/>
  <c r="U629" i="25"/>
  <c r="U630" i="25"/>
  <c r="U631" i="25"/>
  <c r="U633" i="25"/>
  <c r="U634" i="25"/>
  <c r="U636" i="25"/>
  <c r="U637" i="25"/>
  <c r="U638" i="25"/>
  <c r="U639" i="25"/>
  <c r="U641" i="25"/>
  <c r="U642" i="25"/>
  <c r="U644" i="25"/>
  <c r="U645" i="25"/>
  <c r="U646" i="25"/>
  <c r="U647" i="25"/>
  <c r="U649" i="25"/>
  <c r="U650" i="25"/>
  <c r="U652" i="25"/>
  <c r="U653" i="25"/>
  <c r="U654" i="25"/>
  <c r="U655" i="25"/>
  <c r="U657" i="25"/>
  <c r="U658" i="25"/>
  <c r="U660" i="25"/>
  <c r="U661" i="25"/>
  <c r="U444" i="25"/>
  <c r="U445" i="25"/>
  <c r="U446" i="25"/>
  <c r="U447" i="25"/>
  <c r="U449" i="25"/>
  <c r="U448" i="25"/>
  <c r="U463" i="25"/>
  <c r="U460" i="25"/>
  <c r="U452" i="25"/>
  <c r="U876" i="25"/>
  <c r="U871" i="25"/>
  <c r="U869" i="25"/>
  <c r="U860" i="25"/>
  <c r="U855" i="25"/>
  <c r="U853" i="25"/>
  <c r="U844" i="25"/>
  <c r="U839" i="25"/>
  <c r="U837" i="25"/>
  <c r="U828" i="25"/>
  <c r="U823" i="25"/>
  <c r="U821" i="25"/>
  <c r="U819" i="25"/>
  <c r="U812" i="25"/>
  <c r="U807" i="25"/>
  <c r="U805" i="25"/>
  <c r="U803" i="25"/>
  <c r="U796" i="25"/>
  <c r="U789" i="25"/>
  <c r="U787" i="25"/>
  <c r="U780" i="25"/>
  <c r="U773" i="25"/>
  <c r="U771" i="25"/>
  <c r="U764" i="25"/>
  <c r="U757" i="25"/>
  <c r="U755" i="25"/>
  <c r="U748" i="25"/>
  <c r="U740" i="25"/>
  <c r="U735" i="25"/>
  <c r="U732" i="25"/>
  <c r="U724" i="25"/>
  <c r="U719" i="25"/>
  <c r="U716" i="25"/>
  <c r="U711" i="25"/>
  <c r="U708" i="25"/>
  <c r="U703" i="25"/>
  <c r="U700" i="25"/>
  <c r="U695" i="25"/>
  <c r="U692" i="25"/>
  <c r="U687" i="25"/>
  <c r="U684" i="25"/>
  <c r="U679" i="25"/>
  <c r="U676" i="25"/>
  <c r="U671" i="25"/>
  <c r="U668" i="25"/>
  <c r="U527" i="25"/>
  <c r="U519" i="25"/>
  <c r="U511" i="25"/>
  <c r="U503" i="25"/>
  <c r="U487" i="25"/>
  <c r="U479" i="25"/>
  <c r="U443" i="25"/>
  <c r="U659" i="25"/>
  <c r="U656" i="25"/>
  <c r="U651" i="25"/>
  <c r="U648" i="25"/>
  <c r="U643" i="25"/>
  <c r="U640" i="25"/>
  <c r="U635" i="25"/>
  <c r="U632" i="25"/>
  <c r="U627" i="25"/>
  <c r="U624" i="25"/>
  <c r="U619" i="25"/>
  <c r="U616" i="25"/>
  <c r="U611" i="25"/>
  <c r="U608" i="25"/>
  <c r="U603" i="25"/>
  <c r="U600" i="25"/>
  <c r="U595" i="25"/>
  <c r="U592" i="25"/>
  <c r="U587" i="25"/>
  <c r="U584" i="25"/>
  <c r="U579" i="25"/>
  <c r="U576" i="25"/>
  <c r="U571" i="25"/>
  <c r="U568" i="25"/>
  <c r="U563" i="25"/>
  <c r="U560" i="25"/>
  <c r="U555" i="25"/>
  <c r="U552" i="25"/>
  <c r="U547" i="25"/>
  <c r="U544" i="25"/>
  <c r="U539" i="25"/>
  <c r="U536" i="25"/>
  <c r="U528" i="25"/>
  <c r="U520" i="25"/>
  <c r="U512" i="25"/>
  <c r="U504" i="25"/>
  <c r="U496" i="25"/>
  <c r="U488" i="25"/>
  <c r="U480" i="25"/>
  <c r="U472" i="25"/>
  <c r="U467" i="25"/>
  <c r="U464" i="25"/>
  <c r="U456" i="25"/>
  <c r="U879" i="25"/>
  <c r="U877" i="25"/>
  <c r="U868" i="25"/>
  <c r="U863" i="25"/>
  <c r="U861" i="25"/>
  <c r="U852" i="25"/>
  <c r="U847" i="25"/>
  <c r="U845" i="25"/>
  <c r="U836" i="25"/>
  <c r="U831" i="25"/>
  <c r="U829" i="25"/>
  <c r="U820" i="25"/>
  <c r="U813" i="25"/>
  <c r="U811" i="25"/>
  <c r="U804" i="25"/>
  <c r="U797" i="25"/>
  <c r="U795" i="25"/>
  <c r="U788" i="25"/>
  <c r="U781" i="25"/>
  <c r="U779" i="25"/>
  <c r="U772" i="25"/>
  <c r="U765" i="25"/>
  <c r="U763" i="25"/>
  <c r="U756" i="25"/>
  <c r="U749" i="25"/>
  <c r="U747" i="25"/>
  <c r="U744" i="25"/>
  <c r="U736" i="25"/>
  <c r="U731" i="25"/>
  <c r="U728" i="25"/>
  <c r="U723" i="25"/>
  <c r="U720" i="25"/>
  <c r="U715" i="25"/>
  <c r="U712" i="25"/>
  <c r="U707" i="25"/>
  <c r="U704" i="25"/>
  <c r="U699" i="25"/>
  <c r="U696" i="25"/>
  <c r="U688" i="25"/>
  <c r="U683" i="25"/>
  <c r="U680" i="25"/>
  <c r="U672" i="25"/>
  <c r="U667" i="25"/>
  <c r="U438" i="25"/>
  <c r="U165" i="25"/>
  <c r="U211" i="25"/>
  <c r="U231" i="25"/>
  <c r="U35" i="25"/>
  <c r="U142" i="25"/>
  <c r="U396" i="25"/>
  <c r="U116" i="25"/>
  <c r="U432" i="25"/>
  <c r="U441" i="25"/>
  <c r="U130" i="25"/>
  <c r="U289" i="25"/>
  <c r="U308" i="25"/>
  <c r="U420" i="25"/>
  <c r="U423" i="25"/>
  <c r="U427" i="25"/>
  <c r="U63" i="25"/>
  <c r="U54" i="25"/>
  <c r="U442" i="25"/>
  <c r="U7" i="25"/>
  <c r="U74" i="25"/>
  <c r="U84" i="25"/>
  <c r="U126" i="25"/>
  <c r="U28" i="25"/>
  <c r="U194" i="25"/>
  <c r="U343" i="25"/>
  <c r="U402" i="25"/>
  <c r="U410" i="25"/>
  <c r="U34" i="25"/>
  <c r="U44" i="25"/>
  <c r="U102" i="25"/>
  <c r="U160" i="25"/>
  <c r="U222" i="25"/>
  <c r="U338" i="25"/>
  <c r="U97" i="25"/>
  <c r="U98" i="25"/>
  <c r="U121" i="25"/>
  <c r="U125" i="25"/>
  <c r="U149" i="25"/>
  <c r="U223" i="25"/>
  <c r="U30" i="25"/>
  <c r="U415" i="25"/>
  <c r="U418" i="25"/>
  <c r="U426" i="25"/>
  <c r="U232" i="25"/>
  <c r="U295" i="25"/>
  <c r="U296" i="25"/>
  <c r="U311" i="25"/>
  <c r="U334" i="25"/>
  <c r="U344" i="25"/>
  <c r="U430" i="25"/>
  <c r="U434" i="25"/>
  <c r="U436" i="25"/>
  <c r="U38" i="25"/>
  <c r="U60" i="25"/>
  <c r="U62" i="25"/>
  <c r="U85" i="25"/>
  <c r="U132" i="25"/>
  <c r="U134" i="25"/>
  <c r="U140" i="25"/>
  <c r="U141" i="25"/>
  <c r="U206" i="25"/>
  <c r="U218" i="25"/>
  <c r="U236" i="25"/>
  <c r="U246" i="25"/>
  <c r="U257" i="25"/>
  <c r="U276" i="25"/>
  <c r="U303" i="25"/>
  <c r="U322" i="25"/>
  <c r="U388" i="25"/>
  <c r="U398" i="25"/>
  <c r="U48" i="25"/>
  <c r="U78" i="25"/>
  <c r="U22" i="25"/>
  <c r="U18" i="25"/>
  <c r="U3" i="25"/>
  <c r="U11" i="25"/>
  <c r="U71" i="25"/>
  <c r="U6" i="25"/>
  <c r="U40" i="25"/>
  <c r="U56" i="25"/>
  <c r="U68" i="25"/>
  <c r="U89" i="25"/>
  <c r="U100" i="25"/>
  <c r="U118" i="25"/>
  <c r="U161" i="25"/>
  <c r="U184" i="25"/>
  <c r="U210" i="25"/>
  <c r="U244" i="25"/>
  <c r="U314" i="25"/>
  <c r="U216" i="25"/>
  <c r="U219" i="25"/>
  <c r="U230" i="25"/>
  <c r="U260" i="25"/>
  <c r="U280" i="25"/>
  <c r="U286" i="25"/>
  <c r="U341" i="25"/>
  <c r="U347" i="25"/>
  <c r="U352" i="25"/>
  <c r="U376" i="25"/>
  <c r="U412" i="25"/>
  <c r="U422" i="25"/>
  <c r="U24" i="25"/>
  <c r="U26" i="25"/>
  <c r="U52" i="25"/>
  <c r="U72" i="25"/>
  <c r="U93" i="25"/>
  <c r="U94" i="25"/>
  <c r="U110" i="25"/>
  <c r="U158" i="25"/>
  <c r="U173" i="25"/>
  <c r="U180" i="25"/>
  <c r="U197" i="25"/>
  <c r="U225" i="25"/>
  <c r="U239" i="25"/>
  <c r="U252" i="25"/>
  <c r="U261" i="25"/>
  <c r="U284" i="25"/>
  <c r="U292" i="25"/>
  <c r="U310" i="25"/>
  <c r="U370" i="25"/>
  <c r="U380" i="25"/>
  <c r="U399" i="25"/>
  <c r="U421" i="25"/>
  <c r="U428" i="25"/>
  <c r="U23" i="25"/>
  <c r="U46" i="25"/>
  <c r="U47" i="25"/>
  <c r="U50" i="25"/>
  <c r="U55" i="25"/>
  <c r="U61" i="25"/>
  <c r="U83" i="25"/>
  <c r="U101" i="25"/>
  <c r="U104" i="25"/>
  <c r="U106" i="25"/>
  <c r="U112" i="25"/>
  <c r="U115" i="25"/>
  <c r="U133" i="25"/>
  <c r="U136" i="25"/>
  <c r="U156" i="25"/>
  <c r="U162" i="25"/>
  <c r="U12" i="25"/>
  <c r="U53" i="25"/>
  <c r="U76" i="25"/>
  <c r="U77" i="25"/>
  <c r="U80" i="25"/>
  <c r="U8" i="25"/>
  <c r="U19" i="25"/>
  <c r="U27" i="25"/>
  <c r="U39" i="25"/>
  <c r="U42" i="25"/>
  <c r="U59" i="25"/>
  <c r="U67" i="25"/>
  <c r="U70" i="25"/>
  <c r="U86" i="25"/>
  <c r="U92" i="25"/>
  <c r="U108" i="25"/>
  <c r="U109" i="25"/>
  <c r="U117" i="25"/>
  <c r="U122" i="25"/>
  <c r="U124" i="25"/>
  <c r="U145" i="25"/>
  <c r="U146" i="25"/>
  <c r="U148" i="25"/>
  <c r="U10" i="25"/>
  <c r="U14" i="25"/>
  <c r="U64" i="25"/>
  <c r="U170" i="25"/>
  <c r="U178" i="25"/>
  <c r="U220" i="25"/>
  <c r="U228" i="25"/>
  <c r="U247" i="25"/>
  <c r="U256" i="25"/>
  <c r="U269" i="25"/>
  <c r="U285" i="25"/>
  <c r="U288" i="25"/>
  <c r="U336" i="25"/>
  <c r="U354" i="25"/>
  <c r="U175" i="25"/>
  <c r="U176" i="25"/>
  <c r="U187" i="25"/>
  <c r="U203" i="25"/>
  <c r="U204" i="25"/>
  <c r="U209" i="25"/>
  <c r="U215" i="25"/>
  <c r="U224" i="25"/>
  <c r="U235" i="25"/>
  <c r="U249" i="25"/>
  <c r="U255" i="25"/>
  <c r="U265" i="25"/>
  <c r="U271" i="25"/>
  <c r="U277" i="25"/>
  <c r="U342" i="25"/>
  <c r="U123" i="25"/>
  <c r="U138" i="25"/>
  <c r="U147" i="25"/>
  <c r="U150" i="25"/>
  <c r="U159" i="25"/>
  <c r="U172" i="25"/>
  <c r="U179" i="25"/>
  <c r="U185" i="25"/>
  <c r="U189" i="25"/>
  <c r="U191" i="25"/>
  <c r="U192" i="25"/>
  <c r="U193" i="25"/>
  <c r="U195" i="25"/>
  <c r="U198" i="25"/>
  <c r="U199" i="25"/>
  <c r="U202" i="25"/>
  <c r="U212" i="25"/>
  <c r="U214" i="25"/>
  <c r="U234" i="25"/>
  <c r="U238" i="25"/>
  <c r="U240" i="25"/>
  <c r="U241" i="25"/>
  <c r="U248" i="25"/>
  <c r="U291" i="25"/>
  <c r="U300" i="25"/>
  <c r="U315" i="25"/>
  <c r="U358" i="25"/>
  <c r="U320" i="25"/>
  <c r="U324" i="25"/>
  <c r="U328" i="25"/>
  <c r="U339" i="25"/>
  <c r="U355" i="25"/>
  <c r="U362" i="25"/>
  <c r="U366" i="25"/>
  <c r="U407" i="25"/>
  <c r="U414" i="25"/>
  <c r="U416" i="25"/>
  <c r="U431" i="25"/>
  <c r="U254" i="25"/>
  <c r="U266" i="25"/>
  <c r="U268" i="25"/>
  <c r="U270" i="25"/>
  <c r="U281" i="25"/>
  <c r="U282" i="25"/>
  <c r="U297" i="25"/>
  <c r="U298" i="25"/>
  <c r="U307" i="25"/>
  <c r="U312" i="25"/>
  <c r="U349" i="25"/>
  <c r="U368" i="25"/>
  <c r="U375" i="25"/>
  <c r="U406" i="25"/>
  <c r="U413" i="25"/>
  <c r="U419" i="25"/>
  <c r="U37" i="25"/>
  <c r="U4" i="25"/>
  <c r="U15" i="25"/>
  <c r="U16" i="25"/>
  <c r="U20" i="25"/>
  <c r="U31" i="25"/>
  <c r="U32" i="25"/>
  <c r="U36" i="25"/>
  <c r="U45" i="25"/>
  <c r="U51" i="25"/>
  <c r="U66" i="25"/>
  <c r="U82" i="25"/>
  <c r="U91" i="25"/>
  <c r="U90" i="25"/>
  <c r="U43" i="25"/>
  <c r="U58" i="25"/>
  <c r="U69" i="25"/>
  <c r="U114" i="25"/>
  <c r="U99" i="25"/>
  <c r="U105" i="25"/>
  <c r="U120" i="25"/>
  <c r="U131" i="25"/>
  <c r="U137" i="25"/>
  <c r="U152" i="25"/>
  <c r="U155" i="25"/>
  <c r="U167" i="25"/>
  <c r="U168" i="25"/>
  <c r="U171" i="25"/>
  <c r="U186" i="25"/>
  <c r="U207" i="25"/>
  <c r="U73" i="25"/>
  <c r="U88" i="25"/>
  <c r="U41" i="25"/>
  <c r="U49" i="25"/>
  <c r="U57" i="25"/>
  <c r="U65" i="25"/>
  <c r="U75" i="25"/>
  <c r="U81" i="25"/>
  <c r="U96" i="25"/>
  <c r="U107" i="25"/>
  <c r="U113" i="25"/>
  <c r="U128" i="25"/>
  <c r="U139" i="25"/>
  <c r="U154" i="25"/>
  <c r="U157" i="25"/>
  <c r="U169" i="25"/>
  <c r="U174" i="25"/>
  <c r="U181" i="25"/>
  <c r="U182" i="25"/>
  <c r="U196" i="25"/>
  <c r="U201" i="25"/>
  <c r="U208" i="25"/>
  <c r="U129" i="25"/>
  <c r="U144" i="25"/>
  <c r="U79" i="25"/>
  <c r="U87" i="25"/>
  <c r="U95" i="25"/>
  <c r="U103" i="25"/>
  <c r="U111" i="25"/>
  <c r="U119" i="25"/>
  <c r="U127" i="25"/>
  <c r="U135" i="25"/>
  <c r="U143" i="25"/>
  <c r="U151" i="25"/>
  <c r="U153" i="25"/>
  <c r="U163" i="25"/>
  <c r="U164" i="25"/>
  <c r="U166" i="25"/>
  <c r="U177" i="25"/>
  <c r="U183" i="25"/>
  <c r="U188" i="25"/>
  <c r="U190" i="25"/>
  <c r="U200" i="25"/>
  <c r="U205" i="25"/>
  <c r="U227" i="25"/>
  <c r="U237" i="25"/>
  <c r="U226" i="25"/>
  <c r="U217" i="25"/>
  <c r="U245" i="25"/>
  <c r="U250" i="25"/>
  <c r="U251" i="25"/>
  <c r="U264" i="25"/>
  <c r="U267" i="25"/>
  <c r="U319" i="25"/>
  <c r="U242" i="25"/>
  <c r="U243" i="25"/>
  <c r="U253" i="25"/>
  <c r="U258" i="25"/>
  <c r="U272" i="25"/>
  <c r="U273" i="25"/>
  <c r="U287" i="25"/>
  <c r="U294" i="25"/>
  <c r="U299" i="25"/>
  <c r="U304" i="25"/>
  <c r="U309" i="25"/>
  <c r="U313" i="25"/>
  <c r="U316" i="25"/>
  <c r="U337" i="25"/>
  <c r="U259" i="25"/>
  <c r="U262" i="25"/>
  <c r="U263" i="25"/>
  <c r="U274" i="25"/>
  <c r="U275" i="25"/>
  <c r="U278" i="25"/>
  <c r="U279" i="25"/>
  <c r="U283" i="25"/>
  <c r="U290" i="25"/>
  <c r="U302" i="25"/>
  <c r="U305" i="25"/>
  <c r="U306" i="25"/>
  <c r="U323" i="25"/>
  <c r="U330" i="25"/>
  <c r="U332" i="25"/>
  <c r="U345" i="25"/>
  <c r="U346" i="25"/>
  <c r="U350" i="25"/>
  <c r="U353" i="25"/>
  <c r="U378" i="25"/>
  <c r="U326" i="25"/>
  <c r="U364" i="25"/>
  <c r="U369" i="25"/>
  <c r="U348" i="25"/>
  <c r="U356" i="25"/>
  <c r="U360" i="25"/>
  <c r="U372" i="25"/>
  <c r="U392" i="25"/>
  <c r="U317" i="25"/>
  <c r="U318" i="25"/>
  <c r="U327" i="25"/>
  <c r="U329" i="25"/>
  <c r="U331" i="25"/>
  <c r="U333" i="25"/>
  <c r="U335" i="25"/>
  <c r="U357" i="25"/>
  <c r="U361" i="25"/>
  <c r="U365" i="25"/>
  <c r="U373" i="25"/>
  <c r="U391" i="25"/>
  <c r="U394" i="25"/>
  <c r="U400" i="25"/>
  <c r="U405" i="25"/>
  <c r="U374" i="25"/>
  <c r="U381" i="25"/>
  <c r="U382" i="25"/>
  <c r="U383" i="25"/>
  <c r="U384" i="25"/>
  <c r="U386" i="25"/>
  <c r="U390" i="25"/>
  <c r="U397" i="25"/>
  <c r="U401" i="25"/>
  <c r="U404" i="25"/>
  <c r="U408" i="25"/>
  <c r="U424" i="25"/>
  <c r="U417" i="25"/>
  <c r="U425" i="25"/>
  <c r="U439" i="25"/>
  <c r="U440" i="25"/>
  <c r="U9" i="25"/>
  <c r="U17" i="25"/>
  <c r="U25" i="25"/>
  <c r="U33" i="25"/>
  <c r="U5" i="25"/>
  <c r="U13" i="25"/>
  <c r="U21" i="25"/>
  <c r="U29" i="25"/>
  <c r="U229" i="25"/>
  <c r="U233" i="25"/>
  <c r="U213" i="25"/>
  <c r="U221" i="25"/>
  <c r="U293" i="25"/>
  <c r="U301" i="25"/>
  <c r="U325" i="25"/>
  <c r="U321" i="25"/>
  <c r="U340" i="25"/>
  <c r="U363" i="25"/>
  <c r="U351" i="25"/>
  <c r="U359" i="25"/>
  <c r="U367" i="25"/>
  <c r="U377" i="25"/>
  <c r="U385" i="25"/>
  <c r="U387" i="25"/>
  <c r="U393" i="25"/>
  <c r="U371" i="25"/>
  <c r="U379" i="25"/>
  <c r="U389" i="25"/>
  <c r="U395" i="25"/>
  <c r="U403" i="25"/>
  <c r="U411" i="25"/>
  <c r="U409" i="25"/>
  <c r="U429" i="25"/>
  <c r="U437" i="25"/>
  <c r="U435" i="25"/>
  <c r="U433" i="25"/>
  <c r="K20" i="24"/>
  <c r="T21" i="23"/>
  <c r="W21" i="23"/>
  <c r="W239" i="23"/>
  <c r="W26" i="23"/>
  <c r="W463" i="23"/>
  <c r="W287" i="23"/>
  <c r="W525" i="23"/>
  <c r="W530" i="23"/>
  <c r="W799" i="23"/>
  <c r="W379" i="23"/>
  <c r="W146" i="23"/>
  <c r="W543" i="23"/>
  <c r="W693" i="23"/>
  <c r="W181" i="23"/>
  <c r="W209" i="23"/>
  <c r="W729" i="23"/>
  <c r="W195" i="23"/>
  <c r="W758" i="23"/>
  <c r="W777" i="23"/>
  <c r="W153" i="23"/>
  <c r="W136" i="23"/>
  <c r="W627" i="23"/>
  <c r="W196" i="23"/>
  <c r="W468" i="23"/>
  <c r="W661" i="23"/>
  <c r="W544" i="23"/>
  <c r="W117" i="23"/>
  <c r="W178" i="23"/>
  <c r="W434" i="23"/>
  <c r="W499" i="23"/>
  <c r="W182" i="23"/>
  <c r="W98" i="23"/>
  <c r="W133" i="23"/>
  <c r="G460" i="23"/>
  <c r="D574" i="23"/>
  <c r="D97" i="23"/>
  <c r="D212" i="23"/>
  <c r="D396" i="23"/>
  <c r="D658" i="23"/>
  <c r="D755" i="23"/>
  <c r="D339" i="23"/>
  <c r="D753" i="23"/>
  <c r="D773" i="23"/>
  <c r="D624" i="23"/>
  <c r="D293" i="23"/>
  <c r="D371" i="23"/>
  <c r="D67" i="23"/>
  <c r="D713" i="23"/>
  <c r="D13" i="23"/>
  <c r="D465" i="23"/>
  <c r="K221" i="18"/>
  <c r="K220" i="18"/>
  <c r="K219" i="18"/>
  <c r="K218" i="18"/>
  <c r="K217" i="18"/>
  <c r="K216" i="18"/>
  <c r="K215" i="18"/>
  <c r="K214" i="18"/>
  <c r="K213" i="18"/>
  <c r="K212" i="18"/>
  <c r="K211" i="18"/>
  <c r="K210" i="18"/>
  <c r="K209" i="18"/>
  <c r="K208" i="18"/>
  <c r="K207" i="18"/>
  <c r="K206" i="18"/>
  <c r="K205" i="18"/>
  <c r="K204" i="18"/>
  <c r="K203" i="18"/>
  <c r="K202" i="18"/>
  <c r="K201" i="18"/>
  <c r="K200" i="18"/>
  <c r="K199" i="18"/>
  <c r="K198" i="18"/>
  <c r="K197" i="18"/>
  <c r="K196" i="18"/>
  <c r="K195" i="18"/>
  <c r="K194" i="18"/>
  <c r="K193" i="18"/>
  <c r="K192" i="18"/>
  <c r="K191" i="18"/>
  <c r="K190" i="18"/>
  <c r="K189" i="18"/>
  <c r="K188" i="18"/>
  <c r="K187" i="18"/>
  <c r="K186" i="18"/>
  <c r="K185" i="18"/>
  <c r="K184" i="18"/>
  <c r="K183" i="18"/>
  <c r="K182" i="18"/>
  <c r="K181" i="18"/>
  <c r="K180" i="18"/>
  <c r="K179" i="18"/>
  <c r="K178" i="18"/>
  <c r="K177" i="18"/>
  <c r="K176" i="18"/>
  <c r="K175" i="18"/>
  <c r="K174" i="18"/>
  <c r="K173" i="18"/>
  <c r="K172" i="18"/>
  <c r="K171" i="18"/>
  <c r="K170" i="18"/>
  <c r="K169" i="18"/>
  <c r="K168" i="18"/>
  <c r="K167" i="18"/>
  <c r="K166" i="18"/>
  <c r="K165" i="18"/>
  <c r="K164"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K94" i="18"/>
  <c r="K93" i="18"/>
  <c r="K92" i="18"/>
  <c r="K91" i="18"/>
  <c r="K90" i="18"/>
  <c r="K89" i="18"/>
  <c r="K88" i="18"/>
  <c r="K87" i="18"/>
  <c r="K86" i="18"/>
  <c r="K85" i="18"/>
  <c r="K84" i="18"/>
  <c r="K83" i="18"/>
  <c r="K82" i="18"/>
  <c r="K81" i="18"/>
  <c r="K80" i="18"/>
  <c r="K79" i="18"/>
  <c r="K78" i="18"/>
  <c r="K77" i="18"/>
  <c r="K76" i="18"/>
  <c r="K75" i="18"/>
  <c r="K74" i="18"/>
  <c r="K73" i="18"/>
  <c r="K72" i="18"/>
  <c r="K71" i="18"/>
  <c r="K70" i="18"/>
  <c r="K69" i="18"/>
  <c r="K68" i="18"/>
  <c r="K67" i="18"/>
  <c r="K66" i="18"/>
  <c r="K65" i="18"/>
  <c r="K64" i="18"/>
  <c r="K63" i="18"/>
  <c r="K62" i="18"/>
  <c r="K61" i="18"/>
  <c r="K60" i="18"/>
  <c r="K59" i="18"/>
  <c r="K58" i="18"/>
  <c r="K57" i="18"/>
  <c r="K56" i="18"/>
  <c r="K55" i="18"/>
  <c r="K54" i="18"/>
  <c r="K53" i="18"/>
  <c r="K52" i="18"/>
  <c r="K51" i="18"/>
  <c r="K50" i="18"/>
  <c r="K49" i="18"/>
  <c r="K48" i="18"/>
  <c r="K47" i="18"/>
  <c r="K46" i="18"/>
  <c r="K45" i="18"/>
  <c r="K44" i="18"/>
  <c r="K43" i="18"/>
  <c r="K42" i="18"/>
  <c r="K41" i="18"/>
  <c r="K40" i="18"/>
  <c r="K39" i="18"/>
  <c r="K38" i="18"/>
  <c r="K37" i="18"/>
  <c r="K36" i="18"/>
  <c r="K35" i="18"/>
  <c r="K34" i="18"/>
  <c r="K33" i="18"/>
  <c r="K32" i="18"/>
  <c r="K31" i="18"/>
  <c r="K30" i="18"/>
  <c r="K29" i="18"/>
  <c r="K28" i="18"/>
  <c r="K27" i="18"/>
  <c r="K26" i="18"/>
  <c r="K25" i="18"/>
  <c r="K24" i="18"/>
  <c r="K23" i="18"/>
  <c r="K22" i="18"/>
  <c r="K21" i="18"/>
  <c r="K20" i="18"/>
  <c r="K19" i="18"/>
  <c r="K18" i="18"/>
  <c r="K17" i="18"/>
  <c r="K16" i="18"/>
  <c r="K15" i="18"/>
  <c r="K14" i="18"/>
  <c r="K13" i="18"/>
  <c r="K12" i="18"/>
  <c r="K11" i="18"/>
  <c r="K10" i="18"/>
  <c r="K9" i="18"/>
  <c r="K8" i="18"/>
  <c r="K7" i="18"/>
  <c r="K6" i="18"/>
  <c r="K5" i="18"/>
  <c r="K4" i="18"/>
  <c r="K3" i="18"/>
  <c r="K2" i="18"/>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 i="19"/>
  <c r="I2" i="11"/>
  <c r="H2" i="11"/>
  <c r="D10" i="4"/>
  <c r="A14" i="4"/>
  <c r="A15" i="4"/>
  <c r="A16" i="4"/>
  <c r="A17" i="4"/>
  <c r="A18" i="4"/>
  <c r="A20" i="4"/>
  <c r="A23" i="4"/>
  <c r="A29" i="4"/>
  <c r="A31" i="4"/>
  <c r="A33" i="4"/>
  <c r="D33" i="4"/>
  <c r="D31" i="4"/>
  <c r="D29" i="4"/>
  <c r="D23" i="4"/>
  <c r="D20" i="4"/>
  <c r="D18" i="4"/>
  <c r="D17" i="4"/>
  <c r="D16" i="4"/>
  <c r="D15" i="4"/>
  <c r="D14" i="4"/>
  <c r="D41" i="4"/>
  <c r="D38" i="4"/>
  <c r="D37" i="4"/>
  <c r="D35" i="4"/>
  <c r="D34" i="4"/>
  <c r="D12" i="4"/>
  <c r="D11" i="4"/>
  <c r="D9" i="4"/>
  <c r="D7" i="4"/>
  <c r="D6" i="4"/>
  <c r="D5" i="4"/>
  <c r="D4" i="4"/>
  <c r="D3" i="4"/>
  <c r="A3" i="4"/>
  <c r="D2" i="4"/>
  <c r="I40" i="5"/>
  <c r="I42" i="5"/>
  <c r="I41" i="5"/>
  <c r="I43" i="5"/>
  <c r="I44" i="5"/>
  <c r="U601" i="31"/>
  <c r="U852" i="31"/>
  <c r="U796" i="31"/>
  <c r="U744" i="31"/>
  <c r="U728" i="31"/>
  <c r="U357" i="31"/>
  <c r="U629" i="31"/>
  <c r="U445" i="31"/>
  <c r="U817" i="31"/>
  <c r="U648" i="31"/>
  <c r="U880" i="31"/>
  <c r="U868" i="31"/>
  <c r="U844" i="31"/>
  <c r="U816" i="31"/>
  <c r="U804" i="31"/>
  <c r="U788" i="31"/>
  <c r="U752" i="31"/>
  <c r="U664" i="31"/>
  <c r="U439" i="31"/>
  <c r="U395" i="31"/>
  <c r="U347" i="31"/>
  <c r="U303" i="31"/>
  <c r="U263" i="31"/>
  <c r="U643" i="31"/>
  <c r="U623" i="31"/>
  <c r="U603" i="31"/>
  <c r="U591" i="31"/>
  <c r="U575" i="31"/>
  <c r="U555" i="31"/>
  <c r="U531" i="31"/>
  <c r="U515" i="31"/>
  <c r="U495" i="31"/>
  <c r="U471" i="31"/>
  <c r="U455" i="31"/>
  <c r="U855" i="31"/>
  <c r="U843" i="31"/>
  <c r="U827" i="31"/>
  <c r="U815" i="31"/>
  <c r="U799" i="31"/>
  <c r="U763" i="31"/>
  <c r="U751" i="31"/>
  <c r="U735" i="31"/>
  <c r="U719" i="31"/>
  <c r="U695" i="31"/>
  <c r="U675" i="31"/>
  <c r="U663" i="31"/>
  <c r="U401" i="31"/>
  <c r="U385" i="31"/>
  <c r="U249" i="31"/>
  <c r="U637" i="31"/>
  <c r="U621" i="31"/>
  <c r="U593" i="31"/>
  <c r="U481" i="31"/>
  <c r="U469" i="31"/>
  <c r="U881" i="31"/>
  <c r="U853" i="31"/>
  <c r="U825" i="31"/>
  <c r="U789" i="31"/>
  <c r="U773" i="31"/>
  <c r="U745" i="31"/>
  <c r="U737" i="31"/>
  <c r="U701" i="31"/>
  <c r="U417" i="31"/>
  <c r="U409" i="31"/>
  <c r="U377" i="31"/>
  <c r="U365" i="31"/>
  <c r="U353" i="31"/>
  <c r="U349" i="31"/>
  <c r="U333" i="31"/>
  <c r="U325" i="31"/>
  <c r="U313" i="31"/>
  <c r="U305" i="31"/>
  <c r="U301" i="31"/>
  <c r="U293" i="31"/>
  <c r="U285" i="31"/>
  <c r="U273" i="31"/>
  <c r="U241" i="31"/>
  <c r="U229" i="31"/>
  <c r="U661" i="31"/>
  <c r="U657" i="31"/>
  <c r="U649" i="31"/>
  <c r="U645" i="31"/>
  <c r="U641" i="31"/>
  <c r="U633" i="31"/>
  <c r="U617" i="31"/>
  <c r="U609" i="31"/>
  <c r="U597" i="31"/>
  <c r="U589" i="31"/>
  <c r="U581" i="31"/>
  <c r="U577" i="31"/>
  <c r="U573" i="31"/>
  <c r="U569" i="31"/>
  <c r="U561" i="31"/>
  <c r="U553" i="31"/>
  <c r="U545" i="31"/>
  <c r="U541" i="31"/>
  <c r="U533" i="31"/>
  <c r="U525" i="31"/>
  <c r="U513" i="31"/>
  <c r="U509" i="31"/>
  <c r="U497" i="31"/>
  <c r="U489" i="31"/>
  <c r="U477" i="31"/>
  <c r="U461" i="31"/>
  <c r="U449" i="31"/>
  <c r="U873" i="31"/>
  <c r="U869" i="31"/>
  <c r="U865" i="31"/>
  <c r="U857" i="31"/>
  <c r="U849" i="31"/>
  <c r="U841" i="31"/>
  <c r="U837" i="31"/>
  <c r="U833" i="31"/>
  <c r="U821" i="31"/>
  <c r="U809" i="31"/>
  <c r="U805" i="31"/>
  <c r="U801" i="31"/>
  <c r="U793" i="31"/>
  <c r="U785" i="31"/>
  <c r="U777" i="31"/>
  <c r="U769" i="31"/>
  <c r="U765" i="31"/>
  <c r="U761" i="31"/>
  <c r="U757" i="31"/>
  <c r="U749" i="31"/>
  <c r="U729" i="31"/>
  <c r="U725" i="31"/>
  <c r="U721" i="31"/>
  <c r="U717" i="31"/>
  <c r="U709" i="31"/>
  <c r="U705" i="31"/>
  <c r="U697" i="31"/>
  <c r="U689" i="31"/>
  <c r="U685" i="31"/>
  <c r="U681" i="31"/>
  <c r="U677" i="31"/>
  <c r="U669" i="31"/>
  <c r="U624" i="31"/>
  <c r="U616" i="31"/>
  <c r="U568" i="31"/>
  <c r="U876" i="31"/>
  <c r="U864" i="31"/>
  <c r="U848" i="31"/>
  <c r="U836" i="31"/>
  <c r="U828" i="31"/>
  <c r="U820" i="31"/>
  <c r="U812" i="31"/>
  <c r="U800" i="31"/>
  <c r="U784" i="31"/>
  <c r="U776" i="31"/>
  <c r="U712" i="31"/>
  <c r="U696" i="31"/>
  <c r="U688" i="31"/>
  <c r="U271" i="31"/>
  <c r="U247" i="31"/>
  <c r="U206" i="31"/>
  <c r="U174" i="31"/>
  <c r="U158" i="31"/>
  <c r="U142" i="31"/>
  <c r="U110" i="31"/>
  <c r="U94" i="31"/>
  <c r="U78" i="31"/>
  <c r="U46" i="31"/>
  <c r="U30" i="31"/>
  <c r="U421" i="31"/>
  <c r="U413" i="31"/>
  <c r="U369" i="31"/>
  <c r="U317" i="31"/>
  <c r="U289" i="31"/>
  <c r="U281" i="31"/>
  <c r="U257" i="31"/>
  <c r="U233" i="31"/>
  <c r="U653" i="31"/>
  <c r="U625" i="31"/>
  <c r="U613" i="31"/>
  <c r="U605" i="31"/>
  <c r="U585" i="31"/>
  <c r="U565" i="31"/>
  <c r="U557" i="31"/>
  <c r="U529" i="31"/>
  <c r="U521" i="31"/>
  <c r="U501" i="31"/>
  <c r="U493" i="31"/>
  <c r="U465" i="31"/>
  <c r="U457" i="31"/>
  <c r="U877" i="31"/>
  <c r="U861" i="31"/>
  <c r="U845" i="31"/>
  <c r="U829" i="31"/>
  <c r="U813" i="31"/>
  <c r="U797" i="31"/>
  <c r="U781" i="31"/>
  <c r="U753" i="31"/>
  <c r="U741" i="31"/>
  <c r="U733" i="31"/>
  <c r="U713" i="31"/>
  <c r="U693" i="31"/>
  <c r="U673" i="31"/>
  <c r="U665" i="31"/>
  <c r="U640" i="31"/>
  <c r="U632" i="31"/>
  <c r="U608" i="31"/>
  <c r="U592" i="31"/>
  <c r="U576" i="31"/>
  <c r="U872" i="31"/>
  <c r="U856" i="31"/>
  <c r="U840" i="31"/>
  <c r="U824" i="31"/>
  <c r="U808" i="31"/>
  <c r="U792" i="31"/>
  <c r="U768" i="31"/>
  <c r="U760" i="31"/>
  <c r="U736" i="31"/>
  <c r="U720" i="31"/>
  <c r="U704" i="31"/>
  <c r="U680" i="31"/>
  <c r="U672" i="31"/>
  <c r="V667" i="31"/>
  <c r="U435" i="31"/>
  <c r="U403" i="31"/>
  <c r="U391" i="31"/>
  <c r="U379" i="31"/>
  <c r="U359" i="31"/>
  <c r="U351" i="31"/>
  <c r="U339" i="31"/>
  <c r="U327" i="31"/>
  <c r="U307" i="31"/>
  <c r="U299" i="31"/>
  <c r="V663" i="31"/>
  <c r="U219" i="31"/>
  <c r="U215" i="31"/>
  <c r="U211" i="31"/>
  <c r="U207" i="31"/>
  <c r="U203" i="31"/>
  <c r="U199" i="31"/>
  <c r="U438" i="31"/>
  <c r="U434" i="31"/>
  <c r="U430" i="31"/>
  <c r="U426" i="31"/>
  <c r="U422" i="31"/>
  <c r="U418" i="31"/>
  <c r="U414" i="31"/>
  <c r="U410" i="31"/>
  <c r="U406" i="31"/>
  <c r="U402" i="31"/>
  <c r="U398" i="31"/>
  <c r="U394" i="31"/>
  <c r="U390" i="31"/>
  <c r="U386" i="31"/>
  <c r="U382" i="31"/>
  <c r="U378" i="31"/>
  <c r="U374" i="31"/>
  <c r="U370" i="31"/>
  <c r="U366" i="31"/>
  <c r="U362" i="31"/>
  <c r="U358" i="31"/>
  <c r="U354" i="31"/>
  <c r="U350" i="31"/>
  <c r="U346" i="31"/>
  <c r="U342" i="31"/>
  <c r="U338" i="31"/>
  <c r="U334" i="31"/>
  <c r="U330" i="31"/>
  <c r="U326" i="31"/>
  <c r="U322" i="31"/>
  <c r="U318" i="31"/>
  <c r="U314" i="31"/>
  <c r="U310" i="31"/>
  <c r="U306" i="31"/>
  <c r="U302" i="31"/>
  <c r="U298" i="31"/>
  <c r="U294" i="31"/>
  <c r="U290" i="31"/>
  <c r="U286" i="31"/>
  <c r="U282" i="31"/>
  <c r="U278" i="31"/>
  <c r="U274" i="31"/>
  <c r="U270" i="31"/>
  <c r="U266" i="31"/>
  <c r="U262" i="31"/>
  <c r="U258" i="31"/>
  <c r="U538" i="31"/>
  <c r="U522" i="31"/>
  <c r="U514" i="31"/>
  <c r="U474" i="31"/>
  <c r="U458" i="31"/>
  <c r="U450" i="31"/>
  <c r="U878" i="31"/>
  <c r="U874" i="31"/>
  <c r="U870" i="31"/>
  <c r="U866" i="31"/>
  <c r="U862" i="31"/>
  <c r="U858" i="31"/>
  <c r="U854" i="31"/>
  <c r="U850" i="31"/>
  <c r="U846" i="31"/>
  <c r="U842" i="31"/>
  <c r="U838" i="31"/>
  <c r="U834" i="31"/>
  <c r="U830" i="31"/>
  <c r="U826" i="31"/>
  <c r="U822" i="31"/>
  <c r="U818" i="31"/>
  <c r="U814" i="31"/>
  <c r="U810" i="31"/>
  <c r="U806" i="31"/>
  <c r="U802" i="31"/>
  <c r="U798" i="31"/>
  <c r="U794" i="31"/>
  <c r="U790" i="31"/>
  <c r="U786" i="31"/>
  <c r="U660" i="31"/>
  <c r="U652" i="31"/>
  <c r="U644" i="31"/>
  <c r="U636" i="31"/>
  <c r="U628" i="31"/>
  <c r="U620" i="31"/>
  <c r="U612" i="31"/>
  <c r="U604" i="31"/>
  <c r="U596" i="31"/>
  <c r="U588" i="31"/>
  <c r="U580" i="31"/>
  <c r="U572" i="31"/>
  <c r="U564" i="31"/>
  <c r="U780" i="31"/>
  <c r="U772" i="31"/>
  <c r="U764" i="31"/>
  <c r="U756" i="31"/>
  <c r="U748" i="31"/>
  <c r="U740" i="31"/>
  <c r="U732" i="31"/>
  <c r="U724" i="31"/>
  <c r="U716" i="31"/>
  <c r="U708" i="31"/>
  <c r="U700" i="31"/>
  <c r="U692" i="31"/>
  <c r="U684" i="31"/>
  <c r="U676" i="31"/>
  <c r="U668" i="31"/>
  <c r="U254" i="31"/>
  <c r="U250" i="31"/>
  <c r="U246" i="31"/>
  <c r="U242" i="31"/>
  <c r="U226" i="31"/>
  <c r="U442" i="31"/>
  <c r="U658" i="31"/>
  <c r="U654" i="31"/>
  <c r="U650" i="31"/>
  <c r="U646" i="31"/>
  <c r="U642" i="31"/>
  <c r="U638" i="31"/>
  <c r="U634" i="31"/>
  <c r="U630" i="31"/>
  <c r="U626" i="31"/>
  <c r="U622" i="31"/>
  <c r="U618" i="31"/>
  <c r="U614" i="31"/>
  <c r="U610" i="31"/>
  <c r="U606" i="31"/>
  <c r="U602" i="31"/>
  <c r="U598" i="31"/>
  <c r="U594" i="31"/>
  <c r="U590" i="31"/>
  <c r="U586" i="31"/>
  <c r="U582" i="31"/>
  <c r="U578" i="31"/>
  <c r="U574" i="31"/>
  <c r="U570" i="31"/>
  <c r="U566" i="31"/>
  <c r="U562" i="31"/>
  <c r="U558" i="31"/>
  <c r="U554" i="31"/>
  <c r="U550" i="31"/>
  <c r="U546" i="31"/>
  <c r="U542" i="31"/>
  <c r="U534" i="31"/>
  <c r="U530" i="31"/>
  <c r="U526" i="31"/>
  <c r="U518" i="31"/>
  <c r="U510" i="31"/>
  <c r="U506" i="31"/>
  <c r="U502" i="31"/>
  <c r="U498" i="31"/>
  <c r="U494" i="31"/>
  <c r="U490" i="31"/>
  <c r="U486" i="31"/>
  <c r="U482" i="31"/>
  <c r="U478" i="31"/>
  <c r="U470" i="31"/>
  <c r="U466" i="31"/>
  <c r="U462" i="31"/>
  <c r="U454" i="31"/>
  <c r="U446" i="31"/>
  <c r="U662" i="31"/>
  <c r="U782" i="31"/>
  <c r="U778" i="31"/>
  <c r="U774" i="31"/>
  <c r="U770" i="31"/>
  <c r="U766" i="31"/>
  <c r="U762" i="31"/>
  <c r="U758" i="31"/>
  <c r="U754" i="31"/>
  <c r="U750" i="31"/>
  <c r="U746" i="31"/>
  <c r="U742" i="31"/>
  <c r="U738" i="31"/>
  <c r="U734" i="31"/>
  <c r="U730" i="31"/>
  <c r="U726" i="31"/>
  <c r="U722" i="31"/>
  <c r="U718" i="31"/>
  <c r="U714" i="31"/>
  <c r="U710" i="31"/>
  <c r="U706" i="31"/>
  <c r="U702" i="31"/>
  <c r="U698" i="31"/>
  <c r="U694" i="31"/>
  <c r="U690" i="31"/>
  <c r="U686" i="31"/>
  <c r="U682" i="31"/>
  <c r="U678" i="31"/>
  <c r="U674" i="31"/>
  <c r="U670" i="31"/>
  <c r="U666" i="31"/>
  <c r="U195" i="31"/>
  <c r="U191" i="31"/>
  <c r="U187" i="31"/>
  <c r="U183" i="31"/>
  <c r="U179" i="31"/>
  <c r="U175" i="31"/>
  <c r="U171" i="31"/>
  <c r="U167" i="31"/>
  <c r="U163" i="31"/>
  <c r="U159" i="31"/>
  <c r="U155" i="31"/>
  <c r="U151" i="31"/>
  <c r="U147" i="31"/>
  <c r="U143" i="31"/>
  <c r="U139" i="31"/>
  <c r="U135" i="31"/>
  <c r="U131" i="31"/>
  <c r="U127" i="31"/>
  <c r="U123" i="31"/>
  <c r="U119" i="31"/>
  <c r="U115" i="31"/>
  <c r="U111" i="31"/>
  <c r="U107" i="31"/>
  <c r="U103" i="31"/>
  <c r="U99" i="31"/>
  <c r="U95" i="31"/>
  <c r="U91" i="31"/>
  <c r="U87" i="31"/>
  <c r="U83" i="31"/>
  <c r="U79" i="31"/>
  <c r="U75" i="31"/>
  <c r="U71" i="31"/>
  <c r="U67" i="31"/>
  <c r="U63" i="31"/>
  <c r="U59" i="31"/>
  <c r="U55" i="31"/>
  <c r="U51" i="31"/>
  <c r="U47" i="31"/>
  <c r="U43" i="31"/>
  <c r="U39" i="31"/>
  <c r="U35" i="31"/>
  <c r="U31" i="31"/>
  <c r="U27" i="31"/>
  <c r="U23" i="31"/>
  <c r="U19" i="31"/>
  <c r="U15" i="31"/>
  <c r="U11" i="31"/>
  <c r="U7" i="31"/>
  <c r="U3" i="31"/>
  <c r="U433" i="31"/>
  <c r="U405" i="31"/>
  <c r="U393" i="31"/>
  <c r="U373" i="31"/>
  <c r="U361" i="31"/>
  <c r="U341" i="31"/>
  <c r="U329" i="31"/>
  <c r="U309" i="31"/>
  <c r="U297" i="31"/>
  <c r="U277" i="31"/>
  <c r="U265" i="31"/>
  <c r="U245" i="31"/>
  <c r="U218" i="31"/>
  <c r="U214" i="31"/>
  <c r="U210" i="31"/>
  <c r="U202" i="31"/>
  <c r="U198" i="31"/>
  <c r="U194" i="31"/>
  <c r="U190" i="31"/>
  <c r="U186" i="31"/>
  <c r="U182" i="31"/>
  <c r="U178" i="31"/>
  <c r="U170" i="31"/>
  <c r="U166" i="31"/>
  <c r="U162" i="31"/>
  <c r="U154" i="31"/>
  <c r="U150" i="31"/>
  <c r="U146" i="31"/>
  <c r="U138" i="31"/>
  <c r="U134" i="31"/>
  <c r="U130" i="31"/>
  <c r="U126" i="31"/>
  <c r="U122" i="31"/>
  <c r="U118" i="31"/>
  <c r="U114" i="31"/>
  <c r="U106" i="31"/>
  <c r="U102" i="31"/>
  <c r="U98" i="31"/>
  <c r="U90" i="31"/>
  <c r="U86" i="31"/>
  <c r="U82" i="31"/>
  <c r="U74" i="31"/>
  <c r="U70" i="31"/>
  <c r="U66" i="31"/>
  <c r="U62" i="31"/>
  <c r="U58" i="31"/>
  <c r="U54" i="31"/>
  <c r="U50" i="31"/>
  <c r="U42" i="31"/>
  <c r="U38" i="31"/>
  <c r="U34" i="31"/>
  <c r="U26" i="31"/>
  <c r="U22" i="31"/>
  <c r="U18" i="31"/>
  <c r="U14" i="31"/>
  <c r="U10" i="31"/>
  <c r="U6" i="31"/>
  <c r="V811" i="31"/>
  <c r="V791" i="31"/>
  <c r="V767" i="31"/>
  <c r="V747" i="31"/>
  <c r="V727" i="31"/>
  <c r="V703" i="31"/>
  <c r="V683" i="31"/>
  <c r="V807" i="31"/>
  <c r="V783" i="31"/>
  <c r="V763" i="31"/>
  <c r="V743" i="31"/>
  <c r="V719" i="31"/>
  <c r="V699" i="31"/>
  <c r="V679" i="31"/>
  <c r="V798" i="31"/>
  <c r="V787" i="31"/>
  <c r="V755" i="31"/>
  <c r="V723" i="31"/>
  <c r="V691" i="31"/>
  <c r="V799" i="31"/>
  <c r="V779" i="31"/>
  <c r="V759" i="31"/>
  <c r="V735" i="31"/>
  <c r="V715" i="31"/>
  <c r="V695" i="31"/>
  <c r="V734" i="31"/>
  <c r="V815" i="31"/>
  <c r="V795" i="31"/>
  <c r="V775" i="31"/>
  <c r="V751" i="31"/>
  <c r="V731" i="31"/>
  <c r="V711" i="31"/>
  <c r="V687" i="31"/>
  <c r="V670" i="31"/>
  <c r="U440" i="31"/>
  <c r="U436" i="31"/>
  <c r="U432" i="31"/>
  <c r="U428" i="31"/>
  <c r="U424" i="31"/>
  <c r="U420" i="31"/>
  <c r="U416" i="31"/>
  <c r="U412" i="31"/>
  <c r="U408" i="31"/>
  <c r="U404" i="31"/>
  <c r="U400" i="31"/>
  <c r="U396" i="31"/>
  <c r="U392" i="31"/>
  <c r="U388" i="31"/>
  <c r="U384" i="31"/>
  <c r="U380" i="31"/>
  <c r="U376" i="31"/>
  <c r="U372" i="31"/>
  <c r="U368" i="31"/>
  <c r="U364" i="31"/>
  <c r="U360" i="31"/>
  <c r="U356" i="31"/>
  <c r="U352" i="31"/>
  <c r="U348" i="31"/>
  <c r="U344" i="31"/>
  <c r="U340" i="31"/>
  <c r="U336" i="31"/>
  <c r="U332" i="31"/>
  <c r="U328" i="31"/>
  <c r="U324" i="31"/>
  <c r="U320" i="31"/>
  <c r="U316" i="31"/>
  <c r="U312" i="31"/>
  <c r="U308" i="31"/>
  <c r="U304" i="31"/>
  <c r="U300" i="31"/>
  <c r="U296" i="31"/>
  <c r="U292" i="31"/>
  <c r="U288" i="31"/>
  <c r="U284" i="31"/>
  <c r="U280" i="31"/>
  <c r="U276" i="31"/>
  <c r="U272" i="31"/>
  <c r="U268" i="31"/>
  <c r="U264" i="31"/>
  <c r="U260" i="31"/>
  <c r="U256" i="31"/>
  <c r="U252" i="31"/>
  <c r="U248" i="31"/>
  <c r="U244" i="31"/>
  <c r="U560" i="31"/>
  <c r="U556" i="31"/>
  <c r="U552" i="31"/>
  <c r="U548" i="31"/>
  <c r="U544" i="31"/>
  <c r="U540" i="31"/>
  <c r="U536" i="31"/>
  <c r="U532" i="31"/>
  <c r="U528" i="31"/>
  <c r="U524" i="31"/>
  <c r="U520" i="31"/>
  <c r="U516" i="31"/>
  <c r="U512" i="31"/>
  <c r="U508" i="31"/>
  <c r="U504" i="31"/>
  <c r="U500" i="31"/>
  <c r="U496" i="31"/>
  <c r="U492" i="31"/>
  <c r="U488" i="31"/>
  <c r="U484" i="31"/>
  <c r="U480" i="31"/>
  <c r="U476" i="31"/>
  <c r="U472" i="31"/>
  <c r="U468" i="31"/>
  <c r="U464" i="31"/>
  <c r="U460" i="31"/>
  <c r="U456" i="31"/>
  <c r="U452" i="31"/>
  <c r="U448" i="31"/>
  <c r="U444" i="31"/>
  <c r="V675" i="31"/>
  <c r="U234" i="31"/>
  <c r="U230" i="31"/>
  <c r="U239" i="31"/>
  <c r="U223" i="31"/>
  <c r="AK190" i="31"/>
  <c r="AJ190" i="31"/>
  <c r="AK186" i="31"/>
  <c r="AJ186" i="31"/>
  <c r="AK182" i="31"/>
  <c r="AJ182" i="31"/>
  <c r="AK178" i="31"/>
  <c r="AJ178" i="31"/>
  <c r="AK174" i="31"/>
  <c r="AJ174" i="31"/>
  <c r="AK170" i="31"/>
  <c r="AJ170" i="31"/>
  <c r="AK166" i="31"/>
  <c r="AJ166" i="31"/>
  <c r="AK162" i="31"/>
  <c r="AJ162" i="31"/>
  <c r="AK158" i="31"/>
  <c r="AJ158" i="31"/>
  <c r="AK154" i="31"/>
  <c r="AJ154" i="31"/>
  <c r="AK150" i="31"/>
  <c r="AJ150" i="31"/>
  <c r="AK146" i="31"/>
  <c r="AJ146" i="31"/>
  <c r="AK142" i="31"/>
  <c r="AJ142" i="31"/>
  <c r="AK138" i="31"/>
  <c r="AJ138" i="31"/>
  <c r="AK134" i="31"/>
  <c r="AJ134" i="31"/>
  <c r="AK130" i="31"/>
  <c r="AJ130" i="31"/>
  <c r="AK126" i="31"/>
  <c r="AJ126" i="31"/>
  <c r="AK122" i="31"/>
  <c r="AJ122" i="31"/>
  <c r="AK118" i="31"/>
  <c r="AJ118" i="31"/>
  <c r="AK114" i="31"/>
  <c r="AJ114" i="31"/>
  <c r="AK110" i="31"/>
  <c r="AJ110" i="31"/>
  <c r="AK106" i="31"/>
  <c r="AJ106" i="31"/>
  <c r="AK102" i="31"/>
  <c r="AJ102" i="31"/>
  <c r="AK98" i="31"/>
  <c r="AJ98" i="31"/>
  <c r="AK94" i="31"/>
  <c r="AJ94" i="31"/>
  <c r="AK90" i="31"/>
  <c r="AJ90" i="31"/>
  <c r="AK86" i="31"/>
  <c r="AJ86" i="31"/>
  <c r="AK82" i="31"/>
  <c r="AJ82" i="31"/>
  <c r="AK78" i="31"/>
  <c r="AJ78" i="31"/>
  <c r="AK74" i="31"/>
  <c r="AJ74" i="31"/>
  <c r="AK70" i="31"/>
  <c r="AJ70" i="31"/>
  <c r="AK66" i="31"/>
  <c r="AJ66" i="31"/>
  <c r="AK62" i="31"/>
  <c r="AJ62" i="31"/>
  <c r="AK58" i="31"/>
  <c r="AJ58" i="31"/>
  <c r="AK54" i="31"/>
  <c r="AJ54" i="31"/>
  <c r="AK50" i="31"/>
  <c r="AJ50" i="31"/>
  <c r="AK46" i="31"/>
  <c r="AJ46" i="31"/>
  <c r="AK42" i="31"/>
  <c r="AJ42" i="31"/>
  <c r="AK38" i="31"/>
  <c r="AJ38" i="31"/>
  <c r="AK34" i="31"/>
  <c r="AJ34" i="31"/>
  <c r="AK30" i="31"/>
  <c r="AJ30" i="31"/>
  <c r="AK26" i="31"/>
  <c r="AJ26" i="31"/>
  <c r="AK22" i="31"/>
  <c r="AJ22" i="31"/>
  <c r="AK18" i="31"/>
  <c r="AJ18" i="31"/>
  <c r="AK14" i="31"/>
  <c r="AJ14" i="31"/>
  <c r="AK10" i="31"/>
  <c r="AJ10" i="31"/>
  <c r="AK6" i="31"/>
  <c r="AJ6" i="31"/>
  <c r="AK412" i="31"/>
  <c r="AJ412" i="31"/>
  <c r="AJ408" i="31"/>
  <c r="AK408" i="31"/>
  <c r="AK404" i="31"/>
  <c r="AJ404" i="31"/>
  <c r="AJ400" i="31"/>
  <c r="AK400" i="31"/>
  <c r="AK396" i="31"/>
  <c r="AJ396" i="31"/>
  <c r="AJ392" i="31"/>
  <c r="AK392" i="31"/>
  <c r="AK388" i="31"/>
  <c r="AJ388" i="31"/>
  <c r="AJ384" i="31"/>
  <c r="AK384" i="31"/>
  <c r="AK380" i="31"/>
  <c r="AJ380" i="31"/>
  <c r="AJ376" i="31"/>
  <c r="AK376" i="31"/>
  <c r="AK372" i="31"/>
  <c r="AJ372" i="31"/>
  <c r="AJ368" i="31"/>
  <c r="AK368" i="31"/>
  <c r="AK364" i="31"/>
  <c r="AJ364" i="31"/>
  <c r="AJ360" i="31"/>
  <c r="AK360" i="31"/>
  <c r="AK356" i="31"/>
  <c r="AJ356" i="31"/>
  <c r="AJ352" i="31"/>
  <c r="AK352" i="31"/>
  <c r="AK348" i="31"/>
  <c r="AJ348" i="31"/>
  <c r="AJ344" i="31"/>
  <c r="AK344" i="31"/>
  <c r="AK340" i="31"/>
  <c r="AJ340" i="31"/>
  <c r="AJ336" i="31"/>
  <c r="AK336" i="31"/>
  <c r="AK332" i="31"/>
  <c r="AJ332" i="31"/>
  <c r="AJ328" i="31"/>
  <c r="AK328" i="31"/>
  <c r="AK324" i="31"/>
  <c r="AJ324" i="31"/>
  <c r="AJ320" i="31"/>
  <c r="AK320" i="31"/>
  <c r="AK316" i="31"/>
  <c r="AJ316" i="31"/>
  <c r="AJ312" i="31"/>
  <c r="AK312" i="31"/>
  <c r="AK308" i="31"/>
  <c r="AJ308" i="31"/>
  <c r="AJ304" i="31"/>
  <c r="AK304" i="31"/>
  <c r="AK300" i="31"/>
  <c r="AJ300" i="31"/>
  <c r="AJ296" i="31"/>
  <c r="AK296" i="31"/>
  <c r="AK292" i="31"/>
  <c r="AJ292" i="31"/>
  <c r="AJ288" i="31"/>
  <c r="AK288" i="31"/>
  <c r="AK284" i="31"/>
  <c r="AJ284" i="31"/>
  <c r="AJ280" i="31"/>
  <c r="AK280" i="31"/>
  <c r="AK276" i="31"/>
  <c r="AJ276" i="31"/>
  <c r="AJ272" i="31"/>
  <c r="AK272" i="31"/>
  <c r="AK268" i="31"/>
  <c r="AJ268" i="31"/>
  <c r="AJ264" i="31"/>
  <c r="AK264" i="31"/>
  <c r="AK260" i="31"/>
  <c r="AJ260" i="31"/>
  <c r="AJ256" i="31"/>
  <c r="AK256" i="31"/>
  <c r="AK252" i="31"/>
  <c r="AJ252" i="31"/>
  <c r="AJ248" i="31"/>
  <c r="AK248" i="31"/>
  <c r="AK244" i="31"/>
  <c r="AJ244" i="31"/>
  <c r="AJ240" i="31"/>
  <c r="AK240" i="31"/>
  <c r="AK236" i="31"/>
  <c r="AJ236" i="31"/>
  <c r="AK232" i="31"/>
  <c r="AJ232" i="31"/>
  <c r="AK228" i="31"/>
  <c r="AJ228" i="31"/>
  <c r="AJ224" i="31"/>
  <c r="AK224" i="31"/>
  <c r="AK630" i="31"/>
  <c r="AJ630" i="31"/>
  <c r="AK626" i="31"/>
  <c r="AJ626" i="31"/>
  <c r="AK622" i="31"/>
  <c r="AJ622" i="31"/>
  <c r="AK618" i="31"/>
  <c r="AJ618" i="31"/>
  <c r="AK614" i="31"/>
  <c r="AJ614" i="31"/>
  <c r="AK610" i="31"/>
  <c r="AJ610" i="31"/>
  <c r="AK606" i="31"/>
  <c r="AJ606" i="31"/>
  <c r="AK602" i="31"/>
  <c r="AJ602" i="31"/>
  <c r="AK598" i="31"/>
  <c r="AJ598" i="31"/>
  <c r="AK594" i="31"/>
  <c r="AJ594" i="31"/>
  <c r="AK590" i="31"/>
  <c r="AJ590" i="31"/>
  <c r="AK586" i="31"/>
  <c r="AJ586" i="31"/>
  <c r="AK582" i="31"/>
  <c r="AJ582" i="31"/>
  <c r="AK578" i="31"/>
  <c r="AJ578" i="31"/>
  <c r="AK574" i="31"/>
  <c r="AJ574" i="31"/>
  <c r="AK570" i="31"/>
  <c r="AJ570" i="31"/>
  <c r="AK566" i="31"/>
  <c r="AJ566" i="31"/>
  <c r="AK562" i="31"/>
  <c r="AJ562" i="31"/>
  <c r="AK558" i="31"/>
  <c r="AJ558" i="31"/>
  <c r="AK554" i="31"/>
  <c r="AJ554" i="31"/>
  <c r="AK550" i="31"/>
  <c r="AJ550" i="31"/>
  <c r="AK546" i="31"/>
  <c r="AJ546" i="31"/>
  <c r="AK542" i="31"/>
  <c r="AJ542" i="31"/>
  <c r="AK538" i="31"/>
  <c r="AJ538" i="31"/>
  <c r="AK534" i="31"/>
  <c r="AJ534" i="31"/>
  <c r="AK530" i="31"/>
  <c r="AJ530" i="31"/>
  <c r="AK526" i="31"/>
  <c r="AJ526" i="31"/>
  <c r="AK522" i="31"/>
  <c r="AJ522" i="31"/>
  <c r="AK518" i="31"/>
  <c r="AJ518" i="31"/>
  <c r="AK514" i="31"/>
  <c r="AJ514" i="31"/>
  <c r="AK510" i="31"/>
  <c r="AJ510" i="31"/>
  <c r="AK506" i="31"/>
  <c r="AJ506" i="31"/>
  <c r="AK502" i="31"/>
  <c r="AJ502" i="31"/>
  <c r="AK498" i="31"/>
  <c r="AJ498" i="31"/>
  <c r="AK494" i="31"/>
  <c r="AJ494" i="31"/>
  <c r="AK490" i="31"/>
  <c r="AJ490" i="31"/>
  <c r="AK486" i="31"/>
  <c r="AJ486" i="31"/>
  <c r="AK482" i="31"/>
  <c r="AJ482" i="31"/>
  <c r="AK478" i="31"/>
  <c r="AJ478" i="31"/>
  <c r="AK474" i="31"/>
  <c r="AJ474" i="31"/>
  <c r="AK470" i="31"/>
  <c r="AJ470" i="31"/>
  <c r="AK466" i="31"/>
  <c r="AJ466" i="31"/>
  <c r="AK462" i="31"/>
  <c r="AJ462" i="31"/>
  <c r="AK458" i="31"/>
  <c r="AJ458" i="31"/>
  <c r="AK454" i="31"/>
  <c r="AJ454" i="31"/>
  <c r="AK450" i="31"/>
  <c r="AJ450" i="31"/>
  <c r="AK446" i="31"/>
  <c r="AJ446" i="31"/>
  <c r="AK662" i="31"/>
  <c r="AJ662" i="31"/>
  <c r="AK850" i="31"/>
  <c r="AJ850" i="31"/>
  <c r="AK846" i="31"/>
  <c r="AJ846" i="31"/>
  <c r="AK842" i="31"/>
  <c r="AJ842" i="31"/>
  <c r="AK838" i="31"/>
  <c r="AJ838" i="31"/>
  <c r="AK834" i="31"/>
  <c r="AJ834" i="31"/>
  <c r="AK830" i="31"/>
  <c r="AJ830" i="31"/>
  <c r="AK826" i="31"/>
  <c r="AJ826" i="31"/>
  <c r="AK822" i="31"/>
  <c r="AJ822" i="31"/>
  <c r="AK818" i="31"/>
  <c r="AJ818" i="31"/>
  <c r="AK814" i="31"/>
  <c r="AJ814" i="31"/>
  <c r="AK810" i="31"/>
  <c r="AJ810" i="31"/>
  <c r="AK806" i="31"/>
  <c r="AJ806" i="31"/>
  <c r="AK802" i="31"/>
  <c r="AJ802" i="31"/>
  <c r="AK798" i="31"/>
  <c r="AJ798" i="31"/>
  <c r="AK794" i="31"/>
  <c r="AJ794" i="31"/>
  <c r="AK790" i="31"/>
  <c r="AJ790" i="31"/>
  <c r="AK786" i="31"/>
  <c r="AJ786" i="31"/>
  <c r="AK782" i="31"/>
  <c r="AJ782" i="31"/>
  <c r="AK778" i="31"/>
  <c r="AJ778" i="31"/>
  <c r="AK774" i="31"/>
  <c r="AJ774" i="31"/>
  <c r="AK770" i="31"/>
  <c r="AJ770" i="31"/>
  <c r="AK766" i="31"/>
  <c r="AJ766" i="31"/>
  <c r="AK762" i="31"/>
  <c r="AJ762" i="31"/>
  <c r="AK758" i="31"/>
  <c r="AJ758" i="31"/>
  <c r="AK754" i="31"/>
  <c r="AJ754" i="31"/>
  <c r="AK750" i="31"/>
  <c r="AJ750" i="31"/>
  <c r="AK746" i="31"/>
  <c r="AJ746" i="31"/>
  <c r="AK742" i="31"/>
  <c r="AJ742" i="31"/>
  <c r="AK738" i="31"/>
  <c r="AJ738" i="31"/>
  <c r="AK734" i="31"/>
  <c r="AJ734" i="31"/>
  <c r="AK730" i="31"/>
  <c r="AJ730" i="31"/>
  <c r="AK726" i="31"/>
  <c r="AJ726" i="31"/>
  <c r="AK722" i="31"/>
  <c r="AJ722" i="31"/>
  <c r="AK718" i="31"/>
  <c r="AJ718" i="31"/>
  <c r="AK714" i="31"/>
  <c r="AJ714" i="31"/>
  <c r="AK710" i="31"/>
  <c r="AJ710" i="31"/>
  <c r="AK706" i="31"/>
  <c r="AJ706" i="31"/>
  <c r="AK702" i="31"/>
  <c r="AJ702" i="31"/>
  <c r="AK698" i="31"/>
  <c r="AJ698" i="31"/>
  <c r="AK694" i="31"/>
  <c r="AJ694" i="31"/>
  <c r="AK690" i="31"/>
  <c r="AJ690" i="31"/>
  <c r="AK686" i="31"/>
  <c r="AJ686" i="31"/>
  <c r="AK682" i="31"/>
  <c r="AJ682" i="31"/>
  <c r="AK678" i="31"/>
  <c r="AJ678" i="31"/>
  <c r="AK674" i="31"/>
  <c r="AJ674" i="31"/>
  <c r="AK670" i="31"/>
  <c r="AJ670" i="31"/>
  <c r="AK666" i="31"/>
  <c r="AJ666" i="31"/>
  <c r="V880" i="31"/>
  <c r="V876" i="31"/>
  <c r="V872" i="31"/>
  <c r="V868" i="31"/>
  <c r="V864" i="31"/>
  <c r="V860" i="31"/>
  <c r="V856" i="31"/>
  <c r="V852" i="31"/>
  <c r="V848" i="31"/>
  <c r="V844" i="31"/>
  <c r="V840" i="31"/>
  <c r="V836" i="31"/>
  <c r="V832" i="31"/>
  <c r="V828" i="31"/>
  <c r="V824" i="31"/>
  <c r="V820" i="31"/>
  <c r="V816" i="31"/>
  <c r="V812" i="31"/>
  <c r="V808" i="31"/>
  <c r="V804" i="31"/>
  <c r="V800" i="31"/>
  <c r="V796" i="31"/>
  <c r="V792" i="31"/>
  <c r="V788" i="31"/>
  <c r="V784" i="31"/>
  <c r="V780" i="31"/>
  <c r="V776" i="31"/>
  <c r="V772" i="31"/>
  <c r="V768" i="31"/>
  <c r="V764" i="31"/>
  <c r="V760" i="31"/>
  <c r="V756" i="31"/>
  <c r="V752" i="31"/>
  <c r="V748" i="31"/>
  <c r="V744" i="31"/>
  <c r="V740" i="31"/>
  <c r="V736" i="31"/>
  <c r="V732" i="31"/>
  <c r="V728" i="31"/>
  <c r="V724" i="31"/>
  <c r="V720" i="31"/>
  <c r="V716" i="31"/>
  <c r="V712" i="31"/>
  <c r="V708" i="31"/>
  <c r="V704" i="31"/>
  <c r="V700" i="31"/>
  <c r="V696" i="31"/>
  <c r="V692" i="31"/>
  <c r="V688" i="31"/>
  <c r="V684" i="31"/>
  <c r="V680" i="31"/>
  <c r="V676" i="31"/>
  <c r="V672" i="31"/>
  <c r="V668" i="31"/>
  <c r="V664" i="31"/>
  <c r="V660" i="31"/>
  <c r="V656" i="31"/>
  <c r="V652" i="31"/>
  <c r="V648" i="31"/>
  <c r="V644" i="31"/>
  <c r="V640" i="31"/>
  <c r="V636" i="31"/>
  <c r="V632" i="31"/>
  <c r="V628" i="31"/>
  <c r="V624" i="31"/>
  <c r="V620" i="31"/>
  <c r="V616" i="31"/>
  <c r="V612" i="31"/>
  <c r="V608" i="31"/>
  <c r="V604" i="31"/>
  <c r="V600" i="31"/>
  <c r="V596" i="31"/>
  <c r="V592" i="31"/>
  <c r="V588" i="31"/>
  <c r="V584" i="31"/>
  <c r="V580" i="31"/>
  <c r="V576" i="31"/>
  <c r="V572" i="31"/>
  <c r="V568" i="31"/>
  <c r="V564" i="31"/>
  <c r="V560" i="31"/>
  <c r="V556" i="31"/>
  <c r="V552" i="31"/>
  <c r="V548" i="31"/>
  <c r="V544" i="31"/>
  <c r="V540" i="31"/>
  <c r="V536" i="31"/>
  <c r="V532" i="31"/>
  <c r="V528" i="31"/>
  <c r="V524" i="31"/>
  <c r="V520" i="31"/>
  <c r="V516" i="31"/>
  <c r="V512" i="31"/>
  <c r="V508" i="31"/>
  <c r="V504" i="31"/>
  <c r="V500" i="31"/>
  <c r="V496" i="31"/>
  <c r="V491" i="31"/>
  <c r="V487" i="31"/>
  <c r="V483" i="31"/>
  <c r="V479" i="31"/>
  <c r="V475" i="31"/>
  <c r="V471" i="31"/>
  <c r="V467" i="31"/>
  <c r="V463" i="31"/>
  <c r="V459" i="31"/>
  <c r="V455" i="31"/>
  <c r="V451" i="31"/>
  <c r="V447" i="31"/>
  <c r="V443" i="31"/>
  <c r="V439" i="31"/>
  <c r="V435" i="31"/>
  <c r="V431" i="31"/>
  <c r="V427" i="31"/>
  <c r="V423" i="31"/>
  <c r="V419" i="31"/>
  <c r="V415" i="31"/>
  <c r="V411" i="31"/>
  <c r="V407" i="31"/>
  <c r="V403" i="31"/>
  <c r="V399" i="31"/>
  <c r="V395" i="31"/>
  <c r="V391" i="31"/>
  <c r="V387" i="31"/>
  <c r="V383" i="31"/>
  <c r="V379" i="31"/>
  <c r="V375" i="31"/>
  <c r="V371" i="31"/>
  <c r="V367" i="31"/>
  <c r="V363" i="31"/>
  <c r="V359" i="31"/>
  <c r="V355" i="31"/>
  <c r="V351" i="31"/>
  <c r="V347" i="31"/>
  <c r="V343" i="31"/>
  <c r="V339" i="31"/>
  <c r="V335" i="31"/>
  <c r="V331" i="31"/>
  <c r="V327" i="31"/>
  <c r="V323" i="31"/>
  <c r="V319" i="31"/>
  <c r="V315" i="31"/>
  <c r="V311" i="31"/>
  <c r="V307" i="31"/>
  <c r="V303" i="31"/>
  <c r="V299" i="31"/>
  <c r="V295" i="31"/>
  <c r="V291" i="31"/>
  <c r="V287" i="31"/>
  <c r="V283" i="31"/>
  <c r="V279" i="31"/>
  <c r="V275" i="31"/>
  <c r="V271" i="31"/>
  <c r="V267" i="31"/>
  <c r="V263" i="31"/>
  <c r="V259" i="31"/>
  <c r="V255" i="31"/>
  <c r="V251" i="31"/>
  <c r="V247" i="31"/>
  <c r="V243" i="31"/>
  <c r="V239" i="31"/>
  <c r="V235" i="31"/>
  <c r="V231" i="31"/>
  <c r="V227" i="31"/>
  <c r="V223" i="31"/>
  <c r="V219" i="31"/>
  <c r="V215" i="31"/>
  <c r="V211" i="31"/>
  <c r="V207" i="31"/>
  <c r="V203" i="31"/>
  <c r="V199" i="31"/>
  <c r="V195" i="31"/>
  <c r="V191" i="31"/>
  <c r="V187" i="31"/>
  <c r="V183" i="31"/>
  <c r="V179" i="31"/>
  <c r="V175" i="31"/>
  <c r="V171" i="31"/>
  <c r="V167" i="31"/>
  <c r="V163" i="31"/>
  <c r="V159" i="31"/>
  <c r="V155" i="31"/>
  <c r="V151" i="31"/>
  <c r="V147" i="31"/>
  <c r="V143" i="31"/>
  <c r="V139" i="31"/>
  <c r="V135" i="31"/>
  <c r="V131" i="31"/>
  <c r="V127" i="31"/>
  <c r="V123" i="31"/>
  <c r="V119" i="31"/>
  <c r="V115" i="31"/>
  <c r="V111" i="31"/>
  <c r="V107" i="31"/>
  <c r="V103" i="31"/>
  <c r="V99" i="31"/>
  <c r="V95" i="31"/>
  <c r="V91" i="31"/>
  <c r="V87" i="31"/>
  <c r="V83" i="31"/>
  <c r="V79" i="31"/>
  <c r="V75" i="31"/>
  <c r="V71" i="31"/>
  <c r="V67" i="31"/>
  <c r="V63" i="31"/>
  <c r="V59" i="31"/>
  <c r="V55" i="31"/>
  <c r="V51" i="31"/>
  <c r="V47" i="31"/>
  <c r="V43" i="31"/>
  <c r="V39" i="31"/>
  <c r="V35" i="31"/>
  <c r="V31" i="31"/>
  <c r="V27" i="31"/>
  <c r="V23" i="31"/>
  <c r="V19" i="31"/>
  <c r="V15" i="31"/>
  <c r="V11" i="31"/>
  <c r="V7" i="31"/>
  <c r="V3" i="31"/>
  <c r="V809" i="31"/>
  <c r="V793" i="31"/>
  <c r="V777" i="31"/>
  <c r="V761" i="31"/>
  <c r="V745" i="31"/>
  <c r="V729" i="31"/>
  <c r="V713" i="31"/>
  <c r="V697" i="31"/>
  <c r="V681" i="31"/>
  <c r="V665" i="31"/>
  <c r="V654" i="31"/>
  <c r="V649" i="31"/>
  <c r="V638" i="31"/>
  <c r="V633" i="31"/>
  <c r="V622" i="31"/>
  <c r="V617" i="31"/>
  <c r="V606" i="31"/>
  <c r="V601" i="31"/>
  <c r="V590" i="31"/>
  <c r="V585" i="31"/>
  <c r="V574" i="31"/>
  <c r="V569" i="31"/>
  <c r="V558" i="31"/>
  <c r="V553" i="31"/>
  <c r="V542" i="31"/>
  <c r="V537" i="31"/>
  <c r="V526" i="31"/>
  <c r="V521" i="31"/>
  <c r="V510" i="31"/>
  <c r="V505" i="31"/>
  <c r="V494" i="31"/>
  <c r="V488" i="31"/>
  <c r="V477" i="31"/>
  <c r="V472" i="31"/>
  <c r="V461" i="31"/>
  <c r="V456" i="31"/>
  <c r="V445" i="31"/>
  <c r="V440" i="31"/>
  <c r="V429" i="31"/>
  <c r="V424" i="31"/>
  <c r="V413" i="31"/>
  <c r="V408" i="31"/>
  <c r="V397" i="31"/>
  <c r="V392" i="31"/>
  <c r="V381" i="31"/>
  <c r="V376" i="31"/>
  <c r="V365" i="31"/>
  <c r="V360" i="31"/>
  <c r="V349" i="31"/>
  <c r="V344" i="31"/>
  <c r="V333" i="31"/>
  <c r="V328" i="31"/>
  <c r="V317" i="31"/>
  <c r="V312" i="31"/>
  <c r="V301" i="31"/>
  <c r="V296" i="31"/>
  <c r="V285" i="31"/>
  <c r="V280" i="31"/>
  <c r="V269" i="31"/>
  <c r="V264" i="31"/>
  <c r="V253" i="31"/>
  <c r="V248" i="31"/>
  <c r="V237" i="31"/>
  <c r="V232" i="31"/>
  <c r="V221" i="31"/>
  <c r="V216" i="31"/>
  <c r="V205" i="31"/>
  <c r="V200" i="31"/>
  <c r="V189" i="31"/>
  <c r="V184" i="31"/>
  <c r="V173" i="31"/>
  <c r="V168" i="31"/>
  <c r="V157" i="31"/>
  <c r="V152" i="31"/>
  <c r="V141" i="31"/>
  <c r="V136" i="31"/>
  <c r="V125" i="31"/>
  <c r="V120" i="31"/>
  <c r="V109" i="31"/>
  <c r="V104" i="31"/>
  <c r="V93" i="31"/>
  <c r="V88" i="31"/>
  <c r="V77" i="31"/>
  <c r="V72" i="31"/>
  <c r="V61" i="31"/>
  <c r="V56" i="31"/>
  <c r="V45" i="31"/>
  <c r="V40" i="31"/>
  <c r="V29" i="31"/>
  <c r="V24" i="31"/>
  <c r="V13" i="31"/>
  <c r="V8" i="31"/>
  <c r="AK185" i="31"/>
  <c r="AJ185" i="31"/>
  <c r="AK173" i="31"/>
  <c r="AJ173" i="31"/>
  <c r="AK161" i="31"/>
  <c r="AJ161" i="31"/>
  <c r="AK145" i="31"/>
  <c r="AJ145" i="31"/>
  <c r="AK129" i="31"/>
  <c r="AJ129" i="31"/>
  <c r="AK117" i="31"/>
  <c r="AJ117" i="31"/>
  <c r="AK97" i="31"/>
  <c r="AJ97" i="31"/>
  <c r="AK85" i="31"/>
  <c r="AJ85" i="31"/>
  <c r="AK65" i="31"/>
  <c r="AJ65" i="31"/>
  <c r="AK53" i="31"/>
  <c r="AJ53" i="31"/>
  <c r="AK41" i="31"/>
  <c r="AJ41" i="31"/>
  <c r="AK21" i="31"/>
  <c r="AJ21" i="31"/>
  <c r="AK9" i="31"/>
  <c r="AJ9" i="31"/>
  <c r="AK403" i="31"/>
  <c r="AJ403" i="31"/>
  <c r="AK387" i="31"/>
  <c r="AJ387" i="31"/>
  <c r="AK371" i="31"/>
  <c r="AJ371" i="31"/>
  <c r="AK359" i="31"/>
  <c r="AJ359" i="31"/>
  <c r="AK347" i="31"/>
  <c r="AJ347" i="31"/>
  <c r="AK335" i="31"/>
  <c r="AJ335" i="31"/>
  <c r="AK323" i="31"/>
  <c r="AJ323" i="31"/>
  <c r="AK311" i="31"/>
  <c r="AJ311" i="31"/>
  <c r="AK299" i="31"/>
  <c r="AJ299" i="31"/>
  <c r="AK287" i="31"/>
  <c r="AJ287" i="31"/>
  <c r="AK275" i="31"/>
  <c r="AJ275" i="31"/>
  <c r="AK263" i="31"/>
  <c r="AJ263" i="31"/>
  <c r="AK251" i="31"/>
  <c r="AJ251" i="31"/>
  <c r="AK239" i="31"/>
  <c r="AJ239" i="31"/>
  <c r="AJ227" i="31"/>
  <c r="AK227" i="31"/>
  <c r="AK621" i="31"/>
  <c r="AJ621" i="31"/>
  <c r="AK609" i="31"/>
  <c r="AJ609" i="31"/>
  <c r="AK597" i="31"/>
  <c r="AJ597" i="31"/>
  <c r="AK585" i="31"/>
  <c r="AJ585" i="31"/>
  <c r="AK573" i="31"/>
  <c r="AJ573" i="31"/>
  <c r="AK557" i="31"/>
  <c r="AJ557" i="31"/>
  <c r="AK541" i="31"/>
  <c r="AJ541" i="31"/>
  <c r="AK525" i="31"/>
  <c r="AJ525" i="31"/>
  <c r="AK509" i="31"/>
  <c r="AJ509" i="31"/>
  <c r="AK489" i="31"/>
  <c r="AJ489" i="31"/>
  <c r="AK477" i="31"/>
  <c r="AJ477" i="31"/>
  <c r="AK465" i="31"/>
  <c r="AJ465" i="31"/>
  <c r="AK453" i="31"/>
  <c r="AJ453" i="31"/>
  <c r="AK445" i="31"/>
  <c r="AJ445" i="31"/>
  <c r="AK853" i="31"/>
  <c r="AJ853" i="31"/>
  <c r="AK845" i="31"/>
  <c r="AJ845" i="31"/>
  <c r="AK837" i="31"/>
  <c r="AJ837" i="31"/>
  <c r="AK833" i="31"/>
  <c r="AJ833" i="31"/>
  <c r="AK825" i="31"/>
  <c r="AJ825" i="31"/>
  <c r="AK817" i="31"/>
  <c r="AJ817" i="31"/>
  <c r="AK809" i="31"/>
  <c r="AJ809" i="31"/>
  <c r="AK805" i="31"/>
  <c r="AJ805" i="31"/>
  <c r="AK797" i="31"/>
  <c r="AJ797" i="31"/>
  <c r="AK789" i="31"/>
  <c r="AJ789" i="31"/>
  <c r="AK785" i="31"/>
  <c r="AJ785" i="31"/>
  <c r="AK777" i="31"/>
  <c r="AJ777" i="31"/>
  <c r="AK769" i="31"/>
  <c r="AJ769" i="31"/>
  <c r="AK765" i="31"/>
  <c r="AJ765" i="31"/>
  <c r="AK753" i="31"/>
  <c r="AJ753" i="31"/>
  <c r="AK749" i="31"/>
  <c r="AJ749" i="31"/>
  <c r="AK745" i="31"/>
  <c r="AJ745" i="31"/>
  <c r="AK741" i="31"/>
  <c r="AJ741" i="31"/>
  <c r="AK737" i="31"/>
  <c r="AJ737" i="31"/>
  <c r="AK733" i="31"/>
  <c r="AJ733" i="31"/>
  <c r="AK729" i="31"/>
  <c r="AJ729" i="31"/>
  <c r="AK725" i="31"/>
  <c r="AJ725" i="31"/>
  <c r="AK721" i="31"/>
  <c r="AJ721" i="31"/>
  <c r="AK717" i="31"/>
  <c r="AJ717" i="31"/>
  <c r="AK713" i="31"/>
  <c r="AJ713" i="31"/>
  <c r="AK709" i="31"/>
  <c r="AJ709" i="31"/>
  <c r="AK705" i="31"/>
  <c r="AJ705" i="31"/>
  <c r="AK701" i="31"/>
  <c r="AJ701" i="31"/>
  <c r="AK697" i="31"/>
  <c r="AJ697" i="31"/>
  <c r="AK689" i="31"/>
  <c r="AJ689" i="31"/>
  <c r="AK685" i="31"/>
  <c r="AJ685" i="31"/>
  <c r="AK681" i="31"/>
  <c r="AJ681" i="31"/>
  <c r="AK677" i="31"/>
  <c r="AJ677" i="31"/>
  <c r="AK673" i="31"/>
  <c r="AJ673" i="31"/>
  <c r="AK669" i="31"/>
  <c r="AJ669" i="31"/>
  <c r="AK665" i="31"/>
  <c r="AJ665" i="31"/>
  <c r="V879" i="31"/>
  <c r="V871" i="31"/>
  <c r="V867" i="31"/>
  <c r="V863" i="31"/>
  <c r="V859" i="31"/>
  <c r="V855" i="31"/>
  <c r="V851" i="31"/>
  <c r="V847" i="31"/>
  <c r="V843" i="31"/>
  <c r="V839" i="31"/>
  <c r="V835" i="31"/>
  <c r="V831" i="31"/>
  <c r="V827" i="31"/>
  <c r="V823" i="31"/>
  <c r="V819" i="31"/>
  <c r="V659" i="31"/>
  <c r="V655" i="31"/>
  <c r="V651" i="31"/>
  <c r="V647" i="31"/>
  <c r="V643" i="31"/>
  <c r="V639" i="31"/>
  <c r="V635" i="31"/>
  <c r="V631" i="31"/>
  <c r="V627" i="31"/>
  <c r="V623" i="31"/>
  <c r="V619" i="31"/>
  <c r="V615" i="31"/>
  <c r="V611" i="31"/>
  <c r="V607" i="31"/>
  <c r="V603" i="31"/>
  <c r="V599" i="31"/>
  <c r="V595" i="31"/>
  <c r="V591" i="31"/>
  <c r="V587" i="31"/>
  <c r="V583" i="31"/>
  <c r="V579" i="31"/>
  <c r="V575" i="31"/>
  <c r="V571" i="31"/>
  <c r="V567" i="31"/>
  <c r="V563" i="31"/>
  <c r="V559" i="31"/>
  <c r="V555" i="31"/>
  <c r="V551" i="31"/>
  <c r="V547" i="31"/>
  <c r="V543" i="31"/>
  <c r="V539" i="31"/>
  <c r="V535" i="31"/>
  <c r="V531" i="31"/>
  <c r="V527" i="31"/>
  <c r="V523" i="31"/>
  <c r="V519" i="31"/>
  <c r="V515" i="31"/>
  <c r="V511" i="31"/>
  <c r="V507" i="31"/>
  <c r="V503" i="31"/>
  <c r="V499" i="31"/>
  <c r="V495" i="31"/>
  <c r="V490" i="31"/>
  <c r="V486" i="31"/>
  <c r="V482" i="31"/>
  <c r="V478" i="31"/>
  <c r="V474" i="31"/>
  <c r="V470" i="31"/>
  <c r="V466" i="31"/>
  <c r="V462" i="31"/>
  <c r="V458" i="31"/>
  <c r="V454" i="31"/>
  <c r="V450" i="31"/>
  <c r="V446" i="31"/>
  <c r="V442" i="31"/>
  <c r="V438" i="31"/>
  <c r="V434" i="31"/>
  <c r="V430" i="31"/>
  <c r="V426" i="31"/>
  <c r="V422" i="31"/>
  <c r="V418" i="31"/>
  <c r="V414" i="31"/>
  <c r="V410" i="31"/>
  <c r="V406" i="31"/>
  <c r="V402" i="31"/>
  <c r="V398" i="31"/>
  <c r="V394" i="31"/>
  <c r="V390" i="31"/>
  <c r="V386" i="31"/>
  <c r="V382" i="31"/>
  <c r="V378" i="31"/>
  <c r="V374" i="31"/>
  <c r="V370" i="31"/>
  <c r="V366" i="31"/>
  <c r="V362" i="31"/>
  <c r="V358" i="31"/>
  <c r="V354" i="31"/>
  <c r="V350" i="31"/>
  <c r="V346" i="31"/>
  <c r="V342" i="31"/>
  <c r="V338" i="31"/>
  <c r="V334" i="31"/>
  <c r="V330" i="31"/>
  <c r="V326" i="31"/>
  <c r="V322" i="31"/>
  <c r="V318" i="31"/>
  <c r="V314" i="31"/>
  <c r="V310" i="31"/>
  <c r="V306" i="31"/>
  <c r="V302" i="31"/>
  <c r="V298" i="31"/>
  <c r="V294" i="31"/>
  <c r="V290" i="31"/>
  <c r="V286" i="31"/>
  <c r="V282" i="31"/>
  <c r="V278" i="31"/>
  <c r="V274" i="31"/>
  <c r="V270" i="31"/>
  <c r="V266" i="31"/>
  <c r="V262" i="31"/>
  <c r="V258" i="31"/>
  <c r="V254" i="31"/>
  <c r="V250" i="31"/>
  <c r="V246" i="31"/>
  <c r="V242" i="31"/>
  <c r="V238" i="31"/>
  <c r="V234" i="31"/>
  <c r="V230" i="31"/>
  <c r="V226" i="31"/>
  <c r="V222" i="31"/>
  <c r="V218" i="31"/>
  <c r="V214" i="31"/>
  <c r="V210" i="31"/>
  <c r="V206" i="31"/>
  <c r="V202" i="31"/>
  <c r="V198" i="31"/>
  <c r="V194" i="31"/>
  <c r="V190" i="31"/>
  <c r="V186" i="31"/>
  <c r="V182" i="31"/>
  <c r="V178" i="31"/>
  <c r="V174" i="31"/>
  <c r="V170" i="31"/>
  <c r="V166" i="31"/>
  <c r="V162" i="31"/>
  <c r="V158" i="31"/>
  <c r="V154" i="31"/>
  <c r="V150" i="31"/>
  <c r="V146" i="31"/>
  <c r="V142" i="31"/>
  <c r="V138" i="31"/>
  <c r="V134" i="31"/>
  <c r="V130" i="31"/>
  <c r="V126" i="31"/>
  <c r="V122" i="31"/>
  <c r="V118" i="31"/>
  <c r="V114" i="31"/>
  <c r="V110" i="31"/>
  <c r="V106" i="31"/>
  <c r="V102" i="31"/>
  <c r="V98" i="31"/>
  <c r="V94" i="31"/>
  <c r="V90" i="31"/>
  <c r="V86" i="31"/>
  <c r="V82" i="31"/>
  <c r="V78" i="31"/>
  <c r="V74" i="31"/>
  <c r="V70" i="31"/>
  <c r="V66" i="31"/>
  <c r="V62" i="31"/>
  <c r="V58" i="31"/>
  <c r="V54" i="31"/>
  <c r="V50" i="31"/>
  <c r="V46" i="31"/>
  <c r="V42" i="31"/>
  <c r="V38" i="31"/>
  <c r="V34" i="31"/>
  <c r="V30" i="31"/>
  <c r="V26" i="31"/>
  <c r="V22" i="31"/>
  <c r="V18" i="31"/>
  <c r="V14" i="31"/>
  <c r="V10" i="31"/>
  <c r="V6" i="31"/>
  <c r="V878" i="31"/>
  <c r="V874" i="31"/>
  <c r="V870" i="31"/>
  <c r="V866" i="31"/>
  <c r="V862" i="31"/>
  <c r="V858" i="31"/>
  <c r="V854" i="31"/>
  <c r="V850" i="31"/>
  <c r="V846" i="31"/>
  <c r="V842" i="31"/>
  <c r="V838" i="31"/>
  <c r="V834" i="31"/>
  <c r="V830" i="31"/>
  <c r="V826" i="31"/>
  <c r="V822" i="31"/>
  <c r="V818" i="31"/>
  <c r="V813" i="31"/>
  <c r="V802" i="31"/>
  <c r="V797" i="31"/>
  <c r="V786" i="31"/>
  <c r="V781" i="31"/>
  <c r="V770" i="31"/>
  <c r="V765" i="31"/>
  <c r="V754" i="31"/>
  <c r="V749" i="31"/>
  <c r="V738" i="31"/>
  <c r="V733" i="31"/>
  <c r="V722" i="31"/>
  <c r="V717" i="31"/>
  <c r="V706" i="31"/>
  <c r="V701" i="31"/>
  <c r="V690" i="31"/>
  <c r="V685" i="31"/>
  <c r="V674" i="31"/>
  <c r="V669" i="31"/>
  <c r="V658" i="31"/>
  <c r="V653" i="31"/>
  <c r="V642" i="31"/>
  <c r="V637" i="31"/>
  <c r="V626" i="31"/>
  <c r="V621" i="31"/>
  <c r="V610" i="31"/>
  <c r="V605" i="31"/>
  <c r="V594" i="31"/>
  <c r="V589" i="31"/>
  <c r="V578" i="31"/>
  <c r="V573" i="31"/>
  <c r="V562" i="31"/>
  <c r="V557" i="31"/>
  <c r="V546" i="31"/>
  <c r="V541" i="31"/>
  <c r="V530" i="31"/>
  <c r="V525" i="31"/>
  <c r="V514" i="31"/>
  <c r="V509" i="31"/>
  <c r="V498" i="31"/>
  <c r="V492" i="31"/>
  <c r="V481" i="31"/>
  <c r="V476" i="31"/>
  <c r="V465" i="31"/>
  <c r="V460" i="31"/>
  <c r="V449" i="31"/>
  <c r="V444" i="31"/>
  <c r="V433" i="31"/>
  <c r="V428" i="31"/>
  <c r="V417" i="31"/>
  <c r="V412" i="31"/>
  <c r="V401" i="31"/>
  <c r="V396" i="31"/>
  <c r="V385" i="31"/>
  <c r="V380" i="31"/>
  <c r="V369" i="31"/>
  <c r="V364" i="31"/>
  <c r="V353" i="31"/>
  <c r="V348" i="31"/>
  <c r="V337" i="31"/>
  <c r="V332" i="31"/>
  <c r="V321" i="31"/>
  <c r="V316" i="31"/>
  <c r="V305" i="31"/>
  <c r="V300" i="31"/>
  <c r="V289" i="31"/>
  <c r="V284" i="31"/>
  <c r="V273" i="31"/>
  <c r="V268" i="31"/>
  <c r="V257" i="31"/>
  <c r="V252" i="31"/>
  <c r="V241" i="31"/>
  <c r="V236" i="31"/>
  <c r="V225" i="31"/>
  <c r="V220" i="31"/>
  <c r="V209" i="31"/>
  <c r="V204" i="31"/>
  <c r="V193" i="31"/>
  <c r="V188" i="31"/>
  <c r="V177" i="31"/>
  <c r="V172" i="31"/>
  <c r="V161" i="31"/>
  <c r="V156" i="31"/>
  <c r="V145" i="31"/>
  <c r="V140" i="31"/>
  <c r="V129" i="31"/>
  <c r="V124" i="31"/>
  <c r="V113" i="31"/>
  <c r="V108" i="31"/>
  <c r="V97" i="31"/>
  <c r="V92" i="31"/>
  <c r="V81" i="31"/>
  <c r="V76" i="31"/>
  <c r="V65" i="31"/>
  <c r="V60" i="31"/>
  <c r="V49" i="31"/>
  <c r="V44" i="31"/>
  <c r="V33" i="31"/>
  <c r="V28" i="31"/>
  <c r="V17" i="31"/>
  <c r="V12" i="31"/>
  <c r="AK193" i="31"/>
  <c r="AJ193" i="31"/>
  <c r="AK181" i="31"/>
  <c r="AJ181" i="31"/>
  <c r="AK169" i="31"/>
  <c r="AJ169" i="31"/>
  <c r="AK157" i="31"/>
  <c r="AJ157" i="31"/>
  <c r="AK149" i="31"/>
  <c r="AJ149" i="31"/>
  <c r="AK137" i="31"/>
  <c r="AJ137" i="31"/>
  <c r="AK125" i="31"/>
  <c r="AJ125" i="31"/>
  <c r="AK113" i="31"/>
  <c r="AJ113" i="31"/>
  <c r="AK105" i="31"/>
  <c r="AJ105" i="31"/>
  <c r="AK89" i="31"/>
  <c r="AJ89" i="31"/>
  <c r="AK77" i="31"/>
  <c r="AJ77" i="31"/>
  <c r="AK69" i="31"/>
  <c r="AJ69" i="31"/>
  <c r="AK61" i="31"/>
  <c r="AJ61" i="31"/>
  <c r="AK49" i="31"/>
  <c r="AJ49" i="31"/>
  <c r="AK37" i="31"/>
  <c r="AJ37" i="31"/>
  <c r="AK29" i="31"/>
  <c r="AJ29" i="31"/>
  <c r="AK13" i="31"/>
  <c r="AJ13" i="31"/>
  <c r="AK407" i="31"/>
  <c r="AJ407" i="31"/>
  <c r="AK395" i="31"/>
  <c r="AJ395" i="31"/>
  <c r="AK383" i="31"/>
  <c r="AJ383" i="31"/>
  <c r="AK375" i="31"/>
  <c r="AJ375" i="31"/>
  <c r="AK363" i="31"/>
  <c r="AJ363" i="31"/>
  <c r="AK351" i="31"/>
  <c r="AJ351" i="31"/>
  <c r="AK339" i="31"/>
  <c r="AJ339" i="31"/>
  <c r="AK327" i="31"/>
  <c r="AJ327" i="31"/>
  <c r="AK315" i="31"/>
  <c r="AJ315" i="31"/>
  <c r="AK303" i="31"/>
  <c r="AJ303" i="31"/>
  <c r="AK291" i="31"/>
  <c r="AJ291" i="31"/>
  <c r="AK283" i="31"/>
  <c r="AJ283" i="31"/>
  <c r="AK267" i="31"/>
  <c r="AJ267" i="31"/>
  <c r="AK255" i="31"/>
  <c r="AJ255" i="31"/>
  <c r="AK243" i="31"/>
  <c r="AJ243" i="31"/>
  <c r="AJ231" i="31"/>
  <c r="AK231" i="31"/>
  <c r="AJ223" i="31"/>
  <c r="AK223" i="31"/>
  <c r="AK629" i="31"/>
  <c r="AJ629" i="31"/>
  <c r="AK613" i="31"/>
  <c r="AJ613" i="31"/>
  <c r="AK601" i="31"/>
  <c r="AJ601" i="31"/>
  <c r="AK589" i="31"/>
  <c r="AJ589" i="31"/>
  <c r="AK577" i="31"/>
  <c r="AJ577" i="31"/>
  <c r="AK565" i="31"/>
  <c r="AJ565" i="31"/>
  <c r="AK553" i="31"/>
  <c r="AJ553" i="31"/>
  <c r="AK545" i="31"/>
  <c r="AJ545" i="31"/>
  <c r="AK533" i="31"/>
  <c r="AJ533" i="31"/>
  <c r="AK521" i="31"/>
  <c r="AJ521" i="31"/>
  <c r="AK513" i="31"/>
  <c r="AJ513" i="31"/>
  <c r="AK501" i="31"/>
  <c r="AJ501" i="31"/>
  <c r="AK493" i="31"/>
  <c r="AJ493" i="31"/>
  <c r="AK481" i="31"/>
  <c r="AJ481" i="31"/>
  <c r="AK469" i="31"/>
  <c r="AJ469" i="31"/>
  <c r="AK457" i="31"/>
  <c r="AJ457" i="31"/>
  <c r="AK449" i="31"/>
  <c r="AJ449" i="31"/>
  <c r="AK849" i="31"/>
  <c r="AJ849" i="31"/>
  <c r="AK841" i="31"/>
  <c r="AJ841" i="31"/>
  <c r="AK829" i="31"/>
  <c r="AJ829" i="31"/>
  <c r="AK821" i="31"/>
  <c r="AJ821" i="31"/>
  <c r="AK813" i="31"/>
  <c r="AJ813" i="31"/>
  <c r="AK801" i="31"/>
  <c r="AJ801" i="31"/>
  <c r="AK793" i="31"/>
  <c r="AJ793" i="31"/>
  <c r="AK781" i="31"/>
  <c r="AJ781" i="31"/>
  <c r="AK773" i="31"/>
  <c r="AJ773" i="31"/>
  <c r="AK761" i="31"/>
  <c r="AJ761" i="31"/>
  <c r="AK693" i="31"/>
  <c r="AJ693" i="31"/>
  <c r="V875" i="31"/>
  <c r="AJ2" i="31"/>
  <c r="AK192" i="31"/>
  <c r="AJ192" i="31"/>
  <c r="AK188" i="31"/>
  <c r="AJ188" i="31"/>
  <c r="AK184" i="31"/>
  <c r="AJ184" i="31"/>
  <c r="AJ180" i="31"/>
  <c r="AK180" i="31"/>
  <c r="AK176" i="31"/>
  <c r="AJ176" i="31"/>
  <c r="AK172" i="31"/>
  <c r="AJ172" i="31"/>
  <c r="AK168" i="31"/>
  <c r="AJ168" i="31"/>
  <c r="AJ164" i="31"/>
  <c r="AK164" i="31"/>
  <c r="AK160" i="31"/>
  <c r="AJ160" i="31"/>
  <c r="AK156" i="31"/>
  <c r="AJ156" i="31"/>
  <c r="AK152" i="31"/>
  <c r="AJ152" i="31"/>
  <c r="AJ148" i="31"/>
  <c r="AK148" i="31"/>
  <c r="AK144" i="31"/>
  <c r="AJ144" i="31"/>
  <c r="AK140" i="31"/>
  <c r="AJ140" i="31"/>
  <c r="AK136" i="31"/>
  <c r="AJ136" i="31"/>
  <c r="AJ132" i="31"/>
  <c r="AK132" i="31"/>
  <c r="AK128" i="31"/>
  <c r="AJ128" i="31"/>
  <c r="AK124" i="31"/>
  <c r="AJ124" i="31"/>
  <c r="AK120" i="31"/>
  <c r="AJ120" i="31"/>
  <c r="AJ116" i="31"/>
  <c r="AK116" i="31"/>
  <c r="AK112" i="31"/>
  <c r="AJ112" i="31"/>
  <c r="AK108" i="31"/>
  <c r="AJ108" i="31"/>
  <c r="AK104" i="31"/>
  <c r="AJ104" i="31"/>
  <c r="AJ100" i="31"/>
  <c r="AK100" i="31"/>
  <c r="AK96" i="31"/>
  <c r="AJ96" i="31"/>
  <c r="AK92" i="31"/>
  <c r="AJ92" i="31"/>
  <c r="AK88" i="31"/>
  <c r="AJ88" i="31"/>
  <c r="AJ84" i="31"/>
  <c r="AK84" i="31"/>
  <c r="AK80" i="31"/>
  <c r="AJ80" i="31"/>
  <c r="AK76" i="31"/>
  <c r="AJ76" i="31"/>
  <c r="AK72" i="31"/>
  <c r="AJ72" i="31"/>
  <c r="AJ68" i="31"/>
  <c r="AK68" i="31"/>
  <c r="AK64" i="31"/>
  <c r="AJ64" i="31"/>
  <c r="AK60" i="31"/>
  <c r="AJ60" i="31"/>
  <c r="AK56" i="31"/>
  <c r="AJ56" i="31"/>
  <c r="AJ52" i="31"/>
  <c r="AK52" i="31"/>
  <c r="AK48" i="31"/>
  <c r="AJ48" i="31"/>
  <c r="AK44" i="31"/>
  <c r="AJ44" i="31"/>
  <c r="AK40" i="31"/>
  <c r="AJ40" i="31"/>
  <c r="AJ36" i="31"/>
  <c r="AK36" i="31"/>
  <c r="AK32" i="31"/>
  <c r="AJ32" i="31"/>
  <c r="AK28" i="31"/>
  <c r="AJ28" i="31"/>
  <c r="AK24" i="31"/>
  <c r="AJ24" i="31"/>
  <c r="AJ20" i="31"/>
  <c r="AK20" i="31"/>
  <c r="AK16" i="31"/>
  <c r="AJ16" i="31"/>
  <c r="AK12" i="31"/>
  <c r="AJ12" i="31"/>
  <c r="AK8" i="31"/>
  <c r="AJ8" i="31"/>
  <c r="AJ4" i="31"/>
  <c r="AK4" i="31"/>
  <c r="AK222" i="31"/>
  <c r="AJ222" i="31"/>
  <c r="AK410" i="31"/>
  <c r="AJ410" i="31"/>
  <c r="AK406" i="31"/>
  <c r="AJ406" i="31"/>
  <c r="AK402" i="31"/>
  <c r="AJ402" i="31"/>
  <c r="AK398" i="31"/>
  <c r="AJ398" i="31"/>
  <c r="AK394" i="31"/>
  <c r="AJ394" i="31"/>
  <c r="AK390" i="31"/>
  <c r="AJ390" i="31"/>
  <c r="AK386" i="31"/>
  <c r="AJ386" i="31"/>
  <c r="AK382" i="31"/>
  <c r="AJ382" i="31"/>
  <c r="AK378" i="31"/>
  <c r="AJ378" i="31"/>
  <c r="AK374" i="31"/>
  <c r="AJ374" i="31"/>
  <c r="AK370" i="31"/>
  <c r="AJ370" i="31"/>
  <c r="AK366" i="31"/>
  <c r="AJ366" i="31"/>
  <c r="AK362" i="31"/>
  <c r="AJ362" i="31"/>
  <c r="AK358" i="31"/>
  <c r="AJ358" i="31"/>
  <c r="AK354" i="31"/>
  <c r="AJ354" i="31"/>
  <c r="AK350" i="31"/>
  <c r="AJ350" i="31"/>
  <c r="AK346" i="31"/>
  <c r="AJ346" i="31"/>
  <c r="AK342" i="31"/>
  <c r="AJ342" i="31"/>
  <c r="AK338" i="31"/>
  <c r="AJ338" i="31"/>
  <c r="AK334" i="31"/>
  <c r="AJ334" i="31"/>
  <c r="AK330" i="31"/>
  <c r="AJ330" i="31"/>
  <c r="AK326" i="31"/>
  <c r="AJ326" i="31"/>
  <c r="AK322" i="31"/>
  <c r="AJ322" i="31"/>
  <c r="AK318" i="31"/>
  <c r="AJ318" i="31"/>
  <c r="AK314" i="31"/>
  <c r="AJ314" i="31"/>
  <c r="AK310" i="31"/>
  <c r="AJ310" i="31"/>
  <c r="AK306" i="31"/>
  <c r="AJ306" i="31"/>
  <c r="AK302" i="31"/>
  <c r="AJ302" i="31"/>
  <c r="AK298" i="31"/>
  <c r="AJ298" i="31"/>
  <c r="AK294" i="31"/>
  <c r="AJ294" i="31"/>
  <c r="AK290" i="31"/>
  <c r="AJ290" i="31"/>
  <c r="AK286" i="31"/>
  <c r="AJ286" i="31"/>
  <c r="AK282" i="31"/>
  <c r="AJ282" i="31"/>
  <c r="AK278" i="31"/>
  <c r="AJ278" i="31"/>
  <c r="AK274" i="31"/>
  <c r="AJ274" i="31"/>
  <c r="AK270" i="31"/>
  <c r="AJ270" i="31"/>
  <c r="AK266" i="31"/>
  <c r="AJ266" i="31"/>
  <c r="AK262" i="31"/>
  <c r="AJ262" i="31"/>
  <c r="AK258" i="31"/>
  <c r="AJ258" i="31"/>
  <c r="AK254" i="31"/>
  <c r="AJ254" i="31"/>
  <c r="AK250" i="31"/>
  <c r="AJ250" i="31"/>
  <c r="AK246" i="31"/>
  <c r="AJ246" i="31"/>
  <c r="AK242" i="31"/>
  <c r="AJ242" i="31"/>
  <c r="AK238" i="31"/>
  <c r="AJ238" i="31"/>
  <c r="AK234" i="31"/>
  <c r="AJ234" i="31"/>
  <c r="AK230" i="31"/>
  <c r="AJ230" i="31"/>
  <c r="AK226" i="31"/>
  <c r="AJ226" i="31"/>
  <c r="AK442" i="31"/>
  <c r="AJ442" i="31"/>
  <c r="AK632" i="31"/>
  <c r="AJ632" i="31"/>
  <c r="AJ628" i="31"/>
  <c r="AK628" i="31"/>
  <c r="AK624" i="31"/>
  <c r="AJ624" i="31"/>
  <c r="AJ620" i="31"/>
  <c r="AK620" i="31"/>
  <c r="AK616" i="31"/>
  <c r="AJ616" i="31"/>
  <c r="AJ612" i="31"/>
  <c r="AK612" i="31"/>
  <c r="AK608" i="31"/>
  <c r="AJ608" i="31"/>
  <c r="AJ604" i="31"/>
  <c r="AK604" i="31"/>
  <c r="AK600" i="31"/>
  <c r="AJ600" i="31"/>
  <c r="AJ596" i="31"/>
  <c r="AK596" i="31"/>
  <c r="AK592" i="31"/>
  <c r="AJ592" i="31"/>
  <c r="AJ588" i="31"/>
  <c r="AK588" i="31"/>
  <c r="AK584" i="31"/>
  <c r="AJ584" i="31"/>
  <c r="AJ580" i="31"/>
  <c r="AK580" i="31"/>
  <c r="AK576" i="31"/>
  <c r="AJ576" i="31"/>
  <c r="AJ572" i="31"/>
  <c r="AK572" i="31"/>
  <c r="AK568" i="31"/>
  <c r="AJ568" i="31"/>
  <c r="AJ564" i="31"/>
  <c r="AK564" i="31"/>
  <c r="AK560" i="31"/>
  <c r="AJ560" i="31"/>
  <c r="AJ556" i="31"/>
  <c r="AK556" i="31"/>
  <c r="AK552" i="31"/>
  <c r="AJ552" i="31"/>
  <c r="AJ548" i="31"/>
  <c r="AK548" i="31"/>
  <c r="AK544" i="31"/>
  <c r="AJ544" i="31"/>
  <c r="AJ540" i="31"/>
  <c r="AK540" i="31"/>
  <c r="AK536" i="31"/>
  <c r="AJ536" i="31"/>
  <c r="AJ532" i="31"/>
  <c r="AK532" i="31"/>
  <c r="AK528" i="31"/>
  <c r="AJ528" i="31"/>
  <c r="AJ524" i="31"/>
  <c r="AK524" i="31"/>
  <c r="AK520" i="31"/>
  <c r="AJ520" i="31"/>
  <c r="AJ516" i="31"/>
  <c r="AK516" i="31"/>
  <c r="AK512" i="31"/>
  <c r="AJ512" i="31"/>
  <c r="AJ508" i="31"/>
  <c r="AK508" i="31"/>
  <c r="AK504" i="31"/>
  <c r="AJ504" i="31"/>
  <c r="AJ500" i="31"/>
  <c r="AK500" i="31"/>
  <c r="AK496" i="31"/>
  <c r="AJ496" i="31"/>
  <c r="AJ492" i="31"/>
  <c r="AK492" i="31"/>
  <c r="AK488" i="31"/>
  <c r="AJ488" i="31"/>
  <c r="AJ484" i="31"/>
  <c r="AK484" i="31"/>
  <c r="AK480" i="31"/>
  <c r="AJ480" i="31"/>
  <c r="AJ476" i="31"/>
  <c r="AK476" i="31"/>
  <c r="AK472" i="31"/>
  <c r="AJ472" i="31"/>
  <c r="AJ468" i="31"/>
  <c r="AK468" i="31"/>
  <c r="AK464" i="31"/>
  <c r="AJ464" i="31"/>
  <c r="AJ460" i="31"/>
  <c r="AK460" i="31"/>
  <c r="AK456" i="31"/>
  <c r="AJ456" i="31"/>
  <c r="AJ452" i="31"/>
  <c r="AK452" i="31"/>
  <c r="AK448" i="31"/>
  <c r="AJ448" i="31"/>
  <c r="AJ444" i="31"/>
  <c r="AK444" i="31"/>
  <c r="AK852" i="31"/>
  <c r="AJ852" i="31"/>
  <c r="AK848" i="31"/>
  <c r="AJ848" i="31"/>
  <c r="AK844" i="31"/>
  <c r="AJ844" i="31"/>
  <c r="AJ840" i="31"/>
  <c r="AK840" i="31"/>
  <c r="AK836" i="31"/>
  <c r="AJ836" i="31"/>
  <c r="AK832" i="31"/>
  <c r="AJ832" i="31"/>
  <c r="AK828" i="31"/>
  <c r="AJ828" i="31"/>
  <c r="AJ824" i="31"/>
  <c r="AK824" i="31"/>
  <c r="AK820" i="31"/>
  <c r="AJ820" i="31"/>
  <c r="AK816" i="31"/>
  <c r="AJ816" i="31"/>
  <c r="AK812" i="31"/>
  <c r="AJ812" i="31"/>
  <c r="AJ808" i="31"/>
  <c r="AK808" i="31"/>
  <c r="AK804" i="31"/>
  <c r="AJ804" i="31"/>
  <c r="AK800" i="31"/>
  <c r="AJ800" i="31"/>
  <c r="AK796" i="31"/>
  <c r="AJ796" i="31"/>
  <c r="AJ792" i="31"/>
  <c r="AK792" i="31"/>
  <c r="AK788" i="31"/>
  <c r="AJ788" i="31"/>
  <c r="AJ784" i="31"/>
  <c r="AK784" i="31"/>
  <c r="AK780" i="31"/>
  <c r="AJ780" i="31"/>
  <c r="AJ776" i="31"/>
  <c r="AK776" i="31"/>
  <c r="AK772" i="31"/>
  <c r="AJ772" i="31"/>
  <c r="AJ768" i="31"/>
  <c r="AK768" i="31"/>
  <c r="AK764" i="31"/>
  <c r="AJ764" i="31"/>
  <c r="AJ760" i="31"/>
  <c r="AK760" i="31"/>
  <c r="AK756" i="31"/>
  <c r="AJ756" i="31"/>
  <c r="AJ752" i="31"/>
  <c r="AK752" i="31"/>
  <c r="AK748" i="31"/>
  <c r="AJ748" i="31"/>
  <c r="AJ744" i="31"/>
  <c r="AK744" i="31"/>
  <c r="AK740" i="31"/>
  <c r="AJ740" i="31"/>
  <c r="AJ736" i="31"/>
  <c r="AK736" i="31"/>
  <c r="AK732" i="31"/>
  <c r="AJ732" i="31"/>
  <c r="AJ728" i="31"/>
  <c r="AK728" i="31"/>
  <c r="AK724" i="31"/>
  <c r="AJ724" i="31"/>
  <c r="AJ720" i="31"/>
  <c r="AK720" i="31"/>
  <c r="AK716" i="31"/>
  <c r="AJ716" i="31"/>
  <c r="AJ712" i="31"/>
  <c r="AK712" i="31"/>
  <c r="AK708" i="31"/>
  <c r="AJ708" i="31"/>
  <c r="AJ704" i="31"/>
  <c r="AK704" i="31"/>
  <c r="AK700" i="31"/>
  <c r="AJ700" i="31"/>
  <c r="AJ696" i="31"/>
  <c r="AK696" i="31"/>
  <c r="AK692" i="31"/>
  <c r="AJ692" i="31"/>
  <c r="AJ688" i="31"/>
  <c r="AK688" i="31"/>
  <c r="AK684" i="31"/>
  <c r="AJ684" i="31"/>
  <c r="AJ680" i="31"/>
  <c r="AK680" i="31"/>
  <c r="AK676" i="31"/>
  <c r="AJ676" i="31"/>
  <c r="AJ672" i="31"/>
  <c r="AK672" i="31"/>
  <c r="AK668" i="31"/>
  <c r="AJ668" i="31"/>
  <c r="AJ664" i="31"/>
  <c r="AK664" i="31"/>
  <c r="V810" i="31"/>
  <c r="V806" i="31"/>
  <c r="V794" i="31"/>
  <c r="V790" i="31"/>
  <c r="V778" i="31"/>
  <c r="V774" i="31"/>
  <c r="V762" i="31"/>
  <c r="V758" i="31"/>
  <c r="V746" i="31"/>
  <c r="V742" i="31"/>
  <c r="V730" i="31"/>
  <c r="V726" i="31"/>
  <c r="V714" i="31"/>
  <c r="V710" i="31"/>
  <c r="V698" i="31"/>
  <c r="V694" i="31"/>
  <c r="V682" i="31"/>
  <c r="V678" i="31"/>
  <c r="V666" i="31"/>
  <c r="V662" i="31"/>
  <c r="V650" i="31"/>
  <c r="V646" i="31"/>
  <c r="V634" i="31"/>
  <c r="V630" i="31"/>
  <c r="V618" i="31"/>
  <c r="V614" i="31"/>
  <c r="V602" i="31"/>
  <c r="V598" i="31"/>
  <c r="V586" i="31"/>
  <c r="V582" i="31"/>
  <c r="V570" i="31"/>
  <c r="V566" i="31"/>
  <c r="V554" i="31"/>
  <c r="V550" i="31"/>
  <c r="V538" i="31"/>
  <c r="V534" i="31"/>
  <c r="V522" i="31"/>
  <c r="V518" i="31"/>
  <c r="V506" i="31"/>
  <c r="V502" i="31"/>
  <c r="V489" i="31"/>
  <c r="V485" i="31"/>
  <c r="V473" i="31"/>
  <c r="V469" i="31"/>
  <c r="V457" i="31"/>
  <c r="V453" i="31"/>
  <c r="V441" i="31"/>
  <c r="V437" i="31"/>
  <c r="V425" i="31"/>
  <c r="V421" i="31"/>
  <c r="V409" i="31"/>
  <c r="V405" i="31"/>
  <c r="V393" i="31"/>
  <c r="V389" i="31"/>
  <c r="V377" i="31"/>
  <c r="V373" i="31"/>
  <c r="V361" i="31"/>
  <c r="V357" i="31"/>
  <c r="V345" i="31"/>
  <c r="V341" i="31"/>
  <c r="V329" i="31"/>
  <c r="V325" i="31"/>
  <c r="V313" i="31"/>
  <c r="V309" i="31"/>
  <c r="V297" i="31"/>
  <c r="V293" i="31"/>
  <c r="V281" i="31"/>
  <c r="V277" i="31"/>
  <c r="V265" i="31"/>
  <c r="V261" i="31"/>
  <c r="V249" i="31"/>
  <c r="V245" i="31"/>
  <c r="V233" i="31"/>
  <c r="V229" i="31"/>
  <c r="V217" i="31"/>
  <c r="V213" i="31"/>
  <c r="V201" i="31"/>
  <c r="V197" i="31"/>
  <c r="V185" i="31"/>
  <c r="V181" i="31"/>
  <c r="V169" i="31"/>
  <c r="V165" i="31"/>
  <c r="V153" i="31"/>
  <c r="V149" i="31"/>
  <c r="V137" i="31"/>
  <c r="V133" i="31"/>
  <c r="V121" i="31"/>
  <c r="V117" i="31"/>
  <c r="V105" i="31"/>
  <c r="V101" i="31"/>
  <c r="V89" i="31"/>
  <c r="V85" i="31"/>
  <c r="V73" i="31"/>
  <c r="V69" i="31"/>
  <c r="V57" i="31"/>
  <c r="V53" i="31"/>
  <c r="V41" i="31"/>
  <c r="V37" i="31"/>
  <c r="V25" i="31"/>
  <c r="V21" i="31"/>
  <c r="V9" i="31"/>
  <c r="V5" i="31"/>
  <c r="V881" i="31"/>
  <c r="V877" i="31"/>
  <c r="V873" i="31"/>
  <c r="V869" i="31"/>
  <c r="V865" i="31"/>
  <c r="V861" i="31"/>
  <c r="V857" i="31"/>
  <c r="V853" i="31"/>
  <c r="V849" i="31"/>
  <c r="V845" i="31"/>
  <c r="V841" i="31"/>
  <c r="V837" i="31"/>
  <c r="V833" i="31"/>
  <c r="V829" i="31"/>
  <c r="V825" i="31"/>
  <c r="V821" i="31"/>
  <c r="V817" i="31"/>
  <c r="V801" i="31"/>
  <c r="V785" i="31"/>
  <c r="V769" i="31"/>
  <c r="V753" i="31"/>
  <c r="V737" i="31"/>
  <c r="V721" i="31"/>
  <c r="V705" i="31"/>
  <c r="V689" i="31"/>
  <c r="V673" i="31"/>
  <c r="V657" i="31"/>
  <c r="V641" i="31"/>
  <c r="V625" i="31"/>
  <c r="V609" i="31"/>
  <c r="V593" i="31"/>
  <c r="V577" i="31"/>
  <c r="V561" i="31"/>
  <c r="V545" i="31"/>
  <c r="V529" i="31"/>
  <c r="V513" i="31"/>
  <c r="V497" i="31"/>
  <c r="V480" i="31"/>
  <c r="V464" i="31"/>
  <c r="V448" i="31"/>
  <c r="V432" i="31"/>
  <c r="V416" i="31"/>
  <c r="V400" i="31"/>
  <c r="V384" i="31"/>
  <c r="V368" i="31"/>
  <c r="V352" i="31"/>
  <c r="V336" i="31"/>
  <c r="V320" i="31"/>
  <c r="V304" i="31"/>
  <c r="V288" i="31"/>
  <c r="V272" i="31"/>
  <c r="V256" i="31"/>
  <c r="V240" i="31"/>
  <c r="V224" i="31"/>
  <c r="V208" i="31"/>
  <c r="V192" i="31"/>
  <c r="V176" i="31"/>
  <c r="V160" i="31"/>
  <c r="V144" i="31"/>
  <c r="V128" i="31"/>
  <c r="V112" i="31"/>
  <c r="V96" i="31"/>
  <c r="V80" i="31"/>
  <c r="V64" i="31"/>
  <c r="V48" i="31"/>
  <c r="V32" i="31"/>
  <c r="V16" i="31"/>
  <c r="U221" i="31"/>
  <c r="U217" i="31"/>
  <c r="U213" i="31"/>
  <c r="U209" i="31"/>
  <c r="U205" i="31"/>
  <c r="U201" i="31"/>
  <c r="U197" i="31"/>
  <c r="U193" i="31"/>
  <c r="U189" i="31"/>
  <c r="U185" i="31"/>
  <c r="U181" i="31"/>
  <c r="U177" i="31"/>
  <c r="U173" i="31"/>
  <c r="U169" i="31"/>
  <c r="U165" i="31"/>
  <c r="U161" i="31"/>
  <c r="U157" i="31"/>
  <c r="U153" i="31"/>
  <c r="U149" i="31"/>
  <c r="U145" i="31"/>
  <c r="U141" i="31"/>
  <c r="U137" i="31"/>
  <c r="U133" i="31"/>
  <c r="U129" i="31"/>
  <c r="U125" i="31"/>
  <c r="U121" i="31"/>
  <c r="U117" i="31"/>
  <c r="U113" i="31"/>
  <c r="U109" i="31"/>
  <c r="U105" i="31"/>
  <c r="U101" i="31"/>
  <c r="U97" i="31"/>
  <c r="U93" i="31"/>
  <c r="U89" i="31"/>
  <c r="U85" i="31"/>
  <c r="U81" i="31"/>
  <c r="U77" i="31"/>
  <c r="U73" i="31"/>
  <c r="U69" i="31"/>
  <c r="U65" i="31"/>
  <c r="U61" i="31"/>
  <c r="U57" i="31"/>
  <c r="U53" i="31"/>
  <c r="U49" i="31"/>
  <c r="U45" i="31"/>
  <c r="U41" i="31"/>
  <c r="U37" i="31"/>
  <c r="U33" i="31"/>
  <c r="U29" i="31"/>
  <c r="U25" i="31"/>
  <c r="U21" i="31"/>
  <c r="U17" i="31"/>
  <c r="U13" i="31"/>
  <c r="U9" i="31"/>
  <c r="U5" i="31"/>
  <c r="AK189" i="31"/>
  <c r="AJ189" i="31"/>
  <c r="AK177" i="31"/>
  <c r="AJ177" i="31"/>
  <c r="AK165" i="31"/>
  <c r="AJ165" i="31"/>
  <c r="AK153" i="31"/>
  <c r="AJ153" i="31"/>
  <c r="AK141" i="31"/>
  <c r="AJ141" i="31"/>
  <c r="AK133" i="31"/>
  <c r="AJ133" i="31"/>
  <c r="AK121" i="31"/>
  <c r="AJ121" i="31"/>
  <c r="AK109" i="31"/>
  <c r="AJ109" i="31"/>
  <c r="AK101" i="31"/>
  <c r="AJ101" i="31"/>
  <c r="AK93" i="31"/>
  <c r="AJ93" i="31"/>
  <c r="AK81" i="31"/>
  <c r="AJ81" i="31"/>
  <c r="AK73" i="31"/>
  <c r="AJ73" i="31"/>
  <c r="AK57" i="31"/>
  <c r="AJ57" i="31"/>
  <c r="AK45" i="31"/>
  <c r="AJ45" i="31"/>
  <c r="AK33" i="31"/>
  <c r="AJ33" i="31"/>
  <c r="AK25" i="31"/>
  <c r="AJ25" i="31"/>
  <c r="AK17" i="31"/>
  <c r="AJ17" i="31"/>
  <c r="AK5" i="31"/>
  <c r="AJ5" i="31"/>
  <c r="AK411" i="31"/>
  <c r="AJ411" i="31"/>
  <c r="AK399" i="31"/>
  <c r="AJ399" i="31"/>
  <c r="AK391" i="31"/>
  <c r="AJ391" i="31"/>
  <c r="AK379" i="31"/>
  <c r="AJ379" i="31"/>
  <c r="AK367" i="31"/>
  <c r="AJ367" i="31"/>
  <c r="AK355" i="31"/>
  <c r="AJ355" i="31"/>
  <c r="AK343" i="31"/>
  <c r="AJ343" i="31"/>
  <c r="AK331" i="31"/>
  <c r="AJ331" i="31"/>
  <c r="AK319" i="31"/>
  <c r="AJ319" i="31"/>
  <c r="AK307" i="31"/>
  <c r="AJ307" i="31"/>
  <c r="AK295" i="31"/>
  <c r="AJ295" i="31"/>
  <c r="AK279" i="31"/>
  <c r="AJ279" i="31"/>
  <c r="AK271" i="31"/>
  <c r="AJ271" i="31"/>
  <c r="AK259" i="31"/>
  <c r="AJ259" i="31"/>
  <c r="AK247" i="31"/>
  <c r="AJ247" i="31"/>
  <c r="AJ235" i="31"/>
  <c r="AK235" i="31"/>
  <c r="AK633" i="31"/>
  <c r="AJ633" i="31"/>
  <c r="AK625" i="31"/>
  <c r="AJ625" i="31"/>
  <c r="AK617" i="31"/>
  <c r="AJ617" i="31"/>
  <c r="AK605" i="31"/>
  <c r="AJ605" i="31"/>
  <c r="AK593" i="31"/>
  <c r="AJ593" i="31"/>
  <c r="AK581" i="31"/>
  <c r="AJ581" i="31"/>
  <c r="AK569" i="31"/>
  <c r="AJ569" i="31"/>
  <c r="AK561" i="31"/>
  <c r="AJ561" i="31"/>
  <c r="AK549" i="31"/>
  <c r="AJ549" i="31"/>
  <c r="AK537" i="31"/>
  <c r="AJ537" i="31"/>
  <c r="AK529" i="31"/>
  <c r="AJ529" i="31"/>
  <c r="AK517" i="31"/>
  <c r="AJ517" i="31"/>
  <c r="AK505" i="31"/>
  <c r="AJ505" i="31"/>
  <c r="AK497" i="31"/>
  <c r="AJ497" i="31"/>
  <c r="AK485" i="31"/>
  <c r="AJ485" i="31"/>
  <c r="AK473" i="31"/>
  <c r="AJ473" i="31"/>
  <c r="AK461" i="31"/>
  <c r="AJ461" i="31"/>
  <c r="AK757" i="31"/>
  <c r="AJ757" i="31"/>
  <c r="AJ191" i="31"/>
  <c r="AK191" i="31"/>
  <c r="AJ187" i="31"/>
  <c r="AK187" i="31"/>
  <c r="AJ183" i="31"/>
  <c r="AK183" i="31"/>
  <c r="AJ179" i="31"/>
  <c r="AK179" i="31"/>
  <c r="AJ175" i="31"/>
  <c r="AK175" i="31"/>
  <c r="AJ171" i="31"/>
  <c r="AK171" i="31"/>
  <c r="AJ167" i="31"/>
  <c r="AK167" i="31"/>
  <c r="AJ163" i="31"/>
  <c r="AK163" i="31"/>
  <c r="AJ159" i="31"/>
  <c r="AK159" i="31"/>
  <c r="AJ155" i="31"/>
  <c r="AK155" i="31"/>
  <c r="AJ151" i="31"/>
  <c r="AK151" i="31"/>
  <c r="AJ147" i="31"/>
  <c r="AK147" i="31"/>
  <c r="AJ143" i="31"/>
  <c r="AK143" i="31"/>
  <c r="AJ139" i="31"/>
  <c r="AK139" i="31"/>
  <c r="AJ135" i="31"/>
  <c r="AK135" i="31"/>
  <c r="AJ131" i="31"/>
  <c r="AK131" i="31"/>
  <c r="AJ127" i="31"/>
  <c r="AK127" i="31"/>
  <c r="AJ123" i="31"/>
  <c r="AK123" i="31"/>
  <c r="AJ119" i="31"/>
  <c r="AK119" i="31"/>
  <c r="AJ115" i="31"/>
  <c r="AK115" i="31"/>
  <c r="AJ111" i="31"/>
  <c r="AK111" i="31"/>
  <c r="AJ107" i="31"/>
  <c r="AK107" i="31"/>
  <c r="AJ103" i="31"/>
  <c r="AK103" i="31"/>
  <c r="AJ99" i="31"/>
  <c r="AK99" i="31"/>
  <c r="AJ95" i="31"/>
  <c r="AK95" i="31"/>
  <c r="AJ91" i="31"/>
  <c r="AK91" i="31"/>
  <c r="AJ87" i="31"/>
  <c r="AK87" i="31"/>
  <c r="AJ83" i="31"/>
  <c r="AK83" i="31"/>
  <c r="AJ79" i="31"/>
  <c r="AK79" i="31"/>
  <c r="AJ75" i="31"/>
  <c r="AK75" i="31"/>
  <c r="AJ71" i="31"/>
  <c r="AK71" i="31"/>
  <c r="AJ67" i="31"/>
  <c r="AK67" i="31"/>
  <c r="AJ63" i="31"/>
  <c r="AK63" i="31"/>
  <c r="AJ59" i="31"/>
  <c r="AK59" i="31"/>
  <c r="AJ55" i="31"/>
  <c r="AK55" i="31"/>
  <c r="AJ51" i="31"/>
  <c r="AK51" i="31"/>
  <c r="AJ47" i="31"/>
  <c r="AK47" i="31"/>
  <c r="AJ43" i="31"/>
  <c r="AK43" i="31"/>
  <c r="AJ39" i="31"/>
  <c r="AK39" i="31"/>
  <c r="AJ35" i="31"/>
  <c r="AK35" i="31"/>
  <c r="AJ31" i="31"/>
  <c r="AK31" i="31"/>
  <c r="AJ27" i="31"/>
  <c r="AK27" i="31"/>
  <c r="AJ23" i="31"/>
  <c r="AK23" i="31"/>
  <c r="AJ19" i="31"/>
  <c r="AK19" i="31"/>
  <c r="AJ15" i="31"/>
  <c r="AK15" i="31"/>
  <c r="AJ11" i="31"/>
  <c r="AK11" i="31"/>
  <c r="AJ7" i="31"/>
  <c r="AK7" i="31"/>
  <c r="AJ3" i="31"/>
  <c r="AK3" i="31"/>
  <c r="AK413" i="31"/>
  <c r="AJ413" i="31"/>
  <c r="AK409" i="31"/>
  <c r="AJ409" i="31"/>
  <c r="AK405" i="31"/>
  <c r="AJ405" i="31"/>
  <c r="AK401" i="31"/>
  <c r="AJ401" i="31"/>
  <c r="AK397" i="31"/>
  <c r="AJ397" i="31"/>
  <c r="AK393" i="31"/>
  <c r="AJ393" i="31"/>
  <c r="AK389" i="31"/>
  <c r="AJ389" i="31"/>
  <c r="AK385" i="31"/>
  <c r="AJ385" i="31"/>
  <c r="AK381" i="31"/>
  <c r="AJ381" i="31"/>
  <c r="AK377" i="31"/>
  <c r="AJ377" i="31"/>
  <c r="AK373" i="31"/>
  <c r="AJ373" i="31"/>
  <c r="AK369" i="31"/>
  <c r="AJ369" i="31"/>
  <c r="AK365" i="31"/>
  <c r="AJ365" i="31"/>
  <c r="AK361" i="31"/>
  <c r="AJ361" i="31"/>
  <c r="AK357" i="31"/>
  <c r="AJ357" i="31"/>
  <c r="AK353" i="31"/>
  <c r="AJ353" i="31"/>
  <c r="AK349" i="31"/>
  <c r="AJ349" i="31"/>
  <c r="AK345" i="31"/>
  <c r="AJ345" i="31"/>
  <c r="AK341" i="31"/>
  <c r="AJ341" i="31"/>
  <c r="AK337" i="31"/>
  <c r="AJ337" i="31"/>
  <c r="AK333" i="31"/>
  <c r="AJ333" i="31"/>
  <c r="AK329" i="31"/>
  <c r="AJ329" i="31"/>
  <c r="AK325" i="31"/>
  <c r="AJ325" i="31"/>
  <c r="AK321" i="31"/>
  <c r="AJ321" i="31"/>
  <c r="AK317" i="31"/>
  <c r="AJ317" i="31"/>
  <c r="AK313" i="31"/>
  <c r="AJ313" i="31"/>
  <c r="AK309" i="31"/>
  <c r="AJ309" i="31"/>
  <c r="AK305" i="31"/>
  <c r="AJ305" i="31"/>
  <c r="AK301" i="31"/>
  <c r="AJ301" i="31"/>
  <c r="AK297" i="31"/>
  <c r="AJ297" i="31"/>
  <c r="AK293" i="31"/>
  <c r="AJ293" i="31"/>
  <c r="AK289" i="31"/>
  <c r="AJ289" i="31"/>
  <c r="AK285" i="31"/>
  <c r="AJ285" i="31"/>
  <c r="AK281" i="31"/>
  <c r="AJ281" i="31"/>
  <c r="AK277" i="31"/>
  <c r="AJ277" i="31"/>
  <c r="AK273" i="31"/>
  <c r="AJ273" i="31"/>
  <c r="AK269" i="31"/>
  <c r="AJ269" i="31"/>
  <c r="AK265" i="31"/>
  <c r="AJ265" i="31"/>
  <c r="AK261" i="31"/>
  <c r="AJ261" i="31"/>
  <c r="AK257" i="31"/>
  <c r="AJ257" i="31"/>
  <c r="AK253" i="31"/>
  <c r="AJ253" i="31"/>
  <c r="AK249" i="31"/>
  <c r="AJ249" i="31"/>
  <c r="AK245" i="31"/>
  <c r="AJ245" i="31"/>
  <c r="AK241" i="31"/>
  <c r="AJ241" i="31"/>
  <c r="AK237" i="31"/>
  <c r="AJ237" i="31"/>
  <c r="AK233" i="31"/>
  <c r="AJ233" i="31"/>
  <c r="AK229" i="31"/>
  <c r="AJ229" i="31"/>
  <c r="AK225" i="31"/>
  <c r="AJ225" i="31"/>
  <c r="AK631" i="31"/>
  <c r="AJ631" i="31"/>
  <c r="AK627" i="31"/>
  <c r="AJ627" i="31"/>
  <c r="AK623" i="31"/>
  <c r="AJ623" i="31"/>
  <c r="AK619" i="31"/>
  <c r="AJ619" i="31"/>
  <c r="AK615" i="31"/>
  <c r="AJ615" i="31"/>
  <c r="AK611" i="31"/>
  <c r="AJ611" i="31"/>
  <c r="AK607" i="31"/>
  <c r="AJ607" i="31"/>
  <c r="AK603" i="31"/>
  <c r="AJ603" i="31"/>
  <c r="AK599" i="31"/>
  <c r="AJ599" i="31"/>
  <c r="AK595" i="31"/>
  <c r="AJ595" i="31"/>
  <c r="AK591" i="31"/>
  <c r="AJ591" i="31"/>
  <c r="AK587" i="31"/>
  <c r="AJ587" i="31"/>
  <c r="AK583" i="31"/>
  <c r="AJ583" i="31"/>
  <c r="AK579" i="31"/>
  <c r="AJ579" i="31"/>
  <c r="AK575" i="31"/>
  <c r="AJ575" i="31"/>
  <c r="AK571" i="31"/>
  <c r="AJ571" i="31"/>
  <c r="AK567" i="31"/>
  <c r="AJ567" i="31"/>
  <c r="AK563" i="31"/>
  <c r="AJ563" i="31"/>
  <c r="AK559" i="31"/>
  <c r="AJ559" i="31"/>
  <c r="AK555" i="31"/>
  <c r="AJ555" i="31"/>
  <c r="AK551" i="31"/>
  <c r="AJ551" i="31"/>
  <c r="AK547" i="31"/>
  <c r="AJ547" i="31"/>
  <c r="AK543" i="31"/>
  <c r="AJ543" i="31"/>
  <c r="AK539" i="31"/>
  <c r="AJ539" i="31"/>
  <c r="AK535" i="31"/>
  <c r="AJ535" i="31"/>
  <c r="AK531" i="31"/>
  <c r="AJ531" i="31"/>
  <c r="AK527" i="31"/>
  <c r="AJ527" i="31"/>
  <c r="AK523" i="31"/>
  <c r="AJ523" i="31"/>
  <c r="AK519" i="31"/>
  <c r="AJ519" i="31"/>
  <c r="AK515" i="31"/>
  <c r="AJ515" i="31"/>
  <c r="AK511" i="31"/>
  <c r="AJ511" i="31"/>
  <c r="AK507" i="31"/>
  <c r="AJ507" i="31"/>
  <c r="AK503" i="31"/>
  <c r="AJ503" i="31"/>
  <c r="AK499" i="31"/>
  <c r="AJ499" i="31"/>
  <c r="AK495" i="31"/>
  <c r="AJ495" i="31"/>
  <c r="AK491" i="31"/>
  <c r="AJ491" i="31"/>
  <c r="AK487" i="31"/>
  <c r="AJ487" i="31"/>
  <c r="AK483" i="31"/>
  <c r="AJ483" i="31"/>
  <c r="AK479" i="31"/>
  <c r="AJ479" i="31"/>
  <c r="AK475" i="31"/>
  <c r="AJ475" i="31"/>
  <c r="AK471" i="31"/>
  <c r="AJ471" i="31"/>
  <c r="AK467" i="31"/>
  <c r="AJ467" i="31"/>
  <c r="AK463" i="31"/>
  <c r="AJ463" i="31"/>
  <c r="AK459" i="31"/>
  <c r="AJ459" i="31"/>
  <c r="AK455" i="31"/>
  <c r="AJ455" i="31"/>
  <c r="AK451" i="31"/>
  <c r="AJ451" i="31"/>
  <c r="AK447" i="31"/>
  <c r="AJ447" i="31"/>
  <c r="AK443" i="31"/>
  <c r="AJ443" i="31"/>
  <c r="AK851" i="31"/>
  <c r="AJ851" i="31"/>
  <c r="AJ847" i="31"/>
  <c r="AK847" i="31"/>
  <c r="AK843" i="31"/>
  <c r="AJ843" i="31"/>
  <c r="AK839" i="31"/>
  <c r="AJ839" i="31"/>
  <c r="AK835" i="31"/>
  <c r="AJ835" i="31"/>
  <c r="AJ831" i="31"/>
  <c r="AK831" i="31"/>
  <c r="AK827" i="31"/>
  <c r="AJ827" i="31"/>
  <c r="AK823" i="31"/>
  <c r="AJ823" i="31"/>
  <c r="AK819" i="31"/>
  <c r="AJ819" i="31"/>
  <c r="AJ815" i="31"/>
  <c r="AK815" i="31"/>
  <c r="AK811" i="31"/>
  <c r="AJ811" i="31"/>
  <c r="AK807" i="31"/>
  <c r="AJ807" i="31"/>
  <c r="AK803" i="31"/>
  <c r="AJ803" i="31"/>
  <c r="AJ799" i="31"/>
  <c r="AK799" i="31"/>
  <c r="AK795" i="31"/>
  <c r="AJ795" i="31"/>
  <c r="AK791" i="31"/>
  <c r="AJ791" i="31"/>
  <c r="AK787" i="31"/>
  <c r="AJ787" i="31"/>
  <c r="AK783" i="31"/>
  <c r="AJ783" i="31"/>
  <c r="AK779" i="31"/>
  <c r="AJ779" i="31"/>
  <c r="AK775" i="31"/>
  <c r="AJ775" i="31"/>
  <c r="AK771" i="31"/>
  <c r="AJ771" i="31"/>
  <c r="AK767" i="31"/>
  <c r="AJ767" i="31"/>
  <c r="AK763" i="31"/>
  <c r="AJ763" i="31"/>
  <c r="AK759" i="31"/>
  <c r="AJ759" i="31"/>
  <c r="AK755" i="31"/>
  <c r="AJ755" i="31"/>
  <c r="AK751" i="31"/>
  <c r="AJ751" i="31"/>
  <c r="AK747" i="31"/>
  <c r="AJ747" i="31"/>
  <c r="AK743" i="31"/>
  <c r="AJ743" i="31"/>
  <c r="AK739" i="31"/>
  <c r="AJ739" i="31"/>
  <c r="AK735" i="31"/>
  <c r="AJ735" i="31"/>
  <c r="AK731" i="31"/>
  <c r="AJ731" i="31"/>
  <c r="AK727" i="31"/>
  <c r="AJ727" i="31"/>
  <c r="AK723" i="31"/>
  <c r="AJ723" i="31"/>
  <c r="AK719" i="31"/>
  <c r="AJ719" i="31"/>
  <c r="AK715" i="31"/>
  <c r="AJ715" i="31"/>
  <c r="AK711" i="31"/>
  <c r="AJ711" i="31"/>
  <c r="AK707" i="31"/>
  <c r="AJ707" i="31"/>
  <c r="AK703" i="31"/>
  <c r="AJ703" i="31"/>
  <c r="AK699" i="31"/>
  <c r="AJ699" i="31"/>
  <c r="AK695" i="31"/>
  <c r="AJ695" i="31"/>
  <c r="AK691" i="31"/>
  <c r="AJ691" i="31"/>
  <c r="AK687" i="31"/>
  <c r="AJ687" i="31"/>
  <c r="AK683" i="31"/>
  <c r="AJ683" i="31"/>
  <c r="AK679" i="31"/>
  <c r="AJ679" i="31"/>
  <c r="AK675" i="31"/>
  <c r="AJ675" i="31"/>
  <c r="AK671" i="31"/>
  <c r="AJ671" i="31"/>
  <c r="AK667" i="31"/>
  <c r="AJ667" i="31"/>
  <c r="AK663" i="31"/>
  <c r="AJ663" i="31"/>
  <c r="V805" i="31"/>
  <c r="V789" i="31"/>
  <c r="V773" i="31"/>
  <c r="V757" i="31"/>
  <c r="V741" i="31"/>
  <c r="V725" i="31"/>
  <c r="V709" i="31"/>
  <c r="V693" i="31"/>
  <c r="V677" i="31"/>
  <c r="V661" i="31"/>
  <c r="V645" i="31"/>
  <c r="V629" i="31"/>
  <c r="V613" i="31"/>
  <c r="V597" i="31"/>
  <c r="V581" i="31"/>
  <c r="V565" i="31"/>
  <c r="V549" i="31"/>
  <c r="V533" i="31"/>
  <c r="V517" i="31"/>
  <c r="V501" i="31"/>
  <c r="V484" i="31"/>
  <c r="V468" i="31"/>
  <c r="V452" i="31"/>
  <c r="V436" i="31"/>
  <c r="V420" i="31"/>
  <c r="V404" i="31"/>
  <c r="V388" i="31"/>
  <c r="V372" i="31"/>
  <c r="V356" i="31"/>
  <c r="V340" i="31"/>
  <c r="V324" i="31"/>
  <c r="V308" i="31"/>
  <c r="V292" i="31"/>
  <c r="V276" i="31"/>
  <c r="V260" i="31"/>
  <c r="V244" i="31"/>
  <c r="V228" i="31"/>
  <c r="V212" i="31"/>
  <c r="V196" i="31"/>
  <c r="V180" i="31"/>
  <c r="V164" i="31"/>
  <c r="V148" i="31"/>
  <c r="V132" i="31"/>
  <c r="V116" i="31"/>
  <c r="V100" i="31"/>
  <c r="V84" i="31"/>
  <c r="V68" i="31"/>
  <c r="V52" i="31"/>
  <c r="V36" i="31"/>
  <c r="V20" i="31"/>
  <c r="V4" i="31"/>
  <c r="U220" i="31"/>
  <c r="U216" i="31"/>
  <c r="U212" i="31"/>
  <c r="U208" i="31"/>
  <c r="U204" i="31"/>
  <c r="U200" i="31"/>
  <c r="U196" i="31"/>
  <c r="U192" i="31"/>
  <c r="U188" i="31"/>
  <c r="U184" i="31"/>
  <c r="U180" i="31"/>
  <c r="U176" i="31"/>
  <c r="U172" i="31"/>
  <c r="U168" i="31"/>
  <c r="U164" i="31"/>
  <c r="U160" i="31"/>
  <c r="U156" i="31"/>
  <c r="U152" i="31"/>
  <c r="U148" i="31"/>
  <c r="U144" i="31"/>
  <c r="U140" i="31"/>
  <c r="U136" i="31"/>
  <c r="U132" i="31"/>
  <c r="U128" i="31"/>
  <c r="U124" i="31"/>
  <c r="U120" i="31"/>
  <c r="U116" i="31"/>
  <c r="U112" i="31"/>
  <c r="U108" i="31"/>
  <c r="U104" i="31"/>
  <c r="U100" i="31"/>
  <c r="U96" i="31"/>
  <c r="U92" i="31"/>
  <c r="U88" i="31"/>
  <c r="U84" i="31"/>
  <c r="U80" i="31"/>
  <c r="U76" i="31"/>
  <c r="U72" i="31"/>
  <c r="U68" i="31"/>
  <c r="U64" i="31"/>
  <c r="U60" i="31"/>
  <c r="U56" i="31"/>
  <c r="U52" i="31"/>
  <c r="U48" i="31"/>
  <c r="U44" i="31"/>
  <c r="U40" i="31"/>
  <c r="U36" i="31"/>
  <c r="U32" i="31"/>
  <c r="U28" i="31"/>
  <c r="U24" i="31"/>
  <c r="U20" i="31"/>
  <c r="U16" i="31"/>
  <c r="U12" i="31"/>
  <c r="U8" i="31"/>
  <c r="U4" i="31"/>
  <c r="V493" i="31"/>
  <c r="V707" i="31"/>
  <c r="V739" i="31"/>
  <c r="V771" i="31"/>
  <c r="V803" i="31"/>
  <c r="V671" i="31"/>
  <c r="V702" i="31"/>
  <c r="V686" i="31"/>
  <c r="V718" i="31"/>
  <c r="V814" i="31"/>
  <c r="V750" i="31"/>
  <c r="V782" i="31"/>
  <c r="V766" i="31"/>
  <c r="V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Q518" authorId="0" shapeId="0" xr:uid="{012C1BC4-0319-4D5B-B1FE-20164A832336}">
      <text>
        <r>
          <rPr>
            <b/>
            <sz val="9"/>
            <color indexed="81"/>
            <rFont val="Tahoma"/>
            <family val="2"/>
          </rPr>
          <t>Anders Sundsdal:</t>
        </r>
        <r>
          <rPr>
            <sz val="9"/>
            <color indexed="81"/>
            <rFont val="Tahoma"/>
            <family val="2"/>
          </rPr>
          <t xml:space="preserve">
Needs reashing</t>
        </r>
      </text>
    </comment>
    <comment ref="Q773" authorId="0" shapeId="0" xr:uid="{CC591B7F-256E-4384-8069-CD4717182A24}">
      <text>
        <r>
          <rPr>
            <b/>
            <sz val="9"/>
            <color indexed="81"/>
            <rFont val="Tahoma"/>
            <family val="2"/>
          </rPr>
          <t>Anders Sundsdal:</t>
        </r>
        <r>
          <rPr>
            <sz val="9"/>
            <color indexed="81"/>
            <rFont val="Tahoma"/>
            <family val="2"/>
          </rPr>
          <t xml:space="preserve">
Needs re-ashing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J3" authorId="0" shapeId="0" xr:uid="{30221A05-9C5D-4D43-8B14-37ED1F39EFF2}">
      <text>
        <r>
          <rPr>
            <b/>
            <sz val="9"/>
            <color indexed="81"/>
            <rFont val="Tahoma"/>
            <family val="2"/>
          </rPr>
          <t>Anders Sundsdal:</t>
        </r>
        <r>
          <rPr>
            <sz val="9"/>
            <color indexed="81"/>
            <rFont val="Tahoma"/>
            <family val="2"/>
          </rPr>
          <t xml:space="preserve">
Endret fra 107 til 407 etter collecting</t>
        </r>
      </text>
    </comment>
    <comment ref="J27" authorId="0" shapeId="0" xr:uid="{5461ED45-C337-464C-BCD7-92A4D9239A0E}">
      <text>
        <r>
          <rPr>
            <b/>
            <sz val="9"/>
            <color indexed="81"/>
            <rFont val="Tahoma"/>
            <family val="2"/>
          </rPr>
          <t>Anders Sundsdal:</t>
        </r>
        <r>
          <rPr>
            <sz val="9"/>
            <color indexed="81"/>
            <rFont val="Tahoma"/>
            <family val="2"/>
          </rPr>
          <t xml:space="preserve">
Endret fra 32 til 322 etter collecting
</t>
        </r>
      </text>
    </comment>
    <comment ref="L54" authorId="0" shapeId="0" xr:uid="{2B2C2255-FB42-44F8-8555-8B4A6C8D5F21}">
      <text>
        <r>
          <rPr>
            <b/>
            <sz val="9"/>
            <color indexed="81"/>
            <rFont val="Tahoma"/>
            <family val="2"/>
          </rPr>
          <t>Anders Sundsdal:</t>
        </r>
        <r>
          <rPr>
            <sz val="9"/>
            <color indexed="81"/>
            <rFont val="Tahoma"/>
            <family val="2"/>
          </rPr>
          <t xml:space="preserve">
Endret fra 818 til 848 pga duplikat med wet season. Dette er mest sannsynlig feil skrevet inn.
</t>
        </r>
      </text>
    </comment>
    <comment ref="M54" authorId="0" shapeId="0" xr:uid="{2FF9FA67-0749-43E4-B161-640A0F15201A}">
      <text>
        <r>
          <rPr>
            <b/>
            <sz val="9"/>
            <color indexed="81"/>
            <rFont val="Tahoma"/>
            <family val="2"/>
          </rPr>
          <t>Anders Sundsdal:</t>
        </r>
        <r>
          <rPr>
            <sz val="9"/>
            <color indexed="81"/>
            <rFont val="Tahoma"/>
            <family val="2"/>
          </rPr>
          <t xml:space="preserve">
Endret fra 618 til 648</t>
        </r>
      </text>
    </comment>
    <comment ref="L59" authorId="0" shapeId="0" xr:uid="{A94CE136-01AC-4F4A-AFFD-FC6642035291}">
      <text>
        <r>
          <rPr>
            <b/>
            <sz val="9"/>
            <color indexed="81"/>
            <rFont val="Tahoma"/>
            <family val="2"/>
          </rPr>
          <t>Anders Sundsdal:</t>
        </r>
        <r>
          <rPr>
            <sz val="9"/>
            <color indexed="81"/>
            <rFont val="Tahoma"/>
            <family val="2"/>
          </rPr>
          <t xml:space="preserve">
Endret fra 347 til 342</t>
        </r>
      </text>
    </comment>
    <comment ref="M61" authorId="0" shapeId="0" xr:uid="{ABB3334D-DD99-4879-84DA-D4CCD2190F6E}">
      <text>
        <r>
          <rPr>
            <b/>
            <sz val="9"/>
            <color indexed="81"/>
            <rFont val="Tahoma"/>
            <family val="2"/>
          </rPr>
          <t>Anders Sundsdal:</t>
        </r>
        <r>
          <rPr>
            <sz val="9"/>
            <color indexed="81"/>
            <rFont val="Tahoma"/>
            <family val="2"/>
          </rPr>
          <t xml:space="preserve">
Duplicate
</t>
        </r>
      </text>
    </comment>
    <comment ref="J81" authorId="0" shapeId="0" xr:uid="{700CA594-CF06-4AF7-91CC-740A01402C4D}">
      <text>
        <r>
          <rPr>
            <b/>
            <sz val="9"/>
            <color indexed="81"/>
            <rFont val="Tahoma"/>
            <family val="2"/>
          </rPr>
          <t>Anders Sundsdal:</t>
        </r>
        <r>
          <rPr>
            <sz val="9"/>
            <color indexed="81"/>
            <rFont val="Tahoma"/>
            <family val="2"/>
          </rPr>
          <t xml:space="preserve">
Changed from 120 to 130 due to duplicate.
</t>
        </r>
      </text>
    </comment>
    <comment ref="M91" authorId="0" shapeId="0" xr:uid="{B93742A5-55C9-4DAD-9225-626004AB8A6F}">
      <text>
        <r>
          <rPr>
            <b/>
            <sz val="9"/>
            <color indexed="81"/>
            <rFont val="Tahoma"/>
            <charset val="1"/>
          </rPr>
          <t>Anders Sundsdal:</t>
        </r>
        <r>
          <rPr>
            <sz val="9"/>
            <color indexed="81"/>
            <rFont val="Tahoma"/>
            <charset val="1"/>
          </rPr>
          <t xml:space="preserve">
Changed from R601 to R841 due to duplicate</t>
        </r>
      </text>
    </comment>
    <comment ref="J124" authorId="0" shapeId="0" xr:uid="{D6C7F621-0FB1-479D-A852-BE219475E3D1}">
      <text>
        <r>
          <rPr>
            <b/>
            <sz val="9"/>
            <color indexed="81"/>
            <rFont val="Tahoma"/>
            <family val="2"/>
          </rPr>
          <t>Anders Sundsdal:</t>
        </r>
        <r>
          <rPr>
            <sz val="9"/>
            <color indexed="81"/>
            <rFont val="Tahoma"/>
            <family val="2"/>
          </rPr>
          <t xml:space="preserve">
Duplicate!</t>
        </r>
      </text>
    </comment>
    <comment ref="M137" authorId="0" shapeId="0" xr:uid="{72C35936-9DB7-43F6-BC7B-3933132AA3F1}">
      <text>
        <r>
          <rPr>
            <b/>
            <sz val="9"/>
            <color indexed="81"/>
            <rFont val="Tahoma"/>
            <family val="2"/>
          </rPr>
          <t>Anders Sundsdal:</t>
        </r>
        <r>
          <rPr>
            <sz val="9"/>
            <color indexed="81"/>
            <rFont val="Tahoma"/>
            <family val="2"/>
          </rPr>
          <t xml:space="preserve">
Endret fra 222 til 223</t>
        </r>
      </text>
    </comment>
    <comment ref="J141" authorId="0" shapeId="0" xr:uid="{6348FC39-4390-4703-ACBB-BF517BAD955A}">
      <text>
        <r>
          <rPr>
            <b/>
            <sz val="9"/>
            <color indexed="81"/>
            <rFont val="Tahoma"/>
            <family val="2"/>
          </rPr>
          <t>Anders Sundsdal:</t>
        </r>
        <r>
          <rPr>
            <sz val="9"/>
            <color indexed="81"/>
            <rFont val="Tahoma"/>
            <family val="2"/>
          </rPr>
          <t xml:space="preserve">
Changed from 250 to 17 due to duplicate. Correspons to ashed sheet now.</t>
        </r>
      </text>
    </comment>
    <comment ref="M206" authorId="0" shapeId="0" xr:uid="{3607953A-D44E-4BE5-88AD-F5692CC19828}">
      <text>
        <r>
          <rPr>
            <b/>
            <sz val="9"/>
            <color indexed="81"/>
            <rFont val="Tahoma"/>
            <family val="2"/>
          </rPr>
          <t>Anders Sundsdal:</t>
        </r>
        <r>
          <rPr>
            <sz val="9"/>
            <color indexed="81"/>
            <rFont val="Tahoma"/>
            <family val="2"/>
          </rPr>
          <t xml:space="preserve">
Endret fra 208 til 708</t>
        </r>
      </text>
    </comment>
    <comment ref="A214" authorId="0" shapeId="0" xr:uid="{629B241B-F563-410D-BD7C-D07E54075B42}">
      <text>
        <r>
          <rPr>
            <b/>
            <sz val="9"/>
            <color indexed="81"/>
            <rFont val="Tahoma"/>
            <family val="2"/>
          </rPr>
          <t>Anders Sundsdal:</t>
        </r>
        <r>
          <rPr>
            <sz val="9"/>
            <color indexed="81"/>
            <rFont val="Tahoma"/>
            <family val="2"/>
          </rPr>
          <t xml:space="preserve">
Changed from 211 to 215, due to duplicate.</t>
        </r>
      </text>
    </comment>
    <comment ref="C214" authorId="0" shapeId="0" xr:uid="{D9E74992-0EAA-4AAF-97AA-3FD8FB132456}">
      <text>
        <r>
          <rPr>
            <b/>
            <sz val="9"/>
            <color indexed="81"/>
            <rFont val="Tahoma"/>
            <family val="2"/>
          </rPr>
          <t>Anders Sundsdal:</t>
        </r>
        <r>
          <rPr>
            <sz val="9"/>
            <color indexed="81"/>
            <rFont val="Tahoma"/>
            <family val="2"/>
          </rPr>
          <t xml:space="preserve">
Changed from Wet_P3_CG1 to Wet_W3_CG1 as there was a duplicate. Looked at the map for CG in my field protocol.</t>
        </r>
      </text>
    </comment>
    <comment ref="L215" authorId="0" shapeId="0" xr:uid="{FC0BF129-1097-4334-A35C-9A4959DC7FF0}">
      <text>
        <r>
          <rPr>
            <b/>
            <sz val="9"/>
            <color indexed="81"/>
            <rFont val="Tahoma"/>
            <family val="2"/>
          </rPr>
          <t>Anders Sundsdal:</t>
        </r>
        <r>
          <rPr>
            <sz val="9"/>
            <color indexed="81"/>
            <rFont val="Tahoma"/>
            <family val="2"/>
          </rPr>
          <t xml:space="preserve">
Endret fra 365 til 363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B56" authorId="0" shapeId="0" xr:uid="{6C4541C4-823C-43CD-B9FC-767906E0102C}">
      <text>
        <r>
          <rPr>
            <b/>
            <sz val="9"/>
            <color indexed="81"/>
            <rFont val="Tahoma"/>
            <family val="2"/>
          </rPr>
          <t>Anders Sundsdal:</t>
        </r>
        <r>
          <rPr>
            <sz val="9"/>
            <color indexed="81"/>
            <rFont val="Tahoma"/>
            <family val="2"/>
          </rPr>
          <t xml:space="preserve">
Duplacate, two teabags has written the same code on the bag.</t>
        </r>
      </text>
    </comment>
    <comment ref="C56" authorId="0" shapeId="0" xr:uid="{329F9D84-B8BE-498F-8AE0-DB7A9C43D1CF}">
      <text>
        <r>
          <rPr>
            <b/>
            <sz val="9"/>
            <color indexed="81"/>
            <rFont val="Tahoma"/>
            <family val="2"/>
          </rPr>
          <t>Anders Sundsdal:</t>
        </r>
        <r>
          <rPr>
            <sz val="9"/>
            <color indexed="81"/>
            <rFont val="Tahoma"/>
            <family val="2"/>
          </rPr>
          <t xml:space="preserve">
Duplacate, but this is correct.</t>
        </r>
      </text>
    </comment>
    <comment ref="E58" authorId="0" shapeId="0" xr:uid="{C875A5C7-15A9-42DB-AB16-77C39509C13F}">
      <text>
        <r>
          <rPr>
            <b/>
            <sz val="9"/>
            <color indexed="81"/>
            <rFont val="Tahoma"/>
            <family val="2"/>
          </rPr>
          <t>Anders Sundsdal:</t>
        </r>
        <r>
          <rPr>
            <sz val="9"/>
            <color indexed="81"/>
            <rFont val="Tahoma"/>
            <family val="2"/>
          </rPr>
          <t xml:space="preserve">
This one is wrong. Maybe read the code wrong?</t>
        </r>
      </text>
    </comment>
    <comment ref="C67" authorId="0" shapeId="0" xr:uid="{175D6089-8C8F-474D-8E23-A0E7870C16D5}">
      <text>
        <r>
          <rPr>
            <b/>
            <sz val="9"/>
            <color indexed="81"/>
            <rFont val="Tahoma"/>
            <family val="2"/>
          </rPr>
          <t>Anders Sundsdal:</t>
        </r>
        <r>
          <rPr>
            <sz val="9"/>
            <color indexed="81"/>
            <rFont val="Tahoma"/>
            <family val="2"/>
          </rPr>
          <t xml:space="preserve">
Empty bag</t>
        </r>
      </text>
    </comment>
    <comment ref="B111" authorId="0" shapeId="0" xr:uid="{D9CE4AFB-0A20-4DD3-BC62-590AFF9EFBB0}">
      <text>
        <r>
          <rPr>
            <b/>
            <sz val="9"/>
            <color indexed="81"/>
            <rFont val="Tahoma"/>
            <family val="2"/>
          </rPr>
          <t>Anders Sundsdal:</t>
        </r>
        <r>
          <rPr>
            <sz val="9"/>
            <color indexed="81"/>
            <rFont val="Tahoma"/>
            <family val="2"/>
          </rPr>
          <t xml:space="preserve">
Duplacate, two teabags has written the same code on the bag.</t>
        </r>
      </text>
    </comment>
    <comment ref="B187" authorId="0" shapeId="0" xr:uid="{E3FA2335-BBF3-45EB-BED5-95ACB0AC4B2D}">
      <text>
        <r>
          <rPr>
            <b/>
            <sz val="9"/>
            <color indexed="81"/>
            <rFont val="Tahoma"/>
            <family val="2"/>
          </rPr>
          <t>Anders Sundsdal:</t>
        </r>
        <r>
          <rPr>
            <sz val="9"/>
            <color indexed="81"/>
            <rFont val="Tahoma"/>
            <family val="2"/>
          </rPr>
          <t xml:space="preserve">
R186 written on the bag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W126" authorId="0" shapeId="0" xr:uid="{AEBA629E-6AE3-4CF6-9FC5-5015DF44570D}">
      <text>
        <r>
          <rPr>
            <b/>
            <sz val="9"/>
            <color indexed="81"/>
            <rFont val="Tahoma"/>
            <charset val="1"/>
          </rPr>
          <t>Anders Sundsdal:</t>
        </r>
        <r>
          <rPr>
            <sz val="9"/>
            <color indexed="81"/>
            <rFont val="Tahoma"/>
            <charset val="1"/>
          </rPr>
          <t xml:space="preserve">
This is prob. Wrong.</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34" authorId="0" shapeId="0" xr:uid="{DB513DDD-6C90-42EE-AC32-027136932BBE}">
      <text>
        <r>
          <rPr>
            <b/>
            <sz val="9"/>
            <color indexed="81"/>
            <rFont val="Tahoma"/>
            <family val="2"/>
          </rPr>
          <t>Anders Sundsdal:</t>
        </r>
        <r>
          <rPr>
            <sz val="9"/>
            <color indexed="81"/>
            <rFont val="Tahoma"/>
            <family val="2"/>
          </rPr>
          <t xml:space="preserve"> Uncertain if G385 or G365 even reading without tea inside. But looks most like as G385. Update: Changed from G385 to G365 since an other teabag was written G385.</t>
        </r>
      </text>
    </comment>
    <comment ref="C105" authorId="0" shapeId="0" xr:uid="{01CEFEC6-73B3-4863-BB0C-EE4595E1B65E}">
      <text>
        <r>
          <rPr>
            <b/>
            <sz val="9"/>
            <color indexed="81"/>
            <rFont val="Tahoma"/>
            <family val="2"/>
          </rPr>
          <t>Anders Sundsdal:</t>
        </r>
        <r>
          <rPr>
            <sz val="9"/>
            <color indexed="81"/>
            <rFont val="Tahoma"/>
            <family val="2"/>
          </rPr>
          <t xml:space="preserve">
No bag</t>
        </r>
      </text>
    </comment>
    <comment ref="A114" authorId="0" shapeId="0" xr:uid="{8EE6E6C1-91F8-4364-BE06-C664AD98CD24}">
      <text>
        <r>
          <rPr>
            <b/>
            <sz val="9"/>
            <color indexed="81"/>
            <rFont val="Tahoma"/>
            <family val="2"/>
          </rPr>
          <t>Anders Sundsdal:</t>
        </r>
        <r>
          <rPr>
            <sz val="9"/>
            <color indexed="81"/>
            <rFont val="Tahoma"/>
            <family val="2"/>
          </rPr>
          <t xml:space="preserve">
Rozi has written G569, check the Afterwet sheet to correct this: from G569 to G509</t>
        </r>
      </text>
    </comment>
    <comment ref="C138" authorId="0" shapeId="0" xr:uid="{17FFCC4D-FE7C-44C5-905C-A58765928EAD}">
      <text>
        <r>
          <rPr>
            <b/>
            <sz val="9"/>
            <color indexed="81"/>
            <rFont val="Tahoma"/>
            <family val="2"/>
          </rPr>
          <t>Anders Sundsdal:</t>
        </r>
        <r>
          <rPr>
            <sz val="9"/>
            <color indexed="81"/>
            <rFont val="Tahoma"/>
            <family val="2"/>
          </rPr>
          <t xml:space="preserve">
Bag says 206, but in Teabags_used_in _wet says the teabags is in 207.</t>
        </r>
      </text>
    </comment>
    <comment ref="A144" authorId="0" shapeId="0" xr:uid="{948C8701-78D9-4390-A849-1A8BA5A0F40B}">
      <text>
        <r>
          <rPr>
            <b/>
            <sz val="9"/>
            <color indexed="81"/>
            <rFont val="Tahoma"/>
            <family val="2"/>
          </rPr>
          <t>Anders Sundsdal:</t>
        </r>
        <r>
          <rPr>
            <sz val="9"/>
            <color indexed="81"/>
            <rFont val="Tahoma"/>
            <family val="2"/>
          </rPr>
          <t xml:space="preserve">
Corrected in all other sheets. OK now.</t>
        </r>
      </text>
    </comment>
    <comment ref="A158" authorId="0" shapeId="0" xr:uid="{BFCCF097-CE58-421E-AB83-E295599807F7}">
      <text>
        <r>
          <rPr>
            <b/>
            <sz val="9"/>
            <color indexed="81"/>
            <rFont val="Tahoma"/>
            <charset val="1"/>
          </rPr>
          <t>Anders Sundsdal:</t>
        </r>
        <r>
          <rPr>
            <sz val="9"/>
            <color indexed="81"/>
            <rFont val="Tahoma"/>
            <charset val="1"/>
          </rPr>
          <t xml:space="preserve">
Correct</t>
        </r>
      </text>
    </comment>
    <comment ref="A159" authorId="0" shapeId="0" xr:uid="{A58B1ACB-5968-4064-BC8E-6DCFFC36C5AF}">
      <text>
        <r>
          <rPr>
            <b/>
            <sz val="9"/>
            <color indexed="81"/>
            <rFont val="Tahoma"/>
            <charset val="1"/>
          </rPr>
          <t>Anders Sundsdal:</t>
        </r>
        <r>
          <rPr>
            <sz val="9"/>
            <color indexed="81"/>
            <rFont val="Tahoma"/>
            <charset val="1"/>
          </rPr>
          <t xml:space="preserve">
Wrong. There is 3 Green in this plot…?</t>
        </r>
      </text>
    </comment>
    <comment ref="C164" authorId="0" shapeId="0" xr:uid="{1982660F-75BE-439C-8C58-B5F2C4C037BA}">
      <text>
        <r>
          <rPr>
            <b/>
            <sz val="9"/>
            <color indexed="81"/>
            <rFont val="Tahoma"/>
            <family val="2"/>
          </rPr>
          <t>Anders Sundsdal:</t>
        </r>
        <r>
          <rPr>
            <sz val="9"/>
            <color indexed="81"/>
            <rFont val="Tahoma"/>
            <family val="2"/>
          </rPr>
          <t xml:space="preserve">
Bag was written 215, but teabags corresponded to plot 213 .</t>
        </r>
      </text>
    </comment>
    <comment ref="C166" authorId="0" shapeId="0" xr:uid="{A0C0469F-F774-4C56-AD01-C90670B074F6}">
      <text>
        <r>
          <rPr>
            <b/>
            <sz val="9"/>
            <color indexed="81"/>
            <rFont val="Tahoma"/>
            <family val="2"/>
          </rPr>
          <t>Anders Sundsdal:</t>
        </r>
        <r>
          <rPr>
            <sz val="9"/>
            <color indexed="81"/>
            <rFont val="Tahoma"/>
            <family val="2"/>
          </rPr>
          <t xml:space="preserve">
Bag says 206, but in Teabags_used_in _wet says the teabags is in 207.</t>
        </r>
      </text>
    </comment>
    <comment ref="C237" authorId="0" shapeId="0" xr:uid="{DFAC4492-5F07-4304-973D-E4C87BB8DD07}">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C261" authorId="0" shapeId="0" xr:uid="{E4BA2D92-CB95-4864-8234-3AC61E89039F}">
      <text>
        <r>
          <rPr>
            <b/>
            <sz val="9"/>
            <color indexed="81"/>
            <rFont val="Tahoma"/>
            <family val="2"/>
          </rPr>
          <t>Anders Sundsdal:</t>
        </r>
        <r>
          <rPr>
            <sz val="9"/>
            <color indexed="81"/>
            <rFont val="Tahoma"/>
            <family val="2"/>
          </rPr>
          <t xml:space="preserve">
No bag</t>
        </r>
      </text>
    </comment>
    <comment ref="C268" authorId="0" shapeId="0" xr:uid="{E180A4B1-C0C0-4F71-A88C-189DB1CC4588}">
      <text>
        <r>
          <rPr>
            <b/>
            <sz val="9"/>
            <color indexed="81"/>
            <rFont val="Tahoma"/>
            <family val="2"/>
          </rPr>
          <t>Anders Sundsdal:</t>
        </r>
        <r>
          <rPr>
            <sz val="9"/>
            <color indexed="81"/>
            <rFont val="Tahoma"/>
            <family val="2"/>
          </rPr>
          <t xml:space="preserve">
Edited to 199 from 109. 109 was written on the paperbag.</t>
        </r>
      </text>
    </comment>
    <comment ref="C271" authorId="0" shapeId="0" xr:uid="{22973698-D1F7-4849-8F85-74D645C5B549}">
      <text>
        <r>
          <rPr>
            <b/>
            <sz val="9"/>
            <color indexed="81"/>
            <rFont val="Tahoma"/>
            <family val="2"/>
          </rPr>
          <t>Anders Sundsdal:</t>
        </r>
        <r>
          <rPr>
            <sz val="9"/>
            <color indexed="81"/>
            <rFont val="Tahoma"/>
            <family val="2"/>
          </rPr>
          <t xml:space="preserve">
Bag was written 215, but teabags corresponded to plot 213 .</t>
        </r>
      </text>
    </comment>
    <comment ref="C393" authorId="0" shapeId="0" xr:uid="{374A2F70-7A65-4401-A3B6-47B0233A56A4}">
      <text>
        <r>
          <rPr>
            <b/>
            <sz val="9"/>
            <color indexed="81"/>
            <rFont val="Tahoma"/>
            <family val="2"/>
          </rPr>
          <t>Anders Sundsdal:</t>
        </r>
        <r>
          <rPr>
            <sz val="9"/>
            <color indexed="81"/>
            <rFont val="Tahoma"/>
            <family val="2"/>
          </rPr>
          <t xml:space="preserve">
Edited to 199 from 109. 109 was written on the paperbag.</t>
        </r>
      </text>
    </comment>
    <comment ref="C406" authorId="0" shapeId="0" xr:uid="{102F5AC2-1420-4DED-B7C3-FA94EBE5427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415" authorId="0" shapeId="0" xr:uid="{4918588A-EFAE-47F8-8B72-F4A2F0AD6736}">
      <text>
        <r>
          <rPr>
            <b/>
            <sz val="9"/>
            <color indexed="81"/>
            <rFont val="Tahoma"/>
            <family val="2"/>
          </rPr>
          <t>Anders Sundsdal:</t>
        </r>
        <r>
          <rPr>
            <sz val="9"/>
            <color indexed="81"/>
            <rFont val="Tahoma"/>
            <family val="2"/>
          </rPr>
          <t xml:space="preserve">
Changes from G90 to G690 as G90 was in dry season and that G690 corresponds to collection sheet wet.</t>
        </r>
      </text>
    </comment>
    <comment ref="C425" authorId="0" shapeId="0" xr:uid="{E0C6BC8F-D940-43B9-9C4A-DCABCECCFB4D}">
      <text>
        <r>
          <rPr>
            <b/>
            <sz val="9"/>
            <color indexed="81"/>
            <rFont val="Tahoma"/>
            <family val="2"/>
          </rPr>
          <t>Anders Sundsdal:</t>
        </r>
        <r>
          <rPr>
            <sz val="9"/>
            <color indexed="81"/>
            <rFont val="Tahoma"/>
            <family val="2"/>
          </rPr>
          <t xml:space="preserve">
Bag says plot 46, but Teabags_used in wet says 48 when comparing the teabag codes. Changed the 46 to 48.</t>
        </r>
      </text>
    </comment>
    <comment ref="C428" authorId="0" shapeId="0" xr:uid="{06CFA1A9-0E04-4BF3-A86A-13F4C74B9AD4}">
      <text>
        <r>
          <rPr>
            <b/>
            <sz val="9"/>
            <color indexed="81"/>
            <rFont val="Tahoma"/>
            <family val="2"/>
          </rPr>
          <t>Anders Sundsdal:</t>
        </r>
        <r>
          <rPr>
            <sz val="9"/>
            <color indexed="81"/>
            <rFont val="Tahoma"/>
            <family val="2"/>
          </rPr>
          <t xml:space="preserve">
Bag was written 215, but teabags corresponded to plot 213 .</t>
        </r>
      </text>
    </comment>
    <comment ref="C438" authorId="0" shapeId="0" xr:uid="{FE7A7F6B-B96C-49EC-8C5E-19A2AF7783CE}">
      <text>
        <r>
          <rPr>
            <b/>
            <sz val="9"/>
            <color indexed="81"/>
            <rFont val="Tahoma"/>
            <family val="2"/>
          </rPr>
          <t>Anders Sundsdal:</t>
        </r>
        <r>
          <rPr>
            <sz val="9"/>
            <color indexed="81"/>
            <rFont val="Tahoma"/>
            <family val="2"/>
          </rPr>
          <t xml:space="preserve">
No bag</t>
        </r>
      </text>
    </comment>
    <comment ref="C455" authorId="0" shapeId="0" xr:uid="{8CDEF242-9D4E-43DC-B974-B3E3A216C583}">
      <text>
        <r>
          <rPr>
            <b/>
            <sz val="9"/>
            <color indexed="81"/>
            <rFont val="Tahoma"/>
            <family val="2"/>
          </rPr>
          <t>Anders Sundsdal:</t>
        </r>
        <r>
          <rPr>
            <sz val="9"/>
            <color indexed="81"/>
            <rFont val="Tahoma"/>
            <family val="2"/>
          </rPr>
          <t xml:space="preserve">
No bag</t>
        </r>
      </text>
    </comment>
    <comment ref="C456" authorId="0" shapeId="0" xr:uid="{510E5160-3E60-46DC-8DE5-9A506DE1702B}">
      <text>
        <r>
          <rPr>
            <b/>
            <sz val="9"/>
            <color indexed="81"/>
            <rFont val="Tahoma"/>
            <family val="2"/>
          </rPr>
          <t>Anders Sundsdal:</t>
        </r>
        <r>
          <rPr>
            <sz val="9"/>
            <color indexed="81"/>
            <rFont val="Tahoma"/>
            <family val="2"/>
          </rPr>
          <t xml:space="preserve">
No bag</t>
        </r>
      </text>
    </comment>
    <comment ref="C458" authorId="0" shapeId="0" xr:uid="{71EE2CF5-3D62-407D-9614-2D87EC49F79B}">
      <text>
        <r>
          <rPr>
            <b/>
            <sz val="9"/>
            <color indexed="81"/>
            <rFont val="Tahoma"/>
            <family val="2"/>
          </rPr>
          <t>Anders Sundsdal:</t>
        </r>
        <r>
          <rPr>
            <sz val="9"/>
            <color indexed="81"/>
            <rFont val="Tahoma"/>
            <family val="2"/>
          </rPr>
          <t xml:space="preserve">
Bag says 206, but in Teabags_used_in _wet says the teabags is in 207.</t>
        </r>
      </text>
    </comment>
    <comment ref="C489" authorId="0" shapeId="0" xr:uid="{6FEF8B36-BC55-47FB-93F2-BB654E5DF871}">
      <text>
        <r>
          <rPr>
            <b/>
            <sz val="9"/>
            <color indexed="81"/>
            <rFont val="Tahoma"/>
            <family val="2"/>
          </rPr>
          <t>Anders Sundsdal:</t>
        </r>
        <r>
          <rPr>
            <sz val="9"/>
            <color indexed="81"/>
            <rFont val="Tahoma"/>
            <family val="2"/>
          </rPr>
          <t xml:space="preserve">
No plot number on bag</t>
        </r>
      </text>
    </comment>
    <comment ref="C501" authorId="0" shapeId="0" xr:uid="{AD6801AE-147F-4D6E-B89E-3ADAA03A2452}">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506" authorId="0" shapeId="0" xr:uid="{975283A9-88F8-4912-B01E-8DD9285DB580}">
      <text>
        <r>
          <rPr>
            <b/>
            <sz val="9"/>
            <color indexed="81"/>
            <rFont val="Tahoma"/>
            <charset val="1"/>
          </rPr>
          <t>Anders Sundsdal:</t>
        </r>
        <r>
          <rPr>
            <sz val="9"/>
            <color indexed="81"/>
            <rFont val="Tahoma"/>
            <charset val="1"/>
          </rPr>
          <t xml:space="preserve">
This is most likely not correct bagcode.</t>
        </r>
      </text>
    </comment>
    <comment ref="C511" authorId="0" shapeId="0" xr:uid="{2DFBF3BD-8600-4986-ABA2-41DFBF89A2FF}">
      <text>
        <r>
          <rPr>
            <b/>
            <sz val="9"/>
            <color indexed="81"/>
            <rFont val="Tahoma"/>
            <family val="2"/>
          </rPr>
          <t>Anders Sundsdal:</t>
        </r>
        <r>
          <rPr>
            <sz val="9"/>
            <color indexed="81"/>
            <rFont val="Tahoma"/>
            <family val="2"/>
          </rPr>
          <t xml:space="preserve">
Bag says 206, but in Teabags_used_in _wet says the teabags is in 207.</t>
        </r>
      </text>
    </comment>
    <comment ref="C553" authorId="0" shapeId="0" xr:uid="{D36FAEF1-1AE6-4E2B-A074-A77CECE2296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C559" authorId="0" shapeId="0" xr:uid="{A05E791B-5A59-41AF-B2E7-FB1320DD7AE3}">
      <text>
        <r>
          <rPr>
            <b/>
            <sz val="9"/>
            <color indexed="81"/>
            <rFont val="Tahoma"/>
            <family val="2"/>
          </rPr>
          <t>Anders Sundsdal:</t>
        </r>
        <r>
          <rPr>
            <sz val="9"/>
            <color indexed="81"/>
            <rFont val="Tahoma"/>
            <family val="2"/>
          </rPr>
          <t xml:space="preserve">
Not written on bag put found in listofteabags used</t>
        </r>
      </text>
    </comment>
    <comment ref="C561" authorId="0" shapeId="0" xr:uid="{B1CE240D-FCC2-4ADC-A484-7A26E9D170CF}">
      <text>
        <r>
          <rPr>
            <b/>
            <sz val="9"/>
            <color indexed="81"/>
            <rFont val="Tahoma"/>
            <family val="2"/>
          </rPr>
          <t>Anders Sundsdal:</t>
        </r>
        <r>
          <rPr>
            <sz val="9"/>
            <color indexed="81"/>
            <rFont val="Tahoma"/>
            <family val="2"/>
          </rPr>
          <t xml:space="preserve">
Edited to 199 from 109. 109 was written on the paperbag.</t>
        </r>
      </text>
    </comment>
    <comment ref="A578" authorId="0" shapeId="0" xr:uid="{D091CBC6-CA57-4AE1-BC42-C630A1C46FD5}">
      <text>
        <r>
          <rPr>
            <b/>
            <sz val="9"/>
            <color indexed="81"/>
            <rFont val="Tahoma"/>
            <family val="2"/>
          </rPr>
          <t>Anders Sundsdal:</t>
        </r>
        <r>
          <rPr>
            <sz val="9"/>
            <color indexed="81"/>
            <rFont val="Tahoma"/>
            <family val="2"/>
          </rPr>
          <t xml:space="preserve">
Changed fomr R269 to R367. R367 was written on the teabag. While R269 was written on the code list Teabag_used in wet.</t>
        </r>
      </text>
    </comment>
    <comment ref="C578" authorId="0" shapeId="0" xr:uid="{F97754C5-DC6E-4BEA-9D39-A921B9068D47}">
      <text>
        <r>
          <rPr>
            <b/>
            <sz val="9"/>
            <color indexed="81"/>
            <rFont val="Tahoma"/>
            <family val="2"/>
          </rPr>
          <t>Anders Sundsdal:</t>
        </r>
        <r>
          <rPr>
            <sz val="9"/>
            <color indexed="81"/>
            <rFont val="Tahoma"/>
            <family val="2"/>
          </rPr>
          <t xml:space="preserve">
Edited to 199 from 109. 109 was written on the paperbag.</t>
        </r>
      </text>
    </comment>
    <comment ref="A700" authorId="0" shapeId="0" xr:uid="{BEDDC5E9-BDF6-445A-A61C-A3637BCEEB9C}">
      <text>
        <r>
          <rPr>
            <b/>
            <sz val="9"/>
            <color indexed="81"/>
            <rFont val="Tahoma"/>
            <family val="2"/>
          </rPr>
          <t>Anders Sundsdal:</t>
        </r>
        <r>
          <rPr>
            <sz val="9"/>
            <color indexed="81"/>
            <rFont val="Tahoma"/>
            <family val="2"/>
          </rPr>
          <t xml:space="preserve">
Not found in teabags used sheet. UPDATE: Corrected, ok now.</t>
        </r>
      </text>
    </comment>
    <comment ref="A749" authorId="0" shapeId="0" xr:uid="{306A7D77-60BC-409C-9241-DE5C673162BF}">
      <text>
        <r>
          <rPr>
            <b/>
            <sz val="9"/>
            <color indexed="81"/>
            <rFont val="Tahoma"/>
            <family val="2"/>
          </rPr>
          <t>Anders Sundsdal:</t>
        </r>
        <r>
          <rPr>
            <sz val="9"/>
            <color indexed="81"/>
            <rFont val="Tahoma"/>
            <family val="2"/>
          </rPr>
          <t xml:space="preserve">
Rozi has written R574 on a bag covering this bag. Check the AfterWet sheet to correct from R574 to R571.</t>
        </r>
      </text>
    </comment>
    <comment ref="A794" authorId="0" shapeId="0" xr:uid="{F13ABE56-231B-45F5-A441-F3FE90668407}">
      <text>
        <r>
          <rPr>
            <b/>
            <sz val="9"/>
            <color indexed="81"/>
            <rFont val="Tahoma"/>
            <family val="2"/>
          </rPr>
          <t xml:space="preserve">Anders Sundsdal:
</t>
        </r>
        <r>
          <rPr>
            <sz val="9"/>
            <color indexed="81"/>
            <rFont val="Tahoma"/>
            <family val="2"/>
          </rPr>
          <t>Corrected in collectionsheet. IN tha sheet it was R79. Corrected this in both teabags afterwet aswell. OK now.</t>
        </r>
      </text>
    </comment>
    <comment ref="C800" authorId="0" shapeId="0" xr:uid="{F42BDC11-1BDF-43E5-91A9-BA0B8A34581A}">
      <text>
        <r>
          <rPr>
            <b/>
            <sz val="9"/>
            <color indexed="81"/>
            <rFont val="Tahoma"/>
            <family val="2"/>
          </rPr>
          <t>Anders Sundsdal:</t>
        </r>
        <r>
          <rPr>
            <sz val="9"/>
            <color indexed="81"/>
            <rFont val="Tahoma"/>
            <family val="2"/>
          </rPr>
          <t xml:space="preserve">
No bag</t>
        </r>
      </text>
    </comment>
    <comment ref="C801" authorId="0" shapeId="0" xr:uid="{4B351A00-AEF8-4203-AA27-50AC0A7B8C0D}">
      <text>
        <r>
          <rPr>
            <b/>
            <sz val="9"/>
            <color indexed="81"/>
            <rFont val="Tahoma"/>
            <family val="2"/>
          </rPr>
          <t>Anders Sundsdal:</t>
        </r>
        <r>
          <rPr>
            <sz val="9"/>
            <color indexed="81"/>
            <rFont val="Tahoma"/>
            <family val="2"/>
          </rPr>
          <t xml:space="preserve">
Bag was written 215, but teabags corresponded to plot 213 .</t>
        </r>
      </text>
    </comment>
    <comment ref="A812" authorId="0" shapeId="0" xr:uid="{35C1731C-2398-4880-8A84-F75279CAF7EA}">
      <text>
        <r>
          <rPr>
            <b/>
            <sz val="9"/>
            <color indexed="81"/>
            <rFont val="Tahoma"/>
            <family val="2"/>
          </rPr>
          <t>Anders Sundsdal:</t>
        </r>
        <r>
          <rPr>
            <sz val="9"/>
            <color indexed="81"/>
            <rFont val="Tahoma"/>
            <family val="2"/>
          </rPr>
          <t xml:space="preserve">
No number on the teabag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P23" authorId="0" shapeId="0" xr:uid="{28992491-2F82-47AA-ACA7-B64B3ECEF330}">
      <text>
        <r>
          <rPr>
            <b/>
            <sz val="9"/>
            <color indexed="81"/>
            <rFont val="Tahoma"/>
            <family val="2"/>
          </rPr>
          <t>Anders Sundsdal:</t>
        </r>
        <r>
          <rPr>
            <sz val="9"/>
            <color indexed="81"/>
            <rFont val="Tahoma"/>
            <family val="2"/>
          </rPr>
          <t xml:space="preserve">
Changed from R19 to R79 due to duplicate.</t>
        </r>
      </text>
    </comment>
    <comment ref="J57" authorId="0" shapeId="0" xr:uid="{75378507-2DCF-4B78-8EAF-BB6F3FFF8123}">
      <text>
        <r>
          <rPr>
            <b/>
            <sz val="9"/>
            <color indexed="81"/>
            <rFont val="Tahoma"/>
            <family val="2"/>
          </rPr>
          <t>Anders Sundsdal:</t>
        </r>
        <r>
          <rPr>
            <sz val="9"/>
            <color indexed="81"/>
            <rFont val="Tahoma"/>
            <family val="2"/>
          </rPr>
          <t xml:space="preserve">
Not collected</t>
        </r>
      </text>
    </comment>
    <comment ref="L57" authorId="0" shapeId="0" xr:uid="{9DAE2F06-BAD4-430F-AC3A-70EB35C55218}">
      <text>
        <r>
          <rPr>
            <b/>
            <sz val="9"/>
            <color indexed="81"/>
            <rFont val="Tahoma"/>
            <family val="2"/>
          </rPr>
          <t>Anders Sundsdal:</t>
        </r>
        <r>
          <rPr>
            <sz val="9"/>
            <color indexed="81"/>
            <rFont val="Tahoma"/>
            <family val="2"/>
          </rPr>
          <t xml:space="preserve">
Duplicate. Have been corrected in physical collection sheet stating R14. So this should be correct: 14. UPDATE: Checked the bag itself and it was R19. So now it shold be 19 in this cell.</t>
        </r>
      </text>
    </comment>
    <comment ref="P57" authorId="0" shapeId="0" xr:uid="{7725F615-F2DD-491F-9D65-D3F1F1E4A836}">
      <text>
        <r>
          <rPr>
            <b/>
            <sz val="9"/>
            <color indexed="81"/>
            <rFont val="Tahoma"/>
            <family val="2"/>
          </rPr>
          <t>Anders Sundsdal:</t>
        </r>
        <r>
          <rPr>
            <sz val="9"/>
            <color indexed="81"/>
            <rFont val="Tahoma"/>
            <family val="2"/>
          </rPr>
          <t xml:space="preserve">
Most likely true as the paprbag plot 55 has this number. This plot has only collected 3 teabags. UPDATE: The bag contains R54. But There is also a bag with same number. Renamed this bag 54b</t>
        </r>
      </text>
    </comment>
    <comment ref="AK57" authorId="0" shapeId="0" xr:uid="{8EC5751E-5AAC-4249-BED6-D0FDB2368C20}">
      <text>
        <r>
          <rPr>
            <b/>
            <sz val="9"/>
            <color indexed="81"/>
            <rFont val="Tahoma"/>
            <family val="2"/>
          </rPr>
          <t>Anders Sundsdal:</t>
        </r>
        <r>
          <rPr>
            <sz val="9"/>
            <color indexed="81"/>
            <rFont val="Tahoma"/>
            <family val="2"/>
          </rPr>
          <t xml:space="preserve">
See corresponding cells</t>
        </r>
      </text>
    </comment>
    <comment ref="J58" authorId="0" shapeId="0" xr:uid="{154B26FE-C3AC-4A81-B0A3-4E62129011F2}">
      <text>
        <r>
          <rPr>
            <b/>
            <sz val="9"/>
            <color indexed="81"/>
            <rFont val="Tahoma"/>
            <family val="2"/>
          </rPr>
          <t>Anders Sundsdal:</t>
        </r>
        <r>
          <rPr>
            <sz val="9"/>
            <color indexed="81"/>
            <rFont val="Tahoma"/>
            <family val="2"/>
          </rPr>
          <t xml:space="preserve">
Check paperbag with plot 56. In AfterWet it states that this is correct. Check the other duplucate first below.</t>
        </r>
      </text>
    </comment>
    <comment ref="AI58" authorId="0" shapeId="0" xr:uid="{69E45F91-0B71-4A99-B07E-DEEFA00DA361}">
      <text>
        <r>
          <rPr>
            <b/>
            <sz val="9"/>
            <color indexed="81"/>
            <rFont val="Tahoma"/>
            <family val="2"/>
          </rPr>
          <t>Anders Sundsdal:</t>
        </r>
        <r>
          <rPr>
            <sz val="9"/>
            <color indexed="81"/>
            <rFont val="Tahoma"/>
            <family val="2"/>
          </rPr>
          <t xml:space="preserve">
See corresponding cells</t>
        </r>
      </text>
    </comment>
    <comment ref="J59" authorId="0" shapeId="0" xr:uid="{76DC22DC-EDA6-4C9B-84E2-17A701387A44}">
      <text>
        <r>
          <rPr>
            <b/>
            <sz val="9"/>
            <color indexed="81"/>
            <rFont val="Tahoma"/>
            <family val="2"/>
          </rPr>
          <t>Anders Sundsdal:</t>
        </r>
        <r>
          <rPr>
            <sz val="9"/>
            <color indexed="81"/>
            <rFont val="Tahoma"/>
            <family val="2"/>
          </rPr>
          <t xml:space="preserve">
Duplicate. This one is wrong. Need to check the loose teabags in the big paperbag.UPDATE: Can't find it in loose bag. UPDATE: Changed from 540 to 546 by comparing Ashed and both after wet sheets.</t>
        </r>
      </text>
    </comment>
    <comment ref="AI59" authorId="0" shapeId="0" xr:uid="{3BAA716C-C67F-4A5E-9F99-F36E78253F11}">
      <text>
        <r>
          <rPr>
            <b/>
            <sz val="9"/>
            <color indexed="81"/>
            <rFont val="Tahoma"/>
            <family val="2"/>
          </rPr>
          <t>Anders Sundsdal:</t>
        </r>
        <r>
          <rPr>
            <sz val="9"/>
            <color indexed="81"/>
            <rFont val="Tahoma"/>
            <family val="2"/>
          </rPr>
          <t xml:space="preserve">
See corresponding cells</t>
        </r>
      </text>
    </comment>
    <comment ref="J72" authorId="0" shapeId="0" xr:uid="{743C3CFA-70D1-49A2-80C7-570BE43EE8C7}">
      <text>
        <r>
          <rPr>
            <b/>
            <sz val="9"/>
            <color indexed="81"/>
            <rFont val="Tahoma"/>
            <family val="2"/>
          </rPr>
          <t>Anders Sundsdal:</t>
        </r>
        <r>
          <rPr>
            <sz val="9"/>
            <color indexed="81"/>
            <rFont val="Tahoma"/>
            <family val="2"/>
          </rPr>
          <t xml:space="preserve">
Check paperbag with plot 70. Maybe G338? In Afterwet it has 3 red codes. One of them green code?</t>
        </r>
      </text>
    </comment>
    <comment ref="AI72" authorId="0" shapeId="0" xr:uid="{E780627F-E563-4F31-A330-BEEC2C2734A0}">
      <text>
        <r>
          <rPr>
            <b/>
            <sz val="9"/>
            <color indexed="81"/>
            <rFont val="Tahoma"/>
            <family val="2"/>
          </rPr>
          <t>Anders Sundsdal:</t>
        </r>
        <r>
          <rPr>
            <sz val="9"/>
            <color indexed="81"/>
            <rFont val="Tahoma"/>
            <family val="2"/>
          </rPr>
          <t xml:space="preserve">
See corresponding cells</t>
        </r>
      </text>
    </comment>
    <comment ref="P74" authorId="0" shapeId="0" xr:uid="{B6502343-4328-452C-9460-312284FE7E5B}">
      <text>
        <r>
          <rPr>
            <b/>
            <sz val="9"/>
            <color indexed="81"/>
            <rFont val="Tahoma"/>
            <family val="2"/>
          </rPr>
          <t>Anders Sundsdal:</t>
        </r>
        <r>
          <rPr>
            <sz val="9"/>
            <color indexed="81"/>
            <rFont val="Tahoma"/>
            <family val="2"/>
          </rPr>
          <t xml:space="preserve">
No idea why this is a duplicate. Have to try and find he code in the bag with loose tea. If don't find code. This is an other code. UPDATE: this is the correct code: 14</t>
        </r>
      </text>
    </comment>
    <comment ref="N112" authorId="0" shapeId="0" xr:uid="{B911FEDB-8488-484C-8E18-3BCF36F49007}">
      <text>
        <r>
          <rPr>
            <b/>
            <sz val="9"/>
            <color indexed="81"/>
            <rFont val="Tahoma"/>
            <family val="2"/>
          </rPr>
          <t>Anders Sundsdal:</t>
        </r>
        <r>
          <rPr>
            <sz val="9"/>
            <color indexed="81"/>
            <rFont val="Tahoma"/>
            <family val="2"/>
          </rPr>
          <t xml:space="preserve">
Not found in the AfterWet sheet. UPDATE: Found a teabag which looked like 88. But was 882. THs is also updatetd in AfterWet</t>
        </r>
      </text>
    </comment>
    <comment ref="P112" authorId="0" shapeId="0" xr:uid="{72D3609C-7E58-4371-94C8-BE52A9C64DFD}">
      <text>
        <r>
          <rPr>
            <b/>
            <sz val="9"/>
            <color indexed="81"/>
            <rFont val="Tahoma"/>
            <family val="2"/>
          </rPr>
          <t>Anders Sundsdal:</t>
        </r>
        <r>
          <rPr>
            <sz val="9"/>
            <color indexed="81"/>
            <rFont val="Tahoma"/>
            <family val="2"/>
          </rPr>
          <t xml:space="preserve">
Have to check the teabags in loose paperbag. UPDATE: Found one bag with this number. So there is two teabags with same number. Renamed the bag 54a.</t>
        </r>
      </text>
    </comment>
    <comment ref="P188" authorId="0" shapeId="0" xr:uid="{D8A63BBF-D907-4E55-B93D-CDDB7AB59438}">
      <text>
        <r>
          <rPr>
            <b/>
            <sz val="9"/>
            <color indexed="81"/>
            <rFont val="Tahoma"/>
            <family val="2"/>
          </rPr>
          <t>Anders Sundsdal:</t>
        </r>
        <r>
          <rPr>
            <sz val="9"/>
            <color indexed="81"/>
            <rFont val="Tahoma"/>
            <family val="2"/>
          </rPr>
          <t xml:space="preserve">
Endret fra 180 til 186 pga duplikat med dry season. Dette er skrivefeil som nå er rettet opp.
</t>
        </r>
      </text>
    </comment>
    <comment ref="L190" authorId="0" shapeId="0" xr:uid="{5F2F3AFC-1874-4298-AE37-65D59045D9F8}">
      <text>
        <r>
          <rPr>
            <b/>
            <sz val="9"/>
            <color indexed="81"/>
            <rFont val="Tahoma"/>
            <family val="2"/>
          </rPr>
          <t>Anders Sundsdal:</t>
        </r>
        <r>
          <rPr>
            <sz val="9"/>
            <color indexed="81"/>
            <rFont val="Tahoma"/>
            <family val="2"/>
          </rPr>
          <t xml:space="preserve">
Endret pga skrivefeil og duplikat med dry season</t>
        </r>
      </text>
    </comment>
    <comment ref="P201" authorId="0" shapeId="0" xr:uid="{8837CCA6-EF11-4884-8C00-EB795110BBAF}">
      <text>
        <r>
          <rPr>
            <b/>
            <sz val="9"/>
            <color indexed="81"/>
            <rFont val="Tahoma"/>
            <family val="2"/>
          </rPr>
          <t>Anders Sundsdal:</t>
        </r>
        <r>
          <rPr>
            <sz val="9"/>
            <color indexed="81"/>
            <rFont val="Tahoma"/>
            <family val="2"/>
          </rPr>
          <t xml:space="preserve">
Ednret fra R269 til 269. Var duplakat med dry season. Mest sannsynig skrivefeil.</t>
        </r>
      </text>
    </comment>
    <comment ref="J203" authorId="0" shapeId="0" xr:uid="{95457642-D0A2-4ADE-9639-87285FA090EE}">
      <text>
        <r>
          <rPr>
            <b/>
            <sz val="9"/>
            <color indexed="81"/>
            <rFont val="Tahoma"/>
            <family val="2"/>
          </rPr>
          <t>Anders Sundsdal:</t>
        </r>
        <r>
          <rPr>
            <sz val="9"/>
            <color indexed="81"/>
            <rFont val="Tahoma"/>
            <family val="2"/>
          </rPr>
          <t xml:space="preserve">
Missing in AfterWet</t>
        </r>
      </text>
    </comment>
    <comment ref="AI206" authorId="0" shapeId="0" xr:uid="{3F06F774-B479-40AC-8502-CD1BC8276424}">
      <text>
        <r>
          <rPr>
            <b/>
            <sz val="9"/>
            <color indexed="81"/>
            <rFont val="Tahoma"/>
            <family val="2"/>
          </rPr>
          <t>Anders Sundsdal:</t>
        </r>
        <r>
          <rPr>
            <sz val="9"/>
            <color indexed="81"/>
            <rFont val="Tahoma"/>
            <family val="2"/>
          </rPr>
          <t xml:space="preserve">
See corrsponding cells</t>
        </r>
      </text>
    </comment>
    <comment ref="AK206" authorId="0" shapeId="0" xr:uid="{FFD2E801-DB98-4A50-BED3-7ED3D43B0EDC}">
      <text>
        <r>
          <rPr>
            <b/>
            <sz val="9"/>
            <color indexed="81"/>
            <rFont val="Tahoma"/>
            <family val="2"/>
          </rPr>
          <t>Anders Sundsdal:</t>
        </r>
        <r>
          <rPr>
            <sz val="9"/>
            <color indexed="81"/>
            <rFont val="Tahoma"/>
            <family val="2"/>
          </rPr>
          <t xml:space="preserve">
See corresponding cell</t>
        </r>
      </text>
    </comment>
    <comment ref="AI207" authorId="0" shapeId="0" xr:uid="{905EAF88-16C8-4326-B0EB-2215BD2C1FD8}">
      <text>
        <r>
          <rPr>
            <b/>
            <sz val="9"/>
            <color indexed="81"/>
            <rFont val="Tahoma"/>
            <family val="2"/>
          </rPr>
          <t>Anders Sundsdal:</t>
        </r>
        <r>
          <rPr>
            <sz val="9"/>
            <color indexed="81"/>
            <rFont val="Tahoma"/>
            <family val="2"/>
          </rPr>
          <t xml:space="preserve">
See corrsponding cells</t>
        </r>
      </text>
    </comment>
    <comment ref="AK207" authorId="0" shapeId="0" xr:uid="{66126AEA-2CA4-4E67-B296-603AEA18D774}">
      <text>
        <r>
          <rPr>
            <b/>
            <sz val="9"/>
            <color indexed="81"/>
            <rFont val="Tahoma"/>
            <family val="2"/>
          </rPr>
          <t>Anders Sundsdal:</t>
        </r>
        <r>
          <rPr>
            <sz val="9"/>
            <color indexed="81"/>
            <rFont val="Tahoma"/>
            <family val="2"/>
          </rPr>
          <t xml:space="preserve">
See corrsponding cells</t>
        </r>
      </text>
    </comment>
    <comment ref="C209" authorId="0" shapeId="0" xr:uid="{9D1AD5B1-8A7D-4118-A2BC-BE9CB3946089}">
      <text>
        <r>
          <rPr>
            <b/>
            <sz val="9"/>
            <color indexed="81"/>
            <rFont val="Tahoma"/>
            <family val="2"/>
          </rPr>
          <t>Anders Sundsdal:</t>
        </r>
        <r>
          <rPr>
            <sz val="9"/>
            <color indexed="81"/>
            <rFont val="Tahoma"/>
            <family val="2"/>
          </rPr>
          <t xml:space="preserve">
Should be: WET_Ag3_CG3</t>
        </r>
      </text>
    </comment>
    <comment ref="N209" authorId="0" shapeId="0" xr:uid="{D55605D6-66E7-4F93-94FA-5E5010329D40}">
      <text>
        <r>
          <rPr>
            <b/>
            <sz val="9"/>
            <color indexed="81"/>
            <rFont val="Tahoma"/>
            <family val="2"/>
          </rPr>
          <t>Anders Sundsdal:</t>
        </r>
        <r>
          <rPr>
            <sz val="9"/>
            <color indexed="81"/>
            <rFont val="Tahoma"/>
            <family val="2"/>
          </rPr>
          <t xml:space="preserve">
Most likely correct</t>
        </r>
      </text>
    </comment>
    <comment ref="C210" authorId="0" shapeId="0" xr:uid="{019FE374-B2BD-4773-99D1-C2C69A13E425}">
      <text>
        <r>
          <rPr>
            <b/>
            <sz val="9"/>
            <color indexed="81"/>
            <rFont val="Tahoma"/>
            <family val="2"/>
          </rPr>
          <t>Anders Sundsdal:</t>
        </r>
        <r>
          <rPr>
            <sz val="9"/>
            <color indexed="81"/>
            <rFont val="Tahoma"/>
            <family val="2"/>
          </rPr>
          <t xml:space="preserve">
Should be: WET_AG4_CG4</t>
        </r>
      </text>
    </comment>
    <comment ref="P212" authorId="0" shapeId="0" xr:uid="{CD927561-0EBD-4D5F-B0C7-364E13058F6F}">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P213" authorId="0" shapeId="0" xr:uid="{BB0958F0-DD6E-47B0-B8F6-9025F188363B}">
      <text>
        <r>
          <rPr>
            <b/>
            <sz val="9"/>
            <color indexed="81"/>
            <rFont val="Tahoma"/>
            <family val="2"/>
          </rPr>
          <t>Anders Sundsdal:</t>
        </r>
        <r>
          <rPr>
            <sz val="9"/>
            <color indexed="81"/>
            <rFont val="Tahoma"/>
            <family val="2"/>
          </rPr>
          <t xml:space="preserve">
Corrected by looking at the post-incubation reading.</t>
        </r>
      </text>
    </comment>
    <comment ref="AJ278" authorId="0" shapeId="0" xr:uid="{1AF6151A-C539-4D6A-BC3E-63B20A1DB931}">
      <text>
        <r>
          <rPr>
            <b/>
            <sz val="9"/>
            <color indexed="81"/>
            <rFont val="Tahoma"/>
            <family val="2"/>
          </rPr>
          <t xml:space="preserve">Anders Sundsdal:
</t>
        </r>
        <r>
          <rPr>
            <sz val="9"/>
            <color indexed="81"/>
            <rFont val="Tahoma"/>
            <family val="2"/>
          </rPr>
          <t>See corresponding cells.</t>
        </r>
      </text>
    </comment>
    <comment ref="AJ295" authorId="0" shapeId="0" xr:uid="{07B7B185-01AE-462D-96F4-5EDBCD7DDE07}">
      <text>
        <r>
          <rPr>
            <b/>
            <sz val="9"/>
            <color indexed="81"/>
            <rFont val="Tahoma"/>
            <family val="2"/>
          </rPr>
          <t>Anders Sundsdal:</t>
        </r>
        <r>
          <rPr>
            <sz val="9"/>
            <color indexed="81"/>
            <rFont val="Tahoma"/>
            <family val="2"/>
          </rPr>
          <t xml:space="preserve">
See corresponding cells</t>
        </r>
      </text>
    </comment>
    <comment ref="AJ333" authorId="0" shapeId="0" xr:uid="{B1C5A6B0-C795-4FF6-A2C4-60A85F1111A4}">
      <text>
        <r>
          <rPr>
            <b/>
            <sz val="9"/>
            <color indexed="81"/>
            <rFont val="Tahoma"/>
            <family val="2"/>
          </rPr>
          <t>Anders Sundsdal:</t>
        </r>
        <r>
          <rPr>
            <sz val="9"/>
            <color indexed="81"/>
            <rFont val="Tahoma"/>
            <family val="2"/>
          </rPr>
          <t xml:space="preserve">
See corresponding cells</t>
        </r>
      </text>
    </comment>
    <comment ref="M348" authorId="0" shapeId="0" xr:uid="{98018AFF-730B-486C-B8F1-0BAE9C91B477}">
      <text>
        <r>
          <rPr>
            <b/>
            <sz val="9"/>
            <color indexed="81"/>
            <rFont val="Tahoma"/>
            <family val="2"/>
          </rPr>
          <t>Anders Sundsdal:</t>
        </r>
        <r>
          <rPr>
            <sz val="9"/>
            <color indexed="81"/>
            <rFont val="Tahoma"/>
            <family val="2"/>
          </rPr>
          <t xml:space="preserve">
Need to check in fieldbook for correspondance to temperature. The CG sheet.</t>
        </r>
      </text>
    </comment>
    <comment ref="P351" authorId="0" shapeId="0" xr:uid="{C0DF80DC-4A56-4651-ABB5-5F4810FA6FF6}">
      <text>
        <r>
          <rPr>
            <b/>
            <sz val="9"/>
            <color indexed="81"/>
            <rFont val="Tahoma"/>
            <family val="2"/>
          </rPr>
          <t>Anders Sundsdal:</t>
        </r>
        <r>
          <rPr>
            <sz val="9"/>
            <color indexed="81"/>
            <rFont val="Tahoma"/>
            <family val="2"/>
          </rPr>
          <t xml:space="preserve">
Most likely correct</t>
        </r>
      </text>
    </comment>
    <comment ref="Q354" authorId="0" shapeId="0" xr:uid="{9AB002BC-C792-4230-903F-C3A59E3DF85E}">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Q355" authorId="0" shapeId="0" xr:uid="{1199CF79-DC89-440D-B8FE-532B446A4A33}">
      <text>
        <r>
          <rPr>
            <b/>
            <sz val="9"/>
            <color indexed="81"/>
            <rFont val="Tahoma"/>
            <family val="2"/>
          </rPr>
          <t>Anders Sundsdal:</t>
        </r>
        <r>
          <rPr>
            <sz val="9"/>
            <color indexed="81"/>
            <rFont val="Tahoma"/>
            <family val="2"/>
          </rPr>
          <t xml:space="preserve">
Corrected by looking at the post-incubation reading.</t>
        </r>
      </text>
    </comment>
    <comment ref="AI430" authorId="0" shapeId="0" xr:uid="{B68736B1-4BF8-40F5-97DC-ADC3CFC7BE68}">
      <text>
        <r>
          <rPr>
            <b/>
            <sz val="9"/>
            <color indexed="81"/>
            <rFont val="Tahoma"/>
            <family val="2"/>
          </rPr>
          <t>Anders Sundsdal:</t>
        </r>
        <r>
          <rPr>
            <sz val="9"/>
            <color indexed="81"/>
            <rFont val="Tahoma"/>
            <family val="2"/>
          </rPr>
          <t xml:space="preserve">
See corresponding cell</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14" authorId="0" shapeId="0" xr:uid="{0F2A7334-368F-48DC-B9DD-C8508D29BC9D}">
      <text>
        <r>
          <rPr>
            <b/>
            <sz val="9"/>
            <color indexed="81"/>
            <rFont val="Tahoma"/>
            <family val="2"/>
          </rPr>
          <t>Anders Sundsdal:</t>
        </r>
        <r>
          <rPr>
            <sz val="9"/>
            <color indexed="81"/>
            <rFont val="Tahoma"/>
            <family val="2"/>
          </rPr>
          <t xml:space="preserve">
Corrected from G264 to G269. Then it corresponds to collectionsheet  AND the physical bag</t>
        </r>
      </text>
    </comment>
    <comment ref="A22" authorId="0" shapeId="0" xr:uid="{F8518429-D3D3-49D2-BCB7-AA6F9EA59141}">
      <text>
        <r>
          <rPr>
            <b/>
            <sz val="9"/>
            <color indexed="81"/>
            <rFont val="Tahoma"/>
            <family val="2"/>
          </rPr>
          <t>Anders Sundsdal:</t>
        </r>
        <r>
          <rPr>
            <sz val="9"/>
            <color indexed="81"/>
            <rFont val="Tahoma"/>
            <family val="2"/>
          </rPr>
          <t xml:space="preserve">
Corr. From G798 to G298</t>
        </r>
      </text>
    </comment>
    <comment ref="A24" authorId="0" shapeId="0" xr:uid="{34A3D9A3-892D-4602-99D5-880E128373E2}">
      <text>
        <r>
          <rPr>
            <b/>
            <sz val="9"/>
            <color indexed="81"/>
            <rFont val="Tahoma"/>
            <family val="2"/>
          </rPr>
          <t>Anders Sundsdal:</t>
        </r>
        <r>
          <rPr>
            <sz val="9"/>
            <color indexed="81"/>
            <rFont val="Tahoma"/>
            <family val="2"/>
          </rPr>
          <t xml:space="preserve">
Changed from G302 to G308</t>
        </r>
      </text>
    </comment>
    <comment ref="A29" authorId="0" shapeId="0" xr:uid="{F964D60D-D47E-4489-851A-BD2FB8DE7D97}">
      <text>
        <r>
          <rPr>
            <b/>
            <sz val="9"/>
            <color indexed="81"/>
            <rFont val="Tahoma"/>
            <family val="2"/>
          </rPr>
          <t>Anders Sundsdal:</t>
        </r>
        <r>
          <rPr>
            <sz val="9"/>
            <color indexed="81"/>
            <rFont val="Tahoma"/>
            <family val="2"/>
          </rPr>
          <t xml:space="preserve">
Changed from G349 to G499 since G349 is in the dry season and G499 is missing here. So most likely this code is now correct.</t>
        </r>
      </text>
    </comment>
    <comment ref="B29" authorId="0" shapeId="0" xr:uid="{4D36F463-8E1F-4CCF-BDC1-A9E97F33F2AF}">
      <text>
        <r>
          <rPr>
            <b/>
            <sz val="9"/>
            <color indexed="81"/>
            <rFont val="Tahoma"/>
            <family val="2"/>
          </rPr>
          <t>Anders Sundsdal:</t>
        </r>
        <r>
          <rPr>
            <sz val="9"/>
            <color indexed="81"/>
            <rFont val="Tahoma"/>
            <family val="2"/>
          </rPr>
          <t xml:space="preserve">
Added later to corresond to new code.</t>
        </r>
      </text>
    </comment>
    <comment ref="A33" authorId="0" shapeId="0" xr:uid="{52966409-D6D5-4B4D-AC8D-193917F660D4}">
      <text>
        <r>
          <rPr>
            <b/>
            <sz val="9"/>
            <color indexed="81"/>
            <rFont val="Tahoma"/>
            <charset val="1"/>
          </rPr>
          <t>Anders Sundsdal:</t>
        </r>
        <r>
          <rPr>
            <sz val="9"/>
            <color indexed="81"/>
            <rFont val="Tahoma"/>
            <charset val="1"/>
          </rPr>
          <t xml:space="preserve">
Changed from G356 to G556.</t>
        </r>
      </text>
    </comment>
    <comment ref="B36" authorId="0" shapeId="0" xr:uid="{5FA4EE17-780B-4E56-B24D-358FECD93DC8}">
      <text>
        <r>
          <rPr>
            <b/>
            <sz val="9"/>
            <color indexed="81"/>
            <rFont val="Tahoma"/>
            <charset val="1"/>
          </rPr>
          <t>Anders Sundsdal:</t>
        </r>
        <r>
          <rPr>
            <sz val="9"/>
            <color indexed="81"/>
            <rFont val="Tahoma"/>
            <charset val="1"/>
          </rPr>
          <t xml:space="preserve">
Added later</t>
        </r>
      </text>
    </comment>
    <comment ref="A43" authorId="0" shapeId="0" xr:uid="{7C132205-919C-4590-94FC-3B7C41D3CA15}">
      <text>
        <r>
          <rPr>
            <b/>
            <sz val="9"/>
            <color indexed="81"/>
            <rFont val="Tahoma"/>
            <charset val="1"/>
          </rPr>
          <t>Anders Sundsdal:</t>
        </r>
        <r>
          <rPr>
            <sz val="9"/>
            <color indexed="81"/>
            <rFont val="Tahoma"/>
            <charset val="1"/>
          </rPr>
          <t xml:space="preserve">
Change from G381 to G831</t>
        </r>
      </text>
    </comment>
    <comment ref="B59" authorId="0" shapeId="0" xr:uid="{8F567D7B-D660-4596-AAF8-AEA4671C4822}">
      <text>
        <r>
          <rPr>
            <b/>
            <sz val="9"/>
            <color indexed="81"/>
            <rFont val="Tahoma"/>
            <family val="2"/>
          </rPr>
          <t>Anders Sundsdal:</t>
        </r>
        <r>
          <rPr>
            <sz val="9"/>
            <color indexed="81"/>
            <rFont val="Tahoma"/>
            <family val="2"/>
          </rPr>
          <t xml:space="preserve">
plot 76? It says plot 75 on the bag</t>
        </r>
      </text>
    </comment>
    <comment ref="B63" authorId="0" shapeId="0" xr:uid="{30D32D46-4ADF-43FA-A828-B2C7D50298EF}">
      <text>
        <r>
          <rPr>
            <b/>
            <sz val="9"/>
            <color indexed="81"/>
            <rFont val="Tahoma"/>
            <charset val="1"/>
          </rPr>
          <t>Anders Sundsdal:</t>
        </r>
        <r>
          <rPr>
            <sz val="9"/>
            <color indexed="81"/>
            <rFont val="Tahoma"/>
            <charset val="1"/>
          </rPr>
          <t xml:space="preserve">
Added later</t>
        </r>
      </text>
    </comment>
    <comment ref="B67" authorId="0" shapeId="0" xr:uid="{401931BD-41BD-4AAA-B1D2-85C72A652FE9}">
      <text>
        <r>
          <rPr>
            <b/>
            <sz val="9"/>
            <color indexed="81"/>
            <rFont val="Tahoma"/>
            <family val="2"/>
          </rPr>
          <t>Anders Sundsdal:</t>
        </r>
        <r>
          <rPr>
            <sz val="9"/>
            <color indexed="81"/>
            <rFont val="Tahoma"/>
            <family val="2"/>
          </rPr>
          <t xml:space="preserve">
Added later</t>
        </r>
      </text>
    </comment>
    <comment ref="A68" authorId="0" shapeId="0" xr:uid="{F9FD875B-06CF-4EED-8312-5197BBFE0892}">
      <text>
        <r>
          <rPr>
            <b/>
            <sz val="9"/>
            <color indexed="81"/>
            <rFont val="Tahoma"/>
            <family val="2"/>
          </rPr>
          <t>Anders Sundsdal:</t>
        </r>
        <r>
          <rPr>
            <sz val="9"/>
            <color indexed="81"/>
            <rFont val="Tahoma"/>
            <family val="2"/>
          </rPr>
          <t xml:space="preserve">
G455 should not be in wet season campign. Should check the paperbag 170. Could change to G433, then it corresponds to the collection sheet. Update: Yes bag is G433.</t>
        </r>
      </text>
    </comment>
    <comment ref="B80" authorId="0" shapeId="0" xr:uid="{5C4389D9-7C76-4E7F-956A-A07BDCA9BE6B}">
      <text>
        <r>
          <rPr>
            <b/>
            <sz val="9"/>
            <color indexed="81"/>
            <rFont val="Tahoma"/>
            <family val="2"/>
          </rPr>
          <t>Anders Sundsdal:</t>
        </r>
        <r>
          <rPr>
            <sz val="9"/>
            <color indexed="81"/>
            <rFont val="Tahoma"/>
            <family val="2"/>
          </rPr>
          <t xml:space="preserve">
Added later</t>
        </r>
      </text>
    </comment>
    <comment ref="A93" authorId="0" shapeId="0" xr:uid="{C1044762-7CF6-4375-A261-F2EAAB67E667}">
      <text>
        <r>
          <rPr>
            <b/>
            <sz val="9"/>
            <color indexed="81"/>
            <rFont val="Tahoma"/>
            <family val="2"/>
          </rPr>
          <t>Anders Sundsdal:</t>
        </r>
        <r>
          <rPr>
            <sz val="9"/>
            <color indexed="81"/>
            <rFont val="Tahoma"/>
            <family val="2"/>
          </rPr>
          <t xml:space="preserve">
Changed from R469 to G469 then it corresponds to collection sheet.</t>
        </r>
      </text>
    </comment>
    <comment ref="A99" authorId="0" shapeId="0" xr:uid="{98793228-66DC-4ADA-9755-BC6F3F036366}">
      <text>
        <r>
          <rPr>
            <b/>
            <sz val="9"/>
            <color indexed="81"/>
            <rFont val="Tahoma"/>
            <family val="2"/>
          </rPr>
          <t>Anders Sundsdal:</t>
        </r>
        <r>
          <rPr>
            <sz val="9"/>
            <color indexed="81"/>
            <rFont val="Tahoma"/>
            <family val="2"/>
          </rPr>
          <t xml:space="preserve">
Corrected from G427 to G477. Then it corresponds to collection sheet  AND the physical bag</t>
        </r>
      </text>
    </comment>
    <comment ref="A102" authorId="0" shapeId="0" xr:uid="{7F25DF4C-4F33-42B2-A982-5F227805FD58}">
      <text>
        <r>
          <rPr>
            <b/>
            <sz val="9"/>
            <color indexed="81"/>
            <rFont val="Tahoma"/>
            <charset val="1"/>
          </rPr>
          <t>Anders Sundsdal:</t>
        </r>
        <r>
          <rPr>
            <sz val="9"/>
            <color indexed="81"/>
            <rFont val="Tahoma"/>
            <charset val="1"/>
          </rPr>
          <t xml:space="preserve">
Changed from G482 to G842</t>
        </r>
      </text>
    </comment>
    <comment ref="A104" authorId="0" shapeId="0" xr:uid="{B1C7BE18-F3E7-4732-9F83-E882CBF9AB92}">
      <text>
        <r>
          <rPr>
            <b/>
            <sz val="9"/>
            <color indexed="81"/>
            <rFont val="Tahoma"/>
            <family val="2"/>
          </rPr>
          <t>Anders Sundsdal:</t>
        </r>
        <r>
          <rPr>
            <sz val="9"/>
            <color indexed="81"/>
            <rFont val="Tahoma"/>
            <family val="2"/>
          </rPr>
          <t xml:space="preserve">
Changed from G485 to G486</t>
        </r>
      </text>
    </comment>
    <comment ref="A107" authorId="0" shapeId="0" xr:uid="{DDDFF17F-6DA4-40FA-AA4C-C753F6452C1D}">
      <text>
        <r>
          <rPr>
            <b/>
            <sz val="9"/>
            <color indexed="81"/>
            <rFont val="Tahoma"/>
            <family val="2"/>
          </rPr>
          <t>Anders Sundsdal:</t>
        </r>
        <r>
          <rPr>
            <sz val="9"/>
            <color indexed="81"/>
            <rFont val="Tahoma"/>
            <family val="2"/>
          </rPr>
          <t xml:space="preserve">
Changed from G491 to G492</t>
        </r>
      </text>
    </comment>
    <comment ref="A137" authorId="0" shapeId="0" xr:uid="{A098F973-7A72-4788-AF64-2B2FF6BA0109}">
      <text>
        <r>
          <rPr>
            <b/>
            <sz val="9"/>
            <color indexed="81"/>
            <rFont val="Tahoma"/>
            <family val="2"/>
          </rPr>
          <t>Anders Sundsdal:</t>
        </r>
        <r>
          <rPr>
            <sz val="9"/>
            <color indexed="81"/>
            <rFont val="Tahoma"/>
            <family val="2"/>
          </rPr>
          <t xml:space="preserve">
Corrected to G535 (from G595) as it then corresponds to collectionsheet </t>
        </r>
      </text>
    </comment>
    <comment ref="B142" authorId="0" shapeId="0" xr:uid="{4DE540ED-358D-444F-AABA-FA24948BC6F6}">
      <text>
        <r>
          <rPr>
            <b/>
            <sz val="9"/>
            <color indexed="81"/>
            <rFont val="Tahoma"/>
            <family val="2"/>
          </rPr>
          <t>Anders Sundsdal:</t>
        </r>
        <r>
          <rPr>
            <sz val="9"/>
            <color indexed="81"/>
            <rFont val="Tahoma"/>
            <family val="2"/>
          </rPr>
          <t xml:space="preserve">
Write as 208 to corresond to collection sheet. UPDATE: It says 206 on bag...</t>
        </r>
      </text>
    </comment>
    <comment ref="D143" authorId="0" shapeId="0" xr:uid="{ADAFCE08-864A-49D6-9A2E-ECC8A9123A88}">
      <text>
        <r>
          <rPr>
            <b/>
            <sz val="9"/>
            <color indexed="81"/>
            <rFont val="Tahoma"/>
            <family val="2"/>
          </rPr>
          <t>Anders Sundsdal:</t>
        </r>
        <r>
          <rPr>
            <sz val="9"/>
            <color indexed="81"/>
            <rFont val="Tahoma"/>
            <family val="2"/>
          </rPr>
          <t xml:space="preserve">
Plot 61 and not 19? Then it corresponds with collectionsheet.</t>
        </r>
      </text>
    </comment>
    <comment ref="B146" authorId="0" shapeId="0" xr:uid="{3616EF11-9B84-4038-8F68-B5AD2F992AD9}">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A155" authorId="0" shapeId="0" xr:uid="{CF6AC9D3-AA49-4E49-8FF6-8FE470A826E5}">
      <text>
        <r>
          <rPr>
            <b/>
            <sz val="9"/>
            <color indexed="81"/>
            <rFont val="Tahoma"/>
            <family val="2"/>
          </rPr>
          <t>Anders Sundsdal:</t>
        </r>
        <r>
          <rPr>
            <sz val="9"/>
            <color indexed="81"/>
            <rFont val="Tahoma"/>
            <family val="2"/>
          </rPr>
          <t xml:space="preserve">
Checked the bag, G554 is correct</t>
        </r>
      </text>
    </comment>
    <comment ref="D155" authorId="0" shapeId="0" xr:uid="{1EEA8398-4CEA-40E8-8AD8-52CFE0EB5912}">
      <text>
        <r>
          <rPr>
            <b/>
            <sz val="9"/>
            <color indexed="81"/>
            <rFont val="Tahoma"/>
            <family val="2"/>
          </rPr>
          <t>Anders Sundsdal:</t>
        </r>
        <r>
          <rPr>
            <sz val="9"/>
            <color indexed="81"/>
            <rFont val="Tahoma"/>
            <family val="2"/>
          </rPr>
          <t xml:space="preserve">
I have checked this. It is G554.</t>
        </r>
      </text>
    </comment>
    <comment ref="A159" authorId="0" shapeId="0" xr:uid="{127FD4B4-B032-418A-A251-CC5E66AA5CEF}">
      <text>
        <r>
          <rPr>
            <b/>
            <sz val="9"/>
            <color indexed="81"/>
            <rFont val="Tahoma"/>
            <family val="2"/>
          </rPr>
          <t>Anders Sundsdal:</t>
        </r>
        <r>
          <rPr>
            <sz val="9"/>
            <color indexed="81"/>
            <rFont val="Tahoma"/>
            <family val="2"/>
          </rPr>
          <t xml:space="preserve">
Changed from G562 to G362</t>
        </r>
      </text>
    </comment>
    <comment ref="A163" authorId="0" shapeId="0" xr:uid="{01B84762-EF6D-4531-B52C-3BD3B02C6A64}">
      <text>
        <r>
          <rPr>
            <b/>
            <sz val="9"/>
            <color indexed="81"/>
            <rFont val="Tahoma"/>
            <family val="2"/>
          </rPr>
          <t>Anders Sundsdal:</t>
        </r>
        <r>
          <rPr>
            <sz val="9"/>
            <color indexed="81"/>
            <rFont val="Tahoma"/>
            <family val="2"/>
          </rPr>
          <t xml:space="preserve">
Changed from G560 to G566, then it corresponds to collection sheet.</t>
        </r>
      </text>
    </comment>
    <comment ref="A166" authorId="0" shapeId="0" xr:uid="{B17B172E-CFEF-4FF4-AF33-2D65933789B3}">
      <text>
        <r>
          <rPr>
            <b/>
            <sz val="9"/>
            <color indexed="81"/>
            <rFont val="Tahoma"/>
            <charset val="1"/>
          </rPr>
          <t>Anders Sundsdal:</t>
        </r>
        <r>
          <rPr>
            <sz val="9"/>
            <color indexed="81"/>
            <rFont val="Tahoma"/>
            <charset val="1"/>
          </rPr>
          <t xml:space="preserve">
Changed from G569 to G509.</t>
        </r>
      </text>
    </comment>
    <comment ref="B168" authorId="0" shapeId="0" xr:uid="{6155E9E2-2385-4BDF-B103-6AA9DC96C30B}">
      <text>
        <r>
          <rPr>
            <b/>
            <sz val="9"/>
            <color indexed="81"/>
            <rFont val="Tahoma"/>
            <family val="2"/>
          </rPr>
          <t>Anders Sundsdal:</t>
        </r>
        <r>
          <rPr>
            <sz val="9"/>
            <color indexed="81"/>
            <rFont val="Tahoma"/>
            <family val="2"/>
          </rPr>
          <t xml:space="preserve">
Changed from 25 to 213. Then th set of bags corresponds to collection sheet</t>
        </r>
      </text>
    </comment>
    <comment ref="B170" authorId="0" shapeId="0" xr:uid="{43C9C6BD-FC03-4690-B793-CB2B163626D0}">
      <text>
        <r>
          <rPr>
            <b/>
            <sz val="9"/>
            <color indexed="81"/>
            <rFont val="Tahoma"/>
            <family val="2"/>
          </rPr>
          <t>Anders Sundsdal:</t>
        </r>
        <r>
          <rPr>
            <sz val="9"/>
            <color indexed="81"/>
            <rFont val="Tahoma"/>
            <family val="2"/>
          </rPr>
          <t xml:space="preserve">
Write as 208 to corresond to collection sheet. UPDATE: It says 206 on bag...</t>
        </r>
      </text>
    </comment>
    <comment ref="A172" authorId="0" shapeId="0" xr:uid="{A65463FD-10C7-41D0-B58B-B5C1E9682EB7}">
      <text>
        <r>
          <rPr>
            <b/>
            <sz val="9"/>
            <color indexed="81"/>
            <rFont val="Tahoma"/>
            <family val="2"/>
          </rPr>
          <t>Anders Sundsdal:</t>
        </r>
        <r>
          <rPr>
            <sz val="9"/>
            <color indexed="81"/>
            <rFont val="Tahoma"/>
            <family val="2"/>
          </rPr>
          <t xml:space="preserve">
Corrected from G93 to G576</t>
        </r>
      </text>
    </comment>
    <comment ref="B189" authorId="0" shapeId="0" xr:uid="{FD17DEF5-F8D7-4876-9DBB-A3F65BF634FC}">
      <text>
        <r>
          <rPr>
            <b/>
            <sz val="9"/>
            <color indexed="81"/>
            <rFont val="Tahoma"/>
            <family val="2"/>
          </rPr>
          <t>Anders Sundsdal:</t>
        </r>
        <r>
          <rPr>
            <sz val="9"/>
            <color indexed="81"/>
            <rFont val="Tahoma"/>
            <family val="2"/>
          </rPr>
          <t xml:space="preserve">
plot 76? It says plot 75 on the bag</t>
        </r>
      </text>
    </comment>
    <comment ref="G189" authorId="0" shapeId="0" xr:uid="{491ED25A-9477-40E0-A78D-D99F28AB8F5D}">
      <text>
        <r>
          <rPr>
            <b/>
            <sz val="9"/>
            <color indexed="81"/>
            <rFont val="Tahoma"/>
            <family val="2"/>
          </rPr>
          <t>Anders Sundsdal:</t>
        </r>
        <r>
          <rPr>
            <sz val="9"/>
            <color indexed="81"/>
            <rFont val="Tahoma"/>
            <family val="2"/>
          </rPr>
          <t xml:space="preserve">
Correct, missing one green teabag</t>
        </r>
      </text>
    </comment>
    <comment ref="G190" authorId="0" shapeId="0" xr:uid="{4599C841-A3FE-4716-9939-56B00EF385DD}">
      <text>
        <r>
          <rPr>
            <b/>
            <sz val="9"/>
            <color indexed="81"/>
            <rFont val="Tahoma"/>
            <family val="2"/>
          </rPr>
          <t>Anders Sundsdal:</t>
        </r>
        <r>
          <rPr>
            <sz val="9"/>
            <color indexed="81"/>
            <rFont val="Tahoma"/>
            <family val="2"/>
          </rPr>
          <t xml:space="preserve">
Correct, missing one green teabag</t>
        </r>
      </text>
    </comment>
    <comment ref="G191" authorId="0" shapeId="0" xr:uid="{63FED977-3771-4A26-AAF1-1F44C87AAB41}">
      <text>
        <r>
          <rPr>
            <b/>
            <sz val="9"/>
            <color indexed="81"/>
            <rFont val="Tahoma"/>
            <family val="2"/>
          </rPr>
          <t>Anders Sundsdal:</t>
        </r>
        <r>
          <rPr>
            <sz val="9"/>
            <color indexed="81"/>
            <rFont val="Tahoma"/>
            <family val="2"/>
          </rPr>
          <t xml:space="preserve">
Correct, missing one green teabag</t>
        </r>
      </text>
    </comment>
    <comment ref="A198" authorId="0" shapeId="0" xr:uid="{226FCAC7-D2F5-4963-B21E-D851B43A1B2B}">
      <text>
        <r>
          <rPr>
            <b/>
            <sz val="9"/>
            <color indexed="81"/>
            <rFont val="Tahoma"/>
            <family val="2"/>
          </rPr>
          <t>Anders Sundsdal:</t>
        </r>
        <r>
          <rPr>
            <sz val="9"/>
            <color indexed="81"/>
            <rFont val="Tahoma"/>
            <family val="2"/>
          </rPr>
          <t xml:space="preserve">
Corrected from 116 to 616 as it was written on the bag.</t>
        </r>
      </text>
    </comment>
    <comment ref="A210" authorId="0" shapeId="0" xr:uid="{1D4E0875-A442-4D6F-AC78-0E037BAAA260}">
      <text>
        <r>
          <rPr>
            <b/>
            <sz val="9"/>
            <color indexed="81"/>
            <rFont val="Tahoma"/>
            <family val="2"/>
          </rPr>
          <t>Anders Sundsdal:</t>
        </r>
        <r>
          <rPr>
            <sz val="9"/>
            <color indexed="81"/>
            <rFont val="Tahoma"/>
            <family val="2"/>
          </rPr>
          <t xml:space="preserve">
Corr. From G537 to G637</t>
        </r>
      </text>
    </comment>
    <comment ref="A224" authorId="0" shapeId="0" xr:uid="{83E3435E-51A8-4362-BE67-689991389ED1}">
      <text>
        <r>
          <rPr>
            <b/>
            <sz val="9"/>
            <color indexed="81"/>
            <rFont val="Tahoma"/>
            <family val="2"/>
          </rPr>
          <t>Anders Sundsdal:</t>
        </r>
        <r>
          <rPr>
            <sz val="9"/>
            <color indexed="81"/>
            <rFont val="Tahoma"/>
            <family val="2"/>
          </rPr>
          <t xml:space="preserve">
Changed from G665 to G655 then it corresponds to the collection sheet</t>
        </r>
      </text>
    </comment>
    <comment ref="A236" authorId="0" shapeId="0" xr:uid="{FE3DCF07-3942-4690-B195-32FE1FB245CA}">
      <text>
        <r>
          <rPr>
            <b/>
            <sz val="9"/>
            <color indexed="81"/>
            <rFont val="Tahoma"/>
            <family val="2"/>
          </rPr>
          <t>Anders Sundsdal:</t>
        </r>
        <r>
          <rPr>
            <sz val="9"/>
            <color indexed="81"/>
            <rFont val="Tahoma"/>
            <family val="2"/>
          </rPr>
          <t xml:space="preserve">
G674 is correct corresponding to collection sheet.</t>
        </r>
      </text>
    </comment>
    <comment ref="B264" authorId="0" shapeId="0" xr:uid="{38E27E66-EB51-4C8F-8B0C-D3CC68891B1C}">
      <text>
        <r>
          <rPr>
            <b/>
            <sz val="9"/>
            <color indexed="81"/>
            <rFont val="Tahoma"/>
            <family val="2"/>
          </rPr>
          <t>Anders Sundsdal:</t>
        </r>
        <r>
          <rPr>
            <sz val="9"/>
            <color indexed="81"/>
            <rFont val="Tahoma"/>
            <family val="2"/>
          </rPr>
          <t xml:space="preserve">
Changed from 37 to 38</t>
        </r>
      </text>
    </comment>
    <comment ref="B267" authorId="0" shapeId="0" xr:uid="{23DF0AFF-E81B-4314-86DE-F1613A20B66F}">
      <text>
        <r>
          <rPr>
            <b/>
            <sz val="9"/>
            <color indexed="81"/>
            <rFont val="Tahoma"/>
            <charset val="1"/>
          </rPr>
          <t>Anders Sundsdal:</t>
        </r>
        <r>
          <rPr>
            <sz val="9"/>
            <color indexed="81"/>
            <rFont val="Tahoma"/>
            <charset val="1"/>
          </rPr>
          <t xml:space="preserve">
Added later</t>
        </r>
      </text>
    </comment>
    <comment ref="B274" authorId="0" shapeId="0" xr:uid="{F4C18F11-D571-4A6B-A599-C8ADC40A330A}">
      <text>
        <r>
          <rPr>
            <b/>
            <sz val="9"/>
            <color indexed="81"/>
            <rFont val="Tahoma"/>
            <family val="2"/>
          </rPr>
          <t>Anders Sundsdal:</t>
        </r>
        <r>
          <rPr>
            <sz val="9"/>
            <color indexed="81"/>
            <rFont val="Tahoma"/>
            <family val="2"/>
          </rPr>
          <t xml:space="preserve">
Changed from 25 to 213. Then th set of bags corresponds to collection sheet</t>
        </r>
      </text>
    </comment>
    <comment ref="A279" authorId="0" shapeId="0" xr:uid="{E0278E0E-720C-4894-9F2F-E6D70A1C3688}">
      <text>
        <r>
          <rPr>
            <b/>
            <sz val="9"/>
            <color indexed="81"/>
            <rFont val="Tahoma"/>
            <family val="2"/>
          </rPr>
          <t>Anders Sundsdal:</t>
        </r>
        <r>
          <rPr>
            <sz val="9"/>
            <color indexed="81"/>
            <rFont val="Tahoma"/>
            <family val="2"/>
          </rPr>
          <t xml:space="preserve">
Changed from G674 to G724 then it corresponds to collection sheet (Update: checked the bag, it s correct)</t>
        </r>
      </text>
    </comment>
    <comment ref="A285" authorId="0" shapeId="0" xr:uid="{1C80AF49-E06B-4C59-AAB7-5F357355B203}">
      <text>
        <r>
          <rPr>
            <b/>
            <sz val="9"/>
            <color indexed="81"/>
            <rFont val="Tahoma"/>
            <family val="2"/>
          </rPr>
          <t>Anders Sundsdal:</t>
        </r>
        <r>
          <rPr>
            <sz val="9"/>
            <color indexed="81"/>
            <rFont val="Tahoma"/>
            <family val="2"/>
          </rPr>
          <t xml:space="preserve">
Correced from G752(7) to G732. Then it corresponds to collection sheet.</t>
        </r>
      </text>
    </comment>
    <comment ref="B289" authorId="0" shapeId="0" xr:uid="{0A6A7924-68B3-465F-8E9D-972ED3DEBE81}">
      <text>
        <r>
          <rPr>
            <b/>
            <sz val="9"/>
            <color indexed="81"/>
            <rFont val="Tahoma"/>
            <family val="2"/>
          </rPr>
          <t>Anders Sundsdal:</t>
        </r>
        <r>
          <rPr>
            <sz val="9"/>
            <color indexed="81"/>
            <rFont val="Tahoma"/>
            <family val="2"/>
          </rPr>
          <t xml:space="preserve">
Plot 106 most likely</t>
        </r>
      </text>
    </comment>
    <comment ref="A317" authorId="0" shapeId="0" xr:uid="{D420E598-A186-44CE-B755-475E6D421BED}">
      <text>
        <r>
          <rPr>
            <b/>
            <sz val="9"/>
            <color indexed="81"/>
            <rFont val="Tahoma"/>
            <family val="2"/>
          </rPr>
          <t>Anders Sundsdal:</t>
        </r>
        <r>
          <rPr>
            <sz val="9"/>
            <color indexed="81"/>
            <rFont val="Tahoma"/>
            <family val="2"/>
          </rPr>
          <t xml:space="preserve">
Changed from G675 to G775 as it then corresponds to collection sheet.</t>
        </r>
      </text>
    </comment>
    <comment ref="B323" authorId="0" shapeId="0" xr:uid="{B945EFF7-BDD5-4241-AEE4-5D371FEA2657}">
      <text>
        <r>
          <rPr>
            <b/>
            <sz val="9"/>
            <color indexed="81"/>
            <rFont val="Tahoma"/>
            <charset val="1"/>
          </rPr>
          <t>Anders Sundsdal:</t>
        </r>
        <r>
          <rPr>
            <sz val="9"/>
            <color indexed="81"/>
            <rFont val="Tahoma"/>
            <charset val="1"/>
          </rPr>
          <t xml:space="preserve">
Added later</t>
        </r>
      </text>
    </comment>
    <comment ref="A328" authorId="0" shapeId="0" xr:uid="{18D49196-A49E-4162-833A-806F527E76FC}">
      <text>
        <r>
          <rPr>
            <b/>
            <sz val="9"/>
            <color indexed="81"/>
            <rFont val="Tahoma"/>
            <family val="2"/>
          </rPr>
          <t>Anders Sundsdal:</t>
        </r>
        <r>
          <rPr>
            <sz val="9"/>
            <color indexed="81"/>
            <rFont val="Tahoma"/>
            <family val="2"/>
          </rPr>
          <t xml:space="preserve">
Corr. From G787 to G789</t>
        </r>
      </text>
    </comment>
    <comment ref="A329" authorId="0" shapeId="0" xr:uid="{940AE0DD-B972-4D2D-9280-0A87A82DF1A1}">
      <text>
        <r>
          <rPr>
            <b/>
            <sz val="9"/>
            <color indexed="81"/>
            <rFont val="Tahoma"/>
            <family val="2"/>
          </rPr>
          <t>Anders Sundsdal:</t>
        </r>
        <r>
          <rPr>
            <sz val="9"/>
            <color indexed="81"/>
            <rFont val="Tahoma"/>
            <family val="2"/>
          </rPr>
          <t xml:space="preserve">
Endret fra G792 til G791 pga duplikat</t>
        </r>
      </text>
    </comment>
    <comment ref="A333" authorId="0" shapeId="0" xr:uid="{5AF1FFF2-BC0E-42A8-875A-36E12A7C60E8}">
      <text>
        <r>
          <rPr>
            <b/>
            <sz val="9"/>
            <color indexed="81"/>
            <rFont val="Tahoma"/>
            <family val="2"/>
          </rPr>
          <t>Anders Sundsdal:</t>
        </r>
        <r>
          <rPr>
            <sz val="9"/>
            <color indexed="81"/>
            <rFont val="Tahoma"/>
            <family val="2"/>
          </rPr>
          <t xml:space="preserve">
Corr. From G718 to G798</t>
        </r>
      </text>
    </comment>
    <comment ref="A338" authorId="0" shapeId="0" xr:uid="{66F0BC4B-7820-46B2-A713-ECF255547FD6}">
      <text>
        <r>
          <rPr>
            <b/>
            <sz val="9"/>
            <color indexed="81"/>
            <rFont val="Tahoma"/>
            <family val="2"/>
          </rPr>
          <t>Anders Sundsdal:</t>
        </r>
        <r>
          <rPr>
            <sz val="9"/>
            <color indexed="81"/>
            <rFont val="Tahoma"/>
            <family val="2"/>
          </rPr>
          <t xml:space="preserve">
Corrected from G805 to G803</t>
        </r>
      </text>
    </comment>
    <comment ref="A346" authorId="0" shapeId="0" xr:uid="{0FD2AFA5-852F-4AD4-B97D-AF4FE5D49E51}">
      <text>
        <r>
          <rPr>
            <b/>
            <sz val="9"/>
            <color indexed="81"/>
            <rFont val="Tahoma"/>
            <family val="2"/>
          </rPr>
          <t>Anders Sundsdal:</t>
        </r>
        <r>
          <rPr>
            <sz val="9"/>
            <color indexed="81"/>
            <rFont val="Tahoma"/>
            <family val="2"/>
          </rPr>
          <t xml:space="preserve">
Has been corrected by reading the teabag again.</t>
        </r>
      </text>
    </comment>
    <comment ref="B346" authorId="0" shapeId="0" xr:uid="{4123E9C2-519A-45CF-ACFC-749CA9AB5AA4}">
      <text>
        <r>
          <rPr>
            <b/>
            <sz val="9"/>
            <color indexed="81"/>
            <rFont val="Tahoma"/>
            <charset val="1"/>
          </rPr>
          <t>Anders Sundsdal:</t>
        </r>
        <r>
          <rPr>
            <sz val="9"/>
            <color indexed="81"/>
            <rFont val="Tahoma"/>
            <charset val="1"/>
          </rPr>
          <t xml:space="preserve">
Added later</t>
        </r>
      </text>
    </comment>
    <comment ref="B347" authorId="0" shapeId="0" xr:uid="{0FB5E4DB-9435-4C83-875A-508A4C358603}">
      <text>
        <r>
          <rPr>
            <b/>
            <sz val="9"/>
            <color indexed="81"/>
            <rFont val="Tahoma"/>
            <charset val="1"/>
          </rPr>
          <t>Anders Sundsdal:</t>
        </r>
        <r>
          <rPr>
            <sz val="9"/>
            <color indexed="81"/>
            <rFont val="Tahoma"/>
            <charset val="1"/>
          </rPr>
          <t xml:space="preserve">
Added later</t>
        </r>
      </text>
    </comment>
    <comment ref="A360" authorId="0" shapeId="0" xr:uid="{EC94DA98-F629-4B83-96EF-95B5ABADB999}">
      <text>
        <r>
          <rPr>
            <b/>
            <sz val="9"/>
            <color indexed="81"/>
            <rFont val="Tahoma"/>
            <family val="2"/>
          </rPr>
          <t>Anders Sundsdal:</t>
        </r>
        <r>
          <rPr>
            <sz val="9"/>
            <color indexed="81"/>
            <rFont val="Tahoma"/>
            <family val="2"/>
          </rPr>
          <t xml:space="preserve">
Changed from G825 to G828</t>
        </r>
      </text>
    </comment>
    <comment ref="A364" authorId="0" shapeId="0" xr:uid="{1BE0F66B-FD26-472E-A308-2D9E40E35EA4}">
      <text>
        <r>
          <rPr>
            <b/>
            <sz val="9"/>
            <color indexed="81"/>
            <rFont val="Tahoma"/>
            <family val="2"/>
          </rPr>
          <t>Anders Sundsdal:</t>
        </r>
        <r>
          <rPr>
            <sz val="9"/>
            <color indexed="81"/>
            <rFont val="Tahoma"/>
            <family val="2"/>
          </rPr>
          <t xml:space="preserve">
Changed from G835 to G833 then it corresponds to collection sheet</t>
        </r>
      </text>
    </comment>
    <comment ref="A366" authorId="0" shapeId="0" xr:uid="{69079D49-09F3-4AAB-BF3F-85A5ADE3D46F}">
      <text>
        <r>
          <rPr>
            <b/>
            <sz val="9"/>
            <color indexed="81"/>
            <rFont val="Tahoma"/>
            <family val="2"/>
          </rPr>
          <t>Anders Sundsdal:</t>
        </r>
        <r>
          <rPr>
            <sz val="9"/>
            <color indexed="81"/>
            <rFont val="Tahoma"/>
            <family val="2"/>
          </rPr>
          <t xml:space="preserve">
Changed from G835? To G835</t>
        </r>
      </text>
    </comment>
    <comment ref="A368" authorId="0" shapeId="0" xr:uid="{F01A6C3E-7826-4123-ACA9-39C8144664A2}">
      <text>
        <r>
          <rPr>
            <b/>
            <sz val="9"/>
            <color indexed="81"/>
            <rFont val="Tahoma"/>
            <family val="2"/>
          </rPr>
          <t>Anders Sundsdal:</t>
        </r>
        <r>
          <rPr>
            <sz val="9"/>
            <color indexed="81"/>
            <rFont val="Tahoma"/>
            <family val="2"/>
          </rPr>
          <t xml:space="preserve">
Duplicate, this is not correct. UPDATE: Looking at collection sheet: this should be G837. So, corrected from G852 to G837</t>
        </r>
      </text>
    </comment>
    <comment ref="B368" authorId="0" shapeId="0" xr:uid="{89DC1B1E-9E97-4E75-A5B8-011708BC6334}">
      <text>
        <r>
          <rPr>
            <b/>
            <sz val="9"/>
            <color indexed="81"/>
            <rFont val="Tahoma"/>
            <family val="2"/>
          </rPr>
          <t>Anders Sundsdal:</t>
        </r>
        <r>
          <rPr>
            <sz val="9"/>
            <color indexed="81"/>
            <rFont val="Tahoma"/>
            <family val="2"/>
          </rPr>
          <t xml:space="preserve">
Plot 106 most likely</t>
        </r>
      </text>
    </comment>
    <comment ref="A373" authorId="0" shapeId="0" xr:uid="{C0BB82B9-9F44-4624-84C4-68B2FBE0571D}">
      <text>
        <r>
          <rPr>
            <b/>
            <sz val="9"/>
            <color indexed="81"/>
            <rFont val="Tahoma"/>
            <family val="2"/>
          </rPr>
          <t>Anders Sundsdal:</t>
        </r>
        <r>
          <rPr>
            <sz val="9"/>
            <color indexed="81"/>
            <rFont val="Tahoma"/>
            <family val="2"/>
          </rPr>
          <t xml:space="preserve">
Changed G895 to G845 then it corresponds to the collection sheet.</t>
        </r>
      </text>
    </comment>
    <comment ref="A377" authorId="0" shapeId="0" xr:uid="{B2C0AB04-B758-4E91-A101-B1040E816E54}">
      <text>
        <r>
          <rPr>
            <b/>
            <sz val="9"/>
            <color indexed="81"/>
            <rFont val="Tahoma"/>
            <charset val="1"/>
          </rPr>
          <t>Anders Sundsdal:</t>
        </r>
        <r>
          <rPr>
            <sz val="9"/>
            <color indexed="81"/>
            <rFont val="Tahoma"/>
            <charset val="1"/>
          </rPr>
          <t xml:space="preserve">
Changed from G85 to G850</t>
        </r>
      </text>
    </comment>
    <comment ref="A378" authorId="0" shapeId="0" xr:uid="{DABD0BB3-BFBF-4B67-9E94-7B8834BA685C}">
      <text>
        <r>
          <rPr>
            <b/>
            <sz val="9"/>
            <color indexed="81"/>
            <rFont val="Tahoma"/>
            <family val="2"/>
          </rPr>
          <t>Anders Sundsdal:</t>
        </r>
        <r>
          <rPr>
            <sz val="9"/>
            <color indexed="81"/>
            <rFont val="Tahoma"/>
            <family val="2"/>
          </rPr>
          <t xml:space="preserve">
Changed and then corresponds to the collection sheet.</t>
        </r>
      </text>
    </comment>
    <comment ref="A418" authorId="0" shapeId="0" xr:uid="{5B464960-B1F0-4745-AAC5-6A4CB7CC1D2C}">
      <text>
        <r>
          <rPr>
            <b/>
            <sz val="9"/>
            <color indexed="81"/>
            <rFont val="Tahoma"/>
            <family val="2"/>
          </rPr>
          <t>Anders Sundsdal:</t>
        </r>
        <r>
          <rPr>
            <sz val="9"/>
            <color indexed="81"/>
            <rFont val="Tahoma"/>
            <family val="2"/>
          </rPr>
          <t xml:space="preserve">
Corr. From G692 to G902</t>
        </r>
      </text>
    </comment>
    <comment ref="B432" authorId="0" shapeId="0" xr:uid="{9A6757EE-0E34-42D2-8DBF-BBA82C19DF59}">
      <text>
        <r>
          <rPr>
            <b/>
            <sz val="9"/>
            <color indexed="81"/>
            <rFont val="Tahoma"/>
            <family val="2"/>
          </rPr>
          <t>Anders Sundsdal:</t>
        </r>
        <r>
          <rPr>
            <sz val="9"/>
            <color indexed="81"/>
            <rFont val="Tahoma"/>
            <family val="2"/>
          </rPr>
          <t xml:space="preserve">
Changed from 25 to 213. Then th set of bags corresponds to collection sheet</t>
        </r>
      </text>
    </comment>
    <comment ref="A441" authorId="0" shapeId="0" xr:uid="{CD9ACDE0-8F2D-4135-87FF-F02679679432}">
      <text>
        <r>
          <rPr>
            <b/>
            <sz val="9"/>
            <color indexed="81"/>
            <rFont val="Tahoma"/>
            <family val="2"/>
          </rPr>
          <t>Anders Sundsdal:</t>
        </r>
        <r>
          <rPr>
            <sz val="9"/>
            <color indexed="81"/>
            <rFont val="Tahoma"/>
            <family val="2"/>
          </rPr>
          <t xml:space="preserve">
Changed from N.A to R122
</t>
        </r>
      </text>
    </comment>
    <comment ref="A446" authorId="0" shapeId="0" xr:uid="{373031F3-C63E-4339-87C0-7106C5559A0B}">
      <text>
        <r>
          <rPr>
            <b/>
            <sz val="9"/>
            <color indexed="81"/>
            <rFont val="Tahoma"/>
            <family val="2"/>
          </rPr>
          <t>Anders Sundsdal:</t>
        </r>
        <r>
          <rPr>
            <sz val="9"/>
            <color indexed="81"/>
            <rFont val="Tahoma"/>
            <family val="2"/>
          </rPr>
          <t xml:space="preserve">
Corrected from R260orR129 to R129. Then it corresponds to collection sheet AND the physical bag. </t>
        </r>
      </text>
    </comment>
    <comment ref="A454" authorId="0" shapeId="0" xr:uid="{3ABF4066-18FC-4CF8-A75C-AE445BFCAD58}">
      <text>
        <r>
          <rPr>
            <b/>
            <sz val="9"/>
            <color indexed="81"/>
            <rFont val="Tahoma"/>
            <family val="2"/>
          </rPr>
          <t>Anders Sundsdal:</t>
        </r>
        <r>
          <rPr>
            <sz val="9"/>
            <color indexed="81"/>
            <rFont val="Tahoma"/>
            <family val="2"/>
          </rPr>
          <t xml:space="preserve">
Duplicate. Physically checked the bags of R138 and G579. G579 has less weight than R138. Therefore this cell is changed from G579 to R138. R138 is also and exclosed bag. G579 is also an axclosed bag.</t>
        </r>
      </text>
    </comment>
    <comment ref="B460" authorId="0" shapeId="0" xr:uid="{9BD407AF-3AEF-4792-9C17-B8EB82C716E1}">
      <text>
        <r>
          <rPr>
            <b/>
            <sz val="9"/>
            <color indexed="81"/>
            <rFont val="Tahoma"/>
            <charset val="1"/>
          </rPr>
          <t>Anders Sundsdal:</t>
        </r>
        <r>
          <rPr>
            <sz val="9"/>
            <color indexed="81"/>
            <rFont val="Tahoma"/>
            <charset val="1"/>
          </rPr>
          <t xml:space="preserve">
Added later</t>
        </r>
      </text>
    </comment>
    <comment ref="B463" authorId="0" shapeId="0" xr:uid="{E612D8D1-92A9-438E-8E50-2D6190B9BDBB}">
      <text>
        <r>
          <rPr>
            <b/>
            <sz val="9"/>
            <color indexed="81"/>
            <rFont val="Tahoma"/>
            <family val="2"/>
          </rPr>
          <t>Anders Sundsdal:</t>
        </r>
        <r>
          <rPr>
            <sz val="9"/>
            <color indexed="81"/>
            <rFont val="Tahoma"/>
            <family val="2"/>
          </rPr>
          <t xml:space="preserve">
Added later</t>
        </r>
      </text>
    </comment>
    <comment ref="B465" authorId="0" shapeId="0" xr:uid="{091AE4F7-C663-42E0-8369-70B3A6383B38}">
      <text>
        <r>
          <rPr>
            <b/>
            <sz val="9"/>
            <color indexed="81"/>
            <rFont val="Tahoma"/>
            <family val="2"/>
          </rPr>
          <t>Anders Sundsdal:</t>
        </r>
        <r>
          <rPr>
            <sz val="9"/>
            <color indexed="81"/>
            <rFont val="Tahoma"/>
            <family val="2"/>
          </rPr>
          <t xml:space="preserve">
Write as 208 to corresond to collection sheet. UPDATE: It says 206 on bag...</t>
        </r>
      </text>
    </comment>
    <comment ref="B490" authorId="0" shapeId="0" xr:uid="{16A5FACA-C047-4BB7-A262-245D8E000A3C}">
      <text>
        <r>
          <rPr>
            <b/>
            <sz val="9"/>
            <color indexed="81"/>
            <rFont val="Tahoma"/>
            <family val="2"/>
          </rPr>
          <t>Anders Sundsdal:</t>
        </r>
        <r>
          <rPr>
            <sz val="9"/>
            <color indexed="81"/>
            <rFont val="Tahoma"/>
            <family val="2"/>
          </rPr>
          <t xml:space="preserve">
plot 76? It says plot 75 on the bag</t>
        </r>
      </text>
    </comment>
    <comment ref="B492" authorId="0" shapeId="0" xr:uid="{45099C53-ADA3-481B-8EA4-82BAD5A90767}">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B505" authorId="0" shapeId="0" xr:uid="{E855B8AF-73F2-4235-9AD0-0068D91D7942}">
      <text>
        <r>
          <rPr>
            <b/>
            <sz val="9"/>
            <color indexed="81"/>
            <rFont val="Tahoma"/>
            <charset val="1"/>
          </rPr>
          <t>Anders Sundsdal:</t>
        </r>
        <r>
          <rPr>
            <sz val="9"/>
            <color indexed="81"/>
            <rFont val="Tahoma"/>
            <charset val="1"/>
          </rPr>
          <t xml:space="preserve">
Added later</t>
        </r>
      </text>
    </comment>
    <comment ref="B522" authorId="0" shapeId="0" xr:uid="{E2CBB86B-E83E-4415-9D41-5A592AFFC3C6}">
      <text>
        <r>
          <rPr>
            <b/>
            <sz val="9"/>
            <color indexed="81"/>
            <rFont val="Tahoma"/>
            <family val="2"/>
          </rPr>
          <t>Anders Sundsdal:</t>
        </r>
        <r>
          <rPr>
            <sz val="9"/>
            <color indexed="81"/>
            <rFont val="Tahoma"/>
            <family val="2"/>
          </rPr>
          <t xml:space="preserve">
Write as 208 to corresond to collection sheet. UPDATE: It says 206 on bag...</t>
        </r>
      </text>
    </comment>
    <comment ref="B530" authorId="0" shapeId="0" xr:uid="{526E1162-73AA-421D-ABF3-64FB68199FB9}">
      <text>
        <r>
          <rPr>
            <b/>
            <sz val="9"/>
            <color indexed="81"/>
            <rFont val="Tahoma"/>
            <charset val="1"/>
          </rPr>
          <t>Anders Sundsdal:</t>
        </r>
        <r>
          <rPr>
            <sz val="9"/>
            <color indexed="81"/>
            <rFont val="Tahoma"/>
            <charset val="1"/>
          </rPr>
          <t xml:space="preserve">
Added later</t>
        </r>
      </text>
    </comment>
    <comment ref="B548" authorId="0" shapeId="0" xr:uid="{4291BCB9-2C50-4A28-ABD0-F235BB76221A}">
      <text>
        <r>
          <rPr>
            <b/>
            <sz val="9"/>
            <color indexed="81"/>
            <rFont val="Tahoma"/>
            <charset val="1"/>
          </rPr>
          <t>Anders Sundsdal:</t>
        </r>
        <r>
          <rPr>
            <sz val="9"/>
            <color indexed="81"/>
            <rFont val="Tahoma"/>
            <charset val="1"/>
          </rPr>
          <t xml:space="preserve">
Added later</t>
        </r>
      </text>
    </comment>
    <comment ref="A607" authorId="0" shapeId="0" xr:uid="{97C88E04-3116-47DF-A7D8-43B907993D0A}">
      <text>
        <r>
          <rPr>
            <b/>
            <sz val="9"/>
            <color indexed="81"/>
            <rFont val="Tahoma"/>
            <family val="2"/>
          </rPr>
          <t>Anders Sundsdal:</t>
        </r>
        <r>
          <rPr>
            <sz val="9"/>
            <color indexed="81"/>
            <rFont val="Tahoma"/>
            <family val="2"/>
          </rPr>
          <t xml:space="preserve">
Changed from R396 to R390 then it corresponds to collectionsheet</t>
        </r>
      </text>
    </comment>
    <comment ref="B611" authorId="0" shapeId="0" xr:uid="{E0B3F95F-780F-4D88-997A-7EE9E8B0B9B4}">
      <text>
        <r>
          <rPr>
            <b/>
            <sz val="9"/>
            <color indexed="81"/>
            <rFont val="Tahoma"/>
            <charset val="1"/>
          </rPr>
          <t>Anders Sundsdal:</t>
        </r>
        <r>
          <rPr>
            <sz val="9"/>
            <color indexed="81"/>
            <rFont val="Tahoma"/>
            <charset val="1"/>
          </rPr>
          <t xml:space="preserve">
Added later</t>
        </r>
      </text>
    </comment>
    <comment ref="A661" authorId="0" shapeId="0" xr:uid="{3DD147BC-760A-4DB7-8585-A61CABF6BE00}">
      <text>
        <r>
          <rPr>
            <b/>
            <sz val="9"/>
            <color indexed="81"/>
            <rFont val="Tahoma"/>
            <family val="2"/>
          </rPr>
          <t>Anders Sundsdal:</t>
        </r>
        <r>
          <rPr>
            <sz val="9"/>
            <color indexed="81"/>
            <rFont val="Tahoma"/>
            <family val="2"/>
          </rPr>
          <t xml:space="preserve">
Changed from G457 to R457 then it corresponds to the collection sheet.</t>
        </r>
      </text>
    </comment>
    <comment ref="A665" authorId="0" shapeId="0" xr:uid="{99205E28-84FA-4D85-8D89-C8DBD867F3D4}">
      <text>
        <r>
          <rPr>
            <b/>
            <sz val="9"/>
            <color indexed="81"/>
            <rFont val="Tahoma"/>
            <family val="2"/>
          </rPr>
          <t>Anders Sundsdal:</t>
        </r>
        <r>
          <rPr>
            <sz val="9"/>
            <color indexed="81"/>
            <rFont val="Tahoma"/>
            <family val="2"/>
          </rPr>
          <t xml:space="preserve">
Changed from R46 to R460 then it corresponds to collection sheet</t>
        </r>
      </text>
    </comment>
    <comment ref="A682" authorId="0" shapeId="0" xr:uid="{6595BDBF-27C7-4E6C-88B6-D19590865840}">
      <text>
        <r>
          <rPr>
            <b/>
            <sz val="9"/>
            <color indexed="81"/>
            <rFont val="Tahoma"/>
            <family val="2"/>
          </rPr>
          <t>Anders Sundsdal:</t>
        </r>
        <r>
          <rPr>
            <sz val="9"/>
            <color indexed="81"/>
            <rFont val="Tahoma"/>
            <family val="2"/>
          </rPr>
          <t xml:space="preserve">
Corrected from R479? To R479 as it then corresponds to collection sheet.</t>
        </r>
      </text>
    </comment>
    <comment ref="A703" authorId="0" shapeId="0" xr:uid="{86029802-79EF-421D-AA38-E54D1E2E5D69}">
      <text>
        <r>
          <rPr>
            <b/>
            <sz val="9"/>
            <color indexed="81"/>
            <rFont val="Tahoma"/>
            <family val="2"/>
          </rPr>
          <t>Anders Sundsdal:</t>
        </r>
        <r>
          <rPr>
            <sz val="9"/>
            <color indexed="81"/>
            <rFont val="Tahoma"/>
            <family val="2"/>
          </rPr>
          <t xml:space="preserve">
Changed from R561 to R501 then it corresponds to collectionsheet in plot 76</t>
        </r>
      </text>
    </comment>
    <comment ref="B703" authorId="0" shapeId="0" xr:uid="{BE39C1AA-0255-485D-8B9C-343071826F45}">
      <text>
        <r>
          <rPr>
            <b/>
            <sz val="9"/>
            <color indexed="81"/>
            <rFont val="Tahoma"/>
            <family val="2"/>
          </rPr>
          <t>Anders Sundsdal:</t>
        </r>
        <r>
          <rPr>
            <sz val="9"/>
            <color indexed="81"/>
            <rFont val="Tahoma"/>
            <family val="2"/>
          </rPr>
          <t xml:space="preserve">
plot 76? It says plot 75 on the bag</t>
        </r>
      </text>
    </comment>
    <comment ref="A707" authorId="0" shapeId="0" xr:uid="{6572A554-AB1F-4AB6-9A91-DC3A6CF6C2D4}">
      <text>
        <r>
          <rPr>
            <b/>
            <sz val="9"/>
            <color indexed="81"/>
            <rFont val="Tahoma"/>
            <family val="2"/>
          </rPr>
          <t>Anders Sundsdal:</t>
        </r>
        <r>
          <rPr>
            <sz val="9"/>
            <color indexed="81"/>
            <rFont val="Tahoma"/>
            <family val="2"/>
          </rPr>
          <t xml:space="preserve">
Change from G_ to R_ then it corresponds to ollection sheet.</t>
        </r>
      </text>
    </comment>
    <comment ref="B738" authorId="0" shapeId="0" xr:uid="{33719FF1-2E45-404C-A903-ED47DAE95BDD}">
      <text>
        <r>
          <rPr>
            <b/>
            <sz val="9"/>
            <color indexed="81"/>
            <rFont val="Tahoma"/>
            <family val="2"/>
          </rPr>
          <t>Anders Sundsdal:</t>
        </r>
        <r>
          <rPr>
            <sz val="9"/>
            <color indexed="81"/>
            <rFont val="Tahoma"/>
            <family val="2"/>
          </rPr>
          <t xml:space="preserve">
plot 182?</t>
        </r>
      </text>
    </comment>
    <comment ref="A750" authorId="0" shapeId="0" xr:uid="{4A532ADB-01F3-4D35-8DF2-C1A58DFC8A45}">
      <text>
        <r>
          <rPr>
            <b/>
            <sz val="9"/>
            <color indexed="81"/>
            <rFont val="Tahoma"/>
            <family val="2"/>
          </rPr>
          <t>Anders Sundsdal:</t>
        </r>
        <r>
          <rPr>
            <sz val="9"/>
            <color indexed="81"/>
            <rFont val="Tahoma"/>
            <family val="2"/>
          </rPr>
          <t xml:space="preserve">
Duplicate (There is 2 bags with this code)</t>
        </r>
      </text>
    </comment>
    <comment ref="C750" authorId="0" shapeId="0" xr:uid="{E4C57499-CEE5-4071-BE62-804284B8D9C3}">
      <text>
        <r>
          <rPr>
            <b/>
            <sz val="9"/>
            <color indexed="81"/>
            <rFont val="Tahoma"/>
            <family val="2"/>
          </rPr>
          <t>Anders Sundsdal:</t>
        </r>
        <r>
          <rPr>
            <sz val="9"/>
            <color indexed="81"/>
            <rFont val="Tahoma"/>
            <family val="2"/>
          </rPr>
          <t xml:space="preserve">
Due to duplicate, it is weighed again (23.02.18) from 1.4925 to 1.4870.</t>
        </r>
      </text>
    </comment>
    <comment ref="A751" authorId="0" shapeId="0" xr:uid="{8ED9B794-F91D-4C78-A4B2-89AAA2EB4CCA}">
      <text>
        <r>
          <rPr>
            <b/>
            <sz val="9"/>
            <color indexed="81"/>
            <rFont val="Tahoma"/>
            <family val="2"/>
          </rPr>
          <t>Anders Sundsdal:</t>
        </r>
        <r>
          <rPr>
            <sz val="9"/>
            <color indexed="81"/>
            <rFont val="Tahoma"/>
            <family val="2"/>
          </rPr>
          <t xml:space="preserve">
Duplicate. Two teabags has the same code.</t>
        </r>
      </text>
    </comment>
    <comment ref="C751" authorId="0" shapeId="0" xr:uid="{4E14211A-D9F2-4B50-8444-39D964A1B1A8}">
      <text>
        <r>
          <rPr>
            <b/>
            <sz val="9"/>
            <color indexed="81"/>
            <rFont val="Tahoma"/>
            <family val="2"/>
          </rPr>
          <t>Anders Sundsdal:</t>
        </r>
        <r>
          <rPr>
            <sz val="9"/>
            <color indexed="81"/>
            <rFont val="Tahoma"/>
            <family val="2"/>
          </rPr>
          <t xml:space="preserve">
Due to duplicate, it is weighed again (23.02.18) from 1.555 to 1.5208.</t>
        </r>
      </text>
    </comment>
    <comment ref="B759" authorId="0" shapeId="0" xr:uid="{B8684FA5-A68A-422F-8AE6-63B070988564}">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A767" authorId="0" shapeId="0" xr:uid="{53A1FE3C-DC70-4FE5-BBB5-324CBED60D3A}">
      <text>
        <r>
          <rPr>
            <b/>
            <sz val="9"/>
            <color indexed="81"/>
            <rFont val="Tahoma"/>
            <family val="2"/>
          </rPr>
          <t>Anders Sundsdal:</t>
        </r>
        <r>
          <rPr>
            <sz val="9"/>
            <color indexed="81"/>
            <rFont val="Tahoma"/>
            <family val="2"/>
          </rPr>
          <t xml:space="preserve">
Changed from R534 to R564 then it corresponds to collectionsheet</t>
        </r>
      </text>
    </comment>
    <comment ref="A774" authorId="0" shapeId="0" xr:uid="{A86A02C4-1821-40BC-9FCA-32B75AC04AEB}">
      <text>
        <r>
          <rPr>
            <b/>
            <sz val="9"/>
            <color indexed="81"/>
            <rFont val="Tahoma"/>
            <family val="2"/>
          </rPr>
          <t>Anders Sundsdal:</t>
        </r>
        <r>
          <rPr>
            <sz val="9"/>
            <color indexed="81"/>
            <rFont val="Tahoma"/>
            <family val="2"/>
          </rPr>
          <t xml:space="preserve">
Changed from R574 to R571 then it corresponds to the colection sheet</t>
        </r>
      </text>
    </comment>
    <comment ref="A776" authorId="0" shapeId="0" xr:uid="{816E7C54-E427-4E6B-95D2-CDFB266AF4BB}">
      <text>
        <r>
          <rPr>
            <b/>
            <sz val="9"/>
            <color indexed="81"/>
            <rFont val="Tahoma"/>
            <family val="2"/>
          </rPr>
          <t>Anders Sundsdal:</t>
        </r>
        <r>
          <rPr>
            <sz val="9"/>
            <color indexed="81"/>
            <rFont val="Tahoma"/>
            <family val="2"/>
          </rPr>
          <t xml:space="preserve">
Corrected from 523 to 573</t>
        </r>
      </text>
    </comment>
    <comment ref="A780" authorId="0" shapeId="0" xr:uid="{C5A6D853-76B9-417C-A532-05605914201C}">
      <text>
        <r>
          <rPr>
            <b/>
            <sz val="9"/>
            <color indexed="81"/>
            <rFont val="Tahoma"/>
            <family val="2"/>
          </rPr>
          <t>Anders Sundsdal:</t>
        </r>
        <r>
          <rPr>
            <sz val="9"/>
            <color indexed="81"/>
            <rFont val="Tahoma"/>
            <family val="2"/>
          </rPr>
          <t xml:space="preserve">
Correct, corresponding to collecting sheet</t>
        </r>
      </text>
    </comment>
    <comment ref="A781" authorId="0" shapeId="0" xr:uid="{F7E32FAB-F223-4B86-9A8B-1D171D437EB3}">
      <text>
        <r>
          <rPr>
            <b/>
            <sz val="9"/>
            <color indexed="81"/>
            <rFont val="Tahoma"/>
            <family val="2"/>
          </rPr>
          <t>Anders Sundsdal:</t>
        </r>
        <r>
          <rPr>
            <sz val="9"/>
            <color indexed="81"/>
            <rFont val="Tahoma"/>
            <family val="2"/>
          </rPr>
          <t xml:space="preserve">
Duplicate. Uncertain what code this could be.</t>
        </r>
      </text>
    </comment>
    <comment ref="A788" authorId="0" shapeId="0" xr:uid="{AD61690D-A390-40D0-91CC-682372A36AF5}">
      <text>
        <r>
          <rPr>
            <b/>
            <sz val="9"/>
            <color indexed="81"/>
            <rFont val="Tahoma"/>
            <family val="2"/>
          </rPr>
          <t>Anders Sundsdal:</t>
        </r>
        <r>
          <rPr>
            <sz val="9"/>
            <color indexed="81"/>
            <rFont val="Tahoma"/>
            <family val="2"/>
          </rPr>
          <t xml:space="preserve">
Corrected from G584 to R584. Checked the paperbag. This is correct.</t>
        </r>
      </text>
    </comment>
    <comment ref="B794" authorId="0" shapeId="0" xr:uid="{8264AFC7-89B4-4A13-8847-7805301D21C0}">
      <text>
        <r>
          <rPr>
            <b/>
            <sz val="9"/>
            <color indexed="81"/>
            <rFont val="Tahoma"/>
            <family val="2"/>
          </rPr>
          <t>Anders Sundsdal:</t>
        </r>
        <r>
          <rPr>
            <sz val="9"/>
            <color indexed="81"/>
            <rFont val="Tahoma"/>
            <family val="2"/>
          </rPr>
          <t xml:space="preserve">
Plot 106 most likely</t>
        </r>
      </text>
    </comment>
    <comment ref="B797" authorId="0" shapeId="0" xr:uid="{01331946-0856-43D0-BE95-B3EFB0070C27}">
      <text>
        <r>
          <rPr>
            <b/>
            <sz val="9"/>
            <color indexed="81"/>
            <rFont val="Tahoma"/>
            <family val="2"/>
          </rPr>
          <t>Anders Sundsdal:</t>
        </r>
        <r>
          <rPr>
            <sz val="9"/>
            <color indexed="81"/>
            <rFont val="Tahoma"/>
            <family val="2"/>
          </rPr>
          <t xml:space="preserve">
Plot 106 most likely</t>
        </r>
      </text>
    </comment>
    <comment ref="B806" authorId="0" shapeId="0" xr:uid="{CC02D4DE-45DA-4AF3-AEB3-CA68555D3060}">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B810" authorId="0" shapeId="0" xr:uid="{1EBC5177-E452-4E61-A152-098C0EDCC87B}">
      <text>
        <r>
          <rPr>
            <b/>
            <sz val="9"/>
            <color indexed="81"/>
            <rFont val="Tahoma"/>
            <family val="2"/>
          </rPr>
          <t>Anders Sundsdal:</t>
        </r>
        <r>
          <rPr>
            <sz val="9"/>
            <color indexed="81"/>
            <rFont val="Tahoma"/>
            <family val="2"/>
          </rPr>
          <t xml:space="preserve">
Added later</t>
        </r>
      </text>
    </comment>
    <comment ref="B816" authorId="0" shapeId="0" xr:uid="{BF612AE5-FA10-4612-8170-2FB9EC9503BF}">
      <text>
        <r>
          <rPr>
            <b/>
            <sz val="9"/>
            <color indexed="81"/>
            <rFont val="Tahoma"/>
            <charset val="1"/>
          </rPr>
          <t>Anders Sundsdal:</t>
        </r>
        <r>
          <rPr>
            <sz val="9"/>
            <color indexed="81"/>
            <rFont val="Tahoma"/>
            <charset val="1"/>
          </rPr>
          <t xml:space="preserve">
Added later</t>
        </r>
      </text>
    </comment>
    <comment ref="B830" authorId="0" shapeId="0" xr:uid="{466F9910-399A-4870-A78E-D7B7DFCE09D6}">
      <text>
        <r>
          <rPr>
            <b/>
            <sz val="9"/>
            <color indexed="81"/>
            <rFont val="Tahoma"/>
            <family val="2"/>
          </rPr>
          <t>Anders Sundsdal:</t>
        </r>
        <r>
          <rPr>
            <sz val="9"/>
            <color indexed="81"/>
            <rFont val="Tahoma"/>
            <family val="2"/>
          </rPr>
          <t xml:space="preserve">
Added later</t>
        </r>
      </text>
    </comment>
    <comment ref="B831" authorId="0" shapeId="0" xr:uid="{216355CC-A6AF-4B08-8614-0EC2BC0B711D}">
      <text>
        <r>
          <rPr>
            <b/>
            <sz val="9"/>
            <color indexed="81"/>
            <rFont val="Tahoma"/>
            <family val="2"/>
          </rPr>
          <t>Anders Sundsdal:</t>
        </r>
        <r>
          <rPr>
            <sz val="9"/>
            <color indexed="81"/>
            <rFont val="Tahoma"/>
            <family val="2"/>
          </rPr>
          <t xml:space="preserve">
Changed from 25 to 213. Then th set of bags corresponds to collection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574" authorId="0" shapeId="0" xr:uid="{447D2031-DBE3-4078-ADD4-25CC266E458C}">
      <text>
        <r>
          <rPr>
            <b/>
            <sz val="9"/>
            <color indexed="81"/>
            <rFont val="Tahoma"/>
            <family val="2"/>
          </rPr>
          <t>Anders Sundsdal:</t>
        </r>
        <r>
          <rPr>
            <sz val="9"/>
            <color indexed="81"/>
            <rFont val="Tahoma"/>
            <family val="2"/>
          </rPr>
          <t xml:space="preserve">
Changed from ? to R722.</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1510" authorId="0" shapeId="0" xr:uid="{74BFA3B5-D2AF-46D0-A9E3-0D2367D4810F}">
      <text>
        <r>
          <rPr>
            <b/>
            <sz val="9"/>
            <color indexed="81"/>
            <rFont val="Tahoma"/>
            <charset val="1"/>
          </rPr>
          <t>Anders Sundsdal:</t>
        </r>
        <r>
          <rPr>
            <sz val="9"/>
            <color indexed="81"/>
            <rFont val="Tahoma"/>
            <charset val="1"/>
          </rPr>
          <t xml:space="preserve">
Changed from R601 to R841 since this was a duplicate. Changed this number in all other sheets for dry season(including collection placement sheet for dry season)</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53" authorId="0" shapeId="0" xr:uid="{3FD372DC-F869-44E0-A923-A6C3B154386E}">
      <text>
        <r>
          <rPr>
            <b/>
            <sz val="9"/>
            <color indexed="81"/>
            <rFont val="Tahoma"/>
            <family val="2"/>
          </rPr>
          <t>Anders Sundsdal:</t>
        </r>
        <r>
          <rPr>
            <sz val="9"/>
            <color indexed="81"/>
            <rFont val="Tahoma"/>
            <family val="2"/>
          </rPr>
          <t xml:space="preserve">
Changed from G169 to G162 due to duplicate
</t>
        </r>
      </text>
    </comment>
    <comment ref="A69" authorId="0" shapeId="0" xr:uid="{6F03231B-4377-4907-AC6E-ABBDF40847A3}">
      <text>
        <r>
          <rPr>
            <b/>
            <sz val="9"/>
            <color indexed="81"/>
            <rFont val="Tahoma"/>
            <family val="2"/>
          </rPr>
          <t>Anders Sundsdal:</t>
        </r>
        <r>
          <rPr>
            <sz val="9"/>
            <color indexed="81"/>
            <rFont val="Tahoma"/>
            <family val="2"/>
          </rPr>
          <t xml:space="preserve">
Changed from G123 to G183 due to duplicate. Found the code in placement_collection sheet
</t>
        </r>
      </text>
    </comment>
    <comment ref="A286" authorId="0" shapeId="0" xr:uid="{F9DE3600-8B9E-4B66-93DD-96E0DD328978}">
      <text>
        <r>
          <rPr>
            <b/>
            <sz val="9"/>
            <color indexed="81"/>
            <rFont val="Tahoma"/>
            <family val="2"/>
          </rPr>
          <t>Anders Sundsdal:</t>
        </r>
        <r>
          <rPr>
            <sz val="9"/>
            <color indexed="81"/>
            <rFont val="Tahoma"/>
            <family val="2"/>
          </rPr>
          <t xml:space="preserve">
Channged from G67 to G671 due to duplivate. Found the code in placement_collection sheet.</t>
        </r>
      </text>
    </comment>
    <comment ref="A298" authorId="0" shapeId="0" xr:uid="{D880C7BE-8945-4F2D-90D1-27DD7E34D162}">
      <text>
        <r>
          <rPr>
            <b/>
            <sz val="9"/>
            <color indexed="81"/>
            <rFont val="Tahoma"/>
            <family val="2"/>
          </rPr>
          <t>Anders Sundsdal:</t>
        </r>
        <r>
          <rPr>
            <sz val="9"/>
            <color indexed="81"/>
            <rFont val="Tahoma"/>
            <family val="2"/>
          </rPr>
          <t xml:space="preserve">
Changed from R443 to G757 as it was wrong code</t>
        </r>
      </text>
    </comment>
    <comment ref="A438" authorId="0" shapeId="0" xr:uid="{320903FE-157E-44A3-8B42-9F6B87975BB5}">
      <text>
        <r>
          <rPr>
            <b/>
            <sz val="9"/>
            <color indexed="81"/>
            <rFont val="Tahoma"/>
            <family val="2"/>
          </rPr>
          <t>Anders Sundsdal:</t>
        </r>
        <r>
          <rPr>
            <sz val="9"/>
            <color indexed="81"/>
            <rFont val="Tahoma"/>
            <family val="2"/>
          </rPr>
          <t xml:space="preserve">
Changed from G357 to R357 as it was too many green bag codes. Found the code in placement_collection sheet.</t>
        </r>
      </text>
    </comment>
    <comment ref="A441" authorId="0" shapeId="0" xr:uid="{3683F7B0-7A3F-4CD9-BBE9-90E413AF6E1C}">
      <text>
        <r>
          <rPr>
            <b/>
            <sz val="9"/>
            <color indexed="81"/>
            <rFont val="Tahoma"/>
            <family val="2"/>
          </rPr>
          <t>Anders Sundsdal:</t>
        </r>
        <r>
          <rPr>
            <sz val="9"/>
            <color indexed="81"/>
            <rFont val="Tahoma"/>
            <family val="2"/>
          </rPr>
          <t xml:space="preserve">
Changed from R180 to R364 as this was wrong code, following the collection_placement sheet
</t>
        </r>
      </text>
    </comment>
    <comment ref="A470" authorId="0" shapeId="0" xr:uid="{924B00F1-9F1B-4386-9845-7177602A8229}">
      <text>
        <r>
          <rPr>
            <b/>
            <sz val="9"/>
            <color indexed="81"/>
            <rFont val="Tahoma"/>
            <charset val="1"/>
          </rPr>
          <t>Anders Sundsdal:</t>
        </r>
        <r>
          <rPr>
            <sz val="9"/>
            <color indexed="81"/>
            <rFont val="Tahoma"/>
            <charset val="1"/>
          </rPr>
          <t xml:space="preserve">
Changed from R601 to R841 due to duplicate.</t>
        </r>
      </text>
    </comment>
    <comment ref="A541" authorId="0" shapeId="0" xr:uid="{4FDD7538-E8B3-4158-A523-6E806D9851E3}">
      <text>
        <r>
          <rPr>
            <b/>
            <sz val="9"/>
            <color indexed="81"/>
            <rFont val="Tahoma"/>
            <family val="2"/>
          </rPr>
          <t>Anders Sundsdal:</t>
        </r>
        <r>
          <rPr>
            <sz val="9"/>
            <color indexed="81"/>
            <rFont val="Tahoma"/>
            <family val="2"/>
          </rPr>
          <t xml:space="preserve">
Changed from G?25 to R682 as it ws wrong code written. Found the code in placement_collection shet.</t>
        </r>
      </text>
    </comment>
    <comment ref="A579" authorId="0" shapeId="0" xr:uid="{E2D1C088-DEFB-46FF-9D24-BDF38E970385}">
      <text>
        <r>
          <rPr>
            <b/>
            <sz val="9"/>
            <color indexed="81"/>
            <rFont val="Tahoma"/>
            <family val="2"/>
          </rPr>
          <t>Anders Sundsdal:</t>
        </r>
        <r>
          <rPr>
            <sz val="9"/>
            <color indexed="81"/>
            <rFont val="Tahoma"/>
            <family val="2"/>
          </rPr>
          <t xml:space="preserve">
Did not see code, found the code from the placement_collecion sheet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J22" authorId="0" shapeId="0" xr:uid="{91A62570-80DA-49B5-9E59-6ADFBFA758A2}">
      <text>
        <r>
          <rPr>
            <b/>
            <sz val="9"/>
            <color indexed="81"/>
            <rFont val="Tahoma"/>
            <family val="2"/>
          </rPr>
          <t>Anders Sundsdal:</t>
        </r>
        <r>
          <rPr>
            <sz val="9"/>
            <color indexed="81"/>
            <rFont val="Tahoma"/>
            <family val="2"/>
          </rPr>
          <t xml:space="preserve">
NOT COLLECTED. Duplicate. Not correct. Cant' be R14 either as an other bag has this code. In AfterWet, plot number 21 is not written anywhere in the data.</t>
        </r>
      </text>
    </comment>
    <comment ref="G56" authorId="0" shapeId="0" xr:uid="{C8AAEC52-A57C-44EC-BD50-5C488AFC8F02}">
      <text>
        <r>
          <rPr>
            <b/>
            <sz val="9"/>
            <color indexed="81"/>
            <rFont val="Tahoma"/>
            <family val="2"/>
          </rPr>
          <t>Anders Sundsdal:</t>
        </r>
        <r>
          <rPr>
            <sz val="9"/>
            <color indexed="81"/>
            <rFont val="Tahoma"/>
            <family val="2"/>
          </rPr>
          <t xml:space="preserve">
Not collected</t>
        </r>
      </text>
    </comment>
    <comment ref="H56" authorId="0" shapeId="0" xr:uid="{4F58583B-DF85-482F-A0A3-A00F24187466}">
      <text>
        <r>
          <rPr>
            <b/>
            <sz val="9"/>
            <color indexed="81"/>
            <rFont val="Tahoma"/>
            <family val="2"/>
          </rPr>
          <t>Anders Sundsdal:</t>
        </r>
        <r>
          <rPr>
            <sz val="9"/>
            <color indexed="81"/>
            <rFont val="Tahoma"/>
            <family val="2"/>
          </rPr>
          <t xml:space="preserve">
Duplicate. Have been corrected in physical collection sheet stating R14. So this should be correct: 14. UPDATE: Checked the bag itself and it was R19. So now it shold be 19 in this cell.</t>
        </r>
      </text>
    </comment>
    <comment ref="J56" authorId="0" shapeId="0" xr:uid="{68D556D3-4060-4315-B270-2AEE1DA1823C}">
      <text>
        <r>
          <rPr>
            <b/>
            <sz val="9"/>
            <color indexed="81"/>
            <rFont val="Tahoma"/>
            <family val="2"/>
          </rPr>
          <t>Anders Sundsdal:</t>
        </r>
        <r>
          <rPr>
            <sz val="9"/>
            <color indexed="81"/>
            <rFont val="Tahoma"/>
            <family val="2"/>
          </rPr>
          <t xml:space="preserve">
Most likely true as the paprbag plot 55 has this number. This plot has only collected 3 teabags. UPDATE: The bag contains R54. But There is also a bag with same number. Enamed this bag 54b</t>
        </r>
      </text>
    </comment>
    <comment ref="G57" authorId="0" shapeId="0" xr:uid="{D5AD1576-1E7C-4232-AF57-1D2463439047}">
      <text>
        <r>
          <rPr>
            <b/>
            <sz val="9"/>
            <color indexed="81"/>
            <rFont val="Tahoma"/>
            <family val="2"/>
          </rPr>
          <t>Anders Sundsdal:</t>
        </r>
        <r>
          <rPr>
            <sz val="9"/>
            <color indexed="81"/>
            <rFont val="Tahoma"/>
            <family val="2"/>
          </rPr>
          <t xml:space="preserve">
Check paperbag with plot 56. In AfterWet it states that this is correct. Check the other duplucate first below.</t>
        </r>
      </text>
    </comment>
    <comment ref="G58" authorId="0" shapeId="0" xr:uid="{4765A9C4-22BC-45BC-B4D9-3E4AFBC3F166}">
      <text>
        <r>
          <rPr>
            <b/>
            <sz val="9"/>
            <color indexed="81"/>
            <rFont val="Tahoma"/>
            <family val="2"/>
          </rPr>
          <t>Anders Sundsdal:</t>
        </r>
        <r>
          <rPr>
            <sz val="9"/>
            <color indexed="81"/>
            <rFont val="Tahoma"/>
            <family val="2"/>
          </rPr>
          <t xml:space="preserve">
Duplicate. This one is wrong. Need to check the loose teabags in the big paperbag.UPDATE: Can't find it in loose bag</t>
        </r>
      </text>
    </comment>
    <comment ref="G71" authorId="0" shapeId="0" xr:uid="{1478B5A8-A198-4003-A284-06C3C9AA605D}">
      <text>
        <r>
          <rPr>
            <b/>
            <sz val="9"/>
            <color indexed="81"/>
            <rFont val="Tahoma"/>
            <family val="2"/>
          </rPr>
          <t>Anders Sundsdal:</t>
        </r>
        <r>
          <rPr>
            <sz val="9"/>
            <color indexed="81"/>
            <rFont val="Tahoma"/>
            <family val="2"/>
          </rPr>
          <t xml:space="preserve">
Check paperbag with plot 70. Maybe G338? In Afterwet it has 3 red codes. One of them green code?</t>
        </r>
      </text>
    </comment>
    <comment ref="J73" authorId="0" shapeId="0" xr:uid="{4772C744-75A5-4F09-A4E8-51530C757844}">
      <text>
        <r>
          <rPr>
            <b/>
            <sz val="9"/>
            <color indexed="81"/>
            <rFont val="Tahoma"/>
            <family val="2"/>
          </rPr>
          <t>Anders Sundsdal:</t>
        </r>
        <r>
          <rPr>
            <sz val="9"/>
            <color indexed="81"/>
            <rFont val="Tahoma"/>
            <family val="2"/>
          </rPr>
          <t xml:space="preserve">
No idea why this is a duplicate. Have to try and find he code in the bag with loose tea. If don't find code. This is an other code. UPDATE: this is the correct code: 14</t>
        </r>
      </text>
    </comment>
    <comment ref="I111" authorId="0" shapeId="0" xr:uid="{AB8165A4-CEE4-46DD-98A8-62C03F9B45B5}">
      <text>
        <r>
          <rPr>
            <b/>
            <sz val="9"/>
            <color indexed="81"/>
            <rFont val="Tahoma"/>
            <family val="2"/>
          </rPr>
          <t>Anders Sundsdal:</t>
        </r>
        <r>
          <rPr>
            <sz val="9"/>
            <color indexed="81"/>
            <rFont val="Tahoma"/>
            <family val="2"/>
          </rPr>
          <t xml:space="preserve">
Not found in the AfterWet sheet. UPDATE: Found a teabag which looked like 88. But was 882. THs is also updatetd in AfterWet</t>
        </r>
      </text>
    </comment>
    <comment ref="J111" authorId="0" shapeId="0" xr:uid="{B1CDC4A4-AA60-455B-9260-5DA36BEEADE9}">
      <text>
        <r>
          <rPr>
            <b/>
            <sz val="9"/>
            <color indexed="81"/>
            <rFont val="Tahoma"/>
            <family val="2"/>
          </rPr>
          <t>Anders Sundsdal:</t>
        </r>
        <r>
          <rPr>
            <sz val="9"/>
            <color indexed="81"/>
            <rFont val="Tahoma"/>
            <family val="2"/>
          </rPr>
          <t xml:space="preserve">
Have to check the teabags in loose paperbag. UPDATE: Found one bag with this number. So there is two teabags with same number. Renamed the bag 54a.</t>
        </r>
      </text>
    </comment>
    <comment ref="G202" authorId="0" shapeId="0" xr:uid="{750A5902-59E3-4A66-A056-8C8CC77CF580}">
      <text>
        <r>
          <rPr>
            <b/>
            <sz val="9"/>
            <color indexed="81"/>
            <rFont val="Tahoma"/>
            <family val="2"/>
          </rPr>
          <t>Anders Sundsdal:</t>
        </r>
        <r>
          <rPr>
            <sz val="9"/>
            <color indexed="81"/>
            <rFont val="Tahoma"/>
            <family val="2"/>
          </rPr>
          <t xml:space="preserve">
Missing in AfterWet</t>
        </r>
      </text>
    </comment>
    <comment ref="I208" authorId="0" shapeId="0" xr:uid="{A3A7B9FD-7C11-46B7-BD58-F3F56B877DC5}">
      <text>
        <r>
          <rPr>
            <b/>
            <sz val="9"/>
            <color indexed="81"/>
            <rFont val="Tahoma"/>
            <family val="2"/>
          </rPr>
          <t>Anders Sundsdal:</t>
        </r>
        <r>
          <rPr>
            <sz val="9"/>
            <color indexed="81"/>
            <rFont val="Tahoma"/>
            <family val="2"/>
          </rPr>
          <t xml:space="preserve">
Most likely correct</t>
        </r>
      </text>
    </comment>
    <comment ref="J211" authorId="0" shapeId="0" xr:uid="{7B7A3926-F583-4308-8D9C-087956E6ECC7}">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J212" authorId="0" shapeId="0" xr:uid="{7F77E8A2-2BC6-44CE-B4D3-3EA6BC418F23}">
      <text>
        <r>
          <rPr>
            <b/>
            <sz val="9"/>
            <color indexed="81"/>
            <rFont val="Tahoma"/>
            <family val="2"/>
          </rPr>
          <t>Anders Sundsdal:</t>
        </r>
        <r>
          <rPr>
            <sz val="9"/>
            <color indexed="81"/>
            <rFont val="Tahoma"/>
            <family val="2"/>
          </rPr>
          <t xml:space="preserve">
Corrected by looking at the post-incubation reading.</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K350" authorId="0" shapeId="0" xr:uid="{5B02AD18-0733-495D-97A1-F294AD229FF0}">
      <text>
        <r>
          <rPr>
            <b/>
            <sz val="9"/>
            <color indexed="81"/>
            <rFont val="Tahoma"/>
            <family val="2"/>
          </rPr>
          <t>Anders Sundsdal:</t>
        </r>
        <r>
          <rPr>
            <sz val="9"/>
            <color indexed="81"/>
            <rFont val="Tahoma"/>
            <family val="2"/>
          </rPr>
          <t xml:space="preserve">
Finner ikke R54b i initial weight</t>
        </r>
      </text>
    </comment>
    <comment ref="K405" authorId="0" shapeId="0" xr:uid="{F7DD44AB-09B5-4BB5-914C-CC5F888832A5}">
      <text>
        <r>
          <rPr>
            <b/>
            <sz val="9"/>
            <color indexed="81"/>
            <rFont val="Tahoma"/>
            <family val="2"/>
          </rPr>
          <t>Anders Sundsdal:</t>
        </r>
        <r>
          <rPr>
            <sz val="9"/>
            <color indexed="81"/>
            <rFont val="Tahoma"/>
            <family val="2"/>
          </rPr>
          <t xml:space="preserve">
R54a ikke i initial weight arket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K350" authorId="0" shapeId="0" xr:uid="{6A816C0E-DA43-465F-A974-173FEB66AEA9}">
      <text>
        <r>
          <rPr>
            <b/>
            <sz val="9"/>
            <color indexed="81"/>
            <rFont val="Tahoma"/>
            <family val="2"/>
          </rPr>
          <t>Anders Sundsdal:</t>
        </r>
        <r>
          <rPr>
            <sz val="9"/>
            <color indexed="81"/>
            <rFont val="Tahoma"/>
            <family val="2"/>
          </rPr>
          <t xml:space="preserve">
Finner ikke R54b i initial weight</t>
        </r>
      </text>
    </comment>
    <comment ref="K405" authorId="0" shapeId="0" xr:uid="{52276EDC-C07F-46F1-BD3D-51AAB8BC74BA}">
      <text>
        <r>
          <rPr>
            <b/>
            <sz val="9"/>
            <color indexed="81"/>
            <rFont val="Tahoma"/>
            <family val="2"/>
          </rPr>
          <t>Anders Sundsdal:</t>
        </r>
        <r>
          <rPr>
            <sz val="9"/>
            <color indexed="81"/>
            <rFont val="Tahoma"/>
            <family val="2"/>
          </rPr>
          <t xml:space="preserve">
R54a ikke i initial weight arket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K350" authorId="0" shapeId="0" xr:uid="{BAC4D850-1C80-4F94-B379-623A639DE898}">
      <text>
        <r>
          <rPr>
            <b/>
            <sz val="9"/>
            <color indexed="81"/>
            <rFont val="Tahoma"/>
            <family val="2"/>
          </rPr>
          <t>Anders Sundsdal:</t>
        </r>
        <r>
          <rPr>
            <sz val="9"/>
            <color indexed="81"/>
            <rFont val="Tahoma"/>
            <family val="2"/>
          </rPr>
          <t xml:space="preserve">
Finner ikke R54b i initial weight</t>
        </r>
      </text>
    </comment>
    <comment ref="K405" authorId="0" shapeId="0" xr:uid="{1E3B7806-557A-4278-9C25-2A053E6CA34D}">
      <text>
        <r>
          <rPr>
            <b/>
            <sz val="9"/>
            <color indexed="81"/>
            <rFont val="Tahoma"/>
            <family val="2"/>
          </rPr>
          <t>Anders Sundsdal:</t>
        </r>
        <r>
          <rPr>
            <sz val="9"/>
            <color indexed="81"/>
            <rFont val="Tahoma"/>
            <family val="2"/>
          </rPr>
          <t xml:space="preserve">
R54a ikke i initial weight arket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K350" authorId="0" shapeId="0" xr:uid="{D92F788D-0498-4AA2-B741-D6428F6FC5B0}">
      <text>
        <r>
          <rPr>
            <b/>
            <sz val="9"/>
            <color indexed="81"/>
            <rFont val="Tahoma"/>
            <family val="2"/>
          </rPr>
          <t>Anders Sundsdal:</t>
        </r>
        <r>
          <rPr>
            <sz val="9"/>
            <color indexed="81"/>
            <rFont val="Tahoma"/>
            <family val="2"/>
          </rPr>
          <t xml:space="preserve">
Finner ikke R54b i initial weight</t>
        </r>
      </text>
    </comment>
    <comment ref="K405" authorId="0" shapeId="0" xr:uid="{6810FF8F-78ED-45BC-A3E5-391374467E5F}">
      <text>
        <r>
          <rPr>
            <b/>
            <sz val="9"/>
            <color indexed="81"/>
            <rFont val="Tahoma"/>
            <family val="2"/>
          </rPr>
          <t>Anders Sundsdal:</t>
        </r>
        <r>
          <rPr>
            <sz val="9"/>
            <color indexed="81"/>
            <rFont val="Tahoma"/>
            <family val="2"/>
          </rPr>
          <t xml:space="preserve">
R54a ikke i initial weight arket
</t>
        </r>
      </text>
    </comment>
  </commentList>
</comments>
</file>

<file path=xl/sharedStrings.xml><?xml version="1.0" encoding="utf-8"?>
<sst xmlns="http://schemas.openxmlformats.org/spreadsheetml/2006/main" count="37601" uniqueCount="3932">
  <si>
    <t>Principal investigator</t>
  </si>
  <si>
    <t>Affiliation PI</t>
  </si>
  <si>
    <t>Email address of principal investigator</t>
  </si>
  <si>
    <t>Email address secondary investigator</t>
  </si>
  <si>
    <t>Country</t>
  </si>
  <si>
    <t>Name of the project</t>
  </si>
  <si>
    <t>Aim of the project</t>
  </si>
  <si>
    <t>Reference (APA)</t>
  </si>
  <si>
    <r>
      <t>Hydrolysable fraction green tea (</t>
    </r>
    <r>
      <rPr>
        <b/>
        <sz val="11"/>
        <rFont val="Calibri"/>
        <family val="2"/>
      </rPr>
      <t>Hg</t>
    </r>
    <r>
      <rPr>
        <sz val="11"/>
        <rFont val="Calibri"/>
        <family val="2"/>
      </rPr>
      <t>)</t>
    </r>
  </si>
  <si>
    <r>
      <t>Hydrolysable fraction red tea (</t>
    </r>
    <r>
      <rPr>
        <b/>
        <sz val="11"/>
        <rFont val="Calibri"/>
        <family val="2"/>
      </rPr>
      <t>Hr</t>
    </r>
    <r>
      <rPr>
        <sz val="11"/>
        <rFont val="Calibri"/>
        <family val="2"/>
      </rPr>
      <t>)</t>
    </r>
  </si>
  <si>
    <t>Weight of bag (Wbag)</t>
  </si>
  <si>
    <t>Weight of cord (Wcord)</t>
  </si>
  <si>
    <t>Weight of cord + bag (Wcordandbag)</t>
  </si>
  <si>
    <t>Weight of label (Wlabel)</t>
  </si>
  <si>
    <t>Correction for handling and drying green tea (FcorrGreen)</t>
  </si>
  <si>
    <t>Correction for handling and drying red tea (FcorrRed)</t>
  </si>
  <si>
    <t>Location codes</t>
  </si>
  <si>
    <t>Coordinates (WGS1984 - decimal)</t>
  </si>
  <si>
    <t>LAT</t>
  </si>
  <si>
    <t>Grassland</t>
  </si>
  <si>
    <t>Pasture</t>
  </si>
  <si>
    <t>Treatment codes</t>
  </si>
  <si>
    <t>Ambient</t>
  </si>
  <si>
    <t>Sample ID</t>
  </si>
  <si>
    <t>Location</t>
  </si>
  <si>
    <t>Treatment</t>
  </si>
  <si>
    <t>Replicate</t>
  </si>
  <si>
    <r>
      <t>D</t>
    </r>
    <r>
      <rPr>
        <sz val="11"/>
        <rFont val="Calibri"/>
        <family val="2"/>
      </rPr>
      <t>ate of burial</t>
    </r>
  </si>
  <si>
    <r>
      <t xml:space="preserve">Initial weight </t>
    </r>
    <r>
      <rPr>
        <sz val="11"/>
        <color indexed="10"/>
        <rFont val="Calibri"/>
        <family val="2"/>
      </rPr>
      <t xml:space="preserve">red tea </t>
    </r>
    <r>
      <rPr>
        <sz val="11"/>
        <color indexed="8"/>
        <rFont val="Calibri"/>
        <family val="2"/>
      </rPr>
      <t>including bag, cord, and label</t>
    </r>
  </si>
  <si>
    <r>
      <t xml:space="preserve">Initial weight </t>
    </r>
    <r>
      <rPr>
        <sz val="11"/>
        <color indexed="17"/>
        <rFont val="Calibri"/>
        <family val="2"/>
      </rPr>
      <t>green tea</t>
    </r>
    <r>
      <rPr>
        <sz val="11"/>
        <color indexed="8"/>
        <rFont val="Calibri"/>
        <family val="2"/>
      </rPr>
      <t xml:space="preserve"> tea only</t>
    </r>
  </si>
  <si>
    <r>
      <t xml:space="preserve">Initial weight </t>
    </r>
    <r>
      <rPr>
        <sz val="11"/>
        <color indexed="10"/>
        <rFont val="Calibri"/>
        <family val="2"/>
      </rPr>
      <t xml:space="preserve">red tea </t>
    </r>
    <r>
      <rPr>
        <sz val="11"/>
        <color indexed="8"/>
        <rFont val="Calibri"/>
        <family val="2"/>
      </rPr>
      <t>tea only</t>
    </r>
  </si>
  <si>
    <t>Recovery date</t>
  </si>
  <si>
    <t>Final weight green tea including bag and cord, no label</t>
  </si>
  <si>
    <t>Final weight red tea including bag and cord, no label</t>
  </si>
  <si>
    <r>
      <t xml:space="preserve">Final weight </t>
    </r>
    <r>
      <rPr>
        <sz val="11"/>
        <color indexed="17"/>
        <rFont val="Calibri"/>
        <family val="2"/>
      </rPr>
      <t xml:space="preserve">green tea </t>
    </r>
    <r>
      <rPr>
        <sz val="11"/>
        <color indexed="8"/>
        <rFont val="Calibri"/>
        <family val="2"/>
      </rPr>
      <t>tea only</t>
    </r>
  </si>
  <si>
    <r>
      <t xml:space="preserve">Final weight </t>
    </r>
    <r>
      <rPr>
        <sz val="11"/>
        <color indexed="10"/>
        <rFont val="Calibri"/>
        <family val="2"/>
      </rPr>
      <t xml:space="preserve">red tea </t>
    </r>
    <r>
      <rPr>
        <sz val="11"/>
        <color indexed="8"/>
        <rFont val="Calibri"/>
        <family val="2"/>
      </rPr>
      <t>tea only</t>
    </r>
  </si>
  <si>
    <r>
      <t xml:space="preserve">Fraction decomposed </t>
    </r>
    <r>
      <rPr>
        <sz val="11"/>
        <color indexed="17"/>
        <rFont val="Calibri"/>
        <family val="2"/>
      </rPr>
      <t>green tea</t>
    </r>
    <r>
      <rPr>
        <sz val="11"/>
        <color indexed="8"/>
        <rFont val="Calibri"/>
        <family val="2"/>
      </rPr>
      <t xml:space="preserve"> (</t>
    </r>
    <r>
      <rPr>
        <b/>
        <sz val="11"/>
        <color indexed="8"/>
        <rFont val="Calibri"/>
        <family val="2"/>
      </rPr>
      <t>ag</t>
    </r>
    <r>
      <rPr>
        <sz val="11"/>
        <color indexed="8"/>
        <rFont val="Calibri"/>
        <family val="2"/>
      </rPr>
      <t>)</t>
    </r>
  </si>
  <si>
    <r>
      <t xml:space="preserve">Predicted labile fraction </t>
    </r>
    <r>
      <rPr>
        <sz val="11"/>
        <color indexed="10"/>
        <rFont val="Calibri"/>
        <family val="2"/>
      </rPr>
      <t>red tea</t>
    </r>
    <r>
      <rPr>
        <sz val="11"/>
        <color indexed="8"/>
        <rFont val="Calibri"/>
        <family val="2"/>
      </rPr>
      <t xml:space="preserve"> (</t>
    </r>
    <r>
      <rPr>
        <b/>
        <sz val="11"/>
        <color indexed="8"/>
        <rFont val="Calibri"/>
        <family val="2"/>
      </rPr>
      <t>ar</t>
    </r>
    <r>
      <rPr>
        <sz val="11"/>
        <color indexed="8"/>
        <rFont val="Calibri"/>
        <family val="2"/>
      </rPr>
      <t>)</t>
    </r>
  </si>
  <si>
    <r>
      <t xml:space="preserve"> Fraction remaining   </t>
    </r>
    <r>
      <rPr>
        <sz val="11"/>
        <color indexed="10"/>
        <rFont val="Calibri"/>
        <family val="2"/>
      </rPr>
      <t xml:space="preserve">   red tea</t>
    </r>
    <r>
      <rPr>
        <sz val="11"/>
        <color indexed="8"/>
        <rFont val="Calibri"/>
        <family val="2"/>
      </rPr>
      <t xml:space="preserve"> (</t>
    </r>
    <r>
      <rPr>
        <b/>
        <sz val="11"/>
        <color indexed="8"/>
        <rFont val="Calibri"/>
        <family val="2"/>
      </rPr>
      <t>Wt</t>
    </r>
    <r>
      <rPr>
        <sz val="11"/>
        <color indexed="8"/>
        <rFont val="Calibri"/>
        <family val="2"/>
      </rPr>
      <t>)</t>
    </r>
  </si>
  <si>
    <r>
      <t xml:space="preserve">incubation time      </t>
    </r>
    <r>
      <rPr>
        <sz val="11"/>
        <color indexed="10"/>
        <rFont val="Calibri"/>
        <family val="2"/>
      </rPr>
      <t>red</t>
    </r>
    <r>
      <rPr>
        <sz val="11"/>
        <color indexed="8"/>
        <rFont val="Calibri"/>
        <family val="2"/>
      </rPr>
      <t xml:space="preserve"> and </t>
    </r>
    <r>
      <rPr>
        <sz val="11"/>
        <color indexed="17"/>
        <rFont val="Calibri"/>
        <family val="2"/>
      </rPr>
      <t>green</t>
    </r>
    <r>
      <rPr>
        <sz val="11"/>
        <color indexed="8"/>
        <rFont val="Calibri"/>
        <family val="2"/>
      </rPr>
      <t xml:space="preserve"> tea (</t>
    </r>
    <r>
      <rPr>
        <b/>
        <sz val="11"/>
        <color indexed="8"/>
        <rFont val="Calibri"/>
        <family val="2"/>
      </rPr>
      <t>t</t>
    </r>
    <r>
      <rPr>
        <sz val="11"/>
        <color indexed="8"/>
        <rFont val="Calibri"/>
        <family val="2"/>
      </rPr>
      <t>)</t>
    </r>
  </si>
  <si>
    <t>S</t>
  </si>
  <si>
    <t>k</t>
  </si>
  <si>
    <t>GENERAL COMMENTS</t>
  </si>
  <si>
    <t>Use 'ambient' for your treatment that resembles the natural/unchanged/control conditions for your location</t>
  </si>
  <si>
    <t>Simply leave the field open in case of missing data.</t>
  </si>
  <si>
    <t>Restrict making remarks on your samples to a minimum. Instead, leave out questionable datapoints (e.g. from bags with root ingrowth or holes or that deviate otherwise from the standardized method).</t>
  </si>
  <si>
    <r>
      <t xml:space="preserve">When sending the data back to us, only send the data that you trust and that followed the standardized protocol </t>
    </r>
    <r>
      <rPr>
        <sz val="11"/>
        <color indexed="17"/>
        <rFont val="Calibri"/>
        <family val="2"/>
      </rPr>
      <t>(Keuskamp et al., 2013)</t>
    </r>
    <r>
      <rPr>
        <sz val="11"/>
        <color indexed="8"/>
        <rFont val="Calibri"/>
        <family val="2"/>
      </rPr>
      <t>.
Data can be sent to TBIteam@decolab.org.</t>
    </r>
  </si>
  <si>
    <t>PROTOCOL</t>
  </si>
  <si>
    <t>1. Take an unused Lipton Green tea (EAN 87 22700 05552 5) and Rooibos tea (EAN 87 22700 18843 8) bag per replicate. To obtain better estimates of TBI, bury more replicates per site.</t>
  </si>
  <si>
    <t>2. Measure the initial, air-dry weight of the tea bag (.000 g) -including bag, cord and label-</t>
  </si>
  <si>
    <t>3. (optional) Determine the air-dry to oven-dry ratio on bags without label. Also determine the weigh of a few empty the bags, cords and labels.</t>
  </si>
  <si>
    <t>4. Mark the tea bags on the white side of the label with a permanent black marker.</t>
  </si>
  <si>
    <t>5. Bury the teabags in 8 cm-deep, separate holes while keeping the labels visible above the soil.</t>
  </si>
  <si>
    <t>6. Note the date of burial and geographical position of the site.</t>
  </si>
  <si>
    <t>7. Recover the tea bags after approximately 90 days</t>
  </si>
  <si>
    <t>8. Remove adhered soil particles and dry in a stove for 48h at 70°C (not warmer!).</t>
  </si>
  <si>
    <t>9. Remove what is left of the label but leave the cord and weigh the bags (.000 g).</t>
  </si>
  <si>
    <t>10. Fill in this sheet and send it to TBIteam@decolab.org</t>
  </si>
  <si>
    <t>EXPLANATION OF THE FIELDS</t>
  </si>
  <si>
    <t>METADATA</t>
  </si>
  <si>
    <t>Your full name.</t>
  </si>
  <si>
    <t>Affiliation name and country.</t>
  </si>
  <si>
    <t>Your email address.</t>
  </si>
  <si>
    <t>If available, someone who, in ten year will still be available.</t>
  </si>
  <si>
    <t>Which name do you use to describe your project? If your 
research is part of a bigger initiative, write the project name.</t>
  </si>
  <si>
    <t>The country where you work</t>
  </si>
  <si>
    <t>Shortly describe your main question, and other relevant 
information to understand differences between your treatments.</t>
  </si>
  <si>
    <t>Provide a references to publications in which these data are used (if applicable).</t>
  </si>
  <si>
    <t>COMMON DATA</t>
  </si>
  <si>
    <t>This is the fraction of the green tea material that is considered to be decomposable. It is all the material that can be removed by water and acid extractions.</t>
  </si>
  <si>
    <t>See Keuskamp et al., 2013 for methods</t>
  </si>
  <si>
    <t>Idem for red tea.</t>
  </si>
  <si>
    <t>Weight of the plastic of the triangular bag only (g).</t>
  </si>
  <si>
    <t>you can replace the standard weight by your own weight</t>
  </si>
  <si>
    <t>Weight of the plastic cord only (g).</t>
  </si>
  <si>
    <t>Weight of the square label only (g).</t>
  </si>
  <si>
    <t>Correction that can be applied to correct for air-dry start weight and oven
dried end weight and loss of litter before digging down the GREEN tea. Under the assumption that the bag and cord have a negligible moisture content</t>
  </si>
  <si>
    <t>Not obligatory</t>
  </si>
  <si>
    <t>calculate correction factor</t>
  </si>
  <si>
    <t>Start weight (air-dry, with label and cord)</t>
  </si>
  <si>
    <t>Weight after handling and drying (without label, remove the label after drying, before weighing)</t>
  </si>
  <si>
    <t>F corr</t>
  </si>
  <si>
    <t>green1</t>
  </si>
  <si>
    <t>green2</t>
  </si>
  <si>
    <t>etc.</t>
  </si>
  <si>
    <t>red1</t>
  </si>
  <si>
    <t>red2</t>
  </si>
  <si>
    <t>LOCATION CODES</t>
  </si>
  <si>
    <t>example</t>
  </si>
  <si>
    <t>TREATMENT CODES</t>
  </si>
  <si>
    <t>Shortly describe your treatments here, or refer to an accepted
manuscript that describes the treatments. Make sure that the treatment codes are consistent with this manuscript.</t>
  </si>
  <si>
    <t xml:space="preserve">Use ambient if the data aplies to unchanged conditions of your location (e.g. do not use control, unwarmed, unfertilized,  not treated etc., use ambient instead). </t>
  </si>
  <si>
    <t>Give a general description of the treatment.</t>
  </si>
  <si>
    <t>SAMPLE DATA</t>
  </si>
  <si>
    <t>If you don't have your own sample ID, you can number them.</t>
  </si>
  <si>
    <t>Use location codes as you defined above.</t>
  </si>
  <si>
    <t>If applicable, use treatment codes defined as above, else leave empty.</t>
  </si>
  <si>
    <t>If applicable, use a code to indicate replicates, else leave empty.</t>
  </si>
  <si>
    <r>
      <t>D</t>
    </r>
    <r>
      <rPr>
        <sz val="11"/>
        <rFont val="Calibri"/>
        <family val="2"/>
      </rPr>
      <t xml:space="preserve">ate of burial (dd/mm/yyyy) </t>
    </r>
  </si>
  <si>
    <t>Date on which you buried the tea. Use the format that your computer settings wants you to use. Check if it shows correctly.</t>
  </si>
  <si>
    <r>
      <t xml:space="preserve">Initial weight </t>
    </r>
    <r>
      <rPr>
        <sz val="11"/>
        <color indexed="17"/>
        <rFont val="Calibri"/>
        <family val="2"/>
      </rPr>
      <t xml:space="preserve">green tea </t>
    </r>
    <r>
      <rPr>
        <sz val="11"/>
        <color indexed="8"/>
        <rFont val="Calibri"/>
        <family val="2"/>
      </rPr>
      <t xml:space="preserve">including bag, cord and label </t>
    </r>
  </si>
  <si>
    <r>
      <t xml:space="preserve">This is the dry weight (g) of the </t>
    </r>
    <r>
      <rPr>
        <b/>
        <sz val="11"/>
        <color indexed="8"/>
        <rFont val="Calibri"/>
        <family val="2"/>
      </rPr>
      <t xml:space="preserve">entire bag </t>
    </r>
    <r>
      <rPr>
        <sz val="11"/>
        <color indexed="8"/>
        <rFont val="Calibri"/>
        <family val="2"/>
      </rPr>
      <t>before burial of Green tea.</t>
    </r>
  </si>
  <si>
    <r>
      <t xml:space="preserve">This is the dry weight (g) of the </t>
    </r>
    <r>
      <rPr>
        <b/>
        <sz val="11"/>
        <color indexed="8"/>
        <rFont val="Calibri"/>
        <family val="2"/>
      </rPr>
      <t xml:space="preserve">entire bag </t>
    </r>
    <r>
      <rPr>
        <sz val="11"/>
        <color indexed="8"/>
        <rFont val="Calibri"/>
        <family val="2"/>
      </rPr>
      <t>before burial of Rooibos tea.</t>
    </r>
  </si>
  <si>
    <t xml:space="preserve">This is the dry weight (g) of the Green tea inside the bag. </t>
  </si>
  <si>
    <t>Optional: Use FcorrGreen for correcting weight loss by handling and drying</t>
  </si>
  <si>
    <t xml:space="preserve">This is the dry weight (g) of the Rooibos tea inside the bag. </t>
  </si>
  <si>
    <t>Optional: Use FcorrRed for correcting weight loss by handling and drying</t>
  </si>
  <si>
    <t xml:space="preserve">Recovery date (dd/mm/yyyy) </t>
  </si>
  <si>
    <t>Date on which the tea was retrieved. Check if the date is shown correctly.</t>
  </si>
  <si>
    <t>This is the dry weight of the Green tea inside the bag after decomposition.</t>
  </si>
  <si>
    <t>This is the dry weight of the Rooibos tea inside the bag after decomposition.</t>
  </si>
  <si>
    <t>This is the fraction of the Green tea inside the bag that was decomposed (ag).</t>
  </si>
  <si>
    <t>This is a intermediate step to come to the calculation of k.</t>
  </si>
  <si>
    <t>This is the fraction of the Rooibos tea that is remaining. (Wt).</t>
  </si>
  <si>
    <t>This is the number of days that the tea bag was in the soil.</t>
  </si>
  <si>
    <t>This is the stabilization factor indicating how much of the material was stabilized.</t>
  </si>
  <si>
    <t>This is decomposition speed k, higher values indicate faster decomposition.</t>
  </si>
  <si>
    <t>See Keuskamp et al, 2013 for reasoning behind the formulae used in this sheet</t>
  </si>
  <si>
    <t>Issue</t>
  </si>
  <si>
    <t>Status</t>
  </si>
  <si>
    <t>Open Since</t>
  </si>
  <si>
    <t xml:space="preserve">Days </t>
  </si>
  <si>
    <t>noted by</t>
  </si>
  <si>
    <t xml:space="preserve">assigned to </t>
  </si>
  <si>
    <t>Resolved</t>
  </si>
  <si>
    <t>JS</t>
  </si>
  <si>
    <t>JK</t>
  </si>
  <si>
    <t>in colom I and J and N and O, there are cell numbers in the formula's no names. I think it is no problem, but I don't know if it was on purpose? JK: Yes</t>
  </si>
  <si>
    <t>minor suggestions for labels (r21,25 and 28)</t>
  </si>
  <si>
    <t>TL</t>
  </si>
  <si>
    <t>manual, row 37: should say Keuskamp et al., 2013, right?</t>
  </si>
  <si>
    <t>data, row 3: consists of four part, at the moment code legend is missing.</t>
  </si>
  <si>
    <t>metadata: I would add affiliation of the PI as well</t>
  </si>
  <si>
    <t>on hold</t>
  </si>
  <si>
    <t xml:space="preserve">wieghts of the empty bags: with how many different sets have we confirmed this?
I´ve noticed there is quite a lot of differences in the weights of the tea bags nowadays. </t>
  </si>
  <si>
    <t>JS: by adding the protocol for researchers we stimulate people to determine it themselves</t>
  </si>
  <si>
    <t xml:space="preserve">location codes: we could expand this already with some more location codes (e.g. Forest, cropland). Could we call location code land use type? </t>
  </si>
  <si>
    <t>JK: Land use type is only one example of the possible variation that is measured.
This field might also contain something like ecosystem, height, etc etc</t>
  </si>
  <si>
    <t>JS: Location doesn't win the beauty contest, but can't think of something better either. I added extra explanation in the manual sheet.</t>
  </si>
  <si>
    <t>Add possibility to include handling loss</t>
  </si>
  <si>
    <t>JK: I have added a factor Fcorrection, which can be used for this purpose. 
People should be instructed about correctly using this term in the manual see also issue 19</t>
  </si>
  <si>
    <t>we now double ask for location details in row 15-16 and row 31</t>
  </si>
  <si>
    <t>in row 25 and 29 there remained a comment, should be removed</t>
  </si>
  <si>
    <t>the manual labels and their explanation are still from an older version, I gave suggestions, placed in colum G and further</t>
  </si>
  <si>
    <t>the format of the bury and retrieve date changes when you want to alter it, first it si shown date/month/year, and when you double click on it, you get month/date/year. This is confusing and will lead to mistakes</t>
  </si>
  <si>
    <t>do we want to correct airdry starting values to ovendry starting values??</t>
  </si>
  <si>
    <t>JK: I included Fcorrection factor (see also issue 10). Created issue 19</t>
  </si>
  <si>
    <t>there does not appear an error if S cannot be calculated</t>
  </si>
  <si>
    <t>JK: Judith, what do you mean by this comment?</t>
  </si>
  <si>
    <t>JS: I was referring to error 2 and 3 in the datasheet (i added examples). In an older version, in the absence of endweight of green tea,
 it still calculated a S, by which you would get a weird k. pondering on that I wondered if we should do something to prevent example 1 mistakes.</t>
  </si>
  <si>
    <t>it is not possible to copy paste some information directly into the purlpe cells, you first have to go in to the cel, and than paste, it is not lethal, just a bit anoying</t>
  </si>
  <si>
    <t>Judith, I cannot reproduce this error</t>
  </si>
  <si>
    <t>stap 1: copieer de cellen in het blokje</t>
  </si>
  <si>
    <t>stap 2: ga naar de data sheet, en selecteer daar twee cellen in het bovenste paarse blokje</t>
  </si>
  <si>
    <t>stap 3: ctr v</t>
  </si>
  <si>
    <t>geeft error due to merged cells =&gt; daarom heb ik ze ge-unmerged</t>
  </si>
  <si>
    <t>there is no possibility to write down remarks per sample. Do we want to instruct people only to add thrustworthy data or should it also be possible to add somewhere: string was lost, fungus growth observed, this value is the average of 3, small hole after digging, maybe not completely dry, silt in bag, bag was pulled out the soil, etc...</t>
  </si>
  <si>
    <t>JK: we want to instruct people to only add thrustworthy data: qualitative remarks to quantitative data cannot be uniformely processesed Created issue 20</t>
  </si>
  <si>
    <t>how do we want missing values to be indicated? As NA, broken, missing…..</t>
  </si>
  <si>
    <t>JK: Empty would work best. NA is also fine, anything else is won't work. in a future version I could program the script such that anything non-numerical will be ignored. Created issue 21</t>
  </si>
  <si>
    <t>there is a small risk that the words &lt;end data&gt; etc are accidently removed when you do automatic numbering of the sample numbers. Maybe start with number 5 after the four 'examples'</t>
  </si>
  <si>
    <t>Write instructions on determining Fcorrection factor. (see issue 13,8)</t>
  </si>
  <si>
    <t xml:space="preserve">open </t>
  </si>
  <si>
    <t>Instruct people to only add thrustworthy, numerical data</t>
  </si>
  <si>
    <t>JS: what do you mean with only numerical data? They also have to give site descriptions/treatmentcodes and dates</t>
  </si>
  <si>
    <t>Instruct people to use leave NA fields open</t>
  </si>
  <si>
    <t>separate Fcor in green and red tea</t>
  </si>
  <si>
    <t>in row 8, latest version is available online after april 2016?</t>
  </si>
  <si>
    <t xml:space="preserve">in the protocol in the manual sheet. Should we meantion something about the depth? Many people bury it at 5cm, and this should also be ok. </t>
  </si>
  <si>
    <t xml:space="preserve">JS: I think it will be fine like this. JK: agree with JS. Suggesting variety doesn't improve clarity, uniformity and reproducability of the TBI </t>
  </si>
  <si>
    <t>what does the sheet diagnostics mean? I think when we have the first version that we send to people we should only include the sheet manual and data.</t>
  </si>
  <si>
    <t>DIAGNOSTICS is necessary to test whether data is not corrupted and is a necessary part of this sheet. Changed its status to hidden</t>
  </si>
  <si>
    <t>is it a problem that when you insert rows, for instance to add locations or treatment, that you than mess up with merged and unmerged cells? Sometimes when you insert, a merged cell changes to unmerged. Should we not unmerge all cells?</t>
  </si>
  <si>
    <t>If people start to add their data including treatments, they should use the same wording for the 'ambient' or control treatment
Therefore, this was indicated explicitly in the manual and in the data entry sheet</t>
  </si>
  <si>
    <t>V1.0</t>
  </si>
  <si>
    <t>Lots of minor changes &amp; a new manual</t>
  </si>
  <si>
    <t>V.93</t>
  </si>
  <si>
    <t>JK: Corrected bag and label weights</t>
  </si>
  <si>
    <t>V.91</t>
  </si>
  <si>
    <t>JK: Introduced the Bugs&amp;Issues tab for requests and comments</t>
  </si>
  <si>
    <t>JS/JK: Improved consistency in labels (changed rope-&gt;cord)</t>
  </si>
  <si>
    <t>JS: removed numbers from Q30, Q31 and R30</t>
  </si>
  <si>
    <t>JK: added a comment to assure that the bag weight will be checked before final release</t>
  </si>
  <si>
    <t>JK: minor changes to improve formula consistency within a column</t>
  </si>
  <si>
    <t>JK: minor changes to labels of columns</t>
  </si>
  <si>
    <t>V.9</t>
  </si>
  <si>
    <t>Preview Version</t>
  </si>
  <si>
    <t>version 1</t>
  </si>
  <si>
    <t>JK: added Fcorr</t>
  </si>
  <si>
    <t>JS: minor typos in manual</t>
  </si>
  <si>
    <t>JS: unmerged cells and restricted entries to one field</t>
  </si>
  <si>
    <t>JS: added general instructions</t>
  </si>
  <si>
    <t>JS: added description of Fcorr and a small calculation example</t>
  </si>
  <si>
    <t>JS: removed all the weird codings of formula names in name manager</t>
  </si>
  <si>
    <t>JS: added protocol</t>
  </si>
  <si>
    <r>
      <t xml:space="preserve">Initial weight </t>
    </r>
    <r>
      <rPr>
        <sz val="11"/>
        <color indexed="17"/>
        <rFont val="Calibri"/>
        <family val="2"/>
      </rPr>
      <t xml:space="preserve">green tea </t>
    </r>
    <r>
      <rPr>
        <sz val="11"/>
        <color indexed="8"/>
        <rFont val="Calibri"/>
        <family val="2"/>
      </rPr>
      <t>including bag,cord and label</t>
    </r>
  </si>
  <si>
    <t>pair</t>
  </si>
  <si>
    <t>Wstart_green</t>
  </si>
  <si>
    <t>Wstart_red</t>
  </si>
  <si>
    <t>Wend_green</t>
  </si>
  <si>
    <t>Wend_red</t>
  </si>
  <si>
    <t>inctime</t>
  </si>
  <si>
    <t>open</t>
  </si>
  <si>
    <t>Human impact</t>
  </si>
  <si>
    <t>Shading</t>
  </si>
  <si>
    <t>Soil texture</t>
  </si>
  <si>
    <t>Soil depth</t>
  </si>
  <si>
    <t>Rooting depth</t>
  </si>
  <si>
    <t>Soil pH</t>
  </si>
  <si>
    <t>locked the headings in the tier1 sheet. Is this desired?</t>
  </si>
  <si>
    <t>to unlock, go to review and click protect sheet</t>
  </si>
  <si>
    <t>Further description</t>
  </si>
  <si>
    <t>LON</t>
  </si>
  <si>
    <t>Median air temp</t>
  </si>
  <si>
    <t>Soil C content</t>
  </si>
  <si>
    <t>Soil N content</t>
  </si>
  <si>
    <t>Ecosystem/vegetation</t>
  </si>
  <si>
    <t>Slope</t>
  </si>
  <si>
    <t>Aspect</t>
  </si>
  <si>
    <t>Fill in the purple and optionally the blue fields and leave the other fields untouched.</t>
  </si>
  <si>
    <t>you need to make sure that all purple fields are filled in (so please calculate back if you weighed only the tea without a bag)</t>
  </si>
  <si>
    <t>blue fields are optional to fill in</t>
  </si>
  <si>
    <t>CALCULATION HELP FOR CORRECTION FACTOR</t>
  </si>
  <si>
    <t>Contains formula of cord and bag (g).</t>
  </si>
  <si>
    <t>Describe any environmental data that you would have on request, and that is not covered by the optional data. Request may come in a later stage of the project (&lt;250 characters)</t>
  </si>
  <si>
    <t>Your own location codes and their description. 
Location can include ecosystem, altitude, land use.
If available provide optional metatdata
Provide only one code per line. Please expand as necessary but only use the space in between CODE LEGEND and END CODE LEGEND. If you repeated the same treatments in all your locations, specify treatment codes in the next item.</t>
  </si>
  <si>
    <t>Latitude of the sample location (WGS1984, decimal notation) can be selected in google maps under 'tools' and than 'options'</t>
  </si>
  <si>
    <t>Longitude of the sample location (WGS1984, decimal notation) can be selected in google maps under 'tools' and than 'options'</t>
  </si>
  <si>
    <t>Median day average air temperature during the incubation period. It would be of great help if you could find this at the closest weather station from your own data or the national meteorological institute</t>
  </si>
  <si>
    <t>1.No shade</t>
  </si>
  <si>
    <t xml:space="preserve">1.No impact </t>
  </si>
  <si>
    <t>1. Silt</t>
  </si>
  <si>
    <t>1. Glacier</t>
  </si>
  <si>
    <t>1. &lt;5cm</t>
  </si>
  <si>
    <t>1. Flat</t>
  </si>
  <si>
    <t>1.N</t>
  </si>
  <si>
    <t>Soil concentration (%) of C measured with combustion, please do not fill in N concentrations obtained with other methods. Inform us in the section 'Further description' if you happen to have LOI data</t>
  </si>
  <si>
    <t xml:space="preserve">2.Little shade </t>
  </si>
  <si>
    <t>2. Sand</t>
  </si>
  <si>
    <t>2. Lake</t>
  </si>
  <si>
    <t>2. 5-15 cm</t>
  </si>
  <si>
    <t>2.NE</t>
  </si>
  <si>
    <t>Soil concentration (%) of N measured with combustion, please do not fill in N concentrations obtained with other methods</t>
  </si>
  <si>
    <t>3.Shaded half of the day</t>
  </si>
  <si>
    <t>3.Reasonable impact</t>
  </si>
  <si>
    <t>3. Clay</t>
  </si>
  <si>
    <t>3. Wetland</t>
  </si>
  <si>
    <t>3. &gt;15 cm</t>
  </si>
  <si>
    <t>3. Steep, &gt;1:1</t>
  </si>
  <si>
    <t>3.E</t>
  </si>
  <si>
    <t>Soil pH, measured after shaking for several hours in demiwater</t>
  </si>
  <si>
    <t>4.Shaded most of the day</t>
  </si>
  <si>
    <t>4.Strongly influenced</t>
  </si>
  <si>
    <t>4. Urban</t>
  </si>
  <si>
    <t>4.SE</t>
  </si>
  <si>
    <t>Shading classes (see table at the right) to indicate the general amount of shading</t>
  </si>
  <si>
    <t>5.Always shaded</t>
  </si>
  <si>
    <t>5.Soil completely disturbed</t>
  </si>
  <si>
    <t>5. Needle leaf evergreen</t>
  </si>
  <si>
    <t>5.S</t>
  </si>
  <si>
    <t>Classes to define differences in human impact on the sample location (think of fertilization, hydrological schanges, buildings, roads, plowing)</t>
  </si>
  <si>
    <t>6. Needle leaf deciduous tree</t>
  </si>
  <si>
    <t>6.SW</t>
  </si>
  <si>
    <t>Indicate if your soil is mainly sand, clay or silt</t>
  </si>
  <si>
    <t>7. Broadleaf evergreen</t>
  </si>
  <si>
    <t>7.W</t>
  </si>
  <si>
    <t>Ecosystem/Vegetation</t>
  </si>
  <si>
    <t>Select the correct ecosystem type and vegetation class</t>
  </si>
  <si>
    <t>8. Deciduous tree</t>
  </si>
  <si>
    <t>8.NW</t>
  </si>
  <si>
    <t>Select average soil depth class</t>
  </si>
  <si>
    <t>9. Evergreen shrub</t>
  </si>
  <si>
    <t>Select the average rootingdepth class</t>
  </si>
  <si>
    <t>10. Deciduous shrub</t>
  </si>
  <si>
    <t>Indicate how steep your sample location was</t>
  </si>
  <si>
    <t>11. Grass</t>
  </si>
  <si>
    <t>In cases of slopes, indicate the orientation of the slope (e.g. What wind direction does the slope face)</t>
  </si>
  <si>
    <t>12. Herbaceous</t>
  </si>
  <si>
    <t>13. Crop</t>
  </si>
  <si>
    <t>This is the dry weight of the Green teabag after burial and drying.
If possible, use an oven for drying, 60°C, 48 hours, or place it in a warm, dry and sunny place for 3 days.</t>
  </si>
  <si>
    <t>2. Gradual, &lt; 1:1</t>
  </si>
  <si>
    <t>to lock certain cells yes. But care should be taken to remain able to edit and insert colums</t>
  </si>
  <si>
    <t>tier 2 (light blue shading) and 3 data was incorporated.</t>
  </si>
  <si>
    <t xml:space="preserve">Tier 2 data was described in the manual </t>
  </si>
  <si>
    <t>JS/JK</t>
  </si>
  <si>
    <t>enable dropdownlists that show words but save numbers. And allow typing</t>
  </si>
  <si>
    <t>2.Little impact</t>
  </si>
  <si>
    <t>Fraction decomposed green tea (ag)</t>
  </si>
  <si>
    <t>Predicted labile fraction red tea (ar)</t>
  </si>
  <si>
    <t xml:space="preserve"> Fraction remaining red tea (Wt)</t>
  </si>
  <si>
    <t>incubation time red and green tea (t)</t>
  </si>
  <si>
    <t xml:space="preserve"> Fraction remaining      red tea (Wt)</t>
  </si>
  <si>
    <t>incubation time      red and green tea (t)</t>
  </si>
  <si>
    <t>standing biomass</t>
  </si>
  <si>
    <t>Mean standing biomass kg/ha, as aboveground biomass at the peak of the growing season</t>
  </si>
  <si>
    <t>Please leave the example entries untouched.</t>
  </si>
  <si>
    <t>Poured rooibos in empty green meshbag</t>
  </si>
  <si>
    <t>Scale: PG403-S Delta Range, D=0.001g</t>
  </si>
  <si>
    <t>Rooibos</t>
  </si>
  <si>
    <t>R840</t>
  </si>
  <si>
    <t>R839</t>
  </si>
  <si>
    <t>R838</t>
  </si>
  <si>
    <t>R837</t>
  </si>
  <si>
    <t>R836</t>
  </si>
  <si>
    <t>R835</t>
  </si>
  <si>
    <t>R834</t>
  </si>
  <si>
    <t>R833</t>
  </si>
  <si>
    <t>R832</t>
  </si>
  <si>
    <t>R831</t>
  </si>
  <si>
    <t>R830</t>
  </si>
  <si>
    <t>R829</t>
  </si>
  <si>
    <t>R828</t>
  </si>
  <si>
    <t>R827</t>
  </si>
  <si>
    <t>R826</t>
  </si>
  <si>
    <t>R825</t>
  </si>
  <si>
    <t>R824</t>
  </si>
  <si>
    <t>R823</t>
  </si>
  <si>
    <t>R822</t>
  </si>
  <si>
    <t>R821</t>
  </si>
  <si>
    <t>R820</t>
  </si>
  <si>
    <t>R819</t>
  </si>
  <si>
    <t>R818</t>
  </si>
  <si>
    <t>R817</t>
  </si>
  <si>
    <t>R816</t>
  </si>
  <si>
    <t>R815</t>
  </si>
  <si>
    <t>R814</t>
  </si>
  <si>
    <t>R813</t>
  </si>
  <si>
    <t>R812</t>
  </si>
  <si>
    <t>R811</t>
  </si>
  <si>
    <t>R810</t>
  </si>
  <si>
    <t>R809</t>
  </si>
  <si>
    <t>R808</t>
  </si>
  <si>
    <t>R807</t>
  </si>
  <si>
    <t>R806</t>
  </si>
  <si>
    <t>R805</t>
  </si>
  <si>
    <t>R804</t>
  </si>
  <si>
    <t>R803</t>
  </si>
  <si>
    <t>R802</t>
  </si>
  <si>
    <t>R801</t>
  </si>
  <si>
    <t>R800</t>
  </si>
  <si>
    <t>R799</t>
  </si>
  <si>
    <t>R798</t>
  </si>
  <si>
    <t>R797</t>
  </si>
  <si>
    <t>R796</t>
  </si>
  <si>
    <t>R795</t>
  </si>
  <si>
    <t>R794</t>
  </si>
  <si>
    <t>R793</t>
  </si>
  <si>
    <t>R792</t>
  </si>
  <si>
    <t>R791</t>
  </si>
  <si>
    <t>R790</t>
  </si>
  <si>
    <t>R789</t>
  </si>
  <si>
    <t>R788</t>
  </si>
  <si>
    <t>R787</t>
  </si>
  <si>
    <t>R786</t>
  </si>
  <si>
    <t>R785</t>
  </si>
  <si>
    <t>R784</t>
  </si>
  <si>
    <t>R783</t>
  </si>
  <si>
    <t>R782</t>
  </si>
  <si>
    <t>R781</t>
  </si>
  <si>
    <t>R780</t>
  </si>
  <si>
    <t>R779</t>
  </si>
  <si>
    <t>R778</t>
  </si>
  <si>
    <t>R777</t>
  </si>
  <si>
    <t>R776</t>
  </si>
  <si>
    <t>R775</t>
  </si>
  <si>
    <t>R774</t>
  </si>
  <si>
    <t>R773</t>
  </si>
  <si>
    <t>R772</t>
  </si>
  <si>
    <t>R771</t>
  </si>
  <si>
    <t>R770</t>
  </si>
  <si>
    <t>R769</t>
  </si>
  <si>
    <t>R768</t>
  </si>
  <si>
    <t>R767</t>
  </si>
  <si>
    <t>R766</t>
  </si>
  <si>
    <t>R765</t>
  </si>
  <si>
    <t>R764</t>
  </si>
  <si>
    <t>R763</t>
  </si>
  <si>
    <t>R762</t>
  </si>
  <si>
    <t>R761</t>
  </si>
  <si>
    <t>R760</t>
  </si>
  <si>
    <t>R759</t>
  </si>
  <si>
    <t>R758</t>
  </si>
  <si>
    <t>R757</t>
  </si>
  <si>
    <t>R756</t>
  </si>
  <si>
    <t>R755</t>
  </si>
  <si>
    <t>R754</t>
  </si>
  <si>
    <t>R753</t>
  </si>
  <si>
    <t>R752</t>
  </si>
  <si>
    <t>R751</t>
  </si>
  <si>
    <t>R750</t>
  </si>
  <si>
    <t>R749</t>
  </si>
  <si>
    <t>R748</t>
  </si>
  <si>
    <t>R747</t>
  </si>
  <si>
    <t>R746</t>
  </si>
  <si>
    <t>R745</t>
  </si>
  <si>
    <t>R744</t>
  </si>
  <si>
    <t>R743</t>
  </si>
  <si>
    <t>R742</t>
  </si>
  <si>
    <t>R741</t>
  </si>
  <si>
    <t>R740</t>
  </si>
  <si>
    <t>R739</t>
  </si>
  <si>
    <t>R738</t>
  </si>
  <si>
    <t>R737</t>
  </si>
  <si>
    <t>R736</t>
  </si>
  <si>
    <t>R735</t>
  </si>
  <si>
    <t>R734</t>
  </si>
  <si>
    <t>R733</t>
  </si>
  <si>
    <t>R732</t>
  </si>
  <si>
    <t>R731</t>
  </si>
  <si>
    <t>R730</t>
  </si>
  <si>
    <t>R729</t>
  </si>
  <si>
    <t>R728</t>
  </si>
  <si>
    <t>R727</t>
  </si>
  <si>
    <t>R726</t>
  </si>
  <si>
    <t>R725</t>
  </si>
  <si>
    <t>R724</t>
  </si>
  <si>
    <t>R723</t>
  </si>
  <si>
    <t>R722</t>
  </si>
  <si>
    <t>R721</t>
  </si>
  <si>
    <t>R720</t>
  </si>
  <si>
    <t>R719</t>
  </si>
  <si>
    <t>R718</t>
  </si>
  <si>
    <t>R717</t>
  </si>
  <si>
    <t>R716</t>
  </si>
  <si>
    <t>R715</t>
  </si>
  <si>
    <t>R714</t>
  </si>
  <si>
    <t>R713</t>
  </si>
  <si>
    <t>R712</t>
  </si>
  <si>
    <t>R711</t>
  </si>
  <si>
    <t>R710</t>
  </si>
  <si>
    <t>R709</t>
  </si>
  <si>
    <t>R708</t>
  </si>
  <si>
    <t>R707</t>
  </si>
  <si>
    <t>R706</t>
  </si>
  <si>
    <t>R705</t>
  </si>
  <si>
    <t>R704</t>
  </si>
  <si>
    <t>R703</t>
  </si>
  <si>
    <t>R702</t>
  </si>
  <si>
    <t>R701</t>
  </si>
  <si>
    <t>R700</t>
  </si>
  <si>
    <t>R699</t>
  </si>
  <si>
    <t>R698</t>
  </si>
  <si>
    <t>R697</t>
  </si>
  <si>
    <t>R696</t>
  </si>
  <si>
    <t>R695</t>
  </si>
  <si>
    <t>R694</t>
  </si>
  <si>
    <t>R693</t>
  </si>
  <si>
    <t>R692</t>
  </si>
  <si>
    <t>R691</t>
  </si>
  <si>
    <t>R690</t>
  </si>
  <si>
    <t>R689</t>
  </si>
  <si>
    <t>R688</t>
  </si>
  <si>
    <t>R687</t>
  </si>
  <si>
    <t>R686</t>
  </si>
  <si>
    <t>R685</t>
  </si>
  <si>
    <t>R684</t>
  </si>
  <si>
    <t>R683</t>
  </si>
  <si>
    <t>R682</t>
  </si>
  <si>
    <t>R681</t>
  </si>
  <si>
    <t>R680</t>
  </si>
  <si>
    <t>R679</t>
  </si>
  <si>
    <t>R678</t>
  </si>
  <si>
    <t>R677</t>
  </si>
  <si>
    <t>R676</t>
  </si>
  <si>
    <t>R675</t>
  </si>
  <si>
    <t>R674</t>
  </si>
  <si>
    <t>R673</t>
  </si>
  <si>
    <t>R672</t>
  </si>
  <si>
    <t>R671</t>
  </si>
  <si>
    <t>R670</t>
  </si>
  <si>
    <t>R669</t>
  </si>
  <si>
    <t>R668</t>
  </si>
  <si>
    <t>R667</t>
  </si>
  <si>
    <t>R666</t>
  </si>
  <si>
    <t>R665</t>
  </si>
  <si>
    <t>R664</t>
  </si>
  <si>
    <t>R663</t>
  </si>
  <si>
    <t>R662</t>
  </si>
  <si>
    <t>R661</t>
  </si>
  <si>
    <t>R660</t>
  </si>
  <si>
    <t>R659</t>
  </si>
  <si>
    <t>R658</t>
  </si>
  <si>
    <t>R657</t>
  </si>
  <si>
    <t>R656</t>
  </si>
  <si>
    <t>R655</t>
  </si>
  <si>
    <t>R654</t>
  </si>
  <si>
    <t>R653</t>
  </si>
  <si>
    <t>R652</t>
  </si>
  <si>
    <t>R651</t>
  </si>
  <si>
    <t>R650</t>
  </si>
  <si>
    <t>R649</t>
  </si>
  <si>
    <t>R648</t>
  </si>
  <si>
    <t>R647</t>
  </si>
  <si>
    <t>R646</t>
  </si>
  <si>
    <t>R645</t>
  </si>
  <si>
    <t>R644</t>
  </si>
  <si>
    <t>R643</t>
  </si>
  <si>
    <t>R642</t>
  </si>
  <si>
    <t>R641</t>
  </si>
  <si>
    <t>R640</t>
  </si>
  <si>
    <t>R639</t>
  </si>
  <si>
    <t>R638</t>
  </si>
  <si>
    <t>R637</t>
  </si>
  <si>
    <t>R636</t>
  </si>
  <si>
    <t>R635</t>
  </si>
  <si>
    <t>R634</t>
  </si>
  <si>
    <t>R633</t>
  </si>
  <si>
    <t>R632</t>
  </si>
  <si>
    <t>R631</t>
  </si>
  <si>
    <t>R630</t>
  </si>
  <si>
    <t>R629</t>
  </si>
  <si>
    <t>R628</t>
  </si>
  <si>
    <t>R627</t>
  </si>
  <si>
    <t>R626</t>
  </si>
  <si>
    <t>R625</t>
  </si>
  <si>
    <t>R624</t>
  </si>
  <si>
    <t>R623</t>
  </si>
  <si>
    <t>R622</t>
  </si>
  <si>
    <t>R621</t>
  </si>
  <si>
    <t>R620</t>
  </si>
  <si>
    <t>R619</t>
  </si>
  <si>
    <t>R618</t>
  </si>
  <si>
    <t>R617</t>
  </si>
  <si>
    <t>R616</t>
  </si>
  <si>
    <t>R615</t>
  </si>
  <si>
    <t>R614</t>
  </si>
  <si>
    <t>R613</t>
  </si>
  <si>
    <t>R612</t>
  </si>
  <si>
    <t>R611</t>
  </si>
  <si>
    <t>R610</t>
  </si>
  <si>
    <t>R609</t>
  </si>
  <si>
    <t>R608</t>
  </si>
  <si>
    <t>R607</t>
  </si>
  <si>
    <t>R606</t>
  </si>
  <si>
    <t>R605</t>
  </si>
  <si>
    <t>R604</t>
  </si>
  <si>
    <t>R603</t>
  </si>
  <si>
    <t>R602</t>
  </si>
  <si>
    <t>Dry season</t>
  </si>
  <si>
    <t>R601</t>
  </si>
  <si>
    <t>Wet season</t>
  </si>
  <si>
    <t>R600</t>
  </si>
  <si>
    <t>R599</t>
  </si>
  <si>
    <t>R598</t>
  </si>
  <si>
    <t>R597</t>
  </si>
  <si>
    <t>R596</t>
  </si>
  <si>
    <t>R595</t>
  </si>
  <si>
    <t>R594</t>
  </si>
  <si>
    <t>R593</t>
  </si>
  <si>
    <t>R592</t>
  </si>
  <si>
    <t>R591</t>
  </si>
  <si>
    <t>R590</t>
  </si>
  <si>
    <t>R589</t>
  </si>
  <si>
    <t>R588</t>
  </si>
  <si>
    <t>R587</t>
  </si>
  <si>
    <t>R586</t>
  </si>
  <si>
    <t>R585</t>
  </si>
  <si>
    <t>R584</t>
  </si>
  <si>
    <t>R583</t>
  </si>
  <si>
    <t>R582</t>
  </si>
  <si>
    <t>R581</t>
  </si>
  <si>
    <t>R580</t>
  </si>
  <si>
    <t>R579</t>
  </si>
  <si>
    <t>R578</t>
  </si>
  <si>
    <t>R577</t>
  </si>
  <si>
    <t>R576</t>
  </si>
  <si>
    <t>R575</t>
  </si>
  <si>
    <t>R574</t>
  </si>
  <si>
    <t>R573</t>
  </si>
  <si>
    <t>R572</t>
  </si>
  <si>
    <t>R571</t>
  </si>
  <si>
    <t>R570</t>
  </si>
  <si>
    <t>R569</t>
  </si>
  <si>
    <t>R568</t>
  </si>
  <si>
    <t>R567</t>
  </si>
  <si>
    <t>R566</t>
  </si>
  <si>
    <t>R565</t>
  </si>
  <si>
    <t>R564</t>
  </si>
  <si>
    <t>R563</t>
  </si>
  <si>
    <t>R562</t>
  </si>
  <si>
    <t>R561</t>
  </si>
  <si>
    <t>R560</t>
  </si>
  <si>
    <t>R559</t>
  </si>
  <si>
    <t>R558</t>
  </si>
  <si>
    <t>R557</t>
  </si>
  <si>
    <t>R556</t>
  </si>
  <si>
    <t>R555</t>
  </si>
  <si>
    <t>R554</t>
  </si>
  <si>
    <t>R553</t>
  </si>
  <si>
    <t>R552</t>
  </si>
  <si>
    <t>R551</t>
  </si>
  <si>
    <t>R550</t>
  </si>
  <si>
    <t>R549</t>
  </si>
  <si>
    <t>R548</t>
  </si>
  <si>
    <t>R547</t>
  </si>
  <si>
    <t>R546</t>
  </si>
  <si>
    <t>R545</t>
  </si>
  <si>
    <t>R544</t>
  </si>
  <si>
    <t>R543</t>
  </si>
  <si>
    <t>R542</t>
  </si>
  <si>
    <t>R541</t>
  </si>
  <si>
    <t>R540</t>
  </si>
  <si>
    <t>R539</t>
  </si>
  <si>
    <t>R538</t>
  </si>
  <si>
    <t>R537</t>
  </si>
  <si>
    <t>R536</t>
  </si>
  <si>
    <t>R535</t>
  </si>
  <si>
    <t>R534</t>
  </si>
  <si>
    <t>R533</t>
  </si>
  <si>
    <t>R532</t>
  </si>
  <si>
    <t>R531</t>
  </si>
  <si>
    <t>R530</t>
  </si>
  <si>
    <t>R529</t>
  </si>
  <si>
    <t>R528</t>
  </si>
  <si>
    <t>R527</t>
  </si>
  <si>
    <t>R526</t>
  </si>
  <si>
    <t>R525</t>
  </si>
  <si>
    <t>R524</t>
  </si>
  <si>
    <t>R523</t>
  </si>
  <si>
    <t>R522</t>
  </si>
  <si>
    <t>R521</t>
  </si>
  <si>
    <t>R520</t>
  </si>
  <si>
    <t>R519</t>
  </si>
  <si>
    <t>R518</t>
  </si>
  <si>
    <t>R517</t>
  </si>
  <si>
    <t>R516</t>
  </si>
  <si>
    <t>R515</t>
  </si>
  <si>
    <t>R514</t>
  </si>
  <si>
    <t>R513</t>
  </si>
  <si>
    <t>R512</t>
  </si>
  <si>
    <t>R511</t>
  </si>
  <si>
    <t>R510</t>
  </si>
  <si>
    <t>R509</t>
  </si>
  <si>
    <t>R508</t>
  </si>
  <si>
    <t>R507</t>
  </si>
  <si>
    <t>R506</t>
  </si>
  <si>
    <t>R505</t>
  </si>
  <si>
    <t>R504</t>
  </si>
  <si>
    <t>R503</t>
  </si>
  <si>
    <t>R502</t>
  </si>
  <si>
    <t>R501</t>
  </si>
  <si>
    <t>R500</t>
  </si>
  <si>
    <t>R499</t>
  </si>
  <si>
    <t>R498</t>
  </si>
  <si>
    <t>R497</t>
  </si>
  <si>
    <t>R496</t>
  </si>
  <si>
    <t>R495</t>
  </si>
  <si>
    <t>R494</t>
  </si>
  <si>
    <t>R493</t>
  </si>
  <si>
    <t>R492</t>
  </si>
  <si>
    <t>R491</t>
  </si>
  <si>
    <t>R490</t>
  </si>
  <si>
    <t>R489</t>
  </si>
  <si>
    <t>R488</t>
  </si>
  <si>
    <t>R487</t>
  </si>
  <si>
    <t>R486</t>
  </si>
  <si>
    <t>R485</t>
  </si>
  <si>
    <t>R484</t>
  </si>
  <si>
    <t>R483</t>
  </si>
  <si>
    <t>R482</t>
  </si>
  <si>
    <t>R481</t>
  </si>
  <si>
    <t>R480</t>
  </si>
  <si>
    <t>R479</t>
  </si>
  <si>
    <t>R478</t>
  </si>
  <si>
    <t>R477</t>
  </si>
  <si>
    <t>R476</t>
  </si>
  <si>
    <t>R475</t>
  </si>
  <si>
    <t>R474</t>
  </si>
  <si>
    <t>R473</t>
  </si>
  <si>
    <t>R472</t>
  </si>
  <si>
    <t>R471</t>
  </si>
  <si>
    <t>R470</t>
  </si>
  <si>
    <t>R469</t>
  </si>
  <si>
    <t>R468</t>
  </si>
  <si>
    <t>R467</t>
  </si>
  <si>
    <t>R466</t>
  </si>
  <si>
    <t>R465</t>
  </si>
  <si>
    <t>R464</t>
  </si>
  <si>
    <t>R463</t>
  </si>
  <si>
    <t>R462</t>
  </si>
  <si>
    <t>R461</t>
  </si>
  <si>
    <t>R460</t>
  </si>
  <si>
    <t>R459</t>
  </si>
  <si>
    <t>R458</t>
  </si>
  <si>
    <t>R457</t>
  </si>
  <si>
    <t>R456</t>
  </si>
  <si>
    <t>R455</t>
  </si>
  <si>
    <t>R454</t>
  </si>
  <si>
    <t>R453</t>
  </si>
  <si>
    <t>R452</t>
  </si>
  <si>
    <t>R451</t>
  </si>
  <si>
    <t>R450</t>
  </si>
  <si>
    <t>R449</t>
  </si>
  <si>
    <t>R448</t>
  </si>
  <si>
    <t>R447</t>
  </si>
  <si>
    <t>R446</t>
  </si>
  <si>
    <t>R445</t>
  </si>
  <si>
    <t>R444</t>
  </si>
  <si>
    <t>R443</t>
  </si>
  <si>
    <t>R442</t>
  </si>
  <si>
    <t>R441</t>
  </si>
  <si>
    <t>R440</t>
  </si>
  <si>
    <t>R439</t>
  </si>
  <si>
    <t>R438</t>
  </si>
  <si>
    <t>R437</t>
  </si>
  <si>
    <t>R436</t>
  </si>
  <si>
    <t>R435</t>
  </si>
  <si>
    <t>R434</t>
  </si>
  <si>
    <t>R433</t>
  </si>
  <si>
    <t>R432</t>
  </si>
  <si>
    <t>R431</t>
  </si>
  <si>
    <t>R430</t>
  </si>
  <si>
    <t>R429</t>
  </si>
  <si>
    <t>R428</t>
  </si>
  <si>
    <t>R427</t>
  </si>
  <si>
    <t>R426</t>
  </si>
  <si>
    <t>R425</t>
  </si>
  <si>
    <t>R424</t>
  </si>
  <si>
    <t>R423</t>
  </si>
  <si>
    <t>R422</t>
  </si>
  <si>
    <t>R421</t>
  </si>
  <si>
    <t>R420</t>
  </si>
  <si>
    <t>R419</t>
  </si>
  <si>
    <t>R418</t>
  </si>
  <si>
    <t>R417</t>
  </si>
  <si>
    <t>R416</t>
  </si>
  <si>
    <t>R415</t>
  </si>
  <si>
    <t>R414</t>
  </si>
  <si>
    <t>R413</t>
  </si>
  <si>
    <t>R412</t>
  </si>
  <si>
    <t>R411</t>
  </si>
  <si>
    <t>R410</t>
  </si>
  <si>
    <t>R409</t>
  </si>
  <si>
    <t>R408</t>
  </si>
  <si>
    <t>R407</t>
  </si>
  <si>
    <t>R406</t>
  </si>
  <si>
    <t>R405</t>
  </si>
  <si>
    <t>R404</t>
  </si>
  <si>
    <t>R403</t>
  </si>
  <si>
    <t>R402</t>
  </si>
  <si>
    <t>R401</t>
  </si>
  <si>
    <t>R400</t>
  </si>
  <si>
    <t>R399</t>
  </si>
  <si>
    <t>R398</t>
  </si>
  <si>
    <t>R397</t>
  </si>
  <si>
    <t>R396</t>
  </si>
  <si>
    <t>R395</t>
  </si>
  <si>
    <t>R394</t>
  </si>
  <si>
    <t>R393</t>
  </si>
  <si>
    <t>R392</t>
  </si>
  <si>
    <t>R391</t>
  </si>
  <si>
    <t>R390</t>
  </si>
  <si>
    <t>R389</t>
  </si>
  <si>
    <t>R388</t>
  </si>
  <si>
    <t>R387</t>
  </si>
  <si>
    <t>R386</t>
  </si>
  <si>
    <t>R385</t>
  </si>
  <si>
    <t>R384</t>
  </si>
  <si>
    <t>R383</t>
  </si>
  <si>
    <t>R382</t>
  </si>
  <si>
    <t>R381</t>
  </si>
  <si>
    <t>R380</t>
  </si>
  <si>
    <t>R379</t>
  </si>
  <si>
    <t>R378</t>
  </si>
  <si>
    <t>R377</t>
  </si>
  <si>
    <t>R376</t>
  </si>
  <si>
    <t>R375</t>
  </si>
  <si>
    <t>R374</t>
  </si>
  <si>
    <t>R373</t>
  </si>
  <si>
    <t>R372</t>
  </si>
  <si>
    <t>R371</t>
  </si>
  <si>
    <t>R370</t>
  </si>
  <si>
    <t>R369</t>
  </si>
  <si>
    <t>R368</t>
  </si>
  <si>
    <t>R367</t>
  </si>
  <si>
    <t>R366</t>
  </si>
  <si>
    <t>R365</t>
  </si>
  <si>
    <t>R364</t>
  </si>
  <si>
    <t>R363</t>
  </si>
  <si>
    <t>R362</t>
  </si>
  <si>
    <t>R361</t>
  </si>
  <si>
    <t>R360</t>
  </si>
  <si>
    <t>R359</t>
  </si>
  <si>
    <t>R358</t>
  </si>
  <si>
    <t>R357</t>
  </si>
  <si>
    <t>R356</t>
  </si>
  <si>
    <t>R355</t>
  </si>
  <si>
    <t>R354</t>
  </si>
  <si>
    <t>R353</t>
  </si>
  <si>
    <t>R352</t>
  </si>
  <si>
    <t>R351</t>
  </si>
  <si>
    <t>R350</t>
  </si>
  <si>
    <t>R349</t>
  </si>
  <si>
    <t>R348</t>
  </si>
  <si>
    <t>R347</t>
  </si>
  <si>
    <t>R346</t>
  </si>
  <si>
    <t>R345</t>
  </si>
  <si>
    <t>R344</t>
  </si>
  <si>
    <t>R343</t>
  </si>
  <si>
    <t>R342</t>
  </si>
  <si>
    <t>R341</t>
  </si>
  <si>
    <t>R340</t>
  </si>
  <si>
    <t>R339</t>
  </si>
  <si>
    <t>R338</t>
  </si>
  <si>
    <t>R337</t>
  </si>
  <si>
    <t>R336</t>
  </si>
  <si>
    <t>R335</t>
  </si>
  <si>
    <t>R334</t>
  </si>
  <si>
    <t>R333</t>
  </si>
  <si>
    <t>R332</t>
  </si>
  <si>
    <t>R331</t>
  </si>
  <si>
    <t>R330</t>
  </si>
  <si>
    <t>R329</t>
  </si>
  <si>
    <t>R328</t>
  </si>
  <si>
    <t>R327</t>
  </si>
  <si>
    <t>R326</t>
  </si>
  <si>
    <t>R325</t>
  </si>
  <si>
    <t>R324</t>
  </si>
  <si>
    <t>R323</t>
  </si>
  <si>
    <t>R322</t>
  </si>
  <si>
    <t>R321</t>
  </si>
  <si>
    <t>R320</t>
  </si>
  <si>
    <t>R319</t>
  </si>
  <si>
    <t>R318</t>
  </si>
  <si>
    <t>R317</t>
  </si>
  <si>
    <t>R316</t>
  </si>
  <si>
    <t>R315</t>
  </si>
  <si>
    <t>R314</t>
  </si>
  <si>
    <t>R313</t>
  </si>
  <si>
    <t>R312</t>
  </si>
  <si>
    <t>R311</t>
  </si>
  <si>
    <t>R310</t>
  </si>
  <si>
    <t>R309</t>
  </si>
  <si>
    <t>R308</t>
  </si>
  <si>
    <t>R307</t>
  </si>
  <si>
    <t>R306</t>
  </si>
  <si>
    <t>R305</t>
  </si>
  <si>
    <t>R304</t>
  </si>
  <si>
    <t>R303</t>
  </si>
  <si>
    <t>R302</t>
  </si>
  <si>
    <t>R301</t>
  </si>
  <si>
    <t>R300</t>
  </si>
  <si>
    <t>R299</t>
  </si>
  <si>
    <t>R298</t>
  </si>
  <si>
    <t>R297</t>
  </si>
  <si>
    <t>R296</t>
  </si>
  <si>
    <t>R295</t>
  </si>
  <si>
    <t>R294</t>
  </si>
  <si>
    <t>R293</t>
  </si>
  <si>
    <t>R292</t>
  </si>
  <si>
    <t>R291</t>
  </si>
  <si>
    <t>R290</t>
  </si>
  <si>
    <t>R289</t>
  </si>
  <si>
    <t>R288</t>
  </si>
  <si>
    <t>R287</t>
  </si>
  <si>
    <t>R286</t>
  </si>
  <si>
    <t>R285</t>
  </si>
  <si>
    <t>R284</t>
  </si>
  <si>
    <t>R283</t>
  </si>
  <si>
    <t>R282</t>
  </si>
  <si>
    <t>R281</t>
  </si>
  <si>
    <t>R280</t>
  </si>
  <si>
    <t>R279</t>
  </si>
  <si>
    <t>R278</t>
  </si>
  <si>
    <t>R277</t>
  </si>
  <si>
    <t>R276</t>
  </si>
  <si>
    <t>R275</t>
  </si>
  <si>
    <t>R274</t>
  </si>
  <si>
    <t>R273</t>
  </si>
  <si>
    <t>R272</t>
  </si>
  <si>
    <t>R271</t>
  </si>
  <si>
    <t>R270</t>
  </si>
  <si>
    <t>R269</t>
  </si>
  <si>
    <t>R268</t>
  </si>
  <si>
    <t>R267</t>
  </si>
  <si>
    <t>R266</t>
  </si>
  <si>
    <t>R265</t>
  </si>
  <si>
    <t>R264</t>
  </si>
  <si>
    <t>R263</t>
  </si>
  <si>
    <t>R262</t>
  </si>
  <si>
    <t>R261</t>
  </si>
  <si>
    <t>R260</t>
  </si>
  <si>
    <t>R259</t>
  </si>
  <si>
    <t>R258</t>
  </si>
  <si>
    <t>R257</t>
  </si>
  <si>
    <t>R256</t>
  </si>
  <si>
    <t>R255</t>
  </si>
  <si>
    <t>R254</t>
  </si>
  <si>
    <t>R253</t>
  </si>
  <si>
    <t>R252</t>
  </si>
  <si>
    <t>R251</t>
  </si>
  <si>
    <t>R250</t>
  </si>
  <si>
    <t>R249</t>
  </si>
  <si>
    <t>R248</t>
  </si>
  <si>
    <t>R247</t>
  </si>
  <si>
    <t>R246</t>
  </si>
  <si>
    <t>R245</t>
  </si>
  <si>
    <t>R244</t>
  </si>
  <si>
    <t>R243</t>
  </si>
  <si>
    <t>R242</t>
  </si>
  <si>
    <t>R241</t>
  </si>
  <si>
    <t>R240</t>
  </si>
  <si>
    <t>R239</t>
  </si>
  <si>
    <t>R238</t>
  </si>
  <si>
    <t>R237</t>
  </si>
  <si>
    <t>R236</t>
  </si>
  <si>
    <t>R235</t>
  </si>
  <si>
    <t>R234</t>
  </si>
  <si>
    <t>R233</t>
  </si>
  <si>
    <t>R232</t>
  </si>
  <si>
    <t>R231</t>
  </si>
  <si>
    <t>R230</t>
  </si>
  <si>
    <t>R229</t>
  </si>
  <si>
    <t>R228</t>
  </si>
  <si>
    <t>R227</t>
  </si>
  <si>
    <t>R226</t>
  </si>
  <si>
    <t>R225</t>
  </si>
  <si>
    <t>R224</t>
  </si>
  <si>
    <t>R223</t>
  </si>
  <si>
    <t>R222</t>
  </si>
  <si>
    <t>R221</t>
  </si>
  <si>
    <t>R220</t>
  </si>
  <si>
    <t>R219</t>
  </si>
  <si>
    <t>R218</t>
  </si>
  <si>
    <t>R217</t>
  </si>
  <si>
    <t>R216</t>
  </si>
  <si>
    <t>R215</t>
  </si>
  <si>
    <t>R214</t>
  </si>
  <si>
    <t>R213</t>
  </si>
  <si>
    <t>R212</t>
  </si>
  <si>
    <t>R211</t>
  </si>
  <si>
    <t>R210</t>
  </si>
  <si>
    <t>R209</t>
  </si>
  <si>
    <t>R208</t>
  </si>
  <si>
    <t>R207</t>
  </si>
  <si>
    <t>R206</t>
  </si>
  <si>
    <t>R205</t>
  </si>
  <si>
    <t>R204</t>
  </si>
  <si>
    <t>R203</t>
  </si>
  <si>
    <t>R202</t>
  </si>
  <si>
    <t>R201</t>
  </si>
  <si>
    <t>R200</t>
  </si>
  <si>
    <t>R199</t>
  </si>
  <si>
    <t>R198</t>
  </si>
  <si>
    <t>R197</t>
  </si>
  <si>
    <t>R196</t>
  </si>
  <si>
    <t>R195</t>
  </si>
  <si>
    <t>R194</t>
  </si>
  <si>
    <t>R193</t>
  </si>
  <si>
    <t>R192</t>
  </si>
  <si>
    <t>R191</t>
  </si>
  <si>
    <t>R190</t>
  </si>
  <si>
    <t>R189</t>
  </si>
  <si>
    <t>R188</t>
  </si>
  <si>
    <t>R187</t>
  </si>
  <si>
    <t>R186</t>
  </si>
  <si>
    <t>R185</t>
  </si>
  <si>
    <t>R184</t>
  </si>
  <si>
    <t>R183</t>
  </si>
  <si>
    <t>R182</t>
  </si>
  <si>
    <t>R181</t>
  </si>
  <si>
    <t>R180</t>
  </si>
  <si>
    <t>R179</t>
  </si>
  <si>
    <t>R178</t>
  </si>
  <si>
    <t>R177</t>
  </si>
  <si>
    <t>R176</t>
  </si>
  <si>
    <t>R175</t>
  </si>
  <si>
    <t>R174</t>
  </si>
  <si>
    <t>R173</t>
  </si>
  <si>
    <t>R172</t>
  </si>
  <si>
    <t>R171</t>
  </si>
  <si>
    <t>R170</t>
  </si>
  <si>
    <t>R169</t>
  </si>
  <si>
    <t>R168</t>
  </si>
  <si>
    <t>R167</t>
  </si>
  <si>
    <t>R166</t>
  </si>
  <si>
    <t>R165</t>
  </si>
  <si>
    <t>R164</t>
  </si>
  <si>
    <t>R163</t>
  </si>
  <si>
    <t>R162</t>
  </si>
  <si>
    <t>R161</t>
  </si>
  <si>
    <t>R160</t>
  </si>
  <si>
    <t>R159</t>
  </si>
  <si>
    <t>R158</t>
  </si>
  <si>
    <t>R157</t>
  </si>
  <si>
    <t>R156</t>
  </si>
  <si>
    <t>R155</t>
  </si>
  <si>
    <t>R154</t>
  </si>
  <si>
    <t>R153</t>
  </si>
  <si>
    <t>R152</t>
  </si>
  <si>
    <t>R151</t>
  </si>
  <si>
    <t>R150</t>
  </si>
  <si>
    <t>R149</t>
  </si>
  <si>
    <t>R148</t>
  </si>
  <si>
    <t>R147</t>
  </si>
  <si>
    <t>R146</t>
  </si>
  <si>
    <t>R145</t>
  </si>
  <si>
    <t>R144</t>
  </si>
  <si>
    <t>R143</t>
  </si>
  <si>
    <t>R142</t>
  </si>
  <si>
    <t>R141</t>
  </si>
  <si>
    <t>R140</t>
  </si>
  <si>
    <t>R139</t>
  </si>
  <si>
    <t>R138</t>
  </si>
  <si>
    <t>R137</t>
  </si>
  <si>
    <t>R136</t>
  </si>
  <si>
    <t>R135</t>
  </si>
  <si>
    <t>R134</t>
  </si>
  <si>
    <t>R133</t>
  </si>
  <si>
    <t>R132</t>
  </si>
  <si>
    <t>R131</t>
  </si>
  <si>
    <t>R130</t>
  </si>
  <si>
    <t>R129</t>
  </si>
  <si>
    <t>R128</t>
  </si>
  <si>
    <t>R127</t>
  </si>
  <si>
    <t>R126</t>
  </si>
  <si>
    <t>R125</t>
  </si>
  <si>
    <t>R124</t>
  </si>
  <si>
    <t>R123</t>
  </si>
  <si>
    <t>R122</t>
  </si>
  <si>
    <t>R121</t>
  </si>
  <si>
    <t>R120</t>
  </si>
  <si>
    <t>R119</t>
  </si>
  <si>
    <t>R118</t>
  </si>
  <si>
    <t>R117</t>
  </si>
  <si>
    <t>R116</t>
  </si>
  <si>
    <t>R115</t>
  </si>
  <si>
    <t>R114</t>
  </si>
  <si>
    <t>R113</t>
  </si>
  <si>
    <t>R112</t>
  </si>
  <si>
    <t>R111</t>
  </si>
  <si>
    <t>R110</t>
  </si>
  <si>
    <t>R109</t>
  </si>
  <si>
    <t>R108</t>
  </si>
  <si>
    <t>R107</t>
  </si>
  <si>
    <t>R106</t>
  </si>
  <si>
    <t>R105</t>
  </si>
  <si>
    <t>R104</t>
  </si>
  <si>
    <t>R103</t>
  </si>
  <si>
    <t>R102</t>
  </si>
  <si>
    <t>R101</t>
  </si>
  <si>
    <t>R100</t>
  </si>
  <si>
    <t>R99</t>
  </si>
  <si>
    <t>R98</t>
  </si>
  <si>
    <t>R97</t>
  </si>
  <si>
    <t>R96</t>
  </si>
  <si>
    <t>R95</t>
  </si>
  <si>
    <t>R94</t>
  </si>
  <si>
    <t>R93</t>
  </si>
  <si>
    <t>R92</t>
  </si>
  <si>
    <t>R91</t>
  </si>
  <si>
    <t>R90</t>
  </si>
  <si>
    <t>R89</t>
  </si>
  <si>
    <t>R88</t>
  </si>
  <si>
    <t>R87</t>
  </si>
  <si>
    <t>R86</t>
  </si>
  <si>
    <t>R85</t>
  </si>
  <si>
    <t>R84</t>
  </si>
  <si>
    <t>R83</t>
  </si>
  <si>
    <t>R82</t>
  </si>
  <si>
    <t>R81</t>
  </si>
  <si>
    <t>R80</t>
  </si>
  <si>
    <t>R79</t>
  </si>
  <si>
    <t>R78</t>
  </si>
  <si>
    <t>R77</t>
  </si>
  <si>
    <t>R76</t>
  </si>
  <si>
    <t>R75</t>
  </si>
  <si>
    <t>R74</t>
  </si>
  <si>
    <t>R73</t>
  </si>
  <si>
    <t>R72</t>
  </si>
  <si>
    <t>R71</t>
  </si>
  <si>
    <t>R70</t>
  </si>
  <si>
    <t>R69</t>
  </si>
  <si>
    <t>R68</t>
  </si>
  <si>
    <t>R67</t>
  </si>
  <si>
    <t>R66</t>
  </si>
  <si>
    <t>R65</t>
  </si>
  <si>
    <t>R64</t>
  </si>
  <si>
    <t>R63</t>
  </si>
  <si>
    <t>R62</t>
  </si>
  <si>
    <t>R61</t>
  </si>
  <si>
    <t>R60</t>
  </si>
  <si>
    <t>R59</t>
  </si>
  <si>
    <t>R58</t>
  </si>
  <si>
    <t>R57</t>
  </si>
  <si>
    <t>R56</t>
  </si>
  <si>
    <t>R55</t>
  </si>
  <si>
    <t>R54</t>
  </si>
  <si>
    <t>R53</t>
  </si>
  <si>
    <t>R52</t>
  </si>
  <si>
    <t>R51</t>
  </si>
  <si>
    <t>R50</t>
  </si>
  <si>
    <t>R49</t>
  </si>
  <si>
    <t>R48</t>
  </si>
  <si>
    <t>R47</t>
  </si>
  <si>
    <t>R46</t>
  </si>
  <si>
    <t>R45</t>
  </si>
  <si>
    <t>R44</t>
  </si>
  <si>
    <t>R43</t>
  </si>
  <si>
    <t>R42</t>
  </si>
  <si>
    <t>R41</t>
  </si>
  <si>
    <t>R40</t>
  </si>
  <si>
    <t>R39</t>
  </si>
  <si>
    <t>R38</t>
  </si>
  <si>
    <t>R37</t>
  </si>
  <si>
    <t>R36</t>
  </si>
  <si>
    <t>R35</t>
  </si>
  <si>
    <t>R34</t>
  </si>
  <si>
    <t>R33</t>
  </si>
  <si>
    <t>R32</t>
  </si>
  <si>
    <t>R31</t>
  </si>
  <si>
    <t>R30</t>
  </si>
  <si>
    <t>R29</t>
  </si>
  <si>
    <t>R28</t>
  </si>
  <si>
    <t>R27</t>
  </si>
  <si>
    <t>R26</t>
  </si>
  <si>
    <t>R25</t>
  </si>
  <si>
    <t>R24</t>
  </si>
  <si>
    <t>R23</t>
  </si>
  <si>
    <t>R22</t>
  </si>
  <si>
    <t>R21</t>
  </si>
  <si>
    <t>R20</t>
  </si>
  <si>
    <t>R19</t>
  </si>
  <si>
    <t>R18</t>
  </si>
  <si>
    <t>R17</t>
  </si>
  <si>
    <t>R16</t>
  </si>
  <si>
    <t>R15</t>
  </si>
  <si>
    <t>R14</t>
  </si>
  <si>
    <t>R13</t>
  </si>
  <si>
    <t>R12</t>
  </si>
  <si>
    <t>R11</t>
  </si>
  <si>
    <t>R10</t>
  </si>
  <si>
    <t>R9</t>
  </si>
  <si>
    <t>R8</t>
  </si>
  <si>
    <t>R7</t>
  </si>
  <si>
    <t>R6</t>
  </si>
  <si>
    <t>R5</t>
  </si>
  <si>
    <t>R4</t>
  </si>
  <si>
    <t>R3</t>
  </si>
  <si>
    <t>R2</t>
  </si>
  <si>
    <t>R1</t>
  </si>
  <si>
    <t>Date</t>
  </si>
  <si>
    <t>Initial Weight(g)</t>
  </si>
  <si>
    <t>Type</t>
  </si>
  <si>
    <t>Code</t>
  </si>
  <si>
    <t>Scale: sartorius ISO9001 d=0.1mg</t>
  </si>
  <si>
    <t>Protocol: Weigh teabags with string and label. Then, mark teabag with markerpenn a code on both side of label and on the bag itself. R=rooibos, G=green tea. E.g: R25 or G34</t>
  </si>
  <si>
    <t>Green</t>
  </si>
  <si>
    <t>G902</t>
  </si>
  <si>
    <t>G901</t>
  </si>
  <si>
    <t>G900</t>
  </si>
  <si>
    <t>G899</t>
  </si>
  <si>
    <t>G898</t>
  </si>
  <si>
    <t>G897</t>
  </si>
  <si>
    <t>G896</t>
  </si>
  <si>
    <t>G895</t>
  </si>
  <si>
    <t>G894</t>
  </si>
  <si>
    <t>G893</t>
  </si>
  <si>
    <t>G892</t>
  </si>
  <si>
    <t>G891</t>
  </si>
  <si>
    <t>G890</t>
  </si>
  <si>
    <t>G889</t>
  </si>
  <si>
    <t>G888</t>
  </si>
  <si>
    <t>G887</t>
  </si>
  <si>
    <t>G886</t>
  </si>
  <si>
    <t>G885</t>
  </si>
  <si>
    <t>G884</t>
  </si>
  <si>
    <t>G883</t>
  </si>
  <si>
    <t>G882</t>
  </si>
  <si>
    <t>G881</t>
  </si>
  <si>
    <t>G880</t>
  </si>
  <si>
    <t>G879</t>
  </si>
  <si>
    <t>G878</t>
  </si>
  <si>
    <t>G877</t>
  </si>
  <si>
    <t>G876</t>
  </si>
  <si>
    <t>G875</t>
  </si>
  <si>
    <t>G874</t>
  </si>
  <si>
    <t>G873</t>
  </si>
  <si>
    <t>G872</t>
  </si>
  <si>
    <t>G871</t>
  </si>
  <si>
    <t>G870</t>
  </si>
  <si>
    <t>G869</t>
  </si>
  <si>
    <t>G868</t>
  </si>
  <si>
    <t>G867</t>
  </si>
  <si>
    <t>G866</t>
  </si>
  <si>
    <t>G865</t>
  </si>
  <si>
    <t>G864</t>
  </si>
  <si>
    <t>G863</t>
  </si>
  <si>
    <t>G862</t>
  </si>
  <si>
    <t>G861</t>
  </si>
  <si>
    <t>G860</t>
  </si>
  <si>
    <t>G859</t>
  </si>
  <si>
    <t>G858</t>
  </si>
  <si>
    <t>G857</t>
  </si>
  <si>
    <t>G856</t>
  </si>
  <si>
    <t>G855</t>
  </si>
  <si>
    <t>G854</t>
  </si>
  <si>
    <t>G853</t>
  </si>
  <si>
    <t>G852</t>
  </si>
  <si>
    <t>G851</t>
  </si>
  <si>
    <t>G850</t>
  </si>
  <si>
    <t>G849</t>
  </si>
  <si>
    <t>G848</t>
  </si>
  <si>
    <t>G847</t>
  </si>
  <si>
    <t>G846</t>
  </si>
  <si>
    <t>G845</t>
  </si>
  <si>
    <t>G844</t>
  </si>
  <si>
    <t>G843</t>
  </si>
  <si>
    <t>G842</t>
  </si>
  <si>
    <t>G841</t>
  </si>
  <si>
    <t>G840</t>
  </si>
  <si>
    <t>G839</t>
  </si>
  <si>
    <t>G838</t>
  </si>
  <si>
    <t>G837</t>
  </si>
  <si>
    <t>G836</t>
  </si>
  <si>
    <t>G835</t>
  </si>
  <si>
    <t>G834</t>
  </si>
  <si>
    <t>G833</t>
  </si>
  <si>
    <t>G832</t>
  </si>
  <si>
    <t>G831</t>
  </si>
  <si>
    <t>G830</t>
  </si>
  <si>
    <t>G829</t>
  </si>
  <si>
    <t>G828</t>
  </si>
  <si>
    <t>G827</t>
  </si>
  <si>
    <t>G826</t>
  </si>
  <si>
    <t>G825</t>
  </si>
  <si>
    <t>G824</t>
  </si>
  <si>
    <t>G823</t>
  </si>
  <si>
    <t>G822</t>
  </si>
  <si>
    <t>G821</t>
  </si>
  <si>
    <t>G820</t>
  </si>
  <si>
    <t>G819</t>
  </si>
  <si>
    <t>G818</t>
  </si>
  <si>
    <t>G817</t>
  </si>
  <si>
    <t>G816</t>
  </si>
  <si>
    <t>G815</t>
  </si>
  <si>
    <t>G814</t>
  </si>
  <si>
    <t>G813</t>
  </si>
  <si>
    <t>G812</t>
  </si>
  <si>
    <t>G811</t>
  </si>
  <si>
    <t>G810</t>
  </si>
  <si>
    <t>G809</t>
  </si>
  <si>
    <t>G808</t>
  </si>
  <si>
    <t>G807</t>
  </si>
  <si>
    <t>G806</t>
  </si>
  <si>
    <t>G805</t>
  </si>
  <si>
    <t>G804</t>
  </si>
  <si>
    <t>G803</t>
  </si>
  <si>
    <t>G802</t>
  </si>
  <si>
    <t>G801</t>
  </si>
  <si>
    <t>G800</t>
  </si>
  <si>
    <t>G799</t>
  </si>
  <si>
    <t>G798</t>
  </si>
  <si>
    <t>G797</t>
  </si>
  <si>
    <t>G796</t>
  </si>
  <si>
    <t>G795</t>
  </si>
  <si>
    <t>G794</t>
  </si>
  <si>
    <t>G793</t>
  </si>
  <si>
    <t>G792</t>
  </si>
  <si>
    <t>G791</t>
  </si>
  <si>
    <t>G790</t>
  </si>
  <si>
    <t>G789</t>
  </si>
  <si>
    <t>G788</t>
  </si>
  <si>
    <t>G787</t>
  </si>
  <si>
    <t>G786</t>
  </si>
  <si>
    <t>G785</t>
  </si>
  <si>
    <t>G784</t>
  </si>
  <si>
    <t>G783</t>
  </si>
  <si>
    <t>G782</t>
  </si>
  <si>
    <t>G781</t>
  </si>
  <si>
    <t>G780</t>
  </si>
  <si>
    <t>G779</t>
  </si>
  <si>
    <t>G778</t>
  </si>
  <si>
    <t>G777</t>
  </si>
  <si>
    <t>G776</t>
  </si>
  <si>
    <t>G775</t>
  </si>
  <si>
    <t>G774</t>
  </si>
  <si>
    <t>G773</t>
  </si>
  <si>
    <t>G772</t>
  </si>
  <si>
    <t>G771</t>
  </si>
  <si>
    <t>G770</t>
  </si>
  <si>
    <t>G769</t>
  </si>
  <si>
    <t>G768</t>
  </si>
  <si>
    <t>G767</t>
  </si>
  <si>
    <t>G766</t>
  </si>
  <si>
    <t>G765</t>
  </si>
  <si>
    <t>G764</t>
  </si>
  <si>
    <t>G763</t>
  </si>
  <si>
    <t>G762</t>
  </si>
  <si>
    <t>G761</t>
  </si>
  <si>
    <t>G760</t>
  </si>
  <si>
    <t>G759</t>
  </si>
  <si>
    <t>G758</t>
  </si>
  <si>
    <t>G757</t>
  </si>
  <si>
    <t>G756</t>
  </si>
  <si>
    <t>G755</t>
  </si>
  <si>
    <t>G754</t>
  </si>
  <si>
    <t>G753</t>
  </si>
  <si>
    <t>G752</t>
  </si>
  <si>
    <t>G751</t>
  </si>
  <si>
    <t>G750</t>
  </si>
  <si>
    <t>G749</t>
  </si>
  <si>
    <t>G748</t>
  </si>
  <si>
    <t>G747</t>
  </si>
  <si>
    <t>G746</t>
  </si>
  <si>
    <t>G745</t>
  </si>
  <si>
    <t>G744</t>
  </si>
  <si>
    <t>G743</t>
  </si>
  <si>
    <t>G742</t>
  </si>
  <si>
    <t>G741</t>
  </si>
  <si>
    <t>G740</t>
  </si>
  <si>
    <t>G739</t>
  </si>
  <si>
    <t>G738</t>
  </si>
  <si>
    <t>G737</t>
  </si>
  <si>
    <t>G736</t>
  </si>
  <si>
    <t>G735</t>
  </si>
  <si>
    <t>G734</t>
  </si>
  <si>
    <t>G733</t>
  </si>
  <si>
    <t>G732</t>
  </si>
  <si>
    <t>G731</t>
  </si>
  <si>
    <t>G730</t>
  </si>
  <si>
    <t>G729</t>
  </si>
  <si>
    <t>G728</t>
  </si>
  <si>
    <t>G727</t>
  </si>
  <si>
    <t>G726</t>
  </si>
  <si>
    <t>G725</t>
  </si>
  <si>
    <t>G724</t>
  </si>
  <si>
    <t>G723</t>
  </si>
  <si>
    <t>G722</t>
  </si>
  <si>
    <t>G721</t>
  </si>
  <si>
    <t>G720</t>
  </si>
  <si>
    <t>G719</t>
  </si>
  <si>
    <t>G718</t>
  </si>
  <si>
    <t>G717</t>
  </si>
  <si>
    <t>G716</t>
  </si>
  <si>
    <t>G715</t>
  </si>
  <si>
    <t>G714</t>
  </si>
  <si>
    <t>G713</t>
  </si>
  <si>
    <t>G712</t>
  </si>
  <si>
    <t>G711</t>
  </si>
  <si>
    <t>G710</t>
  </si>
  <si>
    <t>G709</t>
  </si>
  <si>
    <t>G708</t>
  </si>
  <si>
    <t>G707</t>
  </si>
  <si>
    <t>G706</t>
  </si>
  <si>
    <t>G705</t>
  </si>
  <si>
    <t>G704</t>
  </si>
  <si>
    <t>G703</t>
  </si>
  <si>
    <t>G702</t>
  </si>
  <si>
    <t>G701</t>
  </si>
  <si>
    <t>G700</t>
  </si>
  <si>
    <t>G699</t>
  </si>
  <si>
    <t>G698</t>
  </si>
  <si>
    <t>G697</t>
  </si>
  <si>
    <t>G696</t>
  </si>
  <si>
    <t>G695</t>
  </si>
  <si>
    <t>G694</t>
  </si>
  <si>
    <t>G693</t>
  </si>
  <si>
    <t>G692</t>
  </si>
  <si>
    <t>G691</t>
  </si>
  <si>
    <t>G690</t>
  </si>
  <si>
    <t>G689</t>
  </si>
  <si>
    <t>G688</t>
  </si>
  <si>
    <t>G687</t>
  </si>
  <si>
    <t>G686</t>
  </si>
  <si>
    <t>G685</t>
  </si>
  <si>
    <t>G684</t>
  </si>
  <si>
    <t>G683</t>
  </si>
  <si>
    <t>G682</t>
  </si>
  <si>
    <t>G681</t>
  </si>
  <si>
    <t>G680</t>
  </si>
  <si>
    <t>G679</t>
  </si>
  <si>
    <t>G678</t>
  </si>
  <si>
    <t>G677</t>
  </si>
  <si>
    <t>G676</t>
  </si>
  <si>
    <t>G675</t>
  </si>
  <si>
    <t>G674</t>
  </si>
  <si>
    <t>G673</t>
  </si>
  <si>
    <t>G672</t>
  </si>
  <si>
    <t>G671</t>
  </si>
  <si>
    <t>G670</t>
  </si>
  <si>
    <t>G669</t>
  </si>
  <si>
    <t>G668</t>
  </si>
  <si>
    <t>G667</t>
  </si>
  <si>
    <t>G666</t>
  </si>
  <si>
    <t>G665</t>
  </si>
  <si>
    <t>G664</t>
  </si>
  <si>
    <t>G663</t>
  </si>
  <si>
    <t>G662</t>
  </si>
  <si>
    <t>G661</t>
  </si>
  <si>
    <t>G660</t>
  </si>
  <si>
    <t>G659</t>
  </si>
  <si>
    <t>G658</t>
  </si>
  <si>
    <t>G657</t>
  </si>
  <si>
    <t>G656</t>
  </si>
  <si>
    <t>G655</t>
  </si>
  <si>
    <t>G654</t>
  </si>
  <si>
    <t>G653</t>
  </si>
  <si>
    <t>G652</t>
  </si>
  <si>
    <t>G651</t>
  </si>
  <si>
    <t>G650</t>
  </si>
  <si>
    <t>G649</t>
  </si>
  <si>
    <t>G648</t>
  </si>
  <si>
    <t>G647</t>
  </si>
  <si>
    <t>G646</t>
  </si>
  <si>
    <t>G645</t>
  </si>
  <si>
    <t>G644</t>
  </si>
  <si>
    <t>G643</t>
  </si>
  <si>
    <t>G642</t>
  </si>
  <si>
    <t>G641</t>
  </si>
  <si>
    <t>G640</t>
  </si>
  <si>
    <t>G639</t>
  </si>
  <si>
    <t>G638</t>
  </si>
  <si>
    <t>G637</t>
  </si>
  <si>
    <t>G636</t>
  </si>
  <si>
    <t>G635</t>
  </si>
  <si>
    <t>G634</t>
  </si>
  <si>
    <t>G633</t>
  </si>
  <si>
    <t>G632</t>
  </si>
  <si>
    <t>G631</t>
  </si>
  <si>
    <t>G630</t>
  </si>
  <si>
    <t>G629</t>
  </si>
  <si>
    <t>G628</t>
  </si>
  <si>
    <t>G627</t>
  </si>
  <si>
    <t>G626</t>
  </si>
  <si>
    <t>G625</t>
  </si>
  <si>
    <t>G624</t>
  </si>
  <si>
    <t>G623</t>
  </si>
  <si>
    <t>G622</t>
  </si>
  <si>
    <t>G621</t>
  </si>
  <si>
    <t>G620</t>
  </si>
  <si>
    <t>G619</t>
  </si>
  <si>
    <t>G618</t>
  </si>
  <si>
    <t>G617</t>
  </si>
  <si>
    <t>G616</t>
  </si>
  <si>
    <t>G615</t>
  </si>
  <si>
    <t>G614</t>
  </si>
  <si>
    <t>G613</t>
  </si>
  <si>
    <t>G612</t>
  </si>
  <si>
    <t>G611</t>
  </si>
  <si>
    <t>G610</t>
  </si>
  <si>
    <t>G609</t>
  </si>
  <si>
    <t>G608</t>
  </si>
  <si>
    <t>G607</t>
  </si>
  <si>
    <t>G606</t>
  </si>
  <si>
    <t>G605</t>
  </si>
  <si>
    <t>G604</t>
  </si>
  <si>
    <t>G603</t>
  </si>
  <si>
    <t>G602</t>
  </si>
  <si>
    <t>G601</t>
  </si>
  <si>
    <t>G600</t>
  </si>
  <si>
    <t>G599</t>
  </si>
  <si>
    <t>G598</t>
  </si>
  <si>
    <t>G597</t>
  </si>
  <si>
    <t>G596</t>
  </si>
  <si>
    <t>G595</t>
  </si>
  <si>
    <t>G594</t>
  </si>
  <si>
    <t>G593</t>
  </si>
  <si>
    <t>G592</t>
  </si>
  <si>
    <t>G591</t>
  </si>
  <si>
    <t>G590</t>
  </si>
  <si>
    <t>G589</t>
  </si>
  <si>
    <t>G588</t>
  </si>
  <si>
    <t>G587</t>
  </si>
  <si>
    <t>G586</t>
  </si>
  <si>
    <t>G585</t>
  </si>
  <si>
    <t>G584</t>
  </si>
  <si>
    <t>G583</t>
  </si>
  <si>
    <t>G582</t>
  </si>
  <si>
    <t>G581</t>
  </si>
  <si>
    <t>G580</t>
  </si>
  <si>
    <t>G579</t>
  </si>
  <si>
    <t>G578</t>
  </si>
  <si>
    <t>G577</t>
  </si>
  <si>
    <t>G576</t>
  </si>
  <si>
    <t>G575</t>
  </si>
  <si>
    <t>G574</t>
  </si>
  <si>
    <t>G573</t>
  </si>
  <si>
    <t>G572</t>
  </si>
  <si>
    <t>G571</t>
  </si>
  <si>
    <t>G570</t>
  </si>
  <si>
    <t>G569</t>
  </si>
  <si>
    <t>G568</t>
  </si>
  <si>
    <t>G567</t>
  </si>
  <si>
    <t>G566</t>
  </si>
  <si>
    <t>G565</t>
  </si>
  <si>
    <t>G564</t>
  </si>
  <si>
    <t>G563</t>
  </si>
  <si>
    <t>G562</t>
  </si>
  <si>
    <t>G561</t>
  </si>
  <si>
    <t>G560</t>
  </si>
  <si>
    <t>G559</t>
  </si>
  <si>
    <t>G558</t>
  </si>
  <si>
    <t>G557</t>
  </si>
  <si>
    <t>G556</t>
  </si>
  <si>
    <t>G555</t>
  </si>
  <si>
    <t>G554</t>
  </si>
  <si>
    <t>G553</t>
  </si>
  <si>
    <t>G552</t>
  </si>
  <si>
    <t>G551</t>
  </si>
  <si>
    <t>G550</t>
  </si>
  <si>
    <t>G549</t>
  </si>
  <si>
    <t>G548</t>
  </si>
  <si>
    <t>G547</t>
  </si>
  <si>
    <t>G546</t>
  </si>
  <si>
    <t>G545</t>
  </si>
  <si>
    <t>G544</t>
  </si>
  <si>
    <t>G543</t>
  </si>
  <si>
    <t>G542</t>
  </si>
  <si>
    <t>G541</t>
  </si>
  <si>
    <t>G540</t>
  </si>
  <si>
    <t>G539</t>
  </si>
  <si>
    <t>G538</t>
  </si>
  <si>
    <t>G537</t>
  </si>
  <si>
    <t>G536</t>
  </si>
  <si>
    <t>G535</t>
  </si>
  <si>
    <t>G534</t>
  </si>
  <si>
    <t>G533</t>
  </si>
  <si>
    <t>G532</t>
  </si>
  <si>
    <t>G531</t>
  </si>
  <si>
    <t>G530</t>
  </si>
  <si>
    <t>G529</t>
  </si>
  <si>
    <t>G528</t>
  </si>
  <si>
    <t>G527</t>
  </si>
  <si>
    <t>G526</t>
  </si>
  <si>
    <t>G525</t>
  </si>
  <si>
    <t>G524</t>
  </si>
  <si>
    <t>G523</t>
  </si>
  <si>
    <t>G522</t>
  </si>
  <si>
    <t>G521</t>
  </si>
  <si>
    <t>G520</t>
  </si>
  <si>
    <t>G519</t>
  </si>
  <si>
    <t>G518</t>
  </si>
  <si>
    <t>G517</t>
  </si>
  <si>
    <t>G516</t>
  </si>
  <si>
    <t>G515</t>
  </si>
  <si>
    <t>G514</t>
  </si>
  <si>
    <t>G513</t>
  </si>
  <si>
    <t>G512</t>
  </si>
  <si>
    <t>G511</t>
  </si>
  <si>
    <t>G510</t>
  </si>
  <si>
    <t>G509</t>
  </si>
  <si>
    <t>G508</t>
  </si>
  <si>
    <t>G507</t>
  </si>
  <si>
    <t>G506</t>
  </si>
  <si>
    <t>G505</t>
  </si>
  <si>
    <t>G504</t>
  </si>
  <si>
    <t>G503</t>
  </si>
  <si>
    <t>G502</t>
  </si>
  <si>
    <t>G501</t>
  </si>
  <si>
    <t>G500</t>
  </si>
  <si>
    <t>G499</t>
  </si>
  <si>
    <t>G498</t>
  </si>
  <si>
    <t>G497</t>
  </si>
  <si>
    <t>G496</t>
  </si>
  <si>
    <t>G495</t>
  </si>
  <si>
    <t>G494</t>
  </si>
  <si>
    <t>G493</t>
  </si>
  <si>
    <t>G492</t>
  </si>
  <si>
    <t>G491</t>
  </si>
  <si>
    <t>G490</t>
  </si>
  <si>
    <t>G489</t>
  </si>
  <si>
    <t>G488</t>
  </si>
  <si>
    <t>G487</t>
  </si>
  <si>
    <t>G486</t>
  </si>
  <si>
    <t>G485</t>
  </si>
  <si>
    <t>G484</t>
  </si>
  <si>
    <t>G483</t>
  </si>
  <si>
    <t>G482</t>
  </si>
  <si>
    <t>G481</t>
  </si>
  <si>
    <t>G480</t>
  </si>
  <si>
    <t>G479</t>
  </si>
  <si>
    <t>G478</t>
  </si>
  <si>
    <t>G477</t>
  </si>
  <si>
    <t>G476</t>
  </si>
  <si>
    <t>G475</t>
  </si>
  <si>
    <t>G474</t>
  </si>
  <si>
    <t>G473</t>
  </si>
  <si>
    <t>G472</t>
  </si>
  <si>
    <t>G471</t>
  </si>
  <si>
    <t>G470</t>
  </si>
  <si>
    <t>G469</t>
  </si>
  <si>
    <t>G468</t>
  </si>
  <si>
    <t>G467</t>
  </si>
  <si>
    <t>G466</t>
  </si>
  <si>
    <t>G465</t>
  </si>
  <si>
    <t>G464</t>
  </si>
  <si>
    <t>G463</t>
  </si>
  <si>
    <t>G462</t>
  </si>
  <si>
    <t>G461</t>
  </si>
  <si>
    <t>G460</t>
  </si>
  <si>
    <t>G459</t>
  </si>
  <si>
    <t>G458</t>
  </si>
  <si>
    <t>G457</t>
  </si>
  <si>
    <t>G456</t>
  </si>
  <si>
    <t>G455</t>
  </si>
  <si>
    <t>G454</t>
  </si>
  <si>
    <t>G453</t>
  </si>
  <si>
    <t>G452</t>
  </si>
  <si>
    <t>G451</t>
  </si>
  <si>
    <t>G450</t>
  </si>
  <si>
    <t>G449</t>
  </si>
  <si>
    <t>G448</t>
  </si>
  <si>
    <t>G447</t>
  </si>
  <si>
    <t>G446</t>
  </si>
  <si>
    <t>G445</t>
  </si>
  <si>
    <t>G444</t>
  </si>
  <si>
    <t>G443</t>
  </si>
  <si>
    <t>G442</t>
  </si>
  <si>
    <t>G441</t>
  </si>
  <si>
    <t>G440</t>
  </si>
  <si>
    <t>G439</t>
  </si>
  <si>
    <t>G438</t>
  </si>
  <si>
    <t>G437</t>
  </si>
  <si>
    <t>G436</t>
  </si>
  <si>
    <t>G435</t>
  </si>
  <si>
    <t>G434</t>
  </si>
  <si>
    <t>G433</t>
  </si>
  <si>
    <t>G432</t>
  </si>
  <si>
    <t>G431</t>
  </si>
  <si>
    <t>G430</t>
  </si>
  <si>
    <t>G429</t>
  </si>
  <si>
    <t>G428</t>
  </si>
  <si>
    <t>G427</t>
  </si>
  <si>
    <t>G426</t>
  </si>
  <si>
    <t>G425</t>
  </si>
  <si>
    <t>G424</t>
  </si>
  <si>
    <t>G423</t>
  </si>
  <si>
    <t>G422</t>
  </si>
  <si>
    <t>G421</t>
  </si>
  <si>
    <t>G420</t>
  </si>
  <si>
    <t>G419</t>
  </si>
  <si>
    <t>G418</t>
  </si>
  <si>
    <t>G417</t>
  </si>
  <si>
    <t>G416</t>
  </si>
  <si>
    <t>G415</t>
  </si>
  <si>
    <t>G414</t>
  </si>
  <si>
    <t>G413</t>
  </si>
  <si>
    <t>G412</t>
  </si>
  <si>
    <t>G411</t>
  </si>
  <si>
    <t>G410</t>
  </si>
  <si>
    <t>G409</t>
  </si>
  <si>
    <t>G408</t>
  </si>
  <si>
    <t>G407</t>
  </si>
  <si>
    <t>G406</t>
  </si>
  <si>
    <t>G405</t>
  </si>
  <si>
    <t>G404</t>
  </si>
  <si>
    <t>G403</t>
  </si>
  <si>
    <t>G402</t>
  </si>
  <si>
    <t>G401</t>
  </si>
  <si>
    <t>G400</t>
  </si>
  <si>
    <t>G399</t>
  </si>
  <si>
    <t>G398</t>
  </si>
  <si>
    <t>G397</t>
  </si>
  <si>
    <t>G396</t>
  </si>
  <si>
    <t>G395</t>
  </si>
  <si>
    <t>G394</t>
  </si>
  <si>
    <t>G393</t>
  </si>
  <si>
    <t>G392</t>
  </si>
  <si>
    <t>G391</t>
  </si>
  <si>
    <t>G390</t>
  </si>
  <si>
    <t>G389</t>
  </si>
  <si>
    <t>G388</t>
  </si>
  <si>
    <t>G387</t>
  </si>
  <si>
    <t>G386</t>
  </si>
  <si>
    <t>G385</t>
  </si>
  <si>
    <t>G384</t>
  </si>
  <si>
    <t>G383</t>
  </si>
  <si>
    <t>G382</t>
  </si>
  <si>
    <t>G381</t>
  </si>
  <si>
    <t>G380</t>
  </si>
  <si>
    <t>G379</t>
  </si>
  <si>
    <t>G378</t>
  </si>
  <si>
    <t>G377</t>
  </si>
  <si>
    <t>G376</t>
  </si>
  <si>
    <t>G375</t>
  </si>
  <si>
    <t>G374</t>
  </si>
  <si>
    <t>G373</t>
  </si>
  <si>
    <t>G372</t>
  </si>
  <si>
    <t>G371</t>
  </si>
  <si>
    <t>G370</t>
  </si>
  <si>
    <t>G369</t>
  </si>
  <si>
    <t>G368</t>
  </si>
  <si>
    <t>G367</t>
  </si>
  <si>
    <t>G366</t>
  </si>
  <si>
    <t>G365</t>
  </si>
  <si>
    <t>G364</t>
  </si>
  <si>
    <t>G363</t>
  </si>
  <si>
    <t>G362</t>
  </si>
  <si>
    <t>G361</t>
  </si>
  <si>
    <t>G360</t>
  </si>
  <si>
    <t>G359</t>
  </si>
  <si>
    <t>G358</t>
  </si>
  <si>
    <t>G357</t>
  </si>
  <si>
    <t>G356</t>
  </si>
  <si>
    <t>G355</t>
  </si>
  <si>
    <t>G354</t>
  </si>
  <si>
    <t>G353</t>
  </si>
  <si>
    <t>G352</t>
  </si>
  <si>
    <t>G351</t>
  </si>
  <si>
    <t>G350</t>
  </si>
  <si>
    <t>G349</t>
  </si>
  <si>
    <t>G348</t>
  </si>
  <si>
    <t>G347</t>
  </si>
  <si>
    <t>G346</t>
  </si>
  <si>
    <t>G345</t>
  </si>
  <si>
    <t>G344</t>
  </si>
  <si>
    <t>G343</t>
  </si>
  <si>
    <t>G342</t>
  </si>
  <si>
    <t>G341</t>
  </si>
  <si>
    <t>G340</t>
  </si>
  <si>
    <t>G339</t>
  </si>
  <si>
    <t>G338</t>
  </si>
  <si>
    <t>G337</t>
  </si>
  <si>
    <t>G336</t>
  </si>
  <si>
    <t>G335</t>
  </si>
  <si>
    <t>G334</t>
  </si>
  <si>
    <t>G333</t>
  </si>
  <si>
    <t>G332</t>
  </si>
  <si>
    <t>G331</t>
  </si>
  <si>
    <t>G330</t>
  </si>
  <si>
    <t>G329</t>
  </si>
  <si>
    <t>G328</t>
  </si>
  <si>
    <t>G327</t>
  </si>
  <si>
    <t>G326</t>
  </si>
  <si>
    <t>G325</t>
  </si>
  <si>
    <t>G324</t>
  </si>
  <si>
    <t>G323</t>
  </si>
  <si>
    <t>G322</t>
  </si>
  <si>
    <t>G321</t>
  </si>
  <si>
    <t>G320</t>
  </si>
  <si>
    <t>G319</t>
  </si>
  <si>
    <t>G318</t>
  </si>
  <si>
    <t>G317</t>
  </si>
  <si>
    <t>G316</t>
  </si>
  <si>
    <t>G315</t>
  </si>
  <si>
    <t>G314</t>
  </si>
  <si>
    <t>G313</t>
  </si>
  <si>
    <t>G312</t>
  </si>
  <si>
    <t>G311</t>
  </si>
  <si>
    <t>G310</t>
  </si>
  <si>
    <t>G309</t>
  </si>
  <si>
    <t>G308</t>
  </si>
  <si>
    <t>G307</t>
  </si>
  <si>
    <t>G306</t>
  </si>
  <si>
    <t>G305</t>
  </si>
  <si>
    <t>G304</t>
  </si>
  <si>
    <t>G303</t>
  </si>
  <si>
    <t>G302</t>
  </si>
  <si>
    <t>G301</t>
  </si>
  <si>
    <t>G300</t>
  </si>
  <si>
    <t>G299</t>
  </si>
  <si>
    <t>G298</t>
  </si>
  <si>
    <t>G297</t>
  </si>
  <si>
    <t>G296</t>
  </si>
  <si>
    <t>G295</t>
  </si>
  <si>
    <t>G294</t>
  </si>
  <si>
    <t>G293</t>
  </si>
  <si>
    <t>G292</t>
  </si>
  <si>
    <t>G291</t>
  </si>
  <si>
    <t>G290</t>
  </si>
  <si>
    <t>G289</t>
  </si>
  <si>
    <t>G288</t>
  </si>
  <si>
    <t>G287</t>
  </si>
  <si>
    <t>G286</t>
  </si>
  <si>
    <t>G285</t>
  </si>
  <si>
    <t>G284</t>
  </si>
  <si>
    <t>G283</t>
  </si>
  <si>
    <t>G282</t>
  </si>
  <si>
    <t>G281</t>
  </si>
  <si>
    <t>G280</t>
  </si>
  <si>
    <t>G279</t>
  </si>
  <si>
    <t>G278</t>
  </si>
  <si>
    <t>G277</t>
  </si>
  <si>
    <t>G276</t>
  </si>
  <si>
    <t>G275</t>
  </si>
  <si>
    <t>G274</t>
  </si>
  <si>
    <t>G273</t>
  </si>
  <si>
    <t>G272</t>
  </si>
  <si>
    <t>G271</t>
  </si>
  <si>
    <t>G270</t>
  </si>
  <si>
    <t>G269</t>
  </si>
  <si>
    <t>G268</t>
  </si>
  <si>
    <t>G267</t>
  </si>
  <si>
    <t>G266</t>
  </si>
  <si>
    <t>G265</t>
  </si>
  <si>
    <t>G264</t>
  </si>
  <si>
    <t>G263</t>
  </si>
  <si>
    <t>G262</t>
  </si>
  <si>
    <t>G261</t>
  </si>
  <si>
    <t>G260</t>
  </si>
  <si>
    <t>G259</t>
  </si>
  <si>
    <t>G258</t>
  </si>
  <si>
    <t>G257</t>
  </si>
  <si>
    <t>G256</t>
  </si>
  <si>
    <t>G255</t>
  </si>
  <si>
    <t>G254</t>
  </si>
  <si>
    <t>G253</t>
  </si>
  <si>
    <t>G252</t>
  </si>
  <si>
    <t>G251</t>
  </si>
  <si>
    <t>G250</t>
  </si>
  <si>
    <t>G249</t>
  </si>
  <si>
    <t>G248</t>
  </si>
  <si>
    <t>G247</t>
  </si>
  <si>
    <t>G246</t>
  </si>
  <si>
    <t>G245</t>
  </si>
  <si>
    <t>G244</t>
  </si>
  <si>
    <t>G243</t>
  </si>
  <si>
    <t>G242</t>
  </si>
  <si>
    <t>G241</t>
  </si>
  <si>
    <t>G240</t>
  </si>
  <si>
    <t>G239</t>
  </si>
  <si>
    <t>G238</t>
  </si>
  <si>
    <t>G237</t>
  </si>
  <si>
    <t>G236</t>
  </si>
  <si>
    <t>G235</t>
  </si>
  <si>
    <t>G234</t>
  </si>
  <si>
    <t>G233</t>
  </si>
  <si>
    <t>G232</t>
  </si>
  <si>
    <t>G231</t>
  </si>
  <si>
    <t>G230</t>
  </si>
  <si>
    <t>G229</t>
  </si>
  <si>
    <t>G228</t>
  </si>
  <si>
    <t>G227</t>
  </si>
  <si>
    <t>G226</t>
  </si>
  <si>
    <t>G225</t>
  </si>
  <si>
    <t>G224</t>
  </si>
  <si>
    <t>G223</t>
  </si>
  <si>
    <t>G222</t>
  </si>
  <si>
    <t>G221</t>
  </si>
  <si>
    <t>G220</t>
  </si>
  <si>
    <t>G219</t>
  </si>
  <si>
    <t>G218</t>
  </si>
  <si>
    <t>G217</t>
  </si>
  <si>
    <t>G216</t>
  </si>
  <si>
    <t>G215</t>
  </si>
  <si>
    <t>G214</t>
  </si>
  <si>
    <t>G213</t>
  </si>
  <si>
    <t>G212</t>
  </si>
  <si>
    <t>G211</t>
  </si>
  <si>
    <t>G210</t>
  </si>
  <si>
    <t>G209</t>
  </si>
  <si>
    <t>G208</t>
  </si>
  <si>
    <t>G207</t>
  </si>
  <si>
    <t>G206</t>
  </si>
  <si>
    <t>G205</t>
  </si>
  <si>
    <t>G204</t>
  </si>
  <si>
    <t>G203</t>
  </si>
  <si>
    <t>G202</t>
  </si>
  <si>
    <t>G201</t>
  </si>
  <si>
    <t>G200</t>
  </si>
  <si>
    <t>G199</t>
  </si>
  <si>
    <t>G198</t>
  </si>
  <si>
    <t>G197</t>
  </si>
  <si>
    <t>G196</t>
  </si>
  <si>
    <t>G195</t>
  </si>
  <si>
    <t>G194</t>
  </si>
  <si>
    <t>G193</t>
  </si>
  <si>
    <t>G192</t>
  </si>
  <si>
    <t>G191</t>
  </si>
  <si>
    <t>G190</t>
  </si>
  <si>
    <t>G189</t>
  </si>
  <si>
    <t>G188</t>
  </si>
  <si>
    <t>G187</t>
  </si>
  <si>
    <t>G186</t>
  </si>
  <si>
    <t>G185</t>
  </si>
  <si>
    <t>G184</t>
  </si>
  <si>
    <t>G183</t>
  </si>
  <si>
    <t>G182</t>
  </si>
  <si>
    <t>G181</t>
  </si>
  <si>
    <t>G180</t>
  </si>
  <si>
    <t>G179</t>
  </si>
  <si>
    <t>G178</t>
  </si>
  <si>
    <t>G177</t>
  </si>
  <si>
    <t>G176</t>
  </si>
  <si>
    <t>G175</t>
  </si>
  <si>
    <t>G174</t>
  </si>
  <si>
    <t>G173</t>
  </si>
  <si>
    <t>G172</t>
  </si>
  <si>
    <t>G171</t>
  </si>
  <si>
    <t>G170</t>
  </si>
  <si>
    <t>G169</t>
  </si>
  <si>
    <t>G168</t>
  </si>
  <si>
    <t>G167</t>
  </si>
  <si>
    <t>G166</t>
  </si>
  <si>
    <t>G165</t>
  </si>
  <si>
    <t>G164</t>
  </si>
  <si>
    <t>G163</t>
  </si>
  <si>
    <t>G162</t>
  </si>
  <si>
    <t>G161</t>
  </si>
  <si>
    <t>G160</t>
  </si>
  <si>
    <t>G159</t>
  </si>
  <si>
    <t>G158</t>
  </si>
  <si>
    <t>G157</t>
  </si>
  <si>
    <t>G156</t>
  </si>
  <si>
    <t>G155</t>
  </si>
  <si>
    <t>G154</t>
  </si>
  <si>
    <t>G153</t>
  </si>
  <si>
    <t>G152</t>
  </si>
  <si>
    <t>G151</t>
  </si>
  <si>
    <t>G150</t>
  </si>
  <si>
    <t>G149</t>
  </si>
  <si>
    <t>G148</t>
  </si>
  <si>
    <t>G147</t>
  </si>
  <si>
    <t>G146</t>
  </si>
  <si>
    <t>G145</t>
  </si>
  <si>
    <t>G144</t>
  </si>
  <si>
    <t>G143</t>
  </si>
  <si>
    <t>G142</t>
  </si>
  <si>
    <t>G141</t>
  </si>
  <si>
    <t>G140</t>
  </si>
  <si>
    <t>G139</t>
  </si>
  <si>
    <t>G138</t>
  </si>
  <si>
    <t>G137</t>
  </si>
  <si>
    <t>G136</t>
  </si>
  <si>
    <t>G135</t>
  </si>
  <si>
    <t>G134</t>
  </si>
  <si>
    <t>G133</t>
  </si>
  <si>
    <t>G132</t>
  </si>
  <si>
    <t>G131</t>
  </si>
  <si>
    <t>G130</t>
  </si>
  <si>
    <t>G129</t>
  </si>
  <si>
    <t>G128</t>
  </si>
  <si>
    <t>G127</t>
  </si>
  <si>
    <t>G126</t>
  </si>
  <si>
    <t>G125</t>
  </si>
  <si>
    <t>G124</t>
  </si>
  <si>
    <t>G123</t>
  </si>
  <si>
    <t>G122</t>
  </si>
  <si>
    <t>G121</t>
  </si>
  <si>
    <t>G120</t>
  </si>
  <si>
    <t>G119</t>
  </si>
  <si>
    <t>G118</t>
  </si>
  <si>
    <t>G117</t>
  </si>
  <si>
    <t>G116</t>
  </si>
  <si>
    <t>G115</t>
  </si>
  <si>
    <t>G114</t>
  </si>
  <si>
    <t>G113</t>
  </si>
  <si>
    <t>G112</t>
  </si>
  <si>
    <t>G111</t>
  </si>
  <si>
    <t>G110</t>
  </si>
  <si>
    <t>G109</t>
  </si>
  <si>
    <t>G108</t>
  </si>
  <si>
    <t>G107</t>
  </si>
  <si>
    <t>G106</t>
  </si>
  <si>
    <t>G105</t>
  </si>
  <si>
    <t>G104</t>
  </si>
  <si>
    <t>G103</t>
  </si>
  <si>
    <t>G102</t>
  </si>
  <si>
    <t>G101</t>
  </si>
  <si>
    <t>G100</t>
  </si>
  <si>
    <t>G99</t>
  </si>
  <si>
    <t>G98</t>
  </si>
  <si>
    <t>G97</t>
  </si>
  <si>
    <t>G96</t>
  </si>
  <si>
    <t>G95</t>
  </si>
  <si>
    <t>G94</t>
  </si>
  <si>
    <t>G93</t>
  </si>
  <si>
    <t>G92</t>
  </si>
  <si>
    <t>G91</t>
  </si>
  <si>
    <t>G90</t>
  </si>
  <si>
    <t>G89</t>
  </si>
  <si>
    <t>G88</t>
  </si>
  <si>
    <t>G87</t>
  </si>
  <si>
    <t>G86</t>
  </si>
  <si>
    <t>G85</t>
  </si>
  <si>
    <t>G84</t>
  </si>
  <si>
    <t>G83</t>
  </si>
  <si>
    <t>G82</t>
  </si>
  <si>
    <t>G81</t>
  </si>
  <si>
    <t>G80</t>
  </si>
  <si>
    <t>G79</t>
  </si>
  <si>
    <t>G78</t>
  </si>
  <si>
    <t>G77</t>
  </si>
  <si>
    <t>G76</t>
  </si>
  <si>
    <t>G75</t>
  </si>
  <si>
    <t>G74</t>
  </si>
  <si>
    <t>G73</t>
  </si>
  <si>
    <t>G72</t>
  </si>
  <si>
    <t>G71</t>
  </si>
  <si>
    <t>G70</t>
  </si>
  <si>
    <t>G69</t>
  </si>
  <si>
    <t>G68</t>
  </si>
  <si>
    <t>G67</t>
  </si>
  <si>
    <t>G66</t>
  </si>
  <si>
    <t>G65</t>
  </si>
  <si>
    <t>G64</t>
  </si>
  <si>
    <t>G63</t>
  </si>
  <si>
    <t>G62</t>
  </si>
  <si>
    <t>G61</t>
  </si>
  <si>
    <t>G60</t>
  </si>
  <si>
    <t>G59</t>
  </si>
  <si>
    <t>G58</t>
  </si>
  <si>
    <t>G57</t>
  </si>
  <si>
    <t>G56</t>
  </si>
  <si>
    <t>G55</t>
  </si>
  <si>
    <t>G54</t>
  </si>
  <si>
    <t>G53</t>
  </si>
  <si>
    <t>G52</t>
  </si>
  <si>
    <t>G51</t>
  </si>
  <si>
    <t>G50</t>
  </si>
  <si>
    <t>G49</t>
  </si>
  <si>
    <t>G48</t>
  </si>
  <si>
    <t>G47</t>
  </si>
  <si>
    <t>G46</t>
  </si>
  <si>
    <t>G45</t>
  </si>
  <si>
    <t>G44</t>
  </si>
  <si>
    <t>G43</t>
  </si>
  <si>
    <t>G42</t>
  </si>
  <si>
    <t>G41</t>
  </si>
  <si>
    <t>G40</t>
  </si>
  <si>
    <t>G39</t>
  </si>
  <si>
    <t>G38</t>
  </si>
  <si>
    <t>G37</t>
  </si>
  <si>
    <t>G36</t>
  </si>
  <si>
    <t>G35</t>
  </si>
  <si>
    <t>G34</t>
  </si>
  <si>
    <t>G33</t>
  </si>
  <si>
    <t>G32</t>
  </si>
  <si>
    <t>G31</t>
  </si>
  <si>
    <t>G30</t>
  </si>
  <si>
    <t>G29</t>
  </si>
  <si>
    <t>G28</t>
  </si>
  <si>
    <t>G27</t>
  </si>
  <si>
    <t>G26</t>
  </si>
  <si>
    <t>G25</t>
  </si>
  <si>
    <t>G24</t>
  </si>
  <si>
    <t>G23</t>
  </si>
  <si>
    <t>G22</t>
  </si>
  <si>
    <t>G21</t>
  </si>
  <si>
    <t>G20</t>
  </si>
  <si>
    <t>G19</t>
  </si>
  <si>
    <t>G18</t>
  </si>
  <si>
    <t>G17</t>
  </si>
  <si>
    <t>G16</t>
  </si>
  <si>
    <t>G15</t>
  </si>
  <si>
    <t>G14</t>
  </si>
  <si>
    <t>G13</t>
  </si>
  <si>
    <t>G12</t>
  </si>
  <si>
    <t>G11</t>
  </si>
  <si>
    <t>G10</t>
  </si>
  <si>
    <t>G9</t>
  </si>
  <si>
    <t>G8</t>
  </si>
  <si>
    <t>G7</t>
  </si>
  <si>
    <t>G6</t>
  </si>
  <si>
    <t>G5</t>
  </si>
  <si>
    <t>G4</t>
  </si>
  <si>
    <t>G3</t>
  </si>
  <si>
    <t>G2</t>
  </si>
  <si>
    <t>G1</t>
  </si>
  <si>
    <t xml:space="preserve">Half string </t>
  </si>
  <si>
    <t xml:space="preserve">No string </t>
  </si>
  <si>
    <t xml:space="preserve">Empty bag </t>
  </si>
  <si>
    <t xml:space="preserve">No tag, can't read the number </t>
  </si>
  <si>
    <t>NA</t>
  </si>
  <si>
    <t xml:space="preserve">Empty </t>
  </si>
  <si>
    <t>no bag only tag</t>
  </si>
  <si>
    <t>N.A</t>
  </si>
  <si>
    <t xml:space="preserve">Holes </t>
  </si>
  <si>
    <t xml:space="preserve">No tea bag, and just tagg </t>
  </si>
  <si>
    <t>R3864</t>
  </si>
  <si>
    <t xml:space="preserve">Holes, soil inside </t>
  </si>
  <si>
    <t xml:space="preserve">Empty, chewed </t>
  </si>
  <si>
    <t xml:space="preserve">N.A. </t>
  </si>
  <si>
    <t xml:space="preserve">No tag and no string </t>
  </si>
  <si>
    <t xml:space="preserve">No string and no tag </t>
  </si>
  <si>
    <t>only 3</t>
  </si>
  <si>
    <t xml:space="preserve">empty and hole </t>
  </si>
  <si>
    <t xml:space="preserve">empty, tag and bag  chewed, cant recognize number </t>
  </si>
  <si>
    <t xml:space="preserve">Soil inside </t>
  </si>
  <si>
    <t xml:space="preserve">No string and tag </t>
  </si>
  <si>
    <t>holes</t>
  </si>
  <si>
    <t>Can't read the midnumber only</t>
  </si>
  <si>
    <t>holes. soil inside</t>
  </si>
  <si>
    <t>no tag</t>
  </si>
  <si>
    <t>tag nibbled. bag almost eaten</t>
  </si>
  <si>
    <t>Empty and destroyed bag. G8 is clearly vsible the 3 in midle is not so easy and the 5 is most likely right. Sheeting.</t>
  </si>
  <si>
    <t>n.a</t>
  </si>
  <si>
    <t>sheeting. empty and destroyed bag</t>
  </si>
  <si>
    <t>some roots inside</t>
  </si>
  <si>
    <t>holes. empty. prob only soil inside</t>
  </si>
  <si>
    <t>empty. prob only soil inside</t>
  </si>
  <si>
    <t>small tearing</t>
  </si>
  <si>
    <t>na</t>
  </si>
  <si>
    <t>empty</t>
  </si>
  <si>
    <t>small roots inside</t>
  </si>
  <si>
    <t>small roots. holes and prob soil inside</t>
  </si>
  <si>
    <t>string not attached. but weighed with bag</t>
  </si>
  <si>
    <t>short string</t>
  </si>
  <si>
    <t>nibled tag</t>
  </si>
  <si>
    <t>A big tearing in one corner of bag</t>
  </si>
  <si>
    <t>small holes</t>
  </si>
  <si>
    <t>tearing</t>
  </si>
  <si>
    <t>a tearing</t>
  </si>
  <si>
    <t>one hole</t>
  </si>
  <si>
    <t>small holes. no tag. no string</t>
  </si>
  <si>
    <t>any holes and a tearing</t>
  </si>
  <si>
    <t>many holes. prob. Soil inside</t>
  </si>
  <si>
    <t>a small tearing</t>
  </si>
  <si>
    <t>some holes. uncertain if soil inside</t>
  </si>
  <si>
    <t>lots of holes and termite sheeting. Probably no litter left only soil.</t>
  </si>
  <si>
    <t>Only half bag left with some litter and soil inside</t>
  </si>
  <si>
    <t>teared open. prob. Soil inside</t>
  </si>
  <si>
    <t>Empty. holes. soil inside</t>
  </si>
  <si>
    <t>one hole. some soil inside probably</t>
  </si>
  <si>
    <t>empty. a bit soil inside</t>
  </si>
  <si>
    <t>no tag. no string. one smal hole.</t>
  </si>
  <si>
    <t>many holes. probably only soil inside. So empty no litter left. Termite cheeting</t>
  </si>
  <si>
    <t>destroyed empty bag</t>
  </si>
  <si>
    <t>Hole. porbably soil inside</t>
  </si>
  <si>
    <t>holes and soil inside</t>
  </si>
  <si>
    <t>holes and soil inside (probaby empty of litter)</t>
  </si>
  <si>
    <t>Roots inside</t>
  </si>
  <si>
    <t>Empty. soil inside</t>
  </si>
  <si>
    <t>roots. few small holes</t>
  </si>
  <si>
    <t>No string</t>
  </si>
  <si>
    <t>holes and roots inside. sheeting. Bag supposed to freeze due to termite inside. but forgot.</t>
  </si>
  <si>
    <t>Some roots inside</t>
  </si>
  <si>
    <t>holes. some soil and roots inside</t>
  </si>
  <si>
    <t>Short string</t>
  </si>
  <si>
    <t>No string/tag</t>
  </si>
  <si>
    <t>No string/tag. code looks like G816 or G811</t>
  </si>
  <si>
    <t>String and bag weighed seperately</t>
  </si>
  <si>
    <t>Small holes. does not look like termites</t>
  </si>
  <si>
    <t>roots inside</t>
  </si>
  <si>
    <t>no string</t>
  </si>
  <si>
    <t>part of string not attached when weighed</t>
  </si>
  <si>
    <t>Tag nibbled</t>
  </si>
  <si>
    <t>Small roots</t>
  </si>
  <si>
    <t>small roots</t>
  </si>
  <si>
    <t>Soil inside(plot141)</t>
  </si>
  <si>
    <t>no string. soil inside</t>
  </si>
  <si>
    <t>no string. no tag</t>
  </si>
  <si>
    <t>empty. no string. no tag</t>
  </si>
  <si>
    <t>no tag and string</t>
  </si>
  <si>
    <t>Empty/holes</t>
  </si>
  <si>
    <t>Roots</t>
  </si>
  <si>
    <t>Chewed tag</t>
  </si>
  <si>
    <t>No string/no tag</t>
  </si>
  <si>
    <t>In plot bag 64: DOUBLE CHECK THIS! Not readable number on the bag and tag.</t>
  </si>
  <si>
    <t>holes + soil</t>
  </si>
  <si>
    <t>holes. no string attached but measured with it</t>
  </si>
  <si>
    <t>Holes. unreadable number</t>
  </si>
  <si>
    <t>no number on the bag or unreadable</t>
  </si>
  <si>
    <t>no number on the bag</t>
  </si>
  <si>
    <t>Empty</t>
  </si>
  <si>
    <t>Empty. Bag not weighed</t>
  </si>
  <si>
    <t>Comment</t>
  </si>
  <si>
    <t>Weight after incubation (g)</t>
  </si>
  <si>
    <t>Plot nr</t>
  </si>
  <si>
    <t>Short string means half string left or less</t>
  </si>
  <si>
    <t>Teabags post incubation wet season</t>
  </si>
  <si>
    <t>Scale: sartorius Mettler Toledo BP221S d=0.1mg</t>
  </si>
  <si>
    <t>Protocol:Remove what is left of the label but leave the string. weigh the
bags and subtract the weight of an empty bag without the label to
determine the weight after incubation. Remove also the nylon string as much as possible.</t>
  </si>
  <si>
    <t>Plot details</t>
  </si>
  <si>
    <t>Time placement</t>
  </si>
  <si>
    <t>Time collected</t>
  </si>
  <si>
    <t>GPS</t>
  </si>
  <si>
    <t>Litterbag tag number</t>
  </si>
  <si>
    <t>Holes, Roots, cheating (H, R, C)</t>
  </si>
  <si>
    <t xml:space="preserve">Mound </t>
  </si>
  <si>
    <t xml:space="preserve">Tree </t>
  </si>
  <si>
    <t>Comments</t>
  </si>
  <si>
    <t>Codes</t>
  </si>
  <si>
    <t>Plot</t>
  </si>
  <si>
    <t>REGION</t>
  </si>
  <si>
    <t>Sitecode</t>
  </si>
  <si>
    <t>SITE</t>
  </si>
  <si>
    <t>Time</t>
  </si>
  <si>
    <t>WP</t>
  </si>
  <si>
    <t>Ex.Gr.</t>
  </si>
  <si>
    <t>Ex.Roi</t>
  </si>
  <si>
    <t>Temp. C</t>
  </si>
  <si>
    <t>Moist. %</t>
  </si>
  <si>
    <t>Ex.Gr</t>
  </si>
  <si>
    <t>N.D (m)</t>
  </si>
  <si>
    <t>Makao</t>
  </si>
  <si>
    <t>Dry_Ag1_T1</t>
  </si>
  <si>
    <t>A1</t>
  </si>
  <si>
    <t>H</t>
  </si>
  <si>
    <t>M</t>
  </si>
  <si>
    <t>Hull åpenbart etter spade</t>
  </si>
  <si>
    <t>Orange=Not found</t>
  </si>
  <si>
    <t>Dry_Ag1_T2</t>
  </si>
  <si>
    <t>Dry_Ag1_T3</t>
  </si>
  <si>
    <t>Ag=agriculture(maizefield)</t>
  </si>
  <si>
    <t>Dry_Ag1_T4</t>
  </si>
  <si>
    <t>R</t>
  </si>
  <si>
    <t>T= Teabag-plot</t>
  </si>
  <si>
    <t>Dry_Ag1_T5</t>
  </si>
  <si>
    <t>Dry_Ag1_T6</t>
  </si>
  <si>
    <t>Dry_Ag1_T7</t>
  </si>
  <si>
    <t>Dry_Ag1_T8</t>
  </si>
  <si>
    <t>Dry_Ag2_T1</t>
  </si>
  <si>
    <t>A2</t>
  </si>
  <si>
    <t>HC</t>
  </si>
  <si>
    <t>Dry_Ag2_T2</t>
  </si>
  <si>
    <t>Dry_Ag2_T3</t>
  </si>
  <si>
    <t>Dry_Ag2_T4</t>
  </si>
  <si>
    <t>Dry_Ag2_T5</t>
  </si>
  <si>
    <t>HR</t>
  </si>
  <si>
    <t>Dry_Ag2_T6</t>
  </si>
  <si>
    <t>Dry_Ag2_T7</t>
  </si>
  <si>
    <t>RHC</t>
  </si>
  <si>
    <t>De i mesh lå helt i overflaten, DE UTEN MESH lenger ned</t>
  </si>
  <si>
    <t>Dry_Ag2_T8</t>
  </si>
  <si>
    <t>RH</t>
  </si>
  <si>
    <t>Dry_Ag3_T1</t>
  </si>
  <si>
    <t>A3</t>
  </si>
  <si>
    <t>NO MOUNDS OR TREES IN AREA</t>
  </si>
  <si>
    <t>Dry_Ag3_T2</t>
  </si>
  <si>
    <t>Dry_Ag3_T3</t>
  </si>
  <si>
    <t>Dry_Ag3_T4</t>
  </si>
  <si>
    <t>Dry_Ag3_T5</t>
  </si>
  <si>
    <t>Dry_Ag3_T6</t>
  </si>
  <si>
    <t>Dry_Ag3_T7</t>
  </si>
  <si>
    <t>Dry_Ag3_T8</t>
  </si>
  <si>
    <t>Dry_Ag4_T1</t>
  </si>
  <si>
    <t>A4</t>
  </si>
  <si>
    <t>Dry_Ag4_T2</t>
  </si>
  <si>
    <t>Dry_Ag4_T3</t>
  </si>
  <si>
    <t>Dry_Ag4_T4</t>
  </si>
  <si>
    <t>Dry_Ag4_T5</t>
  </si>
  <si>
    <t>Dry_Ag4_T6</t>
  </si>
  <si>
    <t>Dry_Ag4_T7</t>
  </si>
  <si>
    <t>Dry_Ag4_T8</t>
  </si>
  <si>
    <t>Dry_P1_T1</t>
  </si>
  <si>
    <t>P1</t>
  </si>
  <si>
    <t>G</t>
  </si>
  <si>
    <t>Dry_P1_T2</t>
  </si>
  <si>
    <t>HRC</t>
  </si>
  <si>
    <t>Ants in plot</t>
  </si>
  <si>
    <t>Dry_P1_T3</t>
  </si>
  <si>
    <t>Dry_P1_T4</t>
  </si>
  <si>
    <t>RC</t>
  </si>
  <si>
    <t>Dry_P1_T5</t>
  </si>
  <si>
    <t>HCR</t>
  </si>
  <si>
    <t>Dry_P1_T6</t>
  </si>
  <si>
    <t>CH</t>
  </si>
  <si>
    <t>Dry_P1_T7</t>
  </si>
  <si>
    <t>ANTS IN PLOT</t>
  </si>
  <si>
    <t>Dry_P1_T8</t>
  </si>
  <si>
    <t>G&amp;R open: hole from digging</t>
  </si>
  <si>
    <t>Dry_P2_T1</t>
  </si>
  <si>
    <t>P2</t>
  </si>
  <si>
    <t>Dry_P2_T2</t>
  </si>
  <si>
    <t>G open: hole from digging</t>
  </si>
  <si>
    <t>Dry_P2_T3</t>
  </si>
  <si>
    <t>Dry_P2_T4</t>
  </si>
  <si>
    <t>Dry_P2_T5</t>
  </si>
  <si>
    <t>O</t>
  </si>
  <si>
    <t>Dry_P2_T6</t>
  </si>
  <si>
    <t>Dry_P2_T7</t>
  </si>
  <si>
    <t>R OPEN: HOLE FROM DIGGING</t>
  </si>
  <si>
    <t>Dry_P2_T8</t>
  </si>
  <si>
    <t>Dry_P3_T1</t>
  </si>
  <si>
    <t>P3</t>
  </si>
  <si>
    <t>Dry_P3_T2</t>
  </si>
  <si>
    <t>Dry_P3_T3</t>
  </si>
  <si>
    <t>Dry_P3_T4</t>
  </si>
  <si>
    <t>Dry_P3_T5</t>
  </si>
  <si>
    <t>Dry_P3_T6</t>
  </si>
  <si>
    <t>Dry_P3_T7</t>
  </si>
  <si>
    <t>Dry_P3_T8</t>
  </si>
  <si>
    <t>Dry_P4_T1</t>
  </si>
  <si>
    <t>P4</t>
  </si>
  <si>
    <t>R OPEN: HOLE ROM DIGGING</t>
  </si>
  <si>
    <t>Dry_P4_T2</t>
  </si>
  <si>
    <t>Dry_P4_T3</t>
  </si>
  <si>
    <t>Dry_P4_T4</t>
  </si>
  <si>
    <t>Ex.roi: hole from digging</t>
  </si>
  <si>
    <t>Dry_P4_T5</t>
  </si>
  <si>
    <t>Dry_P4_T6</t>
  </si>
  <si>
    <t>r OPEN: HOLE FROM DIGGING</t>
  </si>
  <si>
    <t>Dry_P4_T7</t>
  </si>
  <si>
    <t>Dry_P4_T8</t>
  </si>
  <si>
    <t>Maswa</t>
  </si>
  <si>
    <t>Dry_W1_T1</t>
  </si>
  <si>
    <t>W1</t>
  </si>
  <si>
    <t>Dry_W1_T2</t>
  </si>
  <si>
    <t>Dry_W1_T3</t>
  </si>
  <si>
    <t>Dry_W1_T4</t>
  </si>
  <si>
    <t>Dry_W1_T5</t>
  </si>
  <si>
    <t>Dry_W1_T6</t>
  </si>
  <si>
    <t>Dry_W1_T7</t>
  </si>
  <si>
    <t>Dry_W1_T8</t>
  </si>
  <si>
    <t>Dry_W2_T1</t>
  </si>
  <si>
    <t>W2</t>
  </si>
  <si>
    <t>Dry_W2_T2</t>
  </si>
  <si>
    <t>Dry_W2_T3</t>
  </si>
  <si>
    <t>Dry_W2_T4</t>
  </si>
  <si>
    <t>Dry_W2_T5</t>
  </si>
  <si>
    <t>Dry_W2_T6</t>
  </si>
  <si>
    <t>Dry_W2_T7</t>
  </si>
  <si>
    <t>Dry_W2_T8</t>
  </si>
  <si>
    <t>Dry_W3_T1</t>
  </si>
  <si>
    <t>W3</t>
  </si>
  <si>
    <t>Maswa GR</t>
  </si>
  <si>
    <t>Dry_W3_T2</t>
  </si>
  <si>
    <t>Dry_W3_T3</t>
  </si>
  <si>
    <t>Dry_W3_T4</t>
  </si>
  <si>
    <t>Dry_W3_T5</t>
  </si>
  <si>
    <t>Dry_W3_T6</t>
  </si>
  <si>
    <t>Dry_W3_T7</t>
  </si>
  <si>
    <t>Dry_W3_T8</t>
  </si>
  <si>
    <t>Dry_W4_T1</t>
  </si>
  <si>
    <t>W4</t>
  </si>
  <si>
    <t>Dry_W4_T2</t>
  </si>
  <si>
    <t>Dry_W4_T3</t>
  </si>
  <si>
    <t>Dry_W4_T4</t>
  </si>
  <si>
    <t>Dry_W4_T5</t>
  </si>
  <si>
    <t>Dry_W4_T6</t>
  </si>
  <si>
    <t>Dry_W4_T7</t>
  </si>
  <si>
    <t>Dry_W4_T8</t>
  </si>
  <si>
    <t xml:space="preserve">Mwantimba
</t>
  </si>
  <si>
    <t>Wet_Ag1_T1</t>
  </si>
  <si>
    <t>Wet_Ag1_T2</t>
  </si>
  <si>
    <t>Wet_Ag1_T3</t>
  </si>
  <si>
    <t>Wet_Ag1_T4</t>
  </si>
  <si>
    <t>C</t>
  </si>
  <si>
    <t>Wet_Ag1_T5</t>
  </si>
  <si>
    <t>Wet_Ag1_T6</t>
  </si>
  <si>
    <t>Wet_Ag1_T7</t>
  </si>
  <si>
    <t>Wet_Ag1_T8</t>
  </si>
  <si>
    <t>Wet_Ag2_T1</t>
  </si>
  <si>
    <t>Wet_Ag2_T2</t>
  </si>
  <si>
    <t>Wet_Ag2_T3</t>
  </si>
  <si>
    <t>Wet_Ag2_T4</t>
  </si>
  <si>
    <t>R OPEN: CRACK IN BAG (PROB. FABRIC FAIL)</t>
  </si>
  <si>
    <t>Wet_Ag2_T5</t>
  </si>
  <si>
    <t>Wet_Ag2_T6</t>
  </si>
  <si>
    <t>Wet_Ag2_T7</t>
  </si>
  <si>
    <t>Wet_Ag2_T8</t>
  </si>
  <si>
    <t>Wet_Ag3_T1</t>
  </si>
  <si>
    <t>Wet_Ag3_T2</t>
  </si>
  <si>
    <t>Wet_Ag3_T3</t>
  </si>
  <si>
    <t>Wet_Ag3_T4</t>
  </si>
  <si>
    <t>Wet_Ag3_T5</t>
  </si>
  <si>
    <t>Wet_Ag3_T6</t>
  </si>
  <si>
    <t>Wet_Ag3_T7</t>
  </si>
  <si>
    <t>Wet_Ag3_T8</t>
  </si>
  <si>
    <t>Wet_Ag4_T1</t>
  </si>
  <si>
    <t>Wet_Ag4_T2</t>
  </si>
  <si>
    <t>Wet_Ag4_T3</t>
  </si>
  <si>
    <t>TERMITES INSIDE BAG, DID NOT REMEMBER TO KILL THEM AFTER COLLECTING BAG</t>
  </si>
  <si>
    <t>Wet_Ag4_T4</t>
  </si>
  <si>
    <t>Wet_Ag4_T5</t>
  </si>
  <si>
    <t>Wet_Ag4_T6</t>
  </si>
  <si>
    <t>Wet_Ag4_T7</t>
  </si>
  <si>
    <t>Wet_Ag4_T8</t>
  </si>
  <si>
    <t>Wet_P1_T1</t>
  </si>
  <si>
    <t>Wet_P1_T2</t>
  </si>
  <si>
    <t>Wet_P1_T3</t>
  </si>
  <si>
    <t>Wet_P1_T4</t>
  </si>
  <si>
    <t>Wet_P1_T5</t>
  </si>
  <si>
    <t>Wet_P1_T6</t>
  </si>
  <si>
    <t>Wet_P1_T7</t>
  </si>
  <si>
    <t>Wet_P1_T8</t>
  </si>
  <si>
    <t>Wet_P2_T1</t>
  </si>
  <si>
    <t>Wet_P2_T2</t>
  </si>
  <si>
    <t>Wet_P2_T3</t>
  </si>
  <si>
    <t>RCH</t>
  </si>
  <si>
    <t>Wet_P2_T4</t>
  </si>
  <si>
    <t>Wet_P2_T5</t>
  </si>
  <si>
    <t>Wet_P2_T6</t>
  </si>
  <si>
    <t>Wet_P2_T7</t>
  </si>
  <si>
    <t>Wet_P2_T8</t>
  </si>
  <si>
    <t>Wet_P3_T1</t>
  </si>
  <si>
    <t>Wet_P3_T2</t>
  </si>
  <si>
    <t>Wet_P3_T3</t>
  </si>
  <si>
    <t>Wet_P3_T4</t>
  </si>
  <si>
    <t>Wet_P3_T5</t>
  </si>
  <si>
    <t>Wet_P3_T6</t>
  </si>
  <si>
    <t>Wet_P3_T7</t>
  </si>
  <si>
    <t>Wet_P3_T8</t>
  </si>
  <si>
    <t>Ex.gr: plant growth out of mesh</t>
  </si>
  <si>
    <t>Wet_P4_T1</t>
  </si>
  <si>
    <t>Wet_P4_T2</t>
  </si>
  <si>
    <t>Wet_P4_T3</t>
  </si>
  <si>
    <t>Wet_P4_T4</t>
  </si>
  <si>
    <t>G.OPEN: LOOKS AS IF CUTTED OPEN WHEN DIGGING UP</t>
  </si>
  <si>
    <t>Wet_P4_T5</t>
  </si>
  <si>
    <t>Wet_P4_T6</t>
  </si>
  <si>
    <t>Wet_P4_T7</t>
  </si>
  <si>
    <t>Wet_P4_T8</t>
  </si>
  <si>
    <t>Handajega</t>
  </si>
  <si>
    <t>Wet_W1_T1</t>
  </si>
  <si>
    <t>Wet_W1_T2</t>
  </si>
  <si>
    <t>Wet_W1_T3</t>
  </si>
  <si>
    <t>Wet_W1_T4</t>
  </si>
  <si>
    <t>Wet_W1_T5</t>
  </si>
  <si>
    <t>Wet_W1_T6</t>
  </si>
  <si>
    <t>G.OP: RIPPED OPEN</t>
  </si>
  <si>
    <t>Wet_W1_T7</t>
  </si>
  <si>
    <t>Wet_W1_T8</t>
  </si>
  <si>
    <t>Wet_W2_T1</t>
  </si>
  <si>
    <t>Wet_W2_T2</t>
  </si>
  <si>
    <t>Wet_W2_T3</t>
  </si>
  <si>
    <t>Wet_W2_T4</t>
  </si>
  <si>
    <t>Wet_W2_T5</t>
  </si>
  <si>
    <t>Wet_W2_T6</t>
  </si>
  <si>
    <t>Wet_W2_T7</t>
  </si>
  <si>
    <t>Wet_W2_T8</t>
  </si>
  <si>
    <t>Wet_W3_T1</t>
  </si>
  <si>
    <t>Wet_W3_T2</t>
  </si>
  <si>
    <t>Wet_W3_T3</t>
  </si>
  <si>
    <t>Wet_W3_T4</t>
  </si>
  <si>
    <t>Wet_W3_T5</t>
  </si>
  <si>
    <t>Wet_W3_T6</t>
  </si>
  <si>
    <t>Wet_W3_T7</t>
  </si>
  <si>
    <t>Wet_W3_T8</t>
  </si>
  <si>
    <t>G.EX: WAS OPEN IN CORNER</t>
  </si>
  <si>
    <t>Wet_W4_T1</t>
  </si>
  <si>
    <t>Wet_W4_T2</t>
  </si>
  <si>
    <t>Wet_W4_T3</t>
  </si>
  <si>
    <t>Wet_W4_T4</t>
  </si>
  <si>
    <t>G.OPEN: RIPPED OPEN</t>
  </si>
  <si>
    <t>Wet_W4_T5</t>
  </si>
  <si>
    <t>Wet_W4_T6</t>
  </si>
  <si>
    <t>Wet_W4_T7</t>
  </si>
  <si>
    <t>Wet_W4_T8</t>
  </si>
  <si>
    <t>Dry_Ag4_CG1</t>
  </si>
  <si>
    <t>G.EX: TERMITES OUTSIDE MESH</t>
  </si>
  <si>
    <t>Dry_P3_CG1</t>
  </si>
  <si>
    <t>Dry_W2_CG1</t>
  </si>
  <si>
    <t>Wet_Ag2_CG1</t>
  </si>
  <si>
    <t>Wet_P3_CG1</t>
  </si>
  <si>
    <t>Wet_W3_CG1</t>
  </si>
  <si>
    <t>Seronera</t>
  </si>
  <si>
    <t>Local1_CG1</t>
  </si>
  <si>
    <t>Dry_Ag3_CG2</t>
  </si>
  <si>
    <t>Dry_P1_CG2</t>
  </si>
  <si>
    <t>CG =Common Garden</t>
  </si>
  <si>
    <t>Dry_W1_CG2</t>
  </si>
  <si>
    <t>Wet_Ag1_CG2</t>
  </si>
  <si>
    <t>Wet_P1_CG2</t>
  </si>
  <si>
    <t>Wet_W4_CG2</t>
  </si>
  <si>
    <t>Local2_CG2</t>
  </si>
  <si>
    <t>Dry_Ag2_CG3</t>
  </si>
  <si>
    <t>Dry_P2_CG3</t>
  </si>
  <si>
    <t>Dry_W4_CG3</t>
  </si>
  <si>
    <t>Wet_Ag4_CG3</t>
  </si>
  <si>
    <t>Wet_P4_CG3</t>
  </si>
  <si>
    <t>Wet_W2_CG3</t>
  </si>
  <si>
    <t>Local3_CG3</t>
  </si>
  <si>
    <t>Dry_Ag1_CG4</t>
  </si>
  <si>
    <t>Dry_P4_CG4</t>
  </si>
  <si>
    <t>Dry_W3_CG4</t>
  </si>
  <si>
    <t>Wet_Ag3_CG4</t>
  </si>
  <si>
    <t>Wet_P2_CG4</t>
  </si>
  <si>
    <t>Wet_W1_CG4</t>
  </si>
  <si>
    <t>Local4_CG4</t>
  </si>
  <si>
    <t>CG1</t>
  </si>
  <si>
    <t>CG2</t>
  </si>
  <si>
    <t>CG3</t>
  </si>
  <si>
    <t>CG4</t>
  </si>
  <si>
    <t>Green tea</t>
  </si>
  <si>
    <t>Season</t>
  </si>
  <si>
    <t>Soil at collection</t>
  </si>
  <si>
    <t>Soil at placement</t>
  </si>
  <si>
    <t>Wet</t>
  </si>
  <si>
    <t>N.A.</t>
  </si>
  <si>
    <t>Tear open. but uncertain if soil inside</t>
  </si>
  <si>
    <t>holes. soil inside. maybe only soil inside? Empty ?</t>
  </si>
  <si>
    <t>Teared open. litter easely fall out. but lots of litter left and uncertain if soil visible inside.</t>
  </si>
  <si>
    <t xml:space="preserve">A tearing. </t>
  </si>
  <si>
    <t>some holes.</t>
  </si>
  <si>
    <t>a tearing.</t>
  </si>
  <si>
    <t>big tearing. some significant amount could have fallen out. Uncetain if soil inside</t>
  </si>
  <si>
    <t>dusty teabag. Soil ?</t>
  </si>
  <si>
    <t>Number of teabags with that are empty/only soil inside</t>
  </si>
  <si>
    <t>Number of teabags with sightings of soil or uncertain if soil inside. Even if it is empty and soil inside</t>
  </si>
  <si>
    <t>Duplicates?</t>
  </si>
  <si>
    <t>Checking for duplicates</t>
  </si>
  <si>
    <t>Red tea</t>
  </si>
  <si>
    <t>Green ex</t>
  </si>
  <si>
    <t>red ex</t>
  </si>
  <si>
    <t>Duplicate?</t>
  </si>
  <si>
    <t>Placement</t>
  </si>
  <si>
    <t>Unused bag. Has not been incubated. Will be used as a controll.</t>
  </si>
  <si>
    <t>Was collected from bucket attached to a tentpeg. Where used in dry experiement. But not recorded?</t>
  </si>
  <si>
    <t>A tube with code R288 has some termites inside.</t>
  </si>
  <si>
    <t>G903</t>
  </si>
  <si>
    <t>Unused bag</t>
  </si>
  <si>
    <t>G904</t>
  </si>
  <si>
    <t>Plotnr</t>
  </si>
  <si>
    <t>SiteCode</t>
  </si>
  <si>
    <t>Not found</t>
  </si>
  <si>
    <t>R19 not found</t>
  </si>
  <si>
    <t>G448 not found</t>
  </si>
  <si>
    <t>G339 not found</t>
  </si>
  <si>
    <t>REDexcl</t>
  </si>
  <si>
    <t>REDop</t>
  </si>
  <si>
    <t>GREENexcl</t>
  </si>
  <si>
    <t>GREENop</t>
  </si>
  <si>
    <t>R54a</t>
  </si>
  <si>
    <t>R54b</t>
  </si>
  <si>
    <t>54a</t>
  </si>
  <si>
    <t>54b</t>
  </si>
  <si>
    <t>19?</t>
  </si>
  <si>
    <t>R19?</t>
  </si>
  <si>
    <t>G622 not found</t>
  </si>
  <si>
    <t>R562 not found</t>
  </si>
  <si>
    <t>wt(g)</t>
  </si>
  <si>
    <t>CG</t>
  </si>
  <si>
    <t>CG6</t>
  </si>
  <si>
    <t>CG6 No string</t>
  </si>
  <si>
    <t>Code unclear, no cord</t>
  </si>
  <si>
    <t>CG7</t>
  </si>
  <si>
    <t>CG5</t>
  </si>
  <si>
    <t>CG5, no cord</t>
  </si>
  <si>
    <t>Soil</t>
  </si>
  <si>
    <t>No white marker</t>
  </si>
  <si>
    <t>No white marker. Soil here is more black and dense.</t>
  </si>
  <si>
    <t>Needed to dig new holes approx to old ones, as they were not found.</t>
  </si>
  <si>
    <t>Needed to dig new holes approx to old ones, as they were not found. No white marker.</t>
  </si>
  <si>
    <t>Close to fallen tree and transplantplots</t>
  </si>
  <si>
    <t>Did not find last time in wet period.</t>
  </si>
  <si>
    <t>Close to Stuarts exclosed fence</t>
  </si>
  <si>
    <t>N,A</t>
  </si>
  <si>
    <t>Next to Stuarts open plot</t>
  </si>
  <si>
    <t>Moist. Added day after</t>
  </si>
  <si>
    <t>Was not closed before day after. Moist added da after.</t>
  </si>
  <si>
    <t>White marker at east side of plot hole</t>
  </si>
  <si>
    <t>White marker at the south side of plot hole</t>
  </si>
  <si>
    <t>South-east side of big tree. White marker at the south side of plot hole</t>
  </si>
  <si>
    <t>Common Garden</t>
  </si>
  <si>
    <t>Comments at placement</t>
  </si>
  <si>
    <t>Comments at collection</t>
  </si>
  <si>
    <r>
      <t>D</t>
    </r>
    <r>
      <rPr>
        <b/>
        <sz val="11"/>
        <rFont val="Calibri"/>
        <family val="2"/>
      </rPr>
      <t>ate of burial</t>
    </r>
  </si>
  <si>
    <t>incubation time #days (t)</t>
  </si>
  <si>
    <t>R54A</t>
  </si>
  <si>
    <t>Controll (unused)</t>
  </si>
  <si>
    <t>ConG1</t>
  </si>
  <si>
    <t>ConG2</t>
  </si>
  <si>
    <t>ConG3</t>
  </si>
  <si>
    <t>ConG4</t>
  </si>
  <si>
    <t>ConG5</t>
  </si>
  <si>
    <t>RA</t>
  </si>
  <si>
    <t>Hydrolysable fraction green tea (Hg)</t>
  </si>
  <si>
    <t>Hydrolysable fraction red tea (Hr)</t>
  </si>
  <si>
    <t>Open</t>
  </si>
  <si>
    <t>G252 is G352(G352 is written on the bag)</t>
  </si>
  <si>
    <t>G817 not found. UPDATE: 1 rooibos bag empty R460, the other rooibos R503 s not found. Both green tea is found, where G870 is intact while G817 is with lot of holes and teared up.</t>
  </si>
  <si>
    <t>Codes not correspinding to plot code.</t>
  </si>
  <si>
    <t>ConG5 With bag: 1.8782g</t>
  </si>
  <si>
    <t>ConG4 With bag: 1.8752g</t>
  </si>
  <si>
    <t>ConG3 With bag: 1.9309g</t>
  </si>
  <si>
    <t>ConG2 With bag: 1.8897g</t>
  </si>
  <si>
    <t>ConG1 With bag: 1.8648g</t>
  </si>
  <si>
    <t>DU2-142</t>
  </si>
  <si>
    <t>Stuart and Anders did this</t>
  </si>
  <si>
    <t>Redone sample, ut these numbers into previous entry furtherup. Used all of the sample.</t>
  </si>
  <si>
    <t>Redone sample, ut these numbers into previous entry furtherup</t>
  </si>
  <si>
    <t>R146 not found</t>
  </si>
  <si>
    <t>Stuart did before ashing</t>
  </si>
  <si>
    <t>EU2-109</t>
  </si>
  <si>
    <t>Looks like only soil inside</t>
  </si>
  <si>
    <t>R109 was empty</t>
  </si>
  <si>
    <t>Spilled, need to redo it</t>
  </si>
  <si>
    <t>R57 eaten and empty</t>
  </si>
  <si>
    <t>R472 and G835 was empty</t>
  </si>
  <si>
    <t>R453 empty</t>
  </si>
  <si>
    <t>R493 was empty</t>
  </si>
  <si>
    <t>Looks like ony soil inside</t>
  </si>
  <si>
    <t>Bag ripped open from diggging</t>
  </si>
  <si>
    <t>nothing left of sample</t>
  </si>
  <si>
    <t>Initially, plot nr not written on bag but found in nr in "list of teabags used". Wrote the plot nr on bag. Only 1 teabag inside the bag.</t>
  </si>
  <si>
    <t>Difficult to read the code with tea inside.</t>
  </si>
  <si>
    <t>Last bag not found</t>
  </si>
  <si>
    <t>Bag with a lot of soil and some litter left</t>
  </si>
  <si>
    <t>Looks like only soil in the bag</t>
  </si>
  <si>
    <t>Before ashing: Looks like only soil in bag</t>
  </si>
  <si>
    <t>Rozi wrote this as G338 in the weighing of teabags (in the AfterWet sheet)</t>
  </si>
  <si>
    <t>re-did sample</t>
  </si>
  <si>
    <t>re-did sample,this is the max I could get from the remaining sample</t>
  </si>
  <si>
    <t>22.02.2018 13:30</t>
  </si>
  <si>
    <t>R19 empty</t>
  </si>
  <si>
    <t>One rooibos R568 totaly empty</t>
  </si>
  <si>
    <t>21.02.2018 18:30</t>
  </si>
  <si>
    <t>21.02.2018 14:30</t>
  </si>
  <si>
    <t>Probably only soil inside, bag many holes.</t>
  </si>
  <si>
    <t>Bag was broken (probably by digging it up)</t>
  </si>
  <si>
    <t>Half bag gone, prob due to digging up.</t>
  </si>
  <si>
    <t>R584: empry cheeting and holes</t>
  </si>
  <si>
    <t>21.02.2018 13:15</t>
  </si>
  <si>
    <t>21.02.2018 9:15</t>
  </si>
  <si>
    <t>R396/390</t>
  </si>
  <si>
    <t>G535/595??</t>
  </si>
  <si>
    <t>dry litter weight (g)</t>
  </si>
  <si>
    <t>Weight bag+litter</t>
  </si>
  <si>
    <t>Litterbagcode</t>
  </si>
  <si>
    <t>Avarage zipbag weight (g)</t>
  </si>
  <si>
    <t>Weght of a zip bag</t>
  </si>
  <si>
    <t>Type: VWR 129-0311 (60x80x0,05mm write on)</t>
  </si>
  <si>
    <t>G576 totaly eaten up</t>
  </si>
  <si>
    <t>Not written on bag put found in listofteabags used</t>
  </si>
  <si>
    <t>the other bag R445 is empty</t>
  </si>
  <si>
    <t>R196 empty</t>
  </si>
  <si>
    <t>inner left in the furnace</t>
  </si>
  <si>
    <t>lookes like only soil inside the bag</t>
  </si>
  <si>
    <t>furnace</t>
  </si>
  <si>
    <t>ashing ended</t>
  </si>
  <si>
    <t>ashing started</t>
  </si>
  <si>
    <t>ashing order</t>
  </si>
  <si>
    <t>crucible + litter weight after ashing (g)</t>
  </si>
  <si>
    <t>crucible+litter (g)</t>
  </si>
  <si>
    <t>litter (g)</t>
  </si>
  <si>
    <t>crucible weight (g)</t>
  </si>
  <si>
    <t>litterbag code</t>
  </si>
  <si>
    <t>Plot code</t>
  </si>
  <si>
    <t>dager igjen</t>
  </si>
  <si>
    <t>timer</t>
  </si>
  <si>
    <t>Tid igjen</t>
  </si>
  <si>
    <t>batch pr dag</t>
  </si>
  <si>
    <t>Batcher igjen:</t>
  </si>
  <si>
    <t>Prøver igjen:</t>
  </si>
  <si>
    <t>Tidsbruk:</t>
  </si>
  <si>
    <t>Prøver ferdig:</t>
  </si>
  <si>
    <t>dessikator og veieing</t>
  </si>
  <si>
    <t>Brenning</t>
  </si>
  <si>
    <t>Digler</t>
  </si>
  <si>
    <t>Antal prøver</t>
  </si>
  <si>
    <t>1,1</t>
  </si>
  <si>
    <t>0,2</t>
  </si>
  <si>
    <t>1,0</t>
  </si>
  <si>
    <t>Post-ashed Crucible+litter</t>
  </si>
  <si>
    <t>Pre-ashed litter</t>
  </si>
  <si>
    <t>Crucible (g)</t>
  </si>
  <si>
    <t>Example data input:</t>
  </si>
  <si>
    <r>
      <t>10)</t>
    </r>
    <r>
      <rPr>
        <sz val="7"/>
        <color rgb="FF000000"/>
        <rFont val="Times New Roman"/>
        <family val="1"/>
      </rPr>
      <t xml:space="preserve">  </t>
    </r>
    <r>
      <rPr>
        <sz val="11"/>
        <color rgb="FF000000"/>
        <rFont val="Calibri"/>
        <family val="2"/>
        <scheme val="minor"/>
      </rPr>
      <t>Wash the crucibles with water and either dry them overnight at 105 C or put them in the muffle furnace for an hour at 550 C. If the latter, you’ll need to let them cool down on the side outside the oven and take them out of the furnace with tongs.</t>
    </r>
  </si>
  <si>
    <r>
      <t>9)</t>
    </r>
    <r>
      <rPr>
        <sz val="7"/>
        <color rgb="FF000000"/>
        <rFont val="Times New Roman"/>
        <family val="1"/>
      </rPr>
      <t xml:space="preserve">     </t>
    </r>
    <r>
      <rPr>
        <sz val="11"/>
        <color rgb="FF000000"/>
        <rFont val="Calibri"/>
        <family val="2"/>
        <scheme val="minor"/>
      </rPr>
      <t>Weigh the crucibles and write down the weight. Throw away the ashed litter.</t>
    </r>
  </si>
  <si>
    <r>
      <t>8)</t>
    </r>
    <r>
      <rPr>
        <sz val="7"/>
        <color rgb="FF000000"/>
        <rFont val="Times New Roman"/>
        <family val="1"/>
      </rPr>
      <t xml:space="preserve">     </t>
    </r>
    <r>
      <rPr>
        <sz val="11"/>
        <color rgb="FF000000"/>
        <rFont val="Calibri"/>
        <family val="2"/>
        <scheme val="minor"/>
      </rPr>
      <t>When finnish, turn of furnace and let cool down (over night). Then put the samples into a desiccator for 20min.</t>
    </r>
  </si>
  <si>
    <r>
      <t>7)</t>
    </r>
    <r>
      <rPr>
        <sz val="7"/>
        <color rgb="FF000000"/>
        <rFont val="Times New Roman"/>
        <family val="1"/>
      </rPr>
      <t xml:space="preserve">     </t>
    </r>
    <r>
      <rPr>
        <sz val="11"/>
        <color rgb="FF000000"/>
        <rFont val="Calibri"/>
        <family val="2"/>
        <scheme val="minor"/>
      </rPr>
      <t>Ash the crucibles in furnace for 4hours 550 degrees celsius.</t>
    </r>
  </si>
  <si>
    <r>
      <t>6)</t>
    </r>
    <r>
      <rPr>
        <sz val="7"/>
        <color rgb="FF000000"/>
        <rFont val="Times New Roman"/>
        <family val="1"/>
      </rPr>
      <t xml:space="preserve">     </t>
    </r>
    <r>
      <rPr>
        <sz val="11"/>
        <color rgb="FF000000"/>
        <rFont val="Calibri"/>
        <family val="2"/>
        <scheme val="minor"/>
      </rPr>
      <t>Make a map or a system for yourself to know which crucible is which, before putting into furnace and when putting in and collecting after burning.</t>
    </r>
  </si>
  <si>
    <r>
      <t>5)</t>
    </r>
    <r>
      <rPr>
        <sz val="7"/>
        <color rgb="FF000000"/>
        <rFont val="Times New Roman"/>
        <family val="1"/>
      </rPr>
      <t xml:space="preserve">     </t>
    </r>
    <r>
      <rPr>
        <sz val="11"/>
        <color rgb="FF000000"/>
        <rFont val="Calibri"/>
        <family val="2"/>
        <scheme val="minor"/>
      </rPr>
      <t>Follow 1-3 to create a batch for furnace.</t>
    </r>
  </si>
  <si>
    <r>
      <t>4)</t>
    </r>
    <r>
      <rPr>
        <sz val="7"/>
        <color rgb="FF000000"/>
        <rFont val="Times New Roman"/>
        <family val="1"/>
      </rPr>
      <t xml:space="preserve">     </t>
    </r>
    <r>
      <rPr>
        <sz val="11"/>
        <color rgb="FF000000"/>
        <rFont val="Calibri"/>
        <family val="2"/>
        <scheme val="minor"/>
      </rPr>
      <t xml:space="preserve">The rest of litter is put into a small zip lock polybag and mark it with </t>
    </r>
    <r>
      <rPr>
        <b/>
        <sz val="11"/>
        <color rgb="FF000000"/>
        <rFont val="Calibri"/>
        <family val="2"/>
        <scheme val="minor"/>
      </rPr>
      <t>bag code</t>
    </r>
    <r>
      <rPr>
        <sz val="11"/>
        <color rgb="FF000000"/>
        <rFont val="Calibri"/>
        <family val="2"/>
        <scheme val="minor"/>
      </rPr>
      <t xml:space="preserve"> and </t>
    </r>
    <r>
      <rPr>
        <b/>
        <sz val="11"/>
        <color rgb="FF000000"/>
        <rFont val="Calibri"/>
        <family val="2"/>
        <scheme val="minor"/>
      </rPr>
      <t>plot nr</t>
    </r>
    <r>
      <rPr>
        <sz val="11"/>
        <color rgb="FF000000"/>
        <rFont val="Calibri"/>
        <family val="2"/>
        <scheme val="minor"/>
      </rPr>
      <t xml:space="preserve"> if given on the paper bag. Tag and empty teabag is put back into the paperbag.</t>
    </r>
  </si>
  <si>
    <r>
      <t>3)</t>
    </r>
    <r>
      <rPr>
        <sz val="7"/>
        <color rgb="FF000000"/>
        <rFont val="Times New Roman"/>
        <family val="1"/>
      </rPr>
      <t xml:space="preserve">     </t>
    </r>
    <r>
      <rPr>
        <sz val="11"/>
        <color rgb="FF000000"/>
        <rFont val="Calibri"/>
        <family val="2"/>
        <scheme val="minor"/>
      </rPr>
      <t>Weigh oven dry crucibles [USE TWEEZERS], write this down. Tare the weight and then add 0,2g of grinded litter, wrote this down. M</t>
    </r>
    <r>
      <rPr>
        <sz val="10.5"/>
        <color rgb="FF000000"/>
        <rFont val="Calibri"/>
        <family val="2"/>
        <scheme val="minor"/>
      </rPr>
      <t>ake sure that the subsample 0.2 g is a mixture of litter and any sediment.</t>
    </r>
  </si>
  <si>
    <r>
      <t>2)</t>
    </r>
    <r>
      <rPr>
        <sz val="7"/>
        <color rgb="FF000000"/>
        <rFont val="Times New Roman"/>
        <family val="1"/>
      </rPr>
      <t xml:space="preserve">     </t>
    </r>
    <r>
      <rPr>
        <sz val="11"/>
        <color rgb="FF000000"/>
        <rFont val="Calibri"/>
        <family val="2"/>
        <scheme val="minor"/>
      </rPr>
      <t>Empty oven dried litter from bag and weigh it, then grind it in a pestle mortar.</t>
    </r>
  </si>
  <si>
    <r>
      <t>1)</t>
    </r>
    <r>
      <rPr>
        <sz val="7"/>
        <color rgb="FF000000"/>
        <rFont val="Times New Roman"/>
        <family val="1"/>
      </rPr>
      <t xml:space="preserve">     </t>
    </r>
    <r>
      <rPr>
        <sz val="11"/>
        <color rgb="FF000000"/>
        <rFont val="Calibri"/>
        <family val="2"/>
        <scheme val="minor"/>
      </rPr>
      <t>Dry crucibles and litter in oven for 48h 60degrees Celsius.</t>
    </r>
  </si>
  <si>
    <t>Protocol for ashing</t>
  </si>
  <si>
    <t>Block</t>
  </si>
  <si>
    <t>Blockcode</t>
  </si>
  <si>
    <t>Site</t>
  </si>
  <si>
    <t>diff (what is actually litter) (g)</t>
  </si>
  <si>
    <t>Ash (g) (What is soil)</t>
  </si>
  <si>
    <t>Ash percentage (the percentage of total litter weight that is soil)</t>
  </si>
  <si>
    <t>Teabag code</t>
  </si>
  <si>
    <t>Landuse</t>
  </si>
  <si>
    <t>Initial weight including bag, cord and label (g)</t>
  </si>
  <si>
    <t>Initial weight tea only (g)</t>
  </si>
  <si>
    <t>Ashed subsample percentage controll initial tea only (%)</t>
  </si>
  <si>
    <t>Ashed initial corrected weight  tea only (g)</t>
  </si>
  <si>
    <t>Final weight including bag and cord, no label (g)</t>
  </si>
  <si>
    <t>Final weight  tea only (g)</t>
  </si>
  <si>
    <t>Ashed final subsample percentage  (%)</t>
  </si>
  <si>
    <t>Ashed final corrected weight  tea only (g)</t>
  </si>
  <si>
    <t>incubation time red and green tea (days)</t>
  </si>
  <si>
    <t>Burial date</t>
  </si>
  <si>
    <t>Dry</t>
  </si>
  <si>
    <t>Agriculture</t>
  </si>
  <si>
    <t>Wild</t>
  </si>
  <si>
    <t>Dry-Wet</t>
  </si>
  <si>
    <t>Massloss (g)</t>
  </si>
  <si>
    <t>Littertype</t>
  </si>
  <si>
    <t>Region</t>
  </si>
  <si>
    <t>Mwantimba</t>
  </si>
  <si>
    <t>Missing R19, NO MOUNDS OR TREES IN AREA</t>
  </si>
  <si>
    <t>ID_SUA</t>
  </si>
  <si>
    <t>Class</t>
  </si>
  <si>
    <t>sandy clay loam</t>
  </si>
  <si>
    <t>sandy loam</t>
  </si>
  <si>
    <t>loamy sand</t>
  </si>
  <si>
    <t>clay</t>
  </si>
  <si>
    <t>sandy clay</t>
  </si>
  <si>
    <t>clay loam</t>
  </si>
  <si>
    <t>Stuart_correction</t>
  </si>
  <si>
    <t>CLAY %</t>
  </si>
  <si>
    <t>SILT %</t>
  </si>
  <si>
    <t>SAND %</t>
  </si>
  <si>
    <t>OC %</t>
  </si>
  <si>
    <t>rain.sum</t>
  </si>
  <si>
    <t>plot</t>
  </si>
  <si>
    <t>area</t>
  </si>
  <si>
    <t>sitecode</t>
  </si>
  <si>
    <t>rain.region</t>
  </si>
  <si>
    <t>season</t>
  </si>
  <si>
    <t>site</t>
  </si>
  <si>
    <t>date.burial</t>
  </si>
  <si>
    <t>date.recovery</t>
  </si>
  <si>
    <t>green</t>
  </si>
  <si>
    <t>roobios</t>
  </si>
  <si>
    <t>greenEX</t>
  </si>
  <si>
    <t>roobiosEX</t>
  </si>
  <si>
    <t>incbuation_days</t>
  </si>
  <si>
    <t>block_code</t>
  </si>
  <si>
    <t>31/01/2017</t>
  </si>
  <si>
    <t>24/03/2017</t>
  </si>
  <si>
    <t>133</t>
  </si>
  <si>
    <t>A1_Makao</t>
  </si>
  <si>
    <t>527</t>
  </si>
  <si>
    <t>508</t>
  </si>
  <si>
    <t>38</t>
  </si>
  <si>
    <t>59</t>
  </si>
  <si>
    <t>398</t>
  </si>
  <si>
    <t>512</t>
  </si>
  <si>
    <t>101</t>
  </si>
  <si>
    <t>A2_Makao</t>
  </si>
  <si>
    <t>515</t>
  </si>
  <si>
    <t>2</t>
  </si>
  <si>
    <t>3</t>
  </si>
  <si>
    <t>282</t>
  </si>
  <si>
    <t>99</t>
  </si>
  <si>
    <t>154</t>
  </si>
  <si>
    <t>01/02/2017</t>
  </si>
  <si>
    <t>380</t>
  </si>
  <si>
    <t>A3_Makao</t>
  </si>
  <si>
    <t>274</t>
  </si>
  <si>
    <t>566</t>
  </si>
  <si>
    <t>110</t>
  </si>
  <si>
    <t>45</t>
  </si>
  <si>
    <t>132</t>
  </si>
  <si>
    <t>71</t>
  </si>
  <si>
    <t>104</t>
  </si>
  <si>
    <t>A4_Makao</t>
  </si>
  <si>
    <t>189</t>
  </si>
  <si>
    <t>217</t>
  </si>
  <si>
    <t>172</t>
  </si>
  <si>
    <t>349</t>
  </si>
  <si>
    <t>296</t>
  </si>
  <si>
    <t>323</t>
  </si>
  <si>
    <t>156</t>
  </si>
  <si>
    <t>30/01/2017</t>
  </si>
  <si>
    <t>26/03/2017</t>
  </si>
  <si>
    <t>452</t>
  </si>
  <si>
    <t>P1_Makao</t>
  </si>
  <si>
    <t>24</t>
  </si>
  <si>
    <t>69</t>
  </si>
  <si>
    <t>97</t>
  </si>
  <si>
    <t>89</t>
  </si>
  <si>
    <t>147</t>
  </si>
  <si>
    <t>65</t>
  </si>
  <si>
    <t>420</t>
  </si>
  <si>
    <t>77</t>
  </si>
  <si>
    <t>P2_Makao</t>
  </si>
  <si>
    <t>81</t>
  </si>
  <si>
    <t>117</t>
  </si>
  <si>
    <t>6</t>
  </si>
  <si>
    <t>74</t>
  </si>
  <si>
    <t>102</t>
  </si>
  <si>
    <t>76</t>
  </si>
  <si>
    <t>107</t>
  </si>
  <si>
    <t>155</t>
  </si>
  <si>
    <t>P3_Makao</t>
  </si>
  <si>
    <t>98</t>
  </si>
  <si>
    <t>29</t>
  </si>
  <si>
    <t>312</t>
  </si>
  <si>
    <t>113</t>
  </si>
  <si>
    <t>441</t>
  </si>
  <si>
    <t>58</t>
  </si>
  <si>
    <t>435</t>
  </si>
  <si>
    <t>P4_Makao</t>
  </si>
  <si>
    <t>31</t>
  </si>
  <si>
    <t>120</t>
  </si>
  <si>
    <t>390</t>
  </si>
  <si>
    <t>143</t>
  </si>
  <si>
    <t>448</t>
  </si>
  <si>
    <t>423</t>
  </si>
  <si>
    <t>550</t>
  </si>
  <si>
    <t>333</t>
  </si>
  <si>
    <t>W1_Maswa</t>
  </si>
  <si>
    <t>252</t>
  </si>
  <si>
    <t>44</t>
  </si>
  <si>
    <t>9</t>
  </si>
  <si>
    <t>251</t>
  </si>
  <si>
    <t>266</t>
  </si>
  <si>
    <t>528</t>
  </si>
  <si>
    <t>14</t>
  </si>
  <si>
    <t>393</t>
  </si>
  <si>
    <t>W2_Maswa</t>
  </si>
  <si>
    <t>138</t>
  </si>
  <si>
    <t>311</t>
  </si>
  <si>
    <t>183</t>
  </si>
  <si>
    <t>228</t>
  </si>
  <si>
    <t>100</t>
  </si>
  <si>
    <t>56</t>
  </si>
  <si>
    <t>68</t>
  </si>
  <si>
    <t>293</t>
  </si>
  <si>
    <t>W3_Maswa</t>
  </si>
  <si>
    <t>25/03/2017</t>
  </si>
  <si>
    <t>368</t>
  </si>
  <si>
    <t>22</t>
  </si>
  <si>
    <t>417</t>
  </si>
  <si>
    <t>391</t>
  </si>
  <si>
    <t>62</t>
  </si>
  <si>
    <t>329</t>
  </si>
  <si>
    <t>171</t>
  </si>
  <si>
    <t>W4_Maswa</t>
  </si>
  <si>
    <t>517</t>
  </si>
  <si>
    <t>73</t>
  </si>
  <si>
    <t>4</t>
  </si>
  <si>
    <t>136</t>
  </si>
  <si>
    <t>547</t>
  </si>
  <si>
    <t>588</t>
  </si>
  <si>
    <t>27/01/2017</t>
  </si>
  <si>
    <t>22/03/2017</t>
  </si>
  <si>
    <t>576</t>
  </si>
  <si>
    <t>A1_Mwantimba</t>
  </si>
  <si>
    <t>561</t>
  </si>
  <si>
    <t>496</t>
  </si>
  <si>
    <t>497</t>
  </si>
  <si>
    <t>10</t>
  </si>
  <si>
    <t>26</t>
  </si>
  <si>
    <t>494</t>
  </si>
  <si>
    <t>475</t>
  </si>
  <si>
    <t>540</t>
  </si>
  <si>
    <t>A2_Mwantimba</t>
  </si>
  <si>
    <t>593</t>
  </si>
  <si>
    <t>510</t>
  </si>
  <si>
    <t>509</t>
  </si>
  <si>
    <t>33</t>
  </si>
  <si>
    <t>487</t>
  </si>
  <si>
    <t>530</t>
  </si>
  <si>
    <t>578</t>
  </si>
  <si>
    <t>A3_Mwantimba</t>
  </si>
  <si>
    <t>37</t>
  </si>
  <si>
    <t>522</t>
  </si>
  <si>
    <t>480</t>
  </si>
  <si>
    <t>565</t>
  </si>
  <si>
    <t>544</t>
  </si>
  <si>
    <t>526</t>
  </si>
  <si>
    <t>594</t>
  </si>
  <si>
    <t>564</t>
  </si>
  <si>
    <t>A4_Mwantimba</t>
  </si>
  <si>
    <t>429</t>
  </si>
  <si>
    <t>466</t>
  </si>
  <si>
    <t>471</t>
  </si>
  <si>
    <t>486</t>
  </si>
  <si>
    <t>55</t>
  </si>
  <si>
    <t>424</t>
  </si>
  <si>
    <t>418</t>
  </si>
  <si>
    <t>520</t>
  </si>
  <si>
    <t>P1_Mwantimba</t>
  </si>
  <si>
    <t>433</t>
  </si>
  <si>
    <t>592</t>
  </si>
  <si>
    <t>477</t>
  </si>
  <si>
    <t>597</t>
  </si>
  <si>
    <t>467</t>
  </si>
  <si>
    <t>596</t>
  </si>
  <si>
    <t>543</t>
  </si>
  <si>
    <t>483</t>
  </si>
  <si>
    <t>P2_Mwantimba</t>
  </si>
  <si>
    <t>21</t>
  </si>
  <si>
    <t>538</t>
  </si>
  <si>
    <t>559</t>
  </si>
  <si>
    <t>465</t>
  </si>
  <si>
    <t>503</t>
  </si>
  <si>
    <t>567</t>
  </si>
  <si>
    <t>15</t>
  </si>
  <si>
    <t>21/03/2017</t>
  </si>
  <si>
    <t>40</t>
  </si>
  <si>
    <t>P3_Mwantimba</t>
  </si>
  <si>
    <t>468</t>
  </si>
  <si>
    <t>582</t>
  </si>
  <si>
    <t>20</t>
  </si>
  <si>
    <t>533</t>
  </si>
  <si>
    <t>572</t>
  </si>
  <si>
    <t>504</t>
  </si>
  <si>
    <t>579</t>
  </si>
  <si>
    <t>440</t>
  </si>
  <si>
    <t>P4_Mwantimba</t>
  </si>
  <si>
    <t>485</t>
  </si>
  <si>
    <t>556</t>
  </si>
  <si>
    <t>464</t>
  </si>
  <si>
    <t>35</t>
  </si>
  <si>
    <t>570</t>
  </si>
  <si>
    <t>439</t>
  </si>
  <si>
    <t>461</t>
  </si>
  <si>
    <t>28/01/2017</t>
  </si>
  <si>
    <t>20/03/2017</t>
  </si>
  <si>
    <t>253</t>
  </si>
  <si>
    <t>W1_Handajega</t>
  </si>
  <si>
    <t>285</t>
  </si>
  <si>
    <t>341</t>
  </si>
  <si>
    <t>264</t>
  </si>
  <si>
    <t>411</t>
  </si>
  <si>
    <t>259</t>
  </si>
  <si>
    <t>215</t>
  </si>
  <si>
    <t>322</t>
  </si>
  <si>
    <t>403</t>
  </si>
  <si>
    <t>W2_Handajega</t>
  </si>
  <si>
    <t>583</t>
  </si>
  <si>
    <t>451</t>
  </si>
  <si>
    <t>353</t>
  </si>
  <si>
    <t>105</t>
  </si>
  <si>
    <t>384</t>
  </si>
  <si>
    <t>481</t>
  </si>
  <si>
    <t>490</t>
  </si>
  <si>
    <t>470</t>
  </si>
  <si>
    <t>W3_Handajega</t>
  </si>
  <si>
    <t>488</t>
  </si>
  <si>
    <t>273</t>
  </si>
  <si>
    <t>301</t>
  </si>
  <si>
    <t>291</t>
  </si>
  <si>
    <t>537</t>
  </si>
  <si>
    <t>290</t>
  </si>
  <si>
    <t>555</t>
  </si>
  <si>
    <t>539</t>
  </si>
  <si>
    <t>W4_Handajega</t>
  </si>
  <si>
    <t>180</t>
  </si>
  <si>
    <t>580</t>
  </si>
  <si>
    <t>222</t>
  </si>
  <si>
    <t>216</t>
  </si>
  <si>
    <t>232</t>
  </si>
  <si>
    <t>387</t>
  </si>
  <si>
    <t>346</t>
  </si>
  <si>
    <t>03/02/2017</t>
  </si>
  <si>
    <t>19/03/2017</t>
  </si>
  <si>
    <t>364</t>
  </si>
  <si>
    <t>CG_Seronera</t>
  </si>
  <si>
    <t>167</t>
  </si>
  <si>
    <t>25</t>
  </si>
  <si>
    <t>362</t>
  </si>
  <si>
    <t>370</t>
  </si>
  <si>
    <t>168</t>
  </si>
  <si>
    <t>269</t>
  </si>
  <si>
    <t>359</t>
  </si>
  <si>
    <t>395</t>
  </si>
  <si>
    <t>182</t>
  </si>
  <si>
    <t>342</t>
  </si>
  <si>
    <t>139</t>
  </si>
  <si>
    <t>92</t>
  </si>
  <si>
    <t>328</t>
  </si>
  <si>
    <t>149</t>
  </si>
  <si>
    <t>449</t>
  </si>
  <si>
    <t>142</t>
  </si>
  <si>
    <t>392</t>
  </si>
  <si>
    <t>589</t>
  </si>
  <si>
    <t>130</t>
  </si>
  <si>
    <t>111</t>
  </si>
  <si>
    <t>412</t>
  </si>
  <si>
    <t>434</t>
  </si>
  <si>
    <t>457</t>
  </si>
  <si>
    <t>Local</t>
  </si>
  <si>
    <t>410</t>
  </si>
  <si>
    <t>103</t>
  </si>
  <si>
    <t>356</t>
  </si>
  <si>
    <t>319</t>
  </si>
  <si>
    <t>22/07/2017</t>
  </si>
  <si>
    <t>29/09/2017</t>
  </si>
  <si>
    <t>204</t>
  </si>
  <si>
    <t>283</t>
  </si>
  <si>
    <t>298</t>
  </si>
  <si>
    <t>286</t>
  </si>
  <si>
    <t>210</t>
  </si>
  <si>
    <t>213</t>
  </si>
  <si>
    <t>704</t>
  </si>
  <si>
    <t>616</t>
  </si>
  <si>
    <t>603</t>
  </si>
  <si>
    <t>652</t>
  </si>
  <si>
    <t>304</t>
  </si>
  <si>
    <t>687</t>
  </si>
  <si>
    <t>20/07/2017</t>
  </si>
  <si>
    <t>407</t>
  </si>
  <si>
    <t>361</t>
  </si>
  <si>
    <t>280</t>
  </si>
  <si>
    <t>320</t>
  </si>
  <si>
    <t>209</t>
  </si>
  <si>
    <t>646</t>
  </si>
  <si>
    <t>650</t>
  </si>
  <si>
    <t>230</t>
  </si>
  <si>
    <t>642</t>
  </si>
  <si>
    <t>199</t>
  </si>
  <si>
    <t>162</t>
  </si>
  <si>
    <t>163</t>
  </si>
  <si>
    <t>345</t>
  </si>
  <si>
    <t>660</t>
  </si>
  <si>
    <t>27/09/2017</t>
  </si>
  <si>
    <t>712</t>
  </si>
  <si>
    <t>324</t>
  </si>
  <si>
    <t>108</t>
  </si>
  <si>
    <t>152</t>
  </si>
  <si>
    <t>681</t>
  </si>
  <si>
    <t>260</t>
  </si>
  <si>
    <t>402</t>
  </si>
  <si>
    <t>648</t>
  </si>
  <si>
    <t>257</t>
  </si>
  <si>
    <t>691</t>
  </si>
  <si>
    <t>716</t>
  </si>
  <si>
    <t>631</t>
  </si>
  <si>
    <t>606</t>
  </si>
  <si>
    <t>221</t>
  </si>
  <si>
    <t>308</t>
  </si>
  <si>
    <t>242</t>
  </si>
  <si>
    <t>618</t>
  </si>
  <si>
    <t>140</t>
  </si>
  <si>
    <t>192</t>
  </si>
  <si>
    <t>227</t>
  </si>
  <si>
    <t>416</t>
  </si>
  <si>
    <t>689</t>
  </si>
  <si>
    <t>231</t>
  </si>
  <si>
    <t>297</t>
  </si>
  <si>
    <t>200</t>
  </si>
  <si>
    <t>713</t>
  </si>
  <si>
    <t>237</t>
  </si>
  <si>
    <t>21/07/2017</t>
  </si>
  <si>
    <t>654</t>
  </si>
  <si>
    <t>634</t>
  </si>
  <si>
    <t>201</t>
  </si>
  <si>
    <t>28/09/2017</t>
  </si>
  <si>
    <t>174</t>
  </si>
  <si>
    <t>261</t>
  </si>
  <si>
    <t>203</t>
  </si>
  <si>
    <t>191</t>
  </si>
  <si>
    <t>160</t>
  </si>
  <si>
    <t>275</t>
  </si>
  <si>
    <t>657</t>
  </si>
  <si>
    <t>306</t>
  </si>
  <si>
    <t>377</t>
  </si>
  <si>
    <t>61</t>
  </si>
  <si>
    <t>620</t>
  </si>
  <si>
    <t>366</t>
  </si>
  <si>
    <t>610</t>
  </si>
  <si>
    <t>614</t>
  </si>
  <si>
    <t>720</t>
  </si>
  <si>
    <t>643</t>
  </si>
  <si>
    <t>277</t>
  </si>
  <si>
    <t>197</t>
  </si>
  <si>
    <t>601</t>
  </si>
  <si>
    <t>220</t>
  </si>
  <si>
    <t>659</t>
  </si>
  <si>
    <t>619</t>
  </si>
  <si>
    <t>106</t>
  </si>
  <si>
    <t>233</t>
  </si>
  <si>
    <t>698</t>
  </si>
  <si>
    <t>23/07/2017</t>
  </si>
  <si>
    <t>02/10/2017</t>
  </si>
  <si>
    <t>47</t>
  </si>
  <si>
    <t>707</t>
  </si>
  <si>
    <t>641</t>
  </si>
  <si>
    <t>245</t>
  </si>
  <si>
    <t>714</t>
  </si>
  <si>
    <t>701</t>
  </si>
  <si>
    <t>365</t>
  </si>
  <si>
    <t>212</t>
  </si>
  <si>
    <t>66</t>
  </si>
  <si>
    <t>347</t>
  </si>
  <si>
    <t>206</t>
  </si>
  <si>
    <t>299</t>
  </si>
  <si>
    <t>636</t>
  </si>
  <si>
    <t>239</t>
  </si>
  <si>
    <t>30/09/2017</t>
  </si>
  <si>
    <t>313</t>
  </si>
  <si>
    <t>247</t>
  </si>
  <si>
    <t>671</t>
  </si>
  <si>
    <t>638</t>
  </si>
  <si>
    <t>719</t>
  </si>
  <si>
    <t>173</t>
  </si>
  <si>
    <t>373</t>
  </si>
  <si>
    <t>374</t>
  </si>
  <si>
    <t>388</t>
  </si>
  <si>
    <t>281</t>
  </si>
  <si>
    <t>443</t>
  </si>
  <si>
    <t>229</t>
  </si>
  <si>
    <t>272</t>
  </si>
  <si>
    <t>207</t>
  </si>
  <si>
    <t>193</t>
  </si>
  <si>
    <t>188</t>
  </si>
  <si>
    <t>683</t>
  </si>
  <si>
    <t>649</t>
  </si>
  <si>
    <t>214</t>
  </si>
  <si>
    <t>628</t>
  </si>
  <si>
    <t>198</t>
  </si>
  <si>
    <t>706</t>
  </si>
  <si>
    <t>710</t>
  </si>
  <si>
    <t>626</t>
  </si>
  <si>
    <t>195</t>
  </si>
  <si>
    <t>295</t>
  </si>
  <si>
    <t>609</t>
  </si>
  <si>
    <t>292</t>
  </si>
  <si>
    <t>243</t>
  </si>
  <si>
    <t>422</t>
  </si>
  <si>
    <t>664</t>
  </si>
  <si>
    <t>316</t>
  </si>
  <si>
    <t>635</t>
  </si>
  <si>
    <t>651</t>
  </si>
  <si>
    <t>367</t>
  </si>
  <si>
    <t>617</t>
  </si>
  <si>
    <t>84</t>
  </si>
  <si>
    <t>248</t>
  </si>
  <si>
    <t>238</t>
  </si>
  <si>
    <t>350</t>
  </si>
  <si>
    <t>24/07/2017</t>
  </si>
  <si>
    <t>01/10/2017</t>
  </si>
  <si>
    <t>314</t>
  </si>
  <si>
    <t>425</t>
  </si>
  <si>
    <t>267</t>
  </si>
  <si>
    <t>211</t>
  </si>
  <si>
    <t>310</t>
  </si>
  <si>
    <t>413</t>
  </si>
  <si>
    <t>80</t>
  </si>
  <si>
    <t>208</t>
  </si>
  <si>
    <t>633</t>
  </si>
  <si>
    <t>473</t>
  </si>
  <si>
    <t>702</t>
  </si>
  <si>
    <t>175</t>
  </si>
  <si>
    <t>332</t>
  </si>
  <si>
    <t>279</t>
  </si>
  <si>
    <t>718</t>
  </si>
  <si>
    <t>640</t>
  </si>
  <si>
    <t>669</t>
  </si>
  <si>
    <t>170</t>
  </si>
  <si>
    <t>697</t>
  </si>
  <si>
    <t>674</t>
  </si>
  <si>
    <t>607</t>
  </si>
  <si>
    <t>629</t>
  </si>
  <si>
    <t>679</t>
  </si>
  <si>
    <t>682</t>
  </si>
  <si>
    <t>693</t>
  </si>
  <si>
    <t>605</t>
  </si>
  <si>
    <t>240</t>
  </si>
  <si>
    <t>26/07/2017</t>
  </si>
  <si>
    <t>26/09/2017</t>
  </si>
  <si>
    <t>623</t>
  </si>
  <si>
    <t>611</t>
  </si>
  <si>
    <t>645</t>
  </si>
  <si>
    <t>709</t>
  </si>
  <si>
    <t>131</t>
  </si>
  <si>
    <t>711</t>
  </si>
  <si>
    <t>236</t>
  </si>
  <si>
    <t>205</t>
  </si>
  <si>
    <t>665</t>
  </si>
  <si>
    <t>224</t>
  </si>
  <si>
    <t>621</t>
  </si>
  <si>
    <t>637</t>
  </si>
  <si>
    <t>284</t>
  </si>
  <si>
    <t>604</t>
  </si>
  <si>
    <t>625</t>
  </si>
  <si>
    <t>647</t>
  </si>
  <si>
    <t>599</t>
  </si>
  <si>
    <t>670</t>
  </si>
  <si>
    <t>256</t>
  </si>
  <si>
    <t>658</t>
  </si>
  <si>
    <t>699</t>
  </si>
  <si>
    <t>663</t>
  </si>
  <si>
    <t>622</t>
  </si>
  <si>
    <t>608</t>
  </si>
  <si>
    <t>639</t>
  </si>
  <si>
    <t>246</t>
  </si>
  <si>
    <t>672</t>
  </si>
  <si>
    <t>rain.sum (mm)</t>
  </si>
  <si>
    <t>Soil.Class</t>
  </si>
  <si>
    <t>Mound type</t>
  </si>
  <si>
    <t>Tree with ants</t>
  </si>
  <si>
    <t>N.D. tree (m)</t>
  </si>
  <si>
    <t>N.D.Mound (m)</t>
  </si>
  <si>
    <t>Ants (1/N)</t>
  </si>
  <si>
    <t>R.OP: COMPLETEL1 EATEN</t>
  </si>
  <si>
    <t>T1pe (M, O, G)</t>
  </si>
  <si>
    <t>Moisture %</t>
  </si>
  <si>
    <t>Temperature (C)</t>
  </si>
  <si>
    <t>Mound density</t>
  </si>
  <si>
    <t>Lat</t>
  </si>
  <si>
    <t>Long</t>
  </si>
  <si>
    <t>ObjectID</t>
  </si>
  <si>
    <t>lat</t>
  </si>
  <si>
    <t>lon</t>
  </si>
  <si>
    <t>ele</t>
  </si>
  <si>
    <t>time</t>
  </si>
  <si>
    <t>region</t>
  </si>
  <si>
    <t>landuse</t>
  </si>
  <si>
    <t>Flag, Blue</t>
  </si>
  <si>
    <t>makao</t>
  </si>
  <si>
    <t>agriculture</t>
  </si>
  <si>
    <t>2017-01-31T09:36:03Z</t>
  </si>
  <si>
    <t>2017-01-31T09:39:36Z</t>
  </si>
  <si>
    <t>2017-01-31T09:41:13Z</t>
  </si>
  <si>
    <t>2017-01-31T09:42:35Z</t>
  </si>
  <si>
    <t>2017-01-31T09:43:09Z</t>
  </si>
  <si>
    <t>2017-01-31T09:45:56Z</t>
  </si>
  <si>
    <t>2017-01-31T12:23:00Z</t>
  </si>
  <si>
    <t>2017-01-31T12:25:38Z</t>
  </si>
  <si>
    <t>2017-01-31T12:29:34Z</t>
  </si>
  <si>
    <t>2017-01-31T12:31:54Z</t>
  </si>
  <si>
    <t>2017-01-31T12:35:05Z</t>
  </si>
  <si>
    <t>2017-01-31T12:41:44Z</t>
  </si>
  <si>
    <t>2017-01-31T12:42:13Z</t>
  </si>
  <si>
    <t>2017-01-31T12:45:02Z</t>
  </si>
  <si>
    <t>2017-02-01T04:16:51Z</t>
  </si>
  <si>
    <t>2017-02-01T04:19:47Z</t>
  </si>
  <si>
    <t>2017-02-01T04:23:05Z</t>
  </si>
  <si>
    <t>2017-02-01T04:27:58Z</t>
  </si>
  <si>
    <t>2017-02-01T04:29:39Z</t>
  </si>
  <si>
    <t>2017-02-01T04:35:44Z</t>
  </si>
  <si>
    <t>2017-02-01T04:34:55Z</t>
  </si>
  <si>
    <t>2017-02-01T04:38:13Z</t>
  </si>
  <si>
    <t>2017-02-01T04:41:59Z</t>
  </si>
  <si>
    <t>2017-02-01T04:48:50Z</t>
  </si>
  <si>
    <t>2017-02-01T04:50:59Z</t>
  </si>
  <si>
    <t>2017-02-01T04:53:59Z</t>
  </si>
  <si>
    <t>2017-02-01T04:56:21Z</t>
  </si>
  <si>
    <t>2017-02-01T04:58:27Z</t>
  </si>
  <si>
    <t>2017-02-01T05:01:15Z</t>
  </si>
  <si>
    <t>2017-01-30T13:29:31Z</t>
  </si>
  <si>
    <t>pasture</t>
  </si>
  <si>
    <t>2017-01-30T14:43:24Z</t>
  </si>
  <si>
    <t>2017-01-30T14:43:59Z</t>
  </si>
  <si>
    <t>2017-01-30T14:48:51Z</t>
  </si>
  <si>
    <t>2017-01-30T14:51:48Z</t>
  </si>
  <si>
    <t>2017-01-30T14:53:33Z</t>
  </si>
  <si>
    <t>2017-01-30T14:58:26Z</t>
  </si>
  <si>
    <t>2017-01-30T15:01:48Z</t>
  </si>
  <si>
    <t>2017-01-31T06:47:35Z</t>
  </si>
  <si>
    <t>2017-01-31T06:58:39Z</t>
  </si>
  <si>
    <t>2017-01-31T07:03:46Z</t>
  </si>
  <si>
    <t>2017-03-26T09:17:18Z</t>
  </si>
  <si>
    <t>2017-03-26T09:45:16Z</t>
  </si>
  <si>
    <t>2017-01-31T07:21:22Z</t>
  </si>
  <si>
    <t>2017-01-31T07:25:56Z</t>
  </si>
  <si>
    <t>2017-01-31T07:32:08Z</t>
  </si>
  <si>
    <t>2017-01-31T07:49:56Z</t>
  </si>
  <si>
    <t>2017-01-31T07:54:37Z</t>
  </si>
  <si>
    <t>2017-01-31T08:01:10Z</t>
  </si>
  <si>
    <t>2017-01-31T08:14:13Z</t>
  </si>
  <si>
    <t>2017-01-31T08:15:57Z</t>
  </si>
  <si>
    <t>2017-01-31T08:18:12Z</t>
  </si>
  <si>
    <t>2017-03-26T11:07:14Z</t>
  </si>
  <si>
    <t>2017-03-26T10:22:16Z</t>
  </si>
  <si>
    <t>2017-01-31T08:41:03Z</t>
  </si>
  <si>
    <t>2017-01-31T08:44:49Z</t>
  </si>
  <si>
    <t>2017-03-26T10:56:49Z</t>
  </si>
  <si>
    <t>2017-03-26T11:08:46Z</t>
  </si>
  <si>
    <t>2017-01-31T08:53:06Z</t>
  </si>
  <si>
    <t>2017-01-31T08:57:04Z</t>
  </si>
  <si>
    <t>2017-02-01T09:18:27Z</t>
  </si>
  <si>
    <t>maswa</t>
  </si>
  <si>
    <t>wild</t>
  </si>
  <si>
    <t>2017-03-24T09:22:34Z</t>
  </si>
  <si>
    <t>2017-02-01T09:23:13Z</t>
  </si>
  <si>
    <t>2017-03-24T09:55:37Z</t>
  </si>
  <si>
    <t>2017-02-01T09:33:06Z</t>
  </si>
  <si>
    <t>2017-02-01T09:36:24Z</t>
  </si>
  <si>
    <t>2017-02-01T09:40:46Z</t>
  </si>
  <si>
    <t>2017-02-01T09:42:36Z</t>
  </si>
  <si>
    <t>2017-03-25T11:25:48Z</t>
  </si>
  <si>
    <t>2017-03-25T11:15:34Z</t>
  </si>
  <si>
    <t>2017-03-25T11:28:18Z</t>
  </si>
  <si>
    <t>2017-02-01T10:07:43Z</t>
  </si>
  <si>
    <t>2017-03-25T11:32:10Z</t>
  </si>
  <si>
    <t>2017-03-25T11:34:30Z</t>
  </si>
  <si>
    <t>2017-02-01T10:19:18Z</t>
  </si>
  <si>
    <t>2017-03-24T11:38:37Z</t>
  </si>
  <si>
    <t>2017-02-01T07:53:44Z</t>
  </si>
  <si>
    <t>2017-03-25T10:16:46Z</t>
  </si>
  <si>
    <t>2017-02-01T07:24:13Z</t>
  </si>
  <si>
    <t>2017-02-01T07:35:53Z</t>
  </si>
  <si>
    <t>2017-02-01T07:38:51Z</t>
  </si>
  <si>
    <t>2017-02-01T07:41:15Z</t>
  </si>
  <si>
    <t>2017-02-01T07:49:08Z</t>
  </si>
  <si>
    <t>2017-02-01T07:51:18Z</t>
  </si>
  <si>
    <t>2017-02-01T08:40:24Z</t>
  </si>
  <si>
    <t>2017-02-01T08:40:55Z</t>
  </si>
  <si>
    <t>2017-02-01T08:45:42Z</t>
  </si>
  <si>
    <t>2017-02-01T08:50:15Z</t>
  </si>
  <si>
    <t>2017-02-01T08:51:32Z</t>
  </si>
  <si>
    <t>2017-02-01T08:57:55Z</t>
  </si>
  <si>
    <t>2017-02-01T08:59:10Z</t>
  </si>
  <si>
    <t>2017-02-01T09:04:03Z</t>
  </si>
  <si>
    <t>2017-01-27T11:31:40Z</t>
  </si>
  <si>
    <t>mwantimba</t>
  </si>
  <si>
    <t>2017-01-27T11:37:57Z</t>
  </si>
  <si>
    <t>2017-01-27T11:43:57Z</t>
  </si>
  <si>
    <t>2017-01-27T11:46:07Z</t>
  </si>
  <si>
    <t>2017-01-27T11:49:15Z</t>
  </si>
  <si>
    <t>2017-01-27T11:50:45Z</t>
  </si>
  <si>
    <t>2017-01-27T11:52:57Z</t>
  </si>
  <si>
    <t>2017-01-27T11:57:04Z</t>
  </si>
  <si>
    <t>2017-01-27T12:05:50Z</t>
  </si>
  <si>
    <t>2017-01-27T12:08:02Z</t>
  </si>
  <si>
    <t>2017-01-27T12:09:42Z</t>
  </si>
  <si>
    <t>2017-01-27T12:14:06Z</t>
  </si>
  <si>
    <t>2017-01-27T12:17:38Z</t>
  </si>
  <si>
    <t>2017-01-27T12:21:25Z</t>
  </si>
  <si>
    <t>2017-01-27T12:24:04Z</t>
  </si>
  <si>
    <t>2017-01-27T12:28:03Z</t>
  </si>
  <si>
    <t>2017-01-27T13:13:31Z</t>
  </si>
  <si>
    <t>2017-01-27T13:17:34Z</t>
  </si>
  <si>
    <t>2017-01-27T13:21:46Z</t>
  </si>
  <si>
    <t>2017-01-27T13:25:29Z</t>
  </si>
  <si>
    <t>2017-01-27T13:53:23Z</t>
  </si>
  <si>
    <t>2017-01-27T13:55:01Z</t>
  </si>
  <si>
    <t>2017-01-27T13:59:17Z</t>
  </si>
  <si>
    <t>2017-01-27T14:06:38Z</t>
  </si>
  <si>
    <t>2017-01-27T14:08:32Z</t>
  </si>
  <si>
    <t>2017-01-27T14:11:37Z</t>
  </si>
  <si>
    <t>2017-01-27T14:17:26Z</t>
  </si>
  <si>
    <t>2017-01-27T14:16:38Z</t>
  </si>
  <si>
    <t>2017-01-27T14:24:11Z</t>
  </si>
  <si>
    <t>2017-01-27T14:27:21Z</t>
  </si>
  <si>
    <t>2017-01-27T14:31:09Z</t>
  </si>
  <si>
    <t>2017-01-27T14:36:08Z</t>
  </si>
  <si>
    <t>2017-01-27T05:45:49Z</t>
  </si>
  <si>
    <t>2017-01-27T05:46:58Z</t>
  </si>
  <si>
    <t>2017-01-27T05:54:07Z</t>
  </si>
  <si>
    <t>2017-03-22T12:35:00Z</t>
  </si>
  <si>
    <t>2017-01-27T06:15:59Z</t>
  </si>
  <si>
    <t>2017-01-27T06:18:09Z</t>
  </si>
  <si>
    <t>2017-01-27T06:24:15Z</t>
  </si>
  <si>
    <t>2017-01-27T06:28:51Z</t>
  </si>
  <si>
    <t>2017-01-27T06:55:44Z</t>
  </si>
  <si>
    <t>2017-01-27T07:06:32Z</t>
  </si>
  <si>
    <t>2017-01-27T07:11:01Z</t>
  </si>
  <si>
    <t>2017-01-27T07:16:30Z</t>
  </si>
  <si>
    <t>2017-01-27T07:20:37Z</t>
  </si>
  <si>
    <t>2017-02-17T11:17:05Z</t>
  </si>
  <si>
    <t>2017-01-27T07:36:09Z</t>
  </si>
  <si>
    <t>2017-01-27T07:41:13Z</t>
  </si>
  <si>
    <t>2017-01-27T08:52:37Z</t>
  </si>
  <si>
    <t>2017-01-27T09:01:05Z</t>
  </si>
  <si>
    <t>2017-01-27T09:03:27Z</t>
  </si>
  <si>
    <t>2017-01-27T09:07:11Z</t>
  </si>
  <si>
    <t>2017-01-27T09:14:48Z</t>
  </si>
  <si>
    <t>2017-01-27T09:17:22Z</t>
  </si>
  <si>
    <t>2017-01-27T09:26:34Z</t>
  </si>
  <si>
    <t>2017-01-27T09:30:33Z</t>
  </si>
  <si>
    <t>2017-01-27T09:48:49Z</t>
  </si>
  <si>
    <t>2017-01-27T09:53:24Z</t>
  </si>
  <si>
    <t>2017-01-27T09:57:22Z</t>
  </si>
  <si>
    <t>2017-01-27T10:01:17Z</t>
  </si>
  <si>
    <t>2017-01-27T10:03:38Z</t>
  </si>
  <si>
    <t>2017-01-27T10:09:10Z</t>
  </si>
  <si>
    <t>2017-01-27T10:13:59Z</t>
  </si>
  <si>
    <t>2017-01-27T10:15:30Z</t>
  </si>
  <si>
    <t>2017-01-28T07:33:25Z</t>
  </si>
  <si>
    <t>handajega</t>
  </si>
  <si>
    <t>2017-01-28T07:44:46Z</t>
  </si>
  <si>
    <t>2017-01-28T07:54:11Z</t>
  </si>
  <si>
    <t>2017-01-28T08:01:10Z</t>
  </si>
  <si>
    <t>2017-01-28T08:06:32Z</t>
  </si>
  <si>
    <t>2017-01-28T08:15:06Z</t>
  </si>
  <si>
    <t>2017-01-28T08:21:06Z</t>
  </si>
  <si>
    <t>2017-01-28T08:29:39Z</t>
  </si>
  <si>
    <t>2017-01-28T09:09:09Z</t>
  </si>
  <si>
    <t>2017-01-28T09:18:53Z</t>
  </si>
  <si>
    <t>2017-01-28T09:33:57Z</t>
  </si>
  <si>
    <t>2017-01-28T09:50:24Z</t>
  </si>
  <si>
    <t>2017-01-28T09:53:47Z</t>
  </si>
  <si>
    <t>2017-01-28T09:58:00Z</t>
  </si>
  <si>
    <t>2017-01-28T10:01:12Z</t>
  </si>
  <si>
    <t>2017-01-28T10:03:59Z</t>
  </si>
  <si>
    <t>2017-01-28T10:53:50Z</t>
  </si>
  <si>
    <t>2017-01-28T11:03:37Z</t>
  </si>
  <si>
    <t>2017-01-28T11:07:07Z</t>
  </si>
  <si>
    <t>2017-01-28T11:10:58Z</t>
  </si>
  <si>
    <t>2017-01-28T11:14:52Z</t>
  </si>
  <si>
    <t>2017-01-28T11:22:43Z</t>
  </si>
  <si>
    <t>2017-01-28T11:28:58Z</t>
  </si>
  <si>
    <t>2017-01-28T11:34:57Z</t>
  </si>
  <si>
    <t>2017-01-28T11:48:20Z</t>
  </si>
  <si>
    <t>2017-01-28T11:55:28Z</t>
  </si>
  <si>
    <t>2017-01-28T12:02:58Z</t>
  </si>
  <si>
    <t>2017-01-28T12:18:28Z</t>
  </si>
  <si>
    <t>2017-01-28T12:26:16Z</t>
  </si>
  <si>
    <t>2017-01-28T12:28:43Z</t>
  </si>
  <si>
    <t>2017-01-28T12:32:23Z</t>
  </si>
  <si>
    <t>2017-01-28T12:35:04Z</t>
  </si>
  <si>
    <t>2017-02-03T07:20:07Z</t>
  </si>
  <si>
    <t>seronera</t>
  </si>
  <si>
    <t>common garden</t>
  </si>
  <si>
    <t>Tea_CG4</t>
  </si>
  <si>
    <t>2017-02-03T06:48:27Z</t>
  </si>
  <si>
    <t>Tea_CG3</t>
  </si>
  <si>
    <t>2017-02-03T07:36:35Z</t>
  </si>
  <si>
    <t>Tea_CG1</t>
  </si>
  <si>
    <t>2017-02-03T07:56:15Z</t>
  </si>
  <si>
    <t>Tea_CG2</t>
  </si>
  <si>
    <t>Dry=Makao/Maswa</t>
  </si>
  <si>
    <t>Type (M, O, G)</t>
  </si>
  <si>
    <t>Height (m)</t>
  </si>
  <si>
    <t>Base diameter (m)</t>
  </si>
  <si>
    <t>Prot.Area</t>
  </si>
  <si>
    <t>SNP</t>
  </si>
  <si>
    <t>No mound in 50x50 square. This was the closest one to the border</t>
  </si>
  <si>
    <t>WP 782</t>
  </si>
  <si>
    <t>No mound in square, and no mound seen in nearest vicinity</t>
  </si>
  <si>
    <t>No mound in square, this one i 2,50m from border</t>
  </si>
  <si>
    <t>A1+A2</t>
  </si>
  <si>
    <t>Is marked with WP 1155</t>
  </si>
  <si>
    <t>A3+A4</t>
  </si>
  <si>
    <t>no one</t>
  </si>
  <si>
    <t>CG203(7)</t>
  </si>
  <si>
    <t>No cord</t>
  </si>
  <si>
    <t>CG211(7)</t>
  </si>
  <si>
    <t>No tag</t>
  </si>
  <si>
    <t>WET-Ag2-T6</t>
  </si>
  <si>
    <t>WET-Ag2-T7</t>
  </si>
  <si>
    <t>WET-Ag2-T8</t>
  </si>
  <si>
    <t>WET-Ag2-T9</t>
  </si>
  <si>
    <t>WET-Ag2-T10</t>
  </si>
  <si>
    <t>CG202(5)</t>
  </si>
  <si>
    <t>CG217(6)</t>
  </si>
  <si>
    <t>CG200(7)</t>
  </si>
  <si>
    <t>No litter</t>
  </si>
  <si>
    <t>CG209(3)</t>
  </si>
  <si>
    <t>CG206</t>
  </si>
  <si>
    <t>CG205(6)</t>
  </si>
  <si>
    <t>No cord or tag</t>
  </si>
  <si>
    <t>CG199</t>
  </si>
  <si>
    <t>CG219(1)</t>
  </si>
  <si>
    <t>Teabags found in Seronera after Marit's sampling attached to pipes</t>
  </si>
  <si>
    <t>CG204(4)</t>
  </si>
  <si>
    <t>Empty/Teabags found in Seronera after Marit's sampling attached to pipes</t>
  </si>
  <si>
    <t>WET-W4-T7</t>
  </si>
  <si>
    <t>WET-Ag3-T1</t>
  </si>
  <si>
    <t>WET-W4-T2</t>
  </si>
  <si>
    <t>WET-W4-T3</t>
  </si>
  <si>
    <t>WET-W1-T5</t>
  </si>
  <si>
    <t>WET-P2-T2</t>
  </si>
  <si>
    <t>WET-P2-T8</t>
  </si>
  <si>
    <t>Difficulty reading labbel + bag number</t>
  </si>
  <si>
    <t>WET-W1-T1</t>
  </si>
  <si>
    <t>WET-P1-T7</t>
  </si>
  <si>
    <t>WET-W2-T3</t>
  </si>
  <si>
    <t>WET-P1-T3</t>
  </si>
  <si>
    <t>WET-P1-T1</t>
  </si>
  <si>
    <t>WET-W1-T2</t>
  </si>
  <si>
    <t>WET-W3-T3</t>
  </si>
  <si>
    <t>WET-P2-T1</t>
  </si>
  <si>
    <t>WET-P2-T3</t>
  </si>
  <si>
    <t>Holes</t>
  </si>
  <si>
    <t>WET-P1-T8</t>
  </si>
  <si>
    <t>WET-W2-T6</t>
  </si>
  <si>
    <t>No cord or tag + holes</t>
  </si>
  <si>
    <t>WET-P1-T2</t>
  </si>
  <si>
    <t>Cord detached</t>
  </si>
  <si>
    <t>WET-W3-T4</t>
  </si>
  <si>
    <t>WET-W1-T4</t>
  </si>
  <si>
    <t>DRY-Ag2-T7</t>
  </si>
  <si>
    <t>DRY-Ag4-T1</t>
  </si>
  <si>
    <t>DRY-Ag1-T3</t>
  </si>
  <si>
    <t>Difficult to read label</t>
  </si>
  <si>
    <t>DRY-Ag2-T6</t>
  </si>
  <si>
    <t>DRY-Ag4-T8</t>
  </si>
  <si>
    <t>DRY-Ag3-T1</t>
  </si>
  <si>
    <t>DRY-Ag3-T3</t>
  </si>
  <si>
    <t>DRY-Ag4-T5</t>
  </si>
  <si>
    <t>DRY-Ag3-T2</t>
  </si>
  <si>
    <t>DRY-Ag1-T4</t>
  </si>
  <si>
    <t>DRY-Ag2-T1</t>
  </si>
  <si>
    <t>DRY-Ag4-T2</t>
  </si>
  <si>
    <t>DRY-Ag1-T1</t>
  </si>
  <si>
    <t>DRY-Ag4-T6</t>
  </si>
  <si>
    <t>DRY-Ag2-T3</t>
  </si>
  <si>
    <t>DRY-Ag3-T4</t>
  </si>
  <si>
    <t>DRY-Ag4-T4</t>
  </si>
  <si>
    <t>DRY-Ag3-T8</t>
  </si>
  <si>
    <t>WET-W1-T3</t>
  </si>
  <si>
    <t>Openned</t>
  </si>
  <si>
    <t>WET-P2-T4</t>
  </si>
  <si>
    <t>WET-W3-T8</t>
  </si>
  <si>
    <t>Cord detached, weight with the cord</t>
  </si>
  <si>
    <t>WET-W2-T7</t>
  </si>
  <si>
    <t>WET-W2-T2</t>
  </si>
  <si>
    <t>No tag or cord</t>
  </si>
  <si>
    <t>WET-W3-T2</t>
  </si>
  <si>
    <t>Wide open, soil inside</t>
  </si>
  <si>
    <t>WET-W2-T1</t>
  </si>
  <si>
    <t>WET-W4-T6</t>
  </si>
  <si>
    <t>WET-W3-T6</t>
  </si>
  <si>
    <t>WET-W4-T4</t>
  </si>
  <si>
    <t>No cord, no tag, difficult to read</t>
  </si>
  <si>
    <t>Empty, no tag, no cord, difficult to read</t>
  </si>
  <si>
    <t>WET-W4-T5</t>
  </si>
  <si>
    <t>WET-W2-T8</t>
  </si>
  <si>
    <t>No cord or tag, open, soil inside</t>
  </si>
  <si>
    <t>WET-W1-T6</t>
  </si>
  <si>
    <t>WET-W3-T5</t>
  </si>
  <si>
    <t>DRY-Ag3-T6</t>
  </si>
  <si>
    <t>DRY-Ag2-T5</t>
  </si>
  <si>
    <t>Oppen, soil inside</t>
  </si>
  <si>
    <t>DRY-Ag1-T7</t>
  </si>
  <si>
    <t>DRY-Ag1-T8</t>
  </si>
  <si>
    <t>Open, soil inside, no tag, no cord</t>
  </si>
  <si>
    <t>WET-P1-T6</t>
  </si>
  <si>
    <t>WET-Ag1-T8</t>
  </si>
  <si>
    <t>WET-Ag1-T5</t>
  </si>
  <si>
    <t>WET-P3-T3</t>
  </si>
  <si>
    <t>WET-P4-T1</t>
  </si>
  <si>
    <t>WET-P4-T6</t>
  </si>
  <si>
    <t>WET-P3-T5</t>
  </si>
  <si>
    <t>WET-P4-T8</t>
  </si>
  <si>
    <t>WET-P4-T3</t>
  </si>
  <si>
    <t>WET-P3-T8</t>
  </si>
  <si>
    <t>WET-Ag1-T2</t>
  </si>
  <si>
    <t>Nothing much left</t>
  </si>
  <si>
    <t>WET-Ag2-T4</t>
  </si>
  <si>
    <t>WET-P3-T4</t>
  </si>
  <si>
    <t>Open, soil inside</t>
  </si>
  <si>
    <t>WET-P4-T4</t>
  </si>
  <si>
    <t>WET-P4-T2</t>
  </si>
  <si>
    <t>WET-P3-T1</t>
  </si>
  <si>
    <t>WET-Ag1-T7</t>
  </si>
  <si>
    <t>WET-Ag2-T2</t>
  </si>
  <si>
    <t>No tag, difficult to read</t>
  </si>
  <si>
    <t>WET-Ag1-T6</t>
  </si>
  <si>
    <t>WET-Ag2-T5</t>
  </si>
  <si>
    <t>WET-Ag2-T1</t>
  </si>
  <si>
    <t>WET-Ag4-T2</t>
  </si>
  <si>
    <t>WET-Ag4-T3</t>
  </si>
  <si>
    <t>WET-Ag4-T8</t>
  </si>
  <si>
    <t>WET-Ag3-T6</t>
  </si>
  <si>
    <t>WET-Ag3-T4</t>
  </si>
  <si>
    <t>Duplikat?</t>
  </si>
  <si>
    <t>Green teabags(op/ex)</t>
  </si>
  <si>
    <t>Red tabags (op/ex)</t>
  </si>
  <si>
    <t>Duplicate codes</t>
  </si>
  <si>
    <t>Red</t>
  </si>
  <si>
    <t>Keushamp</t>
  </si>
  <si>
    <t>P.Mueller et al.</t>
  </si>
  <si>
    <t>Sign of termite cheeting</t>
  </si>
  <si>
    <t>Sign of hole(s)</t>
  </si>
  <si>
    <t xml:space="preserve">Sign of roots </t>
  </si>
  <si>
    <t>Holes, Roots, Cheating (H,R,C)</t>
  </si>
  <si>
    <t>h</t>
  </si>
  <si>
    <t>Old plot, no data sampled</t>
  </si>
  <si>
    <t>DNA sampled</t>
  </si>
  <si>
    <t>R: Loots of cheating</t>
  </si>
  <si>
    <t>Did not find plot</t>
  </si>
  <si>
    <t>DNA sampled, R: Leaked in transportation</t>
  </si>
  <si>
    <t>G: hole because of digging</t>
  </si>
  <si>
    <t>G: 322</t>
  </si>
  <si>
    <t>(:31</t>
  </si>
  <si>
    <t>Ex.green: Opened up</t>
  </si>
  <si>
    <t>DNA Sampled. G.ex: Leaked</t>
  </si>
  <si>
    <t>Ex.roi not found, Already opened/disturbed on top</t>
  </si>
  <si>
    <t>G + R completely eaten</t>
  </si>
  <si>
    <r>
      <t xml:space="preserve">Was opened as the first. </t>
    </r>
    <r>
      <rPr>
        <sz val="11"/>
        <color rgb="FFFF0000"/>
        <rFont val="Calibri"/>
        <family val="2"/>
      </rPr>
      <t>Probably means opened as in plot 36</t>
    </r>
  </si>
  <si>
    <t>DNA Sampled. R.ex leaked</t>
  </si>
  <si>
    <t>Lost plot, had been dug up</t>
  </si>
  <si>
    <t>DNA Sampled</t>
  </si>
  <si>
    <t>10;59</t>
  </si>
  <si>
    <t>Termites on R bag, DNA sampled</t>
  </si>
  <si>
    <t>R: Destroyed completely empty</t>
  </si>
  <si>
    <t>R with termites</t>
  </si>
  <si>
    <t>G: hole made by shovel</t>
  </si>
  <si>
    <t>R: termites</t>
  </si>
  <si>
    <t>CR</t>
  </si>
  <si>
    <t>CHR</t>
  </si>
  <si>
    <t>R: almost nothing left</t>
  </si>
  <si>
    <t>R: all gone inside</t>
  </si>
  <si>
    <t>R: almost nothing inside</t>
  </si>
  <si>
    <t>R.ex: Termites on outside, but nothing inside</t>
  </si>
  <si>
    <t>G: completely opened and empty</t>
  </si>
  <si>
    <t>G: Many roots</t>
  </si>
  <si>
    <t>Ex.Gr: some myco</t>
  </si>
  <si>
    <t>R:empty, big holes</t>
  </si>
  <si>
    <t>No temp taken</t>
  </si>
  <si>
    <t>EX.Gr: few roots</t>
  </si>
  <si>
    <t>Switched with plot 217</t>
  </si>
  <si>
    <t>EX.R: Some roots</t>
  </si>
  <si>
    <t>Ex:Gr: Hole in mesh due to digging</t>
  </si>
  <si>
    <t>R: Lots of cheating!</t>
  </si>
  <si>
    <t>R: empty, lots of cheating!</t>
  </si>
  <si>
    <t>Ex.r: some roots</t>
  </si>
  <si>
    <t>Ex.Gr: Many roots, R: Almost all gone</t>
  </si>
  <si>
    <t>Duplicate check</t>
  </si>
  <si>
    <t>no tag or cord</t>
  </si>
  <si>
    <t>DRY_P3_T4</t>
  </si>
  <si>
    <t>DRY_P2_T3</t>
  </si>
  <si>
    <t>Just a cord stump left</t>
  </si>
  <si>
    <t>Lot of soil and termite attack</t>
  </si>
  <si>
    <t>Cheating, small holes, cord stump</t>
  </si>
  <si>
    <t>DRY_P2_T2</t>
  </si>
  <si>
    <t>empty, cheating, short cord</t>
  </si>
  <si>
    <t>hole,cheating</t>
  </si>
  <si>
    <t>DRY_P1_T8</t>
  </si>
  <si>
    <t>cheating, 1 small hole</t>
  </si>
  <si>
    <t>DRY_P4_T2</t>
  </si>
  <si>
    <t>LOT OF LITTER FALLEN OUT OF BAG (0,6850g) seen left in the paper bag, bag ripped open</t>
  </si>
  <si>
    <t>DRY_P1_T5</t>
  </si>
  <si>
    <t>empty, soil, destroyed bag</t>
  </si>
  <si>
    <t>cheating, lots of soil, holes, short string</t>
  </si>
  <si>
    <t>DRY_P2_T4</t>
  </si>
  <si>
    <t>DRY_P3_T7</t>
  </si>
  <si>
    <t>Cheating, hole</t>
  </si>
  <si>
    <t>DRY_P4_T4</t>
  </si>
  <si>
    <t>DRY_P1_T6</t>
  </si>
  <si>
    <t>DRY_W3_T1</t>
  </si>
  <si>
    <t>DRY_W3_T7</t>
  </si>
  <si>
    <t>DRY_P2_T7</t>
  </si>
  <si>
    <t>two holes, some have fallen out</t>
  </si>
  <si>
    <t>DRY_P4_T7</t>
  </si>
  <si>
    <t>nibbled tag (termites?)</t>
  </si>
  <si>
    <t>DRY_W2_T7</t>
  </si>
  <si>
    <t>cheating, hole</t>
  </si>
  <si>
    <t>DRY_P3_T8</t>
  </si>
  <si>
    <t>DRY_W1_T2</t>
  </si>
  <si>
    <t>DRY_P3_T3</t>
  </si>
  <si>
    <t>DRY_P4_T1</t>
  </si>
  <si>
    <t>DRY_P2_T1</t>
  </si>
  <si>
    <t>holes (looks like its been ripped by digging), short string</t>
  </si>
  <si>
    <t>holes (some litter fallen out)</t>
  </si>
  <si>
    <t>DRY_W1_T6</t>
  </si>
  <si>
    <t>cheating, holes, eaten bag</t>
  </si>
  <si>
    <t>WET_AG3_T7</t>
  </si>
  <si>
    <t>WET_AG4_T7</t>
  </si>
  <si>
    <t>Soil, cheating, destroyed bag</t>
  </si>
  <si>
    <t>WET_P3_T2</t>
  </si>
  <si>
    <t>cheating, destroyed bag, soil</t>
  </si>
  <si>
    <t>Cheating on tag and string</t>
  </si>
  <si>
    <t>WET_AG3_T3</t>
  </si>
  <si>
    <t>cheating, small holes</t>
  </si>
  <si>
    <t>WET_AG3_T2</t>
  </si>
  <si>
    <t>unsure about the 3, no string</t>
  </si>
  <si>
    <t>WET_AG1_T4</t>
  </si>
  <si>
    <t>cheating, holes, destryed bag, soil. Uncertain about the code</t>
  </si>
  <si>
    <t>Cheating, holes</t>
  </si>
  <si>
    <t>WET_AG4_T4</t>
  </si>
  <si>
    <t>roots</t>
  </si>
  <si>
    <t>WET_AG4_T5</t>
  </si>
  <si>
    <t>hole, cheating</t>
  </si>
  <si>
    <t>cheating, holes, destroyed bag, roots, soil</t>
  </si>
  <si>
    <t>DRY_W3_T4</t>
  </si>
  <si>
    <t>DRY_P3_T5</t>
  </si>
  <si>
    <t>DRY_W4_T1</t>
  </si>
  <si>
    <t>DRY_P1_T3</t>
  </si>
  <si>
    <t>DRY_P4_T3</t>
  </si>
  <si>
    <t>DRY_W4_T5</t>
  </si>
  <si>
    <t>Hole</t>
  </si>
  <si>
    <t>DRY_P1_T1</t>
  </si>
  <si>
    <t>DRY_W3_T3</t>
  </si>
  <si>
    <t>DRY_W2_T4</t>
  </si>
  <si>
    <t>DRY_W4_T4</t>
  </si>
  <si>
    <t>DRY_W3_T8</t>
  </si>
  <si>
    <t>DRY_W3_T2</t>
  </si>
  <si>
    <t>DRY_W1_T4</t>
  </si>
  <si>
    <t>DRY_W4_T3</t>
  </si>
  <si>
    <t>DRY_P2_T8</t>
  </si>
  <si>
    <t>DRY_W2_T6</t>
  </si>
  <si>
    <t>Hole (ripped by digging?)</t>
  </si>
  <si>
    <t>DRY_W4_T8</t>
  </si>
  <si>
    <t>DRY_W1_T5</t>
  </si>
  <si>
    <t>DRY_P4_T8</t>
  </si>
  <si>
    <t>DRY_W2_T3</t>
  </si>
  <si>
    <t>DRY_W2_T2</t>
  </si>
  <si>
    <t>DRY_W2_T8</t>
  </si>
  <si>
    <t>DRY_W1_T8</t>
  </si>
  <si>
    <t>DRY_W4_T7</t>
  </si>
  <si>
    <t>DRY_W1_T7</t>
  </si>
  <si>
    <t>Original CG when not corrected. Keep this until I find the original sheet for the collectiondata. Update: Have found it, but missing the original sheet for some of the data for moisture and temp. It may have been lost in transportation. But all the data is writen down.</t>
  </si>
  <si>
    <t>Ants (Yes=1/No=0)</t>
  </si>
  <si>
    <t>Exclosed</t>
  </si>
  <si>
    <t>Soil 0 No litter?</t>
  </si>
  <si>
    <t>Massloss (g) Ash uncorrected</t>
  </si>
  <si>
    <t/>
  </si>
  <si>
    <t>Antall digler pr batch</t>
  </si>
  <si>
    <t>TOTALT (timer</t>
  </si>
  <si>
    <t>Average common garden</t>
  </si>
  <si>
    <t>Dry-P4-T3</t>
  </si>
  <si>
    <t>Lab oposite side</t>
  </si>
  <si>
    <t>Dry-W1-T8</t>
  </si>
  <si>
    <t>Dry-W2-T2</t>
  </si>
  <si>
    <t>Dry-W2-T3</t>
  </si>
  <si>
    <t>Dry-W2-T8</t>
  </si>
  <si>
    <t>Dry-W1-T7</t>
  </si>
  <si>
    <t>Dry-P4-T8</t>
  </si>
  <si>
    <t>Dry-W1-T5</t>
  </si>
  <si>
    <t>Dry-W4-T7</t>
  </si>
  <si>
    <t>Dry-W4-T8</t>
  </si>
  <si>
    <t>Dry-W2-T6</t>
  </si>
  <si>
    <t>Dry-W3-T4</t>
  </si>
  <si>
    <t>Dry-W3-T3</t>
  </si>
  <si>
    <t>Dry-W4-T1</t>
  </si>
  <si>
    <t>Dry-P1-T3</t>
  </si>
  <si>
    <t>Dry-W2-T4</t>
  </si>
  <si>
    <t>Dry-P2-T8</t>
  </si>
  <si>
    <t>Dry-W3-T2</t>
  </si>
  <si>
    <t>Dry-P1-T1</t>
  </si>
  <si>
    <t>Dry-W4-T4</t>
  </si>
  <si>
    <t>WET-A1-T6</t>
  </si>
  <si>
    <t>DRY-P3-T3</t>
  </si>
  <si>
    <t>WET-A4-T4</t>
  </si>
  <si>
    <t>WET-A1-T7</t>
  </si>
  <si>
    <t>DRY-P1-T1</t>
  </si>
  <si>
    <t>WET-A2-T1</t>
  </si>
  <si>
    <t>DRY-P2-T7</t>
  </si>
  <si>
    <t>DRY-P3-T5</t>
  </si>
  <si>
    <t>DRY-P3-T8</t>
  </si>
  <si>
    <t>DRY-W2-T7</t>
  </si>
  <si>
    <t>DRY-W1-T2</t>
  </si>
  <si>
    <t>DRY-W2-T4</t>
  </si>
  <si>
    <t>DRY-W1-T4</t>
  </si>
  <si>
    <t>WET-A3-T7</t>
  </si>
  <si>
    <t>WET-A3-T3</t>
  </si>
  <si>
    <t>DRY-P4-T3</t>
  </si>
  <si>
    <t>WET-P3-T2</t>
  </si>
  <si>
    <t>DRY-W2-T2</t>
  </si>
  <si>
    <t>DRY-W3-T8</t>
  </si>
  <si>
    <t>DRY-W4-T4</t>
  </si>
  <si>
    <t>DRY-P4-T2</t>
  </si>
  <si>
    <t>DRY-P1-T8</t>
  </si>
  <si>
    <t>WET-A4-T3</t>
  </si>
  <si>
    <t>DRY-P1-T5</t>
  </si>
  <si>
    <t>fell out of tea bag into paepr bag should be added to dry litter weight R725</t>
  </si>
  <si>
    <t>DRY-P2-T3</t>
  </si>
  <si>
    <t>DRY-W4-T5</t>
  </si>
  <si>
    <t>Wet-P4-T2</t>
  </si>
  <si>
    <t>Ole lab, på bordet</t>
  </si>
  <si>
    <t>REDONE</t>
  </si>
  <si>
    <t>Wet-A2-T2</t>
  </si>
  <si>
    <t>Wet-P3-T1</t>
  </si>
  <si>
    <t>DRY-P4-T7</t>
  </si>
  <si>
    <t>DRY-P4-T4</t>
  </si>
  <si>
    <t>DRY-P2-T1</t>
  </si>
  <si>
    <t>DRY-W1-T6</t>
  </si>
  <si>
    <t>DRY-P1-T4</t>
  </si>
  <si>
    <t>DRY-P2-T8</t>
  </si>
  <si>
    <t>WET-A3-T2</t>
  </si>
  <si>
    <t>DRY-P1-T6</t>
  </si>
  <si>
    <t>WET-A2-T2</t>
  </si>
  <si>
    <t>WET-A4-T7</t>
  </si>
  <si>
    <t>DRY-W3-T2</t>
  </si>
  <si>
    <t>DRY-W1-T8</t>
  </si>
  <si>
    <t>DRY-W4-T1</t>
  </si>
  <si>
    <t>DRY-W3-T4</t>
  </si>
  <si>
    <t>DRY-P4-T1</t>
  </si>
  <si>
    <t>DRY-P2-T2</t>
  </si>
  <si>
    <t>DRY-W3-T7</t>
  </si>
  <si>
    <t>DRY-P3-T7</t>
  </si>
  <si>
    <t>WET-A4-T8</t>
  </si>
  <si>
    <t>Ole lab</t>
  </si>
  <si>
    <t>DRY-W4-T3</t>
  </si>
  <si>
    <t>DRY-P3-T4</t>
  </si>
  <si>
    <t>DRY-P2-T4</t>
  </si>
  <si>
    <t>WET-A2-T5</t>
  </si>
  <si>
    <t>?</t>
  </si>
  <si>
    <t>very little left of sample</t>
  </si>
  <si>
    <t>WET-A4-T2</t>
  </si>
  <si>
    <t xml:space="preserve">fungi </t>
  </si>
  <si>
    <t>DRY-A3-T6</t>
  </si>
  <si>
    <t>DRY-A1-T7</t>
  </si>
  <si>
    <t>DRY-A3-T2</t>
  </si>
  <si>
    <t>DRY-A4-T4</t>
  </si>
  <si>
    <t>DRY-A2-T3</t>
  </si>
  <si>
    <t>DRY-A3-T3</t>
  </si>
  <si>
    <t>DRY-A4-T2</t>
  </si>
  <si>
    <t>DRY-A4-T6</t>
  </si>
  <si>
    <t>DRY-A1-T4</t>
  </si>
  <si>
    <t>DRY-A2-T1</t>
  </si>
  <si>
    <t>DRY-A1-T8</t>
  </si>
  <si>
    <t>DRY-A3-T4</t>
  </si>
  <si>
    <t>DRY-A3-T1</t>
  </si>
  <si>
    <t>DRY-A2-T6</t>
  </si>
  <si>
    <t>DRY-A4-T1</t>
  </si>
  <si>
    <t>DRY-A2-T5</t>
  </si>
  <si>
    <t>DRY-A4-T8</t>
  </si>
  <si>
    <t>FURNACE OLE PÅ BORDET</t>
  </si>
  <si>
    <t>Feil kode, endret fra G283</t>
  </si>
  <si>
    <t>WET-A1-T2</t>
  </si>
  <si>
    <t>WET-A2-T4</t>
  </si>
  <si>
    <t>WET-A1-T8</t>
  </si>
  <si>
    <t>WET-A1-T5</t>
  </si>
  <si>
    <t>mycelia from fungi</t>
  </si>
  <si>
    <t>WET-A3-T6</t>
  </si>
  <si>
    <t>WET-A3-T1</t>
  </si>
  <si>
    <t>WET-A3-T4</t>
  </si>
  <si>
    <t>Code could be R727</t>
  </si>
  <si>
    <t>DRY-W3-T6</t>
  </si>
  <si>
    <t>DRY-A1-T1</t>
  </si>
  <si>
    <t>On zipbag: G389 (or G384). It is G384</t>
  </si>
  <si>
    <t>DRY-A1-T3</t>
  </si>
  <si>
    <t>DRY-A3-T8</t>
  </si>
  <si>
    <t>NO PLOT CODE</t>
  </si>
  <si>
    <t>EMPTY BAG, NO PLOT CODE</t>
  </si>
  <si>
    <t>DRY-A2-T7</t>
  </si>
  <si>
    <t>SRY-A3-T8</t>
  </si>
  <si>
    <t>DRY-A4-T5</t>
  </si>
  <si>
    <t>WET-A2-T7</t>
  </si>
  <si>
    <t>DRY-P1-T3</t>
  </si>
  <si>
    <t>DRY-W3-T3</t>
  </si>
  <si>
    <t>DRY-W3-T1</t>
  </si>
  <si>
    <t>202(5)</t>
  </si>
  <si>
    <t>USED ALMOST ALL OF THE SAMPLE</t>
  </si>
  <si>
    <t>HIGH WEIGHT, ONLY SOIL AND ROCKS</t>
  </si>
  <si>
    <t>WET-A1-T4</t>
  </si>
  <si>
    <t>WET-AG4-T5</t>
  </si>
  <si>
    <t>WET-A4-T5</t>
  </si>
  <si>
    <t>WET-A2-T6</t>
  </si>
  <si>
    <t>USED ALL OF THE SAMPLE</t>
  </si>
  <si>
    <t>ZIPBAG SAID R299?, BUT TEABAG SAID R249</t>
  </si>
  <si>
    <t>PROBABLY ALL SOIL</t>
  </si>
  <si>
    <t>PROB ONLY SOIL</t>
  </si>
  <si>
    <t>PROB ONLY SOIL, MANY ROOTS</t>
  </si>
  <si>
    <t xml:space="preserve">&lt;TBI DATA FORM&gt; </t>
  </si>
  <si>
    <t>VERSION 2.01</t>
  </si>
  <si>
    <t>NOTE</t>
  </si>
  <si>
    <t>READ GENERAL INSTRUCTIONS IN THE MANUAL SHEET BEFORE YOU START</t>
  </si>
  <si>
    <t>This form consists of five parts: METADATA (L10-L20), COMMON DATA (L24-L40), LOCATION CODES (L42-L52), TREATMENT LEGEND (L54-L58) AND SAMPLE DATA (L61-)</t>
  </si>
  <si>
    <t>The formulae used in this sheet are based on Keuskamp et al. 2013 (http://onlinelibrary.wiley.com/enhanced/doi/10.1111/2041-210X.12097/)</t>
  </si>
  <si>
    <t xml:space="preserve">For more information please refer to the manual included with this file </t>
  </si>
  <si>
    <t>Please fill out the data in the purple cells, and optionally in the blue cells and send form to tbiteam@decolab.org or upload it on www.teatime4science.org</t>
  </si>
  <si>
    <t xml:space="preserve"> </t>
  </si>
  <si>
    <t>Item</t>
  </si>
  <si>
    <t>Value</t>
  </si>
  <si>
    <t>Anders Sundsdal</t>
  </si>
  <si>
    <t>Secondary investigator</t>
  </si>
  <si>
    <t>Stuart W Smith</t>
  </si>
  <si>
    <t>Norwegian University of Science and Technology (NTNU)</t>
  </si>
  <si>
    <t>andersun@stud.ntnu.no</t>
  </si>
  <si>
    <t>stuart.smith@ntnu.no</t>
  </si>
  <si>
    <t>Tanzania</t>
  </si>
  <si>
    <t>AfricanBioServices</t>
  </si>
  <si>
    <t>Understanding the impact of human land-use on termite and soil microbe litter decomposition in the Serengeti savannah ecosystem.</t>
  </si>
  <si>
    <t>Pending</t>
  </si>
  <si>
    <t>&lt;END OF METADATA&gt;</t>
  </si>
  <si>
    <t>&lt;COMMON DATA&gt;</t>
  </si>
  <si>
    <t>item</t>
  </si>
  <si>
    <t>Calculation help in manual sheet</t>
  </si>
  <si>
    <t>&lt;END OF COMMON DATA&gt;</t>
  </si>
  <si>
    <t>&lt;LOCATION CODES&gt;</t>
  </si>
  <si>
    <t>OPTIONAL DATA</t>
  </si>
  <si>
    <t>Only one item per line - expand as necessary</t>
  </si>
  <si>
    <t>Optional data - Numerical</t>
  </si>
  <si>
    <t>Optional data - Classifications, use the dropdown lists.</t>
  </si>
  <si>
    <t>Dry_Ag1</t>
  </si>
  <si>
    <t>Dry region, agriculture</t>
  </si>
  <si>
    <t>Savanna- mixed decidious tree and grassland</t>
  </si>
  <si>
    <t>NESW (all)</t>
  </si>
  <si>
    <t>Dry_Ag2</t>
  </si>
  <si>
    <t>Dry_Ag3</t>
  </si>
  <si>
    <t>Dry_Ag4</t>
  </si>
  <si>
    <t>Dry_P1</t>
  </si>
  <si>
    <t>Dry region, pasture</t>
  </si>
  <si>
    <t>Dry_P2</t>
  </si>
  <si>
    <t>Dry_P3</t>
  </si>
  <si>
    <t>Dry_P4</t>
  </si>
  <si>
    <t>Dry_W1</t>
  </si>
  <si>
    <t>Dry region, wild area</t>
  </si>
  <si>
    <t>Dry_W2</t>
  </si>
  <si>
    <t>Dry_W3</t>
  </si>
  <si>
    <t>Dry_W4</t>
  </si>
  <si>
    <t>Wet_Ag1</t>
  </si>
  <si>
    <t>Wet region, agriculture</t>
  </si>
  <si>
    <t>Wet_Ag2</t>
  </si>
  <si>
    <t>Wet_Ag3</t>
  </si>
  <si>
    <t>Wet_Ag4</t>
  </si>
  <si>
    <t>Wet_P1</t>
  </si>
  <si>
    <t>Wet region, pasture</t>
  </si>
  <si>
    <t>Wet_P2</t>
  </si>
  <si>
    <t>Wet_P3</t>
  </si>
  <si>
    <t>Wet_P4</t>
  </si>
  <si>
    <t>Wet_W1</t>
  </si>
  <si>
    <t>Wet region, wild area</t>
  </si>
  <si>
    <t>Wet_W2</t>
  </si>
  <si>
    <t>Wet_W3</t>
  </si>
  <si>
    <t>Wet_W4</t>
  </si>
  <si>
    <t>Intermediate area, wild</t>
  </si>
  <si>
    <t>&lt;END OF LOCATION CODES&gt;</t>
  </si>
  <si>
    <t>&lt;TREATMENT CODES&gt;</t>
  </si>
  <si>
    <t>General description</t>
  </si>
  <si>
    <t>Teabags standard buried, open for all micro- and macro soil organisms.</t>
  </si>
  <si>
    <t>Teabags wrapped with an additional 0.3 mm aperture size stainless steel metal mesh to exclude macro soil organisms, mainly termites. Otherwise standard buried.</t>
  </si>
  <si>
    <t>&lt;END OF TREATMENT CODES&gt;</t>
  </si>
  <si>
    <t>NOTE: USING ASHED WEIGHTS</t>
  </si>
  <si>
    <t>&lt;SAMPLE DATA&gt;</t>
  </si>
  <si>
    <t>Other notes</t>
  </si>
  <si>
    <t>Location code</t>
  </si>
  <si>
    <r>
      <rPr>
        <sz val="11"/>
        <color rgb="FF008000"/>
        <rFont val="Calibri"/>
        <family val="2"/>
      </rPr>
      <t>Green tea</t>
    </r>
    <r>
      <rPr>
        <sz val="11"/>
        <color indexed="8"/>
        <rFont val="Calibri"/>
        <family val="2"/>
      </rPr>
      <t xml:space="preserve"> code</t>
    </r>
  </si>
  <si>
    <r>
      <rPr>
        <sz val="11"/>
        <color rgb="FFFF0000"/>
        <rFont val="Calibri"/>
        <family val="2"/>
      </rPr>
      <t>Red tea</t>
    </r>
    <r>
      <rPr>
        <sz val="11"/>
        <color indexed="8"/>
        <rFont val="Calibri"/>
        <family val="2"/>
      </rPr>
      <t xml:space="preserve"> code</t>
    </r>
  </si>
  <si>
    <r>
      <t xml:space="preserve">Initial weight </t>
    </r>
    <r>
      <rPr>
        <sz val="11"/>
        <color indexed="17"/>
        <rFont val="Calibri"/>
        <family val="2"/>
      </rPr>
      <t xml:space="preserve">green tea </t>
    </r>
    <r>
      <rPr>
        <sz val="11"/>
        <color indexed="8"/>
        <rFont val="Calibri"/>
        <family val="2"/>
      </rPr>
      <t>including bag, cord and label</t>
    </r>
  </si>
  <si>
    <r>
      <rPr>
        <sz val="11"/>
        <rFont val="Calibri"/>
        <family val="2"/>
      </rPr>
      <t xml:space="preserve">Ashed subsample percentage controll initial </t>
    </r>
    <r>
      <rPr>
        <sz val="11"/>
        <color rgb="FF008000"/>
        <rFont val="Calibri"/>
        <family val="2"/>
      </rPr>
      <t>green tea</t>
    </r>
    <r>
      <rPr>
        <sz val="11"/>
        <color indexed="8"/>
        <rFont val="Calibri"/>
        <family val="2"/>
      </rPr>
      <t xml:space="preserve"> </t>
    </r>
    <r>
      <rPr>
        <sz val="11"/>
        <rFont val="Calibri"/>
        <family val="2"/>
      </rPr>
      <t>tea only (Avarage)</t>
    </r>
  </si>
  <si>
    <r>
      <t xml:space="preserve">Ashed initial corrected weight </t>
    </r>
    <r>
      <rPr>
        <sz val="11"/>
        <color indexed="17"/>
        <rFont val="Calibri"/>
        <family val="2"/>
      </rPr>
      <t>green tea</t>
    </r>
    <r>
      <rPr>
        <sz val="11"/>
        <color indexed="8"/>
        <rFont val="Calibri"/>
        <family val="2"/>
      </rPr>
      <t xml:space="preserve"> tea only</t>
    </r>
  </si>
  <si>
    <r>
      <rPr>
        <sz val="11"/>
        <rFont val="Calibri"/>
        <family val="2"/>
      </rPr>
      <t xml:space="preserve">Ashed subsample percentage controll initiall </t>
    </r>
    <r>
      <rPr>
        <sz val="11"/>
        <color rgb="FFFF0000"/>
        <rFont val="Calibri"/>
        <family val="2"/>
      </rPr>
      <t>red tea</t>
    </r>
    <r>
      <rPr>
        <sz val="11"/>
        <color indexed="8"/>
        <rFont val="Calibri"/>
        <family val="2"/>
      </rPr>
      <t xml:space="preserve"> tea only</t>
    </r>
  </si>
  <si>
    <r>
      <t xml:space="preserve">Ashed Initial corrected weight </t>
    </r>
    <r>
      <rPr>
        <sz val="11"/>
        <color rgb="FFFF0000"/>
        <rFont val="Calibri"/>
        <family val="2"/>
      </rPr>
      <t>red tea</t>
    </r>
    <r>
      <rPr>
        <sz val="11"/>
        <color indexed="8"/>
        <rFont val="Calibri"/>
        <family val="2"/>
      </rPr>
      <t xml:space="preserve"> tea only</t>
    </r>
  </si>
  <si>
    <r>
      <t xml:space="preserve">Final weight </t>
    </r>
    <r>
      <rPr>
        <sz val="11"/>
        <color indexed="17"/>
        <rFont val="Calibri"/>
        <family val="2"/>
      </rPr>
      <t xml:space="preserve">green tea </t>
    </r>
    <r>
      <rPr>
        <sz val="11"/>
        <color indexed="8"/>
        <rFont val="Calibri"/>
        <family val="2"/>
      </rPr>
      <t>including bag and cord, no label</t>
    </r>
  </si>
  <si>
    <r>
      <t>Final weight</t>
    </r>
    <r>
      <rPr>
        <sz val="11"/>
        <color indexed="10"/>
        <rFont val="Calibri"/>
        <family val="2"/>
      </rPr>
      <t xml:space="preserve"> red tea </t>
    </r>
    <r>
      <rPr>
        <sz val="11"/>
        <color indexed="8"/>
        <rFont val="Calibri"/>
        <family val="2"/>
      </rPr>
      <t>including bag and cord, no label</t>
    </r>
  </si>
  <si>
    <r>
      <t xml:space="preserve">Ashed subsample percentage </t>
    </r>
    <r>
      <rPr>
        <sz val="11"/>
        <color rgb="FF008000"/>
        <rFont val="Calibri"/>
        <family val="2"/>
      </rPr>
      <t>green tea</t>
    </r>
  </si>
  <si>
    <r>
      <rPr>
        <sz val="11"/>
        <rFont val="Calibri"/>
        <family val="2"/>
      </rPr>
      <t xml:space="preserve">Ashed subsample percentage </t>
    </r>
    <r>
      <rPr>
        <sz val="11"/>
        <color rgb="FFFF0000"/>
        <rFont val="Calibri"/>
        <family val="2"/>
      </rPr>
      <t>red tea</t>
    </r>
  </si>
  <si>
    <r>
      <t xml:space="preserve">Ashed final weight </t>
    </r>
    <r>
      <rPr>
        <sz val="11"/>
        <color rgb="FF008000"/>
        <rFont val="Calibri"/>
        <family val="2"/>
      </rPr>
      <t>green tea</t>
    </r>
    <r>
      <rPr>
        <sz val="11"/>
        <color indexed="8"/>
        <rFont val="Calibri"/>
        <family val="2"/>
      </rPr>
      <t xml:space="preserve"> tea only</t>
    </r>
  </si>
  <si>
    <r>
      <t xml:space="preserve">Ashed final weight </t>
    </r>
    <r>
      <rPr>
        <sz val="11"/>
        <color rgb="FFFF0000"/>
        <rFont val="Calibri"/>
        <family val="2"/>
      </rPr>
      <t>red tea</t>
    </r>
    <r>
      <rPr>
        <sz val="11"/>
        <color indexed="8"/>
        <rFont val="Calibri"/>
        <family val="2"/>
      </rPr>
      <t xml:space="preserve"> tea only</t>
    </r>
  </si>
  <si>
    <r>
      <t xml:space="preserve">Fraction decomposed </t>
    </r>
    <r>
      <rPr>
        <sz val="11"/>
        <color rgb="FF00B050"/>
        <rFont val="Calibri"/>
        <family val="2"/>
      </rPr>
      <t xml:space="preserve">green tea </t>
    </r>
    <r>
      <rPr>
        <sz val="11"/>
        <rFont val="Calibri"/>
        <family val="2"/>
      </rPr>
      <t>(ash corrected)</t>
    </r>
    <r>
      <rPr>
        <sz val="11"/>
        <color indexed="8"/>
        <rFont val="Calibri"/>
        <family val="2"/>
      </rPr>
      <t xml:space="preserve"> (ag) </t>
    </r>
  </si>
  <si>
    <r>
      <t xml:space="preserve">Sign of hole(s) on </t>
    </r>
    <r>
      <rPr>
        <sz val="11"/>
        <color rgb="FFFF0000"/>
        <rFont val="Calibri"/>
        <family val="2"/>
      </rPr>
      <t>red tea</t>
    </r>
  </si>
  <si>
    <r>
      <t xml:space="preserve">Sign of roots on </t>
    </r>
    <r>
      <rPr>
        <sz val="11"/>
        <color rgb="FFFF0000"/>
        <rFont val="Calibri"/>
        <family val="2"/>
      </rPr>
      <t>red tea</t>
    </r>
  </si>
  <si>
    <r>
      <t xml:space="preserve">Sign of hole(s) on </t>
    </r>
    <r>
      <rPr>
        <sz val="11"/>
        <color rgb="FF008000"/>
        <rFont val="Calibri"/>
        <family val="2"/>
      </rPr>
      <t>green tea</t>
    </r>
  </si>
  <si>
    <r>
      <t xml:space="preserve">Sign of roots on </t>
    </r>
    <r>
      <rPr>
        <sz val="11"/>
        <color rgb="FF008000"/>
        <rFont val="Calibri"/>
        <family val="2"/>
      </rPr>
      <t>green tea</t>
    </r>
  </si>
  <si>
    <t>NOTE: USING UNASHED WEIGHTS</t>
  </si>
  <si>
    <r>
      <rPr>
        <sz val="11"/>
        <rFont val="Calibri"/>
        <family val="2"/>
      </rPr>
      <t xml:space="preserve">Ashed subsample percentage controll initiall </t>
    </r>
    <r>
      <rPr>
        <sz val="11"/>
        <color rgb="FFFF0000"/>
        <rFont val="Calibri"/>
        <family val="2"/>
      </rPr>
      <t>red tea</t>
    </r>
    <r>
      <rPr>
        <sz val="11"/>
        <color indexed="8"/>
        <rFont val="Calibri"/>
        <family val="2"/>
      </rPr>
      <t xml:space="preserve"> tea only (Avarage)</t>
    </r>
  </si>
  <si>
    <t>Sign of termite cheeting on green tea</t>
  </si>
  <si>
    <t>Sign of termite cheeting on red tea</t>
  </si>
  <si>
    <t>Duplicate check formula</t>
  </si>
  <si>
    <t>GREEN</t>
  </si>
  <si>
    <t>RED</t>
  </si>
  <si>
    <t>Duplicate check formula (Remeber to check for "Search in values"</t>
  </si>
  <si>
    <t>TBI WET</t>
  </si>
  <si>
    <t>TBI DRY (This datalist is created from the TBI data sheet which in turn is created from "Final_data_for_R_Wet/dry" which in turn are made from the collection_placement sheet.)</t>
  </si>
  <si>
    <t>BOTH TEABAGS AFTERWET</t>
  </si>
  <si>
    <t>BOTH TEABAGS AFTERDRY</t>
  </si>
  <si>
    <t>Green_Rooibos initial weight</t>
  </si>
  <si>
    <t>R841</t>
  </si>
  <si>
    <t>STATUS: 0</t>
  </si>
  <si>
    <t>UPDATED 22.11.18</t>
  </si>
  <si>
    <t>STATUS: 1</t>
  </si>
  <si>
    <t>STATUS: 1 (and 2x NA)</t>
  </si>
  <si>
    <t>STATUS: 1 (and 1 ?)</t>
  </si>
  <si>
    <t>STATUS: 2</t>
  </si>
  <si>
    <t>Wet_Collection_placement</t>
  </si>
  <si>
    <t>Dry_Collection_placement</t>
  </si>
  <si>
    <t>STATUS: 4</t>
  </si>
  <si>
    <t>Ashed dry</t>
  </si>
  <si>
    <t>Ashed wet</t>
  </si>
  <si>
    <t>STATUS: 6</t>
  </si>
  <si>
    <t>After collected bags: two bags had the same number… So they are called R54a and R54b. Need to find out which of them is the real R54 and what the other one is.</t>
  </si>
  <si>
    <t>Afterwet</t>
  </si>
  <si>
    <t>Ashedwet</t>
  </si>
  <si>
    <t>Checking if all bags has been recorded in both: after wet and Ashed wet</t>
  </si>
  <si>
    <t>Duplikat? (1=ja)</t>
  </si>
  <si>
    <t>Betyr at koden er riktig iforhold til collection sheet.</t>
  </si>
  <si>
    <t>Comment: SANN er det bra. Hvis USANN betyr at det mangler i ett av datasettene.</t>
  </si>
  <si>
    <t>Green open</t>
  </si>
  <si>
    <t>Green excl.</t>
  </si>
  <si>
    <t>Red open</t>
  </si>
  <si>
    <t>Red excl.</t>
  </si>
  <si>
    <t>Plot nr corrected according to collecion sheet</t>
  </si>
  <si>
    <t>Corrected plot nr acording to placementcollcetion sheet</t>
  </si>
  <si>
    <t>Plot nr G</t>
  </si>
  <si>
    <t>Plot nr R</t>
  </si>
  <si>
    <t>Plot nr Gex</t>
  </si>
  <si>
    <t>Plot nr Rex</t>
  </si>
  <si>
    <t>Plot GREEN</t>
  </si>
  <si>
    <t>Plot RED</t>
  </si>
  <si>
    <t>From collectionsheet</t>
  </si>
  <si>
    <t>&lt;--Same code in both campaign?--&gt;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</si>
</sst>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809]dd\ mmmm\ yyyy;@"/>
    <numFmt numFmtId="166" formatCode="0.0000"/>
    <numFmt numFmtId="167" formatCode="dd/mm/yyyy;@"/>
    <numFmt numFmtId="168" formatCode="[$-409]d\-mmm\-yy;@"/>
    <numFmt numFmtId="169" formatCode="0.0"/>
  </numFmts>
  <fonts count="64">
    <font>
      <sz val="11"/>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sz val="11"/>
      <color indexed="10"/>
      <name val="Calibri"/>
      <family val="2"/>
    </font>
    <font>
      <b/>
      <sz val="11"/>
      <color indexed="8"/>
      <name val="Calibri"/>
      <family val="2"/>
    </font>
    <font>
      <b/>
      <sz val="11"/>
      <name val="Calibri"/>
      <family val="2"/>
    </font>
    <font>
      <sz val="11"/>
      <color indexed="17"/>
      <name val="Calibri"/>
      <family val="2"/>
    </font>
    <font>
      <b/>
      <sz val="11"/>
      <color theme="1"/>
      <name val="Calibri"/>
      <family val="2"/>
      <scheme val="minor"/>
    </font>
    <font>
      <sz val="11"/>
      <color theme="1"/>
      <name val="Calibri"/>
      <family val="2"/>
    </font>
    <font>
      <sz val="11"/>
      <color rgb="FF9C0006"/>
      <name val="Calibri"/>
      <family val="2"/>
      <scheme val="minor"/>
    </font>
    <font>
      <b/>
      <sz val="11"/>
      <color rgb="FF000000"/>
      <name val="Calibri"/>
      <family val="2"/>
      <scheme val="minor"/>
    </font>
    <font>
      <sz val="11"/>
      <color theme="5"/>
      <name val="Calibri"/>
      <family val="2"/>
      <scheme val="minor"/>
    </font>
    <font>
      <sz val="11"/>
      <name val="Calibri"/>
      <family val="2"/>
      <scheme val="minor"/>
    </font>
    <font>
      <b/>
      <sz val="11"/>
      <name val="Calibri"/>
      <family val="2"/>
      <scheme val="minor"/>
    </font>
    <font>
      <sz val="11"/>
      <color rgb="FFFF0000"/>
      <name val="Calibri"/>
      <family val="2"/>
    </font>
    <font>
      <sz val="9"/>
      <color indexed="81"/>
      <name val="Tahoma"/>
      <family val="2"/>
    </font>
    <font>
      <b/>
      <sz val="9"/>
      <color indexed="81"/>
      <name val="Tahoma"/>
      <family val="2"/>
    </font>
    <font>
      <sz val="11"/>
      <color rgb="FF9C5700"/>
      <name val="Calibri"/>
      <family val="2"/>
      <scheme val="minor"/>
    </font>
    <font>
      <sz val="11"/>
      <color rgb="FF3F3F76"/>
      <name val="Calibri"/>
      <family val="2"/>
      <scheme val="minor"/>
    </font>
    <font>
      <sz val="11"/>
      <color rgb="FF006100"/>
      <name val="Calibri"/>
      <family val="2"/>
      <scheme val="minor"/>
    </font>
    <font>
      <b/>
      <sz val="11"/>
      <color theme="5"/>
      <name val="Calibri"/>
      <family val="2"/>
      <scheme val="minor"/>
    </font>
    <font>
      <sz val="11"/>
      <color indexed="8"/>
      <name val="Calibri"/>
      <family val="2"/>
    </font>
    <font>
      <b/>
      <sz val="11"/>
      <color rgb="FF006100"/>
      <name val="Calibri"/>
      <family val="2"/>
      <scheme val="minor"/>
    </font>
    <font>
      <b/>
      <sz val="11"/>
      <color rgb="FFFF0000"/>
      <name val="Calibri"/>
      <family val="2"/>
    </font>
    <font>
      <sz val="11"/>
      <color theme="1"/>
      <name val="Calibri"/>
      <family val="2"/>
      <charset val="238"/>
      <scheme val="minor"/>
    </font>
    <font>
      <sz val="11"/>
      <color rgb="FF000000"/>
      <name val="Calibri"/>
      <family val="2"/>
      <scheme val="minor"/>
    </font>
    <font>
      <sz val="7"/>
      <color rgb="FF000000"/>
      <name val="Times New Roman"/>
      <family val="1"/>
    </font>
    <font>
      <sz val="10.5"/>
      <color rgb="FF000000"/>
      <name val="Calibri"/>
      <family val="2"/>
      <scheme val="minor"/>
    </font>
    <font>
      <sz val="28"/>
      <color theme="1"/>
      <name val="Calibri Light"/>
      <family val="2"/>
    </font>
    <font>
      <sz val="13"/>
      <color theme="1"/>
      <name val="Calibri (Body)"/>
    </font>
    <font>
      <sz val="11"/>
      <name val="Calibri (Body)"/>
    </font>
    <font>
      <sz val="11"/>
      <color theme="1"/>
      <name val="Calibri (Body)"/>
    </font>
    <font>
      <sz val="10"/>
      <name val="Arial"/>
      <family val="2"/>
    </font>
    <font>
      <b/>
      <sz val="11"/>
      <color rgb="FF3F3F3F"/>
      <name val="Calibri"/>
      <family val="2"/>
      <scheme val="minor"/>
    </font>
    <font>
      <b/>
      <sz val="11"/>
      <color rgb="FFC00000"/>
      <name val="Calibri"/>
      <family val="2"/>
    </font>
    <font>
      <sz val="11"/>
      <color indexed="8"/>
      <name val="Calibri"/>
      <family val="2"/>
      <scheme val="minor"/>
    </font>
    <font>
      <u/>
      <sz val="11"/>
      <color theme="10"/>
      <name val="Calibri"/>
      <family val="2"/>
    </font>
    <font>
      <b/>
      <sz val="16"/>
      <color rgb="FFC00000"/>
      <name val="Calibri"/>
      <family val="2"/>
    </font>
    <font>
      <sz val="16"/>
      <color rgb="FFC00000"/>
      <name val="Calibri"/>
      <family val="2"/>
    </font>
    <font>
      <sz val="11"/>
      <color rgb="FF000000"/>
      <name val="Calibri"/>
      <family val="2"/>
    </font>
    <font>
      <sz val="12"/>
      <color rgb="FFFF0000"/>
      <name val="Calibri"/>
      <family val="2"/>
    </font>
    <font>
      <sz val="8"/>
      <color rgb="FFFF0000"/>
      <name val="Calibri"/>
      <family val="2"/>
    </font>
    <font>
      <b/>
      <sz val="14"/>
      <color indexed="8"/>
      <name val="Calibri"/>
      <family val="2"/>
    </font>
    <font>
      <sz val="11"/>
      <color rgb="FF008000"/>
      <name val="Calibri"/>
      <family val="2"/>
    </font>
    <font>
      <sz val="11"/>
      <color rgb="FF00B050"/>
      <name val="Calibri"/>
      <family val="2"/>
    </font>
    <font>
      <sz val="11"/>
      <color theme="0"/>
      <name val="Calibri"/>
      <family val="2"/>
      <scheme val="minor"/>
    </font>
    <font>
      <b/>
      <sz val="20"/>
      <color rgb="FF9C0006"/>
      <name val="Calibri"/>
      <family val="2"/>
      <scheme val="minor"/>
    </font>
    <font>
      <sz val="9"/>
      <color indexed="81"/>
      <name val="Tahoma"/>
      <charset val="1"/>
    </font>
    <font>
      <b/>
      <sz val="9"/>
      <color indexed="81"/>
      <name val="Tahoma"/>
      <charset val="1"/>
    </font>
  </fonts>
  <fills count="23">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7" tint="0.79998168889431442"/>
        <bgColor indexed="64"/>
      </patternFill>
    </fill>
    <fill>
      <patternFill patternType="solid">
        <fgColor rgb="FFFF0000"/>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rgb="FFFFC7CE"/>
      </patternFill>
    </fill>
    <fill>
      <patternFill patternType="solid">
        <fgColor theme="0" tint="-4.9989318521683403E-2"/>
        <bgColor indexed="64"/>
      </patternFill>
    </fill>
    <fill>
      <patternFill patternType="solid">
        <fgColor rgb="FFFFEB9C"/>
      </patternFill>
    </fill>
    <fill>
      <patternFill patternType="solid">
        <fgColor rgb="FFFFCC99"/>
      </patternFill>
    </fill>
    <fill>
      <patternFill patternType="solid">
        <fgColor rgb="FFC6EFCE"/>
      </patternFill>
    </fill>
    <fill>
      <patternFill patternType="solid">
        <fgColor theme="5" tint="0.79998168889431442"/>
        <bgColor indexed="64"/>
      </patternFill>
    </fill>
    <fill>
      <patternFill patternType="solid">
        <fgColor theme="0"/>
        <bgColor indexed="64"/>
      </patternFill>
    </fill>
    <fill>
      <patternFill patternType="solid">
        <fgColor rgb="FFF2F2F2"/>
      </patternFill>
    </fill>
    <fill>
      <patternFill patternType="solid">
        <fgColor theme="9" tint="0.59999389629810485"/>
        <bgColor indexed="64"/>
      </patternFill>
    </fill>
    <fill>
      <patternFill patternType="solid">
        <fgColor rgb="FF92D050"/>
        <bgColor indexed="64"/>
      </patternFill>
    </fill>
    <fill>
      <patternFill patternType="solid">
        <fgColor theme="7" tint="0.39997558519241921"/>
        <bgColor indexed="64"/>
      </patternFill>
    </fill>
    <fill>
      <patternFill patternType="solid">
        <fgColor rgb="FFFFFFCC"/>
      </patternFill>
    </fill>
    <fill>
      <patternFill patternType="solid">
        <fgColor theme="7" tint="0.79998168889431442"/>
        <bgColor indexed="65"/>
      </patternFill>
    </fill>
    <fill>
      <patternFill patternType="solid">
        <fgColor theme="8" tint="0.79998168889431442"/>
        <bgColor indexed="64"/>
      </patternFill>
    </fill>
    <fill>
      <patternFill patternType="solid">
        <fgColor theme="7"/>
      </patternFill>
    </fill>
  </fills>
  <borders count="43">
    <border>
      <left/>
      <right/>
      <top/>
      <bottom/>
      <diagonal/>
    </border>
    <border>
      <left style="thin">
        <color auto="1"/>
      </left>
      <right style="thin">
        <color auto="1"/>
      </right>
      <top style="medium">
        <color auto="1"/>
      </top>
      <bottom style="medium">
        <color auto="1"/>
      </bottom>
      <diagonal/>
    </border>
    <border>
      <left/>
      <right style="thin">
        <color auto="1"/>
      </right>
      <top style="medium">
        <color auto="1"/>
      </top>
      <bottom style="medium">
        <color auto="1"/>
      </bottom>
      <diagonal/>
    </border>
    <border>
      <left style="medium">
        <color auto="1"/>
      </left>
      <right/>
      <top style="medium">
        <color auto="1"/>
      </top>
      <bottom style="medium">
        <color auto="1"/>
      </bottom>
      <diagonal/>
    </border>
    <border>
      <left/>
      <right/>
      <top/>
      <bottom style="medium">
        <color auto="1"/>
      </bottom>
      <diagonal/>
    </border>
    <border>
      <left/>
      <right/>
      <top style="medium">
        <color auto="1"/>
      </top>
      <bottom/>
      <diagonal/>
    </border>
    <border>
      <left style="medium">
        <color auto="1"/>
      </left>
      <right/>
      <top style="medium">
        <color auto="1"/>
      </top>
      <bottom/>
      <diagonal/>
    </border>
    <border>
      <left/>
      <right/>
      <top style="medium">
        <color auto="1"/>
      </top>
      <bottom style="medium">
        <color auto="1"/>
      </bottom>
      <diagonal/>
    </border>
    <border>
      <left style="medium">
        <color auto="1"/>
      </left>
      <right/>
      <top/>
      <bottom/>
      <diagonal/>
    </border>
    <border>
      <left style="medium">
        <color auto="1"/>
      </left>
      <right/>
      <top/>
      <bottom style="medium">
        <color auto="1"/>
      </bottom>
      <diagonal/>
    </border>
    <border>
      <left/>
      <right style="medium">
        <color auto="1"/>
      </right>
      <top/>
      <bottom/>
      <diagonal/>
    </border>
    <border>
      <left/>
      <right style="medium">
        <color auto="1"/>
      </right>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bottom style="medium">
        <color indexed="64"/>
      </bottom>
      <diagonal/>
    </border>
    <border>
      <left/>
      <right style="thick">
        <color indexed="64"/>
      </right>
      <top/>
      <bottom/>
      <diagonal/>
    </border>
    <border>
      <left/>
      <right style="thick">
        <color indexed="64"/>
      </right>
      <top style="medium">
        <color auto="1"/>
      </top>
      <bottom style="medium">
        <color auto="1"/>
      </bottom>
      <diagonal/>
    </border>
    <border>
      <left/>
      <right style="thin">
        <color auto="1"/>
      </right>
      <top/>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bottom/>
      <diagonal/>
    </border>
    <border>
      <left style="thin">
        <color rgb="FF3F3F3F"/>
      </left>
      <right/>
      <top style="thin">
        <color rgb="FF3F3F3F"/>
      </top>
      <bottom style="thin">
        <color rgb="FF3F3F3F"/>
      </bottom>
      <diagonal/>
    </border>
    <border>
      <left/>
      <right/>
      <top style="thin">
        <color rgb="FF3F3F3F"/>
      </top>
      <bottom style="thin">
        <color rgb="FF3F3F3F"/>
      </bottom>
      <diagonal/>
    </border>
    <border>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style="medium">
        <color auto="1"/>
      </right>
      <top style="medium">
        <color auto="1"/>
      </top>
      <bottom/>
      <diagonal/>
    </border>
    <border>
      <left/>
      <right style="thin">
        <color rgb="FFB2B2B2"/>
      </right>
      <top style="thin">
        <color rgb="FFB2B2B2"/>
      </top>
      <bottom style="thin">
        <color rgb="FFB2B2B2"/>
      </bottom>
      <diagonal/>
    </border>
    <border>
      <left/>
      <right style="thin">
        <color indexed="64"/>
      </right>
      <top style="medium">
        <color auto="1"/>
      </top>
      <bottom/>
      <diagonal/>
    </border>
    <border>
      <left style="thin">
        <color auto="1"/>
      </left>
      <right/>
      <top style="medium">
        <color auto="1"/>
      </top>
      <bottom/>
      <diagonal/>
    </border>
    <border>
      <left/>
      <right style="thin">
        <color auto="1"/>
      </right>
      <top/>
      <bottom style="medium">
        <color indexed="64"/>
      </bottom>
      <diagonal/>
    </border>
    <border>
      <left style="thin">
        <color auto="1"/>
      </left>
      <right/>
      <top/>
      <bottom style="medium">
        <color auto="1"/>
      </bottom>
      <diagonal/>
    </border>
    <border>
      <left/>
      <right/>
      <top/>
      <bottom style="thin">
        <color auto="1"/>
      </bottom>
      <diagonal/>
    </border>
  </borders>
  <cellStyleXfs count="13">
    <xf numFmtId="0" fontId="0" fillId="0" borderId="0"/>
    <xf numFmtId="0" fontId="24" fillId="8" borderId="0" applyNumberFormat="0" applyBorder="0" applyAlignment="0" applyProtection="0"/>
    <xf numFmtId="0" fontId="16" fillId="0" borderId="0"/>
    <xf numFmtId="0" fontId="32" fillId="10" borderId="0" applyNumberFormat="0" applyBorder="0" applyAlignment="0" applyProtection="0"/>
    <xf numFmtId="0" fontId="33" fillId="11" borderId="25" applyNumberFormat="0" applyAlignment="0" applyProtection="0"/>
    <xf numFmtId="0" fontId="34" fillId="12" borderId="0" applyNumberFormat="0" applyBorder="0" applyAlignment="0" applyProtection="0"/>
    <xf numFmtId="0" fontId="39" fillId="0" borderId="0"/>
    <xf numFmtId="0" fontId="47" fillId="0" borderId="0"/>
    <xf numFmtId="0" fontId="48" fillId="15" borderId="30" applyNumberFormat="0" applyAlignment="0" applyProtection="0"/>
    <xf numFmtId="0" fontId="4" fillId="20" borderId="0" applyNumberFormat="0" applyBorder="0" applyAlignment="0" applyProtection="0"/>
    <xf numFmtId="0" fontId="51" fillId="0" borderId="0" applyNumberFormat="0" applyFill="0" applyBorder="0" applyAlignment="0" applyProtection="0"/>
    <xf numFmtId="0" fontId="4" fillId="19" borderId="35" applyNumberFormat="0" applyFont="0" applyAlignment="0" applyProtection="0"/>
    <xf numFmtId="0" fontId="60" fillId="22" borderId="0" applyNumberFormat="0" applyBorder="0" applyAlignment="0" applyProtection="0"/>
  </cellStyleXfs>
  <cellXfs count="447">
    <xf numFmtId="0" fontId="0" fillId="0" borderId="0" xfId="0"/>
    <xf numFmtId="0" fontId="0" fillId="0" borderId="0" xfId="0" applyFill="1"/>
    <xf numFmtId="0" fontId="17" fillId="0" borderId="0" xfId="0" applyFont="1" applyFill="1"/>
    <xf numFmtId="0" fontId="17" fillId="0" borderId="0" xfId="0" applyFont="1" applyFill="1" applyAlignment="1">
      <alignment wrapText="1"/>
    </xf>
    <xf numFmtId="166" fontId="17" fillId="0" borderId="0" xfId="0" applyNumberFormat="1" applyFont="1" applyFill="1"/>
    <xf numFmtId="166" fontId="0" fillId="0" borderId="0" xfId="0" applyNumberFormat="1"/>
    <xf numFmtId="166" fontId="17" fillId="0" borderId="0" xfId="0" applyNumberFormat="1" applyFont="1" applyFill="1" applyAlignment="1">
      <alignment wrapText="1"/>
    </xf>
    <xf numFmtId="0" fontId="19" fillId="0" borderId="1" xfId="0" applyFont="1" applyFill="1" applyBorder="1" applyAlignment="1">
      <alignment horizontal="center" vertical="center" wrapText="1"/>
    </xf>
    <xf numFmtId="165" fontId="0" fillId="0" borderId="1" xfId="0" applyNumberFormat="1"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0" xfId="0" applyFont="1" applyFill="1" applyBorder="1" applyAlignment="1">
      <alignment horizontal="center" vertical="center"/>
    </xf>
    <xf numFmtId="0" fontId="17" fillId="0" borderId="0" xfId="0" applyFont="1" applyFill="1" applyAlignment="1">
      <alignment horizontal="left"/>
    </xf>
    <xf numFmtId="167" fontId="0" fillId="0" borderId="1" xfId="0" applyNumberFormat="1" applyFont="1" applyFill="1" applyBorder="1" applyAlignment="1">
      <alignment horizontal="center" vertical="center" wrapText="1"/>
    </xf>
    <xf numFmtId="166" fontId="0" fillId="0" borderId="1" xfId="0" applyNumberFormat="1" applyFont="1" applyFill="1" applyBorder="1" applyAlignment="1">
      <alignment horizontal="center" vertical="center" wrapText="1"/>
    </xf>
    <xf numFmtId="0" fontId="0" fillId="0" borderId="2" xfId="0" applyFont="1" applyFill="1" applyBorder="1" applyAlignment="1">
      <alignment horizontal="center" vertical="center" wrapText="1"/>
    </xf>
    <xf numFmtId="0" fontId="0" fillId="0" borderId="3" xfId="0" applyFont="1" applyFill="1" applyBorder="1" applyAlignment="1">
      <alignment horizontal="center" vertical="center" wrapText="1"/>
    </xf>
    <xf numFmtId="14" fontId="0" fillId="0" borderId="0" xfId="0" applyNumberFormat="1"/>
    <xf numFmtId="1" fontId="0" fillId="0" borderId="0" xfId="0" applyNumberFormat="1"/>
    <xf numFmtId="0" fontId="0" fillId="2" borderId="0" xfId="0" applyFill="1"/>
    <xf numFmtId="14" fontId="0" fillId="2" borderId="0" xfId="0" applyNumberFormat="1" applyFill="1"/>
    <xf numFmtId="1" fontId="0" fillId="2" borderId="0" xfId="0" applyNumberFormat="1" applyFill="1"/>
    <xf numFmtId="0" fontId="23" fillId="3" borderId="0" xfId="0" applyFont="1" applyFill="1"/>
    <xf numFmtId="14" fontId="23" fillId="3" borderId="0" xfId="0" applyNumberFormat="1" applyFont="1" applyFill="1"/>
    <xf numFmtId="1" fontId="23" fillId="3" borderId="0" xfId="0" applyNumberFormat="1" applyFont="1" applyFill="1"/>
    <xf numFmtId="0" fontId="0" fillId="3" borderId="0" xfId="0" applyFill="1"/>
    <xf numFmtId="1" fontId="0" fillId="3" borderId="0" xfId="0" applyNumberFormat="1" applyFill="1"/>
    <xf numFmtId="0" fontId="20" fillId="0" borderId="0" xfId="0" applyFont="1" applyFill="1" applyBorder="1"/>
    <xf numFmtId="0" fontId="17" fillId="0" borderId="0" xfId="0" applyFont="1" applyFill="1" applyBorder="1" applyAlignment="1">
      <alignment horizontal="left" wrapText="1"/>
    </xf>
    <xf numFmtId="0" fontId="17" fillId="0" borderId="4" xfId="0" applyFont="1" applyFill="1" applyBorder="1" applyAlignment="1">
      <alignment horizontal="left" wrapText="1"/>
    </xf>
    <xf numFmtId="0" fontId="17" fillId="0" borderId="5" xfId="0" applyFont="1" applyFill="1" applyBorder="1" applyAlignment="1">
      <alignment horizontal="left" wrapText="1"/>
    </xf>
    <xf numFmtId="0" fontId="0" fillId="0" borderId="0" xfId="0" applyAlignment="1">
      <alignment horizontal="left"/>
    </xf>
    <xf numFmtId="166" fontId="0" fillId="0" borderId="0" xfId="0" applyNumberFormat="1" applyAlignment="1">
      <alignment horizontal="left"/>
    </xf>
    <xf numFmtId="0" fontId="17" fillId="0" borderId="0" xfId="0" applyFont="1" applyFill="1" applyAlignment="1">
      <alignment horizontal="left" wrapText="1"/>
    </xf>
    <xf numFmtId="166" fontId="17" fillId="0" borderId="0" xfId="0" applyNumberFormat="1" applyFont="1" applyFill="1" applyAlignment="1">
      <alignment horizontal="left" wrapText="1"/>
    </xf>
    <xf numFmtId="166" fontId="17" fillId="0" borderId="0" xfId="0" applyNumberFormat="1" applyFont="1" applyFill="1" applyAlignment="1">
      <alignment horizontal="left"/>
    </xf>
    <xf numFmtId="0" fontId="20" fillId="0" borderId="6" xfId="0" applyFont="1" applyFill="1" applyBorder="1" applyAlignment="1">
      <alignment horizontal="left"/>
    </xf>
    <xf numFmtId="166" fontId="0" fillId="0" borderId="0" xfId="0" applyNumberFormat="1" applyAlignment="1">
      <alignment horizontal="left" wrapText="1"/>
    </xf>
    <xf numFmtId="0" fontId="0" fillId="0" borderId="0" xfId="0" applyFill="1" applyBorder="1" applyAlignment="1">
      <alignment horizontal="left"/>
    </xf>
    <xf numFmtId="0" fontId="17" fillId="2" borderId="0" xfId="0" applyFont="1" applyFill="1"/>
    <xf numFmtId="14" fontId="17" fillId="2" borderId="0" xfId="0" applyNumberFormat="1" applyFont="1" applyFill="1"/>
    <xf numFmtId="1" fontId="17" fillId="2" borderId="0" xfId="0" applyNumberFormat="1" applyFont="1" applyFill="1"/>
    <xf numFmtId="0" fontId="23" fillId="3" borderId="0" xfId="0" applyFont="1" applyFill="1" applyAlignment="1">
      <alignment wrapText="1"/>
    </xf>
    <xf numFmtId="168" fontId="0" fillId="0" borderId="0" xfId="0" applyNumberFormat="1"/>
    <xf numFmtId="0" fontId="23" fillId="2" borderId="0" xfId="0" applyFont="1" applyFill="1"/>
    <xf numFmtId="14" fontId="23" fillId="2" borderId="0" xfId="0" applyNumberFormat="1" applyFont="1" applyFill="1"/>
    <xf numFmtId="1" fontId="23" fillId="2" borderId="0" xfId="0" applyNumberFormat="1" applyFont="1" applyFill="1"/>
    <xf numFmtId="0" fontId="23" fillId="2" borderId="0" xfId="0" applyFont="1" applyFill="1" applyAlignment="1">
      <alignment wrapText="1"/>
    </xf>
    <xf numFmtId="0" fontId="0" fillId="2" borderId="0" xfId="0" applyFill="1" applyAlignment="1">
      <alignment wrapText="1"/>
    </xf>
    <xf numFmtId="0" fontId="0" fillId="2" borderId="0" xfId="0" applyFill="1" applyAlignment="1">
      <alignment horizontal="left"/>
    </xf>
    <xf numFmtId="0" fontId="0" fillId="2" borderId="0" xfId="0" applyFill="1" applyAlignment="1">
      <alignment horizontal="left" wrapText="1"/>
    </xf>
    <xf numFmtId="0" fontId="17" fillId="4" borderId="0" xfId="0" applyFont="1" applyFill="1" applyBorder="1" applyAlignment="1">
      <alignment horizontal="left"/>
    </xf>
    <xf numFmtId="0" fontId="0" fillId="0" borderId="0" xfId="0" applyAlignment="1">
      <alignment horizontal="left" vertical="center" indent="1"/>
    </xf>
    <xf numFmtId="166" fontId="17" fillId="0" borderId="7" xfId="0" applyNumberFormat="1" applyFont="1" applyFill="1" applyBorder="1" applyAlignment="1">
      <alignment wrapText="1"/>
    </xf>
    <xf numFmtId="0" fontId="0" fillId="3" borderId="0" xfId="0" applyFill="1" applyAlignment="1">
      <alignment horizontal="left" wrapText="1"/>
    </xf>
    <xf numFmtId="0" fontId="0" fillId="3" borderId="0" xfId="0" applyFill="1" applyAlignment="1">
      <alignment horizontal="left"/>
    </xf>
    <xf numFmtId="0" fontId="0" fillId="5" borderId="0" xfId="0" applyFill="1"/>
    <xf numFmtId="1" fontId="0" fillId="5" borderId="0" xfId="0" applyNumberFormat="1" applyFill="1"/>
    <xf numFmtId="14" fontId="0" fillId="5" borderId="0" xfId="0" applyNumberFormat="1" applyFill="1"/>
    <xf numFmtId="0" fontId="0" fillId="0" borderId="0" xfId="0" applyFill="1" applyAlignment="1">
      <alignment horizontal="left" vertical="center" indent="1"/>
    </xf>
    <xf numFmtId="14" fontId="0" fillId="2" borderId="0" xfId="0" applyNumberFormat="1" applyFill="1" applyBorder="1"/>
    <xf numFmtId="0" fontId="20" fillId="0" borderId="5" xfId="0" applyFont="1" applyFill="1" applyBorder="1"/>
    <xf numFmtId="0" fontId="17" fillId="0" borderId="0" xfId="0" applyFont="1" applyFill="1" applyBorder="1"/>
    <xf numFmtId="0" fontId="17" fillId="0" borderId="4" xfId="0" applyFont="1" applyFill="1" applyBorder="1"/>
    <xf numFmtId="0" fontId="17" fillId="2" borderId="0" xfId="0" applyFont="1" applyFill="1" applyAlignment="1">
      <alignment wrapText="1"/>
    </xf>
    <xf numFmtId="0" fontId="17" fillId="0" borderId="8" xfId="0" applyFont="1" applyFill="1" applyBorder="1" applyAlignment="1">
      <alignment horizontal="left"/>
    </xf>
    <xf numFmtId="0" fontId="17" fillId="0" borderId="0" xfId="0" applyFont="1" applyFill="1" applyBorder="1" applyAlignment="1">
      <alignment horizontal="left"/>
    </xf>
    <xf numFmtId="0" fontId="17" fillId="0" borderId="6" xfId="0" applyFont="1" applyFill="1" applyBorder="1" applyAlignment="1">
      <alignment horizontal="left"/>
    </xf>
    <xf numFmtId="0" fontId="17" fillId="0" borderId="5" xfId="0" applyFont="1" applyFill="1" applyBorder="1" applyAlignment="1">
      <alignment horizontal="left"/>
    </xf>
    <xf numFmtId="0" fontId="17" fillId="0" borderId="9" xfId="0" applyFont="1" applyFill="1" applyBorder="1" applyAlignment="1">
      <alignment horizontal="left"/>
    </xf>
    <xf numFmtId="0" fontId="17" fillId="0" borderId="4" xfId="0" applyFont="1" applyFill="1" applyBorder="1" applyAlignment="1">
      <alignment horizontal="left"/>
    </xf>
    <xf numFmtId="0" fontId="0" fillId="0" borderId="2" xfId="0" applyFont="1" applyFill="1" applyBorder="1" applyAlignment="1" applyProtection="1">
      <alignment horizontal="center" vertical="center" wrapText="1"/>
    </xf>
    <xf numFmtId="0" fontId="17" fillId="0" borderId="8" xfId="0" applyFont="1" applyFill="1" applyBorder="1" applyAlignment="1" applyProtection="1">
      <alignment horizontal="left"/>
      <protection locked="0"/>
    </xf>
    <xf numFmtId="0" fontId="17" fillId="6" borderId="3" xfId="0" applyFont="1" applyFill="1" applyBorder="1" applyProtection="1">
      <protection locked="0"/>
    </xf>
    <xf numFmtId="0" fontId="17" fillId="6" borderId="7" xfId="0" applyFont="1" applyFill="1" applyBorder="1" applyProtection="1">
      <protection locked="0"/>
    </xf>
    <xf numFmtId="0" fontId="17" fillId="6" borderId="12" xfId="0" applyFont="1" applyFill="1" applyBorder="1" applyProtection="1">
      <protection locked="0"/>
    </xf>
    <xf numFmtId="167" fontId="17" fillId="6" borderId="7" xfId="0" applyNumberFormat="1" applyFont="1" applyFill="1" applyBorder="1" applyProtection="1">
      <protection locked="0"/>
    </xf>
    <xf numFmtId="166" fontId="17" fillId="6" borderId="7" xfId="0" applyNumberFormat="1" applyFont="1" applyFill="1" applyBorder="1" applyProtection="1">
      <protection locked="0"/>
    </xf>
    <xf numFmtId="0" fontId="0" fillId="4" borderId="0" xfId="0" applyFill="1" applyAlignment="1">
      <alignment horizontal="left"/>
    </xf>
    <xf numFmtId="0" fontId="0" fillId="7" borderId="0" xfId="0" applyFill="1" applyAlignment="1">
      <alignment horizontal="left"/>
    </xf>
    <xf numFmtId="0" fontId="0" fillId="0" borderId="0" xfId="0" applyFill="1" applyAlignment="1">
      <alignment horizontal="left"/>
    </xf>
    <xf numFmtId="0" fontId="19" fillId="0" borderId="0" xfId="0" applyFont="1" applyAlignment="1">
      <alignment horizontal="left"/>
    </xf>
    <xf numFmtId="0" fontId="20" fillId="0" borderId="0" xfId="0" applyFont="1" applyFill="1" applyAlignment="1">
      <alignment horizontal="left" wrapText="1"/>
    </xf>
    <xf numFmtId="0" fontId="20" fillId="0" borderId="3" xfId="0" applyFont="1" applyFill="1" applyBorder="1" applyAlignment="1">
      <alignment horizontal="left"/>
    </xf>
    <xf numFmtId="0" fontId="17" fillId="0" borderId="7" xfId="0" applyFont="1" applyFill="1" applyBorder="1" applyAlignment="1">
      <alignment horizontal="left"/>
    </xf>
    <xf numFmtId="0" fontId="17" fillId="0" borderId="12" xfId="0" applyFont="1" applyFill="1" applyBorder="1" applyAlignment="1">
      <alignment horizontal="left"/>
    </xf>
    <xf numFmtId="0" fontId="17" fillId="0" borderId="10" xfId="0" applyFont="1" applyFill="1" applyBorder="1"/>
    <xf numFmtId="164" fontId="17" fillId="0" borderId="10" xfId="0" applyNumberFormat="1" applyFont="1" applyFill="1" applyBorder="1"/>
    <xf numFmtId="0" fontId="17" fillId="4" borderId="4" xfId="0" applyFont="1" applyFill="1" applyBorder="1" applyAlignment="1">
      <alignment horizontal="left"/>
    </xf>
    <xf numFmtId="0" fontId="20" fillId="0" borderId="0" xfId="0" applyFont="1" applyFill="1" applyAlignment="1">
      <alignment horizontal="left"/>
    </xf>
    <xf numFmtId="0" fontId="17" fillId="0" borderId="8" xfId="0" applyFont="1" applyFill="1" applyBorder="1"/>
    <xf numFmtId="0" fontId="0" fillId="0" borderId="0" xfId="0" applyFill="1" applyBorder="1"/>
    <xf numFmtId="0" fontId="0" fillId="0" borderId="8" xfId="0" applyBorder="1"/>
    <xf numFmtId="0" fontId="0" fillId="0" borderId="0" xfId="0" applyBorder="1"/>
    <xf numFmtId="0" fontId="20" fillId="0" borderId="8" xfId="0" applyFont="1" applyFill="1" applyBorder="1"/>
    <xf numFmtId="0" fontId="17" fillId="0" borderId="7" xfId="0" applyFont="1" applyFill="1" applyBorder="1"/>
    <xf numFmtId="0" fontId="17" fillId="0" borderId="12" xfId="0" applyFont="1" applyFill="1" applyBorder="1"/>
    <xf numFmtId="0" fontId="20" fillId="0" borderId="9" xfId="0" applyFont="1" applyFill="1" applyBorder="1"/>
    <xf numFmtId="0" fontId="17" fillId="0" borderId="11" xfId="0" applyFont="1" applyFill="1" applyBorder="1"/>
    <xf numFmtId="0" fontId="0" fillId="0" borderId="3" xfId="0" applyBorder="1" applyAlignment="1">
      <alignment horizontal="left"/>
    </xf>
    <xf numFmtId="166" fontId="0" fillId="0" borderId="7" xfId="0" applyNumberFormat="1" applyBorder="1" applyAlignment="1">
      <alignment horizontal="left"/>
    </xf>
    <xf numFmtId="166" fontId="0" fillId="0" borderId="7" xfId="0" applyNumberFormat="1" applyBorder="1"/>
    <xf numFmtId="0" fontId="0" fillId="0" borderId="0" xfId="0" applyFont="1" applyFill="1" applyBorder="1" applyAlignment="1">
      <alignment horizontal="left" vertical="center" wrapText="1"/>
    </xf>
    <xf numFmtId="167" fontId="0" fillId="0" borderId="0" xfId="0" applyNumberFormat="1" applyFont="1" applyFill="1" applyBorder="1" applyAlignment="1">
      <alignment horizontal="left" vertical="center" wrapText="1"/>
    </xf>
    <xf numFmtId="165" fontId="0" fillId="0" borderId="0" xfId="0" applyNumberFormat="1" applyFont="1" applyFill="1" applyBorder="1" applyAlignment="1">
      <alignment horizontal="left" vertical="center" wrapText="1"/>
    </xf>
    <xf numFmtId="166" fontId="0" fillId="0" borderId="0" xfId="0" applyNumberFormat="1" applyFont="1" applyFill="1" applyBorder="1" applyAlignment="1">
      <alignment horizontal="left" vertical="center" wrapText="1"/>
    </xf>
    <xf numFmtId="0" fontId="17" fillId="3" borderId="0" xfId="0" applyFont="1" applyFill="1"/>
    <xf numFmtId="14" fontId="17" fillId="3" borderId="0" xfId="0" applyNumberFormat="1" applyFont="1" applyFill="1"/>
    <xf numFmtId="1" fontId="17" fillId="3" borderId="0" xfId="0" applyNumberFormat="1" applyFont="1" applyFill="1"/>
    <xf numFmtId="14" fontId="0" fillId="3" borderId="0" xfId="0" applyNumberFormat="1" applyFill="1"/>
    <xf numFmtId="0" fontId="0" fillId="0" borderId="7" xfId="0" applyFont="1" applyFill="1" applyBorder="1" applyAlignment="1" applyProtection="1">
      <alignment horizontal="center" vertical="center" wrapText="1"/>
    </xf>
    <xf numFmtId="0" fontId="16" fillId="0" borderId="0" xfId="2"/>
    <xf numFmtId="0" fontId="22" fillId="0" borderId="0" xfId="2" applyFont="1"/>
    <xf numFmtId="14" fontId="16" fillId="0" borderId="0" xfId="2" applyNumberFormat="1"/>
    <xf numFmtId="0" fontId="24" fillId="8" borderId="0" xfId="1"/>
    <xf numFmtId="14" fontId="24" fillId="8" borderId="0" xfId="1" applyNumberFormat="1"/>
    <xf numFmtId="0" fontId="16" fillId="0" borderId="0" xfId="2" applyFont="1"/>
    <xf numFmtId="2" fontId="16" fillId="0" borderId="0" xfId="2" applyNumberFormat="1"/>
    <xf numFmtId="0" fontId="22" fillId="9" borderId="17" xfId="0" applyFont="1" applyFill="1" applyBorder="1"/>
    <xf numFmtId="0" fontId="22" fillId="9" borderId="17" xfId="0" applyFont="1" applyFill="1" applyBorder="1" applyAlignment="1">
      <alignment horizontal="center"/>
    </xf>
    <xf numFmtId="0" fontId="22" fillId="9" borderId="17" xfId="0" applyFont="1" applyFill="1" applyBorder="1" applyAlignment="1">
      <alignment horizontal="center" vertical="center"/>
    </xf>
    <xf numFmtId="0" fontId="25" fillId="9" borderId="17" xfId="0" applyFont="1" applyFill="1" applyBorder="1" applyAlignment="1">
      <alignment horizontal="center"/>
    </xf>
    <xf numFmtId="0" fontId="22" fillId="0" borderId="17" xfId="0" applyFont="1" applyBorder="1"/>
    <xf numFmtId="0" fontId="0" fillId="0" borderId="17" xfId="0" applyBorder="1" applyAlignment="1">
      <alignment horizontal="center" vertical="center"/>
    </xf>
    <xf numFmtId="0" fontId="0" fillId="0" borderId="17" xfId="0" applyBorder="1"/>
    <xf numFmtId="14" fontId="0" fillId="0" borderId="17" xfId="0" applyNumberFormat="1" applyBorder="1"/>
    <xf numFmtId="20" fontId="0" fillId="0" borderId="17" xfId="0" applyNumberFormat="1" applyBorder="1"/>
    <xf numFmtId="0" fontId="0" fillId="0" borderId="17" xfId="0" applyBorder="1" applyAlignment="1">
      <alignment horizontal="center"/>
    </xf>
    <xf numFmtId="0" fontId="0" fillId="0" borderId="17" xfId="0" applyNumberFormat="1" applyBorder="1"/>
    <xf numFmtId="2" fontId="0" fillId="0" borderId="17" xfId="0" applyNumberFormat="1" applyBorder="1"/>
    <xf numFmtId="0" fontId="27" fillId="0" borderId="17" xfId="0" applyFont="1" applyBorder="1"/>
    <xf numFmtId="0" fontId="0" fillId="0" borderId="17" xfId="0" applyBorder="1" applyAlignment="1">
      <alignment wrapText="1"/>
    </xf>
    <xf numFmtId="0" fontId="0" fillId="0" borderId="17" xfId="0" applyBorder="1" applyAlignment="1">
      <alignment horizontal="center" vertical="center" wrapText="1"/>
    </xf>
    <xf numFmtId="0" fontId="28" fillId="0" borderId="17" xfId="0" applyFont="1" applyBorder="1"/>
    <xf numFmtId="0" fontId="0" fillId="0" borderId="17" xfId="0" applyFill="1" applyBorder="1" applyAlignment="1">
      <alignment horizontal="center" vertical="center"/>
    </xf>
    <xf numFmtId="0" fontId="22" fillId="0" borderId="14" xfId="0" applyFont="1" applyBorder="1"/>
    <xf numFmtId="0" fontId="22" fillId="9" borderId="17" xfId="0" applyFont="1" applyFill="1" applyBorder="1" applyAlignment="1"/>
    <xf numFmtId="0" fontId="0" fillId="0" borderId="15" xfId="0" applyBorder="1" applyAlignment="1">
      <alignment horizontal="center" vertical="center"/>
    </xf>
    <xf numFmtId="0" fontId="0" fillId="0" borderId="16" xfId="0" applyBorder="1" applyAlignment="1">
      <alignment horizontal="center" vertical="center"/>
    </xf>
    <xf numFmtId="0" fontId="0" fillId="0" borderId="14" xfId="0" applyBorder="1"/>
    <xf numFmtId="0" fontId="0" fillId="0" borderId="16" xfId="0" applyBorder="1"/>
    <xf numFmtId="14" fontId="0" fillId="0" borderId="14" xfId="0" applyNumberFormat="1" applyBorder="1"/>
    <xf numFmtId="20" fontId="0" fillId="0" borderId="16" xfId="0" applyNumberFormat="1" applyBorder="1"/>
    <xf numFmtId="0" fontId="0" fillId="0" borderId="15" xfId="0" applyBorder="1"/>
    <xf numFmtId="0" fontId="27" fillId="0" borderId="17" xfId="0" applyFont="1" applyFill="1" applyBorder="1"/>
    <xf numFmtId="0" fontId="0" fillId="0" borderId="24" xfId="0" applyBorder="1"/>
    <xf numFmtId="0" fontId="0" fillId="0" borderId="17" xfId="0" applyFill="1" applyBorder="1"/>
    <xf numFmtId="0" fontId="0" fillId="0" borderId="18" xfId="0" applyBorder="1"/>
    <xf numFmtId="0" fontId="22" fillId="9" borderId="17" xfId="0" applyFont="1" applyFill="1" applyBorder="1" applyAlignment="1">
      <alignment vertical="center"/>
    </xf>
    <xf numFmtId="0" fontId="0" fillId="0" borderId="19" xfId="0" applyBorder="1" applyAlignment="1">
      <alignment horizontal="center"/>
    </xf>
    <xf numFmtId="0" fontId="0" fillId="0" borderId="20" xfId="0" applyBorder="1" applyAlignment="1">
      <alignment horizontal="center"/>
    </xf>
    <xf numFmtId="0" fontId="25" fillId="9" borderId="17" xfId="0" applyFont="1" applyFill="1" applyBorder="1" applyAlignment="1"/>
    <xf numFmtId="0" fontId="0" fillId="0" borderId="17" xfId="0" applyFill="1" applyBorder="1" applyAlignment="1">
      <alignment horizontal="center"/>
    </xf>
    <xf numFmtId="0" fontId="0" fillId="0" borderId="24" xfId="0" applyBorder="1" applyAlignment="1">
      <alignment horizontal="center"/>
    </xf>
    <xf numFmtId="0" fontId="0" fillId="0" borderId="23" xfId="0" applyBorder="1"/>
    <xf numFmtId="0" fontId="0" fillId="0" borderId="21" xfId="0" applyBorder="1"/>
    <xf numFmtId="0" fontId="25" fillId="9" borderId="17" xfId="0" applyFont="1" applyFill="1" applyBorder="1" applyAlignment="1">
      <alignment vertical="center"/>
    </xf>
    <xf numFmtId="0" fontId="0" fillId="0" borderId="22" xfId="0" applyBorder="1"/>
    <xf numFmtId="0" fontId="0" fillId="0" borderId="0" xfId="0" applyFill="1" applyBorder="1" applyAlignment="1">
      <alignment horizontal="center"/>
    </xf>
    <xf numFmtId="0" fontId="22" fillId="0" borderId="0" xfId="0" applyFont="1" applyBorder="1" applyAlignment="1">
      <alignment vertical="center"/>
    </xf>
    <xf numFmtId="0" fontId="27" fillId="0" borderId="24" xfId="0" applyFont="1" applyBorder="1"/>
    <xf numFmtId="0" fontId="0" fillId="0" borderId="18" xfId="0" applyFont="1" applyBorder="1" applyAlignment="1">
      <alignment horizontal="center"/>
    </xf>
    <xf numFmtId="0" fontId="0" fillId="0" borderId="18" xfId="0" applyNumberFormat="1" applyBorder="1"/>
    <xf numFmtId="0" fontId="0" fillId="0" borderId="23" xfId="0" applyBorder="1" applyAlignment="1">
      <alignment horizontal="center"/>
    </xf>
    <xf numFmtId="0" fontId="26" fillId="0" borderId="22" xfId="0" applyFont="1" applyBorder="1"/>
    <xf numFmtId="0" fontId="0" fillId="0" borderId="24" xfId="0" applyFill="1" applyBorder="1"/>
    <xf numFmtId="0" fontId="24" fillId="8" borderId="17" xfId="1" applyBorder="1"/>
    <xf numFmtId="0" fontId="19" fillId="0" borderId="0" xfId="0" applyFont="1"/>
    <xf numFmtId="0" fontId="15" fillId="0" borderId="0" xfId="2" applyFont="1"/>
    <xf numFmtId="0" fontId="14" fillId="0" borderId="0" xfId="2" applyFont="1"/>
    <xf numFmtId="0" fontId="32" fillId="10" borderId="17" xfId="3" applyBorder="1"/>
    <xf numFmtId="0" fontId="32" fillId="10" borderId="17" xfId="3" applyBorder="1" applyAlignment="1">
      <alignment horizontal="center" vertical="center"/>
    </xf>
    <xf numFmtId="14" fontId="32" fillId="10" borderId="17" xfId="3" applyNumberFormat="1" applyBorder="1"/>
    <xf numFmtId="0" fontId="32" fillId="10" borderId="17" xfId="3" applyBorder="1" applyAlignment="1">
      <alignment horizontal="center"/>
    </xf>
    <xf numFmtId="14" fontId="32" fillId="10" borderId="14" xfId="3" applyNumberFormat="1" applyBorder="1"/>
    <xf numFmtId="20" fontId="32" fillId="10" borderId="17" xfId="3" applyNumberFormat="1" applyBorder="1"/>
    <xf numFmtId="0" fontId="32" fillId="10" borderId="17" xfId="3" applyNumberFormat="1" applyBorder="1"/>
    <xf numFmtId="0" fontId="33" fillId="11" borderId="25" xfId="4"/>
    <xf numFmtId="14" fontId="33" fillId="11" borderId="25" xfId="4" applyNumberFormat="1"/>
    <xf numFmtId="0" fontId="34" fillId="12" borderId="17" xfId="5" applyBorder="1"/>
    <xf numFmtId="0" fontId="13" fillId="0" borderId="0" xfId="2" applyFont="1"/>
    <xf numFmtId="0" fontId="34" fillId="12" borderId="0" xfId="5"/>
    <xf numFmtId="0" fontId="32" fillId="10" borderId="0" xfId="3"/>
    <xf numFmtId="0" fontId="12" fillId="0" borderId="0" xfId="2" applyFont="1"/>
    <xf numFmtId="0" fontId="11" fillId="0" borderId="17" xfId="0" applyFont="1" applyBorder="1"/>
    <xf numFmtId="0" fontId="11" fillId="0" borderId="0" xfId="2" applyFont="1"/>
    <xf numFmtId="0" fontId="0" fillId="0" borderId="17" xfId="0" applyBorder="1" applyAlignment="1">
      <alignment horizontal="left" vertical="center"/>
    </xf>
    <xf numFmtId="0" fontId="35" fillId="0" borderId="17" xfId="0" applyFont="1" applyBorder="1"/>
    <xf numFmtId="0" fontId="0" fillId="0" borderId="17" xfId="0" applyBorder="1" applyAlignment="1">
      <alignment horizontal="left" vertical="center" wrapText="1"/>
    </xf>
    <xf numFmtId="0" fontId="0" fillId="9" borderId="17" xfId="0" applyFont="1" applyFill="1" applyBorder="1"/>
    <xf numFmtId="0" fontId="22" fillId="0" borderId="17" xfId="0" applyFont="1" applyBorder="1" applyAlignment="1">
      <alignment horizontal="left"/>
    </xf>
    <xf numFmtId="0" fontId="0" fillId="0" borderId="17" xfId="0" applyFill="1" applyBorder="1" applyAlignment="1">
      <alignment horizontal="left" vertical="center"/>
    </xf>
    <xf numFmtId="49" fontId="0" fillId="0" borderId="17" xfId="0" applyNumberFormat="1" applyFill="1" applyBorder="1" applyAlignment="1">
      <alignment horizontal="center" vertical="center"/>
    </xf>
    <xf numFmtId="0" fontId="0" fillId="0" borderId="17" xfId="0" applyFont="1" applyBorder="1"/>
    <xf numFmtId="0" fontId="22" fillId="9" borderId="17" xfId="0" applyFont="1" applyFill="1" applyBorder="1" applyAlignment="1">
      <alignment horizontal="left" vertical="top"/>
    </xf>
    <xf numFmtId="0" fontId="0" fillId="0" borderId="17" xfId="0" applyBorder="1" applyAlignment="1">
      <alignment horizontal="right"/>
    </xf>
    <xf numFmtId="164" fontId="0" fillId="0" borderId="0" xfId="0" applyNumberFormat="1"/>
    <xf numFmtId="0" fontId="37" fillId="12" borderId="0" xfId="5" applyFont="1"/>
    <xf numFmtId="0" fontId="39" fillId="0" borderId="0" xfId="6"/>
    <xf numFmtId="0" fontId="36" fillId="0" borderId="0" xfId="6" applyFont="1"/>
    <xf numFmtId="0" fontId="9" fillId="0" borderId="0" xfId="6" applyFont="1"/>
    <xf numFmtId="0" fontId="19" fillId="0" borderId="0" xfId="6" applyFont="1"/>
    <xf numFmtId="0" fontId="39" fillId="0" borderId="0" xfId="6" applyFill="1"/>
    <xf numFmtId="0" fontId="39" fillId="0" borderId="0" xfId="6" applyFont="1" applyFill="1"/>
    <xf numFmtId="22" fontId="39" fillId="0" borderId="0" xfId="6" applyNumberFormat="1" applyFill="1"/>
    <xf numFmtId="14" fontId="39" fillId="0" borderId="0" xfId="6" applyNumberFormat="1"/>
    <xf numFmtId="14" fontId="39" fillId="0" borderId="0" xfId="6" applyNumberFormat="1" applyFill="1"/>
    <xf numFmtId="0" fontId="39" fillId="0" borderId="0" xfId="6" applyFont="1"/>
    <xf numFmtId="22" fontId="39" fillId="0" borderId="0" xfId="6" applyNumberFormat="1"/>
    <xf numFmtId="0" fontId="39" fillId="0" borderId="0" xfId="6" applyFont="1" applyAlignment="1">
      <alignment wrapText="1"/>
    </xf>
    <xf numFmtId="0" fontId="39" fillId="13" borderId="0" xfId="6" applyFill="1" applyAlignment="1">
      <alignment horizontal="center"/>
    </xf>
    <xf numFmtId="0" fontId="28" fillId="14" borderId="23" xfId="6" applyFont="1" applyFill="1" applyBorder="1" applyAlignment="1">
      <alignment horizontal="center" wrapText="1"/>
    </xf>
    <xf numFmtId="0" fontId="28" fillId="14" borderId="17" xfId="6" applyFont="1" applyFill="1" applyBorder="1" applyAlignment="1">
      <alignment horizontal="center" wrapText="1"/>
    </xf>
    <xf numFmtId="0" fontId="22" fillId="0" borderId="0" xfId="6" applyFont="1"/>
    <xf numFmtId="0" fontId="39" fillId="0" borderId="0" xfId="6" applyAlignment="1">
      <alignment horizontal="center"/>
    </xf>
    <xf numFmtId="0" fontId="40" fillId="0" borderId="11" xfId="6" applyFont="1" applyBorder="1" applyAlignment="1">
      <alignment vertical="center" wrapText="1"/>
    </xf>
    <xf numFmtId="14" fontId="40" fillId="0" borderId="11" xfId="6" applyNumberFormat="1" applyFont="1" applyBorder="1" applyAlignment="1">
      <alignment vertical="center" wrapText="1"/>
    </xf>
    <xf numFmtId="0" fontId="40" fillId="0" borderId="26" xfId="6" applyFont="1" applyBorder="1" applyAlignment="1">
      <alignment vertical="center" wrapText="1"/>
    </xf>
    <xf numFmtId="0" fontId="40" fillId="0" borderId="12" xfId="6" applyFont="1" applyBorder="1" applyAlignment="1">
      <alignment vertical="center" wrapText="1"/>
    </xf>
    <xf numFmtId="0" fontId="40" fillId="0" borderId="13" xfId="6" applyFont="1" applyBorder="1" applyAlignment="1">
      <alignment vertical="center" wrapText="1"/>
    </xf>
    <xf numFmtId="0" fontId="40" fillId="0" borderId="0" xfId="6" applyFont="1" applyAlignment="1">
      <alignment horizontal="left" vertical="center" indent="5"/>
    </xf>
    <xf numFmtId="0" fontId="40" fillId="0" borderId="0" xfId="6" applyFont="1" applyAlignment="1">
      <alignment vertical="center"/>
    </xf>
    <xf numFmtId="0" fontId="43" fillId="0" borderId="0" xfId="6" applyFont="1" applyAlignment="1">
      <alignment vertical="center"/>
    </xf>
    <xf numFmtId="0" fontId="8" fillId="0" borderId="0" xfId="2" applyFont="1"/>
    <xf numFmtId="0" fontId="0" fillId="0" borderId="0" xfId="0" applyAlignment="1"/>
    <xf numFmtId="0" fontId="0" fillId="0" borderId="27" xfId="0" applyBorder="1" applyAlignment="1"/>
    <xf numFmtId="164" fontId="0" fillId="0" borderId="0" xfId="0" applyNumberFormat="1" applyAlignment="1"/>
    <xf numFmtId="14" fontId="0" fillId="0" borderId="0" xfId="0" applyNumberFormat="1" applyAlignment="1"/>
    <xf numFmtId="1" fontId="0" fillId="0" borderId="0" xfId="0" applyNumberFormat="1" applyAlignment="1"/>
    <xf numFmtId="164" fontId="24" fillId="8" borderId="0" xfId="1" applyNumberFormat="1" applyAlignment="1"/>
    <xf numFmtId="0" fontId="44" fillId="0" borderId="0" xfId="0" applyFont="1" applyFill="1" applyBorder="1" applyAlignment="1">
      <alignment horizontal="center" vertical="center"/>
    </xf>
    <xf numFmtId="0" fontId="45" fillId="0" borderId="0" xfId="0" applyFont="1" applyFill="1" applyBorder="1" applyAlignment="1">
      <alignment horizontal="center" vertical="center"/>
    </xf>
    <xf numFmtId="2" fontId="45" fillId="0" borderId="0" xfId="0" quotePrefix="1" applyNumberFormat="1" applyFont="1" applyFill="1" applyBorder="1" applyAlignment="1">
      <alignment horizontal="left" vertical="center"/>
    </xf>
    <xf numFmtId="0" fontId="45" fillId="0" borderId="0" xfId="0" applyFont="1" applyFill="1" applyBorder="1" applyAlignment="1">
      <alignment horizontal="left"/>
    </xf>
    <xf numFmtId="0" fontId="46" fillId="0" borderId="0" xfId="0" applyFont="1" applyFill="1" applyBorder="1" applyAlignment="1">
      <alignment horizontal="center" vertical="center"/>
    </xf>
    <xf numFmtId="2" fontId="46" fillId="0" borderId="0" xfId="0" applyNumberFormat="1" applyFont="1" applyFill="1" applyBorder="1" applyAlignment="1">
      <alignment horizontal="center" vertical="center"/>
    </xf>
    <xf numFmtId="0" fontId="0" fillId="0" borderId="28" xfId="0" applyFont="1" applyFill="1" applyBorder="1" applyAlignment="1" applyProtection="1">
      <alignment horizontal="center" vertical="center" wrapText="1"/>
    </xf>
    <xf numFmtId="14" fontId="17" fillId="0" borderId="2" xfId="0" applyNumberFormat="1" applyFont="1" applyFill="1" applyBorder="1" applyAlignment="1" applyProtection="1">
      <alignment horizontal="center" vertical="center" wrapText="1"/>
    </xf>
    <xf numFmtId="14" fontId="0" fillId="0" borderId="2" xfId="0" applyNumberFormat="1" applyFont="1" applyFill="1" applyBorder="1" applyAlignment="1" applyProtection="1">
      <alignment horizontal="center" vertical="center" wrapText="1"/>
    </xf>
    <xf numFmtId="1" fontId="0" fillId="0" borderId="2" xfId="0" applyNumberFormat="1" applyFont="1" applyFill="1" applyBorder="1" applyAlignment="1" applyProtection="1">
      <alignment horizontal="center" vertical="center" wrapText="1"/>
    </xf>
    <xf numFmtId="1" fontId="0" fillId="0" borderId="29" xfId="0" applyNumberFormat="1" applyFont="1" applyFill="1" applyBorder="1" applyAlignment="1" applyProtection="1">
      <alignment horizontal="center" vertical="center" wrapText="1"/>
    </xf>
    <xf numFmtId="2" fontId="0" fillId="0" borderId="0" xfId="0" applyNumberFormat="1"/>
    <xf numFmtId="0" fontId="7" fillId="0" borderId="17" xfId="0" applyFont="1" applyBorder="1"/>
    <xf numFmtId="0" fontId="48" fillId="15" borderId="30" xfId="8" applyAlignment="1">
      <alignment horizontal="center" vertical="center"/>
    </xf>
    <xf numFmtId="0" fontId="48" fillId="15" borderId="30" xfId="8"/>
    <xf numFmtId="0" fontId="48" fillId="15" borderId="31" xfId="8" applyBorder="1" applyAlignment="1">
      <alignment horizontal="center" vertical="center"/>
    </xf>
    <xf numFmtId="49" fontId="0" fillId="0" borderId="29" xfId="0" applyNumberFormat="1" applyFont="1" applyFill="1" applyBorder="1" applyAlignment="1" applyProtection="1">
      <alignment horizontal="center" vertical="center" wrapText="1"/>
    </xf>
    <xf numFmtId="49" fontId="0" fillId="0" borderId="0" xfId="0" applyNumberFormat="1"/>
    <xf numFmtId="0" fontId="0" fillId="0" borderId="0" xfId="0" applyAlignment="1">
      <alignment horizontal="center" vertical="center"/>
    </xf>
    <xf numFmtId="14" fontId="0" fillId="0" borderId="0" xfId="0" applyNumberFormat="1" applyAlignment="1">
      <alignment horizontal="center" vertical="center"/>
    </xf>
    <xf numFmtId="166" fontId="0" fillId="0" borderId="0" xfId="0" applyNumberFormat="1" applyAlignment="1">
      <alignment horizontal="center" vertical="center"/>
    </xf>
    <xf numFmtId="0" fontId="22" fillId="9" borderId="0" xfId="0" applyFont="1" applyFill="1" applyBorder="1" applyAlignment="1">
      <alignment horizontal="left" vertical="top"/>
    </xf>
    <xf numFmtId="0" fontId="0" fillId="0" borderId="29" xfId="0" applyFont="1" applyFill="1" applyBorder="1" applyAlignment="1" applyProtection="1">
      <alignment horizontal="center" vertical="center" wrapText="1"/>
    </xf>
    <xf numFmtId="169" fontId="0" fillId="0" borderId="17" xfId="0" applyNumberFormat="1" applyBorder="1"/>
    <xf numFmtId="0" fontId="22" fillId="9" borderId="23" xfId="0" applyFont="1" applyFill="1" applyBorder="1" applyAlignment="1">
      <alignment horizontal="center"/>
    </xf>
    <xf numFmtId="0" fontId="0" fillId="0" borderId="0" xfId="0" applyAlignment="1">
      <alignment horizontal="left" vertical="center"/>
    </xf>
    <xf numFmtId="0" fontId="0" fillId="0" borderId="0" xfId="0" applyAlignment="1">
      <alignment horizontal="center"/>
    </xf>
    <xf numFmtId="0" fontId="49" fillId="0" borderId="0" xfId="0" applyFont="1"/>
    <xf numFmtId="0" fontId="0" fillId="6" borderId="2" xfId="0" applyFont="1" applyFill="1" applyBorder="1" applyAlignment="1" applyProtection="1">
      <alignment horizontal="center" vertical="center" wrapText="1"/>
    </xf>
    <xf numFmtId="0" fontId="0" fillId="6" borderId="0" xfId="0" applyFill="1" applyAlignment="1"/>
    <xf numFmtId="0" fontId="0" fillId="16" borderId="0" xfId="0" applyFill="1" applyAlignment="1"/>
    <xf numFmtId="2" fontId="27" fillId="0" borderId="0" xfId="0" quotePrefix="1" applyNumberFormat="1" applyFont="1" applyFill="1" applyBorder="1" applyAlignment="1">
      <alignment horizontal="left" vertical="center"/>
    </xf>
    <xf numFmtId="0" fontId="27" fillId="0" borderId="0" xfId="0" applyFont="1" applyFill="1" applyBorder="1" applyAlignment="1">
      <alignment horizontal="left"/>
    </xf>
    <xf numFmtId="0" fontId="50" fillId="16" borderId="0" xfId="0" applyFont="1" applyFill="1" applyAlignment="1"/>
    <xf numFmtId="0" fontId="50" fillId="0" borderId="0" xfId="0" applyFont="1" applyAlignment="1"/>
    <xf numFmtId="0" fontId="50" fillId="0" borderId="27" xfId="0" applyFont="1" applyBorder="1" applyAlignment="1"/>
    <xf numFmtId="0" fontId="50" fillId="4" borderId="0" xfId="0" applyFont="1" applyFill="1" applyAlignment="1"/>
    <xf numFmtId="0" fontId="50" fillId="17" borderId="0" xfId="0" applyFont="1" applyFill="1" applyAlignment="1"/>
    <xf numFmtId="164" fontId="50" fillId="0" borderId="0" xfId="0" applyNumberFormat="1" applyFont="1" applyAlignment="1"/>
    <xf numFmtId="14" fontId="50" fillId="0" borderId="0" xfId="0" applyNumberFormat="1" applyFont="1" applyAlignment="1"/>
    <xf numFmtId="1" fontId="50" fillId="0" borderId="0" xfId="0" applyNumberFormat="1" applyFont="1" applyAlignment="1"/>
    <xf numFmtId="0" fontId="50" fillId="0" borderId="0" xfId="0" applyFont="1"/>
    <xf numFmtId="2" fontId="50" fillId="0" borderId="0" xfId="0" applyNumberFormat="1" applyFont="1"/>
    <xf numFmtId="0" fontId="27" fillId="5" borderId="0" xfId="0" applyFont="1" applyFill="1" applyAlignment="1"/>
    <xf numFmtId="0" fontId="50" fillId="18" borderId="0" xfId="0" applyFont="1" applyFill="1" applyAlignment="1"/>
    <xf numFmtId="0" fontId="50" fillId="5" borderId="0" xfId="0" applyFont="1" applyFill="1" applyAlignment="1"/>
    <xf numFmtId="0" fontId="6" fillId="0" borderId="0" xfId="2" applyFont="1"/>
    <xf numFmtId="0" fontId="5" fillId="0" borderId="0" xfId="6" applyFont="1" applyAlignment="1">
      <alignment vertical="center"/>
    </xf>
    <xf numFmtId="2" fontId="0" fillId="0" borderId="2" xfId="0" applyNumberFormat="1" applyFont="1" applyFill="1" applyBorder="1" applyAlignment="1" applyProtection="1">
      <alignment horizontal="center" vertical="center" wrapText="1"/>
    </xf>
    <xf numFmtId="2" fontId="50" fillId="0" borderId="0" xfId="0" applyNumberFormat="1" applyFont="1" applyAlignment="1"/>
    <xf numFmtId="164" fontId="0" fillId="0" borderId="2" xfId="0" applyNumberFormat="1" applyFont="1" applyFill="1" applyBorder="1" applyAlignment="1" applyProtection="1">
      <alignment horizontal="center" vertical="center" wrapText="1"/>
    </xf>
    <xf numFmtId="2" fontId="39" fillId="0" borderId="0" xfId="6" applyNumberFormat="1" applyFill="1"/>
    <xf numFmtId="0" fontId="28" fillId="14" borderId="17" xfId="0" applyFont="1" applyFill="1" applyBorder="1" applyAlignment="1">
      <alignment horizontal="center" wrapText="1"/>
    </xf>
    <xf numFmtId="0" fontId="28" fillId="14" borderId="23" xfId="0" applyFont="1" applyFill="1" applyBorder="1" applyAlignment="1">
      <alignment horizontal="center" wrapText="1"/>
    </xf>
    <xf numFmtId="0" fontId="27" fillId="0" borderId="0" xfId="0" applyFont="1"/>
    <xf numFmtId="0" fontId="27" fillId="0" borderId="0" xfId="0" applyFont="1" applyFill="1"/>
    <xf numFmtId="2" fontId="27" fillId="0" borderId="0" xfId="0" applyNumberFormat="1" applyFont="1"/>
    <xf numFmtId="14" fontId="27" fillId="0" borderId="0" xfId="0" applyNumberFormat="1" applyFont="1"/>
    <xf numFmtId="2" fontId="27" fillId="0" borderId="0" xfId="0" applyNumberFormat="1" applyFont="1" applyFill="1"/>
    <xf numFmtId="166" fontId="27" fillId="0" borderId="0" xfId="0" applyNumberFormat="1" applyFont="1" applyFill="1"/>
    <xf numFmtId="0" fontId="0" fillId="0" borderId="0" xfId="0" applyProtection="1">
      <protection locked="0"/>
    </xf>
    <xf numFmtId="167" fontId="0" fillId="0" borderId="0" xfId="0" applyNumberFormat="1" applyProtection="1">
      <protection locked="0"/>
    </xf>
    <xf numFmtId="166" fontId="0" fillId="0" borderId="0" xfId="0" applyNumberFormat="1" applyProtection="1">
      <protection locked="0"/>
    </xf>
    <xf numFmtId="0" fontId="19" fillId="0" borderId="0" xfId="0" applyFont="1" applyProtection="1">
      <protection locked="0"/>
    </xf>
    <xf numFmtId="0" fontId="52" fillId="2" borderId="0" xfId="0" applyFont="1" applyFill="1" applyProtection="1">
      <protection locked="0"/>
    </xf>
    <xf numFmtId="0" fontId="53" fillId="2" borderId="0" xfId="0" applyFont="1" applyFill="1" applyProtection="1">
      <protection locked="0"/>
    </xf>
    <xf numFmtId="167" fontId="53" fillId="2" borderId="0" xfId="0" applyNumberFormat="1" applyFont="1" applyFill="1" applyProtection="1">
      <protection locked="0"/>
    </xf>
    <xf numFmtId="166" fontId="53" fillId="2" borderId="0" xfId="0" applyNumberFormat="1" applyFont="1" applyFill="1" applyProtection="1">
      <protection locked="0"/>
    </xf>
    <xf numFmtId="0" fontId="23" fillId="0" borderId="0" xfId="0" applyFont="1" applyFill="1" applyProtection="1">
      <protection locked="0"/>
    </xf>
    <xf numFmtId="0" fontId="23" fillId="0" borderId="0" xfId="0" applyFont="1" applyProtection="1">
      <protection locked="0"/>
    </xf>
    <xf numFmtId="167" fontId="23" fillId="0" borderId="0" xfId="0" applyNumberFormat="1" applyFont="1" applyProtection="1">
      <protection locked="0"/>
    </xf>
    <xf numFmtId="166" fontId="23" fillId="0" borderId="0" xfId="0" applyNumberFormat="1" applyFont="1" applyProtection="1">
      <protection locked="0"/>
    </xf>
    <xf numFmtId="167" fontId="23" fillId="0" borderId="0" xfId="0" applyNumberFormat="1" applyFont="1" applyFill="1" applyProtection="1">
      <protection locked="0"/>
    </xf>
    <xf numFmtId="166" fontId="23" fillId="0" borderId="0" xfId="0" applyNumberFormat="1" applyFont="1" applyFill="1" applyProtection="1">
      <protection locked="0"/>
    </xf>
    <xf numFmtId="0" fontId="17" fillId="0" borderId="0" xfId="0" applyFont="1" applyFill="1" applyProtection="1">
      <protection locked="0"/>
    </xf>
    <xf numFmtId="0" fontId="0" fillId="0" borderId="0" xfId="0" applyFill="1" applyProtection="1">
      <protection locked="0"/>
    </xf>
    <xf numFmtId="167" fontId="0" fillId="0" borderId="0" xfId="0" applyNumberFormat="1" applyFill="1" applyProtection="1">
      <protection locked="0"/>
    </xf>
    <xf numFmtId="0" fontId="19" fillId="0" borderId="0" xfId="0" applyFont="1" applyFill="1" applyBorder="1" applyProtection="1">
      <protection locked="0"/>
    </xf>
    <xf numFmtId="166" fontId="0" fillId="0" borderId="0" xfId="0" applyNumberFormat="1" applyFill="1" applyProtection="1">
      <protection locked="0"/>
    </xf>
    <xf numFmtId="0" fontId="17" fillId="4" borderId="36" xfId="0" applyFont="1" applyFill="1" applyBorder="1" applyAlignment="1" applyProtection="1">
      <alignment horizontal="left"/>
      <protection locked="0"/>
    </xf>
    <xf numFmtId="0" fontId="17" fillId="0" borderId="0" xfId="0" applyFont="1" applyFill="1" applyBorder="1" applyAlignment="1" applyProtection="1">
      <alignment horizontal="left"/>
      <protection locked="0"/>
    </xf>
    <xf numFmtId="167" fontId="17" fillId="0" borderId="0" xfId="0" applyNumberFormat="1" applyFont="1" applyFill="1" applyProtection="1">
      <protection locked="0"/>
    </xf>
    <xf numFmtId="166" fontId="17" fillId="0" borderId="0" xfId="0" applyNumberFormat="1" applyFont="1" applyFill="1" applyProtection="1">
      <protection locked="0"/>
    </xf>
    <xf numFmtId="0" fontId="17" fillId="0" borderId="0" xfId="0" applyFont="1" applyFill="1" applyBorder="1" applyAlignment="1" applyProtection="1">
      <alignment horizontal="left"/>
      <protection locked="0"/>
    </xf>
    <xf numFmtId="0" fontId="17" fillId="4" borderId="10" xfId="0" applyFont="1" applyFill="1" applyBorder="1" applyAlignment="1" applyProtection="1">
      <alignment horizontal="left"/>
      <protection locked="0"/>
    </xf>
    <xf numFmtId="0" fontId="4" fillId="20" borderId="10" xfId="9" applyBorder="1" applyProtection="1">
      <protection locked="0"/>
    </xf>
    <xf numFmtId="0" fontId="17" fillId="19" borderId="37" xfId="11" applyFont="1" applyBorder="1" applyProtection="1">
      <protection locked="0"/>
    </xf>
    <xf numFmtId="0" fontId="17" fillId="19" borderId="35" xfId="11" applyFont="1" applyProtection="1">
      <protection locked="0"/>
    </xf>
    <xf numFmtId="0" fontId="51" fillId="20" borderId="10" xfId="10" applyFill="1" applyBorder="1" applyProtection="1">
      <protection locked="0"/>
    </xf>
    <xf numFmtId="0" fontId="4" fillId="20" borderId="37" xfId="9" applyBorder="1" applyProtection="1">
      <protection locked="0"/>
    </xf>
    <xf numFmtId="0" fontId="17" fillId="0" borderId="0" xfId="0" applyFont="1" applyFill="1" applyBorder="1" applyProtection="1">
      <protection locked="0"/>
    </xf>
    <xf numFmtId="0" fontId="51" fillId="4" borderId="10" xfId="10" applyFill="1" applyBorder="1" applyProtection="1">
      <protection locked="0"/>
    </xf>
    <xf numFmtId="0" fontId="17" fillId="4" borderId="10" xfId="0" applyFont="1" applyFill="1" applyBorder="1" applyProtection="1">
      <protection locked="0"/>
    </xf>
    <xf numFmtId="0" fontId="4" fillId="20" borderId="35" xfId="9" applyBorder="1" applyProtection="1">
      <protection locked="0"/>
    </xf>
    <xf numFmtId="0" fontId="17" fillId="4" borderId="11" xfId="0" applyFont="1" applyFill="1" applyBorder="1" applyProtection="1">
      <protection locked="0"/>
    </xf>
    <xf numFmtId="0" fontId="20" fillId="0" borderId="0" xfId="0" applyFont="1" applyFill="1" applyBorder="1" applyAlignment="1" applyProtection="1">
      <alignment horizontal="left"/>
      <protection locked="0"/>
    </xf>
    <xf numFmtId="0" fontId="17" fillId="0" borderId="0" xfId="0" applyFont="1" applyFill="1" applyAlignment="1" applyProtection="1">
      <alignment horizontal="left"/>
      <protection locked="0"/>
    </xf>
    <xf numFmtId="167" fontId="17" fillId="0" borderId="0" xfId="0" applyNumberFormat="1" applyFont="1" applyFill="1" applyAlignment="1" applyProtection="1">
      <alignment horizontal="left"/>
      <protection locked="0"/>
    </xf>
    <xf numFmtId="0" fontId="17" fillId="0" borderId="36" xfId="0" applyFont="1" applyFill="1" applyBorder="1" applyProtection="1">
      <protection locked="0"/>
    </xf>
    <xf numFmtId="0" fontId="17" fillId="0" borderId="10" xfId="0" applyFont="1" applyFill="1" applyBorder="1" applyProtection="1">
      <protection locked="0"/>
    </xf>
    <xf numFmtId="0" fontId="54" fillId="21" borderId="10" xfId="0" applyFont="1" applyFill="1" applyBorder="1" applyProtection="1">
      <protection locked="0"/>
    </xf>
    <xf numFmtId="0" fontId="54" fillId="0" borderId="10" xfId="0" applyFont="1" applyBorder="1" applyProtection="1">
      <protection locked="0"/>
    </xf>
    <xf numFmtId="0" fontId="54" fillId="21" borderId="11" xfId="0" applyFont="1" applyFill="1" applyBorder="1" applyProtection="1">
      <protection locked="0"/>
    </xf>
    <xf numFmtId="0" fontId="54" fillId="0" borderId="0" xfId="0" applyFont="1" applyFill="1" applyBorder="1" applyProtection="1">
      <protection locked="0"/>
    </xf>
    <xf numFmtId="0" fontId="20" fillId="0" borderId="0" xfId="0" applyFont="1" applyFill="1" applyBorder="1" applyProtection="1">
      <protection locked="0"/>
    </xf>
    <xf numFmtId="0" fontId="17" fillId="0" borderId="6" xfId="0" applyFont="1" applyFill="1" applyBorder="1" applyProtection="1">
      <protection locked="0"/>
    </xf>
    <xf numFmtId="0" fontId="0" fillId="0" borderId="5" xfId="0" applyBorder="1"/>
    <xf numFmtId="0" fontId="17" fillId="0" borderId="5" xfId="0" applyFont="1" applyFill="1" applyBorder="1" applyProtection="1">
      <protection locked="0"/>
    </xf>
    <xf numFmtId="0" fontId="20" fillId="0" borderId="6" xfId="0" applyFont="1" applyFill="1" applyBorder="1" applyAlignment="1" applyProtection="1">
      <alignment horizontal="center" vertical="center"/>
      <protection locked="0"/>
    </xf>
    <xf numFmtId="0" fontId="20" fillId="0" borderId="36" xfId="0" applyFont="1" applyFill="1" applyBorder="1" applyAlignment="1" applyProtection="1">
      <alignment horizontal="center" vertical="center"/>
      <protection locked="0"/>
    </xf>
    <xf numFmtId="1" fontId="50" fillId="0" borderId="6" xfId="0" applyNumberFormat="1" applyFont="1" applyFill="1" applyBorder="1" applyAlignment="1" applyProtection="1">
      <alignment horizontal="center" vertical="center" wrapText="1"/>
    </xf>
    <xf numFmtId="1" fontId="50" fillId="0" borderId="5" xfId="0" applyNumberFormat="1" applyFont="1" applyFill="1" applyBorder="1" applyAlignment="1" applyProtection="1">
      <alignment horizontal="center" vertical="center" wrapText="1"/>
    </xf>
    <xf numFmtId="0" fontId="20" fillId="4" borderId="6" xfId="0" applyFont="1" applyFill="1" applyBorder="1" applyAlignment="1" applyProtection="1">
      <alignment vertical="center"/>
      <protection locked="0"/>
    </xf>
    <xf numFmtId="0" fontId="20" fillId="4" borderId="5" xfId="0" applyFont="1" applyFill="1" applyBorder="1" applyAlignment="1" applyProtection="1">
      <alignment vertical="center"/>
      <protection locked="0"/>
    </xf>
    <xf numFmtId="0" fontId="20" fillId="4" borderId="38" xfId="0" applyFont="1" applyFill="1" applyBorder="1" applyAlignment="1" applyProtection="1">
      <alignment vertical="center"/>
      <protection locked="0"/>
    </xf>
    <xf numFmtId="0" fontId="17" fillId="4" borderId="39" xfId="0" applyFont="1" applyFill="1" applyBorder="1" applyAlignment="1" applyProtection="1">
      <alignment horizontal="left"/>
      <protection locked="0"/>
    </xf>
    <xf numFmtId="0" fontId="17" fillId="4" borderId="38" xfId="0" applyFont="1" applyFill="1" applyBorder="1" applyAlignment="1" applyProtection="1">
      <alignment horizontal="left"/>
      <protection locked="0"/>
    </xf>
    <xf numFmtId="2" fontId="17" fillId="4" borderId="39" xfId="0" applyNumberFormat="1" applyFont="1" applyFill="1" applyBorder="1" applyAlignment="1" applyProtection="1">
      <alignment horizontal="left"/>
      <protection locked="0"/>
    </xf>
    <xf numFmtId="2" fontId="17" fillId="4" borderId="5" xfId="0" applyNumberFormat="1" applyFont="1" applyFill="1" applyBorder="1" applyAlignment="1" applyProtection="1">
      <alignment horizontal="left"/>
      <protection locked="0"/>
    </xf>
    <xf numFmtId="2" fontId="17" fillId="4" borderId="38" xfId="0" applyNumberFormat="1" applyFont="1" applyFill="1" applyBorder="1" applyAlignment="1" applyProtection="1">
      <alignment horizontal="left"/>
      <protection locked="0"/>
    </xf>
    <xf numFmtId="0" fontId="17" fillId="4" borderId="5" xfId="0" applyFont="1" applyFill="1" applyBorder="1" applyAlignment="1" applyProtection="1">
      <alignment horizontal="left"/>
      <protection locked="0"/>
    </xf>
    <xf numFmtId="0" fontId="20" fillId="4" borderId="8" xfId="0" applyFont="1" applyFill="1" applyBorder="1" applyAlignment="1" applyProtection="1">
      <alignment vertical="center"/>
      <protection locked="0"/>
    </xf>
    <xf numFmtId="0" fontId="20" fillId="4" borderId="0" xfId="0" applyFont="1" applyFill="1" applyBorder="1" applyAlignment="1" applyProtection="1">
      <alignment vertical="center"/>
      <protection locked="0"/>
    </xf>
    <xf numFmtId="0" fontId="20" fillId="4" borderId="29" xfId="0" applyFont="1" applyFill="1" applyBorder="1" applyAlignment="1" applyProtection="1">
      <alignment vertical="center"/>
      <protection locked="0"/>
    </xf>
    <xf numFmtId="0" fontId="17" fillId="4" borderId="22" xfId="0" applyFont="1" applyFill="1" applyBorder="1" applyAlignment="1" applyProtection="1">
      <alignment horizontal="left"/>
      <protection locked="0"/>
    </xf>
    <xf numFmtId="0" fontId="17" fillId="4" borderId="29" xfId="0" applyFont="1" applyFill="1" applyBorder="1" applyAlignment="1" applyProtection="1">
      <alignment horizontal="left"/>
      <protection locked="0"/>
    </xf>
    <xf numFmtId="2" fontId="17" fillId="4" borderId="22" xfId="0" applyNumberFormat="1" applyFont="1" applyFill="1" applyBorder="1" applyAlignment="1" applyProtection="1">
      <alignment horizontal="left"/>
      <protection locked="0"/>
    </xf>
    <xf numFmtId="2" fontId="17" fillId="4" borderId="0" xfId="0" applyNumberFormat="1" applyFont="1" applyFill="1" applyBorder="1" applyAlignment="1" applyProtection="1">
      <alignment horizontal="left"/>
      <protection locked="0"/>
    </xf>
    <xf numFmtId="2" fontId="17" fillId="4" borderId="29" xfId="0" applyNumberFormat="1" applyFont="1" applyFill="1" applyBorder="1" applyAlignment="1" applyProtection="1">
      <alignment horizontal="left"/>
      <protection locked="0"/>
    </xf>
    <xf numFmtId="0" fontId="17" fillId="4" borderId="0" xfId="0" applyFont="1" applyFill="1" applyBorder="1" applyAlignment="1" applyProtection="1">
      <alignment horizontal="left"/>
      <protection locked="0"/>
    </xf>
    <xf numFmtId="0" fontId="20" fillId="4" borderId="9" xfId="0" applyFont="1" applyFill="1" applyBorder="1" applyAlignment="1" applyProtection="1">
      <alignment vertical="center"/>
      <protection locked="0"/>
    </xf>
    <xf numFmtId="0" fontId="20" fillId="4" borderId="4" xfId="0" applyFont="1" applyFill="1" applyBorder="1" applyAlignment="1" applyProtection="1">
      <alignment vertical="center"/>
      <protection locked="0"/>
    </xf>
    <xf numFmtId="0" fontId="20" fillId="4" borderId="40" xfId="0" applyFont="1" applyFill="1" applyBorder="1" applyAlignment="1" applyProtection="1">
      <alignment vertical="center"/>
      <protection locked="0"/>
    </xf>
    <xf numFmtId="0" fontId="17" fillId="4" borderId="41" xfId="0" applyFont="1" applyFill="1" applyBorder="1" applyAlignment="1" applyProtection="1">
      <alignment horizontal="left"/>
      <protection locked="0"/>
    </xf>
    <xf numFmtId="0" fontId="17" fillId="4" borderId="40" xfId="0" applyFont="1" applyFill="1" applyBorder="1" applyAlignment="1" applyProtection="1">
      <alignment horizontal="left"/>
      <protection locked="0"/>
    </xf>
    <xf numFmtId="2" fontId="17" fillId="4" borderId="41" xfId="0" applyNumberFormat="1" applyFont="1" applyFill="1" applyBorder="1" applyAlignment="1" applyProtection="1">
      <alignment horizontal="left"/>
      <protection locked="0"/>
    </xf>
    <xf numFmtId="2" fontId="17" fillId="4" borderId="4" xfId="0" applyNumberFormat="1" applyFont="1" applyFill="1" applyBorder="1" applyAlignment="1" applyProtection="1">
      <alignment horizontal="left"/>
      <protection locked="0"/>
    </xf>
    <xf numFmtId="2" fontId="17" fillId="4" borderId="40" xfId="0" applyNumberFormat="1" applyFont="1" applyFill="1" applyBorder="1" applyAlignment="1" applyProtection="1">
      <alignment horizontal="left"/>
      <protection locked="0"/>
    </xf>
    <xf numFmtId="0" fontId="17" fillId="4" borderId="4" xfId="0" applyFont="1" applyFill="1" applyBorder="1" applyAlignment="1" applyProtection="1">
      <alignment horizontal="left"/>
      <protection locked="0"/>
    </xf>
    <xf numFmtId="0" fontId="17" fillId="4" borderId="11" xfId="0" applyFont="1" applyFill="1" applyBorder="1" applyAlignment="1" applyProtection="1">
      <alignment horizontal="left"/>
      <protection locked="0"/>
    </xf>
    <xf numFmtId="0" fontId="23" fillId="0" borderId="0" xfId="0" applyFont="1" applyFill="1" applyBorder="1" applyProtection="1">
      <protection locked="0"/>
    </xf>
    <xf numFmtId="167" fontId="17" fillId="0" borderId="0" xfId="0" applyNumberFormat="1" applyFont="1" applyFill="1" applyBorder="1" applyProtection="1">
      <protection locked="0"/>
    </xf>
    <xf numFmtId="166" fontId="17" fillId="0" borderId="0" xfId="0" applyNumberFormat="1" applyFont="1" applyFill="1" applyBorder="1" applyProtection="1">
      <protection locked="0"/>
    </xf>
    <xf numFmtId="0" fontId="20" fillId="0" borderId="39" xfId="0" applyFont="1" applyFill="1" applyBorder="1" applyAlignment="1" applyProtection="1">
      <protection locked="0"/>
    </xf>
    <xf numFmtId="0" fontId="20" fillId="0" borderId="5" xfId="0" applyFont="1" applyFill="1" applyBorder="1" applyAlignment="1" applyProtection="1">
      <protection locked="0"/>
    </xf>
    <xf numFmtId="0" fontId="20" fillId="0" borderId="36" xfId="0" applyFont="1" applyFill="1" applyBorder="1" applyAlignment="1" applyProtection="1">
      <protection locked="0"/>
    </xf>
    <xf numFmtId="0" fontId="17" fillId="4" borderId="39" xfId="0" applyFont="1" applyFill="1" applyBorder="1" applyAlignment="1" applyProtection="1">
      <protection locked="0"/>
    </xf>
    <xf numFmtId="0" fontId="17" fillId="4" borderId="5" xfId="0" applyFont="1" applyFill="1" applyBorder="1" applyAlignment="1" applyProtection="1">
      <protection locked="0"/>
    </xf>
    <xf numFmtId="0" fontId="17" fillId="4" borderId="36" xfId="0" applyFont="1" applyFill="1" applyBorder="1" applyAlignment="1" applyProtection="1">
      <protection locked="0"/>
    </xf>
    <xf numFmtId="0" fontId="17" fillId="4" borderId="22" xfId="0" applyFont="1" applyFill="1" applyBorder="1" applyAlignment="1" applyProtection="1">
      <alignment horizontal="left"/>
      <protection locked="0"/>
    </xf>
    <xf numFmtId="0" fontId="57" fillId="0" borderId="0" xfId="0" applyFont="1" applyAlignment="1"/>
    <xf numFmtId="0" fontId="20" fillId="0" borderId="0" xfId="0" applyFont="1" applyFill="1" applyProtection="1">
      <protection locked="0"/>
    </xf>
    <xf numFmtId="0" fontId="0" fillId="0" borderId="3" xfId="0" applyFont="1" applyFill="1" applyBorder="1" applyAlignment="1" applyProtection="1">
      <alignment horizontal="center" vertical="center" wrapText="1"/>
    </xf>
    <xf numFmtId="167" fontId="0" fillId="0" borderId="7" xfId="0" applyNumberFormat="1" applyFont="1" applyFill="1" applyBorder="1" applyAlignment="1" applyProtection="1">
      <alignment horizontal="center" vertical="center" wrapText="1"/>
    </xf>
    <xf numFmtId="0" fontId="19" fillId="0" borderId="12" xfId="0" applyFont="1" applyFill="1" applyBorder="1" applyAlignment="1" applyProtection="1">
      <alignment horizontal="center" vertical="center"/>
      <protection locked="0"/>
    </xf>
    <xf numFmtId="0" fontId="0" fillId="0" borderId="15" xfId="0" applyFont="1" applyFill="1" applyBorder="1" applyAlignment="1" applyProtection="1">
      <alignment horizontal="center" vertical="center" wrapText="1"/>
    </xf>
    <xf numFmtId="0" fontId="0" fillId="0" borderId="16" xfId="0" applyFont="1" applyFill="1" applyBorder="1" applyAlignment="1" applyProtection="1">
      <alignment horizontal="center" vertical="center" wrapText="1"/>
    </xf>
    <xf numFmtId="0" fontId="50" fillId="0" borderId="0" xfId="0" applyFont="1" applyBorder="1" applyAlignment="1"/>
    <xf numFmtId="0" fontId="50" fillId="0" borderId="0" xfId="0" applyFont="1" applyFill="1" applyBorder="1" applyAlignment="1"/>
    <xf numFmtId="14" fontId="0" fillId="0" borderId="0" xfId="0" applyNumberFormat="1" applyBorder="1"/>
    <xf numFmtId="164" fontId="0" fillId="0" borderId="0" xfId="0" applyNumberFormat="1" applyBorder="1"/>
    <xf numFmtId="20" fontId="0" fillId="0" borderId="0" xfId="0" applyNumberFormat="1"/>
    <xf numFmtId="2" fontId="0" fillId="0" borderId="0" xfId="0" applyNumberFormat="1" applyAlignment="1"/>
    <xf numFmtId="0" fontId="19" fillId="0" borderId="0" xfId="0" applyFont="1" applyAlignment="1"/>
    <xf numFmtId="0" fontId="60" fillId="22" borderId="0" xfId="12"/>
    <xf numFmtId="0" fontId="10" fillId="0" borderId="0" xfId="2" applyFont="1" applyAlignment="1">
      <alignment vertical="top" wrapText="1"/>
    </xf>
    <xf numFmtId="0" fontId="16" fillId="0" borderId="0" xfId="2" applyAlignment="1">
      <alignment vertical="top" wrapText="1"/>
    </xf>
    <xf numFmtId="0" fontId="3" fillId="0" borderId="0" xfId="2" applyFont="1"/>
    <xf numFmtId="0" fontId="27" fillId="0" borderId="0" xfId="0" applyFont="1" applyFill="1" applyBorder="1"/>
    <xf numFmtId="0" fontId="27" fillId="0" borderId="0" xfId="0" applyFont="1" applyBorder="1"/>
    <xf numFmtId="2" fontId="27" fillId="0" borderId="0" xfId="0" applyNumberFormat="1" applyFont="1" applyBorder="1"/>
    <xf numFmtId="14" fontId="27" fillId="0" borderId="0" xfId="0" applyNumberFormat="1" applyFont="1" applyBorder="1"/>
    <xf numFmtId="0" fontId="0" fillId="0" borderId="0" xfId="0" applyFont="1"/>
    <xf numFmtId="0" fontId="38" fillId="0" borderId="0" xfId="0" applyFont="1"/>
    <xf numFmtId="0" fontId="2" fillId="0" borderId="0" xfId="2" applyFont="1"/>
    <xf numFmtId="0" fontId="1" fillId="0" borderId="0" xfId="2" applyFont="1"/>
    <xf numFmtId="0" fontId="28" fillId="14" borderId="24" xfId="6" applyFont="1" applyFill="1" applyBorder="1" applyAlignment="1">
      <alignment horizontal="center" wrapText="1"/>
    </xf>
    <xf numFmtId="0" fontId="22" fillId="9" borderId="14" xfId="0" applyFont="1" applyFill="1" applyBorder="1" applyAlignment="1">
      <alignment horizontal="center"/>
    </xf>
    <xf numFmtId="0" fontId="22" fillId="9" borderId="16" xfId="0" applyFont="1" applyFill="1" applyBorder="1" applyAlignment="1">
      <alignment horizontal="center"/>
    </xf>
    <xf numFmtId="0" fontId="25" fillId="9" borderId="21" xfId="0" applyFont="1" applyFill="1" applyBorder="1" applyAlignment="1">
      <alignment horizontal="center" vertical="center"/>
    </xf>
    <xf numFmtId="0" fontId="25" fillId="9" borderId="23" xfId="0" applyFont="1" applyFill="1" applyBorder="1" applyAlignment="1">
      <alignment horizontal="center" vertical="center"/>
    </xf>
    <xf numFmtId="0" fontId="22" fillId="9" borderId="15" xfId="0" applyFont="1" applyFill="1" applyBorder="1" applyAlignment="1">
      <alignment horizontal="center"/>
    </xf>
    <xf numFmtId="0" fontId="22" fillId="9" borderId="18" xfId="0" applyFont="1" applyFill="1" applyBorder="1" applyAlignment="1">
      <alignment horizontal="center"/>
    </xf>
    <xf numFmtId="0" fontId="22" fillId="9" borderId="19" xfId="0" applyFont="1" applyFill="1" applyBorder="1" applyAlignment="1">
      <alignment horizontal="center"/>
    </xf>
    <xf numFmtId="0" fontId="22" fillId="9" borderId="20" xfId="0" applyFont="1" applyFill="1" applyBorder="1" applyAlignment="1">
      <alignment horizontal="center"/>
    </xf>
    <xf numFmtId="0" fontId="48" fillId="15" borderId="32" xfId="8" applyBorder="1" applyAlignment="1">
      <alignment horizontal="center"/>
    </xf>
    <xf numFmtId="0" fontId="48" fillId="15" borderId="33" xfId="8" applyBorder="1" applyAlignment="1">
      <alignment horizontal="center"/>
    </xf>
    <xf numFmtId="0" fontId="48" fillId="15" borderId="34" xfId="8" applyBorder="1" applyAlignment="1">
      <alignment horizontal="center"/>
    </xf>
    <xf numFmtId="0" fontId="19" fillId="0" borderId="0" xfId="0" applyFont="1" applyAlignment="1">
      <alignment horizontal="center"/>
    </xf>
    <xf numFmtId="0" fontId="19" fillId="0" borderId="0" xfId="0" applyFont="1" applyAlignment="1">
      <alignment horizontal="center" wrapText="1"/>
    </xf>
    <xf numFmtId="0" fontId="16" fillId="0" borderId="0" xfId="2" applyAlignment="1">
      <alignment horizontal="center" vertical="top" wrapText="1"/>
    </xf>
    <xf numFmtId="0" fontId="38" fillId="0" borderId="0" xfId="0" applyFont="1" applyAlignment="1">
      <alignment horizontal="center" vertical="center"/>
    </xf>
    <xf numFmtId="0" fontId="38" fillId="0" borderId="4" xfId="0" applyFont="1" applyBorder="1" applyAlignment="1">
      <alignment horizontal="center" vertical="center"/>
    </xf>
    <xf numFmtId="0" fontId="57" fillId="0" borderId="42" xfId="0" applyFont="1" applyBorder="1" applyAlignment="1">
      <alignment horizontal="center"/>
    </xf>
    <xf numFmtId="0" fontId="17" fillId="4" borderId="0" xfId="0" applyFont="1" applyFill="1" applyBorder="1" applyAlignment="1" applyProtection="1">
      <alignment horizontal="left"/>
      <protection locked="0"/>
    </xf>
    <xf numFmtId="0" fontId="20" fillId="0" borderId="6" xfId="0" applyFont="1" applyFill="1" applyBorder="1" applyAlignment="1" applyProtection="1">
      <protection locked="0"/>
    </xf>
    <xf numFmtId="0" fontId="20" fillId="0" borderId="5" xfId="0" applyFont="1" applyFill="1" applyBorder="1" applyAlignment="1" applyProtection="1">
      <protection locked="0"/>
    </xf>
    <xf numFmtId="0" fontId="17" fillId="0" borderId="6" xfId="0" applyFont="1" applyFill="1" applyBorder="1" applyAlignment="1" applyProtection="1">
      <protection locked="0"/>
    </xf>
    <xf numFmtId="0" fontId="17" fillId="0" borderId="5" xfId="0" applyFont="1" applyFill="1" applyBorder="1" applyAlignment="1" applyProtection="1">
      <protection locked="0"/>
    </xf>
    <xf numFmtId="0" fontId="17" fillId="0" borderId="9" xfId="0" applyFont="1" applyFill="1" applyBorder="1" applyAlignment="1" applyProtection="1">
      <protection locked="0"/>
    </xf>
    <xf numFmtId="0" fontId="17" fillId="0" borderId="4" xfId="0" applyFont="1" applyFill="1" applyBorder="1" applyAlignment="1" applyProtection="1">
      <protection locked="0"/>
    </xf>
    <xf numFmtId="0" fontId="17" fillId="4" borderId="22" xfId="0" applyFont="1" applyFill="1" applyBorder="1" applyAlignment="1" applyProtection="1">
      <alignment horizontal="left"/>
      <protection locked="0"/>
    </xf>
    <xf numFmtId="0" fontId="17" fillId="0" borderId="3" xfId="0" applyFont="1" applyFill="1" applyBorder="1" applyAlignment="1" applyProtection="1">
      <alignment horizontal="left"/>
      <protection locked="0"/>
    </xf>
    <xf numFmtId="0" fontId="17" fillId="0" borderId="7" xfId="0" applyFont="1" applyFill="1" applyBorder="1" applyAlignment="1" applyProtection="1">
      <alignment horizontal="left"/>
      <protection locked="0"/>
    </xf>
    <xf numFmtId="0" fontId="17" fillId="0" borderId="12" xfId="0" applyFont="1" applyFill="1" applyBorder="1" applyAlignment="1" applyProtection="1">
      <alignment horizontal="left"/>
      <protection locked="0"/>
    </xf>
    <xf numFmtId="0" fontId="20" fillId="0" borderId="6" xfId="0" applyFont="1" applyFill="1" applyBorder="1" applyAlignment="1" applyProtection="1">
      <alignment horizontal="center"/>
      <protection locked="0"/>
    </xf>
    <xf numFmtId="0" fontId="20" fillId="0" borderId="5" xfId="0" applyFont="1" applyFill="1" applyBorder="1" applyAlignment="1" applyProtection="1">
      <alignment horizontal="center"/>
      <protection locked="0"/>
    </xf>
    <xf numFmtId="0" fontId="17" fillId="0" borderId="5" xfId="0" applyFont="1" applyFill="1" applyBorder="1" applyAlignment="1" applyProtection="1">
      <alignment horizontal="left"/>
      <protection locked="0"/>
    </xf>
    <xf numFmtId="0" fontId="55" fillId="0" borderId="4" xfId="0" applyFont="1" applyFill="1" applyBorder="1" applyAlignment="1" applyProtection="1">
      <alignment horizontal="center" wrapText="1"/>
      <protection locked="0"/>
    </xf>
    <xf numFmtId="0" fontId="56" fillId="0" borderId="4" xfId="0" applyFont="1" applyFill="1" applyBorder="1" applyAlignment="1" applyProtection="1">
      <alignment horizontal="center" wrapText="1"/>
      <protection locked="0"/>
    </xf>
    <xf numFmtId="0" fontId="23" fillId="0" borderId="6" xfId="0" applyFont="1" applyFill="1" applyBorder="1" applyAlignment="1" applyProtection="1">
      <alignment horizontal="center" vertical="center" wrapText="1"/>
      <protection locked="0"/>
    </xf>
    <xf numFmtId="0" fontId="23" fillId="0" borderId="36" xfId="0" applyFont="1" applyFill="1" applyBorder="1" applyAlignment="1" applyProtection="1">
      <alignment horizontal="center" vertical="center" wrapText="1"/>
      <protection locked="0"/>
    </xf>
    <xf numFmtId="0" fontId="17" fillId="0" borderId="8" xfId="0" applyFont="1" applyFill="1" applyBorder="1" applyAlignment="1" applyProtection="1">
      <alignment horizontal="left"/>
      <protection locked="0"/>
    </xf>
    <xf numFmtId="0" fontId="17" fillId="0" borderId="0" xfId="0" applyFont="1" applyFill="1" applyBorder="1" applyAlignment="1" applyProtection="1">
      <alignment horizontal="left"/>
      <protection locked="0"/>
    </xf>
    <xf numFmtId="0" fontId="17" fillId="0" borderId="9" xfId="0" applyFont="1" applyFill="1" applyBorder="1" applyAlignment="1" applyProtection="1">
      <alignment horizontal="left"/>
      <protection locked="0"/>
    </xf>
    <xf numFmtId="0" fontId="17" fillId="0" borderId="4" xfId="0" applyFont="1" applyFill="1" applyBorder="1" applyAlignment="1" applyProtection="1">
      <alignment horizontal="left"/>
      <protection locked="0"/>
    </xf>
    <xf numFmtId="0" fontId="17" fillId="0" borderId="6" xfId="0" applyFont="1" applyFill="1" applyBorder="1" applyAlignment="1" applyProtection="1">
      <alignment horizontal="left"/>
      <protection locked="0"/>
    </xf>
    <xf numFmtId="0" fontId="61" fillId="8" borderId="0" xfId="1" applyFont="1" applyAlignment="1">
      <alignment horizontal="center" vertical="center"/>
    </xf>
  </cellXfs>
  <cellStyles count="13">
    <cellStyle name="20 % – uthevingsfarge 4" xfId="9" builtinId="42"/>
    <cellStyle name="Dårlig" xfId="1" builtinId="27"/>
    <cellStyle name="God" xfId="5" builtinId="26"/>
    <cellStyle name="Hyperkobling" xfId="10" builtinId="8"/>
    <cellStyle name="Inndata" xfId="4" builtinId="20"/>
    <cellStyle name="Merknad 2" xfId="11" xr:uid="{7BF7A679-D5E4-4AE1-9CEF-CF1B194A8761}"/>
    <cellStyle name="Normal" xfId="0" builtinId="0"/>
    <cellStyle name="Normal 2" xfId="2" xr:uid="{C5975B6D-E5BE-4E8F-9F76-B32E3A819151}"/>
    <cellStyle name="Normal 3" xfId="6" xr:uid="{71BDF9BC-06B0-4E05-88ED-1E31297BD71D}"/>
    <cellStyle name="Normal 4" xfId="7" xr:uid="{00000000-0005-0000-0000-000031000000}"/>
    <cellStyle name="Nøytral" xfId="3" builtinId="28"/>
    <cellStyle name="Utdata" xfId="8" builtinId="21"/>
    <cellStyle name="Uthevingsfarge4" xfId="12" builtinId="41"/>
  </cellStyles>
  <dxfs count="4">
    <dxf>
      <font>
        <color theme="0"/>
      </font>
      <fill>
        <patternFill patternType="none">
          <bgColor indexed="65"/>
        </patternFill>
      </fill>
    </dxf>
    <dxf>
      <font>
        <strike val="0"/>
        <color theme="0"/>
      </font>
    </dxf>
    <dxf>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indexed="8"/>
        <name val="Calibri"/>
        <family val="2"/>
        <scheme val="none"/>
      </font>
    </dxf>
  </dxfs>
  <tableStyles count="0" defaultTableStyle="TableStyleMedium9" defaultPivotStyle="PivotStyleMedium4"/>
  <colors>
    <mruColors>
      <color rgb="FF008000"/>
      <color rgb="FF6077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D47407-5CFD-40F7-9B6D-804A35192386}" name="Tabell1" displayName="Tabell1" ref="A1:G221" totalsRowShown="0">
  <autoFilter ref="A1:G221" xr:uid="{87D6DA96-7E31-4009-895C-0A2AD5114E90}"/>
  <tableColumns count="7">
    <tableColumn id="1" xr3:uid="{A0246395-C074-40E3-914D-39F3418AE8A4}" name="Plotnr" dataDxfId="3"/>
    <tableColumn id="3" xr3:uid="{FF77EEBE-EE38-49C8-8ACB-DCC7F67660EB}" name="REDexcl"/>
    <tableColumn id="4" xr3:uid="{E9FB8996-D0A0-4218-9256-57BD4954DA9F}" name="REDop"/>
    <tableColumn id="5" xr3:uid="{797608D0-8403-46FA-9B09-253352F156C0}" name="GREENexcl"/>
    <tableColumn id="6" xr3:uid="{E28BCD63-CE2D-4DFD-9A28-FB570B1F0D1B}" name="GREENop"/>
    <tableColumn id="2" xr3:uid="{E2DF98D1-441D-4AB0-9902-4D0A2D79332B}" name="SiteCode" dataDxfId="2"/>
    <tableColumn id="7" xr3:uid="{8153671F-9C79-45A0-80DF-E269B6563482}" name="Comment"/>
  </tableColumns>
  <tableStyleInfo name="TableStyleMedium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1.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mailto:andersun@stud.ntnu.no" TargetMode="External"/><Relationship Id="rId1" Type="http://schemas.openxmlformats.org/officeDocument/2006/relationships/hyperlink" Target="mailto:stuart.smith@ntnu.no" TargetMode="Externa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mailto:andersun@stud.ntnu.no" TargetMode="External"/><Relationship Id="rId1" Type="http://schemas.openxmlformats.org/officeDocument/2006/relationships/hyperlink" Target="mailto:stuart.smith@ntnu.no"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mailto:andersun@stud.ntnu.no" TargetMode="External"/><Relationship Id="rId1" Type="http://schemas.openxmlformats.org/officeDocument/2006/relationships/hyperlink" Target="mailto:stuart.smith@ntnu.no" TargetMode="External"/><Relationship Id="rId5" Type="http://schemas.openxmlformats.org/officeDocument/2006/relationships/comments" Target="../comments14.xml"/><Relationship Id="rId4"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mailto:andersun@stud.ntnu.no" TargetMode="External"/><Relationship Id="rId1" Type="http://schemas.openxmlformats.org/officeDocument/2006/relationships/hyperlink" Target="mailto:stuart.smith@ntnu.no" TargetMode="External"/><Relationship Id="rId5" Type="http://schemas.openxmlformats.org/officeDocument/2006/relationships/comments" Target="../comments15.xml"/><Relationship Id="rId4" Type="http://schemas.openxmlformats.org/officeDocument/2006/relationships/vmlDrawing" Target="../drawings/vmlDrawing1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9600A-F5EB-45DC-8C04-9CC3874CF9AE}">
  <dimension ref="A1:AN881"/>
  <sheetViews>
    <sheetView tabSelected="1" zoomScale="85" zoomScaleNormal="85" workbookViewId="0">
      <pane xSplit="7" ySplit="1" topLeftCell="H177" activePane="bottomRight" state="frozen"/>
      <selection pane="topRight" activeCell="F1" sqref="F1"/>
      <selection pane="bottomLeft" activeCell="A2" sqref="A2"/>
      <selection pane="bottomRight" activeCell="D172" sqref="D172"/>
    </sheetView>
  </sheetViews>
  <sheetFormatPr baseColWidth="10" defaultColWidth="11.44140625" defaultRowHeight="14.4"/>
  <cols>
    <col min="1" max="1" width="11.44140625" style="223"/>
    <col min="2" max="2" width="6.109375" style="223" customWidth="1"/>
    <col min="3" max="6" width="11.44140625" style="223"/>
    <col min="7" max="7" width="20.109375" style="224" customWidth="1"/>
    <col min="8" max="9" width="11.44140625" style="223"/>
    <col min="11" max="12" width="11.44140625" style="195"/>
    <col min="13" max="13" width="11.44140625" style="240"/>
    <col min="14" max="16" width="11.44140625" style="195"/>
    <col min="17" max="17" width="21.88671875" style="195" customWidth="1"/>
    <col min="18" max="18" width="24.44140625" style="195" customWidth="1"/>
    <col min="19" max="20" width="11.44140625" style="16"/>
    <col min="21" max="22" width="11.44140625" style="17"/>
    <col min="28" max="28" width="16.88671875" customWidth="1"/>
    <col min="32" max="32" width="11.44140625" style="246"/>
  </cols>
  <sheetData>
    <row r="1" spans="1:40" ht="87" thickBot="1">
      <c r="A1" s="257" t="s">
        <v>2457</v>
      </c>
      <c r="B1" s="70" t="s">
        <v>2164</v>
      </c>
      <c r="C1" s="70" t="s">
        <v>2643</v>
      </c>
      <c r="D1" s="70" t="s">
        <v>2665</v>
      </c>
      <c r="E1" s="70" t="s">
        <v>2648</v>
      </c>
      <c r="F1" s="70" t="s">
        <v>2641</v>
      </c>
      <c r="G1" s="235" t="s">
        <v>2642</v>
      </c>
      <c r="H1" s="70" t="s">
        <v>25</v>
      </c>
      <c r="I1" s="70" t="s">
        <v>2664</v>
      </c>
      <c r="J1" s="70" t="s">
        <v>2647</v>
      </c>
      <c r="K1" s="279" t="s">
        <v>2649</v>
      </c>
      <c r="L1" s="279" t="s">
        <v>2650</v>
      </c>
      <c r="M1" s="277" t="s">
        <v>2651</v>
      </c>
      <c r="N1" s="279" t="s">
        <v>2652</v>
      </c>
      <c r="O1" s="279" t="s">
        <v>2653</v>
      </c>
      <c r="P1" s="279" t="s">
        <v>2654</v>
      </c>
      <c r="Q1" s="279" t="s">
        <v>2655</v>
      </c>
      <c r="R1" s="279" t="s">
        <v>2656</v>
      </c>
      <c r="S1" s="236" t="s">
        <v>2658</v>
      </c>
      <c r="T1" s="237" t="s">
        <v>31</v>
      </c>
      <c r="U1" s="238" t="s">
        <v>2657</v>
      </c>
      <c r="V1" s="238" t="s">
        <v>3653</v>
      </c>
      <c r="W1" s="238" t="s">
        <v>2663</v>
      </c>
      <c r="X1" s="238" t="s">
        <v>3150</v>
      </c>
      <c r="Y1" s="238" t="s">
        <v>2677</v>
      </c>
      <c r="Z1" s="238" t="s">
        <v>2678</v>
      </c>
      <c r="AA1" s="238" t="s">
        <v>2679</v>
      </c>
      <c r="AB1" s="238" t="s">
        <v>3151</v>
      </c>
      <c r="AC1" s="238" t="s">
        <v>2680</v>
      </c>
      <c r="AD1" s="239" t="s">
        <v>3154</v>
      </c>
      <c r="AE1" s="239" t="s">
        <v>3155</v>
      </c>
      <c r="AF1" s="245" t="s">
        <v>3152</v>
      </c>
      <c r="AG1" s="239" t="s">
        <v>3153</v>
      </c>
      <c r="AH1" s="239" t="s">
        <v>3159</v>
      </c>
      <c r="AI1" s="239" t="s">
        <v>3160</v>
      </c>
      <c r="AJ1" s="239" t="s">
        <v>3162</v>
      </c>
      <c r="AK1" s="239" t="s">
        <v>3163</v>
      </c>
      <c r="AL1" s="251" t="s">
        <v>3519</v>
      </c>
      <c r="AM1" s="251" t="s">
        <v>3520</v>
      </c>
      <c r="AN1" s="251" t="s">
        <v>3521</v>
      </c>
    </row>
    <row r="2" spans="1:40">
      <c r="A2" s="258" t="s">
        <v>2460</v>
      </c>
      <c r="B2" s="263">
        <f>'Dry_Litterbag Placem_Collection'!A3</f>
        <v>1</v>
      </c>
      <c r="C2" s="263" t="str">
        <f>'Dry_Litterbag Placem_Collection'!B3</f>
        <v>Makao</v>
      </c>
      <c r="D2" s="263" t="s">
        <v>2659</v>
      </c>
      <c r="E2" s="263" t="s">
        <v>2660</v>
      </c>
      <c r="F2" s="263">
        <v>1</v>
      </c>
      <c r="G2" s="264" t="str">
        <f>'Dry_Litterbag Placem_Collection'!C3</f>
        <v>Dry_Ag1_T1</v>
      </c>
      <c r="H2" s="265" t="s">
        <v>2541</v>
      </c>
      <c r="I2" s="266" t="s">
        <v>1147</v>
      </c>
      <c r="J2" s="223" t="str">
        <f>'WetLitterbags placem_collection'!K3</f>
        <v>G436</v>
      </c>
      <c r="K2" s="225">
        <f>IFERROR(INDEX('Green_rooibos initial weight'!$C$5:$C$1749,MATCH(J2, 'Green_rooibos initial weight'!$A$5:$A$1749,0)),"")</f>
        <v>2.0329999999999999</v>
      </c>
      <c r="L2" s="225">
        <f>IFERROR(K2-(TBIcalc!$H$9+TBIcalc!$H$10),"")</f>
        <v>1.7831999999999999</v>
      </c>
      <c r="M2" s="391">
        <f>AVERAGE(Ashed_controlls!$K$2:$K$11)</f>
        <v>5.5147656768714146</v>
      </c>
      <c r="N2" s="225">
        <f>IFERROR(L2-(M2/100)*L2,"")</f>
        <v>1.6848606984500289</v>
      </c>
      <c r="O2" s="225">
        <f>IF(IFERROR(INDEX('Both teabags AfterWet'!$C$3:$C$841,MATCH(J2,'Both teabags AfterWet'!$A$3:$A$841,0)),"")="","",(IFERROR(INDEX('Both teabags AfterWet'!$C$3:$C$841,MATCH(J2,'Both teabags AfterWet'!$A$3:$A$841,0)),"")))</f>
        <v>0.43290000000000001</v>
      </c>
      <c r="P2" s="225">
        <f>IFERROR(IF(O2&gt;0,O2-(TBIcalc!$H$9),""),"")</f>
        <v>0.2823</v>
      </c>
      <c r="Q2" s="225">
        <f>IFERROR(INDEX('Ashed teabags wet'!$K$2:$K$821,MATCH(J2,'Ashed teabags wet'!$A$2:$A$821,0)),"")</f>
        <v>27.683896620278237</v>
      </c>
      <c r="R2" s="225">
        <f>IFERROR(P2-(Q2/100)*P2,"")</f>
        <v>0.20414835984095453</v>
      </c>
      <c r="S2" s="226">
        <f>'WetLitterbags placem_collection'!E3</f>
        <v>42766</v>
      </c>
      <c r="T2" s="226">
        <f>IF('WetLitterbags placem_collection'!G3="","",'WetLitterbags placem_collection'!G3)</f>
        <v>42818</v>
      </c>
      <c r="U2" s="227">
        <f t="shared" ref="U2" si="0">IFERROR(T2-S2,"")</f>
        <v>52</v>
      </c>
      <c r="V2" s="225">
        <f>IFERROR(L2-P2,"")</f>
        <v>1.5008999999999999</v>
      </c>
      <c r="W2" s="225">
        <f>IFERROR(N2-R2,"")</f>
        <v>1.4807123386090744</v>
      </c>
      <c r="X2">
        <f>IFERROR(INDEX(Rainfall_Wet!$O$2:$O$217,MATCH(B2, Rainfall_Wet!$A$2:$A$217,0)),"")</f>
        <v>194.43839254400001</v>
      </c>
      <c r="Y2" s="231">
        <v>12.565665055683967</v>
      </c>
      <c r="Z2" s="231">
        <v>0.9665896196679955</v>
      </c>
      <c r="AA2" s="231">
        <v>86.467745324648035</v>
      </c>
      <c r="AB2" s="232" t="s">
        <v>2672</v>
      </c>
      <c r="AC2" s="231">
        <v>1.0225726959093147</v>
      </c>
      <c r="AD2">
        <f>IF('WetLitterbags placem_collection'!AB3="","",'WetLitterbags placem_collection'!AB3)</f>
        <v>26.4</v>
      </c>
      <c r="AE2">
        <f>IF('WetLitterbags placem_collection'!Z3="","",'WetLitterbags placem_collection'!Z3)</f>
        <v>41</v>
      </c>
      <c r="AF2" s="246" t="str">
        <f>IF('WetLitterbags placem_collection'!AA3="","",'WetLitterbags placem_collection'!AA3)</f>
        <v>M</v>
      </c>
      <c r="AG2">
        <f>IF('WetLitterbags placem_collection'!AC3="","",'WetLitterbags placem_collection'!AC3)</f>
        <v>1</v>
      </c>
      <c r="AH2" s="240">
        <f>AVERAGE('WetLitterbags placem_collection'!S3,'WetLitterbags placem_collection'!U3)</f>
        <v>14.75</v>
      </c>
      <c r="AI2">
        <f>AVERAGE('WetLitterbags placem_collection'!R3,'WetLitterbags placem_collection'!T3)</f>
        <v>24.7</v>
      </c>
      <c r="AJ2">
        <f>INDEX(Coordinates!$B$2:$B$197,MATCH(G2,Coordinates!$J$2:$J$197,0))</f>
        <v>-3.3978609999999998</v>
      </c>
      <c r="AK2">
        <f>INDEX(Coordinates!$C$2:$C$197,MATCH(G2,Coordinates!$J$2:$J$197,0))</f>
        <v>34.837608000000003</v>
      </c>
      <c r="AL2" t="str">
        <f>IF(ISNUMBER(SEARCH("C", 'WetLitterbags placem_collection'!V3)),"YES","NO")</f>
        <v>NO</v>
      </c>
      <c r="AM2" t="str">
        <f>IF(ISNUMBER(SEARCH("H", 'WetLitterbags placem_collection'!V3)),"YES","NO")</f>
        <v>YES</v>
      </c>
      <c r="AN2" t="str">
        <f>IF(ISNUMBER(SEARCH("R", 'WetLitterbags placem_collection'!V3)),"YES","NO")</f>
        <v>NO</v>
      </c>
    </row>
    <row r="3" spans="1:40">
      <c r="A3" s="258" t="s">
        <v>2460</v>
      </c>
      <c r="B3" s="263">
        <f>'Dry_Litterbag Placem_Collection'!A4</f>
        <v>2</v>
      </c>
      <c r="C3" s="263" t="str">
        <f>'Dry_Litterbag Placem_Collection'!B4</f>
        <v>Makao</v>
      </c>
      <c r="D3" s="263" t="s">
        <v>2659</v>
      </c>
      <c r="E3" s="263" t="s">
        <v>2660</v>
      </c>
      <c r="F3" s="263">
        <v>1</v>
      </c>
      <c r="G3" s="264" t="str">
        <f>'Dry_Litterbag Placem_Collection'!C4</f>
        <v>Dry_Ag1_T2</v>
      </c>
      <c r="H3" s="265" t="s">
        <v>2541</v>
      </c>
      <c r="I3" s="266" t="s">
        <v>1147</v>
      </c>
      <c r="J3" s="223" t="str">
        <f>'WetLitterbags placem_collection'!K4</f>
        <v>G568</v>
      </c>
      <c r="K3" s="225">
        <f>IFERROR(INDEX('Green_rooibos initial weight'!$C$5:$C$1749,MATCH(J3, 'Green_rooibos initial weight'!$A$5:$A$1749,0)),"")</f>
        <v>2.0059999999999998</v>
      </c>
      <c r="L3" s="225">
        <f>IFERROR(K3-(TBIcalc!$H$9+TBIcalc!$H$10),"")</f>
        <v>1.7561999999999998</v>
      </c>
      <c r="M3" s="391">
        <f>AVERAGE(Ashed_controlls!$K$2:$K$11)</f>
        <v>5.5147656768714146</v>
      </c>
      <c r="N3" s="225">
        <f t="shared" ref="N3:N66" si="1">IFERROR(L3-(M3/100)*L3,"")</f>
        <v>1.659349685182784</v>
      </c>
      <c r="O3" s="225">
        <f>IF(IFERROR(INDEX('Both teabags AfterWet'!$C$3:$C$841,MATCH(J3,'Both teabags AfterWet'!$A$3:$A$841,0)),"")="","",(IFERROR(INDEX('Both teabags AfterWet'!$C$3:$C$841,MATCH(J3,'Both teabags AfterWet'!$A$3:$A$841,0)),"")))</f>
        <v>0.629</v>
      </c>
      <c r="P3" s="225">
        <f>IFERROR(IF(O3&gt;0,O3-(TBIcalc!$H$9),""),"")</f>
        <v>0.47839999999999999</v>
      </c>
      <c r="Q3" s="225">
        <f>IFERROR(INDEX('Ashed teabags wet'!$K$2:$K$821,MATCH(J3,'Ashed teabags wet'!$A$2:$A$821,0)),"")</f>
        <v>8.5032322227742174</v>
      </c>
      <c r="R3" s="225">
        <f t="shared" ref="R3:R10" si="2">IFERROR(P3-(Q3/100)*P3,"")</f>
        <v>0.43772053704624814</v>
      </c>
      <c r="S3" s="226">
        <f>'WetLitterbags placem_collection'!E4</f>
        <v>42766</v>
      </c>
      <c r="T3" s="226">
        <f>IF('WetLitterbags placem_collection'!G4="","",'WetLitterbags placem_collection'!G4)</f>
        <v>42818</v>
      </c>
      <c r="U3" s="227">
        <f t="shared" ref="U3:U66" si="3">IFERROR(T3-S3,"")</f>
        <v>52</v>
      </c>
      <c r="V3" s="225">
        <f t="shared" ref="V3:V66" si="4">IFERROR(L3-P3,"")</f>
        <v>1.2777999999999998</v>
      </c>
      <c r="W3" s="225">
        <f t="shared" ref="W3:W66" si="5">IFERROR(N3-R3,"")</f>
        <v>1.221629148136536</v>
      </c>
      <c r="X3">
        <f>IFERROR(INDEX(Rainfall_Wet!$O$2:$O$217,MATCH(B3, Rainfall_Wet!$A$2:$A$217,0)),"")</f>
        <v>194.43839254400001</v>
      </c>
      <c r="Y3" s="231">
        <v>12.565665055683967</v>
      </c>
      <c r="Z3" s="231">
        <v>0.9665896196679955</v>
      </c>
      <c r="AA3" s="231">
        <v>86.467745324648035</v>
      </c>
      <c r="AB3" s="232" t="s">
        <v>2672</v>
      </c>
      <c r="AC3" s="231">
        <v>2.02257269590931</v>
      </c>
      <c r="AD3">
        <f>IF('WetLitterbags placem_collection'!AB4="","",'WetLitterbags placem_collection'!AB4)</f>
        <v>22.4</v>
      </c>
      <c r="AE3">
        <f>IF('WetLitterbags placem_collection'!Z4="","",'WetLitterbags placem_collection'!Z4)</f>
        <v>39.799999999999997</v>
      </c>
      <c r="AF3" s="246" t="str">
        <f>IF('WetLitterbags placem_collection'!AA4="","",'WetLitterbags placem_collection'!AA4)</f>
        <v>M</v>
      </c>
      <c r="AG3">
        <f>IF('WetLitterbags placem_collection'!AC4="","",'WetLitterbags placem_collection'!AC4)</f>
        <v>1</v>
      </c>
      <c r="AH3" s="240">
        <f>AVERAGE('WetLitterbags placem_collection'!S4,'WetLitterbags placem_collection'!U4)</f>
        <v>13.1</v>
      </c>
      <c r="AI3">
        <f>AVERAGE('WetLitterbags placem_collection'!R4,'WetLitterbags placem_collection'!T4)</f>
        <v>24.9</v>
      </c>
      <c r="AJ3">
        <f>INDEX(Coordinates!$B$2:$B$197,MATCH(G3,Coordinates!$J$2:$J$197,0))</f>
        <v>-3.397879042</v>
      </c>
      <c r="AK3">
        <f>INDEX(Coordinates!$C$2:$C$197,MATCH(G3,Coordinates!$J$2:$J$197,0))</f>
        <v>34.837536010000001</v>
      </c>
      <c r="AL3" t="str">
        <f>IF(ISNUMBER(SEARCH("C", 'WetLitterbags placem_collection'!V4)),"YES","NO")</f>
        <v>NO</v>
      </c>
      <c r="AM3" t="str">
        <f>IF(ISNUMBER(SEARCH("H", 'WetLitterbags placem_collection'!V4)),"YES","NO")</f>
        <v>NO</v>
      </c>
      <c r="AN3" t="str">
        <f>IF(ISNUMBER(SEARCH("R", 'WetLitterbags placem_collection'!V4)),"YES","NO")</f>
        <v>NO</v>
      </c>
    </row>
    <row r="4" spans="1:40">
      <c r="A4" s="258" t="s">
        <v>2460</v>
      </c>
      <c r="B4" s="263">
        <f>'Dry_Litterbag Placem_Collection'!A5</f>
        <v>3</v>
      </c>
      <c r="C4" s="263" t="str">
        <f>'Dry_Litterbag Placem_Collection'!B5</f>
        <v>Makao</v>
      </c>
      <c r="D4" s="263" t="s">
        <v>2659</v>
      </c>
      <c r="E4" s="263" t="s">
        <v>2660</v>
      </c>
      <c r="F4" s="263">
        <v>1</v>
      </c>
      <c r="G4" s="264" t="str">
        <f>'Dry_Litterbag Placem_Collection'!C5</f>
        <v>Dry_Ag1_T3</v>
      </c>
      <c r="H4" s="265" t="s">
        <v>2541</v>
      </c>
      <c r="I4" s="266" t="s">
        <v>1147</v>
      </c>
      <c r="J4" s="223" t="str">
        <f>'WetLitterbags placem_collection'!K5</f>
        <v>G631</v>
      </c>
      <c r="K4" s="225">
        <f>IFERROR(INDEX('Green_rooibos initial weight'!$C$5:$C$1749,MATCH(J4, 'Green_rooibos initial weight'!$A$5:$A$1749,0)),"")</f>
        <v>1.99</v>
      </c>
      <c r="L4" s="225">
        <f>IFERROR(K4-(TBIcalc!$H$9+TBIcalc!$H$10),"")</f>
        <v>1.7402</v>
      </c>
      <c r="M4" s="391">
        <f>AVERAGE(Ashed_controlls!$K$2:$K$11)</f>
        <v>5.5147656768714146</v>
      </c>
      <c r="N4" s="225">
        <f t="shared" si="1"/>
        <v>1.6442320476910837</v>
      </c>
      <c r="O4" s="225" t="str">
        <f>IF(IFERROR(INDEX('Both teabags AfterWet'!$C$3:$C$841,MATCH(J4,'Both teabags AfterWet'!$A$3:$A$841,0)),"")="","",(IFERROR(INDEX('Both teabags AfterWet'!$C$3:$C$841,MATCH(J4,'Both teabags AfterWet'!$A$3:$A$841,0)),"")))</f>
        <v/>
      </c>
      <c r="P4" s="225" t="str">
        <f>IFERROR(IF(O4&gt;0,O4-(TBIcalc!$H$9),""),"")</f>
        <v/>
      </c>
      <c r="Q4" s="225" t="str">
        <f>IFERROR(INDEX('Ashed teabags wet'!$K$2:$K$821,MATCH(J4,'Ashed teabags wet'!$A$2:$A$821,0)),"")</f>
        <v/>
      </c>
      <c r="R4" s="225" t="str">
        <f t="shared" si="2"/>
        <v/>
      </c>
      <c r="S4" s="226">
        <f>'WetLitterbags placem_collection'!E5</f>
        <v>42766</v>
      </c>
      <c r="T4" s="226" t="str">
        <f>IF('WetLitterbags placem_collection'!G5="","",'WetLitterbags placem_collection'!G5)</f>
        <v/>
      </c>
      <c r="U4" s="227" t="str">
        <f t="shared" si="3"/>
        <v/>
      </c>
      <c r="V4" s="225" t="str">
        <f t="shared" si="4"/>
        <v/>
      </c>
      <c r="W4" s="225" t="str">
        <f t="shared" si="5"/>
        <v/>
      </c>
      <c r="X4" t="str">
        <f>IFERROR(INDEX(Rainfall_Wet!$O$2:$O$217,MATCH(B4, Rainfall_Wet!$A$2:$A$217,0)),"")</f>
        <v/>
      </c>
      <c r="Y4" s="231">
        <v>12.565665055683967</v>
      </c>
      <c r="Z4" s="231">
        <v>0.9665896196679955</v>
      </c>
      <c r="AA4" s="231">
        <v>86.467745324648035</v>
      </c>
      <c r="AB4" s="232" t="s">
        <v>2672</v>
      </c>
      <c r="AC4" s="231">
        <v>3.02257269590931</v>
      </c>
      <c r="AD4" t="str">
        <f>IF('WetLitterbags placem_collection'!AB5="","",'WetLitterbags placem_collection'!AB5)</f>
        <v/>
      </c>
      <c r="AE4" t="str">
        <f>IF('WetLitterbags placem_collection'!Z5="","",'WetLitterbags placem_collection'!Z5)</f>
        <v/>
      </c>
      <c r="AF4" s="246" t="str">
        <f>IF('WetLitterbags placem_collection'!AA5="","",'WetLitterbags placem_collection'!AA5)</f>
        <v/>
      </c>
      <c r="AG4" t="str">
        <f>IF('WetLitterbags placem_collection'!AC5="","",'WetLitterbags placem_collection'!AC5)</f>
        <v/>
      </c>
      <c r="AH4" s="240">
        <f>AVERAGE('WetLitterbags placem_collection'!S5,'WetLitterbags placem_collection'!U5)</f>
        <v>14.649999999999999</v>
      </c>
      <c r="AI4">
        <f>AVERAGE('WetLitterbags placem_collection'!R5,'WetLitterbags placem_collection'!T5)</f>
        <v>24.7</v>
      </c>
      <c r="AJ4">
        <f>INDEX(Coordinates!$B$2:$B$197,MATCH(G4,Coordinates!$J$2:$J$197,0))</f>
        <v>-3.3978739999999998</v>
      </c>
      <c r="AK4">
        <f>INDEX(Coordinates!$C$2:$C$197,MATCH(G4,Coordinates!$J$2:$J$197,0))</f>
        <v>34.837578999999998</v>
      </c>
      <c r="AL4" t="str">
        <f>IF(ISNUMBER(SEARCH("C", 'WetLitterbags placem_collection'!V5)),"YES","NO")</f>
        <v>NO</v>
      </c>
      <c r="AM4" t="str">
        <f>IF(ISNUMBER(SEARCH("H", 'WetLitterbags placem_collection'!V5)),"YES","NO")</f>
        <v>NO</v>
      </c>
      <c r="AN4" t="str">
        <f>IF(ISNUMBER(SEARCH("R", 'WetLitterbags placem_collection'!V5)),"YES","NO")</f>
        <v>NO</v>
      </c>
    </row>
    <row r="5" spans="1:40">
      <c r="A5" s="258" t="s">
        <v>2460</v>
      </c>
      <c r="B5" s="263">
        <f>'Dry_Litterbag Placem_Collection'!A6</f>
        <v>4</v>
      </c>
      <c r="C5" s="263" t="str">
        <f>'Dry_Litterbag Placem_Collection'!B6</f>
        <v>Makao</v>
      </c>
      <c r="D5" s="263" t="s">
        <v>2659</v>
      </c>
      <c r="E5" s="263" t="s">
        <v>2660</v>
      </c>
      <c r="F5" s="263">
        <v>1</v>
      </c>
      <c r="G5" s="264" t="str">
        <f>'Dry_Litterbag Placem_Collection'!C6</f>
        <v>Dry_Ag1_T4</v>
      </c>
      <c r="H5" s="265" t="s">
        <v>2541</v>
      </c>
      <c r="I5" s="266" t="s">
        <v>1147</v>
      </c>
      <c r="J5" s="223" t="str">
        <f>'WetLitterbags placem_collection'!K6</f>
        <v>G652</v>
      </c>
      <c r="K5" s="225">
        <f>IFERROR(INDEX('Green_rooibos initial weight'!$C$5:$C$1749,MATCH(J5, 'Green_rooibos initial weight'!$A$5:$A$1749,0)),"")</f>
        <v>2.024</v>
      </c>
      <c r="L5" s="225">
        <f>IFERROR(K5-(TBIcalc!$H$9+TBIcalc!$H$10),"")</f>
        <v>1.7742</v>
      </c>
      <c r="M5" s="391">
        <f>AVERAGE(Ashed_controlls!$K$2:$K$11)</f>
        <v>5.5147656768714146</v>
      </c>
      <c r="N5" s="225">
        <f t="shared" si="1"/>
        <v>1.6763570273609474</v>
      </c>
      <c r="O5" s="225" t="str">
        <f>IF(IFERROR(INDEX('Both teabags AfterWet'!$C$3:$C$841,MATCH(J5,'Both teabags AfterWet'!$A$3:$A$841,0)),"")="","",(IFERROR(INDEX('Both teabags AfterWet'!$C$3:$C$841,MATCH(J5,'Both teabags AfterWet'!$A$3:$A$841,0)),"")))</f>
        <v/>
      </c>
      <c r="P5" s="225" t="str">
        <f>IFERROR(IF(O5&gt;0,O5-(TBIcalc!$H$9),""),"")</f>
        <v/>
      </c>
      <c r="Q5" s="225" t="str">
        <f>IFERROR(INDEX('Ashed teabags wet'!$K$2:$K$821,MATCH(J5,'Ashed teabags wet'!$A$2:$A$821,0)),"")</f>
        <v/>
      </c>
      <c r="R5" s="225" t="str">
        <f t="shared" si="2"/>
        <v/>
      </c>
      <c r="S5" s="226">
        <f>'WetLitterbags placem_collection'!E6</f>
        <v>42766</v>
      </c>
      <c r="T5" s="226">
        <f>IF('WetLitterbags placem_collection'!G6="","",'WetLitterbags placem_collection'!G6)</f>
        <v>42818</v>
      </c>
      <c r="U5" s="227">
        <f t="shared" si="3"/>
        <v>52</v>
      </c>
      <c r="V5" s="225" t="str">
        <f t="shared" si="4"/>
        <v/>
      </c>
      <c r="W5" s="225" t="str">
        <f t="shared" si="5"/>
        <v/>
      </c>
      <c r="X5">
        <f>IFERROR(INDEX(Rainfall_Wet!$O$2:$O$217,MATCH(B5, Rainfall_Wet!$A$2:$A$217,0)),"")</f>
        <v>194.43839254400001</v>
      </c>
      <c r="Y5" s="231">
        <v>12.565665055683967</v>
      </c>
      <c r="Z5" s="231">
        <v>0.9665896196679955</v>
      </c>
      <c r="AA5" s="231">
        <v>86.467745324648035</v>
      </c>
      <c r="AB5" s="232" t="s">
        <v>2672</v>
      </c>
      <c r="AC5" s="231">
        <v>4.02257269590931</v>
      </c>
      <c r="AD5" t="str">
        <f>IF('WetLitterbags placem_collection'!AB6="","",'WetLitterbags placem_collection'!AB6)</f>
        <v/>
      </c>
      <c r="AE5" t="str">
        <f>IF('WetLitterbags placem_collection'!Z6="","",'WetLitterbags placem_collection'!Z6)</f>
        <v/>
      </c>
      <c r="AF5" s="246" t="str">
        <f>IF('WetLitterbags placem_collection'!AA6="","",'WetLitterbags placem_collection'!AA6)</f>
        <v/>
      </c>
      <c r="AG5" t="str">
        <f>IF('WetLitterbags placem_collection'!AC6="","",'WetLitterbags placem_collection'!AC6)</f>
        <v/>
      </c>
      <c r="AH5" s="240">
        <f>AVERAGE('WetLitterbags placem_collection'!S6,'WetLitterbags placem_collection'!U6)</f>
        <v>17.399999999999999</v>
      </c>
      <c r="AI5">
        <f>AVERAGE('WetLitterbags placem_collection'!R6,'WetLitterbags placem_collection'!T6)</f>
        <v>25.549999999999997</v>
      </c>
      <c r="AJ5">
        <f>INDEX(Coordinates!$B$2:$B$197,MATCH(G5,Coordinates!$J$2:$J$197,0))</f>
        <v>-3.3977780399999999</v>
      </c>
      <c r="AK5">
        <f>INDEX(Coordinates!$C$2:$C$197,MATCH(G5,Coordinates!$J$2:$J$197,0))</f>
        <v>34.83751204</v>
      </c>
      <c r="AL5" t="str">
        <f>IF(ISNUMBER(SEARCH("C", 'WetLitterbags placem_collection'!V6)),"YES","NO")</f>
        <v>NO</v>
      </c>
      <c r="AM5" t="str">
        <f>IF(ISNUMBER(SEARCH("H", 'WetLitterbags placem_collection'!V6)),"YES","NO")</f>
        <v>NO</v>
      </c>
      <c r="AN5" t="str">
        <f>IF(ISNUMBER(SEARCH("R", 'WetLitterbags placem_collection'!V6)),"YES","NO")</f>
        <v>NO</v>
      </c>
    </row>
    <row r="6" spans="1:40">
      <c r="A6" s="258" t="s">
        <v>2460</v>
      </c>
      <c r="B6" s="263">
        <f>'Dry_Litterbag Placem_Collection'!A7</f>
        <v>5</v>
      </c>
      <c r="C6" s="263" t="str">
        <f>'Dry_Litterbag Placem_Collection'!B7</f>
        <v>Makao</v>
      </c>
      <c r="D6" s="263" t="s">
        <v>2659</v>
      </c>
      <c r="E6" s="263" t="s">
        <v>2660</v>
      </c>
      <c r="F6" s="263">
        <v>1</v>
      </c>
      <c r="G6" s="264" t="str">
        <f>'Dry_Litterbag Placem_Collection'!C7</f>
        <v>Dry_Ag1_T5</v>
      </c>
      <c r="H6" s="265" t="s">
        <v>2541</v>
      </c>
      <c r="I6" s="266" t="s">
        <v>1147</v>
      </c>
      <c r="J6" s="223" t="str">
        <f>'WetLitterbags placem_collection'!K7</f>
        <v>G497</v>
      </c>
      <c r="K6" s="225">
        <f>IFERROR(INDEX('Green_rooibos initial weight'!$C$5:$C$1749,MATCH(J6, 'Green_rooibos initial weight'!$A$5:$A$1749,0)),"")</f>
        <v>2.0019999999999998</v>
      </c>
      <c r="L6" s="225">
        <f>IFERROR(K6-(TBIcalc!$H$9+TBIcalc!$H$10),"")</f>
        <v>1.7521999999999998</v>
      </c>
      <c r="M6" s="391">
        <f>AVERAGE(Ashed_controlls!$K$2:$K$11)</f>
        <v>5.5147656768714146</v>
      </c>
      <c r="N6" s="225">
        <f t="shared" si="1"/>
        <v>1.6555702758098589</v>
      </c>
      <c r="O6" s="225">
        <f>IF(IFERROR(INDEX('Both teabags AfterWet'!$C$3:$C$841,MATCH(J6,'Both teabags AfterWet'!$A$3:$A$841,0)),"")="","",(IFERROR(INDEX('Both teabags AfterWet'!$C$3:$C$841,MATCH(J6,'Both teabags AfterWet'!$A$3:$A$841,0)),"")))</f>
        <v>0.46</v>
      </c>
      <c r="P6" s="225">
        <f>IFERROR(IF(O6&gt;0,O6-(TBIcalc!$H$9),""),"")</f>
        <v>0.30940000000000001</v>
      </c>
      <c r="Q6" s="225">
        <f>IFERROR(INDEX('Ashed teabags wet'!$K$2:$K$821,MATCH(J6,'Ashed teabags wet'!$A$2:$A$821,0)),"")</f>
        <v>19.444444444444176</v>
      </c>
      <c r="R6" s="225">
        <f t="shared" si="2"/>
        <v>0.24923888888888973</v>
      </c>
      <c r="S6" s="226">
        <f>'WetLitterbags placem_collection'!E7</f>
        <v>42766</v>
      </c>
      <c r="T6" s="226">
        <f>IF('WetLitterbags placem_collection'!G7="","",'WetLitterbags placem_collection'!G7)</f>
        <v>42818</v>
      </c>
      <c r="U6" s="227">
        <f t="shared" si="3"/>
        <v>52</v>
      </c>
      <c r="V6" s="225">
        <f t="shared" si="4"/>
        <v>1.4427999999999996</v>
      </c>
      <c r="W6" s="225">
        <f t="shared" si="5"/>
        <v>1.4063313869209693</v>
      </c>
      <c r="X6">
        <f>IFERROR(INDEX(Rainfall_Wet!$O$2:$O$217,MATCH(B6, Rainfall_Wet!$A$2:$A$217,0)),"")</f>
        <v>194.43839254400001</v>
      </c>
      <c r="Y6" s="231">
        <v>12.565665055683967</v>
      </c>
      <c r="Z6" s="231">
        <v>0.9665896196679955</v>
      </c>
      <c r="AA6" s="231">
        <v>86.467745324648035</v>
      </c>
      <c r="AB6" s="232" t="s">
        <v>2672</v>
      </c>
      <c r="AC6" s="231">
        <v>5.02257269590931</v>
      </c>
      <c r="AD6">
        <f>IF('WetLitterbags placem_collection'!AB7="","",'WetLitterbags placem_collection'!AB7)</f>
        <v>28.4</v>
      </c>
      <c r="AE6">
        <f>IF('WetLitterbags placem_collection'!Z7="","",'WetLitterbags placem_collection'!Z7)</f>
        <v>36.4</v>
      </c>
      <c r="AF6" s="246" t="str">
        <f>IF('WetLitterbags placem_collection'!AA7="","",'WetLitterbags placem_collection'!AA7)</f>
        <v>M</v>
      </c>
      <c r="AG6">
        <f>IF('WetLitterbags placem_collection'!AC7="","",'WetLitterbags placem_collection'!AC7)</f>
        <v>1</v>
      </c>
      <c r="AH6" s="240">
        <f>AVERAGE('WetLitterbags placem_collection'!S7,'WetLitterbags placem_collection'!U7)</f>
        <v>12.100000000000001</v>
      </c>
      <c r="AI6">
        <f>AVERAGE('WetLitterbags placem_collection'!R7,'WetLitterbags placem_collection'!T7)</f>
        <v>25.1</v>
      </c>
      <c r="AJ6">
        <f>INDEX(Coordinates!$B$2:$B$197,MATCH(G6,Coordinates!$J$2:$J$197,0))</f>
        <v>-3.3978020120000001</v>
      </c>
      <c r="AK6">
        <f>INDEX(Coordinates!$C$2:$C$197,MATCH(G6,Coordinates!$J$2:$J$197,0))</f>
        <v>34.83751204</v>
      </c>
      <c r="AL6" t="str">
        <f>IF(ISNUMBER(SEARCH("C", 'WetLitterbags placem_collection'!V7)),"YES","NO")</f>
        <v>NO</v>
      </c>
      <c r="AM6" t="str">
        <f>IF(ISNUMBER(SEARCH("H", 'WetLitterbags placem_collection'!V7)),"YES","NO")</f>
        <v>NO</v>
      </c>
      <c r="AN6" t="str">
        <f>IF(ISNUMBER(SEARCH("R", 'WetLitterbags placem_collection'!V7)),"YES","NO")</f>
        <v>NO</v>
      </c>
    </row>
    <row r="7" spans="1:40">
      <c r="A7" s="258" t="s">
        <v>2460</v>
      </c>
      <c r="B7" s="263">
        <f>'Dry_Litterbag Placem_Collection'!A8</f>
        <v>6</v>
      </c>
      <c r="C7" s="263" t="str">
        <f>'Dry_Litterbag Placem_Collection'!B8</f>
        <v>Makao</v>
      </c>
      <c r="D7" s="263" t="s">
        <v>2659</v>
      </c>
      <c r="E7" s="263" t="s">
        <v>2660</v>
      </c>
      <c r="F7" s="263">
        <v>1</v>
      </c>
      <c r="G7" s="264" t="str">
        <f>'Dry_Litterbag Placem_Collection'!C8</f>
        <v>Dry_Ag1_T6</v>
      </c>
      <c r="H7" s="265" t="s">
        <v>2541</v>
      </c>
      <c r="I7" s="266" t="s">
        <v>1147</v>
      </c>
      <c r="J7" s="223" t="str">
        <f>'WetLitterbags placem_collection'!K8</f>
        <v>G447</v>
      </c>
      <c r="K7" s="225">
        <f>IFERROR(INDEX('Green_rooibos initial weight'!$C$5:$C$1749,MATCH(J7, 'Green_rooibos initial weight'!$A$5:$A$1749,0)),"")</f>
        <v>2.0579999999999998</v>
      </c>
      <c r="L7" s="225">
        <f>IFERROR(K7-(TBIcalc!$H$9+TBIcalc!$H$10),"")</f>
        <v>1.8081999999999998</v>
      </c>
      <c r="M7" s="391">
        <f>AVERAGE(Ashed_controlls!$K$2:$K$11)</f>
        <v>5.5147656768714146</v>
      </c>
      <c r="N7" s="225">
        <f t="shared" si="1"/>
        <v>1.7084820070308109</v>
      </c>
      <c r="O7" s="225">
        <f>IF(IFERROR(INDEX('Both teabags AfterWet'!$C$3:$C$841,MATCH(J7,'Both teabags AfterWet'!$A$3:$A$841,0)),"")="","",(IFERROR(INDEX('Both teabags AfterWet'!$C$3:$C$841,MATCH(J7,'Both teabags AfterWet'!$A$3:$A$841,0)),"")))</f>
        <v>0.67749999999999999</v>
      </c>
      <c r="P7" s="225">
        <f>IFERROR(IF(O7&gt;0,O7-(TBIcalc!$H$9),""),"")</f>
        <v>0.52689999999999992</v>
      </c>
      <c r="Q7" s="225">
        <f>IFERROR(INDEX('Ashed teabags wet'!$K$2:$K$821,MATCH(J7,'Ashed teabags wet'!$A$2:$A$821,0)),"")</f>
        <v>11.472945891783862</v>
      </c>
      <c r="R7" s="225">
        <f t="shared" si="2"/>
        <v>0.46644904809619075</v>
      </c>
      <c r="S7" s="226">
        <f>'WetLitterbags placem_collection'!E8</f>
        <v>42766</v>
      </c>
      <c r="T7" s="226">
        <f>IF('WetLitterbags placem_collection'!G8="","",'WetLitterbags placem_collection'!G8)</f>
        <v>42818</v>
      </c>
      <c r="U7" s="227">
        <f t="shared" si="3"/>
        <v>52</v>
      </c>
      <c r="V7" s="225">
        <f t="shared" si="4"/>
        <v>1.2812999999999999</v>
      </c>
      <c r="W7" s="225">
        <f t="shared" si="5"/>
        <v>1.2420329589346202</v>
      </c>
      <c r="X7">
        <f>IFERROR(INDEX(Rainfall_Wet!$O$2:$O$217,MATCH(B7, Rainfall_Wet!$A$2:$A$217,0)),"")</f>
        <v>194.43839254400001</v>
      </c>
      <c r="Y7" s="231">
        <v>12.565665055683967</v>
      </c>
      <c r="Z7" s="231">
        <v>0.9665896196679955</v>
      </c>
      <c r="AA7" s="231">
        <v>86.467745324648035</v>
      </c>
      <c r="AB7" s="232" t="s">
        <v>2672</v>
      </c>
      <c r="AC7" s="231">
        <v>6.02257269590931</v>
      </c>
      <c r="AD7">
        <f>IF('WetLitterbags placem_collection'!AB8="","",'WetLitterbags placem_collection'!AB8)</f>
        <v>32.4</v>
      </c>
      <c r="AE7">
        <f>IF('WetLitterbags placem_collection'!Z8="","",'WetLitterbags placem_collection'!Z8)</f>
        <v>31</v>
      </c>
      <c r="AF7" s="246" t="str">
        <f>IF('WetLitterbags placem_collection'!AA8="","",'WetLitterbags placem_collection'!AA8)</f>
        <v>M</v>
      </c>
      <c r="AG7">
        <f>IF('WetLitterbags placem_collection'!AC8="","",'WetLitterbags placem_collection'!AC8)</f>
        <v>1</v>
      </c>
      <c r="AH7" s="240">
        <f>AVERAGE('WetLitterbags placem_collection'!S8,'WetLitterbags placem_collection'!U8)</f>
        <v>13.45</v>
      </c>
      <c r="AI7">
        <f>AVERAGE('WetLitterbags placem_collection'!R8,'WetLitterbags placem_collection'!T8)</f>
        <v>25.1</v>
      </c>
      <c r="AJ7">
        <f>INDEX(Coordinates!$B$2:$B$197,MATCH(G7,Coordinates!$J$2:$J$197,0))</f>
        <v>-3.3977389800000002</v>
      </c>
      <c r="AK7">
        <f>INDEX(Coordinates!$C$2:$C$197,MATCH(G7,Coordinates!$J$2:$J$197,0))</f>
        <v>34.837501979999999</v>
      </c>
      <c r="AL7" t="str">
        <f>IF(ISNUMBER(SEARCH("C", 'WetLitterbags placem_collection'!V8)),"YES","NO")</f>
        <v>NO</v>
      </c>
      <c r="AM7" t="str">
        <f>IF(ISNUMBER(SEARCH("H", 'WetLitterbags placem_collection'!V8)),"YES","NO")</f>
        <v>NO</v>
      </c>
      <c r="AN7" t="str">
        <f>IF(ISNUMBER(SEARCH("R", 'WetLitterbags placem_collection'!V8)),"YES","NO")</f>
        <v>NO</v>
      </c>
    </row>
    <row r="8" spans="1:40">
      <c r="A8" s="258" t="s">
        <v>2460</v>
      </c>
      <c r="B8" s="263">
        <f>'Dry_Litterbag Placem_Collection'!A9</f>
        <v>7</v>
      </c>
      <c r="C8" s="263" t="str">
        <f>'Dry_Litterbag Placem_Collection'!B9</f>
        <v>Makao</v>
      </c>
      <c r="D8" s="263" t="s">
        <v>2659</v>
      </c>
      <c r="E8" s="263" t="s">
        <v>2660</v>
      </c>
      <c r="F8" s="263">
        <v>1</v>
      </c>
      <c r="G8" s="264" t="str">
        <f>'Dry_Litterbag Placem_Collection'!C9</f>
        <v>Dry_Ag1_T7</v>
      </c>
      <c r="H8" s="265" t="s">
        <v>2541</v>
      </c>
      <c r="I8" s="266" t="s">
        <v>1147</v>
      </c>
      <c r="J8" s="223" t="str">
        <f>'WetLitterbags placem_collection'!K9</f>
        <v>G452</v>
      </c>
      <c r="K8" s="225">
        <f>IFERROR(INDEX('Green_rooibos initial weight'!$C$5:$C$1749,MATCH(J8, 'Green_rooibos initial weight'!$A$5:$A$1749,0)),"")</f>
        <v>2.0550000000000002</v>
      </c>
      <c r="L8" s="225">
        <f>IFERROR(K8-(TBIcalc!$H$9+TBIcalc!$H$10),"")</f>
        <v>1.8052000000000001</v>
      </c>
      <c r="M8" s="391">
        <f>AVERAGE(Ashed_controlls!$K$2:$K$11)</f>
        <v>5.5147656768714146</v>
      </c>
      <c r="N8" s="225">
        <f t="shared" si="1"/>
        <v>1.7056474500011174</v>
      </c>
      <c r="O8" s="225">
        <f>IF(IFERROR(INDEX('Both teabags AfterWet'!$C$3:$C$841,MATCH(J8,'Both teabags AfterWet'!$A$3:$A$841,0)),"")="","",(IFERROR(INDEX('Both teabags AfterWet'!$C$3:$C$841,MATCH(J8,'Both teabags AfterWet'!$A$3:$A$841,0)),"")))</f>
        <v>0.67900000000000005</v>
      </c>
      <c r="P8" s="225">
        <f>IFERROR(IF(O8&gt;0,O8-(TBIcalc!$H$9),""),"")</f>
        <v>0.52839999999999998</v>
      </c>
      <c r="Q8" s="225">
        <f>IFERROR(INDEX('Ashed teabags wet'!$K$2:$K$821,MATCH(J8,'Ashed teabags wet'!$A$2:$A$821,0)),"")</f>
        <v>11.36705057586399</v>
      </c>
      <c r="R8" s="225">
        <f t="shared" si="2"/>
        <v>0.46833650475713468</v>
      </c>
      <c r="S8" s="226">
        <f>'WetLitterbags placem_collection'!E9</f>
        <v>42766</v>
      </c>
      <c r="T8" s="226">
        <f>IF('WetLitterbags placem_collection'!G9="","",'WetLitterbags placem_collection'!G9)</f>
        <v>42818</v>
      </c>
      <c r="U8" s="227">
        <f t="shared" si="3"/>
        <v>52</v>
      </c>
      <c r="V8" s="225">
        <f t="shared" si="4"/>
        <v>1.2768000000000002</v>
      </c>
      <c r="W8" s="225">
        <f t="shared" si="5"/>
        <v>1.2373109452439828</v>
      </c>
      <c r="X8">
        <f>IFERROR(INDEX(Rainfall_Wet!$O$2:$O$217,MATCH(B8, Rainfall_Wet!$A$2:$A$217,0)),"")</f>
        <v>194.43839254400001</v>
      </c>
      <c r="Y8" s="231">
        <v>12.565665055683967</v>
      </c>
      <c r="Z8" s="231">
        <v>0.9665896196679955</v>
      </c>
      <c r="AA8" s="231">
        <v>86.467745324648035</v>
      </c>
      <c r="AB8" s="232" t="s">
        <v>2672</v>
      </c>
      <c r="AC8" s="231">
        <v>7.02257269590931</v>
      </c>
      <c r="AD8">
        <f>IF('WetLitterbags placem_collection'!AB9="","",'WetLitterbags placem_collection'!AB9)</f>
        <v>36</v>
      </c>
      <c r="AE8">
        <f>IF('WetLitterbags placem_collection'!Z9="","",'WetLitterbags placem_collection'!Z9)</f>
        <v>43.4</v>
      </c>
      <c r="AF8" s="246" t="str">
        <f>IF('WetLitterbags placem_collection'!AA9="","",'WetLitterbags placem_collection'!AA9)</f>
        <v>M</v>
      </c>
      <c r="AG8">
        <f>IF('WetLitterbags placem_collection'!AC9="","",'WetLitterbags placem_collection'!AC9)</f>
        <v>1</v>
      </c>
      <c r="AH8" s="240">
        <f>AVERAGE('WetLitterbags placem_collection'!S9,'WetLitterbags placem_collection'!U9)</f>
        <v>9.8500000000000014</v>
      </c>
      <c r="AI8">
        <f>AVERAGE('WetLitterbags placem_collection'!R9,'WetLitterbags placem_collection'!T9)</f>
        <v>26.2</v>
      </c>
      <c r="AJ8">
        <f>INDEX(Coordinates!$B$2:$B$197,MATCH(G8,Coordinates!$J$2:$J$197,0))</f>
        <v>-3.3977630360000002</v>
      </c>
      <c r="AK8">
        <f>INDEX(Coordinates!$C$2:$C$197,MATCH(G8,Coordinates!$J$2:$J$197,0))</f>
        <v>34.837600969999997</v>
      </c>
      <c r="AL8" t="str">
        <f>IF(ISNUMBER(SEARCH("C", 'WetLitterbags placem_collection'!V9)),"YES","NO")</f>
        <v>NO</v>
      </c>
      <c r="AM8" t="str">
        <f>IF(ISNUMBER(SEARCH("H", 'WetLitterbags placem_collection'!V9)),"YES","NO")</f>
        <v>NO</v>
      </c>
      <c r="AN8" t="str">
        <f>IF(ISNUMBER(SEARCH("R", 'WetLitterbags placem_collection'!V9)),"YES","NO")</f>
        <v>NO</v>
      </c>
    </row>
    <row r="9" spans="1:40">
      <c r="A9" s="258" t="s">
        <v>2460</v>
      </c>
      <c r="B9" s="263">
        <f>'Dry_Litterbag Placem_Collection'!A10</f>
        <v>8</v>
      </c>
      <c r="C9" s="263" t="str">
        <f>'Dry_Litterbag Placem_Collection'!B10</f>
        <v>Makao</v>
      </c>
      <c r="D9" s="263" t="s">
        <v>2659</v>
      </c>
      <c r="E9" s="263" t="s">
        <v>2660</v>
      </c>
      <c r="F9" s="263">
        <v>1</v>
      </c>
      <c r="G9" s="264" t="str">
        <f>'Dry_Litterbag Placem_Collection'!C10</f>
        <v>Dry_Ag1_T8</v>
      </c>
      <c r="H9" s="265" t="s">
        <v>2541</v>
      </c>
      <c r="I9" s="266" t="s">
        <v>1147</v>
      </c>
      <c r="J9" s="223" t="str">
        <f>'WetLitterbags placem_collection'!K10</f>
        <v>G389</v>
      </c>
      <c r="K9" s="225">
        <f>IFERROR(INDEX('Green_rooibos initial weight'!$C$5:$C$1749,MATCH(J9, 'Green_rooibos initial weight'!$A$5:$A$1749,0)),"")</f>
        <v>1.9710000000000001</v>
      </c>
      <c r="L9" s="225">
        <f>IFERROR(K9-(TBIcalc!$H$9+TBIcalc!$H$10),"")</f>
        <v>1.7212000000000001</v>
      </c>
      <c r="M9" s="391">
        <f>AVERAGE(Ashed_controlls!$K$2:$K$11)</f>
        <v>5.5147656768714146</v>
      </c>
      <c r="N9" s="225">
        <f t="shared" si="1"/>
        <v>1.6262798531696894</v>
      </c>
      <c r="O9" s="225">
        <f>IF(IFERROR(INDEX('Both teabags AfterWet'!$C$3:$C$841,MATCH(J9,'Both teabags AfterWet'!$A$3:$A$841,0)),"")="","",(IFERROR(INDEX('Both teabags AfterWet'!$C$3:$C$841,MATCH(J9,'Both teabags AfterWet'!$A$3:$A$841,0)),"")))</f>
        <v>0.61950000000000005</v>
      </c>
      <c r="P9" s="225">
        <f>IFERROR(IF(O9&gt;0,O9-(TBIcalc!$H$9),""),"")</f>
        <v>0.46890000000000004</v>
      </c>
      <c r="Q9" s="225">
        <f>IFERROR(INDEX('Ashed teabags wet'!$K$2:$K$821,MATCH(J9,'Ashed teabags wet'!$A$2:$A$821,0)),"")</f>
        <v>9.7706879361918428</v>
      </c>
      <c r="R9" s="225">
        <f t="shared" si="2"/>
        <v>0.42308524426719651</v>
      </c>
      <c r="S9" s="226">
        <f>'WetLitterbags placem_collection'!E10</f>
        <v>42766</v>
      </c>
      <c r="T9" s="226">
        <f>IF('WetLitterbags placem_collection'!G10="","",'WetLitterbags placem_collection'!G10)</f>
        <v>42818</v>
      </c>
      <c r="U9" s="227">
        <f t="shared" si="3"/>
        <v>52</v>
      </c>
      <c r="V9" s="225">
        <f t="shared" si="4"/>
        <v>1.2523</v>
      </c>
      <c r="W9" s="225">
        <f t="shared" si="5"/>
        <v>1.2031946089024927</v>
      </c>
      <c r="X9">
        <f>IFERROR(INDEX(Rainfall_Wet!$O$2:$O$217,MATCH(B9, Rainfall_Wet!$A$2:$A$217,0)),"")</f>
        <v>194.43839254400001</v>
      </c>
      <c r="Y9" s="231">
        <v>12.565665055683967</v>
      </c>
      <c r="Z9" s="231">
        <v>0.9665896196679955</v>
      </c>
      <c r="AA9" s="231">
        <v>86.467745324648035</v>
      </c>
      <c r="AB9" s="232" t="s">
        <v>2672</v>
      </c>
      <c r="AC9" s="231">
        <v>8.0225726959093109</v>
      </c>
      <c r="AD9">
        <f>IF('WetLitterbags placem_collection'!AB10="","",'WetLitterbags placem_collection'!AB10)</f>
        <v>36</v>
      </c>
      <c r="AE9">
        <f>IF('WetLitterbags placem_collection'!Z10="","",'WetLitterbags placem_collection'!Z10)</f>
        <v>38.4</v>
      </c>
      <c r="AF9" s="246" t="str">
        <f>IF('WetLitterbags placem_collection'!AA10="","",'WetLitterbags placem_collection'!AA10)</f>
        <v>M</v>
      </c>
      <c r="AG9" t="str">
        <f>IF('WetLitterbags placem_collection'!AC10="","",'WetLitterbags placem_collection'!AC10)</f>
        <v/>
      </c>
      <c r="AH9" s="240">
        <f>AVERAGE('WetLitterbags placem_collection'!S10,'WetLitterbags placem_collection'!U10)</f>
        <v>10.600000000000001</v>
      </c>
      <c r="AI9">
        <f>AVERAGE('WetLitterbags placem_collection'!R10,'WetLitterbags placem_collection'!T10)</f>
        <v>25.5</v>
      </c>
      <c r="AJ9">
        <f>INDEX(Coordinates!$B$2:$B$197,MATCH(G9,Coordinates!$J$2:$J$197,0))</f>
        <v>-3.3977320230000001</v>
      </c>
      <c r="AK9">
        <f>INDEX(Coordinates!$C$2:$C$197,MATCH(G9,Coordinates!$J$2:$J$197,0))</f>
        <v>34.837561989999998</v>
      </c>
      <c r="AL9" t="str">
        <f>IF(ISNUMBER(SEARCH("C", 'WetLitterbags placem_collection'!V10)),"YES","NO")</f>
        <v>NO</v>
      </c>
      <c r="AM9" t="str">
        <f>IF(ISNUMBER(SEARCH("H", 'WetLitterbags placem_collection'!V10)),"YES","NO")</f>
        <v>YES</v>
      </c>
      <c r="AN9" t="str">
        <f>IF(ISNUMBER(SEARCH("R", 'WetLitterbags placem_collection'!V10)),"YES","NO")</f>
        <v>NO</v>
      </c>
    </row>
    <row r="10" spans="1:40">
      <c r="A10" s="258" t="s">
        <v>2460</v>
      </c>
      <c r="B10" s="263">
        <f>'Dry_Litterbag Placem_Collection'!A11</f>
        <v>9</v>
      </c>
      <c r="C10" s="263" t="str">
        <f>'Dry_Litterbag Placem_Collection'!B11</f>
        <v>Makao</v>
      </c>
      <c r="D10" s="263" t="s">
        <v>2659</v>
      </c>
      <c r="E10" s="263" t="s">
        <v>2660</v>
      </c>
      <c r="F10" s="263">
        <v>2</v>
      </c>
      <c r="G10" s="264" t="str">
        <f>'Dry_Litterbag Placem_Collection'!C11</f>
        <v>Dry_Ag2_T1</v>
      </c>
      <c r="H10" s="265" t="s">
        <v>2541</v>
      </c>
      <c r="I10" s="266" t="s">
        <v>1147</v>
      </c>
      <c r="J10" s="223" t="str">
        <f>'WetLitterbags placem_collection'!K11</f>
        <v>G514</v>
      </c>
      <c r="K10" s="225">
        <f>IFERROR(INDEX('Green_rooibos initial weight'!$C$5:$C$1749,MATCH(J10, 'Green_rooibos initial weight'!$A$5:$A$1749,0)),"")</f>
        <v>1.9350000000000001</v>
      </c>
      <c r="L10" s="225">
        <f>IFERROR(K10-(TBIcalc!$H$9+TBIcalc!$H$10),"")</f>
        <v>1.6852</v>
      </c>
      <c r="M10" s="391">
        <f>AVERAGE(Ashed_controlls!$K$2:$K$11)</f>
        <v>5.5147656768714146</v>
      </c>
      <c r="N10" s="225">
        <f t="shared" si="1"/>
        <v>1.5922651688133629</v>
      </c>
      <c r="O10" s="225" t="str">
        <f>IF(IFERROR(INDEX('Both teabags AfterWet'!$C$3:$C$841,MATCH(J10,'Both teabags AfterWet'!$A$3:$A$841,0)),"")="","",(IFERROR(INDEX('Both teabags AfterWet'!$C$3:$C$841,MATCH(J10,'Both teabags AfterWet'!$A$3:$A$841,0)),"")))</f>
        <v/>
      </c>
      <c r="P10" s="225" t="str">
        <f>IFERROR(IF(O10&gt;0,O10-(TBIcalc!$H$9),""),"")</f>
        <v/>
      </c>
      <c r="Q10" s="225">
        <f>IFERROR(INDEX('Ashed teabags wet'!$K$2:$K$821,MATCH(J10,'Ashed teabags wet'!$A$2:$A$821,0)),"")</f>
        <v>9.2933204259437421</v>
      </c>
      <c r="R10" s="225" t="str">
        <f t="shared" si="2"/>
        <v/>
      </c>
      <c r="S10" s="226">
        <f>'WetLitterbags placem_collection'!E11</f>
        <v>42766</v>
      </c>
      <c r="T10" s="226">
        <f>IF('WetLitterbags placem_collection'!G11="","",'WetLitterbags placem_collection'!G11)</f>
        <v>42818</v>
      </c>
      <c r="U10" s="227">
        <f t="shared" si="3"/>
        <v>52</v>
      </c>
      <c r="V10" s="225" t="str">
        <f t="shared" si="4"/>
        <v/>
      </c>
      <c r="W10" s="225" t="str">
        <f t="shared" si="5"/>
        <v/>
      </c>
      <c r="X10">
        <f>IFERROR(INDEX(Rainfall_Wet!$O$2:$O$217,MATCH(B10, Rainfall_Wet!$A$2:$A$217,0)),"")</f>
        <v>194.43839254400001</v>
      </c>
      <c r="Y10" s="231">
        <v>21.13063730679653</v>
      </c>
      <c r="Z10" s="231">
        <v>3.0912555579081076</v>
      </c>
      <c r="AA10" s="231">
        <v>75.778107135295357</v>
      </c>
      <c r="AB10" s="232" t="s">
        <v>2670</v>
      </c>
      <c r="AC10" s="231">
        <v>0.46131099063578063</v>
      </c>
      <c r="AD10">
        <f>IF('WetLitterbags placem_collection'!AB11="","",'WetLitterbags placem_collection'!AB11)</f>
        <v>10.8</v>
      </c>
      <c r="AE10">
        <f>IF('WetLitterbags placem_collection'!Z11="","",'WetLitterbags placem_collection'!Z11)</f>
        <v>28.4</v>
      </c>
      <c r="AF10" s="246" t="str">
        <f>IF('WetLitterbags placem_collection'!AA11="","",'WetLitterbags placem_collection'!AA11)</f>
        <v>M</v>
      </c>
      <c r="AG10">
        <f>IF('WetLitterbags placem_collection'!AC11="","",'WetLitterbags placem_collection'!AC11)</f>
        <v>0</v>
      </c>
      <c r="AH10" s="240">
        <f>AVERAGE('WetLitterbags placem_collection'!S11,'WetLitterbags placem_collection'!U11)</f>
        <v>14.5</v>
      </c>
      <c r="AI10">
        <f>AVERAGE('WetLitterbags placem_collection'!R11,'WetLitterbags placem_collection'!T11)</f>
        <v>24.4</v>
      </c>
      <c r="AJ10">
        <f>INDEX(Coordinates!$B$2:$B$197,MATCH(G10,Coordinates!$J$2:$J$197,0))</f>
        <v>-3.3978290019999999</v>
      </c>
      <c r="AK10">
        <f>INDEX(Coordinates!$C$2:$C$197,MATCH(G10,Coordinates!$J$2:$J$197,0))</f>
        <v>34.837011969999999</v>
      </c>
      <c r="AL10" t="str">
        <f>IF(ISNUMBER(SEARCH("C", 'WetLitterbags placem_collection'!V11)),"YES","NO")</f>
        <v>NO</v>
      </c>
      <c r="AM10" t="str">
        <f>IF(ISNUMBER(SEARCH("H", 'WetLitterbags placem_collection'!V11)),"YES","NO")</f>
        <v>NO</v>
      </c>
      <c r="AN10" t="str">
        <f>IF(ISNUMBER(SEARCH("R", 'WetLitterbags placem_collection'!V11)),"YES","NO")</f>
        <v>YES</v>
      </c>
    </row>
    <row r="11" spans="1:40">
      <c r="A11" s="258" t="s">
        <v>2460</v>
      </c>
      <c r="B11" s="263">
        <f>'Dry_Litterbag Placem_Collection'!A12</f>
        <v>10</v>
      </c>
      <c r="C11" s="263" t="str">
        <f>'Dry_Litterbag Placem_Collection'!B12</f>
        <v>Makao</v>
      </c>
      <c r="D11" s="263" t="s">
        <v>2659</v>
      </c>
      <c r="E11" s="263" t="s">
        <v>2660</v>
      </c>
      <c r="F11" s="263">
        <v>2</v>
      </c>
      <c r="G11" s="264" t="str">
        <f>'Dry_Litterbag Placem_Collection'!C12</f>
        <v>Dry_Ag2_T2</v>
      </c>
      <c r="H11" s="265" t="s">
        <v>2541</v>
      </c>
      <c r="I11" s="266" t="s">
        <v>1147</v>
      </c>
      <c r="J11" s="223" t="str">
        <f>'WetLitterbags placem_collection'!K12</f>
        <v>G286</v>
      </c>
      <c r="K11" s="225">
        <f>IFERROR(INDEX('Green_rooibos initial weight'!$C$5:$C$1749,MATCH(J11, 'Green_rooibos initial weight'!$A$5:$A$1749,0)),"")</f>
        <v>2.0710000000000002</v>
      </c>
      <c r="L11" s="225">
        <f>IFERROR(K11-(TBIcalc!$H$9+TBIcalc!$H$10),"")</f>
        <v>1.8212000000000002</v>
      </c>
      <c r="M11" s="391">
        <f>AVERAGE(Ashed_controlls!$K$2:$K$11)</f>
        <v>5.5147656768714146</v>
      </c>
      <c r="N11" s="225">
        <f t="shared" si="1"/>
        <v>1.720765087492818</v>
      </c>
      <c r="O11" s="225">
        <f>IF(IFERROR(INDEX('Both teabags AfterWet'!$C$3:$C$841,MATCH(J11,'Both teabags AfterWet'!$A$3:$A$841,0)),"")="","",(IFERROR(INDEX('Both teabags AfterWet'!$C$3:$C$841,MATCH(J11,'Both teabags AfterWet'!$A$3:$A$841,0)),"")))</f>
        <v>0.80200000000000005</v>
      </c>
      <c r="P11" s="225">
        <f>IFERROR(IF(O11&gt;0,O11-(TBIcalc!$H$9),""),"")</f>
        <v>0.65139999999999998</v>
      </c>
      <c r="Q11" s="225">
        <f>IFERROR(INDEX('Ashed teabags wet'!$K$2:$K$821,MATCH(J11,'Ashed teabags wet'!$A$2:$A$821,0)),"")</f>
        <v>14.321233217304874</v>
      </c>
      <c r="R11" s="225">
        <f t="shared" ref="R11:R74" si="6">IFERROR(P11-(Q11/100)*P11,"")</f>
        <v>0.55811148682247602</v>
      </c>
      <c r="S11" s="226">
        <f>'WetLitterbags placem_collection'!E12</f>
        <v>42766</v>
      </c>
      <c r="T11" s="226">
        <f>IF('WetLitterbags placem_collection'!G12="","",'WetLitterbags placem_collection'!G12)</f>
        <v>42818</v>
      </c>
      <c r="U11" s="227">
        <f t="shared" si="3"/>
        <v>52</v>
      </c>
      <c r="V11" s="225">
        <f t="shared" si="4"/>
        <v>1.1698000000000002</v>
      </c>
      <c r="W11" s="225">
        <f t="shared" si="5"/>
        <v>1.1626536006703421</v>
      </c>
      <c r="X11">
        <f>IFERROR(INDEX(Rainfall_Wet!$O$2:$O$217,MATCH(B11, Rainfall_Wet!$A$2:$A$217,0)),"")</f>
        <v>194.43839254400001</v>
      </c>
      <c r="Y11" s="231">
        <v>21.13063730679653</v>
      </c>
      <c r="Z11" s="231">
        <v>3.0912555579081076</v>
      </c>
      <c r="AA11" s="231">
        <v>75.778107135295357</v>
      </c>
      <c r="AB11" s="232" t="s">
        <v>2670</v>
      </c>
      <c r="AC11" s="231">
        <v>1.46131099063578</v>
      </c>
      <c r="AD11">
        <f>IF('WetLitterbags placem_collection'!AB12="","",'WetLitterbags placem_collection'!AB12)</f>
        <v>16.8</v>
      </c>
      <c r="AE11">
        <f>IF('WetLitterbags placem_collection'!Z12="","",'WetLitterbags placem_collection'!Z12)</f>
        <v>30</v>
      </c>
      <c r="AF11" s="246" t="str">
        <f>IF('WetLitterbags placem_collection'!AA12="","",'WetLitterbags placem_collection'!AA12)</f>
        <v>M</v>
      </c>
      <c r="AG11">
        <f>IF('WetLitterbags placem_collection'!AC12="","",'WetLitterbags placem_collection'!AC12)</f>
        <v>0</v>
      </c>
      <c r="AH11" s="240">
        <f>AVERAGE('WetLitterbags placem_collection'!S12,'WetLitterbags placem_collection'!U12)</f>
        <v>14.649999999999999</v>
      </c>
      <c r="AI11">
        <f>AVERAGE('WetLitterbags placem_collection'!R12,'WetLitterbags placem_collection'!T12)</f>
        <v>24.299999999999997</v>
      </c>
      <c r="AJ11">
        <f>INDEX(Coordinates!$B$2:$B$197,MATCH(G11,Coordinates!$J$2:$J$197,0))</f>
        <v>-3.3978119869999999</v>
      </c>
      <c r="AK11">
        <f>INDEX(Coordinates!$C$2:$C$197,MATCH(G11,Coordinates!$J$2:$J$197,0))</f>
        <v>34.836968980000002</v>
      </c>
      <c r="AL11" t="str">
        <f>IF(ISNUMBER(SEARCH("C", 'WetLitterbags placem_collection'!V12)),"YES","NO")</f>
        <v>NO</v>
      </c>
      <c r="AM11" t="str">
        <f>IF(ISNUMBER(SEARCH("H", 'WetLitterbags placem_collection'!V12)),"YES","NO")</f>
        <v>NO</v>
      </c>
      <c r="AN11" t="str">
        <f>IF(ISNUMBER(SEARCH("R", 'WetLitterbags placem_collection'!V12)),"YES","NO")</f>
        <v>NO</v>
      </c>
    </row>
    <row r="12" spans="1:40">
      <c r="A12" s="258" t="s">
        <v>2460</v>
      </c>
      <c r="B12" s="263">
        <f>'Dry_Litterbag Placem_Collection'!A13</f>
        <v>11</v>
      </c>
      <c r="C12" s="263" t="str">
        <f>'Dry_Litterbag Placem_Collection'!B13</f>
        <v>Makao</v>
      </c>
      <c r="D12" s="263" t="s">
        <v>2659</v>
      </c>
      <c r="E12" s="263" t="s">
        <v>2660</v>
      </c>
      <c r="F12" s="263">
        <v>2</v>
      </c>
      <c r="G12" s="264" t="str">
        <f>'Dry_Litterbag Placem_Collection'!C13</f>
        <v>Dry_Ag2_T3</v>
      </c>
      <c r="H12" s="265" t="s">
        <v>2541</v>
      </c>
      <c r="I12" s="266" t="s">
        <v>1147</v>
      </c>
      <c r="J12" s="223" t="str">
        <f>'WetLitterbags placem_collection'!K13</f>
        <v>G543</v>
      </c>
      <c r="K12" s="225">
        <f>IFERROR(INDEX('Green_rooibos initial weight'!$C$5:$C$1749,MATCH(J12, 'Green_rooibos initial weight'!$A$5:$A$1749,0)),"")</f>
        <v>2.0920000000000001</v>
      </c>
      <c r="L12" s="225">
        <f>IFERROR(K12-(TBIcalc!$H$9+TBIcalc!$H$10),"")</f>
        <v>1.8422000000000001</v>
      </c>
      <c r="M12" s="391">
        <f>AVERAGE(Ashed_controlls!$K$2:$K$11)</f>
        <v>5.5147656768714146</v>
      </c>
      <c r="N12" s="225">
        <f t="shared" si="1"/>
        <v>1.7406069867006748</v>
      </c>
      <c r="O12" s="225">
        <f>IF(IFERROR(INDEX('Both teabags AfterWet'!$C$3:$C$841,MATCH(J12,'Both teabags AfterWet'!$A$3:$A$841,0)),"")="","",(IFERROR(INDEX('Both teabags AfterWet'!$C$3:$C$841,MATCH(J12,'Both teabags AfterWet'!$A$3:$A$841,0)),"")))</f>
        <v>0.71650000000000003</v>
      </c>
      <c r="P12" s="225">
        <f>IFERROR(IF(O12&gt;0,O12-(TBIcalc!$H$9),""),"")</f>
        <v>0.56590000000000007</v>
      </c>
      <c r="Q12" s="225">
        <f>IFERROR(INDEX('Ashed teabags wet'!$K$2:$K$821,MATCH(J12,'Ashed teabags wet'!$A$2:$A$821,0)),"")</f>
        <v>12.04819277108421</v>
      </c>
      <c r="R12" s="225">
        <f t="shared" si="6"/>
        <v>0.4977192771084345</v>
      </c>
      <c r="S12" s="226">
        <f>'WetLitterbags placem_collection'!E13</f>
        <v>42766</v>
      </c>
      <c r="T12" s="226">
        <f>IF('WetLitterbags placem_collection'!G13="","",'WetLitterbags placem_collection'!G13)</f>
        <v>42818</v>
      </c>
      <c r="U12" s="227">
        <f t="shared" si="3"/>
        <v>52</v>
      </c>
      <c r="V12" s="225">
        <f t="shared" si="4"/>
        <v>1.2763</v>
      </c>
      <c r="W12" s="225">
        <f t="shared" si="5"/>
        <v>1.2428877095922404</v>
      </c>
      <c r="X12">
        <f>IFERROR(INDEX(Rainfall_Wet!$O$2:$O$217,MATCH(B12, Rainfall_Wet!$A$2:$A$217,0)),"")</f>
        <v>194.43839254400001</v>
      </c>
      <c r="Y12" s="231">
        <v>21.13063730679653</v>
      </c>
      <c r="Z12" s="231">
        <v>3.0912555579081076</v>
      </c>
      <c r="AA12" s="231">
        <v>75.778107135295357</v>
      </c>
      <c r="AB12" s="232" t="s">
        <v>2670</v>
      </c>
      <c r="AC12" s="231">
        <v>2.4613109906357802</v>
      </c>
      <c r="AD12">
        <f>IF('WetLitterbags placem_collection'!AB13="","",'WetLitterbags placem_collection'!AB13)</f>
        <v>11.4</v>
      </c>
      <c r="AE12">
        <f>IF('WetLitterbags placem_collection'!Z13="","",'WetLitterbags placem_collection'!Z13)</f>
        <v>24.4</v>
      </c>
      <c r="AF12" s="246" t="str">
        <f>IF('WetLitterbags placem_collection'!AA13="","",'WetLitterbags placem_collection'!AA13)</f>
        <v>M</v>
      </c>
      <c r="AG12">
        <f>IF('WetLitterbags placem_collection'!AC13="","",'WetLitterbags placem_collection'!AC13)</f>
        <v>0</v>
      </c>
      <c r="AH12" s="240">
        <f>AVERAGE('WetLitterbags placem_collection'!S13,'WetLitterbags placem_collection'!U13)</f>
        <v>21.1</v>
      </c>
      <c r="AI12">
        <f>AVERAGE('WetLitterbags placem_collection'!R13,'WetLitterbags placem_collection'!T13)</f>
        <v>24.05</v>
      </c>
      <c r="AJ12">
        <f>INDEX(Coordinates!$B$2:$B$197,MATCH(G12,Coordinates!$J$2:$J$197,0))</f>
        <v>-3.3977929599999999</v>
      </c>
      <c r="AK12">
        <f>INDEX(Coordinates!$C$2:$C$197,MATCH(G12,Coordinates!$J$2:$J$197,0))</f>
        <v>34.837102999999999</v>
      </c>
      <c r="AL12" t="str">
        <f>IF(ISNUMBER(SEARCH("C", 'WetLitterbags placem_collection'!V13)),"YES","NO")</f>
        <v>NO</v>
      </c>
      <c r="AM12" t="str">
        <f>IF(ISNUMBER(SEARCH("H", 'WetLitterbags placem_collection'!V13)),"YES","NO")</f>
        <v>NO</v>
      </c>
      <c r="AN12" t="str">
        <f>IF(ISNUMBER(SEARCH("R", 'WetLitterbags placem_collection'!V13)),"YES","NO")</f>
        <v>YES</v>
      </c>
    </row>
    <row r="13" spans="1:40">
      <c r="A13" s="258" t="s">
        <v>2460</v>
      </c>
      <c r="B13" s="263">
        <f>'Dry_Litterbag Placem_Collection'!A14</f>
        <v>12</v>
      </c>
      <c r="C13" s="263" t="str">
        <f>'Dry_Litterbag Placem_Collection'!B14</f>
        <v>Makao</v>
      </c>
      <c r="D13" s="263" t="s">
        <v>2659</v>
      </c>
      <c r="E13" s="263" t="s">
        <v>2660</v>
      </c>
      <c r="F13" s="263">
        <v>2</v>
      </c>
      <c r="G13" s="264" t="str">
        <f>'Dry_Litterbag Placem_Collection'!C14</f>
        <v>Dry_Ag2_T4</v>
      </c>
      <c r="H13" s="265" t="s">
        <v>2541</v>
      </c>
      <c r="I13" s="266" t="s">
        <v>1147</v>
      </c>
      <c r="J13" s="223" t="str">
        <f>'WetLitterbags placem_collection'!K14</f>
        <v>G590</v>
      </c>
      <c r="K13" s="225">
        <f>IFERROR(INDEX('Green_rooibos initial weight'!$C$5:$C$1749,MATCH(J13, 'Green_rooibos initial weight'!$A$5:$A$1749,0)),"")</f>
        <v>2.0830000000000002</v>
      </c>
      <c r="L13" s="225">
        <f>IFERROR(K13-(TBIcalc!$H$9+TBIcalc!$H$10),"")</f>
        <v>1.8332000000000002</v>
      </c>
      <c r="M13" s="391">
        <f>AVERAGE(Ashed_controlls!$K$2:$K$11)</f>
        <v>5.5147656768714146</v>
      </c>
      <c r="N13" s="225">
        <f t="shared" si="1"/>
        <v>1.7321033156115935</v>
      </c>
      <c r="O13" s="225" t="str">
        <f>IF(IFERROR(INDEX('Both teabags AfterWet'!$C$3:$C$841,MATCH(J13,'Both teabags AfterWet'!$A$3:$A$841,0)),"")="","",(IFERROR(INDEX('Both teabags AfterWet'!$C$3:$C$841,MATCH(J13,'Both teabags AfterWet'!$A$3:$A$841,0)),"")))</f>
        <v/>
      </c>
      <c r="P13" s="225" t="str">
        <f>IFERROR(IF(O13&gt;0,O13-(TBIcalc!$H$9),""),"")</f>
        <v/>
      </c>
      <c r="Q13" s="225" t="str">
        <f>IFERROR(INDEX('Ashed teabags wet'!$K$2:$K$821,MATCH(J13,'Ashed teabags wet'!$A$2:$A$821,0)),"")</f>
        <v/>
      </c>
      <c r="R13" s="225" t="str">
        <f t="shared" si="6"/>
        <v/>
      </c>
      <c r="S13" s="226">
        <f>'WetLitterbags placem_collection'!E14</f>
        <v>42766</v>
      </c>
      <c r="T13" s="226" t="str">
        <f>IF('WetLitterbags placem_collection'!G14="","",'WetLitterbags placem_collection'!G14)</f>
        <v/>
      </c>
      <c r="U13" s="227" t="str">
        <f t="shared" si="3"/>
        <v/>
      </c>
      <c r="V13" s="225" t="str">
        <f t="shared" si="4"/>
        <v/>
      </c>
      <c r="W13" s="225" t="str">
        <f t="shared" si="5"/>
        <v/>
      </c>
      <c r="X13" t="str">
        <f>IFERROR(INDEX(Rainfall_Wet!$O$2:$O$217,MATCH(B13, Rainfall_Wet!$A$2:$A$217,0)),"")</f>
        <v/>
      </c>
      <c r="Y13" s="231">
        <v>21.13063730679653</v>
      </c>
      <c r="Z13" s="231">
        <v>3.0912555579081076</v>
      </c>
      <c r="AA13" s="231">
        <v>75.778107135295357</v>
      </c>
      <c r="AB13" s="232" t="s">
        <v>2670</v>
      </c>
      <c r="AC13" s="231">
        <v>3.4613109906357802</v>
      </c>
      <c r="AD13" t="str">
        <f>IF('WetLitterbags placem_collection'!AB14="","",'WetLitterbags placem_collection'!AB14)</f>
        <v/>
      </c>
      <c r="AE13" t="str">
        <f>IF('WetLitterbags placem_collection'!Z14="","",'WetLitterbags placem_collection'!Z14)</f>
        <v/>
      </c>
      <c r="AF13" s="246" t="str">
        <f>IF('WetLitterbags placem_collection'!AA14="","",'WetLitterbags placem_collection'!AA14)</f>
        <v/>
      </c>
      <c r="AG13" t="str">
        <f>IF('WetLitterbags placem_collection'!AC14="","",'WetLitterbags placem_collection'!AC14)</f>
        <v/>
      </c>
      <c r="AH13" s="240">
        <f>AVERAGE('WetLitterbags placem_collection'!S14,'WetLitterbags placem_collection'!U14)</f>
        <v>25.8</v>
      </c>
      <c r="AI13">
        <f>AVERAGE('WetLitterbags placem_collection'!R14,'WetLitterbags placem_collection'!T14)</f>
        <v>21.7</v>
      </c>
      <c r="AJ13">
        <f>INDEX(Coordinates!$B$2:$B$197,MATCH(G13,Coordinates!$J$2:$J$197,0))</f>
        <v>-3.3979050260000001</v>
      </c>
      <c r="AK13">
        <f>INDEX(Coordinates!$C$2:$C$197,MATCH(G13,Coordinates!$J$2:$J$197,0))</f>
        <v>34.837123030000001</v>
      </c>
      <c r="AL13" t="str">
        <f>IF(ISNUMBER(SEARCH("C", 'WetLitterbags placem_collection'!V14)),"YES","NO")</f>
        <v>NO</v>
      </c>
      <c r="AM13" t="str">
        <f>IF(ISNUMBER(SEARCH("H", 'WetLitterbags placem_collection'!V14)),"YES","NO")</f>
        <v>NO</v>
      </c>
      <c r="AN13" t="str">
        <f>IF(ISNUMBER(SEARCH("R", 'WetLitterbags placem_collection'!V14)),"YES","NO")</f>
        <v>NO</v>
      </c>
    </row>
    <row r="14" spans="1:40">
      <c r="A14" s="258" t="s">
        <v>2460</v>
      </c>
      <c r="B14" s="263">
        <f>'Dry_Litterbag Placem_Collection'!A15</f>
        <v>13</v>
      </c>
      <c r="C14" s="263" t="str">
        <f>'Dry_Litterbag Placem_Collection'!B15</f>
        <v>Makao</v>
      </c>
      <c r="D14" s="263" t="s">
        <v>2659</v>
      </c>
      <c r="E14" s="263" t="s">
        <v>2660</v>
      </c>
      <c r="F14" s="263">
        <v>2</v>
      </c>
      <c r="G14" s="264" t="str">
        <f>'Dry_Litterbag Placem_Collection'!C15</f>
        <v>Dry_Ag2_T5</v>
      </c>
      <c r="H14" s="265" t="s">
        <v>2541</v>
      </c>
      <c r="I14" s="266" t="s">
        <v>1147</v>
      </c>
      <c r="J14" s="223" t="str">
        <f>'WetLitterbags placem_collection'!K15</f>
        <v>G595</v>
      </c>
      <c r="K14" s="225">
        <f>IFERROR(INDEX('Green_rooibos initial weight'!$C$5:$C$1749,MATCH(J14, 'Green_rooibos initial weight'!$A$5:$A$1749,0)),"")</f>
        <v>2.1160000000000001</v>
      </c>
      <c r="L14" s="225">
        <f>IFERROR(K14-(TBIcalc!$H$9+TBIcalc!$H$10),"")</f>
        <v>1.8662000000000001</v>
      </c>
      <c r="M14" s="391">
        <f>AVERAGE(Ashed_controlls!$K$2:$K$11)</f>
        <v>5.5147656768714146</v>
      </c>
      <c r="N14" s="225">
        <f t="shared" si="1"/>
        <v>1.7632834429382258</v>
      </c>
      <c r="O14" s="225">
        <f>IF(IFERROR(INDEX('Both teabags AfterWet'!$C$3:$C$841,MATCH(J14,'Both teabags AfterWet'!$A$3:$A$841,0)),"")="","",(IFERROR(INDEX('Both teabags AfterWet'!$C$3:$C$841,MATCH(J14,'Both teabags AfterWet'!$A$3:$A$841,0)),"")))</f>
        <v>0.62809999999999999</v>
      </c>
      <c r="P14" s="225">
        <f>IFERROR(IF(O14&gt;0,O14-(TBIcalc!$H$9),""),"")</f>
        <v>0.47749999999999998</v>
      </c>
      <c r="Q14" s="225">
        <f>IFERROR(INDEX('Ashed teabags wet'!$K$2:$K$821,MATCH(J14,'Ashed teabags wet'!$A$2:$A$821,0)),"")</f>
        <v>29.168740666998239</v>
      </c>
      <c r="R14" s="225">
        <f t="shared" si="6"/>
        <v>0.3382192633150834</v>
      </c>
      <c r="S14" s="226">
        <f>'WetLitterbags placem_collection'!E15</f>
        <v>42766</v>
      </c>
      <c r="T14" s="226">
        <f>IF('WetLitterbags placem_collection'!G15="","",'WetLitterbags placem_collection'!G15)</f>
        <v>42818</v>
      </c>
      <c r="U14" s="227">
        <f t="shared" si="3"/>
        <v>52</v>
      </c>
      <c r="V14" s="225">
        <f t="shared" si="4"/>
        <v>1.3887</v>
      </c>
      <c r="W14" s="225">
        <f t="shared" si="5"/>
        <v>1.4250641796231425</v>
      </c>
      <c r="X14">
        <f>IFERROR(INDEX(Rainfall_Wet!$O$2:$O$217,MATCH(B14, Rainfall_Wet!$A$2:$A$217,0)),"")</f>
        <v>194.43839254400001</v>
      </c>
      <c r="Y14" s="231">
        <v>21.13063730679653</v>
      </c>
      <c r="Z14" s="231">
        <v>3.0912555579081076</v>
      </c>
      <c r="AA14" s="231">
        <v>75.778107135295357</v>
      </c>
      <c r="AB14" s="232" t="s">
        <v>2670</v>
      </c>
      <c r="AC14" s="231">
        <v>4.4613109906357797</v>
      </c>
      <c r="AD14">
        <f>IF('WetLitterbags placem_collection'!AB15="","",'WetLitterbags placem_collection'!AB15)</f>
        <v>11.4</v>
      </c>
      <c r="AE14">
        <f>IF('WetLitterbags placem_collection'!Z15="","",'WetLitterbags placem_collection'!Z15)</f>
        <v>31</v>
      </c>
      <c r="AF14" s="246" t="str">
        <f>IF('WetLitterbags placem_collection'!AA15="","",'WetLitterbags placem_collection'!AA15)</f>
        <v>M</v>
      </c>
      <c r="AG14">
        <f>IF('WetLitterbags placem_collection'!AC15="","",'WetLitterbags placem_collection'!AC15)</f>
        <v>0</v>
      </c>
      <c r="AH14" s="240">
        <f>AVERAGE('WetLitterbags placem_collection'!S15,'WetLitterbags placem_collection'!U15)</f>
        <v>20.8</v>
      </c>
      <c r="AI14">
        <f>AVERAGE('WetLitterbags placem_collection'!R15,'WetLitterbags placem_collection'!T15)</f>
        <v>23.4</v>
      </c>
      <c r="AJ14">
        <f>INDEX(Coordinates!$B$2:$B$197,MATCH(G14,Coordinates!$J$2:$J$197,0))</f>
        <v>-3.3979040199999999</v>
      </c>
      <c r="AK14">
        <f>INDEX(Coordinates!$C$2:$C$197,MATCH(G14,Coordinates!$J$2:$J$197,0))</f>
        <v>34.837027980000002</v>
      </c>
      <c r="AL14" t="str">
        <f>IF(ISNUMBER(SEARCH("C", 'WetLitterbags placem_collection'!V15)),"YES","NO")</f>
        <v>NO</v>
      </c>
      <c r="AM14" t="str">
        <f>IF(ISNUMBER(SEARCH("H", 'WetLitterbags placem_collection'!V15)),"YES","NO")</f>
        <v>YES</v>
      </c>
      <c r="AN14" t="str">
        <f>IF(ISNUMBER(SEARCH("R", 'WetLitterbags placem_collection'!V15)),"YES","NO")</f>
        <v>NO</v>
      </c>
    </row>
    <row r="15" spans="1:40">
      <c r="A15" s="258" t="s">
        <v>2460</v>
      </c>
      <c r="B15" s="263">
        <f>'Dry_Litterbag Placem_Collection'!A16</f>
        <v>14</v>
      </c>
      <c r="C15" s="263" t="str">
        <f>'Dry_Litterbag Placem_Collection'!B16</f>
        <v>Makao</v>
      </c>
      <c r="D15" s="263" t="s">
        <v>2659</v>
      </c>
      <c r="E15" s="263" t="s">
        <v>2660</v>
      </c>
      <c r="F15" s="263">
        <v>2</v>
      </c>
      <c r="G15" s="264" t="str">
        <f>'Dry_Litterbag Placem_Collection'!C16</f>
        <v>Dry_Ag2_T6</v>
      </c>
      <c r="H15" s="265" t="s">
        <v>2541</v>
      </c>
      <c r="I15" s="266" t="s">
        <v>1147</v>
      </c>
      <c r="J15" s="223" t="str">
        <f>'WetLitterbags placem_collection'!K16</f>
        <v>G609</v>
      </c>
      <c r="K15" s="225">
        <f>IFERROR(INDEX('Green_rooibos initial weight'!$C$5:$C$1749,MATCH(J15, 'Green_rooibos initial weight'!$A$5:$A$1749,0)),"")</f>
        <v>2.089</v>
      </c>
      <c r="L15" s="225">
        <f>IFERROR(K15-(TBIcalc!$H$9+TBIcalc!$H$10),"")</f>
        <v>1.8391999999999999</v>
      </c>
      <c r="M15" s="391">
        <f>AVERAGE(Ashed_controlls!$K$2:$K$11)</f>
        <v>5.5147656768714146</v>
      </c>
      <c r="N15" s="225">
        <f t="shared" si="1"/>
        <v>1.7377724296709809</v>
      </c>
      <c r="O15" s="225">
        <f>IF(IFERROR(INDEX('Both teabags AfterWet'!$C$3:$C$841,MATCH(J15,'Both teabags AfterWet'!$A$3:$A$841,0)),"")="","",(IFERROR(INDEX('Both teabags AfterWet'!$C$3:$C$841,MATCH(J15,'Both teabags AfterWet'!$A$3:$A$841,0)),"")))</f>
        <v>0.498</v>
      </c>
      <c r="P15" s="225">
        <f>IFERROR(IF(O15&gt;0,O15-(TBIcalc!$H$9),""),"")</f>
        <v>0.34739999999999999</v>
      </c>
      <c r="Q15" s="225">
        <f>IFERROR(INDEX('Ashed teabags wet'!$K$2:$K$821,MATCH(J15,'Ashed teabags wet'!$A$2:$A$821,0)),"")</f>
        <v>16.033966033965626</v>
      </c>
      <c r="R15" s="225">
        <f t="shared" si="6"/>
        <v>0.29169800199800339</v>
      </c>
      <c r="S15" s="226">
        <f>'WetLitterbags placem_collection'!E16</f>
        <v>42766</v>
      </c>
      <c r="T15" s="226">
        <f>IF('WetLitterbags placem_collection'!G16="","",'WetLitterbags placem_collection'!G16)</f>
        <v>42818</v>
      </c>
      <c r="U15" s="227">
        <f t="shared" si="3"/>
        <v>52</v>
      </c>
      <c r="V15" s="225">
        <f t="shared" si="4"/>
        <v>1.4918</v>
      </c>
      <c r="W15" s="225">
        <f t="shared" si="5"/>
        <v>1.4460744276729776</v>
      </c>
      <c r="X15">
        <f>IFERROR(INDEX(Rainfall_Wet!$O$2:$O$217,MATCH(B15, Rainfall_Wet!$A$2:$A$217,0)),"")</f>
        <v>194.43839254400001</v>
      </c>
      <c r="Y15" s="231">
        <v>21.13063730679653</v>
      </c>
      <c r="Z15" s="231">
        <v>3.0912555579081076</v>
      </c>
      <c r="AA15" s="231">
        <v>75.778107135295357</v>
      </c>
      <c r="AB15" s="232" t="s">
        <v>2670</v>
      </c>
      <c r="AC15" s="231">
        <v>5.4613109906357797</v>
      </c>
      <c r="AD15">
        <f>IF('WetLitterbags placem_collection'!AB16="","",'WetLitterbags placem_collection'!AB16)</f>
        <v>28.4</v>
      </c>
      <c r="AE15">
        <f>IF('WetLitterbags placem_collection'!Z16="","",'WetLitterbags placem_collection'!Z16)</f>
        <v>42.4</v>
      </c>
      <c r="AF15" s="246" t="str">
        <f>IF('WetLitterbags placem_collection'!AA16="","",'WetLitterbags placem_collection'!AA16)</f>
        <v>M</v>
      </c>
      <c r="AG15">
        <f>IF('WetLitterbags placem_collection'!AC16="","",'WetLitterbags placem_collection'!AC16)</f>
        <v>0</v>
      </c>
      <c r="AH15" s="240">
        <f>AVERAGE('WetLitterbags placem_collection'!S16,'WetLitterbags placem_collection'!U16)</f>
        <v>15.7</v>
      </c>
      <c r="AI15">
        <f>AVERAGE('WetLitterbags placem_collection'!R16,'WetLitterbags placem_collection'!T16)</f>
        <v>24.1</v>
      </c>
      <c r="AJ15">
        <f>INDEX(Coordinates!$B$2:$B$197,MATCH(G15,Coordinates!$J$2:$J$197,0))</f>
        <v>-3.397854986</v>
      </c>
      <c r="AK15">
        <f>INDEX(Coordinates!$C$2:$C$197,MATCH(G15,Coordinates!$J$2:$J$197,0))</f>
        <v>34.836874010000002</v>
      </c>
      <c r="AL15" t="str">
        <f>IF(ISNUMBER(SEARCH("C", 'WetLitterbags placem_collection'!V16)),"YES","NO")</f>
        <v>NO</v>
      </c>
      <c r="AM15" t="str">
        <f>IF(ISNUMBER(SEARCH("H", 'WetLitterbags placem_collection'!V16)),"YES","NO")</f>
        <v>NO</v>
      </c>
      <c r="AN15" t="str">
        <f>IF(ISNUMBER(SEARCH("R", 'WetLitterbags placem_collection'!V16)),"YES","NO")</f>
        <v>NO</v>
      </c>
    </row>
    <row r="16" spans="1:40">
      <c r="A16" s="258" t="s">
        <v>2460</v>
      </c>
      <c r="B16" s="263">
        <f>'Dry_Litterbag Placem_Collection'!A17</f>
        <v>15</v>
      </c>
      <c r="C16" s="263" t="str">
        <f>'Dry_Litterbag Placem_Collection'!B17</f>
        <v>Makao</v>
      </c>
      <c r="D16" s="263" t="s">
        <v>2659</v>
      </c>
      <c r="E16" s="263" t="s">
        <v>2660</v>
      </c>
      <c r="F16" s="263">
        <v>2</v>
      </c>
      <c r="G16" s="264" t="str">
        <f>'Dry_Litterbag Placem_Collection'!C17</f>
        <v>Dry_Ag2_T7</v>
      </c>
      <c r="H16" s="265" t="s">
        <v>2541</v>
      </c>
      <c r="I16" s="266" t="s">
        <v>1147</v>
      </c>
      <c r="J16" s="223" t="str">
        <f>'WetLitterbags placem_collection'!K17</f>
        <v>G222</v>
      </c>
      <c r="K16" s="225">
        <f>IFERROR(INDEX('Green_rooibos initial weight'!$C$5:$C$1749,MATCH(J16, 'Green_rooibos initial weight'!$A$5:$A$1749,0)),"")</f>
        <v>1.889</v>
      </c>
      <c r="L16" s="225">
        <f>IFERROR(K16-(TBIcalc!$H$9+TBIcalc!$H$10),"")</f>
        <v>1.6392</v>
      </c>
      <c r="M16" s="391">
        <f>AVERAGE(Ashed_controlls!$K$2:$K$11)</f>
        <v>5.5147656768714146</v>
      </c>
      <c r="N16" s="225">
        <f t="shared" si="1"/>
        <v>1.5488019610247237</v>
      </c>
      <c r="O16" s="225">
        <f>IF(IFERROR(INDEX('Both teabags AfterWet'!$C$3:$C$841,MATCH(J16,'Both teabags AfterWet'!$A$3:$A$841,0)),"")="","",(IFERROR(INDEX('Both teabags AfterWet'!$C$3:$C$841,MATCH(J16,'Both teabags AfterWet'!$A$3:$A$841,0)),"")))</f>
        <v>0.67100000000000004</v>
      </c>
      <c r="P16" s="225">
        <f>IFERROR(IF(O16&gt;0,O16-(TBIcalc!$H$9),""),"")</f>
        <v>0.52039999999999997</v>
      </c>
      <c r="Q16" s="225">
        <f>IFERROR(INDEX('Ashed teabags wet'!$K$2:$K$821,MATCH(J16,'Ashed teabags wet'!$A$2:$A$821,0)),"")</f>
        <v>15.805168986083718</v>
      </c>
      <c r="R16" s="225">
        <f t="shared" si="6"/>
        <v>0.43814990059642034</v>
      </c>
      <c r="S16" s="226">
        <f>'WetLitterbags placem_collection'!E17</f>
        <v>42766</v>
      </c>
      <c r="T16" s="226">
        <f>IF('WetLitterbags placem_collection'!G17="","",'WetLitterbags placem_collection'!G17)</f>
        <v>42818</v>
      </c>
      <c r="U16" s="227">
        <f t="shared" si="3"/>
        <v>52</v>
      </c>
      <c r="V16" s="225">
        <f t="shared" si="4"/>
        <v>1.1188</v>
      </c>
      <c r="W16" s="225">
        <f t="shared" si="5"/>
        <v>1.1106520604283032</v>
      </c>
      <c r="X16">
        <f>IFERROR(INDEX(Rainfall_Wet!$O$2:$O$217,MATCH(B16, Rainfall_Wet!$A$2:$A$217,0)),"")</f>
        <v>194.43839254400001</v>
      </c>
      <c r="Y16" s="231">
        <v>21.13063730679653</v>
      </c>
      <c r="Z16" s="231">
        <v>3.0912555579081076</v>
      </c>
      <c r="AA16" s="231">
        <v>75.778107135295357</v>
      </c>
      <c r="AB16" s="232" t="s">
        <v>2670</v>
      </c>
      <c r="AC16" s="231">
        <v>6.4613109906357797</v>
      </c>
      <c r="AD16">
        <f>IF('WetLitterbags placem_collection'!AB17="","",'WetLitterbags placem_collection'!AB17)</f>
        <v>15.8</v>
      </c>
      <c r="AE16">
        <f>IF('WetLitterbags placem_collection'!Z17="","",'WetLitterbags placem_collection'!Z17)</f>
        <v>30.4</v>
      </c>
      <c r="AF16" s="246" t="str">
        <f>IF('WetLitterbags placem_collection'!AA17="","",'WetLitterbags placem_collection'!AA17)</f>
        <v>M</v>
      </c>
      <c r="AG16">
        <f>IF('WetLitterbags placem_collection'!AC17="","",'WetLitterbags placem_collection'!AC17)</f>
        <v>0</v>
      </c>
      <c r="AH16" s="240">
        <f>AVERAGE('WetLitterbags placem_collection'!S17,'WetLitterbags placem_collection'!U17)</f>
        <v>23.9</v>
      </c>
      <c r="AI16">
        <f>AVERAGE('WetLitterbags placem_collection'!R17,'WetLitterbags placem_collection'!T17)</f>
        <v>23.95</v>
      </c>
      <c r="AJ16">
        <f>INDEX(Coordinates!$B$2:$B$197,MATCH(G16,Coordinates!$J$2:$J$197,0))</f>
        <v>-3.3978060349999999</v>
      </c>
      <c r="AK16">
        <f>INDEX(Coordinates!$C$2:$C$197,MATCH(G16,Coordinates!$J$2:$J$197,0))</f>
        <v>34.837023960000003</v>
      </c>
      <c r="AL16" t="str">
        <f>IF(ISNUMBER(SEARCH("C", 'WetLitterbags placem_collection'!V17)),"YES","NO")</f>
        <v>NO</v>
      </c>
      <c r="AM16" t="str">
        <f>IF(ISNUMBER(SEARCH("H", 'WetLitterbags placem_collection'!V17)),"YES","NO")</f>
        <v>NO</v>
      </c>
      <c r="AN16" t="str">
        <f>IF(ISNUMBER(SEARCH("R", 'WetLitterbags placem_collection'!V17)),"YES","NO")</f>
        <v>NO</v>
      </c>
    </row>
    <row r="17" spans="1:40">
      <c r="A17" s="258" t="s">
        <v>2460</v>
      </c>
      <c r="B17" s="263">
        <f>'Dry_Litterbag Placem_Collection'!A18</f>
        <v>16</v>
      </c>
      <c r="C17" s="263" t="str">
        <f>'Dry_Litterbag Placem_Collection'!B18</f>
        <v>Makao</v>
      </c>
      <c r="D17" s="263" t="s">
        <v>2659</v>
      </c>
      <c r="E17" s="263" t="s">
        <v>2660</v>
      </c>
      <c r="F17" s="263">
        <v>2</v>
      </c>
      <c r="G17" s="264" t="str">
        <f>'Dry_Litterbag Placem_Collection'!C18</f>
        <v>Dry_Ag2_T8</v>
      </c>
      <c r="H17" s="265" t="s">
        <v>2541</v>
      </c>
      <c r="I17" s="266" t="s">
        <v>1147</v>
      </c>
      <c r="J17" s="223" t="str">
        <f>'WetLitterbags placem_collection'!K18</f>
        <v>G405</v>
      </c>
      <c r="K17" s="225">
        <f>IFERROR(INDEX('Green_rooibos initial weight'!$C$5:$C$1749,MATCH(J17, 'Green_rooibos initial weight'!$A$5:$A$1749,0)),"")</f>
        <v>2.056</v>
      </c>
      <c r="L17" s="225">
        <f>IFERROR(K17-(TBIcalc!$H$9+TBIcalc!$H$10),"")</f>
        <v>1.8062</v>
      </c>
      <c r="M17" s="391">
        <f>AVERAGE(Ashed_controlls!$K$2:$K$11)</f>
        <v>5.5147656768714146</v>
      </c>
      <c r="N17" s="225">
        <f t="shared" si="1"/>
        <v>1.7065923023443486</v>
      </c>
      <c r="O17" s="225">
        <f>IF(IFERROR(INDEX('Both teabags AfterWet'!$C$3:$C$841,MATCH(J17,'Both teabags AfterWet'!$A$3:$A$841,0)),"")="","",(IFERROR(INDEX('Both teabags AfterWet'!$C$3:$C$841,MATCH(J17,'Both teabags AfterWet'!$A$3:$A$841,0)),"")))</f>
        <v>0.70150000000000001</v>
      </c>
      <c r="P17" s="225">
        <f>IFERROR(IF(O17&gt;0,O17-(TBIcalc!$H$9),""),"")</f>
        <v>0.55089999999999995</v>
      </c>
      <c r="Q17" s="225">
        <f>IFERROR(INDEX('Ashed teabags wet'!$K$2:$K$821,MATCH(J17,'Ashed teabags wet'!$A$2:$A$821,0)),"")</f>
        <v>15.725413826680606</v>
      </c>
      <c r="R17" s="225">
        <f t="shared" si="6"/>
        <v>0.46426869522881647</v>
      </c>
      <c r="S17" s="226">
        <f>'WetLitterbags placem_collection'!E18</f>
        <v>42766</v>
      </c>
      <c r="T17" s="226">
        <f>IF('WetLitterbags placem_collection'!G18="","",'WetLitterbags placem_collection'!G18)</f>
        <v>42818</v>
      </c>
      <c r="U17" s="227">
        <f t="shared" si="3"/>
        <v>52</v>
      </c>
      <c r="V17" s="225">
        <f t="shared" si="4"/>
        <v>1.2553000000000001</v>
      </c>
      <c r="W17" s="225">
        <f t="shared" si="5"/>
        <v>1.2423236071155321</v>
      </c>
      <c r="X17">
        <f>IFERROR(INDEX(Rainfall_Wet!$O$2:$O$217,MATCH(B17, Rainfall_Wet!$A$2:$A$217,0)),"")</f>
        <v>194.43839254400001</v>
      </c>
      <c r="Y17" s="231">
        <v>21.13063730679653</v>
      </c>
      <c r="Z17" s="231">
        <v>3.0912555579081076</v>
      </c>
      <c r="AA17" s="231">
        <v>75.778107135295357</v>
      </c>
      <c r="AB17" s="232" t="s">
        <v>2670</v>
      </c>
      <c r="AC17" s="231">
        <v>7.4613109906357797</v>
      </c>
      <c r="AD17">
        <f>IF('WetLitterbags placem_collection'!AB18="","",'WetLitterbags placem_collection'!AB18)</f>
        <v>8</v>
      </c>
      <c r="AE17">
        <f>IF('WetLitterbags placem_collection'!Z18="","",'WetLitterbags placem_collection'!Z18)</f>
        <v>12.4</v>
      </c>
      <c r="AF17" s="246" t="str">
        <f>IF('WetLitterbags placem_collection'!AA18="","",'WetLitterbags placem_collection'!AA18)</f>
        <v>M</v>
      </c>
      <c r="AG17">
        <f>IF('WetLitterbags placem_collection'!AC18="","",'WetLitterbags placem_collection'!AC18)</f>
        <v>0</v>
      </c>
      <c r="AH17" s="240">
        <f>AVERAGE('WetLitterbags placem_collection'!S18,'WetLitterbags placem_collection'!U18)</f>
        <v>17.5</v>
      </c>
      <c r="AI17">
        <f>AVERAGE('WetLitterbags placem_collection'!R18,'WetLitterbags placem_collection'!T18)</f>
        <v>24.05</v>
      </c>
      <c r="AJ17">
        <f>INDEX(Coordinates!$B$2:$B$197,MATCH(G17,Coordinates!$J$2:$J$197,0))</f>
        <v>-3.3977669760000002</v>
      </c>
      <c r="AK17">
        <f>INDEX(Coordinates!$C$2:$C$197,MATCH(G17,Coordinates!$J$2:$J$197,0))</f>
        <v>34.837181039999997</v>
      </c>
      <c r="AL17" t="str">
        <f>IF(ISNUMBER(SEARCH("C", 'WetLitterbags placem_collection'!V18)),"YES","NO")</f>
        <v>NO</v>
      </c>
      <c r="AM17" t="str">
        <f>IF(ISNUMBER(SEARCH("H", 'WetLitterbags placem_collection'!V18)),"YES","NO")</f>
        <v>YES</v>
      </c>
      <c r="AN17" t="str">
        <f>IF(ISNUMBER(SEARCH("R", 'WetLitterbags placem_collection'!V18)),"YES","NO")</f>
        <v>YES</v>
      </c>
    </row>
    <row r="18" spans="1:40">
      <c r="A18" s="258" t="s">
        <v>2460</v>
      </c>
      <c r="B18" s="263">
        <f>'Dry_Litterbag Placem_Collection'!A19</f>
        <v>17</v>
      </c>
      <c r="C18" s="263" t="str">
        <f>'Dry_Litterbag Placem_Collection'!B19</f>
        <v>Makao</v>
      </c>
      <c r="D18" s="263" t="s">
        <v>2659</v>
      </c>
      <c r="E18" s="263" t="s">
        <v>2660</v>
      </c>
      <c r="F18" s="263">
        <v>3</v>
      </c>
      <c r="G18" s="264" t="str">
        <f>'Dry_Litterbag Placem_Collection'!C19</f>
        <v>Dry_Ag3_T1</v>
      </c>
      <c r="H18" s="265" t="s">
        <v>2541</v>
      </c>
      <c r="I18" s="266" t="s">
        <v>1147</v>
      </c>
      <c r="J18" s="223" t="str">
        <f>'WetLitterbags placem_collection'!K19</f>
        <v>G571</v>
      </c>
      <c r="K18" s="225">
        <f>IFERROR(INDEX('Green_rooibos initial weight'!$C$5:$C$1749,MATCH(J18, 'Green_rooibos initial weight'!$A$5:$A$1749,0)),"")</f>
        <v>2.0489999999999999</v>
      </c>
      <c r="L18" s="225">
        <f>IFERROR(K18-(TBIcalc!$H$9+TBIcalc!$H$10),"")</f>
        <v>1.7991999999999999</v>
      </c>
      <c r="M18" s="391">
        <f>AVERAGE(Ashed_controlls!$K$2:$K$11)</f>
        <v>5.5147656768714146</v>
      </c>
      <c r="N18" s="225">
        <f t="shared" si="1"/>
        <v>1.6999783359417293</v>
      </c>
      <c r="O18" s="225">
        <f>IF(IFERROR(INDEX('Both teabags AfterWet'!$C$3:$C$841,MATCH(J18,'Both teabags AfterWet'!$A$3:$A$841,0)),"")="","",(IFERROR(INDEX('Both teabags AfterWet'!$C$3:$C$841,MATCH(J18,'Both teabags AfterWet'!$A$3:$A$841,0)),"")))</f>
        <v>0.67520000000000002</v>
      </c>
      <c r="P18" s="225">
        <f>IFERROR(IF(O18&gt;0,O18-(TBIcalc!$H$9),""),"")</f>
        <v>0.52459999999999996</v>
      </c>
      <c r="Q18" s="225">
        <f>IFERROR(INDEX('Ashed teabags wet'!$K$2:$K$821,MATCH(J18,'Ashed teabags wet'!$A$2:$A$821,0)),"")</f>
        <v>9.6710849288172405</v>
      </c>
      <c r="R18" s="225">
        <f t="shared" si="6"/>
        <v>0.47386548846342469</v>
      </c>
      <c r="S18" s="226">
        <f>'WetLitterbags placem_collection'!E19</f>
        <v>42767</v>
      </c>
      <c r="T18" s="226">
        <f>IF('WetLitterbags placem_collection'!G19="","",'WetLitterbags placem_collection'!G19)</f>
        <v>42818</v>
      </c>
      <c r="U18" s="227">
        <f t="shared" si="3"/>
        <v>51</v>
      </c>
      <c r="V18" s="225">
        <f t="shared" si="4"/>
        <v>1.2746</v>
      </c>
      <c r="W18" s="225">
        <f t="shared" si="5"/>
        <v>1.2261128474783045</v>
      </c>
      <c r="X18">
        <f>IFERROR(INDEX(Rainfall_Wet!$O$2:$O$217,MATCH(B18, Rainfall_Wet!$A$2:$A$217,0)),"")</f>
        <v>185.630065823</v>
      </c>
      <c r="Y18" s="231">
        <v>54.080969906906262</v>
      </c>
      <c r="Z18" s="231">
        <v>21.264484651351896</v>
      </c>
      <c r="AA18" s="231">
        <v>24.654545441741845</v>
      </c>
      <c r="AB18" s="232" t="s">
        <v>2673</v>
      </c>
      <c r="AC18" s="231">
        <v>1.8433218334154755</v>
      </c>
      <c r="AD18" t="str">
        <f>IF('WetLitterbags placem_collection'!AB19="","",'WetLitterbags placem_collection'!AB19)</f>
        <v/>
      </c>
      <c r="AE18" t="str">
        <f>IF('WetLitterbags placem_collection'!Z19="","",'WetLitterbags placem_collection'!Z19)</f>
        <v/>
      </c>
      <c r="AF18" s="246" t="str">
        <f>IF('WetLitterbags placem_collection'!AA19="","",'WetLitterbags placem_collection'!AA19)</f>
        <v/>
      </c>
      <c r="AG18" t="str">
        <f>IF('WetLitterbags placem_collection'!AC19="","",'WetLitterbags placem_collection'!AC19)</f>
        <v/>
      </c>
      <c r="AH18" s="240">
        <f>AVERAGE('WetLitterbags placem_collection'!S19,'WetLitterbags placem_collection'!U19)</f>
        <v>35.9</v>
      </c>
      <c r="AI18">
        <f>AVERAGE('WetLitterbags placem_collection'!R19,'WetLitterbags placem_collection'!T19)</f>
        <v>21.35</v>
      </c>
      <c r="AJ18">
        <f>INDEX(Coordinates!$B$2:$B$197,MATCH(G18,Coordinates!$J$2:$J$197,0))</f>
        <v>-3.3854090330000002</v>
      </c>
      <c r="AK18">
        <f>INDEX(Coordinates!$C$2:$C$197,MATCH(G18,Coordinates!$J$2:$J$197,0))</f>
        <v>34.818901029999999</v>
      </c>
      <c r="AL18" t="str">
        <f>IF(ISNUMBER(SEARCH("C", 'WetLitterbags placem_collection'!V19)),"YES","NO")</f>
        <v>NO</v>
      </c>
      <c r="AM18" t="str">
        <f>IF(ISNUMBER(SEARCH("H", 'WetLitterbags placem_collection'!V19)),"YES","NO")</f>
        <v>NO</v>
      </c>
      <c r="AN18" t="str">
        <f>IF(ISNUMBER(SEARCH("R", 'WetLitterbags placem_collection'!V19)),"YES","NO")</f>
        <v>NO</v>
      </c>
    </row>
    <row r="19" spans="1:40">
      <c r="A19" s="258" t="s">
        <v>2460</v>
      </c>
      <c r="B19" s="263">
        <f>'Dry_Litterbag Placem_Collection'!A20</f>
        <v>18</v>
      </c>
      <c r="C19" s="263" t="str">
        <f>'Dry_Litterbag Placem_Collection'!B20</f>
        <v>Makao</v>
      </c>
      <c r="D19" s="263" t="s">
        <v>2659</v>
      </c>
      <c r="E19" s="263" t="s">
        <v>2660</v>
      </c>
      <c r="F19" s="263">
        <v>3</v>
      </c>
      <c r="G19" s="264" t="str">
        <f>'Dry_Litterbag Placem_Collection'!C20</f>
        <v>Dry_Ag3_T2</v>
      </c>
      <c r="H19" s="265" t="s">
        <v>2541</v>
      </c>
      <c r="I19" s="266" t="s">
        <v>1147</v>
      </c>
      <c r="J19" s="223" t="str">
        <f>'WetLitterbags placem_collection'!K20</f>
        <v>G419</v>
      </c>
      <c r="K19" s="225">
        <f>IFERROR(INDEX('Green_rooibos initial weight'!$C$5:$C$1749,MATCH(J19, 'Green_rooibos initial weight'!$A$5:$A$1749,0)),"")</f>
        <v>2.0779999999999998</v>
      </c>
      <c r="L19" s="225">
        <f>IFERROR(K19-(TBIcalc!$H$9+TBIcalc!$H$10),"")</f>
        <v>1.8281999999999998</v>
      </c>
      <c r="M19" s="391">
        <f>AVERAGE(Ashed_controlls!$K$2:$K$11)</f>
        <v>5.5147656768714146</v>
      </c>
      <c r="N19" s="225">
        <f t="shared" si="1"/>
        <v>1.7273790538954366</v>
      </c>
      <c r="O19" s="225">
        <f>IF(IFERROR(INDEX('Both teabags AfterWet'!$C$3:$C$841,MATCH(J19,'Both teabags AfterWet'!$A$3:$A$841,0)),"")="","",(IFERROR(INDEX('Both teabags AfterWet'!$C$3:$C$841,MATCH(J19,'Both teabags AfterWet'!$A$3:$A$841,0)),"")))</f>
        <v>0.79100000000000004</v>
      </c>
      <c r="P19" s="225">
        <f>IFERROR(IF(O19&gt;0,O19-(TBIcalc!$H$9),""),"")</f>
        <v>0.64040000000000008</v>
      </c>
      <c r="Q19" s="225">
        <f>IFERROR(INDEX('Ashed teabags wet'!$K$2:$K$821,MATCH(J19,'Ashed teabags wet'!$A$2:$A$821,0)),"")</f>
        <v>15.166340508806261</v>
      </c>
      <c r="R19" s="225">
        <f t="shared" si="6"/>
        <v>0.54327475538160475</v>
      </c>
      <c r="S19" s="226">
        <f>'WetLitterbags placem_collection'!E20</f>
        <v>42767</v>
      </c>
      <c r="T19" s="226">
        <f>IF('WetLitterbags placem_collection'!G20="","",'WetLitterbags placem_collection'!G20)</f>
        <v>42818</v>
      </c>
      <c r="U19" s="227">
        <f t="shared" si="3"/>
        <v>51</v>
      </c>
      <c r="V19" s="225">
        <f t="shared" si="4"/>
        <v>1.1877999999999997</v>
      </c>
      <c r="W19" s="225">
        <f t="shared" si="5"/>
        <v>1.1841042985138319</v>
      </c>
      <c r="X19">
        <f>IFERROR(INDEX(Rainfall_Wet!$O$2:$O$217,MATCH(B19, Rainfall_Wet!$A$2:$A$217,0)),"")</f>
        <v>185.630065823</v>
      </c>
      <c r="Y19" s="231">
        <v>54.080969906906262</v>
      </c>
      <c r="Z19" s="231">
        <v>21.264484651351896</v>
      </c>
      <c r="AA19" s="231">
        <v>24.654545441741845</v>
      </c>
      <c r="AB19" s="232" t="s">
        <v>2673</v>
      </c>
      <c r="AC19" s="231">
        <v>2.8433218334154802</v>
      </c>
      <c r="AD19" t="str">
        <f>IF('WetLitterbags placem_collection'!AB20="","",'WetLitterbags placem_collection'!AB20)</f>
        <v/>
      </c>
      <c r="AE19" t="str">
        <f>IF('WetLitterbags placem_collection'!Z20="","",'WetLitterbags placem_collection'!Z20)</f>
        <v/>
      </c>
      <c r="AF19" s="246" t="str">
        <f>IF('WetLitterbags placem_collection'!AA20="","",'WetLitterbags placem_collection'!AA20)</f>
        <v/>
      </c>
      <c r="AG19" t="str">
        <f>IF('WetLitterbags placem_collection'!AC20="","",'WetLitterbags placem_collection'!AC20)</f>
        <v/>
      </c>
      <c r="AH19" s="240">
        <f>AVERAGE('WetLitterbags placem_collection'!S20,'WetLitterbags placem_collection'!U20)</f>
        <v>36.950000000000003</v>
      </c>
      <c r="AI19">
        <f>AVERAGE('WetLitterbags placem_collection'!R20,'WetLitterbags placem_collection'!T20)</f>
        <v>21.35</v>
      </c>
      <c r="AJ19">
        <f>INDEX(Coordinates!$B$2:$B$197,MATCH(G19,Coordinates!$J$2:$J$197,0))</f>
        <v>-3.385375002</v>
      </c>
      <c r="AK19">
        <f>INDEX(Coordinates!$C$2:$C$197,MATCH(G19,Coordinates!$J$2:$J$197,0))</f>
        <v>34.818939999999998</v>
      </c>
      <c r="AL19" t="str">
        <f>IF(ISNUMBER(SEARCH("C", 'WetLitterbags placem_collection'!V20)),"YES","NO")</f>
        <v>NO</v>
      </c>
      <c r="AM19" t="str">
        <f>IF(ISNUMBER(SEARCH("H", 'WetLitterbags placem_collection'!V20)),"YES","NO")</f>
        <v>NO</v>
      </c>
      <c r="AN19" t="str">
        <f>IF(ISNUMBER(SEARCH("R", 'WetLitterbags placem_collection'!V20)),"YES","NO")</f>
        <v>YES</v>
      </c>
    </row>
    <row r="20" spans="1:40">
      <c r="A20" s="258" t="s">
        <v>2460</v>
      </c>
      <c r="B20" s="263">
        <f>'Dry_Litterbag Placem_Collection'!A21</f>
        <v>19</v>
      </c>
      <c r="C20" s="263" t="str">
        <f>'Dry_Litterbag Placem_Collection'!B21</f>
        <v>Makao</v>
      </c>
      <c r="D20" s="263" t="s">
        <v>2659</v>
      </c>
      <c r="E20" s="263" t="s">
        <v>2660</v>
      </c>
      <c r="F20" s="263">
        <v>3</v>
      </c>
      <c r="G20" s="264" t="str">
        <f>'Dry_Litterbag Placem_Collection'!C21</f>
        <v>Dry_Ag3_T3</v>
      </c>
      <c r="H20" s="265" t="s">
        <v>2541</v>
      </c>
      <c r="I20" s="266" t="s">
        <v>1147</v>
      </c>
      <c r="J20" s="223" t="str">
        <f>'WetLitterbags placem_collection'!K21</f>
        <v>G240</v>
      </c>
      <c r="K20" s="225">
        <f>IFERROR(INDEX('Green_rooibos initial weight'!$C$5:$C$1749,MATCH(J20, 'Green_rooibos initial weight'!$A$5:$A$1749,0)),"")</f>
        <v>2.117</v>
      </c>
      <c r="L20" s="225">
        <f>IFERROR(K20-(TBIcalc!$H$9+TBIcalc!$H$10),"")</f>
        <v>1.8672</v>
      </c>
      <c r="M20" s="391">
        <f>AVERAGE(Ashed_controlls!$K$2:$K$11)</f>
        <v>5.5147656768714146</v>
      </c>
      <c r="N20" s="225">
        <f t="shared" si="1"/>
        <v>1.764228295281457</v>
      </c>
      <c r="O20" s="225">
        <f>IF(IFERROR(INDEX('Both teabags AfterWet'!$C$3:$C$841,MATCH(J20,'Both teabags AfterWet'!$A$3:$A$841,0)),"")="","",(IFERROR(INDEX('Both teabags AfterWet'!$C$3:$C$841,MATCH(J20,'Both teabags AfterWet'!$A$3:$A$841,0)),"")))</f>
        <v>0.88690000000000002</v>
      </c>
      <c r="P20" s="225">
        <f>IFERROR(IF(O20&gt;0,O20-(TBIcalc!$H$9),""),"")</f>
        <v>0.73629999999999995</v>
      </c>
      <c r="Q20" s="225">
        <f>IFERROR(INDEX('Ashed teabags wet'!$K$2:$K$821,MATCH(J20,'Ashed teabags wet'!$A$2:$A$821,0)),"")</f>
        <v>18.480392156862031</v>
      </c>
      <c r="R20" s="225">
        <f t="shared" si="6"/>
        <v>0.60022887254902479</v>
      </c>
      <c r="S20" s="226">
        <f>'WetLitterbags placem_collection'!E21</f>
        <v>42767</v>
      </c>
      <c r="T20" s="226">
        <f>IF('WetLitterbags placem_collection'!G21="","",'WetLitterbags placem_collection'!G21)</f>
        <v>42818</v>
      </c>
      <c r="U20" s="227">
        <f t="shared" si="3"/>
        <v>51</v>
      </c>
      <c r="V20" s="225">
        <f t="shared" si="4"/>
        <v>1.1309</v>
      </c>
      <c r="W20" s="225">
        <f t="shared" si="5"/>
        <v>1.1639994227324322</v>
      </c>
      <c r="X20">
        <f>IFERROR(INDEX(Rainfall_Wet!$O$2:$O$217,MATCH(B20, Rainfall_Wet!$A$2:$A$217,0)),"")</f>
        <v>185.630065823</v>
      </c>
      <c r="Y20" s="231">
        <v>54.080969906906262</v>
      </c>
      <c r="Z20" s="231">
        <v>21.264484651351896</v>
      </c>
      <c r="AA20" s="231">
        <v>24.654545441741845</v>
      </c>
      <c r="AB20" s="232" t="s">
        <v>2673</v>
      </c>
      <c r="AC20" s="231">
        <v>3.8433218334154802</v>
      </c>
      <c r="AD20" t="str">
        <f>IF('WetLitterbags placem_collection'!AB21="","",'WetLitterbags placem_collection'!AB21)</f>
        <v/>
      </c>
      <c r="AE20" t="str">
        <f>IF('WetLitterbags placem_collection'!Z21="","",'WetLitterbags placem_collection'!Z21)</f>
        <v/>
      </c>
      <c r="AF20" s="246" t="str">
        <f>IF('WetLitterbags placem_collection'!AA21="","",'WetLitterbags placem_collection'!AA21)</f>
        <v/>
      </c>
      <c r="AG20" t="str">
        <f>IF('WetLitterbags placem_collection'!AC21="","",'WetLitterbags placem_collection'!AC21)</f>
        <v/>
      </c>
      <c r="AH20" s="240">
        <f>AVERAGE('WetLitterbags placem_collection'!S21,'WetLitterbags placem_collection'!U21)</f>
        <v>39.299999999999997</v>
      </c>
      <c r="AI20">
        <f>AVERAGE('WetLitterbags placem_collection'!R21,'WetLitterbags placem_collection'!T21)</f>
        <v>21.1</v>
      </c>
      <c r="AJ20">
        <f>INDEX(Coordinates!$B$2:$B$197,MATCH(G20,Coordinates!$J$2:$J$197,0))</f>
        <v>-3.3853589930000001</v>
      </c>
      <c r="AK20">
        <f>INDEX(Coordinates!$C$2:$C$197,MATCH(G20,Coordinates!$J$2:$J$197,0))</f>
        <v>34.818991969999999</v>
      </c>
      <c r="AL20" t="str">
        <f>IF(ISNUMBER(SEARCH("C", 'WetLitterbags placem_collection'!V21)),"YES","NO")</f>
        <v>NO</v>
      </c>
      <c r="AM20" t="str">
        <f>IF(ISNUMBER(SEARCH("H", 'WetLitterbags placem_collection'!V21)),"YES","NO")</f>
        <v>NO</v>
      </c>
      <c r="AN20" t="str">
        <f>IF(ISNUMBER(SEARCH("R", 'WetLitterbags placem_collection'!V21)),"YES","NO")</f>
        <v>NO</v>
      </c>
    </row>
    <row r="21" spans="1:40">
      <c r="A21" s="258" t="s">
        <v>2460</v>
      </c>
      <c r="B21" s="263">
        <f>'Dry_Litterbag Placem_Collection'!A22</f>
        <v>20</v>
      </c>
      <c r="C21" s="263" t="str">
        <f>'Dry_Litterbag Placem_Collection'!B22</f>
        <v>Makao</v>
      </c>
      <c r="D21" s="263" t="s">
        <v>2659</v>
      </c>
      <c r="E21" s="263" t="s">
        <v>2660</v>
      </c>
      <c r="F21" s="263">
        <v>3</v>
      </c>
      <c r="G21" s="264" t="str">
        <f>'Dry_Litterbag Placem_Collection'!C22</f>
        <v>Dry_Ag3_T4</v>
      </c>
      <c r="H21" s="265" t="s">
        <v>2541</v>
      </c>
      <c r="I21" s="266" t="s">
        <v>1147</v>
      </c>
      <c r="J21" s="223" t="str">
        <f>'WetLitterbags placem_collection'!K22</f>
        <v>G524</v>
      </c>
      <c r="K21" s="225">
        <f>IFERROR(INDEX('Green_rooibos initial weight'!$C$5:$C$1749,MATCH(J21, 'Green_rooibos initial weight'!$A$5:$A$1749,0)),"")</f>
        <v>1.962</v>
      </c>
      <c r="L21" s="225">
        <f>IFERROR(K21-(TBIcalc!$H$9+TBIcalc!$H$10),"")</f>
        <v>1.7121999999999999</v>
      </c>
      <c r="M21" s="391">
        <f>AVERAGE(Ashed_controlls!$K$2:$K$11)</f>
        <v>5.5147656768714146</v>
      </c>
      <c r="N21" s="225">
        <f t="shared" si="1"/>
        <v>1.6177761820806076</v>
      </c>
      <c r="O21" s="225">
        <f>IF(IFERROR(INDEX('Both teabags AfterWet'!$C$3:$C$841,MATCH(J21,'Both teabags AfterWet'!$A$3:$A$841,0)),"")="","",(IFERROR(INDEX('Both teabags AfterWet'!$C$3:$C$841,MATCH(J21,'Both teabags AfterWet'!$A$3:$A$841,0)),"")))</f>
        <v>0.71609999999999996</v>
      </c>
      <c r="P21" s="225">
        <f>IFERROR(IF(O21&gt;0,O21-(TBIcalc!$H$9),""),"")</f>
        <v>0.56549999999999989</v>
      </c>
      <c r="Q21" s="225">
        <f>IFERROR(INDEX('Ashed teabags wet'!$K$2:$K$821,MATCH(J21,'Ashed teabags wet'!$A$2:$A$821,0)),"")</f>
        <v>12.986381322956955</v>
      </c>
      <c r="R21" s="225">
        <f t="shared" si="6"/>
        <v>0.4920620136186783</v>
      </c>
      <c r="S21" s="226">
        <f>'WetLitterbags placem_collection'!E22</f>
        <v>42767</v>
      </c>
      <c r="T21" s="226">
        <f>IF('WetLitterbags placem_collection'!G22="","",'WetLitterbags placem_collection'!G22)</f>
        <v>42818</v>
      </c>
      <c r="U21" s="227">
        <f t="shared" si="3"/>
        <v>51</v>
      </c>
      <c r="V21" s="225">
        <f t="shared" si="4"/>
        <v>1.1467000000000001</v>
      </c>
      <c r="W21" s="225">
        <f t="shared" si="5"/>
        <v>1.1257141684619292</v>
      </c>
      <c r="X21">
        <f>IFERROR(INDEX(Rainfall_Wet!$O$2:$O$217,MATCH(B21, Rainfall_Wet!$A$2:$A$217,0)),"")</f>
        <v>185.630065823</v>
      </c>
      <c r="Y21" s="231">
        <v>54.080969906906262</v>
      </c>
      <c r="Z21" s="231">
        <v>21.264484651351896</v>
      </c>
      <c r="AA21" s="231">
        <v>24.654545441741845</v>
      </c>
      <c r="AB21" s="232" t="s">
        <v>2673</v>
      </c>
      <c r="AC21" s="231">
        <v>4.8433218334154802</v>
      </c>
      <c r="AD21" t="str">
        <f>IF('WetLitterbags placem_collection'!AB22="","",'WetLitterbags placem_collection'!AB22)</f>
        <v/>
      </c>
      <c r="AE21" t="str">
        <f>IF('WetLitterbags placem_collection'!Z22="","",'WetLitterbags placem_collection'!Z22)</f>
        <v/>
      </c>
      <c r="AF21" s="246" t="str">
        <f>IF('WetLitterbags placem_collection'!AA22="","",'WetLitterbags placem_collection'!AA22)</f>
        <v/>
      </c>
      <c r="AG21" t="str">
        <f>IF('WetLitterbags placem_collection'!AC22="","",'WetLitterbags placem_collection'!AC22)</f>
        <v/>
      </c>
      <c r="AH21" s="240">
        <f>AVERAGE('WetLitterbags placem_collection'!S22,'WetLitterbags placem_collection'!U22)</f>
        <v>40.049999999999997</v>
      </c>
      <c r="AI21">
        <f>AVERAGE('WetLitterbags placem_collection'!R22,'WetLitterbags placem_collection'!T22)</f>
        <v>21.35</v>
      </c>
      <c r="AJ21">
        <f>INDEX(Coordinates!$B$2:$B$197,MATCH(G21,Coordinates!$J$2:$J$197,0))</f>
        <v>-3.3853969629999998</v>
      </c>
      <c r="AK21">
        <f>INDEX(Coordinates!$C$2:$C$197,MATCH(G21,Coordinates!$J$2:$J$197,0))</f>
        <v>34.818977969999999</v>
      </c>
      <c r="AL21" t="str">
        <f>IF(ISNUMBER(SEARCH("C", 'WetLitterbags placem_collection'!V22)),"YES","NO")</f>
        <v>NO</v>
      </c>
      <c r="AM21" t="str">
        <f>IF(ISNUMBER(SEARCH("H", 'WetLitterbags placem_collection'!V22)),"YES","NO")</f>
        <v>NO</v>
      </c>
      <c r="AN21" t="str">
        <f>IF(ISNUMBER(SEARCH("R", 'WetLitterbags placem_collection'!V22)),"YES","NO")</f>
        <v>NO</v>
      </c>
    </row>
    <row r="22" spans="1:40">
      <c r="A22" s="258" t="s">
        <v>2460</v>
      </c>
      <c r="B22" s="263">
        <f>'Dry_Litterbag Placem_Collection'!A23</f>
        <v>21</v>
      </c>
      <c r="C22" s="263" t="str">
        <f>'Dry_Litterbag Placem_Collection'!B23</f>
        <v>Makao</v>
      </c>
      <c r="D22" s="263" t="s">
        <v>2659</v>
      </c>
      <c r="E22" s="263" t="s">
        <v>2660</v>
      </c>
      <c r="F22" s="263">
        <v>3</v>
      </c>
      <c r="G22" s="264" t="str">
        <f>'Dry_Litterbag Placem_Collection'!C23</f>
        <v>Dry_Ag3_T5</v>
      </c>
      <c r="H22" s="265" t="s">
        <v>2541</v>
      </c>
      <c r="I22" s="266" t="s">
        <v>1147</v>
      </c>
      <c r="J22" s="223" t="str">
        <f>'WetLitterbags placem_collection'!K23</f>
        <v>G699</v>
      </c>
      <c r="K22" s="225">
        <f>IFERROR(INDEX('Green_rooibos initial weight'!$C$5:$C$1749,MATCH(J22, 'Green_rooibos initial weight'!$A$5:$A$1749,0)),"")</f>
        <v>1.984</v>
      </c>
      <c r="L22" s="225">
        <f>IFERROR(K22-(TBIcalc!$H$9+TBIcalc!$H$10),"")</f>
        <v>1.7342</v>
      </c>
      <c r="M22" s="391">
        <f>AVERAGE(Ashed_controlls!$K$2:$K$11)</f>
        <v>5.5147656768714146</v>
      </c>
      <c r="N22" s="225">
        <f t="shared" si="1"/>
        <v>1.6385629336316958</v>
      </c>
      <c r="O22" s="225">
        <f>IF(IFERROR(INDEX('Both teabags AfterWet'!$C$3:$C$841,MATCH(J22,'Both teabags AfterWet'!$A$3:$A$841,0)),"")="","",(IFERROR(INDEX('Both teabags AfterWet'!$C$3:$C$841,MATCH(J22,'Both teabags AfterWet'!$A$3:$A$841,0)),"")))</f>
        <v>0.7389</v>
      </c>
      <c r="P22" s="225">
        <f>IFERROR(IF(O22&gt;0,O22-(TBIcalc!$H$9),""),"")</f>
        <v>0.58830000000000005</v>
      </c>
      <c r="Q22" s="225">
        <f>IFERROR(INDEX('Ashed teabags wet'!$K$2:$K$821,MATCH(J22,'Ashed teabags wet'!$A$2:$A$821,0)),"")</f>
        <v>10.099009900989453</v>
      </c>
      <c r="R22" s="225">
        <f t="shared" si="6"/>
        <v>0.52888752475247913</v>
      </c>
      <c r="S22" s="226">
        <f>'WetLitterbags placem_collection'!E23</f>
        <v>42767</v>
      </c>
      <c r="T22" s="226">
        <f>IF('WetLitterbags placem_collection'!G23="","",'WetLitterbags placem_collection'!G23)</f>
        <v>42818</v>
      </c>
      <c r="U22" s="227">
        <f t="shared" si="3"/>
        <v>51</v>
      </c>
      <c r="V22" s="225">
        <f t="shared" si="4"/>
        <v>1.1458999999999999</v>
      </c>
      <c r="W22" s="225">
        <f t="shared" si="5"/>
        <v>1.1096754088792167</v>
      </c>
      <c r="X22">
        <f>IFERROR(INDEX(Rainfall_Wet!$O$2:$O$217,MATCH(B22, Rainfall_Wet!$A$2:$A$217,0)),"")</f>
        <v>185.630065823</v>
      </c>
      <c r="Y22" s="231">
        <v>54.080969906906262</v>
      </c>
      <c r="Z22" s="231">
        <v>21.264484651351896</v>
      </c>
      <c r="AA22" s="231">
        <v>24.654545441741845</v>
      </c>
      <c r="AB22" s="232" t="s">
        <v>2673</v>
      </c>
      <c r="AC22" s="231">
        <v>5.8433218334154802</v>
      </c>
      <c r="AD22" t="str">
        <f>IF('WetLitterbags placem_collection'!AB23="","",'WetLitterbags placem_collection'!AB23)</f>
        <v/>
      </c>
      <c r="AE22" t="str">
        <f>IF('WetLitterbags placem_collection'!Z23="","",'WetLitterbags placem_collection'!Z23)</f>
        <v/>
      </c>
      <c r="AF22" s="246" t="str">
        <f>IF('WetLitterbags placem_collection'!AA23="","",'WetLitterbags placem_collection'!AA23)</f>
        <v/>
      </c>
      <c r="AG22" t="str">
        <f>IF('WetLitterbags placem_collection'!AC23="","",'WetLitterbags placem_collection'!AC23)</f>
        <v/>
      </c>
      <c r="AH22" s="240">
        <f>AVERAGE('WetLitterbags placem_collection'!S23,'WetLitterbags placem_collection'!U23)</f>
        <v>34.150000000000006</v>
      </c>
      <c r="AI22">
        <f>AVERAGE('WetLitterbags placem_collection'!R23,'WetLitterbags placem_collection'!T23)</f>
        <v>20.6</v>
      </c>
      <c r="AJ22">
        <f>INDEX(Coordinates!$B$2:$B$197,MATCH(G22,Coordinates!$J$2:$J$197,0))</f>
        <v>-3.3854019919999998</v>
      </c>
      <c r="AK22">
        <f>INDEX(Coordinates!$C$2:$C$197,MATCH(G22,Coordinates!$J$2:$J$197,0))</f>
        <v>34.81894604</v>
      </c>
      <c r="AL22" t="str">
        <f>IF(ISNUMBER(SEARCH("C", 'WetLitterbags placem_collection'!V23)),"YES","NO")</f>
        <v>NO</v>
      </c>
      <c r="AM22" t="str">
        <f>IF(ISNUMBER(SEARCH("H", 'WetLitterbags placem_collection'!V23)),"YES","NO")</f>
        <v>NO</v>
      </c>
      <c r="AN22" t="str">
        <f>IF(ISNUMBER(SEARCH("R", 'WetLitterbags placem_collection'!V23)),"YES","NO")</f>
        <v>YES</v>
      </c>
    </row>
    <row r="23" spans="1:40">
      <c r="A23" s="258" t="s">
        <v>2460</v>
      </c>
      <c r="B23" s="263">
        <f>'Dry_Litterbag Placem_Collection'!A24</f>
        <v>22</v>
      </c>
      <c r="C23" s="263" t="str">
        <f>'Dry_Litterbag Placem_Collection'!B24</f>
        <v>Makao</v>
      </c>
      <c r="D23" s="263" t="s">
        <v>2659</v>
      </c>
      <c r="E23" s="263" t="s">
        <v>2660</v>
      </c>
      <c r="F23" s="263">
        <v>3</v>
      </c>
      <c r="G23" s="264" t="str">
        <f>'Dry_Litterbag Placem_Collection'!C24</f>
        <v>Dry_Ag3_T6</v>
      </c>
      <c r="H23" s="265" t="s">
        <v>2541</v>
      </c>
      <c r="I23" s="266" t="s">
        <v>1147</v>
      </c>
      <c r="J23" s="223" t="str">
        <f>'WetLitterbags placem_collection'!K24</f>
        <v>G575</v>
      </c>
      <c r="K23" s="225">
        <f>IFERROR(INDEX('Green_rooibos initial weight'!$C$5:$C$1749,MATCH(J23, 'Green_rooibos initial weight'!$A$5:$A$1749,0)),"")</f>
        <v>1.9970000000000001</v>
      </c>
      <c r="L23" s="225">
        <f>IFERROR(K23-(TBIcalc!$H$9+TBIcalc!$H$10),"")</f>
        <v>1.7472000000000001</v>
      </c>
      <c r="M23" s="391">
        <f>AVERAGE(Ashed_controlls!$K$2:$K$11)</f>
        <v>5.5147656768714146</v>
      </c>
      <c r="N23" s="225">
        <f t="shared" si="1"/>
        <v>1.6508460140937027</v>
      </c>
      <c r="O23" s="225">
        <f>IF(IFERROR(INDEX('Both teabags AfterWet'!$C$3:$C$841,MATCH(J23,'Both teabags AfterWet'!$A$3:$A$841,0)),"")="","",(IFERROR(INDEX('Both teabags AfterWet'!$C$3:$C$841,MATCH(J23,'Both teabags AfterWet'!$A$3:$A$841,0)),"")))</f>
        <v>0.74019999999999997</v>
      </c>
      <c r="P23" s="225">
        <f>IFERROR(IF(O23&gt;0,O23-(TBIcalc!$H$9),""),"")</f>
        <v>0.5895999999999999</v>
      </c>
      <c r="Q23" s="225">
        <f>IFERROR(INDEX('Ashed teabags wet'!$K$2:$K$821,MATCH(J23,'Ashed teabags wet'!$A$2:$A$821,0)),"")</f>
        <v>9.8263027295288854</v>
      </c>
      <c r="R23" s="225">
        <f t="shared" si="6"/>
        <v>0.53166411910669764</v>
      </c>
      <c r="S23" s="226">
        <f>'WetLitterbags placem_collection'!E24</f>
        <v>42767</v>
      </c>
      <c r="T23" s="226">
        <f>IF('WetLitterbags placem_collection'!G24="","",'WetLitterbags placem_collection'!G24)</f>
        <v>42818</v>
      </c>
      <c r="U23" s="227">
        <f t="shared" si="3"/>
        <v>51</v>
      </c>
      <c r="V23" s="225">
        <f t="shared" si="4"/>
        <v>1.1576000000000002</v>
      </c>
      <c r="W23" s="225">
        <f t="shared" si="5"/>
        <v>1.1191818949870052</v>
      </c>
      <c r="X23">
        <f>IFERROR(INDEX(Rainfall_Wet!$O$2:$O$217,MATCH(B23, Rainfall_Wet!$A$2:$A$217,0)),"")</f>
        <v>185.630065823</v>
      </c>
      <c r="Y23" s="231">
        <v>54.080969906906262</v>
      </c>
      <c r="Z23" s="231">
        <v>21.264484651351896</v>
      </c>
      <c r="AA23" s="231">
        <v>24.654545441741845</v>
      </c>
      <c r="AB23" s="232" t="s">
        <v>2673</v>
      </c>
      <c r="AC23" s="231">
        <v>6.8433218334154802</v>
      </c>
      <c r="AD23" t="str">
        <f>IF('WetLitterbags placem_collection'!AB24="","",'WetLitterbags placem_collection'!AB24)</f>
        <v/>
      </c>
      <c r="AE23" t="str">
        <f>IF('WetLitterbags placem_collection'!Z24="","",'WetLitterbags placem_collection'!Z24)</f>
        <v/>
      </c>
      <c r="AF23" s="246" t="str">
        <f>IF('WetLitterbags placem_collection'!AA24="","",'WetLitterbags placem_collection'!AA24)</f>
        <v/>
      </c>
      <c r="AG23" t="str">
        <f>IF('WetLitterbags placem_collection'!AC24="","",'WetLitterbags placem_collection'!AC24)</f>
        <v/>
      </c>
      <c r="AH23" s="240">
        <f>AVERAGE('WetLitterbags placem_collection'!S24,'WetLitterbags placem_collection'!U24)</f>
        <v>34.549999999999997</v>
      </c>
      <c r="AI23">
        <f>AVERAGE('WetLitterbags placem_collection'!R24,'WetLitterbags placem_collection'!T24)</f>
        <v>21.5</v>
      </c>
      <c r="AJ23">
        <f>INDEX(Coordinates!$B$2:$B$197,MATCH(G23,Coordinates!$J$2:$J$197,0))</f>
        <v>-3.3854470029999999</v>
      </c>
      <c r="AK23">
        <f>INDEX(Coordinates!$C$2:$C$197,MATCH(G23,Coordinates!$J$2:$J$197,0))</f>
        <v>34.818946959999998</v>
      </c>
      <c r="AL23" t="str">
        <f>IF(ISNUMBER(SEARCH("C", 'WetLitterbags placem_collection'!V24)),"YES","NO")</f>
        <v>NO</v>
      </c>
      <c r="AM23" t="str">
        <f>IF(ISNUMBER(SEARCH("H", 'WetLitterbags placem_collection'!V24)),"YES","NO")</f>
        <v>NO</v>
      </c>
      <c r="AN23" t="str">
        <f>IF(ISNUMBER(SEARCH("R", 'WetLitterbags placem_collection'!V24)),"YES","NO")</f>
        <v>YES</v>
      </c>
    </row>
    <row r="24" spans="1:40">
      <c r="A24" s="258" t="s">
        <v>2460</v>
      </c>
      <c r="B24" s="263">
        <f>'Dry_Litterbag Placem_Collection'!A25</f>
        <v>23</v>
      </c>
      <c r="C24" s="263" t="str">
        <f>'Dry_Litterbag Placem_Collection'!B25</f>
        <v>Makao</v>
      </c>
      <c r="D24" s="263" t="s">
        <v>2659</v>
      </c>
      <c r="E24" s="263" t="s">
        <v>2660</v>
      </c>
      <c r="F24" s="263">
        <v>3</v>
      </c>
      <c r="G24" s="264" t="str">
        <f>'Dry_Litterbag Placem_Collection'!C25</f>
        <v>Dry_Ag3_T7</v>
      </c>
      <c r="H24" s="265" t="s">
        <v>2541</v>
      </c>
      <c r="I24" s="266" t="s">
        <v>1147</v>
      </c>
      <c r="J24" s="223" t="str">
        <f>'WetLitterbags placem_collection'!K25</f>
        <v>G492</v>
      </c>
      <c r="K24" s="225">
        <f>IFERROR(INDEX('Green_rooibos initial weight'!$C$5:$C$1749,MATCH(J24, 'Green_rooibos initial weight'!$A$5:$A$1749,0)),"")</f>
        <v>1.948</v>
      </c>
      <c r="L24" s="225">
        <f>IFERROR(K24-(TBIcalc!$H$9+TBIcalc!$H$10),"")</f>
        <v>1.6981999999999999</v>
      </c>
      <c r="M24" s="391">
        <f>AVERAGE(Ashed_controlls!$K$2:$K$11)</f>
        <v>5.5147656768714146</v>
      </c>
      <c r="N24" s="225">
        <f t="shared" si="1"/>
        <v>1.6045482492753695</v>
      </c>
      <c r="O24" s="225">
        <f>IF(IFERROR(INDEX('Both teabags AfterWet'!$C$3:$C$841,MATCH(J24,'Both teabags AfterWet'!$A$3:$A$841,0)),"")="","",(IFERROR(INDEX('Both teabags AfterWet'!$C$3:$C$841,MATCH(J24,'Both teabags AfterWet'!$A$3:$A$841,0)),"")))</f>
        <v>0.76959999999999995</v>
      </c>
      <c r="P24" s="225">
        <f>IFERROR(IF(O24&gt;0,O24-(TBIcalc!$H$9),""),"")</f>
        <v>0.61899999999999999</v>
      </c>
      <c r="Q24" s="225">
        <f>IFERROR(INDEX('Ashed teabags wet'!$K$2:$K$821,MATCH(J24,'Ashed teabags wet'!$A$2:$A$821,0)),"")</f>
        <v>11.478696741854373</v>
      </c>
      <c r="R24" s="225">
        <f t="shared" si="6"/>
        <v>0.5479468671679214</v>
      </c>
      <c r="S24" s="226">
        <f>'WetLitterbags placem_collection'!E25</f>
        <v>42767</v>
      </c>
      <c r="T24" s="226">
        <f>IF('WetLitterbags placem_collection'!G25="","",'WetLitterbags placem_collection'!G25)</f>
        <v>42818</v>
      </c>
      <c r="U24" s="227">
        <f t="shared" si="3"/>
        <v>51</v>
      </c>
      <c r="V24" s="225">
        <f t="shared" si="4"/>
        <v>1.0791999999999999</v>
      </c>
      <c r="W24" s="225">
        <f t="shared" si="5"/>
        <v>1.056601382107448</v>
      </c>
      <c r="X24">
        <f>IFERROR(INDEX(Rainfall_Wet!$O$2:$O$217,MATCH(B24, Rainfall_Wet!$A$2:$A$217,0)),"")</f>
        <v>185.630065823</v>
      </c>
      <c r="Y24" s="231">
        <v>54.080969906906262</v>
      </c>
      <c r="Z24" s="231">
        <v>21.264484651351896</v>
      </c>
      <c r="AA24" s="231">
        <v>24.654545441741845</v>
      </c>
      <c r="AB24" s="232" t="s">
        <v>2673</v>
      </c>
      <c r="AC24" s="231">
        <v>7.8433218334154802</v>
      </c>
      <c r="AD24" t="str">
        <f>IF('WetLitterbags placem_collection'!AB25="","",'WetLitterbags placem_collection'!AB25)</f>
        <v/>
      </c>
      <c r="AE24" t="str">
        <f>IF('WetLitterbags placem_collection'!Z25="","",'WetLitterbags placem_collection'!Z25)</f>
        <v/>
      </c>
      <c r="AF24" s="246" t="str">
        <f>IF('WetLitterbags placem_collection'!AA25="","",'WetLitterbags placem_collection'!AA25)</f>
        <v/>
      </c>
      <c r="AG24" t="str">
        <f>IF('WetLitterbags placem_collection'!AC25="","",'WetLitterbags placem_collection'!AC25)</f>
        <v/>
      </c>
      <c r="AH24" s="240">
        <f>AVERAGE('WetLitterbags placem_collection'!S25,'WetLitterbags placem_collection'!U25)</f>
        <v>34.5</v>
      </c>
      <c r="AI24">
        <f>AVERAGE('WetLitterbags placem_collection'!R25,'WetLitterbags placem_collection'!T25)</f>
        <v>20.65</v>
      </c>
      <c r="AJ24">
        <f>INDEX(Coordinates!$B$2:$B$197,MATCH(G24,Coordinates!$J$2:$J$197,0))</f>
        <v>-3.3854200130000001</v>
      </c>
      <c r="AK24">
        <f>INDEX(Coordinates!$C$2:$C$197,MATCH(G24,Coordinates!$J$2:$J$197,0))</f>
        <v>34.818856019999998</v>
      </c>
      <c r="AL24" t="str">
        <f>IF(ISNUMBER(SEARCH("C", 'WetLitterbags placem_collection'!V25)),"YES","NO")</f>
        <v>NO</v>
      </c>
      <c r="AM24" t="str">
        <f>IF(ISNUMBER(SEARCH("H", 'WetLitterbags placem_collection'!V25)),"YES","NO")</f>
        <v>NO</v>
      </c>
      <c r="AN24" t="str">
        <f>IF(ISNUMBER(SEARCH("R", 'WetLitterbags placem_collection'!V25)),"YES","NO")</f>
        <v>YES</v>
      </c>
    </row>
    <row r="25" spans="1:40">
      <c r="A25" s="258" t="s">
        <v>2460</v>
      </c>
      <c r="B25" s="263">
        <f>'Dry_Litterbag Placem_Collection'!A26</f>
        <v>24</v>
      </c>
      <c r="C25" s="263" t="str">
        <f>'Dry_Litterbag Placem_Collection'!B26</f>
        <v>Makao</v>
      </c>
      <c r="D25" s="263" t="s">
        <v>2659</v>
      </c>
      <c r="E25" s="263" t="s">
        <v>2660</v>
      </c>
      <c r="F25" s="263">
        <v>3</v>
      </c>
      <c r="G25" s="264" t="str">
        <f>'Dry_Litterbag Placem_Collection'!C26</f>
        <v>Dry_Ag3_T8</v>
      </c>
      <c r="H25" s="265" t="s">
        <v>2541</v>
      </c>
      <c r="I25" s="266" t="s">
        <v>1147</v>
      </c>
      <c r="J25" s="223" t="str">
        <f>'WetLitterbags placem_collection'!K26</f>
        <v>G813</v>
      </c>
      <c r="K25" s="225">
        <f>IFERROR(INDEX('Green_rooibos initial weight'!$C$5:$C$1749,MATCH(J25, 'Green_rooibos initial weight'!$A$5:$A$1749,0)),"")</f>
        <v>1.9550000000000001</v>
      </c>
      <c r="L25" s="225">
        <f>IFERROR(K25-(TBIcalc!$H$9+TBIcalc!$H$10),"")</f>
        <v>1.7052</v>
      </c>
      <c r="M25" s="391">
        <f>AVERAGE(Ashed_controlls!$K$2:$K$11)</f>
        <v>5.5147656768714146</v>
      </c>
      <c r="N25" s="225">
        <f t="shared" si="1"/>
        <v>1.6111622156779888</v>
      </c>
      <c r="O25" s="225">
        <f>IF(IFERROR(INDEX('Both teabags AfterWet'!$C$3:$C$841,MATCH(J25,'Both teabags AfterWet'!$A$3:$A$841,0)),"")="","",(IFERROR(INDEX('Both teabags AfterWet'!$C$3:$C$841,MATCH(J25,'Both teabags AfterWet'!$A$3:$A$841,0)),"")))</f>
        <v>0.74790000000000001</v>
      </c>
      <c r="P25" s="225">
        <f>IFERROR(IF(O25&gt;0,O25-(TBIcalc!$H$9),""),"")</f>
        <v>0.59729999999999994</v>
      </c>
      <c r="Q25" s="225">
        <f>IFERROR(INDEX('Ashed teabags wet'!$K$2:$K$821,MATCH(J25,'Ashed teabags wet'!$A$2:$A$821,0)),"")</f>
        <v>11.584158415841873</v>
      </c>
      <c r="R25" s="225">
        <f t="shared" si="6"/>
        <v>0.52810782178217641</v>
      </c>
      <c r="S25" s="226">
        <f>'WetLitterbags placem_collection'!E26</f>
        <v>42767</v>
      </c>
      <c r="T25" s="226">
        <f>IF('WetLitterbags placem_collection'!G26="","",'WetLitterbags placem_collection'!G26)</f>
        <v>42818</v>
      </c>
      <c r="U25" s="227">
        <f t="shared" si="3"/>
        <v>51</v>
      </c>
      <c r="V25" s="225">
        <f t="shared" si="4"/>
        <v>1.1079000000000001</v>
      </c>
      <c r="W25" s="225">
        <f t="shared" si="5"/>
        <v>1.0830543938958124</v>
      </c>
      <c r="X25">
        <f>IFERROR(INDEX(Rainfall_Wet!$O$2:$O$217,MATCH(B25, Rainfall_Wet!$A$2:$A$217,0)),"")</f>
        <v>185.630065823</v>
      </c>
      <c r="Y25" s="231">
        <v>54.080969906906262</v>
      </c>
      <c r="Z25" s="231">
        <v>21.264484651351896</v>
      </c>
      <c r="AA25" s="231">
        <v>24.654545441741845</v>
      </c>
      <c r="AB25" s="232" t="s">
        <v>2673</v>
      </c>
      <c r="AC25" s="231">
        <v>8.8433218334154695</v>
      </c>
      <c r="AD25" t="str">
        <f>IF('WetLitterbags placem_collection'!AB26="","",'WetLitterbags placem_collection'!AB26)</f>
        <v/>
      </c>
      <c r="AE25" t="str">
        <f>IF('WetLitterbags placem_collection'!Z26="","",'WetLitterbags placem_collection'!Z26)</f>
        <v/>
      </c>
      <c r="AF25" s="246" t="str">
        <f>IF('WetLitterbags placem_collection'!AA26="","",'WetLitterbags placem_collection'!AA26)</f>
        <v/>
      </c>
      <c r="AG25" t="str">
        <f>IF('WetLitterbags placem_collection'!AC26="","",'WetLitterbags placem_collection'!AC26)</f>
        <v/>
      </c>
      <c r="AH25" s="240">
        <f>AVERAGE('WetLitterbags placem_collection'!S26,'WetLitterbags placem_collection'!U26)</f>
        <v>36.950000000000003</v>
      </c>
      <c r="AI25">
        <f>AVERAGE('WetLitterbags placem_collection'!R26,'WetLitterbags placem_collection'!T26)</f>
        <v>21.1</v>
      </c>
      <c r="AJ25">
        <f>INDEX(Coordinates!$B$2:$B$197,MATCH(G25,Coordinates!$J$2:$J$197,0))</f>
        <v>-3.3853829649999998</v>
      </c>
      <c r="AK25">
        <f>INDEX(Coordinates!$C$2:$C$197,MATCH(G25,Coordinates!$J$2:$J$197,0))</f>
        <v>34.818877980000003</v>
      </c>
      <c r="AL25" t="str">
        <f>IF(ISNUMBER(SEARCH("C", 'WetLitterbags placem_collection'!V26)),"YES","NO")</f>
        <v>NO</v>
      </c>
      <c r="AM25" t="str">
        <f>IF(ISNUMBER(SEARCH("H", 'WetLitterbags placem_collection'!V26)),"YES","NO")</f>
        <v>NO</v>
      </c>
      <c r="AN25" t="str">
        <f>IF(ISNUMBER(SEARCH("R", 'WetLitterbags placem_collection'!V26)),"YES","NO")</f>
        <v>YES</v>
      </c>
    </row>
    <row r="26" spans="1:40">
      <c r="A26" s="258" t="s">
        <v>2460</v>
      </c>
      <c r="B26" s="263">
        <f>'Dry_Litterbag Placem_Collection'!A27</f>
        <v>25</v>
      </c>
      <c r="C26" s="263" t="str">
        <f>'Dry_Litterbag Placem_Collection'!B27</f>
        <v>Makao</v>
      </c>
      <c r="D26" s="263" t="s">
        <v>2659</v>
      </c>
      <c r="E26" s="263" t="s">
        <v>2660</v>
      </c>
      <c r="F26" s="263">
        <v>4</v>
      </c>
      <c r="G26" s="264" t="str">
        <f>'Dry_Litterbag Placem_Collection'!C27</f>
        <v>Dry_Ag4_T1</v>
      </c>
      <c r="H26" s="265" t="s">
        <v>2541</v>
      </c>
      <c r="I26" s="266" t="s">
        <v>1147</v>
      </c>
      <c r="J26" s="223" t="str">
        <f>'WetLitterbags placem_collection'!K27</f>
        <v>G406</v>
      </c>
      <c r="K26" s="225">
        <f>IFERROR(INDEX('Green_rooibos initial weight'!$C$5:$C$1749,MATCH(J26, 'Green_rooibos initial weight'!$A$5:$A$1749,0)),"")</f>
        <v>2.0910000000000002</v>
      </c>
      <c r="L26" s="225">
        <f>IFERROR(K26-(TBIcalc!$H$9+TBIcalc!$H$10),"")</f>
        <v>1.8412000000000002</v>
      </c>
      <c r="M26" s="391">
        <f>AVERAGE(Ashed_controlls!$K$2:$K$11)</f>
        <v>5.5147656768714146</v>
      </c>
      <c r="N26" s="225">
        <f t="shared" si="1"/>
        <v>1.7396621343574437</v>
      </c>
      <c r="O26" s="225">
        <f>IF(IFERROR(INDEX('Both teabags AfterWet'!$C$3:$C$841,MATCH(J26,'Both teabags AfterWet'!$A$3:$A$841,0)),"")="","",(IFERROR(INDEX('Both teabags AfterWet'!$C$3:$C$841,MATCH(J26,'Both teabags AfterWet'!$A$3:$A$841,0)),"")))</f>
        <v>0.68400000000000005</v>
      </c>
      <c r="P26" s="225">
        <f>IFERROR(IF(O26&gt;0,O26-(TBIcalc!$H$9),""),"")</f>
        <v>0.5334000000000001</v>
      </c>
      <c r="Q26" s="225">
        <f>IFERROR(INDEX('Ashed teabags wet'!$K$2:$K$821,MATCH(J26,'Ashed teabags wet'!$A$2:$A$821,0)),"")</f>
        <v>12.537313432835518</v>
      </c>
      <c r="R26" s="225">
        <f t="shared" si="6"/>
        <v>0.46652597014925545</v>
      </c>
      <c r="S26" s="226">
        <f>'WetLitterbags placem_collection'!E27</f>
        <v>42767</v>
      </c>
      <c r="T26" s="226">
        <f>IF('WetLitterbags placem_collection'!G27="","",'WetLitterbags placem_collection'!G27)</f>
        <v>42818</v>
      </c>
      <c r="U26" s="227">
        <f t="shared" si="3"/>
        <v>51</v>
      </c>
      <c r="V26" s="225">
        <f t="shared" si="4"/>
        <v>1.3078000000000001</v>
      </c>
      <c r="W26" s="225">
        <f t="shared" si="5"/>
        <v>1.2731361642081882</v>
      </c>
      <c r="X26">
        <f>IFERROR(INDEX(Rainfall_Wet!$O$2:$O$217,MATCH(B26, Rainfall_Wet!$A$2:$A$217,0)),"")</f>
        <v>185.630065823</v>
      </c>
      <c r="Y26" s="231">
        <v>51.960000000000008</v>
      </c>
      <c r="Z26" s="231">
        <v>18.919999999999995</v>
      </c>
      <c r="AA26" s="231">
        <v>29.120000000000005</v>
      </c>
      <c r="AB26" s="232" t="s">
        <v>2673</v>
      </c>
      <c r="AC26" s="231">
        <v>1.85293247905372</v>
      </c>
      <c r="AD26" t="str">
        <f>IF('WetLitterbags placem_collection'!AB27="","",'WetLitterbags placem_collection'!AB27)</f>
        <v/>
      </c>
      <c r="AE26" t="str">
        <f>IF('WetLitterbags placem_collection'!Z27="","",'WetLitterbags placem_collection'!Z27)</f>
        <v/>
      </c>
      <c r="AF26" s="246" t="str">
        <f>IF('WetLitterbags placem_collection'!AA27="","",'WetLitterbags placem_collection'!AA27)</f>
        <v/>
      </c>
      <c r="AG26" t="str">
        <f>IF('WetLitterbags placem_collection'!AC27="","",'WetLitterbags placem_collection'!AC27)</f>
        <v/>
      </c>
      <c r="AH26" s="240">
        <f>AVERAGE('WetLitterbags placem_collection'!S27,'WetLitterbags placem_collection'!U27)</f>
        <v>36.85</v>
      </c>
      <c r="AI26">
        <f>AVERAGE('WetLitterbags placem_collection'!R27,'WetLitterbags placem_collection'!T27)</f>
        <v>21.35</v>
      </c>
      <c r="AJ26">
        <f>INDEX(Coordinates!$B$2:$B$197,MATCH(G26,Coordinates!$J$2:$J$197,0))</f>
        <v>-3.3849129919999998</v>
      </c>
      <c r="AK26">
        <f>INDEX(Coordinates!$C$2:$C$197,MATCH(G26,Coordinates!$J$2:$J$197,0))</f>
        <v>34.818899020000003</v>
      </c>
      <c r="AL26" t="str">
        <f>IF(ISNUMBER(SEARCH("C", 'WetLitterbags placem_collection'!V27)),"YES","NO")</f>
        <v>NO</v>
      </c>
      <c r="AM26" t="str">
        <f>IF(ISNUMBER(SEARCH("H", 'WetLitterbags placem_collection'!V27)),"YES","NO")</f>
        <v>NO</v>
      </c>
      <c r="AN26" t="str">
        <f>IF(ISNUMBER(SEARCH("R", 'WetLitterbags placem_collection'!V27)),"YES","NO")</f>
        <v>NO</v>
      </c>
    </row>
    <row r="27" spans="1:40">
      <c r="A27" s="258" t="s">
        <v>2460</v>
      </c>
      <c r="B27" s="263">
        <f>'Dry_Litterbag Placem_Collection'!A28</f>
        <v>26</v>
      </c>
      <c r="C27" s="263" t="str">
        <f>'Dry_Litterbag Placem_Collection'!B28</f>
        <v>Makao</v>
      </c>
      <c r="D27" s="263" t="s">
        <v>2659</v>
      </c>
      <c r="E27" s="263" t="s">
        <v>2660</v>
      </c>
      <c r="F27" s="263">
        <v>4</v>
      </c>
      <c r="G27" s="264" t="str">
        <f>'Dry_Litterbag Placem_Collection'!C28</f>
        <v>Dry_Ag4_T2</v>
      </c>
      <c r="H27" s="265" t="s">
        <v>2541</v>
      </c>
      <c r="I27" s="266" t="s">
        <v>1147</v>
      </c>
      <c r="J27" s="223" t="str">
        <f>'WetLitterbags placem_collection'!K28</f>
        <v>G651</v>
      </c>
      <c r="K27" s="225">
        <f>IFERROR(INDEX('Green_rooibos initial weight'!$C$5:$C$1749,MATCH(J27, 'Green_rooibos initial weight'!$A$5:$A$1749,0)),"")</f>
        <v>1.97</v>
      </c>
      <c r="L27" s="225">
        <f>IFERROR(K27-(TBIcalc!$H$9+TBIcalc!$H$10),"")</f>
        <v>1.7202</v>
      </c>
      <c r="M27" s="391">
        <f>AVERAGE(Ashed_controlls!$K$2:$K$11)</f>
        <v>5.5147656768714146</v>
      </c>
      <c r="N27" s="225">
        <f t="shared" si="1"/>
        <v>1.6253350008264578</v>
      </c>
      <c r="O27" s="225">
        <f>IF(IFERROR(INDEX('Both teabags AfterWet'!$C$3:$C$841,MATCH(J27,'Both teabags AfterWet'!$A$3:$A$841,0)),"")="","",(IFERROR(INDEX('Both teabags AfterWet'!$C$3:$C$841,MATCH(J27,'Both teabags AfterWet'!$A$3:$A$841,0)),"")))</f>
        <v>0.77580000000000005</v>
      </c>
      <c r="P27" s="225">
        <f>IFERROR(IF(O27&gt;0,O27-(TBIcalc!$H$9),""),"")</f>
        <v>0.62519999999999998</v>
      </c>
      <c r="Q27" s="225">
        <f>IFERROR(INDEX('Ashed teabags wet'!$K$2:$K$821,MATCH(J27,'Ashed teabags wet'!$A$2:$A$821,0)),"")</f>
        <v>12.512218963832606</v>
      </c>
      <c r="R27" s="225">
        <f t="shared" si="6"/>
        <v>0.54697360703811859</v>
      </c>
      <c r="S27" s="226">
        <f>'WetLitterbags placem_collection'!E28</f>
        <v>42767</v>
      </c>
      <c r="T27" s="226">
        <f>IF('WetLitterbags placem_collection'!G28="","",'WetLitterbags placem_collection'!G28)</f>
        <v>42818</v>
      </c>
      <c r="U27" s="227">
        <f t="shared" si="3"/>
        <v>51</v>
      </c>
      <c r="V27" s="225">
        <f t="shared" si="4"/>
        <v>1.095</v>
      </c>
      <c r="W27" s="225">
        <f t="shared" si="5"/>
        <v>1.0783613937883392</v>
      </c>
      <c r="X27">
        <f>IFERROR(INDEX(Rainfall_Wet!$O$2:$O$217,MATCH(B27, Rainfall_Wet!$A$2:$A$217,0)),"")</f>
        <v>185.630065823</v>
      </c>
      <c r="Y27" s="231">
        <v>51.960000000000008</v>
      </c>
      <c r="Z27" s="231">
        <v>18.919999999999995</v>
      </c>
      <c r="AA27" s="231">
        <v>29.120000000000005</v>
      </c>
      <c r="AB27" s="232" t="s">
        <v>2673</v>
      </c>
      <c r="AC27" s="231">
        <v>2.8529324790537198</v>
      </c>
      <c r="AD27" t="str">
        <f>IF('WetLitterbags placem_collection'!AB28="","",'WetLitterbags placem_collection'!AB28)</f>
        <v/>
      </c>
      <c r="AE27" t="str">
        <f>IF('WetLitterbags placem_collection'!Z28="","",'WetLitterbags placem_collection'!Z28)</f>
        <v/>
      </c>
      <c r="AF27" s="246" t="str">
        <f>IF('WetLitterbags placem_collection'!AA28="","",'WetLitterbags placem_collection'!AA28)</f>
        <v/>
      </c>
      <c r="AG27" t="str">
        <f>IF('WetLitterbags placem_collection'!AC28="","",'WetLitterbags placem_collection'!AC28)</f>
        <v/>
      </c>
      <c r="AH27" s="240">
        <f>AVERAGE('WetLitterbags placem_collection'!S28,'WetLitterbags placem_collection'!U28)</f>
        <v>31.3</v>
      </c>
      <c r="AI27">
        <f>AVERAGE('WetLitterbags placem_collection'!R28,'WetLitterbags placem_collection'!T28)</f>
        <v>20.7</v>
      </c>
      <c r="AJ27">
        <f>INDEX(Coordinates!$B$2:$B$197,MATCH(G27,Coordinates!$J$2:$J$197,0))</f>
        <v>-3.3849689999999999</v>
      </c>
      <c r="AK27">
        <f>INDEX(Coordinates!$C$2:$C$197,MATCH(G27,Coordinates!$J$2:$J$197,0))</f>
        <v>34.818908</v>
      </c>
      <c r="AL27" t="str">
        <f>IF(ISNUMBER(SEARCH("C", 'WetLitterbags placem_collection'!V28)),"YES","NO")</f>
        <v>NO</v>
      </c>
      <c r="AM27" t="str">
        <f>IF(ISNUMBER(SEARCH("H", 'WetLitterbags placem_collection'!V28)),"YES","NO")</f>
        <v>NO</v>
      </c>
      <c r="AN27" t="str">
        <f>IF(ISNUMBER(SEARCH("R", 'WetLitterbags placem_collection'!V28)),"YES","NO")</f>
        <v>YES</v>
      </c>
    </row>
    <row r="28" spans="1:40">
      <c r="A28" s="258" t="s">
        <v>2460</v>
      </c>
      <c r="B28" s="263">
        <f>'Dry_Litterbag Placem_Collection'!A29</f>
        <v>27</v>
      </c>
      <c r="C28" s="263" t="str">
        <f>'Dry_Litterbag Placem_Collection'!B29</f>
        <v>Makao</v>
      </c>
      <c r="D28" s="263" t="s">
        <v>2659</v>
      </c>
      <c r="E28" s="263" t="s">
        <v>2660</v>
      </c>
      <c r="F28" s="263">
        <v>4</v>
      </c>
      <c r="G28" s="264" t="str">
        <f>'Dry_Litterbag Placem_Collection'!C29</f>
        <v>Dry_Ag4_T3</v>
      </c>
      <c r="H28" s="265" t="s">
        <v>2541</v>
      </c>
      <c r="I28" s="266" t="s">
        <v>1147</v>
      </c>
      <c r="J28" s="223" t="str">
        <f>'WetLitterbags placem_collection'!K29</f>
        <v>G583</v>
      </c>
      <c r="K28" s="225">
        <f>IFERROR(INDEX('Green_rooibos initial weight'!$C$5:$C$1749,MATCH(J28, 'Green_rooibos initial weight'!$A$5:$A$1749,0)),"")</f>
        <v>2.1829999999999998</v>
      </c>
      <c r="L28" s="225">
        <f>IFERROR(K28-(TBIcalc!$H$9+TBIcalc!$H$10),"")</f>
        <v>1.9331999999999998</v>
      </c>
      <c r="M28" s="391">
        <f>AVERAGE(Ashed_controlls!$K$2:$K$11)</f>
        <v>5.5147656768714146</v>
      </c>
      <c r="N28" s="225">
        <f t="shared" si="1"/>
        <v>1.8265885499347216</v>
      </c>
      <c r="O28" s="225">
        <f>IF(IFERROR(INDEX('Both teabags AfterWet'!$C$3:$C$841,MATCH(J28,'Both teabags AfterWet'!$A$3:$A$841,0)),"")="","",(IFERROR(INDEX('Both teabags AfterWet'!$C$3:$C$841,MATCH(J28,'Both teabags AfterWet'!$A$3:$A$841,0)),"")))</f>
        <v>0.66169999999999995</v>
      </c>
      <c r="P28" s="225">
        <f>IFERROR(IF(O28&gt;0,O28-(TBIcalc!$H$9),""),"")</f>
        <v>0.51109999999999989</v>
      </c>
      <c r="Q28" s="225">
        <f>IFERROR(INDEX('Ashed teabags wet'!$K$2:$K$821,MATCH(J28,'Ashed teabags wet'!$A$2:$A$821,0)),"")</f>
        <v>12.756598240469378</v>
      </c>
      <c r="R28" s="225">
        <f t="shared" si="6"/>
        <v>0.44590102639296092</v>
      </c>
      <c r="S28" s="226">
        <f>'WetLitterbags placem_collection'!E29</f>
        <v>42767</v>
      </c>
      <c r="T28" s="226">
        <f>IF('WetLitterbags placem_collection'!G29="","",'WetLitterbags placem_collection'!G29)</f>
        <v>42818</v>
      </c>
      <c r="U28" s="227">
        <f t="shared" si="3"/>
        <v>51</v>
      </c>
      <c r="V28" s="225">
        <f t="shared" si="4"/>
        <v>1.4220999999999999</v>
      </c>
      <c r="W28" s="225">
        <f t="shared" si="5"/>
        <v>1.3806875235417606</v>
      </c>
      <c r="X28">
        <f>IFERROR(INDEX(Rainfall_Wet!$O$2:$O$217,MATCH(B28, Rainfall_Wet!$A$2:$A$217,0)),"")</f>
        <v>185.630065823</v>
      </c>
      <c r="Y28" s="231">
        <v>51.960000000000008</v>
      </c>
      <c r="Z28" s="231">
        <v>18.919999999999995</v>
      </c>
      <c r="AA28" s="231">
        <v>29.120000000000005</v>
      </c>
      <c r="AB28" s="232" t="s">
        <v>2673</v>
      </c>
      <c r="AC28" s="231">
        <v>3.8529324790537198</v>
      </c>
      <c r="AD28" t="str">
        <f>IF('WetLitterbags placem_collection'!AB29="","",'WetLitterbags placem_collection'!AB29)</f>
        <v/>
      </c>
      <c r="AE28" t="str">
        <f>IF('WetLitterbags placem_collection'!Z29="","",'WetLitterbags placem_collection'!Z29)</f>
        <v/>
      </c>
      <c r="AF28" s="246" t="str">
        <f>IF('WetLitterbags placem_collection'!AA29="","",'WetLitterbags placem_collection'!AA29)</f>
        <v/>
      </c>
      <c r="AG28" t="str">
        <f>IF('WetLitterbags placem_collection'!AC29="","",'WetLitterbags placem_collection'!AC29)</f>
        <v/>
      </c>
      <c r="AH28" s="240">
        <f>AVERAGE('WetLitterbags placem_collection'!S29,'WetLitterbags placem_collection'!U29)</f>
        <v>28.900000000000002</v>
      </c>
      <c r="AI28">
        <f>AVERAGE('WetLitterbags placem_collection'!R29,'WetLitterbags placem_collection'!T29)</f>
        <v>21.4</v>
      </c>
      <c r="AJ28">
        <f>INDEX(Coordinates!$B$2:$B$197,MATCH(G28,Coordinates!$J$2:$J$197,0))</f>
        <v>-3.3849350359999999</v>
      </c>
      <c r="AK28">
        <f>INDEX(Coordinates!$C$2:$C$197,MATCH(G28,Coordinates!$J$2:$J$197,0))</f>
        <v>34.818943019999999</v>
      </c>
      <c r="AL28" t="str">
        <f>IF(ISNUMBER(SEARCH("C", 'WetLitterbags placem_collection'!V29)),"YES","NO")</f>
        <v>NO</v>
      </c>
      <c r="AM28" t="str">
        <f>IF(ISNUMBER(SEARCH("H", 'WetLitterbags placem_collection'!V29)),"YES","NO")</f>
        <v>NO</v>
      </c>
      <c r="AN28" t="str">
        <f>IF(ISNUMBER(SEARCH("R", 'WetLitterbags placem_collection'!V29)),"YES","NO")</f>
        <v>NO</v>
      </c>
    </row>
    <row r="29" spans="1:40">
      <c r="A29" s="258" t="s">
        <v>2460</v>
      </c>
      <c r="B29" s="263">
        <f>'Dry_Litterbag Placem_Collection'!A30</f>
        <v>28</v>
      </c>
      <c r="C29" s="263" t="str">
        <f>'Dry_Litterbag Placem_Collection'!B30</f>
        <v>Makao</v>
      </c>
      <c r="D29" s="263" t="s">
        <v>2659</v>
      </c>
      <c r="E29" s="263" t="s">
        <v>2660</v>
      </c>
      <c r="F29" s="263">
        <v>4</v>
      </c>
      <c r="G29" s="264" t="str">
        <f>'Dry_Litterbag Placem_Collection'!C30</f>
        <v>Dry_Ag4_T4</v>
      </c>
      <c r="H29" s="265" t="s">
        <v>2541</v>
      </c>
      <c r="I29" s="266" t="s">
        <v>1147</v>
      </c>
      <c r="J29" s="223" t="str">
        <f>'WetLitterbags placem_collection'!K30</f>
        <v>G702</v>
      </c>
      <c r="K29" s="225">
        <f>IFERROR(INDEX('Green_rooibos initial weight'!$C$5:$C$1749,MATCH(J29, 'Green_rooibos initial weight'!$A$5:$A$1749,0)),"")</f>
        <v>2.109</v>
      </c>
      <c r="L29" s="225">
        <f>IFERROR(K29-(TBIcalc!$H$9+TBIcalc!$H$10),"")</f>
        <v>1.8592</v>
      </c>
      <c r="M29" s="391">
        <f>AVERAGE(Ashed_controlls!$K$2:$K$11)</f>
        <v>5.5147656768714146</v>
      </c>
      <c r="N29" s="225">
        <f t="shared" si="1"/>
        <v>1.7566694765356066</v>
      </c>
      <c r="O29" s="225">
        <f>IF(IFERROR(INDEX('Both teabags AfterWet'!$C$3:$C$841,MATCH(J29,'Both teabags AfterWet'!$A$3:$A$841,0)),"")="","",(IFERROR(INDEX('Both teabags AfterWet'!$C$3:$C$841,MATCH(J29,'Both teabags AfterWet'!$A$3:$A$841,0)),"")))</f>
        <v>0.73699999999999999</v>
      </c>
      <c r="P29" s="225">
        <f>IFERROR(IF(O29&gt;0,O29-(TBIcalc!$H$9),""),"")</f>
        <v>0.58640000000000003</v>
      </c>
      <c r="Q29" s="225">
        <f>IFERROR(INDEX('Ashed teabags wet'!$K$2:$K$821,MATCH(J29,'Ashed teabags wet'!$A$2:$A$821,0)),"")</f>
        <v>10.710760118459444</v>
      </c>
      <c r="R29" s="225">
        <f t="shared" si="6"/>
        <v>0.52359210266535383</v>
      </c>
      <c r="S29" s="226">
        <f>'WetLitterbags placem_collection'!E30</f>
        <v>42767</v>
      </c>
      <c r="T29" s="226">
        <f>IF('WetLitterbags placem_collection'!G30="","",'WetLitterbags placem_collection'!G30)</f>
        <v>42818</v>
      </c>
      <c r="U29" s="227">
        <f t="shared" si="3"/>
        <v>51</v>
      </c>
      <c r="V29" s="225">
        <f t="shared" si="4"/>
        <v>1.2727999999999999</v>
      </c>
      <c r="W29" s="225">
        <f t="shared" si="5"/>
        <v>1.2330773738702527</v>
      </c>
      <c r="X29">
        <f>IFERROR(INDEX(Rainfall_Wet!$O$2:$O$217,MATCH(B29, Rainfall_Wet!$A$2:$A$217,0)),"")</f>
        <v>185.630065823</v>
      </c>
      <c r="Y29" s="231">
        <v>51.960000000000008</v>
      </c>
      <c r="Z29" s="231">
        <v>18.919999999999995</v>
      </c>
      <c r="AA29" s="231">
        <v>29.120000000000005</v>
      </c>
      <c r="AB29" s="232" t="s">
        <v>2673</v>
      </c>
      <c r="AC29" s="231">
        <v>4.8529324790537203</v>
      </c>
      <c r="AD29" t="str">
        <f>IF('WetLitterbags placem_collection'!AB30="","",'WetLitterbags placem_collection'!AB30)</f>
        <v/>
      </c>
      <c r="AE29" t="str">
        <f>IF('WetLitterbags placem_collection'!Z30="","",'WetLitterbags placem_collection'!Z30)</f>
        <v/>
      </c>
      <c r="AF29" s="246" t="str">
        <f>IF('WetLitterbags placem_collection'!AA30="","",'WetLitterbags placem_collection'!AA30)</f>
        <v/>
      </c>
      <c r="AG29" t="str">
        <f>IF('WetLitterbags placem_collection'!AC30="","",'WetLitterbags placem_collection'!AC30)</f>
        <v/>
      </c>
      <c r="AH29" s="240">
        <f>AVERAGE('WetLitterbags placem_collection'!S30,'WetLitterbags placem_collection'!U30)</f>
        <v>33.4</v>
      </c>
      <c r="AI29">
        <f>AVERAGE('WetLitterbags placem_collection'!R30,'WetLitterbags placem_collection'!T30)</f>
        <v>20.6</v>
      </c>
      <c r="AJ29">
        <f>INDEX(Coordinates!$B$2:$B$197,MATCH(G29,Coordinates!$J$2:$J$197,0))</f>
        <v>-3.3850070369999998</v>
      </c>
      <c r="AK29">
        <f>INDEX(Coordinates!$C$2:$C$197,MATCH(G29,Coordinates!$J$2:$J$197,0))</f>
        <v>34.818888960000002</v>
      </c>
      <c r="AL29" t="str">
        <f>IF(ISNUMBER(SEARCH("C", 'WetLitterbags placem_collection'!V30)),"YES","NO")</f>
        <v>NO</v>
      </c>
      <c r="AM29" t="str">
        <f>IF(ISNUMBER(SEARCH("H", 'WetLitterbags placem_collection'!V30)),"YES","NO")</f>
        <v>NO</v>
      </c>
      <c r="AN29" t="str">
        <f>IF(ISNUMBER(SEARCH("R", 'WetLitterbags placem_collection'!V30)),"YES","NO")</f>
        <v>NO</v>
      </c>
    </row>
    <row r="30" spans="1:40">
      <c r="A30" s="258" t="s">
        <v>2460</v>
      </c>
      <c r="B30" s="263">
        <f>'Dry_Litterbag Placem_Collection'!A31</f>
        <v>29</v>
      </c>
      <c r="C30" s="263" t="str">
        <f>'Dry_Litterbag Placem_Collection'!B31</f>
        <v>Makao</v>
      </c>
      <c r="D30" s="263" t="s">
        <v>2659</v>
      </c>
      <c r="E30" s="263" t="s">
        <v>2660</v>
      </c>
      <c r="F30" s="263">
        <v>4</v>
      </c>
      <c r="G30" s="264" t="str">
        <f>'Dry_Litterbag Placem_Collection'!C31</f>
        <v>Dry_Ag4_T5</v>
      </c>
      <c r="H30" s="265" t="s">
        <v>2541</v>
      </c>
      <c r="I30" s="266" t="s">
        <v>1147</v>
      </c>
      <c r="J30" s="223" t="str">
        <f>'WetLitterbags placem_collection'!K31</f>
        <v>G838</v>
      </c>
      <c r="K30" s="225">
        <f>IFERROR(INDEX('Green_rooibos initial weight'!$C$5:$C$1749,MATCH(J30, 'Green_rooibos initial weight'!$A$5:$A$1749,0)),"")</f>
        <v>2.0369999999999999</v>
      </c>
      <c r="L30" s="225">
        <f>IFERROR(K30-(TBIcalc!$H$9+TBIcalc!$H$10),"")</f>
        <v>1.7871999999999999</v>
      </c>
      <c r="M30" s="391">
        <f>AVERAGE(Ashed_controlls!$K$2:$K$11)</f>
        <v>5.5147656768714146</v>
      </c>
      <c r="N30" s="225">
        <f t="shared" si="1"/>
        <v>1.688640107822954</v>
      </c>
      <c r="O30" s="225">
        <f>IF(IFERROR(INDEX('Both teabags AfterWet'!$C$3:$C$841,MATCH(J30,'Both teabags AfterWet'!$A$3:$A$841,0)),"")="","",(IFERROR(INDEX('Both teabags AfterWet'!$C$3:$C$841,MATCH(J30,'Both teabags AfterWet'!$A$3:$A$841,0)),"")))</f>
        <v>0.70830000000000004</v>
      </c>
      <c r="P30" s="225">
        <f>IFERROR(IF(O30&gt;0,O30-(TBIcalc!$H$9),""),"")</f>
        <v>0.55770000000000008</v>
      </c>
      <c r="Q30" s="225">
        <f>IFERROR(INDEX('Ashed teabags wet'!$K$2:$K$821,MATCH(J30,'Ashed teabags wet'!$A$2:$A$821,0)),"")</f>
        <v>8.2404265632568467</v>
      </c>
      <c r="R30" s="225">
        <f t="shared" si="6"/>
        <v>0.51174314105671659</v>
      </c>
      <c r="S30" s="226">
        <f>'WetLitterbags placem_collection'!E31</f>
        <v>42767</v>
      </c>
      <c r="T30" s="226">
        <f>IF('WetLitterbags placem_collection'!G31="","",'WetLitterbags placem_collection'!G31)</f>
        <v>42818</v>
      </c>
      <c r="U30" s="227">
        <f t="shared" si="3"/>
        <v>51</v>
      </c>
      <c r="V30" s="225">
        <f t="shared" si="4"/>
        <v>1.2294999999999998</v>
      </c>
      <c r="W30" s="225">
        <f t="shared" si="5"/>
        <v>1.1768969667662375</v>
      </c>
      <c r="X30">
        <f>IFERROR(INDEX(Rainfall_Wet!$O$2:$O$217,MATCH(B30, Rainfall_Wet!$A$2:$A$217,0)),"")</f>
        <v>185.630065823</v>
      </c>
      <c r="Y30" s="231">
        <v>51.960000000000008</v>
      </c>
      <c r="Z30" s="231">
        <v>18.919999999999995</v>
      </c>
      <c r="AA30" s="231">
        <v>29.120000000000005</v>
      </c>
      <c r="AB30" s="232" t="s">
        <v>2673</v>
      </c>
      <c r="AC30" s="231">
        <v>5.8529324790537203</v>
      </c>
      <c r="AD30" t="str">
        <f>IF('WetLitterbags placem_collection'!AB31="","",'WetLitterbags placem_collection'!AB31)</f>
        <v/>
      </c>
      <c r="AE30" t="str">
        <f>IF('WetLitterbags placem_collection'!Z31="","",'WetLitterbags placem_collection'!Z31)</f>
        <v/>
      </c>
      <c r="AF30" s="246" t="str">
        <f>IF('WetLitterbags placem_collection'!AA31="","",'WetLitterbags placem_collection'!AA31)</f>
        <v/>
      </c>
      <c r="AG30" t="str">
        <f>IF('WetLitterbags placem_collection'!AC31="","",'WetLitterbags placem_collection'!AC31)</f>
        <v/>
      </c>
      <c r="AH30" s="240">
        <f>AVERAGE('WetLitterbags placem_collection'!S31,'WetLitterbags placem_collection'!U31)</f>
        <v>28.4</v>
      </c>
      <c r="AI30">
        <f>AVERAGE('WetLitterbags placem_collection'!R31,'WetLitterbags placem_collection'!T31)</f>
        <v>21.049999999999997</v>
      </c>
      <c r="AJ30">
        <f>INDEX(Coordinates!$B$2:$B$197,MATCH(G30,Coordinates!$J$2:$J$197,0))</f>
        <v>-3.3849480280000002</v>
      </c>
      <c r="AK30">
        <f>INDEX(Coordinates!$C$2:$C$197,MATCH(G30,Coordinates!$J$2:$J$197,0))</f>
        <v>34.818854010000003</v>
      </c>
      <c r="AL30" t="str">
        <f>IF(ISNUMBER(SEARCH("C", 'WetLitterbags placem_collection'!V31)),"YES","NO")</f>
        <v>NO</v>
      </c>
      <c r="AM30" t="str">
        <f>IF(ISNUMBER(SEARCH("H", 'WetLitterbags placem_collection'!V31)),"YES","NO")</f>
        <v>NO</v>
      </c>
      <c r="AN30" t="str">
        <f>IF(ISNUMBER(SEARCH("R", 'WetLitterbags placem_collection'!V31)),"YES","NO")</f>
        <v>YES</v>
      </c>
    </row>
    <row r="31" spans="1:40">
      <c r="A31" s="258" t="s">
        <v>2460</v>
      </c>
      <c r="B31" s="263">
        <f>'Dry_Litterbag Placem_Collection'!A32</f>
        <v>30</v>
      </c>
      <c r="C31" s="263" t="str">
        <f>'Dry_Litterbag Placem_Collection'!B32</f>
        <v>Makao</v>
      </c>
      <c r="D31" s="263" t="s">
        <v>2659</v>
      </c>
      <c r="E31" s="263" t="s">
        <v>2660</v>
      </c>
      <c r="F31" s="263">
        <v>4</v>
      </c>
      <c r="G31" s="264" t="str">
        <f>'Dry_Litterbag Placem_Collection'!C32</f>
        <v>Dry_Ag4_T6</v>
      </c>
      <c r="H31" s="265" t="s">
        <v>2541</v>
      </c>
      <c r="I31" s="266" t="s">
        <v>1147</v>
      </c>
      <c r="J31" s="223" t="str">
        <f>'WetLitterbags placem_collection'!K32</f>
        <v>G518</v>
      </c>
      <c r="K31" s="225">
        <f>IFERROR(INDEX('Green_rooibos initial weight'!$C$5:$C$1749,MATCH(J31, 'Green_rooibos initial weight'!$A$5:$A$1749,0)),"")</f>
        <v>1.9950000000000001</v>
      </c>
      <c r="L31" s="225">
        <f>IFERROR(K31-(TBIcalc!$H$9+TBIcalc!$H$10),"")</f>
        <v>1.7452000000000001</v>
      </c>
      <c r="M31" s="391">
        <f>AVERAGE(Ashed_controlls!$K$2:$K$11)</f>
        <v>5.5147656768714146</v>
      </c>
      <c r="N31" s="225">
        <f t="shared" si="1"/>
        <v>1.6489563094072401</v>
      </c>
      <c r="O31" s="225">
        <f>IF(IFERROR(INDEX('Both teabags AfterWet'!$C$3:$C$841,MATCH(J31,'Both teabags AfterWet'!$A$3:$A$841,0)),"")="","",(IFERROR(INDEX('Both teabags AfterWet'!$C$3:$C$841,MATCH(J31,'Both teabags AfterWet'!$A$3:$A$841,0)),"")))</f>
        <v>0.68200000000000005</v>
      </c>
      <c r="P31" s="225">
        <f>IFERROR(IF(O31&gt;0,O31-(TBIcalc!$H$9),""),"")</f>
        <v>0.53140000000000009</v>
      </c>
      <c r="Q31" s="225">
        <f>IFERROR(INDEX('Ashed teabags wet'!$K$2:$K$821,MATCH(J31,'Ashed teabags wet'!$A$2:$A$821,0)),"")</f>
        <v>11.009615384615254</v>
      </c>
      <c r="R31" s="225">
        <f t="shared" si="6"/>
        <v>0.47289490384615462</v>
      </c>
      <c r="S31" s="226">
        <f>'WetLitterbags placem_collection'!E32</f>
        <v>42767</v>
      </c>
      <c r="T31" s="226">
        <f>IF('WetLitterbags placem_collection'!G32="","",'WetLitterbags placem_collection'!G32)</f>
        <v>42818</v>
      </c>
      <c r="U31" s="227">
        <f t="shared" si="3"/>
        <v>51</v>
      </c>
      <c r="V31" s="225">
        <f t="shared" si="4"/>
        <v>1.2138</v>
      </c>
      <c r="W31" s="225">
        <f t="shared" si="5"/>
        <v>1.1760614055610854</v>
      </c>
      <c r="X31">
        <f>IFERROR(INDEX(Rainfall_Wet!$O$2:$O$217,MATCH(B31, Rainfall_Wet!$A$2:$A$217,0)),"")</f>
        <v>185.630065823</v>
      </c>
      <c r="Y31" s="231">
        <v>51.960000000000008</v>
      </c>
      <c r="Z31" s="231">
        <v>18.919999999999995</v>
      </c>
      <c r="AA31" s="231">
        <v>29.120000000000005</v>
      </c>
      <c r="AB31" s="232" t="s">
        <v>2673</v>
      </c>
      <c r="AC31" s="231">
        <v>6.8529324790537203</v>
      </c>
      <c r="AD31" t="str">
        <f>IF('WetLitterbags placem_collection'!AB32="","",'WetLitterbags placem_collection'!AB32)</f>
        <v/>
      </c>
      <c r="AE31" t="str">
        <f>IF('WetLitterbags placem_collection'!Z32="","",'WetLitterbags placem_collection'!Z32)</f>
        <v/>
      </c>
      <c r="AF31" s="246" t="str">
        <f>IF('WetLitterbags placem_collection'!AA32="","",'WetLitterbags placem_collection'!AA32)</f>
        <v/>
      </c>
      <c r="AG31" t="str">
        <f>IF('WetLitterbags placem_collection'!AC32="","",'WetLitterbags placem_collection'!AC32)</f>
        <v/>
      </c>
      <c r="AH31" s="240">
        <f>AVERAGE('WetLitterbags placem_collection'!S32,'WetLitterbags placem_collection'!U32)</f>
        <v>26.9</v>
      </c>
      <c r="AI31">
        <f>AVERAGE('WetLitterbags placem_collection'!R32,'WetLitterbags placem_collection'!T32)</f>
        <v>20.7</v>
      </c>
      <c r="AJ31">
        <f>INDEX(Coordinates!$B$2:$B$197,MATCH(G31,Coordinates!$J$2:$J$197,0))</f>
        <v>-3.38496496</v>
      </c>
      <c r="AK31">
        <f>INDEX(Coordinates!$C$2:$C$197,MATCH(G31,Coordinates!$J$2:$J$197,0))</f>
        <v>34.818790970000002</v>
      </c>
      <c r="AL31" t="str">
        <f>IF(ISNUMBER(SEARCH("C", 'WetLitterbags placem_collection'!V32)),"YES","NO")</f>
        <v>NO</v>
      </c>
      <c r="AM31" t="str">
        <f>IF(ISNUMBER(SEARCH("H", 'WetLitterbags placem_collection'!V32)),"YES","NO")</f>
        <v>NO</v>
      </c>
      <c r="AN31" t="str">
        <f>IF(ISNUMBER(SEARCH("R", 'WetLitterbags placem_collection'!V32)),"YES","NO")</f>
        <v>YES</v>
      </c>
    </row>
    <row r="32" spans="1:40">
      <c r="A32" s="258" t="s">
        <v>2460</v>
      </c>
      <c r="B32" s="263">
        <f>'Dry_Litterbag Placem_Collection'!A33</f>
        <v>31</v>
      </c>
      <c r="C32" s="263" t="str">
        <f>'Dry_Litterbag Placem_Collection'!B33</f>
        <v>Makao</v>
      </c>
      <c r="D32" s="263" t="s">
        <v>2659</v>
      </c>
      <c r="E32" s="263" t="s">
        <v>2660</v>
      </c>
      <c r="F32" s="263">
        <v>4</v>
      </c>
      <c r="G32" s="264" t="str">
        <f>'Dry_Litterbag Placem_Collection'!C33</f>
        <v>Dry_Ag4_T7</v>
      </c>
      <c r="H32" s="265" t="s">
        <v>2541</v>
      </c>
      <c r="I32" s="266" t="s">
        <v>1147</v>
      </c>
      <c r="J32" s="223" t="str">
        <f>'WetLitterbags placem_collection'!K33</f>
        <v>G404</v>
      </c>
      <c r="K32" s="225">
        <f>IFERROR(INDEX('Green_rooibos initial weight'!$C$5:$C$1749,MATCH(J32, 'Green_rooibos initial weight'!$A$5:$A$1749,0)),"")</f>
        <v>2.113</v>
      </c>
      <c r="L32" s="225">
        <f>IFERROR(K32-(TBIcalc!$H$9+TBIcalc!$H$10),"")</f>
        <v>1.8632</v>
      </c>
      <c r="M32" s="391">
        <f>AVERAGE(Ashed_controlls!$K$2:$K$11)</f>
        <v>5.5147656768714146</v>
      </c>
      <c r="N32" s="225">
        <f t="shared" si="1"/>
        <v>1.7604488859085319</v>
      </c>
      <c r="O32" s="225">
        <f>IF(IFERROR(INDEX('Both teabags AfterWet'!$C$3:$C$841,MATCH(J32,'Both teabags AfterWet'!$A$3:$A$841,0)),"")="","",(IFERROR(INDEX('Both teabags AfterWet'!$C$3:$C$841,MATCH(J32,'Both teabags AfterWet'!$A$3:$A$841,0)),"")))</f>
        <v>0.75349999999999995</v>
      </c>
      <c r="P32" s="225">
        <f>IFERROR(IF(O32&gt;0,O32-(TBIcalc!$H$9),""),"")</f>
        <v>0.60289999999999999</v>
      </c>
      <c r="Q32" s="225">
        <f>IFERROR(INDEX('Ashed teabags wet'!$K$2:$K$821,MATCH(J32,'Ashed teabags wet'!$A$2:$A$821,0)),"")</f>
        <v>13.930110100526482</v>
      </c>
      <c r="R32" s="225">
        <f t="shared" si="6"/>
        <v>0.51891536620392587</v>
      </c>
      <c r="S32" s="226">
        <f>'WetLitterbags placem_collection'!E33</f>
        <v>42767</v>
      </c>
      <c r="T32" s="226">
        <f>IF('WetLitterbags placem_collection'!G33="","",'WetLitterbags placem_collection'!G33)</f>
        <v>42818</v>
      </c>
      <c r="U32" s="227">
        <f t="shared" si="3"/>
        <v>51</v>
      </c>
      <c r="V32" s="225">
        <f t="shared" si="4"/>
        <v>1.2603</v>
      </c>
      <c r="W32" s="225">
        <f t="shared" si="5"/>
        <v>1.241533519704606</v>
      </c>
      <c r="X32">
        <f>IFERROR(INDEX(Rainfall_Wet!$O$2:$O$217,MATCH(B32, Rainfall_Wet!$A$2:$A$217,0)),"")</f>
        <v>185.630065823</v>
      </c>
      <c r="Y32" s="231">
        <v>51.960000000000008</v>
      </c>
      <c r="Z32" s="231">
        <v>18.919999999999995</v>
      </c>
      <c r="AA32" s="231">
        <v>29.120000000000005</v>
      </c>
      <c r="AB32" s="232" t="s">
        <v>2673</v>
      </c>
      <c r="AC32" s="231">
        <v>7.8529324790537203</v>
      </c>
      <c r="AD32" t="str">
        <f>IF('WetLitterbags placem_collection'!AB33="","",'WetLitterbags placem_collection'!AB33)</f>
        <v/>
      </c>
      <c r="AE32" t="str">
        <f>IF('WetLitterbags placem_collection'!Z33="","",'WetLitterbags placem_collection'!Z33)</f>
        <v/>
      </c>
      <c r="AF32" s="246" t="str">
        <f>IF('WetLitterbags placem_collection'!AA33="","",'WetLitterbags placem_collection'!AA33)</f>
        <v/>
      </c>
      <c r="AG32" t="str">
        <f>IF('WetLitterbags placem_collection'!AC33="","",'WetLitterbags placem_collection'!AC33)</f>
        <v/>
      </c>
      <c r="AH32" s="240">
        <f>AVERAGE('WetLitterbags placem_collection'!S33,'WetLitterbags placem_collection'!U33)</f>
        <v>33</v>
      </c>
      <c r="AI32">
        <f>AVERAGE('WetLitterbags placem_collection'!R33,'WetLitterbags placem_collection'!T33)</f>
        <v>20.950000000000003</v>
      </c>
      <c r="AJ32">
        <f>INDEX(Coordinates!$B$2:$B$197,MATCH(G32,Coordinates!$J$2:$J$197,0))</f>
        <v>-3.3848409909999999</v>
      </c>
      <c r="AK32">
        <f>INDEX(Coordinates!$C$2:$C$197,MATCH(G32,Coordinates!$J$2:$J$197,0))</f>
        <v>34.818838999999997</v>
      </c>
      <c r="AL32" t="str">
        <f>IF(ISNUMBER(SEARCH("C", 'WetLitterbags placem_collection'!V33)),"YES","NO")</f>
        <v>NO</v>
      </c>
      <c r="AM32" t="str">
        <f>IF(ISNUMBER(SEARCH("H", 'WetLitterbags placem_collection'!V33)),"YES","NO")</f>
        <v>NO</v>
      </c>
      <c r="AN32" t="str">
        <f>IF(ISNUMBER(SEARCH("R", 'WetLitterbags placem_collection'!V33)),"YES","NO")</f>
        <v>YES</v>
      </c>
    </row>
    <row r="33" spans="1:40">
      <c r="A33" s="258" t="s">
        <v>2460</v>
      </c>
      <c r="B33" s="263">
        <f>'Dry_Litterbag Placem_Collection'!A34</f>
        <v>32</v>
      </c>
      <c r="C33" s="263" t="str">
        <f>'Dry_Litterbag Placem_Collection'!B34</f>
        <v>Makao</v>
      </c>
      <c r="D33" s="263" t="s">
        <v>2659</v>
      </c>
      <c r="E33" s="263" t="s">
        <v>2660</v>
      </c>
      <c r="F33" s="263">
        <v>4</v>
      </c>
      <c r="G33" s="264" t="str">
        <f>'Dry_Litterbag Placem_Collection'!C34</f>
        <v>Dry_Ag4_T8</v>
      </c>
      <c r="H33" s="265" t="s">
        <v>2541</v>
      </c>
      <c r="I33" s="266" t="s">
        <v>1147</v>
      </c>
      <c r="J33" s="223" t="str">
        <f>'WetLitterbags placem_collection'!K34</f>
        <v>G527</v>
      </c>
      <c r="K33" s="225">
        <f>IFERROR(INDEX('Green_rooibos initial weight'!$C$5:$C$1749,MATCH(J33, 'Green_rooibos initial weight'!$A$5:$A$1749,0)),"")</f>
        <v>1.913</v>
      </c>
      <c r="L33" s="225">
        <f>IFERROR(K33-(TBIcalc!$H$9+TBIcalc!$H$10),"")</f>
        <v>1.6632</v>
      </c>
      <c r="M33" s="391">
        <f>AVERAGE(Ashed_controlls!$K$2:$K$11)</f>
        <v>5.5147656768714146</v>
      </c>
      <c r="N33" s="225">
        <f t="shared" si="1"/>
        <v>1.5714784172622747</v>
      </c>
      <c r="O33" s="225">
        <f>IF(IFERROR(INDEX('Both teabags AfterWet'!$C$3:$C$841,MATCH(J33,'Both teabags AfterWet'!$A$3:$A$841,0)),"")="","",(IFERROR(INDEX('Both teabags AfterWet'!$C$3:$C$841,MATCH(J33,'Both teabags AfterWet'!$A$3:$A$841,0)),"")))</f>
        <v>0.66439999999999999</v>
      </c>
      <c r="P33" s="225">
        <f>IFERROR(IF(O33&gt;0,O33-(TBIcalc!$H$9),""),"")</f>
        <v>0.51380000000000003</v>
      </c>
      <c r="Q33" s="225">
        <f>IFERROR(INDEX('Ashed teabags wet'!$K$2:$K$821,MATCH(J33,'Ashed teabags wet'!$A$2:$A$821,0)),"")</f>
        <v>8.4915084915079166</v>
      </c>
      <c r="R33" s="225">
        <f t="shared" si="6"/>
        <v>0.47017062937063236</v>
      </c>
      <c r="S33" s="226">
        <f>'WetLitterbags placem_collection'!E34</f>
        <v>42767</v>
      </c>
      <c r="T33" s="226">
        <f>IF('WetLitterbags placem_collection'!G34="","",'WetLitterbags placem_collection'!G34)</f>
        <v>42818</v>
      </c>
      <c r="U33" s="227">
        <f t="shared" si="3"/>
        <v>51</v>
      </c>
      <c r="V33" s="225">
        <f t="shared" si="4"/>
        <v>1.1494</v>
      </c>
      <c r="W33" s="225">
        <f t="shared" si="5"/>
        <v>1.1013077878916424</v>
      </c>
      <c r="X33">
        <f>IFERROR(INDEX(Rainfall_Wet!$O$2:$O$217,MATCH(B33, Rainfall_Wet!$A$2:$A$217,0)),"")</f>
        <v>185.630065823</v>
      </c>
      <c r="Y33" s="231">
        <v>51.960000000000008</v>
      </c>
      <c r="Z33" s="231">
        <v>18.919999999999995</v>
      </c>
      <c r="AA33" s="231">
        <v>29.120000000000005</v>
      </c>
      <c r="AB33" s="232" t="s">
        <v>2673</v>
      </c>
      <c r="AC33" s="231">
        <v>8.8529324790537203</v>
      </c>
      <c r="AD33" t="str">
        <f>IF('WetLitterbags placem_collection'!AB34="","",'WetLitterbags placem_collection'!AB34)</f>
        <v/>
      </c>
      <c r="AE33" t="str">
        <f>IF('WetLitterbags placem_collection'!Z34="","",'WetLitterbags placem_collection'!Z34)</f>
        <v/>
      </c>
      <c r="AF33" s="246" t="str">
        <f>IF('WetLitterbags placem_collection'!AA34="","",'WetLitterbags placem_collection'!AA34)</f>
        <v/>
      </c>
      <c r="AG33" t="str">
        <f>IF('WetLitterbags placem_collection'!AC34="","",'WetLitterbags placem_collection'!AC34)</f>
        <v/>
      </c>
      <c r="AH33" s="240">
        <f>AVERAGE('WetLitterbags placem_collection'!S34,'WetLitterbags placem_collection'!U34)</f>
        <v>32.849999999999994</v>
      </c>
      <c r="AI33">
        <f>AVERAGE('WetLitterbags placem_collection'!R34,'WetLitterbags placem_collection'!T34)</f>
        <v>20.9</v>
      </c>
      <c r="AJ33">
        <f>INDEX(Coordinates!$B$2:$B$197,MATCH(G33,Coordinates!$J$2:$J$197,0))</f>
        <v>-3.3849010060000002</v>
      </c>
      <c r="AK33">
        <f>INDEX(Coordinates!$C$2:$C$197,MATCH(G33,Coordinates!$J$2:$J$197,0))</f>
        <v>34.818979990000003</v>
      </c>
      <c r="AL33" t="str">
        <f>IF(ISNUMBER(SEARCH("C", 'WetLitterbags placem_collection'!V34)),"YES","NO")</f>
        <v>NO</v>
      </c>
      <c r="AM33" t="str">
        <f>IF(ISNUMBER(SEARCH("H", 'WetLitterbags placem_collection'!V34)),"YES","NO")</f>
        <v>NO</v>
      </c>
      <c r="AN33" t="str">
        <f>IF(ISNUMBER(SEARCH("R", 'WetLitterbags placem_collection'!V34)),"YES","NO")</f>
        <v>YES</v>
      </c>
    </row>
    <row r="34" spans="1:40">
      <c r="A34" s="258" t="s">
        <v>2460</v>
      </c>
      <c r="B34" s="263">
        <f>'Dry_Litterbag Placem_Collection'!A35</f>
        <v>33</v>
      </c>
      <c r="C34" s="263" t="str">
        <f>'Dry_Litterbag Placem_Collection'!B35</f>
        <v>Makao</v>
      </c>
      <c r="D34" s="263" t="s">
        <v>2659</v>
      </c>
      <c r="E34" s="263" t="s">
        <v>20</v>
      </c>
      <c r="F34" s="263">
        <v>1</v>
      </c>
      <c r="G34" s="264" t="str">
        <f>'Dry_Litterbag Placem_Collection'!C35</f>
        <v>Dry_P1_T1</v>
      </c>
      <c r="H34" s="265" t="s">
        <v>2541</v>
      </c>
      <c r="I34" s="266" t="s">
        <v>1147</v>
      </c>
      <c r="J34" s="223" t="str">
        <f>'WetLitterbags placem_collection'!K35</f>
        <v>G366</v>
      </c>
      <c r="K34" s="225">
        <f>IFERROR(INDEX('Green_rooibos initial weight'!$C$5:$C$1749,MATCH(J34, 'Green_rooibos initial weight'!$A$5:$A$1749,0)),"")</f>
        <v>2.1070000000000002</v>
      </c>
      <c r="L34" s="225">
        <f>IFERROR(K34-(TBIcalc!$H$9+TBIcalc!$H$10),"")</f>
        <v>1.8572000000000002</v>
      </c>
      <c r="M34" s="391">
        <f>AVERAGE(Ashed_controlls!$K$2:$K$11)</f>
        <v>5.5147656768714146</v>
      </c>
      <c r="N34" s="225">
        <f t="shared" si="1"/>
        <v>1.7547797718491442</v>
      </c>
      <c r="O34" s="225">
        <f>IF(IFERROR(INDEX('Both teabags AfterWet'!$C$3:$C$841,MATCH(J34,'Both teabags AfterWet'!$A$3:$A$841,0)),"")="","",(IFERROR(INDEX('Both teabags AfterWet'!$C$3:$C$841,MATCH(J34,'Both teabags AfterWet'!$A$3:$A$841,0)),"")))</f>
        <v>0.76700000000000002</v>
      </c>
      <c r="P34" s="225">
        <f>IFERROR(IF(O34&gt;0,O34-(TBIcalc!$H$9),""),"")</f>
        <v>0.61640000000000006</v>
      </c>
      <c r="Q34" s="225">
        <f>IFERROR(INDEX('Ashed teabags wet'!$K$2:$K$821,MATCH(J34,'Ashed teabags wet'!$A$2:$A$821,0)),"")</f>
        <v>9.3672147483803556</v>
      </c>
      <c r="R34" s="225">
        <f t="shared" si="6"/>
        <v>0.55866048829098358</v>
      </c>
      <c r="S34" s="226">
        <f>'WetLitterbags placem_collection'!E35</f>
        <v>42765</v>
      </c>
      <c r="T34" s="226">
        <f>IF('WetLitterbags placem_collection'!G35="","",'WetLitterbags placem_collection'!G35)</f>
        <v>42820</v>
      </c>
      <c r="U34" s="227">
        <f t="shared" si="3"/>
        <v>55</v>
      </c>
      <c r="V34" s="225">
        <f t="shared" si="4"/>
        <v>1.2408000000000001</v>
      </c>
      <c r="W34" s="225">
        <f t="shared" si="5"/>
        <v>1.1961192835581607</v>
      </c>
      <c r="X34">
        <f>IFERROR(INDEX(Rainfall_Wet!$O$2:$O$217,MATCH(B34, Rainfall_Wet!$A$2:$A$217,0)),"")</f>
        <v>228.324359195</v>
      </c>
      <c r="Y34" s="231">
        <v>23.96</v>
      </c>
      <c r="Z34" s="231">
        <v>0.91999999999999804</v>
      </c>
      <c r="AA34" s="231">
        <v>75.12</v>
      </c>
      <c r="AB34" s="232" t="s">
        <v>2670</v>
      </c>
      <c r="AC34" s="231">
        <v>1.2493839329719072</v>
      </c>
      <c r="AD34">
        <f>IF('WetLitterbags placem_collection'!AB35="","",'WetLitterbags placem_collection'!AB35)</f>
        <v>9.5</v>
      </c>
      <c r="AE34">
        <f>IF('WetLitterbags placem_collection'!Z35="","",'WetLitterbags placem_collection'!Z35)</f>
        <v>17.2</v>
      </c>
      <c r="AF34" s="246" t="str">
        <f>IF('WetLitterbags placem_collection'!AA35="","",'WetLitterbags placem_collection'!AA35)</f>
        <v>G</v>
      </c>
      <c r="AG34">
        <f>IF('WetLitterbags placem_collection'!AC35="","",'WetLitterbags placem_collection'!AC35)</f>
        <v>0</v>
      </c>
      <c r="AH34" s="240">
        <f>AVERAGE('WetLitterbags placem_collection'!S35,'WetLitterbags placem_collection'!U35)</f>
        <v>30.5</v>
      </c>
      <c r="AI34">
        <f>AVERAGE('WetLitterbags placem_collection'!R35,'WetLitterbags placem_collection'!T35)</f>
        <v>25.25</v>
      </c>
      <c r="AJ34">
        <f>INDEX(Coordinates!$B$2:$B$197,MATCH(G34,Coordinates!$J$2:$J$197,0))</f>
        <v>-3.4092039989999998</v>
      </c>
      <c r="AK34">
        <f>INDEX(Coordinates!$C$2:$C$197,MATCH(G34,Coordinates!$J$2:$J$197,0))</f>
        <v>34.852751009999999</v>
      </c>
      <c r="AL34" t="str">
        <f>IF(ISNUMBER(SEARCH("C", 'WetLitterbags placem_collection'!V35)),"YES","NO")</f>
        <v>NO</v>
      </c>
      <c r="AM34" t="str">
        <f>IF(ISNUMBER(SEARCH("H", 'WetLitterbags placem_collection'!V35)),"YES","NO")</f>
        <v>NO</v>
      </c>
      <c r="AN34" t="str">
        <f>IF(ISNUMBER(SEARCH("R", 'WetLitterbags placem_collection'!V35)),"YES","NO")</f>
        <v>YES</v>
      </c>
    </row>
    <row r="35" spans="1:40">
      <c r="A35" s="258" t="s">
        <v>2460</v>
      </c>
      <c r="B35" s="263">
        <f>'Dry_Litterbag Placem_Collection'!A36</f>
        <v>34</v>
      </c>
      <c r="C35" s="263" t="str">
        <f>'Dry_Litterbag Placem_Collection'!B36</f>
        <v>Makao</v>
      </c>
      <c r="D35" s="263" t="s">
        <v>2659</v>
      </c>
      <c r="E35" s="263" t="s">
        <v>20</v>
      </c>
      <c r="F35" s="263">
        <v>1</v>
      </c>
      <c r="G35" s="264" t="str">
        <f>'Dry_Litterbag Placem_Collection'!C36</f>
        <v>Dry_P1_T2</v>
      </c>
      <c r="H35" s="265" t="s">
        <v>2541</v>
      </c>
      <c r="I35" s="266" t="s">
        <v>1147</v>
      </c>
      <c r="J35" s="223" t="str">
        <f>'WetLitterbags placem_collection'!K36</f>
        <v>G516</v>
      </c>
      <c r="K35" s="225">
        <f>IFERROR(INDEX('Green_rooibos initial weight'!$C$5:$C$1749,MATCH(J35, 'Green_rooibos initial weight'!$A$5:$A$1749,0)),"")</f>
        <v>2.1160000000000001</v>
      </c>
      <c r="L35" s="225">
        <f>IFERROR(K35-(TBIcalc!$H$9+TBIcalc!$H$10),"")</f>
        <v>1.8662000000000001</v>
      </c>
      <c r="M35" s="391">
        <f>AVERAGE(Ashed_controlls!$K$2:$K$11)</f>
        <v>5.5147656768714146</v>
      </c>
      <c r="N35" s="225">
        <f t="shared" si="1"/>
        <v>1.7632834429382258</v>
      </c>
      <c r="O35" s="225">
        <f>IF(IFERROR(INDEX('Both teabags AfterWet'!$C$3:$C$841,MATCH(J35,'Both teabags AfterWet'!$A$3:$A$841,0)),"")="","",(IFERROR(INDEX('Both teabags AfterWet'!$C$3:$C$841,MATCH(J35,'Both teabags AfterWet'!$A$3:$A$841,0)),"")))</f>
        <v>0.87270000000000003</v>
      </c>
      <c r="P35" s="225">
        <f>IFERROR(IF(O35&gt;0,O35-(TBIcalc!$H$9),""),"")</f>
        <v>0.72209999999999996</v>
      </c>
      <c r="Q35" s="225">
        <f>IFERROR(INDEX('Ashed teabags wet'!$K$2:$K$821,MATCH(J35,'Ashed teabags wet'!$A$2:$A$821,0)),"")</f>
        <v>39.314115308151266</v>
      </c>
      <c r="R35" s="225">
        <f t="shared" si="6"/>
        <v>0.43821277335983971</v>
      </c>
      <c r="S35" s="226">
        <f>'WetLitterbags placem_collection'!E36</f>
        <v>42765</v>
      </c>
      <c r="T35" s="226">
        <f>IF('WetLitterbags placem_collection'!G36="","",'WetLitterbags placem_collection'!G36)</f>
        <v>42820</v>
      </c>
      <c r="U35" s="227">
        <f t="shared" si="3"/>
        <v>55</v>
      </c>
      <c r="V35" s="225">
        <f t="shared" si="4"/>
        <v>1.1441000000000001</v>
      </c>
      <c r="W35" s="225">
        <f t="shared" si="5"/>
        <v>1.325070669578386</v>
      </c>
      <c r="X35">
        <f>IFERROR(INDEX(Rainfall_Wet!$O$2:$O$217,MATCH(B35, Rainfall_Wet!$A$2:$A$217,0)),"")</f>
        <v>228.324359195</v>
      </c>
      <c r="Y35" s="231">
        <v>23.96</v>
      </c>
      <c r="Z35" s="231">
        <v>0.91999999999999804</v>
      </c>
      <c r="AA35" s="231">
        <v>75.12</v>
      </c>
      <c r="AB35" s="232" t="s">
        <v>2670</v>
      </c>
      <c r="AC35" s="231">
        <v>1.2493839329719072</v>
      </c>
      <c r="AD35">
        <f>IF('WetLitterbags placem_collection'!AB36="","",'WetLitterbags placem_collection'!AB36)</f>
        <v>6.5</v>
      </c>
      <c r="AE35">
        <f>IF('WetLitterbags placem_collection'!Z36="","",'WetLitterbags placem_collection'!Z36)</f>
        <v>14.2</v>
      </c>
      <c r="AF35" s="246" t="str">
        <f>IF('WetLitterbags placem_collection'!AA36="","",'WetLitterbags placem_collection'!AA36)</f>
        <v>G</v>
      </c>
      <c r="AG35">
        <f>IF('WetLitterbags placem_collection'!AC36="","",'WetLitterbags placem_collection'!AC36)</f>
        <v>0</v>
      </c>
      <c r="AH35" s="240">
        <f>AVERAGE('WetLitterbags placem_collection'!S36,'WetLitterbags placem_collection'!U36)</f>
        <v>21</v>
      </c>
      <c r="AI35">
        <f>AVERAGE('WetLitterbags placem_collection'!R36,'WetLitterbags placem_collection'!T36)</f>
        <v>25.55</v>
      </c>
      <c r="AJ35">
        <f>INDEX(Coordinates!$B$2:$B$197,MATCH(G35,Coordinates!$J$2:$J$197,0))</f>
        <v>-3.4092350119999999</v>
      </c>
      <c r="AK35">
        <f>INDEX(Coordinates!$C$2:$C$197,MATCH(G35,Coordinates!$J$2:$J$197,0))</f>
        <v>34.852782019999999</v>
      </c>
      <c r="AL35" t="str">
        <f>IF(ISNUMBER(SEARCH("C", 'WetLitterbags placem_collection'!V36)),"YES","NO")</f>
        <v>YES</v>
      </c>
      <c r="AM35" t="str">
        <f>IF(ISNUMBER(SEARCH("H", 'WetLitterbags placem_collection'!V36)),"YES","NO")</f>
        <v>YES</v>
      </c>
      <c r="AN35" t="str">
        <f>IF(ISNUMBER(SEARCH("R", 'WetLitterbags placem_collection'!V36)),"YES","NO")</f>
        <v>YES</v>
      </c>
    </row>
    <row r="36" spans="1:40">
      <c r="A36" s="258" t="s">
        <v>2460</v>
      </c>
      <c r="B36" s="263">
        <f>'Dry_Litterbag Placem_Collection'!A37</f>
        <v>35</v>
      </c>
      <c r="C36" s="263" t="str">
        <f>'Dry_Litterbag Placem_Collection'!B37</f>
        <v>Makao</v>
      </c>
      <c r="D36" s="263" t="s">
        <v>2659</v>
      </c>
      <c r="E36" s="263" t="s">
        <v>20</v>
      </c>
      <c r="F36" s="263">
        <v>1</v>
      </c>
      <c r="G36" s="264" t="str">
        <f>'Dry_Litterbag Placem_Collection'!C37</f>
        <v>Dry_P1_T3</v>
      </c>
      <c r="H36" s="265" t="s">
        <v>2541</v>
      </c>
      <c r="I36" s="266" t="s">
        <v>1147</v>
      </c>
      <c r="J36" s="223" t="str">
        <f>'WetLitterbags placem_collection'!K37</f>
        <v>G670</v>
      </c>
      <c r="K36" s="225">
        <f>IFERROR(INDEX('Green_rooibos initial weight'!$C$5:$C$1749,MATCH(J36, 'Green_rooibos initial weight'!$A$5:$A$1749,0)),"")</f>
        <v>2.0950000000000002</v>
      </c>
      <c r="L36" s="225">
        <f>IFERROR(K36-(TBIcalc!$H$9+TBIcalc!$H$10),"")</f>
        <v>1.8452000000000002</v>
      </c>
      <c r="M36" s="391">
        <f>AVERAGE(Ashed_controlls!$K$2:$K$11)</f>
        <v>5.5147656768714146</v>
      </c>
      <c r="N36" s="225">
        <f t="shared" si="1"/>
        <v>1.7434415437303687</v>
      </c>
      <c r="O36" s="225">
        <f>IF(IFERROR(INDEX('Both teabags AfterWet'!$C$3:$C$841,MATCH(J36,'Both teabags AfterWet'!$A$3:$A$841,0)),"")="","",(IFERROR(INDEX('Both teabags AfterWet'!$C$3:$C$841,MATCH(J36,'Both teabags AfterWet'!$A$3:$A$841,0)),"")))</f>
        <v>0.81699999999999995</v>
      </c>
      <c r="P36" s="225">
        <f>IFERROR(IF(O36&gt;0,O36-(TBIcalc!$H$9),""),"")</f>
        <v>0.66639999999999988</v>
      </c>
      <c r="Q36" s="225">
        <f>IFERROR(INDEX('Ashed teabags wet'!$K$2:$K$821,MATCH(J36,'Ashed teabags wet'!$A$2:$A$821,0)),"")</f>
        <v>18.585762064022571</v>
      </c>
      <c r="R36" s="225">
        <f t="shared" si="6"/>
        <v>0.54254448160535351</v>
      </c>
      <c r="S36" s="226">
        <f>'WetLitterbags placem_collection'!E37</f>
        <v>42765</v>
      </c>
      <c r="T36" s="226">
        <f>IF('WetLitterbags placem_collection'!G37="","",'WetLitterbags placem_collection'!G37)</f>
        <v>42820</v>
      </c>
      <c r="U36" s="227">
        <f t="shared" si="3"/>
        <v>55</v>
      </c>
      <c r="V36" s="225">
        <f t="shared" si="4"/>
        <v>1.1788000000000003</v>
      </c>
      <c r="W36" s="225">
        <f t="shared" si="5"/>
        <v>1.2008970621250152</v>
      </c>
      <c r="X36">
        <f>IFERROR(INDEX(Rainfall_Wet!$O$2:$O$217,MATCH(B36, Rainfall_Wet!$A$2:$A$217,0)),"")</f>
        <v>228.324359195</v>
      </c>
      <c r="Y36" s="231">
        <v>23.96</v>
      </c>
      <c r="Z36" s="231">
        <v>0.91999999999999804</v>
      </c>
      <c r="AA36" s="231">
        <v>75.12</v>
      </c>
      <c r="AB36" s="232" t="s">
        <v>2670</v>
      </c>
      <c r="AC36" s="231">
        <v>1.2493839329719072</v>
      </c>
      <c r="AD36">
        <f>IF('WetLitterbags placem_collection'!AB37="","",'WetLitterbags placem_collection'!AB37)</f>
        <v>0.7</v>
      </c>
      <c r="AE36">
        <f>IF('WetLitterbags placem_collection'!Z37="","",'WetLitterbags placem_collection'!Z37)</f>
        <v>10.6</v>
      </c>
      <c r="AF36" s="246" t="str">
        <f>IF('WetLitterbags placem_collection'!AA37="","",'WetLitterbags placem_collection'!AA37)</f>
        <v>G</v>
      </c>
      <c r="AG36">
        <f>IF('WetLitterbags placem_collection'!AC37="","",'WetLitterbags placem_collection'!AC37)</f>
        <v>0</v>
      </c>
      <c r="AH36" s="240">
        <f>AVERAGE('WetLitterbags placem_collection'!S37,'WetLitterbags placem_collection'!U37)</f>
        <v>10.9</v>
      </c>
      <c r="AI36">
        <f>AVERAGE('WetLitterbags placem_collection'!R37,'WetLitterbags placem_collection'!T37)</f>
        <v>24.45</v>
      </c>
      <c r="AJ36">
        <f>INDEX(Coordinates!$B$2:$B$197,MATCH(G36,Coordinates!$J$2:$J$197,0))</f>
        <v>-3.409177009</v>
      </c>
      <c r="AK36">
        <f>INDEX(Coordinates!$C$2:$C$197,MATCH(G36,Coordinates!$J$2:$J$197,0))</f>
        <v>34.852818990000003</v>
      </c>
      <c r="AL36" t="str">
        <f>IF(ISNUMBER(SEARCH("C", 'WetLitterbags placem_collection'!V37)),"YES","NO")</f>
        <v>NO</v>
      </c>
      <c r="AM36" t="str">
        <f>IF(ISNUMBER(SEARCH("H", 'WetLitterbags placem_collection'!V37)),"YES","NO")</f>
        <v>NO</v>
      </c>
      <c r="AN36" t="str">
        <f>IF(ISNUMBER(SEARCH("R", 'WetLitterbags placem_collection'!V37)),"YES","NO")</f>
        <v>NO</v>
      </c>
    </row>
    <row r="37" spans="1:40">
      <c r="A37" s="258" t="s">
        <v>2460</v>
      </c>
      <c r="B37" s="263">
        <f>'Dry_Litterbag Placem_Collection'!A38</f>
        <v>36</v>
      </c>
      <c r="C37" s="263" t="str">
        <f>'Dry_Litterbag Placem_Collection'!B38</f>
        <v>Makao</v>
      </c>
      <c r="D37" s="263" t="s">
        <v>2659</v>
      </c>
      <c r="E37" s="263" t="s">
        <v>20</v>
      </c>
      <c r="F37" s="263">
        <v>1</v>
      </c>
      <c r="G37" s="264" t="str">
        <f>'Dry_Litterbag Placem_Collection'!C38</f>
        <v>Dry_P1_T4</v>
      </c>
      <c r="H37" s="265" t="s">
        <v>2541</v>
      </c>
      <c r="I37" s="266" t="s">
        <v>1147</v>
      </c>
      <c r="J37" s="223" t="str">
        <f>'WetLitterbags placem_collection'!K38</f>
        <v>G507</v>
      </c>
      <c r="K37" s="225">
        <f>IFERROR(INDEX('Green_rooibos initial weight'!$C$5:$C$1749,MATCH(J37, 'Green_rooibos initial weight'!$A$5:$A$1749,0)),"")</f>
        <v>1.99</v>
      </c>
      <c r="L37" s="225">
        <f>IFERROR(K37-(TBIcalc!$H$9+TBIcalc!$H$10),"")</f>
        <v>1.7402</v>
      </c>
      <c r="M37" s="391">
        <f>AVERAGE(Ashed_controlls!$K$2:$K$11)</f>
        <v>5.5147656768714146</v>
      </c>
      <c r="N37" s="225">
        <f t="shared" si="1"/>
        <v>1.6442320476910837</v>
      </c>
      <c r="O37" s="225">
        <f>IF(IFERROR(INDEX('Both teabags AfterWet'!$C$3:$C$841,MATCH(J37,'Both teabags AfterWet'!$A$3:$A$841,0)),"")="","",(IFERROR(INDEX('Both teabags AfterWet'!$C$3:$C$841,MATCH(J37,'Both teabags AfterWet'!$A$3:$A$841,0)),"")))</f>
        <v>0.68100000000000005</v>
      </c>
      <c r="P37" s="225">
        <f>IFERROR(IF(O37&gt;0,O37-(TBIcalc!$H$9),""),"")</f>
        <v>0.53039999999999998</v>
      </c>
      <c r="Q37" s="225">
        <f>IFERROR(INDEX('Ashed teabags wet'!$K$2:$K$821,MATCH(J37,'Ashed teabags wet'!$A$2:$A$821,0)),"")</f>
        <v>8.3009708737862624</v>
      </c>
      <c r="R37" s="225">
        <f t="shared" si="6"/>
        <v>0.48637165048543762</v>
      </c>
      <c r="S37" s="226">
        <f>'WetLitterbags placem_collection'!E38</f>
        <v>42765</v>
      </c>
      <c r="T37" s="226">
        <f>IF('WetLitterbags placem_collection'!G38="","",'WetLitterbags placem_collection'!G38)</f>
        <v>42820</v>
      </c>
      <c r="U37" s="227">
        <f t="shared" si="3"/>
        <v>55</v>
      </c>
      <c r="V37" s="225">
        <f t="shared" si="4"/>
        <v>1.2098</v>
      </c>
      <c r="W37" s="225">
        <f t="shared" si="5"/>
        <v>1.157860397205646</v>
      </c>
      <c r="X37">
        <f>IFERROR(INDEX(Rainfall_Wet!$O$2:$O$217,MATCH(B37, Rainfall_Wet!$A$2:$A$217,0)),"")</f>
        <v>228.324359195</v>
      </c>
      <c r="Y37" s="231">
        <v>23.96</v>
      </c>
      <c r="Z37" s="231">
        <v>0.91999999999999804</v>
      </c>
      <c r="AA37" s="231">
        <v>75.12</v>
      </c>
      <c r="AB37" s="232" t="s">
        <v>2670</v>
      </c>
      <c r="AC37" s="231">
        <v>1.2493839329719072</v>
      </c>
      <c r="AD37">
        <f>IF('WetLitterbags placem_collection'!AB38="","",'WetLitterbags placem_collection'!AB38)</f>
        <v>3.3</v>
      </c>
      <c r="AE37">
        <f>IF('WetLitterbags placem_collection'!Z38="","",'WetLitterbags placem_collection'!Z38)</f>
        <v>4.9000000000000004</v>
      </c>
      <c r="AF37" s="246" t="str">
        <f>IF('WetLitterbags placem_collection'!AA38="","",'WetLitterbags placem_collection'!AA38)</f>
        <v>G</v>
      </c>
      <c r="AG37">
        <f>IF('WetLitterbags placem_collection'!AC38="","",'WetLitterbags placem_collection'!AC38)</f>
        <v>1</v>
      </c>
      <c r="AH37" s="240">
        <f>AVERAGE('WetLitterbags placem_collection'!S38,'WetLitterbags placem_collection'!U38)</f>
        <v>14.1</v>
      </c>
      <c r="AI37">
        <f>AVERAGE('WetLitterbags placem_collection'!R38,'WetLitterbags placem_collection'!T38)</f>
        <v>24.75</v>
      </c>
      <c r="AJ37">
        <f>INDEX(Coordinates!$B$2:$B$197,MATCH(G37,Coordinates!$J$2:$J$197,0))</f>
        <v>-3.40917198</v>
      </c>
      <c r="AK37">
        <f>INDEX(Coordinates!$C$2:$C$197,MATCH(G37,Coordinates!$J$2:$J$197,0))</f>
        <v>34.852960979999999</v>
      </c>
      <c r="AL37" t="str">
        <f>IF(ISNUMBER(SEARCH("C", 'WetLitterbags placem_collection'!V38)),"YES","NO")</f>
        <v>NO</v>
      </c>
      <c r="AM37" t="str">
        <f>IF(ISNUMBER(SEARCH("H", 'WetLitterbags placem_collection'!V38)),"YES","NO")</f>
        <v>NO</v>
      </c>
      <c r="AN37" t="str">
        <f>IF(ISNUMBER(SEARCH("R", 'WetLitterbags placem_collection'!V38)),"YES","NO")</f>
        <v>YES</v>
      </c>
    </row>
    <row r="38" spans="1:40">
      <c r="A38" s="258" t="s">
        <v>2460</v>
      </c>
      <c r="B38" s="263">
        <f>'Dry_Litterbag Placem_Collection'!A39</f>
        <v>37</v>
      </c>
      <c r="C38" s="263" t="str">
        <f>'Dry_Litterbag Placem_Collection'!B39</f>
        <v>Makao</v>
      </c>
      <c r="D38" s="263" t="s">
        <v>2659</v>
      </c>
      <c r="E38" s="263" t="s">
        <v>20</v>
      </c>
      <c r="F38" s="263">
        <v>1</v>
      </c>
      <c r="G38" s="264" t="str">
        <f>'Dry_Litterbag Placem_Collection'!C39</f>
        <v>Dry_P1_T5</v>
      </c>
      <c r="H38" s="265" t="s">
        <v>2541</v>
      </c>
      <c r="I38" s="266" t="s">
        <v>1147</v>
      </c>
      <c r="J38" s="223" t="str">
        <f>'WetLitterbags placem_collection'!K39</f>
        <v>G359</v>
      </c>
      <c r="K38" s="225">
        <f>IFERROR(INDEX('Green_rooibos initial weight'!$C$5:$C$1749,MATCH(J38, 'Green_rooibos initial weight'!$A$5:$A$1749,0)),"")</f>
        <v>1.9790000000000001</v>
      </c>
      <c r="L38" s="225">
        <f>IFERROR(K38-(TBIcalc!$H$9+TBIcalc!$H$10),"")</f>
        <v>1.7292000000000001</v>
      </c>
      <c r="M38" s="391">
        <f>AVERAGE(Ashed_controlls!$K$2:$K$11)</f>
        <v>5.5147656768714146</v>
      </c>
      <c r="N38" s="225">
        <f t="shared" si="1"/>
        <v>1.6338386719155396</v>
      </c>
      <c r="O38" s="225">
        <f>IF(IFERROR(INDEX('Both teabags AfterWet'!$C$3:$C$841,MATCH(J38,'Both teabags AfterWet'!$A$3:$A$841,0)),"")="","",(IFERROR(INDEX('Both teabags AfterWet'!$C$3:$C$841,MATCH(J38,'Both teabags AfterWet'!$A$3:$A$841,0)),"")))</f>
        <v>0.94699999999999995</v>
      </c>
      <c r="P38" s="225">
        <f>IFERROR(IF(O38&gt;0,O38-(TBIcalc!$H$9),""),"")</f>
        <v>0.7964</v>
      </c>
      <c r="Q38" s="225">
        <f>IFERROR(INDEX('Ashed teabags wet'!$K$2:$K$821,MATCH(J38,'Ashed teabags wet'!$A$2:$A$821,0)),"")</f>
        <v>25.172074729596577</v>
      </c>
      <c r="R38" s="225">
        <f t="shared" si="6"/>
        <v>0.59592959685349289</v>
      </c>
      <c r="S38" s="226">
        <f>'WetLitterbags placem_collection'!E39</f>
        <v>42765</v>
      </c>
      <c r="T38" s="226">
        <f>IF('WetLitterbags placem_collection'!G39="","",'WetLitterbags placem_collection'!G39)</f>
        <v>42820</v>
      </c>
      <c r="U38" s="227">
        <f t="shared" si="3"/>
        <v>55</v>
      </c>
      <c r="V38" s="225">
        <f t="shared" si="4"/>
        <v>0.93280000000000007</v>
      </c>
      <c r="W38" s="225">
        <f t="shared" si="5"/>
        <v>1.0379090750620468</v>
      </c>
      <c r="X38">
        <f>IFERROR(INDEX(Rainfall_Wet!$O$2:$O$217,MATCH(B38, Rainfall_Wet!$A$2:$A$217,0)),"")</f>
        <v>228.324359195</v>
      </c>
      <c r="Y38" s="231">
        <v>23.96</v>
      </c>
      <c r="Z38" s="231">
        <v>0.91999999999999804</v>
      </c>
      <c r="AA38" s="231">
        <v>75.12</v>
      </c>
      <c r="AB38" s="232" t="s">
        <v>2670</v>
      </c>
      <c r="AC38" s="231">
        <v>1.2493839329719072</v>
      </c>
      <c r="AD38">
        <f>IF('WetLitterbags placem_collection'!AB39="","",'WetLitterbags placem_collection'!AB39)</f>
        <v>8.3000000000000007</v>
      </c>
      <c r="AE38">
        <f>IF('WetLitterbags placem_collection'!Z39="","",'WetLitterbags placem_collection'!Z39)</f>
        <v>27.8</v>
      </c>
      <c r="AF38" s="246" t="str">
        <f>IF('WetLitterbags placem_collection'!AA39="","",'WetLitterbags placem_collection'!AA39)</f>
        <v>G</v>
      </c>
      <c r="AG38">
        <f>IF('WetLitterbags placem_collection'!AC39="","",'WetLitterbags placem_collection'!AC39)</f>
        <v>0</v>
      </c>
      <c r="AH38" s="240">
        <f>AVERAGE('WetLitterbags placem_collection'!S39,'WetLitterbags placem_collection'!U39)</f>
        <v>19.299999999999997</v>
      </c>
      <c r="AI38">
        <f>AVERAGE('WetLitterbags placem_collection'!R39,'WetLitterbags placem_collection'!T39)</f>
        <v>24.55</v>
      </c>
      <c r="AJ38">
        <f>INDEX(Coordinates!$B$2:$B$197,MATCH(G38,Coordinates!$J$2:$J$197,0))</f>
        <v>-3.4090709779999999</v>
      </c>
      <c r="AK38">
        <f>INDEX(Coordinates!$C$2:$C$197,MATCH(G38,Coordinates!$J$2:$J$197,0))</f>
        <v>34.852712029999999</v>
      </c>
      <c r="AL38" t="str">
        <f>IF(ISNUMBER(SEARCH("C", 'WetLitterbags placem_collection'!V39)),"YES","NO")</f>
        <v>YES</v>
      </c>
      <c r="AM38" t="str">
        <f>IF(ISNUMBER(SEARCH("H", 'WetLitterbags placem_collection'!V39)),"YES","NO")</f>
        <v>YES</v>
      </c>
      <c r="AN38" t="str">
        <f>IF(ISNUMBER(SEARCH("R", 'WetLitterbags placem_collection'!V39)),"YES","NO")</f>
        <v>NO</v>
      </c>
    </row>
    <row r="39" spans="1:40">
      <c r="A39" s="258" t="s">
        <v>2460</v>
      </c>
      <c r="B39" s="263">
        <f>'Dry_Litterbag Placem_Collection'!A40</f>
        <v>38</v>
      </c>
      <c r="C39" s="263" t="str">
        <f>'Dry_Litterbag Placem_Collection'!B40</f>
        <v>Makao</v>
      </c>
      <c r="D39" s="263" t="s">
        <v>2659</v>
      </c>
      <c r="E39" s="263" t="s">
        <v>20</v>
      </c>
      <c r="F39" s="263">
        <v>1</v>
      </c>
      <c r="G39" s="264" t="str">
        <f>'Dry_Litterbag Placem_Collection'!C40</f>
        <v>Dry_P1_T6</v>
      </c>
      <c r="H39" s="265" t="s">
        <v>2541</v>
      </c>
      <c r="I39" s="266" t="s">
        <v>1147</v>
      </c>
      <c r="J39" s="223" t="str">
        <f>'WetLitterbags placem_collection'!K40</f>
        <v>G499</v>
      </c>
      <c r="K39" s="225">
        <f>IFERROR(INDEX('Green_rooibos initial weight'!$C$5:$C$1749,MATCH(J39, 'Green_rooibos initial weight'!$A$5:$A$1749,0)),"")</f>
        <v>1.9419999999999999</v>
      </c>
      <c r="L39" s="225">
        <f>IFERROR(K39-(TBIcalc!$H$9+TBIcalc!$H$10),"")</f>
        <v>1.6921999999999999</v>
      </c>
      <c r="M39" s="391">
        <f>AVERAGE(Ashed_controlls!$K$2:$K$11)</f>
        <v>5.5147656768714146</v>
      </c>
      <c r="N39" s="225">
        <f t="shared" si="1"/>
        <v>1.5988791352159819</v>
      </c>
      <c r="O39" s="225">
        <f>IF(IFERROR(INDEX('Both teabags AfterWet'!$C$3:$C$841,MATCH(J39,'Both teabags AfterWet'!$A$3:$A$841,0)),"")="","",(IFERROR(INDEX('Both teabags AfterWet'!$C$3:$C$841,MATCH(J39,'Both teabags AfterWet'!$A$3:$A$841,0)),"")))</f>
        <v>1.4741</v>
      </c>
      <c r="P39" s="225">
        <f>IFERROR(IF(O39&gt;0,O39-(TBIcalc!$H$9),""),"")</f>
        <v>1.3234999999999999</v>
      </c>
      <c r="Q39" s="225">
        <f>IFERROR(INDEX('Ashed teabags wet'!$K$2:$K$821,MATCH(J39,'Ashed teabags wet'!$A$2:$A$821,0)),"")</f>
        <v>18.802992518703331</v>
      </c>
      <c r="R39" s="225">
        <f t="shared" si="6"/>
        <v>1.0746423940149614</v>
      </c>
      <c r="S39" s="226">
        <f>'WetLitterbags placem_collection'!E40</f>
        <v>42765</v>
      </c>
      <c r="T39" s="226">
        <f>IF('WetLitterbags placem_collection'!G40="","",'WetLitterbags placem_collection'!G40)</f>
        <v>42820</v>
      </c>
      <c r="U39" s="227">
        <f t="shared" si="3"/>
        <v>55</v>
      </c>
      <c r="V39" s="225">
        <f t="shared" si="4"/>
        <v>0.36870000000000003</v>
      </c>
      <c r="W39" s="225">
        <f t="shared" si="5"/>
        <v>0.52423674120102048</v>
      </c>
      <c r="X39">
        <f>IFERROR(INDEX(Rainfall_Wet!$O$2:$O$217,MATCH(B39, Rainfall_Wet!$A$2:$A$217,0)),"")</f>
        <v>228.324359195</v>
      </c>
      <c r="Y39" s="231">
        <v>23.96</v>
      </c>
      <c r="Z39" s="231">
        <v>0.91999999999999804</v>
      </c>
      <c r="AA39" s="231">
        <v>75.12</v>
      </c>
      <c r="AB39" s="232" t="s">
        <v>2670</v>
      </c>
      <c r="AC39" s="231">
        <v>1.2493839329719072</v>
      </c>
      <c r="AD39">
        <f>IF('WetLitterbags placem_collection'!AB40="","",'WetLitterbags placem_collection'!AB40)</f>
        <v>2</v>
      </c>
      <c r="AE39">
        <f>IF('WetLitterbags placem_collection'!Z40="","",'WetLitterbags placem_collection'!Z40)</f>
        <v>20.399999999999999</v>
      </c>
      <c r="AF39" s="246" t="str">
        <f>IF('WetLitterbags placem_collection'!AA40="","",'WetLitterbags placem_collection'!AA40)</f>
        <v>O</v>
      </c>
      <c r="AG39">
        <f>IF('WetLitterbags placem_collection'!AC40="","",'WetLitterbags placem_collection'!AC40)</f>
        <v>0</v>
      </c>
      <c r="AH39" s="240">
        <f>AVERAGE('WetLitterbags placem_collection'!S40,'WetLitterbags placem_collection'!U40)</f>
        <v>20.9</v>
      </c>
      <c r="AI39">
        <f>AVERAGE('WetLitterbags placem_collection'!R40,'WetLitterbags placem_collection'!T40)</f>
        <v>24.1</v>
      </c>
      <c r="AJ39">
        <f>INDEX(Coordinates!$B$2:$B$197,MATCH(G39,Coordinates!$J$2:$J$197,0))</f>
        <v>-3.409280023</v>
      </c>
      <c r="AK39">
        <f>INDEX(Coordinates!$C$2:$C$197,MATCH(G39,Coordinates!$J$2:$J$197,0))</f>
        <v>34.852612960000002</v>
      </c>
      <c r="AL39" t="str">
        <f>IF(ISNUMBER(SEARCH("C", 'WetLitterbags placem_collection'!V40)),"YES","NO")</f>
        <v>YES</v>
      </c>
      <c r="AM39" t="str">
        <f>IF(ISNUMBER(SEARCH("H", 'WetLitterbags placem_collection'!V40)),"YES","NO")</f>
        <v>YES</v>
      </c>
      <c r="AN39" t="str">
        <f>IF(ISNUMBER(SEARCH("R", 'WetLitterbags placem_collection'!V40)),"YES","NO")</f>
        <v>YES</v>
      </c>
    </row>
    <row r="40" spans="1:40">
      <c r="A40" s="258" t="s">
        <v>2460</v>
      </c>
      <c r="B40" s="263">
        <f>'Dry_Litterbag Placem_Collection'!A41</f>
        <v>39</v>
      </c>
      <c r="C40" s="263" t="str">
        <f>'Dry_Litterbag Placem_Collection'!B41</f>
        <v>Makao</v>
      </c>
      <c r="D40" s="263" t="s">
        <v>2659</v>
      </c>
      <c r="E40" s="263" t="s">
        <v>20</v>
      </c>
      <c r="F40" s="263">
        <v>1</v>
      </c>
      <c r="G40" s="264" t="str">
        <f>'Dry_Litterbag Placem_Collection'!C41</f>
        <v>Dry_P1_T7</v>
      </c>
      <c r="H40" s="265" t="s">
        <v>2541</v>
      </c>
      <c r="I40" s="266" t="s">
        <v>1147</v>
      </c>
      <c r="J40" s="223" t="str">
        <f>'WetLitterbags placem_collection'!K41</f>
        <v>G214</v>
      </c>
      <c r="K40" s="225">
        <f>IFERROR(INDEX('Green_rooibos initial weight'!$C$5:$C$1749,MATCH(J40, 'Green_rooibos initial weight'!$A$5:$A$1749,0)),"")</f>
        <v>1.9850000000000001</v>
      </c>
      <c r="L40" s="225">
        <f>IFERROR(K40-(TBIcalc!$H$9+TBIcalc!$H$10),"")</f>
        <v>1.7352000000000001</v>
      </c>
      <c r="M40" s="391">
        <f>AVERAGE(Ashed_controlls!$K$2:$K$11)</f>
        <v>5.5147656768714146</v>
      </c>
      <c r="N40" s="225">
        <f t="shared" si="1"/>
        <v>1.6395077859749272</v>
      </c>
      <c r="O40" s="225">
        <f>IF(IFERROR(INDEX('Both teabags AfterWet'!$C$3:$C$841,MATCH(J40,'Both teabags AfterWet'!$A$3:$A$841,0)),"")="","",(IFERROR(INDEX('Both teabags AfterWet'!$C$3:$C$841,MATCH(J40,'Both teabags AfterWet'!$A$3:$A$841,0)),"")))</f>
        <v>0.8327</v>
      </c>
      <c r="P40" s="225">
        <f>IFERROR(IF(O40&gt;0,O40-(TBIcalc!$H$9),""),"")</f>
        <v>0.68209999999999993</v>
      </c>
      <c r="Q40" s="225">
        <f>IFERROR(INDEX('Ashed teabags wet'!$K$2:$K$821,MATCH(J40,'Ashed teabags wet'!$A$2:$A$821,0)),"")</f>
        <v>9.9461048505627083</v>
      </c>
      <c r="R40" s="225">
        <f t="shared" si="6"/>
        <v>0.61425761881431173</v>
      </c>
      <c r="S40" s="226">
        <f>'WetLitterbags placem_collection'!E41</f>
        <v>42765</v>
      </c>
      <c r="T40" s="226">
        <f>IF('WetLitterbags placem_collection'!G41="","",'WetLitterbags placem_collection'!G41)</f>
        <v>42820</v>
      </c>
      <c r="U40" s="227">
        <f t="shared" si="3"/>
        <v>55</v>
      </c>
      <c r="V40" s="225">
        <f t="shared" si="4"/>
        <v>1.0531000000000001</v>
      </c>
      <c r="W40" s="225">
        <f t="shared" si="5"/>
        <v>1.0252501671606153</v>
      </c>
      <c r="X40">
        <f>IFERROR(INDEX(Rainfall_Wet!$O$2:$O$217,MATCH(B40, Rainfall_Wet!$A$2:$A$217,0)),"")</f>
        <v>228.324359195</v>
      </c>
      <c r="Y40" s="231">
        <v>23.96</v>
      </c>
      <c r="Z40" s="231">
        <v>0.91999999999999804</v>
      </c>
      <c r="AA40" s="231">
        <v>75.12</v>
      </c>
      <c r="AB40" s="232" t="s">
        <v>2670</v>
      </c>
      <c r="AC40" s="231">
        <v>1.2493839329719072</v>
      </c>
      <c r="AD40">
        <f>IF('WetLitterbags placem_collection'!AB41="","",'WetLitterbags placem_collection'!AB41)</f>
        <v>2.4</v>
      </c>
      <c r="AE40">
        <f>IF('WetLitterbags placem_collection'!Z41="","",'WetLitterbags placem_collection'!Z41)</f>
        <v>18</v>
      </c>
      <c r="AF40" s="246" t="str">
        <f>IF('WetLitterbags placem_collection'!AA41="","",'WetLitterbags placem_collection'!AA41)</f>
        <v>G</v>
      </c>
      <c r="AG40">
        <f>IF('WetLitterbags placem_collection'!AC41="","",'WetLitterbags placem_collection'!AC41)</f>
        <v>1</v>
      </c>
      <c r="AH40" s="240">
        <f>AVERAGE('WetLitterbags placem_collection'!S41,'WetLitterbags placem_collection'!U41)</f>
        <v>26.9</v>
      </c>
      <c r="AI40">
        <f>AVERAGE('WetLitterbags placem_collection'!R41,'WetLitterbags placem_collection'!T41)</f>
        <v>23.299999999999997</v>
      </c>
      <c r="AJ40">
        <f>INDEX(Coordinates!$B$2:$B$197,MATCH(G40,Coordinates!$J$2:$J$197,0))</f>
        <v>-3.4093859700000002</v>
      </c>
      <c r="AK40">
        <f>INDEX(Coordinates!$C$2:$C$197,MATCH(G40,Coordinates!$J$2:$J$197,0))</f>
        <v>34.852855030000001</v>
      </c>
      <c r="AL40" t="str">
        <f>IF(ISNUMBER(SEARCH("C", 'WetLitterbags placem_collection'!V41)),"YES","NO")</f>
        <v>NO</v>
      </c>
      <c r="AM40" t="str">
        <f>IF(ISNUMBER(SEARCH("H", 'WetLitterbags placem_collection'!V41)),"YES","NO")</f>
        <v>NO</v>
      </c>
      <c r="AN40" t="str">
        <f>IF(ISNUMBER(SEARCH("R", 'WetLitterbags placem_collection'!V41)),"YES","NO")</f>
        <v>YES</v>
      </c>
    </row>
    <row r="41" spans="1:40">
      <c r="A41" s="258" t="s">
        <v>2460</v>
      </c>
      <c r="B41" s="263">
        <f>'Dry_Litterbag Placem_Collection'!A42</f>
        <v>40</v>
      </c>
      <c r="C41" s="263" t="str">
        <f>'Dry_Litterbag Placem_Collection'!B42</f>
        <v>Makao</v>
      </c>
      <c r="D41" s="263" t="s">
        <v>2659</v>
      </c>
      <c r="E41" s="263" t="s">
        <v>20</v>
      </c>
      <c r="F41" s="263">
        <v>1</v>
      </c>
      <c r="G41" s="264" t="str">
        <f>'Dry_Litterbag Placem_Collection'!C42</f>
        <v>Dry_P1_T8</v>
      </c>
      <c r="H41" s="265" t="s">
        <v>2541</v>
      </c>
      <c r="I41" s="266" t="s">
        <v>1147</v>
      </c>
      <c r="J41" s="223" t="str">
        <f>'WetLitterbags placem_collection'!K42</f>
        <v>G582</v>
      </c>
      <c r="K41" s="225">
        <f>IFERROR(INDEX('Green_rooibos initial weight'!$C$5:$C$1749,MATCH(J41, 'Green_rooibos initial weight'!$A$5:$A$1749,0)),"")</f>
        <v>2.0219999999999998</v>
      </c>
      <c r="L41" s="225">
        <f>IFERROR(K41-(TBIcalc!$H$9+TBIcalc!$H$10),"")</f>
        <v>1.7721999999999998</v>
      </c>
      <c r="M41" s="391">
        <f>AVERAGE(Ashed_controlls!$K$2:$K$11)</f>
        <v>5.5147656768714146</v>
      </c>
      <c r="N41" s="225">
        <f t="shared" si="1"/>
        <v>1.6744673226744846</v>
      </c>
      <c r="O41" s="225">
        <f>IF(IFERROR(INDEX('Both teabags AfterWet'!$C$3:$C$841,MATCH(J41,'Both teabags AfterWet'!$A$3:$A$841,0)),"")="","",(IFERROR(INDEX('Both teabags AfterWet'!$C$3:$C$841,MATCH(J41,'Both teabags AfterWet'!$A$3:$A$841,0)),"")))</f>
        <v>0.89800000000000002</v>
      </c>
      <c r="P41" s="225">
        <f>IFERROR(IF(O41&gt;0,O41-(TBIcalc!$H$9),""),"")</f>
        <v>0.74740000000000006</v>
      </c>
      <c r="Q41" s="225">
        <f>IFERROR(INDEX('Ashed teabags wet'!$K$2:$K$821,MATCH(J41,'Ashed teabags wet'!$A$2:$A$821,0)),"")</f>
        <v>16.507777220271233</v>
      </c>
      <c r="R41" s="225">
        <f t="shared" si="6"/>
        <v>0.62402087305569287</v>
      </c>
      <c r="S41" s="226">
        <f>'WetLitterbags placem_collection'!E42</f>
        <v>42765</v>
      </c>
      <c r="T41" s="226">
        <f>IF('WetLitterbags placem_collection'!G42="","",'WetLitterbags placem_collection'!G42)</f>
        <v>42820</v>
      </c>
      <c r="U41" s="227">
        <f t="shared" si="3"/>
        <v>55</v>
      </c>
      <c r="V41" s="225">
        <f t="shared" si="4"/>
        <v>1.0247999999999997</v>
      </c>
      <c r="W41" s="225">
        <f t="shared" si="5"/>
        <v>1.0504464496187917</v>
      </c>
      <c r="X41">
        <f>IFERROR(INDEX(Rainfall_Wet!$O$2:$O$217,MATCH(B41, Rainfall_Wet!$A$2:$A$217,0)),"")</f>
        <v>228.324359195</v>
      </c>
      <c r="Y41" s="231">
        <v>23.96</v>
      </c>
      <c r="Z41" s="231">
        <v>0.91999999999999804</v>
      </c>
      <c r="AA41" s="231">
        <v>75.12</v>
      </c>
      <c r="AB41" s="232" t="s">
        <v>2670</v>
      </c>
      <c r="AC41" s="231">
        <v>1.2493839329719072</v>
      </c>
      <c r="AD41">
        <f>IF('WetLitterbags placem_collection'!AB42="","",'WetLitterbags placem_collection'!AB42)</f>
        <v>8.6999999999999993</v>
      </c>
      <c r="AE41">
        <f>IF('WetLitterbags placem_collection'!Z42="","",'WetLitterbags placem_collection'!Z42)</f>
        <v>19.3</v>
      </c>
      <c r="AF41" s="246" t="str">
        <f>IF('WetLitterbags placem_collection'!AA42="","",'WetLitterbags placem_collection'!AA42)</f>
        <v>G</v>
      </c>
      <c r="AG41">
        <f>IF('WetLitterbags placem_collection'!AC42="","",'WetLitterbags placem_collection'!AC42)</f>
        <v>0</v>
      </c>
      <c r="AH41" s="240">
        <f>AVERAGE('WetLitterbags placem_collection'!S42,'WetLitterbags placem_collection'!U42)</f>
        <v>31.9</v>
      </c>
      <c r="AI41">
        <f>AVERAGE('WetLitterbags placem_collection'!R42,'WetLitterbags placem_collection'!T42)</f>
        <v>23.9</v>
      </c>
      <c r="AJ41">
        <f>INDEX(Coordinates!$B$2:$B$197,MATCH(G41,Coordinates!$J$2:$J$197,0))</f>
        <v>-3.4091539590000002</v>
      </c>
      <c r="AK41">
        <f>INDEX(Coordinates!$C$2:$C$197,MATCH(G41,Coordinates!$J$2:$J$197,0))</f>
        <v>34.852755029999997</v>
      </c>
      <c r="AL41" t="str">
        <f>IF(ISNUMBER(SEARCH("C", 'WetLitterbags placem_collection'!V42)),"YES","NO")</f>
        <v>NO</v>
      </c>
      <c r="AM41" t="str">
        <f>IF(ISNUMBER(SEARCH("H", 'WetLitterbags placem_collection'!V42)),"YES","NO")</f>
        <v>YES</v>
      </c>
      <c r="AN41" t="str">
        <f>IF(ISNUMBER(SEARCH("R", 'WetLitterbags placem_collection'!V42)),"YES","NO")</f>
        <v>NO</v>
      </c>
    </row>
    <row r="42" spans="1:40">
      <c r="A42" s="258" t="s">
        <v>2460</v>
      </c>
      <c r="B42" s="263">
        <f>'Dry_Litterbag Placem_Collection'!A43</f>
        <v>41</v>
      </c>
      <c r="C42" s="263" t="str">
        <f>'Dry_Litterbag Placem_Collection'!B43</f>
        <v>Makao</v>
      </c>
      <c r="D42" s="263" t="s">
        <v>2659</v>
      </c>
      <c r="E42" s="263" t="s">
        <v>20</v>
      </c>
      <c r="F42" s="263">
        <v>2</v>
      </c>
      <c r="G42" s="264" t="str">
        <f>'Dry_Litterbag Placem_Collection'!C43</f>
        <v>Dry_P2_T1</v>
      </c>
      <c r="H42" s="265" t="s">
        <v>2541</v>
      </c>
      <c r="I42" s="266" t="s">
        <v>1147</v>
      </c>
      <c r="J42" s="223" t="str">
        <f>'WetLitterbags placem_collection'!K43</f>
        <v>G453</v>
      </c>
      <c r="K42" s="225">
        <f>IFERROR(INDEX('Green_rooibos initial weight'!$C$5:$C$1749,MATCH(J42, 'Green_rooibos initial weight'!$A$5:$A$1749,0)),"")</f>
        <v>2.0790000000000002</v>
      </c>
      <c r="L42" s="225">
        <f>IFERROR(K42-(TBIcalc!$H$9+TBIcalc!$H$10),"")</f>
        <v>1.8292000000000002</v>
      </c>
      <c r="M42" s="391">
        <f>AVERAGE(Ashed_controlls!$K$2:$K$11)</f>
        <v>5.5147656768714146</v>
      </c>
      <c r="N42" s="225">
        <f t="shared" si="1"/>
        <v>1.7283239062386682</v>
      </c>
      <c r="O42" s="225">
        <f>IF(IFERROR(INDEX('Both teabags AfterWet'!$C$3:$C$841,MATCH(J42,'Both teabags AfterWet'!$A$3:$A$841,0)),"")="","",(IFERROR(INDEX('Both teabags AfterWet'!$C$3:$C$841,MATCH(J42,'Both teabags AfterWet'!$A$3:$A$841,0)),"")))</f>
        <v>1.0509999999999999</v>
      </c>
      <c r="P42" s="225">
        <f>IFERROR(IF(O42&gt;0,O42-(TBIcalc!$H$9),""),"")</f>
        <v>0.90039999999999987</v>
      </c>
      <c r="Q42" s="225">
        <f>IFERROR(INDEX('Ashed teabags wet'!$K$2:$K$821,MATCH(J42,'Ashed teabags wet'!$A$2:$A$821,0)),"")</f>
        <v>20.029673590504579</v>
      </c>
      <c r="R42" s="225">
        <f t="shared" si="6"/>
        <v>0.72005281899109663</v>
      </c>
      <c r="S42" s="226">
        <f>'WetLitterbags placem_collection'!E43</f>
        <v>42766</v>
      </c>
      <c r="T42" s="226">
        <f>IF('WetLitterbags placem_collection'!G43="","",'WetLitterbags placem_collection'!G43)</f>
        <v>42820</v>
      </c>
      <c r="U42" s="227">
        <f t="shared" si="3"/>
        <v>54</v>
      </c>
      <c r="V42" s="225">
        <f t="shared" si="4"/>
        <v>0.92880000000000029</v>
      </c>
      <c r="W42" s="225">
        <f t="shared" si="5"/>
        <v>1.0082710872475715</v>
      </c>
      <c r="X42">
        <f>IFERROR(INDEX(Rainfall_Wet!$O$2:$O$217,MATCH(B42, Rainfall_Wet!$A$2:$A$217,0)),"")</f>
        <v>214.262898705</v>
      </c>
      <c r="Y42" s="231">
        <v>19.96</v>
      </c>
      <c r="Z42" s="231">
        <v>4.9199999999999982</v>
      </c>
      <c r="AA42" s="231">
        <v>75.12</v>
      </c>
      <c r="AB42" s="232" t="s">
        <v>2671</v>
      </c>
      <c r="AC42" s="231">
        <v>1.641498275012321</v>
      </c>
      <c r="AD42">
        <f>IF('WetLitterbags placem_collection'!AB43="","",'WetLitterbags placem_collection'!AB43)</f>
        <v>4</v>
      </c>
      <c r="AE42">
        <f>IF('WetLitterbags placem_collection'!Z43="","",'WetLitterbags placem_collection'!Z43)</f>
        <v>19.100000000000001</v>
      </c>
      <c r="AF42" s="246" t="str">
        <f>IF('WetLitterbags placem_collection'!AA43="","",'WetLitterbags placem_collection'!AA43)</f>
        <v>G</v>
      </c>
      <c r="AG42">
        <f>IF('WetLitterbags placem_collection'!AC43="","",'WetLitterbags placem_collection'!AC43)</f>
        <v>0</v>
      </c>
      <c r="AH42" s="240">
        <f>AVERAGE('WetLitterbags placem_collection'!S43,'WetLitterbags placem_collection'!U43)</f>
        <v>21.9</v>
      </c>
      <c r="AI42">
        <f>AVERAGE('WetLitterbags placem_collection'!R43,'WetLitterbags placem_collection'!T43)</f>
        <v>24.5</v>
      </c>
      <c r="AJ42">
        <f>INDEX(Coordinates!$B$2:$B$197,MATCH(G42,Coordinates!$J$2:$J$197,0))</f>
        <v>-3.4083420040000001</v>
      </c>
      <c r="AK42">
        <f>INDEX(Coordinates!$C$2:$C$197,MATCH(G42,Coordinates!$J$2:$J$197,0))</f>
        <v>34.850283040000001</v>
      </c>
      <c r="AL42" t="str">
        <f>IF(ISNUMBER(SEARCH("C", 'WetLitterbags placem_collection'!V43)),"YES","NO")</f>
        <v>NO</v>
      </c>
      <c r="AM42" t="str">
        <f>IF(ISNUMBER(SEARCH("H", 'WetLitterbags placem_collection'!V43)),"YES","NO")</f>
        <v>YES</v>
      </c>
      <c r="AN42" t="str">
        <f>IF(ISNUMBER(SEARCH("R", 'WetLitterbags placem_collection'!V43)),"YES","NO")</f>
        <v>YES</v>
      </c>
    </row>
    <row r="43" spans="1:40">
      <c r="A43" s="258" t="s">
        <v>2460</v>
      </c>
      <c r="B43" s="263">
        <f>'Dry_Litterbag Placem_Collection'!A44</f>
        <v>42</v>
      </c>
      <c r="C43" s="263" t="str">
        <f>'Dry_Litterbag Placem_Collection'!B44</f>
        <v>Makao</v>
      </c>
      <c r="D43" s="263" t="s">
        <v>2659</v>
      </c>
      <c r="E43" s="263" t="s">
        <v>20</v>
      </c>
      <c r="F43" s="263">
        <v>2</v>
      </c>
      <c r="G43" s="264" t="str">
        <f>'Dry_Litterbag Placem_Collection'!C44</f>
        <v>Dry_P2_T2</v>
      </c>
      <c r="H43" s="265" t="s">
        <v>2541</v>
      </c>
      <c r="I43" s="266" t="s">
        <v>1147</v>
      </c>
      <c r="J43" s="223" t="str">
        <f>'WetLitterbags placem_collection'!K44</f>
        <v>G764</v>
      </c>
      <c r="K43" s="225">
        <f>IFERROR(INDEX('Green_rooibos initial weight'!$C$5:$C$1749,MATCH(J43, 'Green_rooibos initial weight'!$A$5:$A$1749,0)),"")</f>
        <v>1.9510000000000001</v>
      </c>
      <c r="L43" s="225">
        <f>IFERROR(K43-(TBIcalc!$H$9+TBIcalc!$H$10),"")</f>
        <v>1.7012</v>
      </c>
      <c r="M43" s="391">
        <f>AVERAGE(Ashed_controlls!$K$2:$K$11)</f>
        <v>5.5147656768714146</v>
      </c>
      <c r="N43" s="225">
        <f t="shared" si="1"/>
        <v>1.6073828063050635</v>
      </c>
      <c r="O43" s="225">
        <f>IF(IFERROR(INDEX('Both teabags AfterWet'!$C$3:$C$841,MATCH(J43,'Both teabags AfterWet'!$A$3:$A$841,0)),"")="","",(IFERROR(INDEX('Both teabags AfterWet'!$C$3:$C$841,MATCH(J43,'Both teabags AfterWet'!$A$3:$A$841,0)),"")))</f>
        <v>0.72199999999999998</v>
      </c>
      <c r="P43" s="225">
        <f>IFERROR(IF(O43&gt;0,O43-(TBIcalc!$H$9),""),"")</f>
        <v>0.57139999999999991</v>
      </c>
      <c r="Q43" s="225">
        <f>IFERROR(INDEX('Ashed teabags wet'!$K$2:$K$821,MATCH(J43,'Ashed teabags wet'!$A$2:$A$821,0)),"")</f>
        <v>14.236790606653615</v>
      </c>
      <c r="R43" s="225">
        <f t="shared" si="6"/>
        <v>0.49005097847358114</v>
      </c>
      <c r="S43" s="226">
        <f>'WetLitterbags placem_collection'!E44</f>
        <v>42766</v>
      </c>
      <c r="T43" s="226">
        <f>IF('WetLitterbags placem_collection'!G44="","",'WetLitterbags placem_collection'!G44)</f>
        <v>42820</v>
      </c>
      <c r="U43" s="227">
        <f t="shared" si="3"/>
        <v>54</v>
      </c>
      <c r="V43" s="225">
        <f t="shared" si="4"/>
        <v>1.1298000000000001</v>
      </c>
      <c r="W43" s="225">
        <f t="shared" si="5"/>
        <v>1.1173318278314823</v>
      </c>
      <c r="X43">
        <f>IFERROR(INDEX(Rainfall_Wet!$O$2:$O$217,MATCH(B43, Rainfall_Wet!$A$2:$A$217,0)),"")</f>
        <v>214.262898705</v>
      </c>
      <c r="Y43" s="231">
        <v>19.96</v>
      </c>
      <c r="Z43" s="231">
        <v>4.9199999999999982</v>
      </c>
      <c r="AA43" s="231">
        <v>75.12</v>
      </c>
      <c r="AB43" s="232" t="s">
        <v>2671</v>
      </c>
      <c r="AC43" s="231">
        <v>1.641498275012321</v>
      </c>
      <c r="AD43">
        <f>IF('WetLitterbags placem_collection'!AB44="","",'WetLitterbags placem_collection'!AB44)</f>
        <v>5.9</v>
      </c>
      <c r="AE43">
        <f>IF('WetLitterbags placem_collection'!Z44="","",'WetLitterbags placem_collection'!Z44)</f>
        <v>12.7</v>
      </c>
      <c r="AF43" s="246" t="str">
        <f>IF('WetLitterbags placem_collection'!AA44="","",'WetLitterbags placem_collection'!AA44)</f>
        <v>G</v>
      </c>
      <c r="AG43">
        <f>IF('WetLitterbags placem_collection'!AC44="","",'WetLitterbags placem_collection'!AC44)</f>
        <v>0</v>
      </c>
      <c r="AH43" s="240">
        <f>AVERAGE('WetLitterbags placem_collection'!S44,'WetLitterbags placem_collection'!U44)</f>
        <v>19</v>
      </c>
      <c r="AI43">
        <f>AVERAGE('WetLitterbags placem_collection'!R44,'WetLitterbags placem_collection'!T44)</f>
        <v>22.950000000000003</v>
      </c>
      <c r="AJ43">
        <f>INDEX(Coordinates!$B$2:$B$197,MATCH(G43,Coordinates!$J$2:$J$197,0))</f>
        <v>-3.4084079690000002</v>
      </c>
      <c r="AK43">
        <f>INDEX(Coordinates!$C$2:$C$197,MATCH(G43,Coordinates!$J$2:$J$197,0))</f>
        <v>34.850295029999998</v>
      </c>
      <c r="AL43" t="str">
        <f>IF(ISNUMBER(SEARCH("C", 'WetLitterbags placem_collection'!V44)),"YES","NO")</f>
        <v>NO</v>
      </c>
      <c r="AM43" t="str">
        <f>IF(ISNUMBER(SEARCH("H", 'WetLitterbags placem_collection'!V44)),"YES","NO")</f>
        <v>YES</v>
      </c>
      <c r="AN43" t="str">
        <f>IF(ISNUMBER(SEARCH("R", 'WetLitterbags placem_collection'!V44)),"YES","NO")</f>
        <v>NO</v>
      </c>
    </row>
    <row r="44" spans="1:40">
      <c r="A44" s="258" t="s">
        <v>2460</v>
      </c>
      <c r="B44" s="263">
        <f>'Dry_Litterbag Placem_Collection'!A45</f>
        <v>43</v>
      </c>
      <c r="C44" s="263" t="str">
        <f>'Dry_Litterbag Placem_Collection'!B45</f>
        <v>Makao</v>
      </c>
      <c r="D44" s="263" t="s">
        <v>2659</v>
      </c>
      <c r="E44" s="263" t="s">
        <v>20</v>
      </c>
      <c r="F44" s="263">
        <v>2</v>
      </c>
      <c r="G44" s="264" t="str">
        <f>'Dry_Litterbag Placem_Collection'!C45</f>
        <v>Dry_P2_T3</v>
      </c>
      <c r="H44" s="265" t="s">
        <v>2541</v>
      </c>
      <c r="I44" s="266" t="s">
        <v>1147</v>
      </c>
      <c r="J44" s="223" t="str">
        <f>'WetLitterbags placem_collection'!K45</f>
        <v>G690</v>
      </c>
      <c r="K44" s="225">
        <f>IFERROR(INDEX('Green_rooibos initial weight'!$C$5:$C$1749,MATCH(J44, 'Green_rooibos initial weight'!$A$5:$A$1749,0)),"")</f>
        <v>2.0739999999999998</v>
      </c>
      <c r="L44" s="225">
        <f>IFERROR(K44-(TBIcalc!$H$9+TBIcalc!$H$10),"")</f>
        <v>1.8241999999999998</v>
      </c>
      <c r="M44" s="391">
        <f>AVERAGE(Ashed_controlls!$K$2:$K$11)</f>
        <v>5.5147656768714146</v>
      </c>
      <c r="N44" s="225">
        <f t="shared" si="1"/>
        <v>1.7235996445225115</v>
      </c>
      <c r="O44" s="225">
        <f>IF(IFERROR(INDEX('Both teabags AfterWet'!$C$3:$C$841,MATCH(J44,'Both teabags AfterWet'!$A$3:$A$841,0)),"")="","",(IFERROR(INDEX('Both teabags AfterWet'!$C$3:$C$841,MATCH(J44,'Both teabags AfterWet'!$A$3:$A$841,0)),"")))</f>
        <v>0.71519999999999995</v>
      </c>
      <c r="P44" s="225">
        <f>IFERROR(IF(O44&gt;0,O44-(TBIcalc!$H$9),""),"")</f>
        <v>0.56459999999999999</v>
      </c>
      <c r="Q44" s="225">
        <f>IFERROR(INDEX('Ashed teabags wet'!$K$2:$K$821,MATCH(J44,'Ashed teabags wet'!$A$2:$A$821,0)),"")</f>
        <v>10.60532687651348</v>
      </c>
      <c r="R44" s="225">
        <f t="shared" si="6"/>
        <v>0.50472232445520493</v>
      </c>
      <c r="S44" s="226">
        <f>'WetLitterbags placem_collection'!E45</f>
        <v>42766</v>
      </c>
      <c r="T44" s="226">
        <f>IF('WetLitterbags placem_collection'!G45="","",'WetLitterbags placem_collection'!G45)</f>
        <v>42820</v>
      </c>
      <c r="U44" s="227">
        <f t="shared" si="3"/>
        <v>54</v>
      </c>
      <c r="V44" s="225">
        <f t="shared" si="4"/>
        <v>1.2595999999999998</v>
      </c>
      <c r="W44" s="225">
        <f t="shared" si="5"/>
        <v>1.2188773200673064</v>
      </c>
      <c r="X44">
        <f>IFERROR(INDEX(Rainfall_Wet!$O$2:$O$217,MATCH(B44, Rainfall_Wet!$A$2:$A$217,0)),"")</f>
        <v>214.262898705</v>
      </c>
      <c r="Y44" s="231">
        <v>19.96</v>
      </c>
      <c r="Z44" s="231">
        <v>4.9199999999999982</v>
      </c>
      <c r="AA44" s="231">
        <v>75.12</v>
      </c>
      <c r="AB44" s="232" t="s">
        <v>2671</v>
      </c>
      <c r="AC44" s="231">
        <v>1.641498275012321</v>
      </c>
      <c r="AD44">
        <f>IF('WetLitterbags placem_collection'!AB45="","",'WetLitterbags placem_collection'!AB45)</f>
        <v>5</v>
      </c>
      <c r="AE44">
        <f>IF('WetLitterbags placem_collection'!Z45="","",'WetLitterbags placem_collection'!Z45)</f>
        <v>26.3</v>
      </c>
      <c r="AF44" s="246" t="str">
        <f>IF('WetLitterbags placem_collection'!AA45="","",'WetLitterbags placem_collection'!AA45)</f>
        <v>G</v>
      </c>
      <c r="AG44">
        <f>IF('WetLitterbags placem_collection'!AC45="","",'WetLitterbags placem_collection'!AC45)</f>
        <v>0</v>
      </c>
      <c r="AH44" s="240">
        <f>AVERAGE('WetLitterbags placem_collection'!S45,'WetLitterbags placem_collection'!U45)</f>
        <v>18.3</v>
      </c>
      <c r="AI44">
        <f>AVERAGE('WetLitterbags placem_collection'!R45,'WetLitterbags placem_collection'!T45)</f>
        <v>21.799999999999997</v>
      </c>
      <c r="AJ44">
        <f>INDEX(Coordinates!$B$2:$B$197,MATCH(G44,Coordinates!$J$2:$J$197,0))</f>
        <v>-3.4082369789999998</v>
      </c>
      <c r="AK44">
        <f>INDEX(Coordinates!$C$2:$C$197,MATCH(G44,Coordinates!$J$2:$J$197,0))</f>
        <v>34.850189999999998</v>
      </c>
      <c r="AL44" t="str">
        <f>IF(ISNUMBER(SEARCH("C", 'WetLitterbags placem_collection'!V45)),"YES","NO")</f>
        <v>NO</v>
      </c>
      <c r="AM44" t="str">
        <f>IF(ISNUMBER(SEARCH("H", 'WetLitterbags placem_collection'!V45)),"YES","NO")</f>
        <v>YES</v>
      </c>
      <c r="AN44" t="str">
        <f>IF(ISNUMBER(SEARCH("R", 'WetLitterbags placem_collection'!V45)),"YES","NO")</f>
        <v>YES</v>
      </c>
    </row>
    <row r="45" spans="1:40">
      <c r="A45" s="258" t="s">
        <v>2460</v>
      </c>
      <c r="B45" s="263">
        <f>'Dry_Litterbag Placem_Collection'!A46</f>
        <v>44</v>
      </c>
      <c r="C45" s="263" t="str">
        <f>'Dry_Litterbag Placem_Collection'!B46</f>
        <v>Makao</v>
      </c>
      <c r="D45" s="263" t="s">
        <v>2659</v>
      </c>
      <c r="E45" s="263" t="s">
        <v>20</v>
      </c>
      <c r="F45" s="263">
        <v>2</v>
      </c>
      <c r="G45" s="264" t="str">
        <f>'Dry_Litterbag Placem_Collection'!C46</f>
        <v>Dry_P2_T4</v>
      </c>
      <c r="H45" s="265" t="s">
        <v>2541</v>
      </c>
      <c r="I45" s="266" t="s">
        <v>1147</v>
      </c>
      <c r="J45" s="223" t="str">
        <f>'WetLitterbags placem_collection'!K46</f>
        <v>G774</v>
      </c>
      <c r="K45" s="225">
        <f>IFERROR(INDEX('Green_rooibos initial weight'!$C$5:$C$1749,MATCH(J45, 'Green_rooibos initial weight'!$A$5:$A$1749,0)),"")</f>
        <v>2.0049999999999999</v>
      </c>
      <c r="L45" s="225">
        <f>IFERROR(K45-(TBIcalc!$H$9+TBIcalc!$H$10),"")</f>
        <v>1.7551999999999999</v>
      </c>
      <c r="M45" s="391">
        <f>AVERAGE(Ashed_controlls!$K$2:$K$11)</f>
        <v>5.5147656768714146</v>
      </c>
      <c r="N45" s="225">
        <f t="shared" si="1"/>
        <v>1.6584048328395529</v>
      </c>
      <c r="O45" s="225">
        <f>IF(IFERROR(INDEX('Both teabags AfterWet'!$C$3:$C$841,MATCH(J45,'Both teabags AfterWet'!$A$3:$A$841,0)),"")="","",(IFERROR(INDEX('Both teabags AfterWet'!$C$3:$C$841,MATCH(J45,'Both teabags AfterWet'!$A$3:$A$841,0)),"")))</f>
        <v>0.89559999999999995</v>
      </c>
      <c r="P45" s="225">
        <f>IFERROR(IF(O45&gt;0,O45-(TBIcalc!$H$9),""),"")</f>
        <v>0.74499999999999988</v>
      </c>
      <c r="Q45" s="225">
        <f>IFERROR(INDEX('Ashed teabags wet'!$K$2:$K$821,MATCH(J45,'Ashed teabags wet'!$A$2:$A$821,0)),"")</f>
        <v>8.346293416277824</v>
      </c>
      <c r="R45" s="225">
        <f t="shared" si="6"/>
        <v>0.68282011404873011</v>
      </c>
      <c r="S45" s="226">
        <f>'WetLitterbags placem_collection'!E46</f>
        <v>42766</v>
      </c>
      <c r="T45" s="226">
        <f>IF('WetLitterbags placem_collection'!G46="","",'WetLitterbags placem_collection'!G46)</f>
        <v>42820</v>
      </c>
      <c r="U45" s="227">
        <f t="shared" si="3"/>
        <v>54</v>
      </c>
      <c r="V45" s="225">
        <f t="shared" si="4"/>
        <v>1.0102</v>
      </c>
      <c r="W45" s="225">
        <f t="shared" si="5"/>
        <v>0.97558471879082276</v>
      </c>
      <c r="X45">
        <f>IFERROR(INDEX(Rainfall_Wet!$O$2:$O$217,MATCH(B45, Rainfall_Wet!$A$2:$A$217,0)),"")</f>
        <v>214.262898705</v>
      </c>
      <c r="Y45" s="231">
        <v>19.96</v>
      </c>
      <c r="Z45" s="231">
        <v>4.9199999999999982</v>
      </c>
      <c r="AA45" s="231">
        <v>75.12</v>
      </c>
      <c r="AB45" s="232" t="s">
        <v>2671</v>
      </c>
      <c r="AC45" s="231">
        <v>1.641498275012321</v>
      </c>
      <c r="AD45">
        <f>IF('WetLitterbags placem_collection'!AB46="","",'WetLitterbags placem_collection'!AB46)</f>
        <v>2.6</v>
      </c>
      <c r="AE45">
        <f>IF('WetLitterbags placem_collection'!Z46="","",'WetLitterbags placem_collection'!Z46)</f>
        <v>39.200000000000003</v>
      </c>
      <c r="AF45" s="246" t="str">
        <f>IF('WetLitterbags placem_collection'!AA46="","",'WetLitterbags placem_collection'!AA46)</f>
        <v>G</v>
      </c>
      <c r="AG45">
        <f>IF('WetLitterbags placem_collection'!AC46="","",'WetLitterbags placem_collection'!AC46)</f>
        <v>0</v>
      </c>
      <c r="AH45" s="240">
        <f>AVERAGE('WetLitterbags placem_collection'!S46,'WetLitterbags placem_collection'!U46)</f>
        <v>20.6</v>
      </c>
      <c r="AI45">
        <f>AVERAGE('WetLitterbags placem_collection'!R46,'WetLitterbags placem_collection'!T46)</f>
        <v>22.65</v>
      </c>
      <c r="AJ45">
        <f>INDEX(Coordinates!$B$2:$B$197,MATCH(G45,Coordinates!$J$2:$J$197,0))</f>
        <v>-3.4081529920000002</v>
      </c>
      <c r="AK45">
        <f>INDEX(Coordinates!$C$2:$C$197,MATCH(G45,Coordinates!$J$2:$J$197,0))</f>
        <v>34.850168959999998</v>
      </c>
      <c r="AL45" t="str">
        <f>IF(ISNUMBER(SEARCH("C", 'WetLitterbags placem_collection'!V46)),"YES","NO")</f>
        <v>NO</v>
      </c>
      <c r="AM45" t="str">
        <f>IF(ISNUMBER(SEARCH("H", 'WetLitterbags placem_collection'!V46)),"YES","NO")</f>
        <v>NO</v>
      </c>
      <c r="AN45" t="str">
        <f>IF(ISNUMBER(SEARCH("R", 'WetLitterbags placem_collection'!V46)),"YES","NO")</f>
        <v>YES</v>
      </c>
    </row>
    <row r="46" spans="1:40">
      <c r="A46" s="258" t="s">
        <v>2460</v>
      </c>
      <c r="B46" s="263">
        <f>'Dry_Litterbag Placem_Collection'!A47</f>
        <v>45</v>
      </c>
      <c r="C46" s="263" t="str">
        <f>'Dry_Litterbag Placem_Collection'!B47</f>
        <v>Makao</v>
      </c>
      <c r="D46" s="263" t="s">
        <v>2659</v>
      </c>
      <c r="E46" s="263" t="s">
        <v>20</v>
      </c>
      <c r="F46" s="263">
        <v>2</v>
      </c>
      <c r="G46" s="264" t="str">
        <f>'Dry_Litterbag Placem_Collection'!C47</f>
        <v>Dry_P2_T5</v>
      </c>
      <c r="H46" s="265" t="s">
        <v>2541</v>
      </c>
      <c r="I46" s="266" t="s">
        <v>1147</v>
      </c>
      <c r="J46" s="223" t="str">
        <f>'WetLitterbags placem_collection'!K47</f>
        <v>G519</v>
      </c>
      <c r="K46" s="225">
        <f>IFERROR(INDEX('Green_rooibos initial weight'!$C$5:$C$1749,MATCH(J46, 'Green_rooibos initial weight'!$A$5:$A$1749,0)),"")</f>
        <v>2.1429999999999998</v>
      </c>
      <c r="L46" s="225">
        <f>IFERROR(K46-(TBIcalc!$H$9+TBIcalc!$H$10),"")</f>
        <v>1.8931999999999998</v>
      </c>
      <c r="M46" s="391">
        <f>AVERAGE(Ashed_controlls!$K$2:$K$11)</f>
        <v>5.5147656768714146</v>
      </c>
      <c r="N46" s="225">
        <f t="shared" si="1"/>
        <v>1.7887944562054701</v>
      </c>
      <c r="O46" s="225">
        <f>IF(IFERROR(INDEX('Both teabags AfterWet'!$C$3:$C$841,MATCH(J46,'Both teabags AfterWet'!$A$3:$A$841,0)),"")="","",(IFERROR(INDEX('Both teabags AfterWet'!$C$3:$C$841,MATCH(J46,'Both teabags AfterWet'!$A$3:$A$841,0)),"")))</f>
        <v>0.77569999999999995</v>
      </c>
      <c r="P46" s="225">
        <f>IFERROR(IF(O46&gt;0,O46-(TBIcalc!$H$9),""),"")</f>
        <v>0.62509999999999999</v>
      </c>
      <c r="Q46" s="225">
        <f>IFERROR(INDEX('Ashed teabags wet'!$K$2:$K$821,MATCH(J46,'Ashed teabags wet'!$A$2:$A$821,0)),"")</f>
        <v>9.376558603491624</v>
      </c>
      <c r="R46" s="225">
        <f t="shared" si="6"/>
        <v>0.5664871321695738</v>
      </c>
      <c r="S46" s="226">
        <f>'WetLitterbags placem_collection'!E47</f>
        <v>42766</v>
      </c>
      <c r="T46" s="226">
        <f>IF('WetLitterbags placem_collection'!G47="","",'WetLitterbags placem_collection'!G47)</f>
        <v>42820</v>
      </c>
      <c r="U46" s="227">
        <f t="shared" si="3"/>
        <v>54</v>
      </c>
      <c r="V46" s="225">
        <f t="shared" si="4"/>
        <v>1.2680999999999998</v>
      </c>
      <c r="W46" s="225">
        <f t="shared" si="5"/>
        <v>1.2223073240358961</v>
      </c>
      <c r="X46">
        <f>IFERROR(INDEX(Rainfall_Wet!$O$2:$O$217,MATCH(B46, Rainfall_Wet!$A$2:$A$217,0)),"")</f>
        <v>214.262898705</v>
      </c>
      <c r="Y46" s="231">
        <v>19.96</v>
      </c>
      <c r="Z46" s="231">
        <v>4.9199999999999982</v>
      </c>
      <c r="AA46" s="231">
        <v>75.12</v>
      </c>
      <c r="AB46" s="232" t="s">
        <v>2671</v>
      </c>
      <c r="AC46" s="231">
        <v>1.641498275012321</v>
      </c>
      <c r="AD46">
        <f>IF('WetLitterbags placem_collection'!AB47="","",'WetLitterbags placem_collection'!AB47)</f>
        <v>2.2999999999999998</v>
      </c>
      <c r="AE46">
        <f>IF('WetLitterbags placem_collection'!Z47="","",'WetLitterbags placem_collection'!Z47)</f>
        <v>9.3000000000000007</v>
      </c>
      <c r="AF46" s="246" t="str">
        <f>IF('WetLitterbags placem_collection'!AA47="","",'WetLitterbags placem_collection'!AA47)</f>
        <v>O</v>
      </c>
      <c r="AG46">
        <f>IF('WetLitterbags placem_collection'!AC47="","",'WetLitterbags placem_collection'!AC47)</f>
        <v>0</v>
      </c>
      <c r="AH46" s="240">
        <f>AVERAGE('WetLitterbags placem_collection'!S47,'WetLitterbags placem_collection'!U47)</f>
        <v>24.4</v>
      </c>
      <c r="AI46">
        <f>AVERAGE('WetLitterbags placem_collection'!R47,'WetLitterbags placem_collection'!T47)</f>
        <v>22.15</v>
      </c>
      <c r="AJ46">
        <f>INDEX(Coordinates!$B$2:$B$197,MATCH(G46,Coordinates!$J$2:$J$197,0))</f>
        <v>-3.4081789759999999</v>
      </c>
      <c r="AK46">
        <f>INDEX(Coordinates!$C$2:$C$197,MATCH(G46,Coordinates!$J$2:$J$197,0))</f>
        <v>34.850516980000002</v>
      </c>
      <c r="AL46" t="str">
        <f>IF(ISNUMBER(SEARCH("C", 'WetLitterbags placem_collection'!V47)),"YES","NO")</f>
        <v>NO</v>
      </c>
      <c r="AM46" t="str">
        <f>IF(ISNUMBER(SEARCH("H", 'WetLitterbags placem_collection'!V47)),"YES","NO")</f>
        <v>NO</v>
      </c>
      <c r="AN46" t="str">
        <f>IF(ISNUMBER(SEARCH("R", 'WetLitterbags placem_collection'!V47)),"YES","NO")</f>
        <v>YES</v>
      </c>
    </row>
    <row r="47" spans="1:40">
      <c r="A47" s="258" t="s">
        <v>2460</v>
      </c>
      <c r="B47" s="263">
        <f>'Dry_Litterbag Placem_Collection'!A48</f>
        <v>46</v>
      </c>
      <c r="C47" s="263" t="str">
        <f>'Dry_Litterbag Placem_Collection'!B48</f>
        <v>Makao</v>
      </c>
      <c r="D47" s="263" t="s">
        <v>2659</v>
      </c>
      <c r="E47" s="263" t="s">
        <v>20</v>
      </c>
      <c r="F47" s="263">
        <v>2</v>
      </c>
      <c r="G47" s="264" t="str">
        <f>'Dry_Litterbag Placem_Collection'!C48</f>
        <v>Dry_P2_T6</v>
      </c>
      <c r="H47" s="265" t="s">
        <v>2541</v>
      </c>
      <c r="I47" s="266" t="s">
        <v>1147</v>
      </c>
      <c r="J47" s="223" t="str">
        <f>'WetLitterbags placem_collection'!K48</f>
        <v>G635</v>
      </c>
      <c r="K47" s="225">
        <f>IFERROR(INDEX('Green_rooibos initial weight'!$C$5:$C$1749,MATCH(J47, 'Green_rooibos initial weight'!$A$5:$A$1749,0)),"")</f>
        <v>2.073</v>
      </c>
      <c r="L47" s="225">
        <f>IFERROR(K47-(TBIcalc!$H$9+TBIcalc!$H$10),"")</f>
        <v>1.8231999999999999</v>
      </c>
      <c r="M47" s="391">
        <f>AVERAGE(Ashed_controlls!$K$2:$K$11)</f>
        <v>5.5147656768714146</v>
      </c>
      <c r="N47" s="225">
        <f t="shared" si="1"/>
        <v>1.7226547921792803</v>
      </c>
      <c r="O47" s="225" t="str">
        <f>IF(IFERROR(INDEX('Both teabags AfterWet'!$C$3:$C$841,MATCH(J47,'Both teabags AfterWet'!$A$3:$A$841,0)),"")="","",(IFERROR(INDEX('Both teabags AfterWet'!$C$3:$C$841,MATCH(J47,'Both teabags AfterWet'!$A$3:$A$841,0)),"")))</f>
        <v/>
      </c>
      <c r="P47" s="225" t="str">
        <f>IFERROR(IF(O47&gt;0,O47-(TBIcalc!$H$9),""),"")</f>
        <v/>
      </c>
      <c r="Q47" s="225" t="str">
        <f>IFERROR(INDEX('Ashed teabags wet'!$K$2:$K$821,MATCH(J47,'Ashed teabags wet'!$A$2:$A$821,0)),"")</f>
        <v/>
      </c>
      <c r="R47" s="225" t="str">
        <f t="shared" si="6"/>
        <v/>
      </c>
      <c r="S47" s="226">
        <f>'WetLitterbags placem_collection'!E48</f>
        <v>42766</v>
      </c>
      <c r="T47" s="226">
        <f>IF('WetLitterbags placem_collection'!G48="","",'WetLitterbags placem_collection'!G48)</f>
        <v>42820</v>
      </c>
      <c r="U47" s="227">
        <f t="shared" si="3"/>
        <v>54</v>
      </c>
      <c r="V47" s="225" t="str">
        <f t="shared" si="4"/>
        <v/>
      </c>
      <c r="W47" s="225" t="str">
        <f t="shared" si="5"/>
        <v/>
      </c>
      <c r="X47">
        <f>IFERROR(INDEX(Rainfall_Wet!$O$2:$O$217,MATCH(B47, Rainfall_Wet!$A$2:$A$217,0)),"")</f>
        <v>214.262898705</v>
      </c>
      <c r="Y47" s="231">
        <v>19.96</v>
      </c>
      <c r="Z47" s="231">
        <v>4.9199999999999982</v>
      </c>
      <c r="AA47" s="231">
        <v>75.12</v>
      </c>
      <c r="AB47" s="232" t="s">
        <v>2671</v>
      </c>
      <c r="AC47" s="231">
        <v>1.641498275012321</v>
      </c>
      <c r="AD47" t="str">
        <f>IF('WetLitterbags placem_collection'!AB48="","",'WetLitterbags placem_collection'!AB48)</f>
        <v/>
      </c>
      <c r="AE47" t="str">
        <f>IF('WetLitterbags placem_collection'!Z48="","",'WetLitterbags placem_collection'!Z48)</f>
        <v/>
      </c>
      <c r="AF47" s="246" t="str">
        <f>IF('WetLitterbags placem_collection'!AA48="","",'WetLitterbags placem_collection'!AA48)</f>
        <v/>
      </c>
      <c r="AG47" t="str">
        <f>IF('WetLitterbags placem_collection'!AC48="","",'WetLitterbags placem_collection'!AC48)</f>
        <v/>
      </c>
      <c r="AH47" s="240">
        <f>AVERAGE('WetLitterbags placem_collection'!S48,'WetLitterbags placem_collection'!U48)</f>
        <v>22.5</v>
      </c>
      <c r="AI47">
        <f>AVERAGE('WetLitterbags placem_collection'!R48,'WetLitterbags placem_collection'!T48)</f>
        <v>20.100000000000001</v>
      </c>
      <c r="AJ47">
        <f>INDEX(Coordinates!$B$2:$B$197,MATCH(G47,Coordinates!$J$2:$J$197,0))</f>
        <v>-3.4084730130000001</v>
      </c>
      <c r="AK47">
        <f>INDEX(Coordinates!$C$2:$C$197,MATCH(G47,Coordinates!$J$2:$J$197,0))</f>
        <v>34.850401980000001</v>
      </c>
      <c r="AL47" t="str">
        <f>IF(ISNUMBER(SEARCH("C", 'WetLitterbags placem_collection'!V48)),"YES","NO")</f>
        <v>NO</v>
      </c>
      <c r="AM47" t="str">
        <f>IF(ISNUMBER(SEARCH("H", 'WetLitterbags placem_collection'!V48)),"YES","NO")</f>
        <v>NO</v>
      </c>
      <c r="AN47" t="str">
        <f>IF(ISNUMBER(SEARCH("R", 'WetLitterbags placem_collection'!V48)),"YES","NO")</f>
        <v>NO</v>
      </c>
    </row>
    <row r="48" spans="1:40">
      <c r="A48" s="258" t="s">
        <v>2460</v>
      </c>
      <c r="B48" s="263">
        <f>'Dry_Litterbag Placem_Collection'!A49</f>
        <v>47</v>
      </c>
      <c r="C48" s="263" t="str">
        <f>'Dry_Litterbag Placem_Collection'!B49</f>
        <v>Makao</v>
      </c>
      <c r="D48" s="263" t="s">
        <v>2659</v>
      </c>
      <c r="E48" s="263" t="s">
        <v>20</v>
      </c>
      <c r="F48" s="263">
        <v>2</v>
      </c>
      <c r="G48" s="264" t="str">
        <f>'Dry_Litterbag Placem_Collection'!C49</f>
        <v>Dry_P2_T7</v>
      </c>
      <c r="H48" s="265" t="s">
        <v>2541</v>
      </c>
      <c r="I48" s="266" t="s">
        <v>1147</v>
      </c>
      <c r="J48" s="223" t="str">
        <f>'WetLitterbags placem_collection'!K49</f>
        <v>G539</v>
      </c>
      <c r="K48" s="225">
        <f>IFERROR(INDEX('Green_rooibos initial weight'!$C$5:$C$1749,MATCH(J48, 'Green_rooibos initial weight'!$A$5:$A$1749,0)),"")</f>
        <v>2.1219999999999999</v>
      </c>
      <c r="L48" s="225">
        <f>IFERROR(K48-(TBIcalc!$H$9+TBIcalc!$H$10),"")</f>
        <v>1.8721999999999999</v>
      </c>
      <c r="M48" s="391">
        <f>AVERAGE(Ashed_controlls!$K$2:$K$11)</f>
        <v>5.5147656768714146</v>
      </c>
      <c r="N48" s="225">
        <f t="shared" si="1"/>
        <v>1.7689525569976132</v>
      </c>
      <c r="O48" s="225">
        <f>IF(IFERROR(INDEX('Both teabags AfterWet'!$C$3:$C$841,MATCH(J48,'Both teabags AfterWet'!$A$3:$A$841,0)),"")="","",(IFERROR(INDEX('Both teabags AfterWet'!$C$3:$C$841,MATCH(J48,'Both teabags AfterWet'!$A$3:$A$841,0)),"")))</f>
        <v>0.80700000000000005</v>
      </c>
      <c r="P48" s="225">
        <f>IFERROR(IF(O48&gt;0,O48-(TBIcalc!$H$9),""),"")</f>
        <v>0.65640000000000009</v>
      </c>
      <c r="Q48" s="225">
        <f>IFERROR(INDEX('Ashed teabags wet'!$K$2:$K$821,MATCH(J48,'Ashed teabags wet'!$A$2:$A$821,0)),"")</f>
        <v>11.917347429120182</v>
      </c>
      <c r="R48" s="225">
        <f t="shared" si="6"/>
        <v>0.57817453147525522</v>
      </c>
      <c r="S48" s="226">
        <f>'WetLitterbags placem_collection'!E49</f>
        <v>42766</v>
      </c>
      <c r="T48" s="226">
        <f>IF('WetLitterbags placem_collection'!G49="","",'WetLitterbags placem_collection'!G49)</f>
        <v>42820</v>
      </c>
      <c r="U48" s="227">
        <f t="shared" si="3"/>
        <v>54</v>
      </c>
      <c r="V48" s="225">
        <f t="shared" si="4"/>
        <v>1.2157999999999998</v>
      </c>
      <c r="W48" s="225">
        <f t="shared" si="5"/>
        <v>1.1907780255223579</v>
      </c>
      <c r="X48">
        <f>IFERROR(INDEX(Rainfall_Wet!$O$2:$O$217,MATCH(B48, Rainfall_Wet!$A$2:$A$217,0)),"")</f>
        <v>214.262898705</v>
      </c>
      <c r="Y48" s="231">
        <v>19.96</v>
      </c>
      <c r="Z48" s="231">
        <v>4.9199999999999982</v>
      </c>
      <c r="AA48" s="231">
        <v>75.12</v>
      </c>
      <c r="AB48" s="232" t="s">
        <v>2671</v>
      </c>
      <c r="AC48" s="231">
        <v>1.641498275012321</v>
      </c>
      <c r="AD48">
        <f>IF('WetLitterbags placem_collection'!AB49="","",'WetLitterbags placem_collection'!AB49)</f>
        <v>5.2</v>
      </c>
      <c r="AE48">
        <f>IF('WetLitterbags placem_collection'!Z49="","",'WetLitterbags placem_collection'!Z49)</f>
        <v>5.2</v>
      </c>
      <c r="AF48" s="246" t="str">
        <f>IF('WetLitterbags placem_collection'!AA49="","",'WetLitterbags placem_collection'!AA49)</f>
        <v>G</v>
      </c>
      <c r="AG48">
        <f>IF('WetLitterbags placem_collection'!AC49="","",'WetLitterbags placem_collection'!AC49)</f>
        <v>0</v>
      </c>
      <c r="AH48" s="240">
        <f>AVERAGE('WetLitterbags placem_collection'!S49,'WetLitterbags placem_collection'!U49)</f>
        <v>23.7</v>
      </c>
      <c r="AI48">
        <f>AVERAGE('WetLitterbags placem_collection'!R49,'WetLitterbags placem_collection'!T49)</f>
        <v>22.6</v>
      </c>
      <c r="AJ48">
        <f>INDEX(Coordinates!$B$2:$B$197,MATCH(G48,Coordinates!$J$2:$J$197,0))</f>
        <v>-3.4084819820000001</v>
      </c>
      <c r="AK48">
        <f>INDEX(Coordinates!$C$2:$C$197,MATCH(G48,Coordinates!$J$2:$J$197,0))</f>
        <v>34.850024040000001</v>
      </c>
      <c r="AL48" t="str">
        <f>IF(ISNUMBER(SEARCH("C", 'WetLitterbags placem_collection'!V49)),"YES","NO")</f>
        <v>NO</v>
      </c>
      <c r="AM48" t="str">
        <f>IF(ISNUMBER(SEARCH("H", 'WetLitterbags placem_collection'!V49)),"YES","NO")</f>
        <v>NO</v>
      </c>
      <c r="AN48" t="str">
        <f>IF(ISNUMBER(SEARCH("R", 'WetLitterbags placem_collection'!V49)),"YES","NO")</f>
        <v>YES</v>
      </c>
    </row>
    <row r="49" spans="1:40">
      <c r="A49" s="258" t="s">
        <v>2460</v>
      </c>
      <c r="B49" s="263">
        <f>'Dry_Litterbag Placem_Collection'!A50</f>
        <v>48</v>
      </c>
      <c r="C49" s="263" t="str">
        <f>'Dry_Litterbag Placem_Collection'!B50</f>
        <v>Makao</v>
      </c>
      <c r="D49" s="263" t="s">
        <v>2659</v>
      </c>
      <c r="E49" s="263" t="s">
        <v>20</v>
      </c>
      <c r="F49" s="263">
        <v>2</v>
      </c>
      <c r="G49" s="264" t="str">
        <f>'Dry_Litterbag Placem_Collection'!C50</f>
        <v>Dry_P2_T8</v>
      </c>
      <c r="H49" s="265" t="s">
        <v>2541</v>
      </c>
      <c r="I49" s="266" t="s">
        <v>1147</v>
      </c>
      <c r="J49" s="223" t="str">
        <f>'WetLitterbags placem_collection'!K50</f>
        <v>G679</v>
      </c>
      <c r="K49" s="225">
        <f>IFERROR(INDEX('Green_rooibos initial weight'!$C$5:$C$1749,MATCH(J49, 'Green_rooibos initial weight'!$A$5:$A$1749,0)),"")</f>
        <v>2.052</v>
      </c>
      <c r="L49" s="225">
        <f>IFERROR(K49-(TBIcalc!$H$9+TBIcalc!$H$10),"")</f>
        <v>1.8022</v>
      </c>
      <c r="M49" s="391">
        <f>AVERAGE(Ashed_controlls!$K$2:$K$11)</f>
        <v>5.5147656768714146</v>
      </c>
      <c r="N49" s="225">
        <f t="shared" si="1"/>
        <v>1.7028128929714235</v>
      </c>
      <c r="O49" s="225">
        <f>IF(IFERROR(INDEX('Both teabags AfterWet'!$C$3:$C$841,MATCH(J49,'Both teabags AfterWet'!$A$3:$A$841,0)),"")="","",(IFERROR(INDEX('Both teabags AfterWet'!$C$3:$C$841,MATCH(J49,'Both teabags AfterWet'!$A$3:$A$841,0)),"")))</f>
        <v>0.83199999999999996</v>
      </c>
      <c r="P49" s="225">
        <f>IFERROR(IF(O49&gt;0,O49-(TBIcalc!$H$9),""),"")</f>
        <v>0.68140000000000001</v>
      </c>
      <c r="Q49" s="225">
        <f>IFERROR(INDEX('Ashed teabags wet'!$K$2:$K$821,MATCH(J49,'Ashed teabags wet'!$A$2:$A$821,0)),"")</f>
        <v>7.6283618581914308</v>
      </c>
      <c r="R49" s="225">
        <f t="shared" si="6"/>
        <v>0.62942034229828359</v>
      </c>
      <c r="S49" s="226">
        <f>'WetLitterbags placem_collection'!E50</f>
        <v>42766</v>
      </c>
      <c r="T49" s="226">
        <f>IF('WetLitterbags placem_collection'!G50="","",'WetLitterbags placem_collection'!G50)</f>
        <v>42820</v>
      </c>
      <c r="U49" s="227">
        <f t="shared" si="3"/>
        <v>54</v>
      </c>
      <c r="V49" s="225">
        <f t="shared" si="4"/>
        <v>1.1208</v>
      </c>
      <c r="W49" s="225">
        <f t="shared" si="5"/>
        <v>1.0733925506731399</v>
      </c>
      <c r="X49">
        <f>IFERROR(INDEX(Rainfall_Wet!$O$2:$O$217,MATCH(B49, Rainfall_Wet!$A$2:$A$217,0)),"")</f>
        <v>214.262898705</v>
      </c>
      <c r="Y49" s="231">
        <v>19.96</v>
      </c>
      <c r="Z49" s="231">
        <v>4.9199999999999982</v>
      </c>
      <c r="AA49" s="231">
        <v>75.12</v>
      </c>
      <c r="AB49" s="232" t="s">
        <v>2671</v>
      </c>
      <c r="AC49" s="231">
        <v>1.641498275012321</v>
      </c>
      <c r="AD49">
        <f>IF('WetLitterbags placem_collection'!AB50="","",'WetLitterbags placem_collection'!AB50)</f>
        <v>7.3</v>
      </c>
      <c r="AE49">
        <f>IF('WetLitterbags placem_collection'!Z50="","",'WetLitterbags placem_collection'!Z50)</f>
        <v>27.2</v>
      </c>
      <c r="AF49" s="246" t="str">
        <f>IF('WetLitterbags placem_collection'!AA50="","",'WetLitterbags placem_collection'!AA50)</f>
        <v>M</v>
      </c>
      <c r="AG49">
        <f>IF('WetLitterbags placem_collection'!AC50="","",'WetLitterbags placem_collection'!AC50)</f>
        <v>0</v>
      </c>
      <c r="AH49" s="240">
        <f>AVERAGE('WetLitterbags placem_collection'!S50,'WetLitterbags placem_collection'!U50)</f>
        <v>21.8</v>
      </c>
      <c r="AI49">
        <f>AVERAGE('WetLitterbags placem_collection'!R50,'WetLitterbags placem_collection'!T50)</f>
        <v>21.65</v>
      </c>
      <c r="AJ49">
        <f>INDEX(Coordinates!$B$2:$B$197,MATCH(G49,Coordinates!$J$2:$J$197,0))</f>
        <v>-3.4081990090000001</v>
      </c>
      <c r="AK49">
        <f>INDEX(Coordinates!$C$2:$C$197,MATCH(G49,Coordinates!$J$2:$J$197,0))</f>
        <v>34.850254960000001</v>
      </c>
      <c r="AL49" t="str">
        <f>IF(ISNUMBER(SEARCH("C", 'WetLitterbags placem_collection'!V50)),"YES","NO")</f>
        <v>NO</v>
      </c>
      <c r="AM49" t="str">
        <f>IF(ISNUMBER(SEARCH("H", 'WetLitterbags placem_collection'!V50)),"YES","NO")</f>
        <v>NO</v>
      </c>
      <c r="AN49" t="str">
        <f>IF(ISNUMBER(SEARCH("R", 'WetLitterbags placem_collection'!V50)),"YES","NO")</f>
        <v>YES</v>
      </c>
    </row>
    <row r="50" spans="1:40">
      <c r="A50" s="258" t="s">
        <v>2460</v>
      </c>
      <c r="B50" s="263">
        <f>'Dry_Litterbag Placem_Collection'!A51</f>
        <v>49</v>
      </c>
      <c r="C50" s="263" t="str">
        <f>'Dry_Litterbag Placem_Collection'!B51</f>
        <v>Makao</v>
      </c>
      <c r="D50" s="263" t="s">
        <v>2659</v>
      </c>
      <c r="E50" s="263" t="s">
        <v>20</v>
      </c>
      <c r="F50" s="263">
        <v>3</v>
      </c>
      <c r="G50" s="264" t="str">
        <f>'Dry_Litterbag Placem_Collection'!C51</f>
        <v>Dry_P3_T1</v>
      </c>
      <c r="H50" s="265" t="s">
        <v>2541</v>
      </c>
      <c r="I50" s="266" t="s">
        <v>1147</v>
      </c>
      <c r="J50" s="223" t="str">
        <f>'WetLitterbags placem_collection'!K51</f>
        <v>G346</v>
      </c>
      <c r="K50" s="225">
        <f>IFERROR(INDEX('Green_rooibos initial weight'!$C$5:$C$1749,MATCH(J50, 'Green_rooibos initial weight'!$A$5:$A$1749,0)),"")</f>
        <v>2.012</v>
      </c>
      <c r="L50" s="225">
        <f>IFERROR(K50-(TBIcalc!$H$9+TBIcalc!$H$10),"")</f>
        <v>1.7622</v>
      </c>
      <c r="M50" s="391">
        <f>AVERAGE(Ashed_controlls!$K$2:$K$11)</f>
        <v>5.5147656768714146</v>
      </c>
      <c r="N50" s="225">
        <f t="shared" si="1"/>
        <v>1.6650187992421719</v>
      </c>
      <c r="O50" s="225">
        <f>IF(IFERROR(INDEX('Both teabags AfterWet'!$C$3:$C$841,MATCH(J50,'Both teabags AfterWet'!$A$3:$A$841,0)),"")="","",(IFERROR(INDEX('Both teabags AfterWet'!$C$3:$C$841,MATCH(J50,'Both teabags AfterWet'!$A$3:$A$841,0)),"")))</f>
        <v>1.0001</v>
      </c>
      <c r="P50" s="225">
        <f>IFERROR(IF(O50&gt;0,O50-(TBIcalc!$H$9),""),"")</f>
        <v>0.84949999999999992</v>
      </c>
      <c r="Q50" s="225">
        <f>IFERROR(INDEX('Ashed teabags wet'!$K$2:$K$821,MATCH(J50,'Ashed teabags wet'!$A$2:$A$821,0)),"")</f>
        <v>20.217498764212234</v>
      </c>
      <c r="R50" s="225">
        <f t="shared" si="6"/>
        <v>0.67775234799801698</v>
      </c>
      <c r="S50" s="226">
        <f>'WetLitterbags placem_collection'!E51</f>
        <v>42766</v>
      </c>
      <c r="T50" s="226">
        <f>IF('WetLitterbags placem_collection'!G51="","",'WetLitterbags placem_collection'!G51)</f>
        <v>42820</v>
      </c>
      <c r="U50" s="227">
        <f t="shared" si="3"/>
        <v>54</v>
      </c>
      <c r="V50" s="225">
        <f t="shared" si="4"/>
        <v>0.91270000000000007</v>
      </c>
      <c r="W50" s="225">
        <f t="shared" si="5"/>
        <v>0.98726645124415491</v>
      </c>
      <c r="X50">
        <f>IFERROR(INDEX(Rainfall_Wet!$O$2:$O$217,MATCH(B50, Rainfall_Wet!$A$2:$A$217,0)),"")</f>
        <v>214.262898705</v>
      </c>
      <c r="Y50" s="231">
        <v>21.96</v>
      </c>
      <c r="Z50" s="231">
        <v>8.9199999999999982</v>
      </c>
      <c r="AA50" s="231">
        <v>69.12</v>
      </c>
      <c r="AB50" s="232" t="s">
        <v>2670</v>
      </c>
      <c r="AC50" s="231">
        <v>1.7491375061606702</v>
      </c>
      <c r="AD50">
        <f>IF('WetLitterbags placem_collection'!AB51="","",'WetLitterbags placem_collection'!AB51)</f>
        <v>10.4</v>
      </c>
      <c r="AE50">
        <f>IF('WetLitterbags placem_collection'!Z51="","",'WetLitterbags placem_collection'!Z51)</f>
        <v>36</v>
      </c>
      <c r="AF50" s="246" t="str">
        <f>IF('WetLitterbags placem_collection'!AA51="","",'WetLitterbags placem_collection'!AA51)</f>
        <v>M</v>
      </c>
      <c r="AG50">
        <f>IF('WetLitterbags placem_collection'!AC51="","",'WetLitterbags placem_collection'!AC51)</f>
        <v>1</v>
      </c>
      <c r="AH50" s="240">
        <f>AVERAGE('WetLitterbags placem_collection'!S51,'WetLitterbags placem_collection'!U51)</f>
        <v>26.2</v>
      </c>
      <c r="AI50">
        <f>AVERAGE('WetLitterbags placem_collection'!R51,'WetLitterbags placem_collection'!T51)</f>
        <v>26.55</v>
      </c>
      <c r="AJ50">
        <f>INDEX(Coordinates!$B$2:$B$197,MATCH(G50,Coordinates!$J$2:$J$197,0))</f>
        <v>-3.406225992</v>
      </c>
      <c r="AK50">
        <f>INDEX(Coordinates!$C$2:$C$197,MATCH(G50,Coordinates!$J$2:$J$197,0))</f>
        <v>34.85055998</v>
      </c>
      <c r="AL50" t="str">
        <f>IF(ISNUMBER(SEARCH("C", 'WetLitterbags placem_collection'!V51)),"YES","NO")</f>
        <v>NO</v>
      </c>
      <c r="AM50" t="str">
        <f>IF(ISNUMBER(SEARCH("H", 'WetLitterbags placem_collection'!V51)),"YES","NO")</f>
        <v>NO</v>
      </c>
      <c r="AN50" t="str">
        <f>IF(ISNUMBER(SEARCH("R", 'WetLitterbags placem_collection'!V51)),"YES","NO")</f>
        <v>YES</v>
      </c>
    </row>
    <row r="51" spans="1:40">
      <c r="A51" s="258" t="s">
        <v>2460</v>
      </c>
      <c r="B51" s="263">
        <f>'Dry_Litterbag Placem_Collection'!A52</f>
        <v>50</v>
      </c>
      <c r="C51" s="263" t="str">
        <f>'Dry_Litterbag Placem_Collection'!B52</f>
        <v>Makao</v>
      </c>
      <c r="D51" s="263" t="s">
        <v>2659</v>
      </c>
      <c r="E51" s="263" t="s">
        <v>20</v>
      </c>
      <c r="F51" s="263">
        <v>3</v>
      </c>
      <c r="G51" s="264" t="str">
        <f>'Dry_Litterbag Placem_Collection'!C52</f>
        <v>Dry_P3_T2</v>
      </c>
      <c r="H51" s="265" t="s">
        <v>2541</v>
      </c>
      <c r="I51" s="266" t="s">
        <v>1147</v>
      </c>
      <c r="J51" s="223" t="str">
        <f>'WetLitterbags placem_collection'!K52</f>
        <v>G418</v>
      </c>
      <c r="K51" s="225">
        <f>IFERROR(INDEX('Green_rooibos initial weight'!$C$5:$C$1749,MATCH(J51, 'Green_rooibos initial weight'!$A$5:$A$1749,0)),"")</f>
        <v>2.016</v>
      </c>
      <c r="L51" s="225">
        <f>IFERROR(K51-(TBIcalc!$H$9+TBIcalc!$H$10),"")</f>
        <v>1.7662</v>
      </c>
      <c r="M51" s="391">
        <f>AVERAGE(Ashed_controlls!$K$2:$K$11)</f>
        <v>5.5147656768714146</v>
      </c>
      <c r="N51" s="225">
        <f t="shared" si="1"/>
        <v>1.668798208615097</v>
      </c>
      <c r="O51" s="225" t="str">
        <f>IF(IFERROR(INDEX('Both teabags AfterWet'!$C$3:$C$841,MATCH(J51,'Both teabags AfterWet'!$A$3:$A$841,0)),"")="","",(IFERROR(INDEX('Both teabags AfterWet'!$C$3:$C$841,MATCH(J51,'Both teabags AfterWet'!$A$3:$A$841,0)),"")))</f>
        <v/>
      </c>
      <c r="P51" s="225" t="str">
        <f>IFERROR(IF(O51&gt;0,O51-(TBIcalc!$H$9),""),"")</f>
        <v/>
      </c>
      <c r="Q51" s="225" t="str">
        <f>IFERROR(INDEX('Ashed teabags wet'!$K$2:$K$821,MATCH(J51,'Ashed teabags wet'!$A$2:$A$821,0)),"")</f>
        <v/>
      </c>
      <c r="R51" s="225" t="str">
        <f t="shared" si="6"/>
        <v/>
      </c>
      <c r="S51" s="226">
        <f>'WetLitterbags placem_collection'!E52</f>
        <v>42766</v>
      </c>
      <c r="T51" s="226">
        <f>IF('WetLitterbags placem_collection'!G52="","",'WetLitterbags placem_collection'!G52)</f>
        <v>42820</v>
      </c>
      <c r="U51" s="227">
        <f t="shared" si="3"/>
        <v>54</v>
      </c>
      <c r="V51" s="225" t="str">
        <f t="shared" si="4"/>
        <v/>
      </c>
      <c r="W51" s="225" t="str">
        <f t="shared" si="5"/>
        <v/>
      </c>
      <c r="X51">
        <f>IFERROR(INDEX(Rainfall_Wet!$O$2:$O$217,MATCH(B51, Rainfall_Wet!$A$2:$A$217,0)),"")</f>
        <v>214.262898705</v>
      </c>
      <c r="Y51" s="231">
        <v>21.96</v>
      </c>
      <c r="Z51" s="231">
        <v>8.9199999999999982</v>
      </c>
      <c r="AA51" s="231">
        <v>69.12</v>
      </c>
      <c r="AB51" s="232" t="s">
        <v>2670</v>
      </c>
      <c r="AC51" s="231">
        <v>1.7491375061606702</v>
      </c>
      <c r="AD51">
        <f>IF('WetLitterbags placem_collection'!AB52="","",'WetLitterbags placem_collection'!AB52)</f>
        <v>10</v>
      </c>
      <c r="AE51">
        <f>IF('WetLitterbags placem_collection'!Z52="","",'WetLitterbags placem_collection'!Z52)</f>
        <v>22.5</v>
      </c>
      <c r="AF51" s="246" t="str">
        <f>IF('WetLitterbags placem_collection'!AA52="","",'WetLitterbags placem_collection'!AA52)</f>
        <v>M</v>
      </c>
      <c r="AG51">
        <f>IF('WetLitterbags placem_collection'!AC52="","",'WetLitterbags placem_collection'!AC52)</f>
        <v>1</v>
      </c>
      <c r="AH51" s="240">
        <f>AVERAGE('WetLitterbags placem_collection'!S52,'WetLitterbags placem_collection'!U52)</f>
        <v>31.4</v>
      </c>
      <c r="AI51">
        <f>AVERAGE('WetLitterbags placem_collection'!R52,'WetLitterbags placem_collection'!T52)</f>
        <v>22.4</v>
      </c>
      <c r="AJ51">
        <f>INDEX(Coordinates!$B$2:$B$197,MATCH(G51,Coordinates!$J$2:$J$197,0))</f>
        <v>-3.4062630399999998</v>
      </c>
      <c r="AK51">
        <f>INDEX(Coordinates!$C$2:$C$197,MATCH(G51,Coordinates!$J$2:$J$197,0))</f>
        <v>34.850566010000001</v>
      </c>
      <c r="AL51" t="str">
        <f>IF(ISNUMBER(SEARCH("C", 'WetLitterbags placem_collection'!V52)),"YES","NO")</f>
        <v>NO</v>
      </c>
      <c r="AM51" t="str">
        <f>IF(ISNUMBER(SEARCH("H", 'WetLitterbags placem_collection'!V52)),"YES","NO")</f>
        <v>NO</v>
      </c>
      <c r="AN51" t="str">
        <f>IF(ISNUMBER(SEARCH("R", 'WetLitterbags placem_collection'!V52)),"YES","NO")</f>
        <v>NO</v>
      </c>
    </row>
    <row r="52" spans="1:40">
      <c r="A52" s="258" t="s">
        <v>2460</v>
      </c>
      <c r="B52" s="263">
        <f>'Dry_Litterbag Placem_Collection'!A53</f>
        <v>51</v>
      </c>
      <c r="C52" s="263" t="str">
        <f>'Dry_Litterbag Placem_Collection'!B53</f>
        <v>Makao</v>
      </c>
      <c r="D52" s="263" t="s">
        <v>2659</v>
      </c>
      <c r="E52" s="263" t="s">
        <v>20</v>
      </c>
      <c r="F52" s="263">
        <v>3</v>
      </c>
      <c r="G52" s="264" t="str">
        <f>'Dry_Litterbag Placem_Collection'!C53</f>
        <v>Dry_P3_T3</v>
      </c>
      <c r="H52" s="265" t="s">
        <v>2541</v>
      </c>
      <c r="I52" s="266" t="s">
        <v>1147</v>
      </c>
      <c r="J52" s="223" t="str">
        <f>'WetLitterbags placem_collection'!K53</f>
        <v>G548</v>
      </c>
      <c r="K52" s="225">
        <f>IFERROR(INDEX('Green_rooibos initial weight'!$C$5:$C$1749,MATCH(J52, 'Green_rooibos initial weight'!$A$5:$A$1749,0)),"")</f>
        <v>2.169</v>
      </c>
      <c r="L52" s="225">
        <f>IFERROR(K52-(TBIcalc!$H$9+TBIcalc!$H$10),"")</f>
        <v>1.9192</v>
      </c>
      <c r="M52" s="391">
        <f>AVERAGE(Ashed_controlls!$K$2:$K$11)</f>
        <v>5.5147656768714146</v>
      </c>
      <c r="N52" s="225">
        <f t="shared" si="1"/>
        <v>1.8133606171294838</v>
      </c>
      <c r="O52" s="225">
        <f>IF(IFERROR(INDEX('Both teabags AfterWet'!$C$3:$C$841,MATCH(J52,'Both teabags AfterWet'!$A$3:$A$841,0)),"")="","",(IFERROR(INDEX('Both teabags AfterWet'!$C$3:$C$841,MATCH(J52,'Both teabags AfterWet'!$A$3:$A$841,0)),"")))</f>
        <v>0.86399999999999999</v>
      </c>
      <c r="P52" s="225">
        <f>IFERROR(IF(O52&gt;0,O52-(TBIcalc!$H$9),""),"")</f>
        <v>0.71340000000000003</v>
      </c>
      <c r="Q52" s="225">
        <f>IFERROR(INDEX('Ashed teabags wet'!$K$2:$K$821,MATCH(J52,'Ashed teabags wet'!$A$2:$A$821,0)),"")</f>
        <v>8.9955022488745993</v>
      </c>
      <c r="R52" s="225">
        <f t="shared" si="6"/>
        <v>0.64922608695652861</v>
      </c>
      <c r="S52" s="226">
        <f>'WetLitterbags placem_collection'!E53</f>
        <v>42766</v>
      </c>
      <c r="T52" s="226">
        <f>IF('WetLitterbags placem_collection'!G53="","",'WetLitterbags placem_collection'!G53)</f>
        <v>42820</v>
      </c>
      <c r="U52" s="227">
        <f t="shared" si="3"/>
        <v>54</v>
      </c>
      <c r="V52" s="225">
        <f t="shared" si="4"/>
        <v>1.2058</v>
      </c>
      <c r="W52" s="225">
        <f t="shared" si="5"/>
        <v>1.1641345301729551</v>
      </c>
      <c r="X52">
        <f>IFERROR(INDEX(Rainfall_Wet!$O$2:$O$217,MATCH(B52, Rainfall_Wet!$A$2:$A$217,0)),"")</f>
        <v>214.262898705</v>
      </c>
      <c r="Y52" s="231">
        <v>21.96</v>
      </c>
      <c r="Z52" s="231">
        <v>8.9199999999999982</v>
      </c>
      <c r="AA52" s="231">
        <v>69.12</v>
      </c>
      <c r="AB52" s="232" t="s">
        <v>2670</v>
      </c>
      <c r="AC52" s="231">
        <v>1.7491375061606702</v>
      </c>
      <c r="AD52">
        <f>IF('WetLitterbags placem_collection'!AB53="","",'WetLitterbags placem_collection'!AB53)</f>
        <v>3</v>
      </c>
      <c r="AE52">
        <f>IF('WetLitterbags placem_collection'!Z53="","",'WetLitterbags placem_collection'!Z53)</f>
        <v>18</v>
      </c>
      <c r="AF52" s="246" t="str">
        <f>IF('WetLitterbags placem_collection'!AA53="","",'WetLitterbags placem_collection'!AA53)</f>
        <v>O</v>
      </c>
      <c r="AG52">
        <f>IF('WetLitterbags placem_collection'!AC53="","",'WetLitterbags placem_collection'!AC53)</f>
        <v>0</v>
      </c>
      <c r="AH52" s="240">
        <f>AVERAGE('WetLitterbags placem_collection'!S53,'WetLitterbags placem_collection'!U53)</f>
        <v>20.2</v>
      </c>
      <c r="AI52">
        <f>AVERAGE('WetLitterbags placem_collection'!R53,'WetLitterbags placem_collection'!T53)</f>
        <v>27.4</v>
      </c>
      <c r="AJ52">
        <f>INDEX(Coordinates!$B$2:$B$197,MATCH(G52,Coordinates!$J$2:$J$197,0))</f>
        <v>-3.4063920379999999</v>
      </c>
      <c r="AK52">
        <f>INDEX(Coordinates!$C$2:$C$197,MATCH(G52,Coordinates!$J$2:$J$197,0))</f>
        <v>34.850696020000001</v>
      </c>
      <c r="AL52" t="str">
        <f>IF(ISNUMBER(SEARCH("C", 'WetLitterbags placem_collection'!V53)),"YES","NO")</f>
        <v>NO</v>
      </c>
      <c r="AM52" t="str">
        <f>IF(ISNUMBER(SEARCH("H", 'WetLitterbags placem_collection'!V53)),"YES","NO")</f>
        <v>NO</v>
      </c>
      <c r="AN52" t="str">
        <f>IF(ISNUMBER(SEARCH("R", 'WetLitterbags placem_collection'!V53)),"YES","NO")</f>
        <v>YES</v>
      </c>
    </row>
    <row r="53" spans="1:40">
      <c r="A53" s="258" t="s">
        <v>2460</v>
      </c>
      <c r="B53" s="263">
        <f>'Dry_Litterbag Placem_Collection'!A54</f>
        <v>52</v>
      </c>
      <c r="C53" s="263" t="str">
        <f>'Dry_Litterbag Placem_Collection'!B54</f>
        <v>Makao</v>
      </c>
      <c r="D53" s="263" t="s">
        <v>2659</v>
      </c>
      <c r="E53" s="263" t="s">
        <v>20</v>
      </c>
      <c r="F53" s="263">
        <v>3</v>
      </c>
      <c r="G53" s="264" t="str">
        <f>'Dry_Litterbag Placem_Collection'!C54</f>
        <v>Dry_P3_T4</v>
      </c>
      <c r="H53" s="265" t="s">
        <v>2541</v>
      </c>
      <c r="I53" s="266" t="s">
        <v>1147</v>
      </c>
      <c r="J53" s="223" t="str">
        <f>'WetLitterbags placem_collection'!K54</f>
        <v>G638</v>
      </c>
      <c r="K53" s="225">
        <f>IFERROR(INDEX('Green_rooibos initial weight'!$C$5:$C$1749,MATCH(J53, 'Green_rooibos initial weight'!$A$5:$A$1749,0)),"")</f>
        <v>2.0409999999999999</v>
      </c>
      <c r="L53" s="225">
        <f>IFERROR(K53-(TBIcalc!$H$9+TBIcalc!$H$10),"")</f>
        <v>1.7911999999999999</v>
      </c>
      <c r="M53" s="391">
        <f>AVERAGE(Ashed_controlls!$K$2:$K$11)</f>
        <v>5.5147656768714146</v>
      </c>
      <c r="N53" s="225">
        <f t="shared" si="1"/>
        <v>1.6924195171958791</v>
      </c>
      <c r="O53" s="225">
        <f>IF(IFERROR(INDEX('Both teabags AfterWet'!$C$3:$C$841,MATCH(J53,'Both teabags AfterWet'!$A$3:$A$841,0)),"")="","",(IFERROR(INDEX('Both teabags AfterWet'!$C$3:$C$841,MATCH(J53,'Both teabags AfterWet'!$A$3:$A$841,0)),"")))</f>
        <v>1.075</v>
      </c>
      <c r="P53" s="225">
        <f>IFERROR(IF(O53&gt;0,O53-(TBIcalc!$H$9),""),"")</f>
        <v>0.92439999999999989</v>
      </c>
      <c r="Q53" s="225">
        <f>IFERROR(INDEX('Ashed teabags wet'!$K$2:$K$821,MATCH(J53,'Ashed teabags wet'!$A$2:$A$821,0)),"")</f>
        <v>30.654761904762275</v>
      </c>
      <c r="R53" s="225">
        <f t="shared" si="6"/>
        <v>0.64102738095237743</v>
      </c>
      <c r="S53" s="226">
        <f>'WetLitterbags placem_collection'!E54</f>
        <v>42766</v>
      </c>
      <c r="T53" s="226">
        <f>IF('WetLitterbags placem_collection'!G54="","",'WetLitterbags placem_collection'!G54)</f>
        <v>42820</v>
      </c>
      <c r="U53" s="227">
        <f t="shared" si="3"/>
        <v>54</v>
      </c>
      <c r="V53" s="225">
        <f t="shared" si="4"/>
        <v>0.86680000000000001</v>
      </c>
      <c r="W53" s="225">
        <f t="shared" si="5"/>
        <v>1.0513921362435017</v>
      </c>
      <c r="X53">
        <f>IFERROR(INDEX(Rainfall_Wet!$O$2:$O$217,MATCH(B53, Rainfall_Wet!$A$2:$A$217,0)),"")</f>
        <v>214.262898705</v>
      </c>
      <c r="Y53" s="231">
        <v>21.96</v>
      </c>
      <c r="Z53" s="231">
        <v>8.9199999999999982</v>
      </c>
      <c r="AA53" s="231">
        <v>69.12</v>
      </c>
      <c r="AB53" s="232" t="s">
        <v>2670</v>
      </c>
      <c r="AC53" s="231">
        <v>1.7491375061606702</v>
      </c>
      <c r="AD53">
        <f>IF('WetLitterbags placem_collection'!AB54="","",'WetLitterbags placem_collection'!AB54)</f>
        <v>13.4</v>
      </c>
      <c r="AE53">
        <f>IF('WetLitterbags placem_collection'!Z54="","",'WetLitterbags placem_collection'!Z54)</f>
        <v>67</v>
      </c>
      <c r="AF53" s="246" t="str">
        <f>IF('WetLitterbags placem_collection'!AA54="","",'WetLitterbags placem_collection'!AA54)</f>
        <v>M</v>
      </c>
      <c r="AG53">
        <f>IF('WetLitterbags placem_collection'!AC54="","",'WetLitterbags placem_collection'!AC54)</f>
        <v>1</v>
      </c>
      <c r="AH53" s="240">
        <f>AVERAGE('WetLitterbags placem_collection'!S54,'WetLitterbags placem_collection'!U54)</f>
        <v>29.8</v>
      </c>
      <c r="AI53">
        <f>AVERAGE('WetLitterbags placem_collection'!R54,'WetLitterbags placem_collection'!T54)</f>
        <v>25.799999999999997</v>
      </c>
      <c r="AJ53">
        <f>INDEX(Coordinates!$B$2:$B$197,MATCH(G53,Coordinates!$J$2:$J$197,0))</f>
        <v>-3.4061569999999999</v>
      </c>
      <c r="AK53">
        <f>INDEX(Coordinates!$C$2:$C$197,MATCH(G53,Coordinates!$J$2:$J$197,0))</f>
        <v>34.850738999999997</v>
      </c>
      <c r="AL53" t="str">
        <f>IF(ISNUMBER(SEARCH("C", 'WetLitterbags placem_collection'!V54)),"YES","NO")</f>
        <v>NO</v>
      </c>
      <c r="AM53" t="str">
        <f>IF(ISNUMBER(SEARCH("H", 'WetLitterbags placem_collection'!V54)),"YES","NO")</f>
        <v>YES</v>
      </c>
      <c r="AN53" t="str">
        <f>IF(ISNUMBER(SEARCH("R", 'WetLitterbags placem_collection'!V54)),"YES","NO")</f>
        <v>YES</v>
      </c>
    </row>
    <row r="54" spans="1:40">
      <c r="A54" s="258" t="s">
        <v>2460</v>
      </c>
      <c r="B54" s="263">
        <f>'Dry_Litterbag Placem_Collection'!A55</f>
        <v>53</v>
      </c>
      <c r="C54" s="263" t="str">
        <f>'Dry_Litterbag Placem_Collection'!B55</f>
        <v>Makao</v>
      </c>
      <c r="D54" s="263" t="s">
        <v>2659</v>
      </c>
      <c r="E54" s="263" t="s">
        <v>20</v>
      </c>
      <c r="F54" s="263">
        <v>3</v>
      </c>
      <c r="G54" s="264" t="str">
        <f>'Dry_Litterbag Placem_Collection'!C55</f>
        <v>Dry_P3_T5</v>
      </c>
      <c r="H54" s="265" t="s">
        <v>2541</v>
      </c>
      <c r="I54" s="266" t="s">
        <v>1147</v>
      </c>
      <c r="J54" s="223" t="str">
        <f>'WetLitterbags placem_collection'!K55</f>
        <v>G426</v>
      </c>
      <c r="K54" s="225">
        <f>IFERROR(INDEX('Green_rooibos initial weight'!$C$5:$C$1749,MATCH(J54, 'Green_rooibos initial weight'!$A$5:$A$1749,0)),"")</f>
        <v>2.0230000000000001</v>
      </c>
      <c r="L54" s="225">
        <f>IFERROR(K54-(TBIcalc!$H$9+TBIcalc!$H$10),"")</f>
        <v>1.7732000000000001</v>
      </c>
      <c r="M54" s="391">
        <f>AVERAGE(Ashed_controlls!$K$2:$K$11)</f>
        <v>5.5147656768714146</v>
      </c>
      <c r="N54" s="225">
        <f t="shared" si="1"/>
        <v>1.6754121750177162</v>
      </c>
      <c r="O54" s="225" t="str">
        <f>IF(IFERROR(INDEX('Both teabags AfterWet'!$C$3:$C$841,MATCH(J54,'Both teabags AfterWet'!$A$3:$A$841,0)),"")="","",(IFERROR(INDEX('Both teabags AfterWet'!$C$3:$C$841,MATCH(J54,'Both teabags AfterWet'!$A$3:$A$841,0)),"")))</f>
        <v/>
      </c>
      <c r="P54" s="225" t="str">
        <f>IFERROR(IF(O54&gt;0,O54-(TBIcalc!$H$9),""),"")</f>
        <v/>
      </c>
      <c r="Q54" s="225" t="str">
        <f>IFERROR(INDEX('Ashed teabags wet'!$K$2:$K$821,MATCH(J54,'Ashed teabags wet'!$A$2:$A$821,0)),"")</f>
        <v/>
      </c>
      <c r="R54" s="225" t="str">
        <f t="shared" si="6"/>
        <v/>
      </c>
      <c r="S54" s="226">
        <f>'WetLitterbags placem_collection'!E55</f>
        <v>42766</v>
      </c>
      <c r="T54" s="226">
        <f>IF('WetLitterbags placem_collection'!G55="","",'WetLitterbags placem_collection'!G55)</f>
        <v>42820</v>
      </c>
      <c r="U54" s="227">
        <f t="shared" si="3"/>
        <v>54</v>
      </c>
      <c r="V54" s="225" t="str">
        <f t="shared" si="4"/>
        <v/>
      </c>
      <c r="W54" s="225" t="str">
        <f t="shared" si="5"/>
        <v/>
      </c>
      <c r="X54">
        <f>IFERROR(INDEX(Rainfall_Wet!$O$2:$O$217,MATCH(B54, Rainfall_Wet!$A$2:$A$217,0)),"")</f>
        <v>214.262898705</v>
      </c>
      <c r="Y54" s="231">
        <v>21.96</v>
      </c>
      <c r="Z54" s="231">
        <v>8.9199999999999982</v>
      </c>
      <c r="AA54" s="231">
        <v>69.12</v>
      </c>
      <c r="AB54" s="232" t="s">
        <v>2670</v>
      </c>
      <c r="AC54" s="231">
        <v>1.7491375061606702</v>
      </c>
      <c r="AD54" t="str">
        <f>IF('WetLitterbags placem_collection'!AB55="","",'WetLitterbags placem_collection'!AB55)</f>
        <v/>
      </c>
      <c r="AE54" t="str">
        <f>IF('WetLitterbags placem_collection'!Z55="","",'WetLitterbags placem_collection'!Z55)</f>
        <v/>
      </c>
      <c r="AF54" s="246" t="str">
        <f>IF('WetLitterbags placem_collection'!AA55="","",'WetLitterbags placem_collection'!AA55)</f>
        <v/>
      </c>
      <c r="AG54" t="str">
        <f>IF('WetLitterbags placem_collection'!AC55="","",'WetLitterbags placem_collection'!AC55)</f>
        <v/>
      </c>
      <c r="AH54" s="240">
        <f>AVERAGE('WetLitterbags placem_collection'!S55,'WetLitterbags placem_collection'!U55)</f>
        <v>20.2</v>
      </c>
      <c r="AI54">
        <f>AVERAGE('WetLitterbags placem_collection'!R55,'WetLitterbags placem_collection'!T55)</f>
        <v>22.2</v>
      </c>
      <c r="AJ54">
        <f>INDEX(Coordinates!$B$2:$B$197,MATCH(G54,Coordinates!$J$2:$J$197,0))</f>
        <v>-3.4061140000000001</v>
      </c>
      <c r="AK54">
        <f>INDEX(Coordinates!$C$2:$C$197,MATCH(G54,Coordinates!$J$2:$J$197,0))</f>
        <v>34.850596000000003</v>
      </c>
      <c r="AL54" t="str">
        <f>IF(ISNUMBER(SEARCH("C", 'WetLitterbags placem_collection'!V55)),"YES","NO")</f>
        <v>NO</v>
      </c>
      <c r="AM54" t="str">
        <f>IF(ISNUMBER(SEARCH("H", 'WetLitterbags placem_collection'!V55)),"YES","NO")</f>
        <v>NO</v>
      </c>
      <c r="AN54" t="str">
        <f>IF(ISNUMBER(SEARCH("R", 'WetLitterbags placem_collection'!V55)),"YES","NO")</f>
        <v>NO</v>
      </c>
    </row>
    <row r="55" spans="1:40">
      <c r="A55" s="258" t="s">
        <v>2460</v>
      </c>
      <c r="B55" s="263">
        <f>'Dry_Litterbag Placem_Collection'!A56</f>
        <v>54</v>
      </c>
      <c r="C55" s="263" t="str">
        <f>'Dry_Litterbag Placem_Collection'!B56</f>
        <v>Makao</v>
      </c>
      <c r="D55" s="263" t="s">
        <v>2659</v>
      </c>
      <c r="E55" s="263" t="s">
        <v>20</v>
      </c>
      <c r="F55" s="263">
        <v>3</v>
      </c>
      <c r="G55" s="264" t="str">
        <f>'Dry_Litterbag Placem_Collection'!C56</f>
        <v>Dry_P3_T6</v>
      </c>
      <c r="H55" s="265" t="s">
        <v>2541</v>
      </c>
      <c r="I55" s="266" t="s">
        <v>1147</v>
      </c>
      <c r="J55" s="223" t="str">
        <f>'WetLitterbags placem_collection'!K56</f>
        <v>G589</v>
      </c>
      <c r="K55" s="225">
        <f>IFERROR(INDEX('Green_rooibos initial weight'!$C$5:$C$1749,MATCH(J55, 'Green_rooibos initial weight'!$A$5:$A$1749,0)),"")</f>
        <v>2.0419999999999998</v>
      </c>
      <c r="L55" s="225">
        <f>IFERROR(K55-(TBIcalc!$H$9+TBIcalc!$H$10),"")</f>
        <v>1.7921999999999998</v>
      </c>
      <c r="M55" s="391">
        <f>AVERAGE(Ashed_controlls!$K$2:$K$11)</f>
        <v>5.5147656768714146</v>
      </c>
      <c r="N55" s="225">
        <f t="shared" si="1"/>
        <v>1.6933643695391103</v>
      </c>
      <c r="O55" s="225" t="str">
        <f>IF(IFERROR(INDEX('Both teabags AfterWet'!$C$3:$C$841,MATCH(J55,'Both teabags AfterWet'!$A$3:$A$841,0)),"")="","",(IFERROR(INDEX('Both teabags AfterWet'!$C$3:$C$841,MATCH(J55,'Both teabags AfterWet'!$A$3:$A$841,0)),"")))</f>
        <v/>
      </c>
      <c r="P55" s="225" t="str">
        <f>IFERROR(IF(O55&gt;0,O55-(TBIcalc!$H$9),""),"")</f>
        <v/>
      </c>
      <c r="Q55" s="225" t="str">
        <f>IFERROR(INDEX('Ashed teabags wet'!$K$2:$K$821,MATCH(J55,'Ashed teabags wet'!$A$2:$A$821,0)),"")</f>
        <v/>
      </c>
      <c r="R55" s="225" t="str">
        <f t="shared" si="6"/>
        <v/>
      </c>
      <c r="S55" s="226">
        <f>'WetLitterbags placem_collection'!E56</f>
        <v>42766</v>
      </c>
      <c r="T55" s="226">
        <f>IF('WetLitterbags placem_collection'!G56="","",'WetLitterbags placem_collection'!G56)</f>
        <v>42820</v>
      </c>
      <c r="U55" s="227">
        <f t="shared" si="3"/>
        <v>54</v>
      </c>
      <c r="V55" s="225" t="str">
        <f t="shared" si="4"/>
        <v/>
      </c>
      <c r="W55" s="225" t="str">
        <f t="shared" si="5"/>
        <v/>
      </c>
      <c r="X55">
        <f>IFERROR(INDEX(Rainfall_Wet!$O$2:$O$217,MATCH(B55, Rainfall_Wet!$A$2:$A$217,0)),"")</f>
        <v>214.262898705</v>
      </c>
      <c r="Y55" s="231">
        <v>21.96</v>
      </c>
      <c r="Z55" s="231">
        <v>8.9199999999999982</v>
      </c>
      <c r="AA55" s="231">
        <v>69.12</v>
      </c>
      <c r="AB55" s="232" t="s">
        <v>2670</v>
      </c>
      <c r="AC55" s="231">
        <v>1.7491375061606702</v>
      </c>
      <c r="AD55" t="str">
        <f>IF('WetLitterbags placem_collection'!AB56="","",'WetLitterbags placem_collection'!AB56)</f>
        <v/>
      </c>
      <c r="AE55" t="str">
        <f>IF('WetLitterbags placem_collection'!Z56="","",'WetLitterbags placem_collection'!Z56)</f>
        <v/>
      </c>
      <c r="AF55" s="246" t="str">
        <f>IF('WetLitterbags placem_collection'!AA56="","",'WetLitterbags placem_collection'!AA56)</f>
        <v/>
      </c>
      <c r="AG55" t="str">
        <f>IF('WetLitterbags placem_collection'!AC56="","",'WetLitterbags placem_collection'!AC56)</f>
        <v/>
      </c>
      <c r="AH55" s="240">
        <f>AVERAGE('WetLitterbags placem_collection'!S56,'WetLitterbags placem_collection'!U56)</f>
        <v>30.1</v>
      </c>
      <c r="AI55">
        <f>AVERAGE('WetLitterbags placem_collection'!R56,'WetLitterbags placem_collection'!T56)</f>
        <v>22.2</v>
      </c>
      <c r="AJ55">
        <f>INDEX(Coordinates!$B$2:$B$197,MATCH(G55,Coordinates!$J$2:$J$197,0))</f>
        <v>-3.406058019</v>
      </c>
      <c r="AK55">
        <f>INDEX(Coordinates!$C$2:$C$197,MATCH(G55,Coordinates!$J$2:$J$197,0))</f>
        <v>34.850466019999999</v>
      </c>
      <c r="AL55" t="str">
        <f>IF(ISNUMBER(SEARCH("C", 'WetLitterbags placem_collection'!V56)),"YES","NO")</f>
        <v>NO</v>
      </c>
      <c r="AM55" t="str">
        <f>IF(ISNUMBER(SEARCH("H", 'WetLitterbags placem_collection'!V56)),"YES","NO")</f>
        <v>NO</v>
      </c>
      <c r="AN55" t="str">
        <f>IF(ISNUMBER(SEARCH("R", 'WetLitterbags placem_collection'!V56)),"YES","NO")</f>
        <v>NO</v>
      </c>
    </row>
    <row r="56" spans="1:40">
      <c r="A56" s="258" t="s">
        <v>2460</v>
      </c>
      <c r="B56" s="263">
        <f>'Dry_Litterbag Placem_Collection'!A57</f>
        <v>55</v>
      </c>
      <c r="C56" s="263" t="str">
        <f>'Dry_Litterbag Placem_Collection'!B57</f>
        <v>Makao</v>
      </c>
      <c r="D56" s="263" t="s">
        <v>2659</v>
      </c>
      <c r="E56" s="263" t="s">
        <v>20</v>
      </c>
      <c r="F56" s="263">
        <v>3</v>
      </c>
      <c r="G56" s="264" t="str">
        <f>'Dry_Litterbag Placem_Collection'!C57</f>
        <v>Dry_P3_T7</v>
      </c>
      <c r="H56" s="265" t="s">
        <v>2541</v>
      </c>
      <c r="I56" s="266" t="s">
        <v>1147</v>
      </c>
      <c r="J56" s="223" t="str">
        <f>'WetLitterbags placem_collection'!K57</f>
        <v>G622</v>
      </c>
      <c r="K56" s="225">
        <f>IFERROR(INDEX('Green_rooibos initial weight'!$C$5:$C$1749,MATCH(J56, 'Green_rooibos initial weight'!$A$5:$A$1749,0)),"")</f>
        <v>1.978</v>
      </c>
      <c r="L56" s="225">
        <f>IFERROR(K56-(TBIcalc!$H$9+TBIcalc!$H$10),"")</f>
        <v>1.7282</v>
      </c>
      <c r="M56" s="391">
        <f>AVERAGE(Ashed_controlls!$K$2:$K$11)</f>
        <v>5.5147656768714146</v>
      </c>
      <c r="N56" s="225">
        <f t="shared" si="1"/>
        <v>1.6328938195723082</v>
      </c>
      <c r="O56" s="225" t="str">
        <f>IF(IFERROR(INDEX('Both teabags AfterWet'!$C$3:$C$841,MATCH(J56,'Both teabags AfterWet'!$A$3:$A$841,0)),"")="","",(IFERROR(INDEX('Both teabags AfterWet'!$C$3:$C$841,MATCH(J56,'Both teabags AfterWet'!$A$3:$A$841,0)),"")))</f>
        <v/>
      </c>
      <c r="P56" s="225" t="str">
        <f>IFERROR(IF(O56&gt;0,O56-(TBIcalc!$H$9),""),"")</f>
        <v/>
      </c>
      <c r="Q56" s="225" t="str">
        <f>IFERROR(INDEX('Ashed teabags wet'!$K$2:$K$821,MATCH(J56,'Ashed teabags wet'!$A$2:$A$821,0)),"")</f>
        <v/>
      </c>
      <c r="R56" s="225" t="str">
        <f t="shared" si="6"/>
        <v/>
      </c>
      <c r="S56" s="226">
        <f>'WetLitterbags placem_collection'!E57</f>
        <v>42766</v>
      </c>
      <c r="T56" s="226">
        <f>IF('WetLitterbags placem_collection'!G57="","",'WetLitterbags placem_collection'!G57)</f>
        <v>42820</v>
      </c>
      <c r="U56" s="227">
        <f t="shared" si="3"/>
        <v>54</v>
      </c>
      <c r="V56" s="225" t="str">
        <f t="shared" si="4"/>
        <v/>
      </c>
      <c r="W56" s="225" t="str">
        <f t="shared" si="5"/>
        <v/>
      </c>
      <c r="X56">
        <f>IFERROR(INDEX(Rainfall_Wet!$O$2:$O$217,MATCH(B56, Rainfall_Wet!$A$2:$A$217,0)),"")</f>
        <v>214.262898705</v>
      </c>
      <c r="Y56" s="231">
        <v>21.96</v>
      </c>
      <c r="Z56" s="231">
        <v>8.9199999999999982</v>
      </c>
      <c r="AA56" s="231">
        <v>69.12</v>
      </c>
      <c r="AB56" s="232" t="s">
        <v>2670</v>
      </c>
      <c r="AC56" s="231">
        <v>1.7491375061606702</v>
      </c>
      <c r="AD56">
        <f>IF('WetLitterbags placem_collection'!AB57="","",'WetLitterbags placem_collection'!AB57)</f>
        <v>15.8</v>
      </c>
      <c r="AE56">
        <f>IF('WetLitterbags placem_collection'!Z57="","",'WetLitterbags placem_collection'!Z57)</f>
        <v>45</v>
      </c>
      <c r="AF56" s="246" t="str">
        <f>IF('WetLitterbags placem_collection'!AA57="","",'WetLitterbags placem_collection'!AA57)</f>
        <v>M</v>
      </c>
      <c r="AG56">
        <f>IF('WetLitterbags placem_collection'!AC57="","",'WetLitterbags placem_collection'!AC57)</f>
        <v>1</v>
      </c>
      <c r="AH56" s="240">
        <f>AVERAGE('WetLitterbags placem_collection'!S57,'WetLitterbags placem_collection'!U57)</f>
        <v>33</v>
      </c>
      <c r="AI56">
        <f>AVERAGE('WetLitterbags placem_collection'!R57,'WetLitterbags placem_collection'!T57)</f>
        <v>25.9</v>
      </c>
      <c r="AJ56">
        <f>INDEX(Coordinates!$B$2:$B$197,MATCH(G56,Coordinates!$J$2:$J$197,0))</f>
        <v>-3.4061389879999999</v>
      </c>
      <c r="AK56">
        <f>INDEX(Coordinates!$C$2:$C$197,MATCH(G56,Coordinates!$J$2:$J$197,0))</f>
        <v>34.850574979999998</v>
      </c>
      <c r="AL56" t="str">
        <f>IF(ISNUMBER(SEARCH("C", 'WetLitterbags placem_collection'!V57)),"YES","NO")</f>
        <v>NO</v>
      </c>
      <c r="AM56" t="str">
        <f>IF(ISNUMBER(SEARCH("H", 'WetLitterbags placem_collection'!V57)),"YES","NO")</f>
        <v>NO</v>
      </c>
      <c r="AN56" t="str">
        <f>IF(ISNUMBER(SEARCH("R", 'WetLitterbags placem_collection'!V57)),"YES","NO")</f>
        <v>NO</v>
      </c>
    </row>
    <row r="57" spans="1:40">
      <c r="A57" s="258" t="s">
        <v>2460</v>
      </c>
      <c r="B57" s="263">
        <f>'Dry_Litterbag Placem_Collection'!A58</f>
        <v>56</v>
      </c>
      <c r="C57" s="263" t="str">
        <f>'Dry_Litterbag Placem_Collection'!B58</f>
        <v>Makao</v>
      </c>
      <c r="D57" s="263" t="s">
        <v>2659</v>
      </c>
      <c r="E57" s="263" t="s">
        <v>20</v>
      </c>
      <c r="F57" s="263">
        <v>3</v>
      </c>
      <c r="G57" s="264" t="str">
        <f>'Dry_Litterbag Placem_Collection'!C58</f>
        <v>Dry_P3_T8</v>
      </c>
      <c r="H57" s="265" t="s">
        <v>2541</v>
      </c>
      <c r="I57" s="266" t="s">
        <v>1147</v>
      </c>
      <c r="J57" s="223" t="str">
        <f>'WetLitterbags placem_collection'!K58</f>
        <v>G538</v>
      </c>
      <c r="K57" s="225">
        <f>IFERROR(INDEX('Green_rooibos initial weight'!$C$5:$C$1749,MATCH(J57, 'Green_rooibos initial weight'!$A$5:$A$1749,0)),"")</f>
        <v>2.1760000000000002</v>
      </c>
      <c r="L57" s="225">
        <f>IFERROR(K57-(TBIcalc!$H$9+TBIcalc!$H$10),"")</f>
        <v>1.9262000000000001</v>
      </c>
      <c r="M57" s="391">
        <f>AVERAGE(Ashed_controlls!$K$2:$K$11)</f>
        <v>5.5147656768714146</v>
      </c>
      <c r="N57" s="225">
        <f t="shared" si="1"/>
        <v>1.8199745835321028</v>
      </c>
      <c r="O57" s="225">
        <f>IF(IFERROR(INDEX('Both teabags AfterWet'!$C$3:$C$841,MATCH(J57,'Both teabags AfterWet'!$A$3:$A$841,0)),"")="","",(IFERROR(INDEX('Both teabags AfterWet'!$C$3:$C$841,MATCH(J57,'Both teabags AfterWet'!$A$3:$A$841,0)),"")))</f>
        <v>0.81</v>
      </c>
      <c r="P57" s="225">
        <f>IFERROR(IF(O57&gt;0,O57-(TBIcalc!$H$9),""),"")</f>
        <v>0.65939999999999999</v>
      </c>
      <c r="Q57" s="225">
        <f>IFERROR(INDEX('Ashed teabags wet'!$K$2:$K$821,MATCH(J57,'Ashed teabags wet'!$A$2:$A$821,0)),"")</f>
        <v>21.852387843704392</v>
      </c>
      <c r="R57" s="225">
        <f t="shared" si="6"/>
        <v>0.51530535455861326</v>
      </c>
      <c r="S57" s="226">
        <f>'WetLitterbags placem_collection'!E58</f>
        <v>42766</v>
      </c>
      <c r="T57" s="226">
        <f>IF('WetLitterbags placem_collection'!G58="","",'WetLitterbags placem_collection'!G58)</f>
        <v>42820</v>
      </c>
      <c r="U57" s="227">
        <f t="shared" si="3"/>
        <v>54</v>
      </c>
      <c r="V57" s="225">
        <f t="shared" si="4"/>
        <v>1.2668000000000001</v>
      </c>
      <c r="W57" s="225">
        <f t="shared" si="5"/>
        <v>1.3046692289734896</v>
      </c>
      <c r="X57">
        <f>IFERROR(INDEX(Rainfall_Wet!$O$2:$O$217,MATCH(B57, Rainfall_Wet!$A$2:$A$217,0)),"")</f>
        <v>214.262898705</v>
      </c>
      <c r="Y57" s="231">
        <v>21.96</v>
      </c>
      <c r="Z57" s="231">
        <v>8.9199999999999982</v>
      </c>
      <c r="AA57" s="231">
        <v>69.12</v>
      </c>
      <c r="AB57" s="232" t="s">
        <v>2670</v>
      </c>
      <c r="AC57" s="231">
        <v>1.7491375061606702</v>
      </c>
      <c r="AD57">
        <f>IF('WetLitterbags placem_collection'!AB58="","",'WetLitterbags placem_collection'!AB58)</f>
        <v>15.4</v>
      </c>
      <c r="AE57">
        <f>IF('WetLitterbags placem_collection'!Z58="","",'WetLitterbags placem_collection'!Z58)</f>
        <v>30.8</v>
      </c>
      <c r="AF57" s="246" t="str">
        <f>IF('WetLitterbags placem_collection'!AA58="","",'WetLitterbags placem_collection'!AA58)</f>
        <v>M</v>
      </c>
      <c r="AG57">
        <f>IF('WetLitterbags placem_collection'!AC58="","",'WetLitterbags placem_collection'!AC58)</f>
        <v>0</v>
      </c>
      <c r="AH57" s="240">
        <f>AVERAGE('WetLitterbags placem_collection'!S58,'WetLitterbags placem_collection'!U58)</f>
        <v>29.5</v>
      </c>
      <c r="AI57">
        <f>AVERAGE('WetLitterbags placem_collection'!R58,'WetLitterbags placem_collection'!T58)</f>
        <v>27.6</v>
      </c>
      <c r="AJ57">
        <f>INDEX(Coordinates!$B$2:$B$197,MATCH(G57,Coordinates!$J$2:$J$197,0))</f>
        <v>-3.4062900300000001</v>
      </c>
      <c r="AK57">
        <f>INDEX(Coordinates!$C$2:$C$197,MATCH(G57,Coordinates!$J$2:$J$197,0))</f>
        <v>34.850441959999998</v>
      </c>
      <c r="AL57" t="str">
        <f>IF(ISNUMBER(SEARCH("C", 'WetLitterbags placem_collection'!V58)),"YES","NO")</f>
        <v>NO</v>
      </c>
      <c r="AM57" t="str">
        <f>IF(ISNUMBER(SEARCH("H", 'WetLitterbags placem_collection'!V58)),"YES","NO")</f>
        <v>YES</v>
      </c>
      <c r="AN57" t="str">
        <f>IF(ISNUMBER(SEARCH("R", 'WetLitterbags placem_collection'!V58)),"YES","NO")</f>
        <v>YES</v>
      </c>
    </row>
    <row r="58" spans="1:40">
      <c r="A58" s="258" t="s">
        <v>2460</v>
      </c>
      <c r="B58" s="263">
        <f>'Dry_Litterbag Placem_Collection'!A59</f>
        <v>57</v>
      </c>
      <c r="C58" s="263" t="str">
        <f>'Dry_Litterbag Placem_Collection'!B59</f>
        <v>Makao</v>
      </c>
      <c r="D58" s="263" t="s">
        <v>2659</v>
      </c>
      <c r="E58" s="263" t="s">
        <v>20</v>
      </c>
      <c r="F58" s="263">
        <v>4</v>
      </c>
      <c r="G58" s="264" t="str">
        <f>'Dry_Litterbag Placem_Collection'!C59</f>
        <v>Dry_P4_T1</v>
      </c>
      <c r="H58" s="265" t="s">
        <v>2541</v>
      </c>
      <c r="I58" s="266" t="s">
        <v>1147</v>
      </c>
      <c r="J58" s="223" t="str">
        <f>'WetLitterbags placem_collection'!K59</f>
        <v>G546</v>
      </c>
      <c r="K58" s="225">
        <f>IFERROR(INDEX('Green_rooibos initial weight'!$C$5:$C$1749,MATCH(J58, 'Green_rooibos initial weight'!$A$5:$A$1749,0)),"")</f>
        <v>2.1429999999999998</v>
      </c>
      <c r="L58" s="225">
        <f>IFERROR(K58-(TBIcalc!$H$9+TBIcalc!$H$10),"")</f>
        <v>1.8931999999999998</v>
      </c>
      <c r="M58" s="391">
        <f>AVERAGE(Ashed_controlls!$K$2:$K$11)</f>
        <v>5.5147656768714146</v>
      </c>
      <c r="N58" s="225">
        <f t="shared" si="1"/>
        <v>1.7887944562054701</v>
      </c>
      <c r="O58" s="225">
        <f>IF(IFERROR(INDEX('Both teabags AfterWet'!$C$3:$C$841,MATCH(J58,'Both teabags AfterWet'!$A$3:$A$841,0)),"")="","",(IFERROR(INDEX('Both teabags AfterWet'!$C$3:$C$841,MATCH(J58,'Both teabags AfterWet'!$A$3:$A$841,0)),"")))</f>
        <v>0.88660000000000005</v>
      </c>
      <c r="P58" s="225">
        <f>IFERROR(IF(O58&gt;0,O58-(TBIcalc!$H$9),""),"")</f>
        <v>0.73599999999999999</v>
      </c>
      <c r="Q58" s="225">
        <f>IFERROR(INDEX('Ashed teabags wet'!$K$2:$K$821,MATCH(J58,'Ashed teabags wet'!$A$2:$A$821,0)),"")</f>
        <v>16.553398058252881</v>
      </c>
      <c r="R58" s="225">
        <f t="shared" si="6"/>
        <v>0.61416699029125876</v>
      </c>
      <c r="S58" s="226">
        <f>'WetLitterbags placem_collection'!E59</f>
        <v>42766</v>
      </c>
      <c r="T58" s="226">
        <f>IF('WetLitterbags placem_collection'!G59="","",'WetLitterbags placem_collection'!G59)</f>
        <v>42820</v>
      </c>
      <c r="U58" s="227">
        <f t="shared" si="3"/>
        <v>54</v>
      </c>
      <c r="V58" s="225">
        <f t="shared" si="4"/>
        <v>1.1571999999999998</v>
      </c>
      <c r="W58" s="225">
        <f t="shared" si="5"/>
        <v>1.1746274659142113</v>
      </c>
      <c r="X58">
        <f>IFERROR(INDEX(Rainfall_Wet!$O$2:$O$217,MATCH(B58, Rainfall_Wet!$A$2:$A$217,0)),"")</f>
        <v>214.262898705</v>
      </c>
      <c r="Y58" s="231">
        <v>25.96</v>
      </c>
      <c r="Z58" s="231">
        <v>6.9200000000000008</v>
      </c>
      <c r="AA58" s="231">
        <v>67.12</v>
      </c>
      <c r="AB58" s="232" t="s">
        <v>2670</v>
      </c>
      <c r="AC58" s="231">
        <v>1.7568260226712666</v>
      </c>
      <c r="AD58">
        <f>IF('WetLitterbags placem_collection'!AB59="","",'WetLitterbags placem_collection'!AB59)</f>
        <v>3.3</v>
      </c>
      <c r="AE58">
        <f>IF('WetLitterbags placem_collection'!Z59="","",'WetLitterbags placem_collection'!Z59)</f>
        <v>28.4</v>
      </c>
      <c r="AF58" s="246" t="str">
        <f>IF('WetLitterbags placem_collection'!AA59="","",'WetLitterbags placem_collection'!AA59)</f>
        <v>O</v>
      </c>
      <c r="AG58">
        <f>IF('WetLitterbags placem_collection'!AC59="","",'WetLitterbags placem_collection'!AC59)</f>
        <v>1</v>
      </c>
      <c r="AH58" s="240">
        <f>AVERAGE('WetLitterbags placem_collection'!S59,'WetLitterbags placem_collection'!U59)</f>
        <v>31.6</v>
      </c>
      <c r="AI58">
        <f>AVERAGE('WetLitterbags placem_collection'!R59,'WetLitterbags placem_collection'!T59)</f>
        <v>26.9</v>
      </c>
      <c r="AJ58">
        <f>INDEX(Coordinates!$B$2:$B$197,MATCH(G58,Coordinates!$J$2:$J$197,0))</f>
        <v>-3.4064239729999999</v>
      </c>
      <c r="AK58">
        <f>INDEX(Coordinates!$C$2:$C$197,MATCH(G58,Coordinates!$J$2:$J$197,0))</f>
        <v>34.851213010000002</v>
      </c>
      <c r="AL58" t="str">
        <f>IF(ISNUMBER(SEARCH("C", 'WetLitterbags placem_collection'!V59)),"YES","NO")</f>
        <v>NO</v>
      </c>
      <c r="AM58" t="str">
        <f>IF(ISNUMBER(SEARCH("H", 'WetLitterbags placem_collection'!V59)),"YES","NO")</f>
        <v>NO</v>
      </c>
      <c r="AN58" t="str">
        <f>IF(ISNUMBER(SEARCH("R", 'WetLitterbags placem_collection'!V59)),"YES","NO")</f>
        <v>YES</v>
      </c>
    </row>
    <row r="59" spans="1:40">
      <c r="A59" s="258" t="s">
        <v>2460</v>
      </c>
      <c r="B59" s="263">
        <f>'Dry_Litterbag Placem_Collection'!A60</f>
        <v>58</v>
      </c>
      <c r="C59" s="263" t="str">
        <f>'Dry_Litterbag Placem_Collection'!B60</f>
        <v>Makao</v>
      </c>
      <c r="D59" s="263" t="s">
        <v>2659</v>
      </c>
      <c r="E59" s="263" t="s">
        <v>20</v>
      </c>
      <c r="F59" s="263">
        <v>4</v>
      </c>
      <c r="G59" s="264" t="str">
        <f>'Dry_Litterbag Placem_Collection'!C60</f>
        <v>Dry_P4_T2</v>
      </c>
      <c r="H59" s="265" t="s">
        <v>2541</v>
      </c>
      <c r="I59" s="266" t="s">
        <v>1147</v>
      </c>
      <c r="J59" s="223" t="str">
        <f>'WetLitterbags placem_collection'!K60</f>
        <v>G513</v>
      </c>
      <c r="K59" s="225">
        <f>IFERROR(INDEX('Green_rooibos initial weight'!$C$5:$C$1749,MATCH(J59, 'Green_rooibos initial weight'!$A$5:$A$1749,0)),"")</f>
        <v>2.0179999999999998</v>
      </c>
      <c r="L59" s="225">
        <f>IFERROR(K59-(TBIcalc!$H$9+TBIcalc!$H$10),"")</f>
        <v>1.7681999999999998</v>
      </c>
      <c r="M59" s="391">
        <f>AVERAGE(Ashed_controlls!$K$2:$K$11)</f>
        <v>5.5147656768714146</v>
      </c>
      <c r="N59" s="225">
        <f t="shared" si="1"/>
        <v>1.6706879133015595</v>
      </c>
      <c r="O59" s="225">
        <f>IF(IFERROR(INDEX('Both teabags AfterWet'!$C$3:$C$841,MATCH(J59,'Both teabags AfterWet'!$A$3:$A$841,0)),"")="","",(IFERROR(INDEX('Both teabags AfterWet'!$C$3:$C$841,MATCH(J59,'Both teabags AfterWet'!$A$3:$A$841,0)),"")))</f>
        <v>0.93279999999999996</v>
      </c>
      <c r="P59" s="225">
        <f>IFERROR(IF(O59&gt;0,O59-(TBIcalc!$H$9),""),"")</f>
        <v>0.78220000000000001</v>
      </c>
      <c r="Q59" s="225">
        <f>IFERROR(INDEX('Ashed teabags wet'!$K$2:$K$821,MATCH(J59,'Ashed teabags wet'!$A$2:$A$821,0)),"")</f>
        <v>17.757936507936094</v>
      </c>
      <c r="R59" s="225">
        <f t="shared" si="6"/>
        <v>0.6432974206349239</v>
      </c>
      <c r="S59" s="226">
        <f>'WetLitterbags placem_collection'!E60</f>
        <v>42766</v>
      </c>
      <c r="T59" s="226">
        <f>IF('WetLitterbags placem_collection'!G60="","",'WetLitterbags placem_collection'!G60)</f>
        <v>42820</v>
      </c>
      <c r="U59" s="227">
        <f t="shared" si="3"/>
        <v>54</v>
      </c>
      <c r="V59" s="225">
        <f t="shared" si="4"/>
        <v>0.98599999999999977</v>
      </c>
      <c r="W59" s="225">
        <f t="shared" si="5"/>
        <v>1.0273904926666355</v>
      </c>
      <c r="X59">
        <f>IFERROR(INDEX(Rainfall_Wet!$O$2:$O$217,MATCH(B59, Rainfall_Wet!$A$2:$A$217,0)),"")</f>
        <v>214.262898705</v>
      </c>
      <c r="Y59" s="231">
        <v>25.96</v>
      </c>
      <c r="Z59" s="231">
        <v>6.9200000000000008</v>
      </c>
      <c r="AA59" s="231">
        <v>67.12</v>
      </c>
      <c r="AB59" s="232" t="s">
        <v>2670</v>
      </c>
      <c r="AC59" s="231">
        <v>1.7568260226712666</v>
      </c>
      <c r="AD59">
        <f>IF('WetLitterbags placem_collection'!AB60="","",'WetLitterbags placem_collection'!AB60)</f>
        <v>1.4</v>
      </c>
      <c r="AE59">
        <f>IF('WetLitterbags placem_collection'!Z60="","",'WetLitterbags placem_collection'!Z60)</f>
        <v>54.4</v>
      </c>
      <c r="AF59" s="246" t="str">
        <f>IF('WetLitterbags placem_collection'!AA60="","",'WetLitterbags placem_collection'!AA60)</f>
        <v>O</v>
      </c>
      <c r="AG59">
        <f>IF('WetLitterbags placem_collection'!AC60="","",'WetLitterbags placem_collection'!AC60)</f>
        <v>0</v>
      </c>
      <c r="AH59" s="240">
        <f>AVERAGE('WetLitterbags placem_collection'!S60,'WetLitterbags placem_collection'!U60)</f>
        <v>31.6</v>
      </c>
      <c r="AI59">
        <f>AVERAGE('WetLitterbags placem_collection'!R60,'WetLitterbags placem_collection'!T60)</f>
        <v>26.700000000000003</v>
      </c>
      <c r="AJ59">
        <f>INDEX(Coordinates!$B$2:$B$197,MATCH(G59,Coordinates!$J$2:$J$197,0))</f>
        <v>-3.4065020079999999</v>
      </c>
      <c r="AK59">
        <f>INDEX(Coordinates!$C$2:$C$197,MATCH(G59,Coordinates!$J$2:$J$197,0))</f>
        <v>34.851056020000001</v>
      </c>
      <c r="AL59" t="str">
        <f>IF(ISNUMBER(SEARCH("C", 'WetLitterbags placem_collection'!V60)),"YES","NO")</f>
        <v>NO</v>
      </c>
      <c r="AM59" t="str">
        <f>IF(ISNUMBER(SEARCH("H", 'WetLitterbags placem_collection'!V60)),"YES","NO")</f>
        <v>YES</v>
      </c>
      <c r="AN59" t="str">
        <f>IF(ISNUMBER(SEARCH("R", 'WetLitterbags placem_collection'!V60)),"YES","NO")</f>
        <v>YES</v>
      </c>
    </row>
    <row r="60" spans="1:40">
      <c r="A60" s="258" t="s">
        <v>2460</v>
      </c>
      <c r="B60" s="263">
        <f>'Dry_Litterbag Placem_Collection'!A61</f>
        <v>59</v>
      </c>
      <c r="C60" s="263" t="str">
        <f>'Dry_Litterbag Placem_Collection'!B61</f>
        <v>Makao</v>
      </c>
      <c r="D60" s="263" t="s">
        <v>2659</v>
      </c>
      <c r="E60" s="263" t="s">
        <v>20</v>
      </c>
      <c r="F60" s="263">
        <v>4</v>
      </c>
      <c r="G60" s="264" t="str">
        <f>'Dry_Litterbag Placem_Collection'!C61</f>
        <v>Dry_P4_T3</v>
      </c>
      <c r="H60" s="265" t="s">
        <v>2541</v>
      </c>
      <c r="I60" s="266" t="s">
        <v>1147</v>
      </c>
      <c r="J60" s="223" t="str">
        <f>'WetLitterbags placem_collection'!K61</f>
        <v>G489</v>
      </c>
      <c r="K60" s="225">
        <f>IFERROR(INDEX('Green_rooibos initial weight'!$C$5:$C$1749,MATCH(J60, 'Green_rooibos initial weight'!$A$5:$A$1749,0)),"")</f>
        <v>1.9</v>
      </c>
      <c r="L60" s="225">
        <f>IFERROR(K60-(TBIcalc!$H$9+TBIcalc!$H$10),"")</f>
        <v>1.6501999999999999</v>
      </c>
      <c r="M60" s="391">
        <f>AVERAGE(Ashed_controlls!$K$2:$K$11)</f>
        <v>5.5147656768714146</v>
      </c>
      <c r="N60" s="225">
        <f t="shared" si="1"/>
        <v>1.5591953368002678</v>
      </c>
      <c r="O60" s="225">
        <f>IF(IFERROR(INDEX('Both teabags AfterWet'!$C$3:$C$841,MATCH(J60,'Both teabags AfterWet'!$A$3:$A$841,0)),"")="","",(IFERROR(INDEX('Both teabags AfterWet'!$C$3:$C$841,MATCH(J60,'Both teabags AfterWet'!$A$3:$A$841,0)),"")))</f>
        <v>0.88400000000000001</v>
      </c>
      <c r="P60" s="225">
        <f>IFERROR(IF(O60&gt;0,O60-(TBIcalc!$H$9),""),"")</f>
        <v>0.73340000000000005</v>
      </c>
      <c r="Q60" s="225">
        <f>IFERROR(INDEX('Ashed teabags wet'!$K$2:$K$821,MATCH(J60,'Ashed teabags wet'!$A$2:$A$821,0)),"")</f>
        <v>11.144278606964582</v>
      </c>
      <c r="R60" s="225">
        <f t="shared" si="6"/>
        <v>0.65166786069652183</v>
      </c>
      <c r="S60" s="226">
        <f>'WetLitterbags placem_collection'!E61</f>
        <v>42766</v>
      </c>
      <c r="T60" s="226">
        <f>IF('WetLitterbags placem_collection'!G61="","",'WetLitterbags placem_collection'!G61)</f>
        <v>42820</v>
      </c>
      <c r="U60" s="227">
        <f t="shared" si="3"/>
        <v>54</v>
      </c>
      <c r="V60" s="225">
        <f t="shared" si="4"/>
        <v>0.91679999999999984</v>
      </c>
      <c r="W60" s="225">
        <f t="shared" si="5"/>
        <v>0.90752747610374596</v>
      </c>
      <c r="X60">
        <f>IFERROR(INDEX(Rainfall_Wet!$O$2:$O$217,MATCH(B60, Rainfall_Wet!$A$2:$A$217,0)),"")</f>
        <v>214.262898705</v>
      </c>
      <c r="Y60" s="231">
        <v>25.96</v>
      </c>
      <c r="Z60" s="231">
        <v>6.9200000000000008</v>
      </c>
      <c r="AA60" s="231">
        <v>67.12</v>
      </c>
      <c r="AB60" s="232" t="s">
        <v>2670</v>
      </c>
      <c r="AC60" s="231">
        <v>1.7568260226712666</v>
      </c>
      <c r="AD60">
        <f>IF('WetLitterbags placem_collection'!AB61="","",'WetLitterbags placem_collection'!AB61)</f>
        <v>3.3</v>
      </c>
      <c r="AE60">
        <f>IF('WetLitterbags placem_collection'!Z61="","",'WetLitterbags placem_collection'!Z61)</f>
        <v>46</v>
      </c>
      <c r="AF60" s="246" t="str">
        <f>IF('WetLitterbags placem_collection'!AA61="","",'WetLitterbags placem_collection'!AA61)</f>
        <v>O</v>
      </c>
      <c r="AG60">
        <f>IF('WetLitterbags placem_collection'!AC61="","",'WetLitterbags placem_collection'!AC61)</f>
        <v>0</v>
      </c>
      <c r="AH60" s="240">
        <f>AVERAGE('WetLitterbags placem_collection'!S61,'WetLitterbags placem_collection'!U61)</f>
        <v>27.9</v>
      </c>
      <c r="AI60">
        <f>AVERAGE('WetLitterbags placem_collection'!R61,'WetLitterbags placem_collection'!T61)</f>
        <v>27.049999999999997</v>
      </c>
      <c r="AJ60">
        <f>INDEX(Coordinates!$B$2:$B$197,MATCH(G60,Coordinates!$J$2:$J$197,0))</f>
        <v>-3.4062359670000002</v>
      </c>
      <c r="AK60">
        <f>INDEX(Coordinates!$C$2:$C$197,MATCH(G60,Coordinates!$J$2:$J$197,0))</f>
        <v>34.851107990000003</v>
      </c>
      <c r="AL60" t="str">
        <f>IF(ISNUMBER(SEARCH("C", 'WetLitterbags placem_collection'!V61)),"YES","NO")</f>
        <v>NO</v>
      </c>
      <c r="AM60" t="str">
        <f>IF(ISNUMBER(SEARCH("H", 'WetLitterbags placem_collection'!V61)),"YES","NO")</f>
        <v>NO</v>
      </c>
      <c r="AN60" t="str">
        <f>IF(ISNUMBER(SEARCH("R", 'WetLitterbags placem_collection'!V61)),"YES","NO")</f>
        <v>NO</v>
      </c>
    </row>
    <row r="61" spans="1:40">
      <c r="A61" s="258" t="s">
        <v>2460</v>
      </c>
      <c r="B61" s="263">
        <f>'Dry_Litterbag Placem_Collection'!A62</f>
        <v>60</v>
      </c>
      <c r="C61" s="263" t="str">
        <f>'Dry_Litterbag Placem_Collection'!B62</f>
        <v>Makao</v>
      </c>
      <c r="D61" s="263" t="s">
        <v>2659</v>
      </c>
      <c r="E61" s="263" t="s">
        <v>20</v>
      </c>
      <c r="F61" s="263">
        <v>4</v>
      </c>
      <c r="G61" s="264" t="str">
        <f>'Dry_Litterbag Placem_Collection'!C62</f>
        <v>Dry_P4_T4</v>
      </c>
      <c r="H61" s="265" t="s">
        <v>2541</v>
      </c>
      <c r="I61" s="266" t="s">
        <v>1147</v>
      </c>
      <c r="J61" s="223" t="str">
        <f>'WetLitterbags placem_collection'!K62</f>
        <v>G633</v>
      </c>
      <c r="K61" s="225">
        <f>IFERROR(INDEX('Green_rooibos initial weight'!$C$5:$C$1749,MATCH(J61, 'Green_rooibos initial weight'!$A$5:$A$1749,0)),"")</f>
        <v>2.0630000000000002</v>
      </c>
      <c r="L61" s="225">
        <f>IFERROR(K61-(TBIcalc!$H$9+TBIcalc!$H$10),"")</f>
        <v>1.8132000000000001</v>
      </c>
      <c r="M61" s="391">
        <f>AVERAGE(Ashed_controlls!$K$2:$K$11)</f>
        <v>5.5147656768714146</v>
      </c>
      <c r="N61" s="225">
        <f t="shared" si="1"/>
        <v>1.7132062687469676</v>
      </c>
      <c r="O61" s="225">
        <f>IF(IFERROR(INDEX('Both teabags AfterWet'!$C$3:$C$841,MATCH(J61,'Both teabags AfterWet'!$A$3:$A$841,0)),"")="","",(IFERROR(INDEX('Both teabags AfterWet'!$C$3:$C$841,MATCH(J61,'Both teabags AfterWet'!$A$3:$A$841,0)),"")))</f>
        <v>0.874</v>
      </c>
      <c r="P61" s="225">
        <f>IFERROR(IF(O61&gt;0,O61-(TBIcalc!$H$9),""),"")</f>
        <v>0.72340000000000004</v>
      </c>
      <c r="Q61" s="225">
        <f>IFERROR(INDEX('Ashed teabags wet'!$K$2:$K$821,MATCH(J61,'Ashed teabags wet'!$A$2:$A$821,0)),"")</f>
        <v>12.827988338192315</v>
      </c>
      <c r="R61" s="225">
        <f t="shared" si="6"/>
        <v>0.63060233236151686</v>
      </c>
      <c r="S61" s="226">
        <f>'WetLitterbags placem_collection'!E62</f>
        <v>42766</v>
      </c>
      <c r="T61" s="226">
        <f>IF('WetLitterbags placem_collection'!G62="","",'WetLitterbags placem_collection'!G62)</f>
        <v>42820</v>
      </c>
      <c r="U61" s="227">
        <f t="shared" si="3"/>
        <v>54</v>
      </c>
      <c r="V61" s="225">
        <f t="shared" si="4"/>
        <v>1.0898000000000001</v>
      </c>
      <c r="W61" s="225">
        <f t="shared" si="5"/>
        <v>1.0826039363854507</v>
      </c>
      <c r="X61">
        <f>IFERROR(INDEX(Rainfall_Wet!$O$2:$O$217,MATCH(B61, Rainfall_Wet!$A$2:$A$217,0)),"")</f>
        <v>214.262898705</v>
      </c>
      <c r="Y61" s="231">
        <v>25.96</v>
      </c>
      <c r="Z61" s="231">
        <v>6.9200000000000008</v>
      </c>
      <c r="AA61" s="231">
        <v>67.12</v>
      </c>
      <c r="AB61" s="232" t="s">
        <v>2670</v>
      </c>
      <c r="AC61" s="231">
        <v>1.7568260226712666</v>
      </c>
      <c r="AD61">
        <f>IF('WetLitterbags placem_collection'!AB62="","",'WetLitterbags placem_collection'!AB62)</f>
        <v>2.4</v>
      </c>
      <c r="AE61">
        <f>IF('WetLitterbags placem_collection'!Z62="","",'WetLitterbags placem_collection'!Z62)</f>
        <v>10.199999999999999</v>
      </c>
      <c r="AF61" s="246" t="str">
        <f>IF('WetLitterbags placem_collection'!AA62="","",'WetLitterbags placem_collection'!AA62)</f>
        <v>O</v>
      </c>
      <c r="AG61">
        <f>IF('WetLitterbags placem_collection'!AC62="","",'WetLitterbags placem_collection'!AC62)</f>
        <v>0</v>
      </c>
      <c r="AH61" s="240">
        <f>AVERAGE('WetLitterbags placem_collection'!S62,'WetLitterbags placem_collection'!U62)</f>
        <v>22.5</v>
      </c>
      <c r="AI61">
        <f>AVERAGE('WetLitterbags placem_collection'!R62,'WetLitterbags placem_collection'!T62)</f>
        <v>28.6</v>
      </c>
      <c r="AJ61">
        <f>INDEX(Coordinates!$B$2:$B$197,MATCH(G61,Coordinates!$J$2:$J$197,0))</f>
        <v>-3.406281983</v>
      </c>
      <c r="AK61">
        <f>INDEX(Coordinates!$C$2:$C$197,MATCH(G61,Coordinates!$J$2:$J$197,0))</f>
        <v>34.85137898</v>
      </c>
      <c r="AL61" t="str">
        <f>IF(ISNUMBER(SEARCH("C", 'WetLitterbags placem_collection'!V62)),"YES","NO")</f>
        <v>NO</v>
      </c>
      <c r="AM61" t="str">
        <f>IF(ISNUMBER(SEARCH("H", 'WetLitterbags placem_collection'!V62)),"YES","NO")</f>
        <v>NO</v>
      </c>
      <c r="AN61" t="str">
        <f>IF(ISNUMBER(SEARCH("R", 'WetLitterbags placem_collection'!V62)),"YES","NO")</f>
        <v>YES</v>
      </c>
    </row>
    <row r="62" spans="1:40">
      <c r="A62" s="258" t="s">
        <v>2460</v>
      </c>
      <c r="B62" s="263">
        <f>'Dry_Litterbag Placem_Collection'!A63</f>
        <v>61</v>
      </c>
      <c r="C62" s="263" t="str">
        <f>'Dry_Litterbag Placem_Collection'!B63</f>
        <v>Makao</v>
      </c>
      <c r="D62" s="263" t="s">
        <v>2659</v>
      </c>
      <c r="E62" s="263" t="s">
        <v>20</v>
      </c>
      <c r="F62" s="263">
        <v>4</v>
      </c>
      <c r="G62" s="264" t="str">
        <f>'Dry_Litterbag Placem_Collection'!C63</f>
        <v>Dry_P4_T5</v>
      </c>
      <c r="H62" s="265" t="s">
        <v>2541</v>
      </c>
      <c r="I62" s="266" t="s">
        <v>1147</v>
      </c>
      <c r="J62" s="223" t="str">
        <f>'WetLitterbags placem_collection'!K63</f>
        <v>G541</v>
      </c>
      <c r="K62" s="225">
        <f>IFERROR(INDEX('Green_rooibos initial weight'!$C$5:$C$1749,MATCH(J62, 'Green_rooibos initial weight'!$A$5:$A$1749,0)),"")</f>
        <v>1.978</v>
      </c>
      <c r="L62" s="225">
        <f>IFERROR(K62-(TBIcalc!$H$9+TBIcalc!$H$10),"")</f>
        <v>1.7282</v>
      </c>
      <c r="M62" s="391">
        <f>AVERAGE(Ashed_controlls!$K$2:$K$11)</f>
        <v>5.5147656768714146</v>
      </c>
      <c r="N62" s="225">
        <f t="shared" si="1"/>
        <v>1.6328938195723082</v>
      </c>
      <c r="O62" s="225">
        <f>IF(IFERROR(INDEX('Both teabags AfterWet'!$C$3:$C$841,MATCH(J62,'Both teabags AfterWet'!$A$3:$A$841,0)),"")="","",(IFERROR(INDEX('Both teabags AfterWet'!$C$3:$C$841,MATCH(J62,'Both teabags AfterWet'!$A$3:$A$841,0)),"")))</f>
        <v>0.78600000000000003</v>
      </c>
      <c r="P62" s="225">
        <f>IFERROR(IF(O62&gt;0,O62-(TBIcalc!$H$9),""),"")</f>
        <v>0.63539999999999996</v>
      </c>
      <c r="Q62" s="225">
        <f>IFERROR(INDEX('Ashed teabags wet'!$K$2:$K$821,MATCH(J62,'Ashed teabags wet'!$A$2:$A$821,0)),"")</f>
        <v>12.728194726166139</v>
      </c>
      <c r="R62" s="225">
        <f t="shared" si="6"/>
        <v>0.55452505070994029</v>
      </c>
      <c r="S62" s="226">
        <f>'WetLitterbags placem_collection'!E63</f>
        <v>42766</v>
      </c>
      <c r="T62" s="226">
        <f>IF('WetLitterbags placem_collection'!G63="","",'WetLitterbags placem_collection'!G63)</f>
        <v>42820</v>
      </c>
      <c r="U62" s="227">
        <f t="shared" si="3"/>
        <v>54</v>
      </c>
      <c r="V62" s="225">
        <f t="shared" si="4"/>
        <v>1.0928</v>
      </c>
      <c r="W62" s="225">
        <f t="shared" si="5"/>
        <v>1.0783687688623678</v>
      </c>
      <c r="X62">
        <f>IFERROR(INDEX(Rainfall_Wet!$O$2:$O$217,MATCH(B62, Rainfall_Wet!$A$2:$A$217,0)),"")</f>
        <v>214.262898705</v>
      </c>
      <c r="Y62" s="231">
        <v>25.96</v>
      </c>
      <c r="Z62" s="231">
        <v>6.9200000000000008</v>
      </c>
      <c r="AA62" s="231">
        <v>67.12</v>
      </c>
      <c r="AB62" s="232" t="s">
        <v>2670</v>
      </c>
      <c r="AC62" s="231">
        <v>1.7568260226712666</v>
      </c>
      <c r="AD62">
        <f>IF('WetLitterbags placem_collection'!AB63="","",'WetLitterbags placem_collection'!AB63)</f>
        <v>5.6</v>
      </c>
      <c r="AE62">
        <f>IF('WetLitterbags placem_collection'!Z63="","",'WetLitterbags placem_collection'!Z63)</f>
        <v>34.200000000000003</v>
      </c>
      <c r="AF62" s="246" t="str">
        <f>IF('WetLitterbags placem_collection'!AA63="","",'WetLitterbags placem_collection'!AA63)</f>
        <v>O</v>
      </c>
      <c r="AG62">
        <f>IF('WetLitterbags placem_collection'!AC63="","",'WetLitterbags placem_collection'!AC63)</f>
        <v>0</v>
      </c>
      <c r="AH62" s="240">
        <f>AVERAGE('WetLitterbags placem_collection'!S63,'WetLitterbags placem_collection'!U63)</f>
        <v>20.399999999999999</v>
      </c>
      <c r="AI62">
        <f>AVERAGE('WetLitterbags placem_collection'!R63,'WetLitterbags placem_collection'!T63)</f>
        <v>27.450000000000003</v>
      </c>
      <c r="AJ62">
        <f>INDEX(Coordinates!$B$2:$B$197,MATCH(G62,Coordinates!$J$2:$J$197,0))</f>
        <v>-3.406569986</v>
      </c>
      <c r="AK62">
        <f>INDEX(Coordinates!$C$2:$C$197,MATCH(G62,Coordinates!$J$2:$J$197,0))</f>
        <v>34.851323989999997</v>
      </c>
      <c r="AL62" t="str">
        <f>IF(ISNUMBER(SEARCH("C", 'WetLitterbags placem_collection'!V63)),"YES","NO")</f>
        <v>YES</v>
      </c>
      <c r="AM62" t="str">
        <f>IF(ISNUMBER(SEARCH("H", 'WetLitterbags placem_collection'!V63)),"YES","NO")</f>
        <v>YES</v>
      </c>
      <c r="AN62" t="str">
        <f>IF(ISNUMBER(SEARCH("R", 'WetLitterbags placem_collection'!V63)),"YES","NO")</f>
        <v>NO</v>
      </c>
    </row>
    <row r="63" spans="1:40">
      <c r="A63" s="258" t="s">
        <v>2460</v>
      </c>
      <c r="B63" s="263">
        <f>'Dry_Litterbag Placem_Collection'!A64</f>
        <v>62</v>
      </c>
      <c r="C63" s="263" t="str">
        <f>'Dry_Litterbag Placem_Collection'!B64</f>
        <v>Makao</v>
      </c>
      <c r="D63" s="263" t="s">
        <v>2659</v>
      </c>
      <c r="E63" s="263" t="s">
        <v>20</v>
      </c>
      <c r="F63" s="263">
        <v>4</v>
      </c>
      <c r="G63" s="264" t="str">
        <f>'Dry_Litterbag Placem_Collection'!C64</f>
        <v>Dry_P4_T6</v>
      </c>
      <c r="H63" s="265" t="s">
        <v>2541</v>
      </c>
      <c r="I63" s="266" t="s">
        <v>1147</v>
      </c>
      <c r="J63" s="223" t="str">
        <f>'WetLitterbags placem_collection'!K64</f>
        <v>G565</v>
      </c>
      <c r="K63" s="225">
        <f>IFERROR(INDEX('Green_rooibos initial weight'!$C$5:$C$1749,MATCH(J63, 'Green_rooibos initial weight'!$A$5:$A$1749,0)),"")</f>
        <v>2.109</v>
      </c>
      <c r="L63" s="225">
        <f>IFERROR(K63-(TBIcalc!$H$9+TBIcalc!$H$10),"")</f>
        <v>1.8592</v>
      </c>
      <c r="M63" s="391">
        <f>AVERAGE(Ashed_controlls!$K$2:$K$11)</f>
        <v>5.5147656768714146</v>
      </c>
      <c r="N63" s="225">
        <f t="shared" si="1"/>
        <v>1.7566694765356066</v>
      </c>
      <c r="O63" s="225">
        <f>IF(IFERROR(INDEX('Both teabags AfterWet'!$C$3:$C$841,MATCH(J63,'Both teabags AfterWet'!$A$3:$A$841,0)),"")="","",(IFERROR(INDEX('Both teabags AfterWet'!$C$3:$C$841,MATCH(J63,'Both teabags AfterWet'!$A$3:$A$841,0)),"")))</f>
        <v>0.9224</v>
      </c>
      <c r="P63" s="225">
        <f>IFERROR(IF(O63&gt;0,O63-(TBIcalc!$H$9),""),"")</f>
        <v>0.77180000000000004</v>
      </c>
      <c r="Q63" s="225">
        <f>IFERROR(INDEX('Ashed teabags wet'!$K$2:$K$821,MATCH(J63,'Ashed teabags wet'!$A$2:$A$821,0)),"")</f>
        <v>20.729927007299029</v>
      </c>
      <c r="R63" s="225">
        <f t="shared" si="6"/>
        <v>0.61180642335766611</v>
      </c>
      <c r="S63" s="226">
        <f>'WetLitterbags placem_collection'!E64</f>
        <v>42766</v>
      </c>
      <c r="T63" s="226">
        <f>IF('WetLitterbags placem_collection'!G64="","",'WetLitterbags placem_collection'!G64)</f>
        <v>42820</v>
      </c>
      <c r="U63" s="227">
        <f t="shared" si="3"/>
        <v>54</v>
      </c>
      <c r="V63" s="225">
        <f t="shared" si="4"/>
        <v>1.0873999999999999</v>
      </c>
      <c r="W63" s="225">
        <f t="shared" si="5"/>
        <v>1.1448630531779405</v>
      </c>
      <c r="X63">
        <f>IFERROR(INDEX(Rainfall_Wet!$O$2:$O$217,MATCH(B63, Rainfall_Wet!$A$2:$A$217,0)),"")</f>
        <v>214.262898705</v>
      </c>
      <c r="Y63" s="231">
        <v>25.96</v>
      </c>
      <c r="Z63" s="231">
        <v>6.9200000000000008</v>
      </c>
      <c r="AA63" s="231">
        <v>67.12</v>
      </c>
      <c r="AB63" s="232" t="s">
        <v>2670</v>
      </c>
      <c r="AC63" s="231">
        <v>1.7568260226712666</v>
      </c>
      <c r="AD63">
        <f>IF('WetLitterbags placem_collection'!AB64="","",'WetLitterbags placem_collection'!AB64)</f>
        <v>4.2</v>
      </c>
      <c r="AE63">
        <f>IF('WetLitterbags placem_collection'!Z64="","",'WetLitterbags placem_collection'!Z64)</f>
        <v>40.4</v>
      </c>
      <c r="AF63" s="246" t="str">
        <f>IF('WetLitterbags placem_collection'!AA64="","",'WetLitterbags placem_collection'!AA64)</f>
        <v>O</v>
      </c>
      <c r="AG63">
        <f>IF('WetLitterbags placem_collection'!AC64="","",'WetLitterbags placem_collection'!AC64)</f>
        <v>0</v>
      </c>
      <c r="AH63" s="240">
        <f>AVERAGE('WetLitterbags placem_collection'!S64,'WetLitterbags placem_collection'!U64)</f>
        <v>24.7</v>
      </c>
      <c r="AI63">
        <f>AVERAGE('WetLitterbags placem_collection'!R64,'WetLitterbags placem_collection'!T64)</f>
        <v>26.799999999999997</v>
      </c>
      <c r="AJ63">
        <f>INDEX(Coordinates!$B$2:$B$197,MATCH(G63,Coordinates!$J$2:$J$197,0))</f>
        <v>-3.4065180179999999</v>
      </c>
      <c r="AK63">
        <f>INDEX(Coordinates!$C$2:$C$197,MATCH(G63,Coordinates!$J$2:$J$197,0))</f>
        <v>34.85121402</v>
      </c>
      <c r="AL63" t="str">
        <f>IF(ISNUMBER(SEARCH("C", 'WetLitterbags placem_collection'!V64)),"YES","NO")</f>
        <v>NO</v>
      </c>
      <c r="AM63" t="str">
        <f>IF(ISNUMBER(SEARCH("H", 'WetLitterbags placem_collection'!V64)),"YES","NO")</f>
        <v>YES</v>
      </c>
      <c r="AN63" t="str">
        <f>IF(ISNUMBER(SEARCH("R", 'WetLitterbags placem_collection'!V64)),"YES","NO")</f>
        <v>NO</v>
      </c>
    </row>
    <row r="64" spans="1:40">
      <c r="A64" s="258" t="s">
        <v>2460</v>
      </c>
      <c r="B64" s="263">
        <f>'Dry_Litterbag Placem_Collection'!A65</f>
        <v>63</v>
      </c>
      <c r="C64" s="263" t="str">
        <f>'Dry_Litterbag Placem_Collection'!B65</f>
        <v>Makao</v>
      </c>
      <c r="D64" s="263" t="s">
        <v>2659</v>
      </c>
      <c r="E64" s="263" t="s">
        <v>20</v>
      </c>
      <c r="F64" s="263">
        <v>4</v>
      </c>
      <c r="G64" s="264" t="str">
        <f>'Dry_Litterbag Placem_Collection'!C65</f>
        <v>Dry_P4_T7</v>
      </c>
      <c r="H64" s="265" t="s">
        <v>2541</v>
      </c>
      <c r="I64" s="266" t="s">
        <v>1147</v>
      </c>
      <c r="J64" s="223" t="str">
        <f>'WetLitterbags placem_collection'!K65</f>
        <v>G387</v>
      </c>
      <c r="K64" s="225">
        <f>IFERROR(INDEX('Green_rooibos initial weight'!$C$5:$C$1749,MATCH(J64, 'Green_rooibos initial weight'!$A$5:$A$1749,0)),"")</f>
        <v>2.0139999999999998</v>
      </c>
      <c r="L64" s="225">
        <f>IFERROR(K64-(TBIcalc!$H$9+TBIcalc!$H$10),"")</f>
        <v>1.7641999999999998</v>
      </c>
      <c r="M64" s="391">
        <f>AVERAGE(Ashed_controlls!$K$2:$K$11)</f>
        <v>5.5147656768714146</v>
      </c>
      <c r="N64" s="225">
        <f t="shared" si="1"/>
        <v>1.6669085039286342</v>
      </c>
      <c r="O64" s="225">
        <f>IF(IFERROR(INDEX('Both teabags AfterWet'!$C$3:$C$841,MATCH(J64,'Both teabags AfterWet'!$A$3:$A$841,0)),"")="","",(IFERROR(INDEX('Both teabags AfterWet'!$C$3:$C$841,MATCH(J64,'Both teabags AfterWet'!$A$3:$A$841,0)),"")))</f>
        <v>1.083</v>
      </c>
      <c r="P64" s="225">
        <f>IFERROR(IF(O64&gt;0,O64-(TBIcalc!$H$9),""),"")</f>
        <v>0.9323999999999999</v>
      </c>
      <c r="Q64" s="225">
        <f>IFERROR(INDEX('Ashed teabags wet'!$K$2:$K$821,MATCH(J64,'Ashed teabags wet'!$A$2:$A$821,0)),"")</f>
        <v>20.515313563441481</v>
      </c>
      <c r="R64" s="225">
        <f t="shared" si="6"/>
        <v>0.74111521633447153</v>
      </c>
      <c r="S64" s="226">
        <f>'WetLitterbags placem_collection'!E65</f>
        <v>42766</v>
      </c>
      <c r="T64" s="226">
        <f>IF('WetLitterbags placem_collection'!G65="","",'WetLitterbags placem_collection'!G65)</f>
        <v>42820</v>
      </c>
      <c r="U64" s="227">
        <f t="shared" si="3"/>
        <v>54</v>
      </c>
      <c r="V64" s="225">
        <f t="shared" si="4"/>
        <v>0.83179999999999987</v>
      </c>
      <c r="W64" s="225">
        <f t="shared" si="5"/>
        <v>0.92579328759416268</v>
      </c>
      <c r="X64">
        <f>IFERROR(INDEX(Rainfall_Wet!$O$2:$O$217,MATCH(B64, Rainfall_Wet!$A$2:$A$217,0)),"")</f>
        <v>214.262898705</v>
      </c>
      <c r="Y64" s="231">
        <v>25.96</v>
      </c>
      <c r="Z64" s="231">
        <v>6.9200000000000008</v>
      </c>
      <c r="AA64" s="231">
        <v>67.12</v>
      </c>
      <c r="AB64" s="232" t="s">
        <v>2670</v>
      </c>
      <c r="AC64" s="231">
        <v>1.7568260226712666</v>
      </c>
      <c r="AD64">
        <f>IF('WetLitterbags placem_collection'!AB65="","",'WetLitterbags placem_collection'!AB65)</f>
        <v>4.9000000000000004</v>
      </c>
      <c r="AE64">
        <f>IF('WetLitterbags placem_collection'!Z65="","",'WetLitterbags placem_collection'!Z65)</f>
        <v>45</v>
      </c>
      <c r="AF64" s="246" t="str">
        <f>IF('WetLitterbags placem_collection'!AA65="","",'WetLitterbags placem_collection'!AA65)</f>
        <v>O</v>
      </c>
      <c r="AG64">
        <f>IF('WetLitterbags placem_collection'!AC65="","",'WetLitterbags placem_collection'!AC65)</f>
        <v>0</v>
      </c>
      <c r="AH64" s="240">
        <f>AVERAGE('WetLitterbags placem_collection'!S65,'WetLitterbags placem_collection'!U65)</f>
        <v>22.9</v>
      </c>
      <c r="AI64">
        <f>AVERAGE('WetLitterbags placem_collection'!R65,'WetLitterbags placem_collection'!T65)</f>
        <v>28.25</v>
      </c>
      <c r="AJ64">
        <f>INDEX(Coordinates!$B$2:$B$197,MATCH(G64,Coordinates!$J$2:$J$197,0))</f>
        <v>-3.406334035</v>
      </c>
      <c r="AK64">
        <f>INDEX(Coordinates!$C$2:$C$197,MATCH(G64,Coordinates!$J$2:$J$197,0))</f>
        <v>34.851172030000001</v>
      </c>
      <c r="AL64" t="str">
        <f>IF(ISNUMBER(SEARCH("C", 'WetLitterbags placem_collection'!V65)),"YES","NO")</f>
        <v>NO</v>
      </c>
      <c r="AM64" t="str">
        <f>IF(ISNUMBER(SEARCH("H", 'WetLitterbags placem_collection'!V65)),"YES","NO")</f>
        <v>NO</v>
      </c>
      <c r="AN64" t="str">
        <f>IF(ISNUMBER(SEARCH("R", 'WetLitterbags placem_collection'!V65)),"YES","NO")</f>
        <v>YES</v>
      </c>
    </row>
    <row r="65" spans="1:40">
      <c r="A65" s="258" t="s">
        <v>2460</v>
      </c>
      <c r="B65" s="263">
        <f>'Dry_Litterbag Placem_Collection'!A66</f>
        <v>64</v>
      </c>
      <c r="C65" s="263" t="str">
        <f>'Dry_Litterbag Placem_Collection'!B66</f>
        <v>Makao</v>
      </c>
      <c r="D65" s="263" t="s">
        <v>2659</v>
      </c>
      <c r="E65" s="263" t="s">
        <v>20</v>
      </c>
      <c r="F65" s="263">
        <v>4</v>
      </c>
      <c r="G65" s="264" t="str">
        <f>'Dry_Litterbag Placem_Collection'!C66</f>
        <v>Dry_P4_T8</v>
      </c>
      <c r="H65" s="265" t="s">
        <v>2541</v>
      </c>
      <c r="I65" s="266" t="s">
        <v>1147</v>
      </c>
      <c r="J65" s="223" t="str">
        <f>'WetLitterbags placem_collection'!K66</f>
        <v>G554</v>
      </c>
      <c r="K65" s="225">
        <f>IFERROR(INDEX('Green_rooibos initial weight'!$C$5:$C$1749,MATCH(J65, 'Green_rooibos initial weight'!$A$5:$A$1749,0)),"")</f>
        <v>2.0840000000000001</v>
      </c>
      <c r="L65" s="225">
        <f>IFERROR(K65-(TBIcalc!$H$9+TBIcalc!$H$10),"")</f>
        <v>1.8342000000000001</v>
      </c>
      <c r="M65" s="391">
        <f>AVERAGE(Ashed_controlls!$K$2:$K$11)</f>
        <v>5.5147656768714146</v>
      </c>
      <c r="N65" s="225">
        <f t="shared" si="1"/>
        <v>1.7330481679548246</v>
      </c>
      <c r="O65" s="225">
        <f>IF(IFERROR(INDEX('Both teabags AfterWet'!$C$3:$C$841,MATCH(J65,'Both teabags AfterWet'!$A$3:$A$841,0)),"")="","",(IFERROR(INDEX('Both teabags AfterWet'!$C$3:$C$841,MATCH(J65,'Both teabags AfterWet'!$A$3:$A$841,0)),"")))</f>
        <v>1.29</v>
      </c>
      <c r="P65" s="225">
        <f>IFERROR(IF(O65&gt;0,O65-(TBIcalc!$H$9),""),"")</f>
        <v>1.1394</v>
      </c>
      <c r="Q65" s="225">
        <f>IFERROR(INDEX('Ashed teabags wet'!$K$2:$K$821,MATCH(J65,'Ashed teabags wet'!$A$2:$A$821,0)),"")</f>
        <v>36.815920398009624</v>
      </c>
      <c r="R65" s="225">
        <f t="shared" si="6"/>
        <v>0.71991940298507839</v>
      </c>
      <c r="S65" s="226">
        <f>'WetLitterbags placem_collection'!E66</f>
        <v>42766</v>
      </c>
      <c r="T65" s="226">
        <f>IF('WetLitterbags placem_collection'!G66="","",'WetLitterbags placem_collection'!G66)</f>
        <v>42820</v>
      </c>
      <c r="U65" s="227">
        <f t="shared" si="3"/>
        <v>54</v>
      </c>
      <c r="V65" s="225">
        <f t="shared" si="4"/>
        <v>0.69480000000000008</v>
      </c>
      <c r="W65" s="225">
        <f t="shared" si="5"/>
        <v>1.0131287649697462</v>
      </c>
      <c r="X65">
        <f>IFERROR(INDEX(Rainfall_Wet!$O$2:$O$217,MATCH(B65, Rainfall_Wet!$A$2:$A$217,0)),"")</f>
        <v>214.262898705</v>
      </c>
      <c r="Y65" s="231">
        <v>25.96</v>
      </c>
      <c r="Z65" s="231">
        <v>6.9200000000000008</v>
      </c>
      <c r="AA65" s="231">
        <v>67.12</v>
      </c>
      <c r="AB65" s="232" t="s">
        <v>2670</v>
      </c>
      <c r="AC65" s="231">
        <v>1.7568260226712666</v>
      </c>
      <c r="AD65">
        <f>IF('WetLitterbags placem_collection'!AB66="","",'WetLitterbags placem_collection'!AB66)</f>
        <v>3</v>
      </c>
      <c r="AE65">
        <f>IF('WetLitterbags placem_collection'!Z66="","",'WetLitterbags placem_collection'!Z66)</f>
        <v>22.8</v>
      </c>
      <c r="AF65" s="246" t="str">
        <f>IF('WetLitterbags placem_collection'!AA66="","",'WetLitterbags placem_collection'!AA66)</f>
        <v>O</v>
      </c>
      <c r="AG65">
        <f>IF('WetLitterbags placem_collection'!AC66="","",'WetLitterbags placem_collection'!AC66)</f>
        <v>1</v>
      </c>
      <c r="AH65" s="240">
        <f>AVERAGE('WetLitterbags placem_collection'!S66,'WetLitterbags placem_collection'!U66)</f>
        <v>34.6</v>
      </c>
      <c r="AI65">
        <f>AVERAGE('WetLitterbags placem_collection'!R66,'WetLitterbags placem_collection'!T66)</f>
        <v>22.7</v>
      </c>
      <c r="AJ65">
        <f>INDEX(Coordinates!$B$2:$B$197,MATCH(G65,Coordinates!$J$2:$J$197,0))</f>
        <v>-3.4063409920000001</v>
      </c>
      <c r="AK65">
        <f>INDEX(Coordinates!$C$2:$C$197,MATCH(G65,Coordinates!$J$2:$J$197,0))</f>
        <v>34.85126004</v>
      </c>
      <c r="AL65" t="str">
        <f>IF(ISNUMBER(SEARCH("C", 'WetLitterbags placem_collection'!V66)),"YES","NO")</f>
        <v>NO</v>
      </c>
      <c r="AM65" t="str">
        <f>IF(ISNUMBER(SEARCH("H", 'WetLitterbags placem_collection'!V66)),"YES","NO")</f>
        <v>YES</v>
      </c>
      <c r="AN65" t="str">
        <f>IF(ISNUMBER(SEARCH("R", 'WetLitterbags placem_collection'!V66)),"YES","NO")</f>
        <v>YES</v>
      </c>
    </row>
    <row r="66" spans="1:40">
      <c r="A66" s="258" t="s">
        <v>2460</v>
      </c>
      <c r="B66" s="263">
        <f>'Dry_Litterbag Placem_Collection'!A67</f>
        <v>65</v>
      </c>
      <c r="C66" s="263" t="str">
        <f>'Dry_Litterbag Placem_Collection'!B67</f>
        <v>Maswa</v>
      </c>
      <c r="D66" s="263" t="s">
        <v>2659</v>
      </c>
      <c r="E66" s="263" t="s">
        <v>2661</v>
      </c>
      <c r="F66" s="263">
        <v>1</v>
      </c>
      <c r="G66" s="264" t="str">
        <f>'Dry_Litterbag Placem_Collection'!C67</f>
        <v>Dry_W1_T1</v>
      </c>
      <c r="H66" s="265" t="s">
        <v>2541</v>
      </c>
      <c r="I66" s="266" t="s">
        <v>1147</v>
      </c>
      <c r="J66" s="223" t="str">
        <f>'WetLitterbags placem_collection'!K67</f>
        <v>G614</v>
      </c>
      <c r="K66" s="225">
        <f>IFERROR(INDEX('Green_rooibos initial weight'!$C$5:$C$1749,MATCH(J66, 'Green_rooibos initial weight'!$A$5:$A$1749,0)),"")</f>
        <v>2.1709999999999998</v>
      </c>
      <c r="L66" s="225">
        <f>IFERROR(K66-(TBIcalc!$H$9+TBIcalc!$H$10),"")</f>
        <v>1.9211999999999998</v>
      </c>
      <c r="M66" s="391">
        <f>AVERAGE(Ashed_controlls!$K$2:$K$11)</f>
        <v>5.5147656768714146</v>
      </c>
      <c r="N66" s="225">
        <f t="shared" si="1"/>
        <v>1.8152503218159461</v>
      </c>
      <c r="O66" s="225">
        <f>IF(IFERROR(INDEX('Both teabags AfterWet'!$C$3:$C$841,MATCH(J66,'Both teabags AfterWet'!$A$3:$A$841,0)),"")="","",(IFERROR(INDEX('Both teabags AfterWet'!$C$3:$C$841,MATCH(J66,'Both teabags AfterWet'!$A$3:$A$841,0)),"")))</f>
        <v>0.96099999999999997</v>
      </c>
      <c r="P66" s="225">
        <f>IFERROR(IF(O66&gt;0,O66-(TBIcalc!$H$9),""),"")</f>
        <v>0.81040000000000001</v>
      </c>
      <c r="Q66" s="225">
        <f>IFERROR(INDEX('Ashed teabags wet'!$K$2:$K$821,MATCH(J66,'Ashed teabags wet'!$A$2:$A$821,0)),"")</f>
        <v>15.67460317460233</v>
      </c>
      <c r="R66" s="225">
        <f t="shared" si="6"/>
        <v>0.68337301587302268</v>
      </c>
      <c r="S66" s="226">
        <f>'WetLitterbags placem_collection'!E67</f>
        <v>42767</v>
      </c>
      <c r="T66" s="226">
        <f>IF('WetLitterbags placem_collection'!G67="","",'WetLitterbags placem_collection'!G67)</f>
        <v>42818</v>
      </c>
      <c r="U66" s="227">
        <f t="shared" si="3"/>
        <v>51</v>
      </c>
      <c r="V66" s="225">
        <f t="shared" si="4"/>
        <v>1.1107999999999998</v>
      </c>
      <c r="W66" s="225">
        <f t="shared" si="5"/>
        <v>1.1318773059429235</v>
      </c>
      <c r="X66">
        <f>IFERROR(INDEX(Rainfall_Wet!$O$2:$O$217,MATCH(B66, Rainfall_Wet!$A$2:$A$217,0)),"")</f>
        <v>185.630065823</v>
      </c>
      <c r="Y66" s="231">
        <v>47.96</v>
      </c>
      <c r="Z66" s="231">
        <v>22.919999999999995</v>
      </c>
      <c r="AA66" s="231">
        <v>29.120000000000012</v>
      </c>
      <c r="AB66" s="232" t="s">
        <v>2673</v>
      </c>
      <c r="AC66" s="231">
        <v>2.8831936914736325</v>
      </c>
      <c r="AD66">
        <f>IF('WetLitterbags placem_collection'!AB67="","",'WetLitterbags placem_collection'!AB67)</f>
        <v>13.8</v>
      </c>
      <c r="AE66">
        <f>IF('WetLitterbags placem_collection'!Z67="","",'WetLitterbags placem_collection'!Z67)</f>
        <v>13.8</v>
      </c>
      <c r="AF66" s="246" t="str">
        <f>IF('WetLitterbags placem_collection'!AA67="","",'WetLitterbags placem_collection'!AA67)</f>
        <v>O</v>
      </c>
      <c r="AG66">
        <f>IF('WetLitterbags placem_collection'!AC67="","",'WetLitterbags placem_collection'!AC67)</f>
        <v>1</v>
      </c>
      <c r="AH66" s="240">
        <f>AVERAGE('WetLitterbags placem_collection'!S67,'WetLitterbags placem_collection'!U67)</f>
        <v>32.299999999999997</v>
      </c>
      <c r="AI66">
        <f>AVERAGE('WetLitterbags placem_collection'!R67,'WetLitterbags placem_collection'!T67)</f>
        <v>22.75</v>
      </c>
      <c r="AJ66">
        <f>INDEX(Coordinates!$B$2:$B$197,MATCH(G66,Coordinates!$J$2:$J$197,0))</f>
        <v>-3.2993960379999998</v>
      </c>
      <c r="AK66">
        <f>INDEX(Coordinates!$C$2:$C$197,MATCH(G66,Coordinates!$J$2:$J$197,0))</f>
        <v>34.848240959999998</v>
      </c>
      <c r="AL66" t="str">
        <f>IF(ISNUMBER(SEARCH("C", 'WetLitterbags placem_collection'!V67)),"YES","NO")</f>
        <v>NO</v>
      </c>
      <c r="AM66" t="str">
        <f>IF(ISNUMBER(SEARCH("H", 'WetLitterbags placem_collection'!V67)),"YES","NO")</f>
        <v>NO</v>
      </c>
      <c r="AN66" t="str">
        <f>IF(ISNUMBER(SEARCH("R", 'WetLitterbags placem_collection'!V67)),"YES","NO")</f>
        <v>YES</v>
      </c>
    </row>
    <row r="67" spans="1:40">
      <c r="A67" s="258" t="s">
        <v>2460</v>
      </c>
      <c r="B67" s="263">
        <f>'Dry_Litterbag Placem_Collection'!A68</f>
        <v>66</v>
      </c>
      <c r="C67" s="263" t="str">
        <f>'Dry_Litterbag Placem_Collection'!B68</f>
        <v>Maswa</v>
      </c>
      <c r="D67" s="263" t="s">
        <v>2659</v>
      </c>
      <c r="E67" s="263" t="s">
        <v>2661</v>
      </c>
      <c r="F67" s="263">
        <v>1</v>
      </c>
      <c r="G67" s="264" t="str">
        <f>'Dry_Litterbag Placem_Collection'!C68</f>
        <v>Dry_W1_T2</v>
      </c>
      <c r="H67" s="265" t="s">
        <v>2541</v>
      </c>
      <c r="I67" s="266" t="s">
        <v>1147</v>
      </c>
      <c r="J67" s="223" t="str">
        <f>'WetLitterbags placem_collection'!K68</f>
        <v>G282</v>
      </c>
      <c r="K67" s="225">
        <f>IFERROR(INDEX('Green_rooibos initial weight'!$C$5:$C$1749,MATCH(J67, 'Green_rooibos initial weight'!$A$5:$A$1749,0)),"")</f>
        <v>1.9730000000000001</v>
      </c>
      <c r="L67" s="225">
        <f>IFERROR(K67-(TBIcalc!$H$9+TBIcalc!$H$10),"")</f>
        <v>1.7232000000000001</v>
      </c>
      <c r="M67" s="391">
        <f>AVERAGE(Ashed_controlls!$K$2:$K$11)</f>
        <v>5.5147656768714146</v>
      </c>
      <c r="N67" s="225">
        <f t="shared" ref="N67:N130" si="7">IFERROR(L67-(M67/100)*L67,"")</f>
        <v>1.6281695578561519</v>
      </c>
      <c r="O67" s="225">
        <f>IF(IFERROR(INDEX('Both teabags AfterWet'!$C$3:$C$841,MATCH(J67,'Both teabags AfterWet'!$A$3:$A$841,0)),"")="","",(IFERROR(INDEX('Both teabags AfterWet'!$C$3:$C$841,MATCH(J67,'Both teabags AfterWet'!$A$3:$A$841,0)),"")))</f>
        <v>1.1456</v>
      </c>
      <c r="P67" s="225">
        <f>IFERROR(IF(O67&gt;0,O67-(TBIcalc!$H$9),""),"")</f>
        <v>0.99499999999999988</v>
      </c>
      <c r="Q67" s="225">
        <f>IFERROR(INDEX('Ashed teabags wet'!$K$2:$K$821,MATCH(J67,'Ashed teabags wet'!$A$2:$A$821,0)),"")</f>
        <v>31.190019193858088</v>
      </c>
      <c r="R67" s="225">
        <f t="shared" si="6"/>
        <v>0.68465930902111194</v>
      </c>
      <c r="S67" s="226">
        <f>'WetLitterbags placem_collection'!E68</f>
        <v>42767</v>
      </c>
      <c r="T67" s="226">
        <f>IF('WetLitterbags placem_collection'!G68="","",'WetLitterbags placem_collection'!G68)</f>
        <v>42818</v>
      </c>
      <c r="U67" s="227">
        <f t="shared" ref="U67:U130" si="8">IFERROR(T67-S67,"")</f>
        <v>51</v>
      </c>
      <c r="V67" s="225">
        <f t="shared" ref="V67:V130" si="9">IFERROR(L67-P67,"")</f>
        <v>0.72820000000000018</v>
      </c>
      <c r="W67" s="225">
        <f t="shared" ref="W67:W130" si="10">IFERROR(N67-R67,"")</f>
        <v>0.94351024883503998</v>
      </c>
      <c r="X67">
        <f>IFERROR(INDEX(Rainfall_Wet!$O$2:$O$217,MATCH(B67, Rainfall_Wet!$A$2:$A$217,0)),"")</f>
        <v>185.630065823</v>
      </c>
      <c r="Y67" s="231">
        <v>47.96</v>
      </c>
      <c r="Z67" s="231">
        <v>22.919999999999995</v>
      </c>
      <c r="AA67" s="231">
        <v>29.120000000000012</v>
      </c>
      <c r="AB67" s="232" t="s">
        <v>2673</v>
      </c>
      <c r="AC67" s="231">
        <v>3.8831936914736298</v>
      </c>
      <c r="AD67">
        <f>IF('WetLitterbags placem_collection'!AB68="","",'WetLitterbags placem_collection'!AB68)</f>
        <v>8</v>
      </c>
      <c r="AE67">
        <f>IF('WetLitterbags placem_collection'!Z68="","",'WetLitterbags placem_collection'!Z68)</f>
        <v>19.8</v>
      </c>
      <c r="AF67" s="246" t="str">
        <f>IF('WetLitterbags placem_collection'!AA68="","",'WetLitterbags placem_collection'!AA68)</f>
        <v>O</v>
      </c>
      <c r="AG67">
        <f>IF('WetLitterbags placem_collection'!AC68="","",'WetLitterbags placem_collection'!AC68)</f>
        <v>1</v>
      </c>
      <c r="AH67" s="240">
        <f>AVERAGE('WetLitterbags placem_collection'!S68,'WetLitterbags placem_collection'!U68)</f>
        <v>30.6</v>
      </c>
      <c r="AI67">
        <f>AVERAGE('WetLitterbags placem_collection'!R68,'WetLitterbags placem_collection'!T68)</f>
        <v>21.95</v>
      </c>
      <c r="AJ67">
        <f>INDEX(Coordinates!$B$2:$B$197,MATCH(G67,Coordinates!$J$2:$J$197,0))</f>
        <v>-3.2993090340000002</v>
      </c>
      <c r="AK67">
        <f>INDEX(Coordinates!$C$2:$C$197,MATCH(G67,Coordinates!$J$2:$J$197,0))</f>
        <v>34.848404989999999</v>
      </c>
      <c r="AL67" t="str">
        <f>IF(ISNUMBER(SEARCH("C", 'WetLitterbags placem_collection'!V68)),"YES","NO")</f>
        <v>NO</v>
      </c>
      <c r="AM67" t="str">
        <f>IF(ISNUMBER(SEARCH("H", 'WetLitterbags placem_collection'!V68)),"YES","NO")</f>
        <v>NO</v>
      </c>
      <c r="AN67" t="str">
        <f>IF(ISNUMBER(SEARCH("R", 'WetLitterbags placem_collection'!V68)),"YES","NO")</f>
        <v>YES</v>
      </c>
    </row>
    <row r="68" spans="1:40">
      <c r="A68" s="258" t="s">
        <v>2460</v>
      </c>
      <c r="B68" s="263">
        <f>'Dry_Litterbag Placem_Collection'!A69</f>
        <v>67</v>
      </c>
      <c r="C68" s="263" t="str">
        <f>'Dry_Litterbag Placem_Collection'!B69</f>
        <v>Maswa</v>
      </c>
      <c r="D68" s="263" t="s">
        <v>2659</v>
      </c>
      <c r="E68" s="263" t="s">
        <v>2661</v>
      </c>
      <c r="F68" s="263">
        <v>1</v>
      </c>
      <c r="G68" s="264" t="str">
        <f>'Dry_Litterbag Placem_Collection'!C69</f>
        <v>Dry_W1_T3</v>
      </c>
      <c r="H68" s="265" t="s">
        <v>2541</v>
      </c>
      <c r="I68" s="266" t="s">
        <v>1147</v>
      </c>
      <c r="J68" s="223" t="str">
        <f>'WetLitterbags placem_collection'!K69</f>
        <v>G450</v>
      </c>
      <c r="K68" s="225">
        <f>IFERROR(INDEX('Green_rooibos initial weight'!$C$5:$C$1749,MATCH(J68, 'Green_rooibos initial weight'!$A$5:$A$1749,0)),"")</f>
        <v>2.1629999999999998</v>
      </c>
      <c r="L68" s="225">
        <f>IFERROR(K68-(TBIcalc!$H$9+TBIcalc!$H$10),"")</f>
        <v>1.9131999999999998</v>
      </c>
      <c r="M68" s="391">
        <f>AVERAGE(Ashed_controlls!$K$2:$K$11)</f>
        <v>5.5147656768714146</v>
      </c>
      <c r="N68" s="225">
        <f t="shared" si="7"/>
        <v>1.807691503070096</v>
      </c>
      <c r="O68" s="225">
        <f>IF(IFERROR(INDEX('Both teabags AfterWet'!$C$3:$C$841,MATCH(J68,'Both teabags AfterWet'!$A$3:$A$841,0)),"")="","",(IFERROR(INDEX('Both teabags AfterWet'!$C$3:$C$841,MATCH(J68,'Both teabags AfterWet'!$A$3:$A$841,0)),"")))</f>
        <v>0.89059999999999995</v>
      </c>
      <c r="P68" s="225">
        <f>IFERROR(IF(O68&gt;0,O68-(TBIcalc!$H$9),""),"")</f>
        <v>0.74</v>
      </c>
      <c r="Q68" s="225">
        <f>IFERROR(INDEX('Ashed teabags wet'!$K$2:$K$821,MATCH(J68,'Ashed teabags wet'!$A$2:$A$821,0)),"")</f>
        <v>13.860419716935581</v>
      </c>
      <c r="R68" s="225">
        <f t="shared" si="6"/>
        <v>0.63743289409467674</v>
      </c>
      <c r="S68" s="226">
        <f>'WetLitterbags placem_collection'!E69</f>
        <v>42767</v>
      </c>
      <c r="T68" s="226">
        <f>IF('WetLitterbags placem_collection'!G69="","",'WetLitterbags placem_collection'!G69)</f>
        <v>42818</v>
      </c>
      <c r="U68" s="227">
        <f t="shared" si="8"/>
        <v>51</v>
      </c>
      <c r="V68" s="225">
        <f t="shared" si="9"/>
        <v>1.1731999999999998</v>
      </c>
      <c r="W68" s="225">
        <f t="shared" si="10"/>
        <v>1.1702586089754192</v>
      </c>
      <c r="X68">
        <f>IFERROR(INDEX(Rainfall_Wet!$O$2:$O$217,MATCH(B68, Rainfall_Wet!$A$2:$A$217,0)),"")</f>
        <v>185.630065823</v>
      </c>
      <c r="Y68" s="231">
        <v>47.96</v>
      </c>
      <c r="Z68" s="231">
        <v>22.919999999999995</v>
      </c>
      <c r="AA68" s="231">
        <v>29.120000000000012</v>
      </c>
      <c r="AB68" s="232" t="s">
        <v>2673</v>
      </c>
      <c r="AC68" s="231">
        <v>4.8831936914736298</v>
      </c>
      <c r="AD68">
        <f>IF('WetLitterbags placem_collection'!AB69="","",'WetLitterbags placem_collection'!AB69)</f>
        <v>5.5</v>
      </c>
      <c r="AE68">
        <f>IF('WetLitterbags placem_collection'!Z69="","",'WetLitterbags placem_collection'!Z69)</f>
        <v>5.5</v>
      </c>
      <c r="AF68" s="246" t="str">
        <f>IF('WetLitterbags placem_collection'!AA69="","",'WetLitterbags placem_collection'!AA69)</f>
        <v>O</v>
      </c>
      <c r="AG68">
        <f>IF('WetLitterbags placem_collection'!AC69="","",'WetLitterbags placem_collection'!AC69)</f>
        <v>1</v>
      </c>
      <c r="AH68" s="240">
        <f>AVERAGE('WetLitterbags placem_collection'!S69,'WetLitterbags placem_collection'!U69)</f>
        <v>29.9</v>
      </c>
      <c r="AI68">
        <f>AVERAGE('WetLitterbags placem_collection'!R69,'WetLitterbags placem_collection'!T69)</f>
        <v>20.7</v>
      </c>
      <c r="AJ68">
        <f>INDEX(Coordinates!$B$2:$B$197,MATCH(G68,Coordinates!$J$2:$J$197,0))</f>
        <v>-3.299434008</v>
      </c>
      <c r="AK68">
        <f>INDEX(Coordinates!$C$2:$C$197,MATCH(G68,Coordinates!$J$2:$J$197,0))</f>
        <v>34.848514960000003</v>
      </c>
      <c r="AL68" t="str">
        <f>IF(ISNUMBER(SEARCH("C", 'WetLitterbags placem_collection'!V69)),"YES","NO")</f>
        <v>NO</v>
      </c>
      <c r="AM68" t="str">
        <f>IF(ISNUMBER(SEARCH("H", 'WetLitterbags placem_collection'!V69)),"YES","NO")</f>
        <v>YES</v>
      </c>
      <c r="AN68" t="str">
        <f>IF(ISNUMBER(SEARCH("R", 'WetLitterbags placem_collection'!V69)),"YES","NO")</f>
        <v>YES</v>
      </c>
    </row>
    <row r="69" spans="1:40">
      <c r="A69" s="258" t="s">
        <v>2460</v>
      </c>
      <c r="B69" s="263">
        <f>'Dry_Litterbag Placem_Collection'!A70</f>
        <v>68</v>
      </c>
      <c r="C69" s="263" t="str">
        <f>'Dry_Litterbag Placem_Collection'!B70</f>
        <v>Maswa</v>
      </c>
      <c r="D69" s="263" t="s">
        <v>2659</v>
      </c>
      <c r="E69" s="263" t="s">
        <v>2661</v>
      </c>
      <c r="F69" s="263">
        <v>1</v>
      </c>
      <c r="G69" s="264" t="str">
        <f>'Dry_Litterbag Placem_Collection'!C70</f>
        <v>Dry_W1_T4</v>
      </c>
      <c r="H69" s="265" t="s">
        <v>2541</v>
      </c>
      <c r="I69" s="266" t="s">
        <v>1147</v>
      </c>
      <c r="J69" s="223" t="str">
        <f>'WetLitterbags placem_collection'!K70</f>
        <v>G269</v>
      </c>
      <c r="K69" s="225">
        <f>IFERROR(INDEX('Green_rooibos initial weight'!$C$5:$C$1749,MATCH(J69, 'Green_rooibos initial weight'!$A$5:$A$1749,0)),"")</f>
        <v>2.0419999999999998</v>
      </c>
      <c r="L69" s="225">
        <f>IFERROR(K69-(TBIcalc!$H$9+TBIcalc!$H$10),"")</f>
        <v>1.7921999999999998</v>
      </c>
      <c r="M69" s="391">
        <f>AVERAGE(Ashed_controlls!$K$2:$K$11)</f>
        <v>5.5147656768714146</v>
      </c>
      <c r="N69" s="225">
        <f t="shared" si="7"/>
        <v>1.6933643695391103</v>
      </c>
      <c r="O69" s="225">
        <f>IF(IFERROR(INDEX('Both teabags AfterWet'!$C$3:$C$841,MATCH(J69,'Both teabags AfterWet'!$A$3:$A$841,0)),"")="","",(IFERROR(INDEX('Both teabags AfterWet'!$C$3:$C$841,MATCH(J69,'Both teabags AfterWet'!$A$3:$A$841,0)),"")))</f>
        <v>1.018</v>
      </c>
      <c r="P69" s="225">
        <f>IFERROR(IF(O69&gt;0,O69-(TBIcalc!$H$9),""),"")</f>
        <v>0.86739999999999995</v>
      </c>
      <c r="Q69" s="225">
        <f>IFERROR(INDEX('Ashed teabags wet'!$K$2:$K$821,MATCH(J69,'Ashed teabags wet'!$A$2:$A$821,0)),"")</f>
        <v>19.040626529613323</v>
      </c>
      <c r="R69" s="225">
        <f t="shared" si="6"/>
        <v>0.70224160548213399</v>
      </c>
      <c r="S69" s="226">
        <f>'WetLitterbags placem_collection'!E70</f>
        <v>42767</v>
      </c>
      <c r="T69" s="226">
        <f>IF('WetLitterbags placem_collection'!G70="","",'WetLitterbags placem_collection'!G70)</f>
        <v>42818</v>
      </c>
      <c r="U69" s="227">
        <f t="shared" si="8"/>
        <v>51</v>
      </c>
      <c r="V69" s="225">
        <f t="shared" si="9"/>
        <v>0.92479999999999984</v>
      </c>
      <c r="W69" s="225">
        <f t="shared" si="10"/>
        <v>0.9911227640569763</v>
      </c>
      <c r="X69">
        <f>IFERROR(INDEX(Rainfall_Wet!$O$2:$O$217,MATCH(B69, Rainfall_Wet!$A$2:$A$217,0)),"")</f>
        <v>185.630065823</v>
      </c>
      <c r="Y69" s="231">
        <v>47.96</v>
      </c>
      <c r="Z69" s="231">
        <v>22.919999999999995</v>
      </c>
      <c r="AA69" s="231">
        <v>29.120000000000012</v>
      </c>
      <c r="AB69" s="232" t="s">
        <v>2673</v>
      </c>
      <c r="AC69" s="231">
        <v>5.8831936914736298</v>
      </c>
      <c r="AD69">
        <f>IF('WetLitterbags placem_collection'!AB70="","",'WetLitterbags placem_collection'!AB70)</f>
        <v>9.6999999999999993</v>
      </c>
      <c r="AE69">
        <f>IF('WetLitterbags placem_collection'!Z70="","",'WetLitterbags placem_collection'!Z70)</f>
        <v>23.4</v>
      </c>
      <c r="AF69" s="246" t="str">
        <f>IF('WetLitterbags placem_collection'!AA70="","",'WetLitterbags placem_collection'!AA70)</f>
        <v>O</v>
      </c>
      <c r="AG69">
        <f>IF('WetLitterbags placem_collection'!AC70="","",'WetLitterbags placem_collection'!AC70)</f>
        <v>1</v>
      </c>
      <c r="AH69" s="240">
        <f>AVERAGE('WetLitterbags placem_collection'!S70,'WetLitterbags placem_collection'!U70)</f>
        <v>29.85</v>
      </c>
      <c r="AI69">
        <f>AVERAGE('WetLitterbags placem_collection'!R70,'WetLitterbags placem_collection'!T70)</f>
        <v>21.2</v>
      </c>
      <c r="AJ69">
        <f>INDEX(Coordinates!$B$2:$B$197,MATCH(G69,Coordinates!$J$2:$J$197,0))</f>
        <v>-3.2991180099999999</v>
      </c>
      <c r="AK69">
        <f>INDEX(Coordinates!$C$2:$C$197,MATCH(G69,Coordinates!$J$2:$J$197,0))</f>
        <v>34.84824699</v>
      </c>
      <c r="AL69" t="str">
        <f>IF(ISNUMBER(SEARCH("C", 'WetLitterbags placem_collection'!V70)),"YES","NO")</f>
        <v>NO</v>
      </c>
      <c r="AM69" t="str">
        <f>IF(ISNUMBER(SEARCH("H", 'WetLitterbags placem_collection'!V70)),"YES","NO")</f>
        <v>NO</v>
      </c>
      <c r="AN69" t="str">
        <f>IF(ISNUMBER(SEARCH("R", 'WetLitterbags placem_collection'!V70)),"YES","NO")</f>
        <v>YES</v>
      </c>
    </row>
    <row r="70" spans="1:40">
      <c r="A70" s="258" t="s">
        <v>2460</v>
      </c>
      <c r="B70" s="263">
        <f>'Dry_Litterbag Placem_Collection'!A71</f>
        <v>69</v>
      </c>
      <c r="C70" s="263" t="str">
        <f>'Dry_Litterbag Placem_Collection'!B71</f>
        <v>Maswa</v>
      </c>
      <c r="D70" s="263" t="s">
        <v>2659</v>
      </c>
      <c r="E70" s="263" t="s">
        <v>2661</v>
      </c>
      <c r="F70" s="263">
        <v>1</v>
      </c>
      <c r="G70" s="264" t="str">
        <f>'Dry_Litterbag Placem_Collection'!C71</f>
        <v>Dry_W1_T5</v>
      </c>
      <c r="H70" s="265" t="s">
        <v>2541</v>
      </c>
      <c r="I70" s="266" t="s">
        <v>1147</v>
      </c>
      <c r="J70" s="223" t="str">
        <f>'WetLitterbags placem_collection'!K71</f>
        <v>G448</v>
      </c>
      <c r="K70" s="225">
        <f>IFERROR(INDEX('Green_rooibos initial weight'!$C$5:$C$1749,MATCH(J70, 'Green_rooibos initial weight'!$A$5:$A$1749,0)),"")</f>
        <v>2.0179999999999998</v>
      </c>
      <c r="L70" s="225">
        <f>IFERROR(K70-(TBIcalc!$H$9+TBIcalc!$H$10),"")</f>
        <v>1.7681999999999998</v>
      </c>
      <c r="M70" s="391">
        <f>AVERAGE(Ashed_controlls!$K$2:$K$11)</f>
        <v>5.5147656768714146</v>
      </c>
      <c r="N70" s="225">
        <f t="shared" si="7"/>
        <v>1.6706879133015595</v>
      </c>
      <c r="O70" s="225" t="str">
        <f>IF(IFERROR(INDEX('Both teabags AfterWet'!$C$3:$C$841,MATCH(J70,'Both teabags AfterWet'!$A$3:$A$841,0)),"")="","",(IFERROR(INDEX('Both teabags AfterWet'!$C$3:$C$841,MATCH(J70,'Both teabags AfterWet'!$A$3:$A$841,0)),"")))</f>
        <v>N.A</v>
      </c>
      <c r="P70" s="225" t="str">
        <f>IFERROR(IF(O70&gt;0,O70-(TBIcalc!$H$9),""),"")</f>
        <v/>
      </c>
      <c r="Q70" s="225" t="str">
        <f>IFERROR(INDEX('Ashed teabags wet'!$K$2:$K$821,MATCH(J70,'Ashed teabags wet'!$A$2:$A$821,0)),"")</f>
        <v/>
      </c>
      <c r="R70" s="225" t="str">
        <f t="shared" si="6"/>
        <v/>
      </c>
      <c r="S70" s="226">
        <f>'WetLitterbags placem_collection'!E71</f>
        <v>42767</v>
      </c>
      <c r="T70" s="226">
        <f>IF('WetLitterbags placem_collection'!G71="","",'WetLitterbags placem_collection'!G71)</f>
        <v>42818</v>
      </c>
      <c r="U70" s="227">
        <f t="shared" si="8"/>
        <v>51</v>
      </c>
      <c r="V70" s="225" t="str">
        <f t="shared" si="9"/>
        <v/>
      </c>
      <c r="W70" s="225" t="str">
        <f t="shared" si="10"/>
        <v/>
      </c>
      <c r="X70">
        <f>IFERROR(INDEX(Rainfall_Wet!$O$2:$O$217,MATCH(B70, Rainfall_Wet!$A$2:$A$217,0)),"")</f>
        <v>185.630065823</v>
      </c>
      <c r="Y70" s="231">
        <v>47.96</v>
      </c>
      <c r="Z70" s="231">
        <v>22.919999999999995</v>
      </c>
      <c r="AA70" s="231">
        <v>29.120000000000012</v>
      </c>
      <c r="AB70" s="232" t="s">
        <v>2673</v>
      </c>
      <c r="AC70" s="231">
        <v>6.8831936914736298</v>
      </c>
      <c r="AD70">
        <f>IF('WetLitterbags placem_collection'!AB71="","",'WetLitterbags placem_collection'!AB71)</f>
        <v>14.4</v>
      </c>
      <c r="AE70">
        <f>IF('WetLitterbags placem_collection'!Z71="","",'WetLitterbags placem_collection'!Z71)</f>
        <v>24.4</v>
      </c>
      <c r="AF70" s="246" t="str">
        <f>IF('WetLitterbags placem_collection'!AA71="","",'WetLitterbags placem_collection'!AA71)</f>
        <v>O</v>
      </c>
      <c r="AG70">
        <f>IF('WetLitterbags placem_collection'!AC71="","",'WetLitterbags placem_collection'!AC71)</f>
        <v>1</v>
      </c>
      <c r="AH70" s="240">
        <f>AVERAGE('WetLitterbags placem_collection'!S71,'WetLitterbags placem_collection'!U71)</f>
        <v>31.25</v>
      </c>
      <c r="AI70">
        <f>AVERAGE('WetLitterbags placem_collection'!R71,'WetLitterbags placem_collection'!T71)</f>
        <v>23.450000000000003</v>
      </c>
      <c r="AJ70">
        <f>INDEX(Coordinates!$B$2:$B$197,MATCH(G70,Coordinates!$J$2:$J$197,0))</f>
        <v>-3.2993180030000002</v>
      </c>
      <c r="AK70">
        <f>INDEX(Coordinates!$C$2:$C$197,MATCH(G70,Coordinates!$J$2:$J$197,0))</f>
        <v>34.848235010000003</v>
      </c>
      <c r="AL70" t="str">
        <f>IF(ISNUMBER(SEARCH("C", 'WetLitterbags placem_collection'!V71)),"YES","NO")</f>
        <v>NO</v>
      </c>
      <c r="AM70" t="str">
        <f>IF(ISNUMBER(SEARCH("H", 'WetLitterbags placem_collection'!V71)),"YES","NO")</f>
        <v>NO</v>
      </c>
      <c r="AN70" t="str">
        <f>IF(ISNUMBER(SEARCH("R", 'WetLitterbags placem_collection'!V71)),"YES","NO")</f>
        <v>NO</v>
      </c>
    </row>
    <row r="71" spans="1:40">
      <c r="A71" s="258" t="s">
        <v>2460</v>
      </c>
      <c r="B71" s="263">
        <f>'Dry_Litterbag Placem_Collection'!A72</f>
        <v>70</v>
      </c>
      <c r="C71" s="263" t="str">
        <f>'Dry_Litterbag Placem_Collection'!B72</f>
        <v>Maswa</v>
      </c>
      <c r="D71" s="263" t="s">
        <v>2659</v>
      </c>
      <c r="E71" s="263" t="s">
        <v>2661</v>
      </c>
      <c r="F71" s="263">
        <v>1</v>
      </c>
      <c r="G71" s="264" t="str">
        <f>'Dry_Litterbag Placem_Collection'!C72</f>
        <v>Dry_W1_T6</v>
      </c>
      <c r="H71" s="265" t="s">
        <v>2541</v>
      </c>
      <c r="I71" s="266" t="s">
        <v>1147</v>
      </c>
      <c r="J71" s="223" t="str">
        <f>'WetLitterbags placem_collection'!K72</f>
        <v>G358</v>
      </c>
      <c r="K71" s="225">
        <f>IFERROR(INDEX('Green_rooibos initial weight'!$C$5:$C$1749,MATCH(J71, 'Green_rooibos initial weight'!$A$5:$A$1749,0)),"")</f>
        <v>2.016</v>
      </c>
      <c r="L71" s="225">
        <f>IFERROR(K71-(TBIcalc!$H$9+TBIcalc!$H$10),"")</f>
        <v>1.7662</v>
      </c>
      <c r="M71" s="391">
        <f>AVERAGE(Ashed_controlls!$K$2:$K$11)</f>
        <v>5.5147656768714146</v>
      </c>
      <c r="N71" s="225">
        <f t="shared" si="7"/>
        <v>1.668798208615097</v>
      </c>
      <c r="O71" s="225">
        <f>IF(IFERROR(INDEX('Both teabags AfterWet'!$C$3:$C$841,MATCH(J71,'Both teabags AfterWet'!$A$3:$A$841,0)),"")="","",(IFERROR(INDEX('Both teabags AfterWet'!$C$3:$C$841,MATCH(J71,'Both teabags AfterWet'!$A$3:$A$841,0)),"")))</f>
        <v>0.84299999999999997</v>
      </c>
      <c r="P71" s="225">
        <f>IFERROR(IF(O71&gt;0,O71-(TBIcalc!$H$9),""),"")</f>
        <v>0.6923999999999999</v>
      </c>
      <c r="Q71" s="225">
        <f>IFERROR(INDEX('Ashed teabags wet'!$K$2:$K$821,MATCH(J71,'Ashed teabags wet'!$A$2:$A$821,0)),"")</f>
        <v>13.570741097208547</v>
      </c>
      <c r="R71" s="225">
        <f t="shared" si="6"/>
        <v>0.59843618864292791</v>
      </c>
      <c r="S71" s="226">
        <f>'WetLitterbags placem_collection'!E72</f>
        <v>42767</v>
      </c>
      <c r="T71" s="226">
        <f>IF('WetLitterbags placem_collection'!G72="","",'WetLitterbags placem_collection'!G72)</f>
        <v>42818</v>
      </c>
      <c r="U71" s="227">
        <f t="shared" si="8"/>
        <v>51</v>
      </c>
      <c r="V71" s="225">
        <f t="shared" si="9"/>
        <v>1.0738000000000001</v>
      </c>
      <c r="W71" s="225">
        <f t="shared" si="10"/>
        <v>1.0703620199721691</v>
      </c>
      <c r="X71">
        <f>IFERROR(INDEX(Rainfall_Wet!$O$2:$O$217,MATCH(B71, Rainfall_Wet!$A$2:$A$217,0)),"")</f>
        <v>185.630065823</v>
      </c>
      <c r="Y71" s="231">
        <v>47.96</v>
      </c>
      <c r="Z71" s="231">
        <v>22.919999999999995</v>
      </c>
      <c r="AA71" s="231">
        <v>29.120000000000012</v>
      </c>
      <c r="AB71" s="232" t="s">
        <v>2673</v>
      </c>
      <c r="AC71" s="231">
        <v>7.8831936914736298</v>
      </c>
      <c r="AD71">
        <f>IF('WetLitterbags placem_collection'!AB72="","",'WetLitterbags placem_collection'!AB72)</f>
        <v>15</v>
      </c>
      <c r="AE71">
        <f>IF('WetLitterbags placem_collection'!Z72="","",'WetLitterbags placem_collection'!Z72)</f>
        <v>28</v>
      </c>
      <c r="AF71" s="246" t="str">
        <f>IF('WetLitterbags placem_collection'!AA72="","",'WetLitterbags placem_collection'!AA72)</f>
        <v>O</v>
      </c>
      <c r="AG71">
        <f>IF('WetLitterbags placem_collection'!AC72="","",'WetLitterbags placem_collection'!AC72)</f>
        <v>0</v>
      </c>
      <c r="AH71" s="240">
        <f>AVERAGE('WetLitterbags placem_collection'!S72,'WetLitterbags placem_collection'!U72)</f>
        <v>32.15</v>
      </c>
      <c r="AI71">
        <f>AVERAGE('WetLitterbags placem_collection'!R72,'WetLitterbags placem_collection'!T72)</f>
        <v>23.7</v>
      </c>
      <c r="AJ71">
        <f>INDEX(Coordinates!$B$2:$B$197,MATCH(G71,Coordinates!$J$2:$J$197,0))</f>
        <v>-3.299381034</v>
      </c>
      <c r="AK71">
        <f>INDEX(Coordinates!$C$2:$C$197,MATCH(G71,Coordinates!$J$2:$J$197,0))</f>
        <v>34.848312040000003</v>
      </c>
      <c r="AL71" t="str">
        <f>IF(ISNUMBER(SEARCH("C", 'WetLitterbags placem_collection'!V72)),"YES","NO")</f>
        <v>YES</v>
      </c>
      <c r="AM71" t="str">
        <f>IF(ISNUMBER(SEARCH("H", 'WetLitterbags placem_collection'!V72)),"YES","NO")</f>
        <v>YES</v>
      </c>
      <c r="AN71" t="str">
        <f>IF(ISNUMBER(SEARCH("R", 'WetLitterbags placem_collection'!V72)),"YES","NO")</f>
        <v>YES</v>
      </c>
    </row>
    <row r="72" spans="1:40">
      <c r="A72" s="258" t="s">
        <v>2460</v>
      </c>
      <c r="B72" s="263">
        <f>'Dry_Litterbag Placem_Collection'!A73</f>
        <v>71</v>
      </c>
      <c r="C72" s="263" t="str">
        <f>'Dry_Litterbag Placem_Collection'!B73</f>
        <v>Maswa</v>
      </c>
      <c r="D72" s="263" t="s">
        <v>2659</v>
      </c>
      <c r="E72" s="263" t="s">
        <v>2661</v>
      </c>
      <c r="F72" s="263">
        <v>1</v>
      </c>
      <c r="G72" s="264" t="str">
        <f>'Dry_Litterbag Placem_Collection'!C73</f>
        <v>Dry_W1_T7</v>
      </c>
      <c r="H72" s="265" t="s">
        <v>2541</v>
      </c>
      <c r="I72" s="266" t="s">
        <v>1147</v>
      </c>
      <c r="J72" s="223" t="str">
        <f>'WetLitterbags placem_collection'!K73</f>
        <v>G511</v>
      </c>
      <c r="K72" s="225">
        <f>IFERROR(INDEX('Green_rooibos initial weight'!$C$5:$C$1749,MATCH(J72, 'Green_rooibos initial weight'!$A$5:$A$1749,0)),"")</f>
        <v>1.9930000000000001</v>
      </c>
      <c r="L72" s="225">
        <f>IFERROR(K72-(TBIcalc!$H$9+TBIcalc!$H$10),"")</f>
        <v>1.7432000000000001</v>
      </c>
      <c r="M72" s="391">
        <f>AVERAGE(Ashed_controlls!$K$2:$K$11)</f>
        <v>5.5147656768714146</v>
      </c>
      <c r="N72" s="225">
        <f t="shared" si="7"/>
        <v>1.6470666047207776</v>
      </c>
      <c r="O72" s="225">
        <f>IF(IFERROR(INDEX('Both teabags AfterWet'!$C$3:$C$841,MATCH(J72,'Both teabags AfterWet'!$A$3:$A$841,0)),"")="","",(IFERROR(INDEX('Both teabags AfterWet'!$C$3:$C$841,MATCH(J72,'Both teabags AfterWet'!$A$3:$A$841,0)),"")))</f>
        <v>0.83740000000000003</v>
      </c>
      <c r="P72" s="225">
        <f>IFERROR(IF(O72&gt;0,O72-(TBIcalc!$H$9),""),"")</f>
        <v>0.68680000000000008</v>
      </c>
      <c r="Q72" s="225">
        <f>IFERROR(INDEX('Ashed teabags wet'!$K$2:$K$821,MATCH(J72,'Ashed teabags wet'!$A$2:$A$821,0)),"")</f>
        <v>9.3359960059912463</v>
      </c>
      <c r="R72" s="225">
        <f t="shared" si="6"/>
        <v>0.62268037943085219</v>
      </c>
      <c r="S72" s="226">
        <f>'WetLitterbags placem_collection'!E73</f>
        <v>42767</v>
      </c>
      <c r="T72" s="226">
        <f>IF('WetLitterbags placem_collection'!G73="","",'WetLitterbags placem_collection'!G73)</f>
        <v>42818</v>
      </c>
      <c r="U72" s="227">
        <f t="shared" si="8"/>
        <v>51</v>
      </c>
      <c r="V72" s="225">
        <f t="shared" si="9"/>
        <v>1.0564</v>
      </c>
      <c r="W72" s="225">
        <f t="shared" si="10"/>
        <v>1.0243862252899254</v>
      </c>
      <c r="X72">
        <f>IFERROR(INDEX(Rainfall_Wet!$O$2:$O$217,MATCH(B72, Rainfall_Wet!$A$2:$A$217,0)),"")</f>
        <v>185.630065823</v>
      </c>
      <c r="Y72" s="231">
        <v>47.96</v>
      </c>
      <c r="Z72" s="231">
        <v>22.919999999999995</v>
      </c>
      <c r="AA72" s="231">
        <v>29.120000000000012</v>
      </c>
      <c r="AB72" s="232" t="s">
        <v>2673</v>
      </c>
      <c r="AC72" s="231">
        <v>8.8831936914736307</v>
      </c>
      <c r="AD72">
        <f>IF('WetLitterbags placem_collection'!AB73="","",'WetLitterbags placem_collection'!AB73)</f>
        <v>15.5</v>
      </c>
      <c r="AE72">
        <f>IF('WetLitterbags placem_collection'!Z73="","",'WetLitterbags placem_collection'!Z73)</f>
        <v>32</v>
      </c>
      <c r="AF72" s="246" t="str">
        <f>IF('WetLitterbags placem_collection'!AA73="","",'WetLitterbags placem_collection'!AA73)</f>
        <v>O</v>
      </c>
      <c r="AG72">
        <f>IF('WetLitterbags placem_collection'!AC73="","",'WetLitterbags placem_collection'!AC73)</f>
        <v>1</v>
      </c>
      <c r="AH72" s="240">
        <f>AVERAGE('WetLitterbags placem_collection'!S73,'WetLitterbags placem_collection'!U73)</f>
        <v>29.35</v>
      </c>
      <c r="AI72">
        <f>AVERAGE('WetLitterbags placem_collection'!R73,'WetLitterbags placem_collection'!T73)</f>
        <v>21.95</v>
      </c>
      <c r="AJ72">
        <f>INDEX(Coordinates!$B$2:$B$197,MATCH(G72,Coordinates!$J$2:$J$197,0))</f>
        <v>-3.2992429849999998</v>
      </c>
      <c r="AK72">
        <f>INDEX(Coordinates!$C$2:$C$197,MATCH(G72,Coordinates!$J$2:$J$197,0))</f>
        <v>34.847900989999999</v>
      </c>
      <c r="AL72" t="str">
        <f>IF(ISNUMBER(SEARCH("C", 'WetLitterbags placem_collection'!V73)),"YES","NO")</f>
        <v>NO</v>
      </c>
      <c r="AM72" t="str">
        <f>IF(ISNUMBER(SEARCH("H", 'WetLitterbags placem_collection'!V73)),"YES","NO")</f>
        <v>NO</v>
      </c>
      <c r="AN72" t="str">
        <f>IF(ISNUMBER(SEARCH("R", 'WetLitterbags placem_collection'!V73)),"YES","NO")</f>
        <v>YES</v>
      </c>
    </row>
    <row r="73" spans="1:40">
      <c r="A73" s="258" t="s">
        <v>2460</v>
      </c>
      <c r="B73" s="263">
        <f>'Dry_Litterbag Placem_Collection'!A74</f>
        <v>72</v>
      </c>
      <c r="C73" s="263" t="str">
        <f>'Dry_Litterbag Placem_Collection'!B74</f>
        <v>Maswa</v>
      </c>
      <c r="D73" s="263" t="s">
        <v>2659</v>
      </c>
      <c r="E73" s="263" t="s">
        <v>2661</v>
      </c>
      <c r="F73" s="263">
        <v>1</v>
      </c>
      <c r="G73" s="264" t="str">
        <f>'Dry_Litterbag Placem_Collection'!C74</f>
        <v>Dry_W1_T8</v>
      </c>
      <c r="H73" s="265" t="s">
        <v>2541</v>
      </c>
      <c r="I73" s="266" t="s">
        <v>1147</v>
      </c>
      <c r="J73" s="223" t="str">
        <f>'WetLitterbags placem_collection'!K74</f>
        <v>G383</v>
      </c>
      <c r="K73" s="225">
        <f>IFERROR(INDEX('Green_rooibos initial weight'!$C$5:$C$1749,MATCH(J73, 'Green_rooibos initial weight'!$A$5:$A$1749,0)),"")</f>
        <v>1.956</v>
      </c>
      <c r="L73" s="225">
        <f>IFERROR(K73-(TBIcalc!$H$9+TBIcalc!$H$10),"")</f>
        <v>1.7061999999999999</v>
      </c>
      <c r="M73" s="391">
        <f>AVERAGE(Ashed_controlls!$K$2:$K$11)</f>
        <v>5.5147656768714146</v>
      </c>
      <c r="N73" s="225">
        <f t="shared" si="7"/>
        <v>1.6121070680212199</v>
      </c>
      <c r="O73" s="225">
        <f>IF(IFERROR(INDEX('Both teabags AfterWet'!$C$3:$C$841,MATCH(J73,'Both teabags AfterWet'!$A$3:$A$841,0)),"")="","",(IFERROR(INDEX('Both teabags AfterWet'!$C$3:$C$841,MATCH(J73,'Both teabags AfterWet'!$A$3:$A$841,0)),"")))</f>
        <v>0.82550000000000001</v>
      </c>
      <c r="P73" s="225">
        <f>IFERROR(IF(O73&gt;0,O73-(TBIcalc!$H$9),""),"")</f>
        <v>0.67490000000000006</v>
      </c>
      <c r="Q73" s="225">
        <f>IFERROR(INDEX('Ashed teabags wet'!$K$2:$K$821,MATCH(J73,'Ashed teabags wet'!$A$2:$A$821,0)),"")</f>
        <v>8.9603960396033298</v>
      </c>
      <c r="R73" s="225">
        <f t="shared" si="6"/>
        <v>0.61442628712871716</v>
      </c>
      <c r="S73" s="226">
        <f>'WetLitterbags placem_collection'!E74</f>
        <v>42767</v>
      </c>
      <c r="T73" s="226">
        <f>IF('WetLitterbags placem_collection'!G74="","",'WetLitterbags placem_collection'!G74)</f>
        <v>42818</v>
      </c>
      <c r="U73" s="227">
        <f t="shared" si="8"/>
        <v>51</v>
      </c>
      <c r="V73" s="225">
        <f t="shared" si="9"/>
        <v>1.0312999999999999</v>
      </c>
      <c r="W73" s="225">
        <f t="shared" si="10"/>
        <v>0.99768078089250278</v>
      </c>
      <c r="X73">
        <f>IFERROR(INDEX(Rainfall_Wet!$O$2:$O$217,MATCH(B73, Rainfall_Wet!$A$2:$A$217,0)),"")</f>
        <v>185.630065823</v>
      </c>
      <c r="Y73" s="231">
        <v>47.96</v>
      </c>
      <c r="Z73" s="231">
        <v>22.919999999999995</v>
      </c>
      <c r="AA73" s="231">
        <v>29.120000000000012</v>
      </c>
      <c r="AB73" s="232" t="s">
        <v>2673</v>
      </c>
      <c r="AC73" s="231">
        <v>9.8831936914736307</v>
      </c>
      <c r="AD73">
        <f>IF('WetLitterbags placem_collection'!AB74="","",'WetLitterbags placem_collection'!AB74)</f>
        <v>2.6</v>
      </c>
      <c r="AE73">
        <f>IF('WetLitterbags placem_collection'!Z74="","",'WetLitterbags placem_collection'!Z74)</f>
        <v>44</v>
      </c>
      <c r="AF73" s="246" t="str">
        <f>IF('WetLitterbags placem_collection'!AA74="","",'WetLitterbags placem_collection'!AA74)</f>
        <v>O</v>
      </c>
      <c r="AG73">
        <f>IF('WetLitterbags placem_collection'!AC74="","",'WetLitterbags placem_collection'!AC74)</f>
        <v>1</v>
      </c>
      <c r="AH73" s="240">
        <f>AVERAGE('WetLitterbags placem_collection'!S74,'WetLitterbags placem_collection'!U74)</f>
        <v>32</v>
      </c>
      <c r="AI73">
        <f>AVERAGE('WetLitterbags placem_collection'!R74,'WetLitterbags placem_collection'!T74)</f>
        <v>21.9</v>
      </c>
      <c r="AJ73">
        <f>INDEX(Coordinates!$B$2:$B$197,MATCH(G73,Coordinates!$J$2:$J$197,0))</f>
        <v>-3.2996540329999999</v>
      </c>
      <c r="AK73">
        <f>INDEX(Coordinates!$C$2:$C$197,MATCH(G73,Coordinates!$J$2:$J$197,0))</f>
        <v>34.848151020000003</v>
      </c>
      <c r="AL73" t="str">
        <f>IF(ISNUMBER(SEARCH("C", 'WetLitterbags placem_collection'!V74)),"YES","NO")</f>
        <v>NO</v>
      </c>
      <c r="AM73" t="str">
        <f>IF(ISNUMBER(SEARCH("H", 'WetLitterbags placem_collection'!V74)),"YES","NO")</f>
        <v>NO</v>
      </c>
      <c r="AN73" t="str">
        <f>IF(ISNUMBER(SEARCH("R", 'WetLitterbags placem_collection'!V74)),"YES","NO")</f>
        <v>YES</v>
      </c>
    </row>
    <row r="74" spans="1:40">
      <c r="A74" s="258" t="s">
        <v>2460</v>
      </c>
      <c r="B74" s="263">
        <f>'Dry_Litterbag Placem_Collection'!A75</f>
        <v>73</v>
      </c>
      <c r="C74" s="263" t="str">
        <f>'Dry_Litterbag Placem_Collection'!B75</f>
        <v>Maswa</v>
      </c>
      <c r="D74" s="263" t="s">
        <v>2659</v>
      </c>
      <c r="E74" s="263" t="s">
        <v>2661</v>
      </c>
      <c r="F74" s="263">
        <v>2</v>
      </c>
      <c r="G74" s="264" t="str">
        <f>'Dry_Litterbag Placem_Collection'!C75</f>
        <v>Dry_W2_T1</v>
      </c>
      <c r="H74" s="265" t="s">
        <v>2541</v>
      </c>
      <c r="I74" s="266" t="s">
        <v>1147</v>
      </c>
      <c r="J74" s="223" t="str">
        <f>'WetLitterbags placem_collection'!K75</f>
        <v>G549</v>
      </c>
      <c r="K74" s="225">
        <f>IFERROR(INDEX('Green_rooibos initial weight'!$C$5:$C$1749,MATCH(J74, 'Green_rooibos initial weight'!$A$5:$A$1749,0)),"")</f>
        <v>2.016</v>
      </c>
      <c r="L74" s="225">
        <f>IFERROR(K74-(TBIcalc!$H$9+TBIcalc!$H$10),"")</f>
        <v>1.7662</v>
      </c>
      <c r="M74" s="391">
        <f>AVERAGE(Ashed_controlls!$K$2:$K$11)</f>
        <v>5.5147656768714146</v>
      </c>
      <c r="N74" s="225">
        <f t="shared" si="7"/>
        <v>1.668798208615097</v>
      </c>
      <c r="O74" s="225">
        <f>IF(IFERROR(INDEX('Both teabags AfterWet'!$C$3:$C$841,MATCH(J74,'Both teabags AfterWet'!$A$3:$A$841,0)),"")="","",(IFERROR(INDEX('Both teabags AfterWet'!$C$3:$C$841,MATCH(J74,'Both teabags AfterWet'!$A$3:$A$841,0)),"")))</f>
        <v>0.74199999999999999</v>
      </c>
      <c r="P74" s="225">
        <f>IFERROR(IF(O74&gt;0,O74-(TBIcalc!$H$9),""),"")</f>
        <v>0.59139999999999993</v>
      </c>
      <c r="Q74" s="225">
        <f>IFERROR(INDEX('Ashed teabags wet'!$K$2:$K$821,MATCH(J74,'Ashed teabags wet'!$A$2:$A$821,0)),"")</f>
        <v>10.980392156862093</v>
      </c>
      <c r="R74" s="225">
        <f t="shared" si="6"/>
        <v>0.52646196078431751</v>
      </c>
      <c r="S74" s="226">
        <f>'WetLitterbags placem_collection'!E75</f>
        <v>42767</v>
      </c>
      <c r="T74" s="226">
        <f>IF('WetLitterbags placem_collection'!G75="","",'WetLitterbags placem_collection'!G75)</f>
        <v>42818</v>
      </c>
      <c r="U74" s="227">
        <f t="shared" si="8"/>
        <v>51</v>
      </c>
      <c r="V74" s="225">
        <f t="shared" si="9"/>
        <v>1.1748000000000001</v>
      </c>
      <c r="W74" s="225">
        <f t="shared" si="10"/>
        <v>1.1423362478307795</v>
      </c>
      <c r="X74">
        <f>IFERROR(INDEX(Rainfall_Wet!$O$2:$O$217,MATCH(B74, Rainfall_Wet!$A$2:$A$217,0)),"")</f>
        <v>185.630065823</v>
      </c>
      <c r="Y74" s="231">
        <v>45.272914521112256</v>
      </c>
      <c r="Z74" s="231">
        <v>23.604531410916575</v>
      </c>
      <c r="AA74" s="231">
        <v>31.122554067971166</v>
      </c>
      <c r="AB74" s="232" t="s">
        <v>2673</v>
      </c>
      <c r="AC74" s="231">
        <v>2.0547560374568752</v>
      </c>
      <c r="AD74">
        <f>IF('WetLitterbags placem_collection'!AB75="","",'WetLitterbags placem_collection'!AB75)</f>
        <v>9.1</v>
      </c>
      <c r="AE74">
        <f>IF('WetLitterbags placem_collection'!Z75="","",'WetLitterbags placem_collection'!Z75)</f>
        <v>10</v>
      </c>
      <c r="AF74" s="246" t="str">
        <f>IF('WetLitterbags placem_collection'!AA75="","",'WetLitterbags placem_collection'!AA75)</f>
        <v>M</v>
      </c>
      <c r="AG74">
        <f>IF('WetLitterbags placem_collection'!AC75="","",'WetLitterbags placem_collection'!AC75)</f>
        <v>1</v>
      </c>
      <c r="AH74" s="240">
        <f>AVERAGE('WetLitterbags placem_collection'!S75,'WetLitterbags placem_collection'!U75)</f>
        <v>27.85</v>
      </c>
      <c r="AI74">
        <f>AVERAGE('WetLitterbags placem_collection'!R75,'WetLitterbags placem_collection'!T75)</f>
        <v>26.15</v>
      </c>
      <c r="AJ74">
        <f>INDEX(Coordinates!$B$2:$B$197,MATCH(G74,Coordinates!$J$2:$J$197,0))</f>
        <v>-3.3025860229999999</v>
      </c>
      <c r="AK74">
        <f>INDEX(Coordinates!$C$2:$C$197,MATCH(G74,Coordinates!$J$2:$J$197,0))</f>
        <v>34.848048009999999</v>
      </c>
      <c r="AL74" t="str">
        <f>IF(ISNUMBER(SEARCH("C", 'WetLitterbags placem_collection'!V75)),"YES","NO")</f>
        <v>NO</v>
      </c>
      <c r="AM74" t="str">
        <f>IF(ISNUMBER(SEARCH("H", 'WetLitterbags placem_collection'!V75)),"YES","NO")</f>
        <v>YES</v>
      </c>
      <c r="AN74" t="str">
        <f>IF(ISNUMBER(SEARCH("R", 'WetLitterbags placem_collection'!V75)),"YES","NO")</f>
        <v>YES</v>
      </c>
    </row>
    <row r="75" spans="1:40">
      <c r="A75" s="258" t="s">
        <v>2460</v>
      </c>
      <c r="B75" s="263">
        <f>'Dry_Litterbag Placem_Collection'!A76</f>
        <v>74</v>
      </c>
      <c r="C75" s="263" t="str">
        <f>'Dry_Litterbag Placem_Collection'!B76</f>
        <v>Maswa</v>
      </c>
      <c r="D75" s="263" t="s">
        <v>2659</v>
      </c>
      <c r="E75" s="263" t="s">
        <v>2661</v>
      </c>
      <c r="F75" s="263">
        <v>2</v>
      </c>
      <c r="G75" s="264" t="str">
        <f>'Dry_Litterbag Placem_Collection'!C76</f>
        <v>Dry_W2_T2</v>
      </c>
      <c r="H75" s="265" t="s">
        <v>2541</v>
      </c>
      <c r="I75" s="266" t="s">
        <v>1147</v>
      </c>
      <c r="J75" s="223" t="str">
        <f>'WetLitterbags placem_collection'!K76</f>
        <v>G605</v>
      </c>
      <c r="K75" s="225">
        <f>IFERROR(INDEX('Green_rooibos initial weight'!$C$5:$C$1749,MATCH(J75, 'Green_rooibos initial weight'!$A$5:$A$1749,0)),"")</f>
        <v>2.0459999999999998</v>
      </c>
      <c r="L75" s="225">
        <f>IFERROR(K75-(TBIcalc!$H$9+TBIcalc!$H$10),"")</f>
        <v>1.7961999999999998</v>
      </c>
      <c r="M75" s="391">
        <f>AVERAGE(Ashed_controlls!$K$2:$K$11)</f>
        <v>5.5147656768714146</v>
      </c>
      <c r="N75" s="225">
        <f t="shared" si="7"/>
        <v>1.6971437789120354</v>
      </c>
      <c r="O75" s="225">
        <f>IF(IFERROR(INDEX('Both teabags AfterWet'!$C$3:$C$841,MATCH(J75,'Both teabags AfterWet'!$A$3:$A$841,0)),"")="","",(IFERROR(INDEX('Both teabags AfterWet'!$C$3:$C$841,MATCH(J75,'Both teabags AfterWet'!$A$3:$A$841,0)),"")))</f>
        <v>1.1950000000000001</v>
      </c>
      <c r="P75" s="225">
        <f>IFERROR(IF(O75&gt;0,O75-(TBIcalc!$H$9),""),"")</f>
        <v>1.0444</v>
      </c>
      <c r="Q75" s="225">
        <f>IFERROR(INDEX('Ashed teabags wet'!$K$2:$K$821,MATCH(J75,'Ashed teabags wet'!$A$2:$A$821,0)),"")</f>
        <v>62.512315270936703</v>
      </c>
      <c r="R75" s="225">
        <f t="shared" ref="R75:R138" si="11">IFERROR(P75-(Q75/100)*P75,"")</f>
        <v>0.39152137931033704</v>
      </c>
      <c r="S75" s="226">
        <f>'WetLitterbags placem_collection'!E76</f>
        <v>42767</v>
      </c>
      <c r="T75" s="226">
        <f>IF('WetLitterbags placem_collection'!G76="","",'WetLitterbags placem_collection'!G76)</f>
        <v>42818</v>
      </c>
      <c r="U75" s="227">
        <f t="shared" si="8"/>
        <v>51</v>
      </c>
      <c r="V75" s="225">
        <f t="shared" si="9"/>
        <v>0.7517999999999998</v>
      </c>
      <c r="W75" s="225">
        <f t="shared" si="10"/>
        <v>1.3056223996016985</v>
      </c>
      <c r="X75">
        <f>IFERROR(INDEX(Rainfall_Wet!$O$2:$O$217,MATCH(B75, Rainfall_Wet!$A$2:$A$217,0)),"")</f>
        <v>185.630065823</v>
      </c>
      <c r="Y75" s="231">
        <v>45.272914521112256</v>
      </c>
      <c r="Z75" s="231">
        <v>23.604531410916575</v>
      </c>
      <c r="AA75" s="231">
        <v>31.122554067971166</v>
      </c>
      <c r="AB75" s="232" t="s">
        <v>2673</v>
      </c>
      <c r="AC75" s="231">
        <v>3.0547560374568801</v>
      </c>
      <c r="AD75">
        <f>IF('WetLitterbags placem_collection'!AB76="","",'WetLitterbags placem_collection'!AB76)</f>
        <v>7.7</v>
      </c>
      <c r="AE75">
        <f>IF('WetLitterbags placem_collection'!Z76="","",'WetLitterbags placem_collection'!Z76)</f>
        <v>9.4</v>
      </c>
      <c r="AF75" s="246" t="str">
        <f>IF('WetLitterbags placem_collection'!AA76="","",'WetLitterbags placem_collection'!AA76)</f>
        <v>M</v>
      </c>
      <c r="AG75">
        <f>IF('WetLitterbags placem_collection'!AC76="","",'WetLitterbags placem_collection'!AC76)</f>
        <v>1</v>
      </c>
      <c r="AH75" s="240">
        <f>AVERAGE('WetLitterbags placem_collection'!S76,'WetLitterbags placem_collection'!U76)</f>
        <v>24.65</v>
      </c>
      <c r="AI75">
        <f>AVERAGE('WetLitterbags placem_collection'!R76,'WetLitterbags placem_collection'!T76)</f>
        <v>24.35</v>
      </c>
      <c r="AJ75">
        <f>INDEX(Coordinates!$B$2:$B$197,MATCH(G75,Coordinates!$J$2:$J$197,0))</f>
        <v>-3.3025779759999998</v>
      </c>
      <c r="AK75">
        <f>INDEX(Coordinates!$C$2:$C$197,MATCH(G75,Coordinates!$J$2:$J$197,0))</f>
        <v>34.848041969999997</v>
      </c>
      <c r="AL75" t="str">
        <f>IF(ISNUMBER(SEARCH("C", 'WetLitterbags placem_collection'!V76)),"YES","NO")</f>
        <v>NO</v>
      </c>
      <c r="AM75" t="str">
        <f>IF(ISNUMBER(SEARCH("H", 'WetLitterbags placem_collection'!V76)),"YES","NO")</f>
        <v>YES</v>
      </c>
      <c r="AN75" t="str">
        <f>IF(ISNUMBER(SEARCH("R", 'WetLitterbags placem_collection'!V76)),"YES","NO")</f>
        <v>YES</v>
      </c>
    </row>
    <row r="76" spans="1:40">
      <c r="A76" s="258" t="s">
        <v>2460</v>
      </c>
      <c r="B76" s="263">
        <f>'Dry_Litterbag Placem_Collection'!A77</f>
        <v>75</v>
      </c>
      <c r="C76" s="263" t="str">
        <f>'Dry_Litterbag Placem_Collection'!B77</f>
        <v>Maswa</v>
      </c>
      <c r="D76" s="263" t="s">
        <v>2659</v>
      </c>
      <c r="E76" s="263" t="s">
        <v>2661</v>
      </c>
      <c r="F76" s="263">
        <v>2</v>
      </c>
      <c r="G76" s="264" t="str">
        <f>'Dry_Litterbag Placem_Collection'!C77</f>
        <v>Dry_W2_T3</v>
      </c>
      <c r="H76" s="265" t="s">
        <v>2541</v>
      </c>
      <c r="I76" s="266" t="s">
        <v>1147</v>
      </c>
      <c r="J76" s="223" t="str">
        <f>'WetLitterbags placem_collection'!K77</f>
        <v>G408</v>
      </c>
      <c r="K76" s="225">
        <f>IFERROR(INDEX('Green_rooibos initial weight'!$C$5:$C$1749,MATCH(J76, 'Green_rooibos initial weight'!$A$5:$A$1749,0)),"")</f>
        <v>2.044</v>
      </c>
      <c r="L76" s="225">
        <f>IFERROR(K76-(TBIcalc!$H$9+TBIcalc!$H$10),"")</f>
        <v>1.7942</v>
      </c>
      <c r="M76" s="391">
        <f>AVERAGE(Ashed_controlls!$K$2:$K$11)</f>
        <v>5.5147656768714146</v>
      </c>
      <c r="N76" s="225">
        <f t="shared" si="7"/>
        <v>1.6952540742255731</v>
      </c>
      <c r="O76" s="225">
        <f>IF(IFERROR(INDEX('Both teabags AfterWet'!$C$3:$C$841,MATCH(J76,'Both teabags AfterWet'!$A$3:$A$841,0)),"")="","",(IFERROR(INDEX('Both teabags AfterWet'!$C$3:$C$841,MATCH(J76,'Both teabags AfterWet'!$A$3:$A$841,0)),"")))</f>
        <v>0.85780000000000001</v>
      </c>
      <c r="P76" s="225">
        <f>IFERROR(IF(O76&gt;0,O76-(TBIcalc!$H$9),""),"")</f>
        <v>0.70720000000000005</v>
      </c>
      <c r="Q76" s="225">
        <f>IFERROR(INDEX('Ashed teabags wet'!$K$2:$K$821,MATCH(J76,'Ashed teabags wet'!$A$2:$A$821,0)),"")</f>
        <v>10.812157448929053</v>
      </c>
      <c r="R76" s="225">
        <f t="shared" si="11"/>
        <v>0.63073642252117379</v>
      </c>
      <c r="S76" s="226">
        <f>'WetLitterbags placem_collection'!E77</f>
        <v>42767</v>
      </c>
      <c r="T76" s="226">
        <f>IF('WetLitterbags placem_collection'!G77="","",'WetLitterbags placem_collection'!G77)</f>
        <v>42818</v>
      </c>
      <c r="U76" s="227">
        <f t="shared" si="8"/>
        <v>51</v>
      </c>
      <c r="V76" s="225">
        <f t="shared" si="9"/>
        <v>1.087</v>
      </c>
      <c r="W76" s="225">
        <f t="shared" si="10"/>
        <v>1.0645176517043993</v>
      </c>
      <c r="X76">
        <f>IFERROR(INDEX(Rainfall_Wet!$O$2:$O$217,MATCH(B76, Rainfall_Wet!$A$2:$A$217,0)),"")</f>
        <v>185.630065823</v>
      </c>
      <c r="Y76" s="231">
        <v>45.272914521112256</v>
      </c>
      <c r="Z76" s="231">
        <v>23.604531410916575</v>
      </c>
      <c r="AA76" s="231">
        <v>31.122554067971166</v>
      </c>
      <c r="AB76" s="232" t="s">
        <v>2673</v>
      </c>
      <c r="AC76" s="231">
        <v>4.0547560374568796</v>
      </c>
      <c r="AD76">
        <f>IF('WetLitterbags placem_collection'!AB77="","",'WetLitterbags placem_collection'!AB77)</f>
        <v>6.1</v>
      </c>
      <c r="AE76">
        <f>IF('WetLitterbags placem_collection'!Z77="","",'WetLitterbags placem_collection'!Z77)</f>
        <v>13.8</v>
      </c>
      <c r="AF76" s="246" t="str">
        <f>IF('WetLitterbags placem_collection'!AA77="","",'WetLitterbags placem_collection'!AA77)</f>
        <v>O</v>
      </c>
      <c r="AG76">
        <f>IF('WetLitterbags placem_collection'!AC77="","",'WetLitterbags placem_collection'!AC77)</f>
        <v>0</v>
      </c>
      <c r="AH76" s="240">
        <f>AVERAGE('WetLitterbags placem_collection'!S77,'WetLitterbags placem_collection'!U77)</f>
        <v>27.150000000000002</v>
      </c>
      <c r="AI76">
        <f>AVERAGE('WetLitterbags placem_collection'!R77,'WetLitterbags placem_collection'!T77)</f>
        <v>25.65</v>
      </c>
      <c r="AJ76">
        <f>INDEX(Coordinates!$B$2:$B$197,MATCH(G76,Coordinates!$J$2:$J$197,0))</f>
        <v>-3.302687025</v>
      </c>
      <c r="AK76">
        <f>INDEX(Coordinates!$C$2:$C$197,MATCH(G76,Coordinates!$J$2:$J$197,0))</f>
        <v>34.847926970000003</v>
      </c>
      <c r="AL76" t="str">
        <f>IF(ISNUMBER(SEARCH("C", 'WetLitterbags placem_collection'!V77)),"YES","NO")</f>
        <v>NO</v>
      </c>
      <c r="AM76" t="str">
        <f>IF(ISNUMBER(SEARCH("H", 'WetLitterbags placem_collection'!V77)),"YES","NO")</f>
        <v>YES</v>
      </c>
      <c r="AN76" t="str">
        <f>IF(ISNUMBER(SEARCH("R", 'WetLitterbags placem_collection'!V77)),"YES","NO")</f>
        <v>YES</v>
      </c>
    </row>
    <row r="77" spans="1:40">
      <c r="A77" s="258" t="s">
        <v>2460</v>
      </c>
      <c r="B77" s="263">
        <f>'Dry_Litterbag Placem_Collection'!A78</f>
        <v>76</v>
      </c>
      <c r="C77" s="263" t="str">
        <f>'Dry_Litterbag Placem_Collection'!B78</f>
        <v>Maswa</v>
      </c>
      <c r="D77" s="263" t="s">
        <v>2659</v>
      </c>
      <c r="E77" s="263" t="s">
        <v>2661</v>
      </c>
      <c r="F77" s="263">
        <v>2</v>
      </c>
      <c r="G77" s="264" t="str">
        <f>'Dry_Litterbag Placem_Collection'!C78</f>
        <v>Dry_W2_T4</v>
      </c>
      <c r="H77" s="265" t="s">
        <v>2541</v>
      </c>
      <c r="I77" s="266" t="s">
        <v>1147</v>
      </c>
      <c r="J77" s="223" t="str">
        <f>'WetLitterbags placem_collection'!K78</f>
        <v>G416</v>
      </c>
      <c r="K77" s="225">
        <f>IFERROR(INDEX('Green_rooibos initial weight'!$C$5:$C$1749,MATCH(J77, 'Green_rooibos initial weight'!$A$5:$A$1749,0)),"")</f>
        <v>2.1819999999999999</v>
      </c>
      <c r="L77" s="225">
        <f>IFERROR(K77-(TBIcalc!$H$9+TBIcalc!$H$10),"")</f>
        <v>1.9321999999999999</v>
      </c>
      <c r="M77" s="391">
        <f>AVERAGE(Ashed_controlls!$K$2:$K$11)</f>
        <v>5.5147656768714146</v>
      </c>
      <c r="N77" s="225">
        <f t="shared" si="7"/>
        <v>1.8256436975914905</v>
      </c>
      <c r="O77" s="225">
        <f>IF(IFERROR(INDEX('Both teabags AfterWet'!$C$3:$C$841,MATCH(J77,'Both teabags AfterWet'!$A$3:$A$841,0)),"")="","",(IFERROR(INDEX('Both teabags AfterWet'!$C$3:$C$841,MATCH(J77,'Both teabags AfterWet'!$A$3:$A$841,0)),"")))</f>
        <v>0.94399999999999995</v>
      </c>
      <c r="P77" s="225">
        <f>IFERROR(IF(O77&gt;0,O77-(TBIcalc!$H$9),""),"")</f>
        <v>0.79339999999999988</v>
      </c>
      <c r="Q77" s="225">
        <f>IFERROR(INDEX('Ashed teabags wet'!$K$2:$K$821,MATCH(J77,'Ashed teabags wet'!$A$2:$A$821,0)),"")</f>
        <v>14.711729622266519</v>
      </c>
      <c r="R77" s="225">
        <f t="shared" si="11"/>
        <v>0.67667713717693734</v>
      </c>
      <c r="S77" s="226">
        <f>'WetLitterbags placem_collection'!E78</f>
        <v>42767</v>
      </c>
      <c r="T77" s="226">
        <f>IF('WetLitterbags placem_collection'!G78="","",'WetLitterbags placem_collection'!G78)</f>
        <v>42818</v>
      </c>
      <c r="U77" s="227">
        <f t="shared" si="8"/>
        <v>51</v>
      </c>
      <c r="V77" s="225">
        <f t="shared" si="9"/>
        <v>1.1388</v>
      </c>
      <c r="W77" s="225">
        <f t="shared" si="10"/>
        <v>1.1489665604145531</v>
      </c>
      <c r="X77">
        <f>IFERROR(INDEX(Rainfall_Wet!$O$2:$O$217,MATCH(B77, Rainfall_Wet!$A$2:$A$217,0)),"")</f>
        <v>185.630065823</v>
      </c>
      <c r="Y77" s="231">
        <v>45.272914521112256</v>
      </c>
      <c r="Z77" s="231">
        <v>23.604531410916575</v>
      </c>
      <c r="AA77" s="231">
        <v>31.122554067971166</v>
      </c>
      <c r="AB77" s="232" t="s">
        <v>2673</v>
      </c>
      <c r="AC77" s="231">
        <v>5.0547560374568796</v>
      </c>
      <c r="AD77">
        <f>IF('WetLitterbags placem_collection'!AB78="","",'WetLitterbags placem_collection'!AB78)</f>
        <v>6.7</v>
      </c>
      <c r="AE77">
        <f>IF('WetLitterbags placem_collection'!Z78="","",'WetLitterbags placem_collection'!Z78)</f>
        <v>19.3</v>
      </c>
      <c r="AF77" s="246" t="str">
        <f>IF('WetLitterbags placem_collection'!AA78="","",'WetLitterbags placem_collection'!AA78)</f>
        <v>M</v>
      </c>
      <c r="AG77">
        <f>IF('WetLitterbags placem_collection'!AC78="","",'WetLitterbags placem_collection'!AC78)</f>
        <v>1</v>
      </c>
      <c r="AH77" s="240">
        <f>AVERAGE('WetLitterbags placem_collection'!S78,'WetLitterbags placem_collection'!U78)</f>
        <v>26.8</v>
      </c>
      <c r="AI77">
        <f>AVERAGE('WetLitterbags placem_collection'!R78,'WetLitterbags placem_collection'!T78)</f>
        <v>23.7</v>
      </c>
      <c r="AJ77">
        <f>INDEX(Coordinates!$B$2:$B$197,MATCH(G77,Coordinates!$J$2:$J$197,0))</f>
        <v>-3.3024560190000001</v>
      </c>
      <c r="AK77">
        <f>INDEX(Coordinates!$C$2:$C$197,MATCH(G77,Coordinates!$J$2:$J$197,0))</f>
        <v>34.847871990000002</v>
      </c>
      <c r="AL77" t="str">
        <f>IF(ISNUMBER(SEARCH("C", 'WetLitterbags placem_collection'!V78)),"YES","NO")</f>
        <v>NO</v>
      </c>
      <c r="AM77" t="str">
        <f>IF(ISNUMBER(SEARCH("H", 'WetLitterbags placem_collection'!V78)),"YES","NO")</f>
        <v>YES</v>
      </c>
      <c r="AN77" t="str">
        <f>IF(ISNUMBER(SEARCH("R", 'WetLitterbags placem_collection'!V78)),"YES","NO")</f>
        <v>NO</v>
      </c>
    </row>
    <row r="78" spans="1:40">
      <c r="A78" s="258" t="s">
        <v>2460</v>
      </c>
      <c r="B78" s="263">
        <f>'Dry_Litterbag Placem_Collection'!A79</f>
        <v>77</v>
      </c>
      <c r="C78" s="263" t="str">
        <f>'Dry_Litterbag Placem_Collection'!B79</f>
        <v>Maswa</v>
      </c>
      <c r="D78" s="263" t="s">
        <v>2659</v>
      </c>
      <c r="E78" s="263" t="s">
        <v>2661</v>
      </c>
      <c r="F78" s="263">
        <v>2</v>
      </c>
      <c r="G78" s="264" t="str">
        <f>'Dry_Litterbag Placem_Collection'!C79</f>
        <v>Dry_W2_T5</v>
      </c>
      <c r="H78" s="265" t="s">
        <v>2541</v>
      </c>
      <c r="I78" s="266" t="s">
        <v>1147</v>
      </c>
      <c r="J78" s="223" t="str">
        <f>'WetLitterbags placem_collection'!K79</f>
        <v>G594</v>
      </c>
      <c r="K78" s="225">
        <f>IFERROR(INDEX('Green_rooibos initial weight'!$C$5:$C$1749,MATCH(J78, 'Green_rooibos initial weight'!$A$5:$A$1749,0)),"")</f>
        <v>2.0680000000000001</v>
      </c>
      <c r="L78" s="225">
        <f>IFERROR(K78-(TBIcalc!$H$9+TBIcalc!$H$10),"")</f>
        <v>1.8182</v>
      </c>
      <c r="M78" s="391">
        <f>AVERAGE(Ashed_controlls!$K$2:$K$11)</f>
        <v>5.5147656768714146</v>
      </c>
      <c r="N78" s="225">
        <f t="shared" si="7"/>
        <v>1.7179305304631241</v>
      </c>
      <c r="O78" s="225">
        <f>IF(IFERROR(INDEX('Both teabags AfterWet'!$C$3:$C$841,MATCH(J78,'Both teabags AfterWet'!$A$3:$A$841,0)),"")="","",(IFERROR(INDEX('Both teabags AfterWet'!$C$3:$C$841,MATCH(J78,'Both teabags AfterWet'!$A$3:$A$841,0)),"")))</f>
        <v>0.94699999999999995</v>
      </c>
      <c r="P78" s="225">
        <f>IFERROR(IF(O78&gt;0,O78-(TBIcalc!$H$9),""),"")</f>
        <v>0.7964</v>
      </c>
      <c r="Q78" s="225">
        <f>IFERROR(INDEX('Ashed teabags wet'!$K$2:$K$821,MATCH(J78,'Ashed teabags wet'!$A$2:$A$821,0)),"")</f>
        <v>12.475633528264789</v>
      </c>
      <c r="R78" s="225">
        <f t="shared" si="11"/>
        <v>0.69704405458089924</v>
      </c>
      <c r="S78" s="226">
        <f>'WetLitterbags placem_collection'!E79</f>
        <v>42767</v>
      </c>
      <c r="T78" s="226">
        <f>IF('WetLitterbags placem_collection'!G79="","",'WetLitterbags placem_collection'!G79)</f>
        <v>42818</v>
      </c>
      <c r="U78" s="227">
        <f t="shared" si="8"/>
        <v>51</v>
      </c>
      <c r="V78" s="225">
        <f t="shared" si="9"/>
        <v>1.0218</v>
      </c>
      <c r="W78" s="225">
        <f t="shared" si="10"/>
        <v>1.0208864758822247</v>
      </c>
      <c r="X78">
        <f>IFERROR(INDEX(Rainfall_Wet!$O$2:$O$217,MATCH(B78, Rainfall_Wet!$A$2:$A$217,0)),"")</f>
        <v>185.630065823</v>
      </c>
      <c r="Y78" s="231">
        <v>45.272914521112256</v>
      </c>
      <c r="Z78" s="231">
        <v>23.604531410916575</v>
      </c>
      <c r="AA78" s="231">
        <v>31.122554067971166</v>
      </c>
      <c r="AB78" s="232" t="s">
        <v>2673</v>
      </c>
      <c r="AC78" s="231">
        <v>6.0547560374568796</v>
      </c>
      <c r="AD78">
        <f>IF('WetLitterbags placem_collection'!AB79="","",'WetLitterbags placem_collection'!AB79)</f>
        <v>3.1</v>
      </c>
      <c r="AE78">
        <f>IF('WetLitterbags placem_collection'!Z79="","",'WetLitterbags placem_collection'!Z79)</f>
        <v>9.8000000000000007</v>
      </c>
      <c r="AF78" s="246" t="str">
        <f>IF('WetLitterbags placem_collection'!AA79="","",'WetLitterbags placem_collection'!AA79)</f>
        <v>O</v>
      </c>
      <c r="AG78">
        <f>IF('WetLitterbags placem_collection'!AC79="","",'WetLitterbags placem_collection'!AC79)</f>
        <v>1</v>
      </c>
      <c r="AH78" s="240">
        <f>AVERAGE('WetLitterbags placem_collection'!S79,'WetLitterbags placem_collection'!U79)</f>
        <v>25.950000000000003</v>
      </c>
      <c r="AI78">
        <f>AVERAGE('WetLitterbags placem_collection'!R79,'WetLitterbags placem_collection'!T79)</f>
        <v>25.950000000000003</v>
      </c>
      <c r="AJ78">
        <f>INDEX(Coordinates!$B$2:$B$197,MATCH(G78,Coordinates!$J$2:$J$197,0))</f>
        <v>-3.3023280279999998</v>
      </c>
      <c r="AK78">
        <f>INDEX(Coordinates!$C$2:$C$197,MATCH(G78,Coordinates!$J$2:$J$197,0))</f>
        <v>34.848223019999999</v>
      </c>
      <c r="AL78" t="str">
        <f>IF(ISNUMBER(SEARCH("C", 'WetLitterbags placem_collection'!V79)),"YES","NO")</f>
        <v>NO</v>
      </c>
      <c r="AM78" t="str">
        <f>IF(ISNUMBER(SEARCH("H", 'WetLitterbags placem_collection'!V79)),"YES","NO")</f>
        <v>NO</v>
      </c>
      <c r="AN78" t="str">
        <f>IF(ISNUMBER(SEARCH("R", 'WetLitterbags placem_collection'!V79)),"YES","NO")</f>
        <v>YES</v>
      </c>
    </row>
    <row r="79" spans="1:40">
      <c r="A79" s="258" t="s">
        <v>2460</v>
      </c>
      <c r="B79" s="263">
        <f>'Dry_Litterbag Placem_Collection'!A80</f>
        <v>78</v>
      </c>
      <c r="C79" s="263" t="str">
        <f>'Dry_Litterbag Placem_Collection'!B80</f>
        <v>Maswa</v>
      </c>
      <c r="D79" s="263" t="s">
        <v>2659</v>
      </c>
      <c r="E79" s="263" t="s">
        <v>2661</v>
      </c>
      <c r="F79" s="263">
        <v>2</v>
      </c>
      <c r="G79" s="264" t="str">
        <f>'Dry_Litterbag Placem_Collection'!C80</f>
        <v>Dry_W2_T6</v>
      </c>
      <c r="H79" s="265" t="s">
        <v>2541</v>
      </c>
      <c r="I79" s="266" t="s">
        <v>1147</v>
      </c>
      <c r="J79" s="223" t="str">
        <f>'WetLitterbags placem_collection'!K80</f>
        <v>G460</v>
      </c>
      <c r="K79" s="225">
        <f>IFERROR(INDEX('Green_rooibos initial weight'!$C$5:$C$1749,MATCH(J79, 'Green_rooibos initial weight'!$A$5:$A$1749,0)),"")</f>
        <v>2.1560000000000001</v>
      </c>
      <c r="L79" s="225">
        <f>IFERROR(K79-(TBIcalc!$H$9+TBIcalc!$H$10),"")</f>
        <v>1.9062000000000001</v>
      </c>
      <c r="M79" s="391">
        <f>AVERAGE(Ashed_controlls!$K$2:$K$11)</f>
        <v>5.5147656768714146</v>
      </c>
      <c r="N79" s="225">
        <f t="shared" si="7"/>
        <v>1.8010775366674772</v>
      </c>
      <c r="O79" s="225">
        <f>IF(IFERROR(INDEX('Both teabags AfterWet'!$C$3:$C$841,MATCH(J79,'Both teabags AfterWet'!$A$3:$A$841,0)),"")="","",(IFERROR(INDEX('Both teabags AfterWet'!$C$3:$C$841,MATCH(J79,'Both teabags AfterWet'!$A$3:$A$841,0)),"")))</f>
        <v>0.90669999999999995</v>
      </c>
      <c r="P79" s="225">
        <f>IFERROR(IF(O79&gt;0,O79-(TBIcalc!$H$9),""),"")</f>
        <v>0.75609999999999999</v>
      </c>
      <c r="Q79" s="225">
        <f>IFERROR(INDEX('Ashed teabags wet'!$K$2:$K$821,MATCH(J79,'Ashed teabags wet'!$A$2:$A$821,0)),"")</f>
        <v>10.069790628115374</v>
      </c>
      <c r="R79" s="225">
        <f t="shared" si="11"/>
        <v>0.67996231306081967</v>
      </c>
      <c r="S79" s="226">
        <f>'WetLitterbags placem_collection'!E80</f>
        <v>42767</v>
      </c>
      <c r="T79" s="226">
        <f>IF('WetLitterbags placem_collection'!G80="","",'WetLitterbags placem_collection'!G80)</f>
        <v>42818</v>
      </c>
      <c r="U79" s="227">
        <f t="shared" si="8"/>
        <v>51</v>
      </c>
      <c r="V79" s="225">
        <f t="shared" si="9"/>
        <v>1.1501000000000001</v>
      </c>
      <c r="W79" s="225">
        <f t="shared" si="10"/>
        <v>1.1211152236066575</v>
      </c>
      <c r="X79">
        <f>IFERROR(INDEX(Rainfall_Wet!$O$2:$O$217,MATCH(B79, Rainfall_Wet!$A$2:$A$217,0)),"")</f>
        <v>185.630065823</v>
      </c>
      <c r="Y79" s="231">
        <v>45.272914521112256</v>
      </c>
      <c r="Z79" s="231">
        <v>23.604531410916575</v>
      </c>
      <c r="AA79" s="231">
        <v>31.122554067971166</v>
      </c>
      <c r="AB79" s="232" t="s">
        <v>2673</v>
      </c>
      <c r="AC79" s="231">
        <v>7.0547560374568796</v>
      </c>
      <c r="AD79">
        <f>IF('WetLitterbags placem_collection'!AB80="","",'WetLitterbags placem_collection'!AB80)</f>
        <v>10.4</v>
      </c>
      <c r="AE79">
        <f>IF('WetLitterbags placem_collection'!Z80="","",'WetLitterbags placem_collection'!Z80)</f>
        <v>15.4</v>
      </c>
      <c r="AF79" s="246" t="str">
        <f>IF('WetLitterbags placem_collection'!AA80="","",'WetLitterbags placem_collection'!AA80)</f>
        <v>M</v>
      </c>
      <c r="AG79">
        <f>IF('WetLitterbags placem_collection'!AC80="","",'WetLitterbags placem_collection'!AC80)</f>
        <v>1</v>
      </c>
      <c r="AH79" s="240">
        <f>AVERAGE('WetLitterbags placem_collection'!S80,'WetLitterbags placem_collection'!U80)</f>
        <v>24.15</v>
      </c>
      <c r="AI79">
        <f>AVERAGE('WetLitterbags placem_collection'!R80,'WetLitterbags placem_collection'!T80)</f>
        <v>27.75</v>
      </c>
      <c r="AJ79">
        <f>INDEX(Coordinates!$B$2:$B$197,MATCH(G79,Coordinates!$J$2:$J$197,0))</f>
        <v>-3.3025680020000001</v>
      </c>
      <c r="AK79">
        <f>INDEX(Coordinates!$C$2:$C$197,MATCH(G79,Coordinates!$J$2:$J$197,0))</f>
        <v>34.848167029999999</v>
      </c>
      <c r="AL79" t="str">
        <f>IF(ISNUMBER(SEARCH("C", 'WetLitterbags placem_collection'!V80)),"YES","NO")</f>
        <v>NO</v>
      </c>
      <c r="AM79" t="str">
        <f>IF(ISNUMBER(SEARCH("H", 'WetLitterbags placem_collection'!V80)),"YES","NO")</f>
        <v>NO</v>
      </c>
      <c r="AN79" t="str">
        <f>IF(ISNUMBER(SEARCH("R", 'WetLitterbags placem_collection'!V80)),"YES","NO")</f>
        <v>YES</v>
      </c>
    </row>
    <row r="80" spans="1:40">
      <c r="A80" s="258" t="s">
        <v>2460</v>
      </c>
      <c r="B80" s="263">
        <f>'Dry_Litterbag Placem_Collection'!A81</f>
        <v>79</v>
      </c>
      <c r="C80" s="263" t="str">
        <f>'Dry_Litterbag Placem_Collection'!B81</f>
        <v>Maswa</v>
      </c>
      <c r="D80" s="263" t="s">
        <v>2659</v>
      </c>
      <c r="E80" s="263" t="s">
        <v>2661</v>
      </c>
      <c r="F80" s="263">
        <v>2</v>
      </c>
      <c r="G80" s="264" t="str">
        <f>'Dry_Litterbag Placem_Collection'!C81</f>
        <v>Dry_W2_T7</v>
      </c>
      <c r="H80" s="265" t="s">
        <v>2541</v>
      </c>
      <c r="I80" s="266" t="s">
        <v>1147</v>
      </c>
      <c r="J80" s="223" t="str">
        <f>'WetLitterbags placem_collection'!K81</f>
        <v>G217</v>
      </c>
      <c r="K80" s="225">
        <f>IFERROR(INDEX('Green_rooibos initial weight'!$C$5:$C$1749,MATCH(J80, 'Green_rooibos initial weight'!$A$5:$A$1749,0)),"")</f>
        <v>1.944</v>
      </c>
      <c r="L80" s="225">
        <f>IFERROR(K80-(TBIcalc!$H$9+TBIcalc!$H$10),"")</f>
        <v>1.6941999999999999</v>
      </c>
      <c r="M80" s="391">
        <f>AVERAGE(Ashed_controlls!$K$2:$K$11)</f>
        <v>5.5147656768714146</v>
      </c>
      <c r="N80" s="225">
        <f t="shared" si="7"/>
        <v>1.6007688399024445</v>
      </c>
      <c r="O80" s="225">
        <f>IF(IFERROR(INDEX('Both teabags AfterWet'!$C$3:$C$841,MATCH(J80,'Both teabags AfterWet'!$A$3:$A$841,0)),"")="","",(IFERROR(INDEX('Both teabags AfterWet'!$C$3:$C$841,MATCH(J80,'Both teabags AfterWet'!$A$3:$A$841,0)),"")))</f>
        <v>0.85370000000000001</v>
      </c>
      <c r="P80" s="225">
        <f>IFERROR(IF(O80&gt;0,O80-(TBIcalc!$H$9),""),"")</f>
        <v>0.70310000000000006</v>
      </c>
      <c r="Q80" s="225">
        <f>IFERROR(INDEX('Ashed teabags wet'!$K$2:$K$821,MATCH(J80,'Ashed teabags wet'!$A$2:$A$821,0)),"")</f>
        <v>15.104419621176483</v>
      </c>
      <c r="R80" s="225">
        <f t="shared" si="11"/>
        <v>0.59690082564350821</v>
      </c>
      <c r="S80" s="226">
        <f>'WetLitterbags placem_collection'!E81</f>
        <v>42767</v>
      </c>
      <c r="T80" s="226">
        <f>IF('WetLitterbags placem_collection'!G81="","",'WetLitterbags placem_collection'!G81)</f>
        <v>42818</v>
      </c>
      <c r="U80" s="227">
        <f t="shared" si="8"/>
        <v>51</v>
      </c>
      <c r="V80" s="225">
        <f t="shared" si="9"/>
        <v>0.99109999999999987</v>
      </c>
      <c r="W80" s="225">
        <f t="shared" si="10"/>
        <v>1.0038680142589362</v>
      </c>
      <c r="X80">
        <f>IFERROR(INDEX(Rainfall_Wet!$O$2:$O$217,MATCH(B80, Rainfall_Wet!$A$2:$A$217,0)),"")</f>
        <v>185.630065823</v>
      </c>
      <c r="Y80" s="231">
        <v>45.272914521112256</v>
      </c>
      <c r="Z80" s="231">
        <v>23.604531410916575</v>
      </c>
      <c r="AA80" s="231">
        <v>31.122554067971166</v>
      </c>
      <c r="AB80" s="232" t="s">
        <v>2673</v>
      </c>
      <c r="AC80" s="231">
        <v>8.0547560374568796</v>
      </c>
      <c r="AD80">
        <f>IF('WetLitterbags placem_collection'!AB81="","",'WetLitterbags placem_collection'!AB81)</f>
        <v>3</v>
      </c>
      <c r="AE80">
        <f>IF('WetLitterbags placem_collection'!Z81="","",'WetLitterbags placem_collection'!Z81)</f>
        <v>5</v>
      </c>
      <c r="AF80" s="246" t="str">
        <f>IF('WetLitterbags placem_collection'!AA81="","",'WetLitterbags placem_collection'!AA81)</f>
        <v>G</v>
      </c>
      <c r="AG80">
        <f>IF('WetLitterbags placem_collection'!AC81="","",'WetLitterbags placem_collection'!AC81)</f>
        <v>1</v>
      </c>
      <c r="AH80" s="240">
        <f>AVERAGE('WetLitterbags placem_collection'!S81,'WetLitterbags placem_collection'!U81)</f>
        <v>26.9</v>
      </c>
      <c r="AI80">
        <f>AVERAGE('WetLitterbags placem_collection'!R81,'WetLitterbags placem_collection'!T81)</f>
        <v>26.25</v>
      </c>
      <c r="AJ80">
        <f>INDEX(Coordinates!$B$2:$B$197,MATCH(G80,Coordinates!$J$2:$J$197,0))</f>
        <v>-3.3026270100000001</v>
      </c>
      <c r="AK80">
        <f>INDEX(Coordinates!$C$2:$C$197,MATCH(G80,Coordinates!$J$2:$J$197,0))</f>
        <v>34.84840801</v>
      </c>
      <c r="AL80" t="str">
        <f>IF(ISNUMBER(SEARCH("C", 'WetLitterbags placem_collection'!V81)),"YES","NO")</f>
        <v>NO</v>
      </c>
      <c r="AM80" t="str">
        <f>IF(ISNUMBER(SEARCH("H", 'WetLitterbags placem_collection'!V81)),"YES","NO")</f>
        <v>NO</v>
      </c>
      <c r="AN80" t="str">
        <f>IF(ISNUMBER(SEARCH("R", 'WetLitterbags placem_collection'!V81)),"YES","NO")</f>
        <v>YES</v>
      </c>
    </row>
    <row r="81" spans="1:40">
      <c r="A81" s="258" t="s">
        <v>2460</v>
      </c>
      <c r="B81" s="263">
        <f>'Dry_Litterbag Placem_Collection'!A82</f>
        <v>80</v>
      </c>
      <c r="C81" s="263" t="str">
        <f>'Dry_Litterbag Placem_Collection'!B82</f>
        <v>Maswa</v>
      </c>
      <c r="D81" s="263" t="s">
        <v>2659</v>
      </c>
      <c r="E81" s="263" t="s">
        <v>2661</v>
      </c>
      <c r="F81" s="263">
        <v>2</v>
      </c>
      <c r="G81" s="264" t="str">
        <f>'Dry_Litterbag Placem_Collection'!C82</f>
        <v>Dry_W2_T8</v>
      </c>
      <c r="H81" s="265" t="s">
        <v>2541</v>
      </c>
      <c r="I81" s="266" t="s">
        <v>1147</v>
      </c>
      <c r="J81" s="223" t="str">
        <f>'WetLitterbags placem_collection'!K82</f>
        <v>G607</v>
      </c>
      <c r="K81" s="225">
        <f>IFERROR(INDEX('Green_rooibos initial weight'!$C$5:$C$1749,MATCH(J81, 'Green_rooibos initial weight'!$A$5:$A$1749,0)),"")</f>
        <v>1.9450000000000001</v>
      </c>
      <c r="L81" s="225">
        <f>IFERROR(K81-(TBIcalc!$H$9+TBIcalc!$H$10),"")</f>
        <v>1.6952</v>
      </c>
      <c r="M81" s="391">
        <f>AVERAGE(Ashed_controlls!$K$2:$K$11)</f>
        <v>5.5147656768714146</v>
      </c>
      <c r="N81" s="225">
        <f t="shared" si="7"/>
        <v>1.6017136922456758</v>
      </c>
      <c r="O81" s="225">
        <f>IF(IFERROR(INDEX('Both teabags AfterWet'!$C$3:$C$841,MATCH(J81,'Both teabags AfterWet'!$A$3:$A$841,0)),"")="","",(IFERROR(INDEX('Both teabags AfterWet'!$C$3:$C$841,MATCH(J81,'Both teabags AfterWet'!$A$3:$A$841,0)),"")))</f>
        <v>0.92400000000000004</v>
      </c>
      <c r="P81" s="225">
        <f>IFERROR(IF(O81&gt;0,O81-(TBIcalc!$H$9),""),"")</f>
        <v>0.77340000000000009</v>
      </c>
      <c r="Q81" s="225">
        <f>IFERROR(INDEX('Ashed teabags wet'!$K$2:$K$821,MATCH(J81,'Ashed teabags wet'!$A$2:$A$821,0)),"")</f>
        <v>13.619696176008233</v>
      </c>
      <c r="R81" s="225">
        <f t="shared" si="11"/>
        <v>0.66806526977475245</v>
      </c>
      <c r="S81" s="226">
        <f>'WetLitterbags placem_collection'!E82</f>
        <v>42767</v>
      </c>
      <c r="T81" s="226">
        <f>IF('WetLitterbags placem_collection'!G82="","",'WetLitterbags placem_collection'!G82)</f>
        <v>42818</v>
      </c>
      <c r="U81" s="227">
        <f t="shared" si="8"/>
        <v>51</v>
      </c>
      <c r="V81" s="225">
        <f t="shared" si="9"/>
        <v>0.92179999999999995</v>
      </c>
      <c r="W81" s="225">
        <f t="shared" si="10"/>
        <v>0.93364842247092339</v>
      </c>
      <c r="X81">
        <f>IFERROR(INDEX(Rainfall_Wet!$O$2:$O$217,MATCH(B81, Rainfall_Wet!$A$2:$A$217,0)),"")</f>
        <v>185.630065823</v>
      </c>
      <c r="Y81" s="231">
        <v>45.272914521112256</v>
      </c>
      <c r="Z81" s="231">
        <v>23.604531410916575</v>
      </c>
      <c r="AA81" s="231">
        <v>31.122554067971166</v>
      </c>
      <c r="AB81" s="232" t="s">
        <v>2673</v>
      </c>
      <c r="AC81" s="231">
        <v>9.0547560374568796</v>
      </c>
      <c r="AD81">
        <f>IF('WetLitterbags placem_collection'!AB82="","",'WetLitterbags placem_collection'!AB82)</f>
        <v>2.7</v>
      </c>
      <c r="AE81">
        <f>IF('WetLitterbags placem_collection'!Z82="","",'WetLitterbags placem_collection'!Z82)</f>
        <v>12.4</v>
      </c>
      <c r="AF81" s="246" t="str">
        <f>IF('WetLitterbags placem_collection'!AA82="","",'WetLitterbags placem_collection'!AA82)</f>
        <v>O</v>
      </c>
      <c r="AG81">
        <f>IF('WetLitterbags placem_collection'!AC82="","",'WetLitterbags placem_collection'!AC82)</f>
        <v>1</v>
      </c>
      <c r="AH81" s="240">
        <f>AVERAGE('WetLitterbags placem_collection'!S82,'WetLitterbags placem_collection'!U82)</f>
        <v>28.55</v>
      </c>
      <c r="AI81">
        <f>AVERAGE('WetLitterbags placem_collection'!R82,'WetLitterbags placem_collection'!T82)</f>
        <v>27.450000000000003</v>
      </c>
      <c r="AJ81">
        <f>INDEX(Coordinates!$B$2:$B$197,MATCH(G81,Coordinates!$J$2:$J$197,0))</f>
        <v>-3.3028539920000002</v>
      </c>
      <c r="AK81">
        <f>INDEX(Coordinates!$C$2:$C$197,MATCH(G81,Coordinates!$J$2:$J$197,0))</f>
        <v>34.847988999999998</v>
      </c>
      <c r="AL81" t="str">
        <f>IF(ISNUMBER(SEARCH("C", 'WetLitterbags placem_collection'!V82)),"YES","NO")</f>
        <v>YES</v>
      </c>
      <c r="AM81" t="str">
        <f>IF(ISNUMBER(SEARCH("H", 'WetLitterbags placem_collection'!V82)),"YES","NO")</f>
        <v>YES</v>
      </c>
      <c r="AN81" t="str">
        <f>IF(ISNUMBER(SEARCH("R", 'WetLitterbags placem_collection'!V82)),"YES","NO")</f>
        <v>NO</v>
      </c>
    </row>
    <row r="82" spans="1:40">
      <c r="A82" s="258" t="s">
        <v>2460</v>
      </c>
      <c r="B82" s="263">
        <f>'Dry_Litterbag Placem_Collection'!A83</f>
        <v>81</v>
      </c>
      <c r="C82" s="263" t="str">
        <f>'Dry_Litterbag Placem_Collection'!B83</f>
        <v>Maswa</v>
      </c>
      <c r="D82" s="263" t="s">
        <v>2659</v>
      </c>
      <c r="E82" s="263" t="s">
        <v>2661</v>
      </c>
      <c r="F82" s="263">
        <v>3</v>
      </c>
      <c r="G82" s="264" t="str">
        <f>'Dry_Litterbag Placem_Collection'!C83</f>
        <v>Dry_W3_T1</v>
      </c>
      <c r="H82" s="265" t="s">
        <v>2541</v>
      </c>
      <c r="I82" s="266" t="s">
        <v>1147</v>
      </c>
      <c r="J82" s="223" t="str">
        <f>'WetLitterbags placem_collection'!K83</f>
        <v>G542</v>
      </c>
      <c r="K82" s="225">
        <f>IFERROR(INDEX('Green_rooibos initial weight'!$C$5:$C$1749,MATCH(J82, 'Green_rooibos initial weight'!$A$5:$A$1749,0)),"")</f>
        <v>2.0779999999999998</v>
      </c>
      <c r="L82" s="225">
        <f>IFERROR(K82-(TBIcalc!$H$9+TBIcalc!$H$10),"")</f>
        <v>1.8281999999999998</v>
      </c>
      <c r="M82" s="391">
        <f>AVERAGE(Ashed_controlls!$K$2:$K$11)</f>
        <v>5.5147656768714146</v>
      </c>
      <c r="N82" s="225">
        <f t="shared" si="7"/>
        <v>1.7273790538954366</v>
      </c>
      <c r="O82" s="225">
        <f>IF(IFERROR(INDEX('Both teabags AfterWet'!$C$3:$C$841,MATCH(J82,'Both teabags AfterWet'!$A$3:$A$841,0)),"")="","",(IFERROR(INDEX('Both teabags AfterWet'!$C$3:$C$841,MATCH(J82,'Both teabags AfterWet'!$A$3:$A$841,0)),"")))</f>
        <v>0.85099999999999998</v>
      </c>
      <c r="P82" s="225">
        <f>IFERROR(IF(O82&gt;0,O82-(TBIcalc!$H$9),""),"")</f>
        <v>0.70039999999999991</v>
      </c>
      <c r="Q82" s="225">
        <f>IFERROR(INDEX('Ashed teabags wet'!$K$2:$K$821,MATCH(J82,'Ashed teabags wet'!$A$2:$A$821,0)),"")</f>
        <v>15.009940357852306</v>
      </c>
      <c r="R82" s="225">
        <f t="shared" si="11"/>
        <v>0.59527037773360236</v>
      </c>
      <c r="S82" s="226">
        <f>'WetLitterbags placem_collection'!E83</f>
        <v>42767</v>
      </c>
      <c r="T82" s="226">
        <f>IF('WetLitterbags placem_collection'!G83="","",'WetLitterbags placem_collection'!G83)</f>
        <v>42818</v>
      </c>
      <c r="U82" s="227">
        <f t="shared" si="8"/>
        <v>51</v>
      </c>
      <c r="V82" s="225">
        <f t="shared" si="9"/>
        <v>1.1277999999999999</v>
      </c>
      <c r="W82" s="225">
        <f t="shared" si="10"/>
        <v>1.1321086761618342</v>
      </c>
      <c r="X82">
        <f>IFERROR(INDEX(Rainfall_Wet!$O$2:$O$217,MATCH(B82, Rainfall_Wet!$A$2:$A$217,0)),"")</f>
        <v>185.01185076100001</v>
      </c>
      <c r="Y82" s="231">
        <v>38.691629007962128</v>
      </c>
      <c r="Z82" s="231">
        <v>26.81299763288143</v>
      </c>
      <c r="AA82" s="231">
        <v>34.495373359156439</v>
      </c>
      <c r="AB82" s="232" t="s">
        <v>2675</v>
      </c>
      <c r="AC82" s="231">
        <v>2.5483587974371611</v>
      </c>
      <c r="AD82">
        <f>IF('WetLitterbags placem_collection'!AB83="","",'WetLitterbags placem_collection'!AB83)</f>
        <v>6.2</v>
      </c>
      <c r="AE82">
        <f>IF('WetLitterbags placem_collection'!Z83="","",'WetLitterbags placem_collection'!Z83)</f>
        <v>13.3</v>
      </c>
      <c r="AF82" s="246" t="str">
        <f>IF('WetLitterbags placem_collection'!AA83="","",'WetLitterbags placem_collection'!AA83)</f>
        <v>O</v>
      </c>
      <c r="AG82">
        <f>IF('WetLitterbags placem_collection'!AC83="","",'WetLitterbags placem_collection'!AC83)</f>
        <v>0</v>
      </c>
      <c r="AH82" s="240">
        <f>AVERAGE('WetLitterbags placem_collection'!S83,'WetLitterbags placem_collection'!U83)</f>
        <v>26.35</v>
      </c>
      <c r="AI82">
        <f>AVERAGE('WetLitterbags placem_collection'!R83,'WetLitterbags placem_collection'!T83)</f>
        <v>26.65</v>
      </c>
      <c r="AJ82">
        <f>INDEX(Coordinates!$B$2:$B$197,MATCH(G82,Coordinates!$J$2:$J$197,0))</f>
        <v>-3.2957159630000001</v>
      </c>
      <c r="AK82">
        <f>INDEX(Coordinates!$C$2:$C$197,MATCH(G82,Coordinates!$J$2:$J$197,0))</f>
        <v>34.852460999999998</v>
      </c>
      <c r="AL82" t="str">
        <f>IF(ISNUMBER(SEARCH("C", 'WetLitterbags placem_collection'!V83)),"YES","NO")</f>
        <v>NO</v>
      </c>
      <c r="AM82" t="str">
        <f>IF(ISNUMBER(SEARCH("H", 'WetLitterbags placem_collection'!V83)),"YES","NO")</f>
        <v>YES</v>
      </c>
      <c r="AN82" t="str">
        <f>IF(ISNUMBER(SEARCH("R", 'WetLitterbags placem_collection'!V83)),"YES","NO")</f>
        <v>YES</v>
      </c>
    </row>
    <row r="83" spans="1:40">
      <c r="A83" s="258" t="s">
        <v>2460</v>
      </c>
      <c r="B83" s="263">
        <f>'Dry_Litterbag Placem_Collection'!A84</f>
        <v>82</v>
      </c>
      <c r="C83" s="263" t="str">
        <f>'Dry_Litterbag Placem_Collection'!B84</f>
        <v>Maswa</v>
      </c>
      <c r="D83" s="263" t="s">
        <v>2659</v>
      </c>
      <c r="E83" s="263" t="s">
        <v>2661</v>
      </c>
      <c r="F83" s="263">
        <v>3</v>
      </c>
      <c r="G83" s="264" t="str">
        <f>'Dry_Litterbag Placem_Collection'!C84</f>
        <v>Dry_W3_T2</v>
      </c>
      <c r="H83" s="265" t="s">
        <v>2541</v>
      </c>
      <c r="I83" s="266" t="s">
        <v>1147</v>
      </c>
      <c r="J83" s="223" t="str">
        <f>'WetLitterbags placem_collection'!K84</f>
        <v>G536</v>
      </c>
      <c r="K83" s="225">
        <f>IFERROR(INDEX('Green_rooibos initial weight'!$C$5:$C$1749,MATCH(J83, 'Green_rooibos initial weight'!$A$5:$A$1749,0)),"")</f>
        <v>2.0510000000000002</v>
      </c>
      <c r="L83" s="225">
        <f>IFERROR(K83-(TBIcalc!$H$9+TBIcalc!$H$10),"")</f>
        <v>1.8012000000000001</v>
      </c>
      <c r="M83" s="391">
        <f>AVERAGE(Ashed_controlls!$K$2:$K$11)</f>
        <v>5.5147656768714146</v>
      </c>
      <c r="N83" s="225">
        <f t="shared" si="7"/>
        <v>1.7018680406281923</v>
      </c>
      <c r="O83" s="225">
        <f>IF(IFERROR(INDEX('Both teabags AfterWet'!$C$3:$C$841,MATCH(J83,'Both teabags AfterWet'!$A$3:$A$841,0)),"")="","",(IFERROR(INDEX('Both teabags AfterWet'!$C$3:$C$841,MATCH(J83,'Both teabags AfterWet'!$A$3:$A$841,0)),"")))</f>
        <v>0.748</v>
      </c>
      <c r="P83" s="225">
        <f>IFERROR(IF(O83&gt;0,O83-(TBIcalc!$H$9),""),"")</f>
        <v>0.59739999999999993</v>
      </c>
      <c r="Q83" s="225">
        <f>IFERROR(INDEX('Ashed teabags wet'!$K$2:$K$821,MATCH(J83,'Ashed teabags wet'!$A$2:$A$821,0)),"")</f>
        <v>10.317848410758481</v>
      </c>
      <c r="R83" s="225">
        <f t="shared" si="11"/>
        <v>0.53576117359412878</v>
      </c>
      <c r="S83" s="226">
        <f>'WetLitterbags placem_collection'!E84</f>
        <v>42767</v>
      </c>
      <c r="T83" s="226">
        <f>IF('WetLitterbags placem_collection'!G84="","",'WetLitterbags placem_collection'!G84)</f>
        <v>42819</v>
      </c>
      <c r="U83" s="227">
        <f t="shared" si="8"/>
        <v>52</v>
      </c>
      <c r="V83" s="225">
        <f t="shared" si="9"/>
        <v>1.2038000000000002</v>
      </c>
      <c r="W83" s="225">
        <f t="shared" si="10"/>
        <v>1.1661068670340635</v>
      </c>
      <c r="X83">
        <f>IFERROR(INDEX(Rainfall_Wet!$O$2:$O$217,MATCH(B83, Rainfall_Wet!$A$2:$A$217,0)),"")</f>
        <v>194.93009798400001</v>
      </c>
      <c r="Y83" s="231">
        <v>38.691629007962128</v>
      </c>
      <c r="Z83" s="231">
        <v>26.81299763288143</v>
      </c>
      <c r="AA83" s="231">
        <v>34.495373359156439</v>
      </c>
      <c r="AB83" s="232" t="s">
        <v>2675</v>
      </c>
      <c r="AC83" s="231">
        <v>3.5483587974371602</v>
      </c>
      <c r="AD83">
        <f>IF('WetLitterbags placem_collection'!AB84="","",'WetLitterbags placem_collection'!AB84)</f>
        <v>2.4</v>
      </c>
      <c r="AE83">
        <f>IF('WetLitterbags placem_collection'!Z84="","",'WetLitterbags placem_collection'!Z84)</f>
        <v>16.600000000000001</v>
      </c>
      <c r="AF83" s="246" t="str">
        <f>IF('WetLitterbags placem_collection'!AA84="","",'WetLitterbags placem_collection'!AA84)</f>
        <v>O</v>
      </c>
      <c r="AG83" t="str">
        <f>IF('WetLitterbags placem_collection'!AC84="","",'WetLitterbags placem_collection'!AC84)</f>
        <v/>
      </c>
      <c r="AH83" s="240">
        <f>AVERAGE('WetLitterbags placem_collection'!S84,'WetLitterbags placem_collection'!U84)</f>
        <v>26.6</v>
      </c>
      <c r="AI83">
        <f>AVERAGE('WetLitterbags placem_collection'!R84,'WetLitterbags placem_collection'!T84)</f>
        <v>23.05</v>
      </c>
      <c r="AJ83">
        <f>INDEX(Coordinates!$B$2:$B$197,MATCH(G83,Coordinates!$J$2:$J$197,0))</f>
        <v>-3.2957230040000001</v>
      </c>
      <c r="AK83">
        <f>INDEX(Coordinates!$C$2:$C$197,MATCH(G83,Coordinates!$J$2:$J$197,0))</f>
        <v>34.852416990000002</v>
      </c>
      <c r="AL83" t="str">
        <f>IF(ISNUMBER(SEARCH("C", 'WetLitterbags placem_collection'!V84)),"YES","NO")</f>
        <v>NO</v>
      </c>
      <c r="AM83" t="str">
        <f>IF(ISNUMBER(SEARCH("H", 'WetLitterbags placem_collection'!V84)),"YES","NO")</f>
        <v>YES</v>
      </c>
      <c r="AN83" t="str">
        <f>IF(ISNUMBER(SEARCH("R", 'WetLitterbags placem_collection'!V84)),"YES","NO")</f>
        <v>YES</v>
      </c>
    </row>
    <row r="84" spans="1:40">
      <c r="A84" s="258" t="s">
        <v>2460</v>
      </c>
      <c r="B84" s="263">
        <f>'Dry_Litterbag Placem_Collection'!A85</f>
        <v>83</v>
      </c>
      <c r="C84" s="263" t="str">
        <f>'Dry_Litterbag Placem_Collection'!B85</f>
        <v>Maswa</v>
      </c>
      <c r="D84" s="263" t="s">
        <v>2659</v>
      </c>
      <c r="E84" s="263" t="s">
        <v>2661</v>
      </c>
      <c r="F84" s="263">
        <v>3</v>
      </c>
      <c r="G84" s="264" t="str">
        <f>'Dry_Litterbag Placem_Collection'!C85</f>
        <v>Dry_W3_T3</v>
      </c>
      <c r="H84" s="265" t="s">
        <v>2541</v>
      </c>
      <c r="I84" s="266" t="s">
        <v>1147</v>
      </c>
      <c r="J84" s="223" t="str">
        <f>'WetLitterbags placem_collection'!K85</f>
        <v>G494</v>
      </c>
      <c r="K84" s="225">
        <f>IFERROR(INDEX('Green_rooibos initial weight'!$C$5:$C$1749,MATCH(J84, 'Green_rooibos initial weight'!$A$5:$A$1749,0)),"")</f>
        <v>1.903</v>
      </c>
      <c r="L84" s="225">
        <f>IFERROR(K84-(TBIcalc!$H$9+TBIcalc!$H$10),"")</f>
        <v>1.6532</v>
      </c>
      <c r="M84" s="391">
        <f>AVERAGE(Ashed_controlls!$K$2:$K$11)</f>
        <v>5.5147656768714146</v>
      </c>
      <c r="N84" s="225">
        <f t="shared" si="7"/>
        <v>1.5620298938299617</v>
      </c>
      <c r="O84" s="225">
        <f>IF(IFERROR(INDEX('Both teabags AfterWet'!$C$3:$C$841,MATCH(J84,'Both teabags AfterWet'!$A$3:$A$841,0)),"")="","",(IFERROR(INDEX('Both teabags AfterWet'!$C$3:$C$841,MATCH(J84,'Both teabags AfterWet'!$A$3:$A$841,0)),"")))</f>
        <v>0.90200000000000002</v>
      </c>
      <c r="P84" s="225">
        <f>IFERROR(IF(O84&gt;0,O84-(TBIcalc!$H$9),""),"")</f>
        <v>0.75140000000000007</v>
      </c>
      <c r="Q84" s="225">
        <f>IFERROR(INDEX('Ashed teabags wet'!$K$2:$K$821,MATCH(J84,'Ashed teabags wet'!$A$2:$A$821,0)),"")</f>
        <v>18.525798525798983</v>
      </c>
      <c r="R84" s="225">
        <f t="shared" si="11"/>
        <v>0.61219714987714646</v>
      </c>
      <c r="S84" s="226">
        <f>'WetLitterbags placem_collection'!E85</f>
        <v>42767</v>
      </c>
      <c r="T84" s="226">
        <f>IF('WetLitterbags placem_collection'!G85="","",'WetLitterbags placem_collection'!G85)</f>
        <v>42819</v>
      </c>
      <c r="U84" s="227">
        <f t="shared" si="8"/>
        <v>52</v>
      </c>
      <c r="V84" s="225">
        <f t="shared" si="9"/>
        <v>0.90179999999999993</v>
      </c>
      <c r="W84" s="225">
        <f t="shared" si="10"/>
        <v>0.94983274395281525</v>
      </c>
      <c r="X84">
        <f>IFERROR(INDEX(Rainfall_Wet!$O$2:$O$217,MATCH(B84, Rainfall_Wet!$A$2:$A$217,0)),"")</f>
        <v>194.93009798400001</v>
      </c>
      <c r="Y84" s="231">
        <v>38.691629007962128</v>
      </c>
      <c r="Z84" s="231">
        <v>26.81299763288143</v>
      </c>
      <c r="AA84" s="231">
        <v>34.495373359156439</v>
      </c>
      <c r="AB84" s="232" t="s">
        <v>2675</v>
      </c>
      <c r="AC84" s="231">
        <v>4.5483587974371602</v>
      </c>
      <c r="AD84">
        <f>IF('WetLitterbags placem_collection'!AB85="","",'WetLitterbags placem_collection'!AB85)</f>
        <v>6.4</v>
      </c>
      <c r="AE84">
        <f>IF('WetLitterbags placem_collection'!Z85="","",'WetLitterbags placem_collection'!Z85)</f>
        <v>42</v>
      </c>
      <c r="AF84" s="246" t="str">
        <f>IF('WetLitterbags placem_collection'!AA85="","",'WetLitterbags placem_collection'!AA85)</f>
        <v>M</v>
      </c>
      <c r="AG84">
        <f>IF('WetLitterbags placem_collection'!AC85="","",'WetLitterbags placem_collection'!AC85)</f>
        <v>1</v>
      </c>
      <c r="AH84" s="240">
        <f>AVERAGE('WetLitterbags placem_collection'!S85,'WetLitterbags placem_collection'!U85)</f>
        <v>30.099999999999998</v>
      </c>
      <c r="AI84">
        <f>AVERAGE('WetLitterbags placem_collection'!R85,'WetLitterbags placem_collection'!T85)</f>
        <v>25.05</v>
      </c>
      <c r="AJ84">
        <f>INDEX(Coordinates!$B$2:$B$197,MATCH(G84,Coordinates!$J$2:$J$197,0))</f>
        <v>-3.2957430369999998</v>
      </c>
      <c r="AK84">
        <f>INDEX(Coordinates!$C$2:$C$197,MATCH(G84,Coordinates!$J$2:$J$197,0))</f>
        <v>34.852309030000001</v>
      </c>
      <c r="AL84" t="str">
        <f>IF(ISNUMBER(SEARCH("C", 'WetLitterbags placem_collection'!V85)),"YES","NO")</f>
        <v>NO</v>
      </c>
      <c r="AM84" t="str">
        <f>IF(ISNUMBER(SEARCH("H", 'WetLitterbags placem_collection'!V85)),"YES","NO")</f>
        <v>NO</v>
      </c>
      <c r="AN84" t="str">
        <f>IF(ISNUMBER(SEARCH("R", 'WetLitterbags placem_collection'!V85)),"YES","NO")</f>
        <v>YES</v>
      </c>
    </row>
    <row r="85" spans="1:40">
      <c r="A85" s="258" t="s">
        <v>2460</v>
      </c>
      <c r="B85" s="263">
        <f>'Dry_Litterbag Placem_Collection'!A86</f>
        <v>84</v>
      </c>
      <c r="C85" s="263" t="str">
        <f>'Dry_Litterbag Placem_Collection'!B86</f>
        <v>Maswa</v>
      </c>
      <c r="D85" s="263" t="s">
        <v>2659</v>
      </c>
      <c r="E85" s="263" t="s">
        <v>2661</v>
      </c>
      <c r="F85" s="263">
        <v>3</v>
      </c>
      <c r="G85" s="264" t="str">
        <f>'Dry_Litterbag Placem_Collection'!C86</f>
        <v>Dry_W3_T4</v>
      </c>
      <c r="H85" s="265" t="s">
        <v>2541</v>
      </c>
      <c r="I85" s="266" t="s">
        <v>1147</v>
      </c>
      <c r="J85" s="223" t="str">
        <f>'WetLitterbags placem_collection'!K86</f>
        <v>G291</v>
      </c>
      <c r="K85" s="225">
        <f>IFERROR(INDEX('Green_rooibos initial weight'!$C$5:$C$1749,MATCH(J85, 'Green_rooibos initial weight'!$A$5:$A$1749,0)),"")</f>
        <v>2.0880000000000001</v>
      </c>
      <c r="L85" s="225">
        <f>IFERROR(K85-(TBIcalc!$H$9+TBIcalc!$H$10),"")</f>
        <v>1.8382000000000001</v>
      </c>
      <c r="M85" s="391">
        <f>AVERAGE(Ashed_controlls!$K$2:$K$11)</f>
        <v>5.5147656768714146</v>
      </c>
      <c r="N85" s="225">
        <f t="shared" si="7"/>
        <v>1.7368275773277497</v>
      </c>
      <c r="O85" s="225">
        <f>IF(IFERROR(INDEX('Both teabags AfterWet'!$C$3:$C$841,MATCH(J85,'Both teabags AfterWet'!$A$3:$A$841,0)),"")="","",(IFERROR(INDEX('Both teabags AfterWet'!$C$3:$C$841,MATCH(J85,'Both teabags AfterWet'!$A$3:$A$841,0)),"")))</f>
        <v>0.90300000000000002</v>
      </c>
      <c r="P85" s="225">
        <f>IFERROR(IF(O85&gt;0,O85-(TBIcalc!$H$9),""),"")</f>
        <v>0.75239999999999996</v>
      </c>
      <c r="Q85" s="225">
        <f>IFERROR(INDEX('Ashed teabags wet'!$K$2:$K$821,MATCH(J85,'Ashed teabags wet'!$A$2:$A$821,0)),"")</f>
        <v>11.922503725782521</v>
      </c>
      <c r="R85" s="225">
        <f t="shared" si="11"/>
        <v>0.66269508196721227</v>
      </c>
      <c r="S85" s="226">
        <f>'WetLitterbags placem_collection'!E86</f>
        <v>42767</v>
      </c>
      <c r="T85" s="226">
        <f>IF('WetLitterbags placem_collection'!G86="","",'WetLitterbags placem_collection'!G86)</f>
        <v>42819</v>
      </c>
      <c r="U85" s="227">
        <f t="shared" si="8"/>
        <v>52</v>
      </c>
      <c r="V85" s="225">
        <f t="shared" si="9"/>
        <v>1.0858000000000001</v>
      </c>
      <c r="W85" s="225">
        <f t="shared" si="10"/>
        <v>1.0741324953605376</v>
      </c>
      <c r="X85">
        <f>IFERROR(INDEX(Rainfall_Wet!$O$2:$O$217,MATCH(B85, Rainfall_Wet!$A$2:$A$217,0)),"")</f>
        <v>194.93009798400001</v>
      </c>
      <c r="Y85" s="231">
        <v>38.691629007962128</v>
      </c>
      <c r="Z85" s="231">
        <v>26.81299763288143</v>
      </c>
      <c r="AA85" s="231">
        <v>34.495373359156439</v>
      </c>
      <c r="AB85" s="232" t="s">
        <v>2675</v>
      </c>
      <c r="AC85" s="231">
        <v>5.5483587974371602</v>
      </c>
      <c r="AD85">
        <f>IF('WetLitterbags placem_collection'!AB86="","",'WetLitterbags placem_collection'!AB86)</f>
        <v>5.5</v>
      </c>
      <c r="AE85">
        <f>IF('WetLitterbags placem_collection'!Z86="","",'WetLitterbags placem_collection'!Z86)</f>
        <v>55.8</v>
      </c>
      <c r="AF85" s="246" t="str">
        <f>IF('WetLitterbags placem_collection'!AA86="","",'WetLitterbags placem_collection'!AA86)</f>
        <v>M</v>
      </c>
      <c r="AG85">
        <f>IF('WetLitterbags placem_collection'!AC86="","",'WetLitterbags placem_collection'!AC86)</f>
        <v>1</v>
      </c>
      <c r="AH85" s="240">
        <f>AVERAGE('WetLitterbags placem_collection'!S86,'WetLitterbags placem_collection'!U86)</f>
        <v>27.75</v>
      </c>
      <c r="AI85">
        <f>AVERAGE('WetLitterbags placem_collection'!R86,'WetLitterbags placem_collection'!T86)</f>
        <v>23.6</v>
      </c>
      <c r="AJ85">
        <f>INDEX(Coordinates!$B$2:$B$197,MATCH(G85,Coordinates!$J$2:$J$197,0))</f>
        <v>-3.295795005</v>
      </c>
      <c r="AK85">
        <f>INDEX(Coordinates!$C$2:$C$197,MATCH(G85,Coordinates!$J$2:$J$197,0))</f>
        <v>34.85232001</v>
      </c>
      <c r="AL85" t="str">
        <f>IF(ISNUMBER(SEARCH("C", 'WetLitterbags placem_collection'!V86)),"YES","NO")</f>
        <v>NO</v>
      </c>
      <c r="AM85" t="str">
        <f>IF(ISNUMBER(SEARCH("H", 'WetLitterbags placem_collection'!V86)),"YES","NO")</f>
        <v>NO</v>
      </c>
      <c r="AN85" t="str">
        <f>IF(ISNUMBER(SEARCH("R", 'WetLitterbags placem_collection'!V86)),"YES","NO")</f>
        <v>YES</v>
      </c>
    </row>
    <row r="86" spans="1:40">
      <c r="A86" s="258" t="s">
        <v>2460</v>
      </c>
      <c r="B86" s="263">
        <f>'Dry_Litterbag Placem_Collection'!A87</f>
        <v>85</v>
      </c>
      <c r="C86" s="263" t="str">
        <f>'Dry_Litterbag Placem_Collection'!B87</f>
        <v>Maswa</v>
      </c>
      <c r="D86" s="263" t="s">
        <v>2659</v>
      </c>
      <c r="E86" s="263" t="s">
        <v>2661</v>
      </c>
      <c r="F86" s="263">
        <v>3</v>
      </c>
      <c r="G86" s="264" t="str">
        <f>'Dry_Litterbag Placem_Collection'!C87</f>
        <v>Dry_W3_T5</v>
      </c>
      <c r="H86" s="265" t="s">
        <v>2541</v>
      </c>
      <c r="I86" s="266" t="s">
        <v>1147</v>
      </c>
      <c r="J86" s="223" t="str">
        <f>'WetLitterbags placem_collection'!K87</f>
        <v>G308</v>
      </c>
      <c r="K86" s="225">
        <f>IFERROR(INDEX('Green_rooibos initial weight'!$C$5:$C$1749,MATCH(J86, 'Green_rooibos initial weight'!$A$5:$A$1749,0)),"")</f>
        <v>1.982</v>
      </c>
      <c r="L86" s="225">
        <f>IFERROR(K86-(TBIcalc!$H$9+TBIcalc!$H$10),"")</f>
        <v>1.7322</v>
      </c>
      <c r="M86" s="391">
        <f>AVERAGE(Ashed_controlls!$K$2:$K$11)</f>
        <v>5.5147656768714146</v>
      </c>
      <c r="N86" s="225">
        <f t="shared" si="7"/>
        <v>1.6366732289452333</v>
      </c>
      <c r="O86" s="225">
        <f>IF(IFERROR(INDEX('Both teabags AfterWet'!$C$3:$C$841,MATCH(J86,'Both teabags AfterWet'!$A$3:$A$841,0)),"")="","",(IFERROR(INDEX('Both teabags AfterWet'!$C$3:$C$841,MATCH(J86,'Both teabags AfterWet'!$A$3:$A$841,0)),"")))</f>
        <v>1.256</v>
      </c>
      <c r="P86" s="225">
        <f>IFERROR(IF(O86&gt;0,O86-(TBIcalc!$H$9),""),"")</f>
        <v>1.1053999999999999</v>
      </c>
      <c r="Q86" s="225">
        <f>IFERROR(INDEX('Ashed teabags wet'!$K$2:$K$821,MATCH(J86,'Ashed teabags wet'!$A$2:$A$821,0)),"")</f>
        <v>39.801980198020281</v>
      </c>
      <c r="R86" s="225">
        <f t="shared" si="11"/>
        <v>0.6654289108910838</v>
      </c>
      <c r="S86" s="226">
        <f>'WetLitterbags placem_collection'!E87</f>
        <v>42767</v>
      </c>
      <c r="T86" s="226">
        <f>IF('WetLitterbags placem_collection'!G87="","",'WetLitterbags placem_collection'!G87)</f>
        <v>42819</v>
      </c>
      <c r="U86" s="227">
        <f t="shared" si="8"/>
        <v>52</v>
      </c>
      <c r="V86" s="225">
        <f t="shared" si="9"/>
        <v>0.62680000000000002</v>
      </c>
      <c r="W86" s="225">
        <f t="shared" si="10"/>
        <v>0.97124431805414946</v>
      </c>
      <c r="X86">
        <f>IFERROR(INDEX(Rainfall_Wet!$O$2:$O$217,MATCH(B86, Rainfall_Wet!$A$2:$A$217,0)),"")</f>
        <v>194.93009798400001</v>
      </c>
      <c r="Y86" s="231">
        <v>38.691629007962128</v>
      </c>
      <c r="Z86" s="231">
        <v>26.81299763288143</v>
      </c>
      <c r="AA86" s="231">
        <v>34.495373359156439</v>
      </c>
      <c r="AB86" s="232" t="s">
        <v>2675</v>
      </c>
      <c r="AC86" s="231">
        <v>6.5483587974371602</v>
      </c>
      <c r="AD86">
        <f>IF('WetLitterbags placem_collection'!AB87="","",'WetLitterbags placem_collection'!AB87)</f>
        <v>8.6</v>
      </c>
      <c r="AE86">
        <f>IF('WetLitterbags placem_collection'!Z87="","",'WetLitterbags placem_collection'!Z87)</f>
        <v>3.8</v>
      </c>
      <c r="AF86" s="246" t="str">
        <f>IF('WetLitterbags placem_collection'!AA87="","",'WetLitterbags placem_collection'!AA87)</f>
        <v>O</v>
      </c>
      <c r="AG86">
        <f>IF('WetLitterbags placem_collection'!AC87="","",'WetLitterbags placem_collection'!AC87)</f>
        <v>0</v>
      </c>
      <c r="AH86" s="240">
        <f>AVERAGE('WetLitterbags placem_collection'!S87,'WetLitterbags placem_collection'!U87)</f>
        <v>26.55</v>
      </c>
      <c r="AI86">
        <f>AVERAGE('WetLitterbags placem_collection'!R87,'WetLitterbags placem_collection'!T87)</f>
        <v>23.15</v>
      </c>
      <c r="AJ86">
        <f>INDEX(Coordinates!$B$2:$B$197,MATCH(G86,Coordinates!$J$2:$J$197,0))</f>
        <v>-3.2957100119999998</v>
      </c>
      <c r="AK86">
        <f>INDEX(Coordinates!$C$2:$C$197,MATCH(G86,Coordinates!$J$2:$J$197,0))</f>
        <v>34.852283970000002</v>
      </c>
      <c r="AL86" t="str">
        <f>IF(ISNUMBER(SEARCH("C", 'WetLitterbags placem_collection'!V87)),"YES","NO")</f>
        <v>NO</v>
      </c>
      <c r="AM86" t="str">
        <f>IF(ISNUMBER(SEARCH("H", 'WetLitterbags placem_collection'!V87)),"YES","NO")</f>
        <v>YES</v>
      </c>
      <c r="AN86" t="str">
        <f>IF(ISNUMBER(SEARCH("R", 'WetLitterbags placem_collection'!V87)),"YES","NO")</f>
        <v>YES</v>
      </c>
    </row>
    <row r="87" spans="1:40">
      <c r="A87" s="258" t="s">
        <v>2460</v>
      </c>
      <c r="B87" s="263">
        <f>'Dry_Litterbag Placem_Collection'!A88</f>
        <v>86</v>
      </c>
      <c r="C87" s="263" t="str">
        <f>'Dry_Litterbag Placem_Collection'!B88</f>
        <v>Maswa</v>
      </c>
      <c r="D87" s="263" t="s">
        <v>2659</v>
      </c>
      <c r="E87" s="263" t="s">
        <v>2661</v>
      </c>
      <c r="F87" s="263">
        <v>3</v>
      </c>
      <c r="G87" s="264" t="str">
        <f>'Dry_Litterbag Placem_Collection'!C88</f>
        <v>Dry_W3_T6</v>
      </c>
      <c r="H87" s="265" t="s">
        <v>2541</v>
      </c>
      <c r="I87" s="266" t="s">
        <v>1147</v>
      </c>
      <c r="J87" s="223" t="str">
        <f>'WetLitterbags placem_collection'!K88</f>
        <v>G723</v>
      </c>
      <c r="K87" s="225">
        <f>IFERROR(INDEX('Green_rooibos initial weight'!$C$5:$C$1749,MATCH(J87, 'Green_rooibos initial weight'!$A$5:$A$1749,0)),"")</f>
        <v>2.0129999999999999</v>
      </c>
      <c r="L87" s="225">
        <f>IFERROR(K87-(TBIcalc!$H$9+TBIcalc!$H$10),"")</f>
        <v>1.7631999999999999</v>
      </c>
      <c r="M87" s="391">
        <f>AVERAGE(Ashed_controlls!$K$2:$K$11)</f>
        <v>5.5147656768714146</v>
      </c>
      <c r="N87" s="225">
        <f t="shared" si="7"/>
        <v>1.665963651585403</v>
      </c>
      <c r="O87" s="225">
        <f>IF(IFERROR(INDEX('Both teabags AfterWet'!$C$3:$C$841,MATCH(J87,'Both teabags AfterWet'!$A$3:$A$841,0)),"")="","",(IFERROR(INDEX('Both teabags AfterWet'!$C$3:$C$841,MATCH(J87,'Both teabags AfterWet'!$A$3:$A$841,0)),"")))</f>
        <v>0.78249999999999997</v>
      </c>
      <c r="P87" s="225">
        <f>IFERROR(IF(O87&gt;0,O87-(TBIcalc!$H$9),""),"")</f>
        <v>0.63189999999999991</v>
      </c>
      <c r="Q87" s="225">
        <f>IFERROR(INDEX('Ashed teabags wet'!$K$2:$K$821,MATCH(J87,'Ashed teabags wet'!$A$2:$A$821,0)),"")</f>
        <v>7.4680306905364882</v>
      </c>
      <c r="R87" s="225">
        <f t="shared" si="11"/>
        <v>0.58470951406649985</v>
      </c>
      <c r="S87" s="226">
        <f>'WetLitterbags placem_collection'!E88</f>
        <v>42767</v>
      </c>
      <c r="T87" s="226">
        <f>IF('WetLitterbags placem_collection'!G88="","",'WetLitterbags placem_collection'!G88)</f>
        <v>42819</v>
      </c>
      <c r="U87" s="227">
        <f t="shared" si="8"/>
        <v>52</v>
      </c>
      <c r="V87" s="225">
        <f t="shared" si="9"/>
        <v>1.1313</v>
      </c>
      <c r="W87" s="225">
        <f t="shared" si="10"/>
        <v>1.0812541375189033</v>
      </c>
      <c r="X87">
        <f>IFERROR(INDEX(Rainfall_Wet!$O$2:$O$217,MATCH(B87, Rainfall_Wet!$A$2:$A$217,0)),"")</f>
        <v>194.93009798400001</v>
      </c>
      <c r="Y87" s="231">
        <v>38.691629007962128</v>
      </c>
      <c r="Z87" s="231">
        <v>26.81299763288143</v>
      </c>
      <c r="AA87" s="231">
        <v>34.495373359156439</v>
      </c>
      <c r="AB87" s="232" t="s">
        <v>2675</v>
      </c>
      <c r="AC87" s="231">
        <v>7.5483587974371602</v>
      </c>
      <c r="AD87">
        <f>IF('WetLitterbags placem_collection'!AB88="","",'WetLitterbags placem_collection'!AB88)</f>
        <v>3.7</v>
      </c>
      <c r="AE87">
        <f>IF('WetLitterbags placem_collection'!Z88="","",'WetLitterbags placem_collection'!Z88)</f>
        <v>7.5</v>
      </c>
      <c r="AF87" s="246" t="str">
        <f>IF('WetLitterbags placem_collection'!AA88="","",'WetLitterbags placem_collection'!AA88)</f>
        <v>O</v>
      </c>
      <c r="AG87">
        <f>IF('WetLitterbags placem_collection'!AC88="","",'WetLitterbags placem_collection'!AC88)</f>
        <v>0</v>
      </c>
      <c r="AH87" s="240">
        <f>AVERAGE('WetLitterbags placem_collection'!S88,'WetLitterbags placem_collection'!U88)</f>
        <v>24.05</v>
      </c>
      <c r="AI87">
        <f>AVERAGE('WetLitterbags placem_collection'!R88,'WetLitterbags placem_collection'!T88)</f>
        <v>25.799999999999997</v>
      </c>
      <c r="AJ87">
        <f>INDEX(Coordinates!$B$2:$B$197,MATCH(G87,Coordinates!$J$2:$J$197,0))</f>
        <v>-3.2956140399999998</v>
      </c>
      <c r="AK87">
        <f>INDEX(Coordinates!$C$2:$C$197,MATCH(G87,Coordinates!$J$2:$J$197,0))</f>
        <v>34.852137030000002</v>
      </c>
      <c r="AL87" t="str">
        <f>IF(ISNUMBER(SEARCH("C", 'WetLitterbags placem_collection'!V88)),"YES","NO")</f>
        <v>NO</v>
      </c>
      <c r="AM87" t="str">
        <f>IF(ISNUMBER(SEARCH("H", 'WetLitterbags placem_collection'!V88)),"YES","NO")</f>
        <v>NO</v>
      </c>
      <c r="AN87" t="str">
        <f>IF(ISNUMBER(SEARCH("R", 'WetLitterbags placem_collection'!V88)),"YES","NO")</f>
        <v>YES</v>
      </c>
    </row>
    <row r="88" spans="1:40">
      <c r="A88" s="258" t="s">
        <v>2460</v>
      </c>
      <c r="B88" s="263">
        <f>'Dry_Litterbag Placem_Collection'!A89</f>
        <v>87</v>
      </c>
      <c r="C88" s="263" t="str">
        <f>'Dry_Litterbag Placem_Collection'!B89</f>
        <v>Maswa</v>
      </c>
      <c r="D88" s="263" t="s">
        <v>2659</v>
      </c>
      <c r="E88" s="263" t="s">
        <v>2661</v>
      </c>
      <c r="F88" s="263">
        <v>3</v>
      </c>
      <c r="G88" s="264" t="str">
        <f>'Dry_Litterbag Placem_Collection'!C89</f>
        <v>Dry_W3_T7</v>
      </c>
      <c r="H88" s="265" t="s">
        <v>2541</v>
      </c>
      <c r="I88" s="266" t="s">
        <v>1147</v>
      </c>
      <c r="J88" s="223" t="str">
        <f>'WetLitterbags placem_collection'!K89</f>
        <v>G628</v>
      </c>
      <c r="K88" s="225">
        <f>IFERROR(INDEX('Green_rooibos initial weight'!$C$5:$C$1749,MATCH(J88, 'Green_rooibos initial weight'!$A$5:$A$1749,0)),"")</f>
        <v>2.0739999999999998</v>
      </c>
      <c r="L88" s="225">
        <f>IFERROR(K88-(TBIcalc!$H$9+TBIcalc!$H$10),"")</f>
        <v>1.8241999999999998</v>
      </c>
      <c r="M88" s="391">
        <f>AVERAGE(Ashed_controlls!$K$2:$K$11)</f>
        <v>5.5147656768714146</v>
      </c>
      <c r="N88" s="225">
        <f t="shared" si="7"/>
        <v>1.7235996445225115</v>
      </c>
      <c r="O88" s="225">
        <f>IF(IFERROR(INDEX('Both teabags AfterWet'!$C$3:$C$841,MATCH(J88,'Both teabags AfterWet'!$A$3:$A$841,0)),"")="","",(IFERROR(INDEX('Both teabags AfterWet'!$C$3:$C$841,MATCH(J88,'Both teabags AfterWet'!$A$3:$A$841,0)),"")))</f>
        <v>0.8639</v>
      </c>
      <c r="P88" s="225">
        <f>IFERROR(IF(O88&gt;0,O88-(TBIcalc!$H$9),""),"")</f>
        <v>0.71330000000000005</v>
      </c>
      <c r="Q88" s="225">
        <f>IFERROR(INDEX('Ashed teabags wet'!$K$2:$K$821,MATCH(J88,'Ashed teabags wet'!$A$2:$A$821,0)),"")</f>
        <v>12.74038461538643</v>
      </c>
      <c r="R88" s="225">
        <f t="shared" si="11"/>
        <v>0.62242283653844865</v>
      </c>
      <c r="S88" s="226">
        <f>'WetLitterbags placem_collection'!E89</f>
        <v>42767</v>
      </c>
      <c r="T88" s="226">
        <f>IF('WetLitterbags placem_collection'!G89="","",'WetLitterbags placem_collection'!G89)</f>
        <v>42819</v>
      </c>
      <c r="U88" s="227">
        <f t="shared" si="8"/>
        <v>52</v>
      </c>
      <c r="V88" s="225">
        <f t="shared" si="9"/>
        <v>1.1108999999999998</v>
      </c>
      <c r="W88" s="225">
        <f t="shared" si="10"/>
        <v>1.1011768079840629</v>
      </c>
      <c r="X88">
        <f>IFERROR(INDEX(Rainfall_Wet!$O$2:$O$217,MATCH(B88, Rainfall_Wet!$A$2:$A$217,0)),"")</f>
        <v>194.93009798400001</v>
      </c>
      <c r="Y88" s="231">
        <v>38.691629007962128</v>
      </c>
      <c r="Z88" s="231">
        <v>26.81299763288143</v>
      </c>
      <c r="AA88" s="231">
        <v>34.495373359156439</v>
      </c>
      <c r="AB88" s="232" t="s">
        <v>2675</v>
      </c>
      <c r="AC88" s="231">
        <v>8.5483587974371602</v>
      </c>
      <c r="AD88">
        <f>IF('WetLitterbags placem_collection'!AB89="","",'WetLitterbags placem_collection'!AB89)</f>
        <v>7.5</v>
      </c>
      <c r="AE88">
        <f>IF('WetLitterbags placem_collection'!Z89="","",'WetLitterbags placem_collection'!Z89)</f>
        <v>12.6</v>
      </c>
      <c r="AF88" s="246" t="str">
        <f>IF('WetLitterbags placem_collection'!AA89="","",'WetLitterbags placem_collection'!AA89)</f>
        <v>O</v>
      </c>
      <c r="AG88">
        <f>IF('WetLitterbags placem_collection'!AC89="","",'WetLitterbags placem_collection'!AC89)</f>
        <v>1</v>
      </c>
      <c r="AH88" s="240">
        <f>AVERAGE('WetLitterbags placem_collection'!S89,'WetLitterbags placem_collection'!U89)</f>
        <v>25.85</v>
      </c>
      <c r="AI88">
        <f>AVERAGE('WetLitterbags placem_collection'!R89,'WetLitterbags placem_collection'!T89)</f>
        <v>21.55</v>
      </c>
      <c r="AJ88">
        <f>INDEX(Coordinates!$B$2:$B$197,MATCH(G88,Coordinates!$J$2:$J$197,0))</f>
        <v>-3.295904975</v>
      </c>
      <c r="AK88">
        <f>INDEX(Coordinates!$C$2:$C$197,MATCH(G88,Coordinates!$J$2:$J$197,0))</f>
        <v>34.852136029999997</v>
      </c>
      <c r="AL88" t="str">
        <f>IF(ISNUMBER(SEARCH("C", 'WetLitterbags placem_collection'!V89)),"YES","NO")</f>
        <v>YES</v>
      </c>
      <c r="AM88" t="str">
        <f>IF(ISNUMBER(SEARCH("H", 'WetLitterbags placem_collection'!V89)),"YES","NO")</f>
        <v>YES</v>
      </c>
      <c r="AN88" t="str">
        <f>IF(ISNUMBER(SEARCH("R", 'WetLitterbags placem_collection'!V89)),"YES","NO")</f>
        <v>YES</v>
      </c>
    </row>
    <row r="89" spans="1:40">
      <c r="A89" s="258" t="s">
        <v>2460</v>
      </c>
      <c r="B89" s="263">
        <f>'Dry_Litterbag Placem_Collection'!A90</f>
        <v>88</v>
      </c>
      <c r="C89" s="263" t="str">
        <f>'Dry_Litterbag Placem_Collection'!B90</f>
        <v>Maswa</v>
      </c>
      <c r="D89" s="263" t="s">
        <v>2659</v>
      </c>
      <c r="E89" s="263" t="s">
        <v>2661</v>
      </c>
      <c r="F89" s="263">
        <v>3</v>
      </c>
      <c r="G89" s="264" t="str">
        <f>'Dry_Litterbag Placem_Collection'!C90</f>
        <v>Dry_W3_T8</v>
      </c>
      <c r="H89" s="265" t="s">
        <v>2541</v>
      </c>
      <c r="I89" s="266" t="s">
        <v>1147</v>
      </c>
      <c r="J89" s="223" t="str">
        <f>'WetLitterbags placem_collection'!K90</f>
        <v>G569</v>
      </c>
      <c r="K89" s="225">
        <f>IFERROR(INDEX('Green_rooibos initial weight'!$C$5:$C$1749,MATCH(J89, 'Green_rooibos initial weight'!$A$5:$A$1749,0)),"")</f>
        <v>1.9950000000000001</v>
      </c>
      <c r="L89" s="225">
        <f>IFERROR(K89-(TBIcalc!$H$9+TBIcalc!$H$10),"")</f>
        <v>1.7452000000000001</v>
      </c>
      <c r="M89" s="391">
        <f>AVERAGE(Ashed_controlls!$K$2:$K$11)</f>
        <v>5.5147656768714146</v>
      </c>
      <c r="N89" s="225">
        <f t="shared" si="7"/>
        <v>1.6489563094072401</v>
      </c>
      <c r="O89" s="225" t="str">
        <f>IF(IFERROR(INDEX('Both teabags AfterWet'!$C$3:$C$841,MATCH(J89,'Both teabags AfterWet'!$A$3:$A$841,0)),"")="","",(IFERROR(INDEX('Both teabags AfterWet'!$C$3:$C$841,MATCH(J89,'Both teabags AfterWet'!$A$3:$A$841,0)),"")))</f>
        <v/>
      </c>
      <c r="P89" s="225" t="str">
        <f>IFERROR(IF(O89&gt;0,O89-(TBIcalc!$H$9),""),"")</f>
        <v/>
      </c>
      <c r="Q89" s="225" t="str">
        <f>IFERROR(INDEX('Ashed teabags wet'!$K$2:$K$821,MATCH(J89,'Ashed teabags wet'!$A$2:$A$821,0)),"")</f>
        <v/>
      </c>
      <c r="R89" s="225" t="str">
        <f t="shared" si="11"/>
        <v/>
      </c>
      <c r="S89" s="226">
        <f>'WetLitterbags placem_collection'!E90</f>
        <v>42767</v>
      </c>
      <c r="T89" s="226" t="str">
        <f>IF('WetLitterbags placem_collection'!G90="","",'WetLitterbags placem_collection'!G90)</f>
        <v/>
      </c>
      <c r="U89" s="227" t="str">
        <f t="shared" si="8"/>
        <v/>
      </c>
      <c r="V89" s="225" t="str">
        <f t="shared" si="9"/>
        <v/>
      </c>
      <c r="W89" s="225" t="str">
        <f t="shared" si="10"/>
        <v/>
      </c>
      <c r="X89" t="str">
        <f>IFERROR(INDEX(Rainfall_Wet!$O$2:$O$217,MATCH(B89, Rainfall_Wet!$A$2:$A$217,0)),"")</f>
        <v/>
      </c>
      <c r="Y89" s="231">
        <v>38.691629007962128</v>
      </c>
      <c r="Z89" s="231">
        <v>26.81299763288143</v>
      </c>
      <c r="AA89" s="231">
        <v>34.495373359156439</v>
      </c>
      <c r="AB89" s="232" t="s">
        <v>2675</v>
      </c>
      <c r="AC89" s="231">
        <v>9.5483587974371602</v>
      </c>
      <c r="AD89" t="str">
        <f>IF('WetLitterbags placem_collection'!AB90="","",'WetLitterbags placem_collection'!AB90)</f>
        <v/>
      </c>
      <c r="AE89" t="str">
        <f>IF('WetLitterbags placem_collection'!Z90="","",'WetLitterbags placem_collection'!Z90)</f>
        <v/>
      </c>
      <c r="AF89" s="246" t="str">
        <f>IF('WetLitterbags placem_collection'!AA90="","",'WetLitterbags placem_collection'!AA90)</f>
        <v/>
      </c>
      <c r="AG89" t="str">
        <f>IF('WetLitterbags placem_collection'!AC90="","",'WetLitterbags placem_collection'!AC90)</f>
        <v/>
      </c>
      <c r="AH89" s="240">
        <f>AVERAGE('WetLitterbags placem_collection'!S90,'WetLitterbags placem_collection'!U90)</f>
        <v>29.7</v>
      </c>
      <c r="AI89">
        <f>AVERAGE('WetLitterbags placem_collection'!R90,'WetLitterbags placem_collection'!T90)</f>
        <v>21.4</v>
      </c>
      <c r="AJ89">
        <f>INDEX(Coordinates!$B$2:$B$197,MATCH(G89,Coordinates!$J$2:$J$197,0))</f>
        <v>-3.2959530039999998</v>
      </c>
      <c r="AK89">
        <f>INDEX(Coordinates!$C$2:$C$197,MATCH(G89,Coordinates!$J$2:$J$197,0))</f>
        <v>34.85242504</v>
      </c>
      <c r="AL89" t="str">
        <f>IF(ISNUMBER(SEARCH("C", 'WetLitterbags placem_collection'!V90)),"YES","NO")</f>
        <v>NO</v>
      </c>
      <c r="AM89" t="str">
        <f>IF(ISNUMBER(SEARCH("H", 'WetLitterbags placem_collection'!V90)),"YES","NO")</f>
        <v>NO</v>
      </c>
      <c r="AN89" t="str">
        <f>IF(ISNUMBER(SEARCH("R", 'WetLitterbags placem_collection'!V90)),"YES","NO")</f>
        <v>NO</v>
      </c>
    </row>
    <row r="90" spans="1:40">
      <c r="A90" s="258" t="s">
        <v>2460</v>
      </c>
      <c r="B90" s="263">
        <f>'Dry_Litterbag Placem_Collection'!A91</f>
        <v>89</v>
      </c>
      <c r="C90" s="263" t="str">
        <f>'Dry_Litterbag Placem_Collection'!B91</f>
        <v>Maswa</v>
      </c>
      <c r="D90" s="263" t="s">
        <v>2659</v>
      </c>
      <c r="E90" s="263" t="s">
        <v>2661</v>
      </c>
      <c r="F90" s="263">
        <v>4</v>
      </c>
      <c r="G90" s="264" t="str">
        <f>'Dry_Litterbag Placem_Collection'!C91</f>
        <v>Dry_W4_T1</v>
      </c>
      <c r="H90" s="265" t="s">
        <v>2541</v>
      </c>
      <c r="I90" s="266" t="s">
        <v>1147</v>
      </c>
      <c r="J90" s="223" t="str">
        <f>'WetLitterbags placem_collection'!K91</f>
        <v>G339</v>
      </c>
      <c r="K90" s="225">
        <f>IFERROR(INDEX('Green_rooibos initial weight'!$C$5:$C$1749,MATCH(J90, 'Green_rooibos initial weight'!$A$5:$A$1749,0)),"")</f>
        <v>2.0219999999999998</v>
      </c>
      <c r="L90" s="225">
        <f>IFERROR(K90-(TBIcalc!$H$9+TBIcalc!$H$10),"")</f>
        <v>1.7721999999999998</v>
      </c>
      <c r="M90" s="391">
        <f>AVERAGE(Ashed_controlls!$K$2:$K$11)</f>
        <v>5.5147656768714146</v>
      </c>
      <c r="N90" s="225">
        <f t="shared" si="7"/>
        <v>1.6744673226744846</v>
      </c>
      <c r="O90" s="225" t="str">
        <f>IF(IFERROR(INDEX('Both teabags AfterWet'!$C$3:$C$841,MATCH(J90,'Both teabags AfterWet'!$A$3:$A$841,0)),"")="","",(IFERROR(INDEX('Both teabags AfterWet'!$C$3:$C$841,MATCH(J90,'Both teabags AfterWet'!$A$3:$A$841,0)),"")))</f>
        <v/>
      </c>
      <c r="P90" s="225" t="str">
        <f>IFERROR(IF(O90&gt;0,O90-(TBIcalc!$H$9),""),"")</f>
        <v/>
      </c>
      <c r="Q90" s="225" t="str">
        <f>IFERROR(INDEX('Ashed teabags wet'!$K$2:$K$821,MATCH(J90,'Ashed teabags wet'!$A$2:$A$821,0)),"")</f>
        <v/>
      </c>
      <c r="R90" s="225" t="str">
        <f t="shared" si="11"/>
        <v/>
      </c>
      <c r="S90" s="226">
        <f>'WetLitterbags placem_collection'!E91</f>
        <v>42767</v>
      </c>
      <c r="T90" s="226">
        <f>IF('WetLitterbags placem_collection'!G91="","",'WetLitterbags placem_collection'!G91)</f>
        <v>42819</v>
      </c>
      <c r="U90" s="227">
        <f t="shared" si="8"/>
        <v>52</v>
      </c>
      <c r="V90" s="225" t="str">
        <f t="shared" si="9"/>
        <v/>
      </c>
      <c r="W90" s="225" t="str">
        <f t="shared" si="10"/>
        <v/>
      </c>
      <c r="X90">
        <f>IFERROR(INDEX(Rainfall_Wet!$O$2:$O$217,MATCH(B90, Rainfall_Wet!$A$2:$A$217,0)),"")</f>
        <v>194.93009798400001</v>
      </c>
      <c r="Y90" s="231">
        <v>28.145762029394</v>
      </c>
      <c r="Z90" s="231">
        <v>25.085564727199518</v>
      </c>
      <c r="AA90" s="231">
        <v>46.768673243406489</v>
      </c>
      <c r="AB90" s="232" t="s">
        <v>2670</v>
      </c>
      <c r="AC90" s="231">
        <v>2.1716214884179394</v>
      </c>
      <c r="AD90">
        <f>IF('WetLitterbags placem_collection'!AB91="","",'WetLitterbags placem_collection'!AB91)</f>
        <v>7.3</v>
      </c>
      <c r="AE90">
        <f>IF('WetLitterbags placem_collection'!Z91="","",'WetLitterbags placem_collection'!Z91)</f>
        <v>35.799999999999997</v>
      </c>
      <c r="AF90" s="246" t="str">
        <f>IF('WetLitterbags placem_collection'!AA91="","",'WetLitterbags placem_collection'!AA91)</f>
        <v>O</v>
      </c>
      <c r="AG90">
        <f>IF('WetLitterbags placem_collection'!AC91="","",'WetLitterbags placem_collection'!AC91)</f>
        <v>0</v>
      </c>
      <c r="AH90" s="240">
        <f>AVERAGE('WetLitterbags placem_collection'!S91,'WetLitterbags placem_collection'!U91)</f>
        <v>20.95</v>
      </c>
      <c r="AI90">
        <f>AVERAGE('WetLitterbags placem_collection'!R91,'WetLitterbags placem_collection'!T91)</f>
        <v>24.45</v>
      </c>
      <c r="AJ90">
        <f>INDEX(Coordinates!$B$2:$B$197,MATCH(G90,Coordinates!$J$2:$J$197,0))</f>
        <v>-3.2966709980000002</v>
      </c>
      <c r="AK90">
        <f>INDEX(Coordinates!$C$2:$C$197,MATCH(G90,Coordinates!$J$2:$J$197,0))</f>
        <v>34.854407019999996</v>
      </c>
      <c r="AL90" t="str">
        <f>IF(ISNUMBER(SEARCH("C", 'WetLitterbags placem_collection'!V91)),"YES","NO")</f>
        <v>NO</v>
      </c>
      <c r="AM90" t="str">
        <f>IF(ISNUMBER(SEARCH("H", 'WetLitterbags placem_collection'!V91)),"YES","NO")</f>
        <v>NO</v>
      </c>
      <c r="AN90" t="str">
        <f>IF(ISNUMBER(SEARCH("R", 'WetLitterbags placem_collection'!V91)),"YES","NO")</f>
        <v>NO</v>
      </c>
    </row>
    <row r="91" spans="1:40">
      <c r="A91" s="258" t="s">
        <v>2460</v>
      </c>
      <c r="B91" s="263">
        <f>'Dry_Litterbag Placem_Collection'!A92</f>
        <v>90</v>
      </c>
      <c r="C91" s="263" t="str">
        <f>'Dry_Litterbag Placem_Collection'!B92</f>
        <v>Maswa</v>
      </c>
      <c r="D91" s="263" t="s">
        <v>2659</v>
      </c>
      <c r="E91" s="263" t="s">
        <v>2661</v>
      </c>
      <c r="F91" s="263">
        <v>4</v>
      </c>
      <c r="G91" s="264" t="str">
        <f>'Dry_Litterbag Placem_Collection'!C92</f>
        <v>Dry_W4_T2</v>
      </c>
      <c r="H91" s="265" t="s">
        <v>2541</v>
      </c>
      <c r="I91" s="266" t="s">
        <v>1147</v>
      </c>
      <c r="J91" s="223" t="str">
        <f>'WetLitterbags placem_collection'!K92</f>
        <v>G592</v>
      </c>
      <c r="K91" s="225">
        <f>IFERROR(INDEX('Green_rooibos initial weight'!$C$5:$C$1749,MATCH(J91, 'Green_rooibos initial weight'!$A$5:$A$1749,0)),"")</f>
        <v>2.0699999999999998</v>
      </c>
      <c r="L91" s="225">
        <f>IFERROR(K91-(TBIcalc!$H$9+TBIcalc!$H$10),"")</f>
        <v>1.8201999999999998</v>
      </c>
      <c r="M91" s="391">
        <f>AVERAGE(Ashed_controlls!$K$2:$K$11)</f>
        <v>5.5147656768714146</v>
      </c>
      <c r="N91" s="225">
        <f t="shared" si="7"/>
        <v>1.7198202351495864</v>
      </c>
      <c r="O91" s="225">
        <f>IF(IFERROR(INDEX('Both teabags AfterWet'!$C$3:$C$841,MATCH(J91,'Both teabags AfterWet'!$A$3:$A$841,0)),"")="","",(IFERROR(INDEX('Both teabags AfterWet'!$C$3:$C$841,MATCH(J91,'Both teabags AfterWet'!$A$3:$A$841,0)),"")))</f>
        <v>1.0779000000000001</v>
      </c>
      <c r="P91" s="225">
        <f>IFERROR(IF(O91&gt;0,O91-(TBIcalc!$H$9),""),"")</f>
        <v>0.92730000000000001</v>
      </c>
      <c r="Q91" s="225">
        <f>IFERROR(INDEX('Ashed teabags wet'!$K$2:$K$821,MATCH(J91,'Ashed teabags wet'!$A$2:$A$821,0)),"")</f>
        <v>33.166583291646958</v>
      </c>
      <c r="R91" s="225">
        <f t="shared" si="11"/>
        <v>0.61974627313655772</v>
      </c>
      <c r="S91" s="226">
        <f>'WetLitterbags placem_collection'!E92</f>
        <v>42767</v>
      </c>
      <c r="T91" s="226">
        <f>IF('WetLitterbags placem_collection'!G92="","",'WetLitterbags placem_collection'!G92)</f>
        <v>42819</v>
      </c>
      <c r="U91" s="227">
        <f t="shared" si="8"/>
        <v>52</v>
      </c>
      <c r="V91" s="225">
        <f t="shared" si="9"/>
        <v>0.8928999999999998</v>
      </c>
      <c r="W91" s="225">
        <f t="shared" si="10"/>
        <v>1.1000739620130287</v>
      </c>
      <c r="X91">
        <f>IFERROR(INDEX(Rainfall_Wet!$O$2:$O$217,MATCH(B91, Rainfall_Wet!$A$2:$A$217,0)),"")</f>
        <v>194.93009798400001</v>
      </c>
      <c r="Y91" s="231">
        <v>28.145762029394</v>
      </c>
      <c r="Z91" s="231">
        <v>25.085564727199518</v>
      </c>
      <c r="AA91" s="231">
        <v>46.768673243406489</v>
      </c>
      <c r="AB91" s="232" t="s">
        <v>2670</v>
      </c>
      <c r="AC91" s="231">
        <v>3.1716214884179399</v>
      </c>
      <c r="AD91">
        <f>IF('WetLitterbags placem_collection'!AB92="","",'WetLitterbags placem_collection'!AB92)</f>
        <v>7.7</v>
      </c>
      <c r="AE91">
        <f>IF('WetLitterbags placem_collection'!Z92="","",'WetLitterbags placem_collection'!Z92)</f>
        <v>30.4</v>
      </c>
      <c r="AF91" s="246" t="str">
        <f>IF('WetLitterbags placem_collection'!AA92="","",'WetLitterbags placem_collection'!AA92)</f>
        <v>O</v>
      </c>
      <c r="AG91">
        <f>IF('WetLitterbags placem_collection'!AC92="","",'WetLitterbags placem_collection'!AC92)</f>
        <v>0</v>
      </c>
      <c r="AH91" s="240">
        <f>AVERAGE('WetLitterbags placem_collection'!S92,'WetLitterbags placem_collection'!U92)</f>
        <v>27.5</v>
      </c>
      <c r="AI91">
        <f>AVERAGE('WetLitterbags placem_collection'!R92,'WetLitterbags placem_collection'!T92)</f>
        <v>23.85</v>
      </c>
      <c r="AJ91">
        <f>INDEX(Coordinates!$B$2:$B$197,MATCH(G91,Coordinates!$J$2:$J$197,0))</f>
        <v>-3.2966860009999999</v>
      </c>
      <c r="AK91">
        <f>INDEX(Coordinates!$C$2:$C$197,MATCH(G91,Coordinates!$J$2:$J$197,0))</f>
        <v>34.854371989999997</v>
      </c>
      <c r="AL91" t="str">
        <f>IF(ISNUMBER(SEARCH("C", 'WetLitterbags placem_collection'!V92)),"YES","NO")</f>
        <v>NO</v>
      </c>
      <c r="AM91" t="str">
        <f>IF(ISNUMBER(SEARCH("H", 'WetLitterbags placem_collection'!V92)),"YES","NO")</f>
        <v>NO</v>
      </c>
      <c r="AN91" t="str">
        <f>IF(ISNUMBER(SEARCH("R", 'WetLitterbags placem_collection'!V92)),"YES","NO")</f>
        <v>NO</v>
      </c>
    </row>
    <row r="92" spans="1:40">
      <c r="A92" s="258" t="s">
        <v>2460</v>
      </c>
      <c r="B92" s="263">
        <f>'Dry_Litterbag Placem_Collection'!A93</f>
        <v>91</v>
      </c>
      <c r="C92" s="263" t="str">
        <f>'Dry_Litterbag Placem_Collection'!B93</f>
        <v>Maswa</v>
      </c>
      <c r="D92" s="263" t="s">
        <v>2659</v>
      </c>
      <c r="E92" s="263" t="s">
        <v>2661</v>
      </c>
      <c r="F92" s="263">
        <v>4</v>
      </c>
      <c r="G92" s="264" t="str">
        <f>'Dry_Litterbag Placem_Collection'!C93</f>
        <v>Dry_W4_T3</v>
      </c>
      <c r="H92" s="265" t="s">
        <v>2541</v>
      </c>
      <c r="I92" s="266" t="s">
        <v>1147</v>
      </c>
      <c r="J92" s="223" t="str">
        <f>'WetLitterbags placem_collection'!K93</f>
        <v>G472</v>
      </c>
      <c r="K92" s="225">
        <f>IFERROR(INDEX('Green_rooibos initial weight'!$C$5:$C$1749,MATCH(J92, 'Green_rooibos initial weight'!$A$5:$A$1749,0)),"")</f>
        <v>1.9710000000000001</v>
      </c>
      <c r="L92" s="225">
        <f>IFERROR(K92-(TBIcalc!$H$9+TBIcalc!$H$10),"")</f>
        <v>1.7212000000000001</v>
      </c>
      <c r="M92" s="391">
        <f>AVERAGE(Ashed_controlls!$K$2:$K$11)</f>
        <v>5.5147656768714146</v>
      </c>
      <c r="N92" s="225">
        <f t="shared" si="7"/>
        <v>1.6262798531696894</v>
      </c>
      <c r="O92" s="225">
        <f>IF(IFERROR(INDEX('Both teabags AfterWet'!$C$3:$C$841,MATCH(J92,'Both teabags AfterWet'!$A$3:$A$841,0)),"")="","",(IFERROR(INDEX('Both teabags AfterWet'!$C$3:$C$841,MATCH(J92,'Both teabags AfterWet'!$A$3:$A$841,0)),"")))</f>
        <v>0.76100000000000001</v>
      </c>
      <c r="P92" s="225">
        <f>IFERROR(IF(O92&gt;0,O92-(TBIcalc!$H$9),""),"")</f>
        <v>0.61040000000000005</v>
      </c>
      <c r="Q92" s="225">
        <f>IFERROR(INDEX('Ashed teabags wet'!$K$2:$K$821,MATCH(J92,'Ashed teabags wet'!$A$2:$A$821,0)),"")</f>
        <v>13.069604406610589</v>
      </c>
      <c r="R92" s="225">
        <f t="shared" si="11"/>
        <v>0.53062313470204903</v>
      </c>
      <c r="S92" s="226">
        <f>'WetLitterbags placem_collection'!E93</f>
        <v>42767</v>
      </c>
      <c r="T92" s="226">
        <f>IF('WetLitterbags placem_collection'!G93="","",'WetLitterbags placem_collection'!G93)</f>
        <v>42819</v>
      </c>
      <c r="U92" s="227">
        <f t="shared" si="8"/>
        <v>52</v>
      </c>
      <c r="V92" s="225">
        <f t="shared" si="9"/>
        <v>1.1108</v>
      </c>
      <c r="W92" s="225">
        <f t="shared" si="10"/>
        <v>1.0956567184676405</v>
      </c>
      <c r="X92">
        <f>IFERROR(INDEX(Rainfall_Wet!$O$2:$O$217,MATCH(B92, Rainfall_Wet!$A$2:$A$217,0)),"")</f>
        <v>194.93009798400001</v>
      </c>
      <c r="Y92" s="231">
        <v>28.145762029394</v>
      </c>
      <c r="Z92" s="231">
        <v>25.085564727199518</v>
      </c>
      <c r="AA92" s="231">
        <v>46.768673243406489</v>
      </c>
      <c r="AB92" s="232" t="s">
        <v>2670</v>
      </c>
      <c r="AC92" s="231">
        <v>4.1716214884179399</v>
      </c>
      <c r="AD92">
        <f>IF('WetLitterbags placem_collection'!AB93="","",'WetLitterbags placem_collection'!AB93)</f>
        <v>6.1</v>
      </c>
      <c r="AE92">
        <f>IF('WetLitterbags placem_collection'!Z93="","",'WetLitterbags placem_collection'!Z93)</f>
        <v>39.4</v>
      </c>
      <c r="AF92" s="246" t="str">
        <f>IF('WetLitterbags placem_collection'!AA93="","",'WetLitterbags placem_collection'!AA93)</f>
        <v>O</v>
      </c>
      <c r="AG92">
        <f>IF('WetLitterbags placem_collection'!AC93="","",'WetLitterbags placem_collection'!AC93)</f>
        <v>1</v>
      </c>
      <c r="AH92" s="240">
        <f>AVERAGE('WetLitterbags placem_collection'!S93,'WetLitterbags placem_collection'!U93)</f>
        <v>26.4</v>
      </c>
      <c r="AI92">
        <f>AVERAGE('WetLitterbags placem_collection'!R93,'WetLitterbags placem_collection'!T93)</f>
        <v>24.35</v>
      </c>
      <c r="AJ92">
        <f>INDEX(Coordinates!$B$2:$B$197,MATCH(G92,Coordinates!$J$2:$J$197,0))</f>
        <v>-3.2966180239999998</v>
      </c>
      <c r="AK92">
        <f>INDEX(Coordinates!$C$2:$C$197,MATCH(G92,Coordinates!$J$2:$J$197,0))</f>
        <v>34.854464020000002</v>
      </c>
      <c r="AL92" t="str">
        <f>IF(ISNUMBER(SEARCH("C", 'WetLitterbags placem_collection'!V93)),"YES","NO")</f>
        <v>NO</v>
      </c>
      <c r="AM92" t="str">
        <f>IF(ISNUMBER(SEARCH("H", 'WetLitterbags placem_collection'!V93)),"YES","NO")</f>
        <v>YES</v>
      </c>
      <c r="AN92" t="str">
        <f>IF(ISNUMBER(SEARCH("R", 'WetLitterbags placem_collection'!V93)),"YES","NO")</f>
        <v>YES</v>
      </c>
    </row>
    <row r="93" spans="1:40">
      <c r="A93" s="258" t="s">
        <v>2460</v>
      </c>
      <c r="B93" s="263">
        <f>'Dry_Litterbag Placem_Collection'!A94</f>
        <v>92</v>
      </c>
      <c r="C93" s="263" t="str">
        <f>'Dry_Litterbag Placem_Collection'!B94</f>
        <v>Maswa</v>
      </c>
      <c r="D93" s="263" t="s">
        <v>2659</v>
      </c>
      <c r="E93" s="263" t="s">
        <v>2661</v>
      </c>
      <c r="F93" s="263">
        <v>4</v>
      </c>
      <c r="G93" s="264" t="str">
        <f>'Dry_Litterbag Placem_Collection'!C94</f>
        <v>Dry_W4_T4</v>
      </c>
      <c r="H93" s="265" t="s">
        <v>2541</v>
      </c>
      <c r="I93" s="266" t="s">
        <v>1147</v>
      </c>
      <c r="J93" s="223" t="str">
        <f>'WetLitterbags placem_collection'!K94</f>
        <v>G529</v>
      </c>
      <c r="K93" s="225">
        <f>IFERROR(INDEX('Green_rooibos initial weight'!$C$5:$C$1749,MATCH(J93, 'Green_rooibos initial weight'!$A$5:$A$1749,0)),"")</f>
        <v>2.089</v>
      </c>
      <c r="L93" s="225">
        <f>IFERROR(K93-(TBIcalc!$H$9+TBIcalc!$H$10),"")</f>
        <v>1.8391999999999999</v>
      </c>
      <c r="M93" s="391">
        <f>AVERAGE(Ashed_controlls!$K$2:$K$11)</f>
        <v>5.5147656768714146</v>
      </c>
      <c r="N93" s="225">
        <f t="shared" si="7"/>
        <v>1.7377724296709809</v>
      </c>
      <c r="O93" s="225">
        <f>IF(IFERROR(INDEX('Both teabags AfterWet'!$C$3:$C$841,MATCH(J93,'Both teabags AfterWet'!$A$3:$A$841,0)),"")="","",(IFERROR(INDEX('Both teabags AfterWet'!$C$3:$C$841,MATCH(J93,'Both teabags AfterWet'!$A$3:$A$841,0)),"")))</f>
        <v>0.76500000000000001</v>
      </c>
      <c r="P93" s="225">
        <f>IFERROR(IF(O93&gt;0,O93-(TBIcalc!$H$9),""),"")</f>
        <v>0.61440000000000006</v>
      </c>
      <c r="Q93" s="225">
        <f>IFERROR(INDEX('Ashed teabags wet'!$K$2:$K$821,MATCH(J93,'Ashed teabags wet'!$A$2:$A$821,0)),"")</f>
        <v>11.868446139180241</v>
      </c>
      <c r="R93" s="225">
        <f t="shared" si="11"/>
        <v>0.5414802669208767</v>
      </c>
      <c r="S93" s="226">
        <f>'WetLitterbags placem_collection'!E94</f>
        <v>42767</v>
      </c>
      <c r="T93" s="226">
        <f>IF('WetLitterbags placem_collection'!G94="","",'WetLitterbags placem_collection'!G94)</f>
        <v>42819</v>
      </c>
      <c r="U93" s="227">
        <f t="shared" si="8"/>
        <v>52</v>
      </c>
      <c r="V93" s="225">
        <f t="shared" si="9"/>
        <v>1.2247999999999999</v>
      </c>
      <c r="W93" s="225">
        <f t="shared" si="10"/>
        <v>1.1962921627501042</v>
      </c>
      <c r="X93">
        <f>IFERROR(INDEX(Rainfall_Wet!$O$2:$O$217,MATCH(B93, Rainfall_Wet!$A$2:$A$217,0)),"")</f>
        <v>194.93009798400001</v>
      </c>
      <c r="Y93" s="231">
        <v>28.145762029394</v>
      </c>
      <c r="Z93" s="231">
        <v>25.085564727199518</v>
      </c>
      <c r="AA93" s="231">
        <v>46.768673243406489</v>
      </c>
      <c r="AB93" s="232" t="s">
        <v>2670</v>
      </c>
      <c r="AC93" s="231">
        <v>5.1716214884179399</v>
      </c>
      <c r="AD93">
        <f>IF('WetLitterbags placem_collection'!AB94="","",'WetLitterbags placem_collection'!AB94)</f>
        <v>7.7</v>
      </c>
      <c r="AE93">
        <f>IF('WetLitterbags placem_collection'!Z94="","",'WetLitterbags placem_collection'!Z94)</f>
        <v>24.8</v>
      </c>
      <c r="AF93" s="246" t="str">
        <f>IF('WetLitterbags placem_collection'!AA94="","",'WetLitterbags placem_collection'!AA94)</f>
        <v>O</v>
      </c>
      <c r="AG93">
        <f>IF('WetLitterbags placem_collection'!AC94="","",'WetLitterbags placem_collection'!AC94)</f>
        <v>1</v>
      </c>
      <c r="AH93" s="240">
        <f>AVERAGE('WetLitterbags placem_collection'!S94,'WetLitterbags placem_collection'!U94)</f>
        <v>26.45</v>
      </c>
      <c r="AI93">
        <f>AVERAGE('WetLitterbags placem_collection'!R94,'WetLitterbags placem_collection'!T94)</f>
        <v>22.6</v>
      </c>
      <c r="AJ93">
        <f>INDEX(Coordinates!$B$2:$B$197,MATCH(G93,Coordinates!$J$2:$J$197,0))</f>
        <v>-3.2965539860000002</v>
      </c>
      <c r="AK93">
        <f>INDEX(Coordinates!$C$2:$C$197,MATCH(G93,Coordinates!$J$2:$J$197,0))</f>
        <v>34.854455969999997</v>
      </c>
      <c r="AL93" t="str">
        <f>IF(ISNUMBER(SEARCH("C", 'WetLitterbags placem_collection'!V94)),"YES","NO")</f>
        <v>YES</v>
      </c>
      <c r="AM93" t="str">
        <f>IF(ISNUMBER(SEARCH("H", 'WetLitterbags placem_collection'!V94)),"YES","NO")</f>
        <v>YES</v>
      </c>
      <c r="AN93" t="str">
        <f>IF(ISNUMBER(SEARCH("R", 'WetLitterbags placem_collection'!V94)),"YES","NO")</f>
        <v>NO</v>
      </c>
    </row>
    <row r="94" spans="1:40">
      <c r="A94" s="258" t="s">
        <v>2460</v>
      </c>
      <c r="B94" s="263">
        <f>'Dry_Litterbag Placem_Collection'!A95</f>
        <v>93</v>
      </c>
      <c r="C94" s="263" t="str">
        <f>'Dry_Litterbag Placem_Collection'!B95</f>
        <v>Maswa</v>
      </c>
      <c r="D94" s="263" t="s">
        <v>2659</v>
      </c>
      <c r="E94" s="263" t="s">
        <v>2661</v>
      </c>
      <c r="F94" s="263">
        <v>4</v>
      </c>
      <c r="G94" s="264" t="str">
        <f>'Dry_Litterbag Placem_Collection'!C95</f>
        <v>Dry_W4_T5</v>
      </c>
      <c r="H94" s="265" t="s">
        <v>2541</v>
      </c>
      <c r="I94" s="266" t="s">
        <v>1147</v>
      </c>
      <c r="J94" s="223" t="str">
        <f>'WetLitterbags placem_collection'!K95</f>
        <v>G636</v>
      </c>
      <c r="K94" s="225">
        <f>IFERROR(INDEX('Green_rooibos initial weight'!$C$5:$C$1749,MATCH(J94, 'Green_rooibos initial weight'!$A$5:$A$1749,0)),"")</f>
        <v>2.133</v>
      </c>
      <c r="L94" s="225">
        <f>IFERROR(K94-(TBIcalc!$H$9+TBIcalc!$H$10),"")</f>
        <v>1.8832</v>
      </c>
      <c r="M94" s="391">
        <f>AVERAGE(Ashed_controlls!$K$2:$K$11)</f>
        <v>5.5147656768714146</v>
      </c>
      <c r="N94" s="225">
        <f t="shared" si="7"/>
        <v>1.7793459327731576</v>
      </c>
      <c r="O94" s="225">
        <f>IF(IFERROR(INDEX('Both teabags AfterWet'!$C$3:$C$841,MATCH(J94,'Both teabags AfterWet'!$A$3:$A$841,0)),"")="","",(IFERROR(INDEX('Both teabags AfterWet'!$C$3:$C$841,MATCH(J94,'Both teabags AfterWet'!$A$3:$A$841,0)),"")))</f>
        <v>0.79630000000000001</v>
      </c>
      <c r="P94" s="225">
        <f>IFERROR(IF(O94&gt;0,O94-(TBIcalc!$H$9),""),"")</f>
        <v>0.64569999999999994</v>
      </c>
      <c r="Q94" s="225">
        <f>IFERROR(INDEX('Ashed teabags wet'!$K$2:$K$821,MATCH(J94,'Ashed teabags wet'!$A$2:$A$821,0)),"")</f>
        <v>13.477619281849297</v>
      </c>
      <c r="R94" s="225">
        <f t="shared" si="11"/>
        <v>0.55867501229709904</v>
      </c>
      <c r="S94" s="226">
        <f>'WetLitterbags placem_collection'!E95</f>
        <v>42767</v>
      </c>
      <c r="T94" s="226">
        <f>IF('WetLitterbags placem_collection'!G95="","",'WetLitterbags placem_collection'!G95)</f>
        <v>42819</v>
      </c>
      <c r="U94" s="227">
        <f t="shared" si="8"/>
        <v>52</v>
      </c>
      <c r="V94" s="225">
        <f t="shared" si="9"/>
        <v>1.2375</v>
      </c>
      <c r="W94" s="225">
        <f t="shared" si="10"/>
        <v>1.2206709204760586</v>
      </c>
      <c r="X94">
        <f>IFERROR(INDEX(Rainfall_Wet!$O$2:$O$217,MATCH(B94, Rainfall_Wet!$A$2:$A$217,0)),"")</f>
        <v>194.93009798400001</v>
      </c>
      <c r="Y94" s="231">
        <v>28.145762029394</v>
      </c>
      <c r="Z94" s="231">
        <v>25.085564727199518</v>
      </c>
      <c r="AA94" s="231">
        <v>46.768673243406489</v>
      </c>
      <c r="AB94" s="232" t="s">
        <v>2670</v>
      </c>
      <c r="AC94" s="231">
        <v>6.1716214884179399</v>
      </c>
      <c r="AD94">
        <f>IF('WetLitterbags placem_collection'!AB95="","",'WetLitterbags placem_collection'!AB95)</f>
        <v>6.6</v>
      </c>
      <c r="AE94">
        <f>IF('WetLitterbags placem_collection'!Z95="","",'WetLitterbags placem_collection'!Z95)</f>
        <v>40</v>
      </c>
      <c r="AF94" s="246" t="str">
        <f>IF('WetLitterbags placem_collection'!AA95="","",'WetLitterbags placem_collection'!AA95)</f>
        <v>O</v>
      </c>
      <c r="AG94">
        <f>IF('WetLitterbags placem_collection'!AC95="","",'WetLitterbags placem_collection'!AC95)</f>
        <v>1</v>
      </c>
      <c r="AH94" s="240">
        <f>AVERAGE('WetLitterbags placem_collection'!S95,'WetLitterbags placem_collection'!U95)</f>
        <v>25.25</v>
      </c>
      <c r="AI94">
        <f>AVERAGE('WetLitterbags placem_collection'!R95,'WetLitterbags placem_collection'!T95)</f>
        <v>23.5</v>
      </c>
      <c r="AJ94">
        <f>INDEX(Coordinates!$B$2:$B$197,MATCH(G94,Coordinates!$J$2:$J$197,0))</f>
        <v>-3.2964789680000002</v>
      </c>
      <c r="AK94">
        <f>INDEX(Coordinates!$C$2:$C$197,MATCH(G94,Coordinates!$J$2:$J$197,0))</f>
        <v>34.854331000000002</v>
      </c>
      <c r="AL94" t="str">
        <f>IF(ISNUMBER(SEARCH("C", 'WetLitterbags placem_collection'!V95)),"YES","NO")</f>
        <v>NO</v>
      </c>
      <c r="AM94" t="str">
        <f>IF(ISNUMBER(SEARCH("H", 'WetLitterbags placem_collection'!V95)),"YES","NO")</f>
        <v>NO</v>
      </c>
      <c r="AN94" t="str">
        <f>IF(ISNUMBER(SEARCH("R", 'WetLitterbags placem_collection'!V95)),"YES","NO")</f>
        <v>YES</v>
      </c>
    </row>
    <row r="95" spans="1:40">
      <c r="A95" s="258" t="s">
        <v>2460</v>
      </c>
      <c r="B95" s="263">
        <f>'Dry_Litterbag Placem_Collection'!A96</f>
        <v>94</v>
      </c>
      <c r="C95" s="263" t="str">
        <f>'Dry_Litterbag Placem_Collection'!B96</f>
        <v>Maswa</v>
      </c>
      <c r="D95" s="263" t="s">
        <v>2659</v>
      </c>
      <c r="E95" s="263" t="s">
        <v>2661</v>
      </c>
      <c r="F95" s="263">
        <v>4</v>
      </c>
      <c r="G95" s="264" t="str">
        <f>'Dry_Litterbag Placem_Collection'!C96</f>
        <v>Dry_W4_T6</v>
      </c>
      <c r="H95" s="265" t="s">
        <v>2541</v>
      </c>
      <c r="I95" s="266" t="s">
        <v>1147</v>
      </c>
      <c r="J95" s="223" t="str">
        <f>'WetLitterbags placem_collection'!K96</f>
        <v>G534</v>
      </c>
      <c r="K95" s="225">
        <f>IFERROR(INDEX('Green_rooibos initial weight'!$C$5:$C$1749,MATCH(J95, 'Green_rooibos initial weight'!$A$5:$A$1749,0)),"")</f>
        <v>2.169</v>
      </c>
      <c r="L95" s="225">
        <f>IFERROR(K95-(TBIcalc!$H$9+TBIcalc!$H$10),"")</f>
        <v>1.9192</v>
      </c>
      <c r="M95" s="391">
        <f>AVERAGE(Ashed_controlls!$K$2:$K$11)</f>
        <v>5.5147656768714146</v>
      </c>
      <c r="N95" s="225">
        <f t="shared" si="7"/>
        <v>1.8133606171294838</v>
      </c>
      <c r="O95" s="225" t="str">
        <f>IF(IFERROR(INDEX('Both teabags AfterWet'!$C$3:$C$841,MATCH(J95,'Both teabags AfterWet'!$A$3:$A$841,0)),"")="","",(IFERROR(INDEX('Both teabags AfterWet'!$C$3:$C$841,MATCH(J95,'Both teabags AfterWet'!$A$3:$A$841,0)),"")))</f>
        <v/>
      </c>
      <c r="P95" s="225" t="str">
        <f>IFERROR(IF(O95&gt;0,O95-(TBIcalc!$H$9),""),"")</f>
        <v/>
      </c>
      <c r="Q95" s="225" t="str">
        <f>IFERROR(INDEX('Ashed teabags wet'!$K$2:$K$821,MATCH(J95,'Ashed teabags wet'!$A$2:$A$821,0)),"")</f>
        <v/>
      </c>
      <c r="R95" s="225" t="str">
        <f t="shared" si="11"/>
        <v/>
      </c>
      <c r="S95" s="226">
        <f>'WetLitterbags placem_collection'!E96</f>
        <v>42767</v>
      </c>
      <c r="T95" s="226" t="str">
        <f>IF('WetLitterbags placem_collection'!G96="","",'WetLitterbags placem_collection'!G96)</f>
        <v/>
      </c>
      <c r="U95" s="227" t="str">
        <f t="shared" si="8"/>
        <v/>
      </c>
      <c r="V95" s="225" t="str">
        <f t="shared" si="9"/>
        <v/>
      </c>
      <c r="W95" s="225" t="str">
        <f t="shared" si="10"/>
        <v/>
      </c>
      <c r="X95" t="str">
        <f>IFERROR(INDEX(Rainfall_Wet!$O$2:$O$217,MATCH(B95, Rainfall_Wet!$A$2:$A$217,0)),"")</f>
        <v/>
      </c>
      <c r="Y95" s="231">
        <v>28.145762029394</v>
      </c>
      <c r="Z95" s="231">
        <v>25.085564727199518</v>
      </c>
      <c r="AA95" s="231">
        <v>46.768673243406489</v>
      </c>
      <c r="AB95" s="232" t="s">
        <v>2670</v>
      </c>
      <c r="AC95" s="231">
        <v>7.1716214884179399</v>
      </c>
      <c r="AD95" t="str">
        <f>IF('WetLitterbags placem_collection'!AB96="","",'WetLitterbags placem_collection'!AB96)</f>
        <v/>
      </c>
      <c r="AE95" t="str">
        <f>IF('WetLitterbags placem_collection'!Z96="","",'WetLitterbags placem_collection'!Z96)</f>
        <v/>
      </c>
      <c r="AF95" s="246" t="str">
        <f>IF('WetLitterbags placem_collection'!AA96="","",'WetLitterbags placem_collection'!AA96)</f>
        <v/>
      </c>
      <c r="AG95" t="str">
        <f>IF('WetLitterbags placem_collection'!AC96="","",'WetLitterbags placem_collection'!AC96)</f>
        <v/>
      </c>
      <c r="AH95" s="240">
        <f>AVERAGE('WetLitterbags placem_collection'!S96,'WetLitterbags placem_collection'!U96)</f>
        <v>36.200000000000003</v>
      </c>
      <c r="AI95">
        <f>AVERAGE('WetLitterbags placem_collection'!R96,'WetLitterbags placem_collection'!T96)</f>
        <v>22</v>
      </c>
      <c r="AJ95">
        <f>INDEX(Coordinates!$B$2:$B$197,MATCH(G95,Coordinates!$J$2:$J$197,0))</f>
        <v>-3.2964649700000002</v>
      </c>
      <c r="AK95">
        <f>INDEX(Coordinates!$C$2:$C$197,MATCH(G95,Coordinates!$J$2:$J$197,0))</f>
        <v>34.854340970000003</v>
      </c>
      <c r="AL95" t="str">
        <f>IF(ISNUMBER(SEARCH("C", 'WetLitterbags placem_collection'!V96)),"YES","NO")</f>
        <v>NO</v>
      </c>
      <c r="AM95" t="str">
        <f>IF(ISNUMBER(SEARCH("H", 'WetLitterbags placem_collection'!V96)),"YES","NO")</f>
        <v>NO</v>
      </c>
      <c r="AN95" t="str">
        <f>IF(ISNUMBER(SEARCH("R", 'WetLitterbags placem_collection'!V96)),"YES","NO")</f>
        <v>NO</v>
      </c>
    </row>
    <row r="96" spans="1:40" ht="15" customHeight="1">
      <c r="A96" s="258" t="s">
        <v>2460</v>
      </c>
      <c r="B96" s="263">
        <f>'Dry_Litterbag Placem_Collection'!A97</f>
        <v>95</v>
      </c>
      <c r="C96" s="263" t="str">
        <f>'Dry_Litterbag Placem_Collection'!B97</f>
        <v>Maswa</v>
      </c>
      <c r="D96" s="263" t="s">
        <v>2659</v>
      </c>
      <c r="E96" s="263" t="s">
        <v>2661</v>
      </c>
      <c r="F96" s="263">
        <v>4</v>
      </c>
      <c r="G96" s="264" t="str">
        <f>'Dry_Litterbag Placem_Collection'!C97</f>
        <v>Dry_W4_T7</v>
      </c>
      <c r="H96" s="265" t="s">
        <v>2541</v>
      </c>
      <c r="I96" s="266" t="s">
        <v>1147</v>
      </c>
      <c r="J96" s="223" t="str">
        <f>'WetLitterbags placem_collection'!K97</f>
        <v>G641</v>
      </c>
      <c r="K96" s="225">
        <f>IFERROR(INDEX('Green_rooibos initial weight'!$C$5:$C$1749,MATCH(J96, 'Green_rooibos initial weight'!$A$5:$A$1749,0)),"")</f>
        <v>2.14</v>
      </c>
      <c r="L96" s="225">
        <f>IFERROR(K96-(TBIcalc!$H$9+TBIcalc!$H$10),"")</f>
        <v>1.8902000000000001</v>
      </c>
      <c r="M96" s="391">
        <f>AVERAGE(Ashed_controlls!$K$2:$K$11)</f>
        <v>5.5147656768714146</v>
      </c>
      <c r="N96" s="225">
        <f t="shared" si="7"/>
        <v>1.7859598991757766</v>
      </c>
      <c r="O96" s="225">
        <f>IF(IFERROR(INDEX('Both teabags AfterWet'!$C$3:$C$841,MATCH(J96,'Both teabags AfterWet'!$A$3:$A$841,0)),"")="","",(IFERROR(INDEX('Both teabags AfterWet'!$C$3:$C$841,MATCH(J96,'Both teabags AfterWet'!$A$3:$A$841,0)),"")))</f>
        <v>1.254</v>
      </c>
      <c r="P96" s="225">
        <f>IFERROR(IF(O96&gt;0,O96-(TBIcalc!$H$9),""),"")</f>
        <v>1.1033999999999999</v>
      </c>
      <c r="Q96" s="225">
        <f>IFERROR(INDEX('Ashed teabags wet'!$K$2:$K$821,MATCH(J96,'Ashed teabags wet'!$A$2:$A$821,0)),"")</f>
        <v>33.235294117646788</v>
      </c>
      <c r="R96" s="225">
        <f t="shared" si="11"/>
        <v>0.73668176470588531</v>
      </c>
      <c r="S96" s="226">
        <f>'WetLitterbags placem_collection'!E97</f>
        <v>42767</v>
      </c>
      <c r="T96" s="226">
        <f>IF('WetLitterbags placem_collection'!G97="","",'WetLitterbags placem_collection'!G97)</f>
        <v>42819</v>
      </c>
      <c r="U96" s="227">
        <f t="shared" si="8"/>
        <v>52</v>
      </c>
      <c r="V96" s="225">
        <f t="shared" si="9"/>
        <v>0.78680000000000017</v>
      </c>
      <c r="W96" s="225">
        <f t="shared" si="10"/>
        <v>1.0492781344698914</v>
      </c>
      <c r="X96">
        <f>IFERROR(INDEX(Rainfall_Wet!$O$2:$O$217,MATCH(B96, Rainfall_Wet!$A$2:$A$217,0)),"")</f>
        <v>194.93009798400001</v>
      </c>
      <c r="Y96" s="231">
        <v>28.145762029394</v>
      </c>
      <c r="Z96" s="231">
        <v>25.085564727199518</v>
      </c>
      <c r="AA96" s="231">
        <v>46.768673243406489</v>
      </c>
      <c r="AB96" s="232" t="s">
        <v>2670</v>
      </c>
      <c r="AC96" s="231">
        <v>8.1716214884179408</v>
      </c>
      <c r="AD96">
        <f>IF('WetLitterbags placem_collection'!AB97="","",'WetLitterbags placem_collection'!AB97)</f>
        <v>5.4</v>
      </c>
      <c r="AE96">
        <f>IF('WetLitterbags placem_collection'!Z97="","",'WetLitterbags placem_collection'!Z97)</f>
        <v>15.2</v>
      </c>
      <c r="AF96" s="246" t="str">
        <f>IF('WetLitterbags placem_collection'!AA97="","",'WetLitterbags placem_collection'!AA97)</f>
        <v>O</v>
      </c>
      <c r="AG96">
        <f>IF('WetLitterbags placem_collection'!AC97="","",'WetLitterbags placem_collection'!AC97)</f>
        <v>0</v>
      </c>
      <c r="AH96" s="240">
        <f>AVERAGE('WetLitterbags placem_collection'!S97,'WetLitterbags placem_collection'!U97)</f>
        <v>28.85</v>
      </c>
      <c r="AI96">
        <f>AVERAGE('WetLitterbags placem_collection'!R97,'WetLitterbags placem_collection'!T97)</f>
        <v>23.2</v>
      </c>
      <c r="AJ96">
        <f>INDEX(Coordinates!$B$2:$B$197,MATCH(G96,Coordinates!$J$2:$J$197,0))</f>
        <v>-3.296725983</v>
      </c>
      <c r="AK96">
        <f>INDEX(Coordinates!$C$2:$C$197,MATCH(G96,Coordinates!$J$2:$J$197,0))</f>
        <v>34.854216000000001</v>
      </c>
      <c r="AL96" t="str">
        <f>IF(ISNUMBER(SEARCH("C", 'WetLitterbags placem_collection'!V97)),"YES","NO")</f>
        <v>YES</v>
      </c>
      <c r="AM96" t="str">
        <f>IF(ISNUMBER(SEARCH("H", 'WetLitterbags placem_collection'!V97)),"YES","NO")</f>
        <v>YES</v>
      </c>
      <c r="AN96" t="str">
        <f>IF(ISNUMBER(SEARCH("R", 'WetLitterbags placem_collection'!V97)),"YES","NO")</f>
        <v>YES</v>
      </c>
    </row>
    <row r="97" spans="1:40" ht="15" customHeight="1">
      <c r="A97" s="258" t="s">
        <v>2460</v>
      </c>
      <c r="B97" s="263">
        <f>'Dry_Litterbag Placem_Collection'!A98</f>
        <v>96</v>
      </c>
      <c r="C97" s="263" t="str">
        <f>'Dry_Litterbag Placem_Collection'!B98</f>
        <v>Maswa</v>
      </c>
      <c r="D97" s="263" t="s">
        <v>2659</v>
      </c>
      <c r="E97" s="263" t="s">
        <v>2661</v>
      </c>
      <c r="F97" s="263">
        <v>4</v>
      </c>
      <c r="G97" s="264" t="str">
        <f>'Dry_Litterbag Placem_Collection'!C98</f>
        <v>Dry_W4_T8</v>
      </c>
      <c r="H97" s="265" t="s">
        <v>2541</v>
      </c>
      <c r="I97" s="266" t="s">
        <v>1147</v>
      </c>
      <c r="J97" s="223" t="str">
        <f>'WetLitterbags placem_collection'!K98</f>
        <v>G479</v>
      </c>
      <c r="K97" s="225">
        <f>IFERROR(INDEX('Green_rooibos initial weight'!$C$5:$C$1749,MATCH(J97, 'Green_rooibos initial weight'!$A$5:$A$1749,0)),"")</f>
        <v>1.982</v>
      </c>
      <c r="L97" s="225">
        <f>IFERROR(K97-(TBIcalc!$H$9+TBIcalc!$H$10),"")</f>
        <v>1.7322</v>
      </c>
      <c r="M97" s="391">
        <f>AVERAGE(Ashed_controlls!$K$2:$K$11)</f>
        <v>5.5147656768714146</v>
      </c>
      <c r="N97" s="225">
        <f t="shared" si="7"/>
        <v>1.6366732289452333</v>
      </c>
      <c r="O97" s="225">
        <f>IF(IFERROR(INDEX('Both teabags AfterWet'!$C$3:$C$841,MATCH(J97,'Both teabags AfterWet'!$A$3:$A$841,0)),"")="","",(IFERROR(INDEX('Both teabags AfterWet'!$C$3:$C$841,MATCH(J97,'Both teabags AfterWet'!$A$3:$A$841,0)),"")))</f>
        <v>0.90410000000000001</v>
      </c>
      <c r="P97" s="225">
        <f>IFERROR(IF(O97&gt;0,O97-(TBIcalc!$H$9),""),"")</f>
        <v>0.75350000000000006</v>
      </c>
      <c r="Q97" s="225">
        <f>IFERROR(INDEX('Ashed teabags wet'!$K$2:$K$821,MATCH(J97,'Ashed teabags wet'!$A$2:$A$821,0)),"")</f>
        <v>16.839506172838583</v>
      </c>
      <c r="R97" s="225">
        <f t="shared" si="11"/>
        <v>0.62661432098766134</v>
      </c>
      <c r="S97" s="226">
        <f>'WetLitterbags placem_collection'!E98</f>
        <v>42767</v>
      </c>
      <c r="T97" s="226">
        <f>IF('WetLitterbags placem_collection'!G98="","",'WetLitterbags placem_collection'!G98)</f>
        <v>42819</v>
      </c>
      <c r="U97" s="227">
        <f t="shared" si="8"/>
        <v>52</v>
      </c>
      <c r="V97" s="225">
        <f t="shared" si="9"/>
        <v>0.9786999999999999</v>
      </c>
      <c r="W97" s="225">
        <f t="shared" si="10"/>
        <v>1.0100589079575719</v>
      </c>
      <c r="X97">
        <f>IFERROR(INDEX(Rainfall_Wet!$O$2:$O$217,MATCH(B97, Rainfall_Wet!$A$2:$A$217,0)),"")</f>
        <v>194.93009798400001</v>
      </c>
      <c r="Y97" s="231">
        <v>28.145762029394</v>
      </c>
      <c r="Z97" s="231">
        <v>25.085564727199518</v>
      </c>
      <c r="AA97" s="231">
        <v>46.768673243406489</v>
      </c>
      <c r="AB97" s="232" t="s">
        <v>2670</v>
      </c>
      <c r="AC97" s="231">
        <v>9.1716214884179408</v>
      </c>
      <c r="AD97">
        <f>IF('WetLitterbags placem_collection'!AB98="","",'WetLitterbags placem_collection'!AB98)</f>
        <v>4</v>
      </c>
      <c r="AE97">
        <f>IF('WetLitterbags placem_collection'!Z98="","",'WetLitterbags placem_collection'!Z98)</f>
        <v>34.4</v>
      </c>
      <c r="AF97" s="246" t="str">
        <f>IF('WetLitterbags placem_collection'!AA98="","",'WetLitterbags placem_collection'!AA98)</f>
        <v>O</v>
      </c>
      <c r="AG97">
        <f>IF('WetLitterbags placem_collection'!AC98="","",'WetLitterbags placem_collection'!AC98)</f>
        <v>0</v>
      </c>
      <c r="AH97" s="240">
        <f>AVERAGE('WetLitterbags placem_collection'!S98,'WetLitterbags placem_collection'!U98)</f>
        <v>16.799999999999997</v>
      </c>
      <c r="AI97">
        <f>AVERAGE('WetLitterbags placem_collection'!R98,'WetLitterbags placem_collection'!T98)</f>
        <v>24.3</v>
      </c>
      <c r="AJ97">
        <f>INDEX(Coordinates!$B$2:$B$197,MATCH(G97,Coordinates!$J$2:$J$197,0))</f>
        <v>-3.2968360369999998</v>
      </c>
      <c r="AK97">
        <f>INDEX(Coordinates!$C$2:$C$197,MATCH(G97,Coordinates!$J$2:$J$197,0))</f>
        <v>34.854462009999999</v>
      </c>
      <c r="AL97" t="str">
        <f>IF(ISNUMBER(SEARCH("C", 'WetLitterbags placem_collection'!V98)),"YES","NO")</f>
        <v>NO</v>
      </c>
      <c r="AM97" t="str">
        <f>IF(ISNUMBER(SEARCH("H", 'WetLitterbags placem_collection'!V98)),"YES","NO")</f>
        <v>NO</v>
      </c>
      <c r="AN97" t="str">
        <f>IF(ISNUMBER(SEARCH("R", 'WetLitterbags placem_collection'!V98)),"YES","NO")</f>
        <v>YES</v>
      </c>
    </row>
    <row r="98" spans="1:40" ht="15" customHeight="1">
      <c r="A98" s="258" t="s">
        <v>2460</v>
      </c>
      <c r="B98" s="263">
        <f>'Dry_Litterbag Placem_Collection'!A99</f>
        <v>97</v>
      </c>
      <c r="C98" s="263" t="str">
        <f>'Dry_Litterbag Placem_Collection'!B99</f>
        <v xml:space="preserve">Mwantimba
</v>
      </c>
      <c r="D98" s="263" t="s">
        <v>2460</v>
      </c>
      <c r="E98" s="263" t="s">
        <v>2660</v>
      </c>
      <c r="F98" s="263">
        <v>1</v>
      </c>
      <c r="G98" s="264" t="str">
        <f>'Dry_Litterbag Placem_Collection'!C99</f>
        <v>Wet_Ag1_T1</v>
      </c>
      <c r="H98" s="265" t="s">
        <v>2541</v>
      </c>
      <c r="I98" s="266" t="s">
        <v>1147</v>
      </c>
      <c r="J98" s="223" t="str">
        <f>'WetLitterbags placem_collection'!K99</f>
        <v>G741</v>
      </c>
      <c r="K98" s="225">
        <f>IFERROR(INDEX('Green_rooibos initial weight'!$C$5:$C$1749,MATCH(J98, 'Green_rooibos initial weight'!$A$5:$A$1749,0)),"")</f>
        <v>2.1019999999999999</v>
      </c>
      <c r="L98" s="225">
        <f>IFERROR(K98-(TBIcalc!$H$9+TBIcalc!$H$10),"")</f>
        <v>1.8521999999999998</v>
      </c>
      <c r="M98" s="391">
        <f>AVERAGE(Ashed_controlls!$K$2:$K$11)</f>
        <v>5.5147656768714146</v>
      </c>
      <c r="N98" s="225">
        <f t="shared" si="7"/>
        <v>1.7500555101329875</v>
      </c>
      <c r="O98" s="225">
        <f>IF(IFERROR(INDEX('Both teabags AfterWet'!$C$3:$C$841,MATCH(J98,'Both teabags AfterWet'!$A$3:$A$841,0)),"")="","",(IFERROR(INDEX('Both teabags AfterWet'!$C$3:$C$841,MATCH(J98,'Both teabags AfterWet'!$A$3:$A$841,0)),"")))</f>
        <v>0.60680000000000001</v>
      </c>
      <c r="P98" s="225">
        <f>IFERROR(IF(O98&gt;0,O98-(TBIcalc!$H$9),""),"")</f>
        <v>0.45619999999999999</v>
      </c>
      <c r="Q98" s="225">
        <f>IFERROR(INDEX('Ashed teabags wet'!$K$2:$K$821,MATCH(J98,'Ashed teabags wet'!$A$2:$A$821,0)),"")</f>
        <v>20.517928286852939</v>
      </c>
      <c r="R98" s="225">
        <f t="shared" si="11"/>
        <v>0.36259721115537691</v>
      </c>
      <c r="S98" s="226">
        <f>'WetLitterbags placem_collection'!E99</f>
        <v>42762</v>
      </c>
      <c r="T98" s="226">
        <f>IF('WetLitterbags placem_collection'!G99="","",'WetLitterbags placem_collection'!G99)</f>
        <v>42816</v>
      </c>
      <c r="U98" s="227">
        <f t="shared" si="8"/>
        <v>54</v>
      </c>
      <c r="V98" s="225">
        <f t="shared" si="9"/>
        <v>1.3959999999999999</v>
      </c>
      <c r="W98" s="225">
        <f t="shared" si="10"/>
        <v>1.3874582989776107</v>
      </c>
      <c r="X98">
        <f>IFERROR(INDEX(Rainfall_Wet!$O$2:$O$217,MATCH(B98, Rainfall_Wet!$A$2:$A$217,0)),"")</f>
        <v>206.85140822299999</v>
      </c>
      <c r="Y98" s="231">
        <v>45.96</v>
      </c>
      <c r="Z98" s="231">
        <v>14.920000000000003</v>
      </c>
      <c r="AA98" s="231">
        <v>39.119999999999997</v>
      </c>
      <c r="AB98" s="232" t="s">
        <v>2673</v>
      </c>
      <c r="AC98" s="231">
        <v>2.0374568753080333</v>
      </c>
      <c r="AD98">
        <f>IF('WetLitterbags placem_collection'!AB99="","",'WetLitterbags placem_collection'!AB99)</f>
        <v>2.4</v>
      </c>
      <c r="AE98">
        <f>IF('WetLitterbags placem_collection'!Z99="","",'WetLitterbags placem_collection'!Z99)</f>
        <v>8.9</v>
      </c>
      <c r="AF98" s="246" t="str">
        <f>IF('WetLitterbags placem_collection'!AA99="","",'WetLitterbags placem_collection'!AA99)</f>
        <v>G</v>
      </c>
      <c r="AG98">
        <f>IF('WetLitterbags placem_collection'!AC99="","",'WetLitterbags placem_collection'!AC99)</f>
        <v>1</v>
      </c>
      <c r="AH98" s="240">
        <f>AVERAGE('WetLitterbags placem_collection'!S99,'WetLitterbags placem_collection'!U99)</f>
        <v>19.25</v>
      </c>
      <c r="AI98">
        <f>AVERAGE('WetLitterbags placem_collection'!R99,'WetLitterbags placem_collection'!T99)</f>
        <v>28.75</v>
      </c>
      <c r="AJ98">
        <f>INDEX(Coordinates!$B$2:$B$197,MATCH(G98,Coordinates!$J$2:$J$197,0))</f>
        <v>-2.3691620310000001</v>
      </c>
      <c r="AK98">
        <f>INDEX(Coordinates!$C$2:$C$197,MATCH(G98,Coordinates!$J$2:$J$197,0))</f>
        <v>34.06028104</v>
      </c>
      <c r="AL98" t="str">
        <f>IF(ISNUMBER(SEARCH("C", 'WetLitterbags placem_collection'!V99)),"YES","NO")</f>
        <v>NO</v>
      </c>
      <c r="AM98" t="str">
        <f>IF(ISNUMBER(SEARCH("H", 'WetLitterbags placem_collection'!V99)),"YES","NO")</f>
        <v>NO</v>
      </c>
      <c r="AN98" t="str">
        <f>IF(ISNUMBER(SEARCH("R", 'WetLitterbags placem_collection'!V99)),"YES","NO")</f>
        <v>NO</v>
      </c>
    </row>
    <row r="99" spans="1:40" ht="15" customHeight="1">
      <c r="A99" s="258" t="s">
        <v>2460</v>
      </c>
      <c r="B99" s="263">
        <f>'Dry_Litterbag Placem_Collection'!A100</f>
        <v>98</v>
      </c>
      <c r="C99" s="263" t="str">
        <f>'Dry_Litterbag Placem_Collection'!B100</f>
        <v xml:space="preserve">Mwantimba
</v>
      </c>
      <c r="D99" s="263" t="s">
        <v>2460</v>
      </c>
      <c r="E99" s="263" t="s">
        <v>2660</v>
      </c>
      <c r="F99" s="263">
        <v>1</v>
      </c>
      <c r="G99" s="264" t="str">
        <f>'Dry_Litterbag Placem_Collection'!C100</f>
        <v>Wet_Ag1_T2</v>
      </c>
      <c r="H99" s="265" t="s">
        <v>2541</v>
      </c>
      <c r="I99" s="266" t="s">
        <v>1147</v>
      </c>
      <c r="J99" s="223" t="str">
        <f>'WetLitterbags placem_collection'!K100</f>
        <v>G610</v>
      </c>
      <c r="K99" s="225">
        <f>IFERROR(INDEX('Green_rooibos initial weight'!$C$5:$C$1749,MATCH(J99, 'Green_rooibos initial weight'!$A$5:$A$1749,0)),"")</f>
        <v>2.0379999999999998</v>
      </c>
      <c r="L99" s="225">
        <f>IFERROR(K99-(TBIcalc!$H$9+TBIcalc!$H$10),"")</f>
        <v>1.7881999999999998</v>
      </c>
      <c r="M99" s="391">
        <f>AVERAGE(Ashed_controlls!$K$2:$K$11)</f>
        <v>5.5147656768714146</v>
      </c>
      <c r="N99" s="225">
        <f t="shared" si="7"/>
        <v>1.6895849601661852</v>
      </c>
      <c r="O99" s="225">
        <f>IF(IFERROR(INDEX('Both teabags AfterWet'!$C$3:$C$841,MATCH(J99,'Both teabags AfterWet'!$A$3:$A$841,0)),"")="","",(IFERROR(INDEX('Both teabags AfterWet'!$C$3:$C$841,MATCH(J99,'Both teabags AfterWet'!$A$3:$A$841,0)),"")))</f>
        <v>0.56599999999999995</v>
      </c>
      <c r="P99" s="225">
        <f>IFERROR(IF(O99&gt;0,O99-(TBIcalc!$H$9),""),"")</f>
        <v>0.41539999999999994</v>
      </c>
      <c r="Q99" s="225">
        <f>IFERROR(INDEX('Ashed teabags wet'!$K$2:$K$821,MATCH(J99,'Ashed teabags wet'!$A$2:$A$821,0)),"")</f>
        <v>14.682539682539385</v>
      </c>
      <c r="R99" s="225">
        <f t="shared" si="11"/>
        <v>0.35440873015873131</v>
      </c>
      <c r="S99" s="226">
        <f>'WetLitterbags placem_collection'!E100</f>
        <v>42762</v>
      </c>
      <c r="T99" s="226">
        <f>IF('WetLitterbags placem_collection'!G100="","",'WetLitterbags placem_collection'!G100)</f>
        <v>42816</v>
      </c>
      <c r="U99" s="227">
        <f t="shared" si="8"/>
        <v>54</v>
      </c>
      <c r="V99" s="225">
        <f t="shared" si="9"/>
        <v>1.3727999999999998</v>
      </c>
      <c r="W99" s="225">
        <f t="shared" si="10"/>
        <v>1.3351762300074539</v>
      </c>
      <c r="X99">
        <f>IFERROR(INDEX(Rainfall_Wet!$O$2:$O$217,MATCH(B99, Rainfall_Wet!$A$2:$A$217,0)),"")</f>
        <v>206.85140822299999</v>
      </c>
      <c r="Y99" s="231">
        <v>45.96</v>
      </c>
      <c r="Z99" s="231">
        <v>14.920000000000003</v>
      </c>
      <c r="AA99" s="231">
        <v>39.119999999999997</v>
      </c>
      <c r="AB99" s="232" t="s">
        <v>2673</v>
      </c>
      <c r="AC99" s="231">
        <v>3.0374568753080302</v>
      </c>
      <c r="AD99">
        <f>IF('WetLitterbags placem_collection'!AB100="","",'WetLitterbags placem_collection'!AB100)</f>
        <v>7.8</v>
      </c>
      <c r="AE99">
        <f>IF('WetLitterbags placem_collection'!Z100="","",'WetLitterbags placem_collection'!Z100)</f>
        <v>4.45</v>
      </c>
      <c r="AF99" s="246" t="str">
        <f>IF('WetLitterbags placem_collection'!AA100="","",'WetLitterbags placem_collection'!AA100)</f>
        <v>G</v>
      </c>
      <c r="AG99">
        <f>IF('WetLitterbags placem_collection'!AC100="","",'WetLitterbags placem_collection'!AC100)</f>
        <v>1</v>
      </c>
      <c r="AH99" s="240">
        <f>AVERAGE('WetLitterbags placem_collection'!S100,'WetLitterbags placem_collection'!U100)</f>
        <v>22.25</v>
      </c>
      <c r="AI99">
        <f>AVERAGE('WetLitterbags placem_collection'!R100,'WetLitterbags placem_collection'!T100)</f>
        <v>29.85</v>
      </c>
      <c r="AJ99">
        <f>INDEX(Coordinates!$B$2:$B$197,MATCH(G99,Coordinates!$J$2:$J$197,0))</f>
        <v>-2.3692249790000002</v>
      </c>
      <c r="AK99">
        <f>INDEX(Coordinates!$C$2:$C$197,MATCH(G99,Coordinates!$J$2:$J$197,0))</f>
        <v>34.060285989999997</v>
      </c>
      <c r="AL99" t="str">
        <f>IF(ISNUMBER(SEARCH("C", 'WetLitterbags placem_collection'!V100)),"YES","NO")</f>
        <v>NO</v>
      </c>
      <c r="AM99" t="str">
        <f>IF(ISNUMBER(SEARCH("H", 'WetLitterbags placem_collection'!V100)),"YES","NO")</f>
        <v>NO</v>
      </c>
      <c r="AN99" t="str">
        <f>IF(ISNUMBER(SEARCH("R", 'WetLitterbags placem_collection'!V100)),"YES","NO")</f>
        <v>NO</v>
      </c>
    </row>
    <row r="100" spans="1:40" ht="15" customHeight="1">
      <c r="A100" s="258" t="s">
        <v>2460</v>
      </c>
      <c r="B100" s="263">
        <f>'Dry_Litterbag Placem_Collection'!A101</f>
        <v>99</v>
      </c>
      <c r="C100" s="263" t="str">
        <f>'Dry_Litterbag Placem_Collection'!B101</f>
        <v xml:space="preserve">Mwantimba
</v>
      </c>
      <c r="D100" s="263" t="s">
        <v>2460</v>
      </c>
      <c r="E100" s="263" t="s">
        <v>2660</v>
      </c>
      <c r="F100" s="263">
        <v>1</v>
      </c>
      <c r="G100" s="264" t="str">
        <f>'Dry_Litterbag Placem_Collection'!C101</f>
        <v>Wet_Ag1_T3</v>
      </c>
      <c r="H100" s="265" t="s">
        <v>2541</v>
      </c>
      <c r="I100" s="266" t="s">
        <v>1147</v>
      </c>
      <c r="J100" s="223" t="str">
        <f>'WetLitterbags placem_collection'!K101</f>
        <v>G765</v>
      </c>
      <c r="K100" s="225">
        <f>IFERROR(INDEX('Green_rooibos initial weight'!$C$5:$C$1749,MATCH(J100, 'Green_rooibos initial weight'!$A$5:$A$1749,0)),"")</f>
        <v>2.08</v>
      </c>
      <c r="L100" s="225">
        <f>IFERROR(K100-(TBIcalc!$H$9+TBIcalc!$H$10),"")</f>
        <v>1.8302</v>
      </c>
      <c r="M100" s="391">
        <f>AVERAGE(Ashed_controlls!$K$2:$K$11)</f>
        <v>5.5147656768714146</v>
      </c>
      <c r="N100" s="225">
        <f t="shared" si="7"/>
        <v>1.7292687585818993</v>
      </c>
      <c r="O100" s="225">
        <f>IF(IFERROR(INDEX('Both teabags AfterWet'!$C$3:$C$841,MATCH(J100,'Both teabags AfterWet'!$A$3:$A$841,0)),"")="","",(IFERROR(INDEX('Both teabags AfterWet'!$C$3:$C$841,MATCH(J100,'Both teabags AfterWet'!$A$3:$A$841,0)),"")))</f>
        <v>0.65149999999999997</v>
      </c>
      <c r="P100" s="225">
        <f>IFERROR(IF(O100&gt;0,O100-(TBIcalc!$H$9),""),"")</f>
        <v>0.5008999999999999</v>
      </c>
      <c r="Q100" s="225">
        <f>IFERROR(INDEX('Ashed teabags wet'!$K$2:$K$821,MATCH(J100,'Ashed teabags wet'!$A$2:$A$821,0)),"")</f>
        <v>16.733295259852824</v>
      </c>
      <c r="R100" s="225">
        <f t="shared" si="11"/>
        <v>0.41708292404339714</v>
      </c>
      <c r="S100" s="226">
        <f>'WetLitterbags placem_collection'!E101</f>
        <v>42762</v>
      </c>
      <c r="T100" s="226">
        <f>IF('WetLitterbags placem_collection'!G101="","",'WetLitterbags placem_collection'!G101)</f>
        <v>42816</v>
      </c>
      <c r="U100" s="227">
        <f t="shared" si="8"/>
        <v>54</v>
      </c>
      <c r="V100" s="225">
        <f t="shared" si="9"/>
        <v>1.3293000000000001</v>
      </c>
      <c r="W100" s="225">
        <f t="shared" si="10"/>
        <v>1.3121858345385022</v>
      </c>
      <c r="X100">
        <f>IFERROR(INDEX(Rainfall_Wet!$O$2:$O$217,MATCH(B100, Rainfall_Wet!$A$2:$A$217,0)),"")</f>
        <v>206.85140822299999</v>
      </c>
      <c r="Y100" s="231">
        <v>45.96</v>
      </c>
      <c r="Z100" s="231">
        <v>14.920000000000003</v>
      </c>
      <c r="AA100" s="231">
        <v>39.119999999999997</v>
      </c>
      <c r="AB100" s="232" t="s">
        <v>2673</v>
      </c>
      <c r="AC100" s="231">
        <v>4.0374568753080302</v>
      </c>
      <c r="AD100">
        <f>IF('WetLitterbags placem_collection'!AB101="","",'WetLitterbags placem_collection'!AB101)</f>
        <v>5.0999999999999996</v>
      </c>
      <c r="AE100">
        <f>IF('WetLitterbags placem_collection'!Z101="","",'WetLitterbags placem_collection'!Z101)</f>
        <v>2.2999999999999998</v>
      </c>
      <c r="AF100" s="246" t="str">
        <f>IF('WetLitterbags placem_collection'!AA101="","",'WetLitterbags placem_collection'!AA101)</f>
        <v>G</v>
      </c>
      <c r="AG100">
        <f>IF('WetLitterbags placem_collection'!AC101="","",'WetLitterbags placem_collection'!AC101)</f>
        <v>0</v>
      </c>
      <c r="AH100" s="240">
        <f>AVERAGE('WetLitterbags placem_collection'!S101,'WetLitterbags placem_collection'!U101)</f>
        <v>17.95</v>
      </c>
      <c r="AI100">
        <f>AVERAGE('WetLitterbags placem_collection'!R101,'WetLitterbags placem_collection'!T101)</f>
        <v>30.85</v>
      </c>
      <c r="AJ100">
        <f>INDEX(Coordinates!$B$2:$B$197,MATCH(G100,Coordinates!$J$2:$J$197,0))</f>
        <v>-2.369284993</v>
      </c>
      <c r="AK100">
        <f>INDEX(Coordinates!$C$2:$C$197,MATCH(G100,Coordinates!$J$2:$J$197,0))</f>
        <v>34.06028104</v>
      </c>
      <c r="AL100" t="str">
        <f>IF(ISNUMBER(SEARCH("C", 'WetLitterbags placem_collection'!V101)),"YES","NO")</f>
        <v>NO</v>
      </c>
      <c r="AM100" t="str">
        <f>IF(ISNUMBER(SEARCH("H", 'WetLitterbags placem_collection'!V101)),"YES","NO")</f>
        <v>NO</v>
      </c>
      <c r="AN100" t="str">
        <f>IF(ISNUMBER(SEARCH("R", 'WetLitterbags placem_collection'!V101)),"YES","NO")</f>
        <v>YES</v>
      </c>
    </row>
    <row r="101" spans="1:40" ht="15" customHeight="1">
      <c r="A101" s="258" t="s">
        <v>2460</v>
      </c>
      <c r="B101" s="263">
        <f>'Dry_Litterbag Placem_Collection'!A102</f>
        <v>100</v>
      </c>
      <c r="C101" s="263" t="str">
        <f>'Dry_Litterbag Placem_Collection'!B102</f>
        <v xml:space="preserve">Mwantimba
</v>
      </c>
      <c r="D101" s="263" t="s">
        <v>2460</v>
      </c>
      <c r="E101" s="263" t="s">
        <v>2660</v>
      </c>
      <c r="F101" s="263">
        <v>1</v>
      </c>
      <c r="G101" s="264" t="str">
        <f>'Dry_Litterbag Placem_Collection'!C102</f>
        <v>Wet_Ag1_T4</v>
      </c>
      <c r="H101" s="265" t="s">
        <v>2541</v>
      </c>
      <c r="I101" s="266" t="s">
        <v>1147</v>
      </c>
      <c r="J101" s="223" t="str">
        <f>'WetLitterbags placem_collection'!K102</f>
        <v>G728</v>
      </c>
      <c r="K101" s="225">
        <f>IFERROR(INDEX('Green_rooibos initial weight'!$C$5:$C$1749,MATCH(J101, 'Green_rooibos initial weight'!$A$5:$A$1749,0)),"")</f>
        <v>1.962</v>
      </c>
      <c r="L101" s="225">
        <f>IFERROR(K101-(TBIcalc!$H$9+TBIcalc!$H$10),"")</f>
        <v>1.7121999999999999</v>
      </c>
      <c r="M101" s="391">
        <f>AVERAGE(Ashed_controlls!$K$2:$K$11)</f>
        <v>5.5147656768714146</v>
      </c>
      <c r="N101" s="225">
        <f t="shared" si="7"/>
        <v>1.6177761820806076</v>
      </c>
      <c r="O101" s="225">
        <f>IF(IFERROR(INDEX('Both teabags AfterWet'!$C$3:$C$841,MATCH(J101,'Both teabags AfterWet'!$A$3:$A$841,0)),"")="","",(IFERROR(INDEX('Both teabags AfterWet'!$C$3:$C$841,MATCH(J101,'Both teabags AfterWet'!$A$3:$A$841,0)),"")))</f>
        <v>0.59699999999999998</v>
      </c>
      <c r="P101" s="225">
        <f>IFERROR(IF(O101&gt;0,O101-(TBIcalc!$H$9),""),"")</f>
        <v>0.44639999999999996</v>
      </c>
      <c r="Q101" s="225">
        <f>IFERROR(INDEX('Ashed teabags wet'!$K$2:$K$821,MATCH(J101,'Ashed teabags wet'!$A$2:$A$821,0)),"")</f>
        <v>12.794117647059169</v>
      </c>
      <c r="R101" s="225">
        <f t="shared" si="11"/>
        <v>0.38928705882352782</v>
      </c>
      <c r="S101" s="226">
        <f>'WetLitterbags placem_collection'!E102</f>
        <v>42762</v>
      </c>
      <c r="T101" s="226">
        <f>IF('WetLitterbags placem_collection'!G102="","",'WetLitterbags placem_collection'!G102)</f>
        <v>42816</v>
      </c>
      <c r="U101" s="227">
        <f t="shared" si="8"/>
        <v>54</v>
      </c>
      <c r="V101" s="225">
        <f t="shared" si="9"/>
        <v>1.2658</v>
      </c>
      <c r="W101" s="225">
        <f t="shared" si="10"/>
        <v>1.2284891232570798</v>
      </c>
      <c r="X101">
        <f>IFERROR(INDEX(Rainfall_Wet!$O$2:$O$217,MATCH(B101, Rainfall_Wet!$A$2:$A$217,0)),"")</f>
        <v>206.85140822299999</v>
      </c>
      <c r="Y101" s="231">
        <v>45.96</v>
      </c>
      <c r="Z101" s="231">
        <v>14.920000000000003</v>
      </c>
      <c r="AA101" s="231">
        <v>39.119999999999997</v>
      </c>
      <c r="AB101" s="232" t="s">
        <v>2673</v>
      </c>
      <c r="AC101" s="231">
        <v>5.0374568753080302</v>
      </c>
      <c r="AD101">
        <f>IF('WetLitterbags placem_collection'!AB102="","",'WetLitterbags placem_collection'!AB102)</f>
        <v>1.6</v>
      </c>
      <c r="AE101">
        <f>IF('WetLitterbags placem_collection'!Z102="","",'WetLitterbags placem_collection'!Z102)</f>
        <v>15</v>
      </c>
      <c r="AF101" s="246" t="str">
        <f>IF('WetLitterbags placem_collection'!AA102="","",'WetLitterbags placem_collection'!AA102)</f>
        <v>G</v>
      </c>
      <c r="AG101">
        <f>IF('WetLitterbags placem_collection'!AC102="","",'WetLitterbags placem_collection'!AC102)</f>
        <v>1</v>
      </c>
      <c r="AH101" s="240">
        <f>AVERAGE('WetLitterbags placem_collection'!S102,'WetLitterbags placem_collection'!U102)</f>
        <v>16.5</v>
      </c>
      <c r="AI101">
        <f>AVERAGE('WetLitterbags placem_collection'!R102,'WetLitterbags placem_collection'!T102)</f>
        <v>29.85</v>
      </c>
      <c r="AJ101">
        <f>INDEX(Coordinates!$B$2:$B$197,MATCH(G101,Coordinates!$J$2:$J$197,0))</f>
        <v>-2.3691989950000001</v>
      </c>
      <c r="AK101">
        <f>INDEX(Coordinates!$C$2:$C$197,MATCH(G101,Coordinates!$J$2:$J$197,0))</f>
        <v>34.060208029999998</v>
      </c>
      <c r="AL101" t="str">
        <f>IF(ISNUMBER(SEARCH("C", 'WetLitterbags placem_collection'!V102)),"YES","NO")</f>
        <v>YES</v>
      </c>
      <c r="AM101" t="str">
        <f>IF(ISNUMBER(SEARCH("H", 'WetLitterbags placem_collection'!V102)),"YES","NO")</f>
        <v>NO</v>
      </c>
      <c r="AN101" t="str">
        <f>IF(ISNUMBER(SEARCH("R", 'WetLitterbags placem_collection'!V102)),"YES","NO")</f>
        <v>NO</v>
      </c>
    </row>
    <row r="102" spans="1:40" ht="15" customHeight="1">
      <c r="A102" s="258" t="s">
        <v>2460</v>
      </c>
      <c r="B102" s="263">
        <f>'Dry_Litterbag Placem_Collection'!A103</f>
        <v>101</v>
      </c>
      <c r="C102" s="263" t="str">
        <f>'Dry_Litterbag Placem_Collection'!B103</f>
        <v xml:space="preserve">Mwantimba
</v>
      </c>
      <c r="D102" s="263" t="s">
        <v>2460</v>
      </c>
      <c r="E102" s="263" t="s">
        <v>2660</v>
      </c>
      <c r="F102" s="263">
        <v>1</v>
      </c>
      <c r="G102" s="264" t="str">
        <f>'Dry_Litterbag Placem_Collection'!C103</f>
        <v>Wet_Ag1_T5</v>
      </c>
      <c r="H102" s="265" t="s">
        <v>2541</v>
      </c>
      <c r="I102" s="266" t="s">
        <v>1147</v>
      </c>
      <c r="J102" s="223" t="str">
        <f>'WetLitterbags placem_collection'!K103</f>
        <v>G808</v>
      </c>
      <c r="K102" s="225">
        <f>IFERROR(INDEX('Green_rooibos initial weight'!$C$5:$C$1749,MATCH(J102, 'Green_rooibos initial weight'!$A$5:$A$1749,0)),"")</f>
        <v>1.86</v>
      </c>
      <c r="L102" s="225">
        <f>IFERROR(K102-(TBIcalc!$H$9+TBIcalc!$H$10),"")</f>
        <v>1.6102000000000001</v>
      </c>
      <c r="M102" s="391">
        <f>AVERAGE(Ashed_controlls!$K$2:$K$11)</f>
        <v>5.5147656768714146</v>
      </c>
      <c r="N102" s="225">
        <f t="shared" si="7"/>
        <v>1.5214012430710167</v>
      </c>
      <c r="O102" s="225">
        <f>IF(IFERROR(INDEX('Both teabags AfterWet'!$C$3:$C$841,MATCH(J102,'Both teabags AfterWet'!$A$3:$A$841,0)),"")="","",(IFERROR(INDEX('Both teabags AfterWet'!$C$3:$C$841,MATCH(J102,'Both teabags AfterWet'!$A$3:$A$841,0)),"")))</f>
        <v>0.54810000000000003</v>
      </c>
      <c r="P102" s="225">
        <f>IFERROR(IF(O102&gt;0,O102-(TBIcalc!$H$9),""),"")</f>
        <v>0.39750000000000002</v>
      </c>
      <c r="Q102" s="225">
        <f>IFERROR(INDEX('Ashed teabags wet'!$K$2:$K$821,MATCH(J102,'Ashed teabags wet'!$A$2:$A$821,0)),"")</f>
        <v>16.81547619047533</v>
      </c>
      <c r="R102" s="225">
        <f t="shared" si="11"/>
        <v>0.33065848214286059</v>
      </c>
      <c r="S102" s="226">
        <f>'WetLitterbags placem_collection'!E103</f>
        <v>42762</v>
      </c>
      <c r="T102" s="226">
        <f>IF('WetLitterbags placem_collection'!G103="","",'WetLitterbags placem_collection'!G103)</f>
        <v>42816</v>
      </c>
      <c r="U102" s="227">
        <f t="shared" si="8"/>
        <v>54</v>
      </c>
      <c r="V102" s="225">
        <f t="shared" si="9"/>
        <v>1.2127000000000001</v>
      </c>
      <c r="W102" s="225">
        <f t="shared" si="10"/>
        <v>1.190742760928156</v>
      </c>
      <c r="X102">
        <f>IFERROR(INDEX(Rainfall_Wet!$O$2:$O$217,MATCH(B102, Rainfall_Wet!$A$2:$A$217,0)),"")</f>
        <v>206.85140822299999</v>
      </c>
      <c r="Y102" s="231">
        <v>45.96</v>
      </c>
      <c r="Z102" s="231">
        <v>14.920000000000003</v>
      </c>
      <c r="AA102" s="231">
        <v>39.119999999999997</v>
      </c>
      <c r="AB102" s="232" t="s">
        <v>2673</v>
      </c>
      <c r="AC102" s="231">
        <v>6.0374568753080302</v>
      </c>
      <c r="AD102">
        <f>IF('WetLitterbags placem_collection'!AB103="","",'WetLitterbags placem_collection'!AB103)</f>
        <v>4.3499999999999996</v>
      </c>
      <c r="AE102">
        <f>IF('WetLitterbags placem_collection'!Z103="","",'WetLitterbags placem_collection'!Z103)</f>
        <v>17</v>
      </c>
      <c r="AF102" s="246" t="str">
        <f>IF('WetLitterbags placem_collection'!AA103="","",'WetLitterbags placem_collection'!AA103)</f>
        <v>G</v>
      </c>
      <c r="AG102">
        <f>IF('WetLitterbags placem_collection'!AC103="","",'WetLitterbags placem_collection'!AC103)</f>
        <v>1</v>
      </c>
      <c r="AH102" s="240">
        <f>AVERAGE('WetLitterbags placem_collection'!S103,'WetLitterbags placem_collection'!U103)</f>
        <v>22.549999999999997</v>
      </c>
      <c r="AI102">
        <f>AVERAGE('WetLitterbags placem_collection'!R103,'WetLitterbags placem_collection'!T103)</f>
        <v>31.150000000000002</v>
      </c>
      <c r="AJ102">
        <f>INDEX(Coordinates!$B$2:$B$197,MATCH(G102,Coordinates!$J$2:$J$197,0))</f>
        <v>-2.3691900260000001</v>
      </c>
      <c r="AK102">
        <f>INDEX(Coordinates!$C$2:$C$197,MATCH(G102,Coordinates!$J$2:$J$197,0))</f>
        <v>34.060177019999998</v>
      </c>
      <c r="AL102" t="str">
        <f>IF(ISNUMBER(SEARCH("C", 'WetLitterbags placem_collection'!V103)),"YES","NO")</f>
        <v>NO</v>
      </c>
      <c r="AM102" t="str">
        <f>IF(ISNUMBER(SEARCH("H", 'WetLitterbags placem_collection'!V103)),"YES","NO")</f>
        <v>YES</v>
      </c>
      <c r="AN102" t="str">
        <f>IF(ISNUMBER(SEARCH("R", 'WetLitterbags placem_collection'!V103)),"YES","NO")</f>
        <v>NO</v>
      </c>
    </row>
    <row r="103" spans="1:40" ht="15" customHeight="1">
      <c r="A103" s="258" t="s">
        <v>2460</v>
      </c>
      <c r="B103" s="263">
        <f>'Dry_Litterbag Placem_Collection'!A104</f>
        <v>102</v>
      </c>
      <c r="C103" s="263" t="str">
        <f>'Dry_Litterbag Placem_Collection'!B104</f>
        <v xml:space="preserve">Mwantimba
</v>
      </c>
      <c r="D103" s="263" t="s">
        <v>2460</v>
      </c>
      <c r="E103" s="263" t="s">
        <v>2660</v>
      </c>
      <c r="F103" s="263">
        <v>1</v>
      </c>
      <c r="G103" s="264" t="str">
        <f>'Dry_Litterbag Placem_Collection'!C104</f>
        <v>Wet_Ag1_T6</v>
      </c>
      <c r="H103" s="265" t="s">
        <v>2541</v>
      </c>
      <c r="I103" s="266" t="s">
        <v>1147</v>
      </c>
      <c r="J103" s="223" t="str">
        <f>'WetLitterbags placem_collection'!K104</f>
        <v>G892</v>
      </c>
      <c r="K103" s="225">
        <f>IFERROR(INDEX('Green_rooibos initial weight'!$C$5:$C$1749,MATCH(J103, 'Green_rooibos initial weight'!$A$5:$A$1749,0)),"")</f>
        <v>1.9510000000000001</v>
      </c>
      <c r="L103" s="225">
        <f>IFERROR(K103-(TBIcalc!$H$9+TBIcalc!$H$10),"")</f>
        <v>1.7012</v>
      </c>
      <c r="M103" s="391">
        <f>AVERAGE(Ashed_controlls!$K$2:$K$11)</f>
        <v>5.5147656768714146</v>
      </c>
      <c r="N103" s="225">
        <f t="shared" si="7"/>
        <v>1.6073828063050635</v>
      </c>
      <c r="O103" s="225">
        <f>IF(IFERROR(INDEX('Both teabags AfterWet'!$C$3:$C$841,MATCH(J103,'Both teabags AfterWet'!$A$3:$A$841,0)),"")="","",(IFERROR(INDEX('Both teabags AfterWet'!$C$3:$C$841,MATCH(J103,'Both teabags AfterWet'!$A$3:$A$841,0)),"")))</f>
        <v>0.63100000000000001</v>
      </c>
      <c r="P103" s="225">
        <f>IFERROR(IF(O103&gt;0,O103-(TBIcalc!$H$9),""),"")</f>
        <v>0.48039999999999999</v>
      </c>
      <c r="Q103" s="225">
        <f>IFERROR(INDEX('Ashed teabags wet'!$K$2:$K$821,MATCH(J103,'Ashed teabags wet'!$A$2:$A$821,0)),"")</f>
        <v>12.703905091448961</v>
      </c>
      <c r="R103" s="225">
        <f t="shared" si="11"/>
        <v>0.41937043994067918</v>
      </c>
      <c r="S103" s="226">
        <f>'WetLitterbags placem_collection'!E104</f>
        <v>42762</v>
      </c>
      <c r="T103" s="226">
        <f>IF('WetLitterbags placem_collection'!G104="","",'WetLitterbags placem_collection'!G104)</f>
        <v>42816</v>
      </c>
      <c r="U103" s="227">
        <f t="shared" si="8"/>
        <v>54</v>
      </c>
      <c r="V103" s="225">
        <f t="shared" si="9"/>
        <v>1.2208000000000001</v>
      </c>
      <c r="W103" s="225">
        <f t="shared" si="10"/>
        <v>1.1880123663643842</v>
      </c>
      <c r="X103">
        <f>IFERROR(INDEX(Rainfall_Wet!$O$2:$O$217,MATCH(B103, Rainfall_Wet!$A$2:$A$217,0)),"")</f>
        <v>206.85140822299999</v>
      </c>
      <c r="Y103" s="231">
        <v>45.96</v>
      </c>
      <c r="Z103" s="231">
        <v>14.920000000000003</v>
      </c>
      <c r="AA103" s="231">
        <v>39.119999999999997</v>
      </c>
      <c r="AB103" s="232" t="s">
        <v>2673</v>
      </c>
      <c r="AC103" s="231">
        <v>7.0374568753080302</v>
      </c>
      <c r="AD103">
        <f>IF('WetLitterbags placem_collection'!AB104="","",'WetLitterbags placem_collection'!AB104)</f>
        <v>7.7</v>
      </c>
      <c r="AE103">
        <f>IF('WetLitterbags placem_collection'!Z104="","",'WetLitterbags placem_collection'!Z104)</f>
        <v>21</v>
      </c>
      <c r="AF103" s="246" t="str">
        <f>IF('WetLitterbags placem_collection'!AA104="","",'WetLitterbags placem_collection'!AA104)</f>
        <v>G</v>
      </c>
      <c r="AG103">
        <f>IF('WetLitterbags placem_collection'!AC104="","",'WetLitterbags placem_collection'!AC104)</f>
        <v>1</v>
      </c>
      <c r="AH103" s="240">
        <f>AVERAGE('WetLitterbags placem_collection'!S104,'WetLitterbags placem_collection'!U104)</f>
        <v>21.099999999999998</v>
      </c>
      <c r="AI103">
        <f>AVERAGE('WetLitterbags placem_collection'!R104,'WetLitterbags placem_collection'!T104)</f>
        <v>31.8</v>
      </c>
      <c r="AJ103">
        <f>INDEX(Coordinates!$B$2:$B$197,MATCH(G103,Coordinates!$J$2:$J$197,0))</f>
        <v>-2.3691350409999998</v>
      </c>
      <c r="AK103">
        <f>INDEX(Coordinates!$C$2:$C$197,MATCH(G103,Coordinates!$J$2:$J$197,0))</f>
        <v>34.06018297</v>
      </c>
      <c r="AL103" t="str">
        <f>IF(ISNUMBER(SEARCH("C", 'WetLitterbags placem_collection'!V104)),"YES","NO")</f>
        <v>NO</v>
      </c>
      <c r="AM103" t="str">
        <f>IF(ISNUMBER(SEARCH("H", 'WetLitterbags placem_collection'!V104)),"YES","NO")</f>
        <v>NO</v>
      </c>
      <c r="AN103" t="str">
        <f>IF(ISNUMBER(SEARCH("R", 'WetLitterbags placem_collection'!V104)),"YES","NO")</f>
        <v>NO</v>
      </c>
    </row>
    <row r="104" spans="1:40" ht="15" customHeight="1">
      <c r="A104" s="258" t="s">
        <v>2460</v>
      </c>
      <c r="B104" s="263">
        <f>'Dry_Litterbag Placem_Collection'!A105</f>
        <v>103</v>
      </c>
      <c r="C104" s="263" t="str">
        <f>'Dry_Litterbag Placem_Collection'!B105</f>
        <v xml:space="preserve">Mwantimba
</v>
      </c>
      <c r="D104" s="263" t="s">
        <v>2460</v>
      </c>
      <c r="E104" s="263" t="s">
        <v>2660</v>
      </c>
      <c r="F104" s="263">
        <v>1</v>
      </c>
      <c r="G104" s="264" t="str">
        <f>'Dry_Litterbag Placem_Collection'!C105</f>
        <v>Wet_Ag1_T7</v>
      </c>
      <c r="H104" s="265" t="s">
        <v>2541</v>
      </c>
      <c r="I104" s="266" t="s">
        <v>1147</v>
      </c>
      <c r="J104" s="223" t="str">
        <f>'WetLitterbags placem_collection'!K105</f>
        <v>G869</v>
      </c>
      <c r="K104" s="225">
        <f>IFERROR(INDEX('Green_rooibos initial weight'!$C$5:$C$1749,MATCH(J104, 'Green_rooibos initial weight'!$A$5:$A$1749,0)),"")</f>
        <v>2.0489999999999999</v>
      </c>
      <c r="L104" s="225">
        <f>IFERROR(K104-(TBIcalc!$H$9+TBIcalc!$H$10),"")</f>
        <v>1.7991999999999999</v>
      </c>
      <c r="M104" s="391">
        <f>AVERAGE(Ashed_controlls!$K$2:$K$11)</f>
        <v>5.5147656768714146</v>
      </c>
      <c r="N104" s="225">
        <f t="shared" si="7"/>
        <v>1.6999783359417293</v>
      </c>
      <c r="O104" s="225">
        <f>IF(IFERROR(INDEX('Both teabags AfterWet'!$C$3:$C$841,MATCH(J104,'Both teabags AfterWet'!$A$3:$A$841,0)),"")="","",(IFERROR(INDEX('Both teabags AfterWet'!$C$3:$C$841,MATCH(J104,'Both teabags AfterWet'!$A$3:$A$841,0)),"")))</f>
        <v>0.55800000000000005</v>
      </c>
      <c r="P104" s="225">
        <f>IFERROR(IF(O104&gt;0,O104-(TBIcalc!$H$9),""),"")</f>
        <v>0.40740000000000004</v>
      </c>
      <c r="Q104" s="225">
        <f>IFERROR(INDEX('Ashed teabags wet'!$K$2:$K$821,MATCH(J104,'Ashed teabags wet'!$A$2:$A$821,0)),"")</f>
        <v>13.925925925925654</v>
      </c>
      <c r="R104" s="225">
        <f t="shared" si="11"/>
        <v>0.35066577777777891</v>
      </c>
      <c r="S104" s="226">
        <f>'WetLitterbags placem_collection'!E105</f>
        <v>42762</v>
      </c>
      <c r="T104" s="226">
        <f>IF('WetLitterbags placem_collection'!G105="","",'WetLitterbags placem_collection'!G105)</f>
        <v>42816</v>
      </c>
      <c r="U104" s="227">
        <f t="shared" si="8"/>
        <v>54</v>
      </c>
      <c r="V104" s="225">
        <f t="shared" si="9"/>
        <v>1.3917999999999999</v>
      </c>
      <c r="W104" s="225">
        <f t="shared" si="10"/>
        <v>1.3493125581639505</v>
      </c>
      <c r="X104">
        <f>IFERROR(INDEX(Rainfall_Wet!$O$2:$O$217,MATCH(B104, Rainfall_Wet!$A$2:$A$217,0)),"")</f>
        <v>206.85140822299999</v>
      </c>
      <c r="Y104" s="231">
        <v>45.96</v>
      </c>
      <c r="Z104" s="231">
        <v>14.920000000000003</v>
      </c>
      <c r="AA104" s="231">
        <v>39.119999999999997</v>
      </c>
      <c r="AB104" s="232" t="s">
        <v>2673</v>
      </c>
      <c r="AC104" s="231">
        <v>8.0374568753080293</v>
      </c>
      <c r="AD104">
        <f>IF('WetLitterbags placem_collection'!AB105="","",'WetLitterbags placem_collection'!AB105)</f>
        <v>3.25</v>
      </c>
      <c r="AE104">
        <f>IF('WetLitterbags placem_collection'!Z105="","",'WetLitterbags placem_collection'!Z105)</f>
        <v>16</v>
      </c>
      <c r="AF104" s="246" t="str">
        <f>IF('WetLitterbags placem_collection'!AA105="","",'WetLitterbags placem_collection'!AA105)</f>
        <v>G</v>
      </c>
      <c r="AG104">
        <f>IF('WetLitterbags placem_collection'!AC105="","",'WetLitterbags placem_collection'!AC105)</f>
        <v>1</v>
      </c>
      <c r="AH104" s="240">
        <f>AVERAGE('WetLitterbags placem_collection'!S105,'WetLitterbags placem_collection'!U105)</f>
        <v>20.450000000000003</v>
      </c>
      <c r="AI104">
        <f>AVERAGE('WetLitterbags placem_collection'!R105,'WetLitterbags placem_collection'!T105)</f>
        <v>30.25</v>
      </c>
      <c r="AJ104">
        <f>INDEX(Coordinates!$B$2:$B$197,MATCH(G104,Coordinates!$J$2:$J$197,0))</f>
        <v>-2.3691330289999999</v>
      </c>
      <c r="AK104">
        <f>INDEX(Coordinates!$C$2:$C$197,MATCH(G104,Coordinates!$J$2:$J$197,0))</f>
        <v>34.060233009999997</v>
      </c>
      <c r="AL104" t="str">
        <f>IF(ISNUMBER(SEARCH("C", 'WetLitterbags placem_collection'!V105)),"YES","NO")</f>
        <v>NO</v>
      </c>
      <c r="AM104" t="str">
        <f>IF(ISNUMBER(SEARCH("H", 'WetLitterbags placem_collection'!V105)),"YES","NO")</f>
        <v>NO</v>
      </c>
      <c r="AN104" t="str">
        <f>IF(ISNUMBER(SEARCH("R", 'WetLitterbags placem_collection'!V105)),"YES","NO")</f>
        <v>NO</v>
      </c>
    </row>
    <row r="105" spans="1:40" ht="15" customHeight="1">
      <c r="A105" s="258" t="s">
        <v>2460</v>
      </c>
      <c r="B105" s="263">
        <f>'Dry_Litterbag Placem_Collection'!A106</f>
        <v>104</v>
      </c>
      <c r="C105" s="263" t="str">
        <f>'Dry_Litterbag Placem_Collection'!B106</f>
        <v xml:space="preserve">Mwantimba
</v>
      </c>
      <c r="D105" s="263" t="s">
        <v>2460</v>
      </c>
      <c r="E105" s="263" t="s">
        <v>2660</v>
      </c>
      <c r="F105" s="263">
        <v>1</v>
      </c>
      <c r="G105" s="264" t="str">
        <f>'Dry_Litterbag Placem_Collection'!C106</f>
        <v>Wet_Ag1_T8</v>
      </c>
      <c r="H105" s="265" t="s">
        <v>2541</v>
      </c>
      <c r="I105" s="266" t="s">
        <v>1147</v>
      </c>
      <c r="J105" s="223" t="str">
        <f>'WetLitterbags placem_collection'!K106</f>
        <v>G881</v>
      </c>
      <c r="K105" s="225">
        <f>IFERROR(INDEX('Green_rooibos initial weight'!$C$5:$C$1749,MATCH(J105, 'Green_rooibos initial weight'!$A$5:$A$1749,0)),"")</f>
        <v>1.9570000000000001</v>
      </c>
      <c r="L105" s="225">
        <f>IFERROR(K105-(TBIcalc!$H$9+TBIcalc!$H$10),"")</f>
        <v>1.7072000000000001</v>
      </c>
      <c r="M105" s="391">
        <f>AVERAGE(Ashed_controlls!$K$2:$K$11)</f>
        <v>5.5147656768714146</v>
      </c>
      <c r="N105" s="225">
        <f t="shared" si="7"/>
        <v>1.6130519203644513</v>
      </c>
      <c r="O105" s="225">
        <f>IF(IFERROR(INDEX('Both teabags AfterWet'!$C$3:$C$841,MATCH(J105,'Both teabags AfterWet'!$A$3:$A$841,0)),"")="","",(IFERROR(INDEX('Both teabags AfterWet'!$C$3:$C$841,MATCH(J105,'Both teabags AfterWet'!$A$3:$A$841,0)),"")))</f>
        <v>0.61</v>
      </c>
      <c r="P105" s="225">
        <f>IFERROR(IF(O105&gt;0,O105-(TBIcalc!$H$9),""),"")</f>
        <v>0.45939999999999998</v>
      </c>
      <c r="Q105" s="225">
        <f>IFERROR(INDEX('Ashed teabags wet'!$K$2:$K$821,MATCH(J105,'Ashed teabags wet'!$A$2:$A$821,0)),"")</f>
        <v>13.465250965250315</v>
      </c>
      <c r="R105" s="225">
        <f t="shared" si="11"/>
        <v>0.39754063706564002</v>
      </c>
      <c r="S105" s="226">
        <f>'WetLitterbags placem_collection'!E106</f>
        <v>42762</v>
      </c>
      <c r="T105" s="226">
        <f>IF('WetLitterbags placem_collection'!G106="","",'WetLitterbags placem_collection'!G106)</f>
        <v>42816</v>
      </c>
      <c r="U105" s="227">
        <f t="shared" si="8"/>
        <v>54</v>
      </c>
      <c r="V105" s="225">
        <f t="shared" si="9"/>
        <v>1.2478</v>
      </c>
      <c r="W105" s="225">
        <f t="shared" si="10"/>
        <v>1.2155112832988113</v>
      </c>
      <c r="X105">
        <f>IFERROR(INDEX(Rainfall_Wet!$O$2:$O$217,MATCH(B105, Rainfall_Wet!$A$2:$A$217,0)),"")</f>
        <v>206.85140822299999</v>
      </c>
      <c r="Y105" s="231">
        <v>45.96</v>
      </c>
      <c r="Z105" s="231">
        <v>14.920000000000003</v>
      </c>
      <c r="AA105" s="231">
        <v>39.119999999999997</v>
      </c>
      <c r="AB105" s="232" t="s">
        <v>2673</v>
      </c>
      <c r="AC105" s="231">
        <v>9.0374568753080293</v>
      </c>
      <c r="AD105">
        <f>IF('WetLitterbags placem_collection'!AB106="","",'WetLitterbags placem_collection'!AB106)</f>
        <v>10.5</v>
      </c>
      <c r="AE105">
        <f>IF('WetLitterbags placem_collection'!Z106="","",'WetLitterbags placem_collection'!Z106)</f>
        <v>17</v>
      </c>
      <c r="AF105" s="246" t="str">
        <f>IF('WetLitterbags placem_collection'!AA106="","",'WetLitterbags placem_collection'!AA106)</f>
        <v>G</v>
      </c>
      <c r="AG105">
        <f>IF('WetLitterbags placem_collection'!AC106="","",'WetLitterbags placem_collection'!AC106)</f>
        <v>1</v>
      </c>
      <c r="AH105" s="240">
        <f>AVERAGE('WetLitterbags placem_collection'!S106,'WetLitterbags placem_collection'!U106)</f>
        <v>21.6</v>
      </c>
      <c r="AI105">
        <f>AVERAGE('WetLitterbags placem_collection'!R106,'WetLitterbags placem_collection'!T106)</f>
        <v>29.3</v>
      </c>
      <c r="AJ105">
        <f>INDEX(Coordinates!$B$2:$B$197,MATCH(G105,Coordinates!$J$2:$J$197,0))</f>
        <v>-2.3692910280000001</v>
      </c>
      <c r="AK105">
        <f>INDEX(Coordinates!$C$2:$C$197,MATCH(G105,Coordinates!$J$2:$J$197,0))</f>
        <v>34.06016202</v>
      </c>
      <c r="AL105" t="str">
        <f>IF(ISNUMBER(SEARCH("C", 'WetLitterbags placem_collection'!V106)),"YES","NO")</f>
        <v>NO</v>
      </c>
      <c r="AM105" t="str">
        <f>IF(ISNUMBER(SEARCH("H", 'WetLitterbags placem_collection'!V106)),"YES","NO")</f>
        <v>NO</v>
      </c>
      <c r="AN105" t="str">
        <f>IF(ISNUMBER(SEARCH("R", 'WetLitterbags placem_collection'!V106)),"YES","NO")</f>
        <v>NO</v>
      </c>
    </row>
    <row r="106" spans="1:40" ht="15" customHeight="1">
      <c r="A106" s="258" t="s">
        <v>2460</v>
      </c>
      <c r="B106" s="263">
        <f>'Dry_Litterbag Placem_Collection'!A107</f>
        <v>105</v>
      </c>
      <c r="C106" s="263" t="str">
        <f>'Dry_Litterbag Placem_Collection'!B107</f>
        <v xml:space="preserve">Mwantimba
</v>
      </c>
      <c r="D106" s="263" t="s">
        <v>2460</v>
      </c>
      <c r="E106" s="263" t="s">
        <v>2660</v>
      </c>
      <c r="F106" s="263">
        <v>2</v>
      </c>
      <c r="G106" s="264" t="str">
        <f>'Dry_Litterbag Placem_Collection'!C107</f>
        <v>Wet_Ag2_T1</v>
      </c>
      <c r="H106" s="265" t="s">
        <v>2541</v>
      </c>
      <c r="I106" s="266" t="s">
        <v>1147</v>
      </c>
      <c r="J106" s="223" t="str">
        <f>'WetLitterbags placem_collection'!K107</f>
        <v>G729</v>
      </c>
      <c r="K106" s="225">
        <f>IFERROR(INDEX('Green_rooibos initial weight'!$C$5:$C$1749,MATCH(J106, 'Green_rooibos initial weight'!$A$5:$A$1749,0)),"")</f>
        <v>1.984</v>
      </c>
      <c r="L106" s="225">
        <f>IFERROR(K106-(TBIcalc!$H$9+TBIcalc!$H$10),"")</f>
        <v>1.7342</v>
      </c>
      <c r="M106" s="391">
        <f>AVERAGE(Ashed_controlls!$K$2:$K$11)</f>
        <v>5.5147656768714146</v>
      </c>
      <c r="N106" s="225">
        <f t="shared" si="7"/>
        <v>1.6385629336316958</v>
      </c>
      <c r="O106" s="225">
        <f>IF(IFERROR(INDEX('Both teabags AfterWet'!$C$3:$C$841,MATCH(J106,'Both teabags AfterWet'!$A$3:$A$841,0)),"")="","",(IFERROR(INDEX('Both teabags AfterWet'!$C$3:$C$841,MATCH(J106,'Both teabags AfterWet'!$A$3:$A$841,0)),"")))</f>
        <v>0.72399999999999998</v>
      </c>
      <c r="P106" s="225">
        <f>IFERROR(IF(O106&gt;0,O106-(TBIcalc!$H$9),""),"")</f>
        <v>0.57339999999999991</v>
      </c>
      <c r="Q106" s="225">
        <f>IFERROR(INDEX('Ashed teabags wet'!$K$2:$K$821,MATCH(J106,'Ashed teabags wet'!$A$2:$A$821,0)),"")</f>
        <v>19.719771665802661</v>
      </c>
      <c r="R106" s="225">
        <f t="shared" si="11"/>
        <v>0.4603268292682875</v>
      </c>
      <c r="S106" s="226">
        <f>'WetLitterbags placem_collection'!E107</f>
        <v>42762</v>
      </c>
      <c r="T106" s="226">
        <f>IF('WetLitterbags placem_collection'!G107="","",'WetLitterbags placem_collection'!G107)</f>
        <v>42816</v>
      </c>
      <c r="U106" s="227">
        <f t="shared" si="8"/>
        <v>54</v>
      </c>
      <c r="V106" s="225">
        <f t="shared" si="9"/>
        <v>1.1608000000000001</v>
      </c>
      <c r="W106" s="225">
        <f t="shared" si="10"/>
        <v>1.1782361043634082</v>
      </c>
      <c r="X106">
        <f>IFERROR(INDEX(Rainfall_Wet!$O$2:$O$217,MATCH(B106, Rainfall_Wet!$A$2:$A$217,0)),"")</f>
        <v>206.85140822299999</v>
      </c>
      <c r="Y106" s="231">
        <v>34.344660194174757</v>
      </c>
      <c r="Z106" s="231">
        <v>19.22727272727273</v>
      </c>
      <c r="AA106" s="231">
        <v>46.428067078552509</v>
      </c>
      <c r="AB106" s="232" t="s">
        <v>2670</v>
      </c>
      <c r="AC106" s="231">
        <v>1.7452932479053718</v>
      </c>
      <c r="AD106">
        <f>IF('WetLitterbags placem_collection'!AB107="","",'WetLitterbags placem_collection'!AB107)</f>
        <v>5.5</v>
      </c>
      <c r="AE106">
        <f>IF('WetLitterbags placem_collection'!Z107="","",'WetLitterbags placem_collection'!Z107)</f>
        <v>23.5</v>
      </c>
      <c r="AF106" s="246" t="str">
        <f>IF('WetLitterbags placem_collection'!AA107="","",'WetLitterbags placem_collection'!AA107)</f>
        <v>M</v>
      </c>
      <c r="AG106">
        <f>IF('WetLitterbags placem_collection'!AC107="","",'WetLitterbags placem_collection'!AC107)</f>
        <v>0</v>
      </c>
      <c r="AH106" s="240">
        <f>AVERAGE('WetLitterbags placem_collection'!S107,'WetLitterbags placem_collection'!U107)</f>
        <v>11.350000000000001</v>
      </c>
      <c r="AI106">
        <f>AVERAGE('WetLitterbags placem_collection'!R107,'WetLitterbags placem_collection'!T107)</f>
        <v>32.150000000000006</v>
      </c>
      <c r="AJ106">
        <f>INDEX(Coordinates!$B$2:$B$197,MATCH(G106,Coordinates!$J$2:$J$197,0))</f>
        <v>-2.3698080240000001</v>
      </c>
      <c r="AK106">
        <f>INDEX(Coordinates!$C$2:$C$197,MATCH(G106,Coordinates!$J$2:$J$197,0))</f>
        <v>34.059671010000002</v>
      </c>
      <c r="AL106" t="str">
        <f>IF(ISNUMBER(SEARCH("C", 'WetLitterbags placem_collection'!V107)),"YES","NO")</f>
        <v>NO</v>
      </c>
      <c r="AM106" t="str">
        <f>IF(ISNUMBER(SEARCH("H", 'WetLitterbags placem_collection'!V107)),"YES","NO")</f>
        <v>NO</v>
      </c>
      <c r="AN106" t="str">
        <f>IF(ISNUMBER(SEARCH("R", 'WetLitterbags placem_collection'!V107)),"YES","NO")</f>
        <v>NO</v>
      </c>
    </row>
    <row r="107" spans="1:40" ht="15" customHeight="1">
      <c r="A107" s="258" t="s">
        <v>2460</v>
      </c>
      <c r="B107" s="263">
        <f>'Dry_Litterbag Placem_Collection'!A108</f>
        <v>106</v>
      </c>
      <c r="C107" s="263" t="str">
        <f>'Dry_Litterbag Placem_Collection'!B108</f>
        <v xml:space="preserve">Mwantimba
</v>
      </c>
      <c r="D107" s="263" t="s">
        <v>2460</v>
      </c>
      <c r="E107" s="263" t="s">
        <v>2660</v>
      </c>
      <c r="F107" s="263">
        <v>2</v>
      </c>
      <c r="G107" s="264" t="str">
        <f>'Dry_Litterbag Placem_Collection'!C108</f>
        <v>Wet_Ag2_T2</v>
      </c>
      <c r="H107" s="265" t="s">
        <v>2541</v>
      </c>
      <c r="I107" s="266" t="s">
        <v>1147</v>
      </c>
      <c r="J107" s="223" t="str">
        <f>'WetLitterbags placem_collection'!K108</f>
        <v>G837</v>
      </c>
      <c r="K107" s="225">
        <f>IFERROR(INDEX('Green_rooibos initial weight'!$C$5:$C$1749,MATCH(J107, 'Green_rooibos initial weight'!$A$5:$A$1749,0)),"")</f>
        <v>1.1910000000000001</v>
      </c>
      <c r="L107" s="225">
        <f>IFERROR(K107-(TBIcalc!$H$9+TBIcalc!$H$10),"")</f>
        <v>0.94120000000000004</v>
      </c>
      <c r="M107" s="391">
        <f>AVERAGE(Ashed_controlls!$K$2:$K$11)</f>
        <v>5.5147656768714146</v>
      </c>
      <c r="N107" s="225">
        <f t="shared" si="7"/>
        <v>0.88929502544928629</v>
      </c>
      <c r="O107" s="225">
        <f>IF(IFERROR(INDEX('Both teabags AfterWet'!$C$3:$C$841,MATCH(J107,'Both teabags AfterWet'!$A$3:$A$841,0)),"")="","",(IFERROR(INDEX('Both teabags AfterWet'!$C$3:$C$841,MATCH(J107,'Both teabags AfterWet'!$A$3:$A$841,0)),"")))</f>
        <v>0.62</v>
      </c>
      <c r="P107" s="225">
        <f>IFERROR(IF(O107&gt;0,O107-(TBIcalc!$H$9),""),"")</f>
        <v>0.46939999999999998</v>
      </c>
      <c r="Q107" s="225">
        <f>IFERROR(INDEX('Ashed teabags wet'!$K$2:$K$821,MATCH(J107,'Ashed teabags wet'!$A$2:$A$821,0)),"")</f>
        <v>13.95235780262451</v>
      </c>
      <c r="R107" s="225">
        <f t="shared" si="11"/>
        <v>0.40390763247448053</v>
      </c>
      <c r="S107" s="226">
        <f>'WetLitterbags placem_collection'!E108</f>
        <v>42762</v>
      </c>
      <c r="T107" s="226">
        <f>IF('WetLitterbags placem_collection'!G108="","",'WetLitterbags placem_collection'!G108)</f>
        <v>42816</v>
      </c>
      <c r="U107" s="227">
        <f t="shared" si="8"/>
        <v>54</v>
      </c>
      <c r="V107" s="225">
        <f t="shared" si="9"/>
        <v>0.47180000000000005</v>
      </c>
      <c r="W107" s="225">
        <f t="shared" si="10"/>
        <v>0.48538739297480576</v>
      </c>
      <c r="X107">
        <f>IFERROR(INDEX(Rainfall_Wet!$O$2:$O$217,MATCH(B107, Rainfall_Wet!$A$2:$A$217,0)),"")</f>
        <v>206.85140822299999</v>
      </c>
      <c r="Y107" s="231">
        <v>34.344660194174757</v>
      </c>
      <c r="Z107" s="231">
        <v>19.22727272727273</v>
      </c>
      <c r="AA107" s="231">
        <v>46.428067078552509</v>
      </c>
      <c r="AB107" s="232" t="s">
        <v>2670</v>
      </c>
      <c r="AC107" s="231">
        <v>2.7452932479053702</v>
      </c>
      <c r="AD107">
        <f>IF('WetLitterbags placem_collection'!AB108="","",'WetLitterbags placem_collection'!AB108)</f>
        <v>8.6</v>
      </c>
      <c r="AE107">
        <f>IF('WetLitterbags placem_collection'!Z108="","",'WetLitterbags placem_collection'!Z108)</f>
        <v>17</v>
      </c>
      <c r="AF107" s="246" t="str">
        <f>IF('WetLitterbags placem_collection'!AA108="","",'WetLitterbags placem_collection'!AA108)</f>
        <v>M</v>
      </c>
      <c r="AG107">
        <f>IF('WetLitterbags placem_collection'!AC108="","",'WetLitterbags placem_collection'!AC108)</f>
        <v>0</v>
      </c>
      <c r="AH107" s="240">
        <f>AVERAGE('WetLitterbags placem_collection'!S108,'WetLitterbags placem_collection'!U108)</f>
        <v>12.4</v>
      </c>
      <c r="AI107">
        <f>AVERAGE('WetLitterbags placem_collection'!R108,'WetLitterbags placem_collection'!T108)</f>
        <v>32.950000000000003</v>
      </c>
      <c r="AJ107">
        <f>INDEX(Coordinates!$B$2:$B$197,MATCH(G107,Coordinates!$J$2:$J$197,0))</f>
        <v>-2.3697620069999998</v>
      </c>
      <c r="AK107">
        <f>INDEX(Coordinates!$C$2:$C$197,MATCH(G107,Coordinates!$J$2:$J$197,0))</f>
        <v>34.059730010000003</v>
      </c>
      <c r="AL107" t="str">
        <f>IF(ISNUMBER(SEARCH("C", 'WetLitterbags placem_collection'!V108)),"YES","NO")</f>
        <v>NO</v>
      </c>
      <c r="AM107" t="str">
        <f>IF(ISNUMBER(SEARCH("H", 'WetLitterbags placem_collection'!V108)),"YES","NO")</f>
        <v>NO</v>
      </c>
      <c r="AN107" t="str">
        <f>IF(ISNUMBER(SEARCH("R", 'WetLitterbags placem_collection'!V108)),"YES","NO")</f>
        <v>YES</v>
      </c>
    </row>
    <row r="108" spans="1:40" ht="15" customHeight="1">
      <c r="A108" s="258" t="s">
        <v>2460</v>
      </c>
      <c r="B108" s="263">
        <f>'Dry_Litterbag Placem_Collection'!A109</f>
        <v>107</v>
      </c>
      <c r="C108" s="263" t="str">
        <f>'Dry_Litterbag Placem_Collection'!B109</f>
        <v xml:space="preserve">Mwantimba
</v>
      </c>
      <c r="D108" s="263" t="s">
        <v>2460</v>
      </c>
      <c r="E108" s="263" t="s">
        <v>2660</v>
      </c>
      <c r="F108" s="263">
        <v>2</v>
      </c>
      <c r="G108" s="264" t="str">
        <f>'Dry_Litterbag Placem_Collection'!C109</f>
        <v>Wet_Ag2_T3</v>
      </c>
      <c r="H108" s="265" t="s">
        <v>2541</v>
      </c>
      <c r="I108" s="266" t="s">
        <v>1147</v>
      </c>
      <c r="J108" s="223" t="str">
        <f>'WetLitterbags placem_collection'!K109</f>
        <v>G688</v>
      </c>
      <c r="K108" s="225">
        <f>IFERROR(INDEX('Green_rooibos initial weight'!$C$5:$C$1749,MATCH(J108, 'Green_rooibos initial weight'!$A$5:$A$1749,0)),"")</f>
        <v>2.125</v>
      </c>
      <c r="L108" s="225">
        <f>IFERROR(K108-(TBIcalc!$H$9+TBIcalc!$H$10),"")</f>
        <v>1.8752</v>
      </c>
      <c r="M108" s="391">
        <f>AVERAGE(Ashed_controlls!$K$2:$K$11)</f>
        <v>5.5147656768714146</v>
      </c>
      <c r="N108" s="225">
        <f t="shared" si="7"/>
        <v>1.7717871140273072</v>
      </c>
      <c r="O108" s="225">
        <f>IF(IFERROR(INDEX('Both teabags AfterWet'!$C$3:$C$841,MATCH(J108,'Both teabags AfterWet'!$A$3:$A$841,0)),"")="","",(IFERROR(INDEX('Both teabags AfterWet'!$C$3:$C$841,MATCH(J108,'Both teabags AfterWet'!$A$3:$A$841,0)),"")))</f>
        <v>0.60899999999999999</v>
      </c>
      <c r="P108" s="225">
        <f>IFERROR(IF(O108&gt;0,O108-(TBIcalc!$H$9),""),"")</f>
        <v>0.45839999999999997</v>
      </c>
      <c r="Q108" s="225">
        <f>IFERROR(INDEX('Ashed teabags wet'!$K$2:$K$821,MATCH(J108,'Ashed teabags wet'!$A$2:$A$821,0)),"")</f>
        <v>14.504950495050023</v>
      </c>
      <c r="R108" s="225">
        <f t="shared" si="11"/>
        <v>0.3919093069306907</v>
      </c>
      <c r="S108" s="226">
        <f>'WetLitterbags placem_collection'!E109</f>
        <v>42762</v>
      </c>
      <c r="T108" s="226">
        <f>IF('WetLitterbags placem_collection'!G109="","",'WetLitterbags placem_collection'!G109)</f>
        <v>42816</v>
      </c>
      <c r="U108" s="227">
        <f t="shared" si="8"/>
        <v>54</v>
      </c>
      <c r="V108" s="225">
        <f t="shared" si="9"/>
        <v>1.4168000000000001</v>
      </c>
      <c r="W108" s="225">
        <f t="shared" si="10"/>
        <v>1.3798778070966164</v>
      </c>
      <c r="X108">
        <f>IFERROR(INDEX(Rainfall_Wet!$O$2:$O$217,MATCH(B108, Rainfall_Wet!$A$2:$A$217,0)),"")</f>
        <v>206.85140822299999</v>
      </c>
      <c r="Y108" s="231">
        <v>34.344660194174757</v>
      </c>
      <c r="Z108" s="231">
        <v>19.22727272727273</v>
      </c>
      <c r="AA108" s="231">
        <v>46.428067078552509</v>
      </c>
      <c r="AB108" s="232" t="s">
        <v>2670</v>
      </c>
      <c r="AC108" s="231">
        <v>3.7452932479053702</v>
      </c>
      <c r="AD108">
        <f>IF('WetLitterbags placem_collection'!AB109="","",'WetLitterbags placem_collection'!AB109)</f>
        <v>3.85</v>
      </c>
      <c r="AE108">
        <f>IF('WetLitterbags placem_collection'!Z109="","",'WetLitterbags placem_collection'!Z109)</f>
        <v>15.5</v>
      </c>
      <c r="AF108" s="246" t="str">
        <f>IF('WetLitterbags placem_collection'!AA109="","",'WetLitterbags placem_collection'!AA109)</f>
        <v>M</v>
      </c>
      <c r="AG108">
        <f>IF('WetLitterbags placem_collection'!AC109="","",'WetLitterbags placem_collection'!AC109)</f>
        <v>0</v>
      </c>
      <c r="AH108" s="240">
        <f>AVERAGE('WetLitterbags placem_collection'!S109,'WetLitterbags placem_collection'!U109)</f>
        <v>11.299999999999999</v>
      </c>
      <c r="AI108">
        <f>AVERAGE('WetLitterbags placem_collection'!R109,'WetLitterbags placem_collection'!T109)</f>
        <v>32.450000000000003</v>
      </c>
      <c r="AJ108">
        <f>INDEX(Coordinates!$B$2:$B$197,MATCH(G108,Coordinates!$J$2:$J$197,0))</f>
        <v>-2.3698409649999999</v>
      </c>
      <c r="AK108">
        <f>INDEX(Coordinates!$C$2:$C$197,MATCH(G108,Coordinates!$J$2:$J$197,0))</f>
        <v>34.059814000000003</v>
      </c>
      <c r="AL108" t="str">
        <f>IF(ISNUMBER(SEARCH("C", 'WetLitterbags placem_collection'!V109)),"YES","NO")</f>
        <v>NO</v>
      </c>
      <c r="AM108" t="str">
        <f>IF(ISNUMBER(SEARCH("H", 'WetLitterbags placem_collection'!V109)),"YES","NO")</f>
        <v>NO</v>
      </c>
      <c r="AN108" t="str">
        <f>IF(ISNUMBER(SEARCH("R", 'WetLitterbags placem_collection'!V109)),"YES","NO")</f>
        <v>YES</v>
      </c>
    </row>
    <row r="109" spans="1:40" ht="15" customHeight="1">
      <c r="A109" s="258" t="s">
        <v>2460</v>
      </c>
      <c r="B109" s="263">
        <f>'Dry_Litterbag Placem_Collection'!A110</f>
        <v>108</v>
      </c>
      <c r="C109" s="263" t="str">
        <f>'Dry_Litterbag Placem_Collection'!B110</f>
        <v xml:space="preserve">Mwantimba
</v>
      </c>
      <c r="D109" s="263" t="s">
        <v>2460</v>
      </c>
      <c r="E109" s="263" t="s">
        <v>2660</v>
      </c>
      <c r="F109" s="263">
        <v>2</v>
      </c>
      <c r="G109" s="264" t="str">
        <f>'Dry_Litterbag Placem_Collection'!C110</f>
        <v>Wet_Ag2_T4</v>
      </c>
      <c r="H109" s="265" t="s">
        <v>2541</v>
      </c>
      <c r="I109" s="266" t="s">
        <v>1147</v>
      </c>
      <c r="J109" s="223" t="str">
        <f>'WetLitterbags placem_collection'!K110</f>
        <v>G883</v>
      </c>
      <c r="K109" s="225">
        <f>IFERROR(INDEX('Green_rooibos initial weight'!$C$5:$C$1749,MATCH(J109, 'Green_rooibos initial weight'!$A$5:$A$1749,0)),"")</f>
        <v>2.073</v>
      </c>
      <c r="L109" s="225">
        <f>IFERROR(K109-(TBIcalc!$H$9+TBIcalc!$H$10),"")</f>
        <v>1.8231999999999999</v>
      </c>
      <c r="M109" s="391">
        <f>AVERAGE(Ashed_controlls!$K$2:$K$11)</f>
        <v>5.5147656768714146</v>
      </c>
      <c r="N109" s="225">
        <f t="shared" si="7"/>
        <v>1.7226547921792803</v>
      </c>
      <c r="O109" s="225">
        <f>IF(IFERROR(INDEX('Both teabags AfterWet'!$C$3:$C$841,MATCH(J109,'Both teabags AfterWet'!$A$3:$A$841,0)),"")="","",(IFERROR(INDEX('Both teabags AfterWet'!$C$3:$C$841,MATCH(J109,'Both teabags AfterWet'!$A$3:$A$841,0)),"")))</f>
        <v>0.67200000000000004</v>
      </c>
      <c r="P109" s="225">
        <f>IFERROR(IF(O109&gt;0,O109-(TBIcalc!$H$9),""),"")</f>
        <v>0.52140000000000009</v>
      </c>
      <c r="Q109" s="225">
        <f>IFERROR(INDEX('Ashed teabags wet'!$K$2:$K$821,MATCH(J109,'Ashed teabags wet'!$A$2:$A$821,0)),"")</f>
        <v>14.878892733563953</v>
      </c>
      <c r="R109" s="225">
        <f t="shared" si="11"/>
        <v>0.44382145328719763</v>
      </c>
      <c r="S109" s="226">
        <f>'WetLitterbags placem_collection'!E110</f>
        <v>42762</v>
      </c>
      <c r="T109" s="226">
        <f>IF('WetLitterbags placem_collection'!G110="","",'WetLitterbags placem_collection'!G110)</f>
        <v>42816</v>
      </c>
      <c r="U109" s="227">
        <f t="shared" si="8"/>
        <v>54</v>
      </c>
      <c r="V109" s="225">
        <f t="shared" si="9"/>
        <v>1.3017999999999998</v>
      </c>
      <c r="W109" s="225">
        <f t="shared" si="10"/>
        <v>1.2788333388920827</v>
      </c>
      <c r="X109">
        <f>IFERROR(INDEX(Rainfall_Wet!$O$2:$O$217,MATCH(B109, Rainfall_Wet!$A$2:$A$217,0)),"")</f>
        <v>206.85140822299999</v>
      </c>
      <c r="Y109" s="231">
        <v>34.344660194174757</v>
      </c>
      <c r="Z109" s="231">
        <v>19.22727272727273</v>
      </c>
      <c r="AA109" s="231">
        <v>46.428067078552509</v>
      </c>
      <c r="AB109" s="232" t="s">
        <v>2670</v>
      </c>
      <c r="AC109" s="231">
        <v>4.7452932479053702</v>
      </c>
      <c r="AD109">
        <f>IF('WetLitterbags placem_collection'!AB110="","",'WetLitterbags placem_collection'!AB110)</f>
        <v>9.6999999999999993</v>
      </c>
      <c r="AE109">
        <f>IF('WetLitterbags placem_collection'!Z110="","",'WetLitterbags placem_collection'!Z110)</f>
        <v>22.5</v>
      </c>
      <c r="AF109" s="246" t="str">
        <f>IF('WetLitterbags placem_collection'!AA110="","",'WetLitterbags placem_collection'!AA110)</f>
        <v>M</v>
      </c>
      <c r="AG109">
        <f>IF('WetLitterbags placem_collection'!AC110="","",'WetLitterbags placem_collection'!AC110)</f>
        <v>0</v>
      </c>
      <c r="AH109" s="240">
        <f>AVERAGE('WetLitterbags placem_collection'!S110,'WetLitterbags placem_collection'!U110)</f>
        <v>15.1</v>
      </c>
      <c r="AI109">
        <f>AVERAGE('WetLitterbags placem_collection'!R110,'WetLitterbags placem_collection'!T110)</f>
        <v>31.55</v>
      </c>
      <c r="AJ109">
        <f>INDEX(Coordinates!$B$2:$B$197,MATCH(G109,Coordinates!$J$2:$J$197,0))</f>
        <v>-2.3698620030000002</v>
      </c>
      <c r="AK109">
        <f>INDEX(Coordinates!$C$2:$C$197,MATCH(G109,Coordinates!$J$2:$J$197,0))</f>
        <v>34.059759020000001</v>
      </c>
      <c r="AL109" t="str">
        <f>IF(ISNUMBER(SEARCH("C", 'WetLitterbags placem_collection'!V110)),"YES","NO")</f>
        <v>NO</v>
      </c>
      <c r="AM109" t="str">
        <f>IF(ISNUMBER(SEARCH("H", 'WetLitterbags placem_collection'!V110)),"YES","NO")</f>
        <v>NO</v>
      </c>
      <c r="AN109" t="str">
        <f>IF(ISNUMBER(SEARCH("R", 'WetLitterbags placem_collection'!V110)),"YES","NO")</f>
        <v>YES</v>
      </c>
    </row>
    <row r="110" spans="1:40" ht="15" customHeight="1">
      <c r="A110" s="258" t="s">
        <v>2460</v>
      </c>
      <c r="B110" s="263">
        <f>'Dry_Litterbag Placem_Collection'!A111</f>
        <v>109</v>
      </c>
      <c r="C110" s="263" t="str">
        <f>'Dry_Litterbag Placem_Collection'!B111</f>
        <v xml:space="preserve">Mwantimba
</v>
      </c>
      <c r="D110" s="263" t="s">
        <v>2460</v>
      </c>
      <c r="E110" s="263" t="s">
        <v>2660</v>
      </c>
      <c r="F110" s="263">
        <v>2</v>
      </c>
      <c r="G110" s="264" t="str">
        <f>'Dry_Litterbag Placem_Collection'!C111</f>
        <v>Wet_Ag2_T5</v>
      </c>
      <c r="H110" s="265" t="s">
        <v>2541</v>
      </c>
      <c r="I110" s="266" t="s">
        <v>1147</v>
      </c>
      <c r="J110" s="223" t="str">
        <f>'WetLitterbags placem_collection'!K111</f>
        <v>G704</v>
      </c>
      <c r="K110" s="225">
        <f>IFERROR(INDEX('Green_rooibos initial weight'!$C$5:$C$1749,MATCH(J110, 'Green_rooibos initial weight'!$A$5:$A$1749,0)),"")</f>
        <v>2.0219999999999998</v>
      </c>
      <c r="L110" s="225">
        <f>IFERROR(K110-(TBIcalc!$H$9+TBIcalc!$H$10),"")</f>
        <v>1.7721999999999998</v>
      </c>
      <c r="M110" s="391">
        <f>AVERAGE(Ashed_controlls!$K$2:$K$11)</f>
        <v>5.5147656768714146</v>
      </c>
      <c r="N110" s="225">
        <f t="shared" si="7"/>
        <v>1.6744673226744846</v>
      </c>
      <c r="O110" s="225">
        <f>IF(IFERROR(INDEX('Both teabags AfterWet'!$C$3:$C$841,MATCH(J110,'Both teabags AfterWet'!$A$3:$A$841,0)),"")="","",(IFERROR(INDEX('Both teabags AfterWet'!$C$3:$C$841,MATCH(J110,'Both teabags AfterWet'!$A$3:$A$841,0)),"")))</f>
        <v>0.63019999999999998</v>
      </c>
      <c r="P110" s="225">
        <f>IFERROR(IF(O110&gt;0,O110-(TBIcalc!$H$9),""),"")</f>
        <v>0.47959999999999997</v>
      </c>
      <c r="Q110" s="225">
        <f>IFERROR(INDEX('Ashed teabags wet'!$K$2:$K$821,MATCH(J110,'Ashed teabags wet'!$A$2:$A$821,0)),"")</f>
        <v>7.733990147783028</v>
      </c>
      <c r="R110" s="225">
        <f t="shared" si="11"/>
        <v>0.44250778325123258</v>
      </c>
      <c r="S110" s="226">
        <f>'WetLitterbags placem_collection'!E111</f>
        <v>42762</v>
      </c>
      <c r="T110" s="226">
        <f>IF('WetLitterbags placem_collection'!G111="","",'WetLitterbags placem_collection'!G111)</f>
        <v>42816</v>
      </c>
      <c r="U110" s="227">
        <f t="shared" si="8"/>
        <v>54</v>
      </c>
      <c r="V110" s="225">
        <f t="shared" si="9"/>
        <v>1.2925999999999997</v>
      </c>
      <c r="W110" s="225">
        <f t="shared" si="10"/>
        <v>1.2319595394232521</v>
      </c>
      <c r="X110">
        <f>IFERROR(INDEX(Rainfall_Wet!$O$2:$O$217,MATCH(B110, Rainfall_Wet!$A$2:$A$217,0)),"")</f>
        <v>206.85140822299999</v>
      </c>
      <c r="Y110" s="231">
        <v>34.344660194174757</v>
      </c>
      <c r="Z110" s="231">
        <v>19.22727272727273</v>
      </c>
      <c r="AA110" s="231">
        <v>46.428067078552509</v>
      </c>
      <c r="AB110" s="232" t="s">
        <v>2670</v>
      </c>
      <c r="AC110" s="231">
        <v>5.7452932479053702</v>
      </c>
      <c r="AD110">
        <f>IF('WetLitterbags placem_collection'!AB111="","",'WetLitterbags placem_collection'!AB111)</f>
        <v>10.5</v>
      </c>
      <c r="AE110">
        <f>IF('WetLitterbags placem_collection'!Z111="","",'WetLitterbags placem_collection'!Z111)</f>
        <v>22.5</v>
      </c>
      <c r="AF110" s="246" t="str">
        <f>IF('WetLitterbags placem_collection'!AA111="","",'WetLitterbags placem_collection'!AA111)</f>
        <v>M</v>
      </c>
      <c r="AG110">
        <f>IF('WetLitterbags placem_collection'!AC111="","",'WetLitterbags placem_collection'!AC111)</f>
        <v>0</v>
      </c>
      <c r="AH110" s="240">
        <f>AVERAGE('WetLitterbags placem_collection'!S111,'WetLitterbags placem_collection'!U111)</f>
        <v>9</v>
      </c>
      <c r="AI110">
        <f>AVERAGE('WetLitterbags placem_collection'!R111,'WetLitterbags placem_collection'!T111)</f>
        <v>33.5</v>
      </c>
      <c r="AJ110">
        <f>INDEX(Coordinates!$B$2:$B$197,MATCH(G110,Coordinates!$J$2:$J$197,0))</f>
        <v>-2.3698390370000002</v>
      </c>
      <c r="AK110">
        <f>INDEX(Coordinates!$C$2:$C$197,MATCH(G110,Coordinates!$J$2:$J$197,0))</f>
        <v>34.059714</v>
      </c>
      <c r="AL110" t="str">
        <f>IF(ISNUMBER(SEARCH("C", 'WetLitterbags placem_collection'!V111)),"YES","NO")</f>
        <v>NO</v>
      </c>
      <c r="AM110" t="str">
        <f>IF(ISNUMBER(SEARCH("H", 'WetLitterbags placem_collection'!V111)),"YES","NO")</f>
        <v>YES</v>
      </c>
      <c r="AN110" t="str">
        <f>IF(ISNUMBER(SEARCH("R", 'WetLitterbags placem_collection'!V111)),"YES","NO")</f>
        <v>NO</v>
      </c>
    </row>
    <row r="111" spans="1:40" ht="15" customHeight="1">
      <c r="A111" s="258" t="s">
        <v>2460</v>
      </c>
      <c r="B111" s="263">
        <f>'Dry_Litterbag Placem_Collection'!A112</f>
        <v>110</v>
      </c>
      <c r="C111" s="263" t="str">
        <f>'Dry_Litterbag Placem_Collection'!B112</f>
        <v xml:space="preserve">Mwantimba
</v>
      </c>
      <c r="D111" s="263" t="s">
        <v>2460</v>
      </c>
      <c r="E111" s="263" t="s">
        <v>2660</v>
      </c>
      <c r="F111" s="263">
        <v>2</v>
      </c>
      <c r="G111" s="264" t="str">
        <f>'Dry_Litterbag Placem_Collection'!C112</f>
        <v>Wet_Ag2_T6</v>
      </c>
      <c r="H111" s="265" t="s">
        <v>2541</v>
      </c>
      <c r="I111" s="266" t="s">
        <v>1147</v>
      </c>
      <c r="J111" s="223" t="str">
        <f>'WetLitterbags placem_collection'!K112</f>
        <v>G742</v>
      </c>
      <c r="K111" s="225">
        <f>IFERROR(INDEX('Green_rooibos initial weight'!$C$5:$C$1749,MATCH(J111, 'Green_rooibos initial weight'!$A$5:$A$1749,0)),"")</f>
        <v>2.0510000000000002</v>
      </c>
      <c r="L111" s="225">
        <f>IFERROR(K111-(TBIcalc!$H$9+TBIcalc!$H$10),"")</f>
        <v>1.8012000000000001</v>
      </c>
      <c r="M111" s="391">
        <f>AVERAGE(Ashed_controlls!$K$2:$K$11)</f>
        <v>5.5147656768714146</v>
      </c>
      <c r="N111" s="225">
        <f t="shared" si="7"/>
        <v>1.7018680406281923</v>
      </c>
      <c r="O111" s="225">
        <f>IF(IFERROR(INDEX('Both teabags AfterWet'!$C$3:$C$841,MATCH(J111,'Both teabags AfterWet'!$A$3:$A$841,0)),"")="","",(IFERROR(INDEX('Both teabags AfterWet'!$C$3:$C$841,MATCH(J111,'Both teabags AfterWet'!$A$3:$A$841,0)),"")))</f>
        <v>0.57879999999999998</v>
      </c>
      <c r="P111" s="225">
        <f>IFERROR(IF(O111&gt;0,O111-(TBIcalc!$H$9),""),"")</f>
        <v>0.42819999999999997</v>
      </c>
      <c r="Q111" s="225">
        <f>IFERROR(INDEX('Ashed teabags wet'!$K$2:$K$821,MATCH(J111,'Ashed teabags wet'!$A$2:$A$821,0)),"")</f>
        <v>13.253612356751738</v>
      </c>
      <c r="R111" s="225">
        <f t="shared" si="11"/>
        <v>0.37144803188838904</v>
      </c>
      <c r="S111" s="226">
        <f>'WetLitterbags placem_collection'!E112</f>
        <v>42762</v>
      </c>
      <c r="T111" s="226">
        <f>IF('WetLitterbags placem_collection'!G112="","",'WetLitterbags placem_collection'!G112)</f>
        <v>42816</v>
      </c>
      <c r="U111" s="227">
        <f t="shared" si="8"/>
        <v>54</v>
      </c>
      <c r="V111" s="225">
        <f t="shared" si="9"/>
        <v>1.3730000000000002</v>
      </c>
      <c r="W111" s="225">
        <f t="shared" si="10"/>
        <v>1.3304200087398033</v>
      </c>
      <c r="X111">
        <f>IFERROR(INDEX(Rainfall_Wet!$O$2:$O$217,MATCH(B111, Rainfall_Wet!$A$2:$A$217,0)),"")</f>
        <v>206.85140822299999</v>
      </c>
      <c r="Y111" s="231">
        <v>34.344660194174757</v>
      </c>
      <c r="Z111" s="231">
        <v>19.22727272727273</v>
      </c>
      <c r="AA111" s="231">
        <v>46.428067078552509</v>
      </c>
      <c r="AB111" s="232" t="s">
        <v>2670</v>
      </c>
      <c r="AC111" s="231">
        <v>6.7452932479053702</v>
      </c>
      <c r="AD111">
        <f>IF('WetLitterbags placem_collection'!AB112="","",'WetLitterbags placem_collection'!AB112)</f>
        <v>5.75</v>
      </c>
      <c r="AE111">
        <f>IF('WetLitterbags placem_collection'!Z112="","",'WetLitterbags placem_collection'!Z112)</f>
        <v>22.5</v>
      </c>
      <c r="AF111" s="246" t="str">
        <f>IF('WetLitterbags placem_collection'!AA112="","",'WetLitterbags placem_collection'!AA112)</f>
        <v>M</v>
      </c>
      <c r="AG111">
        <f>IF('WetLitterbags placem_collection'!AC112="","",'WetLitterbags placem_collection'!AC112)</f>
        <v>0</v>
      </c>
      <c r="AH111" s="240">
        <f>AVERAGE('WetLitterbags placem_collection'!S112,'WetLitterbags placem_collection'!U112)</f>
        <v>16.950000000000003</v>
      </c>
      <c r="AI111">
        <f>AVERAGE('WetLitterbags placem_collection'!R112,'WetLitterbags placem_collection'!T112)</f>
        <v>30.5</v>
      </c>
      <c r="AJ111">
        <f>INDEX(Coordinates!$B$2:$B$197,MATCH(G111,Coordinates!$J$2:$J$197,0))</f>
        <v>-2.3697549659999999</v>
      </c>
      <c r="AK111">
        <f>INDEX(Coordinates!$C$2:$C$197,MATCH(G111,Coordinates!$J$2:$J$197,0))</f>
        <v>34.059668989999999</v>
      </c>
      <c r="AL111" t="str">
        <f>IF(ISNUMBER(SEARCH("C", 'WetLitterbags placem_collection'!V112)),"YES","NO")</f>
        <v>NO</v>
      </c>
      <c r="AM111" t="str">
        <f>IF(ISNUMBER(SEARCH("H", 'WetLitterbags placem_collection'!V112)),"YES","NO")</f>
        <v>NO</v>
      </c>
      <c r="AN111" t="str">
        <f>IF(ISNUMBER(SEARCH("R", 'WetLitterbags placem_collection'!V112)),"YES","NO")</f>
        <v>NO</v>
      </c>
    </row>
    <row r="112" spans="1:40" ht="15" customHeight="1">
      <c r="A112" s="258" t="s">
        <v>2460</v>
      </c>
      <c r="B112" s="263">
        <f>'Dry_Litterbag Placem_Collection'!A113</f>
        <v>111</v>
      </c>
      <c r="C112" s="263" t="str">
        <f>'Dry_Litterbag Placem_Collection'!B113</f>
        <v xml:space="preserve">Mwantimba
</v>
      </c>
      <c r="D112" s="263" t="s">
        <v>2460</v>
      </c>
      <c r="E112" s="263" t="s">
        <v>2660</v>
      </c>
      <c r="F112" s="263">
        <v>2</v>
      </c>
      <c r="G112" s="264" t="str">
        <f>'Dry_Litterbag Placem_Collection'!C113</f>
        <v>Wet_Ag2_T7</v>
      </c>
      <c r="H112" s="265" t="s">
        <v>2541</v>
      </c>
      <c r="I112" s="266" t="s">
        <v>1147</v>
      </c>
      <c r="J112" s="223" t="str">
        <f>'WetLitterbags placem_collection'!K113</f>
        <v>G831</v>
      </c>
      <c r="K112" s="225">
        <f>IFERROR(INDEX('Green_rooibos initial weight'!$C$5:$C$1749,MATCH(J112, 'Green_rooibos initial weight'!$A$5:$A$1749,0)),"")</f>
        <v>2.1190000000000002</v>
      </c>
      <c r="L112" s="225">
        <f>IFERROR(K112-(TBIcalc!$H$9+TBIcalc!$H$10),"")</f>
        <v>1.8692000000000002</v>
      </c>
      <c r="M112" s="391">
        <f>AVERAGE(Ashed_controlls!$K$2:$K$11)</f>
        <v>5.5147656768714146</v>
      </c>
      <c r="N112" s="225">
        <f t="shared" si="7"/>
        <v>1.7661179999679197</v>
      </c>
      <c r="O112" s="225">
        <f>IF(IFERROR(INDEX('Both teabags AfterWet'!$C$3:$C$841,MATCH(J112,'Both teabags AfterWet'!$A$3:$A$841,0)),"")="","",(IFERROR(INDEX('Both teabags AfterWet'!$C$3:$C$841,MATCH(J112,'Both teabags AfterWet'!$A$3:$A$841,0)),"")))</f>
        <v>0.66200000000000003</v>
      </c>
      <c r="P112" s="225">
        <f>IFERROR(IF(O112&gt;0,O112-(TBIcalc!$H$9),""),"")</f>
        <v>0.51140000000000008</v>
      </c>
      <c r="Q112" s="225">
        <f>IFERROR(INDEX('Ashed teabags wet'!$K$2:$K$821,MATCH(J112,'Ashed teabags wet'!$A$2:$A$821,0)),"")</f>
        <v>14.3622200584224</v>
      </c>
      <c r="R112" s="225">
        <f t="shared" si="11"/>
        <v>0.4379516066212279</v>
      </c>
      <c r="S112" s="226">
        <f>'WetLitterbags placem_collection'!E113</f>
        <v>42762</v>
      </c>
      <c r="T112" s="226">
        <f>IF('WetLitterbags placem_collection'!G113="","",'WetLitterbags placem_collection'!G113)</f>
        <v>42816</v>
      </c>
      <c r="U112" s="227">
        <f t="shared" si="8"/>
        <v>54</v>
      </c>
      <c r="V112" s="225">
        <f t="shared" si="9"/>
        <v>1.3578000000000001</v>
      </c>
      <c r="W112" s="225">
        <f t="shared" si="10"/>
        <v>1.3281663933466918</v>
      </c>
      <c r="X112">
        <f>IFERROR(INDEX(Rainfall_Wet!$O$2:$O$217,MATCH(B112, Rainfall_Wet!$A$2:$A$217,0)),"")</f>
        <v>206.85140822299999</v>
      </c>
      <c r="Y112" s="231">
        <v>34.344660194174757</v>
      </c>
      <c r="Z112" s="231">
        <v>19.22727272727273</v>
      </c>
      <c r="AA112" s="231">
        <v>46.428067078552509</v>
      </c>
      <c r="AB112" s="232" t="s">
        <v>2670</v>
      </c>
      <c r="AC112" s="231">
        <v>7.7452932479053702</v>
      </c>
      <c r="AD112">
        <f>IF('WetLitterbags placem_collection'!AB113="","",'WetLitterbags placem_collection'!AB113)</f>
        <v>6.1</v>
      </c>
      <c r="AE112">
        <f>IF('WetLitterbags placem_collection'!Z113="","",'WetLitterbags placem_collection'!Z113)</f>
        <v>26</v>
      </c>
      <c r="AF112" s="246" t="str">
        <f>IF('WetLitterbags placem_collection'!AA113="","",'WetLitterbags placem_collection'!AA113)</f>
        <v>M</v>
      </c>
      <c r="AG112">
        <f>IF('WetLitterbags placem_collection'!AC113="","",'WetLitterbags placem_collection'!AC113)</f>
        <v>0</v>
      </c>
      <c r="AH112" s="240">
        <f>AVERAGE('WetLitterbags placem_collection'!S113,'WetLitterbags placem_collection'!U113)</f>
        <v>11.1</v>
      </c>
      <c r="AI112">
        <f>AVERAGE('WetLitterbags placem_collection'!R113,'WetLitterbags placem_collection'!T113)</f>
        <v>32.65</v>
      </c>
      <c r="AJ112">
        <f>INDEX(Coordinates!$B$2:$B$197,MATCH(G112,Coordinates!$J$2:$J$197,0))</f>
        <v>-2.3697330060000001</v>
      </c>
      <c r="AK112">
        <f>INDEX(Coordinates!$C$2:$C$197,MATCH(G112,Coordinates!$J$2:$J$197,0))</f>
        <v>34.059615010000002</v>
      </c>
      <c r="AL112" t="str">
        <f>IF(ISNUMBER(SEARCH("C", 'WetLitterbags placem_collection'!V113)),"YES","NO")</f>
        <v>NO</v>
      </c>
      <c r="AM112" t="str">
        <f>IF(ISNUMBER(SEARCH("H", 'WetLitterbags placem_collection'!V113)),"YES","NO")</f>
        <v>NO</v>
      </c>
      <c r="AN112" t="str">
        <f>IF(ISNUMBER(SEARCH("R", 'WetLitterbags placem_collection'!V113)),"YES","NO")</f>
        <v>NO</v>
      </c>
    </row>
    <row r="113" spans="1:40" ht="15" customHeight="1">
      <c r="A113" s="258" t="s">
        <v>2460</v>
      </c>
      <c r="B113" s="263">
        <f>'Dry_Litterbag Placem_Collection'!A114</f>
        <v>112</v>
      </c>
      <c r="C113" s="263" t="str">
        <f>'Dry_Litterbag Placem_Collection'!B114</f>
        <v xml:space="preserve">Mwantimba
</v>
      </c>
      <c r="D113" s="263" t="s">
        <v>2460</v>
      </c>
      <c r="E113" s="263" t="s">
        <v>2660</v>
      </c>
      <c r="F113" s="263">
        <v>2</v>
      </c>
      <c r="G113" s="264" t="str">
        <f>'Dry_Litterbag Placem_Collection'!C114</f>
        <v>Wet_Ag2_T8</v>
      </c>
      <c r="H113" s="265" t="s">
        <v>2541</v>
      </c>
      <c r="I113" s="266" t="s">
        <v>1147</v>
      </c>
      <c r="J113" s="223" t="str">
        <f>'WetLitterbags placem_collection'!K114</f>
        <v>G899</v>
      </c>
      <c r="K113" s="225">
        <f>IFERROR(INDEX('Green_rooibos initial weight'!$C$5:$C$1749,MATCH(J113, 'Green_rooibos initial weight'!$A$5:$A$1749,0)),"")</f>
        <v>2.0129999999999999</v>
      </c>
      <c r="L113" s="225">
        <f>IFERROR(K113-(TBIcalc!$H$9+TBIcalc!$H$10),"")</f>
        <v>1.7631999999999999</v>
      </c>
      <c r="M113" s="391">
        <f>AVERAGE(Ashed_controlls!$K$2:$K$11)</f>
        <v>5.5147656768714146</v>
      </c>
      <c r="N113" s="225">
        <f t="shared" si="7"/>
        <v>1.665963651585403</v>
      </c>
      <c r="O113" s="225">
        <f>IF(IFERROR(INDEX('Both teabags AfterWet'!$C$3:$C$841,MATCH(J113,'Both teabags AfterWet'!$A$3:$A$841,0)),"")="","",(IFERROR(INDEX('Both teabags AfterWet'!$C$3:$C$841,MATCH(J113,'Both teabags AfterWet'!$A$3:$A$841,0)),"")))</f>
        <v>0.71899999999999997</v>
      </c>
      <c r="P113" s="225">
        <f>IFERROR(IF(O113&gt;0,O113-(TBIcalc!$H$9),""),"")</f>
        <v>0.56840000000000002</v>
      </c>
      <c r="Q113" s="225">
        <f>IFERROR(INDEX('Ashed teabags wet'!$K$2:$K$821,MATCH(J113,'Ashed teabags wet'!$A$2:$A$821,0)),"")</f>
        <v>25.775193798450474</v>
      </c>
      <c r="R113" s="225">
        <f t="shared" si="11"/>
        <v>0.4218937984496075</v>
      </c>
      <c r="S113" s="226">
        <f>'WetLitterbags placem_collection'!E114</f>
        <v>42762</v>
      </c>
      <c r="T113" s="226">
        <f>IF('WetLitterbags placem_collection'!G114="","",'WetLitterbags placem_collection'!G114)</f>
        <v>42816</v>
      </c>
      <c r="U113" s="227">
        <f t="shared" si="8"/>
        <v>54</v>
      </c>
      <c r="V113" s="225">
        <f t="shared" si="9"/>
        <v>1.1947999999999999</v>
      </c>
      <c r="W113" s="225">
        <f t="shared" si="10"/>
        <v>1.2440698531357954</v>
      </c>
      <c r="X113">
        <f>IFERROR(INDEX(Rainfall_Wet!$O$2:$O$217,MATCH(B113, Rainfall_Wet!$A$2:$A$217,0)),"")</f>
        <v>206.85140822299999</v>
      </c>
      <c r="Y113" s="231">
        <v>34.344660194174757</v>
      </c>
      <c r="Z113" s="231">
        <v>19.22727272727273</v>
      </c>
      <c r="AA113" s="231">
        <v>46.428067078552509</v>
      </c>
      <c r="AB113" s="232" t="s">
        <v>2670</v>
      </c>
      <c r="AC113" s="231">
        <v>8.7452932479053693</v>
      </c>
      <c r="AD113">
        <f>IF('WetLitterbags placem_collection'!AB114="","",'WetLitterbags placem_collection'!AB114)</f>
        <v>11.5</v>
      </c>
      <c r="AE113">
        <f>IF('WetLitterbags placem_collection'!Z114="","",'WetLitterbags placem_collection'!Z114)</f>
        <v>15</v>
      </c>
      <c r="AF113" s="246" t="str">
        <f>IF('WetLitterbags placem_collection'!AA114="","",'WetLitterbags placem_collection'!AA114)</f>
        <v>M</v>
      </c>
      <c r="AG113">
        <f>IF('WetLitterbags placem_collection'!AC114="","",'WetLitterbags placem_collection'!AC114)</f>
        <v>0</v>
      </c>
      <c r="AH113" s="240">
        <f>AVERAGE('WetLitterbags placem_collection'!S114,'WetLitterbags placem_collection'!U114)</f>
        <v>15.2</v>
      </c>
      <c r="AI113">
        <f>AVERAGE('WetLitterbags placem_collection'!R114,'WetLitterbags placem_collection'!T114)</f>
        <v>31.450000000000003</v>
      </c>
      <c r="AJ113">
        <f>INDEX(Coordinates!$B$2:$B$197,MATCH(G113,Coordinates!$J$2:$J$197,0))</f>
        <v>-2.36967098</v>
      </c>
      <c r="AK113">
        <f>INDEX(Coordinates!$C$2:$C$197,MATCH(G113,Coordinates!$J$2:$J$197,0))</f>
        <v>34.059735959999998</v>
      </c>
      <c r="AL113" t="str">
        <f>IF(ISNUMBER(SEARCH("C", 'WetLitterbags placem_collection'!V114)),"YES","NO")</f>
        <v>NO</v>
      </c>
      <c r="AM113" t="str">
        <f>IF(ISNUMBER(SEARCH("H", 'WetLitterbags placem_collection'!V114)),"YES","NO")</f>
        <v>YES</v>
      </c>
      <c r="AN113" t="str">
        <f>IF(ISNUMBER(SEARCH("R", 'WetLitterbags placem_collection'!V114)),"YES","NO")</f>
        <v>NO</v>
      </c>
    </row>
    <row r="114" spans="1:40" ht="15" customHeight="1">
      <c r="A114" s="258" t="s">
        <v>2460</v>
      </c>
      <c r="B114" s="263">
        <f>'Dry_Litterbag Placem_Collection'!A115</f>
        <v>113</v>
      </c>
      <c r="C114" s="263" t="str">
        <f>'Dry_Litterbag Placem_Collection'!B115</f>
        <v xml:space="preserve">Mwantimba
</v>
      </c>
      <c r="D114" s="263" t="s">
        <v>2460</v>
      </c>
      <c r="E114" s="263" t="s">
        <v>2660</v>
      </c>
      <c r="F114" s="263">
        <v>3</v>
      </c>
      <c r="G114" s="264" t="str">
        <f>'Dry_Litterbag Placem_Collection'!C115</f>
        <v>Wet_Ag3_T1</v>
      </c>
      <c r="H114" s="265" t="s">
        <v>2541</v>
      </c>
      <c r="I114" s="266" t="s">
        <v>1147</v>
      </c>
      <c r="J114" s="223" t="str">
        <f>'WetLitterbags placem_collection'!K115</f>
        <v>G724</v>
      </c>
      <c r="K114" s="225">
        <f>IFERROR(INDEX('Green_rooibos initial weight'!$C$5:$C$1749,MATCH(J114, 'Green_rooibos initial weight'!$A$5:$A$1749,0)),"")</f>
        <v>2.0289999999999999</v>
      </c>
      <c r="L114" s="225">
        <f>IFERROR(K114-(TBIcalc!$H$9+TBIcalc!$H$10),"")</f>
        <v>1.7791999999999999</v>
      </c>
      <c r="M114" s="391">
        <f>AVERAGE(Ashed_controlls!$K$2:$K$11)</f>
        <v>5.5147656768714146</v>
      </c>
      <c r="N114" s="225">
        <f t="shared" si="7"/>
        <v>1.6810812890771036</v>
      </c>
      <c r="O114" s="225">
        <f>IF(IFERROR(INDEX('Both teabags AfterWet'!$C$3:$C$841,MATCH(J114,'Both teabags AfterWet'!$A$3:$A$841,0)),"")="","",(IFERROR(INDEX('Both teabags AfterWet'!$C$3:$C$841,MATCH(J114,'Both teabags AfterWet'!$A$3:$A$841,0)),"")))</f>
        <v>0.61099999999999999</v>
      </c>
      <c r="P114" s="225">
        <f>IFERROR(IF(O114&gt;0,O114-(TBIcalc!$H$9),""),"")</f>
        <v>0.46039999999999998</v>
      </c>
      <c r="Q114" s="225">
        <f>IFERROR(INDEX('Ashed teabags wet'!$K$2:$K$821,MATCH(J114,'Ashed teabags wet'!$A$2:$A$821,0)),"")</f>
        <v>15.414073719482863</v>
      </c>
      <c r="R114" s="225">
        <f t="shared" si="11"/>
        <v>0.38943360459550092</v>
      </c>
      <c r="S114" s="226">
        <f>'WetLitterbags placem_collection'!E115</f>
        <v>42762</v>
      </c>
      <c r="T114" s="226">
        <f>IF('WetLitterbags placem_collection'!G115="","",'WetLitterbags placem_collection'!G115)</f>
        <v>42816</v>
      </c>
      <c r="U114" s="227">
        <f t="shared" si="8"/>
        <v>54</v>
      </c>
      <c r="V114" s="225">
        <f t="shared" si="9"/>
        <v>1.3188</v>
      </c>
      <c r="W114" s="225">
        <f t="shared" si="10"/>
        <v>1.2916476844816027</v>
      </c>
      <c r="X114">
        <f>IFERROR(INDEX(Rainfall_Wet!$O$2:$O$217,MATCH(B114, Rainfall_Wet!$A$2:$A$217,0)),"")</f>
        <v>206.85140822299999</v>
      </c>
      <c r="Y114" s="231">
        <v>27.96</v>
      </c>
      <c r="Z114" s="231">
        <v>4.9200000000000017</v>
      </c>
      <c r="AA114" s="231">
        <v>67.12</v>
      </c>
      <c r="AB114" s="232" t="s">
        <v>2670</v>
      </c>
      <c r="AC114" s="231">
        <v>0.88610152784622953</v>
      </c>
      <c r="AD114">
        <f>IF('WetLitterbags placem_collection'!AB115="","",'WetLitterbags placem_collection'!AB115)</f>
        <v>26</v>
      </c>
      <c r="AE114">
        <f>IF('WetLitterbags placem_collection'!Z115="","",'WetLitterbags placem_collection'!Z115)</f>
        <v>88.5</v>
      </c>
      <c r="AF114" s="246" t="str">
        <f>IF('WetLitterbags placem_collection'!AA115="","",'WetLitterbags placem_collection'!AA115)</f>
        <v>G</v>
      </c>
      <c r="AG114">
        <f>IF('WetLitterbags placem_collection'!AC115="","",'WetLitterbags placem_collection'!AC115)</f>
        <v>0</v>
      </c>
      <c r="AH114" s="240">
        <f>AVERAGE('WetLitterbags placem_collection'!S115,'WetLitterbags placem_collection'!U115)</f>
        <v>8.6999999999999993</v>
      </c>
      <c r="AI114">
        <f>AVERAGE('WetLitterbags placem_collection'!R115,'WetLitterbags placem_collection'!T115)</f>
        <v>32.4</v>
      </c>
      <c r="AJ114">
        <f>INDEX(Coordinates!$B$2:$B$197,MATCH(G114,Coordinates!$J$2:$J$197,0))</f>
        <v>-2.3487199940000001</v>
      </c>
      <c r="AK114">
        <f>INDEX(Coordinates!$C$2:$C$197,MATCH(G114,Coordinates!$J$2:$J$197,0))</f>
        <v>34.051391029999998</v>
      </c>
      <c r="AL114" t="str">
        <f>IF(ISNUMBER(SEARCH("C", 'WetLitterbags placem_collection'!V115)),"YES","NO")</f>
        <v>YES</v>
      </c>
      <c r="AM114" t="str">
        <f>IF(ISNUMBER(SEARCH("H", 'WetLitterbags placem_collection'!V115)),"YES","NO")</f>
        <v>NO</v>
      </c>
      <c r="AN114" t="str">
        <f>IF(ISNUMBER(SEARCH("R", 'WetLitterbags placem_collection'!V115)),"YES","NO")</f>
        <v>YES</v>
      </c>
    </row>
    <row r="115" spans="1:40" ht="15" customHeight="1">
      <c r="A115" s="258" t="s">
        <v>2460</v>
      </c>
      <c r="B115" s="263">
        <f>'Dry_Litterbag Placem_Collection'!A116</f>
        <v>114</v>
      </c>
      <c r="C115" s="263" t="str">
        <f>'Dry_Litterbag Placem_Collection'!B116</f>
        <v xml:space="preserve">Mwantimba
</v>
      </c>
      <c r="D115" s="263" t="s">
        <v>2460</v>
      </c>
      <c r="E115" s="263" t="s">
        <v>2660</v>
      </c>
      <c r="F115" s="263">
        <v>3</v>
      </c>
      <c r="G115" s="264" t="str">
        <f>'Dry_Litterbag Placem_Collection'!C116</f>
        <v>Wet_Ag3_T2</v>
      </c>
      <c r="H115" s="265" t="s">
        <v>2541</v>
      </c>
      <c r="I115" s="266" t="s">
        <v>1147</v>
      </c>
      <c r="J115" s="223" t="str">
        <f>'WetLitterbags placem_collection'!K116</f>
        <v>G803</v>
      </c>
      <c r="K115" s="225">
        <f>IFERROR(INDEX('Green_rooibos initial weight'!$C$5:$C$1749,MATCH(J115, 'Green_rooibos initial weight'!$A$5:$A$1749,0)),"")</f>
        <v>2.0590000000000002</v>
      </c>
      <c r="L115" s="225">
        <f>IFERROR(K115-(TBIcalc!$H$9+TBIcalc!$H$10),"")</f>
        <v>1.8092000000000001</v>
      </c>
      <c r="M115" s="391">
        <f>AVERAGE(Ashed_controlls!$K$2:$K$11)</f>
        <v>5.5147656768714146</v>
      </c>
      <c r="N115" s="225">
        <f t="shared" si="7"/>
        <v>1.7094268593740425</v>
      </c>
      <c r="O115" s="225">
        <f>IF(IFERROR(INDEX('Both teabags AfterWet'!$C$3:$C$841,MATCH(J115,'Both teabags AfterWet'!$A$3:$A$841,0)),"")="","",(IFERROR(INDEX('Both teabags AfterWet'!$C$3:$C$841,MATCH(J115,'Both teabags AfterWet'!$A$3:$A$841,0)),"")))</f>
        <v>0.64300000000000002</v>
      </c>
      <c r="P115" s="225">
        <f>IFERROR(IF(O115&gt;0,O115-(TBIcalc!$H$9),""),"")</f>
        <v>0.4924</v>
      </c>
      <c r="Q115" s="225">
        <f>IFERROR(INDEX('Ashed teabags wet'!$K$2:$K$821,MATCH(J115,'Ashed teabags wet'!$A$2:$A$821,0)),"")</f>
        <v>21.028971028971405</v>
      </c>
      <c r="R115" s="225">
        <f t="shared" si="11"/>
        <v>0.38885334665334481</v>
      </c>
      <c r="S115" s="226">
        <f>'WetLitterbags placem_collection'!E116</f>
        <v>42762</v>
      </c>
      <c r="T115" s="226">
        <f>IF('WetLitterbags placem_collection'!G116="","",'WetLitterbags placem_collection'!G116)</f>
        <v>42816</v>
      </c>
      <c r="U115" s="227">
        <f t="shared" si="8"/>
        <v>54</v>
      </c>
      <c r="V115" s="225">
        <f t="shared" si="9"/>
        <v>1.3168000000000002</v>
      </c>
      <c r="W115" s="225">
        <f t="shared" si="10"/>
        <v>1.3205735127206977</v>
      </c>
      <c r="X115">
        <f>IFERROR(INDEX(Rainfall_Wet!$O$2:$O$217,MATCH(B115, Rainfall_Wet!$A$2:$A$217,0)),"")</f>
        <v>206.85140822299999</v>
      </c>
      <c r="Y115" s="231">
        <v>27.96</v>
      </c>
      <c r="Z115" s="231">
        <v>4.9200000000000017</v>
      </c>
      <c r="AA115" s="231">
        <v>67.12</v>
      </c>
      <c r="AB115" s="232" t="s">
        <v>2670</v>
      </c>
      <c r="AC115" s="231">
        <v>1.8861015278462301</v>
      </c>
      <c r="AD115">
        <f>IF('WetLitterbags placem_collection'!AB116="","",'WetLitterbags placem_collection'!AB116)</f>
        <v>16.5</v>
      </c>
      <c r="AE115">
        <f>IF('WetLitterbags placem_collection'!Z116="","",'WetLitterbags placem_collection'!Z116)</f>
        <v>87.5</v>
      </c>
      <c r="AF115" s="246" t="str">
        <f>IF('WetLitterbags placem_collection'!AA116="","",'WetLitterbags placem_collection'!AA116)</f>
        <v>G</v>
      </c>
      <c r="AG115">
        <f>IF('WetLitterbags placem_collection'!AC116="","",'WetLitterbags placem_collection'!AC116)</f>
        <v>0</v>
      </c>
      <c r="AH115" s="240">
        <f>AVERAGE('WetLitterbags placem_collection'!S116,'WetLitterbags placem_collection'!U116)</f>
        <v>12.899999999999999</v>
      </c>
      <c r="AI115">
        <f>AVERAGE('WetLitterbags placem_collection'!R116,'WetLitterbags placem_collection'!T116)</f>
        <v>30.450000000000003</v>
      </c>
      <c r="AJ115">
        <f>INDEX(Coordinates!$B$2:$B$197,MATCH(G115,Coordinates!$J$2:$J$197,0))</f>
        <v>-2.348716976</v>
      </c>
      <c r="AK115">
        <f>INDEX(Coordinates!$C$2:$C$197,MATCH(G115,Coordinates!$J$2:$J$197,0))</f>
        <v>34.051484989999999</v>
      </c>
      <c r="AL115" t="str">
        <f>IF(ISNUMBER(SEARCH("C", 'WetLitterbags placem_collection'!V116)),"YES","NO")</f>
        <v>NO</v>
      </c>
      <c r="AM115" t="str">
        <f>IF(ISNUMBER(SEARCH("H", 'WetLitterbags placem_collection'!V116)),"YES","NO")</f>
        <v>YES</v>
      </c>
      <c r="AN115" t="str">
        <f>IF(ISNUMBER(SEARCH("R", 'WetLitterbags placem_collection'!V116)),"YES","NO")</f>
        <v>YES</v>
      </c>
    </row>
    <row r="116" spans="1:40" ht="15" customHeight="1">
      <c r="A116" s="258" t="s">
        <v>2460</v>
      </c>
      <c r="B116" s="263">
        <f>'Dry_Litterbag Placem_Collection'!A117</f>
        <v>115</v>
      </c>
      <c r="C116" s="263" t="str">
        <f>'Dry_Litterbag Placem_Collection'!B117</f>
        <v xml:space="preserve">Mwantimba
</v>
      </c>
      <c r="D116" s="263" t="s">
        <v>2460</v>
      </c>
      <c r="E116" s="263" t="s">
        <v>2660</v>
      </c>
      <c r="F116" s="263">
        <v>3</v>
      </c>
      <c r="G116" s="264" t="str">
        <f>'Dry_Litterbag Placem_Collection'!C117</f>
        <v>Wet_Ag3_T3</v>
      </c>
      <c r="H116" s="265" t="s">
        <v>2541</v>
      </c>
      <c r="I116" s="266" t="s">
        <v>1147</v>
      </c>
      <c r="J116" s="223" t="str">
        <f>'WetLitterbags placem_collection'!K117</f>
        <v>G693</v>
      </c>
      <c r="K116" s="225">
        <f>IFERROR(INDEX('Green_rooibos initial weight'!$C$5:$C$1749,MATCH(J116, 'Green_rooibos initial weight'!$A$5:$A$1749,0)),"")</f>
        <v>2.0710000000000002</v>
      </c>
      <c r="L116" s="225">
        <f>IFERROR(K116-(TBIcalc!$H$9+TBIcalc!$H$10),"")</f>
        <v>1.8212000000000002</v>
      </c>
      <c r="M116" s="391">
        <f>AVERAGE(Ashed_controlls!$K$2:$K$11)</f>
        <v>5.5147656768714146</v>
      </c>
      <c r="N116" s="225">
        <f t="shared" si="7"/>
        <v>1.720765087492818</v>
      </c>
      <c r="O116" s="225">
        <f>IF(IFERROR(INDEX('Both teabags AfterWet'!$C$3:$C$841,MATCH(J116,'Both teabags AfterWet'!$A$3:$A$841,0)),"")="","",(IFERROR(INDEX('Both teabags AfterWet'!$C$3:$C$841,MATCH(J116,'Both teabags AfterWet'!$A$3:$A$841,0)),"")))</f>
        <v>0.63400000000000001</v>
      </c>
      <c r="P116" s="225">
        <f>IFERROR(IF(O116&gt;0,O116-(TBIcalc!$H$9),""),"")</f>
        <v>0.4834</v>
      </c>
      <c r="Q116" s="225">
        <f>IFERROR(INDEX('Ashed teabags wet'!$K$2:$K$821,MATCH(J116,'Ashed teabags wet'!$A$2:$A$821,0)),"")</f>
        <v>16.568993074054781</v>
      </c>
      <c r="R116" s="225">
        <f t="shared" si="11"/>
        <v>0.40330548748001921</v>
      </c>
      <c r="S116" s="226">
        <f>'WetLitterbags placem_collection'!E117</f>
        <v>42762</v>
      </c>
      <c r="T116" s="226">
        <f>IF('WetLitterbags placem_collection'!G117="","",'WetLitterbags placem_collection'!G117)</f>
        <v>42816</v>
      </c>
      <c r="U116" s="227">
        <f t="shared" si="8"/>
        <v>54</v>
      </c>
      <c r="V116" s="225">
        <f t="shared" si="9"/>
        <v>1.3378000000000001</v>
      </c>
      <c r="W116" s="225">
        <f t="shared" si="10"/>
        <v>1.3174596000127987</v>
      </c>
      <c r="X116">
        <f>IFERROR(INDEX(Rainfall_Wet!$O$2:$O$217,MATCH(B116, Rainfall_Wet!$A$2:$A$217,0)),"")</f>
        <v>206.85140822299999</v>
      </c>
      <c r="Y116" s="231">
        <v>27.96</v>
      </c>
      <c r="Z116" s="231">
        <v>4.9200000000000017</v>
      </c>
      <c r="AA116" s="231">
        <v>67.12</v>
      </c>
      <c r="AB116" s="232" t="s">
        <v>2670</v>
      </c>
      <c r="AC116" s="231">
        <v>2.8861015278462299</v>
      </c>
      <c r="AD116">
        <f>IF('WetLitterbags placem_collection'!AB117="","",'WetLitterbags placem_collection'!AB117)</f>
        <v>19</v>
      </c>
      <c r="AE116">
        <f>IF('WetLitterbags placem_collection'!Z117="","",'WetLitterbags placem_collection'!Z117)</f>
        <v>79.5</v>
      </c>
      <c r="AF116" s="246" t="str">
        <f>IF('WetLitterbags placem_collection'!AA117="","",'WetLitterbags placem_collection'!AA117)</f>
        <v>G</v>
      </c>
      <c r="AG116">
        <f>IF('WetLitterbags placem_collection'!AC117="","",'WetLitterbags placem_collection'!AC117)</f>
        <v>1</v>
      </c>
      <c r="AH116" s="240">
        <f>AVERAGE('WetLitterbags placem_collection'!S117,'WetLitterbags placem_collection'!U117)</f>
        <v>9.9499999999999993</v>
      </c>
      <c r="AI116">
        <f>AVERAGE('WetLitterbags placem_collection'!R117,'WetLitterbags placem_collection'!T117)</f>
        <v>31.7</v>
      </c>
      <c r="AJ116">
        <f>INDEX(Coordinates!$B$2:$B$197,MATCH(G116,Coordinates!$J$2:$J$197,0))</f>
        <v>-2.3487800079999999</v>
      </c>
      <c r="AK116">
        <f>INDEX(Coordinates!$C$2:$C$197,MATCH(G116,Coordinates!$J$2:$J$197,0))</f>
        <v>34.051495969999998</v>
      </c>
      <c r="AL116" t="str">
        <f>IF(ISNUMBER(SEARCH("C", 'WetLitterbags placem_collection'!V117)),"YES","NO")</f>
        <v>NO</v>
      </c>
      <c r="AM116" t="str">
        <f>IF(ISNUMBER(SEARCH("H", 'WetLitterbags placem_collection'!V117)),"YES","NO")</f>
        <v>NO</v>
      </c>
      <c r="AN116" t="str">
        <f>IF(ISNUMBER(SEARCH("R", 'WetLitterbags placem_collection'!V117)),"YES","NO")</f>
        <v>YES</v>
      </c>
    </row>
    <row r="117" spans="1:40" ht="15" customHeight="1">
      <c r="A117" s="258" t="s">
        <v>2460</v>
      </c>
      <c r="B117" s="263">
        <f>'Dry_Litterbag Placem_Collection'!A118</f>
        <v>116</v>
      </c>
      <c r="C117" s="263" t="str">
        <f>'Dry_Litterbag Placem_Collection'!B118</f>
        <v xml:space="preserve">Mwantimba
</v>
      </c>
      <c r="D117" s="263" t="s">
        <v>2460</v>
      </c>
      <c r="E117" s="263" t="s">
        <v>2660</v>
      </c>
      <c r="F117" s="263">
        <v>3</v>
      </c>
      <c r="G117" s="264" t="str">
        <f>'Dry_Litterbag Placem_Collection'!C118</f>
        <v>Wet_Ag3_T4</v>
      </c>
      <c r="H117" s="265" t="s">
        <v>2541</v>
      </c>
      <c r="I117" s="266" t="s">
        <v>1147</v>
      </c>
      <c r="J117" s="223" t="str">
        <f>'WetLitterbags placem_collection'!K118</f>
        <v>G897</v>
      </c>
      <c r="K117" s="225">
        <f>IFERROR(INDEX('Green_rooibos initial weight'!$C$5:$C$1749,MATCH(J117, 'Green_rooibos initial weight'!$A$5:$A$1749,0)),"")</f>
        <v>2.0299999999999998</v>
      </c>
      <c r="L117" s="225">
        <f>IFERROR(K117-(TBIcalc!$H$9+TBIcalc!$H$10),"")</f>
        <v>1.7801999999999998</v>
      </c>
      <c r="M117" s="391">
        <f>AVERAGE(Ashed_controlls!$K$2:$K$11)</f>
        <v>5.5147656768714146</v>
      </c>
      <c r="N117" s="225">
        <f t="shared" si="7"/>
        <v>1.6820261414203348</v>
      </c>
      <c r="O117" s="225">
        <f>IF(IFERROR(INDEX('Both teabags AfterWet'!$C$3:$C$841,MATCH(J117,'Both teabags AfterWet'!$A$3:$A$841,0)),"")="","",(IFERROR(INDEX('Both teabags AfterWet'!$C$3:$C$841,MATCH(J117,'Both teabags AfterWet'!$A$3:$A$841,0)),"")))</f>
        <v>0.67869999999999997</v>
      </c>
      <c r="P117" s="225">
        <f>IFERROR(IF(O117&gt;0,O117-(TBIcalc!$H$9),""),"")</f>
        <v>0.52810000000000001</v>
      </c>
      <c r="Q117" s="225">
        <f>IFERROR(INDEX('Ashed teabags wet'!$K$2:$K$821,MATCH(J117,'Ashed teabags wet'!$A$2:$A$821,0)),"")</f>
        <v>16.164658634537794</v>
      </c>
      <c r="R117" s="225">
        <f t="shared" si="11"/>
        <v>0.44273443775100596</v>
      </c>
      <c r="S117" s="226">
        <f>'WetLitterbags placem_collection'!E118</f>
        <v>42762</v>
      </c>
      <c r="T117" s="226">
        <f>IF('WetLitterbags placem_collection'!G118="","",'WetLitterbags placem_collection'!G118)</f>
        <v>42816</v>
      </c>
      <c r="U117" s="227">
        <f t="shared" si="8"/>
        <v>54</v>
      </c>
      <c r="V117" s="225">
        <f t="shared" si="9"/>
        <v>1.2520999999999998</v>
      </c>
      <c r="W117" s="225">
        <f t="shared" si="10"/>
        <v>1.2392917036693287</v>
      </c>
      <c r="X117">
        <f>IFERROR(INDEX(Rainfall_Wet!$O$2:$O$217,MATCH(B117, Rainfall_Wet!$A$2:$A$217,0)),"")</f>
        <v>206.85140822299999</v>
      </c>
      <c r="Y117" s="231">
        <v>27.96</v>
      </c>
      <c r="Z117" s="231">
        <v>4.9200000000000017</v>
      </c>
      <c r="AA117" s="231">
        <v>67.12</v>
      </c>
      <c r="AB117" s="232" t="s">
        <v>2670</v>
      </c>
      <c r="AC117" s="231">
        <v>3.8861015278462299</v>
      </c>
      <c r="AD117">
        <f>IF('WetLitterbags placem_collection'!AB118="","",'WetLitterbags placem_collection'!AB118)</f>
        <v>22.5</v>
      </c>
      <c r="AE117">
        <f>IF('WetLitterbags placem_collection'!Z118="","",'WetLitterbags placem_collection'!Z118)</f>
        <v>76</v>
      </c>
      <c r="AF117" s="246" t="str">
        <f>IF('WetLitterbags placem_collection'!AA118="","",'WetLitterbags placem_collection'!AA118)</f>
        <v>G</v>
      </c>
      <c r="AG117">
        <f>IF('WetLitterbags placem_collection'!AC118="","",'WetLitterbags placem_collection'!AC118)</f>
        <v>1</v>
      </c>
      <c r="AH117" s="240">
        <f>AVERAGE('WetLitterbags placem_collection'!S118,'WetLitterbags placem_collection'!U118)</f>
        <v>8.75</v>
      </c>
      <c r="AI117">
        <f>AVERAGE('WetLitterbags placem_collection'!R118,'WetLitterbags placem_collection'!T118)</f>
        <v>25.6</v>
      </c>
      <c r="AJ117">
        <f>INDEX(Coordinates!$B$2:$B$197,MATCH(G117,Coordinates!$J$2:$J$197,0))</f>
        <v>-2.3488120270000001</v>
      </c>
      <c r="AK117">
        <f>INDEX(Coordinates!$C$2:$C$197,MATCH(G117,Coordinates!$J$2:$J$197,0))</f>
        <v>34.05146697</v>
      </c>
      <c r="AL117" t="str">
        <f>IF(ISNUMBER(SEARCH("C", 'WetLitterbags placem_collection'!V118)),"YES","NO")</f>
        <v>NO</v>
      </c>
      <c r="AM117" t="str">
        <f>IF(ISNUMBER(SEARCH("H", 'WetLitterbags placem_collection'!V118)),"YES","NO")</f>
        <v>NO</v>
      </c>
      <c r="AN117" t="str">
        <f>IF(ISNUMBER(SEARCH("R", 'WetLitterbags placem_collection'!V118)),"YES","NO")</f>
        <v>NO</v>
      </c>
    </row>
    <row r="118" spans="1:40" ht="15" customHeight="1">
      <c r="A118" s="258" t="s">
        <v>2460</v>
      </c>
      <c r="B118" s="263">
        <f>'Dry_Litterbag Placem_Collection'!A119</f>
        <v>117</v>
      </c>
      <c r="C118" s="263" t="str">
        <f>'Dry_Litterbag Placem_Collection'!B119</f>
        <v xml:space="preserve">Mwantimba
</v>
      </c>
      <c r="D118" s="263" t="s">
        <v>2460</v>
      </c>
      <c r="E118" s="263" t="s">
        <v>2660</v>
      </c>
      <c r="F118" s="263">
        <v>3</v>
      </c>
      <c r="G118" s="264" t="str">
        <f>'Dry_Litterbag Placem_Collection'!C119</f>
        <v>Wet_Ag3_T5</v>
      </c>
      <c r="H118" s="265" t="s">
        <v>2541</v>
      </c>
      <c r="I118" s="266" t="s">
        <v>1147</v>
      </c>
      <c r="J118" s="223" t="str">
        <f>'WetLitterbags placem_collection'!K119</f>
        <v>G789</v>
      </c>
      <c r="K118" s="225">
        <f>IFERROR(INDEX('Green_rooibos initial weight'!$C$5:$C$1749,MATCH(J118, 'Green_rooibos initial weight'!$A$5:$A$1749,0)),"")</f>
        <v>2.109</v>
      </c>
      <c r="L118" s="225">
        <f>IFERROR(K118-(TBIcalc!$H$9+TBIcalc!$H$10),"")</f>
        <v>1.8592</v>
      </c>
      <c r="M118" s="391">
        <f>AVERAGE(Ashed_controlls!$K$2:$K$11)</f>
        <v>5.5147656768714146</v>
      </c>
      <c r="N118" s="225">
        <f t="shared" si="7"/>
        <v>1.7566694765356066</v>
      </c>
      <c r="O118" s="225">
        <f>IF(IFERROR(INDEX('Both teabags AfterWet'!$C$3:$C$841,MATCH(J118,'Both teabags AfterWet'!$A$3:$A$841,0)),"")="","",(IFERROR(INDEX('Both teabags AfterWet'!$C$3:$C$841,MATCH(J118,'Both teabags AfterWet'!$A$3:$A$841,0)),"")))</f>
        <v>0.79800000000000004</v>
      </c>
      <c r="P118" s="225">
        <f>IFERROR(IF(O118&gt;0,O118-(TBIcalc!$H$9),""),"")</f>
        <v>0.64739999999999998</v>
      </c>
      <c r="Q118" s="225">
        <f>IFERROR(INDEX('Ashed teabags wet'!$K$2:$K$821,MATCH(J118,'Ashed teabags wet'!$A$2:$A$821,0)),"")</f>
        <v>28.215353938185377</v>
      </c>
      <c r="R118" s="225">
        <f t="shared" si="11"/>
        <v>0.46473379860418784</v>
      </c>
      <c r="S118" s="226">
        <f>'WetLitterbags placem_collection'!E119</f>
        <v>42762</v>
      </c>
      <c r="T118" s="226">
        <f>IF('WetLitterbags placem_collection'!G119="","",'WetLitterbags placem_collection'!G119)</f>
        <v>42816</v>
      </c>
      <c r="U118" s="227">
        <f t="shared" si="8"/>
        <v>54</v>
      </c>
      <c r="V118" s="225">
        <f t="shared" si="9"/>
        <v>1.2118</v>
      </c>
      <c r="W118" s="225">
        <f t="shared" si="10"/>
        <v>1.2919356779314186</v>
      </c>
      <c r="X118">
        <f>IFERROR(INDEX(Rainfall_Wet!$O$2:$O$217,MATCH(B118, Rainfall_Wet!$A$2:$A$217,0)),"")</f>
        <v>206.85140822299999</v>
      </c>
      <c r="Y118" s="231">
        <v>27.96</v>
      </c>
      <c r="Z118" s="231">
        <v>4.9200000000000017</v>
      </c>
      <c r="AA118" s="231">
        <v>67.12</v>
      </c>
      <c r="AB118" s="232" t="s">
        <v>2670</v>
      </c>
      <c r="AC118" s="231">
        <v>4.8861015278462299</v>
      </c>
      <c r="AD118">
        <f>IF('WetLitterbags placem_collection'!AB119="","",'WetLitterbags placem_collection'!AB119)</f>
        <v>23.5</v>
      </c>
      <c r="AE118">
        <f>IF('WetLitterbags placem_collection'!Z119="","",'WetLitterbags placem_collection'!Z119)</f>
        <v>76</v>
      </c>
      <c r="AF118" s="246" t="str">
        <f>IF('WetLitterbags placem_collection'!AA119="","",'WetLitterbags placem_collection'!AA119)</f>
        <v>G</v>
      </c>
      <c r="AG118">
        <f>IF('WetLitterbags placem_collection'!AC119="","",'WetLitterbags placem_collection'!AC119)</f>
        <v>1</v>
      </c>
      <c r="AH118" s="240">
        <f>AVERAGE('WetLitterbags placem_collection'!S119,'WetLitterbags placem_collection'!U119)</f>
        <v>5.6999999999999993</v>
      </c>
      <c r="AI118">
        <f>AVERAGE('WetLitterbags placem_collection'!R119,'WetLitterbags placem_collection'!T119)</f>
        <v>31.75</v>
      </c>
      <c r="AJ118">
        <f>INDEX(Coordinates!$B$2:$B$197,MATCH(G118,Coordinates!$J$2:$J$197,0))</f>
        <v>-2.348814961</v>
      </c>
      <c r="AK118">
        <f>INDEX(Coordinates!$C$2:$C$197,MATCH(G118,Coordinates!$J$2:$J$197,0))</f>
        <v>34.051439979999998</v>
      </c>
      <c r="AL118" t="str">
        <f>IF(ISNUMBER(SEARCH("C", 'WetLitterbags placem_collection'!V119)),"YES","NO")</f>
        <v>NO</v>
      </c>
      <c r="AM118" t="str">
        <f>IF(ISNUMBER(SEARCH("H", 'WetLitterbags placem_collection'!V119)),"YES","NO")</f>
        <v>YES</v>
      </c>
      <c r="AN118" t="str">
        <f>IF(ISNUMBER(SEARCH("R", 'WetLitterbags placem_collection'!V119)),"YES","NO")</f>
        <v>YES</v>
      </c>
    </row>
    <row r="119" spans="1:40" ht="15" customHeight="1">
      <c r="A119" s="258" t="s">
        <v>2460</v>
      </c>
      <c r="B119" s="263">
        <f>'Dry_Litterbag Placem_Collection'!A120</f>
        <v>118</v>
      </c>
      <c r="C119" s="263" t="str">
        <f>'Dry_Litterbag Placem_Collection'!B120</f>
        <v xml:space="preserve">Mwantimba
</v>
      </c>
      <c r="D119" s="263" t="s">
        <v>2460</v>
      </c>
      <c r="E119" s="263" t="s">
        <v>2660</v>
      </c>
      <c r="F119" s="263">
        <v>3</v>
      </c>
      <c r="G119" s="264" t="str">
        <f>'Dry_Litterbag Placem_Collection'!C120</f>
        <v>Wet_Ag3_T6</v>
      </c>
      <c r="H119" s="265" t="s">
        <v>2541</v>
      </c>
      <c r="I119" s="266" t="s">
        <v>1147</v>
      </c>
      <c r="J119" s="223" t="str">
        <f>'WetLitterbags placem_collection'!K120</f>
        <v>G681</v>
      </c>
      <c r="K119" s="225">
        <f>IFERROR(INDEX('Green_rooibos initial weight'!$C$5:$C$1749,MATCH(J119, 'Green_rooibos initial weight'!$A$5:$A$1749,0)),"")</f>
        <v>2.0790000000000002</v>
      </c>
      <c r="L119" s="225">
        <f>IFERROR(K119-(TBIcalc!$H$9+TBIcalc!$H$10),"")</f>
        <v>1.8292000000000002</v>
      </c>
      <c r="M119" s="391">
        <f>AVERAGE(Ashed_controlls!$K$2:$K$11)</f>
        <v>5.5147656768714146</v>
      </c>
      <c r="N119" s="225">
        <f t="shared" si="7"/>
        <v>1.7283239062386682</v>
      </c>
      <c r="O119" s="225">
        <f>IF(IFERROR(INDEX('Both teabags AfterWet'!$C$3:$C$841,MATCH(J119,'Both teabags AfterWet'!$A$3:$A$841,0)),"")="","",(IFERROR(INDEX('Both teabags AfterWet'!$C$3:$C$841,MATCH(J119,'Both teabags AfterWet'!$A$3:$A$841,0)),"")))</f>
        <v>0.56799999999999995</v>
      </c>
      <c r="P119" s="225">
        <f>IFERROR(IF(O119&gt;0,O119-(TBIcalc!$H$9),""),"")</f>
        <v>0.41739999999999994</v>
      </c>
      <c r="Q119" s="225">
        <f>IFERROR(INDEX('Ashed teabags wet'!$K$2:$K$821,MATCH(J119,'Ashed teabags wet'!$A$2:$A$821,0)),"")</f>
        <v>15.039447731755478</v>
      </c>
      <c r="R119" s="225">
        <f t="shared" si="11"/>
        <v>0.35462534516765259</v>
      </c>
      <c r="S119" s="226">
        <f>'WetLitterbags placem_collection'!E120</f>
        <v>42762</v>
      </c>
      <c r="T119" s="226">
        <f>IF('WetLitterbags placem_collection'!G120="","",'WetLitterbags placem_collection'!G120)</f>
        <v>42816</v>
      </c>
      <c r="U119" s="227">
        <f t="shared" si="8"/>
        <v>54</v>
      </c>
      <c r="V119" s="225">
        <f t="shared" si="9"/>
        <v>1.4118000000000002</v>
      </c>
      <c r="W119" s="225">
        <f t="shared" si="10"/>
        <v>1.3736985610710155</v>
      </c>
      <c r="X119">
        <f>IFERROR(INDEX(Rainfall_Wet!$O$2:$O$217,MATCH(B119, Rainfall_Wet!$A$2:$A$217,0)),"")</f>
        <v>206.85140822299999</v>
      </c>
      <c r="Y119" s="231">
        <v>27.96</v>
      </c>
      <c r="Z119" s="231">
        <v>4.9200000000000017</v>
      </c>
      <c r="AA119" s="231">
        <v>67.12</v>
      </c>
      <c r="AB119" s="232" t="s">
        <v>2670</v>
      </c>
      <c r="AC119" s="231">
        <v>5.8861015278462299</v>
      </c>
      <c r="AD119">
        <f>IF('WetLitterbags placem_collection'!AB120="","",'WetLitterbags placem_collection'!AB120)</f>
        <v>17.5</v>
      </c>
      <c r="AE119">
        <f>IF('WetLitterbags placem_collection'!Z120="","",'WetLitterbags placem_collection'!Z120)</f>
        <v>70.5</v>
      </c>
      <c r="AF119" s="246" t="str">
        <f>IF('WetLitterbags placem_collection'!AA120="","",'WetLitterbags placem_collection'!AA120)</f>
        <v>G</v>
      </c>
      <c r="AG119">
        <f>IF('WetLitterbags placem_collection'!AC120="","",'WetLitterbags placem_collection'!AC120)</f>
        <v>1</v>
      </c>
      <c r="AH119" s="240">
        <f>AVERAGE('WetLitterbags placem_collection'!S120,'WetLitterbags placem_collection'!U120)</f>
        <v>10.7</v>
      </c>
      <c r="AI119">
        <f>AVERAGE('WetLitterbags placem_collection'!R120,'WetLitterbags placem_collection'!T120)</f>
        <v>30.85</v>
      </c>
      <c r="AJ119">
        <f>INDEX(Coordinates!$B$2:$B$197,MATCH(G119,Coordinates!$J$2:$J$197,0))</f>
        <v>-2.3488729629999998</v>
      </c>
      <c r="AK119">
        <f>INDEX(Coordinates!$C$2:$C$197,MATCH(G119,Coordinates!$J$2:$J$197,0))</f>
        <v>34.051454980000003</v>
      </c>
      <c r="AL119" t="str">
        <f>IF(ISNUMBER(SEARCH("C", 'WetLitterbags placem_collection'!V120)),"YES","NO")</f>
        <v>YES</v>
      </c>
      <c r="AM119" t="str">
        <f>IF(ISNUMBER(SEARCH("H", 'WetLitterbags placem_collection'!V120)),"YES","NO")</f>
        <v>YES</v>
      </c>
      <c r="AN119" t="str">
        <f>IF(ISNUMBER(SEARCH("R", 'WetLitterbags placem_collection'!V120)),"YES","NO")</f>
        <v>YES</v>
      </c>
    </row>
    <row r="120" spans="1:40" ht="15" customHeight="1">
      <c r="A120" s="258" t="s">
        <v>2460</v>
      </c>
      <c r="B120" s="263">
        <f>'Dry_Litterbag Placem_Collection'!A121</f>
        <v>119</v>
      </c>
      <c r="C120" s="263" t="str">
        <f>'Dry_Litterbag Placem_Collection'!B121</f>
        <v xml:space="preserve">Mwantimba
</v>
      </c>
      <c r="D120" s="263" t="s">
        <v>2460</v>
      </c>
      <c r="E120" s="263" t="s">
        <v>2660</v>
      </c>
      <c r="F120" s="263">
        <v>3</v>
      </c>
      <c r="G120" s="264" t="str">
        <f>'Dry_Litterbag Placem_Collection'!C121</f>
        <v>Wet_Ag3_T7</v>
      </c>
      <c r="H120" s="265" t="s">
        <v>2541</v>
      </c>
      <c r="I120" s="266" t="s">
        <v>1147</v>
      </c>
      <c r="J120" s="223" t="str">
        <f>'WetLitterbags placem_collection'!K121</f>
        <v>G657</v>
      </c>
      <c r="K120" s="225">
        <f>IFERROR(INDEX('Green_rooibos initial weight'!$C$5:$C$1749,MATCH(J120, 'Green_rooibos initial weight'!$A$5:$A$1749,0)),"")</f>
        <v>1.9910000000000001</v>
      </c>
      <c r="L120" s="225">
        <f>IFERROR(K120-(TBIcalc!$H$9+TBIcalc!$H$10),"")</f>
        <v>1.7412000000000001</v>
      </c>
      <c r="M120" s="391">
        <f>AVERAGE(Ashed_controlls!$K$2:$K$11)</f>
        <v>5.5147656768714146</v>
      </c>
      <c r="N120" s="225">
        <f t="shared" si="7"/>
        <v>1.645176900034315</v>
      </c>
      <c r="O120" s="225">
        <f>IF(IFERROR(INDEX('Both teabags AfterWet'!$C$3:$C$841,MATCH(J120,'Both teabags AfterWet'!$A$3:$A$841,0)),"")="","",(IFERROR(INDEX('Both teabags AfterWet'!$C$3:$C$841,MATCH(J120,'Both teabags AfterWet'!$A$3:$A$841,0)),"")))</f>
        <v>0.70099999999999996</v>
      </c>
      <c r="P120" s="225">
        <f>IFERROR(IF(O120&gt;0,O120-(TBIcalc!$H$9),""),"")</f>
        <v>0.5504</v>
      </c>
      <c r="Q120" s="225">
        <f>IFERROR(INDEX('Ashed teabags wet'!$K$2:$K$821,MATCH(J120,'Ashed teabags wet'!$A$2:$A$821,0)),"")</f>
        <v>15.711556829035821</v>
      </c>
      <c r="R120" s="225">
        <f t="shared" si="11"/>
        <v>0.46392359121298682</v>
      </c>
      <c r="S120" s="226">
        <f>'WetLitterbags placem_collection'!E121</f>
        <v>42762</v>
      </c>
      <c r="T120" s="226">
        <f>IF('WetLitterbags placem_collection'!G121="","",'WetLitterbags placem_collection'!G121)</f>
        <v>42816</v>
      </c>
      <c r="U120" s="227">
        <f t="shared" si="8"/>
        <v>54</v>
      </c>
      <c r="V120" s="225">
        <f t="shared" si="9"/>
        <v>1.1908000000000001</v>
      </c>
      <c r="W120" s="225">
        <f t="shared" si="10"/>
        <v>1.1812533088213282</v>
      </c>
      <c r="X120">
        <f>IFERROR(INDEX(Rainfall_Wet!$O$2:$O$217,MATCH(B120, Rainfall_Wet!$A$2:$A$217,0)),"")</f>
        <v>206.85140822299999</v>
      </c>
      <c r="Y120" s="231">
        <v>27.96</v>
      </c>
      <c r="Z120" s="231">
        <v>4.9200000000000017</v>
      </c>
      <c r="AA120" s="231">
        <v>67.12</v>
      </c>
      <c r="AB120" s="232" t="s">
        <v>2670</v>
      </c>
      <c r="AC120" s="231">
        <v>6.8861015278462299</v>
      </c>
      <c r="AD120">
        <f>IF('WetLitterbags placem_collection'!AB121="","",'WetLitterbags placem_collection'!AB121)</f>
        <v>18.5</v>
      </c>
      <c r="AE120">
        <f>IF('WetLitterbags placem_collection'!Z121="","",'WetLitterbags placem_collection'!Z121)</f>
        <v>74.5</v>
      </c>
      <c r="AF120" s="246" t="str">
        <f>IF('WetLitterbags placem_collection'!AA121="","",'WetLitterbags placem_collection'!AA121)</f>
        <v>G</v>
      </c>
      <c r="AG120">
        <f>IF('WetLitterbags placem_collection'!AC121="","",'WetLitterbags placem_collection'!AC121)</f>
        <v>1</v>
      </c>
      <c r="AH120" s="240">
        <f>AVERAGE('WetLitterbags placem_collection'!S121,'WetLitterbags placem_collection'!U121)</f>
        <v>11.05</v>
      </c>
      <c r="AI120">
        <f>AVERAGE('WetLitterbags placem_collection'!R121,'WetLitterbags placem_collection'!T121)</f>
        <v>30.450000000000003</v>
      </c>
      <c r="AJ120">
        <f>INDEX(Coordinates!$B$2:$B$197,MATCH(G120,Coordinates!$J$2:$J$197,0))</f>
        <v>-2.3488589659999999</v>
      </c>
      <c r="AK120">
        <f>INDEX(Coordinates!$C$2:$C$197,MATCH(G120,Coordinates!$J$2:$J$197,0))</f>
        <v>34.051389010000001</v>
      </c>
      <c r="AL120" t="str">
        <f>IF(ISNUMBER(SEARCH("C", 'WetLitterbags placem_collection'!V121)),"YES","NO")</f>
        <v>NO</v>
      </c>
      <c r="AM120" t="str">
        <f>IF(ISNUMBER(SEARCH("H", 'WetLitterbags placem_collection'!V121)),"YES","NO")</f>
        <v>NO</v>
      </c>
      <c r="AN120" t="str">
        <f>IF(ISNUMBER(SEARCH("R", 'WetLitterbags placem_collection'!V121)),"YES","NO")</f>
        <v>YES</v>
      </c>
    </row>
    <row r="121" spans="1:40" ht="15" customHeight="1">
      <c r="A121" s="258" t="s">
        <v>2460</v>
      </c>
      <c r="B121" s="263">
        <f>'Dry_Litterbag Placem_Collection'!A122</f>
        <v>120</v>
      </c>
      <c r="C121" s="263" t="str">
        <f>'Dry_Litterbag Placem_Collection'!B122</f>
        <v xml:space="preserve">Mwantimba
</v>
      </c>
      <c r="D121" s="263" t="s">
        <v>2460</v>
      </c>
      <c r="E121" s="263" t="s">
        <v>2660</v>
      </c>
      <c r="F121" s="263">
        <v>3</v>
      </c>
      <c r="G121" s="264" t="str">
        <f>'Dry_Litterbag Placem_Collection'!C122</f>
        <v>Wet_Ag3_T8</v>
      </c>
      <c r="H121" s="265" t="s">
        <v>2541</v>
      </c>
      <c r="I121" s="266" t="s">
        <v>1147</v>
      </c>
      <c r="J121" s="223" t="str">
        <f>'WetLitterbags placem_collection'!K122</f>
        <v>G758</v>
      </c>
      <c r="K121" s="225">
        <f>IFERROR(INDEX('Green_rooibos initial weight'!$C$5:$C$1749,MATCH(J121, 'Green_rooibos initial weight'!$A$5:$A$1749,0)),"")</f>
        <v>2.0310000000000001</v>
      </c>
      <c r="L121" s="225">
        <f>IFERROR(K121-(TBIcalc!$H$9+TBIcalc!$H$10),"")</f>
        <v>1.7812000000000001</v>
      </c>
      <c r="M121" s="391">
        <f>AVERAGE(Ashed_controlls!$K$2:$K$11)</f>
        <v>5.5147656768714146</v>
      </c>
      <c r="N121" s="225">
        <f t="shared" si="7"/>
        <v>1.6829709937635664</v>
      </c>
      <c r="O121" s="225">
        <f>IF(IFERROR(INDEX('Both teabags AfterWet'!$C$3:$C$841,MATCH(J121,'Both teabags AfterWet'!$A$3:$A$841,0)),"")="","",(IFERROR(INDEX('Both teabags AfterWet'!$C$3:$C$841,MATCH(J121,'Both teabags AfterWet'!$A$3:$A$841,0)),"")))</f>
        <v>0.67110000000000003</v>
      </c>
      <c r="P121" s="225">
        <f>IFERROR(IF(O121&gt;0,O121-(TBIcalc!$H$9),""),"")</f>
        <v>0.52049999999999996</v>
      </c>
      <c r="Q121" s="225">
        <f>IFERROR(INDEX('Ashed teabags wet'!$K$2:$K$821,MATCH(J121,'Ashed teabags wet'!$A$2:$A$821,0)),"")</f>
        <v>20.466444550213541</v>
      </c>
      <c r="R121" s="225">
        <f t="shared" si="11"/>
        <v>0.41397215611613847</v>
      </c>
      <c r="S121" s="226">
        <f>'WetLitterbags placem_collection'!E122</f>
        <v>42762</v>
      </c>
      <c r="T121" s="226">
        <f>IF('WetLitterbags placem_collection'!G122="","",'WetLitterbags placem_collection'!G122)</f>
        <v>42816</v>
      </c>
      <c r="U121" s="227">
        <f t="shared" si="8"/>
        <v>54</v>
      </c>
      <c r="V121" s="225">
        <f t="shared" si="9"/>
        <v>1.2607000000000002</v>
      </c>
      <c r="W121" s="225">
        <f t="shared" si="10"/>
        <v>1.2689988376474279</v>
      </c>
      <c r="X121">
        <f>IFERROR(INDEX(Rainfall_Wet!$O$2:$O$217,MATCH(B121, Rainfall_Wet!$A$2:$A$217,0)),"")</f>
        <v>206.85140822299999</v>
      </c>
      <c r="Y121" s="231">
        <v>27.96</v>
      </c>
      <c r="Z121" s="231">
        <v>4.9200000000000017</v>
      </c>
      <c r="AA121" s="231">
        <v>67.12</v>
      </c>
      <c r="AB121" s="232" t="s">
        <v>2670</v>
      </c>
      <c r="AC121" s="231">
        <v>7.8861015278462299</v>
      </c>
      <c r="AD121">
        <f>IF('WetLitterbags placem_collection'!AB122="","",'WetLitterbags placem_collection'!AB122)</f>
        <v>19</v>
      </c>
      <c r="AE121">
        <f>IF('WetLitterbags placem_collection'!Z122="","",'WetLitterbags placem_collection'!Z122)</f>
        <v>98.5</v>
      </c>
      <c r="AF121" s="246" t="str">
        <f>IF('WetLitterbags placem_collection'!AA122="","",'WetLitterbags placem_collection'!AA122)</f>
        <v>G</v>
      </c>
      <c r="AG121">
        <f>IF('WetLitterbags placem_collection'!AC122="","",'WetLitterbags placem_collection'!AC122)</f>
        <v>0</v>
      </c>
      <c r="AH121" s="240">
        <f>AVERAGE('WetLitterbags placem_collection'!S122,'WetLitterbags placem_collection'!U122)</f>
        <v>14.95</v>
      </c>
      <c r="AI121">
        <f>AVERAGE('WetLitterbags placem_collection'!R122,'WetLitterbags placem_collection'!T122)</f>
        <v>30.299999999999997</v>
      </c>
      <c r="AJ121">
        <f>INDEX(Coordinates!$B$2:$B$197,MATCH(G121,Coordinates!$J$2:$J$197,0))</f>
        <v>-2.3486449760000001</v>
      </c>
      <c r="AK121">
        <f>INDEX(Coordinates!$C$2:$C$197,MATCH(G121,Coordinates!$J$2:$J$197,0))</f>
        <v>34.051495969999998</v>
      </c>
      <c r="AL121" t="str">
        <f>IF(ISNUMBER(SEARCH("C", 'WetLitterbags placem_collection'!V122)),"YES","NO")</f>
        <v>NO</v>
      </c>
      <c r="AM121" t="str">
        <f>IF(ISNUMBER(SEARCH("H", 'WetLitterbags placem_collection'!V122)),"YES","NO")</f>
        <v>YES</v>
      </c>
      <c r="AN121" t="str">
        <f>IF(ISNUMBER(SEARCH("R", 'WetLitterbags placem_collection'!V122)),"YES","NO")</f>
        <v>NO</v>
      </c>
    </row>
    <row r="122" spans="1:40" ht="15" customHeight="1">
      <c r="A122" s="258" t="s">
        <v>2460</v>
      </c>
      <c r="B122" s="263">
        <f>'Dry_Litterbag Placem_Collection'!A123</f>
        <v>121</v>
      </c>
      <c r="C122" s="263" t="str">
        <f>'Dry_Litterbag Placem_Collection'!B123</f>
        <v xml:space="preserve">Mwantimba
</v>
      </c>
      <c r="D122" s="263" t="s">
        <v>2460</v>
      </c>
      <c r="E122" s="263" t="s">
        <v>2660</v>
      </c>
      <c r="F122" s="263">
        <v>4</v>
      </c>
      <c r="G122" s="264" t="str">
        <f>'Dry_Litterbag Placem_Collection'!C123</f>
        <v>Wet_Ag4_T1</v>
      </c>
      <c r="H122" s="265" t="s">
        <v>2541</v>
      </c>
      <c r="I122" s="266" t="s">
        <v>1147</v>
      </c>
      <c r="J122" s="223" t="str">
        <f>'WetLitterbags placem_collection'!K123</f>
        <v>G666</v>
      </c>
      <c r="K122" s="225">
        <f>IFERROR(INDEX('Green_rooibos initial weight'!$C$5:$C$1749,MATCH(J122, 'Green_rooibos initial weight'!$A$5:$A$1749,0)),"")</f>
        <v>2.0819999999999999</v>
      </c>
      <c r="L122" s="225">
        <f>IFERROR(K122-(TBIcalc!$H$9+TBIcalc!$H$10),"")</f>
        <v>1.8321999999999998</v>
      </c>
      <c r="M122" s="391">
        <f>AVERAGE(Ashed_controlls!$K$2:$K$11)</f>
        <v>5.5147656768714146</v>
      </c>
      <c r="N122" s="225">
        <f t="shared" si="7"/>
        <v>1.7311584632683619</v>
      </c>
      <c r="O122" s="225">
        <f>IF(IFERROR(INDEX('Both teabags AfterWet'!$C$3:$C$841,MATCH(J122,'Both teabags AfterWet'!$A$3:$A$841,0)),"")="","",(IFERROR(INDEX('Both teabags AfterWet'!$C$3:$C$841,MATCH(J122,'Both teabags AfterWet'!$A$3:$A$841,0)),"")))</f>
        <v>0.63500000000000001</v>
      </c>
      <c r="P122" s="225">
        <f>IFERROR(IF(O122&gt;0,O122-(TBIcalc!$H$9),""),"")</f>
        <v>0.4844</v>
      </c>
      <c r="Q122" s="225">
        <f>IFERROR(INDEX('Ashed teabags wet'!$K$2:$K$821,MATCH(J122,'Ashed teabags wet'!$A$2:$A$821,0)),"")</f>
        <v>11.971153846154037</v>
      </c>
      <c r="R122" s="225">
        <f t="shared" si="11"/>
        <v>0.42641173076922984</v>
      </c>
      <c r="S122" s="226">
        <f>'WetLitterbags placem_collection'!E123</f>
        <v>42762</v>
      </c>
      <c r="T122" s="226">
        <f>IF('WetLitterbags placem_collection'!G123="","",'WetLitterbags placem_collection'!G123)</f>
        <v>42816</v>
      </c>
      <c r="U122" s="227">
        <f t="shared" si="8"/>
        <v>54</v>
      </c>
      <c r="V122" s="225">
        <f t="shared" si="9"/>
        <v>1.3477999999999999</v>
      </c>
      <c r="W122" s="225">
        <f t="shared" si="10"/>
        <v>1.304746732499132</v>
      </c>
      <c r="X122">
        <f>IFERROR(INDEX(Rainfall_Wet!$O$2:$O$217,MATCH(B122, Rainfall_Wet!$A$2:$A$217,0)),"")</f>
        <v>206.85140822299999</v>
      </c>
      <c r="Y122" s="231">
        <v>17.96</v>
      </c>
      <c r="Z122" s="231">
        <v>4.9199999999999982</v>
      </c>
      <c r="AA122" s="231">
        <v>77.12</v>
      </c>
      <c r="AB122" s="232" t="s">
        <v>2671</v>
      </c>
      <c r="AC122" s="231">
        <v>2.0220798422868409</v>
      </c>
      <c r="AD122">
        <f>IF('WetLitterbags placem_collection'!AB123="","",'WetLitterbags placem_collection'!AB123)</f>
        <v>9.65</v>
      </c>
      <c r="AE122">
        <f>IF('WetLitterbags placem_collection'!Z123="","",'WetLitterbags placem_collection'!Z123)</f>
        <v>63</v>
      </c>
      <c r="AF122" s="246" t="str">
        <f>IF('WetLitterbags placem_collection'!AA123="","",'WetLitterbags placem_collection'!AA123)</f>
        <v>G</v>
      </c>
      <c r="AG122">
        <f>IF('WetLitterbags placem_collection'!AC123="","",'WetLitterbags placem_collection'!AC123)</f>
        <v>0</v>
      </c>
      <c r="AH122" s="240">
        <f>AVERAGE('WetLitterbags placem_collection'!S123,'WetLitterbags placem_collection'!U123)</f>
        <v>9.5500000000000007</v>
      </c>
      <c r="AI122">
        <f>AVERAGE('WetLitterbags placem_collection'!R123,'WetLitterbags placem_collection'!T123)</f>
        <v>30.75</v>
      </c>
      <c r="AJ122">
        <f>INDEX(Coordinates!$B$2:$B$197,MATCH(G122,Coordinates!$J$2:$J$197,0))</f>
        <v>-2.3492639789999998</v>
      </c>
      <c r="AK122">
        <f>INDEX(Coordinates!$C$2:$C$197,MATCH(G122,Coordinates!$J$2:$J$197,0))</f>
        <v>34.051464029999998</v>
      </c>
      <c r="AL122" t="str">
        <f>IF(ISNUMBER(SEARCH("C", 'WetLitterbags placem_collection'!V123)),"YES","NO")</f>
        <v>NO</v>
      </c>
      <c r="AM122" t="str">
        <f>IF(ISNUMBER(SEARCH("H", 'WetLitterbags placem_collection'!V123)),"YES","NO")</f>
        <v>NO</v>
      </c>
      <c r="AN122" t="str">
        <f>IF(ISNUMBER(SEARCH("R", 'WetLitterbags placem_collection'!V123)),"YES","NO")</f>
        <v>YES</v>
      </c>
    </row>
    <row r="123" spans="1:40" ht="15" customHeight="1">
      <c r="A123" s="258" t="s">
        <v>2460</v>
      </c>
      <c r="B123" s="263">
        <f>'Dry_Litterbag Placem_Collection'!A124</f>
        <v>122</v>
      </c>
      <c r="C123" s="263" t="str">
        <f>'Dry_Litterbag Placem_Collection'!B124</f>
        <v xml:space="preserve">Mwantimba
</v>
      </c>
      <c r="D123" s="263" t="s">
        <v>2460</v>
      </c>
      <c r="E123" s="263" t="s">
        <v>2660</v>
      </c>
      <c r="F123" s="263">
        <v>4</v>
      </c>
      <c r="G123" s="264" t="str">
        <f>'Dry_Litterbag Placem_Collection'!C124</f>
        <v>Wet_Ag4_T2</v>
      </c>
      <c r="H123" s="265" t="s">
        <v>2541</v>
      </c>
      <c r="I123" s="266" t="s">
        <v>1147</v>
      </c>
      <c r="J123" s="223" t="str">
        <f>'WetLitterbags placem_collection'!K124</f>
        <v>G860</v>
      </c>
      <c r="K123" s="225">
        <f>IFERROR(INDEX('Green_rooibos initial weight'!$C$5:$C$1749,MATCH(J123, 'Green_rooibos initial weight'!$A$5:$A$1749,0)),"")</f>
        <v>1.9570000000000001</v>
      </c>
      <c r="L123" s="225">
        <f>IFERROR(K123-(TBIcalc!$H$9+TBIcalc!$H$10),"")</f>
        <v>1.7072000000000001</v>
      </c>
      <c r="M123" s="391">
        <f>AVERAGE(Ashed_controlls!$K$2:$K$11)</f>
        <v>5.5147656768714146</v>
      </c>
      <c r="N123" s="225">
        <f t="shared" si="7"/>
        <v>1.6130519203644513</v>
      </c>
      <c r="O123" s="225">
        <f>IF(IFERROR(INDEX('Both teabags AfterWet'!$C$3:$C$841,MATCH(J123,'Both teabags AfterWet'!$A$3:$A$841,0)),"")="","",(IFERROR(INDEX('Both teabags AfterWet'!$C$3:$C$841,MATCH(J123,'Both teabags AfterWet'!$A$3:$A$841,0)),"")))</f>
        <v>0.76800000000000002</v>
      </c>
      <c r="P123" s="225">
        <f>IFERROR(IF(O123&gt;0,O123-(TBIcalc!$H$9),""),"")</f>
        <v>0.61739999999999995</v>
      </c>
      <c r="Q123" s="225">
        <f>IFERROR(INDEX('Ashed teabags wet'!$K$2:$K$821,MATCH(J123,'Ashed teabags wet'!$A$2:$A$821,0)),"")</f>
        <v>32.606541129831015</v>
      </c>
      <c r="R123" s="225">
        <f t="shared" si="11"/>
        <v>0.41608721506442325</v>
      </c>
      <c r="S123" s="226">
        <f>'WetLitterbags placem_collection'!E124</f>
        <v>42762</v>
      </c>
      <c r="T123" s="226">
        <f>IF('WetLitterbags placem_collection'!G124="","",'WetLitterbags placem_collection'!G124)</f>
        <v>42816</v>
      </c>
      <c r="U123" s="227">
        <f t="shared" si="8"/>
        <v>54</v>
      </c>
      <c r="V123" s="225">
        <f t="shared" si="9"/>
        <v>1.0898000000000001</v>
      </c>
      <c r="W123" s="225">
        <f t="shared" si="10"/>
        <v>1.1969647053000281</v>
      </c>
      <c r="X123">
        <f>IFERROR(INDEX(Rainfall_Wet!$O$2:$O$217,MATCH(B123, Rainfall_Wet!$A$2:$A$217,0)),"")</f>
        <v>206.85140822299999</v>
      </c>
      <c r="Y123" s="231">
        <v>17.96</v>
      </c>
      <c r="Z123" s="231">
        <v>4.9199999999999982</v>
      </c>
      <c r="AA123" s="231">
        <v>77.12</v>
      </c>
      <c r="AB123" s="232" t="s">
        <v>2671</v>
      </c>
      <c r="AC123" s="231">
        <v>3.02207984228684</v>
      </c>
      <c r="AD123">
        <f>IF('WetLitterbags placem_collection'!AB124="","",'WetLitterbags placem_collection'!AB124)</f>
        <v>3.1</v>
      </c>
      <c r="AE123">
        <f>IF('WetLitterbags placem_collection'!Z124="","",'WetLitterbags placem_collection'!Z124)</f>
        <v>53</v>
      </c>
      <c r="AF123" s="246" t="str">
        <f>IF('WetLitterbags placem_collection'!AA124="","",'WetLitterbags placem_collection'!AA124)</f>
        <v>G</v>
      </c>
      <c r="AG123">
        <f>IF('WetLitterbags placem_collection'!AC124="","",'WetLitterbags placem_collection'!AC124)</f>
        <v>0</v>
      </c>
      <c r="AH123" s="240">
        <f>AVERAGE('WetLitterbags placem_collection'!S124,'WetLitterbags placem_collection'!U124)</f>
        <v>11.8</v>
      </c>
      <c r="AI123">
        <f>AVERAGE('WetLitterbags placem_collection'!R124,'WetLitterbags placem_collection'!T124)</f>
        <v>30.650000000000002</v>
      </c>
      <c r="AJ123">
        <f>INDEX(Coordinates!$B$2:$B$197,MATCH(G123,Coordinates!$J$2:$J$197,0))</f>
        <v>-2.34923196</v>
      </c>
      <c r="AK123">
        <f>INDEX(Coordinates!$C$2:$C$197,MATCH(G123,Coordinates!$J$2:$J$197,0))</f>
        <v>34.051422039999999</v>
      </c>
      <c r="AL123" t="str">
        <f>IF(ISNUMBER(SEARCH("C", 'WetLitterbags placem_collection'!V124)),"YES","NO")</f>
        <v>NO</v>
      </c>
      <c r="AM123" t="str">
        <f>IF(ISNUMBER(SEARCH("H", 'WetLitterbags placem_collection'!V124)),"YES","NO")</f>
        <v>YES</v>
      </c>
      <c r="AN123" t="str">
        <f>IF(ISNUMBER(SEARCH("R", 'WetLitterbags placem_collection'!V124)),"YES","NO")</f>
        <v>YES</v>
      </c>
    </row>
    <row r="124" spans="1:40" ht="15" customHeight="1">
      <c r="A124" s="258" t="s">
        <v>2460</v>
      </c>
      <c r="B124" s="263">
        <f>'Dry_Litterbag Placem_Collection'!A125</f>
        <v>123</v>
      </c>
      <c r="C124" s="263" t="str">
        <f>'Dry_Litterbag Placem_Collection'!B125</f>
        <v xml:space="preserve">Mwantimba
</v>
      </c>
      <c r="D124" s="263" t="s">
        <v>2460</v>
      </c>
      <c r="E124" s="263" t="s">
        <v>2660</v>
      </c>
      <c r="F124" s="263">
        <v>4</v>
      </c>
      <c r="G124" s="264" t="str">
        <f>'Dry_Litterbag Placem_Collection'!C125</f>
        <v>Wet_Ag4_T3</v>
      </c>
      <c r="H124" s="265" t="s">
        <v>2541</v>
      </c>
      <c r="I124" s="266" t="s">
        <v>1147</v>
      </c>
      <c r="J124" s="223" t="str">
        <f>'WetLitterbags placem_collection'!K125</f>
        <v>G694</v>
      </c>
      <c r="K124" s="225">
        <f>IFERROR(INDEX('Green_rooibos initial weight'!$C$5:$C$1749,MATCH(J124, 'Green_rooibos initial weight'!$A$5:$A$1749,0)),"")</f>
        <v>1.992</v>
      </c>
      <c r="L124" s="225">
        <f>IFERROR(K124-(TBIcalc!$H$9+TBIcalc!$H$10),"")</f>
        <v>1.7422</v>
      </c>
      <c r="M124" s="391">
        <f>AVERAGE(Ashed_controlls!$K$2:$K$11)</f>
        <v>5.5147656768714146</v>
      </c>
      <c r="N124" s="225">
        <f t="shared" si="7"/>
        <v>1.6461217523775462</v>
      </c>
      <c r="O124" s="225">
        <f>IF(IFERROR(INDEX('Both teabags AfterWet'!$C$3:$C$841,MATCH(J124,'Both teabags AfterWet'!$A$3:$A$841,0)),"")="","",(IFERROR(INDEX('Both teabags AfterWet'!$C$3:$C$841,MATCH(J124,'Both teabags AfterWet'!$A$3:$A$841,0)),"")))</f>
        <v>0.622</v>
      </c>
      <c r="P124" s="225">
        <f>IFERROR(IF(O124&gt;0,O124-(TBIcalc!$H$9),""),"")</f>
        <v>0.47139999999999999</v>
      </c>
      <c r="Q124" s="225">
        <f>IFERROR(INDEX('Ashed teabags wet'!$K$2:$K$821,MATCH(J124,'Ashed teabags wet'!$A$2:$A$821,0)),"")</f>
        <v>15.574174470182131</v>
      </c>
      <c r="R124" s="225">
        <f t="shared" si="11"/>
        <v>0.39798334154756143</v>
      </c>
      <c r="S124" s="226">
        <f>'WetLitterbags placem_collection'!E125</f>
        <v>42762</v>
      </c>
      <c r="T124" s="226">
        <f>IF('WetLitterbags placem_collection'!G125="","",'WetLitterbags placem_collection'!G125)</f>
        <v>42816</v>
      </c>
      <c r="U124" s="227">
        <f t="shared" si="8"/>
        <v>54</v>
      </c>
      <c r="V124" s="225">
        <f t="shared" si="9"/>
        <v>1.2707999999999999</v>
      </c>
      <c r="W124" s="225">
        <f t="shared" si="10"/>
        <v>1.2481384108299847</v>
      </c>
      <c r="X124">
        <f>IFERROR(INDEX(Rainfall_Wet!$O$2:$O$217,MATCH(B124, Rainfall_Wet!$A$2:$A$217,0)),"")</f>
        <v>206.85140822299999</v>
      </c>
      <c r="Y124" s="231">
        <v>17.96</v>
      </c>
      <c r="Z124" s="231">
        <v>4.9199999999999982</v>
      </c>
      <c r="AA124" s="231">
        <v>77.12</v>
      </c>
      <c r="AB124" s="232" t="s">
        <v>2671</v>
      </c>
      <c r="AC124" s="231">
        <v>4.02207984228684</v>
      </c>
      <c r="AD124">
        <f>IF('WetLitterbags placem_collection'!AB125="","",'WetLitterbags placem_collection'!AB125)</f>
        <v>3.9</v>
      </c>
      <c r="AE124">
        <f>IF('WetLitterbags placem_collection'!Z125="","",'WetLitterbags placem_collection'!Z125)</f>
        <v>51</v>
      </c>
      <c r="AF124" s="246" t="str">
        <f>IF('WetLitterbags placem_collection'!AA125="","",'WetLitterbags placem_collection'!AA125)</f>
        <v>G</v>
      </c>
      <c r="AG124">
        <f>IF('WetLitterbags placem_collection'!AC125="","",'WetLitterbags placem_collection'!AC125)</f>
        <v>1</v>
      </c>
      <c r="AH124" s="240">
        <f>AVERAGE('WetLitterbags placem_collection'!S125,'WetLitterbags placem_collection'!U125)</f>
        <v>13.2</v>
      </c>
      <c r="AI124">
        <f>AVERAGE('WetLitterbags placem_collection'!R125,'WetLitterbags placem_collection'!T125)</f>
        <v>31.85</v>
      </c>
      <c r="AJ124">
        <f>INDEX(Coordinates!$B$2:$B$197,MATCH(G124,Coordinates!$J$2:$J$197,0))</f>
        <v>-2.3492390009999999</v>
      </c>
      <c r="AK124">
        <f>INDEX(Coordinates!$C$2:$C$197,MATCH(G124,Coordinates!$J$2:$J$197,0))</f>
        <v>34.051304020000003</v>
      </c>
      <c r="AL124" t="str">
        <f>IF(ISNUMBER(SEARCH("C", 'WetLitterbags placem_collection'!V125)),"YES","NO")</f>
        <v>NO</v>
      </c>
      <c r="AM124" t="str">
        <f>IF(ISNUMBER(SEARCH("H", 'WetLitterbags placem_collection'!V125)),"YES","NO")</f>
        <v>NO</v>
      </c>
      <c r="AN124" t="str">
        <f>IF(ISNUMBER(SEARCH("R", 'WetLitterbags placem_collection'!V125)),"YES","NO")</f>
        <v>YES</v>
      </c>
    </row>
    <row r="125" spans="1:40" ht="15" customHeight="1">
      <c r="A125" s="258" t="s">
        <v>2460</v>
      </c>
      <c r="B125" s="263">
        <f>'Dry_Litterbag Placem_Collection'!A126</f>
        <v>124</v>
      </c>
      <c r="C125" s="263" t="str">
        <f>'Dry_Litterbag Placem_Collection'!B126</f>
        <v xml:space="preserve">Mwantimba
</v>
      </c>
      <c r="D125" s="263" t="s">
        <v>2460</v>
      </c>
      <c r="E125" s="263" t="s">
        <v>2660</v>
      </c>
      <c r="F125" s="263">
        <v>4</v>
      </c>
      <c r="G125" s="264" t="str">
        <f>'Dry_Litterbag Placem_Collection'!C126</f>
        <v>Wet_Ag4_T4</v>
      </c>
      <c r="H125" s="265" t="s">
        <v>2541</v>
      </c>
      <c r="I125" s="266" t="s">
        <v>1147</v>
      </c>
      <c r="J125" s="223" t="str">
        <f>'WetLitterbags placem_collection'!K126</f>
        <v>G867</v>
      </c>
      <c r="K125" s="225">
        <f>IFERROR(INDEX('Green_rooibos initial weight'!$C$5:$C$1749,MATCH(J125, 'Green_rooibos initial weight'!$A$5:$A$1749,0)),"")</f>
        <v>1.907</v>
      </c>
      <c r="L125" s="225">
        <f>IFERROR(K125-(TBIcalc!$H$9+TBIcalc!$H$10),"")</f>
        <v>1.6572</v>
      </c>
      <c r="M125" s="391">
        <f>AVERAGE(Ashed_controlls!$K$2:$K$11)</f>
        <v>5.5147656768714146</v>
      </c>
      <c r="N125" s="225">
        <f t="shared" si="7"/>
        <v>1.565809303202887</v>
      </c>
      <c r="O125" s="225" t="str">
        <f>IF(IFERROR(INDEX('Both teabags AfterWet'!$C$3:$C$841,MATCH(J125,'Both teabags AfterWet'!$A$3:$A$841,0)),"")="","",(IFERROR(INDEX('Both teabags AfterWet'!$C$3:$C$841,MATCH(J125,'Both teabags AfterWet'!$A$3:$A$841,0)),"")))</f>
        <v/>
      </c>
      <c r="P125" s="225" t="str">
        <f>IFERROR(IF(O125&gt;0,O125-(TBIcalc!$H$9),""),"")</f>
        <v/>
      </c>
      <c r="Q125" s="225">
        <f>IFERROR(INDEX('Ashed teabags wet'!$K$2:$K$821,MATCH(J125,'Ashed teabags wet'!$A$2:$A$821,0)),"")</f>
        <v>31.594202898550535</v>
      </c>
      <c r="R125" s="225" t="str">
        <f t="shared" si="11"/>
        <v/>
      </c>
      <c r="S125" s="226">
        <f>'WetLitterbags placem_collection'!E126</f>
        <v>42762</v>
      </c>
      <c r="T125" s="226">
        <f>IF('WetLitterbags placem_collection'!G126="","",'WetLitterbags placem_collection'!G126)</f>
        <v>42816</v>
      </c>
      <c r="U125" s="227">
        <f t="shared" si="8"/>
        <v>54</v>
      </c>
      <c r="V125" s="225" t="str">
        <f t="shared" si="9"/>
        <v/>
      </c>
      <c r="W125" s="225" t="str">
        <f t="shared" si="10"/>
        <v/>
      </c>
      <c r="X125">
        <f>IFERROR(INDEX(Rainfall_Wet!$O$2:$O$217,MATCH(B125, Rainfall_Wet!$A$2:$A$217,0)),"")</f>
        <v>206.85140822299999</v>
      </c>
      <c r="Y125" s="231">
        <v>17.96</v>
      </c>
      <c r="Z125" s="231">
        <v>4.9199999999999982</v>
      </c>
      <c r="AA125" s="231">
        <v>77.12</v>
      </c>
      <c r="AB125" s="232" t="s">
        <v>2671</v>
      </c>
      <c r="AC125" s="231">
        <v>5.02207984228684</v>
      </c>
      <c r="AD125">
        <f>IF('WetLitterbags placem_collection'!AB126="","",'WetLitterbags placem_collection'!AB126)</f>
        <v>5.45</v>
      </c>
      <c r="AE125">
        <f>IF('WetLitterbags placem_collection'!Z126="","",'WetLitterbags placem_collection'!Z126)</f>
        <v>47</v>
      </c>
      <c r="AF125" s="246" t="str">
        <f>IF('WetLitterbags placem_collection'!AA126="","",'WetLitterbags placem_collection'!AA126)</f>
        <v>G</v>
      </c>
      <c r="AG125">
        <f>IF('WetLitterbags placem_collection'!AC126="","",'WetLitterbags placem_collection'!AC126)</f>
        <v>1</v>
      </c>
      <c r="AH125" s="240">
        <f>AVERAGE('WetLitterbags placem_collection'!S126,'WetLitterbags placem_collection'!U126)</f>
        <v>18.2</v>
      </c>
      <c r="AI125">
        <f>AVERAGE('WetLitterbags placem_collection'!R126,'WetLitterbags placem_collection'!T126)</f>
        <v>31.1</v>
      </c>
      <c r="AJ125">
        <f>INDEX(Coordinates!$B$2:$B$197,MATCH(G125,Coordinates!$J$2:$J$197,0))</f>
        <v>-2.3492799889999998</v>
      </c>
      <c r="AK125">
        <f>INDEX(Coordinates!$C$2:$C$197,MATCH(G125,Coordinates!$J$2:$J$197,0))</f>
        <v>34.051280970000001</v>
      </c>
      <c r="AL125" t="str">
        <f>IF(ISNUMBER(SEARCH("C", 'WetLitterbags placem_collection'!V126)),"YES","NO")</f>
        <v>NO</v>
      </c>
      <c r="AM125" t="str">
        <f>IF(ISNUMBER(SEARCH("H", 'WetLitterbags placem_collection'!V126)),"YES","NO")</f>
        <v>YES</v>
      </c>
      <c r="AN125" t="str">
        <f>IF(ISNUMBER(SEARCH("R", 'WetLitterbags placem_collection'!V126)),"YES","NO")</f>
        <v>YES</v>
      </c>
    </row>
    <row r="126" spans="1:40" ht="15" customHeight="1">
      <c r="A126" s="258" t="s">
        <v>2460</v>
      </c>
      <c r="B126" s="263">
        <f>'Dry_Litterbag Placem_Collection'!A127</f>
        <v>125</v>
      </c>
      <c r="C126" s="263" t="str">
        <f>'Dry_Litterbag Placem_Collection'!B127</f>
        <v xml:space="preserve">Mwantimba
</v>
      </c>
      <c r="D126" s="263" t="s">
        <v>2460</v>
      </c>
      <c r="E126" s="263" t="s">
        <v>2660</v>
      </c>
      <c r="F126" s="263">
        <v>4</v>
      </c>
      <c r="G126" s="264" t="str">
        <f>'Dry_Litterbag Placem_Collection'!C127</f>
        <v>Wet_Ag4_T5</v>
      </c>
      <c r="H126" s="265" t="s">
        <v>2541</v>
      </c>
      <c r="I126" s="266" t="s">
        <v>1147</v>
      </c>
      <c r="J126" s="223" t="str">
        <f>'WetLitterbags placem_collection'!K127</f>
        <v>G793</v>
      </c>
      <c r="K126" s="225">
        <f>IFERROR(INDEX('Green_rooibos initial weight'!$C$5:$C$1749,MATCH(J126, 'Green_rooibos initial weight'!$A$5:$A$1749,0)),"")</f>
        <v>2.0459999999999998</v>
      </c>
      <c r="L126" s="225">
        <f>IFERROR(K126-(TBIcalc!$H$9+TBIcalc!$H$10),"")</f>
        <v>1.7961999999999998</v>
      </c>
      <c r="M126" s="391">
        <f>AVERAGE(Ashed_controlls!$K$2:$K$11)</f>
        <v>5.5147656768714146</v>
      </c>
      <c r="N126" s="225">
        <f t="shared" si="7"/>
        <v>1.6971437789120354</v>
      </c>
      <c r="O126" s="225">
        <f>IF(IFERROR(INDEX('Both teabags AfterWet'!$C$3:$C$841,MATCH(J126,'Both teabags AfterWet'!$A$3:$A$841,0)),"")="","",(IFERROR(INDEX('Both teabags AfterWet'!$C$3:$C$841,MATCH(J126,'Both teabags AfterWet'!$A$3:$A$841,0)),"")))</f>
        <v>0.77200000000000002</v>
      </c>
      <c r="P126" s="225">
        <f>IFERROR(IF(O126&gt;0,O126-(TBIcalc!$H$9),""),"")</f>
        <v>0.62139999999999995</v>
      </c>
      <c r="Q126" s="225">
        <f>IFERROR(INDEX('Ashed teabags wet'!$K$2:$K$821,MATCH(J126,'Ashed teabags wet'!$A$2:$A$821,0)),"")</f>
        <v>27.918529557873711</v>
      </c>
      <c r="R126" s="225">
        <f t="shared" si="11"/>
        <v>0.44791425732737272</v>
      </c>
      <c r="S126" s="226">
        <f>'WetLitterbags placem_collection'!E127</f>
        <v>42762</v>
      </c>
      <c r="T126" s="226">
        <f>IF('WetLitterbags placem_collection'!G127="","",'WetLitterbags placem_collection'!G127)</f>
        <v>42816</v>
      </c>
      <c r="U126" s="227">
        <f t="shared" si="8"/>
        <v>54</v>
      </c>
      <c r="V126" s="225">
        <f t="shared" si="9"/>
        <v>1.1747999999999998</v>
      </c>
      <c r="W126" s="225">
        <f t="shared" si="10"/>
        <v>1.2492295215846627</v>
      </c>
      <c r="X126">
        <f>IFERROR(INDEX(Rainfall_Wet!$O$2:$O$217,MATCH(B126, Rainfall_Wet!$A$2:$A$217,0)),"")</f>
        <v>206.85140822299999</v>
      </c>
      <c r="Y126" s="231">
        <v>17.96</v>
      </c>
      <c r="Z126" s="231">
        <v>4.9199999999999982</v>
      </c>
      <c r="AA126" s="231">
        <v>77.12</v>
      </c>
      <c r="AB126" s="232" t="s">
        <v>2671</v>
      </c>
      <c r="AC126" s="231">
        <v>6.02207984228684</v>
      </c>
      <c r="AD126">
        <f>IF('WetLitterbags placem_collection'!AB127="","",'WetLitterbags placem_collection'!AB127)</f>
        <v>9.3000000000000007</v>
      </c>
      <c r="AE126">
        <f>IF('WetLitterbags placem_collection'!Z127="","",'WetLitterbags placem_collection'!Z127)</f>
        <v>43</v>
      </c>
      <c r="AF126" s="246" t="str">
        <f>IF('WetLitterbags placem_collection'!AA127="","",'WetLitterbags placem_collection'!AA127)</f>
        <v>G</v>
      </c>
      <c r="AG126">
        <f>IF('WetLitterbags placem_collection'!AC127="","",'WetLitterbags placem_collection'!AC127)</f>
        <v>1</v>
      </c>
      <c r="AH126" s="240">
        <f>AVERAGE('WetLitterbags placem_collection'!S127,'WetLitterbags placem_collection'!U127)</f>
        <v>19.25</v>
      </c>
      <c r="AI126">
        <f>AVERAGE('WetLitterbags placem_collection'!R127,'WetLitterbags placem_collection'!T127)</f>
        <v>32.049999999999997</v>
      </c>
      <c r="AJ126">
        <f>INDEX(Coordinates!$B$2:$B$197,MATCH(G126,Coordinates!$J$2:$J$197,0))</f>
        <v>-2.3493320400000002</v>
      </c>
      <c r="AK126">
        <f>INDEX(Coordinates!$C$2:$C$197,MATCH(G126,Coordinates!$J$2:$J$197,0))</f>
        <v>34.051321960000003</v>
      </c>
      <c r="AL126" t="str">
        <f>IF(ISNUMBER(SEARCH("C", 'WetLitterbags placem_collection'!V127)),"YES","NO")</f>
        <v>NO</v>
      </c>
      <c r="AM126" t="str">
        <f>IF(ISNUMBER(SEARCH("H", 'WetLitterbags placem_collection'!V127)),"YES","NO")</f>
        <v>YES</v>
      </c>
      <c r="AN126" t="str">
        <f>IF(ISNUMBER(SEARCH("R", 'WetLitterbags placem_collection'!V127)),"YES","NO")</f>
        <v>YES</v>
      </c>
    </row>
    <row r="127" spans="1:40" ht="15" customHeight="1">
      <c r="A127" s="258" t="s">
        <v>2460</v>
      </c>
      <c r="B127" s="263">
        <f>'Dry_Litterbag Placem_Collection'!A128</f>
        <v>126</v>
      </c>
      <c r="C127" s="263" t="str">
        <f>'Dry_Litterbag Placem_Collection'!B128</f>
        <v xml:space="preserve">Mwantimba
</v>
      </c>
      <c r="D127" s="263" t="s">
        <v>2460</v>
      </c>
      <c r="E127" s="263" t="s">
        <v>2660</v>
      </c>
      <c r="F127" s="263">
        <v>4</v>
      </c>
      <c r="G127" s="264" t="str">
        <f>'Dry_Litterbag Placem_Collection'!C128</f>
        <v>Wet_Ag4_T6</v>
      </c>
      <c r="H127" s="265" t="s">
        <v>2541</v>
      </c>
      <c r="I127" s="266" t="s">
        <v>1147</v>
      </c>
      <c r="J127" s="223" t="str">
        <f>'WetLitterbags placem_collection'!K128</f>
        <v>G749</v>
      </c>
      <c r="K127" s="225">
        <f>IFERROR(INDEX('Green_rooibos initial weight'!$C$5:$C$1749,MATCH(J127, 'Green_rooibos initial weight'!$A$5:$A$1749,0)),"")</f>
        <v>2.0179999999999998</v>
      </c>
      <c r="L127" s="225">
        <f>IFERROR(K127-(TBIcalc!$H$9+TBIcalc!$H$10),"")</f>
        <v>1.7681999999999998</v>
      </c>
      <c r="M127" s="391">
        <f>AVERAGE(Ashed_controlls!$K$2:$K$11)</f>
        <v>5.5147656768714146</v>
      </c>
      <c r="N127" s="225">
        <f t="shared" si="7"/>
        <v>1.6706879133015595</v>
      </c>
      <c r="O127" s="225">
        <f>IF(IFERROR(INDEX('Both teabags AfterWet'!$C$3:$C$841,MATCH(J127,'Both teabags AfterWet'!$A$3:$A$841,0)),"")="","",(IFERROR(INDEX('Both teabags AfterWet'!$C$3:$C$841,MATCH(J127,'Both teabags AfterWet'!$A$3:$A$841,0)),"")))</f>
        <v>0.67800000000000005</v>
      </c>
      <c r="P127" s="225">
        <f>IFERROR(IF(O127&gt;0,O127-(TBIcalc!$H$9),""),"")</f>
        <v>0.52740000000000009</v>
      </c>
      <c r="Q127" s="225">
        <f>IFERROR(INDEX('Ashed teabags wet'!$K$2:$K$821,MATCH(J127,'Ashed teabags wet'!$A$2:$A$821,0)),"")</f>
        <v>14.484818317570399</v>
      </c>
      <c r="R127" s="225">
        <f t="shared" si="11"/>
        <v>0.4510070681931338</v>
      </c>
      <c r="S127" s="226">
        <f>'WetLitterbags placem_collection'!E128</f>
        <v>42762</v>
      </c>
      <c r="T127" s="226">
        <f>IF('WetLitterbags placem_collection'!G128="","",'WetLitterbags placem_collection'!G128)</f>
        <v>42816</v>
      </c>
      <c r="U127" s="227">
        <f t="shared" si="8"/>
        <v>54</v>
      </c>
      <c r="V127" s="225">
        <f t="shared" si="9"/>
        <v>1.2407999999999997</v>
      </c>
      <c r="W127" s="225">
        <f t="shared" si="10"/>
        <v>1.2196808451084258</v>
      </c>
      <c r="X127">
        <f>IFERROR(INDEX(Rainfall_Wet!$O$2:$O$217,MATCH(B127, Rainfall_Wet!$A$2:$A$217,0)),"")</f>
        <v>206.85140822299999</v>
      </c>
      <c r="Y127" s="231">
        <v>17.96</v>
      </c>
      <c r="Z127" s="231">
        <v>4.9199999999999982</v>
      </c>
      <c r="AA127" s="231">
        <v>77.12</v>
      </c>
      <c r="AB127" s="232" t="s">
        <v>2671</v>
      </c>
      <c r="AC127" s="231">
        <v>7.02207984228684</v>
      </c>
      <c r="AD127">
        <f>IF('WetLitterbags placem_collection'!AB128="","",'WetLitterbags placem_collection'!AB128)</f>
        <v>10.85</v>
      </c>
      <c r="AE127">
        <f>IF('WetLitterbags placem_collection'!Z128="","",'WetLitterbags placem_collection'!Z128)</f>
        <v>40</v>
      </c>
      <c r="AF127" s="246" t="str">
        <f>IF('WetLitterbags placem_collection'!AA128="","",'WetLitterbags placem_collection'!AA128)</f>
        <v>G</v>
      </c>
      <c r="AG127">
        <f>IF('WetLitterbags placem_collection'!AC128="","",'WetLitterbags placem_collection'!AC128)</f>
        <v>1</v>
      </c>
      <c r="AH127" s="240">
        <f>AVERAGE('WetLitterbags placem_collection'!S128,'WetLitterbags placem_collection'!U128)</f>
        <v>16.649999999999999</v>
      </c>
      <c r="AI127">
        <f>AVERAGE('WetLitterbags placem_collection'!R128,'WetLitterbags placem_collection'!T128)</f>
        <v>32</v>
      </c>
      <c r="AJ127">
        <f>INDEX(Coordinates!$B$2:$B$197,MATCH(G127,Coordinates!$J$2:$J$197,0))</f>
        <v>-2.3493509829999999</v>
      </c>
      <c r="AK127">
        <f>INDEX(Coordinates!$C$2:$C$197,MATCH(G127,Coordinates!$J$2:$J$197,0))</f>
        <v>34.051332019999997</v>
      </c>
      <c r="AL127" t="str">
        <f>IF(ISNUMBER(SEARCH("C", 'WetLitterbags placem_collection'!V128)),"YES","NO")</f>
        <v>NO</v>
      </c>
      <c r="AM127" t="str">
        <f>IF(ISNUMBER(SEARCH("H", 'WetLitterbags placem_collection'!V128)),"YES","NO")</f>
        <v>YES</v>
      </c>
      <c r="AN127" t="str">
        <f>IF(ISNUMBER(SEARCH("R", 'WetLitterbags placem_collection'!V128)),"YES","NO")</f>
        <v>YES</v>
      </c>
    </row>
    <row r="128" spans="1:40" ht="15" customHeight="1">
      <c r="A128" s="258" t="s">
        <v>2460</v>
      </c>
      <c r="B128" s="263">
        <f>'Dry_Litterbag Placem_Collection'!A129</f>
        <v>127</v>
      </c>
      <c r="C128" s="263" t="str">
        <f>'Dry_Litterbag Placem_Collection'!B129</f>
        <v xml:space="preserve">Mwantimba
</v>
      </c>
      <c r="D128" s="263" t="s">
        <v>2460</v>
      </c>
      <c r="E128" s="263" t="s">
        <v>2660</v>
      </c>
      <c r="F128" s="263">
        <v>4</v>
      </c>
      <c r="G128" s="264" t="str">
        <f>'Dry_Litterbag Placem_Collection'!C129</f>
        <v>Wet_Ag4_T7</v>
      </c>
      <c r="H128" s="265" t="s">
        <v>2541</v>
      </c>
      <c r="I128" s="266" t="s">
        <v>1147</v>
      </c>
      <c r="J128" s="223" t="str">
        <f>'WetLitterbags placem_collection'!K129</f>
        <v>G898</v>
      </c>
      <c r="K128" s="225">
        <f>IFERROR(INDEX('Green_rooibos initial weight'!$C$5:$C$1749,MATCH(J128, 'Green_rooibos initial weight'!$A$5:$A$1749,0)),"")</f>
        <v>1.893</v>
      </c>
      <c r="L128" s="225">
        <f>IFERROR(K128-(TBIcalc!$H$9+TBIcalc!$H$10),"")</f>
        <v>1.6432</v>
      </c>
      <c r="M128" s="391">
        <f>AVERAGE(Ashed_controlls!$K$2:$K$11)</f>
        <v>5.5147656768714146</v>
      </c>
      <c r="N128" s="225">
        <f t="shared" si="7"/>
        <v>1.552581370397649</v>
      </c>
      <c r="O128" s="225">
        <f>IF(IFERROR(INDEX('Both teabags AfterWet'!$C$3:$C$841,MATCH(J128,'Both teabags AfterWet'!$A$3:$A$841,0)),"")="","",(IFERROR(INDEX('Both teabags AfterWet'!$C$3:$C$841,MATCH(J128,'Both teabags AfterWet'!$A$3:$A$841,0)),"")))</f>
        <v>0.59099999999999997</v>
      </c>
      <c r="P128" s="225">
        <f>IFERROR(IF(O128&gt;0,O128-(TBIcalc!$H$9),""),"")</f>
        <v>0.44039999999999996</v>
      </c>
      <c r="Q128" s="225">
        <f>IFERROR(INDEX('Ashed teabags wet'!$K$2:$K$821,MATCH(J128,'Ashed teabags wet'!$A$2:$A$821,0)),"")</f>
        <v>18.25037707390678</v>
      </c>
      <c r="R128" s="225">
        <f t="shared" si="11"/>
        <v>0.36002533936651449</v>
      </c>
      <c r="S128" s="226">
        <f>'WetLitterbags placem_collection'!E129</f>
        <v>42762</v>
      </c>
      <c r="T128" s="226">
        <f>IF('WetLitterbags placem_collection'!G129="","",'WetLitterbags placem_collection'!G129)</f>
        <v>42816</v>
      </c>
      <c r="U128" s="227">
        <f t="shared" si="8"/>
        <v>54</v>
      </c>
      <c r="V128" s="225">
        <f t="shared" si="9"/>
        <v>1.2028000000000001</v>
      </c>
      <c r="W128" s="225">
        <f t="shared" si="10"/>
        <v>1.1925560310311345</v>
      </c>
      <c r="X128">
        <f>IFERROR(INDEX(Rainfall_Wet!$O$2:$O$217,MATCH(B128, Rainfall_Wet!$A$2:$A$217,0)),"")</f>
        <v>206.85140822299999</v>
      </c>
      <c r="Y128" s="231">
        <v>17.96</v>
      </c>
      <c r="Z128" s="231">
        <v>4.9199999999999982</v>
      </c>
      <c r="AA128" s="231">
        <v>77.12</v>
      </c>
      <c r="AB128" s="232" t="s">
        <v>2671</v>
      </c>
      <c r="AC128" s="231">
        <v>8.0220798422868391</v>
      </c>
      <c r="AD128">
        <f>IF('WetLitterbags placem_collection'!AB129="","",'WetLitterbags placem_collection'!AB129)</f>
        <v>5.35</v>
      </c>
      <c r="AE128">
        <f>IF('WetLitterbags placem_collection'!Z129="","",'WetLitterbags placem_collection'!Z129)</f>
        <v>58</v>
      </c>
      <c r="AF128" s="246" t="str">
        <f>IF('WetLitterbags placem_collection'!AA129="","",'WetLitterbags placem_collection'!AA129)</f>
        <v>G</v>
      </c>
      <c r="AG128">
        <f>IF('WetLitterbags placem_collection'!AC129="","",'WetLitterbags placem_collection'!AC129)</f>
        <v>1</v>
      </c>
      <c r="AH128" s="240">
        <f>AVERAGE('WetLitterbags placem_collection'!S129,'WetLitterbags placem_collection'!U129)</f>
        <v>15.8</v>
      </c>
      <c r="AI128">
        <f>AVERAGE('WetLitterbags placem_collection'!R129,'WetLitterbags placem_collection'!T129)</f>
        <v>31.55</v>
      </c>
      <c r="AJ128">
        <f>INDEX(Coordinates!$B$2:$B$197,MATCH(G128,Coordinates!$J$2:$J$197,0))</f>
        <v>-2.3491850219999999</v>
      </c>
      <c r="AK128">
        <f>INDEX(Coordinates!$C$2:$C$197,MATCH(G128,Coordinates!$J$2:$J$197,0))</f>
        <v>34.051264959999997</v>
      </c>
      <c r="AL128" t="str">
        <f>IF(ISNUMBER(SEARCH("C", 'WetLitterbags placem_collection'!V129)),"YES","NO")</f>
        <v>NO</v>
      </c>
      <c r="AM128" t="str">
        <f>IF(ISNUMBER(SEARCH("H", 'WetLitterbags placem_collection'!V129)),"YES","NO")</f>
        <v>YES</v>
      </c>
      <c r="AN128" t="str">
        <f>IF(ISNUMBER(SEARCH("R", 'WetLitterbags placem_collection'!V129)),"YES","NO")</f>
        <v>YES</v>
      </c>
    </row>
    <row r="129" spans="1:40" ht="15" customHeight="1">
      <c r="A129" s="258" t="s">
        <v>2460</v>
      </c>
      <c r="B129" s="263">
        <f>'Dry_Litterbag Placem_Collection'!A130</f>
        <v>128</v>
      </c>
      <c r="C129" s="263" t="str">
        <f>'Dry_Litterbag Placem_Collection'!B130</f>
        <v xml:space="preserve">Mwantimba
</v>
      </c>
      <c r="D129" s="263" t="s">
        <v>2460</v>
      </c>
      <c r="E129" s="263" t="s">
        <v>2660</v>
      </c>
      <c r="F129" s="263">
        <v>4</v>
      </c>
      <c r="G129" s="264" t="str">
        <f>'Dry_Litterbag Placem_Collection'!C130</f>
        <v>Wet_Ag4_T8</v>
      </c>
      <c r="H129" s="265" t="s">
        <v>2541</v>
      </c>
      <c r="I129" s="266" t="s">
        <v>1147</v>
      </c>
      <c r="J129" s="223" t="str">
        <f>'WetLitterbags placem_collection'!K130</f>
        <v>G834</v>
      </c>
      <c r="K129" s="225">
        <f>IFERROR(INDEX('Green_rooibos initial weight'!$C$5:$C$1749,MATCH(J129, 'Green_rooibos initial weight'!$A$5:$A$1749,0)),"")</f>
        <v>1.956</v>
      </c>
      <c r="L129" s="225">
        <f>IFERROR(K129-(TBIcalc!$H$9+TBIcalc!$H$10),"")</f>
        <v>1.7061999999999999</v>
      </c>
      <c r="M129" s="391">
        <f>AVERAGE(Ashed_controlls!$K$2:$K$11)</f>
        <v>5.5147656768714146</v>
      </c>
      <c r="N129" s="225">
        <f t="shared" si="7"/>
        <v>1.6121070680212199</v>
      </c>
      <c r="O129" s="225">
        <f>IF(IFERROR(INDEX('Both teabags AfterWet'!$C$3:$C$841,MATCH(J129,'Both teabags AfterWet'!$A$3:$A$841,0)),"")="","",(IFERROR(INDEX('Both teabags AfterWet'!$C$3:$C$841,MATCH(J129,'Both teabags AfterWet'!$A$3:$A$841,0)),"")))</f>
        <v>0.54500000000000004</v>
      </c>
      <c r="P129" s="225">
        <f>IFERROR(IF(O129&gt;0,O129-(TBIcalc!$H$9),""),"")</f>
        <v>0.39440000000000003</v>
      </c>
      <c r="Q129" s="225">
        <f>IFERROR(INDEX('Ashed teabags wet'!$K$2:$K$821,MATCH(J129,'Ashed teabags wet'!$A$2:$A$821,0)),"")</f>
        <v>12.928123492523619</v>
      </c>
      <c r="R129" s="225">
        <f t="shared" si="11"/>
        <v>0.3434114809454869</v>
      </c>
      <c r="S129" s="226">
        <f>'WetLitterbags placem_collection'!E130</f>
        <v>42762</v>
      </c>
      <c r="T129" s="226">
        <f>IF('WetLitterbags placem_collection'!G130="","",'WetLitterbags placem_collection'!G130)</f>
        <v>42816</v>
      </c>
      <c r="U129" s="227">
        <f t="shared" si="8"/>
        <v>54</v>
      </c>
      <c r="V129" s="225">
        <f t="shared" si="9"/>
        <v>1.3117999999999999</v>
      </c>
      <c r="W129" s="225">
        <f t="shared" si="10"/>
        <v>1.268695587075733</v>
      </c>
      <c r="X129">
        <f>IFERROR(INDEX(Rainfall_Wet!$O$2:$O$217,MATCH(B129, Rainfall_Wet!$A$2:$A$217,0)),"")</f>
        <v>206.85140822299999</v>
      </c>
      <c r="Y129" s="231">
        <v>17.96</v>
      </c>
      <c r="Z129" s="231">
        <v>4.9199999999999982</v>
      </c>
      <c r="AA129" s="231">
        <v>77.12</v>
      </c>
      <c r="AB129" s="232" t="s">
        <v>2671</v>
      </c>
      <c r="AC129" s="231">
        <v>9.0220798422868391</v>
      </c>
      <c r="AD129">
        <f>IF('WetLitterbags placem_collection'!AB130="","",'WetLitterbags placem_collection'!AB130)</f>
        <v>10.9</v>
      </c>
      <c r="AE129">
        <f>IF('WetLitterbags placem_collection'!Z130="","",'WetLitterbags placem_collection'!Z130)</f>
        <v>44</v>
      </c>
      <c r="AF129" s="246" t="str">
        <f>IF('WetLitterbags placem_collection'!AA130="","",'WetLitterbags placem_collection'!AA130)</f>
        <v>G</v>
      </c>
      <c r="AG129">
        <f>IF('WetLitterbags placem_collection'!AC130="","",'WetLitterbags placem_collection'!AC130)</f>
        <v>0</v>
      </c>
      <c r="AH129" s="240">
        <f>AVERAGE('WetLitterbags placem_collection'!S130,'WetLitterbags placem_collection'!U130)</f>
        <v>8.15</v>
      </c>
      <c r="AI129">
        <f>AVERAGE('WetLitterbags placem_collection'!R130,'WetLitterbags placem_collection'!T130)</f>
        <v>31.650000000000002</v>
      </c>
      <c r="AJ129">
        <f>INDEX(Coordinates!$B$2:$B$197,MATCH(G129,Coordinates!$J$2:$J$197,0))</f>
        <v>-2.3493099960000001</v>
      </c>
      <c r="AK129">
        <f>INDEX(Coordinates!$C$2:$C$197,MATCH(G129,Coordinates!$J$2:$J$197,0))</f>
        <v>34.05141802</v>
      </c>
      <c r="AL129" t="str">
        <f>IF(ISNUMBER(SEARCH("C", 'WetLitterbags placem_collection'!V130)),"YES","NO")</f>
        <v>NO</v>
      </c>
      <c r="AM129" t="str">
        <f>IF(ISNUMBER(SEARCH("H", 'WetLitterbags placem_collection'!V130)),"YES","NO")</f>
        <v>NO</v>
      </c>
      <c r="AN129" t="str">
        <f>IF(ISNUMBER(SEARCH("R", 'WetLitterbags placem_collection'!V130)),"YES","NO")</f>
        <v>YES</v>
      </c>
    </row>
    <row r="130" spans="1:40" ht="15" customHeight="1">
      <c r="A130" s="258" t="s">
        <v>2460</v>
      </c>
      <c r="B130" s="263">
        <f>'Dry_Litterbag Placem_Collection'!A131</f>
        <v>129</v>
      </c>
      <c r="C130" s="263" t="str">
        <f>'Dry_Litterbag Placem_Collection'!B131</f>
        <v xml:space="preserve">Mwantimba
</v>
      </c>
      <c r="D130" s="263" t="s">
        <v>2460</v>
      </c>
      <c r="E130" s="263" t="s">
        <v>20</v>
      </c>
      <c r="F130" s="263">
        <v>1</v>
      </c>
      <c r="G130" s="264" t="str">
        <f>'Dry_Litterbag Placem_Collection'!C131</f>
        <v>Wet_P1_T1</v>
      </c>
      <c r="H130" s="265" t="s">
        <v>2541</v>
      </c>
      <c r="I130" s="266" t="s">
        <v>1147</v>
      </c>
      <c r="J130" s="223" t="str">
        <f>'WetLitterbags placem_collection'!K131</f>
        <v>G819</v>
      </c>
      <c r="K130" s="225">
        <f>IFERROR(INDEX('Green_rooibos initial weight'!$C$5:$C$1749,MATCH(J130, 'Green_rooibos initial weight'!$A$5:$A$1749,0)),"")</f>
        <v>1.9770000000000001</v>
      </c>
      <c r="L130" s="225">
        <f>IFERROR(K130-(TBIcalc!$H$9+TBIcalc!$H$10),"")</f>
        <v>1.7272000000000001</v>
      </c>
      <c r="M130" s="391">
        <f>AVERAGE(Ashed_controlls!$K$2:$K$11)</f>
        <v>5.5147656768714146</v>
      </c>
      <c r="N130" s="225">
        <f t="shared" si="7"/>
        <v>1.631948967229077</v>
      </c>
      <c r="O130" s="225">
        <f>IF(IFERROR(INDEX('Both teabags AfterWet'!$C$3:$C$841,MATCH(J130,'Both teabags AfterWet'!$A$3:$A$841,0)),"")="","",(IFERROR(INDEX('Both teabags AfterWet'!$C$3:$C$841,MATCH(J130,'Both teabags AfterWet'!$A$3:$A$841,0)),"")))</f>
        <v>0.59719999999999995</v>
      </c>
      <c r="P130" s="225">
        <f>IFERROR(IF(O130&gt;0,O130-(TBIcalc!$H$9),""),"")</f>
        <v>0.44659999999999994</v>
      </c>
      <c r="Q130" s="225">
        <f>IFERROR(INDEX('Ashed teabags wet'!$K$2:$K$821,MATCH(J130,'Ashed teabags wet'!$A$2:$A$821,0)),"")</f>
        <v>16.047548291233621</v>
      </c>
      <c r="R130" s="225">
        <f t="shared" si="11"/>
        <v>0.37493164933135059</v>
      </c>
      <c r="S130" s="226">
        <f>'WetLitterbags placem_collection'!E131</f>
        <v>42762</v>
      </c>
      <c r="T130" s="226">
        <f>IF('WetLitterbags placem_collection'!G131="","",'WetLitterbags placem_collection'!G131)</f>
        <v>42816</v>
      </c>
      <c r="U130" s="227">
        <f t="shared" si="8"/>
        <v>54</v>
      </c>
      <c r="V130" s="225">
        <f t="shared" si="9"/>
        <v>1.2806000000000002</v>
      </c>
      <c r="W130" s="225">
        <f t="shared" si="10"/>
        <v>1.2570173178977264</v>
      </c>
      <c r="X130">
        <f>IFERROR(INDEX(Rainfall_Wet!$O$2:$O$217,MATCH(B130, Rainfall_Wet!$A$2:$A$217,0)),"")</f>
        <v>206.85140822299999</v>
      </c>
      <c r="Y130" s="231">
        <v>31.214836424255054</v>
      </c>
      <c r="Z130" s="231">
        <v>11.377370285476141</v>
      </c>
      <c r="AA130" s="231">
        <v>57.407793290268799</v>
      </c>
      <c r="AB130" s="232" t="s">
        <v>2670</v>
      </c>
      <c r="AC130" s="231">
        <v>1.7337604731394776</v>
      </c>
      <c r="AD130">
        <f>IF('WetLitterbags placem_collection'!AB131="","",'WetLitterbags placem_collection'!AB131)</f>
        <v>2.4</v>
      </c>
      <c r="AE130">
        <f>IF('WetLitterbags placem_collection'!Z131="","",'WetLitterbags placem_collection'!Z131)</f>
        <v>2.4</v>
      </c>
      <c r="AF130" s="246" t="str">
        <f>IF('WetLitterbags placem_collection'!AA131="","",'WetLitterbags placem_collection'!AA131)</f>
        <v>O</v>
      </c>
      <c r="AG130">
        <f>IF('WetLitterbags placem_collection'!AC131="","",'WetLitterbags placem_collection'!AC131)</f>
        <v>1</v>
      </c>
      <c r="AH130" s="240">
        <f>AVERAGE('WetLitterbags placem_collection'!S131,'WetLitterbags placem_collection'!U131)</f>
        <v>15.05</v>
      </c>
      <c r="AI130">
        <f>AVERAGE('WetLitterbags placem_collection'!R131,'WetLitterbags placem_collection'!T131)</f>
        <v>28</v>
      </c>
      <c r="AJ130">
        <f>INDEX(Coordinates!$B$2:$B$197,MATCH(G130,Coordinates!$J$2:$J$197,0))</f>
        <v>-2.3503360249999998</v>
      </c>
      <c r="AK130">
        <f>INDEX(Coordinates!$C$2:$C$197,MATCH(G130,Coordinates!$J$2:$J$197,0))</f>
        <v>34.049662009999999</v>
      </c>
      <c r="AL130" t="str">
        <f>IF(ISNUMBER(SEARCH("C", 'WetLitterbags placem_collection'!V131)),"YES","NO")</f>
        <v>NO</v>
      </c>
      <c r="AM130" t="str">
        <f>IF(ISNUMBER(SEARCH("H", 'WetLitterbags placem_collection'!V131)),"YES","NO")</f>
        <v>NO</v>
      </c>
      <c r="AN130" t="str">
        <f>IF(ISNUMBER(SEARCH("R", 'WetLitterbags placem_collection'!V131)),"YES","NO")</f>
        <v>NO</v>
      </c>
    </row>
    <row r="131" spans="1:40" ht="15" customHeight="1">
      <c r="A131" s="258" t="s">
        <v>2460</v>
      </c>
      <c r="B131" s="263">
        <f>'Dry_Litterbag Placem_Collection'!A132</f>
        <v>130</v>
      </c>
      <c r="C131" s="263" t="str">
        <f>'Dry_Litterbag Placem_Collection'!B132</f>
        <v xml:space="preserve">Mwantimba
</v>
      </c>
      <c r="D131" s="263" t="s">
        <v>2460</v>
      </c>
      <c r="E131" s="263" t="s">
        <v>20</v>
      </c>
      <c r="F131" s="263">
        <v>1</v>
      </c>
      <c r="G131" s="264" t="str">
        <f>'Dry_Litterbag Placem_Collection'!C132</f>
        <v>Wet_P1_T2</v>
      </c>
      <c r="H131" s="265" t="s">
        <v>2541</v>
      </c>
      <c r="I131" s="266" t="s">
        <v>1147</v>
      </c>
      <c r="J131" s="223" t="str">
        <f>'WetLitterbags placem_collection'!K132</f>
        <v>G830</v>
      </c>
      <c r="K131" s="225">
        <f>IFERROR(INDEX('Green_rooibos initial weight'!$C$5:$C$1749,MATCH(J131, 'Green_rooibos initial weight'!$A$5:$A$1749,0)),"")</f>
        <v>1.8939999999999999</v>
      </c>
      <c r="L131" s="225">
        <f>IFERROR(K131-(TBIcalc!$H$9+TBIcalc!$H$10),"")</f>
        <v>1.6441999999999999</v>
      </c>
      <c r="M131" s="391">
        <f>AVERAGE(Ashed_controlls!$K$2:$K$11)</f>
        <v>5.5147656768714146</v>
      </c>
      <c r="N131" s="225">
        <f t="shared" ref="N131:N194" si="12">IFERROR(L131-(M131/100)*L131,"")</f>
        <v>1.5535262227408801</v>
      </c>
      <c r="O131" s="225">
        <f>IF(IFERROR(INDEX('Both teabags AfterWet'!$C$3:$C$841,MATCH(J131,'Both teabags AfterWet'!$A$3:$A$841,0)),"")="","",(IFERROR(INDEX('Both teabags AfterWet'!$C$3:$C$841,MATCH(J131,'Both teabags AfterWet'!$A$3:$A$841,0)),"")))</f>
        <v>0.54</v>
      </c>
      <c r="P131" s="225">
        <f>IFERROR(IF(O131&gt;0,O131-(TBIcalc!$H$9),""),"")</f>
        <v>0.38940000000000002</v>
      </c>
      <c r="Q131" s="225">
        <f>IFERROR(INDEX('Ashed teabags wet'!$K$2:$K$821,MATCH(J131,'Ashed teabags wet'!$A$2:$A$821,0)),"")</f>
        <v>12.680978532201229</v>
      </c>
      <c r="R131" s="225">
        <f t="shared" si="11"/>
        <v>0.34002026959560844</v>
      </c>
      <c r="S131" s="226">
        <f>'WetLitterbags placem_collection'!E132</f>
        <v>42762</v>
      </c>
      <c r="T131" s="226">
        <f>IF('WetLitterbags placem_collection'!G132="","",'WetLitterbags placem_collection'!G132)</f>
        <v>42816</v>
      </c>
      <c r="U131" s="227">
        <f t="shared" ref="U131:U194" si="13">IFERROR(T131-S131,"")</f>
        <v>54</v>
      </c>
      <c r="V131" s="225">
        <f t="shared" ref="V131:V194" si="14">IFERROR(L131-P131,"")</f>
        <v>1.2547999999999999</v>
      </c>
      <c r="W131" s="225">
        <f t="shared" ref="W131:W194" si="15">IFERROR(N131-R131,"")</f>
        <v>1.2135059531452717</v>
      </c>
      <c r="X131">
        <f>IFERROR(INDEX(Rainfall_Wet!$O$2:$O$217,MATCH(B131, Rainfall_Wet!$A$2:$A$217,0)),"")</f>
        <v>206.85140822299999</v>
      </c>
      <c r="Y131" s="231">
        <v>31.214836424255054</v>
      </c>
      <c r="Z131" s="231">
        <v>11.377370285476141</v>
      </c>
      <c r="AA131" s="231">
        <v>57.407793290268799</v>
      </c>
      <c r="AB131" s="232" t="s">
        <v>2670</v>
      </c>
      <c r="AC131" s="231">
        <v>2.7337604731394798</v>
      </c>
      <c r="AD131">
        <f>IF('WetLitterbags placem_collection'!AB132="","",'WetLitterbags placem_collection'!AB132)</f>
        <v>2.1</v>
      </c>
      <c r="AE131">
        <f>IF('WetLitterbags placem_collection'!Z132="","",'WetLitterbags placem_collection'!Z132)</f>
        <v>3.5</v>
      </c>
      <c r="AF131" s="246" t="str">
        <f>IF('WetLitterbags placem_collection'!AA132="","",'WetLitterbags placem_collection'!AA132)</f>
        <v>O</v>
      </c>
      <c r="AG131">
        <f>IF('WetLitterbags placem_collection'!AC132="","",'WetLitterbags placem_collection'!AC132)</f>
        <v>0</v>
      </c>
      <c r="AH131" s="240">
        <f>AVERAGE('WetLitterbags placem_collection'!S132,'WetLitterbags placem_collection'!U132)</f>
        <v>16.3</v>
      </c>
      <c r="AI131">
        <f>AVERAGE('WetLitterbags placem_collection'!R132,'WetLitterbags placem_collection'!T132)</f>
        <v>28.5</v>
      </c>
      <c r="AJ131">
        <f>INDEX(Coordinates!$B$2:$B$197,MATCH(G131,Coordinates!$J$2:$J$197,0))</f>
        <v>-2.3503729889999998</v>
      </c>
      <c r="AK131">
        <f>INDEX(Coordinates!$C$2:$C$197,MATCH(G131,Coordinates!$J$2:$J$197,0))</f>
        <v>34.049626969999998</v>
      </c>
      <c r="AL131" t="str">
        <f>IF(ISNUMBER(SEARCH("C", 'WetLitterbags placem_collection'!V132)),"YES","NO")</f>
        <v>NO</v>
      </c>
      <c r="AM131" t="str">
        <f>IF(ISNUMBER(SEARCH("H", 'WetLitterbags placem_collection'!V132)),"YES","NO")</f>
        <v>NO</v>
      </c>
      <c r="AN131" t="str">
        <f>IF(ISNUMBER(SEARCH("R", 'WetLitterbags placem_collection'!V132)),"YES","NO")</f>
        <v>YES</v>
      </c>
    </row>
    <row r="132" spans="1:40" ht="15" customHeight="1">
      <c r="A132" s="258" t="s">
        <v>2460</v>
      </c>
      <c r="B132" s="263">
        <f>'Dry_Litterbag Placem_Collection'!A133</f>
        <v>131</v>
      </c>
      <c r="C132" s="263" t="str">
        <f>'Dry_Litterbag Placem_Collection'!B133</f>
        <v xml:space="preserve">Mwantimba
</v>
      </c>
      <c r="D132" s="263" t="s">
        <v>2460</v>
      </c>
      <c r="E132" s="263" t="s">
        <v>20</v>
      </c>
      <c r="F132" s="263">
        <v>1</v>
      </c>
      <c r="G132" s="264" t="str">
        <f>'Dry_Litterbag Placem_Collection'!C133</f>
        <v>Wet_P1_T3</v>
      </c>
      <c r="H132" s="265" t="s">
        <v>2541</v>
      </c>
      <c r="I132" s="266" t="s">
        <v>1147</v>
      </c>
      <c r="J132" s="223" t="str">
        <f>'WetLitterbags placem_collection'!K133</f>
        <v>G746</v>
      </c>
      <c r="K132" s="225">
        <f>IFERROR(INDEX('Green_rooibos initial weight'!$C$5:$C$1749,MATCH(J132, 'Green_rooibos initial weight'!$A$5:$A$1749,0)),"")</f>
        <v>2.198</v>
      </c>
      <c r="L132" s="225">
        <f>IFERROR(K132-(TBIcalc!$H$9+TBIcalc!$H$10),"")</f>
        <v>1.9481999999999999</v>
      </c>
      <c r="M132" s="391">
        <f>AVERAGE(Ashed_controlls!$K$2:$K$11)</f>
        <v>5.5147656768714146</v>
      </c>
      <c r="N132" s="225">
        <f t="shared" si="12"/>
        <v>1.8407613350831911</v>
      </c>
      <c r="O132" s="225">
        <f>IF(IFERROR(INDEX('Both teabags AfterWet'!$C$3:$C$841,MATCH(J132,'Both teabags AfterWet'!$A$3:$A$841,0)),"")="","",(IFERROR(INDEX('Both teabags AfterWet'!$C$3:$C$841,MATCH(J132,'Both teabags AfterWet'!$A$3:$A$841,0)),"")))</f>
        <v>0.6613</v>
      </c>
      <c r="P132" s="225">
        <f>IFERROR(IF(O132&gt;0,O132-(TBIcalc!$H$9),""),"")</f>
        <v>0.51069999999999993</v>
      </c>
      <c r="Q132" s="225">
        <f>IFERROR(INDEX('Ashed teabags wet'!$K$2:$K$821,MATCH(J132,'Ashed teabags wet'!$A$2:$A$821,0)),"")</f>
        <v>16.72456575682352</v>
      </c>
      <c r="R132" s="225">
        <f t="shared" si="11"/>
        <v>0.42528764267990221</v>
      </c>
      <c r="S132" s="226">
        <f>'WetLitterbags placem_collection'!E133</f>
        <v>42762</v>
      </c>
      <c r="T132" s="226">
        <f>IF('WetLitterbags placem_collection'!G133="","",'WetLitterbags placem_collection'!G133)</f>
        <v>42816</v>
      </c>
      <c r="U132" s="227">
        <f t="shared" si="13"/>
        <v>54</v>
      </c>
      <c r="V132" s="225">
        <f t="shared" si="14"/>
        <v>1.4375</v>
      </c>
      <c r="W132" s="225">
        <f t="shared" si="15"/>
        <v>1.4154736924032889</v>
      </c>
      <c r="X132">
        <f>IFERROR(INDEX(Rainfall_Wet!$O$2:$O$217,MATCH(B132, Rainfall_Wet!$A$2:$A$217,0)),"")</f>
        <v>206.85140822299999</v>
      </c>
      <c r="Y132" s="231">
        <v>31.214836424255054</v>
      </c>
      <c r="Z132" s="231">
        <v>11.377370285476141</v>
      </c>
      <c r="AA132" s="231">
        <v>57.407793290268799</v>
      </c>
      <c r="AB132" s="232" t="s">
        <v>2670</v>
      </c>
      <c r="AC132" s="231">
        <v>3.7337604731394798</v>
      </c>
      <c r="AD132">
        <f>IF('WetLitterbags placem_collection'!AB133="","",'WetLitterbags placem_collection'!AB133)</f>
        <v>4.5</v>
      </c>
      <c r="AE132">
        <f>IF('WetLitterbags placem_collection'!Z133="","",'WetLitterbags placem_collection'!Z133)</f>
        <v>7.5</v>
      </c>
      <c r="AF132" s="246" t="str">
        <f>IF('WetLitterbags placem_collection'!AA133="","",'WetLitterbags placem_collection'!AA133)</f>
        <v>O</v>
      </c>
      <c r="AG132">
        <f>IF('WetLitterbags placem_collection'!AC133="","",'WetLitterbags placem_collection'!AC133)</f>
        <v>0</v>
      </c>
      <c r="AH132" s="240">
        <f>AVERAGE('WetLitterbags placem_collection'!S133,'WetLitterbags placem_collection'!U133)</f>
        <v>9.3000000000000007</v>
      </c>
      <c r="AI132">
        <f>AVERAGE('WetLitterbags placem_collection'!R133,'WetLitterbags placem_collection'!T133)</f>
        <v>28.950000000000003</v>
      </c>
      <c r="AJ132">
        <f>INDEX(Coordinates!$B$2:$B$197,MATCH(G132,Coordinates!$J$2:$J$197,0))</f>
        <v>-2.3503259660000002</v>
      </c>
      <c r="AK132">
        <f>INDEX(Coordinates!$C$2:$C$197,MATCH(G132,Coordinates!$J$2:$J$197,0))</f>
        <v>34.049616999999998</v>
      </c>
      <c r="AL132" t="str">
        <f>IF(ISNUMBER(SEARCH("C", 'WetLitterbags placem_collection'!V133)),"YES","NO")</f>
        <v>NO</v>
      </c>
      <c r="AM132" t="str">
        <f>IF(ISNUMBER(SEARCH("H", 'WetLitterbags placem_collection'!V133)),"YES","NO")</f>
        <v>YES</v>
      </c>
      <c r="AN132" t="str">
        <f>IF(ISNUMBER(SEARCH("R", 'WetLitterbags placem_collection'!V133)),"YES","NO")</f>
        <v>NO</v>
      </c>
    </row>
    <row r="133" spans="1:40" ht="15" customHeight="1">
      <c r="A133" s="258" t="s">
        <v>2460</v>
      </c>
      <c r="B133" s="263">
        <f>'Dry_Litterbag Placem_Collection'!A134</f>
        <v>132</v>
      </c>
      <c r="C133" s="263" t="str">
        <f>'Dry_Litterbag Placem_Collection'!B134</f>
        <v xml:space="preserve">Mwantimba
</v>
      </c>
      <c r="D133" s="263" t="s">
        <v>2460</v>
      </c>
      <c r="E133" s="263" t="s">
        <v>20</v>
      </c>
      <c r="F133" s="263">
        <v>1</v>
      </c>
      <c r="G133" s="264" t="str">
        <f>'Dry_Litterbag Placem_Collection'!C134</f>
        <v>Wet_P1_T4</v>
      </c>
      <c r="H133" s="265" t="s">
        <v>2541</v>
      </c>
      <c r="I133" s="266" t="s">
        <v>1147</v>
      </c>
      <c r="J133" s="223" t="str">
        <f>'WetLitterbags placem_collection'!K134</f>
        <v>G725</v>
      </c>
      <c r="K133" s="225">
        <f>IFERROR(INDEX('Green_rooibos initial weight'!$C$5:$C$1749,MATCH(J133, 'Green_rooibos initial weight'!$A$5:$A$1749,0)),"")</f>
        <v>2.0270000000000001</v>
      </c>
      <c r="L133" s="225">
        <f>IFERROR(K133-(TBIcalc!$H$9+TBIcalc!$H$10),"")</f>
        <v>1.7772000000000001</v>
      </c>
      <c r="M133" s="391">
        <f>AVERAGE(Ashed_controlls!$K$2:$K$11)</f>
        <v>5.5147656768714146</v>
      </c>
      <c r="N133" s="225">
        <f t="shared" si="12"/>
        <v>1.6791915843906413</v>
      </c>
      <c r="O133" s="225">
        <f>IF(IFERROR(INDEX('Both teabags AfterWet'!$C$3:$C$841,MATCH(J133,'Both teabags AfterWet'!$A$3:$A$841,0)),"")="","",(IFERROR(INDEX('Both teabags AfterWet'!$C$3:$C$841,MATCH(J133,'Both teabags AfterWet'!$A$3:$A$841,0)),"")))</f>
        <v>0.56820000000000004</v>
      </c>
      <c r="P133" s="225">
        <f>IFERROR(IF(O133&gt;0,O133-(TBIcalc!$H$9),""),"")</f>
        <v>0.41760000000000003</v>
      </c>
      <c r="Q133" s="225">
        <f>IFERROR(INDEX('Ashed teabags wet'!$K$2:$K$821,MATCH(J133,'Ashed teabags wet'!$A$2:$A$821,0)),"")</f>
        <v>14.355948869222813</v>
      </c>
      <c r="R133" s="225">
        <f t="shared" si="11"/>
        <v>0.35764955752212557</v>
      </c>
      <c r="S133" s="226">
        <f>'WetLitterbags placem_collection'!E134</f>
        <v>42762</v>
      </c>
      <c r="T133" s="226">
        <f>IF('WetLitterbags placem_collection'!G134="","",'WetLitterbags placem_collection'!G134)</f>
        <v>42816</v>
      </c>
      <c r="U133" s="227">
        <f t="shared" si="13"/>
        <v>54</v>
      </c>
      <c r="V133" s="225">
        <f t="shared" si="14"/>
        <v>1.3596000000000001</v>
      </c>
      <c r="W133" s="225">
        <f t="shared" si="15"/>
        <v>1.3215420268685159</v>
      </c>
      <c r="X133">
        <f>IFERROR(INDEX(Rainfall_Wet!$O$2:$O$217,MATCH(B133, Rainfall_Wet!$A$2:$A$217,0)),"")</f>
        <v>206.85140822299999</v>
      </c>
      <c r="Y133" s="231">
        <v>31.214836424255054</v>
      </c>
      <c r="Z133" s="231">
        <v>11.377370285476141</v>
      </c>
      <c r="AA133" s="231">
        <v>57.407793290268799</v>
      </c>
      <c r="AB133" s="232" t="s">
        <v>2670</v>
      </c>
      <c r="AC133" s="231">
        <v>4.7337604731394798</v>
      </c>
      <c r="AD133">
        <f>IF('WetLitterbags placem_collection'!AB134="","",'WetLitterbags placem_collection'!AB134)</f>
        <v>0.7</v>
      </c>
      <c r="AE133">
        <f>IF('WetLitterbags placem_collection'!Z134="","",'WetLitterbags placem_collection'!Z134)</f>
        <v>9.8000000000000007</v>
      </c>
      <c r="AF133" s="246" t="str">
        <f>IF('WetLitterbags placem_collection'!AA134="","",'WetLitterbags placem_collection'!AA134)</f>
        <v>G</v>
      </c>
      <c r="AG133">
        <f>IF('WetLitterbags placem_collection'!AC134="","",'WetLitterbags placem_collection'!AC134)</f>
        <v>1</v>
      </c>
      <c r="AH133" s="240">
        <f>AVERAGE('WetLitterbags placem_collection'!S134,'WetLitterbags placem_collection'!U134)</f>
        <v>18.55</v>
      </c>
      <c r="AI133">
        <f>AVERAGE('WetLitterbags placem_collection'!R134,'WetLitterbags placem_collection'!T134)</f>
        <v>28.95</v>
      </c>
      <c r="AJ133">
        <f>INDEX(Coordinates!$B$2:$B$197,MATCH(G133,Coordinates!$J$2:$J$197,0))</f>
        <v>-2.3504800260000001</v>
      </c>
      <c r="AK133">
        <f>INDEX(Coordinates!$C$2:$C$197,MATCH(G133,Coordinates!$J$2:$J$197,0))</f>
        <v>34.049551030000003</v>
      </c>
      <c r="AL133" t="str">
        <f>IF(ISNUMBER(SEARCH("C", 'WetLitterbags placem_collection'!V134)),"YES","NO")</f>
        <v>NO</v>
      </c>
      <c r="AM133" t="str">
        <f>IF(ISNUMBER(SEARCH("H", 'WetLitterbags placem_collection'!V134)),"YES","NO")</f>
        <v>NO</v>
      </c>
      <c r="AN133" t="str">
        <f>IF(ISNUMBER(SEARCH("R", 'WetLitterbags placem_collection'!V134)),"YES","NO")</f>
        <v>NO</v>
      </c>
    </row>
    <row r="134" spans="1:40" ht="15" customHeight="1">
      <c r="A134" s="258" t="s">
        <v>2460</v>
      </c>
      <c r="B134" s="263">
        <f>'Dry_Litterbag Placem_Collection'!A135</f>
        <v>133</v>
      </c>
      <c r="C134" s="263" t="str">
        <f>'Dry_Litterbag Placem_Collection'!B135</f>
        <v xml:space="preserve">Mwantimba
</v>
      </c>
      <c r="D134" s="263" t="s">
        <v>2460</v>
      </c>
      <c r="E134" s="263" t="s">
        <v>20</v>
      </c>
      <c r="F134" s="263">
        <v>1</v>
      </c>
      <c r="G134" s="264" t="str">
        <f>'Dry_Litterbag Placem_Collection'!C135</f>
        <v>Wet_P1_T5</v>
      </c>
      <c r="H134" s="265" t="s">
        <v>2541</v>
      </c>
      <c r="I134" s="266" t="s">
        <v>1147</v>
      </c>
      <c r="J134" s="223" t="str">
        <f>'WetLitterbags placem_collection'!K135</f>
        <v>G846</v>
      </c>
      <c r="K134" s="225">
        <f>IFERROR(INDEX('Green_rooibos initial weight'!$C$5:$C$1749,MATCH(J134, 'Green_rooibos initial weight'!$A$5:$A$1749,0)),"")</f>
        <v>2.0350000000000001</v>
      </c>
      <c r="L134" s="225">
        <f>IFERROR(K134-(TBIcalc!$H$9+TBIcalc!$H$10),"")</f>
        <v>1.7852000000000001</v>
      </c>
      <c r="M134" s="391">
        <f>AVERAGE(Ashed_controlls!$K$2:$K$11)</f>
        <v>5.5147656768714146</v>
      </c>
      <c r="N134" s="225">
        <f t="shared" si="12"/>
        <v>1.6867504031364917</v>
      </c>
      <c r="O134" s="225">
        <f>IF(IFERROR(INDEX('Both teabags AfterWet'!$C$3:$C$841,MATCH(J134,'Both teabags AfterWet'!$A$3:$A$841,0)),"")="","",(IFERROR(INDEX('Both teabags AfterWet'!$C$3:$C$841,MATCH(J134,'Both teabags AfterWet'!$A$3:$A$841,0)),"")))</f>
        <v>0.59309999999999996</v>
      </c>
      <c r="P134" s="225">
        <f>IFERROR(IF(O134&gt;0,O134-(TBIcalc!$H$9),""),"")</f>
        <v>0.44249999999999995</v>
      </c>
      <c r="Q134" s="225">
        <f>IFERROR(INDEX('Ashed teabags wet'!$K$2:$K$821,MATCH(J134,'Ashed teabags wet'!$A$2:$A$821,0)),"")</f>
        <v>11.326378539493467</v>
      </c>
      <c r="R134" s="225">
        <f t="shared" si="11"/>
        <v>0.39238077496274137</v>
      </c>
      <c r="S134" s="226">
        <f>'WetLitterbags placem_collection'!E135</f>
        <v>42762</v>
      </c>
      <c r="T134" s="226">
        <f>IF('WetLitterbags placem_collection'!G135="","",'WetLitterbags placem_collection'!G135)</f>
        <v>42816</v>
      </c>
      <c r="U134" s="227">
        <f t="shared" si="13"/>
        <v>54</v>
      </c>
      <c r="V134" s="225">
        <f t="shared" si="14"/>
        <v>1.3427000000000002</v>
      </c>
      <c r="W134" s="225">
        <f t="shared" si="15"/>
        <v>1.2943696281737505</v>
      </c>
      <c r="X134">
        <f>IFERROR(INDEX(Rainfall_Wet!$O$2:$O$217,MATCH(B134, Rainfall_Wet!$A$2:$A$217,0)),"")</f>
        <v>206.85140822299999</v>
      </c>
      <c r="Y134" s="231">
        <v>31.214836424255054</v>
      </c>
      <c r="Z134" s="231">
        <v>11.377370285476141</v>
      </c>
      <c r="AA134" s="231">
        <v>57.407793290268799</v>
      </c>
      <c r="AB134" s="232" t="s">
        <v>2670</v>
      </c>
      <c r="AC134" s="231">
        <v>5.7337604731394798</v>
      </c>
      <c r="AD134">
        <f>IF('WetLitterbags placem_collection'!AB135="","",'WetLitterbags placem_collection'!AB135)</f>
        <v>2.2000000000000002</v>
      </c>
      <c r="AE134">
        <f>IF('WetLitterbags placem_collection'!Z135="","",'WetLitterbags placem_collection'!Z135)</f>
        <v>10</v>
      </c>
      <c r="AF134" s="246" t="str">
        <f>IF('WetLitterbags placem_collection'!AA135="","",'WetLitterbags placem_collection'!AA135)</f>
        <v>O</v>
      </c>
      <c r="AG134">
        <f>IF('WetLitterbags placem_collection'!AC135="","",'WetLitterbags placem_collection'!AC135)</f>
        <v>1</v>
      </c>
      <c r="AH134" s="240">
        <f>AVERAGE('WetLitterbags placem_collection'!S135,'WetLitterbags placem_collection'!U135)</f>
        <v>13.399999999999999</v>
      </c>
      <c r="AI134">
        <f>AVERAGE('WetLitterbags placem_collection'!R135,'WetLitterbags placem_collection'!T135)</f>
        <v>31.349999999999998</v>
      </c>
      <c r="AJ134">
        <f>INDEX(Coordinates!$B$2:$B$197,MATCH(G134,Coordinates!$J$2:$J$197,0))</f>
        <v>-2.350474996</v>
      </c>
      <c r="AK134">
        <f>INDEX(Coordinates!$C$2:$C$197,MATCH(G134,Coordinates!$J$2:$J$197,0))</f>
        <v>34.049801979999998</v>
      </c>
      <c r="AL134" t="str">
        <f>IF(ISNUMBER(SEARCH("C", 'WetLitterbags placem_collection'!V135)),"YES","NO")</f>
        <v>NO</v>
      </c>
      <c r="AM134" t="str">
        <f>IF(ISNUMBER(SEARCH("H", 'WetLitterbags placem_collection'!V135)),"YES","NO")</f>
        <v>NO</v>
      </c>
      <c r="AN134" t="str">
        <f>IF(ISNUMBER(SEARCH("R", 'WetLitterbags placem_collection'!V135)),"YES","NO")</f>
        <v>NO</v>
      </c>
    </row>
    <row r="135" spans="1:40" ht="15" customHeight="1">
      <c r="A135" s="258" t="s">
        <v>2460</v>
      </c>
      <c r="B135" s="263">
        <f>'Dry_Litterbag Placem_Collection'!A136</f>
        <v>134</v>
      </c>
      <c r="C135" s="263" t="str">
        <f>'Dry_Litterbag Placem_Collection'!B136</f>
        <v xml:space="preserve">Mwantimba
</v>
      </c>
      <c r="D135" s="263" t="s">
        <v>2460</v>
      </c>
      <c r="E135" s="263" t="s">
        <v>20</v>
      </c>
      <c r="F135" s="263">
        <v>1</v>
      </c>
      <c r="G135" s="264" t="str">
        <f>'Dry_Litterbag Placem_Collection'!C136</f>
        <v>Wet_P1_T6</v>
      </c>
      <c r="H135" s="265" t="s">
        <v>2541</v>
      </c>
      <c r="I135" s="266" t="s">
        <v>1147</v>
      </c>
      <c r="J135" s="223" t="str">
        <f>'WetLitterbags placem_collection'!K136</f>
        <v>G756</v>
      </c>
      <c r="K135" s="225">
        <f>IFERROR(INDEX('Green_rooibos initial weight'!$C$5:$C$1749,MATCH(J135, 'Green_rooibos initial weight'!$A$5:$A$1749,0)),"")</f>
        <v>2.1459999999999999</v>
      </c>
      <c r="L135" s="225">
        <f>IFERROR(K135-(TBIcalc!$H$9+TBIcalc!$H$10),"")</f>
        <v>1.8961999999999999</v>
      </c>
      <c r="M135" s="391">
        <f>AVERAGE(Ashed_controlls!$K$2:$K$11)</f>
        <v>5.5147656768714146</v>
      </c>
      <c r="N135" s="225">
        <f t="shared" si="12"/>
        <v>1.7916290132351642</v>
      </c>
      <c r="O135" s="225">
        <f>IF(IFERROR(INDEX('Both teabags AfterWet'!$C$3:$C$841,MATCH(J135,'Both teabags AfterWet'!$A$3:$A$841,0)),"")="","",(IFERROR(INDEX('Both teabags AfterWet'!$C$3:$C$841,MATCH(J135,'Both teabags AfterWet'!$A$3:$A$841,0)),"")))</f>
        <v>0.69399999999999995</v>
      </c>
      <c r="P135" s="225">
        <f>IFERROR(IF(O135&gt;0,O135-(TBIcalc!$H$9),""),"")</f>
        <v>0.54339999999999988</v>
      </c>
      <c r="Q135" s="225">
        <f>IFERROR(INDEX('Ashed teabags wet'!$K$2:$K$821,MATCH(J135,'Ashed teabags wet'!$A$2:$A$821,0)),"")</f>
        <v>17.213930348258991</v>
      </c>
      <c r="R135" s="225">
        <f t="shared" si="11"/>
        <v>0.44985950248756057</v>
      </c>
      <c r="S135" s="226">
        <f>'WetLitterbags placem_collection'!E136</f>
        <v>42762</v>
      </c>
      <c r="T135" s="226">
        <f>IF('WetLitterbags placem_collection'!G136="","",'WetLitterbags placem_collection'!G136)</f>
        <v>42816</v>
      </c>
      <c r="U135" s="227">
        <f t="shared" si="13"/>
        <v>54</v>
      </c>
      <c r="V135" s="225">
        <f t="shared" si="14"/>
        <v>1.3528</v>
      </c>
      <c r="W135" s="225">
        <f t="shared" si="15"/>
        <v>1.3417695107476035</v>
      </c>
      <c r="X135">
        <f>IFERROR(INDEX(Rainfall_Wet!$O$2:$O$217,MATCH(B135, Rainfall_Wet!$A$2:$A$217,0)),"")</f>
        <v>206.85140822299999</v>
      </c>
      <c r="Y135" s="231">
        <v>31.214836424255054</v>
      </c>
      <c r="Z135" s="231">
        <v>11.377370285476141</v>
      </c>
      <c r="AA135" s="231">
        <v>57.407793290268799</v>
      </c>
      <c r="AB135" s="232" t="s">
        <v>2670</v>
      </c>
      <c r="AC135" s="231">
        <v>6.7337604731394798</v>
      </c>
      <c r="AD135">
        <f>IF('WetLitterbags placem_collection'!AB136="","",'WetLitterbags placem_collection'!AB136)</f>
        <v>1.1000000000000001</v>
      </c>
      <c r="AE135">
        <f>IF('WetLitterbags placem_collection'!Z136="","",'WetLitterbags placem_collection'!Z136)</f>
        <v>15.4</v>
      </c>
      <c r="AF135" s="246" t="str">
        <f>IF('WetLitterbags placem_collection'!AA136="","",'WetLitterbags placem_collection'!AA136)</f>
        <v>O</v>
      </c>
      <c r="AG135">
        <f>IF('WetLitterbags placem_collection'!AC136="","",'WetLitterbags placem_collection'!AC136)</f>
        <v>1</v>
      </c>
      <c r="AH135" s="240">
        <f>AVERAGE('WetLitterbags placem_collection'!S136,'WetLitterbags placem_collection'!U136)</f>
        <v>12.7</v>
      </c>
      <c r="AI135">
        <f>AVERAGE('WetLitterbags placem_collection'!R136,'WetLitterbags placem_collection'!T136)</f>
        <v>30.15</v>
      </c>
      <c r="AJ135">
        <f>INDEX(Coordinates!$B$2:$B$197,MATCH(G135,Coordinates!$J$2:$J$197,0))</f>
        <v>-2.3503559730000001</v>
      </c>
      <c r="AK135">
        <f>INDEX(Coordinates!$C$2:$C$197,MATCH(G135,Coordinates!$J$2:$J$197,0))</f>
        <v>34.049800980000001</v>
      </c>
      <c r="AL135" t="str">
        <f>IF(ISNUMBER(SEARCH("C", 'WetLitterbags placem_collection'!V136)),"YES","NO")</f>
        <v>NO</v>
      </c>
      <c r="AM135" t="str">
        <f>IF(ISNUMBER(SEARCH("H", 'WetLitterbags placem_collection'!V136)),"YES","NO")</f>
        <v>NO</v>
      </c>
      <c r="AN135" t="str">
        <f>IF(ISNUMBER(SEARCH("R", 'WetLitterbags placem_collection'!V136)),"YES","NO")</f>
        <v>YES</v>
      </c>
    </row>
    <row r="136" spans="1:40" ht="15" customHeight="1">
      <c r="A136" s="258" t="s">
        <v>2460</v>
      </c>
      <c r="B136" s="263">
        <f>'Dry_Litterbag Placem_Collection'!A137</f>
        <v>135</v>
      </c>
      <c r="C136" s="263" t="str">
        <f>'Dry_Litterbag Placem_Collection'!B137</f>
        <v xml:space="preserve">Mwantimba
</v>
      </c>
      <c r="D136" s="263" t="s">
        <v>2460</v>
      </c>
      <c r="E136" s="263" t="s">
        <v>20</v>
      </c>
      <c r="F136" s="263">
        <v>1</v>
      </c>
      <c r="G136" s="264" t="str">
        <f>'Dry_Litterbag Placem_Collection'!C137</f>
        <v>Wet_P1_T7</v>
      </c>
      <c r="H136" s="265" t="s">
        <v>2541</v>
      </c>
      <c r="I136" s="266" t="s">
        <v>1147</v>
      </c>
      <c r="J136" s="223" t="str">
        <f>'WetLitterbags placem_collection'!K137</f>
        <v>G745</v>
      </c>
      <c r="K136" s="225">
        <f>IFERROR(INDEX('Green_rooibos initial weight'!$C$5:$C$1749,MATCH(J136, 'Green_rooibos initial weight'!$A$5:$A$1749,0)),"")</f>
        <v>1.9570000000000001</v>
      </c>
      <c r="L136" s="225">
        <f>IFERROR(K136-(TBIcalc!$H$9+TBIcalc!$H$10),"")</f>
        <v>1.7072000000000001</v>
      </c>
      <c r="M136" s="391">
        <f>AVERAGE(Ashed_controlls!$K$2:$K$11)</f>
        <v>5.5147656768714146</v>
      </c>
      <c r="N136" s="225">
        <f t="shared" si="12"/>
        <v>1.6130519203644513</v>
      </c>
      <c r="O136" s="225">
        <f>IF(IFERROR(INDEX('Both teabags AfterWet'!$C$3:$C$841,MATCH(J136,'Both teabags AfterWet'!$A$3:$A$841,0)),"")="","",(IFERROR(INDEX('Both teabags AfterWet'!$C$3:$C$841,MATCH(J136,'Both teabags AfterWet'!$A$3:$A$841,0)),"")))</f>
        <v>0.61099999999999999</v>
      </c>
      <c r="P136" s="225">
        <f>IFERROR(IF(O136&gt;0,O136-(TBIcalc!$H$9),""),"")</f>
        <v>0.46039999999999998</v>
      </c>
      <c r="Q136" s="225">
        <f>IFERROR(INDEX('Ashed teabags wet'!$K$2:$K$821,MATCH(J136,'Ashed teabags wet'!$A$2:$A$821,0)),"")</f>
        <v>14.334637964774716</v>
      </c>
      <c r="R136" s="225">
        <f t="shared" si="11"/>
        <v>0.3944033268101772</v>
      </c>
      <c r="S136" s="226">
        <f>'WetLitterbags placem_collection'!E137</f>
        <v>42762</v>
      </c>
      <c r="T136" s="226">
        <f>IF('WetLitterbags placem_collection'!G137="","",'WetLitterbags placem_collection'!G137)</f>
        <v>42816</v>
      </c>
      <c r="U136" s="227">
        <f t="shared" si="13"/>
        <v>54</v>
      </c>
      <c r="V136" s="225">
        <f t="shared" si="14"/>
        <v>1.2468000000000001</v>
      </c>
      <c r="W136" s="225">
        <f t="shared" si="15"/>
        <v>1.2186485935542741</v>
      </c>
      <c r="X136">
        <f>IFERROR(INDEX(Rainfall_Wet!$O$2:$O$217,MATCH(B136, Rainfall_Wet!$A$2:$A$217,0)),"")</f>
        <v>206.85140822299999</v>
      </c>
      <c r="Y136" s="231">
        <v>31.214836424255054</v>
      </c>
      <c r="Z136" s="231">
        <v>11.377370285476141</v>
      </c>
      <c r="AA136" s="231">
        <v>57.407793290268799</v>
      </c>
      <c r="AB136" s="232" t="s">
        <v>2670</v>
      </c>
      <c r="AC136" s="231">
        <v>7.7337604731394798</v>
      </c>
      <c r="AD136">
        <f>IF('WetLitterbags placem_collection'!AB137="","",'WetLitterbags placem_collection'!AB137)</f>
        <v>2.1</v>
      </c>
      <c r="AE136">
        <f>IF('WetLitterbags placem_collection'!Z137="","",'WetLitterbags placem_collection'!Z137)</f>
        <v>5.6</v>
      </c>
      <c r="AF136" s="246" t="str">
        <f>IF('WetLitterbags placem_collection'!AA137="","",'WetLitterbags placem_collection'!AA137)</f>
        <v>O</v>
      </c>
      <c r="AG136">
        <f>IF('WetLitterbags placem_collection'!AC137="","",'WetLitterbags placem_collection'!AC137)</f>
        <v>1</v>
      </c>
      <c r="AH136" s="240">
        <f>AVERAGE('WetLitterbags placem_collection'!S137,'WetLitterbags placem_collection'!U137)</f>
        <v>14.5</v>
      </c>
      <c r="AI136">
        <f>AVERAGE('WetLitterbags placem_collection'!R137,'WetLitterbags placem_collection'!T137)</f>
        <v>29.65</v>
      </c>
      <c r="AJ136">
        <f>INDEX(Coordinates!$B$2:$B$197,MATCH(G136,Coordinates!$J$2:$J$197,0))</f>
        <v>-2.3503589909999998</v>
      </c>
      <c r="AK136">
        <f>INDEX(Coordinates!$C$2:$C$197,MATCH(G136,Coordinates!$J$2:$J$197,0))</f>
        <v>34.049719000000003</v>
      </c>
      <c r="AL136" t="str">
        <f>IF(ISNUMBER(SEARCH("C", 'WetLitterbags placem_collection'!V137)),"YES","NO")</f>
        <v>NO</v>
      </c>
      <c r="AM136" t="str">
        <f>IF(ISNUMBER(SEARCH("H", 'WetLitterbags placem_collection'!V137)),"YES","NO")</f>
        <v>NO</v>
      </c>
      <c r="AN136" t="str">
        <f>IF(ISNUMBER(SEARCH("R", 'WetLitterbags placem_collection'!V137)),"YES","NO")</f>
        <v>YES</v>
      </c>
    </row>
    <row r="137" spans="1:40" ht="15" customHeight="1">
      <c r="A137" s="258" t="s">
        <v>2460</v>
      </c>
      <c r="B137" s="263">
        <f>'Dry_Litterbag Placem_Collection'!A138</f>
        <v>136</v>
      </c>
      <c r="C137" s="263" t="str">
        <f>'Dry_Litterbag Placem_Collection'!B138</f>
        <v xml:space="preserve">Mwantimba
</v>
      </c>
      <c r="D137" s="263" t="s">
        <v>2460</v>
      </c>
      <c r="E137" s="263" t="s">
        <v>20</v>
      </c>
      <c r="F137" s="263">
        <v>1</v>
      </c>
      <c r="G137" s="264" t="str">
        <f>'Dry_Litterbag Placem_Collection'!C138</f>
        <v>Wet_P1_T8</v>
      </c>
      <c r="H137" s="265" t="s">
        <v>2541</v>
      </c>
      <c r="I137" s="266" t="s">
        <v>1147</v>
      </c>
      <c r="J137" s="223" t="str">
        <f>'WetLitterbags placem_collection'!K138</f>
        <v>G832</v>
      </c>
      <c r="K137" s="225">
        <f>IFERROR(INDEX('Green_rooibos initial weight'!$C$5:$C$1749,MATCH(J137, 'Green_rooibos initial weight'!$A$5:$A$1749,0)),"")</f>
        <v>2.0470000000000002</v>
      </c>
      <c r="L137" s="225">
        <f>IFERROR(K137-(TBIcalc!$H$9+TBIcalc!$H$10),"")</f>
        <v>1.7972000000000001</v>
      </c>
      <c r="M137" s="391">
        <f>AVERAGE(Ashed_controlls!$K$2:$K$11)</f>
        <v>5.5147656768714146</v>
      </c>
      <c r="N137" s="225">
        <f t="shared" si="12"/>
        <v>1.698088631255267</v>
      </c>
      <c r="O137" s="225">
        <f>IF(IFERROR(INDEX('Both teabags AfterWet'!$C$3:$C$841,MATCH(J137,'Both teabags AfterWet'!$A$3:$A$841,0)),"")="","",(IFERROR(INDEX('Both teabags AfterWet'!$C$3:$C$841,MATCH(J137,'Both teabags AfterWet'!$A$3:$A$841,0)),"")))</f>
        <v>0.5796</v>
      </c>
      <c r="P137" s="225">
        <f>IFERROR(IF(O137&gt;0,O137-(TBIcalc!$H$9),""),"")</f>
        <v>0.42899999999999999</v>
      </c>
      <c r="Q137" s="225">
        <f>IFERROR(INDEX('Ashed teabags wet'!$K$2:$K$821,MATCH(J137,'Ashed teabags wet'!$A$2:$A$821,0)),"")</f>
        <v>15.08132084770828</v>
      </c>
      <c r="R137" s="225">
        <f t="shared" si="11"/>
        <v>0.36430113356333149</v>
      </c>
      <c r="S137" s="226">
        <f>'WetLitterbags placem_collection'!E138</f>
        <v>42762</v>
      </c>
      <c r="T137" s="226">
        <f>IF('WetLitterbags placem_collection'!G138="","",'WetLitterbags placem_collection'!G138)</f>
        <v>42816</v>
      </c>
      <c r="U137" s="227">
        <f t="shared" si="13"/>
        <v>54</v>
      </c>
      <c r="V137" s="225">
        <f t="shared" si="14"/>
        <v>1.3682000000000001</v>
      </c>
      <c r="W137" s="225">
        <f t="shared" si="15"/>
        <v>1.3337874976919355</v>
      </c>
      <c r="X137">
        <f>IFERROR(INDEX(Rainfall_Wet!$O$2:$O$217,MATCH(B137, Rainfall_Wet!$A$2:$A$217,0)),"")</f>
        <v>206.85140822299999</v>
      </c>
      <c r="Y137" s="231">
        <v>31.214836424255054</v>
      </c>
      <c r="Z137" s="231">
        <v>11.377370285476141</v>
      </c>
      <c r="AA137" s="231">
        <v>57.407793290268799</v>
      </c>
      <c r="AB137" s="232" t="s">
        <v>2670</v>
      </c>
      <c r="AC137" s="231">
        <v>8.7337604731394798</v>
      </c>
      <c r="AD137">
        <f>IF('WetLitterbags placem_collection'!AB138="","",'WetLitterbags placem_collection'!AB138)</f>
        <v>2.2999999999999998</v>
      </c>
      <c r="AE137">
        <f>IF('WetLitterbags placem_collection'!Z138="","",'WetLitterbags placem_collection'!Z138)</f>
        <v>16.3</v>
      </c>
      <c r="AF137" s="246" t="str">
        <f>IF('WetLitterbags placem_collection'!AA138="","",'WetLitterbags placem_collection'!AA138)</f>
        <v>G</v>
      </c>
      <c r="AG137">
        <f>IF('WetLitterbags placem_collection'!AC138="","",'WetLitterbags placem_collection'!AC138)</f>
        <v>1</v>
      </c>
      <c r="AH137" s="240">
        <f>AVERAGE('WetLitterbags placem_collection'!S138,'WetLitterbags placem_collection'!U138)</f>
        <v>14.65</v>
      </c>
      <c r="AI137">
        <f>AVERAGE('WetLitterbags placem_collection'!R138,'WetLitterbags placem_collection'!T138)</f>
        <v>30.6</v>
      </c>
      <c r="AJ137">
        <f>INDEX(Coordinates!$B$2:$B$197,MATCH(G137,Coordinates!$J$2:$J$197,0))</f>
        <v>-2.3502159960000002</v>
      </c>
      <c r="AK137">
        <f>INDEX(Coordinates!$C$2:$C$197,MATCH(G137,Coordinates!$J$2:$J$197,0))</f>
        <v>34.049822020000001</v>
      </c>
      <c r="AL137" t="str">
        <f>IF(ISNUMBER(SEARCH("C", 'WetLitterbags placem_collection'!V138)),"YES","NO")</f>
        <v>NO</v>
      </c>
      <c r="AM137" t="str">
        <f>IF(ISNUMBER(SEARCH("H", 'WetLitterbags placem_collection'!V138)),"YES","NO")</f>
        <v>NO</v>
      </c>
      <c r="AN137" t="str">
        <f>IF(ISNUMBER(SEARCH("R", 'WetLitterbags placem_collection'!V138)),"YES","NO")</f>
        <v>YES</v>
      </c>
    </row>
    <row r="138" spans="1:40" ht="15" customHeight="1">
      <c r="A138" s="258" t="s">
        <v>2460</v>
      </c>
      <c r="B138" s="263">
        <f>'Dry_Litterbag Placem_Collection'!A139</f>
        <v>137</v>
      </c>
      <c r="C138" s="263" t="str">
        <f>'Dry_Litterbag Placem_Collection'!B139</f>
        <v xml:space="preserve">Mwantimba
</v>
      </c>
      <c r="D138" s="263" t="s">
        <v>2460</v>
      </c>
      <c r="E138" s="263" t="s">
        <v>20</v>
      </c>
      <c r="F138" s="263">
        <v>2</v>
      </c>
      <c r="G138" s="264" t="str">
        <f>'Dry_Litterbag Placem_Collection'!C139</f>
        <v>Wet_P2_T1</v>
      </c>
      <c r="H138" s="265" t="s">
        <v>2541</v>
      </c>
      <c r="I138" s="266" t="s">
        <v>1147</v>
      </c>
      <c r="J138" s="223" t="str">
        <f>'WetLitterbags placem_collection'!K139</f>
        <v>G805</v>
      </c>
      <c r="K138" s="225">
        <f>IFERROR(INDEX('Green_rooibos initial weight'!$C$5:$C$1749,MATCH(J138, 'Green_rooibos initial weight'!$A$5:$A$1749,0)),"")</f>
        <v>1.9810000000000001</v>
      </c>
      <c r="L138" s="225">
        <f>IFERROR(K138-(TBIcalc!$H$9+TBIcalc!$H$10),"")</f>
        <v>1.7312000000000001</v>
      </c>
      <c r="M138" s="391">
        <f>AVERAGE(Ashed_controlls!$K$2:$K$11)</f>
        <v>5.5147656768714146</v>
      </c>
      <c r="N138" s="225">
        <f t="shared" si="12"/>
        <v>1.6357283766020021</v>
      </c>
      <c r="O138" s="225">
        <f>IF(IFERROR(INDEX('Both teabags AfterWet'!$C$3:$C$841,MATCH(J138,'Both teabags AfterWet'!$A$3:$A$841,0)),"")="","",(IFERROR(INDEX('Both teabags AfterWet'!$C$3:$C$841,MATCH(J138,'Both teabags AfterWet'!$A$3:$A$841,0)),"")))</f>
        <v>1.5740000000000001</v>
      </c>
      <c r="P138" s="225">
        <f>IFERROR(IF(O138&gt;0,O138-(TBIcalc!$H$9),""),"")</f>
        <v>1.4234</v>
      </c>
      <c r="Q138" s="225">
        <f>IFERROR(INDEX('Ashed teabags wet'!$K$2:$K$821,MATCH(J138,'Ashed teabags wet'!$A$2:$A$821,0)),"")</f>
        <v>15.662650602409292</v>
      </c>
      <c r="R138" s="225">
        <f t="shared" si="11"/>
        <v>1.200457831325306</v>
      </c>
      <c r="S138" s="226">
        <f>'WetLitterbags placem_collection'!E139</f>
        <v>42762</v>
      </c>
      <c r="T138" s="226">
        <f>IF('WetLitterbags placem_collection'!G139="","",'WetLitterbags placem_collection'!G139)</f>
        <v>42816</v>
      </c>
      <c r="U138" s="227">
        <f t="shared" si="13"/>
        <v>54</v>
      </c>
      <c r="V138" s="225">
        <f t="shared" si="14"/>
        <v>0.30780000000000007</v>
      </c>
      <c r="W138" s="225">
        <f t="shared" si="15"/>
        <v>0.43527054527669606</v>
      </c>
      <c r="X138">
        <f>IFERROR(INDEX(Rainfall_Wet!$O$2:$O$217,MATCH(B138, Rainfall_Wet!$A$2:$A$217,0)),"")</f>
        <v>206.85140822299999</v>
      </c>
      <c r="Y138" s="231">
        <v>33.96</v>
      </c>
      <c r="Z138" s="231">
        <v>8.9200000000000017</v>
      </c>
      <c r="AA138" s="231">
        <v>57.12</v>
      </c>
      <c r="AB138" s="232" t="s">
        <v>2670</v>
      </c>
      <c r="AC138" s="231">
        <v>2.072055199605717</v>
      </c>
      <c r="AD138">
        <f>IF('WetLitterbags placem_collection'!AB139="","",'WetLitterbags placem_collection'!AB139)</f>
        <v>1.2</v>
      </c>
      <c r="AE138">
        <f>IF('WetLitterbags placem_collection'!Z139="","",'WetLitterbags placem_collection'!Z139)</f>
        <v>32.4</v>
      </c>
      <c r="AF138" s="246" t="str">
        <f>IF('WetLitterbags placem_collection'!AA139="","",'WetLitterbags placem_collection'!AA139)</f>
        <v>G</v>
      </c>
      <c r="AG138">
        <f>IF('WetLitterbags placem_collection'!AC139="","",'WetLitterbags placem_collection'!AC139)</f>
        <v>1</v>
      </c>
      <c r="AH138" s="240">
        <f>AVERAGE('WetLitterbags placem_collection'!S139,'WetLitterbags placem_collection'!U139)</f>
        <v>15.5</v>
      </c>
      <c r="AI138">
        <f>AVERAGE('WetLitterbags placem_collection'!R139,'WetLitterbags placem_collection'!T139)</f>
        <v>28.5</v>
      </c>
      <c r="AJ138">
        <f>INDEX(Coordinates!$B$2:$B$197,MATCH(G138,Coordinates!$J$2:$J$197,0))</f>
        <v>-2.348596025</v>
      </c>
      <c r="AK138">
        <f>INDEX(Coordinates!$C$2:$C$197,MATCH(G138,Coordinates!$J$2:$J$197,0))</f>
        <v>34.050070959999999</v>
      </c>
      <c r="AL138" t="str">
        <f>IF(ISNUMBER(SEARCH("C", 'WetLitterbags placem_collection'!V139)),"YES","NO")</f>
        <v>NO</v>
      </c>
      <c r="AM138" t="str">
        <f>IF(ISNUMBER(SEARCH("H", 'WetLitterbags placem_collection'!V139)),"YES","NO")</f>
        <v>NO</v>
      </c>
      <c r="AN138" t="str">
        <f>IF(ISNUMBER(SEARCH("R", 'WetLitterbags placem_collection'!V139)),"YES","NO")</f>
        <v>YES</v>
      </c>
    </row>
    <row r="139" spans="1:40" ht="15" customHeight="1">
      <c r="A139" s="258" t="s">
        <v>2460</v>
      </c>
      <c r="B139" s="263">
        <f>'Dry_Litterbag Placem_Collection'!A140</f>
        <v>138</v>
      </c>
      <c r="C139" s="263" t="str">
        <f>'Dry_Litterbag Placem_Collection'!B140</f>
        <v xml:space="preserve">Mwantimba
</v>
      </c>
      <c r="D139" s="263" t="s">
        <v>2460</v>
      </c>
      <c r="E139" s="263" t="s">
        <v>20</v>
      </c>
      <c r="F139" s="263">
        <v>2</v>
      </c>
      <c r="G139" s="264" t="str">
        <f>'Dry_Litterbag Placem_Collection'!C140</f>
        <v>Wet_P2_T2</v>
      </c>
      <c r="H139" s="265" t="s">
        <v>2541</v>
      </c>
      <c r="I139" s="266" t="s">
        <v>1147</v>
      </c>
      <c r="J139" s="223" t="str">
        <f>'WetLitterbags placem_collection'!K140</f>
        <v>G815</v>
      </c>
      <c r="K139" s="225">
        <f>IFERROR(INDEX('Green_rooibos initial weight'!$C$5:$C$1749,MATCH(J139, 'Green_rooibos initial weight'!$A$5:$A$1749,0)),"")</f>
        <v>1.998</v>
      </c>
      <c r="L139" s="225">
        <f>IFERROR(K139-(TBIcalc!$H$9+TBIcalc!$H$10),"")</f>
        <v>1.7482</v>
      </c>
      <c r="M139" s="391">
        <f>AVERAGE(Ashed_controlls!$K$2:$K$11)</f>
        <v>5.5147656768714146</v>
      </c>
      <c r="N139" s="225">
        <f t="shared" si="12"/>
        <v>1.6517908664369338</v>
      </c>
      <c r="O139" s="225">
        <f>IF(IFERROR(INDEX('Both teabags AfterWet'!$C$3:$C$841,MATCH(J139,'Both teabags AfterWet'!$A$3:$A$841,0)),"")="","",(IFERROR(INDEX('Both teabags AfterWet'!$C$3:$C$841,MATCH(J139,'Both teabags AfterWet'!$A$3:$A$841,0)),"")))</f>
        <v>0.64300000000000002</v>
      </c>
      <c r="P139" s="225">
        <f>IFERROR(IF(O139&gt;0,O139-(TBIcalc!$H$9),""),"")</f>
        <v>0.4924</v>
      </c>
      <c r="Q139" s="225">
        <f>IFERROR(INDEX('Ashed teabags wet'!$K$2:$K$821,MATCH(J139,'Ashed teabags wet'!$A$2:$A$821,0)),"")</f>
        <v>14.392059553350164</v>
      </c>
      <c r="R139" s="225">
        <f t="shared" ref="R139:R202" si="16">IFERROR(P139-(Q139/100)*P139,"")</f>
        <v>0.42153349875930379</v>
      </c>
      <c r="S139" s="226">
        <f>'WetLitterbags placem_collection'!E140</f>
        <v>42762</v>
      </c>
      <c r="T139" s="226">
        <f>IF('WetLitterbags placem_collection'!G140="","",'WetLitterbags placem_collection'!G140)</f>
        <v>42816</v>
      </c>
      <c r="U139" s="227">
        <f t="shared" si="13"/>
        <v>54</v>
      </c>
      <c r="V139" s="225">
        <f t="shared" si="14"/>
        <v>1.2558</v>
      </c>
      <c r="W139" s="225">
        <f t="shared" si="15"/>
        <v>1.2302573676776301</v>
      </c>
      <c r="X139">
        <f>IFERROR(INDEX(Rainfall_Wet!$O$2:$O$217,MATCH(B139, Rainfall_Wet!$A$2:$A$217,0)),"")</f>
        <v>206.85140822299999</v>
      </c>
      <c r="Y139" s="231">
        <v>33.96</v>
      </c>
      <c r="Z139" s="231">
        <v>8.9200000000000017</v>
      </c>
      <c r="AA139" s="231">
        <v>57.12</v>
      </c>
      <c r="AB139" s="232" t="s">
        <v>2670</v>
      </c>
      <c r="AC139" s="231">
        <v>3.0720551996057202</v>
      </c>
      <c r="AD139">
        <f>IF('WetLitterbags placem_collection'!AB140="","",'WetLitterbags placem_collection'!AB140)</f>
        <v>2.8</v>
      </c>
      <c r="AE139">
        <f>IF('WetLitterbags placem_collection'!Z140="","",'WetLitterbags placem_collection'!Z140)</f>
        <v>26.4</v>
      </c>
      <c r="AF139" s="246" t="str">
        <f>IF('WetLitterbags placem_collection'!AA140="","",'WetLitterbags placem_collection'!AA140)</f>
        <v>G</v>
      </c>
      <c r="AG139">
        <f>IF('WetLitterbags placem_collection'!AC140="","",'WetLitterbags placem_collection'!AC140)</f>
        <v>1</v>
      </c>
      <c r="AH139" s="240">
        <f>AVERAGE('WetLitterbags placem_collection'!S140,'WetLitterbags placem_collection'!U140)</f>
        <v>15.5</v>
      </c>
      <c r="AI139">
        <f>AVERAGE('WetLitterbags placem_collection'!R140,'WetLitterbags placem_collection'!T140)</f>
        <v>29.35</v>
      </c>
      <c r="AJ139">
        <f>INDEX(Coordinates!$B$2:$B$197,MATCH(G139,Coordinates!$J$2:$J$197,0))</f>
        <v>-2.3485449790000001</v>
      </c>
      <c r="AK139">
        <f>INDEX(Coordinates!$C$2:$C$197,MATCH(G139,Coordinates!$J$2:$J$197,0))</f>
        <v>34.050146980000001</v>
      </c>
      <c r="AL139" t="str">
        <f>IF(ISNUMBER(SEARCH("C", 'WetLitterbags placem_collection'!V140)),"YES","NO")</f>
        <v>NO</v>
      </c>
      <c r="AM139" t="str">
        <f>IF(ISNUMBER(SEARCH("H", 'WetLitterbags placem_collection'!V140)),"YES","NO")</f>
        <v>NO</v>
      </c>
      <c r="AN139" t="str">
        <f>IF(ISNUMBER(SEARCH("R", 'WetLitterbags placem_collection'!V140)),"YES","NO")</f>
        <v>YES</v>
      </c>
    </row>
    <row r="140" spans="1:40" ht="15" customHeight="1">
      <c r="A140" s="258" t="s">
        <v>2460</v>
      </c>
      <c r="B140" s="263">
        <f>'Dry_Litterbag Placem_Collection'!A141</f>
        <v>139</v>
      </c>
      <c r="C140" s="263" t="str">
        <f>'Dry_Litterbag Placem_Collection'!B141</f>
        <v xml:space="preserve">Mwantimba
</v>
      </c>
      <c r="D140" s="263" t="s">
        <v>2460</v>
      </c>
      <c r="E140" s="263" t="s">
        <v>20</v>
      </c>
      <c r="F140" s="263">
        <v>2</v>
      </c>
      <c r="G140" s="264" t="str">
        <f>'Dry_Litterbag Placem_Collection'!C141</f>
        <v>Wet_P2_T3</v>
      </c>
      <c r="H140" s="265" t="s">
        <v>2541</v>
      </c>
      <c r="I140" s="266" t="s">
        <v>1147</v>
      </c>
      <c r="J140" s="223" t="str">
        <f>'WetLitterbags placem_collection'!K141</f>
        <v>G798</v>
      </c>
      <c r="K140" s="225">
        <f>IFERROR(INDEX('Green_rooibos initial weight'!$C$5:$C$1749,MATCH(J140, 'Green_rooibos initial weight'!$A$5:$A$1749,0)),"")</f>
        <v>2.089</v>
      </c>
      <c r="L140" s="225">
        <f>IFERROR(K140-(TBIcalc!$H$9+TBIcalc!$H$10),"")</f>
        <v>1.8391999999999999</v>
      </c>
      <c r="M140" s="391">
        <f>AVERAGE(Ashed_controlls!$K$2:$K$11)</f>
        <v>5.5147656768714146</v>
      </c>
      <c r="N140" s="225">
        <f t="shared" si="12"/>
        <v>1.7377724296709809</v>
      </c>
      <c r="O140" s="225">
        <f>IF(IFERROR(INDEX('Both teabags AfterWet'!$C$3:$C$841,MATCH(J140,'Both teabags AfterWet'!$A$3:$A$841,0)),"")="","",(IFERROR(INDEX('Both teabags AfterWet'!$C$3:$C$841,MATCH(J140,'Both teabags AfterWet'!$A$3:$A$841,0)),"")))</f>
        <v>0.73499999999999999</v>
      </c>
      <c r="P140" s="225">
        <f>IFERROR(IF(O140&gt;0,O140-(TBIcalc!$H$9),""),"")</f>
        <v>0.58440000000000003</v>
      </c>
      <c r="Q140" s="225">
        <f>IFERROR(INDEX('Ashed teabags wet'!$K$2:$K$821,MATCH(J140,'Ashed teabags wet'!$A$2:$A$821,0)),"")</f>
        <v>19.704433497536826</v>
      </c>
      <c r="R140" s="225">
        <f t="shared" si="16"/>
        <v>0.46924729064039483</v>
      </c>
      <c r="S140" s="226">
        <f>'WetLitterbags placem_collection'!E141</f>
        <v>42762</v>
      </c>
      <c r="T140" s="226">
        <f>IF('WetLitterbags placem_collection'!G141="","",'WetLitterbags placem_collection'!G141)</f>
        <v>42816</v>
      </c>
      <c r="U140" s="227">
        <f t="shared" si="13"/>
        <v>54</v>
      </c>
      <c r="V140" s="225">
        <f t="shared" si="14"/>
        <v>1.2547999999999999</v>
      </c>
      <c r="W140" s="225">
        <f t="shared" si="15"/>
        <v>1.2685251390305861</v>
      </c>
      <c r="X140">
        <f>IFERROR(INDEX(Rainfall_Wet!$O$2:$O$217,MATCH(B140, Rainfall_Wet!$A$2:$A$217,0)),"")</f>
        <v>206.85140822299999</v>
      </c>
      <c r="Y140" s="231">
        <v>33.96</v>
      </c>
      <c r="Z140" s="231">
        <v>8.9200000000000017</v>
      </c>
      <c r="AA140" s="231">
        <v>57.12</v>
      </c>
      <c r="AB140" s="232" t="s">
        <v>2670</v>
      </c>
      <c r="AC140" s="231">
        <v>4.0720551996057202</v>
      </c>
      <c r="AD140">
        <f>IF('WetLitterbags placem_collection'!AB141="","",'WetLitterbags placem_collection'!AB141)</f>
        <v>5.7</v>
      </c>
      <c r="AE140">
        <f>IF('WetLitterbags placem_collection'!Z141="","",'WetLitterbags placem_collection'!Z141)</f>
        <v>19.399999999999999</v>
      </c>
      <c r="AF140" s="246" t="str">
        <f>IF('WetLitterbags placem_collection'!AA141="","",'WetLitterbags placem_collection'!AA141)</f>
        <v>G</v>
      </c>
      <c r="AG140">
        <f>IF('WetLitterbags placem_collection'!AC141="","",'WetLitterbags placem_collection'!AC141)</f>
        <v>1</v>
      </c>
      <c r="AH140" s="240">
        <f>AVERAGE('WetLitterbags placem_collection'!S141,'WetLitterbags placem_collection'!U141)</f>
        <v>16.850000000000001</v>
      </c>
      <c r="AI140">
        <f>AVERAGE('WetLitterbags placem_collection'!R141,'WetLitterbags placem_collection'!T141)</f>
        <v>28.65</v>
      </c>
      <c r="AJ140">
        <f>INDEX(Coordinates!$B$2:$B$197,MATCH(G140,Coordinates!$J$2:$J$197,0))</f>
        <v>-2.3487209990000002</v>
      </c>
      <c r="AK140">
        <f>INDEX(Coordinates!$C$2:$C$197,MATCH(G140,Coordinates!$J$2:$J$197,0))</f>
        <v>34.050128039999997</v>
      </c>
      <c r="AL140" t="str">
        <f>IF(ISNUMBER(SEARCH("C", 'WetLitterbags placem_collection'!V141)),"YES","NO")</f>
        <v>NO</v>
      </c>
      <c r="AM140" t="str">
        <f>IF(ISNUMBER(SEARCH("H", 'WetLitterbags placem_collection'!V141)),"YES","NO")</f>
        <v>NO</v>
      </c>
      <c r="AN140" t="str">
        <f>IF(ISNUMBER(SEARCH("R", 'WetLitterbags placem_collection'!V141)),"YES","NO")</f>
        <v>NO</v>
      </c>
    </row>
    <row r="141" spans="1:40" ht="15" customHeight="1">
      <c r="A141" s="258" t="s">
        <v>2460</v>
      </c>
      <c r="B141" s="263">
        <f>'Dry_Litterbag Placem_Collection'!A142</f>
        <v>140</v>
      </c>
      <c r="C141" s="263" t="str">
        <f>'Dry_Litterbag Placem_Collection'!B142</f>
        <v xml:space="preserve">Mwantimba
</v>
      </c>
      <c r="D141" s="263" t="s">
        <v>2460</v>
      </c>
      <c r="E141" s="263" t="s">
        <v>20</v>
      </c>
      <c r="F141" s="263">
        <v>2</v>
      </c>
      <c r="G141" s="264" t="str">
        <f>'Dry_Litterbag Placem_Collection'!C142</f>
        <v>Wet_P2_T4</v>
      </c>
      <c r="H141" s="265" t="s">
        <v>2541</v>
      </c>
      <c r="I141" s="266" t="s">
        <v>1147</v>
      </c>
      <c r="J141" s="223" t="str">
        <f>'WetLitterbags placem_collection'!K142</f>
        <v>G787</v>
      </c>
      <c r="K141" s="225">
        <f>IFERROR(INDEX('Green_rooibos initial weight'!$C$5:$C$1749,MATCH(J141, 'Green_rooibos initial weight'!$A$5:$A$1749,0)),"")</f>
        <v>2.11</v>
      </c>
      <c r="L141" s="225">
        <f>IFERROR(K141-(TBIcalc!$H$9+TBIcalc!$H$10),"")</f>
        <v>1.8601999999999999</v>
      </c>
      <c r="M141" s="391">
        <f>AVERAGE(Ashed_controlls!$K$2:$K$11)</f>
        <v>5.5147656768714146</v>
      </c>
      <c r="N141" s="225">
        <f t="shared" si="12"/>
        <v>1.7576143288788377</v>
      </c>
      <c r="O141" s="225">
        <f>IF(IFERROR(INDEX('Both teabags AfterWet'!$C$3:$C$841,MATCH(J141,'Both teabags AfterWet'!$A$3:$A$841,0)),"")="","",(IFERROR(INDEX('Both teabags AfterWet'!$C$3:$C$841,MATCH(J141,'Both teabags AfterWet'!$A$3:$A$841,0)),"")))</f>
        <v>0.67869999999999997</v>
      </c>
      <c r="P141" s="225">
        <f>IFERROR(IF(O141&gt;0,O141-(TBIcalc!$H$9),""),"")</f>
        <v>0.52810000000000001</v>
      </c>
      <c r="Q141" s="225">
        <f>IFERROR(INDEX('Ashed teabags wet'!$K$2:$K$821,MATCH(J141,'Ashed teabags wet'!$A$2:$A$821,0)),"")</f>
        <v>15.0602409638563</v>
      </c>
      <c r="R141" s="225">
        <f t="shared" si="16"/>
        <v>0.4485668674698749</v>
      </c>
      <c r="S141" s="226">
        <f>'WetLitterbags placem_collection'!E142</f>
        <v>42762</v>
      </c>
      <c r="T141" s="226">
        <f>IF('WetLitterbags placem_collection'!G142="","",'WetLitterbags placem_collection'!G142)</f>
        <v>42816</v>
      </c>
      <c r="U141" s="227">
        <f t="shared" si="13"/>
        <v>54</v>
      </c>
      <c r="V141" s="225">
        <f t="shared" si="14"/>
        <v>1.3320999999999998</v>
      </c>
      <c r="W141" s="225">
        <f t="shared" si="15"/>
        <v>1.3090474614089629</v>
      </c>
      <c r="X141">
        <f>IFERROR(INDEX(Rainfall_Wet!$O$2:$O$217,MATCH(B141, Rainfall_Wet!$A$2:$A$217,0)),"")</f>
        <v>206.85140822299999</v>
      </c>
      <c r="Y141" s="231">
        <v>33.96</v>
      </c>
      <c r="Z141" s="231">
        <v>8.9200000000000017</v>
      </c>
      <c r="AA141" s="231">
        <v>57.12</v>
      </c>
      <c r="AB141" s="232" t="s">
        <v>2670</v>
      </c>
      <c r="AC141" s="231">
        <v>5.0720551996057202</v>
      </c>
      <c r="AD141">
        <f>IF('WetLitterbags placem_collection'!AB142="","",'WetLitterbags placem_collection'!AB142)</f>
        <v>1.4</v>
      </c>
      <c r="AE141">
        <f>IF('WetLitterbags placem_collection'!Z142="","",'WetLitterbags placem_collection'!Z142)</f>
        <v>33.4</v>
      </c>
      <c r="AF141" s="246" t="str">
        <f>IF('WetLitterbags placem_collection'!AA142="","",'WetLitterbags placem_collection'!AA142)</f>
        <v>G</v>
      </c>
      <c r="AG141">
        <f>IF('WetLitterbags placem_collection'!AC142="","",'WetLitterbags placem_collection'!AC142)</f>
        <v>1</v>
      </c>
      <c r="AH141" s="240">
        <f>AVERAGE('WetLitterbags placem_collection'!S142,'WetLitterbags placem_collection'!U142)</f>
        <v>11.55</v>
      </c>
      <c r="AI141">
        <f>AVERAGE('WetLitterbags placem_collection'!R142,'WetLitterbags placem_collection'!T142)</f>
        <v>30.85</v>
      </c>
      <c r="AJ141">
        <f>INDEX(Coordinates!$B$2:$B$197,MATCH(G141,Coordinates!$J$2:$J$197,0))</f>
        <v>-2.3486250270000002</v>
      </c>
      <c r="AK141">
        <f>INDEX(Coordinates!$C$2:$C$197,MATCH(G141,Coordinates!$J$2:$J$197,0))</f>
        <v>34.050070959999999</v>
      </c>
      <c r="AL141" t="str">
        <f>IF(ISNUMBER(SEARCH("C", 'WetLitterbags placem_collection'!V142)),"YES","NO")</f>
        <v>NO</v>
      </c>
      <c r="AM141" t="str">
        <f>IF(ISNUMBER(SEARCH("H", 'WetLitterbags placem_collection'!V142)),"YES","NO")</f>
        <v>NO</v>
      </c>
      <c r="AN141" t="str">
        <f>IF(ISNUMBER(SEARCH("R", 'WetLitterbags placem_collection'!V142)),"YES","NO")</f>
        <v>NO</v>
      </c>
    </row>
    <row r="142" spans="1:40" ht="15" customHeight="1">
      <c r="A142" s="258" t="s">
        <v>2460</v>
      </c>
      <c r="B142" s="263">
        <f>'Dry_Litterbag Placem_Collection'!A143</f>
        <v>141</v>
      </c>
      <c r="C142" s="263" t="str">
        <f>'Dry_Litterbag Placem_Collection'!B143</f>
        <v xml:space="preserve">Mwantimba
</v>
      </c>
      <c r="D142" s="263" t="s">
        <v>2460</v>
      </c>
      <c r="E142" s="263" t="s">
        <v>20</v>
      </c>
      <c r="F142" s="263">
        <v>2</v>
      </c>
      <c r="G142" s="264" t="str">
        <f>'Dry_Litterbag Placem_Collection'!C143</f>
        <v>Wet_P2_T5</v>
      </c>
      <c r="H142" s="265" t="s">
        <v>2541</v>
      </c>
      <c r="I142" s="266" t="s">
        <v>1147</v>
      </c>
      <c r="J142" s="223" t="str">
        <f>'WetLitterbags placem_collection'!K143</f>
        <v>G900</v>
      </c>
      <c r="K142" s="225">
        <f>IFERROR(INDEX('Green_rooibos initial weight'!$C$5:$C$1749,MATCH(J142, 'Green_rooibos initial weight'!$A$5:$A$1749,0)),"")</f>
        <v>2.0910000000000002</v>
      </c>
      <c r="L142" s="225">
        <f>IFERROR(K142-(TBIcalc!$H$9+TBIcalc!$H$10),"")</f>
        <v>1.8412000000000002</v>
      </c>
      <c r="M142" s="391">
        <f>AVERAGE(Ashed_controlls!$K$2:$K$11)</f>
        <v>5.5147656768714146</v>
      </c>
      <c r="N142" s="225">
        <f t="shared" si="12"/>
        <v>1.7396621343574437</v>
      </c>
      <c r="O142" s="225">
        <f>IF(IFERROR(INDEX('Both teabags AfterWet'!$C$3:$C$841,MATCH(J142,'Both teabags AfterWet'!$A$3:$A$841,0)),"")="","",(IFERROR(INDEX('Both teabags AfterWet'!$C$3:$C$841,MATCH(J142,'Both teabags AfterWet'!$A$3:$A$841,0)),"")))</f>
        <v>1.5369999999999999</v>
      </c>
      <c r="P142" s="225">
        <f>IFERROR(IF(O142&gt;0,O142-(TBIcalc!$H$9),""),"")</f>
        <v>1.3863999999999999</v>
      </c>
      <c r="Q142" s="225">
        <f>IFERROR(INDEX('Ashed teabags wet'!$K$2:$K$821,MATCH(J142,'Ashed teabags wet'!$A$2:$A$821,0)),"")</f>
        <v>34.652509652509345</v>
      </c>
      <c r="R142" s="225">
        <f t="shared" si="16"/>
        <v>0.90597760617761036</v>
      </c>
      <c r="S142" s="226">
        <f>'WetLitterbags placem_collection'!E143</f>
        <v>42762</v>
      </c>
      <c r="T142" s="226">
        <f>IF('WetLitterbags placem_collection'!G143="","",'WetLitterbags placem_collection'!G143)</f>
        <v>42816</v>
      </c>
      <c r="U142" s="227">
        <f t="shared" si="13"/>
        <v>54</v>
      </c>
      <c r="V142" s="225">
        <f t="shared" si="14"/>
        <v>0.45480000000000032</v>
      </c>
      <c r="W142" s="225">
        <f t="shared" si="15"/>
        <v>0.8336845281798333</v>
      </c>
      <c r="X142">
        <f>IFERROR(INDEX(Rainfall_Wet!$O$2:$O$217,MATCH(B142, Rainfall_Wet!$A$2:$A$217,0)),"")</f>
        <v>206.85140822299999</v>
      </c>
      <c r="Y142" s="231">
        <v>33.96</v>
      </c>
      <c r="Z142" s="231">
        <v>8.9200000000000017</v>
      </c>
      <c r="AA142" s="231">
        <v>57.12</v>
      </c>
      <c r="AB142" s="232" t="s">
        <v>2670</v>
      </c>
      <c r="AC142" s="231">
        <v>6.0720551996057202</v>
      </c>
      <c r="AD142">
        <f>IF('WetLitterbags placem_collection'!AB143="","",'WetLitterbags placem_collection'!AB143)</f>
        <v>1.4</v>
      </c>
      <c r="AE142">
        <f>IF('WetLitterbags placem_collection'!Z143="","",'WetLitterbags placem_collection'!Z143)</f>
        <v>28.4</v>
      </c>
      <c r="AF142" s="246" t="str">
        <f>IF('WetLitterbags placem_collection'!AA143="","",'WetLitterbags placem_collection'!AA143)</f>
        <v>G</v>
      </c>
      <c r="AG142">
        <f>IF('WetLitterbags placem_collection'!AC143="","",'WetLitterbags placem_collection'!AC143)</f>
        <v>1</v>
      </c>
      <c r="AH142" s="240">
        <f>AVERAGE('WetLitterbags placem_collection'!S143,'WetLitterbags placem_collection'!U143)</f>
        <v>9.6999999999999993</v>
      </c>
      <c r="AI142">
        <f>AVERAGE('WetLitterbags placem_collection'!R143,'WetLitterbags placem_collection'!T143)</f>
        <v>30.75</v>
      </c>
      <c r="AJ142">
        <f>INDEX(Coordinates!$B$2:$B$197,MATCH(G142,Coordinates!$J$2:$J$197,0))</f>
        <v>-2.3486060000000002</v>
      </c>
      <c r="AK142">
        <f>INDEX(Coordinates!$C$2:$C$197,MATCH(G142,Coordinates!$J$2:$J$197,0))</f>
        <v>34.050010020000002</v>
      </c>
      <c r="AL142" t="str">
        <f>IF(ISNUMBER(SEARCH("C", 'WetLitterbags placem_collection'!V143)),"YES","NO")</f>
        <v>NO</v>
      </c>
      <c r="AM142" t="str">
        <f>IF(ISNUMBER(SEARCH("H", 'WetLitterbags placem_collection'!V143)),"YES","NO")</f>
        <v>YES</v>
      </c>
      <c r="AN142" t="str">
        <f>IF(ISNUMBER(SEARCH("R", 'WetLitterbags placem_collection'!V143)),"YES","NO")</f>
        <v>YES</v>
      </c>
    </row>
    <row r="143" spans="1:40" ht="15" customHeight="1">
      <c r="A143" s="258" t="s">
        <v>2460</v>
      </c>
      <c r="B143" s="263">
        <f>'Dry_Litterbag Placem_Collection'!A144</f>
        <v>142</v>
      </c>
      <c r="C143" s="263" t="str">
        <f>'Dry_Litterbag Placem_Collection'!B144</f>
        <v xml:space="preserve">Mwantimba
</v>
      </c>
      <c r="D143" s="263" t="s">
        <v>2460</v>
      </c>
      <c r="E143" s="263" t="s">
        <v>20</v>
      </c>
      <c r="F143" s="263">
        <v>2</v>
      </c>
      <c r="G143" s="264" t="str">
        <f>'Dry_Litterbag Placem_Collection'!C144</f>
        <v>Wet_P2_T6</v>
      </c>
      <c r="H143" s="265" t="s">
        <v>2541</v>
      </c>
      <c r="I143" s="266" t="s">
        <v>1147</v>
      </c>
      <c r="J143" s="223" t="str">
        <f>'WetLitterbags placem_collection'!K144</f>
        <v>G817</v>
      </c>
      <c r="K143" s="225">
        <f>IFERROR(INDEX('Green_rooibos initial weight'!$C$5:$C$1749,MATCH(J143, 'Green_rooibos initial weight'!$A$5:$A$1749,0)),"")</f>
        <v>1.9770000000000001</v>
      </c>
      <c r="L143" s="225">
        <f>IFERROR(K143-(TBIcalc!$H$9+TBIcalc!$H$10),"")</f>
        <v>1.7272000000000001</v>
      </c>
      <c r="M143" s="391">
        <f>AVERAGE(Ashed_controlls!$K$2:$K$11)</f>
        <v>5.5147656768714146</v>
      </c>
      <c r="N143" s="225">
        <f t="shared" si="12"/>
        <v>1.631948967229077</v>
      </c>
      <c r="O143" s="225" t="str">
        <f>IF(IFERROR(INDEX('Both teabags AfterWet'!$C$3:$C$841,MATCH(J143,'Both teabags AfterWet'!$A$3:$A$841,0)),"")="","",(IFERROR(INDEX('Both teabags AfterWet'!$C$3:$C$841,MATCH(J143,'Both teabags AfterWet'!$A$3:$A$841,0)),"")))</f>
        <v>N.A</v>
      </c>
      <c r="P143" s="225" t="str">
        <f>IFERROR(IF(O143&gt;0,O143-(TBIcalc!$H$9),""),"")</f>
        <v/>
      </c>
      <c r="Q143" s="225">
        <f>IFERROR(INDEX('Ashed teabags wet'!$K$2:$K$821,MATCH(J143,'Ashed teabags wet'!$A$2:$A$821,0)),"")</f>
        <v>45.987198424421408</v>
      </c>
      <c r="R143" s="225" t="str">
        <f t="shared" si="16"/>
        <v/>
      </c>
      <c r="S143" s="226">
        <f>'WetLitterbags placem_collection'!E144</f>
        <v>42762</v>
      </c>
      <c r="T143" s="226">
        <f>IF('WetLitterbags placem_collection'!G144="","",'WetLitterbags placem_collection'!G144)</f>
        <v>42816</v>
      </c>
      <c r="U143" s="227">
        <f t="shared" si="13"/>
        <v>54</v>
      </c>
      <c r="V143" s="225" t="str">
        <f t="shared" si="14"/>
        <v/>
      </c>
      <c r="W143" s="225" t="str">
        <f t="shared" si="15"/>
        <v/>
      </c>
      <c r="X143">
        <f>IFERROR(INDEX(Rainfall_Wet!$O$2:$O$217,MATCH(B143, Rainfall_Wet!$A$2:$A$217,0)),"")</f>
        <v>206.85140822299999</v>
      </c>
      <c r="Y143" s="231">
        <v>33.96</v>
      </c>
      <c r="Z143" s="231">
        <v>8.9200000000000017</v>
      </c>
      <c r="AA143" s="231">
        <v>57.12</v>
      </c>
      <c r="AB143" s="232" t="s">
        <v>2670</v>
      </c>
      <c r="AC143" s="231">
        <v>7.0720551996057202</v>
      </c>
      <c r="AD143">
        <f>IF('WetLitterbags placem_collection'!AB144="","",'WetLitterbags placem_collection'!AB144)</f>
        <v>1.7</v>
      </c>
      <c r="AE143">
        <f>IF('WetLitterbags placem_collection'!Z144="","",'WetLitterbags placem_collection'!Z144)</f>
        <v>33.799999999999997</v>
      </c>
      <c r="AF143" s="246" t="str">
        <f>IF('WetLitterbags placem_collection'!AA144="","",'WetLitterbags placem_collection'!AA144)</f>
        <v>G</v>
      </c>
      <c r="AG143">
        <f>IF('WetLitterbags placem_collection'!AC144="","",'WetLitterbags placem_collection'!AC144)</f>
        <v>1</v>
      </c>
      <c r="AH143" s="240">
        <f>AVERAGE('WetLitterbags placem_collection'!S144,'WetLitterbags placem_collection'!U144)</f>
        <v>15.5</v>
      </c>
      <c r="AI143">
        <f>AVERAGE('WetLitterbags placem_collection'!R144,'WetLitterbags placem_collection'!T144)</f>
        <v>28.75</v>
      </c>
      <c r="AJ143">
        <f>INDEX(Coordinates!$B$2:$B$197,MATCH(G143,Coordinates!$J$2:$J$197,0))</f>
        <v>-2.348618992</v>
      </c>
      <c r="AK143">
        <f>INDEX(Coordinates!$C$2:$C$197,MATCH(G143,Coordinates!$J$2:$J$197,0))</f>
        <v>34.049996030000003</v>
      </c>
      <c r="AL143" t="str">
        <f>IF(ISNUMBER(SEARCH("C", 'WetLitterbags placem_collection'!V144)),"YES","NO")</f>
        <v>NO</v>
      </c>
      <c r="AM143" t="str">
        <f>IF(ISNUMBER(SEARCH("H", 'WetLitterbags placem_collection'!V144)),"YES","NO")</f>
        <v>YES</v>
      </c>
      <c r="AN143" t="str">
        <f>IF(ISNUMBER(SEARCH("R", 'WetLitterbags placem_collection'!V144)),"YES","NO")</f>
        <v>NO</v>
      </c>
    </row>
    <row r="144" spans="1:40" ht="15" customHeight="1">
      <c r="A144" s="258" t="s">
        <v>2460</v>
      </c>
      <c r="B144" s="263">
        <f>'Dry_Litterbag Placem_Collection'!A145</f>
        <v>143</v>
      </c>
      <c r="C144" s="263" t="str">
        <f>'Dry_Litterbag Placem_Collection'!B145</f>
        <v xml:space="preserve">Mwantimba
</v>
      </c>
      <c r="D144" s="263" t="s">
        <v>2460</v>
      </c>
      <c r="E144" s="263" t="s">
        <v>20</v>
      </c>
      <c r="F144" s="263">
        <v>2</v>
      </c>
      <c r="G144" s="264" t="str">
        <f>'Dry_Litterbag Placem_Collection'!C145</f>
        <v>Wet_P2_T7</v>
      </c>
      <c r="H144" s="265" t="s">
        <v>2541</v>
      </c>
      <c r="I144" s="266" t="s">
        <v>1147</v>
      </c>
      <c r="J144" s="223" t="str">
        <f>'WetLitterbags placem_collection'!K145</f>
        <v>G836</v>
      </c>
      <c r="K144" s="225">
        <f>IFERROR(INDEX('Green_rooibos initial weight'!$C$5:$C$1749,MATCH(J144, 'Green_rooibos initial weight'!$A$5:$A$1749,0)),"")</f>
        <v>2.0419999999999998</v>
      </c>
      <c r="L144" s="225">
        <f>IFERROR(K144-(TBIcalc!$H$9+TBIcalc!$H$10),"")</f>
        <v>1.7921999999999998</v>
      </c>
      <c r="M144" s="391">
        <f>AVERAGE(Ashed_controlls!$K$2:$K$11)</f>
        <v>5.5147656768714146</v>
      </c>
      <c r="N144" s="225">
        <f t="shared" si="12"/>
        <v>1.6933643695391103</v>
      </c>
      <c r="O144" s="225">
        <f>IF(IFERROR(INDEX('Both teabags AfterWet'!$C$3:$C$841,MATCH(J144,'Both teabags AfterWet'!$A$3:$A$841,0)),"")="","",(IFERROR(INDEX('Both teabags AfterWet'!$C$3:$C$841,MATCH(J144,'Both teabags AfterWet'!$A$3:$A$841,0)),"")))</f>
        <v>0.60970000000000002</v>
      </c>
      <c r="P144" s="225">
        <f>IFERROR(IF(O144&gt;0,O144-(TBIcalc!$H$9),""),"")</f>
        <v>0.45910000000000001</v>
      </c>
      <c r="Q144" s="225">
        <f>IFERROR(INDEX('Ashed teabags wet'!$K$2:$K$821,MATCH(J144,'Ashed teabags wet'!$A$2:$A$821,0)),"")</f>
        <v>13.060240963856003</v>
      </c>
      <c r="R144" s="225">
        <f t="shared" si="16"/>
        <v>0.39914043373493707</v>
      </c>
      <c r="S144" s="226">
        <f>'WetLitterbags placem_collection'!E145</f>
        <v>42762</v>
      </c>
      <c r="T144" s="226">
        <f>IF('WetLitterbags placem_collection'!G145="","",'WetLitterbags placem_collection'!G145)</f>
        <v>42816</v>
      </c>
      <c r="U144" s="227">
        <f t="shared" si="13"/>
        <v>54</v>
      </c>
      <c r="V144" s="225">
        <f t="shared" si="14"/>
        <v>1.3330999999999997</v>
      </c>
      <c r="W144" s="225">
        <f t="shared" si="15"/>
        <v>1.2942239358041732</v>
      </c>
      <c r="X144">
        <f>IFERROR(INDEX(Rainfall_Wet!$O$2:$O$217,MATCH(B144, Rainfall_Wet!$A$2:$A$217,0)),"")</f>
        <v>206.85140822299999</v>
      </c>
      <c r="Y144" s="231">
        <v>33.96</v>
      </c>
      <c r="Z144" s="231">
        <v>8.9200000000000017</v>
      </c>
      <c r="AA144" s="231">
        <v>57.12</v>
      </c>
      <c r="AB144" s="232" t="s">
        <v>2670</v>
      </c>
      <c r="AC144" s="231">
        <v>8.0720551996057193</v>
      </c>
      <c r="AD144">
        <f>IF('WetLitterbags placem_collection'!AB145="","",'WetLitterbags placem_collection'!AB145)</f>
        <v>2</v>
      </c>
      <c r="AE144">
        <f>IF('WetLitterbags placem_collection'!Z145="","",'WetLitterbags placem_collection'!Z145)</f>
        <v>23.4</v>
      </c>
      <c r="AF144" s="246" t="str">
        <f>IF('WetLitterbags placem_collection'!AA145="","",'WetLitterbags placem_collection'!AA145)</f>
        <v>G</v>
      </c>
      <c r="AG144">
        <f>IF('WetLitterbags placem_collection'!AC145="","",'WetLitterbags placem_collection'!AC145)</f>
        <v>1</v>
      </c>
      <c r="AH144" s="240">
        <f>AVERAGE('WetLitterbags placem_collection'!S145,'WetLitterbags placem_collection'!U145)</f>
        <v>14.5</v>
      </c>
      <c r="AI144">
        <f>AVERAGE('WetLitterbags placem_collection'!R145,'WetLitterbags placem_collection'!T145)</f>
        <v>30.9</v>
      </c>
      <c r="AJ144">
        <f>INDEX(Coordinates!$B$2:$B$197,MATCH(G144,Coordinates!$J$2:$J$197,0))</f>
        <v>-2.3484970349999998</v>
      </c>
      <c r="AK144">
        <f>INDEX(Coordinates!$C$2:$C$197,MATCH(G144,Coordinates!$J$2:$J$197,0))</f>
        <v>34.049979010000001</v>
      </c>
      <c r="AL144" t="str">
        <f>IF(ISNUMBER(SEARCH("C", 'WetLitterbags placem_collection'!V145)),"YES","NO")</f>
        <v>NO</v>
      </c>
      <c r="AM144" t="str">
        <f>IF(ISNUMBER(SEARCH("H", 'WetLitterbags placem_collection'!V145)),"YES","NO")</f>
        <v>NO</v>
      </c>
      <c r="AN144" t="str">
        <f>IF(ISNUMBER(SEARCH("R", 'WetLitterbags placem_collection'!V145)),"YES","NO")</f>
        <v>YES</v>
      </c>
    </row>
    <row r="145" spans="1:40" ht="15" customHeight="1">
      <c r="A145" s="258" t="s">
        <v>2460</v>
      </c>
      <c r="B145" s="263">
        <f>'Dry_Litterbag Placem_Collection'!A146</f>
        <v>144</v>
      </c>
      <c r="C145" s="263" t="str">
        <f>'Dry_Litterbag Placem_Collection'!B146</f>
        <v xml:space="preserve">Mwantimba
</v>
      </c>
      <c r="D145" s="263" t="s">
        <v>2460</v>
      </c>
      <c r="E145" s="263" t="s">
        <v>20</v>
      </c>
      <c r="F145" s="263">
        <v>2</v>
      </c>
      <c r="G145" s="264" t="str">
        <f>'Dry_Litterbag Placem_Collection'!C146</f>
        <v>Wet_P2_T8</v>
      </c>
      <c r="H145" s="265" t="s">
        <v>2541</v>
      </c>
      <c r="I145" s="266" t="s">
        <v>1147</v>
      </c>
      <c r="J145" s="223" t="str">
        <f>'WetLitterbags placem_collection'!K146</f>
        <v>G784</v>
      </c>
      <c r="K145" s="225">
        <f>IFERROR(INDEX('Green_rooibos initial weight'!$C$5:$C$1749,MATCH(J145, 'Green_rooibos initial weight'!$A$5:$A$1749,0)),"")</f>
        <v>2.1070000000000002</v>
      </c>
      <c r="L145" s="225">
        <f>IFERROR(K145-(TBIcalc!$H$9+TBIcalc!$H$10),"")</f>
        <v>1.8572000000000002</v>
      </c>
      <c r="M145" s="391">
        <f>AVERAGE(Ashed_controlls!$K$2:$K$11)</f>
        <v>5.5147656768714146</v>
      </c>
      <c r="N145" s="225">
        <f t="shared" si="12"/>
        <v>1.7547797718491442</v>
      </c>
      <c r="O145" s="225">
        <f>IF(IFERROR(INDEX('Both teabags AfterWet'!$C$3:$C$841,MATCH(J145,'Both teabags AfterWet'!$A$3:$A$841,0)),"")="","",(IFERROR(INDEX('Both teabags AfterWet'!$C$3:$C$841,MATCH(J145,'Both teabags AfterWet'!$A$3:$A$841,0)),"")))</f>
        <v>0.78500000000000003</v>
      </c>
      <c r="P145" s="225">
        <f>IFERROR(IF(O145&gt;0,O145-(TBIcalc!$H$9),""),"")</f>
        <v>0.63440000000000007</v>
      </c>
      <c r="Q145" s="225">
        <f>IFERROR(INDEX('Ashed teabags wet'!$K$2:$K$821,MATCH(J145,'Ashed teabags wet'!$A$2:$A$821,0)),"")</f>
        <v>26.404773744405041</v>
      </c>
      <c r="R145" s="225">
        <f t="shared" si="16"/>
        <v>0.46688811536549446</v>
      </c>
      <c r="S145" s="226">
        <f>'WetLitterbags placem_collection'!E146</f>
        <v>42762</v>
      </c>
      <c r="T145" s="226">
        <f>IF('WetLitterbags placem_collection'!G146="","",'WetLitterbags placem_collection'!G146)</f>
        <v>42816</v>
      </c>
      <c r="U145" s="227">
        <f t="shared" si="13"/>
        <v>54</v>
      </c>
      <c r="V145" s="225">
        <f t="shared" si="14"/>
        <v>1.2228000000000001</v>
      </c>
      <c r="W145" s="225">
        <f t="shared" si="15"/>
        <v>1.2878916564836498</v>
      </c>
      <c r="X145">
        <f>IFERROR(INDEX(Rainfall_Wet!$O$2:$O$217,MATCH(B145, Rainfall_Wet!$A$2:$A$217,0)),"")</f>
        <v>206.85140822299999</v>
      </c>
      <c r="Y145" s="231">
        <v>33.96</v>
      </c>
      <c r="Z145" s="231">
        <v>8.9200000000000017</v>
      </c>
      <c r="AA145" s="231">
        <v>57.12</v>
      </c>
      <c r="AB145" s="232" t="s">
        <v>2670</v>
      </c>
      <c r="AC145" s="231">
        <v>9.0720551996057193</v>
      </c>
      <c r="AD145">
        <f>IF('WetLitterbags placem_collection'!AB146="","",'WetLitterbags placem_collection'!AB146)</f>
        <v>2.5</v>
      </c>
      <c r="AE145">
        <f>IF('WetLitterbags placem_collection'!Z146="","",'WetLitterbags placem_collection'!Z146)</f>
        <v>19.8</v>
      </c>
      <c r="AF145" s="246" t="str">
        <f>IF('WetLitterbags placem_collection'!AA146="","",'WetLitterbags placem_collection'!AA146)</f>
        <v>G</v>
      </c>
      <c r="AG145">
        <f>IF('WetLitterbags placem_collection'!AC146="","",'WetLitterbags placem_collection'!AC146)</f>
        <v>1</v>
      </c>
      <c r="AH145" s="240">
        <f>AVERAGE('WetLitterbags placem_collection'!S146,'WetLitterbags placem_collection'!U146)</f>
        <v>17.149999999999999</v>
      </c>
      <c r="AI145">
        <f>AVERAGE('WetLitterbags placem_collection'!R146,'WetLitterbags placem_collection'!T146)</f>
        <v>31.4</v>
      </c>
      <c r="AJ145">
        <f>INDEX(Coordinates!$B$2:$B$197,MATCH(G145,Coordinates!$J$2:$J$197,0))</f>
        <v>-2.3486560399999998</v>
      </c>
      <c r="AK145">
        <f>INDEX(Coordinates!$C$2:$C$197,MATCH(G145,Coordinates!$J$2:$J$197,0))</f>
        <v>34.049895020000001</v>
      </c>
      <c r="AL145" t="str">
        <f>IF(ISNUMBER(SEARCH("C", 'WetLitterbags placem_collection'!V146)),"YES","NO")</f>
        <v>NO</v>
      </c>
      <c r="AM145" t="str">
        <f>IF(ISNUMBER(SEARCH("H", 'WetLitterbags placem_collection'!V146)),"YES","NO")</f>
        <v>NO</v>
      </c>
      <c r="AN145" t="str">
        <f>IF(ISNUMBER(SEARCH("R", 'WetLitterbags placem_collection'!V146)),"YES","NO")</f>
        <v>YES</v>
      </c>
    </row>
    <row r="146" spans="1:40" ht="15" customHeight="1">
      <c r="A146" s="258" t="s">
        <v>2460</v>
      </c>
      <c r="B146" s="263">
        <f>'Dry_Litterbag Placem_Collection'!A147</f>
        <v>145</v>
      </c>
      <c r="C146" s="263" t="str">
        <f>'Dry_Litterbag Placem_Collection'!B147</f>
        <v xml:space="preserve">Mwantimba
</v>
      </c>
      <c r="D146" s="263" t="s">
        <v>2460</v>
      </c>
      <c r="E146" s="263" t="s">
        <v>20</v>
      </c>
      <c r="F146" s="263">
        <v>3</v>
      </c>
      <c r="G146" s="264" t="str">
        <f>'Dry_Litterbag Placem_Collection'!C147</f>
        <v>Wet_P3_T1</v>
      </c>
      <c r="H146" s="265" t="s">
        <v>2541</v>
      </c>
      <c r="I146" s="266" t="s">
        <v>1147</v>
      </c>
      <c r="J146" s="223" t="str">
        <f>'WetLitterbags placem_collection'!K147</f>
        <v>G902</v>
      </c>
      <c r="K146" s="225">
        <f>IFERROR(INDEX('Green_rooibos initial weight'!$C$5:$C$1749,MATCH(J146, 'Green_rooibos initial weight'!$A$5:$A$1749,0)),"")</f>
        <v>2.0750000000000002</v>
      </c>
      <c r="L146" s="225">
        <f>IFERROR(K146-(TBIcalc!$H$9+TBIcalc!$H$10),"")</f>
        <v>1.8252000000000002</v>
      </c>
      <c r="M146" s="391">
        <f>AVERAGE(Ashed_controlls!$K$2:$K$11)</f>
        <v>5.5147656768714146</v>
      </c>
      <c r="N146" s="225">
        <f t="shared" si="12"/>
        <v>1.7245444968657431</v>
      </c>
      <c r="O146" s="225">
        <f>IF(IFERROR(INDEX('Both teabags AfterWet'!$C$3:$C$841,MATCH(J146,'Both teabags AfterWet'!$A$3:$A$841,0)),"")="","",(IFERROR(INDEX('Both teabags AfterWet'!$C$3:$C$841,MATCH(J146,'Both teabags AfterWet'!$A$3:$A$841,0)),"")))</f>
        <v>0.79200000000000004</v>
      </c>
      <c r="P146" s="225">
        <f>IFERROR(IF(O146&gt;0,O146-(TBIcalc!$H$9),""),"")</f>
        <v>0.64139999999999997</v>
      </c>
      <c r="Q146" s="225">
        <f>IFERROR(INDEX('Ashed teabags wet'!$K$2:$K$821,MATCH(J146,'Ashed teabags wet'!$A$2:$A$821,0)),"")</f>
        <v>20.158102766798436</v>
      </c>
      <c r="R146" s="225">
        <f t="shared" si="16"/>
        <v>0.51210592885375483</v>
      </c>
      <c r="S146" s="226">
        <f>'WetLitterbags placem_collection'!E147</f>
        <v>42762</v>
      </c>
      <c r="T146" s="226">
        <f>IF('WetLitterbags placem_collection'!G147="","",'WetLitterbags placem_collection'!G147)</f>
        <v>42815</v>
      </c>
      <c r="U146" s="227">
        <f t="shared" si="13"/>
        <v>53</v>
      </c>
      <c r="V146" s="225">
        <f t="shared" si="14"/>
        <v>1.1838000000000002</v>
      </c>
      <c r="W146" s="225">
        <f t="shared" si="15"/>
        <v>1.2124385680119882</v>
      </c>
      <c r="X146">
        <f>IFERROR(INDEX(Rainfall_Wet!$O$2:$O$217,MATCH(B146, Rainfall_Wet!$A$2:$A$217,0)),"")</f>
        <v>205.76139209600001</v>
      </c>
      <c r="Y146" s="231">
        <v>39.96</v>
      </c>
      <c r="Z146" s="231">
        <v>12.920000000000002</v>
      </c>
      <c r="AA146" s="231">
        <v>47.12</v>
      </c>
      <c r="AB146" s="232" t="s">
        <v>2674</v>
      </c>
      <c r="AC146" s="231">
        <v>1.6549531789058647</v>
      </c>
      <c r="AD146">
        <f>IF('WetLitterbags placem_collection'!AB147="","",'WetLitterbags placem_collection'!AB147)</f>
        <v>3.95</v>
      </c>
      <c r="AE146">
        <f>IF('WetLitterbags placem_collection'!Z147="","",'WetLitterbags placem_collection'!Z147)</f>
        <v>13</v>
      </c>
      <c r="AF146" s="246" t="str">
        <f>IF('WetLitterbags placem_collection'!AA147="","",'WetLitterbags placem_collection'!AA147)</f>
        <v>O</v>
      </c>
      <c r="AG146">
        <f>IF('WetLitterbags placem_collection'!AC147="","",'WetLitterbags placem_collection'!AC147)</f>
        <v>0</v>
      </c>
      <c r="AH146" s="240">
        <f>AVERAGE('WetLitterbags placem_collection'!S147,'WetLitterbags placem_collection'!U147)</f>
        <v>27.200000000000003</v>
      </c>
      <c r="AI146">
        <f>AVERAGE('WetLitterbags placem_collection'!R147,'WetLitterbags placem_collection'!T147)</f>
        <v>30.9</v>
      </c>
      <c r="AJ146">
        <f>INDEX(Coordinates!$B$2:$B$197,MATCH(G146,Coordinates!$J$2:$J$197,0))</f>
        <v>-2.3675269729999999</v>
      </c>
      <c r="AK146">
        <f>INDEX(Coordinates!$C$2:$C$197,MATCH(G146,Coordinates!$J$2:$J$197,0))</f>
        <v>34.06035799</v>
      </c>
      <c r="AL146" t="str">
        <f>IF(ISNUMBER(SEARCH("C", 'WetLitterbags placem_collection'!V147)),"YES","NO")</f>
        <v>NO</v>
      </c>
      <c r="AM146" t="str">
        <f>IF(ISNUMBER(SEARCH("H", 'WetLitterbags placem_collection'!V147)),"YES","NO")</f>
        <v>NO</v>
      </c>
      <c r="AN146" t="str">
        <f>IF(ISNUMBER(SEARCH("R", 'WetLitterbags placem_collection'!V147)),"YES","NO")</f>
        <v>YES</v>
      </c>
    </row>
    <row r="147" spans="1:40" ht="15" customHeight="1">
      <c r="A147" s="258" t="s">
        <v>2460</v>
      </c>
      <c r="B147" s="263">
        <f>'Dry_Litterbag Placem_Collection'!A148</f>
        <v>146</v>
      </c>
      <c r="C147" s="263" t="str">
        <f>'Dry_Litterbag Placem_Collection'!B148</f>
        <v xml:space="preserve">Mwantimba
</v>
      </c>
      <c r="D147" s="263" t="s">
        <v>2460</v>
      </c>
      <c r="E147" s="263" t="s">
        <v>20</v>
      </c>
      <c r="F147" s="263">
        <v>3</v>
      </c>
      <c r="G147" s="264" t="str">
        <f>'Dry_Litterbag Placem_Collection'!C148</f>
        <v>Wet_P3_T2</v>
      </c>
      <c r="H147" s="265" t="s">
        <v>2541</v>
      </c>
      <c r="I147" s="266" t="s">
        <v>1147</v>
      </c>
      <c r="J147" s="223" t="str">
        <f>'WetLitterbags placem_collection'!K148</f>
        <v>G689</v>
      </c>
      <c r="K147" s="225">
        <f>IFERROR(INDEX('Green_rooibos initial weight'!$C$5:$C$1749,MATCH(J147, 'Green_rooibos initial weight'!$A$5:$A$1749,0)),"")</f>
        <v>2.0339999999999998</v>
      </c>
      <c r="L147" s="225">
        <f>IFERROR(K147-(TBIcalc!$H$9+TBIcalc!$H$10),"")</f>
        <v>1.7841999999999998</v>
      </c>
      <c r="M147" s="391">
        <f>AVERAGE(Ashed_controlls!$K$2:$K$11)</f>
        <v>5.5147656768714146</v>
      </c>
      <c r="N147" s="225">
        <f t="shared" si="12"/>
        <v>1.6858055507932601</v>
      </c>
      <c r="O147" s="225">
        <f>IF(IFERROR(INDEX('Both teabags AfterWet'!$C$3:$C$841,MATCH(J147,'Both teabags AfterWet'!$A$3:$A$841,0)),"")="","",(IFERROR(INDEX('Both teabags AfterWet'!$C$3:$C$841,MATCH(J147,'Both teabags AfterWet'!$A$3:$A$841,0)),"")))</f>
        <v>0.52200000000000002</v>
      </c>
      <c r="P147" s="225">
        <f>IFERROR(IF(O147&gt;0,O147-(TBIcalc!$H$9),""),"")</f>
        <v>0.37140000000000001</v>
      </c>
      <c r="Q147" s="225">
        <f>IFERROR(INDEX('Ashed teabags wet'!$K$2:$K$821,MATCH(J147,'Ashed teabags wet'!$A$2:$A$821,0)),"")</f>
        <v>14.092009685229803</v>
      </c>
      <c r="R147" s="225">
        <f t="shared" si="16"/>
        <v>0.31906227602905651</v>
      </c>
      <c r="S147" s="226">
        <f>'WetLitterbags placem_collection'!E148</f>
        <v>42762</v>
      </c>
      <c r="T147" s="226">
        <f>IF('WetLitterbags placem_collection'!G148="","",'WetLitterbags placem_collection'!G148)</f>
        <v>42815</v>
      </c>
      <c r="U147" s="227">
        <f t="shared" si="13"/>
        <v>53</v>
      </c>
      <c r="V147" s="225">
        <f t="shared" si="14"/>
        <v>1.4127999999999998</v>
      </c>
      <c r="W147" s="225">
        <f t="shared" si="15"/>
        <v>1.3667432747642037</v>
      </c>
      <c r="X147">
        <f>IFERROR(INDEX(Rainfall_Wet!$O$2:$O$217,MATCH(B147, Rainfall_Wet!$A$2:$A$217,0)),"")</f>
        <v>205.76139209600001</v>
      </c>
      <c r="Y147" s="231">
        <v>39.96</v>
      </c>
      <c r="Z147" s="231">
        <v>12.920000000000002</v>
      </c>
      <c r="AA147" s="231">
        <v>47.12</v>
      </c>
      <c r="AB147" s="232" t="s">
        <v>2674</v>
      </c>
      <c r="AC147" s="231">
        <v>2.6549531789058598</v>
      </c>
      <c r="AD147">
        <f>IF('WetLitterbags placem_collection'!AB148="","",'WetLitterbags placem_collection'!AB148)</f>
        <v>2.75</v>
      </c>
      <c r="AE147">
        <f>IF('WetLitterbags placem_collection'!Z148="","",'WetLitterbags placem_collection'!Z148)</f>
        <v>17.7</v>
      </c>
      <c r="AF147" s="246" t="str">
        <f>IF('WetLitterbags placem_collection'!AA148="","",'WetLitterbags placem_collection'!AA148)</f>
        <v>O</v>
      </c>
      <c r="AG147">
        <f>IF('WetLitterbags placem_collection'!AC148="","",'WetLitterbags placem_collection'!AC148)</f>
        <v>1</v>
      </c>
      <c r="AH147" s="240">
        <f>AVERAGE('WetLitterbags placem_collection'!S148,'WetLitterbags placem_collection'!U148)</f>
        <v>22.65</v>
      </c>
      <c r="AI147">
        <f>AVERAGE('WetLitterbags placem_collection'!R148,'WetLitterbags placem_collection'!T148)</f>
        <v>30.549999999999997</v>
      </c>
      <c r="AJ147">
        <f>INDEX(Coordinates!$B$2:$B$197,MATCH(G147,Coordinates!$J$2:$J$197,0))</f>
        <v>-2.3675380370000001</v>
      </c>
      <c r="AK147">
        <f>INDEX(Coordinates!$C$2:$C$197,MATCH(G147,Coordinates!$J$2:$J$197,0))</f>
        <v>34.060381960000001</v>
      </c>
      <c r="AL147" t="str">
        <f>IF(ISNUMBER(SEARCH("C", 'WetLitterbags placem_collection'!V148)),"YES","NO")</f>
        <v>NO</v>
      </c>
      <c r="AM147" t="str">
        <f>IF(ISNUMBER(SEARCH("H", 'WetLitterbags placem_collection'!V148)),"YES","NO")</f>
        <v>YES</v>
      </c>
      <c r="AN147" t="str">
        <f>IF(ISNUMBER(SEARCH("R", 'WetLitterbags placem_collection'!V148)),"YES","NO")</f>
        <v>YES</v>
      </c>
    </row>
    <row r="148" spans="1:40" ht="15" customHeight="1">
      <c r="A148" s="258" t="s">
        <v>2460</v>
      </c>
      <c r="B148" s="263">
        <f>'Dry_Litterbag Placem_Collection'!A149</f>
        <v>147</v>
      </c>
      <c r="C148" s="263" t="str">
        <f>'Dry_Litterbag Placem_Collection'!B149</f>
        <v xml:space="preserve">Mwantimba
</v>
      </c>
      <c r="D148" s="263" t="s">
        <v>2460</v>
      </c>
      <c r="E148" s="263" t="s">
        <v>20</v>
      </c>
      <c r="F148" s="263">
        <v>3</v>
      </c>
      <c r="G148" s="264" t="str">
        <f>'Dry_Litterbag Placem_Collection'!C149</f>
        <v>Wet_P3_T3</v>
      </c>
      <c r="H148" s="265" t="s">
        <v>2541</v>
      </c>
      <c r="I148" s="266" t="s">
        <v>1147</v>
      </c>
      <c r="J148" s="223" t="str">
        <f>'WetLitterbags placem_collection'!K149</f>
        <v>G678</v>
      </c>
      <c r="K148" s="225">
        <f>IFERROR(INDEX('Green_rooibos initial weight'!$C$5:$C$1749,MATCH(J148, 'Green_rooibos initial weight'!$A$5:$A$1749,0)),"")</f>
        <v>2.012</v>
      </c>
      <c r="L148" s="225">
        <f>IFERROR(K148-(TBIcalc!$H$9+TBIcalc!$H$10),"")</f>
        <v>1.7622</v>
      </c>
      <c r="M148" s="391">
        <f>AVERAGE(Ashed_controlls!$K$2:$K$11)</f>
        <v>5.5147656768714146</v>
      </c>
      <c r="N148" s="225">
        <f t="shared" si="12"/>
        <v>1.6650187992421719</v>
      </c>
      <c r="O148" s="225">
        <f>IF(IFERROR(INDEX('Both teabags AfterWet'!$C$3:$C$841,MATCH(J148,'Both teabags AfterWet'!$A$3:$A$841,0)),"")="","",(IFERROR(INDEX('Both teabags AfterWet'!$C$3:$C$841,MATCH(J148,'Both teabags AfterWet'!$A$3:$A$841,0)),"")))</f>
        <v>0.70199999999999996</v>
      </c>
      <c r="P148" s="225">
        <f>IFERROR(IF(O148&gt;0,O148-(TBIcalc!$H$9),""),"")</f>
        <v>0.55139999999999989</v>
      </c>
      <c r="Q148" s="225">
        <f>IFERROR(INDEX('Ashed teabags wet'!$K$2:$K$821,MATCH(J148,'Ashed teabags wet'!$A$2:$A$821,0)),"")</f>
        <v>16.333666333666116</v>
      </c>
      <c r="R148" s="225">
        <f t="shared" si="16"/>
        <v>0.46133616383616494</v>
      </c>
      <c r="S148" s="226">
        <f>'WetLitterbags placem_collection'!E149</f>
        <v>42762</v>
      </c>
      <c r="T148" s="226">
        <f>IF('WetLitterbags placem_collection'!G149="","",'WetLitterbags placem_collection'!G149)</f>
        <v>42816</v>
      </c>
      <c r="U148" s="227">
        <f t="shared" si="13"/>
        <v>54</v>
      </c>
      <c r="V148" s="225">
        <f t="shared" si="14"/>
        <v>1.2108000000000001</v>
      </c>
      <c r="W148" s="225">
        <f t="shared" si="15"/>
        <v>1.2036826354060071</v>
      </c>
      <c r="X148">
        <f>IFERROR(INDEX(Rainfall_Wet!$O$2:$O$217,MATCH(B148, Rainfall_Wet!$A$2:$A$217,0)),"")</f>
        <v>206.85140822299999</v>
      </c>
      <c r="Y148" s="231">
        <v>39.96</v>
      </c>
      <c r="Z148" s="231">
        <v>12.920000000000002</v>
      </c>
      <c r="AA148" s="231">
        <v>47.12</v>
      </c>
      <c r="AB148" s="232" t="s">
        <v>2674</v>
      </c>
      <c r="AC148" s="231">
        <v>3.6549531789058598</v>
      </c>
      <c r="AD148">
        <f>IF('WetLitterbags placem_collection'!AB149="","",'WetLitterbags placem_collection'!AB149)</f>
        <v>3.6</v>
      </c>
      <c r="AE148">
        <f>IF('WetLitterbags placem_collection'!Z149="","",'WetLitterbags placem_collection'!Z149)</f>
        <v>19</v>
      </c>
      <c r="AF148" s="246" t="str">
        <f>IF('WetLitterbags placem_collection'!AA149="","",'WetLitterbags placem_collection'!AA149)</f>
        <v>M</v>
      </c>
      <c r="AG148">
        <f>IF('WetLitterbags placem_collection'!AC149="","",'WetLitterbags placem_collection'!AC149)</f>
        <v>1</v>
      </c>
      <c r="AH148" s="240">
        <f>AVERAGE('WetLitterbags placem_collection'!S149,'WetLitterbags placem_collection'!U149)</f>
        <v>23.35</v>
      </c>
      <c r="AI148">
        <f>AVERAGE('WetLitterbags placem_collection'!R149,'WetLitterbags placem_collection'!T149)</f>
        <v>29.9</v>
      </c>
      <c r="AJ148">
        <f>INDEX(Coordinates!$B$2:$B$197,MATCH(G148,Coordinates!$J$2:$J$197,0))</f>
        <v>-2.3675780180000001</v>
      </c>
      <c r="AK148">
        <f>INDEX(Coordinates!$C$2:$C$197,MATCH(G148,Coordinates!$J$2:$J$197,0))</f>
        <v>34.060323029999999</v>
      </c>
      <c r="AL148" t="str">
        <f>IF(ISNUMBER(SEARCH("C", 'WetLitterbags placem_collection'!V149)),"YES","NO")</f>
        <v>NO</v>
      </c>
      <c r="AM148" t="str">
        <f>IF(ISNUMBER(SEARCH("H", 'WetLitterbags placem_collection'!V149)),"YES","NO")</f>
        <v>NO</v>
      </c>
      <c r="AN148" t="str">
        <f>IF(ISNUMBER(SEARCH("R", 'WetLitterbags placem_collection'!V149)),"YES","NO")</f>
        <v>NO</v>
      </c>
    </row>
    <row r="149" spans="1:40" ht="15" customHeight="1">
      <c r="A149" s="258" t="s">
        <v>2460</v>
      </c>
      <c r="B149" s="263">
        <f>'Dry_Litterbag Placem_Collection'!A150</f>
        <v>148</v>
      </c>
      <c r="C149" s="263" t="str">
        <f>'Dry_Litterbag Placem_Collection'!B150</f>
        <v xml:space="preserve">Mwantimba
</v>
      </c>
      <c r="D149" s="263" t="s">
        <v>2460</v>
      </c>
      <c r="E149" s="263" t="s">
        <v>20</v>
      </c>
      <c r="F149" s="263">
        <v>3</v>
      </c>
      <c r="G149" s="264" t="str">
        <f>'Dry_Litterbag Placem_Collection'!C150</f>
        <v>Wet_P3_T4</v>
      </c>
      <c r="H149" s="265" t="s">
        <v>2541</v>
      </c>
      <c r="I149" s="266" t="s">
        <v>1147</v>
      </c>
      <c r="J149" s="223" t="str">
        <f>'WetLitterbags placem_collection'!K150</f>
        <v>G835</v>
      </c>
      <c r="K149" s="225">
        <f>IFERROR(INDEX('Green_rooibos initial weight'!$C$5:$C$1749,MATCH(J149, 'Green_rooibos initial weight'!$A$5:$A$1749,0)),"")</f>
        <v>1.819</v>
      </c>
      <c r="L149" s="225">
        <f>IFERROR(K149-(TBIcalc!$H$9+TBIcalc!$H$10),"")</f>
        <v>1.5691999999999999</v>
      </c>
      <c r="M149" s="391">
        <f>AVERAGE(Ashed_controlls!$K$2:$K$11)</f>
        <v>5.5147656768714146</v>
      </c>
      <c r="N149" s="225">
        <f t="shared" si="12"/>
        <v>1.4826622969985337</v>
      </c>
      <c r="O149" s="225">
        <f>IF(IFERROR(INDEX('Both teabags AfterWet'!$C$3:$C$841,MATCH(J149,'Both teabags AfterWet'!$A$3:$A$841,0)),"")="","",(IFERROR(INDEX('Both teabags AfterWet'!$C$3:$C$841,MATCH(J149,'Both teabags AfterWet'!$A$3:$A$841,0)),"")))</f>
        <v>0.24560000000000001</v>
      </c>
      <c r="P149" s="225">
        <f>IFERROR(IF(O149&gt;0,O149-(TBIcalc!$H$9),""),"")</f>
        <v>9.5000000000000001E-2</v>
      </c>
      <c r="Q149" s="225" t="str">
        <f>IFERROR(INDEX('Ashed teabags wet'!$K$2:$K$821,MATCH(J149,'Ashed teabags wet'!$A$2:$A$821,0)),"")</f>
        <v/>
      </c>
      <c r="R149" s="225" t="str">
        <f t="shared" si="16"/>
        <v/>
      </c>
      <c r="S149" s="226">
        <f>'WetLitterbags placem_collection'!E150</f>
        <v>42762</v>
      </c>
      <c r="T149" s="226">
        <f>IF('WetLitterbags placem_collection'!G150="","",'WetLitterbags placem_collection'!G150)</f>
        <v>42816</v>
      </c>
      <c r="U149" s="227">
        <f t="shared" si="13"/>
        <v>54</v>
      </c>
      <c r="V149" s="225">
        <f t="shared" si="14"/>
        <v>1.4742</v>
      </c>
      <c r="W149" s="225" t="str">
        <f t="shared" si="15"/>
        <v/>
      </c>
      <c r="X149">
        <f>IFERROR(INDEX(Rainfall_Wet!$O$2:$O$217,MATCH(B149, Rainfall_Wet!$A$2:$A$217,0)),"")</f>
        <v>206.85140822299999</v>
      </c>
      <c r="Y149" s="231">
        <v>39.96</v>
      </c>
      <c r="Z149" s="231">
        <v>12.920000000000002</v>
      </c>
      <c r="AA149" s="231">
        <v>47.12</v>
      </c>
      <c r="AB149" s="232" t="s">
        <v>2674</v>
      </c>
      <c r="AC149" s="231">
        <v>4.6549531789058696</v>
      </c>
      <c r="AD149">
        <f>IF('WetLitterbags placem_collection'!AB150="","",'WetLitterbags placem_collection'!AB150)</f>
        <v>4.9000000000000004</v>
      </c>
      <c r="AE149">
        <f>IF('WetLitterbags placem_collection'!Z150="","",'WetLitterbags placem_collection'!Z150)</f>
        <v>17.489999999999998</v>
      </c>
      <c r="AF149" s="246" t="str">
        <f>IF('WetLitterbags placem_collection'!AA150="","",'WetLitterbags placem_collection'!AA150)</f>
        <v>M</v>
      </c>
      <c r="AG149">
        <f>IF('WetLitterbags placem_collection'!AC150="","",'WetLitterbags placem_collection'!AC150)</f>
        <v>1</v>
      </c>
      <c r="AH149" s="240">
        <f>AVERAGE('WetLitterbags placem_collection'!S150,'WetLitterbags placem_collection'!U150)</f>
        <v>28.2</v>
      </c>
      <c r="AI149">
        <f>AVERAGE('WetLitterbags placem_collection'!R150,'WetLitterbags placem_collection'!T150)</f>
        <v>25.299999999999997</v>
      </c>
      <c r="AJ149">
        <f>INDEX(Coordinates!$B$2:$B$197,MATCH(G149,Coordinates!$J$2:$J$197,0))</f>
        <v>-2.3676269689999998</v>
      </c>
      <c r="AK149">
        <f>INDEX(Coordinates!$C$2:$C$197,MATCH(G149,Coordinates!$J$2:$J$197,0))</f>
        <v>34.060310960000002</v>
      </c>
      <c r="AL149" t="str">
        <f>IF(ISNUMBER(SEARCH("C", 'WetLitterbags placem_collection'!V150)),"YES","NO")</f>
        <v>NO</v>
      </c>
      <c r="AM149" t="str">
        <f>IF(ISNUMBER(SEARCH("H", 'WetLitterbags placem_collection'!V150)),"YES","NO")</f>
        <v>YES</v>
      </c>
      <c r="AN149" t="str">
        <f>IF(ISNUMBER(SEARCH("R", 'WetLitterbags placem_collection'!V150)),"YES","NO")</f>
        <v>NO</v>
      </c>
    </row>
    <row r="150" spans="1:40" ht="15" customHeight="1">
      <c r="A150" s="258" t="s">
        <v>2460</v>
      </c>
      <c r="B150" s="263">
        <f>'Dry_Litterbag Placem_Collection'!A151</f>
        <v>149</v>
      </c>
      <c r="C150" s="263" t="str">
        <f>'Dry_Litterbag Placem_Collection'!B151</f>
        <v xml:space="preserve">Mwantimba
</v>
      </c>
      <c r="D150" s="263" t="s">
        <v>2460</v>
      </c>
      <c r="E150" s="263" t="s">
        <v>20</v>
      </c>
      <c r="F150" s="263">
        <v>3</v>
      </c>
      <c r="G150" s="264" t="str">
        <f>'Dry_Litterbag Placem_Collection'!C151</f>
        <v>Wet_P3_T5</v>
      </c>
      <c r="H150" s="265" t="s">
        <v>2541</v>
      </c>
      <c r="I150" s="266" t="s">
        <v>1147</v>
      </c>
      <c r="J150" s="223" t="str">
        <f>'WetLitterbags placem_collection'!K151</f>
        <v>G733</v>
      </c>
      <c r="K150" s="225">
        <f>IFERROR(INDEX('Green_rooibos initial weight'!$C$5:$C$1749,MATCH(J150, 'Green_rooibos initial weight'!$A$5:$A$1749,0)),"")</f>
        <v>1.8280000000000001</v>
      </c>
      <c r="L150" s="225">
        <f>IFERROR(K150-(TBIcalc!$H$9+TBIcalc!$H$10),"")</f>
        <v>1.5782</v>
      </c>
      <c r="M150" s="391">
        <f>AVERAGE(Ashed_controlls!$K$2:$K$11)</f>
        <v>5.5147656768714146</v>
      </c>
      <c r="N150" s="225">
        <f t="shared" si="12"/>
        <v>1.4911659680876155</v>
      </c>
      <c r="O150" s="225">
        <f>IF(IFERROR(INDEX('Both teabags AfterWet'!$C$3:$C$841,MATCH(J150,'Both teabags AfterWet'!$A$3:$A$841,0)),"")="","",(IFERROR(INDEX('Both teabags AfterWet'!$C$3:$C$841,MATCH(J150,'Both teabags AfterWet'!$A$3:$A$841,0)),"")))</f>
        <v>0.73760000000000003</v>
      </c>
      <c r="P150" s="225">
        <f>IFERROR(IF(O150&gt;0,O150-(TBIcalc!$H$9),""),"")</f>
        <v>0.58699999999999997</v>
      </c>
      <c r="Q150" s="225">
        <f>IFERROR(INDEX('Ashed teabags wet'!$K$2:$K$821,MATCH(J150,'Ashed teabags wet'!$A$2:$A$821,0)),"")</f>
        <v>30.262506191183512</v>
      </c>
      <c r="R150" s="225">
        <f t="shared" si="16"/>
        <v>0.40935908865775272</v>
      </c>
      <c r="S150" s="226">
        <f>'WetLitterbags placem_collection'!E151</f>
        <v>42762</v>
      </c>
      <c r="T150" s="226">
        <f>IF('WetLitterbags placem_collection'!G151="","",'WetLitterbags placem_collection'!G151)</f>
        <v>42816</v>
      </c>
      <c r="U150" s="227">
        <f t="shared" si="13"/>
        <v>54</v>
      </c>
      <c r="V150" s="225">
        <f t="shared" si="14"/>
        <v>0.99120000000000008</v>
      </c>
      <c r="W150" s="225">
        <f t="shared" si="15"/>
        <v>1.0818068794298628</v>
      </c>
      <c r="X150">
        <f>IFERROR(INDEX(Rainfall_Wet!$O$2:$O$217,MATCH(B150, Rainfall_Wet!$A$2:$A$217,0)),"")</f>
        <v>206.85140822299999</v>
      </c>
      <c r="Y150" s="231">
        <v>39.96</v>
      </c>
      <c r="Z150" s="231">
        <v>12.920000000000002</v>
      </c>
      <c r="AA150" s="231">
        <v>47.12</v>
      </c>
      <c r="AB150" s="232" t="s">
        <v>2674</v>
      </c>
      <c r="AC150" s="231">
        <v>5.6549531789058696</v>
      </c>
      <c r="AD150">
        <f>IF('WetLitterbags placem_collection'!AB151="","",'WetLitterbags placem_collection'!AB151)</f>
        <v>2.8</v>
      </c>
      <c r="AE150">
        <f>IF('WetLitterbags placem_collection'!Z151="","",'WetLitterbags placem_collection'!Z151)</f>
        <v>13</v>
      </c>
      <c r="AF150" s="246" t="str">
        <f>IF('WetLitterbags placem_collection'!AA151="","",'WetLitterbags placem_collection'!AA151)</f>
        <v>M</v>
      </c>
      <c r="AG150">
        <f>IF('WetLitterbags placem_collection'!AC151="","",'WetLitterbags placem_collection'!AC151)</f>
        <v>1</v>
      </c>
      <c r="AH150" s="240">
        <f>AVERAGE('WetLitterbags placem_collection'!S151,'WetLitterbags placem_collection'!U151)</f>
        <v>25.4</v>
      </c>
      <c r="AI150">
        <f>AVERAGE('WetLitterbags placem_collection'!R151,'WetLitterbags placem_collection'!T151)</f>
        <v>26.9</v>
      </c>
      <c r="AJ150">
        <f>INDEX(Coordinates!$B$2:$B$197,MATCH(G150,Coordinates!$J$2:$J$197,0))</f>
        <v>-2.3677179960000001</v>
      </c>
      <c r="AK150">
        <f>INDEX(Coordinates!$C$2:$C$197,MATCH(G150,Coordinates!$J$2:$J$197,0))</f>
        <v>34.060324960000003</v>
      </c>
      <c r="AL150" t="str">
        <f>IF(ISNUMBER(SEARCH("C", 'WetLitterbags placem_collection'!V151)),"YES","NO")</f>
        <v>NO</v>
      </c>
      <c r="AM150" t="str">
        <f>IF(ISNUMBER(SEARCH("H", 'WetLitterbags placem_collection'!V151)),"YES","NO")</f>
        <v>NO</v>
      </c>
      <c r="AN150" t="str">
        <f>IF(ISNUMBER(SEARCH("R", 'WetLitterbags placem_collection'!V151)),"YES","NO")</f>
        <v>NO</v>
      </c>
    </row>
    <row r="151" spans="1:40" ht="15" customHeight="1">
      <c r="A151" s="258" t="s">
        <v>2460</v>
      </c>
      <c r="B151" s="263">
        <f>'Dry_Litterbag Placem_Collection'!A152</f>
        <v>150</v>
      </c>
      <c r="C151" s="263" t="str">
        <f>'Dry_Litterbag Placem_Collection'!B152</f>
        <v xml:space="preserve">Mwantimba
</v>
      </c>
      <c r="D151" s="263" t="s">
        <v>2460</v>
      </c>
      <c r="E151" s="263" t="s">
        <v>20</v>
      </c>
      <c r="F151" s="263">
        <v>3</v>
      </c>
      <c r="G151" s="264" t="str">
        <f>'Dry_Litterbag Placem_Collection'!C152</f>
        <v>Wet_P3_T6</v>
      </c>
      <c r="H151" s="265" t="s">
        <v>2541</v>
      </c>
      <c r="I151" s="266" t="s">
        <v>1147</v>
      </c>
      <c r="J151" s="223" t="str">
        <f>'WetLitterbags placem_collection'!K152</f>
        <v>G658</v>
      </c>
      <c r="K151" s="225">
        <f>IFERROR(INDEX('Green_rooibos initial weight'!$C$5:$C$1749,MATCH(J151, 'Green_rooibos initial weight'!$A$5:$A$1749,0)),"")</f>
        <v>2.129</v>
      </c>
      <c r="L151" s="225">
        <f>IFERROR(K151-(TBIcalc!$H$9+TBIcalc!$H$10),"")</f>
        <v>1.8792</v>
      </c>
      <c r="M151" s="391">
        <f>AVERAGE(Ashed_controlls!$K$2:$K$11)</f>
        <v>5.5147656768714146</v>
      </c>
      <c r="N151" s="225">
        <f t="shared" si="12"/>
        <v>1.7755665234002325</v>
      </c>
      <c r="O151" s="225">
        <f>IF(IFERROR(INDEX('Both teabags AfterWet'!$C$3:$C$841,MATCH(J151,'Both teabags AfterWet'!$A$3:$A$841,0)),"")="","",(IFERROR(INDEX('Both teabags AfterWet'!$C$3:$C$841,MATCH(J151,'Both teabags AfterWet'!$A$3:$A$841,0)),"")))</f>
        <v>0.71799999999999997</v>
      </c>
      <c r="P151" s="225">
        <f>IFERROR(IF(O151&gt;0,O151-(TBIcalc!$H$9),""),"")</f>
        <v>0.5673999999999999</v>
      </c>
      <c r="Q151" s="225">
        <f>IFERROR(INDEX('Ashed teabags wet'!$K$2:$K$821,MATCH(J151,'Ashed teabags wet'!$A$2:$A$821,0)),"")</f>
        <v>23.716990533134794</v>
      </c>
      <c r="R151" s="225">
        <f t="shared" si="16"/>
        <v>0.43282979571499314</v>
      </c>
      <c r="S151" s="226">
        <f>'WetLitterbags placem_collection'!E152</f>
        <v>42762</v>
      </c>
      <c r="T151" s="226">
        <f>IF('WetLitterbags placem_collection'!G152="","",'WetLitterbags placem_collection'!G152)</f>
        <v>42816</v>
      </c>
      <c r="U151" s="227">
        <f t="shared" si="13"/>
        <v>54</v>
      </c>
      <c r="V151" s="225">
        <f t="shared" si="14"/>
        <v>1.3118000000000001</v>
      </c>
      <c r="W151" s="225">
        <f t="shared" si="15"/>
        <v>1.3427367276852393</v>
      </c>
      <c r="X151">
        <f>IFERROR(INDEX(Rainfall_Wet!$O$2:$O$217,MATCH(B151, Rainfall_Wet!$A$2:$A$217,0)),"")</f>
        <v>206.85140822299999</v>
      </c>
      <c r="Y151" s="231">
        <v>39.96</v>
      </c>
      <c r="Z151" s="231">
        <v>12.920000000000002</v>
      </c>
      <c r="AA151" s="231">
        <v>47.12</v>
      </c>
      <c r="AB151" s="232" t="s">
        <v>2674</v>
      </c>
      <c r="AC151" s="231">
        <v>6.6549531789058696</v>
      </c>
      <c r="AD151">
        <f>IF('WetLitterbags placem_collection'!AB152="","",'WetLitterbags placem_collection'!AB152)</f>
        <v>2.75</v>
      </c>
      <c r="AE151">
        <f>IF('WetLitterbags placem_collection'!Z152="","",'WetLitterbags placem_collection'!Z152)</f>
        <v>19</v>
      </c>
      <c r="AF151" s="246" t="str">
        <f>IF('WetLitterbags placem_collection'!AA152="","",'WetLitterbags placem_collection'!AA152)</f>
        <v>O</v>
      </c>
      <c r="AG151">
        <f>IF('WetLitterbags placem_collection'!AC152="","",'WetLitterbags placem_collection'!AC152)</f>
        <v>0</v>
      </c>
      <c r="AH151" s="240">
        <f>AVERAGE('WetLitterbags placem_collection'!S152,'WetLitterbags placem_collection'!U152)</f>
        <v>22.55</v>
      </c>
      <c r="AI151">
        <f>AVERAGE('WetLitterbags placem_collection'!R152,'WetLitterbags placem_collection'!T152)</f>
        <v>24.75</v>
      </c>
      <c r="AJ151">
        <f>INDEX(Coordinates!$B$2:$B$197,MATCH(G151,Coordinates!$J$2:$J$197,0))</f>
        <v>-2.3675230329999999</v>
      </c>
      <c r="AK151">
        <f>INDEX(Coordinates!$C$2:$C$197,MATCH(G151,Coordinates!$J$2:$J$197,0))</f>
        <v>34.060512969999998</v>
      </c>
      <c r="AL151" t="str">
        <f>IF(ISNUMBER(SEARCH("C", 'WetLitterbags placem_collection'!V152)),"YES","NO")</f>
        <v>NO</v>
      </c>
      <c r="AM151" t="str">
        <f>IF(ISNUMBER(SEARCH("H", 'WetLitterbags placem_collection'!V152)),"YES","NO")</f>
        <v>NO</v>
      </c>
      <c r="AN151" t="str">
        <f>IF(ISNUMBER(SEARCH("R", 'WetLitterbags placem_collection'!V152)),"YES","NO")</f>
        <v>NO</v>
      </c>
    </row>
    <row r="152" spans="1:40" ht="15" customHeight="1">
      <c r="A152" s="258" t="s">
        <v>2460</v>
      </c>
      <c r="B152" s="263">
        <f>'Dry_Litterbag Placem_Collection'!A153</f>
        <v>151</v>
      </c>
      <c r="C152" s="263" t="str">
        <f>'Dry_Litterbag Placem_Collection'!B153</f>
        <v xml:space="preserve">Mwantimba
</v>
      </c>
      <c r="D152" s="263" t="s">
        <v>2460</v>
      </c>
      <c r="E152" s="263" t="s">
        <v>20</v>
      </c>
      <c r="F152" s="263">
        <v>3</v>
      </c>
      <c r="G152" s="264" t="str">
        <f>'Dry_Litterbag Placem_Collection'!C153</f>
        <v>Wet_P3_T7</v>
      </c>
      <c r="H152" s="265" t="s">
        <v>2541</v>
      </c>
      <c r="I152" s="266" t="s">
        <v>1147</v>
      </c>
      <c r="J152" s="223" t="str">
        <f>'WetLitterbags placem_collection'!K153</f>
        <v>G567</v>
      </c>
      <c r="K152" s="225">
        <f>IFERROR(INDEX('Green_rooibos initial weight'!$C$5:$C$1749,MATCH(J152, 'Green_rooibos initial weight'!$A$5:$A$1749,0)),"")</f>
        <v>2.0569999999999999</v>
      </c>
      <c r="L152" s="225">
        <f>IFERROR(K152-(TBIcalc!$H$9+TBIcalc!$H$10),"")</f>
        <v>1.8071999999999999</v>
      </c>
      <c r="M152" s="391">
        <f>AVERAGE(Ashed_controlls!$K$2:$K$11)</f>
        <v>5.5147656768714146</v>
      </c>
      <c r="N152" s="225">
        <f t="shared" si="12"/>
        <v>1.7075371546875797</v>
      </c>
      <c r="O152" s="225">
        <f>IF(IFERROR(INDEX('Both teabags AfterWet'!$C$3:$C$841,MATCH(J152,'Both teabags AfterWet'!$A$3:$A$841,0)),"")="","",(IFERROR(INDEX('Both teabags AfterWet'!$C$3:$C$841,MATCH(J152,'Both teabags AfterWet'!$A$3:$A$841,0)),"")))</f>
        <v>0.86499999999999999</v>
      </c>
      <c r="P152" s="225">
        <f>IFERROR(IF(O152&gt;0,O152-(TBIcalc!$H$9),""),"")</f>
        <v>0.71439999999999992</v>
      </c>
      <c r="Q152" s="225">
        <f>IFERROR(INDEX('Ashed teabags wet'!$K$2:$K$821,MATCH(J152,'Ashed teabags wet'!$A$2:$A$821,0)),"")</f>
        <v>20.077034183919789</v>
      </c>
      <c r="R152" s="225">
        <f t="shared" si="16"/>
        <v>0.57096966779007696</v>
      </c>
      <c r="S152" s="226">
        <f>'WetLitterbags placem_collection'!E153</f>
        <v>42762</v>
      </c>
      <c r="T152" s="226">
        <f>IF('WetLitterbags placem_collection'!G153="","",'WetLitterbags placem_collection'!G153)</f>
        <v>42816</v>
      </c>
      <c r="U152" s="227">
        <f t="shared" si="13"/>
        <v>54</v>
      </c>
      <c r="V152" s="225">
        <f t="shared" si="14"/>
        <v>1.0928</v>
      </c>
      <c r="W152" s="225">
        <f t="shared" si="15"/>
        <v>1.1365674868975026</v>
      </c>
      <c r="X152">
        <f>IFERROR(INDEX(Rainfall_Wet!$O$2:$O$217,MATCH(B152, Rainfall_Wet!$A$2:$A$217,0)),"")</f>
        <v>206.85140822299999</v>
      </c>
      <c r="Y152" s="231">
        <v>39.96</v>
      </c>
      <c r="Z152" s="231">
        <v>12.920000000000002</v>
      </c>
      <c r="AA152" s="231">
        <v>47.12</v>
      </c>
      <c r="AB152" s="232" t="s">
        <v>2674</v>
      </c>
      <c r="AC152" s="231">
        <v>7.6549531789058696</v>
      </c>
      <c r="AD152">
        <f>IF('WetLitterbags placem_collection'!AB153="","",'WetLitterbags placem_collection'!AB153)</f>
        <v>1.4</v>
      </c>
      <c r="AE152">
        <f>IF('WetLitterbags placem_collection'!Z153="","",'WetLitterbags placem_collection'!Z153)</f>
        <v>7.9</v>
      </c>
      <c r="AF152" s="246" t="str">
        <f>IF('WetLitterbags placem_collection'!AA153="","",'WetLitterbags placem_collection'!AA153)</f>
        <v>O</v>
      </c>
      <c r="AG152">
        <f>IF('WetLitterbags placem_collection'!AC153="","",'WetLitterbags placem_collection'!AC153)</f>
        <v>1</v>
      </c>
      <c r="AH152" s="240">
        <f>AVERAGE('WetLitterbags placem_collection'!S153,'WetLitterbags placem_collection'!U153)</f>
        <v>26.049999999999997</v>
      </c>
      <c r="AI152">
        <f>AVERAGE('WetLitterbags placem_collection'!R153,'WetLitterbags placem_collection'!T153)</f>
        <v>26.5</v>
      </c>
      <c r="AJ152">
        <f>INDEX(Coordinates!$B$2:$B$197,MATCH(G152,Coordinates!$J$2:$J$197,0))</f>
        <v>-2.3673460070000001</v>
      </c>
      <c r="AK152">
        <f>INDEX(Coordinates!$C$2:$C$197,MATCH(G152,Coordinates!$J$2:$J$197,0))</f>
        <v>34.060310039999997</v>
      </c>
      <c r="AL152" t="str">
        <f>IF(ISNUMBER(SEARCH("C", 'WetLitterbags placem_collection'!V153)),"YES","NO")</f>
        <v>NO</v>
      </c>
      <c r="AM152" t="str">
        <f>IF(ISNUMBER(SEARCH("H", 'WetLitterbags placem_collection'!V153)),"YES","NO")</f>
        <v>NO</v>
      </c>
      <c r="AN152" t="str">
        <f>IF(ISNUMBER(SEARCH("R", 'WetLitterbags placem_collection'!V153)),"YES","NO")</f>
        <v>YES</v>
      </c>
    </row>
    <row r="153" spans="1:40" ht="15" customHeight="1">
      <c r="A153" s="258" t="s">
        <v>2460</v>
      </c>
      <c r="B153" s="263">
        <f>'Dry_Litterbag Placem_Collection'!A154</f>
        <v>152</v>
      </c>
      <c r="C153" s="263" t="str">
        <f>'Dry_Litterbag Placem_Collection'!B154</f>
        <v xml:space="preserve">Mwantimba
</v>
      </c>
      <c r="D153" s="263" t="s">
        <v>2460</v>
      </c>
      <c r="E153" s="263" t="s">
        <v>20</v>
      </c>
      <c r="F153" s="263">
        <v>3</v>
      </c>
      <c r="G153" s="264" t="str">
        <f>'Dry_Litterbag Placem_Collection'!C154</f>
        <v>Wet_P3_T8</v>
      </c>
      <c r="H153" s="265" t="s">
        <v>2541</v>
      </c>
      <c r="I153" s="266" t="s">
        <v>1147</v>
      </c>
      <c r="J153" s="223" t="str">
        <f>'WetLitterbags placem_collection'!K154</f>
        <v>G853</v>
      </c>
      <c r="K153" s="225">
        <f>IFERROR(INDEX('Green_rooibos initial weight'!$C$5:$C$1749,MATCH(J153, 'Green_rooibos initial weight'!$A$5:$A$1749,0)),"")</f>
        <v>1.972</v>
      </c>
      <c r="L153" s="225">
        <f>IFERROR(K153-(TBIcalc!$H$9+TBIcalc!$H$10),"")</f>
        <v>1.7222</v>
      </c>
      <c r="M153" s="391">
        <f>AVERAGE(Ashed_controlls!$K$2:$K$11)</f>
        <v>5.5147656768714146</v>
      </c>
      <c r="N153" s="225">
        <f t="shared" si="12"/>
        <v>1.6272247055129205</v>
      </c>
      <c r="O153" s="225">
        <f>IF(IFERROR(INDEX('Both teabags AfterWet'!$C$3:$C$841,MATCH(J153,'Both teabags AfterWet'!$A$3:$A$841,0)),"")="","",(IFERROR(INDEX('Both teabags AfterWet'!$C$3:$C$841,MATCH(J153,'Both teabags AfterWet'!$A$3:$A$841,0)),"")))</f>
        <v>0.58509999999999995</v>
      </c>
      <c r="P153" s="225">
        <f>IFERROR(IF(O153&gt;0,O153-(TBIcalc!$H$9),""),"")</f>
        <v>0.43449999999999994</v>
      </c>
      <c r="Q153" s="225">
        <f>IFERROR(INDEX('Ashed teabags wet'!$K$2:$K$821,MATCH(J153,'Ashed teabags wet'!$A$2:$A$821,0)),"")</f>
        <v>20.802377414561477</v>
      </c>
      <c r="R153" s="225">
        <f t="shared" si="16"/>
        <v>0.34411367013373034</v>
      </c>
      <c r="S153" s="226">
        <f>'WetLitterbags placem_collection'!E154</f>
        <v>42762</v>
      </c>
      <c r="T153" s="226">
        <f>IF('WetLitterbags placem_collection'!G154="","",'WetLitterbags placem_collection'!G154)</f>
        <v>42816</v>
      </c>
      <c r="U153" s="227">
        <f t="shared" si="13"/>
        <v>54</v>
      </c>
      <c r="V153" s="225">
        <f t="shared" si="14"/>
        <v>1.2877000000000001</v>
      </c>
      <c r="W153" s="225">
        <f t="shared" si="15"/>
        <v>1.2831110353791901</v>
      </c>
      <c r="X153">
        <f>IFERROR(INDEX(Rainfall_Wet!$O$2:$O$217,MATCH(B153, Rainfall_Wet!$A$2:$A$217,0)),"")</f>
        <v>206.85140822299999</v>
      </c>
      <c r="Y153" s="231">
        <v>39.96</v>
      </c>
      <c r="Z153" s="231">
        <v>12.920000000000002</v>
      </c>
      <c r="AA153" s="231">
        <v>47.12</v>
      </c>
      <c r="AB153" s="232" t="s">
        <v>2674</v>
      </c>
      <c r="AC153" s="231">
        <v>8.6549531789058705</v>
      </c>
      <c r="AD153">
        <f>IF('WetLitterbags placem_collection'!AB154="","",'WetLitterbags placem_collection'!AB154)</f>
        <v>2.2000000000000002</v>
      </c>
      <c r="AE153">
        <f>IF('WetLitterbags placem_collection'!Z154="","",'WetLitterbags placem_collection'!Z154)</f>
        <v>15</v>
      </c>
      <c r="AF153" s="246" t="str">
        <f>IF('WetLitterbags placem_collection'!AA154="","",'WetLitterbags placem_collection'!AA154)</f>
        <v>M</v>
      </c>
      <c r="AG153">
        <f>IF('WetLitterbags placem_collection'!AC154="","",'WetLitterbags placem_collection'!AC154)</f>
        <v>0</v>
      </c>
      <c r="AH153" s="240">
        <f>AVERAGE('WetLitterbags placem_collection'!S154,'WetLitterbags placem_collection'!U154)</f>
        <v>18.8</v>
      </c>
      <c r="AI153">
        <f>AVERAGE('WetLitterbags placem_collection'!R154,'WetLitterbags placem_collection'!T154)</f>
        <v>23.7</v>
      </c>
      <c r="AJ153">
        <f>INDEX(Coordinates!$B$2:$B$197,MATCH(G153,Coordinates!$J$2:$J$197,0))</f>
        <v>-2.367543988</v>
      </c>
      <c r="AK153">
        <f>INDEX(Coordinates!$C$2:$C$197,MATCH(G153,Coordinates!$J$2:$J$197,0))</f>
        <v>34.060168969999999</v>
      </c>
      <c r="AL153" t="str">
        <f>IF(ISNUMBER(SEARCH("C", 'WetLitterbags placem_collection'!V154)),"YES","NO")</f>
        <v>NO</v>
      </c>
      <c r="AM153" t="str">
        <f>IF(ISNUMBER(SEARCH("H", 'WetLitterbags placem_collection'!V154)),"YES","NO")</f>
        <v>NO</v>
      </c>
      <c r="AN153" t="str">
        <f>IF(ISNUMBER(SEARCH("R", 'WetLitterbags placem_collection'!V154)),"YES","NO")</f>
        <v>NO</v>
      </c>
    </row>
    <row r="154" spans="1:40" ht="15" customHeight="1">
      <c r="A154" s="258" t="s">
        <v>2460</v>
      </c>
      <c r="B154" s="263">
        <f>'Dry_Litterbag Placem_Collection'!A155</f>
        <v>153</v>
      </c>
      <c r="C154" s="263" t="str">
        <f>'Dry_Litterbag Placem_Collection'!B155</f>
        <v xml:space="preserve">Mwantimba
</v>
      </c>
      <c r="D154" s="263" t="s">
        <v>2460</v>
      </c>
      <c r="E154" s="263" t="s">
        <v>20</v>
      </c>
      <c r="F154" s="263">
        <v>4</v>
      </c>
      <c r="G154" s="264" t="str">
        <f>'Dry_Litterbag Placem_Collection'!C155</f>
        <v>Wet_P4_T1</v>
      </c>
      <c r="H154" s="265" t="s">
        <v>2541</v>
      </c>
      <c r="I154" s="266" t="s">
        <v>1147</v>
      </c>
      <c r="J154" s="223" t="str">
        <f>'WetLitterbags placem_collection'!K155</f>
        <v>G800</v>
      </c>
      <c r="K154" s="225">
        <f>IFERROR(INDEX('Green_rooibos initial weight'!$C$5:$C$1749,MATCH(J154, 'Green_rooibos initial weight'!$A$5:$A$1749,0)),"")</f>
        <v>2.1179999999999999</v>
      </c>
      <c r="L154" s="225">
        <f>IFERROR(K154-(TBIcalc!$H$9+TBIcalc!$H$10),"")</f>
        <v>1.8681999999999999</v>
      </c>
      <c r="M154" s="391">
        <f>AVERAGE(Ashed_controlls!$K$2:$K$11)</f>
        <v>5.5147656768714146</v>
      </c>
      <c r="N154" s="225">
        <f t="shared" si="12"/>
        <v>1.7651731476246881</v>
      </c>
      <c r="O154" s="225">
        <f>IF(IFERROR(INDEX('Both teabags AfterWet'!$C$3:$C$841,MATCH(J154,'Both teabags AfterWet'!$A$3:$A$841,0)),"")="","",(IFERROR(INDEX('Both teabags AfterWet'!$C$3:$C$841,MATCH(J154,'Both teabags AfterWet'!$A$3:$A$841,0)),"")))</f>
        <v>0.58630000000000004</v>
      </c>
      <c r="P154" s="225">
        <f>IFERROR(IF(O154&gt;0,O154-(TBIcalc!$H$9),""),"")</f>
        <v>0.43570000000000003</v>
      </c>
      <c r="Q154" s="225">
        <f>IFERROR(INDEX('Ashed teabags wet'!$K$2:$K$821,MATCH(J154,'Ashed teabags wet'!$A$2:$A$821,0)),"")</f>
        <v>16.871618298081419</v>
      </c>
      <c r="R154" s="225">
        <f t="shared" si="16"/>
        <v>0.36219035907525926</v>
      </c>
      <c r="S154" s="226">
        <f>'WetLitterbags placem_collection'!E155</f>
        <v>42762</v>
      </c>
      <c r="T154" s="226">
        <f>IF('WetLitterbags placem_collection'!G155="","",'WetLitterbags placem_collection'!G155)</f>
        <v>42816</v>
      </c>
      <c r="U154" s="227">
        <f t="shared" si="13"/>
        <v>54</v>
      </c>
      <c r="V154" s="225">
        <f t="shared" si="14"/>
        <v>1.4324999999999999</v>
      </c>
      <c r="W154" s="225">
        <f t="shared" si="15"/>
        <v>1.4029827885494288</v>
      </c>
      <c r="X154">
        <f>IFERROR(INDEX(Rainfall_Wet!$O$2:$O$217,MATCH(B154, Rainfall_Wet!$A$2:$A$217,0)),"")</f>
        <v>206.85140822299999</v>
      </c>
      <c r="Y154" s="231">
        <v>27.96</v>
      </c>
      <c r="Z154" s="231">
        <v>4.9200000000000017</v>
      </c>
      <c r="AA154" s="231">
        <v>67.12</v>
      </c>
      <c r="AB154" s="232" t="s">
        <v>2670</v>
      </c>
      <c r="AC154" s="231">
        <v>1.0437161163134547</v>
      </c>
      <c r="AD154">
        <f>IF('WetLitterbags placem_collection'!AB155="","",'WetLitterbags placem_collection'!AB155)</f>
        <v>2.1</v>
      </c>
      <c r="AE154">
        <f>IF('WetLitterbags placem_collection'!Z155="","",'WetLitterbags placem_collection'!Z155)</f>
        <v>16.399999999999999</v>
      </c>
      <c r="AF154" s="246" t="str">
        <f>IF('WetLitterbags placem_collection'!AA155="","",'WetLitterbags placem_collection'!AA155)</f>
        <v>G</v>
      </c>
      <c r="AG154">
        <f>IF('WetLitterbags placem_collection'!AC155="","",'WetLitterbags placem_collection'!AC155)</f>
        <v>0</v>
      </c>
      <c r="AH154" s="240">
        <f>AVERAGE('WetLitterbags placem_collection'!S155,'WetLitterbags placem_collection'!U155)</f>
        <v>21.35</v>
      </c>
      <c r="AI154">
        <f>AVERAGE('WetLitterbags placem_collection'!R155,'WetLitterbags placem_collection'!T155)</f>
        <v>26.700000000000003</v>
      </c>
      <c r="AJ154">
        <f>INDEX(Coordinates!$B$2:$B$197,MATCH(G154,Coordinates!$J$2:$J$197,0))</f>
        <v>-2.3676780150000001</v>
      </c>
      <c r="AK154">
        <f>INDEX(Coordinates!$C$2:$C$197,MATCH(G154,Coordinates!$J$2:$J$197,0))</f>
        <v>34.05937797</v>
      </c>
      <c r="AL154" t="str">
        <f>IF(ISNUMBER(SEARCH("C", 'WetLitterbags placem_collection'!V155)),"YES","NO")</f>
        <v>NO</v>
      </c>
      <c r="AM154" t="str">
        <f>IF(ISNUMBER(SEARCH("H", 'WetLitterbags placem_collection'!V155)),"YES","NO")</f>
        <v>NO</v>
      </c>
      <c r="AN154" t="str">
        <f>IF(ISNUMBER(SEARCH("R", 'WetLitterbags placem_collection'!V155)),"YES","NO")</f>
        <v>YES</v>
      </c>
    </row>
    <row r="155" spans="1:40" ht="15" customHeight="1">
      <c r="A155" s="258" t="s">
        <v>2460</v>
      </c>
      <c r="B155" s="263">
        <f>'Dry_Litterbag Placem_Collection'!A156</f>
        <v>154</v>
      </c>
      <c r="C155" s="263" t="str">
        <f>'Dry_Litterbag Placem_Collection'!B156</f>
        <v xml:space="preserve">Mwantimba
</v>
      </c>
      <c r="D155" s="263" t="s">
        <v>2460</v>
      </c>
      <c r="E155" s="263" t="s">
        <v>20</v>
      </c>
      <c r="F155" s="263">
        <v>4</v>
      </c>
      <c r="G155" s="264" t="str">
        <f>'Dry_Litterbag Placem_Collection'!C156</f>
        <v>Wet_P4_T2</v>
      </c>
      <c r="H155" s="265" t="s">
        <v>2541</v>
      </c>
      <c r="I155" s="266" t="s">
        <v>1147</v>
      </c>
      <c r="J155" s="223" t="str">
        <f>'WetLitterbags placem_collection'!K156</f>
        <v>G675</v>
      </c>
      <c r="K155" s="225">
        <f>IFERROR(INDEX('Green_rooibos initial weight'!$C$5:$C$1749,MATCH(J155, 'Green_rooibos initial weight'!$A$5:$A$1749,0)),"")</f>
        <v>1.9950000000000001</v>
      </c>
      <c r="L155" s="225">
        <f>IFERROR(K155-(TBIcalc!$H$9+TBIcalc!$H$10),"")</f>
        <v>1.7452000000000001</v>
      </c>
      <c r="M155" s="391">
        <f>AVERAGE(Ashed_controlls!$K$2:$K$11)</f>
        <v>5.5147656768714146</v>
      </c>
      <c r="N155" s="225">
        <f t="shared" si="12"/>
        <v>1.6489563094072401</v>
      </c>
      <c r="O155" s="225">
        <f>IF(IFERROR(INDEX('Both teabags AfterWet'!$C$3:$C$841,MATCH(J155,'Both teabags AfterWet'!$A$3:$A$841,0)),"")="","",(IFERROR(INDEX('Both teabags AfterWet'!$C$3:$C$841,MATCH(J155,'Both teabags AfterWet'!$A$3:$A$841,0)),"")))</f>
        <v>0.61299999999999999</v>
      </c>
      <c r="P155" s="225">
        <f>IFERROR(IF(O155&gt;0,O155-(TBIcalc!$H$9),""),"")</f>
        <v>0.46239999999999998</v>
      </c>
      <c r="Q155" s="225">
        <f>IFERROR(INDEX('Ashed teabags wet'!$K$2:$K$821,MATCH(J155,'Ashed teabags wet'!$A$2:$A$821,0)),"")</f>
        <v>18.033573141486571</v>
      </c>
      <c r="R155" s="225">
        <f t="shared" si="16"/>
        <v>0.37901275779376609</v>
      </c>
      <c r="S155" s="226">
        <f>'WetLitterbags placem_collection'!E156</f>
        <v>42762</v>
      </c>
      <c r="T155" s="226">
        <f>IF('WetLitterbags placem_collection'!G156="","",'WetLitterbags placem_collection'!G156)</f>
        <v>42816</v>
      </c>
      <c r="U155" s="227">
        <f t="shared" si="13"/>
        <v>54</v>
      </c>
      <c r="V155" s="225">
        <f t="shared" si="14"/>
        <v>1.2828000000000002</v>
      </c>
      <c r="W155" s="225">
        <f t="shared" si="15"/>
        <v>1.2699435516134741</v>
      </c>
      <c r="X155">
        <f>IFERROR(INDEX(Rainfall_Wet!$O$2:$O$217,MATCH(B155, Rainfall_Wet!$A$2:$A$217,0)),"")</f>
        <v>206.85140822299999</v>
      </c>
      <c r="Y155" s="231">
        <v>27.96</v>
      </c>
      <c r="Z155" s="231">
        <v>4.9200000000000017</v>
      </c>
      <c r="AA155" s="231">
        <v>67.12</v>
      </c>
      <c r="AB155" s="232" t="s">
        <v>2670</v>
      </c>
      <c r="AC155" s="231">
        <v>2.0437161163134498</v>
      </c>
      <c r="AD155">
        <f>IF('WetLitterbags placem_collection'!AB156="","",'WetLitterbags placem_collection'!AB156)</f>
        <v>2.15</v>
      </c>
      <c r="AE155">
        <f>IF('WetLitterbags placem_collection'!Z156="","",'WetLitterbags placem_collection'!Z156)</f>
        <v>9</v>
      </c>
      <c r="AF155" s="246" t="str">
        <f>IF('WetLitterbags placem_collection'!AA156="","",'WetLitterbags placem_collection'!AA156)</f>
        <v>G</v>
      </c>
      <c r="AG155">
        <f>IF('WetLitterbags placem_collection'!AC156="","",'WetLitterbags placem_collection'!AC156)</f>
        <v>0</v>
      </c>
      <c r="AH155" s="240">
        <f>AVERAGE('WetLitterbags placem_collection'!S156,'WetLitterbags placem_collection'!U156)</f>
        <v>23.5</v>
      </c>
      <c r="AI155">
        <f>AVERAGE('WetLitterbags placem_collection'!R156,'WetLitterbags placem_collection'!T156)</f>
        <v>25.7</v>
      </c>
      <c r="AJ155">
        <f>INDEX(Coordinates!$B$2:$B$197,MATCH(G155,Coordinates!$J$2:$J$197,0))</f>
        <v>-2.3677299820000002</v>
      </c>
      <c r="AK155">
        <f>INDEX(Coordinates!$C$2:$C$197,MATCH(G155,Coordinates!$J$2:$J$197,0))</f>
        <v>34.059351990000003</v>
      </c>
      <c r="AL155" t="str">
        <f>IF(ISNUMBER(SEARCH("C", 'WetLitterbags placem_collection'!V156)),"YES","NO")</f>
        <v>YES</v>
      </c>
      <c r="AM155" t="str">
        <f>IF(ISNUMBER(SEARCH("H", 'WetLitterbags placem_collection'!V156)),"YES","NO")</f>
        <v>YES</v>
      </c>
      <c r="AN155" t="str">
        <f>IF(ISNUMBER(SEARCH("R", 'WetLitterbags placem_collection'!V156)),"YES","NO")</f>
        <v>NO</v>
      </c>
    </row>
    <row r="156" spans="1:40" ht="15" customHeight="1">
      <c r="A156" s="258" t="s">
        <v>2460</v>
      </c>
      <c r="B156" s="263">
        <f>'Dry_Litterbag Placem_Collection'!A157</f>
        <v>155</v>
      </c>
      <c r="C156" s="263" t="str">
        <f>'Dry_Litterbag Placem_Collection'!B157</f>
        <v xml:space="preserve">Mwantimba
</v>
      </c>
      <c r="D156" s="263" t="s">
        <v>2460</v>
      </c>
      <c r="E156" s="263" t="s">
        <v>20</v>
      </c>
      <c r="F156" s="263">
        <v>4</v>
      </c>
      <c r="G156" s="264" t="str">
        <f>'Dry_Litterbag Placem_Collection'!C157</f>
        <v>Wet_P4_T3</v>
      </c>
      <c r="H156" s="265" t="s">
        <v>2541</v>
      </c>
      <c r="I156" s="266" t="s">
        <v>1147</v>
      </c>
      <c r="J156" s="223" t="str">
        <f>'WetLitterbags placem_collection'!K157</f>
        <v>G859</v>
      </c>
      <c r="K156" s="225">
        <f>IFERROR(INDEX('Green_rooibos initial weight'!$C$5:$C$1749,MATCH(J156, 'Green_rooibos initial weight'!$A$5:$A$1749,0)),"")</f>
        <v>2</v>
      </c>
      <c r="L156" s="225">
        <f>IFERROR(K156-(TBIcalc!$H$9+TBIcalc!$H$10),"")</f>
        <v>1.7502</v>
      </c>
      <c r="M156" s="391">
        <f>AVERAGE(Ashed_controlls!$K$2:$K$11)</f>
        <v>5.5147656768714146</v>
      </c>
      <c r="N156" s="225">
        <f t="shared" si="12"/>
        <v>1.6536805711233964</v>
      </c>
      <c r="O156" s="225">
        <f>IF(IFERROR(INDEX('Both teabags AfterWet'!$C$3:$C$841,MATCH(J156,'Both teabags AfterWet'!$A$3:$A$841,0)),"")="","",(IFERROR(INDEX('Both teabags AfterWet'!$C$3:$C$841,MATCH(J156,'Both teabags AfterWet'!$A$3:$A$841,0)),"")))</f>
        <v>0.71599999999999997</v>
      </c>
      <c r="P156" s="225">
        <f>IFERROR(IF(O156&gt;0,O156-(TBIcalc!$H$9),""),"")</f>
        <v>0.5653999999999999</v>
      </c>
      <c r="Q156" s="225">
        <f>IFERROR(INDEX('Ashed teabags wet'!$K$2:$K$821,MATCH(J156,'Ashed teabags wet'!$A$2:$A$821,0)),"")</f>
        <v>17.148456638902378</v>
      </c>
      <c r="R156" s="225">
        <f t="shared" si="16"/>
        <v>0.4684426261636459</v>
      </c>
      <c r="S156" s="226">
        <f>'WetLitterbags placem_collection'!E157</f>
        <v>42762</v>
      </c>
      <c r="T156" s="226">
        <f>IF('WetLitterbags placem_collection'!G157="","",'WetLitterbags placem_collection'!G157)</f>
        <v>42816</v>
      </c>
      <c r="U156" s="227">
        <f t="shared" si="13"/>
        <v>54</v>
      </c>
      <c r="V156" s="225">
        <f t="shared" si="14"/>
        <v>1.1848000000000001</v>
      </c>
      <c r="W156" s="225">
        <f t="shared" si="15"/>
        <v>1.1852379449597505</v>
      </c>
      <c r="X156">
        <f>IFERROR(INDEX(Rainfall_Wet!$O$2:$O$217,MATCH(B156, Rainfall_Wet!$A$2:$A$217,0)),"")</f>
        <v>206.85140822299999</v>
      </c>
      <c r="Y156" s="231">
        <v>27.96</v>
      </c>
      <c r="Z156" s="231">
        <v>4.9200000000000017</v>
      </c>
      <c r="AA156" s="231">
        <v>67.12</v>
      </c>
      <c r="AB156" s="232" t="s">
        <v>2670</v>
      </c>
      <c r="AC156" s="231">
        <v>3.0437161163134498</v>
      </c>
      <c r="AD156">
        <f>IF('WetLitterbags placem_collection'!AB157="","",'WetLitterbags placem_collection'!AB157)</f>
        <v>1.2</v>
      </c>
      <c r="AE156">
        <f>IF('WetLitterbags placem_collection'!Z157="","",'WetLitterbags placem_collection'!Z157)</f>
        <v>11</v>
      </c>
      <c r="AF156" s="246" t="str">
        <f>IF('WetLitterbags placem_collection'!AA157="","",'WetLitterbags placem_collection'!AA157)</f>
        <v>G</v>
      </c>
      <c r="AG156">
        <f>IF('WetLitterbags placem_collection'!AC157="","",'WetLitterbags placem_collection'!AC157)</f>
        <v>0</v>
      </c>
      <c r="AH156" s="240">
        <f>AVERAGE('WetLitterbags placem_collection'!S157,'WetLitterbags placem_collection'!U157)</f>
        <v>23.75</v>
      </c>
      <c r="AI156">
        <f>AVERAGE('WetLitterbags placem_collection'!R157,'WetLitterbags placem_collection'!T157)</f>
        <v>26.799999999999997</v>
      </c>
      <c r="AJ156">
        <f>INDEX(Coordinates!$B$2:$B$197,MATCH(G156,Coordinates!$J$2:$J$197,0))</f>
        <v>-2.3677119609999999</v>
      </c>
      <c r="AK156">
        <f>INDEX(Coordinates!$C$2:$C$197,MATCH(G156,Coordinates!$J$2:$J$197,0))</f>
        <v>34.059339000000001</v>
      </c>
      <c r="AL156" t="str">
        <f>IF(ISNUMBER(SEARCH("C", 'WetLitterbags placem_collection'!V157)),"YES","NO")</f>
        <v>NO</v>
      </c>
      <c r="AM156" t="str">
        <f>IF(ISNUMBER(SEARCH("H", 'WetLitterbags placem_collection'!V157)),"YES","NO")</f>
        <v>NO</v>
      </c>
      <c r="AN156" t="str">
        <f>IF(ISNUMBER(SEARCH("R", 'WetLitterbags placem_collection'!V157)),"YES","NO")</f>
        <v>YES</v>
      </c>
    </row>
    <row r="157" spans="1:40" ht="15" customHeight="1">
      <c r="A157" s="258" t="s">
        <v>2460</v>
      </c>
      <c r="B157" s="263">
        <f>'Dry_Litterbag Placem_Collection'!A158</f>
        <v>156</v>
      </c>
      <c r="C157" s="263" t="str">
        <f>'Dry_Litterbag Placem_Collection'!B158</f>
        <v xml:space="preserve">Mwantimba
</v>
      </c>
      <c r="D157" s="263" t="s">
        <v>2460</v>
      </c>
      <c r="E157" s="263" t="s">
        <v>20</v>
      </c>
      <c r="F157" s="263">
        <v>4</v>
      </c>
      <c r="G157" s="264" t="str">
        <f>'Dry_Litterbag Placem_Collection'!C158</f>
        <v>Wet_P4_T4</v>
      </c>
      <c r="H157" s="265" t="s">
        <v>2541</v>
      </c>
      <c r="I157" s="266" t="s">
        <v>1147</v>
      </c>
      <c r="J157" s="223" t="str">
        <f>'WetLitterbags placem_collection'!K158</f>
        <v>G654</v>
      </c>
      <c r="K157" s="225">
        <f>IFERROR(INDEX('Green_rooibos initial weight'!$C$5:$C$1749,MATCH(J157, 'Green_rooibos initial weight'!$A$5:$A$1749,0)),"")</f>
        <v>2.0169999999999999</v>
      </c>
      <c r="L157" s="225">
        <f>IFERROR(K157-(TBIcalc!$H$9+TBIcalc!$H$10),"")</f>
        <v>1.7671999999999999</v>
      </c>
      <c r="M157" s="391">
        <f>AVERAGE(Ashed_controlls!$K$2:$K$11)</f>
        <v>5.5147656768714146</v>
      </c>
      <c r="N157" s="225">
        <f t="shared" si="12"/>
        <v>1.6697430609583281</v>
      </c>
      <c r="O157" s="225">
        <f>IF(IFERROR(INDEX('Both teabags AfterWet'!$C$3:$C$841,MATCH(J157,'Both teabags AfterWet'!$A$3:$A$841,0)),"")="","",(IFERROR(INDEX('Both teabags AfterWet'!$C$3:$C$841,MATCH(J157,'Both teabags AfterWet'!$A$3:$A$841,0)),"")))</f>
        <v>0.73799999999999999</v>
      </c>
      <c r="P157" s="225">
        <f>IFERROR(IF(O157&gt;0,O157-(TBIcalc!$H$9),""),"")</f>
        <v>0.58739999999999992</v>
      </c>
      <c r="Q157" s="225">
        <f>IFERROR(INDEX('Ashed teabags wet'!$K$2:$K$821,MATCH(J157,'Ashed teabags wet'!$A$2:$A$821,0)),"")</f>
        <v>25.036109773712322</v>
      </c>
      <c r="R157" s="225">
        <f t="shared" si="16"/>
        <v>0.44033789118921374</v>
      </c>
      <c r="S157" s="226">
        <f>'WetLitterbags placem_collection'!E158</f>
        <v>42762</v>
      </c>
      <c r="T157" s="226">
        <f>IF('WetLitterbags placem_collection'!G158="","",'WetLitterbags placem_collection'!G158)</f>
        <v>42816</v>
      </c>
      <c r="U157" s="227">
        <f t="shared" si="13"/>
        <v>54</v>
      </c>
      <c r="V157" s="225">
        <f t="shared" si="14"/>
        <v>1.1798</v>
      </c>
      <c r="W157" s="225">
        <f t="shared" si="15"/>
        <v>1.2294051697691144</v>
      </c>
      <c r="X157">
        <f>IFERROR(INDEX(Rainfall_Wet!$O$2:$O$217,MATCH(B157, Rainfall_Wet!$A$2:$A$217,0)),"")</f>
        <v>206.85140822299999</v>
      </c>
      <c r="Y157" s="231">
        <v>27.96</v>
      </c>
      <c r="Z157" s="231">
        <v>4.9200000000000017</v>
      </c>
      <c r="AA157" s="231">
        <v>67.12</v>
      </c>
      <c r="AB157" s="232" t="s">
        <v>2670</v>
      </c>
      <c r="AC157" s="231">
        <v>4.0437161163134503</v>
      </c>
      <c r="AD157">
        <f>IF('WetLitterbags placem_collection'!AB158="","",'WetLitterbags placem_collection'!AB158)</f>
        <v>1.55</v>
      </c>
      <c r="AE157">
        <f>IF('WetLitterbags placem_collection'!Z158="","",'WetLitterbags placem_collection'!Z158)</f>
        <v>9.1</v>
      </c>
      <c r="AF157" s="246" t="str">
        <f>IF('WetLitterbags placem_collection'!AA158="","",'WetLitterbags placem_collection'!AA158)</f>
        <v>O</v>
      </c>
      <c r="AG157">
        <f>IF('WetLitterbags placem_collection'!AC158="","",'WetLitterbags placem_collection'!AC158)</f>
        <v>0</v>
      </c>
      <c r="AH157" s="240">
        <f>AVERAGE('WetLitterbags placem_collection'!S158,'WetLitterbags placem_collection'!U158)</f>
        <v>21.700000000000003</v>
      </c>
      <c r="AI157">
        <f>AVERAGE('WetLitterbags placem_collection'!R158,'WetLitterbags placem_collection'!T158)</f>
        <v>26.95</v>
      </c>
      <c r="AJ157">
        <f>INDEX(Coordinates!$B$2:$B$197,MATCH(G157,Coordinates!$J$2:$J$197,0))</f>
        <v>-2.3676950300000001</v>
      </c>
      <c r="AK157">
        <f>INDEX(Coordinates!$C$2:$C$197,MATCH(G157,Coordinates!$J$2:$J$197,0))</f>
        <v>34.059499010000003</v>
      </c>
      <c r="AL157" t="str">
        <f>IF(ISNUMBER(SEARCH("C", 'WetLitterbags placem_collection'!V158)),"YES","NO")</f>
        <v>NO</v>
      </c>
      <c r="AM157" t="str">
        <f>IF(ISNUMBER(SEARCH("H", 'WetLitterbags placem_collection'!V158)),"YES","NO")</f>
        <v>YES</v>
      </c>
      <c r="AN157" t="str">
        <f>IF(ISNUMBER(SEARCH("R", 'WetLitterbags placem_collection'!V158)),"YES","NO")</f>
        <v>NO</v>
      </c>
    </row>
    <row r="158" spans="1:40" ht="15" customHeight="1">
      <c r="A158" s="258" t="s">
        <v>2460</v>
      </c>
      <c r="B158" s="263">
        <f>'Dry_Litterbag Placem_Collection'!A159</f>
        <v>157</v>
      </c>
      <c r="C158" s="263" t="str">
        <f>'Dry_Litterbag Placem_Collection'!B159</f>
        <v xml:space="preserve">Mwantimba
</v>
      </c>
      <c r="D158" s="263" t="s">
        <v>2460</v>
      </c>
      <c r="E158" s="263" t="s">
        <v>20</v>
      </c>
      <c r="F158" s="263">
        <v>4</v>
      </c>
      <c r="G158" s="264" t="str">
        <f>'Dry_Litterbag Placem_Collection'!C159</f>
        <v>Wet_P4_T5</v>
      </c>
      <c r="H158" s="265" t="s">
        <v>2541</v>
      </c>
      <c r="I158" s="266" t="s">
        <v>1147</v>
      </c>
      <c r="J158" s="223" t="str">
        <f>'WetLitterbags placem_collection'!K159</f>
        <v>G890</v>
      </c>
      <c r="K158" s="225">
        <f>IFERROR(INDEX('Green_rooibos initial weight'!$C$5:$C$1749,MATCH(J158, 'Green_rooibos initial weight'!$A$5:$A$1749,0)),"")</f>
        <v>1.9930000000000001</v>
      </c>
      <c r="L158" s="225">
        <f>IFERROR(K158-(TBIcalc!$H$9+TBIcalc!$H$10),"")</f>
        <v>1.7432000000000001</v>
      </c>
      <c r="M158" s="391">
        <f>AVERAGE(Ashed_controlls!$K$2:$K$11)</f>
        <v>5.5147656768714146</v>
      </c>
      <c r="N158" s="225">
        <f t="shared" si="12"/>
        <v>1.6470666047207776</v>
      </c>
      <c r="O158" s="225">
        <f>IF(IFERROR(INDEX('Both teabags AfterWet'!$C$3:$C$841,MATCH(J158,'Both teabags AfterWet'!$A$3:$A$841,0)),"")="","",(IFERROR(INDEX('Both teabags AfterWet'!$C$3:$C$841,MATCH(J158,'Both teabags AfterWet'!$A$3:$A$841,0)),"")))</f>
        <v>0.74099999999999999</v>
      </c>
      <c r="P158" s="225">
        <f>IFERROR(IF(O158&gt;0,O158-(TBIcalc!$H$9),""),"")</f>
        <v>0.59040000000000004</v>
      </c>
      <c r="Q158" s="225">
        <f>IFERROR(INDEX('Ashed teabags wet'!$K$2:$K$821,MATCH(J158,'Ashed teabags wet'!$A$2:$A$821,0)),"")</f>
        <v>13.769192669637922</v>
      </c>
      <c r="R158" s="225">
        <f t="shared" si="16"/>
        <v>0.50910668647845769</v>
      </c>
      <c r="S158" s="226">
        <f>'WetLitterbags placem_collection'!E159</f>
        <v>42762</v>
      </c>
      <c r="T158" s="226">
        <f>IF('WetLitterbags placem_collection'!G159="","",'WetLitterbags placem_collection'!G159)</f>
        <v>42816</v>
      </c>
      <c r="U158" s="227">
        <f t="shared" si="13"/>
        <v>54</v>
      </c>
      <c r="V158" s="225">
        <f t="shared" si="14"/>
        <v>1.1528</v>
      </c>
      <c r="W158" s="225">
        <f t="shared" si="15"/>
        <v>1.1379599182423199</v>
      </c>
      <c r="X158">
        <f>IFERROR(INDEX(Rainfall_Wet!$O$2:$O$217,MATCH(B158, Rainfall_Wet!$A$2:$A$217,0)),"")</f>
        <v>206.85140822299999</v>
      </c>
      <c r="Y158" s="231">
        <v>27.96</v>
      </c>
      <c r="Z158" s="231">
        <v>4.9200000000000017</v>
      </c>
      <c r="AA158" s="231">
        <v>67.12</v>
      </c>
      <c r="AB158" s="232" t="s">
        <v>2670</v>
      </c>
      <c r="AC158" s="231">
        <v>5.0437161163134503</v>
      </c>
      <c r="AD158">
        <f>IF('WetLitterbags placem_collection'!AB159="","",'WetLitterbags placem_collection'!AB159)</f>
        <v>2.2999999999999998</v>
      </c>
      <c r="AE158">
        <f>IF('WetLitterbags placem_collection'!Z159="","",'WetLitterbags placem_collection'!Z159)</f>
        <v>7.7</v>
      </c>
      <c r="AF158" s="246" t="str">
        <f>IF('WetLitterbags placem_collection'!AA159="","",'WetLitterbags placem_collection'!AA159)</f>
        <v>O</v>
      </c>
      <c r="AG158">
        <f>IF('WetLitterbags placem_collection'!AC159="","",'WetLitterbags placem_collection'!AC159)</f>
        <v>0</v>
      </c>
      <c r="AH158" s="240">
        <f>AVERAGE('WetLitterbags placem_collection'!S159,'WetLitterbags placem_collection'!U159)</f>
        <v>22.6</v>
      </c>
      <c r="AI158">
        <f>AVERAGE('WetLitterbags placem_collection'!R159,'WetLitterbags placem_collection'!T159)</f>
        <v>29.2</v>
      </c>
      <c r="AJ158">
        <f>INDEX(Coordinates!$B$2:$B$197,MATCH(G158,Coordinates!$J$2:$J$197,0))</f>
        <v>-2.3678019830000001</v>
      </c>
      <c r="AK158">
        <f>INDEX(Coordinates!$C$2:$C$197,MATCH(G158,Coordinates!$J$2:$J$197,0))</f>
        <v>34.059521969999999</v>
      </c>
      <c r="AL158" t="str">
        <f>IF(ISNUMBER(SEARCH("C", 'WetLitterbags placem_collection'!V159)),"YES","NO")</f>
        <v>NO</v>
      </c>
      <c r="AM158" t="str">
        <f>IF(ISNUMBER(SEARCH("H", 'WetLitterbags placem_collection'!V159)),"YES","NO")</f>
        <v>NO</v>
      </c>
      <c r="AN158" t="str">
        <f>IF(ISNUMBER(SEARCH("R", 'WetLitterbags placem_collection'!V159)),"YES","NO")</f>
        <v>YES</v>
      </c>
    </row>
    <row r="159" spans="1:40" ht="15" customHeight="1">
      <c r="A159" s="258" t="s">
        <v>2460</v>
      </c>
      <c r="B159" s="263">
        <f>'Dry_Litterbag Placem_Collection'!A160</f>
        <v>158</v>
      </c>
      <c r="C159" s="263" t="str">
        <f>'Dry_Litterbag Placem_Collection'!B160</f>
        <v xml:space="preserve">Mwantimba
</v>
      </c>
      <c r="D159" s="263" t="s">
        <v>2460</v>
      </c>
      <c r="E159" s="263" t="s">
        <v>20</v>
      </c>
      <c r="F159" s="263">
        <v>4</v>
      </c>
      <c r="G159" s="264" t="str">
        <f>'Dry_Litterbag Placem_Collection'!C160</f>
        <v>Wet_P4_T6</v>
      </c>
      <c r="H159" s="265" t="s">
        <v>2541</v>
      </c>
      <c r="I159" s="266" t="s">
        <v>1147</v>
      </c>
      <c r="J159" s="223" t="str">
        <f>'WetLitterbags placem_collection'!K160</f>
        <v>G576</v>
      </c>
      <c r="K159" s="225">
        <f>IFERROR(INDEX('Green_rooibos initial weight'!$C$5:$C$1749,MATCH(J159, 'Green_rooibos initial weight'!$A$5:$A$1749,0)),"")</f>
        <v>2.056</v>
      </c>
      <c r="L159" s="225">
        <f>IFERROR(K159-(TBIcalc!$H$9+TBIcalc!$H$10),"")</f>
        <v>1.8062</v>
      </c>
      <c r="M159" s="391">
        <f>AVERAGE(Ashed_controlls!$K$2:$K$11)</f>
        <v>5.5147656768714146</v>
      </c>
      <c r="N159" s="225">
        <f t="shared" si="12"/>
        <v>1.7065923023443486</v>
      </c>
      <c r="O159" s="225">
        <f>IF(IFERROR(INDEX('Both teabags AfterWet'!$C$3:$C$841,MATCH(J159,'Both teabags AfterWet'!$A$3:$A$841,0)),"")="","",(IFERROR(INDEX('Both teabags AfterWet'!$C$3:$C$841,MATCH(J159,'Both teabags AfterWet'!$A$3:$A$841,0)),"")))</f>
        <v>0.26600000000000001</v>
      </c>
      <c r="P159" s="225">
        <f>IFERROR(IF(O159&gt;0,O159-(TBIcalc!$H$9),""),"")</f>
        <v>0.1154</v>
      </c>
      <c r="Q159" s="225" t="str">
        <f>IFERROR(INDEX('Ashed teabags wet'!$K$2:$K$821,MATCH(J159,'Ashed teabags wet'!$A$2:$A$821,0)),"")</f>
        <v/>
      </c>
      <c r="R159" s="225" t="str">
        <f t="shared" si="16"/>
        <v/>
      </c>
      <c r="S159" s="226">
        <f>'WetLitterbags placem_collection'!E160</f>
        <v>42762</v>
      </c>
      <c r="T159" s="226">
        <f>IF('WetLitterbags placem_collection'!G160="","",'WetLitterbags placem_collection'!G160)</f>
        <v>42816</v>
      </c>
      <c r="U159" s="227">
        <f t="shared" si="13"/>
        <v>54</v>
      </c>
      <c r="V159" s="225">
        <f t="shared" si="14"/>
        <v>1.6908000000000001</v>
      </c>
      <c r="W159" s="225" t="str">
        <f t="shared" si="15"/>
        <v/>
      </c>
      <c r="X159">
        <f>IFERROR(INDEX(Rainfall_Wet!$O$2:$O$217,MATCH(B159, Rainfall_Wet!$A$2:$A$217,0)),"")</f>
        <v>206.85140822299999</v>
      </c>
      <c r="Y159" s="231">
        <v>27.96</v>
      </c>
      <c r="Z159" s="231">
        <v>4.9200000000000017</v>
      </c>
      <c r="AA159" s="231">
        <v>67.12</v>
      </c>
      <c r="AB159" s="232" t="s">
        <v>2670</v>
      </c>
      <c r="AC159" s="231">
        <v>6.0437161163134503</v>
      </c>
      <c r="AD159">
        <f>IF('WetLitterbags placem_collection'!AB160="","",'WetLitterbags placem_collection'!AB160)</f>
        <v>1.9</v>
      </c>
      <c r="AE159">
        <f>IF('WetLitterbags placem_collection'!Z160="","",'WetLitterbags placem_collection'!Z160)</f>
        <v>4.3</v>
      </c>
      <c r="AF159" s="246" t="str">
        <f>IF('WetLitterbags placem_collection'!AA160="","",'WetLitterbags placem_collection'!AA160)</f>
        <v>O</v>
      </c>
      <c r="AG159">
        <f>IF('WetLitterbags placem_collection'!AC160="","",'WetLitterbags placem_collection'!AC160)</f>
        <v>0</v>
      </c>
      <c r="AH159" s="240">
        <f>AVERAGE('WetLitterbags placem_collection'!S160,'WetLitterbags placem_collection'!U160)</f>
        <v>22.45</v>
      </c>
      <c r="AI159">
        <f>AVERAGE('WetLitterbags placem_collection'!R160,'WetLitterbags placem_collection'!T160)</f>
        <v>26.35</v>
      </c>
      <c r="AJ159">
        <f>INDEX(Coordinates!$B$2:$B$197,MATCH(G159,Coordinates!$J$2:$J$197,0))</f>
        <v>-2.3679270410000002</v>
      </c>
      <c r="AK159">
        <f>INDEX(Coordinates!$C$2:$C$197,MATCH(G159,Coordinates!$J$2:$J$197,0))</f>
        <v>34.059300020000002</v>
      </c>
      <c r="AL159" t="str">
        <f>IF(ISNUMBER(SEARCH("C", 'WetLitterbags placem_collection'!V160)),"YES","NO")</f>
        <v>NO</v>
      </c>
      <c r="AM159" t="str">
        <f>IF(ISNUMBER(SEARCH("H", 'WetLitterbags placem_collection'!V160)),"YES","NO")</f>
        <v>YES</v>
      </c>
      <c r="AN159" t="str">
        <f>IF(ISNUMBER(SEARCH("R", 'WetLitterbags placem_collection'!V160)),"YES","NO")</f>
        <v>YES</v>
      </c>
    </row>
    <row r="160" spans="1:40" ht="15" customHeight="1">
      <c r="A160" s="258" t="s">
        <v>2460</v>
      </c>
      <c r="B160" s="263">
        <f>'Dry_Litterbag Placem_Collection'!A161</f>
        <v>159</v>
      </c>
      <c r="C160" s="263" t="str">
        <f>'Dry_Litterbag Placem_Collection'!B161</f>
        <v xml:space="preserve">Mwantimba
</v>
      </c>
      <c r="D160" s="263" t="s">
        <v>2460</v>
      </c>
      <c r="E160" s="263" t="s">
        <v>20</v>
      </c>
      <c r="F160" s="263">
        <v>4</v>
      </c>
      <c r="G160" s="264" t="str">
        <f>'Dry_Litterbag Placem_Collection'!C161</f>
        <v>Wet_P4_T7</v>
      </c>
      <c r="H160" s="265" t="s">
        <v>2541</v>
      </c>
      <c r="I160" s="266" t="s">
        <v>1147</v>
      </c>
      <c r="J160" s="223" t="str">
        <f>'WetLitterbags placem_collection'!K161</f>
        <v>G829</v>
      </c>
      <c r="K160" s="225">
        <f>IFERROR(INDEX('Green_rooibos initial weight'!$C$5:$C$1749,MATCH(J160, 'Green_rooibos initial weight'!$A$5:$A$1749,0)),"")</f>
        <v>1.9610000000000001</v>
      </c>
      <c r="L160" s="225">
        <f>IFERROR(K160-(TBIcalc!$H$9+TBIcalc!$H$10),"")</f>
        <v>1.7112000000000001</v>
      </c>
      <c r="M160" s="391">
        <f>AVERAGE(Ashed_controlls!$K$2:$K$11)</f>
        <v>5.5147656768714146</v>
      </c>
      <c r="N160" s="225">
        <f t="shared" si="12"/>
        <v>1.6168313297373764</v>
      </c>
      <c r="O160" s="225">
        <f>IF(IFERROR(INDEX('Both teabags AfterWet'!$C$3:$C$841,MATCH(J160,'Both teabags AfterWet'!$A$3:$A$841,0)),"")="","",(IFERROR(INDEX('Both teabags AfterWet'!$C$3:$C$841,MATCH(J160,'Both teabags AfterWet'!$A$3:$A$841,0)),"")))</f>
        <v>0.56499999999999995</v>
      </c>
      <c r="P160" s="225">
        <f>IFERROR(IF(O160&gt;0,O160-(TBIcalc!$H$9),""),"")</f>
        <v>0.41439999999999994</v>
      </c>
      <c r="Q160" s="225" t="str">
        <f>IFERROR(INDEX('Ashed teabags wet'!$K$2:$K$821,MATCH(J160,'Ashed teabags wet'!$A$2:$A$821,0)),"")</f>
        <v/>
      </c>
      <c r="R160" s="225" t="str">
        <f t="shared" si="16"/>
        <v/>
      </c>
      <c r="S160" s="226">
        <f>'WetLitterbags placem_collection'!E161</f>
        <v>42762</v>
      </c>
      <c r="T160" s="226">
        <f>IF('WetLitterbags placem_collection'!G161="","",'WetLitterbags placem_collection'!G161)</f>
        <v>42816</v>
      </c>
      <c r="U160" s="227">
        <f t="shared" si="13"/>
        <v>54</v>
      </c>
      <c r="V160" s="225">
        <f t="shared" si="14"/>
        <v>1.2968000000000002</v>
      </c>
      <c r="W160" s="225" t="str">
        <f t="shared" si="15"/>
        <v/>
      </c>
      <c r="X160">
        <f>IFERROR(INDEX(Rainfall_Wet!$O$2:$O$217,MATCH(B160, Rainfall_Wet!$A$2:$A$217,0)),"")</f>
        <v>206.85140822299999</v>
      </c>
      <c r="Y160" s="231">
        <v>27.96</v>
      </c>
      <c r="Z160" s="231">
        <v>4.9200000000000017</v>
      </c>
      <c r="AA160" s="231">
        <v>67.12</v>
      </c>
      <c r="AB160" s="232" t="s">
        <v>2670</v>
      </c>
      <c r="AC160" s="231">
        <v>7.0437161163134503</v>
      </c>
      <c r="AD160">
        <f>IF('WetLitterbags placem_collection'!AB161="","",'WetLitterbags placem_collection'!AB161)</f>
        <v>2.65</v>
      </c>
      <c r="AE160">
        <f>IF('WetLitterbags placem_collection'!Z161="","",'WetLitterbags placem_collection'!Z161)</f>
        <v>0</v>
      </c>
      <c r="AF160" s="246" t="str">
        <f>IF('WetLitterbags placem_collection'!AA161="","",'WetLitterbags placem_collection'!AA161)</f>
        <v>G</v>
      </c>
      <c r="AG160">
        <f>IF('WetLitterbags placem_collection'!AC161="","",'WetLitterbags placem_collection'!AC161)</f>
        <v>1</v>
      </c>
      <c r="AH160" s="240">
        <f>AVERAGE('WetLitterbags placem_collection'!S161,'WetLitterbags placem_collection'!U161)</f>
        <v>14.4</v>
      </c>
      <c r="AI160">
        <f>AVERAGE('WetLitterbags placem_collection'!R161,'WetLitterbags placem_collection'!T161)</f>
        <v>28</v>
      </c>
      <c r="AJ160">
        <f>INDEX(Coordinates!$B$2:$B$197,MATCH(G160,Coordinates!$J$2:$J$197,0))</f>
        <v>-2.3676829599999998</v>
      </c>
      <c r="AK160">
        <f>INDEX(Coordinates!$C$2:$C$197,MATCH(G160,Coordinates!$J$2:$J$197,0))</f>
        <v>34.059236990000002</v>
      </c>
      <c r="AL160" t="str">
        <f>IF(ISNUMBER(SEARCH("C", 'WetLitterbags placem_collection'!V161)),"YES","NO")</f>
        <v>NO</v>
      </c>
      <c r="AM160" t="str">
        <f>IF(ISNUMBER(SEARCH("H", 'WetLitterbags placem_collection'!V161)),"YES","NO")</f>
        <v>NO</v>
      </c>
      <c r="AN160" t="str">
        <f>IF(ISNUMBER(SEARCH("R", 'WetLitterbags placem_collection'!V161)),"YES","NO")</f>
        <v>NO</v>
      </c>
    </row>
    <row r="161" spans="1:40" ht="15" customHeight="1">
      <c r="A161" s="258" t="s">
        <v>2460</v>
      </c>
      <c r="B161" s="263">
        <f>'Dry_Litterbag Placem_Collection'!A162</f>
        <v>160</v>
      </c>
      <c r="C161" s="263" t="str">
        <f>'Dry_Litterbag Placem_Collection'!B162</f>
        <v xml:space="preserve">Mwantimba
</v>
      </c>
      <c r="D161" s="263" t="s">
        <v>2460</v>
      </c>
      <c r="E161" s="263" t="s">
        <v>20</v>
      </c>
      <c r="F161" s="263">
        <v>4</v>
      </c>
      <c r="G161" s="264" t="str">
        <f>'Dry_Litterbag Placem_Collection'!C162</f>
        <v>Wet_P4_T8</v>
      </c>
      <c r="H161" s="265" t="s">
        <v>2541</v>
      </c>
      <c r="I161" s="266" t="s">
        <v>1147</v>
      </c>
      <c r="J161" s="223" t="str">
        <f>'WetLitterbags placem_collection'!K162</f>
        <v>G809</v>
      </c>
      <c r="K161" s="225">
        <f>IFERROR(INDEX('Green_rooibos initial weight'!$C$5:$C$1749,MATCH(J161, 'Green_rooibos initial weight'!$A$5:$A$1749,0)),"")</f>
        <v>1.9279999999999999</v>
      </c>
      <c r="L161" s="225">
        <f>IFERROR(K161-(TBIcalc!$H$9+TBIcalc!$H$10),"")</f>
        <v>1.6781999999999999</v>
      </c>
      <c r="M161" s="391">
        <f>AVERAGE(Ashed_controlls!$K$2:$K$11)</f>
        <v>5.5147656768714146</v>
      </c>
      <c r="N161" s="225">
        <f t="shared" si="12"/>
        <v>1.5856512024107439</v>
      </c>
      <c r="O161" s="225">
        <f>IF(IFERROR(INDEX('Both teabags AfterWet'!$C$3:$C$841,MATCH(J161,'Both teabags AfterWet'!$A$3:$A$841,0)),"")="","",(IFERROR(INDEX('Both teabags AfterWet'!$C$3:$C$841,MATCH(J161,'Both teabags AfterWet'!$A$3:$A$841,0)),"")))</f>
        <v>0.72</v>
      </c>
      <c r="P161" s="225">
        <f>IFERROR(IF(O161&gt;0,O161-(TBIcalc!$H$9),""),"")</f>
        <v>0.56939999999999991</v>
      </c>
      <c r="Q161" s="225">
        <f>IFERROR(INDEX('Ashed teabags wet'!$K$2:$K$821,MATCH(J161,'Ashed teabags wet'!$A$2:$A$821,0)),"")</f>
        <v>14.278846153846089</v>
      </c>
      <c r="R161" s="225">
        <f t="shared" si="16"/>
        <v>0.48809625000000029</v>
      </c>
      <c r="S161" s="226">
        <f>'WetLitterbags placem_collection'!E162</f>
        <v>42762</v>
      </c>
      <c r="T161" s="226">
        <f>IF('WetLitterbags placem_collection'!G162="","",'WetLitterbags placem_collection'!G162)</f>
        <v>42816</v>
      </c>
      <c r="U161" s="227">
        <f t="shared" si="13"/>
        <v>54</v>
      </c>
      <c r="V161" s="225">
        <f t="shared" si="14"/>
        <v>1.1088</v>
      </c>
      <c r="W161" s="225">
        <f t="shared" si="15"/>
        <v>1.0975549524107435</v>
      </c>
      <c r="X161">
        <f>IFERROR(INDEX(Rainfall_Wet!$O$2:$O$217,MATCH(B161, Rainfall_Wet!$A$2:$A$217,0)),"")</f>
        <v>206.85140822299999</v>
      </c>
      <c r="Y161" s="231">
        <v>27.96</v>
      </c>
      <c r="Z161" s="231">
        <v>4.9200000000000017</v>
      </c>
      <c r="AA161" s="231">
        <v>67.12</v>
      </c>
      <c r="AB161" s="232" t="s">
        <v>2670</v>
      </c>
      <c r="AC161" s="231">
        <v>8.0437161163134494</v>
      </c>
      <c r="AD161">
        <f>IF('WetLitterbags placem_collection'!AB162="","",'WetLitterbags placem_collection'!AB162)</f>
        <v>0.8</v>
      </c>
      <c r="AE161">
        <f>IF('WetLitterbags placem_collection'!Z162="","",'WetLitterbags placem_collection'!Z162)</f>
        <v>10.8</v>
      </c>
      <c r="AF161" s="246" t="str">
        <f>IF('WetLitterbags placem_collection'!AA162="","",'WetLitterbags placem_collection'!AA162)</f>
        <v>O</v>
      </c>
      <c r="AG161">
        <f>IF('WetLitterbags placem_collection'!AC162="","",'WetLitterbags placem_collection'!AC162)</f>
        <v>0</v>
      </c>
      <c r="AH161" s="240">
        <f>AVERAGE('WetLitterbags placem_collection'!S162,'WetLitterbags placem_collection'!U162)</f>
        <v>16.5</v>
      </c>
      <c r="AI161">
        <f>AVERAGE('WetLitterbags placem_collection'!R162,'WetLitterbags placem_collection'!T162)</f>
        <v>27.15</v>
      </c>
      <c r="AJ161">
        <f>INDEX(Coordinates!$B$2:$B$197,MATCH(G161,Coordinates!$J$2:$J$197,0))</f>
        <v>-2.367547005</v>
      </c>
      <c r="AK161">
        <f>INDEX(Coordinates!$C$2:$C$197,MATCH(G161,Coordinates!$J$2:$J$197,0))</f>
        <v>34.059494989999997</v>
      </c>
      <c r="AL161" t="str">
        <f>IF(ISNUMBER(SEARCH("C", 'WetLitterbags placem_collection'!V162)),"YES","NO")</f>
        <v>NO</v>
      </c>
      <c r="AM161" t="str">
        <f>IF(ISNUMBER(SEARCH("H", 'WetLitterbags placem_collection'!V162)),"YES","NO")</f>
        <v>NO</v>
      </c>
      <c r="AN161" t="str">
        <f>IF(ISNUMBER(SEARCH("R", 'WetLitterbags placem_collection'!V162)),"YES","NO")</f>
        <v>YES</v>
      </c>
    </row>
    <row r="162" spans="1:40" ht="15" customHeight="1">
      <c r="A162" s="258" t="s">
        <v>2460</v>
      </c>
      <c r="B162" s="263">
        <f>'Dry_Litterbag Placem_Collection'!A163</f>
        <v>161</v>
      </c>
      <c r="C162" s="263" t="str">
        <f>'Dry_Litterbag Placem_Collection'!B163</f>
        <v>Handajega</v>
      </c>
      <c r="D162" s="263" t="s">
        <v>2460</v>
      </c>
      <c r="E162" s="263" t="s">
        <v>2661</v>
      </c>
      <c r="F162" s="263">
        <v>1</v>
      </c>
      <c r="G162" s="264" t="str">
        <f>'Dry_Litterbag Placem_Collection'!C163</f>
        <v>Wet_W1_T1</v>
      </c>
      <c r="H162" s="265" t="s">
        <v>2541</v>
      </c>
      <c r="I162" s="266" t="s">
        <v>1147</v>
      </c>
      <c r="J162" s="223" t="str">
        <f>'WetLitterbags placem_collection'!K163</f>
        <v>G252</v>
      </c>
      <c r="K162" s="225">
        <f>IFERROR(INDEX('Green_rooibos initial weight'!$C$5:$C$1749,MATCH(J162, 'Green_rooibos initial weight'!$A$5:$A$1749,0)),"")</f>
        <v>2.0190000000000001</v>
      </c>
      <c r="L162" s="225">
        <f>IFERROR(K162-(TBIcalc!$H$9+TBIcalc!$H$10),"")</f>
        <v>1.7692000000000001</v>
      </c>
      <c r="M162" s="391">
        <f>AVERAGE(Ashed_controlls!$K$2:$K$11)</f>
        <v>5.5147656768714146</v>
      </c>
      <c r="N162" s="225">
        <f t="shared" si="12"/>
        <v>1.6716327656447911</v>
      </c>
      <c r="O162" s="225" t="str">
        <f>IF(IFERROR(INDEX('Both teabags AfterWet'!$C$3:$C$841,MATCH(J162,'Both teabags AfterWet'!$A$3:$A$841,0)),"")="","",(IFERROR(INDEX('Both teabags AfterWet'!$C$3:$C$841,MATCH(J162,'Both teabags AfterWet'!$A$3:$A$841,0)),"")))</f>
        <v/>
      </c>
      <c r="P162" s="225" t="str">
        <f>IFERROR(IF(O162&gt;0,O162-(TBIcalc!$H$9),""),"")</f>
        <v/>
      </c>
      <c r="Q162" s="225" t="str">
        <f>IFERROR(INDEX('Ashed teabags wet'!$K$2:$K$821,MATCH(J162,'Ashed teabags wet'!$A$2:$A$821,0)),"")</f>
        <v/>
      </c>
      <c r="R162" s="225" t="str">
        <f t="shared" si="16"/>
        <v/>
      </c>
      <c r="S162" s="226">
        <f>'WetLitterbags placem_collection'!E163</f>
        <v>42763</v>
      </c>
      <c r="T162" s="226">
        <f>IF('WetLitterbags placem_collection'!G163="","",'WetLitterbags placem_collection'!G163)</f>
        <v>42814</v>
      </c>
      <c r="U162" s="227">
        <f t="shared" si="13"/>
        <v>51</v>
      </c>
      <c r="V162" s="225" t="str">
        <f t="shared" si="14"/>
        <v/>
      </c>
      <c r="W162" s="225" t="str">
        <f t="shared" si="15"/>
        <v/>
      </c>
      <c r="X162">
        <f>IFERROR(INDEX(Rainfall_Wet!$O$2:$O$217,MATCH(B162, Rainfall_Wet!$A$2:$A$217,0)),"")</f>
        <v>181.383442621</v>
      </c>
      <c r="Y162" s="231">
        <v>21.96</v>
      </c>
      <c r="Z162" s="231">
        <v>4.9199999999999982</v>
      </c>
      <c r="AA162" s="231">
        <v>73.12</v>
      </c>
      <c r="AB162" s="232" t="s">
        <v>2670</v>
      </c>
      <c r="AC162" s="231">
        <v>1.2416954164613114</v>
      </c>
      <c r="AD162">
        <f>IF('WetLitterbags placem_collection'!AB163="","",'WetLitterbags placem_collection'!AB163)</f>
        <v>7.6</v>
      </c>
      <c r="AE162">
        <f>IF('WetLitterbags placem_collection'!Z163="","",'WetLitterbags placem_collection'!Z163)</f>
        <v>35.799999999999997</v>
      </c>
      <c r="AF162" s="246" t="str">
        <f>IF('WetLitterbags placem_collection'!AA163="","",'WetLitterbags placem_collection'!AA163)</f>
        <v>M</v>
      </c>
      <c r="AG162">
        <f>IF('WetLitterbags placem_collection'!AC163="","",'WetLitterbags placem_collection'!AC163)</f>
        <v>0</v>
      </c>
      <c r="AH162" s="240">
        <f>AVERAGE('WetLitterbags placem_collection'!S163,'WetLitterbags placem_collection'!U163)</f>
        <v>11.100000000000001</v>
      </c>
      <c r="AI162">
        <f>AVERAGE('WetLitterbags placem_collection'!R163,'WetLitterbags placem_collection'!T163)</f>
        <v>33.6</v>
      </c>
      <c r="AJ162">
        <f>INDEX(Coordinates!$B$2:$B$197,MATCH(G162,Coordinates!$J$2:$J$197,0))</f>
        <v>-2.272751033</v>
      </c>
      <c r="AK162">
        <f>INDEX(Coordinates!$C$2:$C$197,MATCH(G162,Coordinates!$J$2:$J$197,0))</f>
        <v>34.023176030000002</v>
      </c>
      <c r="AL162" t="str">
        <f>IF(ISNUMBER(SEARCH("C", 'WetLitterbags placem_collection'!V163)),"YES","NO")</f>
        <v>NO</v>
      </c>
      <c r="AM162" t="str">
        <f>IF(ISNUMBER(SEARCH("H", 'WetLitterbags placem_collection'!V163)),"YES","NO")</f>
        <v>NO</v>
      </c>
      <c r="AN162" t="str">
        <f>IF(ISNUMBER(SEARCH("R", 'WetLitterbags placem_collection'!V163)),"YES","NO")</f>
        <v>NO</v>
      </c>
    </row>
    <row r="163" spans="1:40" ht="15" customHeight="1">
      <c r="A163" s="258" t="s">
        <v>2460</v>
      </c>
      <c r="B163" s="263">
        <f>'Dry_Litterbag Placem_Collection'!A164</f>
        <v>162</v>
      </c>
      <c r="C163" s="263" t="str">
        <f>'Dry_Litterbag Placem_Collection'!B164</f>
        <v>Handajega</v>
      </c>
      <c r="D163" s="263" t="s">
        <v>2460</v>
      </c>
      <c r="E163" s="263" t="s">
        <v>2661</v>
      </c>
      <c r="F163" s="263">
        <v>1</v>
      </c>
      <c r="G163" s="264" t="str">
        <f>'Dry_Litterbag Placem_Collection'!C164</f>
        <v>Wet_W1_T2</v>
      </c>
      <c r="H163" s="265" t="s">
        <v>2541</v>
      </c>
      <c r="I163" s="266" t="s">
        <v>1147</v>
      </c>
      <c r="J163" s="223" t="str">
        <f>'WetLitterbags placem_collection'!K164</f>
        <v>G385</v>
      </c>
      <c r="K163" s="225">
        <f>IFERROR(INDEX('Green_rooibos initial weight'!$C$5:$C$1749,MATCH(J163, 'Green_rooibos initial weight'!$A$5:$A$1749,0)),"")</f>
        <v>1.962</v>
      </c>
      <c r="L163" s="225">
        <f>IFERROR(K163-(TBIcalc!$H$9+TBIcalc!$H$10),"")</f>
        <v>1.7121999999999999</v>
      </c>
      <c r="M163" s="391">
        <f>AVERAGE(Ashed_controlls!$K$2:$K$11)</f>
        <v>5.5147656768714146</v>
      </c>
      <c r="N163" s="225">
        <f t="shared" si="12"/>
        <v>1.6177761820806076</v>
      </c>
      <c r="O163" s="225">
        <f>IF(IFERROR(INDEX('Both teabags AfterWet'!$C$3:$C$841,MATCH(J163,'Both teabags AfterWet'!$A$3:$A$841,0)),"")="","",(IFERROR(INDEX('Both teabags AfterWet'!$C$3:$C$841,MATCH(J163,'Both teabags AfterWet'!$A$3:$A$841,0)),"")))</f>
        <v>0.62280000000000002</v>
      </c>
      <c r="P163" s="225">
        <f>IFERROR(IF(O163&gt;0,O163-(TBIcalc!$H$9),""),"")</f>
        <v>0.47220000000000001</v>
      </c>
      <c r="Q163" s="225">
        <f>IFERROR(INDEX('Ashed teabags wet'!$K$2:$K$821,MATCH(J163,'Ashed teabags wet'!$A$2:$A$821,0)),"")</f>
        <v>8.5545722713864567</v>
      </c>
      <c r="R163" s="225">
        <f t="shared" si="16"/>
        <v>0.43180530973451314</v>
      </c>
      <c r="S163" s="226">
        <f>'WetLitterbags placem_collection'!E164</f>
        <v>42763</v>
      </c>
      <c r="T163" s="226">
        <f>IF('WetLitterbags placem_collection'!G164="","",'WetLitterbags placem_collection'!G164)</f>
        <v>42814</v>
      </c>
      <c r="U163" s="227">
        <f t="shared" si="13"/>
        <v>51</v>
      </c>
      <c r="V163" s="225">
        <f t="shared" si="14"/>
        <v>1.24</v>
      </c>
      <c r="W163" s="225">
        <f t="shared" si="15"/>
        <v>1.1859708723460944</v>
      </c>
      <c r="X163">
        <f>IFERROR(INDEX(Rainfall_Wet!$O$2:$O$217,MATCH(B163, Rainfall_Wet!$A$2:$A$217,0)),"")</f>
        <v>181.383442621</v>
      </c>
      <c r="Y163" s="231">
        <v>21.96</v>
      </c>
      <c r="Z163" s="231">
        <v>4.9199999999999982</v>
      </c>
      <c r="AA163" s="231">
        <v>73.12</v>
      </c>
      <c r="AB163" s="232" t="s">
        <v>2670</v>
      </c>
      <c r="AC163" s="231">
        <v>2.2416954164613099</v>
      </c>
      <c r="AD163">
        <f>IF('WetLitterbags placem_collection'!AB164="","",'WetLitterbags placem_collection'!AB164)</f>
        <v>4.0999999999999996</v>
      </c>
      <c r="AE163">
        <f>IF('WetLitterbags placem_collection'!Z164="","",'WetLitterbags placem_collection'!Z164)</f>
        <v>31.4</v>
      </c>
      <c r="AF163" s="246" t="str">
        <f>IF('WetLitterbags placem_collection'!AA164="","",'WetLitterbags placem_collection'!AA164)</f>
        <v>M</v>
      </c>
      <c r="AG163">
        <f>IF('WetLitterbags placem_collection'!AC164="","",'WetLitterbags placem_collection'!AC164)</f>
        <v>0</v>
      </c>
      <c r="AH163" s="240">
        <f>AVERAGE('WetLitterbags placem_collection'!S164,'WetLitterbags placem_collection'!U164)</f>
        <v>9.35</v>
      </c>
      <c r="AI163">
        <f>AVERAGE('WetLitterbags placem_collection'!R164,'WetLitterbags placem_collection'!T164)</f>
        <v>34.450000000000003</v>
      </c>
      <c r="AJ163">
        <f>INDEX(Coordinates!$B$2:$B$197,MATCH(G163,Coordinates!$J$2:$J$197,0))</f>
        <v>-2.2727060219999999</v>
      </c>
      <c r="AK163">
        <f>INDEX(Coordinates!$C$2:$C$197,MATCH(G163,Coordinates!$J$2:$J$197,0))</f>
        <v>34.023162030000002</v>
      </c>
      <c r="AL163" t="str">
        <f>IF(ISNUMBER(SEARCH("C", 'WetLitterbags placem_collection'!V164)),"YES","NO")</f>
        <v>NO</v>
      </c>
      <c r="AM163" t="str">
        <f>IF(ISNUMBER(SEARCH("H", 'WetLitterbags placem_collection'!V164)),"YES","NO")</f>
        <v>NO</v>
      </c>
      <c r="AN163" t="str">
        <f>IF(ISNUMBER(SEARCH("R", 'WetLitterbags placem_collection'!V164)),"YES","NO")</f>
        <v>NO</v>
      </c>
    </row>
    <row r="164" spans="1:40" ht="15" customHeight="1">
      <c r="A164" s="258" t="s">
        <v>2460</v>
      </c>
      <c r="B164" s="263">
        <f>'Dry_Litterbag Placem_Collection'!A165</f>
        <v>163</v>
      </c>
      <c r="C164" s="263" t="str">
        <f>'Dry_Litterbag Placem_Collection'!B165</f>
        <v>Handajega</v>
      </c>
      <c r="D164" s="263" t="s">
        <v>2460</v>
      </c>
      <c r="E164" s="263" t="s">
        <v>2661</v>
      </c>
      <c r="F164" s="263">
        <v>1</v>
      </c>
      <c r="G164" s="264" t="str">
        <f>'Dry_Litterbag Placem_Collection'!C165</f>
        <v>Wet_W1_T3</v>
      </c>
      <c r="H164" s="265" t="s">
        <v>2541</v>
      </c>
      <c r="I164" s="266" t="s">
        <v>1147</v>
      </c>
      <c r="J164" s="223" t="str">
        <f>'WetLitterbags placem_collection'!K165</f>
        <v>G202</v>
      </c>
      <c r="K164" s="225">
        <f>IFERROR(INDEX('Green_rooibos initial weight'!$C$5:$C$1749,MATCH(J164, 'Green_rooibos initial weight'!$A$5:$A$1749,0)),"")</f>
        <v>1.986</v>
      </c>
      <c r="L164" s="225">
        <f>IFERROR(K164-(TBIcalc!$H$9+TBIcalc!$H$10),"")</f>
        <v>1.7362</v>
      </c>
      <c r="M164" s="391">
        <f>AVERAGE(Ashed_controlls!$K$2:$K$11)</f>
        <v>5.5147656768714146</v>
      </c>
      <c r="N164" s="225">
        <f t="shared" si="12"/>
        <v>1.6404526383181586</v>
      </c>
      <c r="O164" s="225">
        <f>IF(IFERROR(INDEX('Both teabags AfterWet'!$C$3:$C$841,MATCH(J164,'Both teabags AfterWet'!$A$3:$A$841,0)),"")="","",(IFERROR(INDEX('Both teabags AfterWet'!$C$3:$C$841,MATCH(J164,'Both teabags AfterWet'!$A$3:$A$841,0)),"")))</f>
        <v>0.64500000000000002</v>
      </c>
      <c r="P164" s="225">
        <f>IFERROR(IF(O164&gt;0,O164-(TBIcalc!$H$9),""),"")</f>
        <v>0.49440000000000001</v>
      </c>
      <c r="Q164" s="225">
        <f>IFERROR(INDEX('Ashed teabags wet'!$K$2:$K$821,MATCH(J164,'Ashed teabags wet'!$A$2:$A$821,0)),"")</f>
        <v>9.4152626362733951</v>
      </c>
      <c r="R164" s="225">
        <f t="shared" si="16"/>
        <v>0.44785094152626437</v>
      </c>
      <c r="S164" s="226">
        <f>'WetLitterbags placem_collection'!E165</f>
        <v>42763</v>
      </c>
      <c r="T164" s="226">
        <f>IF('WetLitterbags placem_collection'!G165="","",'WetLitterbags placem_collection'!G165)</f>
        <v>42814</v>
      </c>
      <c r="U164" s="227">
        <f t="shared" si="13"/>
        <v>51</v>
      </c>
      <c r="V164" s="225">
        <f t="shared" si="14"/>
        <v>1.2418</v>
      </c>
      <c r="W164" s="225">
        <f t="shared" si="15"/>
        <v>1.1926016967918942</v>
      </c>
      <c r="X164">
        <f>IFERROR(INDEX(Rainfall_Wet!$O$2:$O$217,MATCH(B164, Rainfall_Wet!$A$2:$A$217,0)),"")</f>
        <v>181.383442621</v>
      </c>
      <c r="Y164" s="231">
        <v>21.96</v>
      </c>
      <c r="Z164" s="231">
        <v>4.9199999999999982</v>
      </c>
      <c r="AA164" s="231">
        <v>73.12</v>
      </c>
      <c r="AB164" s="232" t="s">
        <v>2670</v>
      </c>
      <c r="AC164" s="231">
        <v>3.2416954164613099</v>
      </c>
      <c r="AD164">
        <f>IF('WetLitterbags placem_collection'!AB165="","",'WetLitterbags placem_collection'!AB165)</f>
        <v>7.8</v>
      </c>
      <c r="AE164">
        <f>IF('WetLitterbags placem_collection'!Z165="","",'WetLitterbags placem_collection'!Z165)</f>
        <v>28.8</v>
      </c>
      <c r="AF164" s="246" t="str">
        <f>IF('WetLitterbags placem_collection'!AA165="","",'WetLitterbags placem_collection'!AA165)</f>
        <v>M</v>
      </c>
      <c r="AG164">
        <f>IF('WetLitterbags placem_collection'!AC165="","",'WetLitterbags placem_collection'!AC165)</f>
        <v>0</v>
      </c>
      <c r="AH164" s="240">
        <f>AVERAGE('WetLitterbags placem_collection'!S165,'WetLitterbags placem_collection'!U165)</f>
        <v>9.3000000000000007</v>
      </c>
      <c r="AI164">
        <f>AVERAGE('WetLitterbags placem_collection'!R165,'WetLitterbags placem_collection'!T165)</f>
        <v>33.5</v>
      </c>
      <c r="AJ164">
        <f>INDEX(Coordinates!$B$2:$B$197,MATCH(G164,Coordinates!$J$2:$J$197,0))</f>
        <v>-2.2726719919999998</v>
      </c>
      <c r="AK164">
        <f>INDEX(Coordinates!$C$2:$C$197,MATCH(G164,Coordinates!$J$2:$J$197,0))</f>
        <v>34.023210980000002</v>
      </c>
      <c r="AL164" t="str">
        <f>IF(ISNUMBER(SEARCH("C", 'WetLitterbags placem_collection'!V165)),"YES","NO")</f>
        <v>NO</v>
      </c>
      <c r="AM164" t="str">
        <f>IF(ISNUMBER(SEARCH("H", 'WetLitterbags placem_collection'!V165)),"YES","NO")</f>
        <v>YES</v>
      </c>
      <c r="AN164" t="str">
        <f>IF(ISNUMBER(SEARCH("R", 'WetLitterbags placem_collection'!V165)),"YES","NO")</f>
        <v>NO</v>
      </c>
    </row>
    <row r="165" spans="1:40" ht="15" customHeight="1">
      <c r="A165" s="258" t="s">
        <v>2460</v>
      </c>
      <c r="B165" s="263">
        <f>'Dry_Litterbag Placem_Collection'!A166</f>
        <v>164</v>
      </c>
      <c r="C165" s="263" t="str">
        <f>'Dry_Litterbag Placem_Collection'!B166</f>
        <v>Handajega</v>
      </c>
      <c r="D165" s="263" t="s">
        <v>2460</v>
      </c>
      <c r="E165" s="263" t="s">
        <v>2661</v>
      </c>
      <c r="F165" s="263">
        <v>1</v>
      </c>
      <c r="G165" s="264" t="str">
        <f>'Dry_Litterbag Placem_Collection'!C166</f>
        <v>Wet_W1_T4</v>
      </c>
      <c r="H165" s="265" t="s">
        <v>2541</v>
      </c>
      <c r="I165" s="266" t="s">
        <v>1147</v>
      </c>
      <c r="J165" s="223" t="str">
        <f>'WetLitterbags placem_collection'!K166</f>
        <v>G686</v>
      </c>
      <c r="K165" s="225">
        <f>IFERROR(INDEX('Green_rooibos initial weight'!$C$5:$C$1749,MATCH(J165, 'Green_rooibos initial weight'!$A$5:$A$1749,0)),"")</f>
        <v>1.9510000000000001</v>
      </c>
      <c r="L165" s="225">
        <f>IFERROR(K165-(TBIcalc!$H$9+TBIcalc!$H$10),"")</f>
        <v>1.7012</v>
      </c>
      <c r="M165" s="391">
        <f>AVERAGE(Ashed_controlls!$K$2:$K$11)</f>
        <v>5.5147656768714146</v>
      </c>
      <c r="N165" s="225">
        <f t="shared" si="12"/>
        <v>1.6073828063050635</v>
      </c>
      <c r="O165" s="225">
        <f>IF(IFERROR(INDEX('Both teabags AfterWet'!$C$3:$C$841,MATCH(J165,'Both teabags AfterWet'!$A$3:$A$841,0)),"")="","",(IFERROR(INDEX('Both teabags AfterWet'!$C$3:$C$841,MATCH(J165,'Both teabags AfterWet'!$A$3:$A$841,0)),"")))</f>
        <v>0.628</v>
      </c>
      <c r="P165" s="225">
        <f>IFERROR(IF(O165&gt;0,O165-(TBIcalc!$H$9),""),"")</f>
        <v>0.47739999999999999</v>
      </c>
      <c r="Q165" s="225">
        <f>IFERROR(INDEX('Ashed teabags wet'!$K$2:$K$821,MATCH(J165,'Ashed teabags wet'!$A$2:$A$821,0)),"")</f>
        <v>9.7268806899849256</v>
      </c>
      <c r="R165" s="225">
        <f t="shared" si="16"/>
        <v>0.43096387158601196</v>
      </c>
      <c r="S165" s="226">
        <f>'WetLitterbags placem_collection'!E166</f>
        <v>42763</v>
      </c>
      <c r="T165" s="226">
        <f>IF('WetLitterbags placem_collection'!G166="","",'WetLitterbags placem_collection'!G166)</f>
        <v>42814</v>
      </c>
      <c r="U165" s="227">
        <f t="shared" si="13"/>
        <v>51</v>
      </c>
      <c r="V165" s="225">
        <f t="shared" si="14"/>
        <v>1.2238</v>
      </c>
      <c r="W165" s="225">
        <f t="shared" si="15"/>
        <v>1.1764189347190515</v>
      </c>
      <c r="X165">
        <f>IFERROR(INDEX(Rainfall_Wet!$O$2:$O$217,MATCH(B165, Rainfall_Wet!$A$2:$A$217,0)),"")</f>
        <v>181.383442621</v>
      </c>
      <c r="Y165" s="231">
        <v>21.96</v>
      </c>
      <c r="Z165" s="231">
        <v>4.9199999999999982</v>
      </c>
      <c r="AA165" s="231">
        <v>73.12</v>
      </c>
      <c r="AB165" s="232" t="s">
        <v>2670</v>
      </c>
      <c r="AC165" s="231">
        <v>4.2416954164613099</v>
      </c>
      <c r="AD165">
        <f>IF('WetLitterbags placem_collection'!AB166="","",'WetLitterbags placem_collection'!AB166)</f>
        <v>9.5</v>
      </c>
      <c r="AE165">
        <f>IF('WetLitterbags placem_collection'!Z166="","",'WetLitterbags placem_collection'!Z166)</f>
        <v>20.8</v>
      </c>
      <c r="AF165" s="246" t="str">
        <f>IF('WetLitterbags placem_collection'!AA166="","",'WetLitterbags placem_collection'!AA166)</f>
        <v>M</v>
      </c>
      <c r="AG165">
        <f>IF('WetLitterbags placem_collection'!AC166="","",'WetLitterbags placem_collection'!AC166)</f>
        <v>0</v>
      </c>
      <c r="AH165" s="240">
        <f>AVERAGE('WetLitterbags placem_collection'!S166,'WetLitterbags placem_collection'!U166)</f>
        <v>9.25</v>
      </c>
      <c r="AI165">
        <f>AVERAGE('WetLitterbags placem_collection'!R166,'WetLitterbags placem_collection'!T166)</f>
        <v>33.799999999999997</v>
      </c>
      <c r="AJ165">
        <f>INDEX(Coordinates!$B$2:$B$197,MATCH(G165,Coordinates!$J$2:$J$197,0))</f>
        <v>-2.2726180130000002</v>
      </c>
      <c r="AK165">
        <f>INDEX(Coordinates!$C$2:$C$197,MATCH(G165,Coordinates!$J$2:$J$197,0))</f>
        <v>34.023212999999998</v>
      </c>
      <c r="AL165" t="str">
        <f>IF(ISNUMBER(SEARCH("C", 'WetLitterbags placem_collection'!V166)),"YES","NO")</f>
        <v>NO</v>
      </c>
      <c r="AM165" t="str">
        <f>IF(ISNUMBER(SEARCH("H", 'WetLitterbags placem_collection'!V166)),"YES","NO")</f>
        <v>NO</v>
      </c>
      <c r="AN165" t="str">
        <f>IF(ISNUMBER(SEARCH("R", 'WetLitterbags placem_collection'!V166)),"YES","NO")</f>
        <v>NO</v>
      </c>
    </row>
    <row r="166" spans="1:40" ht="15" customHeight="1">
      <c r="A166" s="258" t="s">
        <v>2460</v>
      </c>
      <c r="B166" s="263">
        <f>'Dry_Litterbag Placem_Collection'!A167</f>
        <v>165</v>
      </c>
      <c r="C166" s="263" t="str">
        <f>'Dry_Litterbag Placem_Collection'!B167</f>
        <v>Handajega</v>
      </c>
      <c r="D166" s="263" t="s">
        <v>2460</v>
      </c>
      <c r="E166" s="263" t="s">
        <v>2661</v>
      </c>
      <c r="F166" s="263">
        <v>1</v>
      </c>
      <c r="G166" s="264" t="str">
        <f>'Dry_Litterbag Placem_Collection'!C167</f>
        <v>Wet_W1_T5</v>
      </c>
      <c r="H166" s="265" t="s">
        <v>2541</v>
      </c>
      <c r="I166" s="266" t="s">
        <v>1147</v>
      </c>
      <c r="J166" s="223" t="str">
        <f>'WetLitterbags placem_collection'!K167</f>
        <v>G368</v>
      </c>
      <c r="K166" s="225">
        <f>IFERROR(INDEX('Green_rooibos initial weight'!$C$5:$C$1749,MATCH(J166, 'Green_rooibos initial weight'!$A$5:$A$1749,0)),"")</f>
        <v>2.1709999999999998</v>
      </c>
      <c r="L166" s="225">
        <f>IFERROR(K166-(TBIcalc!$H$9+TBIcalc!$H$10),"")</f>
        <v>1.9211999999999998</v>
      </c>
      <c r="M166" s="391">
        <f>AVERAGE(Ashed_controlls!$K$2:$K$11)</f>
        <v>5.5147656768714146</v>
      </c>
      <c r="N166" s="225">
        <f t="shared" si="12"/>
        <v>1.8152503218159461</v>
      </c>
      <c r="O166" s="225">
        <f>IF(IFERROR(INDEX('Both teabags AfterWet'!$C$3:$C$841,MATCH(J166,'Both teabags AfterWet'!$A$3:$A$841,0)),"")="","",(IFERROR(INDEX('Both teabags AfterWet'!$C$3:$C$841,MATCH(J166,'Both teabags AfterWet'!$A$3:$A$841,0)),"")))</f>
        <v>0.72699999999999998</v>
      </c>
      <c r="P166" s="225">
        <f>IFERROR(IF(O166&gt;0,O166-(TBIcalc!$H$9),""),"")</f>
        <v>0.57640000000000002</v>
      </c>
      <c r="Q166" s="225">
        <f>IFERROR(INDEX('Ashed teabags wet'!$K$2:$K$821,MATCH(J166,'Ashed teabags wet'!$A$2:$A$821,0)),"")</f>
        <v>7.2371638141808248</v>
      </c>
      <c r="R166" s="225">
        <f t="shared" si="16"/>
        <v>0.53468498777506179</v>
      </c>
      <c r="S166" s="226">
        <f>'WetLitterbags placem_collection'!E167</f>
        <v>42763</v>
      </c>
      <c r="T166" s="226">
        <f>IF('WetLitterbags placem_collection'!G167="","",'WetLitterbags placem_collection'!G167)</f>
        <v>42814</v>
      </c>
      <c r="U166" s="227">
        <f t="shared" si="13"/>
        <v>51</v>
      </c>
      <c r="V166" s="225">
        <f t="shared" si="14"/>
        <v>1.3447999999999998</v>
      </c>
      <c r="W166" s="225">
        <f t="shared" si="15"/>
        <v>1.2805653340408845</v>
      </c>
      <c r="X166">
        <f>IFERROR(INDEX(Rainfall_Wet!$O$2:$O$217,MATCH(B166, Rainfall_Wet!$A$2:$A$217,0)),"")</f>
        <v>181.383442621</v>
      </c>
      <c r="Y166" s="231">
        <v>21.96</v>
      </c>
      <c r="Z166" s="231">
        <v>4.9199999999999982</v>
      </c>
      <c r="AA166" s="231">
        <v>73.12</v>
      </c>
      <c r="AB166" s="232" t="s">
        <v>2670</v>
      </c>
      <c r="AC166" s="231">
        <v>5.2416954164613099</v>
      </c>
      <c r="AD166">
        <f>IF('WetLitterbags placem_collection'!AB167="","",'WetLitterbags placem_collection'!AB167)</f>
        <v>10.4</v>
      </c>
      <c r="AE166">
        <f>IF('WetLitterbags placem_collection'!Z167="","",'WetLitterbags placem_collection'!Z167)</f>
        <v>13.8</v>
      </c>
      <c r="AF166" s="246" t="str">
        <f>IF('WetLitterbags placem_collection'!AA167="","",'WetLitterbags placem_collection'!AA167)</f>
        <v>M</v>
      </c>
      <c r="AG166">
        <f>IF('WetLitterbags placem_collection'!AC167="","",'WetLitterbags placem_collection'!AC167)</f>
        <v>0</v>
      </c>
      <c r="AH166" s="240">
        <f>AVERAGE('WetLitterbags placem_collection'!S167,'WetLitterbags placem_collection'!U167)</f>
        <v>12</v>
      </c>
      <c r="AI166">
        <f>AVERAGE('WetLitterbags placem_collection'!R167,'WetLitterbags placem_collection'!T167)</f>
        <v>31.5</v>
      </c>
      <c r="AJ166">
        <f>INDEX(Coordinates!$B$2:$B$197,MATCH(G166,Coordinates!$J$2:$J$197,0))</f>
        <v>-2.2724750170000001</v>
      </c>
      <c r="AK166">
        <f>INDEX(Coordinates!$C$2:$C$197,MATCH(G166,Coordinates!$J$2:$J$197,0))</f>
        <v>34.02334501</v>
      </c>
      <c r="AL166" t="str">
        <f>IF(ISNUMBER(SEARCH("C", 'WetLitterbags placem_collection'!V167)),"YES","NO")</f>
        <v>NO</v>
      </c>
      <c r="AM166" t="str">
        <f>IF(ISNUMBER(SEARCH("H", 'WetLitterbags placem_collection'!V167)),"YES","NO")</f>
        <v>NO</v>
      </c>
      <c r="AN166" t="str">
        <f>IF(ISNUMBER(SEARCH("R", 'WetLitterbags placem_collection'!V167)),"YES","NO")</f>
        <v>NO</v>
      </c>
    </row>
    <row r="167" spans="1:40" ht="15" customHeight="1">
      <c r="A167" s="258" t="s">
        <v>2460</v>
      </c>
      <c r="B167" s="263">
        <f>'Dry_Litterbag Placem_Collection'!A168</f>
        <v>166</v>
      </c>
      <c r="C167" s="263" t="str">
        <f>'Dry_Litterbag Placem_Collection'!B168</f>
        <v>Handajega</v>
      </c>
      <c r="D167" s="263" t="s">
        <v>2460</v>
      </c>
      <c r="E167" s="263" t="s">
        <v>2661</v>
      </c>
      <c r="F167" s="263">
        <v>1</v>
      </c>
      <c r="G167" s="264" t="str">
        <f>'Dry_Litterbag Placem_Collection'!C168</f>
        <v>Wet_W1_T6</v>
      </c>
      <c r="H167" s="265" t="s">
        <v>2541</v>
      </c>
      <c r="I167" s="266" t="s">
        <v>1147</v>
      </c>
      <c r="J167" s="223" t="str">
        <f>'WetLitterbags placem_collection'!K168</f>
        <v>G334</v>
      </c>
      <c r="K167" s="225">
        <f>IFERROR(INDEX('Green_rooibos initial weight'!$C$5:$C$1749,MATCH(J167, 'Green_rooibos initial weight'!$A$5:$A$1749,0)),"")</f>
        <v>2.0710000000000002</v>
      </c>
      <c r="L167" s="225">
        <f>IFERROR(K167-(TBIcalc!$H$9+TBIcalc!$H$10),"")</f>
        <v>1.8212000000000002</v>
      </c>
      <c r="M167" s="391">
        <f>AVERAGE(Ashed_controlls!$K$2:$K$11)</f>
        <v>5.5147656768714146</v>
      </c>
      <c r="N167" s="225">
        <f t="shared" si="12"/>
        <v>1.720765087492818</v>
      </c>
      <c r="O167" s="225">
        <f>IF(IFERROR(INDEX('Both teabags AfterWet'!$C$3:$C$841,MATCH(J167,'Both teabags AfterWet'!$A$3:$A$841,0)),"")="","",(IFERROR(INDEX('Both teabags AfterWet'!$C$3:$C$841,MATCH(J167,'Both teabags AfterWet'!$A$3:$A$841,0)),"")))</f>
        <v>0.80800000000000005</v>
      </c>
      <c r="P167" s="225">
        <f>IFERROR(IF(O167&gt;0,O167-(TBIcalc!$H$9),""),"")</f>
        <v>0.65739999999999998</v>
      </c>
      <c r="Q167" s="225">
        <f>IFERROR(INDEX('Ashed teabags wet'!$K$2:$K$821,MATCH(J167,'Ashed teabags wet'!$A$2:$A$821,0)),"")</f>
        <v>13.234567901234151</v>
      </c>
      <c r="R167" s="225">
        <f t="shared" si="16"/>
        <v>0.57039595061728665</v>
      </c>
      <c r="S167" s="226">
        <f>'WetLitterbags placem_collection'!E168</f>
        <v>42763</v>
      </c>
      <c r="T167" s="226">
        <f>IF('WetLitterbags placem_collection'!G168="","",'WetLitterbags placem_collection'!G168)</f>
        <v>42814</v>
      </c>
      <c r="U167" s="227">
        <f t="shared" si="13"/>
        <v>51</v>
      </c>
      <c r="V167" s="225">
        <f t="shared" si="14"/>
        <v>1.1638000000000002</v>
      </c>
      <c r="W167" s="225">
        <f t="shared" si="15"/>
        <v>1.1503691368755313</v>
      </c>
      <c r="X167">
        <f>IFERROR(INDEX(Rainfall_Wet!$O$2:$O$217,MATCH(B167, Rainfall_Wet!$A$2:$A$217,0)),"")</f>
        <v>181.383442621</v>
      </c>
      <c r="Y167" s="231">
        <v>21.96</v>
      </c>
      <c r="Z167" s="231">
        <v>4.9199999999999982</v>
      </c>
      <c r="AA167" s="231">
        <v>73.12</v>
      </c>
      <c r="AB167" s="232" t="s">
        <v>2670</v>
      </c>
      <c r="AC167" s="231">
        <v>6.2416954164613099</v>
      </c>
      <c r="AD167">
        <f>IF('WetLitterbags placem_collection'!AB168="","",'WetLitterbags placem_collection'!AB168)</f>
        <v>2.1</v>
      </c>
      <c r="AE167">
        <f>IF('WetLitterbags placem_collection'!Z168="","",'WetLitterbags placem_collection'!Z168)</f>
        <v>4.7</v>
      </c>
      <c r="AF167" s="246" t="str">
        <f>IF('WetLitterbags placem_collection'!AA168="","",'WetLitterbags placem_collection'!AA168)</f>
        <v>M</v>
      </c>
      <c r="AG167">
        <f>IF('WetLitterbags placem_collection'!AC168="","",'WetLitterbags placem_collection'!AC168)</f>
        <v>0</v>
      </c>
      <c r="AH167" s="240">
        <f>AVERAGE('WetLitterbags placem_collection'!S168,'WetLitterbags placem_collection'!U168)</f>
        <v>11</v>
      </c>
      <c r="AI167">
        <f>AVERAGE('WetLitterbags placem_collection'!R168,'WetLitterbags placem_collection'!T168)</f>
        <v>31.5</v>
      </c>
      <c r="AJ167">
        <f>INDEX(Coordinates!$B$2:$B$197,MATCH(G167,Coordinates!$J$2:$J$197,0))</f>
        <v>-2.2725490289999999</v>
      </c>
      <c r="AK167">
        <f>INDEX(Coordinates!$C$2:$C$197,MATCH(G167,Coordinates!$J$2:$J$197,0))</f>
        <v>34.022886020000001</v>
      </c>
      <c r="AL167" t="str">
        <f>IF(ISNUMBER(SEARCH("C", 'WetLitterbags placem_collection'!V168)),"YES","NO")</f>
        <v>NO</v>
      </c>
      <c r="AM167" t="str">
        <f>IF(ISNUMBER(SEARCH("H", 'WetLitterbags placem_collection'!V168)),"YES","NO")</f>
        <v>NO</v>
      </c>
      <c r="AN167" t="str">
        <f>IF(ISNUMBER(SEARCH("R", 'WetLitterbags placem_collection'!V168)),"YES","NO")</f>
        <v>NO</v>
      </c>
    </row>
    <row r="168" spans="1:40" ht="15" customHeight="1">
      <c r="A168" s="258" t="s">
        <v>2460</v>
      </c>
      <c r="B168" s="263">
        <f>'Dry_Litterbag Placem_Collection'!A169</f>
        <v>167</v>
      </c>
      <c r="C168" s="263" t="str">
        <f>'Dry_Litterbag Placem_Collection'!B169</f>
        <v>Handajega</v>
      </c>
      <c r="D168" s="263" t="s">
        <v>2460</v>
      </c>
      <c r="E168" s="263" t="s">
        <v>2661</v>
      </c>
      <c r="F168" s="263">
        <v>1</v>
      </c>
      <c r="G168" s="264" t="str">
        <f>'Dry_Litterbag Placem_Collection'!C169</f>
        <v>Wet_W1_T7</v>
      </c>
      <c r="H168" s="265" t="s">
        <v>2541</v>
      </c>
      <c r="I168" s="266" t="s">
        <v>1147</v>
      </c>
      <c r="J168" s="223" t="str">
        <f>'WetLitterbags placem_collection'!K169</f>
        <v>G429</v>
      </c>
      <c r="K168" s="225">
        <f>IFERROR(INDEX('Green_rooibos initial weight'!$C$5:$C$1749,MATCH(J168, 'Green_rooibos initial weight'!$A$5:$A$1749,0)),"")</f>
        <v>1.9319999999999999</v>
      </c>
      <c r="L168" s="225">
        <f>IFERROR(K168-(TBIcalc!$H$9+TBIcalc!$H$10),"")</f>
        <v>1.6821999999999999</v>
      </c>
      <c r="M168" s="391">
        <f>AVERAGE(Ashed_controlls!$K$2:$K$11)</f>
        <v>5.5147656768714146</v>
      </c>
      <c r="N168" s="225">
        <f t="shared" si="12"/>
        <v>1.589430611783669</v>
      </c>
      <c r="O168" s="225">
        <f>IF(IFERROR(INDEX('Both teabags AfterWet'!$C$3:$C$841,MATCH(J168,'Both teabags AfterWet'!$A$3:$A$841,0)),"")="","",(IFERROR(INDEX('Both teabags AfterWet'!$C$3:$C$841,MATCH(J168,'Both teabags AfterWet'!$A$3:$A$841,0)),"")))</f>
        <v>0.64529999999999998</v>
      </c>
      <c r="P168" s="225">
        <f>IFERROR(IF(O168&gt;0,O168-(TBIcalc!$H$9),""),"")</f>
        <v>0.49469999999999997</v>
      </c>
      <c r="Q168" s="225">
        <f>IFERROR(INDEX('Ashed teabags wet'!$K$2:$K$821,MATCH(J168,'Ashed teabags wet'!$A$2:$A$821,0)),"")</f>
        <v>8.4409136047665729</v>
      </c>
      <c r="R168" s="225">
        <f t="shared" si="16"/>
        <v>0.45294280039721974</v>
      </c>
      <c r="S168" s="226">
        <f>'WetLitterbags placem_collection'!E169</f>
        <v>42763</v>
      </c>
      <c r="T168" s="226">
        <f>IF('WetLitterbags placem_collection'!G169="","",'WetLitterbags placem_collection'!G169)</f>
        <v>42814</v>
      </c>
      <c r="U168" s="227">
        <f t="shared" si="13"/>
        <v>51</v>
      </c>
      <c r="V168" s="225">
        <f t="shared" si="14"/>
        <v>1.1875</v>
      </c>
      <c r="W168" s="225">
        <f t="shared" si="15"/>
        <v>1.1364878113864492</v>
      </c>
      <c r="X168">
        <f>IFERROR(INDEX(Rainfall_Wet!$O$2:$O$217,MATCH(B168, Rainfall_Wet!$A$2:$A$217,0)),"")</f>
        <v>181.383442621</v>
      </c>
      <c r="Y168" s="231">
        <v>21.96</v>
      </c>
      <c r="Z168" s="231">
        <v>4.9199999999999982</v>
      </c>
      <c r="AA168" s="231">
        <v>73.12</v>
      </c>
      <c r="AB168" s="232" t="s">
        <v>2670</v>
      </c>
      <c r="AC168" s="231">
        <v>7.2416954164613099</v>
      </c>
      <c r="AD168">
        <f>IF('WetLitterbags placem_collection'!AB169="","",'WetLitterbags placem_collection'!AB169)</f>
        <v>5.6</v>
      </c>
      <c r="AE168">
        <f>IF('WetLitterbags placem_collection'!Z169="","",'WetLitterbags placem_collection'!Z169)</f>
        <v>4.2</v>
      </c>
      <c r="AF168" s="246" t="str">
        <f>IF('WetLitterbags placem_collection'!AA169="","",'WetLitterbags placem_collection'!AA169)</f>
        <v>M</v>
      </c>
      <c r="AG168">
        <f>IF('WetLitterbags placem_collection'!AC169="","",'WetLitterbags placem_collection'!AC169)</f>
        <v>1</v>
      </c>
      <c r="AH168" s="240">
        <f>AVERAGE('WetLitterbags placem_collection'!S169,'WetLitterbags placem_collection'!U169)</f>
        <v>10.45</v>
      </c>
      <c r="AI168">
        <f>AVERAGE('WetLitterbags placem_collection'!R169,'WetLitterbags placem_collection'!T169)</f>
        <v>31</v>
      </c>
      <c r="AJ168">
        <f>INDEX(Coordinates!$B$2:$B$197,MATCH(G168,Coordinates!$J$2:$J$197,0))</f>
        <v>-2.2729950310000002</v>
      </c>
      <c r="AK168">
        <f>INDEX(Coordinates!$C$2:$C$197,MATCH(G168,Coordinates!$J$2:$J$197,0))</f>
        <v>34.022923990000002</v>
      </c>
      <c r="AL168" t="str">
        <f>IF(ISNUMBER(SEARCH("C", 'WetLitterbags placem_collection'!V169)),"YES","NO")</f>
        <v>NO</v>
      </c>
      <c r="AM168" t="str">
        <f>IF(ISNUMBER(SEARCH("H", 'WetLitterbags placem_collection'!V169)),"YES","NO")</f>
        <v>NO</v>
      </c>
      <c r="AN168" t="str">
        <f>IF(ISNUMBER(SEARCH("R", 'WetLitterbags placem_collection'!V169)),"YES","NO")</f>
        <v>NO</v>
      </c>
    </row>
    <row r="169" spans="1:40" ht="15" customHeight="1">
      <c r="A169" s="258" t="s">
        <v>2460</v>
      </c>
      <c r="B169" s="263">
        <f>'Dry_Litterbag Placem_Collection'!A170</f>
        <v>168</v>
      </c>
      <c r="C169" s="263" t="str">
        <f>'Dry_Litterbag Placem_Collection'!B170</f>
        <v>Handajega</v>
      </c>
      <c r="D169" s="263" t="s">
        <v>2460</v>
      </c>
      <c r="E169" s="263" t="s">
        <v>2661</v>
      </c>
      <c r="F169" s="263">
        <v>1</v>
      </c>
      <c r="G169" s="264" t="str">
        <f>'Dry_Litterbag Placem_Collection'!C170</f>
        <v>Wet_W1_T8</v>
      </c>
      <c r="H169" s="265" t="s">
        <v>2541</v>
      </c>
      <c r="I169" s="266" t="s">
        <v>1147</v>
      </c>
      <c r="J169" s="223" t="str">
        <f>'WetLitterbags placem_collection'!K170</f>
        <v>G461</v>
      </c>
      <c r="K169" s="225">
        <f>IFERROR(INDEX('Green_rooibos initial weight'!$C$5:$C$1749,MATCH(J169, 'Green_rooibos initial weight'!$A$5:$A$1749,0)),"")</f>
        <v>2.1030000000000002</v>
      </c>
      <c r="L169" s="225">
        <f>IFERROR(K169-(TBIcalc!$H$9+TBIcalc!$H$10),"")</f>
        <v>1.8532000000000002</v>
      </c>
      <c r="M169" s="391">
        <f>AVERAGE(Ashed_controlls!$K$2:$K$11)</f>
        <v>5.5147656768714146</v>
      </c>
      <c r="N169" s="225">
        <f t="shared" si="12"/>
        <v>1.7510003624762192</v>
      </c>
      <c r="O169" s="225">
        <f>IF(IFERROR(INDEX('Both teabags AfterWet'!$C$3:$C$841,MATCH(J169,'Both teabags AfterWet'!$A$3:$A$841,0)),"")="","",(IFERROR(INDEX('Both teabags AfterWet'!$C$3:$C$841,MATCH(J169,'Both teabags AfterWet'!$A$3:$A$841,0)),"")))</f>
        <v>0.79400000000000004</v>
      </c>
      <c r="P169" s="225">
        <f>IFERROR(IF(O169&gt;0,O169-(TBIcalc!$H$9),""),"")</f>
        <v>0.64339999999999997</v>
      </c>
      <c r="Q169" s="225">
        <f>IFERROR(INDEX('Ashed teabags wet'!$K$2:$K$821,MATCH(J169,'Ashed teabags wet'!$A$2:$A$821,0)),"")</f>
        <v>8.9463220675947444</v>
      </c>
      <c r="R169" s="225">
        <f t="shared" si="16"/>
        <v>0.58583936381709534</v>
      </c>
      <c r="S169" s="226">
        <f>'WetLitterbags placem_collection'!E170</f>
        <v>42763</v>
      </c>
      <c r="T169" s="226">
        <f>IF('WetLitterbags placem_collection'!G170="","",'WetLitterbags placem_collection'!G170)</f>
        <v>42814</v>
      </c>
      <c r="U169" s="227">
        <f t="shared" si="13"/>
        <v>51</v>
      </c>
      <c r="V169" s="225">
        <f t="shared" si="14"/>
        <v>1.2098000000000002</v>
      </c>
      <c r="W169" s="225">
        <f t="shared" si="15"/>
        <v>1.1651609986591238</v>
      </c>
      <c r="X169">
        <f>IFERROR(INDEX(Rainfall_Wet!$O$2:$O$217,MATCH(B169, Rainfall_Wet!$A$2:$A$217,0)),"")</f>
        <v>181.383442621</v>
      </c>
      <c r="Y169" s="231">
        <v>21.96</v>
      </c>
      <c r="Z169" s="231">
        <v>4.9199999999999982</v>
      </c>
      <c r="AA169" s="231">
        <v>73.12</v>
      </c>
      <c r="AB169" s="232" t="s">
        <v>2670</v>
      </c>
      <c r="AC169" s="231">
        <v>8.2416954164613099</v>
      </c>
      <c r="AD169">
        <f>IF('WetLitterbags placem_collection'!AB170="","",'WetLitterbags placem_collection'!AB170)</f>
        <v>2.4</v>
      </c>
      <c r="AE169">
        <f>IF('WetLitterbags placem_collection'!Z170="","",'WetLitterbags placem_collection'!Z170)</f>
        <v>46</v>
      </c>
      <c r="AF169" s="246" t="str">
        <f>IF('WetLitterbags placem_collection'!AA170="","",'WetLitterbags placem_collection'!AA170)</f>
        <v>M</v>
      </c>
      <c r="AG169">
        <f>IF('WetLitterbags placem_collection'!AC170="","",'WetLitterbags placem_collection'!AC170)</f>
        <v>0</v>
      </c>
      <c r="AH169" s="240">
        <f>AVERAGE('WetLitterbags placem_collection'!S170,'WetLitterbags placem_collection'!U170)</f>
        <v>11.25</v>
      </c>
      <c r="AI169">
        <f>AVERAGE('WetLitterbags placem_collection'!R170,'WetLitterbags placem_collection'!T170)</f>
        <v>33.299999999999997</v>
      </c>
      <c r="AJ169">
        <f>INDEX(Coordinates!$B$2:$B$197,MATCH(G169,Coordinates!$J$2:$J$197,0))</f>
        <v>-2.2729129719999999</v>
      </c>
      <c r="AK169">
        <f>INDEX(Coordinates!$C$2:$C$197,MATCH(G169,Coordinates!$J$2:$J$197,0))</f>
        <v>34.023350039999997</v>
      </c>
      <c r="AL169" t="str">
        <f>IF(ISNUMBER(SEARCH("C", 'WetLitterbags placem_collection'!V170)),"YES","NO")</f>
        <v>YES</v>
      </c>
      <c r="AM169" t="str">
        <f>IF(ISNUMBER(SEARCH("H", 'WetLitterbags placem_collection'!V170)),"YES","NO")</f>
        <v>YES</v>
      </c>
      <c r="AN169" t="str">
        <f>IF(ISNUMBER(SEARCH("R", 'WetLitterbags placem_collection'!V170)),"YES","NO")</f>
        <v>NO</v>
      </c>
    </row>
    <row r="170" spans="1:40" ht="15" customHeight="1">
      <c r="A170" s="258" t="s">
        <v>2460</v>
      </c>
      <c r="B170" s="263">
        <f>'Dry_Litterbag Placem_Collection'!A171</f>
        <v>169</v>
      </c>
      <c r="C170" s="263" t="str">
        <f>'Dry_Litterbag Placem_Collection'!B171</f>
        <v>Handajega</v>
      </c>
      <c r="D170" s="263" t="s">
        <v>2460</v>
      </c>
      <c r="E170" s="263" t="s">
        <v>2661</v>
      </c>
      <c r="F170" s="263">
        <v>2</v>
      </c>
      <c r="G170" s="264" t="str">
        <f>'Dry_Litterbag Placem_Collection'!C171</f>
        <v>Wet_W2_T1</v>
      </c>
      <c r="H170" s="265" t="s">
        <v>2541</v>
      </c>
      <c r="I170" s="266" t="s">
        <v>1147</v>
      </c>
      <c r="J170" s="223" t="str">
        <f>'WetLitterbags placem_collection'!K171</f>
        <v>G425</v>
      </c>
      <c r="K170" s="225">
        <f>IFERROR(INDEX('Green_rooibos initial weight'!$C$5:$C$1749,MATCH(J170, 'Green_rooibos initial weight'!$A$5:$A$1749,0)),"")</f>
        <v>1.9750000000000001</v>
      </c>
      <c r="L170" s="225">
        <f>IFERROR(K170-(TBIcalc!$H$9+TBIcalc!$H$10),"")</f>
        <v>1.7252000000000001</v>
      </c>
      <c r="M170" s="391">
        <f>AVERAGE(Ashed_controlls!$K$2:$K$11)</f>
        <v>5.5147656768714146</v>
      </c>
      <c r="N170" s="225">
        <f t="shared" si="12"/>
        <v>1.6300592625426145</v>
      </c>
      <c r="O170" s="225">
        <f>IF(IFERROR(INDEX('Both teabags AfterWet'!$C$3:$C$841,MATCH(J170,'Both teabags AfterWet'!$A$3:$A$841,0)),"")="","",(IFERROR(INDEX('Both teabags AfterWet'!$C$3:$C$841,MATCH(J170,'Both teabags AfterWet'!$A$3:$A$841,0)),"")))</f>
        <v>0.65800000000000003</v>
      </c>
      <c r="P170" s="225">
        <f>IFERROR(IF(O170&gt;0,O170-(TBIcalc!$H$9),""),"")</f>
        <v>0.50740000000000007</v>
      </c>
      <c r="Q170" s="225">
        <f>IFERROR(INDEX('Ashed teabags wet'!$K$2:$K$821,MATCH(J170,'Ashed teabags wet'!$A$2:$A$821,0)),"")</f>
        <v>11.404382470119883</v>
      </c>
      <c r="R170" s="225">
        <f t="shared" si="16"/>
        <v>0.44953416334661178</v>
      </c>
      <c r="S170" s="226">
        <f>'WetLitterbags placem_collection'!E171</f>
        <v>42763</v>
      </c>
      <c r="T170" s="226">
        <f>IF('WetLitterbags placem_collection'!G171="","",'WetLitterbags placem_collection'!G171)</f>
        <v>42814</v>
      </c>
      <c r="U170" s="227">
        <f t="shared" si="13"/>
        <v>51</v>
      </c>
      <c r="V170" s="225">
        <f t="shared" si="14"/>
        <v>1.2178</v>
      </c>
      <c r="W170" s="225">
        <f t="shared" si="15"/>
        <v>1.1805250991960028</v>
      </c>
      <c r="X170">
        <f>IFERROR(INDEX(Rainfall_Wet!$O$2:$O$217,MATCH(B170, Rainfall_Wet!$A$2:$A$217,0)),"")</f>
        <v>181.383442621</v>
      </c>
      <c r="Y170" s="231">
        <v>23.96</v>
      </c>
      <c r="Z170" s="231">
        <v>4.9199999999999982</v>
      </c>
      <c r="AA170" s="231">
        <v>71.12</v>
      </c>
      <c r="AB170" s="232" t="s">
        <v>2670</v>
      </c>
      <c r="AC170" s="231">
        <v>3.30913750616067</v>
      </c>
      <c r="AD170">
        <f>IF('WetLitterbags placem_collection'!AB171="","",'WetLitterbags placem_collection'!AB171)</f>
        <v>8.1999999999999993</v>
      </c>
      <c r="AE170">
        <f>IF('WetLitterbags placem_collection'!Z171="","",'WetLitterbags placem_collection'!Z171)</f>
        <v>11.4</v>
      </c>
      <c r="AF170" s="246" t="str">
        <f>IF('WetLitterbags placem_collection'!AA171="","",'WetLitterbags placem_collection'!AA171)</f>
        <v>O</v>
      </c>
      <c r="AG170">
        <f>IF('WetLitterbags placem_collection'!AC171="","",'WetLitterbags placem_collection'!AC171)</f>
        <v>1</v>
      </c>
      <c r="AH170" s="240">
        <f>AVERAGE('WetLitterbags placem_collection'!S171,'WetLitterbags placem_collection'!U171)</f>
        <v>9.65</v>
      </c>
      <c r="AI170">
        <f>AVERAGE('WetLitterbags placem_collection'!R171,'WetLitterbags placem_collection'!T171)</f>
        <v>36.200000000000003</v>
      </c>
      <c r="AJ170">
        <f>INDEX(Coordinates!$B$2:$B$197,MATCH(G170,Coordinates!$J$2:$J$197,0))</f>
        <v>-2.2784290180000002</v>
      </c>
      <c r="AK170">
        <f>INDEX(Coordinates!$C$2:$C$197,MATCH(G170,Coordinates!$J$2:$J$197,0))</f>
        <v>34.024240030000001</v>
      </c>
      <c r="AL170" t="str">
        <f>IF(ISNUMBER(SEARCH("C", 'WetLitterbags placem_collection'!V171)),"YES","NO")</f>
        <v>NO</v>
      </c>
      <c r="AM170" t="str">
        <f>IF(ISNUMBER(SEARCH("H", 'WetLitterbags placem_collection'!V171)),"YES","NO")</f>
        <v>NO</v>
      </c>
      <c r="AN170" t="str">
        <f>IF(ISNUMBER(SEARCH("R", 'WetLitterbags placem_collection'!V171)),"YES","NO")</f>
        <v>NO</v>
      </c>
    </row>
    <row r="171" spans="1:40" ht="15" customHeight="1">
      <c r="A171" s="258" t="s">
        <v>2460</v>
      </c>
      <c r="B171" s="263">
        <f>'Dry_Litterbag Placem_Collection'!A172</f>
        <v>170</v>
      </c>
      <c r="C171" s="263" t="str">
        <f>'Dry_Litterbag Placem_Collection'!B172</f>
        <v>Handajega</v>
      </c>
      <c r="D171" s="263" t="s">
        <v>2460</v>
      </c>
      <c r="E171" s="263" t="s">
        <v>2661</v>
      </c>
      <c r="F171" s="263">
        <v>2</v>
      </c>
      <c r="G171" s="264" t="str">
        <f>'Dry_Litterbag Placem_Collection'!C172</f>
        <v>Wet_W2_T2</v>
      </c>
      <c r="H171" s="265" t="s">
        <v>2541</v>
      </c>
      <c r="I171" s="266" t="s">
        <v>1147</v>
      </c>
      <c r="J171" s="223" t="str">
        <f>'WetLitterbags placem_collection'!K172</f>
        <v>G433</v>
      </c>
      <c r="K171" s="225">
        <f>IFERROR(INDEX('Green_rooibos initial weight'!$C$5:$C$1749,MATCH(J171, 'Green_rooibos initial weight'!$A$5:$A$1749,0)),"")</f>
        <v>2.06</v>
      </c>
      <c r="L171" s="225">
        <f>IFERROR(K171-(TBIcalc!$H$9+TBIcalc!$H$10),"")</f>
        <v>1.8102</v>
      </c>
      <c r="M171" s="391">
        <f>AVERAGE(Ashed_controlls!$K$2:$K$11)</f>
        <v>5.5147656768714146</v>
      </c>
      <c r="N171" s="225">
        <f t="shared" si="12"/>
        <v>1.7103717117172736</v>
      </c>
      <c r="O171" s="225">
        <f>IF(IFERROR(INDEX('Both teabags AfterWet'!$C$3:$C$841,MATCH(J171,'Both teabags AfterWet'!$A$3:$A$841,0)),"")="","",(IFERROR(INDEX('Both teabags AfterWet'!$C$3:$C$841,MATCH(J171,'Both teabags AfterWet'!$A$3:$A$841,0)),"")))</f>
        <v>0.64800000000000002</v>
      </c>
      <c r="P171" s="225">
        <f>IFERROR(IF(O171&gt;0,O171-(TBIcalc!$H$9),""),"")</f>
        <v>0.49740000000000001</v>
      </c>
      <c r="Q171" s="225">
        <f>IFERROR(INDEX('Ashed teabags wet'!$K$2:$K$821,MATCH(J171,'Ashed teabags wet'!$A$2:$A$821,0)),"")</f>
        <v>9.4836146971203146</v>
      </c>
      <c r="R171" s="225">
        <f t="shared" si="16"/>
        <v>0.45022850049652358</v>
      </c>
      <c r="S171" s="226">
        <f>'WetLitterbags placem_collection'!E172</f>
        <v>42763</v>
      </c>
      <c r="T171" s="226">
        <f>IF('WetLitterbags placem_collection'!G172="","",'WetLitterbags placem_collection'!G172)</f>
        <v>42814</v>
      </c>
      <c r="U171" s="227">
        <f t="shared" si="13"/>
        <v>51</v>
      </c>
      <c r="V171" s="225">
        <f t="shared" si="14"/>
        <v>1.3128</v>
      </c>
      <c r="W171" s="225">
        <f t="shared" si="15"/>
        <v>1.26014321122075</v>
      </c>
      <c r="X171">
        <f>IFERROR(INDEX(Rainfall_Wet!$O$2:$O$217,MATCH(B171, Rainfall_Wet!$A$2:$A$217,0)),"")</f>
        <v>181.383442621</v>
      </c>
      <c r="Y171" s="231">
        <v>23.96</v>
      </c>
      <c r="Z171" s="231">
        <v>4.9199999999999982</v>
      </c>
      <c r="AA171" s="231">
        <v>71.12</v>
      </c>
      <c r="AB171" s="232" t="s">
        <v>2670</v>
      </c>
      <c r="AC171" s="231">
        <v>4.3091375061606696</v>
      </c>
      <c r="AD171">
        <f>IF('WetLitterbags placem_collection'!AB172="","",'WetLitterbags placem_collection'!AB172)</f>
        <v>7.7</v>
      </c>
      <c r="AE171">
        <f>IF('WetLitterbags placem_collection'!Z172="","",'WetLitterbags placem_collection'!Z172)</f>
        <v>15.8</v>
      </c>
      <c r="AF171" s="246" t="str">
        <f>IF('WetLitterbags placem_collection'!AA172="","",'WetLitterbags placem_collection'!AA172)</f>
        <v>O</v>
      </c>
      <c r="AG171">
        <f>IF('WetLitterbags placem_collection'!AC172="","",'WetLitterbags placem_collection'!AC172)</f>
        <v>1</v>
      </c>
      <c r="AH171" s="240">
        <f>AVERAGE('WetLitterbags placem_collection'!S172,'WetLitterbags placem_collection'!U172)</f>
        <v>8.1</v>
      </c>
      <c r="AI171">
        <f>AVERAGE('WetLitterbags placem_collection'!R172,'WetLitterbags placem_collection'!T172)</f>
        <v>33.599999999999994</v>
      </c>
      <c r="AJ171">
        <f>INDEX(Coordinates!$B$2:$B$197,MATCH(G171,Coordinates!$J$2:$J$197,0))</f>
        <v>-2.2784629650000001</v>
      </c>
      <c r="AK171">
        <f>INDEX(Coordinates!$C$2:$C$197,MATCH(G171,Coordinates!$J$2:$J$197,0))</f>
        <v>34.024177999999999</v>
      </c>
      <c r="AL171" t="str">
        <f>IF(ISNUMBER(SEARCH("C", 'WetLitterbags placem_collection'!V172)),"YES","NO")</f>
        <v>NO</v>
      </c>
      <c r="AM171" t="str">
        <f>IF(ISNUMBER(SEARCH("H", 'WetLitterbags placem_collection'!V172)),"YES","NO")</f>
        <v>NO</v>
      </c>
      <c r="AN171" t="str">
        <f>IF(ISNUMBER(SEARCH("R", 'WetLitterbags placem_collection'!V172)),"YES","NO")</f>
        <v>NO</v>
      </c>
    </row>
    <row r="172" spans="1:40" ht="15" customHeight="1">
      <c r="A172" s="258" t="s">
        <v>2460</v>
      </c>
      <c r="B172" s="263">
        <f>'Dry_Litterbag Placem_Collection'!A173</f>
        <v>171</v>
      </c>
      <c r="C172" s="263" t="str">
        <f>'Dry_Litterbag Placem_Collection'!B173</f>
        <v>Handajega</v>
      </c>
      <c r="D172" s="263" t="s">
        <v>2460</v>
      </c>
      <c r="E172" s="263" t="s">
        <v>2661</v>
      </c>
      <c r="F172" s="263">
        <v>2</v>
      </c>
      <c r="G172" s="264" t="str">
        <f>'Dry_Litterbag Placem_Collection'!C173</f>
        <v>Wet_W2_T3</v>
      </c>
      <c r="H172" s="265" t="s">
        <v>2541</v>
      </c>
      <c r="I172" s="266" t="s">
        <v>1147</v>
      </c>
      <c r="J172" s="223" t="str">
        <f>'WetLitterbags placem_collection'!K173</f>
        <v>G656</v>
      </c>
      <c r="K172" s="225">
        <f>IFERROR(INDEX('Green_rooibos initial weight'!$C$5:$C$1749,MATCH(J172, 'Green_rooibos initial weight'!$A$5:$A$1749,0)),"")</f>
        <v>2.1320000000000001</v>
      </c>
      <c r="L172" s="225">
        <f>IFERROR(K172-(TBIcalc!$H$9+TBIcalc!$H$10),"")</f>
        <v>1.8822000000000001</v>
      </c>
      <c r="M172" s="391">
        <f>AVERAGE(Ashed_controlls!$K$2:$K$11)</f>
        <v>5.5147656768714146</v>
      </c>
      <c r="N172" s="225">
        <f t="shared" si="12"/>
        <v>1.7784010804299264</v>
      </c>
      <c r="O172" s="225">
        <f>IF(IFERROR(INDEX('Both teabags AfterWet'!$C$3:$C$841,MATCH(J172,'Both teabags AfterWet'!$A$3:$A$841,0)),"")="","",(IFERROR(INDEX('Both teabags AfterWet'!$C$3:$C$841,MATCH(J172,'Both teabags AfterWet'!$A$3:$A$841,0)),"")))</f>
        <v>0.63100000000000001</v>
      </c>
      <c r="P172" s="225">
        <f>IFERROR(IF(O172&gt;0,O172-(TBIcalc!$H$9),""),"")</f>
        <v>0.48039999999999999</v>
      </c>
      <c r="Q172" s="225">
        <f>IFERROR(INDEX('Ashed teabags wet'!$K$2:$K$821,MATCH(J172,'Ashed teabags wet'!$A$2:$A$821,0)),"")</f>
        <v>12.283308568598626</v>
      </c>
      <c r="R172" s="225">
        <f t="shared" si="16"/>
        <v>0.42139098563645216</v>
      </c>
      <c r="S172" s="226">
        <f>'WetLitterbags placem_collection'!E173</f>
        <v>42763</v>
      </c>
      <c r="T172" s="226">
        <f>IF('WetLitterbags placem_collection'!G173="","",'WetLitterbags placem_collection'!G173)</f>
        <v>42814</v>
      </c>
      <c r="U172" s="227">
        <f t="shared" si="13"/>
        <v>51</v>
      </c>
      <c r="V172" s="225">
        <f t="shared" si="14"/>
        <v>1.4018000000000002</v>
      </c>
      <c r="W172" s="225">
        <f t="shared" si="15"/>
        <v>1.3570100947934742</v>
      </c>
      <c r="X172">
        <f>IFERROR(INDEX(Rainfall_Wet!$O$2:$O$217,MATCH(B172, Rainfall_Wet!$A$2:$A$217,0)),"")</f>
        <v>181.383442621</v>
      </c>
      <c r="Y172" s="231">
        <v>23.96</v>
      </c>
      <c r="Z172" s="231">
        <v>4.9199999999999982</v>
      </c>
      <c r="AA172" s="231">
        <v>71.12</v>
      </c>
      <c r="AB172" s="232" t="s">
        <v>2670</v>
      </c>
      <c r="AC172" s="231">
        <v>5.3091375061606696</v>
      </c>
      <c r="AD172">
        <f>IF('WetLitterbags placem_collection'!AB173="","",'WetLitterbags placem_collection'!AB173)</f>
        <v>13.4</v>
      </c>
      <c r="AE172">
        <f>IF('WetLitterbags placem_collection'!Z173="","",'WetLitterbags placem_collection'!Z173)</f>
        <v>7.6</v>
      </c>
      <c r="AF172" s="246" t="str">
        <f>IF('WetLitterbags placem_collection'!AA173="","",'WetLitterbags placem_collection'!AA173)</f>
        <v>O</v>
      </c>
      <c r="AG172">
        <f>IF('WetLitterbags placem_collection'!AC173="","",'WetLitterbags placem_collection'!AC173)</f>
        <v>1</v>
      </c>
      <c r="AH172" s="240">
        <f>AVERAGE('WetLitterbags placem_collection'!S173,'WetLitterbags placem_collection'!U173)</f>
        <v>10.5</v>
      </c>
      <c r="AI172">
        <f>AVERAGE('WetLitterbags placem_collection'!R173,'WetLitterbags placem_collection'!T173)</f>
        <v>34.15</v>
      </c>
      <c r="AJ172">
        <f>INDEX(Coordinates!$B$2:$B$197,MATCH(G172,Coordinates!$J$2:$J$197,0))</f>
        <v>-2.2785389889999998</v>
      </c>
      <c r="AK172">
        <f>INDEX(Coordinates!$C$2:$C$197,MATCH(G172,Coordinates!$J$2:$J$197,0))</f>
        <v>34.024371039999998</v>
      </c>
      <c r="AL172" t="str">
        <f>IF(ISNUMBER(SEARCH("C", 'WetLitterbags placem_collection'!V173)),"YES","NO")</f>
        <v>NO</v>
      </c>
      <c r="AM172" t="str">
        <f>IF(ISNUMBER(SEARCH("H", 'WetLitterbags placem_collection'!V173)),"YES","NO")</f>
        <v>NO</v>
      </c>
      <c r="AN172" t="str">
        <f>IF(ISNUMBER(SEARCH("R", 'WetLitterbags placem_collection'!V173)),"YES","NO")</f>
        <v>YES</v>
      </c>
    </row>
    <row r="173" spans="1:40" ht="15" customHeight="1">
      <c r="A173" s="258" t="s">
        <v>2460</v>
      </c>
      <c r="B173" s="263">
        <f>'Dry_Litterbag Placem_Collection'!A174</f>
        <v>172</v>
      </c>
      <c r="C173" s="263" t="str">
        <f>'Dry_Litterbag Placem_Collection'!B174</f>
        <v>Handajega</v>
      </c>
      <c r="D173" s="263" t="s">
        <v>2460</v>
      </c>
      <c r="E173" s="263" t="s">
        <v>2661</v>
      </c>
      <c r="F173" s="263">
        <v>2</v>
      </c>
      <c r="G173" s="264" t="str">
        <f>'Dry_Litterbag Placem_Collection'!C174</f>
        <v>Wet_W2_T4</v>
      </c>
      <c r="H173" s="265" t="s">
        <v>2541</v>
      </c>
      <c r="I173" s="266" t="s">
        <v>1147</v>
      </c>
      <c r="J173" s="223" t="str">
        <f>'WetLitterbags placem_collection'!K174</f>
        <v>G281</v>
      </c>
      <c r="K173" s="225">
        <f>IFERROR(INDEX('Green_rooibos initial weight'!$C$5:$C$1749,MATCH(J173, 'Green_rooibos initial weight'!$A$5:$A$1749,0)),"")</f>
        <v>2.0419999999999998</v>
      </c>
      <c r="L173" s="225">
        <f>IFERROR(K173-(TBIcalc!$H$9+TBIcalc!$H$10),"")</f>
        <v>1.7921999999999998</v>
      </c>
      <c r="M173" s="391">
        <f>AVERAGE(Ashed_controlls!$K$2:$K$11)</f>
        <v>5.5147656768714146</v>
      </c>
      <c r="N173" s="225">
        <f t="shared" si="12"/>
        <v>1.6933643695391103</v>
      </c>
      <c r="O173" s="225">
        <f>IF(IFERROR(INDEX('Both teabags AfterWet'!$C$3:$C$841,MATCH(J173,'Both teabags AfterWet'!$A$3:$A$841,0)),"")="","",(IFERROR(INDEX('Both teabags AfterWet'!$C$3:$C$841,MATCH(J173,'Both teabags AfterWet'!$A$3:$A$841,0)),"")))</f>
        <v>0.69520000000000004</v>
      </c>
      <c r="P173" s="225">
        <f>IFERROR(IF(O173&gt;0,O173-(TBIcalc!$H$9),""),"")</f>
        <v>0.54459999999999997</v>
      </c>
      <c r="Q173" s="225">
        <f>IFERROR(INDEX('Ashed teabags wet'!$K$2:$K$821,MATCH(J173,'Ashed teabags wet'!$A$2:$A$821,0)),"")</f>
        <v>8.6181277860327441</v>
      </c>
      <c r="R173" s="225">
        <f t="shared" si="16"/>
        <v>0.49766567607726564</v>
      </c>
      <c r="S173" s="226">
        <f>'WetLitterbags placem_collection'!E174</f>
        <v>42763</v>
      </c>
      <c r="T173" s="226">
        <f>IF('WetLitterbags placem_collection'!G174="","",'WetLitterbags placem_collection'!G174)</f>
        <v>42814</v>
      </c>
      <c r="U173" s="227">
        <f t="shared" si="13"/>
        <v>51</v>
      </c>
      <c r="V173" s="225">
        <f t="shared" si="14"/>
        <v>1.2475999999999998</v>
      </c>
      <c r="W173" s="225">
        <f t="shared" si="15"/>
        <v>1.1956986934618445</v>
      </c>
      <c r="X173">
        <f>IFERROR(INDEX(Rainfall_Wet!$O$2:$O$217,MATCH(B173, Rainfall_Wet!$A$2:$A$217,0)),"")</f>
        <v>181.383442621</v>
      </c>
      <c r="Y173" s="231">
        <v>23.96</v>
      </c>
      <c r="Z173" s="231">
        <v>4.9199999999999982</v>
      </c>
      <c r="AA173" s="231">
        <v>71.12</v>
      </c>
      <c r="AB173" s="232" t="s">
        <v>2670</v>
      </c>
      <c r="AC173" s="231">
        <v>6.3091375061606696</v>
      </c>
      <c r="AD173">
        <f>IF('WetLitterbags placem_collection'!AB174="","",'WetLitterbags placem_collection'!AB174)</f>
        <v>3.3</v>
      </c>
      <c r="AE173">
        <f>IF('WetLitterbags placem_collection'!Z174="","",'WetLitterbags placem_collection'!Z174)</f>
        <v>28.4</v>
      </c>
      <c r="AF173" s="246" t="str">
        <f>IF('WetLitterbags placem_collection'!AA174="","",'WetLitterbags placem_collection'!AA174)</f>
        <v>G</v>
      </c>
      <c r="AG173">
        <f>IF('WetLitterbags placem_collection'!AC174="","",'WetLitterbags placem_collection'!AC174)</f>
        <v>1</v>
      </c>
      <c r="AH173" s="240">
        <f>AVERAGE('WetLitterbags placem_collection'!S174,'WetLitterbags placem_collection'!U174)</f>
        <v>9.6499999999999986</v>
      </c>
      <c r="AI173">
        <f>AVERAGE('WetLitterbags placem_collection'!R174,'WetLitterbags placem_collection'!T174)</f>
        <v>35.1</v>
      </c>
      <c r="AJ173">
        <f>INDEX(Coordinates!$B$2:$B$197,MATCH(G173,Coordinates!$J$2:$J$197,0))</f>
        <v>-2.2781410160000002</v>
      </c>
      <c r="AK173">
        <f>INDEX(Coordinates!$C$2:$C$197,MATCH(G173,Coordinates!$J$2:$J$197,0))</f>
        <v>34.024136009999999</v>
      </c>
      <c r="AL173" t="str">
        <f>IF(ISNUMBER(SEARCH("C", 'WetLitterbags placem_collection'!V174)),"YES","NO")</f>
        <v>NO</v>
      </c>
      <c r="AM173" t="str">
        <f>IF(ISNUMBER(SEARCH("H", 'WetLitterbags placem_collection'!V174)),"YES","NO")</f>
        <v>NO</v>
      </c>
      <c r="AN173" t="str">
        <f>IF(ISNUMBER(SEARCH("R", 'WetLitterbags placem_collection'!V174)),"YES","NO")</f>
        <v>YES</v>
      </c>
    </row>
    <row r="174" spans="1:40" ht="15" customHeight="1">
      <c r="A174" s="258" t="s">
        <v>2460</v>
      </c>
      <c r="B174" s="263">
        <f>'Dry_Litterbag Placem_Collection'!A175</f>
        <v>173</v>
      </c>
      <c r="C174" s="263" t="str">
        <f>'Dry_Litterbag Placem_Collection'!B175</f>
        <v>Handajega</v>
      </c>
      <c r="D174" s="263" t="s">
        <v>2460</v>
      </c>
      <c r="E174" s="263" t="s">
        <v>2661</v>
      </c>
      <c r="F174" s="263">
        <v>2</v>
      </c>
      <c r="G174" s="264" t="str">
        <f>'Dry_Litterbag Placem_Collection'!C175</f>
        <v>Wet_W2_T5</v>
      </c>
      <c r="H174" s="265" t="s">
        <v>2541</v>
      </c>
      <c r="I174" s="266" t="s">
        <v>1147</v>
      </c>
      <c r="J174" s="223" t="str">
        <f>'WetLitterbags placem_collection'!K175</f>
        <v>G216</v>
      </c>
      <c r="K174" s="225">
        <f>IFERROR(INDEX('Green_rooibos initial weight'!$C$5:$C$1749,MATCH(J174, 'Green_rooibos initial weight'!$A$5:$A$1749,0)),"")</f>
        <v>2.1150000000000002</v>
      </c>
      <c r="L174" s="225">
        <f>IFERROR(K174-(TBIcalc!$H$9+TBIcalc!$H$10),"")</f>
        <v>1.8652000000000002</v>
      </c>
      <c r="M174" s="391">
        <f>AVERAGE(Ashed_controlls!$K$2:$K$11)</f>
        <v>5.5147656768714146</v>
      </c>
      <c r="N174" s="225">
        <f t="shared" si="12"/>
        <v>1.7623385905949946</v>
      </c>
      <c r="O174" s="225">
        <f>IF(IFERROR(INDEX('Both teabags AfterWet'!$C$3:$C$841,MATCH(J174,'Both teabags AfterWet'!$A$3:$A$841,0)),"")="","",(IFERROR(INDEX('Both teabags AfterWet'!$C$3:$C$841,MATCH(J174,'Both teabags AfterWet'!$A$3:$A$841,0)),"")))</f>
        <v>0.57999999999999996</v>
      </c>
      <c r="P174" s="225">
        <f>IFERROR(IF(O174&gt;0,O174-(TBIcalc!$H$9),""),"")</f>
        <v>0.42939999999999995</v>
      </c>
      <c r="Q174" s="225">
        <f>IFERROR(INDEX('Ashed teabags wet'!$K$2:$K$821,MATCH(J174,'Ashed teabags wet'!$A$2:$A$821,0)),"")</f>
        <v>9.4980314960627936</v>
      </c>
      <c r="R174" s="225">
        <f t="shared" si="16"/>
        <v>0.38861545275590631</v>
      </c>
      <c r="S174" s="226">
        <f>'WetLitterbags placem_collection'!E175</f>
        <v>42763</v>
      </c>
      <c r="T174" s="226">
        <f>IF('WetLitterbags placem_collection'!G175="","",'WetLitterbags placem_collection'!G175)</f>
        <v>42814</v>
      </c>
      <c r="U174" s="227">
        <f t="shared" si="13"/>
        <v>51</v>
      </c>
      <c r="V174" s="225">
        <f t="shared" si="14"/>
        <v>1.4358000000000002</v>
      </c>
      <c r="W174" s="225">
        <f t="shared" si="15"/>
        <v>1.3737231378390884</v>
      </c>
      <c r="X174">
        <f>IFERROR(INDEX(Rainfall_Wet!$O$2:$O$217,MATCH(B174, Rainfall_Wet!$A$2:$A$217,0)),"")</f>
        <v>181.383442621</v>
      </c>
      <c r="Y174" s="231">
        <v>23.96</v>
      </c>
      <c r="Z174" s="231">
        <v>4.9199999999999982</v>
      </c>
      <c r="AA174" s="231">
        <v>71.12</v>
      </c>
      <c r="AB174" s="232" t="s">
        <v>2670</v>
      </c>
      <c r="AC174" s="231">
        <v>7.3091375061606696</v>
      </c>
      <c r="AD174">
        <f>IF('WetLitterbags placem_collection'!AB175="","",'WetLitterbags placem_collection'!AB175)</f>
        <v>15.4</v>
      </c>
      <c r="AE174">
        <f>IF('WetLitterbags placem_collection'!Z175="","",'WetLitterbags placem_collection'!Z175)</f>
        <v>12.4</v>
      </c>
      <c r="AF174" s="246" t="str">
        <f>IF('WetLitterbags placem_collection'!AA175="","",'WetLitterbags placem_collection'!AA175)</f>
        <v>O</v>
      </c>
      <c r="AG174">
        <f>IF('WetLitterbags placem_collection'!AC175="","",'WetLitterbags placem_collection'!AC175)</f>
        <v>0</v>
      </c>
      <c r="AH174" s="240">
        <f>AVERAGE('WetLitterbags placem_collection'!S175,'WetLitterbags placem_collection'!U175)</f>
        <v>10.450000000000001</v>
      </c>
      <c r="AI174">
        <f>AVERAGE('WetLitterbags placem_collection'!R175,'WetLitterbags placem_collection'!T175)</f>
        <v>36.349999999999994</v>
      </c>
      <c r="AJ174">
        <f>INDEX(Coordinates!$B$2:$B$197,MATCH(G174,Coordinates!$J$2:$J$197,0))</f>
        <v>-2.27856799</v>
      </c>
      <c r="AK174">
        <f>INDEX(Coordinates!$C$2:$C$197,MATCH(G174,Coordinates!$J$2:$J$197,0))</f>
        <v>34.023969970000003</v>
      </c>
      <c r="AL174" t="str">
        <f>IF(ISNUMBER(SEARCH("C", 'WetLitterbags placem_collection'!V175)),"YES","NO")</f>
        <v>NO</v>
      </c>
      <c r="AM174" t="str">
        <f>IF(ISNUMBER(SEARCH("H", 'WetLitterbags placem_collection'!V175)),"YES","NO")</f>
        <v>NO</v>
      </c>
      <c r="AN174" t="str">
        <f>IF(ISNUMBER(SEARCH("R", 'WetLitterbags placem_collection'!V175)),"YES","NO")</f>
        <v>YES</v>
      </c>
    </row>
    <row r="175" spans="1:40" ht="15" customHeight="1">
      <c r="A175" s="258" t="s">
        <v>2460</v>
      </c>
      <c r="B175" s="263">
        <f>'Dry_Litterbag Placem_Collection'!A176</f>
        <v>174</v>
      </c>
      <c r="C175" s="263" t="str">
        <f>'Dry_Litterbag Placem_Collection'!B176</f>
        <v>Handajega</v>
      </c>
      <c r="D175" s="263" t="s">
        <v>2460</v>
      </c>
      <c r="E175" s="263" t="s">
        <v>2661</v>
      </c>
      <c r="F175" s="263">
        <v>2</v>
      </c>
      <c r="G175" s="264" t="str">
        <f>'Dry_Litterbag Placem_Collection'!C176</f>
        <v>Wet_W2_T6</v>
      </c>
      <c r="H175" s="265" t="s">
        <v>2541</v>
      </c>
      <c r="I175" s="266" t="s">
        <v>1147</v>
      </c>
      <c r="J175" s="223" t="str">
        <f>'WetLitterbags placem_collection'!K176</f>
        <v>G655</v>
      </c>
      <c r="K175" s="225">
        <f>IFERROR(INDEX('Green_rooibos initial weight'!$C$5:$C$1749,MATCH(J175, 'Green_rooibos initial weight'!$A$5:$A$1749,0)),"")</f>
        <v>2.0009999999999999</v>
      </c>
      <c r="L175" s="225">
        <f>IFERROR(K175-(TBIcalc!$H$9+TBIcalc!$H$10),"")</f>
        <v>1.7511999999999999</v>
      </c>
      <c r="M175" s="391">
        <f>AVERAGE(Ashed_controlls!$K$2:$K$11)</f>
        <v>5.5147656768714146</v>
      </c>
      <c r="N175" s="225">
        <f t="shared" si="12"/>
        <v>1.6546254234666278</v>
      </c>
      <c r="O175" s="225">
        <f>IF(IFERROR(INDEX('Both teabags AfterWet'!$C$3:$C$841,MATCH(J175,'Both teabags AfterWet'!$A$3:$A$841,0)),"")="","",(IFERROR(INDEX('Both teabags AfterWet'!$C$3:$C$841,MATCH(J175,'Both teabags AfterWet'!$A$3:$A$841,0)),"")))</f>
        <v>0.68300000000000005</v>
      </c>
      <c r="P175" s="225">
        <f>IFERROR(IF(O175&gt;0,O175-(TBIcalc!$H$9),""),"")</f>
        <v>0.53239999999999998</v>
      </c>
      <c r="Q175" s="225">
        <f>IFERROR(INDEX('Ashed teabags wet'!$K$2:$K$821,MATCH(J175,'Ashed teabags wet'!$A$2:$A$821,0)),"")</f>
        <v>7.6961026147010658</v>
      </c>
      <c r="R175" s="225">
        <f t="shared" si="16"/>
        <v>0.49142594967933151</v>
      </c>
      <c r="S175" s="226">
        <f>'WetLitterbags placem_collection'!E176</f>
        <v>42763</v>
      </c>
      <c r="T175" s="226">
        <f>IF('WetLitterbags placem_collection'!G176="","",'WetLitterbags placem_collection'!G176)</f>
        <v>42814</v>
      </c>
      <c r="U175" s="227">
        <f t="shared" si="13"/>
        <v>51</v>
      </c>
      <c r="V175" s="225">
        <f t="shared" si="14"/>
        <v>1.2187999999999999</v>
      </c>
      <c r="W175" s="225">
        <f t="shared" si="15"/>
        <v>1.1631994737872962</v>
      </c>
      <c r="X175">
        <f>IFERROR(INDEX(Rainfall_Wet!$O$2:$O$217,MATCH(B175, Rainfall_Wet!$A$2:$A$217,0)),"")</f>
        <v>181.383442621</v>
      </c>
      <c r="Y175" s="231">
        <v>23.96</v>
      </c>
      <c r="Z175" s="231">
        <v>4.9199999999999982</v>
      </c>
      <c r="AA175" s="231">
        <v>71.12</v>
      </c>
      <c r="AB175" s="232" t="s">
        <v>2670</v>
      </c>
      <c r="AC175" s="231">
        <v>8.3091375061606705</v>
      </c>
      <c r="AD175">
        <f>IF('WetLitterbags placem_collection'!AB176="","",'WetLitterbags placem_collection'!AB176)</f>
        <v>7.4</v>
      </c>
      <c r="AE175">
        <f>IF('WetLitterbags placem_collection'!Z176="","",'WetLitterbags placem_collection'!Z176)</f>
        <v>7.4</v>
      </c>
      <c r="AF175" s="246" t="str">
        <f>IF('WetLitterbags placem_collection'!AA176="","",'WetLitterbags placem_collection'!AA176)</f>
        <v>O</v>
      </c>
      <c r="AG175">
        <f>IF('WetLitterbags placem_collection'!AC176="","",'WetLitterbags placem_collection'!AC176)</f>
        <v>0</v>
      </c>
      <c r="AH175" s="240">
        <f>AVERAGE('WetLitterbags placem_collection'!S176,'WetLitterbags placem_collection'!U176)</f>
        <v>17.75</v>
      </c>
      <c r="AI175">
        <f>AVERAGE('WetLitterbags placem_collection'!R176,'WetLitterbags placem_collection'!T176)</f>
        <v>34.85</v>
      </c>
      <c r="AJ175">
        <f>INDEX(Coordinates!$B$2:$B$197,MATCH(G175,Coordinates!$J$2:$J$197,0))</f>
        <v>-2.2786809780000001</v>
      </c>
      <c r="AK175">
        <f>INDEX(Coordinates!$C$2:$C$197,MATCH(G175,Coordinates!$J$2:$J$197,0))</f>
        <v>34.02434899</v>
      </c>
      <c r="AL175" t="str">
        <f>IF(ISNUMBER(SEARCH("C", 'WetLitterbags placem_collection'!V176)),"YES","NO")</f>
        <v>NO</v>
      </c>
      <c r="AM175" t="str">
        <f>IF(ISNUMBER(SEARCH("H", 'WetLitterbags placem_collection'!V176)),"YES","NO")</f>
        <v>NO</v>
      </c>
      <c r="AN175" t="str">
        <f>IF(ISNUMBER(SEARCH("R", 'WetLitterbags placem_collection'!V176)),"YES","NO")</f>
        <v>YES</v>
      </c>
    </row>
    <row r="176" spans="1:40" ht="15" customHeight="1">
      <c r="A176" s="258" t="s">
        <v>2460</v>
      </c>
      <c r="B176" s="263">
        <f>'Dry_Litterbag Placem_Collection'!A177</f>
        <v>175</v>
      </c>
      <c r="C176" s="263" t="str">
        <f>'Dry_Litterbag Placem_Collection'!B177</f>
        <v>Handajega</v>
      </c>
      <c r="D176" s="263" t="s">
        <v>2460</v>
      </c>
      <c r="E176" s="263" t="s">
        <v>2661</v>
      </c>
      <c r="F176" s="263">
        <v>2</v>
      </c>
      <c r="G176" s="264" t="str">
        <f>'Dry_Litterbag Placem_Collection'!C177</f>
        <v>Wet_W2_T7</v>
      </c>
      <c r="H176" s="265" t="s">
        <v>2541</v>
      </c>
      <c r="I176" s="266" t="s">
        <v>1147</v>
      </c>
      <c r="J176" s="223" t="str">
        <f>'WetLitterbags placem_collection'!K177</f>
        <v>G457</v>
      </c>
      <c r="K176" s="225">
        <f>IFERROR(INDEX('Green_rooibos initial weight'!$C$5:$C$1749,MATCH(J176, 'Green_rooibos initial weight'!$A$5:$A$1749,0)),"")</f>
        <v>2.1579999999999999</v>
      </c>
      <c r="L176" s="225">
        <f>IFERROR(K176-(TBIcalc!$H$9+TBIcalc!$H$10),"")</f>
        <v>1.9081999999999999</v>
      </c>
      <c r="M176" s="391">
        <f>AVERAGE(Ashed_controlls!$K$2:$K$11)</f>
        <v>5.5147656768714146</v>
      </c>
      <c r="N176" s="225">
        <f t="shared" si="12"/>
        <v>1.8029672413539395</v>
      </c>
      <c r="O176" s="225">
        <f>IF(IFERROR(INDEX('Both teabags AfterWet'!$C$3:$C$841,MATCH(J176,'Both teabags AfterWet'!$A$3:$A$841,0)),"")="","",(IFERROR(INDEX('Both teabags AfterWet'!$C$3:$C$841,MATCH(J176,'Both teabags AfterWet'!$A$3:$A$841,0)),"")))</f>
        <v>0.68200000000000005</v>
      </c>
      <c r="P176" s="225">
        <f>IFERROR(IF(O176&gt;0,O176-(TBIcalc!$H$9),""),"")</f>
        <v>0.53140000000000009</v>
      </c>
      <c r="Q176" s="225">
        <f>IFERROR(INDEX('Ashed teabags wet'!$K$2:$K$821,MATCH(J176,'Ashed teabags wet'!$A$2:$A$821,0)),"")</f>
        <v>9.6918489065609759</v>
      </c>
      <c r="R176" s="225">
        <f t="shared" si="16"/>
        <v>0.47989751491053506</v>
      </c>
      <c r="S176" s="226">
        <f>'WetLitterbags placem_collection'!E177</f>
        <v>42763</v>
      </c>
      <c r="T176" s="226">
        <f>IF('WetLitterbags placem_collection'!G177="","",'WetLitterbags placem_collection'!G177)</f>
        <v>42814</v>
      </c>
      <c r="U176" s="227">
        <f t="shared" si="13"/>
        <v>51</v>
      </c>
      <c r="V176" s="225">
        <f t="shared" si="14"/>
        <v>1.3767999999999998</v>
      </c>
      <c r="W176" s="225">
        <f t="shared" si="15"/>
        <v>1.3230697264434044</v>
      </c>
      <c r="X176">
        <f>IFERROR(INDEX(Rainfall_Wet!$O$2:$O$217,MATCH(B176, Rainfall_Wet!$A$2:$A$217,0)),"")</f>
        <v>181.383442621</v>
      </c>
      <c r="Y176" s="231">
        <v>23.96</v>
      </c>
      <c r="Z176" s="231">
        <v>4.9199999999999982</v>
      </c>
      <c r="AA176" s="231">
        <v>71.12</v>
      </c>
      <c r="AB176" s="232" t="s">
        <v>2670</v>
      </c>
      <c r="AC176" s="231">
        <v>9.3091375061606705</v>
      </c>
      <c r="AD176">
        <f>IF('WetLitterbags placem_collection'!AB177="","",'WetLitterbags placem_collection'!AB177)</f>
        <v>15.4</v>
      </c>
      <c r="AE176">
        <f>IF('WetLitterbags placem_collection'!Z177="","",'WetLitterbags placem_collection'!Z177)</f>
        <v>9.8000000000000007</v>
      </c>
      <c r="AF176" s="246" t="str">
        <f>IF('WetLitterbags placem_collection'!AA177="","",'WetLitterbags placem_collection'!AA177)</f>
        <v>O</v>
      </c>
      <c r="AG176">
        <f>IF('WetLitterbags placem_collection'!AC177="","",'WetLitterbags placem_collection'!AC177)</f>
        <v>1</v>
      </c>
      <c r="AH176" s="240">
        <f>AVERAGE('WetLitterbags placem_collection'!S177,'WetLitterbags placem_collection'!U177)</f>
        <v>11.55</v>
      </c>
      <c r="AI176">
        <f>AVERAGE('WetLitterbags placem_collection'!R177,'WetLitterbags placem_collection'!T177)</f>
        <v>36.25</v>
      </c>
      <c r="AJ176">
        <f>INDEX(Coordinates!$B$2:$B$197,MATCH(G176,Coordinates!$J$2:$J$197,0))</f>
        <v>-2.2784219779999999</v>
      </c>
      <c r="AK176">
        <f>INDEX(Coordinates!$C$2:$C$197,MATCH(G176,Coordinates!$J$2:$J$197,0))</f>
        <v>34.024374979999997</v>
      </c>
      <c r="AL176" t="str">
        <f>IF(ISNUMBER(SEARCH("C", 'WetLitterbags placem_collection'!V177)),"YES","NO")</f>
        <v>NO</v>
      </c>
      <c r="AM176" t="str">
        <f>IF(ISNUMBER(SEARCH("H", 'WetLitterbags placem_collection'!V177)),"YES","NO")</f>
        <v>NO</v>
      </c>
      <c r="AN176" t="str">
        <f>IF(ISNUMBER(SEARCH("R", 'WetLitterbags placem_collection'!V177)),"YES","NO")</f>
        <v>NO</v>
      </c>
    </row>
    <row r="177" spans="1:40" ht="15" customHeight="1">
      <c r="A177" s="258" t="s">
        <v>2460</v>
      </c>
      <c r="B177" s="263">
        <f>'Dry_Litterbag Placem_Collection'!A178</f>
        <v>176</v>
      </c>
      <c r="C177" s="263" t="str">
        <f>'Dry_Litterbag Placem_Collection'!B178</f>
        <v>Handajega</v>
      </c>
      <c r="D177" s="263" t="s">
        <v>2460</v>
      </c>
      <c r="E177" s="263" t="s">
        <v>2661</v>
      </c>
      <c r="F177" s="263">
        <v>2</v>
      </c>
      <c r="G177" s="264" t="str">
        <f>'Dry_Litterbag Placem_Collection'!C178</f>
        <v>Wet_W2_T8</v>
      </c>
      <c r="H177" s="265" t="s">
        <v>2541</v>
      </c>
      <c r="I177" s="266" t="s">
        <v>1147</v>
      </c>
      <c r="J177" s="223" t="str">
        <f>'WetLitterbags placem_collection'!K178</f>
        <v>G454</v>
      </c>
      <c r="K177" s="225">
        <f>IFERROR(INDEX('Green_rooibos initial weight'!$C$5:$C$1749,MATCH(J177, 'Green_rooibos initial weight'!$A$5:$A$1749,0)),"")</f>
        <v>2.0920000000000001</v>
      </c>
      <c r="L177" s="225">
        <f>IFERROR(K177-(TBIcalc!$H$9+TBIcalc!$H$10),"")</f>
        <v>1.8422000000000001</v>
      </c>
      <c r="M177" s="391">
        <f>AVERAGE(Ashed_controlls!$K$2:$K$11)</f>
        <v>5.5147656768714146</v>
      </c>
      <c r="N177" s="225">
        <f t="shared" si="12"/>
        <v>1.7406069867006748</v>
      </c>
      <c r="O177" s="225">
        <f>IF(IFERROR(INDEX('Both teabags AfterWet'!$C$3:$C$841,MATCH(J177,'Both teabags AfterWet'!$A$3:$A$841,0)),"")="","",(IFERROR(INDEX('Both teabags AfterWet'!$C$3:$C$841,MATCH(J177,'Both teabags AfterWet'!$A$3:$A$841,0)),"")))</f>
        <v>0.63900000000000001</v>
      </c>
      <c r="P177" s="225">
        <f>IFERROR(IF(O177&gt;0,O177-(TBIcalc!$H$9),""),"")</f>
        <v>0.4884</v>
      </c>
      <c r="Q177" s="225">
        <f>IFERROR(INDEX('Ashed teabags wet'!$K$2:$K$821,MATCH(J177,'Ashed teabags wet'!$A$2:$A$821,0)),"")</f>
        <v>10.539215686274888</v>
      </c>
      <c r="R177" s="225">
        <f t="shared" si="16"/>
        <v>0.43692647058823342</v>
      </c>
      <c r="S177" s="226">
        <f>'WetLitterbags placem_collection'!E178</f>
        <v>42763</v>
      </c>
      <c r="T177" s="226">
        <f>IF('WetLitterbags placem_collection'!G178="","",'WetLitterbags placem_collection'!G178)</f>
        <v>42814</v>
      </c>
      <c r="U177" s="227">
        <f t="shared" si="13"/>
        <v>51</v>
      </c>
      <c r="V177" s="225">
        <f t="shared" si="14"/>
        <v>1.3538000000000001</v>
      </c>
      <c r="W177" s="225">
        <f t="shared" si="15"/>
        <v>1.3036805161124414</v>
      </c>
      <c r="X177">
        <f>IFERROR(INDEX(Rainfall_Wet!$O$2:$O$217,MATCH(B177, Rainfall_Wet!$A$2:$A$217,0)),"")</f>
        <v>181.383442621</v>
      </c>
      <c r="Y177" s="231">
        <v>23.96</v>
      </c>
      <c r="Z177" s="231">
        <v>4.9199999999999982</v>
      </c>
      <c r="AA177" s="231">
        <v>71.12</v>
      </c>
      <c r="AB177" s="232" t="s">
        <v>2670</v>
      </c>
      <c r="AC177" s="231">
        <v>10.309137506160701</v>
      </c>
      <c r="AD177">
        <f>IF('WetLitterbags placem_collection'!AB178="","",'WetLitterbags placem_collection'!AB178)</f>
        <v>6.8</v>
      </c>
      <c r="AE177">
        <f>IF('WetLitterbags placem_collection'!Z178="","",'WetLitterbags placem_collection'!Z178)</f>
        <v>6.9</v>
      </c>
      <c r="AF177" s="246" t="str">
        <f>IF('WetLitterbags placem_collection'!AA178="","",'WetLitterbags placem_collection'!AA178)</f>
        <v>O</v>
      </c>
      <c r="AG177">
        <f>IF('WetLitterbags placem_collection'!AC178="","",'WetLitterbags placem_collection'!AC178)</f>
        <v>0</v>
      </c>
      <c r="AH177" s="240">
        <f>AVERAGE('WetLitterbags placem_collection'!S178,'WetLitterbags placem_collection'!U178)</f>
        <v>11.4</v>
      </c>
      <c r="AI177">
        <f>AVERAGE('WetLitterbags placem_collection'!R178,'WetLitterbags placem_collection'!T178)</f>
        <v>34.15</v>
      </c>
      <c r="AJ177">
        <f>INDEX(Coordinates!$B$2:$B$197,MATCH(G177,Coordinates!$J$2:$J$197,0))</f>
        <v>-2.2782909679999999</v>
      </c>
      <c r="AK177">
        <f>INDEX(Coordinates!$C$2:$C$197,MATCH(G177,Coordinates!$J$2:$J$197,0))</f>
        <v>34.024574970000003</v>
      </c>
      <c r="AL177" t="str">
        <f>IF(ISNUMBER(SEARCH("C", 'WetLitterbags placem_collection'!V178)),"YES","NO")</f>
        <v>NO</v>
      </c>
      <c r="AM177" t="str">
        <f>IF(ISNUMBER(SEARCH("H", 'WetLitterbags placem_collection'!V178)),"YES","NO")</f>
        <v>NO</v>
      </c>
      <c r="AN177" t="str">
        <f>IF(ISNUMBER(SEARCH("R", 'WetLitterbags placem_collection'!V178)),"YES","NO")</f>
        <v>NO</v>
      </c>
    </row>
    <row r="178" spans="1:40" ht="15" customHeight="1">
      <c r="A178" s="258" t="s">
        <v>2460</v>
      </c>
      <c r="B178" s="263">
        <f>'Dry_Litterbag Placem_Collection'!A179</f>
        <v>177</v>
      </c>
      <c r="C178" s="263" t="str">
        <f>'Dry_Litterbag Placem_Collection'!B179</f>
        <v>Handajega</v>
      </c>
      <c r="D178" s="263" t="s">
        <v>2460</v>
      </c>
      <c r="E178" s="263" t="s">
        <v>2661</v>
      </c>
      <c r="F178" s="263">
        <v>3</v>
      </c>
      <c r="G178" s="264" t="str">
        <f>'Dry_Litterbag Placem_Collection'!C179</f>
        <v>Wet_W3_T1</v>
      </c>
      <c r="H178" s="265" t="s">
        <v>2541</v>
      </c>
      <c r="I178" s="266" t="s">
        <v>1147</v>
      </c>
      <c r="J178" s="223" t="str">
        <f>'WetLitterbags placem_collection'!K179</f>
        <v>G362</v>
      </c>
      <c r="K178" s="225">
        <f>IFERROR(INDEX('Green_rooibos initial weight'!$C$5:$C$1749,MATCH(J178, 'Green_rooibos initial weight'!$A$5:$A$1749,0)),"")</f>
        <v>2.0659999999999998</v>
      </c>
      <c r="L178" s="225">
        <f>IFERROR(K178-(TBIcalc!$H$9+TBIcalc!$H$10),"")</f>
        <v>1.8161999999999998</v>
      </c>
      <c r="M178" s="391">
        <f>AVERAGE(Ashed_controlls!$K$2:$K$11)</f>
        <v>5.5147656768714146</v>
      </c>
      <c r="N178" s="225">
        <f t="shared" si="12"/>
        <v>1.7160408257766613</v>
      </c>
      <c r="O178" s="225">
        <f>IF(IFERROR(INDEX('Both teabags AfterWet'!$C$3:$C$841,MATCH(J178,'Both teabags AfterWet'!$A$3:$A$841,0)),"")="","",(IFERROR(INDEX('Both teabags AfterWet'!$C$3:$C$841,MATCH(J178,'Both teabags AfterWet'!$A$3:$A$841,0)),"")))</f>
        <v>0.61299999999999999</v>
      </c>
      <c r="P178" s="225">
        <f>IFERROR(IF(O178&gt;0,O178-(TBIcalc!$H$9),""),"")</f>
        <v>0.46239999999999998</v>
      </c>
      <c r="Q178" s="225">
        <f>IFERROR(INDEX('Ashed teabags wet'!$K$2:$K$821,MATCH(J178,'Ashed teabags wet'!$A$2:$A$821,0)),"")</f>
        <v>9.1395235780264326</v>
      </c>
      <c r="R178" s="225">
        <f t="shared" si="16"/>
        <v>0.42013884297520576</v>
      </c>
      <c r="S178" s="226">
        <f>'WetLitterbags placem_collection'!E179</f>
        <v>42763</v>
      </c>
      <c r="T178" s="226">
        <f>IF('WetLitterbags placem_collection'!G179="","",'WetLitterbags placem_collection'!G179)</f>
        <v>42815</v>
      </c>
      <c r="U178" s="227">
        <f t="shared" si="13"/>
        <v>52</v>
      </c>
      <c r="V178" s="225">
        <f t="shared" si="14"/>
        <v>1.3537999999999999</v>
      </c>
      <c r="W178" s="225">
        <f t="shared" si="15"/>
        <v>1.2959019828014555</v>
      </c>
      <c r="X178">
        <f>IFERROR(INDEX(Rainfall_Wet!$O$2:$O$217,MATCH(B178, Rainfall_Wet!$A$2:$A$217,0)),"")</f>
        <v>188.24043152799999</v>
      </c>
      <c r="Y178" s="231">
        <v>25.96</v>
      </c>
      <c r="Z178" s="231">
        <v>8.9200000000000017</v>
      </c>
      <c r="AA178" s="231">
        <v>65.12</v>
      </c>
      <c r="AB178" s="232" t="s">
        <v>2670</v>
      </c>
      <c r="AC178" s="231">
        <v>1.614588467225234</v>
      </c>
      <c r="AD178">
        <f>IF('WetLitterbags placem_collection'!AB179="","",'WetLitterbags placem_collection'!AB179)</f>
        <v>17.8</v>
      </c>
      <c r="AE178">
        <f>IF('WetLitterbags placem_collection'!Z179="","",'WetLitterbags placem_collection'!Z179)</f>
        <v>25.8</v>
      </c>
      <c r="AF178" s="246" t="str">
        <f>IF('WetLitterbags placem_collection'!AA179="","",'WetLitterbags placem_collection'!AA179)</f>
        <v>O</v>
      </c>
      <c r="AG178">
        <f>IF('WetLitterbags placem_collection'!AC179="","",'WetLitterbags placem_collection'!AC179)</f>
        <v>0</v>
      </c>
      <c r="AH178" s="240">
        <f>AVERAGE('WetLitterbags placem_collection'!S179,'WetLitterbags placem_collection'!U179)</f>
        <v>19.200000000000003</v>
      </c>
      <c r="AI178">
        <f>AVERAGE('WetLitterbags placem_collection'!R179,'WetLitterbags placem_collection'!T179)</f>
        <v>32.1</v>
      </c>
      <c r="AJ178">
        <f>INDEX(Coordinates!$B$2:$B$197,MATCH(G178,Coordinates!$J$2:$J$197,0))</f>
        <v>-2.277740026</v>
      </c>
      <c r="AK178">
        <f>INDEX(Coordinates!$C$2:$C$197,MATCH(G178,Coordinates!$J$2:$J$197,0))</f>
        <v>34.027640990000002</v>
      </c>
      <c r="AL178" t="str">
        <f>IF(ISNUMBER(SEARCH("C", 'WetLitterbags placem_collection'!V179)),"YES","NO")</f>
        <v>NO</v>
      </c>
      <c r="AM178" t="str">
        <f>IF(ISNUMBER(SEARCH("H", 'WetLitterbags placem_collection'!V179)),"YES","NO")</f>
        <v>NO</v>
      </c>
      <c r="AN178" t="str">
        <f>IF(ISNUMBER(SEARCH("R", 'WetLitterbags placem_collection'!V179)),"YES","NO")</f>
        <v>NO</v>
      </c>
    </row>
    <row r="179" spans="1:40" ht="15" customHeight="1">
      <c r="A179" s="258" t="s">
        <v>2460</v>
      </c>
      <c r="B179" s="263">
        <f>'Dry_Litterbag Placem_Collection'!A180</f>
        <v>178</v>
      </c>
      <c r="C179" s="263" t="str">
        <f>'Dry_Litterbag Placem_Collection'!B180</f>
        <v>Handajega</v>
      </c>
      <c r="D179" s="263" t="s">
        <v>2460</v>
      </c>
      <c r="E179" s="263" t="s">
        <v>2661</v>
      </c>
      <c r="F179" s="263">
        <v>3</v>
      </c>
      <c r="G179" s="264" t="str">
        <f>'Dry_Litterbag Placem_Collection'!C180</f>
        <v>Wet_W3_T2</v>
      </c>
      <c r="H179" s="265" t="s">
        <v>2541</v>
      </c>
      <c r="I179" s="266" t="s">
        <v>1147</v>
      </c>
      <c r="J179" s="223" t="str">
        <f>'WetLitterbags placem_collection'!K180</f>
        <v>G781</v>
      </c>
      <c r="K179" s="225">
        <f>IFERROR(INDEX('Green_rooibos initial weight'!$C$5:$C$1749,MATCH(J179, 'Green_rooibos initial weight'!$A$5:$A$1749,0)),"")</f>
        <v>2.0920000000000001</v>
      </c>
      <c r="L179" s="225">
        <f>IFERROR(K179-(TBIcalc!$H$9+TBIcalc!$H$10),"")</f>
        <v>1.8422000000000001</v>
      </c>
      <c r="M179" s="391">
        <f>AVERAGE(Ashed_controlls!$K$2:$K$11)</f>
        <v>5.5147656768714146</v>
      </c>
      <c r="N179" s="225">
        <f t="shared" si="12"/>
        <v>1.7406069867006748</v>
      </c>
      <c r="O179" s="225">
        <f>IF(IFERROR(INDEX('Both teabags AfterWet'!$C$3:$C$841,MATCH(J179,'Both teabags AfterWet'!$A$3:$A$841,0)),"")="","",(IFERROR(INDEX('Both teabags AfterWet'!$C$3:$C$841,MATCH(J179,'Both teabags AfterWet'!$A$3:$A$841,0)),"")))</f>
        <v>0.62549999999999994</v>
      </c>
      <c r="P179" s="225">
        <f>IFERROR(IF(O179&gt;0,O179-(TBIcalc!$H$9),""),"")</f>
        <v>0.47489999999999993</v>
      </c>
      <c r="Q179" s="225">
        <f>IFERROR(INDEX('Ashed teabags wet'!$K$2:$K$821,MATCH(J179,'Ashed teabags wet'!$A$2:$A$821,0)),"")</f>
        <v>7.0843373493975461</v>
      </c>
      <c r="R179" s="225">
        <f t="shared" si="16"/>
        <v>0.441256481927711</v>
      </c>
      <c r="S179" s="226">
        <f>'WetLitterbags placem_collection'!E180</f>
        <v>42763</v>
      </c>
      <c r="T179" s="226">
        <f>IF('WetLitterbags placem_collection'!G180="","",'WetLitterbags placem_collection'!G180)</f>
        <v>42815</v>
      </c>
      <c r="U179" s="227">
        <f t="shared" si="13"/>
        <v>52</v>
      </c>
      <c r="V179" s="225">
        <f t="shared" si="14"/>
        <v>1.3673000000000002</v>
      </c>
      <c r="W179" s="225">
        <f t="shared" si="15"/>
        <v>1.2993505047729639</v>
      </c>
      <c r="X179">
        <f>IFERROR(INDEX(Rainfall_Wet!$O$2:$O$217,MATCH(B179, Rainfall_Wet!$A$2:$A$217,0)),"")</f>
        <v>188.24043152799999</v>
      </c>
      <c r="Y179" s="231">
        <v>25.96</v>
      </c>
      <c r="Z179" s="231">
        <v>8.9200000000000017</v>
      </c>
      <c r="AA179" s="231">
        <v>65.12</v>
      </c>
      <c r="AB179" s="232" t="s">
        <v>2670</v>
      </c>
      <c r="AC179" s="231">
        <v>2.61458846722523</v>
      </c>
      <c r="AD179">
        <f>IF('WetLitterbags placem_collection'!AB180="","",'WetLitterbags placem_collection'!AB180)</f>
        <v>15.4</v>
      </c>
      <c r="AE179">
        <f>IF('WetLitterbags placem_collection'!Z180="","",'WetLitterbags placem_collection'!Z180)</f>
        <v>18.8</v>
      </c>
      <c r="AF179" s="246" t="str">
        <f>IF('WetLitterbags placem_collection'!AA180="","",'WetLitterbags placem_collection'!AA180)</f>
        <v>O</v>
      </c>
      <c r="AG179">
        <f>IF('WetLitterbags placem_collection'!AC180="","",'WetLitterbags placem_collection'!AC180)</f>
        <v>1</v>
      </c>
      <c r="AH179" s="240">
        <f>AVERAGE('WetLitterbags placem_collection'!S180,'WetLitterbags placem_collection'!U180)</f>
        <v>17.149999999999999</v>
      </c>
      <c r="AI179">
        <f>AVERAGE('WetLitterbags placem_collection'!R180,'WetLitterbags placem_collection'!T180)</f>
        <v>32.950000000000003</v>
      </c>
      <c r="AJ179">
        <f>INDEX(Coordinates!$B$2:$B$197,MATCH(G179,Coordinates!$J$2:$J$197,0))</f>
        <v>-2.2777889760000001</v>
      </c>
      <c r="AK179">
        <f>INDEX(Coordinates!$C$2:$C$197,MATCH(G179,Coordinates!$J$2:$J$197,0))</f>
        <v>34.027664960000003</v>
      </c>
      <c r="AL179" t="str">
        <f>IF(ISNUMBER(SEARCH("C", 'WetLitterbags placem_collection'!V180)),"YES","NO")</f>
        <v>YES</v>
      </c>
      <c r="AM179" t="str">
        <f>IF(ISNUMBER(SEARCH("H", 'WetLitterbags placem_collection'!V180)),"YES","NO")</f>
        <v>YES</v>
      </c>
      <c r="AN179" t="str">
        <f>IF(ISNUMBER(SEARCH("R", 'WetLitterbags placem_collection'!V180)),"YES","NO")</f>
        <v>NO</v>
      </c>
    </row>
    <row r="180" spans="1:40" ht="15" customHeight="1">
      <c r="A180" s="258" t="s">
        <v>2460</v>
      </c>
      <c r="B180" s="263">
        <f>'Dry_Litterbag Placem_Collection'!A181</f>
        <v>179</v>
      </c>
      <c r="C180" s="263" t="str">
        <f>'Dry_Litterbag Placem_Collection'!B181</f>
        <v>Handajega</v>
      </c>
      <c r="D180" s="263" t="s">
        <v>2460</v>
      </c>
      <c r="E180" s="263" t="s">
        <v>2661</v>
      </c>
      <c r="F180" s="263">
        <v>3</v>
      </c>
      <c r="G180" s="264" t="str">
        <f>'Dry_Litterbag Placem_Collection'!C181</f>
        <v>Wet_W3_T3</v>
      </c>
      <c r="H180" s="265" t="s">
        <v>2541</v>
      </c>
      <c r="I180" s="266" t="s">
        <v>1147</v>
      </c>
      <c r="J180" s="223" t="str">
        <f>'WetLitterbags placem_collection'!K181</f>
        <v>G451</v>
      </c>
      <c r="K180" s="225">
        <f>IFERROR(INDEX('Green_rooibos initial weight'!$C$5:$C$1749,MATCH(J180, 'Green_rooibos initial weight'!$A$5:$A$1749,0)),"")</f>
        <v>2.1139999999999999</v>
      </c>
      <c r="L180" s="225">
        <f>IFERROR(K180-(TBIcalc!$H$9+TBIcalc!$H$10),"")</f>
        <v>1.8641999999999999</v>
      </c>
      <c r="M180" s="391">
        <f>AVERAGE(Ashed_controlls!$K$2:$K$11)</f>
        <v>5.5147656768714146</v>
      </c>
      <c r="N180" s="225">
        <f t="shared" si="12"/>
        <v>1.761393738251763</v>
      </c>
      <c r="O180" s="225">
        <f>IF(IFERROR(INDEX('Both teabags AfterWet'!$C$3:$C$841,MATCH(J180,'Both teabags AfterWet'!$A$3:$A$841,0)),"")="","",(IFERROR(INDEX('Both teabags AfterWet'!$C$3:$C$841,MATCH(J180,'Both teabags AfterWet'!$A$3:$A$841,0)),"")))</f>
        <v>0.60329999999999995</v>
      </c>
      <c r="P180" s="225">
        <f>IFERROR(IF(O180&gt;0,O180-(TBIcalc!$H$9),""),"")</f>
        <v>0.45269999999999994</v>
      </c>
      <c r="Q180" s="225">
        <f>IFERROR(INDEX('Ashed teabags wet'!$K$2:$K$821,MATCH(J180,'Ashed teabags wet'!$A$2:$A$821,0)),"")</f>
        <v>8.9466089466084018</v>
      </c>
      <c r="R180" s="225">
        <f t="shared" si="16"/>
        <v>0.41219870129870373</v>
      </c>
      <c r="S180" s="226">
        <f>'WetLitterbags placem_collection'!E181</f>
        <v>42763</v>
      </c>
      <c r="T180" s="226">
        <f>IF('WetLitterbags placem_collection'!G181="","",'WetLitterbags placem_collection'!G181)</f>
        <v>42815</v>
      </c>
      <c r="U180" s="227">
        <f t="shared" si="13"/>
        <v>52</v>
      </c>
      <c r="V180" s="225">
        <f t="shared" si="14"/>
        <v>1.4115</v>
      </c>
      <c r="W180" s="225">
        <f t="shared" si="15"/>
        <v>1.3491950369530592</v>
      </c>
      <c r="X180">
        <f>IFERROR(INDEX(Rainfall_Wet!$O$2:$O$217,MATCH(B180, Rainfall_Wet!$A$2:$A$217,0)),"")</f>
        <v>188.24043152799999</v>
      </c>
      <c r="Y180" s="231">
        <v>25.96</v>
      </c>
      <c r="Z180" s="231">
        <v>8.9200000000000017</v>
      </c>
      <c r="AA180" s="231">
        <v>65.12</v>
      </c>
      <c r="AB180" s="232" t="s">
        <v>2670</v>
      </c>
      <c r="AC180" s="231">
        <v>3.61458846722523</v>
      </c>
      <c r="AD180">
        <f>IF('WetLitterbags placem_collection'!AB181="","",'WetLitterbags placem_collection'!AB181)</f>
        <v>11.8</v>
      </c>
      <c r="AE180">
        <f>IF('WetLitterbags placem_collection'!Z181="","",'WetLitterbags placem_collection'!Z181)</f>
        <v>15.4</v>
      </c>
      <c r="AF180" s="246" t="str">
        <f>IF('WetLitterbags placem_collection'!AA181="","",'WetLitterbags placem_collection'!AA181)</f>
        <v>O</v>
      </c>
      <c r="AG180">
        <f>IF('WetLitterbags placem_collection'!AC181="","",'WetLitterbags placem_collection'!AC181)</f>
        <v>1</v>
      </c>
      <c r="AH180" s="240">
        <f>AVERAGE('WetLitterbags placem_collection'!S181,'WetLitterbags placem_collection'!U181)</f>
        <v>14.8</v>
      </c>
      <c r="AI180">
        <f>AVERAGE('WetLitterbags placem_collection'!R181,'WetLitterbags placem_collection'!T181)</f>
        <v>32.150000000000006</v>
      </c>
      <c r="AJ180">
        <f>INDEX(Coordinates!$B$2:$B$197,MATCH(G180,Coordinates!$J$2:$J$197,0))</f>
        <v>-2.2778579589999999</v>
      </c>
      <c r="AK180">
        <f>INDEX(Coordinates!$C$2:$C$197,MATCH(G180,Coordinates!$J$2:$J$197,0))</f>
        <v>34.027682980000002</v>
      </c>
      <c r="AL180" t="str">
        <f>IF(ISNUMBER(SEARCH("C", 'WetLitterbags placem_collection'!V181)),"YES","NO")</f>
        <v>NO</v>
      </c>
      <c r="AM180" t="str">
        <f>IF(ISNUMBER(SEARCH("H", 'WetLitterbags placem_collection'!V181)),"YES","NO")</f>
        <v>NO</v>
      </c>
      <c r="AN180" t="str">
        <f>IF(ISNUMBER(SEARCH("R", 'WetLitterbags placem_collection'!V181)),"YES","NO")</f>
        <v>YES</v>
      </c>
    </row>
    <row r="181" spans="1:40" ht="15" customHeight="1">
      <c r="A181" s="258" t="s">
        <v>2460</v>
      </c>
      <c r="B181" s="263">
        <f>'Dry_Litterbag Placem_Collection'!A182</f>
        <v>180</v>
      </c>
      <c r="C181" s="263" t="str">
        <f>'Dry_Litterbag Placem_Collection'!B182</f>
        <v>Handajega</v>
      </c>
      <c r="D181" s="263" t="s">
        <v>2460</v>
      </c>
      <c r="E181" s="263" t="s">
        <v>2661</v>
      </c>
      <c r="F181" s="263">
        <v>3</v>
      </c>
      <c r="G181" s="264" t="str">
        <f>'Dry_Litterbag Placem_Collection'!C182</f>
        <v>Wet_W3_T4</v>
      </c>
      <c r="H181" s="265" t="s">
        <v>2541</v>
      </c>
      <c r="I181" s="266" t="s">
        <v>1147</v>
      </c>
      <c r="J181" s="223" t="str">
        <f>'WetLitterbags placem_collection'!K182</f>
        <v>G360</v>
      </c>
      <c r="K181" s="225">
        <f>IFERROR(INDEX('Green_rooibos initial weight'!$C$5:$C$1749,MATCH(J181, 'Green_rooibos initial weight'!$A$5:$A$1749,0)),"")</f>
        <v>2.0099999999999998</v>
      </c>
      <c r="L181" s="225">
        <f>IFERROR(K181-(TBIcalc!$H$9+TBIcalc!$H$10),"")</f>
        <v>1.7601999999999998</v>
      </c>
      <c r="M181" s="391">
        <f>AVERAGE(Ashed_controlls!$K$2:$K$11)</f>
        <v>5.5147656768714146</v>
      </c>
      <c r="N181" s="225">
        <f t="shared" si="12"/>
        <v>1.6631290945557091</v>
      </c>
      <c r="O181" s="225">
        <f>IF(IFERROR(INDEX('Both teabags AfterWet'!$C$3:$C$841,MATCH(J181,'Both teabags AfterWet'!$A$3:$A$841,0)),"")="","",(IFERROR(INDEX('Both teabags AfterWet'!$C$3:$C$841,MATCH(J181,'Both teabags AfterWet'!$A$3:$A$841,0)),"")))</f>
        <v>0.62219999999999998</v>
      </c>
      <c r="P181" s="225">
        <f>IFERROR(IF(O181&gt;0,O181-(TBIcalc!$H$9),""),"")</f>
        <v>0.47159999999999996</v>
      </c>
      <c r="Q181" s="225">
        <f>IFERROR(INDEX('Ashed teabags wet'!$K$2:$K$821,MATCH(J181,'Ashed teabags wet'!$A$2:$A$821,0)),"")</f>
        <v>9.1525423728814648</v>
      </c>
      <c r="R181" s="225">
        <f t="shared" si="16"/>
        <v>0.42843661016949097</v>
      </c>
      <c r="S181" s="226">
        <f>'WetLitterbags placem_collection'!E182</f>
        <v>42763</v>
      </c>
      <c r="T181" s="226">
        <f>IF('WetLitterbags placem_collection'!G182="","",'WetLitterbags placem_collection'!G182)</f>
        <v>42815</v>
      </c>
      <c r="U181" s="227">
        <f t="shared" si="13"/>
        <v>52</v>
      </c>
      <c r="V181" s="225">
        <f t="shared" si="14"/>
        <v>1.2885999999999997</v>
      </c>
      <c r="W181" s="225">
        <f t="shared" si="15"/>
        <v>1.2346924843862181</v>
      </c>
      <c r="X181">
        <f>IFERROR(INDEX(Rainfall_Wet!$O$2:$O$217,MATCH(B181, Rainfall_Wet!$A$2:$A$217,0)),"")</f>
        <v>188.24043152799999</v>
      </c>
      <c r="Y181" s="231">
        <v>25.96</v>
      </c>
      <c r="Z181" s="231">
        <v>8.9200000000000017</v>
      </c>
      <c r="AA181" s="231">
        <v>65.12</v>
      </c>
      <c r="AB181" s="232" t="s">
        <v>2670</v>
      </c>
      <c r="AC181" s="231">
        <v>4.6145884672252304</v>
      </c>
      <c r="AD181">
        <f>IF('WetLitterbags placem_collection'!AB182="","",'WetLitterbags placem_collection'!AB182)</f>
        <v>8.3000000000000007</v>
      </c>
      <c r="AE181">
        <f>IF('WetLitterbags placem_collection'!Z182="","",'WetLitterbags placem_collection'!Z182)</f>
        <v>35</v>
      </c>
      <c r="AF181" s="246" t="str">
        <f>IF('WetLitterbags placem_collection'!AA182="","",'WetLitterbags placem_collection'!AA182)</f>
        <v>O</v>
      </c>
      <c r="AG181">
        <f>IF('WetLitterbags placem_collection'!AC182="","",'WetLitterbags placem_collection'!AC182)</f>
        <v>0</v>
      </c>
      <c r="AH181" s="240">
        <f>AVERAGE('WetLitterbags placem_collection'!S182,'WetLitterbags placem_collection'!U182)</f>
        <v>12.85</v>
      </c>
      <c r="AI181">
        <f>AVERAGE('WetLitterbags placem_collection'!R182,'WetLitterbags placem_collection'!T182)</f>
        <v>32.450000000000003</v>
      </c>
      <c r="AJ181">
        <f>INDEX(Coordinates!$B$2:$B$197,MATCH(G181,Coordinates!$J$2:$J$197,0))</f>
        <v>-2.2780199809999999</v>
      </c>
      <c r="AK181">
        <f>INDEX(Coordinates!$C$2:$C$197,MATCH(G181,Coordinates!$J$2:$J$197,0))</f>
        <v>34.027705019999999</v>
      </c>
      <c r="AL181" t="str">
        <f>IF(ISNUMBER(SEARCH("C", 'WetLitterbags placem_collection'!V182)),"YES","NO")</f>
        <v>NO</v>
      </c>
      <c r="AM181" t="str">
        <f>IF(ISNUMBER(SEARCH("H", 'WetLitterbags placem_collection'!V182)),"YES","NO")</f>
        <v>NO</v>
      </c>
      <c r="AN181" t="str">
        <f>IF(ISNUMBER(SEARCH("R", 'WetLitterbags placem_collection'!V182)),"YES","NO")</f>
        <v>NO</v>
      </c>
    </row>
    <row r="182" spans="1:40" ht="15" customHeight="1">
      <c r="A182" s="258" t="s">
        <v>2460</v>
      </c>
      <c r="B182" s="263">
        <f>'Dry_Litterbag Placem_Collection'!A183</f>
        <v>181</v>
      </c>
      <c r="C182" s="263" t="str">
        <f>'Dry_Litterbag Placem_Collection'!B183</f>
        <v>Handajega</v>
      </c>
      <c r="D182" s="263" t="s">
        <v>2460</v>
      </c>
      <c r="E182" s="263" t="s">
        <v>2661</v>
      </c>
      <c r="F182" s="263">
        <v>3</v>
      </c>
      <c r="G182" s="264" t="str">
        <f>'Dry_Litterbag Placem_Collection'!C183</f>
        <v>Wet_W3_T5</v>
      </c>
      <c r="H182" s="265" t="s">
        <v>2541</v>
      </c>
      <c r="I182" s="266" t="s">
        <v>1147</v>
      </c>
      <c r="J182" s="223" t="str">
        <f>'WetLitterbags placem_collection'!K183</f>
        <v>G458</v>
      </c>
      <c r="K182" s="225">
        <f>IFERROR(INDEX('Green_rooibos initial weight'!$C$5:$C$1749,MATCH(J182, 'Green_rooibos initial weight'!$A$5:$A$1749,0)),"")</f>
        <v>1.9770000000000001</v>
      </c>
      <c r="L182" s="225">
        <f>IFERROR(K182-(TBIcalc!$H$9+TBIcalc!$H$10),"")</f>
        <v>1.7272000000000001</v>
      </c>
      <c r="M182" s="391">
        <f>AVERAGE(Ashed_controlls!$K$2:$K$11)</f>
        <v>5.5147656768714146</v>
      </c>
      <c r="N182" s="225">
        <f t="shared" si="12"/>
        <v>1.631948967229077</v>
      </c>
      <c r="O182" s="225">
        <f>IF(IFERROR(INDEX('Both teabags AfterWet'!$C$3:$C$841,MATCH(J182,'Both teabags AfterWet'!$A$3:$A$841,0)),"")="","",(IFERROR(INDEX('Both teabags AfterWet'!$C$3:$C$841,MATCH(J182,'Both teabags AfterWet'!$A$3:$A$841,0)),"")))</f>
        <v>0.57499999999999996</v>
      </c>
      <c r="P182" s="225">
        <f>IFERROR(IF(O182&gt;0,O182-(TBIcalc!$H$9),""),"")</f>
        <v>0.42439999999999994</v>
      </c>
      <c r="Q182" s="225">
        <f>IFERROR(INDEX('Ashed teabags wet'!$K$2:$K$821,MATCH(J182,'Ashed teabags wet'!$A$2:$A$821,0)),"")</f>
        <v>9.1358024691352888</v>
      </c>
      <c r="R182" s="225">
        <f t="shared" si="16"/>
        <v>0.38562765432098978</v>
      </c>
      <c r="S182" s="226">
        <f>'WetLitterbags placem_collection'!E183</f>
        <v>42763</v>
      </c>
      <c r="T182" s="226">
        <f>IF('WetLitterbags placem_collection'!G183="","",'WetLitterbags placem_collection'!G183)</f>
        <v>42815</v>
      </c>
      <c r="U182" s="227">
        <f t="shared" si="13"/>
        <v>52</v>
      </c>
      <c r="V182" s="225">
        <f t="shared" si="14"/>
        <v>1.3028000000000002</v>
      </c>
      <c r="W182" s="225">
        <f t="shared" si="15"/>
        <v>1.2463213129080872</v>
      </c>
      <c r="X182">
        <f>IFERROR(INDEX(Rainfall_Wet!$O$2:$O$217,MATCH(B182, Rainfall_Wet!$A$2:$A$217,0)),"")</f>
        <v>188.24043152799999</v>
      </c>
      <c r="Y182" s="231">
        <v>25.96</v>
      </c>
      <c r="Z182" s="231">
        <v>8.9200000000000017</v>
      </c>
      <c r="AA182" s="231">
        <v>65.12</v>
      </c>
      <c r="AB182" s="232" t="s">
        <v>2670</v>
      </c>
      <c r="AC182" s="231">
        <v>5.6145884672252304</v>
      </c>
      <c r="AD182">
        <f>IF('WetLitterbags placem_collection'!AB183="","",'WetLitterbags placem_collection'!AB183)</f>
        <v>11.4</v>
      </c>
      <c r="AE182">
        <f>IF('WetLitterbags placem_collection'!Z183="","",'WetLitterbags placem_collection'!Z183)</f>
        <v>15.8</v>
      </c>
      <c r="AF182" s="246" t="str">
        <f>IF('WetLitterbags placem_collection'!AA183="","",'WetLitterbags placem_collection'!AA183)</f>
        <v>O</v>
      </c>
      <c r="AG182">
        <f>IF('WetLitterbags placem_collection'!AC183="","",'WetLitterbags placem_collection'!AC183)</f>
        <v>1</v>
      </c>
      <c r="AH182" s="240">
        <f>AVERAGE('WetLitterbags placem_collection'!S183,'WetLitterbags placem_collection'!U183)</f>
        <v>13.75</v>
      </c>
      <c r="AI182">
        <f>AVERAGE('WetLitterbags placem_collection'!R183,'WetLitterbags placem_collection'!T183)</f>
        <v>32.650000000000006</v>
      </c>
      <c r="AJ182">
        <f>INDEX(Coordinates!$B$2:$B$197,MATCH(G182,Coordinates!$J$2:$J$197,0))</f>
        <v>-2.2777329850000001</v>
      </c>
      <c r="AK182">
        <f>INDEX(Coordinates!$C$2:$C$197,MATCH(G182,Coordinates!$J$2:$J$197,0))</f>
        <v>34.027422970000003</v>
      </c>
      <c r="AL182" t="str">
        <f>IF(ISNUMBER(SEARCH("C", 'WetLitterbags placem_collection'!V183)),"YES","NO")</f>
        <v>NO</v>
      </c>
      <c r="AM182" t="str">
        <f>IF(ISNUMBER(SEARCH("H", 'WetLitterbags placem_collection'!V183)),"YES","NO")</f>
        <v>NO</v>
      </c>
      <c r="AN182" t="str">
        <f>IF(ISNUMBER(SEARCH("R", 'WetLitterbags placem_collection'!V183)),"YES","NO")</f>
        <v>NO</v>
      </c>
    </row>
    <row r="183" spans="1:40" ht="15" customHeight="1">
      <c r="A183" s="258" t="s">
        <v>2460</v>
      </c>
      <c r="B183" s="263">
        <f>'Dry_Litterbag Placem_Collection'!A184</f>
        <v>182</v>
      </c>
      <c r="C183" s="263" t="str">
        <f>'Dry_Litterbag Placem_Collection'!B184</f>
        <v>Handajega</v>
      </c>
      <c r="D183" s="263" t="s">
        <v>2460</v>
      </c>
      <c r="E183" s="263" t="s">
        <v>2661</v>
      </c>
      <c r="F183" s="263">
        <v>3</v>
      </c>
      <c r="G183" s="264" t="str">
        <f>'Dry_Litterbag Placem_Collection'!C184</f>
        <v>Wet_W3_T6</v>
      </c>
      <c r="H183" s="265" t="s">
        <v>2541</v>
      </c>
      <c r="I183" s="266" t="s">
        <v>1147</v>
      </c>
      <c r="J183" s="223" t="str">
        <f>'WetLitterbags placem_collection'!K184</f>
        <v>G403</v>
      </c>
      <c r="K183" s="225">
        <f>IFERROR(INDEX('Green_rooibos initial weight'!$C$5:$C$1749,MATCH(J183, 'Green_rooibos initial weight'!$A$5:$A$1749,0)),"")</f>
        <v>2.06</v>
      </c>
      <c r="L183" s="225">
        <f>IFERROR(K183-(TBIcalc!$H$9+TBIcalc!$H$10),"")</f>
        <v>1.8102</v>
      </c>
      <c r="M183" s="391">
        <f>AVERAGE(Ashed_controlls!$K$2:$K$11)</f>
        <v>5.5147656768714146</v>
      </c>
      <c r="N183" s="225">
        <f t="shared" si="12"/>
        <v>1.7103717117172736</v>
      </c>
      <c r="O183" s="225">
        <f>IF(IFERROR(INDEX('Both teabags AfterWet'!$C$3:$C$841,MATCH(J183,'Both teabags AfterWet'!$A$3:$A$841,0)),"")="","",(IFERROR(INDEX('Both teabags AfterWet'!$C$3:$C$841,MATCH(J183,'Both teabags AfterWet'!$A$3:$A$841,0)),"")))</f>
        <v>0.69440000000000002</v>
      </c>
      <c r="P183" s="225">
        <f>IFERROR(IF(O183&gt;0,O183-(TBIcalc!$H$9),""),"")</f>
        <v>0.54380000000000006</v>
      </c>
      <c r="Q183" s="225">
        <f>IFERROR(INDEX('Ashed teabags wet'!$K$2:$K$821,MATCH(J183,'Ashed teabags wet'!$A$2:$A$821,0)),"")</f>
        <v>8.8845014807495417</v>
      </c>
      <c r="R183" s="225">
        <f t="shared" si="16"/>
        <v>0.49548608094768404</v>
      </c>
      <c r="S183" s="226">
        <f>'WetLitterbags placem_collection'!E184</f>
        <v>42763</v>
      </c>
      <c r="T183" s="226">
        <f>IF('WetLitterbags placem_collection'!G184="","",'WetLitterbags placem_collection'!G184)</f>
        <v>42815</v>
      </c>
      <c r="U183" s="227">
        <f t="shared" si="13"/>
        <v>52</v>
      </c>
      <c r="V183" s="225">
        <f t="shared" si="14"/>
        <v>1.2664</v>
      </c>
      <c r="W183" s="225">
        <f t="shared" si="15"/>
        <v>1.2148856307695897</v>
      </c>
      <c r="X183">
        <f>IFERROR(INDEX(Rainfall_Wet!$O$2:$O$217,MATCH(B183, Rainfall_Wet!$A$2:$A$217,0)),"")</f>
        <v>188.24043152799999</v>
      </c>
      <c r="Y183" s="231">
        <v>25.96</v>
      </c>
      <c r="Z183" s="231">
        <v>8.9200000000000017</v>
      </c>
      <c r="AA183" s="231">
        <v>65.12</v>
      </c>
      <c r="AB183" s="232" t="s">
        <v>2670</v>
      </c>
      <c r="AC183" s="231">
        <v>6.6145884672252304</v>
      </c>
      <c r="AD183">
        <f>IF('WetLitterbags placem_collection'!AB184="","",'WetLitterbags placem_collection'!AB184)</f>
        <v>8.8000000000000007</v>
      </c>
      <c r="AE183">
        <f>IF('WetLitterbags placem_collection'!Z184="","",'WetLitterbags placem_collection'!Z184)</f>
        <v>15.8</v>
      </c>
      <c r="AF183" s="246" t="str">
        <f>IF('WetLitterbags placem_collection'!AA184="","",'WetLitterbags placem_collection'!AA184)</f>
        <v>O</v>
      </c>
      <c r="AG183">
        <f>IF('WetLitterbags placem_collection'!AC184="","",'WetLitterbags placem_collection'!AC184)</f>
        <v>1</v>
      </c>
      <c r="AH183" s="240">
        <f>AVERAGE('WetLitterbags placem_collection'!S184,'WetLitterbags placem_collection'!U184)</f>
        <v>11.55</v>
      </c>
      <c r="AI183">
        <f>AVERAGE('WetLitterbags placem_collection'!R184,'WetLitterbags placem_collection'!T184)</f>
        <v>33.299999999999997</v>
      </c>
      <c r="AJ183">
        <f>INDEX(Coordinates!$B$2:$B$197,MATCH(G183,Coordinates!$J$2:$J$197,0))</f>
        <v>-2.2777009659999998</v>
      </c>
      <c r="AK183">
        <f>INDEX(Coordinates!$C$2:$C$197,MATCH(G183,Coordinates!$J$2:$J$197,0))</f>
        <v>34.027393969999999</v>
      </c>
      <c r="AL183" t="str">
        <f>IF(ISNUMBER(SEARCH("C", 'WetLitterbags placem_collection'!V184)),"YES","NO")</f>
        <v>NO</v>
      </c>
      <c r="AM183" t="str">
        <f>IF(ISNUMBER(SEARCH("H", 'WetLitterbags placem_collection'!V184)),"YES","NO")</f>
        <v>YES</v>
      </c>
      <c r="AN183" t="str">
        <f>IF(ISNUMBER(SEARCH("R", 'WetLitterbags placem_collection'!V184)),"YES","NO")</f>
        <v>YES</v>
      </c>
    </row>
    <row r="184" spans="1:40" ht="15" customHeight="1">
      <c r="A184" s="258" t="s">
        <v>2460</v>
      </c>
      <c r="B184" s="263">
        <f>'Dry_Litterbag Placem_Collection'!A185</f>
        <v>183</v>
      </c>
      <c r="C184" s="263" t="str">
        <f>'Dry_Litterbag Placem_Collection'!B185</f>
        <v>Handajega</v>
      </c>
      <c r="D184" s="263" t="s">
        <v>2460</v>
      </c>
      <c r="E184" s="263" t="s">
        <v>2661</v>
      </c>
      <c r="F184" s="263">
        <v>3</v>
      </c>
      <c r="G184" s="264" t="str">
        <f>'Dry_Litterbag Placem_Collection'!C185</f>
        <v>Wet_W3_T7</v>
      </c>
      <c r="H184" s="265" t="s">
        <v>2541</v>
      </c>
      <c r="I184" s="266" t="s">
        <v>1147</v>
      </c>
      <c r="J184" s="223" t="str">
        <f>'WetLitterbags placem_collection'!K185</f>
        <v>G585</v>
      </c>
      <c r="K184" s="225">
        <f>IFERROR(INDEX('Green_rooibos initial weight'!$C$5:$C$1749,MATCH(J184, 'Green_rooibos initial weight'!$A$5:$A$1749,0)),"")</f>
        <v>2.1669999999999998</v>
      </c>
      <c r="L184" s="225">
        <f>IFERROR(K184-(TBIcalc!$H$9+TBIcalc!$H$10),"")</f>
        <v>1.9171999999999998</v>
      </c>
      <c r="M184" s="391">
        <f>AVERAGE(Ashed_controlls!$K$2:$K$11)</f>
        <v>5.5147656768714146</v>
      </c>
      <c r="N184" s="225">
        <f t="shared" si="12"/>
        <v>1.8114709124430211</v>
      </c>
      <c r="O184" s="225">
        <f>IF(IFERROR(INDEX('Both teabags AfterWet'!$C$3:$C$841,MATCH(J184,'Both teabags AfterWet'!$A$3:$A$841,0)),"")="","",(IFERROR(INDEX('Both teabags AfterWet'!$C$3:$C$841,MATCH(J184,'Both teabags AfterWet'!$A$3:$A$841,0)),"")))</f>
        <v>0.71799999999999997</v>
      </c>
      <c r="P184" s="225">
        <f>IFERROR(IF(O184&gt;0,O184-(TBIcalc!$H$9),""),"")</f>
        <v>0.5673999999999999</v>
      </c>
      <c r="Q184" s="225">
        <f>IFERROR(INDEX('Ashed teabags wet'!$K$2:$K$821,MATCH(J184,'Ashed teabags wet'!$A$2:$A$821,0)),"")</f>
        <v>10.155490767735316</v>
      </c>
      <c r="R184" s="225">
        <f t="shared" si="16"/>
        <v>0.50977774538386977</v>
      </c>
      <c r="S184" s="226">
        <f>'WetLitterbags placem_collection'!E185</f>
        <v>42763</v>
      </c>
      <c r="T184" s="226">
        <f>IF('WetLitterbags placem_collection'!G185="","",'WetLitterbags placem_collection'!G185)</f>
        <v>42815</v>
      </c>
      <c r="U184" s="227">
        <f t="shared" si="13"/>
        <v>52</v>
      </c>
      <c r="V184" s="225">
        <f t="shared" si="14"/>
        <v>1.3497999999999999</v>
      </c>
      <c r="W184" s="225">
        <f t="shared" si="15"/>
        <v>1.3016931670591512</v>
      </c>
      <c r="X184">
        <f>IFERROR(INDEX(Rainfall_Wet!$O$2:$O$217,MATCH(B184, Rainfall_Wet!$A$2:$A$217,0)),"")</f>
        <v>188.24043152799999</v>
      </c>
      <c r="Y184" s="231">
        <v>25.96</v>
      </c>
      <c r="Z184" s="231">
        <v>8.9200000000000017</v>
      </c>
      <c r="AA184" s="231">
        <v>65.12</v>
      </c>
      <c r="AB184" s="232" t="s">
        <v>2670</v>
      </c>
      <c r="AC184" s="231">
        <v>7.6145884672252304</v>
      </c>
      <c r="AD184">
        <f>IF('WetLitterbags placem_collection'!AB185="","",'WetLitterbags placem_collection'!AB185)</f>
        <v>11.4</v>
      </c>
      <c r="AE184">
        <f>IF('WetLitterbags placem_collection'!Z185="","",'WetLitterbags placem_collection'!Z185)</f>
        <v>35.799999999999997</v>
      </c>
      <c r="AF184" s="246" t="str">
        <f>IF('WetLitterbags placem_collection'!AA185="","",'WetLitterbags placem_collection'!AA185)</f>
        <v>G</v>
      </c>
      <c r="AG184">
        <f>IF('WetLitterbags placem_collection'!AC185="","",'WetLitterbags placem_collection'!AC185)</f>
        <v>1</v>
      </c>
      <c r="AH184" s="240">
        <f>AVERAGE('WetLitterbags placem_collection'!S185,'WetLitterbags placem_collection'!U185)</f>
        <v>13.4</v>
      </c>
      <c r="AI184">
        <f>AVERAGE('WetLitterbags placem_collection'!R185,'WetLitterbags placem_collection'!T185)</f>
        <v>33.5</v>
      </c>
      <c r="AJ184">
        <f>INDEX(Coordinates!$B$2:$B$197,MATCH(G184,Coordinates!$J$2:$J$197,0))</f>
        <v>-2.2777790019999999</v>
      </c>
      <c r="AK184">
        <f>INDEX(Coordinates!$C$2:$C$197,MATCH(G184,Coordinates!$J$2:$J$197,0))</f>
        <v>34.028066029999998</v>
      </c>
      <c r="AL184" t="str">
        <f>IF(ISNUMBER(SEARCH("C", 'WetLitterbags placem_collection'!V185)),"YES","NO")</f>
        <v>YES</v>
      </c>
      <c r="AM184" t="str">
        <f>IF(ISNUMBER(SEARCH("H", 'WetLitterbags placem_collection'!V185)),"YES","NO")</f>
        <v>NO</v>
      </c>
      <c r="AN184" t="str">
        <f>IF(ISNUMBER(SEARCH("R", 'WetLitterbags placem_collection'!V185)),"YES","NO")</f>
        <v>NO</v>
      </c>
    </row>
    <row r="185" spans="1:40" ht="15" customHeight="1">
      <c r="A185" s="258" t="s">
        <v>2460</v>
      </c>
      <c r="B185" s="263">
        <f>'Dry_Litterbag Placem_Collection'!A186</f>
        <v>184</v>
      </c>
      <c r="C185" s="263" t="str">
        <f>'Dry_Litterbag Placem_Collection'!B186</f>
        <v>Handajega</v>
      </c>
      <c r="D185" s="263" t="s">
        <v>2460</v>
      </c>
      <c r="E185" s="263" t="s">
        <v>2661</v>
      </c>
      <c r="F185" s="263">
        <v>3</v>
      </c>
      <c r="G185" s="264" t="str">
        <f>'Dry_Litterbag Placem_Collection'!C186</f>
        <v>Wet_W3_T8</v>
      </c>
      <c r="H185" s="265" t="s">
        <v>2541</v>
      </c>
      <c r="I185" s="266" t="s">
        <v>1147</v>
      </c>
      <c r="J185" s="223" t="str">
        <f>'WetLitterbags placem_collection'!K186</f>
        <v>G669</v>
      </c>
      <c r="K185" s="225">
        <f>IFERROR(INDEX('Green_rooibos initial weight'!$C$5:$C$1749,MATCH(J185, 'Green_rooibos initial weight'!$A$5:$A$1749,0)),"")</f>
        <v>1.9359999999999999</v>
      </c>
      <c r="L185" s="225">
        <f>IFERROR(K185-(TBIcalc!$H$9+TBIcalc!$H$10),"")</f>
        <v>1.6861999999999999</v>
      </c>
      <c r="M185" s="391">
        <f>AVERAGE(Ashed_controlls!$K$2:$K$11)</f>
        <v>5.5147656768714146</v>
      </c>
      <c r="N185" s="225">
        <f t="shared" si="12"/>
        <v>1.593210021156594</v>
      </c>
      <c r="O185" s="225">
        <f>IF(IFERROR(INDEX('Both teabags AfterWet'!$C$3:$C$841,MATCH(J185,'Both teabags AfterWet'!$A$3:$A$841,0)),"")="","",(IFERROR(INDEX('Both teabags AfterWet'!$C$3:$C$841,MATCH(J185,'Both teabags AfterWet'!$A$3:$A$841,0)),"")))</f>
        <v>0.7097</v>
      </c>
      <c r="P185" s="225">
        <f>IFERROR(IF(O185&gt;0,O185-(TBIcalc!$H$9),""),"")</f>
        <v>0.55909999999999993</v>
      </c>
      <c r="Q185" s="225">
        <f>IFERROR(INDEX('Ashed teabags wet'!$K$2:$K$821,MATCH(J185,'Ashed teabags wet'!$A$2:$A$821,0)),"")</f>
        <v>8.7171867261018541</v>
      </c>
      <c r="R185" s="225">
        <f t="shared" si="16"/>
        <v>0.51036220901436447</v>
      </c>
      <c r="S185" s="226">
        <f>'WetLitterbags placem_collection'!E186</f>
        <v>42763</v>
      </c>
      <c r="T185" s="226">
        <f>IF('WetLitterbags placem_collection'!G186="","",'WetLitterbags placem_collection'!G186)</f>
        <v>42815</v>
      </c>
      <c r="U185" s="227">
        <f t="shared" si="13"/>
        <v>52</v>
      </c>
      <c r="V185" s="225">
        <f t="shared" si="14"/>
        <v>1.1271</v>
      </c>
      <c r="W185" s="225">
        <f t="shared" si="15"/>
        <v>1.0828478121422296</v>
      </c>
      <c r="X185">
        <f>IFERROR(INDEX(Rainfall_Wet!$O$2:$O$217,MATCH(B185, Rainfall_Wet!$A$2:$A$217,0)),"")</f>
        <v>188.24043152799999</v>
      </c>
      <c r="Y185" s="231">
        <v>25.96</v>
      </c>
      <c r="Z185" s="231">
        <v>8.9200000000000017</v>
      </c>
      <c r="AA185" s="231">
        <v>65.12</v>
      </c>
      <c r="AB185" s="232" t="s">
        <v>2670</v>
      </c>
      <c r="AC185" s="231">
        <v>8.6145884672252304</v>
      </c>
      <c r="AD185">
        <f>IF('WetLitterbags placem_collection'!AB186="","",'WetLitterbags placem_collection'!AB186)</f>
        <v>3.7</v>
      </c>
      <c r="AE185">
        <f>IF('WetLitterbags placem_collection'!Z186="","",'WetLitterbags placem_collection'!Z186)</f>
        <v>16.399999999999999</v>
      </c>
      <c r="AF185" s="246" t="str">
        <f>IF('WetLitterbags placem_collection'!AA186="","",'WetLitterbags placem_collection'!AA186)</f>
        <v>O</v>
      </c>
      <c r="AG185">
        <f>IF('WetLitterbags placem_collection'!AC186="","",'WetLitterbags placem_collection'!AC186)</f>
        <v>0</v>
      </c>
      <c r="AH185" s="240">
        <f>AVERAGE('WetLitterbags placem_collection'!S186,'WetLitterbags placem_collection'!U186)</f>
        <v>13.3</v>
      </c>
      <c r="AI185">
        <f>AVERAGE('WetLitterbags placem_collection'!R186,'WetLitterbags placem_collection'!T186)</f>
        <v>29.950000000000003</v>
      </c>
      <c r="AJ185">
        <f>INDEX(Coordinates!$B$2:$B$197,MATCH(G185,Coordinates!$J$2:$J$197,0))</f>
        <v>-2.2775169829999999</v>
      </c>
      <c r="AK185">
        <f>INDEX(Coordinates!$C$2:$C$197,MATCH(G185,Coordinates!$J$2:$J$197,0))</f>
        <v>34.027766970000002</v>
      </c>
      <c r="AL185" t="str">
        <f>IF(ISNUMBER(SEARCH("C", 'WetLitterbags placem_collection'!V186)),"YES","NO")</f>
        <v>NO</v>
      </c>
      <c r="AM185" t="str">
        <f>IF(ISNUMBER(SEARCH("H", 'WetLitterbags placem_collection'!V186)),"YES","NO")</f>
        <v>NO</v>
      </c>
      <c r="AN185" t="str">
        <f>IF(ISNUMBER(SEARCH("R", 'WetLitterbags placem_collection'!V186)),"YES","NO")</f>
        <v>YES</v>
      </c>
    </row>
    <row r="186" spans="1:40" ht="15" customHeight="1">
      <c r="A186" s="258" t="s">
        <v>2460</v>
      </c>
      <c r="B186" s="263">
        <f>'Dry_Litterbag Placem_Collection'!A187</f>
        <v>185</v>
      </c>
      <c r="C186" s="263" t="str">
        <f>'Dry_Litterbag Placem_Collection'!B187</f>
        <v>Handajega</v>
      </c>
      <c r="D186" s="263" t="s">
        <v>2460</v>
      </c>
      <c r="E186" s="263" t="s">
        <v>2661</v>
      </c>
      <c r="F186" s="263">
        <v>4</v>
      </c>
      <c r="G186" s="264" t="str">
        <f>'Dry_Litterbag Placem_Collection'!C187</f>
        <v>Wet_W4_T1</v>
      </c>
      <c r="H186" s="265" t="s">
        <v>2541</v>
      </c>
      <c r="I186" s="266" t="s">
        <v>1147</v>
      </c>
      <c r="J186" s="223" t="str">
        <f>'WetLitterbags placem_collection'!K187</f>
        <v>G423</v>
      </c>
      <c r="K186" s="225">
        <f>IFERROR(INDEX('Green_rooibos initial weight'!$C$5:$C$1749,MATCH(J186, 'Green_rooibos initial weight'!$A$5:$A$1749,0)),"")</f>
        <v>2.0649999999999999</v>
      </c>
      <c r="L186" s="225">
        <f>IFERROR(K186-(TBIcalc!$H$9+TBIcalc!$H$10),"")</f>
        <v>1.8151999999999999</v>
      </c>
      <c r="M186" s="391">
        <f>AVERAGE(Ashed_controlls!$K$2:$K$11)</f>
        <v>5.5147656768714146</v>
      </c>
      <c r="N186" s="225">
        <f t="shared" si="12"/>
        <v>1.7150959734334301</v>
      </c>
      <c r="O186" s="225">
        <f>IF(IFERROR(INDEX('Both teabags AfterWet'!$C$3:$C$841,MATCH(J186,'Both teabags AfterWet'!$A$3:$A$841,0)),"")="","",(IFERROR(INDEX('Both teabags AfterWet'!$C$3:$C$841,MATCH(J186,'Both teabags AfterWet'!$A$3:$A$841,0)),"")))</f>
        <v>0.62319999999999998</v>
      </c>
      <c r="P186" s="225">
        <f>IFERROR(IF(O186&gt;0,O186-(TBIcalc!$H$9),""),"")</f>
        <v>0.47259999999999996</v>
      </c>
      <c r="Q186" s="225">
        <f>IFERROR(INDEX('Ashed teabags wet'!$K$2:$K$821,MATCH(J186,'Ashed teabags wet'!$A$2:$A$821,0)),"")</f>
        <v>9.4793713163063114</v>
      </c>
      <c r="R186" s="225">
        <f t="shared" si="16"/>
        <v>0.42780049115913632</v>
      </c>
      <c r="S186" s="226">
        <f>'WetLitterbags placem_collection'!E187</f>
        <v>42763</v>
      </c>
      <c r="T186" s="226">
        <f>IF('WetLitterbags placem_collection'!G187="","",'WetLitterbags placem_collection'!G187)</f>
        <v>42815</v>
      </c>
      <c r="U186" s="227">
        <f t="shared" si="13"/>
        <v>52</v>
      </c>
      <c r="V186" s="225">
        <f t="shared" si="14"/>
        <v>1.3426</v>
      </c>
      <c r="W186" s="225">
        <f t="shared" si="15"/>
        <v>1.2872954822742937</v>
      </c>
      <c r="X186">
        <f>IFERROR(INDEX(Rainfall_Wet!$O$2:$O$217,MATCH(B186, Rainfall_Wet!$A$2:$A$217,0)),"")</f>
        <v>188.24043152799999</v>
      </c>
      <c r="Y186" s="231">
        <v>25.96</v>
      </c>
      <c r="Z186" s="231">
        <v>8.9200000000000017</v>
      </c>
      <c r="AA186" s="231">
        <v>65.12</v>
      </c>
      <c r="AB186" s="232" t="s">
        <v>2670</v>
      </c>
      <c r="AC186" s="231">
        <v>1.6991621488417901</v>
      </c>
      <c r="AD186">
        <f>IF('WetLitterbags placem_collection'!AB187="","",'WetLitterbags placem_collection'!AB187)</f>
        <v>9.8000000000000007</v>
      </c>
      <c r="AE186">
        <f>IF('WetLitterbags placem_collection'!Z187="","",'WetLitterbags placem_collection'!Z187)</f>
        <v>29.4</v>
      </c>
      <c r="AF186" s="246" t="str">
        <f>IF('WetLitterbags placem_collection'!AA187="","",'WetLitterbags placem_collection'!AA187)</f>
        <v>O</v>
      </c>
      <c r="AG186">
        <f>IF('WetLitterbags placem_collection'!AC187="","",'WetLitterbags placem_collection'!AC187)</f>
        <v>0</v>
      </c>
      <c r="AH186" s="240">
        <f>AVERAGE('WetLitterbags placem_collection'!S187,'WetLitterbags placem_collection'!U187)</f>
        <v>17.850000000000001</v>
      </c>
      <c r="AI186">
        <f>AVERAGE('WetLitterbags placem_collection'!R187,'WetLitterbags placem_collection'!T187)</f>
        <v>35.400000000000006</v>
      </c>
      <c r="AJ186">
        <f>INDEX(Coordinates!$B$2:$B$197,MATCH(G186,Coordinates!$J$2:$J$197,0))</f>
        <v>-2.2787330300000002</v>
      </c>
      <c r="AK186">
        <f>INDEX(Coordinates!$C$2:$C$197,MATCH(G186,Coordinates!$J$2:$J$197,0))</f>
        <v>34.032136029999997</v>
      </c>
      <c r="AL186" t="str">
        <f>IF(ISNUMBER(SEARCH("C", 'WetLitterbags placem_collection'!V187)),"YES","NO")</f>
        <v>NO</v>
      </c>
      <c r="AM186" t="str">
        <f>IF(ISNUMBER(SEARCH("H", 'WetLitterbags placem_collection'!V187)),"YES","NO")</f>
        <v>NO</v>
      </c>
      <c r="AN186" t="str">
        <f>IF(ISNUMBER(SEARCH("R", 'WetLitterbags placem_collection'!V187)),"YES","NO")</f>
        <v>NO</v>
      </c>
    </row>
    <row r="187" spans="1:40" ht="15" customHeight="1">
      <c r="A187" s="258" t="s">
        <v>2460</v>
      </c>
      <c r="B187" s="263">
        <f>'Dry_Litterbag Placem_Collection'!A188</f>
        <v>186</v>
      </c>
      <c r="C187" s="263" t="str">
        <f>'Dry_Litterbag Placem_Collection'!B188</f>
        <v>Handajega</v>
      </c>
      <c r="D187" s="263" t="s">
        <v>2460</v>
      </c>
      <c r="E187" s="263" t="s">
        <v>2661</v>
      </c>
      <c r="F187" s="263">
        <v>4</v>
      </c>
      <c r="G187" s="264" t="str">
        <f>'Dry_Litterbag Placem_Collection'!C188</f>
        <v>Wet_W4_T2</v>
      </c>
      <c r="H187" s="265" t="s">
        <v>2541</v>
      </c>
      <c r="I187" s="266" t="s">
        <v>1147</v>
      </c>
      <c r="J187" s="223" t="str">
        <f>'WetLitterbags placem_collection'!K188</f>
        <v>G544</v>
      </c>
      <c r="K187" s="225">
        <f>IFERROR(INDEX('Green_rooibos initial weight'!$C$5:$C$1749,MATCH(J187, 'Green_rooibos initial weight'!$A$5:$A$1749,0)),"")</f>
        <v>2.0830000000000002</v>
      </c>
      <c r="L187" s="225">
        <f>IFERROR(K187-(TBIcalc!$H$9+TBIcalc!$H$10),"")</f>
        <v>1.8332000000000002</v>
      </c>
      <c r="M187" s="391">
        <f>AVERAGE(Ashed_controlls!$K$2:$K$11)</f>
        <v>5.5147656768714146</v>
      </c>
      <c r="N187" s="225">
        <f t="shared" si="12"/>
        <v>1.7321033156115935</v>
      </c>
      <c r="O187" s="225">
        <f>IF(IFERROR(INDEX('Both teabags AfterWet'!$C$3:$C$841,MATCH(J187,'Both teabags AfterWet'!$A$3:$A$841,0)),"")="","",(IFERROR(INDEX('Both teabags AfterWet'!$C$3:$C$841,MATCH(J187,'Both teabags AfterWet'!$A$3:$A$841,0)),"")))</f>
        <v>0.69</v>
      </c>
      <c r="P187" s="225">
        <f>IFERROR(IF(O187&gt;0,O187-(TBIcalc!$H$9),""),"")</f>
        <v>0.53939999999999988</v>
      </c>
      <c r="Q187" s="225">
        <f>IFERROR(INDEX('Ashed teabags wet'!$K$2:$K$821,MATCH(J187,'Ashed teabags wet'!$A$2:$A$821,0)),"")</f>
        <v>9.5401174168302578</v>
      </c>
      <c r="R187" s="225">
        <f t="shared" si="16"/>
        <v>0.48794060665361749</v>
      </c>
      <c r="S187" s="226">
        <f>'WetLitterbags placem_collection'!E188</f>
        <v>42763</v>
      </c>
      <c r="T187" s="226">
        <f>IF('WetLitterbags placem_collection'!G188="","",'WetLitterbags placem_collection'!G188)</f>
        <v>42815</v>
      </c>
      <c r="U187" s="227">
        <f t="shared" si="13"/>
        <v>52</v>
      </c>
      <c r="V187" s="225">
        <f t="shared" si="14"/>
        <v>1.2938000000000003</v>
      </c>
      <c r="W187" s="225">
        <f t="shared" si="15"/>
        <v>1.2441627089579761</v>
      </c>
      <c r="X187">
        <f>IFERROR(INDEX(Rainfall_Wet!$O$2:$O$217,MATCH(B187, Rainfall_Wet!$A$2:$A$217,0)),"")</f>
        <v>188.24043152799999</v>
      </c>
      <c r="Y187" s="231">
        <v>25.96</v>
      </c>
      <c r="Z187" s="231">
        <v>8.9200000000000017</v>
      </c>
      <c r="AA187" s="231">
        <v>65.12</v>
      </c>
      <c r="AB187" s="232" t="s">
        <v>2670</v>
      </c>
      <c r="AC187" s="231">
        <v>2.6991621488417898</v>
      </c>
      <c r="AD187">
        <f>IF('WetLitterbags placem_collection'!AB188="","",'WetLitterbags placem_collection'!AB188)</f>
        <v>11.4</v>
      </c>
      <c r="AE187">
        <f>IF('WetLitterbags placem_collection'!Z188="","",'WetLitterbags placem_collection'!Z188)</f>
        <v>45.4</v>
      </c>
      <c r="AF187" s="246" t="str">
        <f>IF('WetLitterbags placem_collection'!AA188="","",'WetLitterbags placem_collection'!AA188)</f>
        <v>O</v>
      </c>
      <c r="AG187">
        <f>IF('WetLitterbags placem_collection'!AC188="","",'WetLitterbags placem_collection'!AC188)</f>
        <v>0</v>
      </c>
      <c r="AH187" s="240">
        <f>AVERAGE('WetLitterbags placem_collection'!S188,'WetLitterbags placem_collection'!U188)</f>
        <v>16.899999999999999</v>
      </c>
      <c r="AI187">
        <f>AVERAGE('WetLitterbags placem_collection'!R188,'WetLitterbags placem_collection'!T188)</f>
        <v>33.9</v>
      </c>
      <c r="AJ187">
        <f>INDEX(Coordinates!$B$2:$B$197,MATCH(G187,Coordinates!$J$2:$J$197,0))</f>
        <v>-2.278763037</v>
      </c>
      <c r="AK187">
        <f>INDEX(Coordinates!$C$2:$C$197,MATCH(G187,Coordinates!$J$2:$J$197,0))</f>
        <v>34.031974009999999</v>
      </c>
      <c r="AL187" t="str">
        <f>IF(ISNUMBER(SEARCH("C", 'WetLitterbags placem_collection'!V188)),"YES","NO")</f>
        <v>NO</v>
      </c>
      <c r="AM187" t="str">
        <f>IF(ISNUMBER(SEARCH("H", 'WetLitterbags placem_collection'!V188)),"YES","NO")</f>
        <v>NO</v>
      </c>
      <c r="AN187" t="str">
        <f>IF(ISNUMBER(SEARCH("R", 'WetLitterbags placem_collection'!V188)),"YES","NO")</f>
        <v>YES</v>
      </c>
    </row>
    <row r="188" spans="1:40" ht="15" customHeight="1">
      <c r="A188" s="258" t="s">
        <v>2460</v>
      </c>
      <c r="B188" s="263">
        <f>'Dry_Litterbag Placem_Collection'!A189</f>
        <v>187</v>
      </c>
      <c r="C188" s="263" t="str">
        <f>'Dry_Litterbag Placem_Collection'!B189</f>
        <v>Handajega</v>
      </c>
      <c r="D188" s="263" t="s">
        <v>2460</v>
      </c>
      <c r="E188" s="263" t="s">
        <v>2661</v>
      </c>
      <c r="F188" s="263">
        <v>4</v>
      </c>
      <c r="G188" s="264" t="str">
        <f>'Dry_Litterbag Placem_Collection'!C189</f>
        <v>Wet_W4_T3</v>
      </c>
      <c r="H188" s="265" t="s">
        <v>2541</v>
      </c>
      <c r="I188" s="266" t="s">
        <v>1147</v>
      </c>
      <c r="J188" s="223" t="str">
        <f>'WetLitterbags placem_collection'!K189</f>
        <v>G620</v>
      </c>
      <c r="K188" s="225">
        <f>IFERROR(INDEX('Green_rooibos initial weight'!$C$5:$C$1749,MATCH(J188, 'Green_rooibos initial weight'!$A$5:$A$1749,0)),"")</f>
        <v>2.0019999999999998</v>
      </c>
      <c r="L188" s="225">
        <f>IFERROR(K188-(TBIcalc!$H$9+TBIcalc!$H$10),"")</f>
        <v>1.7521999999999998</v>
      </c>
      <c r="M188" s="391">
        <f>AVERAGE(Ashed_controlls!$K$2:$K$11)</f>
        <v>5.5147656768714146</v>
      </c>
      <c r="N188" s="225">
        <f t="shared" si="12"/>
        <v>1.6555702758098589</v>
      </c>
      <c r="O188" s="225">
        <f>IF(IFERROR(INDEX('Both teabags AfterWet'!$C$3:$C$841,MATCH(J188,'Both teabags AfterWet'!$A$3:$A$841,0)),"")="","",(IFERROR(INDEX('Both teabags AfterWet'!$C$3:$C$841,MATCH(J188,'Both teabags AfterWet'!$A$3:$A$841,0)),"")))</f>
        <v>0.59950000000000003</v>
      </c>
      <c r="P188" s="225">
        <f>IFERROR(IF(O188&gt;0,O188-(TBIcalc!$H$9),""),"")</f>
        <v>0.44890000000000002</v>
      </c>
      <c r="Q188" s="225">
        <f>IFERROR(INDEX('Ashed teabags wet'!$K$2:$K$821,MATCH(J188,'Ashed teabags wet'!$A$2:$A$821,0)),"")</f>
        <v>8.6766844401358867</v>
      </c>
      <c r="R188" s="225">
        <f t="shared" si="16"/>
        <v>0.40995036354823</v>
      </c>
      <c r="S188" s="226">
        <f>'WetLitterbags placem_collection'!E189</f>
        <v>42763</v>
      </c>
      <c r="T188" s="226">
        <f>IF('WetLitterbags placem_collection'!G189="","",'WetLitterbags placem_collection'!G189)</f>
        <v>42815</v>
      </c>
      <c r="U188" s="227">
        <f t="shared" si="13"/>
        <v>52</v>
      </c>
      <c r="V188" s="225">
        <f t="shared" si="14"/>
        <v>1.3032999999999997</v>
      </c>
      <c r="W188" s="225">
        <f t="shared" si="15"/>
        <v>1.2456199122616289</v>
      </c>
      <c r="X188">
        <f>IFERROR(INDEX(Rainfall_Wet!$O$2:$O$217,MATCH(B188, Rainfall_Wet!$A$2:$A$217,0)),"")</f>
        <v>188.24043152799999</v>
      </c>
      <c r="Y188" s="231">
        <v>25.96</v>
      </c>
      <c r="Z188" s="231">
        <v>8.9200000000000017</v>
      </c>
      <c r="AA188" s="231">
        <v>65.12</v>
      </c>
      <c r="AB188" s="232" t="s">
        <v>2670</v>
      </c>
      <c r="AC188" s="231">
        <v>3.6991621488417898</v>
      </c>
      <c r="AD188">
        <f>IF('WetLitterbags placem_collection'!AB189="","",'WetLitterbags placem_collection'!AB189)</f>
        <v>0.6</v>
      </c>
      <c r="AE188">
        <f>IF('WetLitterbags placem_collection'!Z189="","",'WetLitterbags placem_collection'!Z189)</f>
        <v>39.4</v>
      </c>
      <c r="AF188" s="246" t="str">
        <f>IF('WetLitterbags placem_collection'!AA189="","",'WetLitterbags placem_collection'!AA189)</f>
        <v>O</v>
      </c>
      <c r="AG188">
        <f>IF('WetLitterbags placem_collection'!AC189="","",'WetLitterbags placem_collection'!AC189)</f>
        <v>1</v>
      </c>
      <c r="AH188" s="240">
        <f>AVERAGE('WetLitterbags placem_collection'!S189,'WetLitterbags placem_collection'!U189)</f>
        <v>14.2</v>
      </c>
      <c r="AI188">
        <f>AVERAGE('WetLitterbags placem_collection'!R189,'WetLitterbags placem_collection'!T189)</f>
        <v>33</v>
      </c>
      <c r="AJ188">
        <f>INDEX(Coordinates!$B$2:$B$197,MATCH(G188,Coordinates!$J$2:$J$197,0))</f>
        <v>-2.2785890289999999</v>
      </c>
      <c r="AK188">
        <f>INDEX(Coordinates!$C$2:$C$197,MATCH(G188,Coordinates!$J$2:$J$197,0))</f>
        <v>34.031841999999997</v>
      </c>
      <c r="AL188" t="str">
        <f>IF(ISNUMBER(SEARCH("C", 'WetLitterbags placem_collection'!V189)),"YES","NO")</f>
        <v>NO</v>
      </c>
      <c r="AM188" t="str">
        <f>IF(ISNUMBER(SEARCH("H", 'WetLitterbags placem_collection'!V189)),"YES","NO")</f>
        <v>NO</v>
      </c>
      <c r="AN188" t="str">
        <f>IF(ISNUMBER(SEARCH("R", 'WetLitterbags placem_collection'!V189)),"YES","NO")</f>
        <v>NO</v>
      </c>
    </row>
    <row r="189" spans="1:40" ht="15" customHeight="1">
      <c r="A189" s="258" t="s">
        <v>2460</v>
      </c>
      <c r="B189" s="263">
        <f>'Dry_Litterbag Placem_Collection'!A190</f>
        <v>188</v>
      </c>
      <c r="C189" s="263" t="str">
        <f>'Dry_Litterbag Placem_Collection'!B190</f>
        <v>Handajega</v>
      </c>
      <c r="D189" s="263" t="s">
        <v>2460</v>
      </c>
      <c r="E189" s="263" t="s">
        <v>2661</v>
      </c>
      <c r="F189" s="263">
        <v>4</v>
      </c>
      <c r="G189" s="264" t="str">
        <f>'Dry_Litterbag Placem_Collection'!C190</f>
        <v>Wet_W4_T4</v>
      </c>
      <c r="H189" s="265" t="s">
        <v>2541</v>
      </c>
      <c r="I189" s="266" t="s">
        <v>1147</v>
      </c>
      <c r="J189" s="223" t="str">
        <f>'WetLitterbags placem_collection'!K190</f>
        <v>G420</v>
      </c>
      <c r="K189" s="225">
        <f>IFERROR(INDEX('Green_rooibos initial weight'!$C$5:$C$1749,MATCH(J189, 'Green_rooibos initial weight'!$A$5:$A$1749,0)),"")</f>
        <v>2.0390000000000001</v>
      </c>
      <c r="L189" s="225">
        <f>IFERROR(K189-(TBIcalc!$H$9+TBIcalc!$H$10),"")</f>
        <v>1.7892000000000001</v>
      </c>
      <c r="M189" s="391">
        <f>AVERAGE(Ashed_controlls!$K$2:$K$11)</f>
        <v>5.5147656768714146</v>
      </c>
      <c r="N189" s="225">
        <f t="shared" si="12"/>
        <v>1.6905298125094168</v>
      </c>
      <c r="O189" s="225">
        <f>IF(IFERROR(INDEX('Both teabags AfterWet'!$C$3:$C$841,MATCH(J189,'Both teabags AfterWet'!$A$3:$A$841,0)),"")="","",(IFERROR(INDEX('Both teabags AfterWet'!$C$3:$C$841,MATCH(J189,'Both teabags AfterWet'!$A$3:$A$841,0)),"")))</f>
        <v>0.29980000000000001</v>
      </c>
      <c r="P189" s="225">
        <f>IFERROR(IF(O189&gt;0,O189-(TBIcalc!$H$9),""),"")</f>
        <v>0.1492</v>
      </c>
      <c r="Q189" s="225">
        <f>IFERROR(INDEX('Ashed teabags wet'!$K$2:$K$821,MATCH(J189,'Ashed teabags wet'!$A$2:$A$821,0)),"")</f>
        <v>12.313003452243912</v>
      </c>
      <c r="R189" s="225">
        <f t="shared" si="16"/>
        <v>0.13082899884925209</v>
      </c>
      <c r="S189" s="226">
        <f>'WetLitterbags placem_collection'!E190</f>
        <v>42763</v>
      </c>
      <c r="T189" s="226">
        <f>IF('WetLitterbags placem_collection'!G190="","",'WetLitterbags placem_collection'!G190)</f>
        <v>42815</v>
      </c>
      <c r="U189" s="227">
        <f t="shared" si="13"/>
        <v>52</v>
      </c>
      <c r="V189" s="225">
        <f t="shared" si="14"/>
        <v>1.6400000000000001</v>
      </c>
      <c r="W189" s="225">
        <f t="shared" si="15"/>
        <v>1.5597008136601647</v>
      </c>
      <c r="X189">
        <f>IFERROR(INDEX(Rainfall_Wet!$O$2:$O$217,MATCH(B189, Rainfall_Wet!$A$2:$A$217,0)),"")</f>
        <v>188.24043152799999</v>
      </c>
      <c r="Y189" s="231">
        <v>25.96</v>
      </c>
      <c r="Z189" s="231">
        <v>8.9200000000000017</v>
      </c>
      <c r="AA189" s="231">
        <v>65.12</v>
      </c>
      <c r="AB189" s="232" t="s">
        <v>2670</v>
      </c>
      <c r="AC189" s="231">
        <v>4.6991621488417898</v>
      </c>
      <c r="AD189">
        <f>IF('WetLitterbags placem_collection'!AB190="","",'WetLitterbags placem_collection'!AB190)</f>
        <v>2.2999999999999998</v>
      </c>
      <c r="AE189">
        <f>IF('WetLitterbags placem_collection'!Z190="","",'WetLitterbags placem_collection'!Z190)</f>
        <v>14.4</v>
      </c>
      <c r="AF189" s="246" t="str">
        <f>IF('WetLitterbags placem_collection'!AA190="","",'WetLitterbags placem_collection'!AA190)</f>
        <v>O</v>
      </c>
      <c r="AG189">
        <f>IF('WetLitterbags placem_collection'!AC190="","",'WetLitterbags placem_collection'!AC190)</f>
        <v>0</v>
      </c>
      <c r="AH189" s="240">
        <f>AVERAGE('WetLitterbags placem_collection'!S190,'WetLitterbags placem_collection'!U190)</f>
        <v>10.45</v>
      </c>
      <c r="AI189">
        <f>AVERAGE('WetLitterbags placem_collection'!R190,'WetLitterbags placem_collection'!T190)</f>
        <v>34.15</v>
      </c>
      <c r="AJ189">
        <f>INDEX(Coordinates!$B$2:$B$197,MATCH(G189,Coordinates!$J$2:$J$197,0))</f>
        <v>-2.278422983</v>
      </c>
      <c r="AK189">
        <f>INDEX(Coordinates!$C$2:$C$197,MATCH(G189,Coordinates!$J$2:$J$197,0))</f>
        <v>34.032261009999999</v>
      </c>
      <c r="AL189" t="str">
        <f>IF(ISNUMBER(SEARCH("C", 'WetLitterbags placem_collection'!V190)),"YES","NO")</f>
        <v>NO</v>
      </c>
      <c r="AM189" t="str">
        <f>IF(ISNUMBER(SEARCH("H", 'WetLitterbags placem_collection'!V190)),"YES","NO")</f>
        <v>YES</v>
      </c>
      <c r="AN189" t="str">
        <f>IF(ISNUMBER(SEARCH("R", 'WetLitterbags placem_collection'!V190)),"YES","NO")</f>
        <v>NO</v>
      </c>
    </row>
    <row r="190" spans="1:40" ht="15" customHeight="1">
      <c r="A190" s="258" t="s">
        <v>2460</v>
      </c>
      <c r="B190" s="263">
        <f>'Dry_Litterbag Placem_Collection'!A191</f>
        <v>189</v>
      </c>
      <c r="C190" s="263" t="str">
        <f>'Dry_Litterbag Placem_Collection'!B191</f>
        <v>Handajega</v>
      </c>
      <c r="D190" s="263" t="s">
        <v>2460</v>
      </c>
      <c r="E190" s="263" t="s">
        <v>2661</v>
      </c>
      <c r="F190" s="263">
        <v>4</v>
      </c>
      <c r="G190" s="264" t="str">
        <f>'Dry_Litterbag Placem_Collection'!C191</f>
        <v>Wet_W4_T5</v>
      </c>
      <c r="H190" s="265" t="s">
        <v>2541</v>
      </c>
      <c r="I190" s="266" t="s">
        <v>1147</v>
      </c>
      <c r="J190" s="223" t="str">
        <f>'WetLitterbags placem_collection'!K191</f>
        <v>G367</v>
      </c>
      <c r="K190" s="225">
        <f>IFERROR(INDEX('Green_rooibos initial weight'!$C$5:$C$1749,MATCH(J190, 'Green_rooibos initial weight'!$A$5:$A$1749,0)),"")</f>
        <v>2.0990000000000002</v>
      </c>
      <c r="L190" s="225">
        <f>IFERROR(K190-(TBIcalc!$H$9+TBIcalc!$H$10),"")</f>
        <v>1.8492000000000002</v>
      </c>
      <c r="M190" s="391">
        <f>AVERAGE(Ashed_controlls!$K$2:$K$11)</f>
        <v>5.5147656768714146</v>
      </c>
      <c r="N190" s="225">
        <f t="shared" si="12"/>
        <v>1.7472209531032941</v>
      </c>
      <c r="O190" s="225">
        <f>IF(IFERROR(INDEX('Both teabags AfterWet'!$C$3:$C$841,MATCH(J190,'Both teabags AfterWet'!$A$3:$A$841,0)),"")="","",(IFERROR(INDEX('Both teabags AfterWet'!$C$3:$C$841,MATCH(J190,'Both teabags AfterWet'!$A$3:$A$841,0)),"")))</f>
        <v>0.80840000000000001</v>
      </c>
      <c r="P190" s="225">
        <f>IFERROR(IF(O190&gt;0,O190-(TBIcalc!$H$9),""),"")</f>
        <v>0.65779999999999994</v>
      </c>
      <c r="Q190" s="225">
        <f>IFERROR(INDEX('Ashed teabags wet'!$K$2:$K$821,MATCH(J190,'Ashed teabags wet'!$A$2:$A$821,0)),"")</f>
        <v>9.3843098311821134</v>
      </c>
      <c r="R190" s="225">
        <f t="shared" si="16"/>
        <v>0.59607000993048398</v>
      </c>
      <c r="S190" s="226">
        <f>'WetLitterbags placem_collection'!E191</f>
        <v>42763</v>
      </c>
      <c r="T190" s="226">
        <f>IF('WetLitterbags placem_collection'!G191="","",'WetLitterbags placem_collection'!G191)</f>
        <v>42815</v>
      </c>
      <c r="U190" s="227">
        <f t="shared" si="13"/>
        <v>52</v>
      </c>
      <c r="V190" s="225">
        <f t="shared" si="14"/>
        <v>1.1914000000000002</v>
      </c>
      <c r="W190" s="225">
        <f t="shared" si="15"/>
        <v>1.15115094317281</v>
      </c>
      <c r="X190">
        <f>IFERROR(INDEX(Rainfall_Wet!$O$2:$O$217,MATCH(B190, Rainfall_Wet!$A$2:$A$217,0)),"")</f>
        <v>188.24043152799999</v>
      </c>
      <c r="Y190" s="231">
        <v>25.96</v>
      </c>
      <c r="Z190" s="231">
        <v>8.9200000000000017</v>
      </c>
      <c r="AA190" s="231">
        <v>65.12</v>
      </c>
      <c r="AB190" s="232" t="s">
        <v>2670</v>
      </c>
      <c r="AC190" s="231">
        <v>5.6991621488417898</v>
      </c>
      <c r="AD190">
        <f>IF('WetLitterbags placem_collection'!AB191="","",'WetLitterbags placem_collection'!AB191)</f>
        <v>0.6</v>
      </c>
      <c r="AE190">
        <f>IF('WetLitterbags placem_collection'!Z191="","",'WetLitterbags placem_collection'!Z191)</f>
        <v>7</v>
      </c>
      <c r="AF190" s="246" t="str">
        <f>IF('WetLitterbags placem_collection'!AA191="","",'WetLitterbags placem_collection'!AA191)</f>
        <v>O</v>
      </c>
      <c r="AG190">
        <f>IF('WetLitterbags placem_collection'!AC191="","",'WetLitterbags placem_collection'!AC191)</f>
        <v>1</v>
      </c>
      <c r="AH190" s="240">
        <f>AVERAGE('WetLitterbags placem_collection'!S191,'WetLitterbags placem_collection'!U191)</f>
        <v>13.6</v>
      </c>
      <c r="AI190">
        <f>AVERAGE('WetLitterbags placem_collection'!R191,'WetLitterbags placem_collection'!T191)</f>
        <v>30.6</v>
      </c>
      <c r="AJ190">
        <f>INDEX(Coordinates!$B$2:$B$197,MATCH(G190,Coordinates!$J$2:$J$197,0))</f>
        <v>-2.2787580080000001</v>
      </c>
      <c r="AK190">
        <f>INDEX(Coordinates!$C$2:$C$197,MATCH(G190,Coordinates!$J$2:$J$197,0))</f>
        <v>34.032463010000001</v>
      </c>
      <c r="AL190" t="str">
        <f>IF(ISNUMBER(SEARCH("C", 'WetLitterbags placem_collection'!V191)),"YES","NO")</f>
        <v>YES</v>
      </c>
      <c r="AM190" t="str">
        <f>IF(ISNUMBER(SEARCH("H", 'WetLitterbags placem_collection'!V191)),"YES","NO")</f>
        <v>NO</v>
      </c>
      <c r="AN190" t="str">
        <f>IF(ISNUMBER(SEARCH("R", 'WetLitterbags placem_collection'!V191)),"YES","NO")</f>
        <v>YES</v>
      </c>
    </row>
    <row r="191" spans="1:40" ht="15" customHeight="1">
      <c r="A191" s="258" t="s">
        <v>2460</v>
      </c>
      <c r="B191" s="263">
        <f>'Dry_Litterbag Placem_Collection'!A192</f>
        <v>190</v>
      </c>
      <c r="C191" s="263" t="str">
        <f>'Dry_Litterbag Placem_Collection'!B192</f>
        <v>Handajega</v>
      </c>
      <c r="D191" s="263" t="s">
        <v>2460</v>
      </c>
      <c r="E191" s="263" t="s">
        <v>2661</v>
      </c>
      <c r="F191" s="263">
        <v>4</v>
      </c>
      <c r="G191" s="264" t="str">
        <f>'Dry_Litterbag Placem_Collection'!C192</f>
        <v>Wet_W4_T6</v>
      </c>
      <c r="H191" s="265" t="s">
        <v>2541</v>
      </c>
      <c r="I191" s="266" t="s">
        <v>1147</v>
      </c>
      <c r="J191" s="223" t="str">
        <f>'WetLitterbags placem_collection'!K192</f>
        <v>G526</v>
      </c>
      <c r="K191" s="225">
        <f>IFERROR(INDEX('Green_rooibos initial weight'!$C$5:$C$1749,MATCH(J191, 'Green_rooibos initial weight'!$A$5:$A$1749,0)),"")</f>
        <v>2.0760000000000001</v>
      </c>
      <c r="L191" s="225">
        <f>IFERROR(K191-(TBIcalc!$H$9+TBIcalc!$H$10),"")</f>
        <v>1.8262</v>
      </c>
      <c r="M191" s="391">
        <f>AVERAGE(Ashed_controlls!$K$2:$K$11)</f>
        <v>5.5147656768714146</v>
      </c>
      <c r="N191" s="225">
        <f t="shared" si="12"/>
        <v>1.7254893492089742</v>
      </c>
      <c r="O191" s="225">
        <f>IF(IFERROR(INDEX('Both teabags AfterWet'!$C$3:$C$841,MATCH(J191,'Both teabags AfterWet'!$A$3:$A$841,0)),"")="","",(IFERROR(INDEX('Both teabags AfterWet'!$C$3:$C$841,MATCH(J191,'Both teabags AfterWet'!$A$3:$A$841,0)),"")))</f>
        <v>0.61960000000000004</v>
      </c>
      <c r="P191" s="225">
        <f>IFERROR(IF(O191&gt;0,O191-(TBIcalc!$H$9),""),"")</f>
        <v>0.46900000000000003</v>
      </c>
      <c r="Q191" s="225">
        <f>IFERROR(INDEX('Ashed teabags wet'!$K$2:$K$821,MATCH(J191,'Ashed teabags wet'!$A$2:$A$821,0)),"")</f>
        <v>9.78043912175667</v>
      </c>
      <c r="R191" s="225">
        <f t="shared" si="16"/>
        <v>0.42312974051896124</v>
      </c>
      <c r="S191" s="226">
        <f>'WetLitterbags placem_collection'!E192</f>
        <v>42763</v>
      </c>
      <c r="T191" s="226">
        <f>IF('WetLitterbags placem_collection'!G192="","",'WetLitterbags placem_collection'!G192)</f>
        <v>42815</v>
      </c>
      <c r="U191" s="227">
        <f t="shared" si="13"/>
        <v>52</v>
      </c>
      <c r="V191" s="225">
        <f t="shared" si="14"/>
        <v>1.3572</v>
      </c>
      <c r="W191" s="225">
        <f t="shared" si="15"/>
        <v>1.3023596086900131</v>
      </c>
      <c r="X191">
        <f>IFERROR(INDEX(Rainfall_Wet!$O$2:$O$217,MATCH(B191, Rainfall_Wet!$A$2:$A$217,0)),"")</f>
        <v>188.24043152799999</v>
      </c>
      <c r="Y191" s="231">
        <v>25.96</v>
      </c>
      <c r="Z191" s="231">
        <v>8.9200000000000017</v>
      </c>
      <c r="AA191" s="231">
        <v>65.12</v>
      </c>
      <c r="AB191" s="232" t="s">
        <v>2670</v>
      </c>
      <c r="AC191" s="231">
        <v>6.6991621488417898</v>
      </c>
      <c r="AD191">
        <f>IF('WetLitterbags placem_collection'!AB192="","",'WetLitterbags placem_collection'!AB192)</f>
        <v>9.5</v>
      </c>
      <c r="AE191">
        <f>IF('WetLitterbags placem_collection'!Z192="","",'WetLitterbags placem_collection'!Z192)</f>
        <v>17.399999999999999</v>
      </c>
      <c r="AF191" s="246" t="str">
        <f>IF('WetLitterbags placem_collection'!AA192="","",'WetLitterbags placem_collection'!AA192)</f>
        <v>O</v>
      </c>
      <c r="AG191">
        <f>IF('WetLitterbags placem_collection'!AC192="","",'WetLitterbags placem_collection'!AC192)</f>
        <v>0</v>
      </c>
      <c r="AH191" s="240">
        <f>AVERAGE('WetLitterbags placem_collection'!S192,'WetLitterbags placem_collection'!U192)</f>
        <v>13.55</v>
      </c>
      <c r="AI191">
        <f>AVERAGE('WetLitterbags placem_collection'!R192,'WetLitterbags placem_collection'!T192)</f>
        <v>34.049999999999997</v>
      </c>
      <c r="AJ191">
        <f>INDEX(Coordinates!$B$2:$B$197,MATCH(G191,Coordinates!$J$2:$J$197,0))</f>
        <v>-2.2787559960000001</v>
      </c>
      <c r="AK191">
        <f>INDEX(Coordinates!$C$2:$C$197,MATCH(G191,Coordinates!$J$2:$J$197,0))</f>
        <v>34.032268969999997</v>
      </c>
      <c r="AL191" t="str">
        <f>IF(ISNUMBER(SEARCH("C", 'WetLitterbags placem_collection'!V192)),"YES","NO")</f>
        <v>NO</v>
      </c>
      <c r="AM191" t="str">
        <f>IF(ISNUMBER(SEARCH("H", 'WetLitterbags placem_collection'!V192)),"YES","NO")</f>
        <v>NO</v>
      </c>
      <c r="AN191" t="str">
        <f>IF(ISNUMBER(SEARCH("R", 'WetLitterbags placem_collection'!V192)),"YES","NO")</f>
        <v>NO</v>
      </c>
    </row>
    <row r="192" spans="1:40" ht="15" customHeight="1">
      <c r="A192" s="258" t="s">
        <v>2460</v>
      </c>
      <c r="B192" s="263">
        <f>'Dry_Litterbag Placem_Collection'!A193</f>
        <v>191</v>
      </c>
      <c r="C192" s="263" t="str">
        <f>'Dry_Litterbag Placem_Collection'!B193</f>
        <v>Handajega</v>
      </c>
      <c r="D192" s="263" t="s">
        <v>2460</v>
      </c>
      <c r="E192" s="263" t="s">
        <v>2661</v>
      </c>
      <c r="F192" s="263">
        <v>4</v>
      </c>
      <c r="G192" s="264" t="str">
        <f>'Dry_Litterbag Placem_Collection'!C193</f>
        <v>Wet_W4_T7</v>
      </c>
      <c r="H192" s="265" t="s">
        <v>2541</v>
      </c>
      <c r="I192" s="266" t="s">
        <v>1147</v>
      </c>
      <c r="J192" s="223" t="str">
        <f>'WetLitterbags placem_collection'!K193</f>
        <v>G522</v>
      </c>
      <c r="K192" s="225">
        <f>IFERROR(INDEX('Green_rooibos initial weight'!$C$5:$C$1749,MATCH(J192, 'Green_rooibos initial weight'!$A$5:$A$1749,0)),"")</f>
        <v>1.821</v>
      </c>
      <c r="L192" s="225">
        <f>IFERROR(K192-(TBIcalc!$H$9+TBIcalc!$H$10),"")</f>
        <v>1.5711999999999999</v>
      </c>
      <c r="M192" s="391">
        <f>AVERAGE(Ashed_controlls!$K$2:$K$11)</f>
        <v>5.5147656768714146</v>
      </c>
      <c r="N192" s="225">
        <f t="shared" si="12"/>
        <v>1.4845520016849962</v>
      </c>
      <c r="O192" s="225">
        <f>IF(IFERROR(INDEX('Both teabags AfterWet'!$C$3:$C$841,MATCH(J192,'Both teabags AfterWet'!$A$3:$A$841,0)),"")="","",(IFERROR(INDEX('Both teabags AfterWet'!$C$3:$C$841,MATCH(J192,'Both teabags AfterWet'!$A$3:$A$841,0)),"")))</f>
        <v>0.628</v>
      </c>
      <c r="P192" s="225">
        <f>IFERROR(IF(O192&gt;0,O192-(TBIcalc!$H$9),""),"")</f>
        <v>0.47739999999999999</v>
      </c>
      <c r="Q192" s="225">
        <f>IFERROR(INDEX('Ashed teabags wet'!$K$2:$K$821,MATCH(J192,'Ashed teabags wet'!$A$2:$A$821,0)),"")</f>
        <v>9.2361457813275862</v>
      </c>
      <c r="R192" s="225">
        <f t="shared" si="16"/>
        <v>0.43330664003994213</v>
      </c>
      <c r="S192" s="226">
        <f>'WetLitterbags placem_collection'!E193</f>
        <v>42763</v>
      </c>
      <c r="T192" s="226">
        <f>IF('WetLitterbags placem_collection'!G193="","",'WetLitterbags placem_collection'!G193)</f>
        <v>42815</v>
      </c>
      <c r="U192" s="227">
        <f t="shared" si="13"/>
        <v>52</v>
      </c>
      <c r="V192" s="225">
        <f t="shared" si="14"/>
        <v>1.0937999999999999</v>
      </c>
      <c r="W192" s="225">
        <f t="shared" si="15"/>
        <v>1.0512453616450541</v>
      </c>
      <c r="X192">
        <f>IFERROR(INDEX(Rainfall_Wet!$O$2:$O$217,MATCH(B192, Rainfall_Wet!$A$2:$A$217,0)),"")</f>
        <v>188.24043152799999</v>
      </c>
      <c r="Y192" s="231">
        <v>25.96</v>
      </c>
      <c r="Z192" s="231">
        <v>8.9200000000000017</v>
      </c>
      <c r="AA192" s="231">
        <v>65.12</v>
      </c>
      <c r="AB192" s="232" t="s">
        <v>2670</v>
      </c>
      <c r="AC192" s="231">
        <v>7.6991621488417898</v>
      </c>
      <c r="AD192">
        <f>IF('WetLitterbags placem_collection'!AB193="","",'WetLitterbags placem_collection'!AB193)</f>
        <v>12.4</v>
      </c>
      <c r="AE192">
        <f>IF('WetLitterbags placem_collection'!Z193="","",'WetLitterbags placem_collection'!Z193)</f>
        <v>29.8</v>
      </c>
      <c r="AF192" s="246" t="str">
        <f>IF('WetLitterbags placem_collection'!AA193="","",'WetLitterbags placem_collection'!AA193)</f>
        <v>O</v>
      </c>
      <c r="AG192">
        <f>IF('WetLitterbags placem_collection'!AC193="","",'WetLitterbags placem_collection'!AC193)</f>
        <v>0</v>
      </c>
      <c r="AH192" s="240">
        <f>AVERAGE('WetLitterbags placem_collection'!S193,'WetLitterbags placem_collection'!U193)</f>
        <v>12.350000000000001</v>
      </c>
      <c r="AI192">
        <f>AVERAGE('WetLitterbags placem_collection'!R193,'WetLitterbags placem_collection'!T193)</f>
        <v>35</v>
      </c>
      <c r="AJ192">
        <f>INDEX(Coordinates!$B$2:$B$197,MATCH(G192,Coordinates!$J$2:$J$197,0))</f>
        <v>-2.278704029</v>
      </c>
      <c r="AK192">
        <f>INDEX(Coordinates!$C$2:$C$197,MATCH(G192,Coordinates!$J$2:$J$197,0))</f>
        <v>34.032182970000001</v>
      </c>
      <c r="AL192" t="str">
        <f>IF(ISNUMBER(SEARCH("C", 'WetLitterbags placem_collection'!V193)),"YES","NO")</f>
        <v>NO</v>
      </c>
      <c r="AM192" t="str">
        <f>IF(ISNUMBER(SEARCH("H", 'WetLitterbags placem_collection'!V193)),"YES","NO")</f>
        <v>NO</v>
      </c>
      <c r="AN192" t="str">
        <f>IF(ISNUMBER(SEARCH("R", 'WetLitterbags placem_collection'!V193)),"YES","NO")</f>
        <v>NO</v>
      </c>
    </row>
    <row r="193" spans="1:40" ht="15" customHeight="1">
      <c r="A193" s="258" t="s">
        <v>2460</v>
      </c>
      <c r="B193" s="263">
        <f>'Dry_Litterbag Placem_Collection'!A194</f>
        <v>192</v>
      </c>
      <c r="C193" s="263" t="str">
        <f>'Dry_Litterbag Placem_Collection'!B194</f>
        <v>Handajega</v>
      </c>
      <c r="D193" s="263" t="s">
        <v>2460</v>
      </c>
      <c r="E193" s="263" t="s">
        <v>2661</v>
      </c>
      <c r="F193" s="263">
        <v>4</v>
      </c>
      <c r="G193" s="264" t="str">
        <f>'Dry_Litterbag Placem_Collection'!C194</f>
        <v>Wet_W4_T8</v>
      </c>
      <c r="H193" s="265" t="s">
        <v>2541</v>
      </c>
      <c r="I193" s="266" t="s">
        <v>1147</v>
      </c>
      <c r="J193" s="223" t="str">
        <f>'WetLitterbags placem_collection'!K194</f>
        <v>G591</v>
      </c>
      <c r="K193" s="225">
        <f>IFERROR(INDEX('Green_rooibos initial weight'!$C$5:$C$1749,MATCH(J193, 'Green_rooibos initial weight'!$A$5:$A$1749,0)),"")</f>
        <v>2.0920000000000001</v>
      </c>
      <c r="L193" s="225">
        <f>IFERROR(K193-(TBIcalc!$H$9+TBIcalc!$H$10),"")</f>
        <v>1.8422000000000001</v>
      </c>
      <c r="M193" s="391">
        <f>AVERAGE(Ashed_controlls!$K$2:$K$11)</f>
        <v>5.5147656768714146</v>
      </c>
      <c r="N193" s="225">
        <f t="shared" si="12"/>
        <v>1.7406069867006748</v>
      </c>
      <c r="O193" s="225">
        <f>IF(IFERROR(INDEX('Both teabags AfterWet'!$C$3:$C$841,MATCH(J193,'Both teabags AfterWet'!$A$3:$A$841,0)),"")="","",(IFERROR(INDEX('Both teabags AfterWet'!$C$3:$C$841,MATCH(J193,'Both teabags AfterWet'!$A$3:$A$841,0)),"")))</f>
        <v>0.66100000000000003</v>
      </c>
      <c r="P193" s="225">
        <f>IFERROR(IF(O193&gt;0,O193-(TBIcalc!$H$9),""),"")</f>
        <v>0.51039999999999996</v>
      </c>
      <c r="Q193" s="225">
        <f>IFERROR(INDEX('Ashed teabags wet'!$K$2:$K$821,MATCH(J193,'Ashed teabags wet'!$A$2:$A$821,0)),"")</f>
        <v>10.322580645161365</v>
      </c>
      <c r="R193" s="225">
        <f t="shared" si="16"/>
        <v>0.45771354838709638</v>
      </c>
      <c r="S193" s="226">
        <f>'WetLitterbags placem_collection'!E194</f>
        <v>42763</v>
      </c>
      <c r="T193" s="226">
        <f>IF('WetLitterbags placem_collection'!G194="","",'WetLitterbags placem_collection'!G194)</f>
        <v>42815</v>
      </c>
      <c r="U193" s="227">
        <f t="shared" si="13"/>
        <v>52</v>
      </c>
      <c r="V193" s="225">
        <f t="shared" si="14"/>
        <v>1.3318000000000001</v>
      </c>
      <c r="W193" s="225">
        <f t="shared" si="15"/>
        <v>1.2828934383135784</v>
      </c>
      <c r="X193">
        <f>IFERROR(INDEX(Rainfall_Wet!$O$2:$O$217,MATCH(B193, Rainfall_Wet!$A$2:$A$217,0)),"")</f>
        <v>188.24043152799999</v>
      </c>
      <c r="Y193" s="231">
        <v>25.96</v>
      </c>
      <c r="Z193" s="231">
        <v>8.9200000000000017</v>
      </c>
      <c r="AA193" s="231">
        <v>65.12</v>
      </c>
      <c r="AB193" s="232" t="s">
        <v>2670</v>
      </c>
      <c r="AC193" s="231">
        <v>8.6991621488417898</v>
      </c>
      <c r="AD193">
        <f>IF('WetLitterbags placem_collection'!AB194="","",'WetLitterbags placem_collection'!AB194)</f>
        <v>3.6</v>
      </c>
      <c r="AE193">
        <f>IF('WetLitterbags placem_collection'!Z194="","",'WetLitterbags placem_collection'!Z194)</f>
        <v>37.799999999999997</v>
      </c>
      <c r="AF193" s="246" t="str">
        <f>IF('WetLitterbags placem_collection'!AA194="","",'WetLitterbags placem_collection'!AA194)</f>
        <v>O</v>
      </c>
      <c r="AG193">
        <f>IF('WetLitterbags placem_collection'!AC194="","",'WetLitterbags placem_collection'!AC194)</f>
        <v>0</v>
      </c>
      <c r="AH193" s="240">
        <f>AVERAGE('WetLitterbags placem_collection'!S194,'WetLitterbags placem_collection'!U194)</f>
        <v>9.25</v>
      </c>
      <c r="AI193">
        <f>AVERAGE('WetLitterbags placem_collection'!R194,'WetLitterbags placem_collection'!T194)</f>
        <v>33.299999999999997</v>
      </c>
      <c r="AJ193">
        <f>INDEX(Coordinates!$B$2:$B$197,MATCH(G193,Coordinates!$J$2:$J$197,0))</f>
        <v>-2.2789770269999998</v>
      </c>
      <c r="AK193">
        <f>INDEX(Coordinates!$C$2:$C$197,MATCH(G193,Coordinates!$J$2:$J$197,0))</f>
        <v>34.032051039999999</v>
      </c>
      <c r="AL193" t="str">
        <f>IF(ISNUMBER(SEARCH("C", 'WetLitterbags placem_collection'!V194)),"YES","NO")</f>
        <v>NO</v>
      </c>
      <c r="AM193" t="str">
        <f>IF(ISNUMBER(SEARCH("H", 'WetLitterbags placem_collection'!V194)),"YES","NO")</f>
        <v>NO</v>
      </c>
      <c r="AN193" t="str">
        <f>IF(ISNUMBER(SEARCH("R", 'WetLitterbags placem_collection'!V194)),"YES","NO")</f>
        <v>NO</v>
      </c>
    </row>
    <row r="194" spans="1:40" ht="15" customHeight="1">
      <c r="A194" s="258" t="s">
        <v>2460</v>
      </c>
      <c r="B194" s="263">
        <f>'Dry_Litterbag Placem_Collection'!A195</f>
        <v>193</v>
      </c>
      <c r="C194" s="263" t="str">
        <f>'Dry_Litterbag Placem_Collection'!B195</f>
        <v>Makao</v>
      </c>
      <c r="D194" s="263" t="s">
        <v>2659</v>
      </c>
      <c r="E194" s="263" t="s">
        <v>2526</v>
      </c>
      <c r="F194" s="263">
        <v>4</v>
      </c>
      <c r="G194" s="264" t="str">
        <f>'Dry_Litterbag Placem_Collection'!C195</f>
        <v>Dry_Ag1_CG4</v>
      </c>
      <c r="H194" s="265" t="s">
        <v>2541</v>
      </c>
      <c r="I194" s="266" t="s">
        <v>1147</v>
      </c>
      <c r="J194" s="223" t="str">
        <f>'WetLitterbags placem_collection'!K195</f>
        <v>G863</v>
      </c>
      <c r="K194" s="225">
        <f>IFERROR(INDEX('Green_rooibos initial weight'!$C$5:$C$1749,MATCH(J194, 'Green_rooibos initial weight'!$A$5:$A$1749,0)),"")</f>
        <v>2.0230000000000001</v>
      </c>
      <c r="L194" s="225">
        <f>IFERROR(K194-(TBIcalc!$H$9+TBIcalc!$H$10),"")</f>
        <v>1.7732000000000001</v>
      </c>
      <c r="M194" s="391">
        <f>AVERAGE(Ashed_controlls!$K$2:$K$11)</f>
        <v>5.5147656768714146</v>
      </c>
      <c r="N194" s="225">
        <f t="shared" si="12"/>
        <v>1.6754121750177162</v>
      </c>
      <c r="O194" s="225">
        <f>IF(IFERROR(INDEX('Both teabags AfterWet'!$C$3:$C$841,MATCH(J194,'Both teabags AfterWet'!$A$3:$A$841,0)),"")="","",(IFERROR(INDEX('Both teabags AfterWet'!$C$3:$C$841,MATCH(J194,'Both teabags AfterWet'!$A$3:$A$841,0)),"")))</f>
        <v>0.64890000000000003</v>
      </c>
      <c r="P194" s="225">
        <f>IFERROR(IF(O194&gt;0,O194-(TBIcalc!$H$9),""),"")</f>
        <v>0.49830000000000002</v>
      </c>
      <c r="Q194" s="225">
        <f>IFERROR(INDEX('Ashed teabags wet'!$K$2:$K$821,MATCH(J194,'Ashed teabags wet'!$A$2:$A$821,0)),"")</f>
        <v>8.2238442822379554</v>
      </c>
      <c r="R194" s="225">
        <f t="shared" si="16"/>
        <v>0.45732058394160829</v>
      </c>
      <c r="S194" s="226">
        <f>'WetLitterbags placem_collection'!E195</f>
        <v>42769</v>
      </c>
      <c r="T194" s="226">
        <f>IF('WetLitterbags placem_collection'!G195="","",'WetLitterbags placem_collection'!G195)</f>
        <v>42813</v>
      </c>
      <c r="U194" s="227">
        <f t="shared" si="13"/>
        <v>44</v>
      </c>
      <c r="V194" s="225">
        <f t="shared" si="14"/>
        <v>1.2749000000000001</v>
      </c>
      <c r="W194" s="225">
        <f t="shared" si="15"/>
        <v>1.2180915910761079</v>
      </c>
      <c r="X194">
        <f>IFERROR(INDEX(Rainfall_Wet!$O$2:$O$217,MATCH(B194, Rainfall_Wet!$A$2:$A$217,0)),"")</f>
        <v>175.054685654</v>
      </c>
      <c r="Y194" s="231">
        <v>12.565665055683967</v>
      </c>
      <c r="Z194" s="231">
        <v>0.9665896196679955</v>
      </c>
      <c r="AA194" s="231">
        <v>86.467745324648035</v>
      </c>
      <c r="AB194" s="232" t="s">
        <v>2672</v>
      </c>
      <c r="AC194" s="231">
        <v>1.0225726959093147</v>
      </c>
      <c r="AD194">
        <f>IF('WetLitterbags placem_collection'!AB195="","",'WetLitterbags placem_collection'!AB195)</f>
        <v>15.2</v>
      </c>
      <c r="AE194">
        <f>IF('WetLitterbags placem_collection'!Z195="","",'WetLitterbags placem_collection'!Z195)</f>
        <v>12.2</v>
      </c>
      <c r="AF194" s="246" t="str">
        <f>IF('WetLitterbags placem_collection'!AA195="","",'WetLitterbags placem_collection'!AA195)</f>
        <v>O</v>
      </c>
      <c r="AG194">
        <f>IF('WetLitterbags placem_collection'!AC195="","",'WetLitterbags placem_collection'!AC195)</f>
        <v>1</v>
      </c>
      <c r="AH194" s="240">
        <f>AVERAGE('WetLitterbags placem_collection'!S195,'WetLitterbags placem_collection'!U195)</f>
        <v>22.4</v>
      </c>
      <c r="AI194">
        <f>AVERAGE('WetLitterbags placem_collection'!R195,'WetLitterbags placem_collection'!T195)</f>
        <v>28.95</v>
      </c>
      <c r="AJ194">
        <v>-2.4396949910000001</v>
      </c>
      <c r="AK194">
        <v>34.838574029999997</v>
      </c>
      <c r="AL194" t="str">
        <f>IF(ISNUMBER(SEARCH("C", 'WetLitterbags placem_collection'!V195)),"YES","NO")</f>
        <v>NO</v>
      </c>
      <c r="AM194" t="str">
        <f>IF(ISNUMBER(SEARCH("H", 'WetLitterbags placem_collection'!V195)),"YES","NO")</f>
        <v>NO</v>
      </c>
      <c r="AN194" t="str">
        <f>IF(ISNUMBER(SEARCH("R", 'WetLitterbags placem_collection'!V195)),"YES","NO")</f>
        <v>YES</v>
      </c>
    </row>
    <row r="195" spans="1:40" ht="15" customHeight="1">
      <c r="A195" s="258" t="s">
        <v>2460</v>
      </c>
      <c r="B195" s="263">
        <f>'Dry_Litterbag Placem_Collection'!A196</f>
        <v>194</v>
      </c>
      <c r="C195" s="263" t="str">
        <f>'Dry_Litterbag Placem_Collection'!B196</f>
        <v>Makao</v>
      </c>
      <c r="D195" s="263" t="s">
        <v>2659</v>
      </c>
      <c r="E195" s="263" t="s">
        <v>2526</v>
      </c>
      <c r="F195" s="263">
        <v>3</v>
      </c>
      <c r="G195" s="264" t="str">
        <f>'Dry_Litterbag Placem_Collection'!C196</f>
        <v>Dry_Ag2_CG3</v>
      </c>
      <c r="H195" s="265" t="s">
        <v>2541</v>
      </c>
      <c r="I195" s="266" t="s">
        <v>1147</v>
      </c>
      <c r="J195" s="223" t="str">
        <f>'WetLitterbags placem_collection'!K196</f>
        <v>G615</v>
      </c>
      <c r="K195" s="225">
        <f>IFERROR(INDEX('Green_rooibos initial weight'!$C$5:$C$1749,MATCH(J195, 'Green_rooibos initial weight'!$A$5:$A$1749,0)),"")</f>
        <v>1.9630000000000001</v>
      </c>
      <c r="L195" s="225">
        <f>IFERROR(K195-(TBIcalc!$H$9+TBIcalc!$H$10),"")</f>
        <v>1.7132000000000001</v>
      </c>
      <c r="M195" s="391">
        <f>AVERAGE(Ashed_controlls!$K$2:$K$11)</f>
        <v>5.5147656768714146</v>
      </c>
      <c r="N195" s="225">
        <f t="shared" ref="N195:N258" si="17">IFERROR(L195-(M195/100)*L195,"")</f>
        <v>1.618721034423839</v>
      </c>
      <c r="O195" s="225" t="str">
        <f>IF(IFERROR(INDEX('Both teabags AfterWet'!$C$3:$C$841,MATCH(J195,'Both teabags AfterWet'!$A$3:$A$841,0)),"")="","",(IFERROR(INDEX('Both teabags AfterWet'!$C$3:$C$841,MATCH(J195,'Both teabags AfterWet'!$A$3:$A$841,0)),"")))</f>
        <v/>
      </c>
      <c r="P195" s="225" t="str">
        <f>IFERROR(IF(O195&gt;0,O195-(TBIcalc!$H$9),""),"")</f>
        <v/>
      </c>
      <c r="Q195" s="225">
        <f>IFERROR(INDEX('Ashed teabags wet'!$K$2:$K$821,MATCH(J195,'Ashed teabags wet'!$A$2:$A$821,0)),"")</f>
        <v>11.187777230163009</v>
      </c>
      <c r="R195" s="225" t="str">
        <f t="shared" si="16"/>
        <v/>
      </c>
      <c r="S195" s="226">
        <f>'WetLitterbags placem_collection'!E196</f>
        <v>42769</v>
      </c>
      <c r="T195" s="226">
        <f>IF('WetLitterbags placem_collection'!G196="","",'WetLitterbags placem_collection'!G196)</f>
        <v>42813</v>
      </c>
      <c r="U195" s="227">
        <f t="shared" ref="U195:U258" si="18">IFERROR(T195-S195,"")</f>
        <v>44</v>
      </c>
      <c r="V195" s="225" t="str">
        <f t="shared" ref="V195:V258" si="19">IFERROR(L195-P195,"")</f>
        <v/>
      </c>
      <c r="W195" s="225" t="str">
        <f t="shared" ref="W195:W258" si="20">IFERROR(N195-R195,"")</f>
        <v/>
      </c>
      <c r="X195">
        <f>IFERROR(INDEX(Rainfall_Wet!$O$2:$O$217,MATCH(B195, Rainfall_Wet!$A$2:$A$217,0)),"")</f>
        <v>175.054685654</v>
      </c>
      <c r="Y195" s="231">
        <v>21.13063730679653</v>
      </c>
      <c r="Z195" s="231">
        <v>3.0912555579081076</v>
      </c>
      <c r="AA195" s="231">
        <v>75.778107135295357</v>
      </c>
      <c r="AB195" s="232" t="s">
        <v>2670</v>
      </c>
      <c r="AC195" s="231">
        <v>0.46131099063578063</v>
      </c>
      <c r="AD195">
        <f>IF('WetLitterbags placem_collection'!AB196="","",'WetLitterbags placem_collection'!AB196)</f>
        <v>7.9</v>
      </c>
      <c r="AE195">
        <f>IF('WetLitterbags placem_collection'!Z196="","",'WetLitterbags placem_collection'!Z196)</f>
        <v>7.9</v>
      </c>
      <c r="AF195" s="246" t="str">
        <f>IF('WetLitterbags placem_collection'!AA196="","",'WetLitterbags placem_collection'!AA196)</f>
        <v>O</v>
      </c>
      <c r="AG195">
        <f>IF('WetLitterbags placem_collection'!AC196="","",'WetLitterbags placem_collection'!AC196)</f>
        <v>1</v>
      </c>
      <c r="AH195" s="240">
        <f>AVERAGE('WetLitterbags placem_collection'!S196,'WetLitterbags placem_collection'!U196)</f>
        <v>19.600000000000001</v>
      </c>
      <c r="AI195">
        <f>AVERAGE('WetLitterbags placem_collection'!R196,'WetLitterbags placem_collection'!T196)</f>
        <v>29.3</v>
      </c>
      <c r="AJ195">
        <v>-2.4395990190000001</v>
      </c>
      <c r="AK195">
        <v>34.838418959999998</v>
      </c>
      <c r="AL195" t="str">
        <f>IF(ISNUMBER(SEARCH("C", 'WetLitterbags placem_collection'!V196)),"YES","NO")</f>
        <v>NO</v>
      </c>
      <c r="AM195" t="str">
        <f>IF(ISNUMBER(SEARCH("H", 'WetLitterbags placem_collection'!V196)),"YES","NO")</f>
        <v>NO</v>
      </c>
      <c r="AN195" t="str">
        <f>IF(ISNUMBER(SEARCH("R", 'WetLitterbags placem_collection'!V196)),"YES","NO")</f>
        <v>YES</v>
      </c>
    </row>
    <row r="196" spans="1:40" ht="15" customHeight="1">
      <c r="A196" s="258" t="s">
        <v>2460</v>
      </c>
      <c r="B196" s="263">
        <f>'Dry_Litterbag Placem_Collection'!A197</f>
        <v>195</v>
      </c>
      <c r="C196" s="263" t="str">
        <f>'Dry_Litterbag Placem_Collection'!B197</f>
        <v>Makao</v>
      </c>
      <c r="D196" s="263" t="s">
        <v>2659</v>
      </c>
      <c r="E196" s="263" t="s">
        <v>2526</v>
      </c>
      <c r="F196" s="263">
        <v>2</v>
      </c>
      <c r="G196" s="264" t="str">
        <f>'Dry_Litterbag Placem_Collection'!C197</f>
        <v>Dry_Ag3_CG2</v>
      </c>
      <c r="H196" s="265" t="s">
        <v>2541</v>
      </c>
      <c r="I196" s="266" t="s">
        <v>1147</v>
      </c>
      <c r="J196" s="223" t="str">
        <f>'WetLitterbags placem_collection'!K197</f>
        <v>G821</v>
      </c>
      <c r="K196" s="225">
        <f>IFERROR(INDEX('Green_rooibos initial weight'!$C$5:$C$1749,MATCH(J196, 'Green_rooibos initial weight'!$A$5:$A$1749,0)),"")</f>
        <v>1.9990000000000001</v>
      </c>
      <c r="L196" s="225">
        <f>IFERROR(K196-(TBIcalc!$H$9+TBIcalc!$H$10),"")</f>
        <v>1.7492000000000001</v>
      </c>
      <c r="M196" s="391">
        <f>AVERAGE(Ashed_controlls!$K$2:$K$11)</f>
        <v>5.5147656768714146</v>
      </c>
      <c r="N196" s="225">
        <f t="shared" si="17"/>
        <v>1.6527357187801652</v>
      </c>
      <c r="O196" s="225">
        <f>IF(IFERROR(INDEX('Both teabags AfterWet'!$C$3:$C$841,MATCH(J196,'Both teabags AfterWet'!$A$3:$A$841,0)),"")="","",(IFERROR(INDEX('Both teabags AfterWet'!$C$3:$C$841,MATCH(J196,'Both teabags AfterWet'!$A$3:$A$841,0)),"")))</f>
        <v>0.7641</v>
      </c>
      <c r="P196" s="225">
        <f>IFERROR(IF(O196&gt;0,O196-(TBIcalc!$H$9),""),"")</f>
        <v>0.61349999999999993</v>
      </c>
      <c r="Q196" s="225">
        <f>IFERROR(INDEX('Ashed teabags wet'!$K$2:$K$821,MATCH(J196,'Ashed teabags wet'!$A$2:$A$821,0)),"")</f>
        <v>15.097159940208879</v>
      </c>
      <c r="R196" s="225">
        <f t="shared" si="16"/>
        <v>0.52087892376681844</v>
      </c>
      <c r="S196" s="226">
        <f>'WetLitterbags placem_collection'!E197</f>
        <v>42769</v>
      </c>
      <c r="T196" s="226">
        <f>IF('WetLitterbags placem_collection'!G197="","",'WetLitterbags placem_collection'!G197)</f>
        <v>42814</v>
      </c>
      <c r="U196" s="227">
        <f t="shared" si="18"/>
        <v>45</v>
      </c>
      <c r="V196" s="225">
        <f t="shared" si="19"/>
        <v>1.1357000000000002</v>
      </c>
      <c r="W196" s="225">
        <f t="shared" si="20"/>
        <v>1.1318567950133467</v>
      </c>
      <c r="X196">
        <f>IFERROR(INDEX(Rainfall_Wet!$O$2:$O$217,MATCH(B196, Rainfall_Wet!$A$2:$A$217,0)),"")</f>
        <v>175.377105089</v>
      </c>
      <c r="Y196" s="231">
        <v>54.080969906906262</v>
      </c>
      <c r="Z196" s="231">
        <v>21.264484651351896</v>
      </c>
      <c r="AA196" s="231">
        <v>24.654545441741845</v>
      </c>
      <c r="AB196" s="232" t="s">
        <v>2673</v>
      </c>
      <c r="AC196" s="231">
        <v>1.8433218334154755</v>
      </c>
      <c r="AD196">
        <f>IF('WetLitterbags placem_collection'!AB197="","",'WetLitterbags placem_collection'!AB197)</f>
        <v>5.13</v>
      </c>
      <c r="AE196">
        <f>IF('WetLitterbags placem_collection'!Z197="","",'WetLitterbags placem_collection'!Z197)</f>
        <v>5.13</v>
      </c>
      <c r="AF196" s="246" t="str">
        <f>IF('WetLitterbags placem_collection'!AA197="","",'WetLitterbags placem_collection'!AA197)</f>
        <v>O</v>
      </c>
      <c r="AG196">
        <f>IF('WetLitterbags placem_collection'!AC197="","",'WetLitterbags placem_collection'!AC197)</f>
        <v>1</v>
      </c>
      <c r="AH196" s="240">
        <f>AVERAGE('WetLitterbags placem_collection'!S197,'WetLitterbags placem_collection'!U197)</f>
        <v>29.700000000000003</v>
      </c>
      <c r="AI196">
        <f>AVERAGE('WetLitterbags placem_collection'!R197,'WetLitterbags placem_collection'!T197)</f>
        <v>24.35</v>
      </c>
      <c r="AJ196">
        <v>-2.4396450349999999</v>
      </c>
      <c r="AK196">
        <v>34.83836599</v>
      </c>
      <c r="AL196" t="str">
        <f>IF(ISNUMBER(SEARCH("C", 'WetLitterbags placem_collection'!V197)),"YES","NO")</f>
        <v>NO</v>
      </c>
      <c r="AM196" t="str">
        <f>IF(ISNUMBER(SEARCH("H", 'WetLitterbags placem_collection'!V197)),"YES","NO")</f>
        <v>NO</v>
      </c>
      <c r="AN196" t="str">
        <f>IF(ISNUMBER(SEARCH("R", 'WetLitterbags placem_collection'!V197)),"YES","NO")</f>
        <v>YES</v>
      </c>
    </row>
    <row r="197" spans="1:40" ht="15" customHeight="1">
      <c r="A197" s="258" t="s">
        <v>2460</v>
      </c>
      <c r="B197" s="263">
        <f>'Dry_Litterbag Placem_Collection'!A198</f>
        <v>196</v>
      </c>
      <c r="C197" s="263" t="str">
        <f>'Dry_Litterbag Placem_Collection'!B198</f>
        <v>Makao</v>
      </c>
      <c r="D197" s="263" t="s">
        <v>2659</v>
      </c>
      <c r="E197" s="263" t="s">
        <v>2526</v>
      </c>
      <c r="F197" s="263">
        <v>1</v>
      </c>
      <c r="G197" s="264" t="str">
        <f>'Dry_Litterbag Placem_Collection'!C198</f>
        <v>Dry_Ag4_CG1</v>
      </c>
      <c r="H197" s="265" t="s">
        <v>2541</v>
      </c>
      <c r="I197" s="266" t="s">
        <v>1147</v>
      </c>
      <c r="J197" s="223" t="str">
        <f>'WetLitterbags placem_collection'!K198</f>
        <v>G754</v>
      </c>
      <c r="K197" s="225">
        <f>IFERROR(INDEX('Green_rooibos initial weight'!$C$5:$C$1749,MATCH(J197, 'Green_rooibos initial weight'!$A$5:$A$1749,0)),"")</f>
        <v>2.0609999999999999</v>
      </c>
      <c r="L197" s="225">
        <f>IFERROR(K197-(TBIcalc!$H$9+TBIcalc!$H$10),"")</f>
        <v>1.8111999999999999</v>
      </c>
      <c r="M197" s="391">
        <f>AVERAGE(Ashed_controlls!$K$2:$K$11)</f>
        <v>5.5147656768714146</v>
      </c>
      <c r="N197" s="225">
        <f t="shared" si="17"/>
        <v>1.7113165640605048</v>
      </c>
      <c r="O197" s="225">
        <f>IF(IFERROR(INDEX('Both teabags AfterWet'!$C$3:$C$841,MATCH(J197,'Both teabags AfterWet'!$A$3:$A$841,0)),"")="","",(IFERROR(INDEX('Both teabags AfterWet'!$C$3:$C$841,MATCH(J197,'Both teabags AfterWet'!$A$3:$A$841,0)),"")))</f>
        <v>0.6452</v>
      </c>
      <c r="P197" s="225">
        <f>IFERROR(IF(O197&gt;0,O197-(TBIcalc!$H$9),""),"")</f>
        <v>0.49459999999999998</v>
      </c>
      <c r="Q197" s="225">
        <f>IFERROR(INDEX('Ashed teabags wet'!$K$2:$K$821,MATCH(J197,'Ashed teabags wet'!$A$2:$A$821,0)),"")</f>
        <v>10.498306724722434</v>
      </c>
      <c r="R197" s="225">
        <f t="shared" si="16"/>
        <v>0.4426753749395228</v>
      </c>
      <c r="S197" s="226">
        <f>'WetLitterbags placem_collection'!E198</f>
        <v>42769</v>
      </c>
      <c r="T197" s="226">
        <f>IF('WetLitterbags placem_collection'!G198="","",'WetLitterbags placem_collection'!G198)</f>
        <v>42814</v>
      </c>
      <c r="U197" s="227">
        <f t="shared" si="18"/>
        <v>45</v>
      </c>
      <c r="V197" s="225">
        <f t="shared" si="19"/>
        <v>1.3166</v>
      </c>
      <c r="W197" s="225">
        <f t="shared" si="20"/>
        <v>1.2686411891209821</v>
      </c>
      <c r="X197">
        <f>IFERROR(INDEX(Rainfall_Wet!$O$2:$O$217,MATCH(B197, Rainfall_Wet!$A$2:$A$217,0)),"")</f>
        <v>175.377105089</v>
      </c>
      <c r="Y197" s="231">
        <v>51.960000000000008</v>
      </c>
      <c r="Z197" s="231">
        <v>18.919999999999995</v>
      </c>
      <c r="AA197" s="231">
        <v>29.120000000000005</v>
      </c>
      <c r="AB197" s="232" t="s">
        <v>2673</v>
      </c>
      <c r="AC197" s="231">
        <v>1.85293247905372</v>
      </c>
      <c r="AD197">
        <f>IF('WetLitterbags placem_collection'!AB198="","",'WetLitterbags placem_collection'!AB198)</f>
        <v>13.8</v>
      </c>
      <c r="AE197">
        <f>IF('WetLitterbags placem_collection'!Z198="","",'WetLitterbags placem_collection'!Z198)</f>
        <v>17.399999999999999</v>
      </c>
      <c r="AF197" s="246" t="str">
        <f>IF('WetLitterbags placem_collection'!AA198="","",'WetLitterbags placem_collection'!AA198)</f>
        <v>O</v>
      </c>
      <c r="AG197">
        <f>IF('WetLitterbags placem_collection'!AC198="","",'WetLitterbags placem_collection'!AC198)</f>
        <v>1</v>
      </c>
      <c r="AH197" s="240">
        <f>AVERAGE('WetLitterbags placem_collection'!S198,'WetLitterbags placem_collection'!U198)</f>
        <v>23.75</v>
      </c>
      <c r="AI197">
        <f>AVERAGE('WetLitterbags placem_collection'!R198,'WetLitterbags placem_collection'!T198)</f>
        <v>25.25</v>
      </c>
      <c r="AJ197">
        <v>-2.439403972</v>
      </c>
      <c r="AK197">
        <v>34.838404959999998</v>
      </c>
      <c r="AL197" t="str">
        <f>IF(ISNUMBER(SEARCH("C", 'WetLitterbags placem_collection'!V198)),"YES","NO")</f>
        <v>NO</v>
      </c>
      <c r="AM197" t="str">
        <f>IF(ISNUMBER(SEARCH("H", 'WetLitterbags placem_collection'!V198)),"YES","NO")</f>
        <v>NO</v>
      </c>
      <c r="AN197" t="str">
        <f>IF(ISNUMBER(SEARCH("R", 'WetLitterbags placem_collection'!V198)),"YES","NO")</f>
        <v>YES</v>
      </c>
    </row>
    <row r="198" spans="1:40" ht="15" customHeight="1">
      <c r="A198" s="258" t="s">
        <v>2460</v>
      </c>
      <c r="B198" s="263">
        <f>'Dry_Litterbag Placem_Collection'!A199</f>
        <v>197</v>
      </c>
      <c r="C198" s="263" t="str">
        <f>'Dry_Litterbag Placem_Collection'!B199</f>
        <v>Makao</v>
      </c>
      <c r="D198" s="263" t="s">
        <v>2659</v>
      </c>
      <c r="E198" s="263" t="s">
        <v>2526</v>
      </c>
      <c r="F198" s="263">
        <v>2</v>
      </c>
      <c r="G198" s="264" t="str">
        <f>'Dry_Litterbag Placem_Collection'!C199</f>
        <v>Dry_P1_CG2</v>
      </c>
      <c r="H198" s="265" t="s">
        <v>2541</v>
      </c>
      <c r="I198" s="266" t="s">
        <v>1147</v>
      </c>
      <c r="J198" s="223" t="str">
        <f>'WetLitterbags placem_collection'!K199</f>
        <v>G715</v>
      </c>
      <c r="K198" s="225">
        <f>IFERROR(INDEX('Green_rooibos initial weight'!$C$5:$C$1749,MATCH(J198, 'Green_rooibos initial weight'!$A$5:$A$1749,0)),"")</f>
        <v>2.0179999999999998</v>
      </c>
      <c r="L198" s="225">
        <f>IFERROR(K198-(TBIcalc!$H$9+TBIcalc!$H$10),"")</f>
        <v>1.7681999999999998</v>
      </c>
      <c r="M198" s="391">
        <f>AVERAGE(Ashed_controlls!$K$2:$K$11)</f>
        <v>5.5147656768714146</v>
      </c>
      <c r="N198" s="225">
        <f t="shared" si="17"/>
        <v>1.6706879133015595</v>
      </c>
      <c r="O198" s="225">
        <f>IF(IFERROR(INDEX('Both teabags AfterWet'!$C$3:$C$841,MATCH(J198,'Both teabags AfterWet'!$A$3:$A$841,0)),"")="","",(IFERROR(INDEX('Both teabags AfterWet'!$C$3:$C$841,MATCH(J198,'Both teabags AfterWet'!$A$3:$A$841,0)),"")))</f>
        <v>0.69089999999999996</v>
      </c>
      <c r="P198" s="225">
        <f>IFERROR(IF(O198&gt;0,O198-(TBIcalc!$H$9),""),"")</f>
        <v>0.5403</v>
      </c>
      <c r="Q198" s="225">
        <f>IFERROR(INDEX('Ashed teabags wet'!$K$2:$K$821,MATCH(J198,'Ashed teabags wet'!$A$2:$A$821,0)),"")</f>
        <v>12.326732673267644</v>
      </c>
      <c r="R198" s="225">
        <f t="shared" si="16"/>
        <v>0.47369866336633493</v>
      </c>
      <c r="S198" s="226">
        <f>'WetLitterbags placem_collection'!E199</f>
        <v>42769</v>
      </c>
      <c r="T198" s="226">
        <f>IF('WetLitterbags placem_collection'!G199="","",'WetLitterbags placem_collection'!G199)</f>
        <v>42814</v>
      </c>
      <c r="U198" s="227">
        <f t="shared" si="18"/>
        <v>45</v>
      </c>
      <c r="V198" s="225">
        <f t="shared" si="19"/>
        <v>1.2278999999999998</v>
      </c>
      <c r="W198" s="225">
        <f t="shared" si="20"/>
        <v>1.1969892499352246</v>
      </c>
      <c r="X198">
        <f>IFERROR(INDEX(Rainfall_Wet!$O$2:$O$217,MATCH(B198, Rainfall_Wet!$A$2:$A$217,0)),"")</f>
        <v>175.377105089</v>
      </c>
      <c r="Y198" s="231">
        <v>23.96</v>
      </c>
      <c r="Z198" s="231">
        <v>0.91999999999999804</v>
      </c>
      <c r="AA198" s="231">
        <v>75.12</v>
      </c>
      <c r="AB198" s="232" t="s">
        <v>2670</v>
      </c>
      <c r="AC198" s="231">
        <v>1.2493839329719072</v>
      </c>
      <c r="AD198">
        <f>IF('WetLitterbags placem_collection'!AB199="","",'WetLitterbags placem_collection'!AB199)</f>
        <v>5.13</v>
      </c>
      <c r="AE198">
        <f>IF('WetLitterbags placem_collection'!Z199="","",'WetLitterbags placem_collection'!Z199)</f>
        <v>5.13</v>
      </c>
      <c r="AF198" s="246" t="str">
        <f>IF('WetLitterbags placem_collection'!AA199="","",'WetLitterbags placem_collection'!AA199)</f>
        <v>O</v>
      </c>
      <c r="AG198">
        <f>IF('WetLitterbags placem_collection'!AC199="","",'WetLitterbags placem_collection'!AC199)</f>
        <v>1</v>
      </c>
      <c r="AH198" s="240">
        <f>AVERAGE('WetLitterbags placem_collection'!S199,'WetLitterbags placem_collection'!U199)</f>
        <v>22.85</v>
      </c>
      <c r="AI198">
        <f>AVERAGE('WetLitterbags placem_collection'!R199,'WetLitterbags placem_collection'!T199)</f>
        <v>24.4</v>
      </c>
      <c r="AJ198">
        <v>-2.4396450349999999</v>
      </c>
      <c r="AK198">
        <v>34.83836599</v>
      </c>
      <c r="AL198" t="str">
        <f>IF(ISNUMBER(SEARCH("C", 'WetLitterbags placem_collection'!V199)),"YES","NO")</f>
        <v>NO</v>
      </c>
      <c r="AM198" t="str">
        <f>IF(ISNUMBER(SEARCH("H", 'WetLitterbags placem_collection'!V199)),"YES","NO")</f>
        <v>NO</v>
      </c>
      <c r="AN198" t="str">
        <f>IF(ISNUMBER(SEARCH("R", 'WetLitterbags placem_collection'!V199)),"YES","NO")</f>
        <v>YES</v>
      </c>
    </row>
    <row r="199" spans="1:40" ht="15" customHeight="1">
      <c r="A199" s="258" t="s">
        <v>2460</v>
      </c>
      <c r="B199" s="263">
        <f>'Dry_Litterbag Placem_Collection'!A200</f>
        <v>198</v>
      </c>
      <c r="C199" s="263" t="str">
        <f>'Dry_Litterbag Placem_Collection'!B200</f>
        <v>Makao</v>
      </c>
      <c r="D199" s="263" t="s">
        <v>2659</v>
      </c>
      <c r="E199" s="263" t="s">
        <v>2526</v>
      </c>
      <c r="F199" s="263">
        <v>3</v>
      </c>
      <c r="G199" s="264" t="str">
        <f>'Dry_Litterbag Placem_Collection'!C200</f>
        <v>Dry_P2_CG3</v>
      </c>
      <c r="H199" s="265" t="s">
        <v>2541</v>
      </c>
      <c r="I199" s="266" t="s">
        <v>1147</v>
      </c>
      <c r="J199" s="223" t="str">
        <f>'WetLitterbags placem_collection'!K200</f>
        <v>G785</v>
      </c>
      <c r="K199" s="225">
        <f>IFERROR(INDEX('Green_rooibos initial weight'!$C$5:$C$1749,MATCH(J199, 'Green_rooibos initial weight'!$A$5:$A$1749,0)),"")</f>
        <v>2.008</v>
      </c>
      <c r="L199" s="225">
        <f>IFERROR(K199-(TBIcalc!$H$9+TBIcalc!$H$10),"")</f>
        <v>1.7582</v>
      </c>
      <c r="M199" s="391">
        <f>AVERAGE(Ashed_controlls!$K$2:$K$11)</f>
        <v>5.5147656768714146</v>
      </c>
      <c r="N199" s="225">
        <f t="shared" si="17"/>
        <v>1.6612393898692468</v>
      </c>
      <c r="O199" s="225">
        <f>IF(IFERROR(INDEX('Both teabags AfterWet'!$C$3:$C$841,MATCH(J199,'Both teabags AfterWet'!$A$3:$A$841,0)),"")="","",(IFERROR(INDEX('Both teabags AfterWet'!$C$3:$C$841,MATCH(J199,'Both teabags AfterWet'!$A$3:$A$841,0)),"")))</f>
        <v>0.64690000000000003</v>
      </c>
      <c r="P199" s="225">
        <f>IFERROR(IF(O199&gt;0,O199-(TBIcalc!$H$9),""),"")</f>
        <v>0.49630000000000002</v>
      </c>
      <c r="Q199" s="225">
        <f>IFERROR(INDEX('Ashed teabags wet'!$K$2:$K$821,MATCH(J199,'Ashed teabags wet'!$A$2:$A$821,0)),"")</f>
        <v>9.3718843469595843</v>
      </c>
      <c r="R199" s="225">
        <f t="shared" si="16"/>
        <v>0.44978733798603959</v>
      </c>
      <c r="S199" s="226">
        <f>'WetLitterbags placem_collection'!E200</f>
        <v>42769</v>
      </c>
      <c r="T199" s="226">
        <f>IF('WetLitterbags placem_collection'!G200="","",'WetLitterbags placem_collection'!G200)</f>
        <v>42813</v>
      </c>
      <c r="U199" s="227">
        <f t="shared" si="18"/>
        <v>44</v>
      </c>
      <c r="V199" s="225">
        <f t="shared" si="19"/>
        <v>1.2619</v>
      </c>
      <c r="W199" s="225">
        <f t="shared" si="20"/>
        <v>1.2114520518832073</v>
      </c>
      <c r="X199">
        <f>IFERROR(INDEX(Rainfall_Wet!$O$2:$O$217,MATCH(B199, Rainfall_Wet!$A$2:$A$217,0)),"")</f>
        <v>175.054685654</v>
      </c>
      <c r="Y199" s="231">
        <v>19.96</v>
      </c>
      <c r="Z199" s="231">
        <v>4.9199999999999982</v>
      </c>
      <c r="AA199" s="231">
        <v>75.12</v>
      </c>
      <c r="AB199" s="232" t="s">
        <v>2671</v>
      </c>
      <c r="AC199" s="231">
        <v>1.641498275012321</v>
      </c>
      <c r="AD199">
        <f>IF('WetLitterbags placem_collection'!AB200="","",'WetLitterbags placem_collection'!AB200)</f>
        <v>7.9</v>
      </c>
      <c r="AE199">
        <f>IF('WetLitterbags placem_collection'!Z200="","",'WetLitterbags placem_collection'!Z200)</f>
        <v>7.9</v>
      </c>
      <c r="AF199" s="246" t="str">
        <f>IF('WetLitterbags placem_collection'!AA200="","",'WetLitterbags placem_collection'!AA200)</f>
        <v>O</v>
      </c>
      <c r="AG199">
        <f>IF('WetLitterbags placem_collection'!AC200="","",'WetLitterbags placem_collection'!AC200)</f>
        <v>1</v>
      </c>
      <c r="AH199" s="240">
        <f>AVERAGE('WetLitterbags placem_collection'!S200,'WetLitterbags placem_collection'!U200)</f>
        <v>20.9</v>
      </c>
      <c r="AI199">
        <f>AVERAGE('WetLitterbags placem_collection'!R200,'WetLitterbags placem_collection'!T200)</f>
        <v>27.45</v>
      </c>
      <c r="AJ199">
        <v>-2.4395990190000001</v>
      </c>
      <c r="AK199">
        <v>34.838418959999998</v>
      </c>
      <c r="AL199" t="str">
        <f>IF(ISNUMBER(SEARCH("C", 'WetLitterbags placem_collection'!V200)),"YES","NO")</f>
        <v>NO</v>
      </c>
      <c r="AM199" t="str">
        <f>IF(ISNUMBER(SEARCH("H", 'WetLitterbags placem_collection'!V200)),"YES","NO")</f>
        <v>NO</v>
      </c>
      <c r="AN199" t="str">
        <f>IF(ISNUMBER(SEARCH("R", 'WetLitterbags placem_collection'!V200)),"YES","NO")</f>
        <v>YES</v>
      </c>
    </row>
    <row r="200" spans="1:40" ht="15" customHeight="1">
      <c r="A200" s="258" t="s">
        <v>2460</v>
      </c>
      <c r="B200" s="263">
        <f>'Dry_Litterbag Placem_Collection'!A201</f>
        <v>199</v>
      </c>
      <c r="C200" s="263" t="str">
        <f>'Dry_Litterbag Placem_Collection'!B201</f>
        <v>Makao</v>
      </c>
      <c r="D200" s="263" t="s">
        <v>2659</v>
      </c>
      <c r="E200" s="263" t="s">
        <v>2526</v>
      </c>
      <c r="F200" s="263">
        <v>1</v>
      </c>
      <c r="G200" s="264" t="str">
        <f>'Dry_Litterbag Placem_Collection'!C201</f>
        <v>Dry_P3_CG1</v>
      </c>
      <c r="H200" s="265" t="s">
        <v>2541</v>
      </c>
      <c r="I200" s="266" t="s">
        <v>1147</v>
      </c>
      <c r="J200" s="223" t="str">
        <f>'WetLitterbags placem_collection'!K201</f>
        <v>G877</v>
      </c>
      <c r="K200" s="225">
        <f>IFERROR(INDEX('Green_rooibos initial weight'!$C$5:$C$1749,MATCH(J200, 'Green_rooibos initial weight'!$A$5:$A$1749,0)),"")</f>
        <v>2.0649999999999999</v>
      </c>
      <c r="L200" s="225">
        <f>IFERROR(K200-(TBIcalc!$H$9+TBIcalc!$H$10),"")</f>
        <v>1.8151999999999999</v>
      </c>
      <c r="M200" s="391">
        <f>AVERAGE(Ashed_controlls!$K$2:$K$11)</f>
        <v>5.5147656768714146</v>
      </c>
      <c r="N200" s="225">
        <f t="shared" si="17"/>
        <v>1.7150959734334301</v>
      </c>
      <c r="O200" s="225">
        <f>IF(IFERROR(INDEX('Both teabags AfterWet'!$C$3:$C$841,MATCH(J200,'Both teabags AfterWet'!$A$3:$A$841,0)),"")="","",(IFERROR(INDEX('Both teabags AfterWet'!$C$3:$C$841,MATCH(J200,'Both teabags AfterWet'!$A$3:$A$841,0)),"")))</f>
        <v>0.67900000000000005</v>
      </c>
      <c r="P200" s="225">
        <f>IFERROR(IF(O200&gt;0,O200-(TBIcalc!$H$9),""),"")</f>
        <v>0.52839999999999998</v>
      </c>
      <c r="Q200" s="225">
        <f>IFERROR(INDEX('Ashed teabags wet'!$K$2:$K$821,MATCH(J200,'Ashed teabags wet'!$A$2:$A$821,0)),"")</f>
        <v>11.636001989060295</v>
      </c>
      <c r="R200" s="225">
        <f t="shared" si="16"/>
        <v>0.46691536548980539</v>
      </c>
      <c r="S200" s="226">
        <f>'WetLitterbags placem_collection'!E201</f>
        <v>42769</v>
      </c>
      <c r="T200" s="226">
        <f>IF('WetLitterbags placem_collection'!G201="","",'WetLitterbags placem_collection'!G201)</f>
        <v>42814</v>
      </c>
      <c r="U200" s="227">
        <f t="shared" si="18"/>
        <v>45</v>
      </c>
      <c r="V200" s="225">
        <f t="shared" si="19"/>
        <v>1.2867999999999999</v>
      </c>
      <c r="W200" s="225">
        <f t="shared" si="20"/>
        <v>1.2481806079436248</v>
      </c>
      <c r="X200">
        <f>IFERROR(INDEX(Rainfall_Wet!$O$2:$O$217,MATCH(B200, Rainfall_Wet!$A$2:$A$217,0)),"")</f>
        <v>175.377105089</v>
      </c>
      <c r="Y200" s="231">
        <v>21.96</v>
      </c>
      <c r="Z200" s="231">
        <v>8.9199999999999982</v>
      </c>
      <c r="AA200" s="231">
        <v>69.12</v>
      </c>
      <c r="AB200" s="232" t="s">
        <v>2670</v>
      </c>
      <c r="AC200" s="231">
        <v>1.7491375061606702</v>
      </c>
      <c r="AD200">
        <f>IF('WetLitterbags placem_collection'!AB201="","",'WetLitterbags placem_collection'!AB201)</f>
        <v>13.8</v>
      </c>
      <c r="AE200">
        <f>IF('WetLitterbags placem_collection'!Z201="","",'WetLitterbags placem_collection'!Z201)</f>
        <v>17.399999999999999</v>
      </c>
      <c r="AF200" s="246" t="str">
        <f>IF('WetLitterbags placem_collection'!AA201="","",'WetLitterbags placem_collection'!AA201)</f>
        <v>O</v>
      </c>
      <c r="AG200">
        <f>IF('WetLitterbags placem_collection'!AC201="","",'WetLitterbags placem_collection'!AC201)</f>
        <v>1</v>
      </c>
      <c r="AH200" s="240">
        <f>AVERAGE('WetLitterbags placem_collection'!S201,'WetLitterbags placem_collection'!U201)</f>
        <v>18.149999999999999</v>
      </c>
      <c r="AI200">
        <f>AVERAGE('WetLitterbags placem_collection'!R201,'WetLitterbags placem_collection'!T201)</f>
        <v>24.549999999999997</v>
      </c>
      <c r="AJ200">
        <v>-2.439403972</v>
      </c>
      <c r="AK200">
        <v>34.838404959999998</v>
      </c>
      <c r="AL200" t="str">
        <f>IF(ISNUMBER(SEARCH("C", 'WetLitterbags placem_collection'!V201)),"YES","NO")</f>
        <v>NO</v>
      </c>
      <c r="AM200" t="str">
        <f>IF(ISNUMBER(SEARCH("H", 'WetLitterbags placem_collection'!V201)),"YES","NO")</f>
        <v>NO</v>
      </c>
      <c r="AN200" t="str">
        <f>IF(ISNUMBER(SEARCH("R", 'WetLitterbags placem_collection'!V201)),"YES","NO")</f>
        <v>YES</v>
      </c>
    </row>
    <row r="201" spans="1:40" ht="15" customHeight="1">
      <c r="A201" s="258" t="s">
        <v>2460</v>
      </c>
      <c r="B201" s="263">
        <f>'Dry_Litterbag Placem_Collection'!A202</f>
        <v>200</v>
      </c>
      <c r="C201" s="263" t="str">
        <f>'Dry_Litterbag Placem_Collection'!B202</f>
        <v>Makao</v>
      </c>
      <c r="D201" s="263" t="s">
        <v>2659</v>
      </c>
      <c r="E201" s="263" t="s">
        <v>2526</v>
      </c>
      <c r="F201" s="263">
        <v>4</v>
      </c>
      <c r="G201" s="264" t="str">
        <f>'Dry_Litterbag Placem_Collection'!C202</f>
        <v>Dry_P4_CG4</v>
      </c>
      <c r="H201" s="265" t="s">
        <v>2541</v>
      </c>
      <c r="I201" s="266" t="s">
        <v>1147</v>
      </c>
      <c r="J201" s="223" t="str">
        <f>'WetLitterbags placem_collection'!K202</f>
        <v>G816</v>
      </c>
      <c r="K201" s="225">
        <f>IFERROR(INDEX('Green_rooibos initial weight'!$C$5:$C$1749,MATCH(J201, 'Green_rooibos initial weight'!$A$5:$A$1749,0)),"")</f>
        <v>2.0139999999999998</v>
      </c>
      <c r="L201" s="225">
        <f>IFERROR(K201-(TBIcalc!$H$9+TBIcalc!$H$10),"")</f>
        <v>1.7641999999999998</v>
      </c>
      <c r="M201" s="391">
        <f>AVERAGE(Ashed_controlls!$K$2:$K$11)</f>
        <v>5.5147656768714146</v>
      </c>
      <c r="N201" s="225">
        <f t="shared" si="17"/>
        <v>1.6669085039286342</v>
      </c>
      <c r="O201" s="225">
        <f>IF(IFERROR(INDEX('Both teabags AfterWet'!$C$3:$C$841,MATCH(J201,'Both teabags AfterWet'!$A$3:$A$841,0)),"")="","",(IFERROR(INDEX('Both teabags AfterWet'!$C$3:$C$841,MATCH(J201,'Both teabags AfterWet'!$A$3:$A$841,0)),"")))</f>
        <v>0.67120000000000002</v>
      </c>
      <c r="P201" s="225">
        <f>IFERROR(IF(O201&gt;0,O201-(TBIcalc!$H$9),""),"")</f>
        <v>0.52059999999999995</v>
      </c>
      <c r="Q201" s="225">
        <f>IFERROR(INDEX('Ashed teabags wet'!$K$2:$K$821,MATCH(J201,'Ashed teabags wet'!$A$2:$A$821,0)),"")</f>
        <v>11.089206505668416</v>
      </c>
      <c r="R201" s="225">
        <f t="shared" si="16"/>
        <v>0.46286959093149016</v>
      </c>
      <c r="S201" s="226">
        <f>'WetLitterbags placem_collection'!E202</f>
        <v>42769</v>
      </c>
      <c r="T201" s="226">
        <f>IF('WetLitterbags placem_collection'!G202="","",'WetLitterbags placem_collection'!G202)</f>
        <v>42813</v>
      </c>
      <c r="U201" s="227">
        <f t="shared" si="18"/>
        <v>44</v>
      </c>
      <c r="V201" s="225">
        <f t="shared" si="19"/>
        <v>1.2435999999999998</v>
      </c>
      <c r="W201" s="225">
        <f t="shared" si="20"/>
        <v>1.2040389129971441</v>
      </c>
      <c r="X201">
        <f>IFERROR(INDEX(Rainfall_Wet!$O$2:$O$217,MATCH(B201, Rainfall_Wet!$A$2:$A$217,0)),"")</f>
        <v>175.054685654</v>
      </c>
      <c r="Y201" s="231">
        <v>25.96</v>
      </c>
      <c r="Z201" s="231">
        <v>6.9200000000000008</v>
      </c>
      <c r="AA201" s="231">
        <v>67.12</v>
      </c>
      <c r="AB201" s="232" t="s">
        <v>2670</v>
      </c>
      <c r="AC201" s="231">
        <v>1.7568260226712666</v>
      </c>
      <c r="AD201">
        <f>IF('WetLitterbags placem_collection'!AB202="","",'WetLitterbags placem_collection'!AB202)</f>
        <v>15.2</v>
      </c>
      <c r="AE201">
        <f>IF('WetLitterbags placem_collection'!Z202="","",'WetLitterbags placem_collection'!Z202)</f>
        <v>12.2</v>
      </c>
      <c r="AF201" s="246" t="str">
        <f>IF('WetLitterbags placem_collection'!AA202="","",'WetLitterbags placem_collection'!AA202)</f>
        <v>O</v>
      </c>
      <c r="AG201">
        <f>IF('WetLitterbags placem_collection'!AC202="","",'WetLitterbags placem_collection'!AC202)</f>
        <v>1</v>
      </c>
      <c r="AH201" s="240">
        <f>AVERAGE('WetLitterbags placem_collection'!S202,'WetLitterbags placem_collection'!U202)</f>
        <v>22.799999999999997</v>
      </c>
      <c r="AI201">
        <f>AVERAGE('WetLitterbags placem_collection'!R202,'WetLitterbags placem_collection'!T202)</f>
        <v>27.9</v>
      </c>
      <c r="AJ201">
        <v>-2.4396949910000001</v>
      </c>
      <c r="AK201">
        <v>34.838574029999997</v>
      </c>
      <c r="AL201" t="str">
        <f>IF(ISNUMBER(SEARCH("C", 'WetLitterbags placem_collection'!V202)),"YES","NO")</f>
        <v>NO</v>
      </c>
      <c r="AM201" t="str">
        <f>IF(ISNUMBER(SEARCH("H", 'WetLitterbags placem_collection'!V202)),"YES","NO")</f>
        <v>NO</v>
      </c>
      <c r="AN201" t="str">
        <f>IF(ISNUMBER(SEARCH("R", 'WetLitterbags placem_collection'!V202)),"YES","NO")</f>
        <v>YES</v>
      </c>
    </row>
    <row r="202" spans="1:40" ht="15" customHeight="1">
      <c r="A202" s="258" t="s">
        <v>2460</v>
      </c>
      <c r="B202" s="263">
        <f>'Dry_Litterbag Placem_Collection'!A203</f>
        <v>201</v>
      </c>
      <c r="C202" s="263" t="str">
        <f>'Dry_Litterbag Placem_Collection'!B203</f>
        <v>Maswa</v>
      </c>
      <c r="D202" s="263" t="s">
        <v>2659</v>
      </c>
      <c r="E202" s="263" t="s">
        <v>2526</v>
      </c>
      <c r="F202" s="263">
        <v>4</v>
      </c>
      <c r="G202" s="264" t="str">
        <f>'Dry_Litterbag Placem_Collection'!C203</f>
        <v>Dry_W3_CG4</v>
      </c>
      <c r="H202" s="265" t="s">
        <v>2541</v>
      </c>
      <c r="I202" s="266" t="s">
        <v>1147</v>
      </c>
      <c r="J202" s="223" t="str">
        <f>'WetLitterbags placem_collection'!K203</f>
        <v>G811</v>
      </c>
      <c r="K202" s="225">
        <f>IFERROR(INDEX('Green_rooibos initial weight'!$C$5:$C$1749,MATCH(J202, 'Green_rooibos initial weight'!$A$5:$A$1749,0)),"")</f>
        <v>1.9930000000000001</v>
      </c>
      <c r="L202" s="225">
        <f>IFERROR(K202-(TBIcalc!$H$9+TBIcalc!$H$10),"")</f>
        <v>1.7432000000000001</v>
      </c>
      <c r="M202" s="391">
        <f>AVERAGE(Ashed_controlls!$K$2:$K$11)</f>
        <v>5.5147656768714146</v>
      </c>
      <c r="N202" s="225">
        <f t="shared" si="17"/>
        <v>1.6470666047207776</v>
      </c>
      <c r="O202" s="225">
        <f>IF(IFERROR(INDEX('Both teabags AfterWet'!$C$3:$C$841,MATCH(J202,'Both teabags AfterWet'!$A$3:$A$841,0)),"")="","",(IFERROR(INDEX('Both teabags AfterWet'!$C$3:$C$841,MATCH(J202,'Both teabags AfterWet'!$A$3:$A$841,0)),"")))</f>
        <v>0.56630000000000003</v>
      </c>
      <c r="P202" s="225">
        <f>IFERROR(IF(O202&gt;0,O202-(TBIcalc!$H$9),""),"")</f>
        <v>0.41570000000000001</v>
      </c>
      <c r="Q202" s="225">
        <f>IFERROR(INDEX('Ashed teabags wet'!$K$2:$K$821,MATCH(J202,'Ashed teabags wet'!$A$2:$A$821,0)),"")</f>
        <v>11.712158808933365</v>
      </c>
      <c r="R202" s="225">
        <f t="shared" si="16"/>
        <v>0.36701255583126402</v>
      </c>
      <c r="S202" s="226">
        <f>'WetLitterbags placem_collection'!E203</f>
        <v>42769</v>
      </c>
      <c r="T202" s="226">
        <f>IF('WetLitterbags placem_collection'!G203="","",'WetLitterbags placem_collection'!G203)</f>
        <v>42813</v>
      </c>
      <c r="U202" s="227">
        <f t="shared" si="18"/>
        <v>44</v>
      </c>
      <c r="V202" s="225">
        <f t="shared" si="19"/>
        <v>1.3275000000000001</v>
      </c>
      <c r="W202" s="225">
        <f t="shared" si="20"/>
        <v>1.2800540488895136</v>
      </c>
      <c r="X202">
        <f>IFERROR(INDEX(Rainfall_Wet!$O$2:$O$217,MATCH(B202, Rainfall_Wet!$A$2:$A$217,0)),"")</f>
        <v>175.054685654</v>
      </c>
      <c r="Y202" s="231">
        <v>38.691629007962128</v>
      </c>
      <c r="Z202" s="231">
        <v>26.81299763288143</v>
      </c>
      <c r="AA202" s="231">
        <v>34.495373359156439</v>
      </c>
      <c r="AB202" s="232" t="s">
        <v>2675</v>
      </c>
      <c r="AC202" s="231">
        <v>2.5483587974371611</v>
      </c>
      <c r="AD202">
        <f>IF('WetLitterbags placem_collection'!AB203="","",'WetLitterbags placem_collection'!AB203)</f>
        <v>15.2</v>
      </c>
      <c r="AE202">
        <f>IF('WetLitterbags placem_collection'!Z203="","",'WetLitterbags placem_collection'!Z203)</f>
        <v>12.2</v>
      </c>
      <c r="AF202" s="246" t="str">
        <f>IF('WetLitterbags placem_collection'!AA203="","",'WetLitterbags placem_collection'!AA203)</f>
        <v>O</v>
      </c>
      <c r="AG202">
        <f>IF('WetLitterbags placem_collection'!AC203="","",'WetLitterbags placem_collection'!AC203)</f>
        <v>1</v>
      </c>
      <c r="AH202" s="240">
        <f>AVERAGE('WetLitterbags placem_collection'!S203,'WetLitterbags placem_collection'!U203)</f>
        <v>22</v>
      </c>
      <c r="AI202">
        <f>AVERAGE('WetLitterbags placem_collection'!R203,'WetLitterbags placem_collection'!T203)</f>
        <v>28</v>
      </c>
      <c r="AJ202">
        <v>-2.4396949910000001</v>
      </c>
      <c r="AK202">
        <v>34.838574029999997</v>
      </c>
      <c r="AL202" t="str">
        <f>IF(ISNUMBER(SEARCH("C", 'WetLitterbags placem_collection'!V203)),"YES","NO")</f>
        <v>NO</v>
      </c>
      <c r="AM202" t="str">
        <f>IF(ISNUMBER(SEARCH("H", 'WetLitterbags placem_collection'!V203)),"YES","NO")</f>
        <v>NO</v>
      </c>
      <c r="AN202" t="str">
        <f>IF(ISNUMBER(SEARCH("R", 'WetLitterbags placem_collection'!V203)),"YES","NO")</f>
        <v>YES</v>
      </c>
    </row>
    <row r="203" spans="1:40" ht="15" customHeight="1">
      <c r="A203" s="258" t="s">
        <v>2460</v>
      </c>
      <c r="B203" s="263">
        <f>'Dry_Litterbag Placem_Collection'!A204</f>
        <v>202</v>
      </c>
      <c r="C203" s="263" t="str">
        <f>'Dry_Litterbag Placem_Collection'!B204</f>
        <v>Maswa</v>
      </c>
      <c r="D203" s="263" t="s">
        <v>2659</v>
      </c>
      <c r="E203" s="263" t="s">
        <v>2526</v>
      </c>
      <c r="F203" s="263">
        <v>1</v>
      </c>
      <c r="G203" s="264" t="str">
        <f>'Dry_Litterbag Placem_Collection'!C204</f>
        <v>Dry_W2_CG1</v>
      </c>
      <c r="H203" s="265" t="s">
        <v>2541</v>
      </c>
      <c r="I203" s="266" t="s">
        <v>1147</v>
      </c>
      <c r="J203" s="223" t="str">
        <f>'WetLitterbags placem_collection'!K204</f>
        <v>G773</v>
      </c>
      <c r="K203" s="225">
        <f>IFERROR(INDEX('Green_rooibos initial weight'!$C$5:$C$1749,MATCH(J203, 'Green_rooibos initial weight'!$A$5:$A$1749,0)),"")</f>
        <v>1.718</v>
      </c>
      <c r="L203" s="225">
        <f>IFERROR(K203-(TBIcalc!$H$9+TBIcalc!$H$10),"")</f>
        <v>1.4681999999999999</v>
      </c>
      <c r="M203" s="391">
        <f>AVERAGE(Ashed_controlls!$K$2:$K$11)</f>
        <v>5.5147656768714146</v>
      </c>
      <c r="N203" s="225">
        <f t="shared" si="17"/>
        <v>1.3872322103321739</v>
      </c>
      <c r="O203" s="225">
        <f>IF(IFERROR(INDEX('Both teabags AfterWet'!$C$3:$C$841,MATCH(J203,'Both teabags AfterWet'!$A$3:$A$841,0)),"")="","",(IFERROR(INDEX('Both teabags AfterWet'!$C$3:$C$841,MATCH(J203,'Both teabags AfterWet'!$A$3:$A$841,0)),"")))</f>
        <v>0.84</v>
      </c>
      <c r="P203" s="225">
        <f>IFERROR(IF(O203&gt;0,O203-(TBIcalc!$H$9),""),"")</f>
        <v>0.68940000000000001</v>
      </c>
      <c r="Q203" s="225">
        <f>IFERROR(INDEX('Ashed teabags wet'!$K$2:$K$821,MATCH(J203,'Ashed teabags wet'!$A$2:$A$821,0)),"")</f>
        <v>12.200000000000349</v>
      </c>
      <c r="R203" s="225">
        <f t="shared" ref="R203:R266" si="21">IFERROR(P203-(Q203/100)*P203,"")</f>
        <v>0.60529319999999764</v>
      </c>
      <c r="S203" s="226">
        <f>'WetLitterbags placem_collection'!E204</f>
        <v>42769</v>
      </c>
      <c r="T203" s="226">
        <f>IF('WetLitterbags placem_collection'!G204="","",'WetLitterbags placem_collection'!G204)</f>
        <v>42814</v>
      </c>
      <c r="U203" s="227">
        <f t="shared" si="18"/>
        <v>45</v>
      </c>
      <c r="V203" s="225">
        <f t="shared" si="19"/>
        <v>0.77879999999999994</v>
      </c>
      <c r="W203" s="225">
        <f t="shared" si="20"/>
        <v>0.78193901033217628</v>
      </c>
      <c r="X203">
        <f>IFERROR(INDEX(Rainfall_Wet!$O$2:$O$217,MATCH(B203, Rainfall_Wet!$A$2:$A$217,0)),"")</f>
        <v>175.377105089</v>
      </c>
      <c r="Y203" s="231">
        <v>45.272914521112256</v>
      </c>
      <c r="Z203" s="231">
        <v>23.604531410916575</v>
      </c>
      <c r="AA203" s="231">
        <v>31.122554067971166</v>
      </c>
      <c r="AB203" s="232" t="s">
        <v>2673</v>
      </c>
      <c r="AC203" s="231">
        <v>2.0547560374568752</v>
      </c>
      <c r="AD203">
        <f>IF('WetLitterbags placem_collection'!AB204="","",'WetLitterbags placem_collection'!AB204)</f>
        <v>13.8</v>
      </c>
      <c r="AE203">
        <f>IF('WetLitterbags placem_collection'!Z204="","",'WetLitterbags placem_collection'!Z204)</f>
        <v>17.399999999999999</v>
      </c>
      <c r="AF203" s="246" t="str">
        <f>IF('WetLitterbags placem_collection'!AA204="","",'WetLitterbags placem_collection'!AA204)</f>
        <v>O</v>
      </c>
      <c r="AG203">
        <f>IF('WetLitterbags placem_collection'!AC204="","",'WetLitterbags placem_collection'!AC204)</f>
        <v>1</v>
      </c>
      <c r="AH203" s="240">
        <f>AVERAGE('WetLitterbags placem_collection'!S204,'WetLitterbags placem_collection'!U204)</f>
        <v>20.65</v>
      </c>
      <c r="AI203">
        <f>AVERAGE('WetLitterbags placem_collection'!R204,'WetLitterbags placem_collection'!T204)</f>
        <v>24.1</v>
      </c>
      <c r="AJ203">
        <v>-2.439403972</v>
      </c>
      <c r="AK203">
        <v>34.838404959999998</v>
      </c>
      <c r="AL203" t="str">
        <f>IF(ISNUMBER(SEARCH("C", 'WetLitterbags placem_collection'!V204)),"YES","NO")</f>
        <v>NO</v>
      </c>
      <c r="AM203" t="str">
        <f>IF(ISNUMBER(SEARCH("H", 'WetLitterbags placem_collection'!V204)),"YES","NO")</f>
        <v>NO</v>
      </c>
      <c r="AN203" t="str">
        <f>IF(ISNUMBER(SEARCH("R", 'WetLitterbags placem_collection'!V204)),"YES","NO")</f>
        <v>YES</v>
      </c>
    </row>
    <row r="204" spans="1:40" ht="15" customHeight="1">
      <c r="A204" s="258" t="s">
        <v>2460</v>
      </c>
      <c r="B204" s="263">
        <f>'Dry_Litterbag Placem_Collection'!A205</f>
        <v>203</v>
      </c>
      <c r="C204" s="263" t="str">
        <f>'Dry_Litterbag Placem_Collection'!B205</f>
        <v>Maswa</v>
      </c>
      <c r="D204" s="263" t="s">
        <v>2659</v>
      </c>
      <c r="E204" s="263" t="s">
        <v>2526</v>
      </c>
      <c r="F204" s="263">
        <v>2</v>
      </c>
      <c r="G204" s="264" t="str">
        <f>'Dry_Litterbag Placem_Collection'!C205</f>
        <v>Dry_W1_CG2</v>
      </c>
      <c r="H204" s="265" t="s">
        <v>2541</v>
      </c>
      <c r="I204" s="266" t="s">
        <v>1147</v>
      </c>
      <c r="J204" s="223" t="str">
        <f>'WetLitterbags placem_collection'!K205</f>
        <v>G645</v>
      </c>
      <c r="K204" s="225">
        <f>IFERROR(INDEX('Green_rooibos initial weight'!$C$5:$C$1749,MATCH(J204, 'Green_rooibos initial weight'!$A$5:$A$1749,0)),"")</f>
        <v>2.238</v>
      </c>
      <c r="L204" s="225">
        <f>IFERROR(K204-(TBIcalc!$H$9+TBIcalc!$H$10),"")</f>
        <v>1.9882</v>
      </c>
      <c r="M204" s="391">
        <f>AVERAGE(Ashed_controlls!$K$2:$K$11)</f>
        <v>5.5147656768714146</v>
      </c>
      <c r="N204" s="225">
        <f t="shared" si="17"/>
        <v>1.8785554288124424</v>
      </c>
      <c r="O204" s="225">
        <f>IF(IFERROR(INDEX('Both teabags AfterWet'!$C$3:$C$841,MATCH(J204,'Both teabags AfterWet'!$A$3:$A$841,0)),"")="","",(IFERROR(INDEX('Both teabags AfterWet'!$C$3:$C$841,MATCH(J204,'Both teabags AfterWet'!$A$3:$A$841,0)),"")))</f>
        <v>0.80930000000000002</v>
      </c>
      <c r="P204" s="225">
        <f>IFERROR(IF(O204&gt;0,O204-(TBIcalc!$H$9),""),"")</f>
        <v>0.65870000000000006</v>
      </c>
      <c r="Q204" s="225">
        <f>IFERROR(INDEX('Ashed teabags wet'!$K$2:$K$821,MATCH(J204,'Ashed teabags wet'!$A$2:$A$821,0)),"")</f>
        <v>11.067388096409434</v>
      </c>
      <c r="R204" s="225">
        <f t="shared" si="21"/>
        <v>0.58579911460895107</v>
      </c>
      <c r="S204" s="226">
        <f>'WetLitterbags placem_collection'!E205</f>
        <v>42769</v>
      </c>
      <c r="T204" s="226">
        <f>IF('WetLitterbags placem_collection'!G205="","",'WetLitterbags placem_collection'!G205)</f>
        <v>42814</v>
      </c>
      <c r="U204" s="227">
        <f t="shared" si="18"/>
        <v>45</v>
      </c>
      <c r="V204" s="225">
        <f t="shared" si="19"/>
        <v>1.3294999999999999</v>
      </c>
      <c r="W204" s="225">
        <f t="shared" si="20"/>
        <v>1.2927563142034915</v>
      </c>
      <c r="X204">
        <f>IFERROR(INDEX(Rainfall_Wet!$O$2:$O$217,MATCH(B204, Rainfall_Wet!$A$2:$A$217,0)),"")</f>
        <v>175.377105089</v>
      </c>
      <c r="Y204" s="231">
        <v>47.96</v>
      </c>
      <c r="Z204" s="231">
        <v>22.919999999999995</v>
      </c>
      <c r="AA204" s="231">
        <v>29.120000000000012</v>
      </c>
      <c r="AB204" s="232" t="s">
        <v>2673</v>
      </c>
      <c r="AC204" s="231">
        <v>2.8831936914736325</v>
      </c>
      <c r="AD204">
        <f>IF('WetLitterbags placem_collection'!AB205="","",'WetLitterbags placem_collection'!AB205)</f>
        <v>5.13</v>
      </c>
      <c r="AE204">
        <f>IF('WetLitterbags placem_collection'!Z205="","",'WetLitterbags placem_collection'!Z205)</f>
        <v>5.13</v>
      </c>
      <c r="AF204" s="246" t="str">
        <f>IF('WetLitterbags placem_collection'!AA205="","",'WetLitterbags placem_collection'!AA205)</f>
        <v>O</v>
      </c>
      <c r="AG204">
        <f>IF('WetLitterbags placem_collection'!AC205="","",'WetLitterbags placem_collection'!AC205)</f>
        <v>1</v>
      </c>
      <c r="AH204" s="240">
        <f>AVERAGE('WetLitterbags placem_collection'!S205,'WetLitterbags placem_collection'!U205)</f>
        <v>27</v>
      </c>
      <c r="AI204">
        <f>AVERAGE('WetLitterbags placem_collection'!R205,'WetLitterbags placem_collection'!T205)</f>
        <v>28.4</v>
      </c>
      <c r="AJ204">
        <v>-2.4396450349999999</v>
      </c>
      <c r="AK204">
        <v>34.83836599</v>
      </c>
      <c r="AL204" t="str">
        <f>IF(ISNUMBER(SEARCH("C", 'WetLitterbags placem_collection'!V205)),"YES","NO")</f>
        <v>NO</v>
      </c>
      <c r="AM204" t="str">
        <f>IF(ISNUMBER(SEARCH("H", 'WetLitterbags placem_collection'!V205)),"YES","NO")</f>
        <v>NO</v>
      </c>
      <c r="AN204" t="str">
        <f>IF(ISNUMBER(SEARCH("R", 'WetLitterbags placem_collection'!V205)),"YES","NO")</f>
        <v>YES</v>
      </c>
    </row>
    <row r="205" spans="1:40" ht="15" customHeight="1">
      <c r="A205" s="258" t="s">
        <v>2460</v>
      </c>
      <c r="B205" s="263">
        <f>'Dry_Litterbag Placem_Collection'!A206</f>
        <v>204</v>
      </c>
      <c r="C205" s="263" t="str">
        <f>'Dry_Litterbag Placem_Collection'!B206</f>
        <v>Maswa</v>
      </c>
      <c r="D205" s="263" t="s">
        <v>2659</v>
      </c>
      <c r="E205" s="263" t="s">
        <v>2526</v>
      </c>
      <c r="F205" s="263">
        <v>3</v>
      </c>
      <c r="G205" s="264" t="str">
        <f>'Dry_Litterbag Placem_Collection'!C206</f>
        <v>Dry_W4_CG3</v>
      </c>
      <c r="H205" s="265" t="s">
        <v>2541</v>
      </c>
      <c r="I205" s="266" t="s">
        <v>1147</v>
      </c>
      <c r="J205" s="223" t="str">
        <f>'WetLitterbags placem_collection'!K206</f>
        <v>G814</v>
      </c>
      <c r="K205" s="225">
        <f>IFERROR(INDEX('Green_rooibos initial weight'!$C$5:$C$1749,MATCH(J205, 'Green_rooibos initial weight'!$A$5:$A$1749,0)),"")</f>
        <v>2.1480000000000001</v>
      </c>
      <c r="L205" s="225">
        <f>IFERROR(K205-(TBIcalc!$H$9+TBIcalc!$H$10),"")</f>
        <v>1.8982000000000001</v>
      </c>
      <c r="M205" s="391">
        <f>AVERAGE(Ashed_controlls!$K$2:$K$11)</f>
        <v>5.5147656768714146</v>
      </c>
      <c r="N205" s="225">
        <f t="shared" si="17"/>
        <v>1.793518717921627</v>
      </c>
      <c r="O205" s="225">
        <f>IF(IFERROR(INDEX('Both teabags AfterWet'!$C$3:$C$841,MATCH(J205,'Both teabags AfterWet'!$A$3:$A$841,0)),"")="","",(IFERROR(INDEX('Both teabags AfterWet'!$C$3:$C$841,MATCH(J205,'Both teabags AfterWet'!$A$3:$A$841,0)),"")))</f>
        <v>0.68300000000000005</v>
      </c>
      <c r="P205" s="225">
        <f>IFERROR(IF(O205&gt;0,O205-(TBIcalc!$H$9),""),"")</f>
        <v>0.53239999999999998</v>
      </c>
      <c r="Q205" s="225">
        <f>IFERROR(INDEX('Ashed teabags wet'!$K$2:$K$821,MATCH(J205,'Ashed teabags wet'!$A$2:$A$821,0)),"")</f>
        <v>11.500000000000204</v>
      </c>
      <c r="R205" s="225">
        <f t="shared" si="21"/>
        <v>0.47117399999999887</v>
      </c>
      <c r="S205" s="226">
        <f>'WetLitterbags placem_collection'!E206</f>
        <v>42769</v>
      </c>
      <c r="T205" s="226">
        <f>IF('WetLitterbags placem_collection'!G206="","",'WetLitterbags placem_collection'!G206)</f>
        <v>42813</v>
      </c>
      <c r="U205" s="227">
        <f t="shared" si="18"/>
        <v>44</v>
      </c>
      <c r="V205" s="225">
        <f t="shared" si="19"/>
        <v>1.3658000000000001</v>
      </c>
      <c r="W205" s="225">
        <f t="shared" si="20"/>
        <v>1.3223447179216281</v>
      </c>
      <c r="X205">
        <f>IFERROR(INDEX(Rainfall_Wet!$O$2:$O$217,MATCH(B205, Rainfall_Wet!$A$2:$A$217,0)),"")</f>
        <v>175.054685654</v>
      </c>
      <c r="Y205" s="231">
        <v>28.145762029394</v>
      </c>
      <c r="Z205" s="231">
        <v>25.085564727199518</v>
      </c>
      <c r="AA205" s="231">
        <v>46.768673243406489</v>
      </c>
      <c r="AB205" s="232" t="s">
        <v>2670</v>
      </c>
      <c r="AC205" s="231">
        <v>2.1716214884179394</v>
      </c>
      <c r="AD205">
        <f>IF('WetLitterbags placem_collection'!AB206="","",'WetLitterbags placem_collection'!AB206)</f>
        <v>7.9</v>
      </c>
      <c r="AE205">
        <f>IF('WetLitterbags placem_collection'!Z206="","",'WetLitterbags placem_collection'!Z206)</f>
        <v>7.9</v>
      </c>
      <c r="AF205" s="246" t="str">
        <f>IF('WetLitterbags placem_collection'!AA206="","",'WetLitterbags placem_collection'!AA206)</f>
        <v>O</v>
      </c>
      <c r="AG205">
        <f>IF('WetLitterbags placem_collection'!AC206="","",'WetLitterbags placem_collection'!AC206)</f>
        <v>1</v>
      </c>
      <c r="AH205" s="240">
        <f>AVERAGE('WetLitterbags placem_collection'!S206,'WetLitterbags placem_collection'!U206)</f>
        <v>21.6</v>
      </c>
      <c r="AI205">
        <f>AVERAGE('WetLitterbags placem_collection'!R206,'WetLitterbags placem_collection'!T206)</f>
        <v>30.950000000000003</v>
      </c>
      <c r="AJ205">
        <v>-2.4395990190000001</v>
      </c>
      <c r="AK205">
        <v>34.838418959999998</v>
      </c>
      <c r="AL205" t="str">
        <f>IF(ISNUMBER(SEARCH("C", 'WetLitterbags placem_collection'!V206)),"YES","NO")</f>
        <v>NO</v>
      </c>
      <c r="AM205" t="str">
        <f>IF(ISNUMBER(SEARCH("H", 'WetLitterbags placem_collection'!V206)),"YES","NO")</f>
        <v>NO</v>
      </c>
      <c r="AN205" t="str">
        <f>IF(ISNUMBER(SEARCH("R", 'WetLitterbags placem_collection'!V206)),"YES","NO")</f>
        <v>YES</v>
      </c>
    </row>
    <row r="206" spans="1:40" ht="15" customHeight="1">
      <c r="A206" s="258" t="s">
        <v>2460</v>
      </c>
      <c r="B206" s="263">
        <f>'Dry_Litterbag Placem_Collection'!A207</f>
        <v>205</v>
      </c>
      <c r="C206" s="263" t="str">
        <f>'Dry_Litterbag Placem_Collection'!B207</f>
        <v xml:space="preserve">Mwantimba
</v>
      </c>
      <c r="D206" s="263" t="s">
        <v>2460</v>
      </c>
      <c r="E206" s="263" t="s">
        <v>2526</v>
      </c>
      <c r="F206" s="263">
        <v>2</v>
      </c>
      <c r="G206" s="264" t="str">
        <f>'Dry_Litterbag Placem_Collection'!C207</f>
        <v>Wet_Ag1_CG2</v>
      </c>
      <c r="H206" s="265" t="s">
        <v>2541</v>
      </c>
      <c r="I206" s="266" t="s">
        <v>1147</v>
      </c>
      <c r="J206" s="223" t="str">
        <f>'WetLitterbags placem_collection'!K207</f>
        <v>G621</v>
      </c>
      <c r="K206" s="225">
        <f>IFERROR(INDEX('Green_rooibos initial weight'!$C$5:$C$1749,MATCH(J206, 'Green_rooibos initial weight'!$A$5:$A$1749,0)),"")</f>
        <v>1.925</v>
      </c>
      <c r="L206" s="225">
        <f>IFERROR(K206-(TBIcalc!$H$9+TBIcalc!$H$10),"")</f>
        <v>1.6752</v>
      </c>
      <c r="M206" s="391">
        <f>AVERAGE(Ashed_controlls!$K$2:$K$11)</f>
        <v>5.5147656768714146</v>
      </c>
      <c r="N206" s="225">
        <f t="shared" si="17"/>
        <v>1.5828166453810502</v>
      </c>
      <c r="O206" s="225">
        <f>IF(IFERROR(INDEX('Both teabags AfterWet'!$C$3:$C$841,MATCH(J206,'Both teabags AfterWet'!$A$3:$A$841,0)),"")="","",(IFERROR(INDEX('Both teabags AfterWet'!$C$3:$C$841,MATCH(J206,'Both teabags AfterWet'!$A$3:$A$841,0)),"")))</f>
        <v>0.74099999999999999</v>
      </c>
      <c r="P206" s="225">
        <f>IFERROR(IF(O206&gt;0,O206-(TBIcalc!$H$9),""),"")</f>
        <v>0.59040000000000004</v>
      </c>
      <c r="Q206" s="225">
        <f>IFERROR(INDEX('Ashed teabags wet'!$K$2:$K$821,MATCH(J206,'Ashed teabags wet'!$A$2:$A$821,0)),"")</f>
        <v>22.042218949435743</v>
      </c>
      <c r="R206" s="225">
        <f t="shared" si="21"/>
        <v>0.46026273932253137</v>
      </c>
      <c r="S206" s="226">
        <f>'WetLitterbags placem_collection'!E207</f>
        <v>42769</v>
      </c>
      <c r="T206" s="226">
        <f>IF('WetLitterbags placem_collection'!G207="","",'WetLitterbags placem_collection'!G207)</f>
        <v>42814</v>
      </c>
      <c r="U206" s="227">
        <f t="shared" si="18"/>
        <v>45</v>
      </c>
      <c r="V206" s="225">
        <f t="shared" si="19"/>
        <v>1.0848</v>
      </c>
      <c r="W206" s="225">
        <f t="shared" si="20"/>
        <v>1.1225539060585188</v>
      </c>
      <c r="X206">
        <f>IFERROR(INDEX(Rainfall_Wet!$O$2:$O$217,MATCH(B206, Rainfall_Wet!$A$2:$A$217,0)),"")</f>
        <v>175.377105089</v>
      </c>
      <c r="Y206" s="231">
        <v>45.96</v>
      </c>
      <c r="Z206" s="231">
        <v>14.920000000000003</v>
      </c>
      <c r="AA206" s="231">
        <v>39.119999999999997</v>
      </c>
      <c r="AB206" s="232" t="s">
        <v>2673</v>
      </c>
      <c r="AC206" s="231">
        <v>2.0374568753080333</v>
      </c>
      <c r="AD206">
        <f>IF('WetLitterbags placem_collection'!AB207="","",'WetLitterbags placem_collection'!AB207)</f>
        <v>5.13</v>
      </c>
      <c r="AE206">
        <f>IF('WetLitterbags placem_collection'!Z207="","",'WetLitterbags placem_collection'!Z207)</f>
        <v>5.13</v>
      </c>
      <c r="AF206" s="246" t="str">
        <f>IF('WetLitterbags placem_collection'!AA207="","",'WetLitterbags placem_collection'!AA207)</f>
        <v>O</v>
      </c>
      <c r="AG206">
        <f>IF('WetLitterbags placem_collection'!AC207="","",'WetLitterbags placem_collection'!AC207)</f>
        <v>1</v>
      </c>
      <c r="AH206" s="240">
        <f>AVERAGE('WetLitterbags placem_collection'!S207,'WetLitterbags placem_collection'!U207)</f>
        <v>24.45</v>
      </c>
      <c r="AI206">
        <f>AVERAGE('WetLitterbags placem_collection'!R207,'WetLitterbags placem_collection'!T207)</f>
        <v>26.299999999999997</v>
      </c>
      <c r="AJ206">
        <v>-2.4396450349999999</v>
      </c>
      <c r="AK206">
        <v>34.83836599</v>
      </c>
      <c r="AL206" t="str">
        <f>IF(ISNUMBER(SEARCH("C", 'WetLitterbags placem_collection'!V207)),"YES","NO")</f>
        <v>NO</v>
      </c>
      <c r="AM206" t="str">
        <f>IF(ISNUMBER(SEARCH("H", 'WetLitterbags placem_collection'!V207)),"YES","NO")</f>
        <v>YES</v>
      </c>
      <c r="AN206" t="str">
        <f>IF(ISNUMBER(SEARCH("R", 'WetLitterbags placem_collection'!V207)),"YES","NO")</f>
        <v>YES</v>
      </c>
    </row>
    <row r="207" spans="1:40" ht="15" customHeight="1">
      <c r="A207" s="258" t="s">
        <v>2460</v>
      </c>
      <c r="B207" s="263">
        <f>'Dry_Litterbag Placem_Collection'!A208</f>
        <v>206</v>
      </c>
      <c r="C207" s="263" t="str">
        <f>'Dry_Litterbag Placem_Collection'!B208</f>
        <v xml:space="preserve">Mwantimba
</v>
      </c>
      <c r="D207" s="263" t="s">
        <v>2460</v>
      </c>
      <c r="E207" s="263" t="s">
        <v>2526</v>
      </c>
      <c r="F207" s="263">
        <v>1</v>
      </c>
      <c r="G207" s="264" t="str">
        <f>'Dry_Litterbag Placem_Collection'!C208</f>
        <v>Wet_Ag2_CG1</v>
      </c>
      <c r="H207" s="265" t="s">
        <v>2541</v>
      </c>
      <c r="I207" s="266" t="s">
        <v>1147</v>
      </c>
      <c r="J207" s="223" t="str">
        <f>'WetLitterbags placem_collection'!K208</f>
        <v>G677</v>
      </c>
      <c r="K207" s="225">
        <f>IFERROR(INDEX('Green_rooibos initial weight'!$C$5:$C$1749,MATCH(J207, 'Green_rooibos initial weight'!$A$5:$A$1749,0)),"")</f>
        <v>2.1269999999999998</v>
      </c>
      <c r="L207" s="225">
        <f>IFERROR(K207-(TBIcalc!$H$9+TBIcalc!$H$10),"")</f>
        <v>1.8771999999999998</v>
      </c>
      <c r="M207" s="391">
        <f>AVERAGE(Ashed_controlls!$K$2:$K$11)</f>
        <v>5.5147656768714146</v>
      </c>
      <c r="N207" s="225">
        <f t="shared" si="17"/>
        <v>1.7736768187137695</v>
      </c>
      <c r="O207" s="225">
        <f>IF(IFERROR(INDEX('Both teabags AfterWet'!$C$3:$C$841,MATCH(J207,'Both teabags AfterWet'!$A$3:$A$841,0)),"")="","",(IFERROR(INDEX('Both teabags AfterWet'!$C$3:$C$841,MATCH(J207,'Both teabags AfterWet'!$A$3:$A$841,0)),"")))</f>
        <v>0.85699999999999998</v>
      </c>
      <c r="P207" s="225">
        <f>IFERROR(IF(O207&gt;0,O207-(TBIcalc!$H$9),""),"")</f>
        <v>0.70639999999999992</v>
      </c>
      <c r="Q207" s="225">
        <f>IFERROR(INDEX('Ashed teabags wet'!$K$2:$K$821,MATCH(J207,'Ashed teabags wet'!$A$2:$A$821,0)),"")</f>
        <v>17.335314512134694</v>
      </c>
      <c r="R207" s="225">
        <f t="shared" si="21"/>
        <v>0.58394333828628042</v>
      </c>
      <c r="S207" s="226">
        <f>'WetLitterbags placem_collection'!E208</f>
        <v>42769</v>
      </c>
      <c r="T207" s="226">
        <f>IF('WetLitterbags placem_collection'!G208="","",'WetLitterbags placem_collection'!G208)</f>
        <v>42814</v>
      </c>
      <c r="U207" s="227">
        <f t="shared" si="18"/>
        <v>45</v>
      </c>
      <c r="V207" s="225">
        <f t="shared" si="19"/>
        <v>1.1707999999999998</v>
      </c>
      <c r="W207" s="225">
        <f t="shared" si="20"/>
        <v>1.1897334804274891</v>
      </c>
      <c r="X207">
        <f>IFERROR(INDEX(Rainfall_Wet!$O$2:$O$217,MATCH(B207, Rainfall_Wet!$A$2:$A$217,0)),"")</f>
        <v>175.377105089</v>
      </c>
      <c r="Y207" s="231">
        <v>34.344660194174757</v>
      </c>
      <c r="Z207" s="231">
        <v>19.22727272727273</v>
      </c>
      <c r="AA207" s="231">
        <v>46.428067078552509</v>
      </c>
      <c r="AB207" s="232" t="s">
        <v>2670</v>
      </c>
      <c r="AC207" s="231">
        <v>1.7452932479053718</v>
      </c>
      <c r="AD207">
        <f>IF('WetLitterbags placem_collection'!AB208="","",'WetLitterbags placem_collection'!AB208)</f>
        <v>13.8</v>
      </c>
      <c r="AE207">
        <f>IF('WetLitterbags placem_collection'!Z208="","",'WetLitterbags placem_collection'!Z208)</f>
        <v>17.399999999999999</v>
      </c>
      <c r="AF207" s="246" t="str">
        <f>IF('WetLitterbags placem_collection'!AA208="","",'WetLitterbags placem_collection'!AA208)</f>
        <v>O</v>
      </c>
      <c r="AG207">
        <f>IF('WetLitterbags placem_collection'!AC208="","",'WetLitterbags placem_collection'!AC208)</f>
        <v>1</v>
      </c>
      <c r="AH207" s="240">
        <f>AVERAGE('WetLitterbags placem_collection'!S208,'WetLitterbags placem_collection'!U208)</f>
        <v>19.05</v>
      </c>
      <c r="AI207">
        <f>AVERAGE('WetLitterbags placem_collection'!R208,'WetLitterbags placem_collection'!T208)</f>
        <v>24.15</v>
      </c>
      <c r="AJ207">
        <v>-2.439403972</v>
      </c>
      <c r="AK207">
        <v>34.838404959999998</v>
      </c>
      <c r="AL207" t="str">
        <f>IF(ISNUMBER(SEARCH("C", 'WetLitterbags placem_collection'!V208)),"YES","NO")</f>
        <v>NO</v>
      </c>
      <c r="AM207" t="str">
        <f>IF(ISNUMBER(SEARCH("H", 'WetLitterbags placem_collection'!V208)),"YES","NO")</f>
        <v>NO</v>
      </c>
      <c r="AN207" t="str">
        <f>IF(ISNUMBER(SEARCH("R", 'WetLitterbags placem_collection'!V208)),"YES","NO")</f>
        <v>YES</v>
      </c>
    </row>
    <row r="208" spans="1:40" ht="15" customHeight="1">
      <c r="A208" s="258" t="s">
        <v>2460</v>
      </c>
      <c r="B208" s="263">
        <f>'Dry_Litterbag Placem_Collection'!A209</f>
        <v>207</v>
      </c>
      <c r="C208" s="263" t="str">
        <f>'Dry_Litterbag Placem_Collection'!B209</f>
        <v xml:space="preserve">Mwantimba
</v>
      </c>
      <c r="D208" s="263" t="s">
        <v>2460</v>
      </c>
      <c r="E208" s="263" t="s">
        <v>2526</v>
      </c>
      <c r="F208" s="263">
        <v>4</v>
      </c>
      <c r="G208" s="264" t="str">
        <f>'Dry_Litterbag Placem_Collection'!C209</f>
        <v>Wet_Ag3_CG4</v>
      </c>
      <c r="H208" s="265" t="s">
        <v>2541</v>
      </c>
      <c r="I208" s="266" t="s">
        <v>1147</v>
      </c>
      <c r="J208" s="223" t="str">
        <f>'WetLitterbags placem_collection'!K209</f>
        <v>G574</v>
      </c>
      <c r="K208" s="225">
        <f>IFERROR(INDEX('Green_rooibos initial weight'!$C$5:$C$1749,MATCH(J208, 'Green_rooibos initial weight'!$A$5:$A$1749,0)),"")</f>
        <v>1.984</v>
      </c>
      <c r="L208" s="225">
        <f>IFERROR(K208-(TBIcalc!$H$9+TBIcalc!$H$10),"")</f>
        <v>1.7342</v>
      </c>
      <c r="M208" s="391">
        <f>AVERAGE(Ashed_controlls!$K$2:$K$11)</f>
        <v>5.5147656768714146</v>
      </c>
      <c r="N208" s="225">
        <f t="shared" si="17"/>
        <v>1.6385629336316958</v>
      </c>
      <c r="O208" s="225">
        <f>IF(IFERROR(INDEX('Both teabags AfterWet'!$C$3:$C$841,MATCH(J208,'Both teabags AfterWet'!$A$3:$A$841,0)),"")="","",(IFERROR(INDEX('Both teabags AfterWet'!$C$3:$C$841,MATCH(J208,'Both teabags AfterWet'!$A$3:$A$841,0)),"")))</f>
        <v>0.77700000000000002</v>
      </c>
      <c r="P208" s="225">
        <f>IFERROR(IF(O208&gt;0,O208-(TBIcalc!$H$9),""),"")</f>
        <v>0.62640000000000007</v>
      </c>
      <c r="Q208" s="225">
        <f>IFERROR(INDEX('Ashed teabags wet'!$K$2:$K$821,MATCH(J208,'Ashed teabags wet'!$A$2:$A$821,0)),"")</f>
        <v>23.600000000000428</v>
      </c>
      <c r="R208" s="225">
        <f t="shared" si="21"/>
        <v>0.47856959999999737</v>
      </c>
      <c r="S208" s="226">
        <f>'WetLitterbags placem_collection'!E209</f>
        <v>42769</v>
      </c>
      <c r="T208" s="226">
        <f>IF('WetLitterbags placem_collection'!G209="","",'WetLitterbags placem_collection'!G209)</f>
        <v>42813</v>
      </c>
      <c r="U208" s="227">
        <f t="shared" si="18"/>
        <v>44</v>
      </c>
      <c r="V208" s="225">
        <f t="shared" si="19"/>
        <v>1.1077999999999999</v>
      </c>
      <c r="W208" s="225">
        <f t="shared" si="20"/>
        <v>1.1599933336316983</v>
      </c>
      <c r="X208">
        <f>IFERROR(INDEX(Rainfall_Wet!$O$2:$O$217,MATCH(B208, Rainfall_Wet!$A$2:$A$217,0)),"")</f>
        <v>175.054685654</v>
      </c>
      <c r="Y208" s="231">
        <v>27.96</v>
      </c>
      <c r="Z208" s="231">
        <v>4.9200000000000017</v>
      </c>
      <c r="AA208" s="231">
        <v>67.12</v>
      </c>
      <c r="AB208" s="232" t="s">
        <v>2670</v>
      </c>
      <c r="AC208" s="231">
        <v>0.88610152784622953</v>
      </c>
      <c r="AD208">
        <f>IF('WetLitterbags placem_collection'!AB209="","",'WetLitterbags placem_collection'!AB209)</f>
        <v>15.2</v>
      </c>
      <c r="AE208">
        <f>IF('WetLitterbags placem_collection'!Z209="","",'WetLitterbags placem_collection'!Z209)</f>
        <v>12.2</v>
      </c>
      <c r="AF208" s="246" t="str">
        <f>IF('WetLitterbags placem_collection'!AA209="","",'WetLitterbags placem_collection'!AA209)</f>
        <v>O</v>
      </c>
      <c r="AG208">
        <f>IF('WetLitterbags placem_collection'!AC209="","",'WetLitterbags placem_collection'!AC209)</f>
        <v>1</v>
      </c>
      <c r="AH208" s="240">
        <f>AVERAGE('WetLitterbags placem_collection'!S209,'WetLitterbags placem_collection'!U209)</f>
        <v>19.8</v>
      </c>
      <c r="AI208">
        <f>AVERAGE('WetLitterbags placem_collection'!R209,'WetLitterbags placem_collection'!T209)</f>
        <v>29.05</v>
      </c>
      <c r="AJ208">
        <v>-2.4396949910000001</v>
      </c>
      <c r="AK208">
        <v>34.838574029999997</v>
      </c>
      <c r="AL208" t="str">
        <f>IF(ISNUMBER(SEARCH("C", 'WetLitterbags placem_collection'!V209)),"YES","NO")</f>
        <v>NO</v>
      </c>
      <c r="AM208" t="str">
        <f>IF(ISNUMBER(SEARCH("H", 'WetLitterbags placem_collection'!V209)),"YES","NO")</f>
        <v>NO</v>
      </c>
      <c r="AN208" t="str">
        <f>IF(ISNUMBER(SEARCH("R", 'WetLitterbags placem_collection'!V209)),"YES","NO")</f>
        <v>YES</v>
      </c>
    </row>
    <row r="209" spans="1:40" ht="15" customHeight="1">
      <c r="A209" s="258" t="s">
        <v>2460</v>
      </c>
      <c r="B209" s="263">
        <f>'Dry_Litterbag Placem_Collection'!A210</f>
        <v>208</v>
      </c>
      <c r="C209" s="263" t="str">
        <f>'Dry_Litterbag Placem_Collection'!B210</f>
        <v xml:space="preserve">Mwantimba
</v>
      </c>
      <c r="D209" s="263" t="s">
        <v>2460</v>
      </c>
      <c r="E209" s="263" t="s">
        <v>2526</v>
      </c>
      <c r="F209" s="263">
        <v>3</v>
      </c>
      <c r="G209" s="264" t="str">
        <f>'Dry_Litterbag Placem_Collection'!C210</f>
        <v>Wet_Ag4_CG3</v>
      </c>
      <c r="H209" s="265" t="s">
        <v>2541</v>
      </c>
      <c r="I209" s="266" t="s">
        <v>1147</v>
      </c>
      <c r="J209" s="223" t="str">
        <f>'WetLitterbags placem_collection'!K210</f>
        <v>G710</v>
      </c>
      <c r="K209" s="225">
        <f>IFERROR(INDEX('Green_rooibos initial weight'!$C$5:$C$1749,MATCH(J209, 'Green_rooibos initial weight'!$A$5:$A$1749,0)),"")</f>
        <v>2.0270000000000001</v>
      </c>
      <c r="L209" s="225">
        <f>IFERROR(K209-(TBIcalc!$H$9+TBIcalc!$H$10),"")</f>
        <v>1.7772000000000001</v>
      </c>
      <c r="M209" s="391">
        <f>AVERAGE(Ashed_controlls!$K$2:$K$11)</f>
        <v>5.5147656768714146</v>
      </c>
      <c r="N209" s="225">
        <f t="shared" si="17"/>
        <v>1.6791915843906413</v>
      </c>
      <c r="O209" s="225">
        <f>IF(IFERROR(INDEX('Both teabags AfterWet'!$C$3:$C$841,MATCH(J209,'Both teabags AfterWet'!$A$3:$A$841,0)),"")="","",(IFERROR(INDEX('Both teabags AfterWet'!$C$3:$C$841,MATCH(J209,'Both teabags AfterWet'!$A$3:$A$841,0)),"")))</f>
        <v>0.91</v>
      </c>
      <c r="P209" s="225">
        <f>IFERROR(IF(O209&gt;0,O209-(TBIcalc!$H$9),""),"")</f>
        <v>0.75940000000000007</v>
      </c>
      <c r="Q209" s="225">
        <f>IFERROR(INDEX('Ashed teabags wet'!$K$2:$K$821,MATCH(J209,'Ashed teabags wet'!$A$2:$A$821,0)),"")</f>
        <v>18.435475834579655</v>
      </c>
      <c r="R209" s="225">
        <f t="shared" si="21"/>
        <v>0.61940099651220215</v>
      </c>
      <c r="S209" s="226">
        <f>'WetLitterbags placem_collection'!E210</f>
        <v>42769</v>
      </c>
      <c r="T209" s="226">
        <f>IF('WetLitterbags placem_collection'!G210="","",'WetLitterbags placem_collection'!G210)</f>
        <v>42813</v>
      </c>
      <c r="U209" s="227">
        <f t="shared" si="18"/>
        <v>44</v>
      </c>
      <c r="V209" s="225">
        <f t="shared" si="19"/>
        <v>1.0178</v>
      </c>
      <c r="W209" s="225">
        <f t="shared" si="20"/>
        <v>1.0597905878784393</v>
      </c>
      <c r="X209">
        <f>IFERROR(INDEX(Rainfall_Wet!$O$2:$O$217,MATCH(B209, Rainfall_Wet!$A$2:$A$217,0)),"")</f>
        <v>175.054685654</v>
      </c>
      <c r="Y209" s="231">
        <v>17.96</v>
      </c>
      <c r="Z209" s="231">
        <v>4.9199999999999982</v>
      </c>
      <c r="AA209" s="231">
        <v>77.12</v>
      </c>
      <c r="AB209" s="232" t="s">
        <v>2671</v>
      </c>
      <c r="AC209" s="231">
        <v>2.0220798422868409</v>
      </c>
      <c r="AD209">
        <f>IF('WetLitterbags placem_collection'!AB210="","",'WetLitterbags placem_collection'!AB210)</f>
        <v>7.9</v>
      </c>
      <c r="AE209">
        <f>IF('WetLitterbags placem_collection'!Z210="","",'WetLitterbags placem_collection'!Z210)</f>
        <v>7.9</v>
      </c>
      <c r="AF209" s="246" t="str">
        <f>IF('WetLitterbags placem_collection'!AA210="","",'WetLitterbags placem_collection'!AA210)</f>
        <v>O</v>
      </c>
      <c r="AG209">
        <f>IF('WetLitterbags placem_collection'!AC210="","",'WetLitterbags placem_collection'!AC210)</f>
        <v>1</v>
      </c>
      <c r="AH209" s="240">
        <f>AVERAGE('WetLitterbags placem_collection'!S210,'WetLitterbags placem_collection'!U210)</f>
        <v>22.200000000000003</v>
      </c>
      <c r="AI209">
        <f>AVERAGE('WetLitterbags placem_collection'!R210,'WetLitterbags placem_collection'!T210)</f>
        <v>27.45</v>
      </c>
      <c r="AJ209">
        <v>-2.4395990190000001</v>
      </c>
      <c r="AK209">
        <v>34.838418959999998</v>
      </c>
      <c r="AL209" t="str">
        <f>IF(ISNUMBER(SEARCH("C", 'WetLitterbags placem_collection'!V210)),"YES","NO")</f>
        <v>NO</v>
      </c>
      <c r="AM209" t="str">
        <f>IF(ISNUMBER(SEARCH("H", 'WetLitterbags placem_collection'!V210)),"YES","NO")</f>
        <v>NO</v>
      </c>
      <c r="AN209" t="str">
        <f>IF(ISNUMBER(SEARCH("R", 'WetLitterbags placem_collection'!V210)),"YES","NO")</f>
        <v>YES</v>
      </c>
    </row>
    <row r="210" spans="1:40" ht="15" customHeight="1">
      <c r="A210" s="258" t="s">
        <v>2460</v>
      </c>
      <c r="B210" s="263">
        <f>'Dry_Litterbag Placem_Collection'!A211</f>
        <v>209</v>
      </c>
      <c r="C210" s="263" t="str">
        <f>'Dry_Litterbag Placem_Collection'!B211</f>
        <v xml:space="preserve">Mwantimba
</v>
      </c>
      <c r="D210" s="263" t="s">
        <v>2460</v>
      </c>
      <c r="E210" s="263" t="s">
        <v>2526</v>
      </c>
      <c r="F210" s="263">
        <v>2</v>
      </c>
      <c r="G210" s="264" t="str">
        <f>'Dry_Litterbag Placem_Collection'!C211</f>
        <v>Wet_P1_CG2</v>
      </c>
      <c r="H210" s="265" t="s">
        <v>2541</v>
      </c>
      <c r="I210" s="266" t="s">
        <v>1147</v>
      </c>
      <c r="J210" s="223" t="str">
        <f>'WetLitterbags placem_collection'!K211</f>
        <v>G604</v>
      </c>
      <c r="K210" s="225">
        <f>IFERROR(INDEX('Green_rooibos initial weight'!$C$5:$C$1749,MATCH(J210, 'Green_rooibos initial weight'!$A$5:$A$1749,0)),"")</f>
        <v>2.0390000000000001</v>
      </c>
      <c r="L210" s="225">
        <f>IFERROR(K210-(TBIcalc!$H$9+TBIcalc!$H$10),"")</f>
        <v>1.7892000000000001</v>
      </c>
      <c r="M210" s="391">
        <f>AVERAGE(Ashed_controlls!$K$2:$K$11)</f>
        <v>5.5147656768714146</v>
      </c>
      <c r="N210" s="225">
        <f t="shared" si="17"/>
        <v>1.6905298125094168</v>
      </c>
      <c r="O210" s="225">
        <f>IF(IFERROR(INDEX('Both teabags AfterWet'!$C$3:$C$841,MATCH(J210,'Both teabags AfterWet'!$A$3:$A$841,0)),"")="","",(IFERROR(INDEX('Both teabags AfterWet'!$C$3:$C$841,MATCH(J210,'Both teabags AfterWet'!$A$3:$A$841,0)),"")))</f>
        <v>0.748</v>
      </c>
      <c r="P210" s="225">
        <f>IFERROR(IF(O210&gt;0,O210-(TBIcalc!$H$9),""),"")</f>
        <v>0.59739999999999993</v>
      </c>
      <c r="Q210" s="225">
        <f>IFERROR(INDEX('Ashed teabags wet'!$K$2:$K$821,MATCH(J210,'Ashed teabags wet'!$A$2:$A$821,0)),"")</f>
        <v>16.351888667991876</v>
      </c>
      <c r="R210" s="225">
        <f t="shared" si="21"/>
        <v>0.49971381709741647</v>
      </c>
      <c r="S210" s="226">
        <f>'WetLitterbags placem_collection'!E211</f>
        <v>42769</v>
      </c>
      <c r="T210" s="226">
        <f>IF('WetLitterbags placem_collection'!G211="","",'WetLitterbags placem_collection'!G211)</f>
        <v>42814</v>
      </c>
      <c r="U210" s="227">
        <f t="shared" si="18"/>
        <v>45</v>
      </c>
      <c r="V210" s="225">
        <f t="shared" si="19"/>
        <v>1.1918000000000002</v>
      </c>
      <c r="W210" s="225">
        <f t="shared" si="20"/>
        <v>1.1908159954120003</v>
      </c>
      <c r="X210">
        <f>IFERROR(INDEX(Rainfall_Wet!$O$2:$O$217,MATCH(B210, Rainfall_Wet!$A$2:$A$217,0)),"")</f>
        <v>175.377105089</v>
      </c>
      <c r="Y210" s="231">
        <v>31.214836424255054</v>
      </c>
      <c r="Z210" s="231">
        <v>11.377370285476141</v>
      </c>
      <c r="AA210" s="231">
        <v>57.407793290268799</v>
      </c>
      <c r="AB210" s="232" t="s">
        <v>2670</v>
      </c>
      <c r="AC210" s="231">
        <v>1.7337604731394776</v>
      </c>
      <c r="AD210">
        <f>IF('WetLitterbags placem_collection'!AB211="","",'WetLitterbags placem_collection'!AB211)</f>
        <v>5.13</v>
      </c>
      <c r="AE210">
        <f>IF('WetLitterbags placem_collection'!Z211="","",'WetLitterbags placem_collection'!Z211)</f>
        <v>5.13</v>
      </c>
      <c r="AF210" s="246" t="str">
        <f>IF('WetLitterbags placem_collection'!AA211="","",'WetLitterbags placem_collection'!AA211)</f>
        <v>O</v>
      </c>
      <c r="AG210">
        <f>IF('WetLitterbags placem_collection'!AC211="","",'WetLitterbags placem_collection'!AC211)</f>
        <v>1</v>
      </c>
      <c r="AH210" s="240">
        <f>AVERAGE('WetLitterbags placem_collection'!S211,'WetLitterbags placem_collection'!U211)</f>
        <v>24.5</v>
      </c>
      <c r="AI210">
        <f>AVERAGE('WetLitterbags placem_collection'!R211,'WetLitterbags placem_collection'!T211)</f>
        <v>24.4</v>
      </c>
      <c r="AJ210">
        <v>-2.4396450349999999</v>
      </c>
      <c r="AK210">
        <v>34.83836599</v>
      </c>
      <c r="AL210" t="str">
        <f>IF(ISNUMBER(SEARCH("C", 'WetLitterbags placem_collection'!V211)),"YES","NO")</f>
        <v>NO</v>
      </c>
      <c r="AM210" t="str">
        <f>IF(ISNUMBER(SEARCH("H", 'WetLitterbags placem_collection'!V211)),"YES","NO")</f>
        <v>NO</v>
      </c>
      <c r="AN210" t="str">
        <f>IF(ISNUMBER(SEARCH("R", 'WetLitterbags placem_collection'!V211)),"YES","NO")</f>
        <v>YES</v>
      </c>
    </row>
    <row r="211" spans="1:40" ht="15" customHeight="1">
      <c r="A211" s="258" t="s">
        <v>2460</v>
      </c>
      <c r="B211" s="263">
        <f>'Dry_Litterbag Placem_Collection'!A212</f>
        <v>210</v>
      </c>
      <c r="C211" s="263" t="str">
        <f>'Dry_Litterbag Placem_Collection'!B212</f>
        <v xml:space="preserve">Mwantimba
</v>
      </c>
      <c r="D211" s="263" t="s">
        <v>2460</v>
      </c>
      <c r="E211" s="263" t="s">
        <v>2526</v>
      </c>
      <c r="F211" s="263">
        <v>4</v>
      </c>
      <c r="G211" s="264" t="str">
        <f>'Dry_Litterbag Placem_Collection'!C212</f>
        <v>Wet_P2_CG4</v>
      </c>
      <c r="H211" s="265" t="s">
        <v>2541</v>
      </c>
      <c r="I211" s="266" t="s">
        <v>1147</v>
      </c>
      <c r="J211" s="223" t="str">
        <f>'WetLitterbags placem_collection'!K212</f>
        <v>G871</v>
      </c>
      <c r="K211" s="225">
        <f>IFERROR(INDEX('Green_rooibos initial weight'!$C$5:$C$1749,MATCH(J211, 'Green_rooibos initial weight'!$A$5:$A$1749,0)),"")</f>
        <v>2.0680000000000001</v>
      </c>
      <c r="L211" s="225">
        <f>IFERROR(K211-(TBIcalc!$H$9+TBIcalc!$H$10),"")</f>
        <v>1.8182</v>
      </c>
      <c r="M211" s="391">
        <f>AVERAGE(Ashed_controlls!$K$2:$K$11)</f>
        <v>5.5147656768714146</v>
      </c>
      <c r="N211" s="225">
        <f t="shared" si="17"/>
        <v>1.7179305304631241</v>
      </c>
      <c r="O211" s="225">
        <f>IF(IFERROR(INDEX('Both teabags AfterWet'!$C$3:$C$841,MATCH(J211,'Both teabags AfterWet'!$A$3:$A$841,0)),"")="","",(IFERROR(INDEX('Both teabags AfterWet'!$C$3:$C$841,MATCH(J211,'Both teabags AfterWet'!$A$3:$A$841,0)),"")))</f>
        <v>0.83130000000000004</v>
      </c>
      <c r="P211" s="225">
        <f>IFERROR(IF(O211&gt;0,O211-(TBIcalc!$H$9),""),"")</f>
        <v>0.68070000000000008</v>
      </c>
      <c r="Q211" s="225">
        <f>IFERROR(INDEX('Ashed teabags wet'!$K$2:$K$821,MATCH(J211,'Ashed teabags wet'!$A$2:$A$821,0)),"")</f>
        <v>17.063492063492387</v>
      </c>
      <c r="R211" s="225">
        <f t="shared" si="21"/>
        <v>0.56454880952380737</v>
      </c>
      <c r="S211" s="226">
        <f>'WetLitterbags placem_collection'!E212</f>
        <v>42769</v>
      </c>
      <c r="T211" s="226">
        <f>IF('WetLitterbags placem_collection'!G212="","",'WetLitterbags placem_collection'!G212)</f>
        <v>42813</v>
      </c>
      <c r="U211" s="227">
        <f t="shared" si="18"/>
        <v>44</v>
      </c>
      <c r="V211" s="225">
        <f t="shared" si="19"/>
        <v>1.1375</v>
      </c>
      <c r="W211" s="225">
        <f t="shared" si="20"/>
        <v>1.1533817209393167</v>
      </c>
      <c r="X211">
        <f>IFERROR(INDEX(Rainfall_Wet!$O$2:$O$217,MATCH(B211, Rainfall_Wet!$A$2:$A$217,0)),"")</f>
        <v>175.054685654</v>
      </c>
      <c r="Y211" s="231">
        <v>33.96</v>
      </c>
      <c r="Z211" s="231">
        <v>8.9200000000000017</v>
      </c>
      <c r="AA211" s="231">
        <v>57.12</v>
      </c>
      <c r="AB211" s="232" t="s">
        <v>2670</v>
      </c>
      <c r="AC211" s="231">
        <v>2.072055199605717</v>
      </c>
      <c r="AD211">
        <f>IF('WetLitterbags placem_collection'!AB212="","",'WetLitterbags placem_collection'!AB212)</f>
        <v>15.2</v>
      </c>
      <c r="AE211">
        <f>IF('WetLitterbags placem_collection'!Z212="","",'WetLitterbags placem_collection'!Z212)</f>
        <v>12.2</v>
      </c>
      <c r="AF211" s="246" t="str">
        <f>IF('WetLitterbags placem_collection'!AA212="","",'WetLitterbags placem_collection'!AA212)</f>
        <v>O</v>
      </c>
      <c r="AG211">
        <f>IF('WetLitterbags placem_collection'!AC212="","",'WetLitterbags placem_collection'!AC212)</f>
        <v>1</v>
      </c>
      <c r="AH211" s="240">
        <f>AVERAGE('WetLitterbags placem_collection'!S212,'WetLitterbags placem_collection'!U212)</f>
        <v>22.4</v>
      </c>
      <c r="AI211">
        <f>AVERAGE('WetLitterbags placem_collection'!R212,'WetLitterbags placem_collection'!T212)</f>
        <v>28.400000000000002</v>
      </c>
      <c r="AJ211">
        <v>-2.4396949910000001</v>
      </c>
      <c r="AK211">
        <v>34.838574029999997</v>
      </c>
      <c r="AL211" t="str">
        <f>IF(ISNUMBER(SEARCH("C", 'WetLitterbags placem_collection'!V212)),"YES","NO")</f>
        <v>NO</v>
      </c>
      <c r="AM211" t="str">
        <f>IF(ISNUMBER(SEARCH("H", 'WetLitterbags placem_collection'!V212)),"YES","NO")</f>
        <v>NO</v>
      </c>
      <c r="AN211" t="str">
        <f>IF(ISNUMBER(SEARCH("R", 'WetLitterbags placem_collection'!V212)),"YES","NO")</f>
        <v>YES</v>
      </c>
    </row>
    <row r="212" spans="1:40" ht="15" customHeight="1">
      <c r="A212" s="258" t="s">
        <v>2460</v>
      </c>
      <c r="B212" s="263">
        <f>'Dry_Litterbag Placem_Collection'!A213</f>
        <v>211</v>
      </c>
      <c r="C212" s="263" t="str">
        <f>'Dry_Litterbag Placem_Collection'!B213</f>
        <v xml:space="preserve">Mwantimba
</v>
      </c>
      <c r="D212" s="263" t="s">
        <v>2460</v>
      </c>
      <c r="E212" s="263" t="s">
        <v>2526</v>
      </c>
      <c r="F212" s="263">
        <v>1</v>
      </c>
      <c r="G212" s="264" t="str">
        <f>'Dry_Litterbag Placem_Collection'!C213</f>
        <v>Wet_P3_CG1</v>
      </c>
      <c r="H212" s="265" t="s">
        <v>2541</v>
      </c>
      <c r="I212" s="266" t="s">
        <v>1147</v>
      </c>
      <c r="J212" s="223" t="str">
        <f>'WetLitterbags placem_collection'!K213</f>
        <v>G822</v>
      </c>
      <c r="K212" s="225">
        <f>IFERROR(INDEX('Green_rooibos initial weight'!$C$5:$C$1749,MATCH(J212, 'Green_rooibos initial weight'!$A$5:$A$1749,0)),"")</f>
        <v>2.02</v>
      </c>
      <c r="L212" s="225">
        <f>IFERROR(K212-(TBIcalc!$H$9+TBIcalc!$H$10),"")</f>
        <v>1.7702</v>
      </c>
      <c r="M212" s="391">
        <f>AVERAGE(Ashed_controlls!$K$2:$K$11)</f>
        <v>5.5147656768714146</v>
      </c>
      <c r="N212" s="225">
        <f t="shared" si="17"/>
        <v>1.6725776179880223</v>
      </c>
      <c r="O212" s="225">
        <f>IF(IFERROR(INDEX('Both teabags AfterWet'!$C$3:$C$841,MATCH(J212,'Both teabags AfterWet'!$A$3:$A$841,0)),"")="","",(IFERROR(INDEX('Both teabags AfterWet'!$C$3:$C$841,MATCH(J212,'Both teabags AfterWet'!$A$3:$A$841,0)),"")))</f>
        <v>0.85699999999999998</v>
      </c>
      <c r="P212" s="225">
        <f>IFERROR(IF(O212&gt;0,O212-(TBIcalc!$H$9),""),"")</f>
        <v>0.70639999999999992</v>
      </c>
      <c r="Q212" s="225">
        <f>IFERROR(INDEX('Ashed teabags wet'!$K$2:$K$821,MATCH(J212,'Ashed teabags wet'!$A$2:$A$821,0)),"")</f>
        <v>17.246520874750999</v>
      </c>
      <c r="R212" s="225">
        <f t="shared" si="21"/>
        <v>0.58457057654075884</v>
      </c>
      <c r="S212" s="226">
        <f>'WetLitterbags placem_collection'!E213</f>
        <v>42769</v>
      </c>
      <c r="T212" s="226">
        <f>IF('WetLitterbags placem_collection'!G213="","",'WetLitterbags placem_collection'!G213)</f>
        <v>42814</v>
      </c>
      <c r="U212" s="227">
        <f t="shared" si="18"/>
        <v>45</v>
      </c>
      <c r="V212" s="225">
        <f t="shared" si="19"/>
        <v>1.0638000000000001</v>
      </c>
      <c r="W212" s="225">
        <f t="shared" si="20"/>
        <v>1.0880070414472636</v>
      </c>
      <c r="X212">
        <f>IFERROR(INDEX(Rainfall_Wet!$O$2:$O$217,MATCH(B212, Rainfall_Wet!$A$2:$A$217,0)),"")</f>
        <v>175.377105089</v>
      </c>
      <c r="Y212" s="231">
        <v>39.96</v>
      </c>
      <c r="Z212" s="231">
        <v>12.920000000000002</v>
      </c>
      <c r="AA212" s="231">
        <v>47.12</v>
      </c>
      <c r="AB212" s="232" t="s">
        <v>2674</v>
      </c>
      <c r="AC212" s="231">
        <v>1.6549531789058647</v>
      </c>
      <c r="AD212">
        <f>IF('WetLitterbags placem_collection'!AB213="","",'WetLitterbags placem_collection'!AB213)</f>
        <v>13.8</v>
      </c>
      <c r="AE212">
        <f>IF('WetLitterbags placem_collection'!Z213="","",'WetLitterbags placem_collection'!Z213)</f>
        <v>17.399999999999999</v>
      </c>
      <c r="AF212" s="246" t="str">
        <f>IF('WetLitterbags placem_collection'!AA213="","",'WetLitterbags placem_collection'!AA213)</f>
        <v>O</v>
      </c>
      <c r="AG212">
        <f>IF('WetLitterbags placem_collection'!AC213="","",'WetLitterbags placem_collection'!AC213)</f>
        <v>1</v>
      </c>
      <c r="AH212" s="240">
        <f>AVERAGE('WetLitterbags placem_collection'!S213,'WetLitterbags placem_collection'!U213)</f>
        <v>16.850000000000001</v>
      </c>
      <c r="AI212">
        <f>AVERAGE('WetLitterbags placem_collection'!R213,'WetLitterbags placem_collection'!T213)</f>
        <v>23.95</v>
      </c>
      <c r="AJ212">
        <v>-2.439403972</v>
      </c>
      <c r="AK212">
        <v>34.838404959999998</v>
      </c>
      <c r="AL212" t="str">
        <f>IF(ISNUMBER(SEARCH("C", 'WetLitterbags placem_collection'!V213)),"YES","NO")</f>
        <v>NO</v>
      </c>
      <c r="AM212" t="str">
        <f>IF(ISNUMBER(SEARCH("H", 'WetLitterbags placem_collection'!V213)),"YES","NO")</f>
        <v>NO</v>
      </c>
      <c r="AN212" t="str">
        <f>IF(ISNUMBER(SEARCH("R", 'WetLitterbags placem_collection'!V213)),"YES","NO")</f>
        <v>YES</v>
      </c>
    </row>
    <row r="213" spans="1:40" ht="15" customHeight="1">
      <c r="A213" s="258" t="s">
        <v>2460</v>
      </c>
      <c r="B213" s="263">
        <f>'Dry_Litterbag Placem_Collection'!A214</f>
        <v>215</v>
      </c>
      <c r="C213" s="263" t="str">
        <f>'Dry_Litterbag Placem_Collection'!B214</f>
        <v xml:space="preserve">Mwantimba
</v>
      </c>
      <c r="D213" s="263" t="s">
        <v>2460</v>
      </c>
      <c r="E213" s="263" t="s">
        <v>2526</v>
      </c>
      <c r="F213" s="263">
        <v>3</v>
      </c>
      <c r="G213" s="264" t="str">
        <f>'Dry_Litterbag Placem_Collection'!C214</f>
        <v>Wet_W3_CG1</v>
      </c>
      <c r="H213" s="265" t="s">
        <v>2541</v>
      </c>
      <c r="I213" s="266" t="s">
        <v>1147</v>
      </c>
      <c r="J213" s="223" t="str">
        <f>'WetLitterbags placem_collection'!K214</f>
        <v>G786</v>
      </c>
      <c r="K213" s="225">
        <f>IFERROR(INDEX('Green_rooibos initial weight'!$C$5:$C$1749,MATCH(J213, 'Green_rooibos initial weight'!$A$5:$A$1749,0)),"")</f>
        <v>2.097</v>
      </c>
      <c r="L213" s="225">
        <f>IFERROR(K213-(TBIcalc!$H$9+TBIcalc!$H$10),"")</f>
        <v>1.8472</v>
      </c>
      <c r="M213" s="391">
        <f>AVERAGE(Ashed_controlls!$K$2:$K$11)</f>
        <v>5.5147656768714146</v>
      </c>
      <c r="N213" s="225">
        <f t="shared" si="17"/>
        <v>1.7453312484168313</v>
      </c>
      <c r="O213" s="225">
        <f>IF(IFERROR(INDEX('Both teabags AfterWet'!$C$3:$C$841,MATCH(J213,'Both teabags AfterWet'!$A$3:$A$841,0)),"")="","",(IFERROR(INDEX('Both teabags AfterWet'!$C$3:$C$841,MATCH(J213,'Both teabags AfterWet'!$A$3:$A$841,0)),"")))</f>
        <v>0.86439999999999995</v>
      </c>
      <c r="P213" s="225">
        <f>IFERROR(IF(O213&gt;0,O213-(TBIcalc!$H$9),""),"")</f>
        <v>0.71379999999999999</v>
      </c>
      <c r="Q213" s="225">
        <f>IFERROR(INDEX('Ashed teabags wet'!$K$2:$K$821,MATCH(J213,'Ashed teabags wet'!$A$2:$A$821,0)),"")</f>
        <v>12.518778167251055</v>
      </c>
      <c r="R213" s="225">
        <f t="shared" si="21"/>
        <v>0.62444096144216199</v>
      </c>
      <c r="S213" s="226">
        <f>'WetLitterbags placem_collection'!E214</f>
        <v>42769</v>
      </c>
      <c r="T213" s="226">
        <f>IF('WetLitterbags placem_collection'!G214="","",'WetLitterbags placem_collection'!G214)</f>
        <v>42813</v>
      </c>
      <c r="U213" s="227">
        <f t="shared" si="18"/>
        <v>44</v>
      </c>
      <c r="V213" s="225">
        <f t="shared" si="19"/>
        <v>1.1334</v>
      </c>
      <c r="W213" s="225">
        <f t="shared" si="20"/>
        <v>1.1208902869746693</v>
      </c>
      <c r="X213">
        <f>IFERROR(INDEX(Rainfall_Wet!$O$2:$O$217,MATCH(B213, Rainfall_Wet!$A$2:$A$217,0)),"")</f>
        <v>175.377105089</v>
      </c>
      <c r="Y213" s="231">
        <v>27.96</v>
      </c>
      <c r="Z213" s="231">
        <v>4.9200000000000017</v>
      </c>
      <c r="AA213" s="231">
        <v>67.12</v>
      </c>
      <c r="AB213" s="232" t="s">
        <v>2670</v>
      </c>
      <c r="AC213" s="231">
        <v>1.0437161163134547</v>
      </c>
      <c r="AD213">
        <f>IF('WetLitterbags placem_collection'!AB214="","",'WetLitterbags placem_collection'!AB214)</f>
        <v>7.9</v>
      </c>
      <c r="AE213">
        <f>IF('WetLitterbags placem_collection'!Z214="","",'WetLitterbags placem_collection'!Z214)</f>
        <v>7.9</v>
      </c>
      <c r="AF213" s="246" t="str">
        <f>IF('WetLitterbags placem_collection'!AA214="","",'WetLitterbags placem_collection'!AA214)</f>
        <v>O</v>
      </c>
      <c r="AG213">
        <f>IF('WetLitterbags placem_collection'!AC214="","",'WetLitterbags placem_collection'!AC214)</f>
        <v>1</v>
      </c>
      <c r="AH213" s="240">
        <f>AVERAGE('WetLitterbags placem_collection'!S214,'WetLitterbags placem_collection'!U214)</f>
        <v>22.45</v>
      </c>
      <c r="AI213">
        <f>AVERAGE('WetLitterbags placem_collection'!R214,'WetLitterbags placem_collection'!T214)</f>
        <v>27.450000000000003</v>
      </c>
      <c r="AJ213">
        <v>-2.4395990190000001</v>
      </c>
      <c r="AK213">
        <v>34.838418959999998</v>
      </c>
      <c r="AL213" t="str">
        <f>IF(ISNUMBER(SEARCH("C", 'WetLitterbags placem_collection'!V214)),"YES","NO")</f>
        <v>NO</v>
      </c>
      <c r="AM213" t="str">
        <f>IF(ISNUMBER(SEARCH("H", 'WetLitterbags placem_collection'!V214)),"YES","NO")</f>
        <v>NO</v>
      </c>
      <c r="AN213" t="str">
        <f>IF(ISNUMBER(SEARCH("R", 'WetLitterbags placem_collection'!V214)),"YES","NO")</f>
        <v>NO</v>
      </c>
    </row>
    <row r="214" spans="1:40" ht="15" customHeight="1">
      <c r="A214" s="258" t="s">
        <v>2460</v>
      </c>
      <c r="B214" s="263">
        <f>'Dry_Litterbag Placem_Collection'!A215</f>
        <v>212</v>
      </c>
      <c r="C214" s="263" t="str">
        <f>'Dry_Litterbag Placem_Collection'!B215</f>
        <v xml:space="preserve">Mwantimba
</v>
      </c>
      <c r="D214" s="263" t="s">
        <v>2460</v>
      </c>
      <c r="E214" s="263" t="s">
        <v>2526</v>
      </c>
      <c r="F214" s="263">
        <v>4</v>
      </c>
      <c r="G214" s="264" t="str">
        <f>'Dry_Litterbag Placem_Collection'!C215</f>
        <v>Wet_P4_CG3</v>
      </c>
      <c r="H214" s="265" t="s">
        <v>2541</v>
      </c>
      <c r="I214" s="266" t="s">
        <v>1147</v>
      </c>
      <c r="J214" s="223" t="str">
        <f>'WetLitterbags placem_collection'!K215</f>
        <v>G572</v>
      </c>
      <c r="K214" s="225">
        <f>IFERROR(INDEX('Green_rooibos initial weight'!$C$5:$C$1749,MATCH(J214, 'Green_rooibos initial weight'!$A$5:$A$1749,0)),"")</f>
        <v>1.972</v>
      </c>
      <c r="L214" s="225">
        <f>IFERROR(K214-(TBIcalc!$H$9+TBIcalc!$H$10),"")</f>
        <v>1.7222</v>
      </c>
      <c r="M214" s="391">
        <f>AVERAGE(Ashed_controlls!$K$2:$K$11)</f>
        <v>5.5147656768714146</v>
      </c>
      <c r="N214" s="225">
        <f t="shared" si="17"/>
        <v>1.6272247055129205</v>
      </c>
      <c r="O214" s="225">
        <f>IF(IFERROR(INDEX('Both teabags AfterWet'!$C$3:$C$841,MATCH(J214,'Both teabags AfterWet'!$A$3:$A$841,0)),"")="","",(IFERROR(INDEX('Both teabags AfterWet'!$C$3:$C$841,MATCH(J214,'Both teabags AfterWet'!$A$3:$A$841,0)),"")))</f>
        <v>0.71399999999999997</v>
      </c>
      <c r="P214" s="225">
        <f>IFERROR(IF(O214&gt;0,O214-(TBIcalc!$H$9),""),"")</f>
        <v>0.5633999999999999</v>
      </c>
      <c r="Q214" s="225">
        <f>IFERROR(INDEX('Ashed teabags wet'!$K$2:$K$821,MATCH(J214,'Ashed teabags wet'!$A$2:$A$821,0)),"")</f>
        <v>10.252600297176585</v>
      </c>
      <c r="R214" s="225">
        <f t="shared" si="21"/>
        <v>0.50563684992570701</v>
      </c>
      <c r="S214" s="226">
        <f>'WetLitterbags placem_collection'!E215</f>
        <v>42769</v>
      </c>
      <c r="T214" s="226">
        <f>IF('WetLitterbags placem_collection'!G215="","",'WetLitterbags placem_collection'!G215)</f>
        <v>42813</v>
      </c>
      <c r="U214" s="227">
        <f t="shared" si="18"/>
        <v>44</v>
      </c>
      <c r="V214" s="225">
        <f t="shared" si="19"/>
        <v>1.1588000000000001</v>
      </c>
      <c r="W214" s="225">
        <f t="shared" si="20"/>
        <v>1.1215878555872134</v>
      </c>
      <c r="X214">
        <f>IFERROR(INDEX(Rainfall_Wet!$O$2:$O$217,MATCH(B214, Rainfall_Wet!$A$2:$A$217,0)),"")</f>
        <v>175.054685654</v>
      </c>
      <c r="Y214" s="231">
        <v>21.96</v>
      </c>
      <c r="Z214" s="231">
        <v>4.9199999999999982</v>
      </c>
      <c r="AA214" s="231">
        <v>73.12</v>
      </c>
      <c r="AB214" s="232" t="s">
        <v>2670</v>
      </c>
      <c r="AC214" s="231">
        <v>1.2416954164613114</v>
      </c>
      <c r="AD214">
        <f>IF('WetLitterbags placem_collection'!AB215="","",'WetLitterbags placem_collection'!AB215)</f>
        <v>15.2</v>
      </c>
      <c r="AE214">
        <f>IF('WetLitterbags placem_collection'!Z215="","",'WetLitterbags placem_collection'!Z215)</f>
        <v>12.2</v>
      </c>
      <c r="AF214" s="246" t="str">
        <f>IF('WetLitterbags placem_collection'!AA215="","",'WetLitterbags placem_collection'!AA215)</f>
        <v>O</v>
      </c>
      <c r="AG214">
        <f>IF('WetLitterbags placem_collection'!AC215="","",'WetLitterbags placem_collection'!AC215)</f>
        <v>1</v>
      </c>
      <c r="AH214" s="240">
        <f>AVERAGE('WetLitterbags placem_collection'!S215,'WetLitterbags placem_collection'!U215)</f>
        <v>19.75</v>
      </c>
      <c r="AI214">
        <f>AVERAGE('WetLitterbags placem_collection'!R215,'WetLitterbags placem_collection'!T215)</f>
        <v>28.15</v>
      </c>
      <c r="AJ214">
        <v>-2.4396949910000001</v>
      </c>
      <c r="AK214">
        <v>34.838574029999997</v>
      </c>
      <c r="AL214" t="str">
        <f>IF(ISNUMBER(SEARCH("C", 'WetLitterbags placem_collection'!V215)),"YES","NO")</f>
        <v>NO</v>
      </c>
      <c r="AM214" t="str">
        <f>IF(ISNUMBER(SEARCH("H", 'WetLitterbags placem_collection'!V215)),"YES","NO")</f>
        <v>NO</v>
      </c>
      <c r="AN214" t="str">
        <f>IF(ISNUMBER(SEARCH("R", 'WetLitterbags placem_collection'!V215)),"YES","NO")</f>
        <v>YES</v>
      </c>
    </row>
    <row r="215" spans="1:40" ht="15" customHeight="1">
      <c r="A215" s="258" t="s">
        <v>2460</v>
      </c>
      <c r="B215" s="263">
        <f>'Dry_Litterbag Placem_Collection'!A216</f>
        <v>213</v>
      </c>
      <c r="C215" s="263" t="str">
        <f>'Dry_Litterbag Placem_Collection'!B216</f>
        <v>Handajega</v>
      </c>
      <c r="D215" s="263" t="s">
        <v>2460</v>
      </c>
      <c r="E215" s="263" t="s">
        <v>2526</v>
      </c>
      <c r="F215" s="263">
        <v>3</v>
      </c>
      <c r="G215" s="264" t="str">
        <f>'Dry_Litterbag Placem_Collection'!C216</f>
        <v>Wet_W1_CG4</v>
      </c>
      <c r="H215" s="265" t="s">
        <v>2541</v>
      </c>
      <c r="I215" s="266" t="s">
        <v>1147</v>
      </c>
      <c r="J215" s="223" t="str">
        <f>'WetLitterbags placem_collection'!K216</f>
        <v>G761</v>
      </c>
      <c r="K215" s="225">
        <f>IFERROR(INDEX('Green_rooibos initial weight'!$C$5:$C$1749,MATCH(J215, 'Green_rooibos initial weight'!$A$5:$A$1749,0)),"")</f>
        <v>2.0110000000000001</v>
      </c>
      <c r="L215" s="225">
        <f>IFERROR(K215-(TBIcalc!$H$9+TBIcalc!$H$10),"")</f>
        <v>1.7612000000000001</v>
      </c>
      <c r="M215" s="391">
        <f>AVERAGE(Ashed_controlls!$K$2:$K$11)</f>
        <v>5.5147656768714146</v>
      </c>
      <c r="N215" s="225">
        <f t="shared" si="17"/>
        <v>1.6640739468989407</v>
      </c>
      <c r="O215" s="225">
        <f>IF(IFERROR(INDEX('Both teabags AfterWet'!$C$3:$C$841,MATCH(J215,'Both teabags AfterWet'!$A$3:$A$841,0)),"")="","",(IFERROR(INDEX('Both teabags AfterWet'!$C$3:$C$841,MATCH(J215,'Both teabags AfterWet'!$A$3:$A$841,0)),"")))</f>
        <v>0.71299999999999997</v>
      </c>
      <c r="P215" s="225">
        <f>IFERROR(IF(O215&gt;0,O215-(TBIcalc!$H$9),""),"")</f>
        <v>0.56240000000000001</v>
      </c>
      <c r="Q215" s="225">
        <f>IFERROR(INDEX('Ashed teabags wet'!$K$2:$K$821,MATCH(J215,'Ashed teabags wet'!$A$2:$A$821,0)),"")</f>
        <v>10.989010989010806</v>
      </c>
      <c r="R215" s="225">
        <f t="shared" si="21"/>
        <v>0.50059780219780325</v>
      </c>
      <c r="S215" s="226">
        <f>'WetLitterbags placem_collection'!E216</f>
        <v>42769</v>
      </c>
      <c r="T215" s="226">
        <f>IF('WetLitterbags placem_collection'!G216="","",'WetLitterbags placem_collection'!G216)</f>
        <v>42813</v>
      </c>
      <c r="U215" s="227">
        <f t="shared" si="18"/>
        <v>44</v>
      </c>
      <c r="V215" s="225">
        <f t="shared" si="19"/>
        <v>1.1988000000000001</v>
      </c>
      <c r="W215" s="225">
        <f t="shared" si="20"/>
        <v>1.1634761447011375</v>
      </c>
      <c r="X215">
        <f>IFERROR(INDEX(Rainfall_Wet!$O$2:$O$217,MATCH(B215, Rainfall_Wet!$A$2:$A$217,0)),"")</f>
        <v>175.054685654</v>
      </c>
      <c r="Y215" s="231">
        <v>23.96</v>
      </c>
      <c r="Z215" s="231">
        <v>4.9199999999999982</v>
      </c>
      <c r="AA215" s="231">
        <v>71.12</v>
      </c>
      <c r="AB215" s="232" t="s">
        <v>2670</v>
      </c>
      <c r="AC215" s="231">
        <v>3.30913750616067</v>
      </c>
      <c r="AD215">
        <f>IF('WetLitterbags placem_collection'!AB216="","",'WetLitterbags placem_collection'!AB216)</f>
        <v>7.9</v>
      </c>
      <c r="AE215">
        <f>IF('WetLitterbags placem_collection'!Z216="","",'WetLitterbags placem_collection'!Z216)</f>
        <v>7.9</v>
      </c>
      <c r="AF215" s="246" t="str">
        <f>IF('WetLitterbags placem_collection'!AA216="","",'WetLitterbags placem_collection'!AA216)</f>
        <v>O</v>
      </c>
      <c r="AG215">
        <f>IF('WetLitterbags placem_collection'!AC216="","",'WetLitterbags placem_collection'!AC216)</f>
        <v>1</v>
      </c>
      <c r="AH215" s="240">
        <f>AVERAGE('WetLitterbags placem_collection'!S216,'WetLitterbags placem_collection'!U216)</f>
        <v>19.45</v>
      </c>
      <c r="AI215">
        <f>AVERAGE('WetLitterbags placem_collection'!R216,'WetLitterbags placem_collection'!T216)</f>
        <v>29.200000000000003</v>
      </c>
      <c r="AJ215">
        <v>-2.4396949910000001</v>
      </c>
      <c r="AK215">
        <v>34.838574029999997</v>
      </c>
      <c r="AL215" t="str">
        <f>IF(ISNUMBER(SEARCH("C", 'WetLitterbags placem_collection'!V216)),"YES","NO")</f>
        <v>NO</v>
      </c>
      <c r="AM215" t="str">
        <f>IF(ISNUMBER(SEARCH("H", 'WetLitterbags placem_collection'!V216)),"YES","NO")</f>
        <v>NO</v>
      </c>
      <c r="AN215" t="str">
        <f>IF(ISNUMBER(SEARCH("R", 'WetLitterbags placem_collection'!V216)),"YES","NO")</f>
        <v>YES</v>
      </c>
    </row>
    <row r="216" spans="1:40" ht="15" customHeight="1">
      <c r="A216" s="258" t="s">
        <v>2460</v>
      </c>
      <c r="B216" s="263">
        <f>'Dry_Litterbag Placem_Collection'!A217</f>
        <v>214</v>
      </c>
      <c r="C216" s="263" t="str">
        <f>'Dry_Litterbag Placem_Collection'!B217</f>
        <v>Handajega</v>
      </c>
      <c r="D216" s="263" t="s">
        <v>2460</v>
      </c>
      <c r="E216" s="263" t="s">
        <v>2526</v>
      </c>
      <c r="F216" s="263">
        <v>1</v>
      </c>
      <c r="G216" s="264" t="str">
        <f>'Dry_Litterbag Placem_Collection'!C217</f>
        <v>Wet_W2_CG3</v>
      </c>
      <c r="H216" s="265" t="s">
        <v>2541</v>
      </c>
      <c r="I216" s="266" t="s">
        <v>1147</v>
      </c>
      <c r="J216" s="223" t="str">
        <f>'WetLitterbags placem_collection'!K217</f>
        <v>G858</v>
      </c>
      <c r="K216" s="225">
        <f>IFERROR(INDEX('Green_rooibos initial weight'!$C$5:$C$1749,MATCH(J216, 'Green_rooibos initial weight'!$A$5:$A$1749,0)),"")</f>
        <v>2.1040000000000001</v>
      </c>
      <c r="L216" s="225">
        <f>IFERROR(K216-(TBIcalc!$H$9+TBIcalc!$H$10),"")</f>
        <v>1.8542000000000001</v>
      </c>
      <c r="M216" s="391">
        <f>AVERAGE(Ashed_controlls!$K$2:$K$11)</f>
        <v>5.5147656768714146</v>
      </c>
      <c r="N216" s="225">
        <f t="shared" si="17"/>
        <v>1.7519452148194503</v>
      </c>
      <c r="O216" s="225">
        <f>IF(IFERROR(INDEX('Both teabags AfterWet'!$C$3:$C$841,MATCH(J216,'Both teabags AfterWet'!$A$3:$A$841,0)),"")="","",(IFERROR(INDEX('Both teabags AfterWet'!$C$3:$C$841,MATCH(J216,'Both teabags AfterWet'!$A$3:$A$841,0)),"")))</f>
        <v>0.69730000000000003</v>
      </c>
      <c r="P216" s="225">
        <f>IFERROR(IF(O216&gt;0,O216-(TBIcalc!$H$9),""),"")</f>
        <v>0.54669999999999996</v>
      </c>
      <c r="Q216" s="225">
        <f>IFERROR(INDEX('Ashed teabags wet'!$K$2:$K$821,MATCH(J216,'Ashed teabags wet'!$A$2:$A$821,0)),"")</f>
        <v>7.1357285429143147</v>
      </c>
      <c r="R216" s="225">
        <f t="shared" si="21"/>
        <v>0.50768897205588737</v>
      </c>
      <c r="S216" s="226">
        <f>'WetLitterbags placem_collection'!E217</f>
        <v>42769</v>
      </c>
      <c r="T216" s="226">
        <f>IF('WetLitterbags placem_collection'!G217="","",'WetLitterbags placem_collection'!G217)</f>
        <v>42814</v>
      </c>
      <c r="U216" s="227">
        <f t="shared" si="18"/>
        <v>45</v>
      </c>
      <c r="V216" s="225">
        <f t="shared" si="19"/>
        <v>1.3075000000000001</v>
      </c>
      <c r="W216" s="225">
        <f t="shared" si="20"/>
        <v>1.2442562427635631</v>
      </c>
      <c r="X216">
        <f>IFERROR(INDEX(Rainfall_Wet!$O$2:$O$217,MATCH(B216, Rainfall_Wet!$A$2:$A$217,0)),"")</f>
        <v>175.054685654</v>
      </c>
      <c r="Y216" s="231">
        <v>25.96</v>
      </c>
      <c r="Z216" s="231">
        <v>8.9200000000000017</v>
      </c>
      <c r="AA216" s="231">
        <v>65.12</v>
      </c>
      <c r="AB216" s="232" t="s">
        <v>2670</v>
      </c>
      <c r="AC216" s="231">
        <v>1.614588467225234</v>
      </c>
      <c r="AD216">
        <f>IF('WetLitterbags placem_collection'!AB217="","",'WetLitterbags placem_collection'!AB217)</f>
        <v>13.8</v>
      </c>
      <c r="AE216">
        <f>IF('WetLitterbags placem_collection'!Z217="","",'WetLitterbags placem_collection'!Z217)</f>
        <v>17.399999999999999</v>
      </c>
      <c r="AF216" s="246" t="str">
        <f>IF('WetLitterbags placem_collection'!AA217="","",'WetLitterbags placem_collection'!AA217)</f>
        <v>O</v>
      </c>
      <c r="AG216">
        <f>IF('WetLitterbags placem_collection'!AC217="","",'WetLitterbags placem_collection'!AC217)</f>
        <v>1</v>
      </c>
      <c r="AH216" s="240">
        <f>AVERAGE('WetLitterbags placem_collection'!S217,'WetLitterbags placem_collection'!U217)</f>
        <v>20.3</v>
      </c>
      <c r="AI216">
        <f>AVERAGE('WetLitterbags placem_collection'!R217,'WetLitterbags placem_collection'!T217)</f>
        <v>26.25</v>
      </c>
      <c r="AJ216">
        <v>-2.439403972</v>
      </c>
      <c r="AK216">
        <v>34.838404959999998</v>
      </c>
      <c r="AL216" t="str">
        <f>IF(ISNUMBER(SEARCH("C", 'WetLitterbags placem_collection'!V217)),"YES","NO")</f>
        <v>NO</v>
      </c>
      <c r="AM216" t="str">
        <f>IF(ISNUMBER(SEARCH("H", 'WetLitterbags placem_collection'!V217)),"YES","NO")</f>
        <v>NO</v>
      </c>
      <c r="AN216" t="str">
        <f>IF(ISNUMBER(SEARCH("R", 'WetLitterbags placem_collection'!V217)),"YES","NO")</f>
        <v>YES</v>
      </c>
    </row>
    <row r="217" spans="1:40" ht="15" customHeight="1">
      <c r="A217" s="258" t="s">
        <v>2460</v>
      </c>
      <c r="B217" s="263">
        <f>'Dry_Litterbag Placem_Collection'!A218</f>
        <v>216</v>
      </c>
      <c r="C217" s="263" t="str">
        <f>'Dry_Litterbag Placem_Collection'!B218</f>
        <v>Handajega</v>
      </c>
      <c r="D217" s="263" t="s">
        <v>2460</v>
      </c>
      <c r="E217" s="263" t="s">
        <v>2526</v>
      </c>
      <c r="F217" s="263">
        <v>2</v>
      </c>
      <c r="G217" s="264" t="str">
        <f>'Dry_Litterbag Placem_Collection'!C218</f>
        <v>Wet_W4_CG2</v>
      </c>
      <c r="H217" s="265" t="s">
        <v>2541</v>
      </c>
      <c r="I217" s="266" t="s">
        <v>1147</v>
      </c>
      <c r="J217" s="223" t="str">
        <f>'WetLitterbags placem_collection'!K218</f>
        <v>G755</v>
      </c>
      <c r="K217" s="225">
        <f>IFERROR(INDEX('Green_rooibos initial weight'!$C$5:$C$1749,MATCH(J217, 'Green_rooibos initial weight'!$A$5:$A$1749,0)),"")</f>
        <v>2.0190000000000001</v>
      </c>
      <c r="L217" s="225">
        <f>IFERROR(K217-(TBIcalc!$H$9+TBIcalc!$H$10),"")</f>
        <v>1.7692000000000001</v>
      </c>
      <c r="M217" s="391">
        <f>AVERAGE(Ashed_controlls!$K$2:$K$11)</f>
        <v>5.5147656768714146</v>
      </c>
      <c r="N217" s="225">
        <f t="shared" si="17"/>
        <v>1.6716327656447911</v>
      </c>
      <c r="O217" s="225">
        <f>IF(IFERROR(INDEX('Both teabags AfterWet'!$C$3:$C$841,MATCH(J217,'Both teabags AfterWet'!$A$3:$A$841,0)),"")="","",(IFERROR(INDEX('Both teabags AfterWet'!$C$3:$C$841,MATCH(J217,'Both teabags AfterWet'!$A$3:$A$841,0)),"")))</f>
        <v>0.88700000000000001</v>
      </c>
      <c r="P217" s="225">
        <f>IFERROR(IF(O217&gt;0,O217-(TBIcalc!$H$9),""),"")</f>
        <v>0.73639999999999994</v>
      </c>
      <c r="Q217" s="225">
        <f>IFERROR(INDEX('Ashed teabags wet'!$K$2:$K$821,MATCH(J217,'Ashed teabags wet'!$A$2:$A$821,0)),"")</f>
        <v>8.3005893909626298</v>
      </c>
      <c r="R217" s="225">
        <f t="shared" si="21"/>
        <v>0.67527445972495115</v>
      </c>
      <c r="S217" s="226">
        <f>'WetLitterbags placem_collection'!E218</f>
        <v>42769</v>
      </c>
      <c r="T217" s="226">
        <f>IF('WetLitterbags placem_collection'!G218="","",'WetLitterbags placem_collection'!G218)</f>
        <v>42814</v>
      </c>
      <c r="U217" s="227">
        <f t="shared" si="18"/>
        <v>45</v>
      </c>
      <c r="V217" s="225">
        <f t="shared" si="19"/>
        <v>1.0328000000000002</v>
      </c>
      <c r="W217" s="225">
        <f t="shared" si="20"/>
        <v>0.99635830591983998</v>
      </c>
      <c r="X217">
        <f>IFERROR(INDEX(Rainfall_Wet!$O$2:$O$217,MATCH(B217, Rainfall_Wet!$A$2:$A$217,0)),"")</f>
        <v>175.377105089</v>
      </c>
      <c r="Y217" s="231">
        <v>25.96</v>
      </c>
      <c r="Z217" s="231">
        <v>8.9200000000000017</v>
      </c>
      <c r="AA217" s="231">
        <v>65.12</v>
      </c>
      <c r="AB217" s="232" t="s">
        <v>2670</v>
      </c>
      <c r="AC217" s="231">
        <v>1.6991621488417901</v>
      </c>
      <c r="AD217">
        <f>IF('WetLitterbags placem_collection'!AB218="","",'WetLitterbags placem_collection'!AB218)</f>
        <v>5.13</v>
      </c>
      <c r="AE217">
        <f>IF('WetLitterbags placem_collection'!Z218="","",'WetLitterbags placem_collection'!Z218)</f>
        <v>5.13</v>
      </c>
      <c r="AF217" s="246" t="str">
        <f>IF('WetLitterbags placem_collection'!AA218="","",'WetLitterbags placem_collection'!AA218)</f>
        <v>O</v>
      </c>
      <c r="AG217">
        <f>IF('WetLitterbags placem_collection'!AC218="","",'WetLitterbags placem_collection'!AC218)</f>
        <v>1</v>
      </c>
      <c r="AH217" s="240">
        <f>AVERAGE('WetLitterbags placem_collection'!S218,'WetLitterbags placem_collection'!U218)</f>
        <v>20.65</v>
      </c>
      <c r="AI217">
        <f>AVERAGE('WetLitterbags placem_collection'!R218,'WetLitterbags placem_collection'!T218)</f>
        <v>25.05</v>
      </c>
      <c r="AJ217">
        <v>-2.4396450349999999</v>
      </c>
      <c r="AK217">
        <v>34.83836599</v>
      </c>
      <c r="AL217" t="str">
        <f>IF(ISNUMBER(SEARCH("C", 'WetLitterbags placem_collection'!V218)),"YES","NO")</f>
        <v>YES</v>
      </c>
      <c r="AM217" t="str">
        <f>IF(ISNUMBER(SEARCH("H", 'WetLitterbags placem_collection'!V218)),"YES","NO")</f>
        <v>YES</v>
      </c>
      <c r="AN217" t="str">
        <f>IF(ISNUMBER(SEARCH("R", 'WetLitterbags placem_collection'!V218)),"YES","NO")</f>
        <v>YES</v>
      </c>
    </row>
    <row r="218" spans="1:40" ht="15" customHeight="1">
      <c r="A218" s="258" t="s">
        <v>2460</v>
      </c>
      <c r="B218" s="263">
        <f>'Dry_Litterbag Placem_Collection'!A219</f>
        <v>217</v>
      </c>
      <c r="C218" s="263" t="str">
        <f>'Dry_Litterbag Placem_Collection'!B219</f>
        <v>Seronera</v>
      </c>
      <c r="D218" s="263" t="s">
        <v>2662</v>
      </c>
      <c r="E218" s="263" t="s">
        <v>2526</v>
      </c>
      <c r="F218" s="263">
        <v>1</v>
      </c>
      <c r="G218" s="264" t="str">
        <f>'Dry_Litterbag Placem_Collection'!C219</f>
        <v>Local1_CG1</v>
      </c>
      <c r="H218" s="265" t="s">
        <v>2541</v>
      </c>
      <c r="I218" s="266" t="s">
        <v>1147</v>
      </c>
      <c r="J218" s="223" t="str">
        <f>'WetLitterbags placem_collection'!K219</f>
        <v>G795</v>
      </c>
      <c r="K218" s="225">
        <f>IFERROR(INDEX('Green_rooibos initial weight'!$C$5:$C$1749,MATCH(J218, 'Green_rooibos initial weight'!$A$5:$A$1749,0)),"")</f>
        <v>1.9530000000000001</v>
      </c>
      <c r="L218" s="225">
        <f>IFERROR(K218-(TBIcalc!$H$9+TBIcalc!$H$10),"")</f>
        <v>1.7032</v>
      </c>
      <c r="M218" s="391">
        <f>AVERAGE(Ashed_controlls!$K$2:$K$11)</f>
        <v>5.5147656768714146</v>
      </c>
      <c r="N218" s="225">
        <f t="shared" si="17"/>
        <v>1.609272510991526</v>
      </c>
      <c r="O218" s="225">
        <f>IF(IFERROR(INDEX('Both teabags AfterWet'!$C$3:$C$841,MATCH(J218,'Both teabags AfterWet'!$A$3:$A$841,0)),"")="","",(IFERROR(INDEX('Both teabags AfterWet'!$C$3:$C$841,MATCH(J218,'Both teabags AfterWet'!$A$3:$A$841,0)),"")))</f>
        <v>0.78100000000000003</v>
      </c>
      <c r="P218" s="225">
        <f>IFERROR(IF(O218&gt;0,O218-(TBIcalc!$H$9),""),"")</f>
        <v>0.63040000000000007</v>
      </c>
      <c r="Q218" s="225">
        <f>IFERROR(INDEX('Ashed teabags wet'!$K$2:$K$821,MATCH(J218,'Ashed teabags wet'!$A$2:$A$821,0)),"")</f>
        <v>8.99805447470772</v>
      </c>
      <c r="R218" s="225">
        <f t="shared" si="21"/>
        <v>0.57367626459144261</v>
      </c>
      <c r="S218" s="226">
        <f>'WetLitterbags placem_collection'!E219</f>
        <v>42769</v>
      </c>
      <c r="T218" s="226">
        <f>IF('WetLitterbags placem_collection'!G219="","",'WetLitterbags placem_collection'!G219)</f>
        <v>42814</v>
      </c>
      <c r="U218" s="227">
        <f t="shared" si="18"/>
        <v>45</v>
      </c>
      <c r="V218" s="225">
        <f t="shared" si="19"/>
        <v>1.0728</v>
      </c>
      <c r="W218" s="225">
        <f t="shared" si="20"/>
        <v>1.0355962464000834</v>
      </c>
      <c r="X218">
        <f>IFERROR(INDEX(Rainfall_Wet!$O$2:$O$217,MATCH(B218, Rainfall_Wet!$A$2:$A$217,0)),"")</f>
        <v>175.377105089</v>
      </c>
      <c r="Y218" s="231">
        <v>29.076539101497506</v>
      </c>
      <c r="Z218" s="231">
        <v>7.1963394342762079</v>
      </c>
      <c r="AA218" s="231">
        <v>63.727121464226286</v>
      </c>
      <c r="AB218" s="231" t="s">
        <v>2670</v>
      </c>
      <c r="AC218" s="231">
        <v>1.0994578610152781</v>
      </c>
      <c r="AD218">
        <f>IF('WetLitterbags placem_collection'!AB219="","",'WetLitterbags placem_collection'!AB219)</f>
        <v>13.8</v>
      </c>
      <c r="AE218">
        <f>IF('WetLitterbags placem_collection'!Z219="","",'WetLitterbags placem_collection'!Z219)</f>
        <v>17.399999999999999</v>
      </c>
      <c r="AF218" s="246" t="str">
        <f>IF('WetLitterbags placem_collection'!AA219="","",'WetLitterbags placem_collection'!AA219)</f>
        <v>O</v>
      </c>
      <c r="AG218">
        <f>IF('WetLitterbags placem_collection'!AC219="","",'WetLitterbags placem_collection'!AC219)</f>
        <v>1</v>
      </c>
      <c r="AH218" s="240">
        <f>AVERAGE('WetLitterbags placem_collection'!S219,'WetLitterbags placem_collection'!U219)</f>
        <v>20.049999999999997</v>
      </c>
      <c r="AI218">
        <f>AVERAGE('WetLitterbags placem_collection'!R219,'WetLitterbags placem_collection'!T219)</f>
        <v>25.5</v>
      </c>
      <c r="AJ218">
        <v>-2.439403972</v>
      </c>
      <c r="AK218">
        <v>34.838404959999998</v>
      </c>
      <c r="AL218" t="str">
        <f>IF(ISNUMBER(SEARCH("C", 'WetLitterbags placem_collection'!V219)),"YES","NO")</f>
        <v>NO</v>
      </c>
      <c r="AM218" t="str">
        <f>IF(ISNUMBER(SEARCH("H", 'WetLitterbags placem_collection'!V219)),"YES","NO")</f>
        <v>NO</v>
      </c>
      <c r="AN218" t="str">
        <f>IF(ISNUMBER(SEARCH("R", 'WetLitterbags placem_collection'!V219)),"YES","NO")</f>
        <v>YES</v>
      </c>
    </row>
    <row r="219" spans="1:40" ht="15" customHeight="1">
      <c r="A219" s="258" t="s">
        <v>2460</v>
      </c>
      <c r="B219" s="263">
        <f>'Dry_Litterbag Placem_Collection'!A220</f>
        <v>218</v>
      </c>
      <c r="C219" s="263" t="str">
        <f>'Dry_Litterbag Placem_Collection'!B220</f>
        <v>Seronera</v>
      </c>
      <c r="D219" s="263" t="s">
        <v>2662</v>
      </c>
      <c r="E219" s="263" t="s">
        <v>2526</v>
      </c>
      <c r="F219" s="263">
        <v>2</v>
      </c>
      <c r="G219" s="264" t="str">
        <f>'Dry_Litterbag Placem_Collection'!C220</f>
        <v>Local2_CG2</v>
      </c>
      <c r="H219" s="265" t="s">
        <v>2541</v>
      </c>
      <c r="I219" s="266" t="s">
        <v>1147</v>
      </c>
      <c r="J219" s="223" t="str">
        <f>'WetLitterbags placem_collection'!K220</f>
        <v>G251</v>
      </c>
      <c r="K219" s="225">
        <f>IFERROR(INDEX('Green_rooibos initial weight'!$C$5:$C$1749,MATCH(J219, 'Green_rooibos initial weight'!$A$5:$A$1749,0)),"")</f>
        <v>2.0539999999999998</v>
      </c>
      <c r="L219" s="225">
        <f>IFERROR(K219-(TBIcalc!$H$9+TBIcalc!$H$10),"")</f>
        <v>1.8041999999999998</v>
      </c>
      <c r="M219" s="391">
        <f>AVERAGE(Ashed_controlls!$K$2:$K$11)</f>
        <v>5.5147656768714146</v>
      </c>
      <c r="N219" s="225">
        <f t="shared" si="17"/>
        <v>1.7047025976578858</v>
      </c>
      <c r="O219" s="225">
        <f>IF(IFERROR(INDEX('Both teabags AfterWet'!$C$3:$C$841,MATCH(J219,'Both teabags AfterWet'!$A$3:$A$841,0)),"")="","",(IFERROR(INDEX('Both teabags AfterWet'!$C$3:$C$841,MATCH(J219,'Both teabags AfterWet'!$A$3:$A$841,0)),"")))</f>
        <v>0.75700000000000001</v>
      </c>
      <c r="P219" s="225">
        <f>IFERROR(IF(O219&gt;0,O219-(TBIcalc!$H$9),""),"")</f>
        <v>0.60640000000000005</v>
      </c>
      <c r="Q219" s="225">
        <f>IFERROR(INDEX('Ashed teabags wet'!$K$2:$K$821,MATCH(J219,'Ashed teabags wet'!$A$2:$A$821,0)),"")</f>
        <v>12.853598014887801</v>
      </c>
      <c r="R219" s="225">
        <f t="shared" si="21"/>
        <v>0.52845578163772045</v>
      </c>
      <c r="S219" s="226">
        <f>'WetLitterbags placem_collection'!E220</f>
        <v>42769</v>
      </c>
      <c r="T219" s="226">
        <f>IF('WetLitterbags placem_collection'!G220="","",'WetLitterbags placem_collection'!G220)</f>
        <v>42814</v>
      </c>
      <c r="U219" s="227">
        <f t="shared" si="18"/>
        <v>45</v>
      </c>
      <c r="V219" s="225">
        <f t="shared" si="19"/>
        <v>1.1977999999999998</v>
      </c>
      <c r="W219" s="225">
        <f t="shared" si="20"/>
        <v>1.1762468160201653</v>
      </c>
      <c r="X219">
        <f>IFERROR(INDEX(Rainfall_Wet!$O$2:$O$217,MATCH(B219, Rainfall_Wet!$A$2:$A$217,0)),"")</f>
        <v>175.377105089</v>
      </c>
      <c r="Y219" s="231">
        <v>21.072635135135137</v>
      </c>
      <c r="Z219" s="231">
        <v>7.3057432432432412</v>
      </c>
      <c r="AA219" s="231">
        <v>71.621621621621614</v>
      </c>
      <c r="AB219" s="231" t="s">
        <v>2670</v>
      </c>
      <c r="AC219" s="231">
        <v>1.4512074913750617</v>
      </c>
      <c r="AD219">
        <f>IF('WetLitterbags placem_collection'!AB220="","",'WetLitterbags placem_collection'!AB220)</f>
        <v>5.13</v>
      </c>
      <c r="AE219">
        <f>IF('WetLitterbags placem_collection'!Z220="","",'WetLitterbags placem_collection'!Z220)</f>
        <v>5.13</v>
      </c>
      <c r="AF219" s="246" t="str">
        <f>IF('WetLitterbags placem_collection'!AA220="","",'WetLitterbags placem_collection'!AA220)</f>
        <v>O</v>
      </c>
      <c r="AG219">
        <f>IF('WetLitterbags placem_collection'!AC220="","",'WetLitterbags placem_collection'!AC220)</f>
        <v>1</v>
      </c>
      <c r="AH219" s="240">
        <f>AVERAGE('WetLitterbags placem_collection'!S220,'WetLitterbags placem_collection'!U220)</f>
        <v>22.1</v>
      </c>
      <c r="AI219">
        <f>AVERAGE('WetLitterbags placem_collection'!R220,'WetLitterbags placem_collection'!T220)</f>
        <v>24.5</v>
      </c>
      <c r="AJ219">
        <v>-2.4396450349999999</v>
      </c>
      <c r="AK219">
        <v>34.83836599</v>
      </c>
      <c r="AL219" t="str">
        <f>IF(ISNUMBER(SEARCH("C", 'WetLitterbags placem_collection'!V220)),"YES","NO")</f>
        <v>NO</v>
      </c>
      <c r="AM219" t="str">
        <f>IF(ISNUMBER(SEARCH("H", 'WetLitterbags placem_collection'!V220)),"YES","NO")</f>
        <v>NO</v>
      </c>
      <c r="AN219" t="str">
        <f>IF(ISNUMBER(SEARCH("R", 'WetLitterbags placem_collection'!V220)),"YES","NO")</f>
        <v>YES</v>
      </c>
    </row>
    <row r="220" spans="1:40" ht="15" customHeight="1">
      <c r="A220" s="258" t="s">
        <v>2460</v>
      </c>
      <c r="B220" s="263">
        <f>'Dry_Litterbag Placem_Collection'!A221</f>
        <v>219</v>
      </c>
      <c r="C220" s="263" t="str">
        <f>'Dry_Litterbag Placem_Collection'!B221</f>
        <v>Seronera</v>
      </c>
      <c r="D220" s="263" t="s">
        <v>2662</v>
      </c>
      <c r="E220" s="263" t="s">
        <v>2526</v>
      </c>
      <c r="F220" s="263">
        <v>3</v>
      </c>
      <c r="G220" s="264" t="str">
        <f>'Dry_Litterbag Placem_Collection'!C221</f>
        <v>Local3_CG3</v>
      </c>
      <c r="H220" s="265" t="s">
        <v>2541</v>
      </c>
      <c r="I220" s="266" t="s">
        <v>1147</v>
      </c>
      <c r="J220" s="223" t="str">
        <f>'WetLitterbags placem_collection'!K221</f>
        <v>G727</v>
      </c>
      <c r="K220" s="225">
        <f>IFERROR(INDEX('Green_rooibos initial weight'!$C$5:$C$1749,MATCH(J220, 'Green_rooibos initial weight'!$A$5:$A$1749,0)),"")</f>
        <v>2.0270000000000001</v>
      </c>
      <c r="L220" s="225">
        <f>IFERROR(K220-(TBIcalc!$H$9+TBIcalc!$H$10),"")</f>
        <v>1.7772000000000001</v>
      </c>
      <c r="M220" s="391">
        <f>AVERAGE(Ashed_controlls!$K$2:$K$11)</f>
        <v>5.5147656768714146</v>
      </c>
      <c r="N220" s="225">
        <f t="shared" si="17"/>
        <v>1.6791915843906413</v>
      </c>
      <c r="O220" s="225">
        <f>IF(IFERROR(INDEX('Both teabags AfterWet'!$C$3:$C$841,MATCH(J220,'Both teabags AfterWet'!$A$3:$A$841,0)),"")="","",(IFERROR(INDEX('Both teabags AfterWet'!$C$3:$C$841,MATCH(J220,'Both teabags AfterWet'!$A$3:$A$841,0)),"")))</f>
        <v>0.70650000000000002</v>
      </c>
      <c r="P220" s="225">
        <f>IFERROR(IF(O220&gt;0,O220-(TBIcalc!$H$9),""),"")</f>
        <v>0.55590000000000006</v>
      </c>
      <c r="Q220" s="225">
        <f>IFERROR(INDEX('Ashed teabags wet'!$K$2:$K$821,MATCH(J220,'Ashed teabags wet'!$A$2:$A$821,0)),"")</f>
        <v>11.604439959636602</v>
      </c>
      <c r="R220" s="225">
        <f t="shared" si="21"/>
        <v>0.49139091826438019</v>
      </c>
      <c r="S220" s="226">
        <f>'WetLitterbags placem_collection'!E221</f>
        <v>42769</v>
      </c>
      <c r="T220" s="226">
        <f>IF('WetLitterbags placem_collection'!G221="","",'WetLitterbags placem_collection'!G221)</f>
        <v>42813</v>
      </c>
      <c r="U220" s="227">
        <f t="shared" si="18"/>
        <v>44</v>
      </c>
      <c r="V220" s="225">
        <f t="shared" si="19"/>
        <v>1.2213000000000001</v>
      </c>
      <c r="W220" s="225">
        <f t="shared" si="20"/>
        <v>1.187800666126261</v>
      </c>
      <c r="X220">
        <f>IFERROR(INDEX(Rainfall_Wet!$O$2:$O$217,MATCH(B220, Rainfall_Wet!$A$2:$A$217,0)),"")</f>
        <v>175.054685654</v>
      </c>
      <c r="Y220" s="231">
        <v>21.96</v>
      </c>
      <c r="Z220" s="231">
        <v>4.9199999999999982</v>
      </c>
      <c r="AA220" s="231">
        <v>73.12</v>
      </c>
      <c r="AB220" s="231" t="s">
        <v>2670</v>
      </c>
      <c r="AC220" s="231">
        <v>1.4012321340561851</v>
      </c>
      <c r="AD220">
        <f>IF('WetLitterbags placem_collection'!AB221="","",'WetLitterbags placem_collection'!AB221)</f>
        <v>7.9</v>
      </c>
      <c r="AE220">
        <f>IF('WetLitterbags placem_collection'!Z221="","",'WetLitterbags placem_collection'!Z221)</f>
        <v>7.9</v>
      </c>
      <c r="AF220" s="246" t="str">
        <f>IF('WetLitterbags placem_collection'!AA221="","",'WetLitterbags placem_collection'!AA221)</f>
        <v>O</v>
      </c>
      <c r="AG220">
        <f>IF('WetLitterbags placem_collection'!AC221="","",'WetLitterbags placem_collection'!AC221)</f>
        <v>1</v>
      </c>
      <c r="AH220" s="240">
        <f>AVERAGE('WetLitterbags placem_collection'!S221,'WetLitterbags placem_collection'!U221)</f>
        <v>21.75</v>
      </c>
      <c r="AI220">
        <f>AVERAGE('WetLitterbags placem_collection'!R221,'WetLitterbags placem_collection'!T221)</f>
        <v>27.55</v>
      </c>
      <c r="AJ220">
        <v>-2.4395990190000001</v>
      </c>
      <c r="AK220">
        <v>34.838418959999998</v>
      </c>
      <c r="AL220" t="str">
        <f>IF(ISNUMBER(SEARCH("C", 'WetLitterbags placem_collection'!V221)),"YES","NO")</f>
        <v>NO</v>
      </c>
      <c r="AM220" t="str">
        <f>IF(ISNUMBER(SEARCH("H", 'WetLitterbags placem_collection'!V221)),"YES","NO")</f>
        <v>YES</v>
      </c>
      <c r="AN220" t="str">
        <f>IF(ISNUMBER(SEARCH("R", 'WetLitterbags placem_collection'!V221)),"YES","NO")</f>
        <v>YES</v>
      </c>
    </row>
    <row r="221" spans="1:40" ht="15" customHeight="1">
      <c r="A221" s="258" t="s">
        <v>2460</v>
      </c>
      <c r="B221" s="263">
        <f>'Dry_Litterbag Placem_Collection'!A222</f>
        <v>220</v>
      </c>
      <c r="C221" s="263" t="str">
        <f>'Dry_Litterbag Placem_Collection'!B222</f>
        <v>Seronera</v>
      </c>
      <c r="D221" s="263" t="s">
        <v>2662</v>
      </c>
      <c r="E221" s="263" t="s">
        <v>2526</v>
      </c>
      <c r="F221" s="263">
        <v>4</v>
      </c>
      <c r="G221" s="264" t="str">
        <f>'Dry_Litterbag Placem_Collection'!C222</f>
        <v>Local4_CG4</v>
      </c>
      <c r="H221" s="265" t="s">
        <v>2541</v>
      </c>
      <c r="I221" s="266" t="s">
        <v>1147</v>
      </c>
      <c r="J221" s="223" t="str">
        <f>'WetLitterbags placem_collection'!K222</f>
        <v>G782</v>
      </c>
      <c r="K221" s="225">
        <f>IFERROR(INDEX('Green_rooibos initial weight'!$C$5:$C$1749,MATCH(J221, 'Green_rooibos initial weight'!$A$5:$A$1749,0)),"")</f>
        <v>1.9510000000000001</v>
      </c>
      <c r="L221" s="225">
        <f>IFERROR(K221-(TBIcalc!$H$9+TBIcalc!$H$10),"")</f>
        <v>1.7012</v>
      </c>
      <c r="M221" s="391">
        <f>AVERAGE(Ashed_controlls!$K$2:$K$11)</f>
        <v>5.5147656768714146</v>
      </c>
      <c r="N221" s="225">
        <f t="shared" si="17"/>
        <v>1.6073828063050635</v>
      </c>
      <c r="O221" s="225">
        <f>IF(IFERROR(INDEX('Both teabags AfterWet'!$C$3:$C$841,MATCH(J221,'Both teabags AfterWet'!$A$3:$A$841,0)),"")="","",(IFERROR(INDEX('Both teabags AfterWet'!$C$3:$C$841,MATCH(J221,'Both teabags AfterWet'!$A$3:$A$841,0)),"")))</f>
        <v>0.6169</v>
      </c>
      <c r="P221" s="225">
        <f>IFERROR(IF(O221&gt;0,O221-(TBIcalc!$H$9),""),"")</f>
        <v>0.46629999999999999</v>
      </c>
      <c r="Q221" s="225">
        <f>IFERROR(INDEX('Ashed teabags wet'!$K$2:$K$821,MATCH(J221,'Ashed teabags wet'!$A$2:$A$821,0)),"")</f>
        <v>11.045655375552919</v>
      </c>
      <c r="R221" s="225">
        <f t="shared" si="21"/>
        <v>0.41479410898379676</v>
      </c>
      <c r="S221" s="226">
        <f>'WetLitterbags placem_collection'!E222</f>
        <v>42769</v>
      </c>
      <c r="T221" s="226">
        <f>IF('WetLitterbags placem_collection'!G222="","",'WetLitterbags placem_collection'!G222)</f>
        <v>42813</v>
      </c>
      <c r="U221" s="227">
        <f t="shared" si="18"/>
        <v>44</v>
      </c>
      <c r="V221" s="225">
        <f t="shared" si="19"/>
        <v>1.2349000000000001</v>
      </c>
      <c r="W221" s="225">
        <f t="shared" si="20"/>
        <v>1.1925886973212667</v>
      </c>
      <c r="X221">
        <f>IFERROR(INDEX(Rainfall_Wet!$O$2:$O$217,MATCH(B221, Rainfall_Wet!$A$2:$A$217,0)),"")</f>
        <v>175.054685654</v>
      </c>
      <c r="Y221" s="231">
        <v>15.960000000000003</v>
      </c>
      <c r="Z221" s="231">
        <v>6.9199999999999982</v>
      </c>
      <c r="AA221" s="231">
        <v>77.11999999999999</v>
      </c>
      <c r="AB221" s="231" t="s">
        <v>2671</v>
      </c>
      <c r="AC221" s="231">
        <v>0.60547067520946207</v>
      </c>
      <c r="AD221">
        <f>IF('WetLitterbags placem_collection'!AB222="","",'WetLitterbags placem_collection'!AB222)</f>
        <v>15.2</v>
      </c>
      <c r="AE221">
        <f>IF('WetLitterbags placem_collection'!Z222="","",'WetLitterbags placem_collection'!Z222)</f>
        <v>12.2</v>
      </c>
      <c r="AF221" s="246" t="str">
        <f>IF('WetLitterbags placem_collection'!AA222="","",'WetLitterbags placem_collection'!AA222)</f>
        <v>O</v>
      </c>
      <c r="AG221">
        <f>IF('WetLitterbags placem_collection'!AC222="","",'WetLitterbags placem_collection'!AC222)</f>
        <v>1</v>
      </c>
      <c r="AH221" s="240">
        <f>AVERAGE('WetLitterbags placem_collection'!S222,'WetLitterbags placem_collection'!U222)</f>
        <v>20.85</v>
      </c>
      <c r="AI221">
        <f>AVERAGE('WetLitterbags placem_collection'!R222,'WetLitterbags placem_collection'!T222)</f>
        <v>27.950000000000003</v>
      </c>
      <c r="AJ221">
        <v>-2.4396949910000001</v>
      </c>
      <c r="AK221">
        <v>34.838574029999997</v>
      </c>
      <c r="AL221" t="str">
        <f>IF(ISNUMBER(SEARCH("C", 'WetLitterbags placem_collection'!V222)),"YES","NO")</f>
        <v>NO</v>
      </c>
      <c r="AM221" t="str">
        <f>IF(ISNUMBER(SEARCH("H", 'WetLitterbags placem_collection'!V222)),"YES","NO")</f>
        <v>NO</v>
      </c>
      <c r="AN221" t="str">
        <f>IF(ISNUMBER(SEARCH("R", 'WetLitterbags placem_collection'!V222)),"YES","NO")</f>
        <v>YES</v>
      </c>
    </row>
    <row r="222" spans="1:40" ht="15" customHeight="1">
      <c r="A222" s="258" t="s">
        <v>2460</v>
      </c>
      <c r="B222" s="263">
        <f>'Dry_Litterbag Placem_Collection'!A3</f>
        <v>1</v>
      </c>
      <c r="C222" s="263" t="str">
        <f>'Dry_Litterbag Placem_Collection'!B3</f>
        <v>Makao</v>
      </c>
      <c r="D222" s="263" t="s">
        <v>2659</v>
      </c>
      <c r="E222" s="263" t="s">
        <v>2660</v>
      </c>
      <c r="F222" s="263">
        <v>1</v>
      </c>
      <c r="G222" s="264" t="str">
        <f>'Dry_Litterbag Placem_Collection'!C3</f>
        <v>Dry_Ag1_T1</v>
      </c>
      <c r="H222" s="265" t="s">
        <v>2541</v>
      </c>
      <c r="I222" s="272" t="s">
        <v>298</v>
      </c>
      <c r="J222" s="223" t="str">
        <f>'WetLitterbags placem_collection'!M3</f>
        <v>R17</v>
      </c>
      <c r="K222" s="225">
        <f>IFERROR(INDEX('Green_rooibos initial weight'!$C$5:$C$1749,MATCH(J222, 'Green_rooibos initial weight'!$A$5:$A$1749,0)),"")</f>
        <v>2.169</v>
      </c>
      <c r="L222" s="225">
        <f>IFERROR(K222-(TBIcalc!$H$9+TBIcalc!$H$10),"")</f>
        <v>1.9192</v>
      </c>
      <c r="M222" s="391">
        <f>AVERAGE(Ashed_controlls!$K$12:$K$14)</f>
        <v>2.2816647271287041</v>
      </c>
      <c r="N222" s="225">
        <f t="shared" si="17"/>
        <v>1.8754102905569459</v>
      </c>
      <c r="O222" s="225">
        <f>IF(IFERROR(INDEX('Both teabags AfterWet'!$C$3:$C$841,MATCH(J222,'Both teabags AfterWet'!$A$3:$A$841,0)),"")="","",(IFERROR(INDEX('Both teabags AfterWet'!$C$3:$C$841,MATCH(J222,'Both teabags AfterWet'!$A$3:$A$841,0)),"")))</f>
        <v>1.0208999999999999</v>
      </c>
      <c r="P222" s="225">
        <f>IFERROR(IF(O222&gt;0,O222-(TBIcalc!$H$9),""),"")</f>
        <v>0.87029999999999985</v>
      </c>
      <c r="Q222" s="225">
        <f>IFERROR(INDEX('Ashed teabags wet'!$K$2:$K$821,MATCH(J222,'Ashed teabags wet'!$A$2:$A$821,0)),"")</f>
        <v>17.918507609229575</v>
      </c>
      <c r="R222" s="225">
        <f t="shared" si="21"/>
        <v>0.71435522827687492</v>
      </c>
      <c r="S222" s="226">
        <f>'WetLitterbags placem_collection'!E3</f>
        <v>42766</v>
      </c>
      <c r="T222" s="226">
        <f>IF('WetLitterbags placem_collection'!G3="","",'WetLitterbags placem_collection'!G3)</f>
        <v>42818</v>
      </c>
      <c r="U222" s="227">
        <f t="shared" si="18"/>
        <v>52</v>
      </c>
      <c r="V222" s="225">
        <f t="shared" si="19"/>
        <v>1.0489000000000002</v>
      </c>
      <c r="W222" s="225">
        <f t="shared" si="20"/>
        <v>1.161055062280071</v>
      </c>
      <c r="X222">
        <f>IFERROR(INDEX(Rainfall_Wet!$O$2:$O$217,MATCH(B222, Rainfall_Wet!$A$2:$A$217,0)),"")</f>
        <v>194.43839254400001</v>
      </c>
      <c r="Y222" s="231">
        <v>12.565665055683967</v>
      </c>
      <c r="Z222" s="231">
        <v>0.9665896196679955</v>
      </c>
      <c r="AA222" s="231">
        <v>86.467745324648035</v>
      </c>
      <c r="AB222" s="232" t="s">
        <v>2672</v>
      </c>
      <c r="AC222" s="231">
        <v>1.0225726959093147</v>
      </c>
      <c r="AD222">
        <f>IF('WetLitterbags placem_collection'!AB3="","",'WetLitterbags placem_collection'!AB3)</f>
        <v>26.4</v>
      </c>
      <c r="AE222">
        <f>IF('WetLitterbags placem_collection'!Z3="","",'WetLitterbags placem_collection'!Z3)</f>
        <v>41</v>
      </c>
      <c r="AF222" s="246" t="str">
        <f>IF('WetLitterbags placem_collection'!AA3="","",'WetLitterbags placem_collection'!AA3)</f>
        <v>M</v>
      </c>
      <c r="AG222">
        <f>IF('WetLitterbags placem_collection'!AC3="","",'WetLitterbags placem_collection'!AC3)</f>
        <v>1</v>
      </c>
      <c r="AH222" s="240">
        <f>AVERAGE('WetLitterbags placem_collection'!S3,'WetLitterbags placem_collection'!U3)</f>
        <v>14.75</v>
      </c>
      <c r="AI222">
        <f>AVERAGE('WetLitterbags placem_collection'!R3,'WetLitterbags placem_collection'!T3)</f>
        <v>24.7</v>
      </c>
      <c r="AJ222">
        <f>INDEX(Coordinates!$B$2:$B$197,MATCH(G222,Coordinates!$J$2:$J$197,0))</f>
        <v>-3.3978609999999998</v>
      </c>
      <c r="AK222">
        <f>INDEX(Coordinates!$C$2:$C$197,MATCH(G222,Coordinates!$J$2:$J$197,0))</f>
        <v>34.837608000000003</v>
      </c>
      <c r="AL222" t="str">
        <f>IF(ISNUMBER(SEARCH("C", 'WetLitterbags placem_collection'!W3)),"YES","NO")</f>
        <v>NO</v>
      </c>
      <c r="AM222" t="str">
        <f>IF(ISNUMBER(SEARCH("H", 'WetLitterbags placem_collection'!W3)),"YES","NO")</f>
        <v>YES</v>
      </c>
      <c r="AN222" t="str">
        <f>IF(ISNUMBER(SEARCH("R", 'WetLitterbags placem_collection'!W3)),"YES","NO")</f>
        <v>NO</v>
      </c>
    </row>
    <row r="223" spans="1:40" ht="15" customHeight="1">
      <c r="A223" s="258" t="s">
        <v>2460</v>
      </c>
      <c r="B223" s="263">
        <f>'Dry_Litterbag Placem_Collection'!A4</f>
        <v>2</v>
      </c>
      <c r="C223" s="263" t="str">
        <f>'Dry_Litterbag Placem_Collection'!B4</f>
        <v>Makao</v>
      </c>
      <c r="D223" s="263" t="s">
        <v>2659</v>
      </c>
      <c r="E223" s="263" t="s">
        <v>2660</v>
      </c>
      <c r="F223" s="263">
        <v>1</v>
      </c>
      <c r="G223" s="264" t="str">
        <f>'Dry_Litterbag Placem_Collection'!C4</f>
        <v>Dry_Ag1_T2</v>
      </c>
      <c r="H223" s="265" t="s">
        <v>2541</v>
      </c>
      <c r="I223" s="272" t="s">
        <v>298</v>
      </c>
      <c r="J223" s="223" t="str">
        <f>'WetLitterbags placem_collection'!M4</f>
        <v>R121</v>
      </c>
      <c r="K223" s="225">
        <f>IFERROR(INDEX('Green_rooibos initial weight'!$C$5:$C$1749,MATCH(J223, 'Green_rooibos initial weight'!$A$5:$A$1749,0)),"")</f>
        <v>2.165</v>
      </c>
      <c r="L223" s="225">
        <f>IFERROR(K223-(TBIcalc!$H$9+TBIcalc!$H$10),"")</f>
        <v>1.9152</v>
      </c>
      <c r="M223" s="391">
        <f>AVERAGE(Ashed_controlls!$K$12:$K$14)</f>
        <v>2.2816647271287041</v>
      </c>
      <c r="N223" s="225">
        <f t="shared" si="17"/>
        <v>1.8715015571460312</v>
      </c>
      <c r="O223" s="225">
        <f>IF(IFERROR(INDEX('Both teabags AfterWet'!$C$3:$C$841,MATCH(J223,'Both teabags AfterWet'!$A$3:$A$841,0)),"")="","",(IFERROR(INDEX('Both teabags AfterWet'!$C$3:$C$841,MATCH(J223,'Both teabags AfterWet'!$A$3:$A$841,0)),"")))</f>
        <v>1.3073999999999999</v>
      </c>
      <c r="P223" s="225">
        <f>IFERROR(IF(O223&gt;0,O223-(TBIcalc!$H$9),""),"")</f>
        <v>1.1567999999999998</v>
      </c>
      <c r="Q223" s="225">
        <f>IFERROR(INDEX('Ashed teabags wet'!$K$2:$K$821,MATCH(J223,'Ashed teabags wet'!$A$2:$A$821,0)),"")</f>
        <v>5.6218905472635869</v>
      </c>
      <c r="R223" s="225">
        <f t="shared" si="21"/>
        <v>1.0917659701492546</v>
      </c>
      <c r="S223" s="226">
        <f>'WetLitterbags placem_collection'!E4</f>
        <v>42766</v>
      </c>
      <c r="T223" s="226">
        <f>IF('WetLitterbags placem_collection'!G4="","",'WetLitterbags placem_collection'!G4)</f>
        <v>42818</v>
      </c>
      <c r="U223" s="227">
        <f t="shared" si="18"/>
        <v>52</v>
      </c>
      <c r="V223" s="225">
        <f t="shared" si="19"/>
        <v>0.75840000000000019</v>
      </c>
      <c r="W223" s="225">
        <f t="shared" si="20"/>
        <v>0.77973558699677659</v>
      </c>
      <c r="X223">
        <f>IFERROR(INDEX(Rainfall_Wet!$O$2:$O$217,MATCH(B223, Rainfall_Wet!$A$2:$A$217,0)),"")</f>
        <v>194.43839254400001</v>
      </c>
      <c r="Y223" s="231">
        <v>12.565665055683967</v>
      </c>
      <c r="Z223" s="231">
        <v>0.9665896196679955</v>
      </c>
      <c r="AA223" s="231">
        <v>86.467745324648035</v>
      </c>
      <c r="AB223" s="232" t="s">
        <v>2672</v>
      </c>
      <c r="AC223" s="231">
        <v>2.02257269590931</v>
      </c>
      <c r="AD223">
        <f>IF('WetLitterbags placem_collection'!AB4="","",'WetLitterbags placem_collection'!AB4)</f>
        <v>22.4</v>
      </c>
      <c r="AE223">
        <f>IF('WetLitterbags placem_collection'!Z4="","",'WetLitterbags placem_collection'!Z4)</f>
        <v>39.799999999999997</v>
      </c>
      <c r="AF223" s="246" t="str">
        <f>IF('WetLitterbags placem_collection'!AA4="","",'WetLitterbags placem_collection'!AA4)</f>
        <v>M</v>
      </c>
      <c r="AG223">
        <f>IF('WetLitterbags placem_collection'!AC4="","",'WetLitterbags placem_collection'!AC4)</f>
        <v>1</v>
      </c>
      <c r="AH223" s="240">
        <f>AVERAGE('WetLitterbags placem_collection'!S4,'WetLitterbags placem_collection'!U4)</f>
        <v>13.1</v>
      </c>
      <c r="AI223">
        <f>AVERAGE('WetLitterbags placem_collection'!R4,'WetLitterbags placem_collection'!T4)</f>
        <v>24.9</v>
      </c>
      <c r="AJ223">
        <f>INDEX(Coordinates!$B$2:$B$197,MATCH(G223,Coordinates!$J$2:$J$197,0))</f>
        <v>-3.397879042</v>
      </c>
      <c r="AK223">
        <f>INDEX(Coordinates!$C$2:$C$197,MATCH(G223,Coordinates!$J$2:$J$197,0))</f>
        <v>34.837536010000001</v>
      </c>
      <c r="AL223" t="str">
        <f>IF(ISNUMBER(SEARCH("C", 'WetLitterbags placem_collection'!W4)),"YES","NO")</f>
        <v>NO</v>
      </c>
      <c r="AM223" t="str">
        <f>IF(ISNUMBER(SEARCH("H", 'WetLitterbags placem_collection'!W4)),"YES","NO")</f>
        <v>NO</v>
      </c>
      <c r="AN223" t="str">
        <f>IF(ISNUMBER(SEARCH("R", 'WetLitterbags placem_collection'!W4)),"YES","NO")</f>
        <v>NO</v>
      </c>
    </row>
    <row r="224" spans="1:40" ht="15" customHeight="1">
      <c r="A224" s="258" t="s">
        <v>2460</v>
      </c>
      <c r="B224" s="263">
        <f>'Dry_Litterbag Placem_Collection'!A5</f>
        <v>3</v>
      </c>
      <c r="C224" s="263" t="str">
        <f>'Dry_Litterbag Placem_Collection'!B5</f>
        <v>Makao</v>
      </c>
      <c r="D224" s="263" t="s">
        <v>2659</v>
      </c>
      <c r="E224" s="263" t="s">
        <v>2660</v>
      </c>
      <c r="F224" s="263">
        <v>1</v>
      </c>
      <c r="G224" s="264" t="str">
        <f>'Dry_Litterbag Placem_Collection'!C5</f>
        <v>Dry_Ag1_T3</v>
      </c>
      <c r="H224" s="265" t="s">
        <v>2541</v>
      </c>
      <c r="I224" s="272" t="s">
        <v>298</v>
      </c>
      <c r="J224" s="223" t="str">
        <f>'WetLitterbags placem_collection'!M5</f>
        <v>R158</v>
      </c>
      <c r="K224" s="225">
        <f>IFERROR(INDEX('Green_rooibos initial weight'!$C$5:$C$1749,MATCH(J224, 'Green_rooibos initial weight'!$A$5:$A$1749,0)),"")</f>
        <v>2.2959999999999998</v>
      </c>
      <c r="L224" s="225">
        <f>IFERROR(K224-(TBIcalc!$H$9+TBIcalc!$H$10),"")</f>
        <v>2.0461999999999998</v>
      </c>
      <c r="M224" s="391">
        <f>AVERAGE(Ashed_controlls!$K$12:$K$14)</f>
        <v>2.2816647271287041</v>
      </c>
      <c r="N224" s="225">
        <f t="shared" si="17"/>
        <v>1.9995125763534922</v>
      </c>
      <c r="O224" s="225" t="str">
        <f>IF(IFERROR(INDEX('Both teabags AfterWet'!$C$3:$C$841,MATCH(J224,'Both teabags AfterWet'!$A$3:$A$841,0)),"")="","",(IFERROR(INDEX('Both teabags AfterWet'!$C$3:$C$841,MATCH(J224,'Both teabags AfterWet'!$A$3:$A$841,0)),"")))</f>
        <v/>
      </c>
      <c r="P224" s="225" t="str">
        <f>IFERROR(IF(O224&gt;0,O224-(TBIcalc!$H$9),""),"")</f>
        <v/>
      </c>
      <c r="Q224" s="225" t="str">
        <f>IFERROR(INDEX('Ashed teabags wet'!$K$2:$K$821,MATCH(J224,'Ashed teabags wet'!$A$2:$A$821,0)),"")</f>
        <v/>
      </c>
      <c r="R224" s="225" t="str">
        <f t="shared" si="21"/>
        <v/>
      </c>
      <c r="S224" s="226">
        <f>'WetLitterbags placem_collection'!E5</f>
        <v>42766</v>
      </c>
      <c r="T224" s="226" t="str">
        <f>IF('WetLitterbags placem_collection'!G5="","",'WetLitterbags placem_collection'!G5)</f>
        <v/>
      </c>
      <c r="U224" s="227" t="str">
        <f t="shared" si="18"/>
        <v/>
      </c>
      <c r="V224" s="225" t="str">
        <f t="shared" si="19"/>
        <v/>
      </c>
      <c r="W224" s="225" t="str">
        <f t="shared" si="20"/>
        <v/>
      </c>
      <c r="X224" t="str">
        <f>IFERROR(INDEX(Rainfall_Wet!$O$2:$O$217,MATCH(B224, Rainfall_Wet!$A$2:$A$217,0)),"")</f>
        <v/>
      </c>
      <c r="Y224" s="231">
        <v>12.565665055683967</v>
      </c>
      <c r="Z224" s="231">
        <v>0.9665896196679955</v>
      </c>
      <c r="AA224" s="231">
        <v>86.467745324648035</v>
      </c>
      <c r="AB224" s="232" t="s">
        <v>2672</v>
      </c>
      <c r="AC224" s="231">
        <v>3.02257269590931</v>
      </c>
      <c r="AD224" t="str">
        <f>IF('WetLitterbags placem_collection'!AB5="","",'WetLitterbags placem_collection'!AB5)</f>
        <v/>
      </c>
      <c r="AE224" t="str">
        <f>IF('WetLitterbags placem_collection'!Z5="","",'WetLitterbags placem_collection'!Z5)</f>
        <v/>
      </c>
      <c r="AF224" s="246" t="str">
        <f>IF('WetLitterbags placem_collection'!AA5="","",'WetLitterbags placem_collection'!AA5)</f>
        <v/>
      </c>
      <c r="AG224" t="str">
        <f>IF('WetLitterbags placem_collection'!AC5="","",'WetLitterbags placem_collection'!AC5)</f>
        <v/>
      </c>
      <c r="AH224" s="240">
        <f>AVERAGE('WetLitterbags placem_collection'!S5,'WetLitterbags placem_collection'!U5)</f>
        <v>14.649999999999999</v>
      </c>
      <c r="AI224">
        <f>AVERAGE('WetLitterbags placem_collection'!R5,'WetLitterbags placem_collection'!T5)</f>
        <v>24.7</v>
      </c>
      <c r="AJ224">
        <f>INDEX(Coordinates!$B$2:$B$197,MATCH(G224,Coordinates!$J$2:$J$197,0))</f>
        <v>-3.3978739999999998</v>
      </c>
      <c r="AK224">
        <f>INDEX(Coordinates!$C$2:$C$197,MATCH(G224,Coordinates!$J$2:$J$197,0))</f>
        <v>34.837578999999998</v>
      </c>
      <c r="AL224" t="str">
        <f>IF(ISNUMBER(SEARCH("C", 'WetLitterbags placem_collection'!W5)),"YES","NO")</f>
        <v>NO</v>
      </c>
      <c r="AM224" t="str">
        <f>IF(ISNUMBER(SEARCH("H", 'WetLitterbags placem_collection'!W5)),"YES","NO")</f>
        <v>NO</v>
      </c>
      <c r="AN224" t="str">
        <f>IF(ISNUMBER(SEARCH("R", 'WetLitterbags placem_collection'!W5)),"YES","NO")</f>
        <v>NO</v>
      </c>
    </row>
    <row r="225" spans="1:40" ht="15" customHeight="1">
      <c r="A225" s="258" t="s">
        <v>2460</v>
      </c>
      <c r="B225" s="263">
        <f>'Dry_Litterbag Placem_Collection'!A6</f>
        <v>4</v>
      </c>
      <c r="C225" s="263" t="str">
        <f>'Dry_Litterbag Placem_Collection'!B6</f>
        <v>Makao</v>
      </c>
      <c r="D225" s="263" t="s">
        <v>2659</v>
      </c>
      <c r="E225" s="263" t="s">
        <v>2660</v>
      </c>
      <c r="F225" s="263">
        <v>1</v>
      </c>
      <c r="G225" s="264" t="str">
        <f>'Dry_Litterbag Placem_Collection'!C6</f>
        <v>Dry_Ag1_T4</v>
      </c>
      <c r="H225" s="265" t="s">
        <v>2541</v>
      </c>
      <c r="I225" s="272" t="s">
        <v>298</v>
      </c>
      <c r="J225" s="223" t="str">
        <f>'WetLitterbags placem_collection'!M6</f>
        <v>R115</v>
      </c>
      <c r="K225" s="225">
        <f>IFERROR(INDEX('Green_rooibos initial weight'!$C$5:$C$1749,MATCH(J225, 'Green_rooibos initial weight'!$A$5:$A$1749,0)),"")</f>
        <v>2.3119999999999998</v>
      </c>
      <c r="L225" s="225">
        <f>IFERROR(K225-(TBIcalc!$H$9+TBIcalc!$H$10),"")</f>
        <v>2.0621999999999998</v>
      </c>
      <c r="M225" s="391">
        <f>AVERAGE(Ashed_controlls!$K$12:$K$14)</f>
        <v>2.2816647271287041</v>
      </c>
      <c r="N225" s="225">
        <f t="shared" si="17"/>
        <v>2.0151475099971519</v>
      </c>
      <c r="O225" s="225">
        <f>IF(IFERROR(INDEX('Both teabags AfterWet'!$C$3:$C$841,MATCH(J225,'Both teabags AfterWet'!$A$3:$A$841,0)),"")="","",(IFERROR(INDEX('Both teabags AfterWet'!$C$3:$C$841,MATCH(J225,'Both teabags AfterWet'!$A$3:$A$841,0)),"")))</f>
        <v>1.4075</v>
      </c>
      <c r="P225" s="225">
        <f>IFERROR(IF(O225&gt;0,O225-(TBIcalc!$H$9),""),"")</f>
        <v>1.2568999999999999</v>
      </c>
      <c r="Q225" s="225">
        <f>IFERROR(INDEX('Ashed teabags wet'!$K$2:$K$821,MATCH(J225,'Ashed teabags wet'!$A$2:$A$821,0)),"")</f>
        <v>5.3919121318019663</v>
      </c>
      <c r="R225" s="225">
        <f t="shared" si="21"/>
        <v>1.1891290564153809</v>
      </c>
      <c r="S225" s="226">
        <f>'WetLitterbags placem_collection'!E6</f>
        <v>42766</v>
      </c>
      <c r="T225" s="226">
        <f>IF('WetLitterbags placem_collection'!G6="","",'WetLitterbags placem_collection'!G6)</f>
        <v>42818</v>
      </c>
      <c r="U225" s="227">
        <f t="shared" si="18"/>
        <v>52</v>
      </c>
      <c r="V225" s="225">
        <f t="shared" si="19"/>
        <v>0.8052999999999999</v>
      </c>
      <c r="W225" s="225">
        <f t="shared" si="20"/>
        <v>0.82601845358177095</v>
      </c>
      <c r="X225">
        <f>IFERROR(INDEX(Rainfall_Wet!$O$2:$O$217,MATCH(B225, Rainfall_Wet!$A$2:$A$217,0)),"")</f>
        <v>194.43839254400001</v>
      </c>
      <c r="Y225" s="231">
        <v>12.565665055683967</v>
      </c>
      <c r="Z225" s="231">
        <v>0.9665896196679955</v>
      </c>
      <c r="AA225" s="231">
        <v>86.467745324648035</v>
      </c>
      <c r="AB225" s="232" t="s">
        <v>2672</v>
      </c>
      <c r="AC225" s="231">
        <v>4.02257269590931</v>
      </c>
      <c r="AD225" t="str">
        <f>IF('WetLitterbags placem_collection'!AB6="","",'WetLitterbags placem_collection'!AB6)</f>
        <v/>
      </c>
      <c r="AE225" t="str">
        <f>IF('WetLitterbags placem_collection'!Z6="","",'WetLitterbags placem_collection'!Z6)</f>
        <v/>
      </c>
      <c r="AF225" s="246" t="str">
        <f>IF('WetLitterbags placem_collection'!AA6="","",'WetLitterbags placem_collection'!AA6)</f>
        <v/>
      </c>
      <c r="AG225" t="str">
        <f>IF('WetLitterbags placem_collection'!AC6="","",'WetLitterbags placem_collection'!AC6)</f>
        <v/>
      </c>
      <c r="AH225" s="240">
        <f>AVERAGE('WetLitterbags placem_collection'!S6,'WetLitterbags placem_collection'!U6)</f>
        <v>17.399999999999999</v>
      </c>
      <c r="AI225">
        <f>AVERAGE('WetLitterbags placem_collection'!R6,'WetLitterbags placem_collection'!T6)</f>
        <v>25.549999999999997</v>
      </c>
      <c r="AJ225">
        <f>INDEX(Coordinates!$B$2:$B$197,MATCH(G225,Coordinates!$J$2:$J$197,0))</f>
        <v>-3.3977780399999999</v>
      </c>
      <c r="AK225">
        <f>INDEX(Coordinates!$C$2:$C$197,MATCH(G225,Coordinates!$J$2:$J$197,0))</f>
        <v>34.83751204</v>
      </c>
      <c r="AL225" t="str">
        <f>IF(ISNUMBER(SEARCH("C", 'WetLitterbags placem_collection'!W6)),"YES","NO")</f>
        <v>NO</v>
      </c>
      <c r="AM225" t="str">
        <f>IF(ISNUMBER(SEARCH("H", 'WetLitterbags placem_collection'!W6)),"YES","NO")</f>
        <v>NO</v>
      </c>
      <c r="AN225" t="str">
        <f>IF(ISNUMBER(SEARCH("R", 'WetLitterbags placem_collection'!W6)),"YES","NO")</f>
        <v>YES</v>
      </c>
    </row>
    <row r="226" spans="1:40" ht="15" customHeight="1">
      <c r="A226" s="258" t="s">
        <v>2460</v>
      </c>
      <c r="B226" s="263">
        <f>'Dry_Litterbag Placem_Collection'!A7</f>
        <v>5</v>
      </c>
      <c r="C226" s="263" t="str">
        <f>'Dry_Litterbag Placem_Collection'!B7</f>
        <v>Makao</v>
      </c>
      <c r="D226" s="263" t="s">
        <v>2659</v>
      </c>
      <c r="E226" s="263" t="s">
        <v>2660</v>
      </c>
      <c r="F226" s="263">
        <v>1</v>
      </c>
      <c r="G226" s="264" t="str">
        <f>'Dry_Litterbag Placem_Collection'!C7</f>
        <v>Dry_Ag1_T5</v>
      </c>
      <c r="H226" s="265" t="s">
        <v>2541</v>
      </c>
      <c r="I226" s="272" t="s">
        <v>298</v>
      </c>
      <c r="J226" s="223" t="str">
        <f>'WetLitterbags placem_collection'!M7</f>
        <v>R502</v>
      </c>
      <c r="K226" s="225">
        <f>IFERROR(INDEX('Green_rooibos initial weight'!$C$5:$C$1749,MATCH(J226, 'Green_rooibos initial weight'!$A$5:$A$1749,0)),"")</f>
        <v>2.1840000000000002</v>
      </c>
      <c r="L226" s="225">
        <f>IFERROR(K226-(TBIcalc!$H$9+TBIcalc!$H$10),"")</f>
        <v>1.9342000000000001</v>
      </c>
      <c r="M226" s="391">
        <f>AVERAGE(Ashed_controlls!$K$12:$K$14)</f>
        <v>2.2816647271287041</v>
      </c>
      <c r="N226" s="225">
        <f t="shared" si="17"/>
        <v>1.8900680408478767</v>
      </c>
      <c r="O226" s="225">
        <f>IF(IFERROR(INDEX('Both teabags AfterWet'!$C$3:$C$841,MATCH(J226,'Both teabags AfterWet'!$A$3:$A$841,0)),"")="","",(IFERROR(INDEX('Both teabags AfterWet'!$C$3:$C$841,MATCH(J226,'Both teabags AfterWet'!$A$3:$A$841,0)),"")))</f>
        <v>1.3823000000000001</v>
      </c>
      <c r="P226" s="225">
        <f>IFERROR(IF(O226&gt;0,O226-(TBIcalc!$H$9),""),"")</f>
        <v>1.2317</v>
      </c>
      <c r="Q226" s="225">
        <f>IFERROR(INDEX('Ashed teabags wet'!$K$2:$K$821,MATCH(J226,'Ashed teabags wet'!$A$2:$A$821,0)),"")</f>
        <v>4.6214355948865089</v>
      </c>
      <c r="R226" s="225">
        <f t="shared" si="21"/>
        <v>1.1747777777777828</v>
      </c>
      <c r="S226" s="226">
        <f>'WetLitterbags placem_collection'!E7</f>
        <v>42766</v>
      </c>
      <c r="T226" s="226">
        <f>IF('WetLitterbags placem_collection'!G7="","",'WetLitterbags placem_collection'!G7)</f>
        <v>42818</v>
      </c>
      <c r="U226" s="227">
        <f t="shared" si="18"/>
        <v>52</v>
      </c>
      <c r="V226" s="225">
        <f t="shared" si="19"/>
        <v>0.70250000000000012</v>
      </c>
      <c r="W226" s="225">
        <f t="shared" si="20"/>
        <v>0.71529026307009391</v>
      </c>
      <c r="X226">
        <f>IFERROR(INDEX(Rainfall_Wet!$O$2:$O$217,MATCH(B226, Rainfall_Wet!$A$2:$A$217,0)),"")</f>
        <v>194.43839254400001</v>
      </c>
      <c r="Y226" s="231">
        <v>12.565665055683967</v>
      </c>
      <c r="Z226" s="231">
        <v>0.9665896196679955</v>
      </c>
      <c r="AA226" s="231">
        <v>86.467745324648035</v>
      </c>
      <c r="AB226" s="232" t="s">
        <v>2672</v>
      </c>
      <c r="AC226" s="231">
        <v>5.02257269590931</v>
      </c>
      <c r="AD226">
        <f>IF('WetLitterbags placem_collection'!AB7="","",'WetLitterbags placem_collection'!AB7)</f>
        <v>28.4</v>
      </c>
      <c r="AE226">
        <f>IF('WetLitterbags placem_collection'!Z7="","",'WetLitterbags placem_collection'!Z7)</f>
        <v>36.4</v>
      </c>
      <c r="AF226" s="246" t="str">
        <f>IF('WetLitterbags placem_collection'!AA7="","",'WetLitterbags placem_collection'!AA7)</f>
        <v>M</v>
      </c>
      <c r="AG226">
        <f>IF('WetLitterbags placem_collection'!AC7="","",'WetLitterbags placem_collection'!AC7)</f>
        <v>1</v>
      </c>
      <c r="AH226" s="240">
        <f>AVERAGE('WetLitterbags placem_collection'!S7,'WetLitterbags placem_collection'!U7)</f>
        <v>12.100000000000001</v>
      </c>
      <c r="AI226">
        <f>AVERAGE('WetLitterbags placem_collection'!R7,'WetLitterbags placem_collection'!T7)</f>
        <v>25.1</v>
      </c>
      <c r="AJ226">
        <f>INDEX(Coordinates!$B$2:$B$197,MATCH(G226,Coordinates!$J$2:$J$197,0))</f>
        <v>-3.3978020120000001</v>
      </c>
      <c r="AK226">
        <f>INDEX(Coordinates!$C$2:$C$197,MATCH(G226,Coordinates!$J$2:$J$197,0))</f>
        <v>34.83751204</v>
      </c>
      <c r="AL226" t="str">
        <f>IF(ISNUMBER(SEARCH("C", 'WetLitterbags placem_collection'!W7)),"YES","NO")</f>
        <v>NO</v>
      </c>
      <c r="AM226" t="str">
        <f>IF(ISNUMBER(SEARCH("H", 'WetLitterbags placem_collection'!W7)),"YES","NO")</f>
        <v>NO</v>
      </c>
      <c r="AN226" t="str">
        <f>IF(ISNUMBER(SEARCH("R", 'WetLitterbags placem_collection'!W7)),"YES","NO")</f>
        <v>NO</v>
      </c>
    </row>
    <row r="227" spans="1:40" ht="15" customHeight="1">
      <c r="A227" s="258" t="s">
        <v>2460</v>
      </c>
      <c r="B227" s="263">
        <f>'Dry_Litterbag Placem_Collection'!A8</f>
        <v>6</v>
      </c>
      <c r="C227" s="263" t="str">
        <f>'Dry_Litterbag Placem_Collection'!B8</f>
        <v>Makao</v>
      </c>
      <c r="D227" s="263" t="s">
        <v>2659</v>
      </c>
      <c r="E227" s="263" t="s">
        <v>2660</v>
      </c>
      <c r="F227" s="263">
        <v>1</v>
      </c>
      <c r="G227" s="264" t="str">
        <f>'Dry_Litterbag Placem_Collection'!C8</f>
        <v>Dry_Ag1_T6</v>
      </c>
      <c r="H227" s="265" t="s">
        <v>2541</v>
      </c>
      <c r="I227" s="272" t="s">
        <v>298</v>
      </c>
      <c r="J227" s="223" t="str">
        <f>'WetLitterbags placem_collection'!M8</f>
        <v>R177</v>
      </c>
      <c r="K227" s="225">
        <f>IFERROR(INDEX('Green_rooibos initial weight'!$C$5:$C$1749,MATCH(J227, 'Green_rooibos initial weight'!$A$5:$A$1749,0)),"")</f>
        <v>2.153</v>
      </c>
      <c r="L227" s="225">
        <f>IFERROR(K227-(TBIcalc!$H$9+TBIcalc!$H$10),"")</f>
        <v>1.9032</v>
      </c>
      <c r="M227" s="391">
        <f>AVERAGE(Ashed_controlls!$K$12:$K$14)</f>
        <v>2.2816647271287041</v>
      </c>
      <c r="N227" s="225">
        <f t="shared" si="17"/>
        <v>1.8597753569132864</v>
      </c>
      <c r="O227" s="225">
        <f>IF(IFERROR(INDEX('Both teabags AfterWet'!$C$3:$C$841,MATCH(J227,'Both teabags AfterWet'!$A$3:$A$841,0)),"")="","",(IFERROR(INDEX('Both teabags AfterWet'!$C$3:$C$841,MATCH(J227,'Both teabags AfterWet'!$A$3:$A$841,0)),"")))</f>
        <v>1.4271</v>
      </c>
      <c r="P227" s="225">
        <f>IFERROR(IF(O227&gt;0,O227-(TBIcalc!$H$9),""),"")</f>
        <v>1.2765</v>
      </c>
      <c r="Q227" s="225">
        <f>IFERROR(INDEX('Ashed teabags wet'!$K$2:$K$821,MATCH(J227,'Ashed teabags wet'!$A$2:$A$821,0)),"")</f>
        <v>14.46446446446422</v>
      </c>
      <c r="R227" s="225">
        <f t="shared" si="21"/>
        <v>1.0918611111111143</v>
      </c>
      <c r="S227" s="226">
        <f>'WetLitterbags placem_collection'!E8</f>
        <v>42766</v>
      </c>
      <c r="T227" s="226">
        <f>IF('WetLitterbags placem_collection'!G8="","",'WetLitterbags placem_collection'!G8)</f>
        <v>42818</v>
      </c>
      <c r="U227" s="227">
        <f t="shared" si="18"/>
        <v>52</v>
      </c>
      <c r="V227" s="225">
        <f t="shared" si="19"/>
        <v>0.62670000000000003</v>
      </c>
      <c r="W227" s="225">
        <f t="shared" si="20"/>
        <v>0.76791424580217216</v>
      </c>
      <c r="X227">
        <f>IFERROR(INDEX(Rainfall_Wet!$O$2:$O$217,MATCH(B227, Rainfall_Wet!$A$2:$A$217,0)),"")</f>
        <v>194.43839254400001</v>
      </c>
      <c r="Y227" s="231">
        <v>12.565665055683967</v>
      </c>
      <c r="Z227" s="231">
        <v>0.9665896196679955</v>
      </c>
      <c r="AA227" s="231">
        <v>86.467745324648035</v>
      </c>
      <c r="AB227" s="232" t="s">
        <v>2672</v>
      </c>
      <c r="AC227" s="231">
        <v>6.02257269590931</v>
      </c>
      <c r="AD227">
        <f>IF('WetLitterbags placem_collection'!AB8="","",'WetLitterbags placem_collection'!AB8)</f>
        <v>32.4</v>
      </c>
      <c r="AE227">
        <f>IF('WetLitterbags placem_collection'!Z8="","",'WetLitterbags placem_collection'!Z8)</f>
        <v>31</v>
      </c>
      <c r="AF227" s="246" t="str">
        <f>IF('WetLitterbags placem_collection'!AA8="","",'WetLitterbags placem_collection'!AA8)</f>
        <v>M</v>
      </c>
      <c r="AG227">
        <f>IF('WetLitterbags placem_collection'!AC8="","",'WetLitterbags placem_collection'!AC8)</f>
        <v>1</v>
      </c>
      <c r="AH227" s="240">
        <f>AVERAGE('WetLitterbags placem_collection'!S8,'WetLitterbags placem_collection'!U8)</f>
        <v>13.45</v>
      </c>
      <c r="AI227">
        <f>AVERAGE('WetLitterbags placem_collection'!R8,'WetLitterbags placem_collection'!T8)</f>
        <v>25.1</v>
      </c>
      <c r="AJ227">
        <f>INDEX(Coordinates!$B$2:$B$197,MATCH(G227,Coordinates!$J$2:$J$197,0))</f>
        <v>-3.3977389800000002</v>
      </c>
      <c r="AK227">
        <f>INDEX(Coordinates!$C$2:$C$197,MATCH(G227,Coordinates!$J$2:$J$197,0))</f>
        <v>34.837501979999999</v>
      </c>
      <c r="AL227" t="str">
        <f>IF(ISNUMBER(SEARCH("C", 'WetLitterbags placem_collection'!W8)),"YES","NO")</f>
        <v>NO</v>
      </c>
      <c r="AM227" t="str">
        <f>IF(ISNUMBER(SEARCH("H", 'WetLitterbags placem_collection'!W8)),"YES","NO")</f>
        <v>NO</v>
      </c>
      <c r="AN227" t="str">
        <f>IF(ISNUMBER(SEARCH("R", 'WetLitterbags placem_collection'!W8)),"YES","NO")</f>
        <v>YES</v>
      </c>
    </row>
    <row r="228" spans="1:40" ht="15" customHeight="1">
      <c r="A228" s="258" t="s">
        <v>2460</v>
      </c>
      <c r="B228" s="263">
        <f>'Dry_Litterbag Placem_Collection'!A9</f>
        <v>7</v>
      </c>
      <c r="C228" s="263" t="str">
        <f>'Dry_Litterbag Placem_Collection'!B9</f>
        <v>Makao</v>
      </c>
      <c r="D228" s="263" t="s">
        <v>2659</v>
      </c>
      <c r="E228" s="263" t="s">
        <v>2660</v>
      </c>
      <c r="F228" s="263">
        <v>1</v>
      </c>
      <c r="G228" s="264" t="str">
        <f>'Dry_Litterbag Placem_Collection'!C9</f>
        <v>Dry_Ag1_T7</v>
      </c>
      <c r="H228" s="265" t="s">
        <v>2541</v>
      </c>
      <c r="I228" s="272" t="s">
        <v>298</v>
      </c>
      <c r="J228" s="223" t="str">
        <f>'WetLitterbags placem_collection'!M9</f>
        <v>R531</v>
      </c>
      <c r="K228" s="225">
        <f>IFERROR(INDEX('Green_rooibos initial weight'!$C$5:$C$1749,MATCH(J228, 'Green_rooibos initial weight'!$A$5:$A$1749,0)),"")</f>
        <v>2.101</v>
      </c>
      <c r="L228" s="225">
        <f>IFERROR(K228-(TBIcalc!$H$9+TBIcalc!$H$10),"")</f>
        <v>1.8512</v>
      </c>
      <c r="M228" s="391">
        <f>AVERAGE(Ashed_controlls!$K$12:$K$14)</f>
        <v>2.2816647271287041</v>
      </c>
      <c r="N228" s="225">
        <f t="shared" si="17"/>
        <v>1.8089618225713935</v>
      </c>
      <c r="O228" s="225">
        <f>IF(IFERROR(INDEX('Both teabags AfterWet'!$C$3:$C$841,MATCH(J228,'Both teabags AfterWet'!$A$3:$A$841,0)),"")="","",(IFERROR(INDEX('Both teabags AfterWet'!$C$3:$C$841,MATCH(J228,'Both teabags AfterWet'!$A$3:$A$841,0)),"")))</f>
        <v>1.4430000000000001</v>
      </c>
      <c r="P228" s="225">
        <f>IFERROR(IF(O228&gt;0,O228-(TBIcalc!$H$9),""),"")</f>
        <v>1.2924</v>
      </c>
      <c r="Q228" s="225">
        <f>IFERROR(INDEX('Ashed teabags wet'!$K$2:$K$821,MATCH(J228,'Ashed teabags wet'!$A$2:$A$821,0)),"")</f>
        <v>3.1630170316302406</v>
      </c>
      <c r="R228" s="225">
        <f t="shared" si="21"/>
        <v>1.2515211678832108</v>
      </c>
      <c r="S228" s="226">
        <f>'WetLitterbags placem_collection'!E9</f>
        <v>42766</v>
      </c>
      <c r="T228" s="226">
        <f>IF('WetLitterbags placem_collection'!G9="","",'WetLitterbags placem_collection'!G9)</f>
        <v>42818</v>
      </c>
      <c r="U228" s="227">
        <f t="shared" si="18"/>
        <v>52</v>
      </c>
      <c r="V228" s="225">
        <f t="shared" si="19"/>
        <v>0.55879999999999996</v>
      </c>
      <c r="W228" s="225">
        <f t="shared" si="20"/>
        <v>0.55744065468818271</v>
      </c>
      <c r="X228">
        <f>IFERROR(INDEX(Rainfall_Wet!$O$2:$O$217,MATCH(B228, Rainfall_Wet!$A$2:$A$217,0)),"")</f>
        <v>194.43839254400001</v>
      </c>
      <c r="Y228" s="231">
        <v>12.565665055683967</v>
      </c>
      <c r="Z228" s="231">
        <v>0.9665896196679955</v>
      </c>
      <c r="AA228" s="231">
        <v>86.467745324648035</v>
      </c>
      <c r="AB228" s="232" t="s">
        <v>2672</v>
      </c>
      <c r="AC228" s="231">
        <v>7.02257269590931</v>
      </c>
      <c r="AD228">
        <f>IF('WetLitterbags placem_collection'!AB9="","",'WetLitterbags placem_collection'!AB9)</f>
        <v>36</v>
      </c>
      <c r="AE228">
        <f>IF('WetLitterbags placem_collection'!Z9="","",'WetLitterbags placem_collection'!Z9)</f>
        <v>43.4</v>
      </c>
      <c r="AF228" s="246" t="str">
        <f>IF('WetLitterbags placem_collection'!AA9="","",'WetLitterbags placem_collection'!AA9)</f>
        <v>M</v>
      </c>
      <c r="AG228">
        <f>IF('WetLitterbags placem_collection'!AC9="","",'WetLitterbags placem_collection'!AC9)</f>
        <v>1</v>
      </c>
      <c r="AH228" s="240">
        <f>AVERAGE('WetLitterbags placem_collection'!S9,'WetLitterbags placem_collection'!U9)</f>
        <v>9.8500000000000014</v>
      </c>
      <c r="AI228">
        <f>AVERAGE('WetLitterbags placem_collection'!R9,'WetLitterbags placem_collection'!T9)</f>
        <v>26.2</v>
      </c>
      <c r="AJ228">
        <f>INDEX(Coordinates!$B$2:$B$197,MATCH(G228,Coordinates!$J$2:$J$197,0))</f>
        <v>-3.3977630360000002</v>
      </c>
      <c r="AK228">
        <f>INDEX(Coordinates!$C$2:$C$197,MATCH(G228,Coordinates!$J$2:$J$197,0))</f>
        <v>34.837600969999997</v>
      </c>
      <c r="AL228" t="str">
        <f>IF(ISNUMBER(SEARCH("C", 'WetLitterbags placem_collection'!W9)),"YES","NO")</f>
        <v>NO</v>
      </c>
      <c r="AM228" t="str">
        <f>IF(ISNUMBER(SEARCH("H", 'WetLitterbags placem_collection'!W9)),"YES","NO")</f>
        <v>NO</v>
      </c>
      <c r="AN228" t="str">
        <f>IF(ISNUMBER(SEARCH("R", 'WetLitterbags placem_collection'!W9)),"YES","NO")</f>
        <v>NO</v>
      </c>
    </row>
    <row r="229" spans="1:40" ht="15" customHeight="1">
      <c r="A229" s="258" t="s">
        <v>2460</v>
      </c>
      <c r="B229" s="263">
        <f>'Dry_Litterbag Placem_Collection'!A10</f>
        <v>8</v>
      </c>
      <c r="C229" s="263" t="str">
        <f>'Dry_Litterbag Placem_Collection'!B10</f>
        <v>Makao</v>
      </c>
      <c r="D229" s="263" t="s">
        <v>2659</v>
      </c>
      <c r="E229" s="263" t="s">
        <v>2660</v>
      </c>
      <c r="F229" s="263">
        <v>1</v>
      </c>
      <c r="G229" s="264" t="str">
        <f>'Dry_Litterbag Placem_Collection'!C10</f>
        <v>Dry_Ag1_T8</v>
      </c>
      <c r="H229" s="265" t="s">
        <v>2541</v>
      </c>
      <c r="I229" s="272" t="s">
        <v>298</v>
      </c>
      <c r="J229" s="223" t="str">
        <f>'WetLitterbags placem_collection'!M10</f>
        <v>R406</v>
      </c>
      <c r="K229" s="225">
        <f>IFERROR(INDEX('Green_rooibos initial weight'!$C$5:$C$1749,MATCH(J229, 'Green_rooibos initial weight'!$A$5:$A$1749,0)),"")</f>
        <v>2.1739999999999999</v>
      </c>
      <c r="L229" s="225">
        <f>IFERROR(K229-(TBIcalc!$H$9+TBIcalc!$H$10),"")</f>
        <v>1.9241999999999999</v>
      </c>
      <c r="M229" s="391">
        <f>AVERAGE(Ashed_controlls!$K$12:$K$14)</f>
        <v>2.2816647271287041</v>
      </c>
      <c r="N229" s="225">
        <f t="shared" si="17"/>
        <v>1.8802962073205893</v>
      </c>
      <c r="O229" s="225">
        <f>IF(IFERROR(INDEX('Both teabags AfterWet'!$C$3:$C$841,MATCH(J229,'Both teabags AfterWet'!$A$3:$A$841,0)),"")="","",(IFERROR(INDEX('Both teabags AfterWet'!$C$3:$C$841,MATCH(J229,'Both teabags AfterWet'!$A$3:$A$841,0)),"")))</f>
        <v>1.4278999999999999</v>
      </c>
      <c r="P229" s="225">
        <f>IFERROR(IF(O229&gt;0,O229-(TBIcalc!$H$9),""),"")</f>
        <v>1.2772999999999999</v>
      </c>
      <c r="Q229" s="225">
        <f>IFERROR(INDEX('Ashed teabags wet'!$K$2:$K$821,MATCH(J229,'Ashed teabags wet'!$A$2:$A$821,0)),"")</f>
        <v>2.5291828793778013</v>
      </c>
      <c r="R229" s="225">
        <f t="shared" si="21"/>
        <v>1.2449947470817073</v>
      </c>
      <c r="S229" s="226">
        <f>'WetLitterbags placem_collection'!E10</f>
        <v>42766</v>
      </c>
      <c r="T229" s="226">
        <f>IF('WetLitterbags placem_collection'!G10="","",'WetLitterbags placem_collection'!G10)</f>
        <v>42818</v>
      </c>
      <c r="U229" s="227">
        <f t="shared" si="18"/>
        <v>52</v>
      </c>
      <c r="V229" s="225">
        <f t="shared" si="19"/>
        <v>0.64690000000000003</v>
      </c>
      <c r="W229" s="225">
        <f t="shared" si="20"/>
        <v>0.63530146023888201</v>
      </c>
      <c r="X229">
        <f>IFERROR(INDEX(Rainfall_Wet!$O$2:$O$217,MATCH(B229, Rainfall_Wet!$A$2:$A$217,0)),"")</f>
        <v>194.43839254400001</v>
      </c>
      <c r="Y229" s="231">
        <v>12.565665055683967</v>
      </c>
      <c r="Z229" s="231">
        <v>0.9665896196679955</v>
      </c>
      <c r="AA229" s="231">
        <v>86.467745324648035</v>
      </c>
      <c r="AB229" s="232" t="s">
        <v>2672</v>
      </c>
      <c r="AC229" s="231">
        <v>8.0225726959093109</v>
      </c>
      <c r="AD229">
        <f>IF('WetLitterbags placem_collection'!AB10="","",'WetLitterbags placem_collection'!AB10)</f>
        <v>36</v>
      </c>
      <c r="AE229">
        <f>IF('WetLitterbags placem_collection'!Z10="","",'WetLitterbags placem_collection'!Z10)</f>
        <v>38.4</v>
      </c>
      <c r="AF229" s="246" t="str">
        <f>IF('WetLitterbags placem_collection'!AA10="","",'WetLitterbags placem_collection'!AA10)</f>
        <v>M</v>
      </c>
      <c r="AG229" t="str">
        <f>IF('WetLitterbags placem_collection'!AC10="","",'WetLitterbags placem_collection'!AC10)</f>
        <v/>
      </c>
      <c r="AH229" s="240">
        <f>AVERAGE('WetLitterbags placem_collection'!S10,'WetLitterbags placem_collection'!U10)</f>
        <v>10.600000000000001</v>
      </c>
      <c r="AI229">
        <f>AVERAGE('WetLitterbags placem_collection'!R10,'WetLitterbags placem_collection'!T10)</f>
        <v>25.5</v>
      </c>
      <c r="AJ229">
        <f>INDEX(Coordinates!$B$2:$B$197,MATCH(G229,Coordinates!$J$2:$J$197,0))</f>
        <v>-3.3977320230000001</v>
      </c>
      <c r="AK229">
        <f>INDEX(Coordinates!$C$2:$C$197,MATCH(G229,Coordinates!$J$2:$J$197,0))</f>
        <v>34.837561989999998</v>
      </c>
      <c r="AL229" t="str">
        <f>IF(ISNUMBER(SEARCH("C", 'WetLitterbags placem_collection'!W10)),"YES","NO")</f>
        <v>NO</v>
      </c>
      <c r="AM229" t="str">
        <f>IF(ISNUMBER(SEARCH("H", 'WetLitterbags placem_collection'!W10)),"YES","NO")</f>
        <v>NO</v>
      </c>
      <c r="AN229" t="str">
        <f>IF(ISNUMBER(SEARCH("R", 'WetLitterbags placem_collection'!W10)),"YES","NO")</f>
        <v>YES</v>
      </c>
    </row>
    <row r="230" spans="1:40" ht="15" customHeight="1">
      <c r="A230" s="258" t="s">
        <v>2460</v>
      </c>
      <c r="B230" s="263">
        <f>'Dry_Litterbag Placem_Collection'!A11</f>
        <v>9</v>
      </c>
      <c r="C230" s="263" t="str">
        <f>'Dry_Litterbag Placem_Collection'!B11</f>
        <v>Makao</v>
      </c>
      <c r="D230" s="263" t="s">
        <v>2659</v>
      </c>
      <c r="E230" s="263" t="s">
        <v>2660</v>
      </c>
      <c r="F230" s="263">
        <v>2</v>
      </c>
      <c r="G230" s="264" t="str">
        <f>'Dry_Litterbag Placem_Collection'!C11</f>
        <v>Dry_Ag2_T1</v>
      </c>
      <c r="H230" s="265" t="s">
        <v>2541</v>
      </c>
      <c r="I230" s="272" t="s">
        <v>298</v>
      </c>
      <c r="J230" s="223" t="str">
        <f>'WetLitterbags placem_collection'!M11</f>
        <v>R169</v>
      </c>
      <c r="K230" s="225">
        <f>IFERROR(INDEX('Green_rooibos initial weight'!$C$5:$C$1749,MATCH(J230, 'Green_rooibos initial weight'!$A$5:$A$1749,0)),"")</f>
        <v>2.2010000000000001</v>
      </c>
      <c r="L230" s="225">
        <f>IFERROR(K230-(TBIcalc!$H$9+TBIcalc!$H$10),"")</f>
        <v>1.9512</v>
      </c>
      <c r="M230" s="391">
        <f>AVERAGE(Ashed_controlls!$K$12:$K$14)</f>
        <v>2.2816647271287041</v>
      </c>
      <c r="N230" s="225">
        <f t="shared" si="17"/>
        <v>1.9066801578442647</v>
      </c>
      <c r="O230" s="225">
        <f>IF(IFERROR(INDEX('Both teabags AfterWet'!$C$3:$C$841,MATCH(J230,'Both teabags AfterWet'!$A$3:$A$841,0)),"")="","",(IFERROR(INDEX('Both teabags AfterWet'!$C$3:$C$841,MATCH(J230,'Both teabags AfterWet'!$A$3:$A$841,0)),"")))</f>
        <v>2.8336999999999999</v>
      </c>
      <c r="P230" s="225">
        <f>IFERROR(IF(O230&gt;0,O230-(TBIcalc!$H$9),""),"")</f>
        <v>2.6831</v>
      </c>
      <c r="Q230" s="225">
        <f>IFERROR(INDEX('Ashed teabags wet'!$K$2:$K$821,MATCH(J230,'Ashed teabags wet'!$A$2:$A$821,0)),"")</f>
        <v>95.2866861030124</v>
      </c>
      <c r="R230" s="225">
        <f t="shared" si="21"/>
        <v>0.1264629251700744</v>
      </c>
      <c r="S230" s="226">
        <f>'WetLitterbags placem_collection'!E11</f>
        <v>42766</v>
      </c>
      <c r="T230" s="226">
        <f>IF('WetLitterbags placem_collection'!G11="","",'WetLitterbags placem_collection'!G11)</f>
        <v>42818</v>
      </c>
      <c r="U230" s="227">
        <f t="shared" si="18"/>
        <v>52</v>
      </c>
      <c r="V230" s="225">
        <f t="shared" si="19"/>
        <v>-0.7319</v>
      </c>
      <c r="W230" s="225">
        <f t="shared" si="20"/>
        <v>1.7802172326741903</v>
      </c>
      <c r="X230">
        <f>IFERROR(INDEX(Rainfall_Wet!$O$2:$O$217,MATCH(B230, Rainfall_Wet!$A$2:$A$217,0)),"")</f>
        <v>194.43839254400001</v>
      </c>
      <c r="Y230" s="231">
        <v>21.13063730679653</v>
      </c>
      <c r="Z230" s="231">
        <v>3.0912555579081076</v>
      </c>
      <c r="AA230" s="231">
        <v>75.778107135295357</v>
      </c>
      <c r="AB230" s="232" t="s">
        <v>2670</v>
      </c>
      <c r="AC230" s="231">
        <v>0.46131099063578063</v>
      </c>
      <c r="AD230">
        <f>IF('WetLitterbags placem_collection'!AB11="","",'WetLitterbags placem_collection'!AB11)</f>
        <v>10.8</v>
      </c>
      <c r="AE230">
        <f>IF('WetLitterbags placem_collection'!Z11="","",'WetLitterbags placem_collection'!Z11)</f>
        <v>28.4</v>
      </c>
      <c r="AF230" s="246" t="str">
        <f>IF('WetLitterbags placem_collection'!AA11="","",'WetLitterbags placem_collection'!AA11)</f>
        <v>M</v>
      </c>
      <c r="AG230">
        <f>IF('WetLitterbags placem_collection'!AC11="","",'WetLitterbags placem_collection'!AC11)</f>
        <v>0</v>
      </c>
      <c r="AH230" s="240">
        <f>AVERAGE('WetLitterbags placem_collection'!S11,'WetLitterbags placem_collection'!U11)</f>
        <v>14.5</v>
      </c>
      <c r="AI230">
        <f>AVERAGE('WetLitterbags placem_collection'!R11,'WetLitterbags placem_collection'!T11)</f>
        <v>24.4</v>
      </c>
      <c r="AJ230">
        <f>INDEX(Coordinates!$B$2:$B$197,MATCH(G230,Coordinates!$J$2:$J$197,0))</f>
        <v>-3.3978290019999999</v>
      </c>
      <c r="AK230">
        <f>INDEX(Coordinates!$C$2:$C$197,MATCH(G230,Coordinates!$J$2:$J$197,0))</f>
        <v>34.837011969999999</v>
      </c>
      <c r="AL230" t="str">
        <f>IF(ISNUMBER(SEARCH("C", 'WetLitterbags placem_collection'!W11)),"YES","NO")</f>
        <v>YES</v>
      </c>
      <c r="AM230" t="str">
        <f>IF(ISNUMBER(SEARCH("H", 'WetLitterbags placem_collection'!W11)),"YES","NO")</f>
        <v>YES</v>
      </c>
      <c r="AN230" t="str">
        <f>IF(ISNUMBER(SEARCH("R", 'WetLitterbags placem_collection'!W11)),"YES","NO")</f>
        <v>NO</v>
      </c>
    </row>
    <row r="231" spans="1:40" ht="15" customHeight="1">
      <c r="A231" s="258" t="s">
        <v>2460</v>
      </c>
      <c r="B231" s="263">
        <f>'Dry_Litterbag Placem_Collection'!A12</f>
        <v>10</v>
      </c>
      <c r="C231" s="263" t="str">
        <f>'Dry_Litterbag Placem_Collection'!B12</f>
        <v>Makao</v>
      </c>
      <c r="D231" s="263" t="s">
        <v>2659</v>
      </c>
      <c r="E231" s="263" t="s">
        <v>2660</v>
      </c>
      <c r="F231" s="263">
        <v>2</v>
      </c>
      <c r="G231" s="264" t="str">
        <f>'Dry_Litterbag Placem_Collection'!C12</f>
        <v>Dry_Ag2_T2</v>
      </c>
      <c r="H231" s="265" t="s">
        <v>2541</v>
      </c>
      <c r="I231" s="272" t="s">
        <v>298</v>
      </c>
      <c r="J231" s="223" t="str">
        <f>'WetLitterbags placem_collection'!M12</f>
        <v>R91</v>
      </c>
      <c r="K231" s="225">
        <f>IFERROR(INDEX('Green_rooibos initial weight'!$C$5:$C$1749,MATCH(J231, 'Green_rooibos initial weight'!$A$5:$A$1749,0)),"")</f>
        <v>2.133</v>
      </c>
      <c r="L231" s="225">
        <f>IFERROR(K231-(TBIcalc!$H$9+TBIcalc!$H$10),"")</f>
        <v>1.8832</v>
      </c>
      <c r="M231" s="391">
        <f>AVERAGE(Ashed_controlls!$K$12:$K$14)</f>
        <v>2.2816647271287041</v>
      </c>
      <c r="N231" s="225">
        <f t="shared" si="17"/>
        <v>1.8402316898587123</v>
      </c>
      <c r="O231" s="225">
        <f>IF(IFERROR(INDEX('Both teabags AfterWet'!$C$3:$C$841,MATCH(J231,'Both teabags AfterWet'!$A$3:$A$841,0)),"")="","",(IFERROR(INDEX('Both teabags AfterWet'!$C$3:$C$841,MATCH(J231,'Both teabags AfterWet'!$A$3:$A$841,0)),"")))</f>
        <v>1.3628</v>
      </c>
      <c r="P231" s="225">
        <f>IFERROR(IF(O231&gt;0,O231-(TBIcalc!$H$9),""),"")</f>
        <v>1.2121999999999999</v>
      </c>
      <c r="Q231" s="225">
        <f>IFERROR(INDEX('Ashed teabags wet'!$K$2:$K$821,MATCH(J231,'Ashed teabags wet'!$A$2:$A$821,0)),"")</f>
        <v>4.3562439496613994</v>
      </c>
      <c r="R231" s="225">
        <f t="shared" si="21"/>
        <v>1.1593936108422045</v>
      </c>
      <c r="S231" s="226">
        <f>'WetLitterbags placem_collection'!E12</f>
        <v>42766</v>
      </c>
      <c r="T231" s="226">
        <f>IF('WetLitterbags placem_collection'!G12="","",'WetLitterbags placem_collection'!G12)</f>
        <v>42818</v>
      </c>
      <c r="U231" s="227">
        <f t="shared" si="18"/>
        <v>52</v>
      </c>
      <c r="V231" s="225">
        <f t="shared" si="19"/>
        <v>0.67100000000000004</v>
      </c>
      <c r="W231" s="225">
        <f t="shared" si="20"/>
        <v>0.68083807901650784</v>
      </c>
      <c r="X231">
        <f>IFERROR(INDEX(Rainfall_Wet!$O$2:$O$217,MATCH(B231, Rainfall_Wet!$A$2:$A$217,0)),"")</f>
        <v>194.43839254400001</v>
      </c>
      <c r="Y231" s="231">
        <v>21.13063730679653</v>
      </c>
      <c r="Z231" s="231">
        <v>3.0912555579081076</v>
      </c>
      <c r="AA231" s="231">
        <v>75.778107135295357</v>
      </c>
      <c r="AB231" s="232" t="s">
        <v>2670</v>
      </c>
      <c r="AC231" s="231">
        <v>1.46131099063578</v>
      </c>
      <c r="AD231">
        <f>IF('WetLitterbags placem_collection'!AB12="","",'WetLitterbags placem_collection'!AB12)</f>
        <v>16.8</v>
      </c>
      <c r="AE231">
        <f>IF('WetLitterbags placem_collection'!Z12="","",'WetLitterbags placem_collection'!Z12)</f>
        <v>30</v>
      </c>
      <c r="AF231" s="246" t="str">
        <f>IF('WetLitterbags placem_collection'!AA12="","",'WetLitterbags placem_collection'!AA12)</f>
        <v>M</v>
      </c>
      <c r="AG231">
        <f>IF('WetLitterbags placem_collection'!AC12="","",'WetLitterbags placem_collection'!AC12)</f>
        <v>0</v>
      </c>
      <c r="AH231" s="240">
        <f>AVERAGE('WetLitterbags placem_collection'!S12,'WetLitterbags placem_collection'!U12)</f>
        <v>14.649999999999999</v>
      </c>
      <c r="AI231">
        <f>AVERAGE('WetLitterbags placem_collection'!R12,'WetLitterbags placem_collection'!T12)</f>
        <v>24.299999999999997</v>
      </c>
      <c r="AJ231">
        <f>INDEX(Coordinates!$B$2:$B$197,MATCH(G231,Coordinates!$J$2:$J$197,0))</f>
        <v>-3.3978119869999999</v>
      </c>
      <c r="AK231">
        <f>INDEX(Coordinates!$C$2:$C$197,MATCH(G231,Coordinates!$J$2:$J$197,0))</f>
        <v>34.836968980000002</v>
      </c>
      <c r="AL231" t="str">
        <f>IF(ISNUMBER(SEARCH("C", 'WetLitterbags placem_collection'!W12)),"YES","NO")</f>
        <v>NO</v>
      </c>
      <c r="AM231" t="str">
        <f>IF(ISNUMBER(SEARCH("H", 'WetLitterbags placem_collection'!W12)),"YES","NO")</f>
        <v>NO</v>
      </c>
      <c r="AN231" t="str">
        <f>IF(ISNUMBER(SEARCH("R", 'WetLitterbags placem_collection'!W12)),"YES","NO")</f>
        <v>NO</v>
      </c>
    </row>
    <row r="232" spans="1:40" ht="15" customHeight="1">
      <c r="A232" s="258" t="s">
        <v>2460</v>
      </c>
      <c r="B232" s="263">
        <f>'Dry_Litterbag Placem_Collection'!A13</f>
        <v>11</v>
      </c>
      <c r="C232" s="263" t="str">
        <f>'Dry_Litterbag Placem_Collection'!B13</f>
        <v>Makao</v>
      </c>
      <c r="D232" s="263" t="s">
        <v>2659</v>
      </c>
      <c r="E232" s="263" t="s">
        <v>2660</v>
      </c>
      <c r="F232" s="263">
        <v>2</v>
      </c>
      <c r="G232" s="264" t="str">
        <f>'Dry_Litterbag Placem_Collection'!C13</f>
        <v>Dry_Ag2_T3</v>
      </c>
      <c r="H232" s="265" t="s">
        <v>2541</v>
      </c>
      <c r="I232" s="272" t="s">
        <v>298</v>
      </c>
      <c r="J232" s="223" t="str">
        <f>'WetLitterbags placem_collection'!M13</f>
        <v>R446</v>
      </c>
      <c r="K232" s="225">
        <f>IFERROR(INDEX('Green_rooibos initial weight'!$C$5:$C$1749,MATCH(J232, 'Green_rooibos initial weight'!$A$5:$A$1749,0)),"")</f>
        <v>2.2679999999999998</v>
      </c>
      <c r="L232" s="225">
        <f>IFERROR(K232-(TBIcalc!$H$9+TBIcalc!$H$10),"")</f>
        <v>2.0181999999999998</v>
      </c>
      <c r="M232" s="391">
        <f>AVERAGE(Ashed_controlls!$K$12:$K$14)</f>
        <v>2.2816647271287041</v>
      </c>
      <c r="N232" s="225">
        <f t="shared" si="17"/>
        <v>1.9721514424770883</v>
      </c>
      <c r="O232" s="225">
        <f>IF(IFERROR(INDEX('Both teabags AfterWet'!$C$3:$C$841,MATCH(J232,'Both teabags AfterWet'!$A$3:$A$841,0)),"")="","",(IFERROR(INDEX('Both teabags AfterWet'!$C$3:$C$841,MATCH(J232,'Both teabags AfterWet'!$A$3:$A$841,0)),"")))</f>
        <v>1.4224000000000001</v>
      </c>
      <c r="P232" s="225">
        <f>IFERROR(IF(O232&gt;0,O232-(TBIcalc!$H$9),""),"")</f>
        <v>1.2718</v>
      </c>
      <c r="Q232" s="225">
        <f>IFERROR(INDEX('Ashed teabags wet'!$K$2:$K$821,MATCH(J232,'Ashed teabags wet'!$A$2:$A$821,0)),"")</f>
        <v>5.1775147928992347</v>
      </c>
      <c r="R232" s="225">
        <f t="shared" si="21"/>
        <v>1.2059523668639076</v>
      </c>
      <c r="S232" s="226">
        <f>'WetLitterbags placem_collection'!E13</f>
        <v>42766</v>
      </c>
      <c r="T232" s="226">
        <f>IF('WetLitterbags placem_collection'!G13="","",'WetLitterbags placem_collection'!G13)</f>
        <v>42818</v>
      </c>
      <c r="U232" s="227">
        <f t="shared" si="18"/>
        <v>52</v>
      </c>
      <c r="V232" s="225">
        <f t="shared" si="19"/>
        <v>0.74639999999999973</v>
      </c>
      <c r="W232" s="225">
        <f t="shared" si="20"/>
        <v>0.76619907561318068</v>
      </c>
      <c r="X232">
        <f>IFERROR(INDEX(Rainfall_Wet!$O$2:$O$217,MATCH(B232, Rainfall_Wet!$A$2:$A$217,0)),"")</f>
        <v>194.43839254400001</v>
      </c>
      <c r="Y232" s="231">
        <v>21.13063730679653</v>
      </c>
      <c r="Z232" s="231">
        <v>3.0912555579081076</v>
      </c>
      <c r="AA232" s="231">
        <v>75.778107135295357</v>
      </c>
      <c r="AB232" s="232" t="s">
        <v>2670</v>
      </c>
      <c r="AC232" s="231">
        <v>2.4613109906357802</v>
      </c>
      <c r="AD232">
        <f>IF('WetLitterbags placem_collection'!AB13="","",'WetLitterbags placem_collection'!AB13)</f>
        <v>11.4</v>
      </c>
      <c r="AE232">
        <f>IF('WetLitterbags placem_collection'!Z13="","",'WetLitterbags placem_collection'!Z13)</f>
        <v>24.4</v>
      </c>
      <c r="AF232" s="246" t="str">
        <f>IF('WetLitterbags placem_collection'!AA13="","",'WetLitterbags placem_collection'!AA13)</f>
        <v>M</v>
      </c>
      <c r="AG232">
        <f>IF('WetLitterbags placem_collection'!AC13="","",'WetLitterbags placem_collection'!AC13)</f>
        <v>0</v>
      </c>
      <c r="AH232" s="240">
        <f>AVERAGE('WetLitterbags placem_collection'!S13,'WetLitterbags placem_collection'!U13)</f>
        <v>21.1</v>
      </c>
      <c r="AI232">
        <f>AVERAGE('WetLitterbags placem_collection'!R13,'WetLitterbags placem_collection'!T13)</f>
        <v>24.05</v>
      </c>
      <c r="AJ232">
        <f>INDEX(Coordinates!$B$2:$B$197,MATCH(G232,Coordinates!$J$2:$J$197,0))</f>
        <v>-3.3977929599999999</v>
      </c>
      <c r="AK232">
        <f>INDEX(Coordinates!$C$2:$C$197,MATCH(G232,Coordinates!$J$2:$J$197,0))</f>
        <v>34.837102999999999</v>
      </c>
      <c r="AL232" t="str">
        <f>IF(ISNUMBER(SEARCH("C", 'WetLitterbags placem_collection'!W13)),"YES","NO")</f>
        <v>NO</v>
      </c>
      <c r="AM232" t="str">
        <f>IF(ISNUMBER(SEARCH("H", 'WetLitterbags placem_collection'!W13)),"YES","NO")</f>
        <v>NO</v>
      </c>
      <c r="AN232" t="str">
        <f>IF(ISNUMBER(SEARCH("R", 'WetLitterbags placem_collection'!W13)),"YES","NO")</f>
        <v>NO</v>
      </c>
    </row>
    <row r="233" spans="1:40" ht="15" customHeight="1">
      <c r="A233" s="258" t="s">
        <v>2460</v>
      </c>
      <c r="B233" s="263">
        <f>'Dry_Litterbag Placem_Collection'!A14</f>
        <v>12</v>
      </c>
      <c r="C233" s="263" t="str">
        <f>'Dry_Litterbag Placem_Collection'!B14</f>
        <v>Makao</v>
      </c>
      <c r="D233" s="263" t="s">
        <v>2659</v>
      </c>
      <c r="E233" s="263" t="s">
        <v>2660</v>
      </c>
      <c r="F233" s="263">
        <v>2</v>
      </c>
      <c r="G233" s="264" t="str">
        <f>'Dry_Litterbag Placem_Collection'!C14</f>
        <v>Dry_Ag2_T4</v>
      </c>
      <c r="H233" s="265" t="s">
        <v>2541</v>
      </c>
      <c r="I233" s="272" t="s">
        <v>298</v>
      </c>
      <c r="J233" s="223" t="str">
        <f>'WetLitterbags placem_collection'!M14</f>
        <v>R409</v>
      </c>
      <c r="K233" s="225">
        <f>IFERROR(INDEX('Green_rooibos initial weight'!$C$5:$C$1749,MATCH(J233, 'Green_rooibos initial weight'!$A$5:$A$1749,0)),"")</f>
        <v>2.2000000000000002</v>
      </c>
      <c r="L233" s="225">
        <f>IFERROR(K233-(TBIcalc!$H$9+TBIcalc!$H$10),"")</f>
        <v>1.9502000000000002</v>
      </c>
      <c r="M233" s="391">
        <f>AVERAGE(Ashed_controlls!$K$12:$K$14)</f>
        <v>2.2816647271287041</v>
      </c>
      <c r="N233" s="225">
        <f t="shared" si="17"/>
        <v>1.9057029744915361</v>
      </c>
      <c r="O233" s="225" t="str">
        <f>IF(IFERROR(INDEX('Both teabags AfterWet'!$C$3:$C$841,MATCH(J233,'Both teabags AfterWet'!$A$3:$A$841,0)),"")="","",(IFERROR(INDEX('Both teabags AfterWet'!$C$3:$C$841,MATCH(J233,'Both teabags AfterWet'!$A$3:$A$841,0)),"")))</f>
        <v/>
      </c>
      <c r="P233" s="225" t="str">
        <f>IFERROR(IF(O233&gt;0,O233-(TBIcalc!$H$9),""),"")</f>
        <v/>
      </c>
      <c r="Q233" s="225" t="str">
        <f>IFERROR(INDEX('Ashed teabags wet'!$K$2:$K$821,MATCH(J233,'Ashed teabags wet'!$A$2:$A$821,0)),"")</f>
        <v/>
      </c>
      <c r="R233" s="225" t="str">
        <f t="shared" si="21"/>
        <v/>
      </c>
      <c r="S233" s="226">
        <f>'WetLitterbags placem_collection'!E14</f>
        <v>42766</v>
      </c>
      <c r="T233" s="226" t="str">
        <f>IF('WetLitterbags placem_collection'!G14="","",'WetLitterbags placem_collection'!G14)</f>
        <v/>
      </c>
      <c r="U233" s="227" t="str">
        <f t="shared" si="18"/>
        <v/>
      </c>
      <c r="V233" s="225" t="str">
        <f t="shared" si="19"/>
        <v/>
      </c>
      <c r="W233" s="225" t="str">
        <f t="shared" si="20"/>
        <v/>
      </c>
      <c r="X233" t="str">
        <f>IFERROR(INDEX(Rainfall_Wet!$O$2:$O$217,MATCH(B233, Rainfall_Wet!$A$2:$A$217,0)),"")</f>
        <v/>
      </c>
      <c r="Y233" s="231">
        <v>21.13063730679653</v>
      </c>
      <c r="Z233" s="231">
        <v>3.0912555579081076</v>
      </c>
      <c r="AA233" s="231">
        <v>75.778107135295357</v>
      </c>
      <c r="AB233" s="232" t="s">
        <v>2670</v>
      </c>
      <c r="AC233" s="231">
        <v>3.4613109906357802</v>
      </c>
      <c r="AD233" t="str">
        <f>IF('WetLitterbags placem_collection'!AB14="","",'WetLitterbags placem_collection'!AB14)</f>
        <v/>
      </c>
      <c r="AE233" t="str">
        <f>IF('WetLitterbags placem_collection'!Z14="","",'WetLitterbags placem_collection'!Z14)</f>
        <v/>
      </c>
      <c r="AF233" s="246" t="str">
        <f>IF('WetLitterbags placem_collection'!AA14="","",'WetLitterbags placem_collection'!AA14)</f>
        <v/>
      </c>
      <c r="AG233" t="str">
        <f>IF('WetLitterbags placem_collection'!AC14="","",'WetLitterbags placem_collection'!AC14)</f>
        <v/>
      </c>
      <c r="AH233" s="240">
        <f>AVERAGE('WetLitterbags placem_collection'!S14,'WetLitterbags placem_collection'!U14)</f>
        <v>25.8</v>
      </c>
      <c r="AI233">
        <f>AVERAGE('WetLitterbags placem_collection'!R14,'WetLitterbags placem_collection'!T14)</f>
        <v>21.7</v>
      </c>
      <c r="AJ233">
        <f>INDEX(Coordinates!$B$2:$B$197,MATCH(G233,Coordinates!$J$2:$J$197,0))</f>
        <v>-3.3979050260000001</v>
      </c>
      <c r="AK233">
        <f>INDEX(Coordinates!$C$2:$C$197,MATCH(G233,Coordinates!$J$2:$J$197,0))</f>
        <v>34.837123030000001</v>
      </c>
      <c r="AL233" t="str">
        <f>IF(ISNUMBER(SEARCH("C", 'WetLitterbags placem_collection'!W14)),"YES","NO")</f>
        <v>NO</v>
      </c>
      <c r="AM233" t="str">
        <f>IF(ISNUMBER(SEARCH("H", 'WetLitterbags placem_collection'!W14)),"YES","NO")</f>
        <v>NO</v>
      </c>
      <c r="AN233" t="str">
        <f>IF(ISNUMBER(SEARCH("R", 'WetLitterbags placem_collection'!W14)),"YES","NO")</f>
        <v>NO</v>
      </c>
    </row>
    <row r="234" spans="1:40" ht="15" customHeight="1">
      <c r="A234" s="258" t="s">
        <v>2460</v>
      </c>
      <c r="B234" s="263">
        <f>'Dry_Litterbag Placem_Collection'!A15</f>
        <v>13</v>
      </c>
      <c r="C234" s="263" t="str">
        <f>'Dry_Litterbag Placem_Collection'!B15</f>
        <v>Makao</v>
      </c>
      <c r="D234" s="263" t="s">
        <v>2659</v>
      </c>
      <c r="E234" s="263" t="s">
        <v>2660</v>
      </c>
      <c r="F234" s="263">
        <v>2</v>
      </c>
      <c r="G234" s="264" t="str">
        <f>'Dry_Litterbag Placem_Collection'!C15</f>
        <v>Dry_Ag2_T5</v>
      </c>
      <c r="H234" s="265" t="s">
        <v>2541</v>
      </c>
      <c r="I234" s="272" t="s">
        <v>298</v>
      </c>
      <c r="J234" s="223" t="str">
        <f>'WetLitterbags placem_collection'!M15</f>
        <v>R450</v>
      </c>
      <c r="K234" s="225">
        <f>IFERROR(INDEX('Green_rooibos initial weight'!$C$5:$C$1749,MATCH(J234, 'Green_rooibos initial weight'!$A$5:$A$1749,0)),"")</f>
        <v>2.2250000000000001</v>
      </c>
      <c r="L234" s="225">
        <f>IFERROR(K234-(TBIcalc!$H$9+TBIcalc!$H$10),"")</f>
        <v>1.9752000000000001</v>
      </c>
      <c r="M234" s="391">
        <f>AVERAGE(Ashed_controlls!$K$12:$K$14)</f>
        <v>2.2816647271287041</v>
      </c>
      <c r="N234" s="225">
        <f t="shared" si="17"/>
        <v>1.9301325583097539</v>
      </c>
      <c r="O234" s="225">
        <f>IF(IFERROR(INDEX('Both teabags AfterWet'!$C$3:$C$841,MATCH(J234,'Both teabags AfterWet'!$A$3:$A$841,0)),"")="","",(IFERROR(INDEX('Both teabags AfterWet'!$C$3:$C$841,MATCH(J234,'Both teabags AfterWet'!$A$3:$A$841,0)),"")))</f>
        <v>0.91920000000000002</v>
      </c>
      <c r="P234" s="225">
        <f>IFERROR(IF(O234&gt;0,O234-(TBIcalc!$H$9),""),"")</f>
        <v>0.76859999999999995</v>
      </c>
      <c r="Q234" s="225">
        <f>IFERROR(INDEX('Ashed teabags wet'!$K$2:$K$821,MATCH(J234,'Ashed teabags wet'!$A$2:$A$821,0)),"")</f>
        <v>41.214534594325485</v>
      </c>
      <c r="R234" s="225">
        <f t="shared" si="21"/>
        <v>0.45182508710801428</v>
      </c>
      <c r="S234" s="226">
        <f>'WetLitterbags placem_collection'!E15</f>
        <v>42766</v>
      </c>
      <c r="T234" s="226">
        <f>IF('WetLitterbags placem_collection'!G15="","",'WetLitterbags placem_collection'!G15)</f>
        <v>42818</v>
      </c>
      <c r="U234" s="227">
        <f t="shared" si="18"/>
        <v>52</v>
      </c>
      <c r="V234" s="225">
        <f t="shared" si="19"/>
        <v>1.2066000000000001</v>
      </c>
      <c r="W234" s="225">
        <f t="shared" si="20"/>
        <v>1.4783074712017397</v>
      </c>
      <c r="X234">
        <f>IFERROR(INDEX(Rainfall_Wet!$O$2:$O$217,MATCH(B234, Rainfall_Wet!$A$2:$A$217,0)),"")</f>
        <v>194.43839254400001</v>
      </c>
      <c r="Y234" s="231">
        <v>21.13063730679653</v>
      </c>
      <c r="Z234" s="231">
        <v>3.0912555579081076</v>
      </c>
      <c r="AA234" s="231">
        <v>75.778107135295357</v>
      </c>
      <c r="AB234" s="232" t="s">
        <v>2670</v>
      </c>
      <c r="AC234" s="231">
        <v>4.4613109906357797</v>
      </c>
      <c r="AD234">
        <f>IF('WetLitterbags placem_collection'!AB15="","",'WetLitterbags placem_collection'!AB15)</f>
        <v>11.4</v>
      </c>
      <c r="AE234">
        <f>IF('WetLitterbags placem_collection'!Z15="","",'WetLitterbags placem_collection'!Z15)</f>
        <v>31</v>
      </c>
      <c r="AF234" s="246" t="str">
        <f>IF('WetLitterbags placem_collection'!AA15="","",'WetLitterbags placem_collection'!AA15)</f>
        <v>M</v>
      </c>
      <c r="AG234">
        <f>IF('WetLitterbags placem_collection'!AC15="","",'WetLitterbags placem_collection'!AC15)</f>
        <v>0</v>
      </c>
      <c r="AH234" s="240">
        <f>AVERAGE('WetLitterbags placem_collection'!S15,'WetLitterbags placem_collection'!U15)</f>
        <v>20.8</v>
      </c>
      <c r="AI234">
        <f>AVERAGE('WetLitterbags placem_collection'!R15,'WetLitterbags placem_collection'!T15)</f>
        <v>23.4</v>
      </c>
      <c r="AJ234">
        <f>INDEX(Coordinates!$B$2:$B$197,MATCH(G234,Coordinates!$J$2:$J$197,0))</f>
        <v>-3.3979040199999999</v>
      </c>
      <c r="AK234">
        <f>INDEX(Coordinates!$C$2:$C$197,MATCH(G234,Coordinates!$J$2:$J$197,0))</f>
        <v>34.837027980000002</v>
      </c>
      <c r="AL234" t="str">
        <f>IF(ISNUMBER(SEARCH("C", 'WetLitterbags placem_collection'!W15)),"YES","NO")</f>
        <v>NO</v>
      </c>
      <c r="AM234" t="str">
        <f>IF(ISNUMBER(SEARCH("H", 'WetLitterbags placem_collection'!W15)),"YES","NO")</f>
        <v>YES</v>
      </c>
      <c r="AN234" t="str">
        <f>IF(ISNUMBER(SEARCH("R", 'WetLitterbags placem_collection'!W15)),"YES","NO")</f>
        <v>YES</v>
      </c>
    </row>
    <row r="235" spans="1:40" ht="15" customHeight="1">
      <c r="A235" s="258" t="s">
        <v>2460</v>
      </c>
      <c r="B235" s="263">
        <f>'Dry_Litterbag Placem_Collection'!A16</f>
        <v>14</v>
      </c>
      <c r="C235" s="263" t="str">
        <f>'Dry_Litterbag Placem_Collection'!B16</f>
        <v>Makao</v>
      </c>
      <c r="D235" s="263" t="s">
        <v>2659</v>
      </c>
      <c r="E235" s="263" t="s">
        <v>2660</v>
      </c>
      <c r="F235" s="263">
        <v>2</v>
      </c>
      <c r="G235" s="264" t="str">
        <f>'Dry_Litterbag Placem_Collection'!C16</f>
        <v>Dry_Ag2_T6</v>
      </c>
      <c r="H235" s="265" t="s">
        <v>2541</v>
      </c>
      <c r="I235" s="272" t="s">
        <v>298</v>
      </c>
      <c r="J235" s="223" t="str">
        <f>'WetLitterbags placem_collection'!M16</f>
        <v>R382</v>
      </c>
      <c r="K235" s="225">
        <f>IFERROR(INDEX('Green_rooibos initial weight'!$C$5:$C$1749,MATCH(J235, 'Green_rooibos initial weight'!$A$5:$A$1749,0)),"")</f>
        <v>2.2210000000000001</v>
      </c>
      <c r="L235" s="225">
        <f>IFERROR(K235-(TBIcalc!$H$9+TBIcalc!$H$10),"")</f>
        <v>1.9712000000000001</v>
      </c>
      <c r="M235" s="391">
        <f>AVERAGE(Ashed_controlls!$K$12:$K$14)</f>
        <v>2.2816647271287041</v>
      </c>
      <c r="N235" s="225">
        <f t="shared" si="17"/>
        <v>1.926223824898839</v>
      </c>
      <c r="O235" s="225">
        <f>IF(IFERROR(INDEX('Both teabags AfterWet'!$C$3:$C$841,MATCH(J235,'Both teabags AfterWet'!$A$3:$A$841,0)),"")="","",(IFERROR(INDEX('Both teabags AfterWet'!$C$3:$C$841,MATCH(J235,'Both teabags AfterWet'!$A$3:$A$841,0)),"")))</f>
        <v>1.794</v>
      </c>
      <c r="P235" s="225">
        <f>IFERROR(IF(O235&gt;0,O235-(TBIcalc!$H$9),""),"")</f>
        <v>1.6434</v>
      </c>
      <c r="Q235" s="225">
        <f>IFERROR(INDEX('Ashed teabags wet'!$K$2:$K$821,MATCH(J235,'Ashed teabags wet'!$A$2:$A$821,0)),"")</f>
        <v>87.890437289764591</v>
      </c>
      <c r="R235" s="225">
        <f t="shared" si="21"/>
        <v>0.1990085535800088</v>
      </c>
      <c r="S235" s="226">
        <f>'WetLitterbags placem_collection'!E16</f>
        <v>42766</v>
      </c>
      <c r="T235" s="226">
        <f>IF('WetLitterbags placem_collection'!G16="","",'WetLitterbags placem_collection'!G16)</f>
        <v>42818</v>
      </c>
      <c r="U235" s="227">
        <f t="shared" si="18"/>
        <v>52</v>
      </c>
      <c r="V235" s="225">
        <f t="shared" si="19"/>
        <v>0.32780000000000009</v>
      </c>
      <c r="W235" s="225">
        <f t="shared" si="20"/>
        <v>1.7272152713188302</v>
      </c>
      <c r="X235">
        <f>IFERROR(INDEX(Rainfall_Wet!$O$2:$O$217,MATCH(B235, Rainfall_Wet!$A$2:$A$217,0)),"")</f>
        <v>194.43839254400001</v>
      </c>
      <c r="Y235" s="231">
        <v>21.13063730679653</v>
      </c>
      <c r="Z235" s="231">
        <v>3.0912555579081076</v>
      </c>
      <c r="AA235" s="231">
        <v>75.778107135295357</v>
      </c>
      <c r="AB235" s="232" t="s">
        <v>2670</v>
      </c>
      <c r="AC235" s="231">
        <v>5.4613109906357797</v>
      </c>
      <c r="AD235">
        <f>IF('WetLitterbags placem_collection'!AB16="","",'WetLitterbags placem_collection'!AB16)</f>
        <v>28.4</v>
      </c>
      <c r="AE235">
        <f>IF('WetLitterbags placem_collection'!Z16="","",'WetLitterbags placem_collection'!Z16)</f>
        <v>42.4</v>
      </c>
      <c r="AF235" s="246" t="str">
        <f>IF('WetLitterbags placem_collection'!AA16="","",'WetLitterbags placem_collection'!AA16)</f>
        <v>M</v>
      </c>
      <c r="AG235">
        <f>IF('WetLitterbags placem_collection'!AC16="","",'WetLitterbags placem_collection'!AC16)</f>
        <v>0</v>
      </c>
      <c r="AH235" s="240">
        <f>AVERAGE('WetLitterbags placem_collection'!S16,'WetLitterbags placem_collection'!U16)</f>
        <v>15.7</v>
      </c>
      <c r="AI235">
        <f>AVERAGE('WetLitterbags placem_collection'!R16,'WetLitterbags placem_collection'!T16)</f>
        <v>24.1</v>
      </c>
      <c r="AJ235">
        <f>INDEX(Coordinates!$B$2:$B$197,MATCH(G235,Coordinates!$J$2:$J$197,0))</f>
        <v>-3.397854986</v>
      </c>
      <c r="AK235">
        <f>INDEX(Coordinates!$C$2:$C$197,MATCH(G235,Coordinates!$J$2:$J$197,0))</f>
        <v>34.836874010000002</v>
      </c>
      <c r="AL235" t="str">
        <f>IF(ISNUMBER(SEARCH("C", 'WetLitterbags placem_collection'!W16)),"YES","NO")</f>
        <v>NO</v>
      </c>
      <c r="AM235" t="str">
        <f>IF(ISNUMBER(SEARCH("H", 'WetLitterbags placem_collection'!W16)),"YES","NO")</f>
        <v>YES</v>
      </c>
      <c r="AN235" t="str">
        <f>IF(ISNUMBER(SEARCH("R", 'WetLitterbags placem_collection'!W16)),"YES","NO")</f>
        <v>YES</v>
      </c>
    </row>
    <row r="236" spans="1:40" ht="15" customHeight="1">
      <c r="A236" s="258" t="s">
        <v>2460</v>
      </c>
      <c r="B236" s="263">
        <f>'Dry_Litterbag Placem_Collection'!A17</f>
        <v>15</v>
      </c>
      <c r="C236" s="263" t="str">
        <f>'Dry_Litterbag Placem_Collection'!B17</f>
        <v>Makao</v>
      </c>
      <c r="D236" s="263" t="s">
        <v>2659</v>
      </c>
      <c r="E236" s="263" t="s">
        <v>2660</v>
      </c>
      <c r="F236" s="263">
        <v>2</v>
      </c>
      <c r="G236" s="264" t="str">
        <f>'Dry_Litterbag Placem_Collection'!C17</f>
        <v>Dry_Ag2_T7</v>
      </c>
      <c r="H236" s="265" t="s">
        <v>2541</v>
      </c>
      <c r="I236" s="272" t="s">
        <v>298</v>
      </c>
      <c r="J236" s="223" t="str">
        <f>'WetLitterbags placem_collection'!M17</f>
        <v>R415</v>
      </c>
      <c r="K236" s="225">
        <f>IFERROR(INDEX('Green_rooibos initial weight'!$C$5:$C$1749,MATCH(J236, 'Green_rooibos initial weight'!$A$5:$A$1749,0)),"")</f>
        <v>2.2160000000000002</v>
      </c>
      <c r="L236" s="225">
        <f>IFERROR(K236-(TBIcalc!$H$9+TBIcalc!$H$10),"")</f>
        <v>1.9662000000000002</v>
      </c>
      <c r="M236" s="391">
        <f>AVERAGE(Ashed_controlls!$K$12:$K$14)</f>
        <v>2.2816647271287041</v>
      </c>
      <c r="N236" s="225">
        <f t="shared" si="17"/>
        <v>1.9213379081351956</v>
      </c>
      <c r="O236" s="225">
        <f>IF(IFERROR(INDEX('Both teabags AfterWet'!$C$3:$C$841,MATCH(J236,'Both teabags AfterWet'!$A$3:$A$841,0)),"")="","",(IFERROR(INDEX('Both teabags AfterWet'!$C$3:$C$841,MATCH(J236,'Both teabags AfterWet'!$A$3:$A$841,0)),"")))</f>
        <v>2.96</v>
      </c>
      <c r="P236" s="225">
        <f>IFERROR(IF(O236&gt;0,O236-(TBIcalc!$H$9),""),"")</f>
        <v>2.8094000000000001</v>
      </c>
      <c r="Q236" s="225">
        <f>IFERROR(INDEX('Ashed teabags wet'!$K$2:$K$821,MATCH(J236,'Ashed teabags wet'!$A$2:$A$821,0)),"")</f>
        <v>78.641732283464947</v>
      </c>
      <c r="R236" s="225">
        <f t="shared" si="21"/>
        <v>0.60003917322833589</v>
      </c>
      <c r="S236" s="226">
        <f>'WetLitterbags placem_collection'!E17</f>
        <v>42766</v>
      </c>
      <c r="T236" s="226">
        <f>IF('WetLitterbags placem_collection'!G17="","",'WetLitterbags placem_collection'!G17)</f>
        <v>42818</v>
      </c>
      <c r="U236" s="227">
        <f t="shared" si="18"/>
        <v>52</v>
      </c>
      <c r="V236" s="225">
        <f t="shared" si="19"/>
        <v>-0.84319999999999995</v>
      </c>
      <c r="W236" s="225">
        <f t="shared" si="20"/>
        <v>1.3212987349068597</v>
      </c>
      <c r="X236">
        <f>IFERROR(INDEX(Rainfall_Wet!$O$2:$O$217,MATCH(B236, Rainfall_Wet!$A$2:$A$217,0)),"")</f>
        <v>194.43839254400001</v>
      </c>
      <c r="Y236" s="231">
        <v>21.13063730679653</v>
      </c>
      <c r="Z236" s="231">
        <v>3.0912555579081076</v>
      </c>
      <c r="AA236" s="231">
        <v>75.778107135295357</v>
      </c>
      <c r="AB236" s="232" t="s">
        <v>2670</v>
      </c>
      <c r="AC236" s="231">
        <v>6.4613109906357797</v>
      </c>
      <c r="AD236">
        <f>IF('WetLitterbags placem_collection'!AB17="","",'WetLitterbags placem_collection'!AB17)</f>
        <v>15.8</v>
      </c>
      <c r="AE236">
        <f>IF('WetLitterbags placem_collection'!Z17="","",'WetLitterbags placem_collection'!Z17)</f>
        <v>30.4</v>
      </c>
      <c r="AF236" s="246" t="str">
        <f>IF('WetLitterbags placem_collection'!AA17="","",'WetLitterbags placem_collection'!AA17)</f>
        <v>M</v>
      </c>
      <c r="AG236">
        <f>IF('WetLitterbags placem_collection'!AC17="","",'WetLitterbags placem_collection'!AC17)</f>
        <v>0</v>
      </c>
      <c r="AH236" s="240">
        <f>AVERAGE('WetLitterbags placem_collection'!S17,'WetLitterbags placem_collection'!U17)</f>
        <v>23.9</v>
      </c>
      <c r="AI236">
        <f>AVERAGE('WetLitterbags placem_collection'!R17,'WetLitterbags placem_collection'!T17)</f>
        <v>23.95</v>
      </c>
      <c r="AJ236">
        <f>INDEX(Coordinates!$B$2:$B$197,MATCH(G236,Coordinates!$J$2:$J$197,0))</f>
        <v>-3.3978060349999999</v>
      </c>
      <c r="AK236">
        <f>INDEX(Coordinates!$C$2:$C$197,MATCH(G236,Coordinates!$J$2:$J$197,0))</f>
        <v>34.837023960000003</v>
      </c>
      <c r="AL236" t="str">
        <f>IF(ISNUMBER(SEARCH("C", 'WetLitterbags placem_collection'!W17)),"YES","NO")</f>
        <v>YES</v>
      </c>
      <c r="AM236" t="str">
        <f>IF(ISNUMBER(SEARCH("H", 'WetLitterbags placem_collection'!W17)),"YES","NO")</f>
        <v>YES</v>
      </c>
      <c r="AN236" t="str">
        <f>IF(ISNUMBER(SEARCH("R", 'WetLitterbags placem_collection'!W17)),"YES","NO")</f>
        <v>YES</v>
      </c>
    </row>
    <row r="237" spans="1:40" ht="15" customHeight="1">
      <c r="A237" s="258" t="s">
        <v>2460</v>
      </c>
      <c r="B237" s="263">
        <f>'Dry_Litterbag Placem_Collection'!A18</f>
        <v>16</v>
      </c>
      <c r="C237" s="263" t="str">
        <f>'Dry_Litterbag Placem_Collection'!B18</f>
        <v>Makao</v>
      </c>
      <c r="D237" s="263" t="s">
        <v>2659</v>
      </c>
      <c r="E237" s="263" t="s">
        <v>2660</v>
      </c>
      <c r="F237" s="263">
        <v>2</v>
      </c>
      <c r="G237" s="264" t="str">
        <f>'Dry_Litterbag Placem_Collection'!C18</f>
        <v>Dry_Ag2_T8</v>
      </c>
      <c r="H237" s="265" t="s">
        <v>2541</v>
      </c>
      <c r="I237" s="272" t="s">
        <v>298</v>
      </c>
      <c r="J237" s="223" t="str">
        <f>'WetLitterbags placem_collection'!M18</f>
        <v>R519</v>
      </c>
      <c r="K237" s="225">
        <f>IFERROR(INDEX('Green_rooibos initial weight'!$C$5:$C$1749,MATCH(J237, 'Green_rooibos initial weight'!$A$5:$A$1749,0)),"")</f>
        <v>2.21</v>
      </c>
      <c r="L237" s="225">
        <f>IFERROR(K237-(TBIcalc!$H$9+TBIcalc!$H$10),"")</f>
        <v>1.9601999999999999</v>
      </c>
      <c r="M237" s="391">
        <f>AVERAGE(Ashed_controlls!$K$12:$K$14)</f>
        <v>2.2816647271287041</v>
      </c>
      <c r="N237" s="225">
        <f t="shared" si="17"/>
        <v>1.9154748080188231</v>
      </c>
      <c r="O237" s="225">
        <f>IF(IFERROR(INDEX('Both teabags AfterWet'!$C$3:$C$841,MATCH(J237,'Both teabags AfterWet'!$A$3:$A$841,0)),"")="","",(IFERROR(INDEX('Both teabags AfterWet'!$C$3:$C$841,MATCH(J237,'Both teabags AfterWet'!$A$3:$A$841,0)),"")))</f>
        <v>1.4281999999999999</v>
      </c>
      <c r="P237" s="225">
        <f>IFERROR(IF(O237&gt;0,O237-(TBIcalc!$H$9),""),"")</f>
        <v>1.2775999999999998</v>
      </c>
      <c r="Q237" s="225">
        <f>IFERROR(INDEX('Ashed teabags wet'!$K$2:$K$821,MATCH(J237,'Ashed teabags wet'!$A$2:$A$821,0)),"")</f>
        <v>5.8709364386224854</v>
      </c>
      <c r="R237" s="225">
        <f t="shared" si="21"/>
        <v>1.2025929160601589</v>
      </c>
      <c r="S237" s="226">
        <f>'WetLitterbags placem_collection'!E18</f>
        <v>42766</v>
      </c>
      <c r="T237" s="226">
        <f>IF('WetLitterbags placem_collection'!G18="","",'WetLitterbags placem_collection'!G18)</f>
        <v>42818</v>
      </c>
      <c r="U237" s="227">
        <f t="shared" si="18"/>
        <v>52</v>
      </c>
      <c r="V237" s="225">
        <f t="shared" si="19"/>
        <v>0.6826000000000001</v>
      </c>
      <c r="W237" s="225">
        <f t="shared" si="20"/>
        <v>0.71288189195866414</v>
      </c>
      <c r="X237">
        <f>IFERROR(INDEX(Rainfall_Wet!$O$2:$O$217,MATCH(B237, Rainfall_Wet!$A$2:$A$217,0)),"")</f>
        <v>194.43839254400001</v>
      </c>
      <c r="Y237" s="231">
        <v>21.13063730679653</v>
      </c>
      <c r="Z237" s="231">
        <v>3.0912555579081076</v>
      </c>
      <c r="AA237" s="231">
        <v>75.778107135295357</v>
      </c>
      <c r="AB237" s="232" t="s">
        <v>2670</v>
      </c>
      <c r="AC237" s="231">
        <v>7.4613109906357797</v>
      </c>
      <c r="AD237">
        <f>IF('WetLitterbags placem_collection'!AB18="","",'WetLitterbags placem_collection'!AB18)</f>
        <v>8</v>
      </c>
      <c r="AE237">
        <f>IF('WetLitterbags placem_collection'!Z18="","",'WetLitterbags placem_collection'!Z18)</f>
        <v>12.4</v>
      </c>
      <c r="AF237" s="246" t="str">
        <f>IF('WetLitterbags placem_collection'!AA18="","",'WetLitterbags placem_collection'!AA18)</f>
        <v>M</v>
      </c>
      <c r="AG237">
        <f>IF('WetLitterbags placem_collection'!AC18="","",'WetLitterbags placem_collection'!AC18)</f>
        <v>0</v>
      </c>
      <c r="AH237" s="240">
        <f>AVERAGE('WetLitterbags placem_collection'!S18,'WetLitterbags placem_collection'!U18)</f>
        <v>17.5</v>
      </c>
      <c r="AI237">
        <f>AVERAGE('WetLitterbags placem_collection'!R18,'WetLitterbags placem_collection'!T18)</f>
        <v>24.05</v>
      </c>
      <c r="AJ237">
        <f>INDEX(Coordinates!$B$2:$B$197,MATCH(G237,Coordinates!$J$2:$J$197,0))</f>
        <v>-3.3977669760000002</v>
      </c>
      <c r="AK237">
        <f>INDEX(Coordinates!$C$2:$C$197,MATCH(G237,Coordinates!$J$2:$J$197,0))</f>
        <v>34.837181039999997</v>
      </c>
      <c r="AL237" t="str">
        <f>IF(ISNUMBER(SEARCH("C", 'WetLitterbags placem_collection'!W18)),"YES","NO")</f>
        <v>NO</v>
      </c>
      <c r="AM237" t="str">
        <f>IF(ISNUMBER(SEARCH("H", 'WetLitterbags placem_collection'!W18)),"YES","NO")</f>
        <v>YES</v>
      </c>
      <c r="AN237" t="str">
        <f>IF(ISNUMBER(SEARCH("R", 'WetLitterbags placem_collection'!W18)),"YES","NO")</f>
        <v>YES</v>
      </c>
    </row>
    <row r="238" spans="1:40" ht="15" customHeight="1">
      <c r="A238" s="258" t="s">
        <v>2460</v>
      </c>
      <c r="B238" s="263">
        <f>'Dry_Litterbag Placem_Collection'!A19</f>
        <v>17</v>
      </c>
      <c r="C238" s="263" t="str">
        <f>'Dry_Litterbag Placem_Collection'!B19</f>
        <v>Makao</v>
      </c>
      <c r="D238" s="263" t="s">
        <v>2659</v>
      </c>
      <c r="E238" s="263" t="s">
        <v>2660</v>
      </c>
      <c r="F238" s="263">
        <v>3</v>
      </c>
      <c r="G238" s="264" t="str">
        <f>'Dry_Litterbag Placem_Collection'!C19</f>
        <v>Dry_Ag3_T1</v>
      </c>
      <c r="H238" s="265" t="s">
        <v>2541</v>
      </c>
      <c r="I238" s="272" t="s">
        <v>298</v>
      </c>
      <c r="J238" s="223" t="str">
        <f>'WetLitterbags placem_collection'!M19</f>
        <v>R542</v>
      </c>
      <c r="K238" s="225">
        <f>IFERROR(INDEX('Green_rooibos initial weight'!$C$5:$C$1749,MATCH(J238, 'Green_rooibos initial weight'!$A$5:$A$1749,0)),"")</f>
        <v>2.2010000000000001</v>
      </c>
      <c r="L238" s="225">
        <f>IFERROR(K238-(TBIcalc!$H$9+TBIcalc!$H$10),"")</f>
        <v>1.9512</v>
      </c>
      <c r="M238" s="391">
        <f>AVERAGE(Ashed_controlls!$K$12:$K$14)</f>
        <v>2.2816647271287041</v>
      </c>
      <c r="N238" s="225">
        <f t="shared" si="17"/>
        <v>1.9066801578442647</v>
      </c>
      <c r="O238" s="225">
        <f>IF(IFERROR(INDEX('Both teabags AfterWet'!$C$3:$C$841,MATCH(J238,'Both teabags AfterWet'!$A$3:$A$841,0)),"")="","",(IFERROR(INDEX('Both teabags AfterWet'!$C$3:$C$841,MATCH(J238,'Both teabags AfterWet'!$A$3:$A$841,0)),"")))</f>
        <v>1.6227</v>
      </c>
      <c r="P238" s="225">
        <f>IFERROR(IF(O238&gt;0,O238-(TBIcalc!$H$9),""),"")</f>
        <v>1.4721</v>
      </c>
      <c r="Q238" s="225">
        <f>IFERROR(INDEX('Ashed teabags wet'!$K$2:$K$821,MATCH(J238,'Ashed teabags wet'!$A$2:$A$821,0)),"")</f>
        <v>7.361376673040378</v>
      </c>
      <c r="R238" s="225">
        <f t="shared" si="21"/>
        <v>1.3637331739961727</v>
      </c>
      <c r="S238" s="226">
        <f>'WetLitterbags placem_collection'!E19</f>
        <v>42767</v>
      </c>
      <c r="T238" s="226">
        <f>IF('WetLitterbags placem_collection'!G19="","",'WetLitterbags placem_collection'!G19)</f>
        <v>42818</v>
      </c>
      <c r="U238" s="227">
        <f t="shared" si="18"/>
        <v>51</v>
      </c>
      <c r="V238" s="225">
        <f t="shared" si="19"/>
        <v>0.47910000000000008</v>
      </c>
      <c r="W238" s="225">
        <f t="shared" si="20"/>
        <v>0.54294698384809204</v>
      </c>
      <c r="X238">
        <f>IFERROR(INDEX(Rainfall_Wet!$O$2:$O$217,MATCH(B238, Rainfall_Wet!$A$2:$A$217,0)),"")</f>
        <v>185.630065823</v>
      </c>
      <c r="Y238" s="231">
        <v>54.080969906906262</v>
      </c>
      <c r="Z238" s="231">
        <v>21.264484651351896</v>
      </c>
      <c r="AA238" s="231">
        <v>24.654545441741845</v>
      </c>
      <c r="AB238" s="232" t="s">
        <v>2673</v>
      </c>
      <c r="AC238" s="231">
        <v>1.8433218334154755</v>
      </c>
      <c r="AD238" t="str">
        <f>IF('WetLitterbags placem_collection'!AB19="","",'WetLitterbags placem_collection'!AB19)</f>
        <v/>
      </c>
      <c r="AE238" t="str">
        <f>IF('WetLitterbags placem_collection'!Z19="","",'WetLitterbags placem_collection'!Z19)</f>
        <v/>
      </c>
      <c r="AF238" s="246" t="str">
        <f>IF('WetLitterbags placem_collection'!AA19="","",'WetLitterbags placem_collection'!AA19)</f>
        <v/>
      </c>
      <c r="AG238" t="str">
        <f>IF('WetLitterbags placem_collection'!AC19="","",'WetLitterbags placem_collection'!AC19)</f>
        <v/>
      </c>
      <c r="AH238" s="240">
        <f>AVERAGE('WetLitterbags placem_collection'!S19,'WetLitterbags placem_collection'!U19)</f>
        <v>35.9</v>
      </c>
      <c r="AI238">
        <f>AVERAGE('WetLitterbags placem_collection'!R19,'WetLitterbags placem_collection'!T19)</f>
        <v>21.35</v>
      </c>
      <c r="AJ238">
        <f>INDEX(Coordinates!$B$2:$B$197,MATCH(G238,Coordinates!$J$2:$J$197,0))</f>
        <v>-3.3854090330000002</v>
      </c>
      <c r="AK238">
        <f>INDEX(Coordinates!$C$2:$C$197,MATCH(G238,Coordinates!$J$2:$J$197,0))</f>
        <v>34.818901029999999</v>
      </c>
      <c r="AL238" t="str">
        <f>IF(ISNUMBER(SEARCH("C", 'WetLitterbags placem_collection'!W19)),"YES","NO")</f>
        <v>NO</v>
      </c>
      <c r="AM238" t="str">
        <f>IF(ISNUMBER(SEARCH("H", 'WetLitterbags placem_collection'!W19)),"YES","NO")</f>
        <v>NO</v>
      </c>
      <c r="AN238" t="str">
        <f>IF(ISNUMBER(SEARCH("R", 'WetLitterbags placem_collection'!W19)),"YES","NO")</f>
        <v>YES</v>
      </c>
    </row>
    <row r="239" spans="1:40" ht="15" customHeight="1">
      <c r="A239" s="258" t="s">
        <v>2460</v>
      </c>
      <c r="B239" s="263">
        <f>'Dry_Litterbag Placem_Collection'!A20</f>
        <v>18</v>
      </c>
      <c r="C239" s="263" t="str">
        <f>'Dry_Litterbag Placem_Collection'!B20</f>
        <v>Makao</v>
      </c>
      <c r="D239" s="263" t="s">
        <v>2659</v>
      </c>
      <c r="E239" s="263" t="s">
        <v>2660</v>
      </c>
      <c r="F239" s="263">
        <v>3</v>
      </c>
      <c r="G239" s="264" t="str">
        <f>'Dry_Litterbag Placem_Collection'!C20</f>
        <v>Dry_Ag3_T2</v>
      </c>
      <c r="H239" s="265" t="s">
        <v>2541</v>
      </c>
      <c r="I239" s="272" t="s">
        <v>298</v>
      </c>
      <c r="J239" s="223" t="str">
        <f>'WetLitterbags placem_collection'!M20</f>
        <v>R128</v>
      </c>
      <c r="K239" s="225">
        <f>IFERROR(INDEX('Green_rooibos initial weight'!$C$5:$C$1749,MATCH(J239, 'Green_rooibos initial weight'!$A$5:$A$1749,0)),"")</f>
        <v>2.2370000000000001</v>
      </c>
      <c r="L239" s="225">
        <f>IFERROR(K239-(TBIcalc!$H$9+TBIcalc!$H$10),"")</f>
        <v>1.9872000000000001</v>
      </c>
      <c r="M239" s="391">
        <f>AVERAGE(Ashed_controlls!$K$12:$K$14)</f>
        <v>2.2816647271287041</v>
      </c>
      <c r="N239" s="225">
        <f t="shared" si="17"/>
        <v>1.9418587585424985</v>
      </c>
      <c r="O239" s="225">
        <f>IF(IFERROR(INDEX('Both teabags AfterWet'!$C$3:$C$841,MATCH(J239,'Both teabags AfterWet'!$A$3:$A$841,0)),"")="","",(IFERROR(INDEX('Both teabags AfterWet'!$C$3:$C$841,MATCH(J239,'Both teabags AfterWet'!$A$3:$A$841,0)),"")))</f>
        <v>1.79</v>
      </c>
      <c r="P239" s="225">
        <f>IFERROR(IF(O239&gt;0,O239-(TBIcalc!$H$9),""),"")</f>
        <v>1.6394</v>
      </c>
      <c r="Q239" s="225">
        <f>IFERROR(INDEX('Ashed teabags wet'!$K$2:$K$821,MATCH(J239,'Ashed teabags wet'!$A$2:$A$821,0)),"")</f>
        <v>6.4723320158097151</v>
      </c>
      <c r="R239" s="225">
        <f t="shared" si="21"/>
        <v>1.5332925889328155</v>
      </c>
      <c r="S239" s="226">
        <f>'WetLitterbags placem_collection'!E20</f>
        <v>42767</v>
      </c>
      <c r="T239" s="226">
        <f>IF('WetLitterbags placem_collection'!G20="","",'WetLitterbags placem_collection'!G20)</f>
        <v>42818</v>
      </c>
      <c r="U239" s="227">
        <f t="shared" si="18"/>
        <v>51</v>
      </c>
      <c r="V239" s="225">
        <f t="shared" si="19"/>
        <v>0.34780000000000011</v>
      </c>
      <c r="W239" s="225">
        <f t="shared" si="20"/>
        <v>0.40856616960968295</v>
      </c>
      <c r="X239">
        <f>IFERROR(INDEX(Rainfall_Wet!$O$2:$O$217,MATCH(B239, Rainfall_Wet!$A$2:$A$217,0)),"")</f>
        <v>185.630065823</v>
      </c>
      <c r="Y239" s="231">
        <v>54.080969906906262</v>
      </c>
      <c r="Z239" s="231">
        <v>21.264484651351896</v>
      </c>
      <c r="AA239" s="231">
        <v>24.654545441741845</v>
      </c>
      <c r="AB239" s="232" t="s">
        <v>2673</v>
      </c>
      <c r="AC239" s="231">
        <v>2.8433218334154802</v>
      </c>
      <c r="AD239" t="str">
        <f>IF('WetLitterbags placem_collection'!AB20="","",'WetLitterbags placem_collection'!AB20)</f>
        <v/>
      </c>
      <c r="AE239" t="str">
        <f>IF('WetLitterbags placem_collection'!Z20="","",'WetLitterbags placem_collection'!Z20)</f>
        <v/>
      </c>
      <c r="AF239" s="246" t="str">
        <f>IF('WetLitterbags placem_collection'!AA20="","",'WetLitterbags placem_collection'!AA20)</f>
        <v/>
      </c>
      <c r="AG239" t="str">
        <f>IF('WetLitterbags placem_collection'!AC20="","",'WetLitterbags placem_collection'!AC20)</f>
        <v/>
      </c>
      <c r="AH239" s="240">
        <f>AVERAGE('WetLitterbags placem_collection'!S20,'WetLitterbags placem_collection'!U20)</f>
        <v>36.950000000000003</v>
      </c>
      <c r="AI239">
        <f>AVERAGE('WetLitterbags placem_collection'!R20,'WetLitterbags placem_collection'!T20)</f>
        <v>21.35</v>
      </c>
      <c r="AJ239">
        <f>INDEX(Coordinates!$B$2:$B$197,MATCH(G239,Coordinates!$J$2:$J$197,0))</f>
        <v>-3.385375002</v>
      </c>
      <c r="AK239">
        <f>INDEX(Coordinates!$C$2:$C$197,MATCH(G239,Coordinates!$J$2:$J$197,0))</f>
        <v>34.818939999999998</v>
      </c>
      <c r="AL239" t="str">
        <f>IF(ISNUMBER(SEARCH("C", 'WetLitterbags placem_collection'!W20)),"YES","NO")</f>
        <v>NO</v>
      </c>
      <c r="AM239" t="str">
        <f>IF(ISNUMBER(SEARCH("H", 'WetLitterbags placem_collection'!W20)),"YES","NO")</f>
        <v>NO</v>
      </c>
      <c r="AN239" t="str">
        <f>IF(ISNUMBER(SEARCH("R", 'WetLitterbags placem_collection'!W20)),"YES","NO")</f>
        <v>NO</v>
      </c>
    </row>
    <row r="240" spans="1:40" ht="15" customHeight="1">
      <c r="A240" s="258" t="s">
        <v>2460</v>
      </c>
      <c r="B240" s="263">
        <f>'Dry_Litterbag Placem_Collection'!A21</f>
        <v>19</v>
      </c>
      <c r="C240" s="263" t="str">
        <f>'Dry_Litterbag Placem_Collection'!B21</f>
        <v>Makao</v>
      </c>
      <c r="D240" s="263" t="s">
        <v>2659</v>
      </c>
      <c r="E240" s="263" t="s">
        <v>2660</v>
      </c>
      <c r="F240" s="263">
        <v>3</v>
      </c>
      <c r="G240" s="264" t="str">
        <f>'Dry_Litterbag Placem_Collection'!C21</f>
        <v>Dry_Ag3_T3</v>
      </c>
      <c r="H240" s="265" t="s">
        <v>2541</v>
      </c>
      <c r="I240" s="272" t="s">
        <v>298</v>
      </c>
      <c r="J240" s="223" t="str">
        <f>'WetLitterbags placem_collection'!M21</f>
        <v>R82</v>
      </c>
      <c r="K240" s="225">
        <f>IFERROR(INDEX('Green_rooibos initial weight'!$C$5:$C$1749,MATCH(J240, 'Green_rooibos initial weight'!$A$5:$A$1749,0)),"")</f>
        <v>2.2490000000000001</v>
      </c>
      <c r="L240" s="225">
        <f>IFERROR(K240-(TBIcalc!$H$9+TBIcalc!$H$10),"")</f>
        <v>1.9992000000000001</v>
      </c>
      <c r="M240" s="391">
        <f>AVERAGE(Ashed_controlls!$K$12:$K$14)</f>
        <v>2.2816647271287041</v>
      </c>
      <c r="N240" s="225">
        <f t="shared" si="17"/>
        <v>1.953584958775243</v>
      </c>
      <c r="O240" s="225">
        <f>IF(IFERROR(INDEX('Both teabags AfterWet'!$C$3:$C$841,MATCH(J240,'Both teabags AfterWet'!$A$3:$A$841,0)),"")="","",(IFERROR(INDEX('Both teabags AfterWet'!$C$3:$C$841,MATCH(J240,'Both teabags AfterWet'!$A$3:$A$841,0)),"")))</f>
        <v>1.514</v>
      </c>
      <c r="P240" s="225">
        <f>IFERROR(IF(O240&gt;0,O240-(TBIcalc!$H$9),""),"")</f>
        <v>1.3633999999999999</v>
      </c>
      <c r="Q240" s="225">
        <f>IFERROR(INDEX('Ashed teabags wet'!$K$2:$K$821,MATCH(J240,'Ashed teabags wet'!$A$2:$A$821,0)),"")</f>
        <v>11.013215859030426</v>
      </c>
      <c r="R240" s="225">
        <f t="shared" si="21"/>
        <v>1.213245814977979</v>
      </c>
      <c r="S240" s="226">
        <f>'WetLitterbags placem_collection'!E21</f>
        <v>42767</v>
      </c>
      <c r="T240" s="226">
        <f>IF('WetLitterbags placem_collection'!G21="","",'WetLitterbags placem_collection'!G21)</f>
        <v>42818</v>
      </c>
      <c r="U240" s="227">
        <f t="shared" si="18"/>
        <v>51</v>
      </c>
      <c r="V240" s="225">
        <f t="shared" si="19"/>
        <v>0.63580000000000014</v>
      </c>
      <c r="W240" s="225">
        <f t="shared" si="20"/>
        <v>0.74033914379726395</v>
      </c>
      <c r="X240">
        <f>IFERROR(INDEX(Rainfall_Wet!$O$2:$O$217,MATCH(B240, Rainfall_Wet!$A$2:$A$217,0)),"")</f>
        <v>185.630065823</v>
      </c>
      <c r="Y240" s="231">
        <v>54.080969906906262</v>
      </c>
      <c r="Z240" s="231">
        <v>21.264484651351896</v>
      </c>
      <c r="AA240" s="231">
        <v>24.654545441741845</v>
      </c>
      <c r="AB240" s="232" t="s">
        <v>2673</v>
      </c>
      <c r="AC240" s="231">
        <v>3.8433218334154802</v>
      </c>
      <c r="AD240" t="str">
        <f>IF('WetLitterbags placem_collection'!AB21="","",'WetLitterbags placem_collection'!AB21)</f>
        <v/>
      </c>
      <c r="AE240" t="str">
        <f>IF('WetLitterbags placem_collection'!Z21="","",'WetLitterbags placem_collection'!Z21)</f>
        <v/>
      </c>
      <c r="AF240" s="246" t="str">
        <f>IF('WetLitterbags placem_collection'!AA21="","",'WetLitterbags placem_collection'!AA21)</f>
        <v/>
      </c>
      <c r="AG240" t="str">
        <f>IF('WetLitterbags placem_collection'!AC21="","",'WetLitterbags placem_collection'!AC21)</f>
        <v/>
      </c>
      <c r="AH240" s="240">
        <f>AVERAGE('WetLitterbags placem_collection'!S21,'WetLitterbags placem_collection'!U21)</f>
        <v>39.299999999999997</v>
      </c>
      <c r="AI240">
        <f>AVERAGE('WetLitterbags placem_collection'!R21,'WetLitterbags placem_collection'!T21)</f>
        <v>21.1</v>
      </c>
      <c r="AJ240">
        <f>INDEX(Coordinates!$B$2:$B$197,MATCH(G240,Coordinates!$J$2:$J$197,0))</f>
        <v>-3.3853589930000001</v>
      </c>
      <c r="AK240">
        <f>INDEX(Coordinates!$C$2:$C$197,MATCH(G240,Coordinates!$J$2:$J$197,0))</f>
        <v>34.818991969999999</v>
      </c>
      <c r="AL240" t="str">
        <f>IF(ISNUMBER(SEARCH("C", 'WetLitterbags placem_collection'!W21)),"YES","NO")</f>
        <v>NO</v>
      </c>
      <c r="AM240" t="str">
        <f>IF(ISNUMBER(SEARCH("H", 'WetLitterbags placem_collection'!W21)),"YES","NO")</f>
        <v>NO</v>
      </c>
      <c r="AN240" t="str">
        <f>IF(ISNUMBER(SEARCH("R", 'WetLitterbags placem_collection'!W21)),"YES","NO")</f>
        <v>NO</v>
      </c>
    </row>
    <row r="241" spans="1:40" ht="15" customHeight="1">
      <c r="A241" s="258" t="s">
        <v>2460</v>
      </c>
      <c r="B241" s="263">
        <f>'Dry_Litterbag Placem_Collection'!A22</f>
        <v>20</v>
      </c>
      <c r="C241" s="263" t="str">
        <f>'Dry_Litterbag Placem_Collection'!B22</f>
        <v>Makao</v>
      </c>
      <c r="D241" s="263" t="s">
        <v>2659</v>
      </c>
      <c r="E241" s="263" t="s">
        <v>2660</v>
      </c>
      <c r="F241" s="263">
        <v>3</v>
      </c>
      <c r="G241" s="264" t="str">
        <f>'Dry_Litterbag Placem_Collection'!C22</f>
        <v>Dry_Ag3_T4</v>
      </c>
      <c r="H241" s="265" t="s">
        <v>2541</v>
      </c>
      <c r="I241" s="272" t="s">
        <v>298</v>
      </c>
      <c r="J241" s="223" t="str">
        <f>'WetLitterbags placem_collection'!M22</f>
        <v>R50</v>
      </c>
      <c r="K241" s="225">
        <f>IFERROR(INDEX('Green_rooibos initial weight'!$C$5:$C$1749,MATCH(J241, 'Green_rooibos initial weight'!$A$5:$A$1749,0)),"")</f>
        <v>2.2490000000000001</v>
      </c>
      <c r="L241" s="225">
        <f>IFERROR(K241-(TBIcalc!$H$9+TBIcalc!$H$10),"")</f>
        <v>1.9992000000000001</v>
      </c>
      <c r="M241" s="391">
        <f>AVERAGE(Ashed_controlls!$K$12:$K$14)</f>
        <v>2.2816647271287041</v>
      </c>
      <c r="N241" s="225">
        <f t="shared" si="17"/>
        <v>1.953584958775243</v>
      </c>
      <c r="O241" s="225">
        <f>IF(IFERROR(INDEX('Both teabags AfterWet'!$C$3:$C$841,MATCH(J241,'Both teabags AfterWet'!$A$3:$A$841,0)),"")="","",(IFERROR(INDEX('Both teabags AfterWet'!$C$3:$C$841,MATCH(J241,'Both teabags AfterWet'!$A$3:$A$841,0)),"")))</f>
        <v>1.51</v>
      </c>
      <c r="P241" s="225">
        <f>IFERROR(IF(O241&gt;0,O241-(TBIcalc!$H$9),""),"")</f>
        <v>1.3593999999999999</v>
      </c>
      <c r="Q241" s="225">
        <f>IFERROR(INDEX('Ashed teabags wet'!$K$2:$K$821,MATCH(J241,'Ashed teabags wet'!$A$2:$A$821,0)),"")</f>
        <v>8.4126189283921065</v>
      </c>
      <c r="R241" s="225">
        <f t="shared" si="21"/>
        <v>1.2450388582874377</v>
      </c>
      <c r="S241" s="226">
        <f>'WetLitterbags placem_collection'!E22</f>
        <v>42767</v>
      </c>
      <c r="T241" s="226">
        <f>IF('WetLitterbags placem_collection'!G22="","",'WetLitterbags placem_collection'!G22)</f>
        <v>42818</v>
      </c>
      <c r="U241" s="227">
        <f t="shared" si="18"/>
        <v>51</v>
      </c>
      <c r="V241" s="225">
        <f t="shared" si="19"/>
        <v>0.63980000000000015</v>
      </c>
      <c r="W241" s="225">
        <f t="shared" si="20"/>
        <v>0.70854610048780531</v>
      </c>
      <c r="X241">
        <f>IFERROR(INDEX(Rainfall_Wet!$O$2:$O$217,MATCH(B241, Rainfall_Wet!$A$2:$A$217,0)),"")</f>
        <v>185.630065823</v>
      </c>
      <c r="Y241" s="231">
        <v>54.080969906906262</v>
      </c>
      <c r="Z241" s="231">
        <v>21.264484651351896</v>
      </c>
      <c r="AA241" s="231">
        <v>24.654545441741845</v>
      </c>
      <c r="AB241" s="232" t="s">
        <v>2673</v>
      </c>
      <c r="AC241" s="231">
        <v>4.8433218334154802</v>
      </c>
      <c r="AD241" t="str">
        <f>IF('WetLitterbags placem_collection'!AB22="","",'WetLitterbags placem_collection'!AB22)</f>
        <v/>
      </c>
      <c r="AE241" t="str">
        <f>IF('WetLitterbags placem_collection'!Z22="","",'WetLitterbags placem_collection'!Z22)</f>
        <v/>
      </c>
      <c r="AF241" s="246" t="str">
        <f>IF('WetLitterbags placem_collection'!AA22="","",'WetLitterbags placem_collection'!AA22)</f>
        <v/>
      </c>
      <c r="AG241" t="str">
        <f>IF('WetLitterbags placem_collection'!AC22="","",'WetLitterbags placem_collection'!AC22)</f>
        <v/>
      </c>
      <c r="AH241" s="240">
        <f>AVERAGE('WetLitterbags placem_collection'!S22,'WetLitterbags placem_collection'!U22)</f>
        <v>40.049999999999997</v>
      </c>
      <c r="AI241">
        <f>AVERAGE('WetLitterbags placem_collection'!R22,'WetLitterbags placem_collection'!T22)</f>
        <v>21.35</v>
      </c>
      <c r="AJ241">
        <f>INDEX(Coordinates!$B$2:$B$197,MATCH(G241,Coordinates!$J$2:$J$197,0))</f>
        <v>-3.3853969629999998</v>
      </c>
      <c r="AK241">
        <f>INDEX(Coordinates!$C$2:$C$197,MATCH(G241,Coordinates!$J$2:$J$197,0))</f>
        <v>34.818977969999999</v>
      </c>
      <c r="AL241" t="str">
        <f>IF(ISNUMBER(SEARCH("C", 'WetLitterbags placem_collection'!W22)),"YES","NO")</f>
        <v>NO</v>
      </c>
      <c r="AM241" t="str">
        <f>IF(ISNUMBER(SEARCH("H", 'WetLitterbags placem_collection'!W22)),"YES","NO")</f>
        <v>NO</v>
      </c>
      <c r="AN241" t="str">
        <f>IF(ISNUMBER(SEARCH("R", 'WetLitterbags placem_collection'!W22)),"YES","NO")</f>
        <v>NO</v>
      </c>
    </row>
    <row r="242" spans="1:40" ht="15" customHeight="1">
      <c r="A242" s="258" t="s">
        <v>2460</v>
      </c>
      <c r="B242" s="263">
        <f>'Dry_Litterbag Placem_Collection'!A23</f>
        <v>21</v>
      </c>
      <c r="C242" s="263" t="str">
        <f>'Dry_Litterbag Placem_Collection'!B23</f>
        <v>Makao</v>
      </c>
      <c r="D242" s="263" t="s">
        <v>2659</v>
      </c>
      <c r="E242" s="263" t="s">
        <v>2660</v>
      </c>
      <c r="F242" s="263">
        <v>3</v>
      </c>
      <c r="G242" s="264" t="str">
        <f>'Dry_Litterbag Placem_Collection'!C23</f>
        <v>Dry_Ag3_T5</v>
      </c>
      <c r="H242" s="265" t="s">
        <v>2541</v>
      </c>
      <c r="I242" s="272" t="s">
        <v>298</v>
      </c>
      <c r="J242" s="223" t="str">
        <f>'WetLitterbags placem_collection'!M23</f>
        <v>R529</v>
      </c>
      <c r="K242" s="225">
        <f>IFERROR(INDEX('Green_rooibos initial weight'!$C$5:$C$1749,MATCH(J242, 'Green_rooibos initial weight'!$A$5:$A$1749,0)),"")</f>
        <v>2.157</v>
      </c>
      <c r="L242" s="225">
        <f>IFERROR(K242-(TBIcalc!$H$9+TBIcalc!$H$10),"")</f>
        <v>1.9072</v>
      </c>
      <c r="M242" s="391">
        <f>AVERAGE(Ashed_controlls!$K$12:$K$14)</f>
        <v>2.2816647271287041</v>
      </c>
      <c r="N242" s="225">
        <f t="shared" si="17"/>
        <v>1.8636840903242013</v>
      </c>
      <c r="O242" s="225">
        <f>IF(IFERROR(INDEX('Both teabags AfterWet'!$C$3:$C$841,MATCH(J242,'Both teabags AfterWet'!$A$3:$A$841,0)),"")="","",(IFERROR(INDEX('Both teabags AfterWet'!$C$3:$C$841,MATCH(J242,'Both teabags AfterWet'!$A$3:$A$841,0)),"")))</f>
        <v>1.4387000000000001</v>
      </c>
      <c r="P242" s="225">
        <f>IFERROR(IF(O242&gt;0,O242-(TBIcalc!$H$9),""),"")</f>
        <v>1.2881</v>
      </c>
      <c r="Q242" s="225">
        <f>IFERROR(INDEX('Ashed teabags wet'!$K$2:$K$821,MATCH(J242,'Ashed teabags wet'!$A$2:$A$821,0)),"")</f>
        <v>6.9930069930072492</v>
      </c>
      <c r="R242" s="225">
        <f t="shared" si="21"/>
        <v>1.1980230769230737</v>
      </c>
      <c r="S242" s="226">
        <f>'WetLitterbags placem_collection'!E23</f>
        <v>42767</v>
      </c>
      <c r="T242" s="226">
        <f>IF('WetLitterbags placem_collection'!G23="","",'WetLitterbags placem_collection'!G23)</f>
        <v>42818</v>
      </c>
      <c r="U242" s="227">
        <f t="shared" si="18"/>
        <v>51</v>
      </c>
      <c r="V242" s="225">
        <f t="shared" si="19"/>
        <v>0.61909999999999998</v>
      </c>
      <c r="W242" s="225">
        <f t="shared" si="20"/>
        <v>0.6656610134011276</v>
      </c>
      <c r="X242">
        <f>IFERROR(INDEX(Rainfall_Wet!$O$2:$O$217,MATCH(B242, Rainfall_Wet!$A$2:$A$217,0)),"")</f>
        <v>185.630065823</v>
      </c>
      <c r="Y242" s="231">
        <v>54.080969906906262</v>
      </c>
      <c r="Z242" s="231">
        <v>21.264484651351896</v>
      </c>
      <c r="AA242" s="231">
        <v>24.654545441741845</v>
      </c>
      <c r="AB242" s="232" t="s">
        <v>2673</v>
      </c>
      <c r="AC242" s="231">
        <v>5.8433218334154802</v>
      </c>
      <c r="AD242" t="str">
        <f>IF('WetLitterbags placem_collection'!AB23="","",'WetLitterbags placem_collection'!AB23)</f>
        <v/>
      </c>
      <c r="AE242" t="str">
        <f>IF('WetLitterbags placem_collection'!Z23="","",'WetLitterbags placem_collection'!Z23)</f>
        <v/>
      </c>
      <c r="AF242" s="246" t="str">
        <f>IF('WetLitterbags placem_collection'!AA23="","",'WetLitterbags placem_collection'!AA23)</f>
        <v/>
      </c>
      <c r="AG242" t="str">
        <f>IF('WetLitterbags placem_collection'!AC23="","",'WetLitterbags placem_collection'!AC23)</f>
        <v/>
      </c>
      <c r="AH242" s="240">
        <f>AVERAGE('WetLitterbags placem_collection'!S23,'WetLitterbags placem_collection'!U23)</f>
        <v>34.150000000000006</v>
      </c>
      <c r="AI242">
        <f>AVERAGE('WetLitterbags placem_collection'!R23,'WetLitterbags placem_collection'!T23)</f>
        <v>20.6</v>
      </c>
      <c r="AJ242">
        <f>INDEX(Coordinates!$B$2:$B$197,MATCH(G242,Coordinates!$J$2:$J$197,0))</f>
        <v>-3.3854019919999998</v>
      </c>
      <c r="AK242">
        <f>INDEX(Coordinates!$C$2:$C$197,MATCH(G242,Coordinates!$J$2:$J$197,0))</f>
        <v>34.81894604</v>
      </c>
      <c r="AL242" t="str">
        <f>IF(ISNUMBER(SEARCH("C", 'WetLitterbags placem_collection'!W23)),"YES","NO")</f>
        <v>NO</v>
      </c>
      <c r="AM242" t="str">
        <f>IF(ISNUMBER(SEARCH("H", 'WetLitterbags placem_collection'!W23)),"YES","NO")</f>
        <v>NO</v>
      </c>
      <c r="AN242" t="str">
        <f>IF(ISNUMBER(SEARCH("R", 'WetLitterbags placem_collection'!W23)),"YES","NO")</f>
        <v>YES</v>
      </c>
    </row>
    <row r="243" spans="1:40" ht="15" customHeight="1">
      <c r="A243" s="258" t="s">
        <v>2460</v>
      </c>
      <c r="B243" s="263">
        <f>'Dry_Litterbag Placem_Collection'!A24</f>
        <v>22</v>
      </c>
      <c r="C243" s="263" t="str">
        <f>'Dry_Litterbag Placem_Collection'!B24</f>
        <v>Makao</v>
      </c>
      <c r="D243" s="263" t="s">
        <v>2659</v>
      </c>
      <c r="E243" s="263" t="s">
        <v>2660</v>
      </c>
      <c r="F243" s="263">
        <v>3</v>
      </c>
      <c r="G243" s="264" t="str">
        <f>'Dry_Litterbag Placem_Collection'!C24</f>
        <v>Dry_Ag3_T6</v>
      </c>
      <c r="H243" s="265" t="s">
        <v>2541</v>
      </c>
      <c r="I243" s="272" t="s">
        <v>298</v>
      </c>
      <c r="J243" s="223" t="str">
        <f>'WetLitterbags placem_collection'!M24</f>
        <v>R363</v>
      </c>
      <c r="K243" s="225">
        <f>IFERROR(INDEX('Green_rooibos initial weight'!$C$5:$C$1749,MATCH(J243, 'Green_rooibos initial weight'!$A$5:$A$1749,0)),"")</f>
        <v>2.1659999999999999</v>
      </c>
      <c r="L243" s="225">
        <f>IFERROR(K243-(TBIcalc!$H$9+TBIcalc!$H$10),"")</f>
        <v>1.9161999999999999</v>
      </c>
      <c r="M243" s="391">
        <f>AVERAGE(Ashed_controlls!$K$12:$K$14)</f>
        <v>2.2816647271287041</v>
      </c>
      <c r="N243" s="225">
        <f t="shared" si="17"/>
        <v>1.8724787404987597</v>
      </c>
      <c r="O243" s="225">
        <f>IF(IFERROR(INDEX('Both teabags AfterWet'!$C$3:$C$841,MATCH(J243,'Both teabags AfterWet'!$A$3:$A$841,0)),"")="","",(IFERROR(INDEX('Both teabags AfterWet'!$C$3:$C$841,MATCH(J243,'Both teabags AfterWet'!$A$3:$A$841,0)),"")))</f>
        <v>1.5164</v>
      </c>
      <c r="P243" s="225">
        <f>IFERROR(IF(O243&gt;0,O243-(TBIcalc!$H$9),""),"")</f>
        <v>1.3657999999999999</v>
      </c>
      <c r="Q243" s="225">
        <f>IFERROR(INDEX('Ashed teabags wet'!$K$2:$K$821,MATCH(J243,'Ashed teabags wet'!$A$2:$A$821,0)),"")</f>
        <v>3.5079051383401243</v>
      </c>
      <c r="R243" s="225">
        <f t="shared" si="21"/>
        <v>1.3178890316205505</v>
      </c>
      <c r="S243" s="226">
        <f>'WetLitterbags placem_collection'!E24</f>
        <v>42767</v>
      </c>
      <c r="T243" s="226">
        <f>IF('WetLitterbags placem_collection'!G24="","",'WetLitterbags placem_collection'!G24)</f>
        <v>42818</v>
      </c>
      <c r="U243" s="227">
        <f t="shared" si="18"/>
        <v>51</v>
      </c>
      <c r="V243" s="225">
        <f t="shared" si="19"/>
        <v>0.5504</v>
      </c>
      <c r="W243" s="225">
        <f t="shared" si="20"/>
        <v>0.55458970887820924</v>
      </c>
      <c r="X243">
        <f>IFERROR(INDEX(Rainfall_Wet!$O$2:$O$217,MATCH(B243, Rainfall_Wet!$A$2:$A$217,0)),"")</f>
        <v>185.630065823</v>
      </c>
      <c r="Y243" s="231">
        <v>54.080969906906262</v>
      </c>
      <c r="Z243" s="231">
        <v>21.264484651351896</v>
      </c>
      <c r="AA243" s="231">
        <v>24.654545441741845</v>
      </c>
      <c r="AB243" s="232" t="s">
        <v>2673</v>
      </c>
      <c r="AC243" s="231">
        <v>6.8433218334154802</v>
      </c>
      <c r="AD243" t="str">
        <f>IF('WetLitterbags placem_collection'!AB24="","",'WetLitterbags placem_collection'!AB24)</f>
        <v/>
      </c>
      <c r="AE243" t="str">
        <f>IF('WetLitterbags placem_collection'!Z24="","",'WetLitterbags placem_collection'!Z24)</f>
        <v/>
      </c>
      <c r="AF243" s="246" t="str">
        <f>IF('WetLitterbags placem_collection'!AA24="","",'WetLitterbags placem_collection'!AA24)</f>
        <v/>
      </c>
      <c r="AG243" t="str">
        <f>IF('WetLitterbags placem_collection'!AC24="","",'WetLitterbags placem_collection'!AC24)</f>
        <v/>
      </c>
      <c r="AH243" s="240">
        <f>AVERAGE('WetLitterbags placem_collection'!S24,'WetLitterbags placem_collection'!U24)</f>
        <v>34.549999999999997</v>
      </c>
      <c r="AI243">
        <f>AVERAGE('WetLitterbags placem_collection'!R24,'WetLitterbags placem_collection'!T24)</f>
        <v>21.5</v>
      </c>
      <c r="AJ243">
        <f>INDEX(Coordinates!$B$2:$B$197,MATCH(G243,Coordinates!$J$2:$J$197,0))</f>
        <v>-3.3854470029999999</v>
      </c>
      <c r="AK243">
        <f>INDEX(Coordinates!$C$2:$C$197,MATCH(G243,Coordinates!$J$2:$J$197,0))</f>
        <v>34.818946959999998</v>
      </c>
      <c r="AL243" t="str">
        <f>IF(ISNUMBER(SEARCH("C", 'WetLitterbags placem_collection'!W24)),"YES","NO")</f>
        <v>NO</v>
      </c>
      <c r="AM243" t="str">
        <f>IF(ISNUMBER(SEARCH("H", 'WetLitterbags placem_collection'!W24)),"YES","NO")</f>
        <v>NO</v>
      </c>
      <c r="AN243" t="str">
        <f>IF(ISNUMBER(SEARCH("R", 'WetLitterbags placem_collection'!W24)),"YES","NO")</f>
        <v>NO</v>
      </c>
    </row>
    <row r="244" spans="1:40" ht="15" customHeight="1">
      <c r="A244" s="258" t="s">
        <v>2460</v>
      </c>
      <c r="B244" s="263">
        <f>'Dry_Litterbag Placem_Collection'!A25</f>
        <v>23</v>
      </c>
      <c r="C244" s="263" t="str">
        <f>'Dry_Litterbag Placem_Collection'!B25</f>
        <v>Makao</v>
      </c>
      <c r="D244" s="263" t="s">
        <v>2659</v>
      </c>
      <c r="E244" s="263" t="s">
        <v>2660</v>
      </c>
      <c r="F244" s="263">
        <v>3</v>
      </c>
      <c r="G244" s="264" t="str">
        <f>'Dry_Litterbag Placem_Collection'!C25</f>
        <v>Dry_Ag3_T7</v>
      </c>
      <c r="H244" s="265" t="s">
        <v>2541</v>
      </c>
      <c r="I244" s="272" t="s">
        <v>298</v>
      </c>
      <c r="J244" s="223" t="str">
        <f>'WetLitterbags placem_collection'!M25</f>
        <v>R190</v>
      </c>
      <c r="K244" s="225">
        <f>IFERROR(INDEX('Green_rooibos initial weight'!$C$5:$C$1749,MATCH(J244, 'Green_rooibos initial weight'!$A$5:$A$1749,0)),"")</f>
        <v>2.2240000000000002</v>
      </c>
      <c r="L244" s="225">
        <f>IFERROR(K244-(TBIcalc!$H$9+TBIcalc!$H$10),"")</f>
        <v>1.9742000000000002</v>
      </c>
      <c r="M244" s="391">
        <f>AVERAGE(Ashed_controlls!$K$12:$K$14)</f>
        <v>2.2816647271287041</v>
      </c>
      <c r="N244" s="225">
        <f t="shared" si="17"/>
        <v>1.9291553749570254</v>
      </c>
      <c r="O244" s="225">
        <f>IF(IFERROR(INDEX('Both teabags AfterWet'!$C$3:$C$841,MATCH(J244,'Both teabags AfterWet'!$A$3:$A$841,0)),"")="","",(IFERROR(INDEX('Both teabags AfterWet'!$C$3:$C$841,MATCH(J244,'Both teabags AfterWet'!$A$3:$A$841,0)),"")))</f>
        <v>1.5019</v>
      </c>
      <c r="P244" s="225">
        <f>IFERROR(IF(O244&gt;0,O244-(TBIcalc!$H$9),""),"")</f>
        <v>1.3512999999999999</v>
      </c>
      <c r="Q244" s="225">
        <f>IFERROR(INDEX('Ashed teabags wet'!$K$2:$K$821,MATCH(J244,'Ashed teabags wet'!$A$2:$A$821,0)),"")</f>
        <v>3.0390738060779063</v>
      </c>
      <c r="R244" s="225">
        <f t="shared" si="21"/>
        <v>1.3102329956584693</v>
      </c>
      <c r="S244" s="226">
        <f>'WetLitterbags placem_collection'!E25</f>
        <v>42767</v>
      </c>
      <c r="T244" s="226">
        <f>IF('WetLitterbags placem_collection'!G25="","",'WetLitterbags placem_collection'!G25)</f>
        <v>42818</v>
      </c>
      <c r="U244" s="227">
        <f t="shared" si="18"/>
        <v>51</v>
      </c>
      <c r="V244" s="225">
        <f t="shared" si="19"/>
        <v>0.62290000000000023</v>
      </c>
      <c r="W244" s="225">
        <f t="shared" si="20"/>
        <v>0.61892237929855609</v>
      </c>
      <c r="X244">
        <f>IFERROR(INDEX(Rainfall_Wet!$O$2:$O$217,MATCH(B244, Rainfall_Wet!$A$2:$A$217,0)),"")</f>
        <v>185.630065823</v>
      </c>
      <c r="Y244" s="231">
        <v>54.080969906906262</v>
      </c>
      <c r="Z244" s="231">
        <v>21.264484651351896</v>
      </c>
      <c r="AA244" s="231">
        <v>24.654545441741845</v>
      </c>
      <c r="AB244" s="232" t="s">
        <v>2673</v>
      </c>
      <c r="AC244" s="231">
        <v>7.8433218334154802</v>
      </c>
      <c r="AD244" t="str">
        <f>IF('WetLitterbags placem_collection'!AB25="","",'WetLitterbags placem_collection'!AB25)</f>
        <v/>
      </c>
      <c r="AE244" t="str">
        <f>IF('WetLitterbags placem_collection'!Z25="","",'WetLitterbags placem_collection'!Z25)</f>
        <v/>
      </c>
      <c r="AF244" s="246" t="str">
        <f>IF('WetLitterbags placem_collection'!AA25="","",'WetLitterbags placem_collection'!AA25)</f>
        <v/>
      </c>
      <c r="AG244" t="str">
        <f>IF('WetLitterbags placem_collection'!AC25="","",'WetLitterbags placem_collection'!AC25)</f>
        <v/>
      </c>
      <c r="AH244" s="240">
        <f>AVERAGE('WetLitterbags placem_collection'!S25,'WetLitterbags placem_collection'!U25)</f>
        <v>34.5</v>
      </c>
      <c r="AI244">
        <f>AVERAGE('WetLitterbags placem_collection'!R25,'WetLitterbags placem_collection'!T25)</f>
        <v>20.65</v>
      </c>
      <c r="AJ244">
        <f>INDEX(Coordinates!$B$2:$B$197,MATCH(G244,Coordinates!$J$2:$J$197,0))</f>
        <v>-3.3854200130000001</v>
      </c>
      <c r="AK244">
        <f>INDEX(Coordinates!$C$2:$C$197,MATCH(G244,Coordinates!$J$2:$J$197,0))</f>
        <v>34.818856019999998</v>
      </c>
      <c r="AL244" t="str">
        <f>IF(ISNUMBER(SEARCH("C", 'WetLitterbags placem_collection'!W25)),"YES","NO")</f>
        <v>NO</v>
      </c>
      <c r="AM244" t="str">
        <f>IF(ISNUMBER(SEARCH("H", 'WetLitterbags placem_collection'!W25)),"YES","NO")</f>
        <v>NO</v>
      </c>
      <c r="AN244" t="str">
        <f>IF(ISNUMBER(SEARCH("R", 'WetLitterbags placem_collection'!W25)),"YES","NO")</f>
        <v>NO</v>
      </c>
    </row>
    <row r="245" spans="1:40" ht="15" customHeight="1">
      <c r="A245" s="258" t="s">
        <v>2460</v>
      </c>
      <c r="B245" s="263">
        <f>'Dry_Litterbag Placem_Collection'!A26</f>
        <v>24</v>
      </c>
      <c r="C245" s="263" t="str">
        <f>'Dry_Litterbag Placem_Collection'!B26</f>
        <v>Makao</v>
      </c>
      <c r="D245" s="263" t="s">
        <v>2659</v>
      </c>
      <c r="E245" s="263" t="s">
        <v>2660</v>
      </c>
      <c r="F245" s="263">
        <v>3</v>
      </c>
      <c r="G245" s="264" t="str">
        <f>'Dry_Litterbag Placem_Collection'!C26</f>
        <v>Dry_Ag3_T8</v>
      </c>
      <c r="H245" s="265" t="s">
        <v>2541</v>
      </c>
      <c r="I245" s="272" t="s">
        <v>298</v>
      </c>
      <c r="J245" s="223" t="str">
        <f>'WetLitterbags placem_collection'!M26</f>
        <v>R144</v>
      </c>
      <c r="K245" s="225">
        <f>IFERROR(INDEX('Green_rooibos initial weight'!$C$5:$C$1749,MATCH(J245, 'Green_rooibos initial weight'!$A$5:$A$1749,0)),"")</f>
        <v>2.1429999999999998</v>
      </c>
      <c r="L245" s="225">
        <f>IFERROR(K245-(TBIcalc!$H$9+TBIcalc!$H$10),"")</f>
        <v>1.8931999999999998</v>
      </c>
      <c r="M245" s="391">
        <f>AVERAGE(Ashed_controlls!$K$12:$K$14)</f>
        <v>2.2816647271287041</v>
      </c>
      <c r="N245" s="225">
        <f t="shared" si="17"/>
        <v>1.850003523385999</v>
      </c>
      <c r="O245" s="225">
        <f>IF(IFERROR(INDEX('Both teabags AfterWet'!$C$3:$C$841,MATCH(J245,'Both teabags AfterWet'!$A$3:$A$841,0)),"")="","",(IFERROR(INDEX('Both teabags AfterWet'!$C$3:$C$841,MATCH(J245,'Both teabags AfterWet'!$A$3:$A$841,0)),"")))</f>
        <v>1.6077999999999999</v>
      </c>
      <c r="P245" s="225">
        <f>IFERROR(IF(O245&gt;0,O245-(TBIcalc!$H$9),""),"")</f>
        <v>1.4571999999999998</v>
      </c>
      <c r="Q245" s="225">
        <f>IFERROR(INDEX('Ashed teabags wet'!$K$2:$K$821,MATCH(J245,'Ashed teabags wet'!$A$2:$A$821,0)),"")</f>
        <v>4.9655850540802868</v>
      </c>
      <c r="R245" s="225">
        <f t="shared" si="21"/>
        <v>1.3848414945919418</v>
      </c>
      <c r="S245" s="226">
        <f>'WetLitterbags placem_collection'!E26</f>
        <v>42767</v>
      </c>
      <c r="T245" s="226">
        <f>IF('WetLitterbags placem_collection'!G26="","",'WetLitterbags placem_collection'!G26)</f>
        <v>42818</v>
      </c>
      <c r="U245" s="227">
        <f t="shared" si="18"/>
        <v>51</v>
      </c>
      <c r="V245" s="225">
        <f t="shared" si="19"/>
        <v>0.43599999999999994</v>
      </c>
      <c r="W245" s="225">
        <f t="shared" si="20"/>
        <v>0.46516202879405721</v>
      </c>
      <c r="X245">
        <f>IFERROR(INDEX(Rainfall_Wet!$O$2:$O$217,MATCH(B245, Rainfall_Wet!$A$2:$A$217,0)),"")</f>
        <v>185.630065823</v>
      </c>
      <c r="Y245" s="231">
        <v>54.080969906906262</v>
      </c>
      <c r="Z245" s="231">
        <v>21.264484651351896</v>
      </c>
      <c r="AA245" s="231">
        <v>24.654545441741845</v>
      </c>
      <c r="AB245" s="232" t="s">
        <v>2673</v>
      </c>
      <c r="AC245" s="231">
        <v>8.8433218334154695</v>
      </c>
      <c r="AD245" t="str">
        <f>IF('WetLitterbags placem_collection'!AB26="","",'WetLitterbags placem_collection'!AB26)</f>
        <v/>
      </c>
      <c r="AE245" t="str">
        <f>IF('WetLitterbags placem_collection'!Z26="","",'WetLitterbags placem_collection'!Z26)</f>
        <v/>
      </c>
      <c r="AF245" s="246" t="str">
        <f>IF('WetLitterbags placem_collection'!AA26="","",'WetLitterbags placem_collection'!AA26)</f>
        <v/>
      </c>
      <c r="AG245" t="str">
        <f>IF('WetLitterbags placem_collection'!AC26="","",'WetLitterbags placem_collection'!AC26)</f>
        <v/>
      </c>
      <c r="AH245" s="240">
        <f>AVERAGE('WetLitterbags placem_collection'!S26,'WetLitterbags placem_collection'!U26)</f>
        <v>36.950000000000003</v>
      </c>
      <c r="AI245">
        <f>AVERAGE('WetLitterbags placem_collection'!R26,'WetLitterbags placem_collection'!T26)</f>
        <v>21.1</v>
      </c>
      <c r="AJ245">
        <f>INDEX(Coordinates!$B$2:$B$197,MATCH(G245,Coordinates!$J$2:$J$197,0))</f>
        <v>-3.3853829649999998</v>
      </c>
      <c r="AK245">
        <f>INDEX(Coordinates!$C$2:$C$197,MATCH(G245,Coordinates!$J$2:$J$197,0))</f>
        <v>34.818877980000003</v>
      </c>
      <c r="AL245" t="str">
        <f>IF(ISNUMBER(SEARCH("C", 'WetLitterbags placem_collection'!W26)),"YES","NO")</f>
        <v>NO</v>
      </c>
      <c r="AM245" t="str">
        <f>IF(ISNUMBER(SEARCH("H", 'WetLitterbags placem_collection'!W26)),"YES","NO")</f>
        <v>NO</v>
      </c>
      <c r="AN245" t="str">
        <f>IF(ISNUMBER(SEARCH("R", 'WetLitterbags placem_collection'!W26)),"YES","NO")</f>
        <v>YES</v>
      </c>
    </row>
    <row r="246" spans="1:40" ht="15" customHeight="1">
      <c r="A246" s="258" t="s">
        <v>2460</v>
      </c>
      <c r="B246" s="263">
        <f>'Dry_Litterbag Placem_Collection'!A27</f>
        <v>25</v>
      </c>
      <c r="C246" s="263" t="str">
        <f>'Dry_Litterbag Placem_Collection'!B27</f>
        <v>Makao</v>
      </c>
      <c r="D246" s="263" t="s">
        <v>2659</v>
      </c>
      <c r="E246" s="263" t="s">
        <v>2660</v>
      </c>
      <c r="F246" s="263">
        <v>4</v>
      </c>
      <c r="G246" s="264" t="str">
        <f>'Dry_Litterbag Placem_Collection'!C27</f>
        <v>Dry_Ag4_T1</v>
      </c>
      <c r="H246" s="265" t="s">
        <v>2541</v>
      </c>
      <c r="I246" s="272" t="s">
        <v>298</v>
      </c>
      <c r="J246" s="223" t="str">
        <f>'WetLitterbags placem_collection'!M27</f>
        <v>R279</v>
      </c>
      <c r="K246" s="225">
        <f>IFERROR(INDEX('Green_rooibos initial weight'!$C$5:$C$1749,MATCH(J246, 'Green_rooibos initial weight'!$A$5:$A$1749,0)),"")</f>
        <v>2.161</v>
      </c>
      <c r="L246" s="225">
        <f>IFERROR(K246-(TBIcalc!$H$9+TBIcalc!$H$10),"")</f>
        <v>1.9112</v>
      </c>
      <c r="M246" s="391">
        <f>AVERAGE(Ashed_controlls!$K$12:$K$14)</f>
        <v>2.2816647271287041</v>
      </c>
      <c r="N246" s="225">
        <f t="shared" si="17"/>
        <v>1.8675928237351163</v>
      </c>
      <c r="O246" s="225" t="str">
        <f>IF(IFERROR(INDEX('Both teabags AfterWet'!$C$3:$C$841,MATCH(J246,'Both teabags AfterWet'!$A$3:$A$841,0)),"")="","",(IFERROR(INDEX('Both teabags AfterWet'!$C$3:$C$841,MATCH(J246,'Both teabags AfterWet'!$A$3:$A$841,0)),"")))</f>
        <v/>
      </c>
      <c r="P246" s="225" t="str">
        <f>IFERROR(IF(O246&gt;0,O246-(TBIcalc!$H$9),""),"")</f>
        <v/>
      </c>
      <c r="Q246" s="225">
        <f>IFERROR(INDEX('Ashed teabags wet'!$K$2:$K$821,MATCH(J246,'Ashed teabags wet'!$A$2:$A$821,0)),"")</f>
        <v>2.7040077257358202</v>
      </c>
      <c r="R246" s="225" t="str">
        <f t="shared" si="21"/>
        <v/>
      </c>
      <c r="S246" s="226">
        <f>'WetLitterbags placem_collection'!E27</f>
        <v>42767</v>
      </c>
      <c r="T246" s="226">
        <f>IF('WetLitterbags placem_collection'!G27="","",'WetLitterbags placem_collection'!G27)</f>
        <v>42818</v>
      </c>
      <c r="U246" s="227">
        <f t="shared" si="18"/>
        <v>51</v>
      </c>
      <c r="V246" s="225" t="str">
        <f t="shared" si="19"/>
        <v/>
      </c>
      <c r="W246" s="225" t="str">
        <f t="shared" si="20"/>
        <v/>
      </c>
      <c r="X246">
        <f>IFERROR(INDEX(Rainfall_Wet!$O$2:$O$217,MATCH(B246, Rainfall_Wet!$A$2:$A$217,0)),"")</f>
        <v>185.630065823</v>
      </c>
      <c r="Y246" s="231">
        <v>51.960000000000008</v>
      </c>
      <c r="Z246" s="231">
        <v>18.919999999999995</v>
      </c>
      <c r="AA246" s="231">
        <v>29.120000000000005</v>
      </c>
      <c r="AB246" s="232" t="s">
        <v>2673</v>
      </c>
      <c r="AC246" s="231">
        <v>1.85293247905372</v>
      </c>
      <c r="AD246" t="str">
        <f>IF('WetLitterbags placem_collection'!AB27="","",'WetLitterbags placem_collection'!AB27)</f>
        <v/>
      </c>
      <c r="AE246" t="str">
        <f>IF('WetLitterbags placem_collection'!Z27="","",'WetLitterbags placem_collection'!Z27)</f>
        <v/>
      </c>
      <c r="AF246" s="246" t="str">
        <f>IF('WetLitterbags placem_collection'!AA27="","",'WetLitterbags placem_collection'!AA27)</f>
        <v/>
      </c>
      <c r="AG246" t="str">
        <f>IF('WetLitterbags placem_collection'!AC27="","",'WetLitterbags placem_collection'!AC27)</f>
        <v/>
      </c>
      <c r="AH246" s="240">
        <f>AVERAGE('WetLitterbags placem_collection'!S27,'WetLitterbags placem_collection'!U27)</f>
        <v>36.85</v>
      </c>
      <c r="AI246">
        <f>AVERAGE('WetLitterbags placem_collection'!R27,'WetLitterbags placem_collection'!T27)</f>
        <v>21.35</v>
      </c>
      <c r="AJ246">
        <f>INDEX(Coordinates!$B$2:$B$197,MATCH(G246,Coordinates!$J$2:$J$197,0))</f>
        <v>-3.3849129919999998</v>
      </c>
      <c r="AK246">
        <f>INDEX(Coordinates!$C$2:$C$197,MATCH(G246,Coordinates!$J$2:$J$197,0))</f>
        <v>34.818899020000003</v>
      </c>
      <c r="AL246" t="str">
        <f>IF(ISNUMBER(SEARCH("C", 'WetLitterbags placem_collection'!W27)),"YES","NO")</f>
        <v>NO</v>
      </c>
      <c r="AM246" t="str">
        <f>IF(ISNUMBER(SEARCH("H", 'WetLitterbags placem_collection'!W27)),"YES","NO")</f>
        <v>NO</v>
      </c>
      <c r="AN246" t="str">
        <f>IF(ISNUMBER(SEARCH("R", 'WetLitterbags placem_collection'!W27)),"YES","NO")</f>
        <v>NO</v>
      </c>
    </row>
    <row r="247" spans="1:40" ht="15" customHeight="1">
      <c r="A247" s="258" t="s">
        <v>2460</v>
      </c>
      <c r="B247" s="263">
        <f>'Dry_Litterbag Placem_Collection'!A28</f>
        <v>26</v>
      </c>
      <c r="C247" s="263" t="str">
        <f>'Dry_Litterbag Placem_Collection'!B28</f>
        <v>Makao</v>
      </c>
      <c r="D247" s="263" t="s">
        <v>2659</v>
      </c>
      <c r="E247" s="263" t="s">
        <v>2660</v>
      </c>
      <c r="F247" s="263">
        <v>4</v>
      </c>
      <c r="G247" s="264" t="str">
        <f>'Dry_Litterbag Placem_Collection'!C28</f>
        <v>Dry_Ag4_T2</v>
      </c>
      <c r="H247" s="265" t="s">
        <v>2541</v>
      </c>
      <c r="I247" s="272" t="s">
        <v>298</v>
      </c>
      <c r="J247" s="223" t="str">
        <f>'WetLitterbags placem_collection'!M28</f>
        <v>R148</v>
      </c>
      <c r="K247" s="225">
        <f>IFERROR(INDEX('Green_rooibos initial weight'!$C$5:$C$1749,MATCH(J247, 'Green_rooibos initial weight'!$A$5:$A$1749,0)),"")</f>
        <v>2.149</v>
      </c>
      <c r="L247" s="225">
        <f>IFERROR(K247-(TBIcalc!$H$9+TBIcalc!$H$10),"")</f>
        <v>1.8992</v>
      </c>
      <c r="M247" s="391">
        <f>AVERAGE(Ashed_controlls!$K$12:$K$14)</f>
        <v>2.2816647271287041</v>
      </c>
      <c r="N247" s="225">
        <f t="shared" si="17"/>
        <v>1.8558666235023717</v>
      </c>
      <c r="O247" s="225">
        <f>IF(IFERROR(INDEX('Both teabags AfterWet'!$C$3:$C$841,MATCH(J247,'Both teabags AfterWet'!$A$3:$A$841,0)),"")="","",(IFERROR(INDEX('Both teabags AfterWet'!$C$3:$C$841,MATCH(J247,'Both teabags AfterWet'!$A$3:$A$841,0)),"")))</f>
        <v>1.5741000000000001</v>
      </c>
      <c r="P247" s="225">
        <f>IFERROR(IF(O247&gt;0,O247-(TBIcalc!$H$9),""),"")</f>
        <v>1.4235</v>
      </c>
      <c r="Q247" s="225">
        <f>IFERROR(INDEX('Ashed teabags wet'!$K$2:$K$821,MATCH(J247,'Ashed teabags wet'!$A$2:$A$821,0)),"")</f>
        <v>3.3466533466532278</v>
      </c>
      <c r="R247" s="225">
        <f t="shared" si="21"/>
        <v>1.3758603896103914</v>
      </c>
      <c r="S247" s="226">
        <f>'WetLitterbags placem_collection'!E28</f>
        <v>42767</v>
      </c>
      <c r="T247" s="226">
        <f>IF('WetLitterbags placem_collection'!G28="","",'WetLitterbags placem_collection'!G28)</f>
        <v>42818</v>
      </c>
      <c r="U247" s="227">
        <f t="shared" si="18"/>
        <v>51</v>
      </c>
      <c r="V247" s="225">
        <f t="shared" si="19"/>
        <v>0.47570000000000001</v>
      </c>
      <c r="W247" s="225">
        <f t="shared" si="20"/>
        <v>0.48000623389198038</v>
      </c>
      <c r="X247">
        <f>IFERROR(INDEX(Rainfall_Wet!$O$2:$O$217,MATCH(B247, Rainfall_Wet!$A$2:$A$217,0)),"")</f>
        <v>185.630065823</v>
      </c>
      <c r="Y247" s="231">
        <v>51.960000000000008</v>
      </c>
      <c r="Z247" s="231">
        <v>18.919999999999995</v>
      </c>
      <c r="AA247" s="231">
        <v>29.120000000000005</v>
      </c>
      <c r="AB247" s="232" t="s">
        <v>2673</v>
      </c>
      <c r="AC247" s="231">
        <v>2.8529324790537198</v>
      </c>
      <c r="AD247" t="str">
        <f>IF('WetLitterbags placem_collection'!AB28="","",'WetLitterbags placem_collection'!AB28)</f>
        <v/>
      </c>
      <c r="AE247" t="str">
        <f>IF('WetLitterbags placem_collection'!Z28="","",'WetLitterbags placem_collection'!Z28)</f>
        <v/>
      </c>
      <c r="AF247" s="246" t="str">
        <f>IF('WetLitterbags placem_collection'!AA28="","",'WetLitterbags placem_collection'!AA28)</f>
        <v/>
      </c>
      <c r="AG247" t="str">
        <f>IF('WetLitterbags placem_collection'!AC28="","",'WetLitterbags placem_collection'!AC28)</f>
        <v/>
      </c>
      <c r="AH247" s="240">
        <f>AVERAGE('WetLitterbags placem_collection'!S28,'WetLitterbags placem_collection'!U28)</f>
        <v>31.3</v>
      </c>
      <c r="AI247">
        <f>AVERAGE('WetLitterbags placem_collection'!R28,'WetLitterbags placem_collection'!T28)</f>
        <v>20.7</v>
      </c>
      <c r="AJ247">
        <f>INDEX(Coordinates!$B$2:$B$197,MATCH(G247,Coordinates!$J$2:$J$197,0))</f>
        <v>-3.3849689999999999</v>
      </c>
      <c r="AK247">
        <f>INDEX(Coordinates!$C$2:$C$197,MATCH(G247,Coordinates!$J$2:$J$197,0))</f>
        <v>34.818908</v>
      </c>
      <c r="AL247" t="str">
        <f>IF(ISNUMBER(SEARCH("C", 'WetLitterbags placem_collection'!W28)),"YES","NO")</f>
        <v>NO</v>
      </c>
      <c r="AM247" t="str">
        <f>IF(ISNUMBER(SEARCH("H", 'WetLitterbags placem_collection'!W28)),"YES","NO")</f>
        <v>NO</v>
      </c>
      <c r="AN247" t="str">
        <f>IF(ISNUMBER(SEARCH("R", 'WetLitterbags placem_collection'!W28)),"YES","NO")</f>
        <v>NO</v>
      </c>
    </row>
    <row r="248" spans="1:40" ht="15" customHeight="1">
      <c r="A248" s="258" t="s">
        <v>2460</v>
      </c>
      <c r="B248" s="263">
        <f>'Dry_Litterbag Placem_Collection'!A29</f>
        <v>27</v>
      </c>
      <c r="C248" s="263" t="str">
        <f>'Dry_Litterbag Placem_Collection'!B29</f>
        <v>Makao</v>
      </c>
      <c r="D248" s="263" t="s">
        <v>2659</v>
      </c>
      <c r="E248" s="263" t="s">
        <v>2660</v>
      </c>
      <c r="F248" s="263">
        <v>4</v>
      </c>
      <c r="G248" s="264" t="str">
        <f>'Dry_Litterbag Placem_Collection'!C29</f>
        <v>Dry_Ag4_T3</v>
      </c>
      <c r="H248" s="265" t="s">
        <v>2541</v>
      </c>
      <c r="I248" s="272" t="s">
        <v>298</v>
      </c>
      <c r="J248" s="223" t="str">
        <f>'WetLitterbags placem_collection'!M29</f>
        <v>R112</v>
      </c>
      <c r="K248" s="225">
        <f>IFERROR(INDEX('Green_rooibos initial weight'!$C$5:$C$1749,MATCH(J248, 'Green_rooibos initial weight'!$A$5:$A$1749,0)),"")</f>
        <v>2.2610000000000001</v>
      </c>
      <c r="L248" s="225">
        <f>IFERROR(K248-(TBIcalc!$H$9+TBIcalc!$H$10),"")</f>
        <v>2.0112000000000001</v>
      </c>
      <c r="M248" s="391">
        <f>AVERAGE(Ashed_controlls!$K$12:$K$14)</f>
        <v>2.2816647271287041</v>
      </c>
      <c r="N248" s="225">
        <f t="shared" si="17"/>
        <v>1.9653111590079877</v>
      </c>
      <c r="O248" s="225">
        <f>IF(IFERROR(INDEX('Both teabags AfterWet'!$C$3:$C$841,MATCH(J248,'Both teabags AfterWet'!$A$3:$A$841,0)),"")="","",(IFERROR(INDEX('Both teabags AfterWet'!$C$3:$C$841,MATCH(J248,'Both teabags AfterWet'!$A$3:$A$841,0)),"")))</f>
        <v>1.3584000000000001</v>
      </c>
      <c r="P248" s="225">
        <f>IFERROR(IF(O248&gt;0,O248-(TBIcalc!$H$9),""),"")</f>
        <v>1.2078</v>
      </c>
      <c r="Q248" s="225">
        <f>IFERROR(INDEX('Ashed teabags wet'!$K$2:$K$821,MATCH(J248,'Ashed teabags wet'!$A$2:$A$821,0)),"")</f>
        <v>6.1105722599418044</v>
      </c>
      <c r="R248" s="225">
        <f t="shared" si="21"/>
        <v>1.1339965082444228</v>
      </c>
      <c r="S248" s="226">
        <f>'WetLitterbags placem_collection'!E29</f>
        <v>42767</v>
      </c>
      <c r="T248" s="226">
        <f>IF('WetLitterbags placem_collection'!G29="","",'WetLitterbags placem_collection'!G29)</f>
        <v>42818</v>
      </c>
      <c r="U248" s="227">
        <f t="shared" si="18"/>
        <v>51</v>
      </c>
      <c r="V248" s="225">
        <f t="shared" si="19"/>
        <v>0.80340000000000011</v>
      </c>
      <c r="W248" s="225">
        <f t="shared" si="20"/>
        <v>0.83131465076356492</v>
      </c>
      <c r="X248">
        <f>IFERROR(INDEX(Rainfall_Wet!$O$2:$O$217,MATCH(B248, Rainfall_Wet!$A$2:$A$217,0)),"")</f>
        <v>185.630065823</v>
      </c>
      <c r="Y248" s="231">
        <v>51.960000000000008</v>
      </c>
      <c r="Z248" s="231">
        <v>18.919999999999995</v>
      </c>
      <c r="AA248" s="231">
        <v>29.120000000000005</v>
      </c>
      <c r="AB248" s="232" t="s">
        <v>2673</v>
      </c>
      <c r="AC248" s="231">
        <v>3.8529324790537198</v>
      </c>
      <c r="AD248" t="str">
        <f>IF('WetLitterbags placem_collection'!AB29="","",'WetLitterbags placem_collection'!AB29)</f>
        <v/>
      </c>
      <c r="AE248" t="str">
        <f>IF('WetLitterbags placem_collection'!Z29="","",'WetLitterbags placem_collection'!Z29)</f>
        <v/>
      </c>
      <c r="AF248" s="246" t="str">
        <f>IF('WetLitterbags placem_collection'!AA29="","",'WetLitterbags placem_collection'!AA29)</f>
        <v/>
      </c>
      <c r="AG248" t="str">
        <f>IF('WetLitterbags placem_collection'!AC29="","",'WetLitterbags placem_collection'!AC29)</f>
        <v/>
      </c>
      <c r="AH248" s="240">
        <f>AVERAGE('WetLitterbags placem_collection'!S29,'WetLitterbags placem_collection'!U29)</f>
        <v>28.900000000000002</v>
      </c>
      <c r="AI248">
        <f>AVERAGE('WetLitterbags placem_collection'!R29,'WetLitterbags placem_collection'!T29)</f>
        <v>21.4</v>
      </c>
      <c r="AJ248">
        <f>INDEX(Coordinates!$B$2:$B$197,MATCH(G248,Coordinates!$J$2:$J$197,0))</f>
        <v>-3.3849350359999999</v>
      </c>
      <c r="AK248">
        <f>INDEX(Coordinates!$C$2:$C$197,MATCH(G248,Coordinates!$J$2:$J$197,0))</f>
        <v>34.818943019999999</v>
      </c>
      <c r="AL248" t="str">
        <f>IF(ISNUMBER(SEARCH("C", 'WetLitterbags placem_collection'!W29)),"YES","NO")</f>
        <v>NO</v>
      </c>
      <c r="AM248" t="str">
        <f>IF(ISNUMBER(SEARCH("H", 'WetLitterbags placem_collection'!W29)),"YES","NO")</f>
        <v>NO</v>
      </c>
      <c r="AN248" t="str">
        <f>IF(ISNUMBER(SEARCH("R", 'WetLitterbags placem_collection'!W29)),"YES","NO")</f>
        <v>NO</v>
      </c>
    </row>
    <row r="249" spans="1:40" ht="15" customHeight="1">
      <c r="A249" s="258" t="s">
        <v>2460</v>
      </c>
      <c r="B249" s="263">
        <f>'Dry_Litterbag Placem_Collection'!A30</f>
        <v>28</v>
      </c>
      <c r="C249" s="263" t="str">
        <f>'Dry_Litterbag Placem_Collection'!B30</f>
        <v>Makao</v>
      </c>
      <c r="D249" s="263" t="s">
        <v>2659</v>
      </c>
      <c r="E249" s="263" t="s">
        <v>2660</v>
      </c>
      <c r="F249" s="263">
        <v>4</v>
      </c>
      <c r="G249" s="264" t="str">
        <f>'Dry_Litterbag Placem_Collection'!C30</f>
        <v>Dry_Ag4_T4</v>
      </c>
      <c r="H249" s="265" t="s">
        <v>2541</v>
      </c>
      <c r="I249" s="272" t="s">
        <v>298</v>
      </c>
      <c r="J249" s="223" t="str">
        <f>'WetLitterbags placem_collection'!M30</f>
        <v>R436</v>
      </c>
      <c r="K249" s="225">
        <f>IFERROR(INDEX('Green_rooibos initial weight'!$C$5:$C$1749,MATCH(J249, 'Green_rooibos initial weight'!$A$5:$A$1749,0)),"")</f>
        <v>2.2240000000000002</v>
      </c>
      <c r="L249" s="225">
        <f>IFERROR(K249-(TBIcalc!$H$9+TBIcalc!$H$10),"")</f>
        <v>1.9742000000000002</v>
      </c>
      <c r="M249" s="391">
        <f>AVERAGE(Ashed_controlls!$K$12:$K$14)</f>
        <v>2.2816647271287041</v>
      </c>
      <c r="N249" s="225">
        <f t="shared" si="17"/>
        <v>1.9291553749570254</v>
      </c>
      <c r="O249" s="225">
        <f>IF(IFERROR(INDEX('Both teabags AfterWet'!$C$3:$C$841,MATCH(J249,'Both teabags AfterWet'!$A$3:$A$841,0)),"")="","",(IFERROR(INDEX('Both teabags AfterWet'!$C$3:$C$841,MATCH(J249,'Both teabags AfterWet'!$A$3:$A$841,0)),"")))</f>
        <v>1.5295000000000001</v>
      </c>
      <c r="P249" s="225">
        <f>IFERROR(IF(O249&gt;0,O249-(TBIcalc!$H$9),""),"")</f>
        <v>1.3789</v>
      </c>
      <c r="Q249" s="225">
        <f>IFERROR(INDEX('Ashed teabags wet'!$K$2:$K$821,MATCH(J249,'Ashed teabags wet'!$A$2:$A$821,0)),"")</f>
        <v>4.1749502982106899</v>
      </c>
      <c r="R249" s="225">
        <f t="shared" si="21"/>
        <v>1.3213316103379729</v>
      </c>
      <c r="S249" s="226">
        <f>'WetLitterbags placem_collection'!E30</f>
        <v>42767</v>
      </c>
      <c r="T249" s="226">
        <f>IF('WetLitterbags placem_collection'!G30="","",'WetLitterbags placem_collection'!G30)</f>
        <v>42818</v>
      </c>
      <c r="U249" s="227">
        <f t="shared" si="18"/>
        <v>51</v>
      </c>
      <c r="V249" s="225">
        <f t="shared" si="19"/>
        <v>0.59530000000000016</v>
      </c>
      <c r="W249" s="225">
        <f t="shared" si="20"/>
        <v>0.60782376461905252</v>
      </c>
      <c r="X249">
        <f>IFERROR(INDEX(Rainfall_Wet!$O$2:$O$217,MATCH(B249, Rainfall_Wet!$A$2:$A$217,0)),"")</f>
        <v>185.630065823</v>
      </c>
      <c r="Y249" s="231">
        <v>51.960000000000008</v>
      </c>
      <c r="Z249" s="231">
        <v>18.919999999999995</v>
      </c>
      <c r="AA249" s="231">
        <v>29.120000000000005</v>
      </c>
      <c r="AB249" s="232" t="s">
        <v>2673</v>
      </c>
      <c r="AC249" s="231">
        <v>4.8529324790537203</v>
      </c>
      <c r="AD249" t="str">
        <f>IF('WetLitterbags placem_collection'!AB30="","",'WetLitterbags placem_collection'!AB30)</f>
        <v/>
      </c>
      <c r="AE249" t="str">
        <f>IF('WetLitterbags placem_collection'!Z30="","",'WetLitterbags placem_collection'!Z30)</f>
        <v/>
      </c>
      <c r="AF249" s="246" t="str">
        <f>IF('WetLitterbags placem_collection'!AA30="","",'WetLitterbags placem_collection'!AA30)</f>
        <v/>
      </c>
      <c r="AG249" t="str">
        <f>IF('WetLitterbags placem_collection'!AC30="","",'WetLitterbags placem_collection'!AC30)</f>
        <v/>
      </c>
      <c r="AH249" s="240">
        <f>AVERAGE('WetLitterbags placem_collection'!S30,'WetLitterbags placem_collection'!U30)</f>
        <v>33.4</v>
      </c>
      <c r="AI249">
        <f>AVERAGE('WetLitterbags placem_collection'!R30,'WetLitterbags placem_collection'!T30)</f>
        <v>20.6</v>
      </c>
      <c r="AJ249">
        <f>INDEX(Coordinates!$B$2:$B$197,MATCH(G249,Coordinates!$J$2:$J$197,0))</f>
        <v>-3.3850070369999998</v>
      </c>
      <c r="AK249">
        <f>INDEX(Coordinates!$C$2:$C$197,MATCH(G249,Coordinates!$J$2:$J$197,0))</f>
        <v>34.818888960000002</v>
      </c>
      <c r="AL249" t="str">
        <f>IF(ISNUMBER(SEARCH("C", 'WetLitterbags placem_collection'!W30)),"YES","NO")</f>
        <v>NO</v>
      </c>
      <c r="AM249" t="str">
        <f>IF(ISNUMBER(SEARCH("H", 'WetLitterbags placem_collection'!W30)),"YES","NO")</f>
        <v>NO</v>
      </c>
      <c r="AN249" t="str">
        <f>IF(ISNUMBER(SEARCH("R", 'WetLitterbags placem_collection'!W30)),"YES","NO")</f>
        <v>NO</v>
      </c>
    </row>
    <row r="250" spans="1:40" ht="15" customHeight="1">
      <c r="A250" s="258" t="s">
        <v>2460</v>
      </c>
      <c r="B250" s="263">
        <f>'Dry_Litterbag Placem_Collection'!A31</f>
        <v>29</v>
      </c>
      <c r="C250" s="263" t="str">
        <f>'Dry_Litterbag Placem_Collection'!B31</f>
        <v>Makao</v>
      </c>
      <c r="D250" s="263" t="s">
        <v>2659</v>
      </c>
      <c r="E250" s="263" t="s">
        <v>2660</v>
      </c>
      <c r="F250" s="263">
        <v>4</v>
      </c>
      <c r="G250" s="264" t="str">
        <f>'Dry_Litterbag Placem_Collection'!C31</f>
        <v>Dry_Ag4_T5</v>
      </c>
      <c r="H250" s="265" t="s">
        <v>2541</v>
      </c>
      <c r="I250" s="272" t="s">
        <v>298</v>
      </c>
      <c r="J250" s="223" t="str">
        <f>'WetLitterbags placem_collection'!M31</f>
        <v>R386</v>
      </c>
      <c r="K250" s="225">
        <f>IFERROR(INDEX('Green_rooibos initial weight'!$C$5:$C$1749,MATCH(J250, 'Green_rooibos initial weight'!$A$5:$A$1749,0)),"")</f>
        <v>2.2309999999999999</v>
      </c>
      <c r="L250" s="225">
        <f>IFERROR(K250-(TBIcalc!$H$9+TBIcalc!$H$10),"")</f>
        <v>1.9811999999999999</v>
      </c>
      <c r="M250" s="391">
        <f>AVERAGE(Ashed_controlls!$K$12:$K$14)</f>
        <v>2.2816647271287041</v>
      </c>
      <c r="N250" s="225">
        <f t="shared" si="17"/>
        <v>1.935995658426126</v>
      </c>
      <c r="O250" s="225">
        <f>IF(IFERROR(INDEX('Both teabags AfterWet'!$C$3:$C$841,MATCH(J250,'Both teabags AfterWet'!$A$3:$A$841,0)),"")="","",(IFERROR(INDEX('Both teabags AfterWet'!$C$3:$C$841,MATCH(J250,'Both teabags AfterWet'!$A$3:$A$841,0)),"")))</f>
        <v>1.5941000000000001</v>
      </c>
      <c r="P250" s="225">
        <f>IFERROR(IF(O250&gt;0,O250-(TBIcalc!$H$9),""),"")</f>
        <v>1.4435</v>
      </c>
      <c r="Q250" s="225">
        <f>IFERROR(INDEX('Ashed teabags wet'!$K$2:$K$821,MATCH(J250,'Ashed teabags wet'!$A$2:$A$821,0)),"")</f>
        <v>10.99756690997477</v>
      </c>
      <c r="R250" s="225">
        <f t="shared" si="21"/>
        <v>1.2847501216545143</v>
      </c>
      <c r="S250" s="226">
        <f>'WetLitterbags placem_collection'!E31</f>
        <v>42767</v>
      </c>
      <c r="T250" s="226">
        <f>IF('WetLitterbags placem_collection'!G31="","",'WetLitterbags placem_collection'!G31)</f>
        <v>42818</v>
      </c>
      <c r="U250" s="227">
        <f t="shared" si="18"/>
        <v>51</v>
      </c>
      <c r="V250" s="225">
        <f t="shared" si="19"/>
        <v>0.53769999999999984</v>
      </c>
      <c r="W250" s="225">
        <f t="shared" si="20"/>
        <v>0.65124553677161168</v>
      </c>
      <c r="X250">
        <f>IFERROR(INDEX(Rainfall_Wet!$O$2:$O$217,MATCH(B250, Rainfall_Wet!$A$2:$A$217,0)),"")</f>
        <v>185.630065823</v>
      </c>
      <c r="Y250" s="231">
        <v>51.960000000000008</v>
      </c>
      <c r="Z250" s="231">
        <v>18.919999999999995</v>
      </c>
      <c r="AA250" s="231">
        <v>29.120000000000005</v>
      </c>
      <c r="AB250" s="232" t="s">
        <v>2673</v>
      </c>
      <c r="AC250" s="231">
        <v>5.8529324790537203</v>
      </c>
      <c r="AD250" t="str">
        <f>IF('WetLitterbags placem_collection'!AB31="","",'WetLitterbags placem_collection'!AB31)</f>
        <v/>
      </c>
      <c r="AE250" t="str">
        <f>IF('WetLitterbags placem_collection'!Z31="","",'WetLitterbags placem_collection'!Z31)</f>
        <v/>
      </c>
      <c r="AF250" s="246" t="str">
        <f>IF('WetLitterbags placem_collection'!AA31="","",'WetLitterbags placem_collection'!AA31)</f>
        <v/>
      </c>
      <c r="AG250" t="str">
        <f>IF('WetLitterbags placem_collection'!AC31="","",'WetLitterbags placem_collection'!AC31)</f>
        <v/>
      </c>
      <c r="AH250" s="240">
        <f>AVERAGE('WetLitterbags placem_collection'!S31,'WetLitterbags placem_collection'!U31)</f>
        <v>28.4</v>
      </c>
      <c r="AI250">
        <f>AVERAGE('WetLitterbags placem_collection'!R31,'WetLitterbags placem_collection'!T31)</f>
        <v>21.049999999999997</v>
      </c>
      <c r="AJ250">
        <f>INDEX(Coordinates!$B$2:$B$197,MATCH(G250,Coordinates!$J$2:$J$197,0))</f>
        <v>-3.3849480280000002</v>
      </c>
      <c r="AK250">
        <f>INDEX(Coordinates!$C$2:$C$197,MATCH(G250,Coordinates!$J$2:$J$197,0))</f>
        <v>34.818854010000003</v>
      </c>
      <c r="AL250" t="str">
        <f>IF(ISNUMBER(SEARCH("C", 'WetLitterbags placem_collection'!W31)),"YES","NO")</f>
        <v>NO</v>
      </c>
      <c r="AM250" t="str">
        <f>IF(ISNUMBER(SEARCH("H", 'WetLitterbags placem_collection'!W31)),"YES","NO")</f>
        <v>YES</v>
      </c>
      <c r="AN250" t="str">
        <f>IF(ISNUMBER(SEARCH("R", 'WetLitterbags placem_collection'!W31)),"YES","NO")</f>
        <v>YES</v>
      </c>
    </row>
    <row r="251" spans="1:40" ht="15" customHeight="1">
      <c r="A251" s="258" t="s">
        <v>2460</v>
      </c>
      <c r="B251" s="263">
        <f>'Dry_Litterbag Placem_Collection'!A32</f>
        <v>30</v>
      </c>
      <c r="C251" s="263" t="str">
        <f>'Dry_Litterbag Placem_Collection'!B32</f>
        <v>Makao</v>
      </c>
      <c r="D251" s="263" t="s">
        <v>2659</v>
      </c>
      <c r="E251" s="263" t="s">
        <v>2660</v>
      </c>
      <c r="F251" s="263">
        <v>4</v>
      </c>
      <c r="G251" s="264" t="str">
        <f>'Dry_Litterbag Placem_Collection'!C32</f>
        <v>Dry_Ag4_T6</v>
      </c>
      <c r="H251" s="265" t="s">
        <v>2541</v>
      </c>
      <c r="I251" s="272" t="s">
        <v>298</v>
      </c>
      <c r="J251" s="223" t="str">
        <f>'WetLitterbags placem_collection'!M32</f>
        <v>R507</v>
      </c>
      <c r="K251" s="225">
        <f>IFERROR(INDEX('Green_rooibos initial weight'!$C$5:$C$1749,MATCH(J251, 'Green_rooibos initial weight'!$A$5:$A$1749,0)),"")</f>
        <v>2.1920000000000002</v>
      </c>
      <c r="L251" s="225">
        <f>IFERROR(K251-(TBIcalc!$H$9+TBIcalc!$H$10),"")</f>
        <v>1.9422000000000001</v>
      </c>
      <c r="M251" s="391">
        <f>AVERAGE(Ashed_controlls!$K$12:$K$14)</f>
        <v>2.2816647271287041</v>
      </c>
      <c r="N251" s="225">
        <f t="shared" si="17"/>
        <v>1.8978855076697065</v>
      </c>
      <c r="O251" s="225">
        <f>IF(IFERROR(INDEX('Both teabags AfterWet'!$C$3:$C$841,MATCH(J251,'Both teabags AfterWet'!$A$3:$A$841,0)),"")="","",(IFERROR(INDEX('Both teabags AfterWet'!$C$3:$C$841,MATCH(J251,'Both teabags AfterWet'!$A$3:$A$841,0)),"")))</f>
        <v>1.3523000000000001</v>
      </c>
      <c r="P251" s="225">
        <f>IFERROR(IF(O251&gt;0,O251-(TBIcalc!$H$9),""),"")</f>
        <v>1.2017</v>
      </c>
      <c r="Q251" s="225">
        <f>IFERROR(INDEX('Ashed teabags wet'!$K$2:$K$821,MATCH(J251,'Ashed teabags wet'!$A$2:$A$821,0)),"")</f>
        <v>4.821073558648326</v>
      </c>
      <c r="R251" s="225">
        <f t="shared" si="21"/>
        <v>1.143765159045723</v>
      </c>
      <c r="S251" s="226">
        <f>'WetLitterbags placem_collection'!E32</f>
        <v>42767</v>
      </c>
      <c r="T251" s="226">
        <f>IF('WetLitterbags placem_collection'!G32="","",'WetLitterbags placem_collection'!G32)</f>
        <v>42818</v>
      </c>
      <c r="U251" s="227">
        <f t="shared" si="18"/>
        <v>51</v>
      </c>
      <c r="V251" s="225">
        <f t="shared" si="19"/>
        <v>0.74050000000000016</v>
      </c>
      <c r="W251" s="225">
        <f t="shared" si="20"/>
        <v>0.75412034862398358</v>
      </c>
      <c r="X251">
        <f>IFERROR(INDEX(Rainfall_Wet!$O$2:$O$217,MATCH(B251, Rainfall_Wet!$A$2:$A$217,0)),"")</f>
        <v>185.630065823</v>
      </c>
      <c r="Y251" s="231">
        <v>51.960000000000008</v>
      </c>
      <c r="Z251" s="231">
        <v>18.919999999999995</v>
      </c>
      <c r="AA251" s="231">
        <v>29.120000000000005</v>
      </c>
      <c r="AB251" s="232" t="s">
        <v>2673</v>
      </c>
      <c r="AC251" s="231">
        <v>6.8529324790537203</v>
      </c>
      <c r="AD251" t="str">
        <f>IF('WetLitterbags placem_collection'!AB32="","",'WetLitterbags placem_collection'!AB32)</f>
        <v/>
      </c>
      <c r="AE251" t="str">
        <f>IF('WetLitterbags placem_collection'!Z32="","",'WetLitterbags placem_collection'!Z32)</f>
        <v/>
      </c>
      <c r="AF251" s="246" t="str">
        <f>IF('WetLitterbags placem_collection'!AA32="","",'WetLitterbags placem_collection'!AA32)</f>
        <v/>
      </c>
      <c r="AG251" t="str">
        <f>IF('WetLitterbags placem_collection'!AC32="","",'WetLitterbags placem_collection'!AC32)</f>
        <v/>
      </c>
      <c r="AH251" s="240">
        <f>AVERAGE('WetLitterbags placem_collection'!S32,'WetLitterbags placem_collection'!U32)</f>
        <v>26.9</v>
      </c>
      <c r="AI251">
        <f>AVERAGE('WetLitterbags placem_collection'!R32,'WetLitterbags placem_collection'!T32)</f>
        <v>20.7</v>
      </c>
      <c r="AJ251">
        <f>INDEX(Coordinates!$B$2:$B$197,MATCH(G251,Coordinates!$J$2:$J$197,0))</f>
        <v>-3.38496496</v>
      </c>
      <c r="AK251">
        <f>INDEX(Coordinates!$C$2:$C$197,MATCH(G251,Coordinates!$J$2:$J$197,0))</f>
        <v>34.818790970000002</v>
      </c>
      <c r="AL251" t="str">
        <f>IF(ISNUMBER(SEARCH("C", 'WetLitterbags placem_collection'!W32)),"YES","NO")</f>
        <v>NO</v>
      </c>
      <c r="AM251" t="str">
        <f>IF(ISNUMBER(SEARCH("H", 'WetLitterbags placem_collection'!W32)),"YES","NO")</f>
        <v>NO</v>
      </c>
      <c r="AN251" t="str">
        <f>IF(ISNUMBER(SEARCH("R", 'WetLitterbags placem_collection'!W32)),"YES","NO")</f>
        <v>YES</v>
      </c>
    </row>
    <row r="252" spans="1:40" ht="15" customHeight="1">
      <c r="A252" s="258" t="s">
        <v>2460</v>
      </c>
      <c r="B252" s="263">
        <f>'Dry_Litterbag Placem_Collection'!A33</f>
        <v>31</v>
      </c>
      <c r="C252" s="263" t="str">
        <f>'Dry_Litterbag Placem_Collection'!B33</f>
        <v>Makao</v>
      </c>
      <c r="D252" s="263" t="s">
        <v>2659</v>
      </c>
      <c r="E252" s="263" t="s">
        <v>2660</v>
      </c>
      <c r="F252" s="263">
        <v>4</v>
      </c>
      <c r="G252" s="264" t="str">
        <f>'Dry_Litterbag Placem_Collection'!C33</f>
        <v>Dry_Ag4_T7</v>
      </c>
      <c r="H252" s="265" t="s">
        <v>2541</v>
      </c>
      <c r="I252" s="272" t="s">
        <v>298</v>
      </c>
      <c r="J252" s="223" t="str">
        <f>'WetLitterbags placem_collection'!M33</f>
        <v>R141</v>
      </c>
      <c r="K252" s="225">
        <f>IFERROR(INDEX('Green_rooibos initial weight'!$C$5:$C$1749,MATCH(J252, 'Green_rooibos initial weight'!$A$5:$A$1749,0)),"")</f>
        <v>2.2029999999999998</v>
      </c>
      <c r="L252" s="225">
        <f>IFERROR(K252-(TBIcalc!$H$9+TBIcalc!$H$10),"")</f>
        <v>1.9531999999999998</v>
      </c>
      <c r="M252" s="391">
        <f>AVERAGE(Ashed_controlls!$K$12:$K$14)</f>
        <v>2.2816647271287041</v>
      </c>
      <c r="N252" s="225">
        <f t="shared" si="17"/>
        <v>1.908634524549722</v>
      </c>
      <c r="O252" s="225">
        <f>IF(IFERROR(INDEX('Both teabags AfterWet'!$C$3:$C$841,MATCH(J252,'Both teabags AfterWet'!$A$3:$A$841,0)),"")="","",(IFERROR(INDEX('Both teabags AfterWet'!$C$3:$C$841,MATCH(J252,'Both teabags AfterWet'!$A$3:$A$841,0)),"")))</f>
        <v>1.3197000000000001</v>
      </c>
      <c r="P252" s="225">
        <f>IFERROR(IF(O252&gt;0,O252-(TBIcalc!$H$9),""),"")</f>
        <v>1.1691</v>
      </c>
      <c r="Q252" s="225">
        <f>IFERROR(INDEX('Ashed teabags wet'!$K$2:$K$821,MATCH(J252,'Ashed teabags wet'!$A$2:$A$821,0)),"")</f>
        <v>5.5501460564756266</v>
      </c>
      <c r="R252" s="225">
        <f t="shared" si="21"/>
        <v>1.1042132424537434</v>
      </c>
      <c r="S252" s="226">
        <f>'WetLitterbags placem_collection'!E33</f>
        <v>42767</v>
      </c>
      <c r="T252" s="226">
        <f>IF('WetLitterbags placem_collection'!G33="","",'WetLitterbags placem_collection'!G33)</f>
        <v>42818</v>
      </c>
      <c r="U252" s="227">
        <f t="shared" si="18"/>
        <v>51</v>
      </c>
      <c r="V252" s="225">
        <f t="shared" si="19"/>
        <v>0.7840999999999998</v>
      </c>
      <c r="W252" s="225">
        <f t="shared" si="20"/>
        <v>0.80442128209597863</v>
      </c>
      <c r="X252">
        <f>IFERROR(INDEX(Rainfall_Wet!$O$2:$O$217,MATCH(B252, Rainfall_Wet!$A$2:$A$217,0)),"")</f>
        <v>185.630065823</v>
      </c>
      <c r="Y252" s="231">
        <v>51.960000000000008</v>
      </c>
      <c r="Z252" s="231">
        <v>18.919999999999995</v>
      </c>
      <c r="AA252" s="231">
        <v>29.120000000000005</v>
      </c>
      <c r="AB252" s="232" t="s">
        <v>2673</v>
      </c>
      <c r="AC252" s="231">
        <v>7.8529324790537203</v>
      </c>
      <c r="AD252" t="str">
        <f>IF('WetLitterbags placem_collection'!AB33="","",'WetLitterbags placem_collection'!AB33)</f>
        <v/>
      </c>
      <c r="AE252" t="str">
        <f>IF('WetLitterbags placem_collection'!Z33="","",'WetLitterbags placem_collection'!Z33)</f>
        <v/>
      </c>
      <c r="AF252" s="246" t="str">
        <f>IF('WetLitterbags placem_collection'!AA33="","",'WetLitterbags placem_collection'!AA33)</f>
        <v/>
      </c>
      <c r="AG252" t="str">
        <f>IF('WetLitterbags placem_collection'!AC33="","",'WetLitterbags placem_collection'!AC33)</f>
        <v/>
      </c>
      <c r="AH252" s="240">
        <f>AVERAGE('WetLitterbags placem_collection'!S33,'WetLitterbags placem_collection'!U33)</f>
        <v>33</v>
      </c>
      <c r="AI252">
        <f>AVERAGE('WetLitterbags placem_collection'!R33,'WetLitterbags placem_collection'!T33)</f>
        <v>20.950000000000003</v>
      </c>
      <c r="AJ252">
        <f>INDEX(Coordinates!$B$2:$B$197,MATCH(G252,Coordinates!$J$2:$J$197,0))</f>
        <v>-3.3848409909999999</v>
      </c>
      <c r="AK252">
        <f>INDEX(Coordinates!$C$2:$C$197,MATCH(G252,Coordinates!$J$2:$J$197,0))</f>
        <v>34.818838999999997</v>
      </c>
      <c r="AL252" t="str">
        <f>IF(ISNUMBER(SEARCH("C", 'WetLitterbags placem_collection'!W33)),"YES","NO")</f>
        <v>NO</v>
      </c>
      <c r="AM252" t="str">
        <f>IF(ISNUMBER(SEARCH("H", 'WetLitterbags placem_collection'!W33)),"YES","NO")</f>
        <v>NO</v>
      </c>
      <c r="AN252" t="str">
        <f>IF(ISNUMBER(SEARCH("R", 'WetLitterbags placem_collection'!W33)),"YES","NO")</f>
        <v>YES</v>
      </c>
    </row>
    <row r="253" spans="1:40" ht="15" customHeight="1">
      <c r="A253" s="258" t="s">
        <v>2460</v>
      </c>
      <c r="B253" s="263">
        <f>'Dry_Litterbag Placem_Collection'!A34</f>
        <v>32</v>
      </c>
      <c r="C253" s="263" t="str">
        <f>'Dry_Litterbag Placem_Collection'!B34</f>
        <v>Makao</v>
      </c>
      <c r="D253" s="263" t="s">
        <v>2659</v>
      </c>
      <c r="E253" s="263" t="s">
        <v>2660</v>
      </c>
      <c r="F253" s="263">
        <v>4</v>
      </c>
      <c r="G253" s="264" t="str">
        <f>'Dry_Litterbag Placem_Collection'!C34</f>
        <v>Dry_Ag4_T8</v>
      </c>
      <c r="H253" s="265" t="s">
        <v>2541</v>
      </c>
      <c r="I253" s="272" t="s">
        <v>298</v>
      </c>
      <c r="J253" s="223" t="str">
        <f>'WetLitterbags placem_collection'!M34</f>
        <v>R396</v>
      </c>
      <c r="K253" s="225">
        <f>IFERROR(INDEX('Green_rooibos initial weight'!$C$5:$C$1749,MATCH(J253, 'Green_rooibos initial weight'!$A$5:$A$1749,0)),"")</f>
        <v>2.14</v>
      </c>
      <c r="L253" s="225">
        <f>IFERROR(K253-(TBIcalc!$H$9+TBIcalc!$H$10),"")</f>
        <v>1.8902000000000001</v>
      </c>
      <c r="M253" s="391">
        <f>AVERAGE(Ashed_controlls!$K$12:$K$14)</f>
        <v>2.2816647271287041</v>
      </c>
      <c r="N253" s="225">
        <f t="shared" si="17"/>
        <v>1.8470719733278134</v>
      </c>
      <c r="O253" s="225">
        <f>IF(IFERROR(INDEX('Both teabags AfterWet'!$C$3:$C$841,MATCH(J253,'Both teabags AfterWet'!$A$3:$A$841,0)),"")="","",(IFERROR(INDEX('Both teabags AfterWet'!$C$3:$C$841,MATCH(J253,'Both teabags AfterWet'!$A$3:$A$841,0)),"")))</f>
        <v>1.3464</v>
      </c>
      <c r="P253" s="225">
        <f>IFERROR(IF(O253&gt;0,O253-(TBIcalc!$H$9),""),"")</f>
        <v>1.1958</v>
      </c>
      <c r="Q253" s="225">
        <f>IFERROR(INDEX('Ashed teabags wet'!$K$2:$K$821,MATCH(J253,'Ashed teabags wet'!$A$2:$A$821,0)),"")</f>
        <v>7.5764934434188538</v>
      </c>
      <c r="R253" s="225">
        <f t="shared" si="21"/>
        <v>1.1052002914035972</v>
      </c>
      <c r="S253" s="226">
        <f>'WetLitterbags placem_collection'!E34</f>
        <v>42767</v>
      </c>
      <c r="T253" s="226">
        <f>IF('WetLitterbags placem_collection'!G34="","",'WetLitterbags placem_collection'!G34)</f>
        <v>42818</v>
      </c>
      <c r="U253" s="227">
        <f t="shared" si="18"/>
        <v>51</v>
      </c>
      <c r="V253" s="225">
        <f t="shared" si="19"/>
        <v>0.69440000000000013</v>
      </c>
      <c r="W253" s="225">
        <f t="shared" si="20"/>
        <v>0.74187168192421615</v>
      </c>
      <c r="X253">
        <f>IFERROR(INDEX(Rainfall_Wet!$O$2:$O$217,MATCH(B253, Rainfall_Wet!$A$2:$A$217,0)),"")</f>
        <v>185.630065823</v>
      </c>
      <c r="Y253" s="231">
        <v>51.960000000000008</v>
      </c>
      <c r="Z253" s="231">
        <v>18.919999999999995</v>
      </c>
      <c r="AA253" s="231">
        <v>29.120000000000005</v>
      </c>
      <c r="AB253" s="232" t="s">
        <v>2673</v>
      </c>
      <c r="AC253" s="231">
        <v>8.8529324790537203</v>
      </c>
      <c r="AD253" t="str">
        <f>IF('WetLitterbags placem_collection'!AB34="","",'WetLitterbags placem_collection'!AB34)</f>
        <v/>
      </c>
      <c r="AE253" t="str">
        <f>IF('WetLitterbags placem_collection'!Z34="","",'WetLitterbags placem_collection'!Z34)</f>
        <v/>
      </c>
      <c r="AF253" s="246" t="str">
        <f>IF('WetLitterbags placem_collection'!AA34="","",'WetLitterbags placem_collection'!AA34)</f>
        <v/>
      </c>
      <c r="AG253" t="str">
        <f>IF('WetLitterbags placem_collection'!AC34="","",'WetLitterbags placem_collection'!AC34)</f>
        <v/>
      </c>
      <c r="AH253" s="240">
        <f>AVERAGE('WetLitterbags placem_collection'!S34,'WetLitterbags placem_collection'!U34)</f>
        <v>32.849999999999994</v>
      </c>
      <c r="AI253">
        <f>AVERAGE('WetLitterbags placem_collection'!R34,'WetLitterbags placem_collection'!T34)</f>
        <v>20.9</v>
      </c>
      <c r="AJ253">
        <f>INDEX(Coordinates!$B$2:$B$197,MATCH(G253,Coordinates!$J$2:$J$197,0))</f>
        <v>-3.3849010060000002</v>
      </c>
      <c r="AK253">
        <f>INDEX(Coordinates!$C$2:$C$197,MATCH(G253,Coordinates!$J$2:$J$197,0))</f>
        <v>34.818979990000003</v>
      </c>
      <c r="AL253" t="str">
        <f>IF(ISNUMBER(SEARCH("C", 'WetLitterbags placem_collection'!W34)),"YES","NO")</f>
        <v>NO</v>
      </c>
      <c r="AM253" t="str">
        <f>IF(ISNUMBER(SEARCH("H", 'WetLitterbags placem_collection'!W34)),"YES","NO")</f>
        <v>NO</v>
      </c>
      <c r="AN253" t="str">
        <f>IF(ISNUMBER(SEARCH("R", 'WetLitterbags placem_collection'!W34)),"YES","NO")</f>
        <v>YES</v>
      </c>
    </row>
    <row r="254" spans="1:40" ht="15" customHeight="1">
      <c r="A254" s="258" t="s">
        <v>2460</v>
      </c>
      <c r="B254" s="263">
        <f>'Dry_Litterbag Placem_Collection'!A35</f>
        <v>33</v>
      </c>
      <c r="C254" s="263" t="str">
        <f>'Dry_Litterbag Placem_Collection'!B35</f>
        <v>Makao</v>
      </c>
      <c r="D254" s="263" t="s">
        <v>2659</v>
      </c>
      <c r="E254" s="263" t="s">
        <v>20</v>
      </c>
      <c r="F254" s="263">
        <v>1</v>
      </c>
      <c r="G254" s="264" t="str">
        <f>'Dry_Litterbag Placem_Collection'!C35</f>
        <v>Dry_P1_T1</v>
      </c>
      <c r="H254" s="265" t="s">
        <v>2541</v>
      </c>
      <c r="I254" s="272" t="s">
        <v>298</v>
      </c>
      <c r="J254" s="223" t="str">
        <f>'WetLitterbags placem_collection'!M35</f>
        <v>R109</v>
      </c>
      <c r="K254" s="225">
        <f>IFERROR(INDEX('Green_rooibos initial weight'!$C$5:$C$1749,MATCH(J254, 'Green_rooibos initial weight'!$A$5:$A$1749,0)),"")</f>
        <v>2.2090000000000001</v>
      </c>
      <c r="L254" s="225">
        <f>IFERROR(K254-(TBIcalc!$H$9+TBIcalc!$H$10),"")</f>
        <v>1.9592000000000001</v>
      </c>
      <c r="M254" s="391">
        <f>AVERAGE(Ashed_controlls!$K$12:$K$14)</f>
        <v>2.2816647271287041</v>
      </c>
      <c r="N254" s="225">
        <f t="shared" si="17"/>
        <v>1.9144976246660945</v>
      </c>
      <c r="O254" s="225">
        <f>IF(IFERROR(INDEX('Both teabags AfterWet'!$C$3:$C$841,MATCH(J254,'Both teabags AfterWet'!$A$3:$A$841,0)),"")="","",(IFERROR(INDEX('Both teabags AfterWet'!$C$3:$C$841,MATCH(J254,'Both teabags AfterWet'!$A$3:$A$841,0)),"")))</f>
        <v>0.41499999999999998</v>
      </c>
      <c r="P254" s="225">
        <f>IFERROR(IF(O254&gt;0,O254-(TBIcalc!$H$9),""),"")</f>
        <v>0.26439999999999997</v>
      </c>
      <c r="Q254" s="225" t="str">
        <f>IFERROR(INDEX('Ashed teabags wet'!$K$2:$K$821,MATCH(J254,'Ashed teabags wet'!$A$2:$A$821,0)),"")</f>
        <v/>
      </c>
      <c r="R254" s="225" t="str">
        <f t="shared" si="21"/>
        <v/>
      </c>
      <c r="S254" s="226">
        <f>'WetLitterbags placem_collection'!E35</f>
        <v>42765</v>
      </c>
      <c r="T254" s="226">
        <f>IF('WetLitterbags placem_collection'!G35="","",'WetLitterbags placem_collection'!G35)</f>
        <v>42820</v>
      </c>
      <c r="U254" s="227">
        <f t="shared" si="18"/>
        <v>55</v>
      </c>
      <c r="V254" s="225">
        <f t="shared" si="19"/>
        <v>1.6948000000000001</v>
      </c>
      <c r="W254" s="225" t="str">
        <f t="shared" si="20"/>
        <v/>
      </c>
      <c r="X254">
        <f>IFERROR(INDEX(Rainfall_Wet!$O$2:$O$217,MATCH(B254, Rainfall_Wet!$A$2:$A$217,0)),"")</f>
        <v>228.324359195</v>
      </c>
      <c r="Y254" s="231">
        <v>23.96</v>
      </c>
      <c r="Z254" s="231">
        <v>0.91999999999999804</v>
      </c>
      <c r="AA254" s="231">
        <v>75.12</v>
      </c>
      <c r="AB254" s="232" t="s">
        <v>2670</v>
      </c>
      <c r="AC254" s="231">
        <v>1.2493839329719072</v>
      </c>
      <c r="AD254">
        <f>IF('WetLitterbags placem_collection'!AB35="","",'WetLitterbags placem_collection'!AB35)</f>
        <v>9.5</v>
      </c>
      <c r="AE254">
        <f>IF('WetLitterbags placem_collection'!Z35="","",'WetLitterbags placem_collection'!Z35)</f>
        <v>17.2</v>
      </c>
      <c r="AF254" s="246" t="str">
        <f>IF('WetLitterbags placem_collection'!AA35="","",'WetLitterbags placem_collection'!AA35)</f>
        <v>G</v>
      </c>
      <c r="AG254">
        <f>IF('WetLitterbags placem_collection'!AC35="","",'WetLitterbags placem_collection'!AC35)</f>
        <v>0</v>
      </c>
      <c r="AH254" s="240">
        <f>AVERAGE('WetLitterbags placem_collection'!S35,'WetLitterbags placem_collection'!U35)</f>
        <v>30.5</v>
      </c>
      <c r="AI254">
        <f>AVERAGE('WetLitterbags placem_collection'!R35,'WetLitterbags placem_collection'!T35)</f>
        <v>25.25</v>
      </c>
      <c r="AJ254">
        <f>INDEX(Coordinates!$B$2:$B$197,MATCH(G254,Coordinates!$J$2:$J$197,0))</f>
        <v>-3.4092039989999998</v>
      </c>
      <c r="AK254">
        <f>INDEX(Coordinates!$C$2:$C$197,MATCH(G254,Coordinates!$J$2:$J$197,0))</f>
        <v>34.852751009999999</v>
      </c>
      <c r="AL254" t="str">
        <f>IF(ISNUMBER(SEARCH("C", 'WetLitterbags placem_collection'!W35)),"YES","NO")</f>
        <v>YES</v>
      </c>
      <c r="AM254" t="str">
        <f>IF(ISNUMBER(SEARCH("H", 'WetLitterbags placem_collection'!W35)),"YES","NO")</f>
        <v>YES</v>
      </c>
      <c r="AN254" t="str">
        <f>IF(ISNUMBER(SEARCH("R", 'WetLitterbags placem_collection'!W35)),"YES","NO")</f>
        <v>NO</v>
      </c>
    </row>
    <row r="255" spans="1:40" ht="15" customHeight="1">
      <c r="A255" s="258" t="s">
        <v>2460</v>
      </c>
      <c r="B255" s="263">
        <f>'Dry_Litterbag Placem_Collection'!A36</f>
        <v>34</v>
      </c>
      <c r="C255" s="263" t="str">
        <f>'Dry_Litterbag Placem_Collection'!B36</f>
        <v>Makao</v>
      </c>
      <c r="D255" s="263" t="s">
        <v>2659</v>
      </c>
      <c r="E255" s="263" t="s">
        <v>20</v>
      </c>
      <c r="F255" s="263">
        <v>1</v>
      </c>
      <c r="G255" s="264" t="str">
        <f>'Dry_Litterbag Placem_Collection'!C36</f>
        <v>Dry_P1_T2</v>
      </c>
      <c r="H255" s="265" t="s">
        <v>2541</v>
      </c>
      <c r="I255" s="272" t="s">
        <v>298</v>
      </c>
      <c r="J255" s="223" t="str">
        <f>'WetLitterbags placem_collection'!M36</f>
        <v>R153</v>
      </c>
      <c r="K255" s="225">
        <f>IFERROR(INDEX('Green_rooibos initial weight'!$C$5:$C$1749,MATCH(J255, 'Green_rooibos initial weight'!$A$5:$A$1749,0)),"")</f>
        <v>2.2200000000000002</v>
      </c>
      <c r="L255" s="225">
        <f>IFERROR(K255-(TBIcalc!$H$9+TBIcalc!$H$10),"")</f>
        <v>1.9702000000000002</v>
      </c>
      <c r="M255" s="391">
        <f>AVERAGE(Ashed_controlls!$K$12:$K$14)</f>
        <v>2.2816647271287041</v>
      </c>
      <c r="N255" s="225">
        <f t="shared" si="17"/>
        <v>1.9252466415461105</v>
      </c>
      <c r="O255" s="225">
        <f>IF(IFERROR(INDEX('Both teabags AfterWet'!$C$3:$C$841,MATCH(J255,'Both teabags AfterWet'!$A$3:$A$841,0)),"")="","",(IFERROR(INDEX('Both teabags AfterWet'!$C$3:$C$841,MATCH(J255,'Both teabags AfterWet'!$A$3:$A$841,0)),"")))</f>
        <v>0.34520000000000001</v>
      </c>
      <c r="P255" s="225">
        <f>IFERROR(IF(O255&gt;0,O255-(TBIcalc!$H$9),""),"")</f>
        <v>0.1946</v>
      </c>
      <c r="Q255" s="225" t="str">
        <f>IFERROR(INDEX('Ashed teabags wet'!$K$2:$K$821,MATCH(J255,'Ashed teabags wet'!$A$2:$A$821,0)),"")</f>
        <v/>
      </c>
      <c r="R255" s="225" t="str">
        <f t="shared" si="21"/>
        <v/>
      </c>
      <c r="S255" s="226">
        <f>'WetLitterbags placem_collection'!E36</f>
        <v>42765</v>
      </c>
      <c r="T255" s="226">
        <f>IF('WetLitterbags placem_collection'!G36="","",'WetLitterbags placem_collection'!G36)</f>
        <v>42820</v>
      </c>
      <c r="U255" s="227">
        <f t="shared" si="18"/>
        <v>55</v>
      </c>
      <c r="V255" s="225">
        <f t="shared" si="19"/>
        <v>1.7756000000000003</v>
      </c>
      <c r="W255" s="225" t="str">
        <f t="shared" si="20"/>
        <v/>
      </c>
      <c r="X255">
        <f>IFERROR(INDEX(Rainfall_Wet!$O$2:$O$217,MATCH(B255, Rainfall_Wet!$A$2:$A$217,0)),"")</f>
        <v>228.324359195</v>
      </c>
      <c r="Y255" s="231">
        <v>23.96</v>
      </c>
      <c r="Z255" s="231">
        <v>0.91999999999999804</v>
      </c>
      <c r="AA255" s="231">
        <v>75.12</v>
      </c>
      <c r="AB255" s="232" t="s">
        <v>2670</v>
      </c>
      <c r="AC255" s="231">
        <v>1.2493839329719072</v>
      </c>
      <c r="AD255">
        <f>IF('WetLitterbags placem_collection'!AB36="","",'WetLitterbags placem_collection'!AB36)</f>
        <v>6.5</v>
      </c>
      <c r="AE255">
        <f>IF('WetLitterbags placem_collection'!Z36="","",'WetLitterbags placem_collection'!Z36)</f>
        <v>14.2</v>
      </c>
      <c r="AF255" s="246" t="str">
        <f>IF('WetLitterbags placem_collection'!AA36="","",'WetLitterbags placem_collection'!AA36)</f>
        <v>G</v>
      </c>
      <c r="AG255">
        <f>IF('WetLitterbags placem_collection'!AC36="","",'WetLitterbags placem_collection'!AC36)</f>
        <v>0</v>
      </c>
      <c r="AH255" s="240">
        <f>AVERAGE('WetLitterbags placem_collection'!S36,'WetLitterbags placem_collection'!U36)</f>
        <v>21</v>
      </c>
      <c r="AI255">
        <f>AVERAGE('WetLitterbags placem_collection'!R36,'WetLitterbags placem_collection'!T36)</f>
        <v>25.55</v>
      </c>
      <c r="AJ255">
        <f>INDEX(Coordinates!$B$2:$B$197,MATCH(G255,Coordinates!$J$2:$J$197,0))</f>
        <v>-3.4092350119999999</v>
      </c>
      <c r="AK255">
        <f>INDEX(Coordinates!$C$2:$C$197,MATCH(G255,Coordinates!$J$2:$J$197,0))</f>
        <v>34.852782019999999</v>
      </c>
      <c r="AL255" t="str">
        <f>IF(ISNUMBER(SEARCH("C", 'WetLitterbags placem_collection'!W36)),"YES","NO")</f>
        <v>YES</v>
      </c>
      <c r="AM255" t="str">
        <f>IF(ISNUMBER(SEARCH("H", 'WetLitterbags placem_collection'!W36)),"YES","NO")</f>
        <v>YES</v>
      </c>
      <c r="AN255" t="str">
        <f>IF(ISNUMBER(SEARCH("R", 'WetLitterbags placem_collection'!W36)),"YES","NO")</f>
        <v>NO</v>
      </c>
    </row>
    <row r="256" spans="1:40" ht="15" customHeight="1">
      <c r="A256" s="258" t="s">
        <v>2460</v>
      </c>
      <c r="B256" s="263">
        <f>'Dry_Litterbag Placem_Collection'!A37</f>
        <v>35</v>
      </c>
      <c r="C256" s="263" t="str">
        <f>'Dry_Litterbag Placem_Collection'!B37</f>
        <v>Makao</v>
      </c>
      <c r="D256" s="263" t="s">
        <v>2659</v>
      </c>
      <c r="E256" s="263" t="s">
        <v>20</v>
      </c>
      <c r="F256" s="263">
        <v>1</v>
      </c>
      <c r="G256" s="264" t="str">
        <f>'Dry_Litterbag Placem_Collection'!C37</f>
        <v>Dry_P1_T3</v>
      </c>
      <c r="H256" s="265" t="s">
        <v>2541</v>
      </c>
      <c r="I256" s="272" t="s">
        <v>298</v>
      </c>
      <c r="J256" s="223" t="str">
        <f>'WetLitterbags placem_collection'!M37</f>
        <v>R64</v>
      </c>
      <c r="K256" s="225">
        <f>IFERROR(INDEX('Green_rooibos initial weight'!$C$5:$C$1749,MATCH(J256, 'Green_rooibos initial weight'!$A$5:$A$1749,0)),"")</f>
        <v>2.2879999999999998</v>
      </c>
      <c r="L256" s="225">
        <f>IFERROR(K256-(TBIcalc!$H$9+TBIcalc!$H$10),"")</f>
        <v>2.0381999999999998</v>
      </c>
      <c r="M256" s="391">
        <f>AVERAGE(Ashed_controlls!$K$12:$K$14)</f>
        <v>2.2816647271287041</v>
      </c>
      <c r="N256" s="225">
        <f t="shared" si="17"/>
        <v>1.9916951095316626</v>
      </c>
      <c r="O256" s="225">
        <f>IF(IFERROR(INDEX('Both teabags AfterWet'!$C$3:$C$841,MATCH(J256,'Both teabags AfterWet'!$A$3:$A$841,0)),"")="","",(IFERROR(INDEX('Both teabags AfterWet'!$C$3:$C$841,MATCH(J256,'Both teabags AfterWet'!$A$3:$A$841,0)),"")))</f>
        <v>1.615</v>
      </c>
      <c r="P256" s="225">
        <f>IFERROR(IF(O256&gt;0,O256-(TBIcalc!$H$9),""),"")</f>
        <v>1.4643999999999999</v>
      </c>
      <c r="Q256" s="225">
        <f>IFERROR(INDEX('Ashed teabags wet'!$K$2:$K$821,MATCH(J256,'Ashed teabags wet'!$A$2:$A$821,0)),"")</f>
        <v>5.3045186640471123</v>
      </c>
      <c r="R256" s="225">
        <f t="shared" si="21"/>
        <v>1.3867206286836939</v>
      </c>
      <c r="S256" s="226">
        <f>'WetLitterbags placem_collection'!E37</f>
        <v>42765</v>
      </c>
      <c r="T256" s="226">
        <f>IF('WetLitterbags placem_collection'!G37="","",'WetLitterbags placem_collection'!G37)</f>
        <v>42820</v>
      </c>
      <c r="U256" s="227">
        <f t="shared" si="18"/>
        <v>55</v>
      </c>
      <c r="V256" s="225">
        <f t="shared" si="19"/>
        <v>0.57379999999999987</v>
      </c>
      <c r="W256" s="225">
        <f t="shared" si="20"/>
        <v>0.60497448084796868</v>
      </c>
      <c r="X256">
        <f>IFERROR(INDEX(Rainfall_Wet!$O$2:$O$217,MATCH(B256, Rainfall_Wet!$A$2:$A$217,0)),"")</f>
        <v>228.324359195</v>
      </c>
      <c r="Y256" s="231">
        <v>23.96</v>
      </c>
      <c r="Z256" s="231">
        <v>0.91999999999999804</v>
      </c>
      <c r="AA256" s="231">
        <v>75.12</v>
      </c>
      <c r="AB256" s="232" t="s">
        <v>2670</v>
      </c>
      <c r="AC256" s="231">
        <v>1.2493839329719072</v>
      </c>
      <c r="AD256">
        <f>IF('WetLitterbags placem_collection'!AB37="","",'WetLitterbags placem_collection'!AB37)</f>
        <v>0.7</v>
      </c>
      <c r="AE256">
        <f>IF('WetLitterbags placem_collection'!Z37="","",'WetLitterbags placem_collection'!Z37)</f>
        <v>10.6</v>
      </c>
      <c r="AF256" s="246" t="str">
        <f>IF('WetLitterbags placem_collection'!AA37="","",'WetLitterbags placem_collection'!AA37)</f>
        <v>G</v>
      </c>
      <c r="AG256">
        <f>IF('WetLitterbags placem_collection'!AC37="","",'WetLitterbags placem_collection'!AC37)</f>
        <v>0</v>
      </c>
      <c r="AH256" s="240">
        <f>AVERAGE('WetLitterbags placem_collection'!S37,'WetLitterbags placem_collection'!U37)</f>
        <v>10.9</v>
      </c>
      <c r="AI256">
        <f>AVERAGE('WetLitterbags placem_collection'!R37,'WetLitterbags placem_collection'!T37)</f>
        <v>24.45</v>
      </c>
      <c r="AJ256">
        <f>INDEX(Coordinates!$B$2:$B$197,MATCH(G256,Coordinates!$J$2:$J$197,0))</f>
        <v>-3.409177009</v>
      </c>
      <c r="AK256">
        <f>INDEX(Coordinates!$C$2:$C$197,MATCH(G256,Coordinates!$J$2:$J$197,0))</f>
        <v>34.852818990000003</v>
      </c>
      <c r="AL256" t="str">
        <f>IF(ISNUMBER(SEARCH("C", 'WetLitterbags placem_collection'!W37)),"YES","NO")</f>
        <v>NO</v>
      </c>
      <c r="AM256" t="str">
        <f>IF(ISNUMBER(SEARCH("H", 'WetLitterbags placem_collection'!W37)),"YES","NO")</f>
        <v>NO</v>
      </c>
      <c r="AN256" t="str">
        <f>IF(ISNUMBER(SEARCH("R", 'WetLitterbags placem_collection'!W37)),"YES","NO")</f>
        <v>NO</v>
      </c>
    </row>
    <row r="257" spans="1:40" ht="15" customHeight="1">
      <c r="A257" s="258" t="s">
        <v>2460</v>
      </c>
      <c r="B257" s="263">
        <f>'Dry_Litterbag Placem_Collection'!A38</f>
        <v>36</v>
      </c>
      <c r="C257" s="263" t="str">
        <f>'Dry_Litterbag Placem_Collection'!B38</f>
        <v>Makao</v>
      </c>
      <c r="D257" s="263" t="s">
        <v>2659</v>
      </c>
      <c r="E257" s="263" t="s">
        <v>20</v>
      </c>
      <c r="F257" s="263">
        <v>1</v>
      </c>
      <c r="G257" s="264" t="str">
        <f>'Dry_Litterbag Placem_Collection'!C38</f>
        <v>Dry_P1_T4</v>
      </c>
      <c r="H257" s="265" t="s">
        <v>2541</v>
      </c>
      <c r="I257" s="272" t="s">
        <v>298</v>
      </c>
      <c r="J257" s="223" t="str">
        <f>'WetLitterbags placem_collection'!M38</f>
        <v>R126</v>
      </c>
      <c r="K257" s="225">
        <f>IFERROR(INDEX('Green_rooibos initial weight'!$C$5:$C$1749,MATCH(J257, 'Green_rooibos initial weight'!$A$5:$A$1749,0)),"")</f>
        <v>2.2400000000000002</v>
      </c>
      <c r="L257" s="225">
        <f>IFERROR(K257-(TBIcalc!$H$9+TBIcalc!$H$10),"")</f>
        <v>1.9902000000000002</v>
      </c>
      <c r="M257" s="391">
        <f>AVERAGE(Ashed_controlls!$K$12:$K$14)</f>
        <v>2.2816647271287041</v>
      </c>
      <c r="N257" s="225">
        <f t="shared" si="17"/>
        <v>1.9447903086006848</v>
      </c>
      <c r="O257" s="225">
        <f>IF(IFERROR(INDEX('Both teabags AfterWet'!$C$3:$C$841,MATCH(J257,'Both teabags AfterWet'!$A$3:$A$841,0)),"")="","",(IFERROR(INDEX('Both teabags AfterWet'!$C$3:$C$841,MATCH(J257,'Both teabags AfterWet'!$A$3:$A$841,0)),"")))</f>
        <v>1.6180000000000001</v>
      </c>
      <c r="P257" s="225">
        <f>IFERROR(IF(O257&gt;0,O257-(TBIcalc!$H$9),""),"")</f>
        <v>1.4674</v>
      </c>
      <c r="Q257" s="225">
        <f>IFERROR(INDEX('Ashed teabags wet'!$K$2:$K$821,MATCH(J257,'Ashed teabags wet'!$A$2:$A$821,0)),"")</f>
        <v>3.2897919690366213</v>
      </c>
      <c r="R257" s="225">
        <f t="shared" si="21"/>
        <v>1.4191255926463566</v>
      </c>
      <c r="S257" s="226">
        <f>'WetLitterbags placem_collection'!E38</f>
        <v>42765</v>
      </c>
      <c r="T257" s="226">
        <f>IF('WetLitterbags placem_collection'!G38="","",'WetLitterbags placem_collection'!G38)</f>
        <v>42820</v>
      </c>
      <c r="U257" s="227">
        <f t="shared" si="18"/>
        <v>55</v>
      </c>
      <c r="V257" s="225">
        <f t="shared" si="19"/>
        <v>0.52280000000000015</v>
      </c>
      <c r="W257" s="225">
        <f t="shared" si="20"/>
        <v>0.52566471595432818</v>
      </c>
      <c r="X257">
        <f>IFERROR(INDEX(Rainfall_Wet!$O$2:$O$217,MATCH(B257, Rainfall_Wet!$A$2:$A$217,0)),"")</f>
        <v>228.324359195</v>
      </c>
      <c r="Y257" s="231">
        <v>23.96</v>
      </c>
      <c r="Z257" s="231">
        <v>0.91999999999999804</v>
      </c>
      <c r="AA257" s="231">
        <v>75.12</v>
      </c>
      <c r="AB257" s="232" t="s">
        <v>2670</v>
      </c>
      <c r="AC257" s="231">
        <v>1.2493839329719072</v>
      </c>
      <c r="AD257">
        <f>IF('WetLitterbags placem_collection'!AB38="","",'WetLitterbags placem_collection'!AB38)</f>
        <v>3.3</v>
      </c>
      <c r="AE257">
        <f>IF('WetLitterbags placem_collection'!Z38="","",'WetLitterbags placem_collection'!Z38)</f>
        <v>4.9000000000000004</v>
      </c>
      <c r="AF257" s="246" t="str">
        <f>IF('WetLitterbags placem_collection'!AA38="","",'WetLitterbags placem_collection'!AA38)</f>
        <v>G</v>
      </c>
      <c r="AG257">
        <f>IF('WetLitterbags placem_collection'!AC38="","",'WetLitterbags placem_collection'!AC38)</f>
        <v>1</v>
      </c>
      <c r="AH257" s="240">
        <f>AVERAGE('WetLitterbags placem_collection'!S38,'WetLitterbags placem_collection'!U38)</f>
        <v>14.1</v>
      </c>
      <c r="AI257">
        <f>AVERAGE('WetLitterbags placem_collection'!R38,'WetLitterbags placem_collection'!T38)</f>
        <v>24.75</v>
      </c>
      <c r="AJ257">
        <f>INDEX(Coordinates!$B$2:$B$197,MATCH(G257,Coordinates!$J$2:$J$197,0))</f>
        <v>-3.40917198</v>
      </c>
      <c r="AK257">
        <f>INDEX(Coordinates!$C$2:$C$197,MATCH(G257,Coordinates!$J$2:$J$197,0))</f>
        <v>34.852960979999999</v>
      </c>
      <c r="AL257" t="str">
        <f>IF(ISNUMBER(SEARCH("C", 'WetLitterbags placem_collection'!W38)),"YES","NO")</f>
        <v>YES</v>
      </c>
      <c r="AM257" t="str">
        <f>IF(ISNUMBER(SEARCH("H", 'WetLitterbags placem_collection'!W38)),"YES","NO")</f>
        <v>NO</v>
      </c>
      <c r="AN257" t="str">
        <f>IF(ISNUMBER(SEARCH("R", 'WetLitterbags placem_collection'!W38)),"YES","NO")</f>
        <v>YES</v>
      </c>
    </row>
    <row r="258" spans="1:40" ht="15" customHeight="1">
      <c r="A258" s="258" t="s">
        <v>2460</v>
      </c>
      <c r="B258" s="263">
        <f>'Dry_Litterbag Placem_Collection'!A39</f>
        <v>37</v>
      </c>
      <c r="C258" s="263" t="str">
        <f>'Dry_Litterbag Placem_Collection'!B39</f>
        <v>Makao</v>
      </c>
      <c r="D258" s="263" t="s">
        <v>2659</v>
      </c>
      <c r="E258" s="263" t="s">
        <v>20</v>
      </c>
      <c r="F258" s="263">
        <v>1</v>
      </c>
      <c r="G258" s="264" t="str">
        <f>'Dry_Litterbag Placem_Collection'!C39</f>
        <v>Dry_P1_T5</v>
      </c>
      <c r="H258" s="265" t="s">
        <v>2541</v>
      </c>
      <c r="I258" s="272" t="s">
        <v>298</v>
      </c>
      <c r="J258" s="223" t="str">
        <f>'WetLitterbags placem_collection'!M39</f>
        <v>R63</v>
      </c>
      <c r="K258" s="225">
        <f>IFERROR(INDEX('Green_rooibos initial weight'!$C$5:$C$1749,MATCH(J258, 'Green_rooibos initial weight'!$A$5:$A$1749,0)),"")</f>
        <v>2.1749999999999998</v>
      </c>
      <c r="L258" s="225">
        <f>IFERROR(K258-(TBIcalc!$H$9+TBIcalc!$H$10),"")</f>
        <v>1.9251999999999998</v>
      </c>
      <c r="M258" s="391">
        <f>AVERAGE(Ashed_controlls!$K$12:$K$14)</f>
        <v>2.2816647271287041</v>
      </c>
      <c r="N258" s="225">
        <f t="shared" si="17"/>
        <v>1.8812733906733179</v>
      </c>
      <c r="O258" s="225">
        <f>IF(IFERROR(INDEX('Both teabags AfterWet'!$C$3:$C$841,MATCH(J258,'Both teabags AfterWet'!$A$3:$A$841,0)),"")="","",(IFERROR(INDEX('Both teabags AfterWet'!$C$3:$C$841,MATCH(J258,'Both teabags AfterWet'!$A$3:$A$841,0)),"")))</f>
        <v>1.3620000000000001</v>
      </c>
      <c r="P258" s="225">
        <f>IFERROR(IF(O258&gt;0,O258-(TBIcalc!$H$9),""),"")</f>
        <v>1.2114</v>
      </c>
      <c r="Q258" s="225">
        <f>IFERROR(INDEX('Ashed teabags wet'!$K$2:$K$821,MATCH(J258,'Ashed teabags wet'!$A$2:$A$821,0)),"")</f>
        <v>70.931372549019429</v>
      </c>
      <c r="R258" s="225">
        <f t="shared" si="21"/>
        <v>0.35213735294117854</v>
      </c>
      <c r="S258" s="226">
        <f>'WetLitterbags placem_collection'!E39</f>
        <v>42765</v>
      </c>
      <c r="T258" s="226">
        <f>IF('WetLitterbags placem_collection'!G39="","",'WetLitterbags placem_collection'!G39)</f>
        <v>42820</v>
      </c>
      <c r="U258" s="227">
        <f t="shared" si="18"/>
        <v>55</v>
      </c>
      <c r="V258" s="225">
        <f t="shared" si="19"/>
        <v>0.71379999999999977</v>
      </c>
      <c r="W258" s="225">
        <f t="shared" si="20"/>
        <v>1.5291360377321395</v>
      </c>
      <c r="X258">
        <f>IFERROR(INDEX(Rainfall_Wet!$O$2:$O$217,MATCH(B258, Rainfall_Wet!$A$2:$A$217,0)),"")</f>
        <v>228.324359195</v>
      </c>
      <c r="Y258" s="231">
        <v>23.96</v>
      </c>
      <c r="Z258" s="231">
        <v>0.91999999999999804</v>
      </c>
      <c r="AA258" s="231">
        <v>75.12</v>
      </c>
      <c r="AB258" s="232" t="s">
        <v>2670</v>
      </c>
      <c r="AC258" s="231">
        <v>1.2493839329719072</v>
      </c>
      <c r="AD258">
        <f>IF('WetLitterbags placem_collection'!AB39="","",'WetLitterbags placem_collection'!AB39)</f>
        <v>8.3000000000000007</v>
      </c>
      <c r="AE258">
        <f>IF('WetLitterbags placem_collection'!Z39="","",'WetLitterbags placem_collection'!Z39)</f>
        <v>27.8</v>
      </c>
      <c r="AF258" s="246" t="str">
        <f>IF('WetLitterbags placem_collection'!AA39="","",'WetLitterbags placem_collection'!AA39)</f>
        <v>G</v>
      </c>
      <c r="AG258">
        <f>IF('WetLitterbags placem_collection'!AC39="","",'WetLitterbags placem_collection'!AC39)</f>
        <v>0</v>
      </c>
      <c r="AH258" s="240">
        <f>AVERAGE('WetLitterbags placem_collection'!S39,'WetLitterbags placem_collection'!U39)</f>
        <v>19.299999999999997</v>
      </c>
      <c r="AI258">
        <f>AVERAGE('WetLitterbags placem_collection'!R39,'WetLitterbags placem_collection'!T39)</f>
        <v>24.55</v>
      </c>
      <c r="AJ258">
        <f>INDEX(Coordinates!$B$2:$B$197,MATCH(G258,Coordinates!$J$2:$J$197,0))</f>
        <v>-3.4090709779999999</v>
      </c>
      <c r="AK258">
        <f>INDEX(Coordinates!$C$2:$C$197,MATCH(G258,Coordinates!$J$2:$J$197,0))</f>
        <v>34.852712029999999</v>
      </c>
      <c r="AL258" t="str">
        <f>IF(ISNUMBER(SEARCH("C", 'WetLitterbags placem_collection'!W39)),"YES","NO")</f>
        <v>YES</v>
      </c>
      <c r="AM258" t="str">
        <f>IF(ISNUMBER(SEARCH("H", 'WetLitterbags placem_collection'!W39)),"YES","NO")</f>
        <v>YES</v>
      </c>
      <c r="AN258" t="str">
        <f>IF(ISNUMBER(SEARCH("R", 'WetLitterbags placem_collection'!W39)),"YES","NO")</f>
        <v>YES</v>
      </c>
    </row>
    <row r="259" spans="1:40" ht="15" customHeight="1">
      <c r="A259" s="258" t="s">
        <v>2460</v>
      </c>
      <c r="B259" s="263">
        <f>'Dry_Litterbag Placem_Collection'!A40</f>
        <v>38</v>
      </c>
      <c r="C259" s="263" t="str">
        <f>'Dry_Litterbag Placem_Collection'!B40</f>
        <v>Makao</v>
      </c>
      <c r="D259" s="263" t="s">
        <v>2659</v>
      </c>
      <c r="E259" s="263" t="s">
        <v>20</v>
      </c>
      <c r="F259" s="263">
        <v>1</v>
      </c>
      <c r="G259" s="264" t="str">
        <f>'Dry_Litterbag Placem_Collection'!C40</f>
        <v>Dry_P1_T6</v>
      </c>
      <c r="H259" s="265" t="s">
        <v>2541</v>
      </c>
      <c r="I259" s="272" t="s">
        <v>298</v>
      </c>
      <c r="J259" s="223" t="str">
        <f>'WetLitterbags placem_collection'!M40</f>
        <v>R87</v>
      </c>
      <c r="K259" s="225">
        <f>IFERROR(INDEX('Green_rooibos initial weight'!$C$5:$C$1749,MATCH(J259, 'Green_rooibos initial weight'!$A$5:$A$1749,0)),"")</f>
        <v>2.2930000000000001</v>
      </c>
      <c r="L259" s="225">
        <f>IFERROR(K259-(TBIcalc!$H$9+TBIcalc!$H$10),"")</f>
        <v>2.0432000000000001</v>
      </c>
      <c r="M259" s="391">
        <f>AVERAGE(Ashed_controlls!$K$12:$K$14)</f>
        <v>2.2816647271287041</v>
      </c>
      <c r="N259" s="225">
        <f t="shared" ref="N259:N322" si="22">IFERROR(L259-(M259/100)*L259,"")</f>
        <v>1.9965810262953065</v>
      </c>
      <c r="O259" s="225">
        <f>IF(IFERROR(INDEX('Both teabags AfterWet'!$C$3:$C$841,MATCH(J259,'Both teabags AfterWet'!$A$3:$A$841,0)),"")="","",(IFERROR(INDEX('Both teabags AfterWet'!$C$3:$C$841,MATCH(J259,'Both teabags AfterWet'!$A$3:$A$841,0)),"")))</f>
        <v>1.1399999999999999</v>
      </c>
      <c r="P259" s="225">
        <f>IFERROR(IF(O259&gt;0,O259-(TBIcalc!$H$9),""),"")</f>
        <v>0.98939999999999984</v>
      </c>
      <c r="Q259" s="225">
        <f>IFERROR(INDEX('Ashed teabags wet'!$K$2:$K$821,MATCH(J259,'Ashed teabags wet'!$A$2:$A$821,0)),"")</f>
        <v>21.801629132725651</v>
      </c>
      <c r="R259" s="225">
        <f t="shared" si="21"/>
        <v>0.77369468136081232</v>
      </c>
      <c r="S259" s="226">
        <f>'WetLitterbags placem_collection'!E40</f>
        <v>42765</v>
      </c>
      <c r="T259" s="226">
        <f>IF('WetLitterbags placem_collection'!G40="","",'WetLitterbags placem_collection'!G40)</f>
        <v>42820</v>
      </c>
      <c r="U259" s="227">
        <f t="shared" ref="U259:U322" si="23">IFERROR(T259-S259,"")</f>
        <v>55</v>
      </c>
      <c r="V259" s="225">
        <f t="shared" ref="V259:V322" si="24">IFERROR(L259-P259,"")</f>
        <v>1.0538000000000003</v>
      </c>
      <c r="W259" s="225">
        <f t="shared" ref="W259:W322" si="25">IFERROR(N259-R259,"")</f>
        <v>1.2228863449344942</v>
      </c>
      <c r="X259">
        <f>IFERROR(INDEX(Rainfall_Wet!$O$2:$O$217,MATCH(B259, Rainfall_Wet!$A$2:$A$217,0)),"")</f>
        <v>228.324359195</v>
      </c>
      <c r="Y259" s="231">
        <v>23.96</v>
      </c>
      <c r="Z259" s="231">
        <v>0.91999999999999804</v>
      </c>
      <c r="AA259" s="231">
        <v>75.12</v>
      </c>
      <c r="AB259" s="232" t="s">
        <v>2670</v>
      </c>
      <c r="AC259" s="231">
        <v>1.2493839329719072</v>
      </c>
      <c r="AD259">
        <f>IF('WetLitterbags placem_collection'!AB40="","",'WetLitterbags placem_collection'!AB40)</f>
        <v>2</v>
      </c>
      <c r="AE259">
        <f>IF('WetLitterbags placem_collection'!Z40="","",'WetLitterbags placem_collection'!Z40)</f>
        <v>20.399999999999999</v>
      </c>
      <c r="AF259" s="246" t="str">
        <f>IF('WetLitterbags placem_collection'!AA40="","",'WetLitterbags placem_collection'!AA40)</f>
        <v>O</v>
      </c>
      <c r="AG259">
        <f>IF('WetLitterbags placem_collection'!AC40="","",'WetLitterbags placem_collection'!AC40)</f>
        <v>0</v>
      </c>
      <c r="AH259" s="240">
        <f>AVERAGE('WetLitterbags placem_collection'!S40,'WetLitterbags placem_collection'!U40)</f>
        <v>20.9</v>
      </c>
      <c r="AI259">
        <f>AVERAGE('WetLitterbags placem_collection'!R40,'WetLitterbags placem_collection'!T40)</f>
        <v>24.1</v>
      </c>
      <c r="AJ259">
        <f>INDEX(Coordinates!$B$2:$B$197,MATCH(G259,Coordinates!$J$2:$J$197,0))</f>
        <v>-3.409280023</v>
      </c>
      <c r="AK259">
        <f>INDEX(Coordinates!$C$2:$C$197,MATCH(G259,Coordinates!$J$2:$J$197,0))</f>
        <v>34.852612960000002</v>
      </c>
      <c r="AL259" t="str">
        <f>IF(ISNUMBER(SEARCH("C", 'WetLitterbags placem_collection'!W40)),"YES","NO")</f>
        <v>YES</v>
      </c>
      <c r="AM259" t="str">
        <f>IF(ISNUMBER(SEARCH("H", 'WetLitterbags placem_collection'!W40)),"YES","NO")</f>
        <v>YES</v>
      </c>
      <c r="AN259" t="str">
        <f>IF(ISNUMBER(SEARCH("R", 'WetLitterbags placem_collection'!W40)),"YES","NO")</f>
        <v>NO</v>
      </c>
    </row>
    <row r="260" spans="1:40" ht="15" customHeight="1">
      <c r="A260" s="258" t="s">
        <v>2460</v>
      </c>
      <c r="B260" s="263">
        <f>'Dry_Litterbag Placem_Collection'!A41</f>
        <v>39</v>
      </c>
      <c r="C260" s="263" t="str">
        <f>'Dry_Litterbag Placem_Collection'!B41</f>
        <v>Makao</v>
      </c>
      <c r="D260" s="263" t="s">
        <v>2659</v>
      </c>
      <c r="E260" s="263" t="s">
        <v>20</v>
      </c>
      <c r="F260" s="263">
        <v>1</v>
      </c>
      <c r="G260" s="264" t="str">
        <f>'Dry_Litterbag Placem_Collection'!C41</f>
        <v>Dry_P1_T7</v>
      </c>
      <c r="H260" s="265" t="s">
        <v>2541</v>
      </c>
      <c r="I260" s="272" t="s">
        <v>298</v>
      </c>
      <c r="J260" s="223" t="str">
        <f>'WetLitterbags placem_collection'!M41</f>
        <v>R437</v>
      </c>
      <c r="K260" s="225">
        <f>IFERROR(INDEX('Green_rooibos initial weight'!$C$5:$C$1749,MATCH(J260, 'Green_rooibos initial weight'!$A$5:$A$1749,0)),"")</f>
        <v>2.1970000000000001</v>
      </c>
      <c r="L260" s="225">
        <f>IFERROR(K260-(TBIcalc!$H$9+TBIcalc!$H$10),"")</f>
        <v>1.9472</v>
      </c>
      <c r="M260" s="391">
        <f>AVERAGE(Ashed_controlls!$K$12:$K$14)</f>
        <v>2.2816647271287041</v>
      </c>
      <c r="N260" s="225">
        <f t="shared" si="22"/>
        <v>1.90277142443335</v>
      </c>
      <c r="O260" s="225">
        <f>IF(IFERROR(INDEX('Both teabags AfterWet'!$C$3:$C$841,MATCH(J260,'Both teabags AfterWet'!$A$3:$A$841,0)),"")="","",(IFERROR(INDEX('Both teabags AfterWet'!$C$3:$C$841,MATCH(J260,'Both teabags AfterWet'!$A$3:$A$841,0)),"")))</f>
        <v>1.4531000000000001</v>
      </c>
      <c r="P260" s="225">
        <f>IFERROR(IF(O260&gt;0,O260-(TBIcalc!$H$9),""),"")</f>
        <v>1.3025</v>
      </c>
      <c r="Q260" s="225">
        <f>IFERROR(INDEX('Ashed teabags wet'!$K$2:$K$821,MATCH(J260,'Ashed teabags wet'!$A$2:$A$821,0)),"")</f>
        <v>3.6638983878844686</v>
      </c>
      <c r="R260" s="225">
        <f t="shared" si="21"/>
        <v>1.2547777234978048</v>
      </c>
      <c r="S260" s="226">
        <f>'WetLitterbags placem_collection'!E41</f>
        <v>42765</v>
      </c>
      <c r="T260" s="226">
        <f>IF('WetLitterbags placem_collection'!G41="","",'WetLitterbags placem_collection'!G41)</f>
        <v>42820</v>
      </c>
      <c r="U260" s="227">
        <f t="shared" si="23"/>
        <v>55</v>
      </c>
      <c r="V260" s="225">
        <f t="shared" si="24"/>
        <v>0.64470000000000005</v>
      </c>
      <c r="W260" s="225">
        <f t="shared" si="25"/>
        <v>0.6479937009355452</v>
      </c>
      <c r="X260">
        <f>IFERROR(INDEX(Rainfall_Wet!$O$2:$O$217,MATCH(B260, Rainfall_Wet!$A$2:$A$217,0)),"")</f>
        <v>228.324359195</v>
      </c>
      <c r="Y260" s="231">
        <v>23.96</v>
      </c>
      <c r="Z260" s="231">
        <v>0.91999999999999804</v>
      </c>
      <c r="AA260" s="231">
        <v>75.12</v>
      </c>
      <c r="AB260" s="232" t="s">
        <v>2670</v>
      </c>
      <c r="AC260" s="231">
        <v>1.2493839329719072</v>
      </c>
      <c r="AD260">
        <f>IF('WetLitterbags placem_collection'!AB41="","",'WetLitterbags placem_collection'!AB41)</f>
        <v>2.4</v>
      </c>
      <c r="AE260">
        <f>IF('WetLitterbags placem_collection'!Z41="","",'WetLitterbags placem_collection'!Z41)</f>
        <v>18</v>
      </c>
      <c r="AF260" s="246" t="str">
        <f>IF('WetLitterbags placem_collection'!AA41="","",'WetLitterbags placem_collection'!AA41)</f>
        <v>G</v>
      </c>
      <c r="AG260">
        <f>IF('WetLitterbags placem_collection'!AC41="","",'WetLitterbags placem_collection'!AC41)</f>
        <v>1</v>
      </c>
      <c r="AH260" s="240">
        <f>AVERAGE('WetLitterbags placem_collection'!S41,'WetLitterbags placem_collection'!U41)</f>
        <v>26.9</v>
      </c>
      <c r="AI260">
        <f>AVERAGE('WetLitterbags placem_collection'!R41,'WetLitterbags placem_collection'!T41)</f>
        <v>23.299999999999997</v>
      </c>
      <c r="AJ260">
        <f>INDEX(Coordinates!$B$2:$B$197,MATCH(G260,Coordinates!$J$2:$J$197,0))</f>
        <v>-3.4093859700000002</v>
      </c>
      <c r="AK260">
        <f>INDEX(Coordinates!$C$2:$C$197,MATCH(G260,Coordinates!$J$2:$J$197,0))</f>
        <v>34.852855030000001</v>
      </c>
      <c r="AL260" t="str">
        <f>IF(ISNUMBER(SEARCH("C", 'WetLitterbags placem_collection'!W41)),"YES","NO")</f>
        <v>NO</v>
      </c>
      <c r="AM260" t="str">
        <f>IF(ISNUMBER(SEARCH("H", 'WetLitterbags placem_collection'!W41)),"YES","NO")</f>
        <v>NO</v>
      </c>
      <c r="AN260" t="str">
        <f>IF(ISNUMBER(SEARCH("R", 'WetLitterbags placem_collection'!W41)),"YES","NO")</f>
        <v>YES</v>
      </c>
    </row>
    <row r="261" spans="1:40" ht="15" customHeight="1">
      <c r="A261" s="258" t="s">
        <v>2460</v>
      </c>
      <c r="B261" s="263">
        <f>'Dry_Litterbag Placem_Collection'!A42</f>
        <v>40</v>
      </c>
      <c r="C261" s="263" t="str">
        <f>'Dry_Litterbag Placem_Collection'!B42</f>
        <v>Makao</v>
      </c>
      <c r="D261" s="263" t="s">
        <v>2659</v>
      </c>
      <c r="E261" s="263" t="s">
        <v>20</v>
      </c>
      <c r="F261" s="263">
        <v>1</v>
      </c>
      <c r="G261" s="264" t="str">
        <f>'Dry_Litterbag Placem_Collection'!C42</f>
        <v>Dry_P1_T8</v>
      </c>
      <c r="H261" s="265" t="s">
        <v>2541</v>
      </c>
      <c r="I261" s="272" t="s">
        <v>298</v>
      </c>
      <c r="J261" s="223" t="str">
        <f>'WetLitterbags placem_collection'!M42</f>
        <v>R114</v>
      </c>
      <c r="K261" s="225">
        <f>IFERROR(INDEX('Green_rooibos initial weight'!$C$5:$C$1749,MATCH(J261, 'Green_rooibos initial weight'!$A$5:$A$1749,0)),"")</f>
        <v>2.2450000000000001</v>
      </c>
      <c r="L261" s="225">
        <f>IFERROR(K261-(TBIcalc!$H$9+TBIcalc!$H$10),"")</f>
        <v>1.9952000000000001</v>
      </c>
      <c r="M261" s="391">
        <f>AVERAGE(Ashed_controlls!$K$12:$K$14)</f>
        <v>2.2816647271287041</v>
      </c>
      <c r="N261" s="225">
        <f t="shared" si="22"/>
        <v>1.9496762253643283</v>
      </c>
      <c r="O261" s="225">
        <f>IF(IFERROR(INDEX('Both teabags AfterWet'!$C$3:$C$841,MATCH(J261,'Both teabags AfterWet'!$A$3:$A$841,0)),"")="","",(IFERROR(INDEX('Both teabags AfterWet'!$C$3:$C$841,MATCH(J261,'Both teabags AfterWet'!$A$3:$A$841,0)),"")))</f>
        <v>2.2269999999999999</v>
      </c>
      <c r="P261" s="225">
        <f>IFERROR(IF(O261&gt;0,O261-(TBIcalc!$H$9),""),"")</f>
        <v>2.0764</v>
      </c>
      <c r="Q261" s="225">
        <f>IFERROR(INDEX('Ashed teabags wet'!$K$2:$K$821,MATCH(J261,'Ashed teabags wet'!$A$2:$A$821,0)),"")</f>
        <v>24.826560951436655</v>
      </c>
      <c r="R261" s="225">
        <f t="shared" si="21"/>
        <v>1.5609012884043694</v>
      </c>
      <c r="S261" s="226">
        <f>'WetLitterbags placem_collection'!E42</f>
        <v>42765</v>
      </c>
      <c r="T261" s="226">
        <f>IF('WetLitterbags placem_collection'!G42="","",'WetLitterbags placem_collection'!G42)</f>
        <v>42820</v>
      </c>
      <c r="U261" s="227">
        <f t="shared" si="23"/>
        <v>55</v>
      </c>
      <c r="V261" s="225">
        <f t="shared" si="24"/>
        <v>-8.1199999999999939E-2</v>
      </c>
      <c r="W261" s="225">
        <f t="shared" si="25"/>
        <v>0.38877493695995891</v>
      </c>
      <c r="X261">
        <f>IFERROR(INDEX(Rainfall_Wet!$O$2:$O$217,MATCH(B261, Rainfall_Wet!$A$2:$A$217,0)),"")</f>
        <v>228.324359195</v>
      </c>
      <c r="Y261" s="231">
        <v>23.96</v>
      </c>
      <c r="Z261" s="231">
        <v>0.91999999999999804</v>
      </c>
      <c r="AA261" s="231">
        <v>75.12</v>
      </c>
      <c r="AB261" s="232" t="s">
        <v>2670</v>
      </c>
      <c r="AC261" s="231">
        <v>1.2493839329719072</v>
      </c>
      <c r="AD261">
        <f>IF('WetLitterbags placem_collection'!AB42="","",'WetLitterbags placem_collection'!AB42)</f>
        <v>8.6999999999999993</v>
      </c>
      <c r="AE261">
        <f>IF('WetLitterbags placem_collection'!Z42="","",'WetLitterbags placem_collection'!Z42)</f>
        <v>19.3</v>
      </c>
      <c r="AF261" s="246" t="str">
        <f>IF('WetLitterbags placem_collection'!AA42="","",'WetLitterbags placem_collection'!AA42)</f>
        <v>G</v>
      </c>
      <c r="AG261">
        <f>IF('WetLitterbags placem_collection'!AC42="","",'WetLitterbags placem_collection'!AC42)</f>
        <v>0</v>
      </c>
      <c r="AH261" s="240">
        <f>AVERAGE('WetLitterbags placem_collection'!S42,'WetLitterbags placem_collection'!U42)</f>
        <v>31.9</v>
      </c>
      <c r="AI261">
        <f>AVERAGE('WetLitterbags placem_collection'!R42,'WetLitterbags placem_collection'!T42)</f>
        <v>23.9</v>
      </c>
      <c r="AJ261">
        <f>INDEX(Coordinates!$B$2:$B$197,MATCH(G261,Coordinates!$J$2:$J$197,0))</f>
        <v>-3.4091539590000002</v>
      </c>
      <c r="AK261">
        <f>INDEX(Coordinates!$C$2:$C$197,MATCH(G261,Coordinates!$J$2:$J$197,0))</f>
        <v>34.852755029999997</v>
      </c>
      <c r="AL261" t="str">
        <f>IF(ISNUMBER(SEARCH("C", 'WetLitterbags placem_collection'!W42)),"YES","NO")</f>
        <v>NO</v>
      </c>
      <c r="AM261" t="str">
        <f>IF(ISNUMBER(SEARCH("H", 'WetLitterbags placem_collection'!W42)),"YES","NO")</f>
        <v>YES</v>
      </c>
      <c r="AN261" t="str">
        <f>IF(ISNUMBER(SEARCH("R", 'WetLitterbags placem_collection'!W42)),"YES","NO")</f>
        <v>NO</v>
      </c>
    </row>
    <row r="262" spans="1:40" ht="15" customHeight="1">
      <c r="A262" s="258" t="s">
        <v>2460</v>
      </c>
      <c r="B262" s="263">
        <f>'Dry_Litterbag Placem_Collection'!A43</f>
        <v>41</v>
      </c>
      <c r="C262" s="263" t="str">
        <f>'Dry_Litterbag Placem_Collection'!B43</f>
        <v>Makao</v>
      </c>
      <c r="D262" s="263" t="s">
        <v>2659</v>
      </c>
      <c r="E262" s="263" t="s">
        <v>20</v>
      </c>
      <c r="F262" s="263">
        <v>2</v>
      </c>
      <c r="G262" s="264" t="str">
        <f>'Dry_Litterbag Placem_Collection'!C43</f>
        <v>Dry_P2_T1</v>
      </c>
      <c r="H262" s="265" t="s">
        <v>2541</v>
      </c>
      <c r="I262" s="272" t="s">
        <v>298</v>
      </c>
      <c r="J262" s="223" t="str">
        <f>'WetLitterbags placem_collection'!M43</f>
        <v>R521</v>
      </c>
      <c r="K262" s="225">
        <f>IFERROR(INDEX('Green_rooibos initial weight'!$C$5:$C$1749,MATCH(J262, 'Green_rooibos initial weight'!$A$5:$A$1749,0)),"")</f>
        <v>2.1440000000000001</v>
      </c>
      <c r="L262" s="225">
        <f>IFERROR(K262-(TBIcalc!$H$9+TBIcalc!$H$10),"")</f>
        <v>1.8942000000000001</v>
      </c>
      <c r="M262" s="391">
        <f>AVERAGE(Ashed_controlls!$K$12:$K$14)</f>
        <v>2.2816647271287041</v>
      </c>
      <c r="N262" s="225">
        <f t="shared" si="22"/>
        <v>1.8509807067387283</v>
      </c>
      <c r="O262" s="225">
        <f>IF(IFERROR(INDEX('Both teabags AfterWet'!$C$3:$C$841,MATCH(J262,'Both teabags AfterWet'!$A$3:$A$841,0)),"")="","",(IFERROR(INDEX('Both teabags AfterWet'!$C$3:$C$841,MATCH(J262,'Both teabags AfterWet'!$A$3:$A$841,0)),"")))</f>
        <v>1.512</v>
      </c>
      <c r="P262" s="225">
        <f>IFERROR(IF(O262&gt;0,O262-(TBIcalc!$H$9),""),"")</f>
        <v>1.3613999999999999</v>
      </c>
      <c r="Q262" s="225">
        <f>IFERROR(INDEX('Ashed teabags wet'!$K$2:$K$821,MATCH(J262,'Ashed teabags wet'!$A$2:$A$821,0)),"")</f>
        <v>6.8728522336777456</v>
      </c>
      <c r="R262" s="225">
        <f t="shared" si="21"/>
        <v>1.267832989690711</v>
      </c>
      <c r="S262" s="226">
        <f>'WetLitterbags placem_collection'!E43</f>
        <v>42766</v>
      </c>
      <c r="T262" s="226">
        <f>IF('WetLitterbags placem_collection'!G43="","",'WetLitterbags placem_collection'!G43)</f>
        <v>42820</v>
      </c>
      <c r="U262" s="227">
        <f t="shared" si="23"/>
        <v>54</v>
      </c>
      <c r="V262" s="225">
        <f t="shared" si="24"/>
        <v>0.53280000000000016</v>
      </c>
      <c r="W262" s="225">
        <f t="shared" si="25"/>
        <v>0.58314771704801727</v>
      </c>
      <c r="X262">
        <f>IFERROR(INDEX(Rainfall_Wet!$O$2:$O$217,MATCH(B262, Rainfall_Wet!$A$2:$A$217,0)),"")</f>
        <v>214.262898705</v>
      </c>
      <c r="Y262" s="231">
        <v>19.96</v>
      </c>
      <c r="Z262" s="231">
        <v>4.9199999999999982</v>
      </c>
      <c r="AA262" s="231">
        <v>75.12</v>
      </c>
      <c r="AB262" s="232" t="s">
        <v>2671</v>
      </c>
      <c r="AC262" s="231">
        <v>1.641498275012321</v>
      </c>
      <c r="AD262">
        <f>IF('WetLitterbags placem_collection'!AB43="","",'WetLitterbags placem_collection'!AB43)</f>
        <v>4</v>
      </c>
      <c r="AE262">
        <f>IF('WetLitterbags placem_collection'!Z43="","",'WetLitterbags placem_collection'!Z43)</f>
        <v>19.100000000000001</v>
      </c>
      <c r="AF262" s="246" t="str">
        <f>IF('WetLitterbags placem_collection'!AA43="","",'WetLitterbags placem_collection'!AA43)</f>
        <v>G</v>
      </c>
      <c r="AG262">
        <f>IF('WetLitterbags placem_collection'!AC43="","",'WetLitterbags placem_collection'!AC43)</f>
        <v>0</v>
      </c>
      <c r="AH262" s="240">
        <f>AVERAGE('WetLitterbags placem_collection'!S43,'WetLitterbags placem_collection'!U43)</f>
        <v>21.9</v>
      </c>
      <c r="AI262">
        <f>AVERAGE('WetLitterbags placem_collection'!R43,'WetLitterbags placem_collection'!T43)</f>
        <v>24.5</v>
      </c>
      <c r="AJ262">
        <f>INDEX(Coordinates!$B$2:$B$197,MATCH(G262,Coordinates!$J$2:$J$197,0))</f>
        <v>-3.4083420040000001</v>
      </c>
      <c r="AK262">
        <f>INDEX(Coordinates!$C$2:$C$197,MATCH(G262,Coordinates!$J$2:$J$197,0))</f>
        <v>34.850283040000001</v>
      </c>
      <c r="AL262" t="str">
        <f>IF(ISNUMBER(SEARCH("C", 'WetLitterbags placem_collection'!W43)),"YES","NO")</f>
        <v>NO</v>
      </c>
      <c r="AM262" t="str">
        <f>IF(ISNUMBER(SEARCH("H", 'WetLitterbags placem_collection'!W43)),"YES","NO")</f>
        <v>NO</v>
      </c>
      <c r="AN262" t="str">
        <f>IF(ISNUMBER(SEARCH("R", 'WetLitterbags placem_collection'!W43)),"YES","NO")</f>
        <v>NO</v>
      </c>
    </row>
    <row r="263" spans="1:40" ht="15" customHeight="1">
      <c r="A263" s="258" t="s">
        <v>2460</v>
      </c>
      <c r="B263" s="263">
        <f>'Dry_Litterbag Placem_Collection'!A44</f>
        <v>42</v>
      </c>
      <c r="C263" s="263" t="str">
        <f>'Dry_Litterbag Placem_Collection'!B44</f>
        <v>Makao</v>
      </c>
      <c r="D263" s="263" t="s">
        <v>2659</v>
      </c>
      <c r="E263" s="263" t="s">
        <v>20</v>
      </c>
      <c r="F263" s="263">
        <v>2</v>
      </c>
      <c r="G263" s="264" t="str">
        <f>'Dry_Litterbag Placem_Collection'!C44</f>
        <v>Dry_P2_T2</v>
      </c>
      <c r="H263" s="265" t="s">
        <v>2541</v>
      </c>
      <c r="I263" s="272" t="s">
        <v>298</v>
      </c>
      <c r="J263" s="223" t="str">
        <f>'WetLitterbags placem_collection'!M44</f>
        <v>R371</v>
      </c>
      <c r="K263" s="225">
        <f>IFERROR(INDEX('Green_rooibos initial weight'!$C$5:$C$1749,MATCH(J263, 'Green_rooibos initial weight'!$A$5:$A$1749,0)),"")</f>
        <v>2.2530000000000001</v>
      </c>
      <c r="L263" s="225">
        <f>IFERROR(K263-(TBIcalc!$H$9+TBIcalc!$H$10),"")</f>
        <v>2.0032000000000001</v>
      </c>
      <c r="M263" s="391">
        <f>AVERAGE(Ashed_controlls!$K$12:$K$14)</f>
        <v>2.2816647271287041</v>
      </c>
      <c r="N263" s="225">
        <f t="shared" si="22"/>
        <v>1.9574936921861579</v>
      </c>
      <c r="O263" s="225">
        <f>IF(IFERROR(INDEX('Both teabags AfterWet'!$C$3:$C$841,MATCH(J263,'Both teabags AfterWet'!$A$3:$A$841,0)),"")="","",(IFERROR(INDEX('Both teabags AfterWet'!$C$3:$C$841,MATCH(J263,'Both teabags AfterWet'!$A$3:$A$841,0)),"")))</f>
        <v>1.649</v>
      </c>
      <c r="P263" s="225">
        <f>IFERROR(IF(O263&gt;0,O263-(TBIcalc!$H$9),""),"")</f>
        <v>1.4984</v>
      </c>
      <c r="Q263" s="225">
        <f>IFERROR(INDEX('Ashed teabags wet'!$K$2:$K$821,MATCH(J263,'Ashed teabags wet'!$A$2:$A$821,0)),"")</f>
        <v>2.6627218934911183</v>
      </c>
      <c r="R263" s="225">
        <f t="shared" si="21"/>
        <v>1.458501775147929</v>
      </c>
      <c r="S263" s="226">
        <f>'WetLitterbags placem_collection'!E44</f>
        <v>42766</v>
      </c>
      <c r="T263" s="226">
        <f>IF('WetLitterbags placem_collection'!G44="","",'WetLitterbags placem_collection'!G44)</f>
        <v>42820</v>
      </c>
      <c r="U263" s="227">
        <f t="shared" si="23"/>
        <v>54</v>
      </c>
      <c r="V263" s="225">
        <f t="shared" si="24"/>
        <v>0.50480000000000014</v>
      </c>
      <c r="W263" s="225">
        <f t="shared" si="25"/>
        <v>0.49899191703822887</v>
      </c>
      <c r="X263">
        <f>IFERROR(INDEX(Rainfall_Wet!$O$2:$O$217,MATCH(B263, Rainfall_Wet!$A$2:$A$217,0)),"")</f>
        <v>214.262898705</v>
      </c>
      <c r="Y263" s="231">
        <v>19.96</v>
      </c>
      <c r="Z263" s="231">
        <v>4.9199999999999982</v>
      </c>
      <c r="AA263" s="231">
        <v>75.12</v>
      </c>
      <c r="AB263" s="232" t="s">
        <v>2671</v>
      </c>
      <c r="AC263" s="231">
        <v>1.641498275012321</v>
      </c>
      <c r="AD263">
        <f>IF('WetLitterbags placem_collection'!AB44="","",'WetLitterbags placem_collection'!AB44)</f>
        <v>5.9</v>
      </c>
      <c r="AE263">
        <f>IF('WetLitterbags placem_collection'!Z44="","",'WetLitterbags placem_collection'!Z44)</f>
        <v>12.7</v>
      </c>
      <c r="AF263" s="246" t="str">
        <f>IF('WetLitterbags placem_collection'!AA44="","",'WetLitterbags placem_collection'!AA44)</f>
        <v>G</v>
      </c>
      <c r="AG263">
        <f>IF('WetLitterbags placem_collection'!AC44="","",'WetLitterbags placem_collection'!AC44)</f>
        <v>0</v>
      </c>
      <c r="AH263" s="240">
        <f>AVERAGE('WetLitterbags placem_collection'!S44,'WetLitterbags placem_collection'!U44)</f>
        <v>19</v>
      </c>
      <c r="AI263">
        <f>AVERAGE('WetLitterbags placem_collection'!R44,'WetLitterbags placem_collection'!T44)</f>
        <v>22.950000000000003</v>
      </c>
      <c r="AJ263">
        <f>INDEX(Coordinates!$B$2:$B$197,MATCH(G263,Coordinates!$J$2:$J$197,0))</f>
        <v>-3.4084079690000002</v>
      </c>
      <c r="AK263">
        <f>INDEX(Coordinates!$C$2:$C$197,MATCH(G263,Coordinates!$J$2:$J$197,0))</f>
        <v>34.850295029999998</v>
      </c>
      <c r="AL263" t="str">
        <f>IF(ISNUMBER(SEARCH("C", 'WetLitterbags placem_collection'!W44)),"YES","NO")</f>
        <v>NO</v>
      </c>
      <c r="AM263" t="str">
        <f>IF(ISNUMBER(SEARCH("H", 'WetLitterbags placem_collection'!W44)),"YES","NO")</f>
        <v>NO</v>
      </c>
      <c r="AN263" t="str">
        <f>IF(ISNUMBER(SEARCH("R", 'WetLitterbags placem_collection'!W44)),"YES","NO")</f>
        <v>NO</v>
      </c>
    </row>
    <row r="264" spans="1:40" ht="15" customHeight="1">
      <c r="A264" s="258" t="s">
        <v>2460</v>
      </c>
      <c r="B264" s="263">
        <f>'Dry_Litterbag Placem_Collection'!A45</f>
        <v>43</v>
      </c>
      <c r="C264" s="263" t="str">
        <f>'Dry_Litterbag Placem_Collection'!B45</f>
        <v>Makao</v>
      </c>
      <c r="D264" s="263" t="s">
        <v>2659</v>
      </c>
      <c r="E264" s="263" t="s">
        <v>20</v>
      </c>
      <c r="F264" s="263">
        <v>2</v>
      </c>
      <c r="G264" s="264" t="str">
        <f>'Dry_Litterbag Placem_Collection'!C45</f>
        <v>Dry_P2_T3</v>
      </c>
      <c r="H264" s="265" t="s">
        <v>2541</v>
      </c>
      <c r="I264" s="272" t="s">
        <v>298</v>
      </c>
      <c r="J264" s="223" t="str">
        <f>'WetLitterbags placem_collection'!M45</f>
        <v>R376</v>
      </c>
      <c r="K264" s="225">
        <f>IFERROR(INDEX('Green_rooibos initial weight'!$C$5:$C$1749,MATCH(J264, 'Green_rooibos initial weight'!$A$5:$A$1749,0)),"")</f>
        <v>2.177</v>
      </c>
      <c r="L264" s="225">
        <f>IFERROR(K264-(TBIcalc!$H$9+TBIcalc!$H$10),"")</f>
        <v>1.9272</v>
      </c>
      <c r="M264" s="391">
        <f>AVERAGE(Ashed_controlls!$K$12:$K$14)</f>
        <v>2.2816647271287041</v>
      </c>
      <c r="N264" s="225">
        <f t="shared" si="22"/>
        <v>1.8832277573787757</v>
      </c>
      <c r="O264" s="225">
        <f>IF(IFERROR(INDEX('Both teabags AfterWet'!$C$3:$C$841,MATCH(J264,'Both teabags AfterWet'!$A$3:$A$841,0)),"")="","",(IFERROR(INDEX('Both teabags AfterWet'!$C$3:$C$841,MATCH(J264,'Both teabags AfterWet'!$A$3:$A$841,0)),"")))</f>
        <v>1.3532999999999999</v>
      </c>
      <c r="P264" s="225">
        <f>IFERROR(IF(O264&gt;0,O264-(TBIcalc!$H$9),""),"")</f>
        <v>1.2026999999999999</v>
      </c>
      <c r="Q264" s="225">
        <f>IFERROR(INDEX('Ashed teabags wet'!$K$2:$K$821,MATCH(J264,'Ashed teabags wet'!$A$2:$A$821,0)),"")</f>
        <v>6.7788461538456346</v>
      </c>
      <c r="R264" s="225">
        <f t="shared" si="21"/>
        <v>1.1211708173076984</v>
      </c>
      <c r="S264" s="226">
        <f>'WetLitterbags placem_collection'!E45</f>
        <v>42766</v>
      </c>
      <c r="T264" s="226">
        <f>IF('WetLitterbags placem_collection'!G45="","",'WetLitterbags placem_collection'!G45)</f>
        <v>42820</v>
      </c>
      <c r="U264" s="227">
        <f t="shared" si="23"/>
        <v>54</v>
      </c>
      <c r="V264" s="225">
        <f t="shared" si="24"/>
        <v>0.72450000000000014</v>
      </c>
      <c r="W264" s="225">
        <f t="shared" si="25"/>
        <v>0.76205694007107727</v>
      </c>
      <c r="X264">
        <f>IFERROR(INDEX(Rainfall_Wet!$O$2:$O$217,MATCH(B264, Rainfall_Wet!$A$2:$A$217,0)),"")</f>
        <v>214.262898705</v>
      </c>
      <c r="Y264" s="231">
        <v>19.96</v>
      </c>
      <c r="Z264" s="231">
        <v>4.9199999999999982</v>
      </c>
      <c r="AA264" s="231">
        <v>75.12</v>
      </c>
      <c r="AB264" s="232" t="s">
        <v>2671</v>
      </c>
      <c r="AC264" s="231">
        <v>1.641498275012321</v>
      </c>
      <c r="AD264">
        <f>IF('WetLitterbags placem_collection'!AB45="","",'WetLitterbags placem_collection'!AB45)</f>
        <v>5</v>
      </c>
      <c r="AE264">
        <f>IF('WetLitterbags placem_collection'!Z45="","",'WetLitterbags placem_collection'!Z45)</f>
        <v>26.3</v>
      </c>
      <c r="AF264" s="246" t="str">
        <f>IF('WetLitterbags placem_collection'!AA45="","",'WetLitterbags placem_collection'!AA45)</f>
        <v>G</v>
      </c>
      <c r="AG264">
        <f>IF('WetLitterbags placem_collection'!AC45="","",'WetLitterbags placem_collection'!AC45)</f>
        <v>0</v>
      </c>
      <c r="AH264" s="240">
        <f>AVERAGE('WetLitterbags placem_collection'!S45,'WetLitterbags placem_collection'!U45)</f>
        <v>18.3</v>
      </c>
      <c r="AI264">
        <f>AVERAGE('WetLitterbags placem_collection'!R45,'WetLitterbags placem_collection'!T45)</f>
        <v>21.799999999999997</v>
      </c>
      <c r="AJ264">
        <f>INDEX(Coordinates!$B$2:$B$197,MATCH(G264,Coordinates!$J$2:$J$197,0))</f>
        <v>-3.4082369789999998</v>
      </c>
      <c r="AK264">
        <f>INDEX(Coordinates!$C$2:$C$197,MATCH(G264,Coordinates!$J$2:$J$197,0))</f>
        <v>34.850189999999998</v>
      </c>
      <c r="AL264" t="str">
        <f>IF(ISNUMBER(SEARCH("C", 'WetLitterbags placem_collection'!W45)),"YES","NO")</f>
        <v>YES</v>
      </c>
      <c r="AM264" t="str">
        <f>IF(ISNUMBER(SEARCH("H", 'WetLitterbags placem_collection'!W45)),"YES","NO")</f>
        <v>YES</v>
      </c>
      <c r="AN264" t="str">
        <f>IF(ISNUMBER(SEARCH("R", 'WetLitterbags placem_collection'!W45)),"YES","NO")</f>
        <v>NO</v>
      </c>
    </row>
    <row r="265" spans="1:40" ht="15" customHeight="1">
      <c r="A265" s="258" t="s">
        <v>2460</v>
      </c>
      <c r="B265" s="263">
        <f>'Dry_Litterbag Placem_Collection'!A46</f>
        <v>44</v>
      </c>
      <c r="C265" s="263" t="str">
        <f>'Dry_Litterbag Placem_Collection'!B46</f>
        <v>Makao</v>
      </c>
      <c r="D265" s="263" t="s">
        <v>2659</v>
      </c>
      <c r="E265" s="263" t="s">
        <v>20</v>
      </c>
      <c r="F265" s="263">
        <v>2</v>
      </c>
      <c r="G265" s="264" t="str">
        <f>'Dry_Litterbag Placem_Collection'!C46</f>
        <v>Dry_P2_T4</v>
      </c>
      <c r="H265" s="265" t="s">
        <v>2541</v>
      </c>
      <c r="I265" s="272" t="s">
        <v>298</v>
      </c>
      <c r="J265" s="223" t="str">
        <f>'WetLitterbags placem_collection'!M46</f>
        <v>R166</v>
      </c>
      <c r="K265" s="225">
        <f>IFERROR(INDEX('Green_rooibos initial weight'!$C$5:$C$1749,MATCH(J265, 'Green_rooibos initial weight'!$A$5:$A$1749,0)),"")</f>
        <v>2.222</v>
      </c>
      <c r="L265" s="225">
        <f>IFERROR(K265-(TBIcalc!$H$9+TBIcalc!$H$10),"")</f>
        <v>1.9722</v>
      </c>
      <c r="M265" s="391">
        <f>AVERAGE(Ashed_controlls!$K$12:$K$14)</f>
        <v>2.2816647271287041</v>
      </c>
      <c r="N265" s="225">
        <f t="shared" si="22"/>
        <v>1.9272010082515676</v>
      </c>
      <c r="O265" s="225">
        <f>IF(IFERROR(INDEX('Both teabags AfterWet'!$C$3:$C$841,MATCH(J265,'Both teabags AfterWet'!$A$3:$A$841,0)),"")="","",(IFERROR(INDEX('Both teabags AfterWet'!$C$3:$C$841,MATCH(J265,'Both teabags AfterWet'!$A$3:$A$841,0)),"")))</f>
        <v>1.6101000000000001</v>
      </c>
      <c r="P265" s="225">
        <f>IFERROR(IF(O265&gt;0,O265-(TBIcalc!$H$9),""),"")</f>
        <v>1.4595</v>
      </c>
      <c r="Q265" s="225">
        <f>IFERROR(INDEX('Ashed teabags wet'!$K$2:$K$821,MATCH(J265,'Ashed teabags wet'!$A$2:$A$821,0)),"")</f>
        <v>4.868355688028041</v>
      </c>
      <c r="R265" s="225">
        <f t="shared" si="21"/>
        <v>1.3884463487332308</v>
      </c>
      <c r="S265" s="226">
        <f>'WetLitterbags placem_collection'!E46</f>
        <v>42766</v>
      </c>
      <c r="T265" s="226">
        <f>IF('WetLitterbags placem_collection'!G46="","",'WetLitterbags placem_collection'!G46)</f>
        <v>42820</v>
      </c>
      <c r="U265" s="227">
        <f t="shared" si="23"/>
        <v>54</v>
      </c>
      <c r="V265" s="225">
        <f t="shared" si="24"/>
        <v>0.51269999999999993</v>
      </c>
      <c r="W265" s="225">
        <f t="shared" si="25"/>
        <v>0.53875465951833679</v>
      </c>
      <c r="X265">
        <f>IFERROR(INDEX(Rainfall_Wet!$O$2:$O$217,MATCH(B265, Rainfall_Wet!$A$2:$A$217,0)),"")</f>
        <v>214.262898705</v>
      </c>
      <c r="Y265" s="231">
        <v>19.96</v>
      </c>
      <c r="Z265" s="231">
        <v>4.9199999999999982</v>
      </c>
      <c r="AA265" s="231">
        <v>75.12</v>
      </c>
      <c r="AB265" s="232" t="s">
        <v>2671</v>
      </c>
      <c r="AC265" s="231">
        <v>1.641498275012321</v>
      </c>
      <c r="AD265">
        <f>IF('WetLitterbags placem_collection'!AB46="","",'WetLitterbags placem_collection'!AB46)</f>
        <v>2.6</v>
      </c>
      <c r="AE265">
        <f>IF('WetLitterbags placem_collection'!Z46="","",'WetLitterbags placem_collection'!Z46)</f>
        <v>39.200000000000003</v>
      </c>
      <c r="AF265" s="246" t="str">
        <f>IF('WetLitterbags placem_collection'!AA46="","",'WetLitterbags placem_collection'!AA46)</f>
        <v>G</v>
      </c>
      <c r="AG265">
        <f>IF('WetLitterbags placem_collection'!AC46="","",'WetLitterbags placem_collection'!AC46)</f>
        <v>0</v>
      </c>
      <c r="AH265" s="240">
        <f>AVERAGE('WetLitterbags placem_collection'!S46,'WetLitterbags placem_collection'!U46)</f>
        <v>20.6</v>
      </c>
      <c r="AI265">
        <f>AVERAGE('WetLitterbags placem_collection'!R46,'WetLitterbags placem_collection'!T46)</f>
        <v>22.65</v>
      </c>
      <c r="AJ265">
        <f>INDEX(Coordinates!$B$2:$B$197,MATCH(G265,Coordinates!$J$2:$J$197,0))</f>
        <v>-3.4081529920000002</v>
      </c>
      <c r="AK265">
        <f>INDEX(Coordinates!$C$2:$C$197,MATCH(G265,Coordinates!$J$2:$J$197,0))</f>
        <v>34.850168959999998</v>
      </c>
      <c r="AL265" t="str">
        <f>IF(ISNUMBER(SEARCH("C", 'WetLitterbags placem_collection'!W46)),"YES","NO")</f>
        <v>NO</v>
      </c>
      <c r="AM265" t="str">
        <f>IF(ISNUMBER(SEARCH("H", 'WetLitterbags placem_collection'!W46)),"YES","NO")</f>
        <v>NO</v>
      </c>
      <c r="AN265" t="str">
        <f>IF(ISNUMBER(SEARCH("R", 'WetLitterbags placem_collection'!W46)),"YES","NO")</f>
        <v>YES</v>
      </c>
    </row>
    <row r="266" spans="1:40" ht="15" customHeight="1">
      <c r="A266" s="258" t="s">
        <v>2460</v>
      </c>
      <c r="B266" s="263">
        <f>'Dry_Litterbag Placem_Collection'!A47</f>
        <v>45</v>
      </c>
      <c r="C266" s="263" t="str">
        <f>'Dry_Litterbag Placem_Collection'!B47</f>
        <v>Makao</v>
      </c>
      <c r="D266" s="263" t="s">
        <v>2659</v>
      </c>
      <c r="E266" s="263" t="s">
        <v>20</v>
      </c>
      <c r="F266" s="263">
        <v>2</v>
      </c>
      <c r="G266" s="264" t="str">
        <f>'Dry_Litterbag Placem_Collection'!C47</f>
        <v>Dry_P2_T5</v>
      </c>
      <c r="H266" s="265" t="s">
        <v>2541</v>
      </c>
      <c r="I266" s="272" t="s">
        <v>298</v>
      </c>
      <c r="J266" s="223" t="str">
        <f>'WetLitterbags placem_collection'!M47</f>
        <v>R469</v>
      </c>
      <c r="K266" s="225">
        <f>IFERROR(INDEX('Green_rooibos initial weight'!$C$5:$C$1749,MATCH(J266, 'Green_rooibos initial weight'!$A$5:$A$1749,0)),"")</f>
        <v>2.2309999999999999</v>
      </c>
      <c r="L266" s="225">
        <f>IFERROR(K266-(TBIcalc!$H$9+TBIcalc!$H$10),"")</f>
        <v>1.9811999999999999</v>
      </c>
      <c r="M266" s="391">
        <f>AVERAGE(Ashed_controlls!$K$12:$K$14)</f>
        <v>2.2816647271287041</v>
      </c>
      <c r="N266" s="225">
        <f t="shared" si="22"/>
        <v>1.935995658426126</v>
      </c>
      <c r="O266" s="225">
        <f>IF(IFERROR(INDEX('Both teabags AfterWet'!$C$3:$C$841,MATCH(J266,'Both teabags AfterWet'!$A$3:$A$841,0)),"")="","",(IFERROR(INDEX('Both teabags AfterWet'!$C$3:$C$841,MATCH(J266,'Both teabags AfterWet'!$A$3:$A$841,0)),"")))</f>
        <v>1.5804</v>
      </c>
      <c r="P266" s="225">
        <f>IFERROR(IF(O266&gt;0,O266-(TBIcalc!$H$9),""),"")</f>
        <v>1.4298</v>
      </c>
      <c r="Q266" s="225">
        <f>IFERROR(INDEX('Ashed teabags wet'!$K$2:$K$821,MATCH(J266,'Ashed teabags wet'!$A$2:$A$821,0)),"")</f>
        <v>3.5248672139064463</v>
      </c>
      <c r="R266" s="225">
        <f t="shared" si="21"/>
        <v>1.3794014485755657</v>
      </c>
      <c r="S266" s="226">
        <f>'WetLitterbags placem_collection'!E47</f>
        <v>42766</v>
      </c>
      <c r="T266" s="226">
        <f>IF('WetLitterbags placem_collection'!G47="","",'WetLitterbags placem_collection'!G47)</f>
        <v>42820</v>
      </c>
      <c r="U266" s="227">
        <f t="shared" si="23"/>
        <v>54</v>
      </c>
      <c r="V266" s="225">
        <f t="shared" si="24"/>
        <v>0.55139999999999989</v>
      </c>
      <c r="W266" s="225">
        <f t="shared" si="25"/>
        <v>0.5565942098505603</v>
      </c>
      <c r="X266">
        <f>IFERROR(INDEX(Rainfall_Wet!$O$2:$O$217,MATCH(B266, Rainfall_Wet!$A$2:$A$217,0)),"")</f>
        <v>214.262898705</v>
      </c>
      <c r="Y266" s="231">
        <v>19.96</v>
      </c>
      <c r="Z266" s="231">
        <v>4.9199999999999982</v>
      </c>
      <c r="AA266" s="231">
        <v>75.12</v>
      </c>
      <c r="AB266" s="232" t="s">
        <v>2671</v>
      </c>
      <c r="AC266" s="231">
        <v>1.641498275012321</v>
      </c>
      <c r="AD266">
        <f>IF('WetLitterbags placem_collection'!AB47="","",'WetLitterbags placem_collection'!AB47)</f>
        <v>2.2999999999999998</v>
      </c>
      <c r="AE266">
        <f>IF('WetLitterbags placem_collection'!Z47="","",'WetLitterbags placem_collection'!Z47)</f>
        <v>9.3000000000000007</v>
      </c>
      <c r="AF266" s="246" t="str">
        <f>IF('WetLitterbags placem_collection'!AA47="","",'WetLitterbags placem_collection'!AA47)</f>
        <v>O</v>
      </c>
      <c r="AG266">
        <f>IF('WetLitterbags placem_collection'!AC47="","",'WetLitterbags placem_collection'!AC47)</f>
        <v>0</v>
      </c>
      <c r="AH266" s="240">
        <f>AVERAGE('WetLitterbags placem_collection'!S47,'WetLitterbags placem_collection'!U47)</f>
        <v>24.4</v>
      </c>
      <c r="AI266">
        <f>AVERAGE('WetLitterbags placem_collection'!R47,'WetLitterbags placem_collection'!T47)</f>
        <v>22.15</v>
      </c>
      <c r="AJ266">
        <f>INDEX(Coordinates!$B$2:$B$197,MATCH(G266,Coordinates!$J$2:$J$197,0))</f>
        <v>-3.4081789759999999</v>
      </c>
      <c r="AK266">
        <f>INDEX(Coordinates!$C$2:$C$197,MATCH(G266,Coordinates!$J$2:$J$197,0))</f>
        <v>34.850516980000002</v>
      </c>
      <c r="AL266" t="str">
        <f>IF(ISNUMBER(SEARCH("C", 'WetLitterbags placem_collection'!W47)),"YES","NO")</f>
        <v>NO</v>
      </c>
      <c r="AM266" t="str">
        <f>IF(ISNUMBER(SEARCH("H", 'WetLitterbags placem_collection'!W47)),"YES","NO")</f>
        <v>NO</v>
      </c>
      <c r="AN266" t="str">
        <f>IF(ISNUMBER(SEARCH("R", 'WetLitterbags placem_collection'!W47)),"YES","NO")</f>
        <v>NO</v>
      </c>
    </row>
    <row r="267" spans="1:40" ht="15" customHeight="1">
      <c r="A267" s="258" t="s">
        <v>2460</v>
      </c>
      <c r="B267" s="263">
        <f>'Dry_Litterbag Placem_Collection'!A48</f>
        <v>46</v>
      </c>
      <c r="C267" s="263" t="str">
        <f>'Dry_Litterbag Placem_Collection'!B48</f>
        <v>Makao</v>
      </c>
      <c r="D267" s="263" t="s">
        <v>2659</v>
      </c>
      <c r="E267" s="263" t="s">
        <v>20</v>
      </c>
      <c r="F267" s="263">
        <v>2</v>
      </c>
      <c r="G267" s="264" t="str">
        <f>'Dry_Litterbag Placem_Collection'!C48</f>
        <v>Dry_P2_T6</v>
      </c>
      <c r="H267" s="265" t="s">
        <v>2541</v>
      </c>
      <c r="I267" s="272" t="s">
        <v>298</v>
      </c>
      <c r="J267" s="223" t="str">
        <f>'WetLitterbags placem_collection'!M48</f>
        <v>R86</v>
      </c>
      <c r="K267" s="225">
        <f>IFERROR(INDEX('Green_rooibos initial weight'!$C$5:$C$1749,MATCH(J267, 'Green_rooibos initial weight'!$A$5:$A$1749,0)),"")</f>
        <v>2.242</v>
      </c>
      <c r="L267" s="225">
        <f>IFERROR(K267-(TBIcalc!$H$9+TBIcalc!$H$10),"")</f>
        <v>1.9922</v>
      </c>
      <c r="M267" s="391">
        <f>AVERAGE(Ashed_controlls!$K$12:$K$14)</f>
        <v>2.2816647271287041</v>
      </c>
      <c r="N267" s="225">
        <f t="shared" si="22"/>
        <v>1.9467446753061419</v>
      </c>
      <c r="O267" s="225" t="str">
        <f>IF(IFERROR(INDEX('Both teabags AfterWet'!$C$3:$C$841,MATCH(J267,'Both teabags AfterWet'!$A$3:$A$841,0)),"")="","",(IFERROR(INDEX('Both teabags AfterWet'!$C$3:$C$841,MATCH(J267,'Both teabags AfterWet'!$A$3:$A$841,0)),"")))</f>
        <v/>
      </c>
      <c r="P267" s="225" t="str">
        <f>IFERROR(IF(O267&gt;0,O267-(TBIcalc!$H$9),""),"")</f>
        <v/>
      </c>
      <c r="Q267" s="225" t="str">
        <f>IFERROR(INDEX('Ashed teabags wet'!$K$2:$K$821,MATCH(J267,'Ashed teabags wet'!$A$2:$A$821,0)),"")</f>
        <v/>
      </c>
      <c r="R267" s="225" t="str">
        <f t="shared" ref="R267:R330" si="26">IFERROR(P267-(Q267/100)*P267,"")</f>
        <v/>
      </c>
      <c r="S267" s="226">
        <f>'WetLitterbags placem_collection'!E48</f>
        <v>42766</v>
      </c>
      <c r="T267" s="226">
        <f>IF('WetLitterbags placem_collection'!G48="","",'WetLitterbags placem_collection'!G48)</f>
        <v>42820</v>
      </c>
      <c r="U267" s="227">
        <f t="shared" si="23"/>
        <v>54</v>
      </c>
      <c r="V267" s="225" t="str">
        <f t="shared" si="24"/>
        <v/>
      </c>
      <c r="W267" s="225" t="str">
        <f t="shared" si="25"/>
        <v/>
      </c>
      <c r="X267">
        <f>IFERROR(INDEX(Rainfall_Wet!$O$2:$O$217,MATCH(B267, Rainfall_Wet!$A$2:$A$217,0)),"")</f>
        <v>214.262898705</v>
      </c>
      <c r="Y267" s="231">
        <v>19.96</v>
      </c>
      <c r="Z267" s="231">
        <v>4.9199999999999982</v>
      </c>
      <c r="AA267" s="231">
        <v>75.12</v>
      </c>
      <c r="AB267" s="232" t="s">
        <v>2671</v>
      </c>
      <c r="AC267" s="231">
        <v>1.641498275012321</v>
      </c>
      <c r="AD267" t="str">
        <f>IF('WetLitterbags placem_collection'!AB48="","",'WetLitterbags placem_collection'!AB48)</f>
        <v/>
      </c>
      <c r="AE267" t="str">
        <f>IF('WetLitterbags placem_collection'!Z48="","",'WetLitterbags placem_collection'!Z48)</f>
        <v/>
      </c>
      <c r="AF267" s="246" t="str">
        <f>IF('WetLitterbags placem_collection'!AA48="","",'WetLitterbags placem_collection'!AA48)</f>
        <v/>
      </c>
      <c r="AG267" t="str">
        <f>IF('WetLitterbags placem_collection'!AC48="","",'WetLitterbags placem_collection'!AC48)</f>
        <v/>
      </c>
      <c r="AH267" s="240">
        <f>AVERAGE('WetLitterbags placem_collection'!S48,'WetLitterbags placem_collection'!U48)</f>
        <v>22.5</v>
      </c>
      <c r="AI267">
        <f>AVERAGE('WetLitterbags placem_collection'!R48,'WetLitterbags placem_collection'!T48)</f>
        <v>20.100000000000001</v>
      </c>
      <c r="AJ267">
        <f>INDEX(Coordinates!$B$2:$B$197,MATCH(G267,Coordinates!$J$2:$J$197,0))</f>
        <v>-3.4084730130000001</v>
      </c>
      <c r="AK267">
        <f>INDEX(Coordinates!$C$2:$C$197,MATCH(G267,Coordinates!$J$2:$J$197,0))</f>
        <v>34.850401980000001</v>
      </c>
      <c r="AL267" t="str">
        <f>IF(ISNUMBER(SEARCH("C", 'WetLitterbags placem_collection'!W48)),"YES","NO")</f>
        <v>NO</v>
      </c>
      <c r="AM267" t="str">
        <f>IF(ISNUMBER(SEARCH("H", 'WetLitterbags placem_collection'!W48)),"YES","NO")</f>
        <v>NO</v>
      </c>
      <c r="AN267" t="str">
        <f>IF(ISNUMBER(SEARCH("R", 'WetLitterbags placem_collection'!W48)),"YES","NO")</f>
        <v>NO</v>
      </c>
    </row>
    <row r="268" spans="1:40" ht="15" customHeight="1">
      <c r="A268" s="258" t="s">
        <v>2460</v>
      </c>
      <c r="B268" s="263">
        <f>'Dry_Litterbag Placem_Collection'!A49</f>
        <v>47</v>
      </c>
      <c r="C268" s="263" t="str">
        <f>'Dry_Litterbag Placem_Collection'!B49</f>
        <v>Makao</v>
      </c>
      <c r="D268" s="263" t="s">
        <v>2659</v>
      </c>
      <c r="E268" s="263" t="s">
        <v>20</v>
      </c>
      <c r="F268" s="263">
        <v>2</v>
      </c>
      <c r="G268" s="264" t="str">
        <f>'Dry_Litterbag Placem_Collection'!C49</f>
        <v>Dry_P2_T7</v>
      </c>
      <c r="H268" s="265" t="s">
        <v>2541</v>
      </c>
      <c r="I268" s="272" t="s">
        <v>298</v>
      </c>
      <c r="J268" s="223" t="str">
        <f>'WetLitterbags placem_collection'!M49</f>
        <v>R146</v>
      </c>
      <c r="K268" s="225">
        <f>IFERROR(INDEX('Green_rooibos initial weight'!$C$5:$C$1749,MATCH(J268, 'Green_rooibos initial weight'!$A$5:$A$1749,0)),"")</f>
        <v>2.2010000000000001</v>
      </c>
      <c r="L268" s="225">
        <f>IFERROR(K268-(TBIcalc!$H$9+TBIcalc!$H$10),"")</f>
        <v>1.9512</v>
      </c>
      <c r="M268" s="391">
        <f>AVERAGE(Ashed_controlls!$K$12:$K$14)</f>
        <v>2.2816647271287041</v>
      </c>
      <c r="N268" s="225">
        <f t="shared" si="22"/>
        <v>1.9066801578442647</v>
      </c>
      <c r="O268" s="225">
        <f>IF(IFERROR(INDEX('Both teabags AfterWet'!$C$3:$C$841,MATCH(J268,'Both teabags AfterWet'!$A$3:$A$841,0)),"")="","",(IFERROR(INDEX('Both teabags AfterWet'!$C$3:$C$841,MATCH(J268,'Both teabags AfterWet'!$A$3:$A$841,0)),"")))</f>
        <v>1.651</v>
      </c>
      <c r="P268" s="225">
        <f>IFERROR(IF(O268&gt;0,O268-(TBIcalc!$H$9),""),"")</f>
        <v>1.5004</v>
      </c>
      <c r="Q268" s="225">
        <f>IFERROR(INDEX('Ashed teabags wet'!$K$2:$K$821,MATCH(J268,'Ashed teabags wet'!$A$2:$A$821,0)),"")</f>
        <v>7.3593073593070963</v>
      </c>
      <c r="R268" s="225">
        <f t="shared" si="26"/>
        <v>1.3899809523809563</v>
      </c>
      <c r="S268" s="226">
        <f>'WetLitterbags placem_collection'!E49</f>
        <v>42766</v>
      </c>
      <c r="T268" s="226">
        <f>IF('WetLitterbags placem_collection'!G49="","",'WetLitterbags placem_collection'!G49)</f>
        <v>42820</v>
      </c>
      <c r="U268" s="227">
        <f t="shared" si="23"/>
        <v>54</v>
      </c>
      <c r="V268" s="225">
        <f t="shared" si="24"/>
        <v>0.45080000000000009</v>
      </c>
      <c r="W268" s="225">
        <f t="shared" si="25"/>
        <v>0.51669920546330839</v>
      </c>
      <c r="X268">
        <f>IFERROR(INDEX(Rainfall_Wet!$O$2:$O$217,MATCH(B268, Rainfall_Wet!$A$2:$A$217,0)),"")</f>
        <v>214.262898705</v>
      </c>
      <c r="Y268" s="231">
        <v>19.96</v>
      </c>
      <c r="Z268" s="231">
        <v>4.9199999999999982</v>
      </c>
      <c r="AA268" s="231">
        <v>75.12</v>
      </c>
      <c r="AB268" s="232" t="s">
        <v>2671</v>
      </c>
      <c r="AC268" s="231">
        <v>1.641498275012321</v>
      </c>
      <c r="AD268">
        <f>IF('WetLitterbags placem_collection'!AB49="","",'WetLitterbags placem_collection'!AB49)</f>
        <v>5.2</v>
      </c>
      <c r="AE268">
        <f>IF('WetLitterbags placem_collection'!Z49="","",'WetLitterbags placem_collection'!Z49)</f>
        <v>5.2</v>
      </c>
      <c r="AF268" s="246" t="str">
        <f>IF('WetLitterbags placem_collection'!AA49="","",'WetLitterbags placem_collection'!AA49)</f>
        <v>G</v>
      </c>
      <c r="AG268">
        <f>IF('WetLitterbags placem_collection'!AC49="","",'WetLitterbags placem_collection'!AC49)</f>
        <v>0</v>
      </c>
      <c r="AH268" s="240">
        <f>AVERAGE('WetLitterbags placem_collection'!S49,'WetLitterbags placem_collection'!U49)</f>
        <v>23.7</v>
      </c>
      <c r="AI268">
        <f>AVERAGE('WetLitterbags placem_collection'!R49,'WetLitterbags placem_collection'!T49)</f>
        <v>22.6</v>
      </c>
      <c r="AJ268">
        <f>INDEX(Coordinates!$B$2:$B$197,MATCH(G268,Coordinates!$J$2:$J$197,0))</f>
        <v>-3.4084819820000001</v>
      </c>
      <c r="AK268">
        <f>INDEX(Coordinates!$C$2:$C$197,MATCH(G268,Coordinates!$J$2:$J$197,0))</f>
        <v>34.850024040000001</v>
      </c>
      <c r="AL268" t="str">
        <f>IF(ISNUMBER(SEARCH("C", 'WetLitterbags placem_collection'!W49)),"YES","NO")</f>
        <v>NO</v>
      </c>
      <c r="AM268" t="str">
        <f>IF(ISNUMBER(SEARCH("H", 'WetLitterbags placem_collection'!W49)),"YES","NO")</f>
        <v>YES</v>
      </c>
      <c r="AN268" t="str">
        <f>IF(ISNUMBER(SEARCH("R", 'WetLitterbags placem_collection'!W49)),"YES","NO")</f>
        <v>YES</v>
      </c>
    </row>
    <row r="269" spans="1:40" ht="15" customHeight="1">
      <c r="A269" s="258" t="s">
        <v>2460</v>
      </c>
      <c r="B269" s="263">
        <f>'Dry_Litterbag Placem_Collection'!A50</f>
        <v>48</v>
      </c>
      <c r="C269" s="263" t="str">
        <f>'Dry_Litterbag Placem_Collection'!B50</f>
        <v>Makao</v>
      </c>
      <c r="D269" s="263" t="s">
        <v>2659</v>
      </c>
      <c r="E269" s="263" t="s">
        <v>20</v>
      </c>
      <c r="F269" s="263">
        <v>2</v>
      </c>
      <c r="G269" s="264" t="str">
        <f>'Dry_Litterbag Placem_Collection'!C50</f>
        <v>Dry_P2_T8</v>
      </c>
      <c r="H269" s="265" t="s">
        <v>2541</v>
      </c>
      <c r="I269" s="272" t="s">
        <v>298</v>
      </c>
      <c r="J269" s="223" t="str">
        <f>'WetLitterbags placem_collection'!M50</f>
        <v>R72</v>
      </c>
      <c r="K269" s="225">
        <f>IFERROR(INDEX('Green_rooibos initial weight'!$C$5:$C$1749,MATCH(J269, 'Green_rooibos initial weight'!$A$5:$A$1749,0)),"")</f>
        <v>2.2349999999999999</v>
      </c>
      <c r="L269" s="225">
        <f>IFERROR(K269-(TBIcalc!$H$9+TBIcalc!$H$10),"")</f>
        <v>1.9851999999999999</v>
      </c>
      <c r="M269" s="391">
        <f>AVERAGE(Ashed_controlls!$K$12:$K$14)</f>
        <v>2.2816647271287041</v>
      </c>
      <c r="N269" s="225">
        <f t="shared" si="22"/>
        <v>1.9399043918370409</v>
      </c>
      <c r="O269" s="225">
        <f>IF(IFERROR(INDEX('Both teabags AfterWet'!$C$3:$C$841,MATCH(J269,'Both teabags AfterWet'!$A$3:$A$841,0)),"")="","",(IFERROR(INDEX('Both teabags AfterWet'!$C$3:$C$841,MATCH(J269,'Both teabags AfterWet'!$A$3:$A$841,0)),"")))</f>
        <v>1.6359999999999999</v>
      </c>
      <c r="P269" s="225">
        <f>IFERROR(IF(O269&gt;0,O269-(TBIcalc!$H$9),""),"")</f>
        <v>1.4853999999999998</v>
      </c>
      <c r="Q269" s="225">
        <f>IFERROR(INDEX('Ashed teabags wet'!$K$2:$K$821,MATCH(J269,'Ashed teabags wet'!$A$2:$A$821,0)),"")</f>
        <v>4.6647230320703335</v>
      </c>
      <c r="R269" s="225">
        <f t="shared" si="26"/>
        <v>1.4161102040816271</v>
      </c>
      <c r="S269" s="226">
        <f>'WetLitterbags placem_collection'!E50</f>
        <v>42766</v>
      </c>
      <c r="T269" s="226">
        <f>IF('WetLitterbags placem_collection'!G50="","",'WetLitterbags placem_collection'!G50)</f>
        <v>42820</v>
      </c>
      <c r="U269" s="227">
        <f t="shared" si="23"/>
        <v>54</v>
      </c>
      <c r="V269" s="225">
        <f t="shared" si="24"/>
        <v>0.49980000000000002</v>
      </c>
      <c r="W269" s="225">
        <f t="shared" si="25"/>
        <v>0.52379418775541375</v>
      </c>
      <c r="X269">
        <f>IFERROR(INDEX(Rainfall_Wet!$O$2:$O$217,MATCH(B269, Rainfall_Wet!$A$2:$A$217,0)),"")</f>
        <v>214.262898705</v>
      </c>
      <c r="Y269" s="231">
        <v>19.96</v>
      </c>
      <c r="Z269" s="231">
        <v>4.9199999999999982</v>
      </c>
      <c r="AA269" s="231">
        <v>75.12</v>
      </c>
      <c r="AB269" s="232" t="s">
        <v>2671</v>
      </c>
      <c r="AC269" s="231">
        <v>1.641498275012321</v>
      </c>
      <c r="AD269">
        <f>IF('WetLitterbags placem_collection'!AB50="","",'WetLitterbags placem_collection'!AB50)</f>
        <v>7.3</v>
      </c>
      <c r="AE269">
        <f>IF('WetLitterbags placem_collection'!Z50="","",'WetLitterbags placem_collection'!Z50)</f>
        <v>27.2</v>
      </c>
      <c r="AF269" s="246" t="str">
        <f>IF('WetLitterbags placem_collection'!AA50="","",'WetLitterbags placem_collection'!AA50)</f>
        <v>M</v>
      </c>
      <c r="AG269">
        <f>IF('WetLitterbags placem_collection'!AC50="","",'WetLitterbags placem_collection'!AC50)</f>
        <v>0</v>
      </c>
      <c r="AH269" s="240">
        <f>AVERAGE('WetLitterbags placem_collection'!S50,'WetLitterbags placem_collection'!U50)</f>
        <v>21.8</v>
      </c>
      <c r="AI269">
        <f>AVERAGE('WetLitterbags placem_collection'!R50,'WetLitterbags placem_collection'!T50)</f>
        <v>21.65</v>
      </c>
      <c r="AJ269">
        <f>INDEX(Coordinates!$B$2:$B$197,MATCH(G269,Coordinates!$J$2:$J$197,0))</f>
        <v>-3.4081990090000001</v>
      </c>
      <c r="AK269">
        <f>INDEX(Coordinates!$C$2:$C$197,MATCH(G269,Coordinates!$J$2:$J$197,0))</f>
        <v>34.850254960000001</v>
      </c>
      <c r="AL269" t="str">
        <f>IF(ISNUMBER(SEARCH("C", 'WetLitterbags placem_collection'!W50)),"YES","NO")</f>
        <v>NO</v>
      </c>
      <c r="AM269" t="str">
        <f>IF(ISNUMBER(SEARCH("H", 'WetLitterbags placem_collection'!W50)),"YES","NO")</f>
        <v>NO</v>
      </c>
      <c r="AN269" t="str">
        <f>IF(ISNUMBER(SEARCH("R", 'WetLitterbags placem_collection'!W50)),"YES","NO")</f>
        <v>YES</v>
      </c>
    </row>
    <row r="270" spans="1:40" ht="15" customHeight="1">
      <c r="A270" s="258" t="s">
        <v>2460</v>
      </c>
      <c r="B270" s="263">
        <f>'Dry_Litterbag Placem_Collection'!A51</f>
        <v>49</v>
      </c>
      <c r="C270" s="263" t="str">
        <f>'Dry_Litterbag Placem_Collection'!B51</f>
        <v>Makao</v>
      </c>
      <c r="D270" s="263" t="s">
        <v>2659</v>
      </c>
      <c r="E270" s="263" t="s">
        <v>20</v>
      </c>
      <c r="F270" s="263">
        <v>3</v>
      </c>
      <c r="G270" s="264" t="str">
        <f>'Dry_Litterbag Placem_Collection'!C51</f>
        <v>Dry_P3_T1</v>
      </c>
      <c r="H270" s="265" t="s">
        <v>2541</v>
      </c>
      <c r="I270" s="272" t="s">
        <v>298</v>
      </c>
      <c r="J270" s="223" t="str">
        <f>'WetLitterbags placem_collection'!M51</f>
        <v>R28</v>
      </c>
      <c r="K270" s="225">
        <f>IFERROR(INDEX('Green_rooibos initial weight'!$C$5:$C$1749,MATCH(J270, 'Green_rooibos initial weight'!$A$5:$A$1749,0)),"")</f>
        <v>2.1030000000000002</v>
      </c>
      <c r="L270" s="225">
        <f>IFERROR(K270-(TBIcalc!$H$9+TBIcalc!$H$10),"")</f>
        <v>1.8532000000000002</v>
      </c>
      <c r="M270" s="391">
        <f>AVERAGE(Ashed_controlls!$K$12:$K$14)</f>
        <v>2.2816647271287041</v>
      </c>
      <c r="N270" s="225">
        <f t="shared" si="22"/>
        <v>1.8109161892768511</v>
      </c>
      <c r="O270" s="225">
        <f>IF(IFERROR(INDEX('Both teabags AfterWet'!$C$3:$C$841,MATCH(J270,'Both teabags AfterWet'!$A$3:$A$841,0)),"")="","",(IFERROR(INDEX('Both teabags AfterWet'!$C$3:$C$841,MATCH(J270,'Both teabags AfterWet'!$A$3:$A$841,0)),"")))</f>
        <v>1.5992999999999999</v>
      </c>
      <c r="P270" s="225">
        <f>IFERROR(IF(O270&gt;0,O270-(TBIcalc!$H$9),""),"")</f>
        <v>1.4486999999999999</v>
      </c>
      <c r="Q270" s="225">
        <f>IFERROR(INDEX('Ashed teabags wet'!$K$2:$K$821,MATCH(J270,'Ashed teabags wet'!$A$2:$A$821,0)),"")</f>
        <v>11.563275434243886</v>
      </c>
      <c r="R270" s="225">
        <f t="shared" si="26"/>
        <v>1.2811828287841087</v>
      </c>
      <c r="S270" s="226">
        <f>'WetLitterbags placem_collection'!E51</f>
        <v>42766</v>
      </c>
      <c r="T270" s="226">
        <f>IF('WetLitterbags placem_collection'!G51="","",'WetLitterbags placem_collection'!G51)</f>
        <v>42820</v>
      </c>
      <c r="U270" s="227">
        <f t="shared" si="23"/>
        <v>54</v>
      </c>
      <c r="V270" s="225">
        <f t="shared" si="24"/>
        <v>0.4045000000000003</v>
      </c>
      <c r="W270" s="225">
        <f t="shared" si="25"/>
        <v>0.52973336049274233</v>
      </c>
      <c r="X270">
        <f>IFERROR(INDEX(Rainfall_Wet!$O$2:$O$217,MATCH(B270, Rainfall_Wet!$A$2:$A$217,0)),"")</f>
        <v>214.262898705</v>
      </c>
      <c r="Y270" s="231">
        <v>21.96</v>
      </c>
      <c r="Z270" s="231">
        <v>8.9199999999999982</v>
      </c>
      <c r="AA270" s="231">
        <v>69.12</v>
      </c>
      <c r="AB270" s="232" t="s">
        <v>2670</v>
      </c>
      <c r="AC270" s="231">
        <v>1.7491375061606702</v>
      </c>
      <c r="AD270">
        <f>IF('WetLitterbags placem_collection'!AB51="","",'WetLitterbags placem_collection'!AB51)</f>
        <v>10.4</v>
      </c>
      <c r="AE270">
        <f>IF('WetLitterbags placem_collection'!Z51="","",'WetLitterbags placem_collection'!Z51)</f>
        <v>36</v>
      </c>
      <c r="AF270" s="246" t="str">
        <f>IF('WetLitterbags placem_collection'!AA51="","",'WetLitterbags placem_collection'!AA51)</f>
        <v>M</v>
      </c>
      <c r="AG270">
        <f>IF('WetLitterbags placem_collection'!AC51="","",'WetLitterbags placem_collection'!AC51)</f>
        <v>1</v>
      </c>
      <c r="AH270" s="240">
        <f>AVERAGE('WetLitterbags placem_collection'!S51,'WetLitterbags placem_collection'!U51)</f>
        <v>26.2</v>
      </c>
      <c r="AI270">
        <f>AVERAGE('WetLitterbags placem_collection'!R51,'WetLitterbags placem_collection'!T51)</f>
        <v>26.55</v>
      </c>
      <c r="AJ270">
        <f>INDEX(Coordinates!$B$2:$B$197,MATCH(G270,Coordinates!$J$2:$J$197,0))</f>
        <v>-3.406225992</v>
      </c>
      <c r="AK270">
        <f>INDEX(Coordinates!$C$2:$C$197,MATCH(G270,Coordinates!$J$2:$J$197,0))</f>
        <v>34.85055998</v>
      </c>
      <c r="AL270" t="str">
        <f>IF(ISNUMBER(SEARCH("C", 'WetLitterbags placem_collection'!W51)),"YES","NO")</f>
        <v>NO</v>
      </c>
      <c r="AM270" t="str">
        <f>IF(ISNUMBER(SEARCH("H", 'WetLitterbags placem_collection'!W51)),"YES","NO")</f>
        <v>YES</v>
      </c>
      <c r="AN270" t="str">
        <f>IF(ISNUMBER(SEARCH("R", 'WetLitterbags placem_collection'!W51)),"YES","NO")</f>
        <v>YES</v>
      </c>
    </row>
    <row r="271" spans="1:40" ht="15" customHeight="1">
      <c r="A271" s="258" t="s">
        <v>2460</v>
      </c>
      <c r="B271" s="263">
        <f>'Dry_Litterbag Placem_Collection'!A52</f>
        <v>50</v>
      </c>
      <c r="C271" s="263" t="str">
        <f>'Dry_Litterbag Placem_Collection'!B52</f>
        <v>Makao</v>
      </c>
      <c r="D271" s="263" t="s">
        <v>2659</v>
      </c>
      <c r="E271" s="263" t="s">
        <v>20</v>
      </c>
      <c r="F271" s="263">
        <v>3</v>
      </c>
      <c r="G271" s="264" t="str">
        <f>'Dry_Litterbag Placem_Collection'!C52</f>
        <v>Dry_P3_T2</v>
      </c>
      <c r="H271" s="265" t="s">
        <v>2541</v>
      </c>
      <c r="I271" s="272" t="s">
        <v>298</v>
      </c>
      <c r="J271" s="223" t="str">
        <f>'WetLitterbags placem_collection'!M52</f>
        <v>R5</v>
      </c>
      <c r="K271" s="225">
        <f>IFERROR(INDEX('Green_rooibos initial weight'!$C$5:$C$1749,MATCH(J271, 'Green_rooibos initial weight'!$A$5:$A$1749,0)),"")</f>
        <v>2.1800000000000002</v>
      </c>
      <c r="L271" s="225">
        <f>IFERROR(K271-(TBIcalc!$H$9+TBIcalc!$H$10),"")</f>
        <v>1.9302000000000001</v>
      </c>
      <c r="M271" s="391">
        <f>AVERAGE(Ashed_controlls!$K$12:$K$14)</f>
        <v>2.2816647271287041</v>
      </c>
      <c r="N271" s="225">
        <f t="shared" si="22"/>
        <v>1.8861593074369618</v>
      </c>
      <c r="O271" s="225" t="str">
        <f>IF(IFERROR(INDEX('Both teabags AfterWet'!$C$3:$C$841,MATCH(J271,'Both teabags AfterWet'!$A$3:$A$841,0)),"")="","",(IFERROR(INDEX('Both teabags AfterWet'!$C$3:$C$841,MATCH(J271,'Both teabags AfterWet'!$A$3:$A$841,0)),"")))</f>
        <v/>
      </c>
      <c r="P271" s="225" t="str">
        <f>IFERROR(IF(O271&gt;0,O271-(TBIcalc!$H$9),""),"")</f>
        <v/>
      </c>
      <c r="Q271" s="225" t="str">
        <f>IFERROR(INDEX('Ashed teabags wet'!$K$2:$K$821,MATCH(J271,'Ashed teabags wet'!$A$2:$A$821,0)),"")</f>
        <v/>
      </c>
      <c r="R271" s="225" t="str">
        <f t="shared" si="26"/>
        <v/>
      </c>
      <c r="S271" s="226">
        <f>'WetLitterbags placem_collection'!E52</f>
        <v>42766</v>
      </c>
      <c r="T271" s="226">
        <f>IF('WetLitterbags placem_collection'!G52="","",'WetLitterbags placem_collection'!G52)</f>
        <v>42820</v>
      </c>
      <c r="U271" s="227">
        <f t="shared" si="23"/>
        <v>54</v>
      </c>
      <c r="V271" s="225" t="str">
        <f t="shared" si="24"/>
        <v/>
      </c>
      <c r="W271" s="225" t="str">
        <f t="shared" si="25"/>
        <v/>
      </c>
      <c r="X271">
        <f>IFERROR(INDEX(Rainfall_Wet!$O$2:$O$217,MATCH(B271, Rainfall_Wet!$A$2:$A$217,0)),"")</f>
        <v>214.262898705</v>
      </c>
      <c r="Y271" s="231">
        <v>21.96</v>
      </c>
      <c r="Z271" s="231">
        <v>8.9199999999999982</v>
      </c>
      <c r="AA271" s="231">
        <v>69.12</v>
      </c>
      <c r="AB271" s="232" t="s">
        <v>2670</v>
      </c>
      <c r="AC271" s="231">
        <v>1.7491375061606702</v>
      </c>
      <c r="AD271">
        <f>IF('WetLitterbags placem_collection'!AB52="","",'WetLitterbags placem_collection'!AB52)</f>
        <v>10</v>
      </c>
      <c r="AE271">
        <f>IF('WetLitterbags placem_collection'!Z52="","",'WetLitterbags placem_collection'!Z52)</f>
        <v>22.5</v>
      </c>
      <c r="AF271" s="246" t="str">
        <f>IF('WetLitterbags placem_collection'!AA52="","",'WetLitterbags placem_collection'!AA52)</f>
        <v>M</v>
      </c>
      <c r="AG271">
        <f>IF('WetLitterbags placem_collection'!AC52="","",'WetLitterbags placem_collection'!AC52)</f>
        <v>1</v>
      </c>
      <c r="AH271" s="240">
        <f>AVERAGE('WetLitterbags placem_collection'!S52,'WetLitterbags placem_collection'!U52)</f>
        <v>31.4</v>
      </c>
      <c r="AI271">
        <f>AVERAGE('WetLitterbags placem_collection'!R52,'WetLitterbags placem_collection'!T52)</f>
        <v>22.4</v>
      </c>
      <c r="AJ271">
        <f>INDEX(Coordinates!$B$2:$B$197,MATCH(G271,Coordinates!$J$2:$J$197,0))</f>
        <v>-3.4062630399999998</v>
      </c>
      <c r="AK271">
        <f>INDEX(Coordinates!$C$2:$C$197,MATCH(G271,Coordinates!$J$2:$J$197,0))</f>
        <v>34.850566010000001</v>
      </c>
      <c r="AL271" t="str">
        <f>IF(ISNUMBER(SEARCH("C", 'WetLitterbags placem_collection'!W52)),"YES","NO")</f>
        <v>NO</v>
      </c>
      <c r="AM271" t="str">
        <f>IF(ISNUMBER(SEARCH("H", 'WetLitterbags placem_collection'!W52)),"YES","NO")</f>
        <v>NO</v>
      </c>
      <c r="AN271" t="str">
        <f>IF(ISNUMBER(SEARCH("R", 'WetLitterbags placem_collection'!W52)),"YES","NO")</f>
        <v>NO</v>
      </c>
    </row>
    <row r="272" spans="1:40" ht="15" customHeight="1">
      <c r="A272" s="258" t="s">
        <v>2460</v>
      </c>
      <c r="B272" s="263">
        <f>'Dry_Litterbag Placem_Collection'!A53</f>
        <v>51</v>
      </c>
      <c r="C272" s="263" t="str">
        <f>'Dry_Litterbag Placem_Collection'!B53</f>
        <v>Makao</v>
      </c>
      <c r="D272" s="263" t="s">
        <v>2659</v>
      </c>
      <c r="E272" s="263" t="s">
        <v>20</v>
      </c>
      <c r="F272" s="263">
        <v>3</v>
      </c>
      <c r="G272" s="264" t="str">
        <f>'Dry_Litterbag Placem_Collection'!C53</f>
        <v>Dry_P3_T3</v>
      </c>
      <c r="H272" s="265" t="s">
        <v>2541</v>
      </c>
      <c r="I272" s="272" t="s">
        <v>298</v>
      </c>
      <c r="J272" s="223" t="str">
        <f>'WetLitterbags placem_collection'!M53</f>
        <v>R85</v>
      </c>
      <c r="K272" s="225">
        <f>IFERROR(INDEX('Green_rooibos initial weight'!$C$5:$C$1749,MATCH(J272, 'Green_rooibos initial weight'!$A$5:$A$1749,0)),"")</f>
        <v>2.1930000000000001</v>
      </c>
      <c r="L272" s="225">
        <f>IFERROR(K272-(TBIcalc!$H$9+TBIcalc!$H$10),"")</f>
        <v>1.9432</v>
      </c>
      <c r="M272" s="391">
        <f>AVERAGE(Ashed_controlls!$K$12:$K$14)</f>
        <v>2.2816647271287041</v>
      </c>
      <c r="N272" s="225">
        <f t="shared" si="22"/>
        <v>1.8988626910224351</v>
      </c>
      <c r="O272" s="225">
        <f>IF(IFERROR(INDEX('Both teabags AfterWet'!$C$3:$C$841,MATCH(J272,'Both teabags AfterWet'!$A$3:$A$841,0)),"")="","",(IFERROR(INDEX('Both teabags AfterWet'!$C$3:$C$841,MATCH(J272,'Both teabags AfterWet'!$A$3:$A$841,0)),"")))</f>
        <v>1.599</v>
      </c>
      <c r="P272" s="225">
        <f>IFERROR(IF(O272&gt;0,O272-(TBIcalc!$H$9),""),"")</f>
        <v>1.4483999999999999</v>
      </c>
      <c r="Q272" s="225">
        <f>IFERROR(INDEX('Ashed teabags wet'!$K$2:$K$821,MATCH(J272,'Ashed teabags wet'!$A$2:$A$821,0)),"")</f>
        <v>6.0009601536244919</v>
      </c>
      <c r="R272" s="225">
        <f t="shared" si="26"/>
        <v>1.3614820931349028</v>
      </c>
      <c r="S272" s="226">
        <f>'WetLitterbags placem_collection'!E53</f>
        <v>42766</v>
      </c>
      <c r="T272" s="226">
        <f>IF('WetLitterbags placem_collection'!G53="","",'WetLitterbags placem_collection'!G53)</f>
        <v>42820</v>
      </c>
      <c r="U272" s="227">
        <f t="shared" si="23"/>
        <v>54</v>
      </c>
      <c r="V272" s="225">
        <f t="shared" si="24"/>
        <v>0.49480000000000013</v>
      </c>
      <c r="W272" s="225">
        <f t="shared" si="25"/>
        <v>0.53738059788753234</v>
      </c>
      <c r="X272">
        <f>IFERROR(INDEX(Rainfall_Wet!$O$2:$O$217,MATCH(B272, Rainfall_Wet!$A$2:$A$217,0)),"")</f>
        <v>214.262898705</v>
      </c>
      <c r="Y272" s="231">
        <v>21.96</v>
      </c>
      <c r="Z272" s="231">
        <v>8.9199999999999982</v>
      </c>
      <c r="AA272" s="231">
        <v>69.12</v>
      </c>
      <c r="AB272" s="232" t="s">
        <v>2670</v>
      </c>
      <c r="AC272" s="231">
        <v>1.7491375061606702</v>
      </c>
      <c r="AD272">
        <f>IF('WetLitterbags placem_collection'!AB53="","",'WetLitterbags placem_collection'!AB53)</f>
        <v>3</v>
      </c>
      <c r="AE272">
        <f>IF('WetLitterbags placem_collection'!Z53="","",'WetLitterbags placem_collection'!Z53)</f>
        <v>18</v>
      </c>
      <c r="AF272" s="246" t="str">
        <f>IF('WetLitterbags placem_collection'!AA53="","",'WetLitterbags placem_collection'!AA53)</f>
        <v>O</v>
      </c>
      <c r="AG272">
        <f>IF('WetLitterbags placem_collection'!AC53="","",'WetLitterbags placem_collection'!AC53)</f>
        <v>0</v>
      </c>
      <c r="AH272" s="240">
        <f>AVERAGE('WetLitterbags placem_collection'!S53,'WetLitterbags placem_collection'!U53)</f>
        <v>20.2</v>
      </c>
      <c r="AI272">
        <f>AVERAGE('WetLitterbags placem_collection'!R53,'WetLitterbags placem_collection'!T53)</f>
        <v>27.4</v>
      </c>
      <c r="AJ272">
        <f>INDEX(Coordinates!$B$2:$B$197,MATCH(G272,Coordinates!$J$2:$J$197,0))</f>
        <v>-3.4063920379999999</v>
      </c>
      <c r="AK272">
        <f>INDEX(Coordinates!$C$2:$C$197,MATCH(G272,Coordinates!$J$2:$J$197,0))</f>
        <v>34.850696020000001</v>
      </c>
      <c r="AL272" t="str">
        <f>IF(ISNUMBER(SEARCH("C", 'WetLitterbags placem_collection'!W53)),"YES","NO")</f>
        <v>NO</v>
      </c>
      <c r="AM272" t="str">
        <f>IF(ISNUMBER(SEARCH("H", 'WetLitterbags placem_collection'!W53)),"YES","NO")</f>
        <v>NO</v>
      </c>
      <c r="AN272" t="str">
        <f>IF(ISNUMBER(SEARCH("R", 'WetLitterbags placem_collection'!W53)),"YES","NO")</f>
        <v>YES</v>
      </c>
    </row>
    <row r="273" spans="1:40" ht="15" customHeight="1">
      <c r="A273" s="258" t="s">
        <v>2460</v>
      </c>
      <c r="B273" s="263">
        <f>'Dry_Litterbag Placem_Collection'!A54</f>
        <v>52</v>
      </c>
      <c r="C273" s="263" t="str">
        <f>'Dry_Litterbag Placem_Collection'!B54</f>
        <v>Makao</v>
      </c>
      <c r="D273" s="263" t="s">
        <v>2659</v>
      </c>
      <c r="E273" s="263" t="s">
        <v>20</v>
      </c>
      <c r="F273" s="263">
        <v>3</v>
      </c>
      <c r="G273" s="264" t="str">
        <f>'Dry_Litterbag Placem_Collection'!C54</f>
        <v>Dry_P3_T4</v>
      </c>
      <c r="H273" s="265" t="s">
        <v>2541</v>
      </c>
      <c r="I273" s="272" t="s">
        <v>298</v>
      </c>
      <c r="J273" s="223" t="str">
        <f>'WetLitterbags placem_collection'!M54</f>
        <v>R513</v>
      </c>
      <c r="K273" s="225">
        <f>IFERROR(INDEX('Green_rooibos initial weight'!$C$5:$C$1749,MATCH(J273, 'Green_rooibos initial weight'!$A$5:$A$1749,0)),"")</f>
        <v>2.1389999999999998</v>
      </c>
      <c r="L273" s="225">
        <f>IFERROR(K273-(TBIcalc!$H$9+TBIcalc!$H$10),"")</f>
        <v>1.8891999999999998</v>
      </c>
      <c r="M273" s="391">
        <f>AVERAGE(Ashed_controlls!$K$12:$K$14)</f>
        <v>2.2816647271287041</v>
      </c>
      <c r="N273" s="225">
        <f t="shared" si="22"/>
        <v>1.8460947899750844</v>
      </c>
      <c r="O273" s="225">
        <f>IF(IFERROR(INDEX('Both teabags AfterWet'!$C$3:$C$841,MATCH(J273,'Both teabags AfterWet'!$A$3:$A$841,0)),"")="","",(IFERROR(INDEX('Both teabags AfterWet'!$C$3:$C$841,MATCH(J273,'Both teabags AfterWet'!$A$3:$A$841,0)),"")))</f>
        <v>1.6279999999999999</v>
      </c>
      <c r="P273" s="225">
        <f>IFERROR(IF(O273&gt;0,O273-(TBIcalc!$H$9),""),"")</f>
        <v>1.4773999999999998</v>
      </c>
      <c r="Q273" s="225">
        <f>IFERROR(INDEX('Ashed teabags wet'!$K$2:$K$821,MATCH(J273,'Ashed teabags wet'!$A$2:$A$821,0)),"")</f>
        <v>11.073500967118232</v>
      </c>
      <c r="R273" s="225">
        <f t="shared" si="26"/>
        <v>1.3138000967117951</v>
      </c>
      <c r="S273" s="226">
        <f>'WetLitterbags placem_collection'!E54</f>
        <v>42766</v>
      </c>
      <c r="T273" s="226">
        <f>IF('WetLitterbags placem_collection'!G54="","",'WetLitterbags placem_collection'!G54)</f>
        <v>42820</v>
      </c>
      <c r="U273" s="227">
        <f t="shared" si="23"/>
        <v>54</v>
      </c>
      <c r="V273" s="225">
        <f t="shared" si="24"/>
        <v>0.41179999999999994</v>
      </c>
      <c r="W273" s="225">
        <f t="shared" si="25"/>
        <v>0.53229469326328926</v>
      </c>
      <c r="X273">
        <f>IFERROR(INDEX(Rainfall_Wet!$O$2:$O$217,MATCH(B273, Rainfall_Wet!$A$2:$A$217,0)),"")</f>
        <v>214.262898705</v>
      </c>
      <c r="Y273" s="231">
        <v>21.96</v>
      </c>
      <c r="Z273" s="231">
        <v>8.9199999999999982</v>
      </c>
      <c r="AA273" s="231">
        <v>69.12</v>
      </c>
      <c r="AB273" s="232" t="s">
        <v>2670</v>
      </c>
      <c r="AC273" s="231">
        <v>1.7491375061606702</v>
      </c>
      <c r="AD273">
        <f>IF('WetLitterbags placem_collection'!AB54="","",'WetLitterbags placem_collection'!AB54)</f>
        <v>13.4</v>
      </c>
      <c r="AE273">
        <f>IF('WetLitterbags placem_collection'!Z54="","",'WetLitterbags placem_collection'!Z54)</f>
        <v>67</v>
      </c>
      <c r="AF273" s="246" t="str">
        <f>IF('WetLitterbags placem_collection'!AA54="","",'WetLitterbags placem_collection'!AA54)</f>
        <v>M</v>
      </c>
      <c r="AG273">
        <f>IF('WetLitterbags placem_collection'!AC54="","",'WetLitterbags placem_collection'!AC54)</f>
        <v>1</v>
      </c>
      <c r="AH273" s="240">
        <f>AVERAGE('WetLitterbags placem_collection'!S54,'WetLitterbags placem_collection'!U54)</f>
        <v>29.8</v>
      </c>
      <c r="AI273">
        <f>AVERAGE('WetLitterbags placem_collection'!R54,'WetLitterbags placem_collection'!T54)</f>
        <v>25.799999999999997</v>
      </c>
      <c r="AJ273">
        <f>INDEX(Coordinates!$B$2:$B$197,MATCH(G273,Coordinates!$J$2:$J$197,0))</f>
        <v>-3.4061569999999999</v>
      </c>
      <c r="AK273">
        <f>INDEX(Coordinates!$C$2:$C$197,MATCH(G273,Coordinates!$J$2:$J$197,0))</f>
        <v>34.850738999999997</v>
      </c>
      <c r="AL273" t="str">
        <f>IF(ISNUMBER(SEARCH("C", 'WetLitterbags placem_collection'!W54)),"YES","NO")</f>
        <v>NO</v>
      </c>
      <c r="AM273" t="str">
        <f>IF(ISNUMBER(SEARCH("H", 'WetLitterbags placem_collection'!W54)),"YES","NO")</f>
        <v>YES</v>
      </c>
      <c r="AN273" t="str">
        <f>IF(ISNUMBER(SEARCH("R", 'WetLitterbags placem_collection'!W54)),"YES","NO")</f>
        <v>NO</v>
      </c>
    </row>
    <row r="274" spans="1:40" ht="15" customHeight="1">
      <c r="A274" s="258" t="s">
        <v>2460</v>
      </c>
      <c r="B274" s="263">
        <f>'Dry_Litterbag Placem_Collection'!A55</f>
        <v>53</v>
      </c>
      <c r="C274" s="263" t="str">
        <f>'Dry_Litterbag Placem_Collection'!B55</f>
        <v>Makao</v>
      </c>
      <c r="D274" s="263" t="s">
        <v>2659</v>
      </c>
      <c r="E274" s="263" t="s">
        <v>20</v>
      </c>
      <c r="F274" s="263">
        <v>3</v>
      </c>
      <c r="G274" s="264" t="str">
        <f>'Dry_Litterbag Placem_Collection'!C55</f>
        <v>Dry_P3_T5</v>
      </c>
      <c r="H274" s="265" t="s">
        <v>2541</v>
      </c>
      <c r="I274" s="272" t="s">
        <v>298</v>
      </c>
      <c r="J274" s="223" t="str">
        <f>'WetLitterbags placem_collection'!M55</f>
        <v>R399</v>
      </c>
      <c r="K274" s="225">
        <f>IFERROR(INDEX('Green_rooibos initial weight'!$C$5:$C$1749,MATCH(J274, 'Green_rooibos initial weight'!$A$5:$A$1749,0)),"")</f>
        <v>2.1389999999999998</v>
      </c>
      <c r="L274" s="225">
        <f>IFERROR(K274-(TBIcalc!$H$9+TBIcalc!$H$10),"")</f>
        <v>1.8891999999999998</v>
      </c>
      <c r="M274" s="391">
        <f>AVERAGE(Ashed_controlls!$K$12:$K$14)</f>
        <v>2.2816647271287041</v>
      </c>
      <c r="N274" s="225">
        <f t="shared" si="22"/>
        <v>1.8460947899750844</v>
      </c>
      <c r="O274" s="225" t="str">
        <f>IF(IFERROR(INDEX('Both teabags AfterWet'!$C$3:$C$841,MATCH(J274,'Both teabags AfterWet'!$A$3:$A$841,0)),"")="","",(IFERROR(INDEX('Both teabags AfterWet'!$C$3:$C$841,MATCH(J274,'Both teabags AfterWet'!$A$3:$A$841,0)),"")))</f>
        <v/>
      </c>
      <c r="P274" s="225" t="str">
        <f>IFERROR(IF(O274&gt;0,O274-(TBIcalc!$H$9),""),"")</f>
        <v/>
      </c>
      <c r="Q274" s="225" t="str">
        <f>IFERROR(INDEX('Ashed teabags wet'!$K$2:$K$821,MATCH(J274,'Ashed teabags wet'!$A$2:$A$821,0)),"")</f>
        <v/>
      </c>
      <c r="R274" s="225" t="str">
        <f t="shared" si="26"/>
        <v/>
      </c>
      <c r="S274" s="226">
        <f>'WetLitterbags placem_collection'!E55</f>
        <v>42766</v>
      </c>
      <c r="T274" s="226">
        <f>IF('WetLitterbags placem_collection'!G55="","",'WetLitterbags placem_collection'!G55)</f>
        <v>42820</v>
      </c>
      <c r="U274" s="227">
        <f t="shared" si="23"/>
        <v>54</v>
      </c>
      <c r="V274" s="225" t="str">
        <f t="shared" si="24"/>
        <v/>
      </c>
      <c r="W274" s="225" t="str">
        <f t="shared" si="25"/>
        <v/>
      </c>
      <c r="X274">
        <f>IFERROR(INDEX(Rainfall_Wet!$O$2:$O$217,MATCH(B274, Rainfall_Wet!$A$2:$A$217,0)),"")</f>
        <v>214.262898705</v>
      </c>
      <c r="Y274" s="231">
        <v>21.96</v>
      </c>
      <c r="Z274" s="231">
        <v>8.9199999999999982</v>
      </c>
      <c r="AA274" s="231">
        <v>69.12</v>
      </c>
      <c r="AB274" s="232" t="s">
        <v>2670</v>
      </c>
      <c r="AC274" s="231">
        <v>1.7491375061606702</v>
      </c>
      <c r="AD274" t="str">
        <f>IF('WetLitterbags placem_collection'!AB55="","",'WetLitterbags placem_collection'!AB55)</f>
        <v/>
      </c>
      <c r="AE274" t="str">
        <f>IF('WetLitterbags placem_collection'!Z55="","",'WetLitterbags placem_collection'!Z55)</f>
        <v/>
      </c>
      <c r="AF274" s="246" t="str">
        <f>IF('WetLitterbags placem_collection'!AA55="","",'WetLitterbags placem_collection'!AA55)</f>
        <v/>
      </c>
      <c r="AG274" t="str">
        <f>IF('WetLitterbags placem_collection'!AC55="","",'WetLitterbags placem_collection'!AC55)</f>
        <v/>
      </c>
      <c r="AH274" s="240">
        <f>AVERAGE('WetLitterbags placem_collection'!S55,'WetLitterbags placem_collection'!U55)</f>
        <v>20.2</v>
      </c>
      <c r="AI274">
        <f>AVERAGE('WetLitterbags placem_collection'!R55,'WetLitterbags placem_collection'!T55)</f>
        <v>22.2</v>
      </c>
      <c r="AJ274">
        <f>INDEX(Coordinates!$B$2:$B$197,MATCH(G274,Coordinates!$J$2:$J$197,0))</f>
        <v>-3.4061140000000001</v>
      </c>
      <c r="AK274">
        <f>INDEX(Coordinates!$C$2:$C$197,MATCH(G274,Coordinates!$J$2:$J$197,0))</f>
        <v>34.850596000000003</v>
      </c>
      <c r="AL274" t="str">
        <f>IF(ISNUMBER(SEARCH("C", 'WetLitterbags placem_collection'!W55)),"YES","NO")</f>
        <v>NO</v>
      </c>
      <c r="AM274" t="str">
        <f>IF(ISNUMBER(SEARCH("H", 'WetLitterbags placem_collection'!W55)),"YES","NO")</f>
        <v>NO</v>
      </c>
      <c r="AN274" t="str">
        <f>IF(ISNUMBER(SEARCH("R", 'WetLitterbags placem_collection'!W55)),"YES","NO")</f>
        <v>NO</v>
      </c>
    </row>
    <row r="275" spans="1:40" ht="15" customHeight="1">
      <c r="A275" s="258" t="s">
        <v>2460</v>
      </c>
      <c r="B275" s="263">
        <f>'Dry_Litterbag Placem_Collection'!A56</f>
        <v>54</v>
      </c>
      <c r="C275" s="263" t="str">
        <f>'Dry_Litterbag Placem_Collection'!B56</f>
        <v>Makao</v>
      </c>
      <c r="D275" s="263" t="s">
        <v>2659</v>
      </c>
      <c r="E275" s="263" t="s">
        <v>20</v>
      </c>
      <c r="F275" s="263">
        <v>3</v>
      </c>
      <c r="G275" s="264" t="str">
        <f>'Dry_Litterbag Placem_Collection'!C56</f>
        <v>Dry_P3_T6</v>
      </c>
      <c r="H275" s="265" t="s">
        <v>2541</v>
      </c>
      <c r="I275" s="272" t="s">
        <v>298</v>
      </c>
      <c r="J275" s="223" t="str">
        <f>'WetLitterbags placem_collection'!M56</f>
        <v>R400</v>
      </c>
      <c r="K275" s="225">
        <f>IFERROR(INDEX('Green_rooibos initial weight'!$C$5:$C$1749,MATCH(J275, 'Green_rooibos initial weight'!$A$5:$A$1749,0)),"")</f>
        <v>2.181</v>
      </c>
      <c r="L275" s="225">
        <f>IFERROR(K275-(TBIcalc!$H$9+TBIcalc!$H$10),"")</f>
        <v>1.9312</v>
      </c>
      <c r="M275" s="391">
        <f>AVERAGE(Ashed_controlls!$K$12:$K$14)</f>
        <v>2.2816647271287041</v>
      </c>
      <c r="N275" s="225">
        <f t="shared" si="22"/>
        <v>1.8871364907896906</v>
      </c>
      <c r="O275" s="225" t="str">
        <f>IF(IFERROR(INDEX('Both teabags AfterWet'!$C$3:$C$841,MATCH(J275,'Both teabags AfterWet'!$A$3:$A$841,0)),"")="","",(IFERROR(INDEX('Both teabags AfterWet'!$C$3:$C$841,MATCH(J275,'Both teabags AfterWet'!$A$3:$A$841,0)),"")))</f>
        <v/>
      </c>
      <c r="P275" s="225" t="str">
        <f>IFERROR(IF(O275&gt;0,O275-(TBIcalc!$H$9),""),"")</f>
        <v/>
      </c>
      <c r="Q275" s="225" t="str">
        <f>IFERROR(INDEX('Ashed teabags wet'!$K$2:$K$821,MATCH(J275,'Ashed teabags wet'!$A$2:$A$821,0)),"")</f>
        <v/>
      </c>
      <c r="R275" s="225" t="str">
        <f t="shared" si="26"/>
        <v/>
      </c>
      <c r="S275" s="226">
        <f>'WetLitterbags placem_collection'!E56</f>
        <v>42766</v>
      </c>
      <c r="T275" s="226">
        <f>IF('WetLitterbags placem_collection'!G56="","",'WetLitterbags placem_collection'!G56)</f>
        <v>42820</v>
      </c>
      <c r="U275" s="227">
        <f t="shared" si="23"/>
        <v>54</v>
      </c>
      <c r="V275" s="225" t="str">
        <f t="shared" si="24"/>
        <v/>
      </c>
      <c r="W275" s="225" t="str">
        <f t="shared" si="25"/>
        <v/>
      </c>
      <c r="X275">
        <f>IFERROR(INDEX(Rainfall_Wet!$O$2:$O$217,MATCH(B275, Rainfall_Wet!$A$2:$A$217,0)),"")</f>
        <v>214.262898705</v>
      </c>
      <c r="Y275" s="231">
        <v>21.96</v>
      </c>
      <c r="Z275" s="231">
        <v>8.9199999999999982</v>
      </c>
      <c r="AA275" s="231">
        <v>69.12</v>
      </c>
      <c r="AB275" s="232" t="s">
        <v>2670</v>
      </c>
      <c r="AC275" s="231">
        <v>1.7491375061606702</v>
      </c>
      <c r="AD275" t="str">
        <f>IF('WetLitterbags placem_collection'!AB56="","",'WetLitterbags placem_collection'!AB56)</f>
        <v/>
      </c>
      <c r="AE275" t="str">
        <f>IF('WetLitterbags placem_collection'!Z56="","",'WetLitterbags placem_collection'!Z56)</f>
        <v/>
      </c>
      <c r="AF275" s="246" t="str">
        <f>IF('WetLitterbags placem_collection'!AA56="","",'WetLitterbags placem_collection'!AA56)</f>
        <v/>
      </c>
      <c r="AG275" t="str">
        <f>IF('WetLitterbags placem_collection'!AC56="","",'WetLitterbags placem_collection'!AC56)</f>
        <v/>
      </c>
      <c r="AH275" s="240">
        <f>AVERAGE('WetLitterbags placem_collection'!S56,'WetLitterbags placem_collection'!U56)</f>
        <v>30.1</v>
      </c>
      <c r="AI275">
        <f>AVERAGE('WetLitterbags placem_collection'!R56,'WetLitterbags placem_collection'!T56)</f>
        <v>22.2</v>
      </c>
      <c r="AJ275">
        <f>INDEX(Coordinates!$B$2:$B$197,MATCH(G275,Coordinates!$J$2:$J$197,0))</f>
        <v>-3.406058019</v>
      </c>
      <c r="AK275">
        <f>INDEX(Coordinates!$C$2:$C$197,MATCH(G275,Coordinates!$J$2:$J$197,0))</f>
        <v>34.850466019999999</v>
      </c>
      <c r="AL275" t="str">
        <f>IF(ISNUMBER(SEARCH("C", 'WetLitterbags placem_collection'!W56)),"YES","NO")</f>
        <v>NO</v>
      </c>
      <c r="AM275" t="str">
        <f>IF(ISNUMBER(SEARCH("H", 'WetLitterbags placem_collection'!W56)),"YES","NO")</f>
        <v>NO</v>
      </c>
      <c r="AN275" t="str">
        <f>IF(ISNUMBER(SEARCH("R", 'WetLitterbags placem_collection'!W56)),"YES","NO")</f>
        <v>NO</v>
      </c>
    </row>
    <row r="276" spans="1:40" ht="15" customHeight="1">
      <c r="A276" s="258" t="s">
        <v>2460</v>
      </c>
      <c r="B276" s="263">
        <f>'Dry_Litterbag Placem_Collection'!A57</f>
        <v>55</v>
      </c>
      <c r="C276" s="263" t="str">
        <f>'Dry_Litterbag Placem_Collection'!B57</f>
        <v>Makao</v>
      </c>
      <c r="D276" s="263" t="s">
        <v>2659</v>
      </c>
      <c r="E276" s="263" t="s">
        <v>20</v>
      </c>
      <c r="F276" s="263">
        <v>3</v>
      </c>
      <c r="G276" s="264" t="str">
        <f>'Dry_Litterbag Placem_Collection'!C57</f>
        <v>Dry_P3_T7</v>
      </c>
      <c r="H276" s="265" t="s">
        <v>2541</v>
      </c>
      <c r="I276" s="272" t="s">
        <v>298</v>
      </c>
      <c r="J276" s="223" t="str">
        <f>'WetLitterbags placem_collection'!M57</f>
        <v>R19</v>
      </c>
      <c r="K276" s="225">
        <f>IFERROR(INDEX('Green_rooibos initial weight'!$C$5:$C$1749,MATCH(J276, 'Green_rooibos initial weight'!$A$5:$A$1749,0)),"")</f>
        <v>2.2589999999999999</v>
      </c>
      <c r="L276" s="225">
        <f>IFERROR(K276-(TBIcalc!$H$9+TBIcalc!$H$10),"")</f>
        <v>2.0091999999999999</v>
      </c>
      <c r="M276" s="391">
        <f>AVERAGE(Ashed_controlls!$K$12:$K$14)</f>
        <v>2.2816647271287041</v>
      </c>
      <c r="N276" s="225">
        <f t="shared" si="22"/>
        <v>1.9633567923025299</v>
      </c>
      <c r="O276" s="225">
        <f>IF(IFERROR(INDEX('Both teabags AfterWet'!$C$3:$C$841,MATCH(J276,'Both teabags AfterWet'!$A$3:$A$841,0)),"")="","",(IFERROR(INDEX('Both teabags AfterWet'!$C$3:$C$841,MATCH(J276,'Both teabags AfterWet'!$A$3:$A$841,0)),"")))</f>
        <v>0.22600000000000001</v>
      </c>
      <c r="P276" s="225">
        <f>IFERROR(IF(O276&gt;0,O276-(TBIcalc!$H$9),""),"")</f>
        <v>7.5399999999999995E-2</v>
      </c>
      <c r="Q276" s="225" t="str">
        <f>IFERROR(INDEX('Ashed teabags wet'!$K$2:$K$821,MATCH(J276,'Ashed teabags wet'!$A$2:$A$821,0)),"")</f>
        <v/>
      </c>
      <c r="R276" s="225" t="str">
        <f t="shared" si="26"/>
        <v/>
      </c>
      <c r="S276" s="226">
        <f>'WetLitterbags placem_collection'!E57</f>
        <v>42766</v>
      </c>
      <c r="T276" s="226">
        <f>IF('WetLitterbags placem_collection'!G57="","",'WetLitterbags placem_collection'!G57)</f>
        <v>42820</v>
      </c>
      <c r="U276" s="227">
        <f t="shared" si="23"/>
        <v>54</v>
      </c>
      <c r="V276" s="225">
        <f t="shared" si="24"/>
        <v>1.9338</v>
      </c>
      <c r="W276" s="225" t="str">
        <f t="shared" si="25"/>
        <v/>
      </c>
      <c r="X276">
        <f>IFERROR(INDEX(Rainfall_Wet!$O$2:$O$217,MATCH(B276, Rainfall_Wet!$A$2:$A$217,0)),"")</f>
        <v>214.262898705</v>
      </c>
      <c r="Y276" s="231">
        <v>21.96</v>
      </c>
      <c r="Z276" s="231">
        <v>8.9199999999999982</v>
      </c>
      <c r="AA276" s="231">
        <v>69.12</v>
      </c>
      <c r="AB276" s="232" t="s">
        <v>2670</v>
      </c>
      <c r="AC276" s="231">
        <v>1.7491375061606702</v>
      </c>
      <c r="AD276">
        <f>IF('WetLitterbags placem_collection'!AB57="","",'WetLitterbags placem_collection'!AB57)</f>
        <v>15.8</v>
      </c>
      <c r="AE276">
        <f>IF('WetLitterbags placem_collection'!Z57="","",'WetLitterbags placem_collection'!Z57)</f>
        <v>45</v>
      </c>
      <c r="AF276" s="246" t="str">
        <f>IF('WetLitterbags placem_collection'!AA57="","",'WetLitterbags placem_collection'!AA57)</f>
        <v>M</v>
      </c>
      <c r="AG276">
        <f>IF('WetLitterbags placem_collection'!AC57="","",'WetLitterbags placem_collection'!AC57)</f>
        <v>1</v>
      </c>
      <c r="AH276" s="240">
        <f>AVERAGE('WetLitterbags placem_collection'!S57,'WetLitterbags placem_collection'!U57)</f>
        <v>33</v>
      </c>
      <c r="AI276">
        <f>AVERAGE('WetLitterbags placem_collection'!R57,'WetLitterbags placem_collection'!T57)</f>
        <v>25.9</v>
      </c>
      <c r="AJ276">
        <f>INDEX(Coordinates!$B$2:$B$197,MATCH(G276,Coordinates!$J$2:$J$197,0))</f>
        <v>-3.4061389879999999</v>
      </c>
      <c r="AK276">
        <f>INDEX(Coordinates!$C$2:$C$197,MATCH(G276,Coordinates!$J$2:$J$197,0))</f>
        <v>34.850574979999998</v>
      </c>
      <c r="AL276" t="str">
        <f>IF(ISNUMBER(SEARCH("C", 'WetLitterbags placem_collection'!W57)),"YES","NO")</f>
        <v>NO</v>
      </c>
      <c r="AM276" t="str">
        <f>IF(ISNUMBER(SEARCH("H", 'WetLitterbags placem_collection'!W57)),"YES","NO")</f>
        <v>YES</v>
      </c>
      <c r="AN276" t="str">
        <f>IF(ISNUMBER(SEARCH("R", 'WetLitterbags placem_collection'!W57)),"YES","NO")</f>
        <v>NO</v>
      </c>
    </row>
    <row r="277" spans="1:40" ht="15" customHeight="1">
      <c r="A277" s="258" t="s">
        <v>2460</v>
      </c>
      <c r="B277" s="263">
        <f>'Dry_Litterbag Placem_Collection'!A58</f>
        <v>56</v>
      </c>
      <c r="C277" s="263" t="str">
        <f>'Dry_Litterbag Placem_Collection'!B58</f>
        <v>Makao</v>
      </c>
      <c r="D277" s="263" t="s">
        <v>2659</v>
      </c>
      <c r="E277" s="263" t="s">
        <v>20</v>
      </c>
      <c r="F277" s="263">
        <v>3</v>
      </c>
      <c r="G277" s="264" t="str">
        <f>'Dry_Litterbag Placem_Collection'!C58</f>
        <v>Dry_P3_T8</v>
      </c>
      <c r="H277" s="265" t="s">
        <v>2541</v>
      </c>
      <c r="I277" s="272" t="s">
        <v>298</v>
      </c>
      <c r="J277" s="223" t="str">
        <f>'WetLitterbags placem_collection'!M58</f>
        <v>R60</v>
      </c>
      <c r="K277" s="225">
        <f>IFERROR(INDEX('Green_rooibos initial weight'!$C$5:$C$1749,MATCH(J277, 'Green_rooibos initial weight'!$A$5:$A$1749,0)),"")</f>
        <v>2.3220000000000001</v>
      </c>
      <c r="L277" s="225">
        <f>IFERROR(K277-(TBIcalc!$H$9+TBIcalc!$H$10),"")</f>
        <v>2.0722</v>
      </c>
      <c r="M277" s="391">
        <f>AVERAGE(Ashed_controlls!$K$12:$K$14)</f>
        <v>2.2816647271287041</v>
      </c>
      <c r="N277" s="225">
        <f t="shared" si="22"/>
        <v>2.0249193435244393</v>
      </c>
      <c r="O277" s="225">
        <f>IF(IFERROR(INDEX('Both teabags AfterWet'!$C$3:$C$841,MATCH(J277,'Both teabags AfterWet'!$A$3:$A$841,0)),"")="","",(IFERROR(INDEX('Both teabags AfterWet'!$C$3:$C$841,MATCH(J277,'Both teabags AfterWet'!$A$3:$A$841,0)),"")))</f>
        <v>2.2909999999999999</v>
      </c>
      <c r="P277" s="225">
        <f>IFERROR(IF(O277&gt;0,O277-(TBIcalc!$H$9),""),"")</f>
        <v>2.1404000000000001</v>
      </c>
      <c r="Q277" s="225">
        <f>IFERROR(INDEX('Ashed teabags wet'!$K$2:$K$821,MATCH(J277,'Ashed teabags wet'!$A$2:$A$821,0)),"")</f>
        <v>90.284005979073754</v>
      </c>
      <c r="R277" s="225">
        <f t="shared" si="26"/>
        <v>0.20796113602390531</v>
      </c>
      <c r="S277" s="226">
        <f>'WetLitterbags placem_collection'!E58</f>
        <v>42766</v>
      </c>
      <c r="T277" s="226">
        <f>IF('WetLitterbags placem_collection'!G58="","",'WetLitterbags placem_collection'!G58)</f>
        <v>42820</v>
      </c>
      <c r="U277" s="227">
        <f t="shared" si="23"/>
        <v>54</v>
      </c>
      <c r="V277" s="225">
        <f t="shared" si="24"/>
        <v>-6.8200000000000038E-2</v>
      </c>
      <c r="W277" s="225">
        <f t="shared" si="25"/>
        <v>1.8169582075005339</v>
      </c>
      <c r="X277">
        <f>IFERROR(INDEX(Rainfall_Wet!$O$2:$O$217,MATCH(B277, Rainfall_Wet!$A$2:$A$217,0)),"")</f>
        <v>214.262898705</v>
      </c>
      <c r="Y277" s="231">
        <v>21.96</v>
      </c>
      <c r="Z277" s="231">
        <v>8.9199999999999982</v>
      </c>
      <c r="AA277" s="231">
        <v>69.12</v>
      </c>
      <c r="AB277" s="232" t="s">
        <v>2670</v>
      </c>
      <c r="AC277" s="231">
        <v>1.7491375061606702</v>
      </c>
      <c r="AD277">
        <f>IF('WetLitterbags placem_collection'!AB58="","",'WetLitterbags placem_collection'!AB58)</f>
        <v>15.4</v>
      </c>
      <c r="AE277">
        <f>IF('WetLitterbags placem_collection'!Z58="","",'WetLitterbags placem_collection'!Z58)</f>
        <v>30.8</v>
      </c>
      <c r="AF277" s="246" t="str">
        <f>IF('WetLitterbags placem_collection'!AA58="","",'WetLitterbags placem_collection'!AA58)</f>
        <v>M</v>
      </c>
      <c r="AG277">
        <f>IF('WetLitterbags placem_collection'!AC58="","",'WetLitterbags placem_collection'!AC58)</f>
        <v>0</v>
      </c>
      <c r="AH277" s="240">
        <f>AVERAGE('WetLitterbags placem_collection'!S58,'WetLitterbags placem_collection'!U58)</f>
        <v>29.5</v>
      </c>
      <c r="AI277">
        <f>AVERAGE('WetLitterbags placem_collection'!R58,'WetLitterbags placem_collection'!T58)</f>
        <v>27.6</v>
      </c>
      <c r="AJ277">
        <f>INDEX(Coordinates!$B$2:$B$197,MATCH(G277,Coordinates!$J$2:$J$197,0))</f>
        <v>-3.4062900300000001</v>
      </c>
      <c r="AK277">
        <f>INDEX(Coordinates!$C$2:$C$197,MATCH(G277,Coordinates!$J$2:$J$197,0))</f>
        <v>34.850441959999998</v>
      </c>
      <c r="AL277" t="str">
        <f>IF(ISNUMBER(SEARCH("C", 'WetLitterbags placem_collection'!W58)),"YES","NO")</f>
        <v>YES</v>
      </c>
      <c r="AM277" t="str">
        <f>IF(ISNUMBER(SEARCH("H", 'WetLitterbags placem_collection'!W58)),"YES","NO")</f>
        <v>YES</v>
      </c>
      <c r="AN277" t="str">
        <f>IF(ISNUMBER(SEARCH("R", 'WetLitterbags placem_collection'!W58)),"YES","NO")</f>
        <v>NO</v>
      </c>
    </row>
    <row r="278" spans="1:40" ht="15" customHeight="1">
      <c r="A278" s="258" t="s">
        <v>2460</v>
      </c>
      <c r="B278" s="263">
        <f>'Dry_Litterbag Placem_Collection'!A59</f>
        <v>57</v>
      </c>
      <c r="C278" s="263" t="str">
        <f>'Dry_Litterbag Placem_Collection'!B59</f>
        <v>Makao</v>
      </c>
      <c r="D278" s="263" t="s">
        <v>2659</v>
      </c>
      <c r="E278" s="263" t="s">
        <v>20</v>
      </c>
      <c r="F278" s="263">
        <v>4</v>
      </c>
      <c r="G278" s="264" t="str">
        <f>'Dry_Litterbag Placem_Collection'!C59</f>
        <v>Dry_P4_T1</v>
      </c>
      <c r="H278" s="265" t="s">
        <v>2541</v>
      </c>
      <c r="I278" s="272" t="s">
        <v>298</v>
      </c>
      <c r="J278" s="223" t="str">
        <f>'WetLitterbags placem_collection'!M59</f>
        <v>R161</v>
      </c>
      <c r="K278" s="225">
        <f>IFERROR(INDEX('Green_rooibos initial weight'!$C$5:$C$1749,MATCH(J278, 'Green_rooibos initial weight'!$A$5:$A$1749,0)),"")</f>
        <v>2.1829999999999998</v>
      </c>
      <c r="L278" s="225">
        <f>IFERROR(K278-(TBIcalc!$H$9+TBIcalc!$H$10),"")</f>
        <v>1.9331999999999998</v>
      </c>
      <c r="M278" s="391">
        <f>AVERAGE(Ashed_controlls!$K$12:$K$14)</f>
        <v>2.2816647271287041</v>
      </c>
      <c r="N278" s="225">
        <f t="shared" si="22"/>
        <v>1.8890908574951477</v>
      </c>
      <c r="O278" s="225">
        <f>IF(IFERROR(INDEX('Both teabags AfterWet'!$C$3:$C$841,MATCH(J278,'Both teabags AfterWet'!$A$3:$A$841,0)),"")="","",(IFERROR(INDEX('Both teabags AfterWet'!$C$3:$C$841,MATCH(J278,'Both teabags AfterWet'!$A$3:$A$841,0)),"")))</f>
        <v>1.266</v>
      </c>
      <c r="P278" s="225">
        <f>IFERROR(IF(O278&gt;0,O278-(TBIcalc!$H$9),""),"")</f>
        <v>1.1153999999999999</v>
      </c>
      <c r="Q278" s="225">
        <f>IFERROR(INDEX('Ashed teabags wet'!$K$2:$K$821,MATCH(J278,'Ashed teabags wet'!$A$2:$A$821,0)),"")</f>
        <v>9.63680387409185</v>
      </c>
      <c r="R278" s="225">
        <f t="shared" si="26"/>
        <v>1.0079110895883794</v>
      </c>
      <c r="S278" s="226">
        <f>'WetLitterbags placem_collection'!E59</f>
        <v>42766</v>
      </c>
      <c r="T278" s="226">
        <f>IF('WetLitterbags placem_collection'!G59="","",'WetLitterbags placem_collection'!G59)</f>
        <v>42820</v>
      </c>
      <c r="U278" s="227">
        <f t="shared" si="23"/>
        <v>54</v>
      </c>
      <c r="V278" s="225">
        <f t="shared" si="24"/>
        <v>0.81779999999999986</v>
      </c>
      <c r="W278" s="225">
        <f t="shared" si="25"/>
        <v>0.88117976790676833</v>
      </c>
      <c r="X278">
        <f>IFERROR(INDEX(Rainfall_Wet!$O$2:$O$217,MATCH(B278, Rainfall_Wet!$A$2:$A$217,0)),"")</f>
        <v>214.262898705</v>
      </c>
      <c r="Y278" s="231">
        <v>25.96</v>
      </c>
      <c r="Z278" s="231">
        <v>6.9200000000000008</v>
      </c>
      <c r="AA278" s="231">
        <v>67.12</v>
      </c>
      <c r="AB278" s="232" t="s">
        <v>2670</v>
      </c>
      <c r="AC278" s="231">
        <v>1.7568260226712666</v>
      </c>
      <c r="AD278">
        <f>IF('WetLitterbags placem_collection'!AB59="","",'WetLitterbags placem_collection'!AB59)</f>
        <v>3.3</v>
      </c>
      <c r="AE278">
        <f>IF('WetLitterbags placem_collection'!Z59="","",'WetLitterbags placem_collection'!Z59)</f>
        <v>28.4</v>
      </c>
      <c r="AF278" s="246" t="str">
        <f>IF('WetLitterbags placem_collection'!AA59="","",'WetLitterbags placem_collection'!AA59)</f>
        <v>O</v>
      </c>
      <c r="AG278">
        <f>IF('WetLitterbags placem_collection'!AC59="","",'WetLitterbags placem_collection'!AC59)</f>
        <v>1</v>
      </c>
      <c r="AH278" s="240">
        <f>AVERAGE('WetLitterbags placem_collection'!S59,'WetLitterbags placem_collection'!U59)</f>
        <v>31.6</v>
      </c>
      <c r="AI278">
        <f>AVERAGE('WetLitterbags placem_collection'!R59,'WetLitterbags placem_collection'!T59)</f>
        <v>26.9</v>
      </c>
      <c r="AJ278">
        <f>INDEX(Coordinates!$B$2:$B$197,MATCH(G278,Coordinates!$J$2:$J$197,0))</f>
        <v>-3.4064239729999999</v>
      </c>
      <c r="AK278">
        <f>INDEX(Coordinates!$C$2:$C$197,MATCH(G278,Coordinates!$J$2:$J$197,0))</f>
        <v>34.851213010000002</v>
      </c>
      <c r="AL278" t="str">
        <f>IF(ISNUMBER(SEARCH("C", 'WetLitterbags placem_collection'!W59)),"YES","NO")</f>
        <v>NO</v>
      </c>
      <c r="AM278" t="str">
        <f>IF(ISNUMBER(SEARCH("H", 'WetLitterbags placem_collection'!W59)),"YES","NO")</f>
        <v>YES</v>
      </c>
      <c r="AN278" t="str">
        <f>IF(ISNUMBER(SEARCH("R", 'WetLitterbags placem_collection'!W59)),"YES","NO")</f>
        <v>YES</v>
      </c>
    </row>
    <row r="279" spans="1:40" ht="15" customHeight="1">
      <c r="A279" s="258" t="s">
        <v>2460</v>
      </c>
      <c r="B279" s="263">
        <f>'Dry_Litterbag Placem_Collection'!A60</f>
        <v>58</v>
      </c>
      <c r="C279" s="263" t="str">
        <f>'Dry_Litterbag Placem_Collection'!B60</f>
        <v>Makao</v>
      </c>
      <c r="D279" s="263" t="s">
        <v>2659</v>
      </c>
      <c r="E279" s="263" t="s">
        <v>20</v>
      </c>
      <c r="F279" s="263">
        <v>4</v>
      </c>
      <c r="G279" s="264" t="str">
        <f>'Dry_Litterbag Placem_Collection'!C60</f>
        <v>Dry_P4_T2</v>
      </c>
      <c r="H279" s="265" t="s">
        <v>2541</v>
      </c>
      <c r="I279" s="272" t="s">
        <v>298</v>
      </c>
      <c r="J279" s="223" t="str">
        <f>'WetLitterbags placem_collection'!M60</f>
        <v>R48</v>
      </c>
      <c r="K279" s="225">
        <f>IFERROR(INDEX('Green_rooibos initial weight'!$C$5:$C$1749,MATCH(J279, 'Green_rooibos initial weight'!$A$5:$A$1749,0)),"")</f>
        <v>2.2149999999999999</v>
      </c>
      <c r="L279" s="225">
        <f>IFERROR(K279-(TBIcalc!$H$9+TBIcalc!$H$10),"")</f>
        <v>1.9651999999999998</v>
      </c>
      <c r="M279" s="391">
        <f>AVERAGE(Ashed_controlls!$K$12:$K$14)</f>
        <v>2.2816647271287041</v>
      </c>
      <c r="N279" s="225">
        <f t="shared" si="22"/>
        <v>1.9203607247824666</v>
      </c>
      <c r="O279" s="225">
        <f>IF(IFERROR(INDEX('Both teabags AfterWet'!$C$3:$C$841,MATCH(J279,'Both teabags AfterWet'!$A$3:$A$841,0)),"")="","",(IFERROR(INDEX('Both teabags AfterWet'!$C$3:$C$841,MATCH(J279,'Both teabags AfterWet'!$A$3:$A$841,0)),"")))</f>
        <v>0.74880000000000002</v>
      </c>
      <c r="P279" s="225">
        <f>IFERROR(IF(O279&gt;0,O279-(TBIcalc!$H$9),""),"")</f>
        <v>0.59820000000000007</v>
      </c>
      <c r="Q279" s="225">
        <f>IFERROR(INDEX('Ashed teabags wet'!$K$2:$K$821,MATCH(J279,'Ashed teabags wet'!$A$2:$A$821,0)),"")</f>
        <v>25.956144824069355</v>
      </c>
      <c r="R279" s="225">
        <f t="shared" si="26"/>
        <v>0.44293034166241718</v>
      </c>
      <c r="S279" s="226">
        <f>'WetLitterbags placem_collection'!E60</f>
        <v>42766</v>
      </c>
      <c r="T279" s="226">
        <f>IF('WetLitterbags placem_collection'!G60="","",'WetLitterbags placem_collection'!G60)</f>
        <v>42820</v>
      </c>
      <c r="U279" s="227">
        <f t="shared" si="23"/>
        <v>54</v>
      </c>
      <c r="V279" s="225">
        <f t="shared" si="24"/>
        <v>1.3669999999999998</v>
      </c>
      <c r="W279" s="225">
        <f t="shared" si="25"/>
        <v>1.4774303831200495</v>
      </c>
      <c r="X279">
        <f>IFERROR(INDEX(Rainfall_Wet!$O$2:$O$217,MATCH(B279, Rainfall_Wet!$A$2:$A$217,0)),"")</f>
        <v>214.262898705</v>
      </c>
      <c r="Y279" s="231">
        <v>25.96</v>
      </c>
      <c r="Z279" s="231">
        <v>6.9200000000000008</v>
      </c>
      <c r="AA279" s="231">
        <v>67.12</v>
      </c>
      <c r="AB279" s="232" t="s">
        <v>2670</v>
      </c>
      <c r="AC279" s="231">
        <v>1.7568260226712666</v>
      </c>
      <c r="AD279">
        <f>IF('WetLitterbags placem_collection'!AB60="","",'WetLitterbags placem_collection'!AB60)</f>
        <v>1.4</v>
      </c>
      <c r="AE279">
        <f>IF('WetLitterbags placem_collection'!Z60="","",'WetLitterbags placem_collection'!Z60)</f>
        <v>54.4</v>
      </c>
      <c r="AF279" s="246" t="str">
        <f>IF('WetLitterbags placem_collection'!AA60="","",'WetLitterbags placem_collection'!AA60)</f>
        <v>O</v>
      </c>
      <c r="AG279">
        <f>IF('WetLitterbags placem_collection'!AC60="","",'WetLitterbags placem_collection'!AC60)</f>
        <v>0</v>
      </c>
      <c r="AH279" s="240">
        <f>AVERAGE('WetLitterbags placem_collection'!S60,'WetLitterbags placem_collection'!U60)</f>
        <v>31.6</v>
      </c>
      <c r="AI279">
        <f>AVERAGE('WetLitterbags placem_collection'!R60,'WetLitterbags placem_collection'!T60)</f>
        <v>26.700000000000003</v>
      </c>
      <c r="AJ279">
        <f>INDEX(Coordinates!$B$2:$B$197,MATCH(G279,Coordinates!$J$2:$J$197,0))</f>
        <v>-3.4065020079999999</v>
      </c>
      <c r="AK279">
        <f>INDEX(Coordinates!$C$2:$C$197,MATCH(G279,Coordinates!$J$2:$J$197,0))</f>
        <v>34.851056020000001</v>
      </c>
      <c r="AL279" t="str">
        <f>IF(ISNUMBER(SEARCH("C", 'WetLitterbags placem_collection'!W60)),"YES","NO")</f>
        <v>NO</v>
      </c>
      <c r="AM279" t="str">
        <f>IF(ISNUMBER(SEARCH("H", 'WetLitterbags placem_collection'!W60)),"YES","NO")</f>
        <v>YES</v>
      </c>
      <c r="AN279" t="str">
        <f>IF(ISNUMBER(SEARCH("R", 'WetLitterbags placem_collection'!W60)),"YES","NO")</f>
        <v>NO</v>
      </c>
    </row>
    <row r="280" spans="1:40" ht="15" customHeight="1">
      <c r="A280" s="258" t="s">
        <v>2460</v>
      </c>
      <c r="B280" s="263">
        <f>'Dry_Litterbag Placem_Collection'!A61</f>
        <v>59</v>
      </c>
      <c r="C280" s="263" t="str">
        <f>'Dry_Litterbag Placem_Collection'!B61</f>
        <v>Makao</v>
      </c>
      <c r="D280" s="263" t="s">
        <v>2659</v>
      </c>
      <c r="E280" s="263" t="s">
        <v>20</v>
      </c>
      <c r="F280" s="263">
        <v>4</v>
      </c>
      <c r="G280" s="264" t="str">
        <f>'Dry_Litterbag Placem_Collection'!C61</f>
        <v>Dry_P4_T3</v>
      </c>
      <c r="H280" s="265" t="s">
        <v>2541</v>
      </c>
      <c r="I280" s="272" t="s">
        <v>298</v>
      </c>
      <c r="J280" s="223" t="str">
        <f>'WetLitterbags placem_collection'!M61</f>
        <v>R23</v>
      </c>
      <c r="K280" s="225">
        <f>IFERROR(INDEX('Green_rooibos initial weight'!$C$5:$C$1749,MATCH(J280, 'Green_rooibos initial weight'!$A$5:$A$1749,0)),"")</f>
        <v>2.2770000000000001</v>
      </c>
      <c r="L280" s="225">
        <f>IFERROR(K280-(TBIcalc!$H$9+TBIcalc!$H$10),"")</f>
        <v>2.0272000000000001</v>
      </c>
      <c r="M280" s="391">
        <f>AVERAGE(Ashed_controlls!$K$12:$K$14)</f>
        <v>2.2816647271287041</v>
      </c>
      <c r="N280" s="225">
        <f t="shared" si="22"/>
        <v>1.9809460926516471</v>
      </c>
      <c r="O280" s="225">
        <f>IF(IFERROR(INDEX('Both teabags AfterWet'!$C$3:$C$841,MATCH(J280,'Both teabags AfterWet'!$A$3:$A$841,0)),"")="","",(IFERROR(INDEX('Both teabags AfterWet'!$C$3:$C$841,MATCH(J280,'Both teabags AfterWet'!$A$3:$A$841,0)),"")))</f>
        <v>1.38</v>
      </c>
      <c r="P280" s="225">
        <f>IFERROR(IF(O280&gt;0,O280-(TBIcalc!$H$9),""),"")</f>
        <v>1.2293999999999998</v>
      </c>
      <c r="Q280" s="225">
        <f>IFERROR(INDEX('Ashed teabags wet'!$K$2:$K$821,MATCH(J280,'Ashed teabags wet'!$A$2:$A$821,0)),"")</f>
        <v>6.2753036437244685</v>
      </c>
      <c r="R280" s="225">
        <f t="shared" si="26"/>
        <v>1.1522514170040512</v>
      </c>
      <c r="S280" s="226">
        <f>'WetLitterbags placem_collection'!E61</f>
        <v>42766</v>
      </c>
      <c r="T280" s="226">
        <f>IF('WetLitterbags placem_collection'!G61="","",'WetLitterbags placem_collection'!G61)</f>
        <v>42820</v>
      </c>
      <c r="U280" s="227">
        <f t="shared" si="23"/>
        <v>54</v>
      </c>
      <c r="V280" s="225">
        <f t="shared" si="24"/>
        <v>0.79780000000000029</v>
      </c>
      <c r="W280" s="225">
        <f t="shared" si="25"/>
        <v>0.82869467564759591</v>
      </c>
      <c r="X280">
        <f>IFERROR(INDEX(Rainfall_Wet!$O$2:$O$217,MATCH(B280, Rainfall_Wet!$A$2:$A$217,0)),"")</f>
        <v>214.262898705</v>
      </c>
      <c r="Y280" s="231">
        <v>25.96</v>
      </c>
      <c r="Z280" s="231">
        <v>6.9200000000000008</v>
      </c>
      <c r="AA280" s="231">
        <v>67.12</v>
      </c>
      <c r="AB280" s="232" t="s">
        <v>2670</v>
      </c>
      <c r="AC280" s="231">
        <v>1.7568260226712666</v>
      </c>
      <c r="AD280">
        <f>IF('WetLitterbags placem_collection'!AB61="","",'WetLitterbags placem_collection'!AB61)</f>
        <v>3.3</v>
      </c>
      <c r="AE280">
        <f>IF('WetLitterbags placem_collection'!Z61="","",'WetLitterbags placem_collection'!Z61)</f>
        <v>46</v>
      </c>
      <c r="AF280" s="246" t="str">
        <f>IF('WetLitterbags placem_collection'!AA61="","",'WetLitterbags placem_collection'!AA61)</f>
        <v>O</v>
      </c>
      <c r="AG280">
        <f>IF('WetLitterbags placem_collection'!AC61="","",'WetLitterbags placem_collection'!AC61)</f>
        <v>0</v>
      </c>
      <c r="AH280" s="240">
        <f>AVERAGE('WetLitterbags placem_collection'!S61,'WetLitterbags placem_collection'!U61)</f>
        <v>27.9</v>
      </c>
      <c r="AI280">
        <f>AVERAGE('WetLitterbags placem_collection'!R61,'WetLitterbags placem_collection'!T61)</f>
        <v>27.049999999999997</v>
      </c>
      <c r="AJ280">
        <f>INDEX(Coordinates!$B$2:$B$197,MATCH(G280,Coordinates!$J$2:$J$197,0))</f>
        <v>-3.4062359670000002</v>
      </c>
      <c r="AK280">
        <f>INDEX(Coordinates!$C$2:$C$197,MATCH(G280,Coordinates!$J$2:$J$197,0))</f>
        <v>34.851107990000003</v>
      </c>
      <c r="AL280" t="str">
        <f>IF(ISNUMBER(SEARCH("C", 'WetLitterbags placem_collection'!W61)),"YES","NO")</f>
        <v>NO</v>
      </c>
      <c r="AM280" t="str">
        <f>IF(ISNUMBER(SEARCH("H", 'WetLitterbags placem_collection'!W61)),"YES","NO")</f>
        <v>NO</v>
      </c>
      <c r="AN280" t="str">
        <f>IF(ISNUMBER(SEARCH("R", 'WetLitterbags placem_collection'!W61)),"YES","NO")</f>
        <v>NO</v>
      </c>
    </row>
    <row r="281" spans="1:40" ht="15" customHeight="1">
      <c r="A281" s="258" t="s">
        <v>2460</v>
      </c>
      <c r="B281" s="263">
        <f>'Dry_Litterbag Placem_Collection'!A62</f>
        <v>60</v>
      </c>
      <c r="C281" s="263" t="str">
        <f>'Dry_Litterbag Placem_Collection'!B62</f>
        <v>Makao</v>
      </c>
      <c r="D281" s="263" t="s">
        <v>2659</v>
      </c>
      <c r="E281" s="263" t="s">
        <v>20</v>
      </c>
      <c r="F281" s="263">
        <v>4</v>
      </c>
      <c r="G281" s="264" t="str">
        <f>'Dry_Litterbag Placem_Collection'!C62</f>
        <v>Dry_P4_T4</v>
      </c>
      <c r="H281" s="265" t="s">
        <v>2541</v>
      </c>
      <c r="I281" s="272" t="s">
        <v>298</v>
      </c>
      <c r="J281" s="223" t="str">
        <f>'WetLitterbags placem_collection'!M62</f>
        <v>R78</v>
      </c>
      <c r="K281" s="225">
        <f>IFERROR(INDEX('Green_rooibos initial weight'!$C$5:$C$1749,MATCH(J281, 'Green_rooibos initial weight'!$A$5:$A$1749,0)),"")</f>
        <v>2.2200000000000002</v>
      </c>
      <c r="L281" s="225">
        <f>IFERROR(K281-(TBIcalc!$H$9+TBIcalc!$H$10),"")</f>
        <v>1.9702000000000002</v>
      </c>
      <c r="M281" s="391">
        <f>AVERAGE(Ashed_controlls!$K$12:$K$14)</f>
        <v>2.2816647271287041</v>
      </c>
      <c r="N281" s="225">
        <f t="shared" si="22"/>
        <v>1.9252466415461105</v>
      </c>
      <c r="O281" s="225">
        <f>IF(IFERROR(INDEX('Both teabags AfterWet'!$C$3:$C$841,MATCH(J281,'Both teabags AfterWet'!$A$3:$A$841,0)),"")="","",(IFERROR(INDEX('Both teabags AfterWet'!$C$3:$C$841,MATCH(J281,'Both teabags AfterWet'!$A$3:$A$841,0)),"")))</f>
        <v>1.665</v>
      </c>
      <c r="P281" s="225">
        <f>IFERROR(IF(O281&gt;0,O281-(TBIcalc!$H$9),""),"")</f>
        <v>1.5144</v>
      </c>
      <c r="Q281" s="225">
        <f>IFERROR(INDEX('Ashed teabags wet'!$K$2:$K$821,MATCH(J281,'Ashed teabags wet'!$A$2:$A$821,0)),"")</f>
        <v>5.8219178082196645</v>
      </c>
      <c r="R281" s="225">
        <f t="shared" si="26"/>
        <v>1.4262328767123214</v>
      </c>
      <c r="S281" s="226">
        <f>'WetLitterbags placem_collection'!E62</f>
        <v>42766</v>
      </c>
      <c r="T281" s="226">
        <f>IF('WetLitterbags placem_collection'!G62="","",'WetLitterbags placem_collection'!G62)</f>
        <v>42820</v>
      </c>
      <c r="U281" s="227">
        <f t="shared" si="23"/>
        <v>54</v>
      </c>
      <c r="V281" s="225">
        <f t="shared" si="24"/>
        <v>0.4558000000000002</v>
      </c>
      <c r="W281" s="225">
        <f t="shared" si="25"/>
        <v>0.49901376483378912</v>
      </c>
      <c r="X281">
        <f>IFERROR(INDEX(Rainfall_Wet!$O$2:$O$217,MATCH(B281, Rainfall_Wet!$A$2:$A$217,0)),"")</f>
        <v>214.262898705</v>
      </c>
      <c r="Y281" s="231">
        <v>25.96</v>
      </c>
      <c r="Z281" s="231">
        <v>6.9200000000000008</v>
      </c>
      <c r="AA281" s="231">
        <v>67.12</v>
      </c>
      <c r="AB281" s="232" t="s">
        <v>2670</v>
      </c>
      <c r="AC281" s="231">
        <v>1.7568260226712666</v>
      </c>
      <c r="AD281">
        <f>IF('WetLitterbags placem_collection'!AB62="","",'WetLitterbags placem_collection'!AB62)</f>
        <v>2.4</v>
      </c>
      <c r="AE281">
        <f>IF('WetLitterbags placem_collection'!Z62="","",'WetLitterbags placem_collection'!Z62)</f>
        <v>10.199999999999999</v>
      </c>
      <c r="AF281" s="246" t="str">
        <f>IF('WetLitterbags placem_collection'!AA62="","",'WetLitterbags placem_collection'!AA62)</f>
        <v>O</v>
      </c>
      <c r="AG281">
        <f>IF('WetLitterbags placem_collection'!AC62="","",'WetLitterbags placem_collection'!AC62)</f>
        <v>0</v>
      </c>
      <c r="AH281" s="240">
        <f>AVERAGE('WetLitterbags placem_collection'!S62,'WetLitterbags placem_collection'!U62)</f>
        <v>22.5</v>
      </c>
      <c r="AI281">
        <f>AVERAGE('WetLitterbags placem_collection'!R62,'WetLitterbags placem_collection'!T62)</f>
        <v>28.6</v>
      </c>
      <c r="AJ281">
        <f>INDEX(Coordinates!$B$2:$B$197,MATCH(G281,Coordinates!$J$2:$J$197,0))</f>
        <v>-3.406281983</v>
      </c>
      <c r="AK281">
        <f>INDEX(Coordinates!$C$2:$C$197,MATCH(G281,Coordinates!$J$2:$J$197,0))</f>
        <v>34.85137898</v>
      </c>
      <c r="AL281" t="str">
        <f>IF(ISNUMBER(SEARCH("C", 'WetLitterbags placem_collection'!W62)),"YES","NO")</f>
        <v>NO</v>
      </c>
      <c r="AM281" t="str">
        <f>IF(ISNUMBER(SEARCH("H", 'WetLitterbags placem_collection'!W62)),"YES","NO")</f>
        <v>NO</v>
      </c>
      <c r="AN281" t="str">
        <f>IF(ISNUMBER(SEARCH("R", 'WetLitterbags placem_collection'!W62)),"YES","NO")</f>
        <v>NO</v>
      </c>
    </row>
    <row r="282" spans="1:40" ht="15" customHeight="1">
      <c r="A282" s="258" t="s">
        <v>2460</v>
      </c>
      <c r="B282" s="263">
        <f>'Dry_Litterbag Placem_Collection'!A63</f>
        <v>61</v>
      </c>
      <c r="C282" s="263" t="str">
        <f>'Dry_Litterbag Placem_Collection'!B63</f>
        <v>Makao</v>
      </c>
      <c r="D282" s="263" t="s">
        <v>2659</v>
      </c>
      <c r="E282" s="263" t="s">
        <v>20</v>
      </c>
      <c r="F282" s="263">
        <v>4</v>
      </c>
      <c r="G282" s="264" t="str">
        <f>'Dry_Litterbag Placem_Collection'!C63</f>
        <v>Dry_P4_T5</v>
      </c>
      <c r="H282" s="265" t="s">
        <v>2541</v>
      </c>
      <c r="I282" s="272" t="s">
        <v>298</v>
      </c>
      <c r="J282" s="223" t="str">
        <f>'WetLitterbags placem_collection'!M63</f>
        <v>R42</v>
      </c>
      <c r="K282" s="225">
        <f>IFERROR(INDEX('Green_rooibos initial weight'!$C$5:$C$1749,MATCH(J282, 'Green_rooibos initial weight'!$A$5:$A$1749,0)),"")</f>
        <v>2.2389999999999999</v>
      </c>
      <c r="L282" s="225">
        <f>IFERROR(K282-(TBIcalc!$H$9+TBIcalc!$H$10),"")</f>
        <v>1.9891999999999999</v>
      </c>
      <c r="M282" s="391">
        <f>AVERAGE(Ashed_controlls!$K$12:$K$14)</f>
        <v>2.2816647271287041</v>
      </c>
      <c r="N282" s="225">
        <f t="shared" si="22"/>
        <v>1.9438131252479556</v>
      </c>
      <c r="O282" s="225">
        <f>IF(IFERROR(INDEX('Both teabags AfterWet'!$C$3:$C$841,MATCH(J282,'Both teabags AfterWet'!$A$3:$A$841,0)),"")="","",(IFERROR(INDEX('Both teabags AfterWet'!$C$3:$C$841,MATCH(J282,'Both teabags AfterWet'!$A$3:$A$841,0)),"")))</f>
        <v>0.182</v>
      </c>
      <c r="P282" s="225">
        <f>IFERROR(IF(O282&gt;0,O282-(TBIcalc!$H$9),""),"")</f>
        <v>3.1399999999999983E-2</v>
      </c>
      <c r="Q282" s="225" t="str">
        <f>IFERROR(INDEX('Ashed teabags wet'!$K$2:$K$821,MATCH(J282,'Ashed teabags wet'!$A$2:$A$821,0)),"")</f>
        <v/>
      </c>
      <c r="R282" s="225" t="str">
        <f t="shared" si="26"/>
        <v/>
      </c>
      <c r="S282" s="226">
        <f>'WetLitterbags placem_collection'!E63</f>
        <v>42766</v>
      </c>
      <c r="T282" s="226">
        <f>IF('WetLitterbags placem_collection'!G63="","",'WetLitterbags placem_collection'!G63)</f>
        <v>42820</v>
      </c>
      <c r="U282" s="227">
        <f t="shared" si="23"/>
        <v>54</v>
      </c>
      <c r="V282" s="225">
        <f t="shared" si="24"/>
        <v>1.9577999999999998</v>
      </c>
      <c r="W282" s="225" t="str">
        <f t="shared" si="25"/>
        <v/>
      </c>
      <c r="X282">
        <f>IFERROR(INDEX(Rainfall_Wet!$O$2:$O$217,MATCH(B282, Rainfall_Wet!$A$2:$A$217,0)),"")</f>
        <v>214.262898705</v>
      </c>
      <c r="Y282" s="231">
        <v>25.96</v>
      </c>
      <c r="Z282" s="231">
        <v>6.9200000000000008</v>
      </c>
      <c r="AA282" s="231">
        <v>67.12</v>
      </c>
      <c r="AB282" s="232" t="s">
        <v>2670</v>
      </c>
      <c r="AC282" s="231">
        <v>1.7568260226712666</v>
      </c>
      <c r="AD282">
        <f>IF('WetLitterbags placem_collection'!AB63="","",'WetLitterbags placem_collection'!AB63)</f>
        <v>5.6</v>
      </c>
      <c r="AE282">
        <f>IF('WetLitterbags placem_collection'!Z63="","",'WetLitterbags placem_collection'!Z63)</f>
        <v>34.200000000000003</v>
      </c>
      <c r="AF282" s="246" t="str">
        <f>IF('WetLitterbags placem_collection'!AA63="","",'WetLitterbags placem_collection'!AA63)</f>
        <v>O</v>
      </c>
      <c r="AG282">
        <f>IF('WetLitterbags placem_collection'!AC63="","",'WetLitterbags placem_collection'!AC63)</f>
        <v>0</v>
      </c>
      <c r="AH282" s="240">
        <f>AVERAGE('WetLitterbags placem_collection'!S63,'WetLitterbags placem_collection'!U63)</f>
        <v>20.399999999999999</v>
      </c>
      <c r="AI282">
        <f>AVERAGE('WetLitterbags placem_collection'!R63,'WetLitterbags placem_collection'!T63)</f>
        <v>27.450000000000003</v>
      </c>
      <c r="AJ282">
        <f>INDEX(Coordinates!$B$2:$B$197,MATCH(G282,Coordinates!$J$2:$J$197,0))</f>
        <v>-3.406569986</v>
      </c>
      <c r="AK282">
        <f>INDEX(Coordinates!$C$2:$C$197,MATCH(G282,Coordinates!$J$2:$J$197,0))</f>
        <v>34.851323989999997</v>
      </c>
      <c r="AL282" t="str">
        <f>IF(ISNUMBER(SEARCH("C", 'WetLitterbags placem_collection'!W63)),"YES","NO")</f>
        <v>YES</v>
      </c>
      <c r="AM282" t="str">
        <f>IF(ISNUMBER(SEARCH("H", 'WetLitterbags placem_collection'!W63)),"YES","NO")</f>
        <v>YES</v>
      </c>
      <c r="AN282" t="str">
        <f>IF(ISNUMBER(SEARCH("R", 'WetLitterbags placem_collection'!W63)),"YES","NO")</f>
        <v>NO</v>
      </c>
    </row>
    <row r="283" spans="1:40" ht="15" customHeight="1">
      <c r="A283" s="258" t="s">
        <v>2460</v>
      </c>
      <c r="B283" s="263">
        <f>'Dry_Litterbag Placem_Collection'!A64</f>
        <v>62</v>
      </c>
      <c r="C283" s="263" t="str">
        <f>'Dry_Litterbag Placem_Collection'!B64</f>
        <v>Makao</v>
      </c>
      <c r="D283" s="263" t="s">
        <v>2659</v>
      </c>
      <c r="E283" s="263" t="s">
        <v>20</v>
      </c>
      <c r="F283" s="263">
        <v>4</v>
      </c>
      <c r="G283" s="264" t="str">
        <f>'Dry_Litterbag Placem_Collection'!C64</f>
        <v>Dry_P4_T6</v>
      </c>
      <c r="H283" s="265" t="s">
        <v>2541</v>
      </c>
      <c r="I283" s="272" t="s">
        <v>298</v>
      </c>
      <c r="J283" s="223" t="str">
        <f>'WetLitterbags placem_collection'!M64</f>
        <v>R119</v>
      </c>
      <c r="K283" s="225">
        <f>IFERROR(INDEX('Green_rooibos initial weight'!$C$5:$C$1749,MATCH(J283, 'Green_rooibos initial weight'!$A$5:$A$1749,0)),"")</f>
        <v>2.1589999999999998</v>
      </c>
      <c r="L283" s="225">
        <f>IFERROR(K283-(TBIcalc!$H$9+TBIcalc!$H$10),"")</f>
        <v>1.9091999999999998</v>
      </c>
      <c r="M283" s="391">
        <f>AVERAGE(Ashed_controlls!$K$12:$K$14)</f>
        <v>2.2816647271287041</v>
      </c>
      <c r="N283" s="225">
        <f t="shared" si="22"/>
        <v>1.8656384570296585</v>
      </c>
      <c r="O283" s="225">
        <f>IF(IFERROR(INDEX('Both teabags AfterWet'!$C$3:$C$841,MATCH(J283,'Both teabags AfterWet'!$A$3:$A$841,0)),"")="","",(IFERROR(INDEX('Both teabags AfterWet'!$C$3:$C$841,MATCH(J283,'Both teabags AfterWet'!$A$3:$A$841,0)),"")))</f>
        <v>1.6374</v>
      </c>
      <c r="P283" s="225">
        <f>IFERROR(IF(O283&gt;0,O283-(TBIcalc!$H$9),""),"")</f>
        <v>1.4867999999999999</v>
      </c>
      <c r="Q283" s="225">
        <f>IFERROR(INDEX('Ashed teabags wet'!$K$2:$K$821,MATCH(J283,'Ashed teabags wet'!$A$2:$A$821,0)),"")</f>
        <v>8.4343434343433188</v>
      </c>
      <c r="R283" s="225">
        <f t="shared" si="26"/>
        <v>1.3613981818181835</v>
      </c>
      <c r="S283" s="226">
        <f>'WetLitterbags placem_collection'!E64</f>
        <v>42766</v>
      </c>
      <c r="T283" s="226">
        <f>IF('WetLitterbags placem_collection'!G64="","",'WetLitterbags placem_collection'!G64)</f>
        <v>42820</v>
      </c>
      <c r="U283" s="227">
        <f t="shared" si="23"/>
        <v>54</v>
      </c>
      <c r="V283" s="225">
        <f t="shared" si="24"/>
        <v>0.42239999999999989</v>
      </c>
      <c r="W283" s="225">
        <f t="shared" si="25"/>
        <v>0.50424027521147496</v>
      </c>
      <c r="X283">
        <f>IFERROR(INDEX(Rainfall_Wet!$O$2:$O$217,MATCH(B283, Rainfall_Wet!$A$2:$A$217,0)),"")</f>
        <v>214.262898705</v>
      </c>
      <c r="Y283" s="231">
        <v>25.96</v>
      </c>
      <c r="Z283" s="231">
        <v>6.9200000000000008</v>
      </c>
      <c r="AA283" s="231">
        <v>67.12</v>
      </c>
      <c r="AB283" s="232" t="s">
        <v>2670</v>
      </c>
      <c r="AC283" s="231">
        <v>1.7568260226712666</v>
      </c>
      <c r="AD283">
        <f>IF('WetLitterbags placem_collection'!AB64="","",'WetLitterbags placem_collection'!AB64)</f>
        <v>4.2</v>
      </c>
      <c r="AE283">
        <f>IF('WetLitterbags placem_collection'!Z64="","",'WetLitterbags placem_collection'!Z64)</f>
        <v>40.4</v>
      </c>
      <c r="AF283" s="246" t="str">
        <f>IF('WetLitterbags placem_collection'!AA64="","",'WetLitterbags placem_collection'!AA64)</f>
        <v>O</v>
      </c>
      <c r="AG283">
        <f>IF('WetLitterbags placem_collection'!AC64="","",'WetLitterbags placem_collection'!AC64)</f>
        <v>0</v>
      </c>
      <c r="AH283" s="240">
        <f>AVERAGE('WetLitterbags placem_collection'!S64,'WetLitterbags placem_collection'!U64)</f>
        <v>24.7</v>
      </c>
      <c r="AI283">
        <f>AVERAGE('WetLitterbags placem_collection'!R64,'WetLitterbags placem_collection'!T64)</f>
        <v>26.799999999999997</v>
      </c>
      <c r="AJ283">
        <f>INDEX(Coordinates!$B$2:$B$197,MATCH(G283,Coordinates!$J$2:$J$197,0))</f>
        <v>-3.4065180179999999</v>
      </c>
      <c r="AK283">
        <f>INDEX(Coordinates!$C$2:$C$197,MATCH(G283,Coordinates!$J$2:$J$197,0))</f>
        <v>34.85121402</v>
      </c>
      <c r="AL283" t="str">
        <f>IF(ISNUMBER(SEARCH("C", 'WetLitterbags placem_collection'!W64)),"YES","NO")</f>
        <v>NO</v>
      </c>
      <c r="AM283" t="str">
        <f>IF(ISNUMBER(SEARCH("H", 'WetLitterbags placem_collection'!W64)),"YES","NO")</f>
        <v>YES</v>
      </c>
      <c r="AN283" t="str">
        <f>IF(ISNUMBER(SEARCH("R", 'WetLitterbags placem_collection'!W64)),"YES","NO")</f>
        <v>NO</v>
      </c>
    </row>
    <row r="284" spans="1:40" ht="15" customHeight="1">
      <c r="A284" s="258" t="s">
        <v>2460</v>
      </c>
      <c r="B284" s="263">
        <f>'Dry_Litterbag Placem_Collection'!A65</f>
        <v>63</v>
      </c>
      <c r="C284" s="263" t="str">
        <f>'Dry_Litterbag Placem_Collection'!B65</f>
        <v>Makao</v>
      </c>
      <c r="D284" s="263" t="s">
        <v>2659</v>
      </c>
      <c r="E284" s="263" t="s">
        <v>20</v>
      </c>
      <c r="F284" s="263">
        <v>4</v>
      </c>
      <c r="G284" s="264" t="str">
        <f>'Dry_Litterbag Placem_Collection'!C65</f>
        <v>Dry_P4_T7</v>
      </c>
      <c r="H284" s="265" t="s">
        <v>2541</v>
      </c>
      <c r="I284" s="272" t="s">
        <v>298</v>
      </c>
      <c r="J284" s="223" t="str">
        <f>'WetLitterbags placem_collection'!M65</f>
        <v>R185</v>
      </c>
      <c r="K284" s="225">
        <f>IFERROR(INDEX('Green_rooibos initial weight'!$C$5:$C$1749,MATCH(J284, 'Green_rooibos initial weight'!$A$5:$A$1749,0)),"")</f>
        <v>2.2909999999999999</v>
      </c>
      <c r="L284" s="225">
        <f>IFERROR(K284-(TBIcalc!$H$9+TBIcalc!$H$10),"")</f>
        <v>2.0411999999999999</v>
      </c>
      <c r="M284" s="391">
        <f>AVERAGE(Ashed_controlls!$K$12:$K$14)</f>
        <v>2.2816647271287041</v>
      </c>
      <c r="N284" s="225">
        <f t="shared" si="22"/>
        <v>1.9946266595898487</v>
      </c>
      <c r="O284" s="225">
        <f>IF(IFERROR(INDEX('Both teabags AfterWet'!$C$3:$C$841,MATCH(J284,'Both teabags AfterWet'!$A$3:$A$841,0)),"")="","",(IFERROR(INDEX('Both teabags AfterWet'!$C$3:$C$841,MATCH(J284,'Both teabags AfterWet'!$A$3:$A$841,0)),"")))</f>
        <v>1.6850000000000001</v>
      </c>
      <c r="P284" s="225">
        <f>IFERROR(IF(O284&gt;0,O284-(TBIcalc!$H$9),""),"")</f>
        <v>1.5344</v>
      </c>
      <c r="Q284" s="225">
        <f>IFERROR(INDEX('Ashed teabags wet'!$K$2:$K$821,MATCH(J284,'Ashed teabags wet'!$A$2:$A$821,0)),"")</f>
        <v>8.6122047244091302</v>
      </c>
      <c r="R284" s="225">
        <f t="shared" si="26"/>
        <v>1.4022543307086663</v>
      </c>
      <c r="S284" s="226">
        <f>'WetLitterbags placem_collection'!E65</f>
        <v>42766</v>
      </c>
      <c r="T284" s="226">
        <f>IF('WetLitterbags placem_collection'!G65="","",'WetLitterbags placem_collection'!G65)</f>
        <v>42820</v>
      </c>
      <c r="U284" s="227">
        <f t="shared" si="23"/>
        <v>54</v>
      </c>
      <c r="V284" s="225">
        <f t="shared" si="24"/>
        <v>0.50679999999999992</v>
      </c>
      <c r="W284" s="225">
        <f t="shared" si="25"/>
        <v>0.59237232888118241</v>
      </c>
      <c r="X284">
        <f>IFERROR(INDEX(Rainfall_Wet!$O$2:$O$217,MATCH(B284, Rainfall_Wet!$A$2:$A$217,0)),"")</f>
        <v>214.262898705</v>
      </c>
      <c r="Y284" s="231">
        <v>25.96</v>
      </c>
      <c r="Z284" s="231">
        <v>6.9200000000000008</v>
      </c>
      <c r="AA284" s="231">
        <v>67.12</v>
      </c>
      <c r="AB284" s="232" t="s">
        <v>2670</v>
      </c>
      <c r="AC284" s="231">
        <v>1.7568260226712666</v>
      </c>
      <c r="AD284">
        <f>IF('WetLitterbags placem_collection'!AB65="","",'WetLitterbags placem_collection'!AB65)</f>
        <v>4.9000000000000004</v>
      </c>
      <c r="AE284">
        <f>IF('WetLitterbags placem_collection'!Z65="","",'WetLitterbags placem_collection'!Z65)</f>
        <v>45</v>
      </c>
      <c r="AF284" s="246" t="str">
        <f>IF('WetLitterbags placem_collection'!AA65="","",'WetLitterbags placem_collection'!AA65)</f>
        <v>O</v>
      </c>
      <c r="AG284">
        <f>IF('WetLitterbags placem_collection'!AC65="","",'WetLitterbags placem_collection'!AC65)</f>
        <v>0</v>
      </c>
      <c r="AH284" s="240">
        <f>AVERAGE('WetLitterbags placem_collection'!S65,'WetLitterbags placem_collection'!U65)</f>
        <v>22.9</v>
      </c>
      <c r="AI284">
        <f>AVERAGE('WetLitterbags placem_collection'!R65,'WetLitterbags placem_collection'!T65)</f>
        <v>28.25</v>
      </c>
      <c r="AJ284">
        <f>INDEX(Coordinates!$B$2:$B$197,MATCH(G284,Coordinates!$J$2:$J$197,0))</f>
        <v>-3.406334035</v>
      </c>
      <c r="AK284">
        <f>INDEX(Coordinates!$C$2:$C$197,MATCH(G284,Coordinates!$J$2:$J$197,0))</f>
        <v>34.851172030000001</v>
      </c>
      <c r="AL284" t="str">
        <f>IF(ISNUMBER(SEARCH("C", 'WetLitterbags placem_collection'!W65)),"YES","NO")</f>
        <v>NO</v>
      </c>
      <c r="AM284" t="str">
        <f>IF(ISNUMBER(SEARCH("H", 'WetLitterbags placem_collection'!W65)),"YES","NO")</f>
        <v>NO</v>
      </c>
      <c r="AN284" t="str">
        <f>IF(ISNUMBER(SEARCH("R", 'WetLitterbags placem_collection'!W65)),"YES","NO")</f>
        <v>YES</v>
      </c>
    </row>
    <row r="285" spans="1:40" ht="15" customHeight="1">
      <c r="A285" s="258" t="s">
        <v>2460</v>
      </c>
      <c r="B285" s="263">
        <f>'Dry_Litterbag Placem_Collection'!A66</f>
        <v>64</v>
      </c>
      <c r="C285" s="263" t="str">
        <f>'Dry_Litterbag Placem_Collection'!B66</f>
        <v>Makao</v>
      </c>
      <c r="D285" s="263" t="s">
        <v>2659</v>
      </c>
      <c r="E285" s="263" t="s">
        <v>20</v>
      </c>
      <c r="F285" s="263">
        <v>4</v>
      </c>
      <c r="G285" s="264" t="str">
        <f>'Dry_Litterbag Placem_Collection'!C66</f>
        <v>Dry_P4_T8</v>
      </c>
      <c r="H285" s="265" t="s">
        <v>2541</v>
      </c>
      <c r="I285" s="272" t="s">
        <v>298</v>
      </c>
      <c r="J285" s="223" t="str">
        <f>'WetLitterbags placem_collection'!M66</f>
        <v>R159</v>
      </c>
      <c r="K285" s="225">
        <f>IFERROR(INDEX('Green_rooibos initial weight'!$C$5:$C$1749,MATCH(J285, 'Green_rooibos initial weight'!$A$5:$A$1749,0)),"")</f>
        <v>2.2930000000000001</v>
      </c>
      <c r="L285" s="225">
        <f>IFERROR(K285-(TBIcalc!$H$9+TBIcalc!$H$10),"")</f>
        <v>2.0432000000000001</v>
      </c>
      <c r="M285" s="391">
        <f>AVERAGE(Ashed_controlls!$K$12:$K$14)</f>
        <v>2.2816647271287041</v>
      </c>
      <c r="N285" s="225">
        <f t="shared" si="22"/>
        <v>1.9965810262953065</v>
      </c>
      <c r="O285" s="225">
        <f>IF(IFERROR(INDEX('Both teabags AfterWet'!$C$3:$C$841,MATCH(J285,'Both teabags AfterWet'!$A$3:$A$841,0)),"")="","",(IFERROR(INDEX('Both teabags AfterWet'!$C$3:$C$841,MATCH(J285,'Both teabags AfterWet'!$A$3:$A$841,0)),"")))</f>
        <v>1.3160000000000001</v>
      </c>
      <c r="P285" s="225">
        <f>IFERROR(IF(O285&gt;0,O285-(TBIcalc!$H$9),""),"")</f>
        <v>1.1654</v>
      </c>
      <c r="Q285" s="225">
        <f>IFERROR(INDEX('Ashed teabags wet'!$K$2:$K$821,MATCH(J285,'Ashed teabags wet'!$A$2:$A$821,0)),"")</f>
        <v>82.454411039920885</v>
      </c>
      <c r="R285" s="225">
        <f t="shared" si="26"/>
        <v>0.20447629374076204</v>
      </c>
      <c r="S285" s="226">
        <f>'WetLitterbags placem_collection'!E66</f>
        <v>42766</v>
      </c>
      <c r="T285" s="226">
        <f>IF('WetLitterbags placem_collection'!G66="","",'WetLitterbags placem_collection'!G66)</f>
        <v>42820</v>
      </c>
      <c r="U285" s="227">
        <f t="shared" si="23"/>
        <v>54</v>
      </c>
      <c r="V285" s="225">
        <f t="shared" si="24"/>
        <v>0.87780000000000014</v>
      </c>
      <c r="W285" s="225">
        <f t="shared" si="25"/>
        <v>1.7921047325545445</v>
      </c>
      <c r="X285">
        <f>IFERROR(INDEX(Rainfall_Wet!$O$2:$O$217,MATCH(B285, Rainfall_Wet!$A$2:$A$217,0)),"")</f>
        <v>214.262898705</v>
      </c>
      <c r="Y285" s="231">
        <v>25.96</v>
      </c>
      <c r="Z285" s="231">
        <v>6.9200000000000008</v>
      </c>
      <c r="AA285" s="231">
        <v>67.12</v>
      </c>
      <c r="AB285" s="232" t="s">
        <v>2670</v>
      </c>
      <c r="AC285" s="231">
        <v>1.7568260226712666</v>
      </c>
      <c r="AD285">
        <f>IF('WetLitterbags placem_collection'!AB66="","",'WetLitterbags placem_collection'!AB66)</f>
        <v>3</v>
      </c>
      <c r="AE285">
        <f>IF('WetLitterbags placem_collection'!Z66="","",'WetLitterbags placem_collection'!Z66)</f>
        <v>22.8</v>
      </c>
      <c r="AF285" s="246" t="str">
        <f>IF('WetLitterbags placem_collection'!AA66="","",'WetLitterbags placem_collection'!AA66)</f>
        <v>O</v>
      </c>
      <c r="AG285">
        <f>IF('WetLitterbags placem_collection'!AC66="","",'WetLitterbags placem_collection'!AC66)</f>
        <v>1</v>
      </c>
      <c r="AH285" s="240">
        <f>AVERAGE('WetLitterbags placem_collection'!S66,'WetLitterbags placem_collection'!U66)</f>
        <v>34.6</v>
      </c>
      <c r="AI285">
        <f>AVERAGE('WetLitterbags placem_collection'!R66,'WetLitterbags placem_collection'!T66)</f>
        <v>22.7</v>
      </c>
      <c r="AJ285">
        <f>INDEX(Coordinates!$B$2:$B$197,MATCH(G285,Coordinates!$J$2:$J$197,0))</f>
        <v>-3.4063409920000001</v>
      </c>
      <c r="AK285">
        <f>INDEX(Coordinates!$C$2:$C$197,MATCH(G285,Coordinates!$J$2:$J$197,0))</f>
        <v>34.85126004</v>
      </c>
      <c r="AL285" t="str">
        <f>IF(ISNUMBER(SEARCH("C", 'WetLitterbags placem_collection'!W66)),"YES","NO")</f>
        <v>YES</v>
      </c>
      <c r="AM285" t="str">
        <f>IF(ISNUMBER(SEARCH("H", 'WetLitterbags placem_collection'!W66)),"YES","NO")</f>
        <v>YES</v>
      </c>
      <c r="AN285" t="str">
        <f>IF(ISNUMBER(SEARCH("R", 'WetLitterbags placem_collection'!W66)),"YES","NO")</f>
        <v>NO</v>
      </c>
    </row>
    <row r="286" spans="1:40" ht="15" customHeight="1">
      <c r="A286" s="258" t="s">
        <v>2460</v>
      </c>
      <c r="B286" s="263">
        <f>'Dry_Litterbag Placem_Collection'!A67</f>
        <v>65</v>
      </c>
      <c r="C286" s="263" t="str">
        <f>'Dry_Litterbag Placem_Collection'!B67</f>
        <v>Maswa</v>
      </c>
      <c r="D286" s="263" t="s">
        <v>2659</v>
      </c>
      <c r="E286" s="263" t="s">
        <v>2661</v>
      </c>
      <c r="F286" s="263">
        <v>1</v>
      </c>
      <c r="G286" s="264" t="str">
        <f>'Dry_Litterbag Placem_Collection'!C67</f>
        <v>Dry_W1_T1</v>
      </c>
      <c r="H286" s="265" t="s">
        <v>2541</v>
      </c>
      <c r="I286" s="272" t="s">
        <v>298</v>
      </c>
      <c r="J286" s="223" t="str">
        <f>'WetLitterbags placem_collection'!M67</f>
        <v>R525</v>
      </c>
      <c r="K286" s="225">
        <f>IFERROR(INDEX('Green_rooibos initial weight'!$C$5:$C$1749,MATCH(J286, 'Green_rooibos initial weight'!$A$5:$A$1749,0)),"")</f>
        <v>2.1469999999999998</v>
      </c>
      <c r="L286" s="225">
        <f>IFERROR(K286-(TBIcalc!$H$9+TBIcalc!$H$10),"")</f>
        <v>1.8971999999999998</v>
      </c>
      <c r="M286" s="391">
        <f>AVERAGE(Ashed_controlls!$K$12:$K$14)</f>
        <v>2.2816647271287041</v>
      </c>
      <c r="N286" s="225">
        <f t="shared" si="22"/>
        <v>1.853912256796914</v>
      </c>
      <c r="O286" s="225">
        <f>IF(IFERROR(INDEX('Both teabags AfterWet'!$C$3:$C$841,MATCH(J286,'Both teabags AfterWet'!$A$3:$A$841,0)),"")="","",(IFERROR(INDEX('Both teabags AfterWet'!$C$3:$C$841,MATCH(J286,'Both teabags AfterWet'!$A$3:$A$841,0)),"")))</f>
        <v>1.704</v>
      </c>
      <c r="P286" s="225">
        <f>IFERROR(IF(O286&gt;0,O286-(TBIcalc!$H$9),""),"")</f>
        <v>1.5533999999999999</v>
      </c>
      <c r="Q286" s="225">
        <f>IFERROR(INDEX('Ashed teabags wet'!$K$2:$K$821,MATCH(J286,'Ashed teabags wet'!$A$2:$A$821,0)),"")</f>
        <v>3.9941548952748618</v>
      </c>
      <c r="R286" s="225">
        <f t="shared" si="26"/>
        <v>1.4913547978568003</v>
      </c>
      <c r="S286" s="226">
        <f>'WetLitterbags placem_collection'!E67</f>
        <v>42767</v>
      </c>
      <c r="T286" s="226">
        <f>IF('WetLitterbags placem_collection'!G67="","",'WetLitterbags placem_collection'!G67)</f>
        <v>42818</v>
      </c>
      <c r="U286" s="227">
        <f t="shared" si="23"/>
        <v>51</v>
      </c>
      <c r="V286" s="225">
        <f t="shared" si="24"/>
        <v>0.34379999999999988</v>
      </c>
      <c r="W286" s="225">
        <f t="shared" si="25"/>
        <v>0.36255745894011371</v>
      </c>
      <c r="X286">
        <f>IFERROR(INDEX(Rainfall_Wet!$O$2:$O$217,MATCH(B286, Rainfall_Wet!$A$2:$A$217,0)),"")</f>
        <v>185.630065823</v>
      </c>
      <c r="Y286" s="231">
        <v>47.96</v>
      </c>
      <c r="Z286" s="231">
        <v>22.919999999999995</v>
      </c>
      <c r="AA286" s="231">
        <v>29.120000000000012</v>
      </c>
      <c r="AB286" s="232" t="s">
        <v>2673</v>
      </c>
      <c r="AC286" s="231">
        <v>2.8831936914736325</v>
      </c>
      <c r="AD286">
        <f>IF('WetLitterbags placem_collection'!AB67="","",'WetLitterbags placem_collection'!AB67)</f>
        <v>13.8</v>
      </c>
      <c r="AE286">
        <f>IF('WetLitterbags placem_collection'!Z67="","",'WetLitterbags placem_collection'!Z67)</f>
        <v>13.8</v>
      </c>
      <c r="AF286" s="246" t="str">
        <f>IF('WetLitterbags placem_collection'!AA67="","",'WetLitterbags placem_collection'!AA67)</f>
        <v>O</v>
      </c>
      <c r="AG286">
        <f>IF('WetLitterbags placem_collection'!AC67="","",'WetLitterbags placem_collection'!AC67)</f>
        <v>1</v>
      </c>
      <c r="AH286" s="240">
        <f>AVERAGE('WetLitterbags placem_collection'!S67,'WetLitterbags placem_collection'!U67)</f>
        <v>32.299999999999997</v>
      </c>
      <c r="AI286">
        <f>AVERAGE('WetLitterbags placem_collection'!R67,'WetLitterbags placem_collection'!T67)</f>
        <v>22.75</v>
      </c>
      <c r="AJ286">
        <f>INDEX(Coordinates!$B$2:$B$197,MATCH(G286,Coordinates!$J$2:$J$197,0))</f>
        <v>-3.2993960379999998</v>
      </c>
      <c r="AK286">
        <f>INDEX(Coordinates!$C$2:$C$197,MATCH(G286,Coordinates!$J$2:$J$197,0))</f>
        <v>34.848240959999998</v>
      </c>
      <c r="AL286" t="str">
        <f>IF(ISNUMBER(SEARCH("C", 'WetLitterbags placem_collection'!W67)),"YES","NO")</f>
        <v>NO</v>
      </c>
      <c r="AM286" t="str">
        <f>IF(ISNUMBER(SEARCH("H", 'WetLitterbags placem_collection'!W67)),"YES","NO")</f>
        <v>NO</v>
      </c>
      <c r="AN286" t="str">
        <f>IF(ISNUMBER(SEARCH("R", 'WetLitterbags placem_collection'!W67)),"YES","NO")</f>
        <v>NO</v>
      </c>
    </row>
    <row r="287" spans="1:40" ht="15" customHeight="1">
      <c r="A287" s="258" t="s">
        <v>2460</v>
      </c>
      <c r="B287" s="263">
        <f>'Dry_Litterbag Placem_Collection'!A68</f>
        <v>66</v>
      </c>
      <c r="C287" s="263" t="str">
        <f>'Dry_Litterbag Placem_Collection'!B68</f>
        <v>Maswa</v>
      </c>
      <c r="D287" s="263" t="s">
        <v>2659</v>
      </c>
      <c r="E287" s="263" t="s">
        <v>2661</v>
      </c>
      <c r="F287" s="263">
        <v>1</v>
      </c>
      <c r="G287" s="264" t="str">
        <f>'Dry_Litterbag Placem_Collection'!C68</f>
        <v>Dry_W1_T2</v>
      </c>
      <c r="H287" s="265" t="s">
        <v>2541</v>
      </c>
      <c r="I287" s="272" t="s">
        <v>298</v>
      </c>
      <c r="J287" s="223" t="str">
        <f>'WetLitterbags placem_collection'!M68</f>
        <v>R150</v>
      </c>
      <c r="K287" s="225">
        <f>IFERROR(INDEX('Green_rooibos initial weight'!$C$5:$C$1749,MATCH(J287, 'Green_rooibos initial weight'!$A$5:$A$1749,0)),"")</f>
        <v>2.1469999999999998</v>
      </c>
      <c r="L287" s="225">
        <f>IFERROR(K287-(TBIcalc!$H$9+TBIcalc!$H$10),"")</f>
        <v>1.8971999999999998</v>
      </c>
      <c r="M287" s="391">
        <f>AVERAGE(Ashed_controlls!$K$12:$K$14)</f>
        <v>2.2816647271287041</v>
      </c>
      <c r="N287" s="225">
        <f t="shared" si="22"/>
        <v>1.853912256796914</v>
      </c>
      <c r="O287" s="225">
        <f>IF(IFERROR(INDEX('Both teabags AfterWet'!$C$3:$C$841,MATCH(J287,'Both teabags AfterWet'!$A$3:$A$841,0)),"")="","",(IFERROR(INDEX('Both teabags AfterWet'!$C$3:$C$841,MATCH(J287,'Both teabags AfterWet'!$A$3:$A$841,0)),"")))</f>
        <v>0.21360000000000001</v>
      </c>
      <c r="P287" s="225">
        <f>IFERROR(IF(O287&gt;0,O287-(TBIcalc!$H$9),""),"")</f>
        <v>6.3E-2</v>
      </c>
      <c r="Q287" s="225" t="str">
        <f>IFERROR(INDEX('Ashed teabags wet'!$K$2:$K$821,MATCH(J287,'Ashed teabags wet'!$A$2:$A$821,0)),"")</f>
        <v/>
      </c>
      <c r="R287" s="225" t="str">
        <f t="shared" si="26"/>
        <v/>
      </c>
      <c r="S287" s="226">
        <f>'WetLitterbags placem_collection'!E68</f>
        <v>42767</v>
      </c>
      <c r="T287" s="226">
        <f>IF('WetLitterbags placem_collection'!G68="","",'WetLitterbags placem_collection'!G68)</f>
        <v>42818</v>
      </c>
      <c r="U287" s="227">
        <f t="shared" si="23"/>
        <v>51</v>
      </c>
      <c r="V287" s="225">
        <f t="shared" si="24"/>
        <v>1.8341999999999998</v>
      </c>
      <c r="W287" s="225" t="str">
        <f t="shared" si="25"/>
        <v/>
      </c>
      <c r="X287">
        <f>IFERROR(INDEX(Rainfall_Wet!$O$2:$O$217,MATCH(B287, Rainfall_Wet!$A$2:$A$217,0)),"")</f>
        <v>185.630065823</v>
      </c>
      <c r="Y287" s="231">
        <v>47.96</v>
      </c>
      <c r="Z287" s="231">
        <v>22.919999999999995</v>
      </c>
      <c r="AA287" s="231">
        <v>29.120000000000012</v>
      </c>
      <c r="AB287" s="232" t="s">
        <v>2673</v>
      </c>
      <c r="AC287" s="231">
        <v>3.8831936914736298</v>
      </c>
      <c r="AD287">
        <f>IF('WetLitterbags placem_collection'!AB68="","",'WetLitterbags placem_collection'!AB68)</f>
        <v>8</v>
      </c>
      <c r="AE287">
        <f>IF('WetLitterbags placem_collection'!Z68="","",'WetLitterbags placem_collection'!Z68)</f>
        <v>19.8</v>
      </c>
      <c r="AF287" s="246" t="str">
        <f>IF('WetLitterbags placem_collection'!AA68="","",'WetLitterbags placem_collection'!AA68)</f>
        <v>O</v>
      </c>
      <c r="AG287">
        <f>IF('WetLitterbags placem_collection'!AC68="","",'WetLitterbags placem_collection'!AC68)</f>
        <v>1</v>
      </c>
      <c r="AH287" s="240">
        <f>AVERAGE('WetLitterbags placem_collection'!S68,'WetLitterbags placem_collection'!U68)</f>
        <v>30.6</v>
      </c>
      <c r="AI287">
        <f>AVERAGE('WetLitterbags placem_collection'!R68,'WetLitterbags placem_collection'!T68)</f>
        <v>21.95</v>
      </c>
      <c r="AJ287">
        <f>INDEX(Coordinates!$B$2:$B$197,MATCH(G287,Coordinates!$J$2:$J$197,0))</f>
        <v>-3.2993090340000002</v>
      </c>
      <c r="AK287">
        <f>INDEX(Coordinates!$C$2:$C$197,MATCH(G287,Coordinates!$J$2:$J$197,0))</f>
        <v>34.848404989999999</v>
      </c>
      <c r="AL287" t="str">
        <f>IF(ISNUMBER(SEARCH("C", 'WetLitterbags placem_collection'!W68)),"YES","NO")</f>
        <v>NO</v>
      </c>
      <c r="AM287" t="str">
        <f>IF(ISNUMBER(SEARCH("H", 'WetLitterbags placem_collection'!W68)),"YES","NO")</f>
        <v>YES</v>
      </c>
      <c r="AN287" t="str">
        <f>IF(ISNUMBER(SEARCH("R", 'WetLitterbags placem_collection'!W68)),"YES","NO")</f>
        <v>NO</v>
      </c>
    </row>
    <row r="288" spans="1:40" ht="15" customHeight="1">
      <c r="A288" s="258" t="s">
        <v>2460</v>
      </c>
      <c r="B288" s="263">
        <f>'Dry_Litterbag Placem_Collection'!A69</f>
        <v>67</v>
      </c>
      <c r="C288" s="263" t="str">
        <f>'Dry_Litterbag Placem_Collection'!B69</f>
        <v>Maswa</v>
      </c>
      <c r="D288" s="263" t="s">
        <v>2659</v>
      </c>
      <c r="E288" s="263" t="s">
        <v>2661</v>
      </c>
      <c r="F288" s="263">
        <v>1</v>
      </c>
      <c r="G288" s="264" t="str">
        <f>'Dry_Litterbag Placem_Collection'!C69</f>
        <v>Dry_W1_T3</v>
      </c>
      <c r="H288" s="265" t="s">
        <v>2541</v>
      </c>
      <c r="I288" s="272" t="s">
        <v>298</v>
      </c>
      <c r="J288" s="223" t="str">
        <f>'WetLitterbags placem_collection'!M69</f>
        <v>R165</v>
      </c>
      <c r="K288" s="225">
        <f>IFERROR(INDEX('Green_rooibos initial weight'!$C$5:$C$1749,MATCH(J288, 'Green_rooibos initial weight'!$A$5:$A$1749,0)),"")</f>
        <v>2.169</v>
      </c>
      <c r="L288" s="225">
        <f>IFERROR(K288-(TBIcalc!$H$9+TBIcalc!$H$10),"")</f>
        <v>1.9192</v>
      </c>
      <c r="M288" s="391">
        <f>AVERAGE(Ashed_controlls!$K$12:$K$14)</f>
        <v>2.2816647271287041</v>
      </c>
      <c r="N288" s="225">
        <f t="shared" si="22"/>
        <v>1.8754102905569459</v>
      </c>
      <c r="O288" s="225">
        <f>IF(IFERROR(INDEX('Both teabags AfterWet'!$C$3:$C$841,MATCH(J288,'Both teabags AfterWet'!$A$3:$A$841,0)),"")="","",(IFERROR(INDEX('Both teabags AfterWet'!$C$3:$C$841,MATCH(J288,'Both teabags AfterWet'!$A$3:$A$841,0)),"")))</f>
        <v>1.4942</v>
      </c>
      <c r="P288" s="225">
        <f>IFERROR(IF(O288&gt;0,O288-(TBIcalc!$H$9),""),"")</f>
        <v>1.3435999999999999</v>
      </c>
      <c r="Q288" s="225">
        <f>IFERROR(INDEX('Ashed teabags wet'!$K$2:$K$821,MATCH(J288,'Ashed teabags wet'!$A$2:$A$821,0)),"")</f>
        <v>4.9107142857138548</v>
      </c>
      <c r="R288" s="225">
        <f t="shared" si="26"/>
        <v>1.2776196428571485</v>
      </c>
      <c r="S288" s="226">
        <f>'WetLitterbags placem_collection'!E69</f>
        <v>42767</v>
      </c>
      <c r="T288" s="226">
        <f>IF('WetLitterbags placem_collection'!G69="","",'WetLitterbags placem_collection'!G69)</f>
        <v>42818</v>
      </c>
      <c r="U288" s="227">
        <f t="shared" si="23"/>
        <v>51</v>
      </c>
      <c r="V288" s="225">
        <f t="shared" si="24"/>
        <v>0.57560000000000011</v>
      </c>
      <c r="W288" s="225">
        <f t="shared" si="25"/>
        <v>0.5977906476997974</v>
      </c>
      <c r="X288">
        <f>IFERROR(INDEX(Rainfall_Wet!$O$2:$O$217,MATCH(B288, Rainfall_Wet!$A$2:$A$217,0)),"")</f>
        <v>185.630065823</v>
      </c>
      <c r="Y288" s="231">
        <v>47.96</v>
      </c>
      <c r="Z288" s="231">
        <v>22.919999999999995</v>
      </c>
      <c r="AA288" s="231">
        <v>29.120000000000012</v>
      </c>
      <c r="AB288" s="232" t="s">
        <v>2673</v>
      </c>
      <c r="AC288" s="231">
        <v>4.8831936914736298</v>
      </c>
      <c r="AD288">
        <f>IF('WetLitterbags placem_collection'!AB69="","",'WetLitterbags placem_collection'!AB69)</f>
        <v>5.5</v>
      </c>
      <c r="AE288">
        <f>IF('WetLitterbags placem_collection'!Z69="","",'WetLitterbags placem_collection'!Z69)</f>
        <v>5.5</v>
      </c>
      <c r="AF288" s="246" t="str">
        <f>IF('WetLitterbags placem_collection'!AA69="","",'WetLitterbags placem_collection'!AA69)</f>
        <v>O</v>
      </c>
      <c r="AG288">
        <f>IF('WetLitterbags placem_collection'!AC69="","",'WetLitterbags placem_collection'!AC69)</f>
        <v>1</v>
      </c>
      <c r="AH288" s="240">
        <f>AVERAGE('WetLitterbags placem_collection'!S69,'WetLitterbags placem_collection'!U69)</f>
        <v>29.9</v>
      </c>
      <c r="AI288">
        <f>AVERAGE('WetLitterbags placem_collection'!R69,'WetLitterbags placem_collection'!T69)</f>
        <v>20.7</v>
      </c>
      <c r="AJ288">
        <f>INDEX(Coordinates!$B$2:$B$197,MATCH(G288,Coordinates!$J$2:$J$197,0))</f>
        <v>-3.299434008</v>
      </c>
      <c r="AK288">
        <f>INDEX(Coordinates!$C$2:$C$197,MATCH(G288,Coordinates!$J$2:$J$197,0))</f>
        <v>34.848514960000003</v>
      </c>
      <c r="AL288" t="str">
        <f>IF(ISNUMBER(SEARCH("C", 'WetLitterbags placem_collection'!W69)),"YES","NO")</f>
        <v>NO</v>
      </c>
      <c r="AM288" t="str">
        <f>IF(ISNUMBER(SEARCH("H", 'WetLitterbags placem_collection'!W69)),"YES","NO")</f>
        <v>NO</v>
      </c>
      <c r="AN288" t="str">
        <f>IF(ISNUMBER(SEARCH("R", 'WetLitterbags placem_collection'!W69)),"YES","NO")</f>
        <v>NO</v>
      </c>
    </row>
    <row r="289" spans="1:40" ht="15" customHeight="1">
      <c r="A289" s="258" t="s">
        <v>2460</v>
      </c>
      <c r="B289" s="263">
        <f>'Dry_Litterbag Placem_Collection'!A70</f>
        <v>68</v>
      </c>
      <c r="C289" s="263" t="str">
        <f>'Dry_Litterbag Placem_Collection'!B70</f>
        <v>Maswa</v>
      </c>
      <c r="D289" s="263" t="s">
        <v>2659</v>
      </c>
      <c r="E289" s="263" t="s">
        <v>2661</v>
      </c>
      <c r="F289" s="263">
        <v>1</v>
      </c>
      <c r="G289" s="264" t="str">
        <f>'Dry_Litterbag Placem_Collection'!C70</f>
        <v>Dry_W1_T4</v>
      </c>
      <c r="H289" s="265" t="s">
        <v>2541</v>
      </c>
      <c r="I289" s="272" t="s">
        <v>298</v>
      </c>
      <c r="J289" s="223" t="str">
        <f>'WetLitterbags placem_collection'!M70</f>
        <v>R129</v>
      </c>
      <c r="K289" s="225">
        <f>IFERROR(INDEX('Green_rooibos initial weight'!$C$5:$C$1749,MATCH(J289, 'Green_rooibos initial weight'!$A$5:$A$1749,0)),"")</f>
        <v>2.2829999999999999</v>
      </c>
      <c r="L289" s="225">
        <f>IFERROR(K289-(TBIcalc!$H$9+TBIcalc!$H$10),"")</f>
        <v>2.0331999999999999</v>
      </c>
      <c r="M289" s="391">
        <f>AVERAGE(Ashed_controlls!$K$12:$K$14)</f>
        <v>2.2816647271287041</v>
      </c>
      <c r="N289" s="225">
        <f t="shared" si="22"/>
        <v>1.9868091927680191</v>
      </c>
      <c r="O289" s="225">
        <f>IF(IFERROR(INDEX('Both teabags AfterWet'!$C$3:$C$841,MATCH(J289,'Both teabags AfterWet'!$A$3:$A$841,0)),"")="","",(IFERROR(INDEX('Both teabags AfterWet'!$C$3:$C$841,MATCH(J289,'Both teabags AfterWet'!$A$3:$A$841,0)),"")))</f>
        <v>1.885</v>
      </c>
      <c r="P289" s="225">
        <f>IFERROR(IF(O289&gt;0,O289-(TBIcalc!$H$9),""),"")</f>
        <v>1.7343999999999999</v>
      </c>
      <c r="Q289" s="225">
        <f>IFERROR(INDEX('Ashed teabags wet'!$K$2:$K$821,MATCH(J289,'Ashed teabags wet'!$A$2:$A$821,0)),"")</f>
        <v>14.637752587481726</v>
      </c>
      <c r="R289" s="225">
        <f t="shared" si="26"/>
        <v>1.4805228191227169</v>
      </c>
      <c r="S289" s="226">
        <f>'WetLitterbags placem_collection'!E70</f>
        <v>42767</v>
      </c>
      <c r="T289" s="226">
        <f>IF('WetLitterbags placem_collection'!G70="","",'WetLitterbags placem_collection'!G70)</f>
        <v>42818</v>
      </c>
      <c r="U289" s="227">
        <f t="shared" si="23"/>
        <v>51</v>
      </c>
      <c r="V289" s="225">
        <f t="shared" si="24"/>
        <v>0.29879999999999995</v>
      </c>
      <c r="W289" s="225">
        <f t="shared" si="25"/>
        <v>0.50628637364530227</v>
      </c>
      <c r="X289">
        <f>IFERROR(INDEX(Rainfall_Wet!$O$2:$O$217,MATCH(B289, Rainfall_Wet!$A$2:$A$217,0)),"")</f>
        <v>185.630065823</v>
      </c>
      <c r="Y289" s="231">
        <v>47.96</v>
      </c>
      <c r="Z289" s="231">
        <v>22.919999999999995</v>
      </c>
      <c r="AA289" s="231">
        <v>29.120000000000012</v>
      </c>
      <c r="AB289" s="232" t="s">
        <v>2673</v>
      </c>
      <c r="AC289" s="231">
        <v>5.8831936914736298</v>
      </c>
      <c r="AD289">
        <f>IF('WetLitterbags placem_collection'!AB70="","",'WetLitterbags placem_collection'!AB70)</f>
        <v>9.6999999999999993</v>
      </c>
      <c r="AE289">
        <f>IF('WetLitterbags placem_collection'!Z70="","",'WetLitterbags placem_collection'!Z70)</f>
        <v>23.4</v>
      </c>
      <c r="AF289" s="246" t="str">
        <f>IF('WetLitterbags placem_collection'!AA70="","",'WetLitterbags placem_collection'!AA70)</f>
        <v>O</v>
      </c>
      <c r="AG289">
        <f>IF('WetLitterbags placem_collection'!AC70="","",'WetLitterbags placem_collection'!AC70)</f>
        <v>1</v>
      </c>
      <c r="AH289" s="240">
        <f>AVERAGE('WetLitterbags placem_collection'!S70,'WetLitterbags placem_collection'!U70)</f>
        <v>29.85</v>
      </c>
      <c r="AI289">
        <f>AVERAGE('WetLitterbags placem_collection'!R70,'WetLitterbags placem_collection'!T70)</f>
        <v>21.2</v>
      </c>
      <c r="AJ289">
        <f>INDEX(Coordinates!$B$2:$B$197,MATCH(G289,Coordinates!$J$2:$J$197,0))</f>
        <v>-3.2991180099999999</v>
      </c>
      <c r="AK289">
        <f>INDEX(Coordinates!$C$2:$C$197,MATCH(G289,Coordinates!$J$2:$J$197,0))</f>
        <v>34.84824699</v>
      </c>
      <c r="AL289" t="str">
        <f>IF(ISNUMBER(SEARCH("C", 'WetLitterbags placem_collection'!W70)),"YES","NO")</f>
        <v>NO</v>
      </c>
      <c r="AM289" t="str">
        <f>IF(ISNUMBER(SEARCH("H", 'WetLitterbags placem_collection'!W70)),"YES","NO")</f>
        <v>NO</v>
      </c>
      <c r="AN289" t="str">
        <f>IF(ISNUMBER(SEARCH("R", 'WetLitterbags placem_collection'!W70)),"YES","NO")</f>
        <v>NO</v>
      </c>
    </row>
    <row r="290" spans="1:40" ht="15" customHeight="1">
      <c r="A290" s="258" t="s">
        <v>2460</v>
      </c>
      <c r="B290" s="263">
        <f>'Dry_Litterbag Placem_Collection'!A71</f>
        <v>69</v>
      </c>
      <c r="C290" s="263" t="str">
        <f>'Dry_Litterbag Placem_Collection'!B71</f>
        <v>Maswa</v>
      </c>
      <c r="D290" s="263" t="s">
        <v>2659</v>
      </c>
      <c r="E290" s="263" t="s">
        <v>2661</v>
      </c>
      <c r="F290" s="263">
        <v>1</v>
      </c>
      <c r="G290" s="264" t="str">
        <f>'Dry_Litterbag Placem_Collection'!C71</f>
        <v>Dry_W1_T5</v>
      </c>
      <c r="H290" s="265" t="s">
        <v>2541</v>
      </c>
      <c r="I290" s="272" t="s">
        <v>298</v>
      </c>
      <c r="J290" s="223" t="str">
        <f>'WetLitterbags placem_collection'!M71</f>
        <v>R414</v>
      </c>
      <c r="K290" s="225">
        <f>IFERROR(INDEX('Green_rooibos initial weight'!$C$5:$C$1749,MATCH(J290, 'Green_rooibos initial weight'!$A$5:$A$1749,0)),"")</f>
        <v>2.1349999999999998</v>
      </c>
      <c r="L290" s="225">
        <f>IFERROR(K290-(TBIcalc!$H$9+TBIcalc!$H$10),"")</f>
        <v>1.8851999999999998</v>
      </c>
      <c r="M290" s="391">
        <f>AVERAGE(Ashed_controlls!$K$12:$K$14)</f>
        <v>2.2816647271287041</v>
      </c>
      <c r="N290" s="225">
        <f t="shared" si="22"/>
        <v>1.8421860565641694</v>
      </c>
      <c r="O290" s="225">
        <f>IF(IFERROR(INDEX('Both teabags AfterWet'!$C$3:$C$841,MATCH(J290,'Both teabags AfterWet'!$A$3:$A$841,0)),"")="","",(IFERROR(INDEX('Both teabags AfterWet'!$C$3:$C$841,MATCH(J290,'Both teabags AfterWet'!$A$3:$A$841,0)),"")))</f>
        <v>2.403</v>
      </c>
      <c r="P290" s="225">
        <f>IFERROR(IF(O290&gt;0,O290-(TBIcalc!$H$9),""),"")</f>
        <v>2.2524000000000002</v>
      </c>
      <c r="Q290" s="225">
        <f>IFERROR(INDEX('Ashed teabags wet'!$K$2:$K$821,MATCH(J290,'Ashed teabags wet'!$A$2:$A$821,0)),"")</f>
        <v>16.515513126491193</v>
      </c>
      <c r="R290" s="225">
        <f t="shared" si="26"/>
        <v>1.8804045823389126</v>
      </c>
      <c r="S290" s="226">
        <f>'WetLitterbags placem_collection'!E71</f>
        <v>42767</v>
      </c>
      <c r="T290" s="226">
        <f>IF('WetLitterbags placem_collection'!G71="","",'WetLitterbags placem_collection'!G71)</f>
        <v>42818</v>
      </c>
      <c r="U290" s="227">
        <f t="shared" si="23"/>
        <v>51</v>
      </c>
      <c r="V290" s="225">
        <f t="shared" si="24"/>
        <v>-0.36720000000000041</v>
      </c>
      <c r="W290" s="225">
        <f t="shared" si="25"/>
        <v>-3.8218525774743162E-2</v>
      </c>
      <c r="X290">
        <f>IFERROR(INDEX(Rainfall_Wet!$O$2:$O$217,MATCH(B290, Rainfall_Wet!$A$2:$A$217,0)),"")</f>
        <v>185.630065823</v>
      </c>
      <c r="Y290" s="231">
        <v>47.96</v>
      </c>
      <c r="Z290" s="231">
        <v>22.919999999999995</v>
      </c>
      <c r="AA290" s="231">
        <v>29.120000000000012</v>
      </c>
      <c r="AB290" s="232" t="s">
        <v>2673</v>
      </c>
      <c r="AC290" s="231">
        <v>6.8831936914736298</v>
      </c>
      <c r="AD290">
        <f>IF('WetLitterbags placem_collection'!AB71="","",'WetLitterbags placem_collection'!AB71)</f>
        <v>14.4</v>
      </c>
      <c r="AE290">
        <f>IF('WetLitterbags placem_collection'!Z71="","",'WetLitterbags placem_collection'!Z71)</f>
        <v>24.4</v>
      </c>
      <c r="AF290" s="246" t="str">
        <f>IF('WetLitterbags placem_collection'!AA71="","",'WetLitterbags placem_collection'!AA71)</f>
        <v>O</v>
      </c>
      <c r="AG290">
        <f>IF('WetLitterbags placem_collection'!AC71="","",'WetLitterbags placem_collection'!AC71)</f>
        <v>1</v>
      </c>
      <c r="AH290" s="240">
        <f>AVERAGE('WetLitterbags placem_collection'!S71,'WetLitterbags placem_collection'!U71)</f>
        <v>31.25</v>
      </c>
      <c r="AI290">
        <f>AVERAGE('WetLitterbags placem_collection'!R71,'WetLitterbags placem_collection'!T71)</f>
        <v>23.450000000000003</v>
      </c>
      <c r="AJ290">
        <f>INDEX(Coordinates!$B$2:$B$197,MATCH(G290,Coordinates!$J$2:$J$197,0))</f>
        <v>-3.2993180030000002</v>
      </c>
      <c r="AK290">
        <f>INDEX(Coordinates!$C$2:$C$197,MATCH(G290,Coordinates!$J$2:$J$197,0))</f>
        <v>34.848235010000003</v>
      </c>
      <c r="AL290" t="str">
        <f>IF(ISNUMBER(SEARCH("C", 'WetLitterbags placem_collection'!W71)),"YES","NO")</f>
        <v>NO</v>
      </c>
      <c r="AM290" t="str">
        <f>IF(ISNUMBER(SEARCH("H", 'WetLitterbags placem_collection'!W71)),"YES","NO")</f>
        <v>NO</v>
      </c>
      <c r="AN290" t="str">
        <f>IF(ISNUMBER(SEARCH("R", 'WetLitterbags placem_collection'!W71)),"YES","NO")</f>
        <v>NO</v>
      </c>
    </row>
    <row r="291" spans="1:40" ht="15" customHeight="1">
      <c r="A291" s="258" t="s">
        <v>2460</v>
      </c>
      <c r="B291" s="263">
        <f>'Dry_Litterbag Placem_Collection'!A72</f>
        <v>70</v>
      </c>
      <c r="C291" s="263" t="str">
        <f>'Dry_Litterbag Placem_Collection'!B72</f>
        <v>Maswa</v>
      </c>
      <c r="D291" s="263" t="s">
        <v>2659</v>
      </c>
      <c r="E291" s="263" t="s">
        <v>2661</v>
      </c>
      <c r="F291" s="263">
        <v>1</v>
      </c>
      <c r="G291" s="264" t="str">
        <f>'Dry_Litterbag Placem_Collection'!C72</f>
        <v>Dry_W1_T6</v>
      </c>
      <c r="H291" s="265" t="s">
        <v>2541</v>
      </c>
      <c r="I291" s="272" t="s">
        <v>298</v>
      </c>
      <c r="J291" s="223" t="str">
        <f>'WetLitterbags placem_collection'!M72</f>
        <v>R151</v>
      </c>
      <c r="K291" s="225">
        <f>IFERROR(INDEX('Green_rooibos initial weight'!$C$5:$C$1749,MATCH(J291, 'Green_rooibos initial weight'!$A$5:$A$1749,0)),"")</f>
        <v>2.1920000000000002</v>
      </c>
      <c r="L291" s="225">
        <f>IFERROR(K291-(TBIcalc!$H$9+TBIcalc!$H$10),"")</f>
        <v>1.9422000000000001</v>
      </c>
      <c r="M291" s="391">
        <f>AVERAGE(Ashed_controlls!$K$12:$K$14)</f>
        <v>2.2816647271287041</v>
      </c>
      <c r="N291" s="225">
        <f t="shared" si="22"/>
        <v>1.8978855076697065</v>
      </c>
      <c r="O291" s="225">
        <f>IF(IFERROR(INDEX('Both teabags AfterWet'!$C$3:$C$841,MATCH(J291,'Both teabags AfterWet'!$A$3:$A$841,0)),"")="","",(IFERROR(INDEX('Both teabags AfterWet'!$C$3:$C$841,MATCH(J291,'Both teabags AfterWet'!$A$3:$A$841,0)),"")))</f>
        <v>1.536</v>
      </c>
      <c r="P291" s="225">
        <f>IFERROR(IF(O291&gt;0,O291-(TBIcalc!$H$9),""),"")</f>
        <v>1.3854</v>
      </c>
      <c r="Q291" s="225">
        <f>IFERROR(INDEX('Ashed teabags wet'!$K$2:$K$821,MATCH(J291,'Ashed teabags wet'!$A$2:$A$821,0)),"")</f>
        <v>89.048562933597623</v>
      </c>
      <c r="R291" s="225">
        <f t="shared" si="26"/>
        <v>0.15172120911793852</v>
      </c>
      <c r="S291" s="226">
        <f>'WetLitterbags placem_collection'!E72</f>
        <v>42767</v>
      </c>
      <c r="T291" s="226">
        <f>IF('WetLitterbags placem_collection'!G72="","",'WetLitterbags placem_collection'!G72)</f>
        <v>42818</v>
      </c>
      <c r="U291" s="227">
        <f t="shared" si="23"/>
        <v>51</v>
      </c>
      <c r="V291" s="225">
        <f t="shared" si="24"/>
        <v>0.55680000000000018</v>
      </c>
      <c r="W291" s="225">
        <f t="shared" si="25"/>
        <v>1.746164298551768</v>
      </c>
      <c r="X291">
        <f>IFERROR(INDEX(Rainfall_Wet!$O$2:$O$217,MATCH(B291, Rainfall_Wet!$A$2:$A$217,0)),"")</f>
        <v>185.630065823</v>
      </c>
      <c r="Y291" s="231">
        <v>47.96</v>
      </c>
      <c r="Z291" s="231">
        <v>22.919999999999995</v>
      </c>
      <c r="AA291" s="231">
        <v>29.120000000000012</v>
      </c>
      <c r="AB291" s="232" t="s">
        <v>2673</v>
      </c>
      <c r="AC291" s="231">
        <v>7.8831936914736298</v>
      </c>
      <c r="AD291">
        <f>IF('WetLitterbags placem_collection'!AB72="","",'WetLitterbags placem_collection'!AB72)</f>
        <v>15</v>
      </c>
      <c r="AE291">
        <f>IF('WetLitterbags placem_collection'!Z72="","",'WetLitterbags placem_collection'!Z72)</f>
        <v>28</v>
      </c>
      <c r="AF291" s="246" t="str">
        <f>IF('WetLitterbags placem_collection'!AA72="","",'WetLitterbags placem_collection'!AA72)</f>
        <v>O</v>
      </c>
      <c r="AG291">
        <f>IF('WetLitterbags placem_collection'!AC72="","",'WetLitterbags placem_collection'!AC72)</f>
        <v>0</v>
      </c>
      <c r="AH291" s="240">
        <f>AVERAGE('WetLitterbags placem_collection'!S72,'WetLitterbags placem_collection'!U72)</f>
        <v>32.15</v>
      </c>
      <c r="AI291">
        <f>AVERAGE('WetLitterbags placem_collection'!R72,'WetLitterbags placem_collection'!T72)</f>
        <v>23.7</v>
      </c>
      <c r="AJ291">
        <f>INDEX(Coordinates!$B$2:$B$197,MATCH(G291,Coordinates!$J$2:$J$197,0))</f>
        <v>-3.299381034</v>
      </c>
      <c r="AK291">
        <f>INDEX(Coordinates!$C$2:$C$197,MATCH(G291,Coordinates!$J$2:$J$197,0))</f>
        <v>34.848312040000003</v>
      </c>
      <c r="AL291" t="str">
        <f>IF(ISNUMBER(SEARCH("C", 'WetLitterbags placem_collection'!W72)),"YES","NO")</f>
        <v>YES</v>
      </c>
      <c r="AM291" t="str">
        <f>IF(ISNUMBER(SEARCH("H", 'WetLitterbags placem_collection'!W72)),"YES","NO")</f>
        <v>YES</v>
      </c>
      <c r="AN291" t="str">
        <f>IF(ISNUMBER(SEARCH("R", 'WetLitterbags placem_collection'!W72)),"YES","NO")</f>
        <v>YES</v>
      </c>
    </row>
    <row r="292" spans="1:40" ht="15" customHeight="1">
      <c r="A292" s="258" t="s">
        <v>2460</v>
      </c>
      <c r="B292" s="263">
        <f>'Dry_Litterbag Placem_Collection'!A73</f>
        <v>71</v>
      </c>
      <c r="C292" s="263" t="str">
        <f>'Dry_Litterbag Placem_Collection'!B73</f>
        <v>Maswa</v>
      </c>
      <c r="D292" s="263" t="s">
        <v>2659</v>
      </c>
      <c r="E292" s="263" t="s">
        <v>2661</v>
      </c>
      <c r="F292" s="263">
        <v>1</v>
      </c>
      <c r="G292" s="264" t="str">
        <f>'Dry_Litterbag Placem_Collection'!C73</f>
        <v>Dry_W1_T7</v>
      </c>
      <c r="H292" s="265" t="s">
        <v>2541</v>
      </c>
      <c r="I292" s="272" t="s">
        <v>298</v>
      </c>
      <c r="J292" s="223" t="str">
        <f>'WetLitterbags placem_collection'!M73</f>
        <v>R95</v>
      </c>
      <c r="K292" s="225">
        <f>IFERROR(INDEX('Green_rooibos initial weight'!$C$5:$C$1749,MATCH(J292, 'Green_rooibos initial weight'!$A$5:$A$1749,0)),"")</f>
        <v>2.2160000000000002</v>
      </c>
      <c r="L292" s="225">
        <f>IFERROR(K292-(TBIcalc!$H$9+TBIcalc!$H$10),"")</f>
        <v>1.9662000000000002</v>
      </c>
      <c r="M292" s="391">
        <f>AVERAGE(Ashed_controlls!$K$12:$K$14)</f>
        <v>2.2816647271287041</v>
      </c>
      <c r="N292" s="225">
        <f t="shared" si="22"/>
        <v>1.9213379081351956</v>
      </c>
      <c r="O292" s="225">
        <f>IF(IFERROR(INDEX('Both teabags AfterWet'!$C$3:$C$841,MATCH(J292,'Both teabags AfterWet'!$A$3:$A$841,0)),"")="","",(IFERROR(INDEX('Both teabags AfterWet'!$C$3:$C$841,MATCH(J292,'Both teabags AfterWet'!$A$3:$A$841,0)),"")))</f>
        <v>1.6388</v>
      </c>
      <c r="P292" s="225">
        <f>IFERROR(IF(O292&gt;0,O292-(TBIcalc!$H$9),""),"")</f>
        <v>1.4882</v>
      </c>
      <c r="Q292" s="225">
        <f>IFERROR(INDEX('Ashed teabags wet'!$K$2:$K$821,MATCH(J292,'Ashed teabags wet'!$A$2:$A$821,0)),"")</f>
        <v>3.275434243175928</v>
      </c>
      <c r="R292" s="225">
        <f t="shared" si="26"/>
        <v>1.4394549875930558</v>
      </c>
      <c r="S292" s="226">
        <f>'WetLitterbags placem_collection'!E73</f>
        <v>42767</v>
      </c>
      <c r="T292" s="226">
        <f>IF('WetLitterbags placem_collection'!G73="","",'WetLitterbags placem_collection'!G73)</f>
        <v>42818</v>
      </c>
      <c r="U292" s="227">
        <f t="shared" si="23"/>
        <v>51</v>
      </c>
      <c r="V292" s="225">
        <f t="shared" si="24"/>
        <v>0.4780000000000002</v>
      </c>
      <c r="W292" s="225">
        <f t="shared" si="25"/>
        <v>0.48188292054213977</v>
      </c>
      <c r="X292">
        <f>IFERROR(INDEX(Rainfall_Wet!$O$2:$O$217,MATCH(B292, Rainfall_Wet!$A$2:$A$217,0)),"")</f>
        <v>185.630065823</v>
      </c>
      <c r="Y292" s="231">
        <v>47.96</v>
      </c>
      <c r="Z292" s="231">
        <v>22.919999999999995</v>
      </c>
      <c r="AA292" s="231">
        <v>29.120000000000012</v>
      </c>
      <c r="AB292" s="232" t="s">
        <v>2673</v>
      </c>
      <c r="AC292" s="231">
        <v>8.8831936914736307</v>
      </c>
      <c r="AD292">
        <f>IF('WetLitterbags placem_collection'!AB73="","",'WetLitterbags placem_collection'!AB73)</f>
        <v>15.5</v>
      </c>
      <c r="AE292">
        <f>IF('WetLitterbags placem_collection'!Z73="","",'WetLitterbags placem_collection'!Z73)</f>
        <v>32</v>
      </c>
      <c r="AF292" s="246" t="str">
        <f>IF('WetLitterbags placem_collection'!AA73="","",'WetLitterbags placem_collection'!AA73)</f>
        <v>O</v>
      </c>
      <c r="AG292">
        <f>IF('WetLitterbags placem_collection'!AC73="","",'WetLitterbags placem_collection'!AC73)</f>
        <v>1</v>
      </c>
      <c r="AH292" s="240">
        <f>AVERAGE('WetLitterbags placem_collection'!S73,'WetLitterbags placem_collection'!U73)</f>
        <v>29.35</v>
      </c>
      <c r="AI292">
        <f>AVERAGE('WetLitterbags placem_collection'!R73,'WetLitterbags placem_collection'!T73)</f>
        <v>21.95</v>
      </c>
      <c r="AJ292">
        <f>INDEX(Coordinates!$B$2:$B$197,MATCH(G292,Coordinates!$J$2:$J$197,0))</f>
        <v>-3.2992429849999998</v>
      </c>
      <c r="AK292">
        <f>INDEX(Coordinates!$C$2:$C$197,MATCH(G292,Coordinates!$J$2:$J$197,0))</f>
        <v>34.847900989999999</v>
      </c>
      <c r="AL292" t="str">
        <f>IF(ISNUMBER(SEARCH("C", 'WetLitterbags placem_collection'!W73)),"YES","NO")</f>
        <v>NO</v>
      </c>
      <c r="AM292" t="str">
        <f>IF(ISNUMBER(SEARCH("H", 'WetLitterbags placem_collection'!W73)),"YES","NO")</f>
        <v>NO</v>
      </c>
      <c r="AN292" t="str">
        <f>IF(ISNUMBER(SEARCH("R", 'WetLitterbags placem_collection'!W73)),"YES","NO")</f>
        <v>YES</v>
      </c>
    </row>
    <row r="293" spans="1:40" ht="15" customHeight="1">
      <c r="A293" s="258" t="s">
        <v>2460</v>
      </c>
      <c r="B293" s="263">
        <f>'Dry_Litterbag Placem_Collection'!A74</f>
        <v>72</v>
      </c>
      <c r="C293" s="263" t="str">
        <f>'Dry_Litterbag Placem_Collection'!B74</f>
        <v>Maswa</v>
      </c>
      <c r="D293" s="263" t="s">
        <v>2659</v>
      </c>
      <c r="E293" s="263" t="s">
        <v>2661</v>
      </c>
      <c r="F293" s="263">
        <v>1</v>
      </c>
      <c r="G293" s="264" t="str">
        <f>'Dry_Litterbag Placem_Collection'!C74</f>
        <v>Dry_W1_T8</v>
      </c>
      <c r="H293" s="265" t="s">
        <v>2541</v>
      </c>
      <c r="I293" s="272" t="s">
        <v>298</v>
      </c>
      <c r="J293" s="223" t="str">
        <f>'WetLitterbags placem_collection'!M74</f>
        <v>R546</v>
      </c>
      <c r="K293" s="225">
        <f>IFERROR(INDEX('Green_rooibos initial weight'!$C$5:$C$1749,MATCH(J293, 'Green_rooibos initial weight'!$A$5:$A$1749,0)),"")</f>
        <v>2.2250000000000001</v>
      </c>
      <c r="L293" s="225">
        <f>IFERROR(K293-(TBIcalc!$H$9+TBIcalc!$H$10),"")</f>
        <v>1.9752000000000001</v>
      </c>
      <c r="M293" s="391">
        <f>AVERAGE(Ashed_controlls!$K$12:$K$14)</f>
        <v>2.2816647271287041</v>
      </c>
      <c r="N293" s="225">
        <f t="shared" si="22"/>
        <v>1.9301325583097539</v>
      </c>
      <c r="O293" s="225" t="str">
        <f>IF(IFERROR(INDEX('Both teabags AfterWet'!$C$3:$C$841,MATCH(J293,'Both teabags AfterWet'!$A$3:$A$841,0)),"")="","",(IFERROR(INDEX('Both teabags AfterWet'!$C$3:$C$841,MATCH(J293,'Both teabags AfterWet'!$A$3:$A$841,0)),"")))</f>
        <v/>
      </c>
      <c r="P293" s="225" t="str">
        <f>IFERROR(IF(O293&gt;0,O293-(TBIcalc!$H$9),""),"")</f>
        <v/>
      </c>
      <c r="Q293" s="225">
        <f>IFERROR(INDEX('Ashed teabags wet'!$K$2:$K$821,MATCH(J293,'Ashed teabags wet'!$A$2:$A$821,0)),"")</f>
        <v>5.6566650270533065</v>
      </c>
      <c r="R293" s="225" t="str">
        <f t="shared" si="26"/>
        <v/>
      </c>
      <c r="S293" s="226">
        <f>'WetLitterbags placem_collection'!E74</f>
        <v>42767</v>
      </c>
      <c r="T293" s="226">
        <f>IF('WetLitterbags placem_collection'!G74="","",'WetLitterbags placem_collection'!G74)</f>
        <v>42818</v>
      </c>
      <c r="U293" s="227">
        <f t="shared" si="23"/>
        <v>51</v>
      </c>
      <c r="V293" s="225" t="str">
        <f t="shared" si="24"/>
        <v/>
      </c>
      <c r="W293" s="225" t="str">
        <f t="shared" si="25"/>
        <v/>
      </c>
      <c r="X293">
        <f>IFERROR(INDEX(Rainfall_Wet!$O$2:$O$217,MATCH(B293, Rainfall_Wet!$A$2:$A$217,0)),"")</f>
        <v>185.630065823</v>
      </c>
      <c r="Y293" s="231">
        <v>47.96</v>
      </c>
      <c r="Z293" s="231">
        <v>22.919999999999995</v>
      </c>
      <c r="AA293" s="231">
        <v>29.120000000000012</v>
      </c>
      <c r="AB293" s="232" t="s">
        <v>2673</v>
      </c>
      <c r="AC293" s="231">
        <v>9.8831936914736307</v>
      </c>
      <c r="AD293">
        <f>IF('WetLitterbags placem_collection'!AB74="","",'WetLitterbags placem_collection'!AB74)</f>
        <v>2.6</v>
      </c>
      <c r="AE293">
        <f>IF('WetLitterbags placem_collection'!Z74="","",'WetLitterbags placem_collection'!Z74)</f>
        <v>44</v>
      </c>
      <c r="AF293" s="246" t="str">
        <f>IF('WetLitterbags placem_collection'!AA74="","",'WetLitterbags placem_collection'!AA74)</f>
        <v>O</v>
      </c>
      <c r="AG293">
        <f>IF('WetLitterbags placem_collection'!AC74="","",'WetLitterbags placem_collection'!AC74)</f>
        <v>1</v>
      </c>
      <c r="AH293" s="240">
        <f>AVERAGE('WetLitterbags placem_collection'!S74,'WetLitterbags placem_collection'!U74)</f>
        <v>32</v>
      </c>
      <c r="AI293">
        <f>AVERAGE('WetLitterbags placem_collection'!R74,'WetLitterbags placem_collection'!T74)</f>
        <v>21.9</v>
      </c>
      <c r="AJ293">
        <f>INDEX(Coordinates!$B$2:$B$197,MATCH(G293,Coordinates!$J$2:$J$197,0))</f>
        <v>-3.2996540329999999</v>
      </c>
      <c r="AK293">
        <f>INDEX(Coordinates!$C$2:$C$197,MATCH(G293,Coordinates!$J$2:$J$197,0))</f>
        <v>34.848151020000003</v>
      </c>
      <c r="AL293" t="str">
        <f>IF(ISNUMBER(SEARCH("C", 'WetLitterbags placem_collection'!W74)),"YES","NO")</f>
        <v>NO</v>
      </c>
      <c r="AM293" t="str">
        <f>IF(ISNUMBER(SEARCH("H", 'WetLitterbags placem_collection'!W74)),"YES","NO")</f>
        <v>NO</v>
      </c>
      <c r="AN293" t="str">
        <f>IF(ISNUMBER(SEARCH("R", 'WetLitterbags placem_collection'!W74)),"YES","NO")</f>
        <v>NO</v>
      </c>
    </row>
    <row r="294" spans="1:40" ht="15" customHeight="1">
      <c r="A294" s="258" t="s">
        <v>2460</v>
      </c>
      <c r="B294" s="263">
        <f>'Dry_Litterbag Placem_Collection'!A75</f>
        <v>73</v>
      </c>
      <c r="C294" s="263" t="str">
        <f>'Dry_Litterbag Placem_Collection'!B75</f>
        <v>Maswa</v>
      </c>
      <c r="D294" s="263" t="s">
        <v>2659</v>
      </c>
      <c r="E294" s="263" t="s">
        <v>2661</v>
      </c>
      <c r="F294" s="263">
        <v>2</v>
      </c>
      <c r="G294" s="264" t="str">
        <f>'Dry_Litterbag Placem_Collection'!C75</f>
        <v>Dry_W2_T1</v>
      </c>
      <c r="H294" s="265" t="s">
        <v>2541</v>
      </c>
      <c r="I294" s="272" t="s">
        <v>298</v>
      </c>
      <c r="J294" s="223" t="str">
        <f>'WetLitterbags placem_collection'!M75</f>
        <v>R438</v>
      </c>
      <c r="K294" s="225">
        <f>IFERROR(INDEX('Green_rooibos initial weight'!$C$5:$C$1749,MATCH(J294, 'Green_rooibos initial weight'!$A$5:$A$1749,0)),"")</f>
        <v>2.1829999999999998</v>
      </c>
      <c r="L294" s="225">
        <f>IFERROR(K294-(TBIcalc!$H$9+TBIcalc!$H$10),"")</f>
        <v>1.9331999999999998</v>
      </c>
      <c r="M294" s="391">
        <f>AVERAGE(Ashed_controlls!$K$12:$K$14)</f>
        <v>2.2816647271287041</v>
      </c>
      <c r="N294" s="225">
        <f t="shared" si="22"/>
        <v>1.8890908574951477</v>
      </c>
      <c r="O294" s="225">
        <f>IF(IFERROR(INDEX('Both teabags AfterWet'!$C$3:$C$841,MATCH(J294,'Both teabags AfterWet'!$A$3:$A$841,0)),"")="","",(IFERROR(INDEX('Both teabags AfterWet'!$C$3:$C$841,MATCH(J294,'Both teabags AfterWet'!$A$3:$A$841,0)),"")))</f>
        <v>0.17480000000000001</v>
      </c>
      <c r="P294" s="225">
        <f>IFERROR(IF(O294&gt;0,O294-(TBIcalc!$H$9),""),"")</f>
        <v>2.4199999999999999E-2</v>
      </c>
      <c r="Q294" s="225" t="str">
        <f>IFERROR(INDEX('Ashed teabags wet'!$K$2:$K$821,MATCH(J294,'Ashed teabags wet'!$A$2:$A$821,0)),"")</f>
        <v/>
      </c>
      <c r="R294" s="225" t="str">
        <f t="shared" si="26"/>
        <v/>
      </c>
      <c r="S294" s="226">
        <f>'WetLitterbags placem_collection'!E75</f>
        <v>42767</v>
      </c>
      <c r="T294" s="226">
        <f>IF('WetLitterbags placem_collection'!G75="","",'WetLitterbags placem_collection'!G75)</f>
        <v>42818</v>
      </c>
      <c r="U294" s="227">
        <f t="shared" si="23"/>
        <v>51</v>
      </c>
      <c r="V294" s="225">
        <f t="shared" si="24"/>
        <v>1.9089999999999998</v>
      </c>
      <c r="W294" s="225" t="str">
        <f t="shared" si="25"/>
        <v/>
      </c>
      <c r="X294">
        <f>IFERROR(INDEX(Rainfall_Wet!$O$2:$O$217,MATCH(B294, Rainfall_Wet!$A$2:$A$217,0)),"")</f>
        <v>185.630065823</v>
      </c>
      <c r="Y294" s="231">
        <v>45.272914521112256</v>
      </c>
      <c r="Z294" s="231">
        <v>23.604531410916575</v>
      </c>
      <c r="AA294" s="231">
        <v>31.122554067971166</v>
      </c>
      <c r="AB294" s="232" t="s">
        <v>2673</v>
      </c>
      <c r="AC294" s="231">
        <v>2.0547560374568752</v>
      </c>
      <c r="AD294">
        <f>IF('WetLitterbags placem_collection'!AB75="","",'WetLitterbags placem_collection'!AB75)</f>
        <v>9.1</v>
      </c>
      <c r="AE294">
        <f>IF('WetLitterbags placem_collection'!Z75="","",'WetLitterbags placem_collection'!Z75)</f>
        <v>10</v>
      </c>
      <c r="AF294" s="246" t="str">
        <f>IF('WetLitterbags placem_collection'!AA75="","",'WetLitterbags placem_collection'!AA75)</f>
        <v>M</v>
      </c>
      <c r="AG294">
        <f>IF('WetLitterbags placem_collection'!AC75="","",'WetLitterbags placem_collection'!AC75)</f>
        <v>1</v>
      </c>
      <c r="AH294" s="240">
        <f>AVERAGE('WetLitterbags placem_collection'!S75,'WetLitterbags placem_collection'!U75)</f>
        <v>27.85</v>
      </c>
      <c r="AI294">
        <f>AVERAGE('WetLitterbags placem_collection'!R75,'WetLitterbags placem_collection'!T75)</f>
        <v>26.15</v>
      </c>
      <c r="AJ294">
        <f>INDEX(Coordinates!$B$2:$B$197,MATCH(G294,Coordinates!$J$2:$J$197,0))</f>
        <v>-3.3025860229999999</v>
      </c>
      <c r="AK294">
        <f>INDEX(Coordinates!$C$2:$C$197,MATCH(G294,Coordinates!$J$2:$J$197,0))</f>
        <v>34.848048009999999</v>
      </c>
      <c r="AL294" t="str">
        <f>IF(ISNUMBER(SEARCH("C", 'WetLitterbags placem_collection'!W75)),"YES","NO")</f>
        <v>NO</v>
      </c>
      <c r="AM294" t="str">
        <f>IF(ISNUMBER(SEARCH("H", 'WetLitterbags placem_collection'!W75)),"YES","NO")</f>
        <v>YES</v>
      </c>
      <c r="AN294" t="str">
        <f>IF(ISNUMBER(SEARCH("R", 'WetLitterbags placem_collection'!W75)),"YES","NO")</f>
        <v>YES</v>
      </c>
    </row>
    <row r="295" spans="1:40" ht="15" customHeight="1">
      <c r="A295" s="258" t="s">
        <v>2460</v>
      </c>
      <c r="B295" s="263">
        <f>'Dry_Litterbag Placem_Collection'!A76</f>
        <v>74</v>
      </c>
      <c r="C295" s="263" t="str">
        <f>'Dry_Litterbag Placem_Collection'!B76</f>
        <v>Maswa</v>
      </c>
      <c r="D295" s="263" t="s">
        <v>2659</v>
      </c>
      <c r="E295" s="263" t="s">
        <v>2661</v>
      </c>
      <c r="F295" s="263">
        <v>2</v>
      </c>
      <c r="G295" s="264" t="str">
        <f>'Dry_Litterbag Placem_Collection'!C76</f>
        <v>Dry_W2_T2</v>
      </c>
      <c r="H295" s="265" t="s">
        <v>2541</v>
      </c>
      <c r="I295" s="272" t="s">
        <v>298</v>
      </c>
      <c r="J295" s="223" t="str">
        <f>'WetLitterbags placem_collection'!M76</f>
        <v>R122</v>
      </c>
      <c r="K295" s="225">
        <f>IFERROR(INDEX('Green_rooibos initial weight'!$C$5:$C$1749,MATCH(J295, 'Green_rooibos initial weight'!$A$5:$A$1749,0)),"")</f>
        <v>2.2189999999999999</v>
      </c>
      <c r="L295" s="225">
        <f>IFERROR(K295-(TBIcalc!$H$9+TBIcalc!$H$10),"")</f>
        <v>1.9691999999999998</v>
      </c>
      <c r="M295" s="391">
        <f>AVERAGE(Ashed_controlls!$K$12:$K$14)</f>
        <v>2.2816647271287041</v>
      </c>
      <c r="N295" s="225">
        <f t="shared" si="22"/>
        <v>1.9242694581933815</v>
      </c>
      <c r="O295" s="225">
        <f>IF(IFERROR(INDEX('Both teabags AfterWet'!$C$3:$C$841,MATCH(J295,'Both teabags AfterWet'!$A$3:$A$841,0)),"")="","",(IFERROR(INDEX('Both teabags AfterWet'!$C$3:$C$841,MATCH(J295,'Both teabags AfterWet'!$A$3:$A$841,0)),"")))</f>
        <v>0.35499999999999998</v>
      </c>
      <c r="P295" s="225">
        <f>IFERROR(IF(O295&gt;0,O295-(TBIcalc!$H$9),""),"")</f>
        <v>0.20439999999999997</v>
      </c>
      <c r="Q295" s="225" t="str">
        <f>IFERROR(INDEX('Ashed teabags wet'!$K$2:$K$821,MATCH(J295,'Ashed teabags wet'!$A$2:$A$821,0)),"")</f>
        <v/>
      </c>
      <c r="R295" s="225" t="str">
        <f t="shared" si="26"/>
        <v/>
      </c>
      <c r="S295" s="226">
        <f>'WetLitterbags placem_collection'!E76</f>
        <v>42767</v>
      </c>
      <c r="T295" s="226">
        <f>IF('WetLitterbags placem_collection'!G76="","",'WetLitterbags placem_collection'!G76)</f>
        <v>42818</v>
      </c>
      <c r="U295" s="227">
        <f t="shared" si="23"/>
        <v>51</v>
      </c>
      <c r="V295" s="225">
        <f t="shared" si="24"/>
        <v>1.7647999999999999</v>
      </c>
      <c r="W295" s="225" t="str">
        <f t="shared" si="25"/>
        <v/>
      </c>
      <c r="X295">
        <f>IFERROR(INDEX(Rainfall_Wet!$O$2:$O$217,MATCH(B295, Rainfall_Wet!$A$2:$A$217,0)),"")</f>
        <v>185.630065823</v>
      </c>
      <c r="Y295" s="231">
        <v>45.272914521112256</v>
      </c>
      <c r="Z295" s="231">
        <v>23.604531410916575</v>
      </c>
      <c r="AA295" s="231">
        <v>31.122554067971166</v>
      </c>
      <c r="AB295" s="232" t="s">
        <v>2673</v>
      </c>
      <c r="AC295" s="231">
        <v>3.0547560374568801</v>
      </c>
      <c r="AD295">
        <f>IF('WetLitterbags placem_collection'!AB76="","",'WetLitterbags placem_collection'!AB76)</f>
        <v>7.7</v>
      </c>
      <c r="AE295">
        <f>IF('WetLitterbags placem_collection'!Z76="","",'WetLitterbags placem_collection'!Z76)</f>
        <v>9.4</v>
      </c>
      <c r="AF295" s="246" t="str">
        <f>IF('WetLitterbags placem_collection'!AA76="","",'WetLitterbags placem_collection'!AA76)</f>
        <v>M</v>
      </c>
      <c r="AG295">
        <f>IF('WetLitterbags placem_collection'!AC76="","",'WetLitterbags placem_collection'!AC76)</f>
        <v>1</v>
      </c>
      <c r="AH295" s="240">
        <f>AVERAGE('WetLitterbags placem_collection'!S76,'WetLitterbags placem_collection'!U76)</f>
        <v>24.65</v>
      </c>
      <c r="AI295">
        <f>AVERAGE('WetLitterbags placem_collection'!R76,'WetLitterbags placem_collection'!T76)</f>
        <v>24.35</v>
      </c>
      <c r="AJ295">
        <f>INDEX(Coordinates!$B$2:$B$197,MATCH(G295,Coordinates!$J$2:$J$197,0))</f>
        <v>-3.3025779759999998</v>
      </c>
      <c r="AK295">
        <f>INDEX(Coordinates!$C$2:$C$197,MATCH(G295,Coordinates!$J$2:$J$197,0))</f>
        <v>34.848041969999997</v>
      </c>
      <c r="AL295" t="str">
        <f>IF(ISNUMBER(SEARCH("C", 'WetLitterbags placem_collection'!W76)),"YES","NO")</f>
        <v>YES</v>
      </c>
      <c r="AM295" t="str">
        <f>IF(ISNUMBER(SEARCH("H", 'WetLitterbags placem_collection'!W76)),"YES","NO")</f>
        <v>YES</v>
      </c>
      <c r="AN295" t="str">
        <f>IF(ISNUMBER(SEARCH("R", 'WetLitterbags placem_collection'!W76)),"YES","NO")</f>
        <v>NO</v>
      </c>
    </row>
    <row r="296" spans="1:40" ht="15" customHeight="1">
      <c r="A296" s="258" t="s">
        <v>2460</v>
      </c>
      <c r="B296" s="263">
        <f>'Dry_Litterbag Placem_Collection'!A77</f>
        <v>75</v>
      </c>
      <c r="C296" s="263" t="str">
        <f>'Dry_Litterbag Placem_Collection'!B77</f>
        <v>Maswa</v>
      </c>
      <c r="D296" s="263" t="s">
        <v>2659</v>
      </c>
      <c r="E296" s="263" t="s">
        <v>2661</v>
      </c>
      <c r="F296" s="263">
        <v>2</v>
      </c>
      <c r="G296" s="264" t="str">
        <f>'Dry_Litterbag Placem_Collection'!C77</f>
        <v>Dry_W2_T3</v>
      </c>
      <c r="H296" s="265" t="s">
        <v>2541</v>
      </c>
      <c r="I296" s="272" t="s">
        <v>298</v>
      </c>
      <c r="J296" s="223" t="str">
        <f>'WetLitterbags placem_collection'!M77</f>
        <v>R404</v>
      </c>
      <c r="K296" s="225">
        <f>IFERROR(INDEX('Green_rooibos initial weight'!$C$5:$C$1749,MATCH(J296, 'Green_rooibos initial weight'!$A$5:$A$1749,0)),"")</f>
        <v>2.1779999999999999</v>
      </c>
      <c r="L296" s="225">
        <f>IFERROR(K296-(TBIcalc!$H$9+TBIcalc!$H$10),"")</f>
        <v>1.9281999999999999</v>
      </c>
      <c r="M296" s="391">
        <f>AVERAGE(Ashed_controlls!$K$12:$K$14)</f>
        <v>2.2816647271287041</v>
      </c>
      <c r="N296" s="225">
        <f t="shared" si="22"/>
        <v>1.8842049407315042</v>
      </c>
      <c r="O296" s="225">
        <f>IF(IFERROR(INDEX('Both teabags AfterWet'!$C$3:$C$841,MATCH(J296,'Both teabags AfterWet'!$A$3:$A$841,0)),"")="","",(IFERROR(INDEX('Both teabags AfterWet'!$C$3:$C$841,MATCH(J296,'Both teabags AfterWet'!$A$3:$A$841,0)),"")))</f>
        <v>0.15579999999999999</v>
      </c>
      <c r="P296" s="225">
        <f>IFERROR(IF(O296&gt;0,O296-(TBIcalc!$H$9),""),"")</f>
        <v>5.1999999999999824E-3</v>
      </c>
      <c r="Q296" s="225" t="str">
        <f>IFERROR(INDEX('Ashed teabags wet'!$K$2:$K$821,MATCH(J296,'Ashed teabags wet'!$A$2:$A$821,0)),"")</f>
        <v/>
      </c>
      <c r="R296" s="225" t="str">
        <f t="shared" si="26"/>
        <v/>
      </c>
      <c r="S296" s="226">
        <f>'WetLitterbags placem_collection'!E77</f>
        <v>42767</v>
      </c>
      <c r="T296" s="226">
        <f>IF('WetLitterbags placem_collection'!G77="","",'WetLitterbags placem_collection'!G77)</f>
        <v>42818</v>
      </c>
      <c r="U296" s="227">
        <f t="shared" si="23"/>
        <v>51</v>
      </c>
      <c r="V296" s="225">
        <f t="shared" si="24"/>
        <v>1.923</v>
      </c>
      <c r="W296" s="225" t="str">
        <f t="shared" si="25"/>
        <v/>
      </c>
      <c r="X296">
        <f>IFERROR(INDEX(Rainfall_Wet!$O$2:$O$217,MATCH(B296, Rainfall_Wet!$A$2:$A$217,0)),"")</f>
        <v>185.630065823</v>
      </c>
      <c r="Y296" s="231">
        <v>45.272914521112256</v>
      </c>
      <c r="Z296" s="231">
        <v>23.604531410916575</v>
      </c>
      <c r="AA296" s="231">
        <v>31.122554067971166</v>
      </c>
      <c r="AB296" s="232" t="s">
        <v>2673</v>
      </c>
      <c r="AC296" s="231">
        <v>4.0547560374568796</v>
      </c>
      <c r="AD296">
        <f>IF('WetLitterbags placem_collection'!AB77="","",'WetLitterbags placem_collection'!AB77)</f>
        <v>6.1</v>
      </c>
      <c r="AE296">
        <f>IF('WetLitterbags placem_collection'!Z77="","",'WetLitterbags placem_collection'!Z77)</f>
        <v>13.8</v>
      </c>
      <c r="AF296" s="246" t="str">
        <f>IF('WetLitterbags placem_collection'!AA77="","",'WetLitterbags placem_collection'!AA77)</f>
        <v>O</v>
      </c>
      <c r="AG296">
        <f>IF('WetLitterbags placem_collection'!AC77="","",'WetLitterbags placem_collection'!AC77)</f>
        <v>0</v>
      </c>
      <c r="AH296" s="240">
        <f>AVERAGE('WetLitterbags placem_collection'!S77,'WetLitterbags placem_collection'!U77)</f>
        <v>27.150000000000002</v>
      </c>
      <c r="AI296">
        <f>AVERAGE('WetLitterbags placem_collection'!R77,'WetLitterbags placem_collection'!T77)</f>
        <v>25.65</v>
      </c>
      <c r="AJ296">
        <f>INDEX(Coordinates!$B$2:$B$197,MATCH(G296,Coordinates!$J$2:$J$197,0))</f>
        <v>-3.302687025</v>
      </c>
      <c r="AK296">
        <f>INDEX(Coordinates!$C$2:$C$197,MATCH(G296,Coordinates!$J$2:$J$197,0))</f>
        <v>34.847926970000003</v>
      </c>
      <c r="AL296" t="str">
        <f>IF(ISNUMBER(SEARCH("C", 'WetLitterbags placem_collection'!W77)),"YES","NO")</f>
        <v>NO</v>
      </c>
      <c r="AM296" t="str">
        <f>IF(ISNUMBER(SEARCH("H", 'WetLitterbags placem_collection'!W77)),"YES","NO")</f>
        <v>YES</v>
      </c>
      <c r="AN296" t="str">
        <f>IF(ISNUMBER(SEARCH("R", 'WetLitterbags placem_collection'!W77)),"YES","NO")</f>
        <v>YES</v>
      </c>
    </row>
    <row r="297" spans="1:40" ht="15" customHeight="1">
      <c r="A297" s="258" t="s">
        <v>2460</v>
      </c>
      <c r="B297" s="263">
        <f>'Dry_Litterbag Placem_Collection'!A78</f>
        <v>76</v>
      </c>
      <c r="C297" s="263" t="str">
        <f>'Dry_Litterbag Placem_Collection'!B78</f>
        <v>Maswa</v>
      </c>
      <c r="D297" s="263" t="s">
        <v>2659</v>
      </c>
      <c r="E297" s="263" t="s">
        <v>2661</v>
      </c>
      <c r="F297" s="263">
        <v>2</v>
      </c>
      <c r="G297" s="264" t="str">
        <f>'Dry_Litterbag Placem_Collection'!C78</f>
        <v>Dry_W2_T4</v>
      </c>
      <c r="H297" s="265" t="s">
        <v>2541</v>
      </c>
      <c r="I297" s="272" t="s">
        <v>298</v>
      </c>
      <c r="J297" s="223" t="str">
        <f>'WetLitterbags placem_collection'!M78</f>
        <v>R501</v>
      </c>
      <c r="K297" s="225">
        <f>IFERROR(INDEX('Green_rooibos initial weight'!$C$5:$C$1749,MATCH(J297, 'Green_rooibos initial weight'!$A$5:$A$1749,0)),"")</f>
        <v>2.1379999999999999</v>
      </c>
      <c r="L297" s="225">
        <f>IFERROR(K297-(TBIcalc!$H$9+TBIcalc!$H$10),"")</f>
        <v>1.8881999999999999</v>
      </c>
      <c r="M297" s="391">
        <f>AVERAGE(Ashed_controlls!$K$12:$K$14)</f>
        <v>2.2816647271287041</v>
      </c>
      <c r="N297" s="225">
        <f t="shared" si="22"/>
        <v>1.8451176066223556</v>
      </c>
      <c r="O297" s="225">
        <f>IF(IFERROR(INDEX('Both teabags AfterWet'!$C$3:$C$841,MATCH(J297,'Both teabags AfterWet'!$A$3:$A$841,0)),"")="","",(IFERROR(INDEX('Both teabags AfterWet'!$C$3:$C$841,MATCH(J297,'Both teabags AfterWet'!$A$3:$A$841,0)),"")))</f>
        <v>0.29499999999999998</v>
      </c>
      <c r="P297" s="225">
        <f>IFERROR(IF(O297&gt;0,O297-(TBIcalc!$H$9),""),"")</f>
        <v>0.14439999999999997</v>
      </c>
      <c r="Q297" s="225">
        <f>IFERROR(INDEX('Ashed teabags wet'!$K$2:$K$821,MATCH(J297,'Ashed teabags wet'!$A$2:$A$821,0)),"")</f>
        <v>84.313725490194741</v>
      </c>
      <c r="R297" s="225">
        <f t="shared" si="26"/>
        <v>2.2650980392158779E-2</v>
      </c>
      <c r="S297" s="226">
        <f>'WetLitterbags placem_collection'!E78</f>
        <v>42767</v>
      </c>
      <c r="T297" s="226">
        <f>IF('WetLitterbags placem_collection'!G78="","",'WetLitterbags placem_collection'!G78)</f>
        <v>42818</v>
      </c>
      <c r="U297" s="227">
        <f t="shared" si="23"/>
        <v>51</v>
      </c>
      <c r="V297" s="225">
        <f t="shared" si="24"/>
        <v>1.7437999999999998</v>
      </c>
      <c r="W297" s="225">
        <f t="shared" si="25"/>
        <v>1.8224666262301967</v>
      </c>
      <c r="X297">
        <f>IFERROR(INDEX(Rainfall_Wet!$O$2:$O$217,MATCH(B297, Rainfall_Wet!$A$2:$A$217,0)),"")</f>
        <v>185.630065823</v>
      </c>
      <c r="Y297" s="231">
        <v>45.272914521112256</v>
      </c>
      <c r="Z297" s="231">
        <v>23.604531410916575</v>
      </c>
      <c r="AA297" s="231">
        <v>31.122554067971166</v>
      </c>
      <c r="AB297" s="232" t="s">
        <v>2673</v>
      </c>
      <c r="AC297" s="231">
        <v>5.0547560374568796</v>
      </c>
      <c r="AD297">
        <f>IF('WetLitterbags placem_collection'!AB78="","",'WetLitterbags placem_collection'!AB78)</f>
        <v>6.7</v>
      </c>
      <c r="AE297">
        <f>IF('WetLitterbags placem_collection'!Z78="","",'WetLitterbags placem_collection'!Z78)</f>
        <v>19.3</v>
      </c>
      <c r="AF297" s="246" t="str">
        <f>IF('WetLitterbags placem_collection'!AA78="","",'WetLitterbags placem_collection'!AA78)</f>
        <v>M</v>
      </c>
      <c r="AG297">
        <f>IF('WetLitterbags placem_collection'!AC78="","",'WetLitterbags placem_collection'!AC78)</f>
        <v>1</v>
      </c>
      <c r="AH297" s="240">
        <f>AVERAGE('WetLitterbags placem_collection'!S78,'WetLitterbags placem_collection'!U78)</f>
        <v>26.8</v>
      </c>
      <c r="AI297">
        <f>AVERAGE('WetLitterbags placem_collection'!R78,'WetLitterbags placem_collection'!T78)</f>
        <v>23.7</v>
      </c>
      <c r="AJ297">
        <f>INDEX(Coordinates!$B$2:$B$197,MATCH(G297,Coordinates!$J$2:$J$197,0))</f>
        <v>-3.3024560190000001</v>
      </c>
      <c r="AK297">
        <f>INDEX(Coordinates!$C$2:$C$197,MATCH(G297,Coordinates!$J$2:$J$197,0))</f>
        <v>34.847871990000002</v>
      </c>
      <c r="AL297" t="str">
        <f>IF(ISNUMBER(SEARCH("C", 'WetLitterbags placem_collection'!W78)),"YES","NO")</f>
        <v>NO</v>
      </c>
      <c r="AM297" t="str">
        <f>IF(ISNUMBER(SEARCH("H", 'WetLitterbags placem_collection'!W78)),"YES","NO")</f>
        <v>YES</v>
      </c>
      <c r="AN297" t="str">
        <f>IF(ISNUMBER(SEARCH("R", 'WetLitterbags placem_collection'!W78)),"YES","NO")</f>
        <v>NO</v>
      </c>
    </row>
    <row r="298" spans="1:40" ht="15" customHeight="1">
      <c r="A298" s="258" t="s">
        <v>2460</v>
      </c>
      <c r="B298" s="263">
        <f>'Dry_Litterbag Placem_Collection'!A79</f>
        <v>77</v>
      </c>
      <c r="C298" s="263" t="str">
        <f>'Dry_Litterbag Placem_Collection'!B79</f>
        <v>Maswa</v>
      </c>
      <c r="D298" s="263" t="s">
        <v>2659</v>
      </c>
      <c r="E298" s="263" t="s">
        <v>2661</v>
      </c>
      <c r="F298" s="263">
        <v>2</v>
      </c>
      <c r="G298" s="264" t="str">
        <f>'Dry_Litterbag Placem_Collection'!C79</f>
        <v>Dry_W2_T5</v>
      </c>
      <c r="H298" s="265" t="s">
        <v>2541</v>
      </c>
      <c r="I298" s="272" t="s">
        <v>298</v>
      </c>
      <c r="J298" s="223" t="str">
        <f>'WetLitterbags placem_collection'!M79</f>
        <v>R137</v>
      </c>
      <c r="K298" s="225">
        <f>IFERROR(INDEX('Green_rooibos initial weight'!$C$5:$C$1749,MATCH(J298, 'Green_rooibos initial weight'!$A$5:$A$1749,0)),"")</f>
        <v>2.198</v>
      </c>
      <c r="L298" s="225">
        <f>IFERROR(K298-(TBIcalc!$H$9+TBIcalc!$H$10),"")</f>
        <v>1.9481999999999999</v>
      </c>
      <c r="M298" s="391">
        <f>AVERAGE(Ashed_controlls!$K$12:$K$14)</f>
        <v>2.2816647271287041</v>
      </c>
      <c r="N298" s="225">
        <f t="shared" si="22"/>
        <v>1.9037486077860786</v>
      </c>
      <c r="O298" s="225">
        <f>IF(IFERROR(INDEX('Both teabags AfterWet'!$C$3:$C$841,MATCH(J298,'Both teabags AfterWet'!$A$3:$A$841,0)),"")="","",(IFERROR(INDEX('Both teabags AfterWet'!$C$3:$C$841,MATCH(J298,'Both teabags AfterWet'!$A$3:$A$841,0)),"")))</f>
        <v>1.698</v>
      </c>
      <c r="P298" s="225">
        <f>IFERROR(IF(O298&gt;0,O298-(TBIcalc!$H$9),""),"")</f>
        <v>1.5473999999999999</v>
      </c>
      <c r="Q298" s="225">
        <f>IFERROR(INDEX('Ashed teabags wet'!$K$2:$K$821,MATCH(J298,'Ashed teabags wet'!$A$2:$A$821,0)),"")</f>
        <v>11.808300395256206</v>
      </c>
      <c r="R298" s="225">
        <f t="shared" si="26"/>
        <v>1.3646783596838055</v>
      </c>
      <c r="S298" s="226">
        <f>'WetLitterbags placem_collection'!E79</f>
        <v>42767</v>
      </c>
      <c r="T298" s="226">
        <f>IF('WetLitterbags placem_collection'!G79="","",'WetLitterbags placem_collection'!G79)</f>
        <v>42818</v>
      </c>
      <c r="U298" s="227">
        <f t="shared" si="23"/>
        <v>51</v>
      </c>
      <c r="V298" s="225">
        <f t="shared" si="24"/>
        <v>0.40080000000000005</v>
      </c>
      <c r="W298" s="225">
        <f t="shared" si="25"/>
        <v>0.53907024810227311</v>
      </c>
      <c r="X298">
        <f>IFERROR(INDEX(Rainfall_Wet!$O$2:$O$217,MATCH(B298, Rainfall_Wet!$A$2:$A$217,0)),"")</f>
        <v>185.630065823</v>
      </c>
      <c r="Y298" s="231">
        <v>45.272914521112256</v>
      </c>
      <c r="Z298" s="231">
        <v>23.604531410916575</v>
      </c>
      <c r="AA298" s="231">
        <v>31.122554067971166</v>
      </c>
      <c r="AB298" s="232" t="s">
        <v>2673</v>
      </c>
      <c r="AC298" s="231">
        <v>6.0547560374568796</v>
      </c>
      <c r="AD298">
        <f>IF('WetLitterbags placem_collection'!AB79="","",'WetLitterbags placem_collection'!AB79)</f>
        <v>3.1</v>
      </c>
      <c r="AE298">
        <f>IF('WetLitterbags placem_collection'!Z79="","",'WetLitterbags placem_collection'!Z79)</f>
        <v>9.8000000000000007</v>
      </c>
      <c r="AF298" s="246" t="str">
        <f>IF('WetLitterbags placem_collection'!AA79="","",'WetLitterbags placem_collection'!AA79)</f>
        <v>O</v>
      </c>
      <c r="AG298">
        <f>IF('WetLitterbags placem_collection'!AC79="","",'WetLitterbags placem_collection'!AC79)</f>
        <v>1</v>
      </c>
      <c r="AH298" s="240">
        <f>AVERAGE('WetLitterbags placem_collection'!S79,'WetLitterbags placem_collection'!U79)</f>
        <v>25.950000000000003</v>
      </c>
      <c r="AI298">
        <f>AVERAGE('WetLitterbags placem_collection'!R79,'WetLitterbags placem_collection'!T79)</f>
        <v>25.950000000000003</v>
      </c>
      <c r="AJ298">
        <f>INDEX(Coordinates!$B$2:$B$197,MATCH(G298,Coordinates!$J$2:$J$197,0))</f>
        <v>-3.3023280279999998</v>
      </c>
      <c r="AK298">
        <f>INDEX(Coordinates!$C$2:$C$197,MATCH(G298,Coordinates!$J$2:$J$197,0))</f>
        <v>34.848223019999999</v>
      </c>
      <c r="AL298" t="str">
        <f>IF(ISNUMBER(SEARCH("C", 'WetLitterbags placem_collection'!W79)),"YES","NO")</f>
        <v>NO</v>
      </c>
      <c r="AM298" t="str">
        <f>IF(ISNUMBER(SEARCH("H", 'WetLitterbags placem_collection'!W79)),"YES","NO")</f>
        <v>NO</v>
      </c>
      <c r="AN298" t="str">
        <f>IF(ISNUMBER(SEARCH("R", 'WetLitterbags placem_collection'!W79)),"YES","NO")</f>
        <v>YES</v>
      </c>
    </row>
    <row r="299" spans="1:40" ht="15" customHeight="1">
      <c r="A299" s="258" t="s">
        <v>2460</v>
      </c>
      <c r="B299" s="263">
        <f>'Dry_Litterbag Placem_Collection'!A80</f>
        <v>78</v>
      </c>
      <c r="C299" s="263" t="str">
        <f>'Dry_Litterbag Placem_Collection'!B80</f>
        <v>Maswa</v>
      </c>
      <c r="D299" s="263" t="s">
        <v>2659</v>
      </c>
      <c r="E299" s="263" t="s">
        <v>2661</v>
      </c>
      <c r="F299" s="263">
        <v>2</v>
      </c>
      <c r="G299" s="264" t="str">
        <f>'Dry_Litterbag Placem_Collection'!C80</f>
        <v>Dry_W2_T6</v>
      </c>
      <c r="H299" s="265" t="s">
        <v>2541</v>
      </c>
      <c r="I299" s="272" t="s">
        <v>298</v>
      </c>
      <c r="J299" s="223" t="str">
        <f>'WetLitterbags placem_collection'!M80</f>
        <v>R278</v>
      </c>
      <c r="K299" s="225">
        <f>IFERROR(INDEX('Green_rooibos initial weight'!$C$5:$C$1749,MATCH(J299, 'Green_rooibos initial weight'!$A$5:$A$1749,0)),"")</f>
        <v>2.198</v>
      </c>
      <c r="L299" s="225">
        <f>IFERROR(K299-(TBIcalc!$H$9+TBIcalc!$H$10),"")</f>
        <v>1.9481999999999999</v>
      </c>
      <c r="M299" s="391">
        <f>AVERAGE(Ashed_controlls!$K$12:$K$14)</f>
        <v>2.2816647271287041</v>
      </c>
      <c r="N299" s="225">
        <f t="shared" si="22"/>
        <v>1.9037486077860786</v>
      </c>
      <c r="O299" s="225">
        <f>IF(IFERROR(INDEX('Both teabags AfterWet'!$C$3:$C$841,MATCH(J299,'Both teabags AfterWet'!$A$3:$A$841,0)),"")="","",(IFERROR(INDEX('Both teabags AfterWet'!$C$3:$C$841,MATCH(J299,'Both teabags AfterWet'!$A$3:$A$841,0)),"")))</f>
        <v>1.6845000000000001</v>
      </c>
      <c r="P299" s="225">
        <f>IFERROR(IF(O299&gt;0,O299-(TBIcalc!$H$9),""),"")</f>
        <v>1.5339</v>
      </c>
      <c r="Q299" s="225" t="str">
        <f>IFERROR(INDEX('Ashed teabags wet'!$K$2:$K$821,MATCH(J299,'Ashed teabags wet'!$A$2:$A$821,0)),"")</f>
        <v/>
      </c>
      <c r="R299" s="225" t="str">
        <f t="shared" si="26"/>
        <v/>
      </c>
      <c r="S299" s="226">
        <f>'WetLitterbags placem_collection'!E80</f>
        <v>42767</v>
      </c>
      <c r="T299" s="226">
        <f>IF('WetLitterbags placem_collection'!G80="","",'WetLitterbags placem_collection'!G80)</f>
        <v>42818</v>
      </c>
      <c r="U299" s="227">
        <f t="shared" si="23"/>
        <v>51</v>
      </c>
      <c r="V299" s="225">
        <f t="shared" si="24"/>
        <v>0.41429999999999989</v>
      </c>
      <c r="W299" s="225" t="str">
        <f t="shared" si="25"/>
        <v/>
      </c>
      <c r="X299">
        <f>IFERROR(INDEX(Rainfall_Wet!$O$2:$O$217,MATCH(B299, Rainfall_Wet!$A$2:$A$217,0)),"")</f>
        <v>185.630065823</v>
      </c>
      <c r="Y299" s="231">
        <v>45.272914521112256</v>
      </c>
      <c r="Z299" s="231">
        <v>23.604531410916575</v>
      </c>
      <c r="AA299" s="231">
        <v>31.122554067971166</v>
      </c>
      <c r="AB299" s="232" t="s">
        <v>2673</v>
      </c>
      <c r="AC299" s="231">
        <v>7.0547560374568796</v>
      </c>
      <c r="AD299">
        <f>IF('WetLitterbags placem_collection'!AB80="","",'WetLitterbags placem_collection'!AB80)</f>
        <v>10.4</v>
      </c>
      <c r="AE299">
        <f>IF('WetLitterbags placem_collection'!Z80="","",'WetLitterbags placem_collection'!Z80)</f>
        <v>15.4</v>
      </c>
      <c r="AF299" s="246" t="str">
        <f>IF('WetLitterbags placem_collection'!AA80="","",'WetLitterbags placem_collection'!AA80)</f>
        <v>M</v>
      </c>
      <c r="AG299">
        <f>IF('WetLitterbags placem_collection'!AC80="","",'WetLitterbags placem_collection'!AC80)</f>
        <v>1</v>
      </c>
      <c r="AH299" s="240">
        <f>AVERAGE('WetLitterbags placem_collection'!S80,'WetLitterbags placem_collection'!U80)</f>
        <v>24.15</v>
      </c>
      <c r="AI299">
        <f>AVERAGE('WetLitterbags placem_collection'!R80,'WetLitterbags placem_collection'!T80)</f>
        <v>27.75</v>
      </c>
      <c r="AJ299">
        <f>INDEX(Coordinates!$B$2:$B$197,MATCH(G299,Coordinates!$J$2:$J$197,0))</f>
        <v>-3.3025680020000001</v>
      </c>
      <c r="AK299">
        <f>INDEX(Coordinates!$C$2:$C$197,MATCH(G299,Coordinates!$J$2:$J$197,0))</f>
        <v>34.848167029999999</v>
      </c>
      <c r="AL299" t="str">
        <f>IF(ISNUMBER(SEARCH("C", 'WetLitterbags placem_collection'!W80)),"YES","NO")</f>
        <v>NO</v>
      </c>
      <c r="AM299" t="str">
        <f>IF(ISNUMBER(SEARCH("H", 'WetLitterbags placem_collection'!W80)),"YES","NO")</f>
        <v>NO</v>
      </c>
      <c r="AN299" t="str">
        <f>IF(ISNUMBER(SEARCH("R", 'WetLitterbags placem_collection'!W80)),"YES","NO")</f>
        <v>YES</v>
      </c>
    </row>
    <row r="300" spans="1:40" ht="15" customHeight="1">
      <c r="A300" s="258" t="s">
        <v>2460</v>
      </c>
      <c r="B300" s="263">
        <f>'Dry_Litterbag Placem_Collection'!A81</f>
        <v>79</v>
      </c>
      <c r="C300" s="263" t="str">
        <f>'Dry_Litterbag Placem_Collection'!B81</f>
        <v>Maswa</v>
      </c>
      <c r="D300" s="263" t="s">
        <v>2659</v>
      </c>
      <c r="E300" s="263" t="s">
        <v>2661</v>
      </c>
      <c r="F300" s="263">
        <v>2</v>
      </c>
      <c r="G300" s="264" t="str">
        <f>'Dry_Litterbag Placem_Collection'!C81</f>
        <v>Dry_W2_T7</v>
      </c>
      <c r="H300" s="265" t="s">
        <v>2541</v>
      </c>
      <c r="I300" s="272" t="s">
        <v>298</v>
      </c>
      <c r="J300" s="223" t="str">
        <f>'WetLitterbags placem_collection'!M81</f>
        <v>R235</v>
      </c>
      <c r="K300" s="225">
        <f>IFERROR(INDEX('Green_rooibos initial weight'!$C$5:$C$1749,MATCH(J300, 'Green_rooibos initial weight'!$A$5:$A$1749,0)),"")</f>
        <v>2.169</v>
      </c>
      <c r="L300" s="225">
        <f>IFERROR(K300-(TBIcalc!$H$9+TBIcalc!$H$10),"")</f>
        <v>1.9192</v>
      </c>
      <c r="M300" s="391">
        <f>AVERAGE(Ashed_controlls!$K$12:$K$14)</f>
        <v>2.2816647271287041</v>
      </c>
      <c r="N300" s="225">
        <f t="shared" si="22"/>
        <v>1.8754102905569459</v>
      </c>
      <c r="O300" s="225">
        <f>IF(IFERROR(INDEX('Both teabags AfterWet'!$C$3:$C$841,MATCH(J300,'Both teabags AfterWet'!$A$3:$A$841,0)),"")="","",(IFERROR(INDEX('Both teabags AfterWet'!$C$3:$C$841,MATCH(J300,'Both teabags AfterWet'!$A$3:$A$841,0)),"")))</f>
        <v>1.5528</v>
      </c>
      <c r="P300" s="225">
        <f>IFERROR(IF(O300&gt;0,O300-(TBIcalc!$H$9),""),"")</f>
        <v>1.4021999999999999</v>
      </c>
      <c r="Q300" s="225">
        <f>IFERROR(INDEX('Ashed teabags wet'!$K$2:$K$821,MATCH(J300,'Ashed teabags wet'!$A$2:$A$821,0)),"")</f>
        <v>8.7084148727974071</v>
      </c>
      <c r="R300" s="225">
        <f t="shared" si="26"/>
        <v>1.2800906066536346</v>
      </c>
      <c r="S300" s="226">
        <f>'WetLitterbags placem_collection'!E81</f>
        <v>42767</v>
      </c>
      <c r="T300" s="226">
        <f>IF('WetLitterbags placem_collection'!G81="","",'WetLitterbags placem_collection'!G81)</f>
        <v>42818</v>
      </c>
      <c r="U300" s="227">
        <f t="shared" si="23"/>
        <v>51</v>
      </c>
      <c r="V300" s="225">
        <f t="shared" si="24"/>
        <v>0.51700000000000013</v>
      </c>
      <c r="W300" s="225">
        <f t="shared" si="25"/>
        <v>0.59531968390331125</v>
      </c>
      <c r="X300">
        <f>IFERROR(INDEX(Rainfall_Wet!$O$2:$O$217,MATCH(B300, Rainfall_Wet!$A$2:$A$217,0)),"")</f>
        <v>185.630065823</v>
      </c>
      <c r="Y300" s="231">
        <v>45.272914521112256</v>
      </c>
      <c r="Z300" s="231">
        <v>23.604531410916575</v>
      </c>
      <c r="AA300" s="231">
        <v>31.122554067971166</v>
      </c>
      <c r="AB300" s="232" t="s">
        <v>2673</v>
      </c>
      <c r="AC300" s="231">
        <v>8.0547560374568796</v>
      </c>
      <c r="AD300">
        <f>IF('WetLitterbags placem_collection'!AB81="","",'WetLitterbags placem_collection'!AB81)</f>
        <v>3</v>
      </c>
      <c r="AE300">
        <f>IF('WetLitterbags placem_collection'!Z81="","",'WetLitterbags placem_collection'!Z81)</f>
        <v>5</v>
      </c>
      <c r="AF300" s="246" t="str">
        <f>IF('WetLitterbags placem_collection'!AA81="","",'WetLitterbags placem_collection'!AA81)</f>
        <v>G</v>
      </c>
      <c r="AG300">
        <f>IF('WetLitterbags placem_collection'!AC81="","",'WetLitterbags placem_collection'!AC81)</f>
        <v>1</v>
      </c>
      <c r="AH300" s="240">
        <f>AVERAGE('WetLitterbags placem_collection'!S81,'WetLitterbags placem_collection'!U81)</f>
        <v>26.9</v>
      </c>
      <c r="AI300">
        <f>AVERAGE('WetLitterbags placem_collection'!R81,'WetLitterbags placem_collection'!T81)</f>
        <v>26.25</v>
      </c>
      <c r="AJ300">
        <f>INDEX(Coordinates!$B$2:$B$197,MATCH(G300,Coordinates!$J$2:$J$197,0))</f>
        <v>-3.3026270100000001</v>
      </c>
      <c r="AK300">
        <f>INDEX(Coordinates!$C$2:$C$197,MATCH(G300,Coordinates!$J$2:$J$197,0))</f>
        <v>34.84840801</v>
      </c>
      <c r="AL300" t="str">
        <f>IF(ISNUMBER(SEARCH("C", 'WetLitterbags placem_collection'!W81)),"YES","NO")</f>
        <v>NO</v>
      </c>
      <c r="AM300" t="str">
        <f>IF(ISNUMBER(SEARCH("H", 'WetLitterbags placem_collection'!W81)),"YES","NO")</f>
        <v>NO</v>
      </c>
      <c r="AN300" t="str">
        <f>IF(ISNUMBER(SEARCH("R", 'WetLitterbags placem_collection'!W81)),"YES","NO")</f>
        <v>YES</v>
      </c>
    </row>
    <row r="301" spans="1:40" ht="15" customHeight="1">
      <c r="A301" s="258" t="s">
        <v>2460</v>
      </c>
      <c r="B301" s="263">
        <f>'Dry_Litterbag Placem_Collection'!A82</f>
        <v>80</v>
      </c>
      <c r="C301" s="263" t="str">
        <f>'Dry_Litterbag Placem_Collection'!B82</f>
        <v>Maswa</v>
      </c>
      <c r="D301" s="263" t="s">
        <v>2659</v>
      </c>
      <c r="E301" s="263" t="s">
        <v>2661</v>
      </c>
      <c r="F301" s="263">
        <v>2</v>
      </c>
      <c r="G301" s="264" t="str">
        <f>'Dry_Litterbag Placem_Collection'!C82</f>
        <v>Dry_W2_T8</v>
      </c>
      <c r="H301" s="265" t="s">
        <v>2541</v>
      </c>
      <c r="I301" s="272" t="s">
        <v>298</v>
      </c>
      <c r="J301" s="223" t="str">
        <f>'WetLitterbags placem_collection'!M82</f>
        <v>R181</v>
      </c>
      <c r="K301" s="225">
        <f>IFERROR(INDEX('Green_rooibos initial weight'!$C$5:$C$1749,MATCH(J301, 'Green_rooibos initial weight'!$A$5:$A$1749,0)),"")</f>
        <v>2.1749999999999998</v>
      </c>
      <c r="L301" s="225">
        <f>IFERROR(K301-(TBIcalc!$H$9+TBIcalc!$H$10),"")</f>
        <v>1.9251999999999998</v>
      </c>
      <c r="M301" s="391">
        <f>AVERAGE(Ashed_controlls!$K$12:$K$14)</f>
        <v>2.2816647271287041</v>
      </c>
      <c r="N301" s="225">
        <f t="shared" si="22"/>
        <v>1.8812733906733179</v>
      </c>
      <c r="O301" s="225">
        <f>IF(IFERROR(INDEX('Both teabags AfterWet'!$C$3:$C$841,MATCH(J301,'Both teabags AfterWet'!$A$3:$A$841,0)),"")="","",(IFERROR(INDEX('Both teabags AfterWet'!$C$3:$C$841,MATCH(J301,'Both teabags AfterWet'!$A$3:$A$841,0)),"")))</f>
        <v>0.23799999999999999</v>
      </c>
      <c r="P301" s="225">
        <f>IFERROR(IF(O301&gt;0,O301-(TBIcalc!$H$9),""),"")</f>
        <v>8.7399999999999978E-2</v>
      </c>
      <c r="Q301" s="225" t="str">
        <f>IFERROR(INDEX('Ashed teabags wet'!$K$2:$K$821,MATCH(J301,'Ashed teabags wet'!$A$2:$A$821,0)),"")</f>
        <v/>
      </c>
      <c r="R301" s="225" t="str">
        <f t="shared" si="26"/>
        <v/>
      </c>
      <c r="S301" s="226">
        <f>'WetLitterbags placem_collection'!E82</f>
        <v>42767</v>
      </c>
      <c r="T301" s="226">
        <f>IF('WetLitterbags placem_collection'!G82="","",'WetLitterbags placem_collection'!G82)</f>
        <v>42818</v>
      </c>
      <c r="U301" s="227">
        <f t="shared" si="23"/>
        <v>51</v>
      </c>
      <c r="V301" s="225">
        <f t="shared" si="24"/>
        <v>1.8377999999999999</v>
      </c>
      <c r="W301" s="225" t="str">
        <f t="shared" si="25"/>
        <v/>
      </c>
      <c r="X301">
        <f>IFERROR(INDEX(Rainfall_Wet!$O$2:$O$217,MATCH(B301, Rainfall_Wet!$A$2:$A$217,0)),"")</f>
        <v>185.630065823</v>
      </c>
      <c r="Y301" s="231">
        <v>45.272914521112256</v>
      </c>
      <c r="Z301" s="231">
        <v>23.604531410916575</v>
      </c>
      <c r="AA301" s="231">
        <v>31.122554067971166</v>
      </c>
      <c r="AB301" s="232" t="s">
        <v>2673</v>
      </c>
      <c r="AC301" s="231">
        <v>9.0547560374568796</v>
      </c>
      <c r="AD301">
        <f>IF('WetLitterbags placem_collection'!AB82="","",'WetLitterbags placem_collection'!AB82)</f>
        <v>2.7</v>
      </c>
      <c r="AE301">
        <f>IF('WetLitterbags placem_collection'!Z82="","",'WetLitterbags placem_collection'!Z82)</f>
        <v>12.4</v>
      </c>
      <c r="AF301" s="246" t="str">
        <f>IF('WetLitterbags placem_collection'!AA82="","",'WetLitterbags placem_collection'!AA82)</f>
        <v>O</v>
      </c>
      <c r="AG301">
        <f>IF('WetLitterbags placem_collection'!AC82="","",'WetLitterbags placem_collection'!AC82)</f>
        <v>1</v>
      </c>
      <c r="AH301" s="240">
        <f>AVERAGE('WetLitterbags placem_collection'!S82,'WetLitterbags placem_collection'!U82)</f>
        <v>28.55</v>
      </c>
      <c r="AI301">
        <f>AVERAGE('WetLitterbags placem_collection'!R82,'WetLitterbags placem_collection'!T82)</f>
        <v>27.450000000000003</v>
      </c>
      <c r="AJ301">
        <f>INDEX(Coordinates!$B$2:$B$197,MATCH(G301,Coordinates!$J$2:$J$197,0))</f>
        <v>-3.3028539920000002</v>
      </c>
      <c r="AK301">
        <f>INDEX(Coordinates!$C$2:$C$197,MATCH(G301,Coordinates!$J$2:$J$197,0))</f>
        <v>34.847988999999998</v>
      </c>
      <c r="AL301" t="str">
        <f>IF(ISNUMBER(SEARCH("C", 'WetLitterbags placem_collection'!W82)),"YES","NO")</f>
        <v>NO</v>
      </c>
      <c r="AM301" t="str">
        <f>IF(ISNUMBER(SEARCH("H", 'WetLitterbags placem_collection'!W82)),"YES","NO")</f>
        <v>YES</v>
      </c>
      <c r="AN301" t="str">
        <f>IF(ISNUMBER(SEARCH("R", 'WetLitterbags placem_collection'!W82)),"YES","NO")</f>
        <v>NO</v>
      </c>
    </row>
    <row r="302" spans="1:40" ht="15" customHeight="1">
      <c r="A302" s="258" t="s">
        <v>2460</v>
      </c>
      <c r="B302" s="263">
        <f>'Dry_Litterbag Placem_Collection'!A83</f>
        <v>81</v>
      </c>
      <c r="C302" s="263" t="str">
        <f>'Dry_Litterbag Placem_Collection'!B83</f>
        <v>Maswa</v>
      </c>
      <c r="D302" s="263" t="s">
        <v>2659</v>
      </c>
      <c r="E302" s="263" t="s">
        <v>2661</v>
      </c>
      <c r="F302" s="263">
        <v>3</v>
      </c>
      <c r="G302" s="264" t="str">
        <f>'Dry_Litterbag Placem_Collection'!C83</f>
        <v>Dry_W3_T1</v>
      </c>
      <c r="H302" s="265" t="s">
        <v>2541</v>
      </c>
      <c r="I302" s="272" t="s">
        <v>298</v>
      </c>
      <c r="J302" s="223" t="str">
        <f>'WetLitterbags placem_collection'!M83</f>
        <v>R187</v>
      </c>
      <c r="K302" s="225">
        <f>IFERROR(INDEX('Green_rooibos initial weight'!$C$5:$C$1749,MATCH(J302, 'Green_rooibos initial weight'!$A$5:$A$1749,0)),"")</f>
        <v>2.2210000000000001</v>
      </c>
      <c r="L302" s="225">
        <f>IFERROR(K302-(TBIcalc!$H$9+TBIcalc!$H$10),"")</f>
        <v>1.9712000000000001</v>
      </c>
      <c r="M302" s="391">
        <f>AVERAGE(Ashed_controlls!$K$12:$K$14)</f>
        <v>2.2816647271287041</v>
      </c>
      <c r="N302" s="225">
        <f t="shared" si="22"/>
        <v>1.926223824898839</v>
      </c>
      <c r="O302" s="225">
        <f>IF(IFERROR(INDEX('Both teabags AfterWet'!$C$3:$C$841,MATCH(J302,'Both teabags AfterWet'!$A$3:$A$841,0)),"")="","",(IFERROR(INDEX('Both teabags AfterWet'!$C$3:$C$841,MATCH(J302,'Both teabags AfterWet'!$A$3:$A$841,0)),"")))</f>
        <v>1.8420000000000001</v>
      </c>
      <c r="P302" s="225">
        <f>IFERROR(IF(O302&gt;0,O302-(TBIcalc!$H$9),""),"")</f>
        <v>1.6914</v>
      </c>
      <c r="Q302" s="225">
        <f>IFERROR(INDEX('Ashed teabags wet'!$K$2:$K$821,MATCH(J302,'Ashed teabags wet'!$A$2:$A$821,0)),"")</f>
        <v>4.2141794744665662</v>
      </c>
      <c r="R302" s="225">
        <f t="shared" si="26"/>
        <v>1.6201213683688724</v>
      </c>
      <c r="S302" s="226">
        <f>'WetLitterbags placem_collection'!E83</f>
        <v>42767</v>
      </c>
      <c r="T302" s="226">
        <f>IF('WetLitterbags placem_collection'!G83="","",'WetLitterbags placem_collection'!G83)</f>
        <v>42818</v>
      </c>
      <c r="U302" s="227">
        <f t="shared" si="23"/>
        <v>51</v>
      </c>
      <c r="V302" s="225">
        <f t="shared" si="24"/>
        <v>0.27980000000000005</v>
      </c>
      <c r="W302" s="225">
        <f t="shared" si="25"/>
        <v>0.30610245652996659</v>
      </c>
      <c r="X302">
        <f>IFERROR(INDEX(Rainfall_Wet!$O$2:$O$217,MATCH(B302, Rainfall_Wet!$A$2:$A$217,0)),"")</f>
        <v>185.01185076100001</v>
      </c>
      <c r="Y302" s="231">
        <v>38.691629007962128</v>
      </c>
      <c r="Z302" s="231">
        <v>26.81299763288143</v>
      </c>
      <c r="AA302" s="231">
        <v>34.495373359156439</v>
      </c>
      <c r="AB302" s="232" t="s">
        <v>2675</v>
      </c>
      <c r="AC302" s="231">
        <v>2.5483587974371611</v>
      </c>
      <c r="AD302">
        <f>IF('WetLitterbags placem_collection'!AB83="","",'WetLitterbags placem_collection'!AB83)</f>
        <v>6.2</v>
      </c>
      <c r="AE302">
        <f>IF('WetLitterbags placem_collection'!Z83="","",'WetLitterbags placem_collection'!Z83)</f>
        <v>13.3</v>
      </c>
      <c r="AF302" s="246" t="str">
        <f>IF('WetLitterbags placem_collection'!AA83="","",'WetLitterbags placem_collection'!AA83)</f>
        <v>O</v>
      </c>
      <c r="AG302">
        <f>IF('WetLitterbags placem_collection'!AC83="","",'WetLitterbags placem_collection'!AC83)</f>
        <v>0</v>
      </c>
      <c r="AH302" s="240">
        <f>AVERAGE('WetLitterbags placem_collection'!S83,'WetLitterbags placem_collection'!U83)</f>
        <v>26.35</v>
      </c>
      <c r="AI302">
        <f>AVERAGE('WetLitterbags placem_collection'!R83,'WetLitterbags placem_collection'!T83)</f>
        <v>26.65</v>
      </c>
      <c r="AJ302">
        <f>INDEX(Coordinates!$B$2:$B$197,MATCH(G302,Coordinates!$J$2:$J$197,0))</f>
        <v>-3.2957159630000001</v>
      </c>
      <c r="AK302">
        <f>INDEX(Coordinates!$C$2:$C$197,MATCH(G302,Coordinates!$J$2:$J$197,0))</f>
        <v>34.852460999999998</v>
      </c>
      <c r="AL302" t="str">
        <f>IF(ISNUMBER(SEARCH("C", 'WetLitterbags placem_collection'!W83)),"YES","NO")</f>
        <v>NO</v>
      </c>
      <c r="AM302" t="str">
        <f>IF(ISNUMBER(SEARCH("H", 'WetLitterbags placem_collection'!W83)),"YES","NO")</f>
        <v>NO</v>
      </c>
      <c r="AN302" t="str">
        <f>IF(ISNUMBER(SEARCH("R", 'WetLitterbags placem_collection'!W83)),"YES","NO")</f>
        <v>NO</v>
      </c>
    </row>
    <row r="303" spans="1:40" ht="15" customHeight="1">
      <c r="A303" s="258" t="s">
        <v>2460</v>
      </c>
      <c r="B303" s="263">
        <f>'Dry_Litterbag Placem_Collection'!A84</f>
        <v>82</v>
      </c>
      <c r="C303" s="263" t="str">
        <f>'Dry_Litterbag Placem_Collection'!B84</f>
        <v>Maswa</v>
      </c>
      <c r="D303" s="263" t="s">
        <v>2659</v>
      </c>
      <c r="E303" s="263" t="s">
        <v>2661</v>
      </c>
      <c r="F303" s="263">
        <v>3</v>
      </c>
      <c r="G303" s="264" t="str">
        <f>'Dry_Litterbag Placem_Collection'!C84</f>
        <v>Dry_W3_T2</v>
      </c>
      <c r="H303" s="265" t="s">
        <v>2541</v>
      </c>
      <c r="I303" s="272" t="s">
        <v>298</v>
      </c>
      <c r="J303" s="223" t="str">
        <f>'WetLitterbags placem_collection'!M84</f>
        <v>R83</v>
      </c>
      <c r="K303" s="225">
        <f>IFERROR(INDEX('Green_rooibos initial weight'!$C$5:$C$1749,MATCH(J303, 'Green_rooibos initial weight'!$A$5:$A$1749,0)),"")</f>
        <v>2.0390000000000001</v>
      </c>
      <c r="L303" s="225">
        <f>IFERROR(K303-(TBIcalc!$H$9+TBIcalc!$H$10),"")</f>
        <v>1.7892000000000001</v>
      </c>
      <c r="M303" s="391">
        <f>AVERAGE(Ashed_controlls!$K$12:$K$14)</f>
        <v>2.2816647271287041</v>
      </c>
      <c r="N303" s="225">
        <f t="shared" si="22"/>
        <v>1.7483764547022134</v>
      </c>
      <c r="O303" s="225">
        <f>IF(IFERROR(INDEX('Both teabags AfterWet'!$C$3:$C$841,MATCH(J303,'Both teabags AfterWet'!$A$3:$A$841,0)),"")="","",(IFERROR(INDEX('Both teabags AfterWet'!$C$3:$C$841,MATCH(J303,'Both teabags AfterWet'!$A$3:$A$841,0)),"")))</f>
        <v>1.5940000000000001</v>
      </c>
      <c r="P303" s="225">
        <f>IFERROR(IF(O303&gt;0,O303-(TBIcalc!$H$9),""),"")</f>
        <v>1.4434</v>
      </c>
      <c r="Q303" s="225">
        <f>IFERROR(INDEX('Ashed teabags wet'!$K$2:$K$821,MATCH(J303,'Ashed teabags wet'!$A$2:$A$821,0)),"")</f>
        <v>4.9489795918371247</v>
      </c>
      <c r="R303" s="225">
        <f t="shared" si="26"/>
        <v>1.371966428571423</v>
      </c>
      <c r="S303" s="226">
        <f>'WetLitterbags placem_collection'!E84</f>
        <v>42767</v>
      </c>
      <c r="T303" s="226">
        <f>IF('WetLitterbags placem_collection'!G84="","",'WetLitterbags placem_collection'!G84)</f>
        <v>42819</v>
      </c>
      <c r="U303" s="227">
        <f t="shared" si="23"/>
        <v>52</v>
      </c>
      <c r="V303" s="225">
        <f t="shared" si="24"/>
        <v>0.34580000000000011</v>
      </c>
      <c r="W303" s="225">
        <f t="shared" si="25"/>
        <v>0.37641002613079033</v>
      </c>
      <c r="X303">
        <f>IFERROR(INDEX(Rainfall_Wet!$O$2:$O$217,MATCH(B303, Rainfall_Wet!$A$2:$A$217,0)),"")</f>
        <v>194.93009798400001</v>
      </c>
      <c r="Y303" s="231">
        <v>38.691629007962128</v>
      </c>
      <c r="Z303" s="231">
        <v>26.81299763288143</v>
      </c>
      <c r="AA303" s="231">
        <v>34.495373359156439</v>
      </c>
      <c r="AB303" s="232" t="s">
        <v>2675</v>
      </c>
      <c r="AC303" s="231">
        <v>3.5483587974371602</v>
      </c>
      <c r="AD303">
        <f>IF('WetLitterbags placem_collection'!AB84="","",'WetLitterbags placem_collection'!AB84)</f>
        <v>2.4</v>
      </c>
      <c r="AE303">
        <f>IF('WetLitterbags placem_collection'!Z84="","",'WetLitterbags placem_collection'!Z84)</f>
        <v>16.600000000000001</v>
      </c>
      <c r="AF303" s="246" t="str">
        <f>IF('WetLitterbags placem_collection'!AA84="","",'WetLitterbags placem_collection'!AA84)</f>
        <v>O</v>
      </c>
      <c r="AG303" t="str">
        <f>IF('WetLitterbags placem_collection'!AC84="","",'WetLitterbags placem_collection'!AC84)</f>
        <v/>
      </c>
      <c r="AH303" s="240">
        <f>AVERAGE('WetLitterbags placem_collection'!S84,'WetLitterbags placem_collection'!U84)</f>
        <v>26.6</v>
      </c>
      <c r="AI303">
        <f>AVERAGE('WetLitterbags placem_collection'!R84,'WetLitterbags placem_collection'!T84)</f>
        <v>23.05</v>
      </c>
      <c r="AJ303">
        <f>INDEX(Coordinates!$B$2:$B$197,MATCH(G303,Coordinates!$J$2:$J$197,0))</f>
        <v>-3.2957230040000001</v>
      </c>
      <c r="AK303">
        <f>INDEX(Coordinates!$C$2:$C$197,MATCH(G303,Coordinates!$J$2:$J$197,0))</f>
        <v>34.852416990000002</v>
      </c>
      <c r="AL303" t="str">
        <f>IF(ISNUMBER(SEARCH("C", 'WetLitterbags placem_collection'!W84)),"YES","NO")</f>
        <v>NO</v>
      </c>
      <c r="AM303" t="str">
        <f>IF(ISNUMBER(SEARCH("H", 'WetLitterbags placem_collection'!W84)),"YES","NO")</f>
        <v>YES</v>
      </c>
      <c r="AN303" t="str">
        <f>IF(ISNUMBER(SEARCH("R", 'WetLitterbags placem_collection'!W84)),"YES","NO")</f>
        <v>YES</v>
      </c>
    </row>
    <row r="304" spans="1:40" ht="15" customHeight="1">
      <c r="A304" s="258" t="s">
        <v>2460</v>
      </c>
      <c r="B304" s="263">
        <f>'Dry_Litterbag Placem_Collection'!A85</f>
        <v>83</v>
      </c>
      <c r="C304" s="263" t="str">
        <f>'Dry_Litterbag Placem_Collection'!B85</f>
        <v>Maswa</v>
      </c>
      <c r="D304" s="263" t="s">
        <v>2659</v>
      </c>
      <c r="E304" s="263" t="s">
        <v>2661</v>
      </c>
      <c r="F304" s="263">
        <v>3</v>
      </c>
      <c r="G304" s="264" t="str">
        <f>'Dry_Litterbag Placem_Collection'!C85</f>
        <v>Dry_W3_T3</v>
      </c>
      <c r="H304" s="265" t="s">
        <v>2541</v>
      </c>
      <c r="I304" s="272" t="s">
        <v>298</v>
      </c>
      <c r="J304" s="223" t="str">
        <f>'WetLitterbags placem_collection'!M85</f>
        <v>R134</v>
      </c>
      <c r="K304" s="225">
        <f>IFERROR(INDEX('Green_rooibos initial weight'!$C$5:$C$1749,MATCH(J304, 'Green_rooibos initial weight'!$A$5:$A$1749,0)),"")</f>
        <v>2.21</v>
      </c>
      <c r="L304" s="225">
        <f>IFERROR(K304-(TBIcalc!$H$9+TBIcalc!$H$10),"")</f>
        <v>1.9601999999999999</v>
      </c>
      <c r="M304" s="391">
        <f>AVERAGE(Ashed_controlls!$K$12:$K$14)</f>
        <v>2.2816647271287041</v>
      </c>
      <c r="N304" s="225">
        <f t="shared" si="22"/>
        <v>1.9154748080188231</v>
      </c>
      <c r="O304" s="225">
        <f>IF(IFERROR(INDEX('Both teabags AfterWet'!$C$3:$C$841,MATCH(J304,'Both teabags AfterWet'!$A$3:$A$841,0)),"")="","",(IFERROR(INDEX('Both teabags AfterWet'!$C$3:$C$841,MATCH(J304,'Both teabags AfterWet'!$A$3:$A$841,0)),"")))</f>
        <v>0.98799999999999999</v>
      </c>
      <c r="P304" s="225">
        <f>IFERROR(IF(O304&gt;0,O304-(TBIcalc!$H$9),""),"")</f>
        <v>0.83739999999999992</v>
      </c>
      <c r="Q304" s="225">
        <f>IFERROR(INDEX('Ashed teabags wet'!$K$2:$K$821,MATCH(J304,'Ashed teabags wet'!$A$2:$A$821,0)),"")</f>
        <v>61.99804113614087</v>
      </c>
      <c r="R304" s="225">
        <f t="shared" si="26"/>
        <v>0.31822840352595638</v>
      </c>
      <c r="S304" s="226">
        <f>'WetLitterbags placem_collection'!E85</f>
        <v>42767</v>
      </c>
      <c r="T304" s="226">
        <f>IF('WetLitterbags placem_collection'!G85="","",'WetLitterbags placem_collection'!G85)</f>
        <v>42819</v>
      </c>
      <c r="U304" s="227">
        <f t="shared" si="23"/>
        <v>52</v>
      </c>
      <c r="V304" s="225">
        <f t="shared" si="24"/>
        <v>1.1228</v>
      </c>
      <c r="W304" s="225">
        <f t="shared" si="25"/>
        <v>1.5972464044928667</v>
      </c>
      <c r="X304">
        <f>IFERROR(INDEX(Rainfall_Wet!$O$2:$O$217,MATCH(B304, Rainfall_Wet!$A$2:$A$217,0)),"")</f>
        <v>194.93009798400001</v>
      </c>
      <c r="Y304" s="231">
        <v>38.691629007962128</v>
      </c>
      <c r="Z304" s="231">
        <v>26.81299763288143</v>
      </c>
      <c r="AA304" s="231">
        <v>34.495373359156439</v>
      </c>
      <c r="AB304" s="232" t="s">
        <v>2675</v>
      </c>
      <c r="AC304" s="231">
        <v>4.5483587974371602</v>
      </c>
      <c r="AD304">
        <f>IF('WetLitterbags placem_collection'!AB85="","",'WetLitterbags placem_collection'!AB85)</f>
        <v>6.4</v>
      </c>
      <c r="AE304">
        <f>IF('WetLitterbags placem_collection'!Z85="","",'WetLitterbags placem_collection'!Z85)</f>
        <v>42</v>
      </c>
      <c r="AF304" s="246" t="str">
        <f>IF('WetLitterbags placem_collection'!AA85="","",'WetLitterbags placem_collection'!AA85)</f>
        <v>M</v>
      </c>
      <c r="AG304">
        <f>IF('WetLitterbags placem_collection'!AC85="","",'WetLitterbags placem_collection'!AC85)</f>
        <v>1</v>
      </c>
      <c r="AH304" s="240">
        <f>AVERAGE('WetLitterbags placem_collection'!S85,'WetLitterbags placem_collection'!U85)</f>
        <v>30.099999999999998</v>
      </c>
      <c r="AI304">
        <f>AVERAGE('WetLitterbags placem_collection'!R85,'WetLitterbags placem_collection'!T85)</f>
        <v>25.05</v>
      </c>
      <c r="AJ304">
        <f>INDEX(Coordinates!$B$2:$B$197,MATCH(G304,Coordinates!$J$2:$J$197,0))</f>
        <v>-3.2957430369999998</v>
      </c>
      <c r="AK304">
        <f>INDEX(Coordinates!$C$2:$C$197,MATCH(G304,Coordinates!$J$2:$J$197,0))</f>
        <v>34.852309030000001</v>
      </c>
      <c r="AL304" t="str">
        <f>IF(ISNUMBER(SEARCH("C", 'WetLitterbags placem_collection'!W85)),"YES","NO")</f>
        <v>NO</v>
      </c>
      <c r="AM304" t="str">
        <f>IF(ISNUMBER(SEARCH("H", 'WetLitterbags placem_collection'!W85)),"YES","NO")</f>
        <v>YES</v>
      </c>
      <c r="AN304" t="str">
        <f>IF(ISNUMBER(SEARCH("R", 'WetLitterbags placem_collection'!W85)),"YES","NO")</f>
        <v>NO</v>
      </c>
    </row>
    <row r="305" spans="1:40" ht="15" customHeight="1">
      <c r="A305" s="258" t="s">
        <v>2460</v>
      </c>
      <c r="B305" s="263">
        <f>'Dry_Litterbag Placem_Collection'!A86</f>
        <v>84</v>
      </c>
      <c r="C305" s="263" t="str">
        <f>'Dry_Litterbag Placem_Collection'!B86</f>
        <v>Maswa</v>
      </c>
      <c r="D305" s="263" t="s">
        <v>2659</v>
      </c>
      <c r="E305" s="263" t="s">
        <v>2661</v>
      </c>
      <c r="F305" s="263">
        <v>3</v>
      </c>
      <c r="G305" s="264" t="str">
        <f>'Dry_Litterbag Placem_Collection'!C86</f>
        <v>Dry_W3_T4</v>
      </c>
      <c r="H305" s="265" t="s">
        <v>2541</v>
      </c>
      <c r="I305" s="272" t="s">
        <v>298</v>
      </c>
      <c r="J305" s="223" t="str">
        <f>'WetLitterbags placem_collection'!M86</f>
        <v>R49</v>
      </c>
      <c r="K305" s="225">
        <f>IFERROR(INDEX('Green_rooibos initial weight'!$C$5:$C$1749,MATCH(J305, 'Green_rooibos initial weight'!$A$5:$A$1749,0)),"")</f>
        <v>2.2999999999999998</v>
      </c>
      <c r="L305" s="225">
        <f>IFERROR(K305-(TBIcalc!$H$9+TBIcalc!$H$10),"")</f>
        <v>2.0501999999999998</v>
      </c>
      <c r="M305" s="391">
        <f>AVERAGE(Ashed_controlls!$K$12:$K$14)</f>
        <v>2.2816647271287041</v>
      </c>
      <c r="N305" s="225">
        <f t="shared" si="22"/>
        <v>2.0034213097644069</v>
      </c>
      <c r="O305" s="225">
        <f>IF(IFERROR(INDEX('Both teabags AfterWet'!$C$3:$C$841,MATCH(J305,'Both teabags AfterWet'!$A$3:$A$841,0)),"")="","",(IFERROR(INDEX('Both teabags AfterWet'!$C$3:$C$841,MATCH(J305,'Both teabags AfterWet'!$A$3:$A$841,0)),"")))</f>
        <v>1.6379999999999999</v>
      </c>
      <c r="P305" s="225">
        <f>IFERROR(IF(O305&gt;0,O305-(TBIcalc!$H$9),""),"")</f>
        <v>1.4873999999999998</v>
      </c>
      <c r="Q305" s="225">
        <f>IFERROR(INDEX('Ashed teabags wet'!$K$2:$K$821,MATCH(J305,'Ashed teabags wet'!$A$2:$A$821,0)),"")</f>
        <v>8.8249634324722646</v>
      </c>
      <c r="R305" s="225">
        <f t="shared" si="26"/>
        <v>1.3561374939054074</v>
      </c>
      <c r="S305" s="226">
        <f>'WetLitterbags placem_collection'!E86</f>
        <v>42767</v>
      </c>
      <c r="T305" s="226">
        <f>IF('WetLitterbags placem_collection'!G86="","",'WetLitterbags placem_collection'!G86)</f>
        <v>42819</v>
      </c>
      <c r="U305" s="227">
        <f t="shared" si="23"/>
        <v>52</v>
      </c>
      <c r="V305" s="225">
        <f t="shared" si="24"/>
        <v>0.56279999999999997</v>
      </c>
      <c r="W305" s="225">
        <f t="shared" si="25"/>
        <v>0.64728381585899952</v>
      </c>
      <c r="X305">
        <f>IFERROR(INDEX(Rainfall_Wet!$O$2:$O$217,MATCH(B305, Rainfall_Wet!$A$2:$A$217,0)),"")</f>
        <v>194.93009798400001</v>
      </c>
      <c r="Y305" s="231">
        <v>38.691629007962128</v>
      </c>
      <c r="Z305" s="231">
        <v>26.81299763288143</v>
      </c>
      <c r="AA305" s="231">
        <v>34.495373359156439</v>
      </c>
      <c r="AB305" s="232" t="s">
        <v>2675</v>
      </c>
      <c r="AC305" s="231">
        <v>5.5483587974371602</v>
      </c>
      <c r="AD305">
        <f>IF('WetLitterbags placem_collection'!AB86="","",'WetLitterbags placem_collection'!AB86)</f>
        <v>5.5</v>
      </c>
      <c r="AE305">
        <f>IF('WetLitterbags placem_collection'!Z86="","",'WetLitterbags placem_collection'!Z86)</f>
        <v>55.8</v>
      </c>
      <c r="AF305" s="246" t="str">
        <f>IF('WetLitterbags placem_collection'!AA86="","",'WetLitterbags placem_collection'!AA86)</f>
        <v>M</v>
      </c>
      <c r="AG305">
        <f>IF('WetLitterbags placem_collection'!AC86="","",'WetLitterbags placem_collection'!AC86)</f>
        <v>1</v>
      </c>
      <c r="AH305" s="240">
        <f>AVERAGE('WetLitterbags placem_collection'!S86,'WetLitterbags placem_collection'!U86)</f>
        <v>27.75</v>
      </c>
      <c r="AI305">
        <f>AVERAGE('WetLitterbags placem_collection'!R86,'WetLitterbags placem_collection'!T86)</f>
        <v>23.6</v>
      </c>
      <c r="AJ305">
        <f>INDEX(Coordinates!$B$2:$B$197,MATCH(G305,Coordinates!$J$2:$J$197,0))</f>
        <v>-3.295795005</v>
      </c>
      <c r="AK305">
        <f>INDEX(Coordinates!$C$2:$C$197,MATCH(G305,Coordinates!$J$2:$J$197,0))</f>
        <v>34.85232001</v>
      </c>
      <c r="AL305" t="str">
        <f>IF(ISNUMBER(SEARCH("C", 'WetLitterbags placem_collection'!W86)),"YES","NO")</f>
        <v>NO</v>
      </c>
      <c r="AM305" t="str">
        <f>IF(ISNUMBER(SEARCH("H", 'WetLitterbags placem_collection'!W86)),"YES","NO")</f>
        <v>NO</v>
      </c>
      <c r="AN305" t="str">
        <f>IF(ISNUMBER(SEARCH("R", 'WetLitterbags placem_collection'!W86)),"YES","NO")</f>
        <v>YES</v>
      </c>
    </row>
    <row r="306" spans="1:40" ht="15" customHeight="1">
      <c r="A306" s="258" t="s">
        <v>2460</v>
      </c>
      <c r="B306" s="263">
        <f>'Dry_Litterbag Placem_Collection'!A87</f>
        <v>85</v>
      </c>
      <c r="C306" s="263" t="str">
        <f>'Dry_Litterbag Placem_Collection'!B87</f>
        <v>Maswa</v>
      </c>
      <c r="D306" s="263" t="s">
        <v>2659</v>
      </c>
      <c r="E306" s="263" t="s">
        <v>2661</v>
      </c>
      <c r="F306" s="263">
        <v>3</v>
      </c>
      <c r="G306" s="264" t="str">
        <f>'Dry_Litterbag Placem_Collection'!C87</f>
        <v>Dry_W3_T5</v>
      </c>
      <c r="H306" s="265" t="s">
        <v>2541</v>
      </c>
      <c r="I306" s="272" t="s">
        <v>298</v>
      </c>
      <c r="J306" s="223" t="str">
        <f>'WetLitterbags placem_collection'!M87</f>
        <v>R315</v>
      </c>
      <c r="K306" s="225">
        <f>IFERROR(INDEX('Green_rooibos initial weight'!$C$5:$C$1749,MATCH(J306, 'Green_rooibos initial weight'!$A$5:$A$1749,0)),"")</f>
        <v>2.2440000000000002</v>
      </c>
      <c r="L306" s="225">
        <f>IFERROR(K306-(TBIcalc!$H$9+TBIcalc!$H$10),"")</f>
        <v>1.9942000000000002</v>
      </c>
      <c r="M306" s="391">
        <f>AVERAGE(Ashed_controlls!$K$12:$K$14)</f>
        <v>2.2816647271287041</v>
      </c>
      <c r="N306" s="225">
        <f t="shared" si="22"/>
        <v>1.9486990420115995</v>
      </c>
      <c r="O306" s="225">
        <f>IF(IFERROR(INDEX('Both teabags AfterWet'!$C$3:$C$841,MATCH(J306,'Both teabags AfterWet'!$A$3:$A$841,0)),"")="","",(IFERROR(INDEX('Both teabags AfterWet'!$C$3:$C$841,MATCH(J306,'Both teabags AfterWet'!$A$3:$A$841,0)),"")))</f>
        <v>1.4850000000000001</v>
      </c>
      <c r="P306" s="225">
        <f>IFERROR(IF(O306&gt;0,O306-(TBIcalc!$H$9),""),"")</f>
        <v>1.3344</v>
      </c>
      <c r="Q306" s="225">
        <f>IFERROR(INDEX('Ashed teabags wet'!$K$2:$K$821,MATCH(J306,'Ashed teabags wet'!$A$2:$A$821,0)),"")</f>
        <v>10.368550368550631</v>
      </c>
      <c r="R306" s="225">
        <f t="shared" si="26"/>
        <v>1.1960420638820604</v>
      </c>
      <c r="S306" s="226">
        <f>'WetLitterbags placem_collection'!E87</f>
        <v>42767</v>
      </c>
      <c r="T306" s="226">
        <f>IF('WetLitterbags placem_collection'!G87="","",'WetLitterbags placem_collection'!G87)</f>
        <v>42819</v>
      </c>
      <c r="U306" s="227">
        <f t="shared" si="23"/>
        <v>52</v>
      </c>
      <c r="V306" s="225">
        <f t="shared" si="24"/>
        <v>0.65980000000000016</v>
      </c>
      <c r="W306" s="225">
        <f t="shared" si="25"/>
        <v>0.75265697812953913</v>
      </c>
      <c r="X306">
        <f>IFERROR(INDEX(Rainfall_Wet!$O$2:$O$217,MATCH(B306, Rainfall_Wet!$A$2:$A$217,0)),"")</f>
        <v>194.93009798400001</v>
      </c>
      <c r="Y306" s="231">
        <v>38.691629007962128</v>
      </c>
      <c r="Z306" s="231">
        <v>26.81299763288143</v>
      </c>
      <c r="AA306" s="231">
        <v>34.495373359156439</v>
      </c>
      <c r="AB306" s="232" t="s">
        <v>2675</v>
      </c>
      <c r="AC306" s="231">
        <v>6.5483587974371602</v>
      </c>
      <c r="AD306">
        <f>IF('WetLitterbags placem_collection'!AB87="","",'WetLitterbags placem_collection'!AB87)</f>
        <v>8.6</v>
      </c>
      <c r="AE306">
        <f>IF('WetLitterbags placem_collection'!Z87="","",'WetLitterbags placem_collection'!Z87)</f>
        <v>3.8</v>
      </c>
      <c r="AF306" s="246" t="str">
        <f>IF('WetLitterbags placem_collection'!AA87="","",'WetLitterbags placem_collection'!AA87)</f>
        <v>O</v>
      </c>
      <c r="AG306">
        <f>IF('WetLitterbags placem_collection'!AC87="","",'WetLitterbags placem_collection'!AC87)</f>
        <v>0</v>
      </c>
      <c r="AH306" s="240">
        <f>AVERAGE('WetLitterbags placem_collection'!S87,'WetLitterbags placem_collection'!U87)</f>
        <v>26.55</v>
      </c>
      <c r="AI306">
        <f>AVERAGE('WetLitterbags placem_collection'!R87,'WetLitterbags placem_collection'!T87)</f>
        <v>23.15</v>
      </c>
      <c r="AJ306">
        <f>INDEX(Coordinates!$B$2:$B$197,MATCH(G306,Coordinates!$J$2:$J$197,0))</f>
        <v>-3.2957100119999998</v>
      </c>
      <c r="AK306">
        <f>INDEX(Coordinates!$C$2:$C$197,MATCH(G306,Coordinates!$J$2:$J$197,0))</f>
        <v>34.852283970000002</v>
      </c>
      <c r="AL306" t="str">
        <f>IF(ISNUMBER(SEARCH("C", 'WetLitterbags placem_collection'!W87)),"YES","NO")</f>
        <v>YES</v>
      </c>
      <c r="AM306" t="str">
        <f>IF(ISNUMBER(SEARCH("H", 'WetLitterbags placem_collection'!W87)),"YES","NO")</f>
        <v>YES</v>
      </c>
      <c r="AN306" t="str">
        <f>IF(ISNUMBER(SEARCH("R", 'WetLitterbags placem_collection'!W87)),"YES","NO")</f>
        <v>YES</v>
      </c>
    </row>
    <row r="307" spans="1:40" ht="15" customHeight="1">
      <c r="A307" s="258" t="s">
        <v>2460</v>
      </c>
      <c r="B307" s="263">
        <f>'Dry_Litterbag Placem_Collection'!A88</f>
        <v>86</v>
      </c>
      <c r="C307" s="263" t="str">
        <f>'Dry_Litterbag Placem_Collection'!B88</f>
        <v>Maswa</v>
      </c>
      <c r="D307" s="263" t="s">
        <v>2659</v>
      </c>
      <c r="E307" s="263" t="s">
        <v>2661</v>
      </c>
      <c r="F307" s="263">
        <v>3</v>
      </c>
      <c r="G307" s="264" t="str">
        <f>'Dry_Litterbag Placem_Collection'!C88</f>
        <v>Dry_W3_T6</v>
      </c>
      <c r="H307" s="265" t="s">
        <v>2541</v>
      </c>
      <c r="I307" s="272" t="s">
        <v>298</v>
      </c>
      <c r="J307" s="223" t="str">
        <f>'WetLitterbags placem_collection'!M88</f>
        <v>R1</v>
      </c>
      <c r="K307" s="225">
        <f>IFERROR(INDEX('Green_rooibos initial weight'!$C$5:$C$1749,MATCH(J307, 'Green_rooibos initial weight'!$A$5:$A$1749,0)),"")</f>
        <v>2.2109999999999999</v>
      </c>
      <c r="L307" s="225">
        <f>IFERROR(K307-(TBIcalc!$H$9+TBIcalc!$H$10),"")</f>
        <v>1.9611999999999998</v>
      </c>
      <c r="M307" s="391">
        <f>AVERAGE(Ashed_controlls!$K$12:$K$14)</f>
        <v>2.2816647271287041</v>
      </c>
      <c r="N307" s="225">
        <f t="shared" si="22"/>
        <v>1.9164519913715516</v>
      </c>
      <c r="O307" s="225">
        <f>IF(IFERROR(INDEX('Both teabags AfterWet'!$C$3:$C$841,MATCH(J307,'Both teabags AfterWet'!$A$3:$A$841,0)),"")="","",(IFERROR(INDEX('Both teabags AfterWet'!$C$3:$C$841,MATCH(J307,'Both teabags AfterWet'!$A$3:$A$841,0)),"")))</f>
        <v>0.38169999999999998</v>
      </c>
      <c r="P307" s="225">
        <f>IFERROR(IF(O307&gt;0,O307-(TBIcalc!$H$9),""),"")</f>
        <v>0.23109999999999997</v>
      </c>
      <c r="Q307" s="225" t="str">
        <f>IFERROR(INDEX('Ashed teabags wet'!$K$2:$K$821,MATCH(J307,'Ashed teabags wet'!$A$2:$A$821,0)),"")</f>
        <v/>
      </c>
      <c r="R307" s="225" t="str">
        <f t="shared" si="26"/>
        <v/>
      </c>
      <c r="S307" s="226">
        <f>'WetLitterbags placem_collection'!E88</f>
        <v>42767</v>
      </c>
      <c r="T307" s="226">
        <f>IF('WetLitterbags placem_collection'!G88="","",'WetLitterbags placem_collection'!G88)</f>
        <v>42819</v>
      </c>
      <c r="U307" s="227">
        <f t="shared" si="23"/>
        <v>52</v>
      </c>
      <c r="V307" s="225">
        <f t="shared" si="24"/>
        <v>1.7300999999999997</v>
      </c>
      <c r="W307" s="225" t="str">
        <f t="shared" si="25"/>
        <v/>
      </c>
      <c r="X307">
        <f>IFERROR(INDEX(Rainfall_Wet!$O$2:$O$217,MATCH(B307, Rainfall_Wet!$A$2:$A$217,0)),"")</f>
        <v>194.93009798400001</v>
      </c>
      <c r="Y307" s="231">
        <v>38.691629007962128</v>
      </c>
      <c r="Z307" s="231">
        <v>26.81299763288143</v>
      </c>
      <c r="AA307" s="231">
        <v>34.495373359156439</v>
      </c>
      <c r="AB307" s="232" t="s">
        <v>2675</v>
      </c>
      <c r="AC307" s="231">
        <v>7.5483587974371602</v>
      </c>
      <c r="AD307">
        <f>IF('WetLitterbags placem_collection'!AB88="","",'WetLitterbags placem_collection'!AB88)</f>
        <v>3.7</v>
      </c>
      <c r="AE307">
        <f>IF('WetLitterbags placem_collection'!Z88="","",'WetLitterbags placem_collection'!Z88)</f>
        <v>7.5</v>
      </c>
      <c r="AF307" s="246" t="str">
        <f>IF('WetLitterbags placem_collection'!AA88="","",'WetLitterbags placem_collection'!AA88)</f>
        <v>O</v>
      </c>
      <c r="AG307">
        <f>IF('WetLitterbags placem_collection'!AC88="","",'WetLitterbags placem_collection'!AC88)</f>
        <v>0</v>
      </c>
      <c r="AH307" s="240">
        <f>AVERAGE('WetLitterbags placem_collection'!S88,'WetLitterbags placem_collection'!U88)</f>
        <v>24.05</v>
      </c>
      <c r="AI307">
        <f>AVERAGE('WetLitterbags placem_collection'!R88,'WetLitterbags placem_collection'!T88)</f>
        <v>25.799999999999997</v>
      </c>
      <c r="AJ307">
        <f>INDEX(Coordinates!$B$2:$B$197,MATCH(G307,Coordinates!$J$2:$J$197,0))</f>
        <v>-3.2956140399999998</v>
      </c>
      <c r="AK307">
        <f>INDEX(Coordinates!$C$2:$C$197,MATCH(G307,Coordinates!$J$2:$J$197,0))</f>
        <v>34.852137030000002</v>
      </c>
      <c r="AL307" t="str">
        <f>IF(ISNUMBER(SEARCH("C", 'WetLitterbags placem_collection'!W88)),"YES","NO")</f>
        <v>YES</v>
      </c>
      <c r="AM307" t="str">
        <f>IF(ISNUMBER(SEARCH("H", 'WetLitterbags placem_collection'!W88)),"YES","NO")</f>
        <v>YES</v>
      </c>
      <c r="AN307" t="str">
        <f>IF(ISNUMBER(SEARCH("R", 'WetLitterbags placem_collection'!W88)),"YES","NO")</f>
        <v>YES</v>
      </c>
    </row>
    <row r="308" spans="1:40" ht="15" customHeight="1">
      <c r="A308" s="258" t="s">
        <v>2460</v>
      </c>
      <c r="B308" s="263">
        <f>'Dry_Litterbag Placem_Collection'!A89</f>
        <v>87</v>
      </c>
      <c r="C308" s="263" t="str">
        <f>'Dry_Litterbag Placem_Collection'!B89</f>
        <v>Maswa</v>
      </c>
      <c r="D308" s="263" t="s">
        <v>2659</v>
      </c>
      <c r="E308" s="263" t="s">
        <v>2661</v>
      </c>
      <c r="F308" s="263">
        <v>3</v>
      </c>
      <c r="G308" s="264" t="str">
        <f>'Dry_Litterbag Placem_Collection'!C89</f>
        <v>Dry_W3_T7</v>
      </c>
      <c r="H308" s="265" t="s">
        <v>2541</v>
      </c>
      <c r="I308" s="272" t="s">
        <v>298</v>
      </c>
      <c r="J308" s="223" t="str">
        <f>'WetLitterbags placem_collection'!M89</f>
        <v>R408</v>
      </c>
      <c r="K308" s="225">
        <f>IFERROR(INDEX('Green_rooibos initial weight'!$C$5:$C$1749,MATCH(J308, 'Green_rooibos initial weight'!$A$5:$A$1749,0)),"")</f>
        <v>2.2480000000000002</v>
      </c>
      <c r="L308" s="225">
        <f>IFERROR(K308-(TBIcalc!$H$9+TBIcalc!$H$10),"")</f>
        <v>1.9982000000000002</v>
      </c>
      <c r="M308" s="391">
        <f>AVERAGE(Ashed_controlls!$K$12:$K$14)</f>
        <v>2.2816647271287041</v>
      </c>
      <c r="N308" s="225">
        <f t="shared" si="22"/>
        <v>1.9526077754225144</v>
      </c>
      <c r="O308" s="225">
        <f>IF(IFERROR(INDEX('Both teabags AfterWet'!$C$3:$C$841,MATCH(J308,'Both teabags AfterWet'!$A$3:$A$841,0)),"")="","",(IFERROR(INDEX('Both teabags AfterWet'!$C$3:$C$841,MATCH(J308,'Both teabags AfterWet'!$A$3:$A$841,0)),"")))</f>
        <v>0.3599</v>
      </c>
      <c r="P308" s="225">
        <f>IFERROR(IF(O308&gt;0,O308-(TBIcalc!$H$9),""),"")</f>
        <v>0.20929999999999999</v>
      </c>
      <c r="Q308" s="225" t="str">
        <f>IFERROR(INDEX('Ashed teabags wet'!$K$2:$K$821,MATCH(J308,'Ashed teabags wet'!$A$2:$A$821,0)),"")</f>
        <v/>
      </c>
      <c r="R308" s="225" t="str">
        <f t="shared" si="26"/>
        <v/>
      </c>
      <c r="S308" s="226">
        <f>'WetLitterbags placem_collection'!E89</f>
        <v>42767</v>
      </c>
      <c r="T308" s="226">
        <f>IF('WetLitterbags placem_collection'!G89="","",'WetLitterbags placem_collection'!G89)</f>
        <v>42819</v>
      </c>
      <c r="U308" s="227">
        <f t="shared" si="23"/>
        <v>52</v>
      </c>
      <c r="V308" s="225">
        <f t="shared" si="24"/>
        <v>1.7889000000000002</v>
      </c>
      <c r="W308" s="225" t="str">
        <f t="shared" si="25"/>
        <v/>
      </c>
      <c r="X308">
        <f>IFERROR(INDEX(Rainfall_Wet!$O$2:$O$217,MATCH(B308, Rainfall_Wet!$A$2:$A$217,0)),"")</f>
        <v>194.93009798400001</v>
      </c>
      <c r="Y308" s="231">
        <v>38.691629007962128</v>
      </c>
      <c r="Z308" s="231">
        <v>26.81299763288143</v>
      </c>
      <c r="AA308" s="231">
        <v>34.495373359156439</v>
      </c>
      <c r="AB308" s="232" t="s">
        <v>2675</v>
      </c>
      <c r="AC308" s="231">
        <v>8.5483587974371602</v>
      </c>
      <c r="AD308">
        <f>IF('WetLitterbags placem_collection'!AB89="","",'WetLitterbags placem_collection'!AB89)</f>
        <v>7.5</v>
      </c>
      <c r="AE308">
        <f>IF('WetLitterbags placem_collection'!Z89="","",'WetLitterbags placem_collection'!Z89)</f>
        <v>12.6</v>
      </c>
      <c r="AF308" s="246" t="str">
        <f>IF('WetLitterbags placem_collection'!AA89="","",'WetLitterbags placem_collection'!AA89)</f>
        <v>O</v>
      </c>
      <c r="AG308">
        <f>IF('WetLitterbags placem_collection'!AC89="","",'WetLitterbags placem_collection'!AC89)</f>
        <v>1</v>
      </c>
      <c r="AH308" s="240">
        <f>AVERAGE('WetLitterbags placem_collection'!S89,'WetLitterbags placem_collection'!U89)</f>
        <v>25.85</v>
      </c>
      <c r="AI308">
        <f>AVERAGE('WetLitterbags placem_collection'!R89,'WetLitterbags placem_collection'!T89)</f>
        <v>21.55</v>
      </c>
      <c r="AJ308">
        <f>INDEX(Coordinates!$B$2:$B$197,MATCH(G308,Coordinates!$J$2:$J$197,0))</f>
        <v>-3.295904975</v>
      </c>
      <c r="AK308">
        <f>INDEX(Coordinates!$C$2:$C$197,MATCH(G308,Coordinates!$J$2:$J$197,0))</f>
        <v>34.852136029999997</v>
      </c>
      <c r="AL308" t="str">
        <f>IF(ISNUMBER(SEARCH("C", 'WetLitterbags placem_collection'!W89)),"YES","NO")</f>
        <v>YES</v>
      </c>
      <c r="AM308" t="str">
        <f>IF(ISNUMBER(SEARCH("H", 'WetLitterbags placem_collection'!W89)),"YES","NO")</f>
        <v>NO</v>
      </c>
      <c r="AN308" t="str">
        <f>IF(ISNUMBER(SEARCH("R", 'WetLitterbags placem_collection'!W89)),"YES","NO")</f>
        <v>YES</v>
      </c>
    </row>
    <row r="309" spans="1:40" ht="15" customHeight="1">
      <c r="A309" s="258" t="s">
        <v>2460</v>
      </c>
      <c r="B309" s="263">
        <f>'Dry_Litterbag Placem_Collection'!A90</f>
        <v>88</v>
      </c>
      <c r="C309" s="263" t="str">
        <f>'Dry_Litterbag Placem_Collection'!B90</f>
        <v>Maswa</v>
      </c>
      <c r="D309" s="263" t="s">
        <v>2659</v>
      </c>
      <c r="E309" s="263" t="s">
        <v>2661</v>
      </c>
      <c r="F309" s="263">
        <v>3</v>
      </c>
      <c r="G309" s="264" t="str">
        <f>'Dry_Litterbag Placem_Collection'!C90</f>
        <v>Dry_W3_T8</v>
      </c>
      <c r="H309" s="265" t="s">
        <v>2541</v>
      </c>
      <c r="I309" s="272" t="s">
        <v>298</v>
      </c>
      <c r="J309" s="223" t="str">
        <f>'WetLitterbags placem_collection'!M90</f>
        <v>R385</v>
      </c>
      <c r="K309" s="225">
        <f>IFERROR(INDEX('Green_rooibos initial weight'!$C$5:$C$1749,MATCH(J309, 'Green_rooibos initial weight'!$A$5:$A$1749,0)),"")</f>
        <v>2.2559999999999998</v>
      </c>
      <c r="L309" s="225">
        <f>IFERROR(K309-(TBIcalc!$H$9+TBIcalc!$H$10),"")</f>
        <v>2.0061999999999998</v>
      </c>
      <c r="M309" s="391">
        <f>AVERAGE(Ashed_controlls!$K$12:$K$14)</f>
        <v>2.2816647271287041</v>
      </c>
      <c r="N309" s="225">
        <f t="shared" si="22"/>
        <v>1.9604252422443438</v>
      </c>
      <c r="O309" s="225" t="str">
        <f>IF(IFERROR(INDEX('Both teabags AfterWet'!$C$3:$C$841,MATCH(J309,'Both teabags AfterWet'!$A$3:$A$841,0)),"")="","",(IFERROR(INDEX('Both teabags AfterWet'!$C$3:$C$841,MATCH(J309,'Both teabags AfterWet'!$A$3:$A$841,0)),"")))</f>
        <v/>
      </c>
      <c r="P309" s="225" t="str">
        <f>IFERROR(IF(O309&gt;0,O309-(TBIcalc!$H$9),""),"")</f>
        <v/>
      </c>
      <c r="Q309" s="225" t="str">
        <f>IFERROR(INDEX('Ashed teabags wet'!$K$2:$K$821,MATCH(J309,'Ashed teabags wet'!$A$2:$A$821,0)),"")</f>
        <v/>
      </c>
      <c r="R309" s="225" t="str">
        <f t="shared" si="26"/>
        <v/>
      </c>
      <c r="S309" s="226">
        <f>'WetLitterbags placem_collection'!E90</f>
        <v>42767</v>
      </c>
      <c r="T309" s="226" t="str">
        <f>IF('WetLitterbags placem_collection'!G90="","",'WetLitterbags placem_collection'!G90)</f>
        <v/>
      </c>
      <c r="U309" s="227" t="str">
        <f t="shared" si="23"/>
        <v/>
      </c>
      <c r="V309" s="225" t="str">
        <f t="shared" si="24"/>
        <v/>
      </c>
      <c r="W309" s="225" t="str">
        <f t="shared" si="25"/>
        <v/>
      </c>
      <c r="X309" t="str">
        <f>IFERROR(INDEX(Rainfall_Wet!$O$2:$O$217,MATCH(B309, Rainfall_Wet!$A$2:$A$217,0)),"")</f>
        <v/>
      </c>
      <c r="Y309" s="231">
        <v>38.691629007962128</v>
      </c>
      <c r="Z309" s="231">
        <v>26.81299763288143</v>
      </c>
      <c r="AA309" s="231">
        <v>34.495373359156439</v>
      </c>
      <c r="AB309" s="232" t="s">
        <v>2675</v>
      </c>
      <c r="AC309" s="231">
        <v>9.5483587974371602</v>
      </c>
      <c r="AD309" t="str">
        <f>IF('WetLitterbags placem_collection'!AB90="","",'WetLitterbags placem_collection'!AB90)</f>
        <v/>
      </c>
      <c r="AE309" t="str">
        <f>IF('WetLitterbags placem_collection'!Z90="","",'WetLitterbags placem_collection'!Z90)</f>
        <v/>
      </c>
      <c r="AF309" s="246" t="str">
        <f>IF('WetLitterbags placem_collection'!AA90="","",'WetLitterbags placem_collection'!AA90)</f>
        <v/>
      </c>
      <c r="AG309" t="str">
        <f>IF('WetLitterbags placem_collection'!AC90="","",'WetLitterbags placem_collection'!AC90)</f>
        <v/>
      </c>
      <c r="AH309" s="240">
        <f>AVERAGE('WetLitterbags placem_collection'!S90,'WetLitterbags placem_collection'!U90)</f>
        <v>29.7</v>
      </c>
      <c r="AI309">
        <f>AVERAGE('WetLitterbags placem_collection'!R90,'WetLitterbags placem_collection'!T90)</f>
        <v>21.4</v>
      </c>
      <c r="AJ309">
        <f>INDEX(Coordinates!$B$2:$B$197,MATCH(G309,Coordinates!$J$2:$J$197,0))</f>
        <v>-3.2959530039999998</v>
      </c>
      <c r="AK309">
        <f>INDEX(Coordinates!$C$2:$C$197,MATCH(G309,Coordinates!$J$2:$J$197,0))</f>
        <v>34.85242504</v>
      </c>
      <c r="AL309" t="str">
        <f>IF(ISNUMBER(SEARCH("C", 'WetLitterbags placem_collection'!W90)),"YES","NO")</f>
        <v>NO</v>
      </c>
      <c r="AM309" t="str">
        <f>IF(ISNUMBER(SEARCH("H", 'WetLitterbags placem_collection'!W90)),"YES","NO")</f>
        <v>NO</v>
      </c>
      <c r="AN309" t="str">
        <f>IF(ISNUMBER(SEARCH("R", 'WetLitterbags placem_collection'!W90)),"YES","NO")</f>
        <v>NO</v>
      </c>
    </row>
    <row r="310" spans="1:40" ht="15" customHeight="1">
      <c r="A310" s="258" t="s">
        <v>2460</v>
      </c>
      <c r="B310" s="263">
        <f>'Dry_Litterbag Placem_Collection'!A91</f>
        <v>89</v>
      </c>
      <c r="C310" s="263" t="str">
        <f>'Dry_Litterbag Placem_Collection'!B91</f>
        <v>Maswa</v>
      </c>
      <c r="D310" s="263" t="s">
        <v>2659</v>
      </c>
      <c r="E310" s="263" t="s">
        <v>2661</v>
      </c>
      <c r="F310" s="263">
        <v>4</v>
      </c>
      <c r="G310" s="264" t="str">
        <f>'Dry_Litterbag Placem_Collection'!C91</f>
        <v>Dry_W4_T1</v>
      </c>
      <c r="H310" s="265" t="s">
        <v>2541</v>
      </c>
      <c r="I310" s="272" t="s">
        <v>298</v>
      </c>
      <c r="J310" s="223" t="str">
        <f>'WetLitterbags placem_collection'!M91</f>
        <v>R196</v>
      </c>
      <c r="K310" s="225">
        <f>IFERROR(INDEX('Green_rooibos initial weight'!$C$5:$C$1749,MATCH(J310, 'Green_rooibos initial weight'!$A$5:$A$1749,0)),"")</f>
        <v>2.242</v>
      </c>
      <c r="L310" s="225">
        <f>IFERROR(K310-(TBIcalc!$H$9+TBIcalc!$H$10),"")</f>
        <v>1.9922</v>
      </c>
      <c r="M310" s="391">
        <f>AVERAGE(Ashed_controlls!$K$12:$K$14)</f>
        <v>2.2816647271287041</v>
      </c>
      <c r="N310" s="225">
        <f t="shared" si="22"/>
        <v>1.9467446753061419</v>
      </c>
      <c r="O310" s="225">
        <f>IF(IFERROR(INDEX('Both teabags AfterWet'!$C$3:$C$841,MATCH(J310,'Both teabags AfterWet'!$A$3:$A$841,0)),"")="","",(IFERROR(INDEX('Both teabags AfterWet'!$C$3:$C$841,MATCH(J310,'Both teabags AfterWet'!$A$3:$A$841,0)),"")))</f>
        <v>0.17399999999999999</v>
      </c>
      <c r="P310" s="225">
        <f>IFERROR(IF(O310&gt;0,O310-(TBIcalc!$H$9),""),"")</f>
        <v>2.3399999999999976E-2</v>
      </c>
      <c r="Q310" s="225" t="str">
        <f>IFERROR(INDEX('Ashed teabags wet'!$K$2:$K$821,MATCH(J310,'Ashed teabags wet'!$A$2:$A$821,0)),"")</f>
        <v/>
      </c>
      <c r="R310" s="225" t="str">
        <f t="shared" si="26"/>
        <v/>
      </c>
      <c r="S310" s="226">
        <f>'WetLitterbags placem_collection'!E91</f>
        <v>42767</v>
      </c>
      <c r="T310" s="226">
        <f>IF('WetLitterbags placem_collection'!G91="","",'WetLitterbags placem_collection'!G91)</f>
        <v>42819</v>
      </c>
      <c r="U310" s="227">
        <f t="shared" si="23"/>
        <v>52</v>
      </c>
      <c r="V310" s="225">
        <f t="shared" si="24"/>
        <v>1.9687999999999999</v>
      </c>
      <c r="W310" s="225" t="str">
        <f t="shared" si="25"/>
        <v/>
      </c>
      <c r="X310">
        <f>IFERROR(INDEX(Rainfall_Wet!$O$2:$O$217,MATCH(B310, Rainfall_Wet!$A$2:$A$217,0)),"")</f>
        <v>194.93009798400001</v>
      </c>
      <c r="Y310" s="231">
        <v>28.145762029394</v>
      </c>
      <c r="Z310" s="231">
        <v>25.085564727199518</v>
      </c>
      <c r="AA310" s="231">
        <v>46.768673243406489</v>
      </c>
      <c r="AB310" s="232" t="s">
        <v>2670</v>
      </c>
      <c r="AC310" s="231">
        <v>2.1716214884179394</v>
      </c>
      <c r="AD310">
        <f>IF('WetLitterbags placem_collection'!AB91="","",'WetLitterbags placem_collection'!AB91)</f>
        <v>7.3</v>
      </c>
      <c r="AE310">
        <f>IF('WetLitterbags placem_collection'!Z91="","",'WetLitterbags placem_collection'!Z91)</f>
        <v>35.799999999999997</v>
      </c>
      <c r="AF310" s="246" t="str">
        <f>IF('WetLitterbags placem_collection'!AA91="","",'WetLitterbags placem_collection'!AA91)</f>
        <v>O</v>
      </c>
      <c r="AG310">
        <f>IF('WetLitterbags placem_collection'!AC91="","",'WetLitterbags placem_collection'!AC91)</f>
        <v>0</v>
      </c>
      <c r="AH310" s="240">
        <f>AVERAGE('WetLitterbags placem_collection'!S91,'WetLitterbags placem_collection'!U91)</f>
        <v>20.95</v>
      </c>
      <c r="AI310">
        <f>AVERAGE('WetLitterbags placem_collection'!R91,'WetLitterbags placem_collection'!T91)</f>
        <v>24.45</v>
      </c>
      <c r="AJ310">
        <f>INDEX(Coordinates!$B$2:$B$197,MATCH(G310,Coordinates!$J$2:$J$197,0))</f>
        <v>-3.2966709980000002</v>
      </c>
      <c r="AK310">
        <f>INDEX(Coordinates!$C$2:$C$197,MATCH(G310,Coordinates!$J$2:$J$197,0))</f>
        <v>34.854407019999996</v>
      </c>
      <c r="AL310" t="str">
        <f>IF(ISNUMBER(SEARCH("C", 'WetLitterbags placem_collection'!W91)),"YES","NO")</f>
        <v>NO</v>
      </c>
      <c r="AM310" t="str">
        <f>IF(ISNUMBER(SEARCH("H", 'WetLitterbags placem_collection'!W91)),"YES","NO")</f>
        <v>YES</v>
      </c>
      <c r="AN310" t="str">
        <f>IF(ISNUMBER(SEARCH("R", 'WetLitterbags placem_collection'!W91)),"YES","NO")</f>
        <v>YES</v>
      </c>
    </row>
    <row r="311" spans="1:40" ht="15" customHeight="1">
      <c r="A311" s="258" t="s">
        <v>2460</v>
      </c>
      <c r="B311" s="263">
        <f>'Dry_Litterbag Placem_Collection'!A92</f>
        <v>90</v>
      </c>
      <c r="C311" s="263" t="str">
        <f>'Dry_Litterbag Placem_Collection'!B92</f>
        <v>Maswa</v>
      </c>
      <c r="D311" s="263" t="s">
        <v>2659</v>
      </c>
      <c r="E311" s="263" t="s">
        <v>2661</v>
      </c>
      <c r="F311" s="263">
        <v>4</v>
      </c>
      <c r="G311" s="264" t="str">
        <f>'Dry_Litterbag Placem_Collection'!C92</f>
        <v>Dry_W4_T2</v>
      </c>
      <c r="H311" s="265" t="s">
        <v>2541</v>
      </c>
      <c r="I311" s="272" t="s">
        <v>298</v>
      </c>
      <c r="J311" s="223" t="str">
        <f>'WetLitterbags placem_collection'!M92</f>
        <v>R94</v>
      </c>
      <c r="K311" s="225">
        <f>IFERROR(INDEX('Green_rooibos initial weight'!$C$5:$C$1749,MATCH(J311, 'Green_rooibos initial weight'!$A$5:$A$1749,0)),"")</f>
        <v>2.2770000000000001</v>
      </c>
      <c r="L311" s="225">
        <f>IFERROR(K311-(TBIcalc!$H$9+TBIcalc!$H$10),"")</f>
        <v>2.0272000000000001</v>
      </c>
      <c r="M311" s="391">
        <f>AVERAGE(Ashed_controlls!$K$12:$K$14)</f>
        <v>2.2816647271287041</v>
      </c>
      <c r="N311" s="225">
        <f t="shared" si="22"/>
        <v>1.9809460926516471</v>
      </c>
      <c r="O311" s="225">
        <f>IF(IFERROR(INDEX('Both teabags AfterWet'!$C$3:$C$841,MATCH(J311,'Both teabags AfterWet'!$A$3:$A$841,0)),"")="","",(IFERROR(INDEX('Both teabags AfterWet'!$C$3:$C$841,MATCH(J311,'Both teabags AfterWet'!$A$3:$A$841,0)),"")))</f>
        <v>1.7455000000000001</v>
      </c>
      <c r="P311" s="225">
        <f>IFERROR(IF(O311&gt;0,O311-(TBIcalc!$H$9),""),"")</f>
        <v>1.5949</v>
      </c>
      <c r="Q311" s="225">
        <f>IFERROR(INDEX('Ashed teabags wet'!$K$2:$K$821,MATCH(J311,'Ashed teabags wet'!$A$2:$A$821,0)),"")</f>
        <v>4.0694789081900105</v>
      </c>
      <c r="R311" s="225">
        <f t="shared" si="26"/>
        <v>1.5299958808932774</v>
      </c>
      <c r="S311" s="226">
        <f>'WetLitterbags placem_collection'!E92</f>
        <v>42767</v>
      </c>
      <c r="T311" s="226">
        <f>IF('WetLitterbags placem_collection'!G92="","",'WetLitterbags placem_collection'!G92)</f>
        <v>42819</v>
      </c>
      <c r="U311" s="227">
        <f t="shared" si="23"/>
        <v>52</v>
      </c>
      <c r="V311" s="225">
        <f t="shared" si="24"/>
        <v>0.43230000000000013</v>
      </c>
      <c r="W311" s="225">
        <f t="shared" si="25"/>
        <v>0.45095021175836969</v>
      </c>
      <c r="X311">
        <f>IFERROR(INDEX(Rainfall_Wet!$O$2:$O$217,MATCH(B311, Rainfall_Wet!$A$2:$A$217,0)),"")</f>
        <v>194.93009798400001</v>
      </c>
      <c r="Y311" s="231">
        <v>28.145762029394</v>
      </c>
      <c r="Z311" s="231">
        <v>25.085564727199518</v>
      </c>
      <c r="AA311" s="231">
        <v>46.768673243406489</v>
      </c>
      <c r="AB311" s="232" t="s">
        <v>2670</v>
      </c>
      <c r="AC311" s="231">
        <v>3.1716214884179399</v>
      </c>
      <c r="AD311">
        <f>IF('WetLitterbags placem_collection'!AB92="","",'WetLitterbags placem_collection'!AB92)</f>
        <v>7.7</v>
      </c>
      <c r="AE311">
        <f>IF('WetLitterbags placem_collection'!Z92="","",'WetLitterbags placem_collection'!Z92)</f>
        <v>30.4</v>
      </c>
      <c r="AF311" s="246" t="str">
        <f>IF('WetLitterbags placem_collection'!AA92="","",'WetLitterbags placem_collection'!AA92)</f>
        <v>O</v>
      </c>
      <c r="AG311">
        <f>IF('WetLitterbags placem_collection'!AC92="","",'WetLitterbags placem_collection'!AC92)</f>
        <v>0</v>
      </c>
      <c r="AH311" s="240">
        <f>AVERAGE('WetLitterbags placem_collection'!S92,'WetLitterbags placem_collection'!U92)</f>
        <v>27.5</v>
      </c>
      <c r="AI311">
        <f>AVERAGE('WetLitterbags placem_collection'!R92,'WetLitterbags placem_collection'!T92)</f>
        <v>23.85</v>
      </c>
      <c r="AJ311">
        <f>INDEX(Coordinates!$B$2:$B$197,MATCH(G311,Coordinates!$J$2:$J$197,0))</f>
        <v>-3.2966860009999999</v>
      </c>
      <c r="AK311">
        <f>INDEX(Coordinates!$C$2:$C$197,MATCH(G311,Coordinates!$J$2:$J$197,0))</f>
        <v>34.854371989999997</v>
      </c>
      <c r="AL311" t="str">
        <f>IF(ISNUMBER(SEARCH("C", 'WetLitterbags placem_collection'!W92)),"YES","NO")</f>
        <v>NO</v>
      </c>
      <c r="AM311" t="str">
        <f>IF(ISNUMBER(SEARCH("H", 'WetLitterbags placem_collection'!W92)),"YES","NO")</f>
        <v>NO</v>
      </c>
      <c r="AN311" t="str">
        <f>IF(ISNUMBER(SEARCH("R", 'WetLitterbags placem_collection'!W92)),"YES","NO")</f>
        <v>YES</v>
      </c>
    </row>
    <row r="312" spans="1:40" ht="15" customHeight="1">
      <c r="A312" s="258" t="s">
        <v>2460</v>
      </c>
      <c r="B312" s="263">
        <f>'Dry_Litterbag Placem_Collection'!A93</f>
        <v>91</v>
      </c>
      <c r="C312" s="263" t="str">
        <f>'Dry_Litterbag Placem_Collection'!B93</f>
        <v>Maswa</v>
      </c>
      <c r="D312" s="263" t="s">
        <v>2659</v>
      </c>
      <c r="E312" s="263" t="s">
        <v>2661</v>
      </c>
      <c r="F312" s="263">
        <v>4</v>
      </c>
      <c r="G312" s="264" t="str">
        <f>'Dry_Litterbag Placem_Collection'!C93</f>
        <v>Dry_W4_T3</v>
      </c>
      <c r="H312" s="265" t="s">
        <v>2541</v>
      </c>
      <c r="I312" s="272" t="s">
        <v>298</v>
      </c>
      <c r="J312" s="223" t="str">
        <f>'WetLitterbags placem_collection'!M93</f>
        <v>R343</v>
      </c>
      <c r="K312" s="225">
        <f>IFERROR(INDEX('Green_rooibos initial weight'!$C$5:$C$1749,MATCH(J312, 'Green_rooibos initial weight'!$A$5:$A$1749,0)),"")</f>
        <v>2.2429999999999999</v>
      </c>
      <c r="L312" s="225">
        <f>IFERROR(K312-(TBIcalc!$H$9+TBIcalc!$H$10),"")</f>
        <v>1.9931999999999999</v>
      </c>
      <c r="M312" s="391">
        <f>AVERAGE(Ashed_controlls!$K$12:$K$14)</f>
        <v>2.2816647271287041</v>
      </c>
      <c r="N312" s="225">
        <f t="shared" si="22"/>
        <v>1.9477218586588705</v>
      </c>
      <c r="O312" s="225">
        <f>IF(IFERROR(INDEX('Both teabags AfterWet'!$C$3:$C$841,MATCH(J312,'Both teabags AfterWet'!$A$3:$A$841,0)),"")="","",(IFERROR(INDEX('Both teabags AfterWet'!$C$3:$C$841,MATCH(J312,'Both teabags AfterWet'!$A$3:$A$841,0)),"")))</f>
        <v>0.16200000000000001</v>
      </c>
      <c r="P312" s="225">
        <f>IFERROR(IF(O312&gt;0,O312-(TBIcalc!$H$9),""),"")</f>
        <v>1.1399999999999993E-2</v>
      </c>
      <c r="Q312" s="225">
        <f>IFERROR(INDEX('Ashed teabags wet'!$K$2:$K$821,MATCH(J312,'Ashed teabags wet'!$A$2:$A$821,0)),"")</f>
        <v>83.97683397683403</v>
      </c>
      <c r="R312" s="225">
        <f t="shared" si="26"/>
        <v>1.8266409266409194E-3</v>
      </c>
      <c r="S312" s="226">
        <f>'WetLitterbags placem_collection'!E93</f>
        <v>42767</v>
      </c>
      <c r="T312" s="226">
        <f>IF('WetLitterbags placem_collection'!G93="","",'WetLitterbags placem_collection'!G93)</f>
        <v>42819</v>
      </c>
      <c r="U312" s="227">
        <f t="shared" si="23"/>
        <v>52</v>
      </c>
      <c r="V312" s="225">
        <f t="shared" si="24"/>
        <v>1.9817999999999998</v>
      </c>
      <c r="W312" s="225">
        <f t="shared" si="25"/>
        <v>1.9458952177322295</v>
      </c>
      <c r="X312">
        <f>IFERROR(INDEX(Rainfall_Wet!$O$2:$O$217,MATCH(B312, Rainfall_Wet!$A$2:$A$217,0)),"")</f>
        <v>194.93009798400001</v>
      </c>
      <c r="Y312" s="231">
        <v>28.145762029394</v>
      </c>
      <c r="Z312" s="231">
        <v>25.085564727199518</v>
      </c>
      <c r="AA312" s="231">
        <v>46.768673243406489</v>
      </c>
      <c r="AB312" s="232" t="s">
        <v>2670</v>
      </c>
      <c r="AC312" s="231">
        <v>4.1716214884179399</v>
      </c>
      <c r="AD312">
        <f>IF('WetLitterbags placem_collection'!AB93="","",'WetLitterbags placem_collection'!AB93)</f>
        <v>6.1</v>
      </c>
      <c r="AE312">
        <f>IF('WetLitterbags placem_collection'!Z93="","",'WetLitterbags placem_collection'!Z93)</f>
        <v>39.4</v>
      </c>
      <c r="AF312" s="246" t="str">
        <f>IF('WetLitterbags placem_collection'!AA93="","",'WetLitterbags placem_collection'!AA93)</f>
        <v>O</v>
      </c>
      <c r="AG312">
        <f>IF('WetLitterbags placem_collection'!AC93="","",'WetLitterbags placem_collection'!AC93)</f>
        <v>1</v>
      </c>
      <c r="AH312" s="240">
        <f>AVERAGE('WetLitterbags placem_collection'!S93,'WetLitterbags placem_collection'!U93)</f>
        <v>26.4</v>
      </c>
      <c r="AI312">
        <f>AVERAGE('WetLitterbags placem_collection'!R93,'WetLitterbags placem_collection'!T93)</f>
        <v>24.35</v>
      </c>
      <c r="AJ312">
        <f>INDEX(Coordinates!$B$2:$B$197,MATCH(G312,Coordinates!$J$2:$J$197,0))</f>
        <v>-3.2966180239999998</v>
      </c>
      <c r="AK312">
        <f>INDEX(Coordinates!$C$2:$C$197,MATCH(G312,Coordinates!$J$2:$J$197,0))</f>
        <v>34.854464020000002</v>
      </c>
      <c r="AL312" t="str">
        <f>IF(ISNUMBER(SEARCH("C", 'WetLitterbags placem_collection'!W93)),"YES","NO")</f>
        <v>YES</v>
      </c>
      <c r="AM312" t="str">
        <f>IF(ISNUMBER(SEARCH("H", 'WetLitterbags placem_collection'!W93)),"YES","NO")</f>
        <v>YES</v>
      </c>
      <c r="AN312" t="str">
        <f>IF(ISNUMBER(SEARCH("R", 'WetLitterbags placem_collection'!W93)),"YES","NO")</f>
        <v>NO</v>
      </c>
    </row>
    <row r="313" spans="1:40" ht="15" customHeight="1">
      <c r="A313" s="258" t="s">
        <v>2460</v>
      </c>
      <c r="B313" s="263">
        <f>'Dry_Litterbag Placem_Collection'!A94</f>
        <v>92</v>
      </c>
      <c r="C313" s="263" t="str">
        <f>'Dry_Litterbag Placem_Collection'!B94</f>
        <v>Maswa</v>
      </c>
      <c r="D313" s="263" t="s">
        <v>2659</v>
      </c>
      <c r="E313" s="263" t="s">
        <v>2661</v>
      </c>
      <c r="F313" s="263">
        <v>4</v>
      </c>
      <c r="G313" s="264" t="str">
        <f>'Dry_Litterbag Placem_Collection'!C94</f>
        <v>Dry_W4_T4</v>
      </c>
      <c r="H313" s="265" t="s">
        <v>2541</v>
      </c>
      <c r="I313" s="272" t="s">
        <v>298</v>
      </c>
      <c r="J313" s="223" t="str">
        <f>'WetLitterbags placem_collection'!M94</f>
        <v>R445</v>
      </c>
      <c r="K313" s="225">
        <f>IFERROR(INDEX('Green_rooibos initial weight'!$C$5:$C$1749,MATCH(J313, 'Green_rooibos initial weight'!$A$5:$A$1749,0)),"")</f>
        <v>2.2389999999999999</v>
      </c>
      <c r="L313" s="225">
        <f>IFERROR(K313-(TBIcalc!$H$9+TBIcalc!$H$10),"")</f>
        <v>1.9891999999999999</v>
      </c>
      <c r="M313" s="391">
        <f>AVERAGE(Ashed_controlls!$K$12:$K$14)</f>
        <v>2.2816647271287041</v>
      </c>
      <c r="N313" s="225">
        <f t="shared" si="22"/>
        <v>1.9438131252479556</v>
      </c>
      <c r="O313" s="225">
        <f>IF(IFERROR(INDEX('Both teabags AfterWet'!$C$3:$C$841,MATCH(J313,'Both teabags AfterWet'!$A$3:$A$841,0)),"")="","",(IFERROR(INDEX('Both teabags AfterWet'!$C$3:$C$841,MATCH(J313,'Both teabags AfterWet'!$A$3:$A$841,0)),"")))</f>
        <v>0.31</v>
      </c>
      <c r="P313" s="225">
        <f>IFERROR(IF(O313&gt;0,O313-(TBIcalc!$H$9),""),"")</f>
        <v>0.15939999999999999</v>
      </c>
      <c r="Q313" s="225" t="str">
        <f>IFERROR(INDEX('Ashed teabags wet'!$K$2:$K$821,MATCH(J313,'Ashed teabags wet'!$A$2:$A$821,0)),"")</f>
        <v/>
      </c>
      <c r="R313" s="225" t="str">
        <f t="shared" si="26"/>
        <v/>
      </c>
      <c r="S313" s="226">
        <f>'WetLitterbags placem_collection'!E94</f>
        <v>42767</v>
      </c>
      <c r="T313" s="226">
        <f>IF('WetLitterbags placem_collection'!G94="","",'WetLitterbags placem_collection'!G94)</f>
        <v>42819</v>
      </c>
      <c r="U313" s="227">
        <f t="shared" si="23"/>
        <v>52</v>
      </c>
      <c r="V313" s="225">
        <f t="shared" si="24"/>
        <v>1.8297999999999999</v>
      </c>
      <c r="W313" s="225" t="str">
        <f t="shared" si="25"/>
        <v/>
      </c>
      <c r="X313">
        <f>IFERROR(INDEX(Rainfall_Wet!$O$2:$O$217,MATCH(B313, Rainfall_Wet!$A$2:$A$217,0)),"")</f>
        <v>194.93009798400001</v>
      </c>
      <c r="Y313" s="231">
        <v>28.145762029394</v>
      </c>
      <c r="Z313" s="231">
        <v>25.085564727199518</v>
      </c>
      <c r="AA313" s="231">
        <v>46.768673243406489</v>
      </c>
      <c r="AB313" s="232" t="s">
        <v>2670</v>
      </c>
      <c r="AC313" s="231">
        <v>5.1716214884179399</v>
      </c>
      <c r="AD313">
        <f>IF('WetLitterbags placem_collection'!AB94="","",'WetLitterbags placem_collection'!AB94)</f>
        <v>7.7</v>
      </c>
      <c r="AE313">
        <f>IF('WetLitterbags placem_collection'!Z94="","",'WetLitterbags placem_collection'!Z94)</f>
        <v>24.8</v>
      </c>
      <c r="AF313" s="246" t="str">
        <f>IF('WetLitterbags placem_collection'!AA94="","",'WetLitterbags placem_collection'!AA94)</f>
        <v>O</v>
      </c>
      <c r="AG313">
        <f>IF('WetLitterbags placem_collection'!AC94="","",'WetLitterbags placem_collection'!AC94)</f>
        <v>1</v>
      </c>
      <c r="AH313" s="240">
        <f>AVERAGE('WetLitterbags placem_collection'!S94,'WetLitterbags placem_collection'!U94)</f>
        <v>26.45</v>
      </c>
      <c r="AI313">
        <f>AVERAGE('WetLitterbags placem_collection'!R94,'WetLitterbags placem_collection'!T94)</f>
        <v>22.6</v>
      </c>
      <c r="AJ313">
        <f>INDEX(Coordinates!$B$2:$B$197,MATCH(G313,Coordinates!$J$2:$J$197,0))</f>
        <v>-3.2965539860000002</v>
      </c>
      <c r="AK313">
        <f>INDEX(Coordinates!$C$2:$C$197,MATCH(G313,Coordinates!$J$2:$J$197,0))</f>
        <v>34.854455969999997</v>
      </c>
      <c r="AL313" t="str">
        <f>IF(ISNUMBER(SEARCH("C", 'WetLitterbags placem_collection'!W94)),"YES","NO")</f>
        <v>YES</v>
      </c>
      <c r="AM313" t="str">
        <f>IF(ISNUMBER(SEARCH("H", 'WetLitterbags placem_collection'!W94)),"YES","NO")</f>
        <v>YES</v>
      </c>
      <c r="AN313" t="str">
        <f>IF(ISNUMBER(SEARCH("R", 'WetLitterbags placem_collection'!W94)),"YES","NO")</f>
        <v>NO</v>
      </c>
    </row>
    <row r="314" spans="1:40" ht="15" customHeight="1">
      <c r="A314" s="258" t="s">
        <v>2460</v>
      </c>
      <c r="B314" s="263">
        <f>'Dry_Litterbag Placem_Collection'!A95</f>
        <v>93</v>
      </c>
      <c r="C314" s="263" t="str">
        <f>'Dry_Litterbag Placem_Collection'!B95</f>
        <v>Maswa</v>
      </c>
      <c r="D314" s="263" t="s">
        <v>2659</v>
      </c>
      <c r="E314" s="263" t="s">
        <v>2661</v>
      </c>
      <c r="F314" s="263">
        <v>4</v>
      </c>
      <c r="G314" s="264" t="str">
        <f>'Dry_Litterbag Placem_Collection'!C95</f>
        <v>Dry_W4_T5</v>
      </c>
      <c r="H314" s="265" t="s">
        <v>2541</v>
      </c>
      <c r="I314" s="272" t="s">
        <v>298</v>
      </c>
      <c r="J314" s="223" t="str">
        <f>'WetLitterbags placem_collection'!M95</f>
        <v>R12</v>
      </c>
      <c r="K314" s="225">
        <f>IFERROR(INDEX('Green_rooibos initial weight'!$C$5:$C$1749,MATCH(J314, 'Green_rooibos initial weight'!$A$5:$A$1749,0)),"")</f>
        <v>2.1709999999999998</v>
      </c>
      <c r="L314" s="225">
        <f>IFERROR(K314-(TBIcalc!$H$9+TBIcalc!$H$10),"")</f>
        <v>1.9211999999999998</v>
      </c>
      <c r="M314" s="391">
        <f>AVERAGE(Ashed_controlls!$K$12:$K$14)</f>
        <v>2.2816647271287041</v>
      </c>
      <c r="N314" s="225">
        <f t="shared" si="22"/>
        <v>1.8773646572624032</v>
      </c>
      <c r="O314" s="225">
        <f>IF(IFERROR(INDEX('Both teabags AfterWet'!$C$3:$C$841,MATCH(J314,'Both teabags AfterWet'!$A$3:$A$841,0)),"")="","",(IFERROR(INDEX('Both teabags AfterWet'!$C$3:$C$841,MATCH(J314,'Both teabags AfterWet'!$A$3:$A$841,0)),"")))</f>
        <v>0.17</v>
      </c>
      <c r="P314" s="225">
        <f>IFERROR(IF(O314&gt;0,O314-(TBIcalc!$H$9),""),"")</f>
        <v>1.9400000000000001E-2</v>
      </c>
      <c r="Q314" s="225" t="str">
        <f>IFERROR(INDEX('Ashed teabags wet'!$K$2:$K$821,MATCH(J314,'Ashed teabags wet'!$A$2:$A$821,0)),"")</f>
        <v/>
      </c>
      <c r="R314" s="225" t="str">
        <f t="shared" si="26"/>
        <v/>
      </c>
      <c r="S314" s="226">
        <f>'WetLitterbags placem_collection'!E95</f>
        <v>42767</v>
      </c>
      <c r="T314" s="226">
        <f>IF('WetLitterbags placem_collection'!G95="","",'WetLitterbags placem_collection'!G95)</f>
        <v>42819</v>
      </c>
      <c r="U314" s="227">
        <f t="shared" si="23"/>
        <v>52</v>
      </c>
      <c r="V314" s="225">
        <f t="shared" si="24"/>
        <v>1.9017999999999997</v>
      </c>
      <c r="W314" s="225" t="str">
        <f t="shared" si="25"/>
        <v/>
      </c>
      <c r="X314">
        <f>IFERROR(INDEX(Rainfall_Wet!$O$2:$O$217,MATCH(B314, Rainfall_Wet!$A$2:$A$217,0)),"")</f>
        <v>194.93009798400001</v>
      </c>
      <c r="Y314" s="231">
        <v>28.145762029394</v>
      </c>
      <c r="Z314" s="231">
        <v>25.085564727199518</v>
      </c>
      <c r="AA314" s="231">
        <v>46.768673243406489</v>
      </c>
      <c r="AB314" s="232" t="s">
        <v>2670</v>
      </c>
      <c r="AC314" s="231">
        <v>6.1716214884179399</v>
      </c>
      <c r="AD314">
        <f>IF('WetLitterbags placem_collection'!AB95="","",'WetLitterbags placem_collection'!AB95)</f>
        <v>6.6</v>
      </c>
      <c r="AE314">
        <f>IF('WetLitterbags placem_collection'!Z95="","",'WetLitterbags placem_collection'!Z95)</f>
        <v>40</v>
      </c>
      <c r="AF314" s="246" t="str">
        <f>IF('WetLitterbags placem_collection'!AA95="","",'WetLitterbags placem_collection'!AA95)</f>
        <v>O</v>
      </c>
      <c r="AG314">
        <f>IF('WetLitterbags placem_collection'!AC95="","",'WetLitterbags placem_collection'!AC95)</f>
        <v>1</v>
      </c>
      <c r="AH314" s="240">
        <f>AVERAGE('WetLitterbags placem_collection'!S95,'WetLitterbags placem_collection'!U95)</f>
        <v>25.25</v>
      </c>
      <c r="AI314">
        <f>AVERAGE('WetLitterbags placem_collection'!R95,'WetLitterbags placem_collection'!T95)</f>
        <v>23.5</v>
      </c>
      <c r="AJ314">
        <f>INDEX(Coordinates!$B$2:$B$197,MATCH(G314,Coordinates!$J$2:$J$197,0))</f>
        <v>-3.2964789680000002</v>
      </c>
      <c r="AK314">
        <f>INDEX(Coordinates!$C$2:$C$197,MATCH(G314,Coordinates!$J$2:$J$197,0))</f>
        <v>34.854331000000002</v>
      </c>
      <c r="AL314" t="str">
        <f>IF(ISNUMBER(SEARCH("C", 'WetLitterbags placem_collection'!W95)),"YES","NO")</f>
        <v>NO</v>
      </c>
      <c r="AM314" t="str">
        <f>IF(ISNUMBER(SEARCH("H", 'WetLitterbags placem_collection'!W95)),"YES","NO")</f>
        <v>YES</v>
      </c>
      <c r="AN314" t="str">
        <f>IF(ISNUMBER(SEARCH("R", 'WetLitterbags placem_collection'!W95)),"YES","NO")</f>
        <v>NO</v>
      </c>
    </row>
    <row r="315" spans="1:40" ht="15" customHeight="1">
      <c r="A315" s="258" t="s">
        <v>2460</v>
      </c>
      <c r="B315" s="263">
        <f>'Dry_Litterbag Placem_Collection'!A96</f>
        <v>94</v>
      </c>
      <c r="C315" s="263" t="str">
        <f>'Dry_Litterbag Placem_Collection'!B96</f>
        <v>Maswa</v>
      </c>
      <c r="D315" s="263" t="s">
        <v>2659</v>
      </c>
      <c r="E315" s="263" t="s">
        <v>2661</v>
      </c>
      <c r="F315" s="263">
        <v>4</v>
      </c>
      <c r="G315" s="264" t="str">
        <f>'Dry_Litterbag Placem_Collection'!C96</f>
        <v>Dry_W4_T6</v>
      </c>
      <c r="H315" s="265" t="s">
        <v>2541</v>
      </c>
      <c r="I315" s="272" t="s">
        <v>298</v>
      </c>
      <c r="J315" s="223" t="str">
        <f>'WetLitterbags placem_collection'!M96</f>
        <v>R244</v>
      </c>
      <c r="K315" s="225">
        <f>IFERROR(INDEX('Green_rooibos initial weight'!$C$5:$C$1749,MATCH(J315, 'Green_rooibos initial weight'!$A$5:$A$1749,0)),"")</f>
        <v>2.2490000000000001</v>
      </c>
      <c r="L315" s="225">
        <f>IFERROR(K315-(TBIcalc!$H$9+TBIcalc!$H$10),"")</f>
        <v>1.9992000000000001</v>
      </c>
      <c r="M315" s="391">
        <f>AVERAGE(Ashed_controlls!$K$12:$K$14)</f>
        <v>2.2816647271287041</v>
      </c>
      <c r="N315" s="225">
        <f t="shared" si="22"/>
        <v>1.953584958775243</v>
      </c>
      <c r="O315" s="225" t="str">
        <f>IF(IFERROR(INDEX('Both teabags AfterWet'!$C$3:$C$841,MATCH(J315,'Both teabags AfterWet'!$A$3:$A$841,0)),"")="","",(IFERROR(INDEX('Both teabags AfterWet'!$C$3:$C$841,MATCH(J315,'Both teabags AfterWet'!$A$3:$A$841,0)),"")))</f>
        <v/>
      </c>
      <c r="P315" s="225" t="str">
        <f>IFERROR(IF(O315&gt;0,O315-(TBIcalc!$H$9),""),"")</f>
        <v/>
      </c>
      <c r="Q315" s="225" t="str">
        <f>IFERROR(INDEX('Ashed teabags wet'!$K$2:$K$821,MATCH(J315,'Ashed teabags wet'!$A$2:$A$821,0)),"")</f>
        <v/>
      </c>
      <c r="R315" s="225" t="str">
        <f t="shared" si="26"/>
        <v/>
      </c>
      <c r="S315" s="226">
        <f>'WetLitterbags placem_collection'!E96</f>
        <v>42767</v>
      </c>
      <c r="T315" s="226" t="str">
        <f>IF('WetLitterbags placem_collection'!G96="","",'WetLitterbags placem_collection'!G96)</f>
        <v/>
      </c>
      <c r="U315" s="227" t="str">
        <f t="shared" si="23"/>
        <v/>
      </c>
      <c r="V315" s="225" t="str">
        <f t="shared" si="24"/>
        <v/>
      </c>
      <c r="W315" s="225" t="str">
        <f t="shared" si="25"/>
        <v/>
      </c>
      <c r="X315" t="str">
        <f>IFERROR(INDEX(Rainfall_Wet!$O$2:$O$217,MATCH(B315, Rainfall_Wet!$A$2:$A$217,0)),"")</f>
        <v/>
      </c>
      <c r="Y315" s="231">
        <v>28.145762029394</v>
      </c>
      <c r="Z315" s="231">
        <v>25.085564727199518</v>
      </c>
      <c r="AA315" s="231">
        <v>46.768673243406489</v>
      </c>
      <c r="AB315" s="232" t="s">
        <v>2670</v>
      </c>
      <c r="AC315" s="231">
        <v>7.1716214884179399</v>
      </c>
      <c r="AD315" t="str">
        <f>IF('WetLitterbags placem_collection'!AB96="","",'WetLitterbags placem_collection'!AB96)</f>
        <v/>
      </c>
      <c r="AE315" t="str">
        <f>IF('WetLitterbags placem_collection'!Z96="","",'WetLitterbags placem_collection'!Z96)</f>
        <v/>
      </c>
      <c r="AF315" s="246" t="str">
        <f>IF('WetLitterbags placem_collection'!AA96="","",'WetLitterbags placem_collection'!AA96)</f>
        <v/>
      </c>
      <c r="AG315" t="str">
        <f>IF('WetLitterbags placem_collection'!AC96="","",'WetLitterbags placem_collection'!AC96)</f>
        <v/>
      </c>
      <c r="AH315" s="240">
        <f>AVERAGE('WetLitterbags placem_collection'!S96,'WetLitterbags placem_collection'!U96)</f>
        <v>36.200000000000003</v>
      </c>
      <c r="AI315">
        <f>AVERAGE('WetLitterbags placem_collection'!R96,'WetLitterbags placem_collection'!T96)</f>
        <v>22</v>
      </c>
      <c r="AJ315">
        <f>INDEX(Coordinates!$B$2:$B$197,MATCH(G315,Coordinates!$J$2:$J$197,0))</f>
        <v>-3.2964649700000002</v>
      </c>
      <c r="AK315">
        <f>INDEX(Coordinates!$C$2:$C$197,MATCH(G315,Coordinates!$J$2:$J$197,0))</f>
        <v>34.854340970000003</v>
      </c>
      <c r="AL315" t="str">
        <f>IF(ISNUMBER(SEARCH("C", 'WetLitterbags placem_collection'!W96)),"YES","NO")</f>
        <v>NO</v>
      </c>
      <c r="AM315" t="str">
        <f>IF(ISNUMBER(SEARCH("H", 'WetLitterbags placem_collection'!W96)),"YES","NO")</f>
        <v>NO</v>
      </c>
      <c r="AN315" t="str">
        <f>IF(ISNUMBER(SEARCH("R", 'WetLitterbags placem_collection'!W96)),"YES","NO")</f>
        <v>NO</v>
      </c>
    </row>
    <row r="316" spans="1:40" ht="15" customHeight="1">
      <c r="A316" s="258" t="s">
        <v>2460</v>
      </c>
      <c r="B316" s="263">
        <f>'Dry_Litterbag Placem_Collection'!A97</f>
        <v>95</v>
      </c>
      <c r="C316" s="263" t="str">
        <f>'Dry_Litterbag Placem_Collection'!B97</f>
        <v>Maswa</v>
      </c>
      <c r="D316" s="263" t="s">
        <v>2659</v>
      </c>
      <c r="E316" s="263" t="s">
        <v>2661</v>
      </c>
      <c r="F316" s="263">
        <v>4</v>
      </c>
      <c r="G316" s="264" t="str">
        <f>'Dry_Litterbag Placem_Collection'!C97</f>
        <v>Dry_W4_T7</v>
      </c>
      <c r="H316" s="265" t="s">
        <v>2541</v>
      </c>
      <c r="I316" s="272" t="s">
        <v>298</v>
      </c>
      <c r="J316" s="223" t="str">
        <f>'WetLitterbags placem_collection'!M97</f>
        <v>R360</v>
      </c>
      <c r="K316" s="225">
        <f>IFERROR(INDEX('Green_rooibos initial weight'!$C$5:$C$1749,MATCH(J316, 'Green_rooibos initial weight'!$A$5:$A$1749,0)),"")</f>
        <v>2.206</v>
      </c>
      <c r="L316" s="225">
        <f>IFERROR(K316-(TBIcalc!$H$9+TBIcalc!$H$10),"")</f>
        <v>1.9561999999999999</v>
      </c>
      <c r="M316" s="391">
        <f>AVERAGE(Ashed_controlls!$K$12:$K$14)</f>
        <v>2.2816647271287041</v>
      </c>
      <c r="N316" s="225">
        <f t="shared" si="22"/>
        <v>1.9115660746079082</v>
      </c>
      <c r="O316" s="225">
        <f>IF(IFERROR(INDEX('Both teabags AfterWet'!$C$3:$C$841,MATCH(J316,'Both teabags AfterWet'!$A$3:$A$841,0)),"")="","",(IFERROR(INDEX('Both teabags AfterWet'!$C$3:$C$841,MATCH(J316,'Both teabags AfterWet'!$A$3:$A$841,0)),"")))</f>
        <v>0.45800000000000002</v>
      </c>
      <c r="P316" s="225">
        <f>IFERROR(IF(O316&gt;0,O316-(TBIcalc!$H$9),""),"")</f>
        <v>0.30740000000000001</v>
      </c>
      <c r="Q316" s="225">
        <f>IFERROR(INDEX('Ashed teabags wet'!$K$2:$K$821,MATCH(J316,'Ashed teabags wet'!$A$2:$A$821,0)),"")</f>
        <v>89.327146171693883</v>
      </c>
      <c r="R316" s="225">
        <f t="shared" si="26"/>
        <v>3.2808352668213026E-2</v>
      </c>
      <c r="S316" s="226">
        <f>'WetLitterbags placem_collection'!E97</f>
        <v>42767</v>
      </c>
      <c r="T316" s="226">
        <f>IF('WetLitterbags placem_collection'!G97="","",'WetLitterbags placem_collection'!G97)</f>
        <v>42819</v>
      </c>
      <c r="U316" s="227">
        <f t="shared" si="23"/>
        <v>52</v>
      </c>
      <c r="V316" s="225">
        <f t="shared" si="24"/>
        <v>1.6488</v>
      </c>
      <c r="W316" s="225">
        <f t="shared" si="25"/>
        <v>1.8787577219396951</v>
      </c>
      <c r="X316">
        <f>IFERROR(INDEX(Rainfall_Wet!$O$2:$O$217,MATCH(B316, Rainfall_Wet!$A$2:$A$217,0)),"")</f>
        <v>194.93009798400001</v>
      </c>
      <c r="Y316" s="231">
        <v>28.145762029394</v>
      </c>
      <c r="Z316" s="231">
        <v>25.085564727199518</v>
      </c>
      <c r="AA316" s="231">
        <v>46.768673243406489</v>
      </c>
      <c r="AB316" s="232" t="s">
        <v>2670</v>
      </c>
      <c r="AC316" s="231">
        <v>8.1716214884179408</v>
      </c>
      <c r="AD316">
        <f>IF('WetLitterbags placem_collection'!AB97="","",'WetLitterbags placem_collection'!AB97)</f>
        <v>5.4</v>
      </c>
      <c r="AE316">
        <f>IF('WetLitterbags placem_collection'!Z97="","",'WetLitterbags placem_collection'!Z97)</f>
        <v>15.2</v>
      </c>
      <c r="AF316" s="246" t="str">
        <f>IF('WetLitterbags placem_collection'!AA97="","",'WetLitterbags placem_collection'!AA97)</f>
        <v>O</v>
      </c>
      <c r="AG316">
        <f>IF('WetLitterbags placem_collection'!AC97="","",'WetLitterbags placem_collection'!AC97)</f>
        <v>0</v>
      </c>
      <c r="AH316" s="240">
        <f>AVERAGE('WetLitterbags placem_collection'!S97,'WetLitterbags placem_collection'!U97)</f>
        <v>28.85</v>
      </c>
      <c r="AI316">
        <f>AVERAGE('WetLitterbags placem_collection'!R97,'WetLitterbags placem_collection'!T97)</f>
        <v>23.2</v>
      </c>
      <c r="AJ316">
        <f>INDEX(Coordinates!$B$2:$B$197,MATCH(G316,Coordinates!$J$2:$J$197,0))</f>
        <v>-3.296725983</v>
      </c>
      <c r="AK316">
        <f>INDEX(Coordinates!$C$2:$C$197,MATCH(G316,Coordinates!$J$2:$J$197,0))</f>
        <v>34.854216000000001</v>
      </c>
      <c r="AL316" t="str">
        <f>IF(ISNUMBER(SEARCH("C", 'WetLitterbags placem_collection'!W97)),"YES","NO")</f>
        <v>NO</v>
      </c>
      <c r="AM316" t="str">
        <f>IF(ISNUMBER(SEARCH("H", 'WetLitterbags placem_collection'!W97)),"YES","NO")</f>
        <v>YES</v>
      </c>
      <c r="AN316" t="str">
        <f>IF(ISNUMBER(SEARCH("R", 'WetLitterbags placem_collection'!W97)),"YES","NO")</f>
        <v>YES</v>
      </c>
    </row>
    <row r="317" spans="1:40" ht="15" customHeight="1">
      <c r="A317" s="258" t="s">
        <v>2460</v>
      </c>
      <c r="B317" s="263">
        <f>'Dry_Litterbag Placem_Collection'!A98</f>
        <v>96</v>
      </c>
      <c r="C317" s="263" t="str">
        <f>'Dry_Litterbag Placem_Collection'!B98</f>
        <v>Maswa</v>
      </c>
      <c r="D317" s="263" t="s">
        <v>2659</v>
      </c>
      <c r="E317" s="263" t="s">
        <v>2661</v>
      </c>
      <c r="F317" s="263">
        <v>4</v>
      </c>
      <c r="G317" s="264" t="str">
        <f>'Dry_Litterbag Placem_Collection'!C98</f>
        <v>Dry_W4_T8</v>
      </c>
      <c r="H317" s="265" t="s">
        <v>2541</v>
      </c>
      <c r="I317" s="272" t="s">
        <v>298</v>
      </c>
      <c r="J317" s="223" t="str">
        <f>'WetLitterbags placem_collection'!M98</f>
        <v>R318</v>
      </c>
      <c r="K317" s="225">
        <f>IFERROR(INDEX('Green_rooibos initial weight'!$C$5:$C$1749,MATCH(J317, 'Green_rooibos initial weight'!$A$5:$A$1749,0)),"")</f>
        <v>2.23</v>
      </c>
      <c r="L317" s="225">
        <f>IFERROR(K317-(TBIcalc!$H$9+TBIcalc!$H$10),"")</f>
        <v>1.9802</v>
      </c>
      <c r="M317" s="391">
        <f>AVERAGE(Ashed_controlls!$K$12:$K$14)</f>
        <v>2.2816647271287041</v>
      </c>
      <c r="N317" s="225">
        <f t="shared" si="22"/>
        <v>1.9350184750733974</v>
      </c>
      <c r="O317" s="225">
        <f>IF(IFERROR(INDEX('Both teabags AfterWet'!$C$3:$C$841,MATCH(J317,'Both teabags AfterWet'!$A$3:$A$841,0)),"")="","",(IFERROR(INDEX('Both teabags AfterWet'!$C$3:$C$841,MATCH(J317,'Both teabags AfterWet'!$A$3:$A$841,0)),"")))</f>
        <v>1.748</v>
      </c>
      <c r="P317" s="225">
        <f>IFERROR(IF(O317&gt;0,O317-(TBIcalc!$H$9),""),"")</f>
        <v>1.5973999999999999</v>
      </c>
      <c r="Q317" s="225">
        <f>IFERROR(INDEX('Ashed teabags wet'!$K$2:$K$821,MATCH(J317,'Ashed teabags wet'!$A$2:$A$821,0)),"")</f>
        <v>11.127670144063339</v>
      </c>
      <c r="R317" s="225">
        <f t="shared" si="26"/>
        <v>1.4196465971187322</v>
      </c>
      <c r="S317" s="226">
        <f>'WetLitterbags placem_collection'!E98</f>
        <v>42767</v>
      </c>
      <c r="T317" s="226">
        <f>IF('WetLitterbags placem_collection'!G98="","",'WetLitterbags placem_collection'!G98)</f>
        <v>42819</v>
      </c>
      <c r="U317" s="227">
        <f t="shared" si="23"/>
        <v>52</v>
      </c>
      <c r="V317" s="225">
        <f t="shared" si="24"/>
        <v>0.38280000000000003</v>
      </c>
      <c r="W317" s="225">
        <f t="shared" si="25"/>
        <v>0.51537187795466521</v>
      </c>
      <c r="X317">
        <f>IFERROR(INDEX(Rainfall_Wet!$O$2:$O$217,MATCH(B317, Rainfall_Wet!$A$2:$A$217,0)),"")</f>
        <v>194.93009798400001</v>
      </c>
      <c r="Y317" s="231">
        <v>28.145762029394</v>
      </c>
      <c r="Z317" s="231">
        <v>25.085564727199518</v>
      </c>
      <c r="AA317" s="231">
        <v>46.768673243406489</v>
      </c>
      <c r="AB317" s="232" t="s">
        <v>2670</v>
      </c>
      <c r="AC317" s="231">
        <v>9.1716214884179408</v>
      </c>
      <c r="AD317">
        <f>IF('WetLitterbags placem_collection'!AB98="","",'WetLitterbags placem_collection'!AB98)</f>
        <v>4</v>
      </c>
      <c r="AE317">
        <f>IF('WetLitterbags placem_collection'!Z98="","",'WetLitterbags placem_collection'!Z98)</f>
        <v>34.4</v>
      </c>
      <c r="AF317" s="246" t="str">
        <f>IF('WetLitterbags placem_collection'!AA98="","",'WetLitterbags placem_collection'!AA98)</f>
        <v>O</v>
      </c>
      <c r="AG317">
        <f>IF('WetLitterbags placem_collection'!AC98="","",'WetLitterbags placem_collection'!AC98)</f>
        <v>0</v>
      </c>
      <c r="AH317" s="240">
        <f>AVERAGE('WetLitterbags placem_collection'!S98,'WetLitterbags placem_collection'!U98)</f>
        <v>16.799999999999997</v>
      </c>
      <c r="AI317">
        <f>AVERAGE('WetLitterbags placem_collection'!R98,'WetLitterbags placem_collection'!T98)</f>
        <v>24.3</v>
      </c>
      <c r="AJ317">
        <f>INDEX(Coordinates!$B$2:$B$197,MATCH(G317,Coordinates!$J$2:$J$197,0))</f>
        <v>-3.2968360369999998</v>
      </c>
      <c r="AK317">
        <f>INDEX(Coordinates!$C$2:$C$197,MATCH(G317,Coordinates!$J$2:$J$197,0))</f>
        <v>34.854462009999999</v>
      </c>
      <c r="AL317" t="str">
        <f>IF(ISNUMBER(SEARCH("C", 'WetLitterbags placem_collection'!W98)),"YES","NO")</f>
        <v>YES</v>
      </c>
      <c r="AM317" t="str">
        <f>IF(ISNUMBER(SEARCH("H", 'WetLitterbags placem_collection'!W98)),"YES","NO")</f>
        <v>YES</v>
      </c>
      <c r="AN317" t="str">
        <f>IF(ISNUMBER(SEARCH("R", 'WetLitterbags placem_collection'!W98)),"YES","NO")</f>
        <v>NO</v>
      </c>
    </row>
    <row r="318" spans="1:40" ht="15" customHeight="1">
      <c r="A318" s="258" t="s">
        <v>2460</v>
      </c>
      <c r="B318" s="263">
        <f>'Dry_Litterbag Placem_Collection'!A99</f>
        <v>97</v>
      </c>
      <c r="C318" s="263" t="str">
        <f>'Dry_Litterbag Placem_Collection'!B99</f>
        <v xml:space="preserve">Mwantimba
</v>
      </c>
      <c r="D318" s="263" t="s">
        <v>2460</v>
      </c>
      <c r="E318" s="263" t="s">
        <v>2660</v>
      </c>
      <c r="F318" s="263">
        <v>1</v>
      </c>
      <c r="G318" s="264" t="str">
        <f>'Dry_Litterbag Placem_Collection'!C99</f>
        <v>Wet_Ag1_T1</v>
      </c>
      <c r="H318" s="265" t="s">
        <v>2541</v>
      </c>
      <c r="I318" s="272" t="s">
        <v>298</v>
      </c>
      <c r="J318" s="223" t="str">
        <f>'WetLitterbags placem_collection'!M99</f>
        <v>R518</v>
      </c>
      <c r="K318" s="225">
        <f>IFERROR(INDEX('Green_rooibos initial weight'!$C$5:$C$1749,MATCH(J318, 'Green_rooibos initial weight'!$A$5:$A$1749,0)),"")</f>
        <v>2.198</v>
      </c>
      <c r="L318" s="225">
        <f>IFERROR(K318-(TBIcalc!$H$9+TBIcalc!$H$10),"")</f>
        <v>1.9481999999999999</v>
      </c>
      <c r="M318" s="391">
        <f>AVERAGE(Ashed_controlls!$K$12:$K$14)</f>
        <v>2.2816647271287041</v>
      </c>
      <c r="N318" s="225">
        <f t="shared" si="22"/>
        <v>1.9037486077860786</v>
      </c>
      <c r="O318" s="225" t="str">
        <f>IF(IFERROR(INDEX('Both teabags AfterWet'!$C$3:$C$841,MATCH(J318,'Both teabags AfterWet'!$A$3:$A$841,0)),"")="","",(IFERROR(INDEX('Both teabags AfterWet'!$C$3:$C$841,MATCH(J318,'Both teabags AfterWet'!$A$3:$A$841,0)),"")))</f>
        <v/>
      </c>
      <c r="P318" s="225" t="str">
        <f>IFERROR(IF(O318&gt;0,O318-(TBIcalc!$H$9),""),"")</f>
        <v/>
      </c>
      <c r="Q318" s="225" t="str">
        <f>IFERROR(INDEX('Ashed teabags wet'!$K$2:$K$821,MATCH(J318,'Ashed teabags wet'!$A$2:$A$821,0)),"")</f>
        <v/>
      </c>
      <c r="R318" s="225" t="str">
        <f t="shared" si="26"/>
        <v/>
      </c>
      <c r="S318" s="226">
        <f>'WetLitterbags placem_collection'!E99</f>
        <v>42762</v>
      </c>
      <c r="T318" s="226">
        <f>IF('WetLitterbags placem_collection'!G99="","",'WetLitterbags placem_collection'!G99)</f>
        <v>42816</v>
      </c>
      <c r="U318" s="227">
        <f t="shared" si="23"/>
        <v>54</v>
      </c>
      <c r="V318" s="225" t="str">
        <f t="shared" si="24"/>
        <v/>
      </c>
      <c r="W318" s="225" t="str">
        <f t="shared" si="25"/>
        <v/>
      </c>
      <c r="X318">
        <f>IFERROR(INDEX(Rainfall_Wet!$O$2:$O$217,MATCH(B318, Rainfall_Wet!$A$2:$A$217,0)),"")</f>
        <v>206.85140822299999</v>
      </c>
      <c r="Y318" s="231">
        <v>45.96</v>
      </c>
      <c r="Z318" s="231">
        <v>14.920000000000003</v>
      </c>
      <c r="AA318" s="231">
        <v>39.119999999999997</v>
      </c>
      <c r="AB318" s="232" t="s">
        <v>2673</v>
      </c>
      <c r="AC318" s="231">
        <v>2.0374568753080333</v>
      </c>
      <c r="AD318">
        <f>IF('WetLitterbags placem_collection'!AB99="","",'WetLitterbags placem_collection'!AB99)</f>
        <v>2.4</v>
      </c>
      <c r="AE318">
        <f>IF('WetLitterbags placem_collection'!Z99="","",'WetLitterbags placem_collection'!Z99)</f>
        <v>8.9</v>
      </c>
      <c r="AF318" s="246" t="str">
        <f>IF('WetLitterbags placem_collection'!AA99="","",'WetLitterbags placem_collection'!AA99)</f>
        <v>G</v>
      </c>
      <c r="AG318">
        <f>IF('WetLitterbags placem_collection'!AC99="","",'WetLitterbags placem_collection'!AC99)</f>
        <v>1</v>
      </c>
      <c r="AH318" s="240">
        <f>AVERAGE('WetLitterbags placem_collection'!S99,'WetLitterbags placem_collection'!U99)</f>
        <v>19.25</v>
      </c>
      <c r="AI318">
        <f>AVERAGE('WetLitterbags placem_collection'!R99,'WetLitterbags placem_collection'!T99)</f>
        <v>28.75</v>
      </c>
      <c r="AJ318">
        <f>INDEX(Coordinates!$B$2:$B$197,MATCH(G318,Coordinates!$J$2:$J$197,0))</f>
        <v>-2.3691620310000001</v>
      </c>
      <c r="AK318">
        <f>INDEX(Coordinates!$C$2:$C$197,MATCH(G318,Coordinates!$J$2:$J$197,0))</f>
        <v>34.06028104</v>
      </c>
      <c r="AL318" t="str">
        <f>IF(ISNUMBER(SEARCH("C", 'WetLitterbags placem_collection'!W99)),"YES","NO")</f>
        <v>YES</v>
      </c>
      <c r="AM318" t="str">
        <f>IF(ISNUMBER(SEARCH("H", 'WetLitterbags placem_collection'!W99)),"YES","NO")</f>
        <v>YES</v>
      </c>
      <c r="AN318" t="str">
        <f>IF(ISNUMBER(SEARCH("R", 'WetLitterbags placem_collection'!W99)),"YES","NO")</f>
        <v>NO</v>
      </c>
    </row>
    <row r="319" spans="1:40" ht="15" customHeight="1">
      <c r="A319" s="258" t="s">
        <v>2460</v>
      </c>
      <c r="B319" s="263">
        <f>'Dry_Litterbag Placem_Collection'!A100</f>
        <v>98</v>
      </c>
      <c r="C319" s="263" t="str">
        <f>'Dry_Litterbag Placem_Collection'!B100</f>
        <v xml:space="preserve">Mwantimba
</v>
      </c>
      <c r="D319" s="263" t="s">
        <v>2460</v>
      </c>
      <c r="E319" s="263" t="s">
        <v>2660</v>
      </c>
      <c r="F319" s="263">
        <v>1</v>
      </c>
      <c r="G319" s="264" t="str">
        <f>'Dry_Litterbag Placem_Collection'!C100</f>
        <v>Wet_Ag1_T2</v>
      </c>
      <c r="H319" s="265" t="s">
        <v>2541</v>
      </c>
      <c r="I319" s="272" t="s">
        <v>298</v>
      </c>
      <c r="J319" s="223" t="str">
        <f>'WetLitterbags placem_collection'!M100</f>
        <v>R489</v>
      </c>
      <c r="K319" s="225">
        <f>IFERROR(INDEX('Green_rooibos initial weight'!$C$5:$C$1749,MATCH(J319, 'Green_rooibos initial weight'!$A$5:$A$1749,0)),"")</f>
        <v>2.157</v>
      </c>
      <c r="L319" s="225">
        <f>IFERROR(K319-(TBIcalc!$H$9+TBIcalc!$H$10),"")</f>
        <v>1.9072</v>
      </c>
      <c r="M319" s="391">
        <f>AVERAGE(Ashed_controlls!$K$12:$K$14)</f>
        <v>2.2816647271287041</v>
      </c>
      <c r="N319" s="225">
        <f t="shared" si="22"/>
        <v>1.8636840903242013</v>
      </c>
      <c r="O319" s="225">
        <f>IF(IFERROR(INDEX('Both teabags AfterWet'!$C$3:$C$841,MATCH(J319,'Both teabags AfterWet'!$A$3:$A$841,0)),"")="","",(IFERROR(INDEX('Both teabags AfterWet'!$C$3:$C$841,MATCH(J319,'Both teabags AfterWet'!$A$3:$A$841,0)),"")))</f>
        <v>1.5389999999999999</v>
      </c>
      <c r="P319" s="225">
        <f>IFERROR(IF(O319&gt;0,O319-(TBIcalc!$H$9),""),"")</f>
        <v>1.3883999999999999</v>
      </c>
      <c r="Q319" s="225">
        <f>IFERROR(INDEX('Ashed teabags wet'!$K$2:$K$821,MATCH(J319,'Ashed teabags wet'!$A$2:$A$821,0)),"")</f>
        <v>12.679544328875947</v>
      </c>
      <c r="R319" s="225">
        <f t="shared" si="26"/>
        <v>1.2123572065378863</v>
      </c>
      <c r="S319" s="226">
        <f>'WetLitterbags placem_collection'!E100</f>
        <v>42762</v>
      </c>
      <c r="T319" s="226">
        <f>IF('WetLitterbags placem_collection'!G100="","",'WetLitterbags placem_collection'!G100)</f>
        <v>42816</v>
      </c>
      <c r="U319" s="227">
        <f t="shared" si="23"/>
        <v>54</v>
      </c>
      <c r="V319" s="225">
        <f t="shared" si="24"/>
        <v>0.51880000000000015</v>
      </c>
      <c r="W319" s="225">
        <f t="shared" si="25"/>
        <v>0.65132688378631509</v>
      </c>
      <c r="X319">
        <f>IFERROR(INDEX(Rainfall_Wet!$O$2:$O$217,MATCH(B319, Rainfall_Wet!$A$2:$A$217,0)),"")</f>
        <v>206.85140822299999</v>
      </c>
      <c r="Y319" s="231">
        <v>45.96</v>
      </c>
      <c r="Z319" s="231">
        <v>14.920000000000003</v>
      </c>
      <c r="AA319" s="231">
        <v>39.119999999999997</v>
      </c>
      <c r="AB319" s="232" t="s">
        <v>2673</v>
      </c>
      <c r="AC319" s="231">
        <v>3.0374568753080302</v>
      </c>
      <c r="AD319">
        <f>IF('WetLitterbags placem_collection'!AB100="","",'WetLitterbags placem_collection'!AB100)</f>
        <v>7.8</v>
      </c>
      <c r="AE319">
        <f>IF('WetLitterbags placem_collection'!Z100="","",'WetLitterbags placem_collection'!Z100)</f>
        <v>4.45</v>
      </c>
      <c r="AF319" s="246" t="str">
        <f>IF('WetLitterbags placem_collection'!AA100="","",'WetLitterbags placem_collection'!AA100)</f>
        <v>G</v>
      </c>
      <c r="AG319">
        <f>IF('WetLitterbags placem_collection'!AC100="","",'WetLitterbags placem_collection'!AC100)</f>
        <v>1</v>
      </c>
      <c r="AH319" s="240">
        <f>AVERAGE('WetLitterbags placem_collection'!S100,'WetLitterbags placem_collection'!U100)</f>
        <v>22.25</v>
      </c>
      <c r="AI319">
        <f>AVERAGE('WetLitterbags placem_collection'!R100,'WetLitterbags placem_collection'!T100)</f>
        <v>29.85</v>
      </c>
      <c r="AJ319">
        <f>INDEX(Coordinates!$B$2:$B$197,MATCH(G319,Coordinates!$J$2:$J$197,0))</f>
        <v>-2.3692249790000002</v>
      </c>
      <c r="AK319">
        <f>INDEX(Coordinates!$C$2:$C$197,MATCH(G319,Coordinates!$J$2:$J$197,0))</f>
        <v>34.060285989999997</v>
      </c>
      <c r="AL319" t="str">
        <f>IF(ISNUMBER(SEARCH("C", 'WetLitterbags placem_collection'!W100)),"YES","NO")</f>
        <v>NO</v>
      </c>
      <c r="AM319" t="str">
        <f>IF(ISNUMBER(SEARCH("H", 'WetLitterbags placem_collection'!W100)),"YES","NO")</f>
        <v>NO</v>
      </c>
      <c r="AN319" t="str">
        <f>IF(ISNUMBER(SEARCH("R", 'WetLitterbags placem_collection'!W100)),"YES","NO")</f>
        <v>NO</v>
      </c>
    </row>
    <row r="320" spans="1:40" ht="15" customHeight="1">
      <c r="A320" s="258" t="s">
        <v>2460</v>
      </c>
      <c r="B320" s="263">
        <f>'Dry_Litterbag Placem_Collection'!A101</f>
        <v>99</v>
      </c>
      <c r="C320" s="263" t="str">
        <f>'Dry_Litterbag Placem_Collection'!B101</f>
        <v xml:space="preserve">Mwantimba
</v>
      </c>
      <c r="D320" s="263" t="s">
        <v>2460</v>
      </c>
      <c r="E320" s="263" t="s">
        <v>2660</v>
      </c>
      <c r="F320" s="263">
        <v>1</v>
      </c>
      <c r="G320" s="264" t="str">
        <f>'Dry_Litterbag Placem_Collection'!C101</f>
        <v>Wet_Ag1_T3</v>
      </c>
      <c r="H320" s="265" t="s">
        <v>2541</v>
      </c>
      <c r="I320" s="272" t="s">
        <v>298</v>
      </c>
      <c r="J320" s="223" t="str">
        <f>'WetLitterbags placem_collection'!M101</f>
        <v>R549</v>
      </c>
      <c r="K320" s="225">
        <f>IFERROR(INDEX('Green_rooibos initial weight'!$C$5:$C$1749,MATCH(J320, 'Green_rooibos initial weight'!$A$5:$A$1749,0)),"")</f>
        <v>2.2320000000000002</v>
      </c>
      <c r="L320" s="225">
        <f>IFERROR(K320-(TBIcalc!$H$9+TBIcalc!$H$10),"")</f>
        <v>1.9822000000000002</v>
      </c>
      <c r="M320" s="391">
        <f>AVERAGE(Ashed_controlls!$K$12:$K$14)</f>
        <v>2.2816647271287041</v>
      </c>
      <c r="N320" s="225">
        <f t="shared" si="22"/>
        <v>1.936972841778855</v>
      </c>
      <c r="O320" s="225">
        <f>IF(IFERROR(INDEX('Both teabags AfterWet'!$C$3:$C$841,MATCH(J320,'Both teabags AfterWet'!$A$3:$A$841,0)),"")="","",(IFERROR(INDEX('Both teabags AfterWet'!$C$3:$C$841,MATCH(J320,'Both teabags AfterWet'!$A$3:$A$841,0)),"")))</f>
        <v>1.5992</v>
      </c>
      <c r="P320" s="225">
        <f>IFERROR(IF(O320&gt;0,O320-(TBIcalc!$H$9),""),"")</f>
        <v>1.4485999999999999</v>
      </c>
      <c r="Q320" s="225">
        <f>IFERROR(INDEX('Ashed teabags wet'!$K$2:$K$821,MATCH(J320,'Ashed teabags wet'!$A$2:$A$821,0)),"")</f>
        <v>3.4003831417629944</v>
      </c>
      <c r="R320" s="225">
        <f t="shared" si="26"/>
        <v>1.3993420498084213</v>
      </c>
      <c r="S320" s="226">
        <f>'WetLitterbags placem_collection'!E101</f>
        <v>42762</v>
      </c>
      <c r="T320" s="226">
        <f>IF('WetLitterbags placem_collection'!G101="","",'WetLitterbags placem_collection'!G101)</f>
        <v>42816</v>
      </c>
      <c r="U320" s="227">
        <f t="shared" si="23"/>
        <v>54</v>
      </c>
      <c r="V320" s="225">
        <f t="shared" si="24"/>
        <v>0.5336000000000003</v>
      </c>
      <c r="W320" s="225">
        <f t="shared" si="25"/>
        <v>0.53763079197043373</v>
      </c>
      <c r="X320">
        <f>IFERROR(INDEX(Rainfall_Wet!$O$2:$O$217,MATCH(B320, Rainfall_Wet!$A$2:$A$217,0)),"")</f>
        <v>206.85140822299999</v>
      </c>
      <c r="Y320" s="231">
        <v>45.96</v>
      </c>
      <c r="Z320" s="231">
        <v>14.920000000000003</v>
      </c>
      <c r="AA320" s="231">
        <v>39.119999999999997</v>
      </c>
      <c r="AB320" s="232" t="s">
        <v>2673</v>
      </c>
      <c r="AC320" s="231">
        <v>4.0374568753080302</v>
      </c>
      <c r="AD320">
        <f>IF('WetLitterbags placem_collection'!AB101="","",'WetLitterbags placem_collection'!AB101)</f>
        <v>5.0999999999999996</v>
      </c>
      <c r="AE320">
        <f>IF('WetLitterbags placem_collection'!Z101="","",'WetLitterbags placem_collection'!Z101)</f>
        <v>2.2999999999999998</v>
      </c>
      <c r="AF320" s="246" t="str">
        <f>IF('WetLitterbags placem_collection'!AA101="","",'WetLitterbags placem_collection'!AA101)</f>
        <v>G</v>
      </c>
      <c r="AG320">
        <f>IF('WetLitterbags placem_collection'!AC101="","",'WetLitterbags placem_collection'!AC101)</f>
        <v>0</v>
      </c>
      <c r="AH320" s="240">
        <f>AVERAGE('WetLitterbags placem_collection'!S101,'WetLitterbags placem_collection'!U101)</f>
        <v>17.95</v>
      </c>
      <c r="AI320">
        <f>AVERAGE('WetLitterbags placem_collection'!R101,'WetLitterbags placem_collection'!T101)</f>
        <v>30.85</v>
      </c>
      <c r="AJ320">
        <f>INDEX(Coordinates!$B$2:$B$197,MATCH(G320,Coordinates!$J$2:$J$197,0))</f>
        <v>-2.369284993</v>
      </c>
      <c r="AK320">
        <f>INDEX(Coordinates!$C$2:$C$197,MATCH(G320,Coordinates!$J$2:$J$197,0))</f>
        <v>34.06028104</v>
      </c>
      <c r="AL320" t="str">
        <f>IF(ISNUMBER(SEARCH("C", 'WetLitterbags placem_collection'!W101)),"YES","NO")</f>
        <v>NO</v>
      </c>
      <c r="AM320" t="str">
        <f>IF(ISNUMBER(SEARCH("H", 'WetLitterbags placem_collection'!W101)),"YES","NO")</f>
        <v>NO</v>
      </c>
      <c r="AN320" t="str">
        <f>IF(ISNUMBER(SEARCH("R", 'WetLitterbags placem_collection'!W101)),"YES","NO")</f>
        <v>YES</v>
      </c>
    </row>
    <row r="321" spans="1:40" ht="15" customHeight="1">
      <c r="A321" s="258" t="s">
        <v>2460</v>
      </c>
      <c r="B321" s="263">
        <f>'Dry_Litterbag Placem_Collection'!A102</f>
        <v>100</v>
      </c>
      <c r="C321" s="263" t="str">
        <f>'Dry_Litterbag Placem_Collection'!B102</f>
        <v xml:space="preserve">Mwantimba
</v>
      </c>
      <c r="D321" s="263" t="s">
        <v>2460</v>
      </c>
      <c r="E321" s="263" t="s">
        <v>2660</v>
      </c>
      <c r="F321" s="263">
        <v>1</v>
      </c>
      <c r="G321" s="264" t="str">
        <f>'Dry_Litterbag Placem_Collection'!C102</f>
        <v>Wet_Ag1_T4</v>
      </c>
      <c r="H321" s="265" t="s">
        <v>2541</v>
      </c>
      <c r="I321" s="272" t="s">
        <v>298</v>
      </c>
      <c r="J321" s="223" t="str">
        <f>'WetLitterbags placem_collection'!M102</f>
        <v>R500</v>
      </c>
      <c r="K321" s="225">
        <f>IFERROR(INDEX('Green_rooibos initial weight'!$C$5:$C$1749,MATCH(J321, 'Green_rooibos initial weight'!$A$5:$A$1749,0)),"")</f>
        <v>2.2069999999999999</v>
      </c>
      <c r="L321" s="225">
        <f>IFERROR(K321-(TBIcalc!$H$9+TBIcalc!$H$10),"")</f>
        <v>1.9571999999999998</v>
      </c>
      <c r="M321" s="391">
        <f>AVERAGE(Ashed_controlls!$K$12:$K$14)</f>
        <v>2.2816647271287041</v>
      </c>
      <c r="N321" s="225">
        <f t="shared" si="22"/>
        <v>1.9125432579606367</v>
      </c>
      <c r="O321" s="225">
        <f>IF(IFERROR(INDEX('Both teabags AfterWet'!$C$3:$C$841,MATCH(J321,'Both teabags AfterWet'!$A$3:$A$841,0)),"")="","",(IFERROR(INDEX('Both teabags AfterWet'!$C$3:$C$841,MATCH(J321,'Both teabags AfterWet'!$A$3:$A$841,0)),"")))</f>
        <v>1.764</v>
      </c>
      <c r="P321" s="225">
        <f>IFERROR(IF(O321&gt;0,O321-(TBIcalc!$H$9),""),"")</f>
        <v>1.6133999999999999</v>
      </c>
      <c r="Q321" s="225">
        <f>IFERROR(INDEX('Ashed teabags wet'!$K$2:$K$821,MATCH(J321,'Ashed teabags wet'!$A$2:$A$821,0)),"")</f>
        <v>22.316525212181858</v>
      </c>
      <c r="R321" s="225">
        <f t="shared" si="26"/>
        <v>1.2533451822266579</v>
      </c>
      <c r="S321" s="226">
        <f>'WetLitterbags placem_collection'!E102</f>
        <v>42762</v>
      </c>
      <c r="T321" s="226">
        <f>IF('WetLitterbags placem_collection'!G102="","",'WetLitterbags placem_collection'!G102)</f>
        <v>42816</v>
      </c>
      <c r="U321" s="227">
        <f t="shared" si="23"/>
        <v>54</v>
      </c>
      <c r="V321" s="225">
        <f t="shared" si="24"/>
        <v>0.34379999999999988</v>
      </c>
      <c r="W321" s="225">
        <f t="shared" si="25"/>
        <v>0.65919807573397882</v>
      </c>
      <c r="X321">
        <f>IFERROR(INDEX(Rainfall_Wet!$O$2:$O$217,MATCH(B321, Rainfall_Wet!$A$2:$A$217,0)),"")</f>
        <v>206.85140822299999</v>
      </c>
      <c r="Y321" s="231">
        <v>45.96</v>
      </c>
      <c r="Z321" s="231">
        <v>14.920000000000003</v>
      </c>
      <c r="AA321" s="231">
        <v>39.119999999999997</v>
      </c>
      <c r="AB321" s="232" t="s">
        <v>2673</v>
      </c>
      <c r="AC321" s="231">
        <v>5.0374568753080302</v>
      </c>
      <c r="AD321">
        <f>IF('WetLitterbags placem_collection'!AB102="","",'WetLitterbags placem_collection'!AB102)</f>
        <v>1.6</v>
      </c>
      <c r="AE321">
        <f>IF('WetLitterbags placem_collection'!Z102="","",'WetLitterbags placem_collection'!Z102)</f>
        <v>15</v>
      </c>
      <c r="AF321" s="246" t="str">
        <f>IF('WetLitterbags placem_collection'!AA102="","",'WetLitterbags placem_collection'!AA102)</f>
        <v>G</v>
      </c>
      <c r="AG321">
        <f>IF('WetLitterbags placem_collection'!AC102="","",'WetLitterbags placem_collection'!AC102)</f>
        <v>1</v>
      </c>
      <c r="AH321" s="240">
        <f>AVERAGE('WetLitterbags placem_collection'!S102,'WetLitterbags placem_collection'!U102)</f>
        <v>16.5</v>
      </c>
      <c r="AI321">
        <f>AVERAGE('WetLitterbags placem_collection'!R102,'WetLitterbags placem_collection'!T102)</f>
        <v>29.85</v>
      </c>
      <c r="AJ321">
        <f>INDEX(Coordinates!$B$2:$B$197,MATCH(G321,Coordinates!$J$2:$J$197,0))</f>
        <v>-2.3691989950000001</v>
      </c>
      <c r="AK321">
        <f>INDEX(Coordinates!$C$2:$C$197,MATCH(G321,Coordinates!$J$2:$J$197,0))</f>
        <v>34.060208029999998</v>
      </c>
      <c r="AL321" t="str">
        <f>IF(ISNUMBER(SEARCH("C", 'WetLitterbags placem_collection'!W102)),"YES","NO")</f>
        <v>YES</v>
      </c>
      <c r="AM321" t="str">
        <f>IF(ISNUMBER(SEARCH("H", 'WetLitterbags placem_collection'!W102)),"YES","NO")</f>
        <v>YES</v>
      </c>
      <c r="AN321" t="str">
        <f>IF(ISNUMBER(SEARCH("R", 'WetLitterbags placem_collection'!W102)),"YES","NO")</f>
        <v>NO</v>
      </c>
    </row>
    <row r="322" spans="1:40" ht="15" customHeight="1">
      <c r="A322" s="258" t="s">
        <v>2460</v>
      </c>
      <c r="B322" s="263">
        <f>'Dry_Litterbag Placem_Collection'!A103</f>
        <v>101</v>
      </c>
      <c r="C322" s="263" t="str">
        <f>'Dry_Litterbag Placem_Collection'!B103</f>
        <v xml:space="preserve">Mwantimba
</v>
      </c>
      <c r="D322" s="263" t="s">
        <v>2460</v>
      </c>
      <c r="E322" s="263" t="s">
        <v>2660</v>
      </c>
      <c r="F322" s="263">
        <v>1</v>
      </c>
      <c r="G322" s="264" t="str">
        <f>'Dry_Litterbag Placem_Collection'!C103</f>
        <v>Wet_Ag1_T5</v>
      </c>
      <c r="H322" s="265" t="s">
        <v>2541</v>
      </c>
      <c r="I322" s="272" t="s">
        <v>298</v>
      </c>
      <c r="J322" s="223" t="str">
        <f>'WetLitterbags placem_collection'!M103</f>
        <v>R482</v>
      </c>
      <c r="K322" s="225">
        <f>IFERROR(INDEX('Green_rooibos initial weight'!$C$5:$C$1749,MATCH(J322, 'Green_rooibos initial weight'!$A$5:$A$1749,0)),"")</f>
        <v>2.17</v>
      </c>
      <c r="L322" s="225">
        <f>IFERROR(K322-(TBIcalc!$H$9+TBIcalc!$H$10),"")</f>
        <v>1.9201999999999999</v>
      </c>
      <c r="M322" s="391">
        <f>AVERAGE(Ashed_controlls!$K$12:$K$14)</f>
        <v>2.2816647271287041</v>
      </c>
      <c r="N322" s="225">
        <f t="shared" si="22"/>
        <v>1.8763874739096746</v>
      </c>
      <c r="O322" s="225">
        <f>IF(IFERROR(INDEX('Both teabags AfterWet'!$C$3:$C$841,MATCH(J322,'Both teabags AfterWet'!$A$3:$A$841,0)),"")="","",(IFERROR(INDEX('Both teabags AfterWet'!$C$3:$C$841,MATCH(J322,'Both teabags AfterWet'!$A$3:$A$841,0)),"")))</f>
        <v>1.6348</v>
      </c>
      <c r="P322" s="225">
        <f>IFERROR(IF(O322&gt;0,O322-(TBIcalc!$H$9),""),"")</f>
        <v>1.4842</v>
      </c>
      <c r="Q322" s="225">
        <f>IFERROR(INDEX('Ashed teabags wet'!$K$2:$K$821,MATCH(J322,'Ashed teabags wet'!$A$2:$A$821,0)),"")</f>
        <v>8.9805825242718385</v>
      </c>
      <c r="R322" s="225">
        <f t="shared" si="26"/>
        <v>1.3509101941747574</v>
      </c>
      <c r="S322" s="226">
        <f>'WetLitterbags placem_collection'!E103</f>
        <v>42762</v>
      </c>
      <c r="T322" s="226">
        <f>IF('WetLitterbags placem_collection'!G103="","",'WetLitterbags placem_collection'!G103)</f>
        <v>42816</v>
      </c>
      <c r="U322" s="227">
        <f t="shared" si="23"/>
        <v>54</v>
      </c>
      <c r="V322" s="225">
        <f t="shared" si="24"/>
        <v>0.43599999999999994</v>
      </c>
      <c r="W322" s="225">
        <f t="shared" si="25"/>
        <v>0.5254772797349172</v>
      </c>
      <c r="X322">
        <f>IFERROR(INDEX(Rainfall_Wet!$O$2:$O$217,MATCH(B322, Rainfall_Wet!$A$2:$A$217,0)),"")</f>
        <v>206.85140822299999</v>
      </c>
      <c r="Y322" s="231">
        <v>45.96</v>
      </c>
      <c r="Z322" s="231">
        <v>14.920000000000003</v>
      </c>
      <c r="AA322" s="231">
        <v>39.119999999999997</v>
      </c>
      <c r="AB322" s="232" t="s">
        <v>2673</v>
      </c>
      <c r="AC322" s="231">
        <v>6.0374568753080302</v>
      </c>
      <c r="AD322">
        <f>IF('WetLitterbags placem_collection'!AB103="","",'WetLitterbags placem_collection'!AB103)</f>
        <v>4.3499999999999996</v>
      </c>
      <c r="AE322">
        <f>IF('WetLitterbags placem_collection'!Z103="","",'WetLitterbags placem_collection'!Z103)</f>
        <v>17</v>
      </c>
      <c r="AF322" s="246" t="str">
        <f>IF('WetLitterbags placem_collection'!AA103="","",'WetLitterbags placem_collection'!AA103)</f>
        <v>G</v>
      </c>
      <c r="AG322">
        <f>IF('WetLitterbags placem_collection'!AC103="","",'WetLitterbags placem_collection'!AC103)</f>
        <v>1</v>
      </c>
      <c r="AH322" s="240">
        <f>AVERAGE('WetLitterbags placem_collection'!S103,'WetLitterbags placem_collection'!U103)</f>
        <v>22.549999999999997</v>
      </c>
      <c r="AI322">
        <f>AVERAGE('WetLitterbags placem_collection'!R103,'WetLitterbags placem_collection'!T103)</f>
        <v>31.150000000000002</v>
      </c>
      <c r="AJ322">
        <f>INDEX(Coordinates!$B$2:$B$197,MATCH(G322,Coordinates!$J$2:$J$197,0))</f>
        <v>-2.3691900260000001</v>
      </c>
      <c r="AK322">
        <f>INDEX(Coordinates!$C$2:$C$197,MATCH(G322,Coordinates!$J$2:$J$197,0))</f>
        <v>34.060177019999998</v>
      </c>
      <c r="AL322" t="str">
        <f>IF(ISNUMBER(SEARCH("C", 'WetLitterbags placem_collection'!W103)),"YES","NO")</f>
        <v>NO</v>
      </c>
      <c r="AM322" t="str">
        <f>IF(ISNUMBER(SEARCH("H", 'WetLitterbags placem_collection'!W103)),"YES","NO")</f>
        <v>NO</v>
      </c>
      <c r="AN322" t="str">
        <f>IF(ISNUMBER(SEARCH("R", 'WetLitterbags placem_collection'!W103)),"YES","NO")</f>
        <v>NO</v>
      </c>
    </row>
    <row r="323" spans="1:40" ht="15" customHeight="1">
      <c r="A323" s="258" t="s">
        <v>2460</v>
      </c>
      <c r="B323" s="263">
        <f>'Dry_Litterbag Placem_Collection'!A104</f>
        <v>102</v>
      </c>
      <c r="C323" s="263" t="str">
        <f>'Dry_Litterbag Placem_Collection'!B104</f>
        <v xml:space="preserve">Mwantimba
</v>
      </c>
      <c r="D323" s="263" t="s">
        <v>2460</v>
      </c>
      <c r="E323" s="263" t="s">
        <v>2660</v>
      </c>
      <c r="F323" s="263">
        <v>1</v>
      </c>
      <c r="G323" s="264" t="str">
        <f>'Dry_Litterbag Placem_Collection'!C104</f>
        <v>Wet_Ag1_T6</v>
      </c>
      <c r="H323" s="265" t="s">
        <v>2541</v>
      </c>
      <c r="I323" s="272" t="s">
        <v>298</v>
      </c>
      <c r="J323" s="223" t="str">
        <f>'WetLitterbags placem_collection'!M104</f>
        <v>R569</v>
      </c>
      <c r="K323" s="225">
        <f>IFERROR(INDEX('Green_rooibos initial weight'!$C$5:$C$1749,MATCH(J323, 'Green_rooibos initial weight'!$A$5:$A$1749,0)),"")</f>
        <v>2.0960000000000001</v>
      </c>
      <c r="L323" s="225">
        <f>IFERROR(K323-(TBIcalc!$H$9+TBIcalc!$H$10),"")</f>
        <v>1.8462000000000001</v>
      </c>
      <c r="M323" s="391">
        <f>AVERAGE(Ashed_controlls!$K$12:$K$14)</f>
        <v>2.2816647271287041</v>
      </c>
      <c r="N323" s="225">
        <f t="shared" ref="N323:N386" si="27">IFERROR(L323-(M323/100)*L323,"")</f>
        <v>1.80407590580775</v>
      </c>
      <c r="O323" s="225">
        <f>IF(IFERROR(INDEX('Both teabags AfterWet'!$C$3:$C$841,MATCH(J323,'Both teabags AfterWet'!$A$3:$A$841,0)),"")="","",(IFERROR(INDEX('Both teabags AfterWet'!$C$3:$C$841,MATCH(J323,'Both teabags AfterWet'!$A$3:$A$841,0)),"")))</f>
        <v>1.655</v>
      </c>
      <c r="P323" s="225">
        <f>IFERROR(IF(O323&gt;0,O323-(TBIcalc!$H$9),""),"")</f>
        <v>1.5044</v>
      </c>
      <c r="Q323" s="225">
        <f>IFERROR(INDEX('Ashed teabags wet'!$K$2:$K$821,MATCH(J323,'Ashed teabags wet'!$A$2:$A$821,0)),"")</f>
        <v>6.4211050273764974</v>
      </c>
      <c r="R323" s="225">
        <f t="shared" si="26"/>
        <v>1.4078008959681478</v>
      </c>
      <c r="S323" s="226">
        <f>'WetLitterbags placem_collection'!E104</f>
        <v>42762</v>
      </c>
      <c r="T323" s="226">
        <f>IF('WetLitterbags placem_collection'!G104="","",'WetLitterbags placem_collection'!G104)</f>
        <v>42816</v>
      </c>
      <c r="U323" s="227">
        <f t="shared" ref="U323:U386" si="28">IFERROR(T323-S323,"")</f>
        <v>54</v>
      </c>
      <c r="V323" s="225">
        <f t="shared" ref="V323:V386" si="29">IFERROR(L323-P323,"")</f>
        <v>0.3418000000000001</v>
      </c>
      <c r="W323" s="225">
        <f t="shared" ref="W323:W386" si="30">IFERROR(N323-R323,"")</f>
        <v>0.39627500983960218</v>
      </c>
      <c r="X323">
        <f>IFERROR(INDEX(Rainfall_Wet!$O$2:$O$217,MATCH(B323, Rainfall_Wet!$A$2:$A$217,0)),"")</f>
        <v>206.85140822299999</v>
      </c>
      <c r="Y323" s="231">
        <v>45.96</v>
      </c>
      <c r="Z323" s="231">
        <v>14.920000000000003</v>
      </c>
      <c r="AA323" s="231">
        <v>39.119999999999997</v>
      </c>
      <c r="AB323" s="232" t="s">
        <v>2673</v>
      </c>
      <c r="AC323" s="231">
        <v>7.0374568753080302</v>
      </c>
      <c r="AD323">
        <f>IF('WetLitterbags placem_collection'!AB104="","",'WetLitterbags placem_collection'!AB104)</f>
        <v>7.7</v>
      </c>
      <c r="AE323">
        <f>IF('WetLitterbags placem_collection'!Z104="","",'WetLitterbags placem_collection'!Z104)</f>
        <v>21</v>
      </c>
      <c r="AF323" s="246" t="str">
        <f>IF('WetLitterbags placem_collection'!AA104="","",'WetLitterbags placem_collection'!AA104)</f>
        <v>G</v>
      </c>
      <c r="AG323">
        <f>IF('WetLitterbags placem_collection'!AC104="","",'WetLitterbags placem_collection'!AC104)</f>
        <v>1</v>
      </c>
      <c r="AH323" s="240">
        <f>AVERAGE('WetLitterbags placem_collection'!S104,'WetLitterbags placem_collection'!U104)</f>
        <v>21.099999999999998</v>
      </c>
      <c r="AI323">
        <f>AVERAGE('WetLitterbags placem_collection'!R104,'WetLitterbags placem_collection'!T104)</f>
        <v>31.8</v>
      </c>
      <c r="AJ323">
        <f>INDEX(Coordinates!$B$2:$B$197,MATCH(G323,Coordinates!$J$2:$J$197,0))</f>
        <v>-2.3691350409999998</v>
      </c>
      <c r="AK323">
        <f>INDEX(Coordinates!$C$2:$C$197,MATCH(G323,Coordinates!$J$2:$J$197,0))</f>
        <v>34.06018297</v>
      </c>
      <c r="AL323" t="str">
        <f>IF(ISNUMBER(SEARCH("C", 'WetLitterbags placem_collection'!W104)),"YES","NO")</f>
        <v>NO</v>
      </c>
      <c r="AM323" t="str">
        <f>IF(ISNUMBER(SEARCH("H", 'WetLitterbags placem_collection'!W104)),"YES","NO")</f>
        <v>NO</v>
      </c>
      <c r="AN323" t="str">
        <f>IF(ISNUMBER(SEARCH("R", 'WetLitterbags placem_collection'!W104)),"YES","NO")</f>
        <v>NO</v>
      </c>
    </row>
    <row r="324" spans="1:40" ht="15" customHeight="1">
      <c r="A324" s="258" t="s">
        <v>2460</v>
      </c>
      <c r="B324" s="263">
        <f>'Dry_Litterbag Placem_Collection'!A105</f>
        <v>103</v>
      </c>
      <c r="C324" s="263" t="str">
        <f>'Dry_Litterbag Placem_Collection'!B105</f>
        <v xml:space="preserve">Mwantimba
</v>
      </c>
      <c r="D324" s="263" t="s">
        <v>2460</v>
      </c>
      <c r="E324" s="263" t="s">
        <v>2660</v>
      </c>
      <c r="F324" s="263">
        <v>1</v>
      </c>
      <c r="G324" s="264" t="str">
        <f>'Dry_Litterbag Placem_Collection'!C105</f>
        <v>Wet_Ag1_T7</v>
      </c>
      <c r="H324" s="265" t="s">
        <v>2541</v>
      </c>
      <c r="I324" s="272" t="s">
        <v>298</v>
      </c>
      <c r="J324" s="223" t="str">
        <f>'WetLitterbags placem_collection'!M105</f>
        <v>R430</v>
      </c>
      <c r="K324" s="225">
        <f>IFERROR(INDEX('Green_rooibos initial weight'!$C$5:$C$1749,MATCH(J324, 'Green_rooibos initial weight'!$A$5:$A$1749,0)),"")</f>
        <v>2.1829999999999998</v>
      </c>
      <c r="L324" s="225">
        <f>IFERROR(K324-(TBIcalc!$H$9+TBIcalc!$H$10),"")</f>
        <v>1.9331999999999998</v>
      </c>
      <c r="M324" s="391">
        <f>AVERAGE(Ashed_controlls!$K$12:$K$14)</f>
        <v>2.2816647271287041</v>
      </c>
      <c r="N324" s="225">
        <f t="shared" si="27"/>
        <v>1.8890908574951477</v>
      </c>
      <c r="O324" s="225">
        <f>IF(IFERROR(INDEX('Both teabags AfterWet'!$C$3:$C$841,MATCH(J324,'Both teabags AfterWet'!$A$3:$A$841,0)),"")="","",(IFERROR(INDEX('Both teabags AfterWet'!$C$3:$C$841,MATCH(J324,'Both teabags AfterWet'!$A$3:$A$841,0)),"")))</f>
        <v>1.629</v>
      </c>
      <c r="P324" s="225">
        <f>IFERROR(IF(O324&gt;0,O324-(TBIcalc!$H$9),""),"")</f>
        <v>1.4783999999999999</v>
      </c>
      <c r="Q324" s="225">
        <f>IFERROR(INDEX('Ashed teabags wet'!$K$2:$K$821,MATCH(J324,'Ashed teabags wet'!$A$2:$A$821,0)),"")</f>
        <v>4.7409579667641673</v>
      </c>
      <c r="R324" s="225">
        <f t="shared" si="26"/>
        <v>1.4083096774193584</v>
      </c>
      <c r="S324" s="226">
        <f>'WetLitterbags placem_collection'!E105</f>
        <v>42762</v>
      </c>
      <c r="T324" s="226">
        <f>IF('WetLitterbags placem_collection'!G105="","",'WetLitterbags placem_collection'!G105)</f>
        <v>42816</v>
      </c>
      <c r="U324" s="227">
        <f t="shared" si="28"/>
        <v>54</v>
      </c>
      <c r="V324" s="225">
        <f t="shared" si="29"/>
        <v>0.45479999999999987</v>
      </c>
      <c r="W324" s="225">
        <f t="shared" si="30"/>
        <v>0.48078118007578929</v>
      </c>
      <c r="X324">
        <f>IFERROR(INDEX(Rainfall_Wet!$O$2:$O$217,MATCH(B324, Rainfall_Wet!$A$2:$A$217,0)),"")</f>
        <v>206.85140822299999</v>
      </c>
      <c r="Y324" s="231">
        <v>45.96</v>
      </c>
      <c r="Z324" s="231">
        <v>14.920000000000003</v>
      </c>
      <c r="AA324" s="231">
        <v>39.119999999999997</v>
      </c>
      <c r="AB324" s="232" t="s">
        <v>2673</v>
      </c>
      <c r="AC324" s="231">
        <v>8.0374568753080293</v>
      </c>
      <c r="AD324">
        <f>IF('WetLitterbags placem_collection'!AB105="","",'WetLitterbags placem_collection'!AB105)</f>
        <v>3.25</v>
      </c>
      <c r="AE324">
        <f>IF('WetLitterbags placem_collection'!Z105="","",'WetLitterbags placem_collection'!Z105)</f>
        <v>16</v>
      </c>
      <c r="AF324" s="246" t="str">
        <f>IF('WetLitterbags placem_collection'!AA105="","",'WetLitterbags placem_collection'!AA105)</f>
        <v>G</v>
      </c>
      <c r="AG324">
        <f>IF('WetLitterbags placem_collection'!AC105="","",'WetLitterbags placem_collection'!AC105)</f>
        <v>1</v>
      </c>
      <c r="AH324" s="240">
        <f>AVERAGE('WetLitterbags placem_collection'!S105,'WetLitterbags placem_collection'!U105)</f>
        <v>20.450000000000003</v>
      </c>
      <c r="AI324">
        <f>AVERAGE('WetLitterbags placem_collection'!R105,'WetLitterbags placem_collection'!T105)</f>
        <v>30.25</v>
      </c>
      <c r="AJ324">
        <f>INDEX(Coordinates!$B$2:$B$197,MATCH(G324,Coordinates!$J$2:$J$197,0))</f>
        <v>-2.3691330289999999</v>
      </c>
      <c r="AK324">
        <f>INDEX(Coordinates!$C$2:$C$197,MATCH(G324,Coordinates!$J$2:$J$197,0))</f>
        <v>34.060233009999997</v>
      </c>
      <c r="AL324" t="str">
        <f>IF(ISNUMBER(SEARCH("C", 'WetLitterbags placem_collection'!W105)),"YES","NO")</f>
        <v>NO</v>
      </c>
      <c r="AM324" t="str">
        <f>IF(ISNUMBER(SEARCH("H", 'WetLitterbags placem_collection'!W105)),"YES","NO")</f>
        <v>NO</v>
      </c>
      <c r="AN324" t="str">
        <f>IF(ISNUMBER(SEARCH("R", 'WetLitterbags placem_collection'!W105)),"YES","NO")</f>
        <v>NO</v>
      </c>
    </row>
    <row r="325" spans="1:40" ht="15" customHeight="1">
      <c r="A325" s="258" t="s">
        <v>2460</v>
      </c>
      <c r="B325" s="263">
        <f>'Dry_Litterbag Placem_Collection'!A106</f>
        <v>104</v>
      </c>
      <c r="C325" s="263" t="str">
        <f>'Dry_Litterbag Placem_Collection'!B106</f>
        <v xml:space="preserve">Mwantimba
</v>
      </c>
      <c r="D325" s="263" t="s">
        <v>2460</v>
      </c>
      <c r="E325" s="263" t="s">
        <v>2660</v>
      </c>
      <c r="F325" s="263">
        <v>1</v>
      </c>
      <c r="G325" s="264" t="str">
        <f>'Dry_Litterbag Placem_Collection'!C106</f>
        <v>Wet_Ag1_T8</v>
      </c>
      <c r="H325" s="265" t="s">
        <v>2541</v>
      </c>
      <c r="I325" s="272" t="s">
        <v>298</v>
      </c>
      <c r="J325" s="223" t="str">
        <f>'WetLitterbags placem_collection'!M106</f>
        <v>R577</v>
      </c>
      <c r="K325" s="225">
        <f>IFERROR(INDEX('Green_rooibos initial weight'!$C$5:$C$1749,MATCH(J325, 'Green_rooibos initial weight'!$A$5:$A$1749,0)),"")</f>
        <v>2.0859999999999999</v>
      </c>
      <c r="L325" s="225">
        <f>IFERROR(K325-(TBIcalc!$H$9+TBIcalc!$H$10),"")</f>
        <v>1.8361999999999998</v>
      </c>
      <c r="M325" s="391">
        <f>AVERAGE(Ashed_controlls!$K$12:$K$14)</f>
        <v>2.2816647271287041</v>
      </c>
      <c r="N325" s="225">
        <f t="shared" si="27"/>
        <v>1.7943040722804626</v>
      </c>
      <c r="O325" s="225">
        <f>IF(IFERROR(INDEX('Both teabags AfterWet'!$C$3:$C$841,MATCH(J325,'Both teabags AfterWet'!$A$3:$A$841,0)),"")="","",(IFERROR(INDEX('Both teabags AfterWet'!$C$3:$C$841,MATCH(J325,'Both teabags AfterWet'!$A$3:$A$841,0)),"")))</f>
        <v>1.4470000000000001</v>
      </c>
      <c r="P325" s="225">
        <f>IFERROR(IF(O325&gt;0,O325-(TBIcalc!$H$9),""),"")</f>
        <v>1.2964</v>
      </c>
      <c r="Q325" s="225">
        <f>IFERROR(INDEX('Ashed teabags wet'!$K$2:$K$821,MATCH(J325,'Ashed teabags wet'!$A$2:$A$821,0)),"")</f>
        <v>6.3583815028902215</v>
      </c>
      <c r="R325" s="225">
        <f t="shared" si="26"/>
        <v>1.2139699421965311</v>
      </c>
      <c r="S325" s="226">
        <f>'WetLitterbags placem_collection'!E106</f>
        <v>42762</v>
      </c>
      <c r="T325" s="226">
        <f>IF('WetLitterbags placem_collection'!G106="","",'WetLitterbags placem_collection'!G106)</f>
        <v>42816</v>
      </c>
      <c r="U325" s="227">
        <f t="shared" si="28"/>
        <v>54</v>
      </c>
      <c r="V325" s="225">
        <f t="shared" si="29"/>
        <v>0.53979999999999984</v>
      </c>
      <c r="W325" s="225">
        <f t="shared" si="30"/>
        <v>0.58033413008393153</v>
      </c>
      <c r="X325">
        <f>IFERROR(INDEX(Rainfall_Wet!$O$2:$O$217,MATCH(B325, Rainfall_Wet!$A$2:$A$217,0)),"")</f>
        <v>206.85140822299999</v>
      </c>
      <c r="Y325" s="231">
        <v>45.96</v>
      </c>
      <c r="Z325" s="231">
        <v>14.920000000000003</v>
      </c>
      <c r="AA325" s="231">
        <v>39.119999999999997</v>
      </c>
      <c r="AB325" s="232" t="s">
        <v>2673</v>
      </c>
      <c r="AC325" s="231">
        <v>9.0374568753080293</v>
      </c>
      <c r="AD325">
        <f>IF('WetLitterbags placem_collection'!AB106="","",'WetLitterbags placem_collection'!AB106)</f>
        <v>10.5</v>
      </c>
      <c r="AE325">
        <f>IF('WetLitterbags placem_collection'!Z106="","",'WetLitterbags placem_collection'!Z106)</f>
        <v>17</v>
      </c>
      <c r="AF325" s="246" t="str">
        <f>IF('WetLitterbags placem_collection'!AA106="","",'WetLitterbags placem_collection'!AA106)</f>
        <v>G</v>
      </c>
      <c r="AG325">
        <f>IF('WetLitterbags placem_collection'!AC106="","",'WetLitterbags placem_collection'!AC106)</f>
        <v>1</v>
      </c>
      <c r="AH325" s="240">
        <f>AVERAGE('WetLitterbags placem_collection'!S106,'WetLitterbags placem_collection'!U106)</f>
        <v>21.6</v>
      </c>
      <c r="AI325">
        <f>AVERAGE('WetLitterbags placem_collection'!R106,'WetLitterbags placem_collection'!T106)</f>
        <v>29.3</v>
      </c>
      <c r="AJ325">
        <f>INDEX(Coordinates!$B$2:$B$197,MATCH(G325,Coordinates!$J$2:$J$197,0))</f>
        <v>-2.3692910280000001</v>
      </c>
      <c r="AK325">
        <f>INDEX(Coordinates!$C$2:$C$197,MATCH(G325,Coordinates!$J$2:$J$197,0))</f>
        <v>34.06016202</v>
      </c>
      <c r="AL325" t="str">
        <f>IF(ISNUMBER(SEARCH("C", 'WetLitterbags placem_collection'!W106)),"YES","NO")</f>
        <v>NO</v>
      </c>
      <c r="AM325" t="str">
        <f>IF(ISNUMBER(SEARCH("H", 'WetLitterbags placem_collection'!W106)),"YES","NO")</f>
        <v>NO</v>
      </c>
      <c r="AN325" t="str">
        <f>IF(ISNUMBER(SEARCH("R", 'WetLitterbags placem_collection'!W106)),"YES","NO")</f>
        <v>NO</v>
      </c>
    </row>
    <row r="326" spans="1:40" ht="15" customHeight="1">
      <c r="A326" s="258" t="s">
        <v>2460</v>
      </c>
      <c r="B326" s="263">
        <f>'Dry_Litterbag Placem_Collection'!A107</f>
        <v>105</v>
      </c>
      <c r="C326" s="263" t="str">
        <f>'Dry_Litterbag Placem_Collection'!B107</f>
        <v xml:space="preserve">Mwantimba
</v>
      </c>
      <c r="D326" s="263" t="s">
        <v>2460</v>
      </c>
      <c r="E326" s="263" t="s">
        <v>2660</v>
      </c>
      <c r="F326" s="263">
        <v>2</v>
      </c>
      <c r="G326" s="264" t="str">
        <f>'Dry_Litterbag Placem_Collection'!C107</f>
        <v>Wet_Ag2_T1</v>
      </c>
      <c r="H326" s="265" t="s">
        <v>2541</v>
      </c>
      <c r="I326" s="272" t="s">
        <v>298</v>
      </c>
      <c r="J326" s="223" t="str">
        <f>'WetLitterbags placem_collection'!M107</f>
        <v>R548</v>
      </c>
      <c r="K326" s="225">
        <f>IFERROR(INDEX('Green_rooibos initial weight'!$C$5:$C$1749,MATCH(J326, 'Green_rooibos initial weight'!$A$5:$A$1749,0)),"")</f>
        <v>2.1920000000000002</v>
      </c>
      <c r="L326" s="225">
        <f>IFERROR(K326-(TBIcalc!$H$9+TBIcalc!$H$10),"")</f>
        <v>1.9422000000000001</v>
      </c>
      <c r="M326" s="391">
        <f>AVERAGE(Ashed_controlls!$K$12:$K$14)</f>
        <v>2.2816647271287041</v>
      </c>
      <c r="N326" s="225">
        <f t="shared" si="27"/>
        <v>1.8978855076697065</v>
      </c>
      <c r="O326" s="225">
        <f>IF(IFERROR(INDEX('Both teabags AfterWet'!$C$3:$C$841,MATCH(J326,'Both teabags AfterWet'!$A$3:$A$841,0)),"")="","",(IFERROR(INDEX('Both teabags AfterWet'!$C$3:$C$841,MATCH(J326,'Both teabags AfterWet'!$A$3:$A$841,0)),"")))</f>
        <v>1.859</v>
      </c>
      <c r="P326" s="225">
        <f>IFERROR(IF(O326&gt;0,O326-(TBIcalc!$H$9),""),"")</f>
        <v>1.7083999999999999</v>
      </c>
      <c r="Q326" s="225">
        <f>IFERROR(INDEX('Ashed teabags wet'!$K$2:$K$821,MATCH(J326,'Ashed teabags wet'!$A$2:$A$821,0)),"")</f>
        <v>16.476991588322143</v>
      </c>
      <c r="R326" s="225">
        <f t="shared" si="26"/>
        <v>1.4269070757051043</v>
      </c>
      <c r="S326" s="226">
        <f>'WetLitterbags placem_collection'!E107</f>
        <v>42762</v>
      </c>
      <c r="T326" s="226">
        <f>IF('WetLitterbags placem_collection'!G107="","",'WetLitterbags placem_collection'!G107)</f>
        <v>42816</v>
      </c>
      <c r="U326" s="227">
        <f t="shared" si="28"/>
        <v>54</v>
      </c>
      <c r="V326" s="225">
        <f t="shared" si="29"/>
        <v>0.23380000000000023</v>
      </c>
      <c r="W326" s="225">
        <f t="shared" si="30"/>
        <v>0.47097843196460221</v>
      </c>
      <c r="X326">
        <f>IFERROR(INDEX(Rainfall_Wet!$O$2:$O$217,MATCH(B326, Rainfall_Wet!$A$2:$A$217,0)),"")</f>
        <v>206.85140822299999</v>
      </c>
      <c r="Y326" s="231">
        <v>34.344660194174757</v>
      </c>
      <c r="Z326" s="231">
        <v>19.22727272727273</v>
      </c>
      <c r="AA326" s="231">
        <v>46.428067078552509</v>
      </c>
      <c r="AB326" s="232" t="s">
        <v>2670</v>
      </c>
      <c r="AC326" s="231">
        <v>1.7452932479053718</v>
      </c>
      <c r="AD326">
        <f>IF('WetLitterbags placem_collection'!AB107="","",'WetLitterbags placem_collection'!AB107)</f>
        <v>5.5</v>
      </c>
      <c r="AE326">
        <f>IF('WetLitterbags placem_collection'!Z107="","",'WetLitterbags placem_collection'!Z107)</f>
        <v>23.5</v>
      </c>
      <c r="AF326" s="246" t="str">
        <f>IF('WetLitterbags placem_collection'!AA107="","",'WetLitterbags placem_collection'!AA107)</f>
        <v>M</v>
      </c>
      <c r="AG326">
        <f>IF('WetLitterbags placem_collection'!AC107="","",'WetLitterbags placem_collection'!AC107)</f>
        <v>0</v>
      </c>
      <c r="AH326" s="240">
        <f>AVERAGE('WetLitterbags placem_collection'!S107,'WetLitterbags placem_collection'!U107)</f>
        <v>11.350000000000001</v>
      </c>
      <c r="AI326">
        <f>AVERAGE('WetLitterbags placem_collection'!R107,'WetLitterbags placem_collection'!T107)</f>
        <v>32.150000000000006</v>
      </c>
      <c r="AJ326">
        <f>INDEX(Coordinates!$B$2:$B$197,MATCH(G326,Coordinates!$J$2:$J$197,0))</f>
        <v>-2.3698080240000001</v>
      </c>
      <c r="AK326">
        <f>INDEX(Coordinates!$C$2:$C$197,MATCH(G326,Coordinates!$J$2:$J$197,0))</f>
        <v>34.059671010000002</v>
      </c>
      <c r="AL326" t="str">
        <f>IF(ISNUMBER(SEARCH("C", 'WetLitterbags placem_collection'!W107)),"YES","NO")</f>
        <v>NO</v>
      </c>
      <c r="AM326" t="str">
        <f>IF(ISNUMBER(SEARCH("H", 'WetLitterbags placem_collection'!W107)),"YES","NO")</f>
        <v>NO</v>
      </c>
      <c r="AN326" t="str">
        <f>IF(ISNUMBER(SEARCH("R", 'WetLitterbags placem_collection'!W107)),"YES","NO")</f>
        <v>YES</v>
      </c>
    </row>
    <row r="327" spans="1:40" ht="15" customHeight="1">
      <c r="A327" s="258" t="s">
        <v>2460</v>
      </c>
      <c r="B327" s="263">
        <f>'Dry_Litterbag Placem_Collection'!A108</f>
        <v>106</v>
      </c>
      <c r="C327" s="263" t="str">
        <f>'Dry_Litterbag Placem_Collection'!B108</f>
        <v xml:space="preserve">Mwantimba
</v>
      </c>
      <c r="D327" s="263" t="s">
        <v>2460</v>
      </c>
      <c r="E327" s="263" t="s">
        <v>2660</v>
      </c>
      <c r="F327" s="263">
        <v>2</v>
      </c>
      <c r="G327" s="264" t="str">
        <f>'Dry_Litterbag Placem_Collection'!C108</f>
        <v>Wet_Ag2_T2</v>
      </c>
      <c r="H327" s="265" t="s">
        <v>2541</v>
      </c>
      <c r="I327" s="272" t="s">
        <v>298</v>
      </c>
      <c r="J327" s="223" t="str">
        <f>'WetLitterbags placem_collection'!M108</f>
        <v>R590</v>
      </c>
      <c r="K327" s="225">
        <f>IFERROR(INDEX('Green_rooibos initial weight'!$C$5:$C$1749,MATCH(J327, 'Green_rooibos initial weight'!$A$5:$A$1749,0)),"")</f>
        <v>2.218</v>
      </c>
      <c r="L327" s="225">
        <f>IFERROR(K327-(TBIcalc!$H$9+TBIcalc!$H$10),"")</f>
        <v>1.9681999999999999</v>
      </c>
      <c r="M327" s="391">
        <f>AVERAGE(Ashed_controlls!$K$12:$K$14)</f>
        <v>2.2816647271287041</v>
      </c>
      <c r="N327" s="225">
        <f t="shared" si="27"/>
        <v>1.9232922748406529</v>
      </c>
      <c r="O327" s="225">
        <f>IF(IFERROR(INDEX('Both teabags AfterWet'!$C$3:$C$841,MATCH(J327,'Both teabags AfterWet'!$A$3:$A$841,0)),"")="","",(IFERROR(INDEX('Both teabags AfterWet'!$C$3:$C$841,MATCH(J327,'Both teabags AfterWet'!$A$3:$A$841,0)),"")))</f>
        <v>1.7769999999999999</v>
      </c>
      <c r="P327" s="225">
        <f>IFERROR(IF(O327&gt;0,O327-(TBIcalc!$H$9),""),"")</f>
        <v>1.6263999999999998</v>
      </c>
      <c r="Q327" s="225">
        <f>IFERROR(INDEX('Ashed teabags wet'!$K$2:$K$821,MATCH(J327,'Ashed teabags wet'!$A$2:$A$821,0)),"")</f>
        <v>10.077145612343887</v>
      </c>
      <c r="R327" s="225">
        <f t="shared" si="26"/>
        <v>1.4625053037608389</v>
      </c>
      <c r="S327" s="226">
        <f>'WetLitterbags placem_collection'!E108</f>
        <v>42762</v>
      </c>
      <c r="T327" s="226">
        <f>IF('WetLitterbags placem_collection'!G108="","",'WetLitterbags placem_collection'!G108)</f>
        <v>42816</v>
      </c>
      <c r="U327" s="227">
        <f t="shared" si="28"/>
        <v>54</v>
      </c>
      <c r="V327" s="225">
        <f t="shared" si="29"/>
        <v>0.3418000000000001</v>
      </c>
      <c r="W327" s="225">
        <f t="shared" si="30"/>
        <v>0.46078697107981403</v>
      </c>
      <c r="X327">
        <f>IFERROR(INDEX(Rainfall_Wet!$O$2:$O$217,MATCH(B327, Rainfall_Wet!$A$2:$A$217,0)),"")</f>
        <v>206.85140822299999</v>
      </c>
      <c r="Y327" s="231">
        <v>34.344660194174757</v>
      </c>
      <c r="Z327" s="231">
        <v>19.22727272727273</v>
      </c>
      <c r="AA327" s="231">
        <v>46.428067078552509</v>
      </c>
      <c r="AB327" s="232" t="s">
        <v>2670</v>
      </c>
      <c r="AC327" s="231">
        <v>2.7452932479053702</v>
      </c>
      <c r="AD327">
        <f>IF('WetLitterbags placem_collection'!AB108="","",'WetLitterbags placem_collection'!AB108)</f>
        <v>8.6</v>
      </c>
      <c r="AE327">
        <f>IF('WetLitterbags placem_collection'!Z108="","",'WetLitterbags placem_collection'!Z108)</f>
        <v>17</v>
      </c>
      <c r="AF327" s="246" t="str">
        <f>IF('WetLitterbags placem_collection'!AA108="","",'WetLitterbags placem_collection'!AA108)</f>
        <v>M</v>
      </c>
      <c r="AG327">
        <f>IF('WetLitterbags placem_collection'!AC108="","",'WetLitterbags placem_collection'!AC108)</f>
        <v>0</v>
      </c>
      <c r="AH327" s="240">
        <f>AVERAGE('WetLitterbags placem_collection'!S108,'WetLitterbags placem_collection'!U108)</f>
        <v>12.4</v>
      </c>
      <c r="AI327">
        <f>AVERAGE('WetLitterbags placem_collection'!R108,'WetLitterbags placem_collection'!T108)</f>
        <v>32.950000000000003</v>
      </c>
      <c r="AJ327">
        <f>INDEX(Coordinates!$B$2:$B$197,MATCH(G327,Coordinates!$J$2:$J$197,0))</f>
        <v>-2.3697620069999998</v>
      </c>
      <c r="AK327">
        <f>INDEX(Coordinates!$C$2:$C$197,MATCH(G327,Coordinates!$J$2:$J$197,0))</f>
        <v>34.059730010000003</v>
      </c>
      <c r="AL327" t="str">
        <f>IF(ISNUMBER(SEARCH("C", 'WetLitterbags placem_collection'!W108)),"YES","NO")</f>
        <v>NO</v>
      </c>
      <c r="AM327" t="str">
        <f>IF(ISNUMBER(SEARCH("H", 'WetLitterbags placem_collection'!W108)),"YES","NO")</f>
        <v>NO</v>
      </c>
      <c r="AN327" t="str">
        <f>IF(ISNUMBER(SEARCH("R", 'WetLitterbags placem_collection'!W108)),"YES","NO")</f>
        <v>YES</v>
      </c>
    </row>
    <row r="328" spans="1:40" ht="15" customHeight="1">
      <c r="A328" s="258" t="s">
        <v>2460</v>
      </c>
      <c r="B328" s="263">
        <f>'Dry_Litterbag Placem_Collection'!A109</f>
        <v>107</v>
      </c>
      <c r="C328" s="263" t="str">
        <f>'Dry_Litterbag Placem_Collection'!B109</f>
        <v xml:space="preserve">Mwantimba
</v>
      </c>
      <c r="D328" s="263" t="s">
        <v>2460</v>
      </c>
      <c r="E328" s="263" t="s">
        <v>2660</v>
      </c>
      <c r="F328" s="263">
        <v>2</v>
      </c>
      <c r="G328" s="264" t="str">
        <f>'Dry_Litterbag Placem_Collection'!C109</f>
        <v>Wet_Ag2_T3</v>
      </c>
      <c r="H328" s="265" t="s">
        <v>2541</v>
      </c>
      <c r="I328" s="272" t="s">
        <v>298</v>
      </c>
      <c r="J328" s="223" t="str">
        <f>'WetLitterbags placem_collection'!M109</f>
        <v>R574</v>
      </c>
      <c r="K328" s="225">
        <f>IFERROR(INDEX('Green_rooibos initial weight'!$C$5:$C$1749,MATCH(J328, 'Green_rooibos initial weight'!$A$5:$A$1749,0)),"")</f>
        <v>2.16</v>
      </c>
      <c r="L328" s="225">
        <f>IFERROR(K328-(TBIcalc!$H$9+TBIcalc!$H$10),"")</f>
        <v>1.9102000000000001</v>
      </c>
      <c r="M328" s="391">
        <f>AVERAGE(Ashed_controlls!$K$12:$K$14)</f>
        <v>2.2816647271287041</v>
      </c>
      <c r="N328" s="225">
        <f t="shared" si="27"/>
        <v>1.8666156403823877</v>
      </c>
      <c r="O328" s="225">
        <f>IF(IFERROR(INDEX('Both teabags AfterWet'!$C$3:$C$841,MATCH(J328,'Both teabags AfterWet'!$A$3:$A$841,0)),"")="","",(IFERROR(INDEX('Both teabags AfterWet'!$C$3:$C$841,MATCH(J328,'Both teabags AfterWet'!$A$3:$A$841,0)),"")))</f>
        <v>1.706</v>
      </c>
      <c r="P328" s="225">
        <f>IFERROR(IF(O328&gt;0,O328-(TBIcalc!$H$9),""),"")</f>
        <v>1.5553999999999999</v>
      </c>
      <c r="Q328" s="225">
        <f>IFERROR(INDEX('Ashed teabags wet'!$K$2:$K$821,MATCH(J328,'Ashed teabags wet'!$A$2:$A$821,0)),"")</f>
        <v>6.0532687651327608</v>
      </c>
      <c r="R328" s="225">
        <f t="shared" si="26"/>
        <v>1.461247457627125</v>
      </c>
      <c r="S328" s="226">
        <f>'WetLitterbags placem_collection'!E109</f>
        <v>42762</v>
      </c>
      <c r="T328" s="226">
        <f>IF('WetLitterbags placem_collection'!G109="","",'WetLitterbags placem_collection'!G109)</f>
        <v>42816</v>
      </c>
      <c r="U328" s="227">
        <f t="shared" si="28"/>
        <v>54</v>
      </c>
      <c r="V328" s="225">
        <f t="shared" si="29"/>
        <v>0.35480000000000023</v>
      </c>
      <c r="W328" s="225">
        <f t="shared" si="30"/>
        <v>0.40536818275526265</v>
      </c>
      <c r="X328">
        <f>IFERROR(INDEX(Rainfall_Wet!$O$2:$O$217,MATCH(B328, Rainfall_Wet!$A$2:$A$217,0)),"")</f>
        <v>206.85140822299999</v>
      </c>
      <c r="Y328" s="231">
        <v>34.344660194174757</v>
      </c>
      <c r="Z328" s="231">
        <v>19.22727272727273</v>
      </c>
      <c r="AA328" s="231">
        <v>46.428067078552509</v>
      </c>
      <c r="AB328" s="232" t="s">
        <v>2670</v>
      </c>
      <c r="AC328" s="231">
        <v>3.7452932479053702</v>
      </c>
      <c r="AD328">
        <f>IF('WetLitterbags placem_collection'!AB109="","",'WetLitterbags placem_collection'!AB109)</f>
        <v>3.85</v>
      </c>
      <c r="AE328">
        <f>IF('WetLitterbags placem_collection'!Z109="","",'WetLitterbags placem_collection'!Z109)</f>
        <v>15.5</v>
      </c>
      <c r="AF328" s="246" t="str">
        <f>IF('WetLitterbags placem_collection'!AA109="","",'WetLitterbags placem_collection'!AA109)</f>
        <v>M</v>
      </c>
      <c r="AG328">
        <f>IF('WetLitterbags placem_collection'!AC109="","",'WetLitterbags placem_collection'!AC109)</f>
        <v>0</v>
      </c>
      <c r="AH328" s="240">
        <f>AVERAGE('WetLitterbags placem_collection'!S109,'WetLitterbags placem_collection'!U109)</f>
        <v>11.299999999999999</v>
      </c>
      <c r="AI328">
        <f>AVERAGE('WetLitterbags placem_collection'!R109,'WetLitterbags placem_collection'!T109)</f>
        <v>32.450000000000003</v>
      </c>
      <c r="AJ328">
        <f>INDEX(Coordinates!$B$2:$B$197,MATCH(G328,Coordinates!$J$2:$J$197,0))</f>
        <v>-2.3698409649999999</v>
      </c>
      <c r="AK328">
        <f>INDEX(Coordinates!$C$2:$C$197,MATCH(G328,Coordinates!$J$2:$J$197,0))</f>
        <v>34.059814000000003</v>
      </c>
      <c r="AL328" t="str">
        <f>IF(ISNUMBER(SEARCH("C", 'WetLitterbags placem_collection'!W109)),"YES","NO")</f>
        <v>NO</v>
      </c>
      <c r="AM328" t="str">
        <f>IF(ISNUMBER(SEARCH("H", 'WetLitterbags placem_collection'!W109)),"YES","NO")</f>
        <v>NO</v>
      </c>
      <c r="AN328" t="str">
        <f>IF(ISNUMBER(SEARCH("R", 'WetLitterbags placem_collection'!W109)),"YES","NO")</f>
        <v>NO</v>
      </c>
    </row>
    <row r="329" spans="1:40" ht="15" customHeight="1">
      <c r="A329" s="258" t="s">
        <v>2460</v>
      </c>
      <c r="B329" s="263">
        <f>'Dry_Litterbag Placem_Collection'!A110</f>
        <v>108</v>
      </c>
      <c r="C329" s="263" t="str">
        <f>'Dry_Litterbag Placem_Collection'!B110</f>
        <v xml:space="preserve">Mwantimba
</v>
      </c>
      <c r="D329" s="263" t="s">
        <v>2460</v>
      </c>
      <c r="E329" s="263" t="s">
        <v>2660</v>
      </c>
      <c r="F329" s="263">
        <v>2</v>
      </c>
      <c r="G329" s="264" t="str">
        <f>'Dry_Litterbag Placem_Collection'!C110</f>
        <v>Wet_Ag2_T4</v>
      </c>
      <c r="H329" s="265" t="s">
        <v>2541</v>
      </c>
      <c r="I329" s="272" t="s">
        <v>298</v>
      </c>
      <c r="J329" s="223" t="str">
        <f>'WetLitterbags placem_collection'!M110</f>
        <v>R8</v>
      </c>
      <c r="K329" s="225">
        <f>IFERROR(INDEX('Green_rooibos initial weight'!$C$5:$C$1749,MATCH(J329, 'Green_rooibos initial weight'!$A$5:$A$1749,0)),"")</f>
        <v>2.23</v>
      </c>
      <c r="L329" s="225">
        <f>IFERROR(K329-(TBIcalc!$H$9+TBIcalc!$H$10),"")</f>
        <v>1.9802</v>
      </c>
      <c r="M329" s="391">
        <f>AVERAGE(Ashed_controlls!$K$12:$K$14)</f>
        <v>2.2816647271287041</v>
      </c>
      <c r="N329" s="225">
        <f t="shared" si="27"/>
        <v>1.9350184750733974</v>
      </c>
      <c r="O329" s="225">
        <f>IF(IFERROR(INDEX('Both teabags AfterWet'!$C$3:$C$841,MATCH(J329,'Both teabags AfterWet'!$A$3:$A$841,0)),"")="","",(IFERROR(INDEX('Both teabags AfterWet'!$C$3:$C$841,MATCH(J329,'Both teabags AfterWet'!$A$3:$A$841,0)),"")))</f>
        <v>1.536</v>
      </c>
      <c r="P329" s="225">
        <f>IFERROR(IF(O329&gt;0,O329-(TBIcalc!$H$9),""),"")</f>
        <v>1.3854</v>
      </c>
      <c r="Q329" s="225">
        <f>IFERROR(INDEX('Ashed teabags wet'!$K$2:$K$821,MATCH(J329,'Ashed teabags wet'!$A$2:$A$821,0)),"")</f>
        <v>8.2171314741042973</v>
      </c>
      <c r="R329" s="225">
        <f t="shared" si="26"/>
        <v>1.2715598605577589</v>
      </c>
      <c r="S329" s="226">
        <f>'WetLitterbags placem_collection'!E110</f>
        <v>42762</v>
      </c>
      <c r="T329" s="226">
        <f>IF('WetLitterbags placem_collection'!G110="","",'WetLitterbags placem_collection'!G110)</f>
        <v>42816</v>
      </c>
      <c r="U329" s="227">
        <f t="shared" si="28"/>
        <v>54</v>
      </c>
      <c r="V329" s="225">
        <f t="shared" si="29"/>
        <v>0.5948</v>
      </c>
      <c r="W329" s="225">
        <f t="shared" si="30"/>
        <v>0.66345861451563848</v>
      </c>
      <c r="X329">
        <f>IFERROR(INDEX(Rainfall_Wet!$O$2:$O$217,MATCH(B329, Rainfall_Wet!$A$2:$A$217,0)),"")</f>
        <v>206.85140822299999</v>
      </c>
      <c r="Y329" s="231">
        <v>34.344660194174757</v>
      </c>
      <c r="Z329" s="231">
        <v>19.22727272727273</v>
      </c>
      <c r="AA329" s="231">
        <v>46.428067078552509</v>
      </c>
      <c r="AB329" s="232" t="s">
        <v>2670</v>
      </c>
      <c r="AC329" s="231">
        <v>4.7452932479053702</v>
      </c>
      <c r="AD329">
        <f>IF('WetLitterbags placem_collection'!AB110="","",'WetLitterbags placem_collection'!AB110)</f>
        <v>9.6999999999999993</v>
      </c>
      <c r="AE329">
        <f>IF('WetLitterbags placem_collection'!Z110="","",'WetLitterbags placem_collection'!Z110)</f>
        <v>22.5</v>
      </c>
      <c r="AF329" s="246" t="str">
        <f>IF('WetLitterbags placem_collection'!AA110="","",'WetLitterbags placem_collection'!AA110)</f>
        <v>M</v>
      </c>
      <c r="AG329">
        <f>IF('WetLitterbags placem_collection'!AC110="","",'WetLitterbags placem_collection'!AC110)</f>
        <v>0</v>
      </c>
      <c r="AH329" s="240">
        <f>AVERAGE('WetLitterbags placem_collection'!S110,'WetLitterbags placem_collection'!U110)</f>
        <v>15.1</v>
      </c>
      <c r="AI329">
        <f>AVERAGE('WetLitterbags placem_collection'!R110,'WetLitterbags placem_collection'!T110)</f>
        <v>31.55</v>
      </c>
      <c r="AJ329">
        <f>INDEX(Coordinates!$B$2:$B$197,MATCH(G329,Coordinates!$J$2:$J$197,0))</f>
        <v>-2.3698620030000002</v>
      </c>
      <c r="AK329">
        <f>INDEX(Coordinates!$C$2:$C$197,MATCH(G329,Coordinates!$J$2:$J$197,0))</f>
        <v>34.059759020000001</v>
      </c>
      <c r="AL329" t="str">
        <f>IF(ISNUMBER(SEARCH("C", 'WetLitterbags placem_collection'!W110)),"YES","NO")</f>
        <v>NO</v>
      </c>
      <c r="AM329" t="str">
        <f>IF(ISNUMBER(SEARCH("H", 'WetLitterbags placem_collection'!W110)),"YES","NO")</f>
        <v>YES</v>
      </c>
      <c r="AN329" t="str">
        <f>IF(ISNUMBER(SEARCH("R", 'WetLitterbags placem_collection'!W110)),"YES","NO")</f>
        <v>NO</v>
      </c>
    </row>
    <row r="330" spans="1:40" ht="15" customHeight="1">
      <c r="A330" s="258" t="s">
        <v>2460</v>
      </c>
      <c r="B330" s="263">
        <f>'Dry_Litterbag Placem_Collection'!A111</f>
        <v>109</v>
      </c>
      <c r="C330" s="263" t="str">
        <f>'Dry_Litterbag Placem_Collection'!B111</f>
        <v xml:space="preserve">Mwantimba
</v>
      </c>
      <c r="D330" s="263" t="s">
        <v>2460</v>
      </c>
      <c r="E330" s="263" t="s">
        <v>2660</v>
      </c>
      <c r="F330" s="263">
        <v>2</v>
      </c>
      <c r="G330" s="264" t="str">
        <f>'Dry_Litterbag Placem_Collection'!C111</f>
        <v>Wet_Ag2_T5</v>
      </c>
      <c r="H330" s="265" t="s">
        <v>2541</v>
      </c>
      <c r="I330" s="272" t="s">
        <v>298</v>
      </c>
      <c r="J330" s="223" t="str">
        <f>'WetLitterbags placem_collection'!M111</f>
        <v>R552</v>
      </c>
      <c r="K330" s="225">
        <f>IFERROR(INDEX('Green_rooibos initial weight'!$C$5:$C$1749,MATCH(J330, 'Green_rooibos initial weight'!$A$5:$A$1749,0)),"")</f>
        <v>2.222</v>
      </c>
      <c r="L330" s="225">
        <f>IFERROR(K330-(TBIcalc!$H$9+TBIcalc!$H$10),"")</f>
        <v>1.9722</v>
      </c>
      <c r="M330" s="391">
        <f>AVERAGE(Ashed_controlls!$K$12:$K$14)</f>
        <v>2.2816647271287041</v>
      </c>
      <c r="N330" s="225">
        <f t="shared" si="27"/>
        <v>1.9272010082515676</v>
      </c>
      <c r="O330" s="225">
        <f>IF(IFERROR(INDEX('Both teabags AfterWet'!$C$3:$C$841,MATCH(J330,'Both teabags AfterWet'!$A$3:$A$841,0)),"")="","",(IFERROR(INDEX('Both teabags AfterWet'!$C$3:$C$841,MATCH(J330,'Both teabags AfterWet'!$A$3:$A$841,0)),"")))</f>
        <v>1.7532000000000001</v>
      </c>
      <c r="P330" s="225">
        <f>IFERROR(IF(O330&gt;0,O330-(TBIcalc!$H$9),""),"")</f>
        <v>1.6026</v>
      </c>
      <c r="Q330" s="225">
        <f>IFERROR(INDEX('Ashed teabags wet'!$K$2:$K$821,MATCH(J330,'Ashed teabags wet'!$A$2:$A$821,0)),"")</f>
        <v>9.2346938775513898</v>
      </c>
      <c r="R330" s="225">
        <f t="shared" si="26"/>
        <v>1.4546047959183614</v>
      </c>
      <c r="S330" s="226">
        <f>'WetLitterbags placem_collection'!E111</f>
        <v>42762</v>
      </c>
      <c r="T330" s="226">
        <f>IF('WetLitterbags placem_collection'!G111="","",'WetLitterbags placem_collection'!G111)</f>
        <v>42816</v>
      </c>
      <c r="U330" s="227">
        <f t="shared" si="28"/>
        <v>54</v>
      </c>
      <c r="V330" s="225">
        <f t="shared" si="29"/>
        <v>0.36959999999999993</v>
      </c>
      <c r="W330" s="225">
        <f t="shared" si="30"/>
        <v>0.47259621233320614</v>
      </c>
      <c r="X330">
        <f>IFERROR(INDEX(Rainfall_Wet!$O$2:$O$217,MATCH(B330, Rainfall_Wet!$A$2:$A$217,0)),"")</f>
        <v>206.85140822299999</v>
      </c>
      <c r="Y330" s="231">
        <v>34.344660194174757</v>
      </c>
      <c r="Z330" s="231">
        <v>19.22727272727273</v>
      </c>
      <c r="AA330" s="231">
        <v>46.428067078552509</v>
      </c>
      <c r="AB330" s="232" t="s">
        <v>2670</v>
      </c>
      <c r="AC330" s="231">
        <v>5.7452932479053702</v>
      </c>
      <c r="AD330">
        <f>IF('WetLitterbags placem_collection'!AB111="","",'WetLitterbags placem_collection'!AB111)</f>
        <v>10.5</v>
      </c>
      <c r="AE330">
        <f>IF('WetLitterbags placem_collection'!Z111="","",'WetLitterbags placem_collection'!Z111)</f>
        <v>22.5</v>
      </c>
      <c r="AF330" s="246" t="str">
        <f>IF('WetLitterbags placem_collection'!AA111="","",'WetLitterbags placem_collection'!AA111)</f>
        <v>M</v>
      </c>
      <c r="AG330">
        <f>IF('WetLitterbags placem_collection'!AC111="","",'WetLitterbags placem_collection'!AC111)</f>
        <v>0</v>
      </c>
      <c r="AH330" s="240">
        <f>AVERAGE('WetLitterbags placem_collection'!S111,'WetLitterbags placem_collection'!U111)</f>
        <v>9</v>
      </c>
      <c r="AI330">
        <f>AVERAGE('WetLitterbags placem_collection'!R111,'WetLitterbags placem_collection'!T111)</f>
        <v>33.5</v>
      </c>
      <c r="AJ330">
        <f>INDEX(Coordinates!$B$2:$B$197,MATCH(G330,Coordinates!$J$2:$J$197,0))</f>
        <v>-2.3698390370000002</v>
      </c>
      <c r="AK330">
        <f>INDEX(Coordinates!$C$2:$C$197,MATCH(G330,Coordinates!$J$2:$J$197,0))</f>
        <v>34.059714</v>
      </c>
      <c r="AL330" t="str">
        <f>IF(ISNUMBER(SEARCH("C", 'WetLitterbags placem_collection'!W111)),"YES","NO")</f>
        <v>NO</v>
      </c>
      <c r="AM330" t="str">
        <f>IF(ISNUMBER(SEARCH("H", 'WetLitterbags placem_collection'!W111)),"YES","NO")</f>
        <v>NO</v>
      </c>
      <c r="AN330" t="str">
        <f>IF(ISNUMBER(SEARCH("R", 'WetLitterbags placem_collection'!W111)),"YES","NO")</f>
        <v>NO</v>
      </c>
    </row>
    <row r="331" spans="1:40" ht="15" customHeight="1">
      <c r="A331" s="258" t="s">
        <v>2460</v>
      </c>
      <c r="B331" s="263">
        <f>'Dry_Litterbag Placem_Collection'!A112</f>
        <v>110</v>
      </c>
      <c r="C331" s="263" t="str">
        <f>'Dry_Litterbag Placem_Collection'!B112</f>
        <v xml:space="preserve">Mwantimba
</v>
      </c>
      <c r="D331" s="263" t="s">
        <v>2460</v>
      </c>
      <c r="E331" s="263" t="s">
        <v>2660</v>
      </c>
      <c r="F331" s="263">
        <v>2</v>
      </c>
      <c r="G331" s="264" t="str">
        <f>'Dry_Litterbag Placem_Collection'!C112</f>
        <v>Wet_Ag2_T6</v>
      </c>
      <c r="H331" s="265" t="s">
        <v>2541</v>
      </c>
      <c r="I331" s="272" t="s">
        <v>298</v>
      </c>
      <c r="J331" s="223" t="str">
        <f>'WetLitterbags placem_collection'!M112</f>
        <v>R462</v>
      </c>
      <c r="K331" s="225">
        <f>IFERROR(INDEX('Green_rooibos initial weight'!$C$5:$C$1749,MATCH(J331, 'Green_rooibos initial weight'!$A$5:$A$1749,0)),"")</f>
        <v>2.226</v>
      </c>
      <c r="L331" s="225">
        <f>IFERROR(K331-(TBIcalc!$H$9+TBIcalc!$H$10),"")</f>
        <v>1.9762</v>
      </c>
      <c r="M331" s="391">
        <f>AVERAGE(Ashed_controlls!$K$12:$K$14)</f>
        <v>2.2816647271287041</v>
      </c>
      <c r="N331" s="225">
        <f t="shared" si="27"/>
        <v>1.9311097416624825</v>
      </c>
      <c r="O331" s="225">
        <f>IF(IFERROR(INDEX('Both teabags AfterWet'!$C$3:$C$841,MATCH(J331,'Both teabags AfterWet'!$A$3:$A$841,0)),"")="","",(IFERROR(INDEX('Both teabags AfterWet'!$C$3:$C$841,MATCH(J331,'Both teabags AfterWet'!$A$3:$A$841,0)),"")))</f>
        <v>1.5465</v>
      </c>
      <c r="P331" s="225">
        <f>IFERROR(IF(O331&gt;0,O331-(TBIcalc!$H$9),""),"")</f>
        <v>1.3958999999999999</v>
      </c>
      <c r="Q331" s="225">
        <f>IFERROR(INDEX('Ashed teabags wet'!$K$2:$K$821,MATCH(J331,'Ashed teabags wet'!$A$2:$A$821,0)),"")</f>
        <v>7.3158914728682047</v>
      </c>
      <c r="R331" s="225">
        <f t="shared" ref="R331:R394" si="31">IFERROR(P331-(Q331/100)*P331,"")</f>
        <v>1.2937774709302325</v>
      </c>
      <c r="S331" s="226">
        <f>'WetLitterbags placem_collection'!E112</f>
        <v>42762</v>
      </c>
      <c r="T331" s="226">
        <f>IF('WetLitterbags placem_collection'!G112="","",'WetLitterbags placem_collection'!G112)</f>
        <v>42816</v>
      </c>
      <c r="U331" s="227">
        <f t="shared" si="28"/>
        <v>54</v>
      </c>
      <c r="V331" s="225">
        <f t="shared" si="29"/>
        <v>0.58030000000000004</v>
      </c>
      <c r="W331" s="225">
        <f t="shared" si="30"/>
        <v>0.63733227073224996</v>
      </c>
      <c r="X331">
        <f>IFERROR(INDEX(Rainfall_Wet!$O$2:$O$217,MATCH(B331, Rainfall_Wet!$A$2:$A$217,0)),"")</f>
        <v>206.85140822299999</v>
      </c>
      <c r="Y331" s="231">
        <v>34.344660194174757</v>
      </c>
      <c r="Z331" s="231">
        <v>19.22727272727273</v>
      </c>
      <c r="AA331" s="231">
        <v>46.428067078552509</v>
      </c>
      <c r="AB331" s="232" t="s">
        <v>2670</v>
      </c>
      <c r="AC331" s="231">
        <v>6.7452932479053702</v>
      </c>
      <c r="AD331">
        <f>IF('WetLitterbags placem_collection'!AB112="","",'WetLitterbags placem_collection'!AB112)</f>
        <v>5.75</v>
      </c>
      <c r="AE331">
        <f>IF('WetLitterbags placem_collection'!Z112="","",'WetLitterbags placem_collection'!Z112)</f>
        <v>22.5</v>
      </c>
      <c r="AF331" s="246" t="str">
        <f>IF('WetLitterbags placem_collection'!AA112="","",'WetLitterbags placem_collection'!AA112)</f>
        <v>M</v>
      </c>
      <c r="AG331">
        <f>IF('WetLitterbags placem_collection'!AC112="","",'WetLitterbags placem_collection'!AC112)</f>
        <v>0</v>
      </c>
      <c r="AH331" s="240">
        <f>AVERAGE('WetLitterbags placem_collection'!S112,'WetLitterbags placem_collection'!U112)</f>
        <v>16.950000000000003</v>
      </c>
      <c r="AI331">
        <f>AVERAGE('WetLitterbags placem_collection'!R112,'WetLitterbags placem_collection'!T112)</f>
        <v>30.5</v>
      </c>
      <c r="AJ331">
        <f>INDEX(Coordinates!$B$2:$B$197,MATCH(G331,Coordinates!$J$2:$J$197,0))</f>
        <v>-2.3697549659999999</v>
      </c>
      <c r="AK331">
        <f>INDEX(Coordinates!$C$2:$C$197,MATCH(G331,Coordinates!$J$2:$J$197,0))</f>
        <v>34.059668989999999</v>
      </c>
      <c r="AL331" t="str">
        <f>IF(ISNUMBER(SEARCH("C", 'WetLitterbags placem_collection'!W112)),"YES","NO")</f>
        <v>NO</v>
      </c>
      <c r="AM331" t="str">
        <f>IF(ISNUMBER(SEARCH("H", 'WetLitterbags placem_collection'!W112)),"YES","NO")</f>
        <v>NO</v>
      </c>
      <c r="AN331" t="str">
        <f>IF(ISNUMBER(SEARCH("R", 'WetLitterbags placem_collection'!W112)),"YES","NO")</f>
        <v>NO</v>
      </c>
    </row>
    <row r="332" spans="1:40" ht="15" customHeight="1">
      <c r="A332" s="258" t="s">
        <v>2460</v>
      </c>
      <c r="B332" s="263">
        <f>'Dry_Litterbag Placem_Collection'!A113</f>
        <v>111</v>
      </c>
      <c r="C332" s="263" t="str">
        <f>'Dry_Litterbag Placem_Collection'!B113</f>
        <v xml:space="preserve">Mwantimba
</v>
      </c>
      <c r="D332" s="263" t="s">
        <v>2460</v>
      </c>
      <c r="E332" s="263" t="s">
        <v>2660</v>
      </c>
      <c r="F332" s="263">
        <v>2</v>
      </c>
      <c r="G332" s="264" t="str">
        <f>'Dry_Litterbag Placem_Collection'!C113</f>
        <v>Wet_Ag2_T7</v>
      </c>
      <c r="H332" s="265" t="s">
        <v>2541</v>
      </c>
      <c r="I332" s="272" t="s">
        <v>298</v>
      </c>
      <c r="J332" s="223" t="str">
        <f>'WetLitterbags placem_collection'!M113</f>
        <v>R505</v>
      </c>
      <c r="K332" s="225">
        <f>IFERROR(INDEX('Green_rooibos initial weight'!$C$5:$C$1749,MATCH(J332, 'Green_rooibos initial weight'!$A$5:$A$1749,0)),"")</f>
        <v>2.198</v>
      </c>
      <c r="L332" s="225">
        <f>IFERROR(K332-(TBIcalc!$H$9+TBIcalc!$H$10),"")</f>
        <v>1.9481999999999999</v>
      </c>
      <c r="M332" s="391">
        <f>AVERAGE(Ashed_controlls!$K$12:$K$14)</f>
        <v>2.2816647271287041</v>
      </c>
      <c r="N332" s="225">
        <f t="shared" si="27"/>
        <v>1.9037486077860786</v>
      </c>
      <c r="O332" s="225">
        <f>IF(IFERROR(INDEX('Both teabags AfterWet'!$C$3:$C$841,MATCH(J332,'Both teabags AfterWet'!$A$3:$A$841,0)),"")="","",(IFERROR(INDEX('Both teabags AfterWet'!$C$3:$C$841,MATCH(J332,'Both teabags AfterWet'!$A$3:$A$841,0)),"")))</f>
        <v>1.673</v>
      </c>
      <c r="P332" s="225">
        <f>IFERROR(IF(O332&gt;0,O332-(TBIcalc!$H$9),""),"")</f>
        <v>1.5224</v>
      </c>
      <c r="Q332" s="225">
        <f>IFERROR(INDEX('Ashed teabags wet'!$K$2:$K$821,MATCH(J332,'Ashed teabags wet'!$A$2:$A$821,0)),"")</f>
        <v>8.7623762376235934</v>
      </c>
      <c r="R332" s="225">
        <f t="shared" si="31"/>
        <v>1.3890015841584185</v>
      </c>
      <c r="S332" s="226">
        <f>'WetLitterbags placem_collection'!E113</f>
        <v>42762</v>
      </c>
      <c r="T332" s="226">
        <f>IF('WetLitterbags placem_collection'!G113="","",'WetLitterbags placem_collection'!G113)</f>
        <v>42816</v>
      </c>
      <c r="U332" s="227">
        <f t="shared" si="28"/>
        <v>54</v>
      </c>
      <c r="V332" s="225">
        <f t="shared" si="29"/>
        <v>0.42579999999999996</v>
      </c>
      <c r="W332" s="225">
        <f t="shared" si="30"/>
        <v>0.51474702362766012</v>
      </c>
      <c r="X332">
        <f>IFERROR(INDEX(Rainfall_Wet!$O$2:$O$217,MATCH(B332, Rainfall_Wet!$A$2:$A$217,0)),"")</f>
        <v>206.85140822299999</v>
      </c>
      <c r="Y332" s="231">
        <v>34.344660194174757</v>
      </c>
      <c r="Z332" s="231">
        <v>19.22727272727273</v>
      </c>
      <c r="AA332" s="231">
        <v>46.428067078552509</v>
      </c>
      <c r="AB332" s="232" t="s">
        <v>2670</v>
      </c>
      <c r="AC332" s="231">
        <v>7.7452932479053702</v>
      </c>
      <c r="AD332">
        <f>IF('WetLitterbags placem_collection'!AB113="","",'WetLitterbags placem_collection'!AB113)</f>
        <v>6.1</v>
      </c>
      <c r="AE332">
        <f>IF('WetLitterbags placem_collection'!Z113="","",'WetLitterbags placem_collection'!Z113)</f>
        <v>26</v>
      </c>
      <c r="AF332" s="246" t="str">
        <f>IF('WetLitterbags placem_collection'!AA113="","",'WetLitterbags placem_collection'!AA113)</f>
        <v>M</v>
      </c>
      <c r="AG332">
        <f>IF('WetLitterbags placem_collection'!AC113="","",'WetLitterbags placem_collection'!AC113)</f>
        <v>0</v>
      </c>
      <c r="AH332" s="240">
        <f>AVERAGE('WetLitterbags placem_collection'!S113,'WetLitterbags placem_collection'!U113)</f>
        <v>11.1</v>
      </c>
      <c r="AI332">
        <f>AVERAGE('WetLitterbags placem_collection'!R113,'WetLitterbags placem_collection'!T113)</f>
        <v>32.65</v>
      </c>
      <c r="AJ332">
        <f>INDEX(Coordinates!$B$2:$B$197,MATCH(G332,Coordinates!$J$2:$J$197,0))</f>
        <v>-2.3697330060000001</v>
      </c>
      <c r="AK332">
        <f>INDEX(Coordinates!$C$2:$C$197,MATCH(G332,Coordinates!$J$2:$J$197,0))</f>
        <v>34.059615010000002</v>
      </c>
      <c r="AL332" t="str">
        <f>IF(ISNUMBER(SEARCH("C", 'WetLitterbags placem_collection'!W113)),"YES","NO")</f>
        <v>NO</v>
      </c>
      <c r="AM332" t="str">
        <f>IF(ISNUMBER(SEARCH("H", 'WetLitterbags placem_collection'!W113)),"YES","NO")</f>
        <v>NO</v>
      </c>
      <c r="AN332" t="str">
        <f>IF(ISNUMBER(SEARCH("R", 'WetLitterbags placem_collection'!W113)),"YES","NO")</f>
        <v>NO</v>
      </c>
    </row>
    <row r="333" spans="1:40" ht="15" customHeight="1">
      <c r="A333" s="258" t="s">
        <v>2460</v>
      </c>
      <c r="B333" s="263">
        <f>'Dry_Litterbag Placem_Collection'!A114</f>
        <v>112</v>
      </c>
      <c r="C333" s="263" t="str">
        <f>'Dry_Litterbag Placem_Collection'!B114</f>
        <v xml:space="preserve">Mwantimba
</v>
      </c>
      <c r="D333" s="263" t="s">
        <v>2460</v>
      </c>
      <c r="E333" s="263" t="s">
        <v>2660</v>
      </c>
      <c r="F333" s="263">
        <v>2</v>
      </c>
      <c r="G333" s="264" t="str">
        <f>'Dry_Litterbag Placem_Collection'!C114</f>
        <v>Wet_Ag2_T8</v>
      </c>
      <c r="H333" s="265" t="s">
        <v>2541</v>
      </c>
      <c r="I333" s="272" t="s">
        <v>298</v>
      </c>
      <c r="J333" s="223" t="str">
        <f>'WetLitterbags placem_collection'!M114</f>
        <v>R41</v>
      </c>
      <c r="K333" s="225">
        <f>IFERROR(INDEX('Green_rooibos initial weight'!$C$5:$C$1749,MATCH(J333, 'Green_rooibos initial weight'!$A$5:$A$1749,0)),"")</f>
        <v>2.2010000000000001</v>
      </c>
      <c r="L333" s="225">
        <f>IFERROR(K333-(TBIcalc!$H$9+TBIcalc!$H$10),"")</f>
        <v>1.9512</v>
      </c>
      <c r="M333" s="391">
        <f>AVERAGE(Ashed_controlls!$K$12:$K$14)</f>
        <v>2.2816647271287041</v>
      </c>
      <c r="N333" s="225">
        <f t="shared" si="27"/>
        <v>1.9066801578442647</v>
      </c>
      <c r="O333" s="225">
        <f>IF(IFERROR(INDEX('Both teabags AfterWet'!$C$3:$C$841,MATCH(J333,'Both teabags AfterWet'!$A$3:$A$841,0)),"")="","",(IFERROR(INDEX('Both teabags AfterWet'!$C$3:$C$841,MATCH(J333,'Both teabags AfterWet'!$A$3:$A$841,0)),"")))</f>
        <v>1.6910000000000001</v>
      </c>
      <c r="P333" s="225">
        <f>IFERROR(IF(O333&gt;0,O333-(TBIcalc!$H$9),""),"")</f>
        <v>1.5404</v>
      </c>
      <c r="Q333" s="225">
        <f>IFERROR(INDEX('Ashed teabags wet'!$K$2:$K$821,MATCH(J333,'Ashed teabags wet'!$A$2:$A$821,0)),"")</f>
        <v>6.9995105237407165</v>
      </c>
      <c r="R333" s="225">
        <f t="shared" si="31"/>
        <v>1.432579539892298</v>
      </c>
      <c r="S333" s="226">
        <f>'WetLitterbags placem_collection'!E114</f>
        <v>42762</v>
      </c>
      <c r="T333" s="226">
        <f>IF('WetLitterbags placem_collection'!G114="","",'WetLitterbags placem_collection'!G114)</f>
        <v>42816</v>
      </c>
      <c r="U333" s="227">
        <f t="shared" si="28"/>
        <v>54</v>
      </c>
      <c r="V333" s="225">
        <f t="shared" si="29"/>
        <v>0.41080000000000005</v>
      </c>
      <c r="W333" s="225">
        <f t="shared" si="30"/>
        <v>0.47410061795196667</v>
      </c>
      <c r="X333">
        <f>IFERROR(INDEX(Rainfall_Wet!$O$2:$O$217,MATCH(B333, Rainfall_Wet!$A$2:$A$217,0)),"")</f>
        <v>206.85140822299999</v>
      </c>
      <c r="Y333" s="231">
        <v>34.344660194174757</v>
      </c>
      <c r="Z333" s="231">
        <v>19.22727272727273</v>
      </c>
      <c r="AA333" s="231">
        <v>46.428067078552509</v>
      </c>
      <c r="AB333" s="232" t="s">
        <v>2670</v>
      </c>
      <c r="AC333" s="231">
        <v>8.7452932479053693</v>
      </c>
      <c r="AD333">
        <f>IF('WetLitterbags placem_collection'!AB114="","",'WetLitterbags placem_collection'!AB114)</f>
        <v>11.5</v>
      </c>
      <c r="AE333">
        <f>IF('WetLitterbags placem_collection'!Z114="","",'WetLitterbags placem_collection'!Z114)</f>
        <v>15</v>
      </c>
      <c r="AF333" s="246" t="str">
        <f>IF('WetLitterbags placem_collection'!AA114="","",'WetLitterbags placem_collection'!AA114)</f>
        <v>M</v>
      </c>
      <c r="AG333">
        <f>IF('WetLitterbags placem_collection'!AC114="","",'WetLitterbags placem_collection'!AC114)</f>
        <v>0</v>
      </c>
      <c r="AH333" s="240">
        <f>AVERAGE('WetLitterbags placem_collection'!S114,'WetLitterbags placem_collection'!U114)</f>
        <v>15.2</v>
      </c>
      <c r="AI333">
        <f>AVERAGE('WetLitterbags placem_collection'!R114,'WetLitterbags placem_collection'!T114)</f>
        <v>31.450000000000003</v>
      </c>
      <c r="AJ333">
        <f>INDEX(Coordinates!$B$2:$B$197,MATCH(G333,Coordinates!$J$2:$J$197,0))</f>
        <v>-2.36967098</v>
      </c>
      <c r="AK333">
        <f>INDEX(Coordinates!$C$2:$C$197,MATCH(G333,Coordinates!$J$2:$J$197,0))</f>
        <v>34.059735959999998</v>
      </c>
      <c r="AL333" t="str">
        <f>IF(ISNUMBER(SEARCH("C", 'WetLitterbags placem_collection'!W114)),"YES","NO")</f>
        <v>NO</v>
      </c>
      <c r="AM333" t="str">
        <f>IF(ISNUMBER(SEARCH("H", 'WetLitterbags placem_collection'!W114)),"YES","NO")</f>
        <v>NO</v>
      </c>
      <c r="AN333" t="str">
        <f>IF(ISNUMBER(SEARCH("R", 'WetLitterbags placem_collection'!W114)),"YES","NO")</f>
        <v>YES</v>
      </c>
    </row>
    <row r="334" spans="1:40" ht="15" customHeight="1">
      <c r="A334" s="258" t="s">
        <v>2460</v>
      </c>
      <c r="B334" s="263">
        <f>'Dry_Litterbag Placem_Collection'!A115</f>
        <v>113</v>
      </c>
      <c r="C334" s="263" t="str">
        <f>'Dry_Litterbag Placem_Collection'!B115</f>
        <v xml:space="preserve">Mwantimba
</v>
      </c>
      <c r="D334" s="263" t="s">
        <v>2460</v>
      </c>
      <c r="E334" s="263" t="s">
        <v>2660</v>
      </c>
      <c r="F334" s="263">
        <v>3</v>
      </c>
      <c r="G334" s="264" t="str">
        <f>'Dry_Litterbag Placem_Collection'!C115</f>
        <v>Wet_Ag3_T1</v>
      </c>
      <c r="H334" s="265" t="s">
        <v>2541</v>
      </c>
      <c r="I334" s="272" t="s">
        <v>298</v>
      </c>
      <c r="J334" s="223" t="str">
        <f>'WetLitterbags placem_collection'!M115</f>
        <v>R428</v>
      </c>
      <c r="K334" s="225">
        <f>IFERROR(INDEX('Green_rooibos initial weight'!$C$5:$C$1749,MATCH(J334, 'Green_rooibos initial weight'!$A$5:$A$1749,0)),"")</f>
        <v>2.202</v>
      </c>
      <c r="L334" s="225">
        <f>IFERROR(K334-(TBIcalc!$H$9+TBIcalc!$H$10),"")</f>
        <v>1.9521999999999999</v>
      </c>
      <c r="M334" s="391">
        <f>AVERAGE(Ashed_controlls!$K$12:$K$14)</f>
        <v>2.2816647271287041</v>
      </c>
      <c r="N334" s="225">
        <f t="shared" si="27"/>
        <v>1.9076573411969935</v>
      </c>
      <c r="O334" s="225">
        <f>IF(IFERROR(INDEX('Both teabags AfterWet'!$C$3:$C$841,MATCH(J334,'Both teabags AfterWet'!$A$3:$A$841,0)),"")="","",(IFERROR(INDEX('Both teabags AfterWet'!$C$3:$C$841,MATCH(J334,'Both teabags AfterWet'!$A$3:$A$841,0)),"")))</f>
        <v>1.768</v>
      </c>
      <c r="P334" s="225">
        <f>IFERROR(IF(O334&gt;0,O334-(TBIcalc!$H$9),""),"")</f>
        <v>1.6173999999999999</v>
      </c>
      <c r="Q334" s="225">
        <f>IFERROR(INDEX('Ashed teabags wet'!$K$2:$K$821,MATCH(J334,'Ashed teabags wet'!$A$2:$A$821,0)),"")</f>
        <v>90.530490827962367</v>
      </c>
      <c r="R334" s="225">
        <f t="shared" si="31"/>
        <v>0.15315984134853666</v>
      </c>
      <c r="S334" s="226">
        <f>'WetLitterbags placem_collection'!E115</f>
        <v>42762</v>
      </c>
      <c r="T334" s="226">
        <f>IF('WetLitterbags placem_collection'!G115="","",'WetLitterbags placem_collection'!G115)</f>
        <v>42816</v>
      </c>
      <c r="U334" s="227">
        <f t="shared" si="28"/>
        <v>54</v>
      </c>
      <c r="V334" s="225">
        <f t="shared" si="29"/>
        <v>0.33479999999999999</v>
      </c>
      <c r="W334" s="225">
        <f t="shared" si="30"/>
        <v>1.7544974998484568</v>
      </c>
      <c r="X334">
        <f>IFERROR(INDEX(Rainfall_Wet!$O$2:$O$217,MATCH(B334, Rainfall_Wet!$A$2:$A$217,0)),"")</f>
        <v>206.85140822299999</v>
      </c>
      <c r="Y334" s="231">
        <v>27.96</v>
      </c>
      <c r="Z334" s="231">
        <v>4.9200000000000017</v>
      </c>
      <c r="AA334" s="231">
        <v>67.12</v>
      </c>
      <c r="AB334" s="232" t="s">
        <v>2670</v>
      </c>
      <c r="AC334" s="231">
        <v>0.88610152784622953</v>
      </c>
      <c r="AD334">
        <f>IF('WetLitterbags placem_collection'!AB115="","",'WetLitterbags placem_collection'!AB115)</f>
        <v>26</v>
      </c>
      <c r="AE334">
        <f>IF('WetLitterbags placem_collection'!Z115="","",'WetLitterbags placem_collection'!Z115)</f>
        <v>88.5</v>
      </c>
      <c r="AF334" s="246" t="str">
        <f>IF('WetLitterbags placem_collection'!AA115="","",'WetLitterbags placem_collection'!AA115)</f>
        <v>G</v>
      </c>
      <c r="AG334">
        <f>IF('WetLitterbags placem_collection'!AC115="","",'WetLitterbags placem_collection'!AC115)</f>
        <v>0</v>
      </c>
      <c r="AH334" s="240">
        <f>AVERAGE('WetLitterbags placem_collection'!S115,'WetLitterbags placem_collection'!U115)</f>
        <v>8.6999999999999993</v>
      </c>
      <c r="AI334">
        <f>AVERAGE('WetLitterbags placem_collection'!R115,'WetLitterbags placem_collection'!T115)</f>
        <v>32.4</v>
      </c>
      <c r="AJ334">
        <f>INDEX(Coordinates!$B$2:$B$197,MATCH(G334,Coordinates!$J$2:$J$197,0))</f>
        <v>-2.3487199940000001</v>
      </c>
      <c r="AK334">
        <f>INDEX(Coordinates!$C$2:$C$197,MATCH(G334,Coordinates!$J$2:$J$197,0))</f>
        <v>34.051391029999998</v>
      </c>
      <c r="AL334" t="str">
        <f>IF(ISNUMBER(SEARCH("C", 'WetLitterbags placem_collection'!W115)),"YES","NO")</f>
        <v>NO</v>
      </c>
      <c r="AM334" t="str">
        <f>IF(ISNUMBER(SEARCH("H", 'WetLitterbags placem_collection'!W115)),"YES","NO")</f>
        <v>YES</v>
      </c>
      <c r="AN334" t="str">
        <f>IF(ISNUMBER(SEARCH("R", 'WetLitterbags placem_collection'!W115)),"YES","NO")</f>
        <v>YES</v>
      </c>
    </row>
    <row r="335" spans="1:40" ht="15" customHeight="1">
      <c r="A335" s="258" t="s">
        <v>2460</v>
      </c>
      <c r="B335" s="263">
        <f>'Dry_Litterbag Placem_Collection'!A116</f>
        <v>114</v>
      </c>
      <c r="C335" s="263" t="str">
        <f>'Dry_Litterbag Placem_Collection'!B116</f>
        <v xml:space="preserve">Mwantimba
</v>
      </c>
      <c r="D335" s="263" t="s">
        <v>2460</v>
      </c>
      <c r="E335" s="263" t="s">
        <v>2660</v>
      </c>
      <c r="F335" s="263">
        <v>3</v>
      </c>
      <c r="G335" s="264" t="str">
        <f>'Dry_Litterbag Placem_Collection'!C116</f>
        <v>Wet_Ag3_T2</v>
      </c>
      <c r="H335" s="265" t="s">
        <v>2541</v>
      </c>
      <c r="I335" s="272" t="s">
        <v>298</v>
      </c>
      <c r="J335" s="223" t="str">
        <f>'WetLitterbags placem_collection'!M116</f>
        <v>R601</v>
      </c>
      <c r="K335" s="225">
        <f>IFERROR(INDEX('Green_rooibos initial weight'!$C$5:$C$1749,MATCH(J335, 'Green_rooibos initial weight'!$A$5:$A$1749,0)),"")</f>
        <v>2.198</v>
      </c>
      <c r="L335" s="225">
        <f>IFERROR(K335-(TBIcalc!$H$9+TBIcalc!$H$10),"")</f>
        <v>1.9481999999999999</v>
      </c>
      <c r="M335" s="391">
        <f>AVERAGE(Ashed_controlls!$K$12:$K$14)</f>
        <v>2.2816647271287041</v>
      </c>
      <c r="N335" s="225">
        <f t="shared" si="27"/>
        <v>1.9037486077860786</v>
      </c>
      <c r="O335" s="225">
        <f>IF(IFERROR(INDEX('Both teabags AfterWet'!$C$3:$C$841,MATCH(J335,'Both teabags AfterWet'!$A$3:$A$841,0)),"")="","",(IFERROR(INDEX('Both teabags AfterWet'!$C$3:$C$841,MATCH(J335,'Both teabags AfterWet'!$A$3:$A$841,0)),"")))</f>
        <v>2.7930000000000001</v>
      </c>
      <c r="P335" s="225">
        <f>IFERROR(IF(O335&gt;0,O335-(TBIcalc!$H$9),""),"")</f>
        <v>2.6424000000000003</v>
      </c>
      <c r="Q335" s="225">
        <f>IFERROR(INDEX('Ashed teabags wet'!$K$2:$K$821,MATCH(J335,'Ashed teabags wet'!$A$2:$A$821,0)),"")</f>
        <v>95.101842870998382</v>
      </c>
      <c r="R335" s="225">
        <f t="shared" si="31"/>
        <v>0.12942890397673867</v>
      </c>
      <c r="S335" s="226">
        <f>'WetLitterbags placem_collection'!E116</f>
        <v>42762</v>
      </c>
      <c r="T335" s="226">
        <f>IF('WetLitterbags placem_collection'!G116="","",'WetLitterbags placem_collection'!G116)</f>
        <v>42816</v>
      </c>
      <c r="U335" s="227">
        <f t="shared" si="28"/>
        <v>54</v>
      </c>
      <c r="V335" s="225">
        <f t="shared" si="29"/>
        <v>-0.69420000000000037</v>
      </c>
      <c r="W335" s="225">
        <f t="shared" si="30"/>
        <v>1.7743197038093399</v>
      </c>
      <c r="X335">
        <f>IFERROR(INDEX(Rainfall_Wet!$O$2:$O$217,MATCH(B335, Rainfall_Wet!$A$2:$A$217,0)),"")</f>
        <v>206.85140822299999</v>
      </c>
      <c r="Y335" s="231">
        <v>27.96</v>
      </c>
      <c r="Z335" s="231">
        <v>4.9200000000000017</v>
      </c>
      <c r="AA335" s="231">
        <v>67.12</v>
      </c>
      <c r="AB335" s="232" t="s">
        <v>2670</v>
      </c>
      <c r="AC335" s="231">
        <v>1.8861015278462301</v>
      </c>
      <c r="AD335">
        <f>IF('WetLitterbags placem_collection'!AB116="","",'WetLitterbags placem_collection'!AB116)</f>
        <v>16.5</v>
      </c>
      <c r="AE335">
        <f>IF('WetLitterbags placem_collection'!Z116="","",'WetLitterbags placem_collection'!Z116)</f>
        <v>87.5</v>
      </c>
      <c r="AF335" s="246" t="str">
        <f>IF('WetLitterbags placem_collection'!AA116="","",'WetLitterbags placem_collection'!AA116)</f>
        <v>G</v>
      </c>
      <c r="AG335">
        <f>IF('WetLitterbags placem_collection'!AC116="","",'WetLitterbags placem_collection'!AC116)</f>
        <v>0</v>
      </c>
      <c r="AH335" s="240">
        <f>AVERAGE('WetLitterbags placem_collection'!S116,'WetLitterbags placem_collection'!U116)</f>
        <v>12.899999999999999</v>
      </c>
      <c r="AI335">
        <f>AVERAGE('WetLitterbags placem_collection'!R116,'WetLitterbags placem_collection'!T116)</f>
        <v>30.450000000000003</v>
      </c>
      <c r="AJ335">
        <f>INDEX(Coordinates!$B$2:$B$197,MATCH(G335,Coordinates!$J$2:$J$197,0))</f>
        <v>-2.348716976</v>
      </c>
      <c r="AK335">
        <f>INDEX(Coordinates!$C$2:$C$197,MATCH(G335,Coordinates!$J$2:$J$197,0))</f>
        <v>34.051484989999999</v>
      </c>
      <c r="AL335" t="str">
        <f>IF(ISNUMBER(SEARCH("C", 'WetLitterbags placem_collection'!W116)),"YES","NO")</f>
        <v>NO</v>
      </c>
      <c r="AM335" t="str">
        <f>IF(ISNUMBER(SEARCH("H", 'WetLitterbags placem_collection'!W116)),"YES","NO")</f>
        <v>YES</v>
      </c>
      <c r="AN335" t="str">
        <f>IF(ISNUMBER(SEARCH("R", 'WetLitterbags placem_collection'!W116)),"YES","NO")</f>
        <v>YES</v>
      </c>
    </row>
    <row r="336" spans="1:40" ht="15" customHeight="1">
      <c r="A336" s="258" t="s">
        <v>2460</v>
      </c>
      <c r="B336" s="263">
        <f>'Dry_Litterbag Placem_Collection'!A117</f>
        <v>115</v>
      </c>
      <c r="C336" s="263" t="str">
        <f>'Dry_Litterbag Placem_Collection'!B117</f>
        <v xml:space="preserve">Mwantimba
</v>
      </c>
      <c r="D336" s="263" t="s">
        <v>2460</v>
      </c>
      <c r="E336" s="263" t="s">
        <v>2660</v>
      </c>
      <c r="F336" s="263">
        <v>3</v>
      </c>
      <c r="G336" s="264" t="str">
        <f>'Dry_Litterbag Placem_Collection'!C117</f>
        <v>Wet_Ag3_T3</v>
      </c>
      <c r="H336" s="265" t="s">
        <v>2541</v>
      </c>
      <c r="I336" s="272" t="s">
        <v>298</v>
      </c>
      <c r="J336" s="223" t="str">
        <f>'WetLitterbags placem_collection'!M117</f>
        <v>R553</v>
      </c>
      <c r="K336" s="225">
        <f>IFERROR(INDEX('Green_rooibos initial weight'!$C$5:$C$1749,MATCH(J336, 'Green_rooibos initial weight'!$A$5:$A$1749,0)),"")</f>
        <v>2.1949999999999998</v>
      </c>
      <c r="L336" s="225">
        <f>IFERROR(K336-(TBIcalc!$H$9+TBIcalc!$H$10),"")</f>
        <v>1.9451999999999998</v>
      </c>
      <c r="M336" s="391">
        <f>AVERAGE(Ashed_controlls!$K$12:$K$14)</f>
        <v>2.2816647271287041</v>
      </c>
      <c r="N336" s="225">
        <f t="shared" si="27"/>
        <v>1.9008170577278922</v>
      </c>
      <c r="O336" s="225">
        <f>IF(IFERROR(INDEX('Both teabags AfterWet'!$C$3:$C$841,MATCH(J336,'Both teabags AfterWet'!$A$3:$A$841,0)),"")="","",(IFERROR(INDEX('Both teabags AfterWet'!$C$3:$C$841,MATCH(J336,'Both teabags AfterWet'!$A$3:$A$841,0)),"")))</f>
        <v>0.99990000000000001</v>
      </c>
      <c r="P336" s="225">
        <f>IFERROR(IF(O336&gt;0,O336-(TBIcalc!$H$9),""),"")</f>
        <v>0.84929999999999994</v>
      </c>
      <c r="Q336" s="225">
        <f>IFERROR(INDEX('Ashed teabags wet'!$K$2:$K$821,MATCH(J336,'Ashed teabags wet'!$A$2:$A$821,0)),"")</f>
        <v>91.722365038559602</v>
      </c>
      <c r="R336" s="225">
        <f t="shared" si="31"/>
        <v>7.0301953727513244E-2</v>
      </c>
      <c r="S336" s="226">
        <f>'WetLitterbags placem_collection'!E117</f>
        <v>42762</v>
      </c>
      <c r="T336" s="226">
        <f>IF('WetLitterbags placem_collection'!G117="","",'WetLitterbags placem_collection'!G117)</f>
        <v>42816</v>
      </c>
      <c r="U336" s="227">
        <f t="shared" si="28"/>
        <v>54</v>
      </c>
      <c r="V336" s="225">
        <f t="shared" si="29"/>
        <v>1.0958999999999999</v>
      </c>
      <c r="W336" s="225">
        <f t="shared" si="30"/>
        <v>1.8305151040003791</v>
      </c>
      <c r="X336">
        <f>IFERROR(INDEX(Rainfall_Wet!$O$2:$O$217,MATCH(B336, Rainfall_Wet!$A$2:$A$217,0)),"")</f>
        <v>206.85140822299999</v>
      </c>
      <c r="Y336" s="231">
        <v>27.96</v>
      </c>
      <c r="Z336" s="231">
        <v>4.9200000000000017</v>
      </c>
      <c r="AA336" s="231">
        <v>67.12</v>
      </c>
      <c r="AB336" s="232" t="s">
        <v>2670</v>
      </c>
      <c r="AC336" s="231">
        <v>2.8861015278462299</v>
      </c>
      <c r="AD336">
        <f>IF('WetLitterbags placem_collection'!AB117="","",'WetLitterbags placem_collection'!AB117)</f>
        <v>19</v>
      </c>
      <c r="AE336">
        <f>IF('WetLitterbags placem_collection'!Z117="","",'WetLitterbags placem_collection'!Z117)</f>
        <v>79.5</v>
      </c>
      <c r="AF336" s="246" t="str">
        <f>IF('WetLitterbags placem_collection'!AA117="","",'WetLitterbags placem_collection'!AA117)</f>
        <v>G</v>
      </c>
      <c r="AG336">
        <f>IF('WetLitterbags placem_collection'!AC117="","",'WetLitterbags placem_collection'!AC117)</f>
        <v>1</v>
      </c>
      <c r="AH336" s="240">
        <f>AVERAGE('WetLitterbags placem_collection'!S117,'WetLitterbags placem_collection'!U117)</f>
        <v>9.9499999999999993</v>
      </c>
      <c r="AI336">
        <f>AVERAGE('WetLitterbags placem_collection'!R117,'WetLitterbags placem_collection'!T117)</f>
        <v>31.7</v>
      </c>
      <c r="AJ336">
        <f>INDEX(Coordinates!$B$2:$B$197,MATCH(G336,Coordinates!$J$2:$J$197,0))</f>
        <v>-2.3487800079999999</v>
      </c>
      <c r="AK336">
        <f>INDEX(Coordinates!$C$2:$C$197,MATCH(G336,Coordinates!$J$2:$J$197,0))</f>
        <v>34.051495969999998</v>
      </c>
      <c r="AL336" t="str">
        <f>IF(ISNUMBER(SEARCH("C", 'WetLitterbags placem_collection'!W117)),"YES","NO")</f>
        <v>NO</v>
      </c>
      <c r="AM336" t="str">
        <f>IF(ISNUMBER(SEARCH("H", 'WetLitterbags placem_collection'!W117)),"YES","NO")</f>
        <v>YES</v>
      </c>
      <c r="AN336" t="str">
        <f>IF(ISNUMBER(SEARCH("R", 'WetLitterbags placem_collection'!W117)),"YES","NO")</f>
        <v>YES</v>
      </c>
    </row>
    <row r="337" spans="1:40" ht="15" customHeight="1">
      <c r="A337" s="258" t="s">
        <v>2460</v>
      </c>
      <c r="B337" s="263">
        <f>'Dry_Litterbag Placem_Collection'!A118</f>
        <v>116</v>
      </c>
      <c r="C337" s="263" t="str">
        <f>'Dry_Litterbag Placem_Collection'!B118</f>
        <v xml:space="preserve">Mwantimba
</v>
      </c>
      <c r="D337" s="263" t="s">
        <v>2460</v>
      </c>
      <c r="E337" s="263" t="s">
        <v>2660</v>
      </c>
      <c r="F337" s="263">
        <v>3</v>
      </c>
      <c r="G337" s="264" t="str">
        <f>'Dry_Litterbag Placem_Collection'!C118</f>
        <v>Wet_Ag3_T4</v>
      </c>
      <c r="H337" s="265" t="s">
        <v>2541</v>
      </c>
      <c r="I337" s="272" t="s">
        <v>298</v>
      </c>
      <c r="J337" s="223" t="str">
        <f>'WetLitterbags placem_collection'!M118</f>
        <v>R459</v>
      </c>
      <c r="K337" s="225">
        <f>IFERROR(INDEX('Green_rooibos initial weight'!$C$5:$C$1749,MATCH(J337, 'Green_rooibos initial weight'!$A$5:$A$1749,0)),"")</f>
        <v>2.2090000000000001</v>
      </c>
      <c r="L337" s="225">
        <f>IFERROR(K337-(TBIcalc!$H$9+TBIcalc!$H$10),"")</f>
        <v>1.9592000000000001</v>
      </c>
      <c r="M337" s="391">
        <f>AVERAGE(Ashed_controlls!$K$12:$K$14)</f>
        <v>2.2816647271287041</v>
      </c>
      <c r="N337" s="225">
        <f t="shared" si="27"/>
        <v>1.9144976246660945</v>
      </c>
      <c r="O337" s="225">
        <f>IF(IFERROR(INDEX('Both teabags AfterWet'!$C$3:$C$841,MATCH(J337,'Both teabags AfterWet'!$A$3:$A$841,0)),"")="","",(IFERROR(INDEX('Both teabags AfterWet'!$C$3:$C$841,MATCH(J337,'Both teabags AfterWet'!$A$3:$A$841,0)),"")))</f>
        <v>0.68710000000000004</v>
      </c>
      <c r="P337" s="225">
        <f>IFERROR(IF(O337&gt;0,O337-(TBIcalc!$H$9),""),"")</f>
        <v>0.53649999999999998</v>
      </c>
      <c r="Q337" s="225">
        <f>IFERROR(INDEX('Ashed teabags wet'!$K$2:$K$821,MATCH(J337,'Ashed teabags wet'!$A$2:$A$821,0)),"")</f>
        <v>84.783689706613757</v>
      </c>
      <c r="R337" s="225">
        <f t="shared" si="31"/>
        <v>8.1635504724017205E-2</v>
      </c>
      <c r="S337" s="226">
        <f>'WetLitterbags placem_collection'!E118</f>
        <v>42762</v>
      </c>
      <c r="T337" s="226">
        <f>IF('WetLitterbags placem_collection'!G118="","",'WetLitterbags placem_collection'!G118)</f>
        <v>42816</v>
      </c>
      <c r="U337" s="227">
        <f t="shared" si="28"/>
        <v>54</v>
      </c>
      <c r="V337" s="225">
        <f t="shared" si="29"/>
        <v>1.4227000000000001</v>
      </c>
      <c r="W337" s="225">
        <f t="shared" si="30"/>
        <v>1.8328621199420774</v>
      </c>
      <c r="X337">
        <f>IFERROR(INDEX(Rainfall_Wet!$O$2:$O$217,MATCH(B337, Rainfall_Wet!$A$2:$A$217,0)),"")</f>
        <v>206.85140822299999</v>
      </c>
      <c r="Y337" s="231">
        <v>27.96</v>
      </c>
      <c r="Z337" s="231">
        <v>4.9200000000000017</v>
      </c>
      <c r="AA337" s="231">
        <v>67.12</v>
      </c>
      <c r="AB337" s="232" t="s">
        <v>2670</v>
      </c>
      <c r="AC337" s="231">
        <v>3.8861015278462299</v>
      </c>
      <c r="AD337">
        <f>IF('WetLitterbags placem_collection'!AB118="","",'WetLitterbags placem_collection'!AB118)</f>
        <v>22.5</v>
      </c>
      <c r="AE337">
        <f>IF('WetLitterbags placem_collection'!Z118="","",'WetLitterbags placem_collection'!Z118)</f>
        <v>76</v>
      </c>
      <c r="AF337" s="246" t="str">
        <f>IF('WetLitterbags placem_collection'!AA118="","",'WetLitterbags placem_collection'!AA118)</f>
        <v>G</v>
      </c>
      <c r="AG337">
        <f>IF('WetLitterbags placem_collection'!AC118="","",'WetLitterbags placem_collection'!AC118)</f>
        <v>1</v>
      </c>
      <c r="AH337" s="240">
        <f>AVERAGE('WetLitterbags placem_collection'!S118,'WetLitterbags placem_collection'!U118)</f>
        <v>8.75</v>
      </c>
      <c r="AI337">
        <f>AVERAGE('WetLitterbags placem_collection'!R118,'WetLitterbags placem_collection'!T118)</f>
        <v>25.6</v>
      </c>
      <c r="AJ337">
        <f>INDEX(Coordinates!$B$2:$B$197,MATCH(G337,Coordinates!$J$2:$J$197,0))</f>
        <v>-2.3488120270000001</v>
      </c>
      <c r="AK337">
        <f>INDEX(Coordinates!$C$2:$C$197,MATCH(G337,Coordinates!$J$2:$J$197,0))</f>
        <v>34.05146697</v>
      </c>
      <c r="AL337" t="str">
        <f>IF(ISNUMBER(SEARCH("C", 'WetLitterbags placem_collection'!W118)),"YES","NO")</f>
        <v>NO</v>
      </c>
      <c r="AM337" t="str">
        <f>IF(ISNUMBER(SEARCH("H", 'WetLitterbags placem_collection'!W118)),"YES","NO")</f>
        <v>YES</v>
      </c>
      <c r="AN337" t="str">
        <f>IF(ISNUMBER(SEARCH("R", 'WetLitterbags placem_collection'!W118)),"YES","NO")</f>
        <v>YES</v>
      </c>
    </row>
    <row r="338" spans="1:40" ht="15" customHeight="1">
      <c r="A338" s="258" t="s">
        <v>2460</v>
      </c>
      <c r="B338" s="263">
        <f>'Dry_Litterbag Placem_Collection'!A119</f>
        <v>117</v>
      </c>
      <c r="C338" s="263" t="str">
        <f>'Dry_Litterbag Placem_Collection'!B119</f>
        <v xml:space="preserve">Mwantimba
</v>
      </c>
      <c r="D338" s="263" t="s">
        <v>2460</v>
      </c>
      <c r="E338" s="263" t="s">
        <v>2660</v>
      </c>
      <c r="F338" s="263">
        <v>3</v>
      </c>
      <c r="G338" s="264" t="str">
        <f>'Dry_Litterbag Placem_Collection'!C119</f>
        <v>Wet_Ag3_T5</v>
      </c>
      <c r="H338" s="265" t="s">
        <v>2541</v>
      </c>
      <c r="I338" s="272" t="s">
        <v>298</v>
      </c>
      <c r="J338" s="223" t="str">
        <f>'WetLitterbags placem_collection'!M119</f>
        <v>R511</v>
      </c>
      <c r="K338" s="225">
        <f>IFERROR(INDEX('Green_rooibos initial weight'!$C$5:$C$1749,MATCH(J338, 'Green_rooibos initial weight'!$A$5:$A$1749,0)),"")</f>
        <v>2.1779999999999999</v>
      </c>
      <c r="L338" s="225">
        <f>IFERROR(K338-(TBIcalc!$H$9+TBIcalc!$H$10),"")</f>
        <v>1.9281999999999999</v>
      </c>
      <c r="M338" s="391">
        <f>AVERAGE(Ashed_controlls!$K$12:$K$14)</f>
        <v>2.2816647271287041</v>
      </c>
      <c r="N338" s="225">
        <f t="shared" si="27"/>
        <v>1.8842049407315042</v>
      </c>
      <c r="O338" s="225">
        <f>IF(IFERROR(INDEX('Both teabags AfterWet'!$C$3:$C$841,MATCH(J338,'Both teabags AfterWet'!$A$3:$A$841,0)),"")="","",(IFERROR(INDEX('Both teabags AfterWet'!$C$3:$C$841,MATCH(J338,'Both teabags AfterWet'!$A$3:$A$841,0)),"")))</f>
        <v>0.39700000000000002</v>
      </c>
      <c r="P338" s="225">
        <f>IFERROR(IF(O338&gt;0,O338-(TBIcalc!$H$9),""),"")</f>
        <v>0.24640000000000001</v>
      </c>
      <c r="Q338" s="225">
        <f>IFERROR(INDEX('Ashed teabags wet'!$K$2:$K$821,MATCH(J338,'Ashed teabags wet'!$A$2:$A$821,0)),"")</f>
        <v>90.300678952473106</v>
      </c>
      <c r="R338" s="225">
        <f t="shared" si="31"/>
        <v>2.3899127061106279E-2</v>
      </c>
      <c r="S338" s="226">
        <f>'WetLitterbags placem_collection'!E119</f>
        <v>42762</v>
      </c>
      <c r="T338" s="226">
        <f>IF('WetLitterbags placem_collection'!G119="","",'WetLitterbags placem_collection'!G119)</f>
        <v>42816</v>
      </c>
      <c r="U338" s="227">
        <f t="shared" si="28"/>
        <v>54</v>
      </c>
      <c r="V338" s="225">
        <f t="shared" si="29"/>
        <v>1.6818</v>
      </c>
      <c r="W338" s="225">
        <f t="shared" si="30"/>
        <v>1.860305813670398</v>
      </c>
      <c r="X338">
        <f>IFERROR(INDEX(Rainfall_Wet!$O$2:$O$217,MATCH(B338, Rainfall_Wet!$A$2:$A$217,0)),"")</f>
        <v>206.85140822299999</v>
      </c>
      <c r="Y338" s="231">
        <v>27.96</v>
      </c>
      <c r="Z338" s="231">
        <v>4.9200000000000017</v>
      </c>
      <c r="AA338" s="231">
        <v>67.12</v>
      </c>
      <c r="AB338" s="232" t="s">
        <v>2670</v>
      </c>
      <c r="AC338" s="231">
        <v>4.8861015278462299</v>
      </c>
      <c r="AD338">
        <f>IF('WetLitterbags placem_collection'!AB119="","",'WetLitterbags placem_collection'!AB119)</f>
        <v>23.5</v>
      </c>
      <c r="AE338">
        <f>IF('WetLitterbags placem_collection'!Z119="","",'WetLitterbags placem_collection'!Z119)</f>
        <v>76</v>
      </c>
      <c r="AF338" s="246" t="str">
        <f>IF('WetLitterbags placem_collection'!AA119="","",'WetLitterbags placem_collection'!AA119)</f>
        <v>G</v>
      </c>
      <c r="AG338">
        <f>IF('WetLitterbags placem_collection'!AC119="","",'WetLitterbags placem_collection'!AC119)</f>
        <v>1</v>
      </c>
      <c r="AH338" s="240">
        <f>AVERAGE('WetLitterbags placem_collection'!S119,'WetLitterbags placem_collection'!U119)</f>
        <v>5.6999999999999993</v>
      </c>
      <c r="AI338">
        <f>AVERAGE('WetLitterbags placem_collection'!R119,'WetLitterbags placem_collection'!T119)</f>
        <v>31.75</v>
      </c>
      <c r="AJ338">
        <f>INDEX(Coordinates!$B$2:$B$197,MATCH(G338,Coordinates!$J$2:$J$197,0))</f>
        <v>-2.348814961</v>
      </c>
      <c r="AK338">
        <f>INDEX(Coordinates!$C$2:$C$197,MATCH(G338,Coordinates!$J$2:$J$197,0))</f>
        <v>34.051439979999998</v>
      </c>
      <c r="AL338" t="str">
        <f>IF(ISNUMBER(SEARCH("C", 'WetLitterbags placem_collection'!W119)),"YES","NO")</f>
        <v>NO</v>
      </c>
      <c r="AM338" t="str">
        <f>IF(ISNUMBER(SEARCH("H", 'WetLitterbags placem_collection'!W119)),"YES","NO")</f>
        <v>YES</v>
      </c>
      <c r="AN338" t="str">
        <f>IF(ISNUMBER(SEARCH("R", 'WetLitterbags placem_collection'!W119)),"YES","NO")</f>
        <v>YES</v>
      </c>
    </row>
    <row r="339" spans="1:40" ht="15" customHeight="1">
      <c r="A339" s="258" t="s">
        <v>2460</v>
      </c>
      <c r="B339" s="263">
        <f>'Dry_Litterbag Placem_Collection'!A120</f>
        <v>118</v>
      </c>
      <c r="C339" s="263" t="str">
        <f>'Dry_Litterbag Placem_Collection'!B120</f>
        <v xml:space="preserve">Mwantimba
</v>
      </c>
      <c r="D339" s="263" t="s">
        <v>2460</v>
      </c>
      <c r="E339" s="263" t="s">
        <v>2660</v>
      </c>
      <c r="F339" s="263">
        <v>3</v>
      </c>
      <c r="G339" s="264" t="str">
        <f>'Dry_Litterbag Placem_Collection'!C120</f>
        <v>Wet_Ag3_T6</v>
      </c>
      <c r="H339" s="265" t="s">
        <v>2541</v>
      </c>
      <c r="I339" s="272" t="s">
        <v>298</v>
      </c>
      <c r="J339" s="223" t="str">
        <f>'WetLitterbags placem_collection'!M120</f>
        <v>R495</v>
      </c>
      <c r="K339" s="225">
        <f>IFERROR(INDEX('Green_rooibos initial weight'!$C$5:$C$1749,MATCH(J339, 'Green_rooibos initial weight'!$A$5:$A$1749,0)),"")</f>
        <v>2.25</v>
      </c>
      <c r="L339" s="225">
        <f>IFERROR(K339-(TBIcalc!$H$9+TBIcalc!$H$10),"")</f>
        <v>2.0002</v>
      </c>
      <c r="M339" s="391">
        <f>AVERAGE(Ashed_controlls!$K$12:$K$14)</f>
        <v>2.2816647271287041</v>
      </c>
      <c r="N339" s="225">
        <f t="shared" si="27"/>
        <v>1.9545621421279717</v>
      </c>
      <c r="O339" s="225">
        <f>IF(IFERROR(INDEX('Both teabags AfterWet'!$C$3:$C$841,MATCH(J339,'Both teabags AfterWet'!$A$3:$A$841,0)),"")="","",(IFERROR(INDEX('Both teabags AfterWet'!$C$3:$C$841,MATCH(J339,'Both teabags AfterWet'!$A$3:$A$841,0)),"")))</f>
        <v>1.468</v>
      </c>
      <c r="P339" s="225">
        <f>IFERROR(IF(O339&gt;0,O339-(TBIcalc!$H$9),""),"")</f>
        <v>1.3173999999999999</v>
      </c>
      <c r="Q339" s="225">
        <f>IFERROR(INDEX('Ashed teabags wet'!$K$2:$K$821,MATCH(J339,'Ashed teabags wet'!$A$2:$A$821,0)),"")</f>
        <v>90.558576371725209</v>
      </c>
      <c r="R339" s="225">
        <f t="shared" si="31"/>
        <v>0.12438131487889215</v>
      </c>
      <c r="S339" s="226">
        <f>'WetLitterbags placem_collection'!E120</f>
        <v>42762</v>
      </c>
      <c r="T339" s="226">
        <f>IF('WetLitterbags placem_collection'!G120="","",'WetLitterbags placem_collection'!G120)</f>
        <v>42816</v>
      </c>
      <c r="U339" s="227">
        <f t="shared" si="28"/>
        <v>54</v>
      </c>
      <c r="V339" s="225">
        <f t="shared" si="29"/>
        <v>0.68280000000000007</v>
      </c>
      <c r="W339" s="225">
        <f t="shared" si="30"/>
        <v>1.8301808272490796</v>
      </c>
      <c r="X339">
        <f>IFERROR(INDEX(Rainfall_Wet!$O$2:$O$217,MATCH(B339, Rainfall_Wet!$A$2:$A$217,0)),"")</f>
        <v>206.85140822299999</v>
      </c>
      <c r="Y339" s="231">
        <v>27.96</v>
      </c>
      <c r="Z339" s="231">
        <v>4.9200000000000017</v>
      </c>
      <c r="AA339" s="231">
        <v>67.12</v>
      </c>
      <c r="AB339" s="232" t="s">
        <v>2670</v>
      </c>
      <c r="AC339" s="231">
        <v>5.8861015278462299</v>
      </c>
      <c r="AD339">
        <f>IF('WetLitterbags placem_collection'!AB120="","",'WetLitterbags placem_collection'!AB120)</f>
        <v>17.5</v>
      </c>
      <c r="AE339">
        <f>IF('WetLitterbags placem_collection'!Z120="","",'WetLitterbags placem_collection'!Z120)</f>
        <v>70.5</v>
      </c>
      <c r="AF339" s="246" t="str">
        <f>IF('WetLitterbags placem_collection'!AA120="","",'WetLitterbags placem_collection'!AA120)</f>
        <v>G</v>
      </c>
      <c r="AG339">
        <f>IF('WetLitterbags placem_collection'!AC120="","",'WetLitterbags placem_collection'!AC120)</f>
        <v>1</v>
      </c>
      <c r="AH339" s="240">
        <f>AVERAGE('WetLitterbags placem_collection'!S120,'WetLitterbags placem_collection'!U120)</f>
        <v>10.7</v>
      </c>
      <c r="AI339">
        <f>AVERAGE('WetLitterbags placem_collection'!R120,'WetLitterbags placem_collection'!T120)</f>
        <v>30.85</v>
      </c>
      <c r="AJ339">
        <f>INDEX(Coordinates!$B$2:$B$197,MATCH(G339,Coordinates!$J$2:$J$197,0))</f>
        <v>-2.3488729629999998</v>
      </c>
      <c r="AK339">
        <f>INDEX(Coordinates!$C$2:$C$197,MATCH(G339,Coordinates!$J$2:$J$197,0))</f>
        <v>34.051454980000003</v>
      </c>
      <c r="AL339" t="str">
        <f>IF(ISNUMBER(SEARCH("C", 'WetLitterbags placem_collection'!W120)),"YES","NO")</f>
        <v>NO</v>
      </c>
      <c r="AM339" t="str">
        <f>IF(ISNUMBER(SEARCH("H", 'WetLitterbags placem_collection'!W120)),"YES","NO")</f>
        <v>YES</v>
      </c>
      <c r="AN339" t="str">
        <f>IF(ISNUMBER(SEARCH("R", 'WetLitterbags placem_collection'!W120)),"YES","NO")</f>
        <v>NO</v>
      </c>
    </row>
    <row r="340" spans="1:40" ht="15" customHeight="1">
      <c r="A340" s="258" t="s">
        <v>2460</v>
      </c>
      <c r="B340" s="263">
        <f>'Dry_Litterbag Placem_Collection'!A121</f>
        <v>119</v>
      </c>
      <c r="C340" s="263" t="str">
        <f>'Dry_Litterbag Placem_Collection'!B121</f>
        <v xml:space="preserve">Mwantimba
</v>
      </c>
      <c r="D340" s="263" t="s">
        <v>2460</v>
      </c>
      <c r="E340" s="263" t="s">
        <v>2660</v>
      </c>
      <c r="F340" s="263">
        <v>3</v>
      </c>
      <c r="G340" s="264" t="str">
        <f>'Dry_Litterbag Placem_Collection'!C121</f>
        <v>Wet_Ag3_T7</v>
      </c>
      <c r="H340" s="265" t="s">
        <v>2541</v>
      </c>
      <c r="I340" s="272" t="s">
        <v>298</v>
      </c>
      <c r="J340" s="223" t="str">
        <f>'WetLitterbags placem_collection'!M121</f>
        <v>R584</v>
      </c>
      <c r="K340" s="225">
        <f>IFERROR(INDEX('Green_rooibos initial weight'!$C$5:$C$1749,MATCH(J340, 'Green_rooibos initial weight'!$A$5:$A$1749,0)),"")</f>
        <v>2.2170000000000001</v>
      </c>
      <c r="L340" s="225">
        <f>IFERROR(K340-(TBIcalc!$H$9+TBIcalc!$H$10),"")</f>
        <v>1.9672000000000001</v>
      </c>
      <c r="M340" s="391">
        <f>AVERAGE(Ashed_controlls!$K$12:$K$14)</f>
        <v>2.2816647271287041</v>
      </c>
      <c r="N340" s="225">
        <f t="shared" si="27"/>
        <v>1.9223150914879241</v>
      </c>
      <c r="O340" s="225">
        <f>IF(IFERROR(INDEX('Both teabags AfterWet'!$C$3:$C$841,MATCH(J340,'Both teabags AfterWet'!$A$3:$A$841,0)),"")="","",(IFERROR(INDEX('Both teabags AfterWet'!$C$3:$C$841,MATCH(J340,'Both teabags AfterWet'!$A$3:$A$841,0)),"")))</f>
        <v>0.435</v>
      </c>
      <c r="P340" s="225">
        <f>IFERROR(IF(O340&gt;0,O340-(TBIcalc!$H$9),""),"")</f>
        <v>0.28439999999999999</v>
      </c>
      <c r="Q340" s="225" t="str">
        <f>IFERROR(INDEX('Ashed teabags wet'!$K$2:$K$821,MATCH(J340,'Ashed teabags wet'!$A$2:$A$821,0)),"")</f>
        <v/>
      </c>
      <c r="R340" s="225" t="str">
        <f t="shared" si="31"/>
        <v/>
      </c>
      <c r="S340" s="226">
        <f>'WetLitterbags placem_collection'!E121</f>
        <v>42762</v>
      </c>
      <c r="T340" s="226">
        <f>IF('WetLitterbags placem_collection'!G121="","",'WetLitterbags placem_collection'!G121)</f>
        <v>42816</v>
      </c>
      <c r="U340" s="227">
        <f t="shared" si="28"/>
        <v>54</v>
      </c>
      <c r="V340" s="225">
        <f t="shared" si="29"/>
        <v>1.6828000000000001</v>
      </c>
      <c r="W340" s="225" t="str">
        <f t="shared" si="30"/>
        <v/>
      </c>
      <c r="X340">
        <f>IFERROR(INDEX(Rainfall_Wet!$O$2:$O$217,MATCH(B340, Rainfall_Wet!$A$2:$A$217,0)),"")</f>
        <v>206.85140822299999</v>
      </c>
      <c r="Y340" s="231">
        <v>27.96</v>
      </c>
      <c r="Z340" s="231">
        <v>4.9200000000000017</v>
      </c>
      <c r="AA340" s="231">
        <v>67.12</v>
      </c>
      <c r="AB340" s="232" t="s">
        <v>2670</v>
      </c>
      <c r="AC340" s="231">
        <v>6.8861015278462299</v>
      </c>
      <c r="AD340">
        <f>IF('WetLitterbags placem_collection'!AB121="","",'WetLitterbags placem_collection'!AB121)</f>
        <v>18.5</v>
      </c>
      <c r="AE340">
        <f>IF('WetLitterbags placem_collection'!Z121="","",'WetLitterbags placem_collection'!Z121)</f>
        <v>74.5</v>
      </c>
      <c r="AF340" s="246" t="str">
        <f>IF('WetLitterbags placem_collection'!AA121="","",'WetLitterbags placem_collection'!AA121)</f>
        <v>G</v>
      </c>
      <c r="AG340">
        <f>IF('WetLitterbags placem_collection'!AC121="","",'WetLitterbags placem_collection'!AC121)</f>
        <v>1</v>
      </c>
      <c r="AH340" s="240">
        <f>AVERAGE('WetLitterbags placem_collection'!S121,'WetLitterbags placem_collection'!U121)</f>
        <v>11.05</v>
      </c>
      <c r="AI340">
        <f>AVERAGE('WetLitterbags placem_collection'!R121,'WetLitterbags placem_collection'!T121)</f>
        <v>30.450000000000003</v>
      </c>
      <c r="AJ340">
        <f>INDEX(Coordinates!$B$2:$B$197,MATCH(G340,Coordinates!$J$2:$J$197,0))</f>
        <v>-2.3488589659999999</v>
      </c>
      <c r="AK340">
        <f>INDEX(Coordinates!$C$2:$C$197,MATCH(G340,Coordinates!$J$2:$J$197,0))</f>
        <v>34.051389010000001</v>
      </c>
      <c r="AL340" t="str">
        <f>IF(ISNUMBER(SEARCH("C", 'WetLitterbags placem_collection'!W121)),"YES","NO")</f>
        <v>NO</v>
      </c>
      <c r="AM340" t="str">
        <f>IF(ISNUMBER(SEARCH("H", 'WetLitterbags placem_collection'!W121)),"YES","NO")</f>
        <v>YES</v>
      </c>
      <c r="AN340" t="str">
        <f>IF(ISNUMBER(SEARCH("R", 'WetLitterbags placem_collection'!W121)),"YES","NO")</f>
        <v>NO</v>
      </c>
    </row>
    <row r="341" spans="1:40" ht="15" customHeight="1">
      <c r="A341" s="258" t="s">
        <v>2460</v>
      </c>
      <c r="B341" s="263">
        <f>'Dry_Litterbag Placem_Collection'!A122</f>
        <v>120</v>
      </c>
      <c r="C341" s="263" t="str">
        <f>'Dry_Litterbag Placem_Collection'!B122</f>
        <v xml:space="preserve">Mwantimba
</v>
      </c>
      <c r="D341" s="263" t="s">
        <v>2460</v>
      </c>
      <c r="E341" s="263" t="s">
        <v>2660</v>
      </c>
      <c r="F341" s="263">
        <v>3</v>
      </c>
      <c r="G341" s="264" t="str">
        <f>'Dry_Litterbag Placem_Collection'!C122</f>
        <v>Wet_Ag3_T8</v>
      </c>
      <c r="H341" s="265" t="s">
        <v>2541</v>
      </c>
      <c r="I341" s="272" t="s">
        <v>298</v>
      </c>
      <c r="J341" s="223" t="str">
        <f>'WetLitterbags placem_collection'!M122</f>
        <v>R454</v>
      </c>
      <c r="K341" s="225">
        <f>IFERROR(INDEX('Green_rooibos initial weight'!$C$5:$C$1749,MATCH(J341, 'Green_rooibos initial weight'!$A$5:$A$1749,0)),"")</f>
        <v>2.1819999999999999</v>
      </c>
      <c r="L341" s="225">
        <f>IFERROR(K341-(TBIcalc!$H$9+TBIcalc!$H$10),"")</f>
        <v>1.9321999999999999</v>
      </c>
      <c r="M341" s="391">
        <f>AVERAGE(Ashed_controlls!$K$12:$K$14)</f>
        <v>2.2816647271287041</v>
      </c>
      <c r="N341" s="225">
        <f t="shared" si="27"/>
        <v>1.8881136741424192</v>
      </c>
      <c r="O341" s="225">
        <f>IF(IFERROR(INDEX('Both teabags AfterWet'!$C$3:$C$841,MATCH(J341,'Both teabags AfterWet'!$A$3:$A$841,0)),"")="","",(IFERROR(INDEX('Both teabags AfterWet'!$C$3:$C$841,MATCH(J341,'Both teabags AfterWet'!$A$3:$A$841,0)),"")))</f>
        <v>0.3876</v>
      </c>
      <c r="P341" s="225">
        <f>IFERROR(IF(O341&gt;0,O341-(TBIcalc!$H$9),""),"")</f>
        <v>0.23699999999999999</v>
      </c>
      <c r="Q341" s="225" t="str">
        <f>IFERROR(INDEX('Ashed teabags wet'!$K$2:$K$821,MATCH(J341,'Ashed teabags wet'!$A$2:$A$821,0)),"")</f>
        <v/>
      </c>
      <c r="R341" s="225" t="str">
        <f t="shared" si="31"/>
        <v/>
      </c>
      <c r="S341" s="226">
        <f>'WetLitterbags placem_collection'!E122</f>
        <v>42762</v>
      </c>
      <c r="T341" s="226">
        <f>IF('WetLitterbags placem_collection'!G122="","",'WetLitterbags placem_collection'!G122)</f>
        <v>42816</v>
      </c>
      <c r="U341" s="227">
        <f t="shared" si="28"/>
        <v>54</v>
      </c>
      <c r="V341" s="225">
        <f t="shared" si="29"/>
        <v>1.6951999999999998</v>
      </c>
      <c r="W341" s="225" t="str">
        <f t="shared" si="30"/>
        <v/>
      </c>
      <c r="X341">
        <f>IFERROR(INDEX(Rainfall_Wet!$O$2:$O$217,MATCH(B341, Rainfall_Wet!$A$2:$A$217,0)),"")</f>
        <v>206.85140822299999</v>
      </c>
      <c r="Y341" s="231">
        <v>27.96</v>
      </c>
      <c r="Z341" s="231">
        <v>4.9200000000000017</v>
      </c>
      <c r="AA341" s="231">
        <v>67.12</v>
      </c>
      <c r="AB341" s="232" t="s">
        <v>2670</v>
      </c>
      <c r="AC341" s="231">
        <v>7.8861015278462299</v>
      </c>
      <c r="AD341">
        <f>IF('WetLitterbags placem_collection'!AB122="","",'WetLitterbags placem_collection'!AB122)</f>
        <v>19</v>
      </c>
      <c r="AE341">
        <f>IF('WetLitterbags placem_collection'!Z122="","",'WetLitterbags placem_collection'!Z122)</f>
        <v>98.5</v>
      </c>
      <c r="AF341" s="246" t="str">
        <f>IF('WetLitterbags placem_collection'!AA122="","",'WetLitterbags placem_collection'!AA122)</f>
        <v>G</v>
      </c>
      <c r="AG341">
        <f>IF('WetLitterbags placem_collection'!AC122="","",'WetLitterbags placem_collection'!AC122)</f>
        <v>0</v>
      </c>
      <c r="AH341" s="240">
        <f>AVERAGE('WetLitterbags placem_collection'!S122,'WetLitterbags placem_collection'!U122)</f>
        <v>14.95</v>
      </c>
      <c r="AI341">
        <f>AVERAGE('WetLitterbags placem_collection'!R122,'WetLitterbags placem_collection'!T122)</f>
        <v>30.299999999999997</v>
      </c>
      <c r="AJ341">
        <f>INDEX(Coordinates!$B$2:$B$197,MATCH(G341,Coordinates!$J$2:$J$197,0))</f>
        <v>-2.3486449760000001</v>
      </c>
      <c r="AK341">
        <f>INDEX(Coordinates!$C$2:$C$197,MATCH(G341,Coordinates!$J$2:$J$197,0))</f>
        <v>34.051495969999998</v>
      </c>
      <c r="AL341" t="str">
        <f>IF(ISNUMBER(SEARCH("C", 'WetLitterbags placem_collection'!W122)),"YES","NO")</f>
        <v>NO</v>
      </c>
      <c r="AM341" t="str">
        <f>IF(ISNUMBER(SEARCH("H", 'WetLitterbags placem_collection'!W122)),"YES","NO")</f>
        <v>YES</v>
      </c>
      <c r="AN341" t="str">
        <f>IF(ISNUMBER(SEARCH("R", 'WetLitterbags placem_collection'!W122)),"YES","NO")</f>
        <v>NO</v>
      </c>
    </row>
    <row r="342" spans="1:40" ht="15" customHeight="1">
      <c r="A342" s="258" t="s">
        <v>2460</v>
      </c>
      <c r="B342" s="263">
        <f>'Dry_Litterbag Placem_Collection'!A123</f>
        <v>121</v>
      </c>
      <c r="C342" s="263" t="str">
        <f>'Dry_Litterbag Placem_Collection'!B123</f>
        <v xml:space="preserve">Mwantimba
</v>
      </c>
      <c r="D342" s="263" t="s">
        <v>2460</v>
      </c>
      <c r="E342" s="263" t="s">
        <v>2660</v>
      </c>
      <c r="F342" s="263">
        <v>4</v>
      </c>
      <c r="G342" s="264" t="str">
        <f>'Dry_Litterbag Placem_Collection'!C123</f>
        <v>Wet_Ag4_T1</v>
      </c>
      <c r="H342" s="265" t="s">
        <v>2541</v>
      </c>
      <c r="I342" s="272" t="s">
        <v>298</v>
      </c>
      <c r="J342" s="223" t="str">
        <f>'WetLitterbags placem_collection'!M123</f>
        <v>R532</v>
      </c>
      <c r="K342" s="225">
        <f>IFERROR(INDEX('Green_rooibos initial weight'!$C$5:$C$1749,MATCH(J342, 'Green_rooibos initial weight'!$A$5:$A$1749,0)),"")</f>
        <v>2.19</v>
      </c>
      <c r="L342" s="225">
        <f>IFERROR(K342-(TBIcalc!$H$9+TBIcalc!$H$10),"")</f>
        <v>1.9401999999999999</v>
      </c>
      <c r="M342" s="391">
        <f>AVERAGE(Ashed_controlls!$K$12:$K$14)</f>
        <v>2.2816647271287041</v>
      </c>
      <c r="N342" s="225">
        <f t="shared" si="27"/>
        <v>1.8959311409642488</v>
      </c>
      <c r="O342" s="225">
        <f>IF(IFERROR(INDEX('Both teabags AfterWet'!$C$3:$C$841,MATCH(J342,'Both teabags AfterWet'!$A$3:$A$841,0)),"")="","",(IFERROR(INDEX('Both teabags AfterWet'!$C$3:$C$841,MATCH(J342,'Both teabags AfterWet'!$A$3:$A$841,0)),"")))</f>
        <v>1.7050000000000001</v>
      </c>
      <c r="P342" s="225">
        <f>IFERROR(IF(O342&gt;0,O342-(TBIcalc!$H$9),""),"")</f>
        <v>1.5544</v>
      </c>
      <c r="Q342" s="225">
        <f>IFERROR(INDEX('Ashed teabags wet'!$K$2:$K$821,MATCH(J342,'Ashed teabags wet'!$A$2:$A$821,0)),"")</f>
        <v>7.423795476892864</v>
      </c>
      <c r="R342" s="225">
        <f t="shared" si="31"/>
        <v>1.4390045231071773</v>
      </c>
      <c r="S342" s="226">
        <f>'WetLitterbags placem_collection'!E123</f>
        <v>42762</v>
      </c>
      <c r="T342" s="226">
        <f>IF('WetLitterbags placem_collection'!G123="","",'WetLitterbags placem_collection'!G123)</f>
        <v>42816</v>
      </c>
      <c r="U342" s="227">
        <f t="shared" si="28"/>
        <v>54</v>
      </c>
      <c r="V342" s="225">
        <f t="shared" si="29"/>
        <v>0.38579999999999992</v>
      </c>
      <c r="W342" s="225">
        <f t="shared" si="30"/>
        <v>0.45692661785707145</v>
      </c>
      <c r="X342">
        <f>IFERROR(INDEX(Rainfall_Wet!$O$2:$O$217,MATCH(B342, Rainfall_Wet!$A$2:$A$217,0)),"")</f>
        <v>206.85140822299999</v>
      </c>
      <c r="Y342" s="231">
        <v>17.96</v>
      </c>
      <c r="Z342" s="231">
        <v>4.9199999999999982</v>
      </c>
      <c r="AA342" s="231">
        <v>77.12</v>
      </c>
      <c r="AB342" s="232" t="s">
        <v>2671</v>
      </c>
      <c r="AC342" s="231">
        <v>2.0220798422868409</v>
      </c>
      <c r="AD342">
        <f>IF('WetLitterbags placem_collection'!AB123="","",'WetLitterbags placem_collection'!AB123)</f>
        <v>9.65</v>
      </c>
      <c r="AE342">
        <f>IF('WetLitterbags placem_collection'!Z123="","",'WetLitterbags placem_collection'!Z123)</f>
        <v>63</v>
      </c>
      <c r="AF342" s="246" t="str">
        <f>IF('WetLitterbags placem_collection'!AA123="","",'WetLitterbags placem_collection'!AA123)</f>
        <v>G</v>
      </c>
      <c r="AG342">
        <f>IF('WetLitterbags placem_collection'!AC123="","",'WetLitterbags placem_collection'!AC123)</f>
        <v>0</v>
      </c>
      <c r="AH342" s="240">
        <f>AVERAGE('WetLitterbags placem_collection'!S123,'WetLitterbags placem_collection'!U123)</f>
        <v>9.5500000000000007</v>
      </c>
      <c r="AI342">
        <f>AVERAGE('WetLitterbags placem_collection'!R123,'WetLitterbags placem_collection'!T123)</f>
        <v>30.75</v>
      </c>
      <c r="AJ342">
        <f>INDEX(Coordinates!$B$2:$B$197,MATCH(G342,Coordinates!$J$2:$J$197,0))</f>
        <v>-2.3492639789999998</v>
      </c>
      <c r="AK342">
        <f>INDEX(Coordinates!$C$2:$C$197,MATCH(G342,Coordinates!$J$2:$J$197,0))</f>
        <v>34.051464029999998</v>
      </c>
      <c r="AL342" t="str">
        <f>IF(ISNUMBER(SEARCH("C", 'WetLitterbags placem_collection'!W123)),"YES","NO")</f>
        <v>YES</v>
      </c>
      <c r="AM342" t="str">
        <f>IF(ISNUMBER(SEARCH("H", 'WetLitterbags placem_collection'!W123)),"YES","NO")</f>
        <v>NO</v>
      </c>
      <c r="AN342" t="str">
        <f>IF(ISNUMBER(SEARCH("R", 'WetLitterbags placem_collection'!W123)),"YES","NO")</f>
        <v>YES</v>
      </c>
    </row>
    <row r="343" spans="1:40" ht="15" customHeight="1">
      <c r="A343" s="258" t="s">
        <v>2460</v>
      </c>
      <c r="B343" s="263">
        <f>'Dry_Litterbag Placem_Collection'!A124</f>
        <v>122</v>
      </c>
      <c r="C343" s="263" t="str">
        <f>'Dry_Litterbag Placem_Collection'!B124</f>
        <v xml:space="preserve">Mwantimba
</v>
      </c>
      <c r="D343" s="263" t="s">
        <v>2460</v>
      </c>
      <c r="E343" s="263" t="s">
        <v>2660</v>
      </c>
      <c r="F343" s="263">
        <v>4</v>
      </c>
      <c r="G343" s="264" t="str">
        <f>'Dry_Litterbag Placem_Collection'!C124</f>
        <v>Wet_Ag4_T2</v>
      </c>
      <c r="H343" s="265" t="s">
        <v>2541</v>
      </c>
      <c r="I343" s="272" t="s">
        <v>298</v>
      </c>
      <c r="J343" s="223" t="str">
        <f>'WetLitterbags placem_collection'!M124</f>
        <v>R11</v>
      </c>
      <c r="K343" s="225">
        <f>IFERROR(INDEX('Green_rooibos initial weight'!$C$5:$C$1749,MATCH(J343, 'Green_rooibos initial weight'!$A$5:$A$1749,0)),"")</f>
        <v>2.2160000000000002</v>
      </c>
      <c r="L343" s="225">
        <f>IFERROR(K343-(TBIcalc!$H$9+TBIcalc!$H$10),"")</f>
        <v>1.9662000000000002</v>
      </c>
      <c r="M343" s="391">
        <f>AVERAGE(Ashed_controlls!$K$12:$K$14)</f>
        <v>2.2816647271287041</v>
      </c>
      <c r="N343" s="225">
        <f t="shared" si="27"/>
        <v>1.9213379081351956</v>
      </c>
      <c r="O343" s="225">
        <f>IF(IFERROR(INDEX('Both teabags AfterWet'!$C$3:$C$841,MATCH(J343,'Both teabags AfterWet'!$A$3:$A$841,0)),"")="","",(IFERROR(INDEX('Both teabags AfterWet'!$C$3:$C$841,MATCH(J343,'Both teabags AfterWet'!$A$3:$A$841,0)),"")))</f>
        <v>1.25</v>
      </c>
      <c r="P343" s="225">
        <f>IFERROR(IF(O343&gt;0,O343-(TBIcalc!$H$9),""),"")</f>
        <v>1.0993999999999999</v>
      </c>
      <c r="Q343" s="225">
        <f>IFERROR(INDEX('Ashed teabags wet'!$K$2:$K$821,MATCH(J343,'Ashed teabags wet'!$A$2:$A$821,0)),"")</f>
        <v>8.4720121028745492</v>
      </c>
      <c r="R343" s="225">
        <f t="shared" si="31"/>
        <v>1.0062586989409972</v>
      </c>
      <c r="S343" s="226">
        <f>'WetLitterbags placem_collection'!E124</f>
        <v>42762</v>
      </c>
      <c r="T343" s="226">
        <f>IF('WetLitterbags placem_collection'!G124="","",'WetLitterbags placem_collection'!G124)</f>
        <v>42816</v>
      </c>
      <c r="U343" s="227">
        <f t="shared" si="28"/>
        <v>54</v>
      </c>
      <c r="V343" s="225">
        <f t="shared" si="29"/>
        <v>0.86680000000000024</v>
      </c>
      <c r="W343" s="225">
        <f t="shared" si="30"/>
        <v>0.91507920919419838</v>
      </c>
      <c r="X343">
        <f>IFERROR(INDEX(Rainfall_Wet!$O$2:$O$217,MATCH(B343, Rainfall_Wet!$A$2:$A$217,0)),"")</f>
        <v>206.85140822299999</v>
      </c>
      <c r="Y343" s="231">
        <v>17.96</v>
      </c>
      <c r="Z343" s="231">
        <v>4.9199999999999982</v>
      </c>
      <c r="AA343" s="231">
        <v>77.12</v>
      </c>
      <c r="AB343" s="232" t="s">
        <v>2671</v>
      </c>
      <c r="AC343" s="231">
        <v>3.02207984228684</v>
      </c>
      <c r="AD343">
        <f>IF('WetLitterbags placem_collection'!AB124="","",'WetLitterbags placem_collection'!AB124)</f>
        <v>3.1</v>
      </c>
      <c r="AE343">
        <f>IF('WetLitterbags placem_collection'!Z124="","",'WetLitterbags placem_collection'!Z124)</f>
        <v>53</v>
      </c>
      <c r="AF343" s="246" t="str">
        <f>IF('WetLitterbags placem_collection'!AA124="","",'WetLitterbags placem_collection'!AA124)</f>
        <v>G</v>
      </c>
      <c r="AG343">
        <f>IF('WetLitterbags placem_collection'!AC124="","",'WetLitterbags placem_collection'!AC124)</f>
        <v>0</v>
      </c>
      <c r="AH343" s="240">
        <f>AVERAGE('WetLitterbags placem_collection'!S124,'WetLitterbags placem_collection'!U124)</f>
        <v>11.8</v>
      </c>
      <c r="AI343">
        <f>AVERAGE('WetLitterbags placem_collection'!R124,'WetLitterbags placem_collection'!T124)</f>
        <v>30.650000000000002</v>
      </c>
      <c r="AJ343">
        <f>INDEX(Coordinates!$B$2:$B$197,MATCH(G343,Coordinates!$J$2:$J$197,0))</f>
        <v>-2.34923196</v>
      </c>
      <c r="AK343">
        <f>INDEX(Coordinates!$C$2:$C$197,MATCH(G343,Coordinates!$J$2:$J$197,0))</f>
        <v>34.051422039999999</v>
      </c>
      <c r="AL343" t="str">
        <f>IF(ISNUMBER(SEARCH("C", 'WetLitterbags placem_collection'!W124)),"YES","NO")</f>
        <v>NO</v>
      </c>
      <c r="AM343" t="str">
        <f>IF(ISNUMBER(SEARCH("H", 'WetLitterbags placem_collection'!W124)),"YES","NO")</f>
        <v>NO</v>
      </c>
      <c r="AN343" t="str">
        <f>IF(ISNUMBER(SEARCH("R", 'WetLitterbags placem_collection'!W124)),"YES","NO")</f>
        <v>YES</v>
      </c>
    </row>
    <row r="344" spans="1:40" ht="15" customHeight="1">
      <c r="A344" s="258" t="s">
        <v>2460</v>
      </c>
      <c r="B344" s="263">
        <f>'Dry_Litterbag Placem_Collection'!A125</f>
        <v>123</v>
      </c>
      <c r="C344" s="263" t="str">
        <f>'Dry_Litterbag Placem_Collection'!B125</f>
        <v xml:space="preserve">Mwantimba
</v>
      </c>
      <c r="D344" s="263" t="s">
        <v>2460</v>
      </c>
      <c r="E344" s="263" t="s">
        <v>2660</v>
      </c>
      <c r="F344" s="263">
        <v>4</v>
      </c>
      <c r="G344" s="264" t="str">
        <f>'Dry_Litterbag Placem_Collection'!C125</f>
        <v>Wet_Ag4_T3</v>
      </c>
      <c r="H344" s="265" t="s">
        <v>2541</v>
      </c>
      <c r="I344" s="272" t="s">
        <v>298</v>
      </c>
      <c r="J344" s="223" t="str">
        <f>'WetLitterbags placem_collection'!M125</f>
        <v>R575</v>
      </c>
      <c r="K344" s="225">
        <f>IFERROR(INDEX('Green_rooibos initial weight'!$C$5:$C$1749,MATCH(J344, 'Green_rooibos initial weight'!$A$5:$A$1749,0)),"")</f>
        <v>2.0990000000000002</v>
      </c>
      <c r="L344" s="225">
        <f>IFERROR(K344-(TBIcalc!$H$9+TBIcalc!$H$10),"")</f>
        <v>1.8492000000000002</v>
      </c>
      <c r="M344" s="391">
        <f>AVERAGE(Ashed_controlls!$K$12:$K$14)</f>
        <v>2.2816647271287041</v>
      </c>
      <c r="N344" s="225">
        <f t="shared" si="27"/>
        <v>1.8070074558659361</v>
      </c>
      <c r="O344" s="225">
        <f>IF(IFERROR(INDEX('Both teabags AfterWet'!$C$3:$C$841,MATCH(J344,'Both teabags AfterWet'!$A$3:$A$841,0)),"")="","",(IFERROR(INDEX('Both teabags AfterWet'!$C$3:$C$841,MATCH(J344,'Both teabags AfterWet'!$A$3:$A$841,0)),"")))</f>
        <v>1.6872</v>
      </c>
      <c r="P344" s="225">
        <f>IFERROR(IF(O344&gt;0,O344-(TBIcalc!$H$9),""),"")</f>
        <v>1.5366</v>
      </c>
      <c r="Q344" s="225">
        <f>IFERROR(INDEX('Ashed teabags wet'!$K$2:$K$821,MATCH(J344,'Ashed teabags wet'!$A$2:$A$821,0)),"")</f>
        <v>26.082677165354383</v>
      </c>
      <c r="R344" s="225">
        <f t="shared" si="31"/>
        <v>1.1358135826771645</v>
      </c>
      <c r="S344" s="226">
        <f>'WetLitterbags placem_collection'!E125</f>
        <v>42762</v>
      </c>
      <c r="T344" s="226">
        <f>IF('WetLitterbags placem_collection'!G125="","",'WetLitterbags placem_collection'!G125)</f>
        <v>42816</v>
      </c>
      <c r="U344" s="227">
        <f t="shared" si="28"/>
        <v>54</v>
      </c>
      <c r="V344" s="225">
        <f t="shared" si="29"/>
        <v>0.31260000000000021</v>
      </c>
      <c r="W344" s="225">
        <f t="shared" si="30"/>
        <v>0.67119387318877166</v>
      </c>
      <c r="X344">
        <f>IFERROR(INDEX(Rainfall_Wet!$O$2:$O$217,MATCH(B344, Rainfall_Wet!$A$2:$A$217,0)),"")</f>
        <v>206.85140822299999</v>
      </c>
      <c r="Y344" s="231">
        <v>17.96</v>
      </c>
      <c r="Z344" s="231">
        <v>4.9199999999999982</v>
      </c>
      <c r="AA344" s="231">
        <v>77.12</v>
      </c>
      <c r="AB344" s="232" t="s">
        <v>2671</v>
      </c>
      <c r="AC344" s="231">
        <v>4.02207984228684</v>
      </c>
      <c r="AD344">
        <f>IF('WetLitterbags placem_collection'!AB125="","",'WetLitterbags placem_collection'!AB125)</f>
        <v>3.9</v>
      </c>
      <c r="AE344">
        <f>IF('WetLitterbags placem_collection'!Z125="","",'WetLitterbags placem_collection'!Z125)</f>
        <v>51</v>
      </c>
      <c r="AF344" s="246" t="str">
        <f>IF('WetLitterbags placem_collection'!AA125="","",'WetLitterbags placem_collection'!AA125)</f>
        <v>G</v>
      </c>
      <c r="AG344">
        <f>IF('WetLitterbags placem_collection'!AC125="","",'WetLitterbags placem_collection'!AC125)</f>
        <v>1</v>
      </c>
      <c r="AH344" s="240">
        <f>AVERAGE('WetLitterbags placem_collection'!S125,'WetLitterbags placem_collection'!U125)</f>
        <v>13.2</v>
      </c>
      <c r="AI344">
        <f>AVERAGE('WetLitterbags placem_collection'!R125,'WetLitterbags placem_collection'!T125)</f>
        <v>31.85</v>
      </c>
      <c r="AJ344">
        <f>INDEX(Coordinates!$B$2:$B$197,MATCH(G344,Coordinates!$J$2:$J$197,0))</f>
        <v>-2.3492390009999999</v>
      </c>
      <c r="AK344">
        <f>INDEX(Coordinates!$C$2:$C$197,MATCH(G344,Coordinates!$J$2:$J$197,0))</f>
        <v>34.051304020000003</v>
      </c>
      <c r="AL344" t="str">
        <f>IF(ISNUMBER(SEARCH("C", 'WetLitterbags placem_collection'!W125)),"YES","NO")</f>
        <v>YES</v>
      </c>
      <c r="AM344" t="str">
        <f>IF(ISNUMBER(SEARCH("H", 'WetLitterbags placem_collection'!W125)),"YES","NO")</f>
        <v>YES</v>
      </c>
      <c r="AN344" t="str">
        <f>IF(ISNUMBER(SEARCH("R", 'WetLitterbags placem_collection'!W125)),"YES","NO")</f>
        <v>NO</v>
      </c>
    </row>
    <row r="345" spans="1:40" ht="15" customHeight="1">
      <c r="A345" s="258" t="s">
        <v>2460</v>
      </c>
      <c r="B345" s="263">
        <f>'Dry_Litterbag Placem_Collection'!A126</f>
        <v>124</v>
      </c>
      <c r="C345" s="263" t="str">
        <f>'Dry_Litterbag Placem_Collection'!B126</f>
        <v xml:space="preserve">Mwantimba
</v>
      </c>
      <c r="D345" s="263" t="s">
        <v>2460</v>
      </c>
      <c r="E345" s="263" t="s">
        <v>2660</v>
      </c>
      <c r="F345" s="263">
        <v>4</v>
      </c>
      <c r="G345" s="264" t="str">
        <f>'Dry_Litterbag Placem_Collection'!C126</f>
        <v>Wet_Ag4_T4</v>
      </c>
      <c r="H345" s="265" t="s">
        <v>2541</v>
      </c>
      <c r="I345" s="272" t="s">
        <v>298</v>
      </c>
      <c r="J345" s="223" t="str">
        <f>'WetLitterbags placem_collection'!M126</f>
        <v>R39</v>
      </c>
      <c r="K345" s="225">
        <f>IFERROR(INDEX('Green_rooibos initial weight'!$C$5:$C$1749,MATCH(J345, 'Green_rooibos initial weight'!$A$5:$A$1749,0)),"")</f>
        <v>2.1429999999999998</v>
      </c>
      <c r="L345" s="225">
        <f>IFERROR(K345-(TBIcalc!$H$9+TBIcalc!$H$10),"")</f>
        <v>1.8931999999999998</v>
      </c>
      <c r="M345" s="391">
        <f>AVERAGE(Ashed_controlls!$K$12:$K$14)</f>
        <v>2.2816647271287041</v>
      </c>
      <c r="N345" s="225">
        <f t="shared" si="27"/>
        <v>1.850003523385999</v>
      </c>
      <c r="O345" s="225">
        <f>IF(IFERROR(INDEX('Both teabags AfterWet'!$C$3:$C$841,MATCH(J345,'Both teabags AfterWet'!$A$3:$A$841,0)),"")="","",(IFERROR(INDEX('Both teabags AfterWet'!$C$3:$C$841,MATCH(J345,'Both teabags AfterWet'!$A$3:$A$841,0)),"")))</f>
        <v>1.4910000000000001</v>
      </c>
      <c r="P345" s="225">
        <f>IFERROR(IF(O345&gt;0,O345-(TBIcalc!$H$9),""),"")</f>
        <v>1.3404</v>
      </c>
      <c r="Q345" s="225">
        <f>IFERROR(INDEX('Ashed teabags wet'!$K$2:$K$821,MATCH(J345,'Ashed teabags wet'!$A$2:$A$821,0)),"")</f>
        <v>7.1782178217821846</v>
      </c>
      <c r="R345" s="225">
        <f t="shared" si="31"/>
        <v>1.2441831683168316</v>
      </c>
      <c r="S345" s="226">
        <f>'WetLitterbags placem_collection'!E126</f>
        <v>42762</v>
      </c>
      <c r="T345" s="226">
        <f>IF('WetLitterbags placem_collection'!G126="","",'WetLitterbags placem_collection'!G126)</f>
        <v>42816</v>
      </c>
      <c r="U345" s="227">
        <f t="shared" si="28"/>
        <v>54</v>
      </c>
      <c r="V345" s="225">
        <f t="shared" si="29"/>
        <v>0.55279999999999974</v>
      </c>
      <c r="W345" s="225">
        <f t="shared" si="30"/>
        <v>0.60582035506916743</v>
      </c>
      <c r="X345">
        <f>IFERROR(INDEX(Rainfall_Wet!$O$2:$O$217,MATCH(B345, Rainfall_Wet!$A$2:$A$217,0)),"")</f>
        <v>206.85140822299999</v>
      </c>
      <c r="Y345" s="231">
        <v>17.96</v>
      </c>
      <c r="Z345" s="231">
        <v>4.9199999999999982</v>
      </c>
      <c r="AA345" s="231">
        <v>77.12</v>
      </c>
      <c r="AB345" s="232" t="s">
        <v>2671</v>
      </c>
      <c r="AC345" s="231">
        <v>5.02207984228684</v>
      </c>
      <c r="AD345">
        <f>IF('WetLitterbags placem_collection'!AB126="","",'WetLitterbags placem_collection'!AB126)</f>
        <v>5.45</v>
      </c>
      <c r="AE345">
        <f>IF('WetLitterbags placem_collection'!Z126="","",'WetLitterbags placem_collection'!Z126)</f>
        <v>47</v>
      </c>
      <c r="AF345" s="246" t="str">
        <f>IF('WetLitterbags placem_collection'!AA126="","",'WetLitterbags placem_collection'!AA126)</f>
        <v>G</v>
      </c>
      <c r="AG345">
        <f>IF('WetLitterbags placem_collection'!AC126="","",'WetLitterbags placem_collection'!AC126)</f>
        <v>1</v>
      </c>
      <c r="AH345" s="240">
        <f>AVERAGE('WetLitterbags placem_collection'!S126,'WetLitterbags placem_collection'!U126)</f>
        <v>18.2</v>
      </c>
      <c r="AI345">
        <f>AVERAGE('WetLitterbags placem_collection'!R126,'WetLitterbags placem_collection'!T126)</f>
        <v>31.1</v>
      </c>
      <c r="AJ345">
        <f>INDEX(Coordinates!$B$2:$B$197,MATCH(G345,Coordinates!$J$2:$J$197,0))</f>
        <v>-2.3492799889999998</v>
      </c>
      <c r="AK345">
        <f>INDEX(Coordinates!$C$2:$C$197,MATCH(G345,Coordinates!$J$2:$J$197,0))</f>
        <v>34.051280970000001</v>
      </c>
      <c r="AL345" t="str">
        <f>IF(ISNUMBER(SEARCH("C", 'WetLitterbags placem_collection'!W126)),"YES","NO")</f>
        <v>NO</v>
      </c>
      <c r="AM345" t="str">
        <f>IF(ISNUMBER(SEARCH("H", 'WetLitterbags placem_collection'!W126)),"YES","NO")</f>
        <v>NO</v>
      </c>
      <c r="AN345" t="str">
        <f>IF(ISNUMBER(SEARCH("R", 'WetLitterbags placem_collection'!W126)),"YES","NO")</f>
        <v>YES</v>
      </c>
    </row>
    <row r="346" spans="1:40" ht="15" customHeight="1">
      <c r="A346" s="258" t="s">
        <v>2460</v>
      </c>
      <c r="B346" s="263">
        <f>'Dry_Litterbag Placem_Collection'!A127</f>
        <v>125</v>
      </c>
      <c r="C346" s="263" t="str">
        <f>'Dry_Litterbag Placem_Collection'!B127</f>
        <v xml:space="preserve">Mwantimba
</v>
      </c>
      <c r="D346" s="263" t="s">
        <v>2460</v>
      </c>
      <c r="E346" s="263" t="s">
        <v>2660</v>
      </c>
      <c r="F346" s="263">
        <v>4</v>
      </c>
      <c r="G346" s="264" t="str">
        <f>'Dry_Litterbag Placem_Collection'!C127</f>
        <v>Wet_Ag4_T5</v>
      </c>
      <c r="H346" s="265" t="s">
        <v>2541</v>
      </c>
      <c r="I346" s="272" t="s">
        <v>298</v>
      </c>
      <c r="J346" s="223" t="str">
        <f>'WetLitterbags placem_collection'!M127</f>
        <v>R560</v>
      </c>
      <c r="K346" s="225">
        <f>IFERROR(INDEX('Green_rooibos initial weight'!$C$5:$C$1749,MATCH(J346, 'Green_rooibos initial weight'!$A$5:$A$1749,0)),"")</f>
        <v>2.157</v>
      </c>
      <c r="L346" s="225">
        <f>IFERROR(K346-(TBIcalc!$H$9+TBIcalc!$H$10),"")</f>
        <v>1.9072</v>
      </c>
      <c r="M346" s="391">
        <f>AVERAGE(Ashed_controlls!$K$12:$K$14)</f>
        <v>2.2816647271287041</v>
      </c>
      <c r="N346" s="225">
        <f t="shared" si="27"/>
        <v>1.8636840903242013</v>
      </c>
      <c r="O346" s="225">
        <f>IF(IFERROR(INDEX('Both teabags AfterWet'!$C$3:$C$841,MATCH(J346,'Both teabags AfterWet'!$A$3:$A$841,0)),"")="","",(IFERROR(INDEX('Both teabags AfterWet'!$C$3:$C$841,MATCH(J346,'Both teabags AfterWet'!$A$3:$A$841,0)),"")))</f>
        <v>1.254</v>
      </c>
      <c r="P346" s="225">
        <f>IFERROR(IF(O346&gt;0,O346-(TBIcalc!$H$9),""),"")</f>
        <v>1.1033999999999999</v>
      </c>
      <c r="Q346" s="225">
        <f>IFERROR(INDEX('Ashed teabags wet'!$K$2:$K$821,MATCH(J346,'Ashed teabags wet'!$A$2:$A$821,0)),"")</f>
        <v>92.570579494799119</v>
      </c>
      <c r="R346" s="225">
        <f t="shared" si="31"/>
        <v>8.1976225854386575E-2</v>
      </c>
      <c r="S346" s="226">
        <f>'WetLitterbags placem_collection'!E127</f>
        <v>42762</v>
      </c>
      <c r="T346" s="226">
        <f>IF('WetLitterbags placem_collection'!G127="","",'WetLitterbags placem_collection'!G127)</f>
        <v>42816</v>
      </c>
      <c r="U346" s="227">
        <f t="shared" si="28"/>
        <v>54</v>
      </c>
      <c r="V346" s="225">
        <f t="shared" si="29"/>
        <v>0.80380000000000007</v>
      </c>
      <c r="W346" s="225">
        <f t="shared" si="30"/>
        <v>1.7817078644698148</v>
      </c>
      <c r="X346">
        <f>IFERROR(INDEX(Rainfall_Wet!$O$2:$O$217,MATCH(B346, Rainfall_Wet!$A$2:$A$217,0)),"")</f>
        <v>206.85140822299999</v>
      </c>
      <c r="Y346" s="231">
        <v>17.96</v>
      </c>
      <c r="Z346" s="231">
        <v>4.9199999999999982</v>
      </c>
      <c r="AA346" s="231">
        <v>77.12</v>
      </c>
      <c r="AB346" s="232" t="s">
        <v>2671</v>
      </c>
      <c r="AC346" s="231">
        <v>6.02207984228684</v>
      </c>
      <c r="AD346">
        <f>IF('WetLitterbags placem_collection'!AB127="","",'WetLitterbags placem_collection'!AB127)</f>
        <v>9.3000000000000007</v>
      </c>
      <c r="AE346">
        <f>IF('WetLitterbags placem_collection'!Z127="","",'WetLitterbags placem_collection'!Z127)</f>
        <v>43</v>
      </c>
      <c r="AF346" s="246" t="str">
        <f>IF('WetLitterbags placem_collection'!AA127="","",'WetLitterbags placem_collection'!AA127)</f>
        <v>G</v>
      </c>
      <c r="AG346">
        <f>IF('WetLitterbags placem_collection'!AC127="","",'WetLitterbags placem_collection'!AC127)</f>
        <v>1</v>
      </c>
      <c r="AH346" s="240">
        <f>AVERAGE('WetLitterbags placem_collection'!S127,'WetLitterbags placem_collection'!U127)</f>
        <v>19.25</v>
      </c>
      <c r="AI346">
        <f>AVERAGE('WetLitterbags placem_collection'!R127,'WetLitterbags placem_collection'!T127)</f>
        <v>32.049999999999997</v>
      </c>
      <c r="AJ346">
        <f>INDEX(Coordinates!$B$2:$B$197,MATCH(G346,Coordinates!$J$2:$J$197,0))</f>
        <v>-2.3493320400000002</v>
      </c>
      <c r="AK346">
        <f>INDEX(Coordinates!$C$2:$C$197,MATCH(G346,Coordinates!$J$2:$J$197,0))</f>
        <v>34.051321960000003</v>
      </c>
      <c r="AL346" t="str">
        <f>IF(ISNUMBER(SEARCH("C", 'WetLitterbags placem_collection'!W127)),"YES","NO")</f>
        <v>NO</v>
      </c>
      <c r="AM346" t="str">
        <f>IF(ISNUMBER(SEARCH("H", 'WetLitterbags placem_collection'!W127)),"YES","NO")</f>
        <v>YES</v>
      </c>
      <c r="AN346" t="str">
        <f>IF(ISNUMBER(SEARCH("R", 'WetLitterbags placem_collection'!W127)),"YES","NO")</f>
        <v>YES</v>
      </c>
    </row>
    <row r="347" spans="1:40" ht="15" customHeight="1">
      <c r="A347" s="258" t="s">
        <v>2460</v>
      </c>
      <c r="B347" s="263">
        <f>'Dry_Litterbag Placem_Collection'!A128</f>
        <v>126</v>
      </c>
      <c r="C347" s="263" t="str">
        <f>'Dry_Litterbag Placem_Collection'!B128</f>
        <v xml:space="preserve">Mwantimba
</v>
      </c>
      <c r="D347" s="263" t="s">
        <v>2460</v>
      </c>
      <c r="E347" s="263" t="s">
        <v>2660</v>
      </c>
      <c r="F347" s="263">
        <v>4</v>
      </c>
      <c r="G347" s="264" t="str">
        <f>'Dry_Litterbag Placem_Collection'!C128</f>
        <v>Wet_Ag4_T6</v>
      </c>
      <c r="H347" s="265" t="s">
        <v>2541</v>
      </c>
      <c r="I347" s="272" t="s">
        <v>298</v>
      </c>
      <c r="J347" s="223" t="str">
        <f>'WetLitterbags placem_collection'!M128</f>
        <v>R562</v>
      </c>
      <c r="K347" s="225">
        <f>IFERROR(INDEX('Green_rooibos initial weight'!$C$5:$C$1749,MATCH(J347, 'Green_rooibos initial weight'!$A$5:$A$1749,0)),"")</f>
        <v>2.2810000000000001</v>
      </c>
      <c r="L347" s="225">
        <f>IFERROR(K347-(TBIcalc!$H$9+TBIcalc!$H$10),"")</f>
        <v>2.0312000000000001</v>
      </c>
      <c r="M347" s="391">
        <f>AVERAGE(Ashed_controlls!$K$12:$K$14)</f>
        <v>2.2816647271287041</v>
      </c>
      <c r="N347" s="225">
        <f t="shared" si="27"/>
        <v>1.9848548260625618</v>
      </c>
      <c r="O347" s="225">
        <f>IF(IFERROR(INDEX('Both teabags AfterWet'!$C$3:$C$841,MATCH(J347,'Both teabags AfterWet'!$A$3:$A$841,0)),"")="","",(IFERROR(INDEX('Both teabags AfterWet'!$C$3:$C$841,MATCH(J347,'Both teabags AfterWet'!$A$3:$A$841,0)),"")))</f>
        <v>0.17599999999999999</v>
      </c>
      <c r="P347" s="225">
        <f>IFERROR(IF(O347&gt;0,O347-(TBIcalc!$H$9),""),"")</f>
        <v>2.5399999999999978E-2</v>
      </c>
      <c r="Q347" s="225" t="str">
        <f>IFERROR(INDEX('Ashed teabags wet'!$K$2:$K$821,MATCH(J347,'Ashed teabags wet'!$A$2:$A$821,0)),"")</f>
        <v/>
      </c>
      <c r="R347" s="225" t="str">
        <f t="shared" si="31"/>
        <v/>
      </c>
      <c r="S347" s="226">
        <f>'WetLitterbags placem_collection'!E128</f>
        <v>42762</v>
      </c>
      <c r="T347" s="226">
        <f>IF('WetLitterbags placem_collection'!G128="","",'WetLitterbags placem_collection'!G128)</f>
        <v>42816</v>
      </c>
      <c r="U347" s="227">
        <f t="shared" si="28"/>
        <v>54</v>
      </c>
      <c r="V347" s="225">
        <f t="shared" si="29"/>
        <v>2.0058000000000002</v>
      </c>
      <c r="W347" s="225" t="str">
        <f t="shared" si="30"/>
        <v/>
      </c>
      <c r="X347">
        <f>IFERROR(INDEX(Rainfall_Wet!$O$2:$O$217,MATCH(B347, Rainfall_Wet!$A$2:$A$217,0)),"")</f>
        <v>206.85140822299999</v>
      </c>
      <c r="Y347" s="231">
        <v>17.96</v>
      </c>
      <c r="Z347" s="231">
        <v>4.9199999999999982</v>
      </c>
      <c r="AA347" s="231">
        <v>77.12</v>
      </c>
      <c r="AB347" s="232" t="s">
        <v>2671</v>
      </c>
      <c r="AC347" s="231">
        <v>7.02207984228684</v>
      </c>
      <c r="AD347">
        <f>IF('WetLitterbags placem_collection'!AB128="","",'WetLitterbags placem_collection'!AB128)</f>
        <v>10.85</v>
      </c>
      <c r="AE347">
        <f>IF('WetLitterbags placem_collection'!Z128="","",'WetLitterbags placem_collection'!Z128)</f>
        <v>40</v>
      </c>
      <c r="AF347" s="246" t="str">
        <f>IF('WetLitterbags placem_collection'!AA128="","",'WetLitterbags placem_collection'!AA128)</f>
        <v>G</v>
      </c>
      <c r="AG347">
        <f>IF('WetLitterbags placem_collection'!AC128="","",'WetLitterbags placem_collection'!AC128)</f>
        <v>1</v>
      </c>
      <c r="AH347" s="240">
        <f>AVERAGE('WetLitterbags placem_collection'!S128,'WetLitterbags placem_collection'!U128)</f>
        <v>16.649999999999999</v>
      </c>
      <c r="AI347">
        <f>AVERAGE('WetLitterbags placem_collection'!R128,'WetLitterbags placem_collection'!T128)</f>
        <v>32</v>
      </c>
      <c r="AJ347">
        <f>INDEX(Coordinates!$B$2:$B$197,MATCH(G347,Coordinates!$J$2:$J$197,0))</f>
        <v>-2.3493509829999999</v>
      </c>
      <c r="AK347">
        <f>INDEX(Coordinates!$C$2:$C$197,MATCH(G347,Coordinates!$J$2:$J$197,0))</f>
        <v>34.051332019999997</v>
      </c>
      <c r="AL347" t="str">
        <f>IF(ISNUMBER(SEARCH("C", 'WetLitterbags placem_collection'!W128)),"YES","NO")</f>
        <v>NO</v>
      </c>
      <c r="AM347" t="str">
        <f>IF(ISNUMBER(SEARCH("H", 'WetLitterbags placem_collection'!W128)),"YES","NO")</f>
        <v>NO</v>
      </c>
      <c r="AN347" t="str">
        <f>IF(ISNUMBER(SEARCH("R", 'WetLitterbags placem_collection'!W128)),"YES","NO")</f>
        <v>NO</v>
      </c>
    </row>
    <row r="348" spans="1:40" ht="15" customHeight="1">
      <c r="A348" s="258" t="s">
        <v>2460</v>
      </c>
      <c r="B348" s="263">
        <f>'Dry_Litterbag Placem_Collection'!A129</f>
        <v>127</v>
      </c>
      <c r="C348" s="263" t="str">
        <f>'Dry_Litterbag Placem_Collection'!B129</f>
        <v xml:space="preserve">Mwantimba
</v>
      </c>
      <c r="D348" s="263" t="s">
        <v>2460</v>
      </c>
      <c r="E348" s="263" t="s">
        <v>2660</v>
      </c>
      <c r="F348" s="263">
        <v>4</v>
      </c>
      <c r="G348" s="264" t="str">
        <f>'Dry_Litterbag Placem_Collection'!C129</f>
        <v>Wet_Ag4_T7</v>
      </c>
      <c r="H348" s="265" t="s">
        <v>2541</v>
      </c>
      <c r="I348" s="272" t="s">
        <v>298</v>
      </c>
      <c r="J348" s="223" t="str">
        <f>'WetLitterbags placem_collection'!M129</f>
        <v>R506</v>
      </c>
      <c r="K348" s="225">
        <f>IFERROR(INDEX('Green_rooibos initial weight'!$C$5:$C$1749,MATCH(J348, 'Green_rooibos initial weight'!$A$5:$A$1749,0)),"")</f>
        <v>2.1579999999999999</v>
      </c>
      <c r="L348" s="225">
        <f>IFERROR(K348-(TBIcalc!$H$9+TBIcalc!$H$10),"")</f>
        <v>1.9081999999999999</v>
      </c>
      <c r="M348" s="391">
        <f>AVERAGE(Ashed_controlls!$K$12:$K$14)</f>
        <v>2.2816647271287041</v>
      </c>
      <c r="N348" s="225">
        <f t="shared" si="27"/>
        <v>1.8646612736769299</v>
      </c>
      <c r="O348" s="225">
        <f>IF(IFERROR(INDEX('Both teabags AfterWet'!$C$3:$C$841,MATCH(J348,'Both teabags AfterWet'!$A$3:$A$841,0)),"")="","",(IFERROR(INDEX('Both teabags AfterWet'!$C$3:$C$841,MATCH(J348,'Both teabags AfterWet'!$A$3:$A$841,0)),"")))</f>
        <v>1.4710000000000001</v>
      </c>
      <c r="P348" s="225">
        <f>IFERROR(IF(O348&gt;0,O348-(TBIcalc!$H$9),""),"")</f>
        <v>1.3204</v>
      </c>
      <c r="Q348" s="225">
        <f>IFERROR(INDEX('Ashed teabags wet'!$K$2:$K$821,MATCH(J348,'Ashed teabags wet'!$A$2:$A$821,0)),"")</f>
        <v>5.8622374206153776</v>
      </c>
      <c r="R348" s="225">
        <f t="shared" si="31"/>
        <v>1.2429950170981945</v>
      </c>
      <c r="S348" s="226">
        <f>'WetLitterbags placem_collection'!E129</f>
        <v>42762</v>
      </c>
      <c r="T348" s="226">
        <f>IF('WetLitterbags placem_collection'!G129="","",'WetLitterbags placem_collection'!G129)</f>
        <v>42816</v>
      </c>
      <c r="U348" s="227">
        <f t="shared" si="28"/>
        <v>54</v>
      </c>
      <c r="V348" s="225">
        <f t="shared" si="29"/>
        <v>0.58779999999999988</v>
      </c>
      <c r="W348" s="225">
        <f t="shared" si="30"/>
        <v>0.62166625657873542</v>
      </c>
      <c r="X348">
        <f>IFERROR(INDEX(Rainfall_Wet!$O$2:$O$217,MATCH(B348, Rainfall_Wet!$A$2:$A$217,0)),"")</f>
        <v>206.85140822299999</v>
      </c>
      <c r="Y348" s="231">
        <v>17.96</v>
      </c>
      <c r="Z348" s="231">
        <v>4.9199999999999982</v>
      </c>
      <c r="AA348" s="231">
        <v>77.12</v>
      </c>
      <c r="AB348" s="232" t="s">
        <v>2671</v>
      </c>
      <c r="AC348" s="231">
        <v>8.0220798422868391</v>
      </c>
      <c r="AD348">
        <f>IF('WetLitterbags placem_collection'!AB129="","",'WetLitterbags placem_collection'!AB129)</f>
        <v>5.35</v>
      </c>
      <c r="AE348">
        <f>IF('WetLitterbags placem_collection'!Z129="","",'WetLitterbags placem_collection'!Z129)</f>
        <v>58</v>
      </c>
      <c r="AF348" s="246" t="str">
        <f>IF('WetLitterbags placem_collection'!AA129="","",'WetLitterbags placem_collection'!AA129)</f>
        <v>G</v>
      </c>
      <c r="AG348">
        <f>IF('WetLitterbags placem_collection'!AC129="","",'WetLitterbags placem_collection'!AC129)</f>
        <v>1</v>
      </c>
      <c r="AH348" s="240">
        <f>AVERAGE('WetLitterbags placem_collection'!S129,'WetLitterbags placem_collection'!U129)</f>
        <v>15.8</v>
      </c>
      <c r="AI348">
        <f>AVERAGE('WetLitterbags placem_collection'!R129,'WetLitterbags placem_collection'!T129)</f>
        <v>31.55</v>
      </c>
      <c r="AJ348">
        <f>INDEX(Coordinates!$B$2:$B$197,MATCH(G348,Coordinates!$J$2:$J$197,0))</f>
        <v>-2.3491850219999999</v>
      </c>
      <c r="AK348">
        <f>INDEX(Coordinates!$C$2:$C$197,MATCH(G348,Coordinates!$J$2:$J$197,0))</f>
        <v>34.051264959999997</v>
      </c>
      <c r="AL348" t="str">
        <f>IF(ISNUMBER(SEARCH("C", 'WetLitterbags placem_collection'!W129)),"YES","NO")</f>
        <v>NO</v>
      </c>
      <c r="AM348" t="str">
        <f>IF(ISNUMBER(SEARCH("H", 'WetLitterbags placem_collection'!W129)),"YES","NO")</f>
        <v>NO</v>
      </c>
      <c r="AN348" t="str">
        <f>IF(ISNUMBER(SEARCH("R", 'WetLitterbags placem_collection'!W129)),"YES","NO")</f>
        <v>NO</v>
      </c>
    </row>
    <row r="349" spans="1:40" ht="15" customHeight="1">
      <c r="A349" s="258" t="s">
        <v>2460</v>
      </c>
      <c r="B349" s="263">
        <f>'Dry_Litterbag Placem_Collection'!A130</f>
        <v>128</v>
      </c>
      <c r="C349" s="263" t="str">
        <f>'Dry_Litterbag Placem_Collection'!B130</f>
        <v xml:space="preserve">Mwantimba
</v>
      </c>
      <c r="D349" s="263" t="s">
        <v>2460</v>
      </c>
      <c r="E349" s="263" t="s">
        <v>2660</v>
      </c>
      <c r="F349" s="263">
        <v>4</v>
      </c>
      <c r="G349" s="264" t="str">
        <f>'Dry_Litterbag Placem_Collection'!C130</f>
        <v>Wet_Ag4_T8</v>
      </c>
      <c r="H349" s="265" t="s">
        <v>2541</v>
      </c>
      <c r="I349" s="272" t="s">
        <v>298</v>
      </c>
      <c r="J349" s="223" t="str">
        <f>'WetLitterbags placem_collection'!M130</f>
        <v>R554</v>
      </c>
      <c r="K349" s="225">
        <f>IFERROR(INDEX('Green_rooibos initial weight'!$C$5:$C$1749,MATCH(J349, 'Green_rooibos initial weight'!$A$5:$A$1749,0)),"")</f>
        <v>2.1779999999999999</v>
      </c>
      <c r="L349" s="225">
        <f>IFERROR(K349-(TBIcalc!$H$9+TBIcalc!$H$10),"")</f>
        <v>1.9281999999999999</v>
      </c>
      <c r="M349" s="391">
        <f>AVERAGE(Ashed_controlls!$K$12:$K$14)</f>
        <v>2.2816647271287041</v>
      </c>
      <c r="N349" s="225">
        <f t="shared" si="27"/>
        <v>1.8842049407315042</v>
      </c>
      <c r="O349" s="225">
        <f>IF(IFERROR(INDEX('Both teabags AfterWet'!$C$3:$C$841,MATCH(J349,'Both teabags AfterWet'!$A$3:$A$841,0)),"")="","",(IFERROR(INDEX('Both teabags AfterWet'!$C$3:$C$841,MATCH(J349,'Both teabags AfterWet'!$A$3:$A$841,0)),"")))</f>
        <v>2.5259999999999998</v>
      </c>
      <c r="P349" s="225">
        <f>IFERROR(IF(O349&gt;0,O349-(TBIcalc!$H$9),""),"")</f>
        <v>2.3754</v>
      </c>
      <c r="Q349" s="225">
        <f>IFERROR(INDEX('Ashed teabags wet'!$K$2:$K$821,MATCH(J349,'Ashed teabags wet'!$A$2:$A$821,0)),"")</f>
        <v>66.458433445459406</v>
      </c>
      <c r="R349" s="225">
        <f t="shared" si="31"/>
        <v>0.79674637193655728</v>
      </c>
      <c r="S349" s="226">
        <f>'WetLitterbags placem_collection'!E130</f>
        <v>42762</v>
      </c>
      <c r="T349" s="226">
        <f>IF('WetLitterbags placem_collection'!G130="","",'WetLitterbags placem_collection'!G130)</f>
        <v>42816</v>
      </c>
      <c r="U349" s="227">
        <f t="shared" si="28"/>
        <v>54</v>
      </c>
      <c r="V349" s="225">
        <f t="shared" si="29"/>
        <v>-0.44720000000000004</v>
      </c>
      <c r="W349" s="225">
        <f t="shared" si="30"/>
        <v>1.087458568794947</v>
      </c>
      <c r="X349">
        <f>IFERROR(INDEX(Rainfall_Wet!$O$2:$O$217,MATCH(B349, Rainfall_Wet!$A$2:$A$217,0)),"")</f>
        <v>206.85140822299999</v>
      </c>
      <c r="Y349" s="231">
        <v>17.96</v>
      </c>
      <c r="Z349" s="231">
        <v>4.9199999999999982</v>
      </c>
      <c r="AA349" s="231">
        <v>77.12</v>
      </c>
      <c r="AB349" s="232" t="s">
        <v>2671</v>
      </c>
      <c r="AC349" s="231">
        <v>9.0220798422868391</v>
      </c>
      <c r="AD349">
        <f>IF('WetLitterbags placem_collection'!AB130="","",'WetLitterbags placem_collection'!AB130)</f>
        <v>10.9</v>
      </c>
      <c r="AE349">
        <f>IF('WetLitterbags placem_collection'!Z130="","",'WetLitterbags placem_collection'!Z130)</f>
        <v>44</v>
      </c>
      <c r="AF349" s="246" t="str">
        <f>IF('WetLitterbags placem_collection'!AA130="","",'WetLitterbags placem_collection'!AA130)</f>
        <v>G</v>
      </c>
      <c r="AG349">
        <f>IF('WetLitterbags placem_collection'!AC130="","",'WetLitterbags placem_collection'!AC130)</f>
        <v>0</v>
      </c>
      <c r="AH349" s="240">
        <f>AVERAGE('WetLitterbags placem_collection'!S130,'WetLitterbags placem_collection'!U130)</f>
        <v>8.15</v>
      </c>
      <c r="AI349">
        <f>AVERAGE('WetLitterbags placem_collection'!R130,'WetLitterbags placem_collection'!T130)</f>
        <v>31.650000000000002</v>
      </c>
      <c r="AJ349">
        <f>INDEX(Coordinates!$B$2:$B$197,MATCH(G349,Coordinates!$J$2:$J$197,0))</f>
        <v>-2.3493099960000001</v>
      </c>
      <c r="AK349">
        <f>INDEX(Coordinates!$C$2:$C$197,MATCH(G349,Coordinates!$J$2:$J$197,0))</f>
        <v>34.05141802</v>
      </c>
      <c r="AL349" t="str">
        <f>IF(ISNUMBER(SEARCH("C", 'WetLitterbags placem_collection'!W130)),"YES","NO")</f>
        <v>YES</v>
      </c>
      <c r="AM349" t="str">
        <f>IF(ISNUMBER(SEARCH("H", 'WetLitterbags placem_collection'!W130)),"YES","NO")</f>
        <v>YES</v>
      </c>
      <c r="AN349" t="str">
        <f>IF(ISNUMBER(SEARCH("R", 'WetLitterbags placem_collection'!W130)),"YES","NO")</f>
        <v>YES</v>
      </c>
    </row>
    <row r="350" spans="1:40" ht="15" customHeight="1">
      <c r="A350" s="258" t="s">
        <v>2460</v>
      </c>
      <c r="B350" s="263">
        <f>'Dry_Litterbag Placem_Collection'!A131</f>
        <v>129</v>
      </c>
      <c r="C350" s="263" t="str">
        <f>'Dry_Litterbag Placem_Collection'!B131</f>
        <v xml:space="preserve">Mwantimba
</v>
      </c>
      <c r="D350" s="263" t="s">
        <v>2460</v>
      </c>
      <c r="E350" s="263" t="s">
        <v>20</v>
      </c>
      <c r="F350" s="263">
        <v>1</v>
      </c>
      <c r="G350" s="264" t="str">
        <f>'Dry_Litterbag Placem_Collection'!C131</f>
        <v>Wet_P1_T1</v>
      </c>
      <c r="H350" s="265" t="s">
        <v>2541</v>
      </c>
      <c r="I350" s="272" t="s">
        <v>298</v>
      </c>
      <c r="J350" s="223" t="str">
        <f>'WetLitterbags placem_collection'!M131</f>
        <v>R46</v>
      </c>
      <c r="K350" s="225">
        <f>IFERROR(INDEX('Green_rooibos initial weight'!$C$5:$C$1749,MATCH(J350, 'Green_rooibos initial weight'!$A$5:$A$1749,0)),"")</f>
        <v>2.2890000000000001</v>
      </c>
      <c r="L350" s="225">
        <f>IFERROR(K350-(TBIcalc!$H$9+TBIcalc!$H$10),"")</f>
        <v>2.0392000000000001</v>
      </c>
      <c r="M350" s="391">
        <f>AVERAGE(Ashed_controlls!$K$12:$K$14)</f>
        <v>2.2816647271287041</v>
      </c>
      <c r="N350" s="225">
        <f t="shared" si="27"/>
        <v>1.9926722928843916</v>
      </c>
      <c r="O350" s="225">
        <f>IF(IFERROR(INDEX('Both teabags AfterWet'!$C$3:$C$841,MATCH(J350,'Both teabags AfterWet'!$A$3:$A$841,0)),"")="","",(IFERROR(INDEX('Both teabags AfterWet'!$C$3:$C$841,MATCH(J350,'Both teabags AfterWet'!$A$3:$A$841,0)),"")))</f>
        <v>0.48970000000000002</v>
      </c>
      <c r="P350" s="225">
        <f>IFERROR(IF(O350&gt;0,O350-(TBIcalc!$H$9),""),"")</f>
        <v>0.33910000000000001</v>
      </c>
      <c r="Q350" s="225" t="str">
        <f>IFERROR(INDEX('Ashed teabags wet'!$K$2:$K$821,MATCH(J350,'Ashed teabags wet'!$A$2:$A$821,0)),"")</f>
        <v/>
      </c>
      <c r="R350" s="225" t="str">
        <f t="shared" si="31"/>
        <v/>
      </c>
      <c r="S350" s="226">
        <f>'WetLitterbags placem_collection'!E131</f>
        <v>42762</v>
      </c>
      <c r="T350" s="226">
        <f>IF('WetLitterbags placem_collection'!G131="","",'WetLitterbags placem_collection'!G131)</f>
        <v>42816</v>
      </c>
      <c r="U350" s="227">
        <f t="shared" si="28"/>
        <v>54</v>
      </c>
      <c r="V350" s="225">
        <f t="shared" si="29"/>
        <v>1.7001000000000002</v>
      </c>
      <c r="W350" s="225" t="str">
        <f t="shared" si="30"/>
        <v/>
      </c>
      <c r="X350">
        <f>IFERROR(INDEX(Rainfall_Wet!$O$2:$O$217,MATCH(B350, Rainfall_Wet!$A$2:$A$217,0)),"")</f>
        <v>206.85140822299999</v>
      </c>
      <c r="Y350" s="231">
        <v>31.214836424255054</v>
      </c>
      <c r="Z350" s="231">
        <v>11.377370285476141</v>
      </c>
      <c r="AA350" s="231">
        <v>57.407793290268799</v>
      </c>
      <c r="AB350" s="232" t="s">
        <v>2670</v>
      </c>
      <c r="AC350" s="231">
        <v>1.7337604731394776</v>
      </c>
      <c r="AD350">
        <f>IF('WetLitterbags placem_collection'!AB131="","",'WetLitterbags placem_collection'!AB131)</f>
        <v>2.4</v>
      </c>
      <c r="AE350">
        <f>IF('WetLitterbags placem_collection'!Z131="","",'WetLitterbags placem_collection'!Z131)</f>
        <v>2.4</v>
      </c>
      <c r="AF350" s="246" t="str">
        <f>IF('WetLitterbags placem_collection'!AA131="","",'WetLitterbags placem_collection'!AA131)</f>
        <v>O</v>
      </c>
      <c r="AG350">
        <f>IF('WetLitterbags placem_collection'!AC131="","",'WetLitterbags placem_collection'!AC131)</f>
        <v>1</v>
      </c>
      <c r="AH350" s="240">
        <f>AVERAGE('WetLitterbags placem_collection'!S131,'WetLitterbags placem_collection'!U131)</f>
        <v>15.05</v>
      </c>
      <c r="AI350">
        <f>AVERAGE('WetLitterbags placem_collection'!R131,'WetLitterbags placem_collection'!T131)</f>
        <v>28</v>
      </c>
      <c r="AJ350">
        <f>INDEX(Coordinates!$B$2:$B$197,MATCH(G350,Coordinates!$J$2:$J$197,0))</f>
        <v>-2.3503360249999998</v>
      </c>
      <c r="AK350">
        <f>INDEX(Coordinates!$C$2:$C$197,MATCH(G350,Coordinates!$J$2:$J$197,0))</f>
        <v>34.049662009999999</v>
      </c>
      <c r="AL350" t="str">
        <f>IF(ISNUMBER(SEARCH("C", 'WetLitterbags placem_collection'!W131)),"YES","NO")</f>
        <v>NO</v>
      </c>
      <c r="AM350" t="str">
        <f>IF(ISNUMBER(SEARCH("H", 'WetLitterbags placem_collection'!W131)),"YES","NO")</f>
        <v>YES</v>
      </c>
      <c r="AN350" t="str">
        <f>IF(ISNUMBER(SEARCH("R", 'WetLitterbags placem_collection'!W131)),"YES","NO")</f>
        <v>NO</v>
      </c>
    </row>
    <row r="351" spans="1:40" ht="15" customHeight="1">
      <c r="A351" s="258" t="s">
        <v>2460</v>
      </c>
      <c r="B351" s="263">
        <f>'Dry_Litterbag Placem_Collection'!A132</f>
        <v>130</v>
      </c>
      <c r="C351" s="263" t="str">
        <f>'Dry_Litterbag Placem_Collection'!B132</f>
        <v xml:space="preserve">Mwantimba
</v>
      </c>
      <c r="D351" s="263" t="s">
        <v>2460</v>
      </c>
      <c r="E351" s="263" t="s">
        <v>20</v>
      </c>
      <c r="F351" s="263">
        <v>1</v>
      </c>
      <c r="G351" s="264" t="str">
        <f>'Dry_Litterbag Placem_Collection'!C132</f>
        <v>Wet_P1_T2</v>
      </c>
      <c r="H351" s="265" t="s">
        <v>2541</v>
      </c>
      <c r="I351" s="272" t="s">
        <v>298</v>
      </c>
      <c r="J351" s="223" t="str">
        <f>'WetLitterbags placem_collection'!M132</f>
        <v>R585</v>
      </c>
      <c r="K351" s="225">
        <f>IFERROR(INDEX('Green_rooibos initial weight'!$C$5:$C$1749,MATCH(J351, 'Green_rooibos initial weight'!$A$5:$A$1749,0)),"")</f>
        <v>2.17</v>
      </c>
      <c r="L351" s="225">
        <f>IFERROR(K351-(TBIcalc!$H$9+TBIcalc!$H$10),"")</f>
        <v>1.9201999999999999</v>
      </c>
      <c r="M351" s="391">
        <f>AVERAGE(Ashed_controlls!$K$12:$K$14)</f>
        <v>2.2816647271287041</v>
      </c>
      <c r="N351" s="225">
        <f t="shared" si="27"/>
        <v>1.8763874739096746</v>
      </c>
      <c r="O351" s="225">
        <f>IF(IFERROR(INDEX('Both teabags AfterWet'!$C$3:$C$841,MATCH(J351,'Both teabags AfterWet'!$A$3:$A$841,0)),"")="","",(IFERROR(INDEX('Both teabags AfterWet'!$C$3:$C$841,MATCH(J351,'Both teabags AfterWet'!$A$3:$A$841,0)),"")))</f>
        <v>1.6379999999999999</v>
      </c>
      <c r="P351" s="225">
        <f>IFERROR(IF(O351&gt;0,O351-(TBIcalc!$H$9),""),"")</f>
        <v>1.4873999999999998</v>
      </c>
      <c r="Q351" s="225">
        <f>IFERROR(INDEX('Ashed teabags wet'!$K$2:$K$821,MATCH(J351,'Ashed teabags wet'!$A$2:$A$821,0)),"")</f>
        <v>4.8913043478256997</v>
      </c>
      <c r="R351" s="225">
        <f t="shared" si="31"/>
        <v>1.4146467391304405</v>
      </c>
      <c r="S351" s="226">
        <f>'WetLitterbags placem_collection'!E132</f>
        <v>42762</v>
      </c>
      <c r="T351" s="226">
        <f>IF('WetLitterbags placem_collection'!G132="","",'WetLitterbags placem_collection'!G132)</f>
        <v>42816</v>
      </c>
      <c r="U351" s="227">
        <f t="shared" si="28"/>
        <v>54</v>
      </c>
      <c r="V351" s="225">
        <f t="shared" si="29"/>
        <v>0.43280000000000007</v>
      </c>
      <c r="W351" s="225">
        <f t="shared" si="30"/>
        <v>0.46174073477923416</v>
      </c>
      <c r="X351">
        <f>IFERROR(INDEX(Rainfall_Wet!$O$2:$O$217,MATCH(B351, Rainfall_Wet!$A$2:$A$217,0)),"")</f>
        <v>206.85140822299999</v>
      </c>
      <c r="Y351" s="231">
        <v>31.214836424255054</v>
      </c>
      <c r="Z351" s="231">
        <v>11.377370285476141</v>
      </c>
      <c r="AA351" s="231">
        <v>57.407793290268799</v>
      </c>
      <c r="AB351" s="232" t="s">
        <v>2670</v>
      </c>
      <c r="AC351" s="231">
        <v>2.7337604731394798</v>
      </c>
      <c r="AD351">
        <f>IF('WetLitterbags placem_collection'!AB132="","",'WetLitterbags placem_collection'!AB132)</f>
        <v>2.1</v>
      </c>
      <c r="AE351">
        <f>IF('WetLitterbags placem_collection'!Z132="","",'WetLitterbags placem_collection'!Z132)</f>
        <v>3.5</v>
      </c>
      <c r="AF351" s="246" t="str">
        <f>IF('WetLitterbags placem_collection'!AA132="","",'WetLitterbags placem_collection'!AA132)</f>
        <v>O</v>
      </c>
      <c r="AG351">
        <f>IF('WetLitterbags placem_collection'!AC132="","",'WetLitterbags placem_collection'!AC132)</f>
        <v>0</v>
      </c>
      <c r="AH351" s="240">
        <f>AVERAGE('WetLitterbags placem_collection'!S132,'WetLitterbags placem_collection'!U132)</f>
        <v>16.3</v>
      </c>
      <c r="AI351">
        <f>AVERAGE('WetLitterbags placem_collection'!R132,'WetLitterbags placem_collection'!T132)</f>
        <v>28.5</v>
      </c>
      <c r="AJ351">
        <f>INDEX(Coordinates!$B$2:$B$197,MATCH(G351,Coordinates!$J$2:$J$197,0))</f>
        <v>-2.3503729889999998</v>
      </c>
      <c r="AK351">
        <f>INDEX(Coordinates!$C$2:$C$197,MATCH(G351,Coordinates!$J$2:$J$197,0))</f>
        <v>34.049626969999998</v>
      </c>
      <c r="AL351" t="str">
        <f>IF(ISNUMBER(SEARCH("C", 'WetLitterbags placem_collection'!W132)),"YES","NO")</f>
        <v>NO</v>
      </c>
      <c r="AM351" t="str">
        <f>IF(ISNUMBER(SEARCH("H", 'WetLitterbags placem_collection'!W132)),"YES","NO")</f>
        <v>NO</v>
      </c>
      <c r="AN351" t="str">
        <f>IF(ISNUMBER(SEARCH("R", 'WetLitterbags placem_collection'!W132)),"YES","NO")</f>
        <v>NO</v>
      </c>
    </row>
    <row r="352" spans="1:40" ht="15" customHeight="1">
      <c r="A352" s="258" t="s">
        <v>2460</v>
      </c>
      <c r="B352" s="263">
        <f>'Dry_Litterbag Placem_Collection'!A133</f>
        <v>131</v>
      </c>
      <c r="C352" s="263" t="str">
        <f>'Dry_Litterbag Placem_Collection'!B133</f>
        <v xml:space="preserve">Mwantimba
</v>
      </c>
      <c r="D352" s="263" t="s">
        <v>2460</v>
      </c>
      <c r="E352" s="263" t="s">
        <v>20</v>
      </c>
      <c r="F352" s="263">
        <v>1</v>
      </c>
      <c r="G352" s="264" t="str">
        <f>'Dry_Litterbag Placem_Collection'!C133</f>
        <v>Wet_P1_T3</v>
      </c>
      <c r="H352" s="265" t="s">
        <v>2541</v>
      </c>
      <c r="I352" s="272" t="s">
        <v>298</v>
      </c>
      <c r="J352" s="223" t="str">
        <f>'WetLitterbags placem_collection'!M133</f>
        <v>R476</v>
      </c>
      <c r="K352" s="225">
        <f>IFERROR(INDEX('Green_rooibos initial weight'!$C$5:$C$1749,MATCH(J352, 'Green_rooibos initial weight'!$A$5:$A$1749,0)),"")</f>
        <v>2.2429999999999999</v>
      </c>
      <c r="L352" s="225">
        <f>IFERROR(K352-(TBIcalc!$H$9+TBIcalc!$H$10),"")</f>
        <v>1.9931999999999999</v>
      </c>
      <c r="M352" s="391">
        <f>AVERAGE(Ashed_controlls!$K$12:$K$14)</f>
        <v>2.2816647271287041</v>
      </c>
      <c r="N352" s="225">
        <f t="shared" si="27"/>
        <v>1.9477218586588705</v>
      </c>
      <c r="O352" s="225">
        <f>IF(IFERROR(INDEX('Both teabags AfterWet'!$C$3:$C$841,MATCH(J352,'Both teabags AfterWet'!$A$3:$A$841,0)),"")="","",(IFERROR(INDEX('Both teabags AfterWet'!$C$3:$C$841,MATCH(J352,'Both teabags AfterWet'!$A$3:$A$841,0)),"")))</f>
        <v>0.64019999999999999</v>
      </c>
      <c r="P352" s="225">
        <f>IFERROR(IF(O352&gt;0,O352-(TBIcalc!$H$9),""),"")</f>
        <v>0.48959999999999998</v>
      </c>
      <c r="Q352" s="225" t="str">
        <f>IFERROR(INDEX('Ashed teabags wet'!$K$2:$K$821,MATCH(J352,'Ashed teabags wet'!$A$2:$A$821,0)),"")</f>
        <v/>
      </c>
      <c r="R352" s="225" t="str">
        <f t="shared" si="31"/>
        <v/>
      </c>
      <c r="S352" s="226">
        <f>'WetLitterbags placem_collection'!E133</f>
        <v>42762</v>
      </c>
      <c r="T352" s="226">
        <f>IF('WetLitterbags placem_collection'!G133="","",'WetLitterbags placem_collection'!G133)</f>
        <v>42816</v>
      </c>
      <c r="U352" s="227">
        <f t="shared" si="28"/>
        <v>54</v>
      </c>
      <c r="V352" s="225">
        <f t="shared" si="29"/>
        <v>1.5035999999999998</v>
      </c>
      <c r="W352" s="225" t="str">
        <f t="shared" si="30"/>
        <v/>
      </c>
      <c r="X352">
        <f>IFERROR(INDEX(Rainfall_Wet!$O$2:$O$217,MATCH(B352, Rainfall_Wet!$A$2:$A$217,0)),"")</f>
        <v>206.85140822299999</v>
      </c>
      <c r="Y352" s="231">
        <v>31.214836424255054</v>
      </c>
      <c r="Z352" s="231">
        <v>11.377370285476141</v>
      </c>
      <c r="AA352" s="231">
        <v>57.407793290268799</v>
      </c>
      <c r="AB352" s="232" t="s">
        <v>2670</v>
      </c>
      <c r="AC352" s="231">
        <v>3.7337604731394798</v>
      </c>
      <c r="AD352">
        <f>IF('WetLitterbags placem_collection'!AB133="","",'WetLitterbags placem_collection'!AB133)</f>
        <v>4.5</v>
      </c>
      <c r="AE352">
        <f>IF('WetLitterbags placem_collection'!Z133="","",'WetLitterbags placem_collection'!Z133)</f>
        <v>7.5</v>
      </c>
      <c r="AF352" s="246" t="str">
        <f>IF('WetLitterbags placem_collection'!AA133="","",'WetLitterbags placem_collection'!AA133)</f>
        <v>O</v>
      </c>
      <c r="AG352">
        <f>IF('WetLitterbags placem_collection'!AC133="","",'WetLitterbags placem_collection'!AC133)</f>
        <v>0</v>
      </c>
      <c r="AH352" s="240">
        <f>AVERAGE('WetLitterbags placem_collection'!S133,'WetLitterbags placem_collection'!U133)</f>
        <v>9.3000000000000007</v>
      </c>
      <c r="AI352">
        <f>AVERAGE('WetLitterbags placem_collection'!R133,'WetLitterbags placem_collection'!T133)</f>
        <v>28.950000000000003</v>
      </c>
      <c r="AJ352">
        <f>INDEX(Coordinates!$B$2:$B$197,MATCH(G352,Coordinates!$J$2:$J$197,0))</f>
        <v>-2.3503259660000002</v>
      </c>
      <c r="AK352">
        <f>INDEX(Coordinates!$C$2:$C$197,MATCH(G352,Coordinates!$J$2:$J$197,0))</f>
        <v>34.049616999999998</v>
      </c>
      <c r="AL352" t="str">
        <f>IF(ISNUMBER(SEARCH("C", 'WetLitterbags placem_collection'!W133)),"YES","NO")</f>
        <v>YES</v>
      </c>
      <c r="AM352" t="str">
        <f>IF(ISNUMBER(SEARCH("H", 'WetLitterbags placem_collection'!W133)),"YES","NO")</f>
        <v>YES</v>
      </c>
      <c r="AN352" t="str">
        <f>IF(ISNUMBER(SEARCH("R", 'WetLitterbags placem_collection'!W133)),"YES","NO")</f>
        <v>NO</v>
      </c>
    </row>
    <row r="353" spans="1:40" ht="15" customHeight="1">
      <c r="A353" s="258" t="s">
        <v>2460</v>
      </c>
      <c r="B353" s="263">
        <f>'Dry_Litterbag Placem_Collection'!A134</f>
        <v>132</v>
      </c>
      <c r="C353" s="263" t="str">
        <f>'Dry_Litterbag Placem_Collection'!B134</f>
        <v xml:space="preserve">Mwantimba
</v>
      </c>
      <c r="D353" s="263" t="s">
        <v>2460</v>
      </c>
      <c r="E353" s="263" t="s">
        <v>20</v>
      </c>
      <c r="F353" s="263">
        <v>1</v>
      </c>
      <c r="G353" s="264" t="str">
        <f>'Dry_Litterbag Placem_Collection'!C134</f>
        <v>Wet_P1_T4</v>
      </c>
      <c r="H353" s="265" t="s">
        <v>2541</v>
      </c>
      <c r="I353" s="272" t="s">
        <v>298</v>
      </c>
      <c r="J353" s="223" t="str">
        <f>'WetLitterbags placem_collection'!M134</f>
        <v>R536</v>
      </c>
      <c r="K353" s="225">
        <f>IFERROR(INDEX('Green_rooibos initial weight'!$C$5:$C$1749,MATCH(J353, 'Green_rooibos initial weight'!$A$5:$A$1749,0)),"")</f>
        <v>2.1970000000000001</v>
      </c>
      <c r="L353" s="225">
        <f>IFERROR(K353-(TBIcalc!$H$9+TBIcalc!$H$10),"")</f>
        <v>1.9472</v>
      </c>
      <c r="M353" s="391">
        <f>AVERAGE(Ashed_controlls!$K$12:$K$14)</f>
        <v>2.2816647271287041</v>
      </c>
      <c r="N353" s="225">
        <f t="shared" si="27"/>
        <v>1.90277142443335</v>
      </c>
      <c r="O353" s="225">
        <f>IF(IFERROR(INDEX('Both teabags AfterWet'!$C$3:$C$841,MATCH(J353,'Both teabags AfterWet'!$A$3:$A$841,0)),"")="","",(IFERROR(INDEX('Both teabags AfterWet'!$C$3:$C$841,MATCH(J353,'Both teabags AfterWet'!$A$3:$A$841,0)),"")))</f>
        <v>1.593</v>
      </c>
      <c r="P353" s="225">
        <f>IFERROR(IF(O353&gt;0,O353-(TBIcalc!$H$9),""),"")</f>
        <v>1.4423999999999999</v>
      </c>
      <c r="Q353" s="225">
        <f>IFERROR(INDEX('Ashed teabags wet'!$K$2:$K$821,MATCH(J353,'Ashed teabags wet'!$A$2:$A$821,0)),"")</f>
        <v>91.768144179250029</v>
      </c>
      <c r="R353" s="225">
        <f t="shared" si="31"/>
        <v>0.11873628835849748</v>
      </c>
      <c r="S353" s="226">
        <f>'WetLitterbags placem_collection'!E134</f>
        <v>42762</v>
      </c>
      <c r="T353" s="226">
        <f>IF('WetLitterbags placem_collection'!G134="","",'WetLitterbags placem_collection'!G134)</f>
        <v>42816</v>
      </c>
      <c r="U353" s="227">
        <f t="shared" si="28"/>
        <v>54</v>
      </c>
      <c r="V353" s="225">
        <f t="shared" si="29"/>
        <v>0.50480000000000014</v>
      </c>
      <c r="W353" s="225">
        <f t="shared" si="30"/>
        <v>1.7840351360748525</v>
      </c>
      <c r="X353">
        <f>IFERROR(INDEX(Rainfall_Wet!$O$2:$O$217,MATCH(B353, Rainfall_Wet!$A$2:$A$217,0)),"")</f>
        <v>206.85140822299999</v>
      </c>
      <c r="Y353" s="231">
        <v>31.214836424255054</v>
      </c>
      <c r="Z353" s="231">
        <v>11.377370285476141</v>
      </c>
      <c r="AA353" s="231">
        <v>57.407793290268799</v>
      </c>
      <c r="AB353" s="232" t="s">
        <v>2670</v>
      </c>
      <c r="AC353" s="231">
        <v>4.7337604731394798</v>
      </c>
      <c r="AD353">
        <f>IF('WetLitterbags placem_collection'!AB134="","",'WetLitterbags placem_collection'!AB134)</f>
        <v>0.7</v>
      </c>
      <c r="AE353">
        <f>IF('WetLitterbags placem_collection'!Z134="","",'WetLitterbags placem_collection'!Z134)</f>
        <v>9.8000000000000007</v>
      </c>
      <c r="AF353" s="246" t="str">
        <f>IF('WetLitterbags placem_collection'!AA134="","",'WetLitterbags placem_collection'!AA134)</f>
        <v>G</v>
      </c>
      <c r="AG353">
        <f>IF('WetLitterbags placem_collection'!AC134="","",'WetLitterbags placem_collection'!AC134)</f>
        <v>1</v>
      </c>
      <c r="AH353" s="240">
        <f>AVERAGE('WetLitterbags placem_collection'!S134,'WetLitterbags placem_collection'!U134)</f>
        <v>18.55</v>
      </c>
      <c r="AI353">
        <f>AVERAGE('WetLitterbags placem_collection'!R134,'WetLitterbags placem_collection'!T134)</f>
        <v>28.95</v>
      </c>
      <c r="AJ353">
        <f>INDEX(Coordinates!$B$2:$B$197,MATCH(G353,Coordinates!$J$2:$J$197,0))</f>
        <v>-2.3504800260000001</v>
      </c>
      <c r="AK353">
        <f>INDEX(Coordinates!$C$2:$C$197,MATCH(G353,Coordinates!$J$2:$J$197,0))</f>
        <v>34.049551030000003</v>
      </c>
      <c r="AL353" t="str">
        <f>IF(ISNUMBER(SEARCH("C", 'WetLitterbags placem_collection'!W134)),"YES","NO")</f>
        <v>YES</v>
      </c>
      <c r="AM353" t="str">
        <f>IF(ISNUMBER(SEARCH("H", 'WetLitterbags placem_collection'!W134)),"YES","NO")</f>
        <v>YES</v>
      </c>
      <c r="AN353" t="str">
        <f>IF(ISNUMBER(SEARCH("R", 'WetLitterbags placem_collection'!W134)),"YES","NO")</f>
        <v>NO</v>
      </c>
    </row>
    <row r="354" spans="1:40" ht="15" customHeight="1">
      <c r="A354" s="258" t="s">
        <v>2460</v>
      </c>
      <c r="B354" s="263">
        <f>'Dry_Litterbag Placem_Collection'!A135</f>
        <v>133</v>
      </c>
      <c r="C354" s="263" t="str">
        <f>'Dry_Litterbag Placem_Collection'!B135</f>
        <v xml:space="preserve">Mwantimba
</v>
      </c>
      <c r="D354" s="263" t="s">
        <v>2460</v>
      </c>
      <c r="E354" s="263" t="s">
        <v>20</v>
      </c>
      <c r="F354" s="263">
        <v>1</v>
      </c>
      <c r="G354" s="264" t="str">
        <f>'Dry_Litterbag Placem_Collection'!C135</f>
        <v>Wet_P1_T5</v>
      </c>
      <c r="H354" s="265" t="s">
        <v>2541</v>
      </c>
      <c r="I354" s="272" t="s">
        <v>298</v>
      </c>
      <c r="J354" s="223" t="str">
        <f>'WetLitterbags placem_collection'!M135</f>
        <v>R524</v>
      </c>
      <c r="K354" s="225">
        <f>IFERROR(INDEX('Green_rooibos initial weight'!$C$5:$C$1749,MATCH(J354, 'Green_rooibos initial weight'!$A$5:$A$1749,0)),"")</f>
        <v>2.1080000000000001</v>
      </c>
      <c r="L354" s="225">
        <f>IFERROR(K354-(TBIcalc!$H$9+TBIcalc!$H$10),"")</f>
        <v>1.8582000000000001</v>
      </c>
      <c r="M354" s="391">
        <f>AVERAGE(Ashed_controlls!$K$12:$K$14)</f>
        <v>2.2816647271287041</v>
      </c>
      <c r="N354" s="225">
        <f t="shared" si="27"/>
        <v>1.8158021060404945</v>
      </c>
      <c r="O354" s="225">
        <f>IF(IFERROR(INDEX('Both teabags AfterWet'!$C$3:$C$841,MATCH(J354,'Both teabags AfterWet'!$A$3:$A$841,0)),"")="","",(IFERROR(INDEX('Both teabags AfterWet'!$C$3:$C$841,MATCH(J354,'Both teabags AfterWet'!$A$3:$A$841,0)),"")))</f>
        <v>1.5687</v>
      </c>
      <c r="P354" s="225">
        <f>IFERROR(IF(O354&gt;0,O354-(TBIcalc!$H$9),""),"")</f>
        <v>1.4180999999999999</v>
      </c>
      <c r="Q354" s="225">
        <f>IFERROR(INDEX('Ashed teabags wet'!$K$2:$K$821,MATCH(J354,'Ashed teabags wet'!$A$2:$A$821,0)),"")</f>
        <v>2.521432173474186</v>
      </c>
      <c r="R354" s="225">
        <f t="shared" si="31"/>
        <v>1.3823435703479625</v>
      </c>
      <c r="S354" s="226">
        <f>'WetLitterbags placem_collection'!E135</f>
        <v>42762</v>
      </c>
      <c r="T354" s="226">
        <f>IF('WetLitterbags placem_collection'!G135="","",'WetLitterbags placem_collection'!G135)</f>
        <v>42816</v>
      </c>
      <c r="U354" s="227">
        <f t="shared" si="28"/>
        <v>54</v>
      </c>
      <c r="V354" s="225">
        <f t="shared" si="29"/>
        <v>0.44010000000000016</v>
      </c>
      <c r="W354" s="225">
        <f t="shared" si="30"/>
        <v>0.43345853569253201</v>
      </c>
      <c r="X354">
        <f>IFERROR(INDEX(Rainfall_Wet!$O$2:$O$217,MATCH(B354, Rainfall_Wet!$A$2:$A$217,0)),"")</f>
        <v>206.85140822299999</v>
      </c>
      <c r="Y354" s="231">
        <v>31.214836424255054</v>
      </c>
      <c r="Z354" s="231">
        <v>11.377370285476141</v>
      </c>
      <c r="AA354" s="231">
        <v>57.407793290268799</v>
      </c>
      <c r="AB354" s="232" t="s">
        <v>2670</v>
      </c>
      <c r="AC354" s="231">
        <v>5.7337604731394798</v>
      </c>
      <c r="AD354">
        <f>IF('WetLitterbags placem_collection'!AB135="","",'WetLitterbags placem_collection'!AB135)</f>
        <v>2.2000000000000002</v>
      </c>
      <c r="AE354">
        <f>IF('WetLitterbags placem_collection'!Z135="","",'WetLitterbags placem_collection'!Z135)</f>
        <v>10</v>
      </c>
      <c r="AF354" s="246" t="str">
        <f>IF('WetLitterbags placem_collection'!AA135="","",'WetLitterbags placem_collection'!AA135)</f>
        <v>O</v>
      </c>
      <c r="AG354">
        <f>IF('WetLitterbags placem_collection'!AC135="","",'WetLitterbags placem_collection'!AC135)</f>
        <v>1</v>
      </c>
      <c r="AH354" s="240">
        <f>AVERAGE('WetLitterbags placem_collection'!S135,'WetLitterbags placem_collection'!U135)</f>
        <v>13.399999999999999</v>
      </c>
      <c r="AI354">
        <f>AVERAGE('WetLitterbags placem_collection'!R135,'WetLitterbags placem_collection'!T135)</f>
        <v>31.349999999999998</v>
      </c>
      <c r="AJ354">
        <f>INDEX(Coordinates!$B$2:$B$197,MATCH(G354,Coordinates!$J$2:$J$197,0))</f>
        <v>-2.350474996</v>
      </c>
      <c r="AK354">
        <f>INDEX(Coordinates!$C$2:$C$197,MATCH(G354,Coordinates!$J$2:$J$197,0))</f>
        <v>34.049801979999998</v>
      </c>
      <c r="AL354" t="str">
        <f>IF(ISNUMBER(SEARCH("C", 'WetLitterbags placem_collection'!W135)),"YES","NO")</f>
        <v>NO</v>
      </c>
      <c r="AM354" t="str">
        <f>IF(ISNUMBER(SEARCH("H", 'WetLitterbags placem_collection'!W135)),"YES","NO")</f>
        <v>NO</v>
      </c>
      <c r="AN354" t="str">
        <f>IF(ISNUMBER(SEARCH("R", 'WetLitterbags placem_collection'!W135)),"YES","NO")</f>
        <v>NO</v>
      </c>
    </row>
    <row r="355" spans="1:40" ht="15" customHeight="1">
      <c r="A355" s="258" t="s">
        <v>2460</v>
      </c>
      <c r="B355" s="263">
        <f>'Dry_Litterbag Placem_Collection'!A136</f>
        <v>134</v>
      </c>
      <c r="C355" s="263" t="str">
        <f>'Dry_Litterbag Placem_Collection'!B136</f>
        <v xml:space="preserve">Mwantimba
</v>
      </c>
      <c r="D355" s="263" t="s">
        <v>2460</v>
      </c>
      <c r="E355" s="263" t="s">
        <v>20</v>
      </c>
      <c r="F355" s="263">
        <v>1</v>
      </c>
      <c r="G355" s="264" t="str">
        <f>'Dry_Litterbag Placem_Collection'!C136</f>
        <v>Wet_P1_T6</v>
      </c>
      <c r="H355" s="265" t="s">
        <v>2541</v>
      </c>
      <c r="I355" s="272" t="s">
        <v>298</v>
      </c>
      <c r="J355" s="223" t="str">
        <f>'WetLitterbags placem_collection'!M136</f>
        <v>R600</v>
      </c>
      <c r="K355" s="225">
        <f>IFERROR(INDEX('Green_rooibos initial weight'!$C$5:$C$1749,MATCH(J355, 'Green_rooibos initial weight'!$A$5:$A$1749,0)),"")</f>
        <v>2.2440000000000002</v>
      </c>
      <c r="L355" s="225">
        <f>IFERROR(K355-(TBIcalc!$H$9+TBIcalc!$H$10),"")</f>
        <v>1.9942000000000002</v>
      </c>
      <c r="M355" s="391">
        <f>AVERAGE(Ashed_controlls!$K$12:$K$14)</f>
        <v>2.2816647271287041</v>
      </c>
      <c r="N355" s="225">
        <f t="shared" si="27"/>
        <v>1.9486990420115995</v>
      </c>
      <c r="O355" s="225">
        <f>IF(IFERROR(INDEX('Both teabags AfterWet'!$C$3:$C$841,MATCH(J355,'Both teabags AfterWet'!$A$3:$A$841,0)),"")="","",(IFERROR(INDEX('Both teabags AfterWet'!$C$3:$C$841,MATCH(J355,'Both teabags AfterWet'!$A$3:$A$841,0)),"")))</f>
        <v>1.4419999999999999</v>
      </c>
      <c r="P355" s="225">
        <f>IFERROR(IF(O355&gt;0,O355-(TBIcalc!$H$9),""),"")</f>
        <v>1.2913999999999999</v>
      </c>
      <c r="Q355" s="225">
        <f>IFERROR(INDEX('Ashed teabags wet'!$K$2:$K$821,MATCH(J355,'Ashed teabags wet'!$A$2:$A$821,0)),"")</f>
        <v>7.2860635696819331</v>
      </c>
      <c r="R355" s="225">
        <f t="shared" si="31"/>
        <v>1.1973077750611274</v>
      </c>
      <c r="S355" s="226">
        <f>'WetLitterbags placem_collection'!E136</f>
        <v>42762</v>
      </c>
      <c r="T355" s="226">
        <f>IF('WetLitterbags placem_collection'!G136="","",'WetLitterbags placem_collection'!G136)</f>
        <v>42816</v>
      </c>
      <c r="U355" s="227">
        <f t="shared" si="28"/>
        <v>54</v>
      </c>
      <c r="V355" s="225">
        <f t="shared" si="29"/>
        <v>0.70280000000000031</v>
      </c>
      <c r="W355" s="225">
        <f t="shared" si="30"/>
        <v>0.75139126695047209</v>
      </c>
      <c r="X355">
        <f>IFERROR(INDEX(Rainfall_Wet!$O$2:$O$217,MATCH(B355, Rainfall_Wet!$A$2:$A$217,0)),"")</f>
        <v>206.85140822299999</v>
      </c>
      <c r="Y355" s="231">
        <v>31.214836424255054</v>
      </c>
      <c r="Z355" s="231">
        <v>11.377370285476141</v>
      </c>
      <c r="AA355" s="231">
        <v>57.407793290268799</v>
      </c>
      <c r="AB355" s="232" t="s">
        <v>2670</v>
      </c>
      <c r="AC355" s="231">
        <v>6.7337604731394798</v>
      </c>
      <c r="AD355">
        <f>IF('WetLitterbags placem_collection'!AB136="","",'WetLitterbags placem_collection'!AB136)</f>
        <v>1.1000000000000001</v>
      </c>
      <c r="AE355">
        <f>IF('WetLitterbags placem_collection'!Z136="","",'WetLitterbags placem_collection'!Z136)</f>
        <v>15.4</v>
      </c>
      <c r="AF355" s="246" t="str">
        <f>IF('WetLitterbags placem_collection'!AA136="","",'WetLitterbags placem_collection'!AA136)</f>
        <v>O</v>
      </c>
      <c r="AG355">
        <f>IF('WetLitterbags placem_collection'!AC136="","",'WetLitterbags placem_collection'!AC136)</f>
        <v>1</v>
      </c>
      <c r="AH355" s="240">
        <f>AVERAGE('WetLitterbags placem_collection'!S136,'WetLitterbags placem_collection'!U136)</f>
        <v>12.7</v>
      </c>
      <c r="AI355">
        <f>AVERAGE('WetLitterbags placem_collection'!R136,'WetLitterbags placem_collection'!T136)</f>
        <v>30.15</v>
      </c>
      <c r="AJ355">
        <f>INDEX(Coordinates!$B$2:$B$197,MATCH(G355,Coordinates!$J$2:$J$197,0))</f>
        <v>-2.3503559730000001</v>
      </c>
      <c r="AK355">
        <f>INDEX(Coordinates!$C$2:$C$197,MATCH(G355,Coordinates!$J$2:$J$197,0))</f>
        <v>34.049800980000001</v>
      </c>
      <c r="AL355" t="str">
        <f>IF(ISNUMBER(SEARCH("C", 'WetLitterbags placem_collection'!W136)),"YES","NO")</f>
        <v>NO</v>
      </c>
      <c r="AM355" t="str">
        <f>IF(ISNUMBER(SEARCH("H", 'WetLitterbags placem_collection'!W136)),"YES","NO")</f>
        <v>NO</v>
      </c>
      <c r="AN355" t="str">
        <f>IF(ISNUMBER(SEARCH("R", 'WetLitterbags placem_collection'!W136)),"YES","NO")</f>
        <v>NO</v>
      </c>
    </row>
    <row r="356" spans="1:40" ht="15" customHeight="1">
      <c r="A356" s="258" t="s">
        <v>2460</v>
      </c>
      <c r="B356" s="263">
        <f>'Dry_Litterbag Placem_Collection'!A137</f>
        <v>135</v>
      </c>
      <c r="C356" s="263" t="str">
        <f>'Dry_Litterbag Placem_Collection'!B137</f>
        <v xml:space="preserve">Mwantimba
</v>
      </c>
      <c r="D356" s="263" t="s">
        <v>2460</v>
      </c>
      <c r="E356" s="263" t="s">
        <v>20</v>
      </c>
      <c r="F356" s="263">
        <v>1</v>
      </c>
      <c r="G356" s="264" t="str">
        <f>'Dry_Litterbag Placem_Collection'!C137</f>
        <v>Wet_P1_T7</v>
      </c>
      <c r="H356" s="265" t="s">
        <v>2541</v>
      </c>
      <c r="I356" s="272" t="s">
        <v>298</v>
      </c>
      <c r="J356" s="223" t="str">
        <f>'WetLitterbags placem_collection'!M137</f>
        <v>R432</v>
      </c>
      <c r="K356" s="225">
        <f>IFERROR(INDEX('Green_rooibos initial weight'!$C$5:$C$1749,MATCH(J356, 'Green_rooibos initial weight'!$A$5:$A$1749,0)),"")</f>
        <v>2.2240000000000002</v>
      </c>
      <c r="L356" s="225">
        <f>IFERROR(K356-(TBIcalc!$H$9+TBIcalc!$H$10),"")</f>
        <v>1.9742000000000002</v>
      </c>
      <c r="M356" s="391">
        <f>AVERAGE(Ashed_controlls!$K$12:$K$14)</f>
        <v>2.2816647271287041</v>
      </c>
      <c r="N356" s="225">
        <f t="shared" si="27"/>
        <v>1.9291553749570254</v>
      </c>
      <c r="O356" s="225">
        <f>IF(IFERROR(INDEX('Both teabags AfterWet'!$C$3:$C$841,MATCH(J356,'Both teabags AfterWet'!$A$3:$A$841,0)),"")="","",(IFERROR(INDEX('Both teabags AfterWet'!$C$3:$C$841,MATCH(J356,'Both teabags AfterWet'!$A$3:$A$841,0)),"")))</f>
        <v>1.6830000000000001</v>
      </c>
      <c r="P356" s="225">
        <f>IFERROR(IF(O356&gt;0,O356-(TBIcalc!$H$9),""),"")</f>
        <v>1.5324</v>
      </c>
      <c r="Q356" s="225">
        <f>IFERROR(INDEX('Ashed teabags wet'!$K$2:$K$821,MATCH(J356,'Ashed teabags wet'!$A$2:$A$821,0)),"")</f>
        <v>13.470757430488819</v>
      </c>
      <c r="R356" s="225">
        <f t="shared" si="31"/>
        <v>1.3259741131351892</v>
      </c>
      <c r="S356" s="226">
        <f>'WetLitterbags placem_collection'!E137</f>
        <v>42762</v>
      </c>
      <c r="T356" s="226">
        <f>IF('WetLitterbags placem_collection'!G137="","",'WetLitterbags placem_collection'!G137)</f>
        <v>42816</v>
      </c>
      <c r="U356" s="227">
        <f t="shared" si="28"/>
        <v>54</v>
      </c>
      <c r="V356" s="225">
        <f t="shared" si="29"/>
        <v>0.44180000000000019</v>
      </c>
      <c r="W356" s="225">
        <f t="shared" si="30"/>
        <v>0.60318126182183618</v>
      </c>
      <c r="X356">
        <f>IFERROR(INDEX(Rainfall_Wet!$O$2:$O$217,MATCH(B356, Rainfall_Wet!$A$2:$A$217,0)),"")</f>
        <v>206.85140822299999</v>
      </c>
      <c r="Y356" s="231">
        <v>31.214836424255054</v>
      </c>
      <c r="Z356" s="231">
        <v>11.377370285476141</v>
      </c>
      <c r="AA356" s="231">
        <v>57.407793290268799</v>
      </c>
      <c r="AB356" s="232" t="s">
        <v>2670</v>
      </c>
      <c r="AC356" s="231">
        <v>7.7337604731394798</v>
      </c>
      <c r="AD356">
        <f>IF('WetLitterbags placem_collection'!AB137="","",'WetLitterbags placem_collection'!AB137)</f>
        <v>2.1</v>
      </c>
      <c r="AE356">
        <f>IF('WetLitterbags placem_collection'!Z137="","",'WetLitterbags placem_collection'!Z137)</f>
        <v>5.6</v>
      </c>
      <c r="AF356" s="246" t="str">
        <f>IF('WetLitterbags placem_collection'!AA137="","",'WetLitterbags placem_collection'!AA137)</f>
        <v>O</v>
      </c>
      <c r="AG356">
        <f>IF('WetLitterbags placem_collection'!AC137="","",'WetLitterbags placem_collection'!AC137)</f>
        <v>1</v>
      </c>
      <c r="AH356" s="240">
        <f>AVERAGE('WetLitterbags placem_collection'!S137,'WetLitterbags placem_collection'!U137)</f>
        <v>14.5</v>
      </c>
      <c r="AI356">
        <f>AVERAGE('WetLitterbags placem_collection'!R137,'WetLitterbags placem_collection'!T137)</f>
        <v>29.65</v>
      </c>
      <c r="AJ356">
        <f>INDEX(Coordinates!$B$2:$B$197,MATCH(G356,Coordinates!$J$2:$J$197,0))</f>
        <v>-2.3503589909999998</v>
      </c>
      <c r="AK356">
        <f>INDEX(Coordinates!$C$2:$C$197,MATCH(G356,Coordinates!$J$2:$J$197,0))</f>
        <v>34.049719000000003</v>
      </c>
      <c r="AL356" t="str">
        <f>IF(ISNUMBER(SEARCH("C", 'WetLitterbags placem_collection'!W137)),"YES","NO")</f>
        <v>NO</v>
      </c>
      <c r="AM356" t="str">
        <f>IF(ISNUMBER(SEARCH("H", 'WetLitterbags placem_collection'!W137)),"YES","NO")</f>
        <v>NO</v>
      </c>
      <c r="AN356" t="str">
        <f>IF(ISNUMBER(SEARCH("R", 'WetLitterbags placem_collection'!W137)),"YES","NO")</f>
        <v>YES</v>
      </c>
    </row>
    <row r="357" spans="1:40" ht="15" customHeight="1">
      <c r="A357" s="258" t="s">
        <v>2460</v>
      </c>
      <c r="B357" s="263">
        <f>'Dry_Litterbag Placem_Collection'!A138</f>
        <v>136</v>
      </c>
      <c r="C357" s="263" t="str">
        <f>'Dry_Litterbag Placem_Collection'!B138</f>
        <v xml:space="preserve">Mwantimba
</v>
      </c>
      <c r="D357" s="263" t="s">
        <v>2460</v>
      </c>
      <c r="E357" s="263" t="s">
        <v>20</v>
      </c>
      <c r="F357" s="263">
        <v>1</v>
      </c>
      <c r="G357" s="264" t="str">
        <f>'Dry_Litterbag Placem_Collection'!C138</f>
        <v>Wet_P1_T8</v>
      </c>
      <c r="H357" s="265" t="s">
        <v>2541</v>
      </c>
      <c r="I357" s="272" t="s">
        <v>298</v>
      </c>
      <c r="J357" s="223" t="str">
        <f>'WetLitterbags placem_collection'!M138</f>
        <v>R474</v>
      </c>
      <c r="K357" s="225">
        <f>IFERROR(INDEX('Green_rooibos initial weight'!$C$5:$C$1749,MATCH(J357, 'Green_rooibos initial weight'!$A$5:$A$1749,0)),"")</f>
        <v>2.258</v>
      </c>
      <c r="L357" s="225">
        <f>IFERROR(K357-(TBIcalc!$H$9+TBIcalc!$H$10),"")</f>
        <v>2.0082</v>
      </c>
      <c r="M357" s="391">
        <f>AVERAGE(Ashed_controlls!$K$12:$K$14)</f>
        <v>2.2816647271287041</v>
      </c>
      <c r="N357" s="225">
        <f t="shared" si="27"/>
        <v>1.9623796089498013</v>
      </c>
      <c r="O357" s="225">
        <f>IF(IFERROR(INDEX('Both teabags AfterWet'!$C$3:$C$841,MATCH(J357,'Both teabags AfterWet'!$A$3:$A$841,0)),"")="","",(IFERROR(INDEX('Both teabags AfterWet'!$C$3:$C$841,MATCH(J357,'Both teabags AfterWet'!$A$3:$A$841,0)),"")))</f>
        <v>1.5827</v>
      </c>
      <c r="P357" s="225">
        <f>IFERROR(IF(O357&gt;0,O357-(TBIcalc!$H$9),""),"")</f>
        <v>1.4320999999999999</v>
      </c>
      <c r="Q357" s="225">
        <f>IFERROR(INDEX('Ashed teabags wet'!$K$2:$K$821,MATCH(J357,'Ashed teabags wet'!$A$2:$A$821,0)),"")</f>
        <v>5.0395256916988718</v>
      </c>
      <c r="R357" s="225">
        <f t="shared" si="31"/>
        <v>1.3599289525691804</v>
      </c>
      <c r="S357" s="226">
        <f>'WetLitterbags placem_collection'!E138</f>
        <v>42762</v>
      </c>
      <c r="T357" s="226">
        <f>IF('WetLitterbags placem_collection'!G138="","",'WetLitterbags placem_collection'!G138)</f>
        <v>42816</v>
      </c>
      <c r="U357" s="227">
        <f t="shared" si="28"/>
        <v>54</v>
      </c>
      <c r="V357" s="225">
        <f t="shared" si="29"/>
        <v>0.57610000000000006</v>
      </c>
      <c r="W357" s="225">
        <f t="shared" si="30"/>
        <v>0.6024506563806209</v>
      </c>
      <c r="X357">
        <f>IFERROR(INDEX(Rainfall_Wet!$O$2:$O$217,MATCH(B357, Rainfall_Wet!$A$2:$A$217,0)),"")</f>
        <v>206.85140822299999</v>
      </c>
      <c r="Y357" s="231">
        <v>31.214836424255054</v>
      </c>
      <c r="Z357" s="231">
        <v>11.377370285476141</v>
      </c>
      <c r="AA357" s="231">
        <v>57.407793290268799</v>
      </c>
      <c r="AB357" s="232" t="s">
        <v>2670</v>
      </c>
      <c r="AC357" s="231">
        <v>8.7337604731394798</v>
      </c>
      <c r="AD357">
        <f>IF('WetLitterbags placem_collection'!AB138="","",'WetLitterbags placem_collection'!AB138)</f>
        <v>2.2999999999999998</v>
      </c>
      <c r="AE357">
        <f>IF('WetLitterbags placem_collection'!Z138="","",'WetLitterbags placem_collection'!Z138)</f>
        <v>16.3</v>
      </c>
      <c r="AF357" s="246" t="str">
        <f>IF('WetLitterbags placem_collection'!AA138="","",'WetLitterbags placem_collection'!AA138)</f>
        <v>G</v>
      </c>
      <c r="AG357">
        <f>IF('WetLitterbags placem_collection'!AC138="","",'WetLitterbags placem_collection'!AC138)</f>
        <v>1</v>
      </c>
      <c r="AH357" s="240">
        <f>AVERAGE('WetLitterbags placem_collection'!S138,'WetLitterbags placem_collection'!U138)</f>
        <v>14.65</v>
      </c>
      <c r="AI357">
        <f>AVERAGE('WetLitterbags placem_collection'!R138,'WetLitterbags placem_collection'!T138)</f>
        <v>30.6</v>
      </c>
      <c r="AJ357">
        <f>INDEX(Coordinates!$B$2:$B$197,MATCH(G357,Coordinates!$J$2:$J$197,0))</f>
        <v>-2.3502159960000002</v>
      </c>
      <c r="AK357">
        <f>INDEX(Coordinates!$C$2:$C$197,MATCH(G357,Coordinates!$J$2:$J$197,0))</f>
        <v>34.049822020000001</v>
      </c>
      <c r="AL357" t="str">
        <f>IF(ISNUMBER(SEARCH("C", 'WetLitterbags placem_collection'!W138)),"YES","NO")</f>
        <v>NO</v>
      </c>
      <c r="AM357" t="str">
        <f>IF(ISNUMBER(SEARCH("H", 'WetLitterbags placem_collection'!W138)),"YES","NO")</f>
        <v>NO</v>
      </c>
      <c r="AN357" t="str">
        <f>IF(ISNUMBER(SEARCH("R", 'WetLitterbags placem_collection'!W138)),"YES","NO")</f>
        <v>YES</v>
      </c>
    </row>
    <row r="358" spans="1:40" ht="15" customHeight="1">
      <c r="A358" s="258" t="s">
        <v>2460</v>
      </c>
      <c r="B358" s="263">
        <f>'Dry_Litterbag Placem_Collection'!A139</f>
        <v>137</v>
      </c>
      <c r="C358" s="263" t="str">
        <f>'Dry_Litterbag Placem_Collection'!B139</f>
        <v xml:space="preserve">Mwantimba
</v>
      </c>
      <c r="D358" s="263" t="s">
        <v>2460</v>
      </c>
      <c r="E358" s="263" t="s">
        <v>20</v>
      </c>
      <c r="F358" s="263">
        <v>2</v>
      </c>
      <c r="G358" s="264" t="str">
        <f>'Dry_Litterbag Placem_Collection'!C139</f>
        <v>Wet_P2_T1</v>
      </c>
      <c r="H358" s="265" t="s">
        <v>2541</v>
      </c>
      <c r="I358" s="272" t="s">
        <v>298</v>
      </c>
      <c r="J358" s="223" t="str">
        <f>'WetLitterbags placem_collection'!M139</f>
        <v>R34</v>
      </c>
      <c r="K358" s="225">
        <f>IFERROR(INDEX('Green_rooibos initial weight'!$C$5:$C$1749,MATCH(J358, 'Green_rooibos initial weight'!$A$5:$A$1749,0)),"")</f>
        <v>2.1349999999999998</v>
      </c>
      <c r="L358" s="225">
        <f>IFERROR(K358-(TBIcalc!$H$9+TBIcalc!$H$10),"")</f>
        <v>1.8851999999999998</v>
      </c>
      <c r="M358" s="391">
        <f>AVERAGE(Ashed_controlls!$K$12:$K$14)</f>
        <v>2.2816647271287041</v>
      </c>
      <c r="N358" s="225">
        <f t="shared" si="27"/>
        <v>1.8421860565641694</v>
      </c>
      <c r="O358" s="225">
        <f>IF(IFERROR(INDEX('Both teabags AfterWet'!$C$3:$C$841,MATCH(J358,'Both teabags AfterWet'!$A$3:$A$841,0)),"")="","",(IFERROR(INDEX('Both teabags AfterWet'!$C$3:$C$841,MATCH(J358,'Both teabags AfterWet'!$A$3:$A$841,0)),"")))</f>
        <v>1.571</v>
      </c>
      <c r="P358" s="225">
        <f>IFERROR(IF(O358&gt;0,O358-(TBIcalc!$H$9),""),"")</f>
        <v>1.4203999999999999</v>
      </c>
      <c r="Q358" s="225">
        <f>IFERROR(INDEX('Ashed teabags wet'!$K$2:$K$821,MATCH(J358,'Ashed teabags wet'!$A$2:$A$821,0)),"")</f>
        <v>7.897334649555618</v>
      </c>
      <c r="R358" s="225">
        <f t="shared" si="31"/>
        <v>1.3082262586377118</v>
      </c>
      <c r="S358" s="226">
        <f>'WetLitterbags placem_collection'!E139</f>
        <v>42762</v>
      </c>
      <c r="T358" s="226">
        <f>IF('WetLitterbags placem_collection'!G139="","",'WetLitterbags placem_collection'!G139)</f>
        <v>42816</v>
      </c>
      <c r="U358" s="227">
        <f t="shared" si="28"/>
        <v>54</v>
      </c>
      <c r="V358" s="225">
        <f t="shared" si="29"/>
        <v>0.46479999999999988</v>
      </c>
      <c r="W358" s="225">
        <f t="shared" si="30"/>
        <v>0.53395979792645765</v>
      </c>
      <c r="X358">
        <f>IFERROR(INDEX(Rainfall_Wet!$O$2:$O$217,MATCH(B358, Rainfall_Wet!$A$2:$A$217,0)),"")</f>
        <v>206.85140822299999</v>
      </c>
      <c r="Y358" s="231">
        <v>33.96</v>
      </c>
      <c r="Z358" s="231">
        <v>8.9200000000000017</v>
      </c>
      <c r="AA358" s="231">
        <v>57.12</v>
      </c>
      <c r="AB358" s="232" t="s">
        <v>2670</v>
      </c>
      <c r="AC358" s="231">
        <v>2.072055199605717</v>
      </c>
      <c r="AD358">
        <f>IF('WetLitterbags placem_collection'!AB139="","",'WetLitterbags placem_collection'!AB139)</f>
        <v>1.2</v>
      </c>
      <c r="AE358">
        <f>IF('WetLitterbags placem_collection'!Z139="","",'WetLitterbags placem_collection'!Z139)</f>
        <v>32.4</v>
      </c>
      <c r="AF358" s="246" t="str">
        <f>IF('WetLitterbags placem_collection'!AA139="","",'WetLitterbags placem_collection'!AA139)</f>
        <v>G</v>
      </c>
      <c r="AG358">
        <f>IF('WetLitterbags placem_collection'!AC139="","",'WetLitterbags placem_collection'!AC139)</f>
        <v>1</v>
      </c>
      <c r="AH358" s="240">
        <f>AVERAGE('WetLitterbags placem_collection'!S139,'WetLitterbags placem_collection'!U139)</f>
        <v>15.5</v>
      </c>
      <c r="AI358">
        <f>AVERAGE('WetLitterbags placem_collection'!R139,'WetLitterbags placem_collection'!T139)</f>
        <v>28.5</v>
      </c>
      <c r="AJ358">
        <f>INDEX(Coordinates!$B$2:$B$197,MATCH(G358,Coordinates!$J$2:$J$197,0))</f>
        <v>-2.348596025</v>
      </c>
      <c r="AK358">
        <f>INDEX(Coordinates!$C$2:$C$197,MATCH(G358,Coordinates!$J$2:$J$197,0))</f>
        <v>34.050070959999999</v>
      </c>
      <c r="AL358" t="str">
        <f>IF(ISNUMBER(SEARCH("C", 'WetLitterbags placem_collection'!W139)),"YES","NO")</f>
        <v>YES</v>
      </c>
      <c r="AM358" t="str">
        <f>IF(ISNUMBER(SEARCH("H", 'WetLitterbags placem_collection'!W139)),"YES","NO")</f>
        <v>NO</v>
      </c>
      <c r="AN358" t="str">
        <f>IF(ISNUMBER(SEARCH("R", 'WetLitterbags placem_collection'!W139)),"YES","NO")</f>
        <v>NO</v>
      </c>
    </row>
    <row r="359" spans="1:40" ht="15" customHeight="1">
      <c r="A359" s="258" t="s">
        <v>2460</v>
      </c>
      <c r="B359" s="263">
        <f>'Dry_Litterbag Placem_Collection'!A140</f>
        <v>138</v>
      </c>
      <c r="C359" s="263" t="str">
        <f>'Dry_Litterbag Placem_Collection'!B140</f>
        <v xml:space="preserve">Mwantimba
</v>
      </c>
      <c r="D359" s="263" t="s">
        <v>2460</v>
      </c>
      <c r="E359" s="263" t="s">
        <v>20</v>
      </c>
      <c r="F359" s="263">
        <v>2</v>
      </c>
      <c r="G359" s="264" t="str">
        <f>'Dry_Litterbag Placem_Collection'!C140</f>
        <v>Wet_P2_T2</v>
      </c>
      <c r="H359" s="265" t="s">
        <v>2541</v>
      </c>
      <c r="I359" s="272" t="s">
        <v>298</v>
      </c>
      <c r="J359" s="223" t="str">
        <f>'WetLitterbags placem_collection'!M140</f>
        <v>R426</v>
      </c>
      <c r="K359" s="225">
        <f>IFERROR(INDEX('Green_rooibos initial weight'!$C$5:$C$1749,MATCH(J359, 'Green_rooibos initial weight'!$A$5:$A$1749,0)),"")</f>
        <v>2.153</v>
      </c>
      <c r="L359" s="225">
        <f>IFERROR(K359-(TBIcalc!$H$9+TBIcalc!$H$10),"")</f>
        <v>1.9032</v>
      </c>
      <c r="M359" s="391">
        <f>AVERAGE(Ashed_controlls!$K$12:$K$14)</f>
        <v>2.2816647271287041</v>
      </c>
      <c r="N359" s="225">
        <f t="shared" si="27"/>
        <v>1.8597753569132864</v>
      </c>
      <c r="O359" s="225">
        <f>IF(IFERROR(INDEX('Both teabags AfterWet'!$C$3:$C$841,MATCH(J359,'Both teabags AfterWet'!$A$3:$A$841,0)),"")="","",(IFERROR(INDEX('Both teabags AfterWet'!$C$3:$C$841,MATCH(J359,'Both teabags AfterWet'!$A$3:$A$841,0)),"")))</f>
        <v>1.613</v>
      </c>
      <c r="P359" s="225">
        <f>IFERROR(IF(O359&gt;0,O359-(TBIcalc!$H$9),""),"")</f>
        <v>1.4623999999999999</v>
      </c>
      <c r="Q359" s="225">
        <f>IFERROR(INDEX('Ashed teabags wet'!$K$2:$K$821,MATCH(J359,'Ashed teabags wet'!$A$2:$A$821,0)),"")</f>
        <v>4.7996041563577378</v>
      </c>
      <c r="R359" s="225">
        <f t="shared" si="31"/>
        <v>1.3922105888174243</v>
      </c>
      <c r="S359" s="226">
        <f>'WetLitterbags placem_collection'!E140</f>
        <v>42762</v>
      </c>
      <c r="T359" s="226">
        <f>IF('WetLitterbags placem_collection'!G140="","",'WetLitterbags placem_collection'!G140)</f>
        <v>42816</v>
      </c>
      <c r="U359" s="227">
        <f t="shared" si="28"/>
        <v>54</v>
      </c>
      <c r="V359" s="225">
        <f t="shared" si="29"/>
        <v>0.44080000000000008</v>
      </c>
      <c r="W359" s="225">
        <f t="shared" si="30"/>
        <v>0.46756476809586212</v>
      </c>
      <c r="X359">
        <f>IFERROR(INDEX(Rainfall_Wet!$O$2:$O$217,MATCH(B359, Rainfall_Wet!$A$2:$A$217,0)),"")</f>
        <v>206.85140822299999</v>
      </c>
      <c r="Y359" s="231">
        <v>33.96</v>
      </c>
      <c r="Z359" s="231">
        <v>8.9200000000000017</v>
      </c>
      <c r="AA359" s="231">
        <v>57.12</v>
      </c>
      <c r="AB359" s="232" t="s">
        <v>2670</v>
      </c>
      <c r="AC359" s="231">
        <v>3.0720551996057202</v>
      </c>
      <c r="AD359">
        <f>IF('WetLitterbags placem_collection'!AB140="","",'WetLitterbags placem_collection'!AB140)</f>
        <v>2.8</v>
      </c>
      <c r="AE359">
        <f>IF('WetLitterbags placem_collection'!Z140="","",'WetLitterbags placem_collection'!Z140)</f>
        <v>26.4</v>
      </c>
      <c r="AF359" s="246" t="str">
        <f>IF('WetLitterbags placem_collection'!AA140="","",'WetLitterbags placem_collection'!AA140)</f>
        <v>G</v>
      </c>
      <c r="AG359">
        <f>IF('WetLitterbags placem_collection'!AC140="","",'WetLitterbags placem_collection'!AC140)</f>
        <v>1</v>
      </c>
      <c r="AH359" s="240">
        <f>AVERAGE('WetLitterbags placem_collection'!S140,'WetLitterbags placem_collection'!U140)</f>
        <v>15.5</v>
      </c>
      <c r="AI359">
        <f>AVERAGE('WetLitterbags placem_collection'!R140,'WetLitterbags placem_collection'!T140)</f>
        <v>29.35</v>
      </c>
      <c r="AJ359">
        <f>INDEX(Coordinates!$B$2:$B$197,MATCH(G359,Coordinates!$J$2:$J$197,0))</f>
        <v>-2.3485449790000001</v>
      </c>
      <c r="AK359">
        <f>INDEX(Coordinates!$C$2:$C$197,MATCH(G359,Coordinates!$J$2:$J$197,0))</f>
        <v>34.050146980000001</v>
      </c>
      <c r="AL359" t="str">
        <f>IF(ISNUMBER(SEARCH("C", 'WetLitterbags placem_collection'!W140)),"YES","NO")</f>
        <v>NO</v>
      </c>
      <c r="AM359" t="str">
        <f>IF(ISNUMBER(SEARCH("H", 'WetLitterbags placem_collection'!W140)),"YES","NO")</f>
        <v>NO</v>
      </c>
      <c r="AN359" t="str">
        <f>IF(ISNUMBER(SEARCH("R", 'WetLitterbags placem_collection'!W140)),"YES","NO")</f>
        <v>NO</v>
      </c>
    </row>
    <row r="360" spans="1:40" ht="15" customHeight="1">
      <c r="A360" s="258" t="s">
        <v>2460</v>
      </c>
      <c r="B360" s="263">
        <f>'Dry_Litterbag Placem_Collection'!A141</f>
        <v>139</v>
      </c>
      <c r="C360" s="263" t="str">
        <f>'Dry_Litterbag Placem_Collection'!B141</f>
        <v xml:space="preserve">Mwantimba
</v>
      </c>
      <c r="D360" s="263" t="s">
        <v>2460</v>
      </c>
      <c r="E360" s="263" t="s">
        <v>20</v>
      </c>
      <c r="F360" s="263">
        <v>2</v>
      </c>
      <c r="G360" s="264" t="str">
        <f>'Dry_Litterbag Placem_Collection'!C141</f>
        <v>Wet_P2_T3</v>
      </c>
      <c r="H360" s="265" t="s">
        <v>2541</v>
      </c>
      <c r="I360" s="272" t="s">
        <v>298</v>
      </c>
      <c r="J360" s="223" t="str">
        <f>'WetLitterbags placem_collection'!M141</f>
        <v>R563</v>
      </c>
      <c r="K360" s="225">
        <f>IFERROR(INDEX('Green_rooibos initial weight'!$C$5:$C$1749,MATCH(J360, 'Green_rooibos initial weight'!$A$5:$A$1749,0)),"")</f>
        <v>2.1150000000000002</v>
      </c>
      <c r="L360" s="225">
        <f>IFERROR(K360-(TBIcalc!$H$9+TBIcalc!$H$10),"")</f>
        <v>1.8652000000000002</v>
      </c>
      <c r="M360" s="391">
        <f>AVERAGE(Ashed_controlls!$K$12:$K$14)</f>
        <v>2.2816647271287041</v>
      </c>
      <c r="N360" s="225">
        <f t="shared" si="27"/>
        <v>1.8226423895095956</v>
      </c>
      <c r="O360" s="225">
        <f>IF(IFERROR(INDEX('Both teabags AfterWet'!$C$3:$C$841,MATCH(J360,'Both teabags AfterWet'!$A$3:$A$841,0)),"")="","",(IFERROR(INDEX('Both teabags AfterWet'!$C$3:$C$841,MATCH(J360,'Both teabags AfterWet'!$A$3:$A$841,0)),"")))</f>
        <v>2.5009999999999999</v>
      </c>
      <c r="P360" s="225">
        <f>IFERROR(IF(O360&gt;0,O360-(TBIcalc!$H$9),""),"")</f>
        <v>2.3504</v>
      </c>
      <c r="Q360" s="225">
        <f>IFERROR(INDEX('Ashed teabags wet'!$K$2:$K$821,MATCH(J360,'Ashed teabags wet'!$A$2:$A$821,0)),"")</f>
        <v>90.192212912765001</v>
      </c>
      <c r="R360" s="225">
        <f t="shared" si="31"/>
        <v>0.23052222769837138</v>
      </c>
      <c r="S360" s="226">
        <f>'WetLitterbags placem_collection'!E141</f>
        <v>42762</v>
      </c>
      <c r="T360" s="226">
        <f>IF('WetLitterbags placem_collection'!G141="","",'WetLitterbags placem_collection'!G141)</f>
        <v>42816</v>
      </c>
      <c r="U360" s="227">
        <f t="shared" si="28"/>
        <v>54</v>
      </c>
      <c r="V360" s="225">
        <f t="shared" si="29"/>
        <v>-0.48519999999999985</v>
      </c>
      <c r="W360" s="225">
        <f t="shared" si="30"/>
        <v>1.5921201618112242</v>
      </c>
      <c r="X360">
        <f>IFERROR(INDEX(Rainfall_Wet!$O$2:$O$217,MATCH(B360, Rainfall_Wet!$A$2:$A$217,0)),"")</f>
        <v>206.85140822299999</v>
      </c>
      <c r="Y360" s="231">
        <v>33.96</v>
      </c>
      <c r="Z360" s="231">
        <v>8.9200000000000017</v>
      </c>
      <c r="AA360" s="231">
        <v>57.12</v>
      </c>
      <c r="AB360" s="232" t="s">
        <v>2670</v>
      </c>
      <c r="AC360" s="231">
        <v>4.0720551996057202</v>
      </c>
      <c r="AD360">
        <f>IF('WetLitterbags placem_collection'!AB141="","",'WetLitterbags placem_collection'!AB141)</f>
        <v>5.7</v>
      </c>
      <c r="AE360">
        <f>IF('WetLitterbags placem_collection'!Z141="","",'WetLitterbags placem_collection'!Z141)</f>
        <v>19.399999999999999</v>
      </c>
      <c r="AF360" s="246" t="str">
        <f>IF('WetLitterbags placem_collection'!AA141="","",'WetLitterbags placem_collection'!AA141)</f>
        <v>G</v>
      </c>
      <c r="AG360">
        <f>IF('WetLitterbags placem_collection'!AC141="","",'WetLitterbags placem_collection'!AC141)</f>
        <v>1</v>
      </c>
      <c r="AH360" s="240">
        <f>AVERAGE('WetLitterbags placem_collection'!S141,'WetLitterbags placem_collection'!U141)</f>
        <v>16.850000000000001</v>
      </c>
      <c r="AI360">
        <f>AVERAGE('WetLitterbags placem_collection'!R141,'WetLitterbags placem_collection'!T141)</f>
        <v>28.65</v>
      </c>
      <c r="AJ360">
        <f>INDEX(Coordinates!$B$2:$B$197,MATCH(G360,Coordinates!$J$2:$J$197,0))</f>
        <v>-2.3487209990000002</v>
      </c>
      <c r="AK360">
        <f>INDEX(Coordinates!$C$2:$C$197,MATCH(G360,Coordinates!$J$2:$J$197,0))</f>
        <v>34.050128039999997</v>
      </c>
      <c r="AL360" t="str">
        <f>IF(ISNUMBER(SEARCH("C", 'WetLitterbags placem_collection'!W141)),"YES","NO")</f>
        <v>YES</v>
      </c>
      <c r="AM360" t="str">
        <f>IF(ISNUMBER(SEARCH("H", 'WetLitterbags placem_collection'!W141)),"YES","NO")</f>
        <v>YES</v>
      </c>
      <c r="AN360" t="str">
        <f>IF(ISNUMBER(SEARCH("R", 'WetLitterbags placem_collection'!W141)),"YES","NO")</f>
        <v>YES</v>
      </c>
    </row>
    <row r="361" spans="1:40" ht="15" customHeight="1">
      <c r="A361" s="258" t="s">
        <v>2460</v>
      </c>
      <c r="B361" s="263">
        <f>'Dry_Litterbag Placem_Collection'!A142</f>
        <v>140</v>
      </c>
      <c r="C361" s="263" t="str">
        <f>'Dry_Litterbag Placem_Collection'!B142</f>
        <v xml:space="preserve">Mwantimba
</v>
      </c>
      <c r="D361" s="263" t="s">
        <v>2460</v>
      </c>
      <c r="E361" s="263" t="s">
        <v>20</v>
      </c>
      <c r="F361" s="263">
        <v>2</v>
      </c>
      <c r="G361" s="264" t="str">
        <f>'Dry_Litterbag Placem_Collection'!C142</f>
        <v>Wet_P2_T4</v>
      </c>
      <c r="H361" s="265" t="s">
        <v>2541</v>
      </c>
      <c r="I361" s="272" t="s">
        <v>298</v>
      </c>
      <c r="J361" s="223" t="str">
        <f>'WetLitterbags placem_collection'!M142</f>
        <v>R535</v>
      </c>
      <c r="K361" s="225">
        <f>IFERROR(INDEX('Green_rooibos initial weight'!$C$5:$C$1749,MATCH(J361, 'Green_rooibos initial weight'!$A$5:$A$1749,0)),"")</f>
        <v>2.1259999999999999</v>
      </c>
      <c r="L361" s="225">
        <f>IFERROR(K361-(TBIcalc!$H$9+TBIcalc!$H$10),"")</f>
        <v>1.8761999999999999</v>
      </c>
      <c r="M361" s="391">
        <f>AVERAGE(Ashed_controlls!$K$12:$K$14)</f>
        <v>2.2816647271287041</v>
      </c>
      <c r="N361" s="225">
        <f t="shared" si="27"/>
        <v>1.8333914063896111</v>
      </c>
      <c r="O361" s="225">
        <f>IF(IFERROR(INDEX('Both teabags AfterWet'!$C$3:$C$841,MATCH(J361,'Both teabags AfterWet'!$A$3:$A$841,0)),"")="","",(IFERROR(INDEX('Both teabags AfterWet'!$C$3:$C$841,MATCH(J361,'Both teabags AfterWet'!$A$3:$A$841,0)),"")))</f>
        <v>1.5517000000000001</v>
      </c>
      <c r="P361" s="225">
        <f>IFERROR(IF(O361&gt;0,O361-(TBIcalc!$H$9),""),"")</f>
        <v>1.4011</v>
      </c>
      <c r="Q361" s="225">
        <f>IFERROR(INDEX('Ashed teabags wet'!$K$2:$K$821,MATCH(J361,'Ashed teabags wet'!$A$2:$A$821,0)),"")</f>
        <v>6.5646594274426793</v>
      </c>
      <c r="R361" s="225">
        <f t="shared" si="31"/>
        <v>1.3091225567621005</v>
      </c>
      <c r="S361" s="226">
        <f>'WetLitterbags placem_collection'!E142</f>
        <v>42762</v>
      </c>
      <c r="T361" s="226">
        <f>IF('WetLitterbags placem_collection'!G142="","",'WetLitterbags placem_collection'!G142)</f>
        <v>42816</v>
      </c>
      <c r="U361" s="227">
        <f t="shared" si="28"/>
        <v>54</v>
      </c>
      <c r="V361" s="225">
        <f t="shared" si="29"/>
        <v>0.47509999999999986</v>
      </c>
      <c r="W361" s="225">
        <f t="shared" si="30"/>
        <v>0.52426884962751052</v>
      </c>
      <c r="X361">
        <f>IFERROR(INDEX(Rainfall_Wet!$O$2:$O$217,MATCH(B361, Rainfall_Wet!$A$2:$A$217,0)),"")</f>
        <v>206.85140822299999</v>
      </c>
      <c r="Y361" s="231">
        <v>33.96</v>
      </c>
      <c r="Z361" s="231">
        <v>8.9200000000000017</v>
      </c>
      <c r="AA361" s="231">
        <v>57.12</v>
      </c>
      <c r="AB361" s="232" t="s">
        <v>2670</v>
      </c>
      <c r="AC361" s="231">
        <v>5.0720551996057202</v>
      </c>
      <c r="AD361">
        <f>IF('WetLitterbags placem_collection'!AB142="","",'WetLitterbags placem_collection'!AB142)</f>
        <v>1.4</v>
      </c>
      <c r="AE361">
        <f>IF('WetLitterbags placem_collection'!Z142="","",'WetLitterbags placem_collection'!Z142)</f>
        <v>33.4</v>
      </c>
      <c r="AF361" s="246" t="str">
        <f>IF('WetLitterbags placem_collection'!AA142="","",'WetLitterbags placem_collection'!AA142)</f>
        <v>G</v>
      </c>
      <c r="AG361">
        <f>IF('WetLitterbags placem_collection'!AC142="","",'WetLitterbags placem_collection'!AC142)</f>
        <v>1</v>
      </c>
      <c r="AH361" s="240">
        <f>AVERAGE('WetLitterbags placem_collection'!S142,'WetLitterbags placem_collection'!U142)</f>
        <v>11.55</v>
      </c>
      <c r="AI361">
        <f>AVERAGE('WetLitterbags placem_collection'!R142,'WetLitterbags placem_collection'!T142)</f>
        <v>30.85</v>
      </c>
      <c r="AJ361">
        <f>INDEX(Coordinates!$B$2:$B$197,MATCH(G361,Coordinates!$J$2:$J$197,0))</f>
        <v>-2.3486250270000002</v>
      </c>
      <c r="AK361">
        <f>INDEX(Coordinates!$C$2:$C$197,MATCH(G361,Coordinates!$J$2:$J$197,0))</f>
        <v>34.050070959999999</v>
      </c>
      <c r="AL361" t="str">
        <f>IF(ISNUMBER(SEARCH("C", 'WetLitterbags placem_collection'!W142)),"YES","NO")</f>
        <v>NO</v>
      </c>
      <c r="AM361" t="str">
        <f>IF(ISNUMBER(SEARCH("H", 'WetLitterbags placem_collection'!W142)),"YES","NO")</f>
        <v>NO</v>
      </c>
      <c r="AN361" t="str">
        <f>IF(ISNUMBER(SEARCH("R", 'WetLitterbags placem_collection'!W142)),"YES","NO")</f>
        <v>YES</v>
      </c>
    </row>
    <row r="362" spans="1:40" ht="15" customHeight="1">
      <c r="A362" s="258" t="s">
        <v>2460</v>
      </c>
      <c r="B362" s="263">
        <f>'Dry_Litterbag Placem_Collection'!A143</f>
        <v>141</v>
      </c>
      <c r="C362" s="263" t="str">
        <f>'Dry_Litterbag Placem_Collection'!B143</f>
        <v xml:space="preserve">Mwantimba
</v>
      </c>
      <c r="D362" s="263" t="s">
        <v>2460</v>
      </c>
      <c r="E362" s="263" t="s">
        <v>20</v>
      </c>
      <c r="F362" s="263">
        <v>2</v>
      </c>
      <c r="G362" s="264" t="str">
        <f>'Dry_Litterbag Placem_Collection'!C143</f>
        <v>Wet_P2_T5</v>
      </c>
      <c r="H362" s="265" t="s">
        <v>2541</v>
      </c>
      <c r="I362" s="272" t="s">
        <v>298</v>
      </c>
      <c r="J362" s="223" t="str">
        <f>'WetLitterbags placem_collection'!M143</f>
        <v>R581</v>
      </c>
      <c r="K362" s="225">
        <f>IFERROR(INDEX('Green_rooibos initial weight'!$C$5:$C$1749,MATCH(J362, 'Green_rooibos initial weight'!$A$5:$A$1749,0)),"")</f>
        <v>2.069</v>
      </c>
      <c r="L362" s="225">
        <f>IFERROR(K362-(TBIcalc!$H$9+TBIcalc!$H$10),"")</f>
        <v>1.8191999999999999</v>
      </c>
      <c r="M362" s="391">
        <f>AVERAGE(Ashed_controlls!$K$12:$K$14)</f>
        <v>2.2816647271287041</v>
      </c>
      <c r="N362" s="225">
        <f t="shared" si="27"/>
        <v>1.7776919552840746</v>
      </c>
      <c r="O362" s="225">
        <f>IF(IFERROR(INDEX('Both teabags AfterWet'!$C$3:$C$841,MATCH(J362,'Both teabags AfterWet'!$A$3:$A$841,0)),"")="","",(IFERROR(INDEX('Both teabags AfterWet'!$C$3:$C$841,MATCH(J362,'Both teabags AfterWet'!$A$3:$A$841,0)),"")))</f>
        <v>1.2849999999999999</v>
      </c>
      <c r="P362" s="225">
        <f>IFERROR(IF(O362&gt;0,O362-(TBIcalc!$H$9),""),"")</f>
        <v>1.1343999999999999</v>
      </c>
      <c r="Q362" s="225">
        <f>IFERROR(INDEX('Ashed teabags wet'!$K$2:$K$821,MATCH(J362,'Ashed teabags wet'!$A$2:$A$821,0)),"")</f>
        <v>87.823960880195301</v>
      </c>
      <c r="R362" s="225">
        <f t="shared" si="31"/>
        <v>0.13812498777506443</v>
      </c>
      <c r="S362" s="226">
        <f>'WetLitterbags placem_collection'!E143</f>
        <v>42762</v>
      </c>
      <c r="T362" s="226">
        <f>IF('WetLitterbags placem_collection'!G143="","",'WetLitterbags placem_collection'!G143)</f>
        <v>42816</v>
      </c>
      <c r="U362" s="227">
        <f t="shared" si="28"/>
        <v>54</v>
      </c>
      <c r="V362" s="225">
        <f t="shared" si="29"/>
        <v>0.68480000000000008</v>
      </c>
      <c r="W362" s="225">
        <f t="shared" si="30"/>
        <v>1.6395669675090101</v>
      </c>
      <c r="X362">
        <f>IFERROR(INDEX(Rainfall_Wet!$O$2:$O$217,MATCH(B362, Rainfall_Wet!$A$2:$A$217,0)),"")</f>
        <v>206.85140822299999</v>
      </c>
      <c r="Y362" s="231">
        <v>33.96</v>
      </c>
      <c r="Z362" s="231">
        <v>8.9200000000000017</v>
      </c>
      <c r="AA362" s="231">
        <v>57.12</v>
      </c>
      <c r="AB362" s="232" t="s">
        <v>2670</v>
      </c>
      <c r="AC362" s="231">
        <v>6.0720551996057202</v>
      </c>
      <c r="AD362">
        <f>IF('WetLitterbags placem_collection'!AB143="","",'WetLitterbags placem_collection'!AB143)</f>
        <v>1.4</v>
      </c>
      <c r="AE362">
        <f>IF('WetLitterbags placem_collection'!Z143="","",'WetLitterbags placem_collection'!Z143)</f>
        <v>28.4</v>
      </c>
      <c r="AF362" s="246" t="str">
        <f>IF('WetLitterbags placem_collection'!AA143="","",'WetLitterbags placem_collection'!AA143)</f>
        <v>G</v>
      </c>
      <c r="AG362">
        <f>IF('WetLitterbags placem_collection'!AC143="","",'WetLitterbags placem_collection'!AC143)</f>
        <v>1</v>
      </c>
      <c r="AH362" s="240">
        <f>AVERAGE('WetLitterbags placem_collection'!S143,'WetLitterbags placem_collection'!U143)</f>
        <v>9.6999999999999993</v>
      </c>
      <c r="AI362">
        <f>AVERAGE('WetLitterbags placem_collection'!R143,'WetLitterbags placem_collection'!T143)</f>
        <v>30.75</v>
      </c>
      <c r="AJ362">
        <f>INDEX(Coordinates!$B$2:$B$197,MATCH(G362,Coordinates!$J$2:$J$197,0))</f>
        <v>-2.3486060000000002</v>
      </c>
      <c r="AK362">
        <f>INDEX(Coordinates!$C$2:$C$197,MATCH(G362,Coordinates!$J$2:$J$197,0))</f>
        <v>34.050010020000002</v>
      </c>
      <c r="AL362" t="str">
        <f>IF(ISNUMBER(SEARCH("C", 'WetLitterbags placem_collection'!W143)),"YES","NO")</f>
        <v>YES</v>
      </c>
      <c r="AM362" t="str">
        <f>IF(ISNUMBER(SEARCH("H", 'WetLitterbags placem_collection'!W143)),"YES","NO")</f>
        <v>YES</v>
      </c>
      <c r="AN362" t="str">
        <f>IF(ISNUMBER(SEARCH("R", 'WetLitterbags placem_collection'!W143)),"YES","NO")</f>
        <v>YES</v>
      </c>
    </row>
    <row r="363" spans="1:40" ht="15" customHeight="1">
      <c r="A363" s="258" t="s">
        <v>2460</v>
      </c>
      <c r="B363" s="263">
        <f>'Dry_Litterbag Placem_Collection'!A144</f>
        <v>142</v>
      </c>
      <c r="C363" s="263" t="str">
        <f>'Dry_Litterbag Placem_Collection'!B144</f>
        <v xml:space="preserve">Mwantimba
</v>
      </c>
      <c r="D363" s="263" t="s">
        <v>2460</v>
      </c>
      <c r="E363" s="263" t="s">
        <v>20</v>
      </c>
      <c r="F363" s="263">
        <v>2</v>
      </c>
      <c r="G363" s="264" t="str">
        <f>'Dry_Litterbag Placem_Collection'!C144</f>
        <v>Wet_P2_T6</v>
      </c>
      <c r="H363" s="265" t="s">
        <v>2541</v>
      </c>
      <c r="I363" s="272" t="s">
        <v>298</v>
      </c>
      <c r="J363" s="223" t="str">
        <f>'WetLitterbags placem_collection'!M144</f>
        <v>R460</v>
      </c>
      <c r="K363" s="225">
        <f>IFERROR(INDEX('Green_rooibos initial weight'!$C$5:$C$1749,MATCH(J363, 'Green_rooibos initial weight'!$A$5:$A$1749,0)),"")</f>
        <v>2.1659999999999999</v>
      </c>
      <c r="L363" s="225">
        <f>IFERROR(K363-(TBIcalc!$H$9+TBIcalc!$H$10),"")</f>
        <v>1.9161999999999999</v>
      </c>
      <c r="M363" s="391">
        <f>AVERAGE(Ashed_controlls!$K$12:$K$14)</f>
        <v>2.2816647271287041</v>
      </c>
      <c r="N363" s="225">
        <f t="shared" si="27"/>
        <v>1.8724787404987597</v>
      </c>
      <c r="O363" s="225">
        <f>IF(IFERROR(INDEX('Both teabags AfterWet'!$C$3:$C$841,MATCH(J363,'Both teabags AfterWet'!$A$3:$A$841,0)),"")="","",(IFERROR(INDEX('Both teabags AfterWet'!$C$3:$C$841,MATCH(J363,'Both teabags AfterWet'!$A$3:$A$841,0)),"")))</f>
        <v>0.14299999999999999</v>
      </c>
      <c r="P363" s="225">
        <f>IFERROR(IF(O363&gt;0,O363-(TBIcalc!$H$9),""),"")</f>
        <v>-7.6000000000000234E-3</v>
      </c>
      <c r="Q363" s="225" t="str">
        <f>IFERROR(INDEX('Ashed teabags wet'!$K$2:$K$821,MATCH(J363,'Ashed teabags wet'!$A$2:$A$821,0)),"")</f>
        <v/>
      </c>
      <c r="R363" s="225" t="str">
        <f t="shared" si="31"/>
        <v/>
      </c>
      <c r="S363" s="226">
        <f>'WetLitterbags placem_collection'!E144</f>
        <v>42762</v>
      </c>
      <c r="T363" s="226">
        <f>IF('WetLitterbags placem_collection'!G144="","",'WetLitterbags placem_collection'!G144)</f>
        <v>42816</v>
      </c>
      <c r="U363" s="227">
        <f t="shared" si="28"/>
        <v>54</v>
      </c>
      <c r="V363" s="225">
        <f t="shared" si="29"/>
        <v>1.9238</v>
      </c>
      <c r="W363" s="225" t="str">
        <f t="shared" si="30"/>
        <v/>
      </c>
      <c r="X363">
        <f>IFERROR(INDEX(Rainfall_Wet!$O$2:$O$217,MATCH(B363, Rainfall_Wet!$A$2:$A$217,0)),"")</f>
        <v>206.85140822299999</v>
      </c>
      <c r="Y363" s="231">
        <v>33.96</v>
      </c>
      <c r="Z363" s="231">
        <v>8.9200000000000017</v>
      </c>
      <c r="AA363" s="231">
        <v>57.12</v>
      </c>
      <c r="AB363" s="232" t="s">
        <v>2670</v>
      </c>
      <c r="AC363" s="231">
        <v>7.0720551996057202</v>
      </c>
      <c r="AD363">
        <f>IF('WetLitterbags placem_collection'!AB144="","",'WetLitterbags placem_collection'!AB144)</f>
        <v>1.7</v>
      </c>
      <c r="AE363">
        <f>IF('WetLitterbags placem_collection'!Z144="","",'WetLitterbags placem_collection'!Z144)</f>
        <v>33.799999999999997</v>
      </c>
      <c r="AF363" s="246" t="str">
        <f>IF('WetLitterbags placem_collection'!AA144="","",'WetLitterbags placem_collection'!AA144)</f>
        <v>G</v>
      </c>
      <c r="AG363">
        <f>IF('WetLitterbags placem_collection'!AC144="","",'WetLitterbags placem_collection'!AC144)</f>
        <v>1</v>
      </c>
      <c r="AH363" s="240">
        <f>AVERAGE('WetLitterbags placem_collection'!S144,'WetLitterbags placem_collection'!U144)</f>
        <v>15.5</v>
      </c>
      <c r="AI363">
        <f>AVERAGE('WetLitterbags placem_collection'!R144,'WetLitterbags placem_collection'!T144)</f>
        <v>28.75</v>
      </c>
      <c r="AJ363">
        <f>INDEX(Coordinates!$B$2:$B$197,MATCH(G363,Coordinates!$J$2:$J$197,0))</f>
        <v>-2.348618992</v>
      </c>
      <c r="AK363">
        <f>INDEX(Coordinates!$C$2:$C$197,MATCH(G363,Coordinates!$J$2:$J$197,0))</f>
        <v>34.049996030000003</v>
      </c>
      <c r="AL363" t="str">
        <f>IF(ISNUMBER(SEARCH("C", 'WetLitterbags placem_collection'!W144)),"YES","NO")</f>
        <v>NO</v>
      </c>
      <c r="AM363" t="str">
        <f>IF(ISNUMBER(SEARCH("H", 'WetLitterbags placem_collection'!W144)),"YES","NO")</f>
        <v>YES</v>
      </c>
      <c r="AN363" t="str">
        <f>IF(ISNUMBER(SEARCH("R", 'WetLitterbags placem_collection'!W144)),"YES","NO")</f>
        <v>NO</v>
      </c>
    </row>
    <row r="364" spans="1:40" ht="15" customHeight="1">
      <c r="A364" s="258" t="s">
        <v>2460</v>
      </c>
      <c r="B364" s="263">
        <f>'Dry_Litterbag Placem_Collection'!A145</f>
        <v>143</v>
      </c>
      <c r="C364" s="263" t="str">
        <f>'Dry_Litterbag Placem_Collection'!B145</f>
        <v xml:space="preserve">Mwantimba
</v>
      </c>
      <c r="D364" s="263" t="s">
        <v>2460</v>
      </c>
      <c r="E364" s="263" t="s">
        <v>20</v>
      </c>
      <c r="F364" s="263">
        <v>2</v>
      </c>
      <c r="G364" s="264" t="str">
        <f>'Dry_Litterbag Placem_Collection'!C145</f>
        <v>Wet_P2_T7</v>
      </c>
      <c r="H364" s="265" t="s">
        <v>2541</v>
      </c>
      <c r="I364" s="272" t="s">
        <v>298</v>
      </c>
      <c r="J364" s="223" t="str">
        <f>'WetLitterbags placem_collection'!M145</f>
        <v>R456</v>
      </c>
      <c r="K364" s="225">
        <f>IFERROR(INDEX('Green_rooibos initial weight'!$C$5:$C$1749,MATCH(J364, 'Green_rooibos initial weight'!$A$5:$A$1749,0)),"")</f>
        <v>2.23</v>
      </c>
      <c r="L364" s="225">
        <f>IFERROR(K364-(TBIcalc!$H$9+TBIcalc!$H$10),"")</f>
        <v>1.9802</v>
      </c>
      <c r="M364" s="391">
        <f>AVERAGE(Ashed_controlls!$K$12:$K$14)</f>
        <v>2.2816647271287041</v>
      </c>
      <c r="N364" s="225">
        <f t="shared" si="27"/>
        <v>1.9350184750733974</v>
      </c>
      <c r="O364" s="225">
        <f>IF(IFERROR(INDEX('Both teabags AfterWet'!$C$3:$C$841,MATCH(J364,'Both teabags AfterWet'!$A$3:$A$841,0)),"")="","",(IFERROR(INDEX('Both teabags AfterWet'!$C$3:$C$841,MATCH(J364,'Both teabags AfterWet'!$A$3:$A$841,0)),"")))</f>
        <v>1.6178999999999999</v>
      </c>
      <c r="P364" s="225">
        <f>IFERROR(IF(O364&gt;0,O364-(TBIcalc!$H$9),""),"")</f>
        <v>1.4672999999999998</v>
      </c>
      <c r="Q364" s="225">
        <f>IFERROR(INDEX('Ashed teabags wet'!$K$2:$K$821,MATCH(J364,'Ashed teabags wet'!$A$2:$A$821,0)),"")</f>
        <v>1.7996108949419758</v>
      </c>
      <c r="R364" s="225">
        <f t="shared" si="31"/>
        <v>1.4408943093385163</v>
      </c>
      <c r="S364" s="226">
        <f>'WetLitterbags placem_collection'!E145</f>
        <v>42762</v>
      </c>
      <c r="T364" s="226">
        <f>IF('WetLitterbags placem_collection'!G145="","",'WetLitterbags placem_collection'!G145)</f>
        <v>42816</v>
      </c>
      <c r="U364" s="227">
        <f t="shared" si="28"/>
        <v>54</v>
      </c>
      <c r="V364" s="225">
        <f t="shared" si="29"/>
        <v>0.51290000000000013</v>
      </c>
      <c r="W364" s="225">
        <f t="shared" si="30"/>
        <v>0.49412416573488116</v>
      </c>
      <c r="X364">
        <f>IFERROR(INDEX(Rainfall_Wet!$O$2:$O$217,MATCH(B364, Rainfall_Wet!$A$2:$A$217,0)),"")</f>
        <v>206.85140822299999</v>
      </c>
      <c r="Y364" s="231">
        <v>33.96</v>
      </c>
      <c r="Z364" s="231">
        <v>8.9200000000000017</v>
      </c>
      <c r="AA364" s="231">
        <v>57.12</v>
      </c>
      <c r="AB364" s="232" t="s">
        <v>2670</v>
      </c>
      <c r="AC364" s="231">
        <v>8.0720551996057193</v>
      </c>
      <c r="AD364">
        <f>IF('WetLitterbags placem_collection'!AB145="","",'WetLitterbags placem_collection'!AB145)</f>
        <v>2</v>
      </c>
      <c r="AE364">
        <f>IF('WetLitterbags placem_collection'!Z145="","",'WetLitterbags placem_collection'!Z145)</f>
        <v>23.4</v>
      </c>
      <c r="AF364" s="246" t="str">
        <f>IF('WetLitterbags placem_collection'!AA145="","",'WetLitterbags placem_collection'!AA145)</f>
        <v>G</v>
      </c>
      <c r="AG364">
        <f>IF('WetLitterbags placem_collection'!AC145="","",'WetLitterbags placem_collection'!AC145)</f>
        <v>1</v>
      </c>
      <c r="AH364" s="240">
        <f>AVERAGE('WetLitterbags placem_collection'!S145,'WetLitterbags placem_collection'!U145)</f>
        <v>14.5</v>
      </c>
      <c r="AI364">
        <f>AVERAGE('WetLitterbags placem_collection'!R145,'WetLitterbags placem_collection'!T145)</f>
        <v>30.9</v>
      </c>
      <c r="AJ364">
        <f>INDEX(Coordinates!$B$2:$B$197,MATCH(G364,Coordinates!$J$2:$J$197,0))</f>
        <v>-2.3484970349999998</v>
      </c>
      <c r="AK364">
        <f>INDEX(Coordinates!$C$2:$C$197,MATCH(G364,Coordinates!$J$2:$J$197,0))</f>
        <v>34.049979010000001</v>
      </c>
      <c r="AL364" t="str">
        <f>IF(ISNUMBER(SEARCH("C", 'WetLitterbags placem_collection'!W145)),"YES","NO")</f>
        <v>NO</v>
      </c>
      <c r="AM364" t="str">
        <f>IF(ISNUMBER(SEARCH("H", 'WetLitterbags placem_collection'!W145)),"YES","NO")</f>
        <v>NO</v>
      </c>
      <c r="AN364" t="str">
        <f>IF(ISNUMBER(SEARCH("R", 'WetLitterbags placem_collection'!W145)),"YES","NO")</f>
        <v>NO</v>
      </c>
    </row>
    <row r="365" spans="1:40" ht="15" customHeight="1">
      <c r="A365" s="258" t="s">
        <v>2460</v>
      </c>
      <c r="B365" s="263">
        <f>'Dry_Litterbag Placem_Collection'!A146</f>
        <v>144</v>
      </c>
      <c r="C365" s="263" t="str">
        <f>'Dry_Litterbag Placem_Collection'!B146</f>
        <v xml:space="preserve">Mwantimba
</v>
      </c>
      <c r="D365" s="263" t="s">
        <v>2460</v>
      </c>
      <c r="E365" s="263" t="s">
        <v>20</v>
      </c>
      <c r="F365" s="263">
        <v>2</v>
      </c>
      <c r="G365" s="264" t="str">
        <f>'Dry_Litterbag Placem_Collection'!C146</f>
        <v>Wet_P2_T8</v>
      </c>
      <c r="H365" s="265" t="s">
        <v>2541</v>
      </c>
      <c r="I365" s="272" t="s">
        <v>298</v>
      </c>
      <c r="J365" s="223" t="str">
        <f>'WetLitterbags placem_collection'!M146</f>
        <v>R571</v>
      </c>
      <c r="K365" s="225">
        <f>IFERROR(INDEX('Green_rooibos initial weight'!$C$5:$C$1749,MATCH(J365, 'Green_rooibos initial weight'!$A$5:$A$1749,0)),"")</f>
        <v>2.117</v>
      </c>
      <c r="L365" s="225">
        <f>IFERROR(K365-(TBIcalc!$H$9+TBIcalc!$H$10),"")</f>
        <v>1.8672</v>
      </c>
      <c r="M365" s="391">
        <f>AVERAGE(Ashed_controlls!$K$12:$K$14)</f>
        <v>2.2816647271287041</v>
      </c>
      <c r="N365" s="225">
        <f t="shared" si="27"/>
        <v>1.8245967562150529</v>
      </c>
      <c r="O365" s="225">
        <f>IF(IFERROR(INDEX('Both teabags AfterWet'!$C$3:$C$841,MATCH(J365,'Both teabags AfterWet'!$A$3:$A$841,0)),"")="","",(IFERROR(INDEX('Both teabags AfterWet'!$C$3:$C$841,MATCH(J365,'Both teabags AfterWet'!$A$3:$A$841,0)),"")))</f>
        <v>1.365</v>
      </c>
      <c r="P365" s="225">
        <f>IFERROR(IF(O365&gt;0,O365-(TBIcalc!$H$9),""),"")</f>
        <v>1.2143999999999999</v>
      </c>
      <c r="Q365" s="225">
        <f>IFERROR(INDEX('Ashed teabags wet'!$K$2:$K$821,MATCH(J365,'Ashed teabags wet'!$A$2:$A$821,0)),"")</f>
        <v>77.783132530120469</v>
      </c>
      <c r="R365" s="225">
        <f t="shared" si="31"/>
        <v>0.26980163855421702</v>
      </c>
      <c r="S365" s="226">
        <f>'WetLitterbags placem_collection'!E146</f>
        <v>42762</v>
      </c>
      <c r="T365" s="226">
        <f>IF('WetLitterbags placem_collection'!G146="","",'WetLitterbags placem_collection'!G146)</f>
        <v>42816</v>
      </c>
      <c r="U365" s="227">
        <f t="shared" si="28"/>
        <v>54</v>
      </c>
      <c r="V365" s="225">
        <f t="shared" si="29"/>
        <v>0.65280000000000005</v>
      </c>
      <c r="W365" s="225">
        <f t="shared" si="30"/>
        <v>1.5547951176608359</v>
      </c>
      <c r="X365">
        <f>IFERROR(INDEX(Rainfall_Wet!$O$2:$O$217,MATCH(B365, Rainfall_Wet!$A$2:$A$217,0)),"")</f>
        <v>206.85140822299999</v>
      </c>
      <c r="Y365" s="231">
        <v>33.96</v>
      </c>
      <c r="Z365" s="231">
        <v>8.9200000000000017</v>
      </c>
      <c r="AA365" s="231">
        <v>57.12</v>
      </c>
      <c r="AB365" s="232" t="s">
        <v>2670</v>
      </c>
      <c r="AC365" s="231">
        <v>9.0720551996057193</v>
      </c>
      <c r="AD365">
        <f>IF('WetLitterbags placem_collection'!AB146="","",'WetLitterbags placem_collection'!AB146)</f>
        <v>2.5</v>
      </c>
      <c r="AE365">
        <f>IF('WetLitterbags placem_collection'!Z146="","",'WetLitterbags placem_collection'!Z146)</f>
        <v>19.8</v>
      </c>
      <c r="AF365" s="246" t="str">
        <f>IF('WetLitterbags placem_collection'!AA146="","",'WetLitterbags placem_collection'!AA146)</f>
        <v>G</v>
      </c>
      <c r="AG365">
        <f>IF('WetLitterbags placem_collection'!AC146="","",'WetLitterbags placem_collection'!AC146)</f>
        <v>1</v>
      </c>
      <c r="AH365" s="240">
        <f>AVERAGE('WetLitterbags placem_collection'!S146,'WetLitterbags placem_collection'!U146)</f>
        <v>17.149999999999999</v>
      </c>
      <c r="AI365">
        <f>AVERAGE('WetLitterbags placem_collection'!R146,'WetLitterbags placem_collection'!T146)</f>
        <v>31.4</v>
      </c>
      <c r="AJ365">
        <f>INDEX(Coordinates!$B$2:$B$197,MATCH(G365,Coordinates!$J$2:$J$197,0))</f>
        <v>-2.3486560399999998</v>
      </c>
      <c r="AK365">
        <f>INDEX(Coordinates!$C$2:$C$197,MATCH(G365,Coordinates!$J$2:$J$197,0))</f>
        <v>34.049895020000001</v>
      </c>
      <c r="AL365" t="str">
        <f>IF(ISNUMBER(SEARCH("C", 'WetLitterbags placem_collection'!W146)),"YES","NO")</f>
        <v>NO</v>
      </c>
      <c r="AM365" t="str">
        <f>IF(ISNUMBER(SEARCH("H", 'WetLitterbags placem_collection'!W146)),"YES","NO")</f>
        <v>YES</v>
      </c>
      <c r="AN365" t="str">
        <f>IF(ISNUMBER(SEARCH("R", 'WetLitterbags placem_collection'!W146)),"YES","NO")</f>
        <v>NO</v>
      </c>
    </row>
    <row r="366" spans="1:40" ht="15" customHeight="1">
      <c r="A366" s="258" t="s">
        <v>2460</v>
      </c>
      <c r="B366" s="263">
        <f>'Dry_Litterbag Placem_Collection'!A147</f>
        <v>145</v>
      </c>
      <c r="C366" s="263" t="str">
        <f>'Dry_Litterbag Placem_Collection'!B147</f>
        <v xml:space="preserve">Mwantimba
</v>
      </c>
      <c r="D366" s="263" t="s">
        <v>2460</v>
      </c>
      <c r="E366" s="263" t="s">
        <v>20</v>
      </c>
      <c r="F366" s="263">
        <v>3</v>
      </c>
      <c r="G366" s="264" t="str">
        <f>'Dry_Litterbag Placem_Collection'!C147</f>
        <v>Wet_P3_T1</v>
      </c>
      <c r="H366" s="265" t="s">
        <v>2541</v>
      </c>
      <c r="I366" s="272" t="s">
        <v>298</v>
      </c>
      <c r="J366" s="223" t="str">
        <f>'WetLitterbags placem_collection'!M147</f>
        <v>R27</v>
      </c>
      <c r="K366" s="225">
        <f>IFERROR(INDEX('Green_rooibos initial weight'!$C$5:$C$1749,MATCH(J366, 'Green_rooibos initial weight'!$A$5:$A$1749,0)),"")</f>
        <v>2.0550000000000002</v>
      </c>
      <c r="L366" s="225">
        <f>IFERROR(K366-(TBIcalc!$H$9+TBIcalc!$H$10),"")</f>
        <v>1.8052000000000001</v>
      </c>
      <c r="M366" s="391">
        <f>AVERAGE(Ashed_controlls!$K$12:$K$14)</f>
        <v>2.2816647271287041</v>
      </c>
      <c r="N366" s="225">
        <f t="shared" si="27"/>
        <v>1.7640113883458728</v>
      </c>
      <c r="O366" s="225">
        <f>IF(IFERROR(INDEX('Both teabags AfterWet'!$C$3:$C$841,MATCH(J366,'Both teabags AfterWet'!$A$3:$A$841,0)),"")="","",(IFERROR(INDEX('Both teabags AfterWet'!$C$3:$C$841,MATCH(J366,'Both teabags AfterWet'!$A$3:$A$841,0)),"")))</f>
        <v>1.6830000000000001</v>
      </c>
      <c r="P366" s="225">
        <f>IFERROR(IF(O366&gt;0,O366-(TBIcalc!$H$9),""),"")</f>
        <v>1.5324</v>
      </c>
      <c r="Q366" s="225">
        <f>IFERROR(INDEX('Ashed teabags wet'!$K$2:$K$821,MATCH(J366,'Ashed teabags wet'!$A$2:$A$821,0)),"")</f>
        <v>8.5603112840463975</v>
      </c>
      <c r="R366" s="225">
        <f t="shared" si="31"/>
        <v>1.4012217898832731</v>
      </c>
      <c r="S366" s="226">
        <f>'WetLitterbags placem_collection'!E147</f>
        <v>42762</v>
      </c>
      <c r="T366" s="226">
        <f>IF('WetLitterbags placem_collection'!G147="","",'WetLitterbags placem_collection'!G147)</f>
        <v>42815</v>
      </c>
      <c r="U366" s="227">
        <f t="shared" si="28"/>
        <v>53</v>
      </c>
      <c r="V366" s="225">
        <f t="shared" si="29"/>
        <v>0.27280000000000015</v>
      </c>
      <c r="W366" s="225">
        <f t="shared" si="30"/>
        <v>0.36278959846259973</v>
      </c>
      <c r="X366">
        <f>IFERROR(INDEX(Rainfall_Wet!$O$2:$O$217,MATCH(B366, Rainfall_Wet!$A$2:$A$217,0)),"")</f>
        <v>205.76139209600001</v>
      </c>
      <c r="Y366" s="231">
        <v>39.96</v>
      </c>
      <c r="Z366" s="231">
        <v>12.920000000000002</v>
      </c>
      <c r="AA366" s="231">
        <v>47.12</v>
      </c>
      <c r="AB366" s="232" t="s">
        <v>2674</v>
      </c>
      <c r="AC366" s="231">
        <v>1.6549531789058647</v>
      </c>
      <c r="AD366">
        <f>IF('WetLitterbags placem_collection'!AB147="","",'WetLitterbags placem_collection'!AB147)</f>
        <v>3.95</v>
      </c>
      <c r="AE366">
        <f>IF('WetLitterbags placem_collection'!Z147="","",'WetLitterbags placem_collection'!Z147)</f>
        <v>13</v>
      </c>
      <c r="AF366" s="246" t="str">
        <f>IF('WetLitterbags placem_collection'!AA147="","",'WetLitterbags placem_collection'!AA147)</f>
        <v>O</v>
      </c>
      <c r="AG366">
        <f>IF('WetLitterbags placem_collection'!AC147="","",'WetLitterbags placem_collection'!AC147)</f>
        <v>0</v>
      </c>
      <c r="AH366" s="240">
        <f>AVERAGE('WetLitterbags placem_collection'!S147,'WetLitterbags placem_collection'!U147)</f>
        <v>27.200000000000003</v>
      </c>
      <c r="AI366">
        <f>AVERAGE('WetLitterbags placem_collection'!R147,'WetLitterbags placem_collection'!T147)</f>
        <v>30.9</v>
      </c>
      <c r="AJ366">
        <f>INDEX(Coordinates!$B$2:$B$197,MATCH(G366,Coordinates!$J$2:$J$197,0))</f>
        <v>-2.3675269729999999</v>
      </c>
      <c r="AK366">
        <f>INDEX(Coordinates!$C$2:$C$197,MATCH(G366,Coordinates!$J$2:$J$197,0))</f>
        <v>34.06035799</v>
      </c>
      <c r="AL366" t="str">
        <f>IF(ISNUMBER(SEARCH("C", 'WetLitterbags placem_collection'!W147)),"YES","NO")</f>
        <v>NO</v>
      </c>
      <c r="AM366" t="str">
        <f>IF(ISNUMBER(SEARCH("H", 'WetLitterbags placem_collection'!W147)),"YES","NO")</f>
        <v>NO</v>
      </c>
      <c r="AN366" t="str">
        <f>IF(ISNUMBER(SEARCH("R", 'WetLitterbags placem_collection'!W147)),"YES","NO")</f>
        <v>NO</v>
      </c>
    </row>
    <row r="367" spans="1:40" ht="15" customHeight="1">
      <c r="A367" s="258" t="s">
        <v>2460</v>
      </c>
      <c r="B367" s="263">
        <f>'Dry_Litterbag Placem_Collection'!A148</f>
        <v>146</v>
      </c>
      <c r="C367" s="263" t="str">
        <f>'Dry_Litterbag Placem_Collection'!B148</f>
        <v xml:space="preserve">Mwantimba
</v>
      </c>
      <c r="D367" s="263" t="s">
        <v>2460</v>
      </c>
      <c r="E367" s="263" t="s">
        <v>20</v>
      </c>
      <c r="F367" s="263">
        <v>3</v>
      </c>
      <c r="G367" s="264" t="str">
        <f>'Dry_Litterbag Placem_Collection'!C148</f>
        <v>Wet_P3_T2</v>
      </c>
      <c r="H367" s="265" t="s">
        <v>2541</v>
      </c>
      <c r="I367" s="272" t="s">
        <v>298</v>
      </c>
      <c r="J367" s="223" t="str">
        <f>'WetLitterbags placem_collection'!M148</f>
        <v>R492</v>
      </c>
      <c r="K367" s="225">
        <f>IFERROR(INDEX('Green_rooibos initial weight'!$C$5:$C$1749,MATCH(J367, 'Green_rooibos initial weight'!$A$5:$A$1749,0)),"")</f>
        <v>2.2519999999999998</v>
      </c>
      <c r="L367" s="225">
        <f>IFERROR(K367-(TBIcalc!$H$9+TBIcalc!$H$10),"")</f>
        <v>2.0021999999999998</v>
      </c>
      <c r="M367" s="391">
        <f>AVERAGE(Ashed_controlls!$K$12:$K$14)</f>
        <v>2.2816647271287041</v>
      </c>
      <c r="N367" s="225">
        <f t="shared" si="27"/>
        <v>1.9565165088334289</v>
      </c>
      <c r="O367" s="225">
        <f>IF(IFERROR(INDEX('Both teabags AfterWet'!$C$3:$C$841,MATCH(J367,'Both teabags AfterWet'!$A$3:$A$841,0)),"")="","",(IFERROR(INDEX('Both teabags AfterWet'!$C$3:$C$841,MATCH(J367,'Both teabags AfterWet'!$A$3:$A$841,0)),"")))</f>
        <v>1.6579999999999999</v>
      </c>
      <c r="P367" s="225">
        <f>IFERROR(IF(O367&gt;0,O367-(TBIcalc!$H$9),""),"")</f>
        <v>1.5073999999999999</v>
      </c>
      <c r="Q367" s="225">
        <f>IFERROR(INDEX('Ashed teabags wet'!$K$2:$K$821,MATCH(J367,'Ashed teabags wet'!$A$2:$A$821,0)),"")</f>
        <v>4.0599323344614637</v>
      </c>
      <c r="R367" s="225">
        <f t="shared" si="31"/>
        <v>1.4462005799903277</v>
      </c>
      <c r="S367" s="226">
        <f>'WetLitterbags placem_collection'!E148</f>
        <v>42762</v>
      </c>
      <c r="T367" s="226">
        <f>IF('WetLitterbags placem_collection'!G148="","",'WetLitterbags placem_collection'!G148)</f>
        <v>42815</v>
      </c>
      <c r="U367" s="227">
        <f t="shared" si="28"/>
        <v>53</v>
      </c>
      <c r="V367" s="225">
        <f t="shared" si="29"/>
        <v>0.49479999999999991</v>
      </c>
      <c r="W367" s="225">
        <f t="shared" si="30"/>
        <v>0.51031592884310117</v>
      </c>
      <c r="X367">
        <f>IFERROR(INDEX(Rainfall_Wet!$O$2:$O$217,MATCH(B367, Rainfall_Wet!$A$2:$A$217,0)),"")</f>
        <v>205.76139209600001</v>
      </c>
      <c r="Y367" s="231">
        <v>39.96</v>
      </c>
      <c r="Z367" s="231">
        <v>12.920000000000002</v>
      </c>
      <c r="AA367" s="231">
        <v>47.12</v>
      </c>
      <c r="AB367" s="232" t="s">
        <v>2674</v>
      </c>
      <c r="AC367" s="231">
        <v>2.6549531789058598</v>
      </c>
      <c r="AD367">
        <f>IF('WetLitterbags placem_collection'!AB148="","",'WetLitterbags placem_collection'!AB148)</f>
        <v>2.75</v>
      </c>
      <c r="AE367">
        <f>IF('WetLitterbags placem_collection'!Z148="","",'WetLitterbags placem_collection'!Z148)</f>
        <v>17.7</v>
      </c>
      <c r="AF367" s="246" t="str">
        <f>IF('WetLitterbags placem_collection'!AA148="","",'WetLitterbags placem_collection'!AA148)</f>
        <v>O</v>
      </c>
      <c r="AG367">
        <f>IF('WetLitterbags placem_collection'!AC148="","",'WetLitterbags placem_collection'!AC148)</f>
        <v>1</v>
      </c>
      <c r="AH367" s="240">
        <f>AVERAGE('WetLitterbags placem_collection'!S148,'WetLitterbags placem_collection'!U148)</f>
        <v>22.65</v>
      </c>
      <c r="AI367">
        <f>AVERAGE('WetLitterbags placem_collection'!R148,'WetLitterbags placem_collection'!T148)</f>
        <v>30.549999999999997</v>
      </c>
      <c r="AJ367">
        <f>INDEX(Coordinates!$B$2:$B$197,MATCH(G367,Coordinates!$J$2:$J$197,0))</f>
        <v>-2.3675380370000001</v>
      </c>
      <c r="AK367">
        <f>INDEX(Coordinates!$C$2:$C$197,MATCH(G367,Coordinates!$J$2:$J$197,0))</f>
        <v>34.060381960000001</v>
      </c>
      <c r="AL367" t="str">
        <f>IF(ISNUMBER(SEARCH("C", 'WetLitterbags placem_collection'!W148)),"YES","NO")</f>
        <v>NO</v>
      </c>
      <c r="AM367" t="str">
        <f>IF(ISNUMBER(SEARCH("H", 'WetLitterbags placem_collection'!W148)),"YES","NO")</f>
        <v>NO</v>
      </c>
      <c r="AN367" t="str">
        <f>IF(ISNUMBER(SEARCH("R", 'WetLitterbags placem_collection'!W148)),"YES","NO")</f>
        <v>NO</v>
      </c>
    </row>
    <row r="368" spans="1:40" ht="15" customHeight="1">
      <c r="A368" s="258" t="s">
        <v>2460</v>
      </c>
      <c r="B368" s="263">
        <f>'Dry_Litterbag Placem_Collection'!A149</f>
        <v>147</v>
      </c>
      <c r="C368" s="263" t="str">
        <f>'Dry_Litterbag Placem_Collection'!B149</f>
        <v xml:space="preserve">Mwantimba
</v>
      </c>
      <c r="D368" s="263" t="s">
        <v>2460</v>
      </c>
      <c r="E368" s="263" t="s">
        <v>20</v>
      </c>
      <c r="F368" s="263">
        <v>3</v>
      </c>
      <c r="G368" s="264" t="str">
        <f>'Dry_Litterbag Placem_Collection'!C149</f>
        <v>Wet_P3_T3</v>
      </c>
      <c r="H368" s="265" t="s">
        <v>2541</v>
      </c>
      <c r="I368" s="272" t="s">
        <v>298</v>
      </c>
      <c r="J368" s="223" t="str">
        <f>'WetLitterbags placem_collection'!M149</f>
        <v>R573</v>
      </c>
      <c r="K368" s="225">
        <f>IFERROR(INDEX('Green_rooibos initial weight'!$C$5:$C$1749,MATCH(J368, 'Green_rooibos initial weight'!$A$5:$A$1749,0)),"")</f>
        <v>2.097</v>
      </c>
      <c r="L368" s="225">
        <f>IFERROR(K368-(TBIcalc!$H$9+TBIcalc!$H$10),"")</f>
        <v>1.8472</v>
      </c>
      <c r="M368" s="391">
        <f>AVERAGE(Ashed_controlls!$K$12:$K$14)</f>
        <v>2.2816647271287041</v>
      </c>
      <c r="N368" s="225">
        <f t="shared" si="27"/>
        <v>1.8050530891604786</v>
      </c>
      <c r="O368" s="225">
        <f>IF(IFERROR(INDEX('Both teabags AfterWet'!$C$3:$C$841,MATCH(J368,'Both teabags AfterWet'!$A$3:$A$841,0)),"")="","",(IFERROR(INDEX('Both teabags AfterWet'!$C$3:$C$841,MATCH(J368,'Both teabags AfterWet'!$A$3:$A$841,0)),"")))</f>
        <v>1.746</v>
      </c>
      <c r="P368" s="225">
        <f>IFERROR(IF(O368&gt;0,O368-(TBIcalc!$H$9),""),"")</f>
        <v>1.5953999999999999</v>
      </c>
      <c r="Q368" s="225">
        <f>IFERROR(INDEX('Ashed teabags wet'!$K$2:$K$821,MATCH(J368,'Ashed teabags wet'!$A$2:$A$821,0)),"")</f>
        <v>8.8007736943911006</v>
      </c>
      <c r="R368" s="225">
        <f t="shared" si="31"/>
        <v>1.4549924564796843</v>
      </c>
      <c r="S368" s="226">
        <f>'WetLitterbags placem_collection'!E149</f>
        <v>42762</v>
      </c>
      <c r="T368" s="226">
        <f>IF('WetLitterbags placem_collection'!G149="","",'WetLitterbags placem_collection'!G149)</f>
        <v>42816</v>
      </c>
      <c r="U368" s="227">
        <f t="shared" si="28"/>
        <v>54</v>
      </c>
      <c r="V368" s="225">
        <f t="shared" si="29"/>
        <v>0.25180000000000002</v>
      </c>
      <c r="W368" s="225">
        <f t="shared" si="30"/>
        <v>0.35006063268079424</v>
      </c>
      <c r="X368">
        <f>IFERROR(INDEX(Rainfall_Wet!$O$2:$O$217,MATCH(B368, Rainfall_Wet!$A$2:$A$217,0)),"")</f>
        <v>206.85140822299999</v>
      </c>
      <c r="Y368" s="231">
        <v>39.96</v>
      </c>
      <c r="Z368" s="231">
        <v>12.920000000000002</v>
      </c>
      <c r="AA368" s="231">
        <v>47.12</v>
      </c>
      <c r="AB368" s="232" t="s">
        <v>2674</v>
      </c>
      <c r="AC368" s="231">
        <v>3.6549531789058598</v>
      </c>
      <c r="AD368">
        <f>IF('WetLitterbags placem_collection'!AB149="","",'WetLitterbags placem_collection'!AB149)</f>
        <v>3.6</v>
      </c>
      <c r="AE368">
        <f>IF('WetLitterbags placem_collection'!Z149="","",'WetLitterbags placem_collection'!Z149)</f>
        <v>19</v>
      </c>
      <c r="AF368" s="246" t="str">
        <f>IF('WetLitterbags placem_collection'!AA149="","",'WetLitterbags placem_collection'!AA149)</f>
        <v>M</v>
      </c>
      <c r="AG368">
        <f>IF('WetLitterbags placem_collection'!AC149="","",'WetLitterbags placem_collection'!AC149)</f>
        <v>1</v>
      </c>
      <c r="AH368" s="240">
        <f>AVERAGE('WetLitterbags placem_collection'!S149,'WetLitterbags placem_collection'!U149)</f>
        <v>23.35</v>
      </c>
      <c r="AI368">
        <f>AVERAGE('WetLitterbags placem_collection'!R149,'WetLitterbags placem_collection'!T149)</f>
        <v>29.9</v>
      </c>
      <c r="AJ368">
        <f>INDEX(Coordinates!$B$2:$B$197,MATCH(G368,Coordinates!$J$2:$J$197,0))</f>
        <v>-2.3675780180000001</v>
      </c>
      <c r="AK368">
        <f>INDEX(Coordinates!$C$2:$C$197,MATCH(G368,Coordinates!$J$2:$J$197,0))</f>
        <v>34.060323029999999</v>
      </c>
      <c r="AL368" t="str">
        <f>IF(ISNUMBER(SEARCH("C", 'WetLitterbags placem_collection'!W149)),"YES","NO")</f>
        <v>NO</v>
      </c>
      <c r="AM368" t="str">
        <f>IF(ISNUMBER(SEARCH("H", 'WetLitterbags placem_collection'!W149)),"YES","NO")</f>
        <v>NO</v>
      </c>
      <c r="AN368" t="str">
        <f>IF(ISNUMBER(SEARCH("R", 'WetLitterbags placem_collection'!W149)),"YES","NO")</f>
        <v>NO</v>
      </c>
    </row>
    <row r="369" spans="1:40" ht="15" customHeight="1">
      <c r="A369" s="258" t="s">
        <v>2460</v>
      </c>
      <c r="B369" s="263">
        <f>'Dry_Litterbag Placem_Collection'!A150</f>
        <v>148</v>
      </c>
      <c r="C369" s="263" t="str">
        <f>'Dry_Litterbag Placem_Collection'!B150</f>
        <v xml:space="preserve">Mwantimba
</v>
      </c>
      <c r="D369" s="263" t="s">
        <v>2460</v>
      </c>
      <c r="E369" s="263" t="s">
        <v>20</v>
      </c>
      <c r="F369" s="263">
        <v>3</v>
      </c>
      <c r="G369" s="264" t="str">
        <f>'Dry_Litterbag Placem_Collection'!C150</f>
        <v>Wet_P3_T4</v>
      </c>
      <c r="H369" s="265" t="s">
        <v>2541</v>
      </c>
      <c r="I369" s="272" t="s">
        <v>298</v>
      </c>
      <c r="J369" s="223" t="str">
        <f>'WetLitterbags placem_collection'!M150</f>
        <v>R472</v>
      </c>
      <c r="K369" s="225">
        <f>IFERROR(INDEX('Green_rooibos initial weight'!$C$5:$C$1749,MATCH(J369, 'Green_rooibos initial weight'!$A$5:$A$1749,0)),"")</f>
        <v>2.2679999999999998</v>
      </c>
      <c r="L369" s="225">
        <f>IFERROR(K369-(TBIcalc!$H$9+TBIcalc!$H$10),"")</f>
        <v>2.0181999999999998</v>
      </c>
      <c r="M369" s="391">
        <f>AVERAGE(Ashed_controlls!$K$12:$K$14)</f>
        <v>2.2816647271287041</v>
      </c>
      <c r="N369" s="225">
        <f t="shared" si="27"/>
        <v>1.9721514424770883</v>
      </c>
      <c r="O369" s="225">
        <f>IF(IFERROR(INDEX('Both teabags AfterWet'!$C$3:$C$841,MATCH(J369,'Both teabags AfterWet'!$A$3:$A$841,0)),"")="","",(IFERROR(INDEX('Both teabags AfterWet'!$C$3:$C$841,MATCH(J369,'Both teabags AfterWet'!$A$3:$A$841,0)),"")))</f>
        <v>0.37559999999999999</v>
      </c>
      <c r="P369" s="225">
        <f>IFERROR(IF(O369&gt;0,O369-(TBIcalc!$H$9),""),"")</f>
        <v>0.22499999999999998</v>
      </c>
      <c r="Q369" s="225" t="str">
        <f>IFERROR(INDEX('Ashed teabags wet'!$K$2:$K$821,MATCH(J369,'Ashed teabags wet'!$A$2:$A$821,0)),"")</f>
        <v/>
      </c>
      <c r="R369" s="225" t="str">
        <f t="shared" si="31"/>
        <v/>
      </c>
      <c r="S369" s="226">
        <f>'WetLitterbags placem_collection'!E150</f>
        <v>42762</v>
      </c>
      <c r="T369" s="226">
        <f>IF('WetLitterbags placem_collection'!G150="","",'WetLitterbags placem_collection'!G150)</f>
        <v>42816</v>
      </c>
      <c r="U369" s="227">
        <f t="shared" si="28"/>
        <v>54</v>
      </c>
      <c r="V369" s="225">
        <f t="shared" si="29"/>
        <v>1.7931999999999997</v>
      </c>
      <c r="W369" s="225" t="str">
        <f t="shared" si="30"/>
        <v/>
      </c>
      <c r="X369">
        <f>IFERROR(INDEX(Rainfall_Wet!$O$2:$O$217,MATCH(B369, Rainfall_Wet!$A$2:$A$217,0)),"")</f>
        <v>206.85140822299999</v>
      </c>
      <c r="Y369" s="231">
        <v>39.96</v>
      </c>
      <c r="Z369" s="231">
        <v>12.920000000000002</v>
      </c>
      <c r="AA369" s="231">
        <v>47.12</v>
      </c>
      <c r="AB369" s="232" t="s">
        <v>2674</v>
      </c>
      <c r="AC369" s="231">
        <v>4.6549531789058696</v>
      </c>
      <c r="AD369">
        <f>IF('WetLitterbags placem_collection'!AB150="","",'WetLitterbags placem_collection'!AB150)</f>
        <v>4.9000000000000004</v>
      </c>
      <c r="AE369">
        <f>IF('WetLitterbags placem_collection'!Z150="","",'WetLitterbags placem_collection'!Z150)</f>
        <v>17.489999999999998</v>
      </c>
      <c r="AF369" s="246" t="str">
        <f>IF('WetLitterbags placem_collection'!AA150="","",'WetLitterbags placem_collection'!AA150)</f>
        <v>M</v>
      </c>
      <c r="AG369">
        <f>IF('WetLitterbags placem_collection'!AC150="","",'WetLitterbags placem_collection'!AC150)</f>
        <v>1</v>
      </c>
      <c r="AH369" s="240">
        <f>AVERAGE('WetLitterbags placem_collection'!S150,'WetLitterbags placem_collection'!U150)</f>
        <v>28.2</v>
      </c>
      <c r="AI369">
        <f>AVERAGE('WetLitterbags placem_collection'!R150,'WetLitterbags placem_collection'!T150)</f>
        <v>25.299999999999997</v>
      </c>
      <c r="AJ369">
        <f>INDEX(Coordinates!$B$2:$B$197,MATCH(G369,Coordinates!$J$2:$J$197,0))</f>
        <v>-2.3676269689999998</v>
      </c>
      <c r="AK369">
        <f>INDEX(Coordinates!$C$2:$C$197,MATCH(G369,Coordinates!$J$2:$J$197,0))</f>
        <v>34.060310960000002</v>
      </c>
      <c r="AL369" t="str">
        <f>IF(ISNUMBER(SEARCH("C", 'WetLitterbags placem_collection'!W150)),"YES","NO")</f>
        <v>NO</v>
      </c>
      <c r="AM369" t="str">
        <f>IF(ISNUMBER(SEARCH("H", 'WetLitterbags placem_collection'!W150)),"YES","NO")</f>
        <v>YES</v>
      </c>
      <c r="AN369" t="str">
        <f>IF(ISNUMBER(SEARCH("R", 'WetLitterbags placem_collection'!W150)),"YES","NO")</f>
        <v>NO</v>
      </c>
    </row>
    <row r="370" spans="1:40" ht="15" customHeight="1">
      <c r="A370" s="258" t="s">
        <v>2460</v>
      </c>
      <c r="B370" s="263">
        <f>'Dry_Litterbag Placem_Collection'!A151</f>
        <v>149</v>
      </c>
      <c r="C370" s="263" t="str">
        <f>'Dry_Litterbag Placem_Collection'!B151</f>
        <v xml:space="preserve">Mwantimba
</v>
      </c>
      <c r="D370" s="263" t="s">
        <v>2460</v>
      </c>
      <c r="E370" s="263" t="s">
        <v>20</v>
      </c>
      <c r="F370" s="263">
        <v>3</v>
      </c>
      <c r="G370" s="264" t="str">
        <f>'Dry_Litterbag Placem_Collection'!C151</f>
        <v>Wet_P3_T5</v>
      </c>
      <c r="H370" s="265" t="s">
        <v>2541</v>
      </c>
      <c r="I370" s="272" t="s">
        <v>298</v>
      </c>
      <c r="J370" s="223" t="str">
        <f>'WetLitterbags placem_collection'!M151</f>
        <v>R545</v>
      </c>
      <c r="K370" s="225">
        <f>IFERROR(INDEX('Green_rooibos initial weight'!$C$5:$C$1749,MATCH(J370, 'Green_rooibos initial weight'!$A$5:$A$1749,0)),"")</f>
        <v>2.2280000000000002</v>
      </c>
      <c r="L370" s="225">
        <f>IFERROR(K370-(TBIcalc!$H$9+TBIcalc!$H$10),"")</f>
        <v>1.9782000000000002</v>
      </c>
      <c r="M370" s="391">
        <f>AVERAGE(Ashed_controlls!$K$12:$K$14)</f>
        <v>2.2816647271287041</v>
      </c>
      <c r="N370" s="225">
        <f t="shared" si="27"/>
        <v>1.9330641083679401</v>
      </c>
      <c r="O370" s="225">
        <f>IF(IFERROR(INDEX('Both teabags AfterWet'!$C$3:$C$841,MATCH(J370,'Both teabags AfterWet'!$A$3:$A$841,0)),"")="","",(IFERROR(INDEX('Both teabags AfterWet'!$C$3:$C$841,MATCH(J370,'Both teabags AfterWet'!$A$3:$A$841,0)),"")))</f>
        <v>1.7096</v>
      </c>
      <c r="P370" s="225">
        <f>IFERROR(IF(O370&gt;0,O370-(TBIcalc!$H$9),""),"")</f>
        <v>1.5589999999999999</v>
      </c>
      <c r="Q370" s="225">
        <f>IFERROR(INDEX('Ashed teabags wet'!$K$2:$K$821,MATCH(J370,'Ashed teabags wet'!$A$2:$A$821,0)),"")</f>
        <v>8.8976767177461902</v>
      </c>
      <c r="R370" s="225">
        <f t="shared" si="31"/>
        <v>1.4202852199703369</v>
      </c>
      <c r="S370" s="226">
        <f>'WetLitterbags placem_collection'!E151</f>
        <v>42762</v>
      </c>
      <c r="T370" s="226">
        <f>IF('WetLitterbags placem_collection'!G151="","",'WetLitterbags placem_collection'!G151)</f>
        <v>42816</v>
      </c>
      <c r="U370" s="227">
        <f t="shared" si="28"/>
        <v>54</v>
      </c>
      <c r="V370" s="225">
        <f t="shared" si="29"/>
        <v>0.41920000000000024</v>
      </c>
      <c r="W370" s="225">
        <f t="shared" si="30"/>
        <v>0.51277888839760322</v>
      </c>
      <c r="X370">
        <f>IFERROR(INDEX(Rainfall_Wet!$O$2:$O$217,MATCH(B370, Rainfall_Wet!$A$2:$A$217,0)),"")</f>
        <v>206.85140822299999</v>
      </c>
      <c r="Y370" s="231">
        <v>39.96</v>
      </c>
      <c r="Z370" s="231">
        <v>12.920000000000002</v>
      </c>
      <c r="AA370" s="231">
        <v>47.12</v>
      </c>
      <c r="AB370" s="232" t="s">
        <v>2674</v>
      </c>
      <c r="AC370" s="231">
        <v>5.6549531789058696</v>
      </c>
      <c r="AD370">
        <f>IF('WetLitterbags placem_collection'!AB151="","",'WetLitterbags placem_collection'!AB151)</f>
        <v>2.8</v>
      </c>
      <c r="AE370">
        <f>IF('WetLitterbags placem_collection'!Z151="","",'WetLitterbags placem_collection'!Z151)</f>
        <v>13</v>
      </c>
      <c r="AF370" s="246" t="str">
        <f>IF('WetLitterbags placem_collection'!AA151="","",'WetLitterbags placem_collection'!AA151)</f>
        <v>M</v>
      </c>
      <c r="AG370">
        <f>IF('WetLitterbags placem_collection'!AC151="","",'WetLitterbags placem_collection'!AC151)</f>
        <v>1</v>
      </c>
      <c r="AH370" s="240">
        <f>AVERAGE('WetLitterbags placem_collection'!S151,'WetLitterbags placem_collection'!U151)</f>
        <v>25.4</v>
      </c>
      <c r="AI370">
        <f>AVERAGE('WetLitterbags placem_collection'!R151,'WetLitterbags placem_collection'!T151)</f>
        <v>26.9</v>
      </c>
      <c r="AJ370">
        <f>INDEX(Coordinates!$B$2:$B$197,MATCH(G370,Coordinates!$J$2:$J$197,0))</f>
        <v>-2.3677179960000001</v>
      </c>
      <c r="AK370">
        <f>INDEX(Coordinates!$C$2:$C$197,MATCH(G370,Coordinates!$J$2:$J$197,0))</f>
        <v>34.060324960000003</v>
      </c>
      <c r="AL370" t="str">
        <f>IF(ISNUMBER(SEARCH("C", 'WetLitterbags placem_collection'!W151)),"YES","NO")</f>
        <v>NO</v>
      </c>
      <c r="AM370" t="str">
        <f>IF(ISNUMBER(SEARCH("H", 'WetLitterbags placem_collection'!W151)),"YES","NO")</f>
        <v>NO</v>
      </c>
      <c r="AN370" t="str">
        <f>IF(ISNUMBER(SEARCH("R", 'WetLitterbags placem_collection'!W151)),"YES","NO")</f>
        <v>NO</v>
      </c>
    </row>
    <row r="371" spans="1:40" ht="15" customHeight="1">
      <c r="A371" s="258" t="s">
        <v>2460</v>
      </c>
      <c r="B371" s="263">
        <f>'Dry_Litterbag Placem_Collection'!A152</f>
        <v>150</v>
      </c>
      <c r="C371" s="263" t="str">
        <f>'Dry_Litterbag Placem_Collection'!B152</f>
        <v xml:space="preserve">Mwantimba
</v>
      </c>
      <c r="D371" s="263" t="s">
        <v>2460</v>
      </c>
      <c r="E371" s="263" t="s">
        <v>20</v>
      </c>
      <c r="F371" s="263">
        <v>3</v>
      </c>
      <c r="G371" s="264" t="str">
        <f>'Dry_Litterbag Placem_Collection'!C152</f>
        <v>Wet_P3_T6</v>
      </c>
      <c r="H371" s="265" t="s">
        <v>2541</v>
      </c>
      <c r="I371" s="272" t="s">
        <v>298</v>
      </c>
      <c r="J371" s="223" t="str">
        <f>'WetLitterbags placem_collection'!M152</f>
        <v>R7</v>
      </c>
      <c r="K371" s="225">
        <f>IFERROR(INDEX('Green_rooibos initial weight'!$C$5:$C$1749,MATCH(J371, 'Green_rooibos initial weight'!$A$5:$A$1749,0)),"")</f>
        <v>2.2090000000000001</v>
      </c>
      <c r="L371" s="225">
        <f>IFERROR(K371-(TBIcalc!$H$9+TBIcalc!$H$10),"")</f>
        <v>1.9592000000000001</v>
      </c>
      <c r="M371" s="391">
        <f>AVERAGE(Ashed_controlls!$K$12:$K$14)</f>
        <v>2.2816647271287041</v>
      </c>
      <c r="N371" s="225">
        <f t="shared" si="27"/>
        <v>1.9144976246660945</v>
      </c>
      <c r="O371" s="225">
        <f>IF(IFERROR(INDEX('Both teabags AfterWet'!$C$3:$C$841,MATCH(J371,'Both teabags AfterWet'!$A$3:$A$841,0)),"")="","",(IFERROR(INDEX('Both teabags AfterWet'!$C$3:$C$841,MATCH(J371,'Both teabags AfterWet'!$A$3:$A$841,0)),"")))</f>
        <v>1.718</v>
      </c>
      <c r="P371" s="225">
        <f>IFERROR(IF(O371&gt;0,O371-(TBIcalc!$H$9),""),"")</f>
        <v>1.5673999999999999</v>
      </c>
      <c r="Q371" s="225">
        <f>IFERROR(INDEX('Ashed teabags wet'!$K$2:$K$821,MATCH(J371,'Ashed teabags wet'!$A$2:$A$821,0)),"")</f>
        <v>10.190151145782695</v>
      </c>
      <c r="R371" s="225">
        <f t="shared" si="31"/>
        <v>1.4076795709410019</v>
      </c>
      <c r="S371" s="226">
        <f>'WetLitterbags placem_collection'!E152</f>
        <v>42762</v>
      </c>
      <c r="T371" s="226">
        <f>IF('WetLitterbags placem_collection'!G152="","",'WetLitterbags placem_collection'!G152)</f>
        <v>42816</v>
      </c>
      <c r="U371" s="227">
        <f t="shared" si="28"/>
        <v>54</v>
      </c>
      <c r="V371" s="225">
        <f t="shared" si="29"/>
        <v>0.39180000000000015</v>
      </c>
      <c r="W371" s="225">
        <f t="shared" si="30"/>
        <v>0.50681805372509259</v>
      </c>
      <c r="X371">
        <f>IFERROR(INDEX(Rainfall_Wet!$O$2:$O$217,MATCH(B371, Rainfall_Wet!$A$2:$A$217,0)),"")</f>
        <v>206.85140822299999</v>
      </c>
      <c r="Y371" s="231">
        <v>39.96</v>
      </c>
      <c r="Z371" s="231">
        <v>12.920000000000002</v>
      </c>
      <c r="AA371" s="231">
        <v>47.12</v>
      </c>
      <c r="AB371" s="232" t="s">
        <v>2674</v>
      </c>
      <c r="AC371" s="231">
        <v>6.6549531789058696</v>
      </c>
      <c r="AD371">
        <f>IF('WetLitterbags placem_collection'!AB152="","",'WetLitterbags placem_collection'!AB152)</f>
        <v>2.75</v>
      </c>
      <c r="AE371">
        <f>IF('WetLitterbags placem_collection'!Z152="","",'WetLitterbags placem_collection'!Z152)</f>
        <v>19</v>
      </c>
      <c r="AF371" s="246" t="str">
        <f>IF('WetLitterbags placem_collection'!AA152="","",'WetLitterbags placem_collection'!AA152)</f>
        <v>O</v>
      </c>
      <c r="AG371">
        <f>IF('WetLitterbags placem_collection'!AC152="","",'WetLitterbags placem_collection'!AC152)</f>
        <v>0</v>
      </c>
      <c r="AH371" s="240">
        <f>AVERAGE('WetLitterbags placem_collection'!S152,'WetLitterbags placem_collection'!U152)</f>
        <v>22.55</v>
      </c>
      <c r="AI371">
        <f>AVERAGE('WetLitterbags placem_collection'!R152,'WetLitterbags placem_collection'!T152)</f>
        <v>24.75</v>
      </c>
      <c r="AJ371">
        <f>INDEX(Coordinates!$B$2:$B$197,MATCH(G371,Coordinates!$J$2:$J$197,0))</f>
        <v>-2.3675230329999999</v>
      </c>
      <c r="AK371">
        <f>INDEX(Coordinates!$C$2:$C$197,MATCH(G371,Coordinates!$J$2:$J$197,0))</f>
        <v>34.060512969999998</v>
      </c>
      <c r="AL371" t="str">
        <f>IF(ISNUMBER(SEARCH("C", 'WetLitterbags placem_collection'!W152)),"YES","NO")</f>
        <v>NO</v>
      </c>
      <c r="AM371" t="str">
        <f>IF(ISNUMBER(SEARCH("H", 'WetLitterbags placem_collection'!W152)),"YES","NO")</f>
        <v>NO</v>
      </c>
      <c r="AN371" t="str">
        <f>IF(ISNUMBER(SEARCH("R", 'WetLitterbags placem_collection'!W152)),"YES","NO")</f>
        <v>NO</v>
      </c>
    </row>
    <row r="372" spans="1:40" ht="15" customHeight="1">
      <c r="A372" s="258" t="s">
        <v>2460</v>
      </c>
      <c r="B372" s="263">
        <f>'Dry_Litterbag Placem_Collection'!A153</f>
        <v>151</v>
      </c>
      <c r="C372" s="263" t="str">
        <f>'Dry_Litterbag Placem_Collection'!B153</f>
        <v xml:space="preserve">Mwantimba
</v>
      </c>
      <c r="D372" s="263" t="s">
        <v>2460</v>
      </c>
      <c r="E372" s="263" t="s">
        <v>20</v>
      </c>
      <c r="F372" s="263">
        <v>3</v>
      </c>
      <c r="G372" s="264" t="str">
        <f>'Dry_Litterbag Placem_Collection'!C153</f>
        <v>Wet_P3_T7</v>
      </c>
      <c r="H372" s="265" t="s">
        <v>2541</v>
      </c>
      <c r="I372" s="272" t="s">
        <v>298</v>
      </c>
      <c r="J372" s="223" t="str">
        <f>'WetLitterbags placem_collection'!M153</f>
        <v>R447</v>
      </c>
      <c r="K372" s="225">
        <f>IFERROR(INDEX('Green_rooibos initial weight'!$C$5:$C$1749,MATCH(J372, 'Green_rooibos initial weight'!$A$5:$A$1749,0)),"")</f>
        <v>2.206</v>
      </c>
      <c r="L372" s="225">
        <f>IFERROR(K372-(TBIcalc!$H$9+TBIcalc!$H$10),"")</f>
        <v>1.9561999999999999</v>
      </c>
      <c r="M372" s="391">
        <f>AVERAGE(Ashed_controlls!$K$12:$K$14)</f>
        <v>2.2816647271287041</v>
      </c>
      <c r="N372" s="225">
        <f t="shared" si="27"/>
        <v>1.9115660746079082</v>
      </c>
      <c r="O372" s="225">
        <f>IF(IFERROR(INDEX('Both teabags AfterWet'!$C$3:$C$841,MATCH(J372,'Both teabags AfterWet'!$A$3:$A$841,0)),"")="","",(IFERROR(INDEX('Both teabags AfterWet'!$C$3:$C$841,MATCH(J372,'Both teabags AfterWet'!$A$3:$A$841,0)),"")))</f>
        <v>1.782</v>
      </c>
      <c r="P372" s="225">
        <f>IFERROR(IF(O372&gt;0,O372-(TBIcalc!$H$9),""),"")</f>
        <v>1.6314</v>
      </c>
      <c r="Q372" s="225">
        <f>IFERROR(INDEX('Ashed teabags wet'!$K$2:$K$821,MATCH(J372,'Ashed teabags wet'!$A$2:$A$821,0)),"")</f>
        <v>6.4642507345735885</v>
      </c>
      <c r="R372" s="225">
        <f t="shared" si="31"/>
        <v>1.5259422135161664</v>
      </c>
      <c r="S372" s="226">
        <f>'WetLitterbags placem_collection'!E153</f>
        <v>42762</v>
      </c>
      <c r="T372" s="226">
        <f>IF('WetLitterbags placem_collection'!G153="","",'WetLitterbags placem_collection'!G153)</f>
        <v>42816</v>
      </c>
      <c r="U372" s="227">
        <f t="shared" si="28"/>
        <v>54</v>
      </c>
      <c r="V372" s="225">
        <f t="shared" si="29"/>
        <v>0.32479999999999998</v>
      </c>
      <c r="W372" s="225">
        <f t="shared" si="30"/>
        <v>0.38562386109174174</v>
      </c>
      <c r="X372">
        <f>IFERROR(INDEX(Rainfall_Wet!$O$2:$O$217,MATCH(B372, Rainfall_Wet!$A$2:$A$217,0)),"")</f>
        <v>206.85140822299999</v>
      </c>
      <c r="Y372" s="231">
        <v>39.96</v>
      </c>
      <c r="Z372" s="231">
        <v>12.920000000000002</v>
      </c>
      <c r="AA372" s="231">
        <v>47.12</v>
      </c>
      <c r="AB372" s="232" t="s">
        <v>2674</v>
      </c>
      <c r="AC372" s="231">
        <v>7.6549531789058696</v>
      </c>
      <c r="AD372">
        <f>IF('WetLitterbags placem_collection'!AB153="","",'WetLitterbags placem_collection'!AB153)</f>
        <v>1.4</v>
      </c>
      <c r="AE372">
        <f>IF('WetLitterbags placem_collection'!Z153="","",'WetLitterbags placem_collection'!Z153)</f>
        <v>7.9</v>
      </c>
      <c r="AF372" s="246" t="str">
        <f>IF('WetLitterbags placem_collection'!AA153="","",'WetLitterbags placem_collection'!AA153)</f>
        <v>O</v>
      </c>
      <c r="AG372">
        <f>IF('WetLitterbags placem_collection'!AC153="","",'WetLitterbags placem_collection'!AC153)</f>
        <v>1</v>
      </c>
      <c r="AH372" s="240">
        <f>AVERAGE('WetLitterbags placem_collection'!S153,'WetLitterbags placem_collection'!U153)</f>
        <v>26.049999999999997</v>
      </c>
      <c r="AI372">
        <f>AVERAGE('WetLitterbags placem_collection'!R153,'WetLitterbags placem_collection'!T153)</f>
        <v>26.5</v>
      </c>
      <c r="AJ372">
        <f>INDEX(Coordinates!$B$2:$B$197,MATCH(G372,Coordinates!$J$2:$J$197,0))</f>
        <v>-2.3673460070000001</v>
      </c>
      <c r="AK372">
        <f>INDEX(Coordinates!$C$2:$C$197,MATCH(G372,Coordinates!$J$2:$J$197,0))</f>
        <v>34.060310039999997</v>
      </c>
      <c r="AL372" t="str">
        <f>IF(ISNUMBER(SEARCH("C", 'WetLitterbags placem_collection'!W153)),"YES","NO")</f>
        <v>NO</v>
      </c>
      <c r="AM372" t="str">
        <f>IF(ISNUMBER(SEARCH("H", 'WetLitterbags placem_collection'!W153)),"YES","NO")</f>
        <v>NO</v>
      </c>
      <c r="AN372" t="str">
        <f>IF(ISNUMBER(SEARCH("R", 'WetLitterbags placem_collection'!W153)),"YES","NO")</f>
        <v>NO</v>
      </c>
    </row>
    <row r="373" spans="1:40" ht="15" customHeight="1">
      <c r="A373" s="258" t="s">
        <v>2460</v>
      </c>
      <c r="B373" s="263">
        <f>'Dry_Litterbag Placem_Collection'!A154</f>
        <v>152</v>
      </c>
      <c r="C373" s="263" t="str">
        <f>'Dry_Litterbag Placem_Collection'!B154</f>
        <v xml:space="preserve">Mwantimba
</v>
      </c>
      <c r="D373" s="263" t="s">
        <v>2460</v>
      </c>
      <c r="E373" s="263" t="s">
        <v>20</v>
      </c>
      <c r="F373" s="263">
        <v>3</v>
      </c>
      <c r="G373" s="264" t="str">
        <f>'Dry_Litterbag Placem_Collection'!C154</f>
        <v>Wet_P3_T8</v>
      </c>
      <c r="H373" s="265" t="s">
        <v>2541</v>
      </c>
      <c r="I373" s="272" t="s">
        <v>298</v>
      </c>
      <c r="J373" s="223" t="str">
        <f>'WetLitterbags placem_collection'!M154</f>
        <v>R591</v>
      </c>
      <c r="K373" s="225">
        <f>IFERROR(INDEX('Green_rooibos initial weight'!$C$5:$C$1749,MATCH(J373, 'Green_rooibos initial weight'!$A$5:$A$1749,0)),"")</f>
        <v>2.2599999999999998</v>
      </c>
      <c r="L373" s="225">
        <f>IFERROR(K373-(TBIcalc!$H$9+TBIcalc!$H$10),"")</f>
        <v>2.0101999999999998</v>
      </c>
      <c r="M373" s="391">
        <f>AVERAGE(Ashed_controlls!$K$12:$K$14)</f>
        <v>2.2816647271287041</v>
      </c>
      <c r="N373" s="225">
        <f t="shared" si="27"/>
        <v>1.9643339756552585</v>
      </c>
      <c r="O373" s="225">
        <f>IF(IFERROR(INDEX('Both teabags AfterWet'!$C$3:$C$841,MATCH(J373,'Both teabags AfterWet'!$A$3:$A$841,0)),"")="","",(IFERROR(INDEX('Both teabags AfterWet'!$C$3:$C$841,MATCH(J373,'Both teabags AfterWet'!$A$3:$A$841,0)),"")))</f>
        <v>1.6958</v>
      </c>
      <c r="P373" s="225">
        <f>IFERROR(IF(O373&gt;0,O373-(TBIcalc!$H$9),""),"")</f>
        <v>1.5451999999999999</v>
      </c>
      <c r="Q373" s="225">
        <f>IFERROR(INDEX('Ashed teabags wet'!$K$2:$K$821,MATCH(J373,'Ashed teabags wet'!$A$2:$A$821,0)),"")</f>
        <v>6.0969755160831145</v>
      </c>
      <c r="R373" s="225">
        <f t="shared" si="31"/>
        <v>1.4509895343254837</v>
      </c>
      <c r="S373" s="226">
        <f>'WetLitterbags placem_collection'!E154</f>
        <v>42762</v>
      </c>
      <c r="T373" s="226">
        <f>IF('WetLitterbags placem_collection'!G154="","",'WetLitterbags placem_collection'!G154)</f>
        <v>42816</v>
      </c>
      <c r="U373" s="227">
        <f t="shared" si="28"/>
        <v>54</v>
      </c>
      <c r="V373" s="225">
        <f t="shared" si="29"/>
        <v>0.46499999999999986</v>
      </c>
      <c r="W373" s="225">
        <f t="shared" si="30"/>
        <v>0.51334444132977475</v>
      </c>
      <c r="X373">
        <f>IFERROR(INDEX(Rainfall_Wet!$O$2:$O$217,MATCH(B373, Rainfall_Wet!$A$2:$A$217,0)),"")</f>
        <v>206.85140822299999</v>
      </c>
      <c r="Y373" s="231">
        <v>39.96</v>
      </c>
      <c r="Z373" s="231">
        <v>12.920000000000002</v>
      </c>
      <c r="AA373" s="231">
        <v>47.12</v>
      </c>
      <c r="AB373" s="232" t="s">
        <v>2674</v>
      </c>
      <c r="AC373" s="231">
        <v>8.6549531789058705</v>
      </c>
      <c r="AD373">
        <f>IF('WetLitterbags placem_collection'!AB154="","",'WetLitterbags placem_collection'!AB154)</f>
        <v>2.2000000000000002</v>
      </c>
      <c r="AE373">
        <f>IF('WetLitterbags placem_collection'!Z154="","",'WetLitterbags placem_collection'!Z154)</f>
        <v>15</v>
      </c>
      <c r="AF373" s="246" t="str">
        <f>IF('WetLitterbags placem_collection'!AA154="","",'WetLitterbags placem_collection'!AA154)</f>
        <v>M</v>
      </c>
      <c r="AG373">
        <f>IF('WetLitterbags placem_collection'!AC154="","",'WetLitterbags placem_collection'!AC154)</f>
        <v>0</v>
      </c>
      <c r="AH373" s="240">
        <f>AVERAGE('WetLitterbags placem_collection'!S154,'WetLitterbags placem_collection'!U154)</f>
        <v>18.8</v>
      </c>
      <c r="AI373">
        <f>AVERAGE('WetLitterbags placem_collection'!R154,'WetLitterbags placem_collection'!T154)</f>
        <v>23.7</v>
      </c>
      <c r="AJ373">
        <f>INDEX(Coordinates!$B$2:$B$197,MATCH(G373,Coordinates!$J$2:$J$197,0))</f>
        <v>-2.367543988</v>
      </c>
      <c r="AK373">
        <f>INDEX(Coordinates!$C$2:$C$197,MATCH(G373,Coordinates!$J$2:$J$197,0))</f>
        <v>34.060168969999999</v>
      </c>
      <c r="AL373" t="str">
        <f>IF(ISNUMBER(SEARCH("C", 'WetLitterbags placem_collection'!W154)),"YES","NO")</f>
        <v>NO</v>
      </c>
      <c r="AM373" t="str">
        <f>IF(ISNUMBER(SEARCH("H", 'WetLitterbags placem_collection'!W154)),"YES","NO")</f>
        <v>NO</v>
      </c>
      <c r="AN373" t="str">
        <f>IF(ISNUMBER(SEARCH("R", 'WetLitterbags placem_collection'!W154)),"YES","NO")</f>
        <v>YES</v>
      </c>
    </row>
    <row r="374" spans="1:40" ht="15" customHeight="1">
      <c r="A374" s="258" t="s">
        <v>2460</v>
      </c>
      <c r="B374" s="263">
        <f>'Dry_Litterbag Placem_Collection'!A155</f>
        <v>153</v>
      </c>
      <c r="C374" s="263" t="str">
        <f>'Dry_Litterbag Placem_Collection'!B155</f>
        <v xml:space="preserve">Mwantimba
</v>
      </c>
      <c r="D374" s="263" t="s">
        <v>2460</v>
      </c>
      <c r="E374" s="263" t="s">
        <v>20</v>
      </c>
      <c r="F374" s="263">
        <v>4</v>
      </c>
      <c r="G374" s="264" t="str">
        <f>'Dry_Litterbag Placem_Collection'!C155</f>
        <v>Wet_P4_T1</v>
      </c>
      <c r="H374" s="265" t="s">
        <v>2541</v>
      </c>
      <c r="I374" s="272" t="s">
        <v>298</v>
      </c>
      <c r="J374" s="223" t="str">
        <f>'WetLitterbags placem_collection'!M155</f>
        <v>R479</v>
      </c>
      <c r="K374" s="225">
        <f>IFERROR(INDEX('Green_rooibos initial weight'!$C$5:$C$1749,MATCH(J374, 'Green_rooibos initial weight'!$A$5:$A$1749,0)),"")</f>
        <v>2.2749999999999999</v>
      </c>
      <c r="L374" s="225">
        <f>IFERROR(K374-(TBIcalc!$H$9+TBIcalc!$H$10),"")</f>
        <v>2.0251999999999999</v>
      </c>
      <c r="M374" s="391">
        <f>AVERAGE(Ashed_controlls!$K$12:$K$14)</f>
        <v>2.2816647271287041</v>
      </c>
      <c r="N374" s="225">
        <f t="shared" si="27"/>
        <v>1.9789917259461893</v>
      </c>
      <c r="O374" s="225">
        <f>IF(IFERROR(INDEX('Both teabags AfterWet'!$C$3:$C$841,MATCH(J374,'Both teabags AfterWet'!$A$3:$A$841,0)),"")="","",(IFERROR(INDEX('Both teabags AfterWet'!$C$3:$C$841,MATCH(J374,'Both teabags AfterWet'!$A$3:$A$841,0)),"")))</f>
        <v>1.2541</v>
      </c>
      <c r="P374" s="225">
        <f>IFERROR(IF(O374&gt;0,O374-(TBIcalc!$H$9),""),"")</f>
        <v>1.1034999999999999</v>
      </c>
      <c r="Q374" s="225">
        <f>IFERROR(INDEX('Ashed teabags wet'!$K$2:$K$821,MATCH(J374,'Ashed teabags wet'!$A$2:$A$821,0)),"")</f>
        <v>77.007481296757646</v>
      </c>
      <c r="R374" s="225">
        <f t="shared" si="31"/>
        <v>0.25372244389027931</v>
      </c>
      <c r="S374" s="226">
        <f>'WetLitterbags placem_collection'!E155</f>
        <v>42762</v>
      </c>
      <c r="T374" s="226">
        <f>IF('WetLitterbags placem_collection'!G155="","",'WetLitterbags placem_collection'!G155)</f>
        <v>42816</v>
      </c>
      <c r="U374" s="227">
        <f t="shared" si="28"/>
        <v>54</v>
      </c>
      <c r="V374" s="225">
        <f t="shared" si="29"/>
        <v>0.92169999999999996</v>
      </c>
      <c r="W374" s="225">
        <f t="shared" si="30"/>
        <v>1.7252692820559101</v>
      </c>
      <c r="X374">
        <f>IFERROR(INDEX(Rainfall_Wet!$O$2:$O$217,MATCH(B374, Rainfall_Wet!$A$2:$A$217,0)),"")</f>
        <v>206.85140822299999</v>
      </c>
      <c r="Y374" s="231">
        <v>27.96</v>
      </c>
      <c r="Z374" s="231">
        <v>4.9200000000000017</v>
      </c>
      <c r="AA374" s="231">
        <v>67.12</v>
      </c>
      <c r="AB374" s="232" t="s">
        <v>2670</v>
      </c>
      <c r="AC374" s="231">
        <v>1.0437161163134547</v>
      </c>
      <c r="AD374">
        <f>IF('WetLitterbags placem_collection'!AB155="","",'WetLitterbags placem_collection'!AB155)</f>
        <v>2.1</v>
      </c>
      <c r="AE374">
        <f>IF('WetLitterbags placem_collection'!Z155="","",'WetLitterbags placem_collection'!Z155)</f>
        <v>16.399999999999999</v>
      </c>
      <c r="AF374" s="246" t="str">
        <f>IF('WetLitterbags placem_collection'!AA155="","",'WetLitterbags placem_collection'!AA155)</f>
        <v>G</v>
      </c>
      <c r="AG374">
        <f>IF('WetLitterbags placem_collection'!AC155="","",'WetLitterbags placem_collection'!AC155)</f>
        <v>0</v>
      </c>
      <c r="AH374" s="240">
        <f>AVERAGE('WetLitterbags placem_collection'!S155,'WetLitterbags placem_collection'!U155)</f>
        <v>21.35</v>
      </c>
      <c r="AI374">
        <f>AVERAGE('WetLitterbags placem_collection'!R155,'WetLitterbags placem_collection'!T155)</f>
        <v>26.700000000000003</v>
      </c>
      <c r="AJ374">
        <f>INDEX(Coordinates!$B$2:$B$197,MATCH(G374,Coordinates!$J$2:$J$197,0))</f>
        <v>-2.3676780150000001</v>
      </c>
      <c r="AK374">
        <f>INDEX(Coordinates!$C$2:$C$197,MATCH(G374,Coordinates!$J$2:$J$197,0))</f>
        <v>34.05937797</v>
      </c>
      <c r="AL374" t="str">
        <f>IF(ISNUMBER(SEARCH("C", 'WetLitterbags placem_collection'!W155)),"YES","NO")</f>
        <v>NO</v>
      </c>
      <c r="AM374" t="str">
        <f>IF(ISNUMBER(SEARCH("H", 'WetLitterbags placem_collection'!W155)),"YES","NO")</f>
        <v>YES</v>
      </c>
      <c r="AN374" t="str">
        <f>IF(ISNUMBER(SEARCH("R", 'WetLitterbags placem_collection'!W155)),"YES","NO")</f>
        <v>YES</v>
      </c>
    </row>
    <row r="375" spans="1:40" ht="15" customHeight="1">
      <c r="A375" s="258" t="s">
        <v>2460</v>
      </c>
      <c r="B375" s="263">
        <f>'Dry_Litterbag Placem_Collection'!A156</f>
        <v>154</v>
      </c>
      <c r="C375" s="263" t="str">
        <f>'Dry_Litterbag Placem_Collection'!B156</f>
        <v xml:space="preserve">Mwantimba
</v>
      </c>
      <c r="D375" s="263" t="s">
        <v>2460</v>
      </c>
      <c r="E375" s="263" t="s">
        <v>20</v>
      </c>
      <c r="F375" s="263">
        <v>4</v>
      </c>
      <c r="G375" s="264" t="str">
        <f>'Dry_Litterbag Placem_Collection'!C156</f>
        <v>Wet_P4_T2</v>
      </c>
      <c r="H375" s="265" t="s">
        <v>2541</v>
      </c>
      <c r="I375" s="272" t="s">
        <v>298</v>
      </c>
      <c r="J375" s="223" t="str">
        <f>'WetLitterbags placem_collection'!M156</f>
        <v>R493</v>
      </c>
      <c r="K375" s="225">
        <f>IFERROR(INDEX('Green_rooibos initial weight'!$C$5:$C$1749,MATCH(J375, 'Green_rooibos initial weight'!$A$5:$A$1749,0)),"")</f>
        <v>2.2410000000000001</v>
      </c>
      <c r="L375" s="225">
        <f>IFERROR(K375-(TBIcalc!$H$9+TBIcalc!$H$10),"")</f>
        <v>1.9912000000000001</v>
      </c>
      <c r="M375" s="391">
        <f>AVERAGE(Ashed_controlls!$K$12:$K$14)</f>
        <v>2.2816647271287041</v>
      </c>
      <c r="N375" s="225">
        <f t="shared" si="27"/>
        <v>1.9457674919534134</v>
      </c>
      <c r="O375" s="225">
        <f>IF(IFERROR(INDEX('Both teabags AfterWet'!$C$3:$C$841,MATCH(J375,'Both teabags AfterWet'!$A$3:$A$841,0)),"")="","",(IFERROR(INDEX('Both teabags AfterWet'!$C$3:$C$841,MATCH(J375,'Both teabags AfterWet'!$A$3:$A$841,0)),"")))</f>
        <v>0.69099999999999995</v>
      </c>
      <c r="P375" s="225">
        <f>IFERROR(IF(O375&gt;0,O375-(TBIcalc!$H$9),""),"")</f>
        <v>0.54039999999999999</v>
      </c>
      <c r="Q375" s="225" t="str">
        <f>IFERROR(INDEX('Ashed teabags wet'!$K$2:$K$821,MATCH(J375,'Ashed teabags wet'!$A$2:$A$821,0)),"")</f>
        <v/>
      </c>
      <c r="R375" s="225" t="str">
        <f t="shared" si="31"/>
        <v/>
      </c>
      <c r="S375" s="226">
        <f>'WetLitterbags placem_collection'!E156</f>
        <v>42762</v>
      </c>
      <c r="T375" s="226">
        <f>IF('WetLitterbags placem_collection'!G156="","",'WetLitterbags placem_collection'!G156)</f>
        <v>42816</v>
      </c>
      <c r="U375" s="227">
        <f t="shared" si="28"/>
        <v>54</v>
      </c>
      <c r="V375" s="225">
        <f t="shared" si="29"/>
        <v>1.4508000000000001</v>
      </c>
      <c r="W375" s="225" t="str">
        <f t="shared" si="30"/>
        <v/>
      </c>
      <c r="X375">
        <f>IFERROR(INDEX(Rainfall_Wet!$O$2:$O$217,MATCH(B375, Rainfall_Wet!$A$2:$A$217,0)),"")</f>
        <v>206.85140822299999</v>
      </c>
      <c r="Y375" s="231">
        <v>27.96</v>
      </c>
      <c r="Z375" s="231">
        <v>4.9200000000000017</v>
      </c>
      <c r="AA375" s="231">
        <v>67.12</v>
      </c>
      <c r="AB375" s="232" t="s">
        <v>2670</v>
      </c>
      <c r="AC375" s="231">
        <v>2.0437161163134498</v>
      </c>
      <c r="AD375">
        <f>IF('WetLitterbags placem_collection'!AB156="","",'WetLitterbags placem_collection'!AB156)</f>
        <v>2.15</v>
      </c>
      <c r="AE375">
        <f>IF('WetLitterbags placem_collection'!Z156="","",'WetLitterbags placem_collection'!Z156)</f>
        <v>9</v>
      </c>
      <c r="AF375" s="246" t="str">
        <f>IF('WetLitterbags placem_collection'!AA156="","",'WetLitterbags placem_collection'!AA156)</f>
        <v>G</v>
      </c>
      <c r="AG375">
        <f>IF('WetLitterbags placem_collection'!AC156="","",'WetLitterbags placem_collection'!AC156)</f>
        <v>0</v>
      </c>
      <c r="AH375" s="240">
        <f>AVERAGE('WetLitterbags placem_collection'!S156,'WetLitterbags placem_collection'!U156)</f>
        <v>23.5</v>
      </c>
      <c r="AI375">
        <f>AVERAGE('WetLitterbags placem_collection'!R156,'WetLitterbags placem_collection'!T156)</f>
        <v>25.7</v>
      </c>
      <c r="AJ375">
        <f>INDEX(Coordinates!$B$2:$B$197,MATCH(G375,Coordinates!$J$2:$J$197,0))</f>
        <v>-2.3677299820000002</v>
      </c>
      <c r="AK375">
        <f>INDEX(Coordinates!$C$2:$C$197,MATCH(G375,Coordinates!$J$2:$J$197,0))</f>
        <v>34.059351990000003</v>
      </c>
      <c r="AL375" t="str">
        <f>IF(ISNUMBER(SEARCH("C", 'WetLitterbags placem_collection'!W156)),"YES","NO")</f>
        <v>YES</v>
      </c>
      <c r="AM375" t="str">
        <f>IF(ISNUMBER(SEARCH("H", 'WetLitterbags placem_collection'!W156)),"YES","NO")</f>
        <v>YES</v>
      </c>
      <c r="AN375" t="str">
        <f>IF(ISNUMBER(SEARCH("R", 'WetLitterbags placem_collection'!W156)),"YES","NO")</f>
        <v>NO</v>
      </c>
    </row>
    <row r="376" spans="1:40" ht="15" customHeight="1">
      <c r="A376" s="258" t="s">
        <v>2460</v>
      </c>
      <c r="B376" s="263">
        <f>'Dry_Litterbag Placem_Collection'!A157</f>
        <v>155</v>
      </c>
      <c r="C376" s="263" t="str">
        <f>'Dry_Litterbag Placem_Collection'!B157</f>
        <v xml:space="preserve">Mwantimba
</v>
      </c>
      <c r="D376" s="263" t="s">
        <v>2460</v>
      </c>
      <c r="E376" s="263" t="s">
        <v>20</v>
      </c>
      <c r="F376" s="263">
        <v>4</v>
      </c>
      <c r="G376" s="264" t="str">
        <f>'Dry_Litterbag Placem_Collection'!C157</f>
        <v>Wet_P4_T3</v>
      </c>
      <c r="H376" s="265" t="s">
        <v>2541</v>
      </c>
      <c r="I376" s="272" t="s">
        <v>298</v>
      </c>
      <c r="J376" s="223" t="str">
        <f>'WetLitterbags placem_collection'!M157</f>
        <v>R484</v>
      </c>
      <c r="K376" s="225">
        <f>IFERROR(INDEX('Green_rooibos initial weight'!$C$5:$C$1749,MATCH(J376, 'Green_rooibos initial weight'!$A$5:$A$1749,0)),"")</f>
        <v>2.1850000000000001</v>
      </c>
      <c r="L376" s="225">
        <f>IFERROR(K376-(TBIcalc!$H$9+TBIcalc!$H$10),"")</f>
        <v>1.9352</v>
      </c>
      <c r="M376" s="391">
        <f>AVERAGE(Ashed_controlls!$K$12:$K$14)</f>
        <v>2.2816647271287041</v>
      </c>
      <c r="N376" s="225">
        <f t="shared" si="27"/>
        <v>1.8910452242006053</v>
      </c>
      <c r="O376" s="225">
        <f>IF(IFERROR(INDEX('Both teabags AfterWet'!$C$3:$C$841,MATCH(J376,'Both teabags AfterWet'!$A$3:$A$841,0)),"")="","",(IFERROR(INDEX('Both teabags AfterWet'!$C$3:$C$841,MATCH(J376,'Both teabags AfterWet'!$A$3:$A$841,0)),"")))</f>
        <v>1.7509999999999999</v>
      </c>
      <c r="P376" s="225">
        <f>IFERROR(IF(O376&gt;0,O376-(TBIcalc!$H$9),""),"")</f>
        <v>1.6003999999999998</v>
      </c>
      <c r="Q376" s="225">
        <f>IFERROR(INDEX('Ashed teabags wet'!$K$2:$K$821,MATCH(J376,'Ashed teabags wet'!$A$2:$A$821,0)),"")</f>
        <v>9.822309970384735</v>
      </c>
      <c r="R376" s="225">
        <f t="shared" si="31"/>
        <v>1.4432037512339626</v>
      </c>
      <c r="S376" s="226">
        <f>'WetLitterbags placem_collection'!E157</f>
        <v>42762</v>
      </c>
      <c r="T376" s="226">
        <f>IF('WetLitterbags placem_collection'!G157="","",'WetLitterbags placem_collection'!G157)</f>
        <v>42816</v>
      </c>
      <c r="U376" s="227">
        <f t="shared" si="28"/>
        <v>54</v>
      </c>
      <c r="V376" s="225">
        <f t="shared" si="29"/>
        <v>0.33480000000000021</v>
      </c>
      <c r="W376" s="225">
        <f t="shared" si="30"/>
        <v>0.44784147296664267</v>
      </c>
      <c r="X376">
        <f>IFERROR(INDEX(Rainfall_Wet!$O$2:$O$217,MATCH(B376, Rainfall_Wet!$A$2:$A$217,0)),"")</f>
        <v>206.85140822299999</v>
      </c>
      <c r="Y376" s="231">
        <v>27.96</v>
      </c>
      <c r="Z376" s="231">
        <v>4.9200000000000017</v>
      </c>
      <c r="AA376" s="231">
        <v>67.12</v>
      </c>
      <c r="AB376" s="232" t="s">
        <v>2670</v>
      </c>
      <c r="AC376" s="231">
        <v>3.0437161163134498</v>
      </c>
      <c r="AD376">
        <f>IF('WetLitterbags placem_collection'!AB157="","",'WetLitterbags placem_collection'!AB157)</f>
        <v>1.2</v>
      </c>
      <c r="AE376">
        <f>IF('WetLitterbags placem_collection'!Z157="","",'WetLitterbags placem_collection'!Z157)</f>
        <v>11</v>
      </c>
      <c r="AF376" s="246" t="str">
        <f>IF('WetLitterbags placem_collection'!AA157="","",'WetLitterbags placem_collection'!AA157)</f>
        <v>G</v>
      </c>
      <c r="AG376">
        <f>IF('WetLitterbags placem_collection'!AC157="","",'WetLitterbags placem_collection'!AC157)</f>
        <v>0</v>
      </c>
      <c r="AH376" s="240">
        <f>AVERAGE('WetLitterbags placem_collection'!S157,'WetLitterbags placem_collection'!U157)</f>
        <v>23.75</v>
      </c>
      <c r="AI376">
        <f>AVERAGE('WetLitterbags placem_collection'!R157,'WetLitterbags placem_collection'!T157)</f>
        <v>26.799999999999997</v>
      </c>
      <c r="AJ376">
        <f>INDEX(Coordinates!$B$2:$B$197,MATCH(G376,Coordinates!$J$2:$J$197,0))</f>
        <v>-2.3677119609999999</v>
      </c>
      <c r="AK376">
        <f>INDEX(Coordinates!$C$2:$C$197,MATCH(G376,Coordinates!$J$2:$J$197,0))</f>
        <v>34.059339000000001</v>
      </c>
      <c r="AL376" t="str">
        <f>IF(ISNUMBER(SEARCH("C", 'WetLitterbags placem_collection'!W157)),"YES","NO")</f>
        <v>NO</v>
      </c>
      <c r="AM376" t="str">
        <f>IF(ISNUMBER(SEARCH("H", 'WetLitterbags placem_collection'!W157)),"YES","NO")</f>
        <v>NO</v>
      </c>
      <c r="AN376" t="str">
        <f>IF(ISNUMBER(SEARCH("R", 'WetLitterbags placem_collection'!W157)),"YES","NO")</f>
        <v>YES</v>
      </c>
    </row>
    <row r="377" spans="1:40" ht="15" customHeight="1">
      <c r="A377" s="258" t="s">
        <v>2460</v>
      </c>
      <c r="B377" s="263">
        <f>'Dry_Litterbag Placem_Collection'!A158</f>
        <v>156</v>
      </c>
      <c r="C377" s="263" t="str">
        <f>'Dry_Litterbag Placem_Collection'!B158</f>
        <v xml:space="preserve">Mwantimba
</v>
      </c>
      <c r="D377" s="263" t="s">
        <v>2460</v>
      </c>
      <c r="E377" s="263" t="s">
        <v>20</v>
      </c>
      <c r="F377" s="263">
        <v>4</v>
      </c>
      <c r="G377" s="264" t="str">
        <f>'Dry_Litterbag Placem_Collection'!C158</f>
        <v>Wet_P4_T4</v>
      </c>
      <c r="H377" s="265" t="s">
        <v>2541</v>
      </c>
      <c r="I377" s="272" t="s">
        <v>298</v>
      </c>
      <c r="J377" s="223" t="str">
        <f>'WetLitterbags placem_collection'!M158</f>
        <v>R598</v>
      </c>
      <c r="K377" s="225">
        <f>IFERROR(INDEX('Green_rooibos initial weight'!$C$5:$C$1749,MATCH(J377, 'Green_rooibos initial weight'!$A$5:$A$1749,0)),"")</f>
        <v>2.206</v>
      </c>
      <c r="L377" s="225">
        <f>IFERROR(K377-(TBIcalc!$H$9+TBIcalc!$H$10),"")</f>
        <v>1.9561999999999999</v>
      </c>
      <c r="M377" s="391">
        <f>AVERAGE(Ashed_controlls!$K$12:$K$14)</f>
        <v>2.2816647271287041</v>
      </c>
      <c r="N377" s="225">
        <f t="shared" si="27"/>
        <v>1.9115660746079082</v>
      </c>
      <c r="O377" s="225">
        <f>IF(IFERROR(INDEX('Both teabags AfterWet'!$C$3:$C$841,MATCH(J377,'Both teabags AfterWet'!$A$3:$A$841,0)),"")="","",(IFERROR(INDEX('Both teabags AfterWet'!$C$3:$C$841,MATCH(J377,'Both teabags AfterWet'!$A$3:$A$841,0)),"")))</f>
        <v>1.8080000000000001</v>
      </c>
      <c r="P377" s="225">
        <f>IFERROR(IF(O377&gt;0,O377-(TBIcalc!$H$9),""),"")</f>
        <v>1.6574</v>
      </c>
      <c r="Q377" s="225">
        <f>IFERROR(INDEX('Ashed teabags wet'!$K$2:$K$821,MATCH(J377,'Ashed teabags wet'!$A$2:$A$821,0)),"")</f>
        <v>7.6581027667986037</v>
      </c>
      <c r="R377" s="225">
        <f t="shared" si="31"/>
        <v>1.5304746047430799</v>
      </c>
      <c r="S377" s="226">
        <f>'WetLitterbags placem_collection'!E158</f>
        <v>42762</v>
      </c>
      <c r="T377" s="226">
        <f>IF('WetLitterbags placem_collection'!G158="","",'WetLitterbags placem_collection'!G158)</f>
        <v>42816</v>
      </c>
      <c r="U377" s="227">
        <f t="shared" si="28"/>
        <v>54</v>
      </c>
      <c r="V377" s="225">
        <f t="shared" si="29"/>
        <v>0.29879999999999995</v>
      </c>
      <c r="W377" s="225">
        <f t="shared" si="30"/>
        <v>0.38109146986482823</v>
      </c>
      <c r="X377">
        <f>IFERROR(INDEX(Rainfall_Wet!$O$2:$O$217,MATCH(B377, Rainfall_Wet!$A$2:$A$217,0)),"")</f>
        <v>206.85140822299999</v>
      </c>
      <c r="Y377" s="231">
        <v>27.96</v>
      </c>
      <c r="Z377" s="231">
        <v>4.9200000000000017</v>
      </c>
      <c r="AA377" s="231">
        <v>67.12</v>
      </c>
      <c r="AB377" s="232" t="s">
        <v>2670</v>
      </c>
      <c r="AC377" s="231">
        <v>4.0437161163134503</v>
      </c>
      <c r="AD377">
        <f>IF('WetLitterbags placem_collection'!AB158="","",'WetLitterbags placem_collection'!AB158)</f>
        <v>1.55</v>
      </c>
      <c r="AE377">
        <f>IF('WetLitterbags placem_collection'!Z158="","",'WetLitterbags placem_collection'!Z158)</f>
        <v>9.1</v>
      </c>
      <c r="AF377" s="246" t="str">
        <f>IF('WetLitterbags placem_collection'!AA158="","",'WetLitterbags placem_collection'!AA158)</f>
        <v>O</v>
      </c>
      <c r="AG377">
        <f>IF('WetLitterbags placem_collection'!AC158="","",'WetLitterbags placem_collection'!AC158)</f>
        <v>0</v>
      </c>
      <c r="AH377" s="240">
        <f>AVERAGE('WetLitterbags placem_collection'!S158,'WetLitterbags placem_collection'!U158)</f>
        <v>21.700000000000003</v>
      </c>
      <c r="AI377">
        <f>AVERAGE('WetLitterbags placem_collection'!R158,'WetLitterbags placem_collection'!T158)</f>
        <v>26.95</v>
      </c>
      <c r="AJ377">
        <f>INDEX(Coordinates!$B$2:$B$197,MATCH(G377,Coordinates!$J$2:$J$197,0))</f>
        <v>-2.3676950300000001</v>
      </c>
      <c r="AK377">
        <f>INDEX(Coordinates!$C$2:$C$197,MATCH(G377,Coordinates!$J$2:$J$197,0))</f>
        <v>34.059499010000003</v>
      </c>
      <c r="AL377" t="str">
        <f>IF(ISNUMBER(SEARCH("C", 'WetLitterbags placem_collection'!W158)),"YES","NO")</f>
        <v>NO</v>
      </c>
      <c r="AM377" t="str">
        <f>IF(ISNUMBER(SEARCH("H", 'WetLitterbags placem_collection'!W158)),"YES","NO")</f>
        <v>NO</v>
      </c>
      <c r="AN377" t="str">
        <f>IF(ISNUMBER(SEARCH("R", 'WetLitterbags placem_collection'!W158)),"YES","NO")</f>
        <v>YES</v>
      </c>
    </row>
    <row r="378" spans="1:40" ht="15" customHeight="1">
      <c r="A378" s="258" t="s">
        <v>2460</v>
      </c>
      <c r="B378" s="263">
        <f>'Dry_Litterbag Placem_Collection'!A159</f>
        <v>157</v>
      </c>
      <c r="C378" s="263" t="str">
        <f>'Dry_Litterbag Placem_Collection'!B159</f>
        <v xml:space="preserve">Mwantimba
</v>
      </c>
      <c r="D378" s="263" t="s">
        <v>2460</v>
      </c>
      <c r="E378" s="263" t="s">
        <v>20</v>
      </c>
      <c r="F378" s="263">
        <v>4</v>
      </c>
      <c r="G378" s="264" t="str">
        <f>'Dry_Litterbag Placem_Collection'!C159</f>
        <v>Wet_P4_T5</v>
      </c>
      <c r="H378" s="265" t="s">
        <v>2541</v>
      </c>
      <c r="I378" s="272" t="s">
        <v>298</v>
      </c>
      <c r="J378" s="223" t="str">
        <f>'WetLitterbags placem_collection'!M159</f>
        <v>R30</v>
      </c>
      <c r="K378" s="225">
        <f>IFERROR(INDEX('Green_rooibos initial weight'!$C$5:$C$1749,MATCH(J378, 'Green_rooibos initial weight'!$A$5:$A$1749,0)),"")</f>
        <v>2.177</v>
      </c>
      <c r="L378" s="225">
        <f>IFERROR(K378-(TBIcalc!$H$9+TBIcalc!$H$10),"")</f>
        <v>1.9272</v>
      </c>
      <c r="M378" s="391">
        <f>AVERAGE(Ashed_controlls!$K$12:$K$14)</f>
        <v>2.2816647271287041</v>
      </c>
      <c r="N378" s="225">
        <f t="shared" si="27"/>
        <v>1.8832277573787757</v>
      </c>
      <c r="O378" s="225">
        <f>IF(IFERROR(INDEX('Both teabags AfterWet'!$C$3:$C$841,MATCH(J378,'Both teabags AfterWet'!$A$3:$A$841,0)),"")="","",(IFERROR(INDEX('Both teabags AfterWet'!$C$3:$C$841,MATCH(J378,'Both teabags AfterWet'!$A$3:$A$841,0)),"")))</f>
        <v>1.825</v>
      </c>
      <c r="P378" s="225">
        <f>IFERROR(IF(O378&gt;0,O378-(TBIcalc!$H$9),""),"")</f>
        <v>1.6743999999999999</v>
      </c>
      <c r="Q378" s="225">
        <f>IFERROR(INDEX('Ashed teabags wet'!$K$2:$K$821,MATCH(J378,'Ashed teabags wet'!$A$2:$A$821,0)),"")</f>
        <v>8.6618004866182261</v>
      </c>
      <c r="R378" s="225">
        <f t="shared" si="31"/>
        <v>1.5293668126520643</v>
      </c>
      <c r="S378" s="226">
        <f>'WetLitterbags placem_collection'!E159</f>
        <v>42762</v>
      </c>
      <c r="T378" s="226">
        <f>IF('WetLitterbags placem_collection'!G159="","",'WetLitterbags placem_collection'!G159)</f>
        <v>42816</v>
      </c>
      <c r="U378" s="227">
        <f t="shared" si="28"/>
        <v>54</v>
      </c>
      <c r="V378" s="225">
        <f t="shared" si="29"/>
        <v>0.25280000000000014</v>
      </c>
      <c r="W378" s="225">
        <f t="shared" si="30"/>
        <v>0.35386094472671137</v>
      </c>
      <c r="X378">
        <f>IFERROR(INDEX(Rainfall_Wet!$O$2:$O$217,MATCH(B378, Rainfall_Wet!$A$2:$A$217,0)),"")</f>
        <v>206.85140822299999</v>
      </c>
      <c r="Y378" s="231">
        <v>27.96</v>
      </c>
      <c r="Z378" s="231">
        <v>4.9200000000000017</v>
      </c>
      <c r="AA378" s="231">
        <v>67.12</v>
      </c>
      <c r="AB378" s="232" t="s">
        <v>2670</v>
      </c>
      <c r="AC378" s="231">
        <v>5.0437161163134503</v>
      </c>
      <c r="AD378">
        <f>IF('WetLitterbags placem_collection'!AB159="","",'WetLitterbags placem_collection'!AB159)</f>
        <v>2.2999999999999998</v>
      </c>
      <c r="AE378">
        <f>IF('WetLitterbags placem_collection'!Z159="","",'WetLitterbags placem_collection'!Z159)</f>
        <v>7.7</v>
      </c>
      <c r="AF378" s="246" t="str">
        <f>IF('WetLitterbags placem_collection'!AA159="","",'WetLitterbags placem_collection'!AA159)</f>
        <v>O</v>
      </c>
      <c r="AG378">
        <f>IF('WetLitterbags placem_collection'!AC159="","",'WetLitterbags placem_collection'!AC159)</f>
        <v>0</v>
      </c>
      <c r="AH378" s="240">
        <f>AVERAGE('WetLitterbags placem_collection'!S159,'WetLitterbags placem_collection'!U159)</f>
        <v>22.6</v>
      </c>
      <c r="AI378">
        <f>AVERAGE('WetLitterbags placem_collection'!R159,'WetLitterbags placem_collection'!T159)</f>
        <v>29.2</v>
      </c>
      <c r="AJ378">
        <f>INDEX(Coordinates!$B$2:$B$197,MATCH(G378,Coordinates!$J$2:$J$197,0))</f>
        <v>-2.3678019830000001</v>
      </c>
      <c r="AK378">
        <f>INDEX(Coordinates!$C$2:$C$197,MATCH(G378,Coordinates!$J$2:$J$197,0))</f>
        <v>34.059521969999999</v>
      </c>
      <c r="AL378" t="str">
        <f>IF(ISNUMBER(SEARCH("C", 'WetLitterbags placem_collection'!W159)),"YES","NO")</f>
        <v>YES</v>
      </c>
      <c r="AM378" t="str">
        <f>IF(ISNUMBER(SEARCH("H", 'WetLitterbags placem_collection'!W159)),"YES","NO")</f>
        <v>NO</v>
      </c>
      <c r="AN378" t="str">
        <f>IF(ISNUMBER(SEARCH("R", 'WetLitterbags placem_collection'!W159)),"YES","NO")</f>
        <v>YES</v>
      </c>
    </row>
    <row r="379" spans="1:40" ht="15" customHeight="1">
      <c r="A379" s="258" t="s">
        <v>2460</v>
      </c>
      <c r="B379" s="263">
        <f>'Dry_Litterbag Placem_Collection'!A160</f>
        <v>158</v>
      </c>
      <c r="C379" s="263" t="str">
        <f>'Dry_Litterbag Placem_Collection'!B160</f>
        <v xml:space="preserve">Mwantimba
</v>
      </c>
      <c r="D379" s="263" t="s">
        <v>2460</v>
      </c>
      <c r="E379" s="263" t="s">
        <v>20</v>
      </c>
      <c r="F379" s="263">
        <v>4</v>
      </c>
      <c r="G379" s="264" t="str">
        <f>'Dry_Litterbag Placem_Collection'!C160</f>
        <v>Wet_P4_T6</v>
      </c>
      <c r="H379" s="265" t="s">
        <v>2541</v>
      </c>
      <c r="I379" s="272" t="s">
        <v>298</v>
      </c>
      <c r="J379" s="223" t="str">
        <f>'WetLitterbags placem_collection'!M160</f>
        <v>R16</v>
      </c>
      <c r="K379" s="225">
        <f>IFERROR(INDEX('Green_rooibos initial weight'!$C$5:$C$1749,MATCH(J379, 'Green_rooibos initial weight'!$A$5:$A$1749,0)),"")</f>
        <v>2.2629999999999999</v>
      </c>
      <c r="L379" s="225">
        <f>IFERROR(K379-(TBIcalc!$H$9+TBIcalc!$H$10),"")</f>
        <v>2.0131999999999999</v>
      </c>
      <c r="M379" s="391">
        <f>AVERAGE(Ashed_controlls!$K$12:$K$14)</f>
        <v>2.2816647271287041</v>
      </c>
      <c r="N379" s="225">
        <f t="shared" si="27"/>
        <v>1.9672655257134448</v>
      </c>
      <c r="O379" s="225">
        <f>IF(IFERROR(INDEX('Both teabags AfterWet'!$C$3:$C$841,MATCH(J379,'Both teabags AfterWet'!$A$3:$A$841,0)),"")="","",(IFERROR(INDEX('Both teabags AfterWet'!$C$3:$C$841,MATCH(J379,'Both teabags AfterWet'!$A$3:$A$841,0)),"")))</f>
        <v>1.786</v>
      </c>
      <c r="P379" s="225">
        <f>IFERROR(IF(O379&gt;0,O379-(TBIcalc!$H$9),""),"")</f>
        <v>1.6354</v>
      </c>
      <c r="Q379" s="225">
        <f>IFERROR(INDEX('Ashed teabags wet'!$K$2:$K$821,MATCH(J379,'Ashed teabags wet'!$A$2:$A$821,0)),"")</f>
        <v>4.8505634492893828</v>
      </c>
      <c r="R379" s="225">
        <f t="shared" si="31"/>
        <v>1.5560738853503213</v>
      </c>
      <c r="S379" s="226">
        <f>'WetLitterbags placem_collection'!E160</f>
        <v>42762</v>
      </c>
      <c r="T379" s="226">
        <f>IF('WetLitterbags placem_collection'!G160="","",'WetLitterbags placem_collection'!G160)</f>
        <v>42816</v>
      </c>
      <c r="U379" s="227">
        <f t="shared" si="28"/>
        <v>54</v>
      </c>
      <c r="V379" s="225">
        <f t="shared" si="29"/>
        <v>0.37779999999999991</v>
      </c>
      <c r="W379" s="225">
        <f t="shared" si="30"/>
        <v>0.4111916403631235</v>
      </c>
      <c r="X379">
        <f>IFERROR(INDEX(Rainfall_Wet!$O$2:$O$217,MATCH(B379, Rainfall_Wet!$A$2:$A$217,0)),"")</f>
        <v>206.85140822299999</v>
      </c>
      <c r="Y379" s="231">
        <v>27.96</v>
      </c>
      <c r="Z379" s="231">
        <v>4.9200000000000017</v>
      </c>
      <c r="AA379" s="231">
        <v>67.12</v>
      </c>
      <c r="AB379" s="232" t="s">
        <v>2670</v>
      </c>
      <c r="AC379" s="231">
        <v>6.0437161163134503</v>
      </c>
      <c r="AD379">
        <f>IF('WetLitterbags placem_collection'!AB160="","",'WetLitterbags placem_collection'!AB160)</f>
        <v>1.9</v>
      </c>
      <c r="AE379">
        <f>IF('WetLitterbags placem_collection'!Z160="","",'WetLitterbags placem_collection'!Z160)</f>
        <v>4.3</v>
      </c>
      <c r="AF379" s="246" t="str">
        <f>IF('WetLitterbags placem_collection'!AA160="","",'WetLitterbags placem_collection'!AA160)</f>
        <v>O</v>
      </c>
      <c r="AG379">
        <f>IF('WetLitterbags placem_collection'!AC160="","",'WetLitterbags placem_collection'!AC160)</f>
        <v>0</v>
      </c>
      <c r="AH379" s="240">
        <f>AVERAGE('WetLitterbags placem_collection'!S160,'WetLitterbags placem_collection'!U160)</f>
        <v>22.45</v>
      </c>
      <c r="AI379">
        <f>AVERAGE('WetLitterbags placem_collection'!R160,'WetLitterbags placem_collection'!T160)</f>
        <v>26.35</v>
      </c>
      <c r="AJ379">
        <f>INDEX(Coordinates!$B$2:$B$197,MATCH(G379,Coordinates!$J$2:$J$197,0))</f>
        <v>-2.3679270410000002</v>
      </c>
      <c r="AK379">
        <f>INDEX(Coordinates!$C$2:$C$197,MATCH(G379,Coordinates!$J$2:$J$197,0))</f>
        <v>34.059300020000002</v>
      </c>
      <c r="AL379" t="str">
        <f>IF(ISNUMBER(SEARCH("C", 'WetLitterbags placem_collection'!W160)),"YES","NO")</f>
        <v>NO</v>
      </c>
      <c r="AM379" t="str">
        <f>IF(ISNUMBER(SEARCH("H", 'WetLitterbags placem_collection'!W160)),"YES","NO")</f>
        <v>NO</v>
      </c>
      <c r="AN379" t="str">
        <f>IF(ISNUMBER(SEARCH("R", 'WetLitterbags placem_collection'!W160)),"YES","NO")</f>
        <v>YES</v>
      </c>
    </row>
    <row r="380" spans="1:40" ht="15" customHeight="1">
      <c r="A380" s="258" t="s">
        <v>2460</v>
      </c>
      <c r="B380" s="263">
        <f>'Dry_Litterbag Placem_Collection'!A161</f>
        <v>159</v>
      </c>
      <c r="C380" s="263" t="str">
        <f>'Dry_Litterbag Placem_Collection'!B161</f>
        <v xml:space="preserve">Mwantimba
</v>
      </c>
      <c r="D380" s="263" t="s">
        <v>2460</v>
      </c>
      <c r="E380" s="263" t="s">
        <v>20</v>
      </c>
      <c r="F380" s="263">
        <v>4</v>
      </c>
      <c r="G380" s="264" t="str">
        <f>'Dry_Litterbag Placem_Collection'!C161</f>
        <v>Wet_P4_T7</v>
      </c>
      <c r="H380" s="265" t="s">
        <v>2541</v>
      </c>
      <c r="I380" s="272" t="s">
        <v>298</v>
      </c>
      <c r="J380" s="223" t="str">
        <f>'WetLitterbags placem_collection'!M161</f>
        <v>R499</v>
      </c>
      <c r="K380" s="225">
        <f>IFERROR(INDEX('Green_rooibos initial weight'!$C$5:$C$1749,MATCH(J380, 'Green_rooibos initial weight'!$A$5:$A$1749,0)),"")</f>
        <v>2.194</v>
      </c>
      <c r="L380" s="225">
        <f>IFERROR(K380-(TBIcalc!$H$9+TBIcalc!$H$10),"")</f>
        <v>1.9441999999999999</v>
      </c>
      <c r="M380" s="391">
        <f>AVERAGE(Ashed_controlls!$K$12:$K$14)</f>
        <v>2.2816647271287041</v>
      </c>
      <c r="N380" s="225">
        <f t="shared" si="27"/>
        <v>1.8998398743751637</v>
      </c>
      <c r="O380" s="225" t="str">
        <f>IF(IFERROR(INDEX('Both teabags AfterWet'!$C$3:$C$841,MATCH(J380,'Both teabags AfterWet'!$A$3:$A$841,0)),"")="","",(IFERROR(INDEX('Both teabags AfterWet'!$C$3:$C$841,MATCH(J380,'Both teabags AfterWet'!$A$3:$A$841,0)),"")))</f>
        <v/>
      </c>
      <c r="P380" s="225" t="str">
        <f>IFERROR(IF(O380&gt;0,O380-(TBIcalc!$H$9),""),"")</f>
        <v/>
      </c>
      <c r="Q380" s="225" t="str">
        <f>IFERROR(INDEX('Ashed teabags wet'!$K$2:$K$821,MATCH(J380,'Ashed teabags wet'!$A$2:$A$821,0)),"")</f>
        <v/>
      </c>
      <c r="R380" s="225" t="str">
        <f t="shared" si="31"/>
        <v/>
      </c>
      <c r="S380" s="226">
        <f>'WetLitterbags placem_collection'!E161</f>
        <v>42762</v>
      </c>
      <c r="T380" s="226">
        <f>IF('WetLitterbags placem_collection'!G161="","",'WetLitterbags placem_collection'!G161)</f>
        <v>42816</v>
      </c>
      <c r="U380" s="227">
        <f t="shared" si="28"/>
        <v>54</v>
      </c>
      <c r="V380" s="225" t="str">
        <f t="shared" si="29"/>
        <v/>
      </c>
      <c r="W380" s="225" t="str">
        <f t="shared" si="30"/>
        <v/>
      </c>
      <c r="X380">
        <f>IFERROR(INDEX(Rainfall_Wet!$O$2:$O$217,MATCH(B380, Rainfall_Wet!$A$2:$A$217,0)),"")</f>
        <v>206.85140822299999</v>
      </c>
      <c r="Y380" s="231">
        <v>27.96</v>
      </c>
      <c r="Z380" s="231">
        <v>4.9200000000000017</v>
      </c>
      <c r="AA380" s="231">
        <v>67.12</v>
      </c>
      <c r="AB380" s="232" t="s">
        <v>2670</v>
      </c>
      <c r="AC380" s="231">
        <v>7.0437161163134503</v>
      </c>
      <c r="AD380">
        <f>IF('WetLitterbags placem_collection'!AB161="","",'WetLitterbags placem_collection'!AB161)</f>
        <v>2.65</v>
      </c>
      <c r="AE380">
        <f>IF('WetLitterbags placem_collection'!Z161="","",'WetLitterbags placem_collection'!Z161)</f>
        <v>0</v>
      </c>
      <c r="AF380" s="246" t="str">
        <f>IF('WetLitterbags placem_collection'!AA161="","",'WetLitterbags placem_collection'!AA161)</f>
        <v>G</v>
      </c>
      <c r="AG380">
        <f>IF('WetLitterbags placem_collection'!AC161="","",'WetLitterbags placem_collection'!AC161)</f>
        <v>1</v>
      </c>
      <c r="AH380" s="240">
        <f>AVERAGE('WetLitterbags placem_collection'!S161,'WetLitterbags placem_collection'!U161)</f>
        <v>14.4</v>
      </c>
      <c r="AI380">
        <f>AVERAGE('WetLitterbags placem_collection'!R161,'WetLitterbags placem_collection'!T161)</f>
        <v>28</v>
      </c>
      <c r="AJ380">
        <f>INDEX(Coordinates!$B$2:$B$197,MATCH(G380,Coordinates!$J$2:$J$197,0))</f>
        <v>-2.3676829599999998</v>
      </c>
      <c r="AK380">
        <f>INDEX(Coordinates!$C$2:$C$197,MATCH(G380,Coordinates!$J$2:$J$197,0))</f>
        <v>34.059236990000002</v>
      </c>
      <c r="AL380" t="str">
        <f>IF(ISNUMBER(SEARCH("C", 'WetLitterbags placem_collection'!W161)),"YES","NO")</f>
        <v>NO</v>
      </c>
      <c r="AM380" t="str">
        <f>IF(ISNUMBER(SEARCH("H", 'WetLitterbags placem_collection'!W161)),"YES","NO")</f>
        <v>NO</v>
      </c>
      <c r="AN380" t="str">
        <f>IF(ISNUMBER(SEARCH("R", 'WetLitterbags placem_collection'!W161)),"YES","NO")</f>
        <v>NO</v>
      </c>
    </row>
    <row r="381" spans="1:40" ht="15" customHeight="1">
      <c r="A381" s="258" t="s">
        <v>2460</v>
      </c>
      <c r="B381" s="263">
        <f>'Dry_Litterbag Placem_Collection'!A162</f>
        <v>160</v>
      </c>
      <c r="C381" s="263" t="str">
        <f>'Dry_Litterbag Placem_Collection'!B162</f>
        <v xml:space="preserve">Mwantimba
</v>
      </c>
      <c r="D381" s="263" t="s">
        <v>2460</v>
      </c>
      <c r="E381" s="263" t="s">
        <v>20</v>
      </c>
      <c r="F381" s="263">
        <v>4</v>
      </c>
      <c r="G381" s="264" t="str">
        <f>'Dry_Litterbag Placem_Collection'!C162</f>
        <v>Wet_P4_T8</v>
      </c>
      <c r="H381" s="265" t="s">
        <v>2541</v>
      </c>
      <c r="I381" s="272" t="s">
        <v>298</v>
      </c>
      <c r="J381" s="223" t="str">
        <f>'WetLitterbags placem_collection'!M162</f>
        <v>R421</v>
      </c>
      <c r="K381" s="225">
        <f>IFERROR(INDEX('Green_rooibos initial weight'!$C$5:$C$1749,MATCH(J381, 'Green_rooibos initial weight'!$A$5:$A$1749,0)),"")</f>
        <v>2.2170000000000001</v>
      </c>
      <c r="L381" s="225">
        <f>IFERROR(K381-(TBIcalc!$H$9+TBIcalc!$H$10),"")</f>
        <v>1.9672000000000001</v>
      </c>
      <c r="M381" s="391">
        <f>AVERAGE(Ashed_controlls!$K$12:$K$14)</f>
        <v>2.2816647271287041</v>
      </c>
      <c r="N381" s="225">
        <f t="shared" si="27"/>
        <v>1.9223150914879241</v>
      </c>
      <c r="O381" s="225">
        <f>IF(IFERROR(INDEX('Both teabags AfterWet'!$C$3:$C$841,MATCH(J381,'Both teabags AfterWet'!$A$3:$A$841,0)),"")="","",(IFERROR(INDEX('Both teabags AfterWet'!$C$3:$C$841,MATCH(J381,'Both teabags AfterWet'!$A$3:$A$841,0)),"")))</f>
        <v>1.744</v>
      </c>
      <c r="P381" s="225">
        <f>IFERROR(IF(O381&gt;0,O381-(TBIcalc!$H$9),""),"")</f>
        <v>1.5933999999999999</v>
      </c>
      <c r="Q381" s="225">
        <f>IFERROR(INDEX('Ashed teabags wet'!$K$2:$K$821,MATCH(J381,'Ashed teabags wet'!$A$2:$A$821,0)),"")</f>
        <v>4.8926610084872157</v>
      </c>
      <c r="R381" s="225">
        <f t="shared" si="31"/>
        <v>1.5154403394907647</v>
      </c>
      <c r="S381" s="226">
        <f>'WetLitterbags placem_collection'!E162</f>
        <v>42762</v>
      </c>
      <c r="T381" s="226">
        <f>IF('WetLitterbags placem_collection'!G162="","",'WetLitterbags placem_collection'!G162)</f>
        <v>42816</v>
      </c>
      <c r="U381" s="227">
        <f t="shared" si="28"/>
        <v>54</v>
      </c>
      <c r="V381" s="225">
        <f t="shared" si="29"/>
        <v>0.37380000000000013</v>
      </c>
      <c r="W381" s="225">
        <f t="shared" si="30"/>
        <v>0.40687475199715939</v>
      </c>
      <c r="X381">
        <f>IFERROR(INDEX(Rainfall_Wet!$O$2:$O$217,MATCH(B381, Rainfall_Wet!$A$2:$A$217,0)),"")</f>
        <v>206.85140822299999</v>
      </c>
      <c r="Y381" s="231">
        <v>27.96</v>
      </c>
      <c r="Z381" s="231">
        <v>4.9200000000000017</v>
      </c>
      <c r="AA381" s="231">
        <v>67.12</v>
      </c>
      <c r="AB381" s="232" t="s">
        <v>2670</v>
      </c>
      <c r="AC381" s="231">
        <v>8.0437161163134494</v>
      </c>
      <c r="AD381">
        <f>IF('WetLitterbags placem_collection'!AB162="","",'WetLitterbags placem_collection'!AB162)</f>
        <v>0.8</v>
      </c>
      <c r="AE381">
        <f>IF('WetLitterbags placem_collection'!Z162="","",'WetLitterbags placem_collection'!Z162)</f>
        <v>10.8</v>
      </c>
      <c r="AF381" s="246" t="str">
        <f>IF('WetLitterbags placem_collection'!AA162="","",'WetLitterbags placem_collection'!AA162)</f>
        <v>O</v>
      </c>
      <c r="AG381">
        <f>IF('WetLitterbags placem_collection'!AC162="","",'WetLitterbags placem_collection'!AC162)</f>
        <v>0</v>
      </c>
      <c r="AH381" s="240">
        <f>AVERAGE('WetLitterbags placem_collection'!S162,'WetLitterbags placem_collection'!U162)</f>
        <v>16.5</v>
      </c>
      <c r="AI381">
        <f>AVERAGE('WetLitterbags placem_collection'!R162,'WetLitterbags placem_collection'!T162)</f>
        <v>27.15</v>
      </c>
      <c r="AJ381">
        <f>INDEX(Coordinates!$B$2:$B$197,MATCH(G381,Coordinates!$J$2:$J$197,0))</f>
        <v>-2.367547005</v>
      </c>
      <c r="AK381">
        <f>INDEX(Coordinates!$C$2:$C$197,MATCH(G381,Coordinates!$J$2:$J$197,0))</f>
        <v>34.059494989999997</v>
      </c>
      <c r="AL381" t="str">
        <f>IF(ISNUMBER(SEARCH("C", 'WetLitterbags placem_collection'!W162)),"YES","NO")</f>
        <v>NO</v>
      </c>
      <c r="AM381" t="str">
        <f>IF(ISNUMBER(SEARCH("H", 'WetLitterbags placem_collection'!W162)),"YES","NO")</f>
        <v>NO</v>
      </c>
      <c r="AN381" t="str">
        <f>IF(ISNUMBER(SEARCH("R", 'WetLitterbags placem_collection'!W162)),"YES","NO")</f>
        <v>YES</v>
      </c>
    </row>
    <row r="382" spans="1:40" ht="15" customHeight="1">
      <c r="A382" s="258" t="s">
        <v>2460</v>
      </c>
      <c r="B382" s="263">
        <f>'Dry_Litterbag Placem_Collection'!A163</f>
        <v>161</v>
      </c>
      <c r="C382" s="263" t="str">
        <f>'Dry_Litterbag Placem_Collection'!B163</f>
        <v>Handajega</v>
      </c>
      <c r="D382" s="263" t="s">
        <v>2460</v>
      </c>
      <c r="E382" s="263" t="s">
        <v>2661</v>
      </c>
      <c r="F382" s="263">
        <v>1</v>
      </c>
      <c r="G382" s="264" t="str">
        <f>'Dry_Litterbag Placem_Collection'!C163</f>
        <v>Wet_W1_T1</v>
      </c>
      <c r="H382" s="265" t="s">
        <v>2541</v>
      </c>
      <c r="I382" s="272" t="s">
        <v>298</v>
      </c>
      <c r="J382" s="223" t="str">
        <f>'WetLitterbags placem_collection'!M163</f>
        <v>R124</v>
      </c>
      <c r="K382" s="225">
        <f>IFERROR(INDEX('Green_rooibos initial weight'!$C$5:$C$1749,MATCH(J382, 'Green_rooibos initial weight'!$A$5:$A$1749,0)),"")</f>
        <v>2.2120000000000002</v>
      </c>
      <c r="L382" s="225">
        <f>IFERROR(K382-(TBIcalc!$H$9+TBIcalc!$H$10),"")</f>
        <v>1.9622000000000002</v>
      </c>
      <c r="M382" s="391">
        <f>AVERAGE(Ashed_controlls!$K$12:$K$14)</f>
        <v>2.2816647271287041</v>
      </c>
      <c r="N382" s="225">
        <f t="shared" si="27"/>
        <v>1.9174291747242806</v>
      </c>
      <c r="O382" s="225">
        <f>IF(IFERROR(INDEX('Both teabags AfterWet'!$C$3:$C$841,MATCH(J382,'Both teabags AfterWet'!$A$3:$A$841,0)),"")="","",(IFERROR(INDEX('Both teabags AfterWet'!$C$3:$C$841,MATCH(J382,'Both teabags AfterWet'!$A$3:$A$841,0)),"")))</f>
        <v>1.6863999999999999</v>
      </c>
      <c r="P382" s="225">
        <f>IFERROR(IF(O382&gt;0,O382-(TBIcalc!$H$9),""),"")</f>
        <v>1.5357999999999998</v>
      </c>
      <c r="Q382" s="225">
        <f>IFERROR(INDEX('Ashed teabags wet'!$K$2:$K$821,MATCH(J382,'Ashed teabags wet'!$A$2:$A$821,0)),"")</f>
        <v>1.0140028971511033</v>
      </c>
      <c r="R382" s="225">
        <f t="shared" si="31"/>
        <v>1.5202269435055531</v>
      </c>
      <c r="S382" s="226">
        <f>'WetLitterbags placem_collection'!E163</f>
        <v>42763</v>
      </c>
      <c r="T382" s="226">
        <f>IF('WetLitterbags placem_collection'!G163="","",'WetLitterbags placem_collection'!G163)</f>
        <v>42814</v>
      </c>
      <c r="U382" s="227">
        <f t="shared" si="28"/>
        <v>51</v>
      </c>
      <c r="V382" s="225">
        <f t="shared" si="29"/>
        <v>0.42640000000000033</v>
      </c>
      <c r="W382" s="225">
        <f t="shared" si="30"/>
        <v>0.39720223121872755</v>
      </c>
      <c r="X382">
        <f>IFERROR(INDEX(Rainfall_Wet!$O$2:$O$217,MATCH(B382, Rainfall_Wet!$A$2:$A$217,0)),"")</f>
        <v>181.383442621</v>
      </c>
      <c r="Y382" s="231">
        <v>21.96</v>
      </c>
      <c r="Z382" s="231">
        <v>4.9199999999999982</v>
      </c>
      <c r="AA382" s="231">
        <v>73.12</v>
      </c>
      <c r="AB382" s="232" t="s">
        <v>2670</v>
      </c>
      <c r="AC382" s="231">
        <v>1.2416954164613114</v>
      </c>
      <c r="AD382">
        <f>IF('WetLitterbags placem_collection'!AB163="","",'WetLitterbags placem_collection'!AB163)</f>
        <v>7.6</v>
      </c>
      <c r="AE382">
        <f>IF('WetLitterbags placem_collection'!Z163="","",'WetLitterbags placem_collection'!Z163)</f>
        <v>35.799999999999997</v>
      </c>
      <c r="AF382" s="246" t="str">
        <f>IF('WetLitterbags placem_collection'!AA163="","",'WetLitterbags placem_collection'!AA163)</f>
        <v>M</v>
      </c>
      <c r="AG382">
        <f>IF('WetLitterbags placem_collection'!AC163="","",'WetLitterbags placem_collection'!AC163)</f>
        <v>0</v>
      </c>
      <c r="AH382" s="240">
        <f>AVERAGE('WetLitterbags placem_collection'!S163,'WetLitterbags placem_collection'!U163)</f>
        <v>11.100000000000001</v>
      </c>
      <c r="AI382">
        <f>AVERAGE('WetLitterbags placem_collection'!R163,'WetLitterbags placem_collection'!T163)</f>
        <v>33.6</v>
      </c>
      <c r="AJ382">
        <f>INDEX(Coordinates!$B$2:$B$197,MATCH(G382,Coordinates!$J$2:$J$197,0))</f>
        <v>-2.272751033</v>
      </c>
      <c r="AK382">
        <f>INDEX(Coordinates!$C$2:$C$197,MATCH(G382,Coordinates!$J$2:$J$197,0))</f>
        <v>34.023176030000002</v>
      </c>
      <c r="AL382" t="str">
        <f>IF(ISNUMBER(SEARCH("C", 'WetLitterbags placem_collection'!W163)),"YES","NO")</f>
        <v>NO</v>
      </c>
      <c r="AM382" t="str">
        <f>IF(ISNUMBER(SEARCH("H", 'WetLitterbags placem_collection'!W163)),"YES","NO")</f>
        <v>NO</v>
      </c>
      <c r="AN382" t="str">
        <f>IF(ISNUMBER(SEARCH("R", 'WetLitterbags placem_collection'!W163)),"YES","NO")</f>
        <v>NO</v>
      </c>
    </row>
    <row r="383" spans="1:40" ht="15" customHeight="1">
      <c r="A383" s="258" t="s">
        <v>2460</v>
      </c>
      <c r="B383" s="263">
        <f>'Dry_Litterbag Placem_Collection'!A164</f>
        <v>162</v>
      </c>
      <c r="C383" s="263" t="str">
        <f>'Dry_Litterbag Placem_Collection'!B164</f>
        <v>Handajega</v>
      </c>
      <c r="D383" s="263" t="s">
        <v>2460</v>
      </c>
      <c r="E383" s="263" t="s">
        <v>2661</v>
      </c>
      <c r="F383" s="263">
        <v>1</v>
      </c>
      <c r="G383" s="264" t="str">
        <f>'Dry_Litterbag Placem_Collection'!C164</f>
        <v>Wet_W1_T2</v>
      </c>
      <c r="H383" s="265" t="s">
        <v>2541</v>
      </c>
      <c r="I383" s="272" t="s">
        <v>298</v>
      </c>
      <c r="J383" s="223" t="str">
        <f>'WetLitterbags placem_collection'!M164</f>
        <v>R202</v>
      </c>
      <c r="K383" s="225">
        <f>IFERROR(INDEX('Green_rooibos initial weight'!$C$5:$C$1749,MATCH(J383, 'Green_rooibos initial weight'!$A$5:$A$1749,0)),"")</f>
        <v>2.298</v>
      </c>
      <c r="L383" s="225">
        <f>IFERROR(K383-(TBIcalc!$H$9+TBIcalc!$H$10),"")</f>
        <v>2.0482</v>
      </c>
      <c r="M383" s="391">
        <f>AVERAGE(Ashed_controlls!$K$12:$K$14)</f>
        <v>2.2816647271287041</v>
      </c>
      <c r="N383" s="225">
        <f t="shared" si="27"/>
        <v>2.0014669430589498</v>
      </c>
      <c r="O383" s="225">
        <f>IF(IFERROR(INDEX('Both teabags AfterWet'!$C$3:$C$841,MATCH(J383,'Both teabags AfterWet'!$A$3:$A$841,0)),"")="","",(IFERROR(INDEX('Both teabags AfterWet'!$C$3:$C$841,MATCH(J383,'Both teabags AfterWet'!$A$3:$A$841,0)),"")))</f>
        <v>0.52</v>
      </c>
      <c r="P383" s="225">
        <f>IFERROR(IF(O383&gt;0,O383-(TBIcalc!$H$9),""),"")</f>
        <v>0.36940000000000001</v>
      </c>
      <c r="Q383" s="225">
        <f>IFERROR(INDEX('Ashed teabags wet'!$K$2:$K$821,MATCH(J383,'Ashed teabags wet'!$A$2:$A$821,0)),"")</f>
        <v>79.460269865066508</v>
      </c>
      <c r="R383" s="225">
        <f t="shared" si="31"/>
        <v>7.5873763118444293E-2</v>
      </c>
      <c r="S383" s="226">
        <f>'WetLitterbags placem_collection'!E164</f>
        <v>42763</v>
      </c>
      <c r="T383" s="226">
        <f>IF('WetLitterbags placem_collection'!G164="","",'WetLitterbags placem_collection'!G164)</f>
        <v>42814</v>
      </c>
      <c r="U383" s="227">
        <f t="shared" si="28"/>
        <v>51</v>
      </c>
      <c r="V383" s="225">
        <f t="shared" si="29"/>
        <v>1.6788000000000001</v>
      </c>
      <c r="W383" s="225">
        <f t="shared" si="30"/>
        <v>1.9255931799405055</v>
      </c>
      <c r="X383">
        <f>IFERROR(INDEX(Rainfall_Wet!$O$2:$O$217,MATCH(B383, Rainfall_Wet!$A$2:$A$217,0)),"")</f>
        <v>181.383442621</v>
      </c>
      <c r="Y383" s="231">
        <v>21.96</v>
      </c>
      <c r="Z383" s="231">
        <v>4.9199999999999982</v>
      </c>
      <c r="AA383" s="231">
        <v>73.12</v>
      </c>
      <c r="AB383" s="232" t="s">
        <v>2670</v>
      </c>
      <c r="AC383" s="231">
        <v>2.2416954164613099</v>
      </c>
      <c r="AD383">
        <f>IF('WetLitterbags placem_collection'!AB164="","",'WetLitterbags placem_collection'!AB164)</f>
        <v>4.0999999999999996</v>
      </c>
      <c r="AE383">
        <f>IF('WetLitterbags placem_collection'!Z164="","",'WetLitterbags placem_collection'!Z164)</f>
        <v>31.4</v>
      </c>
      <c r="AF383" s="246" t="str">
        <f>IF('WetLitterbags placem_collection'!AA164="","",'WetLitterbags placem_collection'!AA164)</f>
        <v>M</v>
      </c>
      <c r="AG383">
        <f>IF('WetLitterbags placem_collection'!AC164="","",'WetLitterbags placem_collection'!AC164)</f>
        <v>0</v>
      </c>
      <c r="AH383" s="240">
        <f>AVERAGE('WetLitterbags placem_collection'!S164,'WetLitterbags placem_collection'!U164)</f>
        <v>9.35</v>
      </c>
      <c r="AI383">
        <f>AVERAGE('WetLitterbags placem_collection'!R164,'WetLitterbags placem_collection'!T164)</f>
        <v>34.450000000000003</v>
      </c>
      <c r="AJ383">
        <f>INDEX(Coordinates!$B$2:$B$197,MATCH(G383,Coordinates!$J$2:$J$197,0))</f>
        <v>-2.2727060219999999</v>
      </c>
      <c r="AK383">
        <f>INDEX(Coordinates!$C$2:$C$197,MATCH(G383,Coordinates!$J$2:$J$197,0))</f>
        <v>34.023162030000002</v>
      </c>
      <c r="AL383" t="str">
        <f>IF(ISNUMBER(SEARCH("C", 'WetLitterbags placem_collection'!W164)),"YES","NO")</f>
        <v>NO</v>
      </c>
      <c r="AM383" t="str">
        <f>IF(ISNUMBER(SEARCH("H", 'WetLitterbags placem_collection'!W164)),"YES","NO")</f>
        <v>YES</v>
      </c>
      <c r="AN383" t="str">
        <f>IF(ISNUMBER(SEARCH("R", 'WetLitterbags placem_collection'!W164)),"YES","NO")</f>
        <v>NO</v>
      </c>
    </row>
    <row r="384" spans="1:40" ht="15" customHeight="1">
      <c r="A384" s="258" t="s">
        <v>2460</v>
      </c>
      <c r="B384" s="263">
        <f>'Dry_Litterbag Placem_Collection'!A165</f>
        <v>163</v>
      </c>
      <c r="C384" s="263" t="str">
        <f>'Dry_Litterbag Placem_Collection'!B165</f>
        <v>Handajega</v>
      </c>
      <c r="D384" s="263" t="s">
        <v>2460</v>
      </c>
      <c r="E384" s="263" t="s">
        <v>2661</v>
      </c>
      <c r="F384" s="263">
        <v>1</v>
      </c>
      <c r="G384" s="264" t="str">
        <f>'Dry_Litterbag Placem_Collection'!C165</f>
        <v>Wet_W1_T3</v>
      </c>
      <c r="H384" s="265" t="s">
        <v>2541</v>
      </c>
      <c r="I384" s="272" t="s">
        <v>298</v>
      </c>
      <c r="J384" s="223" t="str">
        <f>'WetLitterbags placem_collection'!M165</f>
        <v>R96</v>
      </c>
      <c r="K384" s="225">
        <f>IFERROR(INDEX('Green_rooibos initial weight'!$C$5:$C$1749,MATCH(J384, 'Green_rooibos initial weight'!$A$5:$A$1749,0)),"")</f>
        <v>2.2309999999999999</v>
      </c>
      <c r="L384" s="225">
        <f>IFERROR(K384-(TBIcalc!$H$9+TBIcalc!$H$10),"")</f>
        <v>1.9811999999999999</v>
      </c>
      <c r="M384" s="391">
        <f>AVERAGE(Ashed_controlls!$K$12:$K$14)</f>
        <v>2.2816647271287041</v>
      </c>
      <c r="N384" s="225">
        <f t="shared" si="27"/>
        <v>1.935995658426126</v>
      </c>
      <c r="O384" s="225">
        <f>IF(IFERROR(INDEX('Both teabags AfterWet'!$C$3:$C$841,MATCH(J384,'Both teabags AfterWet'!$A$3:$A$841,0)),"")="","",(IFERROR(INDEX('Both teabags AfterWet'!$C$3:$C$841,MATCH(J384,'Both teabags AfterWet'!$A$3:$A$841,0)),"")))</f>
        <v>1.696</v>
      </c>
      <c r="P384" s="225">
        <f>IFERROR(IF(O384&gt;0,O384-(TBIcalc!$H$9),""),"")</f>
        <v>1.5453999999999999</v>
      </c>
      <c r="Q384" s="225">
        <f>IFERROR(INDEX('Ashed teabags wet'!$K$2:$K$821,MATCH(J384,'Ashed teabags wet'!$A$2:$A$821,0)),"")</f>
        <v>2.3336643495531879</v>
      </c>
      <c r="R384" s="225">
        <f t="shared" si="31"/>
        <v>1.509335551142005</v>
      </c>
      <c r="S384" s="226">
        <f>'WetLitterbags placem_collection'!E165</f>
        <v>42763</v>
      </c>
      <c r="T384" s="226">
        <f>IF('WetLitterbags placem_collection'!G165="","",'WetLitterbags placem_collection'!G165)</f>
        <v>42814</v>
      </c>
      <c r="U384" s="227">
        <f t="shared" si="28"/>
        <v>51</v>
      </c>
      <c r="V384" s="225">
        <f t="shared" si="29"/>
        <v>0.43579999999999997</v>
      </c>
      <c r="W384" s="225">
        <f t="shared" si="30"/>
        <v>0.42666010728412096</v>
      </c>
      <c r="X384">
        <f>IFERROR(INDEX(Rainfall_Wet!$O$2:$O$217,MATCH(B384, Rainfall_Wet!$A$2:$A$217,0)),"")</f>
        <v>181.383442621</v>
      </c>
      <c r="Y384" s="231">
        <v>21.96</v>
      </c>
      <c r="Z384" s="231">
        <v>4.9199999999999982</v>
      </c>
      <c r="AA384" s="231">
        <v>73.12</v>
      </c>
      <c r="AB384" s="232" t="s">
        <v>2670</v>
      </c>
      <c r="AC384" s="231">
        <v>3.2416954164613099</v>
      </c>
      <c r="AD384">
        <f>IF('WetLitterbags placem_collection'!AB165="","",'WetLitterbags placem_collection'!AB165)</f>
        <v>7.8</v>
      </c>
      <c r="AE384">
        <f>IF('WetLitterbags placem_collection'!Z165="","",'WetLitterbags placem_collection'!Z165)</f>
        <v>28.8</v>
      </c>
      <c r="AF384" s="246" t="str">
        <f>IF('WetLitterbags placem_collection'!AA165="","",'WetLitterbags placem_collection'!AA165)</f>
        <v>M</v>
      </c>
      <c r="AG384">
        <f>IF('WetLitterbags placem_collection'!AC165="","",'WetLitterbags placem_collection'!AC165)</f>
        <v>0</v>
      </c>
      <c r="AH384" s="240">
        <f>AVERAGE('WetLitterbags placem_collection'!S165,'WetLitterbags placem_collection'!U165)</f>
        <v>9.3000000000000007</v>
      </c>
      <c r="AI384">
        <f>AVERAGE('WetLitterbags placem_collection'!R165,'WetLitterbags placem_collection'!T165)</f>
        <v>33.5</v>
      </c>
      <c r="AJ384">
        <f>INDEX(Coordinates!$B$2:$B$197,MATCH(G384,Coordinates!$J$2:$J$197,0))</f>
        <v>-2.2726719919999998</v>
      </c>
      <c r="AK384">
        <f>INDEX(Coordinates!$C$2:$C$197,MATCH(G384,Coordinates!$J$2:$J$197,0))</f>
        <v>34.023210980000002</v>
      </c>
      <c r="AL384" t="str">
        <f>IF(ISNUMBER(SEARCH("C", 'WetLitterbags placem_collection'!W165)),"YES","NO")</f>
        <v>NO</v>
      </c>
      <c r="AM384" t="str">
        <f>IF(ISNUMBER(SEARCH("H", 'WetLitterbags placem_collection'!W165)),"YES","NO")</f>
        <v>NO</v>
      </c>
      <c r="AN384" t="str">
        <f>IF(ISNUMBER(SEARCH("R", 'WetLitterbags placem_collection'!W165)),"YES","NO")</f>
        <v>NO</v>
      </c>
    </row>
    <row r="385" spans="1:40" ht="15" customHeight="1">
      <c r="A385" s="258" t="s">
        <v>2460</v>
      </c>
      <c r="B385" s="263">
        <f>'Dry_Litterbag Placem_Collection'!A166</f>
        <v>164</v>
      </c>
      <c r="C385" s="263" t="str">
        <f>'Dry_Litterbag Placem_Collection'!B166</f>
        <v>Handajega</v>
      </c>
      <c r="D385" s="263" t="s">
        <v>2460</v>
      </c>
      <c r="E385" s="263" t="s">
        <v>2661</v>
      </c>
      <c r="F385" s="263">
        <v>1</v>
      </c>
      <c r="G385" s="264" t="str">
        <f>'Dry_Litterbag Placem_Collection'!C166</f>
        <v>Wet_W1_T4</v>
      </c>
      <c r="H385" s="265" t="s">
        <v>2541</v>
      </c>
      <c r="I385" s="272" t="s">
        <v>298</v>
      </c>
      <c r="J385" s="223" t="str">
        <f>'WetLitterbags placem_collection'!M166</f>
        <v>R317</v>
      </c>
      <c r="K385" s="225">
        <f>IFERROR(INDEX('Green_rooibos initial weight'!$C$5:$C$1749,MATCH(J385, 'Green_rooibos initial weight'!$A$5:$A$1749,0)),"")</f>
        <v>2.2240000000000002</v>
      </c>
      <c r="L385" s="225">
        <f>IFERROR(K385-(TBIcalc!$H$9+TBIcalc!$H$10),"")</f>
        <v>1.9742000000000002</v>
      </c>
      <c r="M385" s="391">
        <f>AVERAGE(Ashed_controlls!$K$12:$K$14)</f>
        <v>2.2816647271287041</v>
      </c>
      <c r="N385" s="225">
        <f t="shared" si="27"/>
        <v>1.9291553749570254</v>
      </c>
      <c r="O385" s="225">
        <f>IF(IFERROR(INDEX('Both teabags AfterWet'!$C$3:$C$841,MATCH(J385,'Both teabags AfterWet'!$A$3:$A$841,0)),"")="","",(IFERROR(INDEX('Both teabags AfterWet'!$C$3:$C$841,MATCH(J385,'Both teabags AfterWet'!$A$3:$A$841,0)),"")))</f>
        <v>1.7210000000000001</v>
      </c>
      <c r="P385" s="225">
        <f>IFERROR(IF(O385&gt;0,O385-(TBIcalc!$H$9),""),"")</f>
        <v>1.5704</v>
      </c>
      <c r="Q385" s="225">
        <f>IFERROR(INDEX('Ashed teabags wet'!$K$2:$K$821,MATCH(J385,'Ashed teabags wet'!$A$2:$A$821,0)),"")</f>
        <v>2.0937188434697482</v>
      </c>
      <c r="R385" s="225">
        <f t="shared" si="31"/>
        <v>1.5375202392821512</v>
      </c>
      <c r="S385" s="226">
        <f>'WetLitterbags placem_collection'!E166</f>
        <v>42763</v>
      </c>
      <c r="T385" s="226">
        <f>IF('WetLitterbags placem_collection'!G166="","",'WetLitterbags placem_collection'!G166)</f>
        <v>42814</v>
      </c>
      <c r="U385" s="227">
        <f t="shared" si="28"/>
        <v>51</v>
      </c>
      <c r="V385" s="225">
        <f t="shared" si="29"/>
        <v>0.40380000000000016</v>
      </c>
      <c r="W385" s="225">
        <f t="shared" si="30"/>
        <v>0.39163513567487418</v>
      </c>
      <c r="X385">
        <f>IFERROR(INDEX(Rainfall_Wet!$O$2:$O$217,MATCH(B385, Rainfall_Wet!$A$2:$A$217,0)),"")</f>
        <v>181.383442621</v>
      </c>
      <c r="Y385" s="231">
        <v>21.96</v>
      </c>
      <c r="Z385" s="231">
        <v>4.9199999999999982</v>
      </c>
      <c r="AA385" s="231">
        <v>73.12</v>
      </c>
      <c r="AB385" s="232" t="s">
        <v>2670</v>
      </c>
      <c r="AC385" s="231">
        <v>4.2416954164613099</v>
      </c>
      <c r="AD385">
        <f>IF('WetLitterbags placem_collection'!AB166="","",'WetLitterbags placem_collection'!AB166)</f>
        <v>9.5</v>
      </c>
      <c r="AE385">
        <f>IF('WetLitterbags placem_collection'!Z166="","",'WetLitterbags placem_collection'!Z166)</f>
        <v>20.8</v>
      </c>
      <c r="AF385" s="246" t="str">
        <f>IF('WetLitterbags placem_collection'!AA166="","",'WetLitterbags placem_collection'!AA166)</f>
        <v>M</v>
      </c>
      <c r="AG385">
        <f>IF('WetLitterbags placem_collection'!AC166="","",'WetLitterbags placem_collection'!AC166)</f>
        <v>0</v>
      </c>
      <c r="AH385" s="240">
        <f>AVERAGE('WetLitterbags placem_collection'!S166,'WetLitterbags placem_collection'!U166)</f>
        <v>9.25</v>
      </c>
      <c r="AI385">
        <f>AVERAGE('WetLitterbags placem_collection'!R166,'WetLitterbags placem_collection'!T166)</f>
        <v>33.799999999999997</v>
      </c>
      <c r="AJ385">
        <f>INDEX(Coordinates!$B$2:$B$197,MATCH(G385,Coordinates!$J$2:$J$197,0))</f>
        <v>-2.2726180130000002</v>
      </c>
      <c r="AK385">
        <f>INDEX(Coordinates!$C$2:$C$197,MATCH(G385,Coordinates!$J$2:$J$197,0))</f>
        <v>34.023212999999998</v>
      </c>
      <c r="AL385" t="str">
        <f>IF(ISNUMBER(SEARCH("C", 'WetLitterbags placem_collection'!W166)),"YES","NO")</f>
        <v>NO</v>
      </c>
      <c r="AM385" t="str">
        <f>IF(ISNUMBER(SEARCH("H", 'WetLitterbags placem_collection'!W166)),"YES","NO")</f>
        <v>NO</v>
      </c>
      <c r="AN385" t="str">
        <f>IF(ISNUMBER(SEARCH("R", 'WetLitterbags placem_collection'!W166)),"YES","NO")</f>
        <v>NO</v>
      </c>
    </row>
    <row r="386" spans="1:40" ht="15" customHeight="1">
      <c r="A386" s="258" t="s">
        <v>2460</v>
      </c>
      <c r="B386" s="263">
        <f>'Dry_Litterbag Placem_Collection'!A167</f>
        <v>165</v>
      </c>
      <c r="C386" s="263" t="str">
        <f>'Dry_Litterbag Placem_Collection'!B167</f>
        <v>Handajega</v>
      </c>
      <c r="D386" s="263" t="s">
        <v>2460</v>
      </c>
      <c r="E386" s="263" t="s">
        <v>2661</v>
      </c>
      <c r="F386" s="263">
        <v>1</v>
      </c>
      <c r="G386" s="264" t="str">
        <f>'Dry_Litterbag Placem_Collection'!C167</f>
        <v>Wet_W1_T5</v>
      </c>
      <c r="H386" s="265" t="s">
        <v>2541</v>
      </c>
      <c r="I386" s="272" t="s">
        <v>298</v>
      </c>
      <c r="J386" s="223" t="str">
        <f>'WetLitterbags placem_collection'!M167</f>
        <v>R331</v>
      </c>
      <c r="K386" s="225">
        <f>IFERROR(INDEX('Green_rooibos initial weight'!$C$5:$C$1749,MATCH(J386, 'Green_rooibos initial weight'!$A$5:$A$1749,0)),"")</f>
        <v>2.2410000000000001</v>
      </c>
      <c r="L386" s="225">
        <f>IFERROR(K386-(TBIcalc!$H$9+TBIcalc!$H$10),"")</f>
        <v>1.9912000000000001</v>
      </c>
      <c r="M386" s="391">
        <f>AVERAGE(Ashed_controlls!$K$12:$K$14)</f>
        <v>2.2816647271287041</v>
      </c>
      <c r="N386" s="225">
        <f t="shared" si="27"/>
        <v>1.9457674919534134</v>
      </c>
      <c r="O386" s="225">
        <f>IF(IFERROR(INDEX('Both teabags AfterWet'!$C$3:$C$841,MATCH(J386,'Both teabags AfterWet'!$A$3:$A$841,0)),"")="","",(IFERROR(INDEX('Both teabags AfterWet'!$C$3:$C$841,MATCH(J386,'Both teabags AfterWet'!$A$3:$A$841,0)),"")))</f>
        <v>1.724</v>
      </c>
      <c r="P386" s="225">
        <f>IFERROR(IF(O386&gt;0,O386-(TBIcalc!$H$9),""),"")</f>
        <v>1.5733999999999999</v>
      </c>
      <c r="Q386" s="225">
        <f>IFERROR(INDEX('Ashed teabags wet'!$K$2:$K$821,MATCH(J386,'Ashed teabags wet'!$A$2:$A$821,0)),"")</f>
        <v>2.562929061785161</v>
      </c>
      <c r="R386" s="225">
        <f t="shared" si="31"/>
        <v>1.5330748741418723</v>
      </c>
      <c r="S386" s="226">
        <f>'WetLitterbags placem_collection'!E167</f>
        <v>42763</v>
      </c>
      <c r="T386" s="226">
        <f>IF('WetLitterbags placem_collection'!G167="","",'WetLitterbags placem_collection'!G167)</f>
        <v>42814</v>
      </c>
      <c r="U386" s="227">
        <f t="shared" si="28"/>
        <v>51</v>
      </c>
      <c r="V386" s="225">
        <f t="shared" si="29"/>
        <v>0.41780000000000017</v>
      </c>
      <c r="W386" s="225">
        <f t="shared" si="30"/>
        <v>0.4126926178115411</v>
      </c>
      <c r="X386">
        <f>IFERROR(INDEX(Rainfall_Wet!$O$2:$O$217,MATCH(B386, Rainfall_Wet!$A$2:$A$217,0)),"")</f>
        <v>181.383442621</v>
      </c>
      <c r="Y386" s="231">
        <v>21.96</v>
      </c>
      <c r="Z386" s="231">
        <v>4.9199999999999982</v>
      </c>
      <c r="AA386" s="231">
        <v>73.12</v>
      </c>
      <c r="AB386" s="232" t="s">
        <v>2670</v>
      </c>
      <c r="AC386" s="231">
        <v>5.2416954164613099</v>
      </c>
      <c r="AD386">
        <f>IF('WetLitterbags placem_collection'!AB167="","",'WetLitterbags placem_collection'!AB167)</f>
        <v>10.4</v>
      </c>
      <c r="AE386">
        <f>IF('WetLitterbags placem_collection'!Z167="","",'WetLitterbags placem_collection'!Z167)</f>
        <v>13.8</v>
      </c>
      <c r="AF386" s="246" t="str">
        <f>IF('WetLitterbags placem_collection'!AA167="","",'WetLitterbags placem_collection'!AA167)</f>
        <v>M</v>
      </c>
      <c r="AG386">
        <f>IF('WetLitterbags placem_collection'!AC167="","",'WetLitterbags placem_collection'!AC167)</f>
        <v>0</v>
      </c>
      <c r="AH386" s="240">
        <f>AVERAGE('WetLitterbags placem_collection'!S167,'WetLitterbags placem_collection'!U167)</f>
        <v>12</v>
      </c>
      <c r="AI386">
        <f>AVERAGE('WetLitterbags placem_collection'!R167,'WetLitterbags placem_collection'!T167)</f>
        <v>31.5</v>
      </c>
      <c r="AJ386">
        <f>INDEX(Coordinates!$B$2:$B$197,MATCH(G386,Coordinates!$J$2:$J$197,0))</f>
        <v>-2.2724750170000001</v>
      </c>
      <c r="AK386">
        <f>INDEX(Coordinates!$C$2:$C$197,MATCH(G386,Coordinates!$J$2:$J$197,0))</f>
        <v>34.02334501</v>
      </c>
      <c r="AL386" t="str">
        <f>IF(ISNUMBER(SEARCH("C", 'WetLitterbags placem_collection'!W167)),"YES","NO")</f>
        <v>NO</v>
      </c>
      <c r="AM386" t="str">
        <f>IF(ISNUMBER(SEARCH("H", 'WetLitterbags placem_collection'!W167)),"YES","NO")</f>
        <v>YES</v>
      </c>
      <c r="AN386" t="str">
        <f>IF(ISNUMBER(SEARCH("R", 'WetLitterbags placem_collection'!W167)),"YES","NO")</f>
        <v>NO</v>
      </c>
    </row>
    <row r="387" spans="1:40" ht="15" customHeight="1">
      <c r="A387" s="258" t="s">
        <v>2460</v>
      </c>
      <c r="B387" s="263">
        <f>'Dry_Litterbag Placem_Collection'!A168</f>
        <v>166</v>
      </c>
      <c r="C387" s="263" t="str">
        <f>'Dry_Litterbag Placem_Collection'!B168</f>
        <v>Handajega</v>
      </c>
      <c r="D387" s="263" t="s">
        <v>2460</v>
      </c>
      <c r="E387" s="263" t="s">
        <v>2661</v>
      </c>
      <c r="F387" s="263">
        <v>1</v>
      </c>
      <c r="G387" s="264" t="str">
        <f>'Dry_Litterbag Placem_Collection'!C168</f>
        <v>Wet_W1_T6</v>
      </c>
      <c r="H387" s="265" t="s">
        <v>2541</v>
      </c>
      <c r="I387" s="272" t="s">
        <v>298</v>
      </c>
      <c r="J387" s="223" t="str">
        <f>'WetLitterbags placem_collection'!M168</f>
        <v>R287</v>
      </c>
      <c r="K387" s="225">
        <f>IFERROR(INDEX('Green_rooibos initial weight'!$C$5:$C$1749,MATCH(J387, 'Green_rooibos initial weight'!$A$5:$A$1749,0)),"")</f>
        <v>2.1960000000000002</v>
      </c>
      <c r="L387" s="225">
        <f>IFERROR(K387-(TBIcalc!$H$9+TBIcalc!$H$10),"")</f>
        <v>1.9462000000000002</v>
      </c>
      <c r="M387" s="391">
        <f>AVERAGE(Ashed_controlls!$K$12:$K$14)</f>
        <v>2.2816647271287041</v>
      </c>
      <c r="N387" s="225">
        <f t="shared" ref="N387:N450" si="32">IFERROR(L387-(M387/100)*L387,"")</f>
        <v>1.9017942410806212</v>
      </c>
      <c r="O387" s="225">
        <f>IF(IFERROR(INDEX('Both teabags AfterWet'!$C$3:$C$841,MATCH(J387,'Both teabags AfterWet'!$A$3:$A$841,0)),"")="","",(IFERROR(INDEX('Both teabags AfterWet'!$C$3:$C$841,MATCH(J387,'Both teabags AfterWet'!$A$3:$A$841,0)),"")))</f>
        <v>1.6496999999999999</v>
      </c>
      <c r="P387" s="225">
        <f>IFERROR(IF(O387&gt;0,O387-(TBIcalc!$H$9),""),"")</f>
        <v>1.4990999999999999</v>
      </c>
      <c r="Q387" s="225">
        <f>IFERROR(INDEX('Ashed teabags wet'!$K$2:$K$821,MATCH(J387,'Ashed teabags wet'!$A$2:$A$821,0)),"")</f>
        <v>1.9136408243378245</v>
      </c>
      <c r="R387" s="225">
        <f t="shared" si="31"/>
        <v>1.4704126104023516</v>
      </c>
      <c r="S387" s="226">
        <f>'WetLitterbags placem_collection'!E168</f>
        <v>42763</v>
      </c>
      <c r="T387" s="226">
        <f>IF('WetLitterbags placem_collection'!G168="","",'WetLitterbags placem_collection'!G168)</f>
        <v>42814</v>
      </c>
      <c r="U387" s="227">
        <f t="shared" ref="U387:U441" si="33">IFERROR(T387-S387,"")</f>
        <v>51</v>
      </c>
      <c r="V387" s="225">
        <f t="shared" ref="V387:V450" si="34">IFERROR(L387-P387,"")</f>
        <v>0.44710000000000027</v>
      </c>
      <c r="W387" s="225">
        <f t="shared" ref="W387:W450" si="35">IFERROR(N387-R387,"")</f>
        <v>0.43138163067826962</v>
      </c>
      <c r="X387">
        <f>IFERROR(INDEX(Rainfall_Wet!$O$2:$O$217,MATCH(B387, Rainfall_Wet!$A$2:$A$217,0)),"")</f>
        <v>181.383442621</v>
      </c>
      <c r="Y387" s="231">
        <v>21.96</v>
      </c>
      <c r="Z387" s="231">
        <v>4.9199999999999982</v>
      </c>
      <c r="AA387" s="231">
        <v>73.12</v>
      </c>
      <c r="AB387" s="232" t="s">
        <v>2670</v>
      </c>
      <c r="AC387" s="231">
        <v>6.2416954164613099</v>
      </c>
      <c r="AD387">
        <f>IF('WetLitterbags placem_collection'!AB168="","",'WetLitterbags placem_collection'!AB168)</f>
        <v>2.1</v>
      </c>
      <c r="AE387">
        <f>IF('WetLitterbags placem_collection'!Z168="","",'WetLitterbags placem_collection'!Z168)</f>
        <v>4.7</v>
      </c>
      <c r="AF387" s="246" t="str">
        <f>IF('WetLitterbags placem_collection'!AA168="","",'WetLitterbags placem_collection'!AA168)</f>
        <v>M</v>
      </c>
      <c r="AG387">
        <f>IF('WetLitterbags placem_collection'!AC168="","",'WetLitterbags placem_collection'!AC168)</f>
        <v>0</v>
      </c>
      <c r="AH387" s="240">
        <f>AVERAGE('WetLitterbags placem_collection'!S168,'WetLitterbags placem_collection'!U168)</f>
        <v>11</v>
      </c>
      <c r="AI387">
        <f>AVERAGE('WetLitterbags placem_collection'!R168,'WetLitterbags placem_collection'!T168)</f>
        <v>31.5</v>
      </c>
      <c r="AJ387">
        <f>INDEX(Coordinates!$B$2:$B$197,MATCH(G387,Coordinates!$J$2:$J$197,0))</f>
        <v>-2.2725490289999999</v>
      </c>
      <c r="AK387">
        <f>INDEX(Coordinates!$C$2:$C$197,MATCH(G387,Coordinates!$J$2:$J$197,0))</f>
        <v>34.022886020000001</v>
      </c>
      <c r="AL387" t="str">
        <f>IF(ISNUMBER(SEARCH("C", 'WetLitterbags placem_collection'!W168)),"YES","NO")</f>
        <v>NO</v>
      </c>
      <c r="AM387" t="str">
        <f>IF(ISNUMBER(SEARCH("H", 'WetLitterbags placem_collection'!W168)),"YES","NO")</f>
        <v>NO</v>
      </c>
      <c r="AN387" t="str">
        <f>IF(ISNUMBER(SEARCH("R", 'WetLitterbags placem_collection'!W168)),"YES","NO")</f>
        <v>NO</v>
      </c>
    </row>
    <row r="388" spans="1:40" ht="15" customHeight="1">
      <c r="A388" s="258" t="s">
        <v>2460</v>
      </c>
      <c r="B388" s="263">
        <f>'Dry_Litterbag Placem_Collection'!A169</f>
        <v>167</v>
      </c>
      <c r="C388" s="263" t="str">
        <f>'Dry_Litterbag Placem_Collection'!B169</f>
        <v>Handajega</v>
      </c>
      <c r="D388" s="263" t="s">
        <v>2460</v>
      </c>
      <c r="E388" s="263" t="s">
        <v>2661</v>
      </c>
      <c r="F388" s="263">
        <v>1</v>
      </c>
      <c r="G388" s="264" t="str">
        <f>'Dry_Litterbag Placem_Collection'!C169</f>
        <v>Wet_W1_T7</v>
      </c>
      <c r="H388" s="265" t="s">
        <v>2541</v>
      </c>
      <c r="I388" s="272" t="s">
        <v>298</v>
      </c>
      <c r="J388" s="223" t="str">
        <f>'WetLitterbags placem_collection'!M169</f>
        <v>R255</v>
      </c>
      <c r="K388" s="225">
        <f>IFERROR(INDEX('Green_rooibos initial weight'!$C$5:$C$1749,MATCH(J388, 'Green_rooibos initial weight'!$A$5:$A$1749,0)),"")</f>
        <v>2.1859999999999999</v>
      </c>
      <c r="L388" s="225">
        <f>IFERROR(K388-(TBIcalc!$H$9+TBIcalc!$H$10),"")</f>
        <v>1.9361999999999999</v>
      </c>
      <c r="M388" s="391">
        <f>AVERAGE(Ashed_controlls!$K$12:$K$14)</f>
        <v>2.2816647271287041</v>
      </c>
      <c r="N388" s="225">
        <f t="shared" si="32"/>
        <v>1.8920224075533341</v>
      </c>
      <c r="O388" s="225">
        <f>IF(IFERROR(INDEX('Both teabags AfterWet'!$C$3:$C$841,MATCH(J388,'Both teabags AfterWet'!$A$3:$A$841,0)),"")="","",(IFERROR(INDEX('Both teabags AfterWet'!$C$3:$C$841,MATCH(J388,'Both teabags AfterWet'!$A$3:$A$841,0)),"")))</f>
        <v>1.7073</v>
      </c>
      <c r="P388" s="225">
        <f>IFERROR(IF(O388&gt;0,O388-(TBIcalc!$H$9),""),"")</f>
        <v>1.5567</v>
      </c>
      <c r="Q388" s="225">
        <f>IFERROR(INDEX('Ashed teabags wet'!$K$2:$K$821,MATCH(J388,'Ashed teabags wet'!$A$2:$A$821,0)),"")</f>
        <v>1.7424975798647639</v>
      </c>
      <c r="R388" s="225">
        <f t="shared" si="31"/>
        <v>1.5295745401742451</v>
      </c>
      <c r="S388" s="226">
        <f>'WetLitterbags placem_collection'!E169</f>
        <v>42763</v>
      </c>
      <c r="T388" s="226">
        <f>IF('WetLitterbags placem_collection'!G169="","",'WetLitterbags placem_collection'!G169)</f>
        <v>42814</v>
      </c>
      <c r="U388" s="227">
        <f t="shared" si="33"/>
        <v>51</v>
      </c>
      <c r="V388" s="225">
        <f t="shared" si="34"/>
        <v>0.37949999999999995</v>
      </c>
      <c r="W388" s="225">
        <f t="shared" si="35"/>
        <v>0.36244786737908896</v>
      </c>
      <c r="X388">
        <f>IFERROR(INDEX(Rainfall_Wet!$O$2:$O$217,MATCH(B388, Rainfall_Wet!$A$2:$A$217,0)),"")</f>
        <v>181.383442621</v>
      </c>
      <c r="Y388" s="231">
        <v>21.96</v>
      </c>
      <c r="Z388" s="231">
        <v>4.9199999999999982</v>
      </c>
      <c r="AA388" s="231">
        <v>73.12</v>
      </c>
      <c r="AB388" s="232" t="s">
        <v>2670</v>
      </c>
      <c r="AC388" s="231">
        <v>7.2416954164613099</v>
      </c>
      <c r="AD388">
        <f>IF('WetLitterbags placem_collection'!AB169="","",'WetLitterbags placem_collection'!AB169)</f>
        <v>5.6</v>
      </c>
      <c r="AE388">
        <f>IF('WetLitterbags placem_collection'!Z169="","",'WetLitterbags placem_collection'!Z169)</f>
        <v>4.2</v>
      </c>
      <c r="AF388" s="246" t="str">
        <f>IF('WetLitterbags placem_collection'!AA169="","",'WetLitterbags placem_collection'!AA169)</f>
        <v>M</v>
      </c>
      <c r="AG388">
        <f>IF('WetLitterbags placem_collection'!AC169="","",'WetLitterbags placem_collection'!AC169)</f>
        <v>1</v>
      </c>
      <c r="AH388" s="240">
        <f>AVERAGE('WetLitterbags placem_collection'!S169,'WetLitterbags placem_collection'!U169)</f>
        <v>10.45</v>
      </c>
      <c r="AI388">
        <f>AVERAGE('WetLitterbags placem_collection'!R169,'WetLitterbags placem_collection'!T169)</f>
        <v>31</v>
      </c>
      <c r="AJ388">
        <f>INDEX(Coordinates!$B$2:$B$197,MATCH(G388,Coordinates!$J$2:$J$197,0))</f>
        <v>-2.2729950310000002</v>
      </c>
      <c r="AK388">
        <f>INDEX(Coordinates!$C$2:$C$197,MATCH(G388,Coordinates!$J$2:$J$197,0))</f>
        <v>34.022923990000002</v>
      </c>
      <c r="AL388" t="str">
        <f>IF(ISNUMBER(SEARCH("C", 'WetLitterbags placem_collection'!W169)),"YES","NO")</f>
        <v>NO</v>
      </c>
      <c r="AM388" t="str">
        <f>IF(ISNUMBER(SEARCH("H", 'WetLitterbags placem_collection'!W169)),"YES","NO")</f>
        <v>NO</v>
      </c>
      <c r="AN388" t="str">
        <f>IF(ISNUMBER(SEARCH("R", 'WetLitterbags placem_collection'!W169)),"YES","NO")</f>
        <v>NO</v>
      </c>
    </row>
    <row r="389" spans="1:40" ht="15" customHeight="1">
      <c r="A389" s="258" t="s">
        <v>2460</v>
      </c>
      <c r="B389" s="263">
        <f>'Dry_Litterbag Placem_Collection'!A170</f>
        <v>168</v>
      </c>
      <c r="C389" s="263" t="str">
        <f>'Dry_Litterbag Placem_Collection'!B170</f>
        <v>Handajega</v>
      </c>
      <c r="D389" s="263" t="s">
        <v>2460</v>
      </c>
      <c r="E389" s="263" t="s">
        <v>2661</v>
      </c>
      <c r="F389" s="263">
        <v>1</v>
      </c>
      <c r="G389" s="264" t="str">
        <f>'Dry_Litterbag Placem_Collection'!C170</f>
        <v>Wet_W1_T8</v>
      </c>
      <c r="H389" s="265" t="s">
        <v>2541</v>
      </c>
      <c r="I389" s="272" t="s">
        <v>298</v>
      </c>
      <c r="J389" s="223" t="str">
        <f>'WetLitterbags placem_collection'!M170</f>
        <v>R534</v>
      </c>
      <c r="K389" s="225">
        <f>IFERROR(INDEX('Green_rooibos initial weight'!$C$5:$C$1749,MATCH(J389, 'Green_rooibos initial weight'!$A$5:$A$1749,0)),"")</f>
        <v>2.17</v>
      </c>
      <c r="L389" s="225">
        <f>IFERROR(K389-(TBIcalc!$H$9+TBIcalc!$H$10),"")</f>
        <v>1.9201999999999999</v>
      </c>
      <c r="M389" s="391">
        <f>AVERAGE(Ashed_controlls!$K$12:$K$14)</f>
        <v>2.2816647271287041</v>
      </c>
      <c r="N389" s="225">
        <f t="shared" si="32"/>
        <v>1.8763874739096746</v>
      </c>
      <c r="O389" s="225">
        <f>IF(IFERROR(INDEX('Both teabags AfterWet'!$C$3:$C$841,MATCH(J389,'Both teabags AfterWet'!$A$3:$A$841,0)),"")="","",(IFERROR(INDEX('Both teabags AfterWet'!$C$3:$C$841,MATCH(J389,'Both teabags AfterWet'!$A$3:$A$841,0)),"")))</f>
        <v>1.722</v>
      </c>
      <c r="P389" s="225">
        <f>IFERROR(IF(O389&gt;0,O389-(TBIcalc!$H$9),""),"")</f>
        <v>1.5713999999999999</v>
      </c>
      <c r="Q389" s="225">
        <f>IFERROR(INDEX('Ashed teabags wet'!$K$2:$K$821,MATCH(J389,'Ashed teabags wet'!$A$2:$A$821,0)),"")</f>
        <v>1.9733596447958683</v>
      </c>
      <c r="R389" s="225">
        <f t="shared" si="31"/>
        <v>1.5403906265416776</v>
      </c>
      <c r="S389" s="226">
        <f>'WetLitterbags placem_collection'!E170</f>
        <v>42763</v>
      </c>
      <c r="T389" s="226">
        <f>IF('WetLitterbags placem_collection'!G170="","",'WetLitterbags placem_collection'!G170)</f>
        <v>42814</v>
      </c>
      <c r="U389" s="227">
        <f t="shared" si="33"/>
        <v>51</v>
      </c>
      <c r="V389" s="225">
        <f t="shared" si="34"/>
        <v>0.3488</v>
      </c>
      <c r="W389" s="225">
        <f t="shared" si="35"/>
        <v>0.33599684736799706</v>
      </c>
      <c r="X389">
        <f>IFERROR(INDEX(Rainfall_Wet!$O$2:$O$217,MATCH(B389, Rainfall_Wet!$A$2:$A$217,0)),"")</f>
        <v>181.383442621</v>
      </c>
      <c r="Y389" s="231">
        <v>21.96</v>
      </c>
      <c r="Z389" s="231">
        <v>4.9199999999999982</v>
      </c>
      <c r="AA389" s="231">
        <v>73.12</v>
      </c>
      <c r="AB389" s="232" t="s">
        <v>2670</v>
      </c>
      <c r="AC389" s="231">
        <v>8.2416954164613099</v>
      </c>
      <c r="AD389">
        <f>IF('WetLitterbags placem_collection'!AB170="","",'WetLitterbags placem_collection'!AB170)</f>
        <v>2.4</v>
      </c>
      <c r="AE389">
        <f>IF('WetLitterbags placem_collection'!Z170="","",'WetLitterbags placem_collection'!Z170)</f>
        <v>46</v>
      </c>
      <c r="AF389" s="246" t="str">
        <f>IF('WetLitterbags placem_collection'!AA170="","",'WetLitterbags placem_collection'!AA170)</f>
        <v>M</v>
      </c>
      <c r="AG389">
        <f>IF('WetLitterbags placem_collection'!AC170="","",'WetLitterbags placem_collection'!AC170)</f>
        <v>0</v>
      </c>
      <c r="AH389" s="240">
        <f>AVERAGE('WetLitterbags placem_collection'!S170,'WetLitterbags placem_collection'!U170)</f>
        <v>11.25</v>
      </c>
      <c r="AI389">
        <f>AVERAGE('WetLitterbags placem_collection'!R170,'WetLitterbags placem_collection'!T170)</f>
        <v>33.299999999999997</v>
      </c>
      <c r="AJ389">
        <f>INDEX(Coordinates!$B$2:$B$197,MATCH(G389,Coordinates!$J$2:$J$197,0))</f>
        <v>-2.2729129719999999</v>
      </c>
      <c r="AK389">
        <f>INDEX(Coordinates!$C$2:$C$197,MATCH(G389,Coordinates!$J$2:$J$197,0))</f>
        <v>34.023350039999997</v>
      </c>
      <c r="AL389" t="str">
        <f>IF(ISNUMBER(SEARCH("C", 'WetLitterbags placem_collection'!W170)),"YES","NO")</f>
        <v>NO</v>
      </c>
      <c r="AM389" t="str">
        <f>IF(ISNUMBER(SEARCH("H", 'WetLitterbags placem_collection'!W170)),"YES","NO")</f>
        <v>NO</v>
      </c>
      <c r="AN389" t="str">
        <f>IF(ISNUMBER(SEARCH("R", 'WetLitterbags placem_collection'!W170)),"YES","NO")</f>
        <v>NO</v>
      </c>
    </row>
    <row r="390" spans="1:40" ht="15" customHeight="1">
      <c r="A390" s="258" t="s">
        <v>2460</v>
      </c>
      <c r="B390" s="263">
        <f>'Dry_Litterbag Placem_Collection'!A171</f>
        <v>169</v>
      </c>
      <c r="C390" s="263" t="str">
        <f>'Dry_Litterbag Placem_Collection'!B171</f>
        <v>Handajega</v>
      </c>
      <c r="D390" s="263" t="s">
        <v>2460</v>
      </c>
      <c r="E390" s="263" t="s">
        <v>2661</v>
      </c>
      <c r="F390" s="263">
        <v>2</v>
      </c>
      <c r="G390" s="264" t="str">
        <f>'Dry_Litterbag Placem_Collection'!C171</f>
        <v>Wet_W2_T1</v>
      </c>
      <c r="H390" s="265" t="s">
        <v>2541</v>
      </c>
      <c r="I390" s="272" t="s">
        <v>298</v>
      </c>
      <c r="J390" s="223" t="str">
        <f>'WetLitterbags placem_collection'!M171</f>
        <v>R453</v>
      </c>
      <c r="K390" s="225">
        <f>IFERROR(INDEX('Green_rooibos initial weight'!$C$5:$C$1749,MATCH(J390, 'Green_rooibos initial weight'!$A$5:$A$1749,0)),"")</f>
        <v>2.165</v>
      </c>
      <c r="L390" s="225">
        <f>IFERROR(K390-(TBIcalc!$H$9+TBIcalc!$H$10),"")</f>
        <v>1.9152</v>
      </c>
      <c r="M390" s="391">
        <f>AVERAGE(Ashed_controlls!$K$12:$K$14)</f>
        <v>2.2816647271287041</v>
      </c>
      <c r="N390" s="225">
        <f t="shared" si="32"/>
        <v>1.8715015571460312</v>
      </c>
      <c r="O390" s="225">
        <f>IF(IFERROR(INDEX('Both teabags AfterWet'!$C$3:$C$841,MATCH(J390,'Both teabags AfterWet'!$A$3:$A$841,0)),"")="","",(IFERROR(INDEX('Both teabags AfterWet'!$C$3:$C$841,MATCH(J390,'Both teabags AfterWet'!$A$3:$A$841,0)),"")))</f>
        <v>0.14299999999999999</v>
      </c>
      <c r="P390" s="225">
        <f>IFERROR(IF(O390&gt;0,O390-(TBIcalc!$H$9),""),"")</f>
        <v>-7.6000000000000234E-3</v>
      </c>
      <c r="Q390" s="225" t="str">
        <f>IFERROR(INDEX('Ashed teabags wet'!$K$2:$K$821,MATCH(J390,'Ashed teabags wet'!$A$2:$A$821,0)),"")</f>
        <v/>
      </c>
      <c r="R390" s="225" t="str">
        <f t="shared" si="31"/>
        <v/>
      </c>
      <c r="S390" s="226">
        <f>'WetLitterbags placem_collection'!E171</f>
        <v>42763</v>
      </c>
      <c r="T390" s="226">
        <f>IF('WetLitterbags placem_collection'!G171="","",'WetLitterbags placem_collection'!G171)</f>
        <v>42814</v>
      </c>
      <c r="U390" s="227">
        <f t="shared" si="33"/>
        <v>51</v>
      </c>
      <c r="V390" s="225">
        <f t="shared" si="34"/>
        <v>1.9228000000000001</v>
      </c>
      <c r="W390" s="225" t="str">
        <f t="shared" si="35"/>
        <v/>
      </c>
      <c r="X390">
        <f>IFERROR(INDEX(Rainfall_Wet!$O$2:$O$217,MATCH(B390, Rainfall_Wet!$A$2:$A$217,0)),"")</f>
        <v>181.383442621</v>
      </c>
      <c r="Y390" s="231">
        <v>23.96</v>
      </c>
      <c r="Z390" s="231">
        <v>4.9199999999999982</v>
      </c>
      <c r="AA390" s="231">
        <v>71.12</v>
      </c>
      <c r="AB390" s="232" t="s">
        <v>2670</v>
      </c>
      <c r="AC390" s="231">
        <v>3.30913750616067</v>
      </c>
      <c r="AD390">
        <f>IF('WetLitterbags placem_collection'!AB171="","",'WetLitterbags placem_collection'!AB171)</f>
        <v>8.1999999999999993</v>
      </c>
      <c r="AE390">
        <f>IF('WetLitterbags placem_collection'!Z171="","",'WetLitterbags placem_collection'!Z171)</f>
        <v>11.4</v>
      </c>
      <c r="AF390" s="246" t="str">
        <f>IF('WetLitterbags placem_collection'!AA171="","",'WetLitterbags placem_collection'!AA171)</f>
        <v>O</v>
      </c>
      <c r="AG390">
        <f>IF('WetLitterbags placem_collection'!AC171="","",'WetLitterbags placem_collection'!AC171)</f>
        <v>1</v>
      </c>
      <c r="AH390" s="240">
        <f>AVERAGE('WetLitterbags placem_collection'!S171,'WetLitterbags placem_collection'!U171)</f>
        <v>9.65</v>
      </c>
      <c r="AI390">
        <f>AVERAGE('WetLitterbags placem_collection'!R171,'WetLitterbags placem_collection'!T171)</f>
        <v>36.200000000000003</v>
      </c>
      <c r="AJ390">
        <f>INDEX(Coordinates!$B$2:$B$197,MATCH(G390,Coordinates!$J$2:$J$197,0))</f>
        <v>-2.2784290180000002</v>
      </c>
      <c r="AK390">
        <f>INDEX(Coordinates!$C$2:$C$197,MATCH(G390,Coordinates!$J$2:$J$197,0))</f>
        <v>34.024240030000001</v>
      </c>
      <c r="AL390" t="str">
        <f>IF(ISNUMBER(SEARCH("C", 'WetLitterbags placem_collection'!W171)),"YES","NO")</f>
        <v>YES</v>
      </c>
      <c r="AM390" t="str">
        <f>IF(ISNUMBER(SEARCH("H", 'WetLitterbags placem_collection'!W171)),"YES","NO")</f>
        <v>YES</v>
      </c>
      <c r="AN390" t="str">
        <f>IF(ISNUMBER(SEARCH("R", 'WetLitterbags placem_collection'!W171)),"YES","NO")</f>
        <v>NO</v>
      </c>
    </row>
    <row r="391" spans="1:40" ht="15" customHeight="1">
      <c r="A391" s="258" t="s">
        <v>2460</v>
      </c>
      <c r="B391" s="263">
        <f>'Dry_Litterbag Placem_Collection'!A172</f>
        <v>170</v>
      </c>
      <c r="C391" s="263" t="str">
        <f>'Dry_Litterbag Placem_Collection'!B172</f>
        <v>Handajega</v>
      </c>
      <c r="D391" s="263" t="s">
        <v>2460</v>
      </c>
      <c r="E391" s="263" t="s">
        <v>2661</v>
      </c>
      <c r="F391" s="263">
        <v>2</v>
      </c>
      <c r="G391" s="264" t="str">
        <f>'Dry_Litterbag Placem_Collection'!C172</f>
        <v>Wet_W2_T2</v>
      </c>
      <c r="H391" s="265" t="s">
        <v>2541</v>
      </c>
      <c r="I391" s="272" t="s">
        <v>298</v>
      </c>
      <c r="J391" s="223" t="str">
        <f>'WetLitterbags placem_collection'!M172</f>
        <v>R330</v>
      </c>
      <c r="K391" s="225">
        <f>IFERROR(INDEX('Green_rooibos initial weight'!$C$5:$C$1749,MATCH(J391, 'Green_rooibos initial weight'!$A$5:$A$1749,0)),"")</f>
        <v>2.12</v>
      </c>
      <c r="L391" s="225">
        <f>IFERROR(K391-(TBIcalc!$H$9+TBIcalc!$H$10),"")</f>
        <v>1.8702000000000001</v>
      </c>
      <c r="M391" s="391">
        <f>AVERAGE(Ashed_controlls!$K$12:$K$14)</f>
        <v>2.2816647271287041</v>
      </c>
      <c r="N391" s="225">
        <f t="shared" si="32"/>
        <v>1.827528306273239</v>
      </c>
      <c r="O391" s="225">
        <f>IF(IFERROR(INDEX('Both teabags AfterWet'!$C$3:$C$841,MATCH(J391,'Both teabags AfterWet'!$A$3:$A$841,0)),"")="","",(IFERROR(INDEX('Both teabags AfterWet'!$C$3:$C$841,MATCH(J391,'Both teabags AfterWet'!$A$3:$A$841,0)),"")))</f>
        <v>1.7769999999999999</v>
      </c>
      <c r="P391" s="225">
        <f>IFERROR(IF(O391&gt;0,O391-(TBIcalc!$H$9),""),"")</f>
        <v>1.6263999999999998</v>
      </c>
      <c r="Q391" s="225">
        <f>IFERROR(INDEX('Ashed teabags wet'!$K$2:$K$821,MATCH(J391,'Ashed teabags wet'!$A$2:$A$821,0)),"")</f>
        <v>2.1642892277422194</v>
      </c>
      <c r="R391" s="225">
        <f t="shared" si="31"/>
        <v>1.5912000000000004</v>
      </c>
      <c r="S391" s="226">
        <f>'WetLitterbags placem_collection'!E172</f>
        <v>42763</v>
      </c>
      <c r="T391" s="226">
        <f>IF('WetLitterbags placem_collection'!G172="","",'WetLitterbags placem_collection'!G172)</f>
        <v>42814</v>
      </c>
      <c r="U391" s="227">
        <f t="shared" si="33"/>
        <v>51</v>
      </c>
      <c r="V391" s="225">
        <f t="shared" si="34"/>
        <v>0.24380000000000024</v>
      </c>
      <c r="W391" s="225">
        <f t="shared" si="35"/>
        <v>0.23632830627323864</v>
      </c>
      <c r="X391">
        <f>IFERROR(INDEX(Rainfall_Wet!$O$2:$O$217,MATCH(B391, Rainfall_Wet!$A$2:$A$217,0)),"")</f>
        <v>181.383442621</v>
      </c>
      <c r="Y391" s="231">
        <v>23.96</v>
      </c>
      <c r="Z391" s="231">
        <v>4.9199999999999982</v>
      </c>
      <c r="AA391" s="231">
        <v>71.12</v>
      </c>
      <c r="AB391" s="232" t="s">
        <v>2670</v>
      </c>
      <c r="AC391" s="231">
        <v>4.3091375061606696</v>
      </c>
      <c r="AD391">
        <f>IF('WetLitterbags placem_collection'!AB172="","",'WetLitterbags placem_collection'!AB172)</f>
        <v>7.7</v>
      </c>
      <c r="AE391">
        <f>IF('WetLitterbags placem_collection'!Z172="","",'WetLitterbags placem_collection'!Z172)</f>
        <v>15.8</v>
      </c>
      <c r="AF391" s="246" t="str">
        <f>IF('WetLitterbags placem_collection'!AA172="","",'WetLitterbags placem_collection'!AA172)</f>
        <v>O</v>
      </c>
      <c r="AG391">
        <f>IF('WetLitterbags placem_collection'!AC172="","",'WetLitterbags placem_collection'!AC172)</f>
        <v>1</v>
      </c>
      <c r="AH391" s="240">
        <f>AVERAGE('WetLitterbags placem_collection'!S172,'WetLitterbags placem_collection'!U172)</f>
        <v>8.1</v>
      </c>
      <c r="AI391">
        <f>AVERAGE('WetLitterbags placem_collection'!R172,'WetLitterbags placem_collection'!T172)</f>
        <v>33.599999999999994</v>
      </c>
      <c r="AJ391">
        <f>INDEX(Coordinates!$B$2:$B$197,MATCH(G391,Coordinates!$J$2:$J$197,0))</f>
        <v>-2.2784629650000001</v>
      </c>
      <c r="AK391">
        <f>INDEX(Coordinates!$C$2:$C$197,MATCH(G391,Coordinates!$J$2:$J$197,0))</f>
        <v>34.024177999999999</v>
      </c>
      <c r="AL391" t="str">
        <f>IF(ISNUMBER(SEARCH("C", 'WetLitterbags placem_collection'!W172)),"YES","NO")</f>
        <v>NO</v>
      </c>
      <c r="AM391" t="str">
        <f>IF(ISNUMBER(SEARCH("H", 'WetLitterbags placem_collection'!W172)),"YES","NO")</f>
        <v>NO</v>
      </c>
      <c r="AN391" t="str">
        <f>IF(ISNUMBER(SEARCH("R", 'WetLitterbags placem_collection'!W172)),"YES","NO")</f>
        <v>NO</v>
      </c>
    </row>
    <row r="392" spans="1:40" ht="15" customHeight="1">
      <c r="A392" s="258" t="s">
        <v>2460</v>
      </c>
      <c r="B392" s="263">
        <f>'Dry_Litterbag Placem_Collection'!A173</f>
        <v>171</v>
      </c>
      <c r="C392" s="263" t="str">
        <f>'Dry_Litterbag Placem_Collection'!B173</f>
        <v>Handajega</v>
      </c>
      <c r="D392" s="263" t="s">
        <v>2460</v>
      </c>
      <c r="E392" s="263" t="s">
        <v>2661</v>
      </c>
      <c r="F392" s="263">
        <v>2</v>
      </c>
      <c r="G392" s="264" t="str">
        <f>'Dry_Litterbag Placem_Collection'!C173</f>
        <v>Wet_W2_T3</v>
      </c>
      <c r="H392" s="265" t="s">
        <v>2541</v>
      </c>
      <c r="I392" s="272" t="s">
        <v>298</v>
      </c>
      <c r="J392" s="223" t="str">
        <f>'WetLitterbags placem_collection'!M173</f>
        <v>R558</v>
      </c>
      <c r="K392" s="225">
        <f>IFERROR(INDEX('Green_rooibos initial weight'!$C$5:$C$1749,MATCH(J392, 'Green_rooibos initial weight'!$A$5:$A$1749,0)),"")</f>
        <v>2.1760000000000002</v>
      </c>
      <c r="L392" s="225">
        <f>IFERROR(K392-(TBIcalc!$H$9+TBIcalc!$H$10),"")</f>
        <v>1.9262000000000001</v>
      </c>
      <c r="M392" s="391">
        <f>AVERAGE(Ashed_controlls!$K$12:$K$14)</f>
        <v>2.2816647271287041</v>
      </c>
      <c r="N392" s="225">
        <f t="shared" si="32"/>
        <v>1.8822505740260471</v>
      </c>
      <c r="O392" s="225">
        <f>IF(IFERROR(INDEX('Both teabags AfterWet'!$C$3:$C$841,MATCH(J392,'Both teabags AfterWet'!$A$3:$A$841,0)),"")="","",(IFERROR(INDEX('Both teabags AfterWet'!$C$3:$C$841,MATCH(J392,'Both teabags AfterWet'!$A$3:$A$841,0)),"")))</f>
        <v>1.61</v>
      </c>
      <c r="P392" s="225">
        <f>IFERROR(IF(O392&gt;0,O392-(TBIcalc!$H$9),""),"")</f>
        <v>1.4594</v>
      </c>
      <c r="Q392" s="225">
        <f>IFERROR(INDEX('Ashed teabags wet'!$K$2:$K$821,MATCH(J392,'Ashed teabags wet'!$A$2:$A$821,0)),"")</f>
        <v>2.9640427599611376</v>
      </c>
      <c r="R392" s="225">
        <f t="shared" si="31"/>
        <v>1.4161427599611272</v>
      </c>
      <c r="S392" s="226">
        <f>'WetLitterbags placem_collection'!E173</f>
        <v>42763</v>
      </c>
      <c r="T392" s="226">
        <f>IF('WetLitterbags placem_collection'!G173="","",'WetLitterbags placem_collection'!G173)</f>
        <v>42814</v>
      </c>
      <c r="U392" s="227">
        <f t="shared" si="33"/>
        <v>51</v>
      </c>
      <c r="V392" s="225">
        <f t="shared" si="34"/>
        <v>0.4668000000000001</v>
      </c>
      <c r="W392" s="225">
        <f t="shared" si="35"/>
        <v>0.46610781406491997</v>
      </c>
      <c r="X392">
        <f>IFERROR(INDEX(Rainfall_Wet!$O$2:$O$217,MATCH(B392, Rainfall_Wet!$A$2:$A$217,0)),"")</f>
        <v>181.383442621</v>
      </c>
      <c r="Y392" s="231">
        <v>23.96</v>
      </c>
      <c r="Z392" s="231">
        <v>4.9199999999999982</v>
      </c>
      <c r="AA392" s="231">
        <v>71.12</v>
      </c>
      <c r="AB392" s="232" t="s">
        <v>2670</v>
      </c>
      <c r="AC392" s="231">
        <v>5.3091375061606696</v>
      </c>
      <c r="AD392">
        <f>IF('WetLitterbags placem_collection'!AB173="","",'WetLitterbags placem_collection'!AB173)</f>
        <v>13.4</v>
      </c>
      <c r="AE392">
        <f>IF('WetLitterbags placem_collection'!Z173="","",'WetLitterbags placem_collection'!Z173)</f>
        <v>7.6</v>
      </c>
      <c r="AF392" s="246" t="str">
        <f>IF('WetLitterbags placem_collection'!AA173="","",'WetLitterbags placem_collection'!AA173)</f>
        <v>O</v>
      </c>
      <c r="AG392">
        <f>IF('WetLitterbags placem_collection'!AC173="","",'WetLitterbags placem_collection'!AC173)</f>
        <v>1</v>
      </c>
      <c r="AH392" s="240">
        <f>AVERAGE('WetLitterbags placem_collection'!S173,'WetLitterbags placem_collection'!U173)</f>
        <v>10.5</v>
      </c>
      <c r="AI392">
        <f>AVERAGE('WetLitterbags placem_collection'!R173,'WetLitterbags placem_collection'!T173)</f>
        <v>34.15</v>
      </c>
      <c r="AJ392">
        <f>INDEX(Coordinates!$B$2:$B$197,MATCH(G392,Coordinates!$J$2:$J$197,0))</f>
        <v>-2.2785389889999998</v>
      </c>
      <c r="AK392">
        <f>INDEX(Coordinates!$C$2:$C$197,MATCH(G392,Coordinates!$J$2:$J$197,0))</f>
        <v>34.024371039999998</v>
      </c>
      <c r="AL392" t="str">
        <f>IF(ISNUMBER(SEARCH("C", 'WetLitterbags placem_collection'!W173)),"YES","NO")</f>
        <v>NO</v>
      </c>
      <c r="AM392" t="str">
        <f>IF(ISNUMBER(SEARCH("H", 'WetLitterbags placem_collection'!W173)),"YES","NO")</f>
        <v>NO</v>
      </c>
      <c r="AN392" t="str">
        <f>IF(ISNUMBER(SEARCH("R", 'WetLitterbags placem_collection'!W173)),"YES","NO")</f>
        <v>NO</v>
      </c>
    </row>
    <row r="393" spans="1:40" ht="15" customHeight="1">
      <c r="A393" s="258" t="s">
        <v>2460</v>
      </c>
      <c r="B393" s="263">
        <f>'Dry_Litterbag Placem_Collection'!A174</f>
        <v>172</v>
      </c>
      <c r="C393" s="263" t="str">
        <f>'Dry_Litterbag Placem_Collection'!B174</f>
        <v>Handajega</v>
      </c>
      <c r="D393" s="263" t="s">
        <v>2460</v>
      </c>
      <c r="E393" s="263" t="s">
        <v>2661</v>
      </c>
      <c r="F393" s="263">
        <v>2</v>
      </c>
      <c r="G393" s="264" t="str">
        <f>'Dry_Litterbag Placem_Collection'!C174</f>
        <v>Wet_W2_T4</v>
      </c>
      <c r="H393" s="265" t="s">
        <v>2541</v>
      </c>
      <c r="I393" s="272" t="s">
        <v>298</v>
      </c>
      <c r="J393" s="223" t="str">
        <f>'WetLitterbags placem_collection'!M174</f>
        <v>R157</v>
      </c>
      <c r="K393" s="225">
        <f>IFERROR(INDEX('Green_rooibos initial weight'!$C$5:$C$1749,MATCH(J393, 'Green_rooibos initial weight'!$A$5:$A$1749,0)),"")</f>
        <v>2.1819999999999999</v>
      </c>
      <c r="L393" s="225">
        <f>IFERROR(K393-(TBIcalc!$H$9+TBIcalc!$H$10),"")</f>
        <v>1.9321999999999999</v>
      </c>
      <c r="M393" s="391">
        <f>AVERAGE(Ashed_controlls!$K$12:$K$14)</f>
        <v>2.2816647271287041</v>
      </c>
      <c r="N393" s="225">
        <f t="shared" si="32"/>
        <v>1.8881136741424192</v>
      </c>
      <c r="O393" s="225">
        <f>IF(IFERROR(INDEX('Both teabags AfterWet'!$C$3:$C$841,MATCH(J393,'Both teabags AfterWet'!$A$3:$A$841,0)),"")="","",(IFERROR(INDEX('Both teabags AfterWet'!$C$3:$C$841,MATCH(J393,'Both teabags AfterWet'!$A$3:$A$841,0)),"")))</f>
        <v>1.6782000000000001</v>
      </c>
      <c r="P393" s="225">
        <f>IFERROR(IF(O393&gt;0,O393-(TBIcalc!$H$9),""),"")</f>
        <v>1.5276000000000001</v>
      </c>
      <c r="Q393" s="225">
        <f>IFERROR(INDEX('Ashed teabags wet'!$K$2:$K$821,MATCH(J393,'Ashed teabags wet'!$A$2:$A$821,0)),"")</f>
        <v>4.6332046332039889</v>
      </c>
      <c r="R393" s="225">
        <f t="shared" si="31"/>
        <v>1.4568231660231759</v>
      </c>
      <c r="S393" s="226">
        <f>'WetLitterbags placem_collection'!E174</f>
        <v>42763</v>
      </c>
      <c r="T393" s="226">
        <f>IF('WetLitterbags placem_collection'!G174="","",'WetLitterbags placem_collection'!G174)</f>
        <v>42814</v>
      </c>
      <c r="U393" s="227">
        <f t="shared" si="33"/>
        <v>51</v>
      </c>
      <c r="V393" s="225">
        <f t="shared" si="34"/>
        <v>0.40459999999999985</v>
      </c>
      <c r="W393" s="225">
        <f t="shared" si="35"/>
        <v>0.4312905081192433</v>
      </c>
      <c r="X393">
        <f>IFERROR(INDEX(Rainfall_Wet!$O$2:$O$217,MATCH(B393, Rainfall_Wet!$A$2:$A$217,0)),"")</f>
        <v>181.383442621</v>
      </c>
      <c r="Y393" s="231">
        <v>23.96</v>
      </c>
      <c r="Z393" s="231">
        <v>4.9199999999999982</v>
      </c>
      <c r="AA393" s="231">
        <v>71.12</v>
      </c>
      <c r="AB393" s="232" t="s">
        <v>2670</v>
      </c>
      <c r="AC393" s="231">
        <v>6.3091375061606696</v>
      </c>
      <c r="AD393">
        <f>IF('WetLitterbags placem_collection'!AB174="","",'WetLitterbags placem_collection'!AB174)</f>
        <v>3.3</v>
      </c>
      <c r="AE393">
        <f>IF('WetLitterbags placem_collection'!Z174="","",'WetLitterbags placem_collection'!Z174)</f>
        <v>28.4</v>
      </c>
      <c r="AF393" s="246" t="str">
        <f>IF('WetLitterbags placem_collection'!AA174="","",'WetLitterbags placem_collection'!AA174)</f>
        <v>G</v>
      </c>
      <c r="AG393">
        <f>IF('WetLitterbags placem_collection'!AC174="","",'WetLitterbags placem_collection'!AC174)</f>
        <v>1</v>
      </c>
      <c r="AH393" s="240">
        <f>AVERAGE('WetLitterbags placem_collection'!S174,'WetLitterbags placem_collection'!U174)</f>
        <v>9.6499999999999986</v>
      </c>
      <c r="AI393">
        <f>AVERAGE('WetLitterbags placem_collection'!R174,'WetLitterbags placem_collection'!T174)</f>
        <v>35.1</v>
      </c>
      <c r="AJ393">
        <f>INDEX(Coordinates!$B$2:$B$197,MATCH(G393,Coordinates!$J$2:$J$197,0))</f>
        <v>-2.2781410160000002</v>
      </c>
      <c r="AK393">
        <f>INDEX(Coordinates!$C$2:$C$197,MATCH(G393,Coordinates!$J$2:$J$197,0))</f>
        <v>34.024136009999999</v>
      </c>
      <c r="AL393" t="str">
        <f>IF(ISNUMBER(SEARCH("C", 'WetLitterbags placem_collection'!W174)),"YES","NO")</f>
        <v>NO</v>
      </c>
      <c r="AM393" t="str">
        <f>IF(ISNUMBER(SEARCH("H", 'WetLitterbags placem_collection'!W174)),"YES","NO")</f>
        <v>NO</v>
      </c>
      <c r="AN393" t="str">
        <f>IF(ISNUMBER(SEARCH("R", 'WetLitterbags placem_collection'!W174)),"YES","NO")</f>
        <v>YES</v>
      </c>
    </row>
    <row r="394" spans="1:40" ht="15" customHeight="1">
      <c r="A394" s="258" t="s">
        <v>2460</v>
      </c>
      <c r="B394" s="263">
        <f>'Dry_Litterbag Placem_Collection'!A175</f>
        <v>173</v>
      </c>
      <c r="C394" s="263" t="str">
        <f>'Dry_Litterbag Placem_Collection'!B175</f>
        <v>Handajega</v>
      </c>
      <c r="D394" s="263" t="s">
        <v>2460</v>
      </c>
      <c r="E394" s="263" t="s">
        <v>2661</v>
      </c>
      <c r="F394" s="263">
        <v>2</v>
      </c>
      <c r="G394" s="264" t="str">
        <f>'Dry_Litterbag Placem_Collection'!C175</f>
        <v>Wet_W2_T5</v>
      </c>
      <c r="H394" s="265" t="s">
        <v>2541</v>
      </c>
      <c r="I394" s="272" t="s">
        <v>298</v>
      </c>
      <c r="J394" s="223" t="str">
        <f>'WetLitterbags placem_collection'!M175</f>
        <v>R57</v>
      </c>
      <c r="K394" s="225">
        <f>IFERROR(INDEX('Green_rooibos initial weight'!$C$5:$C$1749,MATCH(J394, 'Green_rooibos initial weight'!$A$5:$A$1749,0)),"")</f>
        <v>2.1890000000000001</v>
      </c>
      <c r="L394" s="225">
        <f>IFERROR(K394-(TBIcalc!$H$9+TBIcalc!$H$10),"")</f>
        <v>1.9392</v>
      </c>
      <c r="M394" s="391">
        <f>AVERAGE(Ashed_controlls!$K$12:$K$14)</f>
        <v>2.2816647271287041</v>
      </c>
      <c r="N394" s="225">
        <f t="shared" si="32"/>
        <v>1.8949539576115202</v>
      </c>
      <c r="O394" s="225" t="str">
        <f>IF(IFERROR(INDEX('Both teabags AfterWet'!$C$3:$C$841,MATCH(J394,'Both teabags AfterWet'!$A$3:$A$841,0)),"")="","",(IFERROR(INDEX('Both teabags AfterWet'!$C$3:$C$841,MATCH(J394,'Both teabags AfterWet'!$A$3:$A$841,0)),"")))</f>
        <v/>
      </c>
      <c r="P394" s="225" t="str">
        <f>IFERROR(IF(O394&gt;0,O394-(TBIcalc!$H$9),""),"")</f>
        <v/>
      </c>
      <c r="Q394" s="225" t="str">
        <f>IFERROR(INDEX('Ashed teabags wet'!$K$2:$K$821,MATCH(J394,'Ashed teabags wet'!$A$2:$A$821,0)),"")</f>
        <v/>
      </c>
      <c r="R394" s="225" t="str">
        <f t="shared" si="31"/>
        <v/>
      </c>
      <c r="S394" s="226">
        <f>'WetLitterbags placem_collection'!E175</f>
        <v>42763</v>
      </c>
      <c r="T394" s="226">
        <f>IF('WetLitterbags placem_collection'!G175="","",'WetLitterbags placem_collection'!G175)</f>
        <v>42814</v>
      </c>
      <c r="U394" s="227">
        <f t="shared" si="33"/>
        <v>51</v>
      </c>
      <c r="V394" s="225" t="str">
        <f t="shared" si="34"/>
        <v/>
      </c>
      <c r="W394" s="225" t="str">
        <f t="shared" si="35"/>
        <v/>
      </c>
      <c r="X394">
        <f>IFERROR(INDEX(Rainfall_Wet!$O$2:$O$217,MATCH(B394, Rainfall_Wet!$A$2:$A$217,0)),"")</f>
        <v>181.383442621</v>
      </c>
      <c r="Y394" s="231">
        <v>23.96</v>
      </c>
      <c r="Z394" s="231">
        <v>4.9199999999999982</v>
      </c>
      <c r="AA394" s="231">
        <v>71.12</v>
      </c>
      <c r="AB394" s="232" t="s">
        <v>2670</v>
      </c>
      <c r="AC394" s="231">
        <v>7.3091375061606696</v>
      </c>
      <c r="AD394">
        <f>IF('WetLitterbags placem_collection'!AB175="","",'WetLitterbags placem_collection'!AB175)</f>
        <v>15.4</v>
      </c>
      <c r="AE394">
        <f>IF('WetLitterbags placem_collection'!Z175="","",'WetLitterbags placem_collection'!Z175)</f>
        <v>12.4</v>
      </c>
      <c r="AF394" s="246" t="str">
        <f>IF('WetLitterbags placem_collection'!AA175="","",'WetLitterbags placem_collection'!AA175)</f>
        <v>O</v>
      </c>
      <c r="AG394">
        <f>IF('WetLitterbags placem_collection'!AC175="","",'WetLitterbags placem_collection'!AC175)</f>
        <v>0</v>
      </c>
      <c r="AH394" s="240">
        <f>AVERAGE('WetLitterbags placem_collection'!S175,'WetLitterbags placem_collection'!U175)</f>
        <v>10.450000000000001</v>
      </c>
      <c r="AI394">
        <f>AVERAGE('WetLitterbags placem_collection'!R175,'WetLitterbags placem_collection'!T175)</f>
        <v>36.349999999999994</v>
      </c>
      <c r="AJ394">
        <f>INDEX(Coordinates!$B$2:$B$197,MATCH(G394,Coordinates!$J$2:$J$197,0))</f>
        <v>-2.27856799</v>
      </c>
      <c r="AK394">
        <f>INDEX(Coordinates!$C$2:$C$197,MATCH(G394,Coordinates!$J$2:$J$197,0))</f>
        <v>34.023969970000003</v>
      </c>
      <c r="AL394" t="str">
        <f>IF(ISNUMBER(SEARCH("C", 'WetLitterbags placem_collection'!W175)),"YES","NO")</f>
        <v>YES</v>
      </c>
      <c r="AM394" t="str">
        <f>IF(ISNUMBER(SEARCH("H", 'WetLitterbags placem_collection'!W175)),"YES","NO")</f>
        <v>YES</v>
      </c>
      <c r="AN394" t="str">
        <f>IF(ISNUMBER(SEARCH("R", 'WetLitterbags placem_collection'!W175)),"YES","NO")</f>
        <v>NO</v>
      </c>
    </row>
    <row r="395" spans="1:40" ht="15" customHeight="1">
      <c r="A395" s="258" t="s">
        <v>2460</v>
      </c>
      <c r="B395" s="263">
        <f>'Dry_Litterbag Placem_Collection'!A176</f>
        <v>174</v>
      </c>
      <c r="C395" s="263" t="str">
        <f>'Dry_Litterbag Placem_Collection'!B176</f>
        <v>Handajega</v>
      </c>
      <c r="D395" s="263" t="s">
        <v>2460</v>
      </c>
      <c r="E395" s="263" t="s">
        <v>2661</v>
      </c>
      <c r="F395" s="263">
        <v>2</v>
      </c>
      <c r="G395" s="264" t="str">
        <f>'Dry_Litterbag Placem_Collection'!C176</f>
        <v>Wet_W2_T6</v>
      </c>
      <c r="H395" s="265" t="s">
        <v>2541</v>
      </c>
      <c r="I395" s="272" t="s">
        <v>298</v>
      </c>
      <c r="J395" s="223" t="str">
        <f>'WetLitterbags placem_collection'!M176</f>
        <v>R307</v>
      </c>
      <c r="K395" s="225">
        <f>IFERROR(INDEX('Green_rooibos initial weight'!$C$5:$C$1749,MATCH(J395, 'Green_rooibos initial weight'!$A$5:$A$1749,0)),"")</f>
        <v>2.2010000000000001</v>
      </c>
      <c r="L395" s="225">
        <f>IFERROR(K395-(TBIcalc!$H$9+TBIcalc!$H$10),"")</f>
        <v>1.9512</v>
      </c>
      <c r="M395" s="391">
        <f>AVERAGE(Ashed_controlls!$K$12:$K$14)</f>
        <v>2.2816647271287041</v>
      </c>
      <c r="N395" s="225">
        <f t="shared" si="32"/>
        <v>1.9066801578442647</v>
      </c>
      <c r="O395" s="225">
        <f>IF(IFERROR(INDEX('Both teabags AfterWet'!$C$3:$C$841,MATCH(J395,'Both teabags AfterWet'!$A$3:$A$841,0)),"")="","",(IFERROR(INDEX('Both teabags AfterWet'!$C$3:$C$841,MATCH(J395,'Both teabags AfterWet'!$A$3:$A$841,0)),"")))</f>
        <v>1.724</v>
      </c>
      <c r="P395" s="225">
        <f>IFERROR(IF(O395&gt;0,O395-(TBIcalc!$H$9),""),"")</f>
        <v>1.5733999999999999</v>
      </c>
      <c r="Q395" s="225">
        <f>IFERROR(INDEX('Ashed teabags wet'!$K$2:$K$821,MATCH(J395,'Ashed teabags wet'!$A$2:$A$821,0)),"")</f>
        <v>1.5880893300249692</v>
      </c>
      <c r="R395" s="225">
        <f t="shared" ref="R395:R458" si="36">IFERROR(P395-(Q395/100)*P395,"")</f>
        <v>1.5484130024813871</v>
      </c>
      <c r="S395" s="226">
        <f>'WetLitterbags placem_collection'!E176</f>
        <v>42763</v>
      </c>
      <c r="T395" s="226">
        <f>IF('WetLitterbags placem_collection'!G176="","",'WetLitterbags placem_collection'!G176)</f>
        <v>42814</v>
      </c>
      <c r="U395" s="227">
        <f t="shared" si="33"/>
        <v>51</v>
      </c>
      <c r="V395" s="225">
        <f t="shared" si="34"/>
        <v>0.37780000000000014</v>
      </c>
      <c r="W395" s="225">
        <f t="shared" si="35"/>
        <v>0.35826715536287757</v>
      </c>
      <c r="X395">
        <f>IFERROR(INDEX(Rainfall_Wet!$O$2:$O$217,MATCH(B395, Rainfall_Wet!$A$2:$A$217,0)),"")</f>
        <v>181.383442621</v>
      </c>
      <c r="Y395" s="231">
        <v>23.96</v>
      </c>
      <c r="Z395" s="231">
        <v>4.9199999999999982</v>
      </c>
      <c r="AA395" s="231">
        <v>71.12</v>
      </c>
      <c r="AB395" s="232" t="s">
        <v>2670</v>
      </c>
      <c r="AC395" s="231">
        <v>8.3091375061606705</v>
      </c>
      <c r="AD395">
        <f>IF('WetLitterbags placem_collection'!AB176="","",'WetLitterbags placem_collection'!AB176)</f>
        <v>7.4</v>
      </c>
      <c r="AE395">
        <f>IF('WetLitterbags placem_collection'!Z176="","",'WetLitterbags placem_collection'!Z176)</f>
        <v>7.4</v>
      </c>
      <c r="AF395" s="246" t="str">
        <f>IF('WetLitterbags placem_collection'!AA176="","",'WetLitterbags placem_collection'!AA176)</f>
        <v>O</v>
      </c>
      <c r="AG395">
        <f>IF('WetLitterbags placem_collection'!AC176="","",'WetLitterbags placem_collection'!AC176)</f>
        <v>0</v>
      </c>
      <c r="AH395" s="240">
        <f>AVERAGE('WetLitterbags placem_collection'!S176,'WetLitterbags placem_collection'!U176)</f>
        <v>17.75</v>
      </c>
      <c r="AI395">
        <f>AVERAGE('WetLitterbags placem_collection'!R176,'WetLitterbags placem_collection'!T176)</f>
        <v>34.85</v>
      </c>
      <c r="AJ395">
        <f>INDEX(Coordinates!$B$2:$B$197,MATCH(G395,Coordinates!$J$2:$J$197,0))</f>
        <v>-2.2786809780000001</v>
      </c>
      <c r="AK395">
        <f>INDEX(Coordinates!$C$2:$C$197,MATCH(G395,Coordinates!$J$2:$J$197,0))</f>
        <v>34.02434899</v>
      </c>
      <c r="AL395" t="str">
        <f>IF(ISNUMBER(SEARCH("C", 'WetLitterbags placem_collection'!W176)),"YES","NO")</f>
        <v>NO</v>
      </c>
      <c r="AM395" t="str">
        <f>IF(ISNUMBER(SEARCH("H", 'WetLitterbags placem_collection'!W176)),"YES","NO")</f>
        <v>NO</v>
      </c>
      <c r="AN395" t="str">
        <f>IF(ISNUMBER(SEARCH("R", 'WetLitterbags placem_collection'!W176)),"YES","NO")</f>
        <v>YES</v>
      </c>
    </row>
    <row r="396" spans="1:40" ht="15" customHeight="1">
      <c r="A396" s="258" t="s">
        <v>2460</v>
      </c>
      <c r="B396" s="263">
        <f>'Dry_Litterbag Placem_Collection'!A177</f>
        <v>175</v>
      </c>
      <c r="C396" s="263" t="str">
        <f>'Dry_Litterbag Placem_Collection'!B177</f>
        <v>Handajega</v>
      </c>
      <c r="D396" s="263" t="s">
        <v>2460</v>
      </c>
      <c r="E396" s="263" t="s">
        <v>2661</v>
      </c>
      <c r="F396" s="263">
        <v>2</v>
      </c>
      <c r="G396" s="264" t="str">
        <f>'Dry_Litterbag Placem_Collection'!C177</f>
        <v>Wet_W2_T7</v>
      </c>
      <c r="H396" s="265" t="s">
        <v>2541</v>
      </c>
      <c r="I396" s="272" t="s">
        <v>298</v>
      </c>
      <c r="J396" s="223" t="str">
        <f>'WetLitterbags placem_collection'!M177</f>
        <v>R458</v>
      </c>
      <c r="K396" s="225">
        <f>IFERROR(INDEX('Green_rooibos initial weight'!$C$5:$C$1749,MATCH(J396, 'Green_rooibos initial weight'!$A$5:$A$1749,0)),"")</f>
        <v>2.2370000000000001</v>
      </c>
      <c r="L396" s="225">
        <f>IFERROR(K396-(TBIcalc!$H$9+TBIcalc!$H$10),"")</f>
        <v>1.9872000000000001</v>
      </c>
      <c r="M396" s="391">
        <f>AVERAGE(Ashed_controlls!$K$12:$K$14)</f>
        <v>2.2816647271287041</v>
      </c>
      <c r="N396" s="225">
        <f t="shared" si="32"/>
        <v>1.9418587585424985</v>
      </c>
      <c r="O396" s="225">
        <f>IF(IFERROR(INDEX('Both teabags AfterWet'!$C$3:$C$841,MATCH(J396,'Both teabags AfterWet'!$A$3:$A$841,0)),"")="","",(IFERROR(INDEX('Both teabags AfterWet'!$C$3:$C$841,MATCH(J396,'Both teabags AfterWet'!$A$3:$A$841,0)),"")))</f>
        <v>0.61699999999999999</v>
      </c>
      <c r="P396" s="225">
        <f>IFERROR(IF(O396&gt;0,O396-(TBIcalc!$H$9),""),"")</f>
        <v>0.46639999999999998</v>
      </c>
      <c r="Q396" s="225">
        <f>IFERROR(INDEX('Ashed teabags wet'!$K$2:$K$821,MATCH(J396,'Ashed teabags wet'!$A$2:$A$821,0)),"")</f>
        <v>65.665665665665671</v>
      </c>
      <c r="R396" s="225">
        <f t="shared" si="36"/>
        <v>0.1601353353353353</v>
      </c>
      <c r="S396" s="226">
        <f>'WetLitterbags placem_collection'!E177</f>
        <v>42763</v>
      </c>
      <c r="T396" s="226">
        <f>IF('WetLitterbags placem_collection'!G177="","",'WetLitterbags placem_collection'!G177)</f>
        <v>42814</v>
      </c>
      <c r="U396" s="227">
        <f t="shared" si="33"/>
        <v>51</v>
      </c>
      <c r="V396" s="225">
        <f t="shared" si="34"/>
        <v>1.5208000000000002</v>
      </c>
      <c r="W396" s="225">
        <f t="shared" si="35"/>
        <v>1.781723423207163</v>
      </c>
      <c r="X396">
        <f>IFERROR(INDEX(Rainfall_Wet!$O$2:$O$217,MATCH(B396, Rainfall_Wet!$A$2:$A$217,0)),"")</f>
        <v>181.383442621</v>
      </c>
      <c r="Y396" s="231">
        <v>23.96</v>
      </c>
      <c r="Z396" s="231">
        <v>4.9199999999999982</v>
      </c>
      <c r="AA396" s="231">
        <v>71.12</v>
      </c>
      <c r="AB396" s="232" t="s">
        <v>2670</v>
      </c>
      <c r="AC396" s="231">
        <v>9.3091375061606705</v>
      </c>
      <c r="AD396">
        <f>IF('WetLitterbags placem_collection'!AB177="","",'WetLitterbags placem_collection'!AB177)</f>
        <v>15.4</v>
      </c>
      <c r="AE396">
        <f>IF('WetLitterbags placem_collection'!Z177="","",'WetLitterbags placem_collection'!Z177)</f>
        <v>9.8000000000000007</v>
      </c>
      <c r="AF396" s="246" t="str">
        <f>IF('WetLitterbags placem_collection'!AA177="","",'WetLitterbags placem_collection'!AA177)</f>
        <v>O</v>
      </c>
      <c r="AG396">
        <f>IF('WetLitterbags placem_collection'!AC177="","",'WetLitterbags placem_collection'!AC177)</f>
        <v>1</v>
      </c>
      <c r="AH396" s="240">
        <f>AVERAGE('WetLitterbags placem_collection'!S177,'WetLitterbags placem_collection'!U177)</f>
        <v>11.55</v>
      </c>
      <c r="AI396">
        <f>AVERAGE('WetLitterbags placem_collection'!R177,'WetLitterbags placem_collection'!T177)</f>
        <v>36.25</v>
      </c>
      <c r="AJ396">
        <f>INDEX(Coordinates!$B$2:$B$197,MATCH(G396,Coordinates!$J$2:$J$197,0))</f>
        <v>-2.2784219779999999</v>
      </c>
      <c r="AK396">
        <f>INDEX(Coordinates!$C$2:$C$197,MATCH(G396,Coordinates!$J$2:$J$197,0))</f>
        <v>34.024374979999997</v>
      </c>
      <c r="AL396" t="str">
        <f>IF(ISNUMBER(SEARCH("C", 'WetLitterbags placem_collection'!W177)),"YES","NO")</f>
        <v>YES</v>
      </c>
      <c r="AM396" t="str">
        <f>IF(ISNUMBER(SEARCH("H", 'WetLitterbags placem_collection'!W177)),"YES","NO")</f>
        <v>YES</v>
      </c>
      <c r="AN396" t="str">
        <f>IF(ISNUMBER(SEARCH("R", 'WetLitterbags placem_collection'!W177)),"YES","NO")</f>
        <v>NO</v>
      </c>
    </row>
    <row r="397" spans="1:40" ht="15" customHeight="1">
      <c r="A397" s="258" t="s">
        <v>2460</v>
      </c>
      <c r="B397" s="263">
        <f>'Dry_Litterbag Placem_Collection'!A178</f>
        <v>176</v>
      </c>
      <c r="C397" s="263" t="str">
        <f>'Dry_Litterbag Placem_Collection'!B178</f>
        <v>Handajega</v>
      </c>
      <c r="D397" s="263" t="s">
        <v>2460</v>
      </c>
      <c r="E397" s="263" t="s">
        <v>2661</v>
      </c>
      <c r="F397" s="263">
        <v>2</v>
      </c>
      <c r="G397" s="264" t="str">
        <f>'Dry_Litterbag Placem_Collection'!C178</f>
        <v>Wet_W2_T8</v>
      </c>
      <c r="H397" s="265" t="s">
        <v>2541</v>
      </c>
      <c r="I397" s="272" t="s">
        <v>298</v>
      </c>
      <c r="J397" s="223" t="str">
        <f>'WetLitterbags placem_collection'!M178</f>
        <v>R326</v>
      </c>
      <c r="K397" s="225">
        <f>IFERROR(INDEX('Green_rooibos initial weight'!$C$5:$C$1749,MATCH(J397, 'Green_rooibos initial weight'!$A$5:$A$1749,0)),"")</f>
        <v>2.1890000000000001</v>
      </c>
      <c r="L397" s="225">
        <f>IFERROR(K397-(TBIcalc!$H$9+TBIcalc!$H$10),"")</f>
        <v>1.9392</v>
      </c>
      <c r="M397" s="391">
        <f>AVERAGE(Ashed_controlls!$K$12:$K$14)</f>
        <v>2.2816647271287041</v>
      </c>
      <c r="N397" s="225">
        <f t="shared" si="32"/>
        <v>1.8949539576115202</v>
      </c>
      <c r="O397" s="225">
        <f>IF(IFERROR(INDEX('Both teabags AfterWet'!$C$3:$C$841,MATCH(J397,'Both teabags AfterWet'!$A$3:$A$841,0)),"")="","",(IFERROR(INDEX('Both teabags AfterWet'!$C$3:$C$841,MATCH(J397,'Both teabags AfterWet'!$A$3:$A$841,0)),"")))</f>
        <v>1.694</v>
      </c>
      <c r="P397" s="225">
        <f>IFERROR(IF(O397&gt;0,O397-(TBIcalc!$H$9),""),"")</f>
        <v>1.5433999999999999</v>
      </c>
      <c r="Q397" s="225">
        <f>IFERROR(INDEX('Ashed teabags wet'!$K$2:$K$821,MATCH(J397,'Ashed teabags wet'!$A$2:$A$821,0)),"")</f>
        <v>5.9808612440189712</v>
      </c>
      <c r="R397" s="225">
        <f t="shared" si="36"/>
        <v>1.451091387559811</v>
      </c>
      <c r="S397" s="226">
        <f>'WetLitterbags placem_collection'!E178</f>
        <v>42763</v>
      </c>
      <c r="T397" s="226">
        <f>IF('WetLitterbags placem_collection'!G178="","",'WetLitterbags placem_collection'!G178)</f>
        <v>42814</v>
      </c>
      <c r="U397" s="227">
        <f t="shared" si="33"/>
        <v>51</v>
      </c>
      <c r="V397" s="225">
        <f t="shared" si="34"/>
        <v>0.39580000000000015</v>
      </c>
      <c r="W397" s="225">
        <f t="shared" si="35"/>
        <v>0.44386257005170915</v>
      </c>
      <c r="X397">
        <f>IFERROR(INDEX(Rainfall_Wet!$O$2:$O$217,MATCH(B397, Rainfall_Wet!$A$2:$A$217,0)),"")</f>
        <v>181.383442621</v>
      </c>
      <c r="Y397" s="231">
        <v>23.96</v>
      </c>
      <c r="Z397" s="231">
        <v>4.9199999999999982</v>
      </c>
      <c r="AA397" s="231">
        <v>71.12</v>
      </c>
      <c r="AB397" s="232" t="s">
        <v>2670</v>
      </c>
      <c r="AC397" s="231">
        <v>10.309137506160701</v>
      </c>
      <c r="AD397">
        <f>IF('WetLitterbags placem_collection'!AB178="","",'WetLitterbags placem_collection'!AB178)</f>
        <v>6.8</v>
      </c>
      <c r="AE397">
        <f>IF('WetLitterbags placem_collection'!Z178="","",'WetLitterbags placem_collection'!Z178)</f>
        <v>6.9</v>
      </c>
      <c r="AF397" s="246" t="str">
        <f>IF('WetLitterbags placem_collection'!AA178="","",'WetLitterbags placem_collection'!AA178)</f>
        <v>O</v>
      </c>
      <c r="AG397">
        <f>IF('WetLitterbags placem_collection'!AC178="","",'WetLitterbags placem_collection'!AC178)</f>
        <v>0</v>
      </c>
      <c r="AH397" s="240">
        <f>AVERAGE('WetLitterbags placem_collection'!S178,'WetLitterbags placem_collection'!U178)</f>
        <v>11.4</v>
      </c>
      <c r="AI397">
        <f>AVERAGE('WetLitterbags placem_collection'!R178,'WetLitterbags placem_collection'!T178)</f>
        <v>34.15</v>
      </c>
      <c r="AJ397">
        <f>INDEX(Coordinates!$B$2:$B$197,MATCH(G397,Coordinates!$J$2:$J$197,0))</f>
        <v>-2.2782909679999999</v>
      </c>
      <c r="AK397">
        <f>INDEX(Coordinates!$C$2:$C$197,MATCH(G397,Coordinates!$J$2:$J$197,0))</f>
        <v>34.024574970000003</v>
      </c>
      <c r="AL397" t="str">
        <f>IF(ISNUMBER(SEARCH("C", 'WetLitterbags placem_collection'!W178)),"YES","NO")</f>
        <v>NO</v>
      </c>
      <c r="AM397" t="str">
        <f>IF(ISNUMBER(SEARCH("H", 'WetLitterbags placem_collection'!W178)),"YES","NO")</f>
        <v>NO</v>
      </c>
      <c r="AN397" t="str">
        <f>IF(ISNUMBER(SEARCH("R", 'WetLitterbags placem_collection'!W178)),"YES","NO")</f>
        <v>NO</v>
      </c>
    </row>
    <row r="398" spans="1:40" ht="15" customHeight="1">
      <c r="A398" s="258" t="s">
        <v>2460</v>
      </c>
      <c r="B398" s="263">
        <f>'Dry_Litterbag Placem_Collection'!A179</f>
        <v>177</v>
      </c>
      <c r="C398" s="263" t="str">
        <f>'Dry_Litterbag Placem_Collection'!B179</f>
        <v>Handajega</v>
      </c>
      <c r="D398" s="263" t="s">
        <v>2460</v>
      </c>
      <c r="E398" s="263" t="s">
        <v>2661</v>
      </c>
      <c r="F398" s="263">
        <v>3</v>
      </c>
      <c r="G398" s="264" t="str">
        <f>'Dry_Litterbag Placem_Collection'!C179</f>
        <v>Wet_W3_T1</v>
      </c>
      <c r="H398" s="265" t="s">
        <v>2541</v>
      </c>
      <c r="I398" s="272" t="s">
        <v>298</v>
      </c>
      <c r="J398" s="223" t="str">
        <f>'WetLitterbags placem_collection'!M179</f>
        <v>R262</v>
      </c>
      <c r="K398" s="225">
        <f>IFERROR(INDEX('Green_rooibos initial weight'!$C$5:$C$1749,MATCH(J398, 'Green_rooibos initial weight'!$A$5:$A$1749,0)),"")</f>
        <v>2.1949999999999998</v>
      </c>
      <c r="L398" s="225">
        <f>IFERROR(K398-(TBIcalc!$H$9+TBIcalc!$H$10),"")</f>
        <v>1.9451999999999998</v>
      </c>
      <c r="M398" s="391">
        <f>AVERAGE(Ashed_controlls!$K$12:$K$14)</f>
        <v>2.2816647271287041</v>
      </c>
      <c r="N398" s="225">
        <f t="shared" si="32"/>
        <v>1.9008170577278922</v>
      </c>
      <c r="O398" s="225">
        <f>IF(IFERROR(INDEX('Both teabags AfterWet'!$C$3:$C$841,MATCH(J398,'Both teabags AfterWet'!$A$3:$A$841,0)),"")="","",(IFERROR(INDEX('Both teabags AfterWet'!$C$3:$C$841,MATCH(J398,'Both teabags AfterWet'!$A$3:$A$841,0)),"")))</f>
        <v>1.671</v>
      </c>
      <c r="P398" s="225">
        <f>IFERROR(IF(O398&gt;0,O398-(TBIcalc!$H$9),""),"")</f>
        <v>1.5204</v>
      </c>
      <c r="Q398" s="225">
        <f>IFERROR(INDEX('Ashed teabags wet'!$K$2:$K$821,MATCH(J398,'Ashed teabags wet'!$A$2:$A$821,0)),"")</f>
        <v>2.7363184079606433</v>
      </c>
      <c r="R398" s="225">
        <f t="shared" si="36"/>
        <v>1.4787970149253664</v>
      </c>
      <c r="S398" s="226">
        <f>'WetLitterbags placem_collection'!E179</f>
        <v>42763</v>
      </c>
      <c r="T398" s="226">
        <f>IF('WetLitterbags placem_collection'!G179="","",'WetLitterbags placem_collection'!G179)</f>
        <v>42815</v>
      </c>
      <c r="U398" s="227">
        <f t="shared" si="33"/>
        <v>52</v>
      </c>
      <c r="V398" s="225">
        <f t="shared" si="34"/>
        <v>0.42479999999999984</v>
      </c>
      <c r="W398" s="225">
        <f t="shared" si="35"/>
        <v>0.42202004280252581</v>
      </c>
      <c r="X398">
        <f>IFERROR(INDEX(Rainfall_Wet!$O$2:$O$217,MATCH(B398, Rainfall_Wet!$A$2:$A$217,0)),"")</f>
        <v>188.24043152799999</v>
      </c>
      <c r="Y398" s="231">
        <v>25.96</v>
      </c>
      <c r="Z398" s="231">
        <v>8.9200000000000017</v>
      </c>
      <c r="AA398" s="231">
        <v>65.12</v>
      </c>
      <c r="AB398" s="232" t="s">
        <v>2670</v>
      </c>
      <c r="AC398" s="231">
        <v>1.614588467225234</v>
      </c>
      <c r="AD398">
        <f>IF('WetLitterbags placem_collection'!AB179="","",'WetLitterbags placem_collection'!AB179)</f>
        <v>17.8</v>
      </c>
      <c r="AE398">
        <f>IF('WetLitterbags placem_collection'!Z179="","",'WetLitterbags placem_collection'!Z179)</f>
        <v>25.8</v>
      </c>
      <c r="AF398" s="246" t="str">
        <f>IF('WetLitterbags placem_collection'!AA179="","",'WetLitterbags placem_collection'!AA179)</f>
        <v>O</v>
      </c>
      <c r="AG398">
        <f>IF('WetLitterbags placem_collection'!AC179="","",'WetLitterbags placem_collection'!AC179)</f>
        <v>0</v>
      </c>
      <c r="AH398" s="240">
        <f>AVERAGE('WetLitterbags placem_collection'!S179,'WetLitterbags placem_collection'!U179)</f>
        <v>19.200000000000003</v>
      </c>
      <c r="AI398">
        <f>AVERAGE('WetLitterbags placem_collection'!R179,'WetLitterbags placem_collection'!T179)</f>
        <v>32.1</v>
      </c>
      <c r="AJ398">
        <f>INDEX(Coordinates!$B$2:$B$197,MATCH(G398,Coordinates!$J$2:$J$197,0))</f>
        <v>-2.277740026</v>
      </c>
      <c r="AK398">
        <f>INDEX(Coordinates!$C$2:$C$197,MATCH(G398,Coordinates!$J$2:$J$197,0))</f>
        <v>34.027640990000002</v>
      </c>
      <c r="AL398" t="str">
        <f>IF(ISNUMBER(SEARCH("C", 'WetLitterbags placem_collection'!W179)),"YES","NO")</f>
        <v>YES</v>
      </c>
      <c r="AM398" t="str">
        <f>IF(ISNUMBER(SEARCH("H", 'WetLitterbags placem_collection'!W179)),"YES","NO")</f>
        <v>NO</v>
      </c>
      <c r="AN398" t="str">
        <f>IF(ISNUMBER(SEARCH("R", 'WetLitterbags placem_collection'!W179)),"YES","NO")</f>
        <v>YES</v>
      </c>
    </row>
    <row r="399" spans="1:40" ht="15" customHeight="1">
      <c r="A399" s="258" t="s">
        <v>2460</v>
      </c>
      <c r="B399" s="263">
        <f>'Dry_Litterbag Placem_Collection'!A180</f>
        <v>178</v>
      </c>
      <c r="C399" s="263" t="str">
        <f>'Dry_Litterbag Placem_Collection'!B180</f>
        <v>Handajega</v>
      </c>
      <c r="D399" s="263" t="s">
        <v>2460</v>
      </c>
      <c r="E399" s="263" t="s">
        <v>2661</v>
      </c>
      <c r="F399" s="263">
        <v>3</v>
      </c>
      <c r="G399" s="264" t="str">
        <f>'Dry_Litterbag Placem_Collection'!C180</f>
        <v>Wet_W3_T2</v>
      </c>
      <c r="H399" s="265" t="s">
        <v>2541</v>
      </c>
      <c r="I399" s="272" t="s">
        <v>298</v>
      </c>
      <c r="J399" s="223" t="str">
        <f>'WetLitterbags placem_collection'!M180</f>
        <v>R309</v>
      </c>
      <c r="K399" s="225">
        <f>IFERROR(INDEX('Green_rooibos initial weight'!$C$5:$C$1749,MATCH(J399, 'Green_rooibos initial weight'!$A$5:$A$1749,0)),"")</f>
        <v>2.1960000000000002</v>
      </c>
      <c r="L399" s="225">
        <f>IFERROR(K399-(TBIcalc!$H$9+TBIcalc!$H$10),"")</f>
        <v>1.9462000000000002</v>
      </c>
      <c r="M399" s="391">
        <f>AVERAGE(Ashed_controlls!$K$12:$K$14)</f>
        <v>2.2816647271287041</v>
      </c>
      <c r="N399" s="225">
        <f t="shared" si="32"/>
        <v>1.9017942410806212</v>
      </c>
      <c r="O399" s="225">
        <f>IF(IFERROR(INDEX('Both teabags AfterWet'!$C$3:$C$841,MATCH(J399,'Both teabags AfterWet'!$A$3:$A$841,0)),"")="","",(IFERROR(INDEX('Both teabags AfterWet'!$C$3:$C$841,MATCH(J399,'Both teabags AfterWet'!$A$3:$A$841,0)),"")))</f>
        <v>1.6866000000000001</v>
      </c>
      <c r="P399" s="225">
        <f>IFERROR(IF(O399&gt;0,O399-(TBIcalc!$H$9),""),"")</f>
        <v>1.536</v>
      </c>
      <c r="Q399" s="225">
        <f>IFERROR(INDEX('Ashed teabags wet'!$K$2:$K$821,MATCH(J399,'Ashed teabags wet'!$A$2:$A$821,0)),"")</f>
        <v>0.87633885102250153</v>
      </c>
      <c r="R399" s="225">
        <f t="shared" si="36"/>
        <v>1.5225394352482944</v>
      </c>
      <c r="S399" s="226">
        <f>'WetLitterbags placem_collection'!E180</f>
        <v>42763</v>
      </c>
      <c r="T399" s="226">
        <f>IF('WetLitterbags placem_collection'!G180="","",'WetLitterbags placem_collection'!G180)</f>
        <v>42815</v>
      </c>
      <c r="U399" s="227">
        <f t="shared" si="33"/>
        <v>52</v>
      </c>
      <c r="V399" s="225">
        <f t="shared" si="34"/>
        <v>0.41020000000000012</v>
      </c>
      <c r="W399" s="225">
        <f t="shared" si="35"/>
        <v>0.37925480583232685</v>
      </c>
      <c r="X399">
        <f>IFERROR(INDEX(Rainfall_Wet!$O$2:$O$217,MATCH(B399, Rainfall_Wet!$A$2:$A$217,0)),"")</f>
        <v>188.24043152799999</v>
      </c>
      <c r="Y399" s="231">
        <v>25.96</v>
      </c>
      <c r="Z399" s="231">
        <v>8.9200000000000017</v>
      </c>
      <c r="AA399" s="231">
        <v>65.12</v>
      </c>
      <c r="AB399" s="232" t="s">
        <v>2670</v>
      </c>
      <c r="AC399" s="231">
        <v>2.61458846722523</v>
      </c>
      <c r="AD399">
        <f>IF('WetLitterbags placem_collection'!AB180="","",'WetLitterbags placem_collection'!AB180)</f>
        <v>15.4</v>
      </c>
      <c r="AE399">
        <f>IF('WetLitterbags placem_collection'!Z180="","",'WetLitterbags placem_collection'!Z180)</f>
        <v>18.8</v>
      </c>
      <c r="AF399" s="246" t="str">
        <f>IF('WetLitterbags placem_collection'!AA180="","",'WetLitterbags placem_collection'!AA180)</f>
        <v>O</v>
      </c>
      <c r="AG399">
        <f>IF('WetLitterbags placem_collection'!AC180="","",'WetLitterbags placem_collection'!AC180)</f>
        <v>1</v>
      </c>
      <c r="AH399" s="240">
        <f>AVERAGE('WetLitterbags placem_collection'!S180,'WetLitterbags placem_collection'!U180)</f>
        <v>17.149999999999999</v>
      </c>
      <c r="AI399">
        <f>AVERAGE('WetLitterbags placem_collection'!R180,'WetLitterbags placem_collection'!T180)</f>
        <v>32.950000000000003</v>
      </c>
      <c r="AJ399">
        <f>INDEX(Coordinates!$B$2:$B$197,MATCH(G399,Coordinates!$J$2:$J$197,0))</f>
        <v>-2.2777889760000001</v>
      </c>
      <c r="AK399">
        <f>INDEX(Coordinates!$C$2:$C$197,MATCH(G399,Coordinates!$J$2:$J$197,0))</f>
        <v>34.027664960000003</v>
      </c>
      <c r="AL399" t="str">
        <f>IF(ISNUMBER(SEARCH("C", 'WetLitterbags placem_collection'!W180)),"YES","NO")</f>
        <v>NO</v>
      </c>
      <c r="AM399" t="str">
        <f>IF(ISNUMBER(SEARCH("H", 'WetLitterbags placem_collection'!W180)),"YES","NO")</f>
        <v>NO</v>
      </c>
      <c r="AN399" t="str">
        <f>IF(ISNUMBER(SEARCH("R", 'WetLitterbags placem_collection'!W180)),"YES","NO")</f>
        <v>NO</v>
      </c>
    </row>
    <row r="400" spans="1:40" ht="15" customHeight="1">
      <c r="A400" s="258" t="s">
        <v>2460</v>
      </c>
      <c r="B400" s="263">
        <f>'Dry_Litterbag Placem_Collection'!A181</f>
        <v>179</v>
      </c>
      <c r="C400" s="263" t="str">
        <f>'Dry_Litterbag Placem_Collection'!B181</f>
        <v>Handajega</v>
      </c>
      <c r="D400" s="263" t="s">
        <v>2460</v>
      </c>
      <c r="E400" s="263" t="s">
        <v>2661</v>
      </c>
      <c r="F400" s="263">
        <v>3</v>
      </c>
      <c r="G400" s="264" t="str">
        <f>'Dry_Litterbag Placem_Collection'!C181</f>
        <v>Wet_W3_T3</v>
      </c>
      <c r="H400" s="265" t="s">
        <v>2541</v>
      </c>
      <c r="I400" s="272" t="s">
        <v>298</v>
      </c>
      <c r="J400" s="223" t="str">
        <f>'WetLitterbags placem_collection'!M181</f>
        <v>R32</v>
      </c>
      <c r="K400" s="225">
        <f>IFERROR(INDEX('Green_rooibos initial weight'!$C$5:$C$1749,MATCH(J400, 'Green_rooibos initial weight'!$A$5:$A$1749,0)),"")</f>
        <v>2.2290000000000001</v>
      </c>
      <c r="L400" s="225">
        <f>IFERROR(K400-(TBIcalc!$H$9+TBIcalc!$H$10),"")</f>
        <v>1.9792000000000001</v>
      </c>
      <c r="M400" s="391">
        <f>AVERAGE(Ashed_controlls!$K$12:$K$14)</f>
        <v>2.2816647271287041</v>
      </c>
      <c r="N400" s="225">
        <f t="shared" si="32"/>
        <v>1.9340412917206689</v>
      </c>
      <c r="O400" s="225">
        <f>IF(IFERROR(INDEX('Both teabags AfterWet'!$C$3:$C$841,MATCH(J400,'Both teabags AfterWet'!$A$3:$A$841,0)),"")="","",(IFERROR(INDEX('Both teabags AfterWet'!$C$3:$C$841,MATCH(J400,'Both teabags AfterWet'!$A$3:$A$841,0)),"")))</f>
        <v>1.6146</v>
      </c>
      <c r="P400" s="225">
        <f>IFERROR(IF(O400&gt;0,O400-(TBIcalc!$H$9),""),"")</f>
        <v>1.464</v>
      </c>
      <c r="Q400" s="225">
        <f>IFERROR(INDEX('Ashed teabags wet'!$K$2:$K$821,MATCH(J400,'Ashed teabags wet'!$A$2:$A$821,0)),"")</f>
        <v>1.8482490272371503</v>
      </c>
      <c r="R400" s="225">
        <f t="shared" si="36"/>
        <v>1.436941634241248</v>
      </c>
      <c r="S400" s="226">
        <f>'WetLitterbags placem_collection'!E181</f>
        <v>42763</v>
      </c>
      <c r="T400" s="226">
        <f>IF('WetLitterbags placem_collection'!G181="","",'WetLitterbags placem_collection'!G181)</f>
        <v>42815</v>
      </c>
      <c r="U400" s="227">
        <f t="shared" si="33"/>
        <v>52</v>
      </c>
      <c r="V400" s="225">
        <f t="shared" si="34"/>
        <v>0.5152000000000001</v>
      </c>
      <c r="W400" s="225">
        <f t="shared" si="35"/>
        <v>0.49709965747942086</v>
      </c>
      <c r="X400">
        <f>IFERROR(INDEX(Rainfall_Wet!$O$2:$O$217,MATCH(B400, Rainfall_Wet!$A$2:$A$217,0)),"")</f>
        <v>188.24043152799999</v>
      </c>
      <c r="Y400" s="231">
        <v>25.96</v>
      </c>
      <c r="Z400" s="231">
        <v>8.9200000000000017</v>
      </c>
      <c r="AA400" s="231">
        <v>65.12</v>
      </c>
      <c r="AB400" s="232" t="s">
        <v>2670</v>
      </c>
      <c r="AC400" s="231">
        <v>3.61458846722523</v>
      </c>
      <c r="AD400">
        <f>IF('WetLitterbags placem_collection'!AB181="","",'WetLitterbags placem_collection'!AB181)</f>
        <v>11.8</v>
      </c>
      <c r="AE400">
        <f>IF('WetLitterbags placem_collection'!Z181="","",'WetLitterbags placem_collection'!Z181)</f>
        <v>15.4</v>
      </c>
      <c r="AF400" s="246" t="str">
        <f>IF('WetLitterbags placem_collection'!AA181="","",'WetLitterbags placem_collection'!AA181)</f>
        <v>O</v>
      </c>
      <c r="AG400">
        <f>IF('WetLitterbags placem_collection'!AC181="","",'WetLitterbags placem_collection'!AC181)</f>
        <v>1</v>
      </c>
      <c r="AH400" s="240">
        <f>AVERAGE('WetLitterbags placem_collection'!S181,'WetLitterbags placem_collection'!U181)</f>
        <v>14.8</v>
      </c>
      <c r="AI400">
        <f>AVERAGE('WetLitterbags placem_collection'!R181,'WetLitterbags placem_collection'!T181)</f>
        <v>32.150000000000006</v>
      </c>
      <c r="AJ400">
        <f>INDEX(Coordinates!$B$2:$B$197,MATCH(G400,Coordinates!$J$2:$J$197,0))</f>
        <v>-2.2778579589999999</v>
      </c>
      <c r="AK400">
        <f>INDEX(Coordinates!$C$2:$C$197,MATCH(G400,Coordinates!$J$2:$J$197,0))</f>
        <v>34.027682980000002</v>
      </c>
      <c r="AL400" t="str">
        <f>IF(ISNUMBER(SEARCH("C", 'WetLitterbags placem_collection'!W181)),"YES","NO")</f>
        <v>NO</v>
      </c>
      <c r="AM400" t="str">
        <f>IF(ISNUMBER(SEARCH("H", 'WetLitterbags placem_collection'!W181)),"YES","NO")</f>
        <v>NO</v>
      </c>
      <c r="AN400" t="str">
        <f>IF(ISNUMBER(SEARCH("R", 'WetLitterbags placem_collection'!W181)),"YES","NO")</f>
        <v>YES</v>
      </c>
    </row>
    <row r="401" spans="1:40" ht="15" customHeight="1">
      <c r="A401" s="258" t="s">
        <v>2460</v>
      </c>
      <c r="B401" s="263">
        <f>'Dry_Litterbag Placem_Collection'!A182</f>
        <v>180</v>
      </c>
      <c r="C401" s="263" t="str">
        <f>'Dry_Litterbag Placem_Collection'!B182</f>
        <v>Handajega</v>
      </c>
      <c r="D401" s="263" t="s">
        <v>2460</v>
      </c>
      <c r="E401" s="263" t="s">
        <v>2661</v>
      </c>
      <c r="F401" s="263">
        <v>3</v>
      </c>
      <c r="G401" s="264" t="str">
        <f>'Dry_Litterbag Placem_Collection'!C182</f>
        <v>Wet_W3_T4</v>
      </c>
      <c r="H401" s="265" t="s">
        <v>2541</v>
      </c>
      <c r="I401" s="272" t="s">
        <v>298</v>
      </c>
      <c r="J401" s="223" t="str">
        <f>'WetLitterbags placem_collection'!M182</f>
        <v>R268</v>
      </c>
      <c r="K401" s="225">
        <f>IFERROR(INDEX('Green_rooibos initial weight'!$C$5:$C$1749,MATCH(J401, 'Green_rooibos initial weight'!$A$5:$A$1749,0)),"")</f>
        <v>2.1709999999999998</v>
      </c>
      <c r="L401" s="225">
        <f>IFERROR(K401-(TBIcalc!$H$9+TBIcalc!$H$10),"")</f>
        <v>1.9211999999999998</v>
      </c>
      <c r="M401" s="391">
        <f>AVERAGE(Ashed_controlls!$K$12:$K$14)</f>
        <v>2.2816647271287041</v>
      </c>
      <c r="N401" s="225">
        <f t="shared" si="32"/>
        <v>1.8773646572624032</v>
      </c>
      <c r="O401" s="225">
        <f>IF(IFERROR(INDEX('Both teabags AfterWet'!$C$3:$C$841,MATCH(J401,'Both teabags AfterWet'!$A$3:$A$841,0)),"")="","",(IFERROR(INDEX('Both teabags AfterWet'!$C$3:$C$841,MATCH(J401,'Both teabags AfterWet'!$A$3:$A$841,0)),"")))</f>
        <v>1.6403000000000001</v>
      </c>
      <c r="P401" s="225">
        <f>IFERROR(IF(O401&gt;0,O401-(TBIcalc!$H$9),""),"")</f>
        <v>1.4897</v>
      </c>
      <c r="Q401" s="225">
        <f>IFERROR(INDEX('Ashed teabags wet'!$K$2:$K$821,MATCH(J401,'Ashed teabags wet'!$A$2:$A$821,0)),"")</f>
        <v>2.0588235294118782</v>
      </c>
      <c r="R401" s="225">
        <f t="shared" si="36"/>
        <v>1.4590297058823514</v>
      </c>
      <c r="S401" s="226">
        <f>'WetLitterbags placem_collection'!E182</f>
        <v>42763</v>
      </c>
      <c r="T401" s="226">
        <f>IF('WetLitterbags placem_collection'!G182="","",'WetLitterbags placem_collection'!G182)</f>
        <v>42815</v>
      </c>
      <c r="U401" s="227">
        <f t="shared" si="33"/>
        <v>52</v>
      </c>
      <c r="V401" s="225">
        <f t="shared" si="34"/>
        <v>0.43149999999999977</v>
      </c>
      <c r="W401" s="225">
        <f t="shared" si="35"/>
        <v>0.41833495138005183</v>
      </c>
      <c r="X401">
        <f>IFERROR(INDEX(Rainfall_Wet!$O$2:$O$217,MATCH(B401, Rainfall_Wet!$A$2:$A$217,0)),"")</f>
        <v>188.24043152799999</v>
      </c>
      <c r="Y401" s="231">
        <v>25.96</v>
      </c>
      <c r="Z401" s="231">
        <v>8.9200000000000017</v>
      </c>
      <c r="AA401" s="231">
        <v>65.12</v>
      </c>
      <c r="AB401" s="232" t="s">
        <v>2670</v>
      </c>
      <c r="AC401" s="231">
        <v>4.6145884672252304</v>
      </c>
      <c r="AD401">
        <f>IF('WetLitterbags placem_collection'!AB182="","",'WetLitterbags placem_collection'!AB182)</f>
        <v>8.3000000000000007</v>
      </c>
      <c r="AE401">
        <f>IF('WetLitterbags placem_collection'!Z182="","",'WetLitterbags placem_collection'!Z182)</f>
        <v>35</v>
      </c>
      <c r="AF401" s="246" t="str">
        <f>IF('WetLitterbags placem_collection'!AA182="","",'WetLitterbags placem_collection'!AA182)</f>
        <v>O</v>
      </c>
      <c r="AG401">
        <f>IF('WetLitterbags placem_collection'!AC182="","",'WetLitterbags placem_collection'!AC182)</f>
        <v>0</v>
      </c>
      <c r="AH401" s="240">
        <f>AVERAGE('WetLitterbags placem_collection'!S182,'WetLitterbags placem_collection'!U182)</f>
        <v>12.85</v>
      </c>
      <c r="AI401">
        <f>AVERAGE('WetLitterbags placem_collection'!R182,'WetLitterbags placem_collection'!T182)</f>
        <v>32.450000000000003</v>
      </c>
      <c r="AJ401">
        <f>INDEX(Coordinates!$B$2:$B$197,MATCH(G401,Coordinates!$J$2:$J$197,0))</f>
        <v>-2.2780199809999999</v>
      </c>
      <c r="AK401">
        <f>INDEX(Coordinates!$C$2:$C$197,MATCH(G401,Coordinates!$J$2:$J$197,0))</f>
        <v>34.027705019999999</v>
      </c>
      <c r="AL401" t="str">
        <f>IF(ISNUMBER(SEARCH("C", 'WetLitterbags placem_collection'!W182)),"YES","NO")</f>
        <v>NO</v>
      </c>
      <c r="AM401" t="str">
        <f>IF(ISNUMBER(SEARCH("H", 'WetLitterbags placem_collection'!W182)),"YES","NO")</f>
        <v>NO</v>
      </c>
      <c r="AN401" t="str">
        <f>IF(ISNUMBER(SEARCH("R", 'WetLitterbags placem_collection'!W182)),"YES","NO")</f>
        <v>NO</v>
      </c>
    </row>
    <row r="402" spans="1:40" ht="15" customHeight="1">
      <c r="A402" s="258" t="s">
        <v>2460</v>
      </c>
      <c r="B402" s="263">
        <f>'Dry_Litterbag Placem_Collection'!A183</f>
        <v>181</v>
      </c>
      <c r="C402" s="263" t="str">
        <f>'Dry_Litterbag Placem_Collection'!B183</f>
        <v>Handajega</v>
      </c>
      <c r="D402" s="263" t="s">
        <v>2460</v>
      </c>
      <c r="E402" s="263" t="s">
        <v>2661</v>
      </c>
      <c r="F402" s="263">
        <v>3</v>
      </c>
      <c r="G402" s="264" t="str">
        <f>'Dry_Litterbag Placem_Collection'!C183</f>
        <v>Wet_W3_T5</v>
      </c>
      <c r="H402" s="265" t="s">
        <v>2541</v>
      </c>
      <c r="I402" s="272" t="s">
        <v>298</v>
      </c>
      <c r="J402" s="223" t="str">
        <f>'WetLitterbags placem_collection'!M183</f>
        <v>R587</v>
      </c>
      <c r="K402" s="225">
        <f>IFERROR(INDEX('Green_rooibos initial weight'!$C$5:$C$1749,MATCH(J402, 'Green_rooibos initial weight'!$A$5:$A$1749,0)),"")</f>
        <v>2.2250000000000001</v>
      </c>
      <c r="L402" s="225">
        <f>IFERROR(K402-(TBIcalc!$H$9+TBIcalc!$H$10),"")</f>
        <v>1.9752000000000001</v>
      </c>
      <c r="M402" s="391">
        <f>AVERAGE(Ashed_controlls!$K$12:$K$14)</f>
        <v>2.2816647271287041</v>
      </c>
      <c r="N402" s="225">
        <f t="shared" si="32"/>
        <v>1.9301325583097539</v>
      </c>
      <c r="O402" s="225">
        <f>IF(IFERROR(INDEX('Both teabags AfterWet'!$C$3:$C$841,MATCH(J402,'Both teabags AfterWet'!$A$3:$A$841,0)),"")="","",(IFERROR(INDEX('Both teabags AfterWet'!$C$3:$C$841,MATCH(J402,'Both teabags AfterWet'!$A$3:$A$841,0)),"")))</f>
        <v>1.5119</v>
      </c>
      <c r="P402" s="225">
        <f>IFERROR(IF(O402&gt;0,O402-(TBIcalc!$H$9),""),"")</f>
        <v>1.3613</v>
      </c>
      <c r="Q402" s="225">
        <f>IFERROR(INDEX('Ashed teabags wet'!$K$2:$K$821,MATCH(J402,'Ashed teabags wet'!$A$2:$A$821,0)),"")</f>
        <v>1.9743336623894387</v>
      </c>
      <c r="R402" s="225">
        <f t="shared" si="36"/>
        <v>1.3344233958538925</v>
      </c>
      <c r="S402" s="226">
        <f>'WetLitterbags placem_collection'!E183</f>
        <v>42763</v>
      </c>
      <c r="T402" s="226">
        <f>IF('WetLitterbags placem_collection'!G183="","",'WetLitterbags placem_collection'!G183)</f>
        <v>42815</v>
      </c>
      <c r="U402" s="227">
        <f t="shared" si="33"/>
        <v>52</v>
      </c>
      <c r="V402" s="225">
        <f t="shared" si="34"/>
        <v>0.61390000000000011</v>
      </c>
      <c r="W402" s="225">
        <f t="shared" si="35"/>
        <v>0.59570916245586147</v>
      </c>
      <c r="X402">
        <f>IFERROR(INDEX(Rainfall_Wet!$O$2:$O$217,MATCH(B402, Rainfall_Wet!$A$2:$A$217,0)),"")</f>
        <v>188.24043152799999</v>
      </c>
      <c r="Y402" s="231">
        <v>25.96</v>
      </c>
      <c r="Z402" s="231">
        <v>8.9200000000000017</v>
      </c>
      <c r="AA402" s="231">
        <v>65.12</v>
      </c>
      <c r="AB402" s="232" t="s">
        <v>2670</v>
      </c>
      <c r="AC402" s="231">
        <v>5.6145884672252304</v>
      </c>
      <c r="AD402">
        <f>IF('WetLitterbags placem_collection'!AB183="","",'WetLitterbags placem_collection'!AB183)</f>
        <v>11.4</v>
      </c>
      <c r="AE402">
        <f>IF('WetLitterbags placem_collection'!Z183="","",'WetLitterbags placem_collection'!Z183)</f>
        <v>15.8</v>
      </c>
      <c r="AF402" s="246" t="str">
        <f>IF('WetLitterbags placem_collection'!AA183="","",'WetLitterbags placem_collection'!AA183)</f>
        <v>O</v>
      </c>
      <c r="AG402">
        <f>IF('WetLitterbags placem_collection'!AC183="","",'WetLitterbags placem_collection'!AC183)</f>
        <v>1</v>
      </c>
      <c r="AH402" s="240">
        <f>AVERAGE('WetLitterbags placem_collection'!S183,'WetLitterbags placem_collection'!U183)</f>
        <v>13.75</v>
      </c>
      <c r="AI402">
        <f>AVERAGE('WetLitterbags placem_collection'!R183,'WetLitterbags placem_collection'!T183)</f>
        <v>32.650000000000006</v>
      </c>
      <c r="AJ402">
        <f>INDEX(Coordinates!$B$2:$B$197,MATCH(G402,Coordinates!$J$2:$J$197,0))</f>
        <v>-2.2777329850000001</v>
      </c>
      <c r="AK402">
        <f>INDEX(Coordinates!$C$2:$C$197,MATCH(G402,Coordinates!$J$2:$J$197,0))</f>
        <v>34.027422970000003</v>
      </c>
      <c r="AL402" t="str">
        <f>IF(ISNUMBER(SEARCH("C", 'WetLitterbags placem_collection'!W183)),"YES","NO")</f>
        <v>NO</v>
      </c>
      <c r="AM402" t="str">
        <f>IF(ISNUMBER(SEARCH("H", 'WetLitterbags placem_collection'!W183)),"YES","NO")</f>
        <v>NO</v>
      </c>
      <c r="AN402" t="str">
        <f>IF(ISNUMBER(SEARCH("R", 'WetLitterbags placem_collection'!W183)),"YES","NO")</f>
        <v>NO</v>
      </c>
    </row>
    <row r="403" spans="1:40" ht="15" customHeight="1">
      <c r="A403" s="258" t="s">
        <v>2460</v>
      </c>
      <c r="B403" s="263">
        <f>'Dry_Litterbag Placem_Collection'!A184</f>
        <v>182</v>
      </c>
      <c r="C403" s="263" t="str">
        <f>'Dry_Litterbag Placem_Collection'!B184</f>
        <v>Handajega</v>
      </c>
      <c r="D403" s="263" t="s">
        <v>2460</v>
      </c>
      <c r="E403" s="263" t="s">
        <v>2661</v>
      </c>
      <c r="F403" s="263">
        <v>3</v>
      </c>
      <c r="G403" s="264" t="str">
        <f>'Dry_Litterbag Placem_Collection'!C184</f>
        <v>Wet_W3_T6</v>
      </c>
      <c r="H403" s="265" t="s">
        <v>2541</v>
      </c>
      <c r="I403" s="272" t="s">
        <v>298</v>
      </c>
      <c r="J403" s="223" t="str">
        <f>'WetLitterbags placem_collection'!M184</f>
        <v>R444</v>
      </c>
      <c r="K403" s="225">
        <f>IFERROR(INDEX('Green_rooibos initial weight'!$C$5:$C$1749,MATCH(J403, 'Green_rooibos initial weight'!$A$5:$A$1749,0)),"")</f>
        <v>2.2149999999999999</v>
      </c>
      <c r="L403" s="225">
        <f>IFERROR(K403-(TBIcalc!$H$9+TBIcalc!$H$10),"")</f>
        <v>1.9651999999999998</v>
      </c>
      <c r="M403" s="391">
        <f>AVERAGE(Ashed_controlls!$K$12:$K$14)</f>
        <v>2.2816647271287041</v>
      </c>
      <c r="N403" s="225">
        <f t="shared" si="32"/>
        <v>1.9203607247824666</v>
      </c>
      <c r="O403" s="225">
        <f>IF(IFERROR(INDEX('Both teabags AfterWet'!$C$3:$C$841,MATCH(J403,'Both teabags AfterWet'!$A$3:$A$841,0)),"")="","",(IFERROR(INDEX('Both teabags AfterWet'!$C$3:$C$841,MATCH(J403,'Both teabags AfterWet'!$A$3:$A$841,0)),"")))</f>
        <v>1.7522</v>
      </c>
      <c r="P403" s="225">
        <f>IFERROR(IF(O403&gt;0,O403-(TBIcalc!$H$9),""),"")</f>
        <v>1.6015999999999999</v>
      </c>
      <c r="Q403" s="225">
        <f>IFERROR(INDEX('Ashed teabags wet'!$K$2:$K$821,MATCH(J403,'Ashed teabags wet'!$A$2:$A$821,0)),"")</f>
        <v>2.2682445759369214</v>
      </c>
      <c r="R403" s="225">
        <f t="shared" si="36"/>
        <v>1.5652717948717942</v>
      </c>
      <c r="S403" s="226">
        <f>'WetLitterbags placem_collection'!E184</f>
        <v>42763</v>
      </c>
      <c r="T403" s="226">
        <f>IF('WetLitterbags placem_collection'!G184="","",'WetLitterbags placem_collection'!G184)</f>
        <v>42815</v>
      </c>
      <c r="U403" s="227">
        <f t="shared" si="33"/>
        <v>52</v>
      </c>
      <c r="V403" s="225">
        <f t="shared" si="34"/>
        <v>0.36359999999999992</v>
      </c>
      <c r="W403" s="225">
        <f t="shared" si="35"/>
        <v>0.35508892991067231</v>
      </c>
      <c r="X403">
        <f>IFERROR(INDEX(Rainfall_Wet!$O$2:$O$217,MATCH(B403, Rainfall_Wet!$A$2:$A$217,0)),"")</f>
        <v>188.24043152799999</v>
      </c>
      <c r="Y403" s="231">
        <v>25.96</v>
      </c>
      <c r="Z403" s="231">
        <v>8.9200000000000017</v>
      </c>
      <c r="AA403" s="231">
        <v>65.12</v>
      </c>
      <c r="AB403" s="232" t="s">
        <v>2670</v>
      </c>
      <c r="AC403" s="231">
        <v>6.6145884672252304</v>
      </c>
      <c r="AD403">
        <f>IF('WetLitterbags placem_collection'!AB184="","",'WetLitterbags placem_collection'!AB184)</f>
        <v>8.8000000000000007</v>
      </c>
      <c r="AE403">
        <f>IF('WetLitterbags placem_collection'!Z184="","",'WetLitterbags placem_collection'!Z184)</f>
        <v>15.8</v>
      </c>
      <c r="AF403" s="246" t="str">
        <f>IF('WetLitterbags placem_collection'!AA184="","",'WetLitterbags placem_collection'!AA184)</f>
        <v>O</v>
      </c>
      <c r="AG403">
        <f>IF('WetLitterbags placem_collection'!AC184="","",'WetLitterbags placem_collection'!AC184)</f>
        <v>1</v>
      </c>
      <c r="AH403" s="240">
        <f>AVERAGE('WetLitterbags placem_collection'!S184,'WetLitterbags placem_collection'!U184)</f>
        <v>11.55</v>
      </c>
      <c r="AI403">
        <f>AVERAGE('WetLitterbags placem_collection'!R184,'WetLitterbags placem_collection'!T184)</f>
        <v>33.299999999999997</v>
      </c>
      <c r="AJ403">
        <f>INDEX(Coordinates!$B$2:$B$197,MATCH(G403,Coordinates!$J$2:$J$197,0))</f>
        <v>-2.2777009659999998</v>
      </c>
      <c r="AK403">
        <f>INDEX(Coordinates!$C$2:$C$197,MATCH(G403,Coordinates!$J$2:$J$197,0))</f>
        <v>34.027393969999999</v>
      </c>
      <c r="AL403" t="str">
        <f>IF(ISNUMBER(SEARCH("C", 'WetLitterbags placem_collection'!W184)),"YES","NO")</f>
        <v>NO</v>
      </c>
      <c r="AM403" t="str">
        <f>IF(ISNUMBER(SEARCH("H", 'WetLitterbags placem_collection'!W184)),"YES","NO")</f>
        <v>NO</v>
      </c>
      <c r="AN403" t="str">
        <f>IF(ISNUMBER(SEARCH("R", 'WetLitterbags placem_collection'!W184)),"YES","NO")</f>
        <v>NO</v>
      </c>
    </row>
    <row r="404" spans="1:40" ht="15" customHeight="1">
      <c r="A404" s="258" t="s">
        <v>2460</v>
      </c>
      <c r="B404" s="263">
        <f>'Dry_Litterbag Placem_Collection'!A185</f>
        <v>183</v>
      </c>
      <c r="C404" s="263" t="str">
        <f>'Dry_Litterbag Placem_Collection'!B185</f>
        <v>Handajega</v>
      </c>
      <c r="D404" s="263" t="s">
        <v>2460</v>
      </c>
      <c r="E404" s="263" t="s">
        <v>2661</v>
      </c>
      <c r="F404" s="263">
        <v>3</v>
      </c>
      <c r="G404" s="264" t="str">
        <f>'Dry_Litterbag Placem_Collection'!C185</f>
        <v>Wet_W3_T7</v>
      </c>
      <c r="H404" s="265" t="s">
        <v>2541</v>
      </c>
      <c r="I404" s="272" t="s">
        <v>298</v>
      </c>
      <c r="J404" s="223" t="str">
        <f>'WetLitterbags placem_collection'!M185</f>
        <v>R568</v>
      </c>
      <c r="K404" s="225">
        <f>IFERROR(INDEX('Green_rooibos initial weight'!$C$5:$C$1749,MATCH(J404, 'Green_rooibos initial weight'!$A$5:$A$1749,0)),"")</f>
        <v>2.04</v>
      </c>
      <c r="L404" s="225">
        <f>IFERROR(K404-(TBIcalc!$H$9+TBIcalc!$H$10),"")</f>
        <v>1.7902</v>
      </c>
      <c r="M404" s="391">
        <f>AVERAGE(Ashed_controlls!$K$12:$K$14)</f>
        <v>2.2816647271287041</v>
      </c>
      <c r="N404" s="225">
        <f t="shared" si="32"/>
        <v>1.7493536380549419</v>
      </c>
      <c r="O404" s="225">
        <f>IF(IFERROR(INDEX('Both teabags AfterWet'!$C$3:$C$841,MATCH(J404,'Both teabags AfterWet'!$A$3:$A$841,0)),"")="","",(IFERROR(INDEX('Both teabags AfterWet'!$C$3:$C$841,MATCH(J404,'Both teabags AfterWet'!$A$3:$A$841,0)),"")))</f>
        <v>0.30299999999999999</v>
      </c>
      <c r="P404" s="225">
        <f>IFERROR(IF(O404&gt;0,O404-(TBIcalc!$H$9),""),"")</f>
        <v>0.15239999999999998</v>
      </c>
      <c r="Q404" s="225" t="str">
        <f>IFERROR(INDEX('Ashed teabags wet'!$K$2:$K$821,MATCH(J404,'Ashed teabags wet'!$A$2:$A$821,0)),"")</f>
        <v/>
      </c>
      <c r="R404" s="225" t="str">
        <f t="shared" si="36"/>
        <v/>
      </c>
      <c r="S404" s="226">
        <f>'WetLitterbags placem_collection'!E185</f>
        <v>42763</v>
      </c>
      <c r="T404" s="226">
        <f>IF('WetLitterbags placem_collection'!G185="","",'WetLitterbags placem_collection'!G185)</f>
        <v>42815</v>
      </c>
      <c r="U404" s="227">
        <f t="shared" si="33"/>
        <v>52</v>
      </c>
      <c r="V404" s="225">
        <f t="shared" si="34"/>
        <v>1.6377999999999999</v>
      </c>
      <c r="W404" s="225" t="str">
        <f t="shared" si="35"/>
        <v/>
      </c>
      <c r="X404">
        <f>IFERROR(INDEX(Rainfall_Wet!$O$2:$O$217,MATCH(B404, Rainfall_Wet!$A$2:$A$217,0)),"")</f>
        <v>188.24043152799999</v>
      </c>
      <c r="Y404" s="231">
        <v>25.96</v>
      </c>
      <c r="Z404" s="231">
        <v>8.9200000000000017</v>
      </c>
      <c r="AA404" s="231">
        <v>65.12</v>
      </c>
      <c r="AB404" s="232" t="s">
        <v>2670</v>
      </c>
      <c r="AC404" s="231">
        <v>7.6145884672252304</v>
      </c>
      <c r="AD404">
        <f>IF('WetLitterbags placem_collection'!AB185="","",'WetLitterbags placem_collection'!AB185)</f>
        <v>11.4</v>
      </c>
      <c r="AE404">
        <f>IF('WetLitterbags placem_collection'!Z185="","",'WetLitterbags placem_collection'!Z185)</f>
        <v>35.799999999999997</v>
      </c>
      <c r="AF404" s="246" t="str">
        <f>IF('WetLitterbags placem_collection'!AA185="","",'WetLitterbags placem_collection'!AA185)</f>
        <v>G</v>
      </c>
      <c r="AG404">
        <f>IF('WetLitterbags placem_collection'!AC185="","",'WetLitterbags placem_collection'!AC185)</f>
        <v>1</v>
      </c>
      <c r="AH404" s="240">
        <f>AVERAGE('WetLitterbags placem_collection'!S185,'WetLitterbags placem_collection'!U185)</f>
        <v>13.4</v>
      </c>
      <c r="AI404">
        <f>AVERAGE('WetLitterbags placem_collection'!R185,'WetLitterbags placem_collection'!T185)</f>
        <v>33.5</v>
      </c>
      <c r="AJ404">
        <f>INDEX(Coordinates!$B$2:$B$197,MATCH(G404,Coordinates!$J$2:$J$197,0))</f>
        <v>-2.2777790019999999</v>
      </c>
      <c r="AK404">
        <f>INDEX(Coordinates!$C$2:$C$197,MATCH(G404,Coordinates!$J$2:$J$197,0))</f>
        <v>34.028066029999998</v>
      </c>
      <c r="AL404" t="str">
        <f>IF(ISNUMBER(SEARCH("C", 'WetLitterbags placem_collection'!W185)),"YES","NO")</f>
        <v>YES</v>
      </c>
      <c r="AM404" t="str">
        <f>IF(ISNUMBER(SEARCH("H", 'WetLitterbags placem_collection'!W185)),"YES","NO")</f>
        <v>YES</v>
      </c>
      <c r="AN404" t="str">
        <f>IF(ISNUMBER(SEARCH("R", 'WetLitterbags placem_collection'!W185)),"YES","NO")</f>
        <v>NO</v>
      </c>
    </row>
    <row r="405" spans="1:40" ht="15" customHeight="1">
      <c r="A405" s="258" t="s">
        <v>2460</v>
      </c>
      <c r="B405" s="263">
        <f>'Dry_Litterbag Placem_Collection'!A186</f>
        <v>184</v>
      </c>
      <c r="C405" s="263" t="str">
        <f>'Dry_Litterbag Placem_Collection'!B186</f>
        <v>Handajega</v>
      </c>
      <c r="D405" s="263" t="s">
        <v>2460</v>
      </c>
      <c r="E405" s="263" t="s">
        <v>2661</v>
      </c>
      <c r="F405" s="263">
        <v>3</v>
      </c>
      <c r="G405" s="264" t="str">
        <f>'Dry_Litterbag Placem_Collection'!C186</f>
        <v>Wet_W3_T8</v>
      </c>
      <c r="H405" s="265" t="s">
        <v>2541</v>
      </c>
      <c r="I405" s="272" t="s">
        <v>298</v>
      </c>
      <c r="J405" s="223" t="str">
        <f>'WetLitterbags placem_collection'!M186</f>
        <v>R541</v>
      </c>
      <c r="K405" s="225">
        <f>IFERROR(INDEX('Green_rooibos initial weight'!$C$5:$C$1749,MATCH(J405, 'Green_rooibos initial weight'!$A$5:$A$1749,0)),"")</f>
        <v>2.226</v>
      </c>
      <c r="L405" s="225">
        <f>IFERROR(K405-(TBIcalc!$H$9+TBIcalc!$H$10),"")</f>
        <v>1.9762</v>
      </c>
      <c r="M405" s="391">
        <f>AVERAGE(Ashed_controlls!$K$12:$K$14)</f>
        <v>2.2816647271287041</v>
      </c>
      <c r="N405" s="225">
        <f t="shared" si="32"/>
        <v>1.9311097416624825</v>
      </c>
      <c r="O405" s="225">
        <f>IF(IFERROR(INDEX('Both teabags AfterWet'!$C$3:$C$841,MATCH(J405,'Both teabags AfterWet'!$A$3:$A$841,0)),"")="","",(IFERROR(INDEX('Both teabags AfterWet'!$C$3:$C$841,MATCH(J405,'Both teabags AfterWet'!$A$3:$A$841,0)),"")))</f>
        <v>1.7278</v>
      </c>
      <c r="P405" s="225">
        <f>IFERROR(IF(O405&gt;0,O405-(TBIcalc!$H$9),""),"")</f>
        <v>1.5771999999999999</v>
      </c>
      <c r="Q405" s="225">
        <f>IFERROR(INDEX('Ashed teabags wet'!$K$2:$K$821,MATCH(J405,'Ashed teabags wet'!$A$2:$A$821,0)),"")</f>
        <v>2.6018654884636851</v>
      </c>
      <c r="R405" s="225">
        <f t="shared" si="36"/>
        <v>1.5361633775159507</v>
      </c>
      <c r="S405" s="226">
        <f>'WetLitterbags placem_collection'!E186</f>
        <v>42763</v>
      </c>
      <c r="T405" s="226">
        <f>IF('WetLitterbags placem_collection'!G186="","",'WetLitterbags placem_collection'!G186)</f>
        <v>42815</v>
      </c>
      <c r="U405" s="227">
        <f t="shared" si="33"/>
        <v>52</v>
      </c>
      <c r="V405" s="225">
        <f t="shared" si="34"/>
        <v>0.39900000000000002</v>
      </c>
      <c r="W405" s="225">
        <f t="shared" si="35"/>
        <v>0.39494636414653184</v>
      </c>
      <c r="X405">
        <f>IFERROR(INDEX(Rainfall_Wet!$O$2:$O$217,MATCH(B405, Rainfall_Wet!$A$2:$A$217,0)),"")</f>
        <v>188.24043152799999</v>
      </c>
      <c r="Y405" s="231">
        <v>25.96</v>
      </c>
      <c r="Z405" s="231">
        <v>8.9200000000000017</v>
      </c>
      <c r="AA405" s="231">
        <v>65.12</v>
      </c>
      <c r="AB405" s="232" t="s">
        <v>2670</v>
      </c>
      <c r="AC405" s="231">
        <v>8.6145884672252304</v>
      </c>
      <c r="AD405">
        <f>IF('WetLitterbags placem_collection'!AB186="","",'WetLitterbags placem_collection'!AB186)</f>
        <v>3.7</v>
      </c>
      <c r="AE405">
        <f>IF('WetLitterbags placem_collection'!Z186="","",'WetLitterbags placem_collection'!Z186)</f>
        <v>16.399999999999999</v>
      </c>
      <c r="AF405" s="246" t="str">
        <f>IF('WetLitterbags placem_collection'!AA186="","",'WetLitterbags placem_collection'!AA186)</f>
        <v>O</v>
      </c>
      <c r="AG405">
        <f>IF('WetLitterbags placem_collection'!AC186="","",'WetLitterbags placem_collection'!AC186)</f>
        <v>0</v>
      </c>
      <c r="AH405" s="240">
        <f>AVERAGE('WetLitterbags placem_collection'!S186,'WetLitterbags placem_collection'!U186)</f>
        <v>13.3</v>
      </c>
      <c r="AI405">
        <f>AVERAGE('WetLitterbags placem_collection'!R186,'WetLitterbags placem_collection'!T186)</f>
        <v>29.950000000000003</v>
      </c>
      <c r="AJ405">
        <f>INDEX(Coordinates!$B$2:$B$197,MATCH(G405,Coordinates!$J$2:$J$197,0))</f>
        <v>-2.2775169829999999</v>
      </c>
      <c r="AK405">
        <f>INDEX(Coordinates!$C$2:$C$197,MATCH(G405,Coordinates!$J$2:$J$197,0))</f>
        <v>34.027766970000002</v>
      </c>
      <c r="AL405" t="str">
        <f>IF(ISNUMBER(SEARCH("C", 'WetLitterbags placem_collection'!W186)),"YES","NO")</f>
        <v>NO</v>
      </c>
      <c r="AM405" t="str">
        <f>IF(ISNUMBER(SEARCH("H", 'WetLitterbags placem_collection'!W186)),"YES","NO")</f>
        <v>NO</v>
      </c>
      <c r="AN405" t="str">
        <f>IF(ISNUMBER(SEARCH("R", 'WetLitterbags placem_collection'!W186)),"YES","NO")</f>
        <v>NO</v>
      </c>
    </row>
    <row r="406" spans="1:40" ht="15" customHeight="1">
      <c r="A406" s="258" t="s">
        <v>2460</v>
      </c>
      <c r="B406" s="263">
        <f>'Dry_Litterbag Placem_Collection'!A187</f>
        <v>185</v>
      </c>
      <c r="C406" s="263" t="str">
        <f>'Dry_Litterbag Placem_Collection'!B187</f>
        <v>Handajega</v>
      </c>
      <c r="D406" s="263" t="s">
        <v>2460</v>
      </c>
      <c r="E406" s="263" t="s">
        <v>2661</v>
      </c>
      <c r="F406" s="263">
        <v>4</v>
      </c>
      <c r="G406" s="264" t="str">
        <f>'Dry_Litterbag Placem_Collection'!C187</f>
        <v>Wet_W4_T1</v>
      </c>
      <c r="H406" s="265" t="s">
        <v>2541</v>
      </c>
      <c r="I406" s="272" t="s">
        <v>298</v>
      </c>
      <c r="J406" s="223" t="str">
        <f>'WetLitterbags placem_collection'!M187</f>
        <v>R51</v>
      </c>
      <c r="K406" s="225">
        <f>IFERROR(INDEX('Green_rooibos initial weight'!$C$5:$C$1749,MATCH(J406, 'Green_rooibos initial weight'!$A$5:$A$1749,0)),"")</f>
        <v>2.3149999999999999</v>
      </c>
      <c r="L406" s="225">
        <f>IFERROR(K406-(TBIcalc!$H$9+TBIcalc!$H$10),"")</f>
        <v>2.0651999999999999</v>
      </c>
      <c r="M406" s="391">
        <f>AVERAGE(Ashed_controlls!$K$12:$K$14)</f>
        <v>2.2816647271287041</v>
      </c>
      <c r="N406" s="225">
        <f t="shared" si="32"/>
        <v>2.0180790600553378</v>
      </c>
      <c r="O406" s="225">
        <f>IF(IFERROR(INDEX('Both teabags AfterWet'!$C$3:$C$841,MATCH(J406,'Both teabags AfterWet'!$A$3:$A$841,0)),"")="","",(IFERROR(INDEX('Both teabags AfterWet'!$C$3:$C$841,MATCH(J406,'Both teabags AfterWet'!$A$3:$A$841,0)),"")))</f>
        <v>1.7762</v>
      </c>
      <c r="P406" s="225">
        <f>IFERROR(IF(O406&gt;0,O406-(TBIcalc!$H$9),""),"")</f>
        <v>1.6255999999999999</v>
      </c>
      <c r="Q406" s="225">
        <f>IFERROR(INDEX('Ashed teabags wet'!$K$2:$K$821,MATCH(J406,'Ashed teabags wet'!$A$2:$A$821,0)),"")</f>
        <v>2.0874751491048897</v>
      </c>
      <c r="R406" s="225">
        <f t="shared" si="36"/>
        <v>1.5916660039761508</v>
      </c>
      <c r="S406" s="226">
        <f>'WetLitterbags placem_collection'!E187</f>
        <v>42763</v>
      </c>
      <c r="T406" s="226">
        <f>IF('WetLitterbags placem_collection'!G187="","",'WetLitterbags placem_collection'!G187)</f>
        <v>42815</v>
      </c>
      <c r="U406" s="227">
        <f t="shared" si="33"/>
        <v>52</v>
      </c>
      <c r="V406" s="225">
        <f t="shared" si="34"/>
        <v>0.43959999999999999</v>
      </c>
      <c r="W406" s="225">
        <f t="shared" si="35"/>
        <v>0.426413056079187</v>
      </c>
      <c r="X406">
        <f>IFERROR(INDEX(Rainfall_Wet!$O$2:$O$217,MATCH(B406, Rainfall_Wet!$A$2:$A$217,0)),"")</f>
        <v>188.24043152799999</v>
      </c>
      <c r="Y406" s="231">
        <v>25.96</v>
      </c>
      <c r="Z406" s="231">
        <v>8.9200000000000017</v>
      </c>
      <c r="AA406" s="231">
        <v>65.12</v>
      </c>
      <c r="AB406" s="232" t="s">
        <v>2670</v>
      </c>
      <c r="AC406" s="231">
        <v>1.6991621488417901</v>
      </c>
      <c r="AD406">
        <f>IF('WetLitterbags placem_collection'!AB187="","",'WetLitterbags placem_collection'!AB187)</f>
        <v>9.8000000000000007</v>
      </c>
      <c r="AE406">
        <f>IF('WetLitterbags placem_collection'!Z187="","",'WetLitterbags placem_collection'!Z187)</f>
        <v>29.4</v>
      </c>
      <c r="AF406" s="246" t="str">
        <f>IF('WetLitterbags placem_collection'!AA187="","",'WetLitterbags placem_collection'!AA187)</f>
        <v>O</v>
      </c>
      <c r="AG406">
        <f>IF('WetLitterbags placem_collection'!AC187="","",'WetLitterbags placem_collection'!AC187)</f>
        <v>0</v>
      </c>
      <c r="AH406" s="240">
        <f>AVERAGE('WetLitterbags placem_collection'!S187,'WetLitterbags placem_collection'!U187)</f>
        <v>17.850000000000001</v>
      </c>
      <c r="AI406">
        <f>AVERAGE('WetLitterbags placem_collection'!R187,'WetLitterbags placem_collection'!T187)</f>
        <v>35.400000000000006</v>
      </c>
      <c r="AJ406">
        <f>INDEX(Coordinates!$B$2:$B$197,MATCH(G406,Coordinates!$J$2:$J$197,0))</f>
        <v>-2.2787330300000002</v>
      </c>
      <c r="AK406">
        <f>INDEX(Coordinates!$C$2:$C$197,MATCH(G406,Coordinates!$J$2:$J$197,0))</f>
        <v>34.032136029999997</v>
      </c>
      <c r="AL406" t="str">
        <f>IF(ISNUMBER(SEARCH("C", 'WetLitterbags placem_collection'!W187)),"YES","NO")</f>
        <v>YES</v>
      </c>
      <c r="AM406" t="str">
        <f>IF(ISNUMBER(SEARCH("H", 'WetLitterbags placem_collection'!W187)),"YES","NO")</f>
        <v>YES</v>
      </c>
      <c r="AN406" t="str">
        <f>IF(ISNUMBER(SEARCH("R", 'WetLitterbags placem_collection'!W187)),"YES","NO")</f>
        <v>NO</v>
      </c>
    </row>
    <row r="407" spans="1:40" ht="15" customHeight="1">
      <c r="A407" s="258" t="s">
        <v>2460</v>
      </c>
      <c r="B407" s="263">
        <f>'Dry_Litterbag Placem_Collection'!A188</f>
        <v>186</v>
      </c>
      <c r="C407" s="263" t="str">
        <f>'Dry_Litterbag Placem_Collection'!B188</f>
        <v>Handajega</v>
      </c>
      <c r="D407" s="263" t="s">
        <v>2460</v>
      </c>
      <c r="E407" s="263" t="s">
        <v>2661</v>
      </c>
      <c r="F407" s="263">
        <v>4</v>
      </c>
      <c r="G407" s="264" t="str">
        <f>'Dry_Litterbag Placem_Collection'!C188</f>
        <v>Wet_W4_T2</v>
      </c>
      <c r="H407" s="265" t="s">
        <v>2541</v>
      </c>
      <c r="I407" s="272" t="s">
        <v>298</v>
      </c>
      <c r="J407" s="223" t="str">
        <f>'WetLitterbags placem_collection'!M188</f>
        <v>R557</v>
      </c>
      <c r="K407" s="225">
        <f>IFERROR(INDEX('Green_rooibos initial weight'!$C$5:$C$1749,MATCH(J407, 'Green_rooibos initial weight'!$A$5:$A$1749,0)),"")</f>
        <v>2.2229999999999999</v>
      </c>
      <c r="L407" s="225">
        <f>IFERROR(K407-(TBIcalc!$H$9+TBIcalc!$H$10),"")</f>
        <v>1.9731999999999998</v>
      </c>
      <c r="M407" s="391">
        <f>AVERAGE(Ashed_controlls!$K$12:$K$14)</f>
        <v>2.2816647271287041</v>
      </c>
      <c r="N407" s="225">
        <f t="shared" si="32"/>
        <v>1.9281781916042962</v>
      </c>
      <c r="O407" s="225">
        <f>IF(IFERROR(INDEX('Both teabags AfterWet'!$C$3:$C$841,MATCH(J407,'Both teabags AfterWet'!$A$3:$A$841,0)),"")="","",(IFERROR(INDEX('Both teabags AfterWet'!$C$3:$C$841,MATCH(J407,'Both teabags AfterWet'!$A$3:$A$841,0)),"")))</f>
        <v>1.7509999999999999</v>
      </c>
      <c r="P407" s="225">
        <f>IFERROR(IF(O407&gt;0,O407-(TBIcalc!$H$9),""),"")</f>
        <v>1.6003999999999998</v>
      </c>
      <c r="Q407" s="225">
        <f>IFERROR(INDEX('Ashed teabags wet'!$K$2:$K$821,MATCH(J407,'Ashed teabags wet'!$A$2:$A$821,0)),"")</f>
        <v>2.1547502448572287</v>
      </c>
      <c r="R407" s="225">
        <f t="shared" si="36"/>
        <v>1.5659153770813048</v>
      </c>
      <c r="S407" s="226">
        <f>'WetLitterbags placem_collection'!E188</f>
        <v>42763</v>
      </c>
      <c r="T407" s="226">
        <f>IF('WetLitterbags placem_collection'!G188="","",'WetLitterbags placem_collection'!G188)</f>
        <v>42815</v>
      </c>
      <c r="U407" s="227">
        <f t="shared" si="33"/>
        <v>52</v>
      </c>
      <c r="V407" s="225">
        <f t="shared" si="34"/>
        <v>0.37280000000000002</v>
      </c>
      <c r="W407" s="225">
        <f t="shared" si="35"/>
        <v>0.36226281452299136</v>
      </c>
      <c r="X407">
        <f>IFERROR(INDEX(Rainfall_Wet!$O$2:$O$217,MATCH(B407, Rainfall_Wet!$A$2:$A$217,0)),"")</f>
        <v>188.24043152799999</v>
      </c>
      <c r="Y407" s="231">
        <v>25.96</v>
      </c>
      <c r="Z407" s="231">
        <v>8.9200000000000017</v>
      </c>
      <c r="AA407" s="231">
        <v>65.12</v>
      </c>
      <c r="AB407" s="232" t="s">
        <v>2670</v>
      </c>
      <c r="AC407" s="231">
        <v>2.6991621488417898</v>
      </c>
      <c r="AD407">
        <f>IF('WetLitterbags placem_collection'!AB188="","",'WetLitterbags placem_collection'!AB188)</f>
        <v>11.4</v>
      </c>
      <c r="AE407">
        <f>IF('WetLitterbags placem_collection'!Z188="","",'WetLitterbags placem_collection'!Z188)</f>
        <v>45.4</v>
      </c>
      <c r="AF407" s="246" t="str">
        <f>IF('WetLitterbags placem_collection'!AA188="","",'WetLitterbags placem_collection'!AA188)</f>
        <v>O</v>
      </c>
      <c r="AG407">
        <f>IF('WetLitterbags placem_collection'!AC188="","",'WetLitterbags placem_collection'!AC188)</f>
        <v>0</v>
      </c>
      <c r="AH407" s="240">
        <f>AVERAGE('WetLitterbags placem_collection'!S188,'WetLitterbags placem_collection'!U188)</f>
        <v>16.899999999999999</v>
      </c>
      <c r="AI407">
        <f>AVERAGE('WetLitterbags placem_collection'!R188,'WetLitterbags placem_collection'!T188)</f>
        <v>33.9</v>
      </c>
      <c r="AJ407">
        <f>INDEX(Coordinates!$B$2:$B$197,MATCH(G407,Coordinates!$J$2:$J$197,0))</f>
        <v>-2.278763037</v>
      </c>
      <c r="AK407">
        <f>INDEX(Coordinates!$C$2:$C$197,MATCH(G407,Coordinates!$J$2:$J$197,0))</f>
        <v>34.031974009999999</v>
      </c>
      <c r="AL407" t="str">
        <f>IF(ISNUMBER(SEARCH("C", 'WetLitterbags placem_collection'!W188)),"YES","NO")</f>
        <v>NO</v>
      </c>
      <c r="AM407" t="str">
        <f>IF(ISNUMBER(SEARCH("H", 'WetLitterbags placem_collection'!W188)),"YES","NO")</f>
        <v>YES</v>
      </c>
      <c r="AN407" t="str">
        <f>IF(ISNUMBER(SEARCH("R", 'WetLitterbags placem_collection'!W188)),"YES","NO")</f>
        <v>NO</v>
      </c>
    </row>
    <row r="408" spans="1:40" ht="15" customHeight="1">
      <c r="A408" s="258" t="s">
        <v>2460</v>
      </c>
      <c r="B408" s="263">
        <f>'Dry_Litterbag Placem_Collection'!A189</f>
        <v>187</v>
      </c>
      <c r="C408" s="263" t="str">
        <f>'Dry_Litterbag Placem_Collection'!B189</f>
        <v>Handajega</v>
      </c>
      <c r="D408" s="263" t="s">
        <v>2460</v>
      </c>
      <c r="E408" s="263" t="s">
        <v>2661</v>
      </c>
      <c r="F408" s="263">
        <v>4</v>
      </c>
      <c r="G408" s="264" t="str">
        <f>'Dry_Litterbag Placem_Collection'!C189</f>
        <v>Wet_W4_T3</v>
      </c>
      <c r="H408" s="265" t="s">
        <v>2541</v>
      </c>
      <c r="I408" s="272" t="s">
        <v>298</v>
      </c>
      <c r="J408" s="223" t="str">
        <f>'WetLitterbags placem_collection'!M189</f>
        <v>R427</v>
      </c>
      <c r="K408" s="225">
        <f>IFERROR(INDEX('Green_rooibos initial weight'!$C$5:$C$1749,MATCH(J408, 'Green_rooibos initial weight'!$A$5:$A$1749,0)),"")</f>
        <v>2.1760000000000002</v>
      </c>
      <c r="L408" s="225">
        <f>IFERROR(K408-(TBIcalc!$H$9+TBIcalc!$H$10),"")</f>
        <v>1.9262000000000001</v>
      </c>
      <c r="M408" s="391">
        <f>AVERAGE(Ashed_controlls!$K$12:$K$14)</f>
        <v>2.2816647271287041</v>
      </c>
      <c r="N408" s="225">
        <f t="shared" si="32"/>
        <v>1.8822505740260471</v>
      </c>
      <c r="O408" s="225">
        <f>IF(IFERROR(INDEX('Both teabags AfterWet'!$C$3:$C$841,MATCH(J408,'Both teabags AfterWet'!$A$3:$A$841,0)),"")="","",(IFERROR(INDEX('Both teabags AfterWet'!$C$3:$C$841,MATCH(J408,'Both teabags AfterWet'!$A$3:$A$841,0)),"")))</f>
        <v>1.6979</v>
      </c>
      <c r="P408" s="225">
        <f>IFERROR(IF(O408&gt;0,O408-(TBIcalc!$H$9),""),"")</f>
        <v>1.5472999999999999</v>
      </c>
      <c r="Q408" s="225">
        <f>IFERROR(INDEX('Ashed teabags wet'!$K$2:$K$821,MATCH(J408,'Ashed teabags wet'!$A$2:$A$821,0)),"")</f>
        <v>1.9455252918283636</v>
      </c>
      <c r="R408" s="225">
        <f t="shared" si="36"/>
        <v>1.5171968871595396</v>
      </c>
      <c r="S408" s="226">
        <f>'WetLitterbags placem_collection'!E189</f>
        <v>42763</v>
      </c>
      <c r="T408" s="226">
        <f>IF('WetLitterbags placem_collection'!G189="","",'WetLitterbags placem_collection'!G189)</f>
        <v>42815</v>
      </c>
      <c r="U408" s="227">
        <f t="shared" si="33"/>
        <v>52</v>
      </c>
      <c r="V408" s="225">
        <f t="shared" si="34"/>
        <v>0.37890000000000024</v>
      </c>
      <c r="W408" s="225">
        <f t="shared" si="35"/>
        <v>0.36505368686650752</v>
      </c>
      <c r="X408">
        <f>IFERROR(INDEX(Rainfall_Wet!$O$2:$O$217,MATCH(B408, Rainfall_Wet!$A$2:$A$217,0)),"")</f>
        <v>188.24043152799999</v>
      </c>
      <c r="Y408" s="231">
        <v>25.96</v>
      </c>
      <c r="Z408" s="231">
        <v>8.9200000000000017</v>
      </c>
      <c r="AA408" s="231">
        <v>65.12</v>
      </c>
      <c r="AB408" s="232" t="s">
        <v>2670</v>
      </c>
      <c r="AC408" s="231">
        <v>3.6991621488417898</v>
      </c>
      <c r="AD408">
        <f>IF('WetLitterbags placem_collection'!AB189="","",'WetLitterbags placem_collection'!AB189)</f>
        <v>0.6</v>
      </c>
      <c r="AE408">
        <f>IF('WetLitterbags placem_collection'!Z189="","",'WetLitterbags placem_collection'!Z189)</f>
        <v>39.4</v>
      </c>
      <c r="AF408" s="246" t="str">
        <f>IF('WetLitterbags placem_collection'!AA189="","",'WetLitterbags placem_collection'!AA189)</f>
        <v>O</v>
      </c>
      <c r="AG408">
        <f>IF('WetLitterbags placem_collection'!AC189="","",'WetLitterbags placem_collection'!AC189)</f>
        <v>1</v>
      </c>
      <c r="AH408" s="240">
        <f>AVERAGE('WetLitterbags placem_collection'!S189,'WetLitterbags placem_collection'!U189)</f>
        <v>14.2</v>
      </c>
      <c r="AI408">
        <f>AVERAGE('WetLitterbags placem_collection'!R189,'WetLitterbags placem_collection'!T189)</f>
        <v>33</v>
      </c>
      <c r="AJ408">
        <f>INDEX(Coordinates!$B$2:$B$197,MATCH(G408,Coordinates!$J$2:$J$197,0))</f>
        <v>-2.2785890289999999</v>
      </c>
      <c r="AK408">
        <f>INDEX(Coordinates!$C$2:$C$197,MATCH(G408,Coordinates!$J$2:$J$197,0))</f>
        <v>34.031841999999997</v>
      </c>
      <c r="AL408" t="str">
        <f>IF(ISNUMBER(SEARCH("C", 'WetLitterbags placem_collection'!W189)),"YES","NO")</f>
        <v>NO</v>
      </c>
      <c r="AM408" t="str">
        <f>IF(ISNUMBER(SEARCH("H", 'WetLitterbags placem_collection'!W189)),"YES","NO")</f>
        <v>NO</v>
      </c>
      <c r="AN408" t="str">
        <f>IF(ISNUMBER(SEARCH("R", 'WetLitterbags placem_collection'!W189)),"YES","NO")</f>
        <v>NO</v>
      </c>
    </row>
    <row r="409" spans="1:40" ht="15" customHeight="1">
      <c r="A409" s="258" t="s">
        <v>2460</v>
      </c>
      <c r="B409" s="263">
        <f>'Dry_Litterbag Placem_Collection'!A190</f>
        <v>188</v>
      </c>
      <c r="C409" s="263" t="str">
        <f>'Dry_Litterbag Placem_Collection'!B190</f>
        <v>Handajega</v>
      </c>
      <c r="D409" s="263" t="s">
        <v>2460</v>
      </c>
      <c r="E409" s="263" t="s">
        <v>2661</v>
      </c>
      <c r="F409" s="263">
        <v>4</v>
      </c>
      <c r="G409" s="264" t="str">
        <f>'Dry_Litterbag Placem_Collection'!C190</f>
        <v>Wet_W4_T4</v>
      </c>
      <c r="H409" s="265" t="s">
        <v>2541</v>
      </c>
      <c r="I409" s="272" t="s">
        <v>298</v>
      </c>
      <c r="J409" s="223" t="str">
        <f>'WetLitterbags placem_collection'!M190</f>
        <v>R523</v>
      </c>
      <c r="K409" s="225">
        <f>IFERROR(INDEX('Green_rooibos initial weight'!$C$5:$C$1749,MATCH(J409, 'Green_rooibos initial weight'!$A$5:$A$1749,0)),"")</f>
        <v>2.1179999999999999</v>
      </c>
      <c r="L409" s="225">
        <f>IFERROR(K409-(TBIcalc!$H$9+TBIcalc!$H$10),"")</f>
        <v>1.8681999999999999</v>
      </c>
      <c r="M409" s="391">
        <f>AVERAGE(Ashed_controlls!$K$12:$K$14)</f>
        <v>2.2816647271287041</v>
      </c>
      <c r="N409" s="225">
        <f t="shared" si="32"/>
        <v>1.8255739395677815</v>
      </c>
      <c r="O409" s="225">
        <f>IF(IFERROR(INDEX('Both teabags AfterWet'!$C$3:$C$841,MATCH(J409,'Both teabags AfterWet'!$A$3:$A$841,0)),"")="","",(IFERROR(INDEX('Both teabags AfterWet'!$C$3:$C$841,MATCH(J409,'Both teabags AfterWet'!$A$3:$A$841,0)),"")))</f>
        <v>1.54</v>
      </c>
      <c r="P409" s="225">
        <f>IFERROR(IF(O409&gt;0,O409-(TBIcalc!$H$9),""),"")</f>
        <v>1.3894</v>
      </c>
      <c r="Q409" s="225">
        <f>IFERROR(INDEX('Ashed teabags wet'!$K$2:$K$821,MATCH(J409,'Ashed teabags wet'!$A$2:$A$821,0)),"")</f>
        <v>2.4709302325582305</v>
      </c>
      <c r="R409" s="225">
        <f t="shared" si="36"/>
        <v>1.3550688953488359</v>
      </c>
      <c r="S409" s="226">
        <f>'WetLitterbags placem_collection'!E190</f>
        <v>42763</v>
      </c>
      <c r="T409" s="226">
        <f>IF('WetLitterbags placem_collection'!G190="","",'WetLitterbags placem_collection'!G190)</f>
        <v>42815</v>
      </c>
      <c r="U409" s="227">
        <f t="shared" si="33"/>
        <v>52</v>
      </c>
      <c r="V409" s="225">
        <f t="shared" si="34"/>
        <v>0.47879999999999989</v>
      </c>
      <c r="W409" s="225">
        <f t="shared" si="35"/>
        <v>0.47050504421894557</v>
      </c>
      <c r="X409">
        <f>IFERROR(INDEX(Rainfall_Wet!$O$2:$O$217,MATCH(B409, Rainfall_Wet!$A$2:$A$217,0)),"")</f>
        <v>188.24043152799999</v>
      </c>
      <c r="Y409" s="231">
        <v>25.96</v>
      </c>
      <c r="Z409" s="231">
        <v>8.9200000000000017</v>
      </c>
      <c r="AA409" s="231">
        <v>65.12</v>
      </c>
      <c r="AB409" s="232" t="s">
        <v>2670</v>
      </c>
      <c r="AC409" s="231">
        <v>4.6991621488417898</v>
      </c>
      <c r="AD409">
        <f>IF('WetLitterbags placem_collection'!AB190="","",'WetLitterbags placem_collection'!AB190)</f>
        <v>2.2999999999999998</v>
      </c>
      <c r="AE409">
        <f>IF('WetLitterbags placem_collection'!Z190="","",'WetLitterbags placem_collection'!Z190)</f>
        <v>14.4</v>
      </c>
      <c r="AF409" s="246" t="str">
        <f>IF('WetLitterbags placem_collection'!AA190="","",'WetLitterbags placem_collection'!AA190)</f>
        <v>O</v>
      </c>
      <c r="AG409">
        <f>IF('WetLitterbags placem_collection'!AC190="","",'WetLitterbags placem_collection'!AC190)</f>
        <v>0</v>
      </c>
      <c r="AH409" s="240">
        <f>AVERAGE('WetLitterbags placem_collection'!S190,'WetLitterbags placem_collection'!U190)</f>
        <v>10.45</v>
      </c>
      <c r="AI409">
        <f>AVERAGE('WetLitterbags placem_collection'!R190,'WetLitterbags placem_collection'!T190)</f>
        <v>34.15</v>
      </c>
      <c r="AJ409">
        <f>INDEX(Coordinates!$B$2:$B$197,MATCH(G409,Coordinates!$J$2:$J$197,0))</f>
        <v>-2.278422983</v>
      </c>
      <c r="AK409">
        <f>INDEX(Coordinates!$C$2:$C$197,MATCH(G409,Coordinates!$J$2:$J$197,0))</f>
        <v>34.032261009999999</v>
      </c>
      <c r="AL409" t="str">
        <f>IF(ISNUMBER(SEARCH("C", 'WetLitterbags placem_collection'!W190)),"YES","NO")</f>
        <v>YES</v>
      </c>
      <c r="AM409" t="str">
        <f>IF(ISNUMBER(SEARCH("H", 'WetLitterbags placem_collection'!W190)),"YES","NO")</f>
        <v>YES</v>
      </c>
      <c r="AN409" t="str">
        <f>IF(ISNUMBER(SEARCH("R", 'WetLitterbags placem_collection'!W190)),"YES","NO")</f>
        <v>YES</v>
      </c>
    </row>
    <row r="410" spans="1:40" ht="15" customHeight="1">
      <c r="A410" s="258" t="s">
        <v>2460</v>
      </c>
      <c r="B410" s="263">
        <f>'Dry_Litterbag Placem_Collection'!A191</f>
        <v>189</v>
      </c>
      <c r="C410" s="263" t="str">
        <f>'Dry_Litterbag Placem_Collection'!B191</f>
        <v>Handajega</v>
      </c>
      <c r="D410" s="263" t="s">
        <v>2460</v>
      </c>
      <c r="E410" s="263" t="s">
        <v>2661</v>
      </c>
      <c r="F410" s="263">
        <v>4</v>
      </c>
      <c r="G410" s="264" t="str">
        <f>'Dry_Litterbag Placem_Collection'!C191</f>
        <v>Wet_W4_T5</v>
      </c>
      <c r="H410" s="265" t="s">
        <v>2541</v>
      </c>
      <c r="I410" s="272" t="s">
        <v>298</v>
      </c>
      <c r="J410" s="223" t="str">
        <f>'WetLitterbags placem_collection'!M191</f>
        <v>R354</v>
      </c>
      <c r="K410" s="225">
        <f>IFERROR(INDEX('Green_rooibos initial weight'!$C$5:$C$1749,MATCH(J410, 'Green_rooibos initial weight'!$A$5:$A$1749,0)),"")</f>
        <v>2.286</v>
      </c>
      <c r="L410" s="225">
        <f>IFERROR(K410-(TBIcalc!$H$9+TBIcalc!$H$10),"")</f>
        <v>2.0362</v>
      </c>
      <c r="M410" s="391">
        <f>AVERAGE(Ashed_controlls!$K$12:$K$14)</f>
        <v>2.2816647271287041</v>
      </c>
      <c r="N410" s="225">
        <f t="shared" si="32"/>
        <v>1.9897407428262053</v>
      </c>
      <c r="O410" s="225">
        <f>IF(IFERROR(INDEX('Both teabags AfterWet'!$C$3:$C$841,MATCH(J410,'Both teabags AfterWet'!$A$3:$A$841,0)),"")="","",(IFERROR(INDEX('Both teabags AfterWet'!$C$3:$C$841,MATCH(J410,'Both teabags AfterWet'!$A$3:$A$841,0)),"")))</f>
        <v>1.7630999999999999</v>
      </c>
      <c r="P410" s="225">
        <f>IFERROR(IF(O410&gt;0,O410-(TBIcalc!$H$9),""),"")</f>
        <v>1.6124999999999998</v>
      </c>
      <c r="Q410" s="225">
        <f>IFERROR(INDEX('Ashed teabags wet'!$K$2:$K$821,MATCH(J410,'Ashed teabags wet'!$A$2:$A$821,0)),"")</f>
        <v>2.4789291026277223</v>
      </c>
      <c r="R410" s="225">
        <f t="shared" si="36"/>
        <v>1.5725272682201279</v>
      </c>
      <c r="S410" s="226">
        <f>'WetLitterbags placem_collection'!E191</f>
        <v>42763</v>
      </c>
      <c r="T410" s="226">
        <f>IF('WetLitterbags placem_collection'!G191="","",'WetLitterbags placem_collection'!G191)</f>
        <v>42815</v>
      </c>
      <c r="U410" s="227">
        <f t="shared" si="33"/>
        <v>52</v>
      </c>
      <c r="V410" s="225">
        <f t="shared" si="34"/>
        <v>0.42370000000000019</v>
      </c>
      <c r="W410" s="225">
        <f t="shared" si="35"/>
        <v>0.41721347460607738</v>
      </c>
      <c r="X410">
        <f>IFERROR(INDEX(Rainfall_Wet!$O$2:$O$217,MATCH(B410, Rainfall_Wet!$A$2:$A$217,0)),"")</f>
        <v>188.24043152799999</v>
      </c>
      <c r="Y410" s="231">
        <v>25.96</v>
      </c>
      <c r="Z410" s="231">
        <v>8.9200000000000017</v>
      </c>
      <c r="AA410" s="231">
        <v>65.12</v>
      </c>
      <c r="AB410" s="232" t="s">
        <v>2670</v>
      </c>
      <c r="AC410" s="231">
        <v>5.6991621488417898</v>
      </c>
      <c r="AD410">
        <f>IF('WetLitterbags placem_collection'!AB191="","",'WetLitterbags placem_collection'!AB191)</f>
        <v>0.6</v>
      </c>
      <c r="AE410">
        <f>IF('WetLitterbags placem_collection'!Z191="","",'WetLitterbags placem_collection'!Z191)</f>
        <v>7</v>
      </c>
      <c r="AF410" s="246" t="str">
        <f>IF('WetLitterbags placem_collection'!AA191="","",'WetLitterbags placem_collection'!AA191)</f>
        <v>O</v>
      </c>
      <c r="AG410">
        <f>IF('WetLitterbags placem_collection'!AC191="","",'WetLitterbags placem_collection'!AC191)</f>
        <v>1</v>
      </c>
      <c r="AH410" s="240">
        <f>AVERAGE('WetLitterbags placem_collection'!S191,'WetLitterbags placem_collection'!U191)</f>
        <v>13.6</v>
      </c>
      <c r="AI410">
        <f>AVERAGE('WetLitterbags placem_collection'!R191,'WetLitterbags placem_collection'!T191)</f>
        <v>30.6</v>
      </c>
      <c r="AJ410">
        <f>INDEX(Coordinates!$B$2:$B$197,MATCH(G410,Coordinates!$J$2:$J$197,0))</f>
        <v>-2.2787580080000001</v>
      </c>
      <c r="AK410">
        <f>INDEX(Coordinates!$C$2:$C$197,MATCH(G410,Coordinates!$J$2:$J$197,0))</f>
        <v>34.032463010000001</v>
      </c>
      <c r="AL410" t="str">
        <f>IF(ISNUMBER(SEARCH("C", 'WetLitterbags placem_collection'!W191)),"YES","NO")</f>
        <v>NO</v>
      </c>
      <c r="AM410" t="str">
        <f>IF(ISNUMBER(SEARCH("H", 'WetLitterbags placem_collection'!W191)),"YES","NO")</f>
        <v>NO</v>
      </c>
      <c r="AN410" t="str">
        <f>IF(ISNUMBER(SEARCH("R", 'WetLitterbags placem_collection'!W191)),"YES","NO")</f>
        <v>YES</v>
      </c>
    </row>
    <row r="411" spans="1:40" ht="15" customHeight="1">
      <c r="A411" s="258" t="s">
        <v>2460</v>
      </c>
      <c r="B411" s="263">
        <f>'Dry_Litterbag Placem_Collection'!A192</f>
        <v>190</v>
      </c>
      <c r="C411" s="263" t="str">
        <f>'Dry_Litterbag Placem_Collection'!B192</f>
        <v>Handajega</v>
      </c>
      <c r="D411" s="263" t="s">
        <v>2460</v>
      </c>
      <c r="E411" s="263" t="s">
        <v>2661</v>
      </c>
      <c r="F411" s="263">
        <v>4</v>
      </c>
      <c r="G411" s="264" t="str">
        <f>'Dry_Litterbag Placem_Collection'!C192</f>
        <v>Wet_W4_T6</v>
      </c>
      <c r="H411" s="265" t="s">
        <v>2541</v>
      </c>
      <c r="I411" s="272" t="s">
        <v>298</v>
      </c>
      <c r="J411" s="223" t="str">
        <f>'WetLitterbags placem_collection'!M192</f>
        <v>R164</v>
      </c>
      <c r="K411" s="225">
        <f>IFERROR(INDEX('Green_rooibos initial weight'!$C$5:$C$1749,MATCH(J411, 'Green_rooibos initial weight'!$A$5:$A$1749,0)),"")</f>
        <v>2.2040000000000002</v>
      </c>
      <c r="L411" s="225">
        <f>IFERROR(K411-(TBIcalc!$H$9+TBIcalc!$H$10),"")</f>
        <v>1.9542000000000002</v>
      </c>
      <c r="M411" s="391">
        <f>AVERAGE(Ashed_controlls!$K$12:$K$14)</f>
        <v>2.2816647271287041</v>
      </c>
      <c r="N411" s="225">
        <f t="shared" si="32"/>
        <v>1.909611707902451</v>
      </c>
      <c r="O411" s="225">
        <f>IF(IFERROR(INDEX('Both teabags AfterWet'!$C$3:$C$841,MATCH(J411,'Both teabags AfterWet'!$A$3:$A$841,0)),"")="","",(IFERROR(INDEX('Both teabags AfterWet'!$C$3:$C$841,MATCH(J411,'Both teabags AfterWet'!$A$3:$A$841,0)),"")))</f>
        <v>1.6649</v>
      </c>
      <c r="P411" s="225">
        <f>IFERROR(IF(O411&gt;0,O411-(TBIcalc!$H$9),""),"")</f>
        <v>1.5143</v>
      </c>
      <c r="Q411" s="225">
        <f>IFERROR(INDEX('Ashed teabags wet'!$K$2:$K$821,MATCH(J411,'Ashed teabags wet'!$A$2:$A$821,0)),"")</f>
        <v>2.591687041564656</v>
      </c>
      <c r="R411" s="225">
        <f t="shared" si="36"/>
        <v>1.4750540831295864</v>
      </c>
      <c r="S411" s="226">
        <f>'WetLitterbags placem_collection'!E192</f>
        <v>42763</v>
      </c>
      <c r="T411" s="226">
        <f>IF('WetLitterbags placem_collection'!G192="","",'WetLitterbags placem_collection'!G192)</f>
        <v>42815</v>
      </c>
      <c r="U411" s="227">
        <f t="shared" si="33"/>
        <v>52</v>
      </c>
      <c r="V411" s="225">
        <f t="shared" si="34"/>
        <v>0.43990000000000018</v>
      </c>
      <c r="W411" s="225">
        <f t="shared" si="35"/>
        <v>0.43455762477286464</v>
      </c>
      <c r="X411">
        <f>IFERROR(INDEX(Rainfall_Wet!$O$2:$O$217,MATCH(B411, Rainfall_Wet!$A$2:$A$217,0)),"")</f>
        <v>188.24043152799999</v>
      </c>
      <c r="Y411" s="231">
        <v>25.96</v>
      </c>
      <c r="Z411" s="231">
        <v>8.9200000000000017</v>
      </c>
      <c r="AA411" s="231">
        <v>65.12</v>
      </c>
      <c r="AB411" s="232" t="s">
        <v>2670</v>
      </c>
      <c r="AC411" s="231">
        <v>6.6991621488417898</v>
      </c>
      <c r="AD411">
        <f>IF('WetLitterbags placem_collection'!AB192="","",'WetLitterbags placem_collection'!AB192)</f>
        <v>9.5</v>
      </c>
      <c r="AE411">
        <f>IF('WetLitterbags placem_collection'!Z192="","",'WetLitterbags placem_collection'!Z192)</f>
        <v>17.399999999999999</v>
      </c>
      <c r="AF411" s="246" t="str">
        <f>IF('WetLitterbags placem_collection'!AA192="","",'WetLitterbags placem_collection'!AA192)</f>
        <v>O</v>
      </c>
      <c r="AG411">
        <f>IF('WetLitterbags placem_collection'!AC192="","",'WetLitterbags placem_collection'!AC192)</f>
        <v>0</v>
      </c>
      <c r="AH411" s="240">
        <f>AVERAGE('WetLitterbags placem_collection'!S192,'WetLitterbags placem_collection'!U192)</f>
        <v>13.55</v>
      </c>
      <c r="AI411">
        <f>AVERAGE('WetLitterbags placem_collection'!R192,'WetLitterbags placem_collection'!T192)</f>
        <v>34.049999999999997</v>
      </c>
      <c r="AJ411">
        <f>INDEX(Coordinates!$B$2:$B$197,MATCH(G411,Coordinates!$J$2:$J$197,0))</f>
        <v>-2.2787559960000001</v>
      </c>
      <c r="AK411">
        <f>INDEX(Coordinates!$C$2:$C$197,MATCH(G411,Coordinates!$J$2:$J$197,0))</f>
        <v>34.032268969999997</v>
      </c>
      <c r="AL411" t="str">
        <f>IF(ISNUMBER(SEARCH("C", 'WetLitterbags placem_collection'!W192)),"YES","NO")</f>
        <v>YES</v>
      </c>
      <c r="AM411" t="str">
        <f>IF(ISNUMBER(SEARCH("H", 'WetLitterbags placem_collection'!W192)),"YES","NO")</f>
        <v>YES</v>
      </c>
      <c r="AN411" t="str">
        <f>IF(ISNUMBER(SEARCH("R", 'WetLitterbags placem_collection'!W192)),"YES","NO")</f>
        <v>NO</v>
      </c>
    </row>
    <row r="412" spans="1:40" ht="15" customHeight="1">
      <c r="A412" s="258" t="s">
        <v>2460</v>
      </c>
      <c r="B412" s="263">
        <f>'Dry_Litterbag Placem_Collection'!A193</f>
        <v>191</v>
      </c>
      <c r="C412" s="263" t="str">
        <f>'Dry_Litterbag Placem_Collection'!B193</f>
        <v>Handajega</v>
      </c>
      <c r="D412" s="263" t="s">
        <v>2460</v>
      </c>
      <c r="E412" s="263" t="s">
        <v>2661</v>
      </c>
      <c r="F412" s="263">
        <v>4</v>
      </c>
      <c r="G412" s="264" t="str">
        <f>'Dry_Litterbag Placem_Collection'!C193</f>
        <v>Wet_W4_T7</v>
      </c>
      <c r="H412" s="265" t="s">
        <v>2541</v>
      </c>
      <c r="I412" s="272" t="s">
        <v>298</v>
      </c>
      <c r="J412" s="223" t="str">
        <f>'WetLitterbags placem_collection'!M193</f>
        <v>R336</v>
      </c>
      <c r="K412" s="225">
        <f>IFERROR(INDEX('Green_rooibos initial weight'!$C$5:$C$1749,MATCH(J412, 'Green_rooibos initial weight'!$A$5:$A$1749,0)),"")</f>
        <v>2.11</v>
      </c>
      <c r="L412" s="225">
        <f>IFERROR(K412-(TBIcalc!$H$9+TBIcalc!$H$10),"")</f>
        <v>1.8601999999999999</v>
      </c>
      <c r="M412" s="391">
        <f>AVERAGE(Ashed_controlls!$K$12:$K$14)</f>
        <v>2.2816647271287041</v>
      </c>
      <c r="N412" s="225">
        <f t="shared" si="32"/>
        <v>1.8177564727459516</v>
      </c>
      <c r="O412" s="225">
        <f>IF(IFERROR(INDEX('Both teabags AfterWet'!$C$3:$C$841,MATCH(J412,'Both teabags AfterWet'!$A$3:$A$841,0)),"")="","",(IFERROR(INDEX('Both teabags AfterWet'!$C$3:$C$841,MATCH(J412,'Both teabags AfterWet'!$A$3:$A$841,0)),"")))</f>
        <v>1.671</v>
      </c>
      <c r="P412" s="225">
        <f>IFERROR(IF(O412&gt;0,O412-(TBIcalc!$H$9),""),"")</f>
        <v>1.5204</v>
      </c>
      <c r="Q412" s="225">
        <f>IFERROR(INDEX('Ashed teabags wet'!$K$2:$K$821,MATCH(J412,'Ashed teabags wet'!$A$2:$A$821,0)),"")</f>
        <v>1.9089574155652842</v>
      </c>
      <c r="R412" s="225">
        <f t="shared" si="36"/>
        <v>1.4913762114537454</v>
      </c>
      <c r="S412" s="226">
        <f>'WetLitterbags placem_collection'!E193</f>
        <v>42763</v>
      </c>
      <c r="T412" s="226">
        <f>IF('WetLitterbags placem_collection'!G193="","",'WetLitterbags placem_collection'!G193)</f>
        <v>42815</v>
      </c>
      <c r="U412" s="227">
        <f t="shared" si="33"/>
        <v>52</v>
      </c>
      <c r="V412" s="225">
        <f t="shared" si="34"/>
        <v>0.33979999999999988</v>
      </c>
      <c r="W412" s="225">
        <f t="shared" si="35"/>
        <v>0.32638026129220621</v>
      </c>
      <c r="X412">
        <f>IFERROR(INDEX(Rainfall_Wet!$O$2:$O$217,MATCH(B412, Rainfall_Wet!$A$2:$A$217,0)),"")</f>
        <v>188.24043152799999</v>
      </c>
      <c r="Y412" s="231">
        <v>25.96</v>
      </c>
      <c r="Z412" s="231">
        <v>8.9200000000000017</v>
      </c>
      <c r="AA412" s="231">
        <v>65.12</v>
      </c>
      <c r="AB412" s="232" t="s">
        <v>2670</v>
      </c>
      <c r="AC412" s="231">
        <v>7.6991621488417898</v>
      </c>
      <c r="AD412">
        <f>IF('WetLitterbags placem_collection'!AB193="","",'WetLitterbags placem_collection'!AB193)</f>
        <v>12.4</v>
      </c>
      <c r="AE412">
        <f>IF('WetLitterbags placem_collection'!Z193="","",'WetLitterbags placem_collection'!Z193)</f>
        <v>29.8</v>
      </c>
      <c r="AF412" s="246" t="str">
        <f>IF('WetLitterbags placem_collection'!AA193="","",'WetLitterbags placem_collection'!AA193)</f>
        <v>O</v>
      </c>
      <c r="AG412">
        <f>IF('WetLitterbags placem_collection'!AC193="","",'WetLitterbags placem_collection'!AC193)</f>
        <v>0</v>
      </c>
      <c r="AH412" s="240">
        <f>AVERAGE('WetLitterbags placem_collection'!S193,'WetLitterbags placem_collection'!U193)</f>
        <v>12.350000000000001</v>
      </c>
      <c r="AI412">
        <f>AVERAGE('WetLitterbags placem_collection'!R193,'WetLitterbags placem_collection'!T193)</f>
        <v>35</v>
      </c>
      <c r="AJ412">
        <f>INDEX(Coordinates!$B$2:$B$197,MATCH(G412,Coordinates!$J$2:$J$197,0))</f>
        <v>-2.278704029</v>
      </c>
      <c r="AK412">
        <f>INDEX(Coordinates!$C$2:$C$197,MATCH(G412,Coordinates!$J$2:$J$197,0))</f>
        <v>34.032182970000001</v>
      </c>
      <c r="AL412" t="str">
        <f>IF(ISNUMBER(SEARCH("C", 'WetLitterbags placem_collection'!W193)),"YES","NO")</f>
        <v>YES</v>
      </c>
      <c r="AM412" t="str">
        <f>IF(ISNUMBER(SEARCH("H", 'WetLitterbags placem_collection'!W193)),"YES","NO")</f>
        <v>YES</v>
      </c>
      <c r="AN412" t="str">
        <f>IF(ISNUMBER(SEARCH("R", 'WetLitterbags placem_collection'!W193)),"YES","NO")</f>
        <v>NO</v>
      </c>
    </row>
    <row r="413" spans="1:40" ht="15" customHeight="1">
      <c r="A413" s="258" t="s">
        <v>2460</v>
      </c>
      <c r="B413" s="263">
        <f>'Dry_Litterbag Placem_Collection'!A194</f>
        <v>192</v>
      </c>
      <c r="C413" s="263" t="str">
        <f>'Dry_Litterbag Placem_Collection'!B194</f>
        <v>Handajega</v>
      </c>
      <c r="D413" s="263" t="s">
        <v>2460</v>
      </c>
      <c r="E413" s="263" t="s">
        <v>2661</v>
      </c>
      <c r="F413" s="263">
        <v>4</v>
      </c>
      <c r="G413" s="264" t="str">
        <f>'Dry_Litterbag Placem_Collection'!C194</f>
        <v>Wet_W4_T8</v>
      </c>
      <c r="H413" s="265" t="s">
        <v>2541</v>
      </c>
      <c r="I413" s="272" t="s">
        <v>298</v>
      </c>
      <c r="J413" s="223" t="str">
        <f>'WetLitterbags placem_collection'!M194</f>
        <v>R263</v>
      </c>
      <c r="K413" s="225">
        <f>IFERROR(INDEX('Green_rooibos initial weight'!$C$5:$C$1749,MATCH(J413, 'Green_rooibos initial weight'!$A$5:$A$1749,0)),"")</f>
        <v>2.1850000000000001</v>
      </c>
      <c r="L413" s="225">
        <f>IFERROR(K413-(TBIcalc!$H$9+TBIcalc!$H$10),"")</f>
        <v>1.9352</v>
      </c>
      <c r="M413" s="391">
        <f>AVERAGE(Ashed_controlls!$K$12:$K$14)</f>
        <v>2.2816647271287041</v>
      </c>
      <c r="N413" s="225">
        <f t="shared" si="32"/>
        <v>1.8910452242006053</v>
      </c>
      <c r="O413" s="225">
        <f>IF(IFERROR(INDEX('Both teabags AfterWet'!$C$3:$C$841,MATCH(J413,'Both teabags AfterWet'!$A$3:$A$841,0)),"")="","",(IFERROR(INDEX('Both teabags AfterWet'!$C$3:$C$841,MATCH(J413,'Both teabags AfterWet'!$A$3:$A$841,0)),"")))</f>
        <v>1.0369999999999999</v>
      </c>
      <c r="P413" s="225">
        <f>IFERROR(IF(O413&gt;0,O413-(TBIcalc!$H$9),""),"")</f>
        <v>0.88639999999999985</v>
      </c>
      <c r="Q413" s="225">
        <f>IFERROR(INDEX('Ashed teabags wet'!$K$2:$K$821,MATCH(J413,'Ashed teabags wet'!$A$2:$A$821,0)),"")</f>
        <v>44.460570875664885</v>
      </c>
      <c r="R413" s="225">
        <f t="shared" si="36"/>
        <v>0.49230149975810639</v>
      </c>
      <c r="S413" s="226">
        <f>'WetLitterbags placem_collection'!E194</f>
        <v>42763</v>
      </c>
      <c r="T413" s="226">
        <f>IF('WetLitterbags placem_collection'!G194="","",'WetLitterbags placem_collection'!G194)</f>
        <v>42815</v>
      </c>
      <c r="U413" s="227">
        <f t="shared" si="33"/>
        <v>52</v>
      </c>
      <c r="V413" s="225">
        <f t="shared" si="34"/>
        <v>1.0488000000000002</v>
      </c>
      <c r="W413" s="225">
        <f t="shared" si="35"/>
        <v>1.3987437244424989</v>
      </c>
      <c r="X413">
        <f>IFERROR(INDEX(Rainfall_Wet!$O$2:$O$217,MATCH(B413, Rainfall_Wet!$A$2:$A$217,0)),"")</f>
        <v>188.24043152799999</v>
      </c>
      <c r="Y413" s="231">
        <v>25.96</v>
      </c>
      <c r="Z413" s="231">
        <v>8.9200000000000017</v>
      </c>
      <c r="AA413" s="231">
        <v>65.12</v>
      </c>
      <c r="AB413" s="232" t="s">
        <v>2670</v>
      </c>
      <c r="AC413" s="231">
        <v>8.6991621488417898</v>
      </c>
      <c r="AD413">
        <f>IF('WetLitterbags placem_collection'!AB194="","",'WetLitterbags placem_collection'!AB194)</f>
        <v>3.6</v>
      </c>
      <c r="AE413">
        <f>IF('WetLitterbags placem_collection'!Z194="","",'WetLitterbags placem_collection'!Z194)</f>
        <v>37.799999999999997</v>
      </c>
      <c r="AF413" s="246" t="str">
        <f>IF('WetLitterbags placem_collection'!AA194="","",'WetLitterbags placem_collection'!AA194)</f>
        <v>O</v>
      </c>
      <c r="AG413">
        <f>IF('WetLitterbags placem_collection'!AC194="","",'WetLitterbags placem_collection'!AC194)</f>
        <v>0</v>
      </c>
      <c r="AH413" s="240">
        <f>AVERAGE('WetLitterbags placem_collection'!S194,'WetLitterbags placem_collection'!U194)</f>
        <v>9.25</v>
      </c>
      <c r="AI413">
        <f>AVERAGE('WetLitterbags placem_collection'!R194,'WetLitterbags placem_collection'!T194)</f>
        <v>33.299999999999997</v>
      </c>
      <c r="AJ413">
        <f>INDEX(Coordinates!$B$2:$B$197,MATCH(G413,Coordinates!$J$2:$J$197,0))</f>
        <v>-2.2789770269999998</v>
      </c>
      <c r="AK413">
        <f>INDEX(Coordinates!$C$2:$C$197,MATCH(G413,Coordinates!$J$2:$J$197,0))</f>
        <v>34.032051039999999</v>
      </c>
      <c r="AL413" t="str">
        <f>IF(ISNUMBER(SEARCH("C", 'WetLitterbags placem_collection'!W194)),"YES","NO")</f>
        <v>YES</v>
      </c>
      <c r="AM413" t="str">
        <f>IF(ISNUMBER(SEARCH("H", 'WetLitterbags placem_collection'!W194)),"YES","NO")</f>
        <v>YES</v>
      </c>
      <c r="AN413" t="str">
        <f>IF(ISNUMBER(SEARCH("R", 'WetLitterbags placem_collection'!W194)),"YES","NO")</f>
        <v>NO</v>
      </c>
    </row>
    <row r="414" spans="1:40" ht="15" customHeight="1">
      <c r="A414" s="258" t="s">
        <v>2460</v>
      </c>
      <c r="B414" s="263">
        <f>'Dry_Litterbag Placem_Collection'!A195</f>
        <v>193</v>
      </c>
      <c r="C414" s="263" t="str">
        <f>'Dry_Litterbag Placem_Collection'!B195</f>
        <v>Makao</v>
      </c>
      <c r="D414" s="263" t="s">
        <v>2659</v>
      </c>
      <c r="E414" s="263" t="s">
        <v>2526</v>
      </c>
      <c r="F414" s="263">
        <v>4</v>
      </c>
      <c r="G414" s="264" t="str">
        <f>'Dry_Litterbag Placem_Collection'!C195</f>
        <v>Dry_Ag1_CG4</v>
      </c>
      <c r="H414" s="265" t="s">
        <v>2541</v>
      </c>
      <c r="I414" s="272" t="s">
        <v>298</v>
      </c>
      <c r="J414" s="223" t="str">
        <f>'WetLitterbags placem_collection'!M195</f>
        <v>R125</v>
      </c>
      <c r="K414" s="225">
        <f>IFERROR(INDEX('Green_rooibos initial weight'!$C$5:$C$1749,MATCH(J414, 'Green_rooibos initial weight'!$A$5:$A$1749,0)),"")</f>
        <v>2.2040000000000002</v>
      </c>
      <c r="L414" s="225">
        <f>IFERROR(K414-(TBIcalc!$H$9+TBIcalc!$H$10),"")</f>
        <v>1.9542000000000002</v>
      </c>
      <c r="M414" s="391">
        <f>AVERAGE(Ashed_controlls!$K$12:$K$14)</f>
        <v>2.2816647271287041</v>
      </c>
      <c r="N414" s="225">
        <f t="shared" si="32"/>
        <v>1.909611707902451</v>
      </c>
      <c r="O414" s="225">
        <f>IF(IFERROR(INDEX('Both teabags AfterWet'!$C$3:$C$841,MATCH(J414,'Both teabags AfterWet'!$A$3:$A$841,0)),"")="","",(IFERROR(INDEX('Both teabags AfterWet'!$C$3:$C$841,MATCH(J414,'Both teabags AfterWet'!$A$3:$A$841,0)),"")))</f>
        <v>1.2266999999999999</v>
      </c>
      <c r="P414" s="225">
        <f>IFERROR(IF(O414&gt;0,O414-(TBIcalc!$H$9),""),"")</f>
        <v>1.0760999999999998</v>
      </c>
      <c r="Q414" s="225">
        <f>IFERROR(INDEX('Ashed teabags wet'!$K$2:$K$821,MATCH(J414,'Ashed teabags wet'!$A$2:$A$821,0)),"")</f>
        <v>4.8379052369080275</v>
      </c>
      <c r="R414" s="225">
        <f t="shared" si="36"/>
        <v>1.0240393017456326</v>
      </c>
      <c r="S414" s="226">
        <f>'WetLitterbags placem_collection'!E195</f>
        <v>42769</v>
      </c>
      <c r="T414" s="226">
        <f>IF('WetLitterbags placem_collection'!G195="","",'WetLitterbags placem_collection'!G195)</f>
        <v>42813</v>
      </c>
      <c r="U414" s="227">
        <f t="shared" si="33"/>
        <v>44</v>
      </c>
      <c r="V414" s="225">
        <f t="shared" si="34"/>
        <v>0.87810000000000032</v>
      </c>
      <c r="W414" s="225">
        <f t="shared" si="35"/>
        <v>0.88557240615681843</v>
      </c>
      <c r="X414">
        <f>IFERROR(INDEX(Rainfall_Wet!$O$2:$O$217,MATCH(B414, Rainfall_Wet!$A$2:$A$217,0)),"")</f>
        <v>175.054685654</v>
      </c>
      <c r="Y414" s="231">
        <v>12.565665055683967</v>
      </c>
      <c r="Z414" s="231">
        <v>0.9665896196679955</v>
      </c>
      <c r="AA414" s="231">
        <v>86.467745324648035</v>
      </c>
      <c r="AB414" s="232" t="s">
        <v>2672</v>
      </c>
      <c r="AC414" s="231">
        <v>1.0225726959093147</v>
      </c>
      <c r="AD414">
        <f>IF('WetLitterbags placem_collection'!AB195="","",'WetLitterbags placem_collection'!AB195)</f>
        <v>15.2</v>
      </c>
      <c r="AE414">
        <f>IF('WetLitterbags placem_collection'!Z195="","",'WetLitterbags placem_collection'!Z195)</f>
        <v>12.2</v>
      </c>
      <c r="AF414" s="246" t="str">
        <f>IF('WetLitterbags placem_collection'!AA195="","",'WetLitterbags placem_collection'!AA195)</f>
        <v>O</v>
      </c>
      <c r="AG414">
        <f>IF('WetLitterbags placem_collection'!AC195="","",'WetLitterbags placem_collection'!AC195)</f>
        <v>1</v>
      </c>
      <c r="AH414" s="240">
        <f>AVERAGE('WetLitterbags placem_collection'!S195,'WetLitterbags placem_collection'!U195)</f>
        <v>22.4</v>
      </c>
      <c r="AI414">
        <f>AVERAGE('WetLitterbags placem_collection'!R195,'WetLitterbags placem_collection'!T195)</f>
        <v>28.95</v>
      </c>
      <c r="AJ414">
        <v>-2.4396949910000001</v>
      </c>
      <c r="AK414">
        <v>34.838574029999997</v>
      </c>
      <c r="AL414" t="str">
        <f>IF(ISNUMBER(SEARCH("C", 'WetLitterbags placem_collection'!W195)),"YES","NO")</f>
        <v>NO</v>
      </c>
      <c r="AM414" t="str">
        <f>IF(ISNUMBER(SEARCH("H", 'WetLitterbags placem_collection'!W195)),"YES","NO")</f>
        <v>NO</v>
      </c>
      <c r="AN414" t="str">
        <f>IF(ISNUMBER(SEARCH("R", 'WetLitterbags placem_collection'!W195)),"YES","NO")</f>
        <v>NO</v>
      </c>
    </row>
    <row r="415" spans="1:40" ht="15" customHeight="1">
      <c r="A415" s="258" t="s">
        <v>2460</v>
      </c>
      <c r="B415" s="263">
        <f>'Dry_Litterbag Placem_Collection'!A196</f>
        <v>194</v>
      </c>
      <c r="C415" s="263" t="str">
        <f>'Dry_Litterbag Placem_Collection'!B196</f>
        <v>Makao</v>
      </c>
      <c r="D415" s="263" t="s">
        <v>2659</v>
      </c>
      <c r="E415" s="263" t="s">
        <v>2526</v>
      </c>
      <c r="F415" s="263">
        <v>3</v>
      </c>
      <c r="G415" s="264" t="str">
        <f>'Dry_Litterbag Placem_Collection'!C196</f>
        <v>Dry_Ag2_CG3</v>
      </c>
      <c r="H415" s="265" t="s">
        <v>2541</v>
      </c>
      <c r="I415" s="272" t="s">
        <v>298</v>
      </c>
      <c r="J415" s="223" t="str">
        <f>'WetLitterbags placem_collection'!M196</f>
        <v>R289</v>
      </c>
      <c r="K415" s="225">
        <f>IFERROR(INDEX('Green_rooibos initial weight'!$C$5:$C$1749,MATCH(J415, 'Green_rooibos initial weight'!$A$5:$A$1749,0)),"")</f>
        <v>2.2160000000000002</v>
      </c>
      <c r="L415" s="225">
        <f>IFERROR(K415-(TBIcalc!$H$9+TBIcalc!$H$10),"")</f>
        <v>1.9662000000000002</v>
      </c>
      <c r="M415" s="391">
        <f>AVERAGE(Ashed_controlls!$K$12:$K$14)</f>
        <v>2.2816647271287041</v>
      </c>
      <c r="N415" s="225">
        <f t="shared" si="32"/>
        <v>1.9213379081351956</v>
      </c>
      <c r="O415" s="225">
        <f>IF(IFERROR(INDEX('Both teabags AfterWet'!$C$3:$C$841,MATCH(J415,'Both teabags AfterWet'!$A$3:$A$841,0)),"")="","",(IFERROR(INDEX('Both teabags AfterWet'!$C$3:$C$841,MATCH(J415,'Both teabags AfterWet'!$A$3:$A$841,0)),"")))</f>
        <v>1.512</v>
      </c>
      <c r="P415" s="225">
        <f>IFERROR(IF(O415&gt;0,O415-(TBIcalc!$H$9),""),"")</f>
        <v>1.3613999999999999</v>
      </c>
      <c r="Q415" s="225">
        <f>IFERROR(INDEX('Ashed teabags wet'!$K$2:$K$821,MATCH(J415,'Ashed teabags wet'!$A$2:$A$821,0)),"")</f>
        <v>3.5180722891571889</v>
      </c>
      <c r="R415" s="225">
        <f t="shared" si="36"/>
        <v>1.3135049638554139</v>
      </c>
      <c r="S415" s="226">
        <f>'WetLitterbags placem_collection'!E196</f>
        <v>42769</v>
      </c>
      <c r="T415" s="226">
        <f>IF('WetLitterbags placem_collection'!G196="","",'WetLitterbags placem_collection'!G196)</f>
        <v>42813</v>
      </c>
      <c r="U415" s="227">
        <f t="shared" si="33"/>
        <v>44</v>
      </c>
      <c r="V415" s="225">
        <f t="shared" si="34"/>
        <v>0.60480000000000023</v>
      </c>
      <c r="W415" s="225">
        <f t="shared" si="35"/>
        <v>0.60783294427978163</v>
      </c>
      <c r="X415">
        <f>IFERROR(INDEX(Rainfall_Wet!$O$2:$O$217,MATCH(B415, Rainfall_Wet!$A$2:$A$217,0)),"")</f>
        <v>175.054685654</v>
      </c>
      <c r="Y415" s="231">
        <v>21.13063730679653</v>
      </c>
      <c r="Z415" s="231">
        <v>3.0912555579081076</v>
      </c>
      <c r="AA415" s="231">
        <v>75.778107135295357</v>
      </c>
      <c r="AB415" s="232" t="s">
        <v>2670</v>
      </c>
      <c r="AC415" s="231">
        <v>0.46131099063578063</v>
      </c>
      <c r="AD415">
        <f>IF('WetLitterbags placem_collection'!AB196="","",'WetLitterbags placem_collection'!AB196)</f>
        <v>7.9</v>
      </c>
      <c r="AE415">
        <f>IF('WetLitterbags placem_collection'!Z196="","",'WetLitterbags placem_collection'!Z196)</f>
        <v>7.9</v>
      </c>
      <c r="AF415" s="246" t="str">
        <f>IF('WetLitterbags placem_collection'!AA196="","",'WetLitterbags placem_collection'!AA196)</f>
        <v>O</v>
      </c>
      <c r="AG415">
        <f>IF('WetLitterbags placem_collection'!AC196="","",'WetLitterbags placem_collection'!AC196)</f>
        <v>1</v>
      </c>
      <c r="AH415" s="240">
        <f>AVERAGE('WetLitterbags placem_collection'!S196,'WetLitterbags placem_collection'!U196)</f>
        <v>19.600000000000001</v>
      </c>
      <c r="AI415">
        <f>AVERAGE('WetLitterbags placem_collection'!R196,'WetLitterbags placem_collection'!T196)</f>
        <v>29.3</v>
      </c>
      <c r="AJ415">
        <v>-2.4395990190000001</v>
      </c>
      <c r="AK415">
        <v>34.838418959999998</v>
      </c>
      <c r="AL415" t="str">
        <f>IF(ISNUMBER(SEARCH("C", 'WetLitterbags placem_collection'!W196)),"YES","NO")</f>
        <v>NO</v>
      </c>
      <c r="AM415" t="str">
        <f>IF(ISNUMBER(SEARCH("H", 'WetLitterbags placem_collection'!W196)),"YES","NO")</f>
        <v>NO</v>
      </c>
      <c r="AN415" t="str">
        <f>IF(ISNUMBER(SEARCH("R", 'WetLitterbags placem_collection'!W196)),"YES","NO")</f>
        <v>YES</v>
      </c>
    </row>
    <row r="416" spans="1:40" ht="15" customHeight="1">
      <c r="A416" s="258" t="s">
        <v>2460</v>
      </c>
      <c r="B416" s="263">
        <f>'Dry_Litterbag Placem_Collection'!A197</f>
        <v>195</v>
      </c>
      <c r="C416" s="263" t="str">
        <f>'Dry_Litterbag Placem_Collection'!B197</f>
        <v>Makao</v>
      </c>
      <c r="D416" s="263" t="s">
        <v>2659</v>
      </c>
      <c r="E416" s="263" t="s">
        <v>2526</v>
      </c>
      <c r="F416" s="263">
        <v>2</v>
      </c>
      <c r="G416" s="264" t="str">
        <f>'Dry_Litterbag Placem_Collection'!C197</f>
        <v>Dry_Ag3_CG2</v>
      </c>
      <c r="H416" s="265" t="s">
        <v>2541</v>
      </c>
      <c r="I416" s="272" t="s">
        <v>298</v>
      </c>
      <c r="J416" s="223" t="str">
        <f>'WetLitterbags placem_collection'!M197</f>
        <v>R378</v>
      </c>
      <c r="K416" s="225">
        <f>IFERROR(INDEX('Green_rooibos initial weight'!$C$5:$C$1749,MATCH(J416, 'Green_rooibos initial weight'!$A$5:$A$1749,0)),"")</f>
        <v>2.2320000000000002</v>
      </c>
      <c r="L416" s="225">
        <f>IFERROR(K416-(TBIcalc!$H$9+TBIcalc!$H$10),"")</f>
        <v>1.9822000000000002</v>
      </c>
      <c r="M416" s="391">
        <f>AVERAGE(Ashed_controlls!$K$12:$K$14)</f>
        <v>2.2816647271287041</v>
      </c>
      <c r="N416" s="225">
        <f t="shared" si="32"/>
        <v>1.936972841778855</v>
      </c>
      <c r="O416" s="225">
        <f>IF(IFERROR(INDEX('Both teabags AfterWet'!$C$3:$C$841,MATCH(J416,'Both teabags AfterWet'!$A$3:$A$841,0)),"")="","",(IFERROR(INDEX('Both teabags AfterWet'!$C$3:$C$841,MATCH(J416,'Both teabags AfterWet'!$A$3:$A$841,0)),"")))</f>
        <v>1.5296000000000001</v>
      </c>
      <c r="P416" s="225">
        <f>IFERROR(IF(O416&gt;0,O416-(TBIcalc!$H$9),""),"")</f>
        <v>1.379</v>
      </c>
      <c r="Q416" s="225">
        <f>IFERROR(INDEX('Ashed teabags wet'!$K$2:$K$821,MATCH(J416,'Ashed teabags wet'!$A$2:$A$821,0)),"")</f>
        <v>1.2339585389935566</v>
      </c>
      <c r="R416" s="225">
        <f t="shared" si="36"/>
        <v>1.3619837117472788</v>
      </c>
      <c r="S416" s="226">
        <f>'WetLitterbags placem_collection'!E197</f>
        <v>42769</v>
      </c>
      <c r="T416" s="226">
        <f>IF('WetLitterbags placem_collection'!G197="","",'WetLitterbags placem_collection'!G197)</f>
        <v>42814</v>
      </c>
      <c r="U416" s="227">
        <f t="shared" si="33"/>
        <v>45</v>
      </c>
      <c r="V416" s="225">
        <f t="shared" si="34"/>
        <v>0.60320000000000018</v>
      </c>
      <c r="W416" s="225">
        <f t="shared" si="35"/>
        <v>0.57498913003157615</v>
      </c>
      <c r="X416">
        <f>IFERROR(INDEX(Rainfall_Wet!$O$2:$O$217,MATCH(B416, Rainfall_Wet!$A$2:$A$217,0)),"")</f>
        <v>175.377105089</v>
      </c>
      <c r="Y416" s="231">
        <v>54.080969906906262</v>
      </c>
      <c r="Z416" s="231">
        <v>21.264484651351896</v>
      </c>
      <c r="AA416" s="231">
        <v>24.654545441741845</v>
      </c>
      <c r="AB416" s="232" t="s">
        <v>2673</v>
      </c>
      <c r="AC416" s="231">
        <v>1.8433218334154755</v>
      </c>
      <c r="AD416">
        <f>IF('WetLitterbags placem_collection'!AB197="","",'WetLitterbags placem_collection'!AB197)</f>
        <v>5.13</v>
      </c>
      <c r="AE416">
        <f>IF('WetLitterbags placem_collection'!Z197="","",'WetLitterbags placem_collection'!Z197)</f>
        <v>5.13</v>
      </c>
      <c r="AF416" s="246" t="str">
        <f>IF('WetLitterbags placem_collection'!AA197="","",'WetLitterbags placem_collection'!AA197)</f>
        <v>O</v>
      </c>
      <c r="AG416">
        <f>IF('WetLitterbags placem_collection'!AC197="","",'WetLitterbags placem_collection'!AC197)</f>
        <v>1</v>
      </c>
      <c r="AH416" s="240">
        <f>AVERAGE('WetLitterbags placem_collection'!S197,'WetLitterbags placem_collection'!U197)</f>
        <v>29.700000000000003</v>
      </c>
      <c r="AI416">
        <f>AVERAGE('WetLitterbags placem_collection'!R197,'WetLitterbags placem_collection'!T197)</f>
        <v>24.35</v>
      </c>
      <c r="AJ416">
        <v>-2.4396450349999999</v>
      </c>
      <c r="AK416">
        <v>34.83836599</v>
      </c>
      <c r="AL416" t="str">
        <f>IF(ISNUMBER(SEARCH("C", 'WetLitterbags placem_collection'!W197)),"YES","NO")</f>
        <v>YES</v>
      </c>
      <c r="AM416" t="str">
        <f>IF(ISNUMBER(SEARCH("H", 'WetLitterbags placem_collection'!W197)),"YES","NO")</f>
        <v>NO</v>
      </c>
      <c r="AN416" t="str">
        <f>IF(ISNUMBER(SEARCH("R", 'WetLitterbags placem_collection'!W197)),"YES","NO")</f>
        <v>YES</v>
      </c>
    </row>
    <row r="417" spans="1:40" ht="15" customHeight="1">
      <c r="A417" s="258" t="s">
        <v>2460</v>
      </c>
      <c r="B417" s="263">
        <f>'Dry_Litterbag Placem_Collection'!A198</f>
        <v>196</v>
      </c>
      <c r="C417" s="263" t="str">
        <f>'Dry_Litterbag Placem_Collection'!B198</f>
        <v>Makao</v>
      </c>
      <c r="D417" s="263" t="s">
        <v>2659</v>
      </c>
      <c r="E417" s="263" t="s">
        <v>2526</v>
      </c>
      <c r="F417" s="263">
        <v>1</v>
      </c>
      <c r="G417" s="264" t="str">
        <f>'Dry_Litterbag Placem_Collection'!C198</f>
        <v>Dry_Ag4_CG1</v>
      </c>
      <c r="H417" s="265" t="s">
        <v>2541</v>
      </c>
      <c r="I417" s="272" t="s">
        <v>298</v>
      </c>
      <c r="J417" s="223" t="str">
        <f>'WetLitterbags placem_collection'!M198</f>
        <v>R375</v>
      </c>
      <c r="K417" s="225">
        <f>IFERROR(INDEX('Green_rooibos initial weight'!$C$5:$C$1749,MATCH(J417, 'Green_rooibos initial weight'!$A$5:$A$1749,0)),"")</f>
        <v>2.23</v>
      </c>
      <c r="L417" s="225">
        <f>IFERROR(K417-(TBIcalc!$H$9+TBIcalc!$H$10),"")</f>
        <v>1.9802</v>
      </c>
      <c r="M417" s="391">
        <f>AVERAGE(Ashed_controlls!$K$12:$K$14)</f>
        <v>2.2816647271287041</v>
      </c>
      <c r="N417" s="225">
        <f t="shared" si="32"/>
        <v>1.9350184750733974</v>
      </c>
      <c r="O417" s="225">
        <f>IF(IFERROR(INDEX('Both teabags AfterWet'!$C$3:$C$841,MATCH(J417,'Both teabags AfterWet'!$A$3:$A$841,0)),"")="","",(IFERROR(INDEX('Both teabags AfterWet'!$C$3:$C$841,MATCH(J417,'Both teabags AfterWet'!$A$3:$A$841,0)),"")))</f>
        <v>1.3742000000000001</v>
      </c>
      <c r="P417" s="225">
        <f>IFERROR(IF(O417&gt;0,O417-(TBIcalc!$H$9),""),"")</f>
        <v>1.2236</v>
      </c>
      <c r="Q417" s="225">
        <f>IFERROR(INDEX('Ashed teabags wet'!$K$2:$K$821,MATCH(J417,'Ashed teabags wet'!$A$2:$A$821,0)),"")</f>
        <v>5.0314465408809701</v>
      </c>
      <c r="R417" s="225">
        <f t="shared" si="36"/>
        <v>1.1620352201257804</v>
      </c>
      <c r="S417" s="226">
        <f>'WetLitterbags placem_collection'!E198</f>
        <v>42769</v>
      </c>
      <c r="T417" s="226">
        <f>IF('WetLitterbags placem_collection'!G198="","",'WetLitterbags placem_collection'!G198)</f>
        <v>42814</v>
      </c>
      <c r="U417" s="227">
        <f t="shared" si="33"/>
        <v>45</v>
      </c>
      <c r="V417" s="225">
        <f t="shared" si="34"/>
        <v>0.75659999999999994</v>
      </c>
      <c r="W417" s="225">
        <f t="shared" si="35"/>
        <v>0.77298325494761699</v>
      </c>
      <c r="X417">
        <f>IFERROR(INDEX(Rainfall_Wet!$O$2:$O$217,MATCH(B417, Rainfall_Wet!$A$2:$A$217,0)),"")</f>
        <v>175.377105089</v>
      </c>
      <c r="Y417" s="231">
        <v>51.960000000000008</v>
      </c>
      <c r="Z417" s="231">
        <v>18.919999999999995</v>
      </c>
      <c r="AA417" s="231">
        <v>29.120000000000005</v>
      </c>
      <c r="AB417" s="232" t="s">
        <v>2673</v>
      </c>
      <c r="AC417" s="231">
        <v>1.85293247905372</v>
      </c>
      <c r="AD417">
        <f>IF('WetLitterbags placem_collection'!AB198="","",'WetLitterbags placem_collection'!AB198)</f>
        <v>13.8</v>
      </c>
      <c r="AE417">
        <f>IF('WetLitterbags placem_collection'!Z198="","",'WetLitterbags placem_collection'!Z198)</f>
        <v>17.399999999999999</v>
      </c>
      <c r="AF417" s="246" t="str">
        <f>IF('WetLitterbags placem_collection'!AA198="","",'WetLitterbags placem_collection'!AA198)</f>
        <v>O</v>
      </c>
      <c r="AG417">
        <f>IF('WetLitterbags placem_collection'!AC198="","",'WetLitterbags placem_collection'!AC198)</f>
        <v>1</v>
      </c>
      <c r="AH417" s="240">
        <f>AVERAGE('WetLitterbags placem_collection'!S198,'WetLitterbags placem_collection'!U198)</f>
        <v>23.75</v>
      </c>
      <c r="AI417">
        <f>AVERAGE('WetLitterbags placem_collection'!R198,'WetLitterbags placem_collection'!T198)</f>
        <v>25.25</v>
      </c>
      <c r="AJ417">
        <v>-2.439403972</v>
      </c>
      <c r="AK417">
        <v>34.838404959999998</v>
      </c>
      <c r="AL417" t="str">
        <f>IF(ISNUMBER(SEARCH("C", 'WetLitterbags placem_collection'!W198)),"YES","NO")</f>
        <v>NO</v>
      </c>
      <c r="AM417" t="str">
        <f>IF(ISNUMBER(SEARCH("H", 'WetLitterbags placem_collection'!W198)),"YES","NO")</f>
        <v>NO</v>
      </c>
      <c r="AN417" t="str">
        <f>IF(ISNUMBER(SEARCH("R", 'WetLitterbags placem_collection'!W198)),"YES","NO")</f>
        <v>NO</v>
      </c>
    </row>
    <row r="418" spans="1:40" ht="15" customHeight="1">
      <c r="A418" s="258" t="s">
        <v>2460</v>
      </c>
      <c r="B418" s="263">
        <f>'Dry_Litterbag Placem_Collection'!A199</f>
        <v>197</v>
      </c>
      <c r="C418" s="263" t="str">
        <f>'Dry_Litterbag Placem_Collection'!B199</f>
        <v>Makao</v>
      </c>
      <c r="D418" s="263" t="s">
        <v>2659</v>
      </c>
      <c r="E418" s="263" t="s">
        <v>2526</v>
      </c>
      <c r="F418" s="263">
        <v>2</v>
      </c>
      <c r="G418" s="264" t="str">
        <f>'Dry_Litterbag Placem_Collection'!C199</f>
        <v>Dry_P1_CG2</v>
      </c>
      <c r="H418" s="265" t="s">
        <v>2541</v>
      </c>
      <c r="I418" s="272" t="s">
        <v>298</v>
      </c>
      <c r="J418" s="223" t="str">
        <f>'WetLitterbags placem_collection'!M199</f>
        <v>R219</v>
      </c>
      <c r="K418" s="225">
        <f>IFERROR(INDEX('Green_rooibos initial weight'!$C$5:$C$1749,MATCH(J418, 'Green_rooibos initial weight'!$A$5:$A$1749,0)),"")</f>
        <v>2.2160000000000002</v>
      </c>
      <c r="L418" s="225">
        <f>IFERROR(K418-(TBIcalc!$H$9+TBIcalc!$H$10),"")</f>
        <v>1.9662000000000002</v>
      </c>
      <c r="M418" s="391">
        <f>AVERAGE(Ashed_controlls!$K$12:$K$14)</f>
        <v>2.2816647271287041</v>
      </c>
      <c r="N418" s="225">
        <f t="shared" si="32"/>
        <v>1.9213379081351956</v>
      </c>
      <c r="O418" s="225">
        <f>IF(IFERROR(INDEX('Both teabags AfterWet'!$C$3:$C$841,MATCH(J418,'Both teabags AfterWet'!$A$3:$A$841,0)),"")="","",(IFERROR(INDEX('Both teabags AfterWet'!$C$3:$C$841,MATCH(J418,'Both teabags AfterWet'!$A$3:$A$841,0)),"")))</f>
        <v>1.5786</v>
      </c>
      <c r="P418" s="225">
        <f>IFERROR(IF(O418&gt;0,O418-(TBIcalc!$H$9),""),"")</f>
        <v>1.4279999999999999</v>
      </c>
      <c r="Q418" s="225">
        <f>IFERROR(INDEX('Ashed teabags wet'!$K$2:$K$821,MATCH(J418,'Ashed teabags wet'!$A$2:$A$821,0)),"")</f>
        <v>11.480214948704322</v>
      </c>
      <c r="R418" s="225">
        <f t="shared" si="36"/>
        <v>1.2640625305325022</v>
      </c>
      <c r="S418" s="226">
        <f>'WetLitterbags placem_collection'!E199</f>
        <v>42769</v>
      </c>
      <c r="T418" s="226">
        <f>IF('WetLitterbags placem_collection'!G199="","",'WetLitterbags placem_collection'!G199)</f>
        <v>42814</v>
      </c>
      <c r="U418" s="227">
        <f t="shared" si="33"/>
        <v>45</v>
      </c>
      <c r="V418" s="225">
        <f t="shared" si="34"/>
        <v>0.53820000000000023</v>
      </c>
      <c r="W418" s="225">
        <f t="shared" si="35"/>
        <v>0.65727537760269339</v>
      </c>
      <c r="X418">
        <f>IFERROR(INDEX(Rainfall_Wet!$O$2:$O$217,MATCH(B418, Rainfall_Wet!$A$2:$A$217,0)),"")</f>
        <v>175.377105089</v>
      </c>
      <c r="Y418" s="231">
        <v>23.96</v>
      </c>
      <c r="Z418" s="231">
        <v>0.91999999999999804</v>
      </c>
      <c r="AA418" s="231">
        <v>75.12</v>
      </c>
      <c r="AB418" s="232" t="s">
        <v>2670</v>
      </c>
      <c r="AC418" s="231">
        <v>1.2493839329719072</v>
      </c>
      <c r="AD418">
        <f>IF('WetLitterbags placem_collection'!AB199="","",'WetLitterbags placem_collection'!AB199)</f>
        <v>5.13</v>
      </c>
      <c r="AE418">
        <f>IF('WetLitterbags placem_collection'!Z199="","",'WetLitterbags placem_collection'!Z199)</f>
        <v>5.13</v>
      </c>
      <c r="AF418" s="246" t="str">
        <f>IF('WetLitterbags placem_collection'!AA199="","",'WetLitterbags placem_collection'!AA199)</f>
        <v>O</v>
      </c>
      <c r="AG418">
        <f>IF('WetLitterbags placem_collection'!AC199="","",'WetLitterbags placem_collection'!AC199)</f>
        <v>1</v>
      </c>
      <c r="AH418" s="240">
        <f>AVERAGE('WetLitterbags placem_collection'!S199,'WetLitterbags placem_collection'!U199)</f>
        <v>22.85</v>
      </c>
      <c r="AI418">
        <f>AVERAGE('WetLitterbags placem_collection'!R199,'WetLitterbags placem_collection'!T199)</f>
        <v>24.4</v>
      </c>
      <c r="AJ418">
        <v>-2.4396450349999999</v>
      </c>
      <c r="AK418">
        <v>34.83836599</v>
      </c>
      <c r="AL418" t="str">
        <f>IF(ISNUMBER(SEARCH("C", 'WetLitterbags placem_collection'!W199)),"YES","NO")</f>
        <v>YES</v>
      </c>
      <c r="AM418" t="str">
        <f>IF(ISNUMBER(SEARCH("H", 'WetLitterbags placem_collection'!W199)),"YES","NO")</f>
        <v>YES</v>
      </c>
      <c r="AN418" t="str">
        <f>IF(ISNUMBER(SEARCH("R", 'WetLitterbags placem_collection'!W199)),"YES","NO")</f>
        <v>YES</v>
      </c>
    </row>
    <row r="419" spans="1:40" ht="15" customHeight="1">
      <c r="A419" s="258" t="s">
        <v>2460</v>
      </c>
      <c r="B419" s="263">
        <f>'Dry_Litterbag Placem_Collection'!A200</f>
        <v>198</v>
      </c>
      <c r="C419" s="263" t="str">
        <f>'Dry_Litterbag Placem_Collection'!B200</f>
        <v>Makao</v>
      </c>
      <c r="D419" s="263" t="s">
        <v>2659</v>
      </c>
      <c r="E419" s="263" t="s">
        <v>2526</v>
      </c>
      <c r="F419" s="263">
        <v>3</v>
      </c>
      <c r="G419" s="264" t="str">
        <f>'Dry_Litterbag Placem_Collection'!C200</f>
        <v>Dry_P2_CG3</v>
      </c>
      <c r="H419" s="265" t="s">
        <v>2541</v>
      </c>
      <c r="I419" s="272" t="s">
        <v>298</v>
      </c>
      <c r="J419" s="223" t="str">
        <f>'WetLitterbags placem_collection'!M200</f>
        <v>R463</v>
      </c>
      <c r="K419" s="225">
        <f>IFERROR(INDEX('Green_rooibos initial weight'!$C$5:$C$1749,MATCH(J419, 'Green_rooibos initial weight'!$A$5:$A$1749,0)),"")</f>
        <v>2.1579999999999999</v>
      </c>
      <c r="L419" s="225">
        <f>IFERROR(K419-(TBIcalc!$H$9+TBIcalc!$H$10),"")</f>
        <v>1.9081999999999999</v>
      </c>
      <c r="M419" s="391">
        <f>AVERAGE(Ashed_controlls!$K$12:$K$14)</f>
        <v>2.2816647271287041</v>
      </c>
      <c r="N419" s="225">
        <f t="shared" si="32"/>
        <v>1.8646612736769299</v>
      </c>
      <c r="O419" s="225">
        <f>IF(IFERROR(INDEX('Both teabags AfterWet'!$C$3:$C$841,MATCH(J419,'Both teabags AfterWet'!$A$3:$A$841,0)),"")="","",(IFERROR(INDEX('Both teabags AfterWet'!$C$3:$C$841,MATCH(J419,'Both teabags AfterWet'!$A$3:$A$841,0)),"")))</f>
        <v>1.5485</v>
      </c>
      <c r="P419" s="225">
        <f>IFERROR(IF(O419&gt;0,O419-(TBIcalc!$H$9),""),"")</f>
        <v>1.3978999999999999</v>
      </c>
      <c r="Q419" s="225">
        <f>IFERROR(INDEX('Ashed teabags wet'!$K$2:$K$821,MATCH(J419,'Ashed teabags wet'!$A$2:$A$821,0)),"")</f>
        <v>7.7074128620517337</v>
      </c>
      <c r="R419" s="225">
        <f t="shared" si="36"/>
        <v>1.2901580756013789</v>
      </c>
      <c r="S419" s="226">
        <f>'WetLitterbags placem_collection'!E200</f>
        <v>42769</v>
      </c>
      <c r="T419" s="226">
        <f>IF('WetLitterbags placem_collection'!G200="","",'WetLitterbags placem_collection'!G200)</f>
        <v>42813</v>
      </c>
      <c r="U419" s="227">
        <f t="shared" si="33"/>
        <v>44</v>
      </c>
      <c r="V419" s="225">
        <f t="shared" si="34"/>
        <v>0.51029999999999998</v>
      </c>
      <c r="W419" s="225">
        <f t="shared" si="35"/>
        <v>0.57450319807555106</v>
      </c>
      <c r="X419">
        <f>IFERROR(INDEX(Rainfall_Wet!$O$2:$O$217,MATCH(B419, Rainfall_Wet!$A$2:$A$217,0)),"")</f>
        <v>175.054685654</v>
      </c>
      <c r="Y419" s="231">
        <v>19.96</v>
      </c>
      <c r="Z419" s="231">
        <v>4.9199999999999982</v>
      </c>
      <c r="AA419" s="231">
        <v>75.12</v>
      </c>
      <c r="AB419" s="232" t="s">
        <v>2671</v>
      </c>
      <c r="AC419" s="231">
        <v>1.641498275012321</v>
      </c>
      <c r="AD419">
        <f>IF('WetLitterbags placem_collection'!AB200="","",'WetLitterbags placem_collection'!AB200)</f>
        <v>7.9</v>
      </c>
      <c r="AE419">
        <f>IF('WetLitterbags placem_collection'!Z200="","",'WetLitterbags placem_collection'!Z200)</f>
        <v>7.9</v>
      </c>
      <c r="AF419" s="246" t="str">
        <f>IF('WetLitterbags placem_collection'!AA200="","",'WetLitterbags placem_collection'!AA200)</f>
        <v>O</v>
      </c>
      <c r="AG419">
        <f>IF('WetLitterbags placem_collection'!AC200="","",'WetLitterbags placem_collection'!AC200)</f>
        <v>1</v>
      </c>
      <c r="AH419" s="240">
        <f>AVERAGE('WetLitterbags placem_collection'!S200,'WetLitterbags placem_collection'!U200)</f>
        <v>20.9</v>
      </c>
      <c r="AI419">
        <f>AVERAGE('WetLitterbags placem_collection'!R200,'WetLitterbags placem_collection'!T200)</f>
        <v>27.45</v>
      </c>
      <c r="AJ419">
        <v>-2.4395990190000001</v>
      </c>
      <c r="AK419">
        <v>34.838418959999998</v>
      </c>
      <c r="AL419" t="str">
        <f>IF(ISNUMBER(SEARCH("C", 'WetLitterbags placem_collection'!W200)),"YES","NO")</f>
        <v>NO</v>
      </c>
      <c r="AM419" t="str">
        <f>IF(ISNUMBER(SEARCH("H", 'WetLitterbags placem_collection'!W200)),"YES","NO")</f>
        <v>NO</v>
      </c>
      <c r="AN419" t="str">
        <f>IF(ISNUMBER(SEARCH("R", 'WetLitterbags placem_collection'!W200)),"YES","NO")</f>
        <v>NO</v>
      </c>
    </row>
    <row r="420" spans="1:40" ht="15" customHeight="1">
      <c r="A420" s="258" t="s">
        <v>2460</v>
      </c>
      <c r="B420" s="263">
        <f>'Dry_Litterbag Placem_Collection'!A201</f>
        <v>199</v>
      </c>
      <c r="C420" s="263" t="str">
        <f>'Dry_Litterbag Placem_Collection'!B201</f>
        <v>Makao</v>
      </c>
      <c r="D420" s="263" t="s">
        <v>2659</v>
      </c>
      <c r="E420" s="263" t="s">
        <v>2526</v>
      </c>
      <c r="F420" s="263">
        <v>1</v>
      </c>
      <c r="G420" s="264" t="str">
        <f>'Dry_Litterbag Placem_Collection'!C201</f>
        <v>Dry_P3_CG1</v>
      </c>
      <c r="H420" s="265" t="s">
        <v>2541</v>
      </c>
      <c r="I420" s="272" t="s">
        <v>298</v>
      </c>
      <c r="J420" s="223" t="str">
        <f>'WetLitterbags placem_collection'!M201</f>
        <v>R339</v>
      </c>
      <c r="K420" s="225">
        <f>IFERROR(INDEX('Green_rooibos initial weight'!$C$5:$C$1749,MATCH(J420, 'Green_rooibos initial weight'!$A$5:$A$1749,0)),"")</f>
        <v>2.214</v>
      </c>
      <c r="L420" s="225">
        <f>IFERROR(K420-(TBIcalc!$H$9+TBIcalc!$H$10),"")</f>
        <v>1.9641999999999999</v>
      </c>
      <c r="M420" s="391">
        <f>AVERAGE(Ashed_controlls!$K$12:$K$14)</f>
        <v>2.2816647271287041</v>
      </c>
      <c r="N420" s="225">
        <f t="shared" si="32"/>
        <v>1.919383541429738</v>
      </c>
      <c r="O420" s="225">
        <f>IF(IFERROR(INDEX('Both teabags AfterWet'!$C$3:$C$841,MATCH(J420,'Both teabags AfterWet'!$A$3:$A$841,0)),"")="","",(IFERROR(INDEX('Both teabags AfterWet'!$C$3:$C$841,MATCH(J420,'Both teabags AfterWet'!$A$3:$A$841,0)),"")))</f>
        <v>1.6160000000000001</v>
      </c>
      <c r="P420" s="225">
        <f>IFERROR(IF(O420&gt;0,O420-(TBIcalc!$H$9),""),"")</f>
        <v>1.4654</v>
      </c>
      <c r="Q420" s="225">
        <f>IFERROR(INDEX('Ashed teabags wet'!$K$2:$K$821,MATCH(J420,'Ashed teabags wet'!$A$2:$A$821,0)),"")</f>
        <v>3.6390101892290181</v>
      </c>
      <c r="R420" s="225">
        <f t="shared" si="36"/>
        <v>1.4120739446870381</v>
      </c>
      <c r="S420" s="226">
        <f>'WetLitterbags placem_collection'!E201</f>
        <v>42769</v>
      </c>
      <c r="T420" s="226">
        <f>IF('WetLitterbags placem_collection'!G201="","",'WetLitterbags placem_collection'!G201)</f>
        <v>42814</v>
      </c>
      <c r="U420" s="227">
        <f t="shared" si="33"/>
        <v>45</v>
      </c>
      <c r="V420" s="225">
        <f t="shared" si="34"/>
        <v>0.49879999999999991</v>
      </c>
      <c r="W420" s="225">
        <f t="shared" si="35"/>
        <v>0.50730959674269993</v>
      </c>
      <c r="X420">
        <f>IFERROR(INDEX(Rainfall_Wet!$O$2:$O$217,MATCH(B420, Rainfall_Wet!$A$2:$A$217,0)),"")</f>
        <v>175.377105089</v>
      </c>
      <c r="Y420" s="231">
        <v>21.96</v>
      </c>
      <c r="Z420" s="231">
        <v>8.9199999999999982</v>
      </c>
      <c r="AA420" s="231">
        <v>69.12</v>
      </c>
      <c r="AB420" s="232" t="s">
        <v>2670</v>
      </c>
      <c r="AC420" s="231">
        <v>1.7491375061606702</v>
      </c>
      <c r="AD420">
        <f>IF('WetLitterbags placem_collection'!AB201="","",'WetLitterbags placem_collection'!AB201)</f>
        <v>13.8</v>
      </c>
      <c r="AE420">
        <f>IF('WetLitterbags placem_collection'!Z201="","",'WetLitterbags placem_collection'!Z201)</f>
        <v>17.399999999999999</v>
      </c>
      <c r="AF420" s="246" t="str">
        <f>IF('WetLitterbags placem_collection'!AA201="","",'WetLitterbags placem_collection'!AA201)</f>
        <v>O</v>
      </c>
      <c r="AG420">
        <f>IF('WetLitterbags placem_collection'!AC201="","",'WetLitterbags placem_collection'!AC201)</f>
        <v>1</v>
      </c>
      <c r="AH420" s="240">
        <f>AVERAGE('WetLitterbags placem_collection'!S201,'WetLitterbags placem_collection'!U201)</f>
        <v>18.149999999999999</v>
      </c>
      <c r="AI420">
        <f>AVERAGE('WetLitterbags placem_collection'!R201,'WetLitterbags placem_collection'!T201)</f>
        <v>24.549999999999997</v>
      </c>
      <c r="AJ420">
        <v>-2.439403972</v>
      </c>
      <c r="AK420">
        <v>34.838404959999998</v>
      </c>
      <c r="AL420" t="str">
        <f>IF(ISNUMBER(SEARCH("C", 'WetLitterbags placem_collection'!W201)),"YES","NO")</f>
        <v>NO</v>
      </c>
      <c r="AM420" t="str">
        <f>IF(ISNUMBER(SEARCH("H", 'WetLitterbags placem_collection'!W201)),"YES","NO")</f>
        <v>NO</v>
      </c>
      <c r="AN420" t="str">
        <f>IF(ISNUMBER(SEARCH("R", 'WetLitterbags placem_collection'!W201)),"YES","NO")</f>
        <v>YES</v>
      </c>
    </row>
    <row r="421" spans="1:40" ht="15" customHeight="1">
      <c r="A421" s="258" t="s">
        <v>2460</v>
      </c>
      <c r="B421" s="263">
        <f>'Dry_Litterbag Placem_Collection'!A202</f>
        <v>200</v>
      </c>
      <c r="C421" s="263" t="str">
        <f>'Dry_Litterbag Placem_Collection'!B202</f>
        <v>Makao</v>
      </c>
      <c r="D421" s="263" t="s">
        <v>2659</v>
      </c>
      <c r="E421" s="263" t="s">
        <v>2526</v>
      </c>
      <c r="F421" s="263">
        <v>4</v>
      </c>
      <c r="G421" s="264" t="str">
        <f>'Dry_Litterbag Placem_Collection'!C202</f>
        <v>Dry_P4_CG4</v>
      </c>
      <c r="H421" s="265" t="s">
        <v>2541</v>
      </c>
      <c r="I421" s="272" t="s">
        <v>298</v>
      </c>
      <c r="J421" s="223" t="str">
        <f>'WetLitterbags placem_collection'!M202</f>
        <v>R303</v>
      </c>
      <c r="K421" s="225">
        <f>IFERROR(INDEX('Green_rooibos initial weight'!$C$5:$C$1749,MATCH(J421, 'Green_rooibos initial weight'!$A$5:$A$1749,0)),"")</f>
        <v>2.2490000000000001</v>
      </c>
      <c r="L421" s="225">
        <f>IFERROR(K421-(TBIcalc!$H$9+TBIcalc!$H$10),"")</f>
        <v>1.9992000000000001</v>
      </c>
      <c r="M421" s="391">
        <f>AVERAGE(Ashed_controlls!$K$12:$K$14)</f>
        <v>2.2816647271287041</v>
      </c>
      <c r="N421" s="225">
        <f t="shared" si="32"/>
        <v>1.953584958775243</v>
      </c>
      <c r="O421" s="225">
        <f>IF(IFERROR(INDEX('Both teabags AfterWet'!$C$3:$C$841,MATCH(J421,'Both teabags AfterWet'!$A$3:$A$841,0)),"")="","",(IFERROR(INDEX('Both teabags AfterWet'!$C$3:$C$841,MATCH(J421,'Both teabags AfterWet'!$A$3:$A$841,0)),"")))</f>
        <v>1.5651999999999999</v>
      </c>
      <c r="P421" s="225">
        <f>IFERROR(IF(O421&gt;0,O421-(TBIcalc!$H$9),""),"")</f>
        <v>1.4145999999999999</v>
      </c>
      <c r="Q421" s="225">
        <f>IFERROR(INDEX('Ashed teabags wet'!$K$2:$K$821,MATCH(J421,'Ashed teabags wet'!$A$2:$A$821,0)),"")</f>
        <v>4.4411177644712749</v>
      </c>
      <c r="R421" s="225">
        <f t="shared" si="36"/>
        <v>1.3517759481037892</v>
      </c>
      <c r="S421" s="226">
        <f>'WetLitterbags placem_collection'!E202</f>
        <v>42769</v>
      </c>
      <c r="T421" s="226">
        <f>IF('WetLitterbags placem_collection'!G202="","",'WetLitterbags placem_collection'!G202)</f>
        <v>42813</v>
      </c>
      <c r="U421" s="227">
        <f t="shared" si="33"/>
        <v>44</v>
      </c>
      <c r="V421" s="225">
        <f t="shared" si="34"/>
        <v>0.58460000000000023</v>
      </c>
      <c r="W421" s="225">
        <f t="shared" si="35"/>
        <v>0.60180901067145376</v>
      </c>
      <c r="X421">
        <f>IFERROR(INDEX(Rainfall_Wet!$O$2:$O$217,MATCH(B421, Rainfall_Wet!$A$2:$A$217,0)),"")</f>
        <v>175.054685654</v>
      </c>
      <c r="Y421" s="231">
        <v>25.96</v>
      </c>
      <c r="Z421" s="231">
        <v>6.9200000000000008</v>
      </c>
      <c r="AA421" s="231">
        <v>67.12</v>
      </c>
      <c r="AB421" s="232" t="s">
        <v>2670</v>
      </c>
      <c r="AC421" s="231">
        <v>1.7568260226712666</v>
      </c>
      <c r="AD421">
        <f>IF('WetLitterbags placem_collection'!AB202="","",'WetLitterbags placem_collection'!AB202)</f>
        <v>15.2</v>
      </c>
      <c r="AE421">
        <f>IF('WetLitterbags placem_collection'!Z202="","",'WetLitterbags placem_collection'!Z202)</f>
        <v>12.2</v>
      </c>
      <c r="AF421" s="246" t="str">
        <f>IF('WetLitterbags placem_collection'!AA202="","",'WetLitterbags placem_collection'!AA202)</f>
        <v>O</v>
      </c>
      <c r="AG421">
        <f>IF('WetLitterbags placem_collection'!AC202="","",'WetLitterbags placem_collection'!AC202)</f>
        <v>1</v>
      </c>
      <c r="AH421" s="240">
        <f>AVERAGE('WetLitterbags placem_collection'!S202,'WetLitterbags placem_collection'!U202)</f>
        <v>22.799999999999997</v>
      </c>
      <c r="AI421">
        <f>AVERAGE('WetLitterbags placem_collection'!R202,'WetLitterbags placem_collection'!T202)</f>
        <v>27.9</v>
      </c>
      <c r="AJ421">
        <v>-2.4396949910000001</v>
      </c>
      <c r="AK421">
        <v>34.838574029999997</v>
      </c>
      <c r="AL421" t="str">
        <f>IF(ISNUMBER(SEARCH("C", 'WetLitterbags placem_collection'!W202)),"YES","NO")</f>
        <v>NO</v>
      </c>
      <c r="AM421" t="str">
        <f>IF(ISNUMBER(SEARCH("H", 'WetLitterbags placem_collection'!W202)),"YES","NO")</f>
        <v>NO</v>
      </c>
      <c r="AN421" t="str">
        <f>IF(ISNUMBER(SEARCH("R", 'WetLitterbags placem_collection'!W202)),"YES","NO")</f>
        <v>YES</v>
      </c>
    </row>
    <row r="422" spans="1:40" ht="15" customHeight="1">
      <c r="A422" s="258" t="s">
        <v>2460</v>
      </c>
      <c r="B422" s="263">
        <f>'Dry_Litterbag Placem_Collection'!A203</f>
        <v>201</v>
      </c>
      <c r="C422" s="263" t="str">
        <f>'Dry_Litterbag Placem_Collection'!B203</f>
        <v>Maswa</v>
      </c>
      <c r="D422" s="263" t="s">
        <v>2659</v>
      </c>
      <c r="E422" s="263" t="s">
        <v>2526</v>
      </c>
      <c r="F422" s="263">
        <v>4</v>
      </c>
      <c r="G422" s="264" t="str">
        <f>'Dry_Litterbag Placem_Collection'!C203</f>
        <v>Dry_W3_CG4</v>
      </c>
      <c r="H422" s="265" t="s">
        <v>2541</v>
      </c>
      <c r="I422" s="272" t="s">
        <v>298</v>
      </c>
      <c r="J422" s="223" t="str">
        <f>'WetLitterbags placem_collection'!M203</f>
        <v>R218</v>
      </c>
      <c r="K422" s="225">
        <f>IFERROR(INDEX('Green_rooibos initial weight'!$C$5:$C$1749,MATCH(J422, 'Green_rooibos initial weight'!$A$5:$A$1749,0)),"")</f>
        <v>2.2309999999999999</v>
      </c>
      <c r="L422" s="225">
        <f>IFERROR(K422-(TBIcalc!$H$9+TBIcalc!$H$10),"")</f>
        <v>1.9811999999999999</v>
      </c>
      <c r="M422" s="391">
        <f>AVERAGE(Ashed_controlls!$K$12:$K$14)</f>
        <v>2.2816647271287041</v>
      </c>
      <c r="N422" s="225">
        <f t="shared" si="32"/>
        <v>1.935995658426126</v>
      </c>
      <c r="O422" s="225">
        <f>IF(IFERROR(INDEX('Both teabags AfterWet'!$C$3:$C$841,MATCH(J422,'Both teabags AfterWet'!$A$3:$A$841,0)),"")="","",(IFERROR(INDEX('Both teabags AfterWet'!$C$3:$C$841,MATCH(J422,'Both teabags AfterWet'!$A$3:$A$841,0)),"")))</f>
        <v>1.5928</v>
      </c>
      <c r="P422" s="225">
        <f>IFERROR(IF(O422&gt;0,O422-(TBIcalc!$H$9),""),"")</f>
        <v>1.4421999999999999</v>
      </c>
      <c r="Q422" s="225">
        <f>IFERROR(INDEX('Ashed teabags wet'!$K$2:$K$821,MATCH(J422,'Ashed teabags wet'!$A$2:$A$821,0)),"")</f>
        <v>3.3009708737867043</v>
      </c>
      <c r="R422" s="225">
        <f t="shared" si="36"/>
        <v>1.3945933980582481</v>
      </c>
      <c r="S422" s="226">
        <f>'WetLitterbags placem_collection'!E203</f>
        <v>42769</v>
      </c>
      <c r="T422" s="226">
        <f>IF('WetLitterbags placem_collection'!G203="","",'WetLitterbags placem_collection'!G203)</f>
        <v>42813</v>
      </c>
      <c r="U422" s="227">
        <f t="shared" si="33"/>
        <v>44</v>
      </c>
      <c r="V422" s="225">
        <f t="shared" si="34"/>
        <v>0.53899999999999992</v>
      </c>
      <c r="W422" s="225">
        <f t="shared" si="35"/>
        <v>0.54140226036787786</v>
      </c>
      <c r="X422">
        <f>IFERROR(INDEX(Rainfall_Wet!$O$2:$O$217,MATCH(B422, Rainfall_Wet!$A$2:$A$217,0)),"")</f>
        <v>175.054685654</v>
      </c>
      <c r="Y422" s="231">
        <v>38.691629007962128</v>
      </c>
      <c r="Z422" s="231">
        <v>26.81299763288143</v>
      </c>
      <c r="AA422" s="231">
        <v>34.495373359156439</v>
      </c>
      <c r="AB422" s="232" t="s">
        <v>2675</v>
      </c>
      <c r="AC422" s="231">
        <v>2.5483587974371611</v>
      </c>
      <c r="AD422">
        <f>IF('WetLitterbags placem_collection'!AB203="","",'WetLitterbags placem_collection'!AB203)</f>
        <v>15.2</v>
      </c>
      <c r="AE422">
        <f>IF('WetLitterbags placem_collection'!Z203="","",'WetLitterbags placem_collection'!Z203)</f>
        <v>12.2</v>
      </c>
      <c r="AF422" s="246" t="str">
        <f>IF('WetLitterbags placem_collection'!AA203="","",'WetLitterbags placem_collection'!AA203)</f>
        <v>O</v>
      </c>
      <c r="AG422">
        <f>IF('WetLitterbags placem_collection'!AC203="","",'WetLitterbags placem_collection'!AC203)</f>
        <v>1</v>
      </c>
      <c r="AH422" s="240">
        <f>AVERAGE('WetLitterbags placem_collection'!S203,'WetLitterbags placem_collection'!U203)</f>
        <v>22</v>
      </c>
      <c r="AI422">
        <f>AVERAGE('WetLitterbags placem_collection'!R203,'WetLitterbags placem_collection'!T203)</f>
        <v>28</v>
      </c>
      <c r="AJ422">
        <v>-2.4396949910000001</v>
      </c>
      <c r="AK422">
        <v>34.838574029999997</v>
      </c>
      <c r="AL422" t="str">
        <f>IF(ISNUMBER(SEARCH("C", 'WetLitterbags placem_collection'!W203)),"YES","NO")</f>
        <v>NO</v>
      </c>
      <c r="AM422" t="str">
        <f>IF(ISNUMBER(SEARCH("H", 'WetLitterbags placem_collection'!W203)),"YES","NO")</f>
        <v>NO</v>
      </c>
      <c r="AN422" t="str">
        <f>IF(ISNUMBER(SEARCH("R", 'WetLitterbags placem_collection'!W203)),"YES","NO")</f>
        <v>YES</v>
      </c>
    </row>
    <row r="423" spans="1:40" ht="15" customHeight="1">
      <c r="A423" s="258" t="s">
        <v>2460</v>
      </c>
      <c r="B423" s="263">
        <f>'Dry_Litterbag Placem_Collection'!A204</f>
        <v>202</v>
      </c>
      <c r="C423" s="263" t="str">
        <f>'Dry_Litterbag Placem_Collection'!B204</f>
        <v>Maswa</v>
      </c>
      <c r="D423" s="263" t="s">
        <v>2659</v>
      </c>
      <c r="E423" s="263" t="s">
        <v>2526</v>
      </c>
      <c r="F423" s="263">
        <v>1</v>
      </c>
      <c r="G423" s="264" t="str">
        <f>'Dry_Litterbag Placem_Collection'!C204</f>
        <v>Dry_W2_CG1</v>
      </c>
      <c r="H423" s="265" t="s">
        <v>2541</v>
      </c>
      <c r="I423" s="272" t="s">
        <v>298</v>
      </c>
      <c r="J423" s="223" t="str">
        <f>'WetLitterbags placem_collection'!M204</f>
        <v>R135</v>
      </c>
      <c r="K423" s="225">
        <f>IFERROR(INDEX('Green_rooibos initial weight'!$C$5:$C$1749,MATCH(J423, 'Green_rooibos initial weight'!$A$5:$A$1749,0)),"")</f>
        <v>2.286</v>
      </c>
      <c r="L423" s="225">
        <f>IFERROR(K423-(TBIcalc!$H$9+TBIcalc!$H$10),"")</f>
        <v>2.0362</v>
      </c>
      <c r="M423" s="391">
        <f>AVERAGE(Ashed_controlls!$K$12:$K$14)</f>
        <v>2.2816647271287041</v>
      </c>
      <c r="N423" s="225">
        <f t="shared" si="32"/>
        <v>1.9897407428262053</v>
      </c>
      <c r="O423" s="225">
        <f>IF(IFERROR(INDEX('Both teabags AfterWet'!$C$3:$C$841,MATCH(J423,'Both teabags AfterWet'!$A$3:$A$841,0)),"")="","",(IFERROR(INDEX('Both teabags AfterWet'!$C$3:$C$841,MATCH(J423,'Both teabags AfterWet'!$A$3:$A$841,0)),"")))</f>
        <v>1.6419999999999999</v>
      </c>
      <c r="P423" s="225">
        <f>IFERROR(IF(O423&gt;0,O423-(TBIcalc!$H$9),""),"")</f>
        <v>1.4913999999999998</v>
      </c>
      <c r="Q423" s="225">
        <f>IFERROR(INDEX('Ashed teabags wet'!$K$2:$K$821,MATCH(J423,'Ashed teabags wet'!$A$2:$A$821,0)),"")</f>
        <v>3.9196472317485203</v>
      </c>
      <c r="R423" s="225">
        <f t="shared" si="36"/>
        <v>1.4329423811857025</v>
      </c>
      <c r="S423" s="226">
        <f>'WetLitterbags placem_collection'!E204</f>
        <v>42769</v>
      </c>
      <c r="T423" s="226">
        <f>IF('WetLitterbags placem_collection'!G204="","",'WetLitterbags placem_collection'!G204)</f>
        <v>42814</v>
      </c>
      <c r="U423" s="227">
        <f t="shared" si="33"/>
        <v>45</v>
      </c>
      <c r="V423" s="225">
        <f t="shared" si="34"/>
        <v>0.54480000000000017</v>
      </c>
      <c r="W423" s="225">
        <f t="shared" si="35"/>
        <v>0.55679836164050278</v>
      </c>
      <c r="X423">
        <f>IFERROR(INDEX(Rainfall_Wet!$O$2:$O$217,MATCH(B423, Rainfall_Wet!$A$2:$A$217,0)),"")</f>
        <v>175.377105089</v>
      </c>
      <c r="Y423" s="231">
        <v>45.272914521112256</v>
      </c>
      <c r="Z423" s="231">
        <v>23.604531410916575</v>
      </c>
      <c r="AA423" s="231">
        <v>31.122554067971166</v>
      </c>
      <c r="AB423" s="232" t="s">
        <v>2673</v>
      </c>
      <c r="AC423" s="231">
        <v>2.0547560374568752</v>
      </c>
      <c r="AD423">
        <f>IF('WetLitterbags placem_collection'!AB204="","",'WetLitterbags placem_collection'!AB204)</f>
        <v>13.8</v>
      </c>
      <c r="AE423">
        <f>IF('WetLitterbags placem_collection'!Z204="","",'WetLitterbags placem_collection'!Z204)</f>
        <v>17.399999999999999</v>
      </c>
      <c r="AF423" s="246" t="str">
        <f>IF('WetLitterbags placem_collection'!AA204="","",'WetLitterbags placem_collection'!AA204)</f>
        <v>O</v>
      </c>
      <c r="AG423">
        <f>IF('WetLitterbags placem_collection'!AC204="","",'WetLitterbags placem_collection'!AC204)</f>
        <v>1</v>
      </c>
      <c r="AH423" s="240">
        <f>AVERAGE('WetLitterbags placem_collection'!S204,'WetLitterbags placem_collection'!U204)</f>
        <v>20.65</v>
      </c>
      <c r="AI423">
        <f>AVERAGE('WetLitterbags placem_collection'!R204,'WetLitterbags placem_collection'!T204)</f>
        <v>24.1</v>
      </c>
      <c r="AJ423">
        <v>-2.439403972</v>
      </c>
      <c r="AK423">
        <v>34.838404959999998</v>
      </c>
      <c r="AL423" t="str">
        <f>IF(ISNUMBER(SEARCH("C", 'WetLitterbags placem_collection'!W204)),"YES","NO")</f>
        <v>NO</v>
      </c>
      <c r="AM423" t="str">
        <f>IF(ISNUMBER(SEARCH("H", 'WetLitterbags placem_collection'!W204)),"YES","NO")</f>
        <v>NO</v>
      </c>
      <c r="AN423" t="str">
        <f>IF(ISNUMBER(SEARCH("R", 'WetLitterbags placem_collection'!W204)),"YES","NO")</f>
        <v>YES</v>
      </c>
    </row>
    <row r="424" spans="1:40" ht="15" customHeight="1">
      <c r="A424" s="258" t="s">
        <v>2460</v>
      </c>
      <c r="B424" s="263">
        <f>'Dry_Litterbag Placem_Collection'!A205</f>
        <v>203</v>
      </c>
      <c r="C424" s="263" t="str">
        <f>'Dry_Litterbag Placem_Collection'!B205</f>
        <v>Maswa</v>
      </c>
      <c r="D424" s="263" t="s">
        <v>2659</v>
      </c>
      <c r="E424" s="263" t="s">
        <v>2526</v>
      </c>
      <c r="F424" s="263">
        <v>2</v>
      </c>
      <c r="G424" s="264" t="str">
        <f>'Dry_Litterbag Placem_Collection'!C205</f>
        <v>Dry_W1_CG2</v>
      </c>
      <c r="H424" s="265" t="s">
        <v>2541</v>
      </c>
      <c r="I424" s="272" t="s">
        <v>298</v>
      </c>
      <c r="J424" s="223" t="str">
        <f>'WetLitterbags placem_collection'!M205</f>
        <v>R372</v>
      </c>
      <c r="K424" s="225">
        <f>IFERROR(INDEX('Green_rooibos initial weight'!$C$5:$C$1749,MATCH(J424, 'Green_rooibos initial weight'!$A$5:$A$1749,0)),"")</f>
        <v>2.202</v>
      </c>
      <c r="L424" s="225">
        <f>IFERROR(K424-(TBIcalc!$H$9+TBIcalc!$H$10),"")</f>
        <v>1.9521999999999999</v>
      </c>
      <c r="M424" s="391">
        <f>AVERAGE(Ashed_controlls!$K$12:$K$14)</f>
        <v>2.2816647271287041</v>
      </c>
      <c r="N424" s="225">
        <f t="shared" si="32"/>
        <v>1.9076573411969935</v>
      </c>
      <c r="O424" s="225">
        <f>IF(IFERROR(INDEX('Both teabags AfterWet'!$C$3:$C$841,MATCH(J424,'Both teabags AfterWet'!$A$3:$A$841,0)),"")="","",(IFERROR(INDEX('Both teabags AfterWet'!$C$3:$C$841,MATCH(J424,'Both teabags AfterWet'!$A$3:$A$841,0)),"")))</f>
        <v>1.6213</v>
      </c>
      <c r="P424" s="225">
        <f>IFERROR(IF(O424&gt;0,O424-(TBIcalc!$H$9),""),"")</f>
        <v>1.4706999999999999</v>
      </c>
      <c r="Q424" s="225">
        <f>IFERROR(INDEX('Ashed teabags wet'!$K$2:$K$821,MATCH(J424,'Ashed teabags wet'!$A$2:$A$821,0)),"")</f>
        <v>4.1958041958038725</v>
      </c>
      <c r="R424" s="225">
        <f t="shared" si="36"/>
        <v>1.4089923076923123</v>
      </c>
      <c r="S424" s="226">
        <f>'WetLitterbags placem_collection'!E205</f>
        <v>42769</v>
      </c>
      <c r="T424" s="226">
        <f>IF('WetLitterbags placem_collection'!G205="","",'WetLitterbags placem_collection'!G205)</f>
        <v>42814</v>
      </c>
      <c r="U424" s="227">
        <f t="shared" si="33"/>
        <v>45</v>
      </c>
      <c r="V424" s="225">
        <f t="shared" si="34"/>
        <v>0.48150000000000004</v>
      </c>
      <c r="W424" s="225">
        <f t="shared" si="35"/>
        <v>0.49866503350468117</v>
      </c>
      <c r="X424">
        <f>IFERROR(INDEX(Rainfall_Wet!$O$2:$O$217,MATCH(B424, Rainfall_Wet!$A$2:$A$217,0)),"")</f>
        <v>175.377105089</v>
      </c>
      <c r="Y424" s="231">
        <v>47.96</v>
      </c>
      <c r="Z424" s="231">
        <v>22.919999999999995</v>
      </c>
      <c r="AA424" s="231">
        <v>29.120000000000012</v>
      </c>
      <c r="AB424" s="232" t="s">
        <v>2673</v>
      </c>
      <c r="AC424" s="231">
        <v>2.8831936914736325</v>
      </c>
      <c r="AD424">
        <f>IF('WetLitterbags placem_collection'!AB205="","",'WetLitterbags placem_collection'!AB205)</f>
        <v>5.13</v>
      </c>
      <c r="AE424">
        <f>IF('WetLitterbags placem_collection'!Z205="","",'WetLitterbags placem_collection'!Z205)</f>
        <v>5.13</v>
      </c>
      <c r="AF424" s="246" t="str">
        <f>IF('WetLitterbags placem_collection'!AA205="","",'WetLitterbags placem_collection'!AA205)</f>
        <v>O</v>
      </c>
      <c r="AG424">
        <f>IF('WetLitterbags placem_collection'!AC205="","",'WetLitterbags placem_collection'!AC205)</f>
        <v>1</v>
      </c>
      <c r="AH424" s="240">
        <f>AVERAGE('WetLitterbags placem_collection'!S205,'WetLitterbags placem_collection'!U205)</f>
        <v>27</v>
      </c>
      <c r="AI424">
        <f>AVERAGE('WetLitterbags placem_collection'!R205,'WetLitterbags placem_collection'!T205)</f>
        <v>28.4</v>
      </c>
      <c r="AJ424">
        <v>-2.4396450349999999</v>
      </c>
      <c r="AK424">
        <v>34.83836599</v>
      </c>
      <c r="AL424" t="str">
        <f>IF(ISNUMBER(SEARCH("C", 'WetLitterbags placem_collection'!W205)),"YES","NO")</f>
        <v>NO</v>
      </c>
      <c r="AM424" t="str">
        <f>IF(ISNUMBER(SEARCH("H", 'WetLitterbags placem_collection'!W205)),"YES","NO")</f>
        <v>YES</v>
      </c>
      <c r="AN424" t="str">
        <f>IF(ISNUMBER(SEARCH("R", 'WetLitterbags placem_collection'!W205)),"YES","NO")</f>
        <v>NO</v>
      </c>
    </row>
    <row r="425" spans="1:40" ht="15" customHeight="1">
      <c r="A425" s="258" t="s">
        <v>2460</v>
      </c>
      <c r="B425" s="263">
        <f>'Dry_Litterbag Placem_Collection'!A206</f>
        <v>204</v>
      </c>
      <c r="C425" s="263" t="str">
        <f>'Dry_Litterbag Placem_Collection'!B206</f>
        <v>Maswa</v>
      </c>
      <c r="D425" s="263" t="s">
        <v>2659</v>
      </c>
      <c r="E425" s="263" t="s">
        <v>2526</v>
      </c>
      <c r="F425" s="263">
        <v>3</v>
      </c>
      <c r="G425" s="264" t="str">
        <f>'Dry_Litterbag Placem_Collection'!C206</f>
        <v>Dry_W4_CG3</v>
      </c>
      <c r="H425" s="265" t="s">
        <v>2541</v>
      </c>
      <c r="I425" s="272" t="s">
        <v>298</v>
      </c>
      <c r="J425" s="223" t="str">
        <f>'WetLitterbags placem_collection'!M206</f>
        <v>R334</v>
      </c>
      <c r="K425" s="225">
        <f>IFERROR(INDEX('Green_rooibos initial weight'!$C$5:$C$1749,MATCH(J425, 'Green_rooibos initial weight'!$A$5:$A$1749,0)),"")</f>
        <v>2.1419999999999999</v>
      </c>
      <c r="L425" s="225">
        <f>IFERROR(K425-(TBIcalc!$H$9+TBIcalc!$H$10),"")</f>
        <v>1.8921999999999999</v>
      </c>
      <c r="M425" s="391">
        <f>AVERAGE(Ashed_controlls!$K$12:$K$14)</f>
        <v>2.2816647271287041</v>
      </c>
      <c r="N425" s="225">
        <f t="shared" si="32"/>
        <v>1.8490263400332705</v>
      </c>
      <c r="O425" s="225">
        <f>IF(IFERROR(INDEX('Both teabags AfterWet'!$C$3:$C$841,MATCH(J425,'Both teabags AfterWet'!$A$3:$A$841,0)),"")="","",(IFERROR(INDEX('Both teabags AfterWet'!$C$3:$C$841,MATCH(J425,'Both teabags AfterWet'!$A$3:$A$841,0)),"")))</f>
        <v>1.544</v>
      </c>
      <c r="P425" s="225">
        <f>IFERROR(IF(O425&gt;0,O425-(TBIcalc!$H$9),""),"")</f>
        <v>1.3934</v>
      </c>
      <c r="Q425" s="225">
        <f>IFERROR(INDEX('Ashed teabags wet'!$K$2:$K$821,MATCH(J425,'Ashed teabags wet'!$A$2:$A$821,0)),"")</f>
        <v>5.4642166344294019</v>
      </c>
      <c r="R425" s="225">
        <f t="shared" si="36"/>
        <v>1.3172616054158608</v>
      </c>
      <c r="S425" s="226">
        <f>'WetLitterbags placem_collection'!E206</f>
        <v>42769</v>
      </c>
      <c r="T425" s="226">
        <f>IF('WetLitterbags placem_collection'!G206="","",'WetLitterbags placem_collection'!G206)</f>
        <v>42813</v>
      </c>
      <c r="U425" s="227">
        <f t="shared" si="33"/>
        <v>44</v>
      </c>
      <c r="V425" s="225">
        <f t="shared" si="34"/>
        <v>0.49879999999999991</v>
      </c>
      <c r="W425" s="225">
        <f t="shared" si="35"/>
        <v>0.5317647346174097</v>
      </c>
      <c r="X425">
        <f>IFERROR(INDEX(Rainfall_Wet!$O$2:$O$217,MATCH(B425, Rainfall_Wet!$A$2:$A$217,0)),"")</f>
        <v>175.054685654</v>
      </c>
      <c r="Y425" s="231">
        <v>28.145762029394</v>
      </c>
      <c r="Z425" s="231">
        <v>25.085564727199518</v>
      </c>
      <c r="AA425" s="231">
        <v>46.768673243406489</v>
      </c>
      <c r="AB425" s="232" t="s">
        <v>2670</v>
      </c>
      <c r="AC425" s="231">
        <v>2.1716214884179394</v>
      </c>
      <c r="AD425">
        <f>IF('WetLitterbags placem_collection'!AB206="","",'WetLitterbags placem_collection'!AB206)</f>
        <v>7.9</v>
      </c>
      <c r="AE425">
        <f>IF('WetLitterbags placem_collection'!Z206="","",'WetLitterbags placem_collection'!Z206)</f>
        <v>7.9</v>
      </c>
      <c r="AF425" s="246" t="str">
        <f>IF('WetLitterbags placem_collection'!AA206="","",'WetLitterbags placem_collection'!AA206)</f>
        <v>O</v>
      </c>
      <c r="AG425">
        <f>IF('WetLitterbags placem_collection'!AC206="","",'WetLitterbags placem_collection'!AC206)</f>
        <v>1</v>
      </c>
      <c r="AH425" s="240">
        <f>AVERAGE('WetLitterbags placem_collection'!S206,'WetLitterbags placem_collection'!U206)</f>
        <v>21.6</v>
      </c>
      <c r="AI425">
        <f>AVERAGE('WetLitterbags placem_collection'!R206,'WetLitterbags placem_collection'!T206)</f>
        <v>30.950000000000003</v>
      </c>
      <c r="AJ425">
        <v>-2.4395990190000001</v>
      </c>
      <c r="AK425">
        <v>34.838418959999998</v>
      </c>
      <c r="AL425" t="str">
        <f>IF(ISNUMBER(SEARCH("C", 'WetLitterbags placem_collection'!W206)),"YES","NO")</f>
        <v>NO</v>
      </c>
      <c r="AM425" t="str">
        <f>IF(ISNUMBER(SEARCH("H", 'WetLitterbags placem_collection'!W206)),"YES","NO")</f>
        <v>NO</v>
      </c>
      <c r="AN425" t="str">
        <f>IF(ISNUMBER(SEARCH("R", 'WetLitterbags placem_collection'!W206)),"YES","NO")</f>
        <v>YES</v>
      </c>
    </row>
    <row r="426" spans="1:40" ht="15" customHeight="1">
      <c r="A426" s="258" t="s">
        <v>2460</v>
      </c>
      <c r="B426" s="263">
        <f>'Dry_Litterbag Placem_Collection'!A207</f>
        <v>205</v>
      </c>
      <c r="C426" s="263" t="str">
        <f>'Dry_Litterbag Placem_Collection'!B207</f>
        <v xml:space="preserve">Mwantimba
</v>
      </c>
      <c r="D426" s="263" t="s">
        <v>2460</v>
      </c>
      <c r="E426" s="263" t="s">
        <v>2526</v>
      </c>
      <c r="F426" s="263">
        <v>2</v>
      </c>
      <c r="G426" s="264" t="str">
        <f>'Dry_Litterbag Placem_Collection'!C207</f>
        <v>Wet_Ag1_CG2</v>
      </c>
      <c r="H426" s="265" t="s">
        <v>2541</v>
      </c>
      <c r="I426" s="272" t="s">
        <v>298</v>
      </c>
      <c r="J426" s="223" t="str">
        <f>'WetLitterbags placem_collection'!M207</f>
        <v>R265</v>
      </c>
      <c r="K426" s="225">
        <f>IFERROR(INDEX('Green_rooibos initial weight'!$C$5:$C$1749,MATCH(J426, 'Green_rooibos initial weight'!$A$5:$A$1749,0)),"")</f>
        <v>2.2210000000000001</v>
      </c>
      <c r="L426" s="225">
        <f>IFERROR(K426-(TBIcalc!$H$9+TBIcalc!$H$10),"")</f>
        <v>1.9712000000000001</v>
      </c>
      <c r="M426" s="391">
        <f>AVERAGE(Ashed_controlls!$K$12:$K$14)</f>
        <v>2.2816647271287041</v>
      </c>
      <c r="N426" s="225">
        <f t="shared" si="32"/>
        <v>1.926223824898839</v>
      </c>
      <c r="O426" s="225">
        <f>IF(IFERROR(INDEX('Both teabags AfterWet'!$C$3:$C$841,MATCH(J426,'Both teabags AfterWet'!$A$3:$A$841,0)),"")="","",(IFERROR(INDEX('Both teabags AfterWet'!$C$3:$C$841,MATCH(J426,'Both teabags AfterWet'!$A$3:$A$841,0)),"")))</f>
        <v>1.6680999999999999</v>
      </c>
      <c r="P426" s="225">
        <f>IFERROR(IF(O426&gt;0,O426-(TBIcalc!$H$9),""),"")</f>
        <v>1.5174999999999998</v>
      </c>
      <c r="Q426" s="225">
        <f>IFERROR(INDEX('Ashed teabags wet'!$K$2:$K$821,MATCH(J426,'Ashed teabags wet'!$A$2:$A$821,0)),"")</f>
        <v>13.867187500000384</v>
      </c>
      <c r="R426" s="225">
        <f t="shared" si="36"/>
        <v>1.3070654296874942</v>
      </c>
      <c r="S426" s="226">
        <f>'WetLitterbags placem_collection'!E207</f>
        <v>42769</v>
      </c>
      <c r="T426" s="226">
        <f>IF('WetLitterbags placem_collection'!G207="","",'WetLitterbags placem_collection'!G207)</f>
        <v>42814</v>
      </c>
      <c r="U426" s="227">
        <f t="shared" si="33"/>
        <v>45</v>
      </c>
      <c r="V426" s="225">
        <f t="shared" si="34"/>
        <v>0.45370000000000021</v>
      </c>
      <c r="W426" s="225">
        <f t="shared" si="35"/>
        <v>0.61915839521134486</v>
      </c>
      <c r="X426">
        <f>IFERROR(INDEX(Rainfall_Wet!$O$2:$O$217,MATCH(B426, Rainfall_Wet!$A$2:$A$217,0)),"")</f>
        <v>175.377105089</v>
      </c>
      <c r="Y426" s="231">
        <v>45.96</v>
      </c>
      <c r="Z426" s="231">
        <v>14.920000000000003</v>
      </c>
      <c r="AA426" s="231">
        <v>39.119999999999997</v>
      </c>
      <c r="AB426" s="232" t="s">
        <v>2673</v>
      </c>
      <c r="AC426" s="231">
        <v>2.0374568753080333</v>
      </c>
      <c r="AD426">
        <f>IF('WetLitterbags placem_collection'!AB207="","",'WetLitterbags placem_collection'!AB207)</f>
        <v>5.13</v>
      </c>
      <c r="AE426">
        <f>IF('WetLitterbags placem_collection'!Z207="","",'WetLitterbags placem_collection'!Z207)</f>
        <v>5.13</v>
      </c>
      <c r="AF426" s="246" t="str">
        <f>IF('WetLitterbags placem_collection'!AA207="","",'WetLitterbags placem_collection'!AA207)</f>
        <v>O</v>
      </c>
      <c r="AG426">
        <f>IF('WetLitterbags placem_collection'!AC207="","",'WetLitterbags placem_collection'!AC207)</f>
        <v>1</v>
      </c>
      <c r="AH426" s="240">
        <f>AVERAGE('WetLitterbags placem_collection'!S207,'WetLitterbags placem_collection'!U207)</f>
        <v>24.45</v>
      </c>
      <c r="AI426">
        <f>AVERAGE('WetLitterbags placem_collection'!R207,'WetLitterbags placem_collection'!T207)</f>
        <v>26.299999999999997</v>
      </c>
      <c r="AJ426">
        <v>-2.4396450349999999</v>
      </c>
      <c r="AK426">
        <v>34.83836599</v>
      </c>
      <c r="AL426" t="str">
        <f>IF(ISNUMBER(SEARCH("C", 'WetLitterbags placem_collection'!W207)),"YES","NO")</f>
        <v>NO</v>
      </c>
      <c r="AM426" t="str">
        <f>IF(ISNUMBER(SEARCH("H", 'WetLitterbags placem_collection'!W207)),"YES","NO")</f>
        <v>NO</v>
      </c>
      <c r="AN426" t="str">
        <f>IF(ISNUMBER(SEARCH("R", 'WetLitterbags placem_collection'!W207)),"YES","NO")</f>
        <v>YES</v>
      </c>
    </row>
    <row r="427" spans="1:40" ht="15" customHeight="1">
      <c r="A427" s="258" t="s">
        <v>2460</v>
      </c>
      <c r="B427" s="263">
        <f>'Dry_Litterbag Placem_Collection'!A208</f>
        <v>206</v>
      </c>
      <c r="C427" s="263" t="str">
        <f>'Dry_Litterbag Placem_Collection'!B208</f>
        <v xml:space="preserve">Mwantimba
</v>
      </c>
      <c r="D427" s="263" t="s">
        <v>2460</v>
      </c>
      <c r="E427" s="263" t="s">
        <v>2526</v>
      </c>
      <c r="F427" s="263">
        <v>1</v>
      </c>
      <c r="G427" s="264" t="str">
        <f>'Dry_Litterbag Placem_Collection'!C208</f>
        <v>Wet_Ag2_CG1</v>
      </c>
      <c r="H427" s="265" t="s">
        <v>2541</v>
      </c>
      <c r="I427" s="272" t="s">
        <v>298</v>
      </c>
      <c r="J427" s="223" t="str">
        <f>'WetLitterbags placem_collection'!M208</f>
        <v>R234</v>
      </c>
      <c r="K427" s="225">
        <f>IFERROR(INDEX('Green_rooibos initial weight'!$C$5:$C$1749,MATCH(J427, 'Green_rooibos initial weight'!$A$5:$A$1749,0)),"")</f>
        <v>2.194</v>
      </c>
      <c r="L427" s="225">
        <f>IFERROR(K427-(TBIcalc!$H$9+TBIcalc!$H$10),"")</f>
        <v>1.9441999999999999</v>
      </c>
      <c r="M427" s="391">
        <f>AVERAGE(Ashed_controlls!$K$12:$K$14)</f>
        <v>2.2816647271287041</v>
      </c>
      <c r="N427" s="225">
        <f t="shared" si="32"/>
        <v>1.8998398743751637</v>
      </c>
      <c r="O427" s="225">
        <f>IF(IFERROR(INDEX('Both teabags AfterWet'!$C$3:$C$841,MATCH(J427,'Both teabags AfterWet'!$A$3:$A$841,0)),"")="","",(IFERROR(INDEX('Both teabags AfterWet'!$C$3:$C$841,MATCH(J427,'Both teabags AfterWet'!$A$3:$A$841,0)),"")))</f>
        <v>1.7410000000000001</v>
      </c>
      <c r="P427" s="225">
        <f>IFERROR(IF(O427&gt;0,O427-(TBIcalc!$H$9),""),"")</f>
        <v>1.5904</v>
      </c>
      <c r="Q427" s="225">
        <f>IFERROR(INDEX('Ashed teabags wet'!$K$2:$K$821,MATCH(J427,'Ashed teabags wet'!$A$2:$A$821,0)),"")</f>
        <v>9.9903006789520461</v>
      </c>
      <c r="R427" s="225">
        <f t="shared" si="36"/>
        <v>1.4315142580019466</v>
      </c>
      <c r="S427" s="226">
        <f>'WetLitterbags placem_collection'!E208</f>
        <v>42769</v>
      </c>
      <c r="T427" s="226">
        <f>IF('WetLitterbags placem_collection'!G208="","",'WetLitterbags placem_collection'!G208)</f>
        <v>42814</v>
      </c>
      <c r="U427" s="227">
        <f t="shared" si="33"/>
        <v>45</v>
      </c>
      <c r="V427" s="225">
        <f t="shared" si="34"/>
        <v>0.35379999999999989</v>
      </c>
      <c r="W427" s="225">
        <f t="shared" si="35"/>
        <v>0.46832561637321701</v>
      </c>
      <c r="X427">
        <f>IFERROR(INDEX(Rainfall_Wet!$O$2:$O$217,MATCH(B427, Rainfall_Wet!$A$2:$A$217,0)),"")</f>
        <v>175.377105089</v>
      </c>
      <c r="Y427" s="231">
        <v>34.344660194174757</v>
      </c>
      <c r="Z427" s="231">
        <v>19.22727272727273</v>
      </c>
      <c r="AA427" s="231">
        <v>46.428067078552509</v>
      </c>
      <c r="AB427" s="232" t="s">
        <v>2670</v>
      </c>
      <c r="AC427" s="231">
        <v>1.7452932479053718</v>
      </c>
      <c r="AD427">
        <f>IF('WetLitterbags placem_collection'!AB208="","",'WetLitterbags placem_collection'!AB208)</f>
        <v>13.8</v>
      </c>
      <c r="AE427">
        <f>IF('WetLitterbags placem_collection'!Z208="","",'WetLitterbags placem_collection'!Z208)</f>
        <v>17.399999999999999</v>
      </c>
      <c r="AF427" s="246" t="str">
        <f>IF('WetLitterbags placem_collection'!AA208="","",'WetLitterbags placem_collection'!AA208)</f>
        <v>O</v>
      </c>
      <c r="AG427">
        <f>IF('WetLitterbags placem_collection'!AC208="","",'WetLitterbags placem_collection'!AC208)</f>
        <v>1</v>
      </c>
      <c r="AH427" s="240">
        <f>AVERAGE('WetLitterbags placem_collection'!S208,'WetLitterbags placem_collection'!U208)</f>
        <v>19.05</v>
      </c>
      <c r="AI427">
        <f>AVERAGE('WetLitterbags placem_collection'!R208,'WetLitterbags placem_collection'!T208)</f>
        <v>24.15</v>
      </c>
      <c r="AJ427">
        <v>-2.439403972</v>
      </c>
      <c r="AK427">
        <v>34.838404959999998</v>
      </c>
      <c r="AL427" t="str">
        <f>IF(ISNUMBER(SEARCH("C", 'WetLitterbags placem_collection'!W208)),"YES","NO")</f>
        <v>NO</v>
      </c>
      <c r="AM427" t="str">
        <f>IF(ISNUMBER(SEARCH("H", 'WetLitterbags placem_collection'!W208)),"YES","NO")</f>
        <v>NO</v>
      </c>
      <c r="AN427" t="str">
        <f>IF(ISNUMBER(SEARCH("R", 'WetLitterbags placem_collection'!W208)),"YES","NO")</f>
        <v>NO</v>
      </c>
    </row>
    <row r="428" spans="1:40" ht="15" customHeight="1">
      <c r="A428" s="258" t="s">
        <v>2460</v>
      </c>
      <c r="B428" s="263">
        <f>'Dry_Litterbag Placem_Collection'!A209</f>
        <v>207</v>
      </c>
      <c r="C428" s="263" t="str">
        <f>'Dry_Litterbag Placem_Collection'!B209</f>
        <v xml:space="preserve">Mwantimba
</v>
      </c>
      <c r="D428" s="263" t="s">
        <v>2460</v>
      </c>
      <c r="E428" s="263" t="s">
        <v>2526</v>
      </c>
      <c r="F428" s="263">
        <v>4</v>
      </c>
      <c r="G428" s="264" t="str">
        <f>'Dry_Litterbag Placem_Collection'!C209</f>
        <v>Wet_Ag3_CG4</v>
      </c>
      <c r="H428" s="265" t="s">
        <v>2541</v>
      </c>
      <c r="I428" s="272" t="s">
        <v>298</v>
      </c>
      <c r="J428" s="223" t="str">
        <f>'WetLitterbags placem_collection'!M209</f>
        <v>R258</v>
      </c>
      <c r="K428" s="225">
        <f>IFERROR(INDEX('Green_rooibos initial weight'!$C$5:$C$1749,MATCH(J428, 'Green_rooibos initial weight'!$A$5:$A$1749,0)),"")</f>
        <v>2.17</v>
      </c>
      <c r="L428" s="225">
        <f>IFERROR(K428-(TBIcalc!$H$9+TBIcalc!$H$10),"")</f>
        <v>1.9201999999999999</v>
      </c>
      <c r="M428" s="391">
        <f>AVERAGE(Ashed_controlls!$K$12:$K$14)</f>
        <v>2.2816647271287041</v>
      </c>
      <c r="N428" s="225">
        <f t="shared" si="32"/>
        <v>1.8763874739096746</v>
      </c>
      <c r="O428" s="225">
        <f>IF(IFERROR(INDEX('Both teabags AfterWet'!$C$3:$C$841,MATCH(J428,'Both teabags AfterWet'!$A$3:$A$841,0)),"")="","",(IFERROR(INDEX('Both teabags AfterWet'!$C$3:$C$841,MATCH(J428,'Both teabags AfterWet'!$A$3:$A$841,0)),"")))</f>
        <v>1.5820000000000001</v>
      </c>
      <c r="P428" s="225">
        <f>IFERROR(IF(O428&gt;0,O428-(TBIcalc!$H$9),""),"")</f>
        <v>1.4314</v>
      </c>
      <c r="Q428" s="225">
        <f>IFERROR(INDEX('Ashed teabags wet'!$K$2:$K$821,MATCH(J428,'Ashed teabags wet'!$A$2:$A$821,0)),"")</f>
        <v>16.261774913237122</v>
      </c>
      <c r="R428" s="225">
        <f t="shared" si="36"/>
        <v>1.1986289538919239</v>
      </c>
      <c r="S428" s="226">
        <f>'WetLitterbags placem_collection'!E209</f>
        <v>42769</v>
      </c>
      <c r="T428" s="226">
        <f>IF('WetLitterbags placem_collection'!G209="","",'WetLitterbags placem_collection'!G209)</f>
        <v>42813</v>
      </c>
      <c r="U428" s="227">
        <f t="shared" si="33"/>
        <v>44</v>
      </c>
      <c r="V428" s="225">
        <f t="shared" si="34"/>
        <v>0.4887999999999999</v>
      </c>
      <c r="W428" s="225">
        <f t="shared" si="35"/>
        <v>0.67775852001775072</v>
      </c>
      <c r="X428">
        <f>IFERROR(INDEX(Rainfall_Wet!$O$2:$O$217,MATCH(B428, Rainfall_Wet!$A$2:$A$217,0)),"")</f>
        <v>175.054685654</v>
      </c>
      <c r="Y428" s="231">
        <v>27.96</v>
      </c>
      <c r="Z428" s="231">
        <v>4.9200000000000017</v>
      </c>
      <c r="AA428" s="231">
        <v>67.12</v>
      </c>
      <c r="AB428" s="232" t="s">
        <v>2670</v>
      </c>
      <c r="AC428" s="231">
        <v>0.88610152784622953</v>
      </c>
      <c r="AD428">
        <f>IF('WetLitterbags placem_collection'!AB209="","",'WetLitterbags placem_collection'!AB209)</f>
        <v>15.2</v>
      </c>
      <c r="AE428">
        <f>IF('WetLitterbags placem_collection'!Z209="","",'WetLitterbags placem_collection'!Z209)</f>
        <v>12.2</v>
      </c>
      <c r="AF428" s="246" t="str">
        <f>IF('WetLitterbags placem_collection'!AA209="","",'WetLitterbags placem_collection'!AA209)</f>
        <v>O</v>
      </c>
      <c r="AG428">
        <f>IF('WetLitterbags placem_collection'!AC209="","",'WetLitterbags placem_collection'!AC209)</f>
        <v>1</v>
      </c>
      <c r="AH428" s="240">
        <f>AVERAGE('WetLitterbags placem_collection'!S209,'WetLitterbags placem_collection'!U209)</f>
        <v>19.8</v>
      </c>
      <c r="AI428">
        <f>AVERAGE('WetLitterbags placem_collection'!R209,'WetLitterbags placem_collection'!T209)</f>
        <v>29.05</v>
      </c>
      <c r="AJ428">
        <v>-2.4396949910000001</v>
      </c>
      <c r="AK428">
        <v>34.838574029999997</v>
      </c>
      <c r="AL428" t="str">
        <f>IF(ISNUMBER(SEARCH("C", 'WetLitterbags placem_collection'!W209)),"YES","NO")</f>
        <v>YES</v>
      </c>
      <c r="AM428" t="str">
        <f>IF(ISNUMBER(SEARCH("H", 'WetLitterbags placem_collection'!W209)),"YES","NO")</f>
        <v>YES</v>
      </c>
      <c r="AN428" t="str">
        <f>IF(ISNUMBER(SEARCH("R", 'WetLitterbags placem_collection'!W209)),"YES","NO")</f>
        <v>NO</v>
      </c>
    </row>
    <row r="429" spans="1:40" ht="15" customHeight="1">
      <c r="A429" s="258" t="s">
        <v>2460</v>
      </c>
      <c r="B429" s="263">
        <f>'Dry_Litterbag Placem_Collection'!A210</f>
        <v>208</v>
      </c>
      <c r="C429" s="263" t="str">
        <f>'Dry_Litterbag Placem_Collection'!B210</f>
        <v xml:space="preserve">Mwantimba
</v>
      </c>
      <c r="D429" s="263" t="s">
        <v>2460</v>
      </c>
      <c r="E429" s="263" t="s">
        <v>2526</v>
      </c>
      <c r="F429" s="263">
        <v>3</v>
      </c>
      <c r="G429" s="264" t="str">
        <f>'Dry_Litterbag Placem_Collection'!C210</f>
        <v>Wet_Ag4_CG3</v>
      </c>
      <c r="H429" s="265" t="s">
        <v>2541</v>
      </c>
      <c r="I429" s="272" t="s">
        <v>298</v>
      </c>
      <c r="J429" s="223" t="str">
        <f>'WetLitterbags placem_collection'!M210</f>
        <v>R344</v>
      </c>
      <c r="K429" s="225">
        <f>IFERROR(INDEX('Green_rooibos initial weight'!$C$5:$C$1749,MATCH(J429, 'Green_rooibos initial weight'!$A$5:$A$1749,0)),"")</f>
        <v>2.153</v>
      </c>
      <c r="L429" s="225">
        <f>IFERROR(K429-(TBIcalc!$H$9+TBIcalc!$H$10),"")</f>
        <v>1.9032</v>
      </c>
      <c r="M429" s="391">
        <f>AVERAGE(Ashed_controlls!$K$12:$K$14)</f>
        <v>2.2816647271287041</v>
      </c>
      <c r="N429" s="225">
        <f t="shared" si="32"/>
        <v>1.8597753569132864</v>
      </c>
      <c r="O429" s="225">
        <f>IF(IFERROR(INDEX('Both teabags AfterWet'!$C$3:$C$841,MATCH(J429,'Both teabags AfterWet'!$A$3:$A$841,0)),"")="","",(IFERROR(INDEX('Both teabags AfterWet'!$C$3:$C$841,MATCH(J429,'Both teabags AfterWet'!$A$3:$A$841,0)),"")))</f>
        <v>1.476</v>
      </c>
      <c r="P429" s="225">
        <f>IFERROR(IF(O429&gt;0,O429-(TBIcalc!$H$9),""),"")</f>
        <v>1.3253999999999999</v>
      </c>
      <c r="Q429" s="225">
        <f>IFERROR(INDEX('Ashed teabags wet'!$K$2:$K$821,MATCH(J429,'Ashed teabags wet'!$A$2:$A$821,0)),"")</f>
        <v>8.5305719921103496</v>
      </c>
      <c r="R429" s="225">
        <f t="shared" si="36"/>
        <v>1.2123357988165693</v>
      </c>
      <c r="S429" s="226">
        <f>'WetLitterbags placem_collection'!E210</f>
        <v>42769</v>
      </c>
      <c r="T429" s="226">
        <f>IF('WetLitterbags placem_collection'!G210="","",'WetLitterbags placem_collection'!G210)</f>
        <v>42813</v>
      </c>
      <c r="U429" s="227">
        <f t="shared" si="33"/>
        <v>44</v>
      </c>
      <c r="V429" s="225">
        <f t="shared" si="34"/>
        <v>0.57780000000000009</v>
      </c>
      <c r="W429" s="225">
        <f t="shared" si="35"/>
        <v>0.64743955809671716</v>
      </c>
      <c r="X429">
        <f>IFERROR(INDEX(Rainfall_Wet!$O$2:$O$217,MATCH(B429, Rainfall_Wet!$A$2:$A$217,0)),"")</f>
        <v>175.054685654</v>
      </c>
      <c r="Y429" s="231">
        <v>17.96</v>
      </c>
      <c r="Z429" s="231">
        <v>4.9199999999999982</v>
      </c>
      <c r="AA429" s="231">
        <v>77.12</v>
      </c>
      <c r="AB429" s="232" t="s">
        <v>2671</v>
      </c>
      <c r="AC429" s="231">
        <v>2.0220798422868409</v>
      </c>
      <c r="AD429">
        <f>IF('WetLitterbags placem_collection'!AB210="","",'WetLitterbags placem_collection'!AB210)</f>
        <v>7.9</v>
      </c>
      <c r="AE429">
        <f>IF('WetLitterbags placem_collection'!Z210="","",'WetLitterbags placem_collection'!Z210)</f>
        <v>7.9</v>
      </c>
      <c r="AF429" s="246" t="str">
        <f>IF('WetLitterbags placem_collection'!AA210="","",'WetLitterbags placem_collection'!AA210)</f>
        <v>O</v>
      </c>
      <c r="AG429">
        <f>IF('WetLitterbags placem_collection'!AC210="","",'WetLitterbags placem_collection'!AC210)</f>
        <v>1</v>
      </c>
      <c r="AH429" s="240">
        <f>AVERAGE('WetLitterbags placem_collection'!S210,'WetLitterbags placem_collection'!U210)</f>
        <v>22.200000000000003</v>
      </c>
      <c r="AI429">
        <f>AVERAGE('WetLitterbags placem_collection'!R210,'WetLitterbags placem_collection'!T210)</f>
        <v>27.45</v>
      </c>
      <c r="AJ429">
        <v>-2.4395990190000001</v>
      </c>
      <c r="AK429">
        <v>34.838418959999998</v>
      </c>
      <c r="AL429" t="str">
        <f>IF(ISNUMBER(SEARCH("C", 'WetLitterbags placem_collection'!W210)),"YES","NO")</f>
        <v>NO</v>
      </c>
      <c r="AM429" t="str">
        <f>IF(ISNUMBER(SEARCH("H", 'WetLitterbags placem_collection'!W210)),"YES","NO")</f>
        <v>NO</v>
      </c>
      <c r="AN429" t="str">
        <f>IF(ISNUMBER(SEARCH("R", 'WetLitterbags placem_collection'!W210)),"YES","NO")</f>
        <v>YES</v>
      </c>
    </row>
    <row r="430" spans="1:40" ht="15" customHeight="1">
      <c r="A430" s="258" t="s">
        <v>2460</v>
      </c>
      <c r="B430" s="263">
        <f>'Dry_Litterbag Placem_Collection'!A211</f>
        <v>209</v>
      </c>
      <c r="C430" s="263" t="str">
        <f>'Dry_Litterbag Placem_Collection'!B211</f>
        <v xml:space="preserve">Mwantimba
</v>
      </c>
      <c r="D430" s="263" t="s">
        <v>2460</v>
      </c>
      <c r="E430" s="263" t="s">
        <v>2526</v>
      </c>
      <c r="F430" s="263">
        <v>2</v>
      </c>
      <c r="G430" s="264" t="str">
        <f>'Dry_Litterbag Placem_Collection'!C211</f>
        <v>Wet_P1_CG2</v>
      </c>
      <c r="H430" s="265" t="s">
        <v>2541</v>
      </c>
      <c r="I430" s="272" t="s">
        <v>298</v>
      </c>
      <c r="J430" s="223" t="str">
        <f>'WetLitterbags placem_collection'!M211</f>
        <v>R271</v>
      </c>
      <c r="K430" s="225">
        <f>IFERROR(INDEX('Green_rooibos initial weight'!$C$5:$C$1749,MATCH(J430, 'Green_rooibos initial weight'!$A$5:$A$1749,0)),"")</f>
        <v>2.2829999999999999</v>
      </c>
      <c r="L430" s="225">
        <f>IFERROR(K430-(TBIcalc!$H$9+TBIcalc!$H$10),"")</f>
        <v>2.0331999999999999</v>
      </c>
      <c r="M430" s="391">
        <f>AVERAGE(Ashed_controlls!$K$12:$K$14)</f>
        <v>2.2816647271287041</v>
      </c>
      <c r="N430" s="225">
        <f t="shared" si="32"/>
        <v>1.9868091927680191</v>
      </c>
      <c r="O430" s="225">
        <f>IF(IFERROR(INDEX('Both teabags AfterWet'!$C$3:$C$841,MATCH(J430,'Both teabags AfterWet'!$A$3:$A$841,0)),"")="","",(IFERROR(INDEX('Both teabags AfterWet'!$C$3:$C$841,MATCH(J430,'Both teabags AfterWet'!$A$3:$A$841,0)),"")))</f>
        <v>1.754</v>
      </c>
      <c r="P430" s="225">
        <f>IFERROR(IF(O430&gt;0,O430-(TBIcalc!$H$9),""),"")</f>
        <v>1.6033999999999999</v>
      </c>
      <c r="Q430" s="225">
        <f>IFERROR(INDEX('Ashed teabags wet'!$K$2:$K$821,MATCH(J430,'Ashed teabags wet'!$A$2:$A$821,0)),"")</f>
        <v>9.0597453476988878</v>
      </c>
      <c r="R430" s="225">
        <f t="shared" si="36"/>
        <v>1.4581360430949959</v>
      </c>
      <c r="S430" s="226">
        <f>'WetLitterbags placem_collection'!E211</f>
        <v>42769</v>
      </c>
      <c r="T430" s="226">
        <f>IF('WetLitterbags placem_collection'!G211="","",'WetLitterbags placem_collection'!G211)</f>
        <v>42814</v>
      </c>
      <c r="U430" s="227">
        <f t="shared" si="33"/>
        <v>45</v>
      </c>
      <c r="V430" s="225">
        <f t="shared" si="34"/>
        <v>0.42979999999999996</v>
      </c>
      <c r="W430" s="225">
        <f t="shared" si="35"/>
        <v>0.52867314967302326</v>
      </c>
      <c r="X430">
        <f>IFERROR(INDEX(Rainfall_Wet!$O$2:$O$217,MATCH(B430, Rainfall_Wet!$A$2:$A$217,0)),"")</f>
        <v>175.377105089</v>
      </c>
      <c r="Y430" s="231">
        <v>31.214836424255054</v>
      </c>
      <c r="Z430" s="231">
        <v>11.377370285476141</v>
      </c>
      <c r="AA430" s="231">
        <v>57.407793290268799</v>
      </c>
      <c r="AB430" s="232" t="s">
        <v>2670</v>
      </c>
      <c r="AC430" s="231">
        <v>1.7337604731394776</v>
      </c>
      <c r="AD430">
        <f>IF('WetLitterbags placem_collection'!AB211="","",'WetLitterbags placem_collection'!AB211)</f>
        <v>5.13</v>
      </c>
      <c r="AE430">
        <f>IF('WetLitterbags placem_collection'!Z211="","",'WetLitterbags placem_collection'!Z211)</f>
        <v>5.13</v>
      </c>
      <c r="AF430" s="246" t="str">
        <f>IF('WetLitterbags placem_collection'!AA211="","",'WetLitterbags placem_collection'!AA211)</f>
        <v>O</v>
      </c>
      <c r="AG430">
        <f>IF('WetLitterbags placem_collection'!AC211="","",'WetLitterbags placem_collection'!AC211)</f>
        <v>1</v>
      </c>
      <c r="AH430" s="240">
        <f>AVERAGE('WetLitterbags placem_collection'!S211,'WetLitterbags placem_collection'!U211)</f>
        <v>24.5</v>
      </c>
      <c r="AI430">
        <f>AVERAGE('WetLitterbags placem_collection'!R211,'WetLitterbags placem_collection'!T211)</f>
        <v>24.4</v>
      </c>
      <c r="AJ430">
        <v>-2.4396450349999999</v>
      </c>
      <c r="AK430">
        <v>34.83836599</v>
      </c>
      <c r="AL430" t="str">
        <f>IF(ISNUMBER(SEARCH("C", 'WetLitterbags placem_collection'!W211)),"YES","NO")</f>
        <v>NO</v>
      </c>
      <c r="AM430" t="str">
        <f>IF(ISNUMBER(SEARCH("H", 'WetLitterbags placem_collection'!W211)),"YES","NO")</f>
        <v>NO</v>
      </c>
      <c r="AN430" t="str">
        <f>IF(ISNUMBER(SEARCH("R", 'WetLitterbags placem_collection'!W211)),"YES","NO")</f>
        <v>YES</v>
      </c>
    </row>
    <row r="431" spans="1:40" ht="15" customHeight="1">
      <c r="A431" s="258" t="s">
        <v>2460</v>
      </c>
      <c r="B431" s="263">
        <f>'Dry_Litterbag Placem_Collection'!A212</f>
        <v>210</v>
      </c>
      <c r="C431" s="263" t="str">
        <f>'Dry_Litterbag Placem_Collection'!B212</f>
        <v xml:space="preserve">Mwantimba
</v>
      </c>
      <c r="D431" s="263" t="s">
        <v>2460</v>
      </c>
      <c r="E431" s="263" t="s">
        <v>2526</v>
      </c>
      <c r="F431" s="263">
        <v>4</v>
      </c>
      <c r="G431" s="264" t="str">
        <f>'Dry_Litterbag Placem_Collection'!C212</f>
        <v>Wet_P2_CG4</v>
      </c>
      <c r="H431" s="265" t="s">
        <v>2541</v>
      </c>
      <c r="I431" s="272" t="s">
        <v>298</v>
      </c>
      <c r="J431" s="223" t="str">
        <f>'WetLitterbags placem_collection'!M212</f>
        <v>R340</v>
      </c>
      <c r="K431" s="225">
        <f>IFERROR(INDEX('Green_rooibos initial weight'!$C$5:$C$1749,MATCH(J431, 'Green_rooibos initial weight'!$A$5:$A$1749,0)),"")</f>
        <v>2.2130000000000001</v>
      </c>
      <c r="L431" s="225">
        <f>IFERROR(K431-(TBIcalc!$H$9+TBIcalc!$H$10),"")</f>
        <v>1.9632000000000001</v>
      </c>
      <c r="M431" s="391">
        <f>AVERAGE(Ashed_controlls!$K$12:$K$14)</f>
        <v>2.2816647271287041</v>
      </c>
      <c r="N431" s="225">
        <f t="shared" si="32"/>
        <v>1.9184063580770094</v>
      </c>
      <c r="O431" s="225">
        <f>IF(IFERROR(INDEX('Both teabags AfterWet'!$C$3:$C$841,MATCH(J431,'Both teabags AfterWet'!$A$3:$A$841,0)),"")="","",(IFERROR(INDEX('Both teabags AfterWet'!$C$3:$C$841,MATCH(J431,'Both teabags AfterWet'!$A$3:$A$841,0)),"")))</f>
        <v>1.6197999999999999</v>
      </c>
      <c r="P431" s="225">
        <f>IFERROR(IF(O431&gt;0,O431-(TBIcalc!$H$9),""),"")</f>
        <v>1.4691999999999998</v>
      </c>
      <c r="Q431" s="225">
        <f>IFERROR(INDEX('Ashed teabags wet'!$K$2:$K$821,MATCH(J431,'Ashed teabags wet'!$A$2:$A$821,0)),"")</f>
        <v>10.541586073501591</v>
      </c>
      <c r="R431" s="225">
        <f t="shared" si="36"/>
        <v>1.3143230174081144</v>
      </c>
      <c r="S431" s="226">
        <f>'WetLitterbags placem_collection'!E212</f>
        <v>42769</v>
      </c>
      <c r="T431" s="226">
        <f>IF('WetLitterbags placem_collection'!G212="","",'WetLitterbags placem_collection'!G212)</f>
        <v>42813</v>
      </c>
      <c r="U431" s="227">
        <f t="shared" si="33"/>
        <v>44</v>
      </c>
      <c r="V431" s="225">
        <f t="shared" si="34"/>
        <v>0.49400000000000022</v>
      </c>
      <c r="W431" s="225">
        <f t="shared" si="35"/>
        <v>0.60408334066889502</v>
      </c>
      <c r="X431">
        <f>IFERROR(INDEX(Rainfall_Wet!$O$2:$O$217,MATCH(B431, Rainfall_Wet!$A$2:$A$217,0)),"")</f>
        <v>175.054685654</v>
      </c>
      <c r="Y431" s="231">
        <v>33.96</v>
      </c>
      <c r="Z431" s="231">
        <v>8.9200000000000017</v>
      </c>
      <c r="AA431" s="231">
        <v>57.12</v>
      </c>
      <c r="AB431" s="232" t="s">
        <v>2670</v>
      </c>
      <c r="AC431" s="231">
        <v>2.072055199605717</v>
      </c>
      <c r="AD431">
        <f>IF('WetLitterbags placem_collection'!AB212="","",'WetLitterbags placem_collection'!AB212)</f>
        <v>15.2</v>
      </c>
      <c r="AE431">
        <f>IF('WetLitterbags placem_collection'!Z212="","",'WetLitterbags placem_collection'!Z212)</f>
        <v>12.2</v>
      </c>
      <c r="AF431" s="246" t="str">
        <f>IF('WetLitterbags placem_collection'!AA212="","",'WetLitterbags placem_collection'!AA212)</f>
        <v>O</v>
      </c>
      <c r="AG431">
        <f>IF('WetLitterbags placem_collection'!AC212="","",'WetLitterbags placem_collection'!AC212)</f>
        <v>1</v>
      </c>
      <c r="AH431" s="240">
        <f>AVERAGE('WetLitterbags placem_collection'!S212,'WetLitterbags placem_collection'!U212)</f>
        <v>22.4</v>
      </c>
      <c r="AI431">
        <f>AVERAGE('WetLitterbags placem_collection'!R212,'WetLitterbags placem_collection'!T212)</f>
        <v>28.400000000000002</v>
      </c>
      <c r="AJ431">
        <v>-2.4396949910000001</v>
      </c>
      <c r="AK431">
        <v>34.838574029999997</v>
      </c>
      <c r="AL431" t="str">
        <f>IF(ISNUMBER(SEARCH("C", 'WetLitterbags placem_collection'!W212)),"YES","NO")</f>
        <v>NO</v>
      </c>
      <c r="AM431" t="str">
        <f>IF(ISNUMBER(SEARCH("H", 'WetLitterbags placem_collection'!W212)),"YES","NO")</f>
        <v>NO</v>
      </c>
      <c r="AN431" t="str">
        <f>IF(ISNUMBER(SEARCH("R", 'WetLitterbags placem_collection'!W212)),"YES","NO")</f>
        <v>YES</v>
      </c>
    </row>
    <row r="432" spans="1:40" ht="15" customHeight="1">
      <c r="A432" s="258" t="s">
        <v>2460</v>
      </c>
      <c r="B432" s="263">
        <f>'Dry_Litterbag Placem_Collection'!A213</f>
        <v>211</v>
      </c>
      <c r="C432" s="263" t="str">
        <f>'Dry_Litterbag Placem_Collection'!B213</f>
        <v xml:space="preserve">Mwantimba
</v>
      </c>
      <c r="D432" s="263" t="s">
        <v>2460</v>
      </c>
      <c r="E432" s="263" t="s">
        <v>2526</v>
      </c>
      <c r="F432" s="263">
        <v>1</v>
      </c>
      <c r="G432" s="264" t="str">
        <f>'Dry_Litterbag Placem_Collection'!C213</f>
        <v>Wet_P3_CG1</v>
      </c>
      <c r="H432" s="265" t="s">
        <v>2541</v>
      </c>
      <c r="I432" s="272" t="s">
        <v>298</v>
      </c>
      <c r="J432" s="223" t="str">
        <f>'WetLitterbags placem_collection'!M213</f>
        <v>R381</v>
      </c>
      <c r="K432" s="225">
        <f>IFERROR(INDEX('Green_rooibos initial weight'!$C$5:$C$1749,MATCH(J432, 'Green_rooibos initial weight'!$A$5:$A$1749,0)),"")</f>
        <v>2.2349999999999999</v>
      </c>
      <c r="L432" s="225">
        <f>IFERROR(K432-(TBIcalc!$H$9+TBIcalc!$H$10),"")</f>
        <v>1.9851999999999999</v>
      </c>
      <c r="M432" s="391">
        <f>AVERAGE(Ashed_controlls!$K$12:$K$14)</f>
        <v>2.2816647271287041</v>
      </c>
      <c r="N432" s="225">
        <f t="shared" si="32"/>
        <v>1.9399043918370409</v>
      </c>
      <c r="O432" s="225">
        <f>IF(IFERROR(INDEX('Both teabags AfterWet'!$C$3:$C$841,MATCH(J432,'Both teabags AfterWet'!$A$3:$A$841,0)),"")="","",(IFERROR(INDEX('Both teabags AfterWet'!$C$3:$C$841,MATCH(J432,'Both teabags AfterWet'!$A$3:$A$841,0)),"")))</f>
        <v>1.528</v>
      </c>
      <c r="P432" s="225">
        <f>IFERROR(IF(O432&gt;0,O432-(TBIcalc!$H$9),""),"")</f>
        <v>1.3774</v>
      </c>
      <c r="Q432" s="225">
        <f>IFERROR(INDEX('Ashed teabags wet'!$K$2:$K$821,MATCH(J432,'Ashed teabags wet'!$A$2:$A$821,0)),"")</f>
        <v>10.112911143839174</v>
      </c>
      <c r="R432" s="225">
        <f t="shared" si="36"/>
        <v>1.2381047619047592</v>
      </c>
      <c r="S432" s="226">
        <f>'WetLitterbags placem_collection'!E213</f>
        <v>42769</v>
      </c>
      <c r="T432" s="226">
        <f>IF('WetLitterbags placem_collection'!G213="","",'WetLitterbags placem_collection'!G213)</f>
        <v>42814</v>
      </c>
      <c r="U432" s="227">
        <f t="shared" si="33"/>
        <v>45</v>
      </c>
      <c r="V432" s="225">
        <f t="shared" si="34"/>
        <v>0.6077999999999999</v>
      </c>
      <c r="W432" s="225">
        <f t="shared" si="35"/>
        <v>0.70179962993228173</v>
      </c>
      <c r="X432">
        <f>IFERROR(INDEX(Rainfall_Wet!$O$2:$O$217,MATCH(B432, Rainfall_Wet!$A$2:$A$217,0)),"")</f>
        <v>175.377105089</v>
      </c>
      <c r="Y432" s="231">
        <v>39.96</v>
      </c>
      <c r="Z432" s="231">
        <v>12.920000000000002</v>
      </c>
      <c r="AA432" s="231">
        <v>47.12</v>
      </c>
      <c r="AB432" s="232" t="s">
        <v>2674</v>
      </c>
      <c r="AC432" s="231">
        <v>1.6549531789058647</v>
      </c>
      <c r="AD432">
        <f>IF('WetLitterbags placem_collection'!AB213="","",'WetLitterbags placem_collection'!AB213)</f>
        <v>13.8</v>
      </c>
      <c r="AE432">
        <f>IF('WetLitterbags placem_collection'!Z213="","",'WetLitterbags placem_collection'!Z213)</f>
        <v>17.399999999999999</v>
      </c>
      <c r="AF432" s="246" t="str">
        <f>IF('WetLitterbags placem_collection'!AA213="","",'WetLitterbags placem_collection'!AA213)</f>
        <v>O</v>
      </c>
      <c r="AG432">
        <f>IF('WetLitterbags placem_collection'!AC213="","",'WetLitterbags placem_collection'!AC213)</f>
        <v>1</v>
      </c>
      <c r="AH432" s="240">
        <f>AVERAGE('WetLitterbags placem_collection'!S213,'WetLitterbags placem_collection'!U213)</f>
        <v>16.850000000000001</v>
      </c>
      <c r="AI432">
        <f>AVERAGE('WetLitterbags placem_collection'!R213,'WetLitterbags placem_collection'!T213)</f>
        <v>23.95</v>
      </c>
      <c r="AJ432">
        <v>-2.439403972</v>
      </c>
      <c r="AK432">
        <v>34.838404959999998</v>
      </c>
      <c r="AL432" t="str">
        <f>IF(ISNUMBER(SEARCH("C", 'WetLitterbags placem_collection'!W213)),"YES","NO")</f>
        <v>NO</v>
      </c>
      <c r="AM432" t="str">
        <f>IF(ISNUMBER(SEARCH("H", 'WetLitterbags placem_collection'!W213)),"YES","NO")</f>
        <v>NO</v>
      </c>
      <c r="AN432" t="str">
        <f>IF(ISNUMBER(SEARCH("R", 'WetLitterbags placem_collection'!W213)),"YES","NO")</f>
        <v>YES</v>
      </c>
    </row>
    <row r="433" spans="1:40" ht="15" customHeight="1">
      <c r="A433" s="258" t="s">
        <v>2460</v>
      </c>
      <c r="B433" s="263">
        <f>'Dry_Litterbag Placem_Collection'!A214</f>
        <v>215</v>
      </c>
      <c r="C433" s="263" t="str">
        <f>'Dry_Litterbag Placem_Collection'!B214</f>
        <v xml:space="preserve">Mwantimba
</v>
      </c>
      <c r="D433" s="263" t="s">
        <v>2460</v>
      </c>
      <c r="E433" s="263" t="s">
        <v>2526</v>
      </c>
      <c r="F433" s="263">
        <v>3</v>
      </c>
      <c r="G433" s="264" t="str">
        <f>'Dry_Litterbag Placem_Collection'!C214</f>
        <v>Wet_W3_CG1</v>
      </c>
      <c r="H433" s="265" t="s">
        <v>2541</v>
      </c>
      <c r="I433" s="272" t="s">
        <v>298</v>
      </c>
      <c r="J433" s="223" t="str">
        <f>'WetLitterbags placem_collection'!M214</f>
        <v>R93</v>
      </c>
      <c r="K433" s="225">
        <f>IFERROR(INDEX('Green_rooibos initial weight'!$C$5:$C$1749,MATCH(J433, 'Green_rooibos initial weight'!$A$5:$A$1749,0)),"")</f>
        <v>2.1709999999999998</v>
      </c>
      <c r="L433" s="225">
        <f>IFERROR(K433-(TBIcalc!$H$9+TBIcalc!$H$10),"")</f>
        <v>1.9211999999999998</v>
      </c>
      <c r="M433" s="391">
        <f>AVERAGE(Ashed_controlls!$K$12:$K$14)</f>
        <v>2.2816647271287041</v>
      </c>
      <c r="N433" s="225">
        <f t="shared" si="32"/>
        <v>1.8773646572624032</v>
      </c>
      <c r="O433" s="225">
        <f>IF(IFERROR(INDEX('Both teabags AfterWet'!$C$3:$C$841,MATCH(J433,'Both teabags AfterWet'!$A$3:$A$841,0)),"")="","",(IFERROR(INDEX('Both teabags AfterWet'!$C$3:$C$841,MATCH(J433,'Both teabags AfterWet'!$A$3:$A$841,0)),"")))</f>
        <v>1.5831999999999999</v>
      </c>
      <c r="P433" s="225">
        <f>IFERROR(IF(O433&gt;0,O433-(TBIcalc!$H$9),""),"")</f>
        <v>1.4325999999999999</v>
      </c>
      <c r="Q433" s="225">
        <f>IFERROR(INDEX('Ashed teabags wet'!$K$2:$K$821,MATCH(J433,'Ashed teabags wet'!$A$2:$A$821,0)),"")</f>
        <v>7.2365225837790437</v>
      </c>
      <c r="R433" s="225">
        <f t="shared" si="36"/>
        <v>1.3289295774647814</v>
      </c>
      <c r="S433" s="226">
        <f>'WetLitterbags placem_collection'!E214</f>
        <v>42769</v>
      </c>
      <c r="T433" s="226">
        <f>IF('WetLitterbags placem_collection'!G214="","",'WetLitterbags placem_collection'!G214)</f>
        <v>42813</v>
      </c>
      <c r="U433" s="227">
        <f t="shared" si="33"/>
        <v>44</v>
      </c>
      <c r="V433" s="225">
        <f t="shared" si="34"/>
        <v>0.48859999999999992</v>
      </c>
      <c r="W433" s="225">
        <f t="shared" si="35"/>
        <v>0.54843507979762185</v>
      </c>
      <c r="X433">
        <f>IFERROR(INDEX(Rainfall_Wet!$O$2:$O$217,MATCH(B433, Rainfall_Wet!$A$2:$A$217,0)),"")</f>
        <v>175.377105089</v>
      </c>
      <c r="Y433" s="231">
        <v>27.96</v>
      </c>
      <c r="Z433" s="231">
        <v>4.9200000000000017</v>
      </c>
      <c r="AA433" s="231">
        <v>67.12</v>
      </c>
      <c r="AB433" s="232" t="s">
        <v>2670</v>
      </c>
      <c r="AC433" s="231">
        <v>1.0437161163134547</v>
      </c>
      <c r="AD433">
        <f>IF('WetLitterbags placem_collection'!AB214="","",'WetLitterbags placem_collection'!AB214)</f>
        <v>7.9</v>
      </c>
      <c r="AE433">
        <f>IF('WetLitterbags placem_collection'!Z214="","",'WetLitterbags placem_collection'!Z214)</f>
        <v>7.9</v>
      </c>
      <c r="AF433" s="246" t="str">
        <f>IF('WetLitterbags placem_collection'!AA214="","",'WetLitterbags placem_collection'!AA214)</f>
        <v>O</v>
      </c>
      <c r="AG433">
        <f>IF('WetLitterbags placem_collection'!AC214="","",'WetLitterbags placem_collection'!AC214)</f>
        <v>1</v>
      </c>
      <c r="AH433" s="240">
        <f>AVERAGE('WetLitterbags placem_collection'!S214,'WetLitterbags placem_collection'!U214)</f>
        <v>22.45</v>
      </c>
      <c r="AI433">
        <f>AVERAGE('WetLitterbags placem_collection'!R214,'WetLitterbags placem_collection'!T214)</f>
        <v>27.450000000000003</v>
      </c>
      <c r="AJ433">
        <v>-2.4395990190000001</v>
      </c>
      <c r="AK433">
        <v>34.838418959999998</v>
      </c>
      <c r="AL433" t="str">
        <f>IF(ISNUMBER(SEARCH("C", 'WetLitterbags placem_collection'!W214)),"YES","NO")</f>
        <v>YES</v>
      </c>
      <c r="AM433" t="str">
        <f>IF(ISNUMBER(SEARCH("H", 'WetLitterbags placem_collection'!W214)),"YES","NO")</f>
        <v>NO</v>
      </c>
      <c r="AN433" t="str">
        <f>IF(ISNUMBER(SEARCH("R", 'WetLitterbags placem_collection'!W214)),"YES","NO")</f>
        <v>YES</v>
      </c>
    </row>
    <row r="434" spans="1:40" ht="15" customHeight="1">
      <c r="A434" s="258" t="s">
        <v>2460</v>
      </c>
      <c r="B434" s="263">
        <f>'Dry_Litterbag Placem_Collection'!A215</f>
        <v>212</v>
      </c>
      <c r="C434" s="263" t="str">
        <f>'Dry_Litterbag Placem_Collection'!B215</f>
        <v xml:space="preserve">Mwantimba
</v>
      </c>
      <c r="D434" s="263" t="s">
        <v>2460</v>
      </c>
      <c r="E434" s="263" t="s">
        <v>2526</v>
      </c>
      <c r="F434" s="263">
        <v>4</v>
      </c>
      <c r="G434" s="264" t="str">
        <f>'Dry_Litterbag Placem_Collection'!C215</f>
        <v>Wet_P4_CG3</v>
      </c>
      <c r="H434" s="265" t="s">
        <v>2541</v>
      </c>
      <c r="I434" s="272" t="s">
        <v>298</v>
      </c>
      <c r="J434" s="223" t="str">
        <f>'WetLitterbags placem_collection'!M215</f>
        <v>R88</v>
      </c>
      <c r="K434" s="225">
        <f>IFERROR(INDEX('Green_rooibos initial weight'!$C$5:$C$1749,MATCH(J434, 'Green_rooibos initial weight'!$A$5:$A$1749,0)),"")</f>
        <v>2.1520000000000001</v>
      </c>
      <c r="L434" s="225">
        <f>IFERROR(K434-(TBIcalc!$H$9+TBIcalc!$H$10),"")</f>
        <v>1.9022000000000001</v>
      </c>
      <c r="M434" s="391">
        <f>AVERAGE(Ashed_controlls!$K$12:$K$14)</f>
        <v>2.2816647271287041</v>
      </c>
      <c r="N434" s="225">
        <f t="shared" si="32"/>
        <v>1.8587981735605579</v>
      </c>
      <c r="O434" s="225">
        <f>IF(IFERROR(INDEX('Both teabags AfterWet'!$C$3:$C$841,MATCH(J434,'Both teabags AfterWet'!$A$3:$A$841,0)),"")="","",(IFERROR(INDEX('Both teabags AfterWet'!$C$3:$C$841,MATCH(J434,'Both teabags AfterWet'!$A$3:$A$841,0)),"")))</f>
        <v>1.542</v>
      </c>
      <c r="P434" s="225">
        <f>IFERROR(IF(O434&gt;0,O434-(TBIcalc!$H$9),""),"")</f>
        <v>1.3914</v>
      </c>
      <c r="Q434" s="225">
        <f>IFERROR(INDEX('Ashed teabags wet'!$K$2:$K$821,MATCH(J434,'Ashed teabags wet'!$A$2:$A$821,0)),"")</f>
        <v>3.5402521823463347</v>
      </c>
      <c r="R434" s="225">
        <f t="shared" si="36"/>
        <v>1.3421409311348331</v>
      </c>
      <c r="S434" s="226">
        <f>'WetLitterbags placem_collection'!E215</f>
        <v>42769</v>
      </c>
      <c r="T434" s="226">
        <f>IF('WetLitterbags placem_collection'!G215="","",'WetLitterbags placem_collection'!G215)</f>
        <v>42813</v>
      </c>
      <c r="U434" s="227">
        <f t="shared" si="33"/>
        <v>44</v>
      </c>
      <c r="V434" s="225">
        <f t="shared" si="34"/>
        <v>0.51080000000000014</v>
      </c>
      <c r="W434" s="225">
        <f t="shared" si="35"/>
        <v>0.51665724242572475</v>
      </c>
      <c r="X434">
        <f>IFERROR(INDEX(Rainfall_Wet!$O$2:$O$217,MATCH(B434, Rainfall_Wet!$A$2:$A$217,0)),"")</f>
        <v>175.054685654</v>
      </c>
      <c r="Y434" s="231">
        <v>21.96</v>
      </c>
      <c r="Z434" s="231">
        <v>4.9199999999999982</v>
      </c>
      <c r="AA434" s="231">
        <v>73.12</v>
      </c>
      <c r="AB434" s="232" t="s">
        <v>2670</v>
      </c>
      <c r="AC434" s="231">
        <v>1.2416954164613114</v>
      </c>
      <c r="AD434">
        <f>IF('WetLitterbags placem_collection'!AB215="","",'WetLitterbags placem_collection'!AB215)</f>
        <v>15.2</v>
      </c>
      <c r="AE434">
        <f>IF('WetLitterbags placem_collection'!Z215="","",'WetLitterbags placem_collection'!Z215)</f>
        <v>12.2</v>
      </c>
      <c r="AF434" s="246" t="str">
        <f>IF('WetLitterbags placem_collection'!AA215="","",'WetLitterbags placem_collection'!AA215)</f>
        <v>O</v>
      </c>
      <c r="AG434">
        <f>IF('WetLitterbags placem_collection'!AC215="","",'WetLitterbags placem_collection'!AC215)</f>
        <v>1</v>
      </c>
      <c r="AH434" s="240">
        <f>AVERAGE('WetLitterbags placem_collection'!S215,'WetLitterbags placem_collection'!U215)</f>
        <v>19.75</v>
      </c>
      <c r="AI434">
        <f>AVERAGE('WetLitterbags placem_collection'!R215,'WetLitterbags placem_collection'!T215)</f>
        <v>28.15</v>
      </c>
      <c r="AJ434">
        <v>-2.4396949910000001</v>
      </c>
      <c r="AK434">
        <v>34.838574029999997</v>
      </c>
      <c r="AL434" t="str">
        <f>IF(ISNUMBER(SEARCH("C", 'WetLitterbags placem_collection'!W215)),"YES","NO")</f>
        <v>NO</v>
      </c>
      <c r="AM434" t="str">
        <f>IF(ISNUMBER(SEARCH("H", 'WetLitterbags placem_collection'!W215)),"YES","NO")</f>
        <v>NO</v>
      </c>
      <c r="AN434" t="str">
        <f>IF(ISNUMBER(SEARCH("R", 'WetLitterbags placem_collection'!W215)),"YES","NO")</f>
        <v>YES</v>
      </c>
    </row>
    <row r="435" spans="1:40" ht="15" customHeight="1">
      <c r="A435" s="258" t="s">
        <v>2460</v>
      </c>
      <c r="B435" s="263">
        <f>'Dry_Litterbag Placem_Collection'!A216</f>
        <v>213</v>
      </c>
      <c r="C435" s="263" t="str">
        <f>'Dry_Litterbag Placem_Collection'!B216</f>
        <v>Handajega</v>
      </c>
      <c r="D435" s="263" t="s">
        <v>2460</v>
      </c>
      <c r="E435" s="263" t="s">
        <v>2526</v>
      </c>
      <c r="F435" s="263">
        <v>3</v>
      </c>
      <c r="G435" s="264" t="str">
        <f>'Dry_Litterbag Placem_Collection'!C216</f>
        <v>Wet_W1_CG4</v>
      </c>
      <c r="H435" s="265" t="s">
        <v>2541</v>
      </c>
      <c r="I435" s="272" t="s">
        <v>298</v>
      </c>
      <c r="J435" s="223" t="str">
        <f>'WetLitterbags placem_collection'!M216</f>
        <v>R383</v>
      </c>
      <c r="K435" s="225">
        <f>IFERROR(INDEX('Green_rooibos initial weight'!$C$5:$C$1749,MATCH(J435, 'Green_rooibos initial weight'!$A$5:$A$1749,0)),"")</f>
        <v>2.234</v>
      </c>
      <c r="L435" s="225">
        <f>IFERROR(K435-(TBIcalc!$H$9+TBIcalc!$H$10),"")</f>
        <v>1.9842</v>
      </c>
      <c r="M435" s="391">
        <f>AVERAGE(Ashed_controlls!$K$12:$K$14)</f>
        <v>2.2816647271287041</v>
      </c>
      <c r="N435" s="225">
        <f t="shared" si="32"/>
        <v>1.9389272084843123</v>
      </c>
      <c r="O435" s="225">
        <f>IF(IFERROR(INDEX('Both teabags AfterWet'!$C$3:$C$841,MATCH(J435,'Both teabags AfterWet'!$A$3:$A$841,0)),"")="","",(IFERROR(INDEX('Both teabags AfterWet'!$C$3:$C$841,MATCH(J435,'Both teabags AfterWet'!$A$3:$A$841,0)),"")))</f>
        <v>1.587</v>
      </c>
      <c r="P435" s="225">
        <f>IFERROR(IF(O435&gt;0,O435-(TBIcalc!$H$9),""),"")</f>
        <v>1.4363999999999999</v>
      </c>
      <c r="Q435" s="225">
        <f>IFERROR(INDEX('Ashed teabags wet'!$K$2:$K$821,MATCH(J435,'Ashed teabags wet'!$A$2:$A$821,0)),"")</f>
        <v>4.7142857142857366</v>
      </c>
      <c r="R435" s="225">
        <f t="shared" si="36"/>
        <v>1.3686839999999996</v>
      </c>
      <c r="S435" s="226">
        <f>'WetLitterbags placem_collection'!E216</f>
        <v>42769</v>
      </c>
      <c r="T435" s="226">
        <f>IF('WetLitterbags placem_collection'!G216="","",'WetLitterbags placem_collection'!G216)</f>
        <v>42813</v>
      </c>
      <c r="U435" s="227">
        <f t="shared" si="33"/>
        <v>44</v>
      </c>
      <c r="V435" s="225">
        <f t="shared" si="34"/>
        <v>0.54780000000000006</v>
      </c>
      <c r="W435" s="225">
        <f t="shared" si="35"/>
        <v>0.57024320848431276</v>
      </c>
      <c r="X435">
        <f>IFERROR(INDEX(Rainfall_Wet!$O$2:$O$217,MATCH(B435, Rainfall_Wet!$A$2:$A$217,0)),"")</f>
        <v>175.054685654</v>
      </c>
      <c r="Y435" s="231">
        <v>23.96</v>
      </c>
      <c r="Z435" s="231">
        <v>4.9199999999999982</v>
      </c>
      <c r="AA435" s="231">
        <v>71.12</v>
      </c>
      <c r="AB435" s="232" t="s">
        <v>2670</v>
      </c>
      <c r="AC435" s="231">
        <v>3.30913750616067</v>
      </c>
      <c r="AD435">
        <f>IF('WetLitterbags placem_collection'!AB216="","",'WetLitterbags placem_collection'!AB216)</f>
        <v>7.9</v>
      </c>
      <c r="AE435">
        <f>IF('WetLitterbags placem_collection'!Z216="","",'WetLitterbags placem_collection'!Z216)</f>
        <v>7.9</v>
      </c>
      <c r="AF435" s="246" t="str">
        <f>IF('WetLitterbags placem_collection'!AA216="","",'WetLitterbags placem_collection'!AA216)</f>
        <v>O</v>
      </c>
      <c r="AG435">
        <f>IF('WetLitterbags placem_collection'!AC216="","",'WetLitterbags placem_collection'!AC216)</f>
        <v>1</v>
      </c>
      <c r="AH435" s="240">
        <f>AVERAGE('WetLitterbags placem_collection'!S216,'WetLitterbags placem_collection'!U216)</f>
        <v>19.45</v>
      </c>
      <c r="AI435">
        <f>AVERAGE('WetLitterbags placem_collection'!R216,'WetLitterbags placem_collection'!T216)</f>
        <v>29.200000000000003</v>
      </c>
      <c r="AJ435">
        <v>-2.4396949910000001</v>
      </c>
      <c r="AK435">
        <v>34.838574029999997</v>
      </c>
      <c r="AL435" t="str">
        <f>IF(ISNUMBER(SEARCH("C", 'WetLitterbags placem_collection'!W216)),"YES","NO")</f>
        <v>NO</v>
      </c>
      <c r="AM435" t="str">
        <f>IF(ISNUMBER(SEARCH("H", 'WetLitterbags placem_collection'!W216)),"YES","NO")</f>
        <v>NO</v>
      </c>
      <c r="AN435" t="str">
        <f>IF(ISNUMBER(SEARCH("R", 'WetLitterbags placem_collection'!W216)),"YES","NO")</f>
        <v>YES</v>
      </c>
    </row>
    <row r="436" spans="1:40" ht="15" customHeight="1">
      <c r="A436" s="258" t="s">
        <v>2460</v>
      </c>
      <c r="B436" s="263">
        <f>'Dry_Litterbag Placem_Collection'!A217</f>
        <v>214</v>
      </c>
      <c r="C436" s="263" t="str">
        <f>'Dry_Litterbag Placem_Collection'!B217</f>
        <v>Handajega</v>
      </c>
      <c r="D436" s="263" t="s">
        <v>2460</v>
      </c>
      <c r="E436" s="263" t="s">
        <v>2526</v>
      </c>
      <c r="F436" s="263">
        <v>1</v>
      </c>
      <c r="G436" s="264" t="str">
        <f>'Dry_Litterbag Placem_Collection'!C217</f>
        <v>Wet_W2_CG3</v>
      </c>
      <c r="H436" s="265" t="s">
        <v>2541</v>
      </c>
      <c r="I436" s="272" t="s">
        <v>298</v>
      </c>
      <c r="J436" s="223" t="str">
        <f>'WetLitterbags placem_collection'!M217</f>
        <v>R145</v>
      </c>
      <c r="K436" s="225">
        <f>IFERROR(INDEX('Green_rooibos initial weight'!$C$5:$C$1749,MATCH(J436, 'Green_rooibos initial weight'!$A$5:$A$1749,0)),"")</f>
        <v>2.2719999999999998</v>
      </c>
      <c r="L436" s="225">
        <f>IFERROR(K436-(TBIcalc!$H$9+TBIcalc!$H$10),"")</f>
        <v>2.0221999999999998</v>
      </c>
      <c r="M436" s="391">
        <f>AVERAGE(Ashed_controlls!$K$12:$K$14)</f>
        <v>2.2816647271287041</v>
      </c>
      <c r="N436" s="225">
        <f t="shared" si="32"/>
        <v>1.9760601758880032</v>
      </c>
      <c r="O436" s="225">
        <f>IF(IFERROR(INDEX('Both teabags AfterWet'!$C$3:$C$841,MATCH(J436,'Both teabags AfterWet'!$A$3:$A$841,0)),"")="","",(IFERROR(INDEX('Both teabags AfterWet'!$C$3:$C$841,MATCH(J436,'Both teabags AfterWet'!$A$3:$A$841,0)),"")))</f>
        <v>1.5481</v>
      </c>
      <c r="P436" s="225">
        <f>IFERROR(IF(O436&gt;0,O436-(TBIcalc!$H$9),""),"")</f>
        <v>1.3975</v>
      </c>
      <c r="Q436" s="225">
        <f>IFERROR(INDEX('Ashed teabags wet'!$K$2:$K$821,MATCH(J436,'Ashed teabags wet'!$A$2:$A$821,0)),"")</f>
        <v>2.4271844660191637</v>
      </c>
      <c r="R436" s="225">
        <f t="shared" si="36"/>
        <v>1.3635800970873821</v>
      </c>
      <c r="S436" s="226">
        <f>'WetLitterbags placem_collection'!E217</f>
        <v>42769</v>
      </c>
      <c r="T436" s="226">
        <f>IF('WetLitterbags placem_collection'!G217="","",'WetLitterbags placem_collection'!G217)</f>
        <v>42814</v>
      </c>
      <c r="U436" s="227">
        <f t="shared" si="33"/>
        <v>45</v>
      </c>
      <c r="V436" s="225">
        <f t="shared" si="34"/>
        <v>0.62469999999999981</v>
      </c>
      <c r="W436" s="225">
        <f t="shared" si="35"/>
        <v>0.61248007880062105</v>
      </c>
      <c r="X436">
        <f>IFERROR(INDEX(Rainfall_Wet!$O$2:$O$217,MATCH(B436, Rainfall_Wet!$A$2:$A$217,0)),"")</f>
        <v>175.054685654</v>
      </c>
      <c r="Y436" s="231">
        <v>25.96</v>
      </c>
      <c r="Z436" s="231">
        <v>8.9200000000000017</v>
      </c>
      <c r="AA436" s="231">
        <v>65.12</v>
      </c>
      <c r="AB436" s="232" t="s">
        <v>2670</v>
      </c>
      <c r="AC436" s="231">
        <v>1.614588467225234</v>
      </c>
      <c r="AD436">
        <f>IF('WetLitterbags placem_collection'!AB217="","",'WetLitterbags placem_collection'!AB217)</f>
        <v>13.8</v>
      </c>
      <c r="AE436">
        <f>IF('WetLitterbags placem_collection'!Z217="","",'WetLitterbags placem_collection'!Z217)</f>
        <v>17.399999999999999</v>
      </c>
      <c r="AF436" s="246" t="str">
        <f>IF('WetLitterbags placem_collection'!AA217="","",'WetLitterbags placem_collection'!AA217)</f>
        <v>O</v>
      </c>
      <c r="AG436">
        <f>IF('WetLitterbags placem_collection'!AC217="","",'WetLitterbags placem_collection'!AC217)</f>
        <v>1</v>
      </c>
      <c r="AH436" s="240">
        <f>AVERAGE('WetLitterbags placem_collection'!S217,'WetLitterbags placem_collection'!U217)</f>
        <v>20.3</v>
      </c>
      <c r="AI436">
        <f>AVERAGE('WetLitterbags placem_collection'!R217,'WetLitterbags placem_collection'!T217)</f>
        <v>26.25</v>
      </c>
      <c r="AJ436">
        <v>-2.439403972</v>
      </c>
      <c r="AK436">
        <v>34.838404959999998</v>
      </c>
      <c r="AL436" t="str">
        <f>IF(ISNUMBER(SEARCH("C", 'WetLitterbags placem_collection'!W217)),"YES","NO")</f>
        <v>NO</v>
      </c>
      <c r="AM436" t="str">
        <f>IF(ISNUMBER(SEARCH("H", 'WetLitterbags placem_collection'!W217)),"YES","NO")</f>
        <v>NO</v>
      </c>
      <c r="AN436" t="str">
        <f>IF(ISNUMBER(SEARCH("R", 'WetLitterbags placem_collection'!W217)),"YES","NO")</f>
        <v>NO</v>
      </c>
    </row>
    <row r="437" spans="1:40" ht="15" customHeight="1">
      <c r="A437" s="258" t="s">
        <v>2460</v>
      </c>
      <c r="B437" s="263">
        <f>'Dry_Litterbag Placem_Collection'!A218</f>
        <v>216</v>
      </c>
      <c r="C437" s="263" t="str">
        <f>'Dry_Litterbag Placem_Collection'!B218</f>
        <v>Handajega</v>
      </c>
      <c r="D437" s="263" t="s">
        <v>2460</v>
      </c>
      <c r="E437" s="263" t="s">
        <v>2526</v>
      </c>
      <c r="F437" s="263">
        <v>2</v>
      </c>
      <c r="G437" s="264" t="str">
        <f>'Dry_Litterbag Placem_Collection'!C218</f>
        <v>Wet_W4_CG2</v>
      </c>
      <c r="H437" s="265" t="s">
        <v>2541</v>
      </c>
      <c r="I437" s="272" t="s">
        <v>298</v>
      </c>
      <c r="J437" s="223" t="str">
        <f>'WetLitterbags placem_collection'!M218</f>
        <v>R241</v>
      </c>
      <c r="K437" s="225">
        <f>IFERROR(INDEX('Green_rooibos initial weight'!$C$5:$C$1749,MATCH(J437, 'Green_rooibos initial weight'!$A$5:$A$1749,0)),"")</f>
        <v>2.1680000000000001</v>
      </c>
      <c r="L437" s="225">
        <f>IFERROR(K437-(TBIcalc!$H$9+TBIcalc!$H$10),"")</f>
        <v>1.9182000000000001</v>
      </c>
      <c r="M437" s="391">
        <f>AVERAGE(Ashed_controlls!$K$12:$K$14)</f>
        <v>2.2816647271287041</v>
      </c>
      <c r="N437" s="225">
        <f t="shared" si="32"/>
        <v>1.8744331072042173</v>
      </c>
      <c r="O437" s="225">
        <f>IF(IFERROR(INDEX('Both teabags AfterWet'!$C$3:$C$841,MATCH(J437,'Both teabags AfterWet'!$A$3:$A$841,0)),"")="","",(IFERROR(INDEX('Both teabags AfterWet'!$C$3:$C$841,MATCH(J437,'Both teabags AfterWet'!$A$3:$A$841,0)),"")))</f>
        <v>1.5349999999999999</v>
      </c>
      <c r="P437" s="225">
        <f>IFERROR(IF(O437&gt;0,O437-(TBIcalc!$H$9),""),"")</f>
        <v>1.3843999999999999</v>
      </c>
      <c r="Q437" s="225">
        <f>IFERROR(INDEX('Ashed teabags wet'!$K$2:$K$821,MATCH(J437,'Ashed teabags wet'!$A$2:$A$821,0)),"")</f>
        <v>21.520236920039142</v>
      </c>
      <c r="R437" s="225">
        <f t="shared" si="36"/>
        <v>1.086473840078978</v>
      </c>
      <c r="S437" s="226">
        <f>'WetLitterbags placem_collection'!E218</f>
        <v>42769</v>
      </c>
      <c r="T437" s="226">
        <f>IF('WetLitterbags placem_collection'!G218="","",'WetLitterbags placem_collection'!G218)</f>
        <v>42814</v>
      </c>
      <c r="U437" s="227">
        <f t="shared" si="33"/>
        <v>45</v>
      </c>
      <c r="V437" s="225">
        <f t="shared" si="34"/>
        <v>0.53380000000000027</v>
      </c>
      <c r="W437" s="225">
        <f t="shared" si="35"/>
        <v>0.78795926712523934</v>
      </c>
      <c r="X437">
        <f>IFERROR(INDEX(Rainfall_Wet!$O$2:$O$217,MATCH(B437, Rainfall_Wet!$A$2:$A$217,0)),"")</f>
        <v>175.377105089</v>
      </c>
      <c r="Y437" s="231">
        <v>25.96</v>
      </c>
      <c r="Z437" s="231">
        <v>8.9200000000000017</v>
      </c>
      <c r="AA437" s="231">
        <v>65.12</v>
      </c>
      <c r="AB437" s="232" t="s">
        <v>2670</v>
      </c>
      <c r="AC437" s="231">
        <v>1.6991621488417901</v>
      </c>
      <c r="AD437">
        <f>IF('WetLitterbags placem_collection'!AB218="","",'WetLitterbags placem_collection'!AB218)</f>
        <v>5.13</v>
      </c>
      <c r="AE437">
        <f>IF('WetLitterbags placem_collection'!Z218="","",'WetLitterbags placem_collection'!Z218)</f>
        <v>5.13</v>
      </c>
      <c r="AF437" s="246" t="str">
        <f>IF('WetLitterbags placem_collection'!AA218="","",'WetLitterbags placem_collection'!AA218)</f>
        <v>O</v>
      </c>
      <c r="AG437">
        <f>IF('WetLitterbags placem_collection'!AC218="","",'WetLitterbags placem_collection'!AC218)</f>
        <v>1</v>
      </c>
      <c r="AH437" s="240">
        <f>AVERAGE('WetLitterbags placem_collection'!S218,'WetLitterbags placem_collection'!U218)</f>
        <v>20.65</v>
      </c>
      <c r="AI437">
        <f>AVERAGE('WetLitterbags placem_collection'!R218,'WetLitterbags placem_collection'!T218)</f>
        <v>25.05</v>
      </c>
      <c r="AJ437">
        <v>-2.4396450349999999</v>
      </c>
      <c r="AK437">
        <v>34.83836599</v>
      </c>
      <c r="AL437" t="str">
        <f>IF(ISNUMBER(SEARCH("C", 'WetLitterbags placem_collection'!W218)),"YES","NO")</f>
        <v>NO</v>
      </c>
      <c r="AM437" t="str">
        <f>IF(ISNUMBER(SEARCH("H", 'WetLitterbags placem_collection'!W218)),"YES","NO")</f>
        <v>YES</v>
      </c>
      <c r="AN437" t="str">
        <f>IF(ISNUMBER(SEARCH("R", 'WetLitterbags placem_collection'!W218)),"YES","NO")</f>
        <v>NO</v>
      </c>
    </row>
    <row r="438" spans="1:40" ht="15" customHeight="1">
      <c r="A438" s="258" t="s">
        <v>2460</v>
      </c>
      <c r="B438" s="263">
        <f>'Dry_Litterbag Placem_Collection'!A219</f>
        <v>217</v>
      </c>
      <c r="C438" s="263" t="str">
        <f>'Dry_Litterbag Placem_Collection'!B219</f>
        <v>Seronera</v>
      </c>
      <c r="D438" s="263" t="s">
        <v>2662</v>
      </c>
      <c r="E438" s="263" t="s">
        <v>2526</v>
      </c>
      <c r="F438" s="263">
        <v>1</v>
      </c>
      <c r="G438" s="264" t="str">
        <f>'Dry_Litterbag Placem_Collection'!C219</f>
        <v>Local1_CG1</v>
      </c>
      <c r="H438" s="265" t="s">
        <v>2541</v>
      </c>
      <c r="I438" s="272" t="s">
        <v>298</v>
      </c>
      <c r="J438" s="223" t="str">
        <f>'WetLitterbags placem_collection'!M219</f>
        <v>R302</v>
      </c>
      <c r="K438" s="225">
        <f>IFERROR(INDEX('Green_rooibos initial weight'!$C$5:$C$1749,MATCH(J438, 'Green_rooibos initial weight'!$A$5:$A$1749,0)),"")</f>
        <v>2.19</v>
      </c>
      <c r="L438" s="225">
        <f>IFERROR(K438-(TBIcalc!$H$9+TBIcalc!$H$10),"")</f>
        <v>1.9401999999999999</v>
      </c>
      <c r="M438" s="391">
        <f>AVERAGE(Ashed_controlls!$K$12:$K$14)</f>
        <v>2.2816647271287041</v>
      </c>
      <c r="N438" s="225">
        <f t="shared" si="32"/>
        <v>1.8959311409642488</v>
      </c>
      <c r="O438" s="225">
        <f>IF(IFERROR(INDEX('Both teabags AfterWet'!$C$3:$C$841,MATCH(J438,'Both teabags AfterWet'!$A$3:$A$841,0)),"")="","",(IFERROR(INDEX('Both teabags AfterWet'!$C$3:$C$841,MATCH(J438,'Both teabags AfterWet'!$A$3:$A$841,0)),"")))</f>
        <v>1.38</v>
      </c>
      <c r="P438" s="225">
        <f>IFERROR(IF(O438&gt;0,O438-(TBIcalc!$H$9),""),"")</f>
        <v>1.2293999999999998</v>
      </c>
      <c r="Q438" s="225">
        <f>IFERROR(INDEX('Ashed teabags wet'!$K$2:$K$821,MATCH(J438,'Ashed teabags wet'!$A$2:$A$821,0)),"")</f>
        <v>5.5199605717097722</v>
      </c>
      <c r="R438" s="225">
        <f t="shared" si="36"/>
        <v>1.1615376047313999</v>
      </c>
      <c r="S438" s="226">
        <f>'WetLitterbags placem_collection'!E219</f>
        <v>42769</v>
      </c>
      <c r="T438" s="226">
        <f>IF('WetLitterbags placem_collection'!G219="","",'WetLitterbags placem_collection'!G219)</f>
        <v>42814</v>
      </c>
      <c r="U438" s="227">
        <f t="shared" si="33"/>
        <v>45</v>
      </c>
      <c r="V438" s="225">
        <f t="shared" si="34"/>
        <v>0.7108000000000001</v>
      </c>
      <c r="W438" s="225">
        <f t="shared" si="35"/>
        <v>0.73439353623284886</v>
      </c>
      <c r="X438">
        <f>IFERROR(INDEX(Rainfall_Wet!$O$2:$O$217,MATCH(B438, Rainfall_Wet!$A$2:$A$217,0)),"")</f>
        <v>175.377105089</v>
      </c>
      <c r="Y438" s="231">
        <v>29.076539101497506</v>
      </c>
      <c r="Z438" s="231">
        <v>7.1963394342762079</v>
      </c>
      <c r="AA438" s="231">
        <v>63.727121464226286</v>
      </c>
      <c r="AB438" s="231" t="s">
        <v>2670</v>
      </c>
      <c r="AC438" s="231">
        <v>1.0994578610152781</v>
      </c>
      <c r="AD438">
        <f>IF('WetLitterbags placem_collection'!AB219="","",'WetLitterbags placem_collection'!AB219)</f>
        <v>13.8</v>
      </c>
      <c r="AE438">
        <f>IF('WetLitterbags placem_collection'!Z219="","",'WetLitterbags placem_collection'!Z219)</f>
        <v>17.399999999999999</v>
      </c>
      <c r="AF438" s="246" t="str">
        <f>IF('WetLitterbags placem_collection'!AA219="","",'WetLitterbags placem_collection'!AA219)</f>
        <v>O</v>
      </c>
      <c r="AG438">
        <f>IF('WetLitterbags placem_collection'!AC219="","",'WetLitterbags placem_collection'!AC219)</f>
        <v>1</v>
      </c>
      <c r="AH438" s="240">
        <f>AVERAGE('WetLitterbags placem_collection'!S219,'WetLitterbags placem_collection'!U219)</f>
        <v>20.049999999999997</v>
      </c>
      <c r="AI438">
        <f>AVERAGE('WetLitterbags placem_collection'!R219,'WetLitterbags placem_collection'!T219)</f>
        <v>25.5</v>
      </c>
      <c r="AJ438">
        <v>-2.439403972</v>
      </c>
      <c r="AK438">
        <v>34.838404959999998</v>
      </c>
      <c r="AL438" t="str">
        <f>IF(ISNUMBER(SEARCH("C", 'WetLitterbags placem_collection'!W219)),"YES","NO")</f>
        <v>NO</v>
      </c>
      <c r="AM438" t="str">
        <f>IF(ISNUMBER(SEARCH("H", 'WetLitterbags placem_collection'!W219)),"YES","NO")</f>
        <v>NO</v>
      </c>
      <c r="AN438" t="str">
        <f>IF(ISNUMBER(SEARCH("R", 'WetLitterbags placem_collection'!W219)),"YES","NO")</f>
        <v>YES</v>
      </c>
    </row>
    <row r="439" spans="1:40" ht="15" customHeight="1">
      <c r="A439" s="258" t="s">
        <v>2460</v>
      </c>
      <c r="B439" s="263">
        <f>'Dry_Litterbag Placem_Collection'!A220</f>
        <v>218</v>
      </c>
      <c r="C439" s="263" t="str">
        <f>'Dry_Litterbag Placem_Collection'!B220</f>
        <v>Seronera</v>
      </c>
      <c r="D439" s="263" t="s">
        <v>2662</v>
      </c>
      <c r="E439" s="263" t="s">
        <v>2526</v>
      </c>
      <c r="F439" s="263">
        <v>2</v>
      </c>
      <c r="G439" s="264" t="str">
        <f>'Dry_Litterbag Placem_Collection'!C220</f>
        <v>Local2_CG2</v>
      </c>
      <c r="H439" s="265" t="s">
        <v>2541</v>
      </c>
      <c r="I439" s="272" t="s">
        <v>298</v>
      </c>
      <c r="J439" s="223" t="str">
        <f>'WetLitterbags placem_collection'!M220</f>
        <v>R442</v>
      </c>
      <c r="K439" s="225">
        <f>IFERROR(INDEX('Green_rooibos initial weight'!$C$5:$C$1749,MATCH(J439, 'Green_rooibos initial weight'!$A$5:$A$1749,0)),"")</f>
        <v>2.2290000000000001</v>
      </c>
      <c r="L439" s="225">
        <f>IFERROR(K439-(TBIcalc!$H$9+TBIcalc!$H$10),"")</f>
        <v>1.9792000000000001</v>
      </c>
      <c r="M439" s="391">
        <f>AVERAGE(Ashed_controlls!$K$12:$K$14)</f>
        <v>2.2816647271287041</v>
      </c>
      <c r="N439" s="225">
        <f t="shared" si="32"/>
        <v>1.9340412917206689</v>
      </c>
      <c r="O439" s="225">
        <f>IF(IFERROR(INDEX('Both teabags AfterWet'!$C$3:$C$841,MATCH(J439,'Both teabags AfterWet'!$A$3:$A$841,0)),"")="","",(IFERROR(INDEX('Both teabags AfterWet'!$C$3:$C$841,MATCH(J439,'Both teabags AfterWet'!$A$3:$A$841,0)),"")))</f>
        <v>1.3831</v>
      </c>
      <c r="P439" s="225">
        <f>IFERROR(IF(O439&gt;0,O439-(TBIcalc!$H$9),""),"")</f>
        <v>1.2324999999999999</v>
      </c>
      <c r="Q439" s="225">
        <f>IFERROR(INDEX('Ashed teabags wet'!$K$2:$K$821,MATCH(J439,'Ashed teabags wet'!$A$2:$A$821,0)),"")</f>
        <v>6.7454455933042237</v>
      </c>
      <c r="R439" s="225">
        <f t="shared" si="36"/>
        <v>1.1493623830625255</v>
      </c>
      <c r="S439" s="226">
        <f>'WetLitterbags placem_collection'!E220</f>
        <v>42769</v>
      </c>
      <c r="T439" s="226">
        <f>IF('WetLitterbags placem_collection'!G220="","",'WetLitterbags placem_collection'!G220)</f>
        <v>42814</v>
      </c>
      <c r="U439" s="227">
        <f t="shared" si="33"/>
        <v>45</v>
      </c>
      <c r="V439" s="225">
        <f t="shared" si="34"/>
        <v>0.74670000000000014</v>
      </c>
      <c r="W439" s="225">
        <f t="shared" si="35"/>
        <v>0.78467890865814338</v>
      </c>
      <c r="X439">
        <f>IFERROR(INDEX(Rainfall_Wet!$O$2:$O$217,MATCH(B439, Rainfall_Wet!$A$2:$A$217,0)),"")</f>
        <v>175.377105089</v>
      </c>
      <c r="Y439" s="231">
        <v>21.072635135135137</v>
      </c>
      <c r="Z439" s="231">
        <v>7.3057432432432412</v>
      </c>
      <c r="AA439" s="231">
        <v>71.621621621621614</v>
      </c>
      <c r="AB439" s="231" t="s">
        <v>2670</v>
      </c>
      <c r="AC439" s="231">
        <v>1.4512074913750617</v>
      </c>
      <c r="AD439">
        <f>IF('WetLitterbags placem_collection'!AB220="","",'WetLitterbags placem_collection'!AB220)</f>
        <v>5.13</v>
      </c>
      <c r="AE439">
        <f>IF('WetLitterbags placem_collection'!Z220="","",'WetLitterbags placem_collection'!Z220)</f>
        <v>5.13</v>
      </c>
      <c r="AF439" s="246" t="str">
        <f>IF('WetLitterbags placem_collection'!AA220="","",'WetLitterbags placem_collection'!AA220)</f>
        <v>O</v>
      </c>
      <c r="AG439">
        <f>IF('WetLitterbags placem_collection'!AC220="","",'WetLitterbags placem_collection'!AC220)</f>
        <v>1</v>
      </c>
      <c r="AH439" s="240">
        <f>AVERAGE('WetLitterbags placem_collection'!S220,'WetLitterbags placem_collection'!U220)</f>
        <v>22.1</v>
      </c>
      <c r="AI439">
        <f>AVERAGE('WetLitterbags placem_collection'!R220,'WetLitterbags placem_collection'!T220)</f>
        <v>24.5</v>
      </c>
      <c r="AJ439">
        <v>-2.4396450349999999</v>
      </c>
      <c r="AK439">
        <v>34.83836599</v>
      </c>
      <c r="AL439" t="str">
        <f>IF(ISNUMBER(SEARCH("C", 'WetLitterbags placem_collection'!W220)),"YES","NO")</f>
        <v>NO</v>
      </c>
      <c r="AM439" t="str">
        <f>IF(ISNUMBER(SEARCH("H", 'WetLitterbags placem_collection'!W220)),"YES","NO")</f>
        <v>NO</v>
      </c>
      <c r="AN439" t="str">
        <f>IF(ISNUMBER(SEARCH("R", 'WetLitterbags placem_collection'!W220)),"YES","NO")</f>
        <v>YES</v>
      </c>
    </row>
    <row r="440" spans="1:40" ht="15" customHeight="1">
      <c r="A440" s="258" t="s">
        <v>2460</v>
      </c>
      <c r="B440" s="263">
        <f>'Dry_Litterbag Placem_Collection'!A221</f>
        <v>219</v>
      </c>
      <c r="C440" s="263" t="str">
        <f>'Dry_Litterbag Placem_Collection'!B221</f>
        <v>Seronera</v>
      </c>
      <c r="D440" s="263" t="s">
        <v>2662</v>
      </c>
      <c r="E440" s="263" t="s">
        <v>2526</v>
      </c>
      <c r="F440" s="263">
        <v>3</v>
      </c>
      <c r="G440" s="264" t="str">
        <f>'Dry_Litterbag Placem_Collection'!C221</f>
        <v>Local3_CG3</v>
      </c>
      <c r="H440" s="265" t="s">
        <v>2541</v>
      </c>
      <c r="I440" s="272" t="s">
        <v>298</v>
      </c>
      <c r="J440" s="223" t="str">
        <f>'WetLitterbags placem_collection'!M221</f>
        <v>R176</v>
      </c>
      <c r="K440" s="225">
        <f>IFERROR(INDEX('Green_rooibos initial weight'!$C$5:$C$1749,MATCH(J440, 'Green_rooibos initial weight'!$A$5:$A$1749,0)),"")</f>
        <v>2.2160000000000002</v>
      </c>
      <c r="L440" s="225">
        <f>IFERROR(K440-(TBIcalc!$H$9+TBIcalc!$H$10),"")</f>
        <v>1.9662000000000002</v>
      </c>
      <c r="M440" s="391">
        <f>AVERAGE(Ashed_controlls!$K$12:$K$14)</f>
        <v>2.2816647271287041</v>
      </c>
      <c r="N440" s="225">
        <f t="shared" si="32"/>
        <v>1.9213379081351956</v>
      </c>
      <c r="O440" s="225">
        <f>IF(IFERROR(INDEX('Both teabags AfterWet'!$C$3:$C$841,MATCH(J440,'Both teabags AfterWet'!$A$3:$A$841,0)),"")="","",(IFERROR(INDEX('Both teabags AfterWet'!$C$3:$C$841,MATCH(J440,'Both teabags AfterWet'!$A$3:$A$841,0)),"")))</f>
        <v>1.4293</v>
      </c>
      <c r="P440" s="225">
        <f>IFERROR(IF(O440&gt;0,O440-(TBIcalc!$H$9),""),"")</f>
        <v>1.2786999999999999</v>
      </c>
      <c r="Q440" s="225">
        <f>IFERROR(INDEX('Ashed teabags wet'!$K$2:$K$821,MATCH(J440,'Ashed teabags wet'!$A$2:$A$821,0)),"")</f>
        <v>6.3788027477918092</v>
      </c>
      <c r="R440" s="225">
        <f t="shared" si="36"/>
        <v>1.197134249263986</v>
      </c>
      <c r="S440" s="226">
        <f>'WetLitterbags placem_collection'!E221</f>
        <v>42769</v>
      </c>
      <c r="T440" s="226">
        <f>IF('WetLitterbags placem_collection'!G221="","",'WetLitterbags placem_collection'!G221)</f>
        <v>42813</v>
      </c>
      <c r="U440" s="227">
        <f t="shared" si="33"/>
        <v>44</v>
      </c>
      <c r="V440" s="225">
        <f t="shared" si="34"/>
        <v>0.68750000000000022</v>
      </c>
      <c r="W440" s="225">
        <f t="shared" si="35"/>
        <v>0.72420365887120952</v>
      </c>
      <c r="X440">
        <f>IFERROR(INDEX(Rainfall_Wet!$O$2:$O$217,MATCH(B440, Rainfall_Wet!$A$2:$A$217,0)),"")</f>
        <v>175.054685654</v>
      </c>
      <c r="Y440" s="231">
        <v>21.96</v>
      </c>
      <c r="Z440" s="231">
        <v>4.9199999999999982</v>
      </c>
      <c r="AA440" s="231">
        <v>73.12</v>
      </c>
      <c r="AB440" s="231" t="s">
        <v>2670</v>
      </c>
      <c r="AC440" s="231">
        <v>1.4012321340561851</v>
      </c>
      <c r="AD440">
        <f>IF('WetLitterbags placem_collection'!AB221="","",'WetLitterbags placem_collection'!AB221)</f>
        <v>7.9</v>
      </c>
      <c r="AE440">
        <f>IF('WetLitterbags placem_collection'!Z221="","",'WetLitterbags placem_collection'!Z221)</f>
        <v>7.9</v>
      </c>
      <c r="AF440" s="246" t="str">
        <f>IF('WetLitterbags placem_collection'!AA221="","",'WetLitterbags placem_collection'!AA221)</f>
        <v>O</v>
      </c>
      <c r="AG440">
        <f>IF('WetLitterbags placem_collection'!AC221="","",'WetLitterbags placem_collection'!AC221)</f>
        <v>1</v>
      </c>
      <c r="AH440" s="240">
        <f>AVERAGE('WetLitterbags placem_collection'!S221,'WetLitterbags placem_collection'!U221)</f>
        <v>21.75</v>
      </c>
      <c r="AI440">
        <f>AVERAGE('WetLitterbags placem_collection'!R221,'WetLitterbags placem_collection'!T221)</f>
        <v>27.55</v>
      </c>
      <c r="AJ440">
        <v>-2.4395990190000001</v>
      </c>
      <c r="AK440">
        <v>34.838418959999998</v>
      </c>
      <c r="AL440" t="str">
        <f>IF(ISNUMBER(SEARCH("C", 'WetLitterbags placem_collection'!W221)),"YES","NO")</f>
        <v>NO</v>
      </c>
      <c r="AM440" t="str">
        <f>IF(ISNUMBER(SEARCH("H", 'WetLitterbags placem_collection'!W221)),"YES","NO")</f>
        <v>NO</v>
      </c>
      <c r="AN440" t="str">
        <f>IF(ISNUMBER(SEARCH("R", 'WetLitterbags placem_collection'!W221)),"YES","NO")</f>
        <v>YES</v>
      </c>
    </row>
    <row r="441" spans="1:40" ht="15" customHeight="1">
      <c r="A441" s="258" t="s">
        <v>2460</v>
      </c>
      <c r="B441" s="263">
        <f>'Dry_Litterbag Placem_Collection'!A222</f>
        <v>220</v>
      </c>
      <c r="C441" s="263" t="str">
        <f>'Dry_Litterbag Placem_Collection'!B222</f>
        <v>Seronera</v>
      </c>
      <c r="D441" s="263" t="s">
        <v>2662</v>
      </c>
      <c r="E441" s="263" t="s">
        <v>2526</v>
      </c>
      <c r="F441" s="263">
        <v>4</v>
      </c>
      <c r="G441" s="264" t="str">
        <f>'Dry_Litterbag Placem_Collection'!C222</f>
        <v>Local4_CG4</v>
      </c>
      <c r="H441" s="265" t="s">
        <v>2541</v>
      </c>
      <c r="I441" s="272" t="s">
        <v>298</v>
      </c>
      <c r="J441" s="223" t="str">
        <f>'WetLitterbags placem_collection'!M222</f>
        <v>R250</v>
      </c>
      <c r="K441" s="225">
        <f>IFERROR(INDEX('Green_rooibos initial weight'!$C$5:$C$1749,MATCH(J441, 'Green_rooibos initial weight'!$A$5:$A$1749,0)),"")</f>
        <v>2.2639999999999998</v>
      </c>
      <c r="L441" s="225">
        <f>IFERROR(K441-(TBIcalc!$H$9+TBIcalc!$H$10),"")</f>
        <v>2.0141999999999998</v>
      </c>
      <c r="M441" s="391">
        <f>AVERAGE(Ashed_controlls!$K$12:$K$14)</f>
        <v>2.2816647271287041</v>
      </c>
      <c r="N441" s="225">
        <f t="shared" si="32"/>
        <v>1.9682427090661734</v>
      </c>
      <c r="O441" s="225">
        <f>IF(IFERROR(INDEX('Both teabags AfterWet'!$C$3:$C$841,MATCH(J441,'Both teabags AfterWet'!$A$3:$A$841,0)),"")="","",(IFERROR(INDEX('Both teabags AfterWet'!$C$3:$C$841,MATCH(J441,'Both teabags AfterWet'!$A$3:$A$841,0)),"")))</f>
        <v>1.5303</v>
      </c>
      <c r="P441" s="225">
        <f>IFERROR(IF(O441&gt;0,O441-(TBIcalc!$H$9),""),"")</f>
        <v>1.3796999999999999</v>
      </c>
      <c r="Q441" s="225">
        <f>IFERROR(INDEX('Ashed teabags wet'!$K$2:$K$821,MATCH(J441,'Ashed teabags wet'!$A$2:$A$821,0)),"")</f>
        <v>5.6310679611650896</v>
      </c>
      <c r="R441" s="225">
        <f t="shared" si="36"/>
        <v>1.3020081553398053</v>
      </c>
      <c r="S441" s="226">
        <f>'WetLitterbags placem_collection'!E222</f>
        <v>42769</v>
      </c>
      <c r="T441" s="226">
        <f>IF('WetLitterbags placem_collection'!G222="","",'WetLitterbags placem_collection'!G222)</f>
        <v>42813</v>
      </c>
      <c r="U441" s="227">
        <f t="shared" si="33"/>
        <v>44</v>
      </c>
      <c r="V441" s="225">
        <f t="shared" si="34"/>
        <v>0.63449999999999984</v>
      </c>
      <c r="W441" s="225">
        <f t="shared" si="35"/>
        <v>0.66623455372636808</v>
      </c>
      <c r="X441">
        <f>IFERROR(INDEX(Rainfall_Wet!$O$2:$O$217,MATCH(B441, Rainfall_Wet!$A$2:$A$217,0)),"")</f>
        <v>175.054685654</v>
      </c>
      <c r="Y441" s="231">
        <v>15.960000000000003</v>
      </c>
      <c r="Z441" s="231">
        <v>6.9199999999999982</v>
      </c>
      <c r="AA441" s="231">
        <v>77.11999999999999</v>
      </c>
      <c r="AB441" s="231" t="s">
        <v>2671</v>
      </c>
      <c r="AC441" s="231">
        <v>0.60547067520946207</v>
      </c>
      <c r="AD441">
        <f>IF('WetLitterbags placem_collection'!AB222="","",'WetLitterbags placem_collection'!AB222)</f>
        <v>15.2</v>
      </c>
      <c r="AE441">
        <f>IF('WetLitterbags placem_collection'!Z222="","",'WetLitterbags placem_collection'!Z222)</f>
        <v>12.2</v>
      </c>
      <c r="AF441" s="246" t="str">
        <f>IF('WetLitterbags placem_collection'!AA222="","",'WetLitterbags placem_collection'!AA222)</f>
        <v>O</v>
      </c>
      <c r="AG441">
        <f>IF('WetLitterbags placem_collection'!AC222="","",'WetLitterbags placem_collection'!AC222)</f>
        <v>1</v>
      </c>
      <c r="AH441" s="240">
        <f>AVERAGE('WetLitterbags placem_collection'!S222,'WetLitterbags placem_collection'!U222)</f>
        <v>20.85</v>
      </c>
      <c r="AI441">
        <f>AVERAGE('WetLitterbags placem_collection'!R222,'WetLitterbags placem_collection'!T222)</f>
        <v>27.950000000000003</v>
      </c>
      <c r="AJ441">
        <v>-2.4396949910000001</v>
      </c>
      <c r="AK441">
        <v>34.838574029999997</v>
      </c>
      <c r="AL441" t="str">
        <f>IF(ISNUMBER(SEARCH("C", 'WetLitterbags placem_collection'!W222)),"YES","NO")</f>
        <v>NO</v>
      </c>
      <c r="AM441" t="str">
        <f>IF(ISNUMBER(SEARCH("H", 'WetLitterbags placem_collection'!W222)),"YES","NO")</f>
        <v>YES</v>
      </c>
      <c r="AN441" t="str">
        <f>IF(ISNUMBER(SEARCH("R", 'WetLitterbags placem_collection'!W222)),"YES","NO")</f>
        <v>NO</v>
      </c>
    </row>
    <row r="442" spans="1:40" ht="15" customHeight="1">
      <c r="A442" s="258" t="s">
        <v>2460</v>
      </c>
      <c r="B442" s="263">
        <f>'Dry_Litterbag Placem_Collection'!A3</f>
        <v>1</v>
      </c>
      <c r="C442" s="263" t="str">
        <f>'Dry_Litterbag Placem_Collection'!B3</f>
        <v>Makao</v>
      </c>
      <c r="D442" s="263" t="s">
        <v>2659</v>
      </c>
      <c r="E442" s="263" t="s">
        <v>2660</v>
      </c>
      <c r="F442" s="263">
        <v>1</v>
      </c>
      <c r="G442" s="264" t="str">
        <f>'Dry_Litterbag Placem_Collection'!C3</f>
        <v>Dry_Ag1_T1</v>
      </c>
      <c r="H442" s="273" t="s">
        <v>3651</v>
      </c>
      <c r="I442" s="266" t="s">
        <v>1147</v>
      </c>
      <c r="J442" s="223" t="str">
        <f>'WetLitterbags placem_collection'!O3</f>
        <v>G752</v>
      </c>
      <c r="K442" s="225">
        <f>IFERROR(INDEX('Green_rooibos initial weight'!$C$5:$C$1749,MATCH(J442, 'Green_rooibos initial weight'!$A$5:$A$1749,0)),"")</f>
        <v>2.15</v>
      </c>
      <c r="L442" s="225">
        <f>IFERROR(K442-(TBIcalc!$H$9+TBIcalc!$H$10),"")</f>
        <v>1.9001999999999999</v>
      </c>
      <c r="M442" s="391">
        <f>AVERAGE(Ashed_controlls!$K$2:$K$11)</f>
        <v>5.5147656768714146</v>
      </c>
      <c r="N442" s="225">
        <f t="shared" si="32"/>
        <v>1.7954084226080893</v>
      </c>
      <c r="O442" s="225">
        <f>IF(IFERROR(INDEX('Both teabags AfterWet'!$C$3:$C$841,MATCH(J442,'Both teabags AfterWet'!$A$3:$A$841,0)),"")="","",(IFERROR(INDEX('Both teabags AfterWet'!$C$3:$C$841,MATCH(J442,'Both teabags AfterWet'!$A$3:$A$841,0)),"")))</f>
        <v>0.47</v>
      </c>
      <c r="P442" s="225">
        <f>IFERROR(IF(O442&gt;0,O442-(TBIcalc!$H$9),""),"")</f>
        <v>0.31939999999999996</v>
      </c>
      <c r="Q442" s="225">
        <f>IFERROR(INDEX('Ashed teabags wet'!$K$2:$K$821,MATCH(J442,'Ashed teabags wet'!$A$2:$A$821,0)),"")</f>
        <v>15.221674876847116</v>
      </c>
      <c r="R442" s="225">
        <f t="shared" si="36"/>
        <v>0.27078197044335028</v>
      </c>
      <c r="S442" s="226">
        <f>'WetLitterbags placem_collection'!E3</f>
        <v>42766</v>
      </c>
      <c r="T442" s="226">
        <f>IF('WetLitterbags placem_collection'!G3="","",'WetLitterbags placem_collection'!G3)</f>
        <v>42818</v>
      </c>
      <c r="U442" s="227">
        <f>IFERROR(T442-S442,"")</f>
        <v>52</v>
      </c>
      <c r="V442" s="225">
        <f t="shared" si="34"/>
        <v>1.5808</v>
      </c>
      <c r="W442" s="225">
        <f t="shared" si="35"/>
        <v>1.524626452164739</v>
      </c>
      <c r="X442">
        <f>IFERROR(INDEX(Rainfall_Wet!$O$2:$O$217,MATCH(B442, Rainfall_Wet!$A$2:$A$217,0)),"")</f>
        <v>194.43839254400001</v>
      </c>
      <c r="Y442" s="231">
        <v>12.565665055683967</v>
      </c>
      <c r="Z442" s="231">
        <v>0.9665896196679955</v>
      </c>
      <c r="AA442" s="231">
        <v>86.467745324648035</v>
      </c>
      <c r="AB442" s="232" t="s">
        <v>2672</v>
      </c>
      <c r="AC442" s="231">
        <v>1.0225726959093147</v>
      </c>
      <c r="AD442">
        <f>IF('WetLitterbags placem_collection'!AB3="","",'WetLitterbags placem_collection'!AB3)</f>
        <v>26.4</v>
      </c>
      <c r="AE442">
        <f>IF('WetLitterbags placem_collection'!Z3="","",'WetLitterbags placem_collection'!Z3)</f>
        <v>41</v>
      </c>
      <c r="AF442" s="246" t="str">
        <f>IF('WetLitterbags placem_collection'!AA3="","",'WetLitterbags placem_collection'!AA3)</f>
        <v>M</v>
      </c>
      <c r="AG442">
        <f>IF('WetLitterbags placem_collection'!AC3="","",'WetLitterbags placem_collection'!AC3)</f>
        <v>1</v>
      </c>
      <c r="AH442" s="240">
        <f>AVERAGE('WetLitterbags placem_collection'!S3,'WetLitterbags placem_collection'!U3)</f>
        <v>14.75</v>
      </c>
      <c r="AI442">
        <f>AVERAGE('WetLitterbags placem_collection'!R3,'WetLitterbags placem_collection'!T3)</f>
        <v>24.7</v>
      </c>
      <c r="AJ442">
        <f>INDEX(Coordinates!$B$2:$B$197,MATCH(G442,Coordinates!$J$2:$J$197,0))</f>
        <v>-3.3978609999999998</v>
      </c>
      <c r="AK442">
        <f>INDEX(Coordinates!$C$2:$C$197,MATCH(G442,Coordinates!$J$2:$J$197,0))</f>
        <v>34.837608000000003</v>
      </c>
      <c r="AL442" t="str">
        <f>IF(ISNUMBER(SEARCH("C", 'WetLitterbags placem_collection'!X3)),"YES","NO")</f>
        <v>NO</v>
      </c>
      <c r="AM442" t="str">
        <f>IF(ISNUMBER(SEARCH("H", 'WetLitterbags placem_collection'!X3)),"YES","NO")</f>
        <v>NO</v>
      </c>
      <c r="AN442" t="str">
        <f>IF(ISNUMBER(SEARCH("R", 'WetLitterbags placem_collection'!X3)),"YES","NO")</f>
        <v>NO</v>
      </c>
    </row>
    <row r="443" spans="1:40" ht="15" customHeight="1">
      <c r="A443" s="258" t="s">
        <v>2460</v>
      </c>
      <c r="B443" s="263">
        <f>'Dry_Litterbag Placem_Collection'!A4</f>
        <v>2</v>
      </c>
      <c r="C443" s="263" t="str">
        <f>'Dry_Litterbag Placem_Collection'!B4</f>
        <v>Makao</v>
      </c>
      <c r="D443" s="263" t="s">
        <v>2659</v>
      </c>
      <c r="E443" s="263" t="s">
        <v>2660</v>
      </c>
      <c r="F443" s="263">
        <v>1</v>
      </c>
      <c r="G443" s="264" t="str">
        <f>'Dry_Litterbag Placem_Collection'!C4</f>
        <v>Dry_Ag1_T2</v>
      </c>
      <c r="H443" s="273" t="s">
        <v>3651</v>
      </c>
      <c r="I443" s="266" t="s">
        <v>1147</v>
      </c>
      <c r="J443" s="223" t="str">
        <f>'WetLitterbags placem_collection'!O4</f>
        <v>G737</v>
      </c>
      <c r="K443" s="225">
        <f>IFERROR(INDEX('Green_rooibos initial weight'!$C$5:$C$1749,MATCH(J443, 'Green_rooibos initial weight'!$A$5:$A$1749,0)),"")</f>
        <v>1.841</v>
      </c>
      <c r="L443" s="225">
        <f>IFERROR(K443-(TBIcalc!$H$9+TBIcalc!$H$10),"")</f>
        <v>1.5911999999999999</v>
      </c>
      <c r="M443" s="391">
        <f>AVERAGE(Ashed_controlls!$K$2:$K$11)</f>
        <v>5.5147656768714146</v>
      </c>
      <c r="N443" s="225">
        <f t="shared" si="32"/>
        <v>1.5034490485496219</v>
      </c>
      <c r="O443" s="225">
        <f>IF(IFERROR(INDEX('Both teabags AfterWet'!$C$3:$C$841,MATCH(J443,'Both teabags AfterWet'!$A$3:$A$841,0)),"")="","",(IFERROR(INDEX('Both teabags AfterWet'!$C$3:$C$841,MATCH(J443,'Both teabags AfterWet'!$A$3:$A$841,0)),"")))</f>
        <v>0.57869999999999999</v>
      </c>
      <c r="P443" s="225">
        <f>IFERROR(IF(O443&gt;0,O443-(TBIcalc!$H$9),""),"")</f>
        <v>0.42809999999999998</v>
      </c>
      <c r="Q443" s="225">
        <f>IFERROR(INDEX('Ashed teabags wet'!$K$2:$K$821,MATCH(J443,'Ashed teabags wet'!$A$2:$A$821,0)),"")</f>
        <v>8.1337325349297291</v>
      </c>
      <c r="R443" s="225">
        <f t="shared" si="36"/>
        <v>0.39327949101796583</v>
      </c>
      <c r="S443" s="226">
        <f>'WetLitterbags placem_collection'!E4</f>
        <v>42766</v>
      </c>
      <c r="T443" s="226">
        <f>IF('WetLitterbags placem_collection'!G4="","",'WetLitterbags placem_collection'!G4)</f>
        <v>42818</v>
      </c>
      <c r="U443" s="227">
        <f t="shared" ref="U443:U449" si="37">IFERROR(T443-S443,"")</f>
        <v>52</v>
      </c>
      <c r="V443" s="225">
        <f t="shared" si="34"/>
        <v>1.1631</v>
      </c>
      <c r="W443" s="225">
        <f t="shared" si="35"/>
        <v>1.1101695575316561</v>
      </c>
      <c r="X443">
        <f>IFERROR(INDEX(Rainfall_Wet!$O$2:$O$217,MATCH(B443, Rainfall_Wet!$A$2:$A$217,0)),"")</f>
        <v>194.43839254400001</v>
      </c>
      <c r="Y443" s="231">
        <v>12.565665055683967</v>
      </c>
      <c r="Z443" s="231">
        <v>0.9665896196679955</v>
      </c>
      <c r="AA443" s="231">
        <v>86.467745324648035</v>
      </c>
      <c r="AB443" s="232" t="s">
        <v>2672</v>
      </c>
      <c r="AC443" s="231">
        <v>2.02257269590931</v>
      </c>
      <c r="AD443">
        <f>IF('WetLitterbags placem_collection'!AB4="","",'WetLitterbags placem_collection'!AB4)</f>
        <v>22.4</v>
      </c>
      <c r="AE443">
        <f>IF('WetLitterbags placem_collection'!Z4="","",'WetLitterbags placem_collection'!Z4)</f>
        <v>39.799999999999997</v>
      </c>
      <c r="AF443" s="246" t="str">
        <f>IF('WetLitterbags placem_collection'!AA4="","",'WetLitterbags placem_collection'!AA4)</f>
        <v>M</v>
      </c>
      <c r="AG443">
        <f>IF('WetLitterbags placem_collection'!AC4="","",'WetLitterbags placem_collection'!AC4)</f>
        <v>1</v>
      </c>
      <c r="AH443" s="240">
        <f>AVERAGE('WetLitterbags placem_collection'!S4,'WetLitterbags placem_collection'!U4)</f>
        <v>13.1</v>
      </c>
      <c r="AI443">
        <f>AVERAGE('WetLitterbags placem_collection'!R4,'WetLitterbags placem_collection'!T4)</f>
        <v>24.9</v>
      </c>
      <c r="AJ443">
        <f>INDEX(Coordinates!$B$2:$B$197,MATCH(G443,Coordinates!$J$2:$J$197,0))</f>
        <v>-3.397879042</v>
      </c>
      <c r="AK443">
        <f>INDEX(Coordinates!$C$2:$C$197,MATCH(G443,Coordinates!$J$2:$J$197,0))</f>
        <v>34.837536010000001</v>
      </c>
      <c r="AL443" t="str">
        <f>IF(ISNUMBER(SEARCH("C", 'WetLitterbags placem_collection'!X4)),"YES","NO")</f>
        <v>NO</v>
      </c>
      <c r="AM443" t="str">
        <f>IF(ISNUMBER(SEARCH("H", 'WetLitterbags placem_collection'!X4)),"YES","NO")</f>
        <v>NO</v>
      </c>
      <c r="AN443" t="str">
        <f>IF(ISNUMBER(SEARCH("R", 'WetLitterbags placem_collection'!X4)),"YES","NO")</f>
        <v>NO</v>
      </c>
    </row>
    <row r="444" spans="1:40" ht="15" customHeight="1">
      <c r="A444" s="258" t="s">
        <v>2460</v>
      </c>
      <c r="B444" s="263">
        <f>'Dry_Litterbag Placem_Collection'!A5</f>
        <v>3</v>
      </c>
      <c r="C444" s="263" t="str">
        <f>'Dry_Litterbag Placem_Collection'!B5</f>
        <v>Makao</v>
      </c>
      <c r="D444" s="263" t="s">
        <v>2659</v>
      </c>
      <c r="E444" s="263" t="s">
        <v>2660</v>
      </c>
      <c r="F444" s="263">
        <v>1</v>
      </c>
      <c r="G444" s="264" t="str">
        <f>'Dry_Litterbag Placem_Collection'!C5</f>
        <v>Dry_Ag1_T3</v>
      </c>
      <c r="H444" s="273" t="s">
        <v>3651</v>
      </c>
      <c r="I444" s="266" t="s">
        <v>1147</v>
      </c>
      <c r="J444" s="223" t="str">
        <f>'WetLitterbags placem_collection'!O5</f>
        <v>G661</v>
      </c>
      <c r="K444" s="225">
        <f>IFERROR(INDEX('Green_rooibos initial weight'!$C$5:$C$1749,MATCH(J444, 'Green_rooibos initial weight'!$A$5:$A$1749,0)),"")</f>
        <v>2.0630000000000002</v>
      </c>
      <c r="L444" s="225">
        <f>IFERROR(K444-(TBIcalc!$H$9+TBIcalc!$H$10),"")</f>
        <v>1.8132000000000001</v>
      </c>
      <c r="M444" s="391">
        <f>AVERAGE(Ashed_controlls!$K$2:$K$11)</f>
        <v>5.5147656768714146</v>
      </c>
      <c r="N444" s="225">
        <f t="shared" si="32"/>
        <v>1.7132062687469676</v>
      </c>
      <c r="O444" s="225" t="str">
        <f>IF(IFERROR(INDEX('Both teabags AfterWet'!$C$3:$C$841,MATCH(J444,'Both teabags AfterWet'!$A$3:$A$841,0)),"")="","",(IFERROR(INDEX('Both teabags AfterWet'!$C$3:$C$841,MATCH(J444,'Both teabags AfterWet'!$A$3:$A$841,0)),"")))</f>
        <v/>
      </c>
      <c r="P444" s="225" t="str">
        <f>IFERROR(IF(O444&gt;0,O444-(TBIcalc!$H$9),""),"")</f>
        <v/>
      </c>
      <c r="Q444" s="225" t="str">
        <f>IFERROR(INDEX('Ashed teabags wet'!$K$2:$K$821,MATCH(J444,'Ashed teabags wet'!$A$2:$A$821,0)),"")</f>
        <v/>
      </c>
      <c r="R444" s="225" t="str">
        <f t="shared" si="36"/>
        <v/>
      </c>
      <c r="S444" s="226">
        <f>'WetLitterbags placem_collection'!E5</f>
        <v>42766</v>
      </c>
      <c r="T444" s="226" t="str">
        <f>IF('WetLitterbags placem_collection'!G5="","",'WetLitterbags placem_collection'!G5)</f>
        <v/>
      </c>
      <c r="U444" s="227" t="str">
        <f t="shared" si="37"/>
        <v/>
      </c>
      <c r="V444" s="225" t="str">
        <f t="shared" si="34"/>
        <v/>
      </c>
      <c r="W444" s="225" t="str">
        <f t="shared" si="35"/>
        <v/>
      </c>
      <c r="X444" t="str">
        <f>IFERROR(INDEX(Rainfall_Wet!$O$2:$O$217,MATCH(B444, Rainfall_Wet!$A$2:$A$217,0)),"")</f>
        <v/>
      </c>
      <c r="Y444" s="231">
        <v>12.565665055683967</v>
      </c>
      <c r="Z444" s="231">
        <v>0.9665896196679955</v>
      </c>
      <c r="AA444" s="231">
        <v>86.467745324648035</v>
      </c>
      <c r="AB444" s="232" t="s">
        <v>2672</v>
      </c>
      <c r="AC444" s="231">
        <v>3.02257269590931</v>
      </c>
      <c r="AD444" t="str">
        <f>IF('WetLitterbags placem_collection'!AB5="","",'WetLitterbags placem_collection'!AB5)</f>
        <v/>
      </c>
      <c r="AE444" t="str">
        <f>IF('WetLitterbags placem_collection'!Z5="","",'WetLitterbags placem_collection'!Z5)</f>
        <v/>
      </c>
      <c r="AF444" s="246" t="str">
        <f>IF('WetLitterbags placem_collection'!AA5="","",'WetLitterbags placem_collection'!AA5)</f>
        <v/>
      </c>
      <c r="AG444" t="str">
        <f>IF('WetLitterbags placem_collection'!AC5="","",'WetLitterbags placem_collection'!AC5)</f>
        <v/>
      </c>
      <c r="AH444" s="240">
        <f>AVERAGE('WetLitterbags placem_collection'!S5,'WetLitterbags placem_collection'!U5)</f>
        <v>14.649999999999999</v>
      </c>
      <c r="AI444">
        <f>AVERAGE('WetLitterbags placem_collection'!R5,'WetLitterbags placem_collection'!T5)</f>
        <v>24.7</v>
      </c>
      <c r="AJ444">
        <f>INDEX(Coordinates!$B$2:$B$197,MATCH(G444,Coordinates!$J$2:$J$197,0))</f>
        <v>-3.3978739999999998</v>
      </c>
      <c r="AK444">
        <f>INDEX(Coordinates!$C$2:$C$197,MATCH(G444,Coordinates!$J$2:$J$197,0))</f>
        <v>34.837578999999998</v>
      </c>
      <c r="AL444" t="str">
        <f>IF(ISNUMBER(SEARCH("C", 'WetLitterbags placem_collection'!X5)),"YES","NO")</f>
        <v>NO</v>
      </c>
      <c r="AM444" t="str">
        <f>IF(ISNUMBER(SEARCH("H", 'WetLitterbags placem_collection'!X5)),"YES","NO")</f>
        <v>NO</v>
      </c>
      <c r="AN444" t="str">
        <f>IF(ISNUMBER(SEARCH("R", 'WetLitterbags placem_collection'!X5)),"YES","NO")</f>
        <v>NO</v>
      </c>
    </row>
    <row r="445" spans="1:40" ht="15" customHeight="1">
      <c r="A445" s="258" t="s">
        <v>2460</v>
      </c>
      <c r="B445" s="263">
        <f>'Dry_Litterbag Placem_Collection'!A6</f>
        <v>4</v>
      </c>
      <c r="C445" s="263" t="str">
        <f>'Dry_Litterbag Placem_Collection'!B6</f>
        <v>Makao</v>
      </c>
      <c r="D445" s="263" t="s">
        <v>2659</v>
      </c>
      <c r="E445" s="263" t="s">
        <v>2660</v>
      </c>
      <c r="F445" s="263">
        <v>1</v>
      </c>
      <c r="G445" s="264" t="str">
        <f>'Dry_Litterbag Placem_Collection'!C6</f>
        <v>Dry_Ag1_T4</v>
      </c>
      <c r="H445" s="273" t="s">
        <v>3651</v>
      </c>
      <c r="I445" s="266" t="s">
        <v>1147</v>
      </c>
      <c r="J445" s="223" t="str">
        <f>'WetLitterbags placem_collection'!O6</f>
        <v>G532</v>
      </c>
      <c r="K445" s="225">
        <f>IFERROR(INDEX('Green_rooibos initial weight'!$C$5:$C$1749,MATCH(J445, 'Green_rooibos initial weight'!$A$5:$A$1749,0)),"")</f>
        <v>2.036</v>
      </c>
      <c r="L445" s="225">
        <f>IFERROR(K445-(TBIcalc!$H$9+TBIcalc!$H$10),"")</f>
        <v>1.7862</v>
      </c>
      <c r="M445" s="391">
        <f>AVERAGE(Ashed_controlls!$K$2:$K$11)</f>
        <v>5.5147656768714146</v>
      </c>
      <c r="N445" s="225">
        <f t="shared" si="32"/>
        <v>1.6876952554797229</v>
      </c>
      <c r="O445" s="225">
        <f>IF(IFERROR(INDEX('Both teabags AfterWet'!$C$3:$C$841,MATCH(J445,'Both teabags AfterWet'!$A$3:$A$841,0)),"")="","",(IFERROR(INDEX('Both teabags AfterWet'!$C$3:$C$841,MATCH(J445,'Both teabags AfterWet'!$A$3:$A$841,0)),"")))</f>
        <v>0.55969999999999998</v>
      </c>
      <c r="P445" s="225">
        <f>IFERROR(IF(O445&gt;0,O445-(TBIcalc!$H$9),""),"")</f>
        <v>0.40909999999999996</v>
      </c>
      <c r="Q445" s="225">
        <f>IFERROR(INDEX('Ashed teabags wet'!$K$2:$K$821,MATCH(J445,'Ashed teabags wet'!$A$2:$A$821,0)),"")</f>
        <v>9.5283926852740137</v>
      </c>
      <c r="R445" s="225">
        <f t="shared" si="36"/>
        <v>0.37011934552454395</v>
      </c>
      <c r="S445" s="226">
        <f>'WetLitterbags placem_collection'!E6</f>
        <v>42766</v>
      </c>
      <c r="T445" s="226">
        <f>IF('WetLitterbags placem_collection'!G6="","",'WetLitterbags placem_collection'!G6)</f>
        <v>42818</v>
      </c>
      <c r="U445" s="227">
        <f t="shared" si="37"/>
        <v>52</v>
      </c>
      <c r="V445" s="225">
        <f t="shared" si="34"/>
        <v>1.3771</v>
      </c>
      <c r="W445" s="225">
        <f t="shared" si="35"/>
        <v>1.3175759099551789</v>
      </c>
      <c r="X445">
        <f>IFERROR(INDEX(Rainfall_Wet!$O$2:$O$217,MATCH(B445, Rainfall_Wet!$A$2:$A$217,0)),"")</f>
        <v>194.43839254400001</v>
      </c>
      <c r="Y445" s="231">
        <v>12.565665055683967</v>
      </c>
      <c r="Z445" s="231">
        <v>0.9665896196679955</v>
      </c>
      <c r="AA445" s="231">
        <v>86.467745324648035</v>
      </c>
      <c r="AB445" s="232" t="s">
        <v>2672</v>
      </c>
      <c r="AC445" s="231">
        <v>4.02257269590931</v>
      </c>
      <c r="AD445" t="str">
        <f>IF('WetLitterbags placem_collection'!AB6="","",'WetLitterbags placem_collection'!AB6)</f>
        <v/>
      </c>
      <c r="AE445" t="str">
        <f>IF('WetLitterbags placem_collection'!Z6="","",'WetLitterbags placem_collection'!Z6)</f>
        <v/>
      </c>
      <c r="AF445" s="246" t="str">
        <f>IF('WetLitterbags placem_collection'!AA6="","",'WetLitterbags placem_collection'!AA6)</f>
        <v/>
      </c>
      <c r="AG445" t="str">
        <f>IF('WetLitterbags placem_collection'!AC6="","",'WetLitterbags placem_collection'!AC6)</f>
        <v/>
      </c>
      <c r="AH445" s="240">
        <f>AVERAGE('WetLitterbags placem_collection'!S6,'WetLitterbags placem_collection'!U6)</f>
        <v>17.399999999999999</v>
      </c>
      <c r="AI445">
        <f>AVERAGE('WetLitterbags placem_collection'!R6,'WetLitterbags placem_collection'!T6)</f>
        <v>25.549999999999997</v>
      </c>
      <c r="AJ445">
        <f>INDEX(Coordinates!$B$2:$B$197,MATCH(G445,Coordinates!$J$2:$J$197,0))</f>
        <v>-3.3977780399999999</v>
      </c>
      <c r="AK445">
        <f>INDEX(Coordinates!$C$2:$C$197,MATCH(G445,Coordinates!$J$2:$J$197,0))</f>
        <v>34.83751204</v>
      </c>
      <c r="AL445" t="str">
        <f>IF(ISNUMBER(SEARCH("C", 'WetLitterbags placem_collection'!X6)),"YES","NO")</f>
        <v>NO</v>
      </c>
      <c r="AM445" t="str">
        <f>IF(ISNUMBER(SEARCH("H", 'WetLitterbags placem_collection'!X6)),"YES","NO")</f>
        <v>NO</v>
      </c>
      <c r="AN445" t="str">
        <f>IF(ISNUMBER(SEARCH("R", 'WetLitterbags placem_collection'!X6)),"YES","NO")</f>
        <v>NO</v>
      </c>
    </row>
    <row r="446" spans="1:40" ht="15" customHeight="1">
      <c r="A446" s="258" t="s">
        <v>2460</v>
      </c>
      <c r="B446" s="263">
        <f>'Dry_Litterbag Placem_Collection'!A7</f>
        <v>5</v>
      </c>
      <c r="C446" s="263" t="str">
        <f>'Dry_Litterbag Placem_Collection'!B7</f>
        <v>Makao</v>
      </c>
      <c r="D446" s="263" t="s">
        <v>2659</v>
      </c>
      <c r="E446" s="263" t="s">
        <v>2660</v>
      </c>
      <c r="F446" s="263">
        <v>1</v>
      </c>
      <c r="G446" s="264" t="str">
        <f>'Dry_Litterbag Placem_Collection'!C7</f>
        <v>Dry_Ag1_T5</v>
      </c>
      <c r="H446" s="273" t="s">
        <v>3651</v>
      </c>
      <c r="I446" s="266" t="s">
        <v>1147</v>
      </c>
      <c r="J446" s="223" t="str">
        <f>'WetLitterbags placem_collection'!O7</f>
        <v>G577</v>
      </c>
      <c r="K446" s="225">
        <f>IFERROR(INDEX('Green_rooibos initial weight'!$C$5:$C$1749,MATCH(J446, 'Green_rooibos initial weight'!$A$5:$A$1749,0)),"")</f>
        <v>1.9830000000000001</v>
      </c>
      <c r="L446" s="225">
        <f>IFERROR(K446-(TBIcalc!$H$9+TBIcalc!$H$10),"")</f>
        <v>1.7332000000000001</v>
      </c>
      <c r="M446" s="391">
        <f>AVERAGE(Ashed_controlls!$K$2:$K$11)</f>
        <v>5.5147656768714146</v>
      </c>
      <c r="N446" s="225">
        <f t="shared" si="32"/>
        <v>1.6376180812884646</v>
      </c>
      <c r="O446" s="225">
        <f>IF(IFERROR(INDEX('Both teabags AfterWet'!$C$3:$C$841,MATCH(J446,'Both teabags AfterWet'!$A$3:$A$841,0)),"")="","",(IFERROR(INDEX('Both teabags AfterWet'!$C$3:$C$841,MATCH(J446,'Both teabags AfterWet'!$A$3:$A$841,0)),"")))</f>
        <v>0.41870000000000002</v>
      </c>
      <c r="P446" s="225">
        <f>IFERROR(IF(O446&gt;0,O446-(TBIcalc!$H$9),""),"")</f>
        <v>0.2681</v>
      </c>
      <c r="Q446" s="225">
        <f>IFERROR(INDEX('Ashed teabags wet'!$K$2:$K$821,MATCH(J446,'Ashed teabags wet'!$A$2:$A$821,0)),"")</f>
        <v>14.349775784752945</v>
      </c>
      <c r="R446" s="225">
        <f t="shared" si="36"/>
        <v>0.22962825112107738</v>
      </c>
      <c r="S446" s="226">
        <f>'WetLitterbags placem_collection'!E7</f>
        <v>42766</v>
      </c>
      <c r="T446" s="226">
        <f>IF('WetLitterbags placem_collection'!G7="","",'WetLitterbags placem_collection'!G7)</f>
        <v>42818</v>
      </c>
      <c r="U446" s="227">
        <f t="shared" si="37"/>
        <v>52</v>
      </c>
      <c r="V446" s="225">
        <f t="shared" si="34"/>
        <v>1.4651000000000001</v>
      </c>
      <c r="W446" s="225">
        <f t="shared" si="35"/>
        <v>1.4079898301673872</v>
      </c>
      <c r="X446">
        <f>IFERROR(INDEX(Rainfall_Wet!$O$2:$O$217,MATCH(B446, Rainfall_Wet!$A$2:$A$217,0)),"")</f>
        <v>194.43839254400001</v>
      </c>
      <c r="Y446" s="231">
        <v>12.565665055683967</v>
      </c>
      <c r="Z446" s="231">
        <v>0.9665896196679955</v>
      </c>
      <c r="AA446" s="231">
        <v>86.467745324648035</v>
      </c>
      <c r="AB446" s="232" t="s">
        <v>2672</v>
      </c>
      <c r="AC446" s="231">
        <v>5.02257269590931</v>
      </c>
      <c r="AD446">
        <f>IF('WetLitterbags placem_collection'!AB7="","",'WetLitterbags placem_collection'!AB7)</f>
        <v>28.4</v>
      </c>
      <c r="AE446">
        <f>IF('WetLitterbags placem_collection'!Z7="","",'WetLitterbags placem_collection'!Z7)</f>
        <v>36.4</v>
      </c>
      <c r="AF446" s="246" t="str">
        <f>IF('WetLitterbags placem_collection'!AA7="","",'WetLitterbags placem_collection'!AA7)</f>
        <v>M</v>
      </c>
      <c r="AG446">
        <f>IF('WetLitterbags placem_collection'!AC7="","",'WetLitterbags placem_collection'!AC7)</f>
        <v>1</v>
      </c>
      <c r="AH446" s="240">
        <f>AVERAGE('WetLitterbags placem_collection'!S7,'WetLitterbags placem_collection'!U7)</f>
        <v>12.100000000000001</v>
      </c>
      <c r="AI446">
        <f>AVERAGE('WetLitterbags placem_collection'!R7,'WetLitterbags placem_collection'!T7)</f>
        <v>25.1</v>
      </c>
      <c r="AJ446">
        <f>INDEX(Coordinates!$B$2:$B$197,MATCH(G446,Coordinates!$J$2:$J$197,0))</f>
        <v>-3.3978020120000001</v>
      </c>
      <c r="AK446">
        <f>INDEX(Coordinates!$C$2:$C$197,MATCH(G446,Coordinates!$J$2:$J$197,0))</f>
        <v>34.83751204</v>
      </c>
      <c r="AL446" t="str">
        <f>IF(ISNUMBER(SEARCH("C", 'WetLitterbags placem_collection'!X7)),"YES","NO")</f>
        <v>NO</v>
      </c>
      <c r="AM446" t="str">
        <f>IF(ISNUMBER(SEARCH("H", 'WetLitterbags placem_collection'!X7)),"YES","NO")</f>
        <v>NO</v>
      </c>
      <c r="AN446" t="str">
        <f>IF(ISNUMBER(SEARCH("R", 'WetLitterbags placem_collection'!X7)),"YES","NO")</f>
        <v>NO</v>
      </c>
    </row>
    <row r="447" spans="1:40" ht="15" customHeight="1">
      <c r="A447" s="258" t="s">
        <v>2460</v>
      </c>
      <c r="B447" s="263">
        <f>'Dry_Litterbag Placem_Collection'!A8</f>
        <v>6</v>
      </c>
      <c r="C447" s="263" t="str">
        <f>'Dry_Litterbag Placem_Collection'!B8</f>
        <v>Makao</v>
      </c>
      <c r="D447" s="263" t="s">
        <v>2659</v>
      </c>
      <c r="E447" s="263" t="s">
        <v>2660</v>
      </c>
      <c r="F447" s="263">
        <v>1</v>
      </c>
      <c r="G447" s="264" t="str">
        <f>'Dry_Litterbag Placem_Collection'!C8</f>
        <v>Dry_Ag1_T6</v>
      </c>
      <c r="H447" s="273" t="s">
        <v>3651</v>
      </c>
      <c r="I447" s="266" t="s">
        <v>1147</v>
      </c>
      <c r="J447" s="223" t="str">
        <f>'WetLitterbags placem_collection'!O8</f>
        <v>G634</v>
      </c>
      <c r="K447" s="225">
        <f>IFERROR(INDEX('Green_rooibos initial weight'!$C$5:$C$1749,MATCH(J447, 'Green_rooibos initial weight'!$A$5:$A$1749,0)),"")</f>
        <v>2.02</v>
      </c>
      <c r="L447" s="225">
        <f>IFERROR(K447-(TBIcalc!$H$9+TBIcalc!$H$10),"")</f>
        <v>1.7702</v>
      </c>
      <c r="M447" s="391">
        <f>AVERAGE(Ashed_controlls!$K$2:$K$11)</f>
        <v>5.5147656768714146</v>
      </c>
      <c r="N447" s="225">
        <f t="shared" si="32"/>
        <v>1.6725776179880223</v>
      </c>
      <c r="O447" s="225">
        <f>IF(IFERROR(INDEX('Both teabags AfterWet'!$C$3:$C$841,MATCH(J447,'Both teabags AfterWet'!$A$3:$A$841,0)),"")="","",(IFERROR(INDEX('Both teabags AfterWet'!$C$3:$C$841,MATCH(J447,'Both teabags AfterWet'!$A$3:$A$841,0)),"")))</f>
        <v>0.60129999999999995</v>
      </c>
      <c r="P447" s="225">
        <f>IFERROR(IF(O447&gt;0,O447-(TBIcalc!$H$9),""),"")</f>
        <v>0.45069999999999993</v>
      </c>
      <c r="Q447" s="225">
        <f>IFERROR(INDEX('Ashed teabags wet'!$K$2:$K$821,MATCH(J447,'Ashed teabags wet'!$A$2:$A$821,0)),"")</f>
        <v>9.6630327056488774</v>
      </c>
      <c r="R447" s="225">
        <f t="shared" si="36"/>
        <v>0.40714871159564048</v>
      </c>
      <c r="S447" s="226">
        <f>'WetLitterbags placem_collection'!E8</f>
        <v>42766</v>
      </c>
      <c r="T447" s="226">
        <f>IF('WetLitterbags placem_collection'!G8="","",'WetLitterbags placem_collection'!G8)</f>
        <v>42818</v>
      </c>
      <c r="U447" s="227">
        <f t="shared" si="37"/>
        <v>52</v>
      </c>
      <c r="V447" s="225">
        <f t="shared" si="34"/>
        <v>1.3195000000000001</v>
      </c>
      <c r="W447" s="225">
        <f t="shared" si="35"/>
        <v>1.2654289063923818</v>
      </c>
      <c r="X447">
        <f>IFERROR(INDEX(Rainfall_Wet!$O$2:$O$217,MATCH(B447, Rainfall_Wet!$A$2:$A$217,0)),"")</f>
        <v>194.43839254400001</v>
      </c>
      <c r="Y447" s="231">
        <v>12.565665055683967</v>
      </c>
      <c r="Z447" s="231">
        <v>0.9665896196679955</v>
      </c>
      <c r="AA447" s="231">
        <v>86.467745324648035</v>
      </c>
      <c r="AB447" s="232" t="s">
        <v>2672</v>
      </c>
      <c r="AC447" s="231">
        <v>6.02257269590931</v>
      </c>
      <c r="AD447">
        <f>IF('WetLitterbags placem_collection'!AB8="","",'WetLitterbags placem_collection'!AB8)</f>
        <v>32.4</v>
      </c>
      <c r="AE447">
        <f>IF('WetLitterbags placem_collection'!Z8="","",'WetLitterbags placem_collection'!Z8)</f>
        <v>31</v>
      </c>
      <c r="AF447" s="246" t="str">
        <f>IF('WetLitterbags placem_collection'!AA8="","",'WetLitterbags placem_collection'!AA8)</f>
        <v>M</v>
      </c>
      <c r="AG447">
        <f>IF('WetLitterbags placem_collection'!AC8="","",'WetLitterbags placem_collection'!AC8)</f>
        <v>1</v>
      </c>
      <c r="AH447" s="240">
        <f>AVERAGE('WetLitterbags placem_collection'!S8,'WetLitterbags placem_collection'!U8)</f>
        <v>13.45</v>
      </c>
      <c r="AI447">
        <f>AVERAGE('WetLitterbags placem_collection'!R8,'WetLitterbags placem_collection'!T8)</f>
        <v>25.1</v>
      </c>
      <c r="AJ447">
        <f>INDEX(Coordinates!$B$2:$B$197,MATCH(G447,Coordinates!$J$2:$J$197,0))</f>
        <v>-3.3977389800000002</v>
      </c>
      <c r="AK447">
        <f>INDEX(Coordinates!$C$2:$C$197,MATCH(G447,Coordinates!$J$2:$J$197,0))</f>
        <v>34.837501979999999</v>
      </c>
      <c r="AL447" t="str">
        <f>IF(ISNUMBER(SEARCH("C", 'WetLitterbags placem_collection'!X8)),"YES","NO")</f>
        <v>NO</v>
      </c>
      <c r="AM447" t="str">
        <f>IF(ISNUMBER(SEARCH("H", 'WetLitterbags placem_collection'!X8)),"YES","NO")</f>
        <v>NO</v>
      </c>
      <c r="AN447" t="str">
        <f>IF(ISNUMBER(SEARCH("R", 'WetLitterbags placem_collection'!X8)),"YES","NO")</f>
        <v>YES</v>
      </c>
    </row>
    <row r="448" spans="1:40" ht="15" customHeight="1">
      <c r="A448" s="258" t="s">
        <v>2460</v>
      </c>
      <c r="B448" s="263">
        <f>'Dry_Litterbag Placem_Collection'!A9</f>
        <v>7</v>
      </c>
      <c r="C448" s="263" t="str">
        <f>'Dry_Litterbag Placem_Collection'!B9</f>
        <v>Makao</v>
      </c>
      <c r="D448" s="263" t="s">
        <v>2659</v>
      </c>
      <c r="E448" s="263" t="s">
        <v>2660</v>
      </c>
      <c r="F448" s="263">
        <v>1</v>
      </c>
      <c r="G448" s="264" t="str">
        <f>'Dry_Litterbag Placem_Collection'!C9</f>
        <v>Dry_Ag1_T7</v>
      </c>
      <c r="H448" s="273" t="s">
        <v>3651</v>
      </c>
      <c r="I448" s="266" t="s">
        <v>1147</v>
      </c>
      <c r="J448" s="223" t="str">
        <f>'WetLitterbags placem_collection'!O9</f>
        <v>G665</v>
      </c>
      <c r="K448" s="225">
        <f>IFERROR(INDEX('Green_rooibos initial weight'!$C$5:$C$1749,MATCH(J448, 'Green_rooibos initial weight'!$A$5:$A$1749,0)),"")</f>
        <v>2.09</v>
      </c>
      <c r="L448" s="225">
        <f>IFERROR(K448-(TBIcalc!$H$9+TBIcalc!$H$10),"")</f>
        <v>1.8401999999999998</v>
      </c>
      <c r="M448" s="391">
        <f>AVERAGE(Ashed_controlls!$K$2:$K$11)</f>
        <v>5.5147656768714146</v>
      </c>
      <c r="N448" s="225">
        <f t="shared" si="32"/>
        <v>1.7387172820142121</v>
      </c>
      <c r="O448" s="225">
        <f>IF(IFERROR(INDEX('Both teabags AfterWet'!$C$3:$C$841,MATCH(J448,'Both teabags AfterWet'!$A$3:$A$841,0)),"")="","",(IFERROR(INDEX('Both teabags AfterWet'!$C$3:$C$841,MATCH(J448,'Both teabags AfterWet'!$A$3:$A$841,0)),"")))</f>
        <v>0.56399999999999995</v>
      </c>
      <c r="P448" s="225">
        <f>IFERROR(IF(O448&gt;0,O448-(TBIcalc!$H$9),""),"")</f>
        <v>0.41339999999999993</v>
      </c>
      <c r="Q448" s="225">
        <f>IFERROR(INDEX('Ashed teabags wet'!$K$2:$K$821,MATCH(J448,'Ashed teabags wet'!$A$2:$A$821,0)),"")</f>
        <v>10.694923607688283</v>
      </c>
      <c r="R448" s="225">
        <f t="shared" si="36"/>
        <v>0.36918718580581655</v>
      </c>
      <c r="S448" s="226">
        <f>'WetLitterbags placem_collection'!E9</f>
        <v>42766</v>
      </c>
      <c r="T448" s="226">
        <f>IF('WetLitterbags placem_collection'!G9="","",'WetLitterbags placem_collection'!G9)</f>
        <v>42818</v>
      </c>
      <c r="U448" s="227">
        <f t="shared" si="37"/>
        <v>52</v>
      </c>
      <c r="V448" s="225">
        <f t="shared" si="34"/>
        <v>1.4267999999999998</v>
      </c>
      <c r="W448" s="225">
        <f t="shared" si="35"/>
        <v>1.3695300962083956</v>
      </c>
      <c r="X448">
        <f>IFERROR(INDEX(Rainfall_Wet!$O$2:$O$217,MATCH(B448, Rainfall_Wet!$A$2:$A$217,0)),"")</f>
        <v>194.43839254400001</v>
      </c>
      <c r="Y448" s="231">
        <v>12.565665055683967</v>
      </c>
      <c r="Z448" s="231">
        <v>0.9665896196679955</v>
      </c>
      <c r="AA448" s="231">
        <v>86.467745324648035</v>
      </c>
      <c r="AB448" s="232" t="s">
        <v>2672</v>
      </c>
      <c r="AC448" s="231">
        <v>7.02257269590931</v>
      </c>
      <c r="AD448">
        <f>IF('WetLitterbags placem_collection'!AB9="","",'WetLitterbags placem_collection'!AB9)</f>
        <v>36</v>
      </c>
      <c r="AE448">
        <f>IF('WetLitterbags placem_collection'!Z9="","",'WetLitterbags placem_collection'!Z9)</f>
        <v>43.4</v>
      </c>
      <c r="AF448" s="246" t="str">
        <f>IF('WetLitterbags placem_collection'!AA9="","",'WetLitterbags placem_collection'!AA9)</f>
        <v>M</v>
      </c>
      <c r="AG448">
        <f>IF('WetLitterbags placem_collection'!AC9="","",'WetLitterbags placem_collection'!AC9)</f>
        <v>1</v>
      </c>
      <c r="AH448" s="240">
        <f>AVERAGE('WetLitterbags placem_collection'!S9,'WetLitterbags placem_collection'!U9)</f>
        <v>9.8500000000000014</v>
      </c>
      <c r="AI448">
        <f>AVERAGE('WetLitterbags placem_collection'!R9,'WetLitterbags placem_collection'!T9)</f>
        <v>26.2</v>
      </c>
      <c r="AJ448">
        <f>INDEX(Coordinates!$B$2:$B$197,MATCH(G448,Coordinates!$J$2:$J$197,0))</f>
        <v>-3.3977630360000002</v>
      </c>
      <c r="AK448">
        <f>INDEX(Coordinates!$C$2:$C$197,MATCH(G448,Coordinates!$J$2:$J$197,0))</f>
        <v>34.837600969999997</v>
      </c>
      <c r="AL448" t="str">
        <f>IF(ISNUMBER(SEARCH("C", 'WetLitterbags placem_collection'!X9)),"YES","NO")</f>
        <v>NO</v>
      </c>
      <c r="AM448" t="str">
        <f>IF(ISNUMBER(SEARCH("H", 'WetLitterbags placem_collection'!X9)),"YES","NO")</f>
        <v>NO</v>
      </c>
      <c r="AN448" t="str">
        <f>IF(ISNUMBER(SEARCH("R", 'WetLitterbags placem_collection'!X9)),"YES","NO")</f>
        <v>YES</v>
      </c>
    </row>
    <row r="449" spans="1:40" ht="15" customHeight="1">
      <c r="A449" s="258" t="s">
        <v>2460</v>
      </c>
      <c r="B449" s="263">
        <f>'Dry_Litterbag Placem_Collection'!A10</f>
        <v>8</v>
      </c>
      <c r="C449" s="263" t="str">
        <f>'Dry_Litterbag Placem_Collection'!B10</f>
        <v>Makao</v>
      </c>
      <c r="D449" s="263" t="s">
        <v>2659</v>
      </c>
      <c r="E449" s="263" t="s">
        <v>2660</v>
      </c>
      <c r="F449" s="263">
        <v>1</v>
      </c>
      <c r="G449" s="264" t="str">
        <f>'Dry_Litterbag Placem_Collection'!C10</f>
        <v>Dry_Ag1_T8</v>
      </c>
      <c r="H449" s="273" t="s">
        <v>3651</v>
      </c>
      <c r="I449" s="266" t="s">
        <v>1147</v>
      </c>
      <c r="J449" s="223" t="str">
        <f>'WetLitterbags placem_collection'!O10</f>
        <v>G701</v>
      </c>
      <c r="K449" s="225">
        <f>IFERROR(INDEX('Green_rooibos initial weight'!$C$5:$C$1749,MATCH(J449, 'Green_rooibos initial weight'!$A$5:$A$1749,0)),"")</f>
        <v>1.9159999999999999</v>
      </c>
      <c r="L449" s="225">
        <f>IFERROR(K449-(TBIcalc!$H$9+TBIcalc!$H$10),"")</f>
        <v>1.6661999999999999</v>
      </c>
      <c r="M449" s="391">
        <f>AVERAGE(Ashed_controlls!$K$2:$K$11)</f>
        <v>5.5147656768714146</v>
      </c>
      <c r="N449" s="225">
        <f t="shared" si="32"/>
        <v>1.5743129742919684</v>
      </c>
      <c r="O449" s="225">
        <f>IF(IFERROR(INDEX('Both teabags AfterWet'!$C$3:$C$841,MATCH(J449,'Both teabags AfterWet'!$A$3:$A$841,0)),"")="","",(IFERROR(INDEX('Both teabags AfterWet'!$C$3:$C$841,MATCH(J449,'Both teabags AfterWet'!$A$3:$A$841,0)),"")))</f>
        <v>0.59260000000000002</v>
      </c>
      <c r="P449" s="225">
        <f>IFERROR(IF(O449&gt;0,O449-(TBIcalc!$H$9),""),"")</f>
        <v>0.442</v>
      </c>
      <c r="Q449" s="225">
        <f>IFERROR(INDEX('Ashed teabags wet'!$K$2:$K$821,MATCH(J449,'Ashed teabags wet'!$A$2:$A$821,0)),"")</f>
        <v>8.8163662932295175</v>
      </c>
      <c r="R449" s="225">
        <f t="shared" si="36"/>
        <v>0.40303166098392551</v>
      </c>
      <c r="S449" s="226">
        <f>'WetLitterbags placem_collection'!E10</f>
        <v>42766</v>
      </c>
      <c r="T449" s="226">
        <f>IF('WetLitterbags placem_collection'!G10="","",'WetLitterbags placem_collection'!G10)</f>
        <v>42818</v>
      </c>
      <c r="U449" s="227">
        <f t="shared" si="37"/>
        <v>52</v>
      </c>
      <c r="V449" s="225">
        <f t="shared" si="34"/>
        <v>1.2242</v>
      </c>
      <c r="W449" s="225">
        <f t="shared" si="35"/>
        <v>1.1712813133080429</v>
      </c>
      <c r="X449">
        <f>IFERROR(INDEX(Rainfall_Wet!$O$2:$O$217,MATCH(B449, Rainfall_Wet!$A$2:$A$217,0)),"")</f>
        <v>194.43839254400001</v>
      </c>
      <c r="Y449" s="231">
        <v>12.565665055683967</v>
      </c>
      <c r="Z449" s="231">
        <v>0.9665896196679955</v>
      </c>
      <c r="AA449" s="231">
        <v>86.467745324648035</v>
      </c>
      <c r="AB449" s="232" t="s">
        <v>2672</v>
      </c>
      <c r="AC449" s="231">
        <v>8.0225726959093109</v>
      </c>
      <c r="AD449">
        <f>IF('WetLitterbags placem_collection'!AB10="","",'WetLitterbags placem_collection'!AB10)</f>
        <v>36</v>
      </c>
      <c r="AE449">
        <f>IF('WetLitterbags placem_collection'!Z10="","",'WetLitterbags placem_collection'!Z10)</f>
        <v>38.4</v>
      </c>
      <c r="AF449" s="246" t="str">
        <f>IF('WetLitterbags placem_collection'!AA10="","",'WetLitterbags placem_collection'!AA10)</f>
        <v>M</v>
      </c>
      <c r="AG449" t="str">
        <f>IF('WetLitterbags placem_collection'!AC10="","",'WetLitterbags placem_collection'!AC10)</f>
        <v/>
      </c>
      <c r="AH449" s="240">
        <f>AVERAGE('WetLitterbags placem_collection'!S10,'WetLitterbags placem_collection'!U10)</f>
        <v>10.600000000000001</v>
      </c>
      <c r="AI449">
        <f>AVERAGE('WetLitterbags placem_collection'!R10,'WetLitterbags placem_collection'!T10)</f>
        <v>25.5</v>
      </c>
      <c r="AJ449">
        <f>INDEX(Coordinates!$B$2:$B$197,MATCH(G449,Coordinates!$J$2:$J$197,0))</f>
        <v>-3.3977320230000001</v>
      </c>
      <c r="AK449">
        <f>INDEX(Coordinates!$C$2:$C$197,MATCH(G449,Coordinates!$J$2:$J$197,0))</f>
        <v>34.837561989999998</v>
      </c>
      <c r="AL449" t="str">
        <f>IF(ISNUMBER(SEARCH("C", 'WetLitterbags placem_collection'!X10)),"YES","NO")</f>
        <v>NO</v>
      </c>
      <c r="AM449" t="str">
        <f>IF(ISNUMBER(SEARCH("H", 'WetLitterbags placem_collection'!X10)),"YES","NO")</f>
        <v>NO</v>
      </c>
      <c r="AN449" t="str">
        <f>IF(ISNUMBER(SEARCH("R", 'WetLitterbags placem_collection'!X10)),"YES","NO")</f>
        <v>NO</v>
      </c>
    </row>
    <row r="450" spans="1:40" ht="15" customHeight="1">
      <c r="A450" s="258" t="s">
        <v>2460</v>
      </c>
      <c r="B450" s="263">
        <f>'Dry_Litterbag Placem_Collection'!A11</f>
        <v>9</v>
      </c>
      <c r="C450" s="263" t="str">
        <f>'Dry_Litterbag Placem_Collection'!B11</f>
        <v>Makao</v>
      </c>
      <c r="D450" s="263" t="s">
        <v>2659</v>
      </c>
      <c r="E450" s="263" t="s">
        <v>2660</v>
      </c>
      <c r="F450" s="263">
        <v>2</v>
      </c>
      <c r="G450" s="264" t="str">
        <f>'Dry_Litterbag Placem_Collection'!C11</f>
        <v>Dry_Ag2_T1</v>
      </c>
      <c r="H450" s="273" t="s">
        <v>3651</v>
      </c>
      <c r="I450" s="266" t="s">
        <v>1147</v>
      </c>
      <c r="J450" s="223" t="str">
        <f>'WetLitterbags placem_collection'!O11</f>
        <v>G476</v>
      </c>
      <c r="K450" s="225">
        <f>IFERROR(INDEX('Green_rooibos initial weight'!$C$5:$C$1749,MATCH(J450, 'Green_rooibos initial weight'!$A$5:$A$1749,0)),"")</f>
        <v>2.121</v>
      </c>
      <c r="L450" s="225">
        <f>IFERROR(K450-(TBIcalc!$H$9+TBIcalc!$H$10),"")</f>
        <v>1.8712</v>
      </c>
      <c r="M450" s="391">
        <f>AVERAGE(Ashed_controlls!$K$2:$K$11)</f>
        <v>5.5147656768714146</v>
      </c>
      <c r="N450" s="225">
        <f t="shared" si="32"/>
        <v>1.7680077046543821</v>
      </c>
      <c r="O450" s="225">
        <f>IF(IFERROR(INDEX('Both teabags AfterWet'!$C$3:$C$841,MATCH(J450,'Both teabags AfterWet'!$A$3:$A$841,0)),"")="","",(IFERROR(INDEX('Both teabags AfterWet'!$C$3:$C$841,MATCH(J450,'Both teabags AfterWet'!$A$3:$A$841,0)),"")))</f>
        <v>0.66479999999999995</v>
      </c>
      <c r="P450" s="225">
        <f>IFERROR(IF(O450&gt;0,O450-(TBIcalc!$H$9),""),"")</f>
        <v>0.51419999999999999</v>
      </c>
      <c r="Q450" s="225">
        <f>IFERROR(INDEX('Ashed teabags wet'!$K$2:$K$821,MATCH(J450,'Ashed teabags wet'!$A$2:$A$821,0)),"")</f>
        <v>18.05555555555533</v>
      </c>
      <c r="R450" s="225">
        <f t="shared" si="36"/>
        <v>0.4213583333333345</v>
      </c>
      <c r="S450" s="226">
        <f>'WetLitterbags placem_collection'!E11</f>
        <v>42766</v>
      </c>
      <c r="T450" s="226">
        <f>IF('WetLitterbags placem_collection'!G11="","",'WetLitterbags placem_collection'!G11)</f>
        <v>42818</v>
      </c>
      <c r="U450" s="227">
        <f t="shared" ref="U450:U513" si="38">IFERROR(T450-S450,"")</f>
        <v>52</v>
      </c>
      <c r="V450" s="225">
        <f t="shared" si="34"/>
        <v>1.357</v>
      </c>
      <c r="W450" s="225">
        <f t="shared" si="35"/>
        <v>1.3466493713210475</v>
      </c>
      <c r="X450">
        <f>IFERROR(INDEX(Rainfall_Wet!$O$2:$O$217,MATCH(B450, Rainfall_Wet!$A$2:$A$217,0)),"")</f>
        <v>194.43839254400001</v>
      </c>
      <c r="Y450" s="231">
        <v>21.13063730679653</v>
      </c>
      <c r="Z450" s="231">
        <v>3.0912555579081076</v>
      </c>
      <c r="AA450" s="231">
        <v>75.778107135295357</v>
      </c>
      <c r="AB450" s="232" t="s">
        <v>2670</v>
      </c>
      <c r="AC450" s="231">
        <v>0.46131099063578063</v>
      </c>
      <c r="AD450">
        <f>IF('WetLitterbags placem_collection'!AB11="","",'WetLitterbags placem_collection'!AB11)</f>
        <v>10.8</v>
      </c>
      <c r="AE450">
        <f>IF('WetLitterbags placem_collection'!Z11="","",'WetLitterbags placem_collection'!Z11)</f>
        <v>28.4</v>
      </c>
      <c r="AF450" s="246" t="str">
        <f>IF('WetLitterbags placem_collection'!AA11="","",'WetLitterbags placem_collection'!AA11)</f>
        <v>M</v>
      </c>
      <c r="AG450">
        <f>IF('WetLitterbags placem_collection'!AC11="","",'WetLitterbags placem_collection'!AC11)</f>
        <v>0</v>
      </c>
      <c r="AH450" s="240">
        <f>AVERAGE('WetLitterbags placem_collection'!S11,'WetLitterbags placem_collection'!U11)</f>
        <v>14.5</v>
      </c>
      <c r="AI450">
        <f>AVERAGE('WetLitterbags placem_collection'!R11,'WetLitterbags placem_collection'!T11)</f>
        <v>24.4</v>
      </c>
      <c r="AJ450">
        <f>INDEX(Coordinates!$B$2:$B$197,MATCH(G450,Coordinates!$J$2:$J$197,0))</f>
        <v>-3.3978290019999999</v>
      </c>
      <c r="AK450">
        <f>INDEX(Coordinates!$C$2:$C$197,MATCH(G450,Coordinates!$J$2:$J$197,0))</f>
        <v>34.837011969999999</v>
      </c>
      <c r="AL450" t="str">
        <f>IF(ISNUMBER(SEARCH("C", 'WetLitterbags placem_collection'!X11)),"YES","NO")</f>
        <v>NO</v>
      </c>
      <c r="AM450" t="str">
        <f>IF(ISNUMBER(SEARCH("H", 'WetLitterbags placem_collection'!X11)),"YES","NO")</f>
        <v>NO</v>
      </c>
      <c r="AN450" t="str">
        <f>IF(ISNUMBER(SEARCH("R", 'WetLitterbags placem_collection'!X11)),"YES","NO")</f>
        <v>NO</v>
      </c>
    </row>
    <row r="451" spans="1:40" ht="15" customHeight="1">
      <c r="A451" s="258" t="s">
        <v>2460</v>
      </c>
      <c r="B451" s="263">
        <f>'Dry_Litterbag Placem_Collection'!A12</f>
        <v>10</v>
      </c>
      <c r="C451" s="263" t="str">
        <f>'Dry_Litterbag Placem_Collection'!B12</f>
        <v>Makao</v>
      </c>
      <c r="D451" s="263" t="s">
        <v>2659</v>
      </c>
      <c r="E451" s="263" t="s">
        <v>2660</v>
      </c>
      <c r="F451" s="263">
        <v>2</v>
      </c>
      <c r="G451" s="264" t="str">
        <f>'Dry_Litterbag Placem_Collection'!C12</f>
        <v>Dry_Ag2_T2</v>
      </c>
      <c r="H451" s="273" t="s">
        <v>3651</v>
      </c>
      <c r="I451" s="266" t="s">
        <v>1147</v>
      </c>
      <c r="J451" s="223" t="str">
        <f>'WetLitterbags placem_collection'!O12</f>
        <v>G606</v>
      </c>
      <c r="K451" s="225">
        <f>IFERROR(INDEX('Green_rooibos initial weight'!$C$5:$C$1749,MATCH(J451, 'Green_rooibos initial weight'!$A$5:$A$1749,0)),"")</f>
        <v>1.921</v>
      </c>
      <c r="L451" s="225">
        <f>IFERROR(K451-(TBIcalc!$H$9+TBIcalc!$H$10),"")</f>
        <v>1.6712</v>
      </c>
      <c r="M451" s="391">
        <f>AVERAGE(Ashed_controlls!$K$2:$K$11)</f>
        <v>5.5147656768714146</v>
      </c>
      <c r="N451" s="225">
        <f t="shared" ref="N451:N514" si="39">IFERROR(L451-(M451/100)*L451,"")</f>
        <v>1.5790372360081248</v>
      </c>
      <c r="O451" s="225">
        <f>IF(IFERROR(INDEX('Both teabags AfterWet'!$C$3:$C$841,MATCH(J451,'Both teabags AfterWet'!$A$3:$A$841,0)),"")="","",(IFERROR(INDEX('Both teabags AfterWet'!$C$3:$C$841,MATCH(J451,'Both teabags AfterWet'!$A$3:$A$841,0)),"")))</f>
        <v>0.63539999999999996</v>
      </c>
      <c r="P451" s="225">
        <f>IFERROR(IF(O451&gt;0,O451-(TBIcalc!$H$9),""),"")</f>
        <v>0.48479999999999995</v>
      </c>
      <c r="Q451" s="225">
        <f>IFERROR(INDEX('Ashed teabags wet'!$K$2:$K$821,MATCH(J451,'Ashed teabags wet'!$A$2:$A$821,0)),"")</f>
        <v>10.416666666666313</v>
      </c>
      <c r="R451" s="225">
        <f t="shared" si="36"/>
        <v>0.43430000000000168</v>
      </c>
      <c r="S451" s="226">
        <f>'WetLitterbags placem_collection'!E12</f>
        <v>42766</v>
      </c>
      <c r="T451" s="226">
        <f>IF('WetLitterbags placem_collection'!G12="","",'WetLitterbags placem_collection'!G12)</f>
        <v>42818</v>
      </c>
      <c r="U451" s="227">
        <f t="shared" si="38"/>
        <v>52</v>
      </c>
      <c r="V451" s="225">
        <f t="shared" ref="V451:V514" si="40">IFERROR(L451-P451,"")</f>
        <v>1.1864000000000001</v>
      </c>
      <c r="W451" s="225">
        <f t="shared" ref="W451:W514" si="41">IFERROR(N451-R451,"")</f>
        <v>1.1447372360081232</v>
      </c>
      <c r="X451">
        <f>IFERROR(INDEX(Rainfall_Wet!$O$2:$O$217,MATCH(B451, Rainfall_Wet!$A$2:$A$217,0)),"")</f>
        <v>194.43839254400001</v>
      </c>
      <c r="Y451" s="231">
        <v>21.13063730679653</v>
      </c>
      <c r="Z451" s="231">
        <v>3.0912555579081076</v>
      </c>
      <c r="AA451" s="231">
        <v>75.778107135295357</v>
      </c>
      <c r="AB451" s="232" t="s">
        <v>2670</v>
      </c>
      <c r="AC451" s="231">
        <v>1.46131099063578</v>
      </c>
      <c r="AD451">
        <f>IF('WetLitterbags placem_collection'!AB12="","",'WetLitterbags placem_collection'!AB12)</f>
        <v>16.8</v>
      </c>
      <c r="AE451">
        <f>IF('WetLitterbags placem_collection'!Z12="","",'WetLitterbags placem_collection'!Z12)</f>
        <v>30</v>
      </c>
      <c r="AF451" s="246" t="str">
        <f>IF('WetLitterbags placem_collection'!AA12="","",'WetLitterbags placem_collection'!AA12)</f>
        <v>M</v>
      </c>
      <c r="AG451">
        <f>IF('WetLitterbags placem_collection'!AC12="","",'WetLitterbags placem_collection'!AC12)</f>
        <v>0</v>
      </c>
      <c r="AH451" s="240">
        <f>AVERAGE('WetLitterbags placem_collection'!S12,'WetLitterbags placem_collection'!U12)</f>
        <v>14.649999999999999</v>
      </c>
      <c r="AI451">
        <f>AVERAGE('WetLitterbags placem_collection'!R12,'WetLitterbags placem_collection'!T12)</f>
        <v>24.299999999999997</v>
      </c>
      <c r="AJ451">
        <f>INDEX(Coordinates!$B$2:$B$197,MATCH(G451,Coordinates!$J$2:$J$197,0))</f>
        <v>-3.3978119869999999</v>
      </c>
      <c r="AK451">
        <f>INDEX(Coordinates!$C$2:$C$197,MATCH(G451,Coordinates!$J$2:$J$197,0))</f>
        <v>34.836968980000002</v>
      </c>
      <c r="AL451" t="str">
        <f>IF(ISNUMBER(SEARCH("C", 'WetLitterbags placem_collection'!X12)),"YES","NO")</f>
        <v>NO</v>
      </c>
      <c r="AM451" t="str">
        <f>IF(ISNUMBER(SEARCH("H", 'WetLitterbags placem_collection'!X12)),"YES","NO")</f>
        <v>NO</v>
      </c>
      <c r="AN451" t="str">
        <f>IF(ISNUMBER(SEARCH("R", 'WetLitterbags placem_collection'!X12)),"YES","NO")</f>
        <v>NO</v>
      </c>
    </row>
    <row r="452" spans="1:40" ht="15" customHeight="1">
      <c r="A452" s="258" t="s">
        <v>2460</v>
      </c>
      <c r="B452" s="263">
        <f>'Dry_Litterbag Placem_Collection'!A13</f>
        <v>11</v>
      </c>
      <c r="C452" s="263" t="str">
        <f>'Dry_Litterbag Placem_Collection'!B13</f>
        <v>Makao</v>
      </c>
      <c r="D452" s="263" t="s">
        <v>2659</v>
      </c>
      <c r="E452" s="263" t="s">
        <v>2660</v>
      </c>
      <c r="F452" s="263">
        <v>2</v>
      </c>
      <c r="G452" s="264" t="str">
        <f>'Dry_Litterbag Placem_Collection'!C13</f>
        <v>Dry_Ag2_T3</v>
      </c>
      <c r="H452" s="273" t="s">
        <v>3651</v>
      </c>
      <c r="I452" s="266" t="s">
        <v>1147</v>
      </c>
      <c r="J452" s="223" t="str">
        <f>'WetLitterbags placem_collection'!O13</f>
        <v>G523</v>
      </c>
      <c r="K452" s="225">
        <f>IFERROR(INDEX('Green_rooibos initial weight'!$C$5:$C$1749,MATCH(J452, 'Green_rooibos initial weight'!$A$5:$A$1749,0)),"")</f>
        <v>2.1419999999999999</v>
      </c>
      <c r="L452" s="225">
        <f>IFERROR(K452-(TBIcalc!$H$9+TBIcalc!$H$10),"")</f>
        <v>1.8921999999999999</v>
      </c>
      <c r="M452" s="391">
        <f>AVERAGE(Ashed_controlls!$K$2:$K$11)</f>
        <v>5.5147656768714146</v>
      </c>
      <c r="N452" s="225">
        <f t="shared" si="39"/>
        <v>1.7878496038622389</v>
      </c>
      <c r="O452" s="225">
        <f>IF(IFERROR(INDEX('Both teabags AfterWet'!$C$3:$C$841,MATCH(J452,'Both teabags AfterWet'!$A$3:$A$841,0)),"")="","",(IFERROR(INDEX('Both teabags AfterWet'!$C$3:$C$841,MATCH(J452,'Both teabags AfterWet'!$A$3:$A$841,0)),"")))</f>
        <v>0.63119999999999998</v>
      </c>
      <c r="P452" s="225">
        <f>IFERROR(IF(O452&gt;0,O452-(TBIcalc!$H$9),""),"")</f>
        <v>0.48059999999999997</v>
      </c>
      <c r="Q452" s="225">
        <f>IFERROR(INDEX('Ashed teabags wet'!$K$2:$K$821,MATCH(J452,'Ashed teabags wet'!$A$2:$A$821,0)),"")</f>
        <v>9.5734126984128558</v>
      </c>
      <c r="R452" s="225">
        <f t="shared" si="36"/>
        <v>0.43459017857142779</v>
      </c>
      <c r="S452" s="226">
        <f>'WetLitterbags placem_collection'!E13</f>
        <v>42766</v>
      </c>
      <c r="T452" s="226">
        <f>IF('WetLitterbags placem_collection'!G13="","",'WetLitterbags placem_collection'!G13)</f>
        <v>42818</v>
      </c>
      <c r="U452" s="227">
        <f t="shared" si="38"/>
        <v>52</v>
      </c>
      <c r="V452" s="225">
        <f t="shared" si="40"/>
        <v>1.4116</v>
      </c>
      <c r="W452" s="225">
        <f t="shared" si="41"/>
        <v>1.353259425290811</v>
      </c>
      <c r="X452">
        <f>IFERROR(INDEX(Rainfall_Wet!$O$2:$O$217,MATCH(B452, Rainfall_Wet!$A$2:$A$217,0)),"")</f>
        <v>194.43839254400001</v>
      </c>
      <c r="Y452" s="231">
        <v>21.13063730679653</v>
      </c>
      <c r="Z452" s="231">
        <v>3.0912555579081076</v>
      </c>
      <c r="AA452" s="231">
        <v>75.778107135295357</v>
      </c>
      <c r="AB452" s="232" t="s">
        <v>2670</v>
      </c>
      <c r="AC452" s="231">
        <v>2.4613109906357802</v>
      </c>
      <c r="AD452">
        <f>IF('WetLitterbags placem_collection'!AB13="","",'WetLitterbags placem_collection'!AB13)</f>
        <v>11.4</v>
      </c>
      <c r="AE452">
        <f>IF('WetLitterbags placem_collection'!Z13="","",'WetLitterbags placem_collection'!Z13)</f>
        <v>24.4</v>
      </c>
      <c r="AF452" s="246" t="str">
        <f>IF('WetLitterbags placem_collection'!AA13="","",'WetLitterbags placem_collection'!AA13)</f>
        <v>M</v>
      </c>
      <c r="AG452">
        <f>IF('WetLitterbags placem_collection'!AC13="","",'WetLitterbags placem_collection'!AC13)</f>
        <v>0</v>
      </c>
      <c r="AH452" s="240">
        <f>AVERAGE('WetLitterbags placem_collection'!S13,'WetLitterbags placem_collection'!U13)</f>
        <v>21.1</v>
      </c>
      <c r="AI452">
        <f>AVERAGE('WetLitterbags placem_collection'!R13,'WetLitterbags placem_collection'!T13)</f>
        <v>24.05</v>
      </c>
      <c r="AJ452">
        <f>INDEX(Coordinates!$B$2:$B$197,MATCH(G452,Coordinates!$J$2:$J$197,0))</f>
        <v>-3.3977929599999999</v>
      </c>
      <c r="AK452">
        <f>INDEX(Coordinates!$C$2:$C$197,MATCH(G452,Coordinates!$J$2:$J$197,0))</f>
        <v>34.837102999999999</v>
      </c>
      <c r="AL452" t="str">
        <f>IF(ISNUMBER(SEARCH("C", 'WetLitterbags placem_collection'!X13)),"YES","NO")</f>
        <v>NO</v>
      </c>
      <c r="AM452" t="str">
        <f>IF(ISNUMBER(SEARCH("H", 'WetLitterbags placem_collection'!X13)),"YES","NO")</f>
        <v>NO</v>
      </c>
      <c r="AN452" t="str">
        <f>IF(ISNUMBER(SEARCH("R", 'WetLitterbags placem_collection'!X13)),"YES","NO")</f>
        <v>NO</v>
      </c>
    </row>
    <row r="453" spans="1:40" ht="15" customHeight="1">
      <c r="A453" s="258" t="s">
        <v>2460</v>
      </c>
      <c r="B453" s="263">
        <f>'Dry_Litterbag Placem_Collection'!A14</f>
        <v>12</v>
      </c>
      <c r="C453" s="263" t="str">
        <f>'Dry_Litterbag Placem_Collection'!B14</f>
        <v>Makao</v>
      </c>
      <c r="D453" s="263" t="s">
        <v>2659</v>
      </c>
      <c r="E453" s="263" t="s">
        <v>2660</v>
      </c>
      <c r="F453" s="263">
        <v>2</v>
      </c>
      <c r="G453" s="264" t="str">
        <f>'Dry_Litterbag Placem_Collection'!C14</f>
        <v>Dry_Ag2_T4</v>
      </c>
      <c r="H453" s="273" t="s">
        <v>3651</v>
      </c>
      <c r="I453" s="266" t="s">
        <v>1147</v>
      </c>
      <c r="J453" s="223" t="str">
        <f>'WetLitterbags placem_collection'!O14</f>
        <v>G490</v>
      </c>
      <c r="K453" s="225">
        <f>IFERROR(INDEX('Green_rooibos initial weight'!$C$5:$C$1749,MATCH(J453, 'Green_rooibos initial weight'!$A$5:$A$1749,0)),"")</f>
        <v>1.881</v>
      </c>
      <c r="L453" s="225">
        <f>IFERROR(K453-(TBIcalc!$H$9+TBIcalc!$H$10),"")</f>
        <v>1.6312</v>
      </c>
      <c r="M453" s="391">
        <f>AVERAGE(Ashed_controlls!$K$2:$K$11)</f>
        <v>5.5147656768714146</v>
      </c>
      <c r="N453" s="225">
        <f t="shared" si="39"/>
        <v>1.5412431422788735</v>
      </c>
      <c r="O453" s="225" t="str">
        <f>IF(IFERROR(INDEX('Both teabags AfterWet'!$C$3:$C$841,MATCH(J453,'Both teabags AfterWet'!$A$3:$A$841,0)),"")="","",(IFERROR(INDEX('Both teabags AfterWet'!$C$3:$C$841,MATCH(J453,'Both teabags AfterWet'!$A$3:$A$841,0)),"")))</f>
        <v/>
      </c>
      <c r="P453" s="225" t="str">
        <f>IFERROR(IF(O453&gt;0,O453-(TBIcalc!$H$9),""),"")</f>
        <v/>
      </c>
      <c r="Q453" s="225" t="str">
        <f>IFERROR(INDEX('Ashed teabags wet'!$K$2:$K$821,MATCH(J453,'Ashed teabags wet'!$A$2:$A$821,0)),"")</f>
        <v/>
      </c>
      <c r="R453" s="225" t="str">
        <f t="shared" si="36"/>
        <v/>
      </c>
      <c r="S453" s="226">
        <f>'WetLitterbags placem_collection'!E14</f>
        <v>42766</v>
      </c>
      <c r="T453" s="226" t="str">
        <f>IF('WetLitterbags placem_collection'!G14="","",'WetLitterbags placem_collection'!G14)</f>
        <v/>
      </c>
      <c r="U453" s="227" t="str">
        <f t="shared" si="38"/>
        <v/>
      </c>
      <c r="V453" s="225" t="str">
        <f t="shared" si="40"/>
        <v/>
      </c>
      <c r="W453" s="225" t="str">
        <f t="shared" si="41"/>
        <v/>
      </c>
      <c r="X453" t="str">
        <f>IFERROR(INDEX(Rainfall_Wet!$O$2:$O$217,MATCH(B453, Rainfall_Wet!$A$2:$A$217,0)),"")</f>
        <v/>
      </c>
      <c r="Y453" s="231">
        <v>21.13063730679653</v>
      </c>
      <c r="Z453" s="231">
        <v>3.0912555579081076</v>
      </c>
      <c r="AA453" s="231">
        <v>75.778107135295357</v>
      </c>
      <c r="AB453" s="232" t="s">
        <v>2670</v>
      </c>
      <c r="AC453" s="231">
        <v>3.4613109906357802</v>
      </c>
      <c r="AD453" t="str">
        <f>IF('WetLitterbags placem_collection'!AB14="","",'WetLitterbags placem_collection'!AB14)</f>
        <v/>
      </c>
      <c r="AE453" t="str">
        <f>IF('WetLitterbags placem_collection'!Z14="","",'WetLitterbags placem_collection'!Z14)</f>
        <v/>
      </c>
      <c r="AF453" s="246" t="str">
        <f>IF('WetLitterbags placem_collection'!AA14="","",'WetLitterbags placem_collection'!AA14)</f>
        <v/>
      </c>
      <c r="AG453" t="str">
        <f>IF('WetLitterbags placem_collection'!AC14="","",'WetLitterbags placem_collection'!AC14)</f>
        <v/>
      </c>
      <c r="AH453" s="240">
        <f>AVERAGE('WetLitterbags placem_collection'!S14,'WetLitterbags placem_collection'!U14)</f>
        <v>25.8</v>
      </c>
      <c r="AI453">
        <f>AVERAGE('WetLitterbags placem_collection'!R14,'WetLitterbags placem_collection'!T14)</f>
        <v>21.7</v>
      </c>
      <c r="AJ453">
        <f>INDEX(Coordinates!$B$2:$B$197,MATCH(G453,Coordinates!$J$2:$J$197,0))</f>
        <v>-3.3979050260000001</v>
      </c>
      <c r="AK453">
        <f>INDEX(Coordinates!$C$2:$C$197,MATCH(G453,Coordinates!$J$2:$J$197,0))</f>
        <v>34.837123030000001</v>
      </c>
      <c r="AL453" t="str">
        <f>IF(ISNUMBER(SEARCH("C", 'WetLitterbags placem_collection'!X14)),"YES","NO")</f>
        <v>NO</v>
      </c>
      <c r="AM453" t="str">
        <f>IF(ISNUMBER(SEARCH("H", 'WetLitterbags placem_collection'!X14)),"YES","NO")</f>
        <v>NO</v>
      </c>
      <c r="AN453" t="str">
        <f>IF(ISNUMBER(SEARCH("R", 'WetLitterbags placem_collection'!X14)),"YES","NO")</f>
        <v>NO</v>
      </c>
    </row>
    <row r="454" spans="1:40" ht="15" customHeight="1">
      <c r="A454" s="258" t="s">
        <v>2460</v>
      </c>
      <c r="B454" s="263">
        <f>'Dry_Litterbag Placem_Collection'!A15</f>
        <v>13</v>
      </c>
      <c r="C454" s="263" t="str">
        <f>'Dry_Litterbag Placem_Collection'!B15</f>
        <v>Makao</v>
      </c>
      <c r="D454" s="263" t="s">
        <v>2659</v>
      </c>
      <c r="E454" s="263" t="s">
        <v>2660</v>
      </c>
      <c r="F454" s="263">
        <v>2</v>
      </c>
      <c r="G454" s="264" t="str">
        <f>'Dry_Litterbag Placem_Collection'!C15</f>
        <v>Dry_Ag2_T5</v>
      </c>
      <c r="H454" s="273" t="s">
        <v>3651</v>
      </c>
      <c r="I454" s="266" t="s">
        <v>1147</v>
      </c>
      <c r="J454" s="223" t="str">
        <f>'WetLitterbags placem_collection'!O15</f>
        <v>G241</v>
      </c>
      <c r="K454" s="225">
        <f>IFERROR(INDEX('Green_rooibos initial weight'!$C$5:$C$1749,MATCH(J454, 'Green_rooibos initial weight'!$A$5:$A$1749,0)),"")</f>
        <v>2.0179999999999998</v>
      </c>
      <c r="L454" s="225">
        <f>IFERROR(K454-(TBIcalc!$H$9+TBIcalc!$H$10),"")</f>
        <v>1.7681999999999998</v>
      </c>
      <c r="M454" s="391">
        <f>AVERAGE(Ashed_controlls!$K$2:$K$11)</f>
        <v>5.5147656768714146</v>
      </c>
      <c r="N454" s="225">
        <f t="shared" si="39"/>
        <v>1.6706879133015595</v>
      </c>
      <c r="O454" s="225">
        <f>IF(IFERROR(INDEX('Both teabags AfterWet'!$C$3:$C$841,MATCH(J454,'Both teabags AfterWet'!$A$3:$A$841,0)),"")="","",(IFERROR(INDEX('Both teabags AfterWet'!$C$3:$C$841,MATCH(J454,'Both teabags AfterWet'!$A$3:$A$841,0)),"")))</f>
        <v>0.52059999999999995</v>
      </c>
      <c r="P454" s="225">
        <f>IFERROR(IF(O454&gt;0,O454-(TBIcalc!$H$9),""),"")</f>
        <v>0.36999999999999994</v>
      </c>
      <c r="Q454" s="225">
        <f>IFERROR(INDEX('Ashed teabags wet'!$K$2:$K$821,MATCH(J454,'Ashed teabags wet'!$A$2:$A$821,0)),"")</f>
        <v>17.872968980798372</v>
      </c>
      <c r="R454" s="225">
        <f t="shared" si="36"/>
        <v>0.30387001477104597</v>
      </c>
      <c r="S454" s="226">
        <f>'WetLitterbags placem_collection'!E15</f>
        <v>42766</v>
      </c>
      <c r="T454" s="226">
        <f>IF('WetLitterbags placem_collection'!G15="","",'WetLitterbags placem_collection'!G15)</f>
        <v>42818</v>
      </c>
      <c r="U454" s="227">
        <f t="shared" si="38"/>
        <v>52</v>
      </c>
      <c r="V454" s="225">
        <f t="shared" si="40"/>
        <v>1.3981999999999999</v>
      </c>
      <c r="W454" s="225">
        <f t="shared" si="41"/>
        <v>1.3668178985305135</v>
      </c>
      <c r="X454">
        <f>IFERROR(INDEX(Rainfall_Wet!$O$2:$O$217,MATCH(B454, Rainfall_Wet!$A$2:$A$217,0)),"")</f>
        <v>194.43839254400001</v>
      </c>
      <c r="Y454" s="231">
        <v>21.13063730679653</v>
      </c>
      <c r="Z454" s="231">
        <v>3.0912555579081076</v>
      </c>
      <c r="AA454" s="231">
        <v>75.778107135295357</v>
      </c>
      <c r="AB454" s="232" t="s">
        <v>2670</v>
      </c>
      <c r="AC454" s="231">
        <v>4.4613109906357797</v>
      </c>
      <c r="AD454">
        <f>IF('WetLitterbags placem_collection'!AB15="","",'WetLitterbags placem_collection'!AB15)</f>
        <v>11.4</v>
      </c>
      <c r="AE454">
        <f>IF('WetLitterbags placem_collection'!Z15="","",'WetLitterbags placem_collection'!Z15)</f>
        <v>31</v>
      </c>
      <c r="AF454" s="246" t="str">
        <f>IF('WetLitterbags placem_collection'!AA15="","",'WetLitterbags placem_collection'!AA15)</f>
        <v>M</v>
      </c>
      <c r="AG454">
        <f>IF('WetLitterbags placem_collection'!AC15="","",'WetLitterbags placem_collection'!AC15)</f>
        <v>0</v>
      </c>
      <c r="AH454" s="240">
        <f>AVERAGE('WetLitterbags placem_collection'!S15,'WetLitterbags placem_collection'!U15)</f>
        <v>20.8</v>
      </c>
      <c r="AI454">
        <f>AVERAGE('WetLitterbags placem_collection'!R15,'WetLitterbags placem_collection'!T15)</f>
        <v>23.4</v>
      </c>
      <c r="AJ454">
        <f>INDEX(Coordinates!$B$2:$B$197,MATCH(G454,Coordinates!$J$2:$J$197,0))</f>
        <v>-3.3979040199999999</v>
      </c>
      <c r="AK454">
        <f>INDEX(Coordinates!$C$2:$C$197,MATCH(G454,Coordinates!$J$2:$J$197,0))</f>
        <v>34.837027980000002</v>
      </c>
      <c r="AL454" t="str">
        <f>IF(ISNUMBER(SEARCH("C", 'WetLitterbags placem_collection'!X15)),"YES","NO")</f>
        <v>NO</v>
      </c>
      <c r="AM454" t="str">
        <f>IF(ISNUMBER(SEARCH("H", 'WetLitterbags placem_collection'!X15)),"YES","NO")</f>
        <v>NO</v>
      </c>
      <c r="AN454" t="str">
        <f>IF(ISNUMBER(SEARCH("R", 'WetLitterbags placem_collection'!X15)),"YES","NO")</f>
        <v>NO</v>
      </c>
    </row>
    <row r="455" spans="1:40" ht="15" customHeight="1">
      <c r="A455" s="258" t="s">
        <v>2460</v>
      </c>
      <c r="B455" s="263">
        <f>'Dry_Litterbag Placem_Collection'!A16</f>
        <v>14</v>
      </c>
      <c r="C455" s="263" t="str">
        <f>'Dry_Litterbag Placem_Collection'!B16</f>
        <v>Makao</v>
      </c>
      <c r="D455" s="263" t="s">
        <v>2659</v>
      </c>
      <c r="E455" s="263" t="s">
        <v>2660</v>
      </c>
      <c r="F455" s="263">
        <v>2</v>
      </c>
      <c r="G455" s="264" t="str">
        <f>'Dry_Litterbag Placem_Collection'!C16</f>
        <v>Dry_Ag2_T6</v>
      </c>
      <c r="H455" s="273" t="s">
        <v>3651</v>
      </c>
      <c r="I455" s="266" t="s">
        <v>1147</v>
      </c>
      <c r="J455" s="223" t="str">
        <f>'WetLitterbags placem_collection'!O16</f>
        <v>G503</v>
      </c>
      <c r="K455" s="225">
        <f>IFERROR(INDEX('Green_rooibos initial weight'!$C$5:$C$1749,MATCH(J455, 'Green_rooibos initial weight'!$A$5:$A$1749,0)),"")</f>
        <v>1.9810000000000001</v>
      </c>
      <c r="L455" s="225">
        <f>IFERROR(K455-(TBIcalc!$H$9+TBIcalc!$H$10),"")</f>
        <v>1.7312000000000001</v>
      </c>
      <c r="M455" s="391">
        <f>AVERAGE(Ashed_controlls!$K$2:$K$11)</f>
        <v>5.5147656768714146</v>
      </c>
      <c r="N455" s="225">
        <f t="shared" si="39"/>
        <v>1.6357283766020021</v>
      </c>
      <c r="O455" s="225">
        <f>IF(IFERROR(INDEX('Both teabags AfterWet'!$C$3:$C$841,MATCH(J455,'Both teabags AfterWet'!$A$3:$A$841,0)),"")="","",(IFERROR(INDEX('Both teabags AfterWet'!$C$3:$C$841,MATCH(J455,'Both teabags AfterWet'!$A$3:$A$841,0)),"")))</f>
        <v>0.501</v>
      </c>
      <c r="P455" s="225">
        <f>IFERROR(IF(O455&gt;0,O455-(TBIcalc!$H$9),""),"")</f>
        <v>0.35039999999999999</v>
      </c>
      <c r="Q455" s="225">
        <f>IFERROR(INDEX('Ashed teabags wet'!$K$2:$K$821,MATCH(J455,'Ashed teabags wet'!$A$2:$A$821,0)),"")</f>
        <v>12.970297029702667</v>
      </c>
      <c r="R455" s="225">
        <f t="shared" si="36"/>
        <v>0.30495207920792183</v>
      </c>
      <c r="S455" s="226">
        <f>'WetLitterbags placem_collection'!E16</f>
        <v>42766</v>
      </c>
      <c r="T455" s="226">
        <f>IF('WetLitterbags placem_collection'!G16="","",'WetLitterbags placem_collection'!G16)</f>
        <v>42818</v>
      </c>
      <c r="U455" s="227">
        <f t="shared" si="38"/>
        <v>52</v>
      </c>
      <c r="V455" s="225">
        <f t="shared" si="40"/>
        <v>1.3808</v>
      </c>
      <c r="W455" s="225">
        <f t="shared" si="41"/>
        <v>1.3307762973940802</v>
      </c>
      <c r="X455">
        <f>IFERROR(INDEX(Rainfall_Wet!$O$2:$O$217,MATCH(B455, Rainfall_Wet!$A$2:$A$217,0)),"")</f>
        <v>194.43839254400001</v>
      </c>
      <c r="Y455" s="231">
        <v>21.13063730679653</v>
      </c>
      <c r="Z455" s="231">
        <v>3.0912555579081076</v>
      </c>
      <c r="AA455" s="231">
        <v>75.778107135295357</v>
      </c>
      <c r="AB455" s="232" t="s">
        <v>2670</v>
      </c>
      <c r="AC455" s="231">
        <v>5.4613109906357797</v>
      </c>
      <c r="AD455">
        <f>IF('WetLitterbags placem_collection'!AB16="","",'WetLitterbags placem_collection'!AB16)</f>
        <v>28.4</v>
      </c>
      <c r="AE455">
        <f>IF('WetLitterbags placem_collection'!Z16="","",'WetLitterbags placem_collection'!Z16)</f>
        <v>42.4</v>
      </c>
      <c r="AF455" s="246" t="str">
        <f>IF('WetLitterbags placem_collection'!AA16="","",'WetLitterbags placem_collection'!AA16)</f>
        <v>M</v>
      </c>
      <c r="AG455">
        <f>IF('WetLitterbags placem_collection'!AC16="","",'WetLitterbags placem_collection'!AC16)</f>
        <v>0</v>
      </c>
      <c r="AH455" s="240">
        <f>AVERAGE('WetLitterbags placem_collection'!S16,'WetLitterbags placem_collection'!U16)</f>
        <v>15.7</v>
      </c>
      <c r="AI455">
        <f>AVERAGE('WetLitterbags placem_collection'!R16,'WetLitterbags placem_collection'!T16)</f>
        <v>24.1</v>
      </c>
      <c r="AJ455">
        <f>INDEX(Coordinates!$B$2:$B$197,MATCH(G455,Coordinates!$J$2:$J$197,0))</f>
        <v>-3.397854986</v>
      </c>
      <c r="AK455">
        <f>INDEX(Coordinates!$C$2:$C$197,MATCH(G455,Coordinates!$J$2:$J$197,0))</f>
        <v>34.836874010000002</v>
      </c>
      <c r="AL455" t="str">
        <f>IF(ISNUMBER(SEARCH("C", 'WetLitterbags placem_collection'!X16)),"YES","NO")</f>
        <v>NO</v>
      </c>
      <c r="AM455" t="str">
        <f>IF(ISNUMBER(SEARCH("H", 'WetLitterbags placem_collection'!X16)),"YES","NO")</f>
        <v>NO</v>
      </c>
      <c r="AN455" t="str">
        <f>IF(ISNUMBER(SEARCH("R", 'WetLitterbags placem_collection'!X16)),"YES","NO")</f>
        <v>NO</v>
      </c>
    </row>
    <row r="456" spans="1:40" ht="15" customHeight="1">
      <c r="A456" s="258" t="s">
        <v>2460</v>
      </c>
      <c r="B456" s="263">
        <f>'Dry_Litterbag Placem_Collection'!A17</f>
        <v>15</v>
      </c>
      <c r="C456" s="263" t="str">
        <f>'Dry_Litterbag Placem_Collection'!B17</f>
        <v>Makao</v>
      </c>
      <c r="D456" s="263" t="s">
        <v>2659</v>
      </c>
      <c r="E456" s="263" t="s">
        <v>2660</v>
      </c>
      <c r="F456" s="263">
        <v>2</v>
      </c>
      <c r="G456" s="264" t="str">
        <f>'Dry_Litterbag Placem_Collection'!C17</f>
        <v>Dry_Ag2_T7</v>
      </c>
      <c r="H456" s="273" t="s">
        <v>3651</v>
      </c>
      <c r="I456" s="266" t="s">
        <v>1147</v>
      </c>
      <c r="J456" s="223" t="str">
        <f>'WetLitterbags placem_collection'!O17</f>
        <v>G685</v>
      </c>
      <c r="K456" s="225">
        <f>IFERROR(INDEX('Green_rooibos initial weight'!$C$5:$C$1749,MATCH(J456, 'Green_rooibos initial weight'!$A$5:$A$1749,0)),"")</f>
        <v>1.9810000000000001</v>
      </c>
      <c r="L456" s="225">
        <f>IFERROR(K456-(TBIcalc!$H$9+TBIcalc!$H$10),"")</f>
        <v>1.7312000000000001</v>
      </c>
      <c r="M456" s="391">
        <f>AVERAGE(Ashed_controlls!$K$2:$K$11)</f>
        <v>5.5147656768714146</v>
      </c>
      <c r="N456" s="225">
        <f t="shared" si="39"/>
        <v>1.6357283766020021</v>
      </c>
      <c r="O456" s="225">
        <f>IF(IFERROR(INDEX('Both teabags AfterWet'!$C$3:$C$841,MATCH(J456,'Both teabags AfterWet'!$A$3:$A$841,0)),"")="","",(IFERROR(INDEX('Both teabags AfterWet'!$C$3:$C$841,MATCH(J456,'Both teabags AfterWet'!$A$3:$A$841,0)),"")))</f>
        <v>0.72199999999999998</v>
      </c>
      <c r="P456" s="225">
        <f>IFERROR(IF(O456&gt;0,O456-(TBIcalc!$H$9),""),"")</f>
        <v>0.57139999999999991</v>
      </c>
      <c r="Q456" s="225">
        <f>IFERROR(INDEX('Ashed teabags wet'!$K$2:$K$821,MATCH(J456,'Ashed teabags wet'!$A$2:$A$821,0)),"")</f>
        <v>22.716049382715465</v>
      </c>
      <c r="R456" s="225">
        <f t="shared" si="36"/>
        <v>0.44160049382716376</v>
      </c>
      <c r="S456" s="226">
        <f>'WetLitterbags placem_collection'!E17</f>
        <v>42766</v>
      </c>
      <c r="T456" s="226">
        <f>IF('WetLitterbags placem_collection'!G17="","",'WetLitterbags placem_collection'!G17)</f>
        <v>42818</v>
      </c>
      <c r="U456" s="227">
        <f t="shared" si="38"/>
        <v>52</v>
      </c>
      <c r="V456" s="225">
        <f t="shared" si="40"/>
        <v>1.1598000000000002</v>
      </c>
      <c r="W456" s="225">
        <f t="shared" si="41"/>
        <v>1.1941278827748383</v>
      </c>
      <c r="X456">
        <f>IFERROR(INDEX(Rainfall_Wet!$O$2:$O$217,MATCH(B456, Rainfall_Wet!$A$2:$A$217,0)),"")</f>
        <v>194.43839254400001</v>
      </c>
      <c r="Y456" s="231">
        <v>21.13063730679653</v>
      </c>
      <c r="Z456" s="231">
        <v>3.0912555579081076</v>
      </c>
      <c r="AA456" s="231">
        <v>75.778107135295357</v>
      </c>
      <c r="AB456" s="232" t="s">
        <v>2670</v>
      </c>
      <c r="AC456" s="231">
        <v>6.4613109906357797</v>
      </c>
      <c r="AD456">
        <f>IF('WetLitterbags placem_collection'!AB17="","",'WetLitterbags placem_collection'!AB17)</f>
        <v>15.8</v>
      </c>
      <c r="AE456">
        <f>IF('WetLitterbags placem_collection'!Z17="","",'WetLitterbags placem_collection'!Z17)</f>
        <v>30.4</v>
      </c>
      <c r="AF456" s="246" t="str">
        <f>IF('WetLitterbags placem_collection'!AA17="","",'WetLitterbags placem_collection'!AA17)</f>
        <v>M</v>
      </c>
      <c r="AG456">
        <f>IF('WetLitterbags placem_collection'!AC17="","",'WetLitterbags placem_collection'!AC17)</f>
        <v>0</v>
      </c>
      <c r="AH456" s="240">
        <f>AVERAGE('WetLitterbags placem_collection'!S17,'WetLitterbags placem_collection'!U17)</f>
        <v>23.9</v>
      </c>
      <c r="AI456">
        <f>AVERAGE('WetLitterbags placem_collection'!R17,'WetLitterbags placem_collection'!T17)</f>
        <v>23.95</v>
      </c>
      <c r="AJ456">
        <f>INDEX(Coordinates!$B$2:$B$197,MATCH(G456,Coordinates!$J$2:$J$197,0))</f>
        <v>-3.3978060349999999</v>
      </c>
      <c r="AK456">
        <f>INDEX(Coordinates!$C$2:$C$197,MATCH(G456,Coordinates!$J$2:$J$197,0))</f>
        <v>34.837023960000003</v>
      </c>
      <c r="AL456" t="str">
        <f>IF(ISNUMBER(SEARCH("C", 'WetLitterbags placem_collection'!X17)),"YES","NO")</f>
        <v>NO</v>
      </c>
      <c r="AM456" t="str">
        <f>IF(ISNUMBER(SEARCH("H", 'WetLitterbags placem_collection'!X17)),"YES","NO")</f>
        <v>NO</v>
      </c>
      <c r="AN456" t="str">
        <f>IF(ISNUMBER(SEARCH("R", 'WetLitterbags placem_collection'!X17)),"YES","NO")</f>
        <v>YES</v>
      </c>
    </row>
    <row r="457" spans="1:40" ht="15" customHeight="1">
      <c r="A457" s="258" t="s">
        <v>2460</v>
      </c>
      <c r="B457" s="263">
        <f>'Dry_Litterbag Placem_Collection'!A18</f>
        <v>16</v>
      </c>
      <c r="C457" s="263" t="str">
        <f>'Dry_Litterbag Placem_Collection'!B18</f>
        <v>Makao</v>
      </c>
      <c r="D457" s="263" t="s">
        <v>2659</v>
      </c>
      <c r="E457" s="263" t="s">
        <v>2660</v>
      </c>
      <c r="F457" s="263">
        <v>2</v>
      </c>
      <c r="G457" s="264" t="str">
        <f>'Dry_Litterbag Placem_Collection'!C18</f>
        <v>Dry_Ag2_T8</v>
      </c>
      <c r="H457" s="273" t="s">
        <v>3651</v>
      </c>
      <c r="I457" s="266" t="s">
        <v>1147</v>
      </c>
      <c r="J457" s="223" t="str">
        <f>'WetLitterbags placem_collection'!O18</f>
        <v>G644</v>
      </c>
      <c r="K457" s="225">
        <f>IFERROR(INDEX('Green_rooibos initial weight'!$C$5:$C$1749,MATCH(J457, 'Green_rooibos initial weight'!$A$5:$A$1749,0)),"")</f>
        <v>2.157</v>
      </c>
      <c r="L457" s="225">
        <f>IFERROR(K457-(TBIcalc!$H$9+TBIcalc!$H$10),"")</f>
        <v>1.9072</v>
      </c>
      <c r="M457" s="391">
        <f>AVERAGE(Ashed_controlls!$K$2:$K$11)</f>
        <v>5.5147656768714146</v>
      </c>
      <c r="N457" s="225">
        <f t="shared" si="39"/>
        <v>1.8020223890107083</v>
      </c>
      <c r="O457" s="225">
        <f>IF(IFERROR(INDEX('Both teabags AfterWet'!$C$3:$C$841,MATCH(J457,'Both teabags AfterWet'!$A$3:$A$841,0)),"")="","",(IFERROR(INDEX('Both teabags AfterWet'!$C$3:$C$841,MATCH(J457,'Both teabags AfterWet'!$A$3:$A$841,0)),"")))</f>
        <v>0.65410000000000001</v>
      </c>
      <c r="P457" s="225">
        <f>IFERROR(IF(O457&gt;0,O457-(TBIcalc!$H$9),""),"")</f>
        <v>0.50350000000000006</v>
      </c>
      <c r="Q457" s="225">
        <f>IFERROR(INDEX('Ashed teabags wet'!$K$2:$K$821,MATCH(J457,'Ashed teabags wet'!$A$2:$A$821,0)),"")</f>
        <v>8.8551859099799302</v>
      </c>
      <c r="R457" s="225">
        <f t="shared" si="36"/>
        <v>0.45891413894325112</v>
      </c>
      <c r="S457" s="226">
        <f>'WetLitterbags placem_collection'!E18</f>
        <v>42766</v>
      </c>
      <c r="T457" s="226">
        <f>IF('WetLitterbags placem_collection'!G18="","",'WetLitterbags placem_collection'!G18)</f>
        <v>42818</v>
      </c>
      <c r="U457" s="227">
        <f t="shared" si="38"/>
        <v>52</v>
      </c>
      <c r="V457" s="225">
        <f t="shared" si="40"/>
        <v>1.4036999999999999</v>
      </c>
      <c r="W457" s="225">
        <f t="shared" si="41"/>
        <v>1.3431082500674572</v>
      </c>
      <c r="X457">
        <f>IFERROR(INDEX(Rainfall_Wet!$O$2:$O$217,MATCH(B457, Rainfall_Wet!$A$2:$A$217,0)),"")</f>
        <v>194.43839254400001</v>
      </c>
      <c r="Y457" s="231">
        <v>21.13063730679653</v>
      </c>
      <c r="Z457" s="231">
        <v>3.0912555579081076</v>
      </c>
      <c r="AA457" s="231">
        <v>75.778107135295357</v>
      </c>
      <c r="AB457" s="232" t="s">
        <v>2670</v>
      </c>
      <c r="AC457" s="231">
        <v>7.4613109906357797</v>
      </c>
      <c r="AD457">
        <f>IF('WetLitterbags placem_collection'!AB18="","",'WetLitterbags placem_collection'!AB18)</f>
        <v>8</v>
      </c>
      <c r="AE457">
        <f>IF('WetLitterbags placem_collection'!Z18="","",'WetLitterbags placem_collection'!Z18)</f>
        <v>12.4</v>
      </c>
      <c r="AF457" s="246" t="str">
        <f>IF('WetLitterbags placem_collection'!AA18="","",'WetLitterbags placem_collection'!AA18)</f>
        <v>M</v>
      </c>
      <c r="AG457">
        <f>IF('WetLitterbags placem_collection'!AC18="","",'WetLitterbags placem_collection'!AC18)</f>
        <v>0</v>
      </c>
      <c r="AH457" s="240">
        <f>AVERAGE('WetLitterbags placem_collection'!S18,'WetLitterbags placem_collection'!U18)</f>
        <v>17.5</v>
      </c>
      <c r="AI457">
        <f>AVERAGE('WetLitterbags placem_collection'!R18,'WetLitterbags placem_collection'!T18)</f>
        <v>24.05</v>
      </c>
      <c r="AJ457">
        <f>INDEX(Coordinates!$B$2:$B$197,MATCH(G457,Coordinates!$J$2:$J$197,0))</f>
        <v>-3.3977669760000002</v>
      </c>
      <c r="AK457">
        <f>INDEX(Coordinates!$C$2:$C$197,MATCH(G457,Coordinates!$J$2:$J$197,0))</f>
        <v>34.837181039999997</v>
      </c>
      <c r="AL457" t="str">
        <f>IF(ISNUMBER(SEARCH("C", 'WetLitterbags placem_collection'!X18)),"YES","NO")</f>
        <v>NO</v>
      </c>
      <c r="AM457" t="str">
        <f>IF(ISNUMBER(SEARCH("H", 'WetLitterbags placem_collection'!X18)),"YES","NO")</f>
        <v>NO</v>
      </c>
      <c r="AN457" t="str">
        <f>IF(ISNUMBER(SEARCH("R", 'WetLitterbags placem_collection'!X18)),"YES","NO")</f>
        <v>YES</v>
      </c>
    </row>
    <row r="458" spans="1:40" ht="15" customHeight="1">
      <c r="A458" s="258" t="s">
        <v>2460</v>
      </c>
      <c r="B458" s="263">
        <f>'Dry_Litterbag Placem_Collection'!A19</f>
        <v>17</v>
      </c>
      <c r="C458" s="263" t="str">
        <f>'Dry_Litterbag Placem_Collection'!B19</f>
        <v>Makao</v>
      </c>
      <c r="D458" s="263" t="s">
        <v>2659</v>
      </c>
      <c r="E458" s="263" t="s">
        <v>2660</v>
      </c>
      <c r="F458" s="263">
        <v>3</v>
      </c>
      <c r="G458" s="264" t="str">
        <f>'Dry_Litterbag Placem_Collection'!C19</f>
        <v>Dry_Ag3_T1</v>
      </c>
      <c r="H458" s="273" t="s">
        <v>3651</v>
      </c>
      <c r="I458" s="266" t="s">
        <v>1147</v>
      </c>
      <c r="J458" s="223" t="str">
        <f>'WetLitterbags placem_collection'!O19</f>
        <v>G648</v>
      </c>
      <c r="K458" s="225">
        <f>IFERROR(INDEX('Green_rooibos initial weight'!$C$5:$C$1749,MATCH(J458, 'Green_rooibos initial weight'!$A$5:$A$1749,0)),"")</f>
        <v>2.0249999999999999</v>
      </c>
      <c r="L458" s="225">
        <f>IFERROR(K458-(TBIcalc!$H$9+TBIcalc!$H$10),"")</f>
        <v>1.7751999999999999</v>
      </c>
      <c r="M458" s="391">
        <f>AVERAGE(Ashed_controlls!$K$2:$K$11)</f>
        <v>5.5147656768714146</v>
      </c>
      <c r="N458" s="225">
        <f t="shared" si="39"/>
        <v>1.6773018797041785</v>
      </c>
      <c r="O458" s="225">
        <f>IF(IFERROR(INDEX('Both teabags AfterWet'!$C$3:$C$841,MATCH(J458,'Both teabags AfterWet'!$A$3:$A$841,0)),"")="","",(IFERROR(INDEX('Both teabags AfterWet'!$C$3:$C$841,MATCH(J458,'Both teabags AfterWet'!$A$3:$A$841,0)),"")))</f>
        <v>0.6905</v>
      </c>
      <c r="P458" s="225">
        <f>IFERROR(IF(O458&gt;0,O458-(TBIcalc!$H$9),""),"")</f>
        <v>0.53990000000000005</v>
      </c>
      <c r="Q458" s="225">
        <f>IFERROR(INDEX('Ashed teabags wet'!$K$2:$K$821,MATCH(J458,'Ashed teabags wet'!$A$2:$A$821,0)),"")</f>
        <v>10.088582677165091</v>
      </c>
      <c r="R458" s="225">
        <f t="shared" si="36"/>
        <v>0.48543174212598572</v>
      </c>
      <c r="S458" s="226">
        <f>'WetLitterbags placem_collection'!E19</f>
        <v>42767</v>
      </c>
      <c r="T458" s="226">
        <f>IF('WetLitterbags placem_collection'!G19="","",'WetLitterbags placem_collection'!G19)</f>
        <v>42818</v>
      </c>
      <c r="U458" s="227">
        <f t="shared" si="38"/>
        <v>51</v>
      </c>
      <c r="V458" s="225">
        <f t="shared" si="40"/>
        <v>1.2352999999999998</v>
      </c>
      <c r="W458" s="225">
        <f t="shared" si="41"/>
        <v>1.1918701375781928</v>
      </c>
      <c r="X458">
        <f>IFERROR(INDEX(Rainfall_Wet!$O$2:$O$217,MATCH(B458, Rainfall_Wet!$A$2:$A$217,0)),"")</f>
        <v>185.630065823</v>
      </c>
      <c r="Y458" s="231">
        <v>54.080969906906262</v>
      </c>
      <c r="Z458" s="231">
        <v>21.264484651351896</v>
      </c>
      <c r="AA458" s="231">
        <v>24.654545441741845</v>
      </c>
      <c r="AB458" s="232" t="s">
        <v>2673</v>
      </c>
      <c r="AC458" s="231">
        <v>1.8433218334154755</v>
      </c>
      <c r="AD458" t="str">
        <f>IF('WetLitterbags placem_collection'!AB19="","",'WetLitterbags placem_collection'!AB19)</f>
        <v/>
      </c>
      <c r="AE458" t="str">
        <f>IF('WetLitterbags placem_collection'!Z19="","",'WetLitterbags placem_collection'!Z19)</f>
        <v/>
      </c>
      <c r="AF458" s="246" t="str">
        <f>IF('WetLitterbags placem_collection'!AA19="","",'WetLitterbags placem_collection'!AA19)</f>
        <v/>
      </c>
      <c r="AG458" t="str">
        <f>IF('WetLitterbags placem_collection'!AC19="","",'WetLitterbags placem_collection'!AC19)</f>
        <v/>
      </c>
      <c r="AH458" s="240">
        <f>AVERAGE('WetLitterbags placem_collection'!S19,'WetLitterbags placem_collection'!U19)</f>
        <v>35.9</v>
      </c>
      <c r="AI458">
        <f>AVERAGE('WetLitterbags placem_collection'!R19,'WetLitterbags placem_collection'!T19)</f>
        <v>21.35</v>
      </c>
      <c r="AJ458">
        <f>INDEX(Coordinates!$B$2:$B$197,MATCH(G458,Coordinates!$J$2:$J$197,0))</f>
        <v>-3.3854090330000002</v>
      </c>
      <c r="AK458">
        <f>INDEX(Coordinates!$C$2:$C$197,MATCH(G458,Coordinates!$J$2:$J$197,0))</f>
        <v>34.818901029999999</v>
      </c>
      <c r="AL458" t="str">
        <f>IF(ISNUMBER(SEARCH("C", 'WetLitterbags placem_collection'!X19)),"YES","NO")</f>
        <v>NO</v>
      </c>
      <c r="AM458" t="str">
        <f>IF(ISNUMBER(SEARCH("H", 'WetLitterbags placem_collection'!X19)),"YES","NO")</f>
        <v>NO</v>
      </c>
      <c r="AN458" t="str">
        <f>IF(ISNUMBER(SEARCH("R", 'WetLitterbags placem_collection'!X19)),"YES","NO")</f>
        <v>YES</v>
      </c>
    </row>
    <row r="459" spans="1:40" ht="15" customHeight="1">
      <c r="A459" s="258" t="s">
        <v>2460</v>
      </c>
      <c r="B459" s="263">
        <f>'Dry_Litterbag Placem_Collection'!A20</f>
        <v>18</v>
      </c>
      <c r="C459" s="263" t="str">
        <f>'Dry_Litterbag Placem_Collection'!B20</f>
        <v>Makao</v>
      </c>
      <c r="D459" s="263" t="s">
        <v>2659</v>
      </c>
      <c r="E459" s="263" t="s">
        <v>2660</v>
      </c>
      <c r="F459" s="263">
        <v>3</v>
      </c>
      <c r="G459" s="264" t="str">
        <f>'Dry_Litterbag Placem_Collection'!C20</f>
        <v>Dry_Ag3_T2</v>
      </c>
      <c r="H459" s="273" t="s">
        <v>3651</v>
      </c>
      <c r="I459" s="266" t="s">
        <v>1147</v>
      </c>
      <c r="J459" s="223" t="str">
        <f>'WetLitterbags placem_collection'!O20</f>
        <v>G573</v>
      </c>
      <c r="K459" s="225">
        <f>IFERROR(INDEX('Green_rooibos initial weight'!$C$5:$C$1749,MATCH(J459, 'Green_rooibos initial weight'!$A$5:$A$1749,0)),"")</f>
        <v>2.0019999999999998</v>
      </c>
      <c r="L459" s="225">
        <f>IFERROR(K459-(TBIcalc!$H$9+TBIcalc!$H$10),"")</f>
        <v>1.7521999999999998</v>
      </c>
      <c r="M459" s="391">
        <f>AVERAGE(Ashed_controlls!$K$2:$K$11)</f>
        <v>5.5147656768714146</v>
      </c>
      <c r="N459" s="225">
        <f t="shared" si="39"/>
        <v>1.6555702758098589</v>
      </c>
      <c r="O459" s="225">
        <f>IF(IFERROR(INDEX('Both teabags AfterWet'!$C$3:$C$841,MATCH(J459,'Both teabags AfterWet'!$A$3:$A$841,0)),"")="","",(IFERROR(INDEX('Both teabags AfterWet'!$C$3:$C$841,MATCH(J459,'Both teabags AfterWet'!$A$3:$A$841,0)),"")))</f>
        <v>0.72099999999999997</v>
      </c>
      <c r="P459" s="225">
        <f>IFERROR(IF(O459&gt;0,O459-(TBIcalc!$H$9),""),"")</f>
        <v>0.57040000000000002</v>
      </c>
      <c r="Q459" s="225">
        <f>IFERROR(INDEX('Ashed teabags wet'!$K$2:$K$821,MATCH(J459,'Ashed teabags wet'!$A$2:$A$821,0)),"")</f>
        <v>14.100096246390503</v>
      </c>
      <c r="R459" s="225">
        <f t="shared" ref="R459:R522" si="42">IFERROR(P459-(Q459/100)*P459,"")</f>
        <v>0.48997305101058858</v>
      </c>
      <c r="S459" s="226">
        <f>'WetLitterbags placem_collection'!E20</f>
        <v>42767</v>
      </c>
      <c r="T459" s="226">
        <f>IF('WetLitterbags placem_collection'!G20="","",'WetLitterbags placem_collection'!G20)</f>
        <v>42818</v>
      </c>
      <c r="U459" s="227">
        <f t="shared" si="38"/>
        <v>51</v>
      </c>
      <c r="V459" s="225">
        <f t="shared" si="40"/>
        <v>1.1817999999999997</v>
      </c>
      <c r="W459" s="225">
        <f t="shared" si="41"/>
        <v>1.1655972247992703</v>
      </c>
      <c r="X459">
        <f>IFERROR(INDEX(Rainfall_Wet!$O$2:$O$217,MATCH(B459, Rainfall_Wet!$A$2:$A$217,0)),"")</f>
        <v>185.630065823</v>
      </c>
      <c r="Y459" s="231">
        <v>54.080969906906262</v>
      </c>
      <c r="Z459" s="231">
        <v>21.264484651351896</v>
      </c>
      <c r="AA459" s="231">
        <v>24.654545441741845</v>
      </c>
      <c r="AB459" s="232" t="s">
        <v>2673</v>
      </c>
      <c r="AC459" s="231">
        <v>2.8433218334154802</v>
      </c>
      <c r="AD459" t="str">
        <f>IF('WetLitterbags placem_collection'!AB20="","",'WetLitterbags placem_collection'!AB20)</f>
        <v/>
      </c>
      <c r="AE459" t="str">
        <f>IF('WetLitterbags placem_collection'!Z20="","",'WetLitterbags placem_collection'!Z20)</f>
        <v/>
      </c>
      <c r="AF459" s="246" t="str">
        <f>IF('WetLitterbags placem_collection'!AA20="","",'WetLitterbags placem_collection'!AA20)</f>
        <v/>
      </c>
      <c r="AG459" t="str">
        <f>IF('WetLitterbags placem_collection'!AC20="","",'WetLitterbags placem_collection'!AC20)</f>
        <v/>
      </c>
      <c r="AH459" s="240">
        <f>AVERAGE('WetLitterbags placem_collection'!S20,'WetLitterbags placem_collection'!U20)</f>
        <v>36.950000000000003</v>
      </c>
      <c r="AI459">
        <f>AVERAGE('WetLitterbags placem_collection'!R20,'WetLitterbags placem_collection'!T20)</f>
        <v>21.35</v>
      </c>
      <c r="AJ459">
        <f>INDEX(Coordinates!$B$2:$B$197,MATCH(G459,Coordinates!$J$2:$J$197,0))</f>
        <v>-3.385375002</v>
      </c>
      <c r="AK459">
        <f>INDEX(Coordinates!$C$2:$C$197,MATCH(G459,Coordinates!$J$2:$J$197,0))</f>
        <v>34.818939999999998</v>
      </c>
      <c r="AL459" t="str">
        <f>IF(ISNUMBER(SEARCH("C", 'WetLitterbags placem_collection'!X20)),"YES","NO")</f>
        <v>NO</v>
      </c>
      <c r="AM459" t="str">
        <f>IF(ISNUMBER(SEARCH("H", 'WetLitterbags placem_collection'!X20)),"YES","NO")</f>
        <v>NO</v>
      </c>
      <c r="AN459" t="str">
        <f>IF(ISNUMBER(SEARCH("R", 'WetLitterbags placem_collection'!X20)),"YES","NO")</f>
        <v>YES</v>
      </c>
    </row>
    <row r="460" spans="1:40" ht="15" customHeight="1">
      <c r="A460" s="258" t="s">
        <v>2460</v>
      </c>
      <c r="B460" s="263">
        <f>'Dry_Litterbag Placem_Collection'!A21</f>
        <v>19</v>
      </c>
      <c r="C460" s="263" t="str">
        <f>'Dry_Litterbag Placem_Collection'!B21</f>
        <v>Makao</v>
      </c>
      <c r="D460" s="263" t="s">
        <v>2659</v>
      </c>
      <c r="E460" s="263" t="s">
        <v>2660</v>
      </c>
      <c r="F460" s="263">
        <v>3</v>
      </c>
      <c r="G460" s="264" t="str">
        <f>'Dry_Litterbag Placem_Collection'!C21</f>
        <v>Dry_Ag3_T3</v>
      </c>
      <c r="H460" s="273" t="s">
        <v>3651</v>
      </c>
      <c r="I460" s="266" t="s">
        <v>1147</v>
      </c>
      <c r="J460" s="223" t="str">
        <f>'WetLitterbags placem_collection'!O21</f>
        <v>G639</v>
      </c>
      <c r="K460" s="225">
        <f>IFERROR(INDEX('Green_rooibos initial weight'!$C$5:$C$1749,MATCH(J460, 'Green_rooibos initial weight'!$A$5:$A$1749,0)),"")</f>
        <v>2.1909999999999998</v>
      </c>
      <c r="L460" s="225">
        <f>IFERROR(K460-(TBIcalc!$H$9+TBIcalc!$H$10),"")</f>
        <v>1.9411999999999998</v>
      </c>
      <c r="M460" s="391">
        <f>AVERAGE(Ashed_controlls!$K$2:$K$11)</f>
        <v>5.5147656768714146</v>
      </c>
      <c r="N460" s="225">
        <f t="shared" si="39"/>
        <v>1.834147368680572</v>
      </c>
      <c r="O460" s="225">
        <f>IF(IFERROR(INDEX('Both teabags AfterWet'!$C$3:$C$841,MATCH(J460,'Both teabags AfterWet'!$A$3:$A$841,0)),"")="","",(IFERROR(INDEX('Both teabags AfterWet'!$C$3:$C$841,MATCH(J460,'Both teabags AfterWet'!$A$3:$A$841,0)),"")))</f>
        <v>0.89200000000000002</v>
      </c>
      <c r="P460" s="225">
        <f>IFERROR(IF(O460&gt;0,O460-(TBIcalc!$H$9),""),"")</f>
        <v>0.74140000000000006</v>
      </c>
      <c r="Q460" s="225">
        <f>IFERROR(INDEX('Ashed teabags wet'!$K$2:$K$821,MATCH(J460,'Ashed teabags wet'!$A$2:$A$821,0)),"")</f>
        <v>16.616616616617133</v>
      </c>
      <c r="R460" s="225">
        <f t="shared" si="42"/>
        <v>0.61820440440440061</v>
      </c>
      <c r="S460" s="226">
        <f>'WetLitterbags placem_collection'!E21</f>
        <v>42767</v>
      </c>
      <c r="T460" s="226">
        <f>IF('WetLitterbags placem_collection'!G21="","",'WetLitterbags placem_collection'!G21)</f>
        <v>42818</v>
      </c>
      <c r="U460" s="227">
        <f t="shared" si="38"/>
        <v>51</v>
      </c>
      <c r="V460" s="225">
        <f t="shared" si="40"/>
        <v>1.1997999999999998</v>
      </c>
      <c r="W460" s="225">
        <f t="shared" si="41"/>
        <v>1.2159429642761714</v>
      </c>
      <c r="X460">
        <f>IFERROR(INDEX(Rainfall_Wet!$O$2:$O$217,MATCH(B460, Rainfall_Wet!$A$2:$A$217,0)),"")</f>
        <v>185.630065823</v>
      </c>
      <c r="Y460" s="231">
        <v>54.080969906906262</v>
      </c>
      <c r="Z460" s="231">
        <v>21.264484651351896</v>
      </c>
      <c r="AA460" s="231">
        <v>24.654545441741845</v>
      </c>
      <c r="AB460" s="232" t="s">
        <v>2673</v>
      </c>
      <c r="AC460" s="231">
        <v>3.8433218334154802</v>
      </c>
      <c r="AD460" t="str">
        <f>IF('WetLitterbags placem_collection'!AB21="","",'WetLitterbags placem_collection'!AB21)</f>
        <v/>
      </c>
      <c r="AE460" t="str">
        <f>IF('WetLitterbags placem_collection'!Z21="","",'WetLitterbags placem_collection'!Z21)</f>
        <v/>
      </c>
      <c r="AF460" s="246" t="str">
        <f>IF('WetLitterbags placem_collection'!AA21="","",'WetLitterbags placem_collection'!AA21)</f>
        <v/>
      </c>
      <c r="AG460" t="str">
        <f>IF('WetLitterbags placem_collection'!AC21="","",'WetLitterbags placem_collection'!AC21)</f>
        <v/>
      </c>
      <c r="AH460" s="240">
        <f>AVERAGE('WetLitterbags placem_collection'!S21,'WetLitterbags placem_collection'!U21)</f>
        <v>39.299999999999997</v>
      </c>
      <c r="AI460">
        <f>AVERAGE('WetLitterbags placem_collection'!R21,'WetLitterbags placem_collection'!T21)</f>
        <v>21.1</v>
      </c>
      <c r="AJ460">
        <f>INDEX(Coordinates!$B$2:$B$197,MATCH(G460,Coordinates!$J$2:$J$197,0))</f>
        <v>-3.3853589930000001</v>
      </c>
      <c r="AK460">
        <f>INDEX(Coordinates!$C$2:$C$197,MATCH(G460,Coordinates!$J$2:$J$197,0))</f>
        <v>34.818991969999999</v>
      </c>
      <c r="AL460" t="str">
        <f>IF(ISNUMBER(SEARCH("C", 'WetLitterbags placem_collection'!X21)),"YES","NO")</f>
        <v>NO</v>
      </c>
      <c r="AM460" t="str">
        <f>IF(ISNUMBER(SEARCH("H", 'WetLitterbags placem_collection'!X21)),"YES","NO")</f>
        <v>NO</v>
      </c>
      <c r="AN460" t="str">
        <f>IF(ISNUMBER(SEARCH("R", 'WetLitterbags placem_collection'!X21)),"YES","NO")</f>
        <v>NO</v>
      </c>
    </row>
    <row r="461" spans="1:40" ht="15" customHeight="1">
      <c r="A461" s="258" t="s">
        <v>2460</v>
      </c>
      <c r="B461" s="263">
        <f>'Dry_Litterbag Placem_Collection'!A22</f>
        <v>20</v>
      </c>
      <c r="C461" s="263" t="str">
        <f>'Dry_Litterbag Placem_Collection'!B22</f>
        <v>Makao</v>
      </c>
      <c r="D461" s="263" t="s">
        <v>2659</v>
      </c>
      <c r="E461" s="263" t="s">
        <v>2660</v>
      </c>
      <c r="F461" s="263">
        <v>3</v>
      </c>
      <c r="G461" s="264" t="str">
        <f>'Dry_Litterbag Placem_Collection'!C22</f>
        <v>Dry_Ag3_T4</v>
      </c>
      <c r="H461" s="273" t="s">
        <v>3651</v>
      </c>
      <c r="I461" s="266" t="s">
        <v>1147</v>
      </c>
      <c r="J461" s="223" t="str">
        <f>'WetLitterbags placem_collection'!O22</f>
        <v>G505</v>
      </c>
      <c r="K461" s="225">
        <f>IFERROR(INDEX('Green_rooibos initial weight'!$C$5:$C$1749,MATCH(J461, 'Green_rooibos initial weight'!$A$5:$A$1749,0)),"")</f>
        <v>2.0510000000000002</v>
      </c>
      <c r="L461" s="225">
        <f>IFERROR(K461-(TBIcalc!$H$9+TBIcalc!$H$10),"")</f>
        <v>1.8012000000000001</v>
      </c>
      <c r="M461" s="391">
        <f>AVERAGE(Ashed_controlls!$K$2:$K$11)</f>
        <v>5.5147656768714146</v>
      </c>
      <c r="N461" s="225">
        <f t="shared" si="39"/>
        <v>1.7018680406281923</v>
      </c>
      <c r="O461" s="225">
        <f>IF(IFERROR(INDEX('Both teabags AfterWet'!$C$3:$C$841,MATCH(J461,'Both teabags AfterWet'!$A$3:$A$841,0)),"")="","",(IFERROR(INDEX('Both teabags AfterWet'!$C$3:$C$841,MATCH(J461,'Both teabags AfterWet'!$A$3:$A$841,0)),"")))</f>
        <v>0.70330000000000004</v>
      </c>
      <c r="P461" s="225">
        <f>IFERROR(IF(O461&gt;0,O461-(TBIcalc!$H$9),""),"")</f>
        <v>0.55269999999999997</v>
      </c>
      <c r="Q461" s="225">
        <f>IFERROR(INDEX('Ashed teabags wet'!$K$2:$K$821,MATCH(J461,'Ashed teabags wet'!$A$2:$A$821,0)),"")</f>
        <v>10.945273631841108</v>
      </c>
      <c r="R461" s="225">
        <f t="shared" si="42"/>
        <v>0.49220547263681419</v>
      </c>
      <c r="S461" s="226">
        <f>'WetLitterbags placem_collection'!E22</f>
        <v>42767</v>
      </c>
      <c r="T461" s="226">
        <f>IF('WetLitterbags placem_collection'!G22="","",'WetLitterbags placem_collection'!G22)</f>
        <v>42818</v>
      </c>
      <c r="U461" s="227">
        <f t="shared" si="38"/>
        <v>51</v>
      </c>
      <c r="V461" s="225">
        <f t="shared" si="40"/>
        <v>1.2485000000000002</v>
      </c>
      <c r="W461" s="225">
        <f t="shared" si="41"/>
        <v>1.2096625679913782</v>
      </c>
      <c r="X461">
        <f>IFERROR(INDEX(Rainfall_Wet!$O$2:$O$217,MATCH(B461, Rainfall_Wet!$A$2:$A$217,0)),"")</f>
        <v>185.630065823</v>
      </c>
      <c r="Y461" s="231">
        <v>54.080969906906262</v>
      </c>
      <c r="Z461" s="231">
        <v>21.264484651351896</v>
      </c>
      <c r="AA461" s="231">
        <v>24.654545441741845</v>
      </c>
      <c r="AB461" s="232" t="s">
        <v>2673</v>
      </c>
      <c r="AC461" s="231">
        <v>4.8433218334154802</v>
      </c>
      <c r="AD461" t="str">
        <f>IF('WetLitterbags placem_collection'!AB22="","",'WetLitterbags placem_collection'!AB22)</f>
        <v/>
      </c>
      <c r="AE461" t="str">
        <f>IF('WetLitterbags placem_collection'!Z22="","",'WetLitterbags placem_collection'!Z22)</f>
        <v/>
      </c>
      <c r="AF461" s="246" t="str">
        <f>IF('WetLitterbags placem_collection'!AA22="","",'WetLitterbags placem_collection'!AA22)</f>
        <v/>
      </c>
      <c r="AG461" t="str">
        <f>IF('WetLitterbags placem_collection'!AC22="","",'WetLitterbags placem_collection'!AC22)</f>
        <v/>
      </c>
      <c r="AH461" s="240">
        <f>AVERAGE('WetLitterbags placem_collection'!S22,'WetLitterbags placem_collection'!U22)</f>
        <v>40.049999999999997</v>
      </c>
      <c r="AI461">
        <f>AVERAGE('WetLitterbags placem_collection'!R22,'WetLitterbags placem_collection'!T22)</f>
        <v>21.35</v>
      </c>
      <c r="AJ461">
        <f>INDEX(Coordinates!$B$2:$B$197,MATCH(G461,Coordinates!$J$2:$J$197,0))</f>
        <v>-3.3853969629999998</v>
      </c>
      <c r="AK461">
        <f>INDEX(Coordinates!$C$2:$C$197,MATCH(G461,Coordinates!$J$2:$J$197,0))</f>
        <v>34.818977969999999</v>
      </c>
      <c r="AL461" t="str">
        <f>IF(ISNUMBER(SEARCH("C", 'WetLitterbags placem_collection'!X22)),"YES","NO")</f>
        <v>NO</v>
      </c>
      <c r="AM461" t="str">
        <f>IF(ISNUMBER(SEARCH("H", 'WetLitterbags placem_collection'!X22)),"YES","NO")</f>
        <v>NO</v>
      </c>
      <c r="AN461" t="str">
        <f>IF(ISNUMBER(SEARCH("R", 'WetLitterbags placem_collection'!X22)),"YES","NO")</f>
        <v>NO</v>
      </c>
    </row>
    <row r="462" spans="1:40" ht="15" customHeight="1">
      <c r="A462" s="258" t="s">
        <v>2460</v>
      </c>
      <c r="B462" s="263">
        <f>'Dry_Litterbag Placem_Collection'!A23</f>
        <v>21</v>
      </c>
      <c r="C462" s="263" t="str">
        <f>'Dry_Litterbag Placem_Collection'!B23</f>
        <v>Makao</v>
      </c>
      <c r="D462" s="263" t="s">
        <v>2659</v>
      </c>
      <c r="E462" s="263" t="s">
        <v>2660</v>
      </c>
      <c r="F462" s="263">
        <v>3</v>
      </c>
      <c r="G462" s="264" t="str">
        <f>'Dry_Litterbag Placem_Collection'!C23</f>
        <v>Dry_Ag3_T5</v>
      </c>
      <c r="H462" s="273" t="s">
        <v>3651</v>
      </c>
      <c r="I462" s="266" t="s">
        <v>1147</v>
      </c>
      <c r="J462" s="223" t="str">
        <f>'WetLitterbags placem_collection'!O23</f>
        <v>G721</v>
      </c>
      <c r="K462" s="225">
        <f>IFERROR(INDEX('Green_rooibos initial weight'!$C$5:$C$1749,MATCH(J462, 'Green_rooibos initial weight'!$A$5:$A$1749,0)),"")</f>
        <v>1.9910000000000001</v>
      </c>
      <c r="L462" s="225">
        <f>IFERROR(K462-(TBIcalc!$H$9+TBIcalc!$H$10),"")</f>
        <v>1.7412000000000001</v>
      </c>
      <c r="M462" s="391">
        <f>AVERAGE(Ashed_controlls!$K$2:$K$11)</f>
        <v>5.5147656768714146</v>
      </c>
      <c r="N462" s="225">
        <f t="shared" si="39"/>
        <v>1.645176900034315</v>
      </c>
      <c r="O462" s="225">
        <f>IF(IFERROR(INDEX('Both teabags AfterWet'!$C$3:$C$841,MATCH(J462,'Both teabags AfterWet'!$A$3:$A$841,0)),"")="","",(IFERROR(INDEX('Both teabags AfterWet'!$C$3:$C$841,MATCH(J462,'Both teabags AfterWet'!$A$3:$A$841,0)),"")))</f>
        <v>0.66739999999999999</v>
      </c>
      <c r="P462" s="225">
        <f>IFERROR(IF(O462&gt;0,O462-(TBIcalc!$H$9),""),"")</f>
        <v>0.51679999999999993</v>
      </c>
      <c r="Q462" s="225">
        <f>IFERROR(INDEX('Ashed teabags wet'!$K$2:$K$821,MATCH(J462,'Ashed teabags wet'!$A$2:$A$821,0)),"")</f>
        <v>10.415623435152472</v>
      </c>
      <c r="R462" s="225">
        <f t="shared" si="42"/>
        <v>0.46297205808713193</v>
      </c>
      <c r="S462" s="226">
        <f>'WetLitterbags placem_collection'!E23</f>
        <v>42767</v>
      </c>
      <c r="T462" s="226">
        <f>IF('WetLitterbags placem_collection'!G23="","",'WetLitterbags placem_collection'!G23)</f>
        <v>42818</v>
      </c>
      <c r="U462" s="227">
        <f t="shared" si="38"/>
        <v>51</v>
      </c>
      <c r="V462" s="225">
        <f t="shared" si="40"/>
        <v>1.2244000000000002</v>
      </c>
      <c r="W462" s="225">
        <f t="shared" si="41"/>
        <v>1.1822048419471831</v>
      </c>
      <c r="X462">
        <f>IFERROR(INDEX(Rainfall_Wet!$O$2:$O$217,MATCH(B462, Rainfall_Wet!$A$2:$A$217,0)),"")</f>
        <v>185.630065823</v>
      </c>
      <c r="Y462" s="231">
        <v>54.080969906906262</v>
      </c>
      <c r="Z462" s="231">
        <v>21.264484651351896</v>
      </c>
      <c r="AA462" s="231">
        <v>24.654545441741845</v>
      </c>
      <c r="AB462" s="232" t="s">
        <v>2673</v>
      </c>
      <c r="AC462" s="231">
        <v>5.8433218334154802</v>
      </c>
      <c r="AD462" t="str">
        <f>IF('WetLitterbags placem_collection'!AB23="","",'WetLitterbags placem_collection'!AB23)</f>
        <v/>
      </c>
      <c r="AE462" t="str">
        <f>IF('WetLitterbags placem_collection'!Z23="","",'WetLitterbags placem_collection'!Z23)</f>
        <v/>
      </c>
      <c r="AF462" s="246" t="str">
        <f>IF('WetLitterbags placem_collection'!AA23="","",'WetLitterbags placem_collection'!AA23)</f>
        <v/>
      </c>
      <c r="AG462" t="str">
        <f>IF('WetLitterbags placem_collection'!AC23="","",'WetLitterbags placem_collection'!AC23)</f>
        <v/>
      </c>
      <c r="AH462" s="240">
        <f>AVERAGE('WetLitterbags placem_collection'!S23,'WetLitterbags placem_collection'!U23)</f>
        <v>34.150000000000006</v>
      </c>
      <c r="AI462">
        <f>AVERAGE('WetLitterbags placem_collection'!R23,'WetLitterbags placem_collection'!T23)</f>
        <v>20.6</v>
      </c>
      <c r="AJ462">
        <f>INDEX(Coordinates!$B$2:$B$197,MATCH(G462,Coordinates!$J$2:$J$197,0))</f>
        <v>-3.3854019919999998</v>
      </c>
      <c r="AK462">
        <f>INDEX(Coordinates!$C$2:$C$197,MATCH(G462,Coordinates!$J$2:$J$197,0))</f>
        <v>34.81894604</v>
      </c>
      <c r="AL462" t="str">
        <f>IF(ISNUMBER(SEARCH("C", 'WetLitterbags placem_collection'!X23)),"YES","NO")</f>
        <v>NO</v>
      </c>
      <c r="AM462" t="str">
        <f>IF(ISNUMBER(SEARCH("H", 'WetLitterbags placem_collection'!X23)),"YES","NO")</f>
        <v>NO</v>
      </c>
      <c r="AN462" t="str">
        <f>IF(ISNUMBER(SEARCH("R", 'WetLitterbags placem_collection'!X23)),"YES","NO")</f>
        <v>NO</v>
      </c>
    </row>
    <row r="463" spans="1:40" ht="15" customHeight="1">
      <c r="A463" s="258" t="s">
        <v>2460</v>
      </c>
      <c r="B463" s="263">
        <f>'Dry_Litterbag Placem_Collection'!A24</f>
        <v>22</v>
      </c>
      <c r="C463" s="263" t="str">
        <f>'Dry_Litterbag Placem_Collection'!B24</f>
        <v>Makao</v>
      </c>
      <c r="D463" s="263" t="s">
        <v>2659</v>
      </c>
      <c r="E463" s="263" t="s">
        <v>2660</v>
      </c>
      <c r="F463" s="263">
        <v>3</v>
      </c>
      <c r="G463" s="264" t="str">
        <f>'Dry_Litterbag Placem_Collection'!C24</f>
        <v>Dry_Ag3_T6</v>
      </c>
      <c r="H463" s="273" t="s">
        <v>3651</v>
      </c>
      <c r="I463" s="266" t="s">
        <v>1147</v>
      </c>
      <c r="J463" s="223" t="str">
        <f>'WetLitterbags placem_collection'!O24</f>
        <v>G552</v>
      </c>
      <c r="K463" s="225">
        <f>IFERROR(INDEX('Green_rooibos initial weight'!$C$5:$C$1749,MATCH(J463, 'Green_rooibos initial weight'!$A$5:$A$1749,0)),"")</f>
        <v>2.1110000000000002</v>
      </c>
      <c r="L463" s="225">
        <f>IFERROR(K463-(TBIcalc!$H$9+TBIcalc!$H$10),"")</f>
        <v>1.8612000000000002</v>
      </c>
      <c r="M463" s="391">
        <f>AVERAGE(Ashed_controlls!$K$2:$K$11)</f>
        <v>5.5147656768714146</v>
      </c>
      <c r="N463" s="225">
        <f t="shared" si="39"/>
        <v>1.7585591812220693</v>
      </c>
      <c r="O463" s="225">
        <f>IF(IFERROR(INDEX('Both teabags AfterWet'!$C$3:$C$841,MATCH(J463,'Both teabags AfterWet'!$A$3:$A$841,0)),"")="","",(IFERROR(INDEX('Both teabags AfterWet'!$C$3:$C$841,MATCH(J463,'Both teabags AfterWet'!$A$3:$A$841,0)),"")))</f>
        <v>0.75929999999999997</v>
      </c>
      <c r="P463" s="225">
        <f>IFERROR(IF(O463&gt;0,O463-(TBIcalc!$H$9),""),"")</f>
        <v>0.60870000000000002</v>
      </c>
      <c r="Q463" s="225">
        <f>IFERROR(INDEX('Ashed teabags wet'!$K$2:$K$821,MATCH(J463,'Ashed teabags wet'!$A$2:$A$821,0)),"")</f>
        <v>12.068965517241553</v>
      </c>
      <c r="R463" s="225">
        <f t="shared" si="42"/>
        <v>0.53523620689655071</v>
      </c>
      <c r="S463" s="226">
        <f>'WetLitterbags placem_collection'!E24</f>
        <v>42767</v>
      </c>
      <c r="T463" s="226">
        <f>IF('WetLitterbags placem_collection'!G24="","",'WetLitterbags placem_collection'!G24)</f>
        <v>42818</v>
      </c>
      <c r="U463" s="227">
        <f t="shared" si="38"/>
        <v>51</v>
      </c>
      <c r="V463" s="225">
        <f t="shared" si="40"/>
        <v>1.2525000000000002</v>
      </c>
      <c r="W463" s="225">
        <f t="shared" si="41"/>
        <v>1.2233229743255185</v>
      </c>
      <c r="X463">
        <f>IFERROR(INDEX(Rainfall_Wet!$O$2:$O$217,MATCH(B463, Rainfall_Wet!$A$2:$A$217,0)),"")</f>
        <v>185.630065823</v>
      </c>
      <c r="Y463" s="231">
        <v>54.080969906906262</v>
      </c>
      <c r="Z463" s="231">
        <v>21.264484651351896</v>
      </c>
      <c r="AA463" s="231">
        <v>24.654545441741845</v>
      </c>
      <c r="AB463" s="232" t="s">
        <v>2673</v>
      </c>
      <c r="AC463" s="231">
        <v>6.8433218334154802</v>
      </c>
      <c r="AD463" t="str">
        <f>IF('WetLitterbags placem_collection'!AB24="","",'WetLitterbags placem_collection'!AB24)</f>
        <v/>
      </c>
      <c r="AE463" t="str">
        <f>IF('WetLitterbags placem_collection'!Z24="","",'WetLitterbags placem_collection'!Z24)</f>
        <v/>
      </c>
      <c r="AF463" s="246" t="str">
        <f>IF('WetLitterbags placem_collection'!AA24="","",'WetLitterbags placem_collection'!AA24)</f>
        <v/>
      </c>
      <c r="AG463" t="str">
        <f>IF('WetLitterbags placem_collection'!AC24="","",'WetLitterbags placem_collection'!AC24)</f>
        <v/>
      </c>
      <c r="AH463" s="240">
        <f>AVERAGE('WetLitterbags placem_collection'!S24,'WetLitterbags placem_collection'!U24)</f>
        <v>34.549999999999997</v>
      </c>
      <c r="AI463">
        <f>AVERAGE('WetLitterbags placem_collection'!R24,'WetLitterbags placem_collection'!T24)</f>
        <v>21.5</v>
      </c>
      <c r="AJ463">
        <f>INDEX(Coordinates!$B$2:$B$197,MATCH(G463,Coordinates!$J$2:$J$197,0))</f>
        <v>-3.3854470029999999</v>
      </c>
      <c r="AK463">
        <f>INDEX(Coordinates!$C$2:$C$197,MATCH(G463,Coordinates!$J$2:$J$197,0))</f>
        <v>34.818946959999998</v>
      </c>
      <c r="AL463" t="str">
        <f>IF(ISNUMBER(SEARCH("C", 'WetLitterbags placem_collection'!X24)),"YES","NO")</f>
        <v>NO</v>
      </c>
      <c r="AM463" t="str">
        <f>IF(ISNUMBER(SEARCH("H", 'WetLitterbags placem_collection'!X24)),"YES","NO")</f>
        <v>NO</v>
      </c>
      <c r="AN463" t="str">
        <f>IF(ISNUMBER(SEARCH("R", 'WetLitterbags placem_collection'!X24)),"YES","NO")</f>
        <v>NO</v>
      </c>
    </row>
    <row r="464" spans="1:40" ht="15" customHeight="1">
      <c r="A464" s="258" t="s">
        <v>2460</v>
      </c>
      <c r="B464" s="263">
        <f>'Dry_Litterbag Placem_Collection'!A25</f>
        <v>23</v>
      </c>
      <c r="C464" s="263" t="str">
        <f>'Dry_Litterbag Placem_Collection'!B25</f>
        <v>Makao</v>
      </c>
      <c r="D464" s="263" t="s">
        <v>2659</v>
      </c>
      <c r="E464" s="263" t="s">
        <v>2660</v>
      </c>
      <c r="F464" s="263">
        <v>3</v>
      </c>
      <c r="G464" s="264" t="str">
        <f>'Dry_Litterbag Placem_Collection'!C25</f>
        <v>Dry_Ag3_T7</v>
      </c>
      <c r="H464" s="273" t="s">
        <v>3651</v>
      </c>
      <c r="I464" s="266" t="s">
        <v>1147</v>
      </c>
      <c r="J464" s="223" t="str">
        <f>'WetLitterbags placem_collection'!O25</f>
        <v>G456</v>
      </c>
      <c r="K464" s="225">
        <f>IFERROR(INDEX('Green_rooibos initial weight'!$C$5:$C$1749,MATCH(J464, 'Green_rooibos initial weight'!$A$5:$A$1749,0)),"")</f>
        <v>2.117</v>
      </c>
      <c r="L464" s="225">
        <f>IFERROR(K464-(TBIcalc!$H$9+TBIcalc!$H$10),"")</f>
        <v>1.8672</v>
      </c>
      <c r="M464" s="391">
        <f>AVERAGE(Ashed_controlls!$K$2:$K$11)</f>
        <v>5.5147656768714146</v>
      </c>
      <c r="N464" s="225">
        <f t="shared" si="39"/>
        <v>1.764228295281457</v>
      </c>
      <c r="O464" s="225">
        <f>IF(IFERROR(INDEX('Both teabags AfterWet'!$C$3:$C$841,MATCH(J464,'Both teabags AfterWet'!$A$3:$A$841,0)),"")="","",(IFERROR(INDEX('Both teabags AfterWet'!$C$3:$C$841,MATCH(J464,'Both teabags AfterWet'!$A$3:$A$841,0)),"")))</f>
        <v>0.72629999999999995</v>
      </c>
      <c r="P464" s="225">
        <f>IFERROR(IF(O464&gt;0,O464-(TBIcalc!$H$9),""),"")</f>
        <v>0.57569999999999988</v>
      </c>
      <c r="Q464" s="225">
        <f>IFERROR(INDEX('Ashed teabags wet'!$K$2:$K$821,MATCH(J464,'Ashed teabags wet'!$A$2:$A$821,0)),"")</f>
        <v>5.4787506400411408</v>
      </c>
      <c r="R464" s="225">
        <f t="shared" si="42"/>
        <v>0.54415883256528308</v>
      </c>
      <c r="S464" s="226">
        <f>'WetLitterbags placem_collection'!E25</f>
        <v>42767</v>
      </c>
      <c r="T464" s="226">
        <f>IF('WetLitterbags placem_collection'!G25="","",'WetLitterbags placem_collection'!G25)</f>
        <v>42818</v>
      </c>
      <c r="U464" s="227">
        <f t="shared" si="38"/>
        <v>51</v>
      </c>
      <c r="V464" s="225">
        <f t="shared" si="40"/>
        <v>1.2915000000000001</v>
      </c>
      <c r="W464" s="225">
        <f t="shared" si="41"/>
        <v>1.2200694627161739</v>
      </c>
      <c r="X464">
        <f>IFERROR(INDEX(Rainfall_Wet!$O$2:$O$217,MATCH(B464, Rainfall_Wet!$A$2:$A$217,0)),"")</f>
        <v>185.630065823</v>
      </c>
      <c r="Y464" s="231">
        <v>54.080969906906262</v>
      </c>
      <c r="Z464" s="231">
        <v>21.264484651351896</v>
      </c>
      <c r="AA464" s="231">
        <v>24.654545441741845</v>
      </c>
      <c r="AB464" s="232" t="s">
        <v>2673</v>
      </c>
      <c r="AC464" s="231">
        <v>7.8433218334154802</v>
      </c>
      <c r="AD464" t="str">
        <f>IF('WetLitterbags placem_collection'!AB25="","",'WetLitterbags placem_collection'!AB25)</f>
        <v/>
      </c>
      <c r="AE464" t="str">
        <f>IF('WetLitterbags placem_collection'!Z25="","",'WetLitterbags placem_collection'!Z25)</f>
        <v/>
      </c>
      <c r="AF464" s="246" t="str">
        <f>IF('WetLitterbags placem_collection'!AA25="","",'WetLitterbags placem_collection'!AA25)</f>
        <v/>
      </c>
      <c r="AG464" t="str">
        <f>IF('WetLitterbags placem_collection'!AC25="","",'WetLitterbags placem_collection'!AC25)</f>
        <v/>
      </c>
      <c r="AH464" s="240">
        <f>AVERAGE('WetLitterbags placem_collection'!S25,'WetLitterbags placem_collection'!U25)</f>
        <v>34.5</v>
      </c>
      <c r="AI464">
        <f>AVERAGE('WetLitterbags placem_collection'!R25,'WetLitterbags placem_collection'!T25)</f>
        <v>20.65</v>
      </c>
      <c r="AJ464">
        <f>INDEX(Coordinates!$B$2:$B$197,MATCH(G464,Coordinates!$J$2:$J$197,0))</f>
        <v>-3.3854200130000001</v>
      </c>
      <c r="AK464">
        <f>INDEX(Coordinates!$C$2:$C$197,MATCH(G464,Coordinates!$J$2:$J$197,0))</f>
        <v>34.818856019999998</v>
      </c>
      <c r="AL464" t="str">
        <f>IF(ISNUMBER(SEARCH("C", 'WetLitterbags placem_collection'!X25)),"YES","NO")</f>
        <v>NO</v>
      </c>
      <c r="AM464" t="str">
        <f>IF(ISNUMBER(SEARCH("H", 'WetLitterbags placem_collection'!X25)),"YES","NO")</f>
        <v>NO</v>
      </c>
      <c r="AN464" t="str">
        <f>IF(ISNUMBER(SEARCH("R", 'WetLitterbags placem_collection'!X25)),"YES","NO")</f>
        <v>NO</v>
      </c>
    </row>
    <row r="465" spans="1:40" ht="15" customHeight="1">
      <c r="A465" s="258" t="s">
        <v>2460</v>
      </c>
      <c r="B465" s="263">
        <f>'Dry_Litterbag Placem_Collection'!A26</f>
        <v>24</v>
      </c>
      <c r="C465" s="263" t="str">
        <f>'Dry_Litterbag Placem_Collection'!B26</f>
        <v>Makao</v>
      </c>
      <c r="D465" s="263" t="s">
        <v>2659</v>
      </c>
      <c r="E465" s="263" t="s">
        <v>2660</v>
      </c>
      <c r="F465" s="263">
        <v>3</v>
      </c>
      <c r="G465" s="264" t="str">
        <f>'Dry_Litterbag Placem_Collection'!C26</f>
        <v>Dry_Ag3_T8</v>
      </c>
      <c r="H465" s="273" t="s">
        <v>3651</v>
      </c>
      <c r="I465" s="266" t="s">
        <v>1147</v>
      </c>
      <c r="J465" s="223" t="str">
        <f>'WetLitterbags placem_collection'!O26</f>
        <v>G421</v>
      </c>
      <c r="K465" s="225">
        <f>IFERROR(INDEX('Green_rooibos initial weight'!$C$5:$C$1749,MATCH(J465, 'Green_rooibos initial weight'!$A$5:$A$1749,0)),"")</f>
        <v>2.052</v>
      </c>
      <c r="L465" s="225">
        <f>IFERROR(K465-(TBIcalc!$H$9+TBIcalc!$H$10),"")</f>
        <v>1.8022</v>
      </c>
      <c r="M465" s="391">
        <f>AVERAGE(Ashed_controlls!$K$2:$K$11)</f>
        <v>5.5147656768714146</v>
      </c>
      <c r="N465" s="225">
        <f t="shared" si="39"/>
        <v>1.7028128929714235</v>
      </c>
      <c r="O465" s="225">
        <f>IF(IFERROR(INDEX('Both teabags AfterWet'!$C$3:$C$841,MATCH(J465,'Both teabags AfterWet'!$A$3:$A$841,0)),"")="","",(IFERROR(INDEX('Both teabags AfterWet'!$C$3:$C$841,MATCH(J465,'Both teabags AfterWet'!$A$3:$A$841,0)),"")))</f>
        <v>0.67</v>
      </c>
      <c r="P465" s="225">
        <f>IFERROR(IF(O465&gt;0,O465-(TBIcalc!$H$9),""),"")</f>
        <v>0.51940000000000008</v>
      </c>
      <c r="Q465" s="225">
        <f>IFERROR(INDEX('Ashed teabags wet'!$K$2:$K$821,MATCH(J465,'Ashed teabags wet'!$A$2:$A$821,0)),"")</f>
        <v>10.957551826258362</v>
      </c>
      <c r="R465" s="225">
        <f t="shared" si="42"/>
        <v>0.46248647581441416</v>
      </c>
      <c r="S465" s="226">
        <f>'WetLitterbags placem_collection'!E26</f>
        <v>42767</v>
      </c>
      <c r="T465" s="226">
        <f>IF('WetLitterbags placem_collection'!G26="","",'WetLitterbags placem_collection'!G26)</f>
        <v>42818</v>
      </c>
      <c r="U465" s="227">
        <f t="shared" si="38"/>
        <v>51</v>
      </c>
      <c r="V465" s="225">
        <f t="shared" si="40"/>
        <v>1.2827999999999999</v>
      </c>
      <c r="W465" s="225">
        <f t="shared" si="41"/>
        <v>1.2403264171570094</v>
      </c>
      <c r="X465">
        <f>IFERROR(INDEX(Rainfall_Wet!$O$2:$O$217,MATCH(B465, Rainfall_Wet!$A$2:$A$217,0)),"")</f>
        <v>185.630065823</v>
      </c>
      <c r="Y465" s="231">
        <v>54.080969906906262</v>
      </c>
      <c r="Z465" s="231">
        <v>21.264484651351896</v>
      </c>
      <c r="AA465" s="231">
        <v>24.654545441741845</v>
      </c>
      <c r="AB465" s="232" t="s">
        <v>2673</v>
      </c>
      <c r="AC465" s="231">
        <v>8.8433218334154695</v>
      </c>
      <c r="AD465" t="str">
        <f>IF('WetLitterbags placem_collection'!AB26="","",'WetLitterbags placem_collection'!AB26)</f>
        <v/>
      </c>
      <c r="AE465" t="str">
        <f>IF('WetLitterbags placem_collection'!Z26="","",'WetLitterbags placem_collection'!Z26)</f>
        <v/>
      </c>
      <c r="AF465" s="246" t="str">
        <f>IF('WetLitterbags placem_collection'!AA26="","",'WetLitterbags placem_collection'!AA26)</f>
        <v/>
      </c>
      <c r="AG465" t="str">
        <f>IF('WetLitterbags placem_collection'!AC26="","",'WetLitterbags placem_collection'!AC26)</f>
        <v/>
      </c>
      <c r="AH465" s="240">
        <f>AVERAGE('WetLitterbags placem_collection'!S26,'WetLitterbags placem_collection'!U26)</f>
        <v>36.950000000000003</v>
      </c>
      <c r="AI465">
        <f>AVERAGE('WetLitterbags placem_collection'!R26,'WetLitterbags placem_collection'!T26)</f>
        <v>21.1</v>
      </c>
      <c r="AJ465">
        <f>INDEX(Coordinates!$B$2:$B$197,MATCH(G465,Coordinates!$J$2:$J$197,0))</f>
        <v>-3.3853829649999998</v>
      </c>
      <c r="AK465">
        <f>INDEX(Coordinates!$C$2:$C$197,MATCH(G465,Coordinates!$J$2:$J$197,0))</f>
        <v>34.818877980000003</v>
      </c>
      <c r="AL465" t="str">
        <f>IF(ISNUMBER(SEARCH("C", 'WetLitterbags placem_collection'!X26)),"YES","NO")</f>
        <v>NO</v>
      </c>
      <c r="AM465" t="str">
        <f>IF(ISNUMBER(SEARCH("H", 'WetLitterbags placem_collection'!X26)),"YES","NO")</f>
        <v>NO</v>
      </c>
      <c r="AN465" t="str">
        <f>IF(ISNUMBER(SEARCH("R", 'WetLitterbags placem_collection'!X26)),"YES","NO")</f>
        <v>NO</v>
      </c>
    </row>
    <row r="466" spans="1:40" ht="15" customHeight="1">
      <c r="A466" s="258" t="s">
        <v>2460</v>
      </c>
      <c r="B466" s="263">
        <f>'Dry_Litterbag Placem_Collection'!A27</f>
        <v>25</v>
      </c>
      <c r="C466" s="263" t="str">
        <f>'Dry_Litterbag Placem_Collection'!B27</f>
        <v>Makao</v>
      </c>
      <c r="D466" s="263" t="s">
        <v>2659</v>
      </c>
      <c r="E466" s="263" t="s">
        <v>2660</v>
      </c>
      <c r="F466" s="263">
        <v>4</v>
      </c>
      <c r="G466" s="264" t="str">
        <f>'Dry_Litterbag Placem_Collection'!C27</f>
        <v>Dry_Ag4_T1</v>
      </c>
      <c r="H466" s="273" t="s">
        <v>3651</v>
      </c>
      <c r="I466" s="266" t="s">
        <v>1147</v>
      </c>
      <c r="J466" s="223" t="str">
        <f>'WetLitterbags placem_collection'!O27</f>
        <v>G864</v>
      </c>
      <c r="K466" s="225">
        <f>IFERROR(INDEX('Green_rooibos initial weight'!$C$5:$C$1749,MATCH(J466, 'Green_rooibos initial weight'!$A$5:$A$1749,0)),"")</f>
        <v>2.0310000000000001</v>
      </c>
      <c r="L466" s="225">
        <f>IFERROR(K466-(TBIcalc!$H$9+TBIcalc!$H$10),"")</f>
        <v>1.7812000000000001</v>
      </c>
      <c r="M466" s="391">
        <f>AVERAGE(Ashed_controlls!$K$2:$K$11)</f>
        <v>5.5147656768714146</v>
      </c>
      <c r="N466" s="225">
        <f t="shared" si="39"/>
        <v>1.6829709937635664</v>
      </c>
      <c r="O466" s="225">
        <f>IF(IFERROR(INDEX('Both teabags AfterWet'!$C$3:$C$841,MATCH(J466,'Both teabags AfterWet'!$A$3:$A$841,0)),"")="","",(IFERROR(INDEX('Both teabags AfterWet'!$C$3:$C$841,MATCH(J466,'Both teabags AfterWet'!$A$3:$A$841,0)),"")))</f>
        <v>0.65839999999999999</v>
      </c>
      <c r="P466" s="225">
        <f>IFERROR(IF(O466&gt;0,O466-(TBIcalc!$H$9),""),"")</f>
        <v>0.50780000000000003</v>
      </c>
      <c r="Q466" s="225">
        <f>IFERROR(INDEX('Ashed teabags wet'!$K$2:$K$821,MATCH(J466,'Ashed teabags wet'!$A$2:$A$821,0)),"")</f>
        <v>15.647921760391469</v>
      </c>
      <c r="R466" s="225">
        <f t="shared" si="42"/>
        <v>0.42833985330073215</v>
      </c>
      <c r="S466" s="226">
        <f>'WetLitterbags placem_collection'!E27</f>
        <v>42767</v>
      </c>
      <c r="T466" s="226">
        <f>IF('WetLitterbags placem_collection'!G27="","",'WetLitterbags placem_collection'!G27)</f>
        <v>42818</v>
      </c>
      <c r="U466" s="227">
        <f t="shared" si="38"/>
        <v>51</v>
      </c>
      <c r="V466" s="225">
        <f t="shared" si="40"/>
        <v>1.2734000000000001</v>
      </c>
      <c r="W466" s="225">
        <f t="shared" si="41"/>
        <v>1.2546311404628343</v>
      </c>
      <c r="X466">
        <f>IFERROR(INDEX(Rainfall_Wet!$O$2:$O$217,MATCH(B466, Rainfall_Wet!$A$2:$A$217,0)),"")</f>
        <v>185.630065823</v>
      </c>
      <c r="Y466" s="231">
        <v>51.960000000000008</v>
      </c>
      <c r="Z466" s="231">
        <v>18.919999999999995</v>
      </c>
      <c r="AA466" s="231">
        <v>29.120000000000005</v>
      </c>
      <c r="AB466" s="232" t="s">
        <v>2673</v>
      </c>
      <c r="AC466" s="231">
        <v>1.85293247905372</v>
      </c>
      <c r="AD466" t="str">
        <f>IF('WetLitterbags placem_collection'!AB27="","",'WetLitterbags placem_collection'!AB27)</f>
        <v/>
      </c>
      <c r="AE466" t="str">
        <f>IF('WetLitterbags placem_collection'!Z27="","",'WetLitterbags placem_collection'!Z27)</f>
        <v/>
      </c>
      <c r="AF466" s="246" t="str">
        <f>IF('WetLitterbags placem_collection'!AA27="","",'WetLitterbags placem_collection'!AA27)</f>
        <v/>
      </c>
      <c r="AG466" t="str">
        <f>IF('WetLitterbags placem_collection'!AC27="","",'WetLitterbags placem_collection'!AC27)</f>
        <v/>
      </c>
      <c r="AH466" s="240">
        <f>AVERAGE('WetLitterbags placem_collection'!S27,'WetLitterbags placem_collection'!U27)</f>
        <v>36.85</v>
      </c>
      <c r="AI466">
        <f>AVERAGE('WetLitterbags placem_collection'!R27,'WetLitterbags placem_collection'!T27)</f>
        <v>21.35</v>
      </c>
      <c r="AJ466">
        <f>INDEX(Coordinates!$B$2:$B$197,MATCH(G466,Coordinates!$J$2:$J$197,0))</f>
        <v>-3.3849129919999998</v>
      </c>
      <c r="AK466">
        <f>INDEX(Coordinates!$C$2:$C$197,MATCH(G466,Coordinates!$J$2:$J$197,0))</f>
        <v>34.818899020000003</v>
      </c>
      <c r="AL466" t="str">
        <f>IF(ISNUMBER(SEARCH("C", 'WetLitterbags placem_collection'!X27)),"YES","NO")</f>
        <v>NO</v>
      </c>
      <c r="AM466" t="str">
        <f>IF(ISNUMBER(SEARCH("H", 'WetLitterbags placem_collection'!X27)),"YES","NO")</f>
        <v>NO</v>
      </c>
      <c r="AN466" t="str">
        <f>IF(ISNUMBER(SEARCH("R", 'WetLitterbags placem_collection'!X27)),"YES","NO")</f>
        <v>NO</v>
      </c>
    </row>
    <row r="467" spans="1:40" ht="15" customHeight="1">
      <c r="A467" s="258" t="s">
        <v>2460</v>
      </c>
      <c r="B467" s="263">
        <f>'Dry_Litterbag Placem_Collection'!A28</f>
        <v>26</v>
      </c>
      <c r="C467" s="263" t="str">
        <f>'Dry_Litterbag Placem_Collection'!B28</f>
        <v>Makao</v>
      </c>
      <c r="D467" s="263" t="s">
        <v>2659</v>
      </c>
      <c r="E467" s="263" t="s">
        <v>2660</v>
      </c>
      <c r="F467" s="263">
        <v>4</v>
      </c>
      <c r="G467" s="264" t="str">
        <f>'Dry_Litterbag Placem_Collection'!C28</f>
        <v>Dry_Ag4_T2</v>
      </c>
      <c r="H467" s="273" t="s">
        <v>3651</v>
      </c>
      <c r="I467" s="266" t="s">
        <v>1147</v>
      </c>
      <c r="J467" s="223" t="str">
        <f>'WetLitterbags placem_collection'!O28</f>
        <v>G506</v>
      </c>
      <c r="K467" s="225">
        <f>IFERROR(INDEX('Green_rooibos initial weight'!$C$5:$C$1749,MATCH(J467, 'Green_rooibos initial weight'!$A$5:$A$1749,0)),"")</f>
        <v>1.9079999999999999</v>
      </c>
      <c r="L467" s="225">
        <f>IFERROR(K467-(TBIcalc!$H$9+TBIcalc!$H$10),"")</f>
        <v>1.6581999999999999</v>
      </c>
      <c r="M467" s="391">
        <f>AVERAGE(Ashed_controlls!$K$2:$K$11)</f>
        <v>5.5147656768714146</v>
      </c>
      <c r="N467" s="225">
        <f t="shared" si="39"/>
        <v>1.5667541555461182</v>
      </c>
      <c r="O467" s="225">
        <f>IF(IFERROR(INDEX('Both teabags AfterWet'!$C$3:$C$841,MATCH(J467,'Both teabags AfterWet'!$A$3:$A$841,0)),"")="","",(IFERROR(INDEX('Both teabags AfterWet'!$C$3:$C$841,MATCH(J467,'Both teabags AfterWet'!$A$3:$A$841,0)),"")))</f>
        <v>0.67589999999999995</v>
      </c>
      <c r="P467" s="225">
        <f>IFERROR(IF(O467&gt;0,O467-(TBIcalc!$H$9),""),"")</f>
        <v>0.52529999999999988</v>
      </c>
      <c r="Q467" s="225">
        <f>IFERROR(INDEX('Ashed teabags wet'!$K$2:$K$821,MATCH(J467,'Ashed teabags wet'!$A$2:$A$821,0)),"")</f>
        <v>8.561473369835749</v>
      </c>
      <c r="R467" s="225">
        <f t="shared" si="42"/>
        <v>0.48032658038825271</v>
      </c>
      <c r="S467" s="226">
        <f>'WetLitterbags placem_collection'!E28</f>
        <v>42767</v>
      </c>
      <c r="T467" s="226">
        <f>IF('WetLitterbags placem_collection'!G28="","",'WetLitterbags placem_collection'!G28)</f>
        <v>42818</v>
      </c>
      <c r="U467" s="227">
        <f t="shared" si="38"/>
        <v>51</v>
      </c>
      <c r="V467" s="225">
        <f t="shared" si="40"/>
        <v>1.1329</v>
      </c>
      <c r="W467" s="225">
        <f t="shared" si="41"/>
        <v>1.0864275751578654</v>
      </c>
      <c r="X467">
        <f>IFERROR(INDEX(Rainfall_Wet!$O$2:$O$217,MATCH(B467, Rainfall_Wet!$A$2:$A$217,0)),"")</f>
        <v>185.630065823</v>
      </c>
      <c r="Y467" s="231">
        <v>51.960000000000008</v>
      </c>
      <c r="Z467" s="231">
        <v>18.919999999999995</v>
      </c>
      <c r="AA467" s="231">
        <v>29.120000000000005</v>
      </c>
      <c r="AB467" s="232" t="s">
        <v>2673</v>
      </c>
      <c r="AC467" s="231">
        <v>2.8529324790537198</v>
      </c>
      <c r="AD467" t="str">
        <f>IF('WetLitterbags placem_collection'!AB28="","",'WetLitterbags placem_collection'!AB28)</f>
        <v/>
      </c>
      <c r="AE467" t="str">
        <f>IF('WetLitterbags placem_collection'!Z28="","",'WetLitterbags placem_collection'!Z28)</f>
        <v/>
      </c>
      <c r="AF467" s="246" t="str">
        <f>IF('WetLitterbags placem_collection'!AA28="","",'WetLitterbags placem_collection'!AA28)</f>
        <v/>
      </c>
      <c r="AG467" t="str">
        <f>IF('WetLitterbags placem_collection'!AC28="","",'WetLitterbags placem_collection'!AC28)</f>
        <v/>
      </c>
      <c r="AH467" s="240">
        <f>AVERAGE('WetLitterbags placem_collection'!S28,'WetLitterbags placem_collection'!U28)</f>
        <v>31.3</v>
      </c>
      <c r="AI467">
        <f>AVERAGE('WetLitterbags placem_collection'!R28,'WetLitterbags placem_collection'!T28)</f>
        <v>20.7</v>
      </c>
      <c r="AJ467">
        <f>INDEX(Coordinates!$B$2:$B$197,MATCH(G467,Coordinates!$J$2:$J$197,0))</f>
        <v>-3.3849689999999999</v>
      </c>
      <c r="AK467">
        <f>INDEX(Coordinates!$C$2:$C$197,MATCH(G467,Coordinates!$J$2:$J$197,0))</f>
        <v>34.818908</v>
      </c>
      <c r="AL467" t="str">
        <f>IF(ISNUMBER(SEARCH("C", 'WetLitterbags placem_collection'!X28)),"YES","NO")</f>
        <v>NO</v>
      </c>
      <c r="AM467" t="str">
        <f>IF(ISNUMBER(SEARCH("H", 'WetLitterbags placem_collection'!X28)),"YES","NO")</f>
        <v>NO</v>
      </c>
      <c r="AN467" t="str">
        <f>IF(ISNUMBER(SEARCH("R", 'WetLitterbags placem_collection'!X28)),"YES","NO")</f>
        <v>NO</v>
      </c>
    </row>
    <row r="468" spans="1:40" ht="15" customHeight="1">
      <c r="A468" s="258" t="s">
        <v>2460</v>
      </c>
      <c r="B468" s="263">
        <f>'Dry_Litterbag Placem_Collection'!A29</f>
        <v>27</v>
      </c>
      <c r="C468" s="263" t="str">
        <f>'Dry_Litterbag Placem_Collection'!B29</f>
        <v>Makao</v>
      </c>
      <c r="D468" s="263" t="s">
        <v>2659</v>
      </c>
      <c r="E468" s="263" t="s">
        <v>2660</v>
      </c>
      <c r="F468" s="263">
        <v>4</v>
      </c>
      <c r="G468" s="264" t="str">
        <f>'Dry_Litterbag Placem_Collection'!C29</f>
        <v>Dry_Ag4_T3</v>
      </c>
      <c r="H468" s="273" t="s">
        <v>3651</v>
      </c>
      <c r="I468" s="266" t="s">
        <v>1147</v>
      </c>
      <c r="J468" s="223" t="str">
        <f>'WetLitterbags placem_collection'!O29</f>
        <v>G449</v>
      </c>
      <c r="K468" s="225">
        <f>IFERROR(INDEX('Green_rooibos initial weight'!$C$5:$C$1749,MATCH(J468, 'Green_rooibos initial weight'!$A$5:$A$1749,0)),"")</f>
        <v>2.1749999999999998</v>
      </c>
      <c r="L468" s="225">
        <f>IFERROR(K468-(TBIcalc!$H$9+TBIcalc!$H$10),"")</f>
        <v>1.9251999999999998</v>
      </c>
      <c r="M468" s="391">
        <f>AVERAGE(Ashed_controlls!$K$2:$K$11)</f>
        <v>5.5147656768714146</v>
      </c>
      <c r="N468" s="225">
        <f t="shared" si="39"/>
        <v>1.8190297311888712</v>
      </c>
      <c r="O468" s="225">
        <f>IF(IFERROR(INDEX('Both teabags AfterWet'!$C$3:$C$841,MATCH(J468,'Both teabags AfterWet'!$A$3:$A$841,0)),"")="","",(IFERROR(INDEX('Both teabags AfterWet'!$C$3:$C$841,MATCH(J468,'Both teabags AfterWet'!$A$3:$A$841,0)),"")))</f>
        <v>0.73760000000000003</v>
      </c>
      <c r="P468" s="225">
        <f>IFERROR(IF(O468&gt;0,O468-(TBIcalc!$H$9),""),"")</f>
        <v>0.58699999999999997</v>
      </c>
      <c r="Q468" s="225">
        <f>IFERROR(INDEX('Ashed teabags wet'!$K$2:$K$821,MATCH(J468,'Ashed teabags wet'!$A$2:$A$821,0)),"")</f>
        <v>10.444777611194501</v>
      </c>
      <c r="R468" s="225">
        <f t="shared" si="42"/>
        <v>0.52568915542228822</v>
      </c>
      <c r="S468" s="226">
        <f>'WetLitterbags placem_collection'!E29</f>
        <v>42767</v>
      </c>
      <c r="T468" s="226">
        <f>IF('WetLitterbags placem_collection'!G29="","",'WetLitterbags placem_collection'!G29)</f>
        <v>42818</v>
      </c>
      <c r="U468" s="227">
        <f t="shared" si="38"/>
        <v>51</v>
      </c>
      <c r="V468" s="225">
        <f t="shared" si="40"/>
        <v>1.3381999999999998</v>
      </c>
      <c r="W468" s="225">
        <f t="shared" si="41"/>
        <v>1.293340575766583</v>
      </c>
      <c r="X468">
        <f>IFERROR(INDEX(Rainfall_Wet!$O$2:$O$217,MATCH(B468, Rainfall_Wet!$A$2:$A$217,0)),"")</f>
        <v>185.630065823</v>
      </c>
      <c r="Y468" s="231">
        <v>51.960000000000008</v>
      </c>
      <c r="Z468" s="231">
        <v>18.919999999999995</v>
      </c>
      <c r="AA468" s="231">
        <v>29.120000000000005</v>
      </c>
      <c r="AB468" s="232" t="s">
        <v>2673</v>
      </c>
      <c r="AC468" s="231">
        <v>3.8529324790537198</v>
      </c>
      <c r="AD468" t="str">
        <f>IF('WetLitterbags placem_collection'!AB29="","",'WetLitterbags placem_collection'!AB29)</f>
        <v/>
      </c>
      <c r="AE468" t="str">
        <f>IF('WetLitterbags placem_collection'!Z29="","",'WetLitterbags placem_collection'!Z29)</f>
        <v/>
      </c>
      <c r="AF468" s="246" t="str">
        <f>IF('WetLitterbags placem_collection'!AA29="","",'WetLitterbags placem_collection'!AA29)</f>
        <v/>
      </c>
      <c r="AG468" t="str">
        <f>IF('WetLitterbags placem_collection'!AC29="","",'WetLitterbags placem_collection'!AC29)</f>
        <v/>
      </c>
      <c r="AH468" s="240">
        <f>AVERAGE('WetLitterbags placem_collection'!S29,'WetLitterbags placem_collection'!U29)</f>
        <v>28.900000000000002</v>
      </c>
      <c r="AI468">
        <f>AVERAGE('WetLitterbags placem_collection'!R29,'WetLitterbags placem_collection'!T29)</f>
        <v>21.4</v>
      </c>
      <c r="AJ468">
        <f>INDEX(Coordinates!$B$2:$B$197,MATCH(G468,Coordinates!$J$2:$J$197,0))</f>
        <v>-3.3849350359999999</v>
      </c>
      <c r="AK468">
        <f>INDEX(Coordinates!$C$2:$C$197,MATCH(G468,Coordinates!$J$2:$J$197,0))</f>
        <v>34.818943019999999</v>
      </c>
      <c r="AL468" t="str">
        <f>IF(ISNUMBER(SEARCH("C", 'WetLitterbags placem_collection'!X29)),"YES","NO")</f>
        <v>NO</v>
      </c>
      <c r="AM468" t="str">
        <f>IF(ISNUMBER(SEARCH("H", 'WetLitterbags placem_collection'!X29)),"YES","NO")</f>
        <v>NO</v>
      </c>
      <c r="AN468" t="str">
        <f>IF(ISNUMBER(SEARCH("R", 'WetLitterbags placem_collection'!X29)),"YES","NO")</f>
        <v>NO</v>
      </c>
    </row>
    <row r="469" spans="1:40" ht="15" customHeight="1">
      <c r="A469" s="258" t="s">
        <v>2460</v>
      </c>
      <c r="B469" s="263">
        <f>'Dry_Litterbag Placem_Collection'!A30</f>
        <v>28</v>
      </c>
      <c r="C469" s="263" t="str">
        <f>'Dry_Litterbag Placem_Collection'!B30</f>
        <v>Makao</v>
      </c>
      <c r="D469" s="263" t="s">
        <v>2659</v>
      </c>
      <c r="E469" s="263" t="s">
        <v>2660</v>
      </c>
      <c r="F469" s="263">
        <v>4</v>
      </c>
      <c r="G469" s="264" t="str">
        <f>'Dry_Litterbag Placem_Collection'!C30</f>
        <v>Dry_Ag4_T4</v>
      </c>
      <c r="H469" s="273" t="s">
        <v>3651</v>
      </c>
      <c r="I469" s="266" t="s">
        <v>1147</v>
      </c>
      <c r="J469" s="223" t="str">
        <f>'WetLitterbags placem_collection'!O30</f>
        <v>G502</v>
      </c>
      <c r="K469" s="225">
        <f>IFERROR(INDEX('Green_rooibos initial weight'!$C$5:$C$1749,MATCH(J469, 'Green_rooibos initial weight'!$A$5:$A$1749,0)),"")</f>
        <v>1.929</v>
      </c>
      <c r="L469" s="225">
        <f>IFERROR(K469-(TBIcalc!$H$9+TBIcalc!$H$10),"")</f>
        <v>1.6792</v>
      </c>
      <c r="M469" s="391">
        <f>AVERAGE(Ashed_controlls!$K$2:$K$11)</f>
        <v>5.5147656768714146</v>
      </c>
      <c r="N469" s="225">
        <f t="shared" si="39"/>
        <v>1.5865960547539752</v>
      </c>
      <c r="O469" s="225">
        <f>IF(IFERROR(INDEX('Both teabags AfterWet'!$C$3:$C$841,MATCH(J469,'Both teabags AfterWet'!$A$3:$A$841,0)),"")="","",(IFERROR(INDEX('Both teabags AfterWet'!$C$3:$C$841,MATCH(J469,'Both teabags AfterWet'!$A$3:$A$841,0)),"")))</f>
        <v>0.60960000000000003</v>
      </c>
      <c r="P469" s="225">
        <f>IFERROR(IF(O469&gt;0,O469-(TBIcalc!$H$9),""),"")</f>
        <v>0.45900000000000002</v>
      </c>
      <c r="Q469" s="225">
        <f>IFERROR(INDEX('Ashed teabags wet'!$K$2:$K$821,MATCH(J469,'Ashed teabags wet'!$A$2:$A$821,0)),"")</f>
        <v>10.16121152906673</v>
      </c>
      <c r="R469" s="225">
        <f t="shared" si="42"/>
        <v>0.41236003908158375</v>
      </c>
      <c r="S469" s="226">
        <f>'WetLitterbags placem_collection'!E30</f>
        <v>42767</v>
      </c>
      <c r="T469" s="226">
        <f>IF('WetLitterbags placem_collection'!G30="","",'WetLitterbags placem_collection'!G30)</f>
        <v>42818</v>
      </c>
      <c r="U469" s="227">
        <f t="shared" si="38"/>
        <v>51</v>
      </c>
      <c r="V469" s="225">
        <f t="shared" si="40"/>
        <v>1.2202</v>
      </c>
      <c r="W469" s="225">
        <f t="shared" si="41"/>
        <v>1.1742360156723914</v>
      </c>
      <c r="X469">
        <f>IFERROR(INDEX(Rainfall_Wet!$O$2:$O$217,MATCH(B469, Rainfall_Wet!$A$2:$A$217,0)),"")</f>
        <v>185.630065823</v>
      </c>
      <c r="Y469" s="231">
        <v>51.960000000000008</v>
      </c>
      <c r="Z469" s="231">
        <v>18.919999999999995</v>
      </c>
      <c r="AA469" s="231">
        <v>29.120000000000005</v>
      </c>
      <c r="AB469" s="232" t="s">
        <v>2673</v>
      </c>
      <c r="AC469" s="231">
        <v>4.8529324790537203</v>
      </c>
      <c r="AD469" t="str">
        <f>IF('WetLitterbags placem_collection'!AB30="","",'WetLitterbags placem_collection'!AB30)</f>
        <v/>
      </c>
      <c r="AE469" t="str">
        <f>IF('WetLitterbags placem_collection'!Z30="","",'WetLitterbags placem_collection'!Z30)</f>
        <v/>
      </c>
      <c r="AF469" s="246" t="str">
        <f>IF('WetLitterbags placem_collection'!AA30="","",'WetLitterbags placem_collection'!AA30)</f>
        <v/>
      </c>
      <c r="AG469" t="str">
        <f>IF('WetLitterbags placem_collection'!AC30="","",'WetLitterbags placem_collection'!AC30)</f>
        <v/>
      </c>
      <c r="AH469" s="240">
        <f>AVERAGE('WetLitterbags placem_collection'!S30,'WetLitterbags placem_collection'!U30)</f>
        <v>33.4</v>
      </c>
      <c r="AI469">
        <f>AVERAGE('WetLitterbags placem_collection'!R30,'WetLitterbags placem_collection'!T30)</f>
        <v>20.6</v>
      </c>
      <c r="AJ469">
        <f>INDEX(Coordinates!$B$2:$B$197,MATCH(G469,Coordinates!$J$2:$J$197,0))</f>
        <v>-3.3850070369999998</v>
      </c>
      <c r="AK469">
        <f>INDEX(Coordinates!$C$2:$C$197,MATCH(G469,Coordinates!$J$2:$J$197,0))</f>
        <v>34.818888960000002</v>
      </c>
      <c r="AL469" t="str">
        <f>IF(ISNUMBER(SEARCH("C", 'WetLitterbags placem_collection'!X30)),"YES","NO")</f>
        <v>NO</v>
      </c>
      <c r="AM469" t="str">
        <f>IF(ISNUMBER(SEARCH("H", 'WetLitterbags placem_collection'!X30)),"YES","NO")</f>
        <v>NO</v>
      </c>
      <c r="AN469" t="str">
        <f>IF(ISNUMBER(SEARCH("R", 'WetLitterbags placem_collection'!X30)),"YES","NO")</f>
        <v>NO</v>
      </c>
    </row>
    <row r="470" spans="1:40" ht="15" customHeight="1">
      <c r="A470" s="258" t="s">
        <v>2460</v>
      </c>
      <c r="B470" s="263">
        <f>'Dry_Litterbag Placem_Collection'!A31</f>
        <v>29</v>
      </c>
      <c r="C470" s="263" t="str">
        <f>'Dry_Litterbag Placem_Collection'!B31</f>
        <v>Makao</v>
      </c>
      <c r="D470" s="263" t="s">
        <v>2659</v>
      </c>
      <c r="E470" s="263" t="s">
        <v>2660</v>
      </c>
      <c r="F470" s="263">
        <v>4</v>
      </c>
      <c r="G470" s="264" t="str">
        <f>'Dry_Litterbag Placem_Collection'!C31</f>
        <v>Dry_Ag4_T5</v>
      </c>
      <c r="H470" s="273" t="s">
        <v>3651</v>
      </c>
      <c r="I470" s="266" t="s">
        <v>1147</v>
      </c>
      <c r="J470" s="223" t="str">
        <f>'WetLitterbags placem_collection'!O31</f>
        <v>G345</v>
      </c>
      <c r="K470" s="225">
        <f>IFERROR(INDEX('Green_rooibos initial weight'!$C$5:$C$1749,MATCH(J470, 'Green_rooibos initial weight'!$A$5:$A$1749,0)),"")</f>
        <v>2.012</v>
      </c>
      <c r="L470" s="225">
        <f>IFERROR(K470-(TBIcalc!$H$9+TBIcalc!$H$10),"")</f>
        <v>1.7622</v>
      </c>
      <c r="M470" s="391">
        <f>AVERAGE(Ashed_controlls!$K$2:$K$11)</f>
        <v>5.5147656768714146</v>
      </c>
      <c r="N470" s="225">
        <f t="shared" si="39"/>
        <v>1.6650187992421719</v>
      </c>
      <c r="O470" s="225">
        <f>IF(IFERROR(INDEX('Both teabags AfterWet'!$C$3:$C$841,MATCH(J470,'Both teabags AfterWet'!$A$3:$A$841,0)),"")="","",(IFERROR(INDEX('Both teabags AfterWet'!$C$3:$C$841,MATCH(J470,'Both teabags AfterWet'!$A$3:$A$841,0)),"")))</f>
        <v>0.64829999999999999</v>
      </c>
      <c r="P470" s="225">
        <f>IFERROR(IF(O470&gt;0,O470-(TBIcalc!$H$9),""),"")</f>
        <v>0.49769999999999998</v>
      </c>
      <c r="Q470" s="225">
        <f>IFERROR(INDEX('Ashed teabags wet'!$K$2:$K$821,MATCH(J470,'Ashed teabags wet'!$A$2:$A$821,0)),"")</f>
        <v>9.5937347038662821</v>
      </c>
      <c r="R470" s="225">
        <f t="shared" si="42"/>
        <v>0.44995198237885747</v>
      </c>
      <c r="S470" s="226">
        <f>'WetLitterbags placem_collection'!E31</f>
        <v>42767</v>
      </c>
      <c r="T470" s="226">
        <f>IF('WetLitterbags placem_collection'!G31="","",'WetLitterbags placem_collection'!G31)</f>
        <v>42818</v>
      </c>
      <c r="U470" s="227">
        <f t="shared" si="38"/>
        <v>51</v>
      </c>
      <c r="V470" s="225">
        <f t="shared" si="40"/>
        <v>1.2645</v>
      </c>
      <c r="W470" s="225">
        <f t="shared" si="41"/>
        <v>1.2150668168633145</v>
      </c>
      <c r="X470">
        <f>IFERROR(INDEX(Rainfall_Wet!$O$2:$O$217,MATCH(B470, Rainfall_Wet!$A$2:$A$217,0)),"")</f>
        <v>185.630065823</v>
      </c>
      <c r="Y470" s="231">
        <v>51.960000000000008</v>
      </c>
      <c r="Z470" s="231">
        <v>18.919999999999995</v>
      </c>
      <c r="AA470" s="231">
        <v>29.120000000000005</v>
      </c>
      <c r="AB470" s="232" t="s">
        <v>2673</v>
      </c>
      <c r="AC470" s="231">
        <v>5.8529324790537203</v>
      </c>
      <c r="AD470" t="str">
        <f>IF('WetLitterbags placem_collection'!AB31="","",'WetLitterbags placem_collection'!AB31)</f>
        <v/>
      </c>
      <c r="AE470" t="str">
        <f>IF('WetLitterbags placem_collection'!Z31="","",'WetLitterbags placem_collection'!Z31)</f>
        <v/>
      </c>
      <c r="AF470" s="246" t="str">
        <f>IF('WetLitterbags placem_collection'!AA31="","",'WetLitterbags placem_collection'!AA31)</f>
        <v/>
      </c>
      <c r="AG470" t="str">
        <f>IF('WetLitterbags placem_collection'!AC31="","",'WetLitterbags placem_collection'!AC31)</f>
        <v/>
      </c>
      <c r="AH470" s="240">
        <f>AVERAGE('WetLitterbags placem_collection'!S31,'WetLitterbags placem_collection'!U31)</f>
        <v>28.4</v>
      </c>
      <c r="AI470">
        <f>AVERAGE('WetLitterbags placem_collection'!R31,'WetLitterbags placem_collection'!T31)</f>
        <v>21.049999999999997</v>
      </c>
      <c r="AJ470">
        <f>INDEX(Coordinates!$B$2:$B$197,MATCH(G470,Coordinates!$J$2:$J$197,0))</f>
        <v>-3.3849480280000002</v>
      </c>
      <c r="AK470">
        <f>INDEX(Coordinates!$C$2:$C$197,MATCH(G470,Coordinates!$J$2:$J$197,0))</f>
        <v>34.818854010000003</v>
      </c>
      <c r="AL470" t="str">
        <f>IF(ISNUMBER(SEARCH("C", 'WetLitterbags placem_collection'!X31)),"YES","NO")</f>
        <v>NO</v>
      </c>
      <c r="AM470" t="str">
        <f>IF(ISNUMBER(SEARCH("H", 'WetLitterbags placem_collection'!X31)),"YES","NO")</f>
        <v>NO</v>
      </c>
      <c r="AN470" t="str">
        <f>IF(ISNUMBER(SEARCH("R", 'WetLitterbags placem_collection'!X31)),"YES","NO")</f>
        <v>NO</v>
      </c>
    </row>
    <row r="471" spans="1:40" ht="15" customHeight="1">
      <c r="A471" s="258" t="s">
        <v>2460</v>
      </c>
      <c r="B471" s="263">
        <f>'Dry_Litterbag Placem_Collection'!A32</f>
        <v>30</v>
      </c>
      <c r="C471" s="263" t="str">
        <f>'Dry_Litterbag Placem_Collection'!B32</f>
        <v>Makao</v>
      </c>
      <c r="D471" s="263" t="s">
        <v>2659</v>
      </c>
      <c r="E471" s="263" t="s">
        <v>2660</v>
      </c>
      <c r="F471" s="263">
        <v>4</v>
      </c>
      <c r="G471" s="264" t="str">
        <f>'Dry_Litterbag Placem_Collection'!C32</f>
        <v>Dry_Ag4_T6</v>
      </c>
      <c r="H471" s="273" t="s">
        <v>3651</v>
      </c>
      <c r="I471" s="266" t="s">
        <v>1147</v>
      </c>
      <c r="J471" s="223" t="str">
        <f>'WetLitterbags placem_collection'!O32</f>
        <v>G500</v>
      </c>
      <c r="K471" s="225">
        <f>IFERROR(INDEX('Green_rooibos initial weight'!$C$5:$C$1749,MATCH(J471, 'Green_rooibos initial weight'!$A$5:$A$1749,0)),"")</f>
        <v>2.0830000000000002</v>
      </c>
      <c r="L471" s="225">
        <f>IFERROR(K471-(TBIcalc!$H$9+TBIcalc!$H$10),"")</f>
        <v>1.8332000000000002</v>
      </c>
      <c r="M471" s="391">
        <f>AVERAGE(Ashed_controlls!$K$2:$K$11)</f>
        <v>5.5147656768714146</v>
      </c>
      <c r="N471" s="225">
        <f t="shared" si="39"/>
        <v>1.7321033156115935</v>
      </c>
      <c r="O471" s="225">
        <f>IF(IFERROR(INDEX('Both teabags AfterWet'!$C$3:$C$841,MATCH(J471,'Both teabags AfterWet'!$A$3:$A$841,0)),"")="","",(IFERROR(INDEX('Both teabags AfterWet'!$C$3:$C$841,MATCH(J471,'Both teabags AfterWet'!$A$3:$A$841,0)),"")))</f>
        <v>0.61909999999999998</v>
      </c>
      <c r="P471" s="225">
        <f>IFERROR(IF(O471&gt;0,O471-(TBIcalc!$H$9),""),"")</f>
        <v>0.46849999999999997</v>
      </c>
      <c r="Q471" s="225">
        <f>IFERROR(INDEX('Ashed teabags wet'!$K$2:$K$821,MATCH(J471,'Ashed teabags wet'!$A$2:$A$821,0)),"")</f>
        <v>10.952848722986133</v>
      </c>
      <c r="R471" s="225">
        <f t="shared" si="42"/>
        <v>0.41718590373280995</v>
      </c>
      <c r="S471" s="226">
        <f>'WetLitterbags placem_collection'!E32</f>
        <v>42767</v>
      </c>
      <c r="T471" s="226">
        <f>IF('WetLitterbags placem_collection'!G32="","",'WetLitterbags placem_collection'!G32)</f>
        <v>42818</v>
      </c>
      <c r="U471" s="227">
        <f t="shared" si="38"/>
        <v>51</v>
      </c>
      <c r="V471" s="225">
        <f t="shared" si="40"/>
        <v>1.3647000000000002</v>
      </c>
      <c r="W471" s="225">
        <f t="shared" si="41"/>
        <v>1.3149174118787834</v>
      </c>
      <c r="X471">
        <f>IFERROR(INDEX(Rainfall_Wet!$O$2:$O$217,MATCH(B471, Rainfall_Wet!$A$2:$A$217,0)),"")</f>
        <v>185.630065823</v>
      </c>
      <c r="Y471" s="231">
        <v>51.960000000000008</v>
      </c>
      <c r="Z471" s="231">
        <v>18.919999999999995</v>
      </c>
      <c r="AA471" s="231">
        <v>29.120000000000005</v>
      </c>
      <c r="AB471" s="232" t="s">
        <v>2673</v>
      </c>
      <c r="AC471" s="231">
        <v>6.8529324790537203</v>
      </c>
      <c r="AD471" t="str">
        <f>IF('WetLitterbags placem_collection'!AB32="","",'WetLitterbags placem_collection'!AB32)</f>
        <v/>
      </c>
      <c r="AE471" t="str">
        <f>IF('WetLitterbags placem_collection'!Z32="","",'WetLitterbags placem_collection'!Z32)</f>
        <v/>
      </c>
      <c r="AF471" s="246" t="str">
        <f>IF('WetLitterbags placem_collection'!AA32="","",'WetLitterbags placem_collection'!AA32)</f>
        <v/>
      </c>
      <c r="AG471" t="str">
        <f>IF('WetLitterbags placem_collection'!AC32="","",'WetLitterbags placem_collection'!AC32)</f>
        <v/>
      </c>
      <c r="AH471" s="240">
        <f>AVERAGE('WetLitterbags placem_collection'!S32,'WetLitterbags placem_collection'!U32)</f>
        <v>26.9</v>
      </c>
      <c r="AI471">
        <f>AVERAGE('WetLitterbags placem_collection'!R32,'WetLitterbags placem_collection'!T32)</f>
        <v>20.7</v>
      </c>
      <c r="AJ471">
        <f>INDEX(Coordinates!$B$2:$B$197,MATCH(G471,Coordinates!$J$2:$J$197,0))</f>
        <v>-3.38496496</v>
      </c>
      <c r="AK471">
        <f>INDEX(Coordinates!$C$2:$C$197,MATCH(G471,Coordinates!$J$2:$J$197,0))</f>
        <v>34.818790970000002</v>
      </c>
      <c r="AL471" t="str">
        <f>IF(ISNUMBER(SEARCH("C", 'WetLitterbags placem_collection'!X32)),"YES","NO")</f>
        <v>NO</v>
      </c>
      <c r="AM471" t="str">
        <f>IF(ISNUMBER(SEARCH("H", 'WetLitterbags placem_collection'!X32)),"YES","NO")</f>
        <v>NO</v>
      </c>
      <c r="AN471" t="str">
        <f>IF(ISNUMBER(SEARCH("R", 'WetLitterbags placem_collection'!X32)),"YES","NO")</f>
        <v>NO</v>
      </c>
    </row>
    <row r="472" spans="1:40" ht="15" customHeight="1">
      <c r="A472" s="258" t="s">
        <v>2460</v>
      </c>
      <c r="B472" s="263">
        <f>'Dry_Litterbag Placem_Collection'!A33</f>
        <v>31</v>
      </c>
      <c r="C472" s="263" t="str">
        <f>'Dry_Litterbag Placem_Collection'!B33</f>
        <v>Makao</v>
      </c>
      <c r="D472" s="263" t="s">
        <v>2659</v>
      </c>
      <c r="E472" s="263" t="s">
        <v>2660</v>
      </c>
      <c r="F472" s="263">
        <v>4</v>
      </c>
      <c r="G472" s="264" t="str">
        <f>'Dry_Litterbag Placem_Collection'!C33</f>
        <v>Dry_Ag4_T7</v>
      </c>
      <c r="H472" s="273" t="s">
        <v>3651</v>
      </c>
      <c r="I472" s="266" t="s">
        <v>1147</v>
      </c>
      <c r="J472" s="223" t="str">
        <f>'WetLitterbags placem_collection'!O33</f>
        <v>G521</v>
      </c>
      <c r="K472" s="225">
        <f>IFERROR(INDEX('Green_rooibos initial weight'!$C$5:$C$1749,MATCH(J472, 'Green_rooibos initial weight'!$A$5:$A$1749,0)),"")</f>
        <v>2.1709999999999998</v>
      </c>
      <c r="L472" s="225">
        <f>IFERROR(K472-(TBIcalc!$H$9+TBIcalc!$H$10),"")</f>
        <v>1.9211999999999998</v>
      </c>
      <c r="M472" s="391">
        <f>AVERAGE(Ashed_controlls!$K$2:$K$11)</f>
        <v>5.5147656768714146</v>
      </c>
      <c r="N472" s="225">
        <f t="shared" si="39"/>
        <v>1.8152503218159461</v>
      </c>
      <c r="O472" s="225">
        <f>IF(IFERROR(INDEX('Both teabags AfterWet'!$C$3:$C$841,MATCH(J472,'Both teabags AfterWet'!$A$3:$A$841,0)),"")="","",(IFERROR(INDEX('Both teabags AfterWet'!$C$3:$C$841,MATCH(J472,'Both teabags AfterWet'!$A$3:$A$841,0)),"")))</f>
        <v>0.71479999999999999</v>
      </c>
      <c r="P472" s="225">
        <f>IFERROR(IF(O472&gt;0,O472-(TBIcalc!$H$9),""),"")</f>
        <v>0.56420000000000003</v>
      </c>
      <c r="Q472" s="225">
        <f>IFERROR(INDEX('Ashed teabags wet'!$K$2:$K$821,MATCH(J472,'Ashed teabags wet'!$A$2:$A$821,0)),"")</f>
        <v>14.161008729389133</v>
      </c>
      <c r="R472" s="225">
        <f t="shared" si="42"/>
        <v>0.48430358874878654</v>
      </c>
      <c r="S472" s="226">
        <f>'WetLitterbags placem_collection'!E33</f>
        <v>42767</v>
      </c>
      <c r="T472" s="226">
        <f>IF('WetLitterbags placem_collection'!G33="","",'WetLitterbags placem_collection'!G33)</f>
        <v>42818</v>
      </c>
      <c r="U472" s="227">
        <f t="shared" si="38"/>
        <v>51</v>
      </c>
      <c r="V472" s="225">
        <f t="shared" si="40"/>
        <v>1.3569999999999998</v>
      </c>
      <c r="W472" s="225">
        <f t="shared" si="41"/>
        <v>1.3309467330671596</v>
      </c>
      <c r="X472">
        <f>IFERROR(INDEX(Rainfall_Wet!$O$2:$O$217,MATCH(B472, Rainfall_Wet!$A$2:$A$217,0)),"")</f>
        <v>185.630065823</v>
      </c>
      <c r="Y472" s="231">
        <v>51.960000000000008</v>
      </c>
      <c r="Z472" s="231">
        <v>18.919999999999995</v>
      </c>
      <c r="AA472" s="231">
        <v>29.120000000000005</v>
      </c>
      <c r="AB472" s="232" t="s">
        <v>2673</v>
      </c>
      <c r="AC472" s="231">
        <v>7.8529324790537203</v>
      </c>
      <c r="AD472" t="str">
        <f>IF('WetLitterbags placem_collection'!AB33="","",'WetLitterbags placem_collection'!AB33)</f>
        <v/>
      </c>
      <c r="AE472" t="str">
        <f>IF('WetLitterbags placem_collection'!Z33="","",'WetLitterbags placem_collection'!Z33)</f>
        <v/>
      </c>
      <c r="AF472" s="246" t="str">
        <f>IF('WetLitterbags placem_collection'!AA33="","",'WetLitterbags placem_collection'!AA33)</f>
        <v/>
      </c>
      <c r="AG472" t="str">
        <f>IF('WetLitterbags placem_collection'!AC33="","",'WetLitterbags placem_collection'!AC33)</f>
        <v/>
      </c>
      <c r="AH472" s="240">
        <f>AVERAGE('WetLitterbags placem_collection'!S33,'WetLitterbags placem_collection'!U33)</f>
        <v>33</v>
      </c>
      <c r="AI472">
        <f>AVERAGE('WetLitterbags placem_collection'!R33,'WetLitterbags placem_collection'!T33)</f>
        <v>20.950000000000003</v>
      </c>
      <c r="AJ472">
        <f>INDEX(Coordinates!$B$2:$B$197,MATCH(G472,Coordinates!$J$2:$J$197,0))</f>
        <v>-3.3848409909999999</v>
      </c>
      <c r="AK472">
        <f>INDEX(Coordinates!$C$2:$C$197,MATCH(G472,Coordinates!$J$2:$J$197,0))</f>
        <v>34.818838999999997</v>
      </c>
      <c r="AL472" t="str">
        <f>IF(ISNUMBER(SEARCH("C", 'WetLitterbags placem_collection'!X33)),"YES","NO")</f>
        <v>NO</v>
      </c>
      <c r="AM472" t="str">
        <f>IF(ISNUMBER(SEARCH("H", 'WetLitterbags placem_collection'!X33)),"YES","NO")</f>
        <v>NO</v>
      </c>
      <c r="AN472" t="str">
        <f>IF(ISNUMBER(SEARCH("R", 'WetLitterbags placem_collection'!X33)),"YES","NO")</f>
        <v>YES</v>
      </c>
    </row>
    <row r="473" spans="1:40" ht="15" customHeight="1">
      <c r="A473" s="258" t="s">
        <v>2460</v>
      </c>
      <c r="B473" s="263">
        <f>'Dry_Litterbag Placem_Collection'!A34</f>
        <v>32</v>
      </c>
      <c r="C473" s="263" t="str">
        <f>'Dry_Litterbag Placem_Collection'!B34</f>
        <v>Makao</v>
      </c>
      <c r="D473" s="263" t="s">
        <v>2659</v>
      </c>
      <c r="E473" s="263" t="s">
        <v>2660</v>
      </c>
      <c r="F473" s="263">
        <v>4</v>
      </c>
      <c r="G473" s="264" t="str">
        <f>'Dry_Litterbag Placem_Collection'!C34</f>
        <v>Dry_Ag4_T8</v>
      </c>
      <c r="H473" s="273" t="s">
        <v>3651</v>
      </c>
      <c r="I473" s="266" t="s">
        <v>1147</v>
      </c>
      <c r="J473" s="223" t="str">
        <f>'WetLitterbags placem_collection'!O34</f>
        <v>G201</v>
      </c>
      <c r="K473" s="225">
        <f>IFERROR(INDEX('Green_rooibos initial weight'!$C$5:$C$1749,MATCH(J473, 'Green_rooibos initial weight'!$A$5:$A$1749,0)),"")</f>
        <v>2.2370000000000001</v>
      </c>
      <c r="L473" s="225">
        <f>IFERROR(K473-(TBIcalc!$H$9+TBIcalc!$H$10),"")</f>
        <v>1.9872000000000001</v>
      </c>
      <c r="M473" s="391">
        <f>AVERAGE(Ashed_controlls!$K$2:$K$11)</f>
        <v>5.5147656768714146</v>
      </c>
      <c r="N473" s="225">
        <f t="shared" si="39"/>
        <v>1.8776105764692113</v>
      </c>
      <c r="O473" s="225">
        <f>IF(IFERROR(INDEX('Both teabags AfterWet'!$C$3:$C$841,MATCH(J473,'Both teabags AfterWet'!$A$3:$A$841,0)),"")="","",(IFERROR(INDEX('Both teabags AfterWet'!$C$3:$C$841,MATCH(J473,'Both teabags AfterWet'!$A$3:$A$841,0)),"")))</f>
        <v>0.67359999999999998</v>
      </c>
      <c r="P473" s="225">
        <f>IFERROR(IF(O473&gt;0,O473-(TBIcalc!$H$9),""),"")</f>
        <v>0.52299999999999991</v>
      </c>
      <c r="Q473" s="225">
        <f>IFERROR(INDEX('Ashed teabags wet'!$K$2:$K$821,MATCH(J473,'Ashed teabags wet'!$A$2:$A$821,0)),"")</f>
        <v>7.292707292707294</v>
      </c>
      <c r="R473" s="225">
        <f t="shared" si="42"/>
        <v>0.48485914085914078</v>
      </c>
      <c r="S473" s="226">
        <f>'WetLitterbags placem_collection'!E34</f>
        <v>42767</v>
      </c>
      <c r="T473" s="226">
        <f>IF('WetLitterbags placem_collection'!G34="","",'WetLitterbags placem_collection'!G34)</f>
        <v>42818</v>
      </c>
      <c r="U473" s="227">
        <f t="shared" si="38"/>
        <v>51</v>
      </c>
      <c r="V473" s="225">
        <f t="shared" si="40"/>
        <v>1.4642000000000002</v>
      </c>
      <c r="W473" s="225">
        <f t="shared" si="41"/>
        <v>1.3927514356100705</v>
      </c>
      <c r="X473">
        <f>IFERROR(INDEX(Rainfall_Wet!$O$2:$O$217,MATCH(B473, Rainfall_Wet!$A$2:$A$217,0)),"")</f>
        <v>185.630065823</v>
      </c>
      <c r="Y473" s="231">
        <v>51.960000000000008</v>
      </c>
      <c r="Z473" s="231">
        <v>18.919999999999995</v>
      </c>
      <c r="AA473" s="231">
        <v>29.120000000000005</v>
      </c>
      <c r="AB473" s="232" t="s">
        <v>2673</v>
      </c>
      <c r="AC473" s="231">
        <v>8.8529324790537203</v>
      </c>
      <c r="AD473" t="str">
        <f>IF('WetLitterbags placem_collection'!AB34="","",'WetLitterbags placem_collection'!AB34)</f>
        <v/>
      </c>
      <c r="AE473" t="str">
        <f>IF('WetLitterbags placem_collection'!Z34="","",'WetLitterbags placem_collection'!Z34)</f>
        <v/>
      </c>
      <c r="AF473" s="246" t="str">
        <f>IF('WetLitterbags placem_collection'!AA34="","",'WetLitterbags placem_collection'!AA34)</f>
        <v/>
      </c>
      <c r="AG473" t="str">
        <f>IF('WetLitterbags placem_collection'!AC34="","",'WetLitterbags placem_collection'!AC34)</f>
        <v/>
      </c>
      <c r="AH473" s="240">
        <f>AVERAGE('WetLitterbags placem_collection'!S34,'WetLitterbags placem_collection'!U34)</f>
        <v>32.849999999999994</v>
      </c>
      <c r="AI473">
        <f>AVERAGE('WetLitterbags placem_collection'!R34,'WetLitterbags placem_collection'!T34)</f>
        <v>20.9</v>
      </c>
      <c r="AJ473">
        <f>INDEX(Coordinates!$B$2:$B$197,MATCH(G473,Coordinates!$J$2:$J$197,0))</f>
        <v>-3.3849010060000002</v>
      </c>
      <c r="AK473">
        <f>INDEX(Coordinates!$C$2:$C$197,MATCH(G473,Coordinates!$J$2:$J$197,0))</f>
        <v>34.818979990000003</v>
      </c>
      <c r="AL473" t="str">
        <f>IF(ISNUMBER(SEARCH("C", 'WetLitterbags placem_collection'!X34)),"YES","NO")</f>
        <v>NO</v>
      </c>
      <c r="AM473" t="str">
        <f>IF(ISNUMBER(SEARCH("H", 'WetLitterbags placem_collection'!X34)),"YES","NO")</f>
        <v>NO</v>
      </c>
      <c r="AN473" t="str">
        <f>IF(ISNUMBER(SEARCH("R", 'WetLitterbags placem_collection'!X34)),"YES","NO")</f>
        <v>YES</v>
      </c>
    </row>
    <row r="474" spans="1:40" ht="15" customHeight="1">
      <c r="A474" s="258" t="s">
        <v>2460</v>
      </c>
      <c r="B474" s="263">
        <f>'Dry_Litterbag Placem_Collection'!A35</f>
        <v>33</v>
      </c>
      <c r="C474" s="263" t="str">
        <f>'Dry_Litterbag Placem_Collection'!B35</f>
        <v>Makao</v>
      </c>
      <c r="D474" s="263" t="s">
        <v>2659</v>
      </c>
      <c r="E474" s="263" t="s">
        <v>20</v>
      </c>
      <c r="F474" s="263">
        <v>1</v>
      </c>
      <c r="G474" s="264" t="str">
        <f>'Dry_Litterbag Placem_Collection'!C35</f>
        <v>Dry_P1_T1</v>
      </c>
      <c r="H474" s="273" t="s">
        <v>3651</v>
      </c>
      <c r="I474" s="266" t="s">
        <v>1147</v>
      </c>
      <c r="J474" s="223" t="str">
        <f>'WetLitterbags placem_collection'!O35</f>
        <v>G556</v>
      </c>
      <c r="K474" s="225">
        <f>IFERROR(INDEX('Green_rooibos initial weight'!$C$5:$C$1749,MATCH(J474, 'Green_rooibos initial weight'!$A$5:$A$1749,0)),"")</f>
        <v>2.0329999999999999</v>
      </c>
      <c r="L474" s="225">
        <f>IFERROR(K474-(TBIcalc!$H$9+TBIcalc!$H$10),"")</f>
        <v>1.7831999999999999</v>
      </c>
      <c r="M474" s="391">
        <f>AVERAGE(Ashed_controlls!$K$2:$K$11)</f>
        <v>5.5147656768714146</v>
      </c>
      <c r="N474" s="225">
        <f t="shared" si="39"/>
        <v>1.6848606984500289</v>
      </c>
      <c r="O474" s="225">
        <f>IF(IFERROR(INDEX('Both teabags AfterWet'!$C$3:$C$841,MATCH(J474,'Both teabags AfterWet'!$A$3:$A$841,0)),"")="","",(IFERROR(INDEX('Both teabags AfterWet'!$C$3:$C$841,MATCH(J474,'Both teabags AfterWet'!$A$3:$A$841,0)),"")))</f>
        <v>0.64400000000000002</v>
      </c>
      <c r="P474" s="225">
        <f>IFERROR(IF(O474&gt;0,O474-(TBIcalc!$H$9),""),"")</f>
        <v>0.49340000000000001</v>
      </c>
      <c r="Q474" s="225">
        <f>IFERROR(INDEX('Ashed teabags wet'!$K$2:$K$821,MATCH(J474,'Ashed teabags wet'!$A$2:$A$821,0)),"")</f>
        <v>10.776075135937448</v>
      </c>
      <c r="R474" s="225">
        <f t="shared" si="42"/>
        <v>0.44023084527928463</v>
      </c>
      <c r="S474" s="226">
        <f>'WetLitterbags placem_collection'!E35</f>
        <v>42765</v>
      </c>
      <c r="T474" s="226">
        <f>IF('WetLitterbags placem_collection'!G35="","",'WetLitterbags placem_collection'!G35)</f>
        <v>42820</v>
      </c>
      <c r="U474" s="227">
        <f t="shared" si="38"/>
        <v>55</v>
      </c>
      <c r="V474" s="225">
        <f t="shared" si="40"/>
        <v>1.2897999999999998</v>
      </c>
      <c r="W474" s="225">
        <f t="shared" si="41"/>
        <v>1.2446298531707443</v>
      </c>
      <c r="X474">
        <f>IFERROR(INDEX(Rainfall_Wet!$O$2:$O$217,MATCH(B474, Rainfall_Wet!$A$2:$A$217,0)),"")</f>
        <v>228.324359195</v>
      </c>
      <c r="Y474" s="231">
        <v>23.96</v>
      </c>
      <c r="Z474" s="231">
        <v>0.91999999999999804</v>
      </c>
      <c r="AA474" s="231">
        <v>75.12</v>
      </c>
      <c r="AB474" s="232" t="s">
        <v>2670</v>
      </c>
      <c r="AC474" s="231">
        <v>1.2493839329719072</v>
      </c>
      <c r="AD474">
        <f>IF('WetLitterbags placem_collection'!AB35="","",'WetLitterbags placem_collection'!AB35)</f>
        <v>9.5</v>
      </c>
      <c r="AE474">
        <f>IF('WetLitterbags placem_collection'!Z35="","",'WetLitterbags placem_collection'!Z35)</f>
        <v>17.2</v>
      </c>
      <c r="AF474" s="246" t="str">
        <f>IF('WetLitterbags placem_collection'!AA35="","",'WetLitterbags placem_collection'!AA35)</f>
        <v>G</v>
      </c>
      <c r="AG474">
        <f>IF('WetLitterbags placem_collection'!AC35="","",'WetLitterbags placem_collection'!AC35)</f>
        <v>0</v>
      </c>
      <c r="AH474" s="240">
        <f>AVERAGE('WetLitterbags placem_collection'!S35,'WetLitterbags placem_collection'!U35)</f>
        <v>30.5</v>
      </c>
      <c r="AI474">
        <f>AVERAGE('WetLitterbags placem_collection'!R35,'WetLitterbags placem_collection'!T35)</f>
        <v>25.25</v>
      </c>
      <c r="AJ474">
        <f>INDEX(Coordinates!$B$2:$B$197,MATCH(G474,Coordinates!$J$2:$J$197,0))</f>
        <v>-3.4092039989999998</v>
      </c>
      <c r="AK474">
        <f>INDEX(Coordinates!$C$2:$C$197,MATCH(G474,Coordinates!$J$2:$J$197,0))</f>
        <v>34.852751009999999</v>
      </c>
      <c r="AL474" t="str">
        <f>IF(ISNUMBER(SEARCH("C", 'WetLitterbags placem_collection'!X35)),"YES","NO")</f>
        <v>NO</v>
      </c>
      <c r="AM474" t="str">
        <f>IF(ISNUMBER(SEARCH("H", 'WetLitterbags placem_collection'!X35)),"YES","NO")</f>
        <v>NO</v>
      </c>
      <c r="AN474" t="str">
        <f>IF(ISNUMBER(SEARCH("R", 'WetLitterbags placem_collection'!X35)),"YES","NO")</f>
        <v>YES</v>
      </c>
    </row>
    <row r="475" spans="1:40" ht="15" customHeight="1">
      <c r="A475" s="258" t="s">
        <v>2460</v>
      </c>
      <c r="B475" s="263">
        <f>'Dry_Litterbag Placem_Collection'!A36</f>
        <v>34</v>
      </c>
      <c r="C475" s="263" t="str">
        <f>'Dry_Litterbag Placem_Collection'!B36</f>
        <v>Makao</v>
      </c>
      <c r="D475" s="263" t="s">
        <v>2659</v>
      </c>
      <c r="E475" s="263" t="s">
        <v>20</v>
      </c>
      <c r="F475" s="263">
        <v>1</v>
      </c>
      <c r="G475" s="264" t="str">
        <f>'Dry_Litterbag Placem_Collection'!C36</f>
        <v>Dry_P1_T2</v>
      </c>
      <c r="H475" s="273" t="s">
        <v>3651</v>
      </c>
      <c r="I475" s="266" t="s">
        <v>1147</v>
      </c>
      <c r="J475" s="223" t="str">
        <f>'WetLitterbags placem_collection'!O36</f>
        <v>G649</v>
      </c>
      <c r="K475" s="225">
        <f>IFERROR(INDEX('Green_rooibos initial weight'!$C$5:$C$1749,MATCH(J475, 'Green_rooibos initial weight'!$A$5:$A$1749,0)),"")</f>
        <v>2.1379999999999999</v>
      </c>
      <c r="L475" s="225">
        <f>IFERROR(K475-(TBIcalc!$H$9+TBIcalc!$H$10),"")</f>
        <v>1.8881999999999999</v>
      </c>
      <c r="M475" s="391">
        <f>AVERAGE(Ashed_controlls!$K$2:$K$11)</f>
        <v>5.5147656768714146</v>
      </c>
      <c r="N475" s="225">
        <f t="shared" si="39"/>
        <v>1.7840701944893138</v>
      </c>
      <c r="O475" s="225">
        <f>IF(IFERROR(INDEX('Both teabags AfterWet'!$C$3:$C$841,MATCH(J475,'Both teabags AfterWet'!$A$3:$A$841,0)),"")="","",(IFERROR(INDEX('Both teabags AfterWet'!$C$3:$C$841,MATCH(J475,'Both teabags AfterWet'!$A$3:$A$841,0)),"")))</f>
        <v>0.80259999999999998</v>
      </c>
      <c r="P475" s="225">
        <f>IFERROR(IF(O475&gt;0,O475-(TBIcalc!$H$9),""),"")</f>
        <v>0.65199999999999991</v>
      </c>
      <c r="Q475" s="225">
        <f>IFERROR(INDEX('Ashed teabags wet'!$K$2:$K$821,MATCH(J475,'Ashed teabags wet'!$A$2:$A$821,0)),"")</f>
        <v>11.012345679011846</v>
      </c>
      <c r="R475" s="225">
        <f t="shared" si="42"/>
        <v>0.58019950617284266</v>
      </c>
      <c r="S475" s="226">
        <f>'WetLitterbags placem_collection'!E36</f>
        <v>42765</v>
      </c>
      <c r="T475" s="226">
        <f>IF('WetLitterbags placem_collection'!G36="","",'WetLitterbags placem_collection'!G36)</f>
        <v>42820</v>
      </c>
      <c r="U475" s="227">
        <f t="shared" si="38"/>
        <v>55</v>
      </c>
      <c r="V475" s="225">
        <f t="shared" si="40"/>
        <v>1.2362</v>
      </c>
      <c r="W475" s="225">
        <f t="shared" si="41"/>
        <v>1.2038706883164711</v>
      </c>
      <c r="X475">
        <f>IFERROR(INDEX(Rainfall_Wet!$O$2:$O$217,MATCH(B475, Rainfall_Wet!$A$2:$A$217,0)),"")</f>
        <v>228.324359195</v>
      </c>
      <c r="Y475" s="231">
        <v>23.96</v>
      </c>
      <c r="Z475" s="231">
        <v>0.91999999999999804</v>
      </c>
      <c r="AA475" s="231">
        <v>75.12</v>
      </c>
      <c r="AB475" s="232" t="s">
        <v>2670</v>
      </c>
      <c r="AC475" s="231">
        <v>1.2493839329719072</v>
      </c>
      <c r="AD475">
        <f>IF('WetLitterbags placem_collection'!AB36="","",'WetLitterbags placem_collection'!AB36)</f>
        <v>6.5</v>
      </c>
      <c r="AE475">
        <f>IF('WetLitterbags placem_collection'!Z36="","",'WetLitterbags placem_collection'!Z36)</f>
        <v>14.2</v>
      </c>
      <c r="AF475" s="246" t="str">
        <f>IF('WetLitterbags placem_collection'!AA36="","",'WetLitterbags placem_collection'!AA36)</f>
        <v>G</v>
      </c>
      <c r="AG475">
        <f>IF('WetLitterbags placem_collection'!AC36="","",'WetLitterbags placem_collection'!AC36)</f>
        <v>0</v>
      </c>
      <c r="AH475" s="240">
        <f>AVERAGE('WetLitterbags placem_collection'!S36,'WetLitterbags placem_collection'!U36)</f>
        <v>21</v>
      </c>
      <c r="AI475">
        <f>AVERAGE('WetLitterbags placem_collection'!R36,'WetLitterbags placem_collection'!T36)</f>
        <v>25.55</v>
      </c>
      <c r="AJ475">
        <f>INDEX(Coordinates!$B$2:$B$197,MATCH(G475,Coordinates!$J$2:$J$197,0))</f>
        <v>-3.4092350119999999</v>
      </c>
      <c r="AK475">
        <f>INDEX(Coordinates!$C$2:$C$197,MATCH(G475,Coordinates!$J$2:$J$197,0))</f>
        <v>34.852782019999999</v>
      </c>
      <c r="AL475" t="str">
        <f>IF(ISNUMBER(SEARCH("C", 'WetLitterbags placem_collection'!X36)),"YES","NO")</f>
        <v>NO</v>
      </c>
      <c r="AM475" t="str">
        <f>IF(ISNUMBER(SEARCH("H", 'WetLitterbags placem_collection'!X36)),"YES","NO")</f>
        <v>NO</v>
      </c>
      <c r="AN475" t="str">
        <f>IF(ISNUMBER(SEARCH("R", 'WetLitterbags placem_collection'!X36)),"YES","NO")</f>
        <v>YES</v>
      </c>
    </row>
    <row r="476" spans="1:40" ht="15" customHeight="1">
      <c r="A476" s="258" t="s">
        <v>2460</v>
      </c>
      <c r="B476" s="263">
        <f>'Dry_Litterbag Placem_Collection'!A37</f>
        <v>35</v>
      </c>
      <c r="C476" s="263" t="str">
        <f>'Dry_Litterbag Placem_Collection'!B37</f>
        <v>Makao</v>
      </c>
      <c r="D476" s="263" t="s">
        <v>2659</v>
      </c>
      <c r="E476" s="263" t="s">
        <v>20</v>
      </c>
      <c r="F476" s="263">
        <v>1</v>
      </c>
      <c r="G476" s="264" t="str">
        <f>'Dry_Litterbag Placem_Collection'!C37</f>
        <v>Dry_P1_T3</v>
      </c>
      <c r="H476" s="273" t="s">
        <v>3651</v>
      </c>
      <c r="I476" s="266" t="s">
        <v>1147</v>
      </c>
      <c r="J476" s="223" t="str">
        <f>'WetLitterbags placem_collection'!O37</f>
        <v>G732</v>
      </c>
      <c r="K476" s="225">
        <f>IFERROR(INDEX('Green_rooibos initial weight'!$C$5:$C$1749,MATCH(J476, 'Green_rooibos initial weight'!$A$5:$A$1749,0)),"")</f>
        <v>2.0880000000000001</v>
      </c>
      <c r="L476" s="225">
        <f>IFERROR(K476-(TBIcalc!$H$9+TBIcalc!$H$10),"")</f>
        <v>1.8382000000000001</v>
      </c>
      <c r="M476" s="391">
        <f>AVERAGE(Ashed_controlls!$K$2:$K$11)</f>
        <v>5.5147656768714146</v>
      </c>
      <c r="N476" s="225">
        <f t="shared" si="39"/>
        <v>1.7368275773277497</v>
      </c>
      <c r="O476" s="225">
        <f>IF(IFERROR(INDEX('Both teabags AfterWet'!$C$3:$C$841,MATCH(J476,'Both teabags AfterWet'!$A$3:$A$841,0)),"")="","",(IFERROR(INDEX('Both teabags AfterWet'!$C$3:$C$841,MATCH(J476,'Both teabags AfterWet'!$A$3:$A$841,0)),"")))</f>
        <v>0.71699999999999997</v>
      </c>
      <c r="P476" s="225">
        <f>IFERROR(IF(O476&gt;0,O476-(TBIcalc!$H$9),""),"")</f>
        <v>0.56640000000000001</v>
      </c>
      <c r="Q476" s="225">
        <f>IFERROR(INDEX('Ashed teabags wet'!$K$2:$K$821,MATCH(J476,'Ashed teabags wet'!$A$2:$A$821,0)),"")</f>
        <v>10.182896688086906</v>
      </c>
      <c r="R476" s="225">
        <f t="shared" si="42"/>
        <v>0.50872407315867574</v>
      </c>
      <c r="S476" s="226">
        <f>'WetLitterbags placem_collection'!E37</f>
        <v>42765</v>
      </c>
      <c r="T476" s="226">
        <f>IF('WetLitterbags placem_collection'!G37="","",'WetLitterbags placem_collection'!G37)</f>
        <v>42820</v>
      </c>
      <c r="U476" s="227">
        <f t="shared" si="38"/>
        <v>55</v>
      </c>
      <c r="V476" s="225">
        <f t="shared" si="40"/>
        <v>1.2718</v>
      </c>
      <c r="W476" s="225">
        <f t="shared" si="41"/>
        <v>1.228103504169074</v>
      </c>
      <c r="X476">
        <f>IFERROR(INDEX(Rainfall_Wet!$O$2:$O$217,MATCH(B476, Rainfall_Wet!$A$2:$A$217,0)),"")</f>
        <v>228.324359195</v>
      </c>
      <c r="Y476" s="231">
        <v>23.96</v>
      </c>
      <c r="Z476" s="231">
        <v>0.91999999999999804</v>
      </c>
      <c r="AA476" s="231">
        <v>75.12</v>
      </c>
      <c r="AB476" s="232" t="s">
        <v>2670</v>
      </c>
      <c r="AC476" s="231">
        <v>1.2493839329719072</v>
      </c>
      <c r="AD476">
        <f>IF('WetLitterbags placem_collection'!AB37="","",'WetLitterbags placem_collection'!AB37)</f>
        <v>0.7</v>
      </c>
      <c r="AE476">
        <f>IF('WetLitterbags placem_collection'!Z37="","",'WetLitterbags placem_collection'!Z37)</f>
        <v>10.6</v>
      </c>
      <c r="AF476" s="246" t="str">
        <f>IF('WetLitterbags placem_collection'!AA37="","",'WetLitterbags placem_collection'!AA37)</f>
        <v>G</v>
      </c>
      <c r="AG476">
        <f>IF('WetLitterbags placem_collection'!AC37="","",'WetLitterbags placem_collection'!AC37)</f>
        <v>0</v>
      </c>
      <c r="AH476" s="240">
        <f>AVERAGE('WetLitterbags placem_collection'!S37,'WetLitterbags placem_collection'!U37)</f>
        <v>10.9</v>
      </c>
      <c r="AI476">
        <f>AVERAGE('WetLitterbags placem_collection'!R37,'WetLitterbags placem_collection'!T37)</f>
        <v>24.45</v>
      </c>
      <c r="AJ476">
        <f>INDEX(Coordinates!$B$2:$B$197,MATCH(G476,Coordinates!$J$2:$J$197,0))</f>
        <v>-3.409177009</v>
      </c>
      <c r="AK476">
        <f>INDEX(Coordinates!$C$2:$C$197,MATCH(G476,Coordinates!$J$2:$J$197,0))</f>
        <v>34.852818990000003</v>
      </c>
      <c r="AL476" t="str">
        <f>IF(ISNUMBER(SEARCH("C", 'WetLitterbags placem_collection'!X37)),"YES","NO")</f>
        <v>NO</v>
      </c>
      <c r="AM476" t="str">
        <f>IF(ISNUMBER(SEARCH("H", 'WetLitterbags placem_collection'!X37)),"YES","NO")</f>
        <v>NO</v>
      </c>
      <c r="AN476" t="str">
        <f>IF(ISNUMBER(SEARCH("R", 'WetLitterbags placem_collection'!X37)),"YES","NO")</f>
        <v>YES</v>
      </c>
    </row>
    <row r="477" spans="1:40" ht="15" customHeight="1">
      <c r="A477" s="258" t="s">
        <v>2460</v>
      </c>
      <c r="B477" s="263">
        <f>'Dry_Litterbag Placem_Collection'!A38</f>
        <v>36</v>
      </c>
      <c r="C477" s="263" t="str">
        <f>'Dry_Litterbag Placem_Collection'!B38</f>
        <v>Makao</v>
      </c>
      <c r="D477" s="263" t="s">
        <v>2659</v>
      </c>
      <c r="E477" s="263" t="s">
        <v>20</v>
      </c>
      <c r="F477" s="263">
        <v>1</v>
      </c>
      <c r="G477" s="264" t="str">
        <f>'Dry_Litterbag Placem_Collection'!C38</f>
        <v>Dry_P1_T4</v>
      </c>
      <c r="H477" s="273" t="s">
        <v>3651</v>
      </c>
      <c r="I477" s="266" t="s">
        <v>1147</v>
      </c>
      <c r="J477" s="223" t="str">
        <f>'WetLitterbags placem_collection'!O38</f>
        <v>G550</v>
      </c>
      <c r="K477" s="225">
        <f>IFERROR(INDEX('Green_rooibos initial weight'!$C$5:$C$1749,MATCH(J477, 'Green_rooibos initial weight'!$A$5:$A$1749,0)),"")</f>
        <v>2.097</v>
      </c>
      <c r="L477" s="225">
        <f>IFERROR(K477-(TBIcalc!$H$9+TBIcalc!$H$10),"")</f>
        <v>1.8472</v>
      </c>
      <c r="M477" s="391">
        <f>AVERAGE(Ashed_controlls!$K$2:$K$11)</f>
        <v>5.5147656768714146</v>
      </c>
      <c r="N477" s="225">
        <f t="shared" si="39"/>
        <v>1.7453312484168313</v>
      </c>
      <c r="O477" s="225">
        <f>IF(IFERROR(INDEX('Both teabags AfterWet'!$C$3:$C$841,MATCH(J477,'Both teabags AfterWet'!$A$3:$A$841,0)),"")="","",(IFERROR(INDEX('Both teabags AfterWet'!$C$3:$C$841,MATCH(J477,'Both teabags AfterWet'!$A$3:$A$841,0)),"")))</f>
        <v>0.72199999999999998</v>
      </c>
      <c r="P477" s="225">
        <f>IFERROR(IF(O477&gt;0,O477-(TBIcalc!$H$9),""),"")</f>
        <v>0.57139999999999991</v>
      </c>
      <c r="Q477" s="225">
        <f>IFERROR(INDEX('Ashed teabags wet'!$K$2:$K$821,MATCH(J477,'Ashed teabags wet'!$A$2:$A$821,0)),"")</f>
        <v>6.3737324963780466</v>
      </c>
      <c r="R477" s="225">
        <f t="shared" si="42"/>
        <v>0.53498049251569579</v>
      </c>
      <c r="S477" s="226">
        <f>'WetLitterbags placem_collection'!E38</f>
        <v>42765</v>
      </c>
      <c r="T477" s="226">
        <f>IF('WetLitterbags placem_collection'!G38="","",'WetLitterbags placem_collection'!G38)</f>
        <v>42820</v>
      </c>
      <c r="U477" s="227">
        <f t="shared" si="38"/>
        <v>55</v>
      </c>
      <c r="V477" s="225">
        <f t="shared" si="40"/>
        <v>1.2758</v>
      </c>
      <c r="W477" s="225">
        <f t="shared" si="41"/>
        <v>1.2103507559011355</v>
      </c>
      <c r="X477">
        <f>IFERROR(INDEX(Rainfall_Wet!$O$2:$O$217,MATCH(B477, Rainfall_Wet!$A$2:$A$217,0)),"")</f>
        <v>228.324359195</v>
      </c>
      <c r="Y477" s="231">
        <v>23.96</v>
      </c>
      <c r="Z477" s="231">
        <v>0.91999999999999804</v>
      </c>
      <c r="AA477" s="231">
        <v>75.12</v>
      </c>
      <c r="AB477" s="232" t="s">
        <v>2670</v>
      </c>
      <c r="AC477" s="231">
        <v>1.2493839329719072</v>
      </c>
      <c r="AD477">
        <f>IF('WetLitterbags placem_collection'!AB38="","",'WetLitterbags placem_collection'!AB38)</f>
        <v>3.3</v>
      </c>
      <c r="AE477">
        <f>IF('WetLitterbags placem_collection'!Z38="","",'WetLitterbags placem_collection'!Z38)</f>
        <v>4.9000000000000004</v>
      </c>
      <c r="AF477" s="246" t="str">
        <f>IF('WetLitterbags placem_collection'!AA38="","",'WetLitterbags placem_collection'!AA38)</f>
        <v>G</v>
      </c>
      <c r="AG477">
        <f>IF('WetLitterbags placem_collection'!AC38="","",'WetLitterbags placem_collection'!AC38)</f>
        <v>1</v>
      </c>
      <c r="AH477" s="240">
        <f>AVERAGE('WetLitterbags placem_collection'!S38,'WetLitterbags placem_collection'!U38)</f>
        <v>14.1</v>
      </c>
      <c r="AI477">
        <f>AVERAGE('WetLitterbags placem_collection'!R38,'WetLitterbags placem_collection'!T38)</f>
        <v>24.75</v>
      </c>
      <c r="AJ477">
        <f>INDEX(Coordinates!$B$2:$B$197,MATCH(G477,Coordinates!$J$2:$J$197,0))</f>
        <v>-3.40917198</v>
      </c>
      <c r="AK477">
        <f>INDEX(Coordinates!$C$2:$C$197,MATCH(G477,Coordinates!$J$2:$J$197,0))</f>
        <v>34.852960979999999</v>
      </c>
      <c r="AL477" t="str">
        <f>IF(ISNUMBER(SEARCH("C", 'WetLitterbags placem_collection'!X38)),"YES","NO")</f>
        <v>NO</v>
      </c>
      <c r="AM477" t="str">
        <f>IF(ISNUMBER(SEARCH("H", 'WetLitterbags placem_collection'!X38)),"YES","NO")</f>
        <v>NO</v>
      </c>
      <c r="AN477" t="str">
        <f>IF(ISNUMBER(SEARCH("R", 'WetLitterbags placem_collection'!X38)),"YES","NO")</f>
        <v>YES</v>
      </c>
    </row>
    <row r="478" spans="1:40" ht="15" customHeight="1">
      <c r="A478" s="258" t="s">
        <v>2460</v>
      </c>
      <c r="B478" s="263">
        <f>'Dry_Litterbag Placem_Collection'!A39</f>
        <v>37</v>
      </c>
      <c r="C478" s="263" t="str">
        <f>'Dry_Litterbag Placem_Collection'!B39</f>
        <v>Makao</v>
      </c>
      <c r="D478" s="263" t="s">
        <v>2659</v>
      </c>
      <c r="E478" s="263" t="s">
        <v>20</v>
      </c>
      <c r="F478" s="263">
        <v>1</v>
      </c>
      <c r="G478" s="264" t="str">
        <f>'Dry_Litterbag Placem_Collection'!C39</f>
        <v>Dry_P1_T5</v>
      </c>
      <c r="H478" s="273" t="s">
        <v>3651</v>
      </c>
      <c r="I478" s="266" t="s">
        <v>1147</v>
      </c>
      <c r="J478" s="223" t="str">
        <f>'WetLitterbags placem_collection'!O39</f>
        <v>G528</v>
      </c>
      <c r="K478" s="225">
        <f>IFERROR(INDEX('Green_rooibos initial weight'!$C$5:$C$1749,MATCH(J478, 'Green_rooibos initial weight'!$A$5:$A$1749,0)),"")</f>
        <v>2.14</v>
      </c>
      <c r="L478" s="225">
        <f>IFERROR(K478-(TBIcalc!$H$9+TBIcalc!$H$10),"")</f>
        <v>1.8902000000000001</v>
      </c>
      <c r="M478" s="391">
        <f>AVERAGE(Ashed_controlls!$K$2:$K$11)</f>
        <v>5.5147656768714146</v>
      </c>
      <c r="N478" s="225">
        <f t="shared" si="39"/>
        <v>1.7859598991757766</v>
      </c>
      <c r="O478" s="225">
        <f>IF(IFERROR(INDEX('Both teabags AfterWet'!$C$3:$C$841,MATCH(J478,'Both teabags AfterWet'!$A$3:$A$841,0)),"")="","",(IFERROR(INDEX('Both teabags AfterWet'!$C$3:$C$841,MATCH(J478,'Both teabags AfterWet'!$A$3:$A$841,0)),"")))</f>
        <v>0.89600000000000002</v>
      </c>
      <c r="P478" s="225">
        <f>IFERROR(IF(O478&gt;0,O478-(TBIcalc!$H$9),""),"")</f>
        <v>0.74540000000000006</v>
      </c>
      <c r="Q478" s="225">
        <f>IFERROR(INDEX('Ashed teabags wet'!$K$2:$K$821,MATCH(J478,'Ashed teabags wet'!$A$2:$A$821,0)),"")</f>
        <v>15.032354405176665</v>
      </c>
      <c r="R478" s="225">
        <f t="shared" si="42"/>
        <v>0.63334883026381317</v>
      </c>
      <c r="S478" s="226">
        <f>'WetLitterbags placem_collection'!E39</f>
        <v>42765</v>
      </c>
      <c r="T478" s="226">
        <f>IF('WetLitterbags placem_collection'!G39="","",'WetLitterbags placem_collection'!G39)</f>
        <v>42820</v>
      </c>
      <c r="U478" s="227">
        <f t="shared" si="38"/>
        <v>55</v>
      </c>
      <c r="V478" s="225">
        <f t="shared" si="40"/>
        <v>1.1448</v>
      </c>
      <c r="W478" s="225">
        <f t="shared" si="41"/>
        <v>1.1526110689119635</v>
      </c>
      <c r="X478">
        <f>IFERROR(INDEX(Rainfall_Wet!$O$2:$O$217,MATCH(B478, Rainfall_Wet!$A$2:$A$217,0)),"")</f>
        <v>228.324359195</v>
      </c>
      <c r="Y478" s="231">
        <v>23.96</v>
      </c>
      <c r="Z478" s="231">
        <v>0.91999999999999804</v>
      </c>
      <c r="AA478" s="231">
        <v>75.12</v>
      </c>
      <c r="AB478" s="232" t="s">
        <v>2670</v>
      </c>
      <c r="AC478" s="231">
        <v>1.2493839329719072</v>
      </c>
      <c r="AD478">
        <f>IF('WetLitterbags placem_collection'!AB39="","",'WetLitterbags placem_collection'!AB39)</f>
        <v>8.3000000000000007</v>
      </c>
      <c r="AE478">
        <f>IF('WetLitterbags placem_collection'!Z39="","",'WetLitterbags placem_collection'!Z39)</f>
        <v>27.8</v>
      </c>
      <c r="AF478" s="246" t="str">
        <f>IF('WetLitterbags placem_collection'!AA39="","",'WetLitterbags placem_collection'!AA39)</f>
        <v>G</v>
      </c>
      <c r="AG478">
        <f>IF('WetLitterbags placem_collection'!AC39="","",'WetLitterbags placem_collection'!AC39)</f>
        <v>0</v>
      </c>
      <c r="AH478" s="240">
        <f>AVERAGE('WetLitterbags placem_collection'!S39,'WetLitterbags placem_collection'!U39)</f>
        <v>19.299999999999997</v>
      </c>
      <c r="AI478">
        <f>AVERAGE('WetLitterbags placem_collection'!R39,'WetLitterbags placem_collection'!T39)</f>
        <v>24.55</v>
      </c>
      <c r="AJ478">
        <f>INDEX(Coordinates!$B$2:$B$197,MATCH(G478,Coordinates!$J$2:$J$197,0))</f>
        <v>-3.4090709779999999</v>
      </c>
      <c r="AK478">
        <f>INDEX(Coordinates!$C$2:$C$197,MATCH(G478,Coordinates!$J$2:$J$197,0))</f>
        <v>34.852712029999999</v>
      </c>
      <c r="AL478" t="str">
        <f>IF(ISNUMBER(SEARCH("C", 'WetLitterbags placem_collection'!X39)),"YES","NO")</f>
        <v>NO</v>
      </c>
      <c r="AM478" t="str">
        <f>IF(ISNUMBER(SEARCH("H", 'WetLitterbags placem_collection'!X39)),"YES","NO")</f>
        <v>NO</v>
      </c>
      <c r="AN478" t="str">
        <f>IF(ISNUMBER(SEARCH("R", 'WetLitterbags placem_collection'!X39)),"YES","NO")</f>
        <v>YES</v>
      </c>
    </row>
    <row r="479" spans="1:40" ht="15" customHeight="1">
      <c r="A479" s="258" t="s">
        <v>2460</v>
      </c>
      <c r="B479" s="263">
        <f>'Dry_Litterbag Placem_Collection'!A40</f>
        <v>38</v>
      </c>
      <c r="C479" s="263" t="str">
        <f>'Dry_Litterbag Placem_Collection'!B40</f>
        <v>Makao</v>
      </c>
      <c r="D479" s="263" t="s">
        <v>2659</v>
      </c>
      <c r="E479" s="263" t="s">
        <v>20</v>
      </c>
      <c r="F479" s="263">
        <v>1</v>
      </c>
      <c r="G479" s="264" t="str">
        <f>'Dry_Litterbag Placem_Collection'!C40</f>
        <v>Dry_P1_T6</v>
      </c>
      <c r="H479" s="273" t="s">
        <v>3651</v>
      </c>
      <c r="I479" s="266" t="s">
        <v>1147</v>
      </c>
      <c r="J479" s="223" t="str">
        <f>'WetLitterbags placem_collection'!O40</f>
        <v>G703</v>
      </c>
      <c r="K479" s="225">
        <f>IFERROR(INDEX('Green_rooibos initial weight'!$C$5:$C$1749,MATCH(J479, 'Green_rooibos initial weight'!$A$5:$A$1749,0)),"")</f>
        <v>1.9159999999999999</v>
      </c>
      <c r="L479" s="225">
        <f>IFERROR(K479-(TBIcalc!$H$9+TBIcalc!$H$10),"")</f>
        <v>1.6661999999999999</v>
      </c>
      <c r="M479" s="391">
        <f>AVERAGE(Ashed_controlls!$K$2:$K$11)</f>
        <v>5.5147656768714146</v>
      </c>
      <c r="N479" s="225">
        <f t="shared" si="39"/>
        <v>1.5743129742919684</v>
      </c>
      <c r="O479" s="225">
        <f>IF(IFERROR(INDEX('Both teabags AfterWet'!$C$3:$C$841,MATCH(J479,'Both teabags AfterWet'!$A$3:$A$841,0)),"")="","",(IFERROR(INDEX('Both teabags AfterWet'!$C$3:$C$841,MATCH(J479,'Both teabags AfterWet'!$A$3:$A$841,0)),"")))</f>
        <v>0.81899999999999995</v>
      </c>
      <c r="P479" s="225">
        <f>IFERROR(IF(O479&gt;0,O479-(TBIcalc!$H$9),""),"")</f>
        <v>0.66839999999999988</v>
      </c>
      <c r="Q479" s="225">
        <f>IFERROR(INDEX('Ashed teabags wet'!$K$2:$K$821,MATCH(J479,'Ashed teabags wet'!$A$2:$A$821,0)),"")</f>
        <v>13.181367690782835</v>
      </c>
      <c r="R479" s="225">
        <f t="shared" si="42"/>
        <v>0.58029573835480741</v>
      </c>
      <c r="S479" s="226">
        <f>'WetLitterbags placem_collection'!E40</f>
        <v>42765</v>
      </c>
      <c r="T479" s="226">
        <f>IF('WetLitterbags placem_collection'!G40="","",'WetLitterbags placem_collection'!G40)</f>
        <v>42820</v>
      </c>
      <c r="U479" s="227">
        <f t="shared" si="38"/>
        <v>55</v>
      </c>
      <c r="V479" s="225">
        <f t="shared" si="40"/>
        <v>0.99780000000000002</v>
      </c>
      <c r="W479" s="225">
        <f t="shared" si="41"/>
        <v>0.99401723593716096</v>
      </c>
      <c r="X479">
        <f>IFERROR(INDEX(Rainfall_Wet!$O$2:$O$217,MATCH(B479, Rainfall_Wet!$A$2:$A$217,0)),"")</f>
        <v>228.324359195</v>
      </c>
      <c r="Y479" s="231">
        <v>23.96</v>
      </c>
      <c r="Z479" s="231">
        <v>0.91999999999999804</v>
      </c>
      <c r="AA479" s="231">
        <v>75.12</v>
      </c>
      <c r="AB479" s="232" t="s">
        <v>2670</v>
      </c>
      <c r="AC479" s="231">
        <v>1.2493839329719072</v>
      </c>
      <c r="AD479">
        <f>IF('WetLitterbags placem_collection'!AB40="","",'WetLitterbags placem_collection'!AB40)</f>
        <v>2</v>
      </c>
      <c r="AE479">
        <f>IF('WetLitterbags placem_collection'!Z40="","",'WetLitterbags placem_collection'!Z40)</f>
        <v>20.399999999999999</v>
      </c>
      <c r="AF479" s="246" t="str">
        <f>IF('WetLitterbags placem_collection'!AA40="","",'WetLitterbags placem_collection'!AA40)</f>
        <v>O</v>
      </c>
      <c r="AG479">
        <f>IF('WetLitterbags placem_collection'!AC40="","",'WetLitterbags placem_collection'!AC40)</f>
        <v>0</v>
      </c>
      <c r="AH479" s="240">
        <f>AVERAGE('WetLitterbags placem_collection'!S40,'WetLitterbags placem_collection'!U40)</f>
        <v>20.9</v>
      </c>
      <c r="AI479">
        <f>AVERAGE('WetLitterbags placem_collection'!R40,'WetLitterbags placem_collection'!T40)</f>
        <v>24.1</v>
      </c>
      <c r="AJ479">
        <f>INDEX(Coordinates!$B$2:$B$197,MATCH(G479,Coordinates!$J$2:$J$197,0))</f>
        <v>-3.409280023</v>
      </c>
      <c r="AK479">
        <f>INDEX(Coordinates!$C$2:$C$197,MATCH(G479,Coordinates!$J$2:$J$197,0))</f>
        <v>34.852612960000002</v>
      </c>
      <c r="AL479" t="str">
        <f>IF(ISNUMBER(SEARCH("C", 'WetLitterbags placem_collection'!X40)),"YES","NO")</f>
        <v>NO</v>
      </c>
      <c r="AM479" t="str">
        <f>IF(ISNUMBER(SEARCH("H", 'WetLitterbags placem_collection'!X40)),"YES","NO")</f>
        <v>NO</v>
      </c>
      <c r="AN479" t="str">
        <f>IF(ISNUMBER(SEARCH("R", 'WetLitterbags placem_collection'!X40)),"YES","NO")</f>
        <v>YES</v>
      </c>
    </row>
    <row r="480" spans="1:40" ht="15" customHeight="1">
      <c r="A480" s="258" t="s">
        <v>2460</v>
      </c>
      <c r="B480" s="263">
        <f>'Dry_Litterbag Placem_Collection'!A41</f>
        <v>39</v>
      </c>
      <c r="C480" s="263" t="str">
        <f>'Dry_Litterbag Placem_Collection'!B41</f>
        <v>Makao</v>
      </c>
      <c r="D480" s="263" t="s">
        <v>2659</v>
      </c>
      <c r="E480" s="263" t="s">
        <v>20</v>
      </c>
      <c r="F480" s="263">
        <v>1</v>
      </c>
      <c r="G480" s="264" t="str">
        <f>'Dry_Litterbag Placem_Collection'!C41</f>
        <v>Dry_P1_T7</v>
      </c>
      <c r="H480" s="273" t="s">
        <v>3651</v>
      </c>
      <c r="I480" s="266" t="s">
        <v>1147</v>
      </c>
      <c r="J480" s="223" t="str">
        <f>'WetLitterbags placem_collection'!O41</f>
        <v>G566</v>
      </c>
      <c r="K480" s="225">
        <f>IFERROR(INDEX('Green_rooibos initial weight'!$C$5:$C$1749,MATCH(J480, 'Green_rooibos initial weight'!$A$5:$A$1749,0)),"")</f>
        <v>2.0449999999999999</v>
      </c>
      <c r="L480" s="225">
        <f>IFERROR(K480-(TBIcalc!$H$9+TBIcalc!$H$10),"")</f>
        <v>1.7951999999999999</v>
      </c>
      <c r="M480" s="391">
        <f>AVERAGE(Ashed_controlls!$K$2:$K$11)</f>
        <v>5.5147656768714146</v>
      </c>
      <c r="N480" s="225">
        <f t="shared" si="39"/>
        <v>1.6961989265688042</v>
      </c>
      <c r="O480" s="225">
        <f>IF(IFERROR(INDEX('Both teabags AfterWet'!$C$3:$C$841,MATCH(J480,'Both teabags AfterWet'!$A$3:$A$841,0)),"")="","",(IFERROR(INDEX('Both teabags AfterWet'!$C$3:$C$841,MATCH(J480,'Both teabags AfterWet'!$A$3:$A$841,0)),"")))</f>
        <v>0.78520000000000001</v>
      </c>
      <c r="P480" s="225">
        <f>IFERROR(IF(O480&gt;0,O480-(TBIcalc!$H$9),""),"")</f>
        <v>0.63460000000000005</v>
      </c>
      <c r="Q480" s="225">
        <f>IFERROR(INDEX('Ashed teabags wet'!$K$2:$K$821,MATCH(J480,'Ashed teabags wet'!$A$2:$A$821,0)),"")</f>
        <v>4.4278606965170084</v>
      </c>
      <c r="R480" s="225">
        <f t="shared" si="42"/>
        <v>0.60650079601990314</v>
      </c>
      <c r="S480" s="226">
        <f>'WetLitterbags placem_collection'!E41</f>
        <v>42765</v>
      </c>
      <c r="T480" s="226">
        <f>IF('WetLitterbags placem_collection'!G41="","",'WetLitterbags placem_collection'!G41)</f>
        <v>42820</v>
      </c>
      <c r="U480" s="227">
        <f t="shared" si="38"/>
        <v>55</v>
      </c>
      <c r="V480" s="225">
        <f t="shared" si="40"/>
        <v>1.1605999999999999</v>
      </c>
      <c r="W480" s="225">
        <f t="shared" si="41"/>
        <v>1.0896981305489011</v>
      </c>
      <c r="X480">
        <f>IFERROR(INDEX(Rainfall_Wet!$O$2:$O$217,MATCH(B480, Rainfall_Wet!$A$2:$A$217,0)),"")</f>
        <v>228.324359195</v>
      </c>
      <c r="Y480" s="231">
        <v>23.96</v>
      </c>
      <c r="Z480" s="231">
        <v>0.91999999999999804</v>
      </c>
      <c r="AA480" s="231">
        <v>75.12</v>
      </c>
      <c r="AB480" s="232" t="s">
        <v>2670</v>
      </c>
      <c r="AC480" s="231">
        <v>1.2493839329719072</v>
      </c>
      <c r="AD480">
        <f>IF('WetLitterbags placem_collection'!AB41="","",'WetLitterbags placem_collection'!AB41)</f>
        <v>2.4</v>
      </c>
      <c r="AE480">
        <f>IF('WetLitterbags placem_collection'!Z41="","",'WetLitterbags placem_collection'!Z41)</f>
        <v>18</v>
      </c>
      <c r="AF480" s="246" t="str">
        <f>IF('WetLitterbags placem_collection'!AA41="","",'WetLitterbags placem_collection'!AA41)</f>
        <v>G</v>
      </c>
      <c r="AG480">
        <f>IF('WetLitterbags placem_collection'!AC41="","",'WetLitterbags placem_collection'!AC41)</f>
        <v>1</v>
      </c>
      <c r="AH480" s="240">
        <f>AVERAGE('WetLitterbags placem_collection'!S41,'WetLitterbags placem_collection'!U41)</f>
        <v>26.9</v>
      </c>
      <c r="AI480">
        <f>AVERAGE('WetLitterbags placem_collection'!R41,'WetLitterbags placem_collection'!T41)</f>
        <v>23.299999999999997</v>
      </c>
      <c r="AJ480">
        <f>INDEX(Coordinates!$B$2:$B$197,MATCH(G480,Coordinates!$J$2:$J$197,0))</f>
        <v>-3.4093859700000002</v>
      </c>
      <c r="AK480">
        <f>INDEX(Coordinates!$C$2:$C$197,MATCH(G480,Coordinates!$J$2:$J$197,0))</f>
        <v>34.852855030000001</v>
      </c>
      <c r="AL480" t="str">
        <f>IF(ISNUMBER(SEARCH("C", 'WetLitterbags placem_collection'!X41)),"YES","NO")</f>
        <v>NO</v>
      </c>
      <c r="AM480" t="str">
        <f>IF(ISNUMBER(SEARCH("H", 'WetLitterbags placem_collection'!X41)),"YES","NO")</f>
        <v>NO</v>
      </c>
      <c r="AN480" t="str">
        <f>IF(ISNUMBER(SEARCH("R", 'WetLitterbags placem_collection'!X41)),"YES","NO")</f>
        <v>YES</v>
      </c>
    </row>
    <row r="481" spans="1:40" ht="15" customHeight="1">
      <c r="A481" s="258" t="s">
        <v>2460</v>
      </c>
      <c r="B481" s="263">
        <f>'Dry_Litterbag Placem_Collection'!A42</f>
        <v>40</v>
      </c>
      <c r="C481" s="263" t="str">
        <f>'Dry_Litterbag Placem_Collection'!B42</f>
        <v>Makao</v>
      </c>
      <c r="D481" s="263" t="s">
        <v>2659</v>
      </c>
      <c r="E481" s="263" t="s">
        <v>20</v>
      </c>
      <c r="F481" s="263">
        <v>1</v>
      </c>
      <c r="G481" s="264" t="str">
        <f>'Dry_Litterbag Placem_Collection'!C42</f>
        <v>Dry_P1_T8</v>
      </c>
      <c r="H481" s="273" t="s">
        <v>3651</v>
      </c>
      <c r="I481" s="266" t="s">
        <v>1147</v>
      </c>
      <c r="J481" s="223" t="str">
        <f>'WetLitterbags placem_collection'!O42</f>
        <v>G619</v>
      </c>
      <c r="K481" s="225">
        <f>IFERROR(INDEX('Green_rooibos initial weight'!$C$5:$C$1749,MATCH(J481, 'Green_rooibos initial weight'!$A$5:$A$1749,0)),"")</f>
        <v>2.036</v>
      </c>
      <c r="L481" s="225">
        <f>IFERROR(K481-(TBIcalc!$H$9+TBIcalc!$H$10),"")</f>
        <v>1.7862</v>
      </c>
      <c r="M481" s="391">
        <f>AVERAGE(Ashed_controlls!$K$2:$K$11)</f>
        <v>5.5147656768714146</v>
      </c>
      <c r="N481" s="225">
        <f t="shared" si="39"/>
        <v>1.6876952554797229</v>
      </c>
      <c r="O481" s="225">
        <f>IF(IFERROR(INDEX('Both teabags AfterWet'!$C$3:$C$841,MATCH(J481,'Both teabags AfterWet'!$A$3:$A$841,0)),"")="","",(IFERROR(INDEX('Both teabags AfterWet'!$C$3:$C$841,MATCH(J481,'Both teabags AfterWet'!$A$3:$A$841,0)),"")))</f>
        <v>0.70599999999999996</v>
      </c>
      <c r="P481" s="225">
        <f>IFERROR(IF(O481&gt;0,O481-(TBIcalc!$H$9),""),"")</f>
        <v>0.55539999999999989</v>
      </c>
      <c r="Q481" s="225">
        <f>IFERROR(INDEX('Ashed teabags wet'!$K$2:$K$821,MATCH(J481,'Ashed teabags wet'!$A$2:$A$821,0)),"")</f>
        <v>8.6005830903788301</v>
      </c>
      <c r="R481" s="225">
        <f t="shared" si="42"/>
        <v>0.50763236151603586</v>
      </c>
      <c r="S481" s="226">
        <f>'WetLitterbags placem_collection'!E42</f>
        <v>42765</v>
      </c>
      <c r="T481" s="226">
        <f>IF('WetLitterbags placem_collection'!G42="","",'WetLitterbags placem_collection'!G42)</f>
        <v>42820</v>
      </c>
      <c r="U481" s="227">
        <f t="shared" si="38"/>
        <v>55</v>
      </c>
      <c r="V481" s="225">
        <f t="shared" si="40"/>
        <v>1.2308000000000001</v>
      </c>
      <c r="W481" s="225">
        <f t="shared" si="41"/>
        <v>1.180062893963687</v>
      </c>
      <c r="X481">
        <f>IFERROR(INDEX(Rainfall_Wet!$O$2:$O$217,MATCH(B481, Rainfall_Wet!$A$2:$A$217,0)),"")</f>
        <v>228.324359195</v>
      </c>
      <c r="Y481" s="231">
        <v>23.96</v>
      </c>
      <c r="Z481" s="231">
        <v>0.91999999999999804</v>
      </c>
      <c r="AA481" s="231">
        <v>75.12</v>
      </c>
      <c r="AB481" s="232" t="s">
        <v>2670</v>
      </c>
      <c r="AC481" s="231">
        <v>1.2493839329719072</v>
      </c>
      <c r="AD481">
        <f>IF('WetLitterbags placem_collection'!AB42="","",'WetLitterbags placem_collection'!AB42)</f>
        <v>8.6999999999999993</v>
      </c>
      <c r="AE481">
        <f>IF('WetLitterbags placem_collection'!Z42="","",'WetLitterbags placem_collection'!Z42)</f>
        <v>19.3</v>
      </c>
      <c r="AF481" s="246" t="str">
        <f>IF('WetLitterbags placem_collection'!AA42="","",'WetLitterbags placem_collection'!AA42)</f>
        <v>G</v>
      </c>
      <c r="AG481">
        <f>IF('WetLitterbags placem_collection'!AC42="","",'WetLitterbags placem_collection'!AC42)</f>
        <v>0</v>
      </c>
      <c r="AH481" s="240">
        <f>AVERAGE('WetLitterbags placem_collection'!S42,'WetLitterbags placem_collection'!U42)</f>
        <v>31.9</v>
      </c>
      <c r="AI481">
        <f>AVERAGE('WetLitterbags placem_collection'!R42,'WetLitterbags placem_collection'!T42)</f>
        <v>23.9</v>
      </c>
      <c r="AJ481">
        <f>INDEX(Coordinates!$B$2:$B$197,MATCH(G481,Coordinates!$J$2:$J$197,0))</f>
        <v>-3.4091539590000002</v>
      </c>
      <c r="AK481">
        <f>INDEX(Coordinates!$C$2:$C$197,MATCH(G481,Coordinates!$J$2:$J$197,0))</f>
        <v>34.852755029999997</v>
      </c>
      <c r="AL481" t="str">
        <f>IF(ISNUMBER(SEARCH("C", 'WetLitterbags placem_collection'!X42)),"YES","NO")</f>
        <v>NO</v>
      </c>
      <c r="AM481" t="str">
        <f>IF(ISNUMBER(SEARCH("H", 'WetLitterbags placem_collection'!X42)),"YES","NO")</f>
        <v>NO</v>
      </c>
      <c r="AN481" t="str">
        <f>IF(ISNUMBER(SEARCH("R", 'WetLitterbags placem_collection'!X42)),"YES","NO")</f>
        <v>YES</v>
      </c>
    </row>
    <row r="482" spans="1:40" ht="15" customHeight="1">
      <c r="A482" s="258" t="s">
        <v>2460</v>
      </c>
      <c r="B482" s="263">
        <f>'Dry_Litterbag Placem_Collection'!A43</f>
        <v>41</v>
      </c>
      <c r="C482" s="263" t="str">
        <f>'Dry_Litterbag Placem_Collection'!B43</f>
        <v>Makao</v>
      </c>
      <c r="D482" s="263" t="s">
        <v>2659</v>
      </c>
      <c r="E482" s="263" t="s">
        <v>20</v>
      </c>
      <c r="F482" s="263">
        <v>2</v>
      </c>
      <c r="G482" s="264" t="str">
        <f>'Dry_Litterbag Placem_Collection'!C43</f>
        <v>Dry_P2_T1</v>
      </c>
      <c r="H482" s="273" t="s">
        <v>3651</v>
      </c>
      <c r="I482" s="266" t="s">
        <v>1147</v>
      </c>
      <c r="J482" s="223" t="str">
        <f>'WetLitterbags placem_collection'!O43</f>
        <v>G626</v>
      </c>
      <c r="K482" s="225">
        <f>IFERROR(INDEX('Green_rooibos initial weight'!$C$5:$C$1749,MATCH(J482, 'Green_rooibos initial weight'!$A$5:$A$1749,0)),"")</f>
        <v>2.1179999999999999</v>
      </c>
      <c r="L482" s="225">
        <f>IFERROR(K482-(TBIcalc!$H$9+TBIcalc!$H$10),"")</f>
        <v>1.8681999999999999</v>
      </c>
      <c r="M482" s="391">
        <f>AVERAGE(Ashed_controlls!$K$2:$K$11)</f>
        <v>5.5147656768714146</v>
      </c>
      <c r="N482" s="225">
        <f t="shared" si="39"/>
        <v>1.7651731476246881</v>
      </c>
      <c r="O482" s="225" t="str">
        <f>IF(IFERROR(INDEX('Both teabags AfterWet'!$C$3:$C$841,MATCH(J482,'Both teabags AfterWet'!$A$3:$A$841,0)),"")="","",(IFERROR(INDEX('Both teabags AfterWet'!$C$3:$C$841,MATCH(J482,'Both teabags AfterWet'!$A$3:$A$841,0)),"")))</f>
        <v/>
      </c>
      <c r="P482" s="225" t="str">
        <f>IFERROR(IF(O482&gt;0,O482-(TBIcalc!$H$9),""),"")</f>
        <v/>
      </c>
      <c r="Q482" s="225">
        <f>IFERROR(INDEX('Ashed teabags wet'!$K$2:$K$821,MATCH(J482,'Ashed teabags wet'!$A$2:$A$821,0)),"")</f>
        <v>11.014911014910776</v>
      </c>
      <c r="R482" s="225" t="str">
        <f t="shared" si="42"/>
        <v/>
      </c>
      <c r="S482" s="226">
        <f>'WetLitterbags placem_collection'!E43</f>
        <v>42766</v>
      </c>
      <c r="T482" s="226">
        <f>IF('WetLitterbags placem_collection'!G43="","",'WetLitterbags placem_collection'!G43)</f>
        <v>42820</v>
      </c>
      <c r="U482" s="227">
        <f t="shared" si="38"/>
        <v>54</v>
      </c>
      <c r="V482" s="225" t="str">
        <f t="shared" si="40"/>
        <v/>
      </c>
      <c r="W482" s="225" t="str">
        <f t="shared" si="41"/>
        <v/>
      </c>
      <c r="X482">
        <f>IFERROR(INDEX(Rainfall_Wet!$O$2:$O$217,MATCH(B482, Rainfall_Wet!$A$2:$A$217,0)),"")</f>
        <v>214.262898705</v>
      </c>
      <c r="Y482" s="231">
        <v>19.96</v>
      </c>
      <c r="Z482" s="231">
        <v>4.9199999999999982</v>
      </c>
      <c r="AA482" s="231">
        <v>75.12</v>
      </c>
      <c r="AB482" s="232" t="s">
        <v>2671</v>
      </c>
      <c r="AC482" s="231">
        <v>1.641498275012321</v>
      </c>
      <c r="AD482">
        <f>IF('WetLitterbags placem_collection'!AB43="","",'WetLitterbags placem_collection'!AB43)</f>
        <v>4</v>
      </c>
      <c r="AE482">
        <f>IF('WetLitterbags placem_collection'!Z43="","",'WetLitterbags placem_collection'!Z43)</f>
        <v>19.100000000000001</v>
      </c>
      <c r="AF482" s="246" t="str">
        <f>IF('WetLitterbags placem_collection'!AA43="","",'WetLitterbags placem_collection'!AA43)</f>
        <v>G</v>
      </c>
      <c r="AG482">
        <f>IF('WetLitterbags placem_collection'!AC43="","",'WetLitterbags placem_collection'!AC43)</f>
        <v>0</v>
      </c>
      <c r="AH482" s="240">
        <f>AVERAGE('WetLitterbags placem_collection'!S43,'WetLitterbags placem_collection'!U43)</f>
        <v>21.9</v>
      </c>
      <c r="AI482">
        <f>AVERAGE('WetLitterbags placem_collection'!R43,'WetLitterbags placem_collection'!T43)</f>
        <v>24.5</v>
      </c>
      <c r="AJ482">
        <f>INDEX(Coordinates!$B$2:$B$197,MATCH(G482,Coordinates!$J$2:$J$197,0))</f>
        <v>-3.4083420040000001</v>
      </c>
      <c r="AK482">
        <f>INDEX(Coordinates!$C$2:$C$197,MATCH(G482,Coordinates!$J$2:$J$197,0))</f>
        <v>34.850283040000001</v>
      </c>
      <c r="AL482" t="str">
        <f>IF(ISNUMBER(SEARCH("C", 'WetLitterbags placem_collection'!X43)),"YES","NO")</f>
        <v>NO</v>
      </c>
      <c r="AM482" t="str">
        <f>IF(ISNUMBER(SEARCH("H", 'WetLitterbags placem_collection'!X43)),"YES","NO")</f>
        <v>NO</v>
      </c>
      <c r="AN482" t="str">
        <f>IF(ISNUMBER(SEARCH("R", 'WetLitterbags placem_collection'!X43)),"YES","NO")</f>
        <v>YES</v>
      </c>
    </row>
    <row r="483" spans="1:40" ht="15" customHeight="1">
      <c r="A483" s="258" t="s">
        <v>2460</v>
      </c>
      <c r="B483" s="263">
        <f>'Dry_Litterbag Placem_Collection'!A44</f>
        <v>42</v>
      </c>
      <c r="C483" s="263" t="str">
        <f>'Dry_Litterbag Placem_Collection'!B44</f>
        <v>Makao</v>
      </c>
      <c r="D483" s="263" t="s">
        <v>2659</v>
      </c>
      <c r="E483" s="263" t="s">
        <v>20</v>
      </c>
      <c r="F483" s="263">
        <v>2</v>
      </c>
      <c r="G483" s="264" t="str">
        <f>'Dry_Litterbag Placem_Collection'!C44</f>
        <v>Dry_P2_T2</v>
      </c>
      <c r="H483" s="273" t="s">
        <v>3651</v>
      </c>
      <c r="I483" s="266" t="s">
        <v>1147</v>
      </c>
      <c r="J483" s="223" t="str">
        <f>'WetLitterbags placem_collection'!O44</f>
        <v>G437</v>
      </c>
      <c r="K483" s="225">
        <f>IFERROR(INDEX('Green_rooibos initial weight'!$C$5:$C$1749,MATCH(J483, 'Green_rooibos initial weight'!$A$5:$A$1749,0)),"")</f>
        <v>2.1230000000000002</v>
      </c>
      <c r="L483" s="225">
        <f>IFERROR(K483-(TBIcalc!$H$9+TBIcalc!$H$10),"")</f>
        <v>1.8732000000000002</v>
      </c>
      <c r="M483" s="391">
        <f>AVERAGE(Ashed_controlls!$K$2:$K$11)</f>
        <v>5.5147656768714146</v>
      </c>
      <c r="N483" s="225">
        <f t="shared" si="39"/>
        <v>1.7698974093408448</v>
      </c>
      <c r="O483" s="225">
        <f>IF(IFERROR(INDEX('Both teabags AfterWet'!$C$3:$C$841,MATCH(J483,'Both teabags AfterWet'!$A$3:$A$841,0)),"")="","",(IFERROR(INDEX('Both teabags AfterWet'!$C$3:$C$841,MATCH(J483,'Both teabags AfterWet'!$A$3:$A$841,0)),"")))</f>
        <v>0.64</v>
      </c>
      <c r="P483" s="225">
        <f>IFERROR(IF(O483&gt;0,O483-(TBIcalc!$H$9),""),"")</f>
        <v>0.4894</v>
      </c>
      <c r="Q483" s="225">
        <f>IFERROR(INDEX('Ashed teabags wet'!$K$2:$K$821,MATCH(J483,'Ashed teabags wet'!$A$2:$A$821,0)),"")</f>
        <v>8.5335948994602457</v>
      </c>
      <c r="R483" s="225">
        <f t="shared" si="42"/>
        <v>0.44763658656204158</v>
      </c>
      <c r="S483" s="226">
        <f>'WetLitterbags placem_collection'!E44</f>
        <v>42766</v>
      </c>
      <c r="T483" s="226">
        <f>IF('WetLitterbags placem_collection'!G44="","",'WetLitterbags placem_collection'!G44)</f>
        <v>42820</v>
      </c>
      <c r="U483" s="227">
        <f t="shared" si="38"/>
        <v>54</v>
      </c>
      <c r="V483" s="225">
        <f t="shared" si="40"/>
        <v>1.3838000000000001</v>
      </c>
      <c r="W483" s="225">
        <f t="shared" si="41"/>
        <v>1.3222608227788033</v>
      </c>
      <c r="X483">
        <f>IFERROR(INDEX(Rainfall_Wet!$O$2:$O$217,MATCH(B483, Rainfall_Wet!$A$2:$A$217,0)),"")</f>
        <v>214.262898705</v>
      </c>
      <c r="Y483" s="231">
        <v>19.96</v>
      </c>
      <c r="Z483" s="231">
        <v>4.9199999999999982</v>
      </c>
      <c r="AA483" s="231">
        <v>75.12</v>
      </c>
      <c r="AB483" s="232" t="s">
        <v>2671</v>
      </c>
      <c r="AC483" s="231">
        <v>1.641498275012321</v>
      </c>
      <c r="AD483">
        <f>IF('WetLitterbags placem_collection'!AB44="","",'WetLitterbags placem_collection'!AB44)</f>
        <v>5.9</v>
      </c>
      <c r="AE483">
        <f>IF('WetLitterbags placem_collection'!Z44="","",'WetLitterbags placem_collection'!Z44)</f>
        <v>12.7</v>
      </c>
      <c r="AF483" s="246" t="str">
        <f>IF('WetLitterbags placem_collection'!AA44="","",'WetLitterbags placem_collection'!AA44)</f>
        <v>G</v>
      </c>
      <c r="AG483">
        <f>IF('WetLitterbags placem_collection'!AC44="","",'WetLitterbags placem_collection'!AC44)</f>
        <v>0</v>
      </c>
      <c r="AH483" s="240">
        <f>AVERAGE('WetLitterbags placem_collection'!S44,'WetLitterbags placem_collection'!U44)</f>
        <v>19</v>
      </c>
      <c r="AI483">
        <f>AVERAGE('WetLitterbags placem_collection'!R44,'WetLitterbags placem_collection'!T44)</f>
        <v>22.950000000000003</v>
      </c>
      <c r="AJ483">
        <f>INDEX(Coordinates!$B$2:$B$197,MATCH(G483,Coordinates!$J$2:$J$197,0))</f>
        <v>-3.4084079690000002</v>
      </c>
      <c r="AK483">
        <f>INDEX(Coordinates!$C$2:$C$197,MATCH(G483,Coordinates!$J$2:$J$197,0))</f>
        <v>34.850295029999998</v>
      </c>
      <c r="AL483" t="str">
        <f>IF(ISNUMBER(SEARCH("C", 'WetLitterbags placem_collection'!X44)),"YES","NO")</f>
        <v>NO</v>
      </c>
      <c r="AM483" t="str">
        <f>IF(ISNUMBER(SEARCH("H", 'WetLitterbags placem_collection'!X44)),"YES","NO")</f>
        <v>NO</v>
      </c>
      <c r="AN483" t="str">
        <f>IF(ISNUMBER(SEARCH("R", 'WetLitterbags placem_collection'!X44)),"YES","NO")</f>
        <v>NO</v>
      </c>
    </row>
    <row r="484" spans="1:40" ht="15" customHeight="1">
      <c r="A484" s="258" t="s">
        <v>2460</v>
      </c>
      <c r="B484" s="263">
        <f>'Dry_Litterbag Placem_Collection'!A45</f>
        <v>43</v>
      </c>
      <c r="C484" s="263" t="str">
        <f>'Dry_Litterbag Placem_Collection'!B45</f>
        <v>Makao</v>
      </c>
      <c r="D484" s="263" t="s">
        <v>2659</v>
      </c>
      <c r="E484" s="263" t="s">
        <v>20</v>
      </c>
      <c r="F484" s="263">
        <v>2</v>
      </c>
      <c r="G484" s="264" t="str">
        <f>'Dry_Litterbag Placem_Collection'!C45</f>
        <v>Dry_P2_T3</v>
      </c>
      <c r="H484" s="273" t="s">
        <v>3651</v>
      </c>
      <c r="I484" s="266" t="s">
        <v>1147</v>
      </c>
      <c r="J484" s="223" t="str">
        <f>'WetLitterbags placem_collection'!O45</f>
        <v>G643</v>
      </c>
      <c r="K484" s="225">
        <f>IFERROR(INDEX('Green_rooibos initial weight'!$C$5:$C$1749,MATCH(J484, 'Green_rooibos initial weight'!$A$5:$A$1749,0)),"")</f>
        <v>2.0510000000000002</v>
      </c>
      <c r="L484" s="225">
        <f>IFERROR(K484-(TBIcalc!$H$9+TBIcalc!$H$10),"")</f>
        <v>1.8012000000000001</v>
      </c>
      <c r="M484" s="391">
        <f>AVERAGE(Ashed_controlls!$K$2:$K$11)</f>
        <v>5.5147656768714146</v>
      </c>
      <c r="N484" s="225">
        <f t="shared" si="39"/>
        <v>1.7018680406281923</v>
      </c>
      <c r="O484" s="225">
        <f>IF(IFERROR(INDEX('Both teabags AfterWet'!$C$3:$C$841,MATCH(J484,'Both teabags AfterWet'!$A$3:$A$841,0)),"")="","",(IFERROR(INDEX('Both teabags AfterWet'!$C$3:$C$841,MATCH(J484,'Both teabags AfterWet'!$A$3:$A$841,0)),"")))</f>
        <v>0.74509999999999998</v>
      </c>
      <c r="P484" s="225">
        <f>IFERROR(IF(O484&gt;0,O484-(TBIcalc!$H$9),""),"")</f>
        <v>0.59450000000000003</v>
      </c>
      <c r="Q484" s="225">
        <f>IFERROR(INDEX('Ashed teabags wet'!$K$2:$K$821,MATCH(J484,'Ashed teabags wet'!$A$2:$A$821,0)),"")</f>
        <v>7.6658476658481174</v>
      </c>
      <c r="R484" s="225">
        <f t="shared" si="42"/>
        <v>0.54892653562653293</v>
      </c>
      <c r="S484" s="226">
        <f>'WetLitterbags placem_collection'!E45</f>
        <v>42766</v>
      </c>
      <c r="T484" s="226">
        <f>IF('WetLitterbags placem_collection'!G45="","",'WetLitterbags placem_collection'!G45)</f>
        <v>42820</v>
      </c>
      <c r="U484" s="227">
        <f t="shared" si="38"/>
        <v>54</v>
      </c>
      <c r="V484" s="225">
        <f t="shared" si="40"/>
        <v>1.2067000000000001</v>
      </c>
      <c r="W484" s="225">
        <f t="shared" si="41"/>
        <v>1.1529415050016594</v>
      </c>
      <c r="X484">
        <f>IFERROR(INDEX(Rainfall_Wet!$O$2:$O$217,MATCH(B484, Rainfall_Wet!$A$2:$A$217,0)),"")</f>
        <v>214.262898705</v>
      </c>
      <c r="Y484" s="231">
        <v>19.96</v>
      </c>
      <c r="Z484" s="231">
        <v>4.9199999999999982</v>
      </c>
      <c r="AA484" s="231">
        <v>75.12</v>
      </c>
      <c r="AB484" s="232" t="s">
        <v>2671</v>
      </c>
      <c r="AC484" s="231">
        <v>1.641498275012321</v>
      </c>
      <c r="AD484">
        <f>IF('WetLitterbags placem_collection'!AB45="","",'WetLitterbags placem_collection'!AB45)</f>
        <v>5</v>
      </c>
      <c r="AE484">
        <f>IF('WetLitterbags placem_collection'!Z45="","",'WetLitterbags placem_collection'!Z45)</f>
        <v>26.3</v>
      </c>
      <c r="AF484" s="246" t="str">
        <f>IF('WetLitterbags placem_collection'!AA45="","",'WetLitterbags placem_collection'!AA45)</f>
        <v>G</v>
      </c>
      <c r="AG484">
        <f>IF('WetLitterbags placem_collection'!AC45="","",'WetLitterbags placem_collection'!AC45)</f>
        <v>0</v>
      </c>
      <c r="AH484" s="240">
        <f>AVERAGE('WetLitterbags placem_collection'!S45,'WetLitterbags placem_collection'!U45)</f>
        <v>18.3</v>
      </c>
      <c r="AI484">
        <f>AVERAGE('WetLitterbags placem_collection'!R45,'WetLitterbags placem_collection'!T45)</f>
        <v>21.799999999999997</v>
      </c>
      <c r="AJ484">
        <f>INDEX(Coordinates!$B$2:$B$197,MATCH(G484,Coordinates!$J$2:$J$197,0))</f>
        <v>-3.4082369789999998</v>
      </c>
      <c r="AK484">
        <f>INDEX(Coordinates!$C$2:$C$197,MATCH(G484,Coordinates!$J$2:$J$197,0))</f>
        <v>34.850189999999998</v>
      </c>
      <c r="AL484" t="str">
        <f>IF(ISNUMBER(SEARCH("C", 'WetLitterbags placem_collection'!X45)),"YES","NO")</f>
        <v>NO</v>
      </c>
      <c r="AM484" t="str">
        <f>IF(ISNUMBER(SEARCH("H", 'WetLitterbags placem_collection'!X45)),"YES","NO")</f>
        <v>NO</v>
      </c>
      <c r="AN484" t="str">
        <f>IF(ISNUMBER(SEARCH("R", 'WetLitterbags placem_collection'!X45)),"YES","NO")</f>
        <v>YES</v>
      </c>
    </row>
    <row r="485" spans="1:40" ht="15" customHeight="1">
      <c r="A485" s="258" t="s">
        <v>2460</v>
      </c>
      <c r="B485" s="263">
        <f>'Dry_Litterbag Placem_Collection'!A46</f>
        <v>44</v>
      </c>
      <c r="C485" s="263" t="str">
        <f>'Dry_Litterbag Placem_Collection'!B46</f>
        <v>Makao</v>
      </c>
      <c r="D485" s="263" t="s">
        <v>2659</v>
      </c>
      <c r="E485" s="263" t="s">
        <v>20</v>
      </c>
      <c r="F485" s="263">
        <v>2</v>
      </c>
      <c r="G485" s="264" t="str">
        <f>'Dry_Litterbag Placem_Collection'!C46</f>
        <v>Dry_P2_T4</v>
      </c>
      <c r="H485" s="273" t="s">
        <v>3651</v>
      </c>
      <c r="I485" s="266" t="s">
        <v>1147</v>
      </c>
      <c r="J485" s="223" t="str">
        <f>'WetLitterbags placem_collection'!O46</f>
        <v>G283</v>
      </c>
      <c r="K485" s="225">
        <f>IFERROR(INDEX('Green_rooibos initial weight'!$C$5:$C$1749,MATCH(J485, 'Green_rooibos initial weight'!$A$5:$A$1749,0)),"")</f>
        <v>1.8660000000000001</v>
      </c>
      <c r="L485" s="225">
        <f>IFERROR(K485-(TBIcalc!$H$9+TBIcalc!$H$10),"")</f>
        <v>1.6162000000000001</v>
      </c>
      <c r="M485" s="391">
        <f>AVERAGE(Ashed_controlls!$K$2:$K$11)</f>
        <v>5.5147656768714146</v>
      </c>
      <c r="N485" s="225">
        <f t="shared" si="39"/>
        <v>1.5270703571304043</v>
      </c>
      <c r="O485" s="225">
        <f>IF(IFERROR(INDEX('Both teabags AfterWet'!$C$3:$C$841,MATCH(J485,'Both teabags AfterWet'!$A$3:$A$841,0)),"")="","",(IFERROR(INDEX('Both teabags AfterWet'!$C$3:$C$841,MATCH(J485,'Both teabags AfterWet'!$A$3:$A$841,0)),"")))</f>
        <v>0.80830000000000002</v>
      </c>
      <c r="P485" s="225">
        <f>IFERROR(IF(O485&gt;0,O485-(TBIcalc!$H$9),""),"")</f>
        <v>0.65769999999999995</v>
      </c>
      <c r="Q485" s="225">
        <f>IFERROR(INDEX('Ashed teabags wet'!$K$2:$K$821,MATCH(J485,'Ashed teabags wet'!$A$2:$A$821,0)),"")</f>
        <v>10.544217687075299</v>
      </c>
      <c r="R485" s="225">
        <f t="shared" si="42"/>
        <v>0.58835068027210569</v>
      </c>
      <c r="S485" s="226">
        <f>'WetLitterbags placem_collection'!E46</f>
        <v>42766</v>
      </c>
      <c r="T485" s="226">
        <f>IF('WetLitterbags placem_collection'!G46="","",'WetLitterbags placem_collection'!G46)</f>
        <v>42820</v>
      </c>
      <c r="U485" s="227">
        <f t="shared" si="38"/>
        <v>54</v>
      </c>
      <c r="V485" s="225">
        <f t="shared" si="40"/>
        <v>0.95850000000000013</v>
      </c>
      <c r="W485" s="225">
        <f t="shared" si="41"/>
        <v>0.9387196768582986</v>
      </c>
      <c r="X485">
        <f>IFERROR(INDEX(Rainfall_Wet!$O$2:$O$217,MATCH(B485, Rainfall_Wet!$A$2:$A$217,0)),"")</f>
        <v>214.262898705</v>
      </c>
      <c r="Y485" s="231">
        <v>19.96</v>
      </c>
      <c r="Z485" s="231">
        <v>4.9199999999999982</v>
      </c>
      <c r="AA485" s="231">
        <v>75.12</v>
      </c>
      <c r="AB485" s="232" t="s">
        <v>2671</v>
      </c>
      <c r="AC485" s="231">
        <v>1.641498275012321</v>
      </c>
      <c r="AD485">
        <f>IF('WetLitterbags placem_collection'!AB46="","",'WetLitterbags placem_collection'!AB46)</f>
        <v>2.6</v>
      </c>
      <c r="AE485">
        <f>IF('WetLitterbags placem_collection'!Z46="","",'WetLitterbags placem_collection'!Z46)</f>
        <v>39.200000000000003</v>
      </c>
      <c r="AF485" s="246" t="str">
        <f>IF('WetLitterbags placem_collection'!AA46="","",'WetLitterbags placem_collection'!AA46)</f>
        <v>G</v>
      </c>
      <c r="AG485">
        <f>IF('WetLitterbags placem_collection'!AC46="","",'WetLitterbags placem_collection'!AC46)</f>
        <v>0</v>
      </c>
      <c r="AH485" s="240">
        <f>AVERAGE('WetLitterbags placem_collection'!S46,'WetLitterbags placem_collection'!U46)</f>
        <v>20.6</v>
      </c>
      <c r="AI485">
        <f>AVERAGE('WetLitterbags placem_collection'!R46,'WetLitterbags placem_collection'!T46)</f>
        <v>22.65</v>
      </c>
      <c r="AJ485">
        <f>INDEX(Coordinates!$B$2:$B$197,MATCH(G485,Coordinates!$J$2:$J$197,0))</f>
        <v>-3.4081529920000002</v>
      </c>
      <c r="AK485">
        <f>INDEX(Coordinates!$C$2:$C$197,MATCH(G485,Coordinates!$J$2:$J$197,0))</f>
        <v>34.850168959999998</v>
      </c>
      <c r="AL485" t="str">
        <f>IF(ISNUMBER(SEARCH("C", 'WetLitterbags placem_collection'!X46)),"YES","NO")</f>
        <v>NO</v>
      </c>
      <c r="AM485" t="str">
        <f>IF(ISNUMBER(SEARCH("H", 'WetLitterbags placem_collection'!X46)),"YES","NO")</f>
        <v>NO</v>
      </c>
      <c r="AN485" t="str">
        <f>IF(ISNUMBER(SEARCH("R", 'WetLitterbags placem_collection'!X46)),"YES","NO")</f>
        <v>YES</v>
      </c>
    </row>
    <row r="486" spans="1:40" ht="15" customHeight="1">
      <c r="A486" s="258" t="s">
        <v>2460</v>
      </c>
      <c r="B486" s="263">
        <f>'Dry_Litterbag Placem_Collection'!A47</f>
        <v>45</v>
      </c>
      <c r="C486" s="263" t="str">
        <f>'Dry_Litterbag Placem_Collection'!B47</f>
        <v>Makao</v>
      </c>
      <c r="D486" s="263" t="s">
        <v>2659</v>
      </c>
      <c r="E486" s="263" t="s">
        <v>20</v>
      </c>
      <c r="F486" s="263">
        <v>2</v>
      </c>
      <c r="G486" s="264" t="str">
        <f>'Dry_Litterbag Placem_Collection'!C47</f>
        <v>Dry_P2_T5</v>
      </c>
      <c r="H486" s="273" t="s">
        <v>3651</v>
      </c>
      <c r="I486" s="266" t="s">
        <v>1147</v>
      </c>
      <c r="J486" s="223" t="str">
        <f>'WetLitterbags placem_collection'!O47</f>
        <v>G602</v>
      </c>
      <c r="K486" s="225">
        <f>IFERROR(INDEX('Green_rooibos initial weight'!$C$5:$C$1749,MATCH(J486, 'Green_rooibos initial weight'!$A$5:$A$1749,0)),"")</f>
        <v>2.1030000000000002</v>
      </c>
      <c r="L486" s="225">
        <f>IFERROR(K486-(TBIcalc!$H$9+TBIcalc!$H$10),"")</f>
        <v>1.8532000000000002</v>
      </c>
      <c r="M486" s="391">
        <f>AVERAGE(Ashed_controlls!$K$2:$K$11)</f>
        <v>5.5147656768714146</v>
      </c>
      <c r="N486" s="225">
        <f t="shared" si="39"/>
        <v>1.7510003624762192</v>
      </c>
      <c r="O486" s="225">
        <f>IF(IFERROR(INDEX('Both teabags AfterWet'!$C$3:$C$841,MATCH(J486,'Both teabags AfterWet'!$A$3:$A$841,0)),"")="","",(IFERROR(INDEX('Both teabags AfterWet'!$C$3:$C$841,MATCH(J486,'Both teabags AfterWet'!$A$3:$A$841,0)),"")))</f>
        <v>0.77400000000000002</v>
      </c>
      <c r="P486" s="225">
        <f>IFERROR(IF(O486&gt;0,O486-(TBIcalc!$H$9),""),"")</f>
        <v>0.62339999999999995</v>
      </c>
      <c r="Q486" s="225">
        <f>IFERROR(INDEX('Ashed teabags wet'!$K$2:$K$821,MATCH(J486,'Ashed teabags wet'!$A$2:$A$821,0)),"")</f>
        <v>5.9288537549396603</v>
      </c>
      <c r="R486" s="225">
        <f t="shared" si="42"/>
        <v>0.5864395256917061</v>
      </c>
      <c r="S486" s="226">
        <f>'WetLitterbags placem_collection'!E47</f>
        <v>42766</v>
      </c>
      <c r="T486" s="226">
        <f>IF('WetLitterbags placem_collection'!G47="","",'WetLitterbags placem_collection'!G47)</f>
        <v>42820</v>
      </c>
      <c r="U486" s="227">
        <f t="shared" si="38"/>
        <v>54</v>
      </c>
      <c r="V486" s="225">
        <f t="shared" si="40"/>
        <v>1.2298000000000002</v>
      </c>
      <c r="W486" s="225">
        <f t="shared" si="41"/>
        <v>1.1645608367845131</v>
      </c>
      <c r="X486">
        <f>IFERROR(INDEX(Rainfall_Wet!$O$2:$O$217,MATCH(B486, Rainfall_Wet!$A$2:$A$217,0)),"")</f>
        <v>214.262898705</v>
      </c>
      <c r="Y486" s="231">
        <v>19.96</v>
      </c>
      <c r="Z486" s="231">
        <v>4.9199999999999982</v>
      </c>
      <c r="AA486" s="231">
        <v>75.12</v>
      </c>
      <c r="AB486" s="232" t="s">
        <v>2671</v>
      </c>
      <c r="AC486" s="231">
        <v>1.641498275012321</v>
      </c>
      <c r="AD486">
        <f>IF('WetLitterbags placem_collection'!AB47="","",'WetLitterbags placem_collection'!AB47)</f>
        <v>2.2999999999999998</v>
      </c>
      <c r="AE486">
        <f>IF('WetLitterbags placem_collection'!Z47="","",'WetLitterbags placem_collection'!Z47)</f>
        <v>9.3000000000000007</v>
      </c>
      <c r="AF486" s="246" t="str">
        <f>IF('WetLitterbags placem_collection'!AA47="","",'WetLitterbags placem_collection'!AA47)</f>
        <v>O</v>
      </c>
      <c r="AG486">
        <f>IF('WetLitterbags placem_collection'!AC47="","",'WetLitterbags placem_collection'!AC47)</f>
        <v>0</v>
      </c>
      <c r="AH486" s="240">
        <f>AVERAGE('WetLitterbags placem_collection'!S47,'WetLitterbags placem_collection'!U47)</f>
        <v>24.4</v>
      </c>
      <c r="AI486">
        <f>AVERAGE('WetLitterbags placem_collection'!R47,'WetLitterbags placem_collection'!T47)</f>
        <v>22.15</v>
      </c>
      <c r="AJ486">
        <f>INDEX(Coordinates!$B$2:$B$197,MATCH(G486,Coordinates!$J$2:$J$197,0))</f>
        <v>-3.4081789759999999</v>
      </c>
      <c r="AK486">
        <f>INDEX(Coordinates!$C$2:$C$197,MATCH(G486,Coordinates!$J$2:$J$197,0))</f>
        <v>34.850516980000002</v>
      </c>
      <c r="AL486" t="str">
        <f>IF(ISNUMBER(SEARCH("C", 'WetLitterbags placem_collection'!X47)),"YES","NO")</f>
        <v>NO</v>
      </c>
      <c r="AM486" t="str">
        <f>IF(ISNUMBER(SEARCH("H", 'WetLitterbags placem_collection'!X47)),"YES","NO")</f>
        <v>NO</v>
      </c>
      <c r="AN486" t="str">
        <f>IF(ISNUMBER(SEARCH("R", 'WetLitterbags placem_collection'!X47)),"YES","NO")</f>
        <v>YES</v>
      </c>
    </row>
    <row r="487" spans="1:40" ht="15" customHeight="1">
      <c r="A487" s="258" t="s">
        <v>2460</v>
      </c>
      <c r="B487" s="263">
        <f>'Dry_Litterbag Placem_Collection'!A48</f>
        <v>46</v>
      </c>
      <c r="C487" s="263" t="str">
        <f>'Dry_Litterbag Placem_Collection'!B48</f>
        <v>Makao</v>
      </c>
      <c r="D487" s="263" t="s">
        <v>2659</v>
      </c>
      <c r="E487" s="263" t="s">
        <v>20</v>
      </c>
      <c r="F487" s="263">
        <v>2</v>
      </c>
      <c r="G487" s="264" t="str">
        <f>'Dry_Litterbag Placem_Collection'!C48</f>
        <v>Dry_P2_T6</v>
      </c>
      <c r="H487" s="273" t="s">
        <v>3651</v>
      </c>
      <c r="I487" s="266" t="s">
        <v>1147</v>
      </c>
      <c r="J487" s="223" t="str">
        <f>'WetLitterbags placem_collection'!O48</f>
        <v>G427</v>
      </c>
      <c r="K487" s="225">
        <f>IFERROR(INDEX('Green_rooibos initial weight'!$C$5:$C$1749,MATCH(J487, 'Green_rooibos initial weight'!$A$5:$A$1749,0)),"")</f>
        <v>1.8959999999999999</v>
      </c>
      <c r="L487" s="225">
        <f>IFERROR(K487-(TBIcalc!$H$9+TBIcalc!$H$10),"")</f>
        <v>1.6461999999999999</v>
      </c>
      <c r="M487" s="391">
        <f>AVERAGE(Ashed_controlls!$K$2:$K$11)</f>
        <v>5.5147656768714146</v>
      </c>
      <c r="N487" s="225">
        <f t="shared" si="39"/>
        <v>1.5554159274273427</v>
      </c>
      <c r="O487" s="225" t="str">
        <f>IF(IFERROR(INDEX('Both teabags AfterWet'!$C$3:$C$841,MATCH(J487,'Both teabags AfterWet'!$A$3:$A$841,0)),"")="","",(IFERROR(INDEX('Both teabags AfterWet'!$C$3:$C$841,MATCH(J487,'Both teabags AfterWet'!$A$3:$A$841,0)),"")))</f>
        <v/>
      </c>
      <c r="P487" s="225" t="str">
        <f>IFERROR(IF(O487&gt;0,O487-(TBIcalc!$H$9),""),"")</f>
        <v/>
      </c>
      <c r="Q487" s="225" t="str">
        <f>IFERROR(INDEX('Ashed teabags wet'!$K$2:$K$821,MATCH(J487,'Ashed teabags wet'!$A$2:$A$821,0)),"")</f>
        <v/>
      </c>
      <c r="R487" s="225" t="str">
        <f t="shared" si="42"/>
        <v/>
      </c>
      <c r="S487" s="226">
        <f>'WetLitterbags placem_collection'!E48</f>
        <v>42766</v>
      </c>
      <c r="T487" s="226">
        <f>IF('WetLitterbags placem_collection'!G48="","",'WetLitterbags placem_collection'!G48)</f>
        <v>42820</v>
      </c>
      <c r="U487" s="227">
        <f t="shared" si="38"/>
        <v>54</v>
      </c>
      <c r="V487" s="225" t="str">
        <f t="shared" si="40"/>
        <v/>
      </c>
      <c r="W487" s="225" t="str">
        <f t="shared" si="41"/>
        <v/>
      </c>
      <c r="X487">
        <f>IFERROR(INDEX(Rainfall_Wet!$O$2:$O$217,MATCH(B487, Rainfall_Wet!$A$2:$A$217,0)),"")</f>
        <v>214.262898705</v>
      </c>
      <c r="Y487" s="231">
        <v>19.96</v>
      </c>
      <c r="Z487" s="231">
        <v>4.9199999999999982</v>
      </c>
      <c r="AA487" s="231">
        <v>75.12</v>
      </c>
      <c r="AB487" s="232" t="s">
        <v>2671</v>
      </c>
      <c r="AC487" s="231">
        <v>1.641498275012321</v>
      </c>
      <c r="AD487" t="str">
        <f>IF('WetLitterbags placem_collection'!AB48="","",'WetLitterbags placem_collection'!AB48)</f>
        <v/>
      </c>
      <c r="AE487" t="str">
        <f>IF('WetLitterbags placem_collection'!Z48="","",'WetLitterbags placem_collection'!Z48)</f>
        <v/>
      </c>
      <c r="AF487" s="246" t="str">
        <f>IF('WetLitterbags placem_collection'!AA48="","",'WetLitterbags placem_collection'!AA48)</f>
        <v/>
      </c>
      <c r="AG487" t="str">
        <f>IF('WetLitterbags placem_collection'!AC48="","",'WetLitterbags placem_collection'!AC48)</f>
        <v/>
      </c>
      <c r="AH487" s="240">
        <f>AVERAGE('WetLitterbags placem_collection'!S48,'WetLitterbags placem_collection'!U48)</f>
        <v>22.5</v>
      </c>
      <c r="AI487">
        <f>AVERAGE('WetLitterbags placem_collection'!R48,'WetLitterbags placem_collection'!T48)</f>
        <v>20.100000000000001</v>
      </c>
      <c r="AJ487">
        <f>INDEX(Coordinates!$B$2:$B$197,MATCH(G487,Coordinates!$J$2:$J$197,0))</f>
        <v>-3.4084730130000001</v>
      </c>
      <c r="AK487">
        <f>INDEX(Coordinates!$C$2:$C$197,MATCH(G487,Coordinates!$J$2:$J$197,0))</f>
        <v>34.850401980000001</v>
      </c>
      <c r="AL487" t="str">
        <f>IF(ISNUMBER(SEARCH("C", 'WetLitterbags placem_collection'!X48)),"YES","NO")</f>
        <v>NO</v>
      </c>
      <c r="AM487" t="str">
        <f>IF(ISNUMBER(SEARCH("H", 'WetLitterbags placem_collection'!X48)),"YES","NO")</f>
        <v>NO</v>
      </c>
      <c r="AN487" t="str">
        <f>IF(ISNUMBER(SEARCH("R", 'WetLitterbags placem_collection'!X48)),"YES","NO")</f>
        <v>NO</v>
      </c>
    </row>
    <row r="488" spans="1:40" ht="15" customHeight="1">
      <c r="A488" s="258" t="s">
        <v>2460</v>
      </c>
      <c r="B488" s="263">
        <f>'Dry_Litterbag Placem_Collection'!A49</f>
        <v>47</v>
      </c>
      <c r="C488" s="263" t="str">
        <f>'Dry_Litterbag Placem_Collection'!B49</f>
        <v>Makao</v>
      </c>
      <c r="D488" s="263" t="s">
        <v>2659</v>
      </c>
      <c r="E488" s="263" t="s">
        <v>20</v>
      </c>
      <c r="F488" s="263">
        <v>2</v>
      </c>
      <c r="G488" s="264" t="str">
        <f>'Dry_Litterbag Placem_Collection'!C49</f>
        <v>Dry_P2_T7</v>
      </c>
      <c r="H488" s="273" t="s">
        <v>3651</v>
      </c>
      <c r="I488" s="266" t="s">
        <v>1147</v>
      </c>
      <c r="J488" s="223" t="str">
        <f>'WetLitterbags placem_collection'!O49</f>
        <v>G512</v>
      </c>
      <c r="K488" s="225">
        <f>IFERROR(INDEX('Green_rooibos initial weight'!$C$5:$C$1749,MATCH(J488, 'Green_rooibos initial weight'!$A$5:$A$1749,0)),"")</f>
        <v>2.0939999999999999</v>
      </c>
      <c r="L488" s="225">
        <f>IFERROR(K488-(TBIcalc!$H$9+TBIcalc!$H$10),"")</f>
        <v>1.8441999999999998</v>
      </c>
      <c r="M488" s="391">
        <f>AVERAGE(Ashed_controlls!$K$2:$K$11)</f>
        <v>5.5147656768714146</v>
      </c>
      <c r="N488" s="225">
        <f t="shared" si="39"/>
        <v>1.7424966913871371</v>
      </c>
      <c r="O488" s="225">
        <f>IF(IFERROR(INDEX('Both teabags AfterWet'!$C$3:$C$841,MATCH(J488,'Both teabags AfterWet'!$A$3:$A$841,0)),"")="","",(IFERROR(INDEX('Both teabags AfterWet'!$C$3:$C$841,MATCH(J488,'Both teabags AfterWet'!$A$3:$A$841,0)),"")))</f>
        <v>0.77500000000000002</v>
      </c>
      <c r="P488" s="225">
        <f>IFERROR(IF(O488&gt;0,O488-(TBIcalc!$H$9),""),"")</f>
        <v>0.62440000000000007</v>
      </c>
      <c r="Q488" s="225">
        <f>IFERROR(INDEX('Ashed teabags wet'!$K$2:$K$821,MATCH(J488,'Ashed teabags wet'!$A$2:$A$821,0)),"")</f>
        <v>8.2123184777170053</v>
      </c>
      <c r="R488" s="225">
        <f t="shared" si="42"/>
        <v>0.57312228342513505</v>
      </c>
      <c r="S488" s="226">
        <f>'WetLitterbags placem_collection'!E49</f>
        <v>42766</v>
      </c>
      <c r="T488" s="226">
        <f>IF('WetLitterbags placem_collection'!G49="","",'WetLitterbags placem_collection'!G49)</f>
        <v>42820</v>
      </c>
      <c r="U488" s="227">
        <f t="shared" si="38"/>
        <v>54</v>
      </c>
      <c r="V488" s="225">
        <f t="shared" si="40"/>
        <v>1.2197999999999998</v>
      </c>
      <c r="W488" s="225">
        <f t="shared" si="41"/>
        <v>1.1693744079620021</v>
      </c>
      <c r="X488">
        <f>IFERROR(INDEX(Rainfall_Wet!$O$2:$O$217,MATCH(B488, Rainfall_Wet!$A$2:$A$217,0)),"")</f>
        <v>214.262898705</v>
      </c>
      <c r="Y488" s="231">
        <v>19.96</v>
      </c>
      <c r="Z488" s="231">
        <v>4.9199999999999982</v>
      </c>
      <c r="AA488" s="231">
        <v>75.12</v>
      </c>
      <c r="AB488" s="232" t="s">
        <v>2671</v>
      </c>
      <c r="AC488" s="231">
        <v>1.641498275012321</v>
      </c>
      <c r="AD488">
        <f>IF('WetLitterbags placem_collection'!AB49="","",'WetLitterbags placem_collection'!AB49)</f>
        <v>5.2</v>
      </c>
      <c r="AE488">
        <f>IF('WetLitterbags placem_collection'!Z49="","",'WetLitterbags placem_collection'!Z49)</f>
        <v>5.2</v>
      </c>
      <c r="AF488" s="246" t="str">
        <f>IF('WetLitterbags placem_collection'!AA49="","",'WetLitterbags placem_collection'!AA49)</f>
        <v>G</v>
      </c>
      <c r="AG488">
        <f>IF('WetLitterbags placem_collection'!AC49="","",'WetLitterbags placem_collection'!AC49)</f>
        <v>0</v>
      </c>
      <c r="AH488" s="240">
        <f>AVERAGE('WetLitterbags placem_collection'!S49,'WetLitterbags placem_collection'!U49)</f>
        <v>23.7</v>
      </c>
      <c r="AI488">
        <f>AVERAGE('WetLitterbags placem_collection'!R49,'WetLitterbags placem_collection'!T49)</f>
        <v>22.6</v>
      </c>
      <c r="AJ488">
        <f>INDEX(Coordinates!$B$2:$B$197,MATCH(G488,Coordinates!$J$2:$J$197,0))</f>
        <v>-3.4084819820000001</v>
      </c>
      <c r="AK488">
        <f>INDEX(Coordinates!$C$2:$C$197,MATCH(G488,Coordinates!$J$2:$J$197,0))</f>
        <v>34.850024040000001</v>
      </c>
      <c r="AL488" t="str">
        <f>IF(ISNUMBER(SEARCH("C", 'WetLitterbags placem_collection'!X49)),"YES","NO")</f>
        <v>NO</v>
      </c>
      <c r="AM488" t="str">
        <f>IF(ISNUMBER(SEARCH("H", 'WetLitterbags placem_collection'!X49)),"YES","NO")</f>
        <v>NO</v>
      </c>
      <c r="AN488" t="str">
        <f>IF(ISNUMBER(SEARCH("R", 'WetLitterbags placem_collection'!X49)),"YES","NO")</f>
        <v>YES</v>
      </c>
    </row>
    <row r="489" spans="1:40" ht="15" customHeight="1">
      <c r="A489" s="258" t="s">
        <v>2460</v>
      </c>
      <c r="B489" s="263">
        <f>'Dry_Litterbag Placem_Collection'!A50</f>
        <v>48</v>
      </c>
      <c r="C489" s="263" t="str">
        <f>'Dry_Litterbag Placem_Collection'!B50</f>
        <v>Makao</v>
      </c>
      <c r="D489" s="263" t="s">
        <v>2659</v>
      </c>
      <c r="E489" s="263" t="s">
        <v>20</v>
      </c>
      <c r="F489" s="263">
        <v>2</v>
      </c>
      <c r="G489" s="264" t="str">
        <f>'Dry_Litterbag Placem_Collection'!C50</f>
        <v>Dry_P2_T8</v>
      </c>
      <c r="H489" s="273" t="s">
        <v>3651</v>
      </c>
      <c r="I489" s="266" t="s">
        <v>1147</v>
      </c>
      <c r="J489" s="223" t="str">
        <f>'WetLitterbags placem_collection'!O50</f>
        <v>G299</v>
      </c>
      <c r="K489" s="225">
        <f>IFERROR(INDEX('Green_rooibos initial weight'!$C$5:$C$1749,MATCH(J489, 'Green_rooibos initial weight'!$A$5:$A$1749,0)),"")</f>
        <v>2.0110000000000001</v>
      </c>
      <c r="L489" s="225">
        <f>IFERROR(K489-(TBIcalc!$H$9+TBIcalc!$H$10),"")</f>
        <v>1.7612000000000001</v>
      </c>
      <c r="M489" s="391">
        <f>AVERAGE(Ashed_controlls!$K$2:$K$11)</f>
        <v>5.5147656768714146</v>
      </c>
      <c r="N489" s="225">
        <f t="shared" si="39"/>
        <v>1.6640739468989407</v>
      </c>
      <c r="O489" s="225">
        <f>IF(IFERROR(INDEX('Both teabags AfterWet'!$C$3:$C$841,MATCH(J489,'Both teabags AfterWet'!$A$3:$A$841,0)),"")="","",(IFERROR(INDEX('Both teabags AfterWet'!$C$3:$C$841,MATCH(J489,'Both teabags AfterWet'!$A$3:$A$841,0)),"")))</f>
        <v>0.88100000000000001</v>
      </c>
      <c r="P489" s="225">
        <f>IFERROR(IF(O489&gt;0,O489-(TBIcalc!$H$9),""),"")</f>
        <v>0.73039999999999994</v>
      </c>
      <c r="Q489" s="225">
        <f>IFERROR(INDEX('Ashed teabags wet'!$K$2:$K$821,MATCH(J489,'Ashed teabags wet'!$A$2:$A$821,0)),"")</f>
        <v>7.4656188605105287</v>
      </c>
      <c r="R489" s="225">
        <f t="shared" si="42"/>
        <v>0.67587111984283099</v>
      </c>
      <c r="S489" s="226">
        <f>'WetLitterbags placem_collection'!E50</f>
        <v>42766</v>
      </c>
      <c r="T489" s="226">
        <f>IF('WetLitterbags placem_collection'!G50="","",'WetLitterbags placem_collection'!G50)</f>
        <v>42820</v>
      </c>
      <c r="U489" s="227">
        <f t="shared" si="38"/>
        <v>54</v>
      </c>
      <c r="V489" s="225">
        <f t="shared" si="40"/>
        <v>1.0308000000000002</v>
      </c>
      <c r="W489" s="225">
        <f t="shared" si="41"/>
        <v>0.98820282705610973</v>
      </c>
      <c r="X489">
        <f>IFERROR(INDEX(Rainfall_Wet!$O$2:$O$217,MATCH(B489, Rainfall_Wet!$A$2:$A$217,0)),"")</f>
        <v>214.262898705</v>
      </c>
      <c r="Y489" s="231">
        <v>19.96</v>
      </c>
      <c r="Z489" s="231">
        <v>4.9199999999999982</v>
      </c>
      <c r="AA489" s="231">
        <v>75.12</v>
      </c>
      <c r="AB489" s="232" t="s">
        <v>2671</v>
      </c>
      <c r="AC489" s="231">
        <v>1.641498275012321</v>
      </c>
      <c r="AD489">
        <f>IF('WetLitterbags placem_collection'!AB50="","",'WetLitterbags placem_collection'!AB50)</f>
        <v>7.3</v>
      </c>
      <c r="AE489">
        <f>IF('WetLitterbags placem_collection'!Z50="","",'WetLitterbags placem_collection'!Z50)</f>
        <v>27.2</v>
      </c>
      <c r="AF489" s="246" t="str">
        <f>IF('WetLitterbags placem_collection'!AA50="","",'WetLitterbags placem_collection'!AA50)</f>
        <v>M</v>
      </c>
      <c r="AG489">
        <f>IF('WetLitterbags placem_collection'!AC50="","",'WetLitterbags placem_collection'!AC50)</f>
        <v>0</v>
      </c>
      <c r="AH489" s="240">
        <f>AVERAGE('WetLitterbags placem_collection'!S50,'WetLitterbags placem_collection'!U50)</f>
        <v>21.8</v>
      </c>
      <c r="AI489">
        <f>AVERAGE('WetLitterbags placem_collection'!R50,'WetLitterbags placem_collection'!T50)</f>
        <v>21.65</v>
      </c>
      <c r="AJ489">
        <f>INDEX(Coordinates!$B$2:$B$197,MATCH(G489,Coordinates!$J$2:$J$197,0))</f>
        <v>-3.4081990090000001</v>
      </c>
      <c r="AK489">
        <f>INDEX(Coordinates!$C$2:$C$197,MATCH(G489,Coordinates!$J$2:$J$197,0))</f>
        <v>34.850254960000001</v>
      </c>
      <c r="AL489" t="str">
        <f>IF(ISNUMBER(SEARCH("C", 'WetLitterbags placem_collection'!X50)),"YES","NO")</f>
        <v>NO</v>
      </c>
      <c r="AM489" t="str">
        <f>IF(ISNUMBER(SEARCH("H", 'WetLitterbags placem_collection'!X50)),"YES","NO")</f>
        <v>NO</v>
      </c>
      <c r="AN489" t="str">
        <f>IF(ISNUMBER(SEARCH("R", 'WetLitterbags placem_collection'!X50)),"YES","NO")</f>
        <v>YES</v>
      </c>
    </row>
    <row r="490" spans="1:40" ht="15" customHeight="1">
      <c r="A490" s="258" t="s">
        <v>2460</v>
      </c>
      <c r="B490" s="263">
        <f>'Dry_Litterbag Placem_Collection'!A51</f>
        <v>49</v>
      </c>
      <c r="C490" s="263" t="str">
        <f>'Dry_Litterbag Placem_Collection'!B51</f>
        <v>Makao</v>
      </c>
      <c r="D490" s="263" t="s">
        <v>2659</v>
      </c>
      <c r="E490" s="263" t="s">
        <v>20</v>
      </c>
      <c r="F490" s="263">
        <v>3</v>
      </c>
      <c r="G490" s="264" t="str">
        <f>'Dry_Litterbag Placem_Collection'!C51</f>
        <v>Dry_P3_T1</v>
      </c>
      <c r="H490" s="273" t="s">
        <v>3651</v>
      </c>
      <c r="I490" s="266" t="s">
        <v>1147</v>
      </c>
      <c r="J490" s="223" t="str">
        <f>'WetLitterbags placem_collection'!O51</f>
        <v>G739</v>
      </c>
      <c r="K490" s="225">
        <f>IFERROR(INDEX('Green_rooibos initial weight'!$C$5:$C$1749,MATCH(J490, 'Green_rooibos initial weight'!$A$5:$A$1749,0)),"")</f>
        <v>2.0499999999999998</v>
      </c>
      <c r="L490" s="225">
        <f>IFERROR(K490-(TBIcalc!$H$9+TBIcalc!$H$10),"")</f>
        <v>1.8001999999999998</v>
      </c>
      <c r="M490" s="391">
        <f>AVERAGE(Ashed_controlls!$K$2:$K$11)</f>
        <v>5.5147656768714146</v>
      </c>
      <c r="N490" s="225">
        <f t="shared" si="39"/>
        <v>1.7009231882849607</v>
      </c>
      <c r="O490" s="225">
        <f>IF(IFERROR(INDEX('Both teabags AfterWet'!$C$3:$C$841,MATCH(J490,'Both teabags AfterWet'!$A$3:$A$841,0)),"")="","",(IFERROR(INDEX('Both teabags AfterWet'!$C$3:$C$841,MATCH(J490,'Both teabags AfterWet'!$A$3:$A$841,0)),"")))</f>
        <v>0.87490000000000001</v>
      </c>
      <c r="P490" s="225">
        <f>IFERROR(IF(O490&gt;0,O490-(TBIcalc!$H$9),""),"")</f>
        <v>0.72429999999999994</v>
      </c>
      <c r="Q490" s="225">
        <f>IFERROR(INDEX('Ashed teabags wet'!$K$2:$K$821,MATCH(J490,'Ashed teabags wet'!$A$2:$A$821,0)),"")</f>
        <v>16.486751717369803</v>
      </c>
      <c r="R490" s="225">
        <f t="shared" si="42"/>
        <v>0.60488645731109048</v>
      </c>
      <c r="S490" s="226">
        <f>'WetLitterbags placem_collection'!E51</f>
        <v>42766</v>
      </c>
      <c r="T490" s="226">
        <f>IF('WetLitterbags placem_collection'!G51="","",'WetLitterbags placem_collection'!G51)</f>
        <v>42820</v>
      </c>
      <c r="U490" s="227">
        <f t="shared" si="38"/>
        <v>54</v>
      </c>
      <c r="V490" s="225">
        <f t="shared" si="40"/>
        <v>1.0758999999999999</v>
      </c>
      <c r="W490" s="225">
        <f t="shared" si="41"/>
        <v>1.0960367309738701</v>
      </c>
      <c r="X490">
        <f>IFERROR(INDEX(Rainfall_Wet!$O$2:$O$217,MATCH(B490, Rainfall_Wet!$A$2:$A$217,0)),"")</f>
        <v>214.262898705</v>
      </c>
      <c r="Y490" s="231">
        <v>21.96</v>
      </c>
      <c r="Z490" s="231">
        <v>8.9199999999999982</v>
      </c>
      <c r="AA490" s="231">
        <v>69.12</v>
      </c>
      <c r="AB490" s="232" t="s">
        <v>2670</v>
      </c>
      <c r="AC490" s="231">
        <v>1.7491375061606702</v>
      </c>
      <c r="AD490">
        <f>IF('WetLitterbags placem_collection'!AB51="","",'WetLitterbags placem_collection'!AB51)</f>
        <v>10.4</v>
      </c>
      <c r="AE490">
        <f>IF('WetLitterbags placem_collection'!Z51="","",'WetLitterbags placem_collection'!Z51)</f>
        <v>36</v>
      </c>
      <c r="AF490" s="246" t="str">
        <f>IF('WetLitterbags placem_collection'!AA51="","",'WetLitterbags placem_collection'!AA51)</f>
        <v>M</v>
      </c>
      <c r="AG490">
        <f>IF('WetLitterbags placem_collection'!AC51="","",'WetLitterbags placem_collection'!AC51)</f>
        <v>1</v>
      </c>
      <c r="AH490" s="240">
        <f>AVERAGE('WetLitterbags placem_collection'!S51,'WetLitterbags placem_collection'!U51)</f>
        <v>26.2</v>
      </c>
      <c r="AI490">
        <f>AVERAGE('WetLitterbags placem_collection'!R51,'WetLitterbags placem_collection'!T51)</f>
        <v>26.55</v>
      </c>
      <c r="AJ490">
        <f>INDEX(Coordinates!$B$2:$B$197,MATCH(G490,Coordinates!$J$2:$J$197,0))</f>
        <v>-3.406225992</v>
      </c>
      <c r="AK490">
        <f>INDEX(Coordinates!$C$2:$C$197,MATCH(G490,Coordinates!$J$2:$J$197,0))</f>
        <v>34.85055998</v>
      </c>
      <c r="AL490" t="str">
        <f>IF(ISNUMBER(SEARCH("C", 'WetLitterbags placem_collection'!X51)),"YES","NO")</f>
        <v>NO</v>
      </c>
      <c r="AM490" t="str">
        <f>IF(ISNUMBER(SEARCH("H", 'WetLitterbags placem_collection'!X51)),"YES","NO")</f>
        <v>NO</v>
      </c>
      <c r="AN490" t="str">
        <f>IF(ISNUMBER(SEARCH("R", 'WetLitterbags placem_collection'!X51)),"YES","NO")</f>
        <v>YES</v>
      </c>
    </row>
    <row r="491" spans="1:40" ht="15" customHeight="1">
      <c r="A491" s="258" t="s">
        <v>2460</v>
      </c>
      <c r="B491" s="263">
        <f>'Dry_Litterbag Placem_Collection'!A52</f>
        <v>50</v>
      </c>
      <c r="C491" s="263" t="str">
        <f>'Dry_Litterbag Placem_Collection'!B52</f>
        <v>Makao</v>
      </c>
      <c r="D491" s="263" t="s">
        <v>2659</v>
      </c>
      <c r="E491" s="263" t="s">
        <v>20</v>
      </c>
      <c r="F491" s="263">
        <v>3</v>
      </c>
      <c r="G491" s="264" t="str">
        <f>'Dry_Litterbag Placem_Collection'!C52</f>
        <v>Dry_P3_T2</v>
      </c>
      <c r="H491" s="273" t="s">
        <v>3651</v>
      </c>
      <c r="I491" s="266" t="s">
        <v>1147</v>
      </c>
      <c r="J491" s="223" t="str">
        <f>'WetLitterbags placem_collection'!O52</f>
        <v>G559</v>
      </c>
      <c r="K491" s="225">
        <f>IFERROR(INDEX('Green_rooibos initial weight'!$C$5:$C$1749,MATCH(J491, 'Green_rooibos initial weight'!$A$5:$A$1749,0)),"")</f>
        <v>2.085</v>
      </c>
      <c r="L491" s="225">
        <f>IFERROR(K491-(TBIcalc!$H$9+TBIcalc!$H$10),"")</f>
        <v>1.8351999999999999</v>
      </c>
      <c r="M491" s="391">
        <f>AVERAGE(Ashed_controlls!$K$2:$K$11)</f>
        <v>5.5147656768714146</v>
      </c>
      <c r="N491" s="225">
        <f t="shared" si="39"/>
        <v>1.7339930202980558</v>
      </c>
      <c r="O491" s="225" t="str">
        <f>IF(IFERROR(INDEX('Both teabags AfterWet'!$C$3:$C$841,MATCH(J491,'Both teabags AfterWet'!$A$3:$A$841,0)),"")="","",(IFERROR(INDEX('Both teabags AfterWet'!$C$3:$C$841,MATCH(J491,'Both teabags AfterWet'!$A$3:$A$841,0)),"")))</f>
        <v/>
      </c>
      <c r="P491" s="225" t="str">
        <f>IFERROR(IF(O491&gt;0,O491-(TBIcalc!$H$9),""),"")</f>
        <v/>
      </c>
      <c r="Q491" s="225" t="str">
        <f>IFERROR(INDEX('Ashed teabags wet'!$K$2:$K$821,MATCH(J491,'Ashed teabags wet'!$A$2:$A$821,0)),"")</f>
        <v/>
      </c>
      <c r="R491" s="225" t="str">
        <f t="shared" si="42"/>
        <v/>
      </c>
      <c r="S491" s="226">
        <f>'WetLitterbags placem_collection'!E52</f>
        <v>42766</v>
      </c>
      <c r="T491" s="226">
        <f>IF('WetLitterbags placem_collection'!G52="","",'WetLitterbags placem_collection'!G52)</f>
        <v>42820</v>
      </c>
      <c r="U491" s="227">
        <f t="shared" si="38"/>
        <v>54</v>
      </c>
      <c r="V491" s="225" t="str">
        <f t="shared" si="40"/>
        <v/>
      </c>
      <c r="W491" s="225" t="str">
        <f t="shared" si="41"/>
        <v/>
      </c>
      <c r="X491">
        <f>IFERROR(INDEX(Rainfall_Wet!$O$2:$O$217,MATCH(B491, Rainfall_Wet!$A$2:$A$217,0)),"")</f>
        <v>214.262898705</v>
      </c>
      <c r="Y491" s="231">
        <v>21.96</v>
      </c>
      <c r="Z491" s="231">
        <v>8.9199999999999982</v>
      </c>
      <c r="AA491" s="231">
        <v>69.12</v>
      </c>
      <c r="AB491" s="232" t="s">
        <v>2670</v>
      </c>
      <c r="AC491" s="231">
        <v>1.7491375061606702</v>
      </c>
      <c r="AD491">
        <f>IF('WetLitterbags placem_collection'!AB52="","",'WetLitterbags placem_collection'!AB52)</f>
        <v>10</v>
      </c>
      <c r="AE491">
        <f>IF('WetLitterbags placem_collection'!Z52="","",'WetLitterbags placem_collection'!Z52)</f>
        <v>22.5</v>
      </c>
      <c r="AF491" s="246" t="str">
        <f>IF('WetLitterbags placem_collection'!AA52="","",'WetLitterbags placem_collection'!AA52)</f>
        <v>M</v>
      </c>
      <c r="AG491">
        <f>IF('WetLitterbags placem_collection'!AC52="","",'WetLitterbags placem_collection'!AC52)</f>
        <v>1</v>
      </c>
      <c r="AH491" s="240">
        <f>AVERAGE('WetLitterbags placem_collection'!S52,'WetLitterbags placem_collection'!U52)</f>
        <v>31.4</v>
      </c>
      <c r="AI491">
        <f>AVERAGE('WetLitterbags placem_collection'!R52,'WetLitterbags placem_collection'!T52)</f>
        <v>22.4</v>
      </c>
      <c r="AJ491">
        <f>INDEX(Coordinates!$B$2:$B$197,MATCH(G491,Coordinates!$J$2:$J$197,0))</f>
        <v>-3.4062630399999998</v>
      </c>
      <c r="AK491">
        <f>INDEX(Coordinates!$C$2:$C$197,MATCH(G491,Coordinates!$J$2:$J$197,0))</f>
        <v>34.850566010000001</v>
      </c>
      <c r="AL491" t="str">
        <f>IF(ISNUMBER(SEARCH("C", 'WetLitterbags placem_collection'!X52)),"YES","NO")</f>
        <v>NO</v>
      </c>
      <c r="AM491" t="str">
        <f>IF(ISNUMBER(SEARCH("H", 'WetLitterbags placem_collection'!X52)),"YES","NO")</f>
        <v>NO</v>
      </c>
      <c r="AN491" t="str">
        <f>IF(ISNUMBER(SEARCH("R", 'WetLitterbags placem_collection'!X52)),"YES","NO")</f>
        <v>NO</v>
      </c>
    </row>
    <row r="492" spans="1:40" ht="15" customHeight="1">
      <c r="A492" s="258" t="s">
        <v>2460</v>
      </c>
      <c r="B492" s="263">
        <f>'Dry_Litterbag Placem_Collection'!A53</f>
        <v>51</v>
      </c>
      <c r="C492" s="263" t="str">
        <f>'Dry_Litterbag Placem_Collection'!B53</f>
        <v>Makao</v>
      </c>
      <c r="D492" s="263" t="s">
        <v>2659</v>
      </c>
      <c r="E492" s="263" t="s">
        <v>20</v>
      </c>
      <c r="F492" s="263">
        <v>3</v>
      </c>
      <c r="G492" s="264" t="str">
        <f>'Dry_Litterbag Placem_Collection'!C53</f>
        <v>Dry_P3_T3</v>
      </c>
      <c r="H492" s="273" t="s">
        <v>3651</v>
      </c>
      <c r="I492" s="266" t="s">
        <v>1147</v>
      </c>
      <c r="J492" s="223" t="str">
        <f>'WetLitterbags placem_collection'!O53</f>
        <v>G856</v>
      </c>
      <c r="K492" s="225">
        <f>IFERROR(INDEX('Green_rooibos initial weight'!$C$5:$C$1749,MATCH(J492, 'Green_rooibos initial weight'!$A$5:$A$1749,0)),"")</f>
        <v>1.9370000000000001</v>
      </c>
      <c r="L492" s="225">
        <f>IFERROR(K492-(TBIcalc!$H$9+TBIcalc!$H$10),"")</f>
        <v>1.6872</v>
      </c>
      <c r="M492" s="391">
        <f>AVERAGE(Ashed_controlls!$K$2:$K$11)</f>
        <v>5.5147656768714146</v>
      </c>
      <c r="N492" s="225">
        <f t="shared" si="39"/>
        <v>1.5941548734998254</v>
      </c>
      <c r="O492" s="225">
        <f>IF(IFERROR(INDEX('Both teabags AfterWet'!$C$3:$C$841,MATCH(J492,'Both teabags AfterWet'!$A$3:$A$841,0)),"")="","",(IFERROR(INDEX('Both teabags AfterWet'!$C$3:$C$841,MATCH(J492,'Both teabags AfterWet'!$A$3:$A$841,0)),"")))</f>
        <v>0.77600000000000002</v>
      </c>
      <c r="P492" s="225">
        <f>IFERROR(IF(O492&gt;0,O492-(TBIcalc!$H$9),""),"")</f>
        <v>0.62539999999999996</v>
      </c>
      <c r="Q492" s="225">
        <f>IFERROR(INDEX('Ashed teabags wet'!$K$2:$K$821,MATCH(J492,'Ashed teabags wet'!$A$2:$A$821,0)),"")</f>
        <v>9.5957135898680637</v>
      </c>
      <c r="R492" s="225">
        <f t="shared" si="42"/>
        <v>0.5653884072089651</v>
      </c>
      <c r="S492" s="226">
        <f>'WetLitterbags placem_collection'!E53</f>
        <v>42766</v>
      </c>
      <c r="T492" s="226">
        <f>IF('WetLitterbags placem_collection'!G53="","",'WetLitterbags placem_collection'!G53)</f>
        <v>42820</v>
      </c>
      <c r="U492" s="227">
        <f t="shared" si="38"/>
        <v>54</v>
      </c>
      <c r="V492" s="225">
        <f t="shared" si="40"/>
        <v>1.0618000000000001</v>
      </c>
      <c r="W492" s="225">
        <f t="shared" si="41"/>
        <v>1.0287664662908602</v>
      </c>
      <c r="X492">
        <f>IFERROR(INDEX(Rainfall_Wet!$O$2:$O$217,MATCH(B492, Rainfall_Wet!$A$2:$A$217,0)),"")</f>
        <v>214.262898705</v>
      </c>
      <c r="Y492" s="231">
        <v>21.96</v>
      </c>
      <c r="Z492" s="231">
        <v>8.9199999999999982</v>
      </c>
      <c r="AA492" s="231">
        <v>69.12</v>
      </c>
      <c r="AB492" s="232" t="s">
        <v>2670</v>
      </c>
      <c r="AC492" s="231">
        <v>1.7491375061606702</v>
      </c>
      <c r="AD492">
        <f>IF('WetLitterbags placem_collection'!AB53="","",'WetLitterbags placem_collection'!AB53)</f>
        <v>3</v>
      </c>
      <c r="AE492">
        <f>IF('WetLitterbags placem_collection'!Z53="","",'WetLitterbags placem_collection'!Z53)</f>
        <v>18</v>
      </c>
      <c r="AF492" s="246" t="str">
        <f>IF('WetLitterbags placem_collection'!AA53="","",'WetLitterbags placem_collection'!AA53)</f>
        <v>O</v>
      </c>
      <c r="AG492">
        <f>IF('WetLitterbags placem_collection'!AC53="","",'WetLitterbags placem_collection'!AC53)</f>
        <v>0</v>
      </c>
      <c r="AH492" s="240">
        <f>AVERAGE('WetLitterbags placem_collection'!S53,'WetLitterbags placem_collection'!U53)</f>
        <v>20.2</v>
      </c>
      <c r="AI492">
        <f>AVERAGE('WetLitterbags placem_collection'!R53,'WetLitterbags placem_collection'!T53)</f>
        <v>27.4</v>
      </c>
      <c r="AJ492">
        <f>INDEX(Coordinates!$B$2:$B$197,MATCH(G492,Coordinates!$J$2:$J$197,0))</f>
        <v>-3.4063920379999999</v>
      </c>
      <c r="AK492">
        <f>INDEX(Coordinates!$C$2:$C$197,MATCH(G492,Coordinates!$J$2:$J$197,0))</f>
        <v>34.850696020000001</v>
      </c>
      <c r="AL492" t="str">
        <f>IF(ISNUMBER(SEARCH("C", 'WetLitterbags placem_collection'!X53)),"YES","NO")</f>
        <v>NO</v>
      </c>
      <c r="AM492" t="str">
        <f>IF(ISNUMBER(SEARCH("H", 'WetLitterbags placem_collection'!X53)),"YES","NO")</f>
        <v>NO</v>
      </c>
      <c r="AN492" t="str">
        <f>IF(ISNUMBER(SEARCH("R", 'WetLitterbags placem_collection'!X53)),"YES","NO")</f>
        <v>YES</v>
      </c>
    </row>
    <row r="493" spans="1:40" ht="15" customHeight="1">
      <c r="A493" s="258" t="s">
        <v>2460</v>
      </c>
      <c r="B493" s="263">
        <f>'Dry_Litterbag Placem_Collection'!A54</f>
        <v>52</v>
      </c>
      <c r="C493" s="263" t="str">
        <f>'Dry_Litterbag Placem_Collection'!B54</f>
        <v>Makao</v>
      </c>
      <c r="D493" s="263" t="s">
        <v>2659</v>
      </c>
      <c r="E493" s="263" t="s">
        <v>20</v>
      </c>
      <c r="F493" s="263">
        <v>3</v>
      </c>
      <c r="G493" s="264" t="str">
        <f>'Dry_Litterbag Placem_Collection'!C54</f>
        <v>Dry_P3_T4</v>
      </c>
      <c r="H493" s="273" t="s">
        <v>3651</v>
      </c>
      <c r="I493" s="266" t="s">
        <v>1147</v>
      </c>
      <c r="J493" s="223" t="str">
        <f>'WetLitterbags placem_collection'!O54</f>
        <v>G599</v>
      </c>
      <c r="K493" s="225">
        <f>IFERROR(INDEX('Green_rooibos initial weight'!$C$5:$C$1749,MATCH(J493, 'Green_rooibos initial weight'!$A$5:$A$1749,0)),"")</f>
        <v>2.0760000000000001</v>
      </c>
      <c r="L493" s="225">
        <f>IFERROR(K493-(TBIcalc!$H$9+TBIcalc!$H$10),"")</f>
        <v>1.8262</v>
      </c>
      <c r="M493" s="391">
        <f>AVERAGE(Ashed_controlls!$K$2:$K$11)</f>
        <v>5.5147656768714146</v>
      </c>
      <c r="N493" s="225">
        <f t="shared" si="39"/>
        <v>1.7254893492089742</v>
      </c>
      <c r="O493" s="225">
        <f>IF(IFERROR(INDEX('Both teabags AfterWet'!$C$3:$C$841,MATCH(J493,'Both teabags AfterWet'!$A$3:$A$841,0)),"")="","",(IFERROR(INDEX('Both teabags AfterWet'!$C$3:$C$841,MATCH(J493,'Both teabags AfterWet'!$A$3:$A$841,0)),"")))</f>
        <v>0.88200000000000001</v>
      </c>
      <c r="P493" s="225">
        <f>IFERROR(IF(O493&gt;0,O493-(TBIcalc!$H$9),""),"")</f>
        <v>0.73140000000000005</v>
      </c>
      <c r="Q493" s="225">
        <f>IFERROR(INDEX('Ashed teabags wet'!$K$2:$K$821,MATCH(J493,'Ashed teabags wet'!$A$2:$A$821,0)),"")</f>
        <v>14.285714285714219</v>
      </c>
      <c r="R493" s="225">
        <f t="shared" si="42"/>
        <v>0.6269142857142862</v>
      </c>
      <c r="S493" s="226">
        <f>'WetLitterbags placem_collection'!E54</f>
        <v>42766</v>
      </c>
      <c r="T493" s="226">
        <f>IF('WetLitterbags placem_collection'!G54="","",'WetLitterbags placem_collection'!G54)</f>
        <v>42820</v>
      </c>
      <c r="U493" s="227">
        <f t="shared" si="38"/>
        <v>54</v>
      </c>
      <c r="V493" s="225">
        <f t="shared" si="40"/>
        <v>1.0948</v>
      </c>
      <c r="W493" s="225">
        <f t="shared" si="41"/>
        <v>1.098575063494688</v>
      </c>
      <c r="X493">
        <f>IFERROR(INDEX(Rainfall_Wet!$O$2:$O$217,MATCH(B493, Rainfall_Wet!$A$2:$A$217,0)),"")</f>
        <v>214.262898705</v>
      </c>
      <c r="Y493" s="231">
        <v>21.96</v>
      </c>
      <c r="Z493" s="231">
        <v>8.9199999999999982</v>
      </c>
      <c r="AA493" s="231">
        <v>69.12</v>
      </c>
      <c r="AB493" s="232" t="s">
        <v>2670</v>
      </c>
      <c r="AC493" s="231">
        <v>1.7491375061606702</v>
      </c>
      <c r="AD493">
        <f>IF('WetLitterbags placem_collection'!AB54="","",'WetLitterbags placem_collection'!AB54)</f>
        <v>13.4</v>
      </c>
      <c r="AE493">
        <f>IF('WetLitterbags placem_collection'!Z54="","",'WetLitterbags placem_collection'!Z54)</f>
        <v>67</v>
      </c>
      <c r="AF493" s="246" t="str">
        <f>IF('WetLitterbags placem_collection'!AA54="","",'WetLitterbags placem_collection'!AA54)</f>
        <v>M</v>
      </c>
      <c r="AG493">
        <f>IF('WetLitterbags placem_collection'!AC54="","",'WetLitterbags placem_collection'!AC54)</f>
        <v>1</v>
      </c>
      <c r="AH493" s="240">
        <f>AVERAGE('WetLitterbags placem_collection'!S54,'WetLitterbags placem_collection'!U54)</f>
        <v>29.8</v>
      </c>
      <c r="AI493">
        <f>AVERAGE('WetLitterbags placem_collection'!R54,'WetLitterbags placem_collection'!T54)</f>
        <v>25.799999999999997</v>
      </c>
      <c r="AJ493">
        <f>INDEX(Coordinates!$B$2:$B$197,MATCH(G493,Coordinates!$J$2:$J$197,0))</f>
        <v>-3.4061569999999999</v>
      </c>
      <c r="AK493">
        <f>INDEX(Coordinates!$C$2:$C$197,MATCH(G493,Coordinates!$J$2:$J$197,0))</f>
        <v>34.850738999999997</v>
      </c>
      <c r="AL493" t="str">
        <f>IF(ISNUMBER(SEARCH("C", 'WetLitterbags placem_collection'!X54)),"YES","NO")</f>
        <v>NO</v>
      </c>
      <c r="AM493" t="str">
        <f>IF(ISNUMBER(SEARCH("H", 'WetLitterbags placem_collection'!X54)),"YES","NO")</f>
        <v>NO</v>
      </c>
      <c r="AN493" t="str">
        <f>IF(ISNUMBER(SEARCH("R", 'WetLitterbags placem_collection'!X54)),"YES","NO")</f>
        <v>YES</v>
      </c>
    </row>
    <row r="494" spans="1:40" ht="15" customHeight="1">
      <c r="A494" s="258" t="s">
        <v>2460</v>
      </c>
      <c r="B494" s="263">
        <f>'Dry_Litterbag Placem_Collection'!A55</f>
        <v>53</v>
      </c>
      <c r="C494" s="263" t="str">
        <f>'Dry_Litterbag Placem_Collection'!B55</f>
        <v>Makao</v>
      </c>
      <c r="D494" s="263" t="s">
        <v>2659</v>
      </c>
      <c r="E494" s="263" t="s">
        <v>20</v>
      </c>
      <c r="F494" s="263">
        <v>3</v>
      </c>
      <c r="G494" s="264" t="str">
        <f>'Dry_Litterbag Placem_Collection'!C55</f>
        <v>Dry_P3_T5</v>
      </c>
      <c r="H494" s="273" t="s">
        <v>3651</v>
      </c>
      <c r="I494" s="266" t="s">
        <v>1147</v>
      </c>
      <c r="J494" s="223" t="str">
        <f>'WetLitterbags placem_collection'!O55</f>
        <v>G683</v>
      </c>
      <c r="K494" s="225">
        <f>IFERROR(INDEX('Green_rooibos initial weight'!$C$5:$C$1749,MATCH(J494, 'Green_rooibos initial weight'!$A$5:$A$1749,0)),"")</f>
        <v>2.1179999999999999</v>
      </c>
      <c r="L494" s="225">
        <f>IFERROR(K494-(TBIcalc!$H$9+TBIcalc!$H$10),"")</f>
        <v>1.8681999999999999</v>
      </c>
      <c r="M494" s="391">
        <f>AVERAGE(Ashed_controlls!$K$2:$K$11)</f>
        <v>5.5147656768714146</v>
      </c>
      <c r="N494" s="225">
        <f t="shared" si="39"/>
        <v>1.7651731476246881</v>
      </c>
      <c r="O494" s="225" t="str">
        <f>IF(IFERROR(INDEX('Both teabags AfterWet'!$C$3:$C$841,MATCH(J494,'Both teabags AfterWet'!$A$3:$A$841,0)),"")="","",(IFERROR(INDEX('Both teabags AfterWet'!$C$3:$C$841,MATCH(J494,'Both teabags AfterWet'!$A$3:$A$841,0)),"")))</f>
        <v/>
      </c>
      <c r="P494" s="225" t="str">
        <f>IFERROR(IF(O494&gt;0,O494-(TBIcalc!$H$9),""),"")</f>
        <v/>
      </c>
      <c r="Q494" s="225" t="str">
        <f>IFERROR(INDEX('Ashed teabags wet'!$K$2:$K$821,MATCH(J494,'Ashed teabags wet'!$A$2:$A$821,0)),"")</f>
        <v/>
      </c>
      <c r="R494" s="225" t="str">
        <f t="shared" si="42"/>
        <v/>
      </c>
      <c r="S494" s="226">
        <f>'WetLitterbags placem_collection'!E55</f>
        <v>42766</v>
      </c>
      <c r="T494" s="226">
        <f>IF('WetLitterbags placem_collection'!G55="","",'WetLitterbags placem_collection'!G55)</f>
        <v>42820</v>
      </c>
      <c r="U494" s="227">
        <f t="shared" si="38"/>
        <v>54</v>
      </c>
      <c r="V494" s="225" t="str">
        <f t="shared" si="40"/>
        <v/>
      </c>
      <c r="W494" s="225" t="str">
        <f t="shared" si="41"/>
        <v/>
      </c>
      <c r="X494">
        <f>IFERROR(INDEX(Rainfall_Wet!$O$2:$O$217,MATCH(B494, Rainfall_Wet!$A$2:$A$217,0)),"")</f>
        <v>214.262898705</v>
      </c>
      <c r="Y494" s="231">
        <v>21.96</v>
      </c>
      <c r="Z494" s="231">
        <v>8.9199999999999982</v>
      </c>
      <c r="AA494" s="231">
        <v>69.12</v>
      </c>
      <c r="AB494" s="232" t="s">
        <v>2670</v>
      </c>
      <c r="AC494" s="231">
        <v>1.7491375061606702</v>
      </c>
      <c r="AD494" t="str">
        <f>IF('WetLitterbags placem_collection'!AB55="","",'WetLitterbags placem_collection'!AB55)</f>
        <v/>
      </c>
      <c r="AE494" t="str">
        <f>IF('WetLitterbags placem_collection'!Z55="","",'WetLitterbags placem_collection'!Z55)</f>
        <v/>
      </c>
      <c r="AF494" s="246" t="str">
        <f>IF('WetLitterbags placem_collection'!AA55="","",'WetLitterbags placem_collection'!AA55)</f>
        <v/>
      </c>
      <c r="AG494" t="str">
        <f>IF('WetLitterbags placem_collection'!AC55="","",'WetLitterbags placem_collection'!AC55)</f>
        <v/>
      </c>
      <c r="AH494" s="240">
        <f>AVERAGE('WetLitterbags placem_collection'!S55,'WetLitterbags placem_collection'!U55)</f>
        <v>20.2</v>
      </c>
      <c r="AI494">
        <f>AVERAGE('WetLitterbags placem_collection'!R55,'WetLitterbags placem_collection'!T55)</f>
        <v>22.2</v>
      </c>
      <c r="AJ494">
        <f>INDEX(Coordinates!$B$2:$B$197,MATCH(G494,Coordinates!$J$2:$J$197,0))</f>
        <v>-3.4061140000000001</v>
      </c>
      <c r="AK494">
        <f>INDEX(Coordinates!$C$2:$C$197,MATCH(G494,Coordinates!$J$2:$J$197,0))</f>
        <v>34.850596000000003</v>
      </c>
      <c r="AL494" t="str">
        <f>IF(ISNUMBER(SEARCH("C", 'WetLitterbags placem_collection'!X55)),"YES","NO")</f>
        <v>NO</v>
      </c>
      <c r="AM494" t="str">
        <f>IF(ISNUMBER(SEARCH("H", 'WetLitterbags placem_collection'!X55)),"YES","NO")</f>
        <v>NO</v>
      </c>
      <c r="AN494" t="str">
        <f>IF(ISNUMBER(SEARCH("R", 'WetLitterbags placem_collection'!X55)),"YES","NO")</f>
        <v>NO</v>
      </c>
    </row>
    <row r="495" spans="1:40" ht="15" customHeight="1">
      <c r="A495" s="258" t="s">
        <v>2460</v>
      </c>
      <c r="B495" s="263">
        <f>'Dry_Litterbag Placem_Collection'!A56</f>
        <v>54</v>
      </c>
      <c r="C495" s="263" t="str">
        <f>'Dry_Litterbag Placem_Collection'!B56</f>
        <v>Makao</v>
      </c>
      <c r="D495" s="263" t="s">
        <v>2659</v>
      </c>
      <c r="E495" s="263" t="s">
        <v>20</v>
      </c>
      <c r="F495" s="263">
        <v>3</v>
      </c>
      <c r="G495" s="264" t="str">
        <f>'Dry_Litterbag Placem_Collection'!C56</f>
        <v>Dry_P3_T6</v>
      </c>
      <c r="H495" s="273" t="s">
        <v>3651</v>
      </c>
      <c r="I495" s="266" t="s">
        <v>1147</v>
      </c>
      <c r="J495" s="223" t="str">
        <f>'WetLitterbags placem_collection'!O56</f>
        <v>G288</v>
      </c>
      <c r="K495" s="225">
        <f>IFERROR(INDEX('Green_rooibos initial weight'!$C$5:$C$1749,MATCH(J495, 'Green_rooibos initial weight'!$A$5:$A$1749,0)),"")</f>
        <v>1.9830000000000001</v>
      </c>
      <c r="L495" s="225">
        <f>IFERROR(K495-(TBIcalc!$H$9+TBIcalc!$H$10),"")</f>
        <v>1.7332000000000001</v>
      </c>
      <c r="M495" s="391">
        <f>AVERAGE(Ashed_controlls!$K$2:$K$11)</f>
        <v>5.5147656768714146</v>
      </c>
      <c r="N495" s="225">
        <f t="shared" si="39"/>
        <v>1.6376180812884646</v>
      </c>
      <c r="O495" s="225" t="str">
        <f>IF(IFERROR(INDEX('Both teabags AfterWet'!$C$3:$C$841,MATCH(J495,'Both teabags AfterWet'!$A$3:$A$841,0)),"")="","",(IFERROR(INDEX('Both teabags AfterWet'!$C$3:$C$841,MATCH(J495,'Both teabags AfterWet'!$A$3:$A$841,0)),"")))</f>
        <v/>
      </c>
      <c r="P495" s="225" t="str">
        <f>IFERROR(IF(O495&gt;0,O495-(TBIcalc!$H$9),""),"")</f>
        <v/>
      </c>
      <c r="Q495" s="225" t="str">
        <f>IFERROR(INDEX('Ashed teabags wet'!$K$2:$K$821,MATCH(J495,'Ashed teabags wet'!$A$2:$A$821,0)),"")</f>
        <v/>
      </c>
      <c r="R495" s="225" t="str">
        <f t="shared" si="42"/>
        <v/>
      </c>
      <c r="S495" s="226">
        <f>'WetLitterbags placem_collection'!E56</f>
        <v>42766</v>
      </c>
      <c r="T495" s="226">
        <f>IF('WetLitterbags placem_collection'!G56="","",'WetLitterbags placem_collection'!G56)</f>
        <v>42820</v>
      </c>
      <c r="U495" s="227">
        <f t="shared" si="38"/>
        <v>54</v>
      </c>
      <c r="V495" s="225" t="str">
        <f t="shared" si="40"/>
        <v/>
      </c>
      <c r="W495" s="225" t="str">
        <f t="shared" si="41"/>
        <v/>
      </c>
      <c r="X495">
        <f>IFERROR(INDEX(Rainfall_Wet!$O$2:$O$217,MATCH(B495, Rainfall_Wet!$A$2:$A$217,0)),"")</f>
        <v>214.262898705</v>
      </c>
      <c r="Y495" s="231">
        <v>21.96</v>
      </c>
      <c r="Z495" s="231">
        <v>8.9199999999999982</v>
      </c>
      <c r="AA495" s="231">
        <v>69.12</v>
      </c>
      <c r="AB495" s="232" t="s">
        <v>2670</v>
      </c>
      <c r="AC495" s="231">
        <v>1.7491375061606702</v>
      </c>
      <c r="AD495" t="str">
        <f>IF('WetLitterbags placem_collection'!AB56="","",'WetLitterbags placem_collection'!AB56)</f>
        <v/>
      </c>
      <c r="AE495" t="str">
        <f>IF('WetLitterbags placem_collection'!Z56="","",'WetLitterbags placem_collection'!Z56)</f>
        <v/>
      </c>
      <c r="AF495" s="246" t="str">
        <f>IF('WetLitterbags placem_collection'!AA56="","",'WetLitterbags placem_collection'!AA56)</f>
        <v/>
      </c>
      <c r="AG495" t="str">
        <f>IF('WetLitterbags placem_collection'!AC56="","",'WetLitterbags placem_collection'!AC56)</f>
        <v/>
      </c>
      <c r="AH495" s="240">
        <f>AVERAGE('WetLitterbags placem_collection'!S56,'WetLitterbags placem_collection'!U56)</f>
        <v>30.1</v>
      </c>
      <c r="AI495">
        <f>AVERAGE('WetLitterbags placem_collection'!R56,'WetLitterbags placem_collection'!T56)</f>
        <v>22.2</v>
      </c>
      <c r="AJ495">
        <f>INDEX(Coordinates!$B$2:$B$197,MATCH(G495,Coordinates!$J$2:$J$197,0))</f>
        <v>-3.406058019</v>
      </c>
      <c r="AK495">
        <f>INDEX(Coordinates!$C$2:$C$197,MATCH(G495,Coordinates!$J$2:$J$197,0))</f>
        <v>34.850466019999999</v>
      </c>
      <c r="AL495" t="str">
        <f>IF(ISNUMBER(SEARCH("C", 'WetLitterbags placem_collection'!X56)),"YES","NO")</f>
        <v>NO</v>
      </c>
      <c r="AM495" t="str">
        <f>IF(ISNUMBER(SEARCH("H", 'WetLitterbags placem_collection'!X56)),"YES","NO")</f>
        <v>NO</v>
      </c>
      <c r="AN495" t="str">
        <f>IF(ISNUMBER(SEARCH("R", 'WetLitterbags placem_collection'!X56)),"YES","NO")</f>
        <v>NO</v>
      </c>
    </row>
    <row r="496" spans="1:40" ht="15" customHeight="1">
      <c r="A496" s="258" t="s">
        <v>2460</v>
      </c>
      <c r="B496" s="263">
        <f>'Dry_Litterbag Placem_Collection'!A57</f>
        <v>55</v>
      </c>
      <c r="C496" s="263" t="str">
        <f>'Dry_Litterbag Placem_Collection'!B57</f>
        <v>Makao</v>
      </c>
      <c r="D496" s="263" t="s">
        <v>2659</v>
      </c>
      <c r="E496" s="263" t="s">
        <v>20</v>
      </c>
      <c r="F496" s="263">
        <v>3</v>
      </c>
      <c r="G496" s="264" t="str">
        <f>'Dry_Litterbag Placem_Collection'!C57</f>
        <v>Dry_P3_T7</v>
      </c>
      <c r="H496" s="273" t="s">
        <v>3651</v>
      </c>
      <c r="I496" s="266" t="s">
        <v>1147</v>
      </c>
      <c r="J496" s="223" t="str">
        <f>'WetLitterbags placem_collection'!O57</f>
        <v>G616</v>
      </c>
      <c r="K496" s="225">
        <f>IFERROR(INDEX('Green_rooibos initial weight'!$C$5:$C$1749,MATCH(J496, 'Green_rooibos initial weight'!$A$5:$A$1749,0)),"")</f>
        <v>1.978</v>
      </c>
      <c r="L496" s="225">
        <f>IFERROR(K496-(TBIcalc!$H$9+TBIcalc!$H$10),"")</f>
        <v>1.7282</v>
      </c>
      <c r="M496" s="391">
        <f>AVERAGE(Ashed_controlls!$K$2:$K$11)</f>
        <v>5.5147656768714146</v>
      </c>
      <c r="N496" s="225">
        <f t="shared" si="39"/>
        <v>1.6328938195723082</v>
      </c>
      <c r="O496" s="225">
        <f>IF(IFERROR(INDEX('Both teabags AfterWet'!$C$3:$C$841,MATCH(J496,'Both teabags AfterWet'!$A$3:$A$841,0)),"")="","",(IFERROR(INDEX('Both teabags AfterWet'!$C$3:$C$841,MATCH(J496,'Both teabags AfterWet'!$A$3:$A$841,0)),"")))</f>
        <v>0.93200000000000005</v>
      </c>
      <c r="P496" s="225">
        <f>IFERROR(IF(O496&gt;0,O496-(TBIcalc!$H$9),""),"")</f>
        <v>0.78140000000000009</v>
      </c>
      <c r="Q496" s="225">
        <f>IFERROR(INDEX('Ashed teabags wet'!$K$2:$K$821,MATCH(J496,'Ashed teabags wet'!$A$2:$A$821,0)),"")</f>
        <v>25.927734375000028</v>
      </c>
      <c r="R496" s="225">
        <f t="shared" si="42"/>
        <v>0.57880068359374981</v>
      </c>
      <c r="S496" s="226">
        <f>'WetLitterbags placem_collection'!E57</f>
        <v>42766</v>
      </c>
      <c r="T496" s="226">
        <f>IF('WetLitterbags placem_collection'!G57="","",'WetLitterbags placem_collection'!G57)</f>
        <v>42820</v>
      </c>
      <c r="U496" s="227">
        <f t="shared" si="38"/>
        <v>54</v>
      </c>
      <c r="V496" s="225">
        <f t="shared" si="40"/>
        <v>0.94679999999999986</v>
      </c>
      <c r="W496" s="225">
        <f t="shared" si="41"/>
        <v>1.0540931359785584</v>
      </c>
      <c r="X496">
        <f>IFERROR(INDEX(Rainfall_Wet!$O$2:$O$217,MATCH(B496, Rainfall_Wet!$A$2:$A$217,0)),"")</f>
        <v>214.262898705</v>
      </c>
      <c r="Y496" s="231">
        <v>21.96</v>
      </c>
      <c r="Z496" s="231">
        <v>8.9199999999999982</v>
      </c>
      <c r="AA496" s="231">
        <v>69.12</v>
      </c>
      <c r="AB496" s="232" t="s">
        <v>2670</v>
      </c>
      <c r="AC496" s="231">
        <v>1.7491375061606702</v>
      </c>
      <c r="AD496">
        <f>IF('WetLitterbags placem_collection'!AB57="","",'WetLitterbags placem_collection'!AB57)</f>
        <v>15.8</v>
      </c>
      <c r="AE496">
        <f>IF('WetLitterbags placem_collection'!Z57="","",'WetLitterbags placem_collection'!Z57)</f>
        <v>45</v>
      </c>
      <c r="AF496" s="246" t="str">
        <f>IF('WetLitterbags placem_collection'!AA57="","",'WetLitterbags placem_collection'!AA57)</f>
        <v>M</v>
      </c>
      <c r="AG496">
        <f>IF('WetLitterbags placem_collection'!AC57="","",'WetLitterbags placem_collection'!AC57)</f>
        <v>1</v>
      </c>
      <c r="AH496" s="240">
        <f>AVERAGE('WetLitterbags placem_collection'!S57,'WetLitterbags placem_collection'!U57)</f>
        <v>33</v>
      </c>
      <c r="AI496">
        <f>AVERAGE('WetLitterbags placem_collection'!R57,'WetLitterbags placem_collection'!T57)</f>
        <v>25.9</v>
      </c>
      <c r="AJ496">
        <f>INDEX(Coordinates!$B$2:$B$197,MATCH(G496,Coordinates!$J$2:$J$197,0))</f>
        <v>-3.4061389879999999</v>
      </c>
      <c r="AK496">
        <f>INDEX(Coordinates!$C$2:$C$197,MATCH(G496,Coordinates!$J$2:$J$197,0))</f>
        <v>34.850574979999998</v>
      </c>
      <c r="AL496" t="str">
        <f>IF(ISNUMBER(SEARCH("C", 'WetLitterbags placem_collection'!X57)),"YES","NO")</f>
        <v>NO</v>
      </c>
      <c r="AM496" t="str">
        <f>IF(ISNUMBER(SEARCH("H", 'WetLitterbags placem_collection'!X57)),"YES","NO")</f>
        <v>NO</v>
      </c>
      <c r="AN496" t="str">
        <f>IF(ISNUMBER(SEARCH("R", 'WetLitterbags placem_collection'!X57)),"YES","NO")</f>
        <v>YES</v>
      </c>
    </row>
    <row r="497" spans="1:40" ht="15" customHeight="1">
      <c r="A497" s="258" t="s">
        <v>2460</v>
      </c>
      <c r="B497" s="263">
        <f>'Dry_Litterbag Placem_Collection'!A58</f>
        <v>56</v>
      </c>
      <c r="C497" s="263" t="str">
        <f>'Dry_Litterbag Placem_Collection'!B58</f>
        <v>Makao</v>
      </c>
      <c r="D497" s="263" t="s">
        <v>2659</v>
      </c>
      <c r="E497" s="263" t="s">
        <v>20</v>
      </c>
      <c r="F497" s="263">
        <v>3</v>
      </c>
      <c r="G497" s="264" t="str">
        <f>'Dry_Litterbag Placem_Collection'!C58</f>
        <v>Dry_P3_T8</v>
      </c>
      <c r="H497" s="273" t="s">
        <v>3651</v>
      </c>
      <c r="I497" s="266" t="s">
        <v>1147</v>
      </c>
      <c r="J497" s="223" t="str">
        <f>'WetLitterbags placem_collection'!O58</f>
        <v>G557</v>
      </c>
      <c r="K497" s="225">
        <f>IFERROR(INDEX('Green_rooibos initial weight'!$C$5:$C$1749,MATCH(J497, 'Green_rooibos initial weight'!$A$5:$A$1749,0)),"")</f>
        <v>2.12</v>
      </c>
      <c r="L497" s="225">
        <f>IFERROR(K497-(TBIcalc!$H$9+TBIcalc!$H$10),"")</f>
        <v>1.8702000000000001</v>
      </c>
      <c r="M497" s="391">
        <f>AVERAGE(Ashed_controlls!$K$2:$K$11)</f>
        <v>5.5147656768714146</v>
      </c>
      <c r="N497" s="225">
        <f t="shared" si="39"/>
        <v>1.7670628523111509</v>
      </c>
      <c r="O497" s="225">
        <f>IF(IFERROR(INDEX('Both teabags AfterWet'!$C$3:$C$841,MATCH(J497,'Both teabags AfterWet'!$A$3:$A$841,0)),"")="","",(IFERROR(INDEX('Both teabags AfterWet'!$C$3:$C$841,MATCH(J497,'Both teabags AfterWet'!$A$3:$A$841,0)),"")))</f>
        <v>0.74399999999999999</v>
      </c>
      <c r="P497" s="225">
        <f>IFERROR(IF(O497&gt;0,O497-(TBIcalc!$H$9),""),"")</f>
        <v>0.59339999999999993</v>
      </c>
      <c r="Q497" s="225">
        <f>IFERROR(INDEX('Ashed teabags wet'!$K$2:$K$821,MATCH(J497,'Ashed teabags wet'!$A$2:$A$821,0)),"")</f>
        <v>11.235408560310804</v>
      </c>
      <c r="R497" s="225">
        <f t="shared" si="42"/>
        <v>0.5267290856031156</v>
      </c>
      <c r="S497" s="226">
        <f>'WetLitterbags placem_collection'!E58</f>
        <v>42766</v>
      </c>
      <c r="T497" s="226">
        <f>IF('WetLitterbags placem_collection'!G58="","",'WetLitterbags placem_collection'!G58)</f>
        <v>42820</v>
      </c>
      <c r="U497" s="227">
        <f t="shared" si="38"/>
        <v>54</v>
      </c>
      <c r="V497" s="225">
        <f t="shared" si="40"/>
        <v>1.2768000000000002</v>
      </c>
      <c r="W497" s="225">
        <f t="shared" si="41"/>
        <v>1.2403337667080354</v>
      </c>
      <c r="X497">
        <f>IFERROR(INDEX(Rainfall_Wet!$O$2:$O$217,MATCH(B497, Rainfall_Wet!$A$2:$A$217,0)),"")</f>
        <v>214.262898705</v>
      </c>
      <c r="Y497" s="231">
        <v>21.96</v>
      </c>
      <c r="Z497" s="231">
        <v>8.9199999999999982</v>
      </c>
      <c r="AA497" s="231">
        <v>69.12</v>
      </c>
      <c r="AB497" s="232" t="s">
        <v>2670</v>
      </c>
      <c r="AC497" s="231">
        <v>1.7491375061606702</v>
      </c>
      <c r="AD497">
        <f>IF('WetLitterbags placem_collection'!AB58="","",'WetLitterbags placem_collection'!AB58)</f>
        <v>15.4</v>
      </c>
      <c r="AE497">
        <f>IF('WetLitterbags placem_collection'!Z58="","",'WetLitterbags placem_collection'!Z58)</f>
        <v>30.8</v>
      </c>
      <c r="AF497" s="246" t="str">
        <f>IF('WetLitterbags placem_collection'!AA58="","",'WetLitterbags placem_collection'!AA58)</f>
        <v>M</v>
      </c>
      <c r="AG497">
        <f>IF('WetLitterbags placem_collection'!AC58="","",'WetLitterbags placem_collection'!AC58)</f>
        <v>0</v>
      </c>
      <c r="AH497" s="240">
        <f>AVERAGE('WetLitterbags placem_collection'!S58,'WetLitterbags placem_collection'!U58)</f>
        <v>29.5</v>
      </c>
      <c r="AI497">
        <f>AVERAGE('WetLitterbags placem_collection'!R58,'WetLitterbags placem_collection'!T58)</f>
        <v>27.6</v>
      </c>
      <c r="AJ497">
        <f>INDEX(Coordinates!$B$2:$B$197,MATCH(G497,Coordinates!$J$2:$J$197,0))</f>
        <v>-3.4062900300000001</v>
      </c>
      <c r="AK497">
        <f>INDEX(Coordinates!$C$2:$C$197,MATCH(G497,Coordinates!$J$2:$J$197,0))</f>
        <v>34.850441959999998</v>
      </c>
      <c r="AL497" t="str">
        <f>IF(ISNUMBER(SEARCH("C", 'WetLitterbags placem_collection'!X58)),"YES","NO")</f>
        <v>NO</v>
      </c>
      <c r="AM497" t="str">
        <f>IF(ISNUMBER(SEARCH("H", 'WetLitterbags placem_collection'!X58)),"YES","NO")</f>
        <v>NO</v>
      </c>
      <c r="AN497" t="str">
        <f>IF(ISNUMBER(SEARCH("R", 'WetLitterbags placem_collection'!X58)),"YES","NO")</f>
        <v>YES</v>
      </c>
    </row>
    <row r="498" spans="1:40" ht="15" customHeight="1">
      <c r="A498" s="258" t="s">
        <v>2460</v>
      </c>
      <c r="B498" s="263">
        <f>'Dry_Litterbag Placem_Collection'!A59</f>
        <v>57</v>
      </c>
      <c r="C498" s="263" t="str">
        <f>'Dry_Litterbag Placem_Collection'!B59</f>
        <v>Makao</v>
      </c>
      <c r="D498" s="263" t="s">
        <v>2659</v>
      </c>
      <c r="E498" s="263" t="s">
        <v>20</v>
      </c>
      <c r="F498" s="263">
        <v>4</v>
      </c>
      <c r="G498" s="264" t="str">
        <f>'Dry_Litterbag Placem_Collection'!C59</f>
        <v>Dry_P4_T1</v>
      </c>
      <c r="H498" s="273" t="s">
        <v>3651</v>
      </c>
      <c r="I498" s="266" t="s">
        <v>1147</v>
      </c>
      <c r="J498" s="223" t="str">
        <f>'WetLitterbags placem_collection'!O59</f>
        <v>G618</v>
      </c>
      <c r="K498" s="225">
        <f>IFERROR(INDEX('Green_rooibos initial weight'!$C$5:$C$1749,MATCH(J498, 'Green_rooibos initial weight'!$A$5:$A$1749,0)),"")</f>
        <v>2.0449999999999999</v>
      </c>
      <c r="L498" s="225">
        <f>IFERROR(K498-(TBIcalc!$H$9+TBIcalc!$H$10),"")</f>
        <v>1.7951999999999999</v>
      </c>
      <c r="M498" s="391">
        <f>AVERAGE(Ashed_controlls!$K$2:$K$11)</f>
        <v>5.5147656768714146</v>
      </c>
      <c r="N498" s="225">
        <f t="shared" si="39"/>
        <v>1.6961989265688042</v>
      </c>
      <c r="O498" s="225">
        <f>IF(IFERROR(INDEX('Both teabags AfterWet'!$C$3:$C$841,MATCH(J498,'Both teabags AfterWet'!$A$3:$A$841,0)),"")="","",(IFERROR(INDEX('Both teabags AfterWet'!$C$3:$C$841,MATCH(J498,'Both teabags AfterWet'!$A$3:$A$841,0)),"")))</f>
        <v>0.88129999999999997</v>
      </c>
      <c r="P498" s="225">
        <f>IFERROR(IF(O498&gt;0,O498-(TBIcalc!$H$9),""),"")</f>
        <v>0.73069999999999991</v>
      </c>
      <c r="Q498" s="225">
        <f>IFERROR(INDEX('Ashed teabags wet'!$K$2:$K$821,MATCH(J498,'Ashed teabags wet'!$A$2:$A$821,0)),"")</f>
        <v>11.534653465346061</v>
      </c>
      <c r="R498" s="225">
        <f t="shared" si="42"/>
        <v>0.64641628712871624</v>
      </c>
      <c r="S498" s="226">
        <f>'WetLitterbags placem_collection'!E59</f>
        <v>42766</v>
      </c>
      <c r="T498" s="226">
        <f>IF('WetLitterbags placem_collection'!G59="","",'WetLitterbags placem_collection'!G59)</f>
        <v>42820</v>
      </c>
      <c r="U498" s="227">
        <f t="shared" si="38"/>
        <v>54</v>
      </c>
      <c r="V498" s="225">
        <f t="shared" si="40"/>
        <v>1.0645</v>
      </c>
      <c r="W498" s="225">
        <f t="shared" si="41"/>
        <v>1.049782639440088</v>
      </c>
      <c r="X498">
        <f>IFERROR(INDEX(Rainfall_Wet!$O$2:$O$217,MATCH(B498, Rainfall_Wet!$A$2:$A$217,0)),"")</f>
        <v>214.262898705</v>
      </c>
      <c r="Y498" s="231">
        <v>25.96</v>
      </c>
      <c r="Z498" s="231">
        <v>6.9200000000000008</v>
      </c>
      <c r="AA498" s="231">
        <v>67.12</v>
      </c>
      <c r="AB498" s="232" t="s">
        <v>2670</v>
      </c>
      <c r="AC498" s="231">
        <v>1.7568260226712666</v>
      </c>
      <c r="AD498">
        <f>IF('WetLitterbags placem_collection'!AB59="","",'WetLitterbags placem_collection'!AB59)</f>
        <v>3.3</v>
      </c>
      <c r="AE498">
        <f>IF('WetLitterbags placem_collection'!Z59="","",'WetLitterbags placem_collection'!Z59)</f>
        <v>28.4</v>
      </c>
      <c r="AF498" s="246" t="str">
        <f>IF('WetLitterbags placem_collection'!AA59="","",'WetLitterbags placem_collection'!AA59)</f>
        <v>O</v>
      </c>
      <c r="AG498">
        <f>IF('WetLitterbags placem_collection'!AC59="","",'WetLitterbags placem_collection'!AC59)</f>
        <v>1</v>
      </c>
      <c r="AH498" s="240">
        <f>AVERAGE('WetLitterbags placem_collection'!S59,'WetLitterbags placem_collection'!U59)</f>
        <v>31.6</v>
      </c>
      <c r="AI498">
        <f>AVERAGE('WetLitterbags placem_collection'!R59,'WetLitterbags placem_collection'!T59)</f>
        <v>26.9</v>
      </c>
      <c r="AJ498">
        <f>INDEX(Coordinates!$B$2:$B$197,MATCH(G498,Coordinates!$J$2:$J$197,0))</f>
        <v>-3.4064239729999999</v>
      </c>
      <c r="AK498">
        <f>INDEX(Coordinates!$C$2:$C$197,MATCH(G498,Coordinates!$J$2:$J$197,0))</f>
        <v>34.851213010000002</v>
      </c>
      <c r="AL498" t="str">
        <f>IF(ISNUMBER(SEARCH("C", 'WetLitterbags placem_collection'!X59)),"YES","NO")</f>
        <v>NO</v>
      </c>
      <c r="AM498" t="str">
        <f>IF(ISNUMBER(SEARCH("H", 'WetLitterbags placem_collection'!X59)),"YES","NO")</f>
        <v>NO</v>
      </c>
      <c r="AN498" t="str">
        <f>IF(ISNUMBER(SEARCH("R", 'WetLitterbags placem_collection'!X59)),"YES","NO")</f>
        <v>YES</v>
      </c>
    </row>
    <row r="499" spans="1:40" ht="15" customHeight="1">
      <c r="A499" s="258" t="s">
        <v>2460</v>
      </c>
      <c r="B499" s="263">
        <f>'Dry_Litterbag Placem_Collection'!A60</f>
        <v>58</v>
      </c>
      <c r="C499" s="263" t="str">
        <f>'Dry_Litterbag Placem_Collection'!B60</f>
        <v>Makao</v>
      </c>
      <c r="D499" s="263" t="s">
        <v>2659</v>
      </c>
      <c r="E499" s="263" t="s">
        <v>20</v>
      </c>
      <c r="F499" s="263">
        <v>4</v>
      </c>
      <c r="G499" s="264" t="str">
        <f>'Dry_Litterbag Placem_Collection'!C60</f>
        <v>Dry_P4_T2</v>
      </c>
      <c r="H499" s="273" t="s">
        <v>3651</v>
      </c>
      <c r="I499" s="266" t="s">
        <v>1147</v>
      </c>
      <c r="J499" s="223" t="str">
        <f>'WetLitterbags placem_collection'!O60</f>
        <v>G593</v>
      </c>
      <c r="K499" s="225">
        <f>IFERROR(INDEX('Green_rooibos initial weight'!$C$5:$C$1749,MATCH(J499, 'Green_rooibos initial weight'!$A$5:$A$1749,0)),"")</f>
        <v>2.093</v>
      </c>
      <c r="L499" s="225">
        <f>IFERROR(K499-(TBIcalc!$H$9+TBIcalc!$H$10),"")</f>
        <v>1.8431999999999999</v>
      </c>
      <c r="M499" s="391">
        <f>AVERAGE(Ashed_controlls!$K$2:$K$11)</f>
        <v>5.5147656768714146</v>
      </c>
      <c r="N499" s="225">
        <f t="shared" si="39"/>
        <v>1.741551839043906</v>
      </c>
      <c r="O499" s="225">
        <f>IF(IFERROR(INDEX('Both teabags AfterWet'!$C$3:$C$841,MATCH(J499,'Both teabags AfterWet'!$A$3:$A$841,0)),"")="","",(IFERROR(INDEX('Both teabags AfterWet'!$C$3:$C$841,MATCH(J499,'Both teabags AfterWet'!$A$3:$A$841,0)),"")))</f>
        <v>0.97009999999999996</v>
      </c>
      <c r="P499" s="225">
        <f>IFERROR(IF(O499&gt;0,O499-(TBIcalc!$H$9),""),"")</f>
        <v>0.8194999999999999</v>
      </c>
      <c r="Q499" s="225">
        <f>IFERROR(INDEX('Ashed teabags wet'!$K$2:$K$821,MATCH(J499,'Ashed teabags wet'!$A$2:$A$821,0)),"")</f>
        <v>12.412761714855449</v>
      </c>
      <c r="R499" s="225">
        <f t="shared" si="42"/>
        <v>0.71777741774675952</v>
      </c>
      <c r="S499" s="226">
        <f>'WetLitterbags placem_collection'!E60</f>
        <v>42766</v>
      </c>
      <c r="T499" s="226">
        <f>IF('WetLitterbags placem_collection'!G60="","",'WetLitterbags placem_collection'!G60)</f>
        <v>42820</v>
      </c>
      <c r="U499" s="227">
        <f t="shared" si="38"/>
        <v>54</v>
      </c>
      <c r="V499" s="225">
        <f t="shared" si="40"/>
        <v>1.0237000000000001</v>
      </c>
      <c r="W499" s="225">
        <f t="shared" si="41"/>
        <v>1.0237744212971465</v>
      </c>
      <c r="X499">
        <f>IFERROR(INDEX(Rainfall_Wet!$O$2:$O$217,MATCH(B499, Rainfall_Wet!$A$2:$A$217,0)),"")</f>
        <v>214.262898705</v>
      </c>
      <c r="Y499" s="231">
        <v>25.96</v>
      </c>
      <c r="Z499" s="231">
        <v>6.9200000000000008</v>
      </c>
      <c r="AA499" s="231">
        <v>67.12</v>
      </c>
      <c r="AB499" s="232" t="s">
        <v>2670</v>
      </c>
      <c r="AC499" s="231">
        <v>1.7568260226712666</v>
      </c>
      <c r="AD499">
        <f>IF('WetLitterbags placem_collection'!AB60="","",'WetLitterbags placem_collection'!AB60)</f>
        <v>1.4</v>
      </c>
      <c r="AE499">
        <f>IF('WetLitterbags placem_collection'!Z60="","",'WetLitterbags placem_collection'!Z60)</f>
        <v>54.4</v>
      </c>
      <c r="AF499" s="246" t="str">
        <f>IF('WetLitterbags placem_collection'!AA60="","",'WetLitterbags placem_collection'!AA60)</f>
        <v>O</v>
      </c>
      <c r="AG499">
        <f>IF('WetLitterbags placem_collection'!AC60="","",'WetLitterbags placem_collection'!AC60)</f>
        <v>0</v>
      </c>
      <c r="AH499" s="240">
        <f>AVERAGE('WetLitterbags placem_collection'!S60,'WetLitterbags placem_collection'!U60)</f>
        <v>31.6</v>
      </c>
      <c r="AI499">
        <f>AVERAGE('WetLitterbags placem_collection'!R60,'WetLitterbags placem_collection'!T60)</f>
        <v>26.700000000000003</v>
      </c>
      <c r="AJ499">
        <f>INDEX(Coordinates!$B$2:$B$197,MATCH(G499,Coordinates!$J$2:$J$197,0))</f>
        <v>-3.4065020079999999</v>
      </c>
      <c r="AK499">
        <f>INDEX(Coordinates!$C$2:$C$197,MATCH(G499,Coordinates!$J$2:$J$197,0))</f>
        <v>34.851056020000001</v>
      </c>
      <c r="AL499" t="str">
        <f>IF(ISNUMBER(SEARCH("C", 'WetLitterbags placem_collection'!X60)),"YES","NO")</f>
        <v>NO</v>
      </c>
      <c r="AM499" t="str">
        <f>IF(ISNUMBER(SEARCH("H", 'WetLitterbags placem_collection'!X60)),"YES","NO")</f>
        <v>NO</v>
      </c>
      <c r="AN499" t="str">
        <f>IF(ISNUMBER(SEARCH("R", 'WetLitterbags placem_collection'!X60)),"YES","NO")</f>
        <v>YES</v>
      </c>
    </row>
    <row r="500" spans="1:40" ht="15" customHeight="1">
      <c r="A500" s="258" t="s">
        <v>2460</v>
      </c>
      <c r="B500" s="263">
        <f>'Dry_Litterbag Placem_Collection'!A61</f>
        <v>59</v>
      </c>
      <c r="C500" s="263" t="str">
        <f>'Dry_Litterbag Placem_Collection'!B61</f>
        <v>Makao</v>
      </c>
      <c r="D500" s="263" t="s">
        <v>2659</v>
      </c>
      <c r="E500" s="263" t="s">
        <v>20</v>
      </c>
      <c r="F500" s="263">
        <v>4</v>
      </c>
      <c r="G500" s="264" t="str">
        <f>'Dry_Litterbag Placem_Collection'!C61</f>
        <v>Dry_P4_T3</v>
      </c>
      <c r="H500" s="273" t="s">
        <v>3651</v>
      </c>
      <c r="I500" s="266" t="s">
        <v>1147</v>
      </c>
      <c r="J500" s="223" t="str">
        <f>'WetLitterbags placem_collection'!O61</f>
        <v>G600</v>
      </c>
      <c r="K500" s="225">
        <f>IFERROR(INDEX('Green_rooibos initial weight'!$C$5:$C$1749,MATCH(J500, 'Green_rooibos initial weight'!$A$5:$A$1749,0)),"")</f>
        <v>2.0049999999999999</v>
      </c>
      <c r="L500" s="225">
        <f>IFERROR(K500-(TBIcalc!$H$9+TBIcalc!$H$10),"")</f>
        <v>1.7551999999999999</v>
      </c>
      <c r="M500" s="391">
        <f>AVERAGE(Ashed_controlls!$K$2:$K$11)</f>
        <v>5.5147656768714146</v>
      </c>
      <c r="N500" s="225">
        <f t="shared" si="39"/>
        <v>1.6584048328395529</v>
      </c>
      <c r="O500" s="225">
        <f>IF(IFERROR(INDEX('Both teabags AfterWet'!$C$3:$C$841,MATCH(J500,'Both teabags AfterWet'!$A$3:$A$841,0)),"")="","",(IFERROR(INDEX('Both teabags AfterWet'!$C$3:$C$841,MATCH(J500,'Both teabags AfterWet'!$A$3:$A$841,0)),"")))</f>
        <v>0.90200000000000002</v>
      </c>
      <c r="P500" s="225">
        <f>IFERROR(IF(O500&gt;0,O500-(TBIcalc!$H$9),""),"")</f>
        <v>0.75140000000000007</v>
      </c>
      <c r="Q500" s="225">
        <f>IFERROR(INDEX('Ashed teabags wet'!$K$2:$K$821,MATCH(J500,'Ashed teabags wet'!$A$2:$A$821,0)),"")</f>
        <v>13.942071674030428</v>
      </c>
      <c r="R500" s="225">
        <f t="shared" si="42"/>
        <v>0.64663927344133543</v>
      </c>
      <c r="S500" s="226">
        <f>'WetLitterbags placem_collection'!E61</f>
        <v>42766</v>
      </c>
      <c r="T500" s="226">
        <f>IF('WetLitterbags placem_collection'!G61="","",'WetLitterbags placem_collection'!G61)</f>
        <v>42820</v>
      </c>
      <c r="U500" s="227">
        <f t="shared" si="38"/>
        <v>54</v>
      </c>
      <c r="V500" s="225">
        <f t="shared" si="40"/>
        <v>1.0037999999999998</v>
      </c>
      <c r="W500" s="225">
        <f t="shared" si="41"/>
        <v>1.0117655593982176</v>
      </c>
      <c r="X500">
        <f>IFERROR(INDEX(Rainfall_Wet!$O$2:$O$217,MATCH(B500, Rainfall_Wet!$A$2:$A$217,0)),"")</f>
        <v>214.262898705</v>
      </c>
      <c r="Y500" s="231">
        <v>25.96</v>
      </c>
      <c r="Z500" s="231">
        <v>6.9200000000000008</v>
      </c>
      <c r="AA500" s="231">
        <v>67.12</v>
      </c>
      <c r="AB500" s="232" t="s">
        <v>2670</v>
      </c>
      <c r="AC500" s="231">
        <v>1.7568260226712666</v>
      </c>
      <c r="AD500">
        <f>IF('WetLitterbags placem_collection'!AB61="","",'WetLitterbags placem_collection'!AB61)</f>
        <v>3.3</v>
      </c>
      <c r="AE500">
        <f>IF('WetLitterbags placem_collection'!Z61="","",'WetLitterbags placem_collection'!Z61)</f>
        <v>46</v>
      </c>
      <c r="AF500" s="246" t="str">
        <f>IF('WetLitterbags placem_collection'!AA61="","",'WetLitterbags placem_collection'!AA61)</f>
        <v>O</v>
      </c>
      <c r="AG500">
        <f>IF('WetLitterbags placem_collection'!AC61="","",'WetLitterbags placem_collection'!AC61)</f>
        <v>0</v>
      </c>
      <c r="AH500" s="240">
        <f>AVERAGE('WetLitterbags placem_collection'!S61,'WetLitterbags placem_collection'!U61)</f>
        <v>27.9</v>
      </c>
      <c r="AI500">
        <f>AVERAGE('WetLitterbags placem_collection'!R61,'WetLitterbags placem_collection'!T61)</f>
        <v>27.049999999999997</v>
      </c>
      <c r="AJ500">
        <f>INDEX(Coordinates!$B$2:$B$197,MATCH(G500,Coordinates!$J$2:$J$197,0))</f>
        <v>-3.4062359670000002</v>
      </c>
      <c r="AK500">
        <f>INDEX(Coordinates!$C$2:$C$197,MATCH(G500,Coordinates!$J$2:$J$197,0))</f>
        <v>34.851107990000003</v>
      </c>
      <c r="AL500" t="str">
        <f>IF(ISNUMBER(SEARCH("C", 'WetLitterbags placem_collection'!X61)),"YES","NO")</f>
        <v>NO</v>
      </c>
      <c r="AM500" t="str">
        <f>IF(ISNUMBER(SEARCH("H", 'WetLitterbags placem_collection'!X61)),"YES","NO")</f>
        <v>NO</v>
      </c>
      <c r="AN500" t="str">
        <f>IF(ISNUMBER(SEARCH("R", 'WetLitterbags placem_collection'!X61)),"YES","NO")</f>
        <v>NO</v>
      </c>
    </row>
    <row r="501" spans="1:40" ht="15" customHeight="1">
      <c r="A501" s="258" t="s">
        <v>2460</v>
      </c>
      <c r="B501" s="263">
        <f>'Dry_Litterbag Placem_Collection'!A62</f>
        <v>60</v>
      </c>
      <c r="C501" s="263" t="str">
        <f>'Dry_Litterbag Placem_Collection'!B62</f>
        <v>Makao</v>
      </c>
      <c r="D501" s="263" t="s">
        <v>2659</v>
      </c>
      <c r="E501" s="263" t="s">
        <v>20</v>
      </c>
      <c r="F501" s="263">
        <v>4</v>
      </c>
      <c r="G501" s="264" t="str">
        <f>'Dry_Litterbag Placem_Collection'!C62</f>
        <v>Dry_P4_T4</v>
      </c>
      <c r="H501" s="273" t="s">
        <v>3651</v>
      </c>
      <c r="I501" s="266" t="s">
        <v>1147</v>
      </c>
      <c r="J501" s="223" t="str">
        <f>'WetLitterbags placem_collection'!O62</f>
        <v>G535</v>
      </c>
      <c r="K501" s="225">
        <f>IFERROR(INDEX('Green_rooibos initial weight'!$C$5:$C$1749,MATCH(J501, 'Green_rooibos initial weight'!$A$5:$A$1749,0)),"")</f>
        <v>2.0920000000000001</v>
      </c>
      <c r="L501" s="225">
        <f>IFERROR(K501-(TBIcalc!$H$9+TBIcalc!$H$10),"")</f>
        <v>1.8422000000000001</v>
      </c>
      <c r="M501" s="391">
        <f>AVERAGE(Ashed_controlls!$K$2:$K$11)</f>
        <v>5.5147656768714146</v>
      </c>
      <c r="N501" s="225">
        <f t="shared" si="39"/>
        <v>1.7406069867006748</v>
      </c>
      <c r="O501" s="225">
        <f>IF(IFERROR(INDEX('Both teabags AfterWet'!$C$3:$C$841,MATCH(J501,'Both teabags AfterWet'!$A$3:$A$841,0)),"")="","",(IFERROR(INDEX('Both teabags AfterWet'!$C$3:$C$841,MATCH(J501,'Both teabags AfterWet'!$A$3:$A$841,0)),"")))</f>
        <v>0.78</v>
      </c>
      <c r="P501" s="225">
        <f>IFERROR(IF(O501&gt;0,O501-(TBIcalc!$H$9),""),"")</f>
        <v>0.62939999999999996</v>
      </c>
      <c r="Q501" s="225">
        <f>IFERROR(INDEX('Ashed teabags wet'!$K$2:$K$821,MATCH(J501,'Ashed teabags wet'!$A$2:$A$821,0)),"")</f>
        <v>10.099009900990334</v>
      </c>
      <c r="R501" s="225">
        <f t="shared" si="42"/>
        <v>0.56583683168316679</v>
      </c>
      <c r="S501" s="226">
        <f>'WetLitterbags placem_collection'!E62</f>
        <v>42766</v>
      </c>
      <c r="T501" s="226">
        <f>IF('WetLitterbags placem_collection'!G62="","",'WetLitterbags placem_collection'!G62)</f>
        <v>42820</v>
      </c>
      <c r="U501" s="227">
        <f t="shared" si="38"/>
        <v>54</v>
      </c>
      <c r="V501" s="225">
        <f t="shared" si="40"/>
        <v>1.2128000000000001</v>
      </c>
      <c r="W501" s="225">
        <f t="shared" si="41"/>
        <v>1.174770155017508</v>
      </c>
      <c r="X501">
        <f>IFERROR(INDEX(Rainfall_Wet!$O$2:$O$217,MATCH(B501, Rainfall_Wet!$A$2:$A$217,0)),"")</f>
        <v>214.262898705</v>
      </c>
      <c r="Y501" s="231">
        <v>25.96</v>
      </c>
      <c r="Z501" s="231">
        <v>6.9200000000000008</v>
      </c>
      <c r="AA501" s="231">
        <v>67.12</v>
      </c>
      <c r="AB501" s="232" t="s">
        <v>2670</v>
      </c>
      <c r="AC501" s="231">
        <v>1.7568260226712666</v>
      </c>
      <c r="AD501">
        <f>IF('WetLitterbags placem_collection'!AB62="","",'WetLitterbags placem_collection'!AB62)</f>
        <v>2.4</v>
      </c>
      <c r="AE501">
        <f>IF('WetLitterbags placem_collection'!Z62="","",'WetLitterbags placem_collection'!Z62)</f>
        <v>10.199999999999999</v>
      </c>
      <c r="AF501" s="246" t="str">
        <f>IF('WetLitterbags placem_collection'!AA62="","",'WetLitterbags placem_collection'!AA62)</f>
        <v>O</v>
      </c>
      <c r="AG501">
        <f>IF('WetLitterbags placem_collection'!AC62="","",'WetLitterbags placem_collection'!AC62)</f>
        <v>0</v>
      </c>
      <c r="AH501" s="240">
        <f>AVERAGE('WetLitterbags placem_collection'!S62,'WetLitterbags placem_collection'!U62)</f>
        <v>22.5</v>
      </c>
      <c r="AI501">
        <f>AVERAGE('WetLitterbags placem_collection'!R62,'WetLitterbags placem_collection'!T62)</f>
        <v>28.6</v>
      </c>
      <c r="AJ501">
        <f>INDEX(Coordinates!$B$2:$B$197,MATCH(G501,Coordinates!$J$2:$J$197,0))</f>
        <v>-3.406281983</v>
      </c>
      <c r="AK501">
        <f>INDEX(Coordinates!$C$2:$C$197,MATCH(G501,Coordinates!$J$2:$J$197,0))</f>
        <v>34.85137898</v>
      </c>
      <c r="AL501" t="str">
        <f>IF(ISNUMBER(SEARCH("C", 'WetLitterbags placem_collection'!X62)),"YES","NO")</f>
        <v>NO</v>
      </c>
      <c r="AM501" t="str">
        <f>IF(ISNUMBER(SEARCH("H", 'WetLitterbags placem_collection'!X62)),"YES","NO")</f>
        <v>NO</v>
      </c>
      <c r="AN501" t="str">
        <f>IF(ISNUMBER(SEARCH("R", 'WetLitterbags placem_collection'!X62)),"YES","NO")</f>
        <v>NO</v>
      </c>
    </row>
    <row r="502" spans="1:40" ht="15" customHeight="1">
      <c r="A502" s="258" t="s">
        <v>2460</v>
      </c>
      <c r="B502" s="263">
        <f>'Dry_Litterbag Placem_Collection'!A63</f>
        <v>61</v>
      </c>
      <c r="C502" s="263" t="str">
        <f>'Dry_Litterbag Placem_Collection'!B63</f>
        <v>Makao</v>
      </c>
      <c r="D502" s="263" t="s">
        <v>2659</v>
      </c>
      <c r="E502" s="263" t="s">
        <v>20</v>
      </c>
      <c r="F502" s="263">
        <v>4</v>
      </c>
      <c r="G502" s="264" t="str">
        <f>'Dry_Litterbag Placem_Collection'!C63</f>
        <v>Dry_P4_T5</v>
      </c>
      <c r="H502" s="273" t="s">
        <v>3651</v>
      </c>
      <c r="I502" s="266" t="s">
        <v>1147</v>
      </c>
      <c r="J502" s="223" t="str">
        <f>'WetLitterbags placem_collection'!O63</f>
        <v>G391</v>
      </c>
      <c r="K502" s="225">
        <f>IFERROR(INDEX('Green_rooibos initial weight'!$C$5:$C$1749,MATCH(J502, 'Green_rooibos initial weight'!$A$5:$A$1749,0)),"")</f>
        <v>1.9419999999999999</v>
      </c>
      <c r="L502" s="225">
        <f>IFERROR(K502-(TBIcalc!$H$9+TBIcalc!$H$10),"")</f>
        <v>1.6921999999999999</v>
      </c>
      <c r="M502" s="391">
        <f>AVERAGE(Ashed_controlls!$K$2:$K$11)</f>
        <v>5.5147656768714146</v>
      </c>
      <c r="N502" s="225">
        <f t="shared" si="39"/>
        <v>1.5988791352159819</v>
      </c>
      <c r="O502" s="225">
        <f>IF(IFERROR(INDEX('Both teabags AfterWet'!$C$3:$C$841,MATCH(J502,'Both teabags AfterWet'!$A$3:$A$841,0)),"")="","",(IFERROR(INDEX('Both teabags AfterWet'!$C$3:$C$841,MATCH(J502,'Both teabags AfterWet'!$A$3:$A$841,0)),"")))</f>
        <v>0.628</v>
      </c>
      <c r="P502" s="225">
        <f>IFERROR(IF(O502&gt;0,O502-(TBIcalc!$H$9),""),"")</f>
        <v>0.47739999999999999</v>
      </c>
      <c r="Q502" s="225">
        <f>IFERROR(INDEX('Ashed teabags wet'!$K$2:$K$821,MATCH(J502,'Ashed teabags wet'!$A$2:$A$821,0)),"")</f>
        <v>8.0533596837941683</v>
      </c>
      <c r="R502" s="225">
        <f t="shared" si="42"/>
        <v>0.43895326086956665</v>
      </c>
      <c r="S502" s="226">
        <f>'WetLitterbags placem_collection'!E63</f>
        <v>42766</v>
      </c>
      <c r="T502" s="226">
        <f>IF('WetLitterbags placem_collection'!G63="","",'WetLitterbags placem_collection'!G63)</f>
        <v>42820</v>
      </c>
      <c r="U502" s="227">
        <f t="shared" si="38"/>
        <v>54</v>
      </c>
      <c r="V502" s="225">
        <f t="shared" si="40"/>
        <v>1.2147999999999999</v>
      </c>
      <c r="W502" s="225">
        <f t="shared" si="41"/>
        <v>1.1599258743464151</v>
      </c>
      <c r="X502">
        <f>IFERROR(INDEX(Rainfall_Wet!$O$2:$O$217,MATCH(B502, Rainfall_Wet!$A$2:$A$217,0)),"")</f>
        <v>214.262898705</v>
      </c>
      <c r="Y502" s="231">
        <v>25.96</v>
      </c>
      <c r="Z502" s="231">
        <v>6.9200000000000008</v>
      </c>
      <c r="AA502" s="231">
        <v>67.12</v>
      </c>
      <c r="AB502" s="232" t="s">
        <v>2670</v>
      </c>
      <c r="AC502" s="231">
        <v>1.7568260226712666</v>
      </c>
      <c r="AD502">
        <f>IF('WetLitterbags placem_collection'!AB63="","",'WetLitterbags placem_collection'!AB63)</f>
        <v>5.6</v>
      </c>
      <c r="AE502">
        <f>IF('WetLitterbags placem_collection'!Z63="","",'WetLitterbags placem_collection'!Z63)</f>
        <v>34.200000000000003</v>
      </c>
      <c r="AF502" s="246" t="str">
        <f>IF('WetLitterbags placem_collection'!AA63="","",'WetLitterbags placem_collection'!AA63)</f>
        <v>O</v>
      </c>
      <c r="AG502">
        <f>IF('WetLitterbags placem_collection'!AC63="","",'WetLitterbags placem_collection'!AC63)</f>
        <v>0</v>
      </c>
      <c r="AH502" s="240">
        <f>AVERAGE('WetLitterbags placem_collection'!S63,'WetLitterbags placem_collection'!U63)</f>
        <v>20.399999999999999</v>
      </c>
      <c r="AI502">
        <f>AVERAGE('WetLitterbags placem_collection'!R63,'WetLitterbags placem_collection'!T63)</f>
        <v>27.450000000000003</v>
      </c>
      <c r="AJ502">
        <f>INDEX(Coordinates!$B$2:$B$197,MATCH(G502,Coordinates!$J$2:$J$197,0))</f>
        <v>-3.406569986</v>
      </c>
      <c r="AK502">
        <f>INDEX(Coordinates!$C$2:$C$197,MATCH(G502,Coordinates!$J$2:$J$197,0))</f>
        <v>34.851323989999997</v>
      </c>
      <c r="AL502" t="str">
        <f>IF(ISNUMBER(SEARCH("C", 'WetLitterbags placem_collection'!X63)),"YES","NO")</f>
        <v>NO</v>
      </c>
      <c r="AM502" t="str">
        <f>IF(ISNUMBER(SEARCH("H", 'WetLitterbags placem_collection'!X63)),"YES","NO")</f>
        <v>NO</v>
      </c>
      <c r="AN502" t="str">
        <f>IF(ISNUMBER(SEARCH("R", 'WetLitterbags placem_collection'!X63)),"YES","NO")</f>
        <v>YES</v>
      </c>
    </row>
    <row r="503" spans="1:40" ht="15" customHeight="1">
      <c r="A503" s="258" t="s">
        <v>2460</v>
      </c>
      <c r="B503" s="263">
        <f>'Dry_Litterbag Placem_Collection'!A64</f>
        <v>62</v>
      </c>
      <c r="C503" s="263" t="str">
        <f>'Dry_Litterbag Placem_Collection'!B64</f>
        <v>Makao</v>
      </c>
      <c r="D503" s="263" t="s">
        <v>2659</v>
      </c>
      <c r="E503" s="263" t="s">
        <v>20</v>
      </c>
      <c r="F503" s="263">
        <v>4</v>
      </c>
      <c r="G503" s="264" t="str">
        <f>'Dry_Litterbag Placem_Collection'!C64</f>
        <v>Dry_P4_T6</v>
      </c>
      <c r="H503" s="273" t="s">
        <v>3651</v>
      </c>
      <c r="I503" s="266" t="s">
        <v>1147</v>
      </c>
      <c r="J503" s="223" t="str">
        <f>'WetLitterbags placem_collection'!O64</f>
        <v>G445</v>
      </c>
      <c r="K503" s="225">
        <f>IFERROR(INDEX('Green_rooibos initial weight'!$C$5:$C$1749,MATCH(J503, 'Green_rooibos initial weight'!$A$5:$A$1749,0)),"")</f>
        <v>2.1150000000000002</v>
      </c>
      <c r="L503" s="225">
        <f>IFERROR(K503-(TBIcalc!$H$9+TBIcalc!$H$10),"")</f>
        <v>1.8652000000000002</v>
      </c>
      <c r="M503" s="391">
        <f>AVERAGE(Ashed_controlls!$K$2:$K$11)</f>
        <v>5.5147656768714146</v>
      </c>
      <c r="N503" s="225">
        <f t="shared" si="39"/>
        <v>1.7623385905949946</v>
      </c>
      <c r="O503" s="225">
        <f>IF(IFERROR(INDEX('Both teabags AfterWet'!$C$3:$C$841,MATCH(J503,'Both teabags AfterWet'!$A$3:$A$841,0)),"")="","",(IFERROR(INDEX('Both teabags AfterWet'!$C$3:$C$841,MATCH(J503,'Both teabags AfterWet'!$A$3:$A$841,0)),"")))</f>
        <v>0.80569999999999997</v>
      </c>
      <c r="P503" s="225">
        <f>IFERROR(IF(O503&gt;0,O503-(TBIcalc!$H$9),""),"")</f>
        <v>0.65510000000000002</v>
      </c>
      <c r="Q503" s="225">
        <f>IFERROR(INDEX('Ashed teabags wet'!$K$2:$K$821,MATCH(J503,'Ashed teabags wet'!$A$2:$A$821,0)),"")</f>
        <v>12.3862487360974</v>
      </c>
      <c r="R503" s="225">
        <f t="shared" si="42"/>
        <v>0.57395768452982598</v>
      </c>
      <c r="S503" s="226">
        <f>'WetLitterbags placem_collection'!E64</f>
        <v>42766</v>
      </c>
      <c r="T503" s="226">
        <f>IF('WetLitterbags placem_collection'!G64="","",'WetLitterbags placem_collection'!G64)</f>
        <v>42820</v>
      </c>
      <c r="U503" s="227">
        <f t="shared" si="38"/>
        <v>54</v>
      </c>
      <c r="V503" s="225">
        <f t="shared" si="40"/>
        <v>1.2101000000000002</v>
      </c>
      <c r="W503" s="225">
        <f t="shared" si="41"/>
        <v>1.1883809060651687</v>
      </c>
      <c r="X503">
        <f>IFERROR(INDEX(Rainfall_Wet!$O$2:$O$217,MATCH(B503, Rainfall_Wet!$A$2:$A$217,0)),"")</f>
        <v>214.262898705</v>
      </c>
      <c r="Y503" s="231">
        <v>25.96</v>
      </c>
      <c r="Z503" s="231">
        <v>6.9200000000000008</v>
      </c>
      <c r="AA503" s="231">
        <v>67.12</v>
      </c>
      <c r="AB503" s="232" t="s">
        <v>2670</v>
      </c>
      <c r="AC503" s="231">
        <v>1.7568260226712666</v>
      </c>
      <c r="AD503">
        <f>IF('WetLitterbags placem_collection'!AB64="","",'WetLitterbags placem_collection'!AB64)</f>
        <v>4.2</v>
      </c>
      <c r="AE503">
        <f>IF('WetLitterbags placem_collection'!Z64="","",'WetLitterbags placem_collection'!Z64)</f>
        <v>40.4</v>
      </c>
      <c r="AF503" s="246" t="str">
        <f>IF('WetLitterbags placem_collection'!AA64="","",'WetLitterbags placem_collection'!AA64)</f>
        <v>O</v>
      </c>
      <c r="AG503">
        <f>IF('WetLitterbags placem_collection'!AC64="","",'WetLitterbags placem_collection'!AC64)</f>
        <v>0</v>
      </c>
      <c r="AH503" s="240">
        <f>AVERAGE('WetLitterbags placem_collection'!S64,'WetLitterbags placem_collection'!U64)</f>
        <v>24.7</v>
      </c>
      <c r="AI503">
        <f>AVERAGE('WetLitterbags placem_collection'!R64,'WetLitterbags placem_collection'!T64)</f>
        <v>26.799999999999997</v>
      </c>
      <c r="AJ503">
        <f>INDEX(Coordinates!$B$2:$B$197,MATCH(G503,Coordinates!$J$2:$J$197,0))</f>
        <v>-3.4065180179999999</v>
      </c>
      <c r="AK503">
        <f>INDEX(Coordinates!$C$2:$C$197,MATCH(G503,Coordinates!$J$2:$J$197,0))</f>
        <v>34.85121402</v>
      </c>
      <c r="AL503" t="str">
        <f>IF(ISNUMBER(SEARCH("C", 'WetLitterbags placem_collection'!X64)),"YES","NO")</f>
        <v>NO</v>
      </c>
      <c r="AM503" t="str">
        <f>IF(ISNUMBER(SEARCH("H", 'WetLitterbags placem_collection'!X64)),"YES","NO")</f>
        <v>NO</v>
      </c>
      <c r="AN503" t="str">
        <f>IF(ISNUMBER(SEARCH("R", 'WetLitterbags placem_collection'!X64)),"YES","NO")</f>
        <v>NO</v>
      </c>
    </row>
    <row r="504" spans="1:40" ht="15" customHeight="1">
      <c r="A504" s="258" t="s">
        <v>2460</v>
      </c>
      <c r="B504" s="263">
        <f>'Dry_Litterbag Placem_Collection'!A65</f>
        <v>63</v>
      </c>
      <c r="C504" s="263" t="str">
        <f>'Dry_Litterbag Placem_Collection'!B65</f>
        <v>Makao</v>
      </c>
      <c r="D504" s="263" t="s">
        <v>2659</v>
      </c>
      <c r="E504" s="263" t="s">
        <v>20</v>
      </c>
      <c r="F504" s="263">
        <v>4</v>
      </c>
      <c r="G504" s="264" t="str">
        <f>'Dry_Litterbag Placem_Collection'!C65</f>
        <v>Dry_P4_T7</v>
      </c>
      <c r="H504" s="273" t="s">
        <v>3651</v>
      </c>
      <c r="I504" s="266" t="s">
        <v>1147</v>
      </c>
      <c r="J504" s="223" t="str">
        <f>'WetLitterbags placem_collection'!O65</f>
        <v>G440</v>
      </c>
      <c r="K504" s="225">
        <f>IFERROR(INDEX('Green_rooibos initial weight'!$C$5:$C$1749,MATCH(J504, 'Green_rooibos initial weight'!$A$5:$A$1749,0)),"")</f>
        <v>2.1070000000000002</v>
      </c>
      <c r="L504" s="225">
        <f>IFERROR(K504-(TBIcalc!$H$9+TBIcalc!$H$10),"")</f>
        <v>1.8572000000000002</v>
      </c>
      <c r="M504" s="391">
        <f>AVERAGE(Ashed_controlls!$K$2:$K$11)</f>
        <v>5.5147656768714146</v>
      </c>
      <c r="N504" s="225">
        <f t="shared" si="39"/>
        <v>1.7547797718491442</v>
      </c>
      <c r="O504" s="225">
        <f>IF(IFERROR(INDEX('Both teabags AfterWet'!$C$3:$C$841,MATCH(J504,'Both teabags AfterWet'!$A$3:$A$841,0)),"")="","",(IFERROR(INDEX('Both teabags AfterWet'!$C$3:$C$841,MATCH(J504,'Both teabags AfterWet'!$A$3:$A$841,0)),"")))</f>
        <v>0.94199999999999995</v>
      </c>
      <c r="P504" s="225">
        <f>IFERROR(IF(O504&gt;0,O504-(TBIcalc!$H$9),""),"")</f>
        <v>0.79139999999999988</v>
      </c>
      <c r="Q504" s="225">
        <f>IFERROR(INDEX('Ashed teabags wet'!$K$2:$K$821,MATCH(J504,'Ashed teabags wet'!$A$2:$A$821,0)),"")</f>
        <v>14.278728606356959</v>
      </c>
      <c r="R504" s="225">
        <f t="shared" si="42"/>
        <v>0.67839814180929092</v>
      </c>
      <c r="S504" s="226">
        <f>'WetLitterbags placem_collection'!E65</f>
        <v>42766</v>
      </c>
      <c r="T504" s="226">
        <f>IF('WetLitterbags placem_collection'!G65="","",'WetLitterbags placem_collection'!G65)</f>
        <v>42820</v>
      </c>
      <c r="U504" s="227">
        <f t="shared" si="38"/>
        <v>54</v>
      </c>
      <c r="V504" s="225">
        <f t="shared" si="40"/>
        <v>1.0658000000000003</v>
      </c>
      <c r="W504" s="225">
        <f t="shared" si="41"/>
        <v>1.0763816300398532</v>
      </c>
      <c r="X504">
        <f>IFERROR(INDEX(Rainfall_Wet!$O$2:$O$217,MATCH(B504, Rainfall_Wet!$A$2:$A$217,0)),"")</f>
        <v>214.262898705</v>
      </c>
      <c r="Y504" s="231">
        <v>25.96</v>
      </c>
      <c r="Z504" s="231">
        <v>6.9200000000000008</v>
      </c>
      <c r="AA504" s="231">
        <v>67.12</v>
      </c>
      <c r="AB504" s="232" t="s">
        <v>2670</v>
      </c>
      <c r="AC504" s="231">
        <v>1.7568260226712666</v>
      </c>
      <c r="AD504">
        <f>IF('WetLitterbags placem_collection'!AB65="","",'WetLitterbags placem_collection'!AB65)</f>
        <v>4.9000000000000004</v>
      </c>
      <c r="AE504">
        <f>IF('WetLitterbags placem_collection'!Z65="","",'WetLitterbags placem_collection'!Z65)</f>
        <v>45</v>
      </c>
      <c r="AF504" s="246" t="str">
        <f>IF('WetLitterbags placem_collection'!AA65="","",'WetLitterbags placem_collection'!AA65)</f>
        <v>O</v>
      </c>
      <c r="AG504">
        <f>IF('WetLitterbags placem_collection'!AC65="","",'WetLitterbags placem_collection'!AC65)</f>
        <v>0</v>
      </c>
      <c r="AH504" s="240">
        <f>AVERAGE('WetLitterbags placem_collection'!S65,'WetLitterbags placem_collection'!U65)</f>
        <v>22.9</v>
      </c>
      <c r="AI504">
        <f>AVERAGE('WetLitterbags placem_collection'!R65,'WetLitterbags placem_collection'!T65)</f>
        <v>28.25</v>
      </c>
      <c r="AJ504">
        <f>INDEX(Coordinates!$B$2:$B$197,MATCH(G504,Coordinates!$J$2:$J$197,0))</f>
        <v>-3.406334035</v>
      </c>
      <c r="AK504">
        <f>INDEX(Coordinates!$C$2:$C$197,MATCH(G504,Coordinates!$J$2:$J$197,0))</f>
        <v>34.851172030000001</v>
      </c>
      <c r="AL504" t="str">
        <f>IF(ISNUMBER(SEARCH("C", 'WetLitterbags placem_collection'!X65)),"YES","NO")</f>
        <v>NO</v>
      </c>
      <c r="AM504" t="str">
        <f>IF(ISNUMBER(SEARCH("H", 'WetLitterbags placem_collection'!X65)),"YES","NO")</f>
        <v>NO</v>
      </c>
      <c r="AN504" t="str">
        <f>IF(ISNUMBER(SEARCH("R", 'WetLitterbags placem_collection'!X65)),"YES","NO")</f>
        <v>YES</v>
      </c>
    </row>
    <row r="505" spans="1:40" ht="15" customHeight="1">
      <c r="A505" s="258" t="s">
        <v>2460</v>
      </c>
      <c r="B505" s="263">
        <f>'Dry_Litterbag Placem_Collection'!A66</f>
        <v>64</v>
      </c>
      <c r="C505" s="263" t="str">
        <f>'Dry_Litterbag Placem_Collection'!B66</f>
        <v>Makao</v>
      </c>
      <c r="D505" s="263" t="s">
        <v>2659</v>
      </c>
      <c r="E505" s="263" t="s">
        <v>20</v>
      </c>
      <c r="F505" s="263">
        <v>4</v>
      </c>
      <c r="G505" s="264" t="str">
        <f>'Dry_Litterbag Placem_Collection'!C66</f>
        <v>Dry_P4_T8</v>
      </c>
      <c r="H505" s="273" t="s">
        <v>3651</v>
      </c>
      <c r="I505" s="266" t="s">
        <v>1147</v>
      </c>
      <c r="J505" s="223" t="str">
        <f>'WetLitterbags placem_collection'!O66</f>
        <v>G673</v>
      </c>
      <c r="K505" s="225">
        <f>IFERROR(INDEX('Green_rooibos initial weight'!$C$5:$C$1749,MATCH(J505, 'Green_rooibos initial weight'!$A$5:$A$1749,0)),"")</f>
        <v>2.1160000000000001</v>
      </c>
      <c r="L505" s="225">
        <f>IFERROR(K505-(TBIcalc!$H$9+TBIcalc!$H$10),"")</f>
        <v>1.8662000000000001</v>
      </c>
      <c r="M505" s="391">
        <f>AVERAGE(Ashed_controlls!$K$2:$K$11)</f>
        <v>5.5147656768714146</v>
      </c>
      <c r="N505" s="225">
        <f t="shared" si="39"/>
        <v>1.7632834429382258</v>
      </c>
      <c r="O505" s="225">
        <f>IF(IFERROR(INDEX('Both teabags AfterWet'!$C$3:$C$841,MATCH(J505,'Both teabags AfterWet'!$A$3:$A$841,0)),"")="","",(IFERROR(INDEX('Both teabags AfterWet'!$C$3:$C$841,MATCH(J505,'Both teabags AfterWet'!$A$3:$A$841,0)),"")))</f>
        <v>1.0449999999999999</v>
      </c>
      <c r="P505" s="225">
        <f>IFERROR(IF(O505&gt;0,O505-(TBIcalc!$H$9),""),"")</f>
        <v>0.89439999999999986</v>
      </c>
      <c r="Q505" s="225">
        <f>IFERROR(INDEX('Ashed teabags wet'!$K$2:$K$821,MATCH(J505,'Ashed teabags wet'!$A$2:$A$821,0)),"")</f>
        <v>23.760932944607156</v>
      </c>
      <c r="R505" s="225">
        <f t="shared" si="42"/>
        <v>0.68188221574343344</v>
      </c>
      <c r="S505" s="226">
        <f>'WetLitterbags placem_collection'!E66</f>
        <v>42766</v>
      </c>
      <c r="T505" s="226">
        <f>IF('WetLitterbags placem_collection'!G66="","",'WetLitterbags placem_collection'!G66)</f>
        <v>42820</v>
      </c>
      <c r="U505" s="227">
        <f t="shared" si="38"/>
        <v>54</v>
      </c>
      <c r="V505" s="225">
        <f t="shared" si="40"/>
        <v>0.97180000000000022</v>
      </c>
      <c r="W505" s="225">
        <f t="shared" si="41"/>
        <v>1.0814012271947924</v>
      </c>
      <c r="X505">
        <f>IFERROR(INDEX(Rainfall_Wet!$O$2:$O$217,MATCH(B505, Rainfall_Wet!$A$2:$A$217,0)),"")</f>
        <v>214.262898705</v>
      </c>
      <c r="Y505" s="231">
        <v>25.96</v>
      </c>
      <c r="Z505" s="231">
        <v>6.9200000000000008</v>
      </c>
      <c r="AA505" s="231">
        <v>67.12</v>
      </c>
      <c r="AB505" s="232" t="s">
        <v>2670</v>
      </c>
      <c r="AC505" s="231">
        <v>1.7568260226712666</v>
      </c>
      <c r="AD505">
        <f>IF('WetLitterbags placem_collection'!AB66="","",'WetLitterbags placem_collection'!AB66)</f>
        <v>3</v>
      </c>
      <c r="AE505">
        <f>IF('WetLitterbags placem_collection'!Z66="","",'WetLitterbags placem_collection'!Z66)</f>
        <v>22.8</v>
      </c>
      <c r="AF505" s="246" t="str">
        <f>IF('WetLitterbags placem_collection'!AA66="","",'WetLitterbags placem_collection'!AA66)</f>
        <v>O</v>
      </c>
      <c r="AG505">
        <f>IF('WetLitterbags placem_collection'!AC66="","",'WetLitterbags placem_collection'!AC66)</f>
        <v>1</v>
      </c>
      <c r="AH505" s="240">
        <f>AVERAGE('WetLitterbags placem_collection'!S66,'WetLitterbags placem_collection'!U66)</f>
        <v>34.6</v>
      </c>
      <c r="AI505">
        <f>AVERAGE('WetLitterbags placem_collection'!R66,'WetLitterbags placem_collection'!T66)</f>
        <v>22.7</v>
      </c>
      <c r="AJ505">
        <f>INDEX(Coordinates!$B$2:$B$197,MATCH(G505,Coordinates!$J$2:$J$197,0))</f>
        <v>-3.4063409920000001</v>
      </c>
      <c r="AK505">
        <f>INDEX(Coordinates!$C$2:$C$197,MATCH(G505,Coordinates!$J$2:$J$197,0))</f>
        <v>34.85126004</v>
      </c>
      <c r="AL505" t="str">
        <f>IF(ISNUMBER(SEARCH("C", 'WetLitterbags placem_collection'!X66)),"YES","NO")</f>
        <v>NO</v>
      </c>
      <c r="AM505" t="str">
        <f>IF(ISNUMBER(SEARCH("H", 'WetLitterbags placem_collection'!X66)),"YES","NO")</f>
        <v>NO</v>
      </c>
      <c r="AN505" t="str">
        <f>IF(ISNUMBER(SEARCH("R", 'WetLitterbags placem_collection'!X66)),"YES","NO")</f>
        <v>NO</v>
      </c>
    </row>
    <row r="506" spans="1:40" ht="15" customHeight="1">
      <c r="A506" s="258" t="s">
        <v>2460</v>
      </c>
      <c r="B506" s="263">
        <f>'Dry_Litterbag Placem_Collection'!A67</f>
        <v>65</v>
      </c>
      <c r="C506" s="263" t="str">
        <f>'Dry_Litterbag Placem_Collection'!B67</f>
        <v>Maswa</v>
      </c>
      <c r="D506" s="263" t="s">
        <v>2659</v>
      </c>
      <c r="E506" s="263" t="s">
        <v>2661</v>
      </c>
      <c r="F506" s="263">
        <v>1</v>
      </c>
      <c r="G506" s="264" t="str">
        <f>'Dry_Litterbag Placem_Collection'!C67</f>
        <v>Dry_W1_T1</v>
      </c>
      <c r="H506" s="273" t="s">
        <v>3651</v>
      </c>
      <c r="I506" s="266" t="s">
        <v>1147</v>
      </c>
      <c r="J506" s="223" t="str">
        <f>'WetLitterbags placem_collection'!O67</f>
        <v>G700</v>
      </c>
      <c r="K506" s="225">
        <f>IFERROR(INDEX('Green_rooibos initial weight'!$C$5:$C$1749,MATCH(J506, 'Green_rooibos initial weight'!$A$5:$A$1749,0)),"")</f>
        <v>2.0190000000000001</v>
      </c>
      <c r="L506" s="225">
        <f>IFERROR(K506-(TBIcalc!$H$9+TBIcalc!$H$10),"")</f>
        <v>1.7692000000000001</v>
      </c>
      <c r="M506" s="391">
        <f>AVERAGE(Ashed_controlls!$K$2:$K$11)</f>
        <v>5.5147656768714146</v>
      </c>
      <c r="N506" s="225">
        <f t="shared" si="39"/>
        <v>1.6716327656447911</v>
      </c>
      <c r="O506" s="225">
        <f>IF(IFERROR(INDEX('Both teabags AfterWet'!$C$3:$C$841,MATCH(J506,'Both teabags AfterWet'!$A$3:$A$841,0)),"")="","",(IFERROR(INDEX('Both teabags AfterWet'!$C$3:$C$841,MATCH(J506,'Both teabags AfterWet'!$A$3:$A$841,0)),"")))</f>
        <v>0.82299999999999995</v>
      </c>
      <c r="P506" s="225">
        <f>IFERROR(IF(O506&gt;0,O506-(TBIcalc!$H$9),""),"")</f>
        <v>0.67239999999999989</v>
      </c>
      <c r="Q506" s="225">
        <f>IFERROR(INDEX('Ashed teabags wet'!$K$2:$K$821,MATCH(J506,'Ashed teabags wet'!$A$2:$A$821,0)),"")</f>
        <v>15.626560159760119</v>
      </c>
      <c r="R506" s="225">
        <f t="shared" si="42"/>
        <v>0.56732700948577286</v>
      </c>
      <c r="S506" s="226">
        <f>'WetLitterbags placem_collection'!E67</f>
        <v>42767</v>
      </c>
      <c r="T506" s="226">
        <f>IF('WetLitterbags placem_collection'!G67="","",'WetLitterbags placem_collection'!G67)</f>
        <v>42818</v>
      </c>
      <c r="U506" s="227">
        <f t="shared" si="38"/>
        <v>51</v>
      </c>
      <c r="V506" s="225">
        <f t="shared" si="40"/>
        <v>1.0968000000000002</v>
      </c>
      <c r="W506" s="225">
        <f t="shared" si="41"/>
        <v>1.1043057561590182</v>
      </c>
      <c r="X506">
        <f>IFERROR(INDEX(Rainfall_Wet!$O$2:$O$217,MATCH(B506, Rainfall_Wet!$A$2:$A$217,0)),"")</f>
        <v>185.630065823</v>
      </c>
      <c r="Y506" s="231">
        <v>47.96</v>
      </c>
      <c r="Z506" s="231">
        <v>22.919999999999995</v>
      </c>
      <c r="AA506" s="231">
        <v>29.120000000000012</v>
      </c>
      <c r="AB506" s="232" t="s">
        <v>2673</v>
      </c>
      <c r="AC506" s="231">
        <v>2.8831936914736325</v>
      </c>
      <c r="AD506">
        <f>IF('WetLitterbags placem_collection'!AB67="","",'WetLitterbags placem_collection'!AB67)</f>
        <v>13.8</v>
      </c>
      <c r="AE506">
        <f>IF('WetLitterbags placem_collection'!Z67="","",'WetLitterbags placem_collection'!Z67)</f>
        <v>13.8</v>
      </c>
      <c r="AF506" s="246" t="str">
        <f>IF('WetLitterbags placem_collection'!AA67="","",'WetLitterbags placem_collection'!AA67)</f>
        <v>O</v>
      </c>
      <c r="AG506">
        <f>IF('WetLitterbags placem_collection'!AC67="","",'WetLitterbags placem_collection'!AC67)</f>
        <v>1</v>
      </c>
      <c r="AH506" s="240">
        <f>AVERAGE('WetLitterbags placem_collection'!S67,'WetLitterbags placem_collection'!U67)</f>
        <v>32.299999999999997</v>
      </c>
      <c r="AI506">
        <f>AVERAGE('WetLitterbags placem_collection'!R67,'WetLitterbags placem_collection'!T67)</f>
        <v>22.75</v>
      </c>
      <c r="AJ506">
        <f>INDEX(Coordinates!$B$2:$B$197,MATCH(G506,Coordinates!$J$2:$J$197,0))</f>
        <v>-3.2993960379999998</v>
      </c>
      <c r="AK506">
        <f>INDEX(Coordinates!$C$2:$C$197,MATCH(G506,Coordinates!$J$2:$J$197,0))</f>
        <v>34.848240959999998</v>
      </c>
      <c r="AL506" t="str">
        <f>IF(ISNUMBER(SEARCH("C", 'WetLitterbags placem_collection'!X67)),"YES","NO")</f>
        <v>NO</v>
      </c>
      <c r="AM506" t="str">
        <f>IF(ISNUMBER(SEARCH("H", 'WetLitterbags placem_collection'!X67)),"YES","NO")</f>
        <v>NO</v>
      </c>
      <c r="AN506" t="str">
        <f>IF(ISNUMBER(SEARCH("R", 'WetLitterbags placem_collection'!X67)),"YES","NO")</f>
        <v>YES</v>
      </c>
    </row>
    <row r="507" spans="1:40" ht="15" customHeight="1">
      <c r="A507" s="258" t="s">
        <v>2460</v>
      </c>
      <c r="B507" s="263">
        <f>'Dry_Litterbag Placem_Collection'!A68</f>
        <v>66</v>
      </c>
      <c r="C507" s="263" t="str">
        <f>'Dry_Litterbag Placem_Collection'!B68</f>
        <v>Maswa</v>
      </c>
      <c r="D507" s="263" t="s">
        <v>2659</v>
      </c>
      <c r="E507" s="263" t="s">
        <v>2661</v>
      </c>
      <c r="F507" s="263">
        <v>1</v>
      </c>
      <c r="G507" s="264" t="str">
        <f>'Dry_Litterbag Placem_Collection'!C68</f>
        <v>Dry_W1_T2</v>
      </c>
      <c r="H507" s="273" t="s">
        <v>3651</v>
      </c>
      <c r="I507" s="266" t="s">
        <v>1147</v>
      </c>
      <c r="J507" s="223" t="str">
        <f>'WetLitterbags placem_collection'!O68</f>
        <v>G760</v>
      </c>
      <c r="K507" s="225">
        <f>IFERROR(INDEX('Green_rooibos initial weight'!$C$5:$C$1749,MATCH(J507, 'Green_rooibos initial weight'!$A$5:$A$1749,0)),"")</f>
        <v>1.948</v>
      </c>
      <c r="L507" s="225">
        <f>IFERROR(K507-(TBIcalc!$H$9+TBIcalc!$H$10),"")</f>
        <v>1.6981999999999999</v>
      </c>
      <c r="M507" s="391">
        <f>AVERAGE(Ashed_controlls!$K$2:$K$11)</f>
        <v>5.5147656768714146</v>
      </c>
      <c r="N507" s="225">
        <f t="shared" si="39"/>
        <v>1.6045482492753695</v>
      </c>
      <c r="O507" s="225">
        <f>IF(IFERROR(INDEX('Both teabags AfterWet'!$C$3:$C$841,MATCH(J507,'Both teabags AfterWet'!$A$3:$A$841,0)),"")="","",(IFERROR(INDEX('Both teabags AfterWet'!$C$3:$C$841,MATCH(J507,'Both teabags AfterWet'!$A$3:$A$841,0)),"")))</f>
        <v>0.93500000000000005</v>
      </c>
      <c r="P507" s="225">
        <f>IFERROR(IF(O507&gt;0,O507-(TBIcalc!$H$9),""),"")</f>
        <v>0.78439999999999999</v>
      </c>
      <c r="Q507" s="225">
        <f>IFERROR(INDEX('Ashed teabags wet'!$K$2:$K$821,MATCH(J507,'Ashed teabags wet'!$A$2:$A$821,0)),"")</f>
        <v>12.432959531935326</v>
      </c>
      <c r="R507" s="225">
        <f t="shared" si="42"/>
        <v>0.68687586543149926</v>
      </c>
      <c r="S507" s="226">
        <f>'WetLitterbags placem_collection'!E68</f>
        <v>42767</v>
      </c>
      <c r="T507" s="226">
        <f>IF('WetLitterbags placem_collection'!G68="","",'WetLitterbags placem_collection'!G68)</f>
        <v>42818</v>
      </c>
      <c r="U507" s="227">
        <f t="shared" si="38"/>
        <v>51</v>
      </c>
      <c r="V507" s="225">
        <f t="shared" si="40"/>
        <v>0.91379999999999995</v>
      </c>
      <c r="W507" s="225">
        <f t="shared" si="41"/>
        <v>0.91767238384387029</v>
      </c>
      <c r="X507">
        <f>IFERROR(INDEX(Rainfall_Wet!$O$2:$O$217,MATCH(B507, Rainfall_Wet!$A$2:$A$217,0)),"")</f>
        <v>185.630065823</v>
      </c>
      <c r="Y507" s="231">
        <v>47.96</v>
      </c>
      <c r="Z507" s="231">
        <v>22.919999999999995</v>
      </c>
      <c r="AA507" s="231">
        <v>29.120000000000012</v>
      </c>
      <c r="AB507" s="232" t="s">
        <v>2673</v>
      </c>
      <c r="AC507" s="231">
        <v>3.8831936914736298</v>
      </c>
      <c r="AD507">
        <f>IF('WetLitterbags placem_collection'!AB68="","",'WetLitterbags placem_collection'!AB68)</f>
        <v>8</v>
      </c>
      <c r="AE507">
        <f>IF('WetLitterbags placem_collection'!Z68="","",'WetLitterbags placem_collection'!Z68)</f>
        <v>19.8</v>
      </c>
      <c r="AF507" s="246" t="str">
        <f>IF('WetLitterbags placem_collection'!AA68="","",'WetLitterbags placem_collection'!AA68)</f>
        <v>O</v>
      </c>
      <c r="AG507">
        <f>IF('WetLitterbags placem_collection'!AC68="","",'WetLitterbags placem_collection'!AC68)</f>
        <v>1</v>
      </c>
      <c r="AH507" s="240">
        <f>AVERAGE('WetLitterbags placem_collection'!S68,'WetLitterbags placem_collection'!U68)</f>
        <v>30.6</v>
      </c>
      <c r="AI507">
        <f>AVERAGE('WetLitterbags placem_collection'!R68,'WetLitterbags placem_collection'!T68)</f>
        <v>21.95</v>
      </c>
      <c r="AJ507">
        <f>INDEX(Coordinates!$B$2:$B$197,MATCH(G507,Coordinates!$J$2:$J$197,0))</f>
        <v>-3.2993090340000002</v>
      </c>
      <c r="AK507">
        <f>INDEX(Coordinates!$C$2:$C$197,MATCH(G507,Coordinates!$J$2:$J$197,0))</f>
        <v>34.848404989999999</v>
      </c>
      <c r="AL507" t="str">
        <f>IF(ISNUMBER(SEARCH("C", 'WetLitterbags placem_collection'!X68)),"YES","NO")</f>
        <v>NO</v>
      </c>
      <c r="AM507" t="str">
        <f>IF(ISNUMBER(SEARCH("H", 'WetLitterbags placem_collection'!X68)),"YES","NO")</f>
        <v>NO</v>
      </c>
      <c r="AN507" t="str">
        <f>IF(ISNUMBER(SEARCH("R", 'WetLitterbags placem_collection'!X68)),"YES","NO")</f>
        <v>YES</v>
      </c>
    </row>
    <row r="508" spans="1:40" ht="15" customHeight="1">
      <c r="A508" s="258" t="s">
        <v>2460</v>
      </c>
      <c r="B508" s="263">
        <f>'Dry_Litterbag Placem_Collection'!A69</f>
        <v>67</v>
      </c>
      <c r="C508" s="263" t="str">
        <f>'Dry_Litterbag Placem_Collection'!B69</f>
        <v>Maswa</v>
      </c>
      <c r="D508" s="263" t="s">
        <v>2659</v>
      </c>
      <c r="E508" s="263" t="s">
        <v>2661</v>
      </c>
      <c r="F508" s="263">
        <v>1</v>
      </c>
      <c r="G508" s="264" t="str">
        <f>'Dry_Litterbag Placem_Collection'!C69</f>
        <v>Dry_W1_T3</v>
      </c>
      <c r="H508" s="273" t="s">
        <v>3651</v>
      </c>
      <c r="I508" s="266" t="s">
        <v>1147</v>
      </c>
      <c r="J508" s="223" t="str">
        <f>'WetLitterbags placem_collection'!O69</f>
        <v>G660</v>
      </c>
      <c r="K508" s="225">
        <f>IFERROR(INDEX('Green_rooibos initial weight'!$C$5:$C$1749,MATCH(J508, 'Green_rooibos initial weight'!$A$5:$A$1749,0)),"")</f>
        <v>2.0339999999999998</v>
      </c>
      <c r="L508" s="225">
        <f>IFERROR(K508-(TBIcalc!$H$9+TBIcalc!$H$10),"")</f>
        <v>1.7841999999999998</v>
      </c>
      <c r="M508" s="391">
        <f>AVERAGE(Ashed_controlls!$K$2:$K$11)</f>
        <v>5.5147656768714146</v>
      </c>
      <c r="N508" s="225">
        <f t="shared" si="39"/>
        <v>1.6858055507932601</v>
      </c>
      <c r="O508" s="225">
        <f>IF(IFERROR(INDEX('Both teabags AfterWet'!$C$3:$C$841,MATCH(J508,'Both teabags AfterWet'!$A$3:$A$841,0)),"")="","",(IFERROR(INDEX('Both teabags AfterWet'!$C$3:$C$841,MATCH(J508,'Both teabags AfterWet'!$A$3:$A$841,0)),"")))</f>
        <v>0.92510000000000003</v>
      </c>
      <c r="P508" s="225">
        <f>IFERROR(IF(O508&gt;0,O508-(TBIcalc!$H$9),""),"")</f>
        <v>0.77449999999999997</v>
      </c>
      <c r="Q508" s="225">
        <f>IFERROR(INDEX('Ashed teabags wet'!$K$2:$K$821,MATCH(J508,'Ashed teabags wet'!$A$2:$A$821,0)),"")</f>
        <v>10.402684563757722</v>
      </c>
      <c r="R508" s="225">
        <f t="shared" si="42"/>
        <v>0.69393120805369646</v>
      </c>
      <c r="S508" s="226">
        <f>'WetLitterbags placem_collection'!E69</f>
        <v>42767</v>
      </c>
      <c r="T508" s="226">
        <f>IF('WetLitterbags placem_collection'!G69="","",'WetLitterbags placem_collection'!G69)</f>
        <v>42818</v>
      </c>
      <c r="U508" s="227">
        <f t="shared" si="38"/>
        <v>51</v>
      </c>
      <c r="V508" s="225">
        <f t="shared" si="40"/>
        <v>1.0096999999999998</v>
      </c>
      <c r="W508" s="225">
        <f t="shared" si="41"/>
        <v>0.99187434273956365</v>
      </c>
      <c r="X508">
        <f>IFERROR(INDEX(Rainfall_Wet!$O$2:$O$217,MATCH(B508, Rainfall_Wet!$A$2:$A$217,0)),"")</f>
        <v>185.630065823</v>
      </c>
      <c r="Y508" s="231">
        <v>47.96</v>
      </c>
      <c r="Z508" s="231">
        <v>22.919999999999995</v>
      </c>
      <c r="AA508" s="231">
        <v>29.120000000000012</v>
      </c>
      <c r="AB508" s="232" t="s">
        <v>2673</v>
      </c>
      <c r="AC508" s="231">
        <v>4.8831936914736298</v>
      </c>
      <c r="AD508">
        <f>IF('WetLitterbags placem_collection'!AB69="","",'WetLitterbags placem_collection'!AB69)</f>
        <v>5.5</v>
      </c>
      <c r="AE508">
        <f>IF('WetLitterbags placem_collection'!Z69="","",'WetLitterbags placem_collection'!Z69)</f>
        <v>5.5</v>
      </c>
      <c r="AF508" s="246" t="str">
        <f>IF('WetLitterbags placem_collection'!AA69="","",'WetLitterbags placem_collection'!AA69)</f>
        <v>O</v>
      </c>
      <c r="AG508">
        <f>IF('WetLitterbags placem_collection'!AC69="","",'WetLitterbags placem_collection'!AC69)</f>
        <v>1</v>
      </c>
      <c r="AH508" s="240">
        <f>AVERAGE('WetLitterbags placem_collection'!S69,'WetLitterbags placem_collection'!U69)</f>
        <v>29.9</v>
      </c>
      <c r="AI508">
        <f>AVERAGE('WetLitterbags placem_collection'!R69,'WetLitterbags placem_collection'!T69)</f>
        <v>20.7</v>
      </c>
      <c r="AJ508">
        <f>INDEX(Coordinates!$B$2:$B$197,MATCH(G508,Coordinates!$J$2:$J$197,0))</f>
        <v>-3.299434008</v>
      </c>
      <c r="AK508">
        <f>INDEX(Coordinates!$C$2:$C$197,MATCH(G508,Coordinates!$J$2:$J$197,0))</f>
        <v>34.848514960000003</v>
      </c>
      <c r="AL508" t="str">
        <f>IF(ISNUMBER(SEARCH("C", 'WetLitterbags placem_collection'!X69)),"YES","NO")</f>
        <v>NO</v>
      </c>
      <c r="AM508" t="str">
        <f>IF(ISNUMBER(SEARCH("H", 'WetLitterbags placem_collection'!X69)),"YES","NO")</f>
        <v>NO</v>
      </c>
      <c r="AN508" t="str">
        <f>IF(ISNUMBER(SEARCH("R", 'WetLitterbags placem_collection'!X69)),"YES","NO")</f>
        <v>YES</v>
      </c>
    </row>
    <row r="509" spans="1:40" ht="15" customHeight="1">
      <c r="A509" s="258" t="s">
        <v>2460</v>
      </c>
      <c r="B509" s="263">
        <f>'Dry_Litterbag Placem_Collection'!A70</f>
        <v>68</v>
      </c>
      <c r="C509" s="263" t="str">
        <f>'Dry_Litterbag Placem_Collection'!B70</f>
        <v>Maswa</v>
      </c>
      <c r="D509" s="263" t="s">
        <v>2659</v>
      </c>
      <c r="E509" s="263" t="s">
        <v>2661</v>
      </c>
      <c r="F509" s="263">
        <v>1</v>
      </c>
      <c r="G509" s="264" t="str">
        <f>'Dry_Litterbag Placem_Collection'!C70</f>
        <v>Dry_W1_T4</v>
      </c>
      <c r="H509" s="273" t="s">
        <v>3651</v>
      </c>
      <c r="I509" s="266" t="s">
        <v>1147</v>
      </c>
      <c r="J509" s="223" t="str">
        <f>'WetLitterbags placem_collection'!O70</f>
        <v>G477</v>
      </c>
      <c r="K509" s="225">
        <f>IFERROR(INDEX('Green_rooibos initial weight'!$C$5:$C$1749,MATCH(J509, 'Green_rooibos initial weight'!$A$5:$A$1749,0)),"")</f>
        <v>2.073</v>
      </c>
      <c r="L509" s="225">
        <f>IFERROR(K509-(TBIcalc!$H$9+TBIcalc!$H$10),"")</f>
        <v>1.8231999999999999</v>
      </c>
      <c r="M509" s="391">
        <f>AVERAGE(Ashed_controlls!$K$2:$K$11)</f>
        <v>5.5147656768714146</v>
      </c>
      <c r="N509" s="225">
        <f t="shared" si="39"/>
        <v>1.7226547921792803</v>
      </c>
      <c r="O509" s="225">
        <f>IF(IFERROR(INDEX('Both teabags AfterWet'!$C$3:$C$841,MATCH(J509,'Both teabags AfterWet'!$A$3:$A$841,0)),"")="","",(IFERROR(INDEX('Both teabags AfterWet'!$C$3:$C$841,MATCH(J509,'Both teabags AfterWet'!$A$3:$A$841,0)),"")))</f>
        <v>0.90500000000000003</v>
      </c>
      <c r="P509" s="225">
        <f>IFERROR(IF(O509&gt;0,O509-(TBIcalc!$H$9),""),"")</f>
        <v>0.75439999999999996</v>
      </c>
      <c r="Q509" s="225">
        <f>IFERROR(INDEX('Ashed teabags wet'!$K$2:$K$821,MATCH(J509,'Ashed teabags wet'!$A$2:$A$821,0)),"")</f>
        <v>16.691358024691656</v>
      </c>
      <c r="R509" s="225">
        <f t="shared" si="42"/>
        <v>0.62848039506172615</v>
      </c>
      <c r="S509" s="226">
        <f>'WetLitterbags placem_collection'!E70</f>
        <v>42767</v>
      </c>
      <c r="T509" s="226">
        <f>IF('WetLitterbags placem_collection'!G70="","",'WetLitterbags placem_collection'!G70)</f>
        <v>42818</v>
      </c>
      <c r="U509" s="227">
        <f t="shared" si="38"/>
        <v>51</v>
      </c>
      <c r="V509" s="225">
        <f t="shared" si="40"/>
        <v>1.0688</v>
      </c>
      <c r="W509" s="225">
        <f t="shared" si="41"/>
        <v>1.0941743971175542</v>
      </c>
      <c r="X509">
        <f>IFERROR(INDEX(Rainfall_Wet!$O$2:$O$217,MATCH(B509, Rainfall_Wet!$A$2:$A$217,0)),"")</f>
        <v>185.630065823</v>
      </c>
      <c r="Y509" s="231">
        <v>47.96</v>
      </c>
      <c r="Z509" s="231">
        <v>22.919999999999995</v>
      </c>
      <c r="AA509" s="231">
        <v>29.120000000000012</v>
      </c>
      <c r="AB509" s="232" t="s">
        <v>2673</v>
      </c>
      <c r="AC509" s="231">
        <v>5.8831936914736298</v>
      </c>
      <c r="AD509">
        <f>IF('WetLitterbags placem_collection'!AB70="","",'WetLitterbags placem_collection'!AB70)</f>
        <v>9.6999999999999993</v>
      </c>
      <c r="AE509">
        <f>IF('WetLitterbags placem_collection'!Z70="","",'WetLitterbags placem_collection'!Z70)</f>
        <v>23.4</v>
      </c>
      <c r="AF509" s="246" t="str">
        <f>IF('WetLitterbags placem_collection'!AA70="","",'WetLitterbags placem_collection'!AA70)</f>
        <v>O</v>
      </c>
      <c r="AG509">
        <f>IF('WetLitterbags placem_collection'!AC70="","",'WetLitterbags placem_collection'!AC70)</f>
        <v>1</v>
      </c>
      <c r="AH509" s="240">
        <f>AVERAGE('WetLitterbags placem_collection'!S70,'WetLitterbags placem_collection'!U70)</f>
        <v>29.85</v>
      </c>
      <c r="AI509">
        <f>AVERAGE('WetLitterbags placem_collection'!R70,'WetLitterbags placem_collection'!T70)</f>
        <v>21.2</v>
      </c>
      <c r="AJ509">
        <f>INDEX(Coordinates!$B$2:$B$197,MATCH(G509,Coordinates!$J$2:$J$197,0))</f>
        <v>-3.2991180099999999</v>
      </c>
      <c r="AK509">
        <f>INDEX(Coordinates!$C$2:$C$197,MATCH(G509,Coordinates!$J$2:$J$197,0))</f>
        <v>34.84824699</v>
      </c>
      <c r="AL509" t="str">
        <f>IF(ISNUMBER(SEARCH("C", 'WetLitterbags placem_collection'!X70)),"YES","NO")</f>
        <v>NO</v>
      </c>
      <c r="AM509" t="str">
        <f>IF(ISNUMBER(SEARCH("H", 'WetLitterbags placem_collection'!X70)),"YES","NO")</f>
        <v>NO</v>
      </c>
      <c r="AN509" t="str">
        <f>IF(ISNUMBER(SEARCH("R", 'WetLitterbags placem_collection'!X70)),"YES","NO")</f>
        <v>YES</v>
      </c>
    </row>
    <row r="510" spans="1:40" ht="15" customHeight="1">
      <c r="A510" s="258" t="s">
        <v>2460</v>
      </c>
      <c r="B510" s="263">
        <f>'Dry_Litterbag Placem_Collection'!A71</f>
        <v>69</v>
      </c>
      <c r="C510" s="263" t="str">
        <f>'Dry_Litterbag Placem_Collection'!B71</f>
        <v>Maswa</v>
      </c>
      <c r="D510" s="263" t="s">
        <v>2659</v>
      </c>
      <c r="E510" s="263" t="s">
        <v>2661</v>
      </c>
      <c r="F510" s="263">
        <v>1</v>
      </c>
      <c r="G510" s="264" t="str">
        <f>'Dry_Litterbag Placem_Collection'!C71</f>
        <v>Dry_W1_T5</v>
      </c>
      <c r="H510" s="273" t="s">
        <v>3651</v>
      </c>
      <c r="I510" s="266" t="s">
        <v>1147</v>
      </c>
      <c r="J510" s="223" t="str">
        <f>'WetLitterbags placem_collection'!O71</f>
        <v>G386</v>
      </c>
      <c r="K510" s="225">
        <f>IFERROR(INDEX('Green_rooibos initial weight'!$C$5:$C$1749,MATCH(J510, 'Green_rooibos initial weight'!$A$5:$A$1749,0)),"")</f>
        <v>1.897</v>
      </c>
      <c r="L510" s="225">
        <f>IFERROR(K510-(TBIcalc!$H$9+TBIcalc!$H$10),"")</f>
        <v>1.6472</v>
      </c>
      <c r="M510" s="391">
        <f>AVERAGE(Ashed_controlls!$K$2:$K$11)</f>
        <v>5.5147656768714146</v>
      </c>
      <c r="N510" s="225">
        <f t="shared" si="39"/>
        <v>1.5563607797705741</v>
      </c>
      <c r="O510" s="225">
        <f>IF(IFERROR(INDEX('Both teabags AfterWet'!$C$3:$C$841,MATCH(J510,'Both teabags AfterWet'!$A$3:$A$841,0)),"")="","",(IFERROR(INDEX('Both teabags AfterWet'!$C$3:$C$841,MATCH(J510,'Both teabags AfterWet'!$A$3:$A$841,0)),"")))</f>
        <v>0.98899999999999999</v>
      </c>
      <c r="P510" s="225">
        <f>IFERROR(IF(O510&gt;0,O510-(TBIcalc!$H$9),""),"")</f>
        <v>0.83840000000000003</v>
      </c>
      <c r="Q510" s="225">
        <f>IFERROR(INDEX('Ashed teabags wet'!$K$2:$K$821,MATCH(J510,'Ashed teabags wet'!$A$2:$A$821,0)),"")</f>
        <v>28.64945382323781</v>
      </c>
      <c r="R510" s="225">
        <f t="shared" si="42"/>
        <v>0.5982029791459742</v>
      </c>
      <c r="S510" s="226">
        <f>'WetLitterbags placem_collection'!E71</f>
        <v>42767</v>
      </c>
      <c r="T510" s="226">
        <f>IF('WetLitterbags placem_collection'!G71="","",'WetLitterbags placem_collection'!G71)</f>
        <v>42818</v>
      </c>
      <c r="U510" s="227">
        <f t="shared" si="38"/>
        <v>51</v>
      </c>
      <c r="V510" s="225">
        <f t="shared" si="40"/>
        <v>0.80879999999999996</v>
      </c>
      <c r="W510" s="225">
        <f t="shared" si="41"/>
        <v>0.95815780062459988</v>
      </c>
      <c r="X510">
        <f>IFERROR(INDEX(Rainfall_Wet!$O$2:$O$217,MATCH(B510, Rainfall_Wet!$A$2:$A$217,0)),"")</f>
        <v>185.630065823</v>
      </c>
      <c r="Y510" s="231">
        <v>47.96</v>
      </c>
      <c r="Z510" s="231">
        <v>22.919999999999995</v>
      </c>
      <c r="AA510" s="231">
        <v>29.120000000000012</v>
      </c>
      <c r="AB510" s="232" t="s">
        <v>2673</v>
      </c>
      <c r="AC510" s="231">
        <v>6.8831936914736298</v>
      </c>
      <c r="AD510">
        <f>IF('WetLitterbags placem_collection'!AB71="","",'WetLitterbags placem_collection'!AB71)</f>
        <v>14.4</v>
      </c>
      <c r="AE510">
        <f>IF('WetLitterbags placem_collection'!Z71="","",'WetLitterbags placem_collection'!Z71)</f>
        <v>24.4</v>
      </c>
      <c r="AF510" s="246" t="str">
        <f>IF('WetLitterbags placem_collection'!AA71="","",'WetLitterbags placem_collection'!AA71)</f>
        <v>O</v>
      </c>
      <c r="AG510">
        <f>IF('WetLitterbags placem_collection'!AC71="","",'WetLitterbags placem_collection'!AC71)</f>
        <v>1</v>
      </c>
      <c r="AH510" s="240">
        <f>AVERAGE('WetLitterbags placem_collection'!S71,'WetLitterbags placem_collection'!U71)</f>
        <v>31.25</v>
      </c>
      <c r="AI510">
        <f>AVERAGE('WetLitterbags placem_collection'!R71,'WetLitterbags placem_collection'!T71)</f>
        <v>23.450000000000003</v>
      </c>
      <c r="AJ510">
        <f>INDEX(Coordinates!$B$2:$B$197,MATCH(G510,Coordinates!$J$2:$J$197,0))</f>
        <v>-3.2993180030000002</v>
      </c>
      <c r="AK510">
        <f>INDEX(Coordinates!$C$2:$C$197,MATCH(G510,Coordinates!$J$2:$J$197,0))</f>
        <v>34.848235010000003</v>
      </c>
      <c r="AL510" t="str">
        <f>IF(ISNUMBER(SEARCH("C", 'WetLitterbags placem_collection'!X71)),"YES","NO")</f>
        <v>NO</v>
      </c>
      <c r="AM510" t="str">
        <f>IF(ISNUMBER(SEARCH("H", 'WetLitterbags placem_collection'!X71)),"YES","NO")</f>
        <v>NO</v>
      </c>
      <c r="AN510" t="str">
        <f>IF(ISNUMBER(SEARCH("R", 'WetLitterbags placem_collection'!X71)),"YES","NO")</f>
        <v>YES</v>
      </c>
    </row>
    <row r="511" spans="1:40" ht="15" customHeight="1">
      <c r="A511" s="258" t="s">
        <v>2460</v>
      </c>
      <c r="B511" s="263">
        <f>'Dry_Litterbag Placem_Collection'!A72</f>
        <v>70</v>
      </c>
      <c r="C511" s="263" t="str">
        <f>'Dry_Litterbag Placem_Collection'!B72</f>
        <v>Maswa</v>
      </c>
      <c r="D511" s="263" t="s">
        <v>2659</v>
      </c>
      <c r="E511" s="263" t="s">
        <v>2661</v>
      </c>
      <c r="F511" s="263">
        <v>1</v>
      </c>
      <c r="G511" s="264" t="str">
        <f>'Dry_Litterbag Placem_Collection'!C72</f>
        <v>Dry_W1_T6</v>
      </c>
      <c r="H511" s="273" t="s">
        <v>3651</v>
      </c>
      <c r="I511" s="266" t="s">
        <v>1147</v>
      </c>
      <c r="J511" s="223" t="str">
        <f>'WetLitterbags placem_collection'!O72</f>
        <v>G414</v>
      </c>
      <c r="K511" s="225">
        <f>IFERROR(INDEX('Green_rooibos initial weight'!$C$5:$C$1749,MATCH(J511, 'Green_rooibos initial weight'!$A$5:$A$1749,0)),"")</f>
        <v>2.0590000000000002</v>
      </c>
      <c r="L511" s="225">
        <f>IFERROR(K511-(TBIcalc!$H$9+TBIcalc!$H$10),"")</f>
        <v>1.8092000000000001</v>
      </c>
      <c r="M511" s="391">
        <f>AVERAGE(Ashed_controlls!$K$2:$K$11)</f>
        <v>5.5147656768714146</v>
      </c>
      <c r="N511" s="225">
        <f t="shared" si="39"/>
        <v>1.7094268593740425</v>
      </c>
      <c r="O511" s="225">
        <f>IF(IFERROR(INDEX('Both teabags AfterWet'!$C$3:$C$841,MATCH(J511,'Both teabags AfterWet'!$A$3:$A$841,0)),"")="","",(IFERROR(INDEX('Both teabags AfterWet'!$C$3:$C$841,MATCH(J511,'Both teabags AfterWet'!$A$3:$A$841,0)),"")))</f>
        <v>0.84099999999999997</v>
      </c>
      <c r="P511" s="225">
        <f>IFERROR(IF(O511&gt;0,O511-(TBIcalc!$H$9),""),"")</f>
        <v>0.6903999999999999</v>
      </c>
      <c r="Q511" s="225">
        <f>IFERROR(INDEX('Ashed teabags wet'!$K$2:$K$821,MATCH(J511,'Ashed teabags wet'!$A$2:$A$821,0)),"")</f>
        <v>8.7493821057836652</v>
      </c>
      <c r="R511" s="225">
        <f t="shared" si="42"/>
        <v>0.62999426594166952</v>
      </c>
      <c r="S511" s="226">
        <f>'WetLitterbags placem_collection'!E72</f>
        <v>42767</v>
      </c>
      <c r="T511" s="226">
        <f>IF('WetLitterbags placem_collection'!G72="","",'WetLitterbags placem_collection'!G72)</f>
        <v>42818</v>
      </c>
      <c r="U511" s="227">
        <f t="shared" si="38"/>
        <v>51</v>
      </c>
      <c r="V511" s="225">
        <f t="shared" si="40"/>
        <v>1.1188000000000002</v>
      </c>
      <c r="W511" s="225">
        <f t="shared" si="41"/>
        <v>1.079432593432373</v>
      </c>
      <c r="X511">
        <f>IFERROR(INDEX(Rainfall_Wet!$O$2:$O$217,MATCH(B511, Rainfall_Wet!$A$2:$A$217,0)),"")</f>
        <v>185.630065823</v>
      </c>
      <c r="Y511" s="231">
        <v>47.96</v>
      </c>
      <c r="Z511" s="231">
        <v>22.919999999999995</v>
      </c>
      <c r="AA511" s="231">
        <v>29.120000000000012</v>
      </c>
      <c r="AB511" s="232" t="s">
        <v>2673</v>
      </c>
      <c r="AC511" s="231">
        <v>7.8831936914736298</v>
      </c>
      <c r="AD511">
        <f>IF('WetLitterbags placem_collection'!AB72="","",'WetLitterbags placem_collection'!AB72)</f>
        <v>15</v>
      </c>
      <c r="AE511">
        <f>IF('WetLitterbags placem_collection'!Z72="","",'WetLitterbags placem_collection'!Z72)</f>
        <v>28</v>
      </c>
      <c r="AF511" s="246" t="str">
        <f>IF('WetLitterbags placem_collection'!AA72="","",'WetLitterbags placem_collection'!AA72)</f>
        <v>O</v>
      </c>
      <c r="AG511">
        <f>IF('WetLitterbags placem_collection'!AC72="","",'WetLitterbags placem_collection'!AC72)</f>
        <v>0</v>
      </c>
      <c r="AH511" s="240">
        <f>AVERAGE('WetLitterbags placem_collection'!S72,'WetLitterbags placem_collection'!U72)</f>
        <v>32.15</v>
      </c>
      <c r="AI511">
        <f>AVERAGE('WetLitterbags placem_collection'!R72,'WetLitterbags placem_collection'!T72)</f>
        <v>23.7</v>
      </c>
      <c r="AJ511">
        <f>INDEX(Coordinates!$B$2:$B$197,MATCH(G511,Coordinates!$J$2:$J$197,0))</f>
        <v>-3.299381034</v>
      </c>
      <c r="AK511">
        <f>INDEX(Coordinates!$C$2:$C$197,MATCH(G511,Coordinates!$J$2:$J$197,0))</f>
        <v>34.848312040000003</v>
      </c>
      <c r="AL511" t="str">
        <f>IF(ISNUMBER(SEARCH("C", 'WetLitterbags placem_collection'!X72)),"YES","NO")</f>
        <v>NO</v>
      </c>
      <c r="AM511" t="str">
        <f>IF(ISNUMBER(SEARCH("H", 'WetLitterbags placem_collection'!X72)),"YES","NO")</f>
        <v>NO</v>
      </c>
      <c r="AN511" t="str">
        <f>IF(ISNUMBER(SEARCH("R", 'WetLitterbags placem_collection'!X72)),"YES","NO")</f>
        <v>YES</v>
      </c>
    </row>
    <row r="512" spans="1:40" ht="15" customHeight="1">
      <c r="A512" s="258" t="s">
        <v>2460</v>
      </c>
      <c r="B512" s="263">
        <f>'Dry_Litterbag Placem_Collection'!A73</f>
        <v>71</v>
      </c>
      <c r="C512" s="263" t="str">
        <f>'Dry_Litterbag Placem_Collection'!B73</f>
        <v>Maswa</v>
      </c>
      <c r="D512" s="263" t="s">
        <v>2659</v>
      </c>
      <c r="E512" s="263" t="s">
        <v>2661</v>
      </c>
      <c r="F512" s="263">
        <v>1</v>
      </c>
      <c r="G512" s="264" t="str">
        <f>'Dry_Litterbag Placem_Collection'!C73</f>
        <v>Dry_W1_T7</v>
      </c>
      <c r="H512" s="273" t="s">
        <v>3651</v>
      </c>
      <c r="I512" s="266" t="s">
        <v>1147</v>
      </c>
      <c r="J512" s="223" t="str">
        <f>'WetLitterbags placem_collection'!O73</f>
        <v>G459</v>
      </c>
      <c r="K512" s="225">
        <f>IFERROR(INDEX('Green_rooibos initial weight'!$C$5:$C$1749,MATCH(J512, 'Green_rooibos initial weight'!$A$5:$A$1749,0)),"")</f>
        <v>2.0449999999999999</v>
      </c>
      <c r="L512" s="225">
        <f>IFERROR(K512-(TBIcalc!$H$9+TBIcalc!$H$10),"")</f>
        <v>1.7951999999999999</v>
      </c>
      <c r="M512" s="391">
        <f>AVERAGE(Ashed_controlls!$K$2:$K$11)</f>
        <v>5.5147656768714146</v>
      </c>
      <c r="N512" s="225">
        <f t="shared" si="39"/>
        <v>1.6961989265688042</v>
      </c>
      <c r="O512" s="225">
        <f>IF(IFERROR(INDEX('Both teabags AfterWet'!$C$3:$C$841,MATCH(J512,'Both teabags AfterWet'!$A$3:$A$841,0)),"")="","",(IFERROR(INDEX('Both teabags AfterWet'!$C$3:$C$841,MATCH(J512,'Both teabags AfterWet'!$A$3:$A$841,0)),"")))</f>
        <v>0.89149999999999996</v>
      </c>
      <c r="P512" s="225">
        <f>IFERROR(IF(O512&gt;0,O512-(TBIcalc!$H$9),""),"")</f>
        <v>0.74089999999999989</v>
      </c>
      <c r="Q512" s="225">
        <f>IFERROR(INDEX('Ashed teabags wet'!$K$2:$K$821,MATCH(J512,'Ashed teabags wet'!$A$2:$A$821,0)),"")</f>
        <v>7.7519379844959557</v>
      </c>
      <c r="R512" s="225">
        <f t="shared" si="42"/>
        <v>0.6834658914728694</v>
      </c>
      <c r="S512" s="226">
        <f>'WetLitterbags placem_collection'!E73</f>
        <v>42767</v>
      </c>
      <c r="T512" s="226">
        <f>IF('WetLitterbags placem_collection'!G73="","",'WetLitterbags placem_collection'!G73)</f>
        <v>42818</v>
      </c>
      <c r="U512" s="227">
        <f t="shared" si="38"/>
        <v>51</v>
      </c>
      <c r="V512" s="225">
        <f t="shared" si="40"/>
        <v>1.0543</v>
      </c>
      <c r="W512" s="225">
        <f t="shared" si="41"/>
        <v>1.0127330350959349</v>
      </c>
      <c r="X512">
        <f>IFERROR(INDEX(Rainfall_Wet!$O$2:$O$217,MATCH(B512, Rainfall_Wet!$A$2:$A$217,0)),"")</f>
        <v>185.630065823</v>
      </c>
      <c r="Y512" s="231">
        <v>47.96</v>
      </c>
      <c r="Z512" s="231">
        <v>22.919999999999995</v>
      </c>
      <c r="AA512" s="231">
        <v>29.120000000000012</v>
      </c>
      <c r="AB512" s="232" t="s">
        <v>2673</v>
      </c>
      <c r="AC512" s="231">
        <v>8.8831936914736307</v>
      </c>
      <c r="AD512">
        <f>IF('WetLitterbags placem_collection'!AB73="","",'WetLitterbags placem_collection'!AB73)</f>
        <v>15.5</v>
      </c>
      <c r="AE512">
        <f>IF('WetLitterbags placem_collection'!Z73="","",'WetLitterbags placem_collection'!Z73)</f>
        <v>32</v>
      </c>
      <c r="AF512" s="246" t="str">
        <f>IF('WetLitterbags placem_collection'!AA73="","",'WetLitterbags placem_collection'!AA73)</f>
        <v>O</v>
      </c>
      <c r="AG512">
        <f>IF('WetLitterbags placem_collection'!AC73="","",'WetLitterbags placem_collection'!AC73)</f>
        <v>1</v>
      </c>
      <c r="AH512" s="240">
        <f>AVERAGE('WetLitterbags placem_collection'!S73,'WetLitterbags placem_collection'!U73)</f>
        <v>29.35</v>
      </c>
      <c r="AI512">
        <f>AVERAGE('WetLitterbags placem_collection'!R73,'WetLitterbags placem_collection'!T73)</f>
        <v>21.95</v>
      </c>
      <c r="AJ512">
        <f>INDEX(Coordinates!$B$2:$B$197,MATCH(G512,Coordinates!$J$2:$J$197,0))</f>
        <v>-3.2992429849999998</v>
      </c>
      <c r="AK512">
        <f>INDEX(Coordinates!$C$2:$C$197,MATCH(G512,Coordinates!$J$2:$J$197,0))</f>
        <v>34.847900989999999</v>
      </c>
      <c r="AL512" t="str">
        <f>IF(ISNUMBER(SEARCH("C", 'WetLitterbags placem_collection'!X73)),"YES","NO")</f>
        <v>NO</v>
      </c>
      <c r="AM512" t="str">
        <f>IF(ISNUMBER(SEARCH("H", 'WetLitterbags placem_collection'!X73)),"YES","NO")</f>
        <v>NO</v>
      </c>
      <c r="AN512" t="str">
        <f>IF(ISNUMBER(SEARCH("R", 'WetLitterbags placem_collection'!X73)),"YES","NO")</f>
        <v>YES</v>
      </c>
    </row>
    <row r="513" spans="1:40" ht="15" customHeight="1">
      <c r="A513" s="258" t="s">
        <v>2460</v>
      </c>
      <c r="B513" s="263">
        <f>'Dry_Litterbag Placem_Collection'!A74</f>
        <v>72</v>
      </c>
      <c r="C513" s="263" t="str">
        <f>'Dry_Litterbag Placem_Collection'!B74</f>
        <v>Maswa</v>
      </c>
      <c r="D513" s="263" t="s">
        <v>2659</v>
      </c>
      <c r="E513" s="263" t="s">
        <v>2661</v>
      </c>
      <c r="F513" s="263">
        <v>1</v>
      </c>
      <c r="G513" s="264" t="str">
        <f>'Dry_Litterbag Placem_Collection'!C74</f>
        <v>Dry_W1_T8</v>
      </c>
      <c r="H513" s="273" t="s">
        <v>3651</v>
      </c>
      <c r="I513" s="266" t="s">
        <v>1147</v>
      </c>
      <c r="J513" s="223" t="str">
        <f>'WetLitterbags placem_collection'!O74</f>
        <v>G627</v>
      </c>
      <c r="K513" s="225">
        <f>IFERROR(INDEX('Green_rooibos initial weight'!$C$5:$C$1749,MATCH(J513, 'Green_rooibos initial weight'!$A$5:$A$1749,0)),"")</f>
        <v>2.153</v>
      </c>
      <c r="L513" s="225">
        <f>IFERROR(K513-(TBIcalc!$H$9+TBIcalc!$H$10),"")</f>
        <v>1.9032</v>
      </c>
      <c r="M513" s="391">
        <f>AVERAGE(Ashed_controlls!$K$2:$K$11)</f>
        <v>5.5147656768714146</v>
      </c>
      <c r="N513" s="225">
        <f t="shared" si="39"/>
        <v>1.7982429796377832</v>
      </c>
      <c r="O513" s="225">
        <f>IF(IFERROR(INDEX('Both teabags AfterWet'!$C$3:$C$841,MATCH(J513,'Both teabags AfterWet'!$A$3:$A$841,0)),"")="","",(IFERROR(INDEX('Both teabags AfterWet'!$C$3:$C$841,MATCH(J513,'Both teabags AfterWet'!$A$3:$A$841,0)),"")))</f>
        <v>0.86350000000000005</v>
      </c>
      <c r="P513" s="225">
        <f>IFERROR(IF(O513&gt;0,O513-(TBIcalc!$H$9),""),"")</f>
        <v>0.71290000000000009</v>
      </c>
      <c r="Q513" s="225">
        <f>IFERROR(INDEX('Ashed teabags wet'!$K$2:$K$821,MATCH(J513,'Ashed teabags wet'!$A$2:$A$821,0)),"")</f>
        <v>8.0899952130205044</v>
      </c>
      <c r="R513" s="225">
        <f t="shared" si="42"/>
        <v>0.65522642412637688</v>
      </c>
      <c r="S513" s="226">
        <f>'WetLitterbags placem_collection'!E74</f>
        <v>42767</v>
      </c>
      <c r="T513" s="226">
        <f>IF('WetLitterbags placem_collection'!G74="","",'WetLitterbags placem_collection'!G74)</f>
        <v>42818</v>
      </c>
      <c r="U513" s="227">
        <f t="shared" si="38"/>
        <v>51</v>
      </c>
      <c r="V513" s="225">
        <f t="shared" si="40"/>
        <v>1.1902999999999999</v>
      </c>
      <c r="W513" s="225">
        <f t="shared" si="41"/>
        <v>1.1430165555114065</v>
      </c>
      <c r="X513">
        <f>IFERROR(INDEX(Rainfall_Wet!$O$2:$O$217,MATCH(B513, Rainfall_Wet!$A$2:$A$217,0)),"")</f>
        <v>185.630065823</v>
      </c>
      <c r="Y513" s="231">
        <v>47.96</v>
      </c>
      <c r="Z513" s="231">
        <v>22.919999999999995</v>
      </c>
      <c r="AA513" s="231">
        <v>29.120000000000012</v>
      </c>
      <c r="AB513" s="232" t="s">
        <v>2673</v>
      </c>
      <c r="AC513" s="231">
        <v>9.8831936914736307</v>
      </c>
      <c r="AD513">
        <f>IF('WetLitterbags placem_collection'!AB74="","",'WetLitterbags placem_collection'!AB74)</f>
        <v>2.6</v>
      </c>
      <c r="AE513">
        <f>IF('WetLitterbags placem_collection'!Z74="","",'WetLitterbags placem_collection'!Z74)</f>
        <v>44</v>
      </c>
      <c r="AF513" s="246" t="str">
        <f>IF('WetLitterbags placem_collection'!AA74="","",'WetLitterbags placem_collection'!AA74)</f>
        <v>O</v>
      </c>
      <c r="AG513">
        <f>IF('WetLitterbags placem_collection'!AC74="","",'WetLitterbags placem_collection'!AC74)</f>
        <v>1</v>
      </c>
      <c r="AH513" s="240">
        <f>AVERAGE('WetLitterbags placem_collection'!S74,'WetLitterbags placem_collection'!U74)</f>
        <v>32</v>
      </c>
      <c r="AI513">
        <f>AVERAGE('WetLitterbags placem_collection'!R74,'WetLitterbags placem_collection'!T74)</f>
        <v>21.9</v>
      </c>
      <c r="AJ513">
        <f>INDEX(Coordinates!$B$2:$B$197,MATCH(G513,Coordinates!$J$2:$J$197,0))</f>
        <v>-3.2996540329999999</v>
      </c>
      <c r="AK513">
        <f>INDEX(Coordinates!$C$2:$C$197,MATCH(G513,Coordinates!$J$2:$J$197,0))</f>
        <v>34.848151020000003</v>
      </c>
      <c r="AL513" t="str">
        <f>IF(ISNUMBER(SEARCH("C", 'WetLitterbags placem_collection'!X74)),"YES","NO")</f>
        <v>NO</v>
      </c>
      <c r="AM513" t="str">
        <f>IF(ISNUMBER(SEARCH("H", 'WetLitterbags placem_collection'!X74)),"YES","NO")</f>
        <v>NO</v>
      </c>
      <c r="AN513" t="str">
        <f>IF(ISNUMBER(SEARCH("R", 'WetLitterbags placem_collection'!X74)),"YES","NO")</f>
        <v>YES</v>
      </c>
    </row>
    <row r="514" spans="1:40" ht="15" customHeight="1">
      <c r="A514" s="258" t="s">
        <v>2460</v>
      </c>
      <c r="B514" s="263">
        <f>'Dry_Litterbag Placem_Collection'!A75</f>
        <v>73</v>
      </c>
      <c r="C514" s="263" t="str">
        <f>'Dry_Litterbag Placem_Collection'!B75</f>
        <v>Maswa</v>
      </c>
      <c r="D514" s="263" t="s">
        <v>2659</v>
      </c>
      <c r="E514" s="263" t="s">
        <v>2661</v>
      </c>
      <c r="F514" s="263">
        <v>2</v>
      </c>
      <c r="G514" s="264" t="str">
        <f>'Dry_Litterbag Placem_Collection'!C75</f>
        <v>Dry_W2_T1</v>
      </c>
      <c r="H514" s="273" t="s">
        <v>3651</v>
      </c>
      <c r="I514" s="266" t="s">
        <v>1147</v>
      </c>
      <c r="J514" s="223" t="str">
        <f>'WetLitterbags placem_collection'!O75</f>
        <v>G498</v>
      </c>
      <c r="K514" s="225">
        <f>IFERROR(INDEX('Green_rooibos initial weight'!$C$5:$C$1749,MATCH(J514, 'Green_rooibos initial weight'!$A$5:$A$1749,0)),"")</f>
        <v>1.744</v>
      </c>
      <c r="L514" s="225">
        <f>IFERROR(K514-(TBIcalc!$H$9+TBIcalc!$H$10),"")</f>
        <v>1.4942</v>
      </c>
      <c r="M514" s="391">
        <f>AVERAGE(Ashed_controlls!$K$2:$K$11)</f>
        <v>5.5147656768714146</v>
      </c>
      <c r="N514" s="225">
        <f t="shared" si="39"/>
        <v>1.4117983712561872</v>
      </c>
      <c r="O514" s="225">
        <f>IF(IFERROR(INDEX('Both teabags AfterWet'!$C$3:$C$841,MATCH(J514,'Both teabags AfterWet'!$A$3:$A$841,0)),"")="","",(IFERROR(INDEX('Both teabags AfterWet'!$C$3:$C$841,MATCH(J514,'Both teabags AfterWet'!$A$3:$A$841,0)),"")))</f>
        <v>0.73209999999999997</v>
      </c>
      <c r="P514" s="225">
        <f>IFERROR(IF(O514&gt;0,O514-(TBIcalc!$H$9),""),"")</f>
        <v>0.58149999999999991</v>
      </c>
      <c r="Q514" s="225">
        <f>IFERROR(INDEX('Ashed teabags wet'!$K$2:$K$821,MATCH(J514,'Ashed teabags wet'!$A$2:$A$821,0)),"")</f>
        <v>8.2123184777161153</v>
      </c>
      <c r="R514" s="225">
        <f t="shared" si="42"/>
        <v>0.53374536805208073</v>
      </c>
      <c r="S514" s="226">
        <f>'WetLitterbags placem_collection'!E75</f>
        <v>42767</v>
      </c>
      <c r="T514" s="226">
        <f>IF('WetLitterbags placem_collection'!G75="","",'WetLitterbags placem_collection'!G75)</f>
        <v>42818</v>
      </c>
      <c r="U514" s="227">
        <f t="shared" ref="U514:U577" si="43">IFERROR(T514-S514,"")</f>
        <v>51</v>
      </c>
      <c r="V514" s="225">
        <f t="shared" si="40"/>
        <v>0.91270000000000007</v>
      </c>
      <c r="W514" s="225">
        <f t="shared" si="41"/>
        <v>0.87805300320410651</v>
      </c>
      <c r="X514">
        <f>IFERROR(INDEX(Rainfall_Wet!$O$2:$O$217,MATCH(B514, Rainfall_Wet!$A$2:$A$217,0)),"")</f>
        <v>185.630065823</v>
      </c>
      <c r="Y514" s="231">
        <v>45.272914521112256</v>
      </c>
      <c r="Z514" s="231">
        <v>23.604531410916575</v>
      </c>
      <c r="AA514" s="231">
        <v>31.122554067971166</v>
      </c>
      <c r="AB514" s="232" t="s">
        <v>2673</v>
      </c>
      <c r="AC514" s="231">
        <v>2.0547560374568752</v>
      </c>
      <c r="AD514">
        <f>IF('WetLitterbags placem_collection'!AB75="","",'WetLitterbags placem_collection'!AB75)</f>
        <v>9.1</v>
      </c>
      <c r="AE514">
        <f>IF('WetLitterbags placem_collection'!Z75="","",'WetLitterbags placem_collection'!Z75)</f>
        <v>10</v>
      </c>
      <c r="AF514" s="246" t="str">
        <f>IF('WetLitterbags placem_collection'!AA75="","",'WetLitterbags placem_collection'!AA75)</f>
        <v>M</v>
      </c>
      <c r="AG514">
        <f>IF('WetLitterbags placem_collection'!AC75="","",'WetLitterbags placem_collection'!AC75)</f>
        <v>1</v>
      </c>
      <c r="AH514" s="240">
        <f>AVERAGE('WetLitterbags placem_collection'!S75,'WetLitterbags placem_collection'!U75)</f>
        <v>27.85</v>
      </c>
      <c r="AI514">
        <f>AVERAGE('WetLitterbags placem_collection'!R75,'WetLitterbags placem_collection'!T75)</f>
        <v>26.15</v>
      </c>
      <c r="AJ514">
        <f>INDEX(Coordinates!$B$2:$B$197,MATCH(G514,Coordinates!$J$2:$J$197,0))</f>
        <v>-3.3025860229999999</v>
      </c>
      <c r="AK514">
        <f>INDEX(Coordinates!$C$2:$C$197,MATCH(G514,Coordinates!$J$2:$J$197,0))</f>
        <v>34.848048009999999</v>
      </c>
      <c r="AL514" t="str">
        <f>IF(ISNUMBER(SEARCH("C", 'WetLitterbags placem_collection'!X75)),"YES","NO")</f>
        <v>NO</v>
      </c>
      <c r="AM514" t="str">
        <f>IF(ISNUMBER(SEARCH("H", 'WetLitterbags placem_collection'!X75)),"YES","NO")</f>
        <v>NO</v>
      </c>
      <c r="AN514" t="str">
        <f>IF(ISNUMBER(SEARCH("R", 'WetLitterbags placem_collection'!X75)),"YES","NO")</f>
        <v>YES</v>
      </c>
    </row>
    <row r="515" spans="1:40" ht="15" customHeight="1">
      <c r="A515" s="258" t="s">
        <v>2460</v>
      </c>
      <c r="B515" s="263">
        <f>'Dry_Litterbag Placem_Collection'!A76</f>
        <v>74</v>
      </c>
      <c r="C515" s="263" t="str">
        <f>'Dry_Litterbag Placem_Collection'!B76</f>
        <v>Maswa</v>
      </c>
      <c r="D515" s="263" t="s">
        <v>2659</v>
      </c>
      <c r="E515" s="263" t="s">
        <v>2661</v>
      </c>
      <c r="F515" s="263">
        <v>2</v>
      </c>
      <c r="G515" s="264" t="str">
        <f>'Dry_Litterbag Placem_Collection'!C76</f>
        <v>Dry_W2_T2</v>
      </c>
      <c r="H515" s="273" t="s">
        <v>3651</v>
      </c>
      <c r="I515" s="266" t="s">
        <v>1147</v>
      </c>
      <c r="J515" s="223" t="str">
        <f>'WetLitterbags placem_collection'!O76</f>
        <v>G579</v>
      </c>
      <c r="K515" s="225">
        <f>IFERROR(INDEX('Green_rooibos initial weight'!$C$5:$C$1749,MATCH(J515, 'Green_rooibos initial weight'!$A$5:$A$1749,0)),"")</f>
        <v>2.012</v>
      </c>
      <c r="L515" s="225">
        <f>IFERROR(K515-(TBIcalc!$H$9+TBIcalc!$H$10),"")</f>
        <v>1.7622</v>
      </c>
      <c r="M515" s="391">
        <f>AVERAGE(Ashed_controlls!$K$2:$K$11)</f>
        <v>5.5147656768714146</v>
      </c>
      <c r="N515" s="225">
        <f t="shared" ref="N515:N578" si="44">IFERROR(L515-(M515/100)*L515,"")</f>
        <v>1.6650187992421719</v>
      </c>
      <c r="O515" s="225">
        <f>IF(IFERROR(INDEX('Both teabags AfterWet'!$C$3:$C$841,MATCH(J515,'Both teabags AfterWet'!$A$3:$A$841,0)),"")="","",(IFERROR(INDEX('Both teabags AfterWet'!$C$3:$C$841,MATCH(J515,'Both teabags AfterWet'!$A$3:$A$841,0)),"")))</f>
        <v>0.74199999999999999</v>
      </c>
      <c r="P515" s="225">
        <f>IFERROR(IF(O515&gt;0,O515-(TBIcalc!$H$9),""),"")</f>
        <v>0.59139999999999993</v>
      </c>
      <c r="Q515" s="225">
        <f>IFERROR(INDEX('Ashed teabags wet'!$K$2:$K$821,MATCH(J515,'Ashed teabags wet'!$A$2:$A$821,0)),"")</f>
        <v>9.0817862518813506</v>
      </c>
      <c r="R515" s="225">
        <f t="shared" si="42"/>
        <v>0.53769031610637363</v>
      </c>
      <c r="S515" s="226">
        <f>'WetLitterbags placem_collection'!E76</f>
        <v>42767</v>
      </c>
      <c r="T515" s="226">
        <f>IF('WetLitterbags placem_collection'!G76="","",'WetLitterbags placem_collection'!G76)</f>
        <v>42818</v>
      </c>
      <c r="U515" s="227">
        <f t="shared" si="43"/>
        <v>51</v>
      </c>
      <c r="V515" s="225">
        <f t="shared" ref="V515:V578" si="45">IFERROR(L515-P515,"")</f>
        <v>1.1708000000000001</v>
      </c>
      <c r="W515" s="225">
        <f t="shared" ref="W515:W578" si="46">IFERROR(N515-R515,"")</f>
        <v>1.1273284831357984</v>
      </c>
      <c r="X515">
        <f>IFERROR(INDEX(Rainfall_Wet!$O$2:$O$217,MATCH(B515, Rainfall_Wet!$A$2:$A$217,0)),"")</f>
        <v>185.630065823</v>
      </c>
      <c r="Y515" s="231">
        <v>45.272914521112256</v>
      </c>
      <c r="Z515" s="231">
        <v>23.604531410916575</v>
      </c>
      <c r="AA515" s="231">
        <v>31.122554067971166</v>
      </c>
      <c r="AB515" s="232" t="s">
        <v>2673</v>
      </c>
      <c r="AC515" s="231">
        <v>3.0547560374568801</v>
      </c>
      <c r="AD515">
        <f>IF('WetLitterbags placem_collection'!AB76="","",'WetLitterbags placem_collection'!AB76)</f>
        <v>7.7</v>
      </c>
      <c r="AE515">
        <f>IF('WetLitterbags placem_collection'!Z76="","",'WetLitterbags placem_collection'!Z76)</f>
        <v>9.4</v>
      </c>
      <c r="AF515" s="246" t="str">
        <f>IF('WetLitterbags placem_collection'!AA76="","",'WetLitterbags placem_collection'!AA76)</f>
        <v>M</v>
      </c>
      <c r="AG515">
        <f>IF('WetLitterbags placem_collection'!AC76="","",'WetLitterbags placem_collection'!AC76)</f>
        <v>1</v>
      </c>
      <c r="AH515" s="240">
        <f>AVERAGE('WetLitterbags placem_collection'!S76,'WetLitterbags placem_collection'!U76)</f>
        <v>24.65</v>
      </c>
      <c r="AI515">
        <f>AVERAGE('WetLitterbags placem_collection'!R76,'WetLitterbags placem_collection'!T76)</f>
        <v>24.35</v>
      </c>
      <c r="AJ515">
        <f>INDEX(Coordinates!$B$2:$B$197,MATCH(G515,Coordinates!$J$2:$J$197,0))</f>
        <v>-3.3025779759999998</v>
      </c>
      <c r="AK515">
        <f>INDEX(Coordinates!$C$2:$C$197,MATCH(G515,Coordinates!$J$2:$J$197,0))</f>
        <v>34.848041969999997</v>
      </c>
      <c r="AL515" t="str">
        <f>IF(ISNUMBER(SEARCH("C", 'WetLitterbags placem_collection'!X76)),"YES","NO")</f>
        <v>NO</v>
      </c>
      <c r="AM515" t="str">
        <f>IF(ISNUMBER(SEARCH("H", 'WetLitterbags placem_collection'!X76)),"YES","NO")</f>
        <v>NO</v>
      </c>
      <c r="AN515" t="str">
        <f>IF(ISNUMBER(SEARCH("R", 'WetLitterbags placem_collection'!X76)),"YES","NO")</f>
        <v>YES</v>
      </c>
    </row>
    <row r="516" spans="1:40" ht="15" customHeight="1">
      <c r="A516" s="258" t="s">
        <v>2460</v>
      </c>
      <c r="B516" s="263">
        <f>'Dry_Litterbag Placem_Collection'!A77</f>
        <v>75</v>
      </c>
      <c r="C516" s="263" t="str">
        <f>'Dry_Litterbag Placem_Collection'!B77</f>
        <v>Maswa</v>
      </c>
      <c r="D516" s="263" t="s">
        <v>2659</v>
      </c>
      <c r="E516" s="263" t="s">
        <v>2661</v>
      </c>
      <c r="F516" s="263">
        <v>2</v>
      </c>
      <c r="G516" s="264" t="str">
        <f>'Dry_Litterbag Placem_Collection'!C77</f>
        <v>Dry_W2_T3</v>
      </c>
      <c r="H516" s="273" t="s">
        <v>3651</v>
      </c>
      <c r="I516" s="266" t="s">
        <v>1147</v>
      </c>
      <c r="J516" s="223" t="str">
        <f>'WetLitterbags placem_collection'!O77</f>
        <v>G373</v>
      </c>
      <c r="K516" s="225">
        <f>IFERROR(INDEX('Green_rooibos initial weight'!$C$5:$C$1749,MATCH(J516, 'Green_rooibos initial weight'!$A$5:$A$1749,0)),"")</f>
        <v>2.1</v>
      </c>
      <c r="L516" s="225">
        <f>IFERROR(K516-(TBIcalc!$H$9+TBIcalc!$H$10),"")</f>
        <v>1.8502000000000001</v>
      </c>
      <c r="M516" s="391">
        <f>AVERAGE(Ashed_controlls!$K$2:$K$11)</f>
        <v>5.5147656768714146</v>
      </c>
      <c r="N516" s="225">
        <f t="shared" si="44"/>
        <v>1.7481658054465252</v>
      </c>
      <c r="O516" s="225">
        <f>IF(IFERROR(INDEX('Both teabags AfterWet'!$C$3:$C$841,MATCH(J516,'Both teabags AfterWet'!$A$3:$A$841,0)),"")="","",(IFERROR(INDEX('Both teabags AfterWet'!$C$3:$C$841,MATCH(J516,'Both teabags AfterWet'!$A$3:$A$841,0)),"")))</f>
        <v>0.93330000000000002</v>
      </c>
      <c r="P516" s="225">
        <f>IFERROR(IF(O516&gt;0,O516-(TBIcalc!$H$9),""),"")</f>
        <v>0.78269999999999995</v>
      </c>
      <c r="Q516" s="225">
        <f>IFERROR(INDEX('Ashed teabags wet'!$K$2:$K$821,MATCH(J516,'Ashed teabags wet'!$A$2:$A$821,0)),"")</f>
        <v>10.547263681591955</v>
      </c>
      <c r="R516" s="225">
        <f t="shared" si="42"/>
        <v>0.70014656716417978</v>
      </c>
      <c r="S516" s="226">
        <f>'WetLitterbags placem_collection'!E77</f>
        <v>42767</v>
      </c>
      <c r="T516" s="226">
        <f>IF('WetLitterbags placem_collection'!G77="","",'WetLitterbags placem_collection'!G77)</f>
        <v>42818</v>
      </c>
      <c r="U516" s="227">
        <f t="shared" si="43"/>
        <v>51</v>
      </c>
      <c r="V516" s="225">
        <f t="shared" si="45"/>
        <v>1.0675000000000001</v>
      </c>
      <c r="W516" s="225">
        <f t="shared" si="46"/>
        <v>1.0480192382823454</v>
      </c>
      <c r="X516">
        <f>IFERROR(INDEX(Rainfall_Wet!$O$2:$O$217,MATCH(B516, Rainfall_Wet!$A$2:$A$217,0)),"")</f>
        <v>185.630065823</v>
      </c>
      <c r="Y516" s="231">
        <v>45.272914521112256</v>
      </c>
      <c r="Z516" s="231">
        <v>23.604531410916575</v>
      </c>
      <c r="AA516" s="231">
        <v>31.122554067971166</v>
      </c>
      <c r="AB516" s="232" t="s">
        <v>2673</v>
      </c>
      <c r="AC516" s="231">
        <v>4.0547560374568796</v>
      </c>
      <c r="AD516">
        <f>IF('WetLitterbags placem_collection'!AB77="","",'WetLitterbags placem_collection'!AB77)</f>
        <v>6.1</v>
      </c>
      <c r="AE516">
        <f>IF('WetLitterbags placem_collection'!Z77="","",'WetLitterbags placem_collection'!Z77)</f>
        <v>13.8</v>
      </c>
      <c r="AF516" s="246" t="str">
        <f>IF('WetLitterbags placem_collection'!AA77="","",'WetLitterbags placem_collection'!AA77)</f>
        <v>O</v>
      </c>
      <c r="AG516">
        <f>IF('WetLitterbags placem_collection'!AC77="","",'WetLitterbags placem_collection'!AC77)</f>
        <v>0</v>
      </c>
      <c r="AH516" s="240">
        <f>AVERAGE('WetLitterbags placem_collection'!S77,'WetLitterbags placem_collection'!U77)</f>
        <v>27.150000000000002</v>
      </c>
      <c r="AI516">
        <f>AVERAGE('WetLitterbags placem_collection'!R77,'WetLitterbags placem_collection'!T77)</f>
        <v>25.65</v>
      </c>
      <c r="AJ516">
        <f>INDEX(Coordinates!$B$2:$B$197,MATCH(G516,Coordinates!$J$2:$J$197,0))</f>
        <v>-3.302687025</v>
      </c>
      <c r="AK516">
        <f>INDEX(Coordinates!$C$2:$C$197,MATCH(G516,Coordinates!$J$2:$J$197,0))</f>
        <v>34.847926970000003</v>
      </c>
      <c r="AL516" t="str">
        <f>IF(ISNUMBER(SEARCH("C", 'WetLitterbags placem_collection'!X77)),"YES","NO")</f>
        <v>NO</v>
      </c>
      <c r="AM516" t="str">
        <f>IF(ISNUMBER(SEARCH("H", 'WetLitterbags placem_collection'!X77)),"YES","NO")</f>
        <v>NO</v>
      </c>
      <c r="AN516" t="str">
        <f>IF(ISNUMBER(SEARCH("R", 'WetLitterbags placem_collection'!X77)),"YES","NO")</f>
        <v>YES</v>
      </c>
    </row>
    <row r="517" spans="1:40" ht="15" customHeight="1">
      <c r="A517" s="258" t="s">
        <v>2460</v>
      </c>
      <c r="B517" s="263">
        <f>'Dry_Litterbag Placem_Collection'!A78</f>
        <v>76</v>
      </c>
      <c r="C517" s="263" t="str">
        <f>'Dry_Litterbag Placem_Collection'!B78</f>
        <v>Maswa</v>
      </c>
      <c r="D517" s="263" t="s">
        <v>2659</v>
      </c>
      <c r="E517" s="263" t="s">
        <v>2661</v>
      </c>
      <c r="F517" s="263">
        <v>2</v>
      </c>
      <c r="G517" s="264" t="str">
        <f>'Dry_Litterbag Placem_Collection'!C78</f>
        <v>Dry_W2_T4</v>
      </c>
      <c r="H517" s="273" t="s">
        <v>3651</v>
      </c>
      <c r="I517" s="266" t="s">
        <v>1147</v>
      </c>
      <c r="J517" s="223" t="str">
        <f>'WetLitterbags placem_collection'!O78</f>
        <v>G603</v>
      </c>
      <c r="K517" s="225">
        <f>IFERROR(INDEX('Green_rooibos initial weight'!$C$5:$C$1749,MATCH(J517, 'Green_rooibos initial weight'!$A$5:$A$1749,0)),"")</f>
        <v>2.0430000000000001</v>
      </c>
      <c r="L517" s="225">
        <f>IFERROR(K517-(TBIcalc!$H$9+TBIcalc!$H$10),"")</f>
        <v>1.7932000000000001</v>
      </c>
      <c r="M517" s="391">
        <f>AVERAGE(Ashed_controlls!$K$2:$K$11)</f>
        <v>5.5147656768714146</v>
      </c>
      <c r="N517" s="225">
        <f t="shared" si="44"/>
        <v>1.6943092218823419</v>
      </c>
      <c r="O517" s="225">
        <f>IF(IFERROR(INDEX('Both teabags AfterWet'!$C$3:$C$841,MATCH(J517,'Both teabags AfterWet'!$A$3:$A$841,0)),"")="","",(IFERROR(INDEX('Both teabags AfterWet'!$C$3:$C$841,MATCH(J517,'Both teabags AfterWet'!$A$3:$A$841,0)),"")))</f>
        <v>0.82299999999999995</v>
      </c>
      <c r="P517" s="225">
        <f>IFERROR(IF(O517&gt;0,O517-(TBIcalc!$H$9),""),"")</f>
        <v>0.67239999999999989</v>
      </c>
      <c r="Q517" s="225">
        <f>IFERROR(INDEX('Ashed teabags wet'!$K$2:$K$821,MATCH(J517,'Ashed teabags wet'!$A$2:$A$821,0)),"")</f>
        <v>8.9330024813902469</v>
      </c>
      <c r="R517" s="225">
        <f t="shared" si="42"/>
        <v>0.61233449131513185</v>
      </c>
      <c r="S517" s="226">
        <f>'WetLitterbags placem_collection'!E78</f>
        <v>42767</v>
      </c>
      <c r="T517" s="226">
        <f>IF('WetLitterbags placem_collection'!G78="","",'WetLitterbags placem_collection'!G78)</f>
        <v>42818</v>
      </c>
      <c r="U517" s="227">
        <f t="shared" si="43"/>
        <v>51</v>
      </c>
      <c r="V517" s="225">
        <f t="shared" si="45"/>
        <v>1.1208000000000002</v>
      </c>
      <c r="W517" s="225">
        <f t="shared" si="46"/>
        <v>1.0819747305672101</v>
      </c>
      <c r="X517">
        <f>IFERROR(INDEX(Rainfall_Wet!$O$2:$O$217,MATCH(B517, Rainfall_Wet!$A$2:$A$217,0)),"")</f>
        <v>185.630065823</v>
      </c>
      <c r="Y517" s="231">
        <v>45.272914521112256</v>
      </c>
      <c r="Z517" s="231">
        <v>23.604531410916575</v>
      </c>
      <c r="AA517" s="231">
        <v>31.122554067971166</v>
      </c>
      <c r="AB517" s="232" t="s">
        <v>2673</v>
      </c>
      <c r="AC517" s="231">
        <v>5.0547560374568796</v>
      </c>
      <c r="AD517">
        <f>IF('WetLitterbags placem_collection'!AB78="","",'WetLitterbags placem_collection'!AB78)</f>
        <v>6.7</v>
      </c>
      <c r="AE517">
        <f>IF('WetLitterbags placem_collection'!Z78="","",'WetLitterbags placem_collection'!Z78)</f>
        <v>19.3</v>
      </c>
      <c r="AF517" s="246" t="str">
        <f>IF('WetLitterbags placem_collection'!AA78="","",'WetLitterbags placem_collection'!AA78)</f>
        <v>M</v>
      </c>
      <c r="AG517">
        <f>IF('WetLitterbags placem_collection'!AC78="","",'WetLitterbags placem_collection'!AC78)</f>
        <v>1</v>
      </c>
      <c r="AH517" s="240">
        <f>AVERAGE('WetLitterbags placem_collection'!S78,'WetLitterbags placem_collection'!U78)</f>
        <v>26.8</v>
      </c>
      <c r="AI517">
        <f>AVERAGE('WetLitterbags placem_collection'!R78,'WetLitterbags placem_collection'!T78)</f>
        <v>23.7</v>
      </c>
      <c r="AJ517">
        <f>INDEX(Coordinates!$B$2:$B$197,MATCH(G517,Coordinates!$J$2:$J$197,0))</f>
        <v>-3.3024560190000001</v>
      </c>
      <c r="AK517">
        <f>INDEX(Coordinates!$C$2:$C$197,MATCH(G517,Coordinates!$J$2:$J$197,0))</f>
        <v>34.847871990000002</v>
      </c>
      <c r="AL517" t="str">
        <f>IF(ISNUMBER(SEARCH("C", 'WetLitterbags placem_collection'!X78)),"YES","NO")</f>
        <v>NO</v>
      </c>
      <c r="AM517" t="str">
        <f>IF(ISNUMBER(SEARCH("H", 'WetLitterbags placem_collection'!X78)),"YES","NO")</f>
        <v>NO</v>
      </c>
      <c r="AN517" t="str">
        <f>IF(ISNUMBER(SEARCH("R", 'WetLitterbags placem_collection'!X78)),"YES","NO")</f>
        <v>YES</v>
      </c>
    </row>
    <row r="518" spans="1:40" ht="15" customHeight="1">
      <c r="A518" s="258" t="s">
        <v>2460</v>
      </c>
      <c r="B518" s="263">
        <f>'Dry_Litterbag Placem_Collection'!A79</f>
        <v>77</v>
      </c>
      <c r="C518" s="263" t="str">
        <f>'Dry_Litterbag Placem_Collection'!B79</f>
        <v>Maswa</v>
      </c>
      <c r="D518" s="263" t="s">
        <v>2659</v>
      </c>
      <c r="E518" s="263" t="s">
        <v>2661</v>
      </c>
      <c r="F518" s="263">
        <v>2</v>
      </c>
      <c r="G518" s="264" t="str">
        <f>'Dry_Litterbag Placem_Collection'!C79</f>
        <v>Dry_W2_T5</v>
      </c>
      <c r="H518" s="273" t="s">
        <v>3651</v>
      </c>
      <c r="I518" s="266" t="s">
        <v>1147</v>
      </c>
      <c r="J518" s="223" t="str">
        <f>'WetLitterbags placem_collection'!O79</f>
        <v>G509</v>
      </c>
      <c r="K518" s="225">
        <f>IFERROR(INDEX('Green_rooibos initial weight'!$C$5:$C$1749,MATCH(J518, 'Green_rooibos initial weight'!$A$5:$A$1749,0)),"")</f>
        <v>2.048</v>
      </c>
      <c r="L518" s="225">
        <f>IFERROR(K518-(TBIcalc!$H$9+TBIcalc!$H$10),"")</f>
        <v>1.7982</v>
      </c>
      <c r="M518" s="391">
        <f>AVERAGE(Ashed_controlls!$K$2:$K$11)</f>
        <v>5.5147656768714146</v>
      </c>
      <c r="N518" s="225">
        <f t="shared" si="44"/>
        <v>1.6990334835984982</v>
      </c>
      <c r="O518" s="225">
        <f>IF(IFERROR(INDEX('Both teabags AfterWet'!$C$3:$C$841,MATCH(J518,'Both teabags AfterWet'!$A$3:$A$841,0)),"")="","",(IFERROR(INDEX('Both teabags AfterWet'!$C$3:$C$841,MATCH(J518,'Both teabags AfterWet'!$A$3:$A$841,0)),"")))</f>
        <v>1.012</v>
      </c>
      <c r="P518" s="225">
        <f>IFERROR(IF(O518&gt;0,O518-(TBIcalc!$H$9),""),"")</f>
        <v>0.86139999999999994</v>
      </c>
      <c r="Q518" s="228">
        <f>IFERROR(INDEX('Ashed teabags wet'!$K$2:$K$821,MATCH(J518,'Ashed teabags wet'!$A$2:$A$821,0)),"")</f>
        <v>0.1847000000000012</v>
      </c>
      <c r="R518" s="225">
        <f t="shared" si="42"/>
        <v>0.8598089941999999</v>
      </c>
      <c r="S518" s="226">
        <f>'WetLitterbags placem_collection'!E79</f>
        <v>42767</v>
      </c>
      <c r="T518" s="226">
        <f>IF('WetLitterbags placem_collection'!G79="","",'WetLitterbags placem_collection'!G79)</f>
        <v>42818</v>
      </c>
      <c r="U518" s="227">
        <f t="shared" si="43"/>
        <v>51</v>
      </c>
      <c r="V518" s="225">
        <f t="shared" si="45"/>
        <v>0.93680000000000008</v>
      </c>
      <c r="W518" s="225">
        <f t="shared" si="46"/>
        <v>0.83922448939849825</v>
      </c>
      <c r="X518">
        <f>IFERROR(INDEX(Rainfall_Wet!$O$2:$O$217,MATCH(B518, Rainfall_Wet!$A$2:$A$217,0)),"")</f>
        <v>185.630065823</v>
      </c>
      <c r="Y518" s="231">
        <v>45.272914521112256</v>
      </c>
      <c r="Z518" s="231">
        <v>23.604531410916575</v>
      </c>
      <c r="AA518" s="231">
        <v>31.122554067971166</v>
      </c>
      <c r="AB518" s="232" t="s">
        <v>2673</v>
      </c>
      <c r="AC518" s="231">
        <v>6.0547560374568796</v>
      </c>
      <c r="AD518">
        <f>IF('WetLitterbags placem_collection'!AB79="","",'WetLitterbags placem_collection'!AB79)</f>
        <v>3.1</v>
      </c>
      <c r="AE518">
        <f>IF('WetLitterbags placem_collection'!Z79="","",'WetLitterbags placem_collection'!Z79)</f>
        <v>9.8000000000000007</v>
      </c>
      <c r="AF518" s="246" t="str">
        <f>IF('WetLitterbags placem_collection'!AA79="","",'WetLitterbags placem_collection'!AA79)</f>
        <v>O</v>
      </c>
      <c r="AG518">
        <f>IF('WetLitterbags placem_collection'!AC79="","",'WetLitterbags placem_collection'!AC79)</f>
        <v>1</v>
      </c>
      <c r="AH518" s="240">
        <f>AVERAGE('WetLitterbags placem_collection'!S79,'WetLitterbags placem_collection'!U79)</f>
        <v>25.950000000000003</v>
      </c>
      <c r="AI518">
        <f>AVERAGE('WetLitterbags placem_collection'!R79,'WetLitterbags placem_collection'!T79)</f>
        <v>25.950000000000003</v>
      </c>
      <c r="AJ518">
        <f>INDEX(Coordinates!$B$2:$B$197,MATCH(G518,Coordinates!$J$2:$J$197,0))</f>
        <v>-3.3023280279999998</v>
      </c>
      <c r="AK518">
        <f>INDEX(Coordinates!$C$2:$C$197,MATCH(G518,Coordinates!$J$2:$J$197,0))</f>
        <v>34.848223019999999</v>
      </c>
      <c r="AL518" t="str">
        <f>IF(ISNUMBER(SEARCH("C", 'WetLitterbags placem_collection'!X79)),"YES","NO")</f>
        <v>NO</v>
      </c>
      <c r="AM518" t="str">
        <f>IF(ISNUMBER(SEARCH("H", 'WetLitterbags placem_collection'!X79)),"YES","NO")</f>
        <v>NO</v>
      </c>
      <c r="AN518" t="str">
        <f>IF(ISNUMBER(SEARCH("R", 'WetLitterbags placem_collection'!X79)),"YES","NO")</f>
        <v>YES</v>
      </c>
    </row>
    <row r="519" spans="1:40" ht="15" customHeight="1">
      <c r="A519" s="258" t="s">
        <v>2460</v>
      </c>
      <c r="B519" s="263">
        <f>'Dry_Litterbag Placem_Collection'!A80</f>
        <v>78</v>
      </c>
      <c r="C519" s="263" t="str">
        <f>'Dry_Litterbag Placem_Collection'!B80</f>
        <v>Maswa</v>
      </c>
      <c r="D519" s="263" t="s">
        <v>2659</v>
      </c>
      <c r="E519" s="263" t="s">
        <v>2661</v>
      </c>
      <c r="F519" s="263">
        <v>2</v>
      </c>
      <c r="G519" s="264" t="str">
        <f>'Dry_Litterbag Placem_Collection'!C80</f>
        <v>Dry_W2_T6</v>
      </c>
      <c r="H519" s="273" t="s">
        <v>3651</v>
      </c>
      <c r="I519" s="266" t="s">
        <v>1147</v>
      </c>
      <c r="J519" s="223" t="str">
        <f>'WetLitterbags placem_collection'!O80</f>
        <v>G446</v>
      </c>
      <c r="K519" s="225">
        <f>IFERROR(INDEX('Green_rooibos initial weight'!$C$5:$C$1749,MATCH(J519, 'Green_rooibos initial weight'!$A$5:$A$1749,0)),"")</f>
        <v>1.9319999999999999</v>
      </c>
      <c r="L519" s="225">
        <f>IFERROR(K519-(TBIcalc!$H$9+TBIcalc!$H$10),"")</f>
        <v>1.6821999999999999</v>
      </c>
      <c r="M519" s="391">
        <f>AVERAGE(Ashed_controlls!$K$2:$K$11)</f>
        <v>5.5147656768714146</v>
      </c>
      <c r="N519" s="225">
        <f t="shared" si="44"/>
        <v>1.589430611783669</v>
      </c>
      <c r="O519" s="225">
        <f>IF(IFERROR(INDEX('Both teabags AfterWet'!$C$3:$C$841,MATCH(J519,'Both teabags AfterWet'!$A$3:$A$841,0)),"")="","",(IFERROR(INDEX('Both teabags AfterWet'!$C$3:$C$841,MATCH(J519,'Both teabags AfterWet'!$A$3:$A$841,0)),"")))</f>
        <v>0.77859999999999996</v>
      </c>
      <c r="P519" s="225">
        <f>IFERROR(IF(O519&gt;0,O519-(TBIcalc!$H$9),""),"")</f>
        <v>0.62799999999999989</v>
      </c>
      <c r="Q519" s="225">
        <f>IFERROR(INDEX('Ashed teabags wet'!$K$2:$K$821,MATCH(J519,'Ashed teabags wet'!$A$2:$A$821,0)),"")</f>
        <v>9.6451774112936519</v>
      </c>
      <c r="R519" s="225">
        <f t="shared" si="42"/>
        <v>0.56742828585707572</v>
      </c>
      <c r="S519" s="226">
        <f>'WetLitterbags placem_collection'!E80</f>
        <v>42767</v>
      </c>
      <c r="T519" s="226">
        <f>IF('WetLitterbags placem_collection'!G80="","",'WetLitterbags placem_collection'!G80)</f>
        <v>42818</v>
      </c>
      <c r="U519" s="227">
        <f t="shared" si="43"/>
        <v>51</v>
      </c>
      <c r="V519" s="225">
        <f t="shared" si="45"/>
        <v>1.0542</v>
      </c>
      <c r="W519" s="225">
        <f t="shared" si="46"/>
        <v>1.0220023259265933</v>
      </c>
      <c r="X519">
        <f>IFERROR(INDEX(Rainfall_Wet!$O$2:$O$217,MATCH(B519, Rainfall_Wet!$A$2:$A$217,0)),"")</f>
        <v>185.630065823</v>
      </c>
      <c r="Y519" s="231">
        <v>45.272914521112256</v>
      </c>
      <c r="Z519" s="231">
        <v>23.604531410916575</v>
      </c>
      <c r="AA519" s="231">
        <v>31.122554067971166</v>
      </c>
      <c r="AB519" s="232" t="s">
        <v>2673</v>
      </c>
      <c r="AC519" s="231">
        <v>7.0547560374568796</v>
      </c>
      <c r="AD519">
        <f>IF('WetLitterbags placem_collection'!AB80="","",'WetLitterbags placem_collection'!AB80)</f>
        <v>10.4</v>
      </c>
      <c r="AE519">
        <f>IF('WetLitterbags placem_collection'!Z80="","",'WetLitterbags placem_collection'!Z80)</f>
        <v>15.4</v>
      </c>
      <c r="AF519" s="246" t="str">
        <f>IF('WetLitterbags placem_collection'!AA80="","",'WetLitterbags placem_collection'!AA80)</f>
        <v>M</v>
      </c>
      <c r="AG519">
        <f>IF('WetLitterbags placem_collection'!AC80="","",'WetLitterbags placem_collection'!AC80)</f>
        <v>1</v>
      </c>
      <c r="AH519" s="240">
        <f>AVERAGE('WetLitterbags placem_collection'!S80,'WetLitterbags placem_collection'!U80)</f>
        <v>24.15</v>
      </c>
      <c r="AI519">
        <f>AVERAGE('WetLitterbags placem_collection'!R80,'WetLitterbags placem_collection'!T80)</f>
        <v>27.75</v>
      </c>
      <c r="AJ519">
        <f>INDEX(Coordinates!$B$2:$B$197,MATCH(G519,Coordinates!$J$2:$J$197,0))</f>
        <v>-3.3025680020000001</v>
      </c>
      <c r="AK519">
        <f>INDEX(Coordinates!$C$2:$C$197,MATCH(G519,Coordinates!$J$2:$J$197,0))</f>
        <v>34.848167029999999</v>
      </c>
      <c r="AL519" t="str">
        <f>IF(ISNUMBER(SEARCH("C", 'WetLitterbags placem_collection'!X80)),"YES","NO")</f>
        <v>NO</v>
      </c>
      <c r="AM519" t="str">
        <f>IF(ISNUMBER(SEARCH("H", 'WetLitterbags placem_collection'!X80)),"YES","NO")</f>
        <v>NO</v>
      </c>
      <c r="AN519" t="str">
        <f>IF(ISNUMBER(SEARCH("R", 'WetLitterbags placem_collection'!X80)),"YES","NO")</f>
        <v>YES</v>
      </c>
    </row>
    <row r="520" spans="1:40" ht="15" customHeight="1">
      <c r="A520" s="258" t="s">
        <v>2460</v>
      </c>
      <c r="B520" s="263">
        <f>'Dry_Litterbag Placem_Collection'!A81</f>
        <v>79</v>
      </c>
      <c r="C520" s="263" t="str">
        <f>'Dry_Litterbag Placem_Collection'!B81</f>
        <v>Maswa</v>
      </c>
      <c r="D520" s="263" t="s">
        <v>2659</v>
      </c>
      <c r="E520" s="263" t="s">
        <v>2661</v>
      </c>
      <c r="F520" s="263">
        <v>2</v>
      </c>
      <c r="G520" s="264" t="str">
        <f>'Dry_Litterbag Placem_Collection'!C81</f>
        <v>Dry_W2_T7</v>
      </c>
      <c r="H520" s="273" t="s">
        <v>3651</v>
      </c>
      <c r="I520" s="266" t="s">
        <v>1147</v>
      </c>
      <c r="J520" s="223" t="str">
        <f>'WetLitterbags placem_collection'!O81</f>
        <v>G249</v>
      </c>
      <c r="K520" s="225">
        <f>IFERROR(INDEX('Green_rooibos initial weight'!$C$5:$C$1749,MATCH(J520, 'Green_rooibos initial weight'!$A$5:$A$1749,0)),"")</f>
        <v>2.0219999999999998</v>
      </c>
      <c r="L520" s="225">
        <f>IFERROR(K520-(TBIcalc!$H$9+TBIcalc!$H$10),"")</f>
        <v>1.7721999999999998</v>
      </c>
      <c r="M520" s="391">
        <f>AVERAGE(Ashed_controlls!$K$2:$K$11)</f>
        <v>5.5147656768714146</v>
      </c>
      <c r="N520" s="225">
        <f t="shared" si="44"/>
        <v>1.6744673226744846</v>
      </c>
      <c r="O520" s="225">
        <f>IF(IFERROR(INDEX('Both teabags AfterWet'!$C$3:$C$841,MATCH(J520,'Both teabags AfterWet'!$A$3:$A$841,0)),"")="","",(IFERROR(INDEX('Both teabags AfterWet'!$C$3:$C$841,MATCH(J520,'Both teabags AfterWet'!$A$3:$A$841,0)),"")))</f>
        <v>0.97550000000000003</v>
      </c>
      <c r="P520" s="225">
        <f>IFERROR(IF(O520&gt;0,O520-(TBIcalc!$H$9),""),"")</f>
        <v>0.82489999999999997</v>
      </c>
      <c r="Q520" s="225">
        <f>IFERROR(INDEX('Ashed teabags wet'!$K$2:$K$821,MATCH(J520,'Ashed teabags wet'!$A$2:$A$821,0)),"")</f>
        <v>18.702865761691211</v>
      </c>
      <c r="R520" s="225">
        <f t="shared" si="42"/>
        <v>0.6706200603318091</v>
      </c>
      <c r="S520" s="226">
        <f>'WetLitterbags placem_collection'!E81</f>
        <v>42767</v>
      </c>
      <c r="T520" s="226">
        <f>IF('WetLitterbags placem_collection'!G81="","",'WetLitterbags placem_collection'!G81)</f>
        <v>42818</v>
      </c>
      <c r="U520" s="227">
        <f t="shared" si="43"/>
        <v>51</v>
      </c>
      <c r="V520" s="225">
        <f t="shared" si="45"/>
        <v>0.94729999999999981</v>
      </c>
      <c r="W520" s="225">
        <f t="shared" si="46"/>
        <v>1.0038472623426755</v>
      </c>
      <c r="X520">
        <f>IFERROR(INDEX(Rainfall_Wet!$O$2:$O$217,MATCH(B520, Rainfall_Wet!$A$2:$A$217,0)),"")</f>
        <v>185.630065823</v>
      </c>
      <c r="Y520" s="231">
        <v>45.272914521112256</v>
      </c>
      <c r="Z520" s="231">
        <v>23.604531410916575</v>
      </c>
      <c r="AA520" s="231">
        <v>31.122554067971166</v>
      </c>
      <c r="AB520" s="232" t="s">
        <v>2673</v>
      </c>
      <c r="AC520" s="231">
        <v>8.0547560374568796</v>
      </c>
      <c r="AD520">
        <f>IF('WetLitterbags placem_collection'!AB81="","",'WetLitterbags placem_collection'!AB81)</f>
        <v>3</v>
      </c>
      <c r="AE520">
        <f>IF('WetLitterbags placem_collection'!Z81="","",'WetLitterbags placem_collection'!Z81)</f>
        <v>5</v>
      </c>
      <c r="AF520" s="246" t="str">
        <f>IF('WetLitterbags placem_collection'!AA81="","",'WetLitterbags placem_collection'!AA81)</f>
        <v>G</v>
      </c>
      <c r="AG520">
        <f>IF('WetLitterbags placem_collection'!AC81="","",'WetLitterbags placem_collection'!AC81)</f>
        <v>1</v>
      </c>
      <c r="AH520" s="240">
        <f>AVERAGE('WetLitterbags placem_collection'!S81,'WetLitterbags placem_collection'!U81)</f>
        <v>26.9</v>
      </c>
      <c r="AI520">
        <f>AVERAGE('WetLitterbags placem_collection'!R81,'WetLitterbags placem_collection'!T81)</f>
        <v>26.25</v>
      </c>
      <c r="AJ520">
        <f>INDEX(Coordinates!$B$2:$B$197,MATCH(G520,Coordinates!$J$2:$J$197,0))</f>
        <v>-3.3026270100000001</v>
      </c>
      <c r="AK520">
        <f>INDEX(Coordinates!$C$2:$C$197,MATCH(G520,Coordinates!$J$2:$J$197,0))</f>
        <v>34.84840801</v>
      </c>
      <c r="AL520" t="str">
        <f>IF(ISNUMBER(SEARCH("C", 'WetLitterbags placem_collection'!X81)),"YES","NO")</f>
        <v>NO</v>
      </c>
      <c r="AM520" t="str">
        <f>IF(ISNUMBER(SEARCH("H", 'WetLitterbags placem_collection'!X81)),"YES","NO")</f>
        <v>NO</v>
      </c>
      <c r="AN520" t="str">
        <f>IF(ISNUMBER(SEARCH("R", 'WetLitterbags placem_collection'!X81)),"YES","NO")</f>
        <v>YES</v>
      </c>
    </row>
    <row r="521" spans="1:40" ht="15" customHeight="1">
      <c r="A521" s="258" t="s">
        <v>2460</v>
      </c>
      <c r="B521" s="263">
        <f>'Dry_Litterbag Placem_Collection'!A82</f>
        <v>80</v>
      </c>
      <c r="C521" s="263" t="str">
        <f>'Dry_Litterbag Placem_Collection'!B82</f>
        <v>Maswa</v>
      </c>
      <c r="D521" s="263" t="s">
        <v>2659</v>
      </c>
      <c r="E521" s="263" t="s">
        <v>2661</v>
      </c>
      <c r="F521" s="263">
        <v>2</v>
      </c>
      <c r="G521" s="264" t="str">
        <f>'Dry_Litterbag Placem_Collection'!C82</f>
        <v>Dry_W2_T8</v>
      </c>
      <c r="H521" s="273" t="s">
        <v>3651</v>
      </c>
      <c r="I521" s="266" t="s">
        <v>1147</v>
      </c>
      <c r="J521" s="223" t="str">
        <f>'WetLitterbags placem_collection'!O82</f>
        <v>G474</v>
      </c>
      <c r="K521" s="225">
        <f>IFERROR(INDEX('Green_rooibos initial weight'!$C$5:$C$1749,MATCH(J521, 'Green_rooibos initial weight'!$A$5:$A$1749,0)),"")</f>
        <v>2.1930000000000001</v>
      </c>
      <c r="L521" s="225">
        <f>IFERROR(K521-(TBIcalc!$H$9+TBIcalc!$H$10),"")</f>
        <v>1.9432</v>
      </c>
      <c r="M521" s="391">
        <f>AVERAGE(Ashed_controlls!$K$2:$K$11)</f>
        <v>5.5147656768714146</v>
      </c>
      <c r="N521" s="225">
        <f t="shared" si="44"/>
        <v>1.8360370733670348</v>
      </c>
      <c r="O521" s="225">
        <f>IF(IFERROR(INDEX('Both teabags AfterWet'!$C$3:$C$841,MATCH(J521,'Both teabags AfterWet'!$A$3:$A$841,0)),"")="","",(IFERROR(INDEX('Both teabags AfterWet'!$C$3:$C$841,MATCH(J521,'Both teabags AfterWet'!$A$3:$A$841,0)),"")))</f>
        <v>1.0009999999999999</v>
      </c>
      <c r="P521" s="225">
        <f>IFERROR(IF(O521&gt;0,O521-(TBIcalc!$H$9),""),"")</f>
        <v>0.85039999999999982</v>
      </c>
      <c r="Q521" s="225">
        <f>IFERROR(INDEX('Ashed teabags wet'!$K$2:$K$821,MATCH(J521,'Ashed teabags wet'!$A$2:$A$821,0)),"")</f>
        <v>5.8354114713218834</v>
      </c>
      <c r="R521" s="225">
        <f t="shared" si="42"/>
        <v>0.80077566084787855</v>
      </c>
      <c r="S521" s="226">
        <f>'WetLitterbags placem_collection'!E82</f>
        <v>42767</v>
      </c>
      <c r="T521" s="226">
        <f>IF('WetLitterbags placem_collection'!G82="","",'WetLitterbags placem_collection'!G82)</f>
        <v>42818</v>
      </c>
      <c r="U521" s="227">
        <f t="shared" si="43"/>
        <v>51</v>
      </c>
      <c r="V521" s="225">
        <f t="shared" si="45"/>
        <v>1.0928000000000002</v>
      </c>
      <c r="W521" s="225">
        <f t="shared" si="46"/>
        <v>1.0352614125191564</v>
      </c>
      <c r="X521">
        <f>IFERROR(INDEX(Rainfall_Wet!$O$2:$O$217,MATCH(B521, Rainfall_Wet!$A$2:$A$217,0)),"")</f>
        <v>185.630065823</v>
      </c>
      <c r="Y521" s="231">
        <v>45.272914521112256</v>
      </c>
      <c r="Z521" s="231">
        <v>23.604531410916575</v>
      </c>
      <c r="AA521" s="231">
        <v>31.122554067971166</v>
      </c>
      <c r="AB521" s="232" t="s">
        <v>2673</v>
      </c>
      <c r="AC521" s="231">
        <v>9.0547560374568796</v>
      </c>
      <c r="AD521">
        <f>IF('WetLitterbags placem_collection'!AB82="","",'WetLitterbags placem_collection'!AB82)</f>
        <v>2.7</v>
      </c>
      <c r="AE521">
        <f>IF('WetLitterbags placem_collection'!Z82="","",'WetLitterbags placem_collection'!Z82)</f>
        <v>12.4</v>
      </c>
      <c r="AF521" s="246" t="str">
        <f>IF('WetLitterbags placem_collection'!AA82="","",'WetLitterbags placem_collection'!AA82)</f>
        <v>O</v>
      </c>
      <c r="AG521">
        <f>IF('WetLitterbags placem_collection'!AC82="","",'WetLitterbags placem_collection'!AC82)</f>
        <v>1</v>
      </c>
      <c r="AH521" s="240">
        <f>AVERAGE('WetLitterbags placem_collection'!S82,'WetLitterbags placem_collection'!U82)</f>
        <v>28.55</v>
      </c>
      <c r="AI521">
        <f>AVERAGE('WetLitterbags placem_collection'!R82,'WetLitterbags placem_collection'!T82)</f>
        <v>27.450000000000003</v>
      </c>
      <c r="AJ521">
        <f>INDEX(Coordinates!$B$2:$B$197,MATCH(G521,Coordinates!$J$2:$J$197,0))</f>
        <v>-3.3028539920000002</v>
      </c>
      <c r="AK521">
        <f>INDEX(Coordinates!$C$2:$C$197,MATCH(G521,Coordinates!$J$2:$J$197,0))</f>
        <v>34.847988999999998</v>
      </c>
      <c r="AL521" t="str">
        <f>IF(ISNUMBER(SEARCH("C", 'WetLitterbags placem_collection'!X82)),"YES","NO")</f>
        <v>NO</v>
      </c>
      <c r="AM521" t="str">
        <f>IF(ISNUMBER(SEARCH("H", 'WetLitterbags placem_collection'!X82)),"YES","NO")</f>
        <v>NO</v>
      </c>
      <c r="AN521" t="str">
        <f>IF(ISNUMBER(SEARCH("R", 'WetLitterbags placem_collection'!X82)),"YES","NO")</f>
        <v>YES</v>
      </c>
    </row>
    <row r="522" spans="1:40" ht="15" customHeight="1">
      <c r="A522" s="258" t="s">
        <v>2460</v>
      </c>
      <c r="B522" s="263">
        <f>'Dry_Litterbag Placem_Collection'!A83</f>
        <v>81</v>
      </c>
      <c r="C522" s="263" t="str">
        <f>'Dry_Litterbag Placem_Collection'!B83</f>
        <v>Maswa</v>
      </c>
      <c r="D522" s="263" t="s">
        <v>2659</v>
      </c>
      <c r="E522" s="263" t="s">
        <v>2661</v>
      </c>
      <c r="F522" s="263">
        <v>3</v>
      </c>
      <c r="G522" s="264" t="str">
        <f>'Dry_Litterbag Placem_Collection'!C83</f>
        <v>Dry_W3_T1</v>
      </c>
      <c r="H522" s="273" t="s">
        <v>3651</v>
      </c>
      <c r="I522" s="266" t="s">
        <v>1147</v>
      </c>
      <c r="J522" s="223" t="str">
        <f>'WetLitterbags placem_collection'!O83</f>
        <v>G475</v>
      </c>
      <c r="K522" s="225">
        <f>IFERROR(INDEX('Green_rooibos initial weight'!$C$5:$C$1749,MATCH(J522, 'Green_rooibos initial weight'!$A$5:$A$1749,0)),"")</f>
        <v>2.0110000000000001</v>
      </c>
      <c r="L522" s="225">
        <f>IFERROR(K522-(TBIcalc!$H$9+TBIcalc!$H$10),"")</f>
        <v>1.7612000000000001</v>
      </c>
      <c r="M522" s="391">
        <f>AVERAGE(Ashed_controlls!$K$2:$K$11)</f>
        <v>5.5147656768714146</v>
      </c>
      <c r="N522" s="225">
        <f t="shared" si="44"/>
        <v>1.6640739468989407</v>
      </c>
      <c r="O522" s="225">
        <f>IF(IFERROR(INDEX('Both teabags AfterWet'!$C$3:$C$841,MATCH(J522,'Both teabags AfterWet'!$A$3:$A$841,0)),"")="","",(IFERROR(INDEX('Both teabags AfterWet'!$C$3:$C$841,MATCH(J522,'Both teabags AfterWet'!$A$3:$A$841,0)),"")))</f>
        <v>0.65200000000000002</v>
      </c>
      <c r="P522" s="225">
        <f>IFERROR(IF(O522&gt;0,O522-(TBIcalc!$H$9),""),"")</f>
        <v>0.50140000000000007</v>
      </c>
      <c r="Q522" s="225">
        <f>IFERROR(INDEX('Ashed teabags wet'!$K$2:$K$821,MATCH(J522,'Ashed teabags wet'!$A$2:$A$821,0)),"")</f>
        <v>11.582626060908067</v>
      </c>
      <c r="R522" s="225">
        <f t="shared" si="42"/>
        <v>0.44332471293060699</v>
      </c>
      <c r="S522" s="226">
        <f>'WetLitterbags placem_collection'!E83</f>
        <v>42767</v>
      </c>
      <c r="T522" s="226">
        <f>IF('WetLitterbags placem_collection'!G83="","",'WetLitterbags placem_collection'!G83)</f>
        <v>42818</v>
      </c>
      <c r="U522" s="227">
        <f t="shared" si="43"/>
        <v>51</v>
      </c>
      <c r="V522" s="225">
        <f t="shared" si="45"/>
        <v>1.2598</v>
      </c>
      <c r="W522" s="225">
        <f t="shared" si="46"/>
        <v>1.2207492339683337</v>
      </c>
      <c r="X522">
        <f>IFERROR(INDEX(Rainfall_Wet!$O$2:$O$217,MATCH(B522, Rainfall_Wet!$A$2:$A$217,0)),"")</f>
        <v>185.01185076100001</v>
      </c>
      <c r="Y522" s="231">
        <v>38.691629007962128</v>
      </c>
      <c r="Z522" s="231">
        <v>26.81299763288143</v>
      </c>
      <c r="AA522" s="231">
        <v>34.495373359156439</v>
      </c>
      <c r="AB522" s="232" t="s">
        <v>2675</v>
      </c>
      <c r="AC522" s="231">
        <v>2.5483587974371611</v>
      </c>
      <c r="AD522">
        <f>IF('WetLitterbags placem_collection'!AB83="","",'WetLitterbags placem_collection'!AB83)</f>
        <v>6.2</v>
      </c>
      <c r="AE522">
        <f>IF('WetLitterbags placem_collection'!Z83="","",'WetLitterbags placem_collection'!Z83)</f>
        <v>13.3</v>
      </c>
      <c r="AF522" s="246" t="str">
        <f>IF('WetLitterbags placem_collection'!AA83="","",'WetLitterbags placem_collection'!AA83)</f>
        <v>O</v>
      </c>
      <c r="AG522">
        <f>IF('WetLitterbags placem_collection'!AC83="","",'WetLitterbags placem_collection'!AC83)</f>
        <v>0</v>
      </c>
      <c r="AH522" s="240">
        <f>AVERAGE('WetLitterbags placem_collection'!S83,'WetLitterbags placem_collection'!U83)</f>
        <v>26.35</v>
      </c>
      <c r="AI522">
        <f>AVERAGE('WetLitterbags placem_collection'!R83,'WetLitterbags placem_collection'!T83)</f>
        <v>26.65</v>
      </c>
      <c r="AJ522">
        <f>INDEX(Coordinates!$B$2:$B$197,MATCH(G522,Coordinates!$J$2:$J$197,0))</f>
        <v>-3.2957159630000001</v>
      </c>
      <c r="AK522">
        <f>INDEX(Coordinates!$C$2:$C$197,MATCH(G522,Coordinates!$J$2:$J$197,0))</f>
        <v>34.852460999999998</v>
      </c>
      <c r="AL522" t="str">
        <f>IF(ISNUMBER(SEARCH("C", 'WetLitterbags placem_collection'!X83)),"YES","NO")</f>
        <v>NO</v>
      </c>
      <c r="AM522" t="str">
        <f>IF(ISNUMBER(SEARCH("H", 'WetLitterbags placem_collection'!X83)),"YES","NO")</f>
        <v>NO</v>
      </c>
      <c r="AN522" t="str">
        <f>IF(ISNUMBER(SEARCH("R", 'WetLitterbags placem_collection'!X83)),"YES","NO")</f>
        <v>YES</v>
      </c>
    </row>
    <row r="523" spans="1:40" ht="15" customHeight="1">
      <c r="A523" s="258" t="s">
        <v>2460</v>
      </c>
      <c r="B523" s="263">
        <f>'Dry_Litterbag Placem_Collection'!A84</f>
        <v>82</v>
      </c>
      <c r="C523" s="263" t="str">
        <f>'Dry_Litterbag Placem_Collection'!B84</f>
        <v>Maswa</v>
      </c>
      <c r="D523" s="263" t="s">
        <v>2659</v>
      </c>
      <c r="E523" s="263" t="s">
        <v>2661</v>
      </c>
      <c r="F523" s="263">
        <v>3</v>
      </c>
      <c r="G523" s="264" t="str">
        <f>'Dry_Litterbag Placem_Collection'!C84</f>
        <v>Dry_W3_T2</v>
      </c>
      <c r="H523" s="273" t="s">
        <v>3651</v>
      </c>
      <c r="I523" s="266" t="s">
        <v>1147</v>
      </c>
      <c r="J523" s="223" t="str">
        <f>'WetLitterbags placem_collection'!O84</f>
        <v>G840</v>
      </c>
      <c r="K523" s="225">
        <f>IFERROR(INDEX('Green_rooibos initial weight'!$C$5:$C$1749,MATCH(J523, 'Green_rooibos initial weight'!$A$5:$A$1749,0)),"")</f>
        <v>2.056</v>
      </c>
      <c r="L523" s="225">
        <f>IFERROR(K523-(TBIcalc!$H$9+TBIcalc!$H$10),"")</f>
        <v>1.8062</v>
      </c>
      <c r="M523" s="391">
        <f>AVERAGE(Ashed_controlls!$K$2:$K$11)</f>
        <v>5.5147656768714146</v>
      </c>
      <c r="N523" s="225">
        <f t="shared" si="44"/>
        <v>1.7065923023443486</v>
      </c>
      <c r="O523" s="225">
        <f>IF(IFERROR(INDEX('Both teabags AfterWet'!$C$3:$C$841,MATCH(J523,'Both teabags AfterWet'!$A$3:$A$841,0)),"")="","",(IFERROR(INDEX('Both teabags AfterWet'!$C$3:$C$841,MATCH(J523,'Both teabags AfterWet'!$A$3:$A$841,0)),"")))</f>
        <v>0.74299999999999999</v>
      </c>
      <c r="P523" s="225">
        <f>IFERROR(IF(O523&gt;0,O523-(TBIcalc!$H$9),""),"")</f>
        <v>0.59240000000000004</v>
      </c>
      <c r="Q523" s="225">
        <f>IFERROR(INDEX('Ashed teabags wet'!$K$2:$K$821,MATCH(J523,'Ashed teabags wet'!$A$2:$A$821,0)),"")</f>
        <v>8.3909180651525794</v>
      </c>
      <c r="R523" s="225">
        <f t="shared" ref="R523:R586" si="47">IFERROR(P523-(Q523/100)*P523,"")</f>
        <v>0.54269220138203611</v>
      </c>
      <c r="S523" s="226">
        <f>'WetLitterbags placem_collection'!E84</f>
        <v>42767</v>
      </c>
      <c r="T523" s="226">
        <f>IF('WetLitterbags placem_collection'!G84="","",'WetLitterbags placem_collection'!G84)</f>
        <v>42819</v>
      </c>
      <c r="U523" s="227">
        <f t="shared" si="43"/>
        <v>52</v>
      </c>
      <c r="V523" s="225">
        <f t="shared" si="45"/>
        <v>1.2138</v>
      </c>
      <c r="W523" s="225">
        <f t="shared" si="46"/>
        <v>1.1639001009623124</v>
      </c>
      <c r="X523">
        <f>IFERROR(INDEX(Rainfall_Wet!$O$2:$O$217,MATCH(B523, Rainfall_Wet!$A$2:$A$217,0)),"")</f>
        <v>194.93009798400001</v>
      </c>
      <c r="Y523" s="231">
        <v>38.691629007962128</v>
      </c>
      <c r="Z523" s="231">
        <v>26.81299763288143</v>
      </c>
      <c r="AA523" s="231">
        <v>34.495373359156439</v>
      </c>
      <c r="AB523" s="232" t="s">
        <v>2675</v>
      </c>
      <c r="AC523" s="231">
        <v>3.5483587974371602</v>
      </c>
      <c r="AD523">
        <f>IF('WetLitterbags placem_collection'!AB84="","",'WetLitterbags placem_collection'!AB84)</f>
        <v>2.4</v>
      </c>
      <c r="AE523">
        <f>IF('WetLitterbags placem_collection'!Z84="","",'WetLitterbags placem_collection'!Z84)</f>
        <v>16.600000000000001</v>
      </c>
      <c r="AF523" s="246" t="str">
        <f>IF('WetLitterbags placem_collection'!AA84="","",'WetLitterbags placem_collection'!AA84)</f>
        <v>O</v>
      </c>
      <c r="AG523" t="str">
        <f>IF('WetLitterbags placem_collection'!AC84="","",'WetLitterbags placem_collection'!AC84)</f>
        <v/>
      </c>
      <c r="AH523" s="240">
        <f>AVERAGE('WetLitterbags placem_collection'!S84,'WetLitterbags placem_collection'!U84)</f>
        <v>26.6</v>
      </c>
      <c r="AI523">
        <f>AVERAGE('WetLitterbags placem_collection'!R84,'WetLitterbags placem_collection'!T84)</f>
        <v>23.05</v>
      </c>
      <c r="AJ523">
        <f>INDEX(Coordinates!$B$2:$B$197,MATCH(G523,Coordinates!$J$2:$J$197,0))</f>
        <v>-3.2957230040000001</v>
      </c>
      <c r="AK523">
        <f>INDEX(Coordinates!$C$2:$C$197,MATCH(G523,Coordinates!$J$2:$J$197,0))</f>
        <v>34.852416990000002</v>
      </c>
      <c r="AL523" t="str">
        <f>IF(ISNUMBER(SEARCH("C", 'WetLitterbags placem_collection'!X84)),"YES","NO")</f>
        <v>NO</v>
      </c>
      <c r="AM523" t="str">
        <f>IF(ISNUMBER(SEARCH("H", 'WetLitterbags placem_collection'!X84)),"YES","NO")</f>
        <v>NO</v>
      </c>
      <c r="AN523" t="str">
        <f>IF(ISNUMBER(SEARCH("R", 'WetLitterbags placem_collection'!X84)),"YES","NO")</f>
        <v>YES</v>
      </c>
    </row>
    <row r="524" spans="1:40" ht="15" customHeight="1">
      <c r="A524" s="258" t="s">
        <v>2460</v>
      </c>
      <c r="B524" s="263">
        <f>'Dry_Litterbag Placem_Collection'!A85</f>
        <v>83</v>
      </c>
      <c r="C524" s="263" t="str">
        <f>'Dry_Litterbag Placem_Collection'!B85</f>
        <v>Maswa</v>
      </c>
      <c r="D524" s="263" t="s">
        <v>2659</v>
      </c>
      <c r="E524" s="263" t="s">
        <v>2661</v>
      </c>
      <c r="F524" s="263">
        <v>3</v>
      </c>
      <c r="G524" s="264" t="str">
        <f>'Dry_Litterbag Placem_Collection'!C85</f>
        <v>Dry_W3_T3</v>
      </c>
      <c r="H524" s="273" t="s">
        <v>3651</v>
      </c>
      <c r="I524" s="266" t="s">
        <v>1147</v>
      </c>
      <c r="J524" s="223" t="str">
        <f>'WetLitterbags placem_collection'!O85</f>
        <v>G298</v>
      </c>
      <c r="K524" s="225">
        <f>IFERROR(INDEX('Green_rooibos initial weight'!$C$5:$C$1749,MATCH(J524, 'Green_rooibos initial weight'!$A$5:$A$1749,0)),"")</f>
        <v>2.0550000000000002</v>
      </c>
      <c r="L524" s="225">
        <f>IFERROR(K524-(TBIcalc!$H$9+TBIcalc!$H$10),"")</f>
        <v>1.8052000000000001</v>
      </c>
      <c r="M524" s="391">
        <f>AVERAGE(Ashed_controlls!$K$2:$K$11)</f>
        <v>5.5147656768714146</v>
      </c>
      <c r="N524" s="225">
        <f t="shared" si="44"/>
        <v>1.7056474500011174</v>
      </c>
      <c r="O524" s="225">
        <f>IF(IFERROR(INDEX('Both teabags AfterWet'!$C$3:$C$841,MATCH(J524,'Both teabags AfterWet'!$A$3:$A$841,0)),"")="","",(IFERROR(INDEX('Both teabags AfterWet'!$C$3:$C$841,MATCH(J524,'Both teabags AfterWet'!$A$3:$A$841,0)),"")))</f>
        <v>0.88800000000000001</v>
      </c>
      <c r="P524" s="225">
        <f>IFERROR(IF(O524&gt;0,O524-(TBIcalc!$H$9),""),"")</f>
        <v>0.73740000000000006</v>
      </c>
      <c r="Q524" s="225">
        <f>IFERROR(INDEX('Ashed teabags wet'!$K$2:$K$821,MATCH(J524,'Ashed teabags wet'!$A$2:$A$821,0)),"")</f>
        <v>14.849074975657658</v>
      </c>
      <c r="R524" s="225">
        <f t="shared" si="47"/>
        <v>0.62790292112950041</v>
      </c>
      <c r="S524" s="226">
        <f>'WetLitterbags placem_collection'!E85</f>
        <v>42767</v>
      </c>
      <c r="T524" s="226">
        <f>IF('WetLitterbags placem_collection'!G85="","",'WetLitterbags placem_collection'!G85)</f>
        <v>42819</v>
      </c>
      <c r="U524" s="227">
        <f t="shared" si="43"/>
        <v>52</v>
      </c>
      <c r="V524" s="225">
        <f t="shared" si="45"/>
        <v>1.0678000000000001</v>
      </c>
      <c r="W524" s="225">
        <f t="shared" si="46"/>
        <v>1.077744528871617</v>
      </c>
      <c r="X524">
        <f>IFERROR(INDEX(Rainfall_Wet!$O$2:$O$217,MATCH(B524, Rainfall_Wet!$A$2:$A$217,0)),"")</f>
        <v>194.93009798400001</v>
      </c>
      <c r="Y524" s="231">
        <v>38.691629007962128</v>
      </c>
      <c r="Z524" s="231">
        <v>26.81299763288143</v>
      </c>
      <c r="AA524" s="231">
        <v>34.495373359156439</v>
      </c>
      <c r="AB524" s="232" t="s">
        <v>2675</v>
      </c>
      <c r="AC524" s="231">
        <v>4.5483587974371602</v>
      </c>
      <c r="AD524">
        <f>IF('WetLitterbags placem_collection'!AB85="","",'WetLitterbags placem_collection'!AB85)</f>
        <v>6.4</v>
      </c>
      <c r="AE524">
        <f>IF('WetLitterbags placem_collection'!Z85="","",'WetLitterbags placem_collection'!Z85)</f>
        <v>42</v>
      </c>
      <c r="AF524" s="246" t="str">
        <f>IF('WetLitterbags placem_collection'!AA85="","",'WetLitterbags placem_collection'!AA85)</f>
        <v>M</v>
      </c>
      <c r="AG524">
        <f>IF('WetLitterbags placem_collection'!AC85="","",'WetLitterbags placem_collection'!AC85)</f>
        <v>1</v>
      </c>
      <c r="AH524" s="240">
        <f>AVERAGE('WetLitterbags placem_collection'!S85,'WetLitterbags placem_collection'!U85)</f>
        <v>30.099999999999998</v>
      </c>
      <c r="AI524">
        <f>AVERAGE('WetLitterbags placem_collection'!R85,'WetLitterbags placem_collection'!T85)</f>
        <v>25.05</v>
      </c>
      <c r="AJ524">
        <f>INDEX(Coordinates!$B$2:$B$197,MATCH(G524,Coordinates!$J$2:$J$197,0))</f>
        <v>-3.2957430369999998</v>
      </c>
      <c r="AK524">
        <f>INDEX(Coordinates!$C$2:$C$197,MATCH(G524,Coordinates!$J$2:$J$197,0))</f>
        <v>34.852309030000001</v>
      </c>
      <c r="AL524" t="str">
        <f>IF(ISNUMBER(SEARCH("C", 'WetLitterbags placem_collection'!X85)),"YES","NO")</f>
        <v>NO</v>
      </c>
      <c r="AM524" t="str">
        <f>IF(ISNUMBER(SEARCH("H", 'WetLitterbags placem_collection'!X85)),"YES","NO")</f>
        <v>NO</v>
      </c>
      <c r="AN524" t="str">
        <f>IF(ISNUMBER(SEARCH("R", 'WetLitterbags placem_collection'!X85)),"YES","NO")</f>
        <v>YES</v>
      </c>
    </row>
    <row r="525" spans="1:40" ht="15" customHeight="1">
      <c r="A525" s="258" t="s">
        <v>2460</v>
      </c>
      <c r="B525" s="263">
        <f>'Dry_Litterbag Placem_Collection'!A86</f>
        <v>84</v>
      </c>
      <c r="C525" s="263" t="str">
        <f>'Dry_Litterbag Placem_Collection'!B86</f>
        <v>Maswa</v>
      </c>
      <c r="D525" s="263" t="s">
        <v>2659</v>
      </c>
      <c r="E525" s="263" t="s">
        <v>2661</v>
      </c>
      <c r="F525" s="263">
        <v>3</v>
      </c>
      <c r="G525" s="264" t="str">
        <f>'Dry_Litterbag Placem_Collection'!C86</f>
        <v>Dry_W3_T4</v>
      </c>
      <c r="H525" s="273" t="s">
        <v>3651</v>
      </c>
      <c r="I525" s="266" t="s">
        <v>1147</v>
      </c>
      <c r="J525" s="223" t="str">
        <f>'WetLitterbags placem_collection'!O86</f>
        <v>G520</v>
      </c>
      <c r="K525" s="225">
        <f>IFERROR(INDEX('Green_rooibos initial weight'!$C$5:$C$1749,MATCH(J525, 'Green_rooibos initial weight'!$A$5:$A$1749,0)),"")</f>
        <v>1.929</v>
      </c>
      <c r="L525" s="225">
        <f>IFERROR(K525-(TBIcalc!$H$9+TBIcalc!$H$10),"")</f>
        <v>1.6792</v>
      </c>
      <c r="M525" s="391">
        <f>AVERAGE(Ashed_controlls!$K$2:$K$11)</f>
        <v>5.5147656768714146</v>
      </c>
      <c r="N525" s="225">
        <f t="shared" si="44"/>
        <v>1.5865960547539752</v>
      </c>
      <c r="O525" s="225">
        <f>IF(IFERROR(INDEX('Both teabags AfterWet'!$C$3:$C$841,MATCH(J525,'Both teabags AfterWet'!$A$3:$A$841,0)),"")="","",(IFERROR(INDEX('Both teabags AfterWet'!$C$3:$C$841,MATCH(J525,'Both teabags AfterWet'!$A$3:$A$841,0)),"")))</f>
        <v>0.81299999999999994</v>
      </c>
      <c r="P525" s="225">
        <f>IFERROR(IF(O525&gt;0,O525-(TBIcalc!$H$9),""),"")</f>
        <v>0.66239999999999988</v>
      </c>
      <c r="Q525" s="225">
        <f>IFERROR(INDEX('Ashed teabags wet'!$K$2:$K$821,MATCH(J525,'Ashed teabags wet'!$A$2:$A$821,0)),"")</f>
        <v>10.723192019949995</v>
      </c>
      <c r="R525" s="225">
        <f t="shared" si="47"/>
        <v>0.59136957605985108</v>
      </c>
      <c r="S525" s="226">
        <f>'WetLitterbags placem_collection'!E86</f>
        <v>42767</v>
      </c>
      <c r="T525" s="226">
        <f>IF('WetLitterbags placem_collection'!G86="","",'WetLitterbags placem_collection'!G86)</f>
        <v>42819</v>
      </c>
      <c r="U525" s="227">
        <f t="shared" si="43"/>
        <v>52</v>
      </c>
      <c r="V525" s="225">
        <f t="shared" si="45"/>
        <v>1.0168000000000001</v>
      </c>
      <c r="W525" s="225">
        <f t="shared" si="46"/>
        <v>0.99522647869412417</v>
      </c>
      <c r="X525">
        <f>IFERROR(INDEX(Rainfall_Wet!$O$2:$O$217,MATCH(B525, Rainfall_Wet!$A$2:$A$217,0)),"")</f>
        <v>194.93009798400001</v>
      </c>
      <c r="Y525" s="231">
        <v>38.691629007962128</v>
      </c>
      <c r="Z525" s="231">
        <v>26.81299763288143</v>
      </c>
      <c r="AA525" s="231">
        <v>34.495373359156439</v>
      </c>
      <c r="AB525" s="232" t="s">
        <v>2675</v>
      </c>
      <c r="AC525" s="231">
        <v>5.5483587974371602</v>
      </c>
      <c r="AD525">
        <f>IF('WetLitterbags placem_collection'!AB86="","",'WetLitterbags placem_collection'!AB86)</f>
        <v>5.5</v>
      </c>
      <c r="AE525">
        <f>IF('WetLitterbags placem_collection'!Z86="","",'WetLitterbags placem_collection'!Z86)</f>
        <v>55.8</v>
      </c>
      <c r="AF525" s="246" t="str">
        <f>IF('WetLitterbags placem_collection'!AA86="","",'WetLitterbags placem_collection'!AA86)</f>
        <v>M</v>
      </c>
      <c r="AG525">
        <f>IF('WetLitterbags placem_collection'!AC86="","",'WetLitterbags placem_collection'!AC86)</f>
        <v>1</v>
      </c>
      <c r="AH525" s="240">
        <f>AVERAGE('WetLitterbags placem_collection'!S86,'WetLitterbags placem_collection'!U86)</f>
        <v>27.75</v>
      </c>
      <c r="AI525">
        <f>AVERAGE('WetLitterbags placem_collection'!R86,'WetLitterbags placem_collection'!T86)</f>
        <v>23.6</v>
      </c>
      <c r="AJ525">
        <f>INDEX(Coordinates!$B$2:$B$197,MATCH(G525,Coordinates!$J$2:$J$197,0))</f>
        <v>-3.295795005</v>
      </c>
      <c r="AK525">
        <f>INDEX(Coordinates!$C$2:$C$197,MATCH(G525,Coordinates!$J$2:$J$197,0))</f>
        <v>34.85232001</v>
      </c>
      <c r="AL525" t="str">
        <f>IF(ISNUMBER(SEARCH("C", 'WetLitterbags placem_collection'!X86)),"YES","NO")</f>
        <v>NO</v>
      </c>
      <c r="AM525" t="str">
        <f>IF(ISNUMBER(SEARCH("H", 'WetLitterbags placem_collection'!X86)),"YES","NO")</f>
        <v>NO</v>
      </c>
      <c r="AN525" t="str">
        <f>IF(ISNUMBER(SEARCH("R", 'WetLitterbags placem_collection'!X86)),"YES","NO")</f>
        <v>YES</v>
      </c>
    </row>
    <row r="526" spans="1:40" ht="15" customHeight="1">
      <c r="A526" s="258" t="s">
        <v>2460</v>
      </c>
      <c r="B526" s="263">
        <f>'Dry_Litterbag Placem_Collection'!A87</f>
        <v>85</v>
      </c>
      <c r="C526" s="263" t="str">
        <f>'Dry_Litterbag Placem_Collection'!B87</f>
        <v>Maswa</v>
      </c>
      <c r="D526" s="263" t="s">
        <v>2659</v>
      </c>
      <c r="E526" s="263" t="s">
        <v>2661</v>
      </c>
      <c r="F526" s="263">
        <v>3</v>
      </c>
      <c r="G526" s="264" t="str">
        <f>'Dry_Litterbag Placem_Collection'!C87</f>
        <v>Dry_W3_T5</v>
      </c>
      <c r="H526" s="273" t="s">
        <v>3651</v>
      </c>
      <c r="I526" s="266" t="s">
        <v>1147</v>
      </c>
      <c r="J526" s="223" t="str">
        <f>'WetLitterbags placem_collection'!O87</f>
        <v>G441</v>
      </c>
      <c r="K526" s="225">
        <f>IFERROR(INDEX('Green_rooibos initial weight'!$C$5:$C$1749,MATCH(J526, 'Green_rooibos initial weight'!$A$5:$A$1749,0)),"")</f>
        <v>2.1040000000000001</v>
      </c>
      <c r="L526" s="225">
        <f>IFERROR(K526-(TBIcalc!$H$9+TBIcalc!$H$10),"")</f>
        <v>1.8542000000000001</v>
      </c>
      <c r="M526" s="391">
        <f>AVERAGE(Ashed_controlls!$K$2:$K$11)</f>
        <v>5.5147656768714146</v>
      </c>
      <c r="N526" s="225">
        <f t="shared" si="44"/>
        <v>1.7519452148194503</v>
      </c>
      <c r="O526" s="225">
        <f>IF(IFERROR(INDEX('Both teabags AfterWet'!$C$3:$C$841,MATCH(J526,'Both teabags AfterWet'!$A$3:$A$841,0)),"")="","",(IFERROR(INDEX('Both teabags AfterWet'!$C$3:$C$841,MATCH(J526,'Both teabags AfterWet'!$A$3:$A$841,0)),"")))</f>
        <v>0.96599999999999997</v>
      </c>
      <c r="P526" s="225">
        <f>IFERROR(IF(O526&gt;0,O526-(TBIcalc!$H$9),""),"")</f>
        <v>0.8153999999999999</v>
      </c>
      <c r="Q526" s="225">
        <f>IFERROR(INDEX('Ashed teabags wet'!$K$2:$K$821,MATCH(J526,'Ashed teabags wet'!$A$2:$A$821,0)),"")</f>
        <v>11.595639246779045</v>
      </c>
      <c r="R526" s="225">
        <f t="shared" si="47"/>
        <v>0.7208491575817636</v>
      </c>
      <c r="S526" s="226">
        <f>'WetLitterbags placem_collection'!E87</f>
        <v>42767</v>
      </c>
      <c r="T526" s="226">
        <f>IF('WetLitterbags placem_collection'!G87="","",'WetLitterbags placem_collection'!G87)</f>
        <v>42819</v>
      </c>
      <c r="U526" s="227">
        <f t="shared" si="43"/>
        <v>52</v>
      </c>
      <c r="V526" s="225">
        <f t="shared" si="45"/>
        <v>1.0388000000000002</v>
      </c>
      <c r="W526" s="225">
        <f t="shared" si="46"/>
        <v>1.0310960572376868</v>
      </c>
      <c r="X526">
        <f>IFERROR(INDEX(Rainfall_Wet!$O$2:$O$217,MATCH(B526, Rainfall_Wet!$A$2:$A$217,0)),"")</f>
        <v>194.93009798400001</v>
      </c>
      <c r="Y526" s="231">
        <v>38.691629007962128</v>
      </c>
      <c r="Z526" s="231">
        <v>26.81299763288143</v>
      </c>
      <c r="AA526" s="231">
        <v>34.495373359156439</v>
      </c>
      <c r="AB526" s="232" t="s">
        <v>2675</v>
      </c>
      <c r="AC526" s="231">
        <v>6.5483587974371602</v>
      </c>
      <c r="AD526">
        <f>IF('WetLitterbags placem_collection'!AB87="","",'WetLitterbags placem_collection'!AB87)</f>
        <v>8.6</v>
      </c>
      <c r="AE526">
        <f>IF('WetLitterbags placem_collection'!Z87="","",'WetLitterbags placem_collection'!Z87)</f>
        <v>3.8</v>
      </c>
      <c r="AF526" s="246" t="str">
        <f>IF('WetLitterbags placem_collection'!AA87="","",'WetLitterbags placem_collection'!AA87)</f>
        <v>O</v>
      </c>
      <c r="AG526">
        <f>IF('WetLitterbags placem_collection'!AC87="","",'WetLitterbags placem_collection'!AC87)</f>
        <v>0</v>
      </c>
      <c r="AH526" s="240">
        <f>AVERAGE('WetLitterbags placem_collection'!S87,'WetLitterbags placem_collection'!U87)</f>
        <v>26.55</v>
      </c>
      <c r="AI526">
        <f>AVERAGE('WetLitterbags placem_collection'!R87,'WetLitterbags placem_collection'!T87)</f>
        <v>23.15</v>
      </c>
      <c r="AJ526">
        <f>INDEX(Coordinates!$B$2:$B$197,MATCH(G526,Coordinates!$J$2:$J$197,0))</f>
        <v>-3.2957100119999998</v>
      </c>
      <c r="AK526">
        <f>INDEX(Coordinates!$C$2:$C$197,MATCH(G526,Coordinates!$J$2:$J$197,0))</f>
        <v>34.852283970000002</v>
      </c>
      <c r="AL526" t="str">
        <f>IF(ISNUMBER(SEARCH("C", 'WetLitterbags placem_collection'!X87)),"YES","NO")</f>
        <v>NO</v>
      </c>
      <c r="AM526" t="str">
        <f>IF(ISNUMBER(SEARCH("H", 'WetLitterbags placem_collection'!X87)),"YES","NO")</f>
        <v>NO</v>
      </c>
      <c r="AN526" t="str">
        <f>IF(ISNUMBER(SEARCH("R", 'WetLitterbags placem_collection'!X87)),"YES","NO")</f>
        <v>YES</v>
      </c>
    </row>
    <row r="527" spans="1:40" ht="15" customHeight="1">
      <c r="A527" s="258" t="s">
        <v>2460</v>
      </c>
      <c r="B527" s="263">
        <f>'Dry_Litterbag Placem_Collection'!A88</f>
        <v>86</v>
      </c>
      <c r="C527" s="263" t="str">
        <f>'Dry_Litterbag Placem_Collection'!B88</f>
        <v>Maswa</v>
      </c>
      <c r="D527" s="263" t="s">
        <v>2659</v>
      </c>
      <c r="E527" s="263" t="s">
        <v>2661</v>
      </c>
      <c r="F527" s="263">
        <v>3</v>
      </c>
      <c r="G527" s="264" t="str">
        <f>'Dry_Litterbag Placem_Collection'!C88</f>
        <v>Dry_W3_T6</v>
      </c>
      <c r="H527" s="273" t="s">
        <v>3651</v>
      </c>
      <c r="I527" s="266" t="s">
        <v>1147</v>
      </c>
      <c r="J527" s="223" t="str">
        <f>'WetLitterbags placem_collection'!O88</f>
        <v>G561</v>
      </c>
      <c r="K527" s="225">
        <f>IFERROR(INDEX('Green_rooibos initial weight'!$C$5:$C$1749,MATCH(J527, 'Green_rooibos initial weight'!$A$5:$A$1749,0)),"")</f>
        <v>2.1259999999999999</v>
      </c>
      <c r="L527" s="225">
        <f>IFERROR(K527-(TBIcalc!$H$9+TBIcalc!$H$10),"")</f>
        <v>1.8761999999999999</v>
      </c>
      <c r="M527" s="391">
        <f>AVERAGE(Ashed_controlls!$K$2:$K$11)</f>
        <v>5.5147656768714146</v>
      </c>
      <c r="N527" s="225">
        <f t="shared" si="44"/>
        <v>1.7727319663705383</v>
      </c>
      <c r="O527" s="225">
        <f>IF(IFERROR(INDEX('Both teabags AfterWet'!$C$3:$C$841,MATCH(J527,'Both teabags AfterWet'!$A$3:$A$841,0)),"")="","",(IFERROR(INDEX('Both teabags AfterWet'!$C$3:$C$841,MATCH(J527,'Both teabags AfterWet'!$A$3:$A$841,0)),"")))</f>
        <v>0.74650000000000005</v>
      </c>
      <c r="P527" s="225">
        <f>IFERROR(IF(O527&gt;0,O527-(TBIcalc!$H$9),""),"")</f>
        <v>0.5959000000000001</v>
      </c>
      <c r="Q527" s="225">
        <f>IFERROR(INDEX('Ashed teabags wet'!$K$2:$K$821,MATCH(J527,'Ashed teabags wet'!$A$2:$A$821,0)),"")</f>
        <v>8.6978131212732563</v>
      </c>
      <c r="R527" s="225">
        <f t="shared" si="47"/>
        <v>0.54406973161033279</v>
      </c>
      <c r="S527" s="226">
        <f>'WetLitterbags placem_collection'!E88</f>
        <v>42767</v>
      </c>
      <c r="T527" s="226">
        <f>IF('WetLitterbags placem_collection'!G88="","",'WetLitterbags placem_collection'!G88)</f>
        <v>42819</v>
      </c>
      <c r="U527" s="227">
        <f t="shared" si="43"/>
        <v>52</v>
      </c>
      <c r="V527" s="225">
        <f t="shared" si="45"/>
        <v>1.2802999999999998</v>
      </c>
      <c r="W527" s="225">
        <f t="shared" si="46"/>
        <v>1.2286622347602054</v>
      </c>
      <c r="X527">
        <f>IFERROR(INDEX(Rainfall_Wet!$O$2:$O$217,MATCH(B527, Rainfall_Wet!$A$2:$A$217,0)),"")</f>
        <v>194.93009798400001</v>
      </c>
      <c r="Y527" s="231">
        <v>38.691629007962128</v>
      </c>
      <c r="Z527" s="231">
        <v>26.81299763288143</v>
      </c>
      <c r="AA527" s="231">
        <v>34.495373359156439</v>
      </c>
      <c r="AB527" s="232" t="s">
        <v>2675</v>
      </c>
      <c r="AC527" s="231">
        <v>7.5483587974371602</v>
      </c>
      <c r="AD527">
        <f>IF('WetLitterbags placem_collection'!AB88="","",'WetLitterbags placem_collection'!AB88)</f>
        <v>3.7</v>
      </c>
      <c r="AE527">
        <f>IF('WetLitterbags placem_collection'!Z88="","",'WetLitterbags placem_collection'!Z88)</f>
        <v>7.5</v>
      </c>
      <c r="AF527" s="246" t="str">
        <f>IF('WetLitterbags placem_collection'!AA88="","",'WetLitterbags placem_collection'!AA88)</f>
        <v>O</v>
      </c>
      <c r="AG527">
        <f>IF('WetLitterbags placem_collection'!AC88="","",'WetLitterbags placem_collection'!AC88)</f>
        <v>0</v>
      </c>
      <c r="AH527" s="240">
        <f>AVERAGE('WetLitterbags placem_collection'!S88,'WetLitterbags placem_collection'!U88)</f>
        <v>24.05</v>
      </c>
      <c r="AI527">
        <f>AVERAGE('WetLitterbags placem_collection'!R88,'WetLitterbags placem_collection'!T88)</f>
        <v>25.799999999999997</v>
      </c>
      <c r="AJ527">
        <f>INDEX(Coordinates!$B$2:$B$197,MATCH(G527,Coordinates!$J$2:$J$197,0))</f>
        <v>-3.2956140399999998</v>
      </c>
      <c r="AK527">
        <f>INDEX(Coordinates!$C$2:$C$197,MATCH(G527,Coordinates!$J$2:$J$197,0))</f>
        <v>34.852137030000002</v>
      </c>
      <c r="AL527" t="str">
        <f>IF(ISNUMBER(SEARCH("C", 'WetLitterbags placem_collection'!X88)),"YES","NO")</f>
        <v>NO</v>
      </c>
      <c r="AM527" t="str">
        <f>IF(ISNUMBER(SEARCH("H", 'WetLitterbags placem_collection'!X88)),"YES","NO")</f>
        <v>NO</v>
      </c>
      <c r="AN527" t="str">
        <f>IF(ISNUMBER(SEARCH("R", 'WetLitterbags placem_collection'!X88)),"YES","NO")</f>
        <v>YES</v>
      </c>
    </row>
    <row r="528" spans="1:40" ht="15" customHeight="1">
      <c r="A528" s="258" t="s">
        <v>2460</v>
      </c>
      <c r="B528" s="263">
        <f>'Dry_Litterbag Placem_Collection'!A89</f>
        <v>87</v>
      </c>
      <c r="C528" s="263" t="str">
        <f>'Dry_Litterbag Placem_Collection'!B89</f>
        <v>Maswa</v>
      </c>
      <c r="D528" s="263" t="s">
        <v>2659</v>
      </c>
      <c r="E528" s="263" t="s">
        <v>2661</v>
      </c>
      <c r="F528" s="263">
        <v>3</v>
      </c>
      <c r="G528" s="264" t="str">
        <f>'Dry_Litterbag Placem_Collection'!C89</f>
        <v>Dry_W3_T7</v>
      </c>
      <c r="H528" s="273" t="s">
        <v>3651</v>
      </c>
      <c r="I528" s="266" t="s">
        <v>1147</v>
      </c>
      <c r="J528" s="223" t="str">
        <f>'WetLitterbags placem_collection'!O89</f>
        <v>G632</v>
      </c>
      <c r="K528" s="225">
        <f>IFERROR(INDEX('Green_rooibos initial weight'!$C$5:$C$1749,MATCH(J528, 'Green_rooibos initial weight'!$A$5:$A$1749,0)),"")</f>
        <v>2.0779999999999998</v>
      </c>
      <c r="L528" s="225">
        <f>IFERROR(K528-(TBIcalc!$H$9+TBIcalc!$H$10),"")</f>
        <v>1.8281999999999998</v>
      </c>
      <c r="M528" s="391">
        <f>AVERAGE(Ashed_controlls!$K$2:$K$11)</f>
        <v>5.5147656768714146</v>
      </c>
      <c r="N528" s="225">
        <f t="shared" si="44"/>
        <v>1.7273790538954366</v>
      </c>
      <c r="O528" s="225">
        <f>IF(IFERROR(INDEX('Both teabags AfterWet'!$C$3:$C$841,MATCH(J528,'Both teabags AfterWet'!$A$3:$A$841,0)),"")="","",(IFERROR(INDEX('Both teabags AfterWet'!$C$3:$C$841,MATCH(J528,'Both teabags AfterWet'!$A$3:$A$841,0)),"")))</f>
        <v>0.81640000000000001</v>
      </c>
      <c r="P528" s="225">
        <f>IFERROR(IF(O528&gt;0,O528-(TBIcalc!$H$9),""),"")</f>
        <v>0.66579999999999995</v>
      </c>
      <c r="Q528" s="225">
        <f>IFERROR(INDEX('Ashed teabags wet'!$K$2:$K$821,MATCH(J528,'Ashed teabags wet'!$A$2:$A$821,0)),"")</f>
        <v>14.564493098524098</v>
      </c>
      <c r="R528" s="225">
        <f t="shared" si="47"/>
        <v>0.56882960495002655</v>
      </c>
      <c r="S528" s="226">
        <f>'WetLitterbags placem_collection'!E89</f>
        <v>42767</v>
      </c>
      <c r="T528" s="226">
        <f>IF('WetLitterbags placem_collection'!G89="","",'WetLitterbags placem_collection'!G89)</f>
        <v>42819</v>
      </c>
      <c r="U528" s="227">
        <f t="shared" si="43"/>
        <v>52</v>
      </c>
      <c r="V528" s="225">
        <f t="shared" si="45"/>
        <v>1.1623999999999999</v>
      </c>
      <c r="W528" s="225">
        <f t="shared" si="46"/>
        <v>1.15854944894541</v>
      </c>
      <c r="X528">
        <f>IFERROR(INDEX(Rainfall_Wet!$O$2:$O$217,MATCH(B528, Rainfall_Wet!$A$2:$A$217,0)),"")</f>
        <v>194.93009798400001</v>
      </c>
      <c r="Y528" s="231">
        <v>38.691629007962128</v>
      </c>
      <c r="Z528" s="231">
        <v>26.81299763288143</v>
      </c>
      <c r="AA528" s="231">
        <v>34.495373359156439</v>
      </c>
      <c r="AB528" s="232" t="s">
        <v>2675</v>
      </c>
      <c r="AC528" s="231">
        <v>8.5483587974371602</v>
      </c>
      <c r="AD528">
        <f>IF('WetLitterbags placem_collection'!AB89="","",'WetLitterbags placem_collection'!AB89)</f>
        <v>7.5</v>
      </c>
      <c r="AE528">
        <f>IF('WetLitterbags placem_collection'!Z89="","",'WetLitterbags placem_collection'!Z89)</f>
        <v>12.6</v>
      </c>
      <c r="AF528" s="246" t="str">
        <f>IF('WetLitterbags placem_collection'!AA89="","",'WetLitterbags placem_collection'!AA89)</f>
        <v>O</v>
      </c>
      <c r="AG528">
        <f>IF('WetLitterbags placem_collection'!AC89="","",'WetLitterbags placem_collection'!AC89)</f>
        <v>1</v>
      </c>
      <c r="AH528" s="240">
        <f>AVERAGE('WetLitterbags placem_collection'!S89,'WetLitterbags placem_collection'!U89)</f>
        <v>25.85</v>
      </c>
      <c r="AI528">
        <f>AVERAGE('WetLitterbags placem_collection'!R89,'WetLitterbags placem_collection'!T89)</f>
        <v>21.55</v>
      </c>
      <c r="AJ528">
        <f>INDEX(Coordinates!$B$2:$B$197,MATCH(G528,Coordinates!$J$2:$J$197,0))</f>
        <v>-3.295904975</v>
      </c>
      <c r="AK528">
        <f>INDEX(Coordinates!$C$2:$C$197,MATCH(G528,Coordinates!$J$2:$J$197,0))</f>
        <v>34.852136029999997</v>
      </c>
      <c r="AL528" t="str">
        <f>IF(ISNUMBER(SEARCH("C", 'WetLitterbags placem_collection'!X89)),"YES","NO")</f>
        <v>NO</v>
      </c>
      <c r="AM528" t="str">
        <f>IF(ISNUMBER(SEARCH("H", 'WetLitterbags placem_collection'!X89)),"YES","NO")</f>
        <v>NO</v>
      </c>
      <c r="AN528" t="str">
        <f>IF(ISNUMBER(SEARCH("R", 'WetLitterbags placem_collection'!X89)),"YES","NO")</f>
        <v>YES</v>
      </c>
    </row>
    <row r="529" spans="1:40" ht="15" customHeight="1">
      <c r="A529" s="258" t="s">
        <v>2460</v>
      </c>
      <c r="B529" s="263">
        <f>'Dry_Litterbag Placem_Collection'!A90</f>
        <v>88</v>
      </c>
      <c r="C529" s="263" t="str">
        <f>'Dry_Litterbag Placem_Collection'!B90</f>
        <v>Maswa</v>
      </c>
      <c r="D529" s="263" t="s">
        <v>2659</v>
      </c>
      <c r="E529" s="263" t="s">
        <v>2661</v>
      </c>
      <c r="F529" s="263">
        <v>3</v>
      </c>
      <c r="G529" s="264" t="str">
        <f>'Dry_Litterbag Placem_Collection'!C90</f>
        <v>Dry_W3_T8</v>
      </c>
      <c r="H529" s="273" t="s">
        <v>3651</v>
      </c>
      <c r="I529" s="266" t="s">
        <v>1147</v>
      </c>
      <c r="J529" s="223" t="str">
        <f>'WetLitterbags placem_collection'!O90</f>
        <v>G611</v>
      </c>
      <c r="K529" s="225">
        <f>IFERROR(INDEX('Green_rooibos initial weight'!$C$5:$C$1749,MATCH(J529, 'Green_rooibos initial weight'!$A$5:$A$1749,0)),"")</f>
        <v>1.99</v>
      </c>
      <c r="L529" s="225">
        <f>IFERROR(K529-(TBIcalc!$H$9+TBIcalc!$H$10),"")</f>
        <v>1.7402</v>
      </c>
      <c r="M529" s="391">
        <f>AVERAGE(Ashed_controlls!$K$2:$K$11)</f>
        <v>5.5147656768714146</v>
      </c>
      <c r="N529" s="225">
        <f t="shared" si="44"/>
        <v>1.6442320476910837</v>
      </c>
      <c r="O529" s="225" t="str">
        <f>IF(IFERROR(INDEX('Both teabags AfterWet'!$C$3:$C$841,MATCH(J529,'Both teabags AfterWet'!$A$3:$A$841,0)),"")="","",(IFERROR(INDEX('Both teabags AfterWet'!$C$3:$C$841,MATCH(J529,'Both teabags AfterWet'!$A$3:$A$841,0)),"")))</f>
        <v/>
      </c>
      <c r="P529" s="225" t="str">
        <f>IFERROR(IF(O529&gt;0,O529-(TBIcalc!$H$9),""),"")</f>
        <v/>
      </c>
      <c r="Q529" s="225" t="str">
        <f>IFERROR(INDEX('Ashed teabags wet'!$K$2:$K$821,MATCH(J529,'Ashed teabags wet'!$A$2:$A$821,0)),"")</f>
        <v/>
      </c>
      <c r="R529" s="225" t="str">
        <f t="shared" si="47"/>
        <v/>
      </c>
      <c r="S529" s="226">
        <f>'WetLitterbags placem_collection'!E90</f>
        <v>42767</v>
      </c>
      <c r="T529" s="226" t="str">
        <f>IF('WetLitterbags placem_collection'!G90="","",'WetLitterbags placem_collection'!G90)</f>
        <v/>
      </c>
      <c r="U529" s="227" t="str">
        <f t="shared" si="43"/>
        <v/>
      </c>
      <c r="V529" s="225" t="str">
        <f t="shared" si="45"/>
        <v/>
      </c>
      <c r="W529" s="225" t="str">
        <f t="shared" si="46"/>
        <v/>
      </c>
      <c r="X529" t="str">
        <f>IFERROR(INDEX(Rainfall_Wet!$O$2:$O$217,MATCH(B529, Rainfall_Wet!$A$2:$A$217,0)),"")</f>
        <v/>
      </c>
      <c r="Y529" s="231">
        <v>38.691629007962128</v>
      </c>
      <c r="Z529" s="231">
        <v>26.81299763288143</v>
      </c>
      <c r="AA529" s="231">
        <v>34.495373359156439</v>
      </c>
      <c r="AB529" s="232" t="s">
        <v>2675</v>
      </c>
      <c r="AC529" s="231">
        <v>9.5483587974371602</v>
      </c>
      <c r="AD529" t="str">
        <f>IF('WetLitterbags placem_collection'!AB90="","",'WetLitterbags placem_collection'!AB90)</f>
        <v/>
      </c>
      <c r="AE529" t="str">
        <f>IF('WetLitterbags placem_collection'!Z90="","",'WetLitterbags placem_collection'!Z90)</f>
        <v/>
      </c>
      <c r="AF529" s="246" t="str">
        <f>IF('WetLitterbags placem_collection'!AA90="","",'WetLitterbags placem_collection'!AA90)</f>
        <v/>
      </c>
      <c r="AG529" t="str">
        <f>IF('WetLitterbags placem_collection'!AC90="","",'WetLitterbags placem_collection'!AC90)</f>
        <v/>
      </c>
      <c r="AH529" s="240">
        <f>AVERAGE('WetLitterbags placem_collection'!S90,'WetLitterbags placem_collection'!U90)</f>
        <v>29.7</v>
      </c>
      <c r="AI529">
        <f>AVERAGE('WetLitterbags placem_collection'!R90,'WetLitterbags placem_collection'!T90)</f>
        <v>21.4</v>
      </c>
      <c r="AJ529">
        <f>INDEX(Coordinates!$B$2:$B$197,MATCH(G529,Coordinates!$J$2:$J$197,0))</f>
        <v>-3.2959530039999998</v>
      </c>
      <c r="AK529">
        <f>INDEX(Coordinates!$C$2:$C$197,MATCH(G529,Coordinates!$J$2:$J$197,0))</f>
        <v>34.85242504</v>
      </c>
      <c r="AL529" t="str">
        <f>IF(ISNUMBER(SEARCH("C", 'WetLitterbags placem_collection'!X90)),"YES","NO")</f>
        <v>NO</v>
      </c>
      <c r="AM529" t="str">
        <f>IF(ISNUMBER(SEARCH("H", 'WetLitterbags placem_collection'!X90)),"YES","NO")</f>
        <v>NO</v>
      </c>
      <c r="AN529" t="str">
        <f>IF(ISNUMBER(SEARCH("R", 'WetLitterbags placem_collection'!X90)),"YES","NO")</f>
        <v>NO</v>
      </c>
    </row>
    <row r="530" spans="1:40" ht="15" customHeight="1">
      <c r="A530" s="258" t="s">
        <v>2460</v>
      </c>
      <c r="B530" s="263">
        <f>'Dry_Litterbag Placem_Collection'!A91</f>
        <v>89</v>
      </c>
      <c r="C530" s="263" t="str">
        <f>'Dry_Litterbag Placem_Collection'!B91</f>
        <v>Maswa</v>
      </c>
      <c r="D530" s="263" t="s">
        <v>2659</v>
      </c>
      <c r="E530" s="263" t="s">
        <v>2661</v>
      </c>
      <c r="F530" s="263">
        <v>4</v>
      </c>
      <c r="G530" s="264" t="str">
        <f>'Dry_Litterbag Placem_Collection'!C91</f>
        <v>Dry_W4_T1</v>
      </c>
      <c r="H530" s="273" t="s">
        <v>3651</v>
      </c>
      <c r="I530" s="266" t="s">
        <v>1147</v>
      </c>
      <c r="J530" s="223" t="str">
        <f>'WetLitterbags placem_collection'!O91</f>
        <v>G469</v>
      </c>
      <c r="K530" s="225">
        <f>IFERROR(INDEX('Green_rooibos initial weight'!$C$5:$C$1749,MATCH(J530, 'Green_rooibos initial weight'!$A$5:$A$1749,0)),"")</f>
        <v>1.9630000000000001</v>
      </c>
      <c r="L530" s="225">
        <f>IFERROR(K530-(TBIcalc!$H$9+TBIcalc!$H$10),"")</f>
        <v>1.7132000000000001</v>
      </c>
      <c r="M530" s="391">
        <f>AVERAGE(Ashed_controlls!$K$2:$K$11)</f>
        <v>5.5147656768714146</v>
      </c>
      <c r="N530" s="225">
        <f t="shared" si="44"/>
        <v>1.618721034423839</v>
      </c>
      <c r="O530" s="225">
        <f>IF(IFERROR(INDEX('Both teabags AfterWet'!$C$3:$C$841,MATCH(J530,'Both teabags AfterWet'!$A$3:$A$841,0)),"")="","",(IFERROR(INDEX('Both teabags AfterWet'!$C$3:$C$841,MATCH(J530,'Both teabags AfterWet'!$A$3:$A$841,0)),"")))</f>
        <v>1.5169999999999999</v>
      </c>
      <c r="P530" s="225">
        <f>IFERROR(IF(O530&gt;0,O530-(TBIcalc!$H$9),""),"")</f>
        <v>1.3663999999999998</v>
      </c>
      <c r="Q530" s="225">
        <f>IFERROR(INDEX('Ashed teabags wet'!$K$2:$K$821,MATCH(J530,'Ashed teabags wet'!$A$2:$A$821,0)),"")</f>
        <v>48.044965786901678</v>
      </c>
      <c r="R530" s="225">
        <f t="shared" si="47"/>
        <v>0.70991358748777544</v>
      </c>
      <c r="S530" s="226">
        <f>'WetLitterbags placem_collection'!E91</f>
        <v>42767</v>
      </c>
      <c r="T530" s="226">
        <f>IF('WetLitterbags placem_collection'!G91="","",'WetLitterbags placem_collection'!G91)</f>
        <v>42819</v>
      </c>
      <c r="U530" s="227">
        <f t="shared" si="43"/>
        <v>52</v>
      </c>
      <c r="V530" s="225">
        <f t="shared" si="45"/>
        <v>0.34680000000000022</v>
      </c>
      <c r="W530" s="225">
        <f t="shared" si="46"/>
        <v>0.90880744693606352</v>
      </c>
      <c r="X530">
        <f>IFERROR(INDEX(Rainfall_Wet!$O$2:$O$217,MATCH(B530, Rainfall_Wet!$A$2:$A$217,0)),"")</f>
        <v>194.93009798400001</v>
      </c>
      <c r="Y530" s="231">
        <v>28.145762029394</v>
      </c>
      <c r="Z530" s="231">
        <v>25.085564727199518</v>
      </c>
      <c r="AA530" s="231">
        <v>46.768673243406489</v>
      </c>
      <c r="AB530" s="232" t="s">
        <v>2670</v>
      </c>
      <c r="AC530" s="231">
        <v>2.1716214884179394</v>
      </c>
      <c r="AD530">
        <f>IF('WetLitterbags placem_collection'!AB91="","",'WetLitterbags placem_collection'!AB91)</f>
        <v>7.3</v>
      </c>
      <c r="AE530">
        <f>IF('WetLitterbags placem_collection'!Z91="","",'WetLitterbags placem_collection'!Z91)</f>
        <v>35.799999999999997</v>
      </c>
      <c r="AF530" s="246" t="str">
        <f>IF('WetLitterbags placem_collection'!AA91="","",'WetLitterbags placem_collection'!AA91)</f>
        <v>O</v>
      </c>
      <c r="AG530">
        <f>IF('WetLitterbags placem_collection'!AC91="","",'WetLitterbags placem_collection'!AC91)</f>
        <v>0</v>
      </c>
      <c r="AH530" s="240">
        <f>AVERAGE('WetLitterbags placem_collection'!S91,'WetLitterbags placem_collection'!U91)</f>
        <v>20.95</v>
      </c>
      <c r="AI530">
        <f>AVERAGE('WetLitterbags placem_collection'!R91,'WetLitterbags placem_collection'!T91)</f>
        <v>24.45</v>
      </c>
      <c r="AJ530">
        <f>INDEX(Coordinates!$B$2:$B$197,MATCH(G530,Coordinates!$J$2:$J$197,0))</f>
        <v>-3.2966709980000002</v>
      </c>
      <c r="AK530">
        <f>INDEX(Coordinates!$C$2:$C$197,MATCH(G530,Coordinates!$J$2:$J$197,0))</f>
        <v>34.854407019999996</v>
      </c>
      <c r="AL530" t="str">
        <f>IF(ISNUMBER(SEARCH("C", 'WetLitterbags placem_collection'!X91)),"YES","NO")</f>
        <v>NO</v>
      </c>
      <c r="AM530" t="str">
        <f>IF(ISNUMBER(SEARCH("H", 'WetLitterbags placem_collection'!X91)),"YES","NO")</f>
        <v>NO</v>
      </c>
      <c r="AN530" t="str">
        <f>IF(ISNUMBER(SEARCH("R", 'WetLitterbags placem_collection'!X91)),"YES","NO")</f>
        <v>YES</v>
      </c>
    </row>
    <row r="531" spans="1:40" ht="15" customHeight="1">
      <c r="A531" s="258" t="s">
        <v>2460</v>
      </c>
      <c r="B531" s="263">
        <f>'Dry_Litterbag Placem_Collection'!A92</f>
        <v>90</v>
      </c>
      <c r="C531" s="263" t="str">
        <f>'Dry_Litterbag Placem_Collection'!B92</f>
        <v>Maswa</v>
      </c>
      <c r="D531" s="263" t="s">
        <v>2659</v>
      </c>
      <c r="E531" s="263" t="s">
        <v>2661</v>
      </c>
      <c r="F531" s="263">
        <v>4</v>
      </c>
      <c r="G531" s="264" t="str">
        <f>'Dry_Litterbag Placem_Collection'!C92</f>
        <v>Dry_W4_T2</v>
      </c>
      <c r="H531" s="273" t="s">
        <v>3651</v>
      </c>
      <c r="I531" s="266" t="s">
        <v>1147</v>
      </c>
      <c r="J531" s="223" t="str">
        <f>'WetLitterbags placem_collection'!O92</f>
        <v>G355</v>
      </c>
      <c r="K531" s="225">
        <f>IFERROR(INDEX('Green_rooibos initial weight'!$C$5:$C$1749,MATCH(J531, 'Green_rooibos initial weight'!$A$5:$A$1749,0)),"")</f>
        <v>2.0489999999999999</v>
      </c>
      <c r="L531" s="225">
        <f>IFERROR(K531-(TBIcalc!$H$9+TBIcalc!$H$10),"")</f>
        <v>1.7991999999999999</v>
      </c>
      <c r="M531" s="391">
        <f>AVERAGE(Ashed_controlls!$K$2:$K$11)</f>
        <v>5.5147656768714146</v>
      </c>
      <c r="N531" s="225">
        <f t="shared" si="44"/>
        <v>1.6999783359417293</v>
      </c>
      <c r="O531" s="225">
        <f>IF(IFERROR(INDEX('Both teabags AfterWet'!$C$3:$C$841,MATCH(J531,'Both teabags AfterWet'!$A$3:$A$841,0)),"")="","",(IFERROR(INDEX('Both teabags AfterWet'!$C$3:$C$841,MATCH(J531,'Both teabags AfterWet'!$A$3:$A$841,0)),"")))</f>
        <v>0.78380000000000005</v>
      </c>
      <c r="P531" s="225">
        <f>IFERROR(IF(O531&gt;0,O531-(TBIcalc!$H$9),""),"")</f>
        <v>0.63319999999999999</v>
      </c>
      <c r="Q531" s="225">
        <f>IFERROR(INDEX('Ashed teabags wet'!$K$2:$K$821,MATCH(J531,'Ashed teabags wet'!$A$2:$A$821,0)),"")</f>
        <v>6.6735644076571221</v>
      </c>
      <c r="R531" s="225">
        <f t="shared" si="47"/>
        <v>0.59094299017071505</v>
      </c>
      <c r="S531" s="226">
        <f>'WetLitterbags placem_collection'!E92</f>
        <v>42767</v>
      </c>
      <c r="T531" s="226">
        <f>IF('WetLitterbags placem_collection'!G92="","",'WetLitterbags placem_collection'!G92)</f>
        <v>42819</v>
      </c>
      <c r="U531" s="227">
        <f t="shared" si="43"/>
        <v>52</v>
      </c>
      <c r="V531" s="225">
        <f t="shared" si="45"/>
        <v>1.1659999999999999</v>
      </c>
      <c r="W531" s="225">
        <f t="shared" si="46"/>
        <v>1.1090353457710143</v>
      </c>
      <c r="X531">
        <f>IFERROR(INDEX(Rainfall_Wet!$O$2:$O$217,MATCH(B531, Rainfall_Wet!$A$2:$A$217,0)),"")</f>
        <v>194.93009798400001</v>
      </c>
      <c r="Y531" s="231">
        <v>28.145762029394</v>
      </c>
      <c r="Z531" s="231">
        <v>25.085564727199518</v>
      </c>
      <c r="AA531" s="231">
        <v>46.768673243406489</v>
      </c>
      <c r="AB531" s="232" t="s">
        <v>2670</v>
      </c>
      <c r="AC531" s="231">
        <v>3.1716214884179399</v>
      </c>
      <c r="AD531">
        <f>IF('WetLitterbags placem_collection'!AB92="","",'WetLitterbags placem_collection'!AB92)</f>
        <v>7.7</v>
      </c>
      <c r="AE531">
        <f>IF('WetLitterbags placem_collection'!Z92="","",'WetLitterbags placem_collection'!Z92)</f>
        <v>30.4</v>
      </c>
      <c r="AF531" s="246" t="str">
        <f>IF('WetLitterbags placem_collection'!AA92="","",'WetLitterbags placem_collection'!AA92)</f>
        <v>O</v>
      </c>
      <c r="AG531">
        <f>IF('WetLitterbags placem_collection'!AC92="","",'WetLitterbags placem_collection'!AC92)</f>
        <v>0</v>
      </c>
      <c r="AH531" s="240">
        <f>AVERAGE('WetLitterbags placem_collection'!S92,'WetLitterbags placem_collection'!U92)</f>
        <v>27.5</v>
      </c>
      <c r="AI531">
        <f>AVERAGE('WetLitterbags placem_collection'!R92,'WetLitterbags placem_collection'!T92)</f>
        <v>23.85</v>
      </c>
      <c r="AJ531">
        <f>INDEX(Coordinates!$B$2:$B$197,MATCH(G531,Coordinates!$J$2:$J$197,0))</f>
        <v>-3.2966860009999999</v>
      </c>
      <c r="AK531">
        <f>INDEX(Coordinates!$C$2:$C$197,MATCH(G531,Coordinates!$J$2:$J$197,0))</f>
        <v>34.854371989999997</v>
      </c>
      <c r="AL531" t="str">
        <f>IF(ISNUMBER(SEARCH("C", 'WetLitterbags placem_collection'!X92)),"YES","NO")</f>
        <v>NO</v>
      </c>
      <c r="AM531" t="str">
        <f>IF(ISNUMBER(SEARCH("H", 'WetLitterbags placem_collection'!X92)),"YES","NO")</f>
        <v>NO</v>
      </c>
      <c r="AN531" t="str">
        <f>IF(ISNUMBER(SEARCH("R", 'WetLitterbags placem_collection'!X92)),"YES","NO")</f>
        <v>NO</v>
      </c>
    </row>
    <row r="532" spans="1:40" ht="15" customHeight="1">
      <c r="A532" s="258" t="s">
        <v>2460</v>
      </c>
      <c r="B532" s="263">
        <f>'Dry_Litterbag Placem_Collection'!A93</f>
        <v>91</v>
      </c>
      <c r="C532" s="263" t="str">
        <f>'Dry_Litterbag Placem_Collection'!B93</f>
        <v>Maswa</v>
      </c>
      <c r="D532" s="263" t="s">
        <v>2659</v>
      </c>
      <c r="E532" s="263" t="s">
        <v>2661</v>
      </c>
      <c r="F532" s="263">
        <v>4</v>
      </c>
      <c r="G532" s="264" t="str">
        <f>'Dry_Litterbag Placem_Collection'!C93</f>
        <v>Dry_W4_T3</v>
      </c>
      <c r="H532" s="273" t="s">
        <v>3651</v>
      </c>
      <c r="I532" s="266" t="s">
        <v>1147</v>
      </c>
      <c r="J532" s="223" t="str">
        <f>'WetLitterbags placem_collection'!O93</f>
        <v>G547</v>
      </c>
      <c r="K532" s="225">
        <f>IFERROR(INDEX('Green_rooibos initial weight'!$C$5:$C$1749,MATCH(J532, 'Green_rooibos initial weight'!$A$5:$A$1749,0)),"")</f>
        <v>2.121</v>
      </c>
      <c r="L532" s="225">
        <f>IFERROR(K532-(TBIcalc!$H$9+TBIcalc!$H$10),"")</f>
        <v>1.8712</v>
      </c>
      <c r="M532" s="391">
        <f>AVERAGE(Ashed_controlls!$K$2:$K$11)</f>
        <v>5.5147656768714146</v>
      </c>
      <c r="N532" s="225">
        <f t="shared" si="44"/>
        <v>1.7680077046543821</v>
      </c>
      <c r="O532" s="225">
        <f>IF(IFERROR(INDEX('Both teabags AfterWet'!$C$3:$C$841,MATCH(J532,'Both teabags AfterWet'!$A$3:$A$841,0)),"")="","",(IFERROR(INDEX('Both teabags AfterWet'!$C$3:$C$841,MATCH(J532,'Both teabags AfterWet'!$A$3:$A$841,0)),"")))</f>
        <v>1.069</v>
      </c>
      <c r="P532" s="225">
        <f>IFERROR(IF(O532&gt;0,O532-(TBIcalc!$H$9),""),"")</f>
        <v>0.91839999999999988</v>
      </c>
      <c r="Q532" s="225">
        <f>IFERROR(INDEX('Ashed teabags wet'!$K$2:$K$821,MATCH(J532,'Ashed teabags wet'!$A$2:$A$821,0)),"")</f>
        <v>26.348448687350785</v>
      </c>
      <c r="R532" s="225">
        <f t="shared" si="47"/>
        <v>0.67641584725537029</v>
      </c>
      <c r="S532" s="226">
        <f>'WetLitterbags placem_collection'!E93</f>
        <v>42767</v>
      </c>
      <c r="T532" s="226">
        <f>IF('WetLitterbags placem_collection'!G93="","",'WetLitterbags placem_collection'!G93)</f>
        <v>42819</v>
      </c>
      <c r="U532" s="227">
        <f t="shared" si="43"/>
        <v>52</v>
      </c>
      <c r="V532" s="225">
        <f t="shared" si="45"/>
        <v>0.95280000000000009</v>
      </c>
      <c r="W532" s="225">
        <f t="shared" si="46"/>
        <v>1.0915918573990118</v>
      </c>
      <c r="X532">
        <f>IFERROR(INDEX(Rainfall_Wet!$O$2:$O$217,MATCH(B532, Rainfall_Wet!$A$2:$A$217,0)),"")</f>
        <v>194.93009798400001</v>
      </c>
      <c r="Y532" s="231">
        <v>28.145762029394</v>
      </c>
      <c r="Z532" s="231">
        <v>25.085564727199518</v>
      </c>
      <c r="AA532" s="231">
        <v>46.768673243406489</v>
      </c>
      <c r="AB532" s="232" t="s">
        <v>2670</v>
      </c>
      <c r="AC532" s="231">
        <v>4.1716214884179399</v>
      </c>
      <c r="AD532">
        <f>IF('WetLitterbags placem_collection'!AB93="","",'WetLitterbags placem_collection'!AB93)</f>
        <v>6.1</v>
      </c>
      <c r="AE532">
        <f>IF('WetLitterbags placem_collection'!Z93="","",'WetLitterbags placem_collection'!Z93)</f>
        <v>39.4</v>
      </c>
      <c r="AF532" s="246" t="str">
        <f>IF('WetLitterbags placem_collection'!AA93="","",'WetLitterbags placem_collection'!AA93)</f>
        <v>O</v>
      </c>
      <c r="AG532">
        <f>IF('WetLitterbags placem_collection'!AC93="","",'WetLitterbags placem_collection'!AC93)</f>
        <v>1</v>
      </c>
      <c r="AH532" s="240">
        <f>AVERAGE('WetLitterbags placem_collection'!S93,'WetLitterbags placem_collection'!U93)</f>
        <v>26.4</v>
      </c>
      <c r="AI532">
        <f>AVERAGE('WetLitterbags placem_collection'!R93,'WetLitterbags placem_collection'!T93)</f>
        <v>24.35</v>
      </c>
      <c r="AJ532">
        <f>INDEX(Coordinates!$B$2:$B$197,MATCH(G532,Coordinates!$J$2:$J$197,0))</f>
        <v>-3.2966180239999998</v>
      </c>
      <c r="AK532">
        <f>INDEX(Coordinates!$C$2:$C$197,MATCH(G532,Coordinates!$J$2:$J$197,0))</f>
        <v>34.854464020000002</v>
      </c>
      <c r="AL532" t="str">
        <f>IF(ISNUMBER(SEARCH("C", 'WetLitterbags placem_collection'!X93)),"YES","NO")</f>
        <v>NO</v>
      </c>
      <c r="AM532" t="str">
        <f>IF(ISNUMBER(SEARCH("H", 'WetLitterbags placem_collection'!X93)),"YES","NO")</f>
        <v>NO</v>
      </c>
      <c r="AN532" t="str">
        <f>IF(ISNUMBER(SEARCH("R", 'WetLitterbags placem_collection'!X93)),"YES","NO")</f>
        <v>YES</v>
      </c>
    </row>
    <row r="533" spans="1:40" ht="15" customHeight="1">
      <c r="A533" s="258" t="s">
        <v>2460</v>
      </c>
      <c r="B533" s="263">
        <f>'Dry_Litterbag Placem_Collection'!A94</f>
        <v>92</v>
      </c>
      <c r="C533" s="263" t="str">
        <f>'Dry_Litterbag Placem_Collection'!B94</f>
        <v>Maswa</v>
      </c>
      <c r="D533" s="263" t="s">
        <v>2659</v>
      </c>
      <c r="E533" s="263" t="s">
        <v>2661</v>
      </c>
      <c r="F533" s="263">
        <v>4</v>
      </c>
      <c r="G533" s="264" t="str">
        <f>'Dry_Litterbag Placem_Collection'!C94</f>
        <v>Dry_W4_T4</v>
      </c>
      <c r="H533" s="273" t="s">
        <v>3651</v>
      </c>
      <c r="I533" s="266" t="s">
        <v>1147</v>
      </c>
      <c r="J533" s="223" t="str">
        <f>'WetLitterbags placem_collection'!O94</f>
        <v>G763</v>
      </c>
      <c r="K533" s="225">
        <f>IFERROR(INDEX('Green_rooibos initial weight'!$C$5:$C$1749,MATCH(J533, 'Green_rooibos initial weight'!$A$5:$A$1749,0)),"")</f>
        <v>2.0590000000000002</v>
      </c>
      <c r="L533" s="225">
        <f>IFERROR(K533-(TBIcalc!$H$9+TBIcalc!$H$10),"")</f>
        <v>1.8092000000000001</v>
      </c>
      <c r="M533" s="391">
        <f>AVERAGE(Ashed_controlls!$K$2:$K$11)</f>
        <v>5.5147656768714146</v>
      </c>
      <c r="N533" s="225">
        <f t="shared" si="44"/>
        <v>1.7094268593740425</v>
      </c>
      <c r="O533" s="225" t="str">
        <f>IF(IFERROR(INDEX('Both teabags AfterWet'!$C$3:$C$841,MATCH(J533,'Both teabags AfterWet'!$A$3:$A$841,0)),"")="","",(IFERROR(INDEX('Both teabags AfterWet'!$C$3:$C$841,MATCH(J533,'Both teabags AfterWet'!$A$3:$A$841,0)),"")))</f>
        <v/>
      </c>
      <c r="P533" s="225" t="str">
        <f>IFERROR(IF(O533&gt;0,O533-(TBIcalc!$H$9),""),"")</f>
        <v/>
      </c>
      <c r="Q533" s="225">
        <f>IFERROR(INDEX('Ashed teabags wet'!$K$2:$K$821,MATCH(J533,'Ashed teabags wet'!$A$2:$A$821,0)),"")</f>
        <v>39.468503937007327</v>
      </c>
      <c r="R533" s="225" t="str">
        <f t="shared" si="47"/>
        <v/>
      </c>
      <c r="S533" s="226">
        <f>'WetLitterbags placem_collection'!E94</f>
        <v>42767</v>
      </c>
      <c r="T533" s="226">
        <f>IF('WetLitterbags placem_collection'!G94="","",'WetLitterbags placem_collection'!G94)</f>
        <v>42819</v>
      </c>
      <c r="U533" s="227">
        <f t="shared" si="43"/>
        <v>52</v>
      </c>
      <c r="V533" s="225" t="str">
        <f t="shared" si="45"/>
        <v/>
      </c>
      <c r="W533" s="225" t="str">
        <f t="shared" si="46"/>
        <v/>
      </c>
      <c r="X533">
        <f>IFERROR(INDEX(Rainfall_Wet!$O$2:$O$217,MATCH(B533, Rainfall_Wet!$A$2:$A$217,0)),"")</f>
        <v>194.93009798400001</v>
      </c>
      <c r="Y533" s="231">
        <v>28.145762029394</v>
      </c>
      <c r="Z533" s="231">
        <v>25.085564727199518</v>
      </c>
      <c r="AA533" s="231">
        <v>46.768673243406489</v>
      </c>
      <c r="AB533" s="232" t="s">
        <v>2670</v>
      </c>
      <c r="AC533" s="231">
        <v>5.1716214884179399</v>
      </c>
      <c r="AD533">
        <f>IF('WetLitterbags placem_collection'!AB94="","",'WetLitterbags placem_collection'!AB94)</f>
        <v>7.7</v>
      </c>
      <c r="AE533">
        <f>IF('WetLitterbags placem_collection'!Z94="","",'WetLitterbags placem_collection'!Z94)</f>
        <v>24.8</v>
      </c>
      <c r="AF533" s="246" t="str">
        <f>IF('WetLitterbags placem_collection'!AA94="","",'WetLitterbags placem_collection'!AA94)</f>
        <v>O</v>
      </c>
      <c r="AG533">
        <f>IF('WetLitterbags placem_collection'!AC94="","",'WetLitterbags placem_collection'!AC94)</f>
        <v>1</v>
      </c>
      <c r="AH533" s="240">
        <f>AVERAGE('WetLitterbags placem_collection'!S94,'WetLitterbags placem_collection'!U94)</f>
        <v>26.45</v>
      </c>
      <c r="AI533">
        <f>AVERAGE('WetLitterbags placem_collection'!R94,'WetLitterbags placem_collection'!T94)</f>
        <v>22.6</v>
      </c>
      <c r="AJ533">
        <f>INDEX(Coordinates!$B$2:$B$197,MATCH(G533,Coordinates!$J$2:$J$197,0))</f>
        <v>-3.2965539860000002</v>
      </c>
      <c r="AK533">
        <f>INDEX(Coordinates!$C$2:$C$197,MATCH(G533,Coordinates!$J$2:$J$197,0))</f>
        <v>34.854455969999997</v>
      </c>
      <c r="AL533" t="str">
        <f>IF(ISNUMBER(SEARCH("C", 'WetLitterbags placem_collection'!X94)),"YES","NO")</f>
        <v>NO</v>
      </c>
      <c r="AM533" t="str">
        <f>IF(ISNUMBER(SEARCH("H", 'WetLitterbags placem_collection'!X94)),"YES","NO")</f>
        <v>NO</v>
      </c>
      <c r="AN533" t="str">
        <f>IF(ISNUMBER(SEARCH("R", 'WetLitterbags placem_collection'!X94)),"YES","NO")</f>
        <v>YES</v>
      </c>
    </row>
    <row r="534" spans="1:40" ht="15" customHeight="1">
      <c r="A534" s="258" t="s">
        <v>2460</v>
      </c>
      <c r="B534" s="263">
        <f>'Dry_Litterbag Placem_Collection'!A95</f>
        <v>93</v>
      </c>
      <c r="C534" s="263" t="str">
        <f>'Dry_Litterbag Placem_Collection'!B95</f>
        <v>Maswa</v>
      </c>
      <c r="D534" s="263" t="s">
        <v>2659</v>
      </c>
      <c r="E534" s="263" t="s">
        <v>2661</v>
      </c>
      <c r="F534" s="263">
        <v>4</v>
      </c>
      <c r="G534" s="264" t="str">
        <f>'Dry_Litterbag Placem_Collection'!C95</f>
        <v>Dry_W4_T5</v>
      </c>
      <c r="H534" s="273" t="s">
        <v>3651</v>
      </c>
      <c r="I534" s="266" t="s">
        <v>1147</v>
      </c>
      <c r="J534" s="223" t="str">
        <f>'WetLitterbags placem_collection'!O95</f>
        <v>G424</v>
      </c>
      <c r="K534" s="225">
        <f>IFERROR(INDEX('Green_rooibos initial weight'!$C$5:$C$1749,MATCH(J534, 'Green_rooibos initial weight'!$A$5:$A$1749,0)),"")</f>
        <v>1.9590000000000001</v>
      </c>
      <c r="L534" s="225">
        <f>IFERROR(K534-(TBIcalc!$H$9+TBIcalc!$H$10),"")</f>
        <v>1.7092000000000001</v>
      </c>
      <c r="M534" s="391">
        <f>AVERAGE(Ashed_controlls!$K$2:$K$11)</f>
        <v>5.5147656768714146</v>
      </c>
      <c r="N534" s="225">
        <f t="shared" si="44"/>
        <v>1.6149416250509139</v>
      </c>
      <c r="O534" s="225">
        <f>IF(IFERROR(INDEX('Both teabags AfterWet'!$C$3:$C$841,MATCH(J534,'Both teabags AfterWet'!$A$3:$A$841,0)),"")="","",(IFERROR(INDEX('Both teabags AfterWet'!$C$3:$C$841,MATCH(J534,'Both teabags AfterWet'!$A$3:$A$841,0)),"")))</f>
        <v>0.66039999999999999</v>
      </c>
      <c r="P534" s="225">
        <f>IFERROR(IF(O534&gt;0,O534-(TBIcalc!$H$9),""),"")</f>
        <v>0.50980000000000003</v>
      </c>
      <c r="Q534" s="225">
        <f>IFERROR(INDEX('Ashed teabags wet'!$K$2:$K$821,MATCH(J534,'Ashed teabags wet'!$A$2:$A$821,0)),"")</f>
        <v>9.5166915794729583</v>
      </c>
      <c r="R534" s="225">
        <f t="shared" si="47"/>
        <v>0.46128390632784688</v>
      </c>
      <c r="S534" s="226">
        <f>'WetLitterbags placem_collection'!E95</f>
        <v>42767</v>
      </c>
      <c r="T534" s="226">
        <f>IF('WetLitterbags placem_collection'!G95="","",'WetLitterbags placem_collection'!G95)</f>
        <v>42819</v>
      </c>
      <c r="U534" s="227">
        <f t="shared" si="43"/>
        <v>52</v>
      </c>
      <c r="V534" s="225">
        <f t="shared" si="45"/>
        <v>1.1994</v>
      </c>
      <c r="W534" s="225">
        <f t="shared" si="46"/>
        <v>1.153657718723067</v>
      </c>
      <c r="X534">
        <f>IFERROR(INDEX(Rainfall_Wet!$O$2:$O$217,MATCH(B534, Rainfall_Wet!$A$2:$A$217,0)),"")</f>
        <v>194.93009798400001</v>
      </c>
      <c r="Y534" s="231">
        <v>28.145762029394</v>
      </c>
      <c r="Z534" s="231">
        <v>25.085564727199518</v>
      </c>
      <c r="AA534" s="231">
        <v>46.768673243406489</v>
      </c>
      <c r="AB534" s="232" t="s">
        <v>2670</v>
      </c>
      <c r="AC534" s="231">
        <v>6.1716214884179399</v>
      </c>
      <c r="AD534">
        <f>IF('WetLitterbags placem_collection'!AB95="","",'WetLitterbags placem_collection'!AB95)</f>
        <v>6.6</v>
      </c>
      <c r="AE534">
        <f>IF('WetLitterbags placem_collection'!Z95="","",'WetLitterbags placem_collection'!Z95)</f>
        <v>40</v>
      </c>
      <c r="AF534" s="246" t="str">
        <f>IF('WetLitterbags placem_collection'!AA95="","",'WetLitterbags placem_collection'!AA95)</f>
        <v>O</v>
      </c>
      <c r="AG534">
        <f>IF('WetLitterbags placem_collection'!AC95="","",'WetLitterbags placem_collection'!AC95)</f>
        <v>1</v>
      </c>
      <c r="AH534" s="240">
        <f>AVERAGE('WetLitterbags placem_collection'!S95,'WetLitterbags placem_collection'!U95)</f>
        <v>25.25</v>
      </c>
      <c r="AI534">
        <f>AVERAGE('WetLitterbags placem_collection'!R95,'WetLitterbags placem_collection'!T95)</f>
        <v>23.5</v>
      </c>
      <c r="AJ534">
        <f>INDEX(Coordinates!$B$2:$B$197,MATCH(G534,Coordinates!$J$2:$J$197,0))</f>
        <v>-3.2964789680000002</v>
      </c>
      <c r="AK534">
        <f>INDEX(Coordinates!$C$2:$C$197,MATCH(G534,Coordinates!$J$2:$J$197,0))</f>
        <v>34.854331000000002</v>
      </c>
      <c r="AL534" t="str">
        <f>IF(ISNUMBER(SEARCH("C", 'WetLitterbags placem_collection'!X95)),"YES","NO")</f>
        <v>NO</v>
      </c>
      <c r="AM534" t="str">
        <f>IF(ISNUMBER(SEARCH("H", 'WetLitterbags placem_collection'!X95)),"YES","NO")</f>
        <v>NO</v>
      </c>
      <c r="AN534" t="str">
        <f>IF(ISNUMBER(SEARCH("R", 'WetLitterbags placem_collection'!X95)),"YES","NO")</f>
        <v>YES</v>
      </c>
    </row>
    <row r="535" spans="1:40" ht="15" customHeight="1">
      <c r="A535" s="258" t="s">
        <v>2460</v>
      </c>
      <c r="B535" s="263">
        <f>'Dry_Litterbag Placem_Collection'!A96</f>
        <v>94</v>
      </c>
      <c r="C535" s="263" t="str">
        <f>'Dry_Litterbag Placem_Collection'!B96</f>
        <v>Maswa</v>
      </c>
      <c r="D535" s="263" t="s">
        <v>2659</v>
      </c>
      <c r="E535" s="263" t="s">
        <v>2661</v>
      </c>
      <c r="F535" s="263">
        <v>4</v>
      </c>
      <c r="G535" s="264" t="str">
        <f>'Dry_Litterbag Placem_Collection'!C96</f>
        <v>Dry_W4_T6</v>
      </c>
      <c r="H535" s="273" t="s">
        <v>3651</v>
      </c>
      <c r="I535" s="266" t="s">
        <v>1147</v>
      </c>
      <c r="J535" s="223" t="str">
        <f>'WetLitterbags placem_collection'!O96</f>
        <v>G588</v>
      </c>
      <c r="K535" s="225">
        <f>IFERROR(INDEX('Green_rooibos initial weight'!$C$5:$C$1749,MATCH(J535, 'Green_rooibos initial weight'!$A$5:$A$1749,0)),"")</f>
        <v>2.14</v>
      </c>
      <c r="L535" s="225">
        <f>IFERROR(K535-(TBIcalc!$H$9+TBIcalc!$H$10),"")</f>
        <v>1.8902000000000001</v>
      </c>
      <c r="M535" s="391">
        <f>AVERAGE(Ashed_controlls!$K$2:$K$11)</f>
        <v>5.5147656768714146</v>
      </c>
      <c r="N535" s="225">
        <f t="shared" si="44"/>
        <v>1.7859598991757766</v>
      </c>
      <c r="O535" s="225" t="str">
        <f>IF(IFERROR(INDEX('Both teabags AfterWet'!$C$3:$C$841,MATCH(J535,'Both teabags AfterWet'!$A$3:$A$841,0)),"")="","",(IFERROR(INDEX('Both teabags AfterWet'!$C$3:$C$841,MATCH(J535,'Both teabags AfterWet'!$A$3:$A$841,0)),"")))</f>
        <v/>
      </c>
      <c r="P535" s="225" t="str">
        <f>IFERROR(IF(O535&gt;0,O535-(TBIcalc!$H$9),""),"")</f>
        <v/>
      </c>
      <c r="Q535" s="225" t="str">
        <f>IFERROR(INDEX('Ashed teabags wet'!$K$2:$K$821,MATCH(J535,'Ashed teabags wet'!$A$2:$A$821,0)),"")</f>
        <v/>
      </c>
      <c r="R535" s="225" t="str">
        <f t="shared" si="47"/>
        <v/>
      </c>
      <c r="S535" s="226">
        <f>'WetLitterbags placem_collection'!E96</f>
        <v>42767</v>
      </c>
      <c r="T535" s="226" t="str">
        <f>IF('WetLitterbags placem_collection'!G96="","",'WetLitterbags placem_collection'!G96)</f>
        <v/>
      </c>
      <c r="U535" s="227" t="str">
        <f t="shared" si="43"/>
        <v/>
      </c>
      <c r="V535" s="225" t="str">
        <f t="shared" si="45"/>
        <v/>
      </c>
      <c r="W535" s="225" t="str">
        <f t="shared" si="46"/>
        <v/>
      </c>
      <c r="X535" t="str">
        <f>IFERROR(INDEX(Rainfall_Wet!$O$2:$O$217,MATCH(B535, Rainfall_Wet!$A$2:$A$217,0)),"")</f>
        <v/>
      </c>
      <c r="Y535" s="231">
        <v>28.145762029394</v>
      </c>
      <c r="Z535" s="231">
        <v>25.085564727199518</v>
      </c>
      <c r="AA535" s="231">
        <v>46.768673243406489</v>
      </c>
      <c r="AB535" s="232" t="s">
        <v>2670</v>
      </c>
      <c r="AC535" s="231">
        <v>7.1716214884179399</v>
      </c>
      <c r="AD535" t="str">
        <f>IF('WetLitterbags placem_collection'!AB96="","",'WetLitterbags placem_collection'!AB96)</f>
        <v/>
      </c>
      <c r="AE535" t="str">
        <f>IF('WetLitterbags placem_collection'!Z96="","",'WetLitterbags placem_collection'!Z96)</f>
        <v/>
      </c>
      <c r="AF535" s="246" t="str">
        <f>IF('WetLitterbags placem_collection'!AA96="","",'WetLitterbags placem_collection'!AA96)</f>
        <v/>
      </c>
      <c r="AG535" t="str">
        <f>IF('WetLitterbags placem_collection'!AC96="","",'WetLitterbags placem_collection'!AC96)</f>
        <v/>
      </c>
      <c r="AH535" s="240">
        <f>AVERAGE('WetLitterbags placem_collection'!S96,'WetLitterbags placem_collection'!U96)</f>
        <v>36.200000000000003</v>
      </c>
      <c r="AI535">
        <f>AVERAGE('WetLitterbags placem_collection'!R96,'WetLitterbags placem_collection'!T96)</f>
        <v>22</v>
      </c>
      <c r="AJ535">
        <f>INDEX(Coordinates!$B$2:$B$197,MATCH(G535,Coordinates!$J$2:$J$197,0))</f>
        <v>-3.2964649700000002</v>
      </c>
      <c r="AK535">
        <f>INDEX(Coordinates!$C$2:$C$197,MATCH(G535,Coordinates!$J$2:$J$197,0))</f>
        <v>34.854340970000003</v>
      </c>
      <c r="AL535" t="str">
        <f>IF(ISNUMBER(SEARCH("C", 'WetLitterbags placem_collection'!X96)),"YES","NO")</f>
        <v>NO</v>
      </c>
      <c r="AM535" t="str">
        <f>IF(ISNUMBER(SEARCH("H", 'WetLitterbags placem_collection'!X96)),"YES","NO")</f>
        <v>NO</v>
      </c>
      <c r="AN535" t="str">
        <f>IF(ISNUMBER(SEARCH("R", 'WetLitterbags placem_collection'!X96)),"YES","NO")</f>
        <v>NO</v>
      </c>
    </row>
    <row r="536" spans="1:40" ht="15" customHeight="1">
      <c r="A536" s="258" t="s">
        <v>2460</v>
      </c>
      <c r="B536" s="263">
        <f>'Dry_Litterbag Placem_Collection'!A97</f>
        <v>95</v>
      </c>
      <c r="C536" s="263" t="str">
        <f>'Dry_Litterbag Placem_Collection'!B97</f>
        <v>Maswa</v>
      </c>
      <c r="D536" s="263" t="s">
        <v>2659</v>
      </c>
      <c r="E536" s="263" t="s">
        <v>2661</v>
      </c>
      <c r="F536" s="263">
        <v>4</v>
      </c>
      <c r="G536" s="264" t="str">
        <f>'Dry_Litterbag Placem_Collection'!C97</f>
        <v>Dry_W4_T7</v>
      </c>
      <c r="H536" s="273" t="s">
        <v>3651</v>
      </c>
      <c r="I536" s="266" t="s">
        <v>1147</v>
      </c>
      <c r="J536" s="223" t="str">
        <f>'WetLitterbags placem_collection'!O97</f>
        <v>G486</v>
      </c>
      <c r="K536" s="225">
        <f>IFERROR(INDEX('Green_rooibos initial weight'!$C$5:$C$1749,MATCH(J536, 'Green_rooibos initial weight'!$A$5:$A$1749,0)),"")</f>
        <v>2.0049999999999999</v>
      </c>
      <c r="L536" s="225">
        <f>IFERROR(K536-(TBIcalc!$H$9+TBIcalc!$H$10),"")</f>
        <v>1.7551999999999999</v>
      </c>
      <c r="M536" s="391">
        <f>AVERAGE(Ashed_controlls!$K$2:$K$11)</f>
        <v>5.5147656768714146</v>
      </c>
      <c r="N536" s="225">
        <f t="shared" si="44"/>
        <v>1.6584048328395529</v>
      </c>
      <c r="O536" s="225">
        <f>IF(IFERROR(INDEX('Both teabags AfterWet'!$C$3:$C$841,MATCH(J536,'Both teabags AfterWet'!$A$3:$A$841,0)),"")="","",(IFERROR(INDEX('Both teabags AfterWet'!$C$3:$C$841,MATCH(J536,'Both teabags AfterWet'!$A$3:$A$841,0)),"")))</f>
        <v>0.90400000000000003</v>
      </c>
      <c r="P536" s="225">
        <f>IFERROR(IF(O536&gt;0,O536-(TBIcalc!$H$9),""),"")</f>
        <v>0.75340000000000007</v>
      </c>
      <c r="Q536" s="225">
        <f>IFERROR(INDEX('Ashed teabags wet'!$K$2:$K$821,MATCH(J536,'Ashed teabags wet'!$A$2:$A$821,0)),"")</f>
        <v>17.120622568093445</v>
      </c>
      <c r="R536" s="225">
        <f t="shared" si="47"/>
        <v>0.62441322957198397</v>
      </c>
      <c r="S536" s="226">
        <f>'WetLitterbags placem_collection'!E97</f>
        <v>42767</v>
      </c>
      <c r="T536" s="226">
        <f>IF('WetLitterbags placem_collection'!G97="","",'WetLitterbags placem_collection'!G97)</f>
        <v>42819</v>
      </c>
      <c r="U536" s="227">
        <f t="shared" si="43"/>
        <v>52</v>
      </c>
      <c r="V536" s="225">
        <f t="shared" si="45"/>
        <v>1.0017999999999998</v>
      </c>
      <c r="W536" s="225">
        <f t="shared" si="46"/>
        <v>1.0339916032675689</v>
      </c>
      <c r="X536">
        <f>IFERROR(INDEX(Rainfall_Wet!$O$2:$O$217,MATCH(B536, Rainfall_Wet!$A$2:$A$217,0)),"")</f>
        <v>194.93009798400001</v>
      </c>
      <c r="Y536" s="231">
        <v>28.145762029394</v>
      </c>
      <c r="Z536" s="231">
        <v>25.085564727199518</v>
      </c>
      <c r="AA536" s="231">
        <v>46.768673243406489</v>
      </c>
      <c r="AB536" s="232" t="s">
        <v>2670</v>
      </c>
      <c r="AC536" s="231">
        <v>8.1716214884179408</v>
      </c>
      <c r="AD536">
        <f>IF('WetLitterbags placem_collection'!AB97="","",'WetLitterbags placem_collection'!AB97)</f>
        <v>5.4</v>
      </c>
      <c r="AE536">
        <f>IF('WetLitterbags placem_collection'!Z97="","",'WetLitterbags placem_collection'!Z97)</f>
        <v>15.2</v>
      </c>
      <c r="AF536" s="246" t="str">
        <f>IF('WetLitterbags placem_collection'!AA97="","",'WetLitterbags placem_collection'!AA97)</f>
        <v>O</v>
      </c>
      <c r="AG536">
        <f>IF('WetLitterbags placem_collection'!AC97="","",'WetLitterbags placem_collection'!AC97)</f>
        <v>0</v>
      </c>
      <c r="AH536" s="240">
        <f>AVERAGE('WetLitterbags placem_collection'!S97,'WetLitterbags placem_collection'!U97)</f>
        <v>28.85</v>
      </c>
      <c r="AI536">
        <f>AVERAGE('WetLitterbags placem_collection'!R97,'WetLitterbags placem_collection'!T97)</f>
        <v>23.2</v>
      </c>
      <c r="AJ536">
        <f>INDEX(Coordinates!$B$2:$B$197,MATCH(G536,Coordinates!$J$2:$J$197,0))</f>
        <v>-3.296725983</v>
      </c>
      <c r="AK536">
        <f>INDEX(Coordinates!$C$2:$C$197,MATCH(G536,Coordinates!$J$2:$J$197,0))</f>
        <v>34.854216000000001</v>
      </c>
      <c r="AL536" t="str">
        <f>IF(ISNUMBER(SEARCH("C", 'WetLitterbags placem_collection'!X97)),"YES","NO")</f>
        <v>NO</v>
      </c>
      <c r="AM536" t="str">
        <f>IF(ISNUMBER(SEARCH("H", 'WetLitterbags placem_collection'!X97)),"YES","NO")</f>
        <v>NO</v>
      </c>
      <c r="AN536" t="str">
        <f>IF(ISNUMBER(SEARCH("R", 'WetLitterbags placem_collection'!X97)),"YES","NO")</f>
        <v>YES</v>
      </c>
    </row>
    <row r="537" spans="1:40" ht="15" customHeight="1">
      <c r="A537" s="258" t="s">
        <v>2460</v>
      </c>
      <c r="B537" s="263">
        <f>'Dry_Litterbag Placem_Collection'!A98</f>
        <v>96</v>
      </c>
      <c r="C537" s="263" t="str">
        <f>'Dry_Litterbag Placem_Collection'!B98</f>
        <v>Maswa</v>
      </c>
      <c r="D537" s="263" t="s">
        <v>2659</v>
      </c>
      <c r="E537" s="263" t="s">
        <v>2661</v>
      </c>
      <c r="F537" s="263">
        <v>4</v>
      </c>
      <c r="G537" s="264" t="str">
        <f>'Dry_Litterbag Placem_Collection'!C98</f>
        <v>Dry_W4_T8</v>
      </c>
      <c r="H537" s="273" t="s">
        <v>3651</v>
      </c>
      <c r="I537" s="266" t="s">
        <v>1147</v>
      </c>
      <c r="J537" s="223" t="str">
        <f>'WetLitterbags placem_collection'!O98</f>
        <v>G545</v>
      </c>
      <c r="K537" s="225">
        <f>IFERROR(INDEX('Green_rooibos initial weight'!$C$5:$C$1749,MATCH(J537, 'Green_rooibos initial weight'!$A$5:$A$1749,0)),"")</f>
        <v>2.0720000000000001</v>
      </c>
      <c r="L537" s="225">
        <f>IFERROR(K537-(TBIcalc!$H$9+TBIcalc!$H$10),"")</f>
        <v>1.8222</v>
      </c>
      <c r="M537" s="391">
        <f>AVERAGE(Ashed_controlls!$K$2:$K$11)</f>
        <v>5.5147656768714146</v>
      </c>
      <c r="N537" s="225">
        <f t="shared" si="44"/>
        <v>1.7217099398360491</v>
      </c>
      <c r="O537" s="225">
        <f>IF(IFERROR(INDEX('Both teabags AfterWet'!$C$3:$C$841,MATCH(J537,'Both teabags AfterWet'!$A$3:$A$841,0)),"")="","",(IFERROR(INDEX('Both teabags AfterWet'!$C$3:$C$841,MATCH(J537,'Both teabags AfterWet'!$A$3:$A$841,0)),"")))</f>
        <v>0.73950000000000005</v>
      </c>
      <c r="P537" s="225">
        <f>IFERROR(IF(O537&gt;0,O537-(TBIcalc!$H$9),""),"")</f>
        <v>0.58889999999999998</v>
      </c>
      <c r="Q537" s="225">
        <f>IFERROR(INDEX('Ashed teabags wet'!$K$2:$K$821,MATCH(J537,'Ashed teabags wet'!$A$2:$A$821,0)),"")</f>
        <v>13.426156141222759</v>
      </c>
      <c r="R537" s="225">
        <f t="shared" si="47"/>
        <v>0.50983336648433919</v>
      </c>
      <c r="S537" s="226">
        <f>'WetLitterbags placem_collection'!E98</f>
        <v>42767</v>
      </c>
      <c r="T537" s="226">
        <f>IF('WetLitterbags placem_collection'!G98="","",'WetLitterbags placem_collection'!G98)</f>
        <v>42819</v>
      </c>
      <c r="U537" s="227">
        <f t="shared" si="43"/>
        <v>52</v>
      </c>
      <c r="V537" s="225">
        <f t="shared" si="45"/>
        <v>1.2333000000000001</v>
      </c>
      <c r="W537" s="225">
        <f t="shared" si="46"/>
        <v>1.2118765733517098</v>
      </c>
      <c r="X537">
        <f>IFERROR(INDEX(Rainfall_Wet!$O$2:$O$217,MATCH(B537, Rainfall_Wet!$A$2:$A$217,0)),"")</f>
        <v>194.93009798400001</v>
      </c>
      <c r="Y537" s="231">
        <v>28.145762029394</v>
      </c>
      <c r="Z537" s="231">
        <v>25.085564727199518</v>
      </c>
      <c r="AA537" s="231">
        <v>46.768673243406489</v>
      </c>
      <c r="AB537" s="232" t="s">
        <v>2670</v>
      </c>
      <c r="AC537" s="231">
        <v>9.1716214884179408</v>
      </c>
      <c r="AD537">
        <f>IF('WetLitterbags placem_collection'!AB98="","",'WetLitterbags placem_collection'!AB98)</f>
        <v>4</v>
      </c>
      <c r="AE537">
        <f>IF('WetLitterbags placem_collection'!Z98="","",'WetLitterbags placem_collection'!Z98)</f>
        <v>34.4</v>
      </c>
      <c r="AF537" s="246" t="str">
        <f>IF('WetLitterbags placem_collection'!AA98="","",'WetLitterbags placem_collection'!AA98)</f>
        <v>O</v>
      </c>
      <c r="AG537">
        <f>IF('WetLitterbags placem_collection'!AC98="","",'WetLitterbags placem_collection'!AC98)</f>
        <v>0</v>
      </c>
      <c r="AH537" s="240">
        <f>AVERAGE('WetLitterbags placem_collection'!S98,'WetLitterbags placem_collection'!U98)</f>
        <v>16.799999999999997</v>
      </c>
      <c r="AI537">
        <f>AVERAGE('WetLitterbags placem_collection'!R98,'WetLitterbags placem_collection'!T98)</f>
        <v>24.3</v>
      </c>
      <c r="AJ537">
        <f>INDEX(Coordinates!$B$2:$B$197,MATCH(G537,Coordinates!$J$2:$J$197,0))</f>
        <v>-3.2968360369999998</v>
      </c>
      <c r="AK537">
        <f>INDEX(Coordinates!$C$2:$C$197,MATCH(G537,Coordinates!$J$2:$J$197,0))</f>
        <v>34.854462009999999</v>
      </c>
      <c r="AL537" t="str">
        <f>IF(ISNUMBER(SEARCH("C", 'WetLitterbags placem_collection'!X98)),"YES","NO")</f>
        <v>NO</v>
      </c>
      <c r="AM537" t="str">
        <f>IF(ISNUMBER(SEARCH("H", 'WetLitterbags placem_collection'!X98)),"YES","NO")</f>
        <v>NO</v>
      </c>
      <c r="AN537" t="str">
        <f>IF(ISNUMBER(SEARCH("R", 'WetLitterbags placem_collection'!X98)),"YES","NO")</f>
        <v>YES</v>
      </c>
    </row>
    <row r="538" spans="1:40" ht="15" customHeight="1">
      <c r="A538" s="258" t="s">
        <v>2460</v>
      </c>
      <c r="B538" s="263">
        <f>'Dry_Litterbag Placem_Collection'!A99</f>
        <v>97</v>
      </c>
      <c r="C538" s="263" t="str">
        <f>'Dry_Litterbag Placem_Collection'!B99</f>
        <v xml:space="preserve">Mwantimba
</v>
      </c>
      <c r="D538" s="263" t="s">
        <v>2460</v>
      </c>
      <c r="E538" s="263" t="s">
        <v>2660</v>
      </c>
      <c r="F538" s="263">
        <v>1</v>
      </c>
      <c r="G538" s="264" t="str">
        <f>'Dry_Litterbag Placem_Collection'!C99</f>
        <v>Wet_Ag1_T1</v>
      </c>
      <c r="H538" s="273" t="s">
        <v>3651</v>
      </c>
      <c r="I538" s="266" t="s">
        <v>1147</v>
      </c>
      <c r="J538" s="223" t="str">
        <f>'WetLitterbags placem_collection'!O99</f>
        <v>G847</v>
      </c>
      <c r="K538" s="225">
        <f>IFERROR(INDEX('Green_rooibos initial weight'!$C$5:$C$1749,MATCH(J538, 'Green_rooibos initial weight'!$A$5:$A$1749,0)),"")</f>
        <v>2.1019999999999999</v>
      </c>
      <c r="L538" s="225">
        <f>IFERROR(K538-(TBIcalc!$H$9+TBIcalc!$H$10),"")</f>
        <v>1.8521999999999998</v>
      </c>
      <c r="M538" s="391">
        <f>AVERAGE(Ashed_controlls!$K$2:$K$11)</f>
        <v>5.5147656768714146</v>
      </c>
      <c r="N538" s="225">
        <f t="shared" si="44"/>
        <v>1.7500555101329875</v>
      </c>
      <c r="O538" s="225">
        <f>IF(IFERROR(INDEX('Both teabags AfterWet'!$C$3:$C$841,MATCH(J538,'Both teabags AfterWet'!$A$3:$A$841,0)),"")="","",(IFERROR(INDEX('Both teabags AfterWet'!$C$3:$C$841,MATCH(J538,'Both teabags AfterWet'!$A$3:$A$841,0)),"")))</f>
        <v>0.61809999999999998</v>
      </c>
      <c r="P538" s="225">
        <f>IFERROR(IF(O538&gt;0,O538-(TBIcalc!$H$9),""),"")</f>
        <v>0.46749999999999997</v>
      </c>
      <c r="Q538" s="225">
        <f>IFERROR(INDEX('Ashed teabags wet'!$K$2:$K$821,MATCH(J538,'Ashed teabags wet'!$A$2:$A$821,0)),"")</f>
        <v>21.620325982741679</v>
      </c>
      <c r="R538" s="225">
        <f t="shared" si="47"/>
        <v>0.36642497603068264</v>
      </c>
      <c r="S538" s="226">
        <f>'WetLitterbags placem_collection'!E99</f>
        <v>42762</v>
      </c>
      <c r="T538" s="226">
        <f>IF('WetLitterbags placem_collection'!G99="","",'WetLitterbags placem_collection'!G99)</f>
        <v>42816</v>
      </c>
      <c r="U538" s="227">
        <f t="shared" si="43"/>
        <v>54</v>
      </c>
      <c r="V538" s="225">
        <f t="shared" si="45"/>
        <v>1.3846999999999998</v>
      </c>
      <c r="W538" s="225">
        <f t="shared" si="46"/>
        <v>1.383630534102305</v>
      </c>
      <c r="X538">
        <f>IFERROR(INDEX(Rainfall_Wet!$O$2:$O$217,MATCH(B538, Rainfall_Wet!$A$2:$A$217,0)),"")</f>
        <v>206.85140822299999</v>
      </c>
      <c r="Y538" s="231">
        <v>45.96</v>
      </c>
      <c r="Z538" s="231">
        <v>14.920000000000003</v>
      </c>
      <c r="AA538" s="231">
        <v>39.119999999999997</v>
      </c>
      <c r="AB538" s="232" t="s">
        <v>2673</v>
      </c>
      <c r="AC538" s="231">
        <v>2.0374568753080333</v>
      </c>
      <c r="AD538">
        <f>IF('WetLitterbags placem_collection'!AB99="","",'WetLitterbags placem_collection'!AB99)</f>
        <v>2.4</v>
      </c>
      <c r="AE538">
        <f>IF('WetLitterbags placem_collection'!Z99="","",'WetLitterbags placem_collection'!Z99)</f>
        <v>8.9</v>
      </c>
      <c r="AF538" s="246" t="str">
        <f>IF('WetLitterbags placem_collection'!AA99="","",'WetLitterbags placem_collection'!AA99)</f>
        <v>G</v>
      </c>
      <c r="AG538">
        <f>IF('WetLitterbags placem_collection'!AC99="","",'WetLitterbags placem_collection'!AC99)</f>
        <v>1</v>
      </c>
      <c r="AH538" s="240">
        <f>AVERAGE('WetLitterbags placem_collection'!S99,'WetLitterbags placem_collection'!U99)</f>
        <v>19.25</v>
      </c>
      <c r="AI538">
        <f>AVERAGE('WetLitterbags placem_collection'!R99,'WetLitterbags placem_collection'!T99)</f>
        <v>28.75</v>
      </c>
      <c r="AJ538">
        <f>INDEX(Coordinates!$B$2:$B$197,MATCH(G538,Coordinates!$J$2:$J$197,0))</f>
        <v>-2.3691620310000001</v>
      </c>
      <c r="AK538">
        <f>INDEX(Coordinates!$C$2:$C$197,MATCH(G538,Coordinates!$J$2:$J$197,0))</f>
        <v>34.06028104</v>
      </c>
      <c r="AL538" t="str">
        <f>IF(ISNUMBER(SEARCH("C", 'WetLitterbags placem_collection'!X99)),"YES","NO")</f>
        <v>NO</v>
      </c>
      <c r="AM538" t="str">
        <f>IF(ISNUMBER(SEARCH("H", 'WetLitterbags placem_collection'!X99)),"YES","NO")</f>
        <v>NO</v>
      </c>
      <c r="AN538" t="str">
        <f>IF(ISNUMBER(SEARCH("R", 'WetLitterbags placem_collection'!X99)),"YES","NO")</f>
        <v>NO</v>
      </c>
    </row>
    <row r="539" spans="1:40" ht="15" customHeight="1">
      <c r="A539" s="258" t="s">
        <v>2460</v>
      </c>
      <c r="B539" s="263">
        <f>'Dry_Litterbag Placem_Collection'!A100</f>
        <v>98</v>
      </c>
      <c r="C539" s="263" t="str">
        <f>'Dry_Litterbag Placem_Collection'!B100</f>
        <v xml:space="preserve">Mwantimba
</v>
      </c>
      <c r="D539" s="263" t="s">
        <v>2460</v>
      </c>
      <c r="E539" s="263" t="s">
        <v>2660</v>
      </c>
      <c r="F539" s="263">
        <v>1</v>
      </c>
      <c r="G539" s="264" t="str">
        <f>'Dry_Litterbag Placem_Collection'!C100</f>
        <v>Wet_Ag1_T2</v>
      </c>
      <c r="H539" s="273" t="s">
        <v>3651</v>
      </c>
      <c r="I539" s="266" t="s">
        <v>1147</v>
      </c>
      <c r="J539" s="223" t="str">
        <f>'WetLitterbags placem_collection'!O100</f>
        <v>G730</v>
      </c>
      <c r="K539" s="225">
        <f>IFERROR(INDEX('Green_rooibos initial weight'!$C$5:$C$1749,MATCH(J539, 'Green_rooibos initial weight'!$A$5:$A$1749,0)),"")</f>
        <v>2.048</v>
      </c>
      <c r="L539" s="225">
        <f>IFERROR(K539-(TBIcalc!$H$9+TBIcalc!$H$10),"")</f>
        <v>1.7982</v>
      </c>
      <c r="M539" s="391">
        <f>AVERAGE(Ashed_controlls!$K$2:$K$11)</f>
        <v>5.5147656768714146</v>
      </c>
      <c r="N539" s="225">
        <f t="shared" si="44"/>
        <v>1.6990334835984982</v>
      </c>
      <c r="O539" s="225">
        <f>IF(IFERROR(INDEX('Both teabags AfterWet'!$C$3:$C$841,MATCH(J539,'Both teabags AfterWet'!$A$3:$A$841,0)),"")="","",(IFERROR(INDEX('Both teabags AfterWet'!$C$3:$C$841,MATCH(J539,'Both teabags AfterWet'!$A$3:$A$841,0)),"")))</f>
        <v>0.629</v>
      </c>
      <c r="P539" s="225">
        <f>IFERROR(IF(O539&gt;0,O539-(TBIcalc!$H$9),""),"")</f>
        <v>0.47839999999999999</v>
      </c>
      <c r="Q539" s="225">
        <f>IFERROR(INDEX('Ashed teabags wet'!$K$2:$K$821,MATCH(J539,'Ashed teabags wet'!$A$2:$A$821,0)),"")</f>
        <v>15.206692913385</v>
      </c>
      <c r="R539" s="225">
        <f t="shared" si="47"/>
        <v>0.40565118110236614</v>
      </c>
      <c r="S539" s="226">
        <f>'WetLitterbags placem_collection'!E100</f>
        <v>42762</v>
      </c>
      <c r="T539" s="226">
        <f>IF('WetLitterbags placem_collection'!G100="","",'WetLitterbags placem_collection'!G100)</f>
        <v>42816</v>
      </c>
      <c r="U539" s="227">
        <f t="shared" si="43"/>
        <v>54</v>
      </c>
      <c r="V539" s="225">
        <f t="shared" si="45"/>
        <v>1.3198000000000001</v>
      </c>
      <c r="W539" s="225">
        <f t="shared" si="46"/>
        <v>1.293382302496132</v>
      </c>
      <c r="X539">
        <f>IFERROR(INDEX(Rainfall_Wet!$O$2:$O$217,MATCH(B539, Rainfall_Wet!$A$2:$A$217,0)),"")</f>
        <v>206.85140822299999</v>
      </c>
      <c r="Y539" s="231">
        <v>45.96</v>
      </c>
      <c r="Z539" s="231">
        <v>14.920000000000003</v>
      </c>
      <c r="AA539" s="231">
        <v>39.119999999999997</v>
      </c>
      <c r="AB539" s="232" t="s">
        <v>2673</v>
      </c>
      <c r="AC539" s="231">
        <v>3.0374568753080302</v>
      </c>
      <c r="AD539">
        <f>IF('WetLitterbags placem_collection'!AB100="","",'WetLitterbags placem_collection'!AB100)</f>
        <v>7.8</v>
      </c>
      <c r="AE539">
        <f>IF('WetLitterbags placem_collection'!Z100="","",'WetLitterbags placem_collection'!Z100)</f>
        <v>4.45</v>
      </c>
      <c r="AF539" s="246" t="str">
        <f>IF('WetLitterbags placem_collection'!AA100="","",'WetLitterbags placem_collection'!AA100)</f>
        <v>G</v>
      </c>
      <c r="AG539">
        <f>IF('WetLitterbags placem_collection'!AC100="","",'WetLitterbags placem_collection'!AC100)</f>
        <v>1</v>
      </c>
      <c r="AH539" s="240">
        <f>AVERAGE('WetLitterbags placem_collection'!S100,'WetLitterbags placem_collection'!U100)</f>
        <v>22.25</v>
      </c>
      <c r="AI539">
        <f>AVERAGE('WetLitterbags placem_collection'!R100,'WetLitterbags placem_collection'!T100)</f>
        <v>29.85</v>
      </c>
      <c r="AJ539">
        <f>INDEX(Coordinates!$B$2:$B$197,MATCH(G539,Coordinates!$J$2:$J$197,0))</f>
        <v>-2.3692249790000002</v>
      </c>
      <c r="AK539">
        <f>INDEX(Coordinates!$C$2:$C$197,MATCH(G539,Coordinates!$J$2:$J$197,0))</f>
        <v>34.060285989999997</v>
      </c>
      <c r="AL539" t="str">
        <f>IF(ISNUMBER(SEARCH("C", 'WetLitterbags placem_collection'!X100)),"YES","NO")</f>
        <v>NO</v>
      </c>
      <c r="AM539" t="str">
        <f>IF(ISNUMBER(SEARCH("H", 'WetLitterbags placem_collection'!X100)),"YES","NO")</f>
        <v>NO</v>
      </c>
      <c r="AN539" t="str">
        <f>IF(ISNUMBER(SEARCH("R", 'WetLitterbags placem_collection'!X100)),"YES","NO")</f>
        <v>NO</v>
      </c>
    </row>
    <row r="540" spans="1:40" ht="15" customHeight="1">
      <c r="A540" s="258" t="s">
        <v>2460</v>
      </c>
      <c r="B540" s="263">
        <f>'Dry_Litterbag Placem_Collection'!A101</f>
        <v>99</v>
      </c>
      <c r="C540" s="263" t="str">
        <f>'Dry_Litterbag Placem_Collection'!B101</f>
        <v xml:space="preserve">Mwantimba
</v>
      </c>
      <c r="D540" s="263" t="s">
        <v>2460</v>
      </c>
      <c r="E540" s="263" t="s">
        <v>2660</v>
      </c>
      <c r="F540" s="263">
        <v>1</v>
      </c>
      <c r="G540" s="264" t="str">
        <f>'Dry_Litterbag Placem_Collection'!C101</f>
        <v>Wet_Ag1_T3</v>
      </c>
      <c r="H540" s="273" t="s">
        <v>3651</v>
      </c>
      <c r="I540" s="266" t="s">
        <v>1147</v>
      </c>
      <c r="J540" s="223" t="str">
        <f>'WetLitterbags placem_collection'!O101</f>
        <v>G691</v>
      </c>
      <c r="K540" s="225">
        <f>IFERROR(INDEX('Green_rooibos initial weight'!$C$5:$C$1749,MATCH(J540, 'Green_rooibos initial weight'!$A$5:$A$1749,0)),"")</f>
        <v>2.0950000000000002</v>
      </c>
      <c r="L540" s="225">
        <f>IFERROR(K540-(TBIcalc!$H$9+TBIcalc!$H$10),"")</f>
        <v>1.8452000000000002</v>
      </c>
      <c r="M540" s="391">
        <f>AVERAGE(Ashed_controlls!$K$2:$K$11)</f>
        <v>5.5147656768714146</v>
      </c>
      <c r="N540" s="225">
        <f t="shared" si="44"/>
        <v>1.7434415437303687</v>
      </c>
      <c r="O540" s="225">
        <f>IF(IFERROR(INDEX('Both teabags AfterWet'!$C$3:$C$841,MATCH(J540,'Both teabags AfterWet'!$A$3:$A$841,0)),"")="","",(IFERROR(INDEX('Both teabags AfterWet'!$C$3:$C$841,MATCH(J540,'Both teabags AfterWet'!$A$3:$A$841,0)),"")))</f>
        <v>0.52829999999999999</v>
      </c>
      <c r="P540" s="225">
        <f>IFERROR(IF(O540&gt;0,O540-(TBIcalc!$H$9),""),"")</f>
        <v>0.37769999999999998</v>
      </c>
      <c r="Q540" s="225">
        <f>IFERROR(INDEX('Ashed teabags wet'!$K$2:$K$821,MATCH(J540,'Ashed teabags wet'!$A$2:$A$821,0)),"")</f>
        <v>10.554371002128548</v>
      </c>
      <c r="R540" s="225">
        <f t="shared" si="47"/>
        <v>0.33783614072496049</v>
      </c>
      <c r="S540" s="226">
        <f>'WetLitterbags placem_collection'!E101</f>
        <v>42762</v>
      </c>
      <c r="T540" s="226">
        <f>IF('WetLitterbags placem_collection'!G101="","",'WetLitterbags placem_collection'!G101)</f>
        <v>42816</v>
      </c>
      <c r="U540" s="227">
        <f t="shared" si="43"/>
        <v>54</v>
      </c>
      <c r="V540" s="225">
        <f t="shared" si="45"/>
        <v>1.4675000000000002</v>
      </c>
      <c r="W540" s="225">
        <f t="shared" si="46"/>
        <v>1.4056054030054081</v>
      </c>
      <c r="X540">
        <f>IFERROR(INDEX(Rainfall_Wet!$O$2:$O$217,MATCH(B540, Rainfall_Wet!$A$2:$A$217,0)),"")</f>
        <v>206.85140822299999</v>
      </c>
      <c r="Y540" s="231">
        <v>45.96</v>
      </c>
      <c r="Z540" s="231">
        <v>14.920000000000003</v>
      </c>
      <c r="AA540" s="231">
        <v>39.119999999999997</v>
      </c>
      <c r="AB540" s="232" t="s">
        <v>2673</v>
      </c>
      <c r="AC540" s="231">
        <v>4.0374568753080302</v>
      </c>
      <c r="AD540">
        <f>IF('WetLitterbags placem_collection'!AB101="","",'WetLitterbags placem_collection'!AB101)</f>
        <v>5.0999999999999996</v>
      </c>
      <c r="AE540">
        <f>IF('WetLitterbags placem_collection'!Z101="","",'WetLitterbags placem_collection'!Z101)</f>
        <v>2.2999999999999998</v>
      </c>
      <c r="AF540" s="246" t="str">
        <f>IF('WetLitterbags placem_collection'!AA101="","",'WetLitterbags placem_collection'!AA101)</f>
        <v>G</v>
      </c>
      <c r="AG540">
        <f>IF('WetLitterbags placem_collection'!AC101="","",'WetLitterbags placem_collection'!AC101)</f>
        <v>0</v>
      </c>
      <c r="AH540" s="240">
        <f>AVERAGE('WetLitterbags placem_collection'!S101,'WetLitterbags placem_collection'!U101)</f>
        <v>17.95</v>
      </c>
      <c r="AI540">
        <f>AVERAGE('WetLitterbags placem_collection'!R101,'WetLitterbags placem_collection'!T101)</f>
        <v>30.85</v>
      </c>
      <c r="AJ540">
        <f>INDEX(Coordinates!$B$2:$B$197,MATCH(G540,Coordinates!$J$2:$J$197,0))</f>
        <v>-2.369284993</v>
      </c>
      <c r="AK540">
        <f>INDEX(Coordinates!$C$2:$C$197,MATCH(G540,Coordinates!$J$2:$J$197,0))</f>
        <v>34.06028104</v>
      </c>
      <c r="AL540" t="str">
        <f>IF(ISNUMBER(SEARCH("C", 'WetLitterbags placem_collection'!X101)),"YES","NO")</f>
        <v>NO</v>
      </c>
      <c r="AM540" t="str">
        <f>IF(ISNUMBER(SEARCH("H", 'WetLitterbags placem_collection'!X101)),"YES","NO")</f>
        <v>NO</v>
      </c>
      <c r="AN540" t="str">
        <f>IF(ISNUMBER(SEARCH("R", 'WetLitterbags placem_collection'!X101)),"YES","NO")</f>
        <v>NO</v>
      </c>
    </row>
    <row r="541" spans="1:40" ht="15" customHeight="1">
      <c r="A541" s="258" t="s">
        <v>2460</v>
      </c>
      <c r="B541" s="263">
        <f>'Dry_Litterbag Placem_Collection'!A102</f>
        <v>100</v>
      </c>
      <c r="C541" s="263" t="str">
        <f>'Dry_Litterbag Placem_Collection'!B102</f>
        <v xml:space="preserve">Mwantimba
</v>
      </c>
      <c r="D541" s="263" t="s">
        <v>2460</v>
      </c>
      <c r="E541" s="263" t="s">
        <v>2660</v>
      </c>
      <c r="F541" s="263">
        <v>1</v>
      </c>
      <c r="G541" s="264" t="str">
        <f>'Dry_Litterbag Placem_Collection'!C102</f>
        <v>Wet_Ag1_T4</v>
      </c>
      <c r="H541" s="273" t="s">
        <v>3651</v>
      </c>
      <c r="I541" s="266" t="s">
        <v>1147</v>
      </c>
      <c r="J541" s="223" t="str">
        <f>'WetLitterbags placem_collection'!O102</f>
        <v>G828</v>
      </c>
      <c r="K541" s="225">
        <f>IFERROR(INDEX('Green_rooibos initial weight'!$C$5:$C$1749,MATCH(J541, 'Green_rooibos initial weight'!$A$5:$A$1749,0)),"")</f>
        <v>1.986</v>
      </c>
      <c r="L541" s="225">
        <f>IFERROR(K541-(TBIcalc!$H$9+TBIcalc!$H$10),"")</f>
        <v>1.7362</v>
      </c>
      <c r="M541" s="391">
        <f>AVERAGE(Ashed_controlls!$K$2:$K$11)</f>
        <v>5.5147656768714146</v>
      </c>
      <c r="N541" s="225">
        <f t="shared" si="44"/>
        <v>1.6404526383181586</v>
      </c>
      <c r="O541" s="225">
        <f>IF(IFERROR(INDEX('Both teabags AfterWet'!$C$3:$C$841,MATCH(J541,'Both teabags AfterWet'!$A$3:$A$841,0)),"")="","",(IFERROR(INDEX('Both teabags AfterWet'!$C$3:$C$841,MATCH(J541,'Both teabags AfterWet'!$A$3:$A$841,0)),"")))</f>
        <v>0.57399999999999995</v>
      </c>
      <c r="P541" s="225">
        <f>IFERROR(IF(O541&gt;0,O541-(TBIcalc!$H$9),""),"")</f>
        <v>0.42339999999999994</v>
      </c>
      <c r="Q541" s="225">
        <f>IFERROR(INDEX('Ashed teabags wet'!$K$2:$K$821,MATCH(J541,'Ashed teabags wet'!$A$2:$A$821,0)),"")</f>
        <v>14.012096774192942</v>
      </c>
      <c r="R541" s="225">
        <f t="shared" si="47"/>
        <v>0.36407278225806705</v>
      </c>
      <c r="S541" s="226">
        <f>'WetLitterbags placem_collection'!E102</f>
        <v>42762</v>
      </c>
      <c r="T541" s="226">
        <f>IF('WetLitterbags placem_collection'!G102="","",'WetLitterbags placem_collection'!G102)</f>
        <v>42816</v>
      </c>
      <c r="U541" s="227">
        <f t="shared" si="43"/>
        <v>54</v>
      </c>
      <c r="V541" s="225">
        <f t="shared" si="45"/>
        <v>1.3128</v>
      </c>
      <c r="W541" s="225">
        <f t="shared" si="46"/>
        <v>1.2763798560600916</v>
      </c>
      <c r="X541">
        <f>IFERROR(INDEX(Rainfall_Wet!$O$2:$O$217,MATCH(B541, Rainfall_Wet!$A$2:$A$217,0)),"")</f>
        <v>206.85140822299999</v>
      </c>
      <c r="Y541" s="231">
        <v>45.96</v>
      </c>
      <c r="Z541" s="231">
        <v>14.920000000000003</v>
      </c>
      <c r="AA541" s="231">
        <v>39.119999999999997</v>
      </c>
      <c r="AB541" s="232" t="s">
        <v>2673</v>
      </c>
      <c r="AC541" s="231">
        <v>5.0374568753080302</v>
      </c>
      <c r="AD541">
        <f>IF('WetLitterbags placem_collection'!AB102="","",'WetLitterbags placem_collection'!AB102)</f>
        <v>1.6</v>
      </c>
      <c r="AE541">
        <f>IF('WetLitterbags placem_collection'!Z102="","",'WetLitterbags placem_collection'!Z102)</f>
        <v>15</v>
      </c>
      <c r="AF541" s="246" t="str">
        <f>IF('WetLitterbags placem_collection'!AA102="","",'WetLitterbags placem_collection'!AA102)</f>
        <v>G</v>
      </c>
      <c r="AG541">
        <f>IF('WetLitterbags placem_collection'!AC102="","",'WetLitterbags placem_collection'!AC102)</f>
        <v>1</v>
      </c>
      <c r="AH541" s="240">
        <f>AVERAGE('WetLitterbags placem_collection'!S102,'WetLitterbags placem_collection'!U102)</f>
        <v>16.5</v>
      </c>
      <c r="AI541">
        <f>AVERAGE('WetLitterbags placem_collection'!R102,'WetLitterbags placem_collection'!T102)</f>
        <v>29.85</v>
      </c>
      <c r="AJ541">
        <f>INDEX(Coordinates!$B$2:$B$197,MATCH(G541,Coordinates!$J$2:$J$197,0))</f>
        <v>-2.3691989950000001</v>
      </c>
      <c r="AK541">
        <f>INDEX(Coordinates!$C$2:$C$197,MATCH(G541,Coordinates!$J$2:$J$197,0))</f>
        <v>34.060208029999998</v>
      </c>
      <c r="AL541" t="str">
        <f>IF(ISNUMBER(SEARCH("C", 'WetLitterbags placem_collection'!X102)),"YES","NO")</f>
        <v>NO</v>
      </c>
      <c r="AM541" t="str">
        <f>IF(ISNUMBER(SEARCH("H", 'WetLitterbags placem_collection'!X102)),"YES","NO")</f>
        <v>NO</v>
      </c>
      <c r="AN541" t="str">
        <f>IF(ISNUMBER(SEARCH("R", 'WetLitterbags placem_collection'!X102)),"YES","NO")</f>
        <v>NO</v>
      </c>
    </row>
    <row r="542" spans="1:40" ht="15" customHeight="1">
      <c r="A542" s="258" t="s">
        <v>2460</v>
      </c>
      <c r="B542" s="263">
        <f>'Dry_Litterbag Placem_Collection'!A103</f>
        <v>101</v>
      </c>
      <c r="C542" s="263" t="str">
        <f>'Dry_Litterbag Placem_Collection'!B103</f>
        <v xml:space="preserve">Mwantimba
</v>
      </c>
      <c r="D542" s="263" t="s">
        <v>2460</v>
      </c>
      <c r="E542" s="263" t="s">
        <v>2660</v>
      </c>
      <c r="F542" s="263">
        <v>1</v>
      </c>
      <c r="G542" s="264" t="str">
        <f>'Dry_Litterbag Placem_Collection'!C103</f>
        <v>Wet_Ag1_T5</v>
      </c>
      <c r="H542" s="273" t="s">
        <v>3651</v>
      </c>
      <c r="I542" s="266" t="s">
        <v>1147</v>
      </c>
      <c r="J542" s="223" t="str">
        <f>'WetLitterbags placem_collection'!O103</f>
        <v>G875</v>
      </c>
      <c r="K542" s="225">
        <f>IFERROR(INDEX('Green_rooibos initial weight'!$C$5:$C$1749,MATCH(J542, 'Green_rooibos initial weight'!$A$5:$A$1749,0)),"")</f>
        <v>2.0880000000000001</v>
      </c>
      <c r="L542" s="225">
        <f>IFERROR(K542-(TBIcalc!$H$9+TBIcalc!$H$10),"")</f>
        <v>1.8382000000000001</v>
      </c>
      <c r="M542" s="391">
        <f>AVERAGE(Ashed_controlls!$K$2:$K$11)</f>
        <v>5.5147656768714146</v>
      </c>
      <c r="N542" s="225">
        <f t="shared" si="44"/>
        <v>1.7368275773277497</v>
      </c>
      <c r="O542" s="225">
        <f>IF(IFERROR(INDEX('Both teabags AfterWet'!$C$3:$C$841,MATCH(J542,'Both teabags AfterWet'!$A$3:$A$841,0)),"")="","",(IFERROR(INDEX('Both teabags AfterWet'!$C$3:$C$841,MATCH(J542,'Both teabags AfterWet'!$A$3:$A$841,0)),"")))</f>
        <v>0.62450000000000006</v>
      </c>
      <c r="P542" s="225">
        <f>IFERROR(IF(O542&gt;0,O542-(TBIcalc!$H$9),""),"")</f>
        <v>0.47390000000000004</v>
      </c>
      <c r="Q542" s="225">
        <f>IFERROR(INDEX('Ashed teabags wet'!$K$2:$K$821,MATCH(J542,'Ashed teabags wet'!$A$2:$A$821,0)),"")</f>
        <v>13.73786407767002</v>
      </c>
      <c r="R542" s="225">
        <f t="shared" si="47"/>
        <v>0.4087962621359218</v>
      </c>
      <c r="S542" s="226">
        <f>'WetLitterbags placem_collection'!E103</f>
        <v>42762</v>
      </c>
      <c r="T542" s="226">
        <f>IF('WetLitterbags placem_collection'!G103="","",'WetLitterbags placem_collection'!G103)</f>
        <v>42816</v>
      </c>
      <c r="U542" s="227">
        <f t="shared" si="43"/>
        <v>54</v>
      </c>
      <c r="V542" s="225">
        <f t="shared" si="45"/>
        <v>1.3643000000000001</v>
      </c>
      <c r="W542" s="225">
        <f t="shared" si="46"/>
        <v>1.3280313151918279</v>
      </c>
      <c r="X542">
        <f>IFERROR(INDEX(Rainfall_Wet!$O$2:$O$217,MATCH(B542, Rainfall_Wet!$A$2:$A$217,0)),"")</f>
        <v>206.85140822299999</v>
      </c>
      <c r="Y542" s="231">
        <v>45.96</v>
      </c>
      <c r="Z542" s="231">
        <v>14.920000000000003</v>
      </c>
      <c r="AA542" s="231">
        <v>39.119999999999997</v>
      </c>
      <c r="AB542" s="232" t="s">
        <v>2673</v>
      </c>
      <c r="AC542" s="231">
        <v>6.0374568753080302</v>
      </c>
      <c r="AD542">
        <f>IF('WetLitterbags placem_collection'!AB103="","",'WetLitterbags placem_collection'!AB103)</f>
        <v>4.3499999999999996</v>
      </c>
      <c r="AE542">
        <f>IF('WetLitterbags placem_collection'!Z103="","",'WetLitterbags placem_collection'!Z103)</f>
        <v>17</v>
      </c>
      <c r="AF542" s="246" t="str">
        <f>IF('WetLitterbags placem_collection'!AA103="","",'WetLitterbags placem_collection'!AA103)</f>
        <v>G</v>
      </c>
      <c r="AG542">
        <f>IF('WetLitterbags placem_collection'!AC103="","",'WetLitterbags placem_collection'!AC103)</f>
        <v>1</v>
      </c>
      <c r="AH542" s="240">
        <f>AVERAGE('WetLitterbags placem_collection'!S103,'WetLitterbags placem_collection'!U103)</f>
        <v>22.549999999999997</v>
      </c>
      <c r="AI542">
        <f>AVERAGE('WetLitterbags placem_collection'!R103,'WetLitterbags placem_collection'!T103)</f>
        <v>31.150000000000002</v>
      </c>
      <c r="AJ542">
        <f>INDEX(Coordinates!$B$2:$B$197,MATCH(G542,Coordinates!$J$2:$J$197,0))</f>
        <v>-2.3691900260000001</v>
      </c>
      <c r="AK542">
        <f>INDEX(Coordinates!$C$2:$C$197,MATCH(G542,Coordinates!$J$2:$J$197,0))</f>
        <v>34.060177019999998</v>
      </c>
      <c r="AL542" t="str">
        <f>IF(ISNUMBER(SEARCH("C", 'WetLitterbags placem_collection'!X103)),"YES","NO")</f>
        <v>NO</v>
      </c>
      <c r="AM542" t="str">
        <f>IF(ISNUMBER(SEARCH("H", 'WetLitterbags placem_collection'!X103)),"YES","NO")</f>
        <v>NO</v>
      </c>
      <c r="AN542" t="str">
        <f>IF(ISNUMBER(SEARCH("R", 'WetLitterbags placem_collection'!X103)),"YES","NO")</f>
        <v>NO</v>
      </c>
    </row>
    <row r="543" spans="1:40" ht="15" customHeight="1">
      <c r="A543" s="258" t="s">
        <v>2460</v>
      </c>
      <c r="B543" s="263">
        <f>'Dry_Litterbag Placem_Collection'!A104</f>
        <v>102</v>
      </c>
      <c r="C543" s="263" t="str">
        <f>'Dry_Litterbag Placem_Collection'!B104</f>
        <v xml:space="preserve">Mwantimba
</v>
      </c>
      <c r="D543" s="263" t="s">
        <v>2460</v>
      </c>
      <c r="E543" s="263" t="s">
        <v>2660</v>
      </c>
      <c r="F543" s="263">
        <v>1</v>
      </c>
      <c r="G543" s="264" t="str">
        <f>'Dry_Litterbag Placem_Collection'!C104</f>
        <v>Wet_Ag1_T6</v>
      </c>
      <c r="H543" s="273" t="s">
        <v>3651</v>
      </c>
      <c r="I543" s="266" t="s">
        <v>1147</v>
      </c>
      <c r="J543" s="223" t="str">
        <f>'WetLitterbags placem_collection'!O104</f>
        <v>G824</v>
      </c>
      <c r="K543" s="225">
        <f>IFERROR(INDEX('Green_rooibos initial weight'!$C$5:$C$1749,MATCH(J543, 'Green_rooibos initial weight'!$A$5:$A$1749,0)),"")</f>
        <v>1.931</v>
      </c>
      <c r="L543" s="225">
        <f>IFERROR(K543-(TBIcalc!$H$9+TBIcalc!$H$10),"")</f>
        <v>1.6812</v>
      </c>
      <c r="M543" s="391">
        <f>AVERAGE(Ashed_controlls!$K$2:$K$11)</f>
        <v>5.5147656768714146</v>
      </c>
      <c r="N543" s="225">
        <f t="shared" si="44"/>
        <v>1.5884857594404378</v>
      </c>
      <c r="O543" s="225">
        <f>IF(IFERROR(INDEX('Both teabags AfterWet'!$C$3:$C$841,MATCH(J543,'Both teabags AfterWet'!$A$3:$A$841,0)),"")="","",(IFERROR(INDEX('Both teabags AfterWet'!$C$3:$C$841,MATCH(J543,'Both teabags AfterWet'!$A$3:$A$841,0)),"")))</f>
        <v>0.63800000000000001</v>
      </c>
      <c r="P543" s="225">
        <f>IFERROR(IF(O543&gt;0,O543-(TBIcalc!$H$9),""),"")</f>
        <v>0.4874</v>
      </c>
      <c r="Q543" s="225">
        <f>IFERROR(INDEX('Ashed teabags wet'!$K$2:$K$821,MATCH(J543,'Ashed teabags wet'!$A$2:$A$821,0)),"")</f>
        <v>12.710187932739478</v>
      </c>
      <c r="R543" s="225">
        <f t="shared" si="47"/>
        <v>0.42545054401582777</v>
      </c>
      <c r="S543" s="226">
        <f>'WetLitterbags placem_collection'!E104</f>
        <v>42762</v>
      </c>
      <c r="T543" s="226">
        <f>IF('WetLitterbags placem_collection'!G104="","",'WetLitterbags placem_collection'!G104)</f>
        <v>42816</v>
      </c>
      <c r="U543" s="227">
        <f t="shared" si="43"/>
        <v>54</v>
      </c>
      <c r="V543" s="225">
        <f t="shared" si="45"/>
        <v>1.1938</v>
      </c>
      <c r="W543" s="225">
        <f t="shared" si="46"/>
        <v>1.16303521542461</v>
      </c>
      <c r="X543">
        <f>IFERROR(INDEX(Rainfall_Wet!$O$2:$O$217,MATCH(B543, Rainfall_Wet!$A$2:$A$217,0)),"")</f>
        <v>206.85140822299999</v>
      </c>
      <c r="Y543" s="231">
        <v>45.96</v>
      </c>
      <c r="Z543" s="231">
        <v>14.920000000000003</v>
      </c>
      <c r="AA543" s="231">
        <v>39.119999999999997</v>
      </c>
      <c r="AB543" s="232" t="s">
        <v>2673</v>
      </c>
      <c r="AC543" s="231">
        <v>7.0374568753080302</v>
      </c>
      <c r="AD543">
        <f>IF('WetLitterbags placem_collection'!AB104="","",'WetLitterbags placem_collection'!AB104)</f>
        <v>7.7</v>
      </c>
      <c r="AE543">
        <f>IF('WetLitterbags placem_collection'!Z104="","",'WetLitterbags placem_collection'!Z104)</f>
        <v>21</v>
      </c>
      <c r="AF543" s="246" t="str">
        <f>IF('WetLitterbags placem_collection'!AA104="","",'WetLitterbags placem_collection'!AA104)</f>
        <v>G</v>
      </c>
      <c r="AG543">
        <f>IF('WetLitterbags placem_collection'!AC104="","",'WetLitterbags placem_collection'!AC104)</f>
        <v>1</v>
      </c>
      <c r="AH543" s="240">
        <f>AVERAGE('WetLitterbags placem_collection'!S104,'WetLitterbags placem_collection'!U104)</f>
        <v>21.099999999999998</v>
      </c>
      <c r="AI543">
        <f>AVERAGE('WetLitterbags placem_collection'!R104,'WetLitterbags placem_collection'!T104)</f>
        <v>31.8</v>
      </c>
      <c r="AJ543">
        <f>INDEX(Coordinates!$B$2:$B$197,MATCH(G543,Coordinates!$J$2:$J$197,0))</f>
        <v>-2.3691350409999998</v>
      </c>
      <c r="AK543">
        <f>INDEX(Coordinates!$C$2:$C$197,MATCH(G543,Coordinates!$J$2:$J$197,0))</f>
        <v>34.06018297</v>
      </c>
      <c r="AL543" t="str">
        <f>IF(ISNUMBER(SEARCH("C", 'WetLitterbags placem_collection'!X104)),"YES","NO")</f>
        <v>NO</v>
      </c>
      <c r="AM543" t="str">
        <f>IF(ISNUMBER(SEARCH("H", 'WetLitterbags placem_collection'!X104)),"YES","NO")</f>
        <v>NO</v>
      </c>
      <c r="AN543" t="str">
        <f>IF(ISNUMBER(SEARCH("R", 'WetLitterbags placem_collection'!X104)),"YES","NO")</f>
        <v>NO</v>
      </c>
    </row>
    <row r="544" spans="1:40" ht="15" customHeight="1">
      <c r="A544" s="258" t="s">
        <v>2460</v>
      </c>
      <c r="B544" s="263">
        <f>'Dry_Litterbag Placem_Collection'!A105</f>
        <v>103</v>
      </c>
      <c r="C544" s="263" t="str">
        <f>'Dry_Litterbag Placem_Collection'!B105</f>
        <v xml:space="preserve">Mwantimba
</v>
      </c>
      <c r="D544" s="263" t="s">
        <v>2460</v>
      </c>
      <c r="E544" s="263" t="s">
        <v>2660</v>
      </c>
      <c r="F544" s="263">
        <v>1</v>
      </c>
      <c r="G544" s="264" t="str">
        <f>'Dry_Litterbag Placem_Collection'!C105</f>
        <v>Wet_Ag1_T7</v>
      </c>
      <c r="H544" s="273" t="s">
        <v>3651</v>
      </c>
      <c r="I544" s="266" t="s">
        <v>1147</v>
      </c>
      <c r="J544" s="223" t="str">
        <f>'WetLitterbags placem_collection'!O105</f>
        <v>G692</v>
      </c>
      <c r="K544" s="225">
        <f>IFERROR(INDEX('Green_rooibos initial weight'!$C$5:$C$1749,MATCH(J544, 'Green_rooibos initial weight'!$A$5:$A$1749,0)),"")</f>
        <v>2.028</v>
      </c>
      <c r="L544" s="225">
        <f>IFERROR(K544-(TBIcalc!$H$9+TBIcalc!$H$10),"")</f>
        <v>1.7782</v>
      </c>
      <c r="M544" s="391">
        <f>AVERAGE(Ashed_controlls!$K$2:$K$11)</f>
        <v>5.5147656768714146</v>
      </c>
      <c r="N544" s="225">
        <f t="shared" si="44"/>
        <v>1.6801364367338725</v>
      </c>
      <c r="O544" s="225">
        <f>IF(IFERROR(INDEX('Both teabags AfterWet'!$C$3:$C$841,MATCH(J544,'Both teabags AfterWet'!$A$3:$A$841,0)),"")="","",(IFERROR(INDEX('Both teabags AfterWet'!$C$3:$C$841,MATCH(J544,'Both teabags AfterWet'!$A$3:$A$841,0)),"")))</f>
        <v>0.58699999999999997</v>
      </c>
      <c r="P544" s="225">
        <f>IFERROR(IF(O544&gt;0,O544-(TBIcalc!$H$9),""),"")</f>
        <v>0.43639999999999995</v>
      </c>
      <c r="Q544" s="225">
        <f>IFERROR(INDEX('Ashed teabags wet'!$K$2:$K$821,MATCH(J544,'Ashed teabags wet'!$A$2:$A$821,0)),"")</f>
        <v>13.793103448275259</v>
      </c>
      <c r="R544" s="225">
        <f t="shared" si="47"/>
        <v>0.37620689655172673</v>
      </c>
      <c r="S544" s="226">
        <f>'WetLitterbags placem_collection'!E105</f>
        <v>42762</v>
      </c>
      <c r="T544" s="226">
        <f>IF('WetLitterbags placem_collection'!G105="","",'WetLitterbags placem_collection'!G105)</f>
        <v>42816</v>
      </c>
      <c r="U544" s="227">
        <f t="shared" si="43"/>
        <v>54</v>
      </c>
      <c r="V544" s="225">
        <f t="shared" si="45"/>
        <v>1.3418000000000001</v>
      </c>
      <c r="W544" s="225">
        <f t="shared" si="46"/>
        <v>1.3039295401821458</v>
      </c>
      <c r="X544">
        <f>IFERROR(INDEX(Rainfall_Wet!$O$2:$O$217,MATCH(B544, Rainfall_Wet!$A$2:$A$217,0)),"")</f>
        <v>206.85140822299999</v>
      </c>
      <c r="Y544" s="231">
        <v>45.96</v>
      </c>
      <c r="Z544" s="231">
        <v>14.920000000000003</v>
      </c>
      <c r="AA544" s="231">
        <v>39.119999999999997</v>
      </c>
      <c r="AB544" s="232" t="s">
        <v>2673</v>
      </c>
      <c r="AC544" s="231">
        <v>8.0374568753080293</v>
      </c>
      <c r="AD544">
        <f>IF('WetLitterbags placem_collection'!AB105="","",'WetLitterbags placem_collection'!AB105)</f>
        <v>3.25</v>
      </c>
      <c r="AE544">
        <f>IF('WetLitterbags placem_collection'!Z105="","",'WetLitterbags placem_collection'!Z105)</f>
        <v>16</v>
      </c>
      <c r="AF544" s="246" t="str">
        <f>IF('WetLitterbags placem_collection'!AA105="","",'WetLitterbags placem_collection'!AA105)</f>
        <v>G</v>
      </c>
      <c r="AG544">
        <f>IF('WetLitterbags placem_collection'!AC105="","",'WetLitterbags placem_collection'!AC105)</f>
        <v>1</v>
      </c>
      <c r="AH544" s="240">
        <f>AVERAGE('WetLitterbags placem_collection'!S105,'WetLitterbags placem_collection'!U105)</f>
        <v>20.450000000000003</v>
      </c>
      <c r="AI544">
        <f>AVERAGE('WetLitterbags placem_collection'!R105,'WetLitterbags placem_collection'!T105)</f>
        <v>30.25</v>
      </c>
      <c r="AJ544">
        <f>INDEX(Coordinates!$B$2:$B$197,MATCH(G544,Coordinates!$J$2:$J$197,0))</f>
        <v>-2.3691330289999999</v>
      </c>
      <c r="AK544">
        <f>INDEX(Coordinates!$C$2:$C$197,MATCH(G544,Coordinates!$J$2:$J$197,0))</f>
        <v>34.060233009999997</v>
      </c>
      <c r="AL544" t="str">
        <f>IF(ISNUMBER(SEARCH("C", 'WetLitterbags placem_collection'!X105)),"YES","NO")</f>
        <v>NO</v>
      </c>
      <c r="AM544" t="str">
        <f>IF(ISNUMBER(SEARCH("H", 'WetLitterbags placem_collection'!X105)),"YES","NO")</f>
        <v>NO</v>
      </c>
      <c r="AN544" t="str">
        <f>IF(ISNUMBER(SEARCH("R", 'WetLitterbags placem_collection'!X105)),"YES","NO")</f>
        <v>NO</v>
      </c>
    </row>
    <row r="545" spans="1:40" ht="15" customHeight="1">
      <c r="A545" s="258" t="s">
        <v>2460</v>
      </c>
      <c r="B545" s="263">
        <f>'Dry_Litterbag Placem_Collection'!A106</f>
        <v>104</v>
      </c>
      <c r="C545" s="263" t="str">
        <f>'Dry_Litterbag Placem_Collection'!B106</f>
        <v xml:space="preserve">Mwantimba
</v>
      </c>
      <c r="D545" s="263" t="s">
        <v>2460</v>
      </c>
      <c r="E545" s="263" t="s">
        <v>2660</v>
      </c>
      <c r="F545" s="263">
        <v>1</v>
      </c>
      <c r="G545" s="264" t="str">
        <f>'Dry_Litterbag Placem_Collection'!C106</f>
        <v>Wet_Ag1_T8</v>
      </c>
      <c r="H545" s="273" t="s">
        <v>3651</v>
      </c>
      <c r="I545" s="266" t="s">
        <v>1147</v>
      </c>
      <c r="J545" s="223" t="str">
        <f>'WetLitterbags placem_collection'!O106</f>
        <v>G806</v>
      </c>
      <c r="K545" s="225">
        <f>IFERROR(INDEX('Green_rooibos initial weight'!$C$5:$C$1749,MATCH(J545, 'Green_rooibos initial weight'!$A$5:$A$1749,0)),"")</f>
        <v>2.0419999999999998</v>
      </c>
      <c r="L545" s="225">
        <f>IFERROR(K545-(TBIcalc!$H$9+TBIcalc!$H$10),"")</f>
        <v>1.7921999999999998</v>
      </c>
      <c r="M545" s="391">
        <f>AVERAGE(Ashed_controlls!$K$2:$K$11)</f>
        <v>5.5147656768714146</v>
      </c>
      <c r="N545" s="225">
        <f t="shared" si="44"/>
        <v>1.6933643695391103</v>
      </c>
      <c r="O545" s="225">
        <f>IF(IFERROR(INDEX('Both teabags AfterWet'!$C$3:$C$841,MATCH(J545,'Both teabags AfterWet'!$A$3:$A$841,0)),"")="","",(IFERROR(INDEX('Both teabags AfterWet'!$C$3:$C$841,MATCH(J545,'Both teabags AfterWet'!$A$3:$A$841,0)),"")))</f>
        <v>0.72499999999999998</v>
      </c>
      <c r="P545" s="225">
        <f>IFERROR(IF(O545&gt;0,O545-(TBIcalc!$H$9),""),"")</f>
        <v>0.57440000000000002</v>
      </c>
      <c r="Q545" s="225">
        <f>IFERROR(INDEX('Ashed teabags wet'!$K$2:$K$821,MATCH(J545,'Ashed teabags wet'!$A$2:$A$821,0)),"")</f>
        <v>16.853385289820611</v>
      </c>
      <c r="R545" s="225">
        <f t="shared" si="47"/>
        <v>0.47759415489527046</v>
      </c>
      <c r="S545" s="226">
        <f>'WetLitterbags placem_collection'!E106</f>
        <v>42762</v>
      </c>
      <c r="T545" s="226">
        <f>IF('WetLitterbags placem_collection'!G106="","",'WetLitterbags placem_collection'!G106)</f>
        <v>42816</v>
      </c>
      <c r="U545" s="227">
        <f t="shared" si="43"/>
        <v>54</v>
      </c>
      <c r="V545" s="225">
        <f t="shared" si="45"/>
        <v>1.2177999999999998</v>
      </c>
      <c r="W545" s="225">
        <f t="shared" si="46"/>
        <v>1.2157702146438398</v>
      </c>
      <c r="X545">
        <f>IFERROR(INDEX(Rainfall_Wet!$O$2:$O$217,MATCH(B545, Rainfall_Wet!$A$2:$A$217,0)),"")</f>
        <v>206.85140822299999</v>
      </c>
      <c r="Y545" s="231">
        <v>45.96</v>
      </c>
      <c r="Z545" s="231">
        <v>14.920000000000003</v>
      </c>
      <c r="AA545" s="231">
        <v>39.119999999999997</v>
      </c>
      <c r="AB545" s="232" t="s">
        <v>2673</v>
      </c>
      <c r="AC545" s="231">
        <v>9.0374568753080293</v>
      </c>
      <c r="AD545">
        <f>IF('WetLitterbags placem_collection'!AB106="","",'WetLitterbags placem_collection'!AB106)</f>
        <v>10.5</v>
      </c>
      <c r="AE545">
        <f>IF('WetLitterbags placem_collection'!Z106="","",'WetLitterbags placem_collection'!Z106)</f>
        <v>17</v>
      </c>
      <c r="AF545" s="246" t="str">
        <f>IF('WetLitterbags placem_collection'!AA106="","",'WetLitterbags placem_collection'!AA106)</f>
        <v>G</v>
      </c>
      <c r="AG545">
        <f>IF('WetLitterbags placem_collection'!AC106="","",'WetLitterbags placem_collection'!AC106)</f>
        <v>1</v>
      </c>
      <c r="AH545" s="240">
        <f>AVERAGE('WetLitterbags placem_collection'!S106,'WetLitterbags placem_collection'!U106)</f>
        <v>21.6</v>
      </c>
      <c r="AI545">
        <f>AVERAGE('WetLitterbags placem_collection'!R106,'WetLitterbags placem_collection'!T106)</f>
        <v>29.3</v>
      </c>
      <c r="AJ545">
        <f>INDEX(Coordinates!$B$2:$B$197,MATCH(G545,Coordinates!$J$2:$J$197,0))</f>
        <v>-2.3692910280000001</v>
      </c>
      <c r="AK545">
        <f>INDEX(Coordinates!$C$2:$C$197,MATCH(G545,Coordinates!$J$2:$J$197,0))</f>
        <v>34.06016202</v>
      </c>
      <c r="AL545" t="str">
        <f>IF(ISNUMBER(SEARCH("C", 'WetLitterbags placem_collection'!X106)),"YES","NO")</f>
        <v>NO</v>
      </c>
      <c r="AM545" t="str">
        <f>IF(ISNUMBER(SEARCH("H", 'WetLitterbags placem_collection'!X106)),"YES","NO")</f>
        <v>NO</v>
      </c>
      <c r="AN545" t="str">
        <f>IF(ISNUMBER(SEARCH("R", 'WetLitterbags placem_collection'!X106)),"YES","NO")</f>
        <v>NO</v>
      </c>
    </row>
    <row r="546" spans="1:40" ht="15" customHeight="1">
      <c r="A546" s="258" t="s">
        <v>2460</v>
      </c>
      <c r="B546" s="263">
        <f>'Dry_Litterbag Placem_Collection'!A107</f>
        <v>105</v>
      </c>
      <c r="C546" s="263" t="str">
        <f>'Dry_Litterbag Placem_Collection'!B107</f>
        <v xml:space="preserve">Mwantimba
</v>
      </c>
      <c r="D546" s="263" t="s">
        <v>2460</v>
      </c>
      <c r="E546" s="263" t="s">
        <v>2660</v>
      </c>
      <c r="F546" s="263">
        <v>2</v>
      </c>
      <c r="G546" s="264" t="str">
        <f>'Dry_Litterbag Placem_Collection'!C107</f>
        <v>Wet_Ag2_T1</v>
      </c>
      <c r="H546" s="273" t="s">
        <v>3651</v>
      </c>
      <c r="I546" s="266" t="s">
        <v>1147</v>
      </c>
      <c r="J546" s="223" t="str">
        <f>'WetLitterbags placem_collection'!O107</f>
        <v>G861</v>
      </c>
      <c r="K546" s="225">
        <f>IFERROR(INDEX('Green_rooibos initial weight'!$C$5:$C$1749,MATCH(J546, 'Green_rooibos initial weight'!$A$5:$A$1749,0)),"")</f>
        <v>1.9339999999999999</v>
      </c>
      <c r="L546" s="225">
        <f>IFERROR(K546-(TBIcalc!$H$9+TBIcalc!$H$10),"")</f>
        <v>1.6841999999999999</v>
      </c>
      <c r="M546" s="391">
        <f>AVERAGE(Ashed_controlls!$K$2:$K$11)</f>
        <v>5.5147656768714146</v>
      </c>
      <c r="N546" s="225">
        <f t="shared" si="44"/>
        <v>1.5913203164701315</v>
      </c>
      <c r="O546" s="225">
        <f>IF(IFERROR(INDEX('Both teabags AfterWet'!$C$3:$C$841,MATCH(J546,'Both teabags AfterWet'!$A$3:$A$841,0)),"")="","",(IFERROR(INDEX('Both teabags AfterWet'!$C$3:$C$841,MATCH(J546,'Both teabags AfterWet'!$A$3:$A$841,0)),"")))</f>
        <v>0.626</v>
      </c>
      <c r="P546" s="225">
        <f>IFERROR(IF(O546&gt;0,O546-(TBIcalc!$H$9),""),"")</f>
        <v>0.47539999999999999</v>
      </c>
      <c r="Q546" s="225">
        <f>IFERROR(INDEX('Ashed teabags wet'!$K$2:$K$821,MATCH(J546,'Ashed teabags wet'!$A$2:$A$821,0)),"")</f>
        <v>20.431034482760303</v>
      </c>
      <c r="R546" s="225">
        <f t="shared" si="47"/>
        <v>0.37827086206895755</v>
      </c>
      <c r="S546" s="226">
        <f>'WetLitterbags placem_collection'!E107</f>
        <v>42762</v>
      </c>
      <c r="T546" s="226">
        <f>IF('WetLitterbags placem_collection'!G107="","",'WetLitterbags placem_collection'!G107)</f>
        <v>42816</v>
      </c>
      <c r="U546" s="227">
        <f t="shared" si="43"/>
        <v>54</v>
      </c>
      <c r="V546" s="225">
        <f t="shared" si="45"/>
        <v>1.2087999999999999</v>
      </c>
      <c r="W546" s="225">
        <f t="shared" si="46"/>
        <v>1.2130494544011738</v>
      </c>
      <c r="X546">
        <f>IFERROR(INDEX(Rainfall_Wet!$O$2:$O$217,MATCH(B546, Rainfall_Wet!$A$2:$A$217,0)),"")</f>
        <v>206.85140822299999</v>
      </c>
      <c r="Y546" s="231">
        <v>34.344660194174757</v>
      </c>
      <c r="Z546" s="231">
        <v>19.22727272727273</v>
      </c>
      <c r="AA546" s="231">
        <v>46.428067078552509</v>
      </c>
      <c r="AB546" s="232" t="s">
        <v>2670</v>
      </c>
      <c r="AC546" s="231">
        <v>1.7452932479053718</v>
      </c>
      <c r="AD546">
        <f>IF('WetLitterbags placem_collection'!AB107="","",'WetLitterbags placem_collection'!AB107)</f>
        <v>5.5</v>
      </c>
      <c r="AE546">
        <f>IF('WetLitterbags placem_collection'!Z107="","",'WetLitterbags placem_collection'!Z107)</f>
        <v>23.5</v>
      </c>
      <c r="AF546" s="246" t="str">
        <f>IF('WetLitterbags placem_collection'!AA107="","",'WetLitterbags placem_collection'!AA107)</f>
        <v>M</v>
      </c>
      <c r="AG546">
        <f>IF('WetLitterbags placem_collection'!AC107="","",'WetLitterbags placem_collection'!AC107)</f>
        <v>0</v>
      </c>
      <c r="AH546" s="240">
        <f>AVERAGE('WetLitterbags placem_collection'!S107,'WetLitterbags placem_collection'!U107)</f>
        <v>11.350000000000001</v>
      </c>
      <c r="AI546">
        <f>AVERAGE('WetLitterbags placem_collection'!R107,'WetLitterbags placem_collection'!T107)</f>
        <v>32.150000000000006</v>
      </c>
      <c r="AJ546">
        <f>INDEX(Coordinates!$B$2:$B$197,MATCH(G546,Coordinates!$J$2:$J$197,0))</f>
        <v>-2.3698080240000001</v>
      </c>
      <c r="AK546">
        <f>INDEX(Coordinates!$C$2:$C$197,MATCH(G546,Coordinates!$J$2:$J$197,0))</f>
        <v>34.059671010000002</v>
      </c>
      <c r="AL546" t="str">
        <f>IF(ISNUMBER(SEARCH("C", 'WetLitterbags placem_collection'!X107)),"YES","NO")</f>
        <v>NO</v>
      </c>
      <c r="AM546" t="str">
        <f>IF(ISNUMBER(SEARCH("H", 'WetLitterbags placem_collection'!X107)),"YES","NO")</f>
        <v>NO</v>
      </c>
      <c r="AN546" t="str">
        <f>IF(ISNUMBER(SEARCH("R", 'WetLitterbags placem_collection'!X107)),"YES","NO")</f>
        <v>NO</v>
      </c>
    </row>
    <row r="547" spans="1:40" ht="15" customHeight="1">
      <c r="A547" s="258" t="s">
        <v>2460</v>
      </c>
      <c r="B547" s="263">
        <f>'Dry_Litterbag Placem_Collection'!A108</f>
        <v>106</v>
      </c>
      <c r="C547" s="263" t="str">
        <f>'Dry_Litterbag Placem_Collection'!B108</f>
        <v xml:space="preserve">Mwantimba
</v>
      </c>
      <c r="D547" s="263" t="s">
        <v>2460</v>
      </c>
      <c r="E547" s="263" t="s">
        <v>2660</v>
      </c>
      <c r="F547" s="263">
        <v>2</v>
      </c>
      <c r="G547" s="264" t="str">
        <f>'Dry_Litterbag Placem_Collection'!C108</f>
        <v>Wet_Ag2_T2</v>
      </c>
      <c r="H547" s="273" t="s">
        <v>3651</v>
      </c>
      <c r="I547" s="266" t="s">
        <v>1147</v>
      </c>
      <c r="J547" s="223" t="str">
        <f>'WetLitterbags placem_collection'!O108</f>
        <v>G738</v>
      </c>
      <c r="K547" s="225">
        <f>IFERROR(INDEX('Green_rooibos initial weight'!$C$5:$C$1749,MATCH(J547, 'Green_rooibos initial weight'!$A$5:$A$1749,0)),"")</f>
        <v>2.0089999999999999</v>
      </c>
      <c r="L547" s="225">
        <f>IFERROR(K547-(TBIcalc!$H$9+TBIcalc!$H$10),"")</f>
        <v>1.7591999999999999</v>
      </c>
      <c r="M547" s="391">
        <f>AVERAGE(Ashed_controlls!$K$2:$K$11)</f>
        <v>5.5147656768714146</v>
      </c>
      <c r="N547" s="225">
        <f t="shared" si="44"/>
        <v>1.662184242212478</v>
      </c>
      <c r="O547" s="225">
        <f>IF(IFERROR(INDEX('Both teabags AfterWet'!$C$3:$C$841,MATCH(J547,'Both teabags AfterWet'!$A$3:$A$841,0)),"")="","",(IFERROR(INDEX('Both teabags AfterWet'!$C$3:$C$841,MATCH(J547,'Both teabags AfterWet'!$A$3:$A$841,0)),"")))</f>
        <v>0.626</v>
      </c>
      <c r="P547" s="225">
        <f>IFERROR(IF(O547&gt;0,O547-(TBIcalc!$H$9),""),"")</f>
        <v>0.47539999999999999</v>
      </c>
      <c r="Q547" s="225">
        <f>IFERROR(INDEX('Ashed teabags wet'!$K$2:$K$821,MATCH(J547,'Ashed teabags wet'!$A$2:$A$821,0)),"")</f>
        <v>15.46906187624684</v>
      </c>
      <c r="R547" s="225">
        <f t="shared" si="47"/>
        <v>0.40186007984032251</v>
      </c>
      <c r="S547" s="226">
        <f>'WetLitterbags placem_collection'!E108</f>
        <v>42762</v>
      </c>
      <c r="T547" s="226">
        <f>IF('WetLitterbags placem_collection'!G108="","",'WetLitterbags placem_collection'!G108)</f>
        <v>42816</v>
      </c>
      <c r="U547" s="227">
        <f t="shared" si="43"/>
        <v>54</v>
      </c>
      <c r="V547" s="225">
        <f t="shared" si="45"/>
        <v>1.2837999999999998</v>
      </c>
      <c r="W547" s="225">
        <f t="shared" si="46"/>
        <v>1.2603241623721555</v>
      </c>
      <c r="X547">
        <f>IFERROR(INDEX(Rainfall_Wet!$O$2:$O$217,MATCH(B547, Rainfall_Wet!$A$2:$A$217,0)),"")</f>
        <v>206.85140822299999</v>
      </c>
      <c r="Y547" s="231">
        <v>34.344660194174757</v>
      </c>
      <c r="Z547" s="231">
        <v>19.22727272727273</v>
      </c>
      <c r="AA547" s="231">
        <v>46.428067078552509</v>
      </c>
      <c r="AB547" s="232" t="s">
        <v>2670</v>
      </c>
      <c r="AC547" s="231">
        <v>2.7452932479053702</v>
      </c>
      <c r="AD547">
        <f>IF('WetLitterbags placem_collection'!AB108="","",'WetLitterbags placem_collection'!AB108)</f>
        <v>8.6</v>
      </c>
      <c r="AE547">
        <f>IF('WetLitterbags placem_collection'!Z108="","",'WetLitterbags placem_collection'!Z108)</f>
        <v>17</v>
      </c>
      <c r="AF547" s="246" t="str">
        <f>IF('WetLitterbags placem_collection'!AA108="","",'WetLitterbags placem_collection'!AA108)</f>
        <v>M</v>
      </c>
      <c r="AG547">
        <f>IF('WetLitterbags placem_collection'!AC108="","",'WetLitterbags placem_collection'!AC108)</f>
        <v>0</v>
      </c>
      <c r="AH547" s="240">
        <f>AVERAGE('WetLitterbags placem_collection'!S108,'WetLitterbags placem_collection'!U108)</f>
        <v>12.4</v>
      </c>
      <c r="AI547">
        <f>AVERAGE('WetLitterbags placem_collection'!R108,'WetLitterbags placem_collection'!T108)</f>
        <v>32.950000000000003</v>
      </c>
      <c r="AJ547">
        <f>INDEX(Coordinates!$B$2:$B$197,MATCH(G547,Coordinates!$J$2:$J$197,0))</f>
        <v>-2.3697620069999998</v>
      </c>
      <c r="AK547">
        <f>INDEX(Coordinates!$C$2:$C$197,MATCH(G547,Coordinates!$J$2:$J$197,0))</f>
        <v>34.059730010000003</v>
      </c>
      <c r="AL547" t="str">
        <f>IF(ISNUMBER(SEARCH("C", 'WetLitterbags placem_collection'!X108)),"YES","NO")</f>
        <v>NO</v>
      </c>
      <c r="AM547" t="str">
        <f>IF(ISNUMBER(SEARCH("H", 'WetLitterbags placem_collection'!X108)),"YES","NO")</f>
        <v>NO</v>
      </c>
      <c r="AN547" t="str">
        <f>IF(ISNUMBER(SEARCH("R", 'WetLitterbags placem_collection'!X108)),"YES","NO")</f>
        <v>YES</v>
      </c>
    </row>
    <row r="548" spans="1:40" ht="15" customHeight="1">
      <c r="A548" s="258" t="s">
        <v>2460</v>
      </c>
      <c r="B548" s="263">
        <f>'Dry_Litterbag Placem_Collection'!A109</f>
        <v>107</v>
      </c>
      <c r="C548" s="263" t="str">
        <f>'Dry_Litterbag Placem_Collection'!B109</f>
        <v xml:space="preserve">Mwantimba
</v>
      </c>
      <c r="D548" s="263" t="s">
        <v>2460</v>
      </c>
      <c r="E548" s="263" t="s">
        <v>2660</v>
      </c>
      <c r="F548" s="263">
        <v>2</v>
      </c>
      <c r="G548" s="264" t="str">
        <f>'Dry_Litterbag Placem_Collection'!C109</f>
        <v>Wet_Ag2_T3</v>
      </c>
      <c r="H548" s="273" t="s">
        <v>3651</v>
      </c>
      <c r="I548" s="266" t="s">
        <v>1147</v>
      </c>
      <c r="J548" s="223" t="str">
        <f>'WetLitterbags placem_collection'!O109</f>
        <v>G676</v>
      </c>
      <c r="K548" s="225">
        <f>IFERROR(INDEX('Green_rooibos initial weight'!$C$5:$C$1749,MATCH(J548, 'Green_rooibos initial weight'!$A$5:$A$1749,0)),"")</f>
        <v>2.048</v>
      </c>
      <c r="L548" s="225">
        <f>IFERROR(K548-(TBIcalc!$H$9+TBIcalc!$H$10),"")</f>
        <v>1.7982</v>
      </c>
      <c r="M548" s="391">
        <f>AVERAGE(Ashed_controlls!$K$2:$K$11)</f>
        <v>5.5147656768714146</v>
      </c>
      <c r="N548" s="225">
        <f t="shared" si="44"/>
        <v>1.6990334835984982</v>
      </c>
      <c r="O548" s="225">
        <f>IF(IFERROR(INDEX('Both teabags AfterWet'!$C$3:$C$841,MATCH(J548,'Both teabags AfterWet'!$A$3:$A$841,0)),"")="","",(IFERROR(INDEX('Both teabags AfterWet'!$C$3:$C$841,MATCH(J548,'Both teabags AfterWet'!$A$3:$A$841,0)),"")))</f>
        <v>0.67630000000000001</v>
      </c>
      <c r="P548" s="225">
        <f>IFERROR(IF(O548&gt;0,O548-(TBIcalc!$H$9),""),"")</f>
        <v>0.52570000000000006</v>
      </c>
      <c r="Q548" s="225">
        <f>IFERROR(INDEX('Ashed teabags wet'!$K$2:$K$821,MATCH(J548,'Ashed teabags wet'!$A$2:$A$821,0)),"")</f>
        <v>16.393442622950655</v>
      </c>
      <c r="R548" s="225">
        <f t="shared" si="47"/>
        <v>0.43951967213114845</v>
      </c>
      <c r="S548" s="226">
        <f>'WetLitterbags placem_collection'!E109</f>
        <v>42762</v>
      </c>
      <c r="T548" s="226">
        <f>IF('WetLitterbags placem_collection'!G109="","",'WetLitterbags placem_collection'!G109)</f>
        <v>42816</v>
      </c>
      <c r="U548" s="227">
        <f t="shared" si="43"/>
        <v>54</v>
      </c>
      <c r="V548" s="225">
        <f t="shared" si="45"/>
        <v>1.2725</v>
      </c>
      <c r="W548" s="225">
        <f t="shared" si="46"/>
        <v>1.2595138114673496</v>
      </c>
      <c r="X548">
        <f>IFERROR(INDEX(Rainfall_Wet!$O$2:$O$217,MATCH(B548, Rainfall_Wet!$A$2:$A$217,0)),"")</f>
        <v>206.85140822299999</v>
      </c>
      <c r="Y548" s="231">
        <v>34.344660194174757</v>
      </c>
      <c r="Z548" s="231">
        <v>19.22727272727273</v>
      </c>
      <c r="AA548" s="231">
        <v>46.428067078552509</v>
      </c>
      <c r="AB548" s="232" t="s">
        <v>2670</v>
      </c>
      <c r="AC548" s="231">
        <v>3.7452932479053702</v>
      </c>
      <c r="AD548">
        <f>IF('WetLitterbags placem_collection'!AB109="","",'WetLitterbags placem_collection'!AB109)</f>
        <v>3.85</v>
      </c>
      <c r="AE548">
        <f>IF('WetLitterbags placem_collection'!Z109="","",'WetLitterbags placem_collection'!Z109)</f>
        <v>15.5</v>
      </c>
      <c r="AF548" s="246" t="str">
        <f>IF('WetLitterbags placem_collection'!AA109="","",'WetLitterbags placem_collection'!AA109)</f>
        <v>M</v>
      </c>
      <c r="AG548">
        <f>IF('WetLitterbags placem_collection'!AC109="","",'WetLitterbags placem_collection'!AC109)</f>
        <v>0</v>
      </c>
      <c r="AH548" s="240">
        <f>AVERAGE('WetLitterbags placem_collection'!S109,'WetLitterbags placem_collection'!U109)</f>
        <v>11.299999999999999</v>
      </c>
      <c r="AI548">
        <f>AVERAGE('WetLitterbags placem_collection'!R109,'WetLitterbags placem_collection'!T109)</f>
        <v>32.450000000000003</v>
      </c>
      <c r="AJ548">
        <f>INDEX(Coordinates!$B$2:$B$197,MATCH(G548,Coordinates!$J$2:$J$197,0))</f>
        <v>-2.3698409649999999</v>
      </c>
      <c r="AK548">
        <f>INDEX(Coordinates!$C$2:$C$197,MATCH(G548,Coordinates!$J$2:$J$197,0))</f>
        <v>34.059814000000003</v>
      </c>
      <c r="AL548" t="str">
        <f>IF(ISNUMBER(SEARCH("C", 'WetLitterbags placem_collection'!X109)),"YES","NO")</f>
        <v>NO</v>
      </c>
      <c r="AM548" t="str">
        <f>IF(ISNUMBER(SEARCH("H", 'WetLitterbags placem_collection'!X109)),"YES","NO")</f>
        <v>NO</v>
      </c>
      <c r="AN548" t="str">
        <f>IF(ISNUMBER(SEARCH("R", 'WetLitterbags placem_collection'!X109)),"YES","NO")</f>
        <v>YES</v>
      </c>
    </row>
    <row r="549" spans="1:40" ht="15" customHeight="1">
      <c r="A549" s="258" t="s">
        <v>2460</v>
      </c>
      <c r="B549" s="263">
        <f>'Dry_Litterbag Placem_Collection'!A110</f>
        <v>108</v>
      </c>
      <c r="C549" s="263" t="str">
        <f>'Dry_Litterbag Placem_Collection'!B110</f>
        <v xml:space="preserve">Mwantimba
</v>
      </c>
      <c r="D549" s="263" t="s">
        <v>2460</v>
      </c>
      <c r="E549" s="263" t="s">
        <v>2660</v>
      </c>
      <c r="F549" s="263">
        <v>2</v>
      </c>
      <c r="G549" s="264" t="str">
        <f>'Dry_Litterbag Placem_Collection'!C110</f>
        <v>Wet_Ag2_T4</v>
      </c>
      <c r="H549" s="273" t="s">
        <v>3651</v>
      </c>
      <c r="I549" s="266" t="s">
        <v>1147</v>
      </c>
      <c r="J549" s="223" t="str">
        <f>'WetLitterbags placem_collection'!O110</f>
        <v>G845</v>
      </c>
      <c r="K549" s="225">
        <f>IFERROR(INDEX('Green_rooibos initial weight'!$C$5:$C$1749,MATCH(J549, 'Green_rooibos initial weight'!$A$5:$A$1749,0)),"")</f>
        <v>2.0459999999999998</v>
      </c>
      <c r="L549" s="225">
        <f>IFERROR(K549-(TBIcalc!$H$9+TBIcalc!$H$10),"")</f>
        <v>1.7961999999999998</v>
      </c>
      <c r="M549" s="391">
        <f>AVERAGE(Ashed_controlls!$K$2:$K$11)</f>
        <v>5.5147656768714146</v>
      </c>
      <c r="N549" s="225">
        <f t="shared" si="44"/>
        <v>1.6971437789120354</v>
      </c>
      <c r="O549" s="225">
        <f>IF(IFERROR(INDEX('Both teabags AfterWet'!$C$3:$C$841,MATCH(J549,'Both teabags AfterWet'!$A$3:$A$841,0)),"")="","",(IFERROR(INDEX('Both teabags AfterWet'!$C$3:$C$841,MATCH(J549,'Both teabags AfterWet'!$A$3:$A$841,0)),"")))</f>
        <v>0.57699999999999996</v>
      </c>
      <c r="P549" s="225">
        <f>IFERROR(IF(O549&gt;0,O549-(TBIcalc!$H$9),""),"")</f>
        <v>0.42639999999999995</v>
      </c>
      <c r="Q549" s="225">
        <f>IFERROR(INDEX('Ashed teabags wet'!$K$2:$K$821,MATCH(J549,'Ashed teabags wet'!$A$2:$A$821,0)),"")</f>
        <v>13.078070611635859</v>
      </c>
      <c r="R549" s="225">
        <f t="shared" si="47"/>
        <v>0.37063510691198465</v>
      </c>
      <c r="S549" s="226">
        <f>'WetLitterbags placem_collection'!E110</f>
        <v>42762</v>
      </c>
      <c r="T549" s="226">
        <f>IF('WetLitterbags placem_collection'!G110="","",'WetLitterbags placem_collection'!G110)</f>
        <v>42816</v>
      </c>
      <c r="U549" s="227">
        <f t="shared" si="43"/>
        <v>54</v>
      </c>
      <c r="V549" s="225">
        <f t="shared" si="45"/>
        <v>1.3697999999999999</v>
      </c>
      <c r="W549" s="225">
        <f t="shared" si="46"/>
        <v>1.3265086720000507</v>
      </c>
      <c r="X549">
        <f>IFERROR(INDEX(Rainfall_Wet!$O$2:$O$217,MATCH(B549, Rainfall_Wet!$A$2:$A$217,0)),"")</f>
        <v>206.85140822299999</v>
      </c>
      <c r="Y549" s="231">
        <v>34.344660194174757</v>
      </c>
      <c r="Z549" s="231">
        <v>19.22727272727273</v>
      </c>
      <c r="AA549" s="231">
        <v>46.428067078552509</v>
      </c>
      <c r="AB549" s="232" t="s">
        <v>2670</v>
      </c>
      <c r="AC549" s="231">
        <v>4.7452932479053702</v>
      </c>
      <c r="AD549">
        <f>IF('WetLitterbags placem_collection'!AB110="","",'WetLitterbags placem_collection'!AB110)</f>
        <v>9.6999999999999993</v>
      </c>
      <c r="AE549">
        <f>IF('WetLitterbags placem_collection'!Z110="","",'WetLitterbags placem_collection'!Z110)</f>
        <v>22.5</v>
      </c>
      <c r="AF549" s="246" t="str">
        <f>IF('WetLitterbags placem_collection'!AA110="","",'WetLitterbags placem_collection'!AA110)</f>
        <v>M</v>
      </c>
      <c r="AG549">
        <f>IF('WetLitterbags placem_collection'!AC110="","",'WetLitterbags placem_collection'!AC110)</f>
        <v>0</v>
      </c>
      <c r="AH549" s="240">
        <f>AVERAGE('WetLitterbags placem_collection'!S110,'WetLitterbags placem_collection'!U110)</f>
        <v>15.1</v>
      </c>
      <c r="AI549">
        <f>AVERAGE('WetLitterbags placem_collection'!R110,'WetLitterbags placem_collection'!T110)</f>
        <v>31.55</v>
      </c>
      <c r="AJ549">
        <f>INDEX(Coordinates!$B$2:$B$197,MATCH(G549,Coordinates!$J$2:$J$197,0))</f>
        <v>-2.3698620030000002</v>
      </c>
      <c r="AK549">
        <f>INDEX(Coordinates!$C$2:$C$197,MATCH(G549,Coordinates!$J$2:$J$197,0))</f>
        <v>34.059759020000001</v>
      </c>
      <c r="AL549" t="str">
        <f>IF(ISNUMBER(SEARCH("C", 'WetLitterbags placem_collection'!X110)),"YES","NO")</f>
        <v>NO</v>
      </c>
      <c r="AM549" t="str">
        <f>IF(ISNUMBER(SEARCH("H", 'WetLitterbags placem_collection'!X110)),"YES","NO")</f>
        <v>NO</v>
      </c>
      <c r="AN549" t="str">
        <f>IF(ISNUMBER(SEARCH("R", 'WetLitterbags placem_collection'!X110)),"YES","NO")</f>
        <v>YES</v>
      </c>
    </row>
    <row r="550" spans="1:40" ht="15" customHeight="1">
      <c r="A550" s="258" t="s">
        <v>2460</v>
      </c>
      <c r="B550" s="263">
        <f>'Dry_Litterbag Placem_Collection'!A111</f>
        <v>109</v>
      </c>
      <c r="C550" s="263" t="str">
        <f>'Dry_Litterbag Placem_Collection'!B111</f>
        <v xml:space="preserve">Mwantimba
</v>
      </c>
      <c r="D550" s="263" t="s">
        <v>2460</v>
      </c>
      <c r="E550" s="263" t="s">
        <v>2660</v>
      </c>
      <c r="F550" s="263">
        <v>2</v>
      </c>
      <c r="G550" s="264" t="str">
        <f>'Dry_Litterbag Placem_Collection'!C111</f>
        <v>Wet_Ag2_T5</v>
      </c>
      <c r="H550" s="273" t="s">
        <v>3651</v>
      </c>
      <c r="I550" s="266" t="s">
        <v>1147</v>
      </c>
      <c r="J550" s="223" t="str">
        <f>'WetLitterbags placem_collection'!O111</f>
        <v>G887</v>
      </c>
      <c r="K550" s="225">
        <f>IFERROR(INDEX('Green_rooibos initial weight'!$C$5:$C$1749,MATCH(J550, 'Green_rooibos initial weight'!$A$5:$A$1749,0)),"")</f>
        <v>1.998</v>
      </c>
      <c r="L550" s="225">
        <f>IFERROR(K550-(TBIcalc!$H$9+TBIcalc!$H$10),"")</f>
        <v>1.7482</v>
      </c>
      <c r="M550" s="391">
        <f>AVERAGE(Ashed_controlls!$K$2:$K$11)</f>
        <v>5.5147656768714146</v>
      </c>
      <c r="N550" s="225">
        <f t="shared" si="44"/>
        <v>1.6517908664369338</v>
      </c>
      <c r="O550" s="225">
        <f>IF(IFERROR(INDEX('Both teabags AfterWet'!$C$3:$C$841,MATCH(J550,'Both teabags AfterWet'!$A$3:$A$841,0)),"")="","",(IFERROR(INDEX('Both teabags AfterWet'!$C$3:$C$841,MATCH(J550,'Both teabags AfterWet'!$A$3:$A$841,0)),"")))</f>
        <v>0.64870000000000005</v>
      </c>
      <c r="P550" s="225">
        <f>IFERROR(IF(O550&gt;0,O550-(TBIcalc!$H$9),""),"")</f>
        <v>0.49810000000000004</v>
      </c>
      <c r="Q550" s="225">
        <f>IFERROR(INDEX('Ashed teabags wet'!$K$2:$K$821,MATCH(J550,'Ashed teabags wet'!$A$2:$A$821,0)),"")</f>
        <v>12.548449612403372</v>
      </c>
      <c r="R550" s="225">
        <f t="shared" si="47"/>
        <v>0.43559617248061883</v>
      </c>
      <c r="S550" s="226">
        <f>'WetLitterbags placem_collection'!E111</f>
        <v>42762</v>
      </c>
      <c r="T550" s="226">
        <f>IF('WetLitterbags placem_collection'!G111="","",'WetLitterbags placem_collection'!G111)</f>
        <v>42816</v>
      </c>
      <c r="U550" s="227">
        <f t="shared" si="43"/>
        <v>54</v>
      </c>
      <c r="V550" s="225">
        <f t="shared" si="45"/>
        <v>1.2501</v>
      </c>
      <c r="W550" s="225">
        <f t="shared" si="46"/>
        <v>1.2161946939563151</v>
      </c>
      <c r="X550">
        <f>IFERROR(INDEX(Rainfall_Wet!$O$2:$O$217,MATCH(B550, Rainfall_Wet!$A$2:$A$217,0)),"")</f>
        <v>206.85140822299999</v>
      </c>
      <c r="Y550" s="231">
        <v>34.344660194174757</v>
      </c>
      <c r="Z550" s="231">
        <v>19.22727272727273</v>
      </c>
      <c r="AA550" s="231">
        <v>46.428067078552509</v>
      </c>
      <c r="AB550" s="232" t="s">
        <v>2670</v>
      </c>
      <c r="AC550" s="231">
        <v>5.7452932479053702</v>
      </c>
      <c r="AD550">
        <f>IF('WetLitterbags placem_collection'!AB111="","",'WetLitterbags placem_collection'!AB111)</f>
        <v>10.5</v>
      </c>
      <c r="AE550">
        <f>IF('WetLitterbags placem_collection'!Z111="","",'WetLitterbags placem_collection'!Z111)</f>
        <v>22.5</v>
      </c>
      <c r="AF550" s="246" t="str">
        <f>IF('WetLitterbags placem_collection'!AA111="","",'WetLitterbags placem_collection'!AA111)</f>
        <v>M</v>
      </c>
      <c r="AG550">
        <f>IF('WetLitterbags placem_collection'!AC111="","",'WetLitterbags placem_collection'!AC111)</f>
        <v>0</v>
      </c>
      <c r="AH550" s="240">
        <f>AVERAGE('WetLitterbags placem_collection'!S111,'WetLitterbags placem_collection'!U111)</f>
        <v>9</v>
      </c>
      <c r="AI550">
        <f>AVERAGE('WetLitterbags placem_collection'!R111,'WetLitterbags placem_collection'!T111)</f>
        <v>33.5</v>
      </c>
      <c r="AJ550">
        <f>INDEX(Coordinates!$B$2:$B$197,MATCH(G550,Coordinates!$J$2:$J$197,0))</f>
        <v>-2.3698390370000002</v>
      </c>
      <c r="AK550">
        <f>INDEX(Coordinates!$C$2:$C$197,MATCH(G550,Coordinates!$J$2:$J$197,0))</f>
        <v>34.059714</v>
      </c>
      <c r="AL550" t="str">
        <f>IF(ISNUMBER(SEARCH("C", 'WetLitterbags placem_collection'!X111)),"YES","NO")</f>
        <v>NO</v>
      </c>
      <c r="AM550" t="str">
        <f>IF(ISNUMBER(SEARCH("H", 'WetLitterbags placem_collection'!X111)),"YES","NO")</f>
        <v>NO</v>
      </c>
      <c r="AN550" t="str">
        <f>IF(ISNUMBER(SEARCH("R", 'WetLitterbags placem_collection'!X111)),"YES","NO")</f>
        <v>NO</v>
      </c>
    </row>
    <row r="551" spans="1:40" ht="15" customHeight="1">
      <c r="A551" s="258" t="s">
        <v>2460</v>
      </c>
      <c r="B551" s="263">
        <f>'Dry_Litterbag Placem_Collection'!A112</f>
        <v>110</v>
      </c>
      <c r="C551" s="263" t="str">
        <f>'Dry_Litterbag Placem_Collection'!B112</f>
        <v xml:space="preserve">Mwantimba
</v>
      </c>
      <c r="D551" s="263" t="s">
        <v>2460</v>
      </c>
      <c r="E551" s="263" t="s">
        <v>2660</v>
      </c>
      <c r="F551" s="263">
        <v>2</v>
      </c>
      <c r="G551" s="264" t="str">
        <f>'Dry_Litterbag Placem_Collection'!C112</f>
        <v>Wet_Ag2_T6</v>
      </c>
      <c r="H551" s="273" t="s">
        <v>3651</v>
      </c>
      <c r="I551" s="266" t="s">
        <v>1147</v>
      </c>
      <c r="J551" s="223" t="str">
        <f>'WetLitterbags placem_collection'!O112</f>
        <v>G882</v>
      </c>
      <c r="K551" s="225">
        <f>IFERROR(INDEX('Green_rooibos initial weight'!$C$5:$C$1749,MATCH(J551, 'Green_rooibos initial weight'!$A$5:$A$1749,0)),"")</f>
        <v>2.0979999999999999</v>
      </c>
      <c r="L551" s="225">
        <f>IFERROR(K551-(TBIcalc!$H$9+TBIcalc!$H$10),"")</f>
        <v>1.8481999999999998</v>
      </c>
      <c r="M551" s="391">
        <f>AVERAGE(Ashed_controlls!$K$2:$K$11)</f>
        <v>5.5147656768714146</v>
      </c>
      <c r="N551" s="225">
        <f t="shared" si="44"/>
        <v>1.7462761007600625</v>
      </c>
      <c r="O551" s="225">
        <f>IF(IFERROR(INDEX('Both teabags AfterWet'!$C$3:$C$841,MATCH(J551,'Both teabags AfterWet'!$A$3:$A$841,0)),"")="","",(IFERROR(INDEX('Both teabags AfterWet'!$C$3:$C$841,MATCH(J551,'Both teabags AfterWet'!$A$3:$A$841,0)),"")))</f>
        <v>0.56669999999999998</v>
      </c>
      <c r="P551" s="225">
        <f>IFERROR(IF(O551&gt;0,O551-(TBIcalc!$H$9),""),"")</f>
        <v>0.41609999999999997</v>
      </c>
      <c r="Q551" s="225">
        <f>IFERROR(INDEX('Ashed teabags wet'!$K$2:$K$821,MATCH(J551,'Ashed teabags wet'!$A$2:$A$821,0)),"")</f>
        <v>13.300248138958004</v>
      </c>
      <c r="R551" s="225">
        <f t="shared" si="47"/>
        <v>0.36075766749379573</v>
      </c>
      <c r="S551" s="226">
        <f>'WetLitterbags placem_collection'!E112</f>
        <v>42762</v>
      </c>
      <c r="T551" s="226">
        <f>IF('WetLitterbags placem_collection'!G112="","",'WetLitterbags placem_collection'!G112)</f>
        <v>42816</v>
      </c>
      <c r="U551" s="227">
        <f t="shared" si="43"/>
        <v>54</v>
      </c>
      <c r="V551" s="225">
        <f t="shared" si="45"/>
        <v>1.4320999999999999</v>
      </c>
      <c r="W551" s="225">
        <f t="shared" si="46"/>
        <v>1.3855184332662667</v>
      </c>
      <c r="X551">
        <f>IFERROR(INDEX(Rainfall_Wet!$O$2:$O$217,MATCH(B551, Rainfall_Wet!$A$2:$A$217,0)),"")</f>
        <v>206.85140822299999</v>
      </c>
      <c r="Y551" s="231">
        <v>34.344660194174757</v>
      </c>
      <c r="Z551" s="231">
        <v>19.22727272727273</v>
      </c>
      <c r="AA551" s="231">
        <v>46.428067078552509</v>
      </c>
      <c r="AB551" s="232" t="s">
        <v>2670</v>
      </c>
      <c r="AC551" s="231">
        <v>6.7452932479053702</v>
      </c>
      <c r="AD551">
        <f>IF('WetLitterbags placem_collection'!AB112="","",'WetLitterbags placem_collection'!AB112)</f>
        <v>5.75</v>
      </c>
      <c r="AE551">
        <f>IF('WetLitterbags placem_collection'!Z112="","",'WetLitterbags placem_collection'!Z112)</f>
        <v>22.5</v>
      </c>
      <c r="AF551" s="246" t="str">
        <f>IF('WetLitterbags placem_collection'!AA112="","",'WetLitterbags placem_collection'!AA112)</f>
        <v>M</v>
      </c>
      <c r="AG551">
        <f>IF('WetLitterbags placem_collection'!AC112="","",'WetLitterbags placem_collection'!AC112)</f>
        <v>0</v>
      </c>
      <c r="AH551" s="240">
        <f>AVERAGE('WetLitterbags placem_collection'!S112,'WetLitterbags placem_collection'!U112)</f>
        <v>16.950000000000003</v>
      </c>
      <c r="AI551">
        <f>AVERAGE('WetLitterbags placem_collection'!R112,'WetLitterbags placem_collection'!T112)</f>
        <v>30.5</v>
      </c>
      <c r="AJ551">
        <f>INDEX(Coordinates!$B$2:$B$197,MATCH(G551,Coordinates!$J$2:$J$197,0))</f>
        <v>-2.3697549659999999</v>
      </c>
      <c r="AK551">
        <f>INDEX(Coordinates!$C$2:$C$197,MATCH(G551,Coordinates!$J$2:$J$197,0))</f>
        <v>34.059668989999999</v>
      </c>
      <c r="AL551" t="str">
        <f>IF(ISNUMBER(SEARCH("C", 'WetLitterbags placem_collection'!X112)),"YES","NO")</f>
        <v>NO</v>
      </c>
      <c r="AM551" t="str">
        <f>IF(ISNUMBER(SEARCH("H", 'WetLitterbags placem_collection'!X112)),"YES","NO")</f>
        <v>NO</v>
      </c>
      <c r="AN551" t="str">
        <f>IF(ISNUMBER(SEARCH("R", 'WetLitterbags placem_collection'!X112)),"YES","NO")</f>
        <v>NO</v>
      </c>
    </row>
    <row r="552" spans="1:40" ht="15" customHeight="1">
      <c r="A552" s="258" t="s">
        <v>2460</v>
      </c>
      <c r="B552" s="263">
        <f>'Dry_Litterbag Placem_Collection'!A113</f>
        <v>111</v>
      </c>
      <c r="C552" s="263" t="str">
        <f>'Dry_Litterbag Placem_Collection'!B113</f>
        <v xml:space="preserve">Mwantimba
</v>
      </c>
      <c r="D552" s="263" t="s">
        <v>2460</v>
      </c>
      <c r="E552" s="263" t="s">
        <v>2660</v>
      </c>
      <c r="F552" s="263">
        <v>2</v>
      </c>
      <c r="G552" s="264" t="str">
        <f>'Dry_Litterbag Placem_Collection'!C113</f>
        <v>Wet_Ag2_T7</v>
      </c>
      <c r="H552" s="273" t="s">
        <v>3651</v>
      </c>
      <c r="I552" s="266" t="s">
        <v>1147</v>
      </c>
      <c r="J552" s="223" t="str">
        <f>'WetLitterbags placem_collection'!O113</f>
        <v>G695</v>
      </c>
      <c r="K552" s="225">
        <f>IFERROR(INDEX('Green_rooibos initial weight'!$C$5:$C$1749,MATCH(J552, 'Green_rooibos initial weight'!$A$5:$A$1749,0)),"")</f>
        <v>2.0190000000000001</v>
      </c>
      <c r="L552" s="225">
        <f>IFERROR(K552-(TBIcalc!$H$9+TBIcalc!$H$10),"")</f>
        <v>1.7692000000000001</v>
      </c>
      <c r="M552" s="391">
        <f>AVERAGE(Ashed_controlls!$K$2:$K$11)</f>
        <v>5.5147656768714146</v>
      </c>
      <c r="N552" s="225">
        <f t="shared" si="44"/>
        <v>1.6716327656447911</v>
      </c>
      <c r="O552" s="225">
        <f>IF(IFERROR(INDEX('Both teabags AfterWet'!$C$3:$C$841,MATCH(J552,'Both teabags AfterWet'!$A$3:$A$841,0)),"")="","",(IFERROR(INDEX('Both teabags AfterWet'!$C$3:$C$841,MATCH(J552,'Both teabags AfterWet'!$A$3:$A$841,0)),"")))</f>
        <v>0.621</v>
      </c>
      <c r="P552" s="225">
        <f>IFERROR(IF(O552&gt;0,O552-(TBIcalc!$H$9),""),"")</f>
        <v>0.47039999999999998</v>
      </c>
      <c r="Q552" s="225">
        <f>IFERROR(INDEX('Ashed teabags wet'!$K$2:$K$821,MATCH(J552,'Ashed teabags wet'!$A$2:$A$821,0)),"")</f>
        <v>13.185185185184883</v>
      </c>
      <c r="R552" s="225">
        <f t="shared" si="47"/>
        <v>0.40837688888889029</v>
      </c>
      <c r="S552" s="226">
        <f>'WetLitterbags placem_collection'!E113</f>
        <v>42762</v>
      </c>
      <c r="T552" s="226">
        <f>IF('WetLitterbags placem_collection'!G113="","",'WetLitterbags placem_collection'!G113)</f>
        <v>42816</v>
      </c>
      <c r="U552" s="227">
        <f t="shared" si="43"/>
        <v>54</v>
      </c>
      <c r="V552" s="225">
        <f t="shared" si="45"/>
        <v>1.2988000000000002</v>
      </c>
      <c r="W552" s="225">
        <f t="shared" si="46"/>
        <v>1.2632558767559008</v>
      </c>
      <c r="X552">
        <f>IFERROR(INDEX(Rainfall_Wet!$O$2:$O$217,MATCH(B552, Rainfall_Wet!$A$2:$A$217,0)),"")</f>
        <v>206.85140822299999</v>
      </c>
      <c r="Y552" s="231">
        <v>34.344660194174757</v>
      </c>
      <c r="Z552" s="231">
        <v>19.22727272727273</v>
      </c>
      <c r="AA552" s="231">
        <v>46.428067078552509</v>
      </c>
      <c r="AB552" s="232" t="s">
        <v>2670</v>
      </c>
      <c r="AC552" s="231">
        <v>7.7452932479053702</v>
      </c>
      <c r="AD552">
        <f>IF('WetLitterbags placem_collection'!AB113="","",'WetLitterbags placem_collection'!AB113)</f>
        <v>6.1</v>
      </c>
      <c r="AE552">
        <f>IF('WetLitterbags placem_collection'!Z113="","",'WetLitterbags placem_collection'!Z113)</f>
        <v>26</v>
      </c>
      <c r="AF552" s="246" t="str">
        <f>IF('WetLitterbags placem_collection'!AA113="","",'WetLitterbags placem_collection'!AA113)</f>
        <v>M</v>
      </c>
      <c r="AG552">
        <f>IF('WetLitterbags placem_collection'!AC113="","",'WetLitterbags placem_collection'!AC113)</f>
        <v>0</v>
      </c>
      <c r="AH552" s="240">
        <f>AVERAGE('WetLitterbags placem_collection'!S113,'WetLitterbags placem_collection'!U113)</f>
        <v>11.1</v>
      </c>
      <c r="AI552">
        <f>AVERAGE('WetLitterbags placem_collection'!R113,'WetLitterbags placem_collection'!T113)</f>
        <v>32.65</v>
      </c>
      <c r="AJ552">
        <f>INDEX(Coordinates!$B$2:$B$197,MATCH(G552,Coordinates!$J$2:$J$197,0))</f>
        <v>-2.3697330060000001</v>
      </c>
      <c r="AK552">
        <f>INDEX(Coordinates!$C$2:$C$197,MATCH(G552,Coordinates!$J$2:$J$197,0))</f>
        <v>34.059615010000002</v>
      </c>
      <c r="AL552" t="str">
        <f>IF(ISNUMBER(SEARCH("C", 'WetLitterbags placem_collection'!X113)),"YES","NO")</f>
        <v>NO</v>
      </c>
      <c r="AM552" t="str">
        <f>IF(ISNUMBER(SEARCH("H", 'WetLitterbags placem_collection'!X113)),"YES","NO")</f>
        <v>NO</v>
      </c>
      <c r="AN552" t="str">
        <f>IF(ISNUMBER(SEARCH("R", 'WetLitterbags placem_collection'!X113)),"YES","NO")</f>
        <v>YES</v>
      </c>
    </row>
    <row r="553" spans="1:40" ht="15" customHeight="1">
      <c r="A553" s="258" t="s">
        <v>2460</v>
      </c>
      <c r="B553" s="263">
        <f>'Dry_Litterbag Placem_Collection'!A114</f>
        <v>112</v>
      </c>
      <c r="C553" s="263" t="str">
        <f>'Dry_Litterbag Placem_Collection'!B114</f>
        <v xml:space="preserve">Mwantimba
</v>
      </c>
      <c r="D553" s="263" t="s">
        <v>2460</v>
      </c>
      <c r="E553" s="263" t="s">
        <v>2660</v>
      </c>
      <c r="F553" s="263">
        <v>2</v>
      </c>
      <c r="G553" s="264" t="str">
        <f>'Dry_Litterbag Placem_Collection'!C114</f>
        <v>Wet_Ag2_T8</v>
      </c>
      <c r="H553" s="273" t="s">
        <v>3651</v>
      </c>
      <c r="I553" s="266" t="s">
        <v>1147</v>
      </c>
      <c r="J553" s="223" t="str">
        <f>'WetLitterbags placem_collection'!O114</f>
        <v>G852</v>
      </c>
      <c r="K553" s="225">
        <f>IFERROR(INDEX('Green_rooibos initial weight'!$C$5:$C$1749,MATCH(J553, 'Green_rooibos initial weight'!$A$5:$A$1749,0)),"")</f>
        <v>2.0630000000000002</v>
      </c>
      <c r="L553" s="225">
        <f>IFERROR(K553-(TBIcalc!$H$9+TBIcalc!$H$10),"")</f>
        <v>1.8132000000000001</v>
      </c>
      <c r="M553" s="391">
        <f>AVERAGE(Ashed_controlls!$K$2:$K$11)</f>
        <v>5.5147656768714146</v>
      </c>
      <c r="N553" s="225">
        <f t="shared" si="44"/>
        <v>1.7132062687469676</v>
      </c>
      <c r="O553" s="225">
        <f>IF(IFERROR(INDEX('Both teabags AfterWet'!$C$3:$C$841,MATCH(J553,'Both teabags AfterWet'!$A$3:$A$841,0)),"")="","",(IFERROR(INDEX('Both teabags AfterWet'!$C$3:$C$841,MATCH(J553,'Both teabags AfterWet'!$A$3:$A$841,0)),"")))</f>
        <v>0.69799999999999995</v>
      </c>
      <c r="P553" s="225">
        <f>IFERROR(IF(O553&gt;0,O553-(TBIcalc!$H$9),""),"")</f>
        <v>0.54739999999999989</v>
      </c>
      <c r="Q553" s="225">
        <f>IFERROR(INDEX('Ashed teabags wet'!$K$2:$K$821,MATCH(J553,'Ashed teabags wet'!$A$2:$A$821,0)),"")</f>
        <v>13.745704467352656</v>
      </c>
      <c r="R553" s="225">
        <f t="shared" si="47"/>
        <v>0.47215601374571148</v>
      </c>
      <c r="S553" s="226">
        <f>'WetLitterbags placem_collection'!E114</f>
        <v>42762</v>
      </c>
      <c r="T553" s="226">
        <f>IF('WetLitterbags placem_collection'!G114="","",'WetLitterbags placem_collection'!G114)</f>
        <v>42816</v>
      </c>
      <c r="U553" s="227">
        <f t="shared" si="43"/>
        <v>54</v>
      </c>
      <c r="V553" s="225">
        <f t="shared" si="45"/>
        <v>1.2658000000000003</v>
      </c>
      <c r="W553" s="225">
        <f t="shared" si="46"/>
        <v>1.2410502550012561</v>
      </c>
      <c r="X553">
        <f>IFERROR(INDEX(Rainfall_Wet!$O$2:$O$217,MATCH(B553, Rainfall_Wet!$A$2:$A$217,0)),"")</f>
        <v>206.85140822299999</v>
      </c>
      <c r="Y553" s="231">
        <v>34.344660194174757</v>
      </c>
      <c r="Z553" s="231">
        <v>19.22727272727273</v>
      </c>
      <c r="AA553" s="231">
        <v>46.428067078552509</v>
      </c>
      <c r="AB553" s="232" t="s">
        <v>2670</v>
      </c>
      <c r="AC553" s="231">
        <v>8.7452932479053693</v>
      </c>
      <c r="AD553">
        <f>IF('WetLitterbags placem_collection'!AB114="","",'WetLitterbags placem_collection'!AB114)</f>
        <v>11.5</v>
      </c>
      <c r="AE553">
        <f>IF('WetLitterbags placem_collection'!Z114="","",'WetLitterbags placem_collection'!Z114)</f>
        <v>15</v>
      </c>
      <c r="AF553" s="246" t="str">
        <f>IF('WetLitterbags placem_collection'!AA114="","",'WetLitterbags placem_collection'!AA114)</f>
        <v>M</v>
      </c>
      <c r="AG553">
        <f>IF('WetLitterbags placem_collection'!AC114="","",'WetLitterbags placem_collection'!AC114)</f>
        <v>0</v>
      </c>
      <c r="AH553" s="240">
        <f>AVERAGE('WetLitterbags placem_collection'!S114,'WetLitterbags placem_collection'!U114)</f>
        <v>15.2</v>
      </c>
      <c r="AI553">
        <f>AVERAGE('WetLitterbags placem_collection'!R114,'WetLitterbags placem_collection'!T114)</f>
        <v>31.450000000000003</v>
      </c>
      <c r="AJ553">
        <f>INDEX(Coordinates!$B$2:$B$197,MATCH(G553,Coordinates!$J$2:$J$197,0))</f>
        <v>-2.36967098</v>
      </c>
      <c r="AK553">
        <f>INDEX(Coordinates!$C$2:$C$197,MATCH(G553,Coordinates!$J$2:$J$197,0))</f>
        <v>34.059735959999998</v>
      </c>
      <c r="AL553" t="str">
        <f>IF(ISNUMBER(SEARCH("C", 'WetLitterbags placem_collection'!X114)),"YES","NO")</f>
        <v>NO</v>
      </c>
      <c r="AM553" t="str">
        <f>IF(ISNUMBER(SEARCH("H", 'WetLitterbags placem_collection'!X114)),"YES","NO")</f>
        <v>NO</v>
      </c>
      <c r="AN553" t="str">
        <f>IF(ISNUMBER(SEARCH("R", 'WetLitterbags placem_collection'!X114)),"YES","NO")</f>
        <v>NO</v>
      </c>
    </row>
    <row r="554" spans="1:40" ht="15" customHeight="1">
      <c r="A554" s="258" t="s">
        <v>2460</v>
      </c>
      <c r="B554" s="263">
        <f>'Dry_Litterbag Placem_Collection'!A115</f>
        <v>113</v>
      </c>
      <c r="C554" s="263" t="str">
        <f>'Dry_Litterbag Placem_Collection'!B115</f>
        <v xml:space="preserve">Mwantimba
</v>
      </c>
      <c r="D554" s="263" t="s">
        <v>2460</v>
      </c>
      <c r="E554" s="263" t="s">
        <v>2660</v>
      </c>
      <c r="F554" s="263">
        <v>3</v>
      </c>
      <c r="G554" s="264" t="str">
        <f>'Dry_Litterbag Placem_Collection'!C115</f>
        <v>Wet_Ag3_T1</v>
      </c>
      <c r="H554" s="273" t="s">
        <v>3651</v>
      </c>
      <c r="I554" s="266" t="s">
        <v>1147</v>
      </c>
      <c r="J554" s="223" t="str">
        <f>'WetLitterbags placem_collection'!O115</f>
        <v>G769</v>
      </c>
      <c r="K554" s="225">
        <f>IFERROR(INDEX('Green_rooibos initial weight'!$C$5:$C$1749,MATCH(J554, 'Green_rooibos initial weight'!$A$5:$A$1749,0)),"")</f>
        <v>2.0550000000000002</v>
      </c>
      <c r="L554" s="225">
        <f>IFERROR(K554-(TBIcalc!$H$9+TBIcalc!$H$10),"")</f>
        <v>1.8052000000000001</v>
      </c>
      <c r="M554" s="391">
        <f>AVERAGE(Ashed_controlls!$K$2:$K$11)</f>
        <v>5.5147656768714146</v>
      </c>
      <c r="N554" s="225">
        <f t="shared" si="44"/>
        <v>1.7056474500011174</v>
      </c>
      <c r="O554" s="225">
        <f>IF(IFERROR(INDEX('Both teabags AfterWet'!$C$3:$C$841,MATCH(J554,'Both teabags AfterWet'!$A$3:$A$841,0)),"")="","",(IFERROR(INDEX('Both teabags AfterWet'!$C$3:$C$841,MATCH(J554,'Both teabags AfterWet'!$A$3:$A$841,0)),"")))</f>
        <v>0.70799999999999996</v>
      </c>
      <c r="P554" s="225">
        <f>IFERROR(IF(O554&gt;0,O554-(TBIcalc!$H$9),""),"")</f>
        <v>0.5573999999999999</v>
      </c>
      <c r="Q554" s="225">
        <f>IFERROR(INDEX('Ashed teabags wet'!$K$2:$K$821,MATCH(J554,'Ashed teabags wet'!$A$2:$A$821,0)),"")</f>
        <v>20.028887818970457</v>
      </c>
      <c r="R554" s="225">
        <f t="shared" si="47"/>
        <v>0.4457589792970586</v>
      </c>
      <c r="S554" s="226">
        <f>'WetLitterbags placem_collection'!E115</f>
        <v>42762</v>
      </c>
      <c r="T554" s="226">
        <f>IF('WetLitterbags placem_collection'!G115="","",'WetLitterbags placem_collection'!G115)</f>
        <v>42816</v>
      </c>
      <c r="U554" s="227">
        <f t="shared" si="43"/>
        <v>54</v>
      </c>
      <c r="V554" s="225">
        <f t="shared" si="45"/>
        <v>1.2478000000000002</v>
      </c>
      <c r="W554" s="225">
        <f t="shared" si="46"/>
        <v>1.2598884707040587</v>
      </c>
      <c r="X554">
        <f>IFERROR(INDEX(Rainfall_Wet!$O$2:$O$217,MATCH(B554, Rainfall_Wet!$A$2:$A$217,0)),"")</f>
        <v>206.85140822299999</v>
      </c>
      <c r="Y554" s="231">
        <v>27.96</v>
      </c>
      <c r="Z554" s="231">
        <v>4.9200000000000017</v>
      </c>
      <c r="AA554" s="231">
        <v>67.12</v>
      </c>
      <c r="AB554" s="232" t="s">
        <v>2670</v>
      </c>
      <c r="AC554" s="231">
        <v>0.88610152784622953</v>
      </c>
      <c r="AD554">
        <f>IF('WetLitterbags placem_collection'!AB115="","",'WetLitterbags placem_collection'!AB115)</f>
        <v>26</v>
      </c>
      <c r="AE554">
        <f>IF('WetLitterbags placem_collection'!Z115="","",'WetLitterbags placem_collection'!Z115)</f>
        <v>88.5</v>
      </c>
      <c r="AF554" s="246" t="str">
        <f>IF('WetLitterbags placem_collection'!AA115="","",'WetLitterbags placem_collection'!AA115)</f>
        <v>G</v>
      </c>
      <c r="AG554">
        <f>IF('WetLitterbags placem_collection'!AC115="","",'WetLitterbags placem_collection'!AC115)</f>
        <v>0</v>
      </c>
      <c r="AH554" s="240">
        <f>AVERAGE('WetLitterbags placem_collection'!S115,'WetLitterbags placem_collection'!U115)</f>
        <v>8.6999999999999993</v>
      </c>
      <c r="AI554">
        <f>AVERAGE('WetLitterbags placem_collection'!R115,'WetLitterbags placem_collection'!T115)</f>
        <v>32.4</v>
      </c>
      <c r="AJ554">
        <f>INDEX(Coordinates!$B$2:$B$197,MATCH(G554,Coordinates!$J$2:$J$197,0))</f>
        <v>-2.3487199940000001</v>
      </c>
      <c r="AK554">
        <f>INDEX(Coordinates!$C$2:$C$197,MATCH(G554,Coordinates!$J$2:$J$197,0))</f>
        <v>34.051391029999998</v>
      </c>
      <c r="AL554" t="str">
        <f>IF(ISNUMBER(SEARCH("C", 'WetLitterbags placem_collection'!X115)),"YES","NO")</f>
        <v>NO</v>
      </c>
      <c r="AM554" t="str">
        <f>IF(ISNUMBER(SEARCH("H", 'WetLitterbags placem_collection'!X115)),"YES","NO")</f>
        <v>NO</v>
      </c>
      <c r="AN554" t="str">
        <f>IF(ISNUMBER(SEARCH("R", 'WetLitterbags placem_collection'!X115)),"YES","NO")</f>
        <v>YES</v>
      </c>
    </row>
    <row r="555" spans="1:40" ht="15" customHeight="1">
      <c r="A555" s="258" t="s">
        <v>2460</v>
      </c>
      <c r="B555" s="263">
        <f>'Dry_Litterbag Placem_Collection'!A116</f>
        <v>114</v>
      </c>
      <c r="C555" s="263" t="str">
        <f>'Dry_Litterbag Placem_Collection'!B116</f>
        <v xml:space="preserve">Mwantimba
</v>
      </c>
      <c r="D555" s="263" t="s">
        <v>2460</v>
      </c>
      <c r="E555" s="263" t="s">
        <v>2660</v>
      </c>
      <c r="F555" s="263">
        <v>3</v>
      </c>
      <c r="G555" s="264" t="str">
        <f>'Dry_Litterbag Placem_Collection'!C116</f>
        <v>Wet_Ag3_T2</v>
      </c>
      <c r="H555" s="273" t="s">
        <v>3651</v>
      </c>
      <c r="I555" s="266" t="s">
        <v>1147</v>
      </c>
      <c r="J555" s="223" t="str">
        <f>'WetLitterbags placem_collection'!O116</f>
        <v>G889</v>
      </c>
      <c r="K555" s="225">
        <f>IFERROR(INDEX('Green_rooibos initial weight'!$C$5:$C$1749,MATCH(J555, 'Green_rooibos initial weight'!$A$5:$A$1749,0)),"")</f>
        <v>1.9830000000000001</v>
      </c>
      <c r="L555" s="225">
        <f>IFERROR(K555-(TBIcalc!$H$9+TBIcalc!$H$10),"")</f>
        <v>1.7332000000000001</v>
      </c>
      <c r="M555" s="391">
        <f>AVERAGE(Ashed_controlls!$K$2:$K$11)</f>
        <v>5.5147656768714146</v>
      </c>
      <c r="N555" s="225">
        <f t="shared" si="44"/>
        <v>1.6376180812884646</v>
      </c>
      <c r="O555" s="225">
        <f>IF(IFERROR(INDEX('Both teabags AfterWet'!$C$3:$C$841,MATCH(J555,'Both teabags AfterWet'!$A$3:$A$841,0)),"")="","",(IFERROR(INDEX('Both teabags AfterWet'!$C$3:$C$841,MATCH(J555,'Both teabags AfterWet'!$A$3:$A$841,0)),"")))</f>
        <v>0.65700000000000003</v>
      </c>
      <c r="P555" s="225">
        <f>IFERROR(IF(O555&gt;0,O555-(TBIcalc!$H$9),""),"")</f>
        <v>0.50639999999999996</v>
      </c>
      <c r="Q555" s="225">
        <f>IFERROR(INDEX('Ashed teabags wet'!$K$2:$K$821,MATCH(J555,'Ashed teabags wet'!$A$2:$A$821,0)),"")</f>
        <v>20.433734939759127</v>
      </c>
      <c r="R555" s="225">
        <f t="shared" si="47"/>
        <v>0.40292356626505976</v>
      </c>
      <c r="S555" s="226">
        <f>'WetLitterbags placem_collection'!E116</f>
        <v>42762</v>
      </c>
      <c r="T555" s="226">
        <f>IF('WetLitterbags placem_collection'!G116="","",'WetLitterbags placem_collection'!G116)</f>
        <v>42816</v>
      </c>
      <c r="U555" s="227">
        <f t="shared" si="43"/>
        <v>54</v>
      </c>
      <c r="V555" s="225">
        <f t="shared" si="45"/>
        <v>1.2268000000000001</v>
      </c>
      <c r="W555" s="225">
        <f t="shared" si="46"/>
        <v>1.234694515023405</v>
      </c>
      <c r="X555">
        <f>IFERROR(INDEX(Rainfall_Wet!$O$2:$O$217,MATCH(B555, Rainfall_Wet!$A$2:$A$217,0)),"")</f>
        <v>206.85140822299999</v>
      </c>
      <c r="Y555" s="231">
        <v>27.96</v>
      </c>
      <c r="Z555" s="231">
        <v>4.9200000000000017</v>
      </c>
      <c r="AA555" s="231">
        <v>67.12</v>
      </c>
      <c r="AB555" s="232" t="s">
        <v>2670</v>
      </c>
      <c r="AC555" s="231">
        <v>1.8861015278462301</v>
      </c>
      <c r="AD555">
        <f>IF('WetLitterbags placem_collection'!AB116="","",'WetLitterbags placem_collection'!AB116)</f>
        <v>16.5</v>
      </c>
      <c r="AE555">
        <f>IF('WetLitterbags placem_collection'!Z116="","",'WetLitterbags placem_collection'!Z116)</f>
        <v>87.5</v>
      </c>
      <c r="AF555" s="246" t="str">
        <f>IF('WetLitterbags placem_collection'!AA116="","",'WetLitterbags placem_collection'!AA116)</f>
        <v>G</v>
      </c>
      <c r="AG555">
        <f>IF('WetLitterbags placem_collection'!AC116="","",'WetLitterbags placem_collection'!AC116)</f>
        <v>0</v>
      </c>
      <c r="AH555" s="240">
        <f>AVERAGE('WetLitterbags placem_collection'!S116,'WetLitterbags placem_collection'!U116)</f>
        <v>12.899999999999999</v>
      </c>
      <c r="AI555">
        <f>AVERAGE('WetLitterbags placem_collection'!R116,'WetLitterbags placem_collection'!T116)</f>
        <v>30.450000000000003</v>
      </c>
      <c r="AJ555">
        <f>INDEX(Coordinates!$B$2:$B$197,MATCH(G555,Coordinates!$J$2:$J$197,0))</f>
        <v>-2.348716976</v>
      </c>
      <c r="AK555">
        <f>INDEX(Coordinates!$C$2:$C$197,MATCH(G555,Coordinates!$J$2:$J$197,0))</f>
        <v>34.051484989999999</v>
      </c>
      <c r="AL555" t="str">
        <f>IF(ISNUMBER(SEARCH("C", 'WetLitterbags placem_collection'!X116)),"YES","NO")</f>
        <v>NO</v>
      </c>
      <c r="AM555" t="str">
        <f>IF(ISNUMBER(SEARCH("H", 'WetLitterbags placem_collection'!X116)),"YES","NO")</f>
        <v>NO</v>
      </c>
      <c r="AN555" t="str">
        <f>IF(ISNUMBER(SEARCH("R", 'WetLitterbags placem_collection'!X116)),"YES","NO")</f>
        <v>YES</v>
      </c>
    </row>
    <row r="556" spans="1:40" ht="15" customHeight="1">
      <c r="A556" s="258" t="s">
        <v>2460</v>
      </c>
      <c r="B556" s="263">
        <f>'Dry_Litterbag Placem_Collection'!A117</f>
        <v>115</v>
      </c>
      <c r="C556" s="263" t="str">
        <f>'Dry_Litterbag Placem_Collection'!B117</f>
        <v xml:space="preserve">Mwantimba
</v>
      </c>
      <c r="D556" s="263" t="s">
        <v>2460</v>
      </c>
      <c r="E556" s="263" t="s">
        <v>2660</v>
      </c>
      <c r="F556" s="263">
        <v>3</v>
      </c>
      <c r="G556" s="264" t="str">
        <f>'Dry_Litterbag Placem_Collection'!C117</f>
        <v>Wet_Ag3_T3</v>
      </c>
      <c r="H556" s="273" t="s">
        <v>3651</v>
      </c>
      <c r="I556" s="266" t="s">
        <v>1147</v>
      </c>
      <c r="J556" s="223" t="str">
        <f>'WetLitterbags placem_collection'!O117</f>
        <v>G778</v>
      </c>
      <c r="K556" s="225">
        <f>IFERROR(INDEX('Green_rooibos initial weight'!$C$5:$C$1749,MATCH(J556, 'Green_rooibos initial weight'!$A$5:$A$1749,0)),"")</f>
        <v>1.992</v>
      </c>
      <c r="L556" s="225">
        <f>IFERROR(K556-(TBIcalc!$H$9+TBIcalc!$H$10),"")</f>
        <v>1.7422</v>
      </c>
      <c r="M556" s="391">
        <f>AVERAGE(Ashed_controlls!$K$2:$K$11)</f>
        <v>5.5147656768714146</v>
      </c>
      <c r="N556" s="225">
        <f t="shared" si="44"/>
        <v>1.6461217523775462</v>
      </c>
      <c r="O556" s="225">
        <f>IF(IFERROR(INDEX('Both teabags AfterWet'!$C$3:$C$841,MATCH(J556,'Both teabags AfterWet'!$A$3:$A$841,0)),"")="","",(IFERROR(INDEX('Both teabags AfterWet'!$C$3:$C$841,MATCH(J556,'Both teabags AfterWet'!$A$3:$A$841,0)),"")))</f>
        <v>0.73709999999999998</v>
      </c>
      <c r="P556" s="225">
        <f>IFERROR(IF(O556&gt;0,O556-(TBIcalc!$H$9),""),"")</f>
        <v>0.58650000000000002</v>
      </c>
      <c r="Q556" s="225">
        <f>IFERROR(INDEX('Ashed teabags wet'!$K$2:$K$821,MATCH(J556,'Ashed teabags wet'!$A$2:$A$821,0)),"")</f>
        <v>26.575476306790591</v>
      </c>
      <c r="R556" s="225">
        <f t="shared" si="47"/>
        <v>0.43063483146067316</v>
      </c>
      <c r="S556" s="226">
        <f>'WetLitterbags placem_collection'!E117</f>
        <v>42762</v>
      </c>
      <c r="T556" s="226">
        <f>IF('WetLitterbags placem_collection'!G117="","",'WetLitterbags placem_collection'!G117)</f>
        <v>42816</v>
      </c>
      <c r="U556" s="227">
        <f t="shared" si="43"/>
        <v>54</v>
      </c>
      <c r="V556" s="225">
        <f t="shared" si="45"/>
        <v>1.1556999999999999</v>
      </c>
      <c r="W556" s="225">
        <f t="shared" si="46"/>
        <v>1.215486920916873</v>
      </c>
      <c r="X556">
        <f>IFERROR(INDEX(Rainfall_Wet!$O$2:$O$217,MATCH(B556, Rainfall_Wet!$A$2:$A$217,0)),"")</f>
        <v>206.85140822299999</v>
      </c>
      <c r="Y556" s="231">
        <v>27.96</v>
      </c>
      <c r="Z556" s="231">
        <v>4.9200000000000017</v>
      </c>
      <c r="AA556" s="231">
        <v>67.12</v>
      </c>
      <c r="AB556" s="232" t="s">
        <v>2670</v>
      </c>
      <c r="AC556" s="231">
        <v>2.8861015278462299</v>
      </c>
      <c r="AD556">
        <f>IF('WetLitterbags placem_collection'!AB117="","",'WetLitterbags placem_collection'!AB117)</f>
        <v>19</v>
      </c>
      <c r="AE556">
        <f>IF('WetLitterbags placem_collection'!Z117="","",'WetLitterbags placem_collection'!Z117)</f>
        <v>79.5</v>
      </c>
      <c r="AF556" s="246" t="str">
        <f>IF('WetLitterbags placem_collection'!AA117="","",'WetLitterbags placem_collection'!AA117)</f>
        <v>G</v>
      </c>
      <c r="AG556">
        <f>IF('WetLitterbags placem_collection'!AC117="","",'WetLitterbags placem_collection'!AC117)</f>
        <v>1</v>
      </c>
      <c r="AH556" s="240">
        <f>AVERAGE('WetLitterbags placem_collection'!S117,'WetLitterbags placem_collection'!U117)</f>
        <v>9.9499999999999993</v>
      </c>
      <c r="AI556">
        <f>AVERAGE('WetLitterbags placem_collection'!R117,'WetLitterbags placem_collection'!T117)</f>
        <v>31.7</v>
      </c>
      <c r="AJ556">
        <f>INDEX(Coordinates!$B$2:$B$197,MATCH(G556,Coordinates!$J$2:$J$197,0))</f>
        <v>-2.3487800079999999</v>
      </c>
      <c r="AK556">
        <f>INDEX(Coordinates!$C$2:$C$197,MATCH(G556,Coordinates!$J$2:$J$197,0))</f>
        <v>34.051495969999998</v>
      </c>
      <c r="AL556" t="str">
        <f>IF(ISNUMBER(SEARCH("C", 'WetLitterbags placem_collection'!X117)),"YES","NO")</f>
        <v>NO</v>
      </c>
      <c r="AM556" t="str">
        <f>IF(ISNUMBER(SEARCH("H", 'WetLitterbags placem_collection'!X117)),"YES","NO")</f>
        <v>NO</v>
      </c>
      <c r="AN556" t="str">
        <f>IF(ISNUMBER(SEARCH("R", 'WetLitterbags placem_collection'!X117)),"YES","NO")</f>
        <v>YES</v>
      </c>
    </row>
    <row r="557" spans="1:40" ht="15" customHeight="1">
      <c r="A557" s="258" t="s">
        <v>2460</v>
      </c>
      <c r="B557" s="263">
        <f>'Dry_Litterbag Placem_Collection'!A118</f>
        <v>116</v>
      </c>
      <c r="C557" s="263" t="str">
        <f>'Dry_Litterbag Placem_Collection'!B118</f>
        <v xml:space="preserve">Mwantimba
</v>
      </c>
      <c r="D557" s="263" t="s">
        <v>2460</v>
      </c>
      <c r="E557" s="263" t="s">
        <v>2660</v>
      </c>
      <c r="F557" s="263">
        <v>3</v>
      </c>
      <c r="G557" s="264" t="str">
        <f>'Dry_Litterbag Placem_Collection'!C118</f>
        <v>Wet_Ag3_T4</v>
      </c>
      <c r="H557" s="273" t="s">
        <v>3651</v>
      </c>
      <c r="I557" s="266" t="s">
        <v>1147</v>
      </c>
      <c r="J557" s="223" t="str">
        <f>'WetLitterbags placem_collection'!O118</f>
        <v>G563</v>
      </c>
      <c r="K557" s="225">
        <f>IFERROR(INDEX('Green_rooibos initial weight'!$C$5:$C$1749,MATCH(J557, 'Green_rooibos initial weight'!$A$5:$A$1749,0)),"")</f>
        <v>1.9390000000000001</v>
      </c>
      <c r="L557" s="225">
        <f>IFERROR(K557-(TBIcalc!$H$9+TBIcalc!$H$10),"")</f>
        <v>1.6892</v>
      </c>
      <c r="M557" s="391">
        <f>AVERAGE(Ashed_controlls!$K$2:$K$11)</f>
        <v>5.5147656768714146</v>
      </c>
      <c r="N557" s="225">
        <f t="shared" si="44"/>
        <v>1.5960445781862882</v>
      </c>
      <c r="O557" s="225">
        <f>IF(IFERROR(INDEX('Both teabags AfterWet'!$C$3:$C$841,MATCH(J557,'Both teabags AfterWet'!$A$3:$A$841,0)),"")="","",(IFERROR(INDEX('Both teabags AfterWet'!$C$3:$C$841,MATCH(J557,'Both teabags AfterWet'!$A$3:$A$841,0)),"")))</f>
        <v>0.61660000000000004</v>
      </c>
      <c r="P557" s="225">
        <f>IFERROR(IF(O557&gt;0,O557-(TBIcalc!$H$9),""),"")</f>
        <v>0.46600000000000003</v>
      </c>
      <c r="Q557" s="225">
        <f>IFERROR(INDEX('Ashed teabags wet'!$K$2:$K$821,MATCH(J557,'Ashed teabags wet'!$A$2:$A$821,0)),"")</f>
        <v>16.467661691542546</v>
      </c>
      <c r="R557" s="225">
        <f t="shared" si="47"/>
        <v>0.38926069651741174</v>
      </c>
      <c r="S557" s="226">
        <f>'WetLitterbags placem_collection'!E118</f>
        <v>42762</v>
      </c>
      <c r="T557" s="226">
        <f>IF('WetLitterbags placem_collection'!G118="","",'WetLitterbags placem_collection'!G118)</f>
        <v>42816</v>
      </c>
      <c r="U557" s="227">
        <f t="shared" si="43"/>
        <v>54</v>
      </c>
      <c r="V557" s="225">
        <f t="shared" si="45"/>
        <v>1.2232000000000001</v>
      </c>
      <c r="W557" s="225">
        <f t="shared" si="46"/>
        <v>1.2067838816688765</v>
      </c>
      <c r="X557">
        <f>IFERROR(INDEX(Rainfall_Wet!$O$2:$O$217,MATCH(B557, Rainfall_Wet!$A$2:$A$217,0)),"")</f>
        <v>206.85140822299999</v>
      </c>
      <c r="Y557" s="231">
        <v>27.96</v>
      </c>
      <c r="Z557" s="231">
        <v>4.9200000000000017</v>
      </c>
      <c r="AA557" s="231">
        <v>67.12</v>
      </c>
      <c r="AB557" s="232" t="s">
        <v>2670</v>
      </c>
      <c r="AC557" s="231">
        <v>3.8861015278462299</v>
      </c>
      <c r="AD557">
        <f>IF('WetLitterbags placem_collection'!AB118="","",'WetLitterbags placem_collection'!AB118)</f>
        <v>22.5</v>
      </c>
      <c r="AE557">
        <f>IF('WetLitterbags placem_collection'!Z118="","",'WetLitterbags placem_collection'!Z118)</f>
        <v>76</v>
      </c>
      <c r="AF557" s="246" t="str">
        <f>IF('WetLitterbags placem_collection'!AA118="","",'WetLitterbags placem_collection'!AA118)</f>
        <v>G</v>
      </c>
      <c r="AG557">
        <f>IF('WetLitterbags placem_collection'!AC118="","",'WetLitterbags placem_collection'!AC118)</f>
        <v>1</v>
      </c>
      <c r="AH557" s="240">
        <f>AVERAGE('WetLitterbags placem_collection'!S118,'WetLitterbags placem_collection'!U118)</f>
        <v>8.75</v>
      </c>
      <c r="AI557">
        <f>AVERAGE('WetLitterbags placem_collection'!R118,'WetLitterbags placem_collection'!T118)</f>
        <v>25.6</v>
      </c>
      <c r="AJ557">
        <f>INDEX(Coordinates!$B$2:$B$197,MATCH(G557,Coordinates!$J$2:$J$197,0))</f>
        <v>-2.3488120270000001</v>
      </c>
      <c r="AK557">
        <f>INDEX(Coordinates!$C$2:$C$197,MATCH(G557,Coordinates!$J$2:$J$197,0))</f>
        <v>34.05146697</v>
      </c>
      <c r="AL557" t="str">
        <f>IF(ISNUMBER(SEARCH("C", 'WetLitterbags placem_collection'!X118)),"YES","NO")</f>
        <v>NO</v>
      </c>
      <c r="AM557" t="str">
        <f>IF(ISNUMBER(SEARCH("H", 'WetLitterbags placem_collection'!X118)),"YES","NO")</f>
        <v>NO</v>
      </c>
      <c r="AN557" t="str">
        <f>IF(ISNUMBER(SEARCH("R", 'WetLitterbags placem_collection'!X118)),"YES","NO")</f>
        <v>YES</v>
      </c>
    </row>
    <row r="558" spans="1:40" ht="15" customHeight="1">
      <c r="A558" s="258" t="s">
        <v>2460</v>
      </c>
      <c r="B558" s="263">
        <f>'Dry_Litterbag Placem_Collection'!A119</f>
        <v>117</v>
      </c>
      <c r="C558" s="263" t="str">
        <f>'Dry_Litterbag Placem_Collection'!B119</f>
        <v xml:space="preserve">Mwantimba
</v>
      </c>
      <c r="D558" s="263" t="s">
        <v>2460</v>
      </c>
      <c r="E558" s="263" t="s">
        <v>2660</v>
      </c>
      <c r="F558" s="263">
        <v>3</v>
      </c>
      <c r="G558" s="264" t="str">
        <f>'Dry_Litterbag Placem_Collection'!C119</f>
        <v>Wet_Ag3_T5</v>
      </c>
      <c r="H558" s="273" t="s">
        <v>3651</v>
      </c>
      <c r="I558" s="266" t="s">
        <v>1147</v>
      </c>
      <c r="J558" s="223" t="str">
        <f>'WetLitterbags placem_collection'!O119</f>
        <v>G901</v>
      </c>
      <c r="K558" s="225">
        <f>IFERROR(INDEX('Green_rooibos initial weight'!$C$5:$C$1749,MATCH(J558, 'Green_rooibos initial weight'!$A$5:$A$1749,0)),"")</f>
        <v>2.0270000000000001</v>
      </c>
      <c r="L558" s="225">
        <f>IFERROR(K558-(TBIcalc!$H$9+TBIcalc!$H$10),"")</f>
        <v>1.7772000000000001</v>
      </c>
      <c r="M558" s="391">
        <f>AVERAGE(Ashed_controlls!$K$2:$K$11)</f>
        <v>5.5147656768714146</v>
      </c>
      <c r="N558" s="225">
        <f t="shared" si="44"/>
        <v>1.6791915843906413</v>
      </c>
      <c r="O558" s="225">
        <f>IF(IFERROR(INDEX('Both teabags AfterWet'!$C$3:$C$841,MATCH(J558,'Both teabags AfterWet'!$A$3:$A$841,0)),"")="","",(IFERROR(INDEX('Both teabags AfterWet'!$C$3:$C$841,MATCH(J558,'Both teabags AfterWet'!$A$3:$A$841,0)),"")))</f>
        <v>0.621</v>
      </c>
      <c r="P558" s="225">
        <f>IFERROR(IF(O558&gt;0,O558-(TBIcalc!$H$9),""),"")</f>
        <v>0.47039999999999998</v>
      </c>
      <c r="Q558" s="225">
        <f>IFERROR(INDEX('Ashed teabags wet'!$K$2:$K$821,MATCH(J558,'Ashed teabags wet'!$A$2:$A$821,0)),"")</f>
        <v>13.244047619047592</v>
      </c>
      <c r="R558" s="225">
        <f t="shared" si="47"/>
        <v>0.40810000000000013</v>
      </c>
      <c r="S558" s="226">
        <f>'WetLitterbags placem_collection'!E119</f>
        <v>42762</v>
      </c>
      <c r="T558" s="226">
        <f>IF('WetLitterbags placem_collection'!G119="","",'WetLitterbags placem_collection'!G119)</f>
        <v>42816</v>
      </c>
      <c r="U558" s="227">
        <f t="shared" si="43"/>
        <v>54</v>
      </c>
      <c r="V558" s="225">
        <f t="shared" si="45"/>
        <v>1.3068000000000002</v>
      </c>
      <c r="W558" s="225">
        <f t="shared" si="46"/>
        <v>1.2710915843906412</v>
      </c>
      <c r="X558">
        <f>IFERROR(INDEX(Rainfall_Wet!$O$2:$O$217,MATCH(B558, Rainfall_Wet!$A$2:$A$217,0)),"")</f>
        <v>206.85140822299999</v>
      </c>
      <c r="Y558" s="231">
        <v>27.96</v>
      </c>
      <c r="Z558" s="231">
        <v>4.9200000000000017</v>
      </c>
      <c r="AA558" s="231">
        <v>67.12</v>
      </c>
      <c r="AB558" s="232" t="s">
        <v>2670</v>
      </c>
      <c r="AC558" s="231">
        <v>4.8861015278462299</v>
      </c>
      <c r="AD558">
        <f>IF('WetLitterbags placem_collection'!AB119="","",'WetLitterbags placem_collection'!AB119)</f>
        <v>23.5</v>
      </c>
      <c r="AE558">
        <f>IF('WetLitterbags placem_collection'!Z119="","",'WetLitterbags placem_collection'!Z119)</f>
        <v>76</v>
      </c>
      <c r="AF558" s="246" t="str">
        <f>IF('WetLitterbags placem_collection'!AA119="","",'WetLitterbags placem_collection'!AA119)</f>
        <v>G</v>
      </c>
      <c r="AG558">
        <f>IF('WetLitterbags placem_collection'!AC119="","",'WetLitterbags placem_collection'!AC119)</f>
        <v>1</v>
      </c>
      <c r="AH558" s="240">
        <f>AVERAGE('WetLitterbags placem_collection'!S119,'WetLitterbags placem_collection'!U119)</f>
        <v>5.6999999999999993</v>
      </c>
      <c r="AI558">
        <f>AVERAGE('WetLitterbags placem_collection'!R119,'WetLitterbags placem_collection'!T119)</f>
        <v>31.75</v>
      </c>
      <c r="AJ558">
        <f>INDEX(Coordinates!$B$2:$B$197,MATCH(G558,Coordinates!$J$2:$J$197,0))</f>
        <v>-2.348814961</v>
      </c>
      <c r="AK558">
        <f>INDEX(Coordinates!$C$2:$C$197,MATCH(G558,Coordinates!$J$2:$J$197,0))</f>
        <v>34.051439979999998</v>
      </c>
      <c r="AL558" t="str">
        <f>IF(ISNUMBER(SEARCH("C", 'WetLitterbags placem_collection'!X119)),"YES","NO")</f>
        <v>NO</v>
      </c>
      <c r="AM558" t="str">
        <f>IF(ISNUMBER(SEARCH("H", 'WetLitterbags placem_collection'!X119)),"YES","NO")</f>
        <v>NO</v>
      </c>
      <c r="AN558" t="str">
        <f>IF(ISNUMBER(SEARCH("R", 'WetLitterbags placem_collection'!X119)),"YES","NO")</f>
        <v>YES</v>
      </c>
    </row>
    <row r="559" spans="1:40" ht="15" customHeight="1">
      <c r="A559" s="258" t="s">
        <v>2460</v>
      </c>
      <c r="B559" s="263">
        <f>'Dry_Litterbag Placem_Collection'!A120</f>
        <v>118</v>
      </c>
      <c r="C559" s="263" t="str">
        <f>'Dry_Litterbag Placem_Collection'!B120</f>
        <v xml:space="preserve">Mwantimba
</v>
      </c>
      <c r="D559" s="263" t="s">
        <v>2460</v>
      </c>
      <c r="E559" s="263" t="s">
        <v>2660</v>
      </c>
      <c r="F559" s="263">
        <v>3</v>
      </c>
      <c r="G559" s="264" t="str">
        <f>'Dry_Litterbag Placem_Collection'!C120</f>
        <v>Wet_Ag3_T6</v>
      </c>
      <c r="H559" s="273" t="s">
        <v>3651</v>
      </c>
      <c r="I559" s="266" t="s">
        <v>1147</v>
      </c>
      <c r="J559" s="223" t="str">
        <f>'WetLitterbags placem_collection'!O120</f>
        <v>G791</v>
      </c>
      <c r="K559" s="225">
        <f>IFERROR(INDEX('Green_rooibos initial weight'!$C$5:$C$1749,MATCH(J559, 'Green_rooibos initial weight'!$A$5:$A$1749,0)),"")</f>
        <v>2.0680000000000001</v>
      </c>
      <c r="L559" s="225">
        <f>IFERROR(K559-(TBIcalc!$H$9+TBIcalc!$H$10),"")</f>
        <v>1.8182</v>
      </c>
      <c r="M559" s="391">
        <f>AVERAGE(Ashed_controlls!$K$2:$K$11)</f>
        <v>5.5147656768714146</v>
      </c>
      <c r="N559" s="225">
        <f t="shared" si="44"/>
        <v>1.7179305304631241</v>
      </c>
      <c r="O559" s="225">
        <f>IF(IFERROR(INDEX('Both teabags AfterWet'!$C$3:$C$841,MATCH(J559,'Both teabags AfterWet'!$A$3:$A$841,0)),"")="","",(IFERROR(INDEX('Both teabags AfterWet'!$C$3:$C$841,MATCH(J559,'Both teabags AfterWet'!$A$3:$A$841,0)),"")))</f>
        <v>0.64600000000000002</v>
      </c>
      <c r="P559" s="225">
        <f>IFERROR(IF(O559&gt;0,O559-(TBIcalc!$H$9),""),"")</f>
        <v>0.49540000000000001</v>
      </c>
      <c r="Q559" s="225">
        <f>IFERROR(INDEX('Ashed teabags wet'!$K$2:$K$821,MATCH(J559,'Ashed teabags wet'!$A$2:$A$821,0)),"")</f>
        <v>12.418952618454213</v>
      </c>
      <c r="R559" s="225">
        <f t="shared" si="47"/>
        <v>0.43387650872817785</v>
      </c>
      <c r="S559" s="226">
        <f>'WetLitterbags placem_collection'!E120</f>
        <v>42762</v>
      </c>
      <c r="T559" s="226">
        <f>IF('WetLitterbags placem_collection'!G120="","",'WetLitterbags placem_collection'!G120)</f>
        <v>42816</v>
      </c>
      <c r="U559" s="227">
        <f t="shared" si="43"/>
        <v>54</v>
      </c>
      <c r="V559" s="225">
        <f t="shared" si="45"/>
        <v>1.3228</v>
      </c>
      <c r="W559" s="225">
        <f t="shared" si="46"/>
        <v>1.2840540217349461</v>
      </c>
      <c r="X559">
        <f>IFERROR(INDEX(Rainfall_Wet!$O$2:$O$217,MATCH(B559, Rainfall_Wet!$A$2:$A$217,0)),"")</f>
        <v>206.85140822299999</v>
      </c>
      <c r="Y559" s="231">
        <v>27.96</v>
      </c>
      <c r="Z559" s="231">
        <v>4.9200000000000017</v>
      </c>
      <c r="AA559" s="231">
        <v>67.12</v>
      </c>
      <c r="AB559" s="232" t="s">
        <v>2670</v>
      </c>
      <c r="AC559" s="231">
        <v>5.8861015278462299</v>
      </c>
      <c r="AD559">
        <f>IF('WetLitterbags placem_collection'!AB120="","",'WetLitterbags placem_collection'!AB120)</f>
        <v>17.5</v>
      </c>
      <c r="AE559">
        <f>IF('WetLitterbags placem_collection'!Z120="","",'WetLitterbags placem_collection'!Z120)</f>
        <v>70.5</v>
      </c>
      <c r="AF559" s="246" t="str">
        <f>IF('WetLitterbags placem_collection'!AA120="","",'WetLitterbags placem_collection'!AA120)</f>
        <v>G</v>
      </c>
      <c r="AG559">
        <f>IF('WetLitterbags placem_collection'!AC120="","",'WetLitterbags placem_collection'!AC120)</f>
        <v>1</v>
      </c>
      <c r="AH559" s="240">
        <f>AVERAGE('WetLitterbags placem_collection'!S120,'WetLitterbags placem_collection'!U120)</f>
        <v>10.7</v>
      </c>
      <c r="AI559">
        <f>AVERAGE('WetLitterbags placem_collection'!R120,'WetLitterbags placem_collection'!T120)</f>
        <v>30.85</v>
      </c>
      <c r="AJ559">
        <f>INDEX(Coordinates!$B$2:$B$197,MATCH(G559,Coordinates!$J$2:$J$197,0))</f>
        <v>-2.3488729629999998</v>
      </c>
      <c r="AK559">
        <f>INDEX(Coordinates!$C$2:$C$197,MATCH(G559,Coordinates!$J$2:$J$197,0))</f>
        <v>34.051454980000003</v>
      </c>
      <c r="AL559" t="str">
        <f>IF(ISNUMBER(SEARCH("C", 'WetLitterbags placem_collection'!X120)),"YES","NO")</f>
        <v>NO</v>
      </c>
      <c r="AM559" t="str">
        <f>IF(ISNUMBER(SEARCH("H", 'WetLitterbags placem_collection'!X120)),"YES","NO")</f>
        <v>NO</v>
      </c>
      <c r="AN559" t="str">
        <f>IF(ISNUMBER(SEARCH("R", 'WetLitterbags placem_collection'!X120)),"YES","NO")</f>
        <v>YES</v>
      </c>
    </row>
    <row r="560" spans="1:40" ht="15" customHeight="1">
      <c r="A560" s="258" t="s">
        <v>2460</v>
      </c>
      <c r="B560" s="263">
        <f>'Dry_Litterbag Placem_Collection'!A121</f>
        <v>119</v>
      </c>
      <c r="C560" s="263" t="str">
        <f>'Dry_Litterbag Placem_Collection'!B121</f>
        <v xml:space="preserve">Mwantimba
</v>
      </c>
      <c r="D560" s="263" t="s">
        <v>2460</v>
      </c>
      <c r="E560" s="263" t="s">
        <v>2660</v>
      </c>
      <c r="F560" s="263">
        <v>3</v>
      </c>
      <c r="G560" s="264" t="str">
        <f>'Dry_Litterbag Placem_Collection'!C121</f>
        <v>Wet_Ag3_T7</v>
      </c>
      <c r="H560" s="273" t="s">
        <v>3651</v>
      </c>
      <c r="I560" s="266" t="s">
        <v>1147</v>
      </c>
      <c r="J560" s="223" t="str">
        <f>'WetLitterbags placem_collection'!O121</f>
        <v>G802</v>
      </c>
      <c r="K560" s="225">
        <f>IFERROR(INDEX('Green_rooibos initial weight'!$C$5:$C$1749,MATCH(J560, 'Green_rooibos initial weight'!$A$5:$A$1749,0)),"")</f>
        <v>2.194</v>
      </c>
      <c r="L560" s="225">
        <f>IFERROR(K560-(TBIcalc!$H$9+TBIcalc!$H$10),"")</f>
        <v>1.9441999999999999</v>
      </c>
      <c r="M560" s="391">
        <f>AVERAGE(Ashed_controlls!$K$2:$K$11)</f>
        <v>5.5147656768714146</v>
      </c>
      <c r="N560" s="225">
        <f t="shared" si="44"/>
        <v>1.836981925710266</v>
      </c>
      <c r="O560" s="225">
        <f>IF(IFERROR(INDEX('Both teabags AfterWet'!$C$3:$C$841,MATCH(J560,'Both teabags AfterWet'!$A$3:$A$841,0)),"")="","",(IFERROR(INDEX('Both teabags AfterWet'!$C$3:$C$841,MATCH(J560,'Both teabags AfterWet'!$A$3:$A$841,0)),"")))</f>
        <v>0.65200000000000002</v>
      </c>
      <c r="P560" s="225">
        <f>IFERROR(IF(O560&gt;0,O560-(TBIcalc!$H$9),""),"")</f>
        <v>0.50140000000000007</v>
      </c>
      <c r="Q560" s="225">
        <f>IFERROR(INDEX('Ashed teabags wet'!$K$2:$K$821,MATCH(J560,'Ashed teabags wet'!$A$2:$A$821,0)),"")</f>
        <v>10.497512437810975</v>
      </c>
      <c r="R560" s="225">
        <f t="shared" si="47"/>
        <v>0.44876547263681582</v>
      </c>
      <c r="S560" s="226">
        <f>'WetLitterbags placem_collection'!E121</f>
        <v>42762</v>
      </c>
      <c r="T560" s="226">
        <f>IF('WetLitterbags placem_collection'!G121="","",'WetLitterbags placem_collection'!G121)</f>
        <v>42816</v>
      </c>
      <c r="U560" s="227">
        <f t="shared" si="43"/>
        <v>54</v>
      </c>
      <c r="V560" s="225">
        <f t="shared" si="45"/>
        <v>1.4427999999999999</v>
      </c>
      <c r="W560" s="225">
        <f t="shared" si="46"/>
        <v>1.3882164530734502</v>
      </c>
      <c r="X560">
        <f>IFERROR(INDEX(Rainfall_Wet!$O$2:$O$217,MATCH(B560, Rainfall_Wet!$A$2:$A$217,0)),"")</f>
        <v>206.85140822299999</v>
      </c>
      <c r="Y560" s="231">
        <v>27.96</v>
      </c>
      <c r="Z560" s="231">
        <v>4.9200000000000017</v>
      </c>
      <c r="AA560" s="231">
        <v>67.12</v>
      </c>
      <c r="AB560" s="232" t="s">
        <v>2670</v>
      </c>
      <c r="AC560" s="231">
        <v>6.8861015278462299</v>
      </c>
      <c r="AD560">
        <f>IF('WetLitterbags placem_collection'!AB121="","",'WetLitterbags placem_collection'!AB121)</f>
        <v>18.5</v>
      </c>
      <c r="AE560">
        <f>IF('WetLitterbags placem_collection'!Z121="","",'WetLitterbags placem_collection'!Z121)</f>
        <v>74.5</v>
      </c>
      <c r="AF560" s="246" t="str">
        <f>IF('WetLitterbags placem_collection'!AA121="","",'WetLitterbags placem_collection'!AA121)</f>
        <v>G</v>
      </c>
      <c r="AG560">
        <f>IF('WetLitterbags placem_collection'!AC121="","",'WetLitterbags placem_collection'!AC121)</f>
        <v>1</v>
      </c>
      <c r="AH560" s="240">
        <f>AVERAGE('WetLitterbags placem_collection'!S121,'WetLitterbags placem_collection'!U121)</f>
        <v>11.05</v>
      </c>
      <c r="AI560">
        <f>AVERAGE('WetLitterbags placem_collection'!R121,'WetLitterbags placem_collection'!T121)</f>
        <v>30.450000000000003</v>
      </c>
      <c r="AJ560">
        <f>INDEX(Coordinates!$B$2:$B$197,MATCH(G560,Coordinates!$J$2:$J$197,0))</f>
        <v>-2.3488589659999999</v>
      </c>
      <c r="AK560">
        <f>INDEX(Coordinates!$C$2:$C$197,MATCH(G560,Coordinates!$J$2:$J$197,0))</f>
        <v>34.051389010000001</v>
      </c>
      <c r="AL560" t="str">
        <f>IF(ISNUMBER(SEARCH("C", 'WetLitterbags placem_collection'!X121)),"YES","NO")</f>
        <v>NO</v>
      </c>
      <c r="AM560" t="str">
        <f>IF(ISNUMBER(SEARCH("H", 'WetLitterbags placem_collection'!X121)),"YES","NO")</f>
        <v>NO</v>
      </c>
      <c r="AN560" t="str">
        <f>IF(ISNUMBER(SEARCH("R", 'WetLitterbags placem_collection'!X121)),"YES","NO")</f>
        <v>YES</v>
      </c>
    </row>
    <row r="561" spans="1:40" ht="15" customHeight="1">
      <c r="A561" s="258" t="s">
        <v>2460</v>
      </c>
      <c r="B561" s="263">
        <f>'Dry_Litterbag Placem_Collection'!A122</f>
        <v>120</v>
      </c>
      <c r="C561" s="263" t="str">
        <f>'Dry_Litterbag Placem_Collection'!B122</f>
        <v xml:space="preserve">Mwantimba
</v>
      </c>
      <c r="D561" s="263" t="s">
        <v>2460</v>
      </c>
      <c r="E561" s="263" t="s">
        <v>2660</v>
      </c>
      <c r="F561" s="263">
        <v>3</v>
      </c>
      <c r="G561" s="264" t="str">
        <f>'Dry_Litterbag Placem_Collection'!C122</f>
        <v>Wet_Ag3_T8</v>
      </c>
      <c r="H561" s="273" t="s">
        <v>3651</v>
      </c>
      <c r="I561" s="266" t="s">
        <v>1147</v>
      </c>
      <c r="J561" s="223" t="str">
        <f>'WetLitterbags placem_collection'!O122</f>
        <v>G698</v>
      </c>
      <c r="K561" s="225">
        <f>IFERROR(INDEX('Green_rooibos initial weight'!$C$5:$C$1749,MATCH(J561, 'Green_rooibos initial weight'!$A$5:$A$1749,0)),"")</f>
        <v>2.085</v>
      </c>
      <c r="L561" s="225">
        <f>IFERROR(K561-(TBIcalc!$H$9+TBIcalc!$H$10),"")</f>
        <v>1.8351999999999999</v>
      </c>
      <c r="M561" s="391">
        <f>AVERAGE(Ashed_controlls!$K$2:$K$11)</f>
        <v>5.5147656768714146</v>
      </c>
      <c r="N561" s="225">
        <f t="shared" si="44"/>
        <v>1.7339930202980558</v>
      </c>
      <c r="O561" s="225">
        <f>IF(IFERROR(INDEX('Both teabags AfterWet'!$C$3:$C$841,MATCH(J561,'Both teabags AfterWet'!$A$3:$A$841,0)),"")="","",(IFERROR(INDEX('Both teabags AfterWet'!$C$3:$C$841,MATCH(J561,'Both teabags AfterWet'!$A$3:$A$841,0)),"")))</f>
        <v>0.55310000000000004</v>
      </c>
      <c r="P561" s="225">
        <f>IFERROR(IF(O561&gt;0,O561-(TBIcalc!$H$9),""),"")</f>
        <v>0.40250000000000002</v>
      </c>
      <c r="Q561" s="225">
        <f>IFERROR(INDEX('Ashed teabags wet'!$K$2:$K$821,MATCH(J561,'Ashed teabags wet'!$A$2:$A$821,0)),"")</f>
        <v>14.853452558370487</v>
      </c>
      <c r="R561" s="225">
        <f t="shared" si="47"/>
        <v>0.34271485345255881</v>
      </c>
      <c r="S561" s="226">
        <f>'WetLitterbags placem_collection'!E122</f>
        <v>42762</v>
      </c>
      <c r="T561" s="226">
        <f>IF('WetLitterbags placem_collection'!G122="","",'WetLitterbags placem_collection'!G122)</f>
        <v>42816</v>
      </c>
      <c r="U561" s="227">
        <f t="shared" si="43"/>
        <v>54</v>
      </c>
      <c r="V561" s="225">
        <f t="shared" si="45"/>
        <v>1.4326999999999999</v>
      </c>
      <c r="W561" s="225">
        <f t="shared" si="46"/>
        <v>1.391278166845497</v>
      </c>
      <c r="X561">
        <f>IFERROR(INDEX(Rainfall_Wet!$O$2:$O$217,MATCH(B561, Rainfall_Wet!$A$2:$A$217,0)),"")</f>
        <v>206.85140822299999</v>
      </c>
      <c r="Y561" s="231">
        <v>27.96</v>
      </c>
      <c r="Z561" s="231">
        <v>4.9200000000000017</v>
      </c>
      <c r="AA561" s="231">
        <v>67.12</v>
      </c>
      <c r="AB561" s="232" t="s">
        <v>2670</v>
      </c>
      <c r="AC561" s="231">
        <v>7.8861015278462299</v>
      </c>
      <c r="AD561">
        <f>IF('WetLitterbags placem_collection'!AB122="","",'WetLitterbags placem_collection'!AB122)</f>
        <v>19</v>
      </c>
      <c r="AE561">
        <f>IF('WetLitterbags placem_collection'!Z122="","",'WetLitterbags placem_collection'!Z122)</f>
        <v>98.5</v>
      </c>
      <c r="AF561" s="246" t="str">
        <f>IF('WetLitterbags placem_collection'!AA122="","",'WetLitterbags placem_collection'!AA122)</f>
        <v>G</v>
      </c>
      <c r="AG561">
        <f>IF('WetLitterbags placem_collection'!AC122="","",'WetLitterbags placem_collection'!AC122)</f>
        <v>0</v>
      </c>
      <c r="AH561" s="240">
        <f>AVERAGE('WetLitterbags placem_collection'!S122,'WetLitterbags placem_collection'!U122)</f>
        <v>14.95</v>
      </c>
      <c r="AI561">
        <f>AVERAGE('WetLitterbags placem_collection'!R122,'WetLitterbags placem_collection'!T122)</f>
        <v>30.299999999999997</v>
      </c>
      <c r="AJ561">
        <f>INDEX(Coordinates!$B$2:$B$197,MATCH(G561,Coordinates!$J$2:$J$197,0))</f>
        <v>-2.3486449760000001</v>
      </c>
      <c r="AK561">
        <f>INDEX(Coordinates!$C$2:$C$197,MATCH(G561,Coordinates!$J$2:$J$197,0))</f>
        <v>34.051495969999998</v>
      </c>
      <c r="AL561" t="str">
        <f>IF(ISNUMBER(SEARCH("C", 'WetLitterbags placem_collection'!X122)),"YES","NO")</f>
        <v>NO</v>
      </c>
      <c r="AM561" t="str">
        <f>IF(ISNUMBER(SEARCH("H", 'WetLitterbags placem_collection'!X122)),"YES","NO")</f>
        <v>NO</v>
      </c>
      <c r="AN561" t="str">
        <f>IF(ISNUMBER(SEARCH("R", 'WetLitterbags placem_collection'!X122)),"YES","NO")</f>
        <v>NO</v>
      </c>
    </row>
    <row r="562" spans="1:40" ht="15" customHeight="1">
      <c r="A562" s="258" t="s">
        <v>2460</v>
      </c>
      <c r="B562" s="263">
        <f>'Dry_Litterbag Placem_Collection'!A123</f>
        <v>121</v>
      </c>
      <c r="C562" s="263" t="str">
        <f>'Dry_Litterbag Placem_Collection'!B123</f>
        <v xml:space="preserve">Mwantimba
</v>
      </c>
      <c r="D562" s="263" t="s">
        <v>2460</v>
      </c>
      <c r="E562" s="263" t="s">
        <v>2660</v>
      </c>
      <c r="F562" s="263">
        <v>4</v>
      </c>
      <c r="G562" s="264" t="str">
        <f>'Dry_Litterbag Placem_Collection'!C123</f>
        <v>Wet_Ag4_T1</v>
      </c>
      <c r="H562" s="273" t="s">
        <v>3651</v>
      </c>
      <c r="I562" s="266" t="s">
        <v>1147</v>
      </c>
      <c r="J562" s="223" t="str">
        <f>'WetLitterbags placem_collection'!O123</f>
        <v>G825</v>
      </c>
      <c r="K562" s="225">
        <f>IFERROR(INDEX('Green_rooibos initial weight'!$C$5:$C$1749,MATCH(J562, 'Green_rooibos initial weight'!$A$5:$A$1749,0)),"")</f>
        <v>2.1240000000000001</v>
      </c>
      <c r="L562" s="225">
        <f>IFERROR(K562-(TBIcalc!$H$9+TBIcalc!$H$10),"")</f>
        <v>1.8742000000000001</v>
      </c>
      <c r="M562" s="391">
        <f>AVERAGE(Ashed_controlls!$K$2:$K$11)</f>
        <v>5.5147656768714146</v>
      </c>
      <c r="N562" s="225">
        <f t="shared" si="44"/>
        <v>1.770842261684076</v>
      </c>
      <c r="O562" s="225">
        <f>IF(IFERROR(INDEX('Both teabags AfterWet'!$C$3:$C$841,MATCH(J562,'Both teabags AfterWet'!$A$3:$A$841,0)),"")="","",(IFERROR(INDEX('Both teabags AfterWet'!$C$3:$C$841,MATCH(J562,'Both teabags AfterWet'!$A$3:$A$841,0)),"")))</f>
        <v>0.61199999999999999</v>
      </c>
      <c r="P562" s="225">
        <f>IFERROR(IF(O562&gt;0,O562-(TBIcalc!$H$9),""),"")</f>
        <v>0.46139999999999998</v>
      </c>
      <c r="Q562" s="225">
        <f>IFERROR(INDEX('Ashed teabags wet'!$K$2:$K$821,MATCH(J562,'Ashed teabags wet'!$A$2:$A$821,0)),"")</f>
        <v>10.131514856308767</v>
      </c>
      <c r="R562" s="225">
        <f t="shared" si="47"/>
        <v>0.41465319045299132</v>
      </c>
      <c r="S562" s="226">
        <f>'WetLitterbags placem_collection'!E123</f>
        <v>42762</v>
      </c>
      <c r="T562" s="226">
        <f>IF('WetLitterbags placem_collection'!G123="","",'WetLitterbags placem_collection'!G123)</f>
        <v>42816</v>
      </c>
      <c r="U562" s="227">
        <f t="shared" si="43"/>
        <v>54</v>
      </c>
      <c r="V562" s="225">
        <f t="shared" si="45"/>
        <v>1.4128000000000001</v>
      </c>
      <c r="W562" s="225">
        <f t="shared" si="46"/>
        <v>1.3561890712310847</v>
      </c>
      <c r="X562">
        <f>IFERROR(INDEX(Rainfall_Wet!$O$2:$O$217,MATCH(B562, Rainfall_Wet!$A$2:$A$217,0)),"")</f>
        <v>206.85140822299999</v>
      </c>
      <c r="Y562" s="231">
        <v>17.96</v>
      </c>
      <c r="Z562" s="231">
        <v>4.9199999999999982</v>
      </c>
      <c r="AA562" s="231">
        <v>77.12</v>
      </c>
      <c r="AB562" s="232" t="s">
        <v>2671</v>
      </c>
      <c r="AC562" s="231">
        <v>2.0220798422868409</v>
      </c>
      <c r="AD562">
        <f>IF('WetLitterbags placem_collection'!AB123="","",'WetLitterbags placem_collection'!AB123)</f>
        <v>9.65</v>
      </c>
      <c r="AE562">
        <f>IF('WetLitterbags placem_collection'!Z123="","",'WetLitterbags placem_collection'!Z123)</f>
        <v>63</v>
      </c>
      <c r="AF562" s="246" t="str">
        <f>IF('WetLitterbags placem_collection'!AA123="","",'WetLitterbags placem_collection'!AA123)</f>
        <v>G</v>
      </c>
      <c r="AG562">
        <f>IF('WetLitterbags placem_collection'!AC123="","",'WetLitterbags placem_collection'!AC123)</f>
        <v>0</v>
      </c>
      <c r="AH562" s="240">
        <f>AVERAGE('WetLitterbags placem_collection'!S123,'WetLitterbags placem_collection'!U123)</f>
        <v>9.5500000000000007</v>
      </c>
      <c r="AI562">
        <f>AVERAGE('WetLitterbags placem_collection'!R123,'WetLitterbags placem_collection'!T123)</f>
        <v>30.75</v>
      </c>
      <c r="AJ562">
        <f>INDEX(Coordinates!$B$2:$B$197,MATCH(G562,Coordinates!$J$2:$J$197,0))</f>
        <v>-2.3492639789999998</v>
      </c>
      <c r="AK562">
        <f>INDEX(Coordinates!$C$2:$C$197,MATCH(G562,Coordinates!$J$2:$J$197,0))</f>
        <v>34.051464029999998</v>
      </c>
      <c r="AL562" t="str">
        <f>IF(ISNUMBER(SEARCH("C", 'WetLitterbags placem_collection'!X123)),"YES","NO")</f>
        <v>NO</v>
      </c>
      <c r="AM562" t="str">
        <f>IF(ISNUMBER(SEARCH("H", 'WetLitterbags placem_collection'!X123)),"YES","NO")</f>
        <v>NO</v>
      </c>
      <c r="AN562" t="str">
        <f>IF(ISNUMBER(SEARCH("R", 'WetLitterbags placem_collection'!X123)),"YES","NO")</f>
        <v>YES</v>
      </c>
    </row>
    <row r="563" spans="1:40" ht="15" customHeight="1">
      <c r="A563" s="258" t="s">
        <v>2460</v>
      </c>
      <c r="B563" s="263">
        <f>'Dry_Litterbag Placem_Collection'!A124</f>
        <v>122</v>
      </c>
      <c r="C563" s="263" t="str">
        <f>'Dry_Litterbag Placem_Collection'!B124</f>
        <v xml:space="preserve">Mwantimba
</v>
      </c>
      <c r="D563" s="263" t="s">
        <v>2460</v>
      </c>
      <c r="E563" s="263" t="s">
        <v>2660</v>
      </c>
      <c r="F563" s="263">
        <v>4</v>
      </c>
      <c r="G563" s="264" t="str">
        <f>'Dry_Litterbag Placem_Collection'!C124</f>
        <v>Wet_Ag4_T2</v>
      </c>
      <c r="H563" s="273" t="s">
        <v>3651</v>
      </c>
      <c r="I563" s="266" t="s">
        <v>1147</v>
      </c>
      <c r="J563" s="223" t="str">
        <f>'WetLitterbags placem_collection'!O124</f>
        <v>G839</v>
      </c>
      <c r="K563" s="225">
        <f>IFERROR(INDEX('Green_rooibos initial weight'!$C$5:$C$1749,MATCH(J563, 'Green_rooibos initial weight'!$A$5:$A$1749,0)),"")</f>
        <v>2.0230000000000001</v>
      </c>
      <c r="L563" s="225">
        <f>IFERROR(K563-(TBIcalc!$H$9+TBIcalc!$H$10),"")</f>
        <v>1.7732000000000001</v>
      </c>
      <c r="M563" s="391">
        <f>AVERAGE(Ashed_controlls!$K$2:$K$11)</f>
        <v>5.5147656768714146</v>
      </c>
      <c r="N563" s="225">
        <f t="shared" si="44"/>
        <v>1.6754121750177162</v>
      </c>
      <c r="O563" s="225">
        <f>IF(IFERROR(INDEX('Both teabags AfterWet'!$C$3:$C$841,MATCH(J563,'Both teabags AfterWet'!$A$3:$A$841,0)),"")="","",(IFERROR(INDEX('Both teabags AfterWet'!$C$3:$C$841,MATCH(J563,'Both teabags AfterWet'!$A$3:$A$841,0)),"")))</f>
        <v>0.64200000000000002</v>
      </c>
      <c r="P563" s="225">
        <f>IFERROR(IF(O563&gt;0,O563-(TBIcalc!$H$9),""),"")</f>
        <v>0.4914</v>
      </c>
      <c r="Q563" s="225">
        <f>IFERROR(INDEX('Ashed teabags wet'!$K$2:$K$821,MATCH(J563,'Ashed teabags wet'!$A$2:$A$821,0)),"")</f>
        <v>16.267465069859526</v>
      </c>
      <c r="R563" s="225">
        <f t="shared" si="47"/>
        <v>0.41146167664671029</v>
      </c>
      <c r="S563" s="226">
        <f>'WetLitterbags placem_collection'!E124</f>
        <v>42762</v>
      </c>
      <c r="T563" s="226">
        <f>IF('WetLitterbags placem_collection'!G124="","",'WetLitterbags placem_collection'!G124)</f>
        <v>42816</v>
      </c>
      <c r="U563" s="227">
        <f t="shared" si="43"/>
        <v>54</v>
      </c>
      <c r="V563" s="225">
        <f t="shared" si="45"/>
        <v>1.2818000000000001</v>
      </c>
      <c r="W563" s="225">
        <f t="shared" si="46"/>
        <v>1.2639504983710059</v>
      </c>
      <c r="X563">
        <f>IFERROR(INDEX(Rainfall_Wet!$O$2:$O$217,MATCH(B563, Rainfall_Wet!$A$2:$A$217,0)),"")</f>
        <v>206.85140822299999</v>
      </c>
      <c r="Y563" s="231">
        <v>17.96</v>
      </c>
      <c r="Z563" s="231">
        <v>4.9199999999999982</v>
      </c>
      <c r="AA563" s="231">
        <v>77.12</v>
      </c>
      <c r="AB563" s="232" t="s">
        <v>2671</v>
      </c>
      <c r="AC563" s="231">
        <v>3.02207984228684</v>
      </c>
      <c r="AD563">
        <f>IF('WetLitterbags placem_collection'!AB124="","",'WetLitterbags placem_collection'!AB124)</f>
        <v>3.1</v>
      </c>
      <c r="AE563">
        <f>IF('WetLitterbags placem_collection'!Z124="","",'WetLitterbags placem_collection'!Z124)</f>
        <v>53</v>
      </c>
      <c r="AF563" s="246" t="str">
        <f>IF('WetLitterbags placem_collection'!AA124="","",'WetLitterbags placem_collection'!AA124)</f>
        <v>G</v>
      </c>
      <c r="AG563">
        <f>IF('WetLitterbags placem_collection'!AC124="","",'WetLitterbags placem_collection'!AC124)</f>
        <v>0</v>
      </c>
      <c r="AH563" s="240">
        <f>AVERAGE('WetLitterbags placem_collection'!S124,'WetLitterbags placem_collection'!U124)</f>
        <v>11.8</v>
      </c>
      <c r="AI563">
        <f>AVERAGE('WetLitterbags placem_collection'!R124,'WetLitterbags placem_collection'!T124)</f>
        <v>30.650000000000002</v>
      </c>
      <c r="AJ563">
        <f>INDEX(Coordinates!$B$2:$B$197,MATCH(G563,Coordinates!$J$2:$J$197,0))</f>
        <v>-2.34923196</v>
      </c>
      <c r="AK563">
        <f>INDEX(Coordinates!$C$2:$C$197,MATCH(G563,Coordinates!$J$2:$J$197,0))</f>
        <v>34.051422039999999</v>
      </c>
      <c r="AL563" t="str">
        <f>IF(ISNUMBER(SEARCH("C", 'WetLitterbags placem_collection'!X124)),"YES","NO")</f>
        <v>NO</v>
      </c>
      <c r="AM563" t="str">
        <f>IF(ISNUMBER(SEARCH("H", 'WetLitterbags placem_collection'!X124)),"YES","NO")</f>
        <v>NO</v>
      </c>
      <c r="AN563" t="str">
        <f>IF(ISNUMBER(SEARCH("R", 'WetLitterbags placem_collection'!X124)),"YES","NO")</f>
        <v>YES</v>
      </c>
    </row>
    <row r="564" spans="1:40" ht="15" customHeight="1">
      <c r="A564" s="258" t="s">
        <v>2460</v>
      </c>
      <c r="B564" s="263">
        <f>'Dry_Litterbag Placem_Collection'!A125</f>
        <v>123</v>
      </c>
      <c r="C564" s="263" t="str">
        <f>'Dry_Litterbag Placem_Collection'!B125</f>
        <v xml:space="preserve">Mwantimba
</v>
      </c>
      <c r="D564" s="263" t="s">
        <v>2460</v>
      </c>
      <c r="E564" s="263" t="s">
        <v>2660</v>
      </c>
      <c r="F564" s="263">
        <v>4</v>
      </c>
      <c r="G564" s="264" t="str">
        <f>'Dry_Litterbag Placem_Collection'!C125</f>
        <v>Wet_Ag4_T3</v>
      </c>
      <c r="H564" s="273" t="s">
        <v>3651</v>
      </c>
      <c r="I564" s="266" t="s">
        <v>1147</v>
      </c>
      <c r="J564" s="223" t="str">
        <f>'WetLitterbags placem_collection'!O125</f>
        <v>G895</v>
      </c>
      <c r="K564" s="225">
        <f>IFERROR(INDEX('Green_rooibos initial weight'!$C$5:$C$1749,MATCH(J564, 'Green_rooibos initial weight'!$A$5:$A$1749,0)),"")</f>
        <v>1.9259999999999999</v>
      </c>
      <c r="L564" s="225">
        <f>IFERROR(K564-(TBIcalc!$H$9+TBIcalc!$H$10),"")</f>
        <v>1.6761999999999999</v>
      </c>
      <c r="M564" s="391">
        <f>AVERAGE(Ashed_controlls!$K$2:$K$11)</f>
        <v>5.5147656768714146</v>
      </c>
      <c r="N564" s="225">
        <f t="shared" si="44"/>
        <v>1.5837614977242813</v>
      </c>
      <c r="O564" s="225">
        <f>IF(IFERROR(INDEX('Both teabags AfterWet'!$C$3:$C$841,MATCH(J564,'Both teabags AfterWet'!$A$3:$A$841,0)),"")="","",(IFERROR(INDEX('Both teabags AfterWet'!$C$3:$C$841,MATCH(J564,'Both teabags AfterWet'!$A$3:$A$841,0)),"")))</f>
        <v>0.878</v>
      </c>
      <c r="P564" s="225">
        <f>IFERROR(IF(O564&gt;0,O564-(TBIcalc!$H$9),""),"")</f>
        <v>0.72740000000000005</v>
      </c>
      <c r="Q564" s="225">
        <f>IFERROR(INDEX('Ashed teabags wet'!$K$2:$K$821,MATCH(J564,'Ashed teabags wet'!$A$2:$A$821,0)),"")</f>
        <v>13.555233960443902</v>
      </c>
      <c r="R564" s="225">
        <f t="shared" si="47"/>
        <v>0.62879922817173106</v>
      </c>
      <c r="S564" s="226">
        <f>'WetLitterbags placem_collection'!E125</f>
        <v>42762</v>
      </c>
      <c r="T564" s="226">
        <f>IF('WetLitterbags placem_collection'!G125="","",'WetLitterbags placem_collection'!G125)</f>
        <v>42816</v>
      </c>
      <c r="U564" s="227">
        <f t="shared" si="43"/>
        <v>54</v>
      </c>
      <c r="V564" s="225">
        <f t="shared" si="45"/>
        <v>0.94879999999999987</v>
      </c>
      <c r="W564" s="225">
        <f t="shared" si="46"/>
        <v>0.95496226955255026</v>
      </c>
      <c r="X564">
        <f>IFERROR(INDEX(Rainfall_Wet!$O$2:$O$217,MATCH(B564, Rainfall_Wet!$A$2:$A$217,0)),"")</f>
        <v>206.85140822299999</v>
      </c>
      <c r="Y564" s="231">
        <v>17.96</v>
      </c>
      <c r="Z564" s="231">
        <v>4.9199999999999982</v>
      </c>
      <c r="AA564" s="231">
        <v>77.12</v>
      </c>
      <c r="AB564" s="232" t="s">
        <v>2671</v>
      </c>
      <c r="AC564" s="231">
        <v>4.02207984228684</v>
      </c>
      <c r="AD564">
        <f>IF('WetLitterbags placem_collection'!AB125="","",'WetLitterbags placem_collection'!AB125)</f>
        <v>3.9</v>
      </c>
      <c r="AE564">
        <f>IF('WetLitterbags placem_collection'!Z125="","",'WetLitterbags placem_collection'!Z125)</f>
        <v>51</v>
      </c>
      <c r="AF564" s="246" t="str">
        <f>IF('WetLitterbags placem_collection'!AA125="","",'WetLitterbags placem_collection'!AA125)</f>
        <v>G</v>
      </c>
      <c r="AG564">
        <f>IF('WetLitterbags placem_collection'!AC125="","",'WetLitterbags placem_collection'!AC125)</f>
        <v>1</v>
      </c>
      <c r="AH564" s="240">
        <f>AVERAGE('WetLitterbags placem_collection'!S125,'WetLitterbags placem_collection'!U125)</f>
        <v>13.2</v>
      </c>
      <c r="AI564">
        <f>AVERAGE('WetLitterbags placem_collection'!R125,'WetLitterbags placem_collection'!T125)</f>
        <v>31.85</v>
      </c>
      <c r="AJ564">
        <f>INDEX(Coordinates!$B$2:$B$197,MATCH(G564,Coordinates!$J$2:$J$197,0))</f>
        <v>-2.3492390009999999</v>
      </c>
      <c r="AK564">
        <f>INDEX(Coordinates!$C$2:$C$197,MATCH(G564,Coordinates!$J$2:$J$197,0))</f>
        <v>34.051304020000003</v>
      </c>
      <c r="AL564" t="str">
        <f>IF(ISNUMBER(SEARCH("C", 'WetLitterbags placem_collection'!X125)),"YES","NO")</f>
        <v>NO</v>
      </c>
      <c r="AM564" t="str">
        <f>IF(ISNUMBER(SEARCH("H", 'WetLitterbags placem_collection'!X125)),"YES","NO")</f>
        <v>NO</v>
      </c>
      <c r="AN564" t="str">
        <f>IF(ISNUMBER(SEARCH("R", 'WetLitterbags placem_collection'!X125)),"YES","NO")</f>
        <v>NO</v>
      </c>
    </row>
    <row r="565" spans="1:40" ht="15" customHeight="1">
      <c r="A565" s="258" t="s">
        <v>2460</v>
      </c>
      <c r="B565" s="263">
        <f>'Dry_Litterbag Placem_Collection'!A126</f>
        <v>124</v>
      </c>
      <c r="C565" s="263" t="str">
        <f>'Dry_Litterbag Placem_Collection'!B126</f>
        <v xml:space="preserve">Mwantimba
</v>
      </c>
      <c r="D565" s="263" t="s">
        <v>2460</v>
      </c>
      <c r="E565" s="263" t="s">
        <v>2660</v>
      </c>
      <c r="F565" s="263">
        <v>4</v>
      </c>
      <c r="G565" s="264" t="str">
        <f>'Dry_Litterbag Placem_Collection'!C126</f>
        <v>Wet_Ag4_T4</v>
      </c>
      <c r="H565" s="273" t="s">
        <v>3651</v>
      </c>
      <c r="I565" s="266" t="s">
        <v>1147</v>
      </c>
      <c r="J565" s="223" t="str">
        <f>'WetLitterbags placem_collection'!O126</f>
        <v>G682</v>
      </c>
      <c r="K565" s="225">
        <f>IFERROR(INDEX('Green_rooibos initial weight'!$C$5:$C$1749,MATCH(J565, 'Green_rooibos initial weight'!$A$5:$A$1749,0)),"")</f>
        <v>2.0230000000000001</v>
      </c>
      <c r="L565" s="225">
        <f>IFERROR(K565-(TBIcalc!$H$9+TBIcalc!$H$10),"")</f>
        <v>1.7732000000000001</v>
      </c>
      <c r="M565" s="391">
        <f>AVERAGE(Ashed_controlls!$K$2:$K$11)</f>
        <v>5.5147656768714146</v>
      </c>
      <c r="N565" s="225">
        <f t="shared" si="44"/>
        <v>1.6754121750177162</v>
      </c>
      <c r="O565" s="225">
        <f>IF(IFERROR(INDEX('Both teabags AfterWet'!$C$3:$C$841,MATCH(J565,'Both teabags AfterWet'!$A$3:$A$841,0)),"")="","",(IFERROR(INDEX('Both teabags AfterWet'!$C$3:$C$841,MATCH(J565,'Both teabags AfterWet'!$A$3:$A$841,0)),"")))</f>
        <v>0.61199999999999999</v>
      </c>
      <c r="P565" s="225">
        <f>IFERROR(IF(O565&gt;0,O565-(TBIcalc!$H$9),""),"")</f>
        <v>0.46139999999999998</v>
      </c>
      <c r="Q565" s="225">
        <f>IFERROR(INDEX('Ashed teabags wet'!$K$2:$K$821,MATCH(J565,'Ashed teabags wet'!$A$2:$A$821,0)),"")</f>
        <v>12.30079681274993</v>
      </c>
      <c r="R565" s="225">
        <f t="shared" si="47"/>
        <v>0.40464412350597179</v>
      </c>
      <c r="S565" s="226">
        <f>'WetLitterbags placem_collection'!E126</f>
        <v>42762</v>
      </c>
      <c r="T565" s="226">
        <f>IF('WetLitterbags placem_collection'!G126="","",'WetLitterbags placem_collection'!G126)</f>
        <v>42816</v>
      </c>
      <c r="U565" s="227">
        <f t="shared" si="43"/>
        <v>54</v>
      </c>
      <c r="V565" s="225">
        <f t="shared" si="45"/>
        <v>1.3118000000000001</v>
      </c>
      <c r="W565" s="225">
        <f t="shared" si="46"/>
        <v>1.2707680515117445</v>
      </c>
      <c r="X565">
        <f>IFERROR(INDEX(Rainfall_Wet!$O$2:$O$217,MATCH(B565, Rainfall_Wet!$A$2:$A$217,0)),"")</f>
        <v>206.85140822299999</v>
      </c>
      <c r="Y565" s="231">
        <v>17.96</v>
      </c>
      <c r="Z565" s="231">
        <v>4.9199999999999982</v>
      </c>
      <c r="AA565" s="231">
        <v>77.12</v>
      </c>
      <c r="AB565" s="232" t="s">
        <v>2671</v>
      </c>
      <c r="AC565" s="231">
        <v>5.02207984228684</v>
      </c>
      <c r="AD565">
        <f>IF('WetLitterbags placem_collection'!AB126="","",'WetLitterbags placem_collection'!AB126)</f>
        <v>5.45</v>
      </c>
      <c r="AE565">
        <f>IF('WetLitterbags placem_collection'!Z126="","",'WetLitterbags placem_collection'!Z126)</f>
        <v>47</v>
      </c>
      <c r="AF565" s="246" t="str">
        <f>IF('WetLitterbags placem_collection'!AA126="","",'WetLitterbags placem_collection'!AA126)</f>
        <v>G</v>
      </c>
      <c r="AG565">
        <f>IF('WetLitterbags placem_collection'!AC126="","",'WetLitterbags placem_collection'!AC126)</f>
        <v>1</v>
      </c>
      <c r="AH565" s="240">
        <f>AVERAGE('WetLitterbags placem_collection'!S126,'WetLitterbags placem_collection'!U126)</f>
        <v>18.2</v>
      </c>
      <c r="AI565">
        <f>AVERAGE('WetLitterbags placem_collection'!R126,'WetLitterbags placem_collection'!T126)</f>
        <v>31.1</v>
      </c>
      <c r="AJ565">
        <f>INDEX(Coordinates!$B$2:$B$197,MATCH(G565,Coordinates!$J$2:$J$197,0))</f>
        <v>-2.3492799889999998</v>
      </c>
      <c r="AK565">
        <f>INDEX(Coordinates!$C$2:$C$197,MATCH(G565,Coordinates!$J$2:$J$197,0))</f>
        <v>34.051280970000001</v>
      </c>
      <c r="AL565" t="str">
        <f>IF(ISNUMBER(SEARCH("C", 'WetLitterbags placem_collection'!X126)),"YES","NO")</f>
        <v>NO</v>
      </c>
      <c r="AM565" t="str">
        <f>IF(ISNUMBER(SEARCH("H", 'WetLitterbags placem_collection'!X126)),"YES","NO")</f>
        <v>NO</v>
      </c>
      <c r="AN565" t="str">
        <f>IF(ISNUMBER(SEARCH("R", 'WetLitterbags placem_collection'!X126)),"YES","NO")</f>
        <v>NO</v>
      </c>
    </row>
    <row r="566" spans="1:40" ht="15" customHeight="1">
      <c r="A566" s="258" t="s">
        <v>2460</v>
      </c>
      <c r="B566" s="263">
        <f>'Dry_Litterbag Placem_Collection'!A127</f>
        <v>125</v>
      </c>
      <c r="C566" s="263" t="str">
        <f>'Dry_Litterbag Placem_Collection'!B127</f>
        <v xml:space="preserve">Mwantimba
</v>
      </c>
      <c r="D566" s="263" t="s">
        <v>2460</v>
      </c>
      <c r="E566" s="263" t="s">
        <v>2660</v>
      </c>
      <c r="F566" s="263">
        <v>4</v>
      </c>
      <c r="G566" s="264" t="str">
        <f>'Dry_Litterbag Placem_Collection'!C127</f>
        <v>Wet_Ag4_T5</v>
      </c>
      <c r="H566" s="273" t="s">
        <v>3651</v>
      </c>
      <c r="I566" s="266" t="s">
        <v>1147</v>
      </c>
      <c r="J566" s="223" t="str">
        <f>'WetLitterbags placem_collection'!O127</f>
        <v>G740</v>
      </c>
      <c r="K566" s="225">
        <f>IFERROR(INDEX('Green_rooibos initial weight'!$C$5:$C$1749,MATCH(J566, 'Green_rooibos initial weight'!$A$5:$A$1749,0)),"")</f>
        <v>1.915</v>
      </c>
      <c r="L566" s="225">
        <f>IFERROR(K566-(TBIcalc!$H$9+TBIcalc!$H$10),"")</f>
        <v>1.6652</v>
      </c>
      <c r="M566" s="391">
        <f>AVERAGE(Ashed_controlls!$K$2:$K$11)</f>
        <v>5.5147656768714146</v>
      </c>
      <c r="N566" s="225">
        <f t="shared" si="44"/>
        <v>1.5733681219487372</v>
      </c>
      <c r="O566" s="225">
        <f>IF(IFERROR(INDEX('Both teabags AfterWet'!$C$3:$C$841,MATCH(J566,'Both teabags AfterWet'!$A$3:$A$841,0)),"")="","",(IFERROR(INDEX('Both teabags AfterWet'!$C$3:$C$841,MATCH(J566,'Both teabags AfterWet'!$A$3:$A$841,0)),"")))</f>
        <v>0.60099999999999998</v>
      </c>
      <c r="P566" s="225">
        <f>IFERROR(IF(O566&gt;0,O566-(TBIcalc!$H$9),""),"")</f>
        <v>0.45039999999999997</v>
      </c>
      <c r="Q566" s="225">
        <f>IFERROR(INDEX('Ashed teabags wet'!$K$2:$K$821,MATCH(J566,'Ashed teabags wet'!$A$2:$A$821,0)),"")</f>
        <v>14.222658165767069</v>
      </c>
      <c r="R566" s="225">
        <f t="shared" si="47"/>
        <v>0.38634114762138511</v>
      </c>
      <c r="S566" s="226">
        <f>'WetLitterbags placem_collection'!E127</f>
        <v>42762</v>
      </c>
      <c r="T566" s="226">
        <f>IF('WetLitterbags placem_collection'!G127="","",'WetLitterbags placem_collection'!G127)</f>
        <v>42816</v>
      </c>
      <c r="U566" s="227">
        <f t="shared" si="43"/>
        <v>54</v>
      </c>
      <c r="V566" s="225">
        <f t="shared" si="45"/>
        <v>1.2148000000000001</v>
      </c>
      <c r="W566" s="225">
        <f t="shared" si="46"/>
        <v>1.187026974327352</v>
      </c>
      <c r="X566">
        <f>IFERROR(INDEX(Rainfall_Wet!$O$2:$O$217,MATCH(B566, Rainfall_Wet!$A$2:$A$217,0)),"")</f>
        <v>206.85140822299999</v>
      </c>
      <c r="Y566" s="231">
        <v>17.96</v>
      </c>
      <c r="Z566" s="231">
        <v>4.9199999999999982</v>
      </c>
      <c r="AA566" s="231">
        <v>77.12</v>
      </c>
      <c r="AB566" s="232" t="s">
        <v>2671</v>
      </c>
      <c r="AC566" s="231">
        <v>6.02207984228684</v>
      </c>
      <c r="AD566">
        <f>IF('WetLitterbags placem_collection'!AB127="","",'WetLitterbags placem_collection'!AB127)</f>
        <v>9.3000000000000007</v>
      </c>
      <c r="AE566">
        <f>IF('WetLitterbags placem_collection'!Z127="","",'WetLitterbags placem_collection'!Z127)</f>
        <v>43</v>
      </c>
      <c r="AF566" s="246" t="str">
        <f>IF('WetLitterbags placem_collection'!AA127="","",'WetLitterbags placem_collection'!AA127)</f>
        <v>G</v>
      </c>
      <c r="AG566">
        <f>IF('WetLitterbags placem_collection'!AC127="","",'WetLitterbags placem_collection'!AC127)</f>
        <v>1</v>
      </c>
      <c r="AH566" s="240">
        <f>AVERAGE('WetLitterbags placem_collection'!S127,'WetLitterbags placem_collection'!U127)</f>
        <v>19.25</v>
      </c>
      <c r="AI566">
        <f>AVERAGE('WetLitterbags placem_collection'!R127,'WetLitterbags placem_collection'!T127)</f>
        <v>32.049999999999997</v>
      </c>
      <c r="AJ566">
        <f>INDEX(Coordinates!$B$2:$B$197,MATCH(G566,Coordinates!$J$2:$J$197,0))</f>
        <v>-2.3493320400000002</v>
      </c>
      <c r="AK566">
        <f>INDEX(Coordinates!$C$2:$C$197,MATCH(G566,Coordinates!$J$2:$J$197,0))</f>
        <v>34.051321960000003</v>
      </c>
      <c r="AL566" t="str">
        <f>IF(ISNUMBER(SEARCH("C", 'WetLitterbags placem_collection'!X127)),"YES","NO")</f>
        <v>NO</v>
      </c>
      <c r="AM566" t="str">
        <f>IF(ISNUMBER(SEARCH("H", 'WetLitterbags placem_collection'!X127)),"YES","NO")</f>
        <v>NO</v>
      </c>
      <c r="AN566" t="str">
        <f>IF(ISNUMBER(SEARCH("R", 'WetLitterbags placem_collection'!X127)),"YES","NO")</f>
        <v>YES</v>
      </c>
    </row>
    <row r="567" spans="1:40" ht="15" customHeight="1">
      <c r="A567" s="258" t="s">
        <v>2460</v>
      </c>
      <c r="B567" s="263">
        <f>'Dry_Litterbag Placem_Collection'!A128</f>
        <v>126</v>
      </c>
      <c r="C567" s="263" t="str">
        <f>'Dry_Litterbag Placem_Collection'!B128</f>
        <v xml:space="preserve">Mwantimba
</v>
      </c>
      <c r="D567" s="263" t="s">
        <v>2460</v>
      </c>
      <c r="E567" s="263" t="s">
        <v>2660</v>
      </c>
      <c r="F567" s="263">
        <v>4</v>
      </c>
      <c r="G567" s="264" t="str">
        <f>'Dry_Litterbag Placem_Collection'!C128</f>
        <v>Wet_Ag4_T6</v>
      </c>
      <c r="H567" s="273" t="s">
        <v>3651</v>
      </c>
      <c r="I567" s="266" t="s">
        <v>1147</v>
      </c>
      <c r="J567" s="223" t="str">
        <f>'WetLitterbags placem_collection'!O128</f>
        <v>G841</v>
      </c>
      <c r="K567" s="225">
        <f>IFERROR(INDEX('Green_rooibos initial weight'!$C$5:$C$1749,MATCH(J567, 'Green_rooibos initial weight'!$A$5:$A$1749,0)),"")</f>
        <v>1.96</v>
      </c>
      <c r="L567" s="225">
        <f>IFERROR(K567-(TBIcalc!$H$9+TBIcalc!$H$10),"")</f>
        <v>1.7101999999999999</v>
      </c>
      <c r="M567" s="391">
        <f>AVERAGE(Ashed_controlls!$K$2:$K$11)</f>
        <v>5.5147656768714146</v>
      </c>
      <c r="N567" s="225">
        <f t="shared" si="44"/>
        <v>1.615886477394145</v>
      </c>
      <c r="O567" s="225">
        <f>IF(IFERROR(INDEX('Both teabags AfterWet'!$C$3:$C$841,MATCH(J567,'Both teabags AfterWet'!$A$3:$A$841,0)),"")="","",(IFERROR(INDEX('Both teabags AfterWet'!$C$3:$C$841,MATCH(J567,'Both teabags AfterWet'!$A$3:$A$841,0)),"")))</f>
        <v>0.58499999999999996</v>
      </c>
      <c r="P567" s="225">
        <f>IFERROR(IF(O567&gt;0,O567-(TBIcalc!$H$9),""),"")</f>
        <v>0.43439999999999995</v>
      </c>
      <c r="Q567" s="225">
        <f>IFERROR(INDEX('Ashed teabags wet'!$K$2:$K$821,MATCH(J567,'Ashed teabags wet'!$A$2:$A$821,0)),"")</f>
        <v>12.570260602963709</v>
      </c>
      <c r="R567" s="225">
        <f t="shared" si="47"/>
        <v>0.37979478794072563</v>
      </c>
      <c r="S567" s="226">
        <f>'WetLitterbags placem_collection'!E128</f>
        <v>42762</v>
      </c>
      <c r="T567" s="226">
        <f>IF('WetLitterbags placem_collection'!G128="","",'WetLitterbags placem_collection'!G128)</f>
        <v>42816</v>
      </c>
      <c r="U567" s="227">
        <f t="shared" si="43"/>
        <v>54</v>
      </c>
      <c r="V567" s="225">
        <f t="shared" si="45"/>
        <v>1.2758</v>
      </c>
      <c r="W567" s="225">
        <f t="shared" si="46"/>
        <v>1.2360916894534193</v>
      </c>
      <c r="X567">
        <f>IFERROR(INDEX(Rainfall_Wet!$O$2:$O$217,MATCH(B567, Rainfall_Wet!$A$2:$A$217,0)),"")</f>
        <v>206.85140822299999</v>
      </c>
      <c r="Y567" s="231">
        <v>17.96</v>
      </c>
      <c r="Z567" s="231">
        <v>4.9199999999999982</v>
      </c>
      <c r="AA567" s="231">
        <v>77.12</v>
      </c>
      <c r="AB567" s="232" t="s">
        <v>2671</v>
      </c>
      <c r="AC567" s="231">
        <v>7.02207984228684</v>
      </c>
      <c r="AD567">
        <f>IF('WetLitterbags placem_collection'!AB128="","",'WetLitterbags placem_collection'!AB128)</f>
        <v>10.85</v>
      </c>
      <c r="AE567">
        <f>IF('WetLitterbags placem_collection'!Z128="","",'WetLitterbags placem_collection'!Z128)</f>
        <v>40</v>
      </c>
      <c r="AF567" s="246" t="str">
        <f>IF('WetLitterbags placem_collection'!AA128="","",'WetLitterbags placem_collection'!AA128)</f>
        <v>G</v>
      </c>
      <c r="AG567">
        <f>IF('WetLitterbags placem_collection'!AC128="","",'WetLitterbags placem_collection'!AC128)</f>
        <v>1</v>
      </c>
      <c r="AH567" s="240">
        <f>AVERAGE('WetLitterbags placem_collection'!S128,'WetLitterbags placem_collection'!U128)</f>
        <v>16.649999999999999</v>
      </c>
      <c r="AI567">
        <f>AVERAGE('WetLitterbags placem_collection'!R128,'WetLitterbags placem_collection'!T128)</f>
        <v>32</v>
      </c>
      <c r="AJ567">
        <f>INDEX(Coordinates!$B$2:$B$197,MATCH(G567,Coordinates!$J$2:$J$197,0))</f>
        <v>-2.3493509829999999</v>
      </c>
      <c r="AK567">
        <f>INDEX(Coordinates!$C$2:$C$197,MATCH(G567,Coordinates!$J$2:$J$197,0))</f>
        <v>34.051332019999997</v>
      </c>
      <c r="AL567" t="str">
        <f>IF(ISNUMBER(SEARCH("C", 'WetLitterbags placem_collection'!X128)),"YES","NO")</f>
        <v>NO</v>
      </c>
      <c r="AM567" t="str">
        <f>IF(ISNUMBER(SEARCH("H", 'WetLitterbags placem_collection'!X128)),"YES","NO")</f>
        <v>NO</v>
      </c>
      <c r="AN567" t="str">
        <f>IF(ISNUMBER(SEARCH("R", 'WetLitterbags placem_collection'!X128)),"YES","NO")</f>
        <v>YES</v>
      </c>
    </row>
    <row r="568" spans="1:40" ht="15" customHeight="1">
      <c r="A568" s="258" t="s">
        <v>2460</v>
      </c>
      <c r="B568" s="263">
        <f>'Dry_Litterbag Placem_Collection'!A129</f>
        <v>127</v>
      </c>
      <c r="C568" s="263" t="str">
        <f>'Dry_Litterbag Placem_Collection'!B129</f>
        <v xml:space="preserve">Mwantimba
</v>
      </c>
      <c r="D568" s="263" t="s">
        <v>2460</v>
      </c>
      <c r="E568" s="263" t="s">
        <v>2660</v>
      </c>
      <c r="F568" s="263">
        <v>4</v>
      </c>
      <c r="G568" s="264" t="str">
        <f>'Dry_Litterbag Placem_Collection'!C129</f>
        <v>Wet_Ag4_T7</v>
      </c>
      <c r="H568" s="273" t="s">
        <v>3651</v>
      </c>
      <c r="I568" s="266" t="s">
        <v>1147</v>
      </c>
      <c r="J568" s="223" t="str">
        <f>'WetLitterbags placem_collection'!O129</f>
        <v>G687</v>
      </c>
      <c r="K568" s="225">
        <f>IFERROR(INDEX('Green_rooibos initial weight'!$C$5:$C$1749,MATCH(J568, 'Green_rooibos initial weight'!$A$5:$A$1749,0)),"")</f>
        <v>2.0649999999999999</v>
      </c>
      <c r="L568" s="225">
        <f>IFERROR(K568-(TBIcalc!$H$9+TBIcalc!$H$10),"")</f>
        <v>1.8151999999999999</v>
      </c>
      <c r="M568" s="391">
        <f>AVERAGE(Ashed_controlls!$K$2:$K$11)</f>
        <v>5.5147656768714146</v>
      </c>
      <c r="N568" s="225">
        <f t="shared" si="44"/>
        <v>1.7150959734334301</v>
      </c>
      <c r="O568" s="225">
        <f>IF(IFERROR(INDEX('Both teabags AfterWet'!$C$3:$C$841,MATCH(J568,'Both teabags AfterWet'!$A$3:$A$841,0)),"")="","",(IFERROR(INDEX('Both teabags AfterWet'!$C$3:$C$841,MATCH(J568,'Both teabags AfterWet'!$A$3:$A$841,0)),"")))</f>
        <v>0.57699999999999996</v>
      </c>
      <c r="P568" s="225">
        <f>IFERROR(IF(O568&gt;0,O568-(TBIcalc!$H$9),""),"")</f>
        <v>0.42639999999999995</v>
      </c>
      <c r="Q568" s="225">
        <f>IFERROR(INDEX('Ashed teabags wet'!$K$2:$K$821,MATCH(J568,'Ashed teabags wet'!$A$2:$A$821,0)),"")</f>
        <v>17.513566847558284</v>
      </c>
      <c r="R568" s="225">
        <f t="shared" si="47"/>
        <v>0.35172215096201143</v>
      </c>
      <c r="S568" s="226">
        <f>'WetLitterbags placem_collection'!E129</f>
        <v>42762</v>
      </c>
      <c r="T568" s="226">
        <f>IF('WetLitterbags placem_collection'!G129="","",'WetLitterbags placem_collection'!G129)</f>
        <v>42816</v>
      </c>
      <c r="U568" s="227">
        <f t="shared" si="43"/>
        <v>54</v>
      </c>
      <c r="V568" s="225">
        <f t="shared" si="45"/>
        <v>1.3888</v>
      </c>
      <c r="W568" s="225">
        <f t="shared" si="46"/>
        <v>1.3633738224714187</v>
      </c>
      <c r="X568">
        <f>IFERROR(INDEX(Rainfall_Wet!$O$2:$O$217,MATCH(B568, Rainfall_Wet!$A$2:$A$217,0)),"")</f>
        <v>206.85140822299999</v>
      </c>
      <c r="Y568" s="231">
        <v>17.96</v>
      </c>
      <c r="Z568" s="231">
        <v>4.9199999999999982</v>
      </c>
      <c r="AA568" s="231">
        <v>77.12</v>
      </c>
      <c r="AB568" s="232" t="s">
        <v>2671</v>
      </c>
      <c r="AC568" s="231">
        <v>8.0220798422868391</v>
      </c>
      <c r="AD568">
        <f>IF('WetLitterbags placem_collection'!AB129="","",'WetLitterbags placem_collection'!AB129)</f>
        <v>5.35</v>
      </c>
      <c r="AE568">
        <f>IF('WetLitterbags placem_collection'!Z129="","",'WetLitterbags placem_collection'!Z129)</f>
        <v>58</v>
      </c>
      <c r="AF568" s="246" t="str">
        <f>IF('WetLitterbags placem_collection'!AA129="","",'WetLitterbags placem_collection'!AA129)</f>
        <v>G</v>
      </c>
      <c r="AG568">
        <f>IF('WetLitterbags placem_collection'!AC129="","",'WetLitterbags placem_collection'!AC129)</f>
        <v>1</v>
      </c>
      <c r="AH568" s="240">
        <f>AVERAGE('WetLitterbags placem_collection'!S129,'WetLitterbags placem_collection'!U129)</f>
        <v>15.8</v>
      </c>
      <c r="AI568">
        <f>AVERAGE('WetLitterbags placem_collection'!R129,'WetLitterbags placem_collection'!T129)</f>
        <v>31.55</v>
      </c>
      <c r="AJ568">
        <f>INDEX(Coordinates!$B$2:$B$197,MATCH(G568,Coordinates!$J$2:$J$197,0))</f>
        <v>-2.3491850219999999</v>
      </c>
      <c r="AK568">
        <f>INDEX(Coordinates!$C$2:$C$197,MATCH(G568,Coordinates!$J$2:$J$197,0))</f>
        <v>34.051264959999997</v>
      </c>
      <c r="AL568" t="str">
        <f>IF(ISNUMBER(SEARCH("C", 'WetLitterbags placem_collection'!X129)),"YES","NO")</f>
        <v>NO</v>
      </c>
      <c r="AM568" t="str">
        <f>IF(ISNUMBER(SEARCH("H", 'WetLitterbags placem_collection'!X129)),"YES","NO")</f>
        <v>NO</v>
      </c>
      <c r="AN568" t="str">
        <f>IF(ISNUMBER(SEARCH("R", 'WetLitterbags placem_collection'!X129)),"YES","NO")</f>
        <v>YES</v>
      </c>
    </row>
    <row r="569" spans="1:40" ht="15" customHeight="1">
      <c r="A569" s="258" t="s">
        <v>2460</v>
      </c>
      <c r="B569" s="263">
        <f>'Dry_Litterbag Placem_Collection'!A130</f>
        <v>128</v>
      </c>
      <c r="C569" s="263" t="str">
        <f>'Dry_Litterbag Placem_Collection'!B130</f>
        <v xml:space="preserve">Mwantimba
</v>
      </c>
      <c r="D569" s="263" t="s">
        <v>2460</v>
      </c>
      <c r="E569" s="263" t="s">
        <v>2660</v>
      </c>
      <c r="F569" s="263">
        <v>4</v>
      </c>
      <c r="G569" s="264" t="str">
        <f>'Dry_Litterbag Placem_Collection'!C130</f>
        <v>Wet_Ag4_T8</v>
      </c>
      <c r="H569" s="273" t="s">
        <v>3651</v>
      </c>
      <c r="I569" s="266" t="s">
        <v>1147</v>
      </c>
      <c r="J569" s="223" t="str">
        <f>'WetLitterbags placem_collection'!O130</f>
        <v>G833</v>
      </c>
      <c r="K569" s="225">
        <f>IFERROR(INDEX('Green_rooibos initial weight'!$C$5:$C$1749,MATCH(J569, 'Green_rooibos initial weight'!$A$5:$A$1749,0)),"")</f>
        <v>1.964</v>
      </c>
      <c r="L569" s="225">
        <f>IFERROR(K569-(TBIcalc!$H$9+TBIcalc!$H$10),"")</f>
        <v>1.7141999999999999</v>
      </c>
      <c r="M569" s="391">
        <f>AVERAGE(Ashed_controlls!$K$2:$K$11)</f>
        <v>5.5147656768714146</v>
      </c>
      <c r="N569" s="225">
        <f t="shared" si="44"/>
        <v>1.6196658867670701</v>
      </c>
      <c r="O569" s="225">
        <f>IF(IFERROR(INDEX('Both teabags AfterWet'!$C$3:$C$841,MATCH(J569,'Both teabags AfterWet'!$A$3:$A$841,0)),"")="","",(IFERROR(INDEX('Both teabags AfterWet'!$C$3:$C$841,MATCH(J569,'Both teabags AfterWet'!$A$3:$A$841,0)),"")))</f>
        <v>0.57199999999999995</v>
      </c>
      <c r="P569" s="225">
        <f>IFERROR(IF(O569&gt;0,O569-(TBIcalc!$H$9),""),"")</f>
        <v>0.42139999999999994</v>
      </c>
      <c r="Q569" s="225">
        <f>IFERROR(INDEX('Ashed teabags wet'!$K$2:$K$821,MATCH(J569,'Ashed teabags wet'!$A$2:$A$821,0)),"")</f>
        <v>10.010111223457624</v>
      </c>
      <c r="R569" s="225">
        <f t="shared" si="47"/>
        <v>0.3792173913043495</v>
      </c>
      <c r="S569" s="226">
        <f>'WetLitterbags placem_collection'!E130</f>
        <v>42762</v>
      </c>
      <c r="T569" s="226">
        <f>IF('WetLitterbags placem_collection'!G130="","",'WetLitterbags placem_collection'!G130)</f>
        <v>42816</v>
      </c>
      <c r="U569" s="227">
        <f t="shared" si="43"/>
        <v>54</v>
      </c>
      <c r="V569" s="225">
        <f t="shared" si="45"/>
        <v>1.2927999999999999</v>
      </c>
      <c r="W569" s="225">
        <f t="shared" si="46"/>
        <v>1.2404484954627206</v>
      </c>
      <c r="X569">
        <f>IFERROR(INDEX(Rainfall_Wet!$O$2:$O$217,MATCH(B569, Rainfall_Wet!$A$2:$A$217,0)),"")</f>
        <v>206.85140822299999</v>
      </c>
      <c r="Y569" s="231">
        <v>17.96</v>
      </c>
      <c r="Z569" s="231">
        <v>4.9199999999999982</v>
      </c>
      <c r="AA569" s="231">
        <v>77.12</v>
      </c>
      <c r="AB569" s="232" t="s">
        <v>2671</v>
      </c>
      <c r="AC569" s="231">
        <v>9.0220798422868391</v>
      </c>
      <c r="AD569">
        <f>IF('WetLitterbags placem_collection'!AB130="","",'WetLitterbags placem_collection'!AB130)</f>
        <v>10.9</v>
      </c>
      <c r="AE569">
        <f>IF('WetLitterbags placem_collection'!Z130="","",'WetLitterbags placem_collection'!Z130)</f>
        <v>44</v>
      </c>
      <c r="AF569" s="246" t="str">
        <f>IF('WetLitterbags placem_collection'!AA130="","",'WetLitterbags placem_collection'!AA130)</f>
        <v>G</v>
      </c>
      <c r="AG569">
        <f>IF('WetLitterbags placem_collection'!AC130="","",'WetLitterbags placem_collection'!AC130)</f>
        <v>0</v>
      </c>
      <c r="AH569" s="240">
        <f>AVERAGE('WetLitterbags placem_collection'!S130,'WetLitterbags placem_collection'!U130)</f>
        <v>8.15</v>
      </c>
      <c r="AI569">
        <f>AVERAGE('WetLitterbags placem_collection'!R130,'WetLitterbags placem_collection'!T130)</f>
        <v>31.650000000000002</v>
      </c>
      <c r="AJ569">
        <f>INDEX(Coordinates!$B$2:$B$197,MATCH(G569,Coordinates!$J$2:$J$197,0))</f>
        <v>-2.3493099960000001</v>
      </c>
      <c r="AK569">
        <f>INDEX(Coordinates!$C$2:$C$197,MATCH(G569,Coordinates!$J$2:$J$197,0))</f>
        <v>34.05141802</v>
      </c>
      <c r="AL569" t="str">
        <f>IF(ISNUMBER(SEARCH("C", 'WetLitterbags placem_collection'!X130)),"YES","NO")</f>
        <v>NO</v>
      </c>
      <c r="AM569" t="str">
        <f>IF(ISNUMBER(SEARCH("H", 'WetLitterbags placem_collection'!X130)),"YES","NO")</f>
        <v>NO</v>
      </c>
      <c r="AN569" t="str">
        <f>IF(ISNUMBER(SEARCH("R", 'WetLitterbags placem_collection'!X130)),"YES","NO")</f>
        <v>YES</v>
      </c>
    </row>
    <row r="570" spans="1:40" ht="15" customHeight="1">
      <c r="A570" s="258" t="s">
        <v>2460</v>
      </c>
      <c r="B570" s="263">
        <f>'Dry_Litterbag Placem_Collection'!A131</f>
        <v>129</v>
      </c>
      <c r="C570" s="263" t="str">
        <f>'Dry_Litterbag Placem_Collection'!B131</f>
        <v xml:space="preserve">Mwantimba
</v>
      </c>
      <c r="D570" s="263" t="s">
        <v>2460</v>
      </c>
      <c r="E570" s="263" t="s">
        <v>20</v>
      </c>
      <c r="F570" s="263">
        <v>1</v>
      </c>
      <c r="G570" s="264" t="str">
        <f>'Dry_Litterbag Placem_Collection'!C131</f>
        <v>Wet_P1_T1</v>
      </c>
      <c r="H570" s="273" t="s">
        <v>3651</v>
      </c>
      <c r="I570" s="266" t="s">
        <v>1147</v>
      </c>
      <c r="J570" s="223" t="str">
        <f>'WetLitterbags placem_collection'!O131</f>
        <v>G888</v>
      </c>
      <c r="K570" s="225">
        <f>IFERROR(INDEX('Green_rooibos initial weight'!$C$5:$C$1749,MATCH(J570, 'Green_rooibos initial weight'!$A$5:$A$1749,0)),"")</f>
        <v>2.089</v>
      </c>
      <c r="L570" s="225">
        <f>IFERROR(K570-(TBIcalc!$H$9+TBIcalc!$H$10),"")</f>
        <v>1.8391999999999999</v>
      </c>
      <c r="M570" s="391">
        <f>AVERAGE(Ashed_controlls!$K$2:$K$11)</f>
        <v>5.5147656768714146</v>
      </c>
      <c r="N570" s="225">
        <f t="shared" si="44"/>
        <v>1.7377724296709809</v>
      </c>
      <c r="O570" s="225">
        <f>IF(IFERROR(INDEX('Both teabags AfterWet'!$C$3:$C$841,MATCH(J570,'Both teabags AfterWet'!$A$3:$A$841,0)),"")="","",(IFERROR(INDEX('Both teabags AfterWet'!$C$3:$C$841,MATCH(J570,'Both teabags AfterWet'!$A$3:$A$841,0)),"")))</f>
        <v>0.59440000000000004</v>
      </c>
      <c r="P570" s="225">
        <f>IFERROR(IF(O570&gt;0,O570-(TBIcalc!$H$9),""),"")</f>
        <v>0.44380000000000003</v>
      </c>
      <c r="Q570" s="225">
        <f>IFERROR(INDEX('Ashed teabags wet'!$K$2:$K$821,MATCH(J570,'Ashed teabags wet'!$A$2:$A$821,0)),"")</f>
        <v>15.186104218362484</v>
      </c>
      <c r="R570" s="225">
        <f t="shared" si="47"/>
        <v>0.37640406947890731</v>
      </c>
      <c r="S570" s="226">
        <f>'WetLitterbags placem_collection'!E131</f>
        <v>42762</v>
      </c>
      <c r="T570" s="226">
        <f>IF('WetLitterbags placem_collection'!G131="","",'WetLitterbags placem_collection'!G131)</f>
        <v>42816</v>
      </c>
      <c r="U570" s="227">
        <f t="shared" si="43"/>
        <v>54</v>
      </c>
      <c r="V570" s="225">
        <f t="shared" si="45"/>
        <v>1.3954</v>
      </c>
      <c r="W570" s="225">
        <f t="shared" si="46"/>
        <v>1.3613683601920736</v>
      </c>
      <c r="X570">
        <f>IFERROR(INDEX(Rainfall_Wet!$O$2:$O$217,MATCH(B570, Rainfall_Wet!$A$2:$A$217,0)),"")</f>
        <v>206.85140822299999</v>
      </c>
      <c r="Y570" s="231">
        <v>31.214836424255054</v>
      </c>
      <c r="Z570" s="231">
        <v>11.377370285476141</v>
      </c>
      <c r="AA570" s="231">
        <v>57.407793290268799</v>
      </c>
      <c r="AB570" s="232" t="s">
        <v>2670</v>
      </c>
      <c r="AC570" s="231">
        <v>1.7337604731394776</v>
      </c>
      <c r="AD570">
        <f>IF('WetLitterbags placem_collection'!AB131="","",'WetLitterbags placem_collection'!AB131)</f>
        <v>2.4</v>
      </c>
      <c r="AE570">
        <f>IF('WetLitterbags placem_collection'!Z131="","",'WetLitterbags placem_collection'!Z131)</f>
        <v>2.4</v>
      </c>
      <c r="AF570" s="246" t="str">
        <f>IF('WetLitterbags placem_collection'!AA131="","",'WetLitterbags placem_collection'!AA131)</f>
        <v>O</v>
      </c>
      <c r="AG570">
        <f>IF('WetLitterbags placem_collection'!AC131="","",'WetLitterbags placem_collection'!AC131)</f>
        <v>1</v>
      </c>
      <c r="AH570" s="240">
        <f>AVERAGE('WetLitterbags placem_collection'!S131,'WetLitterbags placem_collection'!U131)</f>
        <v>15.05</v>
      </c>
      <c r="AI570">
        <f>AVERAGE('WetLitterbags placem_collection'!R131,'WetLitterbags placem_collection'!T131)</f>
        <v>28</v>
      </c>
      <c r="AJ570">
        <f>INDEX(Coordinates!$B$2:$B$197,MATCH(G570,Coordinates!$J$2:$J$197,0))</f>
        <v>-2.3503360249999998</v>
      </c>
      <c r="AK570">
        <f>INDEX(Coordinates!$C$2:$C$197,MATCH(G570,Coordinates!$J$2:$J$197,0))</f>
        <v>34.049662009999999</v>
      </c>
      <c r="AL570" t="str">
        <f>IF(ISNUMBER(SEARCH("C", 'WetLitterbags placem_collection'!X131)),"YES","NO")</f>
        <v>NO</v>
      </c>
      <c r="AM570" t="str">
        <f>IF(ISNUMBER(SEARCH("H", 'WetLitterbags placem_collection'!X131)),"YES","NO")</f>
        <v>NO</v>
      </c>
      <c r="AN570" t="str">
        <f>IF(ISNUMBER(SEARCH("R", 'WetLitterbags placem_collection'!X131)),"YES","NO")</f>
        <v>YES</v>
      </c>
    </row>
    <row r="571" spans="1:40" ht="15" customHeight="1">
      <c r="A571" s="258" t="s">
        <v>2460</v>
      </c>
      <c r="B571" s="263">
        <f>'Dry_Litterbag Placem_Collection'!A132</f>
        <v>130</v>
      </c>
      <c r="C571" s="263" t="str">
        <f>'Dry_Litterbag Placem_Collection'!B132</f>
        <v xml:space="preserve">Mwantimba
</v>
      </c>
      <c r="D571" s="263" t="s">
        <v>2460</v>
      </c>
      <c r="E571" s="263" t="s">
        <v>20</v>
      </c>
      <c r="F571" s="263">
        <v>1</v>
      </c>
      <c r="G571" s="264" t="str">
        <f>'Dry_Litterbag Placem_Collection'!C132</f>
        <v>Wet_P1_T2</v>
      </c>
      <c r="H571" s="273" t="s">
        <v>3651</v>
      </c>
      <c r="I571" s="266" t="s">
        <v>1147</v>
      </c>
      <c r="J571" s="223" t="str">
        <f>'WetLitterbags placem_collection'!O132</f>
        <v>G708</v>
      </c>
      <c r="K571" s="225">
        <f>IFERROR(INDEX('Green_rooibos initial weight'!$C$5:$C$1749,MATCH(J571, 'Green_rooibos initial weight'!$A$5:$A$1749,0)),"")</f>
        <v>2.0030000000000001</v>
      </c>
      <c r="L571" s="225">
        <f>IFERROR(K571-(TBIcalc!$H$9+TBIcalc!$H$10),"")</f>
        <v>1.7532000000000001</v>
      </c>
      <c r="M571" s="391">
        <f>AVERAGE(Ashed_controlls!$K$2:$K$11)</f>
        <v>5.5147656768714146</v>
      </c>
      <c r="N571" s="225">
        <f t="shared" si="44"/>
        <v>1.6565151281530905</v>
      </c>
      <c r="O571" s="225">
        <f>IF(IFERROR(INDEX('Both teabags AfterWet'!$C$3:$C$841,MATCH(J571,'Both teabags AfterWet'!$A$3:$A$841,0)),"")="","",(IFERROR(INDEX('Both teabags AfterWet'!$C$3:$C$841,MATCH(J571,'Both teabags AfterWet'!$A$3:$A$841,0)),"")))</f>
        <v>0.56599999999999995</v>
      </c>
      <c r="P571" s="225">
        <f>IFERROR(IF(O571&gt;0,O571-(TBIcalc!$H$9),""),"")</f>
        <v>0.41539999999999994</v>
      </c>
      <c r="Q571" s="225">
        <f>IFERROR(INDEX('Ashed teabags wet'!$K$2:$K$821,MATCH(J571,'Ashed teabags wet'!$A$2:$A$821,0)),"")</f>
        <v>17.737917289487331</v>
      </c>
      <c r="R571" s="225">
        <f t="shared" si="47"/>
        <v>0.3417166915794696</v>
      </c>
      <c r="S571" s="226">
        <f>'WetLitterbags placem_collection'!E132</f>
        <v>42762</v>
      </c>
      <c r="T571" s="226">
        <f>IF('WetLitterbags placem_collection'!G132="","",'WetLitterbags placem_collection'!G132)</f>
        <v>42816</v>
      </c>
      <c r="U571" s="227">
        <f t="shared" si="43"/>
        <v>54</v>
      </c>
      <c r="V571" s="225">
        <f t="shared" si="45"/>
        <v>1.3378000000000001</v>
      </c>
      <c r="W571" s="225">
        <f t="shared" si="46"/>
        <v>1.3147984365736209</v>
      </c>
      <c r="X571">
        <f>IFERROR(INDEX(Rainfall_Wet!$O$2:$O$217,MATCH(B571, Rainfall_Wet!$A$2:$A$217,0)),"")</f>
        <v>206.85140822299999</v>
      </c>
      <c r="Y571" s="231">
        <v>31.214836424255054</v>
      </c>
      <c r="Z571" s="231">
        <v>11.377370285476141</v>
      </c>
      <c r="AA571" s="231">
        <v>57.407793290268799</v>
      </c>
      <c r="AB571" s="232" t="s">
        <v>2670</v>
      </c>
      <c r="AC571" s="231">
        <v>2.7337604731394798</v>
      </c>
      <c r="AD571">
        <f>IF('WetLitterbags placem_collection'!AB132="","",'WetLitterbags placem_collection'!AB132)</f>
        <v>2.1</v>
      </c>
      <c r="AE571">
        <f>IF('WetLitterbags placem_collection'!Z132="","",'WetLitterbags placem_collection'!Z132)</f>
        <v>3.5</v>
      </c>
      <c r="AF571" s="246" t="str">
        <f>IF('WetLitterbags placem_collection'!AA132="","",'WetLitterbags placem_collection'!AA132)</f>
        <v>O</v>
      </c>
      <c r="AG571">
        <f>IF('WetLitterbags placem_collection'!AC132="","",'WetLitterbags placem_collection'!AC132)</f>
        <v>0</v>
      </c>
      <c r="AH571" s="240">
        <f>AVERAGE('WetLitterbags placem_collection'!S132,'WetLitterbags placem_collection'!U132)</f>
        <v>16.3</v>
      </c>
      <c r="AI571">
        <f>AVERAGE('WetLitterbags placem_collection'!R132,'WetLitterbags placem_collection'!T132)</f>
        <v>28.5</v>
      </c>
      <c r="AJ571">
        <f>INDEX(Coordinates!$B$2:$B$197,MATCH(G571,Coordinates!$J$2:$J$197,0))</f>
        <v>-2.3503729889999998</v>
      </c>
      <c r="AK571">
        <f>INDEX(Coordinates!$C$2:$C$197,MATCH(G571,Coordinates!$J$2:$J$197,0))</f>
        <v>34.049626969999998</v>
      </c>
      <c r="AL571" t="str">
        <f>IF(ISNUMBER(SEARCH("C", 'WetLitterbags placem_collection'!X132)),"YES","NO")</f>
        <v>NO</v>
      </c>
      <c r="AM571" t="str">
        <f>IF(ISNUMBER(SEARCH("H", 'WetLitterbags placem_collection'!X132)),"YES","NO")</f>
        <v>NO</v>
      </c>
      <c r="AN571" t="str">
        <f>IF(ISNUMBER(SEARCH("R", 'WetLitterbags placem_collection'!X132)),"YES","NO")</f>
        <v>NO</v>
      </c>
    </row>
    <row r="572" spans="1:40" ht="15" customHeight="1">
      <c r="A572" s="258" t="s">
        <v>2460</v>
      </c>
      <c r="B572" s="263">
        <f>'Dry_Litterbag Placem_Collection'!A133</f>
        <v>131</v>
      </c>
      <c r="C572" s="263" t="str">
        <f>'Dry_Litterbag Placem_Collection'!B133</f>
        <v xml:space="preserve">Mwantimba
</v>
      </c>
      <c r="D572" s="263" t="s">
        <v>2460</v>
      </c>
      <c r="E572" s="263" t="s">
        <v>20</v>
      </c>
      <c r="F572" s="263">
        <v>1</v>
      </c>
      <c r="G572" s="264" t="str">
        <f>'Dry_Litterbag Placem_Collection'!C133</f>
        <v>Wet_P1_T3</v>
      </c>
      <c r="H572" s="273" t="s">
        <v>3651</v>
      </c>
      <c r="I572" s="266" t="s">
        <v>1147</v>
      </c>
      <c r="J572" s="223" t="str">
        <f>'WetLitterbags placem_collection'!O133</f>
        <v>G768</v>
      </c>
      <c r="K572" s="225">
        <f>IFERROR(INDEX('Green_rooibos initial weight'!$C$5:$C$1749,MATCH(J572, 'Green_rooibos initial weight'!$A$5:$A$1749,0)),"")</f>
        <v>2.0089999999999999</v>
      </c>
      <c r="L572" s="225">
        <f>IFERROR(K572-(TBIcalc!$H$9+TBIcalc!$H$10),"")</f>
        <v>1.7591999999999999</v>
      </c>
      <c r="M572" s="391">
        <f>AVERAGE(Ashed_controlls!$K$2:$K$11)</f>
        <v>5.5147656768714146</v>
      </c>
      <c r="N572" s="225">
        <f t="shared" si="44"/>
        <v>1.662184242212478</v>
      </c>
      <c r="O572" s="225">
        <f>IF(IFERROR(INDEX('Both teabags AfterWet'!$C$3:$C$841,MATCH(J572,'Both teabags AfterWet'!$A$3:$A$841,0)),"")="","",(IFERROR(INDEX('Both teabags AfterWet'!$C$3:$C$841,MATCH(J572,'Both teabags AfterWet'!$A$3:$A$841,0)),"")))</f>
        <v>0.62819999999999998</v>
      </c>
      <c r="P572" s="225">
        <f>IFERROR(IF(O572&gt;0,O572-(TBIcalc!$H$9),""),"")</f>
        <v>0.47759999999999997</v>
      </c>
      <c r="Q572" s="225">
        <f>IFERROR(INDEX('Ashed teabags wet'!$K$2:$K$821,MATCH(J572,'Ashed teabags wet'!$A$2:$A$821,0)),"")</f>
        <v>13.671875000000405</v>
      </c>
      <c r="R572" s="225">
        <f t="shared" si="47"/>
        <v>0.41230312499999805</v>
      </c>
      <c r="S572" s="226">
        <f>'WetLitterbags placem_collection'!E133</f>
        <v>42762</v>
      </c>
      <c r="T572" s="226">
        <f>IF('WetLitterbags placem_collection'!G133="","",'WetLitterbags placem_collection'!G133)</f>
        <v>42816</v>
      </c>
      <c r="U572" s="227">
        <f t="shared" si="43"/>
        <v>54</v>
      </c>
      <c r="V572" s="225">
        <f t="shared" si="45"/>
        <v>1.2815999999999999</v>
      </c>
      <c r="W572" s="225">
        <f t="shared" si="46"/>
        <v>1.24988111721248</v>
      </c>
      <c r="X572">
        <f>IFERROR(INDEX(Rainfall_Wet!$O$2:$O$217,MATCH(B572, Rainfall_Wet!$A$2:$A$217,0)),"")</f>
        <v>206.85140822299999</v>
      </c>
      <c r="Y572" s="231">
        <v>31.214836424255054</v>
      </c>
      <c r="Z572" s="231">
        <v>11.377370285476141</v>
      </c>
      <c r="AA572" s="231">
        <v>57.407793290268799</v>
      </c>
      <c r="AB572" s="232" t="s">
        <v>2670</v>
      </c>
      <c r="AC572" s="231">
        <v>3.7337604731394798</v>
      </c>
      <c r="AD572">
        <f>IF('WetLitterbags placem_collection'!AB133="","",'WetLitterbags placem_collection'!AB133)</f>
        <v>4.5</v>
      </c>
      <c r="AE572">
        <f>IF('WetLitterbags placem_collection'!Z133="","",'WetLitterbags placem_collection'!Z133)</f>
        <v>7.5</v>
      </c>
      <c r="AF572" s="246" t="str">
        <f>IF('WetLitterbags placem_collection'!AA133="","",'WetLitterbags placem_collection'!AA133)</f>
        <v>O</v>
      </c>
      <c r="AG572">
        <f>IF('WetLitterbags placem_collection'!AC133="","",'WetLitterbags placem_collection'!AC133)</f>
        <v>0</v>
      </c>
      <c r="AH572" s="240">
        <f>AVERAGE('WetLitterbags placem_collection'!S133,'WetLitterbags placem_collection'!U133)</f>
        <v>9.3000000000000007</v>
      </c>
      <c r="AI572">
        <f>AVERAGE('WetLitterbags placem_collection'!R133,'WetLitterbags placem_collection'!T133)</f>
        <v>28.950000000000003</v>
      </c>
      <c r="AJ572">
        <f>INDEX(Coordinates!$B$2:$B$197,MATCH(G572,Coordinates!$J$2:$J$197,0))</f>
        <v>-2.3503259660000002</v>
      </c>
      <c r="AK572">
        <f>INDEX(Coordinates!$C$2:$C$197,MATCH(G572,Coordinates!$J$2:$J$197,0))</f>
        <v>34.049616999999998</v>
      </c>
      <c r="AL572" t="str">
        <f>IF(ISNUMBER(SEARCH("C", 'WetLitterbags placem_collection'!X133)),"YES","NO")</f>
        <v>NO</v>
      </c>
      <c r="AM572" t="str">
        <f>IF(ISNUMBER(SEARCH("H", 'WetLitterbags placem_collection'!X133)),"YES","NO")</f>
        <v>NO</v>
      </c>
      <c r="AN572" t="str">
        <f>IF(ISNUMBER(SEARCH("R", 'WetLitterbags placem_collection'!X133)),"YES","NO")</f>
        <v>NO</v>
      </c>
    </row>
    <row r="573" spans="1:40" ht="15" customHeight="1">
      <c r="A573" s="258" t="s">
        <v>2460</v>
      </c>
      <c r="B573" s="263">
        <f>'Dry_Litterbag Placem_Collection'!A134</f>
        <v>132</v>
      </c>
      <c r="C573" s="263" t="str">
        <f>'Dry_Litterbag Placem_Collection'!B134</f>
        <v xml:space="preserve">Mwantimba
</v>
      </c>
      <c r="D573" s="263" t="s">
        <v>2460</v>
      </c>
      <c r="E573" s="263" t="s">
        <v>20</v>
      </c>
      <c r="F573" s="263">
        <v>1</v>
      </c>
      <c r="G573" s="264" t="str">
        <f>'Dry_Litterbag Placem_Collection'!C134</f>
        <v>Wet_P1_T4</v>
      </c>
      <c r="H573" s="273" t="s">
        <v>3651</v>
      </c>
      <c r="I573" s="266" t="s">
        <v>1147</v>
      </c>
      <c r="J573" s="223" t="str">
        <f>'WetLitterbags placem_collection'!O134</f>
        <v>G779</v>
      </c>
      <c r="K573" s="225">
        <f>IFERROR(INDEX('Green_rooibos initial weight'!$C$5:$C$1749,MATCH(J573, 'Green_rooibos initial weight'!$A$5:$A$1749,0)),"")</f>
        <v>2.0110000000000001</v>
      </c>
      <c r="L573" s="225">
        <f>IFERROR(K573-(TBIcalc!$H$9+TBIcalc!$H$10),"")</f>
        <v>1.7612000000000001</v>
      </c>
      <c r="M573" s="391">
        <f>AVERAGE(Ashed_controlls!$K$2:$K$11)</f>
        <v>5.5147656768714146</v>
      </c>
      <c r="N573" s="225">
        <f t="shared" si="44"/>
        <v>1.6640739468989407</v>
      </c>
      <c r="O573" s="225">
        <f>IF(IFERROR(INDEX('Both teabags AfterWet'!$C$3:$C$841,MATCH(J573,'Both teabags AfterWet'!$A$3:$A$841,0)),"")="","",(IFERROR(INDEX('Both teabags AfterWet'!$C$3:$C$841,MATCH(J573,'Both teabags AfterWet'!$A$3:$A$841,0)),"")))</f>
        <v>0.63490000000000002</v>
      </c>
      <c r="P573" s="225">
        <f>IFERROR(IF(O573&gt;0,O573-(TBIcalc!$H$9),""),"")</f>
        <v>0.48430000000000001</v>
      </c>
      <c r="Q573" s="225">
        <f>IFERROR(INDEX('Ashed teabags wet'!$K$2:$K$821,MATCH(J573,'Ashed teabags wet'!$A$2:$A$821,0)),"")</f>
        <v>13.853028798411678</v>
      </c>
      <c r="R573" s="225">
        <f t="shared" si="47"/>
        <v>0.41720978152929222</v>
      </c>
      <c r="S573" s="226">
        <f>'WetLitterbags placem_collection'!E134</f>
        <v>42762</v>
      </c>
      <c r="T573" s="226">
        <f>IF('WetLitterbags placem_collection'!G134="","",'WetLitterbags placem_collection'!G134)</f>
        <v>42816</v>
      </c>
      <c r="U573" s="227">
        <f t="shared" si="43"/>
        <v>54</v>
      </c>
      <c r="V573" s="225">
        <f t="shared" si="45"/>
        <v>1.2769000000000001</v>
      </c>
      <c r="W573" s="225">
        <f t="shared" si="46"/>
        <v>1.2468641653696486</v>
      </c>
      <c r="X573">
        <f>IFERROR(INDEX(Rainfall_Wet!$O$2:$O$217,MATCH(B573, Rainfall_Wet!$A$2:$A$217,0)),"")</f>
        <v>206.85140822299999</v>
      </c>
      <c r="Y573" s="231">
        <v>31.214836424255054</v>
      </c>
      <c r="Z573" s="231">
        <v>11.377370285476141</v>
      </c>
      <c r="AA573" s="231">
        <v>57.407793290268799</v>
      </c>
      <c r="AB573" s="232" t="s">
        <v>2670</v>
      </c>
      <c r="AC573" s="231">
        <v>4.7337604731394798</v>
      </c>
      <c r="AD573">
        <f>IF('WetLitterbags placem_collection'!AB134="","",'WetLitterbags placem_collection'!AB134)</f>
        <v>0.7</v>
      </c>
      <c r="AE573">
        <f>IF('WetLitterbags placem_collection'!Z134="","",'WetLitterbags placem_collection'!Z134)</f>
        <v>9.8000000000000007</v>
      </c>
      <c r="AF573" s="246" t="str">
        <f>IF('WetLitterbags placem_collection'!AA134="","",'WetLitterbags placem_collection'!AA134)</f>
        <v>G</v>
      </c>
      <c r="AG573">
        <f>IF('WetLitterbags placem_collection'!AC134="","",'WetLitterbags placem_collection'!AC134)</f>
        <v>1</v>
      </c>
      <c r="AH573" s="240">
        <f>AVERAGE('WetLitterbags placem_collection'!S134,'WetLitterbags placem_collection'!U134)</f>
        <v>18.55</v>
      </c>
      <c r="AI573">
        <f>AVERAGE('WetLitterbags placem_collection'!R134,'WetLitterbags placem_collection'!T134)</f>
        <v>28.95</v>
      </c>
      <c r="AJ573">
        <f>INDEX(Coordinates!$B$2:$B$197,MATCH(G573,Coordinates!$J$2:$J$197,0))</f>
        <v>-2.3504800260000001</v>
      </c>
      <c r="AK573">
        <f>INDEX(Coordinates!$C$2:$C$197,MATCH(G573,Coordinates!$J$2:$J$197,0))</f>
        <v>34.049551030000003</v>
      </c>
      <c r="AL573" t="str">
        <f>IF(ISNUMBER(SEARCH("C", 'WetLitterbags placem_collection'!X134)),"YES","NO")</f>
        <v>NO</v>
      </c>
      <c r="AM573" t="str">
        <f>IF(ISNUMBER(SEARCH("H", 'WetLitterbags placem_collection'!X134)),"YES","NO")</f>
        <v>NO</v>
      </c>
      <c r="AN573" t="str">
        <f>IF(ISNUMBER(SEARCH("R", 'WetLitterbags placem_collection'!X134)),"YES","NO")</f>
        <v>NO</v>
      </c>
    </row>
    <row r="574" spans="1:40" ht="15" customHeight="1">
      <c r="A574" s="258" t="s">
        <v>2460</v>
      </c>
      <c r="B574" s="263">
        <f>'Dry_Litterbag Placem_Collection'!A135</f>
        <v>133</v>
      </c>
      <c r="C574" s="263" t="str">
        <f>'Dry_Litterbag Placem_Collection'!B135</f>
        <v xml:space="preserve">Mwantimba
</v>
      </c>
      <c r="D574" s="263" t="s">
        <v>2460</v>
      </c>
      <c r="E574" s="263" t="s">
        <v>20</v>
      </c>
      <c r="F574" s="263">
        <v>1</v>
      </c>
      <c r="G574" s="264" t="str">
        <f>'Dry_Litterbag Placem_Collection'!C135</f>
        <v>Wet_P1_T5</v>
      </c>
      <c r="H574" s="273" t="s">
        <v>3651</v>
      </c>
      <c r="I574" s="266" t="s">
        <v>1147</v>
      </c>
      <c r="J574" s="223" t="str">
        <f>'WetLitterbags placem_collection'!O135</f>
        <v>G799</v>
      </c>
      <c r="K574" s="225">
        <f>IFERROR(INDEX('Green_rooibos initial weight'!$C$5:$C$1749,MATCH(J574, 'Green_rooibos initial weight'!$A$5:$A$1749,0)),"")</f>
        <v>2.093</v>
      </c>
      <c r="L574" s="225">
        <f>IFERROR(K574-(TBIcalc!$H$9+TBIcalc!$H$10),"")</f>
        <v>1.8431999999999999</v>
      </c>
      <c r="M574" s="391">
        <f>AVERAGE(Ashed_controlls!$K$2:$K$11)</f>
        <v>5.5147656768714146</v>
      </c>
      <c r="N574" s="225">
        <f t="shared" si="44"/>
        <v>1.741551839043906</v>
      </c>
      <c r="O574" s="225">
        <f>IF(IFERROR(INDEX('Both teabags AfterWet'!$C$3:$C$841,MATCH(J574,'Both teabags AfterWet'!$A$3:$A$841,0)),"")="","",(IFERROR(INDEX('Both teabags AfterWet'!$C$3:$C$841,MATCH(J574,'Both teabags AfterWet'!$A$3:$A$841,0)),"")))</f>
        <v>0.63380000000000003</v>
      </c>
      <c r="P574" s="225">
        <f>IFERROR(IF(O574&gt;0,O574-(TBIcalc!$H$9),""),"")</f>
        <v>0.48320000000000002</v>
      </c>
      <c r="Q574" s="225">
        <f>IFERROR(INDEX('Ashed teabags wet'!$K$2:$K$821,MATCH(J574,'Ashed teabags wet'!$A$2:$A$821,0)),"")</f>
        <v>14.024691358025066</v>
      </c>
      <c r="R574" s="225">
        <f t="shared" si="47"/>
        <v>0.41543269135802291</v>
      </c>
      <c r="S574" s="226">
        <f>'WetLitterbags placem_collection'!E135</f>
        <v>42762</v>
      </c>
      <c r="T574" s="226">
        <f>IF('WetLitterbags placem_collection'!G135="","",'WetLitterbags placem_collection'!G135)</f>
        <v>42816</v>
      </c>
      <c r="U574" s="227">
        <f t="shared" si="43"/>
        <v>54</v>
      </c>
      <c r="V574" s="225">
        <f t="shared" si="45"/>
        <v>1.3599999999999999</v>
      </c>
      <c r="W574" s="225">
        <f t="shared" si="46"/>
        <v>1.3261191476858831</v>
      </c>
      <c r="X574">
        <f>IFERROR(INDEX(Rainfall_Wet!$O$2:$O$217,MATCH(B574, Rainfall_Wet!$A$2:$A$217,0)),"")</f>
        <v>206.85140822299999</v>
      </c>
      <c r="Y574" s="231">
        <v>31.214836424255054</v>
      </c>
      <c r="Z574" s="231">
        <v>11.377370285476141</v>
      </c>
      <c r="AA574" s="231">
        <v>57.407793290268799</v>
      </c>
      <c r="AB574" s="232" t="s">
        <v>2670</v>
      </c>
      <c r="AC574" s="231">
        <v>5.7337604731394798</v>
      </c>
      <c r="AD574">
        <f>IF('WetLitterbags placem_collection'!AB135="","",'WetLitterbags placem_collection'!AB135)</f>
        <v>2.2000000000000002</v>
      </c>
      <c r="AE574">
        <f>IF('WetLitterbags placem_collection'!Z135="","",'WetLitterbags placem_collection'!Z135)</f>
        <v>10</v>
      </c>
      <c r="AF574" s="246" t="str">
        <f>IF('WetLitterbags placem_collection'!AA135="","",'WetLitterbags placem_collection'!AA135)</f>
        <v>O</v>
      </c>
      <c r="AG574">
        <f>IF('WetLitterbags placem_collection'!AC135="","",'WetLitterbags placem_collection'!AC135)</f>
        <v>1</v>
      </c>
      <c r="AH574" s="240">
        <f>AVERAGE('WetLitterbags placem_collection'!S135,'WetLitterbags placem_collection'!U135)</f>
        <v>13.399999999999999</v>
      </c>
      <c r="AI574">
        <f>AVERAGE('WetLitterbags placem_collection'!R135,'WetLitterbags placem_collection'!T135)</f>
        <v>31.349999999999998</v>
      </c>
      <c r="AJ574">
        <f>INDEX(Coordinates!$B$2:$B$197,MATCH(G574,Coordinates!$J$2:$J$197,0))</f>
        <v>-2.350474996</v>
      </c>
      <c r="AK574">
        <f>INDEX(Coordinates!$C$2:$C$197,MATCH(G574,Coordinates!$J$2:$J$197,0))</f>
        <v>34.049801979999998</v>
      </c>
      <c r="AL574" t="str">
        <f>IF(ISNUMBER(SEARCH("C", 'WetLitterbags placem_collection'!X135)),"YES","NO")</f>
        <v>NO</v>
      </c>
      <c r="AM574" t="str">
        <f>IF(ISNUMBER(SEARCH("H", 'WetLitterbags placem_collection'!X135)),"YES","NO")</f>
        <v>NO</v>
      </c>
      <c r="AN574" t="str">
        <f>IF(ISNUMBER(SEARCH("R", 'WetLitterbags placem_collection'!X135)),"YES","NO")</f>
        <v>NO</v>
      </c>
    </row>
    <row r="575" spans="1:40" ht="15" customHeight="1">
      <c r="A575" s="258" t="s">
        <v>2460</v>
      </c>
      <c r="B575" s="263">
        <f>'Dry_Litterbag Placem_Collection'!A136</f>
        <v>134</v>
      </c>
      <c r="C575" s="263" t="str">
        <f>'Dry_Litterbag Placem_Collection'!B136</f>
        <v xml:space="preserve">Mwantimba
</v>
      </c>
      <c r="D575" s="263" t="s">
        <v>2460</v>
      </c>
      <c r="E575" s="263" t="s">
        <v>20</v>
      </c>
      <c r="F575" s="263">
        <v>1</v>
      </c>
      <c r="G575" s="264" t="str">
        <f>'Dry_Litterbag Placem_Collection'!C136</f>
        <v>Wet_P1_T6</v>
      </c>
      <c r="H575" s="273" t="s">
        <v>3651</v>
      </c>
      <c r="I575" s="266" t="s">
        <v>1147</v>
      </c>
      <c r="J575" s="223" t="str">
        <f>'WetLitterbags placem_collection'!O136</f>
        <v>G820</v>
      </c>
      <c r="K575" s="225">
        <f>IFERROR(INDEX('Green_rooibos initial weight'!$C$5:$C$1749,MATCH(J575, 'Green_rooibos initial weight'!$A$5:$A$1749,0)),"")</f>
        <v>1.927</v>
      </c>
      <c r="L575" s="225">
        <f>IFERROR(K575-(TBIcalc!$H$9+TBIcalc!$H$10),"")</f>
        <v>1.6772</v>
      </c>
      <c r="M575" s="391">
        <f>AVERAGE(Ashed_controlls!$K$2:$K$11)</f>
        <v>5.5147656768714146</v>
      </c>
      <c r="N575" s="225">
        <f t="shared" si="44"/>
        <v>1.5847063500675127</v>
      </c>
      <c r="O575" s="225">
        <f>IF(IFERROR(INDEX('Both teabags AfterWet'!$C$3:$C$841,MATCH(J575,'Both teabags AfterWet'!$A$3:$A$841,0)),"")="","",(IFERROR(INDEX('Both teabags AfterWet'!$C$3:$C$841,MATCH(J575,'Both teabags AfterWet'!$A$3:$A$841,0)),"")))</f>
        <v>0.53400000000000003</v>
      </c>
      <c r="P575" s="225">
        <f>IFERROR(IF(O575&gt;0,O575-(TBIcalc!$H$9),""),"")</f>
        <v>0.38340000000000002</v>
      </c>
      <c r="Q575" s="225">
        <f>IFERROR(INDEX('Ashed teabags wet'!$K$2:$K$821,MATCH(J575,'Ashed teabags wet'!$A$2:$A$821,0)),"")</f>
        <v>12.606303151575968</v>
      </c>
      <c r="R575" s="225">
        <f t="shared" si="47"/>
        <v>0.33506743371685777</v>
      </c>
      <c r="S575" s="226">
        <f>'WetLitterbags placem_collection'!E136</f>
        <v>42762</v>
      </c>
      <c r="T575" s="226">
        <f>IF('WetLitterbags placem_collection'!G136="","",'WetLitterbags placem_collection'!G136)</f>
        <v>42816</v>
      </c>
      <c r="U575" s="227">
        <f t="shared" si="43"/>
        <v>54</v>
      </c>
      <c r="V575" s="225">
        <f t="shared" si="45"/>
        <v>1.2938000000000001</v>
      </c>
      <c r="W575" s="225">
        <f t="shared" si="46"/>
        <v>1.2496389163506549</v>
      </c>
      <c r="X575">
        <f>IFERROR(INDEX(Rainfall_Wet!$O$2:$O$217,MATCH(B575, Rainfall_Wet!$A$2:$A$217,0)),"")</f>
        <v>206.85140822299999</v>
      </c>
      <c r="Y575" s="231">
        <v>31.214836424255054</v>
      </c>
      <c r="Z575" s="231">
        <v>11.377370285476141</v>
      </c>
      <c r="AA575" s="231">
        <v>57.407793290268799</v>
      </c>
      <c r="AB575" s="232" t="s">
        <v>2670</v>
      </c>
      <c r="AC575" s="231">
        <v>6.7337604731394798</v>
      </c>
      <c r="AD575">
        <f>IF('WetLitterbags placem_collection'!AB136="","",'WetLitterbags placem_collection'!AB136)</f>
        <v>1.1000000000000001</v>
      </c>
      <c r="AE575">
        <f>IF('WetLitterbags placem_collection'!Z136="","",'WetLitterbags placem_collection'!Z136)</f>
        <v>15.4</v>
      </c>
      <c r="AF575" s="246" t="str">
        <f>IF('WetLitterbags placem_collection'!AA136="","",'WetLitterbags placem_collection'!AA136)</f>
        <v>O</v>
      </c>
      <c r="AG575">
        <f>IF('WetLitterbags placem_collection'!AC136="","",'WetLitterbags placem_collection'!AC136)</f>
        <v>1</v>
      </c>
      <c r="AH575" s="240">
        <f>AVERAGE('WetLitterbags placem_collection'!S136,'WetLitterbags placem_collection'!U136)</f>
        <v>12.7</v>
      </c>
      <c r="AI575">
        <f>AVERAGE('WetLitterbags placem_collection'!R136,'WetLitterbags placem_collection'!T136)</f>
        <v>30.15</v>
      </c>
      <c r="AJ575">
        <f>INDEX(Coordinates!$B$2:$B$197,MATCH(G575,Coordinates!$J$2:$J$197,0))</f>
        <v>-2.3503559730000001</v>
      </c>
      <c r="AK575">
        <f>INDEX(Coordinates!$C$2:$C$197,MATCH(G575,Coordinates!$J$2:$J$197,0))</f>
        <v>34.049800980000001</v>
      </c>
      <c r="AL575" t="str">
        <f>IF(ISNUMBER(SEARCH("C", 'WetLitterbags placem_collection'!X136)),"YES","NO")</f>
        <v>NO</v>
      </c>
      <c r="AM575" t="str">
        <f>IF(ISNUMBER(SEARCH("H", 'WetLitterbags placem_collection'!X136)),"YES","NO")</f>
        <v>NO</v>
      </c>
      <c r="AN575" t="str">
        <f>IF(ISNUMBER(SEARCH("R", 'WetLitterbags placem_collection'!X136)),"YES","NO")</f>
        <v>NO</v>
      </c>
    </row>
    <row r="576" spans="1:40" ht="15" customHeight="1">
      <c r="A576" s="258" t="s">
        <v>2460</v>
      </c>
      <c r="B576" s="263">
        <f>'Dry_Litterbag Placem_Collection'!A137</f>
        <v>135</v>
      </c>
      <c r="C576" s="263" t="str">
        <f>'Dry_Litterbag Placem_Collection'!B137</f>
        <v xml:space="preserve">Mwantimba
</v>
      </c>
      <c r="D576" s="263" t="s">
        <v>2460</v>
      </c>
      <c r="E576" s="263" t="s">
        <v>20</v>
      </c>
      <c r="F576" s="263">
        <v>1</v>
      </c>
      <c r="G576" s="264" t="str">
        <f>'Dry_Litterbag Placem_Collection'!C137</f>
        <v>Wet_P1_T7</v>
      </c>
      <c r="H576" s="273" t="s">
        <v>3651</v>
      </c>
      <c r="I576" s="266" t="s">
        <v>1147</v>
      </c>
      <c r="J576" s="223" t="str">
        <f>'WetLitterbags placem_collection'!O137</f>
        <v>G842</v>
      </c>
      <c r="K576" s="225">
        <f>IFERROR(INDEX('Green_rooibos initial weight'!$C$5:$C$1749,MATCH(J576, 'Green_rooibos initial weight'!$A$5:$A$1749,0)),"")</f>
        <v>1.9670000000000001</v>
      </c>
      <c r="L576" s="225">
        <f>IFERROR(K576-(TBIcalc!$H$9+TBIcalc!$H$10),"")</f>
        <v>1.7172000000000001</v>
      </c>
      <c r="M576" s="391">
        <f>AVERAGE(Ashed_controlls!$K$2:$K$11)</f>
        <v>5.5147656768714146</v>
      </c>
      <c r="N576" s="225">
        <f t="shared" si="44"/>
        <v>1.6225004437967641</v>
      </c>
      <c r="O576" s="225">
        <f>IF(IFERROR(INDEX('Both teabags AfterWet'!$C$3:$C$841,MATCH(J576,'Both teabags AfterWet'!$A$3:$A$841,0)),"")="","",(IFERROR(INDEX('Both teabags AfterWet'!$C$3:$C$841,MATCH(J576,'Both teabags AfterWet'!$A$3:$A$841,0)),"")))</f>
        <v>0.56399999999999995</v>
      </c>
      <c r="P576" s="225">
        <f>IFERROR(IF(O576&gt;0,O576-(TBIcalc!$H$9),""),"")</f>
        <v>0.41339999999999993</v>
      </c>
      <c r="Q576" s="225">
        <f>IFERROR(INDEX('Ashed teabags wet'!$K$2:$K$821,MATCH(J576,'Ashed teabags wet'!$A$2:$A$821,0)),"")</f>
        <v>14.385614385613385</v>
      </c>
      <c r="R576" s="225">
        <f t="shared" si="47"/>
        <v>0.3539298701298742</v>
      </c>
      <c r="S576" s="226">
        <f>'WetLitterbags placem_collection'!E137</f>
        <v>42762</v>
      </c>
      <c r="T576" s="226">
        <f>IF('WetLitterbags placem_collection'!G137="","",'WetLitterbags placem_collection'!G137)</f>
        <v>42816</v>
      </c>
      <c r="U576" s="227">
        <f t="shared" si="43"/>
        <v>54</v>
      </c>
      <c r="V576" s="225">
        <f t="shared" si="45"/>
        <v>1.3038000000000001</v>
      </c>
      <c r="W576" s="225">
        <f t="shared" si="46"/>
        <v>1.26857057366689</v>
      </c>
      <c r="X576">
        <f>IFERROR(INDEX(Rainfall_Wet!$O$2:$O$217,MATCH(B576, Rainfall_Wet!$A$2:$A$217,0)),"")</f>
        <v>206.85140822299999</v>
      </c>
      <c r="Y576" s="231">
        <v>31.214836424255054</v>
      </c>
      <c r="Z576" s="231">
        <v>11.377370285476141</v>
      </c>
      <c r="AA576" s="231">
        <v>57.407793290268799</v>
      </c>
      <c r="AB576" s="232" t="s">
        <v>2670</v>
      </c>
      <c r="AC576" s="231">
        <v>7.7337604731394798</v>
      </c>
      <c r="AD576">
        <f>IF('WetLitterbags placem_collection'!AB137="","",'WetLitterbags placem_collection'!AB137)</f>
        <v>2.1</v>
      </c>
      <c r="AE576">
        <f>IF('WetLitterbags placem_collection'!Z137="","",'WetLitterbags placem_collection'!Z137)</f>
        <v>5.6</v>
      </c>
      <c r="AF576" s="246" t="str">
        <f>IF('WetLitterbags placem_collection'!AA137="","",'WetLitterbags placem_collection'!AA137)</f>
        <v>O</v>
      </c>
      <c r="AG576">
        <f>IF('WetLitterbags placem_collection'!AC137="","",'WetLitterbags placem_collection'!AC137)</f>
        <v>1</v>
      </c>
      <c r="AH576" s="240">
        <f>AVERAGE('WetLitterbags placem_collection'!S137,'WetLitterbags placem_collection'!U137)</f>
        <v>14.5</v>
      </c>
      <c r="AI576">
        <f>AVERAGE('WetLitterbags placem_collection'!R137,'WetLitterbags placem_collection'!T137)</f>
        <v>29.65</v>
      </c>
      <c r="AJ576">
        <f>INDEX(Coordinates!$B$2:$B$197,MATCH(G576,Coordinates!$J$2:$J$197,0))</f>
        <v>-2.3503589909999998</v>
      </c>
      <c r="AK576">
        <f>INDEX(Coordinates!$C$2:$C$197,MATCH(G576,Coordinates!$J$2:$J$197,0))</f>
        <v>34.049719000000003</v>
      </c>
      <c r="AL576" t="str">
        <f>IF(ISNUMBER(SEARCH("C", 'WetLitterbags placem_collection'!X137)),"YES","NO")</f>
        <v>NO</v>
      </c>
      <c r="AM576" t="str">
        <f>IF(ISNUMBER(SEARCH("H", 'WetLitterbags placem_collection'!X137)),"YES","NO")</f>
        <v>NO</v>
      </c>
      <c r="AN576" t="str">
        <f>IF(ISNUMBER(SEARCH("R", 'WetLitterbags placem_collection'!X137)),"YES","NO")</f>
        <v>NO</v>
      </c>
    </row>
    <row r="577" spans="1:40" ht="15" customHeight="1">
      <c r="A577" s="258" t="s">
        <v>2460</v>
      </c>
      <c r="B577" s="263">
        <f>'Dry_Litterbag Placem_Collection'!A138</f>
        <v>136</v>
      </c>
      <c r="C577" s="263" t="str">
        <f>'Dry_Litterbag Placem_Collection'!B138</f>
        <v xml:space="preserve">Mwantimba
</v>
      </c>
      <c r="D577" s="263" t="s">
        <v>2460</v>
      </c>
      <c r="E577" s="263" t="s">
        <v>20</v>
      </c>
      <c r="F577" s="263">
        <v>1</v>
      </c>
      <c r="G577" s="264" t="str">
        <f>'Dry_Litterbag Placem_Collection'!C138</f>
        <v>Wet_P1_T8</v>
      </c>
      <c r="H577" s="273" t="s">
        <v>3651</v>
      </c>
      <c r="I577" s="266" t="s">
        <v>1147</v>
      </c>
      <c r="J577" s="223" t="str">
        <f>'WetLitterbags placem_collection'!O138</f>
        <v>G747</v>
      </c>
      <c r="K577" s="225">
        <f>IFERROR(INDEX('Green_rooibos initial weight'!$C$5:$C$1749,MATCH(J577, 'Green_rooibos initial weight'!$A$5:$A$1749,0)),"")</f>
        <v>2.044</v>
      </c>
      <c r="L577" s="225">
        <f>IFERROR(K577-(TBIcalc!$H$9+TBIcalc!$H$10),"")</f>
        <v>1.7942</v>
      </c>
      <c r="M577" s="391">
        <f>AVERAGE(Ashed_controlls!$K$2:$K$11)</f>
        <v>5.5147656768714146</v>
      </c>
      <c r="N577" s="225">
        <f t="shared" si="44"/>
        <v>1.6952540742255731</v>
      </c>
      <c r="O577" s="225">
        <f>IF(IFERROR(INDEX('Both teabags AfterWet'!$C$3:$C$841,MATCH(J577,'Both teabags AfterWet'!$A$3:$A$841,0)),"")="","",(IFERROR(INDEX('Both teabags AfterWet'!$C$3:$C$841,MATCH(J577,'Both teabags AfterWet'!$A$3:$A$841,0)),"")))</f>
        <v>0.59630000000000005</v>
      </c>
      <c r="P577" s="225">
        <f>IFERROR(IF(O577&gt;0,O577-(TBIcalc!$H$9),""),"")</f>
        <v>0.44570000000000004</v>
      </c>
      <c r="Q577" s="225">
        <f>IFERROR(INDEX('Ashed teabags wet'!$K$2:$K$821,MATCH(J577,'Ashed teabags wet'!$A$2:$A$821,0)),"")</f>
        <v>12.676056338028079</v>
      </c>
      <c r="R577" s="225">
        <f t="shared" si="47"/>
        <v>0.3892028169014089</v>
      </c>
      <c r="S577" s="226">
        <f>'WetLitterbags placem_collection'!E138</f>
        <v>42762</v>
      </c>
      <c r="T577" s="226">
        <f>IF('WetLitterbags placem_collection'!G138="","",'WetLitterbags placem_collection'!G138)</f>
        <v>42816</v>
      </c>
      <c r="U577" s="227">
        <f t="shared" si="43"/>
        <v>54</v>
      </c>
      <c r="V577" s="225">
        <f t="shared" si="45"/>
        <v>1.3485</v>
      </c>
      <c r="W577" s="225">
        <f t="shared" si="46"/>
        <v>1.3060512573241643</v>
      </c>
      <c r="X577">
        <f>IFERROR(INDEX(Rainfall_Wet!$O$2:$O$217,MATCH(B577, Rainfall_Wet!$A$2:$A$217,0)),"")</f>
        <v>206.85140822299999</v>
      </c>
      <c r="Y577" s="231">
        <v>31.214836424255054</v>
      </c>
      <c r="Z577" s="231">
        <v>11.377370285476141</v>
      </c>
      <c r="AA577" s="231">
        <v>57.407793290268799</v>
      </c>
      <c r="AB577" s="232" t="s">
        <v>2670</v>
      </c>
      <c r="AC577" s="231">
        <v>8.7337604731394798</v>
      </c>
      <c r="AD577">
        <f>IF('WetLitterbags placem_collection'!AB138="","",'WetLitterbags placem_collection'!AB138)</f>
        <v>2.2999999999999998</v>
      </c>
      <c r="AE577">
        <f>IF('WetLitterbags placem_collection'!Z138="","",'WetLitterbags placem_collection'!Z138)</f>
        <v>16.3</v>
      </c>
      <c r="AF577" s="246" t="str">
        <f>IF('WetLitterbags placem_collection'!AA138="","",'WetLitterbags placem_collection'!AA138)</f>
        <v>G</v>
      </c>
      <c r="AG577">
        <f>IF('WetLitterbags placem_collection'!AC138="","",'WetLitterbags placem_collection'!AC138)</f>
        <v>1</v>
      </c>
      <c r="AH577" s="240">
        <f>AVERAGE('WetLitterbags placem_collection'!S138,'WetLitterbags placem_collection'!U138)</f>
        <v>14.65</v>
      </c>
      <c r="AI577">
        <f>AVERAGE('WetLitterbags placem_collection'!R138,'WetLitterbags placem_collection'!T138)</f>
        <v>30.6</v>
      </c>
      <c r="AJ577">
        <f>INDEX(Coordinates!$B$2:$B$197,MATCH(G577,Coordinates!$J$2:$J$197,0))</f>
        <v>-2.3502159960000002</v>
      </c>
      <c r="AK577">
        <f>INDEX(Coordinates!$C$2:$C$197,MATCH(G577,Coordinates!$J$2:$J$197,0))</f>
        <v>34.049822020000001</v>
      </c>
      <c r="AL577" t="str">
        <f>IF(ISNUMBER(SEARCH("C", 'WetLitterbags placem_collection'!X138)),"YES","NO")</f>
        <v>NO</v>
      </c>
      <c r="AM577" t="str">
        <f>IF(ISNUMBER(SEARCH("H", 'WetLitterbags placem_collection'!X138)),"YES","NO")</f>
        <v>NO</v>
      </c>
      <c r="AN577" t="str">
        <f>IF(ISNUMBER(SEARCH("R", 'WetLitterbags placem_collection'!X138)),"YES","NO")</f>
        <v>YES</v>
      </c>
    </row>
    <row r="578" spans="1:40" ht="15" customHeight="1">
      <c r="A578" s="258" t="s">
        <v>2460</v>
      </c>
      <c r="B578" s="263">
        <f>'Dry_Litterbag Placem_Collection'!A139</f>
        <v>137</v>
      </c>
      <c r="C578" s="263" t="str">
        <f>'Dry_Litterbag Placem_Collection'!B139</f>
        <v xml:space="preserve">Mwantimba
</v>
      </c>
      <c r="D578" s="263" t="s">
        <v>2460</v>
      </c>
      <c r="E578" s="263" t="s">
        <v>20</v>
      </c>
      <c r="F578" s="263">
        <v>2</v>
      </c>
      <c r="G578" s="264" t="str">
        <f>'Dry_Litterbag Placem_Collection'!C139</f>
        <v>Wet_P2_T1</v>
      </c>
      <c r="H578" s="273" t="s">
        <v>3651</v>
      </c>
      <c r="I578" s="266" t="s">
        <v>1147</v>
      </c>
      <c r="J578" s="223" t="str">
        <f>'WetLitterbags placem_collection'!O139</f>
        <v>G857</v>
      </c>
      <c r="K578" s="225">
        <f>IFERROR(INDEX('Green_rooibos initial weight'!$C$5:$C$1749,MATCH(J578, 'Green_rooibos initial weight'!$A$5:$A$1749,0)),"")</f>
        <v>1.927</v>
      </c>
      <c r="L578" s="225">
        <f>IFERROR(K578-(TBIcalc!$H$9+TBIcalc!$H$10),"")</f>
        <v>1.6772</v>
      </c>
      <c r="M578" s="391">
        <f>AVERAGE(Ashed_controlls!$K$2:$K$11)</f>
        <v>5.5147656768714146</v>
      </c>
      <c r="N578" s="225">
        <f t="shared" si="44"/>
        <v>1.5847063500675127</v>
      </c>
      <c r="O578" s="225">
        <f>IF(IFERROR(INDEX('Both teabags AfterWet'!$C$3:$C$841,MATCH(J578,'Both teabags AfterWet'!$A$3:$A$841,0)),"")="","",(IFERROR(INDEX('Both teabags AfterWet'!$C$3:$C$841,MATCH(J578,'Both teabags AfterWet'!$A$3:$A$841,0)),"")))</f>
        <v>0.6</v>
      </c>
      <c r="P578" s="225">
        <f>IFERROR(IF(O578&gt;0,O578-(TBIcalc!$H$9),""),"")</f>
        <v>0.44939999999999997</v>
      </c>
      <c r="Q578" s="225">
        <f>IFERROR(INDEX('Ashed teabags wet'!$K$2:$K$821,MATCH(J578,'Ashed teabags wet'!$A$2:$A$821,0)),"")</f>
        <v>14.85963213939962</v>
      </c>
      <c r="R578" s="225">
        <f t="shared" si="47"/>
        <v>0.38262081316553809</v>
      </c>
      <c r="S578" s="226">
        <f>'WetLitterbags placem_collection'!E139</f>
        <v>42762</v>
      </c>
      <c r="T578" s="226">
        <f>IF('WetLitterbags placem_collection'!G139="","",'WetLitterbags placem_collection'!G139)</f>
        <v>42816</v>
      </c>
      <c r="U578" s="227">
        <f t="shared" ref="U578:U641" si="48">IFERROR(T578-S578,"")</f>
        <v>54</v>
      </c>
      <c r="V578" s="225">
        <f t="shared" si="45"/>
        <v>1.2278</v>
      </c>
      <c r="W578" s="225">
        <f t="shared" si="46"/>
        <v>1.2020855369019747</v>
      </c>
      <c r="X578">
        <f>IFERROR(INDEX(Rainfall_Wet!$O$2:$O$217,MATCH(B578, Rainfall_Wet!$A$2:$A$217,0)),"")</f>
        <v>206.85140822299999</v>
      </c>
      <c r="Y578" s="231">
        <v>33.96</v>
      </c>
      <c r="Z578" s="231">
        <v>8.9200000000000017</v>
      </c>
      <c r="AA578" s="231">
        <v>57.12</v>
      </c>
      <c r="AB578" s="232" t="s">
        <v>2670</v>
      </c>
      <c r="AC578" s="231">
        <v>2.072055199605717</v>
      </c>
      <c r="AD578">
        <f>IF('WetLitterbags placem_collection'!AB139="","",'WetLitterbags placem_collection'!AB139)</f>
        <v>1.2</v>
      </c>
      <c r="AE578">
        <f>IF('WetLitterbags placem_collection'!Z139="","",'WetLitterbags placem_collection'!Z139)</f>
        <v>32.4</v>
      </c>
      <c r="AF578" s="246" t="str">
        <f>IF('WetLitterbags placem_collection'!AA139="","",'WetLitterbags placem_collection'!AA139)</f>
        <v>G</v>
      </c>
      <c r="AG578">
        <f>IF('WetLitterbags placem_collection'!AC139="","",'WetLitterbags placem_collection'!AC139)</f>
        <v>1</v>
      </c>
      <c r="AH578" s="240">
        <f>AVERAGE('WetLitterbags placem_collection'!S139,'WetLitterbags placem_collection'!U139)</f>
        <v>15.5</v>
      </c>
      <c r="AI578">
        <f>AVERAGE('WetLitterbags placem_collection'!R139,'WetLitterbags placem_collection'!T139)</f>
        <v>28.5</v>
      </c>
      <c r="AJ578">
        <f>INDEX(Coordinates!$B$2:$B$197,MATCH(G578,Coordinates!$J$2:$J$197,0))</f>
        <v>-2.348596025</v>
      </c>
      <c r="AK578">
        <f>INDEX(Coordinates!$C$2:$C$197,MATCH(G578,Coordinates!$J$2:$J$197,0))</f>
        <v>34.050070959999999</v>
      </c>
      <c r="AL578" t="str">
        <f>IF(ISNUMBER(SEARCH("C", 'WetLitterbags placem_collection'!X139)),"YES","NO")</f>
        <v>NO</v>
      </c>
      <c r="AM578" t="str">
        <f>IF(ISNUMBER(SEARCH("H", 'WetLitterbags placem_collection'!X139)),"YES","NO")</f>
        <v>NO</v>
      </c>
      <c r="AN578" t="str">
        <f>IF(ISNUMBER(SEARCH("R", 'WetLitterbags placem_collection'!X139)),"YES","NO")</f>
        <v>NO</v>
      </c>
    </row>
    <row r="579" spans="1:40" ht="15" customHeight="1">
      <c r="A579" s="258" t="s">
        <v>2460</v>
      </c>
      <c r="B579" s="263">
        <f>'Dry_Litterbag Placem_Collection'!A140</f>
        <v>138</v>
      </c>
      <c r="C579" s="263" t="str">
        <f>'Dry_Litterbag Placem_Collection'!B140</f>
        <v xml:space="preserve">Mwantimba
</v>
      </c>
      <c r="D579" s="263" t="s">
        <v>2460</v>
      </c>
      <c r="E579" s="263" t="s">
        <v>20</v>
      </c>
      <c r="F579" s="263">
        <v>2</v>
      </c>
      <c r="G579" s="264" t="str">
        <f>'Dry_Litterbag Placem_Collection'!C140</f>
        <v>Wet_P2_T2</v>
      </c>
      <c r="H579" s="273" t="s">
        <v>3651</v>
      </c>
      <c r="I579" s="266" t="s">
        <v>1147</v>
      </c>
      <c r="J579" s="223" t="str">
        <f>'WetLitterbags placem_collection'!O140</f>
        <v>G623</v>
      </c>
      <c r="K579" s="225">
        <f>IFERROR(INDEX('Green_rooibos initial weight'!$C$5:$C$1749,MATCH(J579, 'Green_rooibos initial weight'!$A$5:$A$1749,0)),"")</f>
        <v>2.1040000000000001</v>
      </c>
      <c r="L579" s="225">
        <f>IFERROR(K579-(TBIcalc!$H$9+TBIcalc!$H$10),"")</f>
        <v>1.8542000000000001</v>
      </c>
      <c r="M579" s="391">
        <f>AVERAGE(Ashed_controlls!$K$2:$K$11)</f>
        <v>5.5147656768714146</v>
      </c>
      <c r="N579" s="225">
        <f t="shared" ref="N579:N642" si="49">IFERROR(L579-(M579/100)*L579,"")</f>
        <v>1.7519452148194503</v>
      </c>
      <c r="O579" s="225">
        <f>IF(IFERROR(INDEX('Both teabags AfterWet'!$C$3:$C$841,MATCH(J579,'Both teabags AfterWet'!$A$3:$A$841,0)),"")="","",(IFERROR(INDEX('Both teabags AfterWet'!$C$3:$C$841,MATCH(J579,'Both teabags AfterWet'!$A$3:$A$841,0)),"")))</f>
        <v>0.64800000000000002</v>
      </c>
      <c r="P579" s="225">
        <f>IFERROR(IF(O579&gt;0,O579-(TBIcalc!$H$9),""),"")</f>
        <v>0.49740000000000001</v>
      </c>
      <c r="Q579" s="225">
        <f>IFERROR(INDEX('Ashed teabags wet'!$K$2:$K$821,MATCH(J579,'Ashed teabags wet'!$A$2:$A$821,0)),"")</f>
        <v>12.94176207068146</v>
      </c>
      <c r="R579" s="225">
        <f t="shared" si="47"/>
        <v>0.43302767546043042</v>
      </c>
      <c r="S579" s="226">
        <f>'WetLitterbags placem_collection'!E140</f>
        <v>42762</v>
      </c>
      <c r="T579" s="226">
        <f>IF('WetLitterbags placem_collection'!G140="","",'WetLitterbags placem_collection'!G140)</f>
        <v>42816</v>
      </c>
      <c r="U579" s="227">
        <f t="shared" si="48"/>
        <v>54</v>
      </c>
      <c r="V579" s="225">
        <f t="shared" ref="V579:V642" si="50">IFERROR(L579-P579,"")</f>
        <v>1.3568</v>
      </c>
      <c r="W579" s="225">
        <f t="shared" ref="W579:W642" si="51">IFERROR(N579-R579,"")</f>
        <v>1.31891753935902</v>
      </c>
      <c r="X579">
        <f>IFERROR(INDEX(Rainfall_Wet!$O$2:$O$217,MATCH(B579, Rainfall_Wet!$A$2:$A$217,0)),"")</f>
        <v>206.85140822299999</v>
      </c>
      <c r="Y579" s="231">
        <v>33.96</v>
      </c>
      <c r="Z579" s="231">
        <v>8.9200000000000017</v>
      </c>
      <c r="AA579" s="231">
        <v>57.12</v>
      </c>
      <c r="AB579" s="232" t="s">
        <v>2670</v>
      </c>
      <c r="AC579" s="231">
        <v>3.0720551996057202</v>
      </c>
      <c r="AD579">
        <f>IF('WetLitterbags placem_collection'!AB140="","",'WetLitterbags placem_collection'!AB140)</f>
        <v>2.8</v>
      </c>
      <c r="AE579">
        <f>IF('WetLitterbags placem_collection'!Z140="","",'WetLitterbags placem_collection'!Z140)</f>
        <v>26.4</v>
      </c>
      <c r="AF579" s="246" t="str">
        <f>IF('WetLitterbags placem_collection'!AA140="","",'WetLitterbags placem_collection'!AA140)</f>
        <v>G</v>
      </c>
      <c r="AG579">
        <f>IF('WetLitterbags placem_collection'!AC140="","",'WetLitterbags placem_collection'!AC140)</f>
        <v>1</v>
      </c>
      <c r="AH579" s="240">
        <f>AVERAGE('WetLitterbags placem_collection'!S140,'WetLitterbags placem_collection'!U140)</f>
        <v>15.5</v>
      </c>
      <c r="AI579">
        <f>AVERAGE('WetLitterbags placem_collection'!R140,'WetLitterbags placem_collection'!T140)</f>
        <v>29.35</v>
      </c>
      <c r="AJ579">
        <f>INDEX(Coordinates!$B$2:$B$197,MATCH(G579,Coordinates!$J$2:$J$197,0))</f>
        <v>-2.3485449790000001</v>
      </c>
      <c r="AK579">
        <f>INDEX(Coordinates!$C$2:$C$197,MATCH(G579,Coordinates!$J$2:$J$197,0))</f>
        <v>34.050146980000001</v>
      </c>
      <c r="AL579" t="str">
        <f>IF(ISNUMBER(SEARCH("C", 'WetLitterbags placem_collection'!X140)),"YES","NO")</f>
        <v>NO</v>
      </c>
      <c r="AM579" t="str">
        <f>IF(ISNUMBER(SEARCH("H", 'WetLitterbags placem_collection'!X140)),"YES","NO")</f>
        <v>NO</v>
      </c>
      <c r="AN579" t="str">
        <f>IF(ISNUMBER(SEARCH("R", 'WetLitterbags placem_collection'!X140)),"YES","NO")</f>
        <v>YES</v>
      </c>
    </row>
    <row r="580" spans="1:40" ht="15" customHeight="1">
      <c r="A580" s="258" t="s">
        <v>2460</v>
      </c>
      <c r="B580" s="263">
        <f>'Dry_Litterbag Placem_Collection'!A141</f>
        <v>139</v>
      </c>
      <c r="C580" s="263" t="str">
        <f>'Dry_Litterbag Placem_Collection'!B141</f>
        <v xml:space="preserve">Mwantimba
</v>
      </c>
      <c r="D580" s="263" t="s">
        <v>2460</v>
      </c>
      <c r="E580" s="263" t="s">
        <v>20</v>
      </c>
      <c r="F580" s="263">
        <v>2</v>
      </c>
      <c r="G580" s="264" t="str">
        <f>'Dry_Litterbag Placem_Collection'!C141</f>
        <v>Wet_P2_T3</v>
      </c>
      <c r="H580" s="273" t="s">
        <v>3651</v>
      </c>
      <c r="I580" s="266" t="s">
        <v>1147</v>
      </c>
      <c r="J580" s="223" t="str">
        <f>'WetLitterbags placem_collection'!O141</f>
        <v>G880</v>
      </c>
      <c r="K580" s="225">
        <f>IFERROR(INDEX('Green_rooibos initial weight'!$C$5:$C$1749,MATCH(J580, 'Green_rooibos initial weight'!$A$5:$A$1749,0)),"")</f>
        <v>2.1030000000000002</v>
      </c>
      <c r="L580" s="225">
        <f>IFERROR(K580-(TBIcalc!$H$9+TBIcalc!$H$10),"")</f>
        <v>1.8532000000000002</v>
      </c>
      <c r="M580" s="391">
        <f>AVERAGE(Ashed_controlls!$K$2:$K$11)</f>
        <v>5.5147656768714146</v>
      </c>
      <c r="N580" s="225">
        <f t="shared" si="49"/>
        <v>1.7510003624762192</v>
      </c>
      <c r="O580" s="225">
        <f>IF(IFERROR(INDEX('Both teabags AfterWet'!$C$3:$C$841,MATCH(J580,'Both teabags AfterWet'!$A$3:$A$841,0)),"")="","",(IFERROR(INDEX('Both teabags AfterWet'!$C$3:$C$841,MATCH(J580,'Both teabags AfterWet'!$A$3:$A$841,0)),"")))</f>
        <v>0.73599999999999999</v>
      </c>
      <c r="P580" s="225">
        <f>IFERROR(IF(O580&gt;0,O580-(TBIcalc!$H$9),""),"")</f>
        <v>0.58539999999999992</v>
      </c>
      <c r="Q580" s="225">
        <f>IFERROR(INDEX('Ashed teabags wet'!$K$2:$K$821,MATCH(J580,'Ashed teabags wet'!$A$2:$A$821,0)),"")</f>
        <v>26.073926073925342</v>
      </c>
      <c r="R580" s="225">
        <f t="shared" si="47"/>
        <v>0.43276323676324102</v>
      </c>
      <c r="S580" s="226">
        <f>'WetLitterbags placem_collection'!E141</f>
        <v>42762</v>
      </c>
      <c r="T580" s="226">
        <f>IF('WetLitterbags placem_collection'!G141="","",'WetLitterbags placem_collection'!G141)</f>
        <v>42816</v>
      </c>
      <c r="U580" s="227">
        <f t="shared" si="48"/>
        <v>54</v>
      </c>
      <c r="V580" s="225">
        <f t="shared" si="50"/>
        <v>1.2678000000000003</v>
      </c>
      <c r="W580" s="225">
        <f t="shared" si="51"/>
        <v>1.3182371257129781</v>
      </c>
      <c r="X580">
        <f>IFERROR(INDEX(Rainfall_Wet!$O$2:$O$217,MATCH(B580, Rainfall_Wet!$A$2:$A$217,0)),"")</f>
        <v>206.85140822299999</v>
      </c>
      <c r="Y580" s="231">
        <v>33.96</v>
      </c>
      <c r="Z580" s="231">
        <v>8.9200000000000017</v>
      </c>
      <c r="AA580" s="231">
        <v>57.12</v>
      </c>
      <c r="AB580" s="232" t="s">
        <v>2670</v>
      </c>
      <c r="AC580" s="231">
        <v>4.0720551996057202</v>
      </c>
      <c r="AD580">
        <f>IF('WetLitterbags placem_collection'!AB141="","",'WetLitterbags placem_collection'!AB141)</f>
        <v>5.7</v>
      </c>
      <c r="AE580">
        <f>IF('WetLitterbags placem_collection'!Z141="","",'WetLitterbags placem_collection'!Z141)</f>
        <v>19.399999999999999</v>
      </c>
      <c r="AF580" s="246" t="str">
        <f>IF('WetLitterbags placem_collection'!AA141="","",'WetLitterbags placem_collection'!AA141)</f>
        <v>G</v>
      </c>
      <c r="AG580">
        <f>IF('WetLitterbags placem_collection'!AC141="","",'WetLitterbags placem_collection'!AC141)</f>
        <v>1</v>
      </c>
      <c r="AH580" s="240">
        <f>AVERAGE('WetLitterbags placem_collection'!S141,'WetLitterbags placem_collection'!U141)</f>
        <v>16.850000000000001</v>
      </c>
      <c r="AI580">
        <f>AVERAGE('WetLitterbags placem_collection'!R141,'WetLitterbags placem_collection'!T141)</f>
        <v>28.65</v>
      </c>
      <c r="AJ580">
        <f>INDEX(Coordinates!$B$2:$B$197,MATCH(G580,Coordinates!$J$2:$J$197,0))</f>
        <v>-2.3487209990000002</v>
      </c>
      <c r="AK580">
        <f>INDEX(Coordinates!$C$2:$C$197,MATCH(G580,Coordinates!$J$2:$J$197,0))</f>
        <v>34.050128039999997</v>
      </c>
      <c r="AL580" t="str">
        <f>IF(ISNUMBER(SEARCH("C", 'WetLitterbags placem_collection'!X141)),"YES","NO")</f>
        <v>NO</v>
      </c>
      <c r="AM580" t="str">
        <f>IF(ISNUMBER(SEARCH("H", 'WetLitterbags placem_collection'!X141)),"YES","NO")</f>
        <v>NO</v>
      </c>
      <c r="AN580" t="str">
        <f>IF(ISNUMBER(SEARCH("R", 'WetLitterbags placem_collection'!X141)),"YES","NO")</f>
        <v>YES</v>
      </c>
    </row>
    <row r="581" spans="1:40" ht="15" customHeight="1">
      <c r="A581" s="258" t="s">
        <v>2460</v>
      </c>
      <c r="B581" s="263">
        <f>'Dry_Litterbag Placem_Collection'!A142</f>
        <v>140</v>
      </c>
      <c r="C581" s="263" t="str">
        <f>'Dry_Litterbag Placem_Collection'!B142</f>
        <v xml:space="preserve">Mwantimba
</v>
      </c>
      <c r="D581" s="263" t="s">
        <v>2460</v>
      </c>
      <c r="E581" s="263" t="s">
        <v>20</v>
      </c>
      <c r="F581" s="263">
        <v>2</v>
      </c>
      <c r="G581" s="264" t="str">
        <f>'Dry_Litterbag Placem_Collection'!C142</f>
        <v>Wet_P2_T4</v>
      </c>
      <c r="H581" s="273" t="s">
        <v>3651</v>
      </c>
      <c r="I581" s="266" t="s">
        <v>1147</v>
      </c>
      <c r="J581" s="223" t="str">
        <f>'WetLitterbags placem_collection'!O142</f>
        <v>G706</v>
      </c>
      <c r="K581" s="225">
        <f>IFERROR(INDEX('Green_rooibos initial weight'!$C$5:$C$1749,MATCH(J581, 'Green_rooibos initial weight'!$A$5:$A$1749,0)),"")</f>
        <v>1.9450000000000001</v>
      </c>
      <c r="L581" s="225">
        <f>IFERROR(K581-(TBIcalc!$H$9+TBIcalc!$H$10),"")</f>
        <v>1.6952</v>
      </c>
      <c r="M581" s="391">
        <f>AVERAGE(Ashed_controlls!$K$2:$K$11)</f>
        <v>5.5147656768714146</v>
      </c>
      <c r="N581" s="225">
        <f t="shared" si="49"/>
        <v>1.6017136922456758</v>
      </c>
      <c r="O581" s="225">
        <f>IF(IFERROR(INDEX('Both teabags AfterWet'!$C$3:$C$841,MATCH(J581,'Both teabags AfterWet'!$A$3:$A$841,0)),"")="","",(IFERROR(INDEX('Both teabags AfterWet'!$C$3:$C$841,MATCH(J581,'Both teabags AfterWet'!$A$3:$A$841,0)),"")))</f>
        <v>0.60780000000000001</v>
      </c>
      <c r="P581" s="225">
        <f>IFERROR(IF(O581&gt;0,O581-(TBIcalc!$H$9),""),"")</f>
        <v>0.4572</v>
      </c>
      <c r="Q581" s="225">
        <f>IFERROR(INDEX('Ashed teabags wet'!$K$2:$K$821,MATCH(J581,'Ashed teabags wet'!$A$2:$A$821,0)),"")</f>
        <v>17.486338797814145</v>
      </c>
      <c r="R581" s="225">
        <f t="shared" si="47"/>
        <v>0.3772524590163937</v>
      </c>
      <c r="S581" s="226">
        <f>'WetLitterbags placem_collection'!E142</f>
        <v>42762</v>
      </c>
      <c r="T581" s="226">
        <f>IF('WetLitterbags placem_collection'!G142="","",'WetLitterbags placem_collection'!G142)</f>
        <v>42816</v>
      </c>
      <c r="U581" s="227">
        <f t="shared" si="48"/>
        <v>54</v>
      </c>
      <c r="V581" s="225">
        <f t="shared" si="50"/>
        <v>1.238</v>
      </c>
      <c r="W581" s="225">
        <f t="shared" si="51"/>
        <v>1.2244612332292821</v>
      </c>
      <c r="X581">
        <f>IFERROR(INDEX(Rainfall_Wet!$O$2:$O$217,MATCH(B581, Rainfall_Wet!$A$2:$A$217,0)),"")</f>
        <v>206.85140822299999</v>
      </c>
      <c r="Y581" s="231">
        <v>33.96</v>
      </c>
      <c r="Z581" s="231">
        <v>8.9200000000000017</v>
      </c>
      <c r="AA581" s="231">
        <v>57.12</v>
      </c>
      <c r="AB581" s="232" t="s">
        <v>2670</v>
      </c>
      <c r="AC581" s="231">
        <v>5.0720551996057202</v>
      </c>
      <c r="AD581">
        <f>IF('WetLitterbags placem_collection'!AB142="","",'WetLitterbags placem_collection'!AB142)</f>
        <v>1.4</v>
      </c>
      <c r="AE581">
        <f>IF('WetLitterbags placem_collection'!Z142="","",'WetLitterbags placem_collection'!Z142)</f>
        <v>33.4</v>
      </c>
      <c r="AF581" s="246" t="str">
        <f>IF('WetLitterbags placem_collection'!AA142="","",'WetLitterbags placem_collection'!AA142)</f>
        <v>G</v>
      </c>
      <c r="AG581">
        <f>IF('WetLitterbags placem_collection'!AC142="","",'WetLitterbags placem_collection'!AC142)</f>
        <v>1</v>
      </c>
      <c r="AH581" s="240">
        <f>AVERAGE('WetLitterbags placem_collection'!S142,'WetLitterbags placem_collection'!U142)</f>
        <v>11.55</v>
      </c>
      <c r="AI581">
        <f>AVERAGE('WetLitterbags placem_collection'!R142,'WetLitterbags placem_collection'!T142)</f>
        <v>30.85</v>
      </c>
      <c r="AJ581">
        <f>INDEX(Coordinates!$B$2:$B$197,MATCH(G581,Coordinates!$J$2:$J$197,0))</f>
        <v>-2.3486250270000002</v>
      </c>
      <c r="AK581">
        <f>INDEX(Coordinates!$C$2:$C$197,MATCH(G581,Coordinates!$J$2:$J$197,0))</f>
        <v>34.050070959999999</v>
      </c>
      <c r="AL581" t="str">
        <f>IF(ISNUMBER(SEARCH("C", 'WetLitterbags placem_collection'!X142)),"YES","NO")</f>
        <v>NO</v>
      </c>
      <c r="AM581" t="str">
        <f>IF(ISNUMBER(SEARCH("H", 'WetLitterbags placem_collection'!X142)),"YES","NO")</f>
        <v>NO</v>
      </c>
      <c r="AN581" t="str">
        <f>IF(ISNUMBER(SEARCH("R", 'WetLitterbags placem_collection'!X142)),"YES","NO")</f>
        <v>NO</v>
      </c>
    </row>
    <row r="582" spans="1:40" ht="15" customHeight="1">
      <c r="A582" s="258" t="s">
        <v>2460</v>
      </c>
      <c r="B582" s="263">
        <f>'Dry_Litterbag Placem_Collection'!A143</f>
        <v>141</v>
      </c>
      <c r="C582" s="263" t="str">
        <f>'Dry_Litterbag Placem_Collection'!B143</f>
        <v xml:space="preserve">Mwantimba
</v>
      </c>
      <c r="D582" s="263" t="s">
        <v>2460</v>
      </c>
      <c r="E582" s="263" t="s">
        <v>20</v>
      </c>
      <c r="F582" s="263">
        <v>2</v>
      </c>
      <c r="G582" s="264" t="str">
        <f>'Dry_Litterbag Placem_Collection'!C143</f>
        <v>Wet_P2_T5</v>
      </c>
      <c r="H582" s="273" t="s">
        <v>3651</v>
      </c>
      <c r="I582" s="266" t="s">
        <v>1147</v>
      </c>
      <c r="J582" s="223" t="str">
        <f>'WetLitterbags placem_collection'!O143</f>
        <v>G775</v>
      </c>
      <c r="K582" s="225">
        <f>IFERROR(INDEX('Green_rooibos initial weight'!$C$5:$C$1749,MATCH(J582, 'Green_rooibos initial weight'!$A$5:$A$1749,0)),"")</f>
        <v>2.1389999999999998</v>
      </c>
      <c r="L582" s="225">
        <f>IFERROR(K582-(TBIcalc!$H$9+TBIcalc!$H$10),"")</f>
        <v>1.8891999999999998</v>
      </c>
      <c r="M582" s="391">
        <f>AVERAGE(Ashed_controlls!$K$2:$K$11)</f>
        <v>5.5147656768714146</v>
      </c>
      <c r="N582" s="225">
        <f t="shared" si="49"/>
        <v>1.785015046832545</v>
      </c>
      <c r="O582" s="225">
        <f>IF(IFERROR(INDEX('Both teabags AfterWet'!$C$3:$C$841,MATCH(J582,'Both teabags AfterWet'!$A$3:$A$841,0)),"")="","",(IFERROR(INDEX('Both teabags AfterWet'!$C$3:$C$841,MATCH(J582,'Both teabags AfterWet'!$A$3:$A$841,0)),"")))</f>
        <v>0.69099999999999995</v>
      </c>
      <c r="P582" s="225">
        <f>IFERROR(IF(O582&gt;0,O582-(TBIcalc!$H$9),""),"")</f>
        <v>0.54039999999999999</v>
      </c>
      <c r="Q582" s="225">
        <f>IFERROR(INDEX('Ashed teabags wet'!$K$2:$K$821,MATCH(J582,'Ashed teabags wet'!$A$2:$A$821,0)),"")</f>
        <v>23.031496062992296</v>
      </c>
      <c r="R582" s="225">
        <f t="shared" si="47"/>
        <v>0.41593779527558961</v>
      </c>
      <c r="S582" s="226">
        <f>'WetLitterbags placem_collection'!E143</f>
        <v>42762</v>
      </c>
      <c r="T582" s="226">
        <f>IF('WetLitterbags placem_collection'!G143="","",'WetLitterbags placem_collection'!G143)</f>
        <v>42816</v>
      </c>
      <c r="U582" s="227">
        <f t="shared" si="48"/>
        <v>54</v>
      </c>
      <c r="V582" s="225">
        <f t="shared" si="50"/>
        <v>1.3487999999999998</v>
      </c>
      <c r="W582" s="225">
        <f t="shared" si="51"/>
        <v>1.3690772515569554</v>
      </c>
      <c r="X582">
        <f>IFERROR(INDEX(Rainfall_Wet!$O$2:$O$217,MATCH(B582, Rainfall_Wet!$A$2:$A$217,0)),"")</f>
        <v>206.85140822299999</v>
      </c>
      <c r="Y582" s="231">
        <v>33.96</v>
      </c>
      <c r="Z582" s="231">
        <v>8.9200000000000017</v>
      </c>
      <c r="AA582" s="231">
        <v>57.12</v>
      </c>
      <c r="AB582" s="232" t="s">
        <v>2670</v>
      </c>
      <c r="AC582" s="231">
        <v>6.0720551996057202</v>
      </c>
      <c r="AD582">
        <f>IF('WetLitterbags placem_collection'!AB143="","",'WetLitterbags placem_collection'!AB143)</f>
        <v>1.4</v>
      </c>
      <c r="AE582">
        <f>IF('WetLitterbags placem_collection'!Z143="","",'WetLitterbags placem_collection'!Z143)</f>
        <v>28.4</v>
      </c>
      <c r="AF582" s="246" t="str">
        <f>IF('WetLitterbags placem_collection'!AA143="","",'WetLitterbags placem_collection'!AA143)</f>
        <v>G</v>
      </c>
      <c r="AG582">
        <f>IF('WetLitterbags placem_collection'!AC143="","",'WetLitterbags placem_collection'!AC143)</f>
        <v>1</v>
      </c>
      <c r="AH582" s="240">
        <f>AVERAGE('WetLitterbags placem_collection'!S143,'WetLitterbags placem_collection'!U143)</f>
        <v>9.6999999999999993</v>
      </c>
      <c r="AI582">
        <f>AVERAGE('WetLitterbags placem_collection'!R143,'WetLitterbags placem_collection'!T143)</f>
        <v>30.75</v>
      </c>
      <c r="AJ582">
        <f>INDEX(Coordinates!$B$2:$B$197,MATCH(G582,Coordinates!$J$2:$J$197,0))</f>
        <v>-2.3486060000000002</v>
      </c>
      <c r="AK582">
        <f>INDEX(Coordinates!$C$2:$C$197,MATCH(G582,Coordinates!$J$2:$J$197,0))</f>
        <v>34.050010020000002</v>
      </c>
      <c r="AL582" t="str">
        <f>IF(ISNUMBER(SEARCH("C", 'WetLitterbags placem_collection'!X143)),"YES","NO")</f>
        <v>NO</v>
      </c>
      <c r="AM582" t="str">
        <f>IF(ISNUMBER(SEARCH("H", 'WetLitterbags placem_collection'!X143)),"YES","NO")</f>
        <v>NO</v>
      </c>
      <c r="AN582" t="str">
        <f>IF(ISNUMBER(SEARCH("R", 'WetLitterbags placem_collection'!X143)),"YES","NO")</f>
        <v>NO</v>
      </c>
    </row>
    <row r="583" spans="1:40" ht="15" customHeight="1">
      <c r="A583" s="258" t="s">
        <v>2460</v>
      </c>
      <c r="B583" s="263">
        <f>'Dry_Litterbag Placem_Collection'!A144</f>
        <v>142</v>
      </c>
      <c r="C583" s="263" t="str">
        <f>'Dry_Litterbag Placem_Collection'!B144</f>
        <v xml:space="preserve">Mwantimba
</v>
      </c>
      <c r="D583" s="263" t="s">
        <v>2460</v>
      </c>
      <c r="E583" s="263" t="s">
        <v>20</v>
      </c>
      <c r="F583" s="263">
        <v>2</v>
      </c>
      <c r="G583" s="264" t="str">
        <f>'Dry_Litterbag Placem_Collection'!C144</f>
        <v>Wet_P2_T6</v>
      </c>
      <c r="H583" s="273" t="s">
        <v>3651</v>
      </c>
      <c r="I583" s="266" t="s">
        <v>1147</v>
      </c>
      <c r="J583" s="223" t="str">
        <f>'WetLitterbags placem_collection'!O144</f>
        <v>G850</v>
      </c>
      <c r="K583" s="225">
        <f>IFERROR(INDEX('Green_rooibos initial weight'!$C$5:$C$1749,MATCH(J583, 'Green_rooibos initial weight'!$A$5:$A$1749,0)),"")</f>
        <v>2.0379999999999998</v>
      </c>
      <c r="L583" s="225">
        <f>IFERROR(K583-(TBIcalc!$H$9+TBIcalc!$H$10),"")</f>
        <v>1.7881999999999998</v>
      </c>
      <c r="M583" s="391">
        <f>AVERAGE(Ashed_controlls!$K$2:$K$11)</f>
        <v>5.5147656768714146</v>
      </c>
      <c r="N583" s="225">
        <f t="shared" si="49"/>
        <v>1.6895849601661852</v>
      </c>
      <c r="O583" s="225">
        <f>IF(IFERROR(INDEX('Both teabags AfterWet'!$C$3:$C$841,MATCH(J583,'Both teabags AfterWet'!$A$3:$A$841,0)),"")="","",(IFERROR(INDEX('Both teabags AfterWet'!$C$3:$C$841,MATCH(J583,'Both teabags AfterWet'!$A$3:$A$841,0)),"")))</f>
        <v>0.78500000000000003</v>
      </c>
      <c r="P583" s="225">
        <f>IFERROR(IF(O583&gt;0,O583-(TBIcalc!$H$9),""),"")</f>
        <v>0.63440000000000007</v>
      </c>
      <c r="Q583" s="225">
        <f>IFERROR(INDEX('Ashed teabags wet'!$K$2:$K$821,MATCH(J583,'Ashed teabags wet'!$A$2:$A$821,0)),"")</f>
        <v>14.780029658923441</v>
      </c>
      <c r="R583" s="225">
        <f t="shared" si="47"/>
        <v>0.54063549184378978</v>
      </c>
      <c r="S583" s="226">
        <f>'WetLitterbags placem_collection'!E144</f>
        <v>42762</v>
      </c>
      <c r="T583" s="226">
        <f>IF('WetLitterbags placem_collection'!G144="","",'WetLitterbags placem_collection'!G144)</f>
        <v>42816</v>
      </c>
      <c r="U583" s="227">
        <f t="shared" si="48"/>
        <v>54</v>
      </c>
      <c r="V583" s="225">
        <f t="shared" si="50"/>
        <v>1.1537999999999997</v>
      </c>
      <c r="W583" s="225">
        <f t="shared" si="51"/>
        <v>1.1489494683223955</v>
      </c>
      <c r="X583">
        <f>IFERROR(INDEX(Rainfall_Wet!$O$2:$O$217,MATCH(B583, Rainfall_Wet!$A$2:$A$217,0)),"")</f>
        <v>206.85140822299999</v>
      </c>
      <c r="Y583" s="231">
        <v>33.96</v>
      </c>
      <c r="Z583" s="231">
        <v>8.9200000000000017</v>
      </c>
      <c r="AA583" s="231">
        <v>57.12</v>
      </c>
      <c r="AB583" s="232" t="s">
        <v>2670</v>
      </c>
      <c r="AC583" s="231">
        <v>7.0720551996057202</v>
      </c>
      <c r="AD583">
        <f>IF('WetLitterbags placem_collection'!AB144="","",'WetLitterbags placem_collection'!AB144)</f>
        <v>1.7</v>
      </c>
      <c r="AE583">
        <f>IF('WetLitterbags placem_collection'!Z144="","",'WetLitterbags placem_collection'!Z144)</f>
        <v>33.799999999999997</v>
      </c>
      <c r="AF583" s="246" t="str">
        <f>IF('WetLitterbags placem_collection'!AA144="","",'WetLitterbags placem_collection'!AA144)</f>
        <v>G</v>
      </c>
      <c r="AG583">
        <f>IF('WetLitterbags placem_collection'!AC144="","",'WetLitterbags placem_collection'!AC144)</f>
        <v>1</v>
      </c>
      <c r="AH583" s="240">
        <f>AVERAGE('WetLitterbags placem_collection'!S144,'WetLitterbags placem_collection'!U144)</f>
        <v>15.5</v>
      </c>
      <c r="AI583">
        <f>AVERAGE('WetLitterbags placem_collection'!R144,'WetLitterbags placem_collection'!T144)</f>
        <v>28.75</v>
      </c>
      <c r="AJ583">
        <f>INDEX(Coordinates!$B$2:$B$197,MATCH(G583,Coordinates!$J$2:$J$197,0))</f>
        <v>-2.348618992</v>
      </c>
      <c r="AK583">
        <f>INDEX(Coordinates!$C$2:$C$197,MATCH(G583,Coordinates!$J$2:$J$197,0))</f>
        <v>34.049996030000003</v>
      </c>
      <c r="AL583" t="str">
        <f>IF(ISNUMBER(SEARCH("C", 'WetLitterbags placem_collection'!X144)),"YES","NO")</f>
        <v>NO</v>
      </c>
      <c r="AM583" t="str">
        <f>IF(ISNUMBER(SEARCH("H", 'WetLitterbags placem_collection'!X144)),"YES","NO")</f>
        <v>NO</v>
      </c>
      <c r="AN583" t="str">
        <f>IF(ISNUMBER(SEARCH("R", 'WetLitterbags placem_collection'!X144)),"YES","NO")</f>
        <v>NO</v>
      </c>
    </row>
    <row r="584" spans="1:40" ht="15" customHeight="1">
      <c r="A584" s="258" t="s">
        <v>2460</v>
      </c>
      <c r="B584" s="263">
        <f>'Dry_Litterbag Placem_Collection'!A145</f>
        <v>143</v>
      </c>
      <c r="C584" s="263" t="str">
        <f>'Dry_Litterbag Placem_Collection'!B145</f>
        <v xml:space="preserve">Mwantimba
</v>
      </c>
      <c r="D584" s="263" t="s">
        <v>2460</v>
      </c>
      <c r="E584" s="263" t="s">
        <v>20</v>
      </c>
      <c r="F584" s="263">
        <v>2</v>
      </c>
      <c r="G584" s="264" t="str">
        <f>'Dry_Litterbag Placem_Collection'!C145</f>
        <v>Wet_P2_T7</v>
      </c>
      <c r="H584" s="273" t="s">
        <v>3651</v>
      </c>
      <c r="I584" s="266" t="s">
        <v>1147</v>
      </c>
      <c r="J584" s="223" t="str">
        <f>'WetLitterbags placem_collection'!O145</f>
        <v>G697</v>
      </c>
      <c r="K584" s="225">
        <f>IFERROR(INDEX('Green_rooibos initial weight'!$C$5:$C$1749,MATCH(J584, 'Green_rooibos initial weight'!$A$5:$A$1749,0)),"")</f>
        <v>2.1110000000000002</v>
      </c>
      <c r="L584" s="225">
        <f>IFERROR(K584-(TBIcalc!$H$9+TBIcalc!$H$10),"")</f>
        <v>1.8612000000000002</v>
      </c>
      <c r="M584" s="391">
        <f>AVERAGE(Ashed_controlls!$K$2:$K$11)</f>
        <v>5.5147656768714146</v>
      </c>
      <c r="N584" s="225">
        <f t="shared" si="49"/>
        <v>1.7585591812220693</v>
      </c>
      <c r="O584" s="225">
        <f>IF(IFERROR(INDEX('Both teabags AfterWet'!$C$3:$C$841,MATCH(J584,'Both teabags AfterWet'!$A$3:$A$841,0)),"")="","",(IFERROR(INDEX('Both teabags AfterWet'!$C$3:$C$841,MATCH(J584,'Both teabags AfterWet'!$A$3:$A$841,0)),"")))</f>
        <v>0.67500000000000004</v>
      </c>
      <c r="P584" s="225">
        <f>IFERROR(IF(O584&gt;0,O584-(TBIcalc!$H$9),""),"")</f>
        <v>0.52439999999999998</v>
      </c>
      <c r="Q584" s="225">
        <f>IFERROR(INDEX('Ashed teabags wet'!$K$2:$K$821,MATCH(J584,'Ashed teabags wet'!$A$2:$A$821,0)),"")</f>
        <v>17.52988047808789</v>
      </c>
      <c r="R584" s="225">
        <f t="shared" si="47"/>
        <v>0.43247330677290707</v>
      </c>
      <c r="S584" s="226">
        <f>'WetLitterbags placem_collection'!E145</f>
        <v>42762</v>
      </c>
      <c r="T584" s="226">
        <f>IF('WetLitterbags placem_collection'!G145="","",'WetLitterbags placem_collection'!G145)</f>
        <v>42816</v>
      </c>
      <c r="U584" s="227">
        <f t="shared" si="48"/>
        <v>54</v>
      </c>
      <c r="V584" s="225">
        <f t="shared" si="50"/>
        <v>1.3368000000000002</v>
      </c>
      <c r="W584" s="225">
        <f t="shared" si="51"/>
        <v>1.3260858744491624</v>
      </c>
      <c r="X584">
        <f>IFERROR(INDEX(Rainfall_Wet!$O$2:$O$217,MATCH(B584, Rainfall_Wet!$A$2:$A$217,0)),"")</f>
        <v>206.85140822299999</v>
      </c>
      <c r="Y584" s="231">
        <v>33.96</v>
      </c>
      <c r="Z584" s="231">
        <v>8.9200000000000017</v>
      </c>
      <c r="AA584" s="231">
        <v>57.12</v>
      </c>
      <c r="AB584" s="232" t="s">
        <v>2670</v>
      </c>
      <c r="AC584" s="231">
        <v>8.0720551996057193</v>
      </c>
      <c r="AD584">
        <f>IF('WetLitterbags placem_collection'!AB145="","",'WetLitterbags placem_collection'!AB145)</f>
        <v>2</v>
      </c>
      <c r="AE584">
        <f>IF('WetLitterbags placem_collection'!Z145="","",'WetLitterbags placem_collection'!Z145)</f>
        <v>23.4</v>
      </c>
      <c r="AF584" s="246" t="str">
        <f>IF('WetLitterbags placem_collection'!AA145="","",'WetLitterbags placem_collection'!AA145)</f>
        <v>G</v>
      </c>
      <c r="AG584">
        <f>IF('WetLitterbags placem_collection'!AC145="","",'WetLitterbags placem_collection'!AC145)</f>
        <v>1</v>
      </c>
      <c r="AH584" s="240">
        <f>AVERAGE('WetLitterbags placem_collection'!S145,'WetLitterbags placem_collection'!U145)</f>
        <v>14.5</v>
      </c>
      <c r="AI584">
        <f>AVERAGE('WetLitterbags placem_collection'!R145,'WetLitterbags placem_collection'!T145)</f>
        <v>30.9</v>
      </c>
      <c r="AJ584">
        <f>INDEX(Coordinates!$B$2:$B$197,MATCH(G584,Coordinates!$J$2:$J$197,0))</f>
        <v>-2.3484970349999998</v>
      </c>
      <c r="AK584">
        <f>INDEX(Coordinates!$C$2:$C$197,MATCH(G584,Coordinates!$J$2:$J$197,0))</f>
        <v>34.049979010000001</v>
      </c>
      <c r="AL584" t="str">
        <f>IF(ISNUMBER(SEARCH("C", 'WetLitterbags placem_collection'!X145)),"YES","NO")</f>
        <v>NO</v>
      </c>
      <c r="AM584" t="str">
        <f>IF(ISNUMBER(SEARCH("H", 'WetLitterbags placem_collection'!X145)),"YES","NO")</f>
        <v>NO</v>
      </c>
      <c r="AN584" t="str">
        <f>IF(ISNUMBER(SEARCH("R", 'WetLitterbags placem_collection'!X145)),"YES","NO")</f>
        <v>YES</v>
      </c>
    </row>
    <row r="585" spans="1:40" ht="15" customHeight="1">
      <c r="A585" s="258" t="s">
        <v>2460</v>
      </c>
      <c r="B585" s="263">
        <f>'Dry_Litterbag Placem_Collection'!A146</f>
        <v>144</v>
      </c>
      <c r="C585" s="263" t="str">
        <f>'Dry_Litterbag Placem_Collection'!B146</f>
        <v xml:space="preserve">Mwantimba
</v>
      </c>
      <c r="D585" s="263" t="s">
        <v>2460</v>
      </c>
      <c r="E585" s="263" t="s">
        <v>20</v>
      </c>
      <c r="F585" s="263">
        <v>2</v>
      </c>
      <c r="G585" s="264" t="str">
        <f>'Dry_Litterbag Placem_Collection'!C146</f>
        <v>Wet_P2_T8</v>
      </c>
      <c r="H585" s="273" t="s">
        <v>3651</v>
      </c>
      <c r="I585" s="266" t="s">
        <v>1147</v>
      </c>
      <c r="J585" s="223" t="str">
        <f>'WetLitterbags placem_collection'!O146</f>
        <v>G894</v>
      </c>
      <c r="K585" s="225">
        <f>IFERROR(INDEX('Green_rooibos initial weight'!$C$5:$C$1749,MATCH(J585, 'Green_rooibos initial weight'!$A$5:$A$1749,0)),"")</f>
        <v>1.9630000000000001</v>
      </c>
      <c r="L585" s="225">
        <f>IFERROR(K585-(TBIcalc!$H$9+TBIcalc!$H$10),"")</f>
        <v>1.7132000000000001</v>
      </c>
      <c r="M585" s="391">
        <f>AVERAGE(Ashed_controlls!$K$2:$K$11)</f>
        <v>5.5147656768714146</v>
      </c>
      <c r="N585" s="225">
        <f t="shared" si="49"/>
        <v>1.618721034423839</v>
      </c>
      <c r="O585" s="225">
        <f>IF(IFERROR(INDEX('Both teabags AfterWet'!$C$3:$C$841,MATCH(J585,'Both teabags AfterWet'!$A$3:$A$841,0)),"")="","",(IFERROR(INDEX('Both teabags AfterWet'!$C$3:$C$841,MATCH(J585,'Both teabags AfterWet'!$A$3:$A$841,0)),"")))</f>
        <v>0.68200000000000005</v>
      </c>
      <c r="P585" s="225">
        <f>IFERROR(IF(O585&gt;0,O585-(TBIcalc!$H$9),""),"")</f>
        <v>0.53140000000000009</v>
      </c>
      <c r="Q585" s="225">
        <f>IFERROR(INDEX('Ashed teabags wet'!$K$2:$K$821,MATCH(J585,'Ashed teabags wet'!$A$2:$A$821,0)),"")</f>
        <v>21.010901883052647</v>
      </c>
      <c r="R585" s="225">
        <f t="shared" si="47"/>
        <v>0.41974806739345832</v>
      </c>
      <c r="S585" s="226">
        <f>'WetLitterbags placem_collection'!E146</f>
        <v>42762</v>
      </c>
      <c r="T585" s="226">
        <f>IF('WetLitterbags placem_collection'!G146="","",'WetLitterbags placem_collection'!G146)</f>
        <v>42816</v>
      </c>
      <c r="U585" s="227">
        <f t="shared" si="48"/>
        <v>54</v>
      </c>
      <c r="V585" s="225">
        <f t="shared" si="50"/>
        <v>1.1818</v>
      </c>
      <c r="W585" s="225">
        <f t="shared" si="51"/>
        <v>1.1989729670303806</v>
      </c>
      <c r="X585">
        <f>IFERROR(INDEX(Rainfall_Wet!$O$2:$O$217,MATCH(B585, Rainfall_Wet!$A$2:$A$217,0)),"")</f>
        <v>206.85140822299999</v>
      </c>
      <c r="Y585" s="231">
        <v>33.96</v>
      </c>
      <c r="Z585" s="231">
        <v>8.9200000000000017</v>
      </c>
      <c r="AA585" s="231">
        <v>57.12</v>
      </c>
      <c r="AB585" s="232" t="s">
        <v>2670</v>
      </c>
      <c r="AC585" s="231">
        <v>9.0720551996057193</v>
      </c>
      <c r="AD585">
        <f>IF('WetLitterbags placem_collection'!AB146="","",'WetLitterbags placem_collection'!AB146)</f>
        <v>2.5</v>
      </c>
      <c r="AE585">
        <f>IF('WetLitterbags placem_collection'!Z146="","",'WetLitterbags placem_collection'!Z146)</f>
        <v>19.8</v>
      </c>
      <c r="AF585" s="246" t="str">
        <f>IF('WetLitterbags placem_collection'!AA146="","",'WetLitterbags placem_collection'!AA146)</f>
        <v>G</v>
      </c>
      <c r="AG585">
        <f>IF('WetLitterbags placem_collection'!AC146="","",'WetLitterbags placem_collection'!AC146)</f>
        <v>1</v>
      </c>
      <c r="AH585" s="240">
        <f>AVERAGE('WetLitterbags placem_collection'!S146,'WetLitterbags placem_collection'!U146)</f>
        <v>17.149999999999999</v>
      </c>
      <c r="AI585">
        <f>AVERAGE('WetLitterbags placem_collection'!R146,'WetLitterbags placem_collection'!T146)</f>
        <v>31.4</v>
      </c>
      <c r="AJ585">
        <f>INDEX(Coordinates!$B$2:$B$197,MATCH(G585,Coordinates!$J$2:$J$197,0))</f>
        <v>-2.3486560399999998</v>
      </c>
      <c r="AK585">
        <f>INDEX(Coordinates!$C$2:$C$197,MATCH(G585,Coordinates!$J$2:$J$197,0))</f>
        <v>34.049895020000001</v>
      </c>
      <c r="AL585" t="str">
        <f>IF(ISNUMBER(SEARCH("C", 'WetLitterbags placem_collection'!X146)),"YES","NO")</f>
        <v>NO</v>
      </c>
      <c r="AM585" t="str">
        <f>IF(ISNUMBER(SEARCH("H", 'WetLitterbags placem_collection'!X146)),"YES","NO")</f>
        <v>NO</v>
      </c>
      <c r="AN585" t="str">
        <f>IF(ISNUMBER(SEARCH("R", 'WetLitterbags placem_collection'!X146)),"YES","NO")</f>
        <v>YES</v>
      </c>
    </row>
    <row r="586" spans="1:40" ht="15" customHeight="1">
      <c r="A586" s="258" t="s">
        <v>2460</v>
      </c>
      <c r="B586" s="263">
        <f>'Dry_Litterbag Placem_Collection'!A147</f>
        <v>145</v>
      </c>
      <c r="C586" s="263" t="str">
        <f>'Dry_Litterbag Placem_Collection'!B147</f>
        <v xml:space="preserve">Mwantimba
</v>
      </c>
      <c r="D586" s="263" t="s">
        <v>2460</v>
      </c>
      <c r="E586" s="263" t="s">
        <v>20</v>
      </c>
      <c r="F586" s="263">
        <v>3</v>
      </c>
      <c r="G586" s="264" t="str">
        <f>'Dry_Litterbag Placem_Collection'!C147</f>
        <v>Wet_P3_T1</v>
      </c>
      <c r="H586" s="273" t="s">
        <v>3651</v>
      </c>
      <c r="I586" s="266" t="s">
        <v>1147</v>
      </c>
      <c r="J586" s="223" t="str">
        <f>'WetLitterbags placem_collection'!O147</f>
        <v>G653</v>
      </c>
      <c r="K586" s="225">
        <f>IFERROR(INDEX('Green_rooibos initial weight'!$C$5:$C$1749,MATCH(J586, 'Green_rooibos initial weight'!$A$5:$A$1749,0)),"")</f>
        <v>2.089</v>
      </c>
      <c r="L586" s="225">
        <f>IFERROR(K586-(TBIcalc!$H$9+TBIcalc!$H$10),"")</f>
        <v>1.8391999999999999</v>
      </c>
      <c r="M586" s="391">
        <f>AVERAGE(Ashed_controlls!$K$2:$K$11)</f>
        <v>5.5147656768714146</v>
      </c>
      <c r="N586" s="225">
        <f t="shared" si="49"/>
        <v>1.7377724296709809</v>
      </c>
      <c r="O586" s="225">
        <f>IF(IFERROR(INDEX('Both teabags AfterWet'!$C$3:$C$841,MATCH(J586,'Both teabags AfterWet'!$A$3:$A$841,0)),"")="","",(IFERROR(INDEX('Both teabags AfterWet'!$C$3:$C$841,MATCH(J586,'Both teabags AfterWet'!$A$3:$A$841,0)),"")))</f>
        <v>0.69799999999999995</v>
      </c>
      <c r="P586" s="225">
        <f>IFERROR(IF(O586&gt;0,O586-(TBIcalc!$H$9),""),"")</f>
        <v>0.54739999999999989</v>
      </c>
      <c r="Q586" s="225">
        <f>IFERROR(INDEX('Ashed teabags wet'!$K$2:$K$821,MATCH(J586,'Ashed teabags wet'!$A$2:$A$821,0)),"")</f>
        <v>19.630709426627803</v>
      </c>
      <c r="R586" s="225">
        <f t="shared" si="47"/>
        <v>0.43994149659863935</v>
      </c>
      <c r="S586" s="226">
        <f>'WetLitterbags placem_collection'!E147</f>
        <v>42762</v>
      </c>
      <c r="T586" s="226">
        <f>IF('WetLitterbags placem_collection'!G147="","",'WetLitterbags placem_collection'!G147)</f>
        <v>42815</v>
      </c>
      <c r="U586" s="227">
        <f t="shared" si="48"/>
        <v>53</v>
      </c>
      <c r="V586" s="225">
        <f t="shared" si="50"/>
        <v>1.2918000000000001</v>
      </c>
      <c r="W586" s="225">
        <f t="shared" si="51"/>
        <v>1.2978309330723414</v>
      </c>
      <c r="X586">
        <f>IFERROR(INDEX(Rainfall_Wet!$O$2:$O$217,MATCH(B586, Rainfall_Wet!$A$2:$A$217,0)),"")</f>
        <v>205.76139209600001</v>
      </c>
      <c r="Y586" s="231">
        <v>39.96</v>
      </c>
      <c r="Z586" s="231">
        <v>12.920000000000002</v>
      </c>
      <c r="AA586" s="231">
        <v>47.12</v>
      </c>
      <c r="AB586" s="232" t="s">
        <v>2674</v>
      </c>
      <c r="AC586" s="231">
        <v>1.6549531789058647</v>
      </c>
      <c r="AD586">
        <f>IF('WetLitterbags placem_collection'!AB147="","",'WetLitterbags placem_collection'!AB147)</f>
        <v>3.95</v>
      </c>
      <c r="AE586">
        <f>IF('WetLitterbags placem_collection'!Z147="","",'WetLitterbags placem_collection'!Z147)</f>
        <v>13</v>
      </c>
      <c r="AF586" s="246" t="str">
        <f>IF('WetLitterbags placem_collection'!AA147="","",'WetLitterbags placem_collection'!AA147)</f>
        <v>O</v>
      </c>
      <c r="AG586">
        <f>IF('WetLitterbags placem_collection'!AC147="","",'WetLitterbags placem_collection'!AC147)</f>
        <v>0</v>
      </c>
      <c r="AH586" s="240">
        <f>AVERAGE('WetLitterbags placem_collection'!S147,'WetLitterbags placem_collection'!U147)</f>
        <v>27.200000000000003</v>
      </c>
      <c r="AI586">
        <f>AVERAGE('WetLitterbags placem_collection'!R147,'WetLitterbags placem_collection'!T147)</f>
        <v>30.9</v>
      </c>
      <c r="AJ586">
        <f>INDEX(Coordinates!$B$2:$B$197,MATCH(G586,Coordinates!$J$2:$J$197,0))</f>
        <v>-2.3675269729999999</v>
      </c>
      <c r="AK586">
        <f>INDEX(Coordinates!$C$2:$C$197,MATCH(G586,Coordinates!$J$2:$J$197,0))</f>
        <v>34.06035799</v>
      </c>
      <c r="AL586" t="str">
        <f>IF(ISNUMBER(SEARCH("C", 'WetLitterbags placem_collection'!X147)),"YES","NO")</f>
        <v>NO</v>
      </c>
      <c r="AM586" t="str">
        <f>IF(ISNUMBER(SEARCH("H", 'WetLitterbags placem_collection'!X147)),"YES","NO")</f>
        <v>NO</v>
      </c>
      <c r="AN586" t="str">
        <f>IF(ISNUMBER(SEARCH("R", 'WetLitterbags placem_collection'!X147)),"YES","NO")</f>
        <v>NO</v>
      </c>
    </row>
    <row r="587" spans="1:40" ht="15" customHeight="1">
      <c r="A587" s="258" t="s">
        <v>2460</v>
      </c>
      <c r="B587" s="263">
        <f>'Dry_Litterbag Placem_Collection'!A148</f>
        <v>146</v>
      </c>
      <c r="C587" s="263" t="str">
        <f>'Dry_Litterbag Placem_Collection'!B148</f>
        <v xml:space="preserve">Mwantimba
</v>
      </c>
      <c r="D587" s="263" t="s">
        <v>2460</v>
      </c>
      <c r="E587" s="263" t="s">
        <v>20</v>
      </c>
      <c r="F587" s="263">
        <v>3</v>
      </c>
      <c r="G587" s="264" t="str">
        <f>'Dry_Litterbag Placem_Collection'!C148</f>
        <v>Wet_P3_T2</v>
      </c>
      <c r="H587" s="273" t="s">
        <v>3651</v>
      </c>
      <c r="I587" s="266" t="s">
        <v>1147</v>
      </c>
      <c r="J587" s="223" t="str">
        <f>'WetLitterbags placem_collection'!O148</f>
        <v>G762</v>
      </c>
      <c r="K587" s="225">
        <f>IFERROR(INDEX('Green_rooibos initial weight'!$C$5:$C$1749,MATCH(J587, 'Green_rooibos initial weight'!$A$5:$A$1749,0)),"")</f>
        <v>2.016</v>
      </c>
      <c r="L587" s="225">
        <f>IFERROR(K587-(TBIcalc!$H$9+TBIcalc!$H$10),"")</f>
        <v>1.7662</v>
      </c>
      <c r="M587" s="391">
        <f>AVERAGE(Ashed_controlls!$K$2:$K$11)</f>
        <v>5.5147656768714146</v>
      </c>
      <c r="N587" s="225">
        <f t="shared" si="49"/>
        <v>1.668798208615097</v>
      </c>
      <c r="O587" s="225">
        <f>IF(IFERROR(INDEX('Both teabags AfterWet'!$C$3:$C$841,MATCH(J587,'Both teabags AfterWet'!$A$3:$A$841,0)),"")="","",(IFERROR(INDEX('Both teabags AfterWet'!$C$3:$C$841,MATCH(J587,'Both teabags AfterWet'!$A$3:$A$841,0)),"")))</f>
        <v>0.59199999999999997</v>
      </c>
      <c r="P587" s="225">
        <f>IFERROR(IF(O587&gt;0,O587-(TBIcalc!$H$9),""),"")</f>
        <v>0.44139999999999996</v>
      </c>
      <c r="Q587" s="225">
        <f>IFERROR(INDEX('Ashed teabags wet'!$K$2:$K$821,MATCH(J587,'Ashed teabags wet'!$A$2:$A$821,0)),"")</f>
        <v>17.030567685589826</v>
      </c>
      <c r="R587" s="225">
        <f t="shared" ref="R587:R650" si="52">IFERROR(P587-(Q587/100)*P587,"")</f>
        <v>0.36622707423580647</v>
      </c>
      <c r="S587" s="226">
        <f>'WetLitterbags placem_collection'!E148</f>
        <v>42762</v>
      </c>
      <c r="T587" s="226">
        <f>IF('WetLitterbags placem_collection'!G148="","",'WetLitterbags placem_collection'!G148)</f>
        <v>42815</v>
      </c>
      <c r="U587" s="227">
        <f t="shared" si="48"/>
        <v>53</v>
      </c>
      <c r="V587" s="225">
        <f t="shared" si="50"/>
        <v>1.3248</v>
      </c>
      <c r="W587" s="225">
        <f t="shared" si="51"/>
        <v>1.3025711343792905</v>
      </c>
      <c r="X587">
        <f>IFERROR(INDEX(Rainfall_Wet!$O$2:$O$217,MATCH(B587, Rainfall_Wet!$A$2:$A$217,0)),"")</f>
        <v>205.76139209600001</v>
      </c>
      <c r="Y587" s="231">
        <v>39.96</v>
      </c>
      <c r="Z587" s="231">
        <v>12.920000000000002</v>
      </c>
      <c r="AA587" s="231">
        <v>47.12</v>
      </c>
      <c r="AB587" s="232" t="s">
        <v>2674</v>
      </c>
      <c r="AC587" s="231">
        <v>2.6549531789058598</v>
      </c>
      <c r="AD587">
        <f>IF('WetLitterbags placem_collection'!AB148="","",'WetLitterbags placem_collection'!AB148)</f>
        <v>2.75</v>
      </c>
      <c r="AE587">
        <f>IF('WetLitterbags placem_collection'!Z148="","",'WetLitterbags placem_collection'!Z148)</f>
        <v>17.7</v>
      </c>
      <c r="AF587" s="246" t="str">
        <f>IF('WetLitterbags placem_collection'!AA148="","",'WetLitterbags placem_collection'!AA148)</f>
        <v>O</v>
      </c>
      <c r="AG587">
        <f>IF('WetLitterbags placem_collection'!AC148="","",'WetLitterbags placem_collection'!AC148)</f>
        <v>1</v>
      </c>
      <c r="AH587" s="240">
        <f>AVERAGE('WetLitterbags placem_collection'!S148,'WetLitterbags placem_collection'!U148)</f>
        <v>22.65</v>
      </c>
      <c r="AI587">
        <f>AVERAGE('WetLitterbags placem_collection'!R148,'WetLitterbags placem_collection'!T148)</f>
        <v>30.549999999999997</v>
      </c>
      <c r="AJ587">
        <f>INDEX(Coordinates!$B$2:$B$197,MATCH(G587,Coordinates!$J$2:$J$197,0))</f>
        <v>-2.3675380370000001</v>
      </c>
      <c r="AK587">
        <f>INDEX(Coordinates!$C$2:$C$197,MATCH(G587,Coordinates!$J$2:$J$197,0))</f>
        <v>34.060381960000001</v>
      </c>
      <c r="AL587" t="str">
        <f>IF(ISNUMBER(SEARCH("C", 'WetLitterbags placem_collection'!X148)),"YES","NO")</f>
        <v>NO</v>
      </c>
      <c r="AM587" t="str">
        <f>IF(ISNUMBER(SEARCH("H", 'WetLitterbags placem_collection'!X148)),"YES","NO")</f>
        <v>NO</v>
      </c>
      <c r="AN587" t="str">
        <f>IF(ISNUMBER(SEARCH("R", 'WetLitterbags placem_collection'!X148)),"YES","NO")</f>
        <v>YES</v>
      </c>
    </row>
    <row r="588" spans="1:40" ht="15" customHeight="1">
      <c r="A588" s="258" t="s">
        <v>2460</v>
      </c>
      <c r="B588" s="263">
        <f>'Dry_Litterbag Placem_Collection'!A149</f>
        <v>147</v>
      </c>
      <c r="C588" s="263" t="str">
        <f>'Dry_Litterbag Placem_Collection'!B149</f>
        <v xml:space="preserve">Mwantimba
</v>
      </c>
      <c r="D588" s="263" t="s">
        <v>2460</v>
      </c>
      <c r="E588" s="263" t="s">
        <v>20</v>
      </c>
      <c r="F588" s="263">
        <v>3</v>
      </c>
      <c r="G588" s="264" t="str">
        <f>'Dry_Litterbag Placem_Collection'!C149</f>
        <v>Wet_P3_T3</v>
      </c>
      <c r="H588" s="273" t="s">
        <v>3651</v>
      </c>
      <c r="I588" s="266" t="s">
        <v>1147</v>
      </c>
      <c r="J588" s="223" t="str">
        <f>'WetLitterbags placem_collection'!O149</f>
        <v>G878</v>
      </c>
      <c r="K588" s="225">
        <f>IFERROR(INDEX('Green_rooibos initial weight'!$C$5:$C$1749,MATCH(J588, 'Green_rooibos initial weight'!$A$5:$A$1749,0)),"")</f>
        <v>2.0939999999999999</v>
      </c>
      <c r="L588" s="225">
        <f>IFERROR(K588-(TBIcalc!$H$9+TBIcalc!$H$10),"")</f>
        <v>1.8441999999999998</v>
      </c>
      <c r="M588" s="391">
        <f>AVERAGE(Ashed_controlls!$K$2:$K$11)</f>
        <v>5.5147656768714146</v>
      </c>
      <c r="N588" s="225">
        <f t="shared" si="49"/>
        <v>1.7424966913871371</v>
      </c>
      <c r="O588" s="225">
        <f>IF(IFERROR(INDEX('Both teabags AfterWet'!$C$3:$C$841,MATCH(J588,'Both teabags AfterWet'!$A$3:$A$841,0)),"")="","",(IFERROR(INDEX('Both teabags AfterWet'!$C$3:$C$841,MATCH(J588,'Both teabags AfterWet'!$A$3:$A$841,0)),"")))</f>
        <v>0.628</v>
      </c>
      <c r="P588" s="225">
        <f>IFERROR(IF(O588&gt;0,O588-(TBIcalc!$H$9),""),"")</f>
        <v>0.47739999999999999</v>
      </c>
      <c r="Q588" s="225">
        <f>IFERROR(INDEX('Ashed teabags wet'!$K$2:$K$821,MATCH(J588,'Ashed teabags wet'!$A$2:$A$821,0)),"")</f>
        <v>18.664047151277249</v>
      </c>
      <c r="R588" s="225">
        <f t="shared" si="52"/>
        <v>0.38829783889980241</v>
      </c>
      <c r="S588" s="226">
        <f>'WetLitterbags placem_collection'!E149</f>
        <v>42762</v>
      </c>
      <c r="T588" s="226">
        <f>IF('WetLitterbags placem_collection'!G149="","",'WetLitterbags placem_collection'!G149)</f>
        <v>42816</v>
      </c>
      <c r="U588" s="227">
        <f t="shared" si="48"/>
        <v>54</v>
      </c>
      <c r="V588" s="225">
        <f t="shared" si="50"/>
        <v>1.3667999999999998</v>
      </c>
      <c r="W588" s="225">
        <f t="shared" si="51"/>
        <v>1.3541988524873347</v>
      </c>
      <c r="X588">
        <f>IFERROR(INDEX(Rainfall_Wet!$O$2:$O$217,MATCH(B588, Rainfall_Wet!$A$2:$A$217,0)),"")</f>
        <v>206.85140822299999</v>
      </c>
      <c r="Y588" s="231">
        <v>39.96</v>
      </c>
      <c r="Z588" s="231">
        <v>12.920000000000002</v>
      </c>
      <c r="AA588" s="231">
        <v>47.12</v>
      </c>
      <c r="AB588" s="232" t="s">
        <v>2674</v>
      </c>
      <c r="AC588" s="231">
        <v>3.6549531789058598</v>
      </c>
      <c r="AD588">
        <f>IF('WetLitterbags placem_collection'!AB149="","",'WetLitterbags placem_collection'!AB149)</f>
        <v>3.6</v>
      </c>
      <c r="AE588">
        <f>IF('WetLitterbags placem_collection'!Z149="","",'WetLitterbags placem_collection'!Z149)</f>
        <v>19</v>
      </c>
      <c r="AF588" s="246" t="str">
        <f>IF('WetLitterbags placem_collection'!AA149="","",'WetLitterbags placem_collection'!AA149)</f>
        <v>M</v>
      </c>
      <c r="AG588">
        <f>IF('WetLitterbags placem_collection'!AC149="","",'WetLitterbags placem_collection'!AC149)</f>
        <v>1</v>
      </c>
      <c r="AH588" s="240">
        <f>AVERAGE('WetLitterbags placem_collection'!S149,'WetLitterbags placem_collection'!U149)</f>
        <v>23.35</v>
      </c>
      <c r="AI588">
        <f>AVERAGE('WetLitterbags placem_collection'!R149,'WetLitterbags placem_collection'!T149)</f>
        <v>29.9</v>
      </c>
      <c r="AJ588">
        <f>INDEX(Coordinates!$B$2:$B$197,MATCH(G588,Coordinates!$J$2:$J$197,0))</f>
        <v>-2.3675780180000001</v>
      </c>
      <c r="AK588">
        <f>INDEX(Coordinates!$C$2:$C$197,MATCH(G588,Coordinates!$J$2:$J$197,0))</f>
        <v>34.060323029999999</v>
      </c>
      <c r="AL588" t="str">
        <f>IF(ISNUMBER(SEARCH("C", 'WetLitterbags placem_collection'!X149)),"YES","NO")</f>
        <v>NO</v>
      </c>
      <c r="AM588" t="str">
        <f>IF(ISNUMBER(SEARCH("H", 'WetLitterbags placem_collection'!X149)),"YES","NO")</f>
        <v>NO</v>
      </c>
      <c r="AN588" t="str">
        <f>IF(ISNUMBER(SEARCH("R", 'WetLitterbags placem_collection'!X149)),"YES","NO")</f>
        <v>NO</v>
      </c>
    </row>
    <row r="589" spans="1:40" ht="15" customHeight="1">
      <c r="A589" s="258" t="s">
        <v>2460</v>
      </c>
      <c r="B589" s="263">
        <f>'Dry_Litterbag Placem_Collection'!A150</f>
        <v>148</v>
      </c>
      <c r="C589" s="263" t="str">
        <f>'Dry_Litterbag Placem_Collection'!B150</f>
        <v xml:space="preserve">Mwantimba
</v>
      </c>
      <c r="D589" s="263" t="s">
        <v>2460</v>
      </c>
      <c r="E589" s="263" t="s">
        <v>20</v>
      </c>
      <c r="F589" s="263">
        <v>3</v>
      </c>
      <c r="G589" s="264" t="str">
        <f>'Dry_Litterbag Placem_Collection'!C150</f>
        <v>Wet_P3_T4</v>
      </c>
      <c r="H589" s="273" t="s">
        <v>3651</v>
      </c>
      <c r="I589" s="266" t="s">
        <v>1147</v>
      </c>
      <c r="J589" s="223" t="str">
        <f>'WetLitterbags placem_collection'!O150</f>
        <v>G807</v>
      </c>
      <c r="K589" s="225">
        <f>IFERROR(INDEX('Green_rooibos initial weight'!$C$5:$C$1749,MATCH(J589, 'Green_rooibos initial weight'!$A$5:$A$1749,0)),"")</f>
        <v>2.0310000000000001</v>
      </c>
      <c r="L589" s="225">
        <f>IFERROR(K589-(TBIcalc!$H$9+TBIcalc!$H$10),"")</f>
        <v>1.7812000000000001</v>
      </c>
      <c r="M589" s="391">
        <f>AVERAGE(Ashed_controlls!$K$2:$K$11)</f>
        <v>5.5147656768714146</v>
      </c>
      <c r="N589" s="225">
        <f t="shared" si="49"/>
        <v>1.6829709937635664</v>
      </c>
      <c r="O589" s="225">
        <f>IF(IFERROR(INDEX('Both teabags AfterWet'!$C$3:$C$841,MATCH(J589,'Both teabags AfterWet'!$A$3:$A$841,0)),"")="","",(IFERROR(INDEX('Both teabags AfterWet'!$C$3:$C$841,MATCH(J589,'Both teabags AfterWet'!$A$3:$A$841,0)),"")))</f>
        <v>0.74309999999999998</v>
      </c>
      <c r="P589" s="225">
        <f>IFERROR(IF(O589&gt;0,O589-(TBIcalc!$H$9),""),"")</f>
        <v>0.59250000000000003</v>
      </c>
      <c r="Q589" s="225">
        <f>IFERROR(INDEX('Ashed teabags wet'!$K$2:$K$821,MATCH(J589,'Ashed teabags wet'!$A$2:$A$821,0)),"")</f>
        <v>19.203072491598501</v>
      </c>
      <c r="R589" s="225">
        <f t="shared" si="52"/>
        <v>0.47872179548727889</v>
      </c>
      <c r="S589" s="226">
        <f>'WetLitterbags placem_collection'!E150</f>
        <v>42762</v>
      </c>
      <c r="T589" s="226">
        <f>IF('WetLitterbags placem_collection'!G150="","",'WetLitterbags placem_collection'!G150)</f>
        <v>42816</v>
      </c>
      <c r="U589" s="227">
        <f t="shared" si="48"/>
        <v>54</v>
      </c>
      <c r="V589" s="225">
        <f t="shared" si="50"/>
        <v>1.1887000000000001</v>
      </c>
      <c r="W589" s="225">
        <f t="shared" si="51"/>
        <v>1.2042491982762875</v>
      </c>
      <c r="X589">
        <f>IFERROR(INDEX(Rainfall_Wet!$O$2:$O$217,MATCH(B589, Rainfall_Wet!$A$2:$A$217,0)),"")</f>
        <v>206.85140822299999</v>
      </c>
      <c r="Y589" s="231">
        <v>39.96</v>
      </c>
      <c r="Z589" s="231">
        <v>12.920000000000002</v>
      </c>
      <c r="AA589" s="231">
        <v>47.12</v>
      </c>
      <c r="AB589" s="232" t="s">
        <v>2674</v>
      </c>
      <c r="AC589" s="231">
        <v>4.6549531789058696</v>
      </c>
      <c r="AD589">
        <f>IF('WetLitterbags placem_collection'!AB150="","",'WetLitterbags placem_collection'!AB150)</f>
        <v>4.9000000000000004</v>
      </c>
      <c r="AE589">
        <f>IF('WetLitterbags placem_collection'!Z150="","",'WetLitterbags placem_collection'!Z150)</f>
        <v>17.489999999999998</v>
      </c>
      <c r="AF589" s="246" t="str">
        <f>IF('WetLitterbags placem_collection'!AA150="","",'WetLitterbags placem_collection'!AA150)</f>
        <v>M</v>
      </c>
      <c r="AG589">
        <f>IF('WetLitterbags placem_collection'!AC150="","",'WetLitterbags placem_collection'!AC150)</f>
        <v>1</v>
      </c>
      <c r="AH589" s="240">
        <f>AVERAGE('WetLitterbags placem_collection'!S150,'WetLitterbags placem_collection'!U150)</f>
        <v>28.2</v>
      </c>
      <c r="AI589">
        <f>AVERAGE('WetLitterbags placem_collection'!R150,'WetLitterbags placem_collection'!T150)</f>
        <v>25.299999999999997</v>
      </c>
      <c r="AJ589">
        <f>INDEX(Coordinates!$B$2:$B$197,MATCH(G589,Coordinates!$J$2:$J$197,0))</f>
        <v>-2.3676269689999998</v>
      </c>
      <c r="AK589">
        <f>INDEX(Coordinates!$C$2:$C$197,MATCH(G589,Coordinates!$J$2:$J$197,0))</f>
        <v>34.060310960000002</v>
      </c>
      <c r="AL589" t="str">
        <f>IF(ISNUMBER(SEARCH("C", 'WetLitterbags placem_collection'!X150)),"YES","NO")</f>
        <v>NO</v>
      </c>
      <c r="AM589" t="str">
        <f>IF(ISNUMBER(SEARCH("H", 'WetLitterbags placem_collection'!X150)),"YES","NO")</f>
        <v>NO</v>
      </c>
      <c r="AN589" t="str">
        <f>IF(ISNUMBER(SEARCH("R", 'WetLitterbags placem_collection'!X150)),"YES","NO")</f>
        <v>YES</v>
      </c>
    </row>
    <row r="590" spans="1:40" ht="15" customHeight="1">
      <c r="A590" s="258" t="s">
        <v>2460</v>
      </c>
      <c r="B590" s="263">
        <f>'Dry_Litterbag Placem_Collection'!A151</f>
        <v>149</v>
      </c>
      <c r="C590" s="263" t="str">
        <f>'Dry_Litterbag Placem_Collection'!B151</f>
        <v xml:space="preserve">Mwantimba
</v>
      </c>
      <c r="D590" s="263" t="s">
        <v>2460</v>
      </c>
      <c r="E590" s="263" t="s">
        <v>20</v>
      </c>
      <c r="F590" s="263">
        <v>3</v>
      </c>
      <c r="G590" s="264" t="str">
        <f>'Dry_Litterbag Placem_Collection'!C151</f>
        <v>Wet_P3_T5</v>
      </c>
      <c r="H590" s="273" t="s">
        <v>3651</v>
      </c>
      <c r="I590" s="266" t="s">
        <v>1147</v>
      </c>
      <c r="J590" s="223" t="str">
        <f>'WetLitterbags placem_collection'!O151</f>
        <v>G696</v>
      </c>
      <c r="K590" s="225">
        <f>IFERROR(INDEX('Green_rooibos initial weight'!$C$5:$C$1749,MATCH(J590, 'Green_rooibos initial weight'!$A$5:$A$1749,0)),"")</f>
        <v>2.036</v>
      </c>
      <c r="L590" s="225">
        <f>IFERROR(K590-(TBIcalc!$H$9+TBIcalc!$H$10),"")</f>
        <v>1.7862</v>
      </c>
      <c r="M590" s="391">
        <f>AVERAGE(Ashed_controlls!$K$2:$K$11)</f>
        <v>5.5147656768714146</v>
      </c>
      <c r="N590" s="225">
        <f t="shared" si="49"/>
        <v>1.6876952554797229</v>
      </c>
      <c r="O590" s="225">
        <f>IF(IFERROR(INDEX('Both teabags AfterWet'!$C$3:$C$841,MATCH(J590,'Both teabags AfterWet'!$A$3:$A$841,0)),"")="","",(IFERROR(INDEX('Both teabags AfterWet'!$C$3:$C$841,MATCH(J590,'Both teabags AfterWet'!$A$3:$A$841,0)),"")))</f>
        <v>0.82469999999999999</v>
      </c>
      <c r="P590" s="225">
        <f>IFERROR(IF(O590&gt;0,O590-(TBIcalc!$H$9),""),"")</f>
        <v>0.67409999999999992</v>
      </c>
      <c r="Q590" s="225">
        <f>IFERROR(INDEX('Ashed teabags wet'!$K$2:$K$821,MATCH(J590,'Ashed teabags wet'!$A$2:$A$821,0)),"")</f>
        <v>31.23781676413266</v>
      </c>
      <c r="R590" s="225">
        <f t="shared" si="52"/>
        <v>0.46352587719298166</v>
      </c>
      <c r="S590" s="226">
        <f>'WetLitterbags placem_collection'!E151</f>
        <v>42762</v>
      </c>
      <c r="T590" s="226">
        <f>IF('WetLitterbags placem_collection'!G151="","",'WetLitterbags placem_collection'!G151)</f>
        <v>42816</v>
      </c>
      <c r="U590" s="227">
        <f t="shared" si="48"/>
        <v>54</v>
      </c>
      <c r="V590" s="225">
        <f t="shared" si="50"/>
        <v>1.1121000000000001</v>
      </c>
      <c r="W590" s="225">
        <f t="shared" si="51"/>
        <v>1.2241693782867413</v>
      </c>
      <c r="X590">
        <f>IFERROR(INDEX(Rainfall_Wet!$O$2:$O$217,MATCH(B590, Rainfall_Wet!$A$2:$A$217,0)),"")</f>
        <v>206.85140822299999</v>
      </c>
      <c r="Y590" s="231">
        <v>39.96</v>
      </c>
      <c r="Z590" s="231">
        <v>12.920000000000002</v>
      </c>
      <c r="AA590" s="231">
        <v>47.12</v>
      </c>
      <c r="AB590" s="232" t="s">
        <v>2674</v>
      </c>
      <c r="AC590" s="231">
        <v>5.6549531789058696</v>
      </c>
      <c r="AD590">
        <f>IF('WetLitterbags placem_collection'!AB151="","",'WetLitterbags placem_collection'!AB151)</f>
        <v>2.8</v>
      </c>
      <c r="AE590">
        <f>IF('WetLitterbags placem_collection'!Z151="","",'WetLitterbags placem_collection'!Z151)</f>
        <v>13</v>
      </c>
      <c r="AF590" s="246" t="str">
        <f>IF('WetLitterbags placem_collection'!AA151="","",'WetLitterbags placem_collection'!AA151)</f>
        <v>M</v>
      </c>
      <c r="AG590">
        <f>IF('WetLitterbags placem_collection'!AC151="","",'WetLitterbags placem_collection'!AC151)</f>
        <v>1</v>
      </c>
      <c r="AH590" s="240">
        <f>AVERAGE('WetLitterbags placem_collection'!S151,'WetLitterbags placem_collection'!U151)</f>
        <v>25.4</v>
      </c>
      <c r="AI590">
        <f>AVERAGE('WetLitterbags placem_collection'!R151,'WetLitterbags placem_collection'!T151)</f>
        <v>26.9</v>
      </c>
      <c r="AJ590">
        <f>INDEX(Coordinates!$B$2:$B$197,MATCH(G590,Coordinates!$J$2:$J$197,0))</f>
        <v>-2.3677179960000001</v>
      </c>
      <c r="AK590">
        <f>INDEX(Coordinates!$C$2:$C$197,MATCH(G590,Coordinates!$J$2:$J$197,0))</f>
        <v>34.060324960000003</v>
      </c>
      <c r="AL590" t="str">
        <f>IF(ISNUMBER(SEARCH("C", 'WetLitterbags placem_collection'!X151)),"YES","NO")</f>
        <v>NO</v>
      </c>
      <c r="AM590" t="str">
        <f>IF(ISNUMBER(SEARCH("H", 'WetLitterbags placem_collection'!X151)),"YES","NO")</f>
        <v>NO</v>
      </c>
      <c r="AN590" t="str">
        <f>IF(ISNUMBER(SEARCH("R", 'WetLitterbags placem_collection'!X151)),"YES","NO")</f>
        <v>NO</v>
      </c>
    </row>
    <row r="591" spans="1:40" ht="15" customHeight="1">
      <c r="A591" s="258" t="s">
        <v>2460</v>
      </c>
      <c r="B591" s="263">
        <f>'Dry_Litterbag Placem_Collection'!A152</f>
        <v>150</v>
      </c>
      <c r="C591" s="263" t="str">
        <f>'Dry_Litterbag Placem_Collection'!B152</f>
        <v xml:space="preserve">Mwantimba
</v>
      </c>
      <c r="D591" s="263" t="s">
        <v>2460</v>
      </c>
      <c r="E591" s="263" t="s">
        <v>20</v>
      </c>
      <c r="F591" s="263">
        <v>3</v>
      </c>
      <c r="G591" s="264" t="str">
        <f>'Dry_Litterbag Placem_Collection'!C152</f>
        <v>Wet_P3_T6</v>
      </c>
      <c r="H591" s="273" t="s">
        <v>3651</v>
      </c>
      <c r="I591" s="266" t="s">
        <v>1147</v>
      </c>
      <c r="J591" s="223" t="str">
        <f>'WetLitterbags placem_collection'!O152</f>
        <v>G801</v>
      </c>
      <c r="K591" s="225">
        <f>IFERROR(INDEX('Green_rooibos initial weight'!$C$5:$C$1749,MATCH(J591, 'Green_rooibos initial weight'!$A$5:$A$1749,0)),"")</f>
        <v>2.0720000000000001</v>
      </c>
      <c r="L591" s="225">
        <f>IFERROR(K591-(TBIcalc!$H$9+TBIcalc!$H$10),"")</f>
        <v>1.8222</v>
      </c>
      <c r="M591" s="391">
        <f>AVERAGE(Ashed_controlls!$K$2:$K$11)</f>
        <v>5.5147656768714146</v>
      </c>
      <c r="N591" s="225">
        <f t="shared" si="49"/>
        <v>1.7217099398360491</v>
      </c>
      <c r="O591" s="225">
        <f>IF(IFERROR(INDEX('Both teabags AfterWet'!$C$3:$C$841,MATCH(J591,'Both teabags AfterWet'!$A$3:$A$841,0)),"")="","",(IFERROR(INDEX('Both teabags AfterWet'!$C$3:$C$841,MATCH(J591,'Both teabags AfterWet'!$A$3:$A$841,0)),"")))</f>
        <v>0.60099999999999998</v>
      </c>
      <c r="P591" s="225">
        <f>IFERROR(IF(O591&gt;0,O591-(TBIcalc!$H$9),""),"")</f>
        <v>0.45039999999999997</v>
      </c>
      <c r="Q591" s="225">
        <f>IFERROR(INDEX('Ashed teabags wet'!$K$2:$K$821,MATCH(J591,'Ashed teabags wet'!$A$2:$A$821,0)),"")</f>
        <v>20.08862629246671</v>
      </c>
      <c r="R591" s="225">
        <f t="shared" si="52"/>
        <v>0.35992082717872992</v>
      </c>
      <c r="S591" s="226">
        <f>'WetLitterbags placem_collection'!E152</f>
        <v>42762</v>
      </c>
      <c r="T591" s="226">
        <f>IF('WetLitterbags placem_collection'!G152="","",'WetLitterbags placem_collection'!G152)</f>
        <v>42816</v>
      </c>
      <c r="U591" s="227">
        <f t="shared" si="48"/>
        <v>54</v>
      </c>
      <c r="V591" s="225">
        <f t="shared" si="50"/>
        <v>1.3718000000000001</v>
      </c>
      <c r="W591" s="225">
        <f t="shared" si="51"/>
        <v>1.3617891126573192</v>
      </c>
      <c r="X591">
        <f>IFERROR(INDEX(Rainfall_Wet!$O$2:$O$217,MATCH(B591, Rainfall_Wet!$A$2:$A$217,0)),"")</f>
        <v>206.85140822299999</v>
      </c>
      <c r="Y591" s="231">
        <v>39.96</v>
      </c>
      <c r="Z591" s="231">
        <v>12.920000000000002</v>
      </c>
      <c r="AA591" s="231">
        <v>47.12</v>
      </c>
      <c r="AB591" s="232" t="s">
        <v>2674</v>
      </c>
      <c r="AC591" s="231">
        <v>6.6549531789058696</v>
      </c>
      <c r="AD591">
        <f>IF('WetLitterbags placem_collection'!AB152="","",'WetLitterbags placem_collection'!AB152)</f>
        <v>2.75</v>
      </c>
      <c r="AE591">
        <f>IF('WetLitterbags placem_collection'!Z152="","",'WetLitterbags placem_collection'!Z152)</f>
        <v>19</v>
      </c>
      <c r="AF591" s="246" t="str">
        <f>IF('WetLitterbags placem_collection'!AA152="","",'WetLitterbags placem_collection'!AA152)</f>
        <v>O</v>
      </c>
      <c r="AG591">
        <f>IF('WetLitterbags placem_collection'!AC152="","",'WetLitterbags placem_collection'!AC152)</f>
        <v>0</v>
      </c>
      <c r="AH591" s="240">
        <f>AVERAGE('WetLitterbags placem_collection'!S152,'WetLitterbags placem_collection'!U152)</f>
        <v>22.55</v>
      </c>
      <c r="AI591">
        <f>AVERAGE('WetLitterbags placem_collection'!R152,'WetLitterbags placem_collection'!T152)</f>
        <v>24.75</v>
      </c>
      <c r="AJ591">
        <f>INDEX(Coordinates!$B$2:$B$197,MATCH(G591,Coordinates!$J$2:$J$197,0))</f>
        <v>-2.3675230329999999</v>
      </c>
      <c r="AK591">
        <f>INDEX(Coordinates!$C$2:$C$197,MATCH(G591,Coordinates!$J$2:$J$197,0))</f>
        <v>34.060512969999998</v>
      </c>
      <c r="AL591" t="str">
        <f>IF(ISNUMBER(SEARCH("C", 'WetLitterbags placem_collection'!X152)),"YES","NO")</f>
        <v>NO</v>
      </c>
      <c r="AM591" t="str">
        <f>IF(ISNUMBER(SEARCH("H", 'WetLitterbags placem_collection'!X152)),"YES","NO")</f>
        <v>NO</v>
      </c>
      <c r="AN591" t="str">
        <f>IF(ISNUMBER(SEARCH("R", 'WetLitterbags placem_collection'!X152)),"YES","NO")</f>
        <v>NO</v>
      </c>
    </row>
    <row r="592" spans="1:40" ht="15" customHeight="1">
      <c r="A592" s="258" t="s">
        <v>2460</v>
      </c>
      <c r="B592" s="263">
        <f>'Dry_Litterbag Placem_Collection'!A153</f>
        <v>151</v>
      </c>
      <c r="C592" s="263" t="str">
        <f>'Dry_Litterbag Placem_Collection'!B153</f>
        <v xml:space="preserve">Mwantimba
</v>
      </c>
      <c r="D592" s="263" t="s">
        <v>2460</v>
      </c>
      <c r="E592" s="263" t="s">
        <v>20</v>
      </c>
      <c r="F592" s="263">
        <v>3</v>
      </c>
      <c r="G592" s="264" t="str">
        <f>'Dry_Litterbag Placem_Collection'!C153</f>
        <v>Wet_P3_T7</v>
      </c>
      <c r="H592" s="273" t="s">
        <v>3651</v>
      </c>
      <c r="I592" s="266" t="s">
        <v>1147</v>
      </c>
      <c r="J592" s="223" t="str">
        <f>'WetLitterbags placem_collection'!O153</f>
        <v>G647</v>
      </c>
      <c r="K592" s="225">
        <f>IFERROR(INDEX('Green_rooibos initial weight'!$C$5:$C$1749,MATCH(J592, 'Green_rooibos initial weight'!$A$5:$A$1749,0)),"")</f>
        <v>2.1240000000000001</v>
      </c>
      <c r="L592" s="225">
        <f>IFERROR(K592-(TBIcalc!$H$9+TBIcalc!$H$10),"")</f>
        <v>1.8742000000000001</v>
      </c>
      <c r="M592" s="391">
        <f>AVERAGE(Ashed_controlls!$K$2:$K$11)</f>
        <v>5.5147656768714146</v>
      </c>
      <c r="N592" s="225">
        <f t="shared" si="49"/>
        <v>1.770842261684076</v>
      </c>
      <c r="O592" s="225">
        <f>IF(IFERROR(INDEX('Both teabags AfterWet'!$C$3:$C$841,MATCH(J592,'Both teabags AfterWet'!$A$3:$A$841,0)),"")="","",(IFERROR(INDEX('Both teabags AfterWet'!$C$3:$C$841,MATCH(J592,'Both teabags AfterWet'!$A$3:$A$841,0)),"")))</f>
        <v>0.78700000000000003</v>
      </c>
      <c r="P592" s="225">
        <f>IFERROR(IF(O592&gt;0,O592-(TBIcalc!$H$9),""),"")</f>
        <v>0.63640000000000008</v>
      </c>
      <c r="Q592" s="225">
        <f>IFERROR(INDEX('Ashed teabags wet'!$K$2:$K$821,MATCH(J592,'Ashed teabags wet'!$A$2:$A$821,0)),"")</f>
        <v>20.305781175346262</v>
      </c>
      <c r="R592" s="225">
        <f t="shared" si="52"/>
        <v>0.50717400860009643</v>
      </c>
      <c r="S592" s="226">
        <f>'WetLitterbags placem_collection'!E153</f>
        <v>42762</v>
      </c>
      <c r="T592" s="226">
        <f>IF('WetLitterbags placem_collection'!G153="","",'WetLitterbags placem_collection'!G153)</f>
        <v>42816</v>
      </c>
      <c r="U592" s="227">
        <f t="shared" si="48"/>
        <v>54</v>
      </c>
      <c r="V592" s="225">
        <f t="shared" si="50"/>
        <v>1.2378</v>
      </c>
      <c r="W592" s="225">
        <f t="shared" si="51"/>
        <v>1.2636682530839796</v>
      </c>
      <c r="X592">
        <f>IFERROR(INDEX(Rainfall_Wet!$O$2:$O$217,MATCH(B592, Rainfall_Wet!$A$2:$A$217,0)),"")</f>
        <v>206.85140822299999</v>
      </c>
      <c r="Y592" s="231">
        <v>39.96</v>
      </c>
      <c r="Z592" s="231">
        <v>12.920000000000002</v>
      </c>
      <c r="AA592" s="231">
        <v>47.12</v>
      </c>
      <c r="AB592" s="232" t="s">
        <v>2674</v>
      </c>
      <c r="AC592" s="231">
        <v>7.6549531789058696</v>
      </c>
      <c r="AD592">
        <f>IF('WetLitterbags placem_collection'!AB153="","",'WetLitterbags placem_collection'!AB153)</f>
        <v>1.4</v>
      </c>
      <c r="AE592">
        <f>IF('WetLitterbags placem_collection'!Z153="","",'WetLitterbags placem_collection'!Z153)</f>
        <v>7.9</v>
      </c>
      <c r="AF592" s="246" t="str">
        <f>IF('WetLitterbags placem_collection'!AA153="","",'WetLitterbags placem_collection'!AA153)</f>
        <v>O</v>
      </c>
      <c r="AG592">
        <f>IF('WetLitterbags placem_collection'!AC153="","",'WetLitterbags placem_collection'!AC153)</f>
        <v>1</v>
      </c>
      <c r="AH592" s="240">
        <f>AVERAGE('WetLitterbags placem_collection'!S153,'WetLitterbags placem_collection'!U153)</f>
        <v>26.049999999999997</v>
      </c>
      <c r="AI592">
        <f>AVERAGE('WetLitterbags placem_collection'!R153,'WetLitterbags placem_collection'!T153)</f>
        <v>26.5</v>
      </c>
      <c r="AJ592">
        <f>INDEX(Coordinates!$B$2:$B$197,MATCH(G592,Coordinates!$J$2:$J$197,0))</f>
        <v>-2.3673460070000001</v>
      </c>
      <c r="AK592">
        <f>INDEX(Coordinates!$C$2:$C$197,MATCH(G592,Coordinates!$J$2:$J$197,0))</f>
        <v>34.060310039999997</v>
      </c>
      <c r="AL592" t="str">
        <f>IF(ISNUMBER(SEARCH("C", 'WetLitterbags placem_collection'!X153)),"YES","NO")</f>
        <v>NO</v>
      </c>
      <c r="AM592" t="str">
        <f>IF(ISNUMBER(SEARCH("H", 'WetLitterbags placem_collection'!X153)),"YES","NO")</f>
        <v>NO</v>
      </c>
      <c r="AN592" t="str">
        <f>IF(ISNUMBER(SEARCH("R", 'WetLitterbags placem_collection'!X153)),"YES","NO")</f>
        <v>YES</v>
      </c>
    </row>
    <row r="593" spans="1:40" ht="15" customHeight="1">
      <c r="A593" s="258" t="s">
        <v>2460</v>
      </c>
      <c r="B593" s="263">
        <f>'Dry_Litterbag Placem_Collection'!A154</f>
        <v>152</v>
      </c>
      <c r="C593" s="263" t="str">
        <f>'Dry_Litterbag Placem_Collection'!B154</f>
        <v xml:space="preserve">Mwantimba
</v>
      </c>
      <c r="D593" s="263" t="s">
        <v>2460</v>
      </c>
      <c r="E593" s="263" t="s">
        <v>20</v>
      </c>
      <c r="F593" s="263">
        <v>3</v>
      </c>
      <c r="G593" s="264" t="str">
        <f>'Dry_Litterbag Placem_Collection'!C154</f>
        <v>Wet_P3_T8</v>
      </c>
      <c r="H593" s="273" t="s">
        <v>3651</v>
      </c>
      <c r="I593" s="266" t="s">
        <v>1147</v>
      </c>
      <c r="J593" s="223" t="str">
        <f>'WetLitterbags placem_collection'!O154</f>
        <v>G744</v>
      </c>
      <c r="K593" s="225">
        <f>IFERROR(INDEX('Green_rooibos initial weight'!$C$5:$C$1749,MATCH(J593, 'Green_rooibos initial weight'!$A$5:$A$1749,0)),"")</f>
        <v>2.085</v>
      </c>
      <c r="L593" s="225">
        <f>IFERROR(K593-(TBIcalc!$H$9+TBIcalc!$H$10),"")</f>
        <v>1.8351999999999999</v>
      </c>
      <c r="M593" s="391">
        <f>AVERAGE(Ashed_controlls!$K$2:$K$11)</f>
        <v>5.5147656768714146</v>
      </c>
      <c r="N593" s="225">
        <f t="shared" si="49"/>
        <v>1.7339930202980558</v>
      </c>
      <c r="O593" s="225">
        <f>IF(IFERROR(INDEX('Both teabags AfterWet'!$C$3:$C$841,MATCH(J593,'Both teabags AfterWet'!$A$3:$A$841,0)),"")="","",(IFERROR(INDEX('Both teabags AfterWet'!$C$3:$C$841,MATCH(J593,'Both teabags AfterWet'!$A$3:$A$841,0)),"")))</f>
        <v>0.62919999999999998</v>
      </c>
      <c r="P593" s="225">
        <f>IFERROR(IF(O593&gt;0,O593-(TBIcalc!$H$9),""),"")</f>
        <v>0.47859999999999997</v>
      </c>
      <c r="Q593" s="225">
        <f>IFERROR(INDEX('Ashed teabags wet'!$K$2:$K$821,MATCH(J593,'Ashed teabags wet'!$A$2:$A$821,0)),"")</f>
        <v>13.529411764705387</v>
      </c>
      <c r="R593" s="225">
        <f t="shared" si="52"/>
        <v>0.41384823529411996</v>
      </c>
      <c r="S593" s="226">
        <f>'WetLitterbags placem_collection'!E154</f>
        <v>42762</v>
      </c>
      <c r="T593" s="226">
        <f>IF('WetLitterbags placem_collection'!G154="","",'WetLitterbags placem_collection'!G154)</f>
        <v>42816</v>
      </c>
      <c r="U593" s="227">
        <f t="shared" si="48"/>
        <v>54</v>
      </c>
      <c r="V593" s="225">
        <f t="shared" si="50"/>
        <v>1.3566</v>
      </c>
      <c r="W593" s="225">
        <f t="shared" si="51"/>
        <v>1.3201447850039358</v>
      </c>
      <c r="X593">
        <f>IFERROR(INDEX(Rainfall_Wet!$O$2:$O$217,MATCH(B593, Rainfall_Wet!$A$2:$A$217,0)),"")</f>
        <v>206.85140822299999</v>
      </c>
      <c r="Y593" s="231">
        <v>39.96</v>
      </c>
      <c r="Z593" s="231">
        <v>12.920000000000002</v>
      </c>
      <c r="AA593" s="231">
        <v>47.12</v>
      </c>
      <c r="AB593" s="232" t="s">
        <v>2674</v>
      </c>
      <c r="AC593" s="231">
        <v>8.6549531789058705</v>
      </c>
      <c r="AD593">
        <f>IF('WetLitterbags placem_collection'!AB154="","",'WetLitterbags placem_collection'!AB154)</f>
        <v>2.2000000000000002</v>
      </c>
      <c r="AE593">
        <f>IF('WetLitterbags placem_collection'!Z154="","",'WetLitterbags placem_collection'!Z154)</f>
        <v>15</v>
      </c>
      <c r="AF593" s="246" t="str">
        <f>IF('WetLitterbags placem_collection'!AA154="","",'WetLitterbags placem_collection'!AA154)</f>
        <v>M</v>
      </c>
      <c r="AG593">
        <f>IF('WetLitterbags placem_collection'!AC154="","",'WetLitterbags placem_collection'!AC154)</f>
        <v>0</v>
      </c>
      <c r="AH593" s="240">
        <f>AVERAGE('WetLitterbags placem_collection'!S154,'WetLitterbags placem_collection'!U154)</f>
        <v>18.8</v>
      </c>
      <c r="AI593">
        <f>AVERAGE('WetLitterbags placem_collection'!R154,'WetLitterbags placem_collection'!T154)</f>
        <v>23.7</v>
      </c>
      <c r="AJ593">
        <f>INDEX(Coordinates!$B$2:$B$197,MATCH(G593,Coordinates!$J$2:$J$197,0))</f>
        <v>-2.367543988</v>
      </c>
      <c r="AK593">
        <f>INDEX(Coordinates!$C$2:$C$197,MATCH(G593,Coordinates!$J$2:$J$197,0))</f>
        <v>34.060168969999999</v>
      </c>
      <c r="AL593" t="str">
        <f>IF(ISNUMBER(SEARCH("C", 'WetLitterbags placem_collection'!X154)),"YES","NO")</f>
        <v>NO</v>
      </c>
      <c r="AM593" t="str">
        <f>IF(ISNUMBER(SEARCH("H", 'WetLitterbags placem_collection'!X154)),"YES","NO")</f>
        <v>NO</v>
      </c>
      <c r="AN593" t="str">
        <f>IF(ISNUMBER(SEARCH("R", 'WetLitterbags placem_collection'!X154)),"YES","NO")</f>
        <v>YES</v>
      </c>
    </row>
    <row r="594" spans="1:40" ht="15" customHeight="1">
      <c r="A594" s="258" t="s">
        <v>2460</v>
      </c>
      <c r="B594" s="263">
        <f>'Dry_Litterbag Placem_Collection'!A155</f>
        <v>153</v>
      </c>
      <c r="C594" s="263" t="str">
        <f>'Dry_Litterbag Placem_Collection'!B155</f>
        <v xml:space="preserve">Mwantimba
</v>
      </c>
      <c r="D594" s="263" t="s">
        <v>2460</v>
      </c>
      <c r="E594" s="263" t="s">
        <v>20</v>
      </c>
      <c r="F594" s="263">
        <v>4</v>
      </c>
      <c r="G594" s="264" t="str">
        <f>'Dry_Litterbag Placem_Collection'!C155</f>
        <v>Wet_P4_T1</v>
      </c>
      <c r="H594" s="273" t="s">
        <v>3651</v>
      </c>
      <c r="I594" s="266" t="s">
        <v>1147</v>
      </c>
      <c r="J594" s="223" t="str">
        <f>'WetLitterbags placem_collection'!O155</f>
        <v>G885</v>
      </c>
      <c r="K594" s="225">
        <f>IFERROR(INDEX('Green_rooibos initial weight'!$C$5:$C$1749,MATCH(J594, 'Green_rooibos initial weight'!$A$5:$A$1749,0)),"")</f>
        <v>1.8939999999999999</v>
      </c>
      <c r="L594" s="225">
        <f>IFERROR(K594-(TBIcalc!$H$9+TBIcalc!$H$10),"")</f>
        <v>1.6441999999999999</v>
      </c>
      <c r="M594" s="391">
        <f>AVERAGE(Ashed_controlls!$K$2:$K$11)</f>
        <v>5.5147656768714146</v>
      </c>
      <c r="N594" s="225">
        <f t="shared" si="49"/>
        <v>1.5535262227408801</v>
      </c>
      <c r="O594" s="225">
        <f>IF(IFERROR(INDEX('Both teabags AfterWet'!$C$3:$C$841,MATCH(J594,'Both teabags AfterWet'!$A$3:$A$841,0)),"")="","",(IFERROR(INDEX('Both teabags AfterWet'!$C$3:$C$841,MATCH(J594,'Both teabags AfterWet'!$A$3:$A$841,0)),"")))</f>
        <v>0.5756</v>
      </c>
      <c r="P594" s="225">
        <f>IFERROR(IF(O594&gt;0,O594-(TBIcalc!$H$9),""),"")</f>
        <v>0.42499999999999999</v>
      </c>
      <c r="Q594" s="225">
        <f>IFERROR(INDEX('Ashed teabags wet'!$K$2:$K$821,MATCH(J594,'Ashed teabags wet'!$A$2:$A$821,0)),"")</f>
        <v>12.119700748128949</v>
      </c>
      <c r="R594" s="225">
        <f t="shared" si="52"/>
        <v>0.37349127182045194</v>
      </c>
      <c r="S594" s="226">
        <f>'WetLitterbags placem_collection'!E155</f>
        <v>42762</v>
      </c>
      <c r="T594" s="226">
        <f>IF('WetLitterbags placem_collection'!G155="","",'WetLitterbags placem_collection'!G155)</f>
        <v>42816</v>
      </c>
      <c r="U594" s="227">
        <f t="shared" si="48"/>
        <v>54</v>
      </c>
      <c r="V594" s="225">
        <f t="shared" si="50"/>
        <v>1.2191999999999998</v>
      </c>
      <c r="W594" s="225">
        <f t="shared" si="51"/>
        <v>1.1800349509204282</v>
      </c>
      <c r="X594">
        <f>IFERROR(INDEX(Rainfall_Wet!$O$2:$O$217,MATCH(B594, Rainfall_Wet!$A$2:$A$217,0)),"")</f>
        <v>206.85140822299999</v>
      </c>
      <c r="Y594" s="231">
        <v>27.96</v>
      </c>
      <c r="Z594" s="231">
        <v>4.9200000000000017</v>
      </c>
      <c r="AA594" s="231">
        <v>67.12</v>
      </c>
      <c r="AB594" s="232" t="s">
        <v>2670</v>
      </c>
      <c r="AC594" s="231">
        <v>1.0437161163134547</v>
      </c>
      <c r="AD594">
        <f>IF('WetLitterbags placem_collection'!AB155="","",'WetLitterbags placem_collection'!AB155)</f>
        <v>2.1</v>
      </c>
      <c r="AE594">
        <f>IF('WetLitterbags placem_collection'!Z155="","",'WetLitterbags placem_collection'!Z155)</f>
        <v>16.399999999999999</v>
      </c>
      <c r="AF594" s="246" t="str">
        <f>IF('WetLitterbags placem_collection'!AA155="","",'WetLitterbags placem_collection'!AA155)</f>
        <v>G</v>
      </c>
      <c r="AG594">
        <f>IF('WetLitterbags placem_collection'!AC155="","",'WetLitterbags placem_collection'!AC155)</f>
        <v>0</v>
      </c>
      <c r="AH594" s="240">
        <f>AVERAGE('WetLitterbags placem_collection'!S155,'WetLitterbags placem_collection'!U155)</f>
        <v>21.35</v>
      </c>
      <c r="AI594">
        <f>AVERAGE('WetLitterbags placem_collection'!R155,'WetLitterbags placem_collection'!T155)</f>
        <v>26.700000000000003</v>
      </c>
      <c r="AJ594">
        <f>INDEX(Coordinates!$B$2:$B$197,MATCH(G594,Coordinates!$J$2:$J$197,0))</f>
        <v>-2.3676780150000001</v>
      </c>
      <c r="AK594">
        <f>INDEX(Coordinates!$C$2:$C$197,MATCH(G594,Coordinates!$J$2:$J$197,0))</f>
        <v>34.05937797</v>
      </c>
      <c r="AL594" t="str">
        <f>IF(ISNUMBER(SEARCH("C", 'WetLitterbags placem_collection'!X155)),"YES","NO")</f>
        <v>NO</v>
      </c>
      <c r="AM594" t="str">
        <f>IF(ISNUMBER(SEARCH("H", 'WetLitterbags placem_collection'!X155)),"YES","NO")</f>
        <v>NO</v>
      </c>
      <c r="AN594" t="str">
        <f>IF(ISNUMBER(SEARCH("R", 'WetLitterbags placem_collection'!X155)),"YES","NO")</f>
        <v>YES</v>
      </c>
    </row>
    <row r="595" spans="1:40" ht="15" customHeight="1">
      <c r="A595" s="258" t="s">
        <v>2460</v>
      </c>
      <c r="B595" s="263">
        <f>'Dry_Litterbag Placem_Collection'!A156</f>
        <v>154</v>
      </c>
      <c r="C595" s="263" t="str">
        <f>'Dry_Litterbag Placem_Collection'!B156</f>
        <v xml:space="preserve">Mwantimba
</v>
      </c>
      <c r="D595" s="263" t="s">
        <v>2460</v>
      </c>
      <c r="E595" s="263" t="s">
        <v>20</v>
      </c>
      <c r="F595" s="263">
        <v>4</v>
      </c>
      <c r="G595" s="264" t="str">
        <f>'Dry_Litterbag Placem_Collection'!C156</f>
        <v>Wet_P4_T2</v>
      </c>
      <c r="H595" s="273" t="s">
        <v>3651</v>
      </c>
      <c r="I595" s="266" t="s">
        <v>1147</v>
      </c>
      <c r="J595" s="223" t="str">
        <f>'WetLitterbags placem_collection'!O156</f>
        <v>G684</v>
      </c>
      <c r="K595" s="225">
        <f>IFERROR(INDEX('Green_rooibos initial weight'!$C$5:$C$1749,MATCH(J595, 'Green_rooibos initial weight'!$A$5:$A$1749,0)),"")</f>
        <v>2.0819999999999999</v>
      </c>
      <c r="L595" s="225">
        <f>IFERROR(K595-(TBIcalc!$H$9+TBIcalc!$H$10),"")</f>
        <v>1.8321999999999998</v>
      </c>
      <c r="M595" s="391">
        <f>AVERAGE(Ashed_controlls!$K$2:$K$11)</f>
        <v>5.5147656768714146</v>
      </c>
      <c r="N595" s="225">
        <f t="shared" si="49"/>
        <v>1.7311584632683619</v>
      </c>
      <c r="O595" s="225">
        <f>IF(IFERROR(INDEX('Both teabags AfterWet'!$C$3:$C$841,MATCH(J595,'Both teabags AfterWet'!$A$3:$A$841,0)),"")="","",(IFERROR(INDEX('Both teabags AfterWet'!$C$3:$C$841,MATCH(J595,'Both teabags AfterWet'!$A$3:$A$841,0)),"")))</f>
        <v>0.60499999999999998</v>
      </c>
      <c r="P595" s="225">
        <f>IFERROR(IF(O595&gt;0,O595-(TBIcalc!$H$9),""),"")</f>
        <v>0.45439999999999997</v>
      </c>
      <c r="Q595" s="225">
        <f>IFERROR(INDEX('Ashed teabags wet'!$K$2:$K$821,MATCH(J595,'Ashed teabags wet'!$A$2:$A$821,0)),"")</f>
        <v>17.540322580645736</v>
      </c>
      <c r="R595" s="225">
        <f t="shared" si="52"/>
        <v>0.37469677419354575</v>
      </c>
      <c r="S595" s="226">
        <f>'WetLitterbags placem_collection'!E156</f>
        <v>42762</v>
      </c>
      <c r="T595" s="226">
        <f>IF('WetLitterbags placem_collection'!G156="","",'WetLitterbags placem_collection'!G156)</f>
        <v>42816</v>
      </c>
      <c r="U595" s="227">
        <f t="shared" si="48"/>
        <v>54</v>
      </c>
      <c r="V595" s="225">
        <f t="shared" si="50"/>
        <v>1.3777999999999999</v>
      </c>
      <c r="W595" s="225">
        <f t="shared" si="51"/>
        <v>1.3564616890748162</v>
      </c>
      <c r="X595">
        <f>IFERROR(INDEX(Rainfall_Wet!$O$2:$O$217,MATCH(B595, Rainfall_Wet!$A$2:$A$217,0)),"")</f>
        <v>206.85140822299999</v>
      </c>
      <c r="Y595" s="231">
        <v>27.96</v>
      </c>
      <c r="Z595" s="231">
        <v>4.9200000000000017</v>
      </c>
      <c r="AA595" s="231">
        <v>67.12</v>
      </c>
      <c r="AB595" s="232" t="s">
        <v>2670</v>
      </c>
      <c r="AC595" s="231">
        <v>2.0437161163134498</v>
      </c>
      <c r="AD595">
        <f>IF('WetLitterbags placem_collection'!AB156="","",'WetLitterbags placem_collection'!AB156)</f>
        <v>2.15</v>
      </c>
      <c r="AE595">
        <f>IF('WetLitterbags placem_collection'!Z156="","",'WetLitterbags placem_collection'!Z156)</f>
        <v>9</v>
      </c>
      <c r="AF595" s="246" t="str">
        <f>IF('WetLitterbags placem_collection'!AA156="","",'WetLitterbags placem_collection'!AA156)</f>
        <v>G</v>
      </c>
      <c r="AG595">
        <f>IF('WetLitterbags placem_collection'!AC156="","",'WetLitterbags placem_collection'!AC156)</f>
        <v>0</v>
      </c>
      <c r="AH595" s="240">
        <f>AVERAGE('WetLitterbags placem_collection'!S156,'WetLitterbags placem_collection'!U156)</f>
        <v>23.5</v>
      </c>
      <c r="AI595">
        <f>AVERAGE('WetLitterbags placem_collection'!R156,'WetLitterbags placem_collection'!T156)</f>
        <v>25.7</v>
      </c>
      <c r="AJ595">
        <f>INDEX(Coordinates!$B$2:$B$197,MATCH(G595,Coordinates!$J$2:$J$197,0))</f>
        <v>-2.3677299820000002</v>
      </c>
      <c r="AK595">
        <f>INDEX(Coordinates!$C$2:$C$197,MATCH(G595,Coordinates!$J$2:$J$197,0))</f>
        <v>34.059351990000003</v>
      </c>
      <c r="AL595" t="str">
        <f>IF(ISNUMBER(SEARCH("C", 'WetLitterbags placem_collection'!X156)),"YES","NO")</f>
        <v>NO</v>
      </c>
      <c r="AM595" t="str">
        <f>IF(ISNUMBER(SEARCH("H", 'WetLitterbags placem_collection'!X156)),"YES","NO")</f>
        <v>NO</v>
      </c>
      <c r="AN595" t="str">
        <f>IF(ISNUMBER(SEARCH("R", 'WetLitterbags placem_collection'!X156)),"YES","NO")</f>
        <v>YES</v>
      </c>
    </row>
    <row r="596" spans="1:40" ht="15" customHeight="1">
      <c r="A596" s="258" t="s">
        <v>2460</v>
      </c>
      <c r="B596" s="263">
        <f>'Dry_Litterbag Placem_Collection'!A157</f>
        <v>155</v>
      </c>
      <c r="C596" s="263" t="str">
        <f>'Dry_Litterbag Placem_Collection'!B157</f>
        <v xml:space="preserve">Mwantimba
</v>
      </c>
      <c r="D596" s="263" t="s">
        <v>2460</v>
      </c>
      <c r="E596" s="263" t="s">
        <v>20</v>
      </c>
      <c r="F596" s="263">
        <v>4</v>
      </c>
      <c r="G596" s="264" t="str">
        <f>'Dry_Litterbag Placem_Collection'!C157</f>
        <v>Wet_P4_T3</v>
      </c>
      <c r="H596" s="273" t="s">
        <v>3651</v>
      </c>
      <c r="I596" s="266" t="s">
        <v>1147</v>
      </c>
      <c r="J596" s="223" t="str">
        <f>'WetLitterbags placem_collection'!O157</f>
        <v>G827</v>
      </c>
      <c r="K596" s="225">
        <f>IFERROR(INDEX('Green_rooibos initial weight'!$C$5:$C$1749,MATCH(J596, 'Green_rooibos initial weight'!$A$5:$A$1749,0)),"")</f>
        <v>1.883</v>
      </c>
      <c r="L596" s="225">
        <f>IFERROR(K596-(TBIcalc!$H$9+TBIcalc!$H$10),"")</f>
        <v>1.6332</v>
      </c>
      <c r="M596" s="391">
        <f>AVERAGE(Ashed_controlls!$K$2:$K$11)</f>
        <v>5.5147656768714146</v>
      </c>
      <c r="N596" s="225">
        <f t="shared" si="49"/>
        <v>1.543132846965336</v>
      </c>
      <c r="O596" s="225" t="str">
        <f>IF(IFERROR(INDEX('Both teabags AfterWet'!$C$3:$C$841,MATCH(J596,'Both teabags AfterWet'!$A$3:$A$841,0)),"")="","",(IFERROR(INDEX('Both teabags AfterWet'!$C$3:$C$841,MATCH(J596,'Both teabags AfterWet'!$A$3:$A$841,0)),"")))</f>
        <v/>
      </c>
      <c r="P596" s="225" t="str">
        <f>IFERROR(IF(O596&gt;0,O596-(TBIcalc!$H$9),""),"")</f>
        <v/>
      </c>
      <c r="Q596" s="225">
        <f>IFERROR(INDEX('Ashed teabags wet'!$K$2:$K$821,MATCH(J596,'Ashed teabags wet'!$A$2:$A$821,0)),"")</f>
        <v>19.219219219219006</v>
      </c>
      <c r="R596" s="225" t="str">
        <f t="shared" si="52"/>
        <v/>
      </c>
      <c r="S596" s="226">
        <f>'WetLitterbags placem_collection'!E157</f>
        <v>42762</v>
      </c>
      <c r="T596" s="226">
        <f>IF('WetLitterbags placem_collection'!G157="","",'WetLitterbags placem_collection'!G157)</f>
        <v>42816</v>
      </c>
      <c r="U596" s="227">
        <f t="shared" si="48"/>
        <v>54</v>
      </c>
      <c r="V596" s="225" t="str">
        <f t="shared" si="50"/>
        <v/>
      </c>
      <c r="W596" s="225" t="str">
        <f t="shared" si="51"/>
        <v/>
      </c>
      <c r="X596">
        <f>IFERROR(INDEX(Rainfall_Wet!$O$2:$O$217,MATCH(B596, Rainfall_Wet!$A$2:$A$217,0)),"")</f>
        <v>206.85140822299999</v>
      </c>
      <c r="Y596" s="231">
        <v>27.96</v>
      </c>
      <c r="Z596" s="231">
        <v>4.9200000000000017</v>
      </c>
      <c r="AA596" s="231">
        <v>67.12</v>
      </c>
      <c r="AB596" s="232" t="s">
        <v>2670</v>
      </c>
      <c r="AC596" s="231">
        <v>3.0437161163134498</v>
      </c>
      <c r="AD596">
        <f>IF('WetLitterbags placem_collection'!AB157="","",'WetLitterbags placem_collection'!AB157)</f>
        <v>1.2</v>
      </c>
      <c r="AE596">
        <f>IF('WetLitterbags placem_collection'!Z157="","",'WetLitterbags placem_collection'!Z157)</f>
        <v>11</v>
      </c>
      <c r="AF596" s="246" t="str">
        <f>IF('WetLitterbags placem_collection'!AA157="","",'WetLitterbags placem_collection'!AA157)</f>
        <v>G</v>
      </c>
      <c r="AG596">
        <f>IF('WetLitterbags placem_collection'!AC157="","",'WetLitterbags placem_collection'!AC157)</f>
        <v>0</v>
      </c>
      <c r="AH596" s="240">
        <f>AVERAGE('WetLitterbags placem_collection'!S157,'WetLitterbags placem_collection'!U157)</f>
        <v>23.75</v>
      </c>
      <c r="AI596">
        <f>AVERAGE('WetLitterbags placem_collection'!R157,'WetLitterbags placem_collection'!T157)</f>
        <v>26.799999999999997</v>
      </c>
      <c r="AJ596">
        <f>INDEX(Coordinates!$B$2:$B$197,MATCH(G596,Coordinates!$J$2:$J$197,0))</f>
        <v>-2.3677119609999999</v>
      </c>
      <c r="AK596">
        <f>INDEX(Coordinates!$C$2:$C$197,MATCH(G596,Coordinates!$J$2:$J$197,0))</f>
        <v>34.059339000000001</v>
      </c>
      <c r="AL596" t="str">
        <f>IF(ISNUMBER(SEARCH("C", 'WetLitterbags placem_collection'!X157)),"YES","NO")</f>
        <v>NO</v>
      </c>
      <c r="AM596" t="str">
        <f>IF(ISNUMBER(SEARCH("H", 'WetLitterbags placem_collection'!X157)),"YES","NO")</f>
        <v>NO</v>
      </c>
      <c r="AN596" t="str">
        <f>IF(ISNUMBER(SEARCH("R", 'WetLitterbags placem_collection'!X157)),"YES","NO")</f>
        <v>NO</v>
      </c>
    </row>
    <row r="597" spans="1:40" ht="15" customHeight="1">
      <c r="A597" s="258" t="s">
        <v>2460</v>
      </c>
      <c r="B597" s="263">
        <f>'Dry_Litterbag Placem_Collection'!A158</f>
        <v>156</v>
      </c>
      <c r="C597" s="263" t="str">
        <f>'Dry_Litterbag Placem_Collection'!B158</f>
        <v xml:space="preserve">Mwantimba
</v>
      </c>
      <c r="D597" s="263" t="s">
        <v>2460</v>
      </c>
      <c r="E597" s="263" t="s">
        <v>20</v>
      </c>
      <c r="F597" s="263">
        <v>4</v>
      </c>
      <c r="G597" s="264" t="str">
        <f>'Dry_Litterbag Placem_Collection'!C158</f>
        <v>Wet_P4_T4</v>
      </c>
      <c r="H597" s="273" t="s">
        <v>3651</v>
      </c>
      <c r="I597" s="266" t="s">
        <v>1147</v>
      </c>
      <c r="J597" s="223" t="str">
        <f>'WetLitterbags placem_collection'!O158</f>
        <v>G667</v>
      </c>
      <c r="K597" s="225">
        <f>IFERROR(INDEX('Green_rooibos initial weight'!$C$5:$C$1749,MATCH(J597, 'Green_rooibos initial weight'!$A$5:$A$1749,0)),"")</f>
        <v>2.048</v>
      </c>
      <c r="L597" s="225">
        <f>IFERROR(K597-(TBIcalc!$H$9+TBIcalc!$H$10),"")</f>
        <v>1.7982</v>
      </c>
      <c r="M597" s="391">
        <f>AVERAGE(Ashed_controlls!$K$2:$K$11)</f>
        <v>5.5147656768714146</v>
      </c>
      <c r="N597" s="225">
        <f t="shared" si="49"/>
        <v>1.6990334835984982</v>
      </c>
      <c r="O597" s="225">
        <f>IF(IFERROR(INDEX('Both teabags AfterWet'!$C$3:$C$841,MATCH(J597,'Both teabags AfterWet'!$A$3:$A$841,0)),"")="","",(IFERROR(INDEX('Both teabags AfterWet'!$C$3:$C$841,MATCH(J597,'Both teabags AfterWet'!$A$3:$A$841,0)),"")))</f>
        <v>0.65800000000000003</v>
      </c>
      <c r="P597" s="225">
        <f>IFERROR(IF(O597&gt;0,O597-(TBIcalc!$H$9),""),"")</f>
        <v>0.50740000000000007</v>
      </c>
      <c r="Q597" s="225">
        <f>IFERROR(INDEX('Ashed teabags wet'!$K$2:$K$821,MATCH(J597,'Ashed teabags wet'!$A$2:$A$821,0)),"")</f>
        <v>27.494061757718864</v>
      </c>
      <c r="R597" s="225">
        <f t="shared" si="52"/>
        <v>0.36789513064133456</v>
      </c>
      <c r="S597" s="226">
        <f>'WetLitterbags placem_collection'!E158</f>
        <v>42762</v>
      </c>
      <c r="T597" s="226">
        <f>IF('WetLitterbags placem_collection'!G158="","",'WetLitterbags placem_collection'!G158)</f>
        <v>42816</v>
      </c>
      <c r="U597" s="227">
        <f t="shared" si="48"/>
        <v>54</v>
      </c>
      <c r="V597" s="225">
        <f t="shared" si="50"/>
        <v>1.2907999999999999</v>
      </c>
      <c r="W597" s="225">
        <f t="shared" si="51"/>
        <v>1.3311383529571637</v>
      </c>
      <c r="X597">
        <f>IFERROR(INDEX(Rainfall_Wet!$O$2:$O$217,MATCH(B597, Rainfall_Wet!$A$2:$A$217,0)),"")</f>
        <v>206.85140822299999</v>
      </c>
      <c r="Y597" s="231">
        <v>27.96</v>
      </c>
      <c r="Z597" s="231">
        <v>4.9200000000000017</v>
      </c>
      <c r="AA597" s="231">
        <v>67.12</v>
      </c>
      <c r="AB597" s="232" t="s">
        <v>2670</v>
      </c>
      <c r="AC597" s="231">
        <v>4.0437161163134503</v>
      </c>
      <c r="AD597">
        <f>IF('WetLitterbags placem_collection'!AB158="","",'WetLitterbags placem_collection'!AB158)</f>
        <v>1.55</v>
      </c>
      <c r="AE597">
        <f>IF('WetLitterbags placem_collection'!Z158="","",'WetLitterbags placem_collection'!Z158)</f>
        <v>9.1</v>
      </c>
      <c r="AF597" s="246" t="str">
        <f>IF('WetLitterbags placem_collection'!AA158="","",'WetLitterbags placem_collection'!AA158)</f>
        <v>O</v>
      </c>
      <c r="AG597">
        <f>IF('WetLitterbags placem_collection'!AC158="","",'WetLitterbags placem_collection'!AC158)</f>
        <v>0</v>
      </c>
      <c r="AH597" s="240">
        <f>AVERAGE('WetLitterbags placem_collection'!S158,'WetLitterbags placem_collection'!U158)</f>
        <v>21.700000000000003</v>
      </c>
      <c r="AI597">
        <f>AVERAGE('WetLitterbags placem_collection'!R158,'WetLitterbags placem_collection'!T158)</f>
        <v>26.95</v>
      </c>
      <c r="AJ597">
        <f>INDEX(Coordinates!$B$2:$B$197,MATCH(G597,Coordinates!$J$2:$J$197,0))</f>
        <v>-2.3676950300000001</v>
      </c>
      <c r="AK597">
        <f>INDEX(Coordinates!$C$2:$C$197,MATCH(G597,Coordinates!$J$2:$J$197,0))</f>
        <v>34.059499010000003</v>
      </c>
      <c r="AL597" t="str">
        <f>IF(ISNUMBER(SEARCH("C", 'WetLitterbags placem_collection'!X158)),"YES","NO")</f>
        <v>NO</v>
      </c>
      <c r="AM597" t="str">
        <f>IF(ISNUMBER(SEARCH("H", 'WetLitterbags placem_collection'!X158)),"YES","NO")</f>
        <v>NO</v>
      </c>
      <c r="AN597" t="str">
        <f>IF(ISNUMBER(SEARCH("R", 'WetLitterbags placem_collection'!X158)),"YES","NO")</f>
        <v>YES</v>
      </c>
    </row>
    <row r="598" spans="1:40" ht="15" customHeight="1">
      <c r="A598" s="258" t="s">
        <v>2460</v>
      </c>
      <c r="B598" s="263">
        <f>'Dry_Litterbag Placem_Collection'!A159</f>
        <v>157</v>
      </c>
      <c r="C598" s="263" t="str">
        <f>'Dry_Litterbag Placem_Collection'!B159</f>
        <v xml:space="preserve">Mwantimba
</v>
      </c>
      <c r="D598" s="263" t="s">
        <v>2460</v>
      </c>
      <c r="E598" s="263" t="s">
        <v>20</v>
      </c>
      <c r="F598" s="263">
        <v>4</v>
      </c>
      <c r="G598" s="264" t="str">
        <f>'Dry_Litterbag Placem_Collection'!C159</f>
        <v>Wet_P4_T5</v>
      </c>
      <c r="H598" s="273" t="s">
        <v>3651</v>
      </c>
      <c r="I598" s="266" t="s">
        <v>1147</v>
      </c>
      <c r="J598" s="223" t="str">
        <f>'WetLitterbags placem_collection'!O159</f>
        <v>G777</v>
      </c>
      <c r="K598" s="225">
        <f>IFERROR(INDEX('Green_rooibos initial weight'!$C$5:$C$1749,MATCH(J598, 'Green_rooibos initial weight'!$A$5:$A$1749,0)),"")</f>
        <v>2.0470000000000002</v>
      </c>
      <c r="L598" s="225">
        <f>IFERROR(K598-(TBIcalc!$H$9+TBIcalc!$H$10),"")</f>
        <v>1.7972000000000001</v>
      </c>
      <c r="M598" s="391">
        <f>AVERAGE(Ashed_controlls!$K$2:$K$11)</f>
        <v>5.5147656768714146</v>
      </c>
      <c r="N598" s="225">
        <f t="shared" si="49"/>
        <v>1.698088631255267</v>
      </c>
      <c r="O598" s="225">
        <f>IF(IFERROR(INDEX('Both teabags AfterWet'!$C$3:$C$841,MATCH(J598,'Both teabags AfterWet'!$A$3:$A$841,0)),"")="","",(IFERROR(INDEX('Both teabags AfterWet'!$C$3:$C$841,MATCH(J598,'Both teabags AfterWet'!$A$3:$A$841,0)),"")))</f>
        <v>0.70499999999999996</v>
      </c>
      <c r="P598" s="225">
        <f>IFERROR(IF(O598&gt;0,O598-(TBIcalc!$H$9),""),"")</f>
        <v>0.5544</v>
      </c>
      <c r="Q598" s="225">
        <f>IFERROR(INDEX('Ashed teabags wet'!$K$2:$K$821,MATCH(J598,'Ashed teabags wet'!$A$2:$A$821,0)),"")</f>
        <v>15.610972568578548</v>
      </c>
      <c r="R598" s="225">
        <f t="shared" si="52"/>
        <v>0.46785276807980053</v>
      </c>
      <c r="S598" s="226">
        <f>'WetLitterbags placem_collection'!E159</f>
        <v>42762</v>
      </c>
      <c r="T598" s="226">
        <f>IF('WetLitterbags placem_collection'!G159="","",'WetLitterbags placem_collection'!G159)</f>
        <v>42816</v>
      </c>
      <c r="U598" s="227">
        <f t="shared" si="48"/>
        <v>54</v>
      </c>
      <c r="V598" s="225">
        <f t="shared" si="50"/>
        <v>1.2428000000000001</v>
      </c>
      <c r="W598" s="225">
        <f t="shared" si="51"/>
        <v>1.2302358631754664</v>
      </c>
      <c r="X598">
        <f>IFERROR(INDEX(Rainfall_Wet!$O$2:$O$217,MATCH(B598, Rainfall_Wet!$A$2:$A$217,0)),"")</f>
        <v>206.85140822299999</v>
      </c>
      <c r="Y598" s="231">
        <v>27.96</v>
      </c>
      <c r="Z598" s="231">
        <v>4.9200000000000017</v>
      </c>
      <c r="AA598" s="231">
        <v>67.12</v>
      </c>
      <c r="AB598" s="232" t="s">
        <v>2670</v>
      </c>
      <c r="AC598" s="231">
        <v>5.0437161163134503</v>
      </c>
      <c r="AD598">
        <f>IF('WetLitterbags placem_collection'!AB159="","",'WetLitterbags placem_collection'!AB159)</f>
        <v>2.2999999999999998</v>
      </c>
      <c r="AE598">
        <f>IF('WetLitterbags placem_collection'!Z159="","",'WetLitterbags placem_collection'!Z159)</f>
        <v>7.7</v>
      </c>
      <c r="AF598" s="246" t="str">
        <f>IF('WetLitterbags placem_collection'!AA159="","",'WetLitterbags placem_collection'!AA159)</f>
        <v>O</v>
      </c>
      <c r="AG598">
        <f>IF('WetLitterbags placem_collection'!AC159="","",'WetLitterbags placem_collection'!AC159)</f>
        <v>0</v>
      </c>
      <c r="AH598" s="240">
        <f>AVERAGE('WetLitterbags placem_collection'!S159,'WetLitterbags placem_collection'!U159)</f>
        <v>22.6</v>
      </c>
      <c r="AI598">
        <f>AVERAGE('WetLitterbags placem_collection'!R159,'WetLitterbags placem_collection'!T159)</f>
        <v>29.2</v>
      </c>
      <c r="AJ598">
        <f>INDEX(Coordinates!$B$2:$B$197,MATCH(G598,Coordinates!$J$2:$J$197,0))</f>
        <v>-2.3678019830000001</v>
      </c>
      <c r="AK598">
        <f>INDEX(Coordinates!$C$2:$C$197,MATCH(G598,Coordinates!$J$2:$J$197,0))</f>
        <v>34.059521969999999</v>
      </c>
      <c r="AL598" t="str">
        <f>IF(ISNUMBER(SEARCH("C", 'WetLitterbags placem_collection'!X159)),"YES","NO")</f>
        <v>NO</v>
      </c>
      <c r="AM598" t="str">
        <f>IF(ISNUMBER(SEARCH("H", 'WetLitterbags placem_collection'!X159)),"YES","NO")</f>
        <v>NO</v>
      </c>
      <c r="AN598" t="str">
        <f>IF(ISNUMBER(SEARCH("R", 'WetLitterbags placem_collection'!X159)),"YES","NO")</f>
        <v>YES</v>
      </c>
    </row>
    <row r="599" spans="1:40" ht="15" customHeight="1">
      <c r="A599" s="258" t="s">
        <v>2460</v>
      </c>
      <c r="B599" s="263">
        <f>'Dry_Litterbag Placem_Collection'!A160</f>
        <v>158</v>
      </c>
      <c r="C599" s="263" t="str">
        <f>'Dry_Litterbag Placem_Collection'!B160</f>
        <v xml:space="preserve">Mwantimba
</v>
      </c>
      <c r="D599" s="263" t="s">
        <v>2460</v>
      </c>
      <c r="E599" s="263" t="s">
        <v>20</v>
      </c>
      <c r="F599" s="263">
        <v>4</v>
      </c>
      <c r="G599" s="264" t="str">
        <f>'Dry_Litterbag Placem_Collection'!C160</f>
        <v>Wet_P4_T6</v>
      </c>
      <c r="H599" s="273" t="s">
        <v>3651</v>
      </c>
      <c r="I599" s="266" t="s">
        <v>1147</v>
      </c>
      <c r="J599" s="223" t="str">
        <f>'WetLitterbags placem_collection'!O160</f>
        <v>G884</v>
      </c>
      <c r="K599" s="225">
        <f>IFERROR(INDEX('Green_rooibos initial weight'!$C$5:$C$1749,MATCH(J599, 'Green_rooibos initial weight'!$A$5:$A$1749,0)),"")</f>
        <v>2.0710000000000002</v>
      </c>
      <c r="L599" s="225">
        <f>IFERROR(K599-(TBIcalc!$H$9+TBIcalc!$H$10),"")</f>
        <v>1.8212000000000002</v>
      </c>
      <c r="M599" s="391">
        <f>AVERAGE(Ashed_controlls!$K$2:$K$11)</f>
        <v>5.5147656768714146</v>
      </c>
      <c r="N599" s="225">
        <f t="shared" si="49"/>
        <v>1.720765087492818</v>
      </c>
      <c r="O599" s="225">
        <f>IF(IFERROR(INDEX('Both teabags AfterWet'!$C$3:$C$841,MATCH(J599,'Both teabags AfterWet'!$A$3:$A$841,0)),"")="","",(IFERROR(INDEX('Both teabags AfterWet'!$C$3:$C$841,MATCH(J599,'Both teabags AfterWet'!$A$3:$A$841,0)),"")))</f>
        <v>0.629</v>
      </c>
      <c r="P599" s="225">
        <f>IFERROR(IF(O599&gt;0,O599-(TBIcalc!$H$9),""),"")</f>
        <v>0.47839999999999999</v>
      </c>
      <c r="Q599" s="225">
        <f>IFERROR(INDEX('Ashed teabags wet'!$K$2:$K$821,MATCH(J599,'Ashed teabags wet'!$A$2:$A$821,0)),"")</f>
        <v>11.313330054107281</v>
      </c>
      <c r="R599" s="225">
        <f t="shared" si="52"/>
        <v>0.42427702902115078</v>
      </c>
      <c r="S599" s="226">
        <f>'WetLitterbags placem_collection'!E160</f>
        <v>42762</v>
      </c>
      <c r="T599" s="226">
        <f>IF('WetLitterbags placem_collection'!G160="","",'WetLitterbags placem_collection'!G160)</f>
        <v>42816</v>
      </c>
      <c r="U599" s="227">
        <f t="shared" si="48"/>
        <v>54</v>
      </c>
      <c r="V599" s="225">
        <f t="shared" si="50"/>
        <v>1.3428000000000002</v>
      </c>
      <c r="W599" s="225">
        <f t="shared" si="51"/>
        <v>1.2964880584716671</v>
      </c>
      <c r="X599">
        <f>IFERROR(INDEX(Rainfall_Wet!$O$2:$O$217,MATCH(B599, Rainfall_Wet!$A$2:$A$217,0)),"")</f>
        <v>206.85140822299999</v>
      </c>
      <c r="Y599" s="231">
        <v>27.96</v>
      </c>
      <c r="Z599" s="231">
        <v>4.9200000000000017</v>
      </c>
      <c r="AA599" s="231">
        <v>67.12</v>
      </c>
      <c r="AB599" s="232" t="s">
        <v>2670</v>
      </c>
      <c r="AC599" s="231">
        <v>6.0437161163134503</v>
      </c>
      <c r="AD599">
        <f>IF('WetLitterbags placem_collection'!AB160="","",'WetLitterbags placem_collection'!AB160)</f>
        <v>1.9</v>
      </c>
      <c r="AE599">
        <f>IF('WetLitterbags placem_collection'!Z160="","",'WetLitterbags placem_collection'!Z160)</f>
        <v>4.3</v>
      </c>
      <c r="AF599" s="246" t="str">
        <f>IF('WetLitterbags placem_collection'!AA160="","",'WetLitterbags placem_collection'!AA160)</f>
        <v>O</v>
      </c>
      <c r="AG599">
        <f>IF('WetLitterbags placem_collection'!AC160="","",'WetLitterbags placem_collection'!AC160)</f>
        <v>0</v>
      </c>
      <c r="AH599" s="240">
        <f>AVERAGE('WetLitterbags placem_collection'!S160,'WetLitterbags placem_collection'!U160)</f>
        <v>22.45</v>
      </c>
      <c r="AI599">
        <f>AVERAGE('WetLitterbags placem_collection'!R160,'WetLitterbags placem_collection'!T160)</f>
        <v>26.35</v>
      </c>
      <c r="AJ599">
        <f>INDEX(Coordinates!$B$2:$B$197,MATCH(G599,Coordinates!$J$2:$J$197,0))</f>
        <v>-2.3679270410000002</v>
      </c>
      <c r="AK599">
        <f>INDEX(Coordinates!$C$2:$C$197,MATCH(G599,Coordinates!$J$2:$J$197,0))</f>
        <v>34.059300020000002</v>
      </c>
      <c r="AL599" t="str">
        <f>IF(ISNUMBER(SEARCH("C", 'WetLitterbags placem_collection'!X160)),"YES","NO")</f>
        <v>NO</v>
      </c>
      <c r="AM599" t="str">
        <f>IF(ISNUMBER(SEARCH("H", 'WetLitterbags placem_collection'!X160)),"YES","NO")</f>
        <v>NO</v>
      </c>
      <c r="AN599" t="str">
        <f>IF(ISNUMBER(SEARCH("R", 'WetLitterbags placem_collection'!X160)),"YES","NO")</f>
        <v>YES</v>
      </c>
    </row>
    <row r="600" spans="1:40" ht="15" customHeight="1">
      <c r="A600" s="258" t="s">
        <v>2460</v>
      </c>
      <c r="B600" s="263">
        <f>'Dry_Litterbag Placem_Collection'!A161</f>
        <v>159</v>
      </c>
      <c r="C600" s="263" t="str">
        <f>'Dry_Litterbag Placem_Collection'!B161</f>
        <v xml:space="preserve">Mwantimba
</v>
      </c>
      <c r="D600" s="263" t="s">
        <v>2460</v>
      </c>
      <c r="E600" s="263" t="s">
        <v>20</v>
      </c>
      <c r="F600" s="263">
        <v>4</v>
      </c>
      <c r="G600" s="264" t="str">
        <f>'Dry_Litterbag Placem_Collection'!C161</f>
        <v>Wet_P4_T7</v>
      </c>
      <c r="H600" s="273" t="s">
        <v>3651</v>
      </c>
      <c r="I600" s="266" t="s">
        <v>1147</v>
      </c>
      <c r="J600" s="223" t="str">
        <f>'WetLitterbags placem_collection'!O161</f>
        <v>G731</v>
      </c>
      <c r="K600" s="225">
        <f>IFERROR(INDEX('Green_rooibos initial weight'!$C$5:$C$1749,MATCH(J600, 'Green_rooibos initial weight'!$A$5:$A$1749,0)),"")</f>
        <v>2.14</v>
      </c>
      <c r="L600" s="225">
        <f>IFERROR(K600-(TBIcalc!$H$9+TBIcalc!$H$10),"")</f>
        <v>1.8902000000000001</v>
      </c>
      <c r="M600" s="391">
        <f>AVERAGE(Ashed_controlls!$K$2:$K$11)</f>
        <v>5.5147656768714146</v>
      </c>
      <c r="N600" s="225">
        <f t="shared" si="49"/>
        <v>1.7859598991757766</v>
      </c>
      <c r="O600" s="225" t="str">
        <f>IF(IFERROR(INDEX('Both teabags AfterWet'!$C$3:$C$841,MATCH(J600,'Both teabags AfterWet'!$A$3:$A$841,0)),"")="","",(IFERROR(INDEX('Both teabags AfterWet'!$C$3:$C$841,MATCH(J600,'Both teabags AfterWet'!$A$3:$A$841,0)),"")))</f>
        <v/>
      </c>
      <c r="P600" s="225" t="str">
        <f>IFERROR(IF(O600&gt;0,O600-(TBIcalc!$H$9),""),"")</f>
        <v/>
      </c>
      <c r="Q600" s="225" t="str">
        <f>IFERROR(INDEX('Ashed teabags wet'!$K$2:$K$821,MATCH(J600,'Ashed teabags wet'!$A$2:$A$821,0)),"")</f>
        <v/>
      </c>
      <c r="R600" s="225" t="str">
        <f t="shared" si="52"/>
        <v/>
      </c>
      <c r="S600" s="226">
        <f>'WetLitterbags placem_collection'!E161</f>
        <v>42762</v>
      </c>
      <c r="T600" s="226">
        <f>IF('WetLitterbags placem_collection'!G161="","",'WetLitterbags placem_collection'!G161)</f>
        <v>42816</v>
      </c>
      <c r="U600" s="227">
        <f t="shared" si="48"/>
        <v>54</v>
      </c>
      <c r="V600" s="225" t="str">
        <f t="shared" si="50"/>
        <v/>
      </c>
      <c r="W600" s="225" t="str">
        <f t="shared" si="51"/>
        <v/>
      </c>
      <c r="X600">
        <f>IFERROR(INDEX(Rainfall_Wet!$O$2:$O$217,MATCH(B600, Rainfall_Wet!$A$2:$A$217,0)),"")</f>
        <v>206.85140822299999</v>
      </c>
      <c r="Y600" s="231">
        <v>27.96</v>
      </c>
      <c r="Z600" s="231">
        <v>4.9200000000000017</v>
      </c>
      <c r="AA600" s="231">
        <v>67.12</v>
      </c>
      <c r="AB600" s="232" t="s">
        <v>2670</v>
      </c>
      <c r="AC600" s="231">
        <v>7.0437161163134503</v>
      </c>
      <c r="AD600">
        <f>IF('WetLitterbags placem_collection'!AB161="","",'WetLitterbags placem_collection'!AB161)</f>
        <v>2.65</v>
      </c>
      <c r="AE600">
        <f>IF('WetLitterbags placem_collection'!Z161="","",'WetLitterbags placem_collection'!Z161)</f>
        <v>0</v>
      </c>
      <c r="AF600" s="246" t="str">
        <f>IF('WetLitterbags placem_collection'!AA161="","",'WetLitterbags placem_collection'!AA161)</f>
        <v>G</v>
      </c>
      <c r="AG600">
        <f>IF('WetLitterbags placem_collection'!AC161="","",'WetLitterbags placem_collection'!AC161)</f>
        <v>1</v>
      </c>
      <c r="AH600" s="240">
        <f>AVERAGE('WetLitterbags placem_collection'!S161,'WetLitterbags placem_collection'!U161)</f>
        <v>14.4</v>
      </c>
      <c r="AI600">
        <f>AVERAGE('WetLitterbags placem_collection'!R161,'WetLitterbags placem_collection'!T161)</f>
        <v>28</v>
      </c>
      <c r="AJ600">
        <f>INDEX(Coordinates!$B$2:$B$197,MATCH(G600,Coordinates!$J$2:$J$197,0))</f>
        <v>-2.3676829599999998</v>
      </c>
      <c r="AK600">
        <f>INDEX(Coordinates!$C$2:$C$197,MATCH(G600,Coordinates!$J$2:$J$197,0))</f>
        <v>34.059236990000002</v>
      </c>
      <c r="AL600" t="str">
        <f>IF(ISNUMBER(SEARCH("C", 'WetLitterbags placem_collection'!X161)),"YES","NO")</f>
        <v>NO</v>
      </c>
      <c r="AM600" t="str">
        <f>IF(ISNUMBER(SEARCH("H", 'WetLitterbags placem_collection'!X161)),"YES","NO")</f>
        <v>NO</v>
      </c>
      <c r="AN600" t="str">
        <f>IF(ISNUMBER(SEARCH("R", 'WetLitterbags placem_collection'!X161)),"YES","NO")</f>
        <v>NO</v>
      </c>
    </row>
    <row r="601" spans="1:40" ht="15" customHeight="1">
      <c r="A601" s="258" t="s">
        <v>2460</v>
      </c>
      <c r="B601" s="263">
        <f>'Dry_Litterbag Placem_Collection'!A162</f>
        <v>160</v>
      </c>
      <c r="C601" s="263" t="str">
        <f>'Dry_Litterbag Placem_Collection'!B162</f>
        <v xml:space="preserve">Mwantimba
</v>
      </c>
      <c r="D601" s="263" t="s">
        <v>2460</v>
      </c>
      <c r="E601" s="263" t="s">
        <v>20</v>
      </c>
      <c r="F601" s="263">
        <v>4</v>
      </c>
      <c r="G601" s="264" t="str">
        <f>'Dry_Litterbag Placem_Collection'!C162</f>
        <v>Wet_P4_T8</v>
      </c>
      <c r="H601" s="273" t="s">
        <v>3651</v>
      </c>
      <c r="I601" s="266" t="s">
        <v>1147</v>
      </c>
      <c r="J601" s="223" t="str">
        <f>'WetLitterbags placem_collection'!O162</f>
        <v>G876</v>
      </c>
      <c r="K601" s="225">
        <f>IFERROR(INDEX('Green_rooibos initial weight'!$C$5:$C$1749,MATCH(J601, 'Green_rooibos initial weight'!$A$5:$A$1749,0)),"")</f>
        <v>1.9550000000000001</v>
      </c>
      <c r="L601" s="225">
        <f>IFERROR(K601-(TBIcalc!$H$9+TBIcalc!$H$10),"")</f>
        <v>1.7052</v>
      </c>
      <c r="M601" s="391">
        <f>AVERAGE(Ashed_controlls!$K$2:$K$11)</f>
        <v>5.5147656768714146</v>
      </c>
      <c r="N601" s="225">
        <f t="shared" si="49"/>
        <v>1.6111622156779888</v>
      </c>
      <c r="O601" s="225">
        <f>IF(IFERROR(INDEX('Both teabags AfterWet'!$C$3:$C$841,MATCH(J601,'Both teabags AfterWet'!$A$3:$A$841,0)),"")="","",(IFERROR(INDEX('Both teabags AfterWet'!$C$3:$C$841,MATCH(J601,'Both teabags AfterWet'!$A$3:$A$841,0)),"")))</f>
        <v>0.68100000000000005</v>
      </c>
      <c r="P601" s="225">
        <f>IFERROR(IF(O601&gt;0,O601-(TBIcalc!$H$9),""),"")</f>
        <v>0.53039999999999998</v>
      </c>
      <c r="Q601" s="225">
        <f>IFERROR(INDEX('Ashed teabags wet'!$K$2:$K$821,MATCH(J601,'Ashed teabags wet'!$A$2:$A$821,0)),"")</f>
        <v>12.187812187811872</v>
      </c>
      <c r="R601" s="225">
        <f t="shared" si="52"/>
        <v>0.46575584415584581</v>
      </c>
      <c r="S601" s="226">
        <f>'WetLitterbags placem_collection'!E162</f>
        <v>42762</v>
      </c>
      <c r="T601" s="226">
        <f>IF('WetLitterbags placem_collection'!G162="","",'WetLitterbags placem_collection'!G162)</f>
        <v>42816</v>
      </c>
      <c r="U601" s="227">
        <f t="shared" si="48"/>
        <v>54</v>
      </c>
      <c r="V601" s="225">
        <f t="shared" si="50"/>
        <v>1.1748000000000001</v>
      </c>
      <c r="W601" s="225">
        <f t="shared" si="51"/>
        <v>1.145406371522143</v>
      </c>
      <c r="X601">
        <f>IFERROR(INDEX(Rainfall_Wet!$O$2:$O$217,MATCH(B601, Rainfall_Wet!$A$2:$A$217,0)),"")</f>
        <v>206.85140822299999</v>
      </c>
      <c r="Y601" s="231">
        <v>27.96</v>
      </c>
      <c r="Z601" s="231">
        <v>4.9200000000000017</v>
      </c>
      <c r="AA601" s="231">
        <v>67.12</v>
      </c>
      <c r="AB601" s="232" t="s">
        <v>2670</v>
      </c>
      <c r="AC601" s="231">
        <v>8.0437161163134494</v>
      </c>
      <c r="AD601">
        <f>IF('WetLitterbags placem_collection'!AB162="","",'WetLitterbags placem_collection'!AB162)</f>
        <v>0.8</v>
      </c>
      <c r="AE601">
        <f>IF('WetLitterbags placem_collection'!Z162="","",'WetLitterbags placem_collection'!Z162)</f>
        <v>10.8</v>
      </c>
      <c r="AF601" s="246" t="str">
        <f>IF('WetLitterbags placem_collection'!AA162="","",'WetLitterbags placem_collection'!AA162)</f>
        <v>O</v>
      </c>
      <c r="AG601">
        <f>IF('WetLitterbags placem_collection'!AC162="","",'WetLitterbags placem_collection'!AC162)</f>
        <v>0</v>
      </c>
      <c r="AH601" s="240">
        <f>AVERAGE('WetLitterbags placem_collection'!S162,'WetLitterbags placem_collection'!U162)</f>
        <v>16.5</v>
      </c>
      <c r="AI601">
        <f>AVERAGE('WetLitterbags placem_collection'!R162,'WetLitterbags placem_collection'!T162)</f>
        <v>27.15</v>
      </c>
      <c r="AJ601">
        <f>INDEX(Coordinates!$B$2:$B$197,MATCH(G601,Coordinates!$J$2:$J$197,0))</f>
        <v>-2.367547005</v>
      </c>
      <c r="AK601">
        <f>INDEX(Coordinates!$C$2:$C$197,MATCH(G601,Coordinates!$J$2:$J$197,0))</f>
        <v>34.059494989999997</v>
      </c>
      <c r="AL601" t="str">
        <f>IF(ISNUMBER(SEARCH("C", 'WetLitterbags placem_collection'!X162)),"YES","NO")</f>
        <v>NO</v>
      </c>
      <c r="AM601" t="str">
        <f>IF(ISNUMBER(SEARCH("H", 'WetLitterbags placem_collection'!X162)),"YES","NO")</f>
        <v>NO</v>
      </c>
      <c r="AN601" t="str">
        <f>IF(ISNUMBER(SEARCH("R", 'WetLitterbags placem_collection'!X162)),"YES","NO")</f>
        <v>YES</v>
      </c>
    </row>
    <row r="602" spans="1:40" ht="15" customHeight="1">
      <c r="A602" s="258" t="s">
        <v>2460</v>
      </c>
      <c r="B602" s="263">
        <f>'Dry_Litterbag Placem_Collection'!A163</f>
        <v>161</v>
      </c>
      <c r="C602" s="263" t="str">
        <f>'Dry_Litterbag Placem_Collection'!B163</f>
        <v>Handajega</v>
      </c>
      <c r="D602" s="263" t="s">
        <v>2460</v>
      </c>
      <c r="E602" s="263" t="s">
        <v>2661</v>
      </c>
      <c r="F602" s="263">
        <v>1</v>
      </c>
      <c r="G602" s="264" t="str">
        <f>'Dry_Litterbag Placem_Collection'!C163</f>
        <v>Wet_W1_T1</v>
      </c>
      <c r="H602" s="273" t="s">
        <v>3651</v>
      </c>
      <c r="I602" s="266" t="s">
        <v>1147</v>
      </c>
      <c r="J602" s="223" t="str">
        <f>'WetLitterbags placem_collection'!O163</f>
        <v>G351</v>
      </c>
      <c r="K602" s="225">
        <f>IFERROR(INDEX('Green_rooibos initial weight'!$C$5:$C$1749,MATCH(J602, 'Green_rooibos initial weight'!$A$5:$A$1749,0)),"")</f>
        <v>1.909</v>
      </c>
      <c r="L602" s="225">
        <f>IFERROR(K602-(TBIcalc!$H$9+TBIcalc!$H$10),"")</f>
        <v>1.6592</v>
      </c>
      <c r="M602" s="391">
        <f>AVERAGE(Ashed_controlls!$K$2:$K$11)</f>
        <v>5.5147656768714146</v>
      </c>
      <c r="N602" s="225">
        <f t="shared" si="49"/>
        <v>1.5676990078893496</v>
      </c>
      <c r="O602" s="225">
        <f>IF(IFERROR(INDEX('Both teabags AfterWet'!$C$3:$C$841,MATCH(J602,'Both teabags AfterWet'!$A$3:$A$841,0)),"")="","",(IFERROR(INDEX('Both teabags AfterWet'!$C$3:$C$841,MATCH(J602,'Both teabags AfterWet'!$A$3:$A$841,0)),"")))</f>
        <v>0.58709999999999996</v>
      </c>
      <c r="P602" s="225">
        <f>IFERROR(IF(O602&gt;0,O602-(TBIcalc!$H$9),""),"")</f>
        <v>0.43649999999999994</v>
      </c>
      <c r="Q602" s="225">
        <f>IFERROR(INDEX('Ashed teabags wet'!$K$2:$K$821,MATCH(J602,'Ashed teabags wet'!$A$2:$A$821,0)),"")</f>
        <v>11.028315946348718</v>
      </c>
      <c r="R602" s="225">
        <f t="shared" si="52"/>
        <v>0.3883614008941878</v>
      </c>
      <c r="S602" s="226">
        <f>'WetLitterbags placem_collection'!E163</f>
        <v>42763</v>
      </c>
      <c r="T602" s="226">
        <f>IF('WetLitterbags placem_collection'!G163="","",'WetLitterbags placem_collection'!G163)</f>
        <v>42814</v>
      </c>
      <c r="U602" s="227">
        <f t="shared" si="48"/>
        <v>51</v>
      </c>
      <c r="V602" s="225">
        <f t="shared" si="50"/>
        <v>1.2227000000000001</v>
      </c>
      <c r="W602" s="225">
        <f t="shared" si="51"/>
        <v>1.1793376069951618</v>
      </c>
      <c r="X602">
        <f>IFERROR(INDEX(Rainfall_Wet!$O$2:$O$217,MATCH(B602, Rainfall_Wet!$A$2:$A$217,0)),"")</f>
        <v>181.383442621</v>
      </c>
      <c r="Y602" s="231">
        <v>21.96</v>
      </c>
      <c r="Z602" s="231">
        <v>4.9199999999999982</v>
      </c>
      <c r="AA602" s="231">
        <v>73.12</v>
      </c>
      <c r="AB602" s="232" t="s">
        <v>2670</v>
      </c>
      <c r="AC602" s="231">
        <v>1.2416954164613114</v>
      </c>
      <c r="AD602">
        <f>IF('WetLitterbags placem_collection'!AB163="","",'WetLitterbags placem_collection'!AB163)</f>
        <v>7.6</v>
      </c>
      <c r="AE602">
        <f>IF('WetLitterbags placem_collection'!Z163="","",'WetLitterbags placem_collection'!Z163)</f>
        <v>35.799999999999997</v>
      </c>
      <c r="AF602" s="246" t="str">
        <f>IF('WetLitterbags placem_collection'!AA163="","",'WetLitterbags placem_collection'!AA163)</f>
        <v>M</v>
      </c>
      <c r="AG602">
        <f>IF('WetLitterbags placem_collection'!AC163="","",'WetLitterbags placem_collection'!AC163)</f>
        <v>0</v>
      </c>
      <c r="AH602" s="240">
        <f>AVERAGE('WetLitterbags placem_collection'!S163,'WetLitterbags placem_collection'!U163)</f>
        <v>11.100000000000001</v>
      </c>
      <c r="AI602">
        <f>AVERAGE('WetLitterbags placem_collection'!R163,'WetLitterbags placem_collection'!T163)</f>
        <v>33.6</v>
      </c>
      <c r="AJ602">
        <f>INDEX(Coordinates!$B$2:$B$197,MATCH(G602,Coordinates!$J$2:$J$197,0))</f>
        <v>-2.272751033</v>
      </c>
      <c r="AK602">
        <f>INDEX(Coordinates!$C$2:$C$197,MATCH(G602,Coordinates!$J$2:$J$197,0))</f>
        <v>34.023176030000002</v>
      </c>
      <c r="AL602" t="str">
        <f>IF(ISNUMBER(SEARCH("C", 'WetLitterbags placem_collection'!X163)),"YES","NO")</f>
        <v>NO</v>
      </c>
      <c r="AM602" t="str">
        <f>IF(ISNUMBER(SEARCH("H", 'WetLitterbags placem_collection'!X163)),"YES","NO")</f>
        <v>NO</v>
      </c>
      <c r="AN602" t="str">
        <f>IF(ISNUMBER(SEARCH("R", 'WetLitterbags placem_collection'!X163)),"YES","NO")</f>
        <v>NO</v>
      </c>
    </row>
    <row r="603" spans="1:40" ht="15" customHeight="1">
      <c r="A603" s="258" t="s">
        <v>2460</v>
      </c>
      <c r="B603" s="263">
        <f>'Dry_Litterbag Placem_Collection'!A164</f>
        <v>162</v>
      </c>
      <c r="C603" s="263" t="str">
        <f>'Dry_Litterbag Placem_Collection'!B164</f>
        <v>Handajega</v>
      </c>
      <c r="D603" s="263" t="s">
        <v>2460</v>
      </c>
      <c r="E603" s="263" t="s">
        <v>2661</v>
      </c>
      <c r="F603" s="263">
        <v>1</v>
      </c>
      <c r="G603" s="264" t="str">
        <f>'Dry_Litterbag Placem_Collection'!C164</f>
        <v>Wet_W1_T2</v>
      </c>
      <c r="H603" s="273" t="s">
        <v>3651</v>
      </c>
      <c r="I603" s="266" t="s">
        <v>1147</v>
      </c>
      <c r="J603" s="223" t="str">
        <f>'WetLitterbags placem_collection'!O164</f>
        <v>G442</v>
      </c>
      <c r="K603" s="225">
        <f>IFERROR(INDEX('Green_rooibos initial weight'!$C$5:$C$1749,MATCH(J603, 'Green_rooibos initial weight'!$A$5:$A$1749,0)),"")</f>
        <v>2.056</v>
      </c>
      <c r="L603" s="225">
        <f>IFERROR(K603-(TBIcalc!$H$9+TBIcalc!$H$10),"")</f>
        <v>1.8062</v>
      </c>
      <c r="M603" s="391">
        <f>AVERAGE(Ashed_controlls!$K$2:$K$11)</f>
        <v>5.5147656768714146</v>
      </c>
      <c r="N603" s="225">
        <f t="shared" si="49"/>
        <v>1.7065923023443486</v>
      </c>
      <c r="O603" s="225">
        <f>IF(IFERROR(INDEX('Both teabags AfterWet'!$C$3:$C$841,MATCH(J603,'Both teabags AfterWet'!$A$3:$A$841,0)),"")="","",(IFERROR(INDEX('Both teabags AfterWet'!$C$3:$C$841,MATCH(J603,'Both teabags AfterWet'!$A$3:$A$841,0)),"")))</f>
        <v>0.66290000000000004</v>
      </c>
      <c r="P603" s="225">
        <f>IFERROR(IF(O603&gt;0,O603-(TBIcalc!$H$9),""),"")</f>
        <v>0.51229999999999998</v>
      </c>
      <c r="Q603" s="225">
        <f>IFERROR(INDEX('Ashed teabags wet'!$K$2:$K$821,MATCH(J603,'Ashed teabags wet'!$A$2:$A$821,0)),"")</f>
        <v>7.6199901039089131</v>
      </c>
      <c r="R603" s="225">
        <f t="shared" si="52"/>
        <v>0.47326279069767463</v>
      </c>
      <c r="S603" s="226">
        <f>'WetLitterbags placem_collection'!E164</f>
        <v>42763</v>
      </c>
      <c r="T603" s="226">
        <f>IF('WetLitterbags placem_collection'!G164="","",'WetLitterbags placem_collection'!G164)</f>
        <v>42814</v>
      </c>
      <c r="U603" s="227">
        <f t="shared" si="48"/>
        <v>51</v>
      </c>
      <c r="V603" s="225">
        <f t="shared" si="50"/>
        <v>1.2939000000000001</v>
      </c>
      <c r="W603" s="225">
        <f t="shared" si="51"/>
        <v>1.2333295116466738</v>
      </c>
      <c r="X603">
        <f>IFERROR(INDEX(Rainfall_Wet!$O$2:$O$217,MATCH(B603, Rainfall_Wet!$A$2:$A$217,0)),"")</f>
        <v>181.383442621</v>
      </c>
      <c r="Y603" s="231">
        <v>21.96</v>
      </c>
      <c r="Z603" s="231">
        <v>4.9199999999999982</v>
      </c>
      <c r="AA603" s="231">
        <v>73.12</v>
      </c>
      <c r="AB603" s="232" t="s">
        <v>2670</v>
      </c>
      <c r="AC603" s="231">
        <v>2.2416954164613099</v>
      </c>
      <c r="AD603">
        <f>IF('WetLitterbags placem_collection'!AB164="","",'WetLitterbags placem_collection'!AB164)</f>
        <v>4.0999999999999996</v>
      </c>
      <c r="AE603">
        <f>IF('WetLitterbags placem_collection'!Z164="","",'WetLitterbags placem_collection'!Z164)</f>
        <v>31.4</v>
      </c>
      <c r="AF603" s="246" t="str">
        <f>IF('WetLitterbags placem_collection'!AA164="","",'WetLitterbags placem_collection'!AA164)</f>
        <v>M</v>
      </c>
      <c r="AG603">
        <f>IF('WetLitterbags placem_collection'!AC164="","",'WetLitterbags placem_collection'!AC164)</f>
        <v>0</v>
      </c>
      <c r="AH603" s="240">
        <f>AVERAGE('WetLitterbags placem_collection'!S164,'WetLitterbags placem_collection'!U164)</f>
        <v>9.35</v>
      </c>
      <c r="AI603">
        <f>AVERAGE('WetLitterbags placem_collection'!R164,'WetLitterbags placem_collection'!T164)</f>
        <v>34.450000000000003</v>
      </c>
      <c r="AJ603">
        <f>INDEX(Coordinates!$B$2:$B$197,MATCH(G603,Coordinates!$J$2:$J$197,0))</f>
        <v>-2.2727060219999999</v>
      </c>
      <c r="AK603">
        <f>INDEX(Coordinates!$C$2:$C$197,MATCH(G603,Coordinates!$J$2:$J$197,0))</f>
        <v>34.023162030000002</v>
      </c>
      <c r="AL603" t="str">
        <f>IF(ISNUMBER(SEARCH("C", 'WetLitterbags placem_collection'!X164)),"YES","NO")</f>
        <v>NO</v>
      </c>
      <c r="AM603" t="str">
        <f>IF(ISNUMBER(SEARCH("H", 'WetLitterbags placem_collection'!X164)),"YES","NO")</f>
        <v>NO</v>
      </c>
      <c r="AN603" t="str">
        <f>IF(ISNUMBER(SEARCH("R", 'WetLitterbags placem_collection'!X164)),"YES","NO")</f>
        <v>NO</v>
      </c>
    </row>
    <row r="604" spans="1:40" ht="15" customHeight="1">
      <c r="A604" s="258" t="s">
        <v>2460</v>
      </c>
      <c r="B604" s="263">
        <f>'Dry_Litterbag Placem_Collection'!A165</f>
        <v>163</v>
      </c>
      <c r="C604" s="263" t="str">
        <f>'Dry_Litterbag Placem_Collection'!B165</f>
        <v>Handajega</v>
      </c>
      <c r="D604" s="263" t="s">
        <v>2460</v>
      </c>
      <c r="E604" s="263" t="s">
        <v>2661</v>
      </c>
      <c r="F604" s="263">
        <v>1</v>
      </c>
      <c r="G604" s="264" t="str">
        <f>'Dry_Litterbag Placem_Collection'!C165</f>
        <v>Wet_W1_T3</v>
      </c>
      <c r="H604" s="273" t="s">
        <v>3651</v>
      </c>
      <c r="I604" s="266" t="s">
        <v>1147</v>
      </c>
      <c r="J604" s="223" t="str">
        <f>'WetLitterbags placem_collection'!O165</f>
        <v>G743</v>
      </c>
      <c r="K604" s="225">
        <f>IFERROR(INDEX('Green_rooibos initial weight'!$C$5:$C$1749,MATCH(J604, 'Green_rooibos initial weight'!$A$5:$A$1749,0)),"")</f>
        <v>2.0339999999999998</v>
      </c>
      <c r="L604" s="225">
        <f>IFERROR(K604-(TBIcalc!$H$9+TBIcalc!$H$10),"")</f>
        <v>1.7841999999999998</v>
      </c>
      <c r="M604" s="391">
        <f>AVERAGE(Ashed_controlls!$K$2:$K$11)</f>
        <v>5.5147656768714146</v>
      </c>
      <c r="N604" s="225">
        <f t="shared" si="49"/>
        <v>1.6858055507932601</v>
      </c>
      <c r="O604" s="225">
        <f>IF(IFERROR(INDEX('Both teabags AfterWet'!$C$3:$C$841,MATCH(J604,'Both teabags AfterWet'!$A$3:$A$841,0)),"")="","",(IFERROR(INDEX('Both teabags AfterWet'!$C$3:$C$841,MATCH(J604,'Both teabags AfterWet'!$A$3:$A$841,0)),"")))</f>
        <v>0.68700000000000006</v>
      </c>
      <c r="P604" s="225">
        <f>IFERROR(IF(O604&gt;0,O604-(TBIcalc!$H$9),""),"")</f>
        <v>0.53639999999999999</v>
      </c>
      <c r="Q604" s="225">
        <f>IFERROR(INDEX('Ashed teabags wet'!$K$2:$K$821,MATCH(J604,'Ashed teabags wet'!$A$2:$A$821,0)),"")</f>
        <v>7.8343313373247501</v>
      </c>
      <c r="R604" s="225">
        <f t="shared" si="52"/>
        <v>0.49437664670659004</v>
      </c>
      <c r="S604" s="226">
        <f>'WetLitterbags placem_collection'!E165</f>
        <v>42763</v>
      </c>
      <c r="T604" s="226">
        <f>IF('WetLitterbags placem_collection'!G165="","",'WetLitterbags placem_collection'!G165)</f>
        <v>42814</v>
      </c>
      <c r="U604" s="227">
        <f t="shared" si="48"/>
        <v>51</v>
      </c>
      <c r="V604" s="225">
        <f t="shared" si="50"/>
        <v>1.2477999999999998</v>
      </c>
      <c r="W604" s="225">
        <f t="shared" si="51"/>
        <v>1.1914289040866701</v>
      </c>
      <c r="X604">
        <f>IFERROR(INDEX(Rainfall_Wet!$O$2:$O$217,MATCH(B604, Rainfall_Wet!$A$2:$A$217,0)),"")</f>
        <v>181.383442621</v>
      </c>
      <c r="Y604" s="231">
        <v>21.96</v>
      </c>
      <c r="Z604" s="231">
        <v>4.9199999999999982</v>
      </c>
      <c r="AA604" s="231">
        <v>73.12</v>
      </c>
      <c r="AB604" s="232" t="s">
        <v>2670</v>
      </c>
      <c r="AC604" s="231">
        <v>3.2416954164613099</v>
      </c>
      <c r="AD604">
        <f>IF('WetLitterbags placem_collection'!AB165="","",'WetLitterbags placem_collection'!AB165)</f>
        <v>7.8</v>
      </c>
      <c r="AE604">
        <f>IF('WetLitterbags placem_collection'!Z165="","",'WetLitterbags placem_collection'!Z165)</f>
        <v>28.8</v>
      </c>
      <c r="AF604" s="246" t="str">
        <f>IF('WetLitterbags placem_collection'!AA165="","",'WetLitterbags placem_collection'!AA165)</f>
        <v>M</v>
      </c>
      <c r="AG604">
        <f>IF('WetLitterbags placem_collection'!AC165="","",'WetLitterbags placem_collection'!AC165)</f>
        <v>0</v>
      </c>
      <c r="AH604" s="240">
        <f>AVERAGE('WetLitterbags placem_collection'!S165,'WetLitterbags placem_collection'!U165)</f>
        <v>9.3000000000000007</v>
      </c>
      <c r="AI604">
        <f>AVERAGE('WetLitterbags placem_collection'!R165,'WetLitterbags placem_collection'!T165)</f>
        <v>33.5</v>
      </c>
      <c r="AJ604">
        <f>INDEX(Coordinates!$B$2:$B$197,MATCH(G604,Coordinates!$J$2:$J$197,0))</f>
        <v>-2.2726719919999998</v>
      </c>
      <c r="AK604">
        <f>INDEX(Coordinates!$C$2:$C$197,MATCH(G604,Coordinates!$J$2:$J$197,0))</f>
        <v>34.023210980000002</v>
      </c>
      <c r="AL604" t="str">
        <f>IF(ISNUMBER(SEARCH("C", 'WetLitterbags placem_collection'!X165)),"YES","NO")</f>
        <v>NO</v>
      </c>
      <c r="AM604" t="str">
        <f>IF(ISNUMBER(SEARCH("H", 'WetLitterbags placem_collection'!X165)),"YES","NO")</f>
        <v>NO</v>
      </c>
      <c r="AN604" t="str">
        <f>IF(ISNUMBER(SEARCH("R", 'WetLitterbags placem_collection'!X165)),"YES","NO")</f>
        <v>NO</v>
      </c>
    </row>
    <row r="605" spans="1:40" ht="15" customHeight="1">
      <c r="A605" s="258" t="s">
        <v>2460</v>
      </c>
      <c r="B605" s="263">
        <f>'Dry_Litterbag Placem_Collection'!A166</f>
        <v>164</v>
      </c>
      <c r="C605" s="263" t="str">
        <f>'Dry_Litterbag Placem_Collection'!B166</f>
        <v>Handajega</v>
      </c>
      <c r="D605" s="263" t="s">
        <v>2460</v>
      </c>
      <c r="E605" s="263" t="s">
        <v>2661</v>
      </c>
      <c r="F605" s="263">
        <v>1</v>
      </c>
      <c r="G605" s="264" t="str">
        <f>'Dry_Litterbag Placem_Collection'!C166</f>
        <v>Wet_W1_T4</v>
      </c>
      <c r="H605" s="273" t="s">
        <v>3651</v>
      </c>
      <c r="I605" s="266" t="s">
        <v>1147</v>
      </c>
      <c r="J605" s="223" t="str">
        <f>'WetLitterbags placem_collection'!O166</f>
        <v>G390</v>
      </c>
      <c r="K605" s="225">
        <f>IFERROR(INDEX('Green_rooibos initial weight'!$C$5:$C$1749,MATCH(J605, 'Green_rooibos initial weight'!$A$5:$A$1749,0)),"")</f>
        <v>2.0630000000000002</v>
      </c>
      <c r="L605" s="225">
        <f>IFERROR(K605-(TBIcalc!$H$9+TBIcalc!$H$10),"")</f>
        <v>1.8132000000000001</v>
      </c>
      <c r="M605" s="391">
        <f>AVERAGE(Ashed_controlls!$K$2:$K$11)</f>
        <v>5.5147656768714146</v>
      </c>
      <c r="N605" s="225">
        <f t="shared" si="49"/>
        <v>1.7132062687469676</v>
      </c>
      <c r="O605" s="225">
        <f>IF(IFERROR(INDEX('Both teabags AfterWet'!$C$3:$C$841,MATCH(J605,'Both teabags AfterWet'!$A$3:$A$841,0)),"")="","",(IFERROR(INDEX('Both teabags AfterWet'!$C$3:$C$841,MATCH(J605,'Both teabags AfterWet'!$A$3:$A$841,0)),"")))</f>
        <v>0.63800000000000001</v>
      </c>
      <c r="P605" s="225">
        <f>IFERROR(IF(O605&gt;0,O605-(TBIcalc!$H$9),""),"")</f>
        <v>0.4874</v>
      </c>
      <c r="Q605" s="225">
        <f>IFERROR(INDEX('Ashed teabags wet'!$K$2:$K$821,MATCH(J605,'Ashed teabags wet'!$A$2:$A$821,0)),"")</f>
        <v>9.1180866965623011</v>
      </c>
      <c r="R605" s="225">
        <f t="shared" si="52"/>
        <v>0.44295844544095536</v>
      </c>
      <c r="S605" s="226">
        <f>'WetLitterbags placem_collection'!E166</f>
        <v>42763</v>
      </c>
      <c r="T605" s="226">
        <f>IF('WetLitterbags placem_collection'!G166="","",'WetLitterbags placem_collection'!G166)</f>
        <v>42814</v>
      </c>
      <c r="U605" s="227">
        <f t="shared" si="48"/>
        <v>51</v>
      </c>
      <c r="V605" s="225">
        <f t="shared" si="50"/>
        <v>1.3258000000000001</v>
      </c>
      <c r="W605" s="225">
        <f t="shared" si="51"/>
        <v>1.2702478233060122</v>
      </c>
      <c r="X605">
        <f>IFERROR(INDEX(Rainfall_Wet!$O$2:$O$217,MATCH(B605, Rainfall_Wet!$A$2:$A$217,0)),"")</f>
        <v>181.383442621</v>
      </c>
      <c r="Y605" s="231">
        <v>21.96</v>
      </c>
      <c r="Z605" s="231">
        <v>4.9199999999999982</v>
      </c>
      <c r="AA605" s="231">
        <v>73.12</v>
      </c>
      <c r="AB605" s="232" t="s">
        <v>2670</v>
      </c>
      <c r="AC605" s="231">
        <v>4.2416954164613099</v>
      </c>
      <c r="AD605">
        <f>IF('WetLitterbags placem_collection'!AB166="","",'WetLitterbags placem_collection'!AB166)</f>
        <v>9.5</v>
      </c>
      <c r="AE605">
        <f>IF('WetLitterbags placem_collection'!Z166="","",'WetLitterbags placem_collection'!Z166)</f>
        <v>20.8</v>
      </c>
      <c r="AF605" s="246" t="str">
        <f>IF('WetLitterbags placem_collection'!AA166="","",'WetLitterbags placem_collection'!AA166)</f>
        <v>M</v>
      </c>
      <c r="AG605">
        <f>IF('WetLitterbags placem_collection'!AC166="","",'WetLitterbags placem_collection'!AC166)</f>
        <v>0</v>
      </c>
      <c r="AH605" s="240">
        <f>AVERAGE('WetLitterbags placem_collection'!S166,'WetLitterbags placem_collection'!U166)</f>
        <v>9.25</v>
      </c>
      <c r="AI605">
        <f>AVERAGE('WetLitterbags placem_collection'!R166,'WetLitterbags placem_collection'!T166)</f>
        <v>33.799999999999997</v>
      </c>
      <c r="AJ605">
        <f>INDEX(Coordinates!$B$2:$B$197,MATCH(G605,Coordinates!$J$2:$J$197,0))</f>
        <v>-2.2726180130000002</v>
      </c>
      <c r="AK605">
        <f>INDEX(Coordinates!$C$2:$C$197,MATCH(G605,Coordinates!$J$2:$J$197,0))</f>
        <v>34.023212999999998</v>
      </c>
      <c r="AL605" t="str">
        <f>IF(ISNUMBER(SEARCH("C", 'WetLitterbags placem_collection'!X166)),"YES","NO")</f>
        <v>NO</v>
      </c>
      <c r="AM605" t="str">
        <f>IF(ISNUMBER(SEARCH("H", 'WetLitterbags placem_collection'!X166)),"YES","NO")</f>
        <v>NO</v>
      </c>
      <c r="AN605" t="str">
        <f>IF(ISNUMBER(SEARCH("R", 'WetLitterbags placem_collection'!X166)),"YES","NO")</f>
        <v>NO</v>
      </c>
    </row>
    <row r="606" spans="1:40" ht="15" customHeight="1">
      <c r="A606" s="258" t="s">
        <v>2460</v>
      </c>
      <c r="B606" s="263">
        <f>'Dry_Litterbag Placem_Collection'!A167</f>
        <v>165</v>
      </c>
      <c r="C606" s="263" t="str">
        <f>'Dry_Litterbag Placem_Collection'!B167</f>
        <v>Handajega</v>
      </c>
      <c r="D606" s="263" t="s">
        <v>2460</v>
      </c>
      <c r="E606" s="263" t="s">
        <v>2661</v>
      </c>
      <c r="F606" s="263">
        <v>1</v>
      </c>
      <c r="G606" s="264" t="str">
        <f>'Dry_Litterbag Placem_Collection'!C167</f>
        <v>Wet_W1_T5</v>
      </c>
      <c r="H606" s="273" t="s">
        <v>3651</v>
      </c>
      <c r="I606" s="266" t="s">
        <v>1147</v>
      </c>
      <c r="J606" s="223" t="str">
        <f>'WetLitterbags placem_collection'!O167</f>
        <v>G810</v>
      </c>
      <c r="K606" s="225">
        <f>IFERROR(INDEX('Green_rooibos initial weight'!$C$5:$C$1749,MATCH(J606, 'Green_rooibos initial weight'!$A$5:$A$1749,0)),"")</f>
        <v>1.946</v>
      </c>
      <c r="L606" s="225">
        <f>IFERROR(K606-(TBIcalc!$H$9+TBIcalc!$H$10),"")</f>
        <v>1.6961999999999999</v>
      </c>
      <c r="M606" s="391">
        <f>AVERAGE(Ashed_controlls!$K$2:$K$11)</f>
        <v>5.5147656768714146</v>
      </c>
      <c r="N606" s="225">
        <f t="shared" si="49"/>
        <v>1.602658544588907</v>
      </c>
      <c r="O606" s="225">
        <f>IF(IFERROR(INDEX('Both teabags AfterWet'!$C$3:$C$841,MATCH(J606,'Both teabags AfterWet'!$A$3:$A$841,0)),"")="","",(IFERROR(INDEX('Both teabags AfterWet'!$C$3:$C$841,MATCH(J606,'Both teabags AfterWet'!$A$3:$A$841,0)),"")))</f>
        <v>0.64800000000000002</v>
      </c>
      <c r="P606" s="225">
        <f>IFERROR(IF(O606&gt;0,O606-(TBIcalc!$H$9),""),"")</f>
        <v>0.49740000000000001</v>
      </c>
      <c r="Q606" s="225">
        <f>IFERROR(INDEX('Ashed teabags wet'!$K$2:$K$821,MATCH(J606,'Ashed teabags wet'!$A$2:$A$821,0)),"")</f>
        <v>7.6693227091631231</v>
      </c>
      <c r="R606" s="225">
        <f t="shared" si="52"/>
        <v>0.45925278884462262</v>
      </c>
      <c r="S606" s="226">
        <f>'WetLitterbags placem_collection'!E167</f>
        <v>42763</v>
      </c>
      <c r="T606" s="226">
        <f>IF('WetLitterbags placem_collection'!G167="","",'WetLitterbags placem_collection'!G167)</f>
        <v>42814</v>
      </c>
      <c r="U606" s="227">
        <f t="shared" si="48"/>
        <v>51</v>
      </c>
      <c r="V606" s="225">
        <f t="shared" si="50"/>
        <v>1.1987999999999999</v>
      </c>
      <c r="W606" s="225">
        <f t="shared" si="51"/>
        <v>1.1434057557442845</v>
      </c>
      <c r="X606">
        <f>IFERROR(INDEX(Rainfall_Wet!$O$2:$O$217,MATCH(B606, Rainfall_Wet!$A$2:$A$217,0)),"")</f>
        <v>181.383442621</v>
      </c>
      <c r="Y606" s="231">
        <v>21.96</v>
      </c>
      <c r="Z606" s="231">
        <v>4.9199999999999982</v>
      </c>
      <c r="AA606" s="231">
        <v>73.12</v>
      </c>
      <c r="AB606" s="232" t="s">
        <v>2670</v>
      </c>
      <c r="AC606" s="231">
        <v>5.2416954164613099</v>
      </c>
      <c r="AD606">
        <f>IF('WetLitterbags placem_collection'!AB167="","",'WetLitterbags placem_collection'!AB167)</f>
        <v>10.4</v>
      </c>
      <c r="AE606">
        <f>IF('WetLitterbags placem_collection'!Z167="","",'WetLitterbags placem_collection'!Z167)</f>
        <v>13.8</v>
      </c>
      <c r="AF606" s="246" t="str">
        <f>IF('WetLitterbags placem_collection'!AA167="","",'WetLitterbags placem_collection'!AA167)</f>
        <v>M</v>
      </c>
      <c r="AG606">
        <f>IF('WetLitterbags placem_collection'!AC167="","",'WetLitterbags placem_collection'!AC167)</f>
        <v>0</v>
      </c>
      <c r="AH606" s="240">
        <f>AVERAGE('WetLitterbags placem_collection'!S167,'WetLitterbags placem_collection'!U167)</f>
        <v>12</v>
      </c>
      <c r="AI606">
        <f>AVERAGE('WetLitterbags placem_collection'!R167,'WetLitterbags placem_collection'!T167)</f>
        <v>31.5</v>
      </c>
      <c r="AJ606">
        <f>INDEX(Coordinates!$B$2:$B$197,MATCH(G606,Coordinates!$J$2:$J$197,0))</f>
        <v>-2.2724750170000001</v>
      </c>
      <c r="AK606">
        <f>INDEX(Coordinates!$C$2:$C$197,MATCH(G606,Coordinates!$J$2:$J$197,0))</f>
        <v>34.02334501</v>
      </c>
      <c r="AL606" t="str">
        <f>IF(ISNUMBER(SEARCH("C", 'WetLitterbags placem_collection'!X167)),"YES","NO")</f>
        <v>NO</v>
      </c>
      <c r="AM606" t="str">
        <f>IF(ISNUMBER(SEARCH("H", 'WetLitterbags placem_collection'!X167)),"YES","NO")</f>
        <v>NO</v>
      </c>
      <c r="AN606" t="str">
        <f>IF(ISNUMBER(SEARCH("R", 'WetLitterbags placem_collection'!X167)),"YES","NO")</f>
        <v>NO</v>
      </c>
    </row>
    <row r="607" spans="1:40" ht="15" customHeight="1">
      <c r="A607" s="258" t="s">
        <v>2460</v>
      </c>
      <c r="B607" s="263">
        <f>'Dry_Litterbag Placem_Collection'!A168</f>
        <v>166</v>
      </c>
      <c r="C607" s="263" t="str">
        <f>'Dry_Litterbag Placem_Collection'!B168</f>
        <v>Handajega</v>
      </c>
      <c r="D607" s="263" t="s">
        <v>2460</v>
      </c>
      <c r="E607" s="263" t="s">
        <v>2661</v>
      </c>
      <c r="F607" s="263">
        <v>1</v>
      </c>
      <c r="G607" s="264" t="str">
        <f>'Dry_Litterbag Placem_Collection'!C168</f>
        <v>Wet_W1_T6</v>
      </c>
      <c r="H607" s="273" t="s">
        <v>3651</v>
      </c>
      <c r="I607" s="266" t="s">
        <v>1147</v>
      </c>
      <c r="J607" s="223" t="str">
        <f>'WetLitterbags placem_collection'!O168</f>
        <v>G287</v>
      </c>
      <c r="K607" s="225">
        <f>IFERROR(INDEX('Green_rooibos initial weight'!$C$5:$C$1749,MATCH(J607, 'Green_rooibos initial weight'!$A$5:$A$1749,0)),"")</f>
        <v>1.9970000000000001</v>
      </c>
      <c r="L607" s="225">
        <f>IFERROR(K607-(TBIcalc!$H$9+TBIcalc!$H$10),"")</f>
        <v>1.7472000000000001</v>
      </c>
      <c r="M607" s="391">
        <f>AVERAGE(Ashed_controlls!$K$2:$K$11)</f>
        <v>5.5147656768714146</v>
      </c>
      <c r="N607" s="225">
        <f t="shared" si="49"/>
        <v>1.6508460140937027</v>
      </c>
      <c r="O607" s="225">
        <f>IF(IFERROR(INDEX('Both teabags AfterWet'!$C$3:$C$841,MATCH(J607,'Both teabags AfterWet'!$A$3:$A$841,0)),"")="","",(IFERROR(INDEX('Both teabags AfterWet'!$C$3:$C$841,MATCH(J607,'Both teabags AfterWet'!$A$3:$A$841,0)),"")))</f>
        <v>0.72240000000000004</v>
      </c>
      <c r="P607" s="225">
        <f>IFERROR(IF(O607&gt;0,O607-(TBIcalc!$H$9),""),"")</f>
        <v>0.57180000000000009</v>
      </c>
      <c r="Q607" s="225">
        <f>IFERROR(INDEX('Ashed teabags wet'!$K$2:$K$821,MATCH(J607,'Ashed teabags wet'!$A$2:$A$821,0)),"")</f>
        <v>8.1175298804781466</v>
      </c>
      <c r="R607" s="225">
        <f t="shared" si="52"/>
        <v>0.52538396414342603</v>
      </c>
      <c r="S607" s="226">
        <f>'WetLitterbags placem_collection'!E168</f>
        <v>42763</v>
      </c>
      <c r="T607" s="226">
        <f>IF('WetLitterbags placem_collection'!G168="","",'WetLitterbags placem_collection'!G168)</f>
        <v>42814</v>
      </c>
      <c r="U607" s="227">
        <f t="shared" si="48"/>
        <v>51</v>
      </c>
      <c r="V607" s="225">
        <f t="shared" si="50"/>
        <v>1.1754</v>
      </c>
      <c r="W607" s="225">
        <f t="shared" si="51"/>
        <v>1.1254620499502765</v>
      </c>
      <c r="X607">
        <f>IFERROR(INDEX(Rainfall_Wet!$O$2:$O$217,MATCH(B607, Rainfall_Wet!$A$2:$A$217,0)),"")</f>
        <v>181.383442621</v>
      </c>
      <c r="Y607" s="231">
        <v>21.96</v>
      </c>
      <c r="Z607" s="231">
        <v>4.9199999999999982</v>
      </c>
      <c r="AA607" s="231">
        <v>73.12</v>
      </c>
      <c r="AB607" s="232" t="s">
        <v>2670</v>
      </c>
      <c r="AC607" s="231">
        <v>6.2416954164613099</v>
      </c>
      <c r="AD607">
        <f>IF('WetLitterbags placem_collection'!AB168="","",'WetLitterbags placem_collection'!AB168)</f>
        <v>2.1</v>
      </c>
      <c r="AE607">
        <f>IF('WetLitterbags placem_collection'!Z168="","",'WetLitterbags placem_collection'!Z168)</f>
        <v>4.7</v>
      </c>
      <c r="AF607" s="246" t="str">
        <f>IF('WetLitterbags placem_collection'!AA168="","",'WetLitterbags placem_collection'!AA168)</f>
        <v>M</v>
      </c>
      <c r="AG607">
        <f>IF('WetLitterbags placem_collection'!AC168="","",'WetLitterbags placem_collection'!AC168)</f>
        <v>0</v>
      </c>
      <c r="AH607" s="240">
        <f>AVERAGE('WetLitterbags placem_collection'!S168,'WetLitterbags placem_collection'!U168)</f>
        <v>11</v>
      </c>
      <c r="AI607">
        <f>AVERAGE('WetLitterbags placem_collection'!R168,'WetLitterbags placem_collection'!T168)</f>
        <v>31.5</v>
      </c>
      <c r="AJ607">
        <f>INDEX(Coordinates!$B$2:$B$197,MATCH(G607,Coordinates!$J$2:$J$197,0))</f>
        <v>-2.2725490289999999</v>
      </c>
      <c r="AK607">
        <f>INDEX(Coordinates!$C$2:$C$197,MATCH(G607,Coordinates!$J$2:$J$197,0))</f>
        <v>34.022886020000001</v>
      </c>
      <c r="AL607" t="str">
        <f>IF(ISNUMBER(SEARCH("C", 'WetLitterbags placem_collection'!X168)),"YES","NO")</f>
        <v>NO</v>
      </c>
      <c r="AM607" t="str">
        <f>IF(ISNUMBER(SEARCH("H", 'WetLitterbags placem_collection'!X168)),"YES","NO")</f>
        <v>NO</v>
      </c>
      <c r="AN607" t="str">
        <f>IF(ISNUMBER(SEARCH("R", 'WetLitterbags placem_collection'!X168)),"YES","NO")</f>
        <v>NO</v>
      </c>
    </row>
    <row r="608" spans="1:40" ht="15" customHeight="1">
      <c r="A608" s="258" t="s">
        <v>2460</v>
      </c>
      <c r="B608" s="263">
        <f>'Dry_Litterbag Placem_Collection'!A169</f>
        <v>167</v>
      </c>
      <c r="C608" s="263" t="str">
        <f>'Dry_Litterbag Placem_Collection'!B169</f>
        <v>Handajega</v>
      </c>
      <c r="D608" s="263" t="s">
        <v>2460</v>
      </c>
      <c r="E608" s="263" t="s">
        <v>2661</v>
      </c>
      <c r="F608" s="263">
        <v>1</v>
      </c>
      <c r="G608" s="264" t="str">
        <f>'Dry_Litterbag Placem_Collection'!C169</f>
        <v>Wet_W1_T7</v>
      </c>
      <c r="H608" s="273" t="s">
        <v>3651</v>
      </c>
      <c r="I608" s="266" t="s">
        <v>1147</v>
      </c>
      <c r="J608" s="223" t="str">
        <f>'WetLitterbags placem_collection'!O169</f>
        <v>G443</v>
      </c>
      <c r="K608" s="225">
        <f>IFERROR(INDEX('Green_rooibos initial weight'!$C$5:$C$1749,MATCH(J608, 'Green_rooibos initial weight'!$A$5:$A$1749,0)),"")</f>
        <v>2.0310000000000001</v>
      </c>
      <c r="L608" s="225">
        <f>IFERROR(K608-(TBIcalc!$H$9+TBIcalc!$H$10),"")</f>
        <v>1.7812000000000001</v>
      </c>
      <c r="M608" s="391">
        <f>AVERAGE(Ashed_controlls!$K$2:$K$11)</f>
        <v>5.5147656768714146</v>
      </c>
      <c r="N608" s="225">
        <f t="shared" si="49"/>
        <v>1.6829709937635664</v>
      </c>
      <c r="O608" s="225">
        <f>IF(IFERROR(INDEX('Both teabags AfterWet'!$C$3:$C$841,MATCH(J608,'Both teabags AfterWet'!$A$3:$A$841,0)),"")="","",(IFERROR(INDEX('Both teabags AfterWet'!$C$3:$C$841,MATCH(J608,'Both teabags AfterWet'!$A$3:$A$841,0)),"")))</f>
        <v>0.69789999999999996</v>
      </c>
      <c r="P608" s="225">
        <f>IFERROR(IF(O608&gt;0,O608-(TBIcalc!$H$9),""),"")</f>
        <v>0.5472999999999999</v>
      </c>
      <c r="Q608" s="225">
        <f>IFERROR(INDEX('Ashed teabags wet'!$K$2:$K$821,MATCH(J608,'Ashed teabags wet'!$A$2:$A$821,0)),"")</f>
        <v>8.5487077534794818</v>
      </c>
      <c r="R608" s="225">
        <f t="shared" si="52"/>
        <v>0.50051292246520673</v>
      </c>
      <c r="S608" s="226">
        <f>'WetLitterbags placem_collection'!E169</f>
        <v>42763</v>
      </c>
      <c r="T608" s="226">
        <f>IF('WetLitterbags placem_collection'!G169="","",'WetLitterbags placem_collection'!G169)</f>
        <v>42814</v>
      </c>
      <c r="U608" s="227">
        <f t="shared" si="48"/>
        <v>51</v>
      </c>
      <c r="V608" s="225">
        <f t="shared" si="50"/>
        <v>1.2339000000000002</v>
      </c>
      <c r="W608" s="225">
        <f t="shared" si="51"/>
        <v>1.1824580712983597</v>
      </c>
      <c r="X608">
        <f>IFERROR(INDEX(Rainfall_Wet!$O$2:$O$217,MATCH(B608, Rainfall_Wet!$A$2:$A$217,0)),"")</f>
        <v>181.383442621</v>
      </c>
      <c r="Y608" s="231">
        <v>21.96</v>
      </c>
      <c r="Z608" s="231">
        <v>4.9199999999999982</v>
      </c>
      <c r="AA608" s="231">
        <v>73.12</v>
      </c>
      <c r="AB608" s="232" t="s">
        <v>2670</v>
      </c>
      <c r="AC608" s="231">
        <v>7.2416954164613099</v>
      </c>
      <c r="AD608">
        <f>IF('WetLitterbags placem_collection'!AB169="","",'WetLitterbags placem_collection'!AB169)</f>
        <v>5.6</v>
      </c>
      <c r="AE608">
        <f>IF('WetLitterbags placem_collection'!Z169="","",'WetLitterbags placem_collection'!Z169)</f>
        <v>4.2</v>
      </c>
      <c r="AF608" s="246" t="str">
        <f>IF('WetLitterbags placem_collection'!AA169="","",'WetLitterbags placem_collection'!AA169)</f>
        <v>M</v>
      </c>
      <c r="AG608">
        <f>IF('WetLitterbags placem_collection'!AC169="","",'WetLitterbags placem_collection'!AC169)</f>
        <v>1</v>
      </c>
      <c r="AH608" s="240">
        <f>AVERAGE('WetLitterbags placem_collection'!S169,'WetLitterbags placem_collection'!U169)</f>
        <v>10.45</v>
      </c>
      <c r="AI608">
        <f>AVERAGE('WetLitterbags placem_collection'!R169,'WetLitterbags placem_collection'!T169)</f>
        <v>31</v>
      </c>
      <c r="AJ608">
        <f>INDEX(Coordinates!$B$2:$B$197,MATCH(G608,Coordinates!$J$2:$J$197,0))</f>
        <v>-2.2729950310000002</v>
      </c>
      <c r="AK608">
        <f>INDEX(Coordinates!$C$2:$C$197,MATCH(G608,Coordinates!$J$2:$J$197,0))</f>
        <v>34.022923990000002</v>
      </c>
      <c r="AL608" t="str">
        <f>IF(ISNUMBER(SEARCH("C", 'WetLitterbags placem_collection'!X169)),"YES","NO")</f>
        <v>NO</v>
      </c>
      <c r="AM608" t="str">
        <f>IF(ISNUMBER(SEARCH("H", 'WetLitterbags placem_collection'!X169)),"YES","NO")</f>
        <v>NO</v>
      </c>
      <c r="AN608" t="str">
        <f>IF(ISNUMBER(SEARCH("R", 'WetLitterbags placem_collection'!X169)),"YES","NO")</f>
        <v>NO</v>
      </c>
    </row>
    <row r="609" spans="1:40" ht="15" customHeight="1">
      <c r="A609" s="258" t="s">
        <v>2460</v>
      </c>
      <c r="B609" s="263">
        <f>'Dry_Litterbag Placem_Collection'!A170</f>
        <v>168</v>
      </c>
      <c r="C609" s="263" t="str">
        <f>'Dry_Litterbag Placem_Collection'!B170</f>
        <v>Handajega</v>
      </c>
      <c r="D609" s="263" t="s">
        <v>2460</v>
      </c>
      <c r="E609" s="263" t="s">
        <v>2661</v>
      </c>
      <c r="F609" s="263">
        <v>1</v>
      </c>
      <c r="G609" s="264" t="str">
        <f>'Dry_Litterbag Placem_Collection'!C170</f>
        <v>Wet_W1_T8</v>
      </c>
      <c r="H609" s="273" t="s">
        <v>3651</v>
      </c>
      <c r="I609" s="266" t="s">
        <v>1147</v>
      </c>
      <c r="J609" s="223" t="str">
        <f>'WetLitterbags placem_collection'!O170</f>
        <v>G680</v>
      </c>
      <c r="K609" s="225">
        <f>IFERROR(INDEX('Green_rooibos initial weight'!$C$5:$C$1749,MATCH(J609, 'Green_rooibos initial weight'!$A$5:$A$1749,0)),"")</f>
        <v>2.0049999999999999</v>
      </c>
      <c r="L609" s="225">
        <f>IFERROR(K609-(TBIcalc!$H$9+TBIcalc!$H$10),"")</f>
        <v>1.7551999999999999</v>
      </c>
      <c r="M609" s="391">
        <f>AVERAGE(Ashed_controlls!$K$2:$K$11)</f>
        <v>5.5147656768714146</v>
      </c>
      <c r="N609" s="225">
        <f t="shared" si="49"/>
        <v>1.6584048328395529</v>
      </c>
      <c r="O609" s="225">
        <f>IF(IFERROR(INDEX('Both teabags AfterWet'!$C$3:$C$841,MATCH(J609,'Both teabags AfterWet'!$A$3:$A$841,0)),"")="","",(IFERROR(INDEX('Both teabags AfterWet'!$C$3:$C$841,MATCH(J609,'Both teabags AfterWet'!$A$3:$A$841,0)),"")))</f>
        <v>0.998</v>
      </c>
      <c r="P609" s="225">
        <f>IFERROR(IF(O609&gt;0,O609-(TBIcalc!$H$9),""),"")</f>
        <v>0.84739999999999993</v>
      </c>
      <c r="Q609" s="225">
        <f>IFERROR(INDEX('Ashed teabags wet'!$K$2:$K$821,MATCH(J609,'Ashed teabags wet'!$A$2:$A$821,0)),"")</f>
        <v>7.5706756109248428</v>
      </c>
      <c r="R609" s="225">
        <f t="shared" si="52"/>
        <v>0.78324609487302277</v>
      </c>
      <c r="S609" s="226">
        <f>'WetLitterbags placem_collection'!E170</f>
        <v>42763</v>
      </c>
      <c r="T609" s="226">
        <f>IF('WetLitterbags placem_collection'!G170="","",'WetLitterbags placem_collection'!G170)</f>
        <v>42814</v>
      </c>
      <c r="U609" s="227">
        <f t="shared" si="48"/>
        <v>51</v>
      </c>
      <c r="V609" s="225">
        <f t="shared" si="50"/>
        <v>0.90779999999999994</v>
      </c>
      <c r="W609" s="225">
        <f t="shared" si="51"/>
        <v>0.8751587379665301</v>
      </c>
      <c r="X609">
        <f>IFERROR(INDEX(Rainfall_Wet!$O$2:$O$217,MATCH(B609, Rainfall_Wet!$A$2:$A$217,0)),"")</f>
        <v>181.383442621</v>
      </c>
      <c r="Y609" s="231">
        <v>21.96</v>
      </c>
      <c r="Z609" s="231">
        <v>4.9199999999999982</v>
      </c>
      <c r="AA609" s="231">
        <v>73.12</v>
      </c>
      <c r="AB609" s="232" t="s">
        <v>2670</v>
      </c>
      <c r="AC609" s="231">
        <v>8.2416954164613099</v>
      </c>
      <c r="AD609">
        <f>IF('WetLitterbags placem_collection'!AB170="","",'WetLitterbags placem_collection'!AB170)</f>
        <v>2.4</v>
      </c>
      <c r="AE609">
        <f>IF('WetLitterbags placem_collection'!Z170="","",'WetLitterbags placem_collection'!Z170)</f>
        <v>46</v>
      </c>
      <c r="AF609" s="246" t="str">
        <f>IF('WetLitterbags placem_collection'!AA170="","",'WetLitterbags placem_collection'!AA170)</f>
        <v>M</v>
      </c>
      <c r="AG609">
        <f>IF('WetLitterbags placem_collection'!AC170="","",'WetLitterbags placem_collection'!AC170)</f>
        <v>0</v>
      </c>
      <c r="AH609" s="240">
        <f>AVERAGE('WetLitterbags placem_collection'!S170,'WetLitterbags placem_collection'!U170)</f>
        <v>11.25</v>
      </c>
      <c r="AI609">
        <f>AVERAGE('WetLitterbags placem_collection'!R170,'WetLitterbags placem_collection'!T170)</f>
        <v>33.299999999999997</v>
      </c>
      <c r="AJ609">
        <f>INDEX(Coordinates!$B$2:$B$197,MATCH(G609,Coordinates!$J$2:$J$197,0))</f>
        <v>-2.2729129719999999</v>
      </c>
      <c r="AK609">
        <f>INDEX(Coordinates!$C$2:$C$197,MATCH(G609,Coordinates!$J$2:$J$197,0))</f>
        <v>34.023350039999997</v>
      </c>
      <c r="AL609" t="str">
        <f>IF(ISNUMBER(SEARCH("C", 'WetLitterbags placem_collection'!X170)),"YES","NO")</f>
        <v>NO</v>
      </c>
      <c r="AM609" t="str">
        <f>IF(ISNUMBER(SEARCH("H", 'WetLitterbags placem_collection'!X170)),"YES","NO")</f>
        <v>NO</v>
      </c>
      <c r="AN609" t="str">
        <f>IF(ISNUMBER(SEARCH("R", 'WetLitterbags placem_collection'!X170)),"YES","NO")</f>
        <v>NO</v>
      </c>
    </row>
    <row r="610" spans="1:40" ht="15" customHeight="1">
      <c r="A610" s="258" t="s">
        <v>2460</v>
      </c>
      <c r="B610" s="263">
        <f>'Dry_Litterbag Placem_Collection'!A171</f>
        <v>169</v>
      </c>
      <c r="C610" s="263" t="str">
        <f>'Dry_Litterbag Placem_Collection'!B171</f>
        <v>Handajega</v>
      </c>
      <c r="D610" s="263" t="s">
        <v>2460</v>
      </c>
      <c r="E610" s="263" t="s">
        <v>2661</v>
      </c>
      <c r="F610" s="263">
        <v>2</v>
      </c>
      <c r="G610" s="264" t="str">
        <f>'Dry_Litterbag Placem_Collection'!C171</f>
        <v>Wet_W2_T1</v>
      </c>
      <c r="H610" s="273" t="s">
        <v>3651</v>
      </c>
      <c r="I610" s="266" t="s">
        <v>1147</v>
      </c>
      <c r="J610" s="223" t="str">
        <f>'WetLitterbags placem_collection'!O171</f>
        <v>G496</v>
      </c>
      <c r="K610" s="225">
        <f>IFERROR(INDEX('Green_rooibos initial weight'!$C$5:$C$1749,MATCH(J610, 'Green_rooibos initial weight'!$A$5:$A$1749,0)),"")</f>
        <v>1.8480000000000001</v>
      </c>
      <c r="L610" s="225">
        <f>IFERROR(K610-(TBIcalc!$H$9+TBIcalc!$H$10),"")</f>
        <v>1.5982000000000001</v>
      </c>
      <c r="M610" s="391">
        <f>AVERAGE(Ashed_controlls!$K$2:$K$11)</f>
        <v>5.5147656768714146</v>
      </c>
      <c r="N610" s="225">
        <f t="shared" si="49"/>
        <v>1.5100630149522412</v>
      </c>
      <c r="O610" s="225">
        <f>IF(IFERROR(INDEX('Both teabags AfterWet'!$C$3:$C$841,MATCH(J610,'Both teabags AfterWet'!$A$3:$A$841,0)),"")="","",(IFERROR(INDEX('Both teabags AfterWet'!$C$3:$C$841,MATCH(J610,'Both teabags AfterWet'!$A$3:$A$841,0)),"")))</f>
        <v>0.57199999999999995</v>
      </c>
      <c r="P610" s="225">
        <f>IFERROR(IF(O610&gt;0,O610-(TBIcalc!$H$9),""),"")</f>
        <v>0.42139999999999994</v>
      </c>
      <c r="Q610" s="225">
        <f>IFERROR(INDEX('Ashed teabags wet'!$K$2:$K$821,MATCH(J610,'Ashed teabags wet'!$A$2:$A$821,0)),"")</f>
        <v>9.4256259204713331</v>
      </c>
      <c r="R610" s="225">
        <f t="shared" si="52"/>
        <v>0.38168041237113376</v>
      </c>
      <c r="S610" s="226">
        <f>'WetLitterbags placem_collection'!E171</f>
        <v>42763</v>
      </c>
      <c r="T610" s="226">
        <f>IF('WetLitterbags placem_collection'!G171="","",'WetLitterbags placem_collection'!G171)</f>
        <v>42814</v>
      </c>
      <c r="U610" s="227">
        <f t="shared" si="48"/>
        <v>51</v>
      </c>
      <c r="V610" s="225">
        <f t="shared" si="50"/>
        <v>1.1768000000000001</v>
      </c>
      <c r="W610" s="225">
        <f t="shared" si="51"/>
        <v>1.1283826025811075</v>
      </c>
      <c r="X610">
        <f>IFERROR(INDEX(Rainfall_Wet!$O$2:$O$217,MATCH(B610, Rainfall_Wet!$A$2:$A$217,0)),"")</f>
        <v>181.383442621</v>
      </c>
      <c r="Y610" s="231">
        <v>23.96</v>
      </c>
      <c r="Z610" s="231">
        <v>4.9199999999999982</v>
      </c>
      <c r="AA610" s="231">
        <v>71.12</v>
      </c>
      <c r="AB610" s="232" t="s">
        <v>2670</v>
      </c>
      <c r="AC610" s="231">
        <v>3.30913750616067</v>
      </c>
      <c r="AD610">
        <f>IF('WetLitterbags placem_collection'!AB171="","",'WetLitterbags placem_collection'!AB171)</f>
        <v>8.1999999999999993</v>
      </c>
      <c r="AE610">
        <f>IF('WetLitterbags placem_collection'!Z171="","",'WetLitterbags placem_collection'!Z171)</f>
        <v>11.4</v>
      </c>
      <c r="AF610" s="246" t="str">
        <f>IF('WetLitterbags placem_collection'!AA171="","",'WetLitterbags placem_collection'!AA171)</f>
        <v>O</v>
      </c>
      <c r="AG610">
        <f>IF('WetLitterbags placem_collection'!AC171="","",'WetLitterbags placem_collection'!AC171)</f>
        <v>1</v>
      </c>
      <c r="AH610" s="240">
        <f>AVERAGE('WetLitterbags placem_collection'!S171,'WetLitterbags placem_collection'!U171)</f>
        <v>9.65</v>
      </c>
      <c r="AI610">
        <f>AVERAGE('WetLitterbags placem_collection'!R171,'WetLitterbags placem_collection'!T171)</f>
        <v>36.200000000000003</v>
      </c>
      <c r="AJ610">
        <f>INDEX(Coordinates!$B$2:$B$197,MATCH(G610,Coordinates!$J$2:$J$197,0))</f>
        <v>-2.2784290180000002</v>
      </c>
      <c r="AK610">
        <f>INDEX(Coordinates!$C$2:$C$197,MATCH(G610,Coordinates!$J$2:$J$197,0))</f>
        <v>34.024240030000001</v>
      </c>
      <c r="AL610" t="str">
        <f>IF(ISNUMBER(SEARCH("C", 'WetLitterbags placem_collection'!X171)),"YES","NO")</f>
        <v>NO</v>
      </c>
      <c r="AM610" t="str">
        <f>IF(ISNUMBER(SEARCH("H", 'WetLitterbags placem_collection'!X171)),"YES","NO")</f>
        <v>NO</v>
      </c>
      <c r="AN610" t="str">
        <f>IF(ISNUMBER(SEARCH("R", 'WetLitterbags placem_collection'!X171)),"YES","NO")</f>
        <v>NO</v>
      </c>
    </row>
    <row r="611" spans="1:40" ht="15" customHeight="1">
      <c r="A611" s="258" t="s">
        <v>2460</v>
      </c>
      <c r="B611" s="263">
        <f>'Dry_Litterbag Placem_Collection'!A172</f>
        <v>170</v>
      </c>
      <c r="C611" s="263" t="str">
        <f>'Dry_Litterbag Placem_Collection'!B172</f>
        <v>Handajega</v>
      </c>
      <c r="D611" s="263" t="s">
        <v>2460</v>
      </c>
      <c r="E611" s="263" t="s">
        <v>2661</v>
      </c>
      <c r="F611" s="263">
        <v>2</v>
      </c>
      <c r="G611" s="264" t="str">
        <f>'Dry_Litterbag Placem_Collection'!C172</f>
        <v>Wet_W2_T2</v>
      </c>
      <c r="H611" s="273" t="s">
        <v>3651</v>
      </c>
      <c r="I611" s="266" t="s">
        <v>1147</v>
      </c>
      <c r="J611" s="223" t="str">
        <f>'WetLitterbags placem_collection'!O172</f>
        <v>G674</v>
      </c>
      <c r="K611" s="225">
        <f>IFERROR(INDEX('Green_rooibos initial weight'!$C$5:$C$1749,MATCH(J611, 'Green_rooibos initial weight'!$A$5:$A$1749,0)),"")</f>
        <v>1.9950000000000001</v>
      </c>
      <c r="L611" s="225">
        <f>IFERROR(K611-(TBIcalc!$H$9+TBIcalc!$H$10),"")</f>
        <v>1.7452000000000001</v>
      </c>
      <c r="M611" s="391">
        <f>AVERAGE(Ashed_controlls!$K$2:$K$11)</f>
        <v>5.5147656768714146</v>
      </c>
      <c r="N611" s="225">
        <f t="shared" si="49"/>
        <v>1.6489563094072401</v>
      </c>
      <c r="O611" s="225">
        <f>IF(IFERROR(INDEX('Both teabags AfterWet'!$C$3:$C$841,MATCH(J611,'Both teabags AfterWet'!$A$3:$A$841,0)),"")="","",(IFERROR(INDEX('Both teabags AfterWet'!$C$3:$C$841,MATCH(J611,'Both teabags AfterWet'!$A$3:$A$841,0)),"")))</f>
        <v>0.61299999999999999</v>
      </c>
      <c r="P611" s="225">
        <f>IFERROR(IF(O611&gt;0,O611-(TBIcalc!$H$9),""),"")</f>
        <v>0.46239999999999998</v>
      </c>
      <c r="Q611" s="225">
        <f>IFERROR(INDEX('Ashed teabags wet'!$K$2:$K$821,MATCH(J611,'Ashed teabags wet'!$A$2:$A$821,0)),"")</f>
        <v>8.7857847976303241</v>
      </c>
      <c r="R611" s="225">
        <f t="shared" si="52"/>
        <v>0.42177453109575735</v>
      </c>
      <c r="S611" s="226">
        <f>'WetLitterbags placem_collection'!E172</f>
        <v>42763</v>
      </c>
      <c r="T611" s="226">
        <f>IF('WetLitterbags placem_collection'!G172="","",'WetLitterbags placem_collection'!G172)</f>
        <v>42814</v>
      </c>
      <c r="U611" s="227">
        <f t="shared" si="48"/>
        <v>51</v>
      </c>
      <c r="V611" s="225">
        <f t="shared" si="50"/>
        <v>1.2828000000000002</v>
      </c>
      <c r="W611" s="225">
        <f t="shared" si="51"/>
        <v>1.2271817783114827</v>
      </c>
      <c r="X611">
        <f>IFERROR(INDEX(Rainfall_Wet!$O$2:$O$217,MATCH(B611, Rainfall_Wet!$A$2:$A$217,0)),"")</f>
        <v>181.383442621</v>
      </c>
      <c r="Y611" s="231">
        <v>23.96</v>
      </c>
      <c r="Z611" s="231">
        <v>4.9199999999999982</v>
      </c>
      <c r="AA611" s="231">
        <v>71.12</v>
      </c>
      <c r="AB611" s="232" t="s">
        <v>2670</v>
      </c>
      <c r="AC611" s="231">
        <v>4.3091375061606696</v>
      </c>
      <c r="AD611">
        <f>IF('WetLitterbags placem_collection'!AB172="","",'WetLitterbags placem_collection'!AB172)</f>
        <v>7.7</v>
      </c>
      <c r="AE611">
        <f>IF('WetLitterbags placem_collection'!Z172="","",'WetLitterbags placem_collection'!Z172)</f>
        <v>15.8</v>
      </c>
      <c r="AF611" s="246" t="str">
        <f>IF('WetLitterbags placem_collection'!AA172="","",'WetLitterbags placem_collection'!AA172)</f>
        <v>O</v>
      </c>
      <c r="AG611">
        <f>IF('WetLitterbags placem_collection'!AC172="","",'WetLitterbags placem_collection'!AC172)</f>
        <v>1</v>
      </c>
      <c r="AH611" s="240">
        <f>AVERAGE('WetLitterbags placem_collection'!S172,'WetLitterbags placem_collection'!U172)</f>
        <v>8.1</v>
      </c>
      <c r="AI611">
        <f>AVERAGE('WetLitterbags placem_collection'!R172,'WetLitterbags placem_collection'!T172)</f>
        <v>33.599999999999994</v>
      </c>
      <c r="AJ611">
        <f>INDEX(Coordinates!$B$2:$B$197,MATCH(G611,Coordinates!$J$2:$J$197,0))</f>
        <v>-2.2784629650000001</v>
      </c>
      <c r="AK611">
        <f>INDEX(Coordinates!$C$2:$C$197,MATCH(G611,Coordinates!$J$2:$J$197,0))</f>
        <v>34.024177999999999</v>
      </c>
      <c r="AL611" t="str">
        <f>IF(ISNUMBER(SEARCH("C", 'WetLitterbags placem_collection'!X172)),"YES","NO")</f>
        <v>NO</v>
      </c>
      <c r="AM611" t="str">
        <f>IF(ISNUMBER(SEARCH("H", 'WetLitterbags placem_collection'!X172)),"YES","NO")</f>
        <v>NO</v>
      </c>
      <c r="AN611" t="str">
        <f>IF(ISNUMBER(SEARCH("R", 'WetLitterbags placem_collection'!X172)),"YES","NO")</f>
        <v>NO</v>
      </c>
    </row>
    <row r="612" spans="1:40" ht="15" customHeight="1">
      <c r="A612" s="258" t="s">
        <v>2460</v>
      </c>
      <c r="B612" s="263">
        <f>'Dry_Litterbag Placem_Collection'!A173</f>
        <v>171</v>
      </c>
      <c r="C612" s="263" t="str">
        <f>'Dry_Litterbag Placem_Collection'!B173</f>
        <v>Handajega</v>
      </c>
      <c r="D612" s="263" t="s">
        <v>2460</v>
      </c>
      <c r="E612" s="263" t="s">
        <v>2661</v>
      </c>
      <c r="F612" s="263">
        <v>2</v>
      </c>
      <c r="G612" s="264" t="str">
        <f>'Dry_Litterbag Placem_Collection'!C173</f>
        <v>Wet_W2_T3</v>
      </c>
      <c r="H612" s="273" t="s">
        <v>3651</v>
      </c>
      <c r="I612" s="266" t="s">
        <v>1147</v>
      </c>
      <c r="J612" s="223" t="str">
        <f>'WetLitterbags placem_collection'!O173</f>
        <v>G504</v>
      </c>
      <c r="K612" s="225">
        <f>IFERROR(INDEX('Green_rooibos initial weight'!$C$5:$C$1749,MATCH(J612, 'Green_rooibos initial weight'!$A$5:$A$1749,0)),"")</f>
        <v>2.0009999999999999</v>
      </c>
      <c r="L612" s="225">
        <f>IFERROR(K612-(TBIcalc!$H$9+TBIcalc!$H$10),"")</f>
        <v>1.7511999999999999</v>
      </c>
      <c r="M612" s="391">
        <f>AVERAGE(Ashed_controlls!$K$2:$K$11)</f>
        <v>5.5147656768714146</v>
      </c>
      <c r="N612" s="225">
        <f t="shared" si="49"/>
        <v>1.6546254234666278</v>
      </c>
      <c r="O612" s="225">
        <f>IF(IFERROR(INDEX('Both teabags AfterWet'!$C$3:$C$841,MATCH(J612,'Both teabags AfterWet'!$A$3:$A$841,0)),"")="","",(IFERROR(INDEX('Both teabags AfterWet'!$C$3:$C$841,MATCH(J612,'Both teabags AfterWet'!$A$3:$A$841,0)),"")))</f>
        <v>0.53500000000000003</v>
      </c>
      <c r="P612" s="225">
        <f>IFERROR(IF(O612&gt;0,O612-(TBIcalc!$H$9),""),"")</f>
        <v>0.38440000000000002</v>
      </c>
      <c r="Q612" s="225">
        <f>IFERROR(INDEX('Ashed teabags wet'!$K$2:$K$821,MATCH(J612,'Ashed teabags wet'!$A$2:$A$821,0)),"")</f>
        <v>8.6370444333500629</v>
      </c>
      <c r="R612" s="225">
        <f t="shared" si="52"/>
        <v>0.35119920119820236</v>
      </c>
      <c r="S612" s="226">
        <f>'WetLitterbags placem_collection'!E173</f>
        <v>42763</v>
      </c>
      <c r="T612" s="226">
        <f>IF('WetLitterbags placem_collection'!G173="","",'WetLitterbags placem_collection'!G173)</f>
        <v>42814</v>
      </c>
      <c r="U612" s="227">
        <f t="shared" si="48"/>
        <v>51</v>
      </c>
      <c r="V612" s="225">
        <f t="shared" si="50"/>
        <v>1.3667999999999998</v>
      </c>
      <c r="W612" s="225">
        <f t="shared" si="51"/>
        <v>1.3034262222684254</v>
      </c>
      <c r="X612">
        <f>IFERROR(INDEX(Rainfall_Wet!$O$2:$O$217,MATCH(B612, Rainfall_Wet!$A$2:$A$217,0)),"")</f>
        <v>181.383442621</v>
      </c>
      <c r="Y612" s="231">
        <v>23.96</v>
      </c>
      <c r="Z612" s="231">
        <v>4.9199999999999982</v>
      </c>
      <c r="AA612" s="231">
        <v>71.12</v>
      </c>
      <c r="AB612" s="232" t="s">
        <v>2670</v>
      </c>
      <c r="AC612" s="231">
        <v>5.3091375061606696</v>
      </c>
      <c r="AD612">
        <f>IF('WetLitterbags placem_collection'!AB173="","",'WetLitterbags placem_collection'!AB173)</f>
        <v>13.4</v>
      </c>
      <c r="AE612">
        <f>IF('WetLitterbags placem_collection'!Z173="","",'WetLitterbags placem_collection'!Z173)</f>
        <v>7.6</v>
      </c>
      <c r="AF612" s="246" t="str">
        <f>IF('WetLitterbags placem_collection'!AA173="","",'WetLitterbags placem_collection'!AA173)</f>
        <v>O</v>
      </c>
      <c r="AG612">
        <f>IF('WetLitterbags placem_collection'!AC173="","",'WetLitterbags placem_collection'!AC173)</f>
        <v>1</v>
      </c>
      <c r="AH612" s="240">
        <f>AVERAGE('WetLitterbags placem_collection'!S173,'WetLitterbags placem_collection'!U173)</f>
        <v>10.5</v>
      </c>
      <c r="AI612">
        <f>AVERAGE('WetLitterbags placem_collection'!R173,'WetLitterbags placem_collection'!T173)</f>
        <v>34.15</v>
      </c>
      <c r="AJ612">
        <f>INDEX(Coordinates!$B$2:$B$197,MATCH(G612,Coordinates!$J$2:$J$197,0))</f>
        <v>-2.2785389889999998</v>
      </c>
      <c r="AK612">
        <f>INDEX(Coordinates!$C$2:$C$197,MATCH(G612,Coordinates!$J$2:$J$197,0))</f>
        <v>34.024371039999998</v>
      </c>
      <c r="AL612" t="str">
        <f>IF(ISNUMBER(SEARCH("C", 'WetLitterbags placem_collection'!X173)),"YES","NO")</f>
        <v>NO</v>
      </c>
      <c r="AM612" t="str">
        <f>IF(ISNUMBER(SEARCH("H", 'WetLitterbags placem_collection'!X173)),"YES","NO")</f>
        <v>NO</v>
      </c>
      <c r="AN612" t="str">
        <f>IF(ISNUMBER(SEARCH("R", 'WetLitterbags placem_collection'!X173)),"YES","NO")</f>
        <v>NO</v>
      </c>
    </row>
    <row r="613" spans="1:40" ht="15" customHeight="1">
      <c r="A613" s="258" t="s">
        <v>2460</v>
      </c>
      <c r="B613" s="263">
        <f>'Dry_Litterbag Placem_Collection'!A174</f>
        <v>172</v>
      </c>
      <c r="C613" s="263" t="str">
        <f>'Dry_Litterbag Placem_Collection'!B174</f>
        <v>Handajega</v>
      </c>
      <c r="D613" s="263" t="s">
        <v>2460</v>
      </c>
      <c r="E613" s="263" t="s">
        <v>2661</v>
      </c>
      <c r="F613" s="263">
        <v>2</v>
      </c>
      <c r="G613" s="264" t="str">
        <f>'Dry_Litterbag Placem_Collection'!C174</f>
        <v>Wet_W2_T4</v>
      </c>
      <c r="H613" s="273" t="s">
        <v>3651</v>
      </c>
      <c r="I613" s="266" t="s">
        <v>1147</v>
      </c>
      <c r="J613" s="223" t="str">
        <f>'WetLitterbags placem_collection'!O174</f>
        <v>G439</v>
      </c>
      <c r="K613" s="225">
        <f>IFERROR(INDEX('Green_rooibos initial weight'!$C$5:$C$1749,MATCH(J613, 'Green_rooibos initial weight'!$A$5:$A$1749,0)),"")</f>
        <v>2.069</v>
      </c>
      <c r="L613" s="225">
        <f>IFERROR(K613-(TBIcalc!$H$9+TBIcalc!$H$10),"")</f>
        <v>1.8191999999999999</v>
      </c>
      <c r="M613" s="391">
        <f>AVERAGE(Ashed_controlls!$K$2:$K$11)</f>
        <v>5.5147656768714146</v>
      </c>
      <c r="N613" s="225">
        <f t="shared" si="49"/>
        <v>1.7188753828063552</v>
      </c>
      <c r="O613" s="225">
        <f>IF(IFERROR(INDEX('Both teabags AfterWet'!$C$3:$C$841,MATCH(J613,'Both teabags AfterWet'!$A$3:$A$841,0)),"")="","",(IFERROR(INDEX('Both teabags AfterWet'!$C$3:$C$841,MATCH(J613,'Both teabags AfterWet'!$A$3:$A$841,0)),"")))</f>
        <v>0.59599999999999997</v>
      </c>
      <c r="P613" s="225">
        <f>IFERROR(IF(O613&gt;0,O613-(TBIcalc!$H$9),""),"")</f>
        <v>0.44539999999999996</v>
      </c>
      <c r="Q613" s="225">
        <f>IFERROR(INDEX('Ashed teabags wet'!$K$2:$K$821,MATCH(J613,'Ashed teabags wet'!$A$2:$A$821,0)),"")</f>
        <v>9.0602409638559092</v>
      </c>
      <c r="R613" s="225">
        <f t="shared" si="52"/>
        <v>0.40504568674698577</v>
      </c>
      <c r="S613" s="226">
        <f>'WetLitterbags placem_collection'!E174</f>
        <v>42763</v>
      </c>
      <c r="T613" s="226">
        <f>IF('WetLitterbags placem_collection'!G174="","",'WetLitterbags placem_collection'!G174)</f>
        <v>42814</v>
      </c>
      <c r="U613" s="227">
        <f t="shared" si="48"/>
        <v>51</v>
      </c>
      <c r="V613" s="225">
        <f t="shared" si="50"/>
        <v>1.3737999999999999</v>
      </c>
      <c r="W613" s="225">
        <f t="shared" si="51"/>
        <v>1.3138296960593694</v>
      </c>
      <c r="X613">
        <f>IFERROR(INDEX(Rainfall_Wet!$O$2:$O$217,MATCH(B613, Rainfall_Wet!$A$2:$A$217,0)),"")</f>
        <v>181.383442621</v>
      </c>
      <c r="Y613" s="231">
        <v>23.96</v>
      </c>
      <c r="Z613" s="231">
        <v>4.9199999999999982</v>
      </c>
      <c r="AA613" s="231">
        <v>71.12</v>
      </c>
      <c r="AB613" s="232" t="s">
        <v>2670</v>
      </c>
      <c r="AC613" s="231">
        <v>6.3091375061606696</v>
      </c>
      <c r="AD613">
        <f>IF('WetLitterbags placem_collection'!AB174="","",'WetLitterbags placem_collection'!AB174)</f>
        <v>3.3</v>
      </c>
      <c r="AE613">
        <f>IF('WetLitterbags placem_collection'!Z174="","",'WetLitterbags placem_collection'!Z174)</f>
        <v>28.4</v>
      </c>
      <c r="AF613" s="246" t="str">
        <f>IF('WetLitterbags placem_collection'!AA174="","",'WetLitterbags placem_collection'!AA174)</f>
        <v>G</v>
      </c>
      <c r="AG613">
        <f>IF('WetLitterbags placem_collection'!AC174="","",'WetLitterbags placem_collection'!AC174)</f>
        <v>1</v>
      </c>
      <c r="AH613" s="240">
        <f>AVERAGE('WetLitterbags placem_collection'!S174,'WetLitterbags placem_collection'!U174)</f>
        <v>9.6499999999999986</v>
      </c>
      <c r="AI613">
        <f>AVERAGE('WetLitterbags placem_collection'!R174,'WetLitterbags placem_collection'!T174)</f>
        <v>35.1</v>
      </c>
      <c r="AJ613">
        <f>INDEX(Coordinates!$B$2:$B$197,MATCH(G613,Coordinates!$J$2:$J$197,0))</f>
        <v>-2.2781410160000002</v>
      </c>
      <c r="AK613">
        <f>INDEX(Coordinates!$C$2:$C$197,MATCH(G613,Coordinates!$J$2:$J$197,0))</f>
        <v>34.024136009999999</v>
      </c>
      <c r="AL613" t="str">
        <f>IF(ISNUMBER(SEARCH("C", 'WetLitterbags placem_collection'!X174)),"YES","NO")</f>
        <v>NO</v>
      </c>
      <c r="AM613" t="str">
        <f>IF(ISNUMBER(SEARCH("H", 'WetLitterbags placem_collection'!X174)),"YES","NO")</f>
        <v>NO</v>
      </c>
      <c r="AN613" t="str">
        <f>IF(ISNUMBER(SEARCH("R", 'WetLitterbags placem_collection'!X174)),"YES","NO")</f>
        <v>NO</v>
      </c>
    </row>
    <row r="614" spans="1:40" ht="15" customHeight="1">
      <c r="A614" s="258" t="s">
        <v>2460</v>
      </c>
      <c r="B614" s="263">
        <f>'Dry_Litterbag Placem_Collection'!A175</f>
        <v>173</v>
      </c>
      <c r="C614" s="263" t="str">
        <f>'Dry_Litterbag Placem_Collection'!B175</f>
        <v>Handajega</v>
      </c>
      <c r="D614" s="263" t="s">
        <v>2460</v>
      </c>
      <c r="E614" s="263" t="s">
        <v>2661</v>
      </c>
      <c r="F614" s="263">
        <v>2</v>
      </c>
      <c r="G614" s="264" t="str">
        <f>'Dry_Litterbag Placem_Collection'!C175</f>
        <v>Wet_W2_T5</v>
      </c>
      <c r="H614" s="273" t="s">
        <v>3651</v>
      </c>
      <c r="I614" s="266" t="s">
        <v>1147</v>
      </c>
      <c r="J614" s="223" t="str">
        <f>'WetLitterbags placem_collection'!O175</f>
        <v>G865</v>
      </c>
      <c r="K614" s="225">
        <f>IFERROR(INDEX('Green_rooibos initial weight'!$C$5:$C$1749,MATCH(J614, 'Green_rooibos initial weight'!$A$5:$A$1749,0)),"")</f>
        <v>2.036</v>
      </c>
      <c r="L614" s="225">
        <f>IFERROR(K614-(TBIcalc!$H$9+TBIcalc!$H$10),"")</f>
        <v>1.7862</v>
      </c>
      <c r="M614" s="391">
        <f>AVERAGE(Ashed_controlls!$K$2:$K$11)</f>
        <v>5.5147656768714146</v>
      </c>
      <c r="N614" s="225">
        <f t="shared" si="49"/>
        <v>1.6876952554797229</v>
      </c>
      <c r="O614" s="225">
        <f>IF(IFERROR(INDEX('Both teabags AfterWet'!$C$3:$C$841,MATCH(J614,'Both teabags AfterWet'!$A$3:$A$841,0)),"")="","",(IFERROR(INDEX('Both teabags AfterWet'!$C$3:$C$841,MATCH(J614,'Both teabags AfterWet'!$A$3:$A$841,0)),"")))</f>
        <v>0.65549999999999997</v>
      </c>
      <c r="P614" s="225">
        <f>IFERROR(IF(O614&gt;0,O614-(TBIcalc!$H$9),""),"")</f>
        <v>0.5048999999999999</v>
      </c>
      <c r="Q614" s="225">
        <f>IFERROR(INDEX('Ashed teabags wet'!$K$2:$K$821,MATCH(J614,'Ashed teabags wet'!$A$2:$A$821,0)),"")</f>
        <v>9.1408591408588276</v>
      </c>
      <c r="R614" s="225">
        <f t="shared" si="52"/>
        <v>0.4587478021978037</v>
      </c>
      <c r="S614" s="226">
        <f>'WetLitterbags placem_collection'!E175</f>
        <v>42763</v>
      </c>
      <c r="T614" s="226">
        <f>IF('WetLitterbags placem_collection'!G175="","",'WetLitterbags placem_collection'!G175)</f>
        <v>42814</v>
      </c>
      <c r="U614" s="227">
        <f t="shared" si="48"/>
        <v>51</v>
      </c>
      <c r="V614" s="225">
        <f t="shared" si="50"/>
        <v>1.2813000000000001</v>
      </c>
      <c r="W614" s="225">
        <f t="shared" si="51"/>
        <v>1.2289474532819191</v>
      </c>
      <c r="X614">
        <f>IFERROR(INDEX(Rainfall_Wet!$O$2:$O$217,MATCH(B614, Rainfall_Wet!$A$2:$A$217,0)),"")</f>
        <v>181.383442621</v>
      </c>
      <c r="Y614" s="231">
        <v>23.96</v>
      </c>
      <c r="Z614" s="231">
        <v>4.9199999999999982</v>
      </c>
      <c r="AA614" s="231">
        <v>71.12</v>
      </c>
      <c r="AB614" s="232" t="s">
        <v>2670</v>
      </c>
      <c r="AC614" s="231">
        <v>7.3091375061606696</v>
      </c>
      <c r="AD614">
        <f>IF('WetLitterbags placem_collection'!AB175="","",'WetLitterbags placem_collection'!AB175)</f>
        <v>15.4</v>
      </c>
      <c r="AE614">
        <f>IF('WetLitterbags placem_collection'!Z175="","",'WetLitterbags placem_collection'!Z175)</f>
        <v>12.4</v>
      </c>
      <c r="AF614" s="246" t="str">
        <f>IF('WetLitterbags placem_collection'!AA175="","",'WetLitterbags placem_collection'!AA175)</f>
        <v>O</v>
      </c>
      <c r="AG614">
        <f>IF('WetLitterbags placem_collection'!AC175="","",'WetLitterbags placem_collection'!AC175)</f>
        <v>0</v>
      </c>
      <c r="AH614" s="240">
        <f>AVERAGE('WetLitterbags placem_collection'!S175,'WetLitterbags placem_collection'!U175)</f>
        <v>10.450000000000001</v>
      </c>
      <c r="AI614">
        <f>AVERAGE('WetLitterbags placem_collection'!R175,'WetLitterbags placem_collection'!T175)</f>
        <v>36.349999999999994</v>
      </c>
      <c r="AJ614">
        <f>INDEX(Coordinates!$B$2:$B$197,MATCH(G614,Coordinates!$J$2:$J$197,0))</f>
        <v>-2.27856799</v>
      </c>
      <c r="AK614">
        <f>INDEX(Coordinates!$C$2:$C$197,MATCH(G614,Coordinates!$J$2:$J$197,0))</f>
        <v>34.023969970000003</v>
      </c>
      <c r="AL614" t="str">
        <f>IF(ISNUMBER(SEARCH("C", 'WetLitterbags placem_collection'!X175)),"YES","NO")</f>
        <v>NO</v>
      </c>
      <c r="AM614" t="str">
        <f>IF(ISNUMBER(SEARCH("H", 'WetLitterbags placem_collection'!X175)),"YES","NO")</f>
        <v>NO</v>
      </c>
      <c r="AN614" t="str">
        <f>IF(ISNUMBER(SEARCH("R", 'WetLitterbags placem_collection'!X175)),"YES","NO")</f>
        <v>NO</v>
      </c>
    </row>
    <row r="615" spans="1:40" ht="15" customHeight="1">
      <c r="A615" s="258" t="s">
        <v>2460</v>
      </c>
      <c r="B615" s="263">
        <f>'Dry_Litterbag Placem_Collection'!A176</f>
        <v>174</v>
      </c>
      <c r="C615" s="263" t="str">
        <f>'Dry_Litterbag Placem_Collection'!B176</f>
        <v>Handajega</v>
      </c>
      <c r="D615" s="263" t="s">
        <v>2460</v>
      </c>
      <c r="E615" s="263" t="s">
        <v>2661</v>
      </c>
      <c r="F615" s="263">
        <v>2</v>
      </c>
      <c r="G615" s="264" t="str">
        <f>'Dry_Litterbag Placem_Collection'!C176</f>
        <v>Wet_W2_T6</v>
      </c>
      <c r="H615" s="273" t="s">
        <v>3651</v>
      </c>
      <c r="I615" s="266" t="s">
        <v>1147</v>
      </c>
      <c r="J615" s="223" t="str">
        <f>'WetLitterbags placem_collection'!O176</f>
        <v>G736</v>
      </c>
      <c r="K615" s="225">
        <f>IFERROR(INDEX('Green_rooibos initial weight'!$C$5:$C$1749,MATCH(J615, 'Green_rooibos initial weight'!$A$5:$A$1749,0)),"")</f>
        <v>2.0760000000000001</v>
      </c>
      <c r="L615" s="225">
        <f>IFERROR(K615-(TBIcalc!$H$9+TBIcalc!$H$10),"")</f>
        <v>1.8262</v>
      </c>
      <c r="M615" s="391">
        <f>AVERAGE(Ashed_controlls!$K$2:$K$11)</f>
        <v>5.5147656768714146</v>
      </c>
      <c r="N615" s="225">
        <f t="shared" si="49"/>
        <v>1.7254893492089742</v>
      </c>
      <c r="O615" s="225">
        <f>IF(IFERROR(INDEX('Both teabags AfterWet'!$C$3:$C$841,MATCH(J615,'Both teabags AfterWet'!$A$3:$A$841,0)),"")="","",(IFERROR(INDEX('Both teabags AfterWet'!$C$3:$C$841,MATCH(J615,'Both teabags AfterWet'!$A$3:$A$841,0)),"")))</f>
        <v>0.63500000000000001</v>
      </c>
      <c r="P615" s="225">
        <f>IFERROR(IF(O615&gt;0,O615-(TBIcalc!$H$9),""),"")</f>
        <v>0.4844</v>
      </c>
      <c r="Q615" s="225">
        <f>IFERROR(INDEX('Ashed teabags wet'!$K$2:$K$821,MATCH(J615,'Ashed teabags wet'!$A$2:$A$821,0)),"")</f>
        <v>8.7727944800392965</v>
      </c>
      <c r="R615" s="225">
        <f t="shared" si="52"/>
        <v>0.44190458353868967</v>
      </c>
      <c r="S615" s="226">
        <f>'WetLitterbags placem_collection'!E176</f>
        <v>42763</v>
      </c>
      <c r="T615" s="226">
        <f>IF('WetLitterbags placem_collection'!G176="","",'WetLitterbags placem_collection'!G176)</f>
        <v>42814</v>
      </c>
      <c r="U615" s="227">
        <f t="shared" si="48"/>
        <v>51</v>
      </c>
      <c r="V615" s="225">
        <f t="shared" si="50"/>
        <v>1.3418000000000001</v>
      </c>
      <c r="W615" s="225">
        <f t="shared" si="51"/>
        <v>1.2835847656702846</v>
      </c>
      <c r="X615">
        <f>IFERROR(INDEX(Rainfall_Wet!$O$2:$O$217,MATCH(B615, Rainfall_Wet!$A$2:$A$217,0)),"")</f>
        <v>181.383442621</v>
      </c>
      <c r="Y615" s="231">
        <v>23.96</v>
      </c>
      <c r="Z615" s="231">
        <v>4.9199999999999982</v>
      </c>
      <c r="AA615" s="231">
        <v>71.12</v>
      </c>
      <c r="AB615" s="232" t="s">
        <v>2670</v>
      </c>
      <c r="AC615" s="231">
        <v>8.3091375061606705</v>
      </c>
      <c r="AD615">
        <f>IF('WetLitterbags placem_collection'!AB176="","",'WetLitterbags placem_collection'!AB176)</f>
        <v>7.4</v>
      </c>
      <c r="AE615">
        <f>IF('WetLitterbags placem_collection'!Z176="","",'WetLitterbags placem_collection'!Z176)</f>
        <v>7.4</v>
      </c>
      <c r="AF615" s="246" t="str">
        <f>IF('WetLitterbags placem_collection'!AA176="","",'WetLitterbags placem_collection'!AA176)</f>
        <v>O</v>
      </c>
      <c r="AG615">
        <f>IF('WetLitterbags placem_collection'!AC176="","",'WetLitterbags placem_collection'!AC176)</f>
        <v>0</v>
      </c>
      <c r="AH615" s="240">
        <f>AVERAGE('WetLitterbags placem_collection'!S176,'WetLitterbags placem_collection'!U176)</f>
        <v>17.75</v>
      </c>
      <c r="AI615">
        <f>AVERAGE('WetLitterbags placem_collection'!R176,'WetLitterbags placem_collection'!T176)</f>
        <v>34.85</v>
      </c>
      <c r="AJ615">
        <f>INDEX(Coordinates!$B$2:$B$197,MATCH(G615,Coordinates!$J$2:$J$197,0))</f>
        <v>-2.2786809780000001</v>
      </c>
      <c r="AK615">
        <f>INDEX(Coordinates!$C$2:$C$197,MATCH(G615,Coordinates!$J$2:$J$197,0))</f>
        <v>34.02434899</v>
      </c>
      <c r="AL615" t="str">
        <f>IF(ISNUMBER(SEARCH("C", 'WetLitterbags placem_collection'!X176)),"YES","NO")</f>
        <v>NO</v>
      </c>
      <c r="AM615" t="str">
        <f>IF(ISNUMBER(SEARCH("H", 'WetLitterbags placem_collection'!X176)),"YES","NO")</f>
        <v>NO</v>
      </c>
      <c r="AN615" t="str">
        <f>IF(ISNUMBER(SEARCH("R", 'WetLitterbags placem_collection'!X176)),"YES","NO")</f>
        <v>NO</v>
      </c>
    </row>
    <row r="616" spans="1:40" ht="15" customHeight="1">
      <c r="A616" s="258" t="s">
        <v>2460</v>
      </c>
      <c r="B616" s="263">
        <f>'Dry_Litterbag Placem_Collection'!A177</f>
        <v>175</v>
      </c>
      <c r="C616" s="263" t="str">
        <f>'Dry_Litterbag Placem_Collection'!B177</f>
        <v>Handajega</v>
      </c>
      <c r="D616" s="263" t="s">
        <v>2460</v>
      </c>
      <c r="E616" s="263" t="s">
        <v>2661</v>
      </c>
      <c r="F616" s="263">
        <v>2</v>
      </c>
      <c r="G616" s="264" t="str">
        <f>'Dry_Litterbag Placem_Collection'!C177</f>
        <v>Wet_W2_T7</v>
      </c>
      <c r="H616" s="273" t="s">
        <v>3651</v>
      </c>
      <c r="I616" s="266" t="s">
        <v>1147</v>
      </c>
      <c r="J616" s="223" t="str">
        <f>'WetLitterbags placem_collection'!O177</f>
        <v>G792</v>
      </c>
      <c r="K616" s="225">
        <f>IFERROR(INDEX('Green_rooibos initial weight'!$C$5:$C$1749,MATCH(J616, 'Green_rooibos initial weight'!$A$5:$A$1749,0)),"")</f>
        <v>2.0550000000000002</v>
      </c>
      <c r="L616" s="225">
        <f>IFERROR(K616-(TBIcalc!$H$9+TBIcalc!$H$10),"")</f>
        <v>1.8052000000000001</v>
      </c>
      <c r="M616" s="391">
        <f>AVERAGE(Ashed_controlls!$K$2:$K$11)</f>
        <v>5.5147656768714146</v>
      </c>
      <c r="N616" s="225">
        <f t="shared" si="49"/>
        <v>1.7056474500011174</v>
      </c>
      <c r="O616" s="225" t="str">
        <f>IF(IFERROR(INDEX('Both teabags AfterWet'!$C$3:$C$841,MATCH(J616,'Both teabags AfterWet'!$A$3:$A$841,0)),"")="","",(IFERROR(INDEX('Both teabags AfterWet'!$C$3:$C$841,MATCH(J616,'Both teabags AfterWet'!$A$3:$A$841,0)),"")))</f>
        <v/>
      </c>
      <c r="P616" s="225" t="str">
        <f>IFERROR(IF(O616&gt;0,O616-(TBIcalc!$H$9),""),"")</f>
        <v/>
      </c>
      <c r="Q616" s="225" t="str">
        <f>IFERROR(INDEX('Ashed teabags wet'!$K$2:$K$821,MATCH(J616,'Ashed teabags wet'!$A$2:$A$821,0)),"")</f>
        <v/>
      </c>
      <c r="R616" s="225" t="str">
        <f t="shared" si="52"/>
        <v/>
      </c>
      <c r="S616" s="226">
        <f>'WetLitterbags placem_collection'!E177</f>
        <v>42763</v>
      </c>
      <c r="T616" s="226">
        <f>IF('WetLitterbags placem_collection'!G177="","",'WetLitterbags placem_collection'!G177)</f>
        <v>42814</v>
      </c>
      <c r="U616" s="227">
        <f t="shared" si="48"/>
        <v>51</v>
      </c>
      <c r="V616" s="225" t="str">
        <f t="shared" si="50"/>
        <v/>
      </c>
      <c r="W616" s="225" t="str">
        <f t="shared" si="51"/>
        <v/>
      </c>
      <c r="X616">
        <f>IFERROR(INDEX(Rainfall_Wet!$O$2:$O$217,MATCH(B616, Rainfall_Wet!$A$2:$A$217,0)),"")</f>
        <v>181.383442621</v>
      </c>
      <c r="Y616" s="231">
        <v>23.96</v>
      </c>
      <c r="Z616" s="231">
        <v>4.9199999999999982</v>
      </c>
      <c r="AA616" s="231">
        <v>71.12</v>
      </c>
      <c r="AB616" s="232" t="s">
        <v>2670</v>
      </c>
      <c r="AC616" s="231">
        <v>9.3091375061606705</v>
      </c>
      <c r="AD616">
        <f>IF('WetLitterbags placem_collection'!AB177="","",'WetLitterbags placem_collection'!AB177)</f>
        <v>15.4</v>
      </c>
      <c r="AE616">
        <f>IF('WetLitterbags placem_collection'!Z177="","",'WetLitterbags placem_collection'!Z177)</f>
        <v>9.8000000000000007</v>
      </c>
      <c r="AF616" s="246" t="str">
        <f>IF('WetLitterbags placem_collection'!AA177="","",'WetLitterbags placem_collection'!AA177)</f>
        <v>O</v>
      </c>
      <c r="AG616">
        <f>IF('WetLitterbags placem_collection'!AC177="","",'WetLitterbags placem_collection'!AC177)</f>
        <v>1</v>
      </c>
      <c r="AH616" s="240">
        <f>AVERAGE('WetLitterbags placem_collection'!S177,'WetLitterbags placem_collection'!U177)</f>
        <v>11.55</v>
      </c>
      <c r="AI616">
        <f>AVERAGE('WetLitterbags placem_collection'!R177,'WetLitterbags placem_collection'!T177)</f>
        <v>36.25</v>
      </c>
      <c r="AJ616">
        <f>INDEX(Coordinates!$B$2:$B$197,MATCH(G616,Coordinates!$J$2:$J$197,0))</f>
        <v>-2.2784219779999999</v>
      </c>
      <c r="AK616">
        <f>INDEX(Coordinates!$C$2:$C$197,MATCH(G616,Coordinates!$J$2:$J$197,0))</f>
        <v>34.024374979999997</v>
      </c>
      <c r="AL616" t="str">
        <f>IF(ISNUMBER(SEARCH("C", 'WetLitterbags placem_collection'!X177)),"YES","NO")</f>
        <v>NO</v>
      </c>
      <c r="AM616" t="str">
        <f>IF(ISNUMBER(SEARCH("H", 'WetLitterbags placem_collection'!X177)),"YES","NO")</f>
        <v>NO</v>
      </c>
      <c r="AN616" t="str">
        <f>IF(ISNUMBER(SEARCH("R", 'WetLitterbags placem_collection'!X177)),"YES","NO")</f>
        <v>NO</v>
      </c>
    </row>
    <row r="617" spans="1:40" ht="15" customHeight="1">
      <c r="A617" s="258" t="s">
        <v>2460</v>
      </c>
      <c r="B617" s="263">
        <f>'Dry_Litterbag Placem_Collection'!A178</f>
        <v>176</v>
      </c>
      <c r="C617" s="263" t="str">
        <f>'Dry_Litterbag Placem_Collection'!B178</f>
        <v>Handajega</v>
      </c>
      <c r="D617" s="263" t="s">
        <v>2460</v>
      </c>
      <c r="E617" s="263" t="s">
        <v>2661</v>
      </c>
      <c r="F617" s="263">
        <v>2</v>
      </c>
      <c r="G617" s="264" t="str">
        <f>'Dry_Litterbag Placem_Collection'!C178</f>
        <v>Wet_W2_T8</v>
      </c>
      <c r="H617" s="273" t="s">
        <v>3651</v>
      </c>
      <c r="I617" s="266" t="s">
        <v>1147</v>
      </c>
      <c r="J617" s="223" t="str">
        <f>'WetLitterbags placem_collection'!O178</f>
        <v>G470</v>
      </c>
      <c r="K617" s="225">
        <f>IFERROR(INDEX('Green_rooibos initial weight'!$C$5:$C$1749,MATCH(J617, 'Green_rooibos initial weight'!$A$5:$A$1749,0)),"")</f>
        <v>1.9970000000000001</v>
      </c>
      <c r="L617" s="225">
        <f>IFERROR(K617-(TBIcalc!$H$9+TBIcalc!$H$10),"")</f>
        <v>1.7472000000000001</v>
      </c>
      <c r="M617" s="391">
        <f>AVERAGE(Ashed_controlls!$K$2:$K$11)</f>
        <v>5.5147656768714146</v>
      </c>
      <c r="N617" s="225">
        <f t="shared" si="49"/>
        <v>1.6508460140937027</v>
      </c>
      <c r="O617" s="225">
        <f>IF(IFERROR(INDEX('Both teabags AfterWet'!$C$3:$C$841,MATCH(J617,'Both teabags AfterWet'!$A$3:$A$841,0)),"")="","",(IFERROR(INDEX('Both teabags AfterWet'!$C$3:$C$841,MATCH(J617,'Both teabags AfterWet'!$A$3:$A$841,0)),"")))</f>
        <v>0.60299999999999998</v>
      </c>
      <c r="P617" s="225">
        <f>IFERROR(IF(O617&gt;0,O617-(TBIcalc!$H$9),""),"")</f>
        <v>0.45239999999999997</v>
      </c>
      <c r="Q617" s="225">
        <f>IFERROR(INDEX('Ashed teabags wet'!$K$2:$K$821,MATCH(J617,'Ashed teabags wet'!$A$2:$A$821,0)),"")</f>
        <v>9.3558282208585464</v>
      </c>
      <c r="R617" s="225">
        <f t="shared" si="52"/>
        <v>0.4100742331288359</v>
      </c>
      <c r="S617" s="226">
        <f>'WetLitterbags placem_collection'!E178</f>
        <v>42763</v>
      </c>
      <c r="T617" s="226">
        <f>IF('WetLitterbags placem_collection'!G178="","",'WetLitterbags placem_collection'!G178)</f>
        <v>42814</v>
      </c>
      <c r="U617" s="227">
        <f t="shared" si="48"/>
        <v>51</v>
      </c>
      <c r="V617" s="225">
        <f t="shared" si="50"/>
        <v>1.2948000000000002</v>
      </c>
      <c r="W617" s="225">
        <f t="shared" si="51"/>
        <v>1.2407717809648668</v>
      </c>
      <c r="X617">
        <f>IFERROR(INDEX(Rainfall_Wet!$O$2:$O$217,MATCH(B617, Rainfall_Wet!$A$2:$A$217,0)),"")</f>
        <v>181.383442621</v>
      </c>
      <c r="Y617" s="231">
        <v>23.96</v>
      </c>
      <c r="Z617" s="231">
        <v>4.9199999999999982</v>
      </c>
      <c r="AA617" s="231">
        <v>71.12</v>
      </c>
      <c r="AB617" s="232" t="s">
        <v>2670</v>
      </c>
      <c r="AC617" s="231">
        <v>10.309137506160701</v>
      </c>
      <c r="AD617">
        <f>IF('WetLitterbags placem_collection'!AB178="","",'WetLitterbags placem_collection'!AB178)</f>
        <v>6.8</v>
      </c>
      <c r="AE617">
        <f>IF('WetLitterbags placem_collection'!Z178="","",'WetLitterbags placem_collection'!Z178)</f>
        <v>6.9</v>
      </c>
      <c r="AF617" s="246" t="str">
        <f>IF('WetLitterbags placem_collection'!AA178="","",'WetLitterbags placem_collection'!AA178)</f>
        <v>O</v>
      </c>
      <c r="AG617">
        <f>IF('WetLitterbags placem_collection'!AC178="","",'WetLitterbags placem_collection'!AC178)</f>
        <v>0</v>
      </c>
      <c r="AH617" s="240">
        <f>AVERAGE('WetLitterbags placem_collection'!S178,'WetLitterbags placem_collection'!U178)</f>
        <v>11.4</v>
      </c>
      <c r="AI617">
        <f>AVERAGE('WetLitterbags placem_collection'!R178,'WetLitterbags placem_collection'!T178)</f>
        <v>34.15</v>
      </c>
      <c r="AJ617">
        <f>INDEX(Coordinates!$B$2:$B$197,MATCH(G617,Coordinates!$J$2:$J$197,0))</f>
        <v>-2.2782909679999999</v>
      </c>
      <c r="AK617">
        <f>INDEX(Coordinates!$C$2:$C$197,MATCH(G617,Coordinates!$J$2:$J$197,0))</f>
        <v>34.024574970000003</v>
      </c>
      <c r="AL617" t="str">
        <f>IF(ISNUMBER(SEARCH("C", 'WetLitterbags placem_collection'!X178)),"YES","NO")</f>
        <v>NO</v>
      </c>
      <c r="AM617" t="str">
        <f>IF(ISNUMBER(SEARCH("H", 'WetLitterbags placem_collection'!X178)),"YES","NO")</f>
        <v>NO</v>
      </c>
      <c r="AN617" t="str">
        <f>IF(ISNUMBER(SEARCH("R", 'WetLitterbags placem_collection'!X178)),"YES","NO")</f>
        <v>NO</v>
      </c>
    </row>
    <row r="618" spans="1:40" ht="15" customHeight="1">
      <c r="A618" s="258" t="s">
        <v>2460</v>
      </c>
      <c r="B618" s="263">
        <f>'Dry_Litterbag Placem_Collection'!A179</f>
        <v>177</v>
      </c>
      <c r="C618" s="263" t="str">
        <f>'Dry_Litterbag Placem_Collection'!B179</f>
        <v>Handajega</v>
      </c>
      <c r="D618" s="263" t="s">
        <v>2460</v>
      </c>
      <c r="E618" s="263" t="s">
        <v>2661</v>
      </c>
      <c r="F618" s="263">
        <v>3</v>
      </c>
      <c r="G618" s="264" t="str">
        <f>'Dry_Litterbag Placem_Collection'!C179</f>
        <v>Wet_W3_T1</v>
      </c>
      <c r="H618" s="273" t="s">
        <v>3651</v>
      </c>
      <c r="I618" s="266" t="s">
        <v>1147</v>
      </c>
      <c r="J618" s="223" t="str">
        <f>'WetLitterbags placem_collection'!O179</f>
        <v>G483</v>
      </c>
      <c r="K618" s="225">
        <f>IFERROR(INDEX('Green_rooibos initial weight'!$C$5:$C$1749,MATCH(J618, 'Green_rooibos initial weight'!$A$5:$A$1749,0)),"")</f>
        <v>1.9750000000000001</v>
      </c>
      <c r="L618" s="225">
        <f>IFERROR(K618-(TBIcalc!$H$9+TBIcalc!$H$10),"")</f>
        <v>1.7252000000000001</v>
      </c>
      <c r="M618" s="391">
        <f>AVERAGE(Ashed_controlls!$K$2:$K$11)</f>
        <v>5.5147656768714146</v>
      </c>
      <c r="N618" s="225">
        <f t="shared" si="49"/>
        <v>1.6300592625426145</v>
      </c>
      <c r="O618" s="225">
        <f>IF(IFERROR(INDEX('Both teabags AfterWet'!$C$3:$C$841,MATCH(J618,'Both teabags AfterWet'!$A$3:$A$841,0)),"")="","",(IFERROR(INDEX('Both teabags AfterWet'!$C$3:$C$841,MATCH(J618,'Both teabags AfterWet'!$A$3:$A$841,0)),"")))</f>
        <v>0.58399999999999996</v>
      </c>
      <c r="P618" s="225">
        <f>IFERROR(IF(O618&gt;0,O618-(TBIcalc!$H$9),""),"")</f>
        <v>0.43339999999999995</v>
      </c>
      <c r="Q618" s="225">
        <f>IFERROR(INDEX('Ashed teabags wet'!$K$2:$K$821,MATCH(J618,'Ashed teabags wet'!$A$2:$A$821,0)),"")</f>
        <v>8.5170340681363346</v>
      </c>
      <c r="R618" s="225">
        <f t="shared" si="52"/>
        <v>0.39648717434869707</v>
      </c>
      <c r="S618" s="226">
        <f>'WetLitterbags placem_collection'!E179</f>
        <v>42763</v>
      </c>
      <c r="T618" s="226">
        <f>IF('WetLitterbags placem_collection'!G179="","",'WetLitterbags placem_collection'!G179)</f>
        <v>42815</v>
      </c>
      <c r="U618" s="227">
        <f t="shared" si="48"/>
        <v>52</v>
      </c>
      <c r="V618" s="225">
        <f t="shared" si="50"/>
        <v>1.2918000000000001</v>
      </c>
      <c r="W618" s="225">
        <f t="shared" si="51"/>
        <v>1.2335720881939174</v>
      </c>
      <c r="X618">
        <f>IFERROR(INDEX(Rainfall_Wet!$O$2:$O$217,MATCH(B618, Rainfall_Wet!$A$2:$A$217,0)),"")</f>
        <v>188.24043152799999</v>
      </c>
      <c r="Y618" s="231">
        <v>25.96</v>
      </c>
      <c r="Z618" s="231">
        <v>8.9200000000000017</v>
      </c>
      <c r="AA618" s="231">
        <v>65.12</v>
      </c>
      <c r="AB618" s="232" t="s">
        <v>2670</v>
      </c>
      <c r="AC618" s="231">
        <v>1.614588467225234</v>
      </c>
      <c r="AD618">
        <f>IF('WetLitterbags placem_collection'!AB179="","",'WetLitterbags placem_collection'!AB179)</f>
        <v>17.8</v>
      </c>
      <c r="AE618">
        <f>IF('WetLitterbags placem_collection'!Z179="","",'WetLitterbags placem_collection'!Z179)</f>
        <v>25.8</v>
      </c>
      <c r="AF618" s="246" t="str">
        <f>IF('WetLitterbags placem_collection'!AA179="","",'WetLitterbags placem_collection'!AA179)</f>
        <v>O</v>
      </c>
      <c r="AG618">
        <f>IF('WetLitterbags placem_collection'!AC179="","",'WetLitterbags placem_collection'!AC179)</f>
        <v>0</v>
      </c>
      <c r="AH618" s="240">
        <f>AVERAGE('WetLitterbags placem_collection'!S179,'WetLitterbags placem_collection'!U179)</f>
        <v>19.200000000000003</v>
      </c>
      <c r="AI618">
        <f>AVERAGE('WetLitterbags placem_collection'!R179,'WetLitterbags placem_collection'!T179)</f>
        <v>32.1</v>
      </c>
      <c r="AJ618">
        <f>INDEX(Coordinates!$B$2:$B$197,MATCH(G618,Coordinates!$J$2:$J$197,0))</f>
        <v>-2.277740026</v>
      </c>
      <c r="AK618">
        <f>INDEX(Coordinates!$C$2:$C$197,MATCH(G618,Coordinates!$J$2:$J$197,0))</f>
        <v>34.027640990000002</v>
      </c>
      <c r="AL618" t="str">
        <f>IF(ISNUMBER(SEARCH("C", 'WetLitterbags placem_collection'!X179)),"YES","NO")</f>
        <v>NO</v>
      </c>
      <c r="AM618" t="str">
        <f>IF(ISNUMBER(SEARCH("H", 'WetLitterbags placem_collection'!X179)),"YES","NO")</f>
        <v>NO</v>
      </c>
      <c r="AN618" t="str">
        <f>IF(ISNUMBER(SEARCH("R", 'WetLitterbags placem_collection'!X179)),"YES","NO")</f>
        <v>NO</v>
      </c>
    </row>
    <row r="619" spans="1:40" ht="15" customHeight="1">
      <c r="A619" s="258" t="s">
        <v>2460</v>
      </c>
      <c r="B619" s="263">
        <f>'Dry_Litterbag Placem_Collection'!A180</f>
        <v>178</v>
      </c>
      <c r="C619" s="263" t="str">
        <f>'Dry_Litterbag Placem_Collection'!B180</f>
        <v>Handajega</v>
      </c>
      <c r="D619" s="263" t="s">
        <v>2460</v>
      </c>
      <c r="E619" s="263" t="s">
        <v>2661</v>
      </c>
      <c r="F619" s="263">
        <v>3</v>
      </c>
      <c r="G619" s="264" t="str">
        <f>'Dry_Litterbag Placem_Collection'!C180</f>
        <v>Wet_W3_T2</v>
      </c>
      <c r="H619" s="273" t="s">
        <v>3651</v>
      </c>
      <c r="I619" s="266" t="s">
        <v>1147</v>
      </c>
      <c r="J619" s="223" t="str">
        <f>'WetLitterbags placem_collection'!O180</f>
        <v>G893</v>
      </c>
      <c r="K619" s="225">
        <f>IFERROR(INDEX('Green_rooibos initial weight'!$C$5:$C$1749,MATCH(J619, 'Green_rooibos initial weight'!$A$5:$A$1749,0)),"")</f>
        <v>2.036</v>
      </c>
      <c r="L619" s="225">
        <f>IFERROR(K619-(TBIcalc!$H$9+TBIcalc!$H$10),"")</f>
        <v>1.7862</v>
      </c>
      <c r="M619" s="391">
        <f>AVERAGE(Ashed_controlls!$K$2:$K$11)</f>
        <v>5.5147656768714146</v>
      </c>
      <c r="N619" s="225">
        <f t="shared" si="49"/>
        <v>1.6876952554797229</v>
      </c>
      <c r="O619" s="225">
        <f>IF(IFERROR(INDEX('Both teabags AfterWet'!$C$3:$C$841,MATCH(J619,'Both teabags AfterWet'!$A$3:$A$841,0)),"")="","",(IFERROR(INDEX('Both teabags AfterWet'!$C$3:$C$841,MATCH(J619,'Both teabags AfterWet'!$A$3:$A$841,0)),"")))</f>
        <v>0.60699999999999998</v>
      </c>
      <c r="P619" s="225">
        <f>IFERROR(IF(O619&gt;0,O619-(TBIcalc!$H$9),""),"")</f>
        <v>0.45639999999999997</v>
      </c>
      <c r="Q619" s="225">
        <f>IFERROR(INDEX('Ashed teabags wet'!$K$2:$K$821,MATCH(J619,'Ashed teabags wet'!$A$2:$A$821,0)),"")</f>
        <v>8.1265206812653794</v>
      </c>
      <c r="R619" s="225">
        <f t="shared" si="52"/>
        <v>0.41931055961070479</v>
      </c>
      <c r="S619" s="226">
        <f>'WetLitterbags placem_collection'!E180</f>
        <v>42763</v>
      </c>
      <c r="T619" s="226">
        <f>IF('WetLitterbags placem_collection'!G180="","",'WetLitterbags placem_collection'!G180)</f>
        <v>42815</v>
      </c>
      <c r="U619" s="227">
        <f t="shared" si="48"/>
        <v>52</v>
      </c>
      <c r="V619" s="225">
        <f t="shared" si="50"/>
        <v>1.3298000000000001</v>
      </c>
      <c r="W619" s="225">
        <f t="shared" si="51"/>
        <v>1.2683846958690181</v>
      </c>
      <c r="X619">
        <f>IFERROR(INDEX(Rainfall_Wet!$O$2:$O$217,MATCH(B619, Rainfall_Wet!$A$2:$A$217,0)),"")</f>
        <v>188.24043152799999</v>
      </c>
      <c r="Y619" s="231">
        <v>25.96</v>
      </c>
      <c r="Z619" s="231">
        <v>8.9200000000000017</v>
      </c>
      <c r="AA619" s="231">
        <v>65.12</v>
      </c>
      <c r="AB619" s="232" t="s">
        <v>2670</v>
      </c>
      <c r="AC619" s="231">
        <v>2.61458846722523</v>
      </c>
      <c r="AD619">
        <f>IF('WetLitterbags placem_collection'!AB180="","",'WetLitterbags placem_collection'!AB180)</f>
        <v>15.4</v>
      </c>
      <c r="AE619">
        <f>IF('WetLitterbags placem_collection'!Z180="","",'WetLitterbags placem_collection'!Z180)</f>
        <v>18.8</v>
      </c>
      <c r="AF619" s="246" t="str">
        <f>IF('WetLitterbags placem_collection'!AA180="","",'WetLitterbags placem_collection'!AA180)</f>
        <v>O</v>
      </c>
      <c r="AG619">
        <f>IF('WetLitterbags placem_collection'!AC180="","",'WetLitterbags placem_collection'!AC180)</f>
        <v>1</v>
      </c>
      <c r="AH619" s="240">
        <f>AVERAGE('WetLitterbags placem_collection'!S180,'WetLitterbags placem_collection'!U180)</f>
        <v>17.149999999999999</v>
      </c>
      <c r="AI619">
        <f>AVERAGE('WetLitterbags placem_collection'!R180,'WetLitterbags placem_collection'!T180)</f>
        <v>32.950000000000003</v>
      </c>
      <c r="AJ619">
        <f>INDEX(Coordinates!$B$2:$B$197,MATCH(G619,Coordinates!$J$2:$J$197,0))</f>
        <v>-2.2777889760000001</v>
      </c>
      <c r="AK619">
        <f>INDEX(Coordinates!$C$2:$C$197,MATCH(G619,Coordinates!$J$2:$J$197,0))</f>
        <v>34.027664960000003</v>
      </c>
      <c r="AL619" t="str">
        <f>IF(ISNUMBER(SEARCH("C", 'WetLitterbags placem_collection'!X180)),"YES","NO")</f>
        <v>NO</v>
      </c>
      <c r="AM619" t="str">
        <f>IF(ISNUMBER(SEARCH("H", 'WetLitterbags placem_collection'!X180)),"YES","NO")</f>
        <v>NO</v>
      </c>
      <c r="AN619" t="str">
        <f>IF(ISNUMBER(SEARCH("R", 'WetLitterbags placem_collection'!X180)),"YES","NO")</f>
        <v>YES</v>
      </c>
    </row>
    <row r="620" spans="1:40" ht="15" customHeight="1">
      <c r="A620" s="258" t="s">
        <v>2460</v>
      </c>
      <c r="B620" s="263">
        <f>'Dry_Litterbag Placem_Collection'!A181</f>
        <v>179</v>
      </c>
      <c r="C620" s="263" t="str">
        <f>'Dry_Litterbag Placem_Collection'!B181</f>
        <v>Handajega</v>
      </c>
      <c r="D620" s="263" t="s">
        <v>2460</v>
      </c>
      <c r="E620" s="263" t="s">
        <v>2661</v>
      </c>
      <c r="F620" s="263">
        <v>3</v>
      </c>
      <c r="G620" s="264" t="str">
        <f>'Dry_Litterbag Placem_Collection'!C181</f>
        <v>Wet_W3_T3</v>
      </c>
      <c r="H620" s="273" t="s">
        <v>3651</v>
      </c>
      <c r="I620" s="266" t="s">
        <v>1147</v>
      </c>
      <c r="J620" s="223" t="str">
        <f>'WetLitterbags placem_collection'!O181</f>
        <v>G826</v>
      </c>
      <c r="K620" s="225">
        <f>IFERROR(INDEX('Green_rooibos initial weight'!$C$5:$C$1749,MATCH(J620, 'Green_rooibos initial weight'!$A$5:$A$1749,0)),"")</f>
        <v>2.15</v>
      </c>
      <c r="L620" s="225">
        <f>IFERROR(K620-(TBIcalc!$H$9+TBIcalc!$H$10),"")</f>
        <v>1.9001999999999999</v>
      </c>
      <c r="M620" s="391">
        <f>AVERAGE(Ashed_controlls!$K$2:$K$11)</f>
        <v>5.5147656768714146</v>
      </c>
      <c r="N620" s="225">
        <f t="shared" si="49"/>
        <v>1.7954084226080893</v>
      </c>
      <c r="O620" s="225">
        <f>IF(IFERROR(INDEX('Both teabags AfterWet'!$C$3:$C$841,MATCH(J620,'Both teabags AfterWet'!$A$3:$A$841,0)),"")="","",(IFERROR(INDEX('Both teabags AfterWet'!$C$3:$C$841,MATCH(J620,'Both teabags AfterWet'!$A$3:$A$841,0)),"")))</f>
        <v>0.60060000000000002</v>
      </c>
      <c r="P620" s="225">
        <f>IFERROR(IF(O620&gt;0,O620-(TBIcalc!$H$9),""),"")</f>
        <v>0.45</v>
      </c>
      <c r="Q620" s="225">
        <f>IFERROR(INDEX('Ashed teabags wet'!$K$2:$K$821,MATCH(J620,'Ashed teabags wet'!$A$2:$A$821,0)),"")</f>
        <v>8.7676570871892565</v>
      </c>
      <c r="R620" s="225">
        <f t="shared" si="52"/>
        <v>0.41054554310764835</v>
      </c>
      <c r="S620" s="226">
        <f>'WetLitterbags placem_collection'!E181</f>
        <v>42763</v>
      </c>
      <c r="T620" s="226">
        <f>IF('WetLitterbags placem_collection'!G181="","",'WetLitterbags placem_collection'!G181)</f>
        <v>42815</v>
      </c>
      <c r="U620" s="227">
        <f t="shared" si="48"/>
        <v>52</v>
      </c>
      <c r="V620" s="225">
        <f t="shared" si="50"/>
        <v>1.4501999999999999</v>
      </c>
      <c r="W620" s="225">
        <f t="shared" si="51"/>
        <v>1.384862879500441</v>
      </c>
      <c r="X620">
        <f>IFERROR(INDEX(Rainfall_Wet!$O$2:$O$217,MATCH(B620, Rainfall_Wet!$A$2:$A$217,0)),"")</f>
        <v>188.24043152799999</v>
      </c>
      <c r="Y620" s="231">
        <v>25.96</v>
      </c>
      <c r="Z620" s="231">
        <v>8.9200000000000017</v>
      </c>
      <c r="AA620" s="231">
        <v>65.12</v>
      </c>
      <c r="AB620" s="232" t="s">
        <v>2670</v>
      </c>
      <c r="AC620" s="231">
        <v>3.61458846722523</v>
      </c>
      <c r="AD620">
        <f>IF('WetLitterbags placem_collection'!AB181="","",'WetLitterbags placem_collection'!AB181)</f>
        <v>11.8</v>
      </c>
      <c r="AE620">
        <f>IF('WetLitterbags placem_collection'!Z181="","",'WetLitterbags placem_collection'!Z181)</f>
        <v>15.4</v>
      </c>
      <c r="AF620" s="246" t="str">
        <f>IF('WetLitterbags placem_collection'!AA181="","",'WetLitterbags placem_collection'!AA181)</f>
        <v>O</v>
      </c>
      <c r="AG620">
        <f>IF('WetLitterbags placem_collection'!AC181="","",'WetLitterbags placem_collection'!AC181)</f>
        <v>1</v>
      </c>
      <c r="AH620" s="240">
        <f>AVERAGE('WetLitterbags placem_collection'!S181,'WetLitterbags placem_collection'!U181)</f>
        <v>14.8</v>
      </c>
      <c r="AI620">
        <f>AVERAGE('WetLitterbags placem_collection'!R181,'WetLitterbags placem_collection'!T181)</f>
        <v>32.150000000000006</v>
      </c>
      <c r="AJ620">
        <f>INDEX(Coordinates!$B$2:$B$197,MATCH(G620,Coordinates!$J$2:$J$197,0))</f>
        <v>-2.2778579589999999</v>
      </c>
      <c r="AK620">
        <f>INDEX(Coordinates!$C$2:$C$197,MATCH(G620,Coordinates!$J$2:$J$197,0))</f>
        <v>34.027682980000002</v>
      </c>
      <c r="AL620" t="str">
        <f>IF(ISNUMBER(SEARCH("C", 'WetLitterbags placem_collection'!X181)),"YES","NO")</f>
        <v>NO</v>
      </c>
      <c r="AM620" t="str">
        <f>IF(ISNUMBER(SEARCH("H", 'WetLitterbags placem_collection'!X181)),"YES","NO")</f>
        <v>NO</v>
      </c>
      <c r="AN620" t="str">
        <f>IF(ISNUMBER(SEARCH("R", 'WetLitterbags placem_collection'!X181)),"YES","NO")</f>
        <v>NO</v>
      </c>
    </row>
    <row r="621" spans="1:40" ht="15" customHeight="1">
      <c r="A621" s="258" t="s">
        <v>2460</v>
      </c>
      <c r="B621" s="263">
        <f>'Dry_Litterbag Placem_Collection'!A182</f>
        <v>180</v>
      </c>
      <c r="C621" s="263" t="str">
        <f>'Dry_Litterbag Placem_Collection'!B182</f>
        <v>Handajega</v>
      </c>
      <c r="D621" s="263" t="s">
        <v>2460</v>
      </c>
      <c r="E621" s="263" t="s">
        <v>2661</v>
      </c>
      <c r="F621" s="263">
        <v>3</v>
      </c>
      <c r="G621" s="264" t="str">
        <f>'Dry_Litterbag Placem_Collection'!C182</f>
        <v>Wet_W3_T4</v>
      </c>
      <c r="H621" s="273" t="s">
        <v>3651</v>
      </c>
      <c r="I621" s="266" t="s">
        <v>1147</v>
      </c>
      <c r="J621" s="223" t="str">
        <f>'WetLitterbags placem_collection'!O182</f>
        <v>G783</v>
      </c>
      <c r="K621" s="225">
        <f>IFERROR(INDEX('Green_rooibos initial weight'!$C$5:$C$1749,MATCH(J621, 'Green_rooibos initial weight'!$A$5:$A$1749,0)),"")</f>
        <v>1.976</v>
      </c>
      <c r="L621" s="225">
        <f>IFERROR(K621-(TBIcalc!$H$9+TBIcalc!$H$10),"")</f>
        <v>1.7262</v>
      </c>
      <c r="M621" s="391">
        <f>AVERAGE(Ashed_controlls!$K$2:$K$11)</f>
        <v>5.5147656768714146</v>
      </c>
      <c r="N621" s="225">
        <f t="shared" si="49"/>
        <v>1.6310041148858456</v>
      </c>
      <c r="O621" s="225">
        <f>IF(IFERROR(INDEX('Both teabags AfterWet'!$C$3:$C$841,MATCH(J621,'Both teabags AfterWet'!$A$3:$A$841,0)),"")="","",(IFERROR(INDEX('Both teabags AfterWet'!$C$3:$C$841,MATCH(J621,'Both teabags AfterWet'!$A$3:$A$841,0)),"")))</f>
        <v>0.627</v>
      </c>
      <c r="P621" s="225">
        <f>IFERROR(IF(O621&gt;0,O621-(TBIcalc!$H$9),""),"")</f>
        <v>0.47639999999999999</v>
      </c>
      <c r="Q621" s="225">
        <f>IFERROR(INDEX('Ashed teabags wet'!$K$2:$K$821,MATCH(J621,'Ashed teabags wet'!$A$2:$A$821,0)),"")</f>
        <v>8.7719298245612158</v>
      </c>
      <c r="R621" s="225">
        <f t="shared" si="52"/>
        <v>0.43461052631579034</v>
      </c>
      <c r="S621" s="226">
        <f>'WetLitterbags placem_collection'!E182</f>
        <v>42763</v>
      </c>
      <c r="T621" s="226">
        <f>IF('WetLitterbags placem_collection'!G182="","",'WetLitterbags placem_collection'!G182)</f>
        <v>42815</v>
      </c>
      <c r="U621" s="227">
        <f t="shared" si="48"/>
        <v>52</v>
      </c>
      <c r="V621" s="225">
        <f t="shared" si="50"/>
        <v>1.2498</v>
      </c>
      <c r="W621" s="225">
        <f t="shared" si="51"/>
        <v>1.1963935885700554</v>
      </c>
      <c r="X621">
        <f>IFERROR(INDEX(Rainfall_Wet!$O$2:$O$217,MATCH(B621, Rainfall_Wet!$A$2:$A$217,0)),"")</f>
        <v>188.24043152799999</v>
      </c>
      <c r="Y621" s="231">
        <v>25.96</v>
      </c>
      <c r="Z621" s="231">
        <v>8.9200000000000017</v>
      </c>
      <c r="AA621" s="231">
        <v>65.12</v>
      </c>
      <c r="AB621" s="232" t="s">
        <v>2670</v>
      </c>
      <c r="AC621" s="231">
        <v>4.6145884672252304</v>
      </c>
      <c r="AD621">
        <f>IF('WetLitterbags placem_collection'!AB182="","",'WetLitterbags placem_collection'!AB182)</f>
        <v>8.3000000000000007</v>
      </c>
      <c r="AE621">
        <f>IF('WetLitterbags placem_collection'!Z182="","",'WetLitterbags placem_collection'!Z182)</f>
        <v>35</v>
      </c>
      <c r="AF621" s="246" t="str">
        <f>IF('WetLitterbags placem_collection'!AA182="","",'WetLitterbags placem_collection'!AA182)</f>
        <v>O</v>
      </c>
      <c r="AG621">
        <f>IF('WetLitterbags placem_collection'!AC182="","",'WetLitterbags placem_collection'!AC182)</f>
        <v>0</v>
      </c>
      <c r="AH621" s="240">
        <f>AVERAGE('WetLitterbags placem_collection'!S182,'WetLitterbags placem_collection'!U182)</f>
        <v>12.85</v>
      </c>
      <c r="AI621">
        <f>AVERAGE('WetLitterbags placem_collection'!R182,'WetLitterbags placem_collection'!T182)</f>
        <v>32.450000000000003</v>
      </c>
      <c r="AJ621">
        <f>INDEX(Coordinates!$B$2:$B$197,MATCH(G621,Coordinates!$J$2:$J$197,0))</f>
        <v>-2.2780199809999999</v>
      </c>
      <c r="AK621">
        <f>INDEX(Coordinates!$C$2:$C$197,MATCH(G621,Coordinates!$J$2:$J$197,0))</f>
        <v>34.027705019999999</v>
      </c>
      <c r="AL621" t="str">
        <f>IF(ISNUMBER(SEARCH("C", 'WetLitterbags placem_collection'!X182)),"YES","NO")</f>
        <v>NO</v>
      </c>
      <c r="AM621" t="str">
        <f>IF(ISNUMBER(SEARCH("H", 'WetLitterbags placem_collection'!X182)),"YES","NO")</f>
        <v>NO</v>
      </c>
      <c r="AN621" t="str">
        <f>IF(ISNUMBER(SEARCH("R", 'WetLitterbags placem_collection'!X182)),"YES","NO")</f>
        <v>NO</v>
      </c>
    </row>
    <row r="622" spans="1:40" ht="15" customHeight="1">
      <c r="A622" s="258" t="s">
        <v>2460</v>
      </c>
      <c r="B622" s="263">
        <f>'Dry_Litterbag Placem_Collection'!A183</f>
        <v>181</v>
      </c>
      <c r="C622" s="263" t="str">
        <f>'Dry_Litterbag Placem_Collection'!B183</f>
        <v>Handajega</v>
      </c>
      <c r="D622" s="263" t="s">
        <v>2460</v>
      </c>
      <c r="E622" s="263" t="s">
        <v>2661</v>
      </c>
      <c r="F622" s="263">
        <v>3</v>
      </c>
      <c r="G622" s="264" t="str">
        <f>'Dry_Litterbag Placem_Collection'!C183</f>
        <v>Wet_W3_T5</v>
      </c>
      <c r="H622" s="273" t="s">
        <v>3651</v>
      </c>
      <c r="I622" s="266" t="s">
        <v>1147</v>
      </c>
      <c r="J622" s="223" t="str">
        <f>'WetLitterbags placem_collection'!O183</f>
        <v>G551</v>
      </c>
      <c r="K622" s="225">
        <f>IFERROR(INDEX('Green_rooibos initial weight'!$C$5:$C$1749,MATCH(J622, 'Green_rooibos initial weight'!$A$5:$A$1749,0)),"")</f>
        <v>2.1160000000000001</v>
      </c>
      <c r="L622" s="225">
        <f>IFERROR(K622-(TBIcalc!$H$9+TBIcalc!$H$10),"")</f>
        <v>1.8662000000000001</v>
      </c>
      <c r="M622" s="391">
        <f>AVERAGE(Ashed_controlls!$K$2:$K$11)</f>
        <v>5.5147656768714146</v>
      </c>
      <c r="N622" s="225">
        <f t="shared" si="49"/>
        <v>1.7632834429382258</v>
      </c>
      <c r="O622" s="225">
        <f>IF(IFERROR(INDEX('Both teabags AfterWet'!$C$3:$C$841,MATCH(J622,'Both teabags AfterWet'!$A$3:$A$841,0)),"")="","",(IFERROR(INDEX('Both teabags AfterWet'!$C$3:$C$841,MATCH(J622,'Both teabags AfterWet'!$A$3:$A$841,0)),"")))</f>
        <v>0.61199999999999999</v>
      </c>
      <c r="P622" s="225">
        <f>IFERROR(IF(O622&gt;0,O622-(TBIcalc!$H$9),""),"")</f>
        <v>0.46139999999999998</v>
      </c>
      <c r="Q622" s="225">
        <f>IFERROR(INDEX('Ashed teabags wet'!$K$2:$K$821,MATCH(J622,'Ashed teabags wet'!$A$2:$A$821,0)),"")</f>
        <v>8.5532746823073538</v>
      </c>
      <c r="R622" s="225">
        <f t="shared" si="52"/>
        <v>0.42193519061583384</v>
      </c>
      <c r="S622" s="226">
        <f>'WetLitterbags placem_collection'!E183</f>
        <v>42763</v>
      </c>
      <c r="T622" s="226">
        <f>IF('WetLitterbags placem_collection'!G183="","",'WetLitterbags placem_collection'!G183)</f>
        <v>42815</v>
      </c>
      <c r="U622" s="227">
        <f t="shared" si="48"/>
        <v>52</v>
      </c>
      <c r="V622" s="225">
        <f t="shared" si="50"/>
        <v>1.4048</v>
      </c>
      <c r="W622" s="225">
        <f t="shared" si="51"/>
        <v>1.3413482523223919</v>
      </c>
      <c r="X622">
        <f>IFERROR(INDEX(Rainfall_Wet!$O$2:$O$217,MATCH(B622, Rainfall_Wet!$A$2:$A$217,0)),"")</f>
        <v>188.24043152799999</v>
      </c>
      <c r="Y622" s="231">
        <v>25.96</v>
      </c>
      <c r="Z622" s="231">
        <v>8.9200000000000017</v>
      </c>
      <c r="AA622" s="231">
        <v>65.12</v>
      </c>
      <c r="AB622" s="232" t="s">
        <v>2670</v>
      </c>
      <c r="AC622" s="231">
        <v>5.6145884672252304</v>
      </c>
      <c r="AD622">
        <f>IF('WetLitterbags placem_collection'!AB183="","",'WetLitterbags placem_collection'!AB183)</f>
        <v>11.4</v>
      </c>
      <c r="AE622">
        <f>IF('WetLitterbags placem_collection'!Z183="","",'WetLitterbags placem_collection'!Z183)</f>
        <v>15.8</v>
      </c>
      <c r="AF622" s="246" t="str">
        <f>IF('WetLitterbags placem_collection'!AA183="","",'WetLitterbags placem_collection'!AA183)</f>
        <v>O</v>
      </c>
      <c r="AG622">
        <f>IF('WetLitterbags placem_collection'!AC183="","",'WetLitterbags placem_collection'!AC183)</f>
        <v>1</v>
      </c>
      <c r="AH622" s="240">
        <f>AVERAGE('WetLitterbags placem_collection'!S183,'WetLitterbags placem_collection'!U183)</f>
        <v>13.75</v>
      </c>
      <c r="AI622">
        <f>AVERAGE('WetLitterbags placem_collection'!R183,'WetLitterbags placem_collection'!T183)</f>
        <v>32.650000000000006</v>
      </c>
      <c r="AJ622">
        <f>INDEX(Coordinates!$B$2:$B$197,MATCH(G622,Coordinates!$J$2:$J$197,0))</f>
        <v>-2.2777329850000001</v>
      </c>
      <c r="AK622">
        <f>INDEX(Coordinates!$C$2:$C$197,MATCH(G622,Coordinates!$J$2:$J$197,0))</f>
        <v>34.027422970000003</v>
      </c>
      <c r="AL622" t="str">
        <f>IF(ISNUMBER(SEARCH("C", 'WetLitterbags placem_collection'!X183)),"YES","NO")</f>
        <v>NO</v>
      </c>
      <c r="AM622" t="str">
        <f>IF(ISNUMBER(SEARCH("H", 'WetLitterbags placem_collection'!X183)),"YES","NO")</f>
        <v>NO</v>
      </c>
      <c r="AN622" t="str">
        <f>IF(ISNUMBER(SEARCH("R", 'WetLitterbags placem_collection'!X183)),"YES","NO")</f>
        <v>NO</v>
      </c>
    </row>
    <row r="623" spans="1:40" ht="15" customHeight="1">
      <c r="A623" s="258" t="s">
        <v>2460</v>
      </c>
      <c r="B623" s="263">
        <f>'Dry_Litterbag Placem_Collection'!A184</f>
        <v>182</v>
      </c>
      <c r="C623" s="263" t="str">
        <f>'Dry_Litterbag Placem_Collection'!B184</f>
        <v>Handajega</v>
      </c>
      <c r="D623" s="263" t="s">
        <v>2460</v>
      </c>
      <c r="E623" s="263" t="s">
        <v>2661</v>
      </c>
      <c r="F623" s="263">
        <v>3</v>
      </c>
      <c r="G623" s="264" t="str">
        <f>'Dry_Litterbag Placem_Collection'!C184</f>
        <v>Wet_W3_T6</v>
      </c>
      <c r="H623" s="273" t="s">
        <v>3651</v>
      </c>
      <c r="I623" s="266" t="s">
        <v>1147</v>
      </c>
      <c r="J623" s="223" t="str">
        <f>'WetLitterbags placem_collection'!O184</f>
        <v>G818</v>
      </c>
      <c r="K623" s="225">
        <f>IFERROR(INDEX('Green_rooibos initial weight'!$C$5:$C$1749,MATCH(J623, 'Green_rooibos initial weight'!$A$5:$A$1749,0)),"")</f>
        <v>2.0099999999999998</v>
      </c>
      <c r="L623" s="225">
        <f>IFERROR(K623-(TBIcalc!$H$9+TBIcalc!$H$10),"")</f>
        <v>1.7601999999999998</v>
      </c>
      <c r="M623" s="391">
        <f>AVERAGE(Ashed_controlls!$K$2:$K$11)</f>
        <v>5.5147656768714146</v>
      </c>
      <c r="N623" s="225">
        <f t="shared" si="49"/>
        <v>1.6631290945557091</v>
      </c>
      <c r="O623" s="225">
        <f>IF(IFERROR(INDEX('Both teabags AfterWet'!$C$3:$C$841,MATCH(J623,'Both teabags AfterWet'!$A$3:$A$841,0)),"")="","",(IFERROR(INDEX('Both teabags AfterWet'!$C$3:$C$841,MATCH(J623,'Both teabags AfterWet'!$A$3:$A$841,0)),"")))</f>
        <v>0.60450000000000004</v>
      </c>
      <c r="P623" s="225">
        <f>IFERROR(IF(O623&gt;0,O623-(TBIcalc!$H$9),""),"")</f>
        <v>0.45390000000000003</v>
      </c>
      <c r="Q623" s="225">
        <f>IFERROR(INDEX('Ashed teabags wet'!$K$2:$K$821,MATCH(J623,'Ashed teabags wet'!$A$2:$A$821,0)),"")</f>
        <v>10.028790786949029</v>
      </c>
      <c r="R623" s="225">
        <f t="shared" si="52"/>
        <v>0.40837931861803839</v>
      </c>
      <c r="S623" s="226">
        <f>'WetLitterbags placem_collection'!E184</f>
        <v>42763</v>
      </c>
      <c r="T623" s="226">
        <f>IF('WetLitterbags placem_collection'!G184="","",'WetLitterbags placem_collection'!G184)</f>
        <v>42815</v>
      </c>
      <c r="U623" s="227">
        <f t="shared" si="48"/>
        <v>52</v>
      </c>
      <c r="V623" s="225">
        <f t="shared" si="50"/>
        <v>1.3062999999999998</v>
      </c>
      <c r="W623" s="225">
        <f t="shared" si="51"/>
        <v>1.2547497759376707</v>
      </c>
      <c r="X623">
        <f>IFERROR(INDEX(Rainfall_Wet!$O$2:$O$217,MATCH(B623, Rainfall_Wet!$A$2:$A$217,0)),"")</f>
        <v>188.24043152799999</v>
      </c>
      <c r="Y623" s="231">
        <v>25.96</v>
      </c>
      <c r="Z623" s="231">
        <v>8.9200000000000017</v>
      </c>
      <c r="AA623" s="231">
        <v>65.12</v>
      </c>
      <c r="AB623" s="232" t="s">
        <v>2670</v>
      </c>
      <c r="AC623" s="231">
        <v>6.6145884672252304</v>
      </c>
      <c r="AD623">
        <f>IF('WetLitterbags placem_collection'!AB184="","",'WetLitterbags placem_collection'!AB184)</f>
        <v>8.8000000000000007</v>
      </c>
      <c r="AE623">
        <f>IF('WetLitterbags placem_collection'!Z184="","",'WetLitterbags placem_collection'!Z184)</f>
        <v>15.8</v>
      </c>
      <c r="AF623" s="246" t="str">
        <f>IF('WetLitterbags placem_collection'!AA184="","",'WetLitterbags placem_collection'!AA184)</f>
        <v>O</v>
      </c>
      <c r="AG623">
        <f>IF('WetLitterbags placem_collection'!AC184="","",'WetLitterbags placem_collection'!AC184)</f>
        <v>1</v>
      </c>
      <c r="AH623" s="240">
        <f>AVERAGE('WetLitterbags placem_collection'!S184,'WetLitterbags placem_collection'!U184)</f>
        <v>11.55</v>
      </c>
      <c r="AI623">
        <f>AVERAGE('WetLitterbags placem_collection'!R184,'WetLitterbags placem_collection'!T184)</f>
        <v>33.299999999999997</v>
      </c>
      <c r="AJ623">
        <f>INDEX(Coordinates!$B$2:$B$197,MATCH(G623,Coordinates!$J$2:$J$197,0))</f>
        <v>-2.2777009659999998</v>
      </c>
      <c r="AK623">
        <f>INDEX(Coordinates!$C$2:$C$197,MATCH(G623,Coordinates!$J$2:$J$197,0))</f>
        <v>34.027393969999999</v>
      </c>
      <c r="AL623" t="str">
        <f>IF(ISNUMBER(SEARCH("C", 'WetLitterbags placem_collection'!X184)),"YES","NO")</f>
        <v>NO</v>
      </c>
      <c r="AM623" t="str">
        <f>IF(ISNUMBER(SEARCH("H", 'WetLitterbags placem_collection'!X184)),"YES","NO")</f>
        <v>NO</v>
      </c>
      <c r="AN623" t="str">
        <f>IF(ISNUMBER(SEARCH("R", 'WetLitterbags placem_collection'!X184)),"YES","NO")</f>
        <v>NO</v>
      </c>
    </row>
    <row r="624" spans="1:40" ht="15" customHeight="1">
      <c r="A624" s="258" t="s">
        <v>2460</v>
      </c>
      <c r="B624" s="263">
        <f>'Dry_Litterbag Placem_Collection'!A185</f>
        <v>183</v>
      </c>
      <c r="C624" s="263" t="str">
        <f>'Dry_Litterbag Placem_Collection'!B185</f>
        <v>Handajega</v>
      </c>
      <c r="D624" s="263" t="s">
        <v>2460</v>
      </c>
      <c r="E624" s="263" t="s">
        <v>2661</v>
      </c>
      <c r="F624" s="263">
        <v>3</v>
      </c>
      <c r="G624" s="264" t="str">
        <f>'Dry_Litterbag Placem_Collection'!C185</f>
        <v>Wet_W3_T7</v>
      </c>
      <c r="H624" s="273" t="s">
        <v>3651</v>
      </c>
      <c r="I624" s="266" t="s">
        <v>1147</v>
      </c>
      <c r="J624" s="223" t="str">
        <f>'WetLitterbags placem_collection'!O185</f>
        <v>G896</v>
      </c>
      <c r="K624" s="225">
        <f>IFERROR(INDEX('Green_rooibos initial weight'!$C$5:$C$1749,MATCH(J624, 'Green_rooibos initial weight'!$A$5:$A$1749,0)),"")</f>
        <v>1.982</v>
      </c>
      <c r="L624" s="225">
        <f>IFERROR(K624-(TBIcalc!$H$9+TBIcalc!$H$10),"")</f>
        <v>1.7322</v>
      </c>
      <c r="M624" s="391">
        <f>AVERAGE(Ashed_controlls!$K$2:$K$11)</f>
        <v>5.5147656768714146</v>
      </c>
      <c r="N624" s="225">
        <f t="shared" si="49"/>
        <v>1.6366732289452333</v>
      </c>
      <c r="O624" s="225">
        <f>IF(IFERROR(INDEX('Both teabags AfterWet'!$C$3:$C$841,MATCH(J624,'Both teabags AfterWet'!$A$3:$A$841,0)),"")="","",(IFERROR(INDEX('Both teabags AfterWet'!$C$3:$C$841,MATCH(J624,'Both teabags AfterWet'!$A$3:$A$841,0)),"")))</f>
        <v>0.61</v>
      </c>
      <c r="P624" s="225">
        <f>IFERROR(IF(O624&gt;0,O624-(TBIcalc!$H$9),""),"")</f>
        <v>0.45939999999999998</v>
      </c>
      <c r="Q624" s="225">
        <f>IFERROR(INDEX('Ashed teabags wet'!$K$2:$K$821,MATCH(J624,'Ashed teabags wet'!$A$2:$A$821,0)),"")</f>
        <v>9.3827160493825037</v>
      </c>
      <c r="R624" s="225">
        <f t="shared" si="52"/>
        <v>0.41629580246913678</v>
      </c>
      <c r="S624" s="226">
        <f>'WetLitterbags placem_collection'!E185</f>
        <v>42763</v>
      </c>
      <c r="T624" s="226">
        <f>IF('WetLitterbags placem_collection'!G185="","",'WetLitterbags placem_collection'!G185)</f>
        <v>42815</v>
      </c>
      <c r="U624" s="227">
        <f t="shared" si="48"/>
        <v>52</v>
      </c>
      <c r="V624" s="225">
        <f t="shared" si="50"/>
        <v>1.2727999999999999</v>
      </c>
      <c r="W624" s="225">
        <f t="shared" si="51"/>
        <v>1.2203774264760965</v>
      </c>
      <c r="X624">
        <f>IFERROR(INDEX(Rainfall_Wet!$O$2:$O$217,MATCH(B624, Rainfall_Wet!$A$2:$A$217,0)),"")</f>
        <v>188.24043152799999</v>
      </c>
      <c r="Y624" s="231">
        <v>25.96</v>
      </c>
      <c r="Z624" s="231">
        <v>8.9200000000000017</v>
      </c>
      <c r="AA624" s="231">
        <v>65.12</v>
      </c>
      <c r="AB624" s="232" t="s">
        <v>2670</v>
      </c>
      <c r="AC624" s="231">
        <v>7.6145884672252304</v>
      </c>
      <c r="AD624">
        <f>IF('WetLitterbags placem_collection'!AB185="","",'WetLitterbags placem_collection'!AB185)</f>
        <v>11.4</v>
      </c>
      <c r="AE624">
        <f>IF('WetLitterbags placem_collection'!Z185="","",'WetLitterbags placem_collection'!Z185)</f>
        <v>35.799999999999997</v>
      </c>
      <c r="AF624" s="246" t="str">
        <f>IF('WetLitterbags placem_collection'!AA185="","",'WetLitterbags placem_collection'!AA185)</f>
        <v>G</v>
      </c>
      <c r="AG624">
        <f>IF('WetLitterbags placem_collection'!AC185="","",'WetLitterbags placem_collection'!AC185)</f>
        <v>1</v>
      </c>
      <c r="AH624" s="240">
        <f>AVERAGE('WetLitterbags placem_collection'!S185,'WetLitterbags placem_collection'!U185)</f>
        <v>13.4</v>
      </c>
      <c r="AI624">
        <f>AVERAGE('WetLitterbags placem_collection'!R185,'WetLitterbags placem_collection'!T185)</f>
        <v>33.5</v>
      </c>
      <c r="AJ624">
        <f>INDEX(Coordinates!$B$2:$B$197,MATCH(G624,Coordinates!$J$2:$J$197,0))</f>
        <v>-2.2777790019999999</v>
      </c>
      <c r="AK624">
        <f>INDEX(Coordinates!$C$2:$C$197,MATCH(G624,Coordinates!$J$2:$J$197,0))</f>
        <v>34.028066029999998</v>
      </c>
      <c r="AL624" t="str">
        <f>IF(ISNUMBER(SEARCH("C", 'WetLitterbags placem_collection'!X185)),"YES","NO")</f>
        <v>NO</v>
      </c>
      <c r="AM624" t="str">
        <f>IF(ISNUMBER(SEARCH("H", 'WetLitterbags placem_collection'!X185)),"YES","NO")</f>
        <v>NO</v>
      </c>
      <c r="AN624" t="str">
        <f>IF(ISNUMBER(SEARCH("R", 'WetLitterbags placem_collection'!X185)),"YES","NO")</f>
        <v>NO</v>
      </c>
    </row>
    <row r="625" spans="1:40" ht="15" customHeight="1">
      <c r="A625" s="258" t="s">
        <v>2460</v>
      </c>
      <c r="B625" s="263">
        <f>'Dry_Litterbag Placem_Collection'!A186</f>
        <v>184</v>
      </c>
      <c r="C625" s="263" t="str">
        <f>'Dry_Litterbag Placem_Collection'!B186</f>
        <v>Handajega</v>
      </c>
      <c r="D625" s="263" t="s">
        <v>2460</v>
      </c>
      <c r="E625" s="263" t="s">
        <v>2661</v>
      </c>
      <c r="F625" s="263">
        <v>3</v>
      </c>
      <c r="G625" s="264" t="str">
        <f>'Dry_Litterbag Placem_Collection'!C186</f>
        <v>Wet_W3_T8</v>
      </c>
      <c r="H625" s="273" t="s">
        <v>3651</v>
      </c>
      <c r="I625" s="266" t="s">
        <v>1147</v>
      </c>
      <c r="J625" s="223" t="str">
        <f>'WetLitterbags placem_collection'!O186</f>
        <v>G337</v>
      </c>
      <c r="K625" s="225">
        <f>IFERROR(INDEX('Green_rooibos initial weight'!$C$5:$C$1749,MATCH(J625, 'Green_rooibos initial weight'!$A$5:$A$1749,0)),"")</f>
        <v>1.8680000000000001</v>
      </c>
      <c r="L625" s="225">
        <f>IFERROR(K625-(TBIcalc!$H$9+TBIcalc!$H$10),"")</f>
        <v>1.6182000000000001</v>
      </c>
      <c r="M625" s="391">
        <f>AVERAGE(Ashed_controlls!$K$2:$K$11)</f>
        <v>5.5147656768714146</v>
      </c>
      <c r="N625" s="225">
        <f t="shared" si="49"/>
        <v>1.5289600618168668</v>
      </c>
      <c r="O625" s="225">
        <f>IF(IFERROR(INDEX('Both teabags AfterWet'!$C$3:$C$841,MATCH(J625,'Both teabags AfterWet'!$A$3:$A$841,0)),"")="","",(IFERROR(INDEX('Both teabags AfterWet'!$C$3:$C$841,MATCH(J625,'Both teabags AfterWet'!$A$3:$A$841,0)),"")))</f>
        <v>0.63060000000000005</v>
      </c>
      <c r="P625" s="225">
        <f>IFERROR(IF(O625&gt;0,O625-(TBIcalc!$H$9),""),"")</f>
        <v>0.48000000000000004</v>
      </c>
      <c r="Q625" s="225">
        <f>IFERROR(INDEX('Ashed teabags wet'!$K$2:$K$821,MATCH(J625,'Ashed teabags wet'!$A$2:$A$821,0)),"")</f>
        <v>10.824230387289536</v>
      </c>
      <c r="R625" s="225">
        <f t="shared" si="52"/>
        <v>0.42804369414101029</v>
      </c>
      <c r="S625" s="226">
        <f>'WetLitterbags placem_collection'!E186</f>
        <v>42763</v>
      </c>
      <c r="T625" s="226">
        <f>IF('WetLitterbags placem_collection'!G186="","",'WetLitterbags placem_collection'!G186)</f>
        <v>42815</v>
      </c>
      <c r="U625" s="227">
        <f t="shared" si="48"/>
        <v>52</v>
      </c>
      <c r="V625" s="225">
        <f t="shared" si="50"/>
        <v>1.1382000000000001</v>
      </c>
      <c r="W625" s="225">
        <f t="shared" si="51"/>
        <v>1.1009163676758567</v>
      </c>
      <c r="X625">
        <f>IFERROR(INDEX(Rainfall_Wet!$O$2:$O$217,MATCH(B625, Rainfall_Wet!$A$2:$A$217,0)),"")</f>
        <v>188.24043152799999</v>
      </c>
      <c r="Y625" s="231">
        <v>25.96</v>
      </c>
      <c r="Z625" s="231">
        <v>8.9200000000000017</v>
      </c>
      <c r="AA625" s="231">
        <v>65.12</v>
      </c>
      <c r="AB625" s="232" t="s">
        <v>2670</v>
      </c>
      <c r="AC625" s="231">
        <v>8.6145884672252304</v>
      </c>
      <c r="AD625">
        <f>IF('WetLitterbags placem_collection'!AB186="","",'WetLitterbags placem_collection'!AB186)</f>
        <v>3.7</v>
      </c>
      <c r="AE625">
        <f>IF('WetLitterbags placem_collection'!Z186="","",'WetLitterbags placem_collection'!Z186)</f>
        <v>16.399999999999999</v>
      </c>
      <c r="AF625" s="246" t="str">
        <f>IF('WetLitterbags placem_collection'!AA186="","",'WetLitterbags placem_collection'!AA186)</f>
        <v>O</v>
      </c>
      <c r="AG625">
        <f>IF('WetLitterbags placem_collection'!AC186="","",'WetLitterbags placem_collection'!AC186)</f>
        <v>0</v>
      </c>
      <c r="AH625" s="240">
        <f>AVERAGE('WetLitterbags placem_collection'!S186,'WetLitterbags placem_collection'!U186)</f>
        <v>13.3</v>
      </c>
      <c r="AI625">
        <f>AVERAGE('WetLitterbags placem_collection'!R186,'WetLitterbags placem_collection'!T186)</f>
        <v>29.950000000000003</v>
      </c>
      <c r="AJ625">
        <f>INDEX(Coordinates!$B$2:$B$197,MATCH(G625,Coordinates!$J$2:$J$197,0))</f>
        <v>-2.2775169829999999</v>
      </c>
      <c r="AK625">
        <f>INDEX(Coordinates!$C$2:$C$197,MATCH(G625,Coordinates!$J$2:$J$197,0))</f>
        <v>34.027766970000002</v>
      </c>
      <c r="AL625" t="str">
        <f>IF(ISNUMBER(SEARCH("C", 'WetLitterbags placem_collection'!X186)),"YES","NO")</f>
        <v>NO</v>
      </c>
      <c r="AM625" t="str">
        <f>IF(ISNUMBER(SEARCH("H", 'WetLitterbags placem_collection'!X186)),"YES","NO")</f>
        <v>YES</v>
      </c>
      <c r="AN625" t="str">
        <f>IF(ISNUMBER(SEARCH("R", 'WetLitterbags placem_collection'!X186)),"YES","NO")</f>
        <v>NO</v>
      </c>
    </row>
    <row r="626" spans="1:40" ht="15" customHeight="1">
      <c r="A626" s="258" t="s">
        <v>2460</v>
      </c>
      <c r="B626" s="263">
        <f>'Dry_Litterbag Placem_Collection'!A187</f>
        <v>185</v>
      </c>
      <c r="C626" s="263" t="str">
        <f>'Dry_Litterbag Placem_Collection'!B187</f>
        <v>Handajega</v>
      </c>
      <c r="D626" s="263" t="s">
        <v>2460</v>
      </c>
      <c r="E626" s="263" t="s">
        <v>2661</v>
      </c>
      <c r="F626" s="263">
        <v>4</v>
      </c>
      <c r="G626" s="264" t="str">
        <f>'Dry_Litterbag Placem_Collection'!C187</f>
        <v>Wet_W4_T1</v>
      </c>
      <c r="H626" s="273" t="s">
        <v>3651</v>
      </c>
      <c r="I626" s="266" t="s">
        <v>1147</v>
      </c>
      <c r="J626" s="223" t="str">
        <f>'WetLitterbags placem_collection'!O187</f>
        <v>G564</v>
      </c>
      <c r="K626" s="225">
        <f>IFERROR(INDEX('Green_rooibos initial weight'!$C$5:$C$1749,MATCH(J626, 'Green_rooibos initial weight'!$A$5:$A$1749,0)),"")</f>
        <v>1.95</v>
      </c>
      <c r="L626" s="225">
        <f>IFERROR(K626-(TBIcalc!$H$9+TBIcalc!$H$10),"")</f>
        <v>1.7001999999999999</v>
      </c>
      <c r="M626" s="391">
        <f>AVERAGE(Ashed_controlls!$K$2:$K$11)</f>
        <v>5.5147656768714146</v>
      </c>
      <c r="N626" s="225">
        <f t="shared" si="49"/>
        <v>1.6064379539618321</v>
      </c>
      <c r="O626" s="225">
        <f>IF(IFERROR(INDEX('Both teabags AfterWet'!$C$3:$C$841,MATCH(J626,'Both teabags AfterWet'!$A$3:$A$841,0)),"")="","",(IFERROR(INDEX('Both teabags AfterWet'!$C$3:$C$841,MATCH(J626,'Both teabags AfterWet'!$A$3:$A$841,0)),"")))</f>
        <v>0.626</v>
      </c>
      <c r="P626" s="225">
        <f>IFERROR(IF(O626&gt;0,O626-(TBIcalc!$H$9),""),"")</f>
        <v>0.47539999999999999</v>
      </c>
      <c r="Q626" s="225">
        <f>IFERROR(INDEX('Ashed teabags wet'!$K$2:$K$821,MATCH(J626,'Ashed teabags wet'!$A$2:$A$821,0)),"")</f>
        <v>8.4325396825389731</v>
      </c>
      <c r="R626" s="225">
        <f t="shared" si="52"/>
        <v>0.43531170634920974</v>
      </c>
      <c r="S626" s="226">
        <f>'WetLitterbags placem_collection'!E187</f>
        <v>42763</v>
      </c>
      <c r="T626" s="226">
        <f>IF('WetLitterbags placem_collection'!G187="","",'WetLitterbags placem_collection'!G187)</f>
        <v>42815</v>
      </c>
      <c r="U626" s="227">
        <f t="shared" si="48"/>
        <v>52</v>
      </c>
      <c r="V626" s="225">
        <f t="shared" si="50"/>
        <v>1.2247999999999999</v>
      </c>
      <c r="W626" s="225">
        <f t="shared" si="51"/>
        <v>1.1711262476126223</v>
      </c>
      <c r="X626">
        <f>IFERROR(INDEX(Rainfall_Wet!$O$2:$O$217,MATCH(B626, Rainfall_Wet!$A$2:$A$217,0)),"")</f>
        <v>188.24043152799999</v>
      </c>
      <c r="Y626" s="231">
        <v>25.96</v>
      </c>
      <c r="Z626" s="231">
        <v>8.9200000000000017</v>
      </c>
      <c r="AA626" s="231">
        <v>65.12</v>
      </c>
      <c r="AB626" s="232" t="s">
        <v>2670</v>
      </c>
      <c r="AC626" s="231">
        <v>1.6991621488417901</v>
      </c>
      <c r="AD626">
        <f>IF('WetLitterbags placem_collection'!AB187="","",'WetLitterbags placem_collection'!AB187)</f>
        <v>9.8000000000000007</v>
      </c>
      <c r="AE626">
        <f>IF('WetLitterbags placem_collection'!Z187="","",'WetLitterbags placem_collection'!Z187)</f>
        <v>29.4</v>
      </c>
      <c r="AF626" s="246" t="str">
        <f>IF('WetLitterbags placem_collection'!AA187="","",'WetLitterbags placem_collection'!AA187)</f>
        <v>O</v>
      </c>
      <c r="AG626">
        <f>IF('WetLitterbags placem_collection'!AC187="","",'WetLitterbags placem_collection'!AC187)</f>
        <v>0</v>
      </c>
      <c r="AH626" s="240">
        <f>AVERAGE('WetLitterbags placem_collection'!S187,'WetLitterbags placem_collection'!U187)</f>
        <v>17.850000000000001</v>
      </c>
      <c r="AI626">
        <f>AVERAGE('WetLitterbags placem_collection'!R187,'WetLitterbags placem_collection'!T187)</f>
        <v>35.400000000000006</v>
      </c>
      <c r="AJ626">
        <f>INDEX(Coordinates!$B$2:$B$197,MATCH(G626,Coordinates!$J$2:$J$197,0))</f>
        <v>-2.2787330300000002</v>
      </c>
      <c r="AK626">
        <f>INDEX(Coordinates!$C$2:$C$197,MATCH(G626,Coordinates!$J$2:$J$197,0))</f>
        <v>34.032136029999997</v>
      </c>
      <c r="AL626" t="str">
        <f>IF(ISNUMBER(SEARCH("C", 'WetLitterbags placem_collection'!X187)),"YES","NO")</f>
        <v>NO</v>
      </c>
      <c r="AM626" t="str">
        <f>IF(ISNUMBER(SEARCH("H", 'WetLitterbags placem_collection'!X187)),"YES","NO")</f>
        <v>NO</v>
      </c>
      <c r="AN626" t="str">
        <f>IF(ISNUMBER(SEARCH("R", 'WetLitterbags placem_collection'!X187)),"YES","NO")</f>
        <v>NO</v>
      </c>
    </row>
    <row r="627" spans="1:40" ht="15" customHeight="1">
      <c r="A627" s="258" t="s">
        <v>2460</v>
      </c>
      <c r="B627" s="263">
        <f>'Dry_Litterbag Placem_Collection'!A188</f>
        <v>186</v>
      </c>
      <c r="C627" s="263" t="str">
        <f>'Dry_Litterbag Placem_Collection'!B188</f>
        <v>Handajega</v>
      </c>
      <c r="D627" s="263" t="s">
        <v>2460</v>
      </c>
      <c r="E627" s="263" t="s">
        <v>2661</v>
      </c>
      <c r="F627" s="263">
        <v>4</v>
      </c>
      <c r="G627" s="264" t="str">
        <f>'Dry_Litterbag Placem_Collection'!C188</f>
        <v>Wet_W4_T2</v>
      </c>
      <c r="H627" s="273" t="s">
        <v>3651</v>
      </c>
      <c r="I627" s="266" t="s">
        <v>1147</v>
      </c>
      <c r="J627" s="223" t="str">
        <f>'WetLitterbags placem_collection'!O188</f>
        <v>G608</v>
      </c>
      <c r="K627" s="225">
        <f>IFERROR(INDEX('Green_rooibos initial weight'!$C$5:$C$1749,MATCH(J627, 'Green_rooibos initial weight'!$A$5:$A$1749,0)),"")</f>
        <v>2.0259999999999998</v>
      </c>
      <c r="L627" s="225">
        <f>IFERROR(K627-(TBIcalc!$H$9+TBIcalc!$H$10),"")</f>
        <v>1.7761999999999998</v>
      </c>
      <c r="M627" s="391">
        <f>AVERAGE(Ashed_controlls!$K$2:$K$11)</f>
        <v>5.5147656768714146</v>
      </c>
      <c r="N627" s="225">
        <f t="shared" si="49"/>
        <v>1.6782467320474097</v>
      </c>
      <c r="O627" s="225" t="str">
        <f>IF(IFERROR(INDEX('Both teabags AfterWet'!$C$3:$C$841,MATCH(J627,'Both teabags AfterWet'!$A$3:$A$841,0)),"")="","",(IFERROR(INDEX('Both teabags AfterWet'!$C$3:$C$841,MATCH(J627,'Both teabags AfterWet'!$A$3:$A$841,0)),"")))</f>
        <v/>
      </c>
      <c r="P627" s="225" t="str">
        <f>IFERROR(IF(O627&gt;0,O627-(TBIcalc!$H$9),""),"")</f>
        <v/>
      </c>
      <c r="Q627" s="225">
        <f>IFERROR(INDEX('Ashed teabags wet'!$K$2:$K$821,MATCH(J627,'Ashed teabags wet'!$A$2:$A$821,0)),"")</f>
        <v>9.0274314214466642</v>
      </c>
      <c r="R627" s="225" t="str">
        <f t="shared" si="52"/>
        <v/>
      </c>
      <c r="S627" s="226">
        <f>'WetLitterbags placem_collection'!E188</f>
        <v>42763</v>
      </c>
      <c r="T627" s="226">
        <f>IF('WetLitterbags placem_collection'!G188="","",'WetLitterbags placem_collection'!G188)</f>
        <v>42815</v>
      </c>
      <c r="U627" s="227">
        <f t="shared" si="48"/>
        <v>52</v>
      </c>
      <c r="V627" s="225" t="str">
        <f t="shared" si="50"/>
        <v/>
      </c>
      <c r="W627" s="225" t="str">
        <f t="shared" si="51"/>
        <v/>
      </c>
      <c r="X627">
        <f>IFERROR(INDEX(Rainfall_Wet!$O$2:$O$217,MATCH(B627, Rainfall_Wet!$A$2:$A$217,0)),"")</f>
        <v>188.24043152799999</v>
      </c>
      <c r="Y627" s="231">
        <v>25.96</v>
      </c>
      <c r="Z627" s="231">
        <v>8.9200000000000017</v>
      </c>
      <c r="AA627" s="231">
        <v>65.12</v>
      </c>
      <c r="AB627" s="232" t="s">
        <v>2670</v>
      </c>
      <c r="AC627" s="231">
        <v>2.6991621488417898</v>
      </c>
      <c r="AD627">
        <f>IF('WetLitterbags placem_collection'!AB188="","",'WetLitterbags placem_collection'!AB188)</f>
        <v>11.4</v>
      </c>
      <c r="AE627">
        <f>IF('WetLitterbags placem_collection'!Z188="","",'WetLitterbags placem_collection'!Z188)</f>
        <v>45.4</v>
      </c>
      <c r="AF627" s="246" t="str">
        <f>IF('WetLitterbags placem_collection'!AA188="","",'WetLitterbags placem_collection'!AA188)</f>
        <v>O</v>
      </c>
      <c r="AG627">
        <f>IF('WetLitterbags placem_collection'!AC188="","",'WetLitterbags placem_collection'!AC188)</f>
        <v>0</v>
      </c>
      <c r="AH627" s="240">
        <f>AVERAGE('WetLitterbags placem_collection'!S188,'WetLitterbags placem_collection'!U188)</f>
        <v>16.899999999999999</v>
      </c>
      <c r="AI627">
        <f>AVERAGE('WetLitterbags placem_collection'!R188,'WetLitterbags placem_collection'!T188)</f>
        <v>33.9</v>
      </c>
      <c r="AJ627">
        <f>INDEX(Coordinates!$B$2:$B$197,MATCH(G627,Coordinates!$J$2:$J$197,0))</f>
        <v>-2.278763037</v>
      </c>
      <c r="AK627">
        <f>INDEX(Coordinates!$C$2:$C$197,MATCH(G627,Coordinates!$J$2:$J$197,0))</f>
        <v>34.031974009999999</v>
      </c>
      <c r="AL627" t="str">
        <f>IF(ISNUMBER(SEARCH("C", 'WetLitterbags placem_collection'!X188)),"YES","NO")</f>
        <v>NO</v>
      </c>
      <c r="AM627" t="str">
        <f>IF(ISNUMBER(SEARCH("H", 'WetLitterbags placem_collection'!X188)),"YES","NO")</f>
        <v>NO</v>
      </c>
      <c r="AN627" t="str">
        <f>IF(ISNUMBER(SEARCH("R", 'WetLitterbags placem_collection'!X188)),"YES","NO")</f>
        <v>NO</v>
      </c>
    </row>
    <row r="628" spans="1:40" ht="15" customHeight="1">
      <c r="A628" s="258" t="s">
        <v>2460</v>
      </c>
      <c r="B628" s="263">
        <f>'Dry_Litterbag Placem_Collection'!A189</f>
        <v>187</v>
      </c>
      <c r="C628" s="263" t="str">
        <f>'Dry_Litterbag Placem_Collection'!B189</f>
        <v>Handajega</v>
      </c>
      <c r="D628" s="263" t="s">
        <v>2460</v>
      </c>
      <c r="E628" s="263" t="s">
        <v>2661</v>
      </c>
      <c r="F628" s="263">
        <v>4</v>
      </c>
      <c r="G628" s="264" t="str">
        <f>'Dry_Litterbag Placem_Collection'!C189</f>
        <v>Wet_W4_T3</v>
      </c>
      <c r="H628" s="273" t="s">
        <v>3651</v>
      </c>
      <c r="I628" s="266" t="s">
        <v>1147</v>
      </c>
      <c r="J628" s="223" t="str">
        <f>'WetLitterbags placem_collection'!O189</f>
        <v>G365</v>
      </c>
      <c r="K628" s="225">
        <f>IFERROR(INDEX('Green_rooibos initial weight'!$C$5:$C$1749,MATCH(J628, 'Green_rooibos initial weight'!$A$5:$A$1749,0)),"")</f>
        <v>1.954</v>
      </c>
      <c r="L628" s="225">
        <f>IFERROR(K628-(TBIcalc!$H$9+TBIcalc!$H$10),"")</f>
        <v>1.7041999999999999</v>
      </c>
      <c r="M628" s="391">
        <f>AVERAGE(Ashed_controlls!$K$2:$K$11)</f>
        <v>5.5147656768714146</v>
      </c>
      <c r="N628" s="225">
        <f t="shared" si="49"/>
        <v>1.6102173633347574</v>
      </c>
      <c r="O628" s="225">
        <f>IF(IFERROR(INDEX('Both teabags AfterWet'!$C$3:$C$841,MATCH(J628,'Both teabags AfterWet'!$A$3:$A$841,0)),"")="","",(IFERROR(INDEX('Both teabags AfterWet'!$C$3:$C$841,MATCH(J628,'Both teabags AfterWet'!$A$3:$A$841,0)),"")))</f>
        <v>0.6714</v>
      </c>
      <c r="P628" s="225">
        <f>IFERROR(IF(O628&gt;0,O628-(TBIcalc!$H$9),""),"")</f>
        <v>0.52079999999999993</v>
      </c>
      <c r="Q628" s="225">
        <f>IFERROR(INDEX('Ashed teabags wet'!$K$2:$K$821,MATCH(J628,'Ashed teabags wet'!$A$2:$A$821,0)),"")</f>
        <v>8.8162456661709641</v>
      </c>
      <c r="R628" s="225">
        <f t="shared" si="52"/>
        <v>0.47488499257058153</v>
      </c>
      <c r="S628" s="226">
        <f>'WetLitterbags placem_collection'!E189</f>
        <v>42763</v>
      </c>
      <c r="T628" s="226">
        <f>IF('WetLitterbags placem_collection'!G189="","",'WetLitterbags placem_collection'!G189)</f>
        <v>42815</v>
      </c>
      <c r="U628" s="227">
        <f t="shared" si="48"/>
        <v>52</v>
      </c>
      <c r="V628" s="225">
        <f t="shared" si="50"/>
        <v>1.1834</v>
      </c>
      <c r="W628" s="225">
        <f t="shared" si="51"/>
        <v>1.1353323707641758</v>
      </c>
      <c r="X628">
        <f>IFERROR(INDEX(Rainfall_Wet!$O$2:$O$217,MATCH(B628, Rainfall_Wet!$A$2:$A$217,0)),"")</f>
        <v>188.24043152799999</v>
      </c>
      <c r="Y628" s="231">
        <v>25.96</v>
      </c>
      <c r="Z628" s="231">
        <v>8.9200000000000017</v>
      </c>
      <c r="AA628" s="231">
        <v>65.12</v>
      </c>
      <c r="AB628" s="232" t="s">
        <v>2670</v>
      </c>
      <c r="AC628" s="231">
        <v>3.6991621488417898</v>
      </c>
      <c r="AD628">
        <f>IF('WetLitterbags placem_collection'!AB189="","",'WetLitterbags placem_collection'!AB189)</f>
        <v>0.6</v>
      </c>
      <c r="AE628">
        <f>IF('WetLitterbags placem_collection'!Z189="","",'WetLitterbags placem_collection'!Z189)</f>
        <v>39.4</v>
      </c>
      <c r="AF628" s="246" t="str">
        <f>IF('WetLitterbags placem_collection'!AA189="","",'WetLitterbags placem_collection'!AA189)</f>
        <v>O</v>
      </c>
      <c r="AG628">
        <f>IF('WetLitterbags placem_collection'!AC189="","",'WetLitterbags placem_collection'!AC189)</f>
        <v>1</v>
      </c>
      <c r="AH628" s="240">
        <f>AVERAGE('WetLitterbags placem_collection'!S189,'WetLitterbags placem_collection'!U189)</f>
        <v>14.2</v>
      </c>
      <c r="AI628">
        <f>AVERAGE('WetLitterbags placem_collection'!R189,'WetLitterbags placem_collection'!T189)</f>
        <v>33</v>
      </c>
      <c r="AJ628">
        <f>INDEX(Coordinates!$B$2:$B$197,MATCH(G628,Coordinates!$J$2:$J$197,0))</f>
        <v>-2.2785890289999999</v>
      </c>
      <c r="AK628">
        <f>INDEX(Coordinates!$C$2:$C$197,MATCH(G628,Coordinates!$J$2:$J$197,0))</f>
        <v>34.031841999999997</v>
      </c>
      <c r="AL628" t="str">
        <f>IF(ISNUMBER(SEARCH("C", 'WetLitterbags placem_collection'!X189)),"YES","NO")</f>
        <v>NO</v>
      </c>
      <c r="AM628" t="str">
        <f>IF(ISNUMBER(SEARCH("H", 'WetLitterbags placem_collection'!X189)),"YES","NO")</f>
        <v>NO</v>
      </c>
      <c r="AN628" t="str">
        <f>IF(ISNUMBER(SEARCH("R", 'WetLitterbags placem_collection'!X189)),"YES","NO")</f>
        <v>NO</v>
      </c>
    </row>
    <row r="629" spans="1:40" ht="15" customHeight="1">
      <c r="A629" s="258" t="s">
        <v>2460</v>
      </c>
      <c r="B629" s="263">
        <f>'Dry_Litterbag Placem_Collection'!A190</f>
        <v>188</v>
      </c>
      <c r="C629" s="263" t="str">
        <f>'Dry_Litterbag Placem_Collection'!B190</f>
        <v>Handajega</v>
      </c>
      <c r="D629" s="263" t="s">
        <v>2460</v>
      </c>
      <c r="E629" s="263" t="s">
        <v>2661</v>
      </c>
      <c r="F629" s="263">
        <v>4</v>
      </c>
      <c r="G629" s="264" t="str">
        <f>'Dry_Litterbag Placem_Collection'!C190</f>
        <v>Wet_W4_T4</v>
      </c>
      <c r="H629" s="273" t="s">
        <v>3651</v>
      </c>
      <c r="I629" s="266" t="s">
        <v>1147</v>
      </c>
      <c r="J629" s="223" t="str">
        <f>'WetLitterbags placem_collection'!O190</f>
        <v>G375</v>
      </c>
      <c r="K629" s="225">
        <f>IFERROR(INDEX('Green_rooibos initial weight'!$C$5:$C$1749,MATCH(J629, 'Green_rooibos initial weight'!$A$5:$A$1749,0)),"")</f>
        <v>1.9810000000000001</v>
      </c>
      <c r="L629" s="225">
        <f>IFERROR(K629-(TBIcalc!$H$9+TBIcalc!$H$10),"")</f>
        <v>1.7312000000000001</v>
      </c>
      <c r="M629" s="391">
        <f>AVERAGE(Ashed_controlls!$K$2:$K$11)</f>
        <v>5.5147656768714146</v>
      </c>
      <c r="N629" s="225">
        <f t="shared" si="49"/>
        <v>1.6357283766020021</v>
      </c>
      <c r="O629" s="225">
        <f>IF(IFERROR(INDEX('Both teabags AfterWet'!$C$3:$C$841,MATCH(J629,'Both teabags AfterWet'!$A$3:$A$841,0)),"")="","",(IFERROR(INDEX('Both teabags AfterWet'!$C$3:$C$841,MATCH(J629,'Both teabags AfterWet'!$A$3:$A$841,0)),"")))</f>
        <v>0.55700000000000005</v>
      </c>
      <c r="P629" s="225">
        <f>IFERROR(IF(O629&gt;0,O629-(TBIcalc!$H$9),""),"")</f>
        <v>0.40640000000000004</v>
      </c>
      <c r="Q629" s="225">
        <f>IFERROR(INDEX('Ashed teabags wet'!$K$2:$K$821,MATCH(J629,'Ashed teabags wet'!$A$2:$A$821,0)),"")</f>
        <v>8.3130772970344644</v>
      </c>
      <c r="R629" s="225">
        <f t="shared" si="52"/>
        <v>0.37261565386485196</v>
      </c>
      <c r="S629" s="226">
        <f>'WetLitterbags placem_collection'!E190</f>
        <v>42763</v>
      </c>
      <c r="T629" s="226">
        <f>IF('WetLitterbags placem_collection'!G190="","",'WetLitterbags placem_collection'!G190)</f>
        <v>42815</v>
      </c>
      <c r="U629" s="227">
        <f t="shared" si="48"/>
        <v>52</v>
      </c>
      <c r="V629" s="225">
        <f t="shared" si="50"/>
        <v>1.3248</v>
      </c>
      <c r="W629" s="225">
        <f t="shared" si="51"/>
        <v>1.2631127227371501</v>
      </c>
      <c r="X629">
        <f>IFERROR(INDEX(Rainfall_Wet!$O$2:$O$217,MATCH(B629, Rainfall_Wet!$A$2:$A$217,0)),"")</f>
        <v>188.24043152799999</v>
      </c>
      <c r="Y629" s="231">
        <v>25.96</v>
      </c>
      <c r="Z629" s="231">
        <v>8.9200000000000017</v>
      </c>
      <c r="AA629" s="231">
        <v>65.12</v>
      </c>
      <c r="AB629" s="232" t="s">
        <v>2670</v>
      </c>
      <c r="AC629" s="231">
        <v>4.6991621488417898</v>
      </c>
      <c r="AD629">
        <f>IF('WetLitterbags placem_collection'!AB190="","",'WetLitterbags placem_collection'!AB190)</f>
        <v>2.2999999999999998</v>
      </c>
      <c r="AE629">
        <f>IF('WetLitterbags placem_collection'!Z190="","",'WetLitterbags placem_collection'!Z190)</f>
        <v>14.4</v>
      </c>
      <c r="AF629" s="246" t="str">
        <f>IF('WetLitterbags placem_collection'!AA190="","",'WetLitterbags placem_collection'!AA190)</f>
        <v>O</v>
      </c>
      <c r="AG629">
        <f>IF('WetLitterbags placem_collection'!AC190="","",'WetLitterbags placem_collection'!AC190)</f>
        <v>0</v>
      </c>
      <c r="AH629" s="240">
        <f>AVERAGE('WetLitterbags placem_collection'!S190,'WetLitterbags placem_collection'!U190)</f>
        <v>10.45</v>
      </c>
      <c r="AI629">
        <f>AVERAGE('WetLitterbags placem_collection'!R190,'WetLitterbags placem_collection'!T190)</f>
        <v>34.15</v>
      </c>
      <c r="AJ629">
        <f>INDEX(Coordinates!$B$2:$B$197,MATCH(G629,Coordinates!$J$2:$J$197,0))</f>
        <v>-2.278422983</v>
      </c>
      <c r="AK629">
        <f>INDEX(Coordinates!$C$2:$C$197,MATCH(G629,Coordinates!$J$2:$J$197,0))</f>
        <v>34.032261009999999</v>
      </c>
      <c r="AL629" t="str">
        <f>IF(ISNUMBER(SEARCH("C", 'WetLitterbags placem_collection'!X190)),"YES","NO")</f>
        <v>NO</v>
      </c>
      <c r="AM629" t="str">
        <f>IF(ISNUMBER(SEARCH("H", 'WetLitterbags placem_collection'!X190)),"YES","NO")</f>
        <v>NO</v>
      </c>
      <c r="AN629" t="str">
        <f>IF(ISNUMBER(SEARCH("R", 'WetLitterbags placem_collection'!X190)),"YES","NO")</f>
        <v>NO</v>
      </c>
    </row>
    <row r="630" spans="1:40" ht="15" customHeight="1">
      <c r="A630" s="258" t="s">
        <v>2460</v>
      </c>
      <c r="B630" s="263">
        <f>'Dry_Litterbag Placem_Collection'!A191</f>
        <v>189</v>
      </c>
      <c r="C630" s="263" t="str">
        <f>'Dry_Litterbag Placem_Collection'!B191</f>
        <v>Handajega</v>
      </c>
      <c r="D630" s="263" t="s">
        <v>2460</v>
      </c>
      <c r="E630" s="263" t="s">
        <v>2661</v>
      </c>
      <c r="F630" s="263">
        <v>4</v>
      </c>
      <c r="G630" s="264" t="str">
        <f>'Dry_Litterbag Placem_Collection'!C191</f>
        <v>Wet_W4_T5</v>
      </c>
      <c r="H630" s="273" t="s">
        <v>3651</v>
      </c>
      <c r="I630" s="266" t="s">
        <v>1147</v>
      </c>
      <c r="J630" s="223" t="str">
        <f>'WetLitterbags placem_collection'!O191</f>
        <v>G537</v>
      </c>
      <c r="K630" s="225">
        <f>IFERROR(INDEX('Green_rooibos initial weight'!$C$5:$C$1749,MATCH(J630, 'Green_rooibos initial weight'!$A$5:$A$1749,0)),"")</f>
        <v>1.9630000000000001</v>
      </c>
      <c r="L630" s="225">
        <f>IFERROR(K630-(TBIcalc!$H$9+TBIcalc!$H$10),"")</f>
        <v>1.7132000000000001</v>
      </c>
      <c r="M630" s="391">
        <f>AVERAGE(Ashed_controlls!$K$2:$K$11)</f>
        <v>5.5147656768714146</v>
      </c>
      <c r="N630" s="225">
        <f t="shared" si="49"/>
        <v>1.618721034423839</v>
      </c>
      <c r="O630" s="225">
        <f>IF(IFERROR(INDEX('Both teabags AfterWet'!$C$3:$C$841,MATCH(J630,'Both teabags AfterWet'!$A$3:$A$841,0)),"")="","",(IFERROR(INDEX('Both teabags AfterWet'!$C$3:$C$841,MATCH(J630,'Both teabags AfterWet'!$A$3:$A$841,0)),"")))</f>
        <v>0.72030000000000005</v>
      </c>
      <c r="P630" s="225">
        <f>IFERROR(IF(O630&gt;0,O630-(TBIcalc!$H$9),""),"")</f>
        <v>0.5697000000000001</v>
      </c>
      <c r="Q630" s="225">
        <f>IFERROR(INDEX('Ashed teabags wet'!$K$2:$K$821,MATCH(J630,'Ashed teabags wet'!$A$2:$A$821,0)),"")</f>
        <v>9.0167865707433048</v>
      </c>
      <c r="R630" s="225">
        <f t="shared" si="52"/>
        <v>0.51833136690647552</v>
      </c>
      <c r="S630" s="226">
        <f>'WetLitterbags placem_collection'!E191</f>
        <v>42763</v>
      </c>
      <c r="T630" s="226">
        <f>IF('WetLitterbags placem_collection'!G191="","",'WetLitterbags placem_collection'!G191)</f>
        <v>42815</v>
      </c>
      <c r="U630" s="227">
        <f t="shared" si="48"/>
        <v>52</v>
      </c>
      <c r="V630" s="225">
        <f t="shared" si="50"/>
        <v>1.1435</v>
      </c>
      <c r="W630" s="225">
        <f t="shared" si="51"/>
        <v>1.1003896675173634</v>
      </c>
      <c r="X630">
        <f>IFERROR(INDEX(Rainfall_Wet!$O$2:$O$217,MATCH(B630, Rainfall_Wet!$A$2:$A$217,0)),"")</f>
        <v>188.24043152799999</v>
      </c>
      <c r="Y630" s="231">
        <v>25.96</v>
      </c>
      <c r="Z630" s="231">
        <v>8.9200000000000017</v>
      </c>
      <c r="AA630" s="231">
        <v>65.12</v>
      </c>
      <c r="AB630" s="232" t="s">
        <v>2670</v>
      </c>
      <c r="AC630" s="231">
        <v>5.6991621488417898</v>
      </c>
      <c r="AD630">
        <f>IF('WetLitterbags placem_collection'!AB191="","",'WetLitterbags placem_collection'!AB191)</f>
        <v>0.6</v>
      </c>
      <c r="AE630">
        <f>IF('WetLitterbags placem_collection'!Z191="","",'WetLitterbags placem_collection'!Z191)</f>
        <v>7</v>
      </c>
      <c r="AF630" s="246" t="str">
        <f>IF('WetLitterbags placem_collection'!AA191="","",'WetLitterbags placem_collection'!AA191)</f>
        <v>O</v>
      </c>
      <c r="AG630">
        <f>IF('WetLitterbags placem_collection'!AC191="","",'WetLitterbags placem_collection'!AC191)</f>
        <v>1</v>
      </c>
      <c r="AH630" s="240">
        <f>AVERAGE('WetLitterbags placem_collection'!S191,'WetLitterbags placem_collection'!U191)</f>
        <v>13.6</v>
      </c>
      <c r="AI630">
        <f>AVERAGE('WetLitterbags placem_collection'!R191,'WetLitterbags placem_collection'!T191)</f>
        <v>30.6</v>
      </c>
      <c r="AJ630">
        <f>INDEX(Coordinates!$B$2:$B$197,MATCH(G630,Coordinates!$J$2:$J$197,0))</f>
        <v>-2.2787580080000001</v>
      </c>
      <c r="AK630">
        <f>INDEX(Coordinates!$C$2:$C$197,MATCH(G630,Coordinates!$J$2:$J$197,0))</f>
        <v>34.032463010000001</v>
      </c>
      <c r="AL630" t="str">
        <f>IF(ISNUMBER(SEARCH("C", 'WetLitterbags placem_collection'!X191)),"YES","NO")</f>
        <v>NO</v>
      </c>
      <c r="AM630" t="str">
        <f>IF(ISNUMBER(SEARCH("H", 'WetLitterbags placem_collection'!X191)),"YES","NO")</f>
        <v>NO</v>
      </c>
      <c r="AN630" t="str">
        <f>IF(ISNUMBER(SEARCH("R", 'WetLitterbags placem_collection'!X191)),"YES","NO")</f>
        <v>NO</v>
      </c>
    </row>
    <row r="631" spans="1:40" ht="15" customHeight="1">
      <c r="A631" s="258" t="s">
        <v>2460</v>
      </c>
      <c r="B631" s="263">
        <f>'Dry_Litterbag Placem_Collection'!A192</f>
        <v>190</v>
      </c>
      <c r="C631" s="263" t="str">
        <f>'Dry_Litterbag Placem_Collection'!B192</f>
        <v>Handajega</v>
      </c>
      <c r="D631" s="263" t="s">
        <v>2460</v>
      </c>
      <c r="E631" s="263" t="s">
        <v>2661</v>
      </c>
      <c r="F631" s="263">
        <v>4</v>
      </c>
      <c r="G631" s="264" t="str">
        <f>'Dry_Litterbag Placem_Collection'!C192</f>
        <v>Wet_W4_T6</v>
      </c>
      <c r="H631" s="273" t="s">
        <v>3651</v>
      </c>
      <c r="I631" s="266" t="s">
        <v>1147</v>
      </c>
      <c r="J631" s="223" t="str">
        <f>'WetLitterbags placem_collection'!O192</f>
        <v>G393</v>
      </c>
      <c r="K631" s="225">
        <f>IFERROR(INDEX('Green_rooibos initial weight'!$C$5:$C$1749,MATCH(J631, 'Green_rooibos initial weight'!$A$5:$A$1749,0)),"")</f>
        <v>2.0089999999999999</v>
      </c>
      <c r="L631" s="225">
        <f>IFERROR(K631-(TBIcalc!$H$9+TBIcalc!$H$10),"")</f>
        <v>1.7591999999999999</v>
      </c>
      <c r="M631" s="391">
        <f>AVERAGE(Ashed_controlls!$K$2:$K$11)</f>
        <v>5.5147656768714146</v>
      </c>
      <c r="N631" s="225">
        <f t="shared" si="49"/>
        <v>1.662184242212478</v>
      </c>
      <c r="O631" s="225">
        <f>IF(IFERROR(INDEX('Both teabags AfterWet'!$C$3:$C$841,MATCH(J631,'Both teabags AfterWet'!$A$3:$A$841,0)),"")="","",(IFERROR(INDEX('Both teabags AfterWet'!$C$3:$C$841,MATCH(J631,'Both teabags AfterWet'!$A$3:$A$841,0)),"")))</f>
        <v>0.62090000000000001</v>
      </c>
      <c r="P631" s="225">
        <f>IFERROR(IF(O631&gt;0,O631-(TBIcalc!$H$9),""),"")</f>
        <v>0.4703</v>
      </c>
      <c r="Q631" s="225">
        <f>IFERROR(INDEX('Ashed teabags wet'!$K$2:$K$821,MATCH(J631,'Ashed teabags wet'!$A$2:$A$821,0)),"")</f>
        <v>9.5497278574961424</v>
      </c>
      <c r="R631" s="225">
        <f t="shared" si="52"/>
        <v>0.42538762988619561</v>
      </c>
      <c r="S631" s="226">
        <f>'WetLitterbags placem_collection'!E192</f>
        <v>42763</v>
      </c>
      <c r="T631" s="226">
        <f>IF('WetLitterbags placem_collection'!G192="","",'WetLitterbags placem_collection'!G192)</f>
        <v>42815</v>
      </c>
      <c r="U631" s="227">
        <f t="shared" si="48"/>
        <v>52</v>
      </c>
      <c r="V631" s="225">
        <f t="shared" si="50"/>
        <v>1.2888999999999999</v>
      </c>
      <c r="W631" s="225">
        <f t="shared" si="51"/>
        <v>1.2367966123262824</v>
      </c>
      <c r="X631">
        <f>IFERROR(INDEX(Rainfall_Wet!$O$2:$O$217,MATCH(B631, Rainfall_Wet!$A$2:$A$217,0)),"")</f>
        <v>188.24043152799999</v>
      </c>
      <c r="Y631" s="231">
        <v>25.96</v>
      </c>
      <c r="Z631" s="231">
        <v>8.9200000000000017</v>
      </c>
      <c r="AA631" s="231">
        <v>65.12</v>
      </c>
      <c r="AB631" s="232" t="s">
        <v>2670</v>
      </c>
      <c r="AC631" s="231">
        <v>6.6991621488417898</v>
      </c>
      <c r="AD631">
        <f>IF('WetLitterbags placem_collection'!AB192="","",'WetLitterbags placem_collection'!AB192)</f>
        <v>9.5</v>
      </c>
      <c r="AE631">
        <f>IF('WetLitterbags placem_collection'!Z192="","",'WetLitterbags placem_collection'!Z192)</f>
        <v>17.399999999999999</v>
      </c>
      <c r="AF631" s="246" t="str">
        <f>IF('WetLitterbags placem_collection'!AA192="","",'WetLitterbags placem_collection'!AA192)</f>
        <v>O</v>
      </c>
      <c r="AG631">
        <f>IF('WetLitterbags placem_collection'!AC192="","",'WetLitterbags placem_collection'!AC192)</f>
        <v>0</v>
      </c>
      <c r="AH631" s="240">
        <f>AVERAGE('WetLitterbags placem_collection'!S192,'WetLitterbags placem_collection'!U192)</f>
        <v>13.55</v>
      </c>
      <c r="AI631">
        <f>AVERAGE('WetLitterbags placem_collection'!R192,'WetLitterbags placem_collection'!T192)</f>
        <v>34.049999999999997</v>
      </c>
      <c r="AJ631">
        <f>INDEX(Coordinates!$B$2:$B$197,MATCH(G631,Coordinates!$J$2:$J$197,0))</f>
        <v>-2.2787559960000001</v>
      </c>
      <c r="AK631">
        <f>INDEX(Coordinates!$C$2:$C$197,MATCH(G631,Coordinates!$J$2:$J$197,0))</f>
        <v>34.032268969999997</v>
      </c>
      <c r="AL631" t="str">
        <f>IF(ISNUMBER(SEARCH("C", 'WetLitterbags placem_collection'!X192)),"YES","NO")</f>
        <v>NO</v>
      </c>
      <c r="AM631" t="str">
        <f>IF(ISNUMBER(SEARCH("H", 'WetLitterbags placem_collection'!X192)),"YES","NO")</f>
        <v>NO</v>
      </c>
      <c r="AN631" t="str">
        <f>IF(ISNUMBER(SEARCH("R", 'WetLitterbags placem_collection'!X192)),"YES","NO")</f>
        <v>NO</v>
      </c>
    </row>
    <row r="632" spans="1:40" ht="15" customHeight="1">
      <c r="A632" s="258" t="s">
        <v>2460</v>
      </c>
      <c r="B632" s="263">
        <f>'Dry_Litterbag Placem_Collection'!A193</f>
        <v>191</v>
      </c>
      <c r="C632" s="263" t="str">
        <f>'Dry_Litterbag Placem_Collection'!B193</f>
        <v>Handajega</v>
      </c>
      <c r="D632" s="263" t="s">
        <v>2460</v>
      </c>
      <c r="E632" s="263" t="s">
        <v>2661</v>
      </c>
      <c r="F632" s="263">
        <v>4</v>
      </c>
      <c r="G632" s="264" t="str">
        <f>'Dry_Litterbag Placem_Collection'!C193</f>
        <v>Wet_W4_T7</v>
      </c>
      <c r="H632" s="273" t="s">
        <v>3651</v>
      </c>
      <c r="I632" s="266" t="s">
        <v>1147</v>
      </c>
      <c r="J632" s="223" t="str">
        <f>'WetLitterbags placem_collection'!O193</f>
        <v>G417</v>
      </c>
      <c r="K632" s="225">
        <f>IFERROR(INDEX('Green_rooibos initial weight'!$C$5:$C$1749,MATCH(J632, 'Green_rooibos initial weight'!$A$5:$A$1749,0)),"")</f>
        <v>2.0209999999999999</v>
      </c>
      <c r="L632" s="225">
        <f>IFERROR(K632-(TBIcalc!$H$9+TBIcalc!$H$10),"")</f>
        <v>1.7711999999999999</v>
      </c>
      <c r="M632" s="391">
        <f>AVERAGE(Ashed_controlls!$K$2:$K$11)</f>
        <v>5.5147656768714146</v>
      </c>
      <c r="N632" s="225">
        <f t="shared" si="49"/>
        <v>1.6735224703312535</v>
      </c>
      <c r="O632" s="225">
        <f>IF(IFERROR(INDEX('Both teabags AfterWet'!$C$3:$C$841,MATCH(J632,'Both teabags AfterWet'!$A$3:$A$841,0)),"")="","",(IFERROR(INDEX('Both teabags AfterWet'!$C$3:$C$841,MATCH(J632,'Both teabags AfterWet'!$A$3:$A$841,0)),"")))</f>
        <v>0.62309999999999999</v>
      </c>
      <c r="P632" s="225">
        <f>IFERROR(IF(O632&gt;0,O632-(TBIcalc!$H$9),""),"")</f>
        <v>0.47249999999999998</v>
      </c>
      <c r="Q632" s="225">
        <f>IFERROR(INDEX('Ashed teabags wet'!$K$2:$K$821,MATCH(J632,'Ashed teabags wet'!$A$2:$A$821,0)),"")</f>
        <v>9.0547263681590628</v>
      </c>
      <c r="R632" s="225">
        <f t="shared" si="52"/>
        <v>0.4297164179104484</v>
      </c>
      <c r="S632" s="226">
        <f>'WetLitterbags placem_collection'!E193</f>
        <v>42763</v>
      </c>
      <c r="T632" s="226">
        <f>IF('WetLitterbags placem_collection'!G193="","",'WetLitterbags placem_collection'!G193)</f>
        <v>42815</v>
      </c>
      <c r="U632" s="227">
        <f t="shared" si="48"/>
        <v>52</v>
      </c>
      <c r="V632" s="225">
        <f t="shared" si="50"/>
        <v>1.2987</v>
      </c>
      <c r="W632" s="225">
        <f t="shared" si="51"/>
        <v>1.243806052420805</v>
      </c>
      <c r="X632">
        <f>IFERROR(INDEX(Rainfall_Wet!$O$2:$O$217,MATCH(B632, Rainfall_Wet!$A$2:$A$217,0)),"")</f>
        <v>188.24043152799999</v>
      </c>
      <c r="Y632" s="231">
        <v>25.96</v>
      </c>
      <c r="Z632" s="231">
        <v>8.9200000000000017</v>
      </c>
      <c r="AA632" s="231">
        <v>65.12</v>
      </c>
      <c r="AB632" s="232" t="s">
        <v>2670</v>
      </c>
      <c r="AC632" s="231">
        <v>7.6991621488417898</v>
      </c>
      <c r="AD632">
        <f>IF('WetLitterbags placem_collection'!AB193="","",'WetLitterbags placem_collection'!AB193)</f>
        <v>12.4</v>
      </c>
      <c r="AE632">
        <f>IF('WetLitterbags placem_collection'!Z193="","",'WetLitterbags placem_collection'!Z193)</f>
        <v>29.8</v>
      </c>
      <c r="AF632" s="246" t="str">
        <f>IF('WetLitterbags placem_collection'!AA193="","",'WetLitterbags placem_collection'!AA193)</f>
        <v>O</v>
      </c>
      <c r="AG632">
        <f>IF('WetLitterbags placem_collection'!AC193="","",'WetLitterbags placem_collection'!AC193)</f>
        <v>0</v>
      </c>
      <c r="AH632" s="240">
        <f>AVERAGE('WetLitterbags placem_collection'!S193,'WetLitterbags placem_collection'!U193)</f>
        <v>12.350000000000001</v>
      </c>
      <c r="AI632">
        <f>AVERAGE('WetLitterbags placem_collection'!R193,'WetLitterbags placem_collection'!T193)</f>
        <v>35</v>
      </c>
      <c r="AJ632">
        <f>INDEX(Coordinates!$B$2:$B$197,MATCH(G632,Coordinates!$J$2:$J$197,0))</f>
        <v>-2.278704029</v>
      </c>
      <c r="AK632">
        <f>INDEX(Coordinates!$C$2:$C$197,MATCH(G632,Coordinates!$J$2:$J$197,0))</f>
        <v>34.032182970000001</v>
      </c>
      <c r="AL632" t="str">
        <f>IF(ISNUMBER(SEARCH("C", 'WetLitterbags placem_collection'!X193)),"YES","NO")</f>
        <v>NO</v>
      </c>
      <c r="AM632" t="str">
        <f>IF(ISNUMBER(SEARCH("H", 'WetLitterbags placem_collection'!X193)),"YES","NO")</f>
        <v>NO</v>
      </c>
      <c r="AN632" t="str">
        <f>IF(ISNUMBER(SEARCH("R", 'WetLitterbags placem_collection'!X193)),"YES","NO")</f>
        <v>NO</v>
      </c>
    </row>
    <row r="633" spans="1:40" ht="15" customHeight="1">
      <c r="A633" s="258" t="s">
        <v>2460</v>
      </c>
      <c r="B633" s="263">
        <f>'Dry_Litterbag Placem_Collection'!A194</f>
        <v>192</v>
      </c>
      <c r="C633" s="263" t="str">
        <f>'Dry_Litterbag Placem_Collection'!B194</f>
        <v>Handajega</v>
      </c>
      <c r="D633" s="263" t="s">
        <v>2460</v>
      </c>
      <c r="E633" s="263" t="s">
        <v>2661</v>
      </c>
      <c r="F633" s="263">
        <v>4</v>
      </c>
      <c r="G633" s="264" t="str">
        <f>'Dry_Litterbag Placem_Collection'!C194</f>
        <v>Wet_W4_T8</v>
      </c>
      <c r="H633" s="273" t="s">
        <v>3651</v>
      </c>
      <c r="I633" s="266" t="s">
        <v>1147</v>
      </c>
      <c r="J633" s="223" t="str">
        <f>'WetLitterbags placem_collection'!O194</f>
        <v>G297</v>
      </c>
      <c r="K633" s="225">
        <f>IFERROR(INDEX('Green_rooibos initial weight'!$C$5:$C$1749,MATCH(J633, 'Green_rooibos initial weight'!$A$5:$A$1749,0)),"")</f>
        <v>1.9419999999999999</v>
      </c>
      <c r="L633" s="225">
        <f>IFERROR(K633-(TBIcalc!$H$9+TBIcalc!$H$10),"")</f>
        <v>1.6921999999999999</v>
      </c>
      <c r="M633" s="391">
        <f>AVERAGE(Ashed_controlls!$K$2:$K$11)</f>
        <v>5.5147656768714146</v>
      </c>
      <c r="N633" s="225">
        <f t="shared" si="49"/>
        <v>1.5988791352159819</v>
      </c>
      <c r="O633" s="225">
        <f>IF(IFERROR(INDEX('Both teabags AfterWet'!$C$3:$C$841,MATCH(J633,'Both teabags AfterWet'!$A$3:$A$841,0)),"")="","",(IFERROR(INDEX('Both teabags AfterWet'!$C$3:$C$841,MATCH(J633,'Both teabags AfterWet'!$A$3:$A$841,0)),"")))</f>
        <v>0.60899999999999999</v>
      </c>
      <c r="P633" s="225">
        <f>IFERROR(IF(O633&gt;0,O633-(TBIcalc!$H$9),""),"")</f>
        <v>0.45839999999999997</v>
      </c>
      <c r="Q633" s="225">
        <f>IFERROR(INDEX('Ashed teabags wet'!$K$2:$K$821,MATCH(J633,'Ashed teabags wet'!$A$2:$A$821,0)),"")</f>
        <v>9.3406593406594496</v>
      </c>
      <c r="R633" s="225">
        <f t="shared" si="52"/>
        <v>0.41558241758241704</v>
      </c>
      <c r="S633" s="226">
        <f>'WetLitterbags placem_collection'!E194</f>
        <v>42763</v>
      </c>
      <c r="T633" s="226">
        <f>IF('WetLitterbags placem_collection'!G194="","",'WetLitterbags placem_collection'!G194)</f>
        <v>42815</v>
      </c>
      <c r="U633" s="227">
        <f t="shared" si="48"/>
        <v>52</v>
      </c>
      <c r="V633" s="225">
        <f t="shared" si="50"/>
        <v>1.2338</v>
      </c>
      <c r="W633" s="225">
        <f t="shared" si="51"/>
        <v>1.1832967176335649</v>
      </c>
      <c r="X633">
        <f>IFERROR(INDEX(Rainfall_Wet!$O$2:$O$217,MATCH(B633, Rainfall_Wet!$A$2:$A$217,0)),"")</f>
        <v>188.24043152799999</v>
      </c>
      <c r="Y633" s="231">
        <v>25.96</v>
      </c>
      <c r="Z633" s="231">
        <v>8.9200000000000017</v>
      </c>
      <c r="AA633" s="231">
        <v>65.12</v>
      </c>
      <c r="AB633" s="232" t="s">
        <v>2670</v>
      </c>
      <c r="AC633" s="231">
        <v>8.6991621488417898</v>
      </c>
      <c r="AD633">
        <f>IF('WetLitterbags placem_collection'!AB194="","",'WetLitterbags placem_collection'!AB194)</f>
        <v>3.6</v>
      </c>
      <c r="AE633">
        <f>IF('WetLitterbags placem_collection'!Z194="","",'WetLitterbags placem_collection'!Z194)</f>
        <v>37.799999999999997</v>
      </c>
      <c r="AF633" s="246" t="str">
        <f>IF('WetLitterbags placem_collection'!AA194="","",'WetLitterbags placem_collection'!AA194)</f>
        <v>O</v>
      </c>
      <c r="AG633">
        <f>IF('WetLitterbags placem_collection'!AC194="","",'WetLitterbags placem_collection'!AC194)</f>
        <v>0</v>
      </c>
      <c r="AH633" s="240">
        <f>AVERAGE('WetLitterbags placem_collection'!S194,'WetLitterbags placem_collection'!U194)</f>
        <v>9.25</v>
      </c>
      <c r="AI633">
        <f>AVERAGE('WetLitterbags placem_collection'!R194,'WetLitterbags placem_collection'!T194)</f>
        <v>33.299999999999997</v>
      </c>
      <c r="AJ633">
        <f>INDEX(Coordinates!$B$2:$B$197,MATCH(G633,Coordinates!$J$2:$J$197,0))</f>
        <v>-2.2789770269999998</v>
      </c>
      <c r="AK633">
        <f>INDEX(Coordinates!$C$2:$C$197,MATCH(G633,Coordinates!$J$2:$J$197,0))</f>
        <v>34.032051039999999</v>
      </c>
      <c r="AL633" t="str">
        <f>IF(ISNUMBER(SEARCH("C", 'WetLitterbags placem_collection'!X194)),"YES","NO")</f>
        <v>NO</v>
      </c>
      <c r="AM633" t="str">
        <f>IF(ISNUMBER(SEARCH("H", 'WetLitterbags placem_collection'!X194)),"YES","NO")</f>
        <v>NO</v>
      </c>
      <c r="AN633" t="str">
        <f>IF(ISNUMBER(SEARCH("R", 'WetLitterbags placem_collection'!X194)),"YES","NO")</f>
        <v>NO</v>
      </c>
    </row>
    <row r="634" spans="1:40" ht="15" customHeight="1">
      <c r="A634" s="258" t="s">
        <v>2460</v>
      </c>
      <c r="B634" s="263">
        <f>'Dry_Litterbag Placem_Collection'!A195</f>
        <v>193</v>
      </c>
      <c r="C634" s="263" t="str">
        <f>'Dry_Litterbag Placem_Collection'!B195</f>
        <v>Makao</v>
      </c>
      <c r="D634" s="263" t="s">
        <v>2659</v>
      </c>
      <c r="E634" s="263" t="s">
        <v>2526</v>
      </c>
      <c r="F634" s="263">
        <v>4</v>
      </c>
      <c r="G634" s="264" t="str">
        <f>'Dry_Litterbag Placem_Collection'!C195</f>
        <v>Dry_Ag1_CG4</v>
      </c>
      <c r="H634" s="273" t="s">
        <v>3651</v>
      </c>
      <c r="I634" s="266" t="s">
        <v>1147</v>
      </c>
      <c r="J634" s="223" t="str">
        <f>'WetLitterbags placem_collection'!O195</f>
        <v>G584</v>
      </c>
      <c r="K634" s="225">
        <f>IFERROR(INDEX('Green_rooibos initial weight'!$C$5:$C$1749,MATCH(J634, 'Green_rooibos initial weight'!$A$5:$A$1749,0)),"")</f>
        <v>2.1960000000000002</v>
      </c>
      <c r="L634" s="225">
        <f>IFERROR(K634-(TBIcalc!$H$9+TBIcalc!$H$10),"")</f>
        <v>1.9462000000000002</v>
      </c>
      <c r="M634" s="391">
        <f>AVERAGE(Ashed_controlls!$K$2:$K$11)</f>
        <v>5.5147656768714146</v>
      </c>
      <c r="N634" s="225">
        <f t="shared" si="49"/>
        <v>1.8388716303967287</v>
      </c>
      <c r="O634" s="225">
        <f>IF(IFERROR(INDEX('Both teabags AfterWet'!$C$3:$C$841,MATCH(J634,'Both teabags AfterWet'!$A$3:$A$841,0)),"")="","",(IFERROR(INDEX('Both teabags AfterWet'!$C$3:$C$841,MATCH(J634,'Both teabags AfterWet'!$A$3:$A$841,0)),"")))</f>
        <v>0.63959999999999995</v>
      </c>
      <c r="P634" s="225">
        <f>IFERROR(IF(O634&gt;0,O634-(TBIcalc!$H$9),""),"")</f>
        <v>0.48899999999999993</v>
      </c>
      <c r="Q634" s="225">
        <f>IFERROR(INDEX('Ashed teabags wet'!$K$2:$K$821,MATCH(J634,'Ashed teabags wet'!$A$2:$A$821,0)),"")</f>
        <v>7.9232283464562308</v>
      </c>
      <c r="R634" s="225">
        <f t="shared" si="52"/>
        <v>0.45025541338582897</v>
      </c>
      <c r="S634" s="226">
        <f>'WetLitterbags placem_collection'!E195</f>
        <v>42769</v>
      </c>
      <c r="T634" s="226">
        <f>IF('WetLitterbags placem_collection'!G195="","",'WetLitterbags placem_collection'!G195)</f>
        <v>42813</v>
      </c>
      <c r="U634" s="227">
        <f t="shared" si="48"/>
        <v>44</v>
      </c>
      <c r="V634" s="225">
        <f t="shared" si="50"/>
        <v>1.4572000000000003</v>
      </c>
      <c r="W634" s="225">
        <f t="shared" si="51"/>
        <v>1.3886162170108998</v>
      </c>
      <c r="X634">
        <f>IFERROR(INDEX(Rainfall_Wet!$O$2:$O$217,MATCH(B634, Rainfall_Wet!$A$2:$A$217,0)),"")</f>
        <v>175.054685654</v>
      </c>
      <c r="Y634" s="231">
        <v>12.565665055683967</v>
      </c>
      <c r="Z634" s="231">
        <v>0.9665896196679955</v>
      </c>
      <c r="AA634" s="231">
        <v>86.467745324648035</v>
      </c>
      <c r="AB634" s="232" t="s">
        <v>2672</v>
      </c>
      <c r="AC634" s="231">
        <v>1.0225726959093147</v>
      </c>
      <c r="AD634">
        <f>IF('WetLitterbags placem_collection'!AB195="","",'WetLitterbags placem_collection'!AB195)</f>
        <v>15.2</v>
      </c>
      <c r="AE634">
        <f>IF('WetLitterbags placem_collection'!Z195="","",'WetLitterbags placem_collection'!Z195)</f>
        <v>12.2</v>
      </c>
      <c r="AF634" s="246" t="str">
        <f>IF('WetLitterbags placem_collection'!AA195="","",'WetLitterbags placem_collection'!AA195)</f>
        <v>O</v>
      </c>
      <c r="AG634">
        <f>IF('WetLitterbags placem_collection'!AC195="","",'WetLitterbags placem_collection'!AC195)</f>
        <v>1</v>
      </c>
      <c r="AH634" s="240">
        <f>AVERAGE('WetLitterbags placem_collection'!S195,'WetLitterbags placem_collection'!U195)</f>
        <v>22.4</v>
      </c>
      <c r="AI634">
        <f>AVERAGE('WetLitterbags placem_collection'!R195,'WetLitterbags placem_collection'!T195)</f>
        <v>28.95</v>
      </c>
      <c r="AJ634">
        <v>-2.4396949910000001</v>
      </c>
      <c r="AK634">
        <v>34.838574029999997</v>
      </c>
      <c r="AL634" t="str">
        <f>IF(ISNUMBER(SEARCH("C", 'WetLitterbags placem_collection'!X195)),"YES","NO")</f>
        <v>NO</v>
      </c>
      <c r="AM634" t="str">
        <f>IF(ISNUMBER(SEARCH("H", 'WetLitterbags placem_collection'!X195)),"YES","NO")</f>
        <v>NO</v>
      </c>
      <c r="AN634" t="str">
        <f>IF(ISNUMBER(SEARCH("R", 'WetLitterbags placem_collection'!X195)),"YES","NO")</f>
        <v>YES</v>
      </c>
    </row>
    <row r="635" spans="1:40" ht="15" customHeight="1">
      <c r="A635" s="258" t="s">
        <v>2460</v>
      </c>
      <c r="B635" s="263">
        <f>'Dry_Litterbag Placem_Collection'!A196</f>
        <v>194</v>
      </c>
      <c r="C635" s="263" t="str">
        <f>'Dry_Litterbag Placem_Collection'!B196</f>
        <v>Makao</v>
      </c>
      <c r="D635" s="263" t="s">
        <v>2659</v>
      </c>
      <c r="E635" s="263" t="s">
        <v>2526</v>
      </c>
      <c r="F635" s="263">
        <v>3</v>
      </c>
      <c r="G635" s="264" t="str">
        <f>'Dry_Litterbag Placem_Collection'!C196</f>
        <v>Dry_Ag2_CG3</v>
      </c>
      <c r="H635" s="273" t="s">
        <v>3651</v>
      </c>
      <c r="I635" s="266" t="s">
        <v>1147</v>
      </c>
      <c r="J635" s="223" t="str">
        <f>'WetLitterbags placem_collection'!O196</f>
        <v>G713</v>
      </c>
      <c r="K635" s="225">
        <f>IFERROR(INDEX('Green_rooibos initial weight'!$C$5:$C$1749,MATCH(J635, 'Green_rooibos initial weight'!$A$5:$A$1749,0)),"")</f>
        <v>2.1779999999999999</v>
      </c>
      <c r="L635" s="225">
        <f>IFERROR(K635-(TBIcalc!$H$9+TBIcalc!$H$10),"")</f>
        <v>1.9281999999999999</v>
      </c>
      <c r="M635" s="391">
        <f>AVERAGE(Ashed_controlls!$K$2:$K$11)</f>
        <v>5.5147656768714146</v>
      </c>
      <c r="N635" s="225">
        <f t="shared" si="49"/>
        <v>1.8218642882185654</v>
      </c>
      <c r="O635" s="225">
        <f>IF(IFERROR(INDEX('Both teabags AfterWet'!$C$3:$C$841,MATCH(J635,'Both teabags AfterWet'!$A$3:$A$841,0)),"")="","",(IFERROR(INDEX('Both teabags AfterWet'!$C$3:$C$841,MATCH(J635,'Both teabags AfterWet'!$A$3:$A$841,0)),"")))</f>
        <v>0.63500000000000001</v>
      </c>
      <c r="P635" s="225">
        <f>IFERROR(IF(O635&gt;0,O635-(TBIcalc!$H$9),""),"")</f>
        <v>0.4844</v>
      </c>
      <c r="Q635" s="225">
        <f>IFERROR(INDEX('Ashed teabags wet'!$K$2:$K$821,MATCH(J635,'Ashed teabags wet'!$A$2:$A$821,0)),"")</f>
        <v>8.6567164179103493</v>
      </c>
      <c r="R635" s="225">
        <f t="shared" si="52"/>
        <v>0.44246686567164228</v>
      </c>
      <c r="S635" s="226">
        <f>'WetLitterbags placem_collection'!E196</f>
        <v>42769</v>
      </c>
      <c r="T635" s="226">
        <f>IF('WetLitterbags placem_collection'!G196="","",'WetLitterbags placem_collection'!G196)</f>
        <v>42813</v>
      </c>
      <c r="U635" s="227">
        <f t="shared" si="48"/>
        <v>44</v>
      </c>
      <c r="V635" s="225">
        <f t="shared" si="50"/>
        <v>1.4438</v>
      </c>
      <c r="W635" s="225">
        <f t="shared" si="51"/>
        <v>1.3793974225469232</v>
      </c>
      <c r="X635">
        <f>IFERROR(INDEX(Rainfall_Wet!$O$2:$O$217,MATCH(B635, Rainfall_Wet!$A$2:$A$217,0)),"")</f>
        <v>175.054685654</v>
      </c>
      <c r="Y635" s="231">
        <v>21.13063730679653</v>
      </c>
      <c r="Z635" s="231">
        <v>3.0912555579081076</v>
      </c>
      <c r="AA635" s="231">
        <v>75.778107135295357</v>
      </c>
      <c r="AB635" s="232" t="s">
        <v>2670</v>
      </c>
      <c r="AC635" s="231">
        <v>0.46131099063578063</v>
      </c>
      <c r="AD635">
        <f>IF('WetLitterbags placem_collection'!AB196="","",'WetLitterbags placem_collection'!AB196)</f>
        <v>7.9</v>
      </c>
      <c r="AE635">
        <f>IF('WetLitterbags placem_collection'!Z196="","",'WetLitterbags placem_collection'!Z196)</f>
        <v>7.9</v>
      </c>
      <c r="AF635" s="246" t="str">
        <f>IF('WetLitterbags placem_collection'!AA196="","",'WetLitterbags placem_collection'!AA196)</f>
        <v>O</v>
      </c>
      <c r="AG635">
        <f>IF('WetLitterbags placem_collection'!AC196="","",'WetLitterbags placem_collection'!AC196)</f>
        <v>1</v>
      </c>
      <c r="AH635" s="240">
        <f>AVERAGE('WetLitterbags placem_collection'!S196,'WetLitterbags placem_collection'!U196)</f>
        <v>19.600000000000001</v>
      </c>
      <c r="AI635">
        <f>AVERAGE('WetLitterbags placem_collection'!R196,'WetLitterbags placem_collection'!T196)</f>
        <v>29.3</v>
      </c>
      <c r="AJ635">
        <v>-2.4395990190000001</v>
      </c>
      <c r="AK635">
        <v>34.838418959999998</v>
      </c>
      <c r="AL635" t="str">
        <f>IF(ISNUMBER(SEARCH("C", 'WetLitterbags placem_collection'!X196)),"YES","NO")</f>
        <v>NO</v>
      </c>
      <c r="AM635" t="str">
        <f>IF(ISNUMBER(SEARCH("H", 'WetLitterbags placem_collection'!X196)),"YES","NO")</f>
        <v>NO</v>
      </c>
      <c r="AN635" t="str">
        <f>IF(ISNUMBER(SEARCH("R", 'WetLitterbags placem_collection'!X196)),"YES","NO")</f>
        <v>YES</v>
      </c>
    </row>
    <row r="636" spans="1:40" ht="15" customHeight="1">
      <c r="A636" s="258" t="s">
        <v>2460</v>
      </c>
      <c r="B636" s="263">
        <f>'Dry_Litterbag Placem_Collection'!A197</f>
        <v>195</v>
      </c>
      <c r="C636" s="263" t="str">
        <f>'Dry_Litterbag Placem_Collection'!B197</f>
        <v>Makao</v>
      </c>
      <c r="D636" s="263" t="s">
        <v>2659</v>
      </c>
      <c r="E636" s="263" t="s">
        <v>2526</v>
      </c>
      <c r="F636" s="263">
        <v>2</v>
      </c>
      <c r="G636" s="264" t="str">
        <f>'Dry_Litterbag Placem_Collection'!C197</f>
        <v>Dry_Ag3_CG2</v>
      </c>
      <c r="H636" s="273" t="s">
        <v>3651</v>
      </c>
      <c r="I636" s="266" t="s">
        <v>1147</v>
      </c>
      <c r="J636" s="223" t="str">
        <f>'WetLitterbags placem_collection'!O197</f>
        <v>G525</v>
      </c>
      <c r="K636" s="225">
        <f>IFERROR(INDEX('Green_rooibos initial weight'!$C$5:$C$1749,MATCH(J636, 'Green_rooibos initial weight'!$A$5:$A$1749,0)),"")</f>
        <v>2.0790000000000002</v>
      </c>
      <c r="L636" s="225">
        <f>IFERROR(K636-(TBIcalc!$H$9+TBIcalc!$H$10),"")</f>
        <v>1.8292000000000002</v>
      </c>
      <c r="M636" s="391">
        <f>AVERAGE(Ashed_controlls!$K$2:$K$11)</f>
        <v>5.5147656768714146</v>
      </c>
      <c r="N636" s="225">
        <f t="shared" si="49"/>
        <v>1.7283239062386682</v>
      </c>
      <c r="O636" s="225">
        <f>IF(IFERROR(INDEX('Both teabags AfterWet'!$C$3:$C$841,MATCH(J636,'Both teabags AfterWet'!$A$3:$A$841,0)),"")="","",(IFERROR(INDEX('Both teabags AfterWet'!$C$3:$C$841,MATCH(J636,'Both teabags AfterWet'!$A$3:$A$841,0)),"")))</f>
        <v>0.67859999999999998</v>
      </c>
      <c r="P636" s="225">
        <f>IFERROR(IF(O636&gt;0,O636-(TBIcalc!$H$9),""),"")</f>
        <v>0.52800000000000002</v>
      </c>
      <c r="Q636" s="225">
        <f>IFERROR(INDEX('Ashed teabags wet'!$K$2:$K$821,MATCH(J636,'Ashed teabags wet'!$A$2:$A$821,0)),"")</f>
        <v>12.793603198399861</v>
      </c>
      <c r="R636" s="225">
        <f t="shared" si="52"/>
        <v>0.46044977511244878</v>
      </c>
      <c r="S636" s="226">
        <f>'WetLitterbags placem_collection'!E197</f>
        <v>42769</v>
      </c>
      <c r="T636" s="226">
        <f>IF('WetLitterbags placem_collection'!G197="","",'WetLitterbags placem_collection'!G197)</f>
        <v>42814</v>
      </c>
      <c r="U636" s="227">
        <f t="shared" si="48"/>
        <v>45</v>
      </c>
      <c r="V636" s="225">
        <f t="shared" si="50"/>
        <v>1.3012000000000001</v>
      </c>
      <c r="W636" s="225">
        <f t="shared" si="51"/>
        <v>1.2678741311262194</v>
      </c>
      <c r="X636">
        <f>IFERROR(INDEX(Rainfall_Wet!$O$2:$O$217,MATCH(B636, Rainfall_Wet!$A$2:$A$217,0)),"")</f>
        <v>175.377105089</v>
      </c>
      <c r="Y636" s="231">
        <v>54.080969906906262</v>
      </c>
      <c r="Z636" s="231">
        <v>21.264484651351896</v>
      </c>
      <c r="AA636" s="231">
        <v>24.654545441741845</v>
      </c>
      <c r="AB636" s="232" t="s">
        <v>2673</v>
      </c>
      <c r="AC636" s="231">
        <v>1.8433218334154755</v>
      </c>
      <c r="AD636">
        <f>IF('WetLitterbags placem_collection'!AB197="","",'WetLitterbags placem_collection'!AB197)</f>
        <v>5.13</v>
      </c>
      <c r="AE636">
        <f>IF('WetLitterbags placem_collection'!Z197="","",'WetLitterbags placem_collection'!Z197)</f>
        <v>5.13</v>
      </c>
      <c r="AF636" s="246" t="str">
        <f>IF('WetLitterbags placem_collection'!AA197="","",'WetLitterbags placem_collection'!AA197)</f>
        <v>O</v>
      </c>
      <c r="AG636">
        <f>IF('WetLitterbags placem_collection'!AC197="","",'WetLitterbags placem_collection'!AC197)</f>
        <v>1</v>
      </c>
      <c r="AH636" s="240">
        <f>AVERAGE('WetLitterbags placem_collection'!S197,'WetLitterbags placem_collection'!U197)</f>
        <v>29.700000000000003</v>
      </c>
      <c r="AI636">
        <f>AVERAGE('WetLitterbags placem_collection'!R197,'WetLitterbags placem_collection'!T197)</f>
        <v>24.35</v>
      </c>
      <c r="AJ636">
        <v>-2.4396450349999999</v>
      </c>
      <c r="AK636">
        <v>34.83836599</v>
      </c>
      <c r="AL636" t="str">
        <f>IF(ISNUMBER(SEARCH("C", 'WetLitterbags placem_collection'!X197)),"YES","NO")</f>
        <v>NO</v>
      </c>
      <c r="AM636" t="str">
        <f>IF(ISNUMBER(SEARCH("H", 'WetLitterbags placem_collection'!X197)),"YES","NO")</f>
        <v>NO</v>
      </c>
      <c r="AN636" t="str">
        <f>IF(ISNUMBER(SEARCH("R", 'WetLitterbags placem_collection'!X197)),"YES","NO")</f>
        <v>YES</v>
      </c>
    </row>
    <row r="637" spans="1:40" ht="15" customHeight="1">
      <c r="A637" s="258" t="s">
        <v>2460</v>
      </c>
      <c r="B637" s="263">
        <f>'Dry_Litterbag Placem_Collection'!A198</f>
        <v>196</v>
      </c>
      <c r="C637" s="263" t="str">
        <f>'Dry_Litterbag Placem_Collection'!B198</f>
        <v>Makao</v>
      </c>
      <c r="D637" s="263" t="s">
        <v>2659</v>
      </c>
      <c r="E637" s="263" t="s">
        <v>2526</v>
      </c>
      <c r="F637" s="263">
        <v>1</v>
      </c>
      <c r="G637" s="264" t="str">
        <f>'Dry_Litterbag Placem_Collection'!C198</f>
        <v>Dry_Ag4_CG1</v>
      </c>
      <c r="H637" s="273" t="s">
        <v>3651</v>
      </c>
      <c r="I637" s="266" t="s">
        <v>1147</v>
      </c>
      <c r="J637" s="223" t="str">
        <f>'WetLitterbags placem_collection'!O198</f>
        <v>G886</v>
      </c>
      <c r="K637" s="225">
        <f>IFERROR(INDEX('Green_rooibos initial weight'!$C$5:$C$1749,MATCH(J637, 'Green_rooibos initial weight'!$A$5:$A$1749,0)),"")</f>
        <v>1.9590000000000001</v>
      </c>
      <c r="L637" s="225">
        <f>IFERROR(K637-(TBIcalc!$H$9+TBIcalc!$H$10),"")</f>
        <v>1.7092000000000001</v>
      </c>
      <c r="M637" s="391">
        <f>AVERAGE(Ashed_controlls!$K$2:$K$11)</f>
        <v>5.5147656768714146</v>
      </c>
      <c r="N637" s="225">
        <f t="shared" si="49"/>
        <v>1.6149416250509139</v>
      </c>
      <c r="O637" s="225">
        <f>IF(IFERROR(INDEX('Both teabags AfterWet'!$C$3:$C$841,MATCH(J637,'Both teabags AfterWet'!$A$3:$A$841,0)),"")="","",(IFERROR(INDEX('Both teabags AfterWet'!$C$3:$C$841,MATCH(J637,'Both teabags AfterWet'!$A$3:$A$841,0)),"")))</f>
        <v>0.58389999999999997</v>
      </c>
      <c r="P637" s="225">
        <f>IFERROR(IF(O637&gt;0,O637-(TBIcalc!$H$9),""),"")</f>
        <v>0.43329999999999996</v>
      </c>
      <c r="Q637" s="225">
        <f>IFERROR(INDEX('Ashed teabags wet'!$K$2:$K$821,MATCH(J637,'Ashed teabags wet'!$A$2:$A$821,0)),"")</f>
        <v>11.60846040334461</v>
      </c>
      <c r="R637" s="225">
        <f t="shared" si="52"/>
        <v>0.38300054107230774</v>
      </c>
      <c r="S637" s="226">
        <f>'WetLitterbags placem_collection'!E198</f>
        <v>42769</v>
      </c>
      <c r="T637" s="226">
        <f>IF('WetLitterbags placem_collection'!G198="","",'WetLitterbags placem_collection'!G198)</f>
        <v>42814</v>
      </c>
      <c r="U637" s="227">
        <f t="shared" si="48"/>
        <v>45</v>
      </c>
      <c r="V637" s="225">
        <f t="shared" si="50"/>
        <v>1.2759</v>
      </c>
      <c r="W637" s="225">
        <f t="shared" si="51"/>
        <v>1.2319410839786062</v>
      </c>
      <c r="X637">
        <f>IFERROR(INDEX(Rainfall_Wet!$O$2:$O$217,MATCH(B637, Rainfall_Wet!$A$2:$A$217,0)),"")</f>
        <v>175.377105089</v>
      </c>
      <c r="Y637" s="231">
        <v>51.960000000000008</v>
      </c>
      <c r="Z637" s="231">
        <v>18.919999999999995</v>
      </c>
      <c r="AA637" s="231">
        <v>29.120000000000005</v>
      </c>
      <c r="AB637" s="232" t="s">
        <v>2673</v>
      </c>
      <c r="AC637" s="231">
        <v>1.85293247905372</v>
      </c>
      <c r="AD637">
        <f>IF('WetLitterbags placem_collection'!AB198="","",'WetLitterbags placem_collection'!AB198)</f>
        <v>13.8</v>
      </c>
      <c r="AE637">
        <f>IF('WetLitterbags placem_collection'!Z198="","",'WetLitterbags placem_collection'!Z198)</f>
        <v>17.399999999999999</v>
      </c>
      <c r="AF637" s="246" t="str">
        <f>IF('WetLitterbags placem_collection'!AA198="","",'WetLitterbags placem_collection'!AA198)</f>
        <v>O</v>
      </c>
      <c r="AG637">
        <f>IF('WetLitterbags placem_collection'!AC198="","",'WetLitterbags placem_collection'!AC198)</f>
        <v>1</v>
      </c>
      <c r="AH637" s="240">
        <f>AVERAGE('WetLitterbags placem_collection'!S198,'WetLitterbags placem_collection'!U198)</f>
        <v>23.75</v>
      </c>
      <c r="AI637">
        <f>AVERAGE('WetLitterbags placem_collection'!R198,'WetLitterbags placem_collection'!T198)</f>
        <v>25.25</v>
      </c>
      <c r="AJ637">
        <v>-2.439403972</v>
      </c>
      <c r="AK637">
        <v>34.838404959999998</v>
      </c>
      <c r="AL637" t="str">
        <f>IF(ISNUMBER(SEARCH("C", 'WetLitterbags placem_collection'!X198)),"YES","NO")</f>
        <v>NO</v>
      </c>
      <c r="AM637" t="str">
        <f>IF(ISNUMBER(SEARCH("H", 'WetLitterbags placem_collection'!X198)),"YES","NO")</f>
        <v>NO</v>
      </c>
      <c r="AN637" t="str">
        <f>IF(ISNUMBER(SEARCH("R", 'WetLitterbags placem_collection'!X198)),"YES","NO")</f>
        <v>NO</v>
      </c>
    </row>
    <row r="638" spans="1:40" ht="15" customHeight="1">
      <c r="A638" s="258" t="s">
        <v>2460</v>
      </c>
      <c r="B638" s="263">
        <f>'Dry_Litterbag Placem_Collection'!A199</f>
        <v>197</v>
      </c>
      <c r="C638" s="263" t="str">
        <f>'Dry_Litterbag Placem_Collection'!B199</f>
        <v>Makao</v>
      </c>
      <c r="D638" s="263" t="s">
        <v>2659</v>
      </c>
      <c r="E638" s="263" t="s">
        <v>2526</v>
      </c>
      <c r="F638" s="263">
        <v>2</v>
      </c>
      <c r="G638" s="264" t="str">
        <f>'Dry_Litterbag Placem_Collection'!C199</f>
        <v>Dry_P1_CG2</v>
      </c>
      <c r="H638" s="273" t="s">
        <v>3651</v>
      </c>
      <c r="I638" s="266" t="s">
        <v>1147</v>
      </c>
      <c r="J638" s="223" t="str">
        <f>'WetLitterbags placem_collection'!O199</f>
        <v>G388</v>
      </c>
      <c r="K638" s="225">
        <f>IFERROR(INDEX('Green_rooibos initial weight'!$C$5:$C$1749,MATCH(J638, 'Green_rooibos initial weight'!$A$5:$A$1749,0)),"")</f>
        <v>2.024</v>
      </c>
      <c r="L638" s="225">
        <f>IFERROR(K638-(TBIcalc!$H$9+TBIcalc!$H$10),"")</f>
        <v>1.7742</v>
      </c>
      <c r="M638" s="391">
        <f>AVERAGE(Ashed_controlls!$K$2:$K$11)</f>
        <v>5.5147656768714146</v>
      </c>
      <c r="N638" s="225">
        <f t="shared" si="49"/>
        <v>1.6763570273609474</v>
      </c>
      <c r="O638" s="225">
        <f>IF(IFERROR(INDEX('Both teabags AfterWet'!$C$3:$C$841,MATCH(J638,'Both teabags AfterWet'!$A$3:$A$841,0)),"")="","",(IFERROR(INDEX('Both teabags AfterWet'!$C$3:$C$841,MATCH(J638,'Both teabags AfterWet'!$A$3:$A$841,0)),"")))</f>
        <v>0.7046</v>
      </c>
      <c r="P638" s="225">
        <f>IFERROR(IF(O638&gt;0,O638-(TBIcalc!$H$9),""),"")</f>
        <v>0.55400000000000005</v>
      </c>
      <c r="Q638" s="225">
        <f>IFERROR(INDEX('Ashed teabags wet'!$K$2:$K$821,MATCH(J638,'Ashed teabags wet'!$A$2:$A$821,0)),"")</f>
        <v>10.565110565110372</v>
      </c>
      <c r="R638" s="225">
        <f t="shared" si="52"/>
        <v>0.49546928746928859</v>
      </c>
      <c r="S638" s="226">
        <f>'WetLitterbags placem_collection'!E199</f>
        <v>42769</v>
      </c>
      <c r="T638" s="226">
        <f>IF('WetLitterbags placem_collection'!G199="","",'WetLitterbags placem_collection'!G199)</f>
        <v>42814</v>
      </c>
      <c r="U638" s="227">
        <f t="shared" si="48"/>
        <v>45</v>
      </c>
      <c r="V638" s="225">
        <f t="shared" si="50"/>
        <v>1.2202</v>
      </c>
      <c r="W638" s="225">
        <f t="shared" si="51"/>
        <v>1.1808877398916588</v>
      </c>
      <c r="X638">
        <f>IFERROR(INDEX(Rainfall_Wet!$O$2:$O$217,MATCH(B638, Rainfall_Wet!$A$2:$A$217,0)),"")</f>
        <v>175.377105089</v>
      </c>
      <c r="Y638" s="231">
        <v>23.96</v>
      </c>
      <c r="Z638" s="231">
        <v>0.91999999999999804</v>
      </c>
      <c r="AA638" s="231">
        <v>75.12</v>
      </c>
      <c r="AB638" s="232" t="s">
        <v>2670</v>
      </c>
      <c r="AC638" s="231">
        <v>1.2493839329719072</v>
      </c>
      <c r="AD638">
        <f>IF('WetLitterbags placem_collection'!AB199="","",'WetLitterbags placem_collection'!AB199)</f>
        <v>5.13</v>
      </c>
      <c r="AE638">
        <f>IF('WetLitterbags placem_collection'!Z199="","",'WetLitterbags placem_collection'!Z199)</f>
        <v>5.13</v>
      </c>
      <c r="AF638" s="246" t="str">
        <f>IF('WetLitterbags placem_collection'!AA199="","",'WetLitterbags placem_collection'!AA199)</f>
        <v>O</v>
      </c>
      <c r="AG638">
        <f>IF('WetLitterbags placem_collection'!AC199="","",'WetLitterbags placem_collection'!AC199)</f>
        <v>1</v>
      </c>
      <c r="AH638" s="240">
        <f>AVERAGE('WetLitterbags placem_collection'!S199,'WetLitterbags placem_collection'!U199)</f>
        <v>22.85</v>
      </c>
      <c r="AI638">
        <f>AVERAGE('WetLitterbags placem_collection'!R199,'WetLitterbags placem_collection'!T199)</f>
        <v>24.4</v>
      </c>
      <c r="AJ638">
        <v>-2.4396450349999999</v>
      </c>
      <c r="AK638">
        <v>34.83836599</v>
      </c>
      <c r="AL638" t="str">
        <f>IF(ISNUMBER(SEARCH("C", 'WetLitterbags placem_collection'!X199)),"YES","NO")</f>
        <v>NO</v>
      </c>
      <c r="AM638" t="str">
        <f>IF(ISNUMBER(SEARCH("H", 'WetLitterbags placem_collection'!X199)),"YES","NO")</f>
        <v>NO</v>
      </c>
      <c r="AN638" t="str">
        <f>IF(ISNUMBER(SEARCH("R", 'WetLitterbags placem_collection'!X199)),"YES","NO")</f>
        <v>YES</v>
      </c>
    </row>
    <row r="639" spans="1:40" ht="15" customHeight="1">
      <c r="A639" s="258" t="s">
        <v>2460</v>
      </c>
      <c r="B639" s="263">
        <f>'Dry_Litterbag Placem_Collection'!A200</f>
        <v>198</v>
      </c>
      <c r="C639" s="263" t="str">
        <f>'Dry_Litterbag Placem_Collection'!B200</f>
        <v>Makao</v>
      </c>
      <c r="D639" s="263" t="s">
        <v>2659</v>
      </c>
      <c r="E639" s="263" t="s">
        <v>2526</v>
      </c>
      <c r="F639" s="263">
        <v>3</v>
      </c>
      <c r="G639" s="264" t="str">
        <f>'Dry_Litterbag Placem_Collection'!C200</f>
        <v>Dry_P2_CG3</v>
      </c>
      <c r="H639" s="273" t="s">
        <v>3651</v>
      </c>
      <c r="I639" s="266" t="s">
        <v>1147</v>
      </c>
      <c r="J639" s="223" t="str">
        <f>'WetLitterbags placem_collection'!O200</f>
        <v>G462</v>
      </c>
      <c r="K639" s="225">
        <f>IFERROR(INDEX('Green_rooibos initial weight'!$C$5:$C$1749,MATCH(J639, 'Green_rooibos initial weight'!$A$5:$A$1749,0)),"")</f>
        <v>2.169</v>
      </c>
      <c r="L639" s="225">
        <f>IFERROR(K639-(TBIcalc!$H$9+TBIcalc!$H$10),"")</f>
        <v>1.9192</v>
      </c>
      <c r="M639" s="391">
        <f>AVERAGE(Ashed_controlls!$K$2:$K$11)</f>
        <v>5.5147656768714146</v>
      </c>
      <c r="N639" s="225">
        <f>IFERROR(L639-(M639/100)*L639,"")</f>
        <v>1.8133606171294838</v>
      </c>
      <c r="O639" s="225">
        <f>IF(IFERROR(INDEX('Both teabags AfterWet'!$C$3:$C$841,MATCH(J639,'Both teabags AfterWet'!$A$3:$A$841,0)),"")="","",(IFERROR(INDEX('Both teabags AfterWet'!$C$3:$C$841,MATCH(J639,'Both teabags AfterWet'!$A$3:$A$841,0)),"")))</f>
        <v>0.71250000000000002</v>
      </c>
      <c r="P639" s="225">
        <f>IFERROR(IF(O639&gt;0,O639-(TBIcalc!$H$9),""),"")</f>
        <v>0.56190000000000007</v>
      </c>
      <c r="Q639" s="225">
        <f>IFERROR(INDEX('Ashed teabags wet'!$K$2:$K$821,MATCH(J639,'Ashed teabags wet'!$A$2:$A$821,0)),"")</f>
        <v>8.7537091988131088</v>
      </c>
      <c r="R639" s="225">
        <f t="shared" si="52"/>
        <v>0.5127129080118692</v>
      </c>
      <c r="S639" s="226">
        <f>'WetLitterbags placem_collection'!E200</f>
        <v>42769</v>
      </c>
      <c r="T639" s="226">
        <f>IF('WetLitterbags placem_collection'!G200="","",'WetLitterbags placem_collection'!G200)</f>
        <v>42813</v>
      </c>
      <c r="U639" s="227">
        <f t="shared" si="48"/>
        <v>44</v>
      </c>
      <c r="V639" s="225">
        <f t="shared" si="50"/>
        <v>1.3573</v>
      </c>
      <c r="W639" s="225">
        <f t="shared" si="51"/>
        <v>1.3006477091176145</v>
      </c>
      <c r="X639">
        <f>IFERROR(INDEX(Rainfall_Wet!$O$2:$O$217,MATCH(B639, Rainfall_Wet!$A$2:$A$217,0)),"")</f>
        <v>175.054685654</v>
      </c>
      <c r="Y639" s="231">
        <v>19.96</v>
      </c>
      <c r="Z639" s="231">
        <v>4.9199999999999982</v>
      </c>
      <c r="AA639" s="231">
        <v>75.12</v>
      </c>
      <c r="AB639" s="232" t="s">
        <v>2671</v>
      </c>
      <c r="AC639" s="231">
        <v>1.641498275012321</v>
      </c>
      <c r="AD639">
        <f>IF('WetLitterbags placem_collection'!AB200="","",'WetLitterbags placem_collection'!AB200)</f>
        <v>7.9</v>
      </c>
      <c r="AE639">
        <f>IF('WetLitterbags placem_collection'!Z200="","",'WetLitterbags placem_collection'!Z200)</f>
        <v>7.9</v>
      </c>
      <c r="AF639" s="246" t="str">
        <f>IF('WetLitterbags placem_collection'!AA200="","",'WetLitterbags placem_collection'!AA200)</f>
        <v>O</v>
      </c>
      <c r="AG639">
        <f>IF('WetLitterbags placem_collection'!AC200="","",'WetLitterbags placem_collection'!AC200)</f>
        <v>1</v>
      </c>
      <c r="AH639" s="240">
        <f>AVERAGE('WetLitterbags placem_collection'!S200,'WetLitterbags placem_collection'!U200)</f>
        <v>20.9</v>
      </c>
      <c r="AI639">
        <f>AVERAGE('WetLitterbags placem_collection'!R200,'WetLitterbags placem_collection'!T200)</f>
        <v>27.45</v>
      </c>
      <c r="AJ639">
        <v>-2.4395990190000001</v>
      </c>
      <c r="AK639">
        <v>34.838418959999998</v>
      </c>
      <c r="AL639" t="str">
        <f>IF(ISNUMBER(SEARCH("C", 'WetLitterbags placem_collection'!X200)),"YES","NO")</f>
        <v>NO</v>
      </c>
      <c r="AM639" t="str">
        <f>IF(ISNUMBER(SEARCH("H", 'WetLitterbags placem_collection'!X200)),"YES","NO")</f>
        <v>NO</v>
      </c>
      <c r="AN639" t="str">
        <f>IF(ISNUMBER(SEARCH("R", 'WetLitterbags placem_collection'!X200)),"YES","NO")</f>
        <v>YES</v>
      </c>
    </row>
    <row r="640" spans="1:40" ht="15" customHeight="1">
      <c r="A640" s="258" t="s">
        <v>2460</v>
      </c>
      <c r="B640" s="263">
        <f>'Dry_Litterbag Placem_Collection'!A201</f>
        <v>199</v>
      </c>
      <c r="C640" s="263" t="str">
        <f>'Dry_Litterbag Placem_Collection'!B201</f>
        <v>Makao</v>
      </c>
      <c r="D640" s="263" t="s">
        <v>2659</v>
      </c>
      <c r="E640" s="263" t="s">
        <v>2526</v>
      </c>
      <c r="F640" s="263">
        <v>1</v>
      </c>
      <c r="G640" s="264" t="str">
        <f>'Dry_Litterbag Placem_Collection'!C201</f>
        <v>Dry_P3_CG1</v>
      </c>
      <c r="H640" s="273" t="s">
        <v>3651</v>
      </c>
      <c r="I640" s="266" t="s">
        <v>1147</v>
      </c>
      <c r="J640" s="223" t="str">
        <f>'WetLitterbags placem_collection'!O201</f>
        <v>G712</v>
      </c>
      <c r="K640" s="225">
        <f>IFERROR(INDEX('Green_rooibos initial weight'!$C$5:$C$1749,MATCH(J640, 'Green_rooibos initial weight'!$A$5:$A$1749,0)),"")</f>
        <v>2.0630000000000002</v>
      </c>
      <c r="L640" s="225">
        <f>IFERROR(K640-(TBIcalc!$H$9+TBIcalc!$H$10),"")</f>
        <v>1.8132000000000001</v>
      </c>
      <c r="M640" s="391">
        <f>AVERAGE(Ashed_controlls!$K$2:$K$11)</f>
        <v>5.5147656768714146</v>
      </c>
      <c r="N640" s="225">
        <f t="shared" si="49"/>
        <v>1.7132062687469676</v>
      </c>
      <c r="O640" s="225">
        <f>IF(IFERROR(INDEX('Both teabags AfterWet'!$C$3:$C$841,MATCH(J640,'Both teabags AfterWet'!$A$3:$A$841,0)),"")="","",(IFERROR(INDEX('Both teabags AfterWet'!$C$3:$C$841,MATCH(J640,'Both teabags AfterWet'!$A$3:$A$841,0)),"")))</f>
        <v>0.65500000000000003</v>
      </c>
      <c r="P640" s="225">
        <f>IFERROR(IF(O640&gt;0,O640-(TBIcalc!$H$9),""),"")</f>
        <v>0.50439999999999996</v>
      </c>
      <c r="Q640" s="225">
        <f>IFERROR(INDEX('Ashed teabags wet'!$K$2:$K$821,MATCH(J640,'Ashed teabags wet'!$A$2:$A$821,0)),"")</f>
        <v>8.8717454194792413</v>
      </c>
      <c r="R640" s="225">
        <f t="shared" si="52"/>
        <v>0.45965091610414666</v>
      </c>
      <c r="S640" s="226">
        <f>'WetLitterbags placem_collection'!E201</f>
        <v>42769</v>
      </c>
      <c r="T640" s="226">
        <f>IF('WetLitterbags placem_collection'!G201="","",'WetLitterbags placem_collection'!G201)</f>
        <v>42814</v>
      </c>
      <c r="U640" s="227">
        <f t="shared" si="48"/>
        <v>45</v>
      </c>
      <c r="V640" s="225">
        <f t="shared" si="50"/>
        <v>1.3088000000000002</v>
      </c>
      <c r="W640" s="225">
        <f t="shared" si="51"/>
        <v>1.2535553526428209</v>
      </c>
      <c r="X640">
        <f>IFERROR(INDEX(Rainfall_Wet!$O$2:$O$217,MATCH(B640, Rainfall_Wet!$A$2:$A$217,0)),"")</f>
        <v>175.377105089</v>
      </c>
      <c r="Y640" s="231">
        <v>21.96</v>
      </c>
      <c r="Z640" s="231">
        <v>8.9199999999999982</v>
      </c>
      <c r="AA640" s="231">
        <v>69.12</v>
      </c>
      <c r="AB640" s="232" t="s">
        <v>2670</v>
      </c>
      <c r="AC640" s="231">
        <v>1.7491375061606702</v>
      </c>
      <c r="AD640">
        <f>IF('WetLitterbags placem_collection'!AB201="","",'WetLitterbags placem_collection'!AB201)</f>
        <v>13.8</v>
      </c>
      <c r="AE640">
        <f>IF('WetLitterbags placem_collection'!Z201="","",'WetLitterbags placem_collection'!Z201)</f>
        <v>17.399999999999999</v>
      </c>
      <c r="AF640" s="246" t="str">
        <f>IF('WetLitterbags placem_collection'!AA201="","",'WetLitterbags placem_collection'!AA201)</f>
        <v>O</v>
      </c>
      <c r="AG640">
        <f>IF('WetLitterbags placem_collection'!AC201="","",'WetLitterbags placem_collection'!AC201)</f>
        <v>1</v>
      </c>
      <c r="AH640" s="240">
        <f>AVERAGE('WetLitterbags placem_collection'!S201,'WetLitterbags placem_collection'!U201)</f>
        <v>18.149999999999999</v>
      </c>
      <c r="AI640">
        <f>AVERAGE('WetLitterbags placem_collection'!R201,'WetLitterbags placem_collection'!T201)</f>
        <v>24.549999999999997</v>
      </c>
      <c r="AJ640">
        <v>-2.439403972</v>
      </c>
      <c r="AK640">
        <v>34.838404959999998</v>
      </c>
      <c r="AL640" t="str">
        <f>IF(ISNUMBER(SEARCH("C", 'WetLitterbags placem_collection'!X201)),"YES","NO")</f>
        <v>NO</v>
      </c>
      <c r="AM640" t="str">
        <f>IF(ISNUMBER(SEARCH("H", 'WetLitterbags placem_collection'!X201)),"YES","NO")</f>
        <v>NO</v>
      </c>
      <c r="AN640" t="str">
        <f>IF(ISNUMBER(SEARCH("R", 'WetLitterbags placem_collection'!X201)),"YES","NO")</f>
        <v>NO</v>
      </c>
    </row>
    <row r="641" spans="1:40" ht="15" customHeight="1">
      <c r="A641" s="258" t="s">
        <v>2460</v>
      </c>
      <c r="B641" s="263">
        <f>'Dry_Litterbag Placem_Collection'!A202</f>
        <v>200</v>
      </c>
      <c r="C641" s="263" t="str">
        <f>'Dry_Litterbag Placem_Collection'!B202</f>
        <v>Makao</v>
      </c>
      <c r="D641" s="263" t="s">
        <v>2659</v>
      </c>
      <c r="E641" s="263" t="s">
        <v>2526</v>
      </c>
      <c r="F641" s="263">
        <v>4</v>
      </c>
      <c r="G641" s="264" t="str">
        <f>'Dry_Litterbag Placem_Collection'!C202</f>
        <v>Dry_P4_CG4</v>
      </c>
      <c r="H641" s="273" t="s">
        <v>3651</v>
      </c>
      <c r="I641" s="266" t="s">
        <v>1147</v>
      </c>
      <c r="J641" s="223" t="str">
        <f>'WetLitterbags placem_collection'!O202</f>
        <v>G709</v>
      </c>
      <c r="K641" s="225">
        <f>IFERROR(INDEX('Green_rooibos initial weight'!$C$5:$C$1749,MATCH(J641, 'Green_rooibos initial weight'!$A$5:$A$1749,0)),"")</f>
        <v>1.9670000000000001</v>
      </c>
      <c r="L641" s="225">
        <f>IFERROR(K641-(TBIcalc!$H$9+TBIcalc!$H$10),"")</f>
        <v>1.7172000000000001</v>
      </c>
      <c r="M641" s="391">
        <f>AVERAGE(Ashed_controlls!$K$2:$K$11)</f>
        <v>5.5147656768714146</v>
      </c>
      <c r="N641" s="225">
        <f t="shared" si="49"/>
        <v>1.6225004437967641</v>
      </c>
      <c r="O641" s="225">
        <f>IF(IFERROR(INDEX('Both teabags AfterWet'!$C$3:$C$841,MATCH(J641,'Both teabags AfterWet'!$A$3:$A$841,0)),"")="","",(IFERROR(INDEX('Both teabags AfterWet'!$C$3:$C$841,MATCH(J641,'Both teabags AfterWet'!$A$3:$A$841,0)),"")))</f>
        <v>0.56469999999999998</v>
      </c>
      <c r="P641" s="225">
        <f>IFERROR(IF(O641&gt;0,O641-(TBIcalc!$H$9),""),"")</f>
        <v>0.41409999999999997</v>
      </c>
      <c r="Q641" s="225">
        <f>IFERROR(INDEX('Ashed teabags wet'!$K$2:$K$821,MATCH(J641,'Ashed teabags wet'!$A$2:$A$821,0)),"")</f>
        <v>9.8409542743538694</v>
      </c>
      <c r="R641" s="225">
        <f t="shared" si="52"/>
        <v>0.37334860834990058</v>
      </c>
      <c r="S641" s="226">
        <f>'WetLitterbags placem_collection'!E202</f>
        <v>42769</v>
      </c>
      <c r="T641" s="226">
        <f>IF('WetLitterbags placem_collection'!G202="","",'WetLitterbags placem_collection'!G202)</f>
        <v>42813</v>
      </c>
      <c r="U641" s="227">
        <f t="shared" si="48"/>
        <v>44</v>
      </c>
      <c r="V641" s="225">
        <f t="shared" si="50"/>
        <v>1.3031000000000001</v>
      </c>
      <c r="W641" s="225">
        <f t="shared" si="51"/>
        <v>1.2491518354468636</v>
      </c>
      <c r="X641">
        <f>IFERROR(INDEX(Rainfall_Wet!$O$2:$O$217,MATCH(B641, Rainfall_Wet!$A$2:$A$217,0)),"")</f>
        <v>175.054685654</v>
      </c>
      <c r="Y641" s="231">
        <v>25.96</v>
      </c>
      <c r="Z641" s="231">
        <v>6.9200000000000008</v>
      </c>
      <c r="AA641" s="231">
        <v>67.12</v>
      </c>
      <c r="AB641" s="232" t="s">
        <v>2670</v>
      </c>
      <c r="AC641" s="231">
        <v>1.7568260226712666</v>
      </c>
      <c r="AD641">
        <f>IF('WetLitterbags placem_collection'!AB202="","",'WetLitterbags placem_collection'!AB202)</f>
        <v>15.2</v>
      </c>
      <c r="AE641">
        <f>IF('WetLitterbags placem_collection'!Z202="","",'WetLitterbags placem_collection'!Z202)</f>
        <v>12.2</v>
      </c>
      <c r="AF641" s="246" t="str">
        <f>IF('WetLitterbags placem_collection'!AA202="","",'WetLitterbags placem_collection'!AA202)</f>
        <v>O</v>
      </c>
      <c r="AG641">
        <f>IF('WetLitterbags placem_collection'!AC202="","",'WetLitterbags placem_collection'!AC202)</f>
        <v>1</v>
      </c>
      <c r="AH641" s="240">
        <f>AVERAGE('WetLitterbags placem_collection'!S202,'WetLitterbags placem_collection'!U202)</f>
        <v>22.799999999999997</v>
      </c>
      <c r="AI641">
        <f>AVERAGE('WetLitterbags placem_collection'!R202,'WetLitterbags placem_collection'!T202)</f>
        <v>27.9</v>
      </c>
      <c r="AJ641">
        <v>-2.4396949910000001</v>
      </c>
      <c r="AK641">
        <v>34.838574029999997</v>
      </c>
      <c r="AL641" t="str">
        <f>IF(ISNUMBER(SEARCH("C", 'WetLitterbags placem_collection'!X202)),"YES","NO")</f>
        <v>NO</v>
      </c>
      <c r="AM641" t="str">
        <f>IF(ISNUMBER(SEARCH("H", 'WetLitterbags placem_collection'!X202)),"YES","NO")</f>
        <v>NO</v>
      </c>
      <c r="AN641" t="str">
        <f>IF(ISNUMBER(SEARCH("R", 'WetLitterbags placem_collection'!X202)),"YES","NO")</f>
        <v>YES</v>
      </c>
    </row>
    <row r="642" spans="1:40" ht="15" customHeight="1">
      <c r="A642" s="258" t="s">
        <v>2460</v>
      </c>
      <c r="B642" s="263">
        <f>'Dry_Litterbag Placem_Collection'!A203</f>
        <v>201</v>
      </c>
      <c r="C642" s="263" t="str">
        <f>'Dry_Litterbag Placem_Collection'!B203</f>
        <v>Maswa</v>
      </c>
      <c r="D642" s="263" t="s">
        <v>2659</v>
      </c>
      <c r="E642" s="263" t="s">
        <v>2526</v>
      </c>
      <c r="F642" s="263">
        <v>4</v>
      </c>
      <c r="G642" s="264" t="str">
        <f>'Dry_Litterbag Placem_Collection'!C203</f>
        <v>Dry_W3_CG4</v>
      </c>
      <c r="H642" s="273" t="s">
        <v>3651</v>
      </c>
      <c r="I642" s="266" t="s">
        <v>1147</v>
      </c>
      <c r="J642" s="223" t="str">
        <f>'WetLitterbags placem_collection'!O203</f>
        <v>G707</v>
      </c>
      <c r="K642" s="225">
        <f>IFERROR(INDEX('Green_rooibos initial weight'!$C$5:$C$1749,MATCH(J642, 'Green_rooibos initial weight'!$A$5:$A$1749,0)),"")</f>
        <v>2.008</v>
      </c>
      <c r="L642" s="225">
        <f>IFERROR(K642-(TBIcalc!$H$9+TBIcalc!$H$10),"")</f>
        <v>1.7582</v>
      </c>
      <c r="M642" s="391">
        <f>AVERAGE(Ashed_controlls!$K$2:$K$11)</f>
        <v>5.5147656768714146</v>
      </c>
      <c r="N642" s="225">
        <f t="shared" si="49"/>
        <v>1.6612393898692468</v>
      </c>
      <c r="O642" s="225">
        <f>IF(IFERROR(INDEX('Both teabags AfterWet'!$C$3:$C$841,MATCH(J642,'Both teabags AfterWet'!$A$3:$A$841,0)),"")="","",(IFERROR(INDEX('Both teabags AfterWet'!$C$3:$C$841,MATCH(J642,'Both teabags AfterWet'!$A$3:$A$841,0)),"")))</f>
        <v>0.63959999999999995</v>
      </c>
      <c r="P642" s="225">
        <f>IFERROR(IF(O642&gt;0,O642-(TBIcalc!$H$9),""),"")</f>
        <v>0.48899999999999993</v>
      </c>
      <c r="Q642" s="225">
        <f>IFERROR(INDEX('Ashed teabags wet'!$K$2:$K$821,MATCH(J642,'Ashed teabags wet'!$A$2:$A$821,0)),"")</f>
        <v>12.14457831325316</v>
      </c>
      <c r="R642" s="225">
        <f t="shared" si="52"/>
        <v>0.42961301204819197</v>
      </c>
      <c r="S642" s="226">
        <f>'WetLitterbags placem_collection'!E203</f>
        <v>42769</v>
      </c>
      <c r="T642" s="226">
        <f>IF('WetLitterbags placem_collection'!G203="","",'WetLitterbags placem_collection'!G203)</f>
        <v>42813</v>
      </c>
      <c r="U642" s="227">
        <f t="shared" ref="U642:U661" si="53">IFERROR(T642-S642,"")</f>
        <v>44</v>
      </c>
      <c r="V642" s="225">
        <f t="shared" si="50"/>
        <v>1.2692000000000001</v>
      </c>
      <c r="W642" s="225">
        <f t="shared" si="51"/>
        <v>1.2316263778210548</v>
      </c>
      <c r="X642">
        <f>IFERROR(INDEX(Rainfall_Wet!$O$2:$O$217,MATCH(B642, Rainfall_Wet!$A$2:$A$217,0)),"")</f>
        <v>175.054685654</v>
      </c>
      <c r="Y642" s="231">
        <v>38.691629007962128</v>
      </c>
      <c r="Z642" s="231">
        <v>26.81299763288143</v>
      </c>
      <c r="AA642" s="231">
        <v>34.495373359156439</v>
      </c>
      <c r="AB642" s="232" t="s">
        <v>2675</v>
      </c>
      <c r="AC642" s="231">
        <v>2.5483587974371611</v>
      </c>
      <c r="AD642">
        <f>IF('WetLitterbags placem_collection'!AB203="","",'WetLitterbags placem_collection'!AB203)</f>
        <v>15.2</v>
      </c>
      <c r="AE642">
        <f>IF('WetLitterbags placem_collection'!Z203="","",'WetLitterbags placem_collection'!Z203)</f>
        <v>12.2</v>
      </c>
      <c r="AF642" s="246" t="str">
        <f>IF('WetLitterbags placem_collection'!AA203="","",'WetLitterbags placem_collection'!AA203)</f>
        <v>O</v>
      </c>
      <c r="AG642">
        <f>IF('WetLitterbags placem_collection'!AC203="","",'WetLitterbags placem_collection'!AC203)</f>
        <v>1</v>
      </c>
      <c r="AH642" s="240">
        <f>AVERAGE('WetLitterbags placem_collection'!S203,'WetLitterbags placem_collection'!U203)</f>
        <v>22</v>
      </c>
      <c r="AI642">
        <f>AVERAGE('WetLitterbags placem_collection'!R203,'WetLitterbags placem_collection'!T203)</f>
        <v>28</v>
      </c>
      <c r="AJ642">
        <v>-2.4396949910000001</v>
      </c>
      <c r="AK642">
        <v>34.838574029999997</v>
      </c>
      <c r="AL642" t="str">
        <f>IF(ISNUMBER(SEARCH("C", 'WetLitterbags placem_collection'!X203)),"YES","NO")</f>
        <v>NO</v>
      </c>
      <c r="AM642" t="str">
        <f>IF(ISNUMBER(SEARCH("H", 'WetLitterbags placem_collection'!X203)),"YES","NO")</f>
        <v>NO</v>
      </c>
      <c r="AN642" t="str">
        <f>IF(ISNUMBER(SEARCH("R", 'WetLitterbags placem_collection'!X203)),"YES","NO")</f>
        <v>YES</v>
      </c>
    </row>
    <row r="643" spans="1:40" ht="15" customHeight="1">
      <c r="A643" s="258" t="s">
        <v>2460</v>
      </c>
      <c r="B643" s="263">
        <f>'Dry_Litterbag Placem_Collection'!A204</f>
        <v>202</v>
      </c>
      <c r="C643" s="263" t="str">
        <f>'Dry_Litterbag Placem_Collection'!B204</f>
        <v>Maswa</v>
      </c>
      <c r="D643" s="263" t="s">
        <v>2659</v>
      </c>
      <c r="E643" s="263" t="s">
        <v>2526</v>
      </c>
      <c r="F643" s="263">
        <v>1</v>
      </c>
      <c r="G643" s="264" t="str">
        <f>'Dry_Litterbag Placem_Collection'!C204</f>
        <v>Dry_W2_CG1</v>
      </c>
      <c r="H643" s="273" t="s">
        <v>3651</v>
      </c>
      <c r="I643" s="266" t="s">
        <v>1147</v>
      </c>
      <c r="J643" s="223" t="str">
        <f>'WetLitterbags placem_collection'!O204</f>
        <v>G770</v>
      </c>
      <c r="K643" s="225">
        <f>IFERROR(INDEX('Green_rooibos initial weight'!$C$5:$C$1749,MATCH(J643, 'Green_rooibos initial weight'!$A$5:$A$1749,0)),"")</f>
        <v>1.958</v>
      </c>
      <c r="L643" s="225">
        <f>IFERROR(K643-(TBIcalc!$H$9+TBIcalc!$H$10),"")</f>
        <v>1.7081999999999999</v>
      </c>
      <c r="M643" s="391">
        <f>AVERAGE(Ashed_controlls!$K$2:$K$11)</f>
        <v>5.5147656768714146</v>
      </c>
      <c r="N643" s="225">
        <f t="shared" ref="N643:N706" si="54">IFERROR(L643-(M643/100)*L643,"")</f>
        <v>1.6139967727076825</v>
      </c>
      <c r="O643" s="225">
        <f>IF(IFERROR(INDEX('Both teabags AfterWet'!$C$3:$C$841,MATCH(J643,'Both teabags AfterWet'!$A$3:$A$841,0)),"")="","",(IFERROR(INDEX('Both teabags AfterWet'!$C$3:$C$841,MATCH(J643,'Both teabags AfterWet'!$A$3:$A$841,0)),"")))</f>
        <v>0.98199999999999998</v>
      </c>
      <c r="P643" s="225">
        <f>IFERROR(IF(O643&gt;0,O643-(TBIcalc!$H$9),""),"")</f>
        <v>0.83139999999999992</v>
      </c>
      <c r="Q643" s="225">
        <f>IFERROR(INDEX('Ashed teabags wet'!$K$2:$K$821,MATCH(J643,'Ashed teabags wet'!$A$2:$A$821,0)),"")</f>
        <v>31.965648854961913</v>
      </c>
      <c r="R643" s="225">
        <f t="shared" si="52"/>
        <v>0.56563759541984659</v>
      </c>
      <c r="S643" s="226">
        <f>'WetLitterbags placem_collection'!E204</f>
        <v>42769</v>
      </c>
      <c r="T643" s="226">
        <f>IF('WetLitterbags placem_collection'!G204="","",'WetLitterbags placem_collection'!G204)</f>
        <v>42814</v>
      </c>
      <c r="U643" s="227">
        <f t="shared" si="53"/>
        <v>45</v>
      </c>
      <c r="V643" s="225">
        <f t="shared" ref="V643:V706" si="55">IFERROR(L643-P643,"")</f>
        <v>0.87680000000000002</v>
      </c>
      <c r="W643" s="225">
        <f t="shared" ref="W643:W706" si="56">IFERROR(N643-R643,"")</f>
        <v>1.048359177287836</v>
      </c>
      <c r="X643">
        <f>IFERROR(INDEX(Rainfall_Wet!$O$2:$O$217,MATCH(B643, Rainfall_Wet!$A$2:$A$217,0)),"")</f>
        <v>175.377105089</v>
      </c>
      <c r="Y643" s="231">
        <v>45.272914521112256</v>
      </c>
      <c r="Z643" s="231">
        <v>23.604531410916575</v>
      </c>
      <c r="AA643" s="231">
        <v>31.122554067971166</v>
      </c>
      <c r="AB643" s="232" t="s">
        <v>2673</v>
      </c>
      <c r="AC643" s="231">
        <v>2.0547560374568752</v>
      </c>
      <c r="AD643">
        <f>IF('WetLitterbags placem_collection'!AB204="","",'WetLitterbags placem_collection'!AB204)</f>
        <v>13.8</v>
      </c>
      <c r="AE643">
        <f>IF('WetLitterbags placem_collection'!Z204="","",'WetLitterbags placem_collection'!Z204)</f>
        <v>17.399999999999999</v>
      </c>
      <c r="AF643" s="246" t="str">
        <f>IF('WetLitterbags placem_collection'!AA204="","",'WetLitterbags placem_collection'!AA204)</f>
        <v>O</v>
      </c>
      <c r="AG643">
        <f>IF('WetLitterbags placem_collection'!AC204="","",'WetLitterbags placem_collection'!AC204)</f>
        <v>1</v>
      </c>
      <c r="AH643" s="240">
        <f>AVERAGE('WetLitterbags placem_collection'!S204,'WetLitterbags placem_collection'!U204)</f>
        <v>20.65</v>
      </c>
      <c r="AI643">
        <f>AVERAGE('WetLitterbags placem_collection'!R204,'WetLitterbags placem_collection'!T204)</f>
        <v>24.1</v>
      </c>
      <c r="AJ643">
        <v>-2.439403972</v>
      </c>
      <c r="AK643">
        <v>34.838404959999998</v>
      </c>
      <c r="AL643" t="str">
        <f>IF(ISNUMBER(SEARCH("C", 'WetLitterbags placem_collection'!X204)),"YES","NO")</f>
        <v>NO</v>
      </c>
      <c r="AM643" t="str">
        <f>IF(ISNUMBER(SEARCH("H", 'WetLitterbags placem_collection'!X204)),"YES","NO")</f>
        <v>NO</v>
      </c>
      <c r="AN643" t="str">
        <f>IF(ISNUMBER(SEARCH("R", 'WetLitterbags placem_collection'!X204)),"YES","NO")</f>
        <v>YES</v>
      </c>
    </row>
    <row r="644" spans="1:40" ht="15" customHeight="1">
      <c r="A644" s="258" t="s">
        <v>2460</v>
      </c>
      <c r="B644" s="263">
        <f>'Dry_Litterbag Placem_Collection'!A205</f>
        <v>203</v>
      </c>
      <c r="C644" s="263" t="str">
        <f>'Dry_Litterbag Placem_Collection'!B205</f>
        <v>Maswa</v>
      </c>
      <c r="D644" s="263" t="s">
        <v>2659</v>
      </c>
      <c r="E644" s="263" t="s">
        <v>2526</v>
      </c>
      <c r="F644" s="263">
        <v>2</v>
      </c>
      <c r="G644" s="264" t="str">
        <f>'Dry_Litterbag Placem_Collection'!C205</f>
        <v>Dry_W1_CG2</v>
      </c>
      <c r="H644" s="273" t="s">
        <v>3651</v>
      </c>
      <c r="I644" s="266" t="s">
        <v>1147</v>
      </c>
      <c r="J644" s="223" t="str">
        <f>'WetLitterbags placem_collection'!O205</f>
        <v>G753</v>
      </c>
      <c r="K644" s="225">
        <f>IFERROR(INDEX('Green_rooibos initial weight'!$C$5:$C$1749,MATCH(J644, 'Green_rooibos initial weight'!$A$5:$A$1749,0)),"")</f>
        <v>2.0649999999999999</v>
      </c>
      <c r="L644" s="225">
        <f>IFERROR(K644-(TBIcalc!$H$9+TBIcalc!$H$10),"")</f>
        <v>1.8151999999999999</v>
      </c>
      <c r="M644" s="391">
        <f>AVERAGE(Ashed_controlls!$K$2:$K$11)</f>
        <v>5.5147656768714146</v>
      </c>
      <c r="N644" s="225">
        <f t="shared" si="54"/>
        <v>1.7150959734334301</v>
      </c>
      <c r="O644" s="225">
        <f>IF(IFERROR(INDEX('Both teabags AfterWet'!$C$3:$C$841,MATCH(J644,'Both teabags AfterWet'!$A$3:$A$841,0)),"")="","",(IFERROR(INDEX('Both teabags AfterWet'!$C$3:$C$841,MATCH(J644,'Both teabags AfterWet'!$A$3:$A$841,0)),"")))</f>
        <v>0.7681</v>
      </c>
      <c r="P644" s="225">
        <f>IFERROR(IF(O644&gt;0,O644-(TBIcalc!$H$9),""),"")</f>
        <v>0.61749999999999994</v>
      </c>
      <c r="Q644" s="225">
        <f>IFERROR(INDEX('Ashed teabags wet'!$K$2:$K$821,MATCH(J644,'Ashed teabags wet'!$A$2:$A$821,0)),"")</f>
        <v>9.4330155544412708</v>
      </c>
      <c r="R644" s="225">
        <f t="shared" si="52"/>
        <v>0.55925112895132512</v>
      </c>
      <c r="S644" s="226">
        <f>'WetLitterbags placem_collection'!E205</f>
        <v>42769</v>
      </c>
      <c r="T644" s="226">
        <f>IF('WetLitterbags placem_collection'!G205="","",'WetLitterbags placem_collection'!G205)</f>
        <v>42814</v>
      </c>
      <c r="U644" s="227">
        <f t="shared" si="53"/>
        <v>45</v>
      </c>
      <c r="V644" s="225">
        <f t="shared" si="55"/>
        <v>1.1977</v>
      </c>
      <c r="W644" s="225">
        <f t="shared" si="56"/>
        <v>1.155844844482105</v>
      </c>
      <c r="X644">
        <f>IFERROR(INDEX(Rainfall_Wet!$O$2:$O$217,MATCH(B644, Rainfall_Wet!$A$2:$A$217,0)),"")</f>
        <v>175.377105089</v>
      </c>
      <c r="Y644" s="231">
        <v>47.96</v>
      </c>
      <c r="Z644" s="231">
        <v>22.919999999999995</v>
      </c>
      <c r="AA644" s="231">
        <v>29.120000000000012</v>
      </c>
      <c r="AB644" s="232" t="s">
        <v>2673</v>
      </c>
      <c r="AC644" s="231">
        <v>2.8831936914736325</v>
      </c>
      <c r="AD644">
        <f>IF('WetLitterbags placem_collection'!AB205="","",'WetLitterbags placem_collection'!AB205)</f>
        <v>5.13</v>
      </c>
      <c r="AE644">
        <f>IF('WetLitterbags placem_collection'!Z205="","",'WetLitterbags placem_collection'!Z205)</f>
        <v>5.13</v>
      </c>
      <c r="AF644" s="246" t="str">
        <f>IF('WetLitterbags placem_collection'!AA205="","",'WetLitterbags placem_collection'!AA205)</f>
        <v>O</v>
      </c>
      <c r="AG644">
        <f>IF('WetLitterbags placem_collection'!AC205="","",'WetLitterbags placem_collection'!AC205)</f>
        <v>1</v>
      </c>
      <c r="AH644" s="240">
        <f>AVERAGE('WetLitterbags placem_collection'!S205,'WetLitterbags placem_collection'!U205)</f>
        <v>27</v>
      </c>
      <c r="AI644">
        <f>AVERAGE('WetLitterbags placem_collection'!R205,'WetLitterbags placem_collection'!T205)</f>
        <v>28.4</v>
      </c>
      <c r="AJ644">
        <v>-2.4396450349999999</v>
      </c>
      <c r="AK644">
        <v>34.83836599</v>
      </c>
      <c r="AL644" t="str">
        <f>IF(ISNUMBER(SEARCH("C", 'WetLitterbags placem_collection'!X205)),"YES","NO")</f>
        <v>NO</v>
      </c>
      <c r="AM644" t="str">
        <f>IF(ISNUMBER(SEARCH("H", 'WetLitterbags placem_collection'!X205)),"YES","NO")</f>
        <v>NO</v>
      </c>
      <c r="AN644" t="str">
        <f>IF(ISNUMBER(SEARCH("R", 'WetLitterbags placem_collection'!X205)),"YES","NO")</f>
        <v>YES</v>
      </c>
    </row>
    <row r="645" spans="1:40" ht="15" customHeight="1">
      <c r="A645" s="258" t="s">
        <v>2460</v>
      </c>
      <c r="B645" s="263">
        <f>'Dry_Litterbag Placem_Collection'!A206</f>
        <v>204</v>
      </c>
      <c r="C645" s="263" t="str">
        <f>'Dry_Litterbag Placem_Collection'!B206</f>
        <v>Maswa</v>
      </c>
      <c r="D645" s="263" t="s">
        <v>2659</v>
      </c>
      <c r="E645" s="263" t="s">
        <v>2526</v>
      </c>
      <c r="F645" s="263">
        <v>3</v>
      </c>
      <c r="G645" s="264" t="str">
        <f>'Dry_Litterbag Placem_Collection'!C206</f>
        <v>Dry_W4_CG3</v>
      </c>
      <c r="H645" s="273" t="s">
        <v>3651</v>
      </c>
      <c r="I645" s="266" t="s">
        <v>1147</v>
      </c>
      <c r="J645" s="223" t="str">
        <f>'WetLitterbags placem_collection'!O206</f>
        <v>G640</v>
      </c>
      <c r="K645" s="225">
        <f>IFERROR(INDEX('Green_rooibos initial weight'!$C$5:$C$1749,MATCH(J645, 'Green_rooibos initial weight'!$A$5:$A$1749,0)),"")</f>
        <v>2.0640000000000001</v>
      </c>
      <c r="L645" s="225">
        <f>IFERROR(K645-(TBIcalc!$H$9+TBIcalc!$H$10),"")</f>
        <v>1.8142</v>
      </c>
      <c r="M645" s="391">
        <f>AVERAGE(Ashed_controlls!$K$2:$K$11)</f>
        <v>5.5147656768714146</v>
      </c>
      <c r="N645" s="225">
        <f t="shared" si="54"/>
        <v>1.7141511210901987</v>
      </c>
      <c r="O645" s="225">
        <f>IF(IFERROR(INDEX('Both teabags AfterWet'!$C$3:$C$841,MATCH(J645,'Both teabags AfterWet'!$A$3:$A$841,0)),"")="","",(IFERROR(INDEX('Both teabags AfterWet'!$C$3:$C$841,MATCH(J645,'Both teabags AfterWet'!$A$3:$A$841,0)),"")))</f>
        <v>0.72450000000000003</v>
      </c>
      <c r="P645" s="225">
        <f>IFERROR(IF(O645&gt;0,O645-(TBIcalc!$H$9),""),"")</f>
        <v>0.57390000000000008</v>
      </c>
      <c r="Q645" s="225">
        <f>IFERROR(INDEX('Ashed teabags wet'!$K$2:$K$821,MATCH(J645,'Ashed teabags wet'!$A$2:$A$821,0)),"")</f>
        <v>11.573849878934253</v>
      </c>
      <c r="R645" s="225">
        <f t="shared" si="52"/>
        <v>0.50747767554479639</v>
      </c>
      <c r="S645" s="226">
        <f>'WetLitterbags placem_collection'!E206</f>
        <v>42769</v>
      </c>
      <c r="T645" s="226">
        <f>IF('WetLitterbags placem_collection'!G206="","",'WetLitterbags placem_collection'!G206)</f>
        <v>42813</v>
      </c>
      <c r="U645" s="227">
        <f t="shared" si="53"/>
        <v>44</v>
      </c>
      <c r="V645" s="225">
        <f t="shared" si="55"/>
        <v>1.2403</v>
      </c>
      <c r="W645" s="225">
        <f t="shared" si="56"/>
        <v>1.2066734455454022</v>
      </c>
      <c r="X645">
        <f>IFERROR(INDEX(Rainfall_Wet!$O$2:$O$217,MATCH(B645, Rainfall_Wet!$A$2:$A$217,0)),"")</f>
        <v>175.054685654</v>
      </c>
      <c r="Y645" s="231">
        <v>28.145762029394</v>
      </c>
      <c r="Z645" s="231">
        <v>25.085564727199518</v>
      </c>
      <c r="AA645" s="231">
        <v>46.768673243406489</v>
      </c>
      <c r="AB645" s="232" t="s">
        <v>2670</v>
      </c>
      <c r="AC645" s="231">
        <v>2.1716214884179394</v>
      </c>
      <c r="AD645">
        <f>IF('WetLitterbags placem_collection'!AB206="","",'WetLitterbags placem_collection'!AB206)</f>
        <v>7.9</v>
      </c>
      <c r="AE645">
        <f>IF('WetLitterbags placem_collection'!Z206="","",'WetLitterbags placem_collection'!Z206)</f>
        <v>7.9</v>
      </c>
      <c r="AF645" s="246" t="str">
        <f>IF('WetLitterbags placem_collection'!AA206="","",'WetLitterbags placem_collection'!AA206)</f>
        <v>O</v>
      </c>
      <c r="AG645">
        <f>IF('WetLitterbags placem_collection'!AC206="","",'WetLitterbags placem_collection'!AC206)</f>
        <v>1</v>
      </c>
      <c r="AH645" s="240">
        <f>AVERAGE('WetLitterbags placem_collection'!S206,'WetLitterbags placem_collection'!U206)</f>
        <v>21.6</v>
      </c>
      <c r="AI645">
        <f>AVERAGE('WetLitterbags placem_collection'!R206,'WetLitterbags placem_collection'!T206)</f>
        <v>30.950000000000003</v>
      </c>
      <c r="AJ645">
        <v>-2.4395990190000001</v>
      </c>
      <c r="AK645">
        <v>34.838418959999998</v>
      </c>
      <c r="AL645" t="str">
        <f>IF(ISNUMBER(SEARCH("C", 'WetLitterbags placem_collection'!X206)),"YES","NO")</f>
        <v>NO</v>
      </c>
      <c r="AM645" t="str">
        <f>IF(ISNUMBER(SEARCH("H", 'WetLitterbags placem_collection'!X206)),"YES","NO")</f>
        <v>NO</v>
      </c>
      <c r="AN645" t="str">
        <f>IF(ISNUMBER(SEARCH("R", 'WetLitterbags placem_collection'!X206)),"YES","NO")</f>
        <v>YES</v>
      </c>
    </row>
    <row r="646" spans="1:40" ht="15" customHeight="1">
      <c r="A646" s="258" t="s">
        <v>2460</v>
      </c>
      <c r="B646" s="263">
        <f>'Dry_Litterbag Placem_Collection'!A207</f>
        <v>205</v>
      </c>
      <c r="C646" s="263" t="str">
        <f>'Dry_Litterbag Placem_Collection'!B207</f>
        <v xml:space="preserve">Mwantimba
</v>
      </c>
      <c r="D646" s="263" t="s">
        <v>2460</v>
      </c>
      <c r="E646" s="263" t="s">
        <v>2526</v>
      </c>
      <c r="F646" s="263">
        <v>2</v>
      </c>
      <c r="G646" s="264" t="str">
        <f>'Dry_Litterbag Placem_Collection'!C207</f>
        <v>Wet_Ag1_CG2</v>
      </c>
      <c r="H646" s="273" t="s">
        <v>3651</v>
      </c>
      <c r="I646" s="266" t="s">
        <v>1147</v>
      </c>
      <c r="J646" s="223" t="str">
        <f>'WetLitterbags placem_collection'!O207</f>
        <v>G668</v>
      </c>
      <c r="K646" s="225">
        <f>IFERROR(INDEX('Green_rooibos initial weight'!$C$5:$C$1749,MATCH(J646, 'Green_rooibos initial weight'!$A$5:$A$1749,0)),"")</f>
        <v>2.0299999999999998</v>
      </c>
      <c r="L646" s="225">
        <f>IFERROR(K646-(TBIcalc!$H$9+TBIcalc!$H$10),"")</f>
        <v>1.7801999999999998</v>
      </c>
      <c r="M646" s="391">
        <f>AVERAGE(Ashed_controlls!$K$2:$K$11)</f>
        <v>5.5147656768714146</v>
      </c>
      <c r="N646" s="225">
        <f t="shared" si="54"/>
        <v>1.6820261414203348</v>
      </c>
      <c r="O646" s="225">
        <f>IF(IFERROR(INDEX('Both teabags AfterWet'!$C$3:$C$841,MATCH(J646,'Both teabags AfterWet'!$A$3:$A$841,0)),"")="","",(IFERROR(INDEX('Both teabags AfterWet'!$C$3:$C$841,MATCH(J646,'Both teabags AfterWet'!$A$3:$A$841,0)),"")))</f>
        <v>0.71</v>
      </c>
      <c r="P646" s="225">
        <f>IFERROR(IF(O646&gt;0,O646-(TBIcalc!$H$9),""),"")</f>
        <v>0.5593999999999999</v>
      </c>
      <c r="Q646" s="225">
        <f>IFERROR(INDEX('Ashed teabags wet'!$K$2:$K$821,MATCH(J646,'Ashed teabags wet'!$A$2:$A$821,0)),"")</f>
        <v>17.813567593948214</v>
      </c>
      <c r="R646" s="225">
        <f t="shared" si="52"/>
        <v>0.45975090287945358</v>
      </c>
      <c r="S646" s="226">
        <f>'WetLitterbags placem_collection'!E207</f>
        <v>42769</v>
      </c>
      <c r="T646" s="226">
        <f>IF('WetLitterbags placem_collection'!G207="","",'WetLitterbags placem_collection'!G207)</f>
        <v>42814</v>
      </c>
      <c r="U646" s="227">
        <f t="shared" si="53"/>
        <v>45</v>
      </c>
      <c r="V646" s="225">
        <f t="shared" si="55"/>
        <v>1.2207999999999999</v>
      </c>
      <c r="W646" s="225">
        <f t="shared" si="56"/>
        <v>1.2222752385408813</v>
      </c>
      <c r="X646">
        <f>IFERROR(INDEX(Rainfall_Wet!$O$2:$O$217,MATCH(B646, Rainfall_Wet!$A$2:$A$217,0)),"")</f>
        <v>175.377105089</v>
      </c>
      <c r="Y646" s="231">
        <v>45.96</v>
      </c>
      <c r="Z646" s="231">
        <v>14.920000000000003</v>
      </c>
      <c r="AA646" s="231">
        <v>39.119999999999997</v>
      </c>
      <c r="AB646" s="232" t="s">
        <v>2673</v>
      </c>
      <c r="AC646" s="231">
        <v>2.0374568753080333</v>
      </c>
      <c r="AD646">
        <f>IF('WetLitterbags placem_collection'!AB207="","",'WetLitterbags placem_collection'!AB207)</f>
        <v>5.13</v>
      </c>
      <c r="AE646">
        <f>IF('WetLitterbags placem_collection'!Z207="","",'WetLitterbags placem_collection'!Z207)</f>
        <v>5.13</v>
      </c>
      <c r="AF646" s="246" t="str">
        <f>IF('WetLitterbags placem_collection'!AA207="","",'WetLitterbags placem_collection'!AA207)</f>
        <v>O</v>
      </c>
      <c r="AG646">
        <f>IF('WetLitterbags placem_collection'!AC207="","",'WetLitterbags placem_collection'!AC207)</f>
        <v>1</v>
      </c>
      <c r="AH646" s="240">
        <f>AVERAGE('WetLitterbags placem_collection'!S207,'WetLitterbags placem_collection'!U207)</f>
        <v>24.45</v>
      </c>
      <c r="AI646">
        <f>AVERAGE('WetLitterbags placem_collection'!R207,'WetLitterbags placem_collection'!T207)</f>
        <v>26.299999999999997</v>
      </c>
      <c r="AJ646">
        <v>-2.4396450349999999</v>
      </c>
      <c r="AK646">
        <v>34.83836599</v>
      </c>
      <c r="AL646" t="str">
        <f>IF(ISNUMBER(SEARCH("C", 'WetLitterbags placem_collection'!X207)),"YES","NO")</f>
        <v>NO</v>
      </c>
      <c r="AM646" t="str">
        <f>IF(ISNUMBER(SEARCH("H", 'WetLitterbags placem_collection'!X207)),"YES","NO")</f>
        <v>NO</v>
      </c>
      <c r="AN646" t="str">
        <f>IF(ISNUMBER(SEARCH("R", 'WetLitterbags placem_collection'!X207)),"YES","NO")</f>
        <v>YES</v>
      </c>
    </row>
    <row r="647" spans="1:40" ht="15" customHeight="1">
      <c r="A647" s="258" t="s">
        <v>2460</v>
      </c>
      <c r="B647" s="263">
        <f>'Dry_Litterbag Placem_Collection'!A208</f>
        <v>206</v>
      </c>
      <c r="C647" s="263" t="str">
        <f>'Dry_Litterbag Placem_Collection'!B208</f>
        <v xml:space="preserve">Mwantimba
</v>
      </c>
      <c r="D647" s="263" t="s">
        <v>2460</v>
      </c>
      <c r="E647" s="263" t="s">
        <v>2526</v>
      </c>
      <c r="F647" s="263">
        <v>1</v>
      </c>
      <c r="G647" s="264" t="str">
        <f>'Dry_Litterbag Placem_Collection'!C208</f>
        <v>Wet_Ag2_CG1</v>
      </c>
      <c r="H647" s="273" t="s">
        <v>3651</v>
      </c>
      <c r="I647" s="266" t="s">
        <v>1147</v>
      </c>
      <c r="J647" s="223" t="str">
        <f>'WetLitterbags placem_collection'!O208</f>
        <v>G891</v>
      </c>
      <c r="K647" s="225">
        <f>IFERROR(INDEX('Green_rooibos initial weight'!$C$5:$C$1749,MATCH(J647, 'Green_rooibos initial weight'!$A$5:$A$1749,0)),"")</f>
        <v>2.0169999999999999</v>
      </c>
      <c r="L647" s="225">
        <f>IFERROR(K647-(TBIcalc!$H$9+TBIcalc!$H$10),"")</f>
        <v>1.7671999999999999</v>
      </c>
      <c r="M647" s="391">
        <f>AVERAGE(Ashed_controlls!$K$2:$K$11)</f>
        <v>5.5147656768714146</v>
      </c>
      <c r="N647" s="225">
        <f t="shared" si="54"/>
        <v>1.6697430609583281</v>
      </c>
      <c r="O647" s="225">
        <f>IF(IFERROR(INDEX('Both teabags AfterWet'!$C$3:$C$841,MATCH(J647,'Both teabags AfterWet'!$A$3:$A$841,0)),"")="","",(IFERROR(INDEX('Both teabags AfterWet'!$C$3:$C$841,MATCH(J647,'Both teabags AfterWet'!$A$3:$A$841,0)),"")))</f>
        <v>0.70199999999999996</v>
      </c>
      <c r="P647" s="225">
        <f>IFERROR(IF(O647&gt;0,O647-(TBIcalc!$H$9),""),"")</f>
        <v>0.55139999999999989</v>
      </c>
      <c r="Q647" s="225">
        <f>IFERROR(INDEX('Ashed teabags wet'!$K$2:$K$821,MATCH(J647,'Ashed teabags wet'!$A$2:$A$821,0)),"")</f>
        <v>13.415841584158834</v>
      </c>
      <c r="R647" s="225">
        <f t="shared" si="52"/>
        <v>0.47742504950494813</v>
      </c>
      <c r="S647" s="226">
        <f>'WetLitterbags placem_collection'!E208</f>
        <v>42769</v>
      </c>
      <c r="T647" s="226">
        <f>IF('WetLitterbags placem_collection'!G208="","",'WetLitterbags placem_collection'!G208)</f>
        <v>42814</v>
      </c>
      <c r="U647" s="227">
        <f t="shared" si="53"/>
        <v>45</v>
      </c>
      <c r="V647" s="225">
        <f t="shared" si="55"/>
        <v>1.2158</v>
      </c>
      <c r="W647" s="225">
        <f t="shared" si="56"/>
        <v>1.19231801145338</v>
      </c>
      <c r="X647">
        <f>IFERROR(INDEX(Rainfall_Wet!$O$2:$O$217,MATCH(B647, Rainfall_Wet!$A$2:$A$217,0)),"")</f>
        <v>175.377105089</v>
      </c>
      <c r="Y647" s="231">
        <v>34.344660194174757</v>
      </c>
      <c r="Z647" s="231">
        <v>19.22727272727273</v>
      </c>
      <c r="AA647" s="231">
        <v>46.428067078552509</v>
      </c>
      <c r="AB647" s="232" t="s">
        <v>2670</v>
      </c>
      <c r="AC647" s="231">
        <v>1.7452932479053718</v>
      </c>
      <c r="AD647">
        <f>IF('WetLitterbags placem_collection'!AB208="","",'WetLitterbags placem_collection'!AB208)</f>
        <v>13.8</v>
      </c>
      <c r="AE647">
        <f>IF('WetLitterbags placem_collection'!Z208="","",'WetLitterbags placem_collection'!Z208)</f>
        <v>17.399999999999999</v>
      </c>
      <c r="AF647" s="246" t="str">
        <f>IF('WetLitterbags placem_collection'!AA208="","",'WetLitterbags placem_collection'!AA208)</f>
        <v>O</v>
      </c>
      <c r="AG647">
        <f>IF('WetLitterbags placem_collection'!AC208="","",'WetLitterbags placem_collection'!AC208)</f>
        <v>1</v>
      </c>
      <c r="AH647" s="240">
        <f>AVERAGE('WetLitterbags placem_collection'!S208,'WetLitterbags placem_collection'!U208)</f>
        <v>19.05</v>
      </c>
      <c r="AI647">
        <f>AVERAGE('WetLitterbags placem_collection'!R208,'WetLitterbags placem_collection'!T208)</f>
        <v>24.15</v>
      </c>
      <c r="AJ647">
        <v>-2.439403972</v>
      </c>
      <c r="AK647">
        <v>34.838404959999998</v>
      </c>
      <c r="AL647" t="str">
        <f>IF(ISNUMBER(SEARCH("C", 'WetLitterbags placem_collection'!X208)),"YES","NO")</f>
        <v>NO</v>
      </c>
      <c r="AM647" t="str">
        <f>IF(ISNUMBER(SEARCH("H", 'WetLitterbags placem_collection'!X208)),"YES","NO")</f>
        <v>NO</v>
      </c>
      <c r="AN647" t="str">
        <f>IF(ISNUMBER(SEARCH("R", 'WetLitterbags placem_collection'!X208)),"YES","NO")</f>
        <v>YES</v>
      </c>
    </row>
    <row r="648" spans="1:40" ht="15" customHeight="1">
      <c r="A648" s="258" t="s">
        <v>2460</v>
      </c>
      <c r="B648" s="263">
        <f>'Dry_Litterbag Placem_Collection'!A209</f>
        <v>207</v>
      </c>
      <c r="C648" s="263" t="str">
        <f>'Dry_Litterbag Placem_Collection'!B209</f>
        <v xml:space="preserve">Mwantimba
</v>
      </c>
      <c r="D648" s="263" t="s">
        <v>2460</v>
      </c>
      <c r="E648" s="263" t="s">
        <v>2526</v>
      </c>
      <c r="F648" s="263">
        <v>4</v>
      </c>
      <c r="G648" s="264" t="str">
        <f>'Dry_Litterbag Placem_Collection'!C209</f>
        <v>Wet_Ag3_CG4</v>
      </c>
      <c r="H648" s="273" t="s">
        <v>3651</v>
      </c>
      <c r="I648" s="266" t="s">
        <v>1147</v>
      </c>
      <c r="J648" s="223" t="str">
        <f>'WetLitterbags placem_collection'!O209</f>
        <v>G540</v>
      </c>
      <c r="K648" s="225">
        <f>IFERROR(INDEX('Green_rooibos initial weight'!$C$5:$C$1749,MATCH(J648, 'Green_rooibos initial weight'!$A$5:$A$1749,0)),"")</f>
        <v>2.0830000000000002</v>
      </c>
      <c r="L648" s="225">
        <f>IFERROR(K648-(TBIcalc!$H$9+TBIcalc!$H$10),"")</f>
        <v>1.8332000000000002</v>
      </c>
      <c r="M648" s="391">
        <f>AVERAGE(Ashed_controlls!$K$2:$K$11)</f>
        <v>5.5147656768714146</v>
      </c>
      <c r="N648" s="225">
        <f t="shared" si="54"/>
        <v>1.7321033156115935</v>
      </c>
      <c r="O648" s="225">
        <f>IF(IFERROR(INDEX('Both teabags AfterWet'!$C$3:$C$841,MATCH(J648,'Both teabags AfterWet'!$A$3:$A$841,0)),"")="","",(IFERROR(INDEX('Both teabags AfterWet'!$C$3:$C$841,MATCH(J648,'Both teabags AfterWet'!$A$3:$A$841,0)),"")))</f>
        <v>0.73299999999999998</v>
      </c>
      <c r="P648" s="225">
        <f>IFERROR(IF(O648&gt;0,O648-(TBIcalc!$H$9),""),"")</f>
        <v>0.58240000000000003</v>
      </c>
      <c r="Q648" s="225">
        <f>IFERROR(INDEX('Ashed teabags wet'!$K$2:$K$821,MATCH(J648,'Ashed teabags wet'!$A$2:$A$821,0)),"")</f>
        <v>21.550000000000765</v>
      </c>
      <c r="R648" s="225">
        <f t="shared" si="52"/>
        <v>0.45689279999999555</v>
      </c>
      <c r="S648" s="226">
        <f>'WetLitterbags placem_collection'!E209</f>
        <v>42769</v>
      </c>
      <c r="T648" s="226">
        <f>IF('WetLitterbags placem_collection'!G209="","",'WetLitterbags placem_collection'!G209)</f>
        <v>42813</v>
      </c>
      <c r="U648" s="227">
        <f t="shared" si="53"/>
        <v>44</v>
      </c>
      <c r="V648" s="225">
        <f t="shared" si="55"/>
        <v>1.2508000000000001</v>
      </c>
      <c r="W648" s="225">
        <f t="shared" si="56"/>
        <v>1.2752105156115978</v>
      </c>
      <c r="X648">
        <f>IFERROR(INDEX(Rainfall_Wet!$O$2:$O$217,MATCH(B648, Rainfall_Wet!$A$2:$A$217,0)),"")</f>
        <v>175.054685654</v>
      </c>
      <c r="Y648" s="231">
        <v>27.96</v>
      </c>
      <c r="Z648" s="231">
        <v>4.9200000000000017</v>
      </c>
      <c r="AA648" s="231">
        <v>67.12</v>
      </c>
      <c r="AB648" s="232" t="s">
        <v>2670</v>
      </c>
      <c r="AC648" s="231">
        <v>0.88610152784622953</v>
      </c>
      <c r="AD648">
        <f>IF('WetLitterbags placem_collection'!AB209="","",'WetLitterbags placem_collection'!AB209)</f>
        <v>15.2</v>
      </c>
      <c r="AE648">
        <f>IF('WetLitterbags placem_collection'!Z209="","",'WetLitterbags placem_collection'!Z209)</f>
        <v>12.2</v>
      </c>
      <c r="AF648" s="246" t="str">
        <f>IF('WetLitterbags placem_collection'!AA209="","",'WetLitterbags placem_collection'!AA209)</f>
        <v>O</v>
      </c>
      <c r="AG648">
        <f>IF('WetLitterbags placem_collection'!AC209="","",'WetLitterbags placem_collection'!AC209)</f>
        <v>1</v>
      </c>
      <c r="AH648" s="240">
        <f>AVERAGE('WetLitterbags placem_collection'!S209,'WetLitterbags placem_collection'!U209)</f>
        <v>19.8</v>
      </c>
      <c r="AI648">
        <f>AVERAGE('WetLitterbags placem_collection'!R209,'WetLitterbags placem_collection'!T209)</f>
        <v>29.05</v>
      </c>
      <c r="AJ648">
        <v>-2.4396949910000001</v>
      </c>
      <c r="AK648">
        <v>34.838574029999997</v>
      </c>
      <c r="AL648" t="str">
        <f>IF(ISNUMBER(SEARCH("C", 'WetLitterbags placem_collection'!X209)),"YES","NO")</f>
        <v>NO</v>
      </c>
      <c r="AM648" t="str">
        <f>IF(ISNUMBER(SEARCH("H", 'WetLitterbags placem_collection'!X209)),"YES","NO")</f>
        <v>NO</v>
      </c>
      <c r="AN648" t="str">
        <f>IF(ISNUMBER(SEARCH("R", 'WetLitterbags placem_collection'!X209)),"YES","NO")</f>
        <v>YES</v>
      </c>
    </row>
    <row r="649" spans="1:40" ht="15" customHeight="1">
      <c r="A649" s="258" t="s">
        <v>2460</v>
      </c>
      <c r="B649" s="263">
        <f>'Dry_Litterbag Placem_Collection'!A210</f>
        <v>208</v>
      </c>
      <c r="C649" s="263" t="str">
        <f>'Dry_Litterbag Placem_Collection'!B210</f>
        <v xml:space="preserve">Mwantimba
</v>
      </c>
      <c r="D649" s="263" t="s">
        <v>2460</v>
      </c>
      <c r="E649" s="263" t="s">
        <v>2526</v>
      </c>
      <c r="F649" s="263">
        <v>3</v>
      </c>
      <c r="G649" s="264" t="str">
        <f>'Dry_Litterbag Placem_Collection'!C210</f>
        <v>Wet_Ag4_CG3</v>
      </c>
      <c r="H649" s="273" t="s">
        <v>3651</v>
      </c>
      <c r="I649" s="266" t="s">
        <v>1147</v>
      </c>
      <c r="J649" s="223" t="str">
        <f>'WetLitterbags placem_collection'!O210</f>
        <v>G508</v>
      </c>
      <c r="K649" s="225">
        <f>IFERROR(INDEX('Green_rooibos initial weight'!$C$5:$C$1749,MATCH(J649, 'Green_rooibos initial weight'!$A$5:$A$1749,0)),"")</f>
        <v>1.9910000000000001</v>
      </c>
      <c r="L649" s="225">
        <f>IFERROR(K649-(TBIcalc!$H$9+TBIcalc!$H$10),"")</f>
        <v>1.7412000000000001</v>
      </c>
      <c r="M649" s="391">
        <f>AVERAGE(Ashed_controlls!$K$2:$K$11)</f>
        <v>5.5147656768714146</v>
      </c>
      <c r="N649" s="225">
        <f t="shared" si="54"/>
        <v>1.645176900034315</v>
      </c>
      <c r="O649" s="225">
        <f>IF(IFERROR(INDEX('Both teabags AfterWet'!$C$3:$C$841,MATCH(J649,'Both teabags AfterWet'!$A$3:$A$841,0)),"")="","",(IFERROR(INDEX('Both teabags AfterWet'!$C$3:$C$841,MATCH(J649,'Both teabags AfterWet'!$A$3:$A$841,0)),"")))</f>
        <v>0.84599999999999997</v>
      </c>
      <c r="P649" s="225">
        <f>IFERROR(IF(O649&gt;0,O649-(TBIcalc!$H$9),""),"")</f>
        <v>0.69540000000000002</v>
      </c>
      <c r="Q649" s="225">
        <f>IFERROR(INDEX('Ashed teabags wet'!$K$2:$K$821,MATCH(J649,'Ashed teabags wet'!$A$2:$A$821,0)),"")</f>
        <v>12.276341948309753</v>
      </c>
      <c r="R649" s="225">
        <f t="shared" si="52"/>
        <v>0.61003031809145403</v>
      </c>
      <c r="S649" s="226">
        <f>'WetLitterbags placem_collection'!E210</f>
        <v>42769</v>
      </c>
      <c r="T649" s="226">
        <f>IF('WetLitterbags placem_collection'!G210="","",'WetLitterbags placem_collection'!G210)</f>
        <v>42813</v>
      </c>
      <c r="U649" s="227">
        <f t="shared" si="53"/>
        <v>44</v>
      </c>
      <c r="V649" s="225">
        <f t="shared" si="55"/>
        <v>1.0458000000000001</v>
      </c>
      <c r="W649" s="225">
        <f t="shared" si="56"/>
        <v>1.0351465819428611</v>
      </c>
      <c r="X649">
        <f>IFERROR(INDEX(Rainfall_Wet!$O$2:$O$217,MATCH(B649, Rainfall_Wet!$A$2:$A$217,0)),"")</f>
        <v>175.054685654</v>
      </c>
      <c r="Y649" s="231">
        <v>17.96</v>
      </c>
      <c r="Z649" s="231">
        <v>4.9199999999999982</v>
      </c>
      <c r="AA649" s="231">
        <v>77.12</v>
      </c>
      <c r="AB649" s="232" t="s">
        <v>2671</v>
      </c>
      <c r="AC649" s="231">
        <v>2.0220798422868409</v>
      </c>
      <c r="AD649">
        <f>IF('WetLitterbags placem_collection'!AB210="","",'WetLitterbags placem_collection'!AB210)</f>
        <v>7.9</v>
      </c>
      <c r="AE649">
        <f>IF('WetLitterbags placem_collection'!Z210="","",'WetLitterbags placem_collection'!Z210)</f>
        <v>7.9</v>
      </c>
      <c r="AF649" s="246" t="str">
        <f>IF('WetLitterbags placem_collection'!AA210="","",'WetLitterbags placem_collection'!AA210)</f>
        <v>O</v>
      </c>
      <c r="AG649">
        <f>IF('WetLitterbags placem_collection'!AC210="","",'WetLitterbags placem_collection'!AC210)</f>
        <v>1</v>
      </c>
      <c r="AH649" s="240">
        <f>AVERAGE('WetLitterbags placem_collection'!S210,'WetLitterbags placem_collection'!U210)</f>
        <v>22.200000000000003</v>
      </c>
      <c r="AI649">
        <f>AVERAGE('WetLitterbags placem_collection'!R210,'WetLitterbags placem_collection'!T210)</f>
        <v>27.45</v>
      </c>
      <c r="AJ649">
        <v>-2.4395990190000001</v>
      </c>
      <c r="AK649">
        <v>34.838418959999998</v>
      </c>
      <c r="AL649" t="str">
        <f>IF(ISNUMBER(SEARCH("C", 'WetLitterbags placem_collection'!X210)),"YES","NO")</f>
        <v>NO</v>
      </c>
      <c r="AM649" t="str">
        <f>IF(ISNUMBER(SEARCH("H", 'WetLitterbags placem_collection'!X210)),"YES","NO")</f>
        <v>NO</v>
      </c>
      <c r="AN649" t="str">
        <f>IF(ISNUMBER(SEARCH("R", 'WetLitterbags placem_collection'!X210)),"YES","NO")</f>
        <v>YES</v>
      </c>
    </row>
    <row r="650" spans="1:40" ht="15" customHeight="1">
      <c r="A650" s="258" t="s">
        <v>2460</v>
      </c>
      <c r="B650" s="263">
        <f>'Dry_Litterbag Placem_Collection'!A211</f>
        <v>209</v>
      </c>
      <c r="C650" s="263" t="str">
        <f>'Dry_Litterbag Placem_Collection'!B211</f>
        <v xml:space="preserve">Mwantimba
</v>
      </c>
      <c r="D650" s="263" t="s">
        <v>2460</v>
      </c>
      <c r="E650" s="263" t="s">
        <v>2526</v>
      </c>
      <c r="F650" s="263">
        <v>2</v>
      </c>
      <c r="G650" s="264" t="str">
        <f>'Dry_Litterbag Placem_Collection'!C211</f>
        <v>Wet_P1_CG2</v>
      </c>
      <c r="H650" s="273" t="s">
        <v>3651</v>
      </c>
      <c r="I650" s="266" t="s">
        <v>1147</v>
      </c>
      <c r="J650" s="223" t="str">
        <f>'WetLitterbags placem_collection'!O211</f>
        <v>G637</v>
      </c>
      <c r="K650" s="225">
        <f>IFERROR(INDEX('Green_rooibos initial weight'!$C$5:$C$1749,MATCH(J650, 'Green_rooibos initial weight'!$A$5:$A$1749,0)),"")</f>
        <v>2.1110000000000002</v>
      </c>
      <c r="L650" s="225">
        <f>IFERROR(K650-(TBIcalc!$H$9+TBIcalc!$H$10),"")</f>
        <v>1.8612000000000002</v>
      </c>
      <c r="M650" s="391">
        <f>AVERAGE(Ashed_controlls!$K$2:$K$11)</f>
        <v>5.5147656768714146</v>
      </c>
      <c r="N650" s="225">
        <f t="shared" si="54"/>
        <v>1.7585591812220693</v>
      </c>
      <c r="O650" s="225">
        <f>IF(IFERROR(INDEX('Both teabags AfterWet'!$C$3:$C$841,MATCH(J650,'Both teabags AfterWet'!$A$3:$A$841,0)),"")="","",(IFERROR(INDEX('Both teabags AfterWet'!$C$3:$C$841,MATCH(J650,'Both teabags AfterWet'!$A$3:$A$841,0)),"")))</f>
        <v>0.86399999999999999</v>
      </c>
      <c r="P650" s="225">
        <f>IFERROR(IF(O650&gt;0,O650-(TBIcalc!$H$9),""),"")</f>
        <v>0.71340000000000003</v>
      </c>
      <c r="Q650" s="225">
        <f>IFERROR(INDEX('Ashed teabags wet'!$K$2:$K$821,MATCH(J650,'Ashed teabags wet'!$A$2:$A$821,0)),"")</f>
        <v>17.471937530502561</v>
      </c>
      <c r="R650" s="225">
        <f t="shared" si="52"/>
        <v>0.5887551976573947</v>
      </c>
      <c r="S650" s="226">
        <f>'WetLitterbags placem_collection'!E211</f>
        <v>42769</v>
      </c>
      <c r="T650" s="226">
        <f>IF('WetLitterbags placem_collection'!G211="","",'WetLitterbags placem_collection'!G211)</f>
        <v>42814</v>
      </c>
      <c r="U650" s="227">
        <f t="shared" si="53"/>
        <v>45</v>
      </c>
      <c r="V650" s="225">
        <f t="shared" si="55"/>
        <v>1.1478000000000002</v>
      </c>
      <c r="W650" s="225">
        <f t="shared" si="56"/>
        <v>1.1698039835646745</v>
      </c>
      <c r="X650">
        <f>IFERROR(INDEX(Rainfall_Wet!$O$2:$O$217,MATCH(B650, Rainfall_Wet!$A$2:$A$217,0)),"")</f>
        <v>175.377105089</v>
      </c>
      <c r="Y650" s="231">
        <v>31.214836424255054</v>
      </c>
      <c r="Z650" s="231">
        <v>11.377370285476141</v>
      </c>
      <c r="AA650" s="231">
        <v>57.407793290268799</v>
      </c>
      <c r="AB650" s="232" t="s">
        <v>2670</v>
      </c>
      <c r="AC650" s="231">
        <v>1.7337604731394776</v>
      </c>
      <c r="AD650">
        <f>IF('WetLitterbags placem_collection'!AB211="","",'WetLitterbags placem_collection'!AB211)</f>
        <v>5.13</v>
      </c>
      <c r="AE650">
        <f>IF('WetLitterbags placem_collection'!Z211="","",'WetLitterbags placem_collection'!Z211)</f>
        <v>5.13</v>
      </c>
      <c r="AF650" s="246" t="str">
        <f>IF('WetLitterbags placem_collection'!AA211="","",'WetLitterbags placem_collection'!AA211)</f>
        <v>O</v>
      </c>
      <c r="AG650">
        <f>IF('WetLitterbags placem_collection'!AC211="","",'WetLitterbags placem_collection'!AC211)</f>
        <v>1</v>
      </c>
      <c r="AH650" s="240">
        <f>AVERAGE('WetLitterbags placem_collection'!S211,'WetLitterbags placem_collection'!U211)</f>
        <v>24.5</v>
      </c>
      <c r="AI650">
        <f>AVERAGE('WetLitterbags placem_collection'!R211,'WetLitterbags placem_collection'!T211)</f>
        <v>24.4</v>
      </c>
      <c r="AJ650">
        <v>-2.4396450349999999</v>
      </c>
      <c r="AK650">
        <v>34.83836599</v>
      </c>
      <c r="AL650" t="str">
        <f>IF(ISNUMBER(SEARCH("C", 'WetLitterbags placem_collection'!X211)),"YES","NO")</f>
        <v>YES</v>
      </c>
      <c r="AM650" t="str">
        <f>IF(ISNUMBER(SEARCH("H", 'WetLitterbags placem_collection'!X211)),"YES","NO")</f>
        <v>NO</v>
      </c>
      <c r="AN650" t="str">
        <f>IF(ISNUMBER(SEARCH("R", 'WetLitterbags placem_collection'!X211)),"YES","NO")</f>
        <v>YES</v>
      </c>
    </row>
    <row r="651" spans="1:40" ht="15" customHeight="1">
      <c r="A651" s="258" t="s">
        <v>2460</v>
      </c>
      <c r="B651" s="263">
        <f>'Dry_Litterbag Placem_Collection'!A212</f>
        <v>210</v>
      </c>
      <c r="C651" s="263" t="str">
        <f>'Dry_Litterbag Placem_Collection'!B212</f>
        <v xml:space="preserve">Mwantimba
</v>
      </c>
      <c r="D651" s="263" t="s">
        <v>2460</v>
      </c>
      <c r="E651" s="263" t="s">
        <v>2526</v>
      </c>
      <c r="F651" s="263">
        <v>4</v>
      </c>
      <c r="G651" s="264" t="str">
        <f>'Dry_Litterbag Placem_Collection'!C212</f>
        <v>Wet_P2_CG4</v>
      </c>
      <c r="H651" s="273" t="s">
        <v>3651</v>
      </c>
      <c r="I651" s="266" t="s">
        <v>1147</v>
      </c>
      <c r="J651" s="223" t="str">
        <f>'WetLitterbags placem_collection'!O212</f>
        <v>G720</v>
      </c>
      <c r="K651" s="225">
        <f>IFERROR(INDEX('Green_rooibos initial weight'!$C$5:$C$1749,MATCH(J651, 'Green_rooibos initial weight'!$A$5:$A$1749,0)),"")</f>
        <v>2.0350000000000001</v>
      </c>
      <c r="L651" s="225">
        <f>IFERROR(K651-(TBIcalc!$H$9+TBIcalc!$H$10),"")</f>
        <v>1.7852000000000001</v>
      </c>
      <c r="M651" s="391">
        <f>AVERAGE(Ashed_controlls!$K$2:$K$11)</f>
        <v>5.5147656768714146</v>
      </c>
      <c r="N651" s="225">
        <f t="shared" si="54"/>
        <v>1.6867504031364917</v>
      </c>
      <c r="O651" s="225">
        <f>IF(IFERROR(INDEX('Both teabags AfterWet'!$C$3:$C$841,MATCH(J651,'Both teabags AfterWet'!$A$3:$A$841,0)),"")="","",(IFERROR(INDEX('Both teabags AfterWet'!$C$3:$C$841,MATCH(J651,'Both teabags AfterWet'!$A$3:$A$841,0)),"")))</f>
        <v>0.72160000000000002</v>
      </c>
      <c r="P651" s="225">
        <f>IFERROR(IF(O651&gt;0,O651-(TBIcalc!$H$9),""),"")</f>
        <v>0.57099999999999995</v>
      </c>
      <c r="Q651" s="225">
        <f>IFERROR(INDEX('Ashed teabags wet'!$K$2:$K$821,MATCH(J651,'Ashed teabags wet'!$A$2:$A$821,0)),"")</f>
        <v>16.057692307692367</v>
      </c>
      <c r="R651" s="225">
        <f t="shared" ref="R651:R714" si="57">IFERROR(P651-(Q651/100)*P651,"")</f>
        <v>0.47931057692307655</v>
      </c>
      <c r="S651" s="226">
        <f>'WetLitterbags placem_collection'!E212</f>
        <v>42769</v>
      </c>
      <c r="T651" s="226">
        <f>IF('WetLitterbags placem_collection'!G212="","",'WetLitterbags placem_collection'!G212)</f>
        <v>42813</v>
      </c>
      <c r="U651" s="227">
        <f t="shared" si="53"/>
        <v>44</v>
      </c>
      <c r="V651" s="225">
        <f t="shared" si="55"/>
        <v>1.2142000000000002</v>
      </c>
      <c r="W651" s="225">
        <f t="shared" si="56"/>
        <v>1.2074398262134152</v>
      </c>
      <c r="X651">
        <f>IFERROR(INDEX(Rainfall_Wet!$O$2:$O$217,MATCH(B651, Rainfall_Wet!$A$2:$A$217,0)),"")</f>
        <v>175.054685654</v>
      </c>
      <c r="Y651" s="231">
        <v>33.96</v>
      </c>
      <c r="Z651" s="231">
        <v>8.9200000000000017</v>
      </c>
      <c r="AA651" s="231">
        <v>57.12</v>
      </c>
      <c r="AB651" s="232" t="s">
        <v>2670</v>
      </c>
      <c r="AC651" s="231">
        <v>2.072055199605717</v>
      </c>
      <c r="AD651">
        <f>IF('WetLitterbags placem_collection'!AB212="","",'WetLitterbags placem_collection'!AB212)</f>
        <v>15.2</v>
      </c>
      <c r="AE651">
        <f>IF('WetLitterbags placem_collection'!Z212="","",'WetLitterbags placem_collection'!Z212)</f>
        <v>12.2</v>
      </c>
      <c r="AF651" s="246" t="str">
        <f>IF('WetLitterbags placem_collection'!AA212="","",'WetLitterbags placem_collection'!AA212)</f>
        <v>O</v>
      </c>
      <c r="AG651">
        <f>IF('WetLitterbags placem_collection'!AC212="","",'WetLitterbags placem_collection'!AC212)</f>
        <v>1</v>
      </c>
      <c r="AH651" s="240">
        <f>AVERAGE('WetLitterbags placem_collection'!S212,'WetLitterbags placem_collection'!U212)</f>
        <v>22.4</v>
      </c>
      <c r="AI651">
        <f>AVERAGE('WetLitterbags placem_collection'!R212,'WetLitterbags placem_collection'!T212)</f>
        <v>28.400000000000002</v>
      </c>
      <c r="AJ651">
        <v>-2.4396949910000001</v>
      </c>
      <c r="AK651">
        <v>34.838574029999997</v>
      </c>
      <c r="AL651" t="str">
        <f>IF(ISNUMBER(SEARCH("C", 'WetLitterbags placem_collection'!X212)),"YES","NO")</f>
        <v>NO</v>
      </c>
      <c r="AM651" t="str">
        <f>IF(ISNUMBER(SEARCH("H", 'WetLitterbags placem_collection'!X212)),"YES","NO")</f>
        <v>NO</v>
      </c>
      <c r="AN651" t="str">
        <f>IF(ISNUMBER(SEARCH("R", 'WetLitterbags placem_collection'!X212)),"YES","NO")</f>
        <v>YES</v>
      </c>
    </row>
    <row r="652" spans="1:40" ht="15" customHeight="1">
      <c r="A652" s="258" t="s">
        <v>2460</v>
      </c>
      <c r="B652" s="263">
        <f>'Dry_Litterbag Placem_Collection'!A213</f>
        <v>211</v>
      </c>
      <c r="C652" s="263" t="str">
        <f>'Dry_Litterbag Placem_Collection'!B213</f>
        <v xml:space="preserve">Mwantimba
</v>
      </c>
      <c r="D652" s="263" t="s">
        <v>2460</v>
      </c>
      <c r="E652" s="263" t="s">
        <v>2526</v>
      </c>
      <c r="F652" s="263">
        <v>1</v>
      </c>
      <c r="G652" s="264" t="str">
        <f>'Dry_Litterbag Placem_Collection'!C213</f>
        <v>Wet_P3_CG1</v>
      </c>
      <c r="H652" s="273" t="s">
        <v>3651</v>
      </c>
      <c r="I652" s="266" t="s">
        <v>1147</v>
      </c>
      <c r="J652" s="223" t="str">
        <f>'WetLitterbags placem_collection'!O213</f>
        <v>G796</v>
      </c>
      <c r="K652" s="225">
        <f>IFERROR(INDEX('Green_rooibos initial weight'!$C$5:$C$1749,MATCH(J652, 'Green_rooibos initial weight'!$A$5:$A$1749,0)),"")</f>
        <v>2.1070000000000002</v>
      </c>
      <c r="L652" s="225">
        <f>IFERROR(K652-(TBIcalc!$H$9+TBIcalc!$H$10),"")</f>
        <v>1.8572000000000002</v>
      </c>
      <c r="M652" s="391">
        <f>AVERAGE(Ashed_controlls!$K$2:$K$11)</f>
        <v>5.5147656768714146</v>
      </c>
      <c r="N652" s="225">
        <f t="shared" si="54"/>
        <v>1.7547797718491442</v>
      </c>
      <c r="O652" s="225">
        <f>IF(IFERROR(INDEX('Both teabags AfterWet'!$C$3:$C$841,MATCH(J652,'Both teabags AfterWet'!$A$3:$A$841,0)),"")="","",(IFERROR(INDEX('Both teabags AfterWet'!$C$3:$C$841,MATCH(J652,'Both teabags AfterWet'!$A$3:$A$841,0)),"")))</f>
        <v>0.67200000000000004</v>
      </c>
      <c r="P652" s="225">
        <f>IFERROR(IF(O652&gt;0,O652-(TBIcalc!$H$9),""),"")</f>
        <v>0.52140000000000009</v>
      </c>
      <c r="Q652" s="225">
        <f>IFERROR(INDEX('Ashed teabags wet'!$K$2:$K$821,MATCH(J652,'Ashed teabags wet'!$A$2:$A$821,0)),"")</f>
        <v>40.67127344521198</v>
      </c>
      <c r="R652" s="225">
        <f t="shared" si="57"/>
        <v>0.30933998025666476</v>
      </c>
      <c r="S652" s="226">
        <f>'WetLitterbags placem_collection'!E213</f>
        <v>42769</v>
      </c>
      <c r="T652" s="226">
        <f>IF('WetLitterbags placem_collection'!G213="","",'WetLitterbags placem_collection'!G213)</f>
        <v>42814</v>
      </c>
      <c r="U652" s="227">
        <f t="shared" si="53"/>
        <v>45</v>
      </c>
      <c r="V652" s="225">
        <f t="shared" si="55"/>
        <v>1.3358000000000001</v>
      </c>
      <c r="W652" s="225">
        <f t="shared" si="56"/>
        <v>1.4454397915924795</v>
      </c>
      <c r="X652">
        <f>IFERROR(INDEX(Rainfall_Wet!$O$2:$O$217,MATCH(B652, Rainfall_Wet!$A$2:$A$217,0)),"")</f>
        <v>175.377105089</v>
      </c>
      <c r="Y652" s="231">
        <v>39.96</v>
      </c>
      <c r="Z652" s="231">
        <v>12.920000000000002</v>
      </c>
      <c r="AA652" s="231">
        <v>47.12</v>
      </c>
      <c r="AB652" s="232" t="s">
        <v>2674</v>
      </c>
      <c r="AC652" s="231">
        <v>1.6549531789058647</v>
      </c>
      <c r="AD652">
        <f>IF('WetLitterbags placem_collection'!AB213="","",'WetLitterbags placem_collection'!AB213)</f>
        <v>13.8</v>
      </c>
      <c r="AE652">
        <f>IF('WetLitterbags placem_collection'!Z213="","",'WetLitterbags placem_collection'!Z213)</f>
        <v>17.399999999999999</v>
      </c>
      <c r="AF652" s="246" t="str">
        <f>IF('WetLitterbags placem_collection'!AA213="","",'WetLitterbags placem_collection'!AA213)</f>
        <v>O</v>
      </c>
      <c r="AG652">
        <f>IF('WetLitterbags placem_collection'!AC213="","",'WetLitterbags placem_collection'!AC213)</f>
        <v>1</v>
      </c>
      <c r="AH652" s="240">
        <f>AVERAGE('WetLitterbags placem_collection'!S213,'WetLitterbags placem_collection'!U213)</f>
        <v>16.850000000000001</v>
      </c>
      <c r="AI652">
        <f>AVERAGE('WetLitterbags placem_collection'!R213,'WetLitterbags placem_collection'!T213)</f>
        <v>23.95</v>
      </c>
      <c r="AJ652">
        <v>-2.439403972</v>
      </c>
      <c r="AK652">
        <v>34.838404959999998</v>
      </c>
      <c r="AL652" t="str">
        <f>IF(ISNUMBER(SEARCH("C", 'WetLitterbags placem_collection'!X213)),"YES","NO")</f>
        <v>NO</v>
      </c>
      <c r="AM652" t="str">
        <f>IF(ISNUMBER(SEARCH("H", 'WetLitterbags placem_collection'!X213)),"YES","NO")</f>
        <v>NO</v>
      </c>
      <c r="AN652" t="str">
        <f>IF(ISNUMBER(SEARCH("R", 'WetLitterbags placem_collection'!X213)),"YES","NO")</f>
        <v>YES</v>
      </c>
    </row>
    <row r="653" spans="1:40" ht="15" customHeight="1">
      <c r="A653" s="258" t="s">
        <v>2460</v>
      </c>
      <c r="B653" s="263">
        <f>'Dry_Litterbag Placem_Collection'!A214</f>
        <v>215</v>
      </c>
      <c r="C653" s="263" t="str">
        <f>'Dry_Litterbag Placem_Collection'!B214</f>
        <v xml:space="preserve">Mwantimba
</v>
      </c>
      <c r="D653" s="263" t="s">
        <v>2460</v>
      </c>
      <c r="E653" s="263" t="s">
        <v>2526</v>
      </c>
      <c r="F653" s="263">
        <v>3</v>
      </c>
      <c r="G653" s="264" t="str">
        <f>'Dry_Litterbag Placem_Collection'!C214</f>
        <v>Wet_W3_CG1</v>
      </c>
      <c r="H653" s="273" t="s">
        <v>3651</v>
      </c>
      <c r="I653" s="266" t="s">
        <v>1147</v>
      </c>
      <c r="J653" s="223" t="str">
        <f>'WetLitterbags placem_collection'!O214</f>
        <v>G560</v>
      </c>
      <c r="K653" s="225">
        <f>IFERROR(INDEX('Green_rooibos initial weight'!$C$5:$C$1749,MATCH(J653, 'Green_rooibos initial weight'!$A$5:$A$1749,0)),"")</f>
        <v>2.1219999999999999</v>
      </c>
      <c r="L653" s="225">
        <f>IFERROR(K653-(TBIcalc!$H$9+TBIcalc!$H$10),"")</f>
        <v>1.8721999999999999</v>
      </c>
      <c r="M653" s="391">
        <f>AVERAGE(Ashed_controlls!$K$2:$K$11)</f>
        <v>5.5147656768714146</v>
      </c>
      <c r="N653" s="225">
        <f t="shared" si="54"/>
        <v>1.7689525569976132</v>
      </c>
      <c r="O653" s="225">
        <f>IF(IFERROR(INDEX('Both teabags AfterWet'!$C$3:$C$841,MATCH(J653,'Both teabags AfterWet'!$A$3:$A$841,0)),"")="","",(IFERROR(INDEX('Both teabags AfterWet'!$C$3:$C$841,MATCH(J653,'Both teabags AfterWet'!$A$3:$A$841,0)),"")))</f>
        <v>1.4097999999999999</v>
      </c>
      <c r="P653" s="225">
        <f>IFERROR(IF(O653&gt;0,O653-(TBIcalc!$H$9),""),"")</f>
        <v>1.2591999999999999</v>
      </c>
      <c r="Q653" s="225">
        <f>IFERROR(INDEX('Ashed teabags wet'!$K$2:$K$821,MATCH(J653,'Ashed teabags wet'!$A$2:$A$821,0)),"")</f>
        <v>39.082656473960213</v>
      </c>
      <c r="R653" s="225">
        <f t="shared" si="57"/>
        <v>0.76707118967989296</v>
      </c>
      <c r="S653" s="226">
        <f>'WetLitterbags placem_collection'!E214</f>
        <v>42769</v>
      </c>
      <c r="T653" s="226">
        <f>IF('WetLitterbags placem_collection'!G214="","",'WetLitterbags placem_collection'!G214)</f>
        <v>42813</v>
      </c>
      <c r="U653" s="227">
        <f t="shared" si="53"/>
        <v>44</v>
      </c>
      <c r="V653" s="225">
        <f t="shared" si="55"/>
        <v>0.61299999999999999</v>
      </c>
      <c r="W653" s="225">
        <f t="shared" si="56"/>
        <v>1.0018813673177203</v>
      </c>
      <c r="X653">
        <f>IFERROR(INDEX(Rainfall_Wet!$O$2:$O$217,MATCH(B653, Rainfall_Wet!$A$2:$A$217,0)),"")</f>
        <v>175.377105089</v>
      </c>
      <c r="Y653" s="231">
        <v>27.96</v>
      </c>
      <c r="Z653" s="231">
        <v>4.9200000000000017</v>
      </c>
      <c r="AA653" s="231">
        <v>67.12</v>
      </c>
      <c r="AB653" s="232" t="s">
        <v>2670</v>
      </c>
      <c r="AC653" s="231">
        <v>1.0437161163134547</v>
      </c>
      <c r="AD653">
        <f>IF('WetLitterbags placem_collection'!AB214="","",'WetLitterbags placem_collection'!AB214)</f>
        <v>7.9</v>
      </c>
      <c r="AE653">
        <f>IF('WetLitterbags placem_collection'!Z214="","",'WetLitterbags placem_collection'!Z214)</f>
        <v>7.9</v>
      </c>
      <c r="AF653" s="246" t="str">
        <f>IF('WetLitterbags placem_collection'!AA214="","",'WetLitterbags placem_collection'!AA214)</f>
        <v>O</v>
      </c>
      <c r="AG653">
        <f>IF('WetLitterbags placem_collection'!AC214="","",'WetLitterbags placem_collection'!AC214)</f>
        <v>1</v>
      </c>
      <c r="AH653" s="240">
        <f>AVERAGE('WetLitterbags placem_collection'!S214,'WetLitterbags placem_collection'!U214)</f>
        <v>22.45</v>
      </c>
      <c r="AI653">
        <f>AVERAGE('WetLitterbags placem_collection'!R214,'WetLitterbags placem_collection'!T214)</f>
        <v>27.450000000000003</v>
      </c>
      <c r="AJ653">
        <v>-2.4395990190000001</v>
      </c>
      <c r="AK653">
        <v>34.838418959999998</v>
      </c>
      <c r="AL653" t="str">
        <f>IF(ISNUMBER(SEARCH("C", 'WetLitterbags placem_collection'!X214)),"YES","NO")</f>
        <v>NO</v>
      </c>
      <c r="AM653" t="str">
        <f>IF(ISNUMBER(SEARCH("H", 'WetLitterbags placem_collection'!X214)),"YES","NO")</f>
        <v>NO</v>
      </c>
      <c r="AN653" t="str">
        <f>IF(ISNUMBER(SEARCH("R", 'WetLitterbags placem_collection'!X214)),"YES","NO")</f>
        <v>YES</v>
      </c>
    </row>
    <row r="654" spans="1:40" ht="15" customHeight="1">
      <c r="A654" s="258" t="s">
        <v>2460</v>
      </c>
      <c r="B654" s="263">
        <f>'Dry_Litterbag Placem_Collection'!A215</f>
        <v>212</v>
      </c>
      <c r="C654" s="263" t="str">
        <f>'Dry_Litterbag Placem_Collection'!B215</f>
        <v xml:space="preserve">Mwantimba
</v>
      </c>
      <c r="D654" s="263" t="s">
        <v>2460</v>
      </c>
      <c r="E654" s="263" t="s">
        <v>2526</v>
      </c>
      <c r="F654" s="263">
        <v>4</v>
      </c>
      <c r="G654" s="264" t="str">
        <f>'Dry_Litterbag Placem_Collection'!C215</f>
        <v>Wet_P4_CG3</v>
      </c>
      <c r="H654" s="273" t="s">
        <v>3651</v>
      </c>
      <c r="I654" s="266" t="s">
        <v>1147</v>
      </c>
      <c r="J654" s="223" t="str">
        <f>'WetLitterbags placem_collection'!O215</f>
        <v>G716</v>
      </c>
      <c r="K654" s="225">
        <f>IFERROR(INDEX('Green_rooibos initial weight'!$C$5:$C$1749,MATCH(J654, 'Green_rooibos initial weight'!$A$5:$A$1749,0)),"")</f>
        <v>2.117</v>
      </c>
      <c r="L654" s="225">
        <f>IFERROR(K654-(TBIcalc!$H$9+TBIcalc!$H$10),"")</f>
        <v>1.8672</v>
      </c>
      <c r="M654" s="391">
        <f>AVERAGE(Ashed_controlls!$K$2:$K$11)</f>
        <v>5.5147656768714146</v>
      </c>
      <c r="N654" s="225">
        <f t="shared" si="54"/>
        <v>1.764228295281457</v>
      </c>
      <c r="O654" s="225">
        <f>IF(IFERROR(INDEX('Both teabags AfterWet'!$C$3:$C$841,MATCH(J654,'Both teabags AfterWet'!$A$3:$A$841,0)),"")="","",(IFERROR(INDEX('Both teabags AfterWet'!$C$3:$C$841,MATCH(J654,'Both teabags AfterWet'!$A$3:$A$841,0)),"")))</f>
        <v>0.83</v>
      </c>
      <c r="P654" s="225">
        <f>IFERROR(IF(O654&gt;0,O654-(TBIcalc!$H$9),""),"")</f>
        <v>0.6794</v>
      </c>
      <c r="Q654" s="225">
        <f>IFERROR(INDEX('Ashed teabags wet'!$K$2:$K$821,MATCH(J654,'Ashed teabags wet'!$A$2:$A$821,0)),"")</f>
        <v>8.2922013820333618</v>
      </c>
      <c r="R654" s="225">
        <f t="shared" si="57"/>
        <v>0.62306278381046531</v>
      </c>
      <c r="S654" s="226">
        <f>'WetLitterbags placem_collection'!E215</f>
        <v>42769</v>
      </c>
      <c r="T654" s="226">
        <f>IF('WetLitterbags placem_collection'!G215="","",'WetLitterbags placem_collection'!G215)</f>
        <v>42813</v>
      </c>
      <c r="U654" s="227">
        <f t="shared" si="53"/>
        <v>44</v>
      </c>
      <c r="V654" s="225">
        <f t="shared" si="55"/>
        <v>1.1878</v>
      </c>
      <c r="W654" s="225">
        <f t="shared" si="56"/>
        <v>1.1411655114709918</v>
      </c>
      <c r="X654">
        <f>IFERROR(INDEX(Rainfall_Wet!$O$2:$O$217,MATCH(B654, Rainfall_Wet!$A$2:$A$217,0)),"")</f>
        <v>175.054685654</v>
      </c>
      <c r="Y654" s="231">
        <v>21.96</v>
      </c>
      <c r="Z654" s="231">
        <v>4.9199999999999982</v>
      </c>
      <c r="AA654" s="231">
        <v>73.12</v>
      </c>
      <c r="AB654" s="232" t="s">
        <v>2670</v>
      </c>
      <c r="AC654" s="231">
        <v>1.2416954164613114</v>
      </c>
      <c r="AD654">
        <f>IF('WetLitterbags placem_collection'!AB215="","",'WetLitterbags placem_collection'!AB215)</f>
        <v>15.2</v>
      </c>
      <c r="AE654">
        <f>IF('WetLitterbags placem_collection'!Z215="","",'WetLitterbags placem_collection'!Z215)</f>
        <v>12.2</v>
      </c>
      <c r="AF654" s="246" t="str">
        <f>IF('WetLitterbags placem_collection'!AA215="","",'WetLitterbags placem_collection'!AA215)</f>
        <v>O</v>
      </c>
      <c r="AG654">
        <f>IF('WetLitterbags placem_collection'!AC215="","",'WetLitterbags placem_collection'!AC215)</f>
        <v>1</v>
      </c>
      <c r="AH654" s="240">
        <f>AVERAGE('WetLitterbags placem_collection'!S215,'WetLitterbags placem_collection'!U215)</f>
        <v>19.75</v>
      </c>
      <c r="AI654">
        <f>AVERAGE('WetLitterbags placem_collection'!R215,'WetLitterbags placem_collection'!T215)</f>
        <v>28.15</v>
      </c>
      <c r="AJ654">
        <v>-2.4396949910000001</v>
      </c>
      <c r="AK654">
        <v>34.838574029999997</v>
      </c>
      <c r="AL654" t="str">
        <f>IF(ISNUMBER(SEARCH("C", 'WetLitterbags placem_collection'!X215)),"YES","NO")</f>
        <v>NO</v>
      </c>
      <c r="AM654" t="str">
        <f>IF(ISNUMBER(SEARCH("H", 'WetLitterbags placem_collection'!X215)),"YES","NO")</f>
        <v>NO</v>
      </c>
      <c r="AN654" t="str">
        <f>IF(ISNUMBER(SEARCH("R", 'WetLitterbags placem_collection'!X215)),"YES","NO")</f>
        <v>YES</v>
      </c>
    </row>
    <row r="655" spans="1:40" ht="15" customHeight="1">
      <c r="A655" s="258" t="s">
        <v>2460</v>
      </c>
      <c r="B655" s="263">
        <f>'Dry_Litterbag Placem_Collection'!A216</f>
        <v>213</v>
      </c>
      <c r="C655" s="263" t="str">
        <f>'Dry_Litterbag Placem_Collection'!B216</f>
        <v>Handajega</v>
      </c>
      <c r="D655" s="263" t="s">
        <v>2460</v>
      </c>
      <c r="E655" s="263" t="s">
        <v>2526</v>
      </c>
      <c r="F655" s="263">
        <v>3</v>
      </c>
      <c r="G655" s="264" t="str">
        <f>'Dry_Litterbag Placem_Collection'!C216</f>
        <v>Wet_W1_CG4</v>
      </c>
      <c r="H655" s="273" t="s">
        <v>3651</v>
      </c>
      <c r="I655" s="266" t="s">
        <v>1147</v>
      </c>
      <c r="J655" s="223" t="str">
        <f>'WetLitterbags placem_collection'!O216</f>
        <v>G581</v>
      </c>
      <c r="K655" s="225">
        <f>IFERROR(INDEX('Green_rooibos initial weight'!$C$5:$C$1749,MATCH(J655, 'Green_rooibos initial weight'!$A$5:$A$1749,0)),"")</f>
        <v>2.0070000000000001</v>
      </c>
      <c r="L655" s="225">
        <f>IFERROR(K655-(TBIcalc!$H$9+TBIcalc!$H$10),"")</f>
        <v>1.7572000000000001</v>
      </c>
      <c r="M655" s="391">
        <f>AVERAGE(Ashed_controlls!$K$2:$K$11)</f>
        <v>5.5147656768714146</v>
      </c>
      <c r="N655" s="225">
        <f t="shared" si="54"/>
        <v>1.6602945375260156</v>
      </c>
      <c r="O655" s="225">
        <f>IF(IFERROR(INDEX('Both teabags AfterWet'!$C$3:$C$841,MATCH(J655,'Both teabags AfterWet'!$A$3:$A$841,0)),"")="","",(IFERROR(INDEX('Both teabags AfterWet'!$C$3:$C$841,MATCH(J655,'Both teabags AfterWet'!$A$3:$A$841,0)),"")))</f>
        <v>0.63400000000000001</v>
      </c>
      <c r="P655" s="225">
        <f>IFERROR(IF(O655&gt;0,O655-(TBIcalc!$H$9),""),"")</f>
        <v>0.4834</v>
      </c>
      <c r="Q655" s="225">
        <f>IFERROR(INDEX('Ashed teabags wet'!$K$2:$K$821,MATCH(J655,'Ashed teabags wet'!$A$2:$A$821,0)),"")</f>
        <v>8.3576287657915547</v>
      </c>
      <c r="R655" s="225">
        <f t="shared" si="57"/>
        <v>0.44299922254616364</v>
      </c>
      <c r="S655" s="226">
        <f>'WetLitterbags placem_collection'!E216</f>
        <v>42769</v>
      </c>
      <c r="T655" s="226">
        <f>IF('WetLitterbags placem_collection'!G216="","",'WetLitterbags placem_collection'!G216)</f>
        <v>42813</v>
      </c>
      <c r="U655" s="227">
        <f t="shared" si="53"/>
        <v>44</v>
      </c>
      <c r="V655" s="225">
        <f t="shared" si="55"/>
        <v>1.2738</v>
      </c>
      <c r="W655" s="225">
        <f t="shared" si="56"/>
        <v>1.217295314979852</v>
      </c>
      <c r="X655">
        <f>IFERROR(INDEX(Rainfall_Wet!$O$2:$O$217,MATCH(B655, Rainfall_Wet!$A$2:$A$217,0)),"")</f>
        <v>175.054685654</v>
      </c>
      <c r="Y655" s="231">
        <v>23.96</v>
      </c>
      <c r="Z655" s="231">
        <v>4.9199999999999982</v>
      </c>
      <c r="AA655" s="231">
        <v>71.12</v>
      </c>
      <c r="AB655" s="232" t="s">
        <v>2670</v>
      </c>
      <c r="AC655" s="231">
        <v>3.30913750616067</v>
      </c>
      <c r="AD655">
        <f>IF('WetLitterbags placem_collection'!AB216="","",'WetLitterbags placem_collection'!AB216)</f>
        <v>7.9</v>
      </c>
      <c r="AE655">
        <f>IF('WetLitterbags placem_collection'!Z216="","",'WetLitterbags placem_collection'!Z216)</f>
        <v>7.9</v>
      </c>
      <c r="AF655" s="246" t="str">
        <f>IF('WetLitterbags placem_collection'!AA216="","",'WetLitterbags placem_collection'!AA216)</f>
        <v>O</v>
      </c>
      <c r="AG655">
        <f>IF('WetLitterbags placem_collection'!AC216="","",'WetLitterbags placem_collection'!AC216)</f>
        <v>1</v>
      </c>
      <c r="AH655" s="240">
        <f>AVERAGE('WetLitterbags placem_collection'!S216,'WetLitterbags placem_collection'!U216)</f>
        <v>19.45</v>
      </c>
      <c r="AI655">
        <f>AVERAGE('WetLitterbags placem_collection'!R216,'WetLitterbags placem_collection'!T216)</f>
        <v>29.200000000000003</v>
      </c>
      <c r="AJ655">
        <v>-2.4396949910000001</v>
      </c>
      <c r="AK655">
        <v>34.838574029999997</v>
      </c>
      <c r="AL655" t="str">
        <f>IF(ISNUMBER(SEARCH("C", 'WetLitterbags placem_collection'!X216)),"YES","NO")</f>
        <v>NO</v>
      </c>
      <c r="AM655" t="str">
        <f>IF(ISNUMBER(SEARCH("H", 'WetLitterbags placem_collection'!X216)),"YES","NO")</f>
        <v>NO</v>
      </c>
      <c r="AN655" t="str">
        <f>IF(ISNUMBER(SEARCH("R", 'WetLitterbags placem_collection'!X216)),"YES","NO")</f>
        <v>YES</v>
      </c>
    </row>
    <row r="656" spans="1:40" ht="15" customHeight="1">
      <c r="A656" s="258" t="s">
        <v>2460</v>
      </c>
      <c r="B656" s="263">
        <f>'Dry_Litterbag Placem_Collection'!A217</f>
        <v>214</v>
      </c>
      <c r="C656" s="263" t="str">
        <f>'Dry_Litterbag Placem_Collection'!B217</f>
        <v>Handajega</v>
      </c>
      <c r="D656" s="263" t="s">
        <v>2460</v>
      </c>
      <c r="E656" s="263" t="s">
        <v>2526</v>
      </c>
      <c r="F656" s="263">
        <v>1</v>
      </c>
      <c r="G656" s="264" t="str">
        <f>'Dry_Litterbag Placem_Collection'!C217</f>
        <v>Wet_W2_CG3</v>
      </c>
      <c r="H656" s="273" t="s">
        <v>3651</v>
      </c>
      <c r="I656" s="266" t="s">
        <v>1147</v>
      </c>
      <c r="J656" s="223" t="str">
        <f>'WetLitterbags placem_collection'!O217</f>
        <v>G718</v>
      </c>
      <c r="K656" s="225">
        <f>IFERROR(INDEX('Green_rooibos initial weight'!$C$5:$C$1749,MATCH(J656, 'Green_rooibos initial weight'!$A$5:$A$1749,0)),"")</f>
        <v>2.0369999999999999</v>
      </c>
      <c r="L656" s="225">
        <f>IFERROR(K656-(TBIcalc!$H$9+TBIcalc!$H$10),"")</f>
        <v>1.7871999999999999</v>
      </c>
      <c r="M656" s="391">
        <f>AVERAGE(Ashed_controlls!$K$2:$K$11)</f>
        <v>5.5147656768714146</v>
      </c>
      <c r="N656" s="225">
        <f t="shared" si="54"/>
        <v>1.688640107822954</v>
      </c>
      <c r="O656" s="225">
        <f>IF(IFERROR(INDEX('Both teabags AfterWet'!$C$3:$C$841,MATCH(J656,'Both teabags AfterWet'!$A$3:$A$841,0)),"")="","",(IFERROR(INDEX('Both teabags AfterWet'!$C$3:$C$841,MATCH(J656,'Both teabags AfterWet'!$A$3:$A$841,0)),"")))</f>
        <v>0.67769999999999997</v>
      </c>
      <c r="P656" s="225">
        <f>IFERROR(IF(O656&gt;0,O656-(TBIcalc!$H$9),""),"")</f>
        <v>0.5270999999999999</v>
      </c>
      <c r="Q656" s="225">
        <f>IFERROR(INDEX('Ashed teabags wet'!$K$2:$K$821,MATCH(J656,'Ashed teabags wet'!$A$2:$A$821,0)),"")</f>
        <v>7.2942336126168659</v>
      </c>
      <c r="R656" s="225">
        <f t="shared" si="57"/>
        <v>0.48865209462789638</v>
      </c>
      <c r="S656" s="226">
        <f>'WetLitterbags placem_collection'!E217</f>
        <v>42769</v>
      </c>
      <c r="T656" s="226">
        <f>IF('WetLitterbags placem_collection'!G217="","",'WetLitterbags placem_collection'!G217)</f>
        <v>42814</v>
      </c>
      <c r="U656" s="227">
        <f t="shared" si="53"/>
        <v>45</v>
      </c>
      <c r="V656" s="225">
        <f t="shared" si="55"/>
        <v>1.2601</v>
      </c>
      <c r="W656" s="225">
        <f t="shared" si="56"/>
        <v>1.1999880131950578</v>
      </c>
      <c r="X656">
        <f>IFERROR(INDEX(Rainfall_Wet!$O$2:$O$217,MATCH(B656, Rainfall_Wet!$A$2:$A$217,0)),"")</f>
        <v>175.054685654</v>
      </c>
      <c r="Y656" s="231">
        <v>25.96</v>
      </c>
      <c r="Z656" s="231">
        <v>8.9200000000000017</v>
      </c>
      <c r="AA656" s="231">
        <v>65.12</v>
      </c>
      <c r="AB656" s="232" t="s">
        <v>2670</v>
      </c>
      <c r="AC656" s="231">
        <v>1.614588467225234</v>
      </c>
      <c r="AD656">
        <f>IF('WetLitterbags placem_collection'!AB217="","",'WetLitterbags placem_collection'!AB217)</f>
        <v>13.8</v>
      </c>
      <c r="AE656">
        <f>IF('WetLitterbags placem_collection'!Z217="","",'WetLitterbags placem_collection'!Z217)</f>
        <v>17.399999999999999</v>
      </c>
      <c r="AF656" s="246" t="str">
        <f>IF('WetLitterbags placem_collection'!AA217="","",'WetLitterbags placem_collection'!AA217)</f>
        <v>O</v>
      </c>
      <c r="AG656">
        <f>IF('WetLitterbags placem_collection'!AC217="","",'WetLitterbags placem_collection'!AC217)</f>
        <v>1</v>
      </c>
      <c r="AH656" s="240">
        <f>AVERAGE('WetLitterbags placem_collection'!S217,'WetLitterbags placem_collection'!U217)</f>
        <v>20.3</v>
      </c>
      <c r="AI656">
        <f>AVERAGE('WetLitterbags placem_collection'!R217,'WetLitterbags placem_collection'!T217)</f>
        <v>26.25</v>
      </c>
      <c r="AJ656">
        <v>-2.439403972</v>
      </c>
      <c r="AK656">
        <v>34.838404959999998</v>
      </c>
      <c r="AL656" t="str">
        <f>IF(ISNUMBER(SEARCH("C", 'WetLitterbags placem_collection'!X217)),"YES","NO")</f>
        <v>NO</v>
      </c>
      <c r="AM656" t="str">
        <f>IF(ISNUMBER(SEARCH("H", 'WetLitterbags placem_collection'!X217)),"YES","NO")</f>
        <v>NO</v>
      </c>
      <c r="AN656" t="str">
        <f>IF(ISNUMBER(SEARCH("R", 'WetLitterbags placem_collection'!X217)),"YES","NO")</f>
        <v>YES</v>
      </c>
    </row>
    <row r="657" spans="1:40" ht="15" customHeight="1">
      <c r="A657" s="258" t="s">
        <v>2460</v>
      </c>
      <c r="B657" s="263">
        <f>'Dry_Litterbag Placem_Collection'!A218</f>
        <v>216</v>
      </c>
      <c r="C657" s="263" t="str">
        <f>'Dry_Litterbag Placem_Collection'!B218</f>
        <v>Handajega</v>
      </c>
      <c r="D657" s="263" t="s">
        <v>2460</v>
      </c>
      <c r="E657" s="263" t="s">
        <v>2526</v>
      </c>
      <c r="F657" s="263">
        <v>2</v>
      </c>
      <c r="G657" s="264" t="str">
        <f>'Dry_Litterbag Placem_Collection'!C218</f>
        <v>Wet_W4_CG2</v>
      </c>
      <c r="H657" s="273" t="s">
        <v>3651</v>
      </c>
      <c r="I657" s="266" t="s">
        <v>1147</v>
      </c>
      <c r="J657" s="223" t="str">
        <f>'WetLitterbags placem_collection'!O218</f>
        <v>G613</v>
      </c>
      <c r="K657" s="225">
        <f>IFERROR(INDEX('Green_rooibos initial weight'!$C$5:$C$1749,MATCH(J657, 'Green_rooibos initial weight'!$A$5:$A$1749,0)),"")</f>
        <v>2.0339999999999998</v>
      </c>
      <c r="L657" s="225">
        <f>IFERROR(K657-(TBIcalc!$H$9+TBIcalc!$H$10),"")</f>
        <v>1.7841999999999998</v>
      </c>
      <c r="M657" s="391">
        <f>AVERAGE(Ashed_controlls!$K$2:$K$11)</f>
        <v>5.5147656768714146</v>
      </c>
      <c r="N657" s="225">
        <f t="shared" si="54"/>
        <v>1.6858055507932601</v>
      </c>
      <c r="O657" s="225">
        <f>IF(IFERROR(INDEX('Both teabags AfterWet'!$C$3:$C$841,MATCH(J657,'Both teabags AfterWet'!$A$3:$A$841,0)),"")="","",(IFERROR(INDEX('Both teabags AfterWet'!$C$3:$C$841,MATCH(J657,'Both teabags AfterWet'!$A$3:$A$841,0)),"")))</f>
        <v>0.82499999999999996</v>
      </c>
      <c r="P657" s="225">
        <f>IFERROR(IF(O657&gt;0,O657-(TBIcalc!$H$9),""),"")</f>
        <v>0.67439999999999989</v>
      </c>
      <c r="Q657" s="225">
        <f>IFERROR(INDEX('Ashed teabags wet'!$K$2:$K$821,MATCH(J657,'Ashed teabags wet'!$A$2:$A$821,0)),"")</f>
        <v>7.3429951690818136</v>
      </c>
      <c r="R657" s="225">
        <f t="shared" si="57"/>
        <v>0.6248788405797121</v>
      </c>
      <c r="S657" s="226">
        <f>'WetLitterbags placem_collection'!E218</f>
        <v>42769</v>
      </c>
      <c r="T657" s="226">
        <f>IF('WetLitterbags placem_collection'!G218="","",'WetLitterbags placem_collection'!G218)</f>
        <v>42814</v>
      </c>
      <c r="U657" s="227">
        <f t="shared" si="53"/>
        <v>45</v>
      </c>
      <c r="V657" s="225">
        <f t="shared" si="55"/>
        <v>1.1097999999999999</v>
      </c>
      <c r="W657" s="225">
        <f t="shared" si="56"/>
        <v>1.060926710213548</v>
      </c>
      <c r="X657">
        <f>IFERROR(INDEX(Rainfall_Wet!$O$2:$O$217,MATCH(B657, Rainfall_Wet!$A$2:$A$217,0)),"")</f>
        <v>175.377105089</v>
      </c>
      <c r="Y657" s="231">
        <v>25.96</v>
      </c>
      <c r="Z657" s="231">
        <v>8.9200000000000017</v>
      </c>
      <c r="AA657" s="231">
        <v>65.12</v>
      </c>
      <c r="AB657" s="232" t="s">
        <v>2670</v>
      </c>
      <c r="AC657" s="231">
        <v>1.6991621488417901</v>
      </c>
      <c r="AD657">
        <f>IF('WetLitterbags placem_collection'!AB218="","",'WetLitterbags placem_collection'!AB218)</f>
        <v>5.13</v>
      </c>
      <c r="AE657">
        <f>IF('WetLitterbags placem_collection'!Z218="","",'WetLitterbags placem_collection'!Z218)</f>
        <v>5.13</v>
      </c>
      <c r="AF657" s="246" t="str">
        <f>IF('WetLitterbags placem_collection'!AA218="","",'WetLitterbags placem_collection'!AA218)</f>
        <v>O</v>
      </c>
      <c r="AG657">
        <f>IF('WetLitterbags placem_collection'!AC218="","",'WetLitterbags placem_collection'!AC218)</f>
        <v>1</v>
      </c>
      <c r="AH657" s="240">
        <f>AVERAGE('WetLitterbags placem_collection'!S218,'WetLitterbags placem_collection'!U218)</f>
        <v>20.65</v>
      </c>
      <c r="AI657">
        <f>AVERAGE('WetLitterbags placem_collection'!R218,'WetLitterbags placem_collection'!T218)</f>
        <v>25.05</v>
      </c>
      <c r="AJ657">
        <v>-2.4396450349999999</v>
      </c>
      <c r="AK657">
        <v>34.83836599</v>
      </c>
      <c r="AL657" t="str">
        <f>IF(ISNUMBER(SEARCH("C", 'WetLitterbags placem_collection'!X218)),"YES","NO")</f>
        <v>NO</v>
      </c>
      <c r="AM657" t="str">
        <f>IF(ISNUMBER(SEARCH("H", 'WetLitterbags placem_collection'!X218)),"YES","NO")</f>
        <v>NO</v>
      </c>
      <c r="AN657" t="str">
        <f>IF(ISNUMBER(SEARCH("R", 'WetLitterbags placem_collection'!X218)),"YES","NO")</f>
        <v>YES</v>
      </c>
    </row>
    <row r="658" spans="1:40" ht="15" customHeight="1">
      <c r="A658" s="258" t="s">
        <v>2460</v>
      </c>
      <c r="B658" s="263">
        <f>'Dry_Litterbag Placem_Collection'!A219</f>
        <v>217</v>
      </c>
      <c r="C658" s="263" t="str">
        <f>'Dry_Litterbag Placem_Collection'!B219</f>
        <v>Seronera</v>
      </c>
      <c r="D658" s="263" t="s">
        <v>2662</v>
      </c>
      <c r="E658" s="263" t="s">
        <v>2526</v>
      </c>
      <c r="F658" s="263">
        <v>1</v>
      </c>
      <c r="G658" s="264" t="str">
        <f>'Dry_Litterbag Placem_Collection'!C219</f>
        <v>Local1_CG1</v>
      </c>
      <c r="H658" s="273" t="s">
        <v>3651</v>
      </c>
      <c r="I658" s="266" t="s">
        <v>1147</v>
      </c>
      <c r="J658" s="223" t="str">
        <f>'WetLitterbags placem_collection'!O219</f>
        <v>G804</v>
      </c>
      <c r="K658" s="225">
        <f>IFERROR(INDEX('Green_rooibos initial weight'!$C$5:$C$1749,MATCH(J658, 'Green_rooibos initial weight'!$A$5:$A$1749,0)),"")</f>
        <v>2.028</v>
      </c>
      <c r="L658" s="225">
        <f>IFERROR(K658-(TBIcalc!$H$9+TBIcalc!$H$10),"")</f>
        <v>1.7782</v>
      </c>
      <c r="M658" s="391">
        <f>AVERAGE(Ashed_controlls!$K$2:$K$11)</f>
        <v>5.5147656768714146</v>
      </c>
      <c r="N658" s="225">
        <f t="shared" si="54"/>
        <v>1.6801364367338725</v>
      </c>
      <c r="O658" s="225">
        <f>IF(IFERROR(INDEX('Both teabags AfterWet'!$C$3:$C$841,MATCH(J658,'Both teabags AfterWet'!$A$3:$A$841,0)),"")="","",(IFERROR(INDEX('Both teabags AfterWet'!$C$3:$C$841,MATCH(J658,'Both teabags AfterWet'!$A$3:$A$841,0)),"")))</f>
        <v>0.66200000000000003</v>
      </c>
      <c r="P658" s="225">
        <f>IFERROR(IF(O658&gt;0,O658-(TBIcalc!$H$9),""),"")</f>
        <v>0.51140000000000008</v>
      </c>
      <c r="Q658" s="225">
        <f>IFERROR(INDEX('Ashed teabags wet'!$K$2:$K$821,MATCH(J658,'Ashed teabags wet'!$A$2:$A$821,0)),"")</f>
        <v>8.5770946950907749</v>
      </c>
      <c r="R658" s="225">
        <f t="shared" si="57"/>
        <v>0.46753673772930582</v>
      </c>
      <c r="S658" s="226">
        <f>'WetLitterbags placem_collection'!E219</f>
        <v>42769</v>
      </c>
      <c r="T658" s="226">
        <f>IF('WetLitterbags placem_collection'!G219="","",'WetLitterbags placem_collection'!G219)</f>
        <v>42814</v>
      </c>
      <c r="U658" s="227">
        <f t="shared" si="53"/>
        <v>45</v>
      </c>
      <c r="V658" s="225">
        <f t="shared" si="55"/>
        <v>1.2667999999999999</v>
      </c>
      <c r="W658" s="225">
        <f t="shared" si="56"/>
        <v>1.2125996990045667</v>
      </c>
      <c r="X658">
        <f>IFERROR(INDEX(Rainfall_Wet!$O$2:$O$217,MATCH(B658, Rainfall_Wet!$A$2:$A$217,0)),"")</f>
        <v>175.377105089</v>
      </c>
      <c r="Y658" s="231">
        <v>29.076539101497506</v>
      </c>
      <c r="Z658" s="231">
        <v>7.1963394342762079</v>
      </c>
      <c r="AA658" s="231">
        <v>63.727121464226286</v>
      </c>
      <c r="AB658" s="231" t="s">
        <v>2670</v>
      </c>
      <c r="AC658" s="231">
        <v>1.0994578610152781</v>
      </c>
      <c r="AD658">
        <f>IF('WetLitterbags placem_collection'!AB219="","",'WetLitterbags placem_collection'!AB219)</f>
        <v>13.8</v>
      </c>
      <c r="AE658">
        <f>IF('WetLitterbags placem_collection'!Z219="","",'WetLitterbags placem_collection'!Z219)</f>
        <v>17.399999999999999</v>
      </c>
      <c r="AF658" s="246" t="str">
        <f>IF('WetLitterbags placem_collection'!AA219="","",'WetLitterbags placem_collection'!AA219)</f>
        <v>O</v>
      </c>
      <c r="AG658">
        <f>IF('WetLitterbags placem_collection'!AC219="","",'WetLitterbags placem_collection'!AC219)</f>
        <v>1</v>
      </c>
      <c r="AH658" s="240">
        <f>AVERAGE('WetLitterbags placem_collection'!S219,'WetLitterbags placem_collection'!U219)</f>
        <v>20.049999999999997</v>
      </c>
      <c r="AI658">
        <f>AVERAGE('WetLitterbags placem_collection'!R219,'WetLitterbags placem_collection'!T219)</f>
        <v>25.5</v>
      </c>
      <c r="AJ658">
        <v>-2.439403972</v>
      </c>
      <c r="AK658">
        <v>34.838404959999998</v>
      </c>
      <c r="AL658" t="str">
        <f>IF(ISNUMBER(SEARCH("C", 'WetLitterbags placem_collection'!X219)),"YES","NO")</f>
        <v>NO</v>
      </c>
      <c r="AM658" t="str">
        <f>IF(ISNUMBER(SEARCH("H", 'WetLitterbags placem_collection'!X219)),"YES","NO")</f>
        <v>NO</v>
      </c>
      <c r="AN658" t="str">
        <f>IF(ISNUMBER(SEARCH("R", 'WetLitterbags placem_collection'!X219)),"YES","NO")</f>
        <v>YES</v>
      </c>
    </row>
    <row r="659" spans="1:40" ht="15" customHeight="1">
      <c r="A659" s="258" t="s">
        <v>2460</v>
      </c>
      <c r="B659" s="263">
        <f>'Dry_Litterbag Placem_Collection'!A220</f>
        <v>218</v>
      </c>
      <c r="C659" s="263" t="str">
        <f>'Dry_Litterbag Placem_Collection'!B220</f>
        <v>Seronera</v>
      </c>
      <c r="D659" s="263" t="s">
        <v>2662</v>
      </c>
      <c r="E659" s="263" t="s">
        <v>2526</v>
      </c>
      <c r="F659" s="263">
        <v>2</v>
      </c>
      <c r="G659" s="264" t="str">
        <f>'Dry_Litterbag Placem_Collection'!C220</f>
        <v>Local2_CG2</v>
      </c>
      <c r="H659" s="273" t="s">
        <v>3651</v>
      </c>
      <c r="I659" s="266" t="s">
        <v>1147</v>
      </c>
      <c r="J659" s="223" t="str">
        <f>'WetLitterbags placem_collection'!O220</f>
        <v>G587</v>
      </c>
      <c r="K659" s="225">
        <f>IFERROR(INDEX('Green_rooibos initial weight'!$C$5:$C$1749,MATCH(J659, 'Green_rooibos initial weight'!$A$5:$A$1749,0)),"")</f>
        <v>2.0640000000000001</v>
      </c>
      <c r="L659" s="225">
        <f>IFERROR(K659-(TBIcalc!$H$9+TBIcalc!$H$10),"")</f>
        <v>1.8142</v>
      </c>
      <c r="M659" s="391">
        <f>AVERAGE(Ashed_controlls!$K$2:$K$11)</f>
        <v>5.5147656768714146</v>
      </c>
      <c r="N659" s="225">
        <f t="shared" si="54"/>
        <v>1.7141511210901987</v>
      </c>
      <c r="O659" s="225">
        <f>IF(IFERROR(INDEX('Both teabags AfterWet'!$C$3:$C$841,MATCH(J659,'Both teabags AfterWet'!$A$3:$A$841,0)),"")="","",(IFERROR(INDEX('Both teabags AfterWet'!$C$3:$C$841,MATCH(J659,'Both teabags AfterWet'!$A$3:$A$841,0)),"")))</f>
        <v>0.7167</v>
      </c>
      <c r="P659" s="225">
        <f>IFERROR(IF(O659&gt;0,O659-(TBIcalc!$H$9),""),"")</f>
        <v>0.56610000000000005</v>
      </c>
      <c r="Q659" s="225">
        <f>IFERROR(INDEX('Ashed teabags wet'!$K$2:$K$821,MATCH(J659,'Ashed teabags wet'!$A$2:$A$821,0)),"")</f>
        <v>13.067061143984493</v>
      </c>
      <c r="R659" s="225">
        <f t="shared" si="57"/>
        <v>0.49212736686390379</v>
      </c>
      <c r="S659" s="226">
        <f>'WetLitterbags placem_collection'!E220</f>
        <v>42769</v>
      </c>
      <c r="T659" s="226">
        <f>IF('WetLitterbags placem_collection'!G220="","",'WetLitterbags placem_collection'!G220)</f>
        <v>42814</v>
      </c>
      <c r="U659" s="227">
        <f t="shared" si="53"/>
        <v>45</v>
      </c>
      <c r="V659" s="225">
        <f t="shared" si="55"/>
        <v>1.2481</v>
      </c>
      <c r="W659" s="225">
        <f t="shared" si="56"/>
        <v>1.2220237542262948</v>
      </c>
      <c r="X659">
        <f>IFERROR(INDEX(Rainfall_Wet!$O$2:$O$217,MATCH(B659, Rainfall_Wet!$A$2:$A$217,0)),"")</f>
        <v>175.377105089</v>
      </c>
      <c r="Y659" s="231">
        <v>21.072635135135137</v>
      </c>
      <c r="Z659" s="231">
        <v>7.3057432432432412</v>
      </c>
      <c r="AA659" s="231">
        <v>71.621621621621614</v>
      </c>
      <c r="AB659" s="231" t="s">
        <v>2670</v>
      </c>
      <c r="AC659" s="231">
        <v>1.4512074913750617</v>
      </c>
      <c r="AD659">
        <f>IF('WetLitterbags placem_collection'!AB220="","",'WetLitterbags placem_collection'!AB220)</f>
        <v>5.13</v>
      </c>
      <c r="AE659">
        <f>IF('WetLitterbags placem_collection'!Z220="","",'WetLitterbags placem_collection'!Z220)</f>
        <v>5.13</v>
      </c>
      <c r="AF659" s="246" t="str">
        <f>IF('WetLitterbags placem_collection'!AA220="","",'WetLitterbags placem_collection'!AA220)</f>
        <v>O</v>
      </c>
      <c r="AG659">
        <f>IF('WetLitterbags placem_collection'!AC220="","",'WetLitterbags placem_collection'!AC220)</f>
        <v>1</v>
      </c>
      <c r="AH659" s="240">
        <f>AVERAGE('WetLitterbags placem_collection'!S220,'WetLitterbags placem_collection'!U220)</f>
        <v>22.1</v>
      </c>
      <c r="AI659">
        <f>AVERAGE('WetLitterbags placem_collection'!R220,'WetLitterbags placem_collection'!T220)</f>
        <v>24.5</v>
      </c>
      <c r="AJ659">
        <v>-2.4396450349999999</v>
      </c>
      <c r="AK659">
        <v>34.83836599</v>
      </c>
      <c r="AL659" t="str">
        <f>IF(ISNUMBER(SEARCH("C", 'WetLitterbags placem_collection'!X220)),"YES","NO")</f>
        <v>NO</v>
      </c>
      <c r="AM659" t="str">
        <f>IF(ISNUMBER(SEARCH("H", 'WetLitterbags placem_collection'!X220)),"YES","NO")</f>
        <v>NO</v>
      </c>
      <c r="AN659" t="str">
        <f>IF(ISNUMBER(SEARCH("R", 'WetLitterbags placem_collection'!X220)),"YES","NO")</f>
        <v>YES</v>
      </c>
    </row>
    <row r="660" spans="1:40" ht="15" customHeight="1">
      <c r="A660" s="258" t="s">
        <v>2460</v>
      </c>
      <c r="B660" s="263">
        <f>'Dry_Litterbag Placem_Collection'!A221</f>
        <v>219</v>
      </c>
      <c r="C660" s="263" t="str">
        <f>'Dry_Litterbag Placem_Collection'!B221</f>
        <v>Seronera</v>
      </c>
      <c r="D660" s="263" t="s">
        <v>2662</v>
      </c>
      <c r="E660" s="263" t="s">
        <v>2526</v>
      </c>
      <c r="F660" s="263">
        <v>3</v>
      </c>
      <c r="G660" s="264" t="str">
        <f>'Dry_Litterbag Placem_Collection'!C221</f>
        <v>Local3_CG3</v>
      </c>
      <c r="H660" s="273" t="s">
        <v>3651</v>
      </c>
      <c r="I660" s="266" t="s">
        <v>1147</v>
      </c>
      <c r="J660" s="223" t="str">
        <f>'WetLitterbags placem_collection'!O221</f>
        <v>G491</v>
      </c>
      <c r="K660" s="225">
        <f>IFERROR(INDEX('Green_rooibos initial weight'!$C$5:$C$1749,MATCH(J660, 'Green_rooibos initial weight'!$A$5:$A$1749,0)),"")</f>
        <v>2.0249999999999999</v>
      </c>
      <c r="L660" s="225">
        <f>IFERROR(K660-(TBIcalc!$H$9+TBIcalc!$H$10),"")</f>
        <v>1.7751999999999999</v>
      </c>
      <c r="M660" s="391">
        <f>AVERAGE(Ashed_controlls!$K$2:$K$11)</f>
        <v>5.5147656768714146</v>
      </c>
      <c r="N660" s="225">
        <f t="shared" si="54"/>
        <v>1.6773018797041785</v>
      </c>
      <c r="O660" s="225">
        <f>IF(IFERROR(INDEX('Both teabags AfterWet'!$C$3:$C$841,MATCH(J660,'Both teabags AfterWet'!$A$3:$A$841,0)),"")="","",(IFERROR(INDEX('Both teabags AfterWet'!$C$3:$C$841,MATCH(J660,'Both teabags AfterWet'!$A$3:$A$841,0)),"")))</f>
        <v>0.65569999999999995</v>
      </c>
      <c r="P660" s="225">
        <f>IFERROR(IF(O660&gt;0,O660-(TBIcalc!$H$9),""),"")</f>
        <v>0.50509999999999988</v>
      </c>
      <c r="Q660" s="225">
        <f>IFERROR(INDEX('Ashed teabags wet'!$K$2:$K$821,MATCH(J660,'Ashed teabags wet'!$A$2:$A$821,0)),"")</f>
        <v>11.643835616438309</v>
      </c>
      <c r="R660" s="225">
        <f t="shared" si="57"/>
        <v>0.44628698630136998</v>
      </c>
      <c r="S660" s="226">
        <f>'WetLitterbags placem_collection'!E221</f>
        <v>42769</v>
      </c>
      <c r="T660" s="226">
        <f>IF('WetLitterbags placem_collection'!G221="","",'WetLitterbags placem_collection'!G221)</f>
        <v>42813</v>
      </c>
      <c r="U660" s="227">
        <f t="shared" si="53"/>
        <v>44</v>
      </c>
      <c r="V660" s="225">
        <f t="shared" si="55"/>
        <v>1.2701</v>
      </c>
      <c r="W660" s="225">
        <f t="shared" si="56"/>
        <v>1.2310148934028087</v>
      </c>
      <c r="X660">
        <f>IFERROR(INDEX(Rainfall_Wet!$O$2:$O$217,MATCH(B660, Rainfall_Wet!$A$2:$A$217,0)),"")</f>
        <v>175.054685654</v>
      </c>
      <c r="Y660" s="231">
        <v>21.96</v>
      </c>
      <c r="Z660" s="231">
        <v>4.9199999999999982</v>
      </c>
      <c r="AA660" s="231">
        <v>73.12</v>
      </c>
      <c r="AB660" s="231" t="s">
        <v>2670</v>
      </c>
      <c r="AC660" s="231">
        <v>1.4012321340561851</v>
      </c>
      <c r="AD660">
        <f>IF('WetLitterbags placem_collection'!AB221="","",'WetLitterbags placem_collection'!AB221)</f>
        <v>7.9</v>
      </c>
      <c r="AE660">
        <f>IF('WetLitterbags placem_collection'!Z221="","",'WetLitterbags placem_collection'!Z221)</f>
        <v>7.9</v>
      </c>
      <c r="AF660" s="246" t="str">
        <f>IF('WetLitterbags placem_collection'!AA221="","",'WetLitterbags placem_collection'!AA221)</f>
        <v>O</v>
      </c>
      <c r="AG660">
        <f>IF('WetLitterbags placem_collection'!AC221="","",'WetLitterbags placem_collection'!AC221)</f>
        <v>1</v>
      </c>
      <c r="AH660" s="240">
        <f>AVERAGE('WetLitterbags placem_collection'!S221,'WetLitterbags placem_collection'!U221)</f>
        <v>21.75</v>
      </c>
      <c r="AI660">
        <f>AVERAGE('WetLitterbags placem_collection'!R221,'WetLitterbags placem_collection'!T221)</f>
        <v>27.55</v>
      </c>
      <c r="AJ660">
        <v>-2.4395990190000001</v>
      </c>
      <c r="AK660">
        <v>34.838418959999998</v>
      </c>
      <c r="AL660" t="str">
        <f>IF(ISNUMBER(SEARCH("C", 'WetLitterbags placem_collection'!X221)),"YES","NO")</f>
        <v>NO</v>
      </c>
      <c r="AM660" t="str">
        <f>IF(ISNUMBER(SEARCH("H", 'WetLitterbags placem_collection'!X221)),"YES","NO")</f>
        <v>NO</v>
      </c>
      <c r="AN660" t="str">
        <f>IF(ISNUMBER(SEARCH("R", 'WetLitterbags placem_collection'!X221)),"YES","NO")</f>
        <v>YES</v>
      </c>
    </row>
    <row r="661" spans="1:40" ht="15" customHeight="1">
      <c r="A661" s="258" t="s">
        <v>2460</v>
      </c>
      <c r="B661" s="263">
        <f>'Dry_Litterbag Placem_Collection'!A222</f>
        <v>220</v>
      </c>
      <c r="C661" s="263" t="str">
        <f>'Dry_Litterbag Placem_Collection'!B222</f>
        <v>Seronera</v>
      </c>
      <c r="D661" s="263" t="s">
        <v>2662</v>
      </c>
      <c r="E661" s="263" t="s">
        <v>2526</v>
      </c>
      <c r="F661" s="263">
        <v>4</v>
      </c>
      <c r="G661" s="264" t="str">
        <f>'Dry_Litterbag Placem_Collection'!C222</f>
        <v>Local4_CG4</v>
      </c>
      <c r="H661" s="273" t="s">
        <v>3651</v>
      </c>
      <c r="I661" s="266" t="s">
        <v>1147</v>
      </c>
      <c r="J661" s="223" t="str">
        <f>'WetLitterbags placem_collection'!O222</f>
        <v>G849</v>
      </c>
      <c r="K661" s="225">
        <f>IFERROR(INDEX('Green_rooibos initial weight'!$C$5:$C$1749,MATCH(J661, 'Green_rooibos initial weight'!$A$5:$A$1749,0)),"")</f>
        <v>2.1070000000000002</v>
      </c>
      <c r="L661" s="225">
        <f>IFERROR(K661-(TBIcalc!$H$9+TBIcalc!$H$10),"")</f>
        <v>1.8572000000000002</v>
      </c>
      <c r="M661" s="391">
        <f>AVERAGE(Ashed_controlls!$K$2:$K$11)</f>
        <v>5.5147656768714146</v>
      </c>
      <c r="N661" s="225">
        <f t="shared" si="54"/>
        <v>1.7547797718491442</v>
      </c>
      <c r="O661" s="225">
        <f>IF(IFERROR(INDEX('Both teabags AfterWet'!$C$3:$C$841,MATCH(J661,'Both teabags AfterWet'!$A$3:$A$841,0)),"")="","",(IFERROR(INDEX('Both teabags AfterWet'!$C$3:$C$841,MATCH(J661,'Both teabags AfterWet'!$A$3:$A$841,0)),"")))</f>
        <v>0.65239999999999998</v>
      </c>
      <c r="P661" s="225">
        <f>IFERROR(IF(O661&gt;0,O661-(TBIcalc!$H$9),""),"")</f>
        <v>0.50180000000000002</v>
      </c>
      <c r="Q661" s="225">
        <f>IFERROR(INDEX('Ashed teabags wet'!$K$2:$K$821,MATCH(J661,'Ashed teabags wet'!$A$2:$A$821,0)),"")</f>
        <v>11.566979733070331</v>
      </c>
      <c r="R661" s="225">
        <f t="shared" si="57"/>
        <v>0.44375689569945309</v>
      </c>
      <c r="S661" s="226">
        <f>'WetLitterbags placem_collection'!E222</f>
        <v>42769</v>
      </c>
      <c r="T661" s="226">
        <f>IF('WetLitterbags placem_collection'!G222="","",'WetLitterbags placem_collection'!G222)</f>
        <v>42813</v>
      </c>
      <c r="U661" s="227">
        <f t="shared" si="53"/>
        <v>44</v>
      </c>
      <c r="V661" s="225">
        <f t="shared" si="55"/>
        <v>1.3554000000000002</v>
      </c>
      <c r="W661" s="225">
        <f t="shared" si="56"/>
        <v>1.3110228761496912</v>
      </c>
      <c r="X661">
        <f>IFERROR(INDEX(Rainfall_Wet!$O$2:$O$217,MATCH(B661, Rainfall_Wet!$A$2:$A$217,0)),"")</f>
        <v>175.054685654</v>
      </c>
      <c r="Y661" s="231">
        <v>15.960000000000003</v>
      </c>
      <c r="Z661" s="231">
        <v>6.9199999999999982</v>
      </c>
      <c r="AA661" s="231">
        <v>77.11999999999999</v>
      </c>
      <c r="AB661" s="231" t="s">
        <v>2671</v>
      </c>
      <c r="AC661" s="231">
        <v>0.60547067520946207</v>
      </c>
      <c r="AD661">
        <f>IF('WetLitterbags placem_collection'!AB222="","",'WetLitterbags placem_collection'!AB222)</f>
        <v>15.2</v>
      </c>
      <c r="AE661">
        <f>IF('WetLitterbags placem_collection'!Z222="","",'WetLitterbags placem_collection'!Z222)</f>
        <v>12.2</v>
      </c>
      <c r="AF661" s="246" t="str">
        <f>IF('WetLitterbags placem_collection'!AA222="","",'WetLitterbags placem_collection'!AA222)</f>
        <v>O</v>
      </c>
      <c r="AG661">
        <f>IF('WetLitterbags placem_collection'!AC222="","",'WetLitterbags placem_collection'!AC222)</f>
        <v>1</v>
      </c>
      <c r="AH661" s="240">
        <f>AVERAGE('WetLitterbags placem_collection'!S222,'WetLitterbags placem_collection'!U222)</f>
        <v>20.85</v>
      </c>
      <c r="AI661">
        <f>AVERAGE('WetLitterbags placem_collection'!R222,'WetLitterbags placem_collection'!T222)</f>
        <v>27.950000000000003</v>
      </c>
      <c r="AJ661">
        <v>-2.4396949910000001</v>
      </c>
      <c r="AK661">
        <v>34.838574029999997</v>
      </c>
      <c r="AL661" t="str">
        <f>IF(ISNUMBER(SEARCH("C", 'WetLitterbags placem_collection'!X222)),"YES","NO")</f>
        <v>NO</v>
      </c>
      <c r="AM661" t="str">
        <f>IF(ISNUMBER(SEARCH("H", 'WetLitterbags placem_collection'!X222)),"YES","NO")</f>
        <v>NO</v>
      </c>
      <c r="AN661" t="str">
        <f>IF(ISNUMBER(SEARCH("R", 'WetLitterbags placem_collection'!X222)),"YES","NO")</f>
        <v>YES</v>
      </c>
    </row>
    <row r="662" spans="1:40" ht="15" customHeight="1">
      <c r="A662" s="258" t="s">
        <v>2460</v>
      </c>
      <c r="B662" s="263">
        <f>'Dry_Litterbag Placem_Collection'!A3</f>
        <v>1</v>
      </c>
      <c r="C662" s="263" t="str">
        <f>'Dry_Litterbag Placem_Collection'!B3</f>
        <v>Makao</v>
      </c>
      <c r="D662" s="263" t="s">
        <v>2659</v>
      </c>
      <c r="E662" s="263" t="s">
        <v>2660</v>
      </c>
      <c r="F662" s="263">
        <v>1</v>
      </c>
      <c r="G662" s="264" t="str">
        <f>'Dry_Litterbag Placem_Collection'!C3</f>
        <v>Dry_Ag1_T1</v>
      </c>
      <c r="H662" s="273" t="s">
        <v>3651</v>
      </c>
      <c r="I662" s="274" t="s">
        <v>298</v>
      </c>
      <c r="J662" s="223" t="str">
        <f>'WetLitterbags placem_collection'!Q3</f>
        <v>R133</v>
      </c>
      <c r="K662" s="225">
        <f>IFERROR(INDEX('Green_rooibos initial weight'!$C$5:$C$1749,MATCH(J662, 'Green_rooibos initial weight'!$A$5:$A$1749,0)),"")</f>
        <v>2.1760000000000002</v>
      </c>
      <c r="L662" s="225">
        <f>IFERROR(K662-(TBIcalc!$H$9+TBIcalc!$H$10),"")</f>
        <v>1.9262000000000001</v>
      </c>
      <c r="M662" s="391">
        <f>AVERAGE(Ashed_controlls!$K$12:$K$14)</f>
        <v>2.2816647271287041</v>
      </c>
      <c r="N662" s="225">
        <f t="shared" si="54"/>
        <v>1.8822505740260471</v>
      </c>
      <c r="O662" s="225">
        <f>IF(IFERROR(INDEX('Both teabags AfterWet'!$C$3:$C$841,MATCH(J662,'Both teabags AfterWet'!$A$3:$A$841,0)),"")="","",(IFERROR(INDEX('Both teabags AfterWet'!$C$3:$C$841,MATCH(J662,'Both teabags AfterWet'!$A$3:$A$841,0)),"")))</f>
        <v>1.4104000000000001</v>
      </c>
      <c r="P662" s="225">
        <f>IFERROR(IF(O662&gt;0,O662-(TBIcalc!$H$9),""),"")</f>
        <v>1.2598</v>
      </c>
      <c r="Q662" s="225" t="str">
        <f>IFERROR(INDEX('Ashed teabags wet'!$K$2:$K$821,MATCH(J662,'Ashed teabags wet'!$A$2:$A$821,0)),"")</f>
        <v/>
      </c>
      <c r="R662" s="225" t="str">
        <f t="shared" si="57"/>
        <v/>
      </c>
      <c r="S662" s="226">
        <f>'WetLitterbags placem_collection'!E3</f>
        <v>42766</v>
      </c>
      <c r="T662" s="226">
        <f>IF('WetLitterbags placem_collection'!G3="","",'WetLitterbags placem_collection'!G3)</f>
        <v>42818</v>
      </c>
      <c r="U662" s="227">
        <f t="shared" ref="U662" si="58">IFERROR(T662-S662,"")</f>
        <v>52</v>
      </c>
      <c r="V662" s="225">
        <f t="shared" si="55"/>
        <v>0.6664000000000001</v>
      </c>
      <c r="W662" s="225" t="str">
        <f t="shared" si="56"/>
        <v/>
      </c>
      <c r="X662">
        <f>IFERROR(INDEX(Rainfall_Wet!$O$2:$O$217,MATCH(B662, Rainfall_Wet!$A$2:$A$217,0)),"")</f>
        <v>194.43839254400001</v>
      </c>
      <c r="Y662" s="231">
        <v>12.565665055683967</v>
      </c>
      <c r="Z662" s="231">
        <v>0.9665896196679955</v>
      </c>
      <c r="AA662" s="231">
        <v>86.467745324648035</v>
      </c>
      <c r="AB662" s="232" t="s">
        <v>2672</v>
      </c>
      <c r="AC662" s="231">
        <v>1.0225726959093147</v>
      </c>
      <c r="AD662">
        <f>IF('WetLitterbags placem_collection'!AB3="","",'WetLitterbags placem_collection'!AB3)</f>
        <v>26.4</v>
      </c>
      <c r="AE662">
        <f>IF('WetLitterbags placem_collection'!Z3="","",'WetLitterbags placem_collection'!Z3)</f>
        <v>41</v>
      </c>
      <c r="AF662" s="246" t="str">
        <f>IF('WetLitterbags placem_collection'!AA3="","",'WetLitterbags placem_collection'!AA3)</f>
        <v>M</v>
      </c>
      <c r="AG662">
        <f>IF('WetLitterbags placem_collection'!AC3="","",'WetLitterbags placem_collection'!AC3)</f>
        <v>1</v>
      </c>
      <c r="AH662">
        <f>AVERAGE('WetLitterbags placem_collection'!S3,'WetLitterbags placem_collection'!U3)</f>
        <v>14.75</v>
      </c>
      <c r="AI662">
        <f>AVERAGE('WetLitterbags placem_collection'!R3,'WetLitterbags placem_collection'!T3)</f>
        <v>24.7</v>
      </c>
      <c r="AJ662">
        <f>INDEX(Coordinates!$B$2:$B$197,MATCH(G662,Coordinates!$J$2:$J$197,0))</f>
        <v>-3.3978609999999998</v>
      </c>
      <c r="AK662">
        <f>INDEX(Coordinates!$C$2:$C$197,MATCH(G662,Coordinates!$J$2:$J$197,0))</f>
        <v>34.837608000000003</v>
      </c>
      <c r="AL662" t="str">
        <f>IF(ISNUMBER(SEARCH("C", 'WetLitterbags placem_collection'!Y3)),"YES","NO")</f>
        <v>NO</v>
      </c>
      <c r="AM662" t="str">
        <f>IF(ISNUMBER(SEARCH("H", 'WetLitterbags placem_collection'!Y3)),"YES","NO")</f>
        <v>NO</v>
      </c>
      <c r="AN662" t="str">
        <f>IF(ISNUMBER(SEARCH("R", 'WetLitterbags placem_collection'!Y3)),"YES","NO")</f>
        <v>NO</v>
      </c>
    </row>
    <row r="663" spans="1:40" ht="15" customHeight="1">
      <c r="A663" s="258" t="s">
        <v>2460</v>
      </c>
      <c r="B663" s="263">
        <f>'Dry_Litterbag Placem_Collection'!A4</f>
        <v>2</v>
      </c>
      <c r="C663" s="263" t="str">
        <f>'Dry_Litterbag Placem_Collection'!B4</f>
        <v>Makao</v>
      </c>
      <c r="D663" s="263" t="s">
        <v>2659</v>
      </c>
      <c r="E663" s="263" t="s">
        <v>2660</v>
      </c>
      <c r="F663" s="263">
        <v>1</v>
      </c>
      <c r="G663" s="264" t="str">
        <f>'Dry_Litterbag Placem_Collection'!C4</f>
        <v>Dry_Ag1_T2</v>
      </c>
      <c r="H663" s="273" t="s">
        <v>3651</v>
      </c>
      <c r="I663" s="274" t="s">
        <v>298</v>
      </c>
      <c r="J663" s="223" t="str">
        <f>'WetLitterbags placem_collection'!Q4</f>
        <v>R527</v>
      </c>
      <c r="K663" s="225">
        <f>IFERROR(INDEX('Green_rooibos initial weight'!$C$5:$C$1749,MATCH(J663, 'Green_rooibos initial weight'!$A$5:$A$1749,0)),"")</f>
        <v>2.1859999999999999</v>
      </c>
      <c r="L663" s="225">
        <f>IFERROR(K663-(TBIcalc!$H$9+TBIcalc!$H$10),"")</f>
        <v>1.9361999999999999</v>
      </c>
      <c r="M663" s="391">
        <f>AVERAGE(Ashed_controlls!$K$12:$K$14)</f>
        <v>2.2816647271287041</v>
      </c>
      <c r="N663" s="225">
        <f t="shared" si="54"/>
        <v>1.8920224075533341</v>
      </c>
      <c r="O663" s="225">
        <f>IF(IFERROR(INDEX('Both teabags AfterWet'!$C$3:$C$841,MATCH(J663,'Both teabags AfterWet'!$A$3:$A$841,0)),"")="","",(IFERROR(INDEX('Both teabags AfterWet'!$C$3:$C$841,MATCH(J663,'Both teabags AfterWet'!$A$3:$A$841,0)),"")))</f>
        <v>1.3275999999999999</v>
      </c>
      <c r="P663" s="225">
        <f>IFERROR(IF(O663&gt;0,O663-(TBIcalc!$H$9),""),"")</f>
        <v>1.1769999999999998</v>
      </c>
      <c r="Q663" s="225">
        <f>IFERROR(INDEX('Ashed teabags wet'!$K$2:$K$821,MATCH(J663,'Ashed teabags wet'!$A$2:$A$821,0)),"")</f>
        <v>4.4433349975038503</v>
      </c>
      <c r="R663" s="225">
        <f t="shared" si="57"/>
        <v>1.1247019470793795</v>
      </c>
      <c r="S663" s="226">
        <f>'WetLitterbags placem_collection'!E4</f>
        <v>42766</v>
      </c>
      <c r="T663" s="226">
        <f>IF('WetLitterbags placem_collection'!G4="","",'WetLitterbags placem_collection'!G4)</f>
        <v>42818</v>
      </c>
      <c r="U663" s="227">
        <f t="shared" ref="U663:U726" si="59">IFERROR(T663-S663,"")</f>
        <v>52</v>
      </c>
      <c r="V663" s="225">
        <f t="shared" si="55"/>
        <v>0.7592000000000001</v>
      </c>
      <c r="W663" s="225">
        <f t="shared" si="56"/>
        <v>0.76732046047395452</v>
      </c>
      <c r="X663">
        <f>IFERROR(INDEX(Rainfall_Wet!$O$2:$O$217,MATCH(B663, Rainfall_Wet!$A$2:$A$217,0)),"")</f>
        <v>194.43839254400001</v>
      </c>
      <c r="Y663" s="231">
        <v>12.565665055683967</v>
      </c>
      <c r="Z663" s="231">
        <v>0.9665896196679955</v>
      </c>
      <c r="AA663" s="231">
        <v>86.467745324648035</v>
      </c>
      <c r="AB663" s="232" t="s">
        <v>2672</v>
      </c>
      <c r="AC663" s="231">
        <v>2.02257269590931</v>
      </c>
      <c r="AD663">
        <f>IF('WetLitterbags placem_collection'!AB4="","",'WetLitterbags placem_collection'!AB4)</f>
        <v>22.4</v>
      </c>
      <c r="AE663">
        <f>IF('WetLitterbags placem_collection'!Z4="","",'WetLitterbags placem_collection'!Z4)</f>
        <v>39.799999999999997</v>
      </c>
      <c r="AF663" s="246" t="str">
        <f>IF('WetLitterbags placem_collection'!AA4="","",'WetLitterbags placem_collection'!AA4)</f>
        <v>M</v>
      </c>
      <c r="AG663">
        <f>IF('WetLitterbags placem_collection'!AC4="","",'WetLitterbags placem_collection'!AC4)</f>
        <v>1</v>
      </c>
      <c r="AH663">
        <f>AVERAGE('WetLitterbags placem_collection'!S4,'WetLitterbags placem_collection'!U4)</f>
        <v>13.1</v>
      </c>
      <c r="AI663">
        <f>AVERAGE('WetLitterbags placem_collection'!R4,'WetLitterbags placem_collection'!T4)</f>
        <v>24.9</v>
      </c>
      <c r="AJ663">
        <f>INDEX(Coordinates!$B$2:$B$197,MATCH(G663,Coordinates!$J$2:$J$197,0))</f>
        <v>-3.397879042</v>
      </c>
      <c r="AK663">
        <f>INDEX(Coordinates!$C$2:$C$197,MATCH(G663,Coordinates!$J$2:$J$197,0))</f>
        <v>34.837536010000001</v>
      </c>
      <c r="AL663" t="str">
        <f>IF(ISNUMBER(SEARCH("C", 'WetLitterbags placem_collection'!Y4)),"YES","NO")</f>
        <v>NO</v>
      </c>
      <c r="AM663" t="str">
        <f>IF(ISNUMBER(SEARCH("H", 'WetLitterbags placem_collection'!Y4)),"YES","NO")</f>
        <v>NO</v>
      </c>
      <c r="AN663" t="str">
        <f>IF(ISNUMBER(SEARCH("R", 'WetLitterbags placem_collection'!Y4)),"YES","NO")</f>
        <v>NO</v>
      </c>
    </row>
    <row r="664" spans="1:40" ht="15" customHeight="1">
      <c r="A664" s="258" t="s">
        <v>2460</v>
      </c>
      <c r="B664" s="263">
        <f>'Dry_Litterbag Placem_Collection'!A5</f>
        <v>3</v>
      </c>
      <c r="C664" s="263" t="str">
        <f>'Dry_Litterbag Placem_Collection'!B5</f>
        <v>Makao</v>
      </c>
      <c r="D664" s="263" t="s">
        <v>2659</v>
      </c>
      <c r="E664" s="263" t="s">
        <v>2660</v>
      </c>
      <c r="F664" s="263">
        <v>1</v>
      </c>
      <c r="G664" s="264" t="str">
        <f>'Dry_Litterbag Placem_Collection'!C5</f>
        <v>Dry_Ag1_T3</v>
      </c>
      <c r="H664" s="273" t="s">
        <v>3651</v>
      </c>
      <c r="I664" s="274" t="s">
        <v>298</v>
      </c>
      <c r="J664" s="223" t="str">
        <f>'WetLitterbags placem_collection'!Q5</f>
        <v>R498</v>
      </c>
      <c r="K664" s="225">
        <f>IFERROR(INDEX('Green_rooibos initial weight'!$C$5:$C$1749,MATCH(J664, 'Green_rooibos initial weight'!$A$5:$A$1749,0)),"")</f>
        <v>2.1520000000000001</v>
      </c>
      <c r="L664" s="225">
        <f>IFERROR(K664-(TBIcalc!$H$9+TBIcalc!$H$10),"")</f>
        <v>1.9022000000000001</v>
      </c>
      <c r="M664" s="391">
        <f>AVERAGE(Ashed_controlls!$K$12:$K$14)</f>
        <v>2.2816647271287041</v>
      </c>
      <c r="N664" s="225">
        <f t="shared" si="54"/>
        <v>1.8587981735605579</v>
      </c>
      <c r="O664" s="225" t="str">
        <f>IF(IFERROR(INDEX('Both teabags AfterWet'!$C$3:$C$841,MATCH(J664,'Both teabags AfterWet'!$A$3:$A$841,0)),"")="","",(IFERROR(INDEX('Both teabags AfterWet'!$C$3:$C$841,MATCH(J664,'Both teabags AfterWet'!$A$3:$A$841,0)),"")))</f>
        <v/>
      </c>
      <c r="P664" s="225" t="str">
        <f>IFERROR(IF(O664&gt;0,O664-(TBIcalc!$H$9),""),"")</f>
        <v/>
      </c>
      <c r="Q664" s="225" t="str">
        <f>IFERROR(INDEX('Ashed teabags wet'!$K$2:$K$821,MATCH(J664,'Ashed teabags wet'!$A$2:$A$821,0)),"")</f>
        <v/>
      </c>
      <c r="R664" s="225" t="str">
        <f t="shared" si="57"/>
        <v/>
      </c>
      <c r="S664" s="226">
        <f>'WetLitterbags placem_collection'!E5</f>
        <v>42766</v>
      </c>
      <c r="T664" s="226" t="str">
        <f>IF('WetLitterbags placem_collection'!G5="","",'WetLitterbags placem_collection'!G5)</f>
        <v/>
      </c>
      <c r="U664" s="227" t="str">
        <f t="shared" si="59"/>
        <v/>
      </c>
      <c r="V664" s="225" t="str">
        <f t="shared" si="55"/>
        <v/>
      </c>
      <c r="W664" s="225" t="str">
        <f t="shared" si="56"/>
        <v/>
      </c>
      <c r="X664" t="str">
        <f>IFERROR(INDEX(Rainfall_Wet!$O$2:$O$217,MATCH(B664, Rainfall_Wet!$A$2:$A$217,0)),"")</f>
        <v/>
      </c>
      <c r="Y664" s="231">
        <v>12.565665055683967</v>
      </c>
      <c r="Z664" s="231">
        <v>0.9665896196679955</v>
      </c>
      <c r="AA664" s="231">
        <v>86.467745324648035</v>
      </c>
      <c r="AB664" s="232" t="s">
        <v>2672</v>
      </c>
      <c r="AC664" s="231">
        <v>3.02257269590931</v>
      </c>
      <c r="AD664" t="str">
        <f>IF('WetLitterbags placem_collection'!AB5="","",'WetLitterbags placem_collection'!AB5)</f>
        <v/>
      </c>
      <c r="AE664" t="str">
        <f>IF('WetLitterbags placem_collection'!Z5="","",'WetLitterbags placem_collection'!Z5)</f>
        <v/>
      </c>
      <c r="AF664" s="246" t="str">
        <f>IF('WetLitterbags placem_collection'!AA5="","",'WetLitterbags placem_collection'!AA5)</f>
        <v/>
      </c>
      <c r="AG664" t="str">
        <f>IF('WetLitterbags placem_collection'!AC5="","",'WetLitterbags placem_collection'!AC5)</f>
        <v/>
      </c>
      <c r="AH664">
        <f>AVERAGE('WetLitterbags placem_collection'!S5,'WetLitterbags placem_collection'!U5)</f>
        <v>14.649999999999999</v>
      </c>
      <c r="AI664">
        <f>AVERAGE('WetLitterbags placem_collection'!R5,'WetLitterbags placem_collection'!T5)</f>
        <v>24.7</v>
      </c>
      <c r="AJ664">
        <f>INDEX(Coordinates!$B$2:$B$197,MATCH(G664,Coordinates!$J$2:$J$197,0))</f>
        <v>-3.3978739999999998</v>
      </c>
      <c r="AK664">
        <f>INDEX(Coordinates!$C$2:$C$197,MATCH(G664,Coordinates!$J$2:$J$197,0))</f>
        <v>34.837578999999998</v>
      </c>
      <c r="AL664" t="str">
        <f>IF(ISNUMBER(SEARCH("C", 'WetLitterbags placem_collection'!Y5)),"YES","NO")</f>
        <v>NO</v>
      </c>
      <c r="AM664" t="str">
        <f>IF(ISNUMBER(SEARCH("H", 'WetLitterbags placem_collection'!Y5)),"YES","NO")</f>
        <v>NO</v>
      </c>
      <c r="AN664" t="str">
        <f>IF(ISNUMBER(SEARCH("R", 'WetLitterbags placem_collection'!Y5)),"YES","NO")</f>
        <v>NO</v>
      </c>
    </row>
    <row r="665" spans="1:40" ht="15" customHeight="1">
      <c r="A665" s="258" t="s">
        <v>2460</v>
      </c>
      <c r="B665" s="263">
        <f>'Dry_Litterbag Placem_Collection'!A6</f>
        <v>4</v>
      </c>
      <c r="C665" s="263" t="str">
        <f>'Dry_Litterbag Placem_Collection'!B6</f>
        <v>Makao</v>
      </c>
      <c r="D665" s="263" t="s">
        <v>2659</v>
      </c>
      <c r="E665" s="263" t="s">
        <v>2660</v>
      </c>
      <c r="F665" s="263">
        <v>1</v>
      </c>
      <c r="G665" s="264" t="str">
        <f>'Dry_Litterbag Placem_Collection'!C6</f>
        <v>Dry_Ag1_T4</v>
      </c>
      <c r="H665" s="273" t="s">
        <v>3651</v>
      </c>
      <c r="I665" s="274" t="s">
        <v>298</v>
      </c>
      <c r="J665" s="223" t="str">
        <f>'WetLitterbags placem_collection'!Q6</f>
        <v>R508</v>
      </c>
      <c r="K665" s="225">
        <f>IFERROR(INDEX('Green_rooibos initial weight'!$C$5:$C$1749,MATCH(J665, 'Green_rooibos initial weight'!$A$5:$A$1749,0)),"")</f>
        <v>2.169</v>
      </c>
      <c r="L665" s="225">
        <f>IFERROR(K665-(TBIcalc!$H$9+TBIcalc!$H$10),"")</f>
        <v>1.9192</v>
      </c>
      <c r="M665" s="391">
        <f>AVERAGE(Ashed_controlls!$K$12:$K$14)</f>
        <v>2.2816647271287041</v>
      </c>
      <c r="N665" s="225">
        <f t="shared" si="54"/>
        <v>1.8754102905569459</v>
      </c>
      <c r="O665" s="225">
        <f>IF(IFERROR(INDEX('Both teabags AfterWet'!$C$3:$C$841,MATCH(J665,'Both teabags AfterWet'!$A$3:$A$841,0)),"")="","",(IFERROR(INDEX('Both teabags AfterWet'!$C$3:$C$841,MATCH(J665,'Both teabags AfterWet'!$A$3:$A$841,0)),"")))</f>
        <v>1.3392999999999999</v>
      </c>
      <c r="P665" s="225">
        <f>IFERROR(IF(O665&gt;0,O665-(TBIcalc!$H$9),""),"")</f>
        <v>1.1886999999999999</v>
      </c>
      <c r="Q665" s="225">
        <f>IFERROR(INDEX('Ashed teabags wet'!$K$2:$K$821,MATCH(J665,'Ashed teabags wet'!$A$2:$A$821,0)),"")</f>
        <v>4.9578582052553344</v>
      </c>
      <c r="R665" s="225">
        <f t="shared" si="57"/>
        <v>1.1297659395141297</v>
      </c>
      <c r="S665" s="226">
        <f>'WetLitterbags placem_collection'!E6</f>
        <v>42766</v>
      </c>
      <c r="T665" s="226">
        <f>IF('WetLitterbags placem_collection'!G6="","",'WetLitterbags placem_collection'!G6)</f>
        <v>42818</v>
      </c>
      <c r="U665" s="227">
        <f t="shared" si="59"/>
        <v>52</v>
      </c>
      <c r="V665" s="225">
        <f t="shared" si="55"/>
        <v>0.73050000000000015</v>
      </c>
      <c r="W665" s="225">
        <f t="shared" si="56"/>
        <v>0.74564435104281612</v>
      </c>
      <c r="X665">
        <f>IFERROR(INDEX(Rainfall_Wet!$O$2:$O$217,MATCH(B665, Rainfall_Wet!$A$2:$A$217,0)),"")</f>
        <v>194.43839254400001</v>
      </c>
      <c r="Y665" s="231">
        <v>12.565665055683967</v>
      </c>
      <c r="Z665" s="231">
        <v>0.9665896196679955</v>
      </c>
      <c r="AA665" s="231">
        <v>86.467745324648035</v>
      </c>
      <c r="AB665" s="232" t="s">
        <v>2672</v>
      </c>
      <c r="AC665" s="231">
        <v>4.02257269590931</v>
      </c>
      <c r="AD665" t="str">
        <f>IF('WetLitterbags placem_collection'!AB6="","",'WetLitterbags placem_collection'!AB6)</f>
        <v/>
      </c>
      <c r="AE665" t="str">
        <f>IF('WetLitterbags placem_collection'!Z6="","",'WetLitterbags placem_collection'!Z6)</f>
        <v/>
      </c>
      <c r="AF665" s="246" t="str">
        <f>IF('WetLitterbags placem_collection'!AA6="","",'WetLitterbags placem_collection'!AA6)</f>
        <v/>
      </c>
      <c r="AG665" t="str">
        <f>IF('WetLitterbags placem_collection'!AC6="","",'WetLitterbags placem_collection'!AC6)</f>
        <v/>
      </c>
      <c r="AH665">
        <f>AVERAGE('WetLitterbags placem_collection'!S6,'WetLitterbags placem_collection'!U6)</f>
        <v>17.399999999999999</v>
      </c>
      <c r="AI665">
        <f>AVERAGE('WetLitterbags placem_collection'!R6,'WetLitterbags placem_collection'!T6)</f>
        <v>25.549999999999997</v>
      </c>
      <c r="AJ665">
        <f>INDEX(Coordinates!$B$2:$B$197,MATCH(G665,Coordinates!$J$2:$J$197,0))</f>
        <v>-3.3977780399999999</v>
      </c>
      <c r="AK665">
        <f>INDEX(Coordinates!$C$2:$C$197,MATCH(G665,Coordinates!$J$2:$J$197,0))</f>
        <v>34.83751204</v>
      </c>
      <c r="AL665" t="str">
        <f>IF(ISNUMBER(SEARCH("C", 'WetLitterbags placem_collection'!Y6)),"YES","NO")</f>
        <v>NO</v>
      </c>
      <c r="AM665" t="str">
        <f>IF(ISNUMBER(SEARCH("H", 'WetLitterbags placem_collection'!Y6)),"YES","NO")</f>
        <v>NO</v>
      </c>
      <c r="AN665" t="str">
        <f>IF(ISNUMBER(SEARCH("R", 'WetLitterbags placem_collection'!Y6)),"YES","NO")</f>
        <v>NO</v>
      </c>
    </row>
    <row r="666" spans="1:40" ht="15" customHeight="1">
      <c r="A666" s="258" t="s">
        <v>2460</v>
      </c>
      <c r="B666" s="263">
        <f>'Dry_Litterbag Placem_Collection'!A7</f>
        <v>5</v>
      </c>
      <c r="C666" s="263" t="str">
        <f>'Dry_Litterbag Placem_Collection'!B7</f>
        <v>Makao</v>
      </c>
      <c r="D666" s="263" t="s">
        <v>2659</v>
      </c>
      <c r="E666" s="263" t="s">
        <v>2660</v>
      </c>
      <c r="F666" s="263">
        <v>1</v>
      </c>
      <c r="G666" s="264" t="str">
        <f>'Dry_Litterbag Placem_Collection'!C7</f>
        <v>Dry_Ag1_T5</v>
      </c>
      <c r="H666" s="273" t="s">
        <v>3651</v>
      </c>
      <c r="I666" s="274" t="s">
        <v>298</v>
      </c>
      <c r="J666" s="223" t="str">
        <f>'WetLitterbags placem_collection'!Q7</f>
        <v>R38</v>
      </c>
      <c r="K666" s="225">
        <f>IFERROR(INDEX('Green_rooibos initial weight'!$C$5:$C$1749,MATCH(J666, 'Green_rooibos initial weight'!$A$5:$A$1749,0)),"")</f>
        <v>2.12</v>
      </c>
      <c r="L666" s="225">
        <f>IFERROR(K666-(TBIcalc!$H$9+TBIcalc!$H$10),"")</f>
        <v>1.8702000000000001</v>
      </c>
      <c r="M666" s="391">
        <f>AVERAGE(Ashed_controlls!$K$12:$K$14)</f>
        <v>2.2816647271287041</v>
      </c>
      <c r="N666" s="225">
        <f t="shared" si="54"/>
        <v>1.827528306273239</v>
      </c>
      <c r="O666" s="225">
        <f>IF(IFERROR(INDEX('Both teabags AfterWet'!$C$3:$C$841,MATCH(J666,'Both teabags AfterWet'!$A$3:$A$841,0)),"")="","",(IFERROR(INDEX('Both teabags AfterWet'!$C$3:$C$841,MATCH(J666,'Both teabags AfterWet'!$A$3:$A$841,0)),"")))</f>
        <v>1.2627999999999999</v>
      </c>
      <c r="P666" s="225">
        <f>IFERROR(IF(O666&gt;0,O666-(TBIcalc!$H$9),""),"")</f>
        <v>1.1121999999999999</v>
      </c>
      <c r="Q666" s="225">
        <f>IFERROR(INDEX('Ashed teabags wet'!$K$2:$K$821,MATCH(J666,'Ashed teabags wet'!$A$2:$A$821,0)),"")</f>
        <v>5.8070866141733264</v>
      </c>
      <c r="R666" s="225">
        <f t="shared" si="57"/>
        <v>1.0476135826771642</v>
      </c>
      <c r="S666" s="226">
        <f>'WetLitterbags placem_collection'!E7</f>
        <v>42766</v>
      </c>
      <c r="T666" s="226">
        <f>IF('WetLitterbags placem_collection'!G7="","",'WetLitterbags placem_collection'!G7)</f>
        <v>42818</v>
      </c>
      <c r="U666" s="227">
        <f t="shared" si="59"/>
        <v>52</v>
      </c>
      <c r="V666" s="225">
        <f t="shared" si="55"/>
        <v>0.75800000000000023</v>
      </c>
      <c r="W666" s="225">
        <f t="shared" si="56"/>
        <v>0.77991472359607483</v>
      </c>
      <c r="X666">
        <f>IFERROR(INDEX(Rainfall_Wet!$O$2:$O$217,MATCH(B666, Rainfall_Wet!$A$2:$A$217,0)),"")</f>
        <v>194.43839254400001</v>
      </c>
      <c r="Y666" s="231">
        <v>12.565665055683967</v>
      </c>
      <c r="Z666" s="231">
        <v>0.9665896196679955</v>
      </c>
      <c r="AA666" s="231">
        <v>86.467745324648035</v>
      </c>
      <c r="AB666" s="232" t="s">
        <v>2672</v>
      </c>
      <c r="AC666" s="231">
        <v>5.02257269590931</v>
      </c>
      <c r="AD666">
        <f>IF('WetLitterbags placem_collection'!AB7="","",'WetLitterbags placem_collection'!AB7)</f>
        <v>28.4</v>
      </c>
      <c r="AE666">
        <f>IF('WetLitterbags placem_collection'!Z7="","",'WetLitterbags placem_collection'!Z7)</f>
        <v>36.4</v>
      </c>
      <c r="AF666" s="246" t="str">
        <f>IF('WetLitterbags placem_collection'!AA7="","",'WetLitterbags placem_collection'!AA7)</f>
        <v>M</v>
      </c>
      <c r="AG666">
        <f>IF('WetLitterbags placem_collection'!AC7="","",'WetLitterbags placem_collection'!AC7)</f>
        <v>1</v>
      </c>
      <c r="AH666">
        <f>AVERAGE('WetLitterbags placem_collection'!S7,'WetLitterbags placem_collection'!U7)</f>
        <v>12.100000000000001</v>
      </c>
      <c r="AI666">
        <f>AVERAGE('WetLitterbags placem_collection'!R7,'WetLitterbags placem_collection'!T7)</f>
        <v>25.1</v>
      </c>
      <c r="AJ666">
        <f>INDEX(Coordinates!$B$2:$B$197,MATCH(G666,Coordinates!$J$2:$J$197,0))</f>
        <v>-3.3978020120000001</v>
      </c>
      <c r="AK666">
        <f>INDEX(Coordinates!$C$2:$C$197,MATCH(G666,Coordinates!$J$2:$J$197,0))</f>
        <v>34.83751204</v>
      </c>
      <c r="AL666" t="str">
        <f>IF(ISNUMBER(SEARCH("C", 'WetLitterbags placem_collection'!Y7)),"YES","NO")</f>
        <v>NO</v>
      </c>
      <c r="AM666" t="str">
        <f>IF(ISNUMBER(SEARCH("H", 'WetLitterbags placem_collection'!Y7)),"YES","NO")</f>
        <v>NO</v>
      </c>
      <c r="AN666" t="str">
        <f>IF(ISNUMBER(SEARCH("R", 'WetLitterbags placem_collection'!Y7)),"YES","NO")</f>
        <v>NO</v>
      </c>
    </row>
    <row r="667" spans="1:40" ht="15" customHeight="1">
      <c r="A667" s="258" t="s">
        <v>2460</v>
      </c>
      <c r="B667" s="263">
        <f>'Dry_Litterbag Placem_Collection'!A8</f>
        <v>6</v>
      </c>
      <c r="C667" s="263" t="str">
        <f>'Dry_Litterbag Placem_Collection'!B8</f>
        <v>Makao</v>
      </c>
      <c r="D667" s="263" t="s">
        <v>2659</v>
      </c>
      <c r="E667" s="263" t="s">
        <v>2660</v>
      </c>
      <c r="F667" s="263">
        <v>1</v>
      </c>
      <c r="G667" s="264" t="str">
        <f>'Dry_Litterbag Placem_Collection'!C8</f>
        <v>Dry_Ag1_T6</v>
      </c>
      <c r="H667" s="273" t="s">
        <v>3651</v>
      </c>
      <c r="I667" s="274" t="s">
        <v>298</v>
      </c>
      <c r="J667" s="223" t="str">
        <f>'WetLitterbags placem_collection'!Q8</f>
        <v>R59</v>
      </c>
      <c r="K667" s="225">
        <f>IFERROR(INDEX('Green_rooibos initial weight'!$C$5:$C$1749,MATCH(J667, 'Green_rooibos initial weight'!$A$5:$A$1749,0)),"")</f>
        <v>2.2029999999999998</v>
      </c>
      <c r="L667" s="225">
        <f>IFERROR(K667-(TBIcalc!$H$9+TBIcalc!$H$10),"")</f>
        <v>1.9531999999999998</v>
      </c>
      <c r="M667" s="391">
        <f>AVERAGE(Ashed_controlls!$K$12:$K$14)</f>
        <v>2.2816647271287041</v>
      </c>
      <c r="N667" s="225">
        <f t="shared" si="54"/>
        <v>1.908634524549722</v>
      </c>
      <c r="O667" s="225">
        <f>IF(IFERROR(INDEX('Both teabags AfterWet'!$C$3:$C$841,MATCH(J667,'Both teabags AfterWet'!$A$3:$A$841,0)),"")="","",(IFERROR(INDEX('Both teabags AfterWet'!$C$3:$C$841,MATCH(J667,'Both teabags AfterWet'!$A$3:$A$841,0)),"")))</f>
        <v>1.4990000000000001</v>
      </c>
      <c r="P667" s="225">
        <f>IFERROR(IF(O667&gt;0,O667-(TBIcalc!$H$9),""),"")</f>
        <v>1.3484</v>
      </c>
      <c r="Q667" s="225">
        <f>IFERROR(INDEX('Ashed teabags wet'!$K$2:$K$821,MATCH(J667,'Ashed teabags wet'!$A$2:$A$821,0)),"")</f>
        <v>5.3641732283467132</v>
      </c>
      <c r="R667" s="225">
        <f t="shared" si="57"/>
        <v>1.2760694881889729</v>
      </c>
      <c r="S667" s="226">
        <f>'WetLitterbags placem_collection'!E8</f>
        <v>42766</v>
      </c>
      <c r="T667" s="226">
        <f>IF('WetLitterbags placem_collection'!G8="","",'WetLitterbags placem_collection'!G8)</f>
        <v>42818</v>
      </c>
      <c r="U667" s="227">
        <f t="shared" si="59"/>
        <v>52</v>
      </c>
      <c r="V667" s="225">
        <f t="shared" si="55"/>
        <v>0.60479999999999978</v>
      </c>
      <c r="W667" s="225">
        <f t="shared" si="56"/>
        <v>0.63256503636074912</v>
      </c>
      <c r="X667">
        <f>IFERROR(INDEX(Rainfall_Wet!$O$2:$O$217,MATCH(B667, Rainfall_Wet!$A$2:$A$217,0)),"")</f>
        <v>194.43839254400001</v>
      </c>
      <c r="Y667" s="231">
        <v>12.565665055683967</v>
      </c>
      <c r="Z667" s="231">
        <v>0.9665896196679955</v>
      </c>
      <c r="AA667" s="231">
        <v>86.467745324648035</v>
      </c>
      <c r="AB667" s="232" t="s">
        <v>2672</v>
      </c>
      <c r="AC667" s="231">
        <v>6.02257269590931</v>
      </c>
      <c r="AD667">
        <f>IF('WetLitterbags placem_collection'!AB8="","",'WetLitterbags placem_collection'!AB8)</f>
        <v>32.4</v>
      </c>
      <c r="AE667">
        <f>IF('WetLitterbags placem_collection'!Z8="","",'WetLitterbags placem_collection'!Z8)</f>
        <v>31</v>
      </c>
      <c r="AF667" s="246" t="str">
        <f>IF('WetLitterbags placem_collection'!AA8="","",'WetLitterbags placem_collection'!AA8)</f>
        <v>M</v>
      </c>
      <c r="AG667">
        <f>IF('WetLitterbags placem_collection'!AC8="","",'WetLitterbags placem_collection'!AC8)</f>
        <v>1</v>
      </c>
      <c r="AH667">
        <f>AVERAGE('WetLitterbags placem_collection'!S8,'WetLitterbags placem_collection'!U8)</f>
        <v>13.45</v>
      </c>
      <c r="AI667">
        <f>AVERAGE('WetLitterbags placem_collection'!R8,'WetLitterbags placem_collection'!T8)</f>
        <v>25.1</v>
      </c>
      <c r="AJ667">
        <f>INDEX(Coordinates!$B$2:$B$197,MATCH(G667,Coordinates!$J$2:$J$197,0))</f>
        <v>-3.3977389800000002</v>
      </c>
      <c r="AK667">
        <f>INDEX(Coordinates!$C$2:$C$197,MATCH(G667,Coordinates!$J$2:$J$197,0))</f>
        <v>34.837501979999999</v>
      </c>
      <c r="AL667" t="str">
        <f>IF(ISNUMBER(SEARCH("C", 'WetLitterbags placem_collection'!Y8)),"YES","NO")</f>
        <v>NO</v>
      </c>
      <c r="AM667" t="str">
        <f>IF(ISNUMBER(SEARCH("H", 'WetLitterbags placem_collection'!Y8)),"YES","NO")</f>
        <v>NO</v>
      </c>
      <c r="AN667" t="str">
        <f>IF(ISNUMBER(SEARCH("R", 'WetLitterbags placem_collection'!Y8)),"YES","NO")</f>
        <v>YES</v>
      </c>
    </row>
    <row r="668" spans="1:40" ht="15" customHeight="1">
      <c r="A668" s="258" t="s">
        <v>2460</v>
      </c>
      <c r="B668" s="263">
        <f>'Dry_Litterbag Placem_Collection'!A9</f>
        <v>7</v>
      </c>
      <c r="C668" s="263" t="str">
        <f>'Dry_Litterbag Placem_Collection'!B9</f>
        <v>Makao</v>
      </c>
      <c r="D668" s="263" t="s">
        <v>2659</v>
      </c>
      <c r="E668" s="263" t="s">
        <v>2660</v>
      </c>
      <c r="F668" s="263">
        <v>1</v>
      </c>
      <c r="G668" s="264" t="str">
        <f>'Dry_Litterbag Placem_Collection'!C9</f>
        <v>Dry_Ag1_T7</v>
      </c>
      <c r="H668" s="273" t="s">
        <v>3651</v>
      </c>
      <c r="I668" s="274" t="s">
        <v>298</v>
      </c>
      <c r="J668" s="223" t="str">
        <f>'WetLitterbags placem_collection'!Q9</f>
        <v>R398</v>
      </c>
      <c r="K668" s="225">
        <f>IFERROR(INDEX('Green_rooibos initial weight'!$C$5:$C$1749,MATCH(J668, 'Green_rooibos initial weight'!$A$5:$A$1749,0)),"")</f>
        <v>2.19</v>
      </c>
      <c r="L668" s="225">
        <f>IFERROR(K668-(TBIcalc!$H$9+TBIcalc!$H$10),"")</f>
        <v>1.9401999999999999</v>
      </c>
      <c r="M668" s="391">
        <f>AVERAGE(Ashed_controlls!$K$12:$K$14)</f>
        <v>2.2816647271287041</v>
      </c>
      <c r="N668" s="225">
        <f t="shared" si="54"/>
        <v>1.8959311409642488</v>
      </c>
      <c r="O668" s="225">
        <f>IF(IFERROR(INDEX('Both teabags AfterWet'!$C$3:$C$841,MATCH(J668,'Both teabags AfterWet'!$A$3:$A$841,0)),"")="","",(IFERROR(INDEX('Both teabags AfterWet'!$C$3:$C$841,MATCH(J668,'Both teabags AfterWet'!$A$3:$A$841,0)),"")))</f>
        <v>1.518</v>
      </c>
      <c r="P668" s="225">
        <f>IFERROR(IF(O668&gt;0,O668-(TBIcalc!$H$9),""),"")</f>
        <v>1.3673999999999999</v>
      </c>
      <c r="Q668" s="225">
        <f>IFERROR(INDEX('Ashed teabags wet'!$K$2:$K$821,MATCH(J668,'Ashed teabags wet'!$A$2:$A$821,0)),"")</f>
        <v>3.7092731829574301</v>
      </c>
      <c r="R668" s="225">
        <f t="shared" si="57"/>
        <v>1.3166793984962402</v>
      </c>
      <c r="S668" s="226">
        <f>'WetLitterbags placem_collection'!E9</f>
        <v>42766</v>
      </c>
      <c r="T668" s="226">
        <f>IF('WetLitterbags placem_collection'!G9="","",'WetLitterbags placem_collection'!G9)</f>
        <v>42818</v>
      </c>
      <c r="U668" s="227">
        <f t="shared" si="59"/>
        <v>52</v>
      </c>
      <c r="V668" s="225">
        <f t="shared" si="55"/>
        <v>0.57279999999999998</v>
      </c>
      <c r="W668" s="225">
        <f t="shared" si="56"/>
        <v>0.57925174246800859</v>
      </c>
      <c r="X668">
        <f>IFERROR(INDEX(Rainfall_Wet!$O$2:$O$217,MATCH(B668, Rainfall_Wet!$A$2:$A$217,0)),"")</f>
        <v>194.43839254400001</v>
      </c>
      <c r="Y668" s="231">
        <v>12.565665055683967</v>
      </c>
      <c r="Z668" s="231">
        <v>0.9665896196679955</v>
      </c>
      <c r="AA668" s="231">
        <v>86.467745324648035</v>
      </c>
      <c r="AB668" s="232" t="s">
        <v>2672</v>
      </c>
      <c r="AC668" s="231">
        <v>7.02257269590931</v>
      </c>
      <c r="AD668">
        <f>IF('WetLitterbags placem_collection'!AB9="","",'WetLitterbags placem_collection'!AB9)</f>
        <v>36</v>
      </c>
      <c r="AE668">
        <f>IF('WetLitterbags placem_collection'!Z9="","",'WetLitterbags placem_collection'!Z9)</f>
        <v>43.4</v>
      </c>
      <c r="AF668" s="246" t="str">
        <f>IF('WetLitterbags placem_collection'!AA9="","",'WetLitterbags placem_collection'!AA9)</f>
        <v>M</v>
      </c>
      <c r="AG668">
        <f>IF('WetLitterbags placem_collection'!AC9="","",'WetLitterbags placem_collection'!AC9)</f>
        <v>1</v>
      </c>
      <c r="AH668">
        <f>AVERAGE('WetLitterbags placem_collection'!S9,'WetLitterbags placem_collection'!U9)</f>
        <v>9.8500000000000014</v>
      </c>
      <c r="AI668">
        <f>AVERAGE('WetLitterbags placem_collection'!R9,'WetLitterbags placem_collection'!T9)</f>
        <v>26.2</v>
      </c>
      <c r="AJ668">
        <f>INDEX(Coordinates!$B$2:$B$197,MATCH(G668,Coordinates!$J$2:$J$197,0))</f>
        <v>-3.3977630360000002</v>
      </c>
      <c r="AK668">
        <f>INDEX(Coordinates!$C$2:$C$197,MATCH(G668,Coordinates!$J$2:$J$197,0))</f>
        <v>34.837600969999997</v>
      </c>
      <c r="AL668" t="str">
        <f>IF(ISNUMBER(SEARCH("C", 'WetLitterbags placem_collection'!Y9)),"YES","NO")</f>
        <v>NO</v>
      </c>
      <c r="AM668" t="str">
        <f>IF(ISNUMBER(SEARCH("H", 'WetLitterbags placem_collection'!Y9)),"YES","NO")</f>
        <v>NO</v>
      </c>
      <c r="AN668" t="str">
        <f>IF(ISNUMBER(SEARCH("R", 'WetLitterbags placem_collection'!Y9)),"YES","NO")</f>
        <v>YES</v>
      </c>
    </row>
    <row r="669" spans="1:40" ht="15" customHeight="1">
      <c r="A669" s="258" t="s">
        <v>2460</v>
      </c>
      <c r="B669" s="263">
        <f>'Dry_Litterbag Placem_Collection'!A10</f>
        <v>8</v>
      </c>
      <c r="C669" s="263" t="str">
        <f>'Dry_Litterbag Placem_Collection'!B10</f>
        <v>Makao</v>
      </c>
      <c r="D669" s="263" t="s">
        <v>2659</v>
      </c>
      <c r="E669" s="263" t="s">
        <v>2660</v>
      </c>
      <c r="F669" s="263">
        <v>1</v>
      </c>
      <c r="G669" s="264" t="str">
        <f>'Dry_Litterbag Placem_Collection'!C10</f>
        <v>Dry_Ag1_T8</v>
      </c>
      <c r="H669" s="273" t="s">
        <v>3651</v>
      </c>
      <c r="I669" s="274" t="s">
        <v>298</v>
      </c>
      <c r="J669" s="223" t="str">
        <f>'WetLitterbags placem_collection'!Q10</f>
        <v>R512</v>
      </c>
      <c r="K669" s="225">
        <f>IFERROR(INDEX('Green_rooibos initial weight'!$C$5:$C$1749,MATCH(J669, 'Green_rooibos initial weight'!$A$5:$A$1749,0)),"")</f>
        <v>2.1509999999999998</v>
      </c>
      <c r="L669" s="225">
        <f>IFERROR(K669-(TBIcalc!$H$9+TBIcalc!$H$10),"")</f>
        <v>1.9011999999999998</v>
      </c>
      <c r="M669" s="391">
        <f>AVERAGE(Ashed_controlls!$K$12:$K$14)</f>
        <v>2.2816647271287041</v>
      </c>
      <c r="N669" s="225">
        <f t="shared" si="54"/>
        <v>1.8578209902078289</v>
      </c>
      <c r="O669" s="225">
        <f>IF(IFERROR(INDEX('Both teabags AfterWet'!$C$3:$C$841,MATCH(J669,'Both teabags AfterWet'!$A$3:$A$841,0)),"")="","",(IFERROR(INDEX('Both teabags AfterWet'!$C$3:$C$841,MATCH(J669,'Both teabags AfterWet'!$A$3:$A$841,0)),"")))</f>
        <v>1.4733000000000001</v>
      </c>
      <c r="P669" s="225">
        <f>IFERROR(IF(O669&gt;0,O669-(TBIcalc!$H$9),""),"")</f>
        <v>1.3227</v>
      </c>
      <c r="Q669" s="225">
        <f>IFERROR(INDEX('Ashed teabags wet'!$K$2:$K$821,MATCH(J669,'Ashed teabags wet'!$A$2:$A$821,0)),"")</f>
        <v>3.0097087378641909</v>
      </c>
      <c r="R669" s="225">
        <f t="shared" si="57"/>
        <v>1.2828905825242702</v>
      </c>
      <c r="S669" s="226">
        <f>'WetLitterbags placem_collection'!E10</f>
        <v>42766</v>
      </c>
      <c r="T669" s="226">
        <f>IF('WetLitterbags placem_collection'!G10="","",'WetLitterbags placem_collection'!G10)</f>
        <v>42818</v>
      </c>
      <c r="U669" s="227">
        <f t="shared" si="59"/>
        <v>52</v>
      </c>
      <c r="V669" s="225">
        <f t="shared" si="55"/>
        <v>0.57849999999999979</v>
      </c>
      <c r="W669" s="225">
        <f t="shared" si="56"/>
        <v>0.57493040768355863</v>
      </c>
      <c r="X669">
        <f>IFERROR(INDEX(Rainfall_Wet!$O$2:$O$217,MATCH(B669, Rainfall_Wet!$A$2:$A$217,0)),"")</f>
        <v>194.43839254400001</v>
      </c>
      <c r="Y669" s="231">
        <v>12.565665055683967</v>
      </c>
      <c r="Z669" s="231">
        <v>0.9665896196679955</v>
      </c>
      <c r="AA669" s="231">
        <v>86.467745324648035</v>
      </c>
      <c r="AB669" s="232" t="s">
        <v>2672</v>
      </c>
      <c r="AC669" s="231">
        <v>8.0225726959093109</v>
      </c>
      <c r="AD669">
        <f>IF('WetLitterbags placem_collection'!AB10="","",'WetLitterbags placem_collection'!AB10)</f>
        <v>36</v>
      </c>
      <c r="AE669">
        <f>IF('WetLitterbags placem_collection'!Z10="","",'WetLitterbags placem_collection'!Z10)</f>
        <v>38.4</v>
      </c>
      <c r="AF669" s="246" t="str">
        <f>IF('WetLitterbags placem_collection'!AA10="","",'WetLitterbags placem_collection'!AA10)</f>
        <v>M</v>
      </c>
      <c r="AG669" t="str">
        <f>IF('WetLitterbags placem_collection'!AC10="","",'WetLitterbags placem_collection'!AC10)</f>
        <v/>
      </c>
      <c r="AH669">
        <f>AVERAGE('WetLitterbags placem_collection'!S10,'WetLitterbags placem_collection'!U10)</f>
        <v>10.600000000000001</v>
      </c>
      <c r="AI669">
        <f>AVERAGE('WetLitterbags placem_collection'!R10,'WetLitterbags placem_collection'!T10)</f>
        <v>25.5</v>
      </c>
      <c r="AJ669">
        <f>INDEX(Coordinates!$B$2:$B$197,MATCH(G669,Coordinates!$J$2:$J$197,0))</f>
        <v>-3.3977320230000001</v>
      </c>
      <c r="AK669">
        <f>INDEX(Coordinates!$C$2:$C$197,MATCH(G669,Coordinates!$J$2:$J$197,0))</f>
        <v>34.837561989999998</v>
      </c>
      <c r="AL669" t="str">
        <f>IF(ISNUMBER(SEARCH("C", 'WetLitterbags placem_collection'!Y10)),"YES","NO")</f>
        <v>NO</v>
      </c>
      <c r="AM669" t="str">
        <f>IF(ISNUMBER(SEARCH("H", 'WetLitterbags placem_collection'!Y10)),"YES","NO")</f>
        <v>NO</v>
      </c>
      <c r="AN669" t="str">
        <f>IF(ISNUMBER(SEARCH("R", 'WetLitterbags placem_collection'!Y10)),"YES","NO")</f>
        <v>NO</v>
      </c>
    </row>
    <row r="670" spans="1:40" ht="15" customHeight="1">
      <c r="A670" s="258" t="s">
        <v>2460</v>
      </c>
      <c r="B670" s="263">
        <f>'Dry_Litterbag Placem_Collection'!A11</f>
        <v>9</v>
      </c>
      <c r="C670" s="263" t="str">
        <f>'Dry_Litterbag Placem_Collection'!B11</f>
        <v>Makao</v>
      </c>
      <c r="D670" s="263" t="s">
        <v>2659</v>
      </c>
      <c r="E670" s="263" t="s">
        <v>2660</v>
      </c>
      <c r="F670" s="263">
        <v>2</v>
      </c>
      <c r="G670" s="264" t="str">
        <f>'Dry_Litterbag Placem_Collection'!C11</f>
        <v>Dry_Ag2_T1</v>
      </c>
      <c r="H670" s="273" t="s">
        <v>3651</v>
      </c>
      <c r="I670" s="274" t="s">
        <v>298</v>
      </c>
      <c r="J670" s="223" t="str">
        <f>'WetLitterbags placem_collection'!Q11</f>
        <v>R101</v>
      </c>
      <c r="K670" s="225">
        <f>IFERROR(INDEX('Green_rooibos initial weight'!$C$5:$C$1749,MATCH(J670, 'Green_rooibos initial weight'!$A$5:$A$1749,0)),"")</f>
        <v>2.3039999999999998</v>
      </c>
      <c r="L670" s="225">
        <f>IFERROR(K670-(TBIcalc!$H$9+TBIcalc!$H$10),"")</f>
        <v>2.0541999999999998</v>
      </c>
      <c r="M670" s="391">
        <f>AVERAGE(Ashed_controlls!$K$12:$K$14)</f>
        <v>2.2816647271287041</v>
      </c>
      <c r="N670" s="225">
        <f t="shared" si="54"/>
        <v>2.007330043175322</v>
      </c>
      <c r="O670" s="225">
        <f>IF(IFERROR(INDEX('Both teabags AfterWet'!$C$3:$C$841,MATCH(J670,'Both teabags AfterWet'!$A$3:$A$841,0)),"")="","",(IFERROR(INDEX('Both teabags AfterWet'!$C$3:$C$841,MATCH(J670,'Both teabags AfterWet'!$A$3:$A$841,0)),"")))</f>
        <v>1.5383</v>
      </c>
      <c r="P670" s="225">
        <f>IFERROR(IF(O670&gt;0,O670-(TBIcalc!$H$9),""),"")</f>
        <v>1.3876999999999999</v>
      </c>
      <c r="Q670" s="225">
        <f>IFERROR(INDEX('Ashed teabags wet'!$K$2:$K$821,MATCH(J670,'Ashed teabags wet'!$A$2:$A$821,0)),"")</f>
        <v>6.1446977205149187</v>
      </c>
      <c r="R670" s="225">
        <f t="shared" si="57"/>
        <v>1.3024300297324145</v>
      </c>
      <c r="S670" s="226">
        <f>'WetLitterbags placem_collection'!E11</f>
        <v>42766</v>
      </c>
      <c r="T670" s="226">
        <f>IF('WetLitterbags placem_collection'!G11="","",'WetLitterbags placem_collection'!G11)</f>
        <v>42818</v>
      </c>
      <c r="U670" s="227">
        <f t="shared" si="59"/>
        <v>52</v>
      </c>
      <c r="V670" s="225">
        <f t="shared" si="55"/>
        <v>0.66649999999999987</v>
      </c>
      <c r="W670" s="225">
        <f t="shared" si="56"/>
        <v>0.70490001344290754</v>
      </c>
      <c r="X670">
        <f>IFERROR(INDEX(Rainfall_Wet!$O$2:$O$217,MATCH(B670, Rainfall_Wet!$A$2:$A$217,0)),"")</f>
        <v>194.43839254400001</v>
      </c>
      <c r="Y670" s="231">
        <v>21.13063730679653</v>
      </c>
      <c r="Z670" s="231">
        <v>3.0912555579081076</v>
      </c>
      <c r="AA670" s="231">
        <v>75.778107135295357</v>
      </c>
      <c r="AB670" s="232" t="s">
        <v>2670</v>
      </c>
      <c r="AC670" s="231">
        <v>0.46131099063578063</v>
      </c>
      <c r="AD670">
        <f>IF('WetLitterbags placem_collection'!AB11="","",'WetLitterbags placem_collection'!AB11)</f>
        <v>10.8</v>
      </c>
      <c r="AE670">
        <f>IF('WetLitterbags placem_collection'!Z11="","",'WetLitterbags placem_collection'!Z11)</f>
        <v>28.4</v>
      </c>
      <c r="AF670" s="246" t="str">
        <f>IF('WetLitterbags placem_collection'!AA11="","",'WetLitterbags placem_collection'!AA11)</f>
        <v>M</v>
      </c>
      <c r="AG670">
        <f>IF('WetLitterbags placem_collection'!AC11="","",'WetLitterbags placem_collection'!AC11)</f>
        <v>0</v>
      </c>
      <c r="AH670">
        <f>AVERAGE('WetLitterbags placem_collection'!S11,'WetLitterbags placem_collection'!U11)</f>
        <v>14.5</v>
      </c>
      <c r="AI670">
        <f>AVERAGE('WetLitterbags placem_collection'!R11,'WetLitterbags placem_collection'!T11)</f>
        <v>24.4</v>
      </c>
      <c r="AJ670">
        <f>INDEX(Coordinates!$B$2:$B$197,MATCH(G670,Coordinates!$J$2:$J$197,0))</f>
        <v>-3.3978290019999999</v>
      </c>
      <c r="AK670">
        <f>INDEX(Coordinates!$C$2:$C$197,MATCH(G670,Coordinates!$J$2:$J$197,0))</f>
        <v>34.837011969999999</v>
      </c>
      <c r="AL670" t="str">
        <f>IF(ISNUMBER(SEARCH("C", 'WetLitterbags placem_collection'!Y11)),"YES","NO")</f>
        <v>NO</v>
      </c>
      <c r="AM670" t="str">
        <f>IF(ISNUMBER(SEARCH("H", 'WetLitterbags placem_collection'!Y11)),"YES","NO")</f>
        <v>NO</v>
      </c>
      <c r="AN670" t="str">
        <f>IF(ISNUMBER(SEARCH("R", 'WetLitterbags placem_collection'!Y11)),"YES","NO")</f>
        <v>NO</v>
      </c>
    </row>
    <row r="671" spans="1:40" ht="15" customHeight="1">
      <c r="A671" s="258" t="s">
        <v>2460</v>
      </c>
      <c r="B671" s="263">
        <f>'Dry_Litterbag Placem_Collection'!A12</f>
        <v>10</v>
      </c>
      <c r="C671" s="263" t="str">
        <f>'Dry_Litterbag Placem_Collection'!B12</f>
        <v>Makao</v>
      </c>
      <c r="D671" s="263" t="s">
        <v>2659</v>
      </c>
      <c r="E671" s="263" t="s">
        <v>2660</v>
      </c>
      <c r="F671" s="263">
        <v>2</v>
      </c>
      <c r="G671" s="264" t="str">
        <f>'Dry_Litterbag Placem_Collection'!C12</f>
        <v>Dry_Ag2_T2</v>
      </c>
      <c r="H671" s="273" t="s">
        <v>3651</v>
      </c>
      <c r="I671" s="274" t="s">
        <v>298</v>
      </c>
      <c r="J671" s="223" t="str">
        <f>'WetLitterbags placem_collection'!Q12</f>
        <v>R515</v>
      </c>
      <c r="K671" s="225">
        <f>IFERROR(INDEX('Green_rooibos initial weight'!$C$5:$C$1749,MATCH(J671, 'Green_rooibos initial weight'!$A$5:$A$1749,0)),"")</f>
        <v>2.2050000000000001</v>
      </c>
      <c r="L671" s="225">
        <f>IFERROR(K671-(TBIcalc!$H$9+TBIcalc!$H$10),"")</f>
        <v>1.9552</v>
      </c>
      <c r="M671" s="391">
        <f>AVERAGE(Ashed_controlls!$K$12:$K$14)</f>
        <v>2.2816647271287041</v>
      </c>
      <c r="N671" s="225">
        <f t="shared" si="54"/>
        <v>1.9105888912551796</v>
      </c>
      <c r="O671" s="225">
        <f>IF(IFERROR(INDEX('Both teabags AfterWet'!$C$3:$C$841,MATCH(J671,'Both teabags AfterWet'!$A$3:$A$841,0)),"")="","",(IFERROR(INDEX('Both teabags AfterWet'!$C$3:$C$841,MATCH(J671,'Both teabags AfterWet'!$A$3:$A$841,0)),"")))</f>
        <v>1.3853</v>
      </c>
      <c r="P671" s="225">
        <f>IFERROR(IF(O671&gt;0,O671-(TBIcalc!$H$9),""),"")</f>
        <v>1.2346999999999999</v>
      </c>
      <c r="Q671" s="225">
        <f>IFERROR(INDEX('Ashed teabags wet'!$K$2:$K$821,MATCH(J671,'Ashed teabags wet'!$A$2:$A$821,0)),"")</f>
        <v>4.2016806722691449</v>
      </c>
      <c r="R671" s="225">
        <f t="shared" si="57"/>
        <v>1.1828218487394928</v>
      </c>
      <c r="S671" s="226">
        <f>'WetLitterbags placem_collection'!E12</f>
        <v>42766</v>
      </c>
      <c r="T671" s="226">
        <f>IF('WetLitterbags placem_collection'!G12="","",'WetLitterbags placem_collection'!G12)</f>
        <v>42818</v>
      </c>
      <c r="U671" s="227">
        <f t="shared" si="59"/>
        <v>52</v>
      </c>
      <c r="V671" s="225">
        <f t="shared" si="55"/>
        <v>0.72050000000000014</v>
      </c>
      <c r="W671" s="225">
        <f t="shared" si="56"/>
        <v>0.7277670425156868</v>
      </c>
      <c r="X671">
        <f>IFERROR(INDEX(Rainfall_Wet!$O$2:$O$217,MATCH(B671, Rainfall_Wet!$A$2:$A$217,0)),"")</f>
        <v>194.43839254400001</v>
      </c>
      <c r="Y671" s="231">
        <v>21.13063730679653</v>
      </c>
      <c r="Z671" s="231">
        <v>3.0912555579081076</v>
      </c>
      <c r="AA671" s="231">
        <v>75.778107135295357</v>
      </c>
      <c r="AB671" s="232" t="s">
        <v>2670</v>
      </c>
      <c r="AC671" s="231">
        <v>1.46131099063578</v>
      </c>
      <c r="AD671">
        <f>IF('WetLitterbags placem_collection'!AB12="","",'WetLitterbags placem_collection'!AB12)</f>
        <v>16.8</v>
      </c>
      <c r="AE671">
        <f>IF('WetLitterbags placem_collection'!Z12="","",'WetLitterbags placem_collection'!Z12)</f>
        <v>30</v>
      </c>
      <c r="AF671" s="246" t="str">
        <f>IF('WetLitterbags placem_collection'!AA12="","",'WetLitterbags placem_collection'!AA12)</f>
        <v>M</v>
      </c>
      <c r="AG671">
        <f>IF('WetLitterbags placem_collection'!AC12="","",'WetLitterbags placem_collection'!AC12)</f>
        <v>0</v>
      </c>
      <c r="AH671">
        <f>AVERAGE('WetLitterbags placem_collection'!S12,'WetLitterbags placem_collection'!U12)</f>
        <v>14.649999999999999</v>
      </c>
      <c r="AI671">
        <f>AVERAGE('WetLitterbags placem_collection'!R12,'WetLitterbags placem_collection'!T12)</f>
        <v>24.299999999999997</v>
      </c>
      <c r="AJ671">
        <f>INDEX(Coordinates!$B$2:$B$197,MATCH(G671,Coordinates!$J$2:$J$197,0))</f>
        <v>-3.3978119869999999</v>
      </c>
      <c r="AK671">
        <f>INDEX(Coordinates!$C$2:$C$197,MATCH(G671,Coordinates!$J$2:$J$197,0))</f>
        <v>34.836968980000002</v>
      </c>
      <c r="AL671" t="str">
        <f>IF(ISNUMBER(SEARCH("C", 'WetLitterbags placem_collection'!Y12)),"YES","NO")</f>
        <v>NO</v>
      </c>
      <c r="AM671" t="str">
        <f>IF(ISNUMBER(SEARCH("H", 'WetLitterbags placem_collection'!Y12)),"YES","NO")</f>
        <v>NO</v>
      </c>
      <c r="AN671" t="str">
        <f>IF(ISNUMBER(SEARCH("R", 'WetLitterbags placem_collection'!Y12)),"YES","NO")</f>
        <v>NO</v>
      </c>
    </row>
    <row r="672" spans="1:40" ht="15" customHeight="1">
      <c r="A672" s="258" t="s">
        <v>2460</v>
      </c>
      <c r="B672" s="263">
        <f>'Dry_Litterbag Placem_Collection'!A13</f>
        <v>11</v>
      </c>
      <c r="C672" s="263" t="str">
        <f>'Dry_Litterbag Placem_Collection'!B13</f>
        <v>Makao</v>
      </c>
      <c r="D672" s="263" t="s">
        <v>2659</v>
      </c>
      <c r="E672" s="263" t="s">
        <v>2660</v>
      </c>
      <c r="F672" s="263">
        <v>2</v>
      </c>
      <c r="G672" s="264" t="str">
        <f>'Dry_Litterbag Placem_Collection'!C13</f>
        <v>Dry_Ag2_T3</v>
      </c>
      <c r="H672" s="273" t="s">
        <v>3651</v>
      </c>
      <c r="I672" s="274" t="s">
        <v>298</v>
      </c>
      <c r="J672" s="223" t="str">
        <f>'WetLitterbags placem_collection'!Q13</f>
        <v>R2</v>
      </c>
      <c r="K672" s="225">
        <f>IFERROR(INDEX('Green_rooibos initial weight'!$C$5:$C$1749,MATCH(J672, 'Green_rooibos initial weight'!$A$5:$A$1749,0)),"")</f>
        <v>2.2679999999999998</v>
      </c>
      <c r="L672" s="225">
        <f>IFERROR(K672-(TBIcalc!$H$9+TBIcalc!$H$10),"")</f>
        <v>2.0181999999999998</v>
      </c>
      <c r="M672" s="391">
        <f>AVERAGE(Ashed_controlls!$K$12:$K$14)</f>
        <v>2.2816647271287041</v>
      </c>
      <c r="N672" s="225">
        <f t="shared" si="54"/>
        <v>1.9721514424770883</v>
      </c>
      <c r="O672" s="225">
        <f>IF(IFERROR(INDEX('Both teabags AfterWet'!$C$3:$C$841,MATCH(J672,'Both teabags AfterWet'!$A$3:$A$841,0)),"")="","",(IFERROR(INDEX('Both teabags AfterWet'!$C$3:$C$841,MATCH(J672,'Both teabags AfterWet'!$A$3:$A$841,0)),"")))</f>
        <v>1.43</v>
      </c>
      <c r="P672" s="225">
        <f>IFERROR(IF(O672&gt;0,O672-(TBIcalc!$H$9),""),"")</f>
        <v>1.2793999999999999</v>
      </c>
      <c r="Q672" s="225">
        <f>IFERROR(INDEX('Ashed teabags wet'!$K$2:$K$821,MATCH(J672,'Ashed teabags wet'!$A$2:$A$821,0)),"")</f>
        <v>4.6087373979834227</v>
      </c>
      <c r="R672" s="225">
        <f t="shared" si="57"/>
        <v>1.2204358137302</v>
      </c>
      <c r="S672" s="226">
        <f>'WetLitterbags placem_collection'!E13</f>
        <v>42766</v>
      </c>
      <c r="T672" s="226">
        <f>IF('WetLitterbags placem_collection'!G13="","",'WetLitterbags placem_collection'!G13)</f>
        <v>42818</v>
      </c>
      <c r="U672" s="227">
        <f t="shared" si="59"/>
        <v>52</v>
      </c>
      <c r="V672" s="225">
        <f t="shared" si="55"/>
        <v>0.7387999999999999</v>
      </c>
      <c r="W672" s="225">
        <f t="shared" si="56"/>
        <v>0.75171562874688824</v>
      </c>
      <c r="X672">
        <f>IFERROR(INDEX(Rainfall_Wet!$O$2:$O$217,MATCH(B672, Rainfall_Wet!$A$2:$A$217,0)),"")</f>
        <v>194.43839254400001</v>
      </c>
      <c r="Y672" s="231">
        <v>21.13063730679653</v>
      </c>
      <c r="Z672" s="231">
        <v>3.0912555579081076</v>
      </c>
      <c r="AA672" s="231">
        <v>75.778107135295357</v>
      </c>
      <c r="AB672" s="232" t="s">
        <v>2670</v>
      </c>
      <c r="AC672" s="231">
        <v>2.4613109906357802</v>
      </c>
      <c r="AD672">
        <f>IF('WetLitterbags placem_collection'!AB13="","",'WetLitterbags placem_collection'!AB13)</f>
        <v>11.4</v>
      </c>
      <c r="AE672">
        <f>IF('WetLitterbags placem_collection'!Z13="","",'WetLitterbags placem_collection'!Z13)</f>
        <v>24.4</v>
      </c>
      <c r="AF672" s="246" t="str">
        <f>IF('WetLitterbags placem_collection'!AA13="","",'WetLitterbags placem_collection'!AA13)</f>
        <v>M</v>
      </c>
      <c r="AG672">
        <f>IF('WetLitterbags placem_collection'!AC13="","",'WetLitterbags placem_collection'!AC13)</f>
        <v>0</v>
      </c>
      <c r="AH672">
        <f>AVERAGE('WetLitterbags placem_collection'!S13,'WetLitterbags placem_collection'!U13)</f>
        <v>21.1</v>
      </c>
      <c r="AI672">
        <f>AVERAGE('WetLitterbags placem_collection'!R13,'WetLitterbags placem_collection'!T13)</f>
        <v>24.05</v>
      </c>
      <c r="AJ672">
        <f>INDEX(Coordinates!$B$2:$B$197,MATCH(G672,Coordinates!$J$2:$J$197,0))</f>
        <v>-3.3977929599999999</v>
      </c>
      <c r="AK672">
        <f>INDEX(Coordinates!$C$2:$C$197,MATCH(G672,Coordinates!$J$2:$J$197,0))</f>
        <v>34.837102999999999</v>
      </c>
      <c r="AL672" t="str">
        <f>IF(ISNUMBER(SEARCH("C", 'WetLitterbags placem_collection'!Y13)),"YES","NO")</f>
        <v>NO</v>
      </c>
      <c r="AM672" t="str">
        <f>IF(ISNUMBER(SEARCH("H", 'WetLitterbags placem_collection'!Y13)),"YES","NO")</f>
        <v>NO</v>
      </c>
      <c r="AN672" t="str">
        <f>IF(ISNUMBER(SEARCH("R", 'WetLitterbags placem_collection'!Y13)),"YES","NO")</f>
        <v>NO</v>
      </c>
    </row>
    <row r="673" spans="1:40" ht="15" customHeight="1">
      <c r="A673" s="258" t="s">
        <v>2460</v>
      </c>
      <c r="B673" s="263">
        <f>'Dry_Litterbag Placem_Collection'!A14</f>
        <v>12</v>
      </c>
      <c r="C673" s="263" t="str">
        <f>'Dry_Litterbag Placem_Collection'!B14</f>
        <v>Makao</v>
      </c>
      <c r="D673" s="263" t="s">
        <v>2659</v>
      </c>
      <c r="E673" s="263" t="s">
        <v>2660</v>
      </c>
      <c r="F673" s="263">
        <v>2</v>
      </c>
      <c r="G673" s="264" t="str">
        <f>'Dry_Litterbag Placem_Collection'!C14</f>
        <v>Dry_Ag2_T4</v>
      </c>
      <c r="H673" s="273" t="s">
        <v>3651</v>
      </c>
      <c r="I673" s="274" t="s">
        <v>298</v>
      </c>
      <c r="J673" s="223" t="str">
        <f>'WetLitterbags placem_collection'!Q14</f>
        <v>R123</v>
      </c>
      <c r="K673" s="225">
        <f>IFERROR(INDEX('Green_rooibos initial weight'!$C$5:$C$1749,MATCH(J673, 'Green_rooibos initial weight'!$A$5:$A$1749,0)),"")</f>
        <v>2.2610000000000001</v>
      </c>
      <c r="L673" s="225">
        <f>IFERROR(K673-(TBIcalc!$H$9+TBIcalc!$H$10),"")</f>
        <v>2.0112000000000001</v>
      </c>
      <c r="M673" s="391">
        <f>AVERAGE(Ashed_controlls!$K$12:$K$14)</f>
        <v>2.2816647271287041</v>
      </c>
      <c r="N673" s="225">
        <f t="shared" si="54"/>
        <v>1.9653111590079877</v>
      </c>
      <c r="O673" s="225" t="str">
        <f>IF(IFERROR(INDEX('Both teabags AfterWet'!$C$3:$C$841,MATCH(J673,'Both teabags AfterWet'!$A$3:$A$841,0)),"")="","",(IFERROR(INDEX('Both teabags AfterWet'!$C$3:$C$841,MATCH(J673,'Both teabags AfterWet'!$A$3:$A$841,0)),"")))</f>
        <v/>
      </c>
      <c r="P673" s="225" t="str">
        <f>IFERROR(IF(O673&gt;0,O673-(TBIcalc!$H$9),""),"")</f>
        <v/>
      </c>
      <c r="Q673" s="225" t="str">
        <f>IFERROR(INDEX('Ashed teabags wet'!$K$2:$K$821,MATCH(J673,'Ashed teabags wet'!$A$2:$A$821,0)),"")</f>
        <v/>
      </c>
      <c r="R673" s="225" t="str">
        <f t="shared" si="57"/>
        <v/>
      </c>
      <c r="S673" s="226">
        <f>'WetLitterbags placem_collection'!E14</f>
        <v>42766</v>
      </c>
      <c r="T673" s="226" t="str">
        <f>IF('WetLitterbags placem_collection'!G14="","",'WetLitterbags placem_collection'!G14)</f>
        <v/>
      </c>
      <c r="U673" s="227" t="str">
        <f t="shared" si="59"/>
        <v/>
      </c>
      <c r="V673" s="225" t="str">
        <f t="shared" si="55"/>
        <v/>
      </c>
      <c r="W673" s="225" t="str">
        <f t="shared" si="56"/>
        <v/>
      </c>
      <c r="X673" t="str">
        <f>IFERROR(INDEX(Rainfall_Wet!$O$2:$O$217,MATCH(B673, Rainfall_Wet!$A$2:$A$217,0)),"")</f>
        <v/>
      </c>
      <c r="Y673" s="231">
        <v>21.13063730679653</v>
      </c>
      <c r="Z673" s="231">
        <v>3.0912555579081076</v>
      </c>
      <c r="AA673" s="231">
        <v>75.778107135295357</v>
      </c>
      <c r="AB673" s="232" t="s">
        <v>2670</v>
      </c>
      <c r="AC673" s="231">
        <v>3.4613109906357802</v>
      </c>
      <c r="AD673" t="str">
        <f>IF('WetLitterbags placem_collection'!AB14="","",'WetLitterbags placem_collection'!AB14)</f>
        <v/>
      </c>
      <c r="AE673" t="str">
        <f>IF('WetLitterbags placem_collection'!Z14="","",'WetLitterbags placem_collection'!Z14)</f>
        <v/>
      </c>
      <c r="AF673" s="246" t="str">
        <f>IF('WetLitterbags placem_collection'!AA14="","",'WetLitterbags placem_collection'!AA14)</f>
        <v/>
      </c>
      <c r="AG673" t="str">
        <f>IF('WetLitterbags placem_collection'!AC14="","",'WetLitterbags placem_collection'!AC14)</f>
        <v/>
      </c>
      <c r="AH673">
        <f>AVERAGE('WetLitterbags placem_collection'!S14,'WetLitterbags placem_collection'!U14)</f>
        <v>25.8</v>
      </c>
      <c r="AI673">
        <f>AVERAGE('WetLitterbags placem_collection'!R14,'WetLitterbags placem_collection'!T14)</f>
        <v>21.7</v>
      </c>
      <c r="AJ673">
        <f>INDEX(Coordinates!$B$2:$B$197,MATCH(G673,Coordinates!$J$2:$J$197,0))</f>
        <v>-3.3979050260000001</v>
      </c>
      <c r="AK673">
        <f>INDEX(Coordinates!$C$2:$C$197,MATCH(G673,Coordinates!$J$2:$J$197,0))</f>
        <v>34.837123030000001</v>
      </c>
      <c r="AL673" t="str">
        <f>IF(ISNUMBER(SEARCH("C", 'WetLitterbags placem_collection'!Y14)),"YES","NO")</f>
        <v>NO</v>
      </c>
      <c r="AM673" t="str">
        <f>IF(ISNUMBER(SEARCH("H", 'WetLitterbags placem_collection'!Y14)),"YES","NO")</f>
        <v>NO</v>
      </c>
      <c r="AN673" t="str">
        <f>IF(ISNUMBER(SEARCH("R", 'WetLitterbags placem_collection'!Y14)),"YES","NO")</f>
        <v>NO</v>
      </c>
    </row>
    <row r="674" spans="1:40" ht="15" customHeight="1">
      <c r="A674" s="258" t="s">
        <v>2460</v>
      </c>
      <c r="B674" s="263">
        <f>'Dry_Litterbag Placem_Collection'!A15</f>
        <v>13</v>
      </c>
      <c r="C674" s="263" t="str">
        <f>'Dry_Litterbag Placem_Collection'!B15</f>
        <v>Makao</v>
      </c>
      <c r="D674" s="263" t="s">
        <v>2659</v>
      </c>
      <c r="E674" s="263" t="s">
        <v>2660</v>
      </c>
      <c r="F674" s="263">
        <v>2</v>
      </c>
      <c r="G674" s="264" t="str">
        <f>'Dry_Litterbag Placem_Collection'!C15</f>
        <v>Dry_Ag2_T5</v>
      </c>
      <c r="H674" s="273" t="s">
        <v>3651</v>
      </c>
      <c r="I674" s="274" t="s">
        <v>298</v>
      </c>
      <c r="J674" s="223" t="str">
        <f>'WetLitterbags placem_collection'!Q15</f>
        <v>R3</v>
      </c>
      <c r="K674" s="225">
        <f>IFERROR(INDEX('Green_rooibos initial weight'!$C$5:$C$1749,MATCH(J674, 'Green_rooibos initial weight'!$A$5:$A$1749,0)),"")</f>
        <v>2.242</v>
      </c>
      <c r="L674" s="225">
        <f>IFERROR(K674-(TBIcalc!$H$9+TBIcalc!$H$10),"")</f>
        <v>1.9922</v>
      </c>
      <c r="M674" s="391">
        <f>AVERAGE(Ashed_controlls!$K$12:$K$14)</f>
        <v>2.2816647271287041</v>
      </c>
      <c r="N674" s="225">
        <f t="shared" si="54"/>
        <v>1.9467446753061419</v>
      </c>
      <c r="O674" s="225">
        <f>IF(IFERROR(INDEX('Both teabags AfterWet'!$C$3:$C$841,MATCH(J674,'Both teabags AfterWet'!$A$3:$A$841,0)),"")="","",(IFERROR(INDEX('Both teabags AfterWet'!$C$3:$C$841,MATCH(J674,'Both teabags AfterWet'!$A$3:$A$841,0)),"")))</f>
        <v>1.4899</v>
      </c>
      <c r="P674" s="225">
        <f>IFERROR(IF(O674&gt;0,O674-(TBIcalc!$H$9),""),"")</f>
        <v>1.3392999999999999</v>
      </c>
      <c r="Q674" s="225">
        <f>IFERROR(INDEX('Ashed teabags wet'!$K$2:$K$821,MATCH(J674,'Ashed teabags wet'!$A$2:$A$821,0)),"")</f>
        <v>3.0078895463511506</v>
      </c>
      <c r="R674" s="225">
        <f t="shared" si="57"/>
        <v>1.299015335305719</v>
      </c>
      <c r="S674" s="226">
        <f>'WetLitterbags placem_collection'!E15</f>
        <v>42766</v>
      </c>
      <c r="T674" s="226">
        <f>IF('WetLitterbags placem_collection'!G15="","",'WetLitterbags placem_collection'!G15)</f>
        <v>42818</v>
      </c>
      <c r="U674" s="227">
        <f t="shared" si="59"/>
        <v>52</v>
      </c>
      <c r="V674" s="225">
        <f t="shared" si="55"/>
        <v>0.65290000000000004</v>
      </c>
      <c r="W674" s="225">
        <f t="shared" si="56"/>
        <v>0.64772934000042293</v>
      </c>
      <c r="X674">
        <f>IFERROR(INDEX(Rainfall_Wet!$O$2:$O$217,MATCH(B674, Rainfall_Wet!$A$2:$A$217,0)),"")</f>
        <v>194.43839254400001</v>
      </c>
      <c r="Y674" s="231">
        <v>21.13063730679653</v>
      </c>
      <c r="Z674" s="231">
        <v>3.0912555579081076</v>
      </c>
      <c r="AA674" s="231">
        <v>75.778107135295357</v>
      </c>
      <c r="AB674" s="232" t="s">
        <v>2670</v>
      </c>
      <c r="AC674" s="231">
        <v>4.4613109906357797</v>
      </c>
      <c r="AD674">
        <f>IF('WetLitterbags placem_collection'!AB15="","",'WetLitterbags placem_collection'!AB15)</f>
        <v>11.4</v>
      </c>
      <c r="AE674">
        <f>IF('WetLitterbags placem_collection'!Z15="","",'WetLitterbags placem_collection'!Z15)</f>
        <v>31</v>
      </c>
      <c r="AF674" s="246" t="str">
        <f>IF('WetLitterbags placem_collection'!AA15="","",'WetLitterbags placem_collection'!AA15)</f>
        <v>M</v>
      </c>
      <c r="AG674">
        <f>IF('WetLitterbags placem_collection'!AC15="","",'WetLitterbags placem_collection'!AC15)</f>
        <v>0</v>
      </c>
      <c r="AH674">
        <f>AVERAGE('WetLitterbags placem_collection'!S15,'WetLitterbags placem_collection'!U15)</f>
        <v>20.8</v>
      </c>
      <c r="AI674">
        <f>AVERAGE('WetLitterbags placem_collection'!R15,'WetLitterbags placem_collection'!T15)</f>
        <v>23.4</v>
      </c>
      <c r="AJ674">
        <f>INDEX(Coordinates!$B$2:$B$197,MATCH(G674,Coordinates!$J$2:$J$197,0))</f>
        <v>-3.3979040199999999</v>
      </c>
      <c r="AK674">
        <f>INDEX(Coordinates!$C$2:$C$197,MATCH(G674,Coordinates!$J$2:$J$197,0))</f>
        <v>34.837027980000002</v>
      </c>
      <c r="AL674" t="str">
        <f>IF(ISNUMBER(SEARCH("C", 'WetLitterbags placem_collection'!Y15)),"YES","NO")</f>
        <v>NO</v>
      </c>
      <c r="AM674" t="str">
        <f>IF(ISNUMBER(SEARCH("H", 'WetLitterbags placem_collection'!Y15)),"YES","NO")</f>
        <v>NO</v>
      </c>
      <c r="AN674" t="str">
        <f>IF(ISNUMBER(SEARCH("R", 'WetLitterbags placem_collection'!Y15)),"YES","NO")</f>
        <v>NO</v>
      </c>
    </row>
    <row r="675" spans="1:40" ht="15" customHeight="1">
      <c r="A675" s="258" t="s">
        <v>2460</v>
      </c>
      <c r="B675" s="263">
        <f>'Dry_Litterbag Placem_Collection'!A16</f>
        <v>14</v>
      </c>
      <c r="C675" s="263" t="str">
        <f>'Dry_Litterbag Placem_Collection'!B16</f>
        <v>Makao</v>
      </c>
      <c r="D675" s="263" t="s">
        <v>2659</v>
      </c>
      <c r="E675" s="263" t="s">
        <v>2660</v>
      </c>
      <c r="F675" s="263">
        <v>2</v>
      </c>
      <c r="G675" s="264" t="str">
        <f>'Dry_Litterbag Placem_Collection'!C16</f>
        <v>Dry_Ag2_T6</v>
      </c>
      <c r="H675" s="273" t="s">
        <v>3651</v>
      </c>
      <c r="I675" s="274" t="s">
        <v>298</v>
      </c>
      <c r="J675" s="223" t="str">
        <f>'WetLitterbags placem_collection'!Q16</f>
        <v>R282</v>
      </c>
      <c r="K675" s="225">
        <f>IFERROR(INDEX('Green_rooibos initial weight'!$C$5:$C$1749,MATCH(J675, 'Green_rooibos initial weight'!$A$5:$A$1749,0)),"")</f>
        <v>2.1829999999999998</v>
      </c>
      <c r="L675" s="225">
        <f>IFERROR(K675-(TBIcalc!$H$9+TBIcalc!$H$10),"")</f>
        <v>1.9331999999999998</v>
      </c>
      <c r="M675" s="391">
        <f>AVERAGE(Ashed_controlls!$K$12:$K$14)</f>
        <v>2.2816647271287041</v>
      </c>
      <c r="N675" s="225">
        <f t="shared" si="54"/>
        <v>1.8890908574951477</v>
      </c>
      <c r="O675" s="225">
        <f>IF(IFERROR(INDEX('Both teabags AfterWet'!$C$3:$C$841,MATCH(J675,'Both teabags AfterWet'!$A$3:$A$841,0)),"")="","",(IFERROR(INDEX('Both teabags AfterWet'!$C$3:$C$841,MATCH(J675,'Both teabags AfterWet'!$A$3:$A$841,0)),"")))</f>
        <v>1.5669999999999999</v>
      </c>
      <c r="P675" s="225">
        <f>IFERROR(IF(O675&gt;0,O675-(TBIcalc!$H$9),""),"")</f>
        <v>1.4163999999999999</v>
      </c>
      <c r="Q675" s="225">
        <f>IFERROR(INDEX('Ashed teabags wet'!$K$2:$K$821,MATCH(J675,'Ashed teabags wet'!$A$2:$A$821,0)),"")</f>
        <v>2.903543307086486</v>
      </c>
      <c r="R675" s="225">
        <f t="shared" si="57"/>
        <v>1.375274212598427</v>
      </c>
      <c r="S675" s="226">
        <f>'WetLitterbags placem_collection'!E16</f>
        <v>42766</v>
      </c>
      <c r="T675" s="226">
        <f>IF('WetLitterbags placem_collection'!G16="","",'WetLitterbags placem_collection'!G16)</f>
        <v>42818</v>
      </c>
      <c r="U675" s="227">
        <f t="shared" si="59"/>
        <v>52</v>
      </c>
      <c r="V675" s="225">
        <f t="shared" si="55"/>
        <v>0.51679999999999993</v>
      </c>
      <c r="W675" s="225">
        <f t="shared" si="56"/>
        <v>0.51381664489672074</v>
      </c>
      <c r="X675">
        <f>IFERROR(INDEX(Rainfall_Wet!$O$2:$O$217,MATCH(B675, Rainfall_Wet!$A$2:$A$217,0)),"")</f>
        <v>194.43839254400001</v>
      </c>
      <c r="Y675" s="231">
        <v>21.13063730679653</v>
      </c>
      <c r="Z675" s="231">
        <v>3.0912555579081076</v>
      </c>
      <c r="AA675" s="231">
        <v>75.778107135295357</v>
      </c>
      <c r="AB675" s="232" t="s">
        <v>2670</v>
      </c>
      <c r="AC675" s="231">
        <v>5.4613109906357797</v>
      </c>
      <c r="AD675">
        <f>IF('WetLitterbags placem_collection'!AB16="","",'WetLitterbags placem_collection'!AB16)</f>
        <v>28.4</v>
      </c>
      <c r="AE675">
        <f>IF('WetLitterbags placem_collection'!Z16="","",'WetLitterbags placem_collection'!Z16)</f>
        <v>42.4</v>
      </c>
      <c r="AF675" s="246" t="str">
        <f>IF('WetLitterbags placem_collection'!AA16="","",'WetLitterbags placem_collection'!AA16)</f>
        <v>M</v>
      </c>
      <c r="AG675">
        <f>IF('WetLitterbags placem_collection'!AC16="","",'WetLitterbags placem_collection'!AC16)</f>
        <v>0</v>
      </c>
      <c r="AH675">
        <f>AVERAGE('WetLitterbags placem_collection'!S16,'WetLitterbags placem_collection'!U16)</f>
        <v>15.7</v>
      </c>
      <c r="AI675">
        <f>AVERAGE('WetLitterbags placem_collection'!R16,'WetLitterbags placem_collection'!T16)</f>
        <v>24.1</v>
      </c>
      <c r="AJ675">
        <f>INDEX(Coordinates!$B$2:$B$197,MATCH(G675,Coordinates!$J$2:$J$197,0))</f>
        <v>-3.397854986</v>
      </c>
      <c r="AK675">
        <f>INDEX(Coordinates!$C$2:$C$197,MATCH(G675,Coordinates!$J$2:$J$197,0))</f>
        <v>34.836874010000002</v>
      </c>
      <c r="AL675" t="str">
        <f>IF(ISNUMBER(SEARCH("C", 'WetLitterbags placem_collection'!Y16)),"YES","NO")</f>
        <v>NO</v>
      </c>
      <c r="AM675" t="str">
        <f>IF(ISNUMBER(SEARCH("H", 'WetLitterbags placem_collection'!Y16)),"YES","NO")</f>
        <v>NO</v>
      </c>
      <c r="AN675" t="str">
        <f>IF(ISNUMBER(SEARCH("R", 'WetLitterbags placem_collection'!Y16)),"YES","NO")</f>
        <v>NO</v>
      </c>
    </row>
    <row r="676" spans="1:40" ht="15" customHeight="1">
      <c r="A676" s="258" t="s">
        <v>2460</v>
      </c>
      <c r="B676" s="263">
        <f>'Dry_Litterbag Placem_Collection'!A17</f>
        <v>15</v>
      </c>
      <c r="C676" s="263" t="str">
        <f>'Dry_Litterbag Placem_Collection'!B17</f>
        <v>Makao</v>
      </c>
      <c r="D676" s="263" t="s">
        <v>2659</v>
      </c>
      <c r="E676" s="263" t="s">
        <v>2660</v>
      </c>
      <c r="F676" s="263">
        <v>2</v>
      </c>
      <c r="G676" s="264" t="str">
        <f>'Dry_Litterbag Placem_Collection'!C17</f>
        <v>Dry_Ag2_T7</v>
      </c>
      <c r="H676" s="273" t="s">
        <v>3651</v>
      </c>
      <c r="I676" s="274" t="s">
        <v>298</v>
      </c>
      <c r="J676" s="223" t="str">
        <f>'WetLitterbags placem_collection'!Q17</f>
        <v>R99</v>
      </c>
      <c r="K676" s="225">
        <f>IFERROR(INDEX('Green_rooibos initial weight'!$C$5:$C$1749,MATCH(J676, 'Green_rooibos initial weight'!$A$5:$A$1749,0)),"")</f>
        <v>2.1920000000000002</v>
      </c>
      <c r="L676" s="225">
        <f>IFERROR(K676-(TBIcalc!$H$9+TBIcalc!$H$10),"")</f>
        <v>1.9422000000000001</v>
      </c>
      <c r="M676" s="391">
        <f>AVERAGE(Ashed_controlls!$K$12:$K$14)</f>
        <v>2.2816647271287041</v>
      </c>
      <c r="N676" s="225">
        <f t="shared" si="54"/>
        <v>1.8978855076697065</v>
      </c>
      <c r="O676" s="225">
        <f>IF(IFERROR(INDEX('Both teabags AfterWet'!$C$3:$C$841,MATCH(J676,'Both teabags AfterWet'!$A$3:$A$841,0)),"")="","",(IFERROR(INDEX('Both teabags AfterWet'!$C$3:$C$841,MATCH(J676,'Both teabags AfterWet'!$A$3:$A$841,0)),"")))</f>
        <v>1.355</v>
      </c>
      <c r="P676" s="225">
        <f>IFERROR(IF(O676&gt;0,O676-(TBIcalc!$H$9),""),"")</f>
        <v>1.2043999999999999</v>
      </c>
      <c r="Q676" s="225">
        <f>IFERROR(INDEX('Ashed teabags wet'!$K$2:$K$821,MATCH(J676,'Ashed teabags wet'!$A$2:$A$821,0)),"")</f>
        <v>7.6999503229018247</v>
      </c>
      <c r="R676" s="225">
        <f t="shared" si="57"/>
        <v>1.1116617983109705</v>
      </c>
      <c r="S676" s="226">
        <f>'WetLitterbags placem_collection'!E17</f>
        <v>42766</v>
      </c>
      <c r="T676" s="226">
        <f>IF('WetLitterbags placem_collection'!G17="","",'WetLitterbags placem_collection'!G17)</f>
        <v>42818</v>
      </c>
      <c r="U676" s="227">
        <f t="shared" si="59"/>
        <v>52</v>
      </c>
      <c r="V676" s="225">
        <f t="shared" si="55"/>
        <v>0.73780000000000023</v>
      </c>
      <c r="W676" s="225">
        <f t="shared" si="56"/>
        <v>0.78622370935873609</v>
      </c>
      <c r="X676">
        <f>IFERROR(INDEX(Rainfall_Wet!$O$2:$O$217,MATCH(B676, Rainfall_Wet!$A$2:$A$217,0)),"")</f>
        <v>194.43839254400001</v>
      </c>
      <c r="Y676" s="231">
        <v>21.13063730679653</v>
      </c>
      <c r="Z676" s="231">
        <v>3.0912555579081076</v>
      </c>
      <c r="AA676" s="231">
        <v>75.778107135295357</v>
      </c>
      <c r="AB676" s="232" t="s">
        <v>2670</v>
      </c>
      <c r="AC676" s="231">
        <v>6.4613109906357797</v>
      </c>
      <c r="AD676">
        <f>IF('WetLitterbags placem_collection'!AB17="","",'WetLitterbags placem_collection'!AB17)</f>
        <v>15.8</v>
      </c>
      <c r="AE676">
        <f>IF('WetLitterbags placem_collection'!Z17="","",'WetLitterbags placem_collection'!Z17)</f>
        <v>30.4</v>
      </c>
      <c r="AF676" s="246" t="str">
        <f>IF('WetLitterbags placem_collection'!AA17="","",'WetLitterbags placem_collection'!AA17)</f>
        <v>M</v>
      </c>
      <c r="AG676">
        <f>IF('WetLitterbags placem_collection'!AC17="","",'WetLitterbags placem_collection'!AC17)</f>
        <v>0</v>
      </c>
      <c r="AH676">
        <f>AVERAGE('WetLitterbags placem_collection'!S17,'WetLitterbags placem_collection'!U17)</f>
        <v>23.9</v>
      </c>
      <c r="AI676">
        <f>AVERAGE('WetLitterbags placem_collection'!R17,'WetLitterbags placem_collection'!T17)</f>
        <v>23.95</v>
      </c>
      <c r="AJ676">
        <f>INDEX(Coordinates!$B$2:$B$197,MATCH(G676,Coordinates!$J$2:$J$197,0))</f>
        <v>-3.3978060349999999</v>
      </c>
      <c r="AK676">
        <f>INDEX(Coordinates!$C$2:$C$197,MATCH(G676,Coordinates!$J$2:$J$197,0))</f>
        <v>34.837023960000003</v>
      </c>
      <c r="AL676" t="str">
        <f>IF(ISNUMBER(SEARCH("C", 'WetLitterbags placem_collection'!Y17)),"YES","NO")</f>
        <v>NO</v>
      </c>
      <c r="AM676" t="str">
        <f>IF(ISNUMBER(SEARCH("H", 'WetLitterbags placem_collection'!Y17)),"YES","NO")</f>
        <v>NO</v>
      </c>
      <c r="AN676" t="str">
        <f>IF(ISNUMBER(SEARCH("R", 'WetLitterbags placem_collection'!Y17)),"YES","NO")</f>
        <v>YES</v>
      </c>
    </row>
    <row r="677" spans="1:40" ht="15" customHeight="1">
      <c r="A677" s="258" t="s">
        <v>2460</v>
      </c>
      <c r="B677" s="263">
        <f>'Dry_Litterbag Placem_Collection'!A18</f>
        <v>16</v>
      </c>
      <c r="C677" s="263" t="str">
        <f>'Dry_Litterbag Placem_Collection'!B18</f>
        <v>Makao</v>
      </c>
      <c r="D677" s="263" t="s">
        <v>2659</v>
      </c>
      <c r="E677" s="263" t="s">
        <v>2660</v>
      </c>
      <c r="F677" s="263">
        <v>2</v>
      </c>
      <c r="G677" s="264" t="str">
        <f>'Dry_Litterbag Placem_Collection'!C18</f>
        <v>Dry_Ag2_T8</v>
      </c>
      <c r="H677" s="273" t="s">
        <v>3651</v>
      </c>
      <c r="I677" s="274" t="s">
        <v>298</v>
      </c>
      <c r="J677" s="223" t="str">
        <f>'WetLitterbags placem_collection'!Q18</f>
        <v>R154</v>
      </c>
      <c r="K677" s="225">
        <f>IFERROR(INDEX('Green_rooibos initial weight'!$C$5:$C$1749,MATCH(J677, 'Green_rooibos initial weight'!$A$5:$A$1749,0)),"")</f>
        <v>2.2010000000000001</v>
      </c>
      <c r="L677" s="225">
        <f>IFERROR(K677-(TBIcalc!$H$9+TBIcalc!$H$10),"")</f>
        <v>1.9512</v>
      </c>
      <c r="M677" s="391">
        <f>AVERAGE(Ashed_controlls!$K$12:$K$14)</f>
        <v>2.2816647271287041</v>
      </c>
      <c r="N677" s="225">
        <f t="shared" si="54"/>
        <v>1.9066801578442647</v>
      </c>
      <c r="O677" s="225">
        <f>IF(IFERROR(INDEX('Both teabags AfterWet'!$C$3:$C$841,MATCH(J677,'Both teabags AfterWet'!$A$3:$A$841,0)),"")="","",(IFERROR(INDEX('Both teabags AfterWet'!$C$3:$C$841,MATCH(J677,'Both teabags AfterWet'!$A$3:$A$841,0)),"")))</f>
        <v>1.421</v>
      </c>
      <c r="P677" s="225">
        <f>IFERROR(IF(O677&gt;0,O677-(TBIcalc!$H$9),""),"")</f>
        <v>1.2704</v>
      </c>
      <c r="Q677" s="225">
        <f>IFERROR(INDEX('Ashed teabags wet'!$K$2:$K$821,MATCH(J677,'Ashed teabags wet'!$A$2:$A$821,0)),"")</f>
        <v>4.0579710144928036</v>
      </c>
      <c r="R677" s="225">
        <f t="shared" si="57"/>
        <v>1.2188475362318834</v>
      </c>
      <c r="S677" s="226">
        <f>'WetLitterbags placem_collection'!E18</f>
        <v>42766</v>
      </c>
      <c r="T677" s="226">
        <f>IF('WetLitterbags placem_collection'!G18="","",'WetLitterbags placem_collection'!G18)</f>
        <v>42818</v>
      </c>
      <c r="U677" s="227">
        <f t="shared" si="59"/>
        <v>52</v>
      </c>
      <c r="V677" s="225">
        <f t="shared" si="55"/>
        <v>0.68080000000000007</v>
      </c>
      <c r="W677" s="225">
        <f t="shared" si="56"/>
        <v>0.68783262161238135</v>
      </c>
      <c r="X677">
        <f>IFERROR(INDEX(Rainfall_Wet!$O$2:$O$217,MATCH(B677, Rainfall_Wet!$A$2:$A$217,0)),"")</f>
        <v>194.43839254400001</v>
      </c>
      <c r="Y677" s="231">
        <v>21.13063730679653</v>
      </c>
      <c r="Z677" s="231">
        <v>3.0912555579081076</v>
      </c>
      <c r="AA677" s="231">
        <v>75.778107135295357</v>
      </c>
      <c r="AB677" s="232" t="s">
        <v>2670</v>
      </c>
      <c r="AC677" s="231">
        <v>7.4613109906357797</v>
      </c>
      <c r="AD677">
        <f>IF('WetLitterbags placem_collection'!AB18="","",'WetLitterbags placem_collection'!AB18)</f>
        <v>8</v>
      </c>
      <c r="AE677">
        <f>IF('WetLitterbags placem_collection'!Z18="","",'WetLitterbags placem_collection'!Z18)</f>
        <v>12.4</v>
      </c>
      <c r="AF677" s="246" t="str">
        <f>IF('WetLitterbags placem_collection'!AA18="","",'WetLitterbags placem_collection'!AA18)</f>
        <v>M</v>
      </c>
      <c r="AG677">
        <f>IF('WetLitterbags placem_collection'!AC18="","",'WetLitterbags placem_collection'!AC18)</f>
        <v>0</v>
      </c>
      <c r="AH677">
        <f>AVERAGE('WetLitterbags placem_collection'!S18,'WetLitterbags placem_collection'!U18)</f>
        <v>17.5</v>
      </c>
      <c r="AI677">
        <f>AVERAGE('WetLitterbags placem_collection'!R18,'WetLitterbags placem_collection'!T18)</f>
        <v>24.05</v>
      </c>
      <c r="AJ677">
        <f>INDEX(Coordinates!$B$2:$B$197,MATCH(G677,Coordinates!$J$2:$J$197,0))</f>
        <v>-3.3977669760000002</v>
      </c>
      <c r="AK677">
        <f>INDEX(Coordinates!$C$2:$C$197,MATCH(G677,Coordinates!$J$2:$J$197,0))</f>
        <v>34.837181039999997</v>
      </c>
      <c r="AL677" t="str">
        <f>IF(ISNUMBER(SEARCH("C", 'WetLitterbags placem_collection'!Y18)),"YES","NO")</f>
        <v>NO</v>
      </c>
      <c r="AM677" t="str">
        <f>IF(ISNUMBER(SEARCH("H", 'WetLitterbags placem_collection'!Y18)),"YES","NO")</f>
        <v>NO</v>
      </c>
      <c r="AN677" t="str">
        <f>IF(ISNUMBER(SEARCH("R", 'WetLitterbags placem_collection'!Y18)),"YES","NO")</f>
        <v>YES</v>
      </c>
    </row>
    <row r="678" spans="1:40" ht="15" customHeight="1">
      <c r="A678" s="258" t="s">
        <v>2460</v>
      </c>
      <c r="B678" s="263">
        <f>'Dry_Litterbag Placem_Collection'!A19</f>
        <v>17</v>
      </c>
      <c r="C678" s="263" t="str">
        <f>'Dry_Litterbag Placem_Collection'!B19</f>
        <v>Makao</v>
      </c>
      <c r="D678" s="263" t="s">
        <v>2659</v>
      </c>
      <c r="E678" s="263" t="s">
        <v>2660</v>
      </c>
      <c r="F678" s="263">
        <v>3</v>
      </c>
      <c r="G678" s="264" t="str">
        <f>'Dry_Litterbag Placem_Collection'!C19</f>
        <v>Dry_Ag3_T1</v>
      </c>
      <c r="H678" s="273" t="s">
        <v>3651</v>
      </c>
      <c r="I678" s="274" t="s">
        <v>298</v>
      </c>
      <c r="J678" s="223" t="str">
        <f>'WetLitterbags placem_collection'!Q19</f>
        <v>R380</v>
      </c>
      <c r="K678" s="225">
        <f>IFERROR(INDEX('Green_rooibos initial weight'!$C$5:$C$1749,MATCH(J678, 'Green_rooibos initial weight'!$A$5:$A$1749,0)),"")</f>
        <v>2.2799999999999998</v>
      </c>
      <c r="L678" s="225">
        <f>IFERROR(K678-(TBIcalc!$H$9+TBIcalc!$H$10),"")</f>
        <v>2.0301999999999998</v>
      </c>
      <c r="M678" s="391">
        <f>AVERAGE(Ashed_controlls!$K$12:$K$14)</f>
        <v>2.2816647271287041</v>
      </c>
      <c r="N678" s="225">
        <f t="shared" si="54"/>
        <v>1.9838776427098328</v>
      </c>
      <c r="O678" s="225">
        <f>IF(IFERROR(INDEX('Both teabags AfterWet'!$C$3:$C$841,MATCH(J678,'Both teabags AfterWet'!$A$3:$A$841,0)),"")="","",(IFERROR(INDEX('Both teabags AfterWet'!$C$3:$C$841,MATCH(J678,'Both teabags AfterWet'!$A$3:$A$841,0)),"")))</f>
        <v>1.6271</v>
      </c>
      <c r="P678" s="225">
        <f>IFERROR(IF(O678&gt;0,O678-(TBIcalc!$H$9),""),"")</f>
        <v>1.4764999999999999</v>
      </c>
      <c r="Q678" s="225">
        <f>IFERROR(INDEX('Ashed teabags wet'!$K$2:$K$821,MATCH(J678,'Ashed teabags wet'!$A$2:$A$821,0)),"")</f>
        <v>3.3600802407224508</v>
      </c>
      <c r="R678" s="225">
        <f t="shared" si="57"/>
        <v>1.4268884152457328</v>
      </c>
      <c r="S678" s="226">
        <f>'WetLitterbags placem_collection'!E19</f>
        <v>42767</v>
      </c>
      <c r="T678" s="226">
        <f>IF('WetLitterbags placem_collection'!G19="","",'WetLitterbags placem_collection'!G19)</f>
        <v>42818</v>
      </c>
      <c r="U678" s="227">
        <f t="shared" si="59"/>
        <v>51</v>
      </c>
      <c r="V678" s="225">
        <f t="shared" si="55"/>
        <v>0.55369999999999986</v>
      </c>
      <c r="W678" s="225">
        <f t="shared" si="56"/>
        <v>0.55698922746409996</v>
      </c>
      <c r="X678">
        <f>IFERROR(INDEX(Rainfall_Wet!$O$2:$O$217,MATCH(B678, Rainfall_Wet!$A$2:$A$217,0)),"")</f>
        <v>185.630065823</v>
      </c>
      <c r="Y678" s="231">
        <v>54.080969906906262</v>
      </c>
      <c r="Z678" s="231">
        <v>21.264484651351896</v>
      </c>
      <c r="AA678" s="231">
        <v>24.654545441741845</v>
      </c>
      <c r="AB678" s="232" t="s">
        <v>2673</v>
      </c>
      <c r="AC678" s="231">
        <v>1.8433218334154755</v>
      </c>
      <c r="AD678" t="str">
        <f>IF('WetLitterbags placem_collection'!AB19="","",'WetLitterbags placem_collection'!AB19)</f>
        <v/>
      </c>
      <c r="AE678" t="str">
        <f>IF('WetLitterbags placem_collection'!Z19="","",'WetLitterbags placem_collection'!Z19)</f>
        <v/>
      </c>
      <c r="AF678" s="246" t="str">
        <f>IF('WetLitterbags placem_collection'!AA19="","",'WetLitterbags placem_collection'!AA19)</f>
        <v/>
      </c>
      <c r="AG678" t="str">
        <f>IF('WetLitterbags placem_collection'!AC19="","",'WetLitterbags placem_collection'!AC19)</f>
        <v/>
      </c>
      <c r="AH678">
        <f>AVERAGE('WetLitterbags placem_collection'!S19,'WetLitterbags placem_collection'!U19)</f>
        <v>35.9</v>
      </c>
      <c r="AI678">
        <f>AVERAGE('WetLitterbags placem_collection'!R19,'WetLitterbags placem_collection'!T19)</f>
        <v>21.35</v>
      </c>
      <c r="AJ678">
        <f>INDEX(Coordinates!$B$2:$B$197,MATCH(G678,Coordinates!$J$2:$J$197,0))</f>
        <v>-3.3854090330000002</v>
      </c>
      <c r="AK678">
        <f>INDEX(Coordinates!$C$2:$C$197,MATCH(G678,Coordinates!$J$2:$J$197,0))</f>
        <v>34.818901029999999</v>
      </c>
      <c r="AL678" t="str">
        <f>IF(ISNUMBER(SEARCH("C", 'WetLitterbags placem_collection'!Y19)),"YES","NO")</f>
        <v>NO</v>
      </c>
      <c r="AM678" t="str">
        <f>IF(ISNUMBER(SEARCH("H", 'WetLitterbags placem_collection'!Y19)),"YES","NO")</f>
        <v>NO</v>
      </c>
      <c r="AN678" t="str">
        <f>IF(ISNUMBER(SEARCH("R", 'WetLitterbags placem_collection'!Y19)),"YES","NO")</f>
        <v>YES</v>
      </c>
    </row>
    <row r="679" spans="1:40" ht="15" customHeight="1">
      <c r="A679" s="258" t="s">
        <v>2460</v>
      </c>
      <c r="B679" s="263">
        <f>'Dry_Litterbag Placem_Collection'!A20</f>
        <v>18</v>
      </c>
      <c r="C679" s="263" t="str">
        <f>'Dry_Litterbag Placem_Collection'!B20</f>
        <v>Makao</v>
      </c>
      <c r="D679" s="263" t="s">
        <v>2659</v>
      </c>
      <c r="E679" s="263" t="s">
        <v>2660</v>
      </c>
      <c r="F679" s="263">
        <v>3</v>
      </c>
      <c r="G679" s="264" t="str">
        <f>'Dry_Litterbag Placem_Collection'!C20</f>
        <v>Dry_Ag3_T2</v>
      </c>
      <c r="H679" s="273" t="s">
        <v>3651</v>
      </c>
      <c r="I679" s="274" t="s">
        <v>298</v>
      </c>
      <c r="J679" s="223" t="str">
        <f>'WetLitterbags placem_collection'!Q20</f>
        <v>R274</v>
      </c>
      <c r="K679" s="225">
        <f>IFERROR(INDEX('Green_rooibos initial weight'!$C$5:$C$1749,MATCH(J679, 'Green_rooibos initial weight'!$A$5:$A$1749,0)),"")</f>
        <v>2.1880000000000002</v>
      </c>
      <c r="L679" s="225">
        <f>IFERROR(K679-(TBIcalc!$H$9+TBIcalc!$H$10),"")</f>
        <v>1.9382000000000001</v>
      </c>
      <c r="M679" s="391">
        <f>AVERAGE(Ashed_controlls!$K$12:$K$14)</f>
        <v>2.2816647271287041</v>
      </c>
      <c r="N679" s="225">
        <f t="shared" si="54"/>
        <v>1.8939767742587916</v>
      </c>
      <c r="O679" s="225">
        <f>IF(IFERROR(INDEX('Both teabags AfterWet'!$C$3:$C$841,MATCH(J679,'Both teabags AfterWet'!$A$3:$A$841,0)),"")="","",(IFERROR(INDEX('Both teabags AfterWet'!$C$3:$C$841,MATCH(J679,'Both teabags AfterWet'!$A$3:$A$841,0)),"")))</f>
        <v>1.6060000000000001</v>
      </c>
      <c r="P679" s="225">
        <f>IFERROR(IF(O679&gt;0,O679-(TBIcalc!$H$9),""),"")</f>
        <v>1.4554</v>
      </c>
      <c r="Q679" s="225">
        <f>IFERROR(INDEX('Ashed teabags wet'!$K$2:$K$821,MATCH(J679,'Ashed teabags wet'!$A$2:$A$821,0)),"")</f>
        <v>4.6344959388436653</v>
      </c>
      <c r="R679" s="225">
        <f t="shared" si="57"/>
        <v>1.3879495461060694</v>
      </c>
      <c r="S679" s="226">
        <f>'WetLitterbags placem_collection'!E20</f>
        <v>42767</v>
      </c>
      <c r="T679" s="226">
        <f>IF('WetLitterbags placem_collection'!G20="","",'WetLitterbags placem_collection'!G20)</f>
        <v>42818</v>
      </c>
      <c r="U679" s="227">
        <f t="shared" si="59"/>
        <v>51</v>
      </c>
      <c r="V679" s="225">
        <f t="shared" si="55"/>
        <v>0.48280000000000012</v>
      </c>
      <c r="W679" s="225">
        <f t="shared" si="56"/>
        <v>0.50602722815272227</v>
      </c>
      <c r="X679">
        <f>IFERROR(INDEX(Rainfall_Wet!$O$2:$O$217,MATCH(B679, Rainfall_Wet!$A$2:$A$217,0)),"")</f>
        <v>185.630065823</v>
      </c>
      <c r="Y679" s="231">
        <v>54.080969906906262</v>
      </c>
      <c r="Z679" s="231">
        <v>21.264484651351896</v>
      </c>
      <c r="AA679" s="231">
        <v>24.654545441741845</v>
      </c>
      <c r="AB679" s="232" t="s">
        <v>2673</v>
      </c>
      <c r="AC679" s="231">
        <v>2.8433218334154802</v>
      </c>
      <c r="AD679" t="str">
        <f>IF('WetLitterbags placem_collection'!AB20="","",'WetLitterbags placem_collection'!AB20)</f>
        <v/>
      </c>
      <c r="AE679" t="str">
        <f>IF('WetLitterbags placem_collection'!Z20="","",'WetLitterbags placem_collection'!Z20)</f>
        <v/>
      </c>
      <c r="AF679" s="246" t="str">
        <f>IF('WetLitterbags placem_collection'!AA20="","",'WetLitterbags placem_collection'!AA20)</f>
        <v/>
      </c>
      <c r="AG679" t="str">
        <f>IF('WetLitterbags placem_collection'!AC20="","",'WetLitterbags placem_collection'!AC20)</f>
        <v/>
      </c>
      <c r="AH679">
        <f>AVERAGE('WetLitterbags placem_collection'!S20,'WetLitterbags placem_collection'!U20)</f>
        <v>36.950000000000003</v>
      </c>
      <c r="AI679">
        <f>AVERAGE('WetLitterbags placem_collection'!R20,'WetLitterbags placem_collection'!T20)</f>
        <v>21.35</v>
      </c>
      <c r="AJ679">
        <f>INDEX(Coordinates!$B$2:$B$197,MATCH(G679,Coordinates!$J$2:$J$197,0))</f>
        <v>-3.385375002</v>
      </c>
      <c r="AK679">
        <f>INDEX(Coordinates!$C$2:$C$197,MATCH(G679,Coordinates!$J$2:$J$197,0))</f>
        <v>34.818939999999998</v>
      </c>
      <c r="AL679" t="str">
        <f>IF(ISNUMBER(SEARCH("C", 'WetLitterbags placem_collection'!Y20)),"YES","NO")</f>
        <v>NO</v>
      </c>
      <c r="AM679" t="str">
        <f>IF(ISNUMBER(SEARCH("H", 'WetLitterbags placem_collection'!Y20)),"YES","NO")</f>
        <v>NO</v>
      </c>
      <c r="AN679" t="str">
        <f>IF(ISNUMBER(SEARCH("R", 'WetLitterbags placem_collection'!Y20)),"YES","NO")</f>
        <v>YES</v>
      </c>
    </row>
    <row r="680" spans="1:40" ht="15" customHeight="1">
      <c r="A680" s="258" t="s">
        <v>2460</v>
      </c>
      <c r="B680" s="263">
        <f>'Dry_Litterbag Placem_Collection'!A21</f>
        <v>19</v>
      </c>
      <c r="C680" s="263" t="str">
        <f>'Dry_Litterbag Placem_Collection'!B21</f>
        <v>Makao</v>
      </c>
      <c r="D680" s="263" t="s">
        <v>2659</v>
      </c>
      <c r="E680" s="263" t="s">
        <v>2660</v>
      </c>
      <c r="F680" s="263">
        <v>3</v>
      </c>
      <c r="G680" s="264" t="str">
        <f>'Dry_Litterbag Placem_Collection'!C21</f>
        <v>Dry_Ag3_T3</v>
      </c>
      <c r="H680" s="273" t="s">
        <v>3651</v>
      </c>
      <c r="I680" s="274" t="s">
        <v>298</v>
      </c>
      <c r="J680" s="223" t="str">
        <f>'WetLitterbags placem_collection'!Q21</f>
        <v>R566</v>
      </c>
      <c r="K680" s="225">
        <f>IFERROR(INDEX('Green_rooibos initial weight'!$C$5:$C$1749,MATCH(J680, 'Green_rooibos initial weight'!$A$5:$A$1749,0)),"")</f>
        <v>2.117</v>
      </c>
      <c r="L680" s="225">
        <f>IFERROR(K680-(TBIcalc!$H$9+TBIcalc!$H$10),"")</f>
        <v>1.8672</v>
      </c>
      <c r="M680" s="391">
        <f>AVERAGE(Ashed_controlls!$K$12:$K$14)</f>
        <v>2.2816647271287041</v>
      </c>
      <c r="N680" s="225">
        <f t="shared" si="54"/>
        <v>1.8245967562150529</v>
      </c>
      <c r="O680" s="225">
        <f>IF(IFERROR(INDEX('Both teabags AfterWet'!$C$3:$C$841,MATCH(J680,'Both teabags AfterWet'!$A$3:$A$841,0)),"")="","",(IFERROR(INDEX('Both teabags AfterWet'!$C$3:$C$841,MATCH(J680,'Both teabags AfterWet'!$A$3:$A$841,0)),"")))</f>
        <v>1.4496</v>
      </c>
      <c r="P680" s="225">
        <f>IFERROR(IF(O680&gt;0,O680-(TBIcalc!$H$9),""),"")</f>
        <v>1.2989999999999999</v>
      </c>
      <c r="Q680" s="225">
        <f>IFERROR(INDEX('Ashed teabags wet'!$K$2:$K$821,MATCH(J680,'Ashed teabags wet'!$A$2:$A$821,0)),"")</f>
        <v>8.439646712463917</v>
      </c>
      <c r="R680" s="225">
        <f t="shared" si="57"/>
        <v>1.1893689892050936</v>
      </c>
      <c r="S680" s="226">
        <f>'WetLitterbags placem_collection'!E21</f>
        <v>42767</v>
      </c>
      <c r="T680" s="226">
        <f>IF('WetLitterbags placem_collection'!G21="","",'WetLitterbags placem_collection'!G21)</f>
        <v>42818</v>
      </c>
      <c r="U680" s="227">
        <f t="shared" si="59"/>
        <v>51</v>
      </c>
      <c r="V680" s="225">
        <f t="shared" si="55"/>
        <v>0.56820000000000004</v>
      </c>
      <c r="W680" s="225">
        <f t="shared" si="56"/>
        <v>0.63522776700995931</v>
      </c>
      <c r="X680">
        <f>IFERROR(INDEX(Rainfall_Wet!$O$2:$O$217,MATCH(B680, Rainfall_Wet!$A$2:$A$217,0)),"")</f>
        <v>185.630065823</v>
      </c>
      <c r="Y680" s="231">
        <v>54.080969906906262</v>
      </c>
      <c r="Z680" s="231">
        <v>21.264484651351896</v>
      </c>
      <c r="AA680" s="231">
        <v>24.654545441741845</v>
      </c>
      <c r="AB680" s="232" t="s">
        <v>2673</v>
      </c>
      <c r="AC680" s="231">
        <v>3.8433218334154802</v>
      </c>
      <c r="AD680" t="str">
        <f>IF('WetLitterbags placem_collection'!AB21="","",'WetLitterbags placem_collection'!AB21)</f>
        <v/>
      </c>
      <c r="AE680" t="str">
        <f>IF('WetLitterbags placem_collection'!Z21="","",'WetLitterbags placem_collection'!Z21)</f>
        <v/>
      </c>
      <c r="AF680" s="246" t="str">
        <f>IF('WetLitterbags placem_collection'!AA21="","",'WetLitterbags placem_collection'!AA21)</f>
        <v/>
      </c>
      <c r="AG680" t="str">
        <f>IF('WetLitterbags placem_collection'!AC21="","",'WetLitterbags placem_collection'!AC21)</f>
        <v/>
      </c>
      <c r="AH680">
        <f>AVERAGE('WetLitterbags placem_collection'!S21,'WetLitterbags placem_collection'!U21)</f>
        <v>39.299999999999997</v>
      </c>
      <c r="AI680">
        <f>AVERAGE('WetLitterbags placem_collection'!R21,'WetLitterbags placem_collection'!T21)</f>
        <v>21.1</v>
      </c>
      <c r="AJ680">
        <f>INDEX(Coordinates!$B$2:$B$197,MATCH(G680,Coordinates!$J$2:$J$197,0))</f>
        <v>-3.3853589930000001</v>
      </c>
      <c r="AK680">
        <f>INDEX(Coordinates!$C$2:$C$197,MATCH(G680,Coordinates!$J$2:$J$197,0))</f>
        <v>34.818991969999999</v>
      </c>
      <c r="AL680" t="str">
        <f>IF(ISNUMBER(SEARCH("C", 'WetLitterbags placem_collection'!Y21)),"YES","NO")</f>
        <v>NO</v>
      </c>
      <c r="AM680" t="str">
        <f>IF(ISNUMBER(SEARCH("H", 'WetLitterbags placem_collection'!Y21)),"YES","NO")</f>
        <v>NO</v>
      </c>
      <c r="AN680" t="str">
        <f>IF(ISNUMBER(SEARCH("R", 'WetLitterbags placem_collection'!Y21)),"YES","NO")</f>
        <v>NO</v>
      </c>
    </row>
    <row r="681" spans="1:40" ht="15" customHeight="1">
      <c r="A681" s="258" t="s">
        <v>2460</v>
      </c>
      <c r="B681" s="263">
        <f>'Dry_Litterbag Placem_Collection'!A22</f>
        <v>20</v>
      </c>
      <c r="C681" s="263" t="str">
        <f>'Dry_Litterbag Placem_Collection'!B22</f>
        <v>Makao</v>
      </c>
      <c r="D681" s="263" t="s">
        <v>2659</v>
      </c>
      <c r="E681" s="263" t="s">
        <v>2660</v>
      </c>
      <c r="F681" s="263">
        <v>3</v>
      </c>
      <c r="G681" s="264" t="str">
        <f>'Dry_Litterbag Placem_Collection'!C22</f>
        <v>Dry_Ag3_T4</v>
      </c>
      <c r="H681" s="273" t="s">
        <v>3651</v>
      </c>
      <c r="I681" s="274" t="s">
        <v>298</v>
      </c>
      <c r="J681" s="223" t="str">
        <f>'WetLitterbags placem_collection'!Q22</f>
        <v>R110</v>
      </c>
      <c r="K681" s="225">
        <f>IFERROR(INDEX('Green_rooibos initial weight'!$C$5:$C$1749,MATCH(J681, 'Green_rooibos initial weight'!$A$5:$A$1749,0)),"")</f>
        <v>2.2530000000000001</v>
      </c>
      <c r="L681" s="225">
        <f>IFERROR(K681-(TBIcalc!$H$9+TBIcalc!$H$10),"")</f>
        <v>2.0032000000000001</v>
      </c>
      <c r="M681" s="391">
        <f>AVERAGE(Ashed_controlls!$K$12:$K$14)</f>
        <v>2.2816647271287041</v>
      </c>
      <c r="N681" s="225">
        <f t="shared" si="54"/>
        <v>1.9574936921861579</v>
      </c>
      <c r="O681" s="225">
        <f>IF(IFERROR(INDEX('Both teabags AfterWet'!$C$3:$C$841,MATCH(J681,'Both teabags AfterWet'!$A$3:$A$841,0)),"")="","",(IFERROR(INDEX('Both teabags AfterWet'!$C$3:$C$841,MATCH(J681,'Both teabags AfterWet'!$A$3:$A$841,0)),"")))</f>
        <v>1.6778999999999999</v>
      </c>
      <c r="P681" s="225">
        <f>IFERROR(IF(O681&gt;0,O681-(TBIcalc!$H$9),""),"")</f>
        <v>1.5272999999999999</v>
      </c>
      <c r="Q681" s="225">
        <f>IFERROR(INDEX('Ashed teabags wet'!$K$2:$K$821,MATCH(J681,'Ashed teabags wet'!$A$2:$A$821,0)),"")</f>
        <v>6.496631376323327</v>
      </c>
      <c r="R681" s="225">
        <f t="shared" si="57"/>
        <v>1.4280769489894136</v>
      </c>
      <c r="S681" s="226">
        <f>'WetLitterbags placem_collection'!E22</f>
        <v>42767</v>
      </c>
      <c r="T681" s="226">
        <f>IF('WetLitterbags placem_collection'!G22="","",'WetLitterbags placem_collection'!G22)</f>
        <v>42818</v>
      </c>
      <c r="U681" s="227">
        <f t="shared" si="59"/>
        <v>51</v>
      </c>
      <c r="V681" s="225">
        <f t="shared" si="55"/>
        <v>0.47590000000000021</v>
      </c>
      <c r="W681" s="225">
        <f t="shared" si="56"/>
        <v>0.52941674319674425</v>
      </c>
      <c r="X681">
        <f>IFERROR(INDEX(Rainfall_Wet!$O$2:$O$217,MATCH(B681, Rainfall_Wet!$A$2:$A$217,0)),"")</f>
        <v>185.630065823</v>
      </c>
      <c r="Y681" s="231">
        <v>54.080969906906262</v>
      </c>
      <c r="Z681" s="231">
        <v>21.264484651351896</v>
      </c>
      <c r="AA681" s="231">
        <v>24.654545441741845</v>
      </c>
      <c r="AB681" s="232" t="s">
        <v>2673</v>
      </c>
      <c r="AC681" s="231">
        <v>4.8433218334154802</v>
      </c>
      <c r="AD681" t="str">
        <f>IF('WetLitterbags placem_collection'!AB22="","",'WetLitterbags placem_collection'!AB22)</f>
        <v/>
      </c>
      <c r="AE681" t="str">
        <f>IF('WetLitterbags placem_collection'!Z22="","",'WetLitterbags placem_collection'!Z22)</f>
        <v/>
      </c>
      <c r="AF681" s="246" t="str">
        <f>IF('WetLitterbags placem_collection'!AA22="","",'WetLitterbags placem_collection'!AA22)</f>
        <v/>
      </c>
      <c r="AG681" t="str">
        <f>IF('WetLitterbags placem_collection'!AC22="","",'WetLitterbags placem_collection'!AC22)</f>
        <v/>
      </c>
      <c r="AH681">
        <f>AVERAGE('WetLitterbags placem_collection'!S22,'WetLitterbags placem_collection'!U22)</f>
        <v>40.049999999999997</v>
      </c>
      <c r="AI681">
        <f>AVERAGE('WetLitterbags placem_collection'!R22,'WetLitterbags placem_collection'!T22)</f>
        <v>21.35</v>
      </c>
      <c r="AJ681">
        <f>INDEX(Coordinates!$B$2:$B$197,MATCH(G681,Coordinates!$J$2:$J$197,0))</f>
        <v>-3.3853969629999998</v>
      </c>
      <c r="AK681">
        <f>INDEX(Coordinates!$C$2:$C$197,MATCH(G681,Coordinates!$J$2:$J$197,0))</f>
        <v>34.818977969999999</v>
      </c>
      <c r="AL681" t="str">
        <f>IF(ISNUMBER(SEARCH("C", 'WetLitterbags placem_collection'!Y22)),"YES","NO")</f>
        <v>NO</v>
      </c>
      <c r="AM681" t="str">
        <f>IF(ISNUMBER(SEARCH("H", 'WetLitterbags placem_collection'!Y22)),"YES","NO")</f>
        <v>NO</v>
      </c>
      <c r="AN681" t="str">
        <f>IF(ISNUMBER(SEARCH("R", 'WetLitterbags placem_collection'!Y22)),"YES","NO")</f>
        <v>NO</v>
      </c>
    </row>
    <row r="682" spans="1:40" ht="15" customHeight="1">
      <c r="A682" s="258" t="s">
        <v>2460</v>
      </c>
      <c r="B682" s="263">
        <f>'Dry_Litterbag Placem_Collection'!A23</f>
        <v>21</v>
      </c>
      <c r="C682" s="263" t="str">
        <f>'Dry_Litterbag Placem_Collection'!B23</f>
        <v>Makao</v>
      </c>
      <c r="D682" s="263" t="s">
        <v>2659</v>
      </c>
      <c r="E682" s="263" t="s">
        <v>2660</v>
      </c>
      <c r="F682" s="263">
        <v>3</v>
      </c>
      <c r="G682" s="264" t="str">
        <f>'Dry_Litterbag Placem_Collection'!C23</f>
        <v>Dry_Ag3_T5</v>
      </c>
      <c r="H682" s="273" t="s">
        <v>3651</v>
      </c>
      <c r="I682" s="274" t="s">
        <v>298</v>
      </c>
      <c r="J682" s="223" t="str">
        <f>'WetLitterbags placem_collection'!Q23</f>
        <v>R79</v>
      </c>
      <c r="K682" s="225">
        <f>IFERROR(INDEX('Green_rooibos initial weight'!$C$5:$C$1749,MATCH(J682, 'Green_rooibos initial weight'!$A$5:$A$1749,0)),"")</f>
        <v>2.1890000000000001</v>
      </c>
      <c r="L682" s="225">
        <f>IFERROR(K682-(TBIcalc!$H$9+TBIcalc!$H$10),"")</f>
        <v>1.9392</v>
      </c>
      <c r="M682" s="391">
        <f>AVERAGE(Ashed_controlls!$K$12:$K$14)</f>
        <v>2.2816647271287041</v>
      </c>
      <c r="N682" s="225">
        <f t="shared" si="54"/>
        <v>1.8949539576115202</v>
      </c>
      <c r="O682" s="225">
        <f>IF(IFERROR(INDEX('Both teabags AfterWet'!$C$3:$C$841,MATCH(J682,'Both teabags AfterWet'!$A$3:$A$841,0)),"")="","",(IFERROR(INDEX('Both teabags AfterWet'!$C$3:$C$841,MATCH(J682,'Both teabags AfterWet'!$A$3:$A$841,0)),"")))</f>
        <v>1.4087000000000001</v>
      </c>
      <c r="P682" s="225">
        <f>IFERROR(IF(O682&gt;0,O682-(TBIcalc!$H$9),""),"")</f>
        <v>1.2581</v>
      </c>
      <c r="Q682" s="225">
        <f>IFERROR(INDEX('Ashed teabags wet'!$K$2:$K$821,MATCH(J682,'Ashed teabags wet'!$A$2:$A$821,0)),"")</f>
        <v>6.7426871591461754</v>
      </c>
      <c r="R682" s="225">
        <f t="shared" si="57"/>
        <v>1.1732702528507819</v>
      </c>
      <c r="S682" s="226">
        <f>'WetLitterbags placem_collection'!E23</f>
        <v>42767</v>
      </c>
      <c r="T682" s="226">
        <f>IF('WetLitterbags placem_collection'!G23="","",'WetLitterbags placem_collection'!G23)</f>
        <v>42818</v>
      </c>
      <c r="U682" s="227">
        <f t="shared" si="59"/>
        <v>51</v>
      </c>
      <c r="V682" s="225">
        <f t="shared" si="55"/>
        <v>0.68110000000000004</v>
      </c>
      <c r="W682" s="225">
        <f t="shared" si="56"/>
        <v>0.72168370476073829</v>
      </c>
      <c r="X682">
        <f>IFERROR(INDEX(Rainfall_Wet!$O$2:$O$217,MATCH(B682, Rainfall_Wet!$A$2:$A$217,0)),"")</f>
        <v>185.630065823</v>
      </c>
      <c r="Y682" s="231">
        <v>54.080969906906262</v>
      </c>
      <c r="Z682" s="231">
        <v>21.264484651351896</v>
      </c>
      <c r="AA682" s="231">
        <v>24.654545441741845</v>
      </c>
      <c r="AB682" s="232" t="s">
        <v>2673</v>
      </c>
      <c r="AC682" s="231">
        <v>5.8433218334154802</v>
      </c>
      <c r="AD682" t="str">
        <f>IF('WetLitterbags placem_collection'!AB23="","",'WetLitterbags placem_collection'!AB23)</f>
        <v/>
      </c>
      <c r="AE682" t="str">
        <f>IF('WetLitterbags placem_collection'!Z23="","",'WetLitterbags placem_collection'!Z23)</f>
        <v/>
      </c>
      <c r="AF682" s="246" t="str">
        <f>IF('WetLitterbags placem_collection'!AA23="","",'WetLitterbags placem_collection'!AA23)</f>
        <v/>
      </c>
      <c r="AG682" t="str">
        <f>IF('WetLitterbags placem_collection'!AC23="","",'WetLitterbags placem_collection'!AC23)</f>
        <v/>
      </c>
      <c r="AH682">
        <f>AVERAGE('WetLitterbags placem_collection'!S23,'WetLitterbags placem_collection'!U23)</f>
        <v>34.150000000000006</v>
      </c>
      <c r="AI682">
        <f>AVERAGE('WetLitterbags placem_collection'!R23,'WetLitterbags placem_collection'!T23)</f>
        <v>20.6</v>
      </c>
      <c r="AJ682">
        <f>INDEX(Coordinates!$B$2:$B$197,MATCH(G682,Coordinates!$J$2:$J$197,0))</f>
        <v>-3.3854019919999998</v>
      </c>
      <c r="AK682">
        <f>INDEX(Coordinates!$C$2:$C$197,MATCH(G682,Coordinates!$J$2:$J$197,0))</f>
        <v>34.81894604</v>
      </c>
      <c r="AL682" t="str">
        <f>IF(ISNUMBER(SEARCH("C", 'WetLitterbags placem_collection'!Y23)),"YES","NO")</f>
        <v>NO</v>
      </c>
      <c r="AM682" t="str">
        <f>IF(ISNUMBER(SEARCH("H", 'WetLitterbags placem_collection'!Y23)),"YES","NO")</f>
        <v>NO</v>
      </c>
      <c r="AN682" t="str">
        <f>IF(ISNUMBER(SEARCH("R", 'WetLitterbags placem_collection'!Y23)),"YES","NO")</f>
        <v>NO</v>
      </c>
    </row>
    <row r="683" spans="1:40" ht="15" customHeight="1">
      <c r="A683" s="258" t="s">
        <v>2460</v>
      </c>
      <c r="B683" s="263">
        <f>'Dry_Litterbag Placem_Collection'!A24</f>
        <v>22</v>
      </c>
      <c r="C683" s="263" t="str">
        <f>'Dry_Litterbag Placem_Collection'!B24</f>
        <v>Makao</v>
      </c>
      <c r="D683" s="263" t="s">
        <v>2659</v>
      </c>
      <c r="E683" s="263" t="s">
        <v>2660</v>
      </c>
      <c r="F683" s="263">
        <v>3</v>
      </c>
      <c r="G683" s="264" t="str">
        <f>'Dry_Litterbag Placem_Collection'!C24</f>
        <v>Dry_Ag3_T6</v>
      </c>
      <c r="H683" s="273" t="s">
        <v>3651</v>
      </c>
      <c r="I683" s="274" t="s">
        <v>298</v>
      </c>
      <c r="J683" s="223" t="str">
        <f>'WetLitterbags placem_collection'!Q24</f>
        <v>R45</v>
      </c>
      <c r="K683" s="225">
        <f>IFERROR(INDEX('Green_rooibos initial weight'!$C$5:$C$1749,MATCH(J683, 'Green_rooibos initial weight'!$A$5:$A$1749,0)),"")</f>
        <v>2.1989999999999998</v>
      </c>
      <c r="L683" s="225">
        <f>IFERROR(K683-(TBIcalc!$H$9+TBIcalc!$H$10),"")</f>
        <v>1.9491999999999998</v>
      </c>
      <c r="M683" s="391">
        <f>AVERAGE(Ashed_controlls!$K$12:$K$14)</f>
        <v>2.2816647271287041</v>
      </c>
      <c r="N683" s="225">
        <f t="shared" si="54"/>
        <v>1.9047257911388071</v>
      </c>
      <c r="O683" s="225">
        <f>IF(IFERROR(INDEX('Both teabags AfterWet'!$C$3:$C$841,MATCH(J683,'Both teabags AfterWet'!$A$3:$A$841,0)),"")="","",(IFERROR(INDEX('Both teabags AfterWet'!$C$3:$C$841,MATCH(J683,'Both teabags AfterWet'!$A$3:$A$841,0)),"")))</f>
        <v>1.4908999999999999</v>
      </c>
      <c r="P683" s="225">
        <f>IFERROR(IF(O683&gt;0,O683-(TBIcalc!$H$9),""),"")</f>
        <v>1.3402999999999998</v>
      </c>
      <c r="Q683" s="225">
        <f>IFERROR(INDEX('Ashed teabags wet'!$K$2:$K$821,MATCH(J683,'Ashed teabags wet'!$A$2:$A$821,0)),"")</f>
        <v>3.3797216699801611</v>
      </c>
      <c r="R683" s="225">
        <f t="shared" si="57"/>
        <v>1.2950015904572558</v>
      </c>
      <c r="S683" s="226">
        <f>'WetLitterbags placem_collection'!E24</f>
        <v>42767</v>
      </c>
      <c r="T683" s="226">
        <f>IF('WetLitterbags placem_collection'!G24="","",'WetLitterbags placem_collection'!G24)</f>
        <v>42818</v>
      </c>
      <c r="U683" s="227">
        <f t="shared" si="59"/>
        <v>51</v>
      </c>
      <c r="V683" s="225">
        <f t="shared" si="55"/>
        <v>0.6089</v>
      </c>
      <c r="W683" s="225">
        <f t="shared" si="56"/>
        <v>0.60972420068155131</v>
      </c>
      <c r="X683">
        <f>IFERROR(INDEX(Rainfall_Wet!$O$2:$O$217,MATCH(B683, Rainfall_Wet!$A$2:$A$217,0)),"")</f>
        <v>185.630065823</v>
      </c>
      <c r="Y683" s="231">
        <v>54.080969906906262</v>
      </c>
      <c r="Z683" s="231">
        <v>21.264484651351896</v>
      </c>
      <c r="AA683" s="231">
        <v>24.654545441741845</v>
      </c>
      <c r="AB683" s="232" t="s">
        <v>2673</v>
      </c>
      <c r="AC683" s="231">
        <v>6.8433218334154802</v>
      </c>
      <c r="AD683" t="str">
        <f>IF('WetLitterbags placem_collection'!AB24="","",'WetLitterbags placem_collection'!AB24)</f>
        <v/>
      </c>
      <c r="AE683" t="str">
        <f>IF('WetLitterbags placem_collection'!Z24="","",'WetLitterbags placem_collection'!Z24)</f>
        <v/>
      </c>
      <c r="AF683" s="246" t="str">
        <f>IF('WetLitterbags placem_collection'!AA24="","",'WetLitterbags placem_collection'!AA24)</f>
        <v/>
      </c>
      <c r="AG683" t="str">
        <f>IF('WetLitterbags placem_collection'!AC24="","",'WetLitterbags placem_collection'!AC24)</f>
        <v/>
      </c>
      <c r="AH683">
        <f>AVERAGE('WetLitterbags placem_collection'!S24,'WetLitterbags placem_collection'!U24)</f>
        <v>34.549999999999997</v>
      </c>
      <c r="AI683">
        <f>AVERAGE('WetLitterbags placem_collection'!R24,'WetLitterbags placem_collection'!T24)</f>
        <v>21.5</v>
      </c>
      <c r="AJ683">
        <f>INDEX(Coordinates!$B$2:$B$197,MATCH(G683,Coordinates!$J$2:$J$197,0))</f>
        <v>-3.3854470029999999</v>
      </c>
      <c r="AK683">
        <f>INDEX(Coordinates!$C$2:$C$197,MATCH(G683,Coordinates!$J$2:$J$197,0))</f>
        <v>34.818946959999998</v>
      </c>
      <c r="AL683" t="str">
        <f>IF(ISNUMBER(SEARCH("C", 'WetLitterbags placem_collection'!Y24)),"YES","NO")</f>
        <v>NO</v>
      </c>
      <c r="AM683" t="str">
        <f>IF(ISNUMBER(SEARCH("H", 'WetLitterbags placem_collection'!Y24)),"YES","NO")</f>
        <v>NO</v>
      </c>
      <c r="AN683" t="str">
        <f>IF(ISNUMBER(SEARCH("R", 'WetLitterbags placem_collection'!Y24)),"YES","NO")</f>
        <v>NO</v>
      </c>
    </row>
    <row r="684" spans="1:40" ht="15" customHeight="1">
      <c r="A684" s="258" t="s">
        <v>2460</v>
      </c>
      <c r="B684" s="263">
        <f>'Dry_Litterbag Placem_Collection'!A25</f>
        <v>23</v>
      </c>
      <c r="C684" s="263" t="str">
        <f>'Dry_Litterbag Placem_Collection'!B25</f>
        <v>Makao</v>
      </c>
      <c r="D684" s="263" t="s">
        <v>2659</v>
      </c>
      <c r="E684" s="263" t="s">
        <v>2660</v>
      </c>
      <c r="F684" s="263">
        <v>3</v>
      </c>
      <c r="G684" s="264" t="str">
        <f>'Dry_Litterbag Placem_Collection'!C25</f>
        <v>Dry_Ag3_T7</v>
      </c>
      <c r="H684" s="273" t="s">
        <v>3651</v>
      </c>
      <c r="I684" s="274" t="s">
        <v>298</v>
      </c>
      <c r="J684" s="223" t="str">
        <f>'WetLitterbags placem_collection'!Q25</f>
        <v>R132</v>
      </c>
      <c r="K684" s="225">
        <f>IFERROR(INDEX('Green_rooibos initial weight'!$C$5:$C$1749,MATCH(J684, 'Green_rooibos initial weight'!$A$5:$A$1749,0)),"")</f>
        <v>2.133</v>
      </c>
      <c r="L684" s="225">
        <f>IFERROR(K684-(TBIcalc!$H$9+TBIcalc!$H$10),"")</f>
        <v>1.8832</v>
      </c>
      <c r="M684" s="391">
        <f>AVERAGE(Ashed_controlls!$K$12:$K$14)</f>
        <v>2.2816647271287041</v>
      </c>
      <c r="N684" s="225">
        <f t="shared" si="54"/>
        <v>1.8402316898587123</v>
      </c>
      <c r="O684" s="225">
        <f>IF(IFERROR(INDEX('Both teabags AfterWet'!$C$3:$C$841,MATCH(J684,'Both teabags AfterWet'!$A$3:$A$841,0)),"")="","",(IFERROR(INDEX('Both teabags AfterWet'!$C$3:$C$841,MATCH(J684,'Both teabags AfterWet'!$A$3:$A$841,0)),"")))</f>
        <v>1.5238</v>
      </c>
      <c r="P684" s="225">
        <f>IFERROR(IF(O684&gt;0,O684-(TBIcalc!$H$9),""),"")</f>
        <v>1.3732</v>
      </c>
      <c r="Q684" s="225">
        <f>IFERROR(INDEX('Ashed teabags wet'!$K$2:$K$821,MATCH(J684,'Ashed teabags wet'!$A$2:$A$821,0)),"")</f>
        <v>1.7982017982017391</v>
      </c>
      <c r="R684" s="225">
        <f t="shared" si="57"/>
        <v>1.3485070929070937</v>
      </c>
      <c r="S684" s="226">
        <f>'WetLitterbags placem_collection'!E25</f>
        <v>42767</v>
      </c>
      <c r="T684" s="226">
        <f>IF('WetLitterbags placem_collection'!G25="","",'WetLitterbags placem_collection'!G25)</f>
        <v>42818</v>
      </c>
      <c r="U684" s="227">
        <f t="shared" si="59"/>
        <v>51</v>
      </c>
      <c r="V684" s="225">
        <f t="shared" si="55"/>
        <v>0.51</v>
      </c>
      <c r="W684" s="225">
        <f t="shared" si="56"/>
        <v>0.49172459695161863</v>
      </c>
      <c r="X684">
        <f>IFERROR(INDEX(Rainfall_Wet!$O$2:$O$217,MATCH(B684, Rainfall_Wet!$A$2:$A$217,0)),"")</f>
        <v>185.630065823</v>
      </c>
      <c r="Y684" s="231">
        <v>54.080969906906262</v>
      </c>
      <c r="Z684" s="231">
        <v>21.264484651351896</v>
      </c>
      <c r="AA684" s="231">
        <v>24.654545441741845</v>
      </c>
      <c r="AB684" s="232" t="s">
        <v>2673</v>
      </c>
      <c r="AC684" s="231">
        <v>7.8433218334154802</v>
      </c>
      <c r="AD684" t="str">
        <f>IF('WetLitterbags placem_collection'!AB25="","",'WetLitterbags placem_collection'!AB25)</f>
        <v/>
      </c>
      <c r="AE684" t="str">
        <f>IF('WetLitterbags placem_collection'!Z25="","",'WetLitterbags placem_collection'!Z25)</f>
        <v/>
      </c>
      <c r="AF684" s="246" t="str">
        <f>IF('WetLitterbags placem_collection'!AA25="","",'WetLitterbags placem_collection'!AA25)</f>
        <v/>
      </c>
      <c r="AG684" t="str">
        <f>IF('WetLitterbags placem_collection'!AC25="","",'WetLitterbags placem_collection'!AC25)</f>
        <v/>
      </c>
      <c r="AH684">
        <f>AVERAGE('WetLitterbags placem_collection'!S25,'WetLitterbags placem_collection'!U25)</f>
        <v>34.5</v>
      </c>
      <c r="AI684">
        <f>AVERAGE('WetLitterbags placem_collection'!R25,'WetLitterbags placem_collection'!T25)</f>
        <v>20.65</v>
      </c>
      <c r="AJ684">
        <f>INDEX(Coordinates!$B$2:$B$197,MATCH(G684,Coordinates!$J$2:$J$197,0))</f>
        <v>-3.3854200130000001</v>
      </c>
      <c r="AK684">
        <f>INDEX(Coordinates!$C$2:$C$197,MATCH(G684,Coordinates!$J$2:$J$197,0))</f>
        <v>34.818856019999998</v>
      </c>
      <c r="AL684" t="str">
        <f>IF(ISNUMBER(SEARCH("C", 'WetLitterbags placem_collection'!Y25)),"YES","NO")</f>
        <v>NO</v>
      </c>
      <c r="AM684" t="str">
        <f>IF(ISNUMBER(SEARCH("H", 'WetLitterbags placem_collection'!Y25)),"YES","NO")</f>
        <v>NO</v>
      </c>
      <c r="AN684" t="str">
        <f>IF(ISNUMBER(SEARCH("R", 'WetLitterbags placem_collection'!Y25)),"YES","NO")</f>
        <v>NO</v>
      </c>
    </row>
    <row r="685" spans="1:40" ht="15" customHeight="1">
      <c r="A685" s="258" t="s">
        <v>2460</v>
      </c>
      <c r="B685" s="263">
        <f>'Dry_Litterbag Placem_Collection'!A26</f>
        <v>24</v>
      </c>
      <c r="C685" s="263" t="str">
        <f>'Dry_Litterbag Placem_Collection'!B26</f>
        <v>Makao</v>
      </c>
      <c r="D685" s="263" t="s">
        <v>2659</v>
      </c>
      <c r="E685" s="263" t="s">
        <v>2660</v>
      </c>
      <c r="F685" s="263">
        <v>3</v>
      </c>
      <c r="G685" s="264" t="str">
        <f>'Dry_Litterbag Placem_Collection'!C26</f>
        <v>Dry_Ag3_T8</v>
      </c>
      <c r="H685" s="273" t="s">
        <v>3651</v>
      </c>
      <c r="I685" s="274" t="s">
        <v>298</v>
      </c>
      <c r="J685" s="223" t="str">
        <f>'WetLitterbags placem_collection'!Q26</f>
        <v>R71</v>
      </c>
      <c r="K685" s="225">
        <f>IFERROR(INDEX('Green_rooibos initial weight'!$C$5:$C$1749,MATCH(J685, 'Green_rooibos initial weight'!$A$5:$A$1749,0)),"")</f>
        <v>2.2440000000000002</v>
      </c>
      <c r="L685" s="225">
        <f>IFERROR(K685-(TBIcalc!$H$9+TBIcalc!$H$10),"")</f>
        <v>1.9942000000000002</v>
      </c>
      <c r="M685" s="391">
        <f>AVERAGE(Ashed_controlls!$K$12:$K$14)</f>
        <v>2.2816647271287041</v>
      </c>
      <c r="N685" s="225">
        <f t="shared" si="54"/>
        <v>1.9486990420115995</v>
      </c>
      <c r="O685" s="225">
        <f>IF(IFERROR(INDEX('Both teabags AfterWet'!$C$3:$C$841,MATCH(J685,'Both teabags AfterWet'!$A$3:$A$841,0)),"")="","",(IFERROR(INDEX('Both teabags AfterWet'!$C$3:$C$841,MATCH(J685,'Both teabags AfterWet'!$A$3:$A$841,0)),"")))</f>
        <v>1.3083</v>
      </c>
      <c r="P685" s="225">
        <f>IFERROR(IF(O685&gt;0,O685-(TBIcalc!$H$9),""),"")</f>
        <v>1.1577</v>
      </c>
      <c r="Q685" s="225">
        <f>IFERROR(INDEX('Ashed teabags wet'!$K$2:$K$821,MATCH(J685,'Ashed teabags wet'!$A$2:$A$821,0)),"")</f>
        <v>5.6575682382137682</v>
      </c>
      <c r="R685" s="225">
        <f t="shared" si="57"/>
        <v>1.0922023325061991</v>
      </c>
      <c r="S685" s="226">
        <f>'WetLitterbags placem_collection'!E26</f>
        <v>42767</v>
      </c>
      <c r="T685" s="226">
        <f>IF('WetLitterbags placem_collection'!G26="","",'WetLitterbags placem_collection'!G26)</f>
        <v>42818</v>
      </c>
      <c r="U685" s="227">
        <f t="shared" si="59"/>
        <v>51</v>
      </c>
      <c r="V685" s="225">
        <f t="shared" si="55"/>
        <v>0.83650000000000024</v>
      </c>
      <c r="W685" s="225">
        <f t="shared" si="56"/>
        <v>0.85649670950540036</v>
      </c>
      <c r="X685">
        <f>IFERROR(INDEX(Rainfall_Wet!$O$2:$O$217,MATCH(B685, Rainfall_Wet!$A$2:$A$217,0)),"")</f>
        <v>185.630065823</v>
      </c>
      <c r="Y685" s="231">
        <v>54.080969906906262</v>
      </c>
      <c r="Z685" s="231">
        <v>21.264484651351896</v>
      </c>
      <c r="AA685" s="231">
        <v>24.654545441741845</v>
      </c>
      <c r="AB685" s="232" t="s">
        <v>2673</v>
      </c>
      <c r="AC685" s="231">
        <v>8.8433218334154695</v>
      </c>
      <c r="AD685" t="str">
        <f>IF('WetLitterbags placem_collection'!AB26="","",'WetLitterbags placem_collection'!AB26)</f>
        <v/>
      </c>
      <c r="AE685" t="str">
        <f>IF('WetLitterbags placem_collection'!Z26="","",'WetLitterbags placem_collection'!Z26)</f>
        <v/>
      </c>
      <c r="AF685" s="246" t="str">
        <f>IF('WetLitterbags placem_collection'!AA26="","",'WetLitterbags placem_collection'!AA26)</f>
        <v/>
      </c>
      <c r="AG685" t="str">
        <f>IF('WetLitterbags placem_collection'!AC26="","",'WetLitterbags placem_collection'!AC26)</f>
        <v/>
      </c>
      <c r="AH685">
        <f>AVERAGE('WetLitterbags placem_collection'!S26,'WetLitterbags placem_collection'!U26)</f>
        <v>36.950000000000003</v>
      </c>
      <c r="AI685">
        <f>AVERAGE('WetLitterbags placem_collection'!R26,'WetLitterbags placem_collection'!T26)</f>
        <v>21.1</v>
      </c>
      <c r="AJ685">
        <f>INDEX(Coordinates!$B$2:$B$197,MATCH(G685,Coordinates!$J$2:$J$197,0))</f>
        <v>-3.3853829649999998</v>
      </c>
      <c r="AK685">
        <f>INDEX(Coordinates!$C$2:$C$197,MATCH(G685,Coordinates!$J$2:$J$197,0))</f>
        <v>34.818877980000003</v>
      </c>
      <c r="AL685" t="str">
        <f>IF(ISNUMBER(SEARCH("C", 'WetLitterbags placem_collection'!Y26)),"YES","NO")</f>
        <v>NO</v>
      </c>
      <c r="AM685" t="str">
        <f>IF(ISNUMBER(SEARCH("H", 'WetLitterbags placem_collection'!Y26)),"YES","NO")</f>
        <v>NO</v>
      </c>
      <c r="AN685" t="str">
        <f>IF(ISNUMBER(SEARCH("R", 'WetLitterbags placem_collection'!Y26)),"YES","NO")</f>
        <v>NO</v>
      </c>
    </row>
    <row r="686" spans="1:40" ht="15" customHeight="1">
      <c r="A686" s="258" t="s">
        <v>2460</v>
      </c>
      <c r="B686" s="263">
        <f>'Dry_Litterbag Placem_Collection'!A27</f>
        <v>25</v>
      </c>
      <c r="C686" s="263" t="str">
        <f>'Dry_Litterbag Placem_Collection'!B27</f>
        <v>Makao</v>
      </c>
      <c r="D686" s="263" t="s">
        <v>2659</v>
      </c>
      <c r="E686" s="263" t="s">
        <v>2660</v>
      </c>
      <c r="F686" s="263">
        <v>4</v>
      </c>
      <c r="G686" s="264" t="str">
        <f>'Dry_Litterbag Placem_Collection'!C27</f>
        <v>Dry_Ag4_T1</v>
      </c>
      <c r="H686" s="273" t="s">
        <v>3651</v>
      </c>
      <c r="I686" s="274" t="s">
        <v>298</v>
      </c>
      <c r="J686" s="223" t="str">
        <f>'WetLitterbags placem_collection'!Q27</f>
        <v>R104</v>
      </c>
      <c r="K686" s="225">
        <f>IFERROR(INDEX('Green_rooibos initial weight'!$C$5:$C$1749,MATCH(J686, 'Green_rooibos initial weight'!$A$5:$A$1749,0)),"")</f>
        <v>2.2109999999999999</v>
      </c>
      <c r="L686" s="225">
        <f>IFERROR(K686-(TBIcalc!$H$9+TBIcalc!$H$10),"")</f>
        <v>1.9611999999999998</v>
      </c>
      <c r="M686" s="391">
        <f>AVERAGE(Ashed_controlls!$K$12:$K$14)</f>
        <v>2.2816647271287041</v>
      </c>
      <c r="N686" s="225">
        <f t="shared" si="54"/>
        <v>1.9164519913715516</v>
      </c>
      <c r="O686" s="225">
        <f>IF(IFERROR(INDEX('Both teabags AfterWet'!$C$3:$C$841,MATCH(J686,'Both teabags AfterWet'!$A$3:$A$841,0)),"")="","",(IFERROR(INDEX('Both teabags AfterWet'!$C$3:$C$841,MATCH(J686,'Both teabags AfterWet'!$A$3:$A$841,0)),"")))</f>
        <v>1.4184000000000001</v>
      </c>
      <c r="P686" s="225">
        <f>IFERROR(IF(O686&gt;0,O686-(TBIcalc!$H$9),""),"")</f>
        <v>1.2678</v>
      </c>
      <c r="Q686" s="225">
        <f>IFERROR(INDEX('Ashed teabags wet'!$K$2:$K$821,MATCH(J686,'Ashed teabags wet'!$A$2:$A$821,0)),"")</f>
        <v>3.8194444444447946</v>
      </c>
      <c r="R686" s="225">
        <f t="shared" si="57"/>
        <v>1.2193770833333288</v>
      </c>
      <c r="S686" s="226">
        <f>'WetLitterbags placem_collection'!E27</f>
        <v>42767</v>
      </c>
      <c r="T686" s="226">
        <f>IF('WetLitterbags placem_collection'!G27="","",'WetLitterbags placem_collection'!G27)</f>
        <v>42818</v>
      </c>
      <c r="U686" s="227">
        <f t="shared" si="59"/>
        <v>51</v>
      </c>
      <c r="V686" s="225">
        <f t="shared" si="55"/>
        <v>0.69339999999999979</v>
      </c>
      <c r="W686" s="225">
        <f t="shared" si="56"/>
        <v>0.69707490803822281</v>
      </c>
      <c r="X686">
        <f>IFERROR(INDEX(Rainfall_Wet!$O$2:$O$217,MATCH(B686, Rainfall_Wet!$A$2:$A$217,0)),"")</f>
        <v>185.630065823</v>
      </c>
      <c r="Y686" s="231">
        <v>51.960000000000008</v>
      </c>
      <c r="Z686" s="231">
        <v>18.919999999999995</v>
      </c>
      <c r="AA686" s="231">
        <v>29.120000000000005</v>
      </c>
      <c r="AB686" s="232" t="s">
        <v>2673</v>
      </c>
      <c r="AC686" s="231">
        <v>1.85293247905372</v>
      </c>
      <c r="AD686" t="str">
        <f>IF('WetLitterbags placem_collection'!AB27="","",'WetLitterbags placem_collection'!AB27)</f>
        <v/>
      </c>
      <c r="AE686" t="str">
        <f>IF('WetLitterbags placem_collection'!Z27="","",'WetLitterbags placem_collection'!Z27)</f>
        <v/>
      </c>
      <c r="AF686" s="246" t="str">
        <f>IF('WetLitterbags placem_collection'!AA27="","",'WetLitterbags placem_collection'!AA27)</f>
        <v/>
      </c>
      <c r="AG686" t="str">
        <f>IF('WetLitterbags placem_collection'!AC27="","",'WetLitterbags placem_collection'!AC27)</f>
        <v/>
      </c>
      <c r="AH686">
        <f>AVERAGE('WetLitterbags placem_collection'!S27,'WetLitterbags placem_collection'!U27)</f>
        <v>36.85</v>
      </c>
      <c r="AI686">
        <f>AVERAGE('WetLitterbags placem_collection'!R27,'WetLitterbags placem_collection'!T27)</f>
        <v>21.35</v>
      </c>
      <c r="AJ686">
        <f>INDEX(Coordinates!$B$2:$B$197,MATCH(G686,Coordinates!$J$2:$J$197,0))</f>
        <v>-3.3849129919999998</v>
      </c>
      <c r="AK686">
        <f>INDEX(Coordinates!$C$2:$C$197,MATCH(G686,Coordinates!$J$2:$J$197,0))</f>
        <v>34.818899020000003</v>
      </c>
      <c r="AL686" t="str">
        <f>IF(ISNUMBER(SEARCH("C", 'WetLitterbags placem_collection'!Y27)),"YES","NO")</f>
        <v>NO</v>
      </c>
      <c r="AM686" t="str">
        <f>IF(ISNUMBER(SEARCH("H", 'WetLitterbags placem_collection'!Y27)),"YES","NO")</f>
        <v>NO</v>
      </c>
      <c r="AN686" t="str">
        <f>IF(ISNUMBER(SEARCH("R", 'WetLitterbags placem_collection'!Y27)),"YES","NO")</f>
        <v>NO</v>
      </c>
    </row>
    <row r="687" spans="1:40" ht="15" customHeight="1">
      <c r="A687" s="258" t="s">
        <v>2460</v>
      </c>
      <c r="B687" s="263">
        <f>'Dry_Litterbag Placem_Collection'!A28</f>
        <v>26</v>
      </c>
      <c r="C687" s="263" t="str">
        <f>'Dry_Litterbag Placem_Collection'!B28</f>
        <v>Makao</v>
      </c>
      <c r="D687" s="263" t="s">
        <v>2659</v>
      </c>
      <c r="E687" s="263" t="s">
        <v>2660</v>
      </c>
      <c r="F687" s="263">
        <v>4</v>
      </c>
      <c r="G687" s="264" t="str">
        <f>'Dry_Litterbag Placem_Collection'!C28</f>
        <v>Dry_Ag4_T2</v>
      </c>
      <c r="H687" s="273" t="s">
        <v>3651</v>
      </c>
      <c r="I687" s="274" t="s">
        <v>298</v>
      </c>
      <c r="J687" s="223" t="str">
        <f>'WetLitterbags placem_collection'!Q28</f>
        <v>R189</v>
      </c>
      <c r="K687" s="225">
        <f>IFERROR(INDEX('Green_rooibos initial weight'!$C$5:$C$1749,MATCH(J687, 'Green_rooibos initial weight'!$A$5:$A$1749,0)),"")</f>
        <v>2.274</v>
      </c>
      <c r="L687" s="225">
        <f>IFERROR(K687-(TBIcalc!$H$9+TBIcalc!$H$10),"")</f>
        <v>2.0242</v>
      </c>
      <c r="M687" s="391">
        <f>AVERAGE(Ashed_controlls!$K$12:$K$14)</f>
        <v>2.2816647271287041</v>
      </c>
      <c r="N687" s="225">
        <f t="shared" si="54"/>
        <v>1.9780145425934608</v>
      </c>
      <c r="O687" s="225">
        <f>IF(IFERROR(INDEX('Both teabags AfterWet'!$C$3:$C$841,MATCH(J687,'Both teabags AfterWet'!$A$3:$A$841,0)),"")="","",(IFERROR(INDEX('Both teabags AfterWet'!$C$3:$C$841,MATCH(J687,'Both teabags AfterWet'!$A$3:$A$841,0)),"")))</f>
        <v>1.464</v>
      </c>
      <c r="P687" s="225">
        <f>IFERROR(IF(O687&gt;0,O687-(TBIcalc!$H$9),""),"")</f>
        <v>1.3133999999999999</v>
      </c>
      <c r="Q687" s="225">
        <f>IFERROR(INDEX('Ashed teabags wet'!$K$2:$K$821,MATCH(J687,'Ashed teabags wet'!$A$2:$A$821,0)),"")</f>
        <v>2.9721955896448731</v>
      </c>
      <c r="R687" s="225">
        <f t="shared" si="57"/>
        <v>1.2743631831256041</v>
      </c>
      <c r="S687" s="226">
        <f>'WetLitterbags placem_collection'!E28</f>
        <v>42767</v>
      </c>
      <c r="T687" s="226">
        <f>IF('WetLitterbags placem_collection'!G28="","",'WetLitterbags placem_collection'!G28)</f>
        <v>42818</v>
      </c>
      <c r="U687" s="227">
        <f t="shared" si="59"/>
        <v>51</v>
      </c>
      <c r="V687" s="225">
        <f t="shared" si="55"/>
        <v>0.7108000000000001</v>
      </c>
      <c r="W687" s="225">
        <f t="shared" si="56"/>
        <v>0.70365135946785662</v>
      </c>
      <c r="X687">
        <f>IFERROR(INDEX(Rainfall_Wet!$O$2:$O$217,MATCH(B687, Rainfall_Wet!$A$2:$A$217,0)),"")</f>
        <v>185.630065823</v>
      </c>
      <c r="Y687" s="231">
        <v>51.960000000000008</v>
      </c>
      <c r="Z687" s="231">
        <v>18.919999999999995</v>
      </c>
      <c r="AA687" s="231">
        <v>29.120000000000005</v>
      </c>
      <c r="AB687" s="232" t="s">
        <v>2673</v>
      </c>
      <c r="AC687" s="231">
        <v>2.8529324790537198</v>
      </c>
      <c r="AD687" t="str">
        <f>IF('WetLitterbags placem_collection'!AB28="","",'WetLitterbags placem_collection'!AB28)</f>
        <v/>
      </c>
      <c r="AE687" t="str">
        <f>IF('WetLitterbags placem_collection'!Z28="","",'WetLitterbags placem_collection'!Z28)</f>
        <v/>
      </c>
      <c r="AF687" s="246" t="str">
        <f>IF('WetLitterbags placem_collection'!AA28="","",'WetLitterbags placem_collection'!AA28)</f>
        <v/>
      </c>
      <c r="AG687" t="str">
        <f>IF('WetLitterbags placem_collection'!AC28="","",'WetLitterbags placem_collection'!AC28)</f>
        <v/>
      </c>
      <c r="AH687">
        <f>AVERAGE('WetLitterbags placem_collection'!S28,'WetLitterbags placem_collection'!U28)</f>
        <v>31.3</v>
      </c>
      <c r="AI687">
        <f>AVERAGE('WetLitterbags placem_collection'!R28,'WetLitterbags placem_collection'!T28)</f>
        <v>20.7</v>
      </c>
      <c r="AJ687">
        <f>INDEX(Coordinates!$B$2:$B$197,MATCH(G687,Coordinates!$J$2:$J$197,0))</f>
        <v>-3.3849689999999999</v>
      </c>
      <c r="AK687">
        <f>INDEX(Coordinates!$C$2:$C$197,MATCH(G687,Coordinates!$J$2:$J$197,0))</f>
        <v>34.818908</v>
      </c>
      <c r="AL687" t="str">
        <f>IF(ISNUMBER(SEARCH("C", 'WetLitterbags placem_collection'!Y28)),"YES","NO")</f>
        <v>NO</v>
      </c>
      <c r="AM687" t="str">
        <f>IF(ISNUMBER(SEARCH("H", 'WetLitterbags placem_collection'!Y28)),"YES","NO")</f>
        <v>NO</v>
      </c>
      <c r="AN687" t="str">
        <f>IF(ISNUMBER(SEARCH("R", 'WetLitterbags placem_collection'!Y28)),"YES","NO")</f>
        <v>NO</v>
      </c>
    </row>
    <row r="688" spans="1:40" ht="15" customHeight="1">
      <c r="A688" s="258" t="s">
        <v>2460</v>
      </c>
      <c r="B688" s="263">
        <f>'Dry_Litterbag Placem_Collection'!A29</f>
        <v>27</v>
      </c>
      <c r="C688" s="263" t="str">
        <f>'Dry_Litterbag Placem_Collection'!B29</f>
        <v>Makao</v>
      </c>
      <c r="D688" s="263" t="s">
        <v>2659</v>
      </c>
      <c r="E688" s="263" t="s">
        <v>2660</v>
      </c>
      <c r="F688" s="263">
        <v>4</v>
      </c>
      <c r="G688" s="264" t="str">
        <f>'Dry_Litterbag Placem_Collection'!C29</f>
        <v>Dry_Ag4_T3</v>
      </c>
      <c r="H688" s="273" t="s">
        <v>3651</v>
      </c>
      <c r="I688" s="274" t="s">
        <v>298</v>
      </c>
      <c r="J688" s="223" t="str">
        <f>'WetLitterbags placem_collection'!Q29</f>
        <v>R217</v>
      </c>
      <c r="K688" s="225">
        <f>IFERROR(INDEX('Green_rooibos initial weight'!$C$5:$C$1749,MATCH(J688, 'Green_rooibos initial weight'!$A$5:$A$1749,0)),"")</f>
        <v>2.2109999999999999</v>
      </c>
      <c r="L688" s="225">
        <f>IFERROR(K688-(TBIcalc!$H$9+TBIcalc!$H$10),"")</f>
        <v>1.9611999999999998</v>
      </c>
      <c r="M688" s="391">
        <f>AVERAGE(Ashed_controlls!$K$12:$K$14)</f>
        <v>2.2816647271287041</v>
      </c>
      <c r="N688" s="225">
        <f t="shared" si="54"/>
        <v>1.9164519913715516</v>
      </c>
      <c r="O688" s="225">
        <f>IF(IFERROR(INDEX('Both teabags AfterWet'!$C$3:$C$841,MATCH(J688,'Both teabags AfterWet'!$A$3:$A$841,0)),"")="","",(IFERROR(INDEX('Both teabags AfterWet'!$C$3:$C$841,MATCH(J688,'Both teabags AfterWet'!$A$3:$A$841,0)),"")))</f>
        <v>1.5392999999999999</v>
      </c>
      <c r="P688" s="225">
        <f>IFERROR(IF(O688&gt;0,O688-(TBIcalc!$H$9),""),"")</f>
        <v>1.3886999999999998</v>
      </c>
      <c r="Q688" s="225">
        <f>IFERROR(INDEX('Ashed teabags wet'!$K$2:$K$821,MATCH(J688,'Ashed teabags wet'!$A$2:$A$821,0)),"")</f>
        <v>3.5156250000002229</v>
      </c>
      <c r="R688" s="225">
        <f t="shared" si="57"/>
        <v>1.3398785156249968</v>
      </c>
      <c r="S688" s="226">
        <f>'WetLitterbags placem_collection'!E29</f>
        <v>42767</v>
      </c>
      <c r="T688" s="226">
        <f>IF('WetLitterbags placem_collection'!G29="","",'WetLitterbags placem_collection'!G29)</f>
        <v>42818</v>
      </c>
      <c r="U688" s="227">
        <f t="shared" si="59"/>
        <v>51</v>
      </c>
      <c r="V688" s="225">
        <f t="shared" si="55"/>
        <v>0.57250000000000001</v>
      </c>
      <c r="W688" s="225">
        <f t="shared" si="56"/>
        <v>0.57657347574655482</v>
      </c>
      <c r="X688">
        <f>IFERROR(INDEX(Rainfall_Wet!$O$2:$O$217,MATCH(B688, Rainfall_Wet!$A$2:$A$217,0)),"")</f>
        <v>185.630065823</v>
      </c>
      <c r="Y688" s="231">
        <v>51.960000000000008</v>
      </c>
      <c r="Z688" s="231">
        <v>18.919999999999995</v>
      </c>
      <c r="AA688" s="231">
        <v>29.120000000000005</v>
      </c>
      <c r="AB688" s="232" t="s">
        <v>2673</v>
      </c>
      <c r="AC688" s="231">
        <v>3.8529324790537198</v>
      </c>
      <c r="AD688" t="str">
        <f>IF('WetLitterbags placem_collection'!AB29="","",'WetLitterbags placem_collection'!AB29)</f>
        <v/>
      </c>
      <c r="AE688" t="str">
        <f>IF('WetLitterbags placem_collection'!Z29="","",'WetLitterbags placem_collection'!Z29)</f>
        <v/>
      </c>
      <c r="AF688" s="246" t="str">
        <f>IF('WetLitterbags placem_collection'!AA29="","",'WetLitterbags placem_collection'!AA29)</f>
        <v/>
      </c>
      <c r="AG688" t="str">
        <f>IF('WetLitterbags placem_collection'!AC29="","",'WetLitterbags placem_collection'!AC29)</f>
        <v/>
      </c>
      <c r="AH688">
        <f>AVERAGE('WetLitterbags placem_collection'!S29,'WetLitterbags placem_collection'!U29)</f>
        <v>28.900000000000002</v>
      </c>
      <c r="AI688">
        <f>AVERAGE('WetLitterbags placem_collection'!R29,'WetLitterbags placem_collection'!T29)</f>
        <v>21.4</v>
      </c>
      <c r="AJ688">
        <f>INDEX(Coordinates!$B$2:$B$197,MATCH(G688,Coordinates!$J$2:$J$197,0))</f>
        <v>-3.3849350359999999</v>
      </c>
      <c r="AK688">
        <f>INDEX(Coordinates!$C$2:$C$197,MATCH(G688,Coordinates!$J$2:$J$197,0))</f>
        <v>34.818943019999999</v>
      </c>
      <c r="AL688" t="str">
        <f>IF(ISNUMBER(SEARCH("C", 'WetLitterbags placem_collection'!Y29)),"YES","NO")</f>
        <v>NO</v>
      </c>
      <c r="AM688" t="str">
        <f>IF(ISNUMBER(SEARCH("H", 'WetLitterbags placem_collection'!Y29)),"YES","NO")</f>
        <v>NO</v>
      </c>
      <c r="AN688" t="str">
        <f>IF(ISNUMBER(SEARCH("R", 'WetLitterbags placem_collection'!Y29)),"YES","NO")</f>
        <v>NO</v>
      </c>
    </row>
    <row r="689" spans="1:40" ht="15" customHeight="1">
      <c r="A689" s="258" t="s">
        <v>2460</v>
      </c>
      <c r="B689" s="263">
        <f>'Dry_Litterbag Placem_Collection'!A30</f>
        <v>28</v>
      </c>
      <c r="C689" s="263" t="str">
        <f>'Dry_Litterbag Placem_Collection'!B30</f>
        <v>Makao</v>
      </c>
      <c r="D689" s="263" t="s">
        <v>2659</v>
      </c>
      <c r="E689" s="263" t="s">
        <v>2660</v>
      </c>
      <c r="F689" s="263">
        <v>4</v>
      </c>
      <c r="G689" s="264" t="str">
        <f>'Dry_Litterbag Placem_Collection'!C30</f>
        <v>Dry_Ag4_T4</v>
      </c>
      <c r="H689" s="273" t="s">
        <v>3651</v>
      </c>
      <c r="I689" s="274" t="s">
        <v>298</v>
      </c>
      <c r="J689" s="223" t="str">
        <f>'WetLitterbags placem_collection'!Q30</f>
        <v>R172</v>
      </c>
      <c r="K689" s="225">
        <f>IFERROR(INDEX('Green_rooibos initial weight'!$C$5:$C$1749,MATCH(J689, 'Green_rooibos initial weight'!$A$5:$A$1749,0)),"")</f>
        <v>2.1520000000000001</v>
      </c>
      <c r="L689" s="225">
        <f>IFERROR(K689-(TBIcalc!$H$9+TBIcalc!$H$10),"")</f>
        <v>1.9022000000000001</v>
      </c>
      <c r="M689" s="391">
        <f>AVERAGE(Ashed_controlls!$K$12:$K$14)</f>
        <v>2.2816647271287041</v>
      </c>
      <c r="N689" s="225">
        <f t="shared" si="54"/>
        <v>1.8587981735605579</v>
      </c>
      <c r="O689" s="225">
        <f>IF(IFERROR(INDEX('Both teabags AfterWet'!$C$3:$C$841,MATCH(J689,'Both teabags AfterWet'!$A$3:$A$841,0)),"")="","",(IFERROR(INDEX('Both teabags AfterWet'!$C$3:$C$841,MATCH(J689,'Both teabags AfterWet'!$A$3:$A$841,0)),"")))</f>
        <v>1.4665999999999999</v>
      </c>
      <c r="P689" s="225">
        <f>IFERROR(IF(O689&gt;0,O689-(TBIcalc!$H$9),""),"")</f>
        <v>1.3159999999999998</v>
      </c>
      <c r="Q689" s="225">
        <f>IFERROR(INDEX('Ashed teabags wet'!$K$2:$K$821,MATCH(J689,'Ashed teabags wet'!$A$2:$A$821,0)),"")</f>
        <v>4.6569854782171465</v>
      </c>
      <c r="R689" s="225">
        <f t="shared" si="57"/>
        <v>1.2547140711066622</v>
      </c>
      <c r="S689" s="226">
        <f>'WetLitterbags placem_collection'!E30</f>
        <v>42767</v>
      </c>
      <c r="T689" s="226">
        <f>IF('WetLitterbags placem_collection'!G30="","",'WetLitterbags placem_collection'!G30)</f>
        <v>42818</v>
      </c>
      <c r="U689" s="227">
        <f t="shared" si="59"/>
        <v>51</v>
      </c>
      <c r="V689" s="225">
        <f t="shared" si="55"/>
        <v>0.58620000000000028</v>
      </c>
      <c r="W689" s="225">
        <f t="shared" si="56"/>
        <v>0.60408410245389565</v>
      </c>
      <c r="X689">
        <f>IFERROR(INDEX(Rainfall_Wet!$O$2:$O$217,MATCH(B689, Rainfall_Wet!$A$2:$A$217,0)),"")</f>
        <v>185.630065823</v>
      </c>
      <c r="Y689" s="231">
        <v>51.960000000000008</v>
      </c>
      <c r="Z689" s="231">
        <v>18.919999999999995</v>
      </c>
      <c r="AA689" s="231">
        <v>29.120000000000005</v>
      </c>
      <c r="AB689" s="232" t="s">
        <v>2673</v>
      </c>
      <c r="AC689" s="231">
        <v>4.8529324790537203</v>
      </c>
      <c r="AD689" t="str">
        <f>IF('WetLitterbags placem_collection'!AB30="","",'WetLitterbags placem_collection'!AB30)</f>
        <v/>
      </c>
      <c r="AE689" t="str">
        <f>IF('WetLitterbags placem_collection'!Z30="","",'WetLitterbags placem_collection'!Z30)</f>
        <v/>
      </c>
      <c r="AF689" s="246" t="str">
        <f>IF('WetLitterbags placem_collection'!AA30="","",'WetLitterbags placem_collection'!AA30)</f>
        <v/>
      </c>
      <c r="AG689" t="str">
        <f>IF('WetLitterbags placem_collection'!AC30="","",'WetLitterbags placem_collection'!AC30)</f>
        <v/>
      </c>
      <c r="AH689">
        <f>AVERAGE('WetLitterbags placem_collection'!S30,'WetLitterbags placem_collection'!U30)</f>
        <v>33.4</v>
      </c>
      <c r="AI689">
        <f>AVERAGE('WetLitterbags placem_collection'!R30,'WetLitterbags placem_collection'!T30)</f>
        <v>20.6</v>
      </c>
      <c r="AJ689">
        <f>INDEX(Coordinates!$B$2:$B$197,MATCH(G689,Coordinates!$J$2:$J$197,0))</f>
        <v>-3.3850070369999998</v>
      </c>
      <c r="AK689">
        <f>INDEX(Coordinates!$C$2:$C$197,MATCH(G689,Coordinates!$J$2:$J$197,0))</f>
        <v>34.818888960000002</v>
      </c>
      <c r="AL689" t="str">
        <f>IF(ISNUMBER(SEARCH("C", 'WetLitterbags placem_collection'!Y30)),"YES","NO")</f>
        <v>NO</v>
      </c>
      <c r="AM689" t="str">
        <f>IF(ISNUMBER(SEARCH("H", 'WetLitterbags placem_collection'!Y30)),"YES","NO")</f>
        <v>NO</v>
      </c>
      <c r="AN689" t="str">
        <f>IF(ISNUMBER(SEARCH("R", 'WetLitterbags placem_collection'!Y30)),"YES","NO")</f>
        <v>NO</v>
      </c>
    </row>
    <row r="690" spans="1:40" ht="15" customHeight="1">
      <c r="A690" s="258" t="s">
        <v>2460</v>
      </c>
      <c r="B690" s="263">
        <f>'Dry_Litterbag Placem_Collection'!A31</f>
        <v>29</v>
      </c>
      <c r="C690" s="263" t="str">
        <f>'Dry_Litterbag Placem_Collection'!B31</f>
        <v>Makao</v>
      </c>
      <c r="D690" s="263" t="s">
        <v>2659</v>
      </c>
      <c r="E690" s="263" t="s">
        <v>2660</v>
      </c>
      <c r="F690" s="263">
        <v>4</v>
      </c>
      <c r="G690" s="264" t="str">
        <f>'Dry_Litterbag Placem_Collection'!C31</f>
        <v>Dry_Ag4_T5</v>
      </c>
      <c r="H690" s="273" t="s">
        <v>3651</v>
      </c>
      <c r="I690" s="274" t="s">
        <v>298</v>
      </c>
      <c r="J690" s="223" t="str">
        <f>'WetLitterbags placem_collection'!Q31</f>
        <v>R349</v>
      </c>
      <c r="K690" s="225">
        <f>IFERROR(INDEX('Green_rooibos initial weight'!$C$5:$C$1749,MATCH(J690, 'Green_rooibos initial weight'!$A$5:$A$1749,0)),"")</f>
        <v>2.2469999999999999</v>
      </c>
      <c r="L690" s="225">
        <f>IFERROR(K690-(TBIcalc!$H$9+TBIcalc!$H$10),"")</f>
        <v>1.9971999999999999</v>
      </c>
      <c r="M690" s="391">
        <f>AVERAGE(Ashed_controlls!$K$12:$K$14)</f>
        <v>2.2816647271287041</v>
      </c>
      <c r="N690" s="225">
        <f t="shared" si="54"/>
        <v>1.9516305920697854</v>
      </c>
      <c r="O690" s="225" t="str">
        <f>IF(IFERROR(INDEX('Both teabags AfterWet'!$C$3:$C$841,MATCH(J690,'Both teabags AfterWet'!$A$3:$A$841,0)),"")="","",(IFERROR(INDEX('Both teabags AfterWet'!$C$3:$C$841,MATCH(J690,'Both teabags AfterWet'!$A$3:$A$841,0)),"")))</f>
        <v/>
      </c>
      <c r="P690" s="225" t="str">
        <f>IFERROR(IF(O690&gt;0,O690-(TBIcalc!$H$9),""),"")</f>
        <v/>
      </c>
      <c r="Q690" s="225">
        <f>IFERROR(INDEX('Ashed teabags wet'!$K$2:$K$821,MATCH(J690,'Ashed teabags wet'!$A$2:$A$821,0)),"")</f>
        <v>3.0821917808218364</v>
      </c>
      <c r="R690" s="225" t="str">
        <f t="shared" si="57"/>
        <v/>
      </c>
      <c r="S690" s="226">
        <f>'WetLitterbags placem_collection'!E31</f>
        <v>42767</v>
      </c>
      <c r="T690" s="226">
        <f>IF('WetLitterbags placem_collection'!G31="","",'WetLitterbags placem_collection'!G31)</f>
        <v>42818</v>
      </c>
      <c r="U690" s="227">
        <f t="shared" si="59"/>
        <v>51</v>
      </c>
      <c r="V690" s="225" t="str">
        <f t="shared" si="55"/>
        <v/>
      </c>
      <c r="W690" s="225" t="str">
        <f t="shared" si="56"/>
        <v/>
      </c>
      <c r="X690">
        <f>IFERROR(INDEX(Rainfall_Wet!$O$2:$O$217,MATCH(B690, Rainfall_Wet!$A$2:$A$217,0)),"")</f>
        <v>185.630065823</v>
      </c>
      <c r="Y690" s="231">
        <v>51.960000000000008</v>
      </c>
      <c r="Z690" s="231">
        <v>18.919999999999995</v>
      </c>
      <c r="AA690" s="231">
        <v>29.120000000000005</v>
      </c>
      <c r="AB690" s="232" t="s">
        <v>2673</v>
      </c>
      <c r="AC690" s="231">
        <v>5.8529324790537203</v>
      </c>
      <c r="AD690" t="str">
        <f>IF('WetLitterbags placem_collection'!AB31="","",'WetLitterbags placem_collection'!AB31)</f>
        <v/>
      </c>
      <c r="AE690" t="str">
        <f>IF('WetLitterbags placem_collection'!Z31="","",'WetLitterbags placem_collection'!Z31)</f>
        <v/>
      </c>
      <c r="AF690" s="246" t="str">
        <f>IF('WetLitterbags placem_collection'!AA31="","",'WetLitterbags placem_collection'!AA31)</f>
        <v/>
      </c>
      <c r="AG690" t="str">
        <f>IF('WetLitterbags placem_collection'!AC31="","",'WetLitterbags placem_collection'!AC31)</f>
        <v/>
      </c>
      <c r="AH690">
        <f>AVERAGE('WetLitterbags placem_collection'!S31,'WetLitterbags placem_collection'!U31)</f>
        <v>28.4</v>
      </c>
      <c r="AI690">
        <f>AVERAGE('WetLitterbags placem_collection'!R31,'WetLitterbags placem_collection'!T31)</f>
        <v>21.049999999999997</v>
      </c>
      <c r="AJ690">
        <f>INDEX(Coordinates!$B$2:$B$197,MATCH(G690,Coordinates!$J$2:$J$197,0))</f>
        <v>-3.3849480280000002</v>
      </c>
      <c r="AK690">
        <f>INDEX(Coordinates!$C$2:$C$197,MATCH(G690,Coordinates!$J$2:$J$197,0))</f>
        <v>34.818854010000003</v>
      </c>
      <c r="AL690" t="str">
        <f>IF(ISNUMBER(SEARCH("C", 'WetLitterbags placem_collection'!Y31)),"YES","NO")</f>
        <v>NO</v>
      </c>
      <c r="AM690" t="str">
        <f>IF(ISNUMBER(SEARCH("H", 'WetLitterbags placem_collection'!Y31)),"YES","NO")</f>
        <v>NO</v>
      </c>
      <c r="AN690" t="str">
        <f>IF(ISNUMBER(SEARCH("R", 'WetLitterbags placem_collection'!Y31)),"YES","NO")</f>
        <v>NO</v>
      </c>
    </row>
    <row r="691" spans="1:40" ht="15" customHeight="1">
      <c r="A691" s="258" t="s">
        <v>2460</v>
      </c>
      <c r="B691" s="263">
        <f>'Dry_Litterbag Placem_Collection'!A32</f>
        <v>30</v>
      </c>
      <c r="C691" s="263" t="str">
        <f>'Dry_Litterbag Placem_Collection'!B32</f>
        <v>Makao</v>
      </c>
      <c r="D691" s="263" t="s">
        <v>2659</v>
      </c>
      <c r="E691" s="263" t="s">
        <v>2660</v>
      </c>
      <c r="F691" s="263">
        <v>4</v>
      </c>
      <c r="G691" s="264" t="str">
        <f>'Dry_Litterbag Placem_Collection'!C32</f>
        <v>Dry_Ag4_T6</v>
      </c>
      <c r="H691" s="273" t="s">
        <v>3651</v>
      </c>
      <c r="I691" s="274" t="s">
        <v>298</v>
      </c>
      <c r="J691" s="223" t="str">
        <f>'WetLitterbags placem_collection'!Q32</f>
        <v>R296</v>
      </c>
      <c r="K691" s="225">
        <f>IFERROR(INDEX('Green_rooibos initial weight'!$C$5:$C$1749,MATCH(J691, 'Green_rooibos initial weight'!$A$5:$A$1749,0)),"")</f>
        <v>2.226</v>
      </c>
      <c r="L691" s="225">
        <f>IFERROR(K691-(TBIcalc!$H$9+TBIcalc!$H$10),"")</f>
        <v>1.9762</v>
      </c>
      <c r="M691" s="391">
        <f>AVERAGE(Ashed_controlls!$K$12:$K$14)</f>
        <v>2.2816647271287041</v>
      </c>
      <c r="N691" s="225">
        <f t="shared" si="54"/>
        <v>1.9311097416624825</v>
      </c>
      <c r="O691" s="225">
        <f>IF(IFERROR(INDEX('Both teabags AfterWet'!$C$3:$C$841,MATCH(J691,'Both teabags AfterWet'!$A$3:$A$841,0)),"")="","",(IFERROR(INDEX('Both teabags AfterWet'!$C$3:$C$841,MATCH(J691,'Both teabags AfterWet'!$A$3:$A$841,0)),"")))</f>
        <v>1.3653</v>
      </c>
      <c r="P691" s="225">
        <f>IFERROR(IF(O691&gt;0,O691-(TBIcalc!$H$9),""),"")</f>
        <v>1.2146999999999999</v>
      </c>
      <c r="Q691" s="225">
        <f>IFERROR(INDEX('Ashed teabags wet'!$K$2:$K$821,MATCH(J691,'Ashed teabags wet'!$A$2:$A$821,0)),"")</f>
        <v>3.9301310043674835</v>
      </c>
      <c r="R691" s="225">
        <f t="shared" si="57"/>
        <v>1.1669606986899481</v>
      </c>
      <c r="S691" s="226">
        <f>'WetLitterbags placem_collection'!E32</f>
        <v>42767</v>
      </c>
      <c r="T691" s="226">
        <f>IF('WetLitterbags placem_collection'!G32="","",'WetLitterbags placem_collection'!G32)</f>
        <v>42818</v>
      </c>
      <c r="U691" s="227">
        <f t="shared" si="59"/>
        <v>51</v>
      </c>
      <c r="V691" s="225">
        <f t="shared" si="55"/>
        <v>0.76150000000000007</v>
      </c>
      <c r="W691" s="225">
        <f t="shared" si="56"/>
        <v>0.76414904297253439</v>
      </c>
      <c r="X691">
        <f>IFERROR(INDEX(Rainfall_Wet!$O$2:$O$217,MATCH(B691, Rainfall_Wet!$A$2:$A$217,0)),"")</f>
        <v>185.630065823</v>
      </c>
      <c r="Y691" s="231">
        <v>51.960000000000008</v>
      </c>
      <c r="Z691" s="231">
        <v>18.919999999999995</v>
      </c>
      <c r="AA691" s="231">
        <v>29.120000000000005</v>
      </c>
      <c r="AB691" s="232" t="s">
        <v>2673</v>
      </c>
      <c r="AC691" s="231">
        <v>6.8529324790537203</v>
      </c>
      <c r="AD691" t="str">
        <f>IF('WetLitterbags placem_collection'!AB32="","",'WetLitterbags placem_collection'!AB32)</f>
        <v/>
      </c>
      <c r="AE691" t="str">
        <f>IF('WetLitterbags placem_collection'!Z32="","",'WetLitterbags placem_collection'!Z32)</f>
        <v/>
      </c>
      <c r="AF691" s="246" t="str">
        <f>IF('WetLitterbags placem_collection'!AA32="","",'WetLitterbags placem_collection'!AA32)</f>
        <v/>
      </c>
      <c r="AG691" t="str">
        <f>IF('WetLitterbags placem_collection'!AC32="","",'WetLitterbags placem_collection'!AC32)</f>
        <v/>
      </c>
      <c r="AH691">
        <f>AVERAGE('WetLitterbags placem_collection'!S32,'WetLitterbags placem_collection'!U32)</f>
        <v>26.9</v>
      </c>
      <c r="AI691">
        <f>AVERAGE('WetLitterbags placem_collection'!R32,'WetLitterbags placem_collection'!T32)</f>
        <v>20.7</v>
      </c>
      <c r="AJ691">
        <f>INDEX(Coordinates!$B$2:$B$197,MATCH(G691,Coordinates!$J$2:$J$197,0))</f>
        <v>-3.38496496</v>
      </c>
      <c r="AK691">
        <f>INDEX(Coordinates!$C$2:$C$197,MATCH(G691,Coordinates!$J$2:$J$197,0))</f>
        <v>34.818790970000002</v>
      </c>
      <c r="AL691" t="str">
        <f>IF(ISNUMBER(SEARCH("C", 'WetLitterbags placem_collection'!Y32)),"YES","NO")</f>
        <v>NO</v>
      </c>
      <c r="AM691" t="str">
        <f>IF(ISNUMBER(SEARCH("H", 'WetLitterbags placem_collection'!Y32)),"YES","NO")</f>
        <v>NO</v>
      </c>
      <c r="AN691" t="str">
        <f>IF(ISNUMBER(SEARCH("R", 'WetLitterbags placem_collection'!Y32)),"YES","NO")</f>
        <v>NO</v>
      </c>
    </row>
    <row r="692" spans="1:40" ht="15" customHeight="1">
      <c r="A692" s="258" t="s">
        <v>2460</v>
      </c>
      <c r="B692" s="263">
        <f>'Dry_Litterbag Placem_Collection'!A33</f>
        <v>31</v>
      </c>
      <c r="C692" s="263" t="str">
        <f>'Dry_Litterbag Placem_Collection'!B33</f>
        <v>Makao</v>
      </c>
      <c r="D692" s="263" t="s">
        <v>2659</v>
      </c>
      <c r="E692" s="263" t="s">
        <v>2660</v>
      </c>
      <c r="F692" s="263">
        <v>4</v>
      </c>
      <c r="G692" s="264" t="str">
        <f>'Dry_Litterbag Placem_Collection'!C33</f>
        <v>Dry_Ag4_T7</v>
      </c>
      <c r="H692" s="273" t="s">
        <v>3651</v>
      </c>
      <c r="I692" s="274" t="s">
        <v>298</v>
      </c>
      <c r="J692" s="223" t="str">
        <f>'WetLitterbags placem_collection'!Q33</f>
        <v>R323</v>
      </c>
      <c r="K692" s="225">
        <f>IFERROR(INDEX('Green_rooibos initial weight'!$C$5:$C$1749,MATCH(J692, 'Green_rooibos initial weight'!$A$5:$A$1749,0)),"")</f>
        <v>2.1949999999999998</v>
      </c>
      <c r="L692" s="225">
        <f>IFERROR(K692-(TBIcalc!$H$9+TBIcalc!$H$10),"")</f>
        <v>1.9451999999999998</v>
      </c>
      <c r="M692" s="391">
        <f>AVERAGE(Ashed_controlls!$K$12:$K$14)</f>
        <v>2.2816647271287041</v>
      </c>
      <c r="N692" s="225">
        <f t="shared" si="54"/>
        <v>1.9008170577278922</v>
      </c>
      <c r="O692" s="225">
        <f>IF(IFERROR(INDEX('Both teabags AfterWet'!$C$3:$C$841,MATCH(J692,'Both teabags AfterWet'!$A$3:$A$841,0)),"")="","",(IFERROR(INDEX('Both teabags AfterWet'!$C$3:$C$841,MATCH(J692,'Both teabags AfterWet'!$A$3:$A$841,0)),"")))</f>
        <v>1.425</v>
      </c>
      <c r="P692" s="225">
        <f>IFERROR(IF(O692&gt;0,O692-(TBIcalc!$H$9),""),"")</f>
        <v>1.2744</v>
      </c>
      <c r="Q692" s="225">
        <f>IFERROR(INDEX('Ashed teabags wet'!$K$2:$K$821,MATCH(J692,'Ashed teabags wet'!$A$2:$A$821,0)),"")</f>
        <v>20.058139534884134</v>
      </c>
      <c r="R692" s="225">
        <f t="shared" si="57"/>
        <v>1.0187790697674366</v>
      </c>
      <c r="S692" s="226">
        <f>'WetLitterbags placem_collection'!E33</f>
        <v>42767</v>
      </c>
      <c r="T692" s="226">
        <f>IF('WetLitterbags placem_collection'!G33="","",'WetLitterbags placem_collection'!G33)</f>
        <v>42818</v>
      </c>
      <c r="U692" s="227">
        <f t="shared" si="59"/>
        <v>51</v>
      </c>
      <c r="V692" s="225">
        <f t="shared" si="55"/>
        <v>0.67079999999999984</v>
      </c>
      <c r="W692" s="225">
        <f t="shared" si="56"/>
        <v>0.88203798796045563</v>
      </c>
      <c r="X692">
        <f>IFERROR(INDEX(Rainfall_Wet!$O$2:$O$217,MATCH(B692, Rainfall_Wet!$A$2:$A$217,0)),"")</f>
        <v>185.630065823</v>
      </c>
      <c r="Y692" s="231">
        <v>51.960000000000008</v>
      </c>
      <c r="Z692" s="231">
        <v>18.919999999999995</v>
      </c>
      <c r="AA692" s="231">
        <v>29.120000000000005</v>
      </c>
      <c r="AB692" s="232" t="s">
        <v>2673</v>
      </c>
      <c r="AC692" s="231">
        <v>7.8529324790537203</v>
      </c>
      <c r="AD692" t="str">
        <f>IF('WetLitterbags placem_collection'!AB33="","",'WetLitterbags placem_collection'!AB33)</f>
        <v/>
      </c>
      <c r="AE692" t="str">
        <f>IF('WetLitterbags placem_collection'!Z33="","",'WetLitterbags placem_collection'!Z33)</f>
        <v/>
      </c>
      <c r="AF692" s="246" t="str">
        <f>IF('WetLitterbags placem_collection'!AA33="","",'WetLitterbags placem_collection'!AA33)</f>
        <v/>
      </c>
      <c r="AG692" t="str">
        <f>IF('WetLitterbags placem_collection'!AC33="","",'WetLitterbags placem_collection'!AC33)</f>
        <v/>
      </c>
      <c r="AH692">
        <f>AVERAGE('WetLitterbags placem_collection'!S33,'WetLitterbags placem_collection'!U33)</f>
        <v>33</v>
      </c>
      <c r="AI692">
        <f>AVERAGE('WetLitterbags placem_collection'!R33,'WetLitterbags placem_collection'!T33)</f>
        <v>20.950000000000003</v>
      </c>
      <c r="AJ692">
        <f>INDEX(Coordinates!$B$2:$B$197,MATCH(G692,Coordinates!$J$2:$J$197,0))</f>
        <v>-3.3848409909999999</v>
      </c>
      <c r="AK692">
        <f>INDEX(Coordinates!$C$2:$C$197,MATCH(G692,Coordinates!$J$2:$J$197,0))</f>
        <v>34.818838999999997</v>
      </c>
      <c r="AL692" t="str">
        <f>IF(ISNUMBER(SEARCH("C", 'WetLitterbags placem_collection'!Y33)),"YES","NO")</f>
        <v>NO</v>
      </c>
      <c r="AM692" t="str">
        <f>IF(ISNUMBER(SEARCH("H", 'WetLitterbags placem_collection'!Y33)),"YES","NO")</f>
        <v>NO</v>
      </c>
      <c r="AN692" t="str">
        <f>IF(ISNUMBER(SEARCH("R", 'WetLitterbags placem_collection'!Y33)),"YES","NO")</f>
        <v>YES</v>
      </c>
    </row>
    <row r="693" spans="1:40" ht="15" customHeight="1">
      <c r="A693" s="258" t="s">
        <v>2460</v>
      </c>
      <c r="B693" s="263">
        <f>'Dry_Litterbag Placem_Collection'!A34</f>
        <v>32</v>
      </c>
      <c r="C693" s="263" t="str">
        <f>'Dry_Litterbag Placem_Collection'!B34</f>
        <v>Makao</v>
      </c>
      <c r="D693" s="263" t="s">
        <v>2659</v>
      </c>
      <c r="E693" s="263" t="s">
        <v>2660</v>
      </c>
      <c r="F693" s="263">
        <v>4</v>
      </c>
      <c r="G693" s="264" t="str">
        <f>'Dry_Litterbag Placem_Collection'!C34</f>
        <v>Dry_Ag4_T8</v>
      </c>
      <c r="H693" s="273" t="s">
        <v>3651</v>
      </c>
      <c r="I693" s="274" t="s">
        <v>298</v>
      </c>
      <c r="J693" s="223" t="str">
        <f>'WetLitterbags placem_collection'!Q34</f>
        <v>R156</v>
      </c>
      <c r="K693" s="225">
        <f>IFERROR(INDEX('Green_rooibos initial weight'!$C$5:$C$1749,MATCH(J693, 'Green_rooibos initial weight'!$A$5:$A$1749,0)),"")</f>
        <v>2.246</v>
      </c>
      <c r="L693" s="225">
        <f>IFERROR(K693-(TBIcalc!$H$9+TBIcalc!$H$10),"")</f>
        <v>1.9962</v>
      </c>
      <c r="M693" s="391">
        <f>AVERAGE(Ashed_controlls!$K$12:$K$14)</f>
        <v>2.2816647271287041</v>
      </c>
      <c r="N693" s="225">
        <f t="shared" si="54"/>
        <v>1.9506534087170568</v>
      </c>
      <c r="O693" s="225">
        <f>IF(IFERROR(INDEX('Both teabags AfterWet'!$C$3:$C$841,MATCH(J693,'Both teabags AfterWet'!$A$3:$A$841,0)),"")="","",(IFERROR(INDEX('Both teabags AfterWet'!$C$3:$C$841,MATCH(J693,'Both teabags AfterWet'!$A$3:$A$841,0)),"")))</f>
        <v>1.2625999999999999</v>
      </c>
      <c r="P693" s="225">
        <f>IFERROR(IF(O693&gt;0,O693-(TBIcalc!$H$9),""),"")</f>
        <v>1.1119999999999999</v>
      </c>
      <c r="Q693" s="225">
        <f>IFERROR(INDEX('Ashed teabags wet'!$K$2:$K$821,MATCH(J693,'Ashed teabags wet'!$A$2:$A$821,0)),"")</f>
        <v>5.5555555555557818</v>
      </c>
      <c r="R693" s="225">
        <f t="shared" si="57"/>
        <v>1.0502222222222195</v>
      </c>
      <c r="S693" s="226">
        <f>'WetLitterbags placem_collection'!E34</f>
        <v>42767</v>
      </c>
      <c r="T693" s="226">
        <f>IF('WetLitterbags placem_collection'!G34="","",'WetLitterbags placem_collection'!G34)</f>
        <v>42818</v>
      </c>
      <c r="U693" s="227">
        <f t="shared" si="59"/>
        <v>51</v>
      </c>
      <c r="V693" s="225">
        <f t="shared" si="55"/>
        <v>0.8842000000000001</v>
      </c>
      <c r="W693" s="225">
        <f t="shared" si="56"/>
        <v>0.90043118649483733</v>
      </c>
      <c r="X693">
        <f>IFERROR(INDEX(Rainfall_Wet!$O$2:$O$217,MATCH(B693, Rainfall_Wet!$A$2:$A$217,0)),"")</f>
        <v>185.630065823</v>
      </c>
      <c r="Y693" s="231">
        <v>51.960000000000008</v>
      </c>
      <c r="Z693" s="231">
        <v>18.919999999999995</v>
      </c>
      <c r="AA693" s="231">
        <v>29.120000000000005</v>
      </c>
      <c r="AB693" s="232" t="s">
        <v>2673</v>
      </c>
      <c r="AC693" s="231">
        <v>8.8529324790537203</v>
      </c>
      <c r="AD693" t="str">
        <f>IF('WetLitterbags placem_collection'!AB34="","",'WetLitterbags placem_collection'!AB34)</f>
        <v/>
      </c>
      <c r="AE693" t="str">
        <f>IF('WetLitterbags placem_collection'!Z34="","",'WetLitterbags placem_collection'!Z34)</f>
        <v/>
      </c>
      <c r="AF693" s="246" t="str">
        <f>IF('WetLitterbags placem_collection'!AA34="","",'WetLitterbags placem_collection'!AA34)</f>
        <v/>
      </c>
      <c r="AG693" t="str">
        <f>IF('WetLitterbags placem_collection'!AC34="","",'WetLitterbags placem_collection'!AC34)</f>
        <v/>
      </c>
      <c r="AH693">
        <f>AVERAGE('WetLitterbags placem_collection'!S34,'WetLitterbags placem_collection'!U34)</f>
        <v>32.849999999999994</v>
      </c>
      <c r="AI693">
        <f>AVERAGE('WetLitterbags placem_collection'!R34,'WetLitterbags placem_collection'!T34)</f>
        <v>20.9</v>
      </c>
      <c r="AJ693">
        <f>INDEX(Coordinates!$B$2:$B$197,MATCH(G693,Coordinates!$J$2:$J$197,0))</f>
        <v>-3.3849010060000002</v>
      </c>
      <c r="AK693">
        <f>INDEX(Coordinates!$C$2:$C$197,MATCH(G693,Coordinates!$J$2:$J$197,0))</f>
        <v>34.818979990000003</v>
      </c>
      <c r="AL693" t="str">
        <f>IF(ISNUMBER(SEARCH("C", 'WetLitterbags placem_collection'!Y34)),"YES","NO")</f>
        <v>NO</v>
      </c>
      <c r="AM693" t="str">
        <f>IF(ISNUMBER(SEARCH("H", 'WetLitterbags placem_collection'!Y34)),"YES","NO")</f>
        <v>NO</v>
      </c>
      <c r="AN693" t="str">
        <f>IF(ISNUMBER(SEARCH("R", 'WetLitterbags placem_collection'!Y34)),"YES","NO")</f>
        <v>YES</v>
      </c>
    </row>
    <row r="694" spans="1:40" ht="15" customHeight="1">
      <c r="A694" s="258" t="s">
        <v>2460</v>
      </c>
      <c r="B694" s="263">
        <f>'Dry_Litterbag Placem_Collection'!A35</f>
        <v>33</v>
      </c>
      <c r="C694" s="263" t="str">
        <f>'Dry_Litterbag Placem_Collection'!B35</f>
        <v>Makao</v>
      </c>
      <c r="D694" s="263" t="s">
        <v>2659</v>
      </c>
      <c r="E694" s="263" t="s">
        <v>20</v>
      </c>
      <c r="F694" s="263">
        <v>1</v>
      </c>
      <c r="G694" s="264" t="str">
        <f>'Dry_Litterbag Placem_Collection'!C35</f>
        <v>Dry_P1_T1</v>
      </c>
      <c r="H694" s="273" t="s">
        <v>3651</v>
      </c>
      <c r="I694" s="274" t="s">
        <v>298</v>
      </c>
      <c r="J694" s="223" t="str">
        <f>'WetLitterbags placem_collection'!Q35</f>
        <v>R452</v>
      </c>
      <c r="K694" s="225">
        <f>IFERROR(INDEX('Green_rooibos initial weight'!$C$5:$C$1749,MATCH(J694, 'Green_rooibos initial weight'!$A$5:$A$1749,0)),"")</f>
        <v>2.2320000000000002</v>
      </c>
      <c r="L694" s="225">
        <f>IFERROR(K694-(TBIcalc!$H$9+TBIcalc!$H$10),"")</f>
        <v>1.9822000000000002</v>
      </c>
      <c r="M694" s="391">
        <f>AVERAGE(Ashed_controlls!$K$12:$K$14)</f>
        <v>2.2816647271287041</v>
      </c>
      <c r="N694" s="225">
        <f t="shared" si="54"/>
        <v>1.936972841778855</v>
      </c>
      <c r="O694" s="225">
        <f>IF(IFERROR(INDEX('Both teabags AfterWet'!$C$3:$C$841,MATCH(J694,'Both teabags AfterWet'!$A$3:$A$841,0)),"")="","",(IFERROR(INDEX('Both teabags AfterWet'!$C$3:$C$841,MATCH(J694,'Both teabags AfterWet'!$A$3:$A$841,0)),"")))</f>
        <v>1.6020000000000001</v>
      </c>
      <c r="P694" s="225">
        <f>IFERROR(IF(O694&gt;0,O694-(TBIcalc!$H$9),""),"")</f>
        <v>1.4514</v>
      </c>
      <c r="Q694" s="225">
        <f>IFERROR(INDEX('Ashed teabags wet'!$K$2:$K$821,MATCH(J694,'Ashed teabags wet'!$A$2:$A$821,0)),"")</f>
        <v>4.5318725099597295</v>
      </c>
      <c r="R694" s="225">
        <f t="shared" si="57"/>
        <v>1.3856244023904445</v>
      </c>
      <c r="S694" s="226">
        <f>'WetLitterbags placem_collection'!E35</f>
        <v>42765</v>
      </c>
      <c r="T694" s="226">
        <f>IF('WetLitterbags placem_collection'!G35="","",'WetLitterbags placem_collection'!G35)</f>
        <v>42820</v>
      </c>
      <c r="U694" s="227">
        <f t="shared" si="59"/>
        <v>55</v>
      </c>
      <c r="V694" s="225">
        <f t="shared" si="55"/>
        <v>0.53080000000000016</v>
      </c>
      <c r="W694" s="225">
        <f t="shared" si="56"/>
        <v>0.55134843938841049</v>
      </c>
      <c r="X694">
        <f>IFERROR(INDEX(Rainfall_Wet!$O$2:$O$217,MATCH(B694, Rainfall_Wet!$A$2:$A$217,0)),"")</f>
        <v>228.324359195</v>
      </c>
      <c r="Y694" s="231">
        <v>23.96</v>
      </c>
      <c r="Z694" s="231">
        <v>0.91999999999999804</v>
      </c>
      <c r="AA694" s="231">
        <v>75.12</v>
      </c>
      <c r="AB694" s="232" t="s">
        <v>2670</v>
      </c>
      <c r="AC694" s="231">
        <v>1.2493839329719072</v>
      </c>
      <c r="AD694">
        <f>IF('WetLitterbags placem_collection'!AB35="","",'WetLitterbags placem_collection'!AB35)</f>
        <v>9.5</v>
      </c>
      <c r="AE694">
        <f>IF('WetLitterbags placem_collection'!Z35="","",'WetLitterbags placem_collection'!Z35)</f>
        <v>17.2</v>
      </c>
      <c r="AF694" s="246" t="str">
        <f>IF('WetLitterbags placem_collection'!AA35="","",'WetLitterbags placem_collection'!AA35)</f>
        <v>G</v>
      </c>
      <c r="AG694">
        <f>IF('WetLitterbags placem_collection'!AC35="","",'WetLitterbags placem_collection'!AC35)</f>
        <v>0</v>
      </c>
      <c r="AH694">
        <f>AVERAGE('WetLitterbags placem_collection'!S35,'WetLitterbags placem_collection'!U35)</f>
        <v>30.5</v>
      </c>
      <c r="AI694">
        <f>AVERAGE('WetLitterbags placem_collection'!R35,'WetLitterbags placem_collection'!T35)</f>
        <v>25.25</v>
      </c>
      <c r="AJ694">
        <f>INDEX(Coordinates!$B$2:$B$197,MATCH(G694,Coordinates!$J$2:$J$197,0))</f>
        <v>-3.4092039989999998</v>
      </c>
      <c r="AK694">
        <f>INDEX(Coordinates!$C$2:$C$197,MATCH(G694,Coordinates!$J$2:$J$197,0))</f>
        <v>34.852751009999999</v>
      </c>
      <c r="AL694" t="str">
        <f>IF(ISNUMBER(SEARCH("C", 'WetLitterbags placem_collection'!Y35)),"YES","NO")</f>
        <v>NO</v>
      </c>
      <c r="AM694" t="str">
        <f>IF(ISNUMBER(SEARCH("H", 'WetLitterbags placem_collection'!Y35)),"YES","NO")</f>
        <v>NO</v>
      </c>
      <c r="AN694" t="str">
        <f>IF(ISNUMBER(SEARCH("R", 'WetLitterbags placem_collection'!Y35)),"YES","NO")</f>
        <v>YES</v>
      </c>
    </row>
    <row r="695" spans="1:40" ht="15" customHeight="1">
      <c r="A695" s="258" t="s">
        <v>2460</v>
      </c>
      <c r="B695" s="263">
        <f>'Dry_Litterbag Placem_Collection'!A36</f>
        <v>34</v>
      </c>
      <c r="C695" s="263" t="str">
        <f>'Dry_Litterbag Placem_Collection'!B36</f>
        <v>Makao</v>
      </c>
      <c r="D695" s="263" t="s">
        <v>2659</v>
      </c>
      <c r="E695" s="263" t="s">
        <v>20</v>
      </c>
      <c r="F695" s="263">
        <v>1</v>
      </c>
      <c r="G695" s="264" t="str">
        <f>'Dry_Litterbag Placem_Collection'!C36</f>
        <v>Dry_P1_T2</v>
      </c>
      <c r="H695" s="273" t="s">
        <v>3651</v>
      </c>
      <c r="I695" s="274" t="s">
        <v>298</v>
      </c>
      <c r="J695" s="223" t="str">
        <f>'WetLitterbags placem_collection'!Q36</f>
        <v>R24</v>
      </c>
      <c r="K695" s="225">
        <f>IFERROR(INDEX('Green_rooibos initial weight'!$C$5:$C$1749,MATCH(J695, 'Green_rooibos initial weight'!$A$5:$A$1749,0)),"")</f>
        <v>2.14</v>
      </c>
      <c r="L695" s="225">
        <f>IFERROR(K695-(TBIcalc!$H$9+TBIcalc!$H$10),"")</f>
        <v>1.8902000000000001</v>
      </c>
      <c r="M695" s="391">
        <f>AVERAGE(Ashed_controlls!$K$12:$K$14)</f>
        <v>2.2816647271287041</v>
      </c>
      <c r="N695" s="225">
        <f t="shared" si="54"/>
        <v>1.8470719733278134</v>
      </c>
      <c r="O695" s="225">
        <f>IF(IFERROR(INDEX('Both teabags AfterWet'!$C$3:$C$841,MATCH(J695,'Both teabags AfterWet'!$A$3:$A$841,0)),"")="","",(IFERROR(INDEX('Both teabags AfterWet'!$C$3:$C$841,MATCH(J695,'Both teabags AfterWet'!$A$3:$A$841,0)),"")))</f>
        <v>1.4662999999999999</v>
      </c>
      <c r="P695" s="225">
        <f>IFERROR(IF(O695&gt;0,O695-(TBIcalc!$H$9),""),"")</f>
        <v>1.3156999999999999</v>
      </c>
      <c r="Q695" s="225">
        <f>IFERROR(INDEX('Ashed teabags wet'!$K$2:$K$821,MATCH(J695,'Ashed teabags wet'!$A$2:$A$821,0)),"")</f>
        <v>7.4839980305272942</v>
      </c>
      <c r="R695" s="225">
        <f t="shared" si="57"/>
        <v>1.2172330379123522</v>
      </c>
      <c r="S695" s="226">
        <f>'WetLitterbags placem_collection'!E36</f>
        <v>42765</v>
      </c>
      <c r="T695" s="226">
        <f>IF('WetLitterbags placem_collection'!G36="","",'WetLitterbags placem_collection'!G36)</f>
        <v>42820</v>
      </c>
      <c r="U695" s="227">
        <f t="shared" si="59"/>
        <v>55</v>
      </c>
      <c r="V695" s="225">
        <f t="shared" si="55"/>
        <v>0.57450000000000023</v>
      </c>
      <c r="W695" s="225">
        <f t="shared" si="56"/>
        <v>0.62983893541546121</v>
      </c>
      <c r="X695">
        <f>IFERROR(INDEX(Rainfall_Wet!$O$2:$O$217,MATCH(B695, Rainfall_Wet!$A$2:$A$217,0)),"")</f>
        <v>228.324359195</v>
      </c>
      <c r="Y695" s="231">
        <v>23.96</v>
      </c>
      <c r="Z695" s="231">
        <v>0.91999999999999804</v>
      </c>
      <c r="AA695" s="231">
        <v>75.12</v>
      </c>
      <c r="AB695" s="232" t="s">
        <v>2670</v>
      </c>
      <c r="AC695" s="231">
        <v>1.2493839329719072</v>
      </c>
      <c r="AD695">
        <f>IF('WetLitterbags placem_collection'!AB36="","",'WetLitterbags placem_collection'!AB36)</f>
        <v>6.5</v>
      </c>
      <c r="AE695">
        <f>IF('WetLitterbags placem_collection'!Z36="","",'WetLitterbags placem_collection'!Z36)</f>
        <v>14.2</v>
      </c>
      <c r="AF695" s="246" t="str">
        <f>IF('WetLitterbags placem_collection'!AA36="","",'WetLitterbags placem_collection'!AA36)</f>
        <v>G</v>
      </c>
      <c r="AG695">
        <f>IF('WetLitterbags placem_collection'!AC36="","",'WetLitterbags placem_collection'!AC36)</f>
        <v>0</v>
      </c>
      <c r="AH695">
        <f>AVERAGE('WetLitterbags placem_collection'!S36,'WetLitterbags placem_collection'!U36)</f>
        <v>21</v>
      </c>
      <c r="AI695">
        <f>AVERAGE('WetLitterbags placem_collection'!R36,'WetLitterbags placem_collection'!T36)</f>
        <v>25.55</v>
      </c>
      <c r="AJ695">
        <f>INDEX(Coordinates!$B$2:$B$197,MATCH(G695,Coordinates!$J$2:$J$197,0))</f>
        <v>-3.4092350119999999</v>
      </c>
      <c r="AK695">
        <f>INDEX(Coordinates!$C$2:$C$197,MATCH(G695,Coordinates!$J$2:$J$197,0))</f>
        <v>34.852782019999999</v>
      </c>
      <c r="AL695" t="str">
        <f>IF(ISNUMBER(SEARCH("C", 'WetLitterbags placem_collection'!Y36)),"YES","NO")</f>
        <v>NO</v>
      </c>
      <c r="AM695" t="str">
        <f>IF(ISNUMBER(SEARCH("H", 'WetLitterbags placem_collection'!Y36)),"YES","NO")</f>
        <v>NO</v>
      </c>
      <c r="AN695" t="str">
        <f>IF(ISNUMBER(SEARCH("R", 'WetLitterbags placem_collection'!Y36)),"YES","NO")</f>
        <v>YES</v>
      </c>
    </row>
    <row r="696" spans="1:40" ht="15" customHeight="1">
      <c r="A696" s="258" t="s">
        <v>2460</v>
      </c>
      <c r="B696" s="263">
        <f>'Dry_Litterbag Placem_Collection'!A37</f>
        <v>35</v>
      </c>
      <c r="C696" s="263" t="str">
        <f>'Dry_Litterbag Placem_Collection'!B37</f>
        <v>Makao</v>
      </c>
      <c r="D696" s="263" t="s">
        <v>2659</v>
      </c>
      <c r="E696" s="263" t="s">
        <v>20</v>
      </c>
      <c r="F696" s="263">
        <v>1</v>
      </c>
      <c r="G696" s="264" t="str">
        <f>'Dry_Litterbag Placem_Collection'!C37</f>
        <v>Dry_P1_T3</v>
      </c>
      <c r="H696" s="273" t="s">
        <v>3651</v>
      </c>
      <c r="I696" s="274" t="s">
        <v>298</v>
      </c>
      <c r="J696" s="223" t="str">
        <f>'WetLitterbags placem_collection'!Q37</f>
        <v>R69</v>
      </c>
      <c r="K696" s="225">
        <f>IFERROR(INDEX('Green_rooibos initial weight'!$C$5:$C$1749,MATCH(J696, 'Green_rooibos initial weight'!$A$5:$A$1749,0)),"")</f>
        <v>2.2149999999999999</v>
      </c>
      <c r="L696" s="225">
        <f>IFERROR(K696-(TBIcalc!$H$9+TBIcalc!$H$10),"")</f>
        <v>1.9651999999999998</v>
      </c>
      <c r="M696" s="391">
        <f>AVERAGE(Ashed_controlls!$K$12:$K$14)</f>
        <v>2.2816647271287041</v>
      </c>
      <c r="N696" s="225">
        <f t="shared" si="54"/>
        <v>1.9203607247824666</v>
      </c>
      <c r="O696" s="225">
        <f>IF(IFERROR(INDEX('Both teabags AfterWet'!$C$3:$C$841,MATCH(J696,'Both teabags AfterWet'!$A$3:$A$841,0)),"")="","",(IFERROR(INDEX('Both teabags AfterWet'!$C$3:$C$841,MATCH(J696,'Both teabags AfterWet'!$A$3:$A$841,0)),"")))</f>
        <v>1.498</v>
      </c>
      <c r="P696" s="225">
        <f>IFERROR(IF(O696&gt;0,O696-(TBIcalc!$H$9),""),"")</f>
        <v>1.3473999999999999</v>
      </c>
      <c r="Q696" s="225">
        <f>IFERROR(INDEX('Ashed teabags wet'!$K$2:$K$821,MATCH(J696,'Ashed teabags wet'!$A$2:$A$821,0)),"")</f>
        <v>7.3362875430821557</v>
      </c>
      <c r="R696" s="225">
        <f t="shared" si="57"/>
        <v>1.2485508616445109</v>
      </c>
      <c r="S696" s="226">
        <f>'WetLitterbags placem_collection'!E37</f>
        <v>42765</v>
      </c>
      <c r="T696" s="226">
        <f>IF('WetLitterbags placem_collection'!G37="","",'WetLitterbags placem_collection'!G37)</f>
        <v>42820</v>
      </c>
      <c r="U696" s="227">
        <f t="shared" si="59"/>
        <v>55</v>
      </c>
      <c r="V696" s="225">
        <f t="shared" si="55"/>
        <v>0.6177999999999999</v>
      </c>
      <c r="W696" s="225">
        <f t="shared" si="56"/>
        <v>0.67180986313795565</v>
      </c>
      <c r="X696">
        <f>IFERROR(INDEX(Rainfall_Wet!$O$2:$O$217,MATCH(B696, Rainfall_Wet!$A$2:$A$217,0)),"")</f>
        <v>228.324359195</v>
      </c>
      <c r="Y696" s="231">
        <v>23.96</v>
      </c>
      <c r="Z696" s="231">
        <v>0.91999999999999804</v>
      </c>
      <c r="AA696" s="231">
        <v>75.12</v>
      </c>
      <c r="AB696" s="232" t="s">
        <v>2670</v>
      </c>
      <c r="AC696" s="231">
        <v>1.2493839329719072</v>
      </c>
      <c r="AD696">
        <f>IF('WetLitterbags placem_collection'!AB37="","",'WetLitterbags placem_collection'!AB37)</f>
        <v>0.7</v>
      </c>
      <c r="AE696">
        <f>IF('WetLitterbags placem_collection'!Z37="","",'WetLitterbags placem_collection'!Z37)</f>
        <v>10.6</v>
      </c>
      <c r="AF696" s="246" t="str">
        <f>IF('WetLitterbags placem_collection'!AA37="","",'WetLitterbags placem_collection'!AA37)</f>
        <v>G</v>
      </c>
      <c r="AG696">
        <f>IF('WetLitterbags placem_collection'!AC37="","",'WetLitterbags placem_collection'!AC37)</f>
        <v>0</v>
      </c>
      <c r="AH696">
        <f>AVERAGE('WetLitterbags placem_collection'!S37,'WetLitterbags placem_collection'!U37)</f>
        <v>10.9</v>
      </c>
      <c r="AI696">
        <f>AVERAGE('WetLitterbags placem_collection'!R37,'WetLitterbags placem_collection'!T37)</f>
        <v>24.45</v>
      </c>
      <c r="AJ696">
        <f>INDEX(Coordinates!$B$2:$B$197,MATCH(G696,Coordinates!$J$2:$J$197,0))</f>
        <v>-3.409177009</v>
      </c>
      <c r="AK696">
        <f>INDEX(Coordinates!$C$2:$C$197,MATCH(G696,Coordinates!$J$2:$J$197,0))</f>
        <v>34.852818990000003</v>
      </c>
      <c r="AL696" t="str">
        <f>IF(ISNUMBER(SEARCH("C", 'WetLitterbags placem_collection'!Y37)),"YES","NO")</f>
        <v>NO</v>
      </c>
      <c r="AM696" t="str">
        <f>IF(ISNUMBER(SEARCH("H", 'WetLitterbags placem_collection'!Y37)),"YES","NO")</f>
        <v>NO</v>
      </c>
      <c r="AN696" t="str">
        <f>IF(ISNUMBER(SEARCH("R", 'WetLitterbags placem_collection'!Y37)),"YES","NO")</f>
        <v>YES</v>
      </c>
    </row>
    <row r="697" spans="1:40" ht="15" customHeight="1">
      <c r="A697" s="258" t="s">
        <v>2460</v>
      </c>
      <c r="B697" s="263">
        <f>'Dry_Litterbag Placem_Collection'!A38</f>
        <v>36</v>
      </c>
      <c r="C697" s="263" t="str">
        <f>'Dry_Litterbag Placem_Collection'!B38</f>
        <v>Makao</v>
      </c>
      <c r="D697" s="263" t="s">
        <v>2659</v>
      </c>
      <c r="E697" s="263" t="s">
        <v>20</v>
      </c>
      <c r="F697" s="263">
        <v>1</v>
      </c>
      <c r="G697" s="264" t="str">
        <f>'Dry_Litterbag Placem_Collection'!C38</f>
        <v>Dry_P1_T4</v>
      </c>
      <c r="H697" s="273" t="s">
        <v>3651</v>
      </c>
      <c r="I697" s="274" t="s">
        <v>298</v>
      </c>
      <c r="J697" s="223" t="str">
        <f>'WetLitterbags placem_collection'!Q38</f>
        <v>R97</v>
      </c>
      <c r="K697" s="225">
        <f>IFERROR(INDEX('Green_rooibos initial weight'!$C$5:$C$1749,MATCH(J697, 'Green_rooibos initial weight'!$A$5:$A$1749,0)),"")</f>
        <v>2.2959999999999998</v>
      </c>
      <c r="L697" s="225">
        <f>IFERROR(K697-(TBIcalc!$H$9+TBIcalc!$H$10),"")</f>
        <v>2.0461999999999998</v>
      </c>
      <c r="M697" s="391">
        <f>AVERAGE(Ashed_controlls!$K$12:$K$14)</f>
        <v>2.2816647271287041</v>
      </c>
      <c r="N697" s="225">
        <f t="shared" si="54"/>
        <v>1.9995125763534922</v>
      </c>
      <c r="O697" s="225">
        <f>IF(IFERROR(INDEX('Both teabags AfterWet'!$C$3:$C$841,MATCH(J697,'Both teabags AfterWet'!$A$3:$A$841,0)),"")="","",(IFERROR(INDEX('Both teabags AfterWet'!$C$3:$C$841,MATCH(J697,'Both teabags AfterWet'!$A$3:$A$841,0)),"")))</f>
        <v>1.671</v>
      </c>
      <c r="P697" s="225">
        <f>IFERROR(IF(O697&gt;0,O697-(TBIcalc!$H$9),""),"")</f>
        <v>1.5204</v>
      </c>
      <c r="Q697" s="225">
        <f>IFERROR(INDEX('Ashed teabags wet'!$K$2:$K$821,MATCH(J697,'Ashed teabags wet'!$A$2:$A$821,0)),"")</f>
        <v>2.0873786407763748</v>
      </c>
      <c r="R697" s="225">
        <f t="shared" si="57"/>
        <v>1.4886634951456359</v>
      </c>
      <c r="S697" s="226">
        <f>'WetLitterbags placem_collection'!E38</f>
        <v>42765</v>
      </c>
      <c r="T697" s="226">
        <f>IF('WetLitterbags placem_collection'!G38="","",'WetLitterbags placem_collection'!G38)</f>
        <v>42820</v>
      </c>
      <c r="U697" s="227">
        <f t="shared" si="59"/>
        <v>55</v>
      </c>
      <c r="V697" s="225">
        <f t="shared" si="55"/>
        <v>0.52579999999999982</v>
      </c>
      <c r="W697" s="225">
        <f t="shared" si="56"/>
        <v>0.51084908120785633</v>
      </c>
      <c r="X697">
        <f>IFERROR(INDEX(Rainfall_Wet!$O$2:$O$217,MATCH(B697, Rainfall_Wet!$A$2:$A$217,0)),"")</f>
        <v>228.324359195</v>
      </c>
      <c r="Y697" s="231">
        <v>23.96</v>
      </c>
      <c r="Z697" s="231">
        <v>0.91999999999999804</v>
      </c>
      <c r="AA697" s="231">
        <v>75.12</v>
      </c>
      <c r="AB697" s="232" t="s">
        <v>2670</v>
      </c>
      <c r="AC697" s="231">
        <v>1.2493839329719072</v>
      </c>
      <c r="AD697">
        <f>IF('WetLitterbags placem_collection'!AB38="","",'WetLitterbags placem_collection'!AB38)</f>
        <v>3.3</v>
      </c>
      <c r="AE697">
        <f>IF('WetLitterbags placem_collection'!Z38="","",'WetLitterbags placem_collection'!Z38)</f>
        <v>4.9000000000000004</v>
      </c>
      <c r="AF697" s="246" t="str">
        <f>IF('WetLitterbags placem_collection'!AA38="","",'WetLitterbags placem_collection'!AA38)</f>
        <v>G</v>
      </c>
      <c r="AG697">
        <f>IF('WetLitterbags placem_collection'!AC38="","",'WetLitterbags placem_collection'!AC38)</f>
        <v>1</v>
      </c>
      <c r="AH697">
        <f>AVERAGE('WetLitterbags placem_collection'!S38,'WetLitterbags placem_collection'!U38)</f>
        <v>14.1</v>
      </c>
      <c r="AI697">
        <f>AVERAGE('WetLitterbags placem_collection'!R38,'WetLitterbags placem_collection'!T38)</f>
        <v>24.75</v>
      </c>
      <c r="AJ697">
        <f>INDEX(Coordinates!$B$2:$B$197,MATCH(G697,Coordinates!$J$2:$J$197,0))</f>
        <v>-3.40917198</v>
      </c>
      <c r="AK697">
        <f>INDEX(Coordinates!$C$2:$C$197,MATCH(G697,Coordinates!$J$2:$J$197,0))</f>
        <v>34.852960979999999</v>
      </c>
      <c r="AL697" t="str">
        <f>IF(ISNUMBER(SEARCH("C", 'WetLitterbags placem_collection'!Y38)),"YES","NO")</f>
        <v>NO</v>
      </c>
      <c r="AM697" t="str">
        <f>IF(ISNUMBER(SEARCH("H", 'WetLitterbags placem_collection'!Y38)),"YES","NO")</f>
        <v>NO</v>
      </c>
      <c r="AN697" t="str">
        <f>IF(ISNUMBER(SEARCH("R", 'WetLitterbags placem_collection'!Y38)),"YES","NO")</f>
        <v>YES</v>
      </c>
    </row>
    <row r="698" spans="1:40" ht="15" customHeight="1">
      <c r="A698" s="258" t="s">
        <v>2460</v>
      </c>
      <c r="B698" s="263">
        <f>'Dry_Litterbag Placem_Collection'!A39</f>
        <v>37</v>
      </c>
      <c r="C698" s="263" t="str">
        <f>'Dry_Litterbag Placem_Collection'!B39</f>
        <v>Makao</v>
      </c>
      <c r="D698" s="263" t="s">
        <v>2659</v>
      </c>
      <c r="E698" s="263" t="s">
        <v>20</v>
      </c>
      <c r="F698" s="263">
        <v>1</v>
      </c>
      <c r="G698" s="264" t="str">
        <f>'Dry_Litterbag Placem_Collection'!C39</f>
        <v>Dry_P1_T5</v>
      </c>
      <c r="H698" s="273" t="s">
        <v>3651</v>
      </c>
      <c r="I698" s="274" t="s">
        <v>298</v>
      </c>
      <c r="J698" s="223" t="str">
        <f>'WetLitterbags placem_collection'!Q39</f>
        <v>R89</v>
      </c>
      <c r="K698" s="225">
        <f>IFERROR(INDEX('Green_rooibos initial weight'!$C$5:$C$1749,MATCH(J698, 'Green_rooibos initial weight'!$A$5:$A$1749,0)),"")</f>
        <v>2.1949999999999998</v>
      </c>
      <c r="L698" s="225">
        <f>IFERROR(K698-(TBIcalc!$H$9+TBIcalc!$H$10),"")</f>
        <v>1.9451999999999998</v>
      </c>
      <c r="M698" s="391">
        <f>AVERAGE(Ashed_controlls!$K$12:$K$14)</f>
        <v>2.2816647271287041</v>
      </c>
      <c r="N698" s="225">
        <f t="shared" si="54"/>
        <v>1.9008170577278922</v>
      </c>
      <c r="O698" s="225">
        <f>IF(IFERROR(INDEX('Both teabags AfterWet'!$C$3:$C$841,MATCH(J698,'Both teabags AfterWet'!$A$3:$A$841,0)),"")="","",(IFERROR(INDEX('Both teabags AfterWet'!$C$3:$C$841,MATCH(J698,'Both teabags AfterWet'!$A$3:$A$841,0)),"")))</f>
        <v>1.425</v>
      </c>
      <c r="P698" s="225">
        <f>IFERROR(IF(O698&gt;0,O698-(TBIcalc!$H$9),""),"")</f>
        <v>1.2744</v>
      </c>
      <c r="Q698" s="225">
        <f>IFERROR(INDEX('Ashed teabags wet'!$K$2:$K$821,MATCH(J698,'Ashed teabags wet'!$A$2:$A$821,0)),"")</f>
        <v>8.2721488007830519</v>
      </c>
      <c r="R698" s="225">
        <f t="shared" si="57"/>
        <v>1.1689797356828207</v>
      </c>
      <c r="S698" s="226">
        <f>'WetLitterbags placem_collection'!E39</f>
        <v>42765</v>
      </c>
      <c r="T698" s="226">
        <f>IF('WetLitterbags placem_collection'!G39="","",'WetLitterbags placem_collection'!G39)</f>
        <v>42820</v>
      </c>
      <c r="U698" s="227">
        <f t="shared" si="59"/>
        <v>55</v>
      </c>
      <c r="V698" s="225">
        <f t="shared" si="55"/>
        <v>0.67079999999999984</v>
      </c>
      <c r="W698" s="225">
        <f t="shared" si="56"/>
        <v>0.73183732204507157</v>
      </c>
      <c r="X698">
        <f>IFERROR(INDEX(Rainfall_Wet!$O$2:$O$217,MATCH(B698, Rainfall_Wet!$A$2:$A$217,0)),"")</f>
        <v>228.324359195</v>
      </c>
      <c r="Y698" s="231">
        <v>23.96</v>
      </c>
      <c r="Z698" s="231">
        <v>0.91999999999999804</v>
      </c>
      <c r="AA698" s="231">
        <v>75.12</v>
      </c>
      <c r="AB698" s="232" t="s">
        <v>2670</v>
      </c>
      <c r="AC698" s="231">
        <v>1.2493839329719072</v>
      </c>
      <c r="AD698">
        <f>IF('WetLitterbags placem_collection'!AB39="","",'WetLitterbags placem_collection'!AB39)</f>
        <v>8.3000000000000007</v>
      </c>
      <c r="AE698">
        <f>IF('WetLitterbags placem_collection'!Z39="","",'WetLitterbags placem_collection'!Z39)</f>
        <v>27.8</v>
      </c>
      <c r="AF698" s="246" t="str">
        <f>IF('WetLitterbags placem_collection'!AA39="","",'WetLitterbags placem_collection'!AA39)</f>
        <v>G</v>
      </c>
      <c r="AG698">
        <f>IF('WetLitterbags placem_collection'!AC39="","",'WetLitterbags placem_collection'!AC39)</f>
        <v>0</v>
      </c>
      <c r="AH698">
        <f>AVERAGE('WetLitterbags placem_collection'!S39,'WetLitterbags placem_collection'!U39)</f>
        <v>19.299999999999997</v>
      </c>
      <c r="AI698">
        <f>AVERAGE('WetLitterbags placem_collection'!R39,'WetLitterbags placem_collection'!T39)</f>
        <v>24.55</v>
      </c>
      <c r="AJ698">
        <f>INDEX(Coordinates!$B$2:$B$197,MATCH(G698,Coordinates!$J$2:$J$197,0))</f>
        <v>-3.4090709779999999</v>
      </c>
      <c r="AK698">
        <f>INDEX(Coordinates!$C$2:$C$197,MATCH(G698,Coordinates!$J$2:$J$197,0))</f>
        <v>34.852712029999999</v>
      </c>
      <c r="AL698" t="str">
        <f>IF(ISNUMBER(SEARCH("C", 'WetLitterbags placem_collection'!Y39)),"YES","NO")</f>
        <v>NO</v>
      </c>
      <c r="AM698" t="str">
        <f>IF(ISNUMBER(SEARCH("H", 'WetLitterbags placem_collection'!Y39)),"YES","NO")</f>
        <v>NO</v>
      </c>
      <c r="AN698" t="str">
        <f>IF(ISNUMBER(SEARCH("R", 'WetLitterbags placem_collection'!Y39)),"YES","NO")</f>
        <v>YES</v>
      </c>
    </row>
    <row r="699" spans="1:40" ht="15" customHeight="1">
      <c r="A699" s="258" t="s">
        <v>2460</v>
      </c>
      <c r="B699" s="263">
        <f>'Dry_Litterbag Placem_Collection'!A40</f>
        <v>38</v>
      </c>
      <c r="C699" s="263" t="str">
        <f>'Dry_Litterbag Placem_Collection'!B40</f>
        <v>Makao</v>
      </c>
      <c r="D699" s="263" t="s">
        <v>2659</v>
      </c>
      <c r="E699" s="263" t="s">
        <v>20</v>
      </c>
      <c r="F699" s="263">
        <v>1</v>
      </c>
      <c r="G699" s="264" t="str">
        <f>'Dry_Litterbag Placem_Collection'!C40</f>
        <v>Dry_P1_T6</v>
      </c>
      <c r="H699" s="273" t="s">
        <v>3651</v>
      </c>
      <c r="I699" s="274" t="s">
        <v>298</v>
      </c>
      <c r="J699" s="223" t="str">
        <f>'WetLitterbags placem_collection'!Q40</f>
        <v>R147</v>
      </c>
      <c r="K699" s="225">
        <f>IFERROR(INDEX('Green_rooibos initial weight'!$C$5:$C$1749,MATCH(J699, 'Green_rooibos initial weight'!$A$5:$A$1749,0)),"")</f>
        <v>2.1960000000000002</v>
      </c>
      <c r="L699" s="225">
        <f>IFERROR(K699-(TBIcalc!$H$9+TBIcalc!$H$10),"")</f>
        <v>1.9462000000000002</v>
      </c>
      <c r="M699" s="391">
        <f>AVERAGE(Ashed_controlls!$K$12:$K$14)</f>
        <v>2.2816647271287041</v>
      </c>
      <c r="N699" s="225">
        <f t="shared" si="54"/>
        <v>1.9017942410806212</v>
      </c>
      <c r="O699" s="225">
        <f>IF(IFERROR(INDEX('Both teabags AfterWet'!$C$3:$C$841,MATCH(J699,'Both teabags AfterWet'!$A$3:$A$841,0)),"")="","",(IFERROR(INDEX('Both teabags AfterWet'!$C$3:$C$841,MATCH(J699,'Both teabags AfterWet'!$A$3:$A$841,0)),"")))</f>
        <v>1.381</v>
      </c>
      <c r="P699" s="225">
        <f>IFERROR(IF(O699&gt;0,O699-(TBIcalc!$H$9),""),"")</f>
        <v>1.2303999999999999</v>
      </c>
      <c r="Q699" s="225">
        <f>IFERROR(INDEX('Ashed teabags wet'!$K$2:$K$821,MATCH(J699,'Ashed teabags wet'!$A$2:$A$821,0)),"")</f>
        <v>6.8948891031825541</v>
      </c>
      <c r="R699" s="225">
        <f t="shared" si="57"/>
        <v>1.1455652844744417</v>
      </c>
      <c r="S699" s="226">
        <f>'WetLitterbags placem_collection'!E40</f>
        <v>42765</v>
      </c>
      <c r="T699" s="226">
        <f>IF('WetLitterbags placem_collection'!G40="","",'WetLitterbags placem_collection'!G40)</f>
        <v>42820</v>
      </c>
      <c r="U699" s="227">
        <f t="shared" si="59"/>
        <v>55</v>
      </c>
      <c r="V699" s="225">
        <f t="shared" si="55"/>
        <v>0.71580000000000021</v>
      </c>
      <c r="W699" s="225">
        <f t="shared" si="56"/>
        <v>0.7562289566061795</v>
      </c>
      <c r="X699">
        <f>IFERROR(INDEX(Rainfall_Wet!$O$2:$O$217,MATCH(B699, Rainfall_Wet!$A$2:$A$217,0)),"")</f>
        <v>228.324359195</v>
      </c>
      <c r="Y699" s="231">
        <v>23.96</v>
      </c>
      <c r="Z699" s="231">
        <v>0.91999999999999804</v>
      </c>
      <c r="AA699" s="231">
        <v>75.12</v>
      </c>
      <c r="AB699" s="232" t="s">
        <v>2670</v>
      </c>
      <c r="AC699" s="231">
        <v>1.2493839329719072</v>
      </c>
      <c r="AD699">
        <f>IF('WetLitterbags placem_collection'!AB40="","",'WetLitterbags placem_collection'!AB40)</f>
        <v>2</v>
      </c>
      <c r="AE699">
        <f>IF('WetLitterbags placem_collection'!Z40="","",'WetLitterbags placem_collection'!Z40)</f>
        <v>20.399999999999999</v>
      </c>
      <c r="AF699" s="246" t="str">
        <f>IF('WetLitterbags placem_collection'!AA40="","",'WetLitterbags placem_collection'!AA40)</f>
        <v>O</v>
      </c>
      <c r="AG699">
        <f>IF('WetLitterbags placem_collection'!AC40="","",'WetLitterbags placem_collection'!AC40)</f>
        <v>0</v>
      </c>
      <c r="AH699">
        <f>AVERAGE('WetLitterbags placem_collection'!S40,'WetLitterbags placem_collection'!U40)</f>
        <v>20.9</v>
      </c>
      <c r="AI699">
        <f>AVERAGE('WetLitterbags placem_collection'!R40,'WetLitterbags placem_collection'!T40)</f>
        <v>24.1</v>
      </c>
      <c r="AJ699">
        <f>INDEX(Coordinates!$B$2:$B$197,MATCH(G699,Coordinates!$J$2:$J$197,0))</f>
        <v>-3.409280023</v>
      </c>
      <c r="AK699">
        <f>INDEX(Coordinates!$C$2:$C$197,MATCH(G699,Coordinates!$J$2:$J$197,0))</f>
        <v>34.852612960000002</v>
      </c>
      <c r="AL699" t="str">
        <f>IF(ISNUMBER(SEARCH("C", 'WetLitterbags placem_collection'!Y40)),"YES","NO")</f>
        <v>NO</v>
      </c>
      <c r="AM699" t="str">
        <f>IF(ISNUMBER(SEARCH("H", 'WetLitterbags placem_collection'!Y40)),"YES","NO")</f>
        <v>NO</v>
      </c>
      <c r="AN699" t="str">
        <f>IF(ISNUMBER(SEARCH("R", 'WetLitterbags placem_collection'!Y40)),"YES","NO")</f>
        <v>NO</v>
      </c>
    </row>
    <row r="700" spans="1:40" ht="15" customHeight="1">
      <c r="A700" s="258" t="s">
        <v>2460</v>
      </c>
      <c r="B700" s="263">
        <f>'Dry_Litterbag Placem_Collection'!A41</f>
        <v>39</v>
      </c>
      <c r="C700" s="263" t="str">
        <f>'Dry_Litterbag Placem_Collection'!B41</f>
        <v>Makao</v>
      </c>
      <c r="D700" s="263" t="s">
        <v>2659</v>
      </c>
      <c r="E700" s="263" t="s">
        <v>20</v>
      </c>
      <c r="F700" s="263">
        <v>1</v>
      </c>
      <c r="G700" s="264" t="str">
        <f>'Dry_Litterbag Placem_Collection'!C41</f>
        <v>Dry_P1_T7</v>
      </c>
      <c r="H700" s="273" t="s">
        <v>3651</v>
      </c>
      <c r="I700" s="274" t="s">
        <v>298</v>
      </c>
      <c r="J700" s="223" t="str">
        <f>'WetLitterbags placem_collection'!Q41</f>
        <v>R65</v>
      </c>
      <c r="K700" s="225">
        <f>IFERROR(INDEX('Green_rooibos initial weight'!$C$5:$C$1749,MATCH(J700, 'Green_rooibos initial weight'!$A$5:$A$1749,0)),"")</f>
        <v>2.2559999999999998</v>
      </c>
      <c r="L700" s="225">
        <f>IFERROR(K700-(TBIcalc!$H$9+TBIcalc!$H$10),"")</f>
        <v>2.0061999999999998</v>
      </c>
      <c r="M700" s="391">
        <f>AVERAGE(Ashed_controlls!$K$12:$K$14)</f>
        <v>2.2816647271287041</v>
      </c>
      <c r="N700" s="225">
        <f t="shared" si="54"/>
        <v>1.9604252422443438</v>
      </c>
      <c r="O700" s="225">
        <f>IF(IFERROR(INDEX('Both teabags AfterWet'!$C$3:$C$841,MATCH(J700,'Both teabags AfterWet'!$A$3:$A$841,0)),"")="","",(IFERROR(INDEX('Both teabags AfterWet'!$C$3:$C$841,MATCH(J700,'Both teabags AfterWet'!$A$3:$A$841,0)),"")))</f>
        <v>1.5185</v>
      </c>
      <c r="P700" s="225">
        <f>IFERROR(IF(O700&gt;0,O700-(TBIcalc!$H$9),""),"")</f>
        <v>1.3678999999999999</v>
      </c>
      <c r="Q700" s="225">
        <f>IFERROR(INDEX('Ashed teabags wet'!$K$2:$K$821,MATCH(J700,'Ashed teabags wet'!$A$2:$A$821,0)),"")</f>
        <v>3.3680039623575757</v>
      </c>
      <c r="R700" s="225">
        <f t="shared" si="57"/>
        <v>1.3218290737989107</v>
      </c>
      <c r="S700" s="226">
        <f>'WetLitterbags placem_collection'!E41</f>
        <v>42765</v>
      </c>
      <c r="T700" s="226">
        <f>IF('WetLitterbags placem_collection'!G41="","",'WetLitterbags placem_collection'!G41)</f>
        <v>42820</v>
      </c>
      <c r="U700" s="227">
        <f t="shared" si="59"/>
        <v>55</v>
      </c>
      <c r="V700" s="225">
        <f t="shared" si="55"/>
        <v>0.63829999999999987</v>
      </c>
      <c r="W700" s="225">
        <f t="shared" si="56"/>
        <v>0.6385961684454331</v>
      </c>
      <c r="X700">
        <f>IFERROR(INDEX(Rainfall_Wet!$O$2:$O$217,MATCH(B700, Rainfall_Wet!$A$2:$A$217,0)),"")</f>
        <v>228.324359195</v>
      </c>
      <c r="Y700" s="231">
        <v>23.96</v>
      </c>
      <c r="Z700" s="231">
        <v>0.91999999999999804</v>
      </c>
      <c r="AA700" s="231">
        <v>75.12</v>
      </c>
      <c r="AB700" s="232" t="s">
        <v>2670</v>
      </c>
      <c r="AC700" s="231">
        <v>1.2493839329719072</v>
      </c>
      <c r="AD700">
        <f>IF('WetLitterbags placem_collection'!AB41="","",'WetLitterbags placem_collection'!AB41)</f>
        <v>2.4</v>
      </c>
      <c r="AE700">
        <f>IF('WetLitterbags placem_collection'!Z41="","",'WetLitterbags placem_collection'!Z41)</f>
        <v>18</v>
      </c>
      <c r="AF700" s="246" t="str">
        <f>IF('WetLitterbags placem_collection'!AA41="","",'WetLitterbags placem_collection'!AA41)</f>
        <v>G</v>
      </c>
      <c r="AG700">
        <f>IF('WetLitterbags placem_collection'!AC41="","",'WetLitterbags placem_collection'!AC41)</f>
        <v>1</v>
      </c>
      <c r="AH700">
        <f>AVERAGE('WetLitterbags placem_collection'!S41,'WetLitterbags placem_collection'!U41)</f>
        <v>26.9</v>
      </c>
      <c r="AI700">
        <f>AVERAGE('WetLitterbags placem_collection'!R41,'WetLitterbags placem_collection'!T41)</f>
        <v>23.299999999999997</v>
      </c>
      <c r="AJ700">
        <f>INDEX(Coordinates!$B$2:$B$197,MATCH(G700,Coordinates!$J$2:$J$197,0))</f>
        <v>-3.4093859700000002</v>
      </c>
      <c r="AK700">
        <f>INDEX(Coordinates!$C$2:$C$197,MATCH(G700,Coordinates!$J$2:$J$197,0))</f>
        <v>34.852855030000001</v>
      </c>
      <c r="AL700" t="str">
        <f>IF(ISNUMBER(SEARCH("C", 'WetLitterbags placem_collection'!Y41)),"YES","NO")</f>
        <v>NO</v>
      </c>
      <c r="AM700" t="str">
        <f>IF(ISNUMBER(SEARCH("H", 'WetLitterbags placem_collection'!Y41)),"YES","NO")</f>
        <v>NO</v>
      </c>
      <c r="AN700" t="str">
        <f>IF(ISNUMBER(SEARCH("R", 'WetLitterbags placem_collection'!Y41)),"YES","NO")</f>
        <v>YES</v>
      </c>
    </row>
    <row r="701" spans="1:40" ht="15" customHeight="1">
      <c r="A701" s="258" t="s">
        <v>2460</v>
      </c>
      <c r="B701" s="263">
        <f>'Dry_Litterbag Placem_Collection'!A42</f>
        <v>40</v>
      </c>
      <c r="C701" s="263" t="str">
        <f>'Dry_Litterbag Placem_Collection'!B42</f>
        <v>Makao</v>
      </c>
      <c r="D701" s="263" t="s">
        <v>2659</v>
      </c>
      <c r="E701" s="263" t="s">
        <v>20</v>
      </c>
      <c r="F701" s="263">
        <v>1</v>
      </c>
      <c r="G701" s="264" t="str">
        <f>'Dry_Litterbag Placem_Collection'!C42</f>
        <v>Dry_P1_T8</v>
      </c>
      <c r="H701" s="273" t="s">
        <v>3651</v>
      </c>
      <c r="I701" s="274" t="s">
        <v>298</v>
      </c>
      <c r="J701" s="223" t="str">
        <f>'WetLitterbags placem_collection'!Q42</f>
        <v>R420</v>
      </c>
      <c r="K701" s="225">
        <f>IFERROR(INDEX('Green_rooibos initial weight'!$C$5:$C$1749,MATCH(J701, 'Green_rooibos initial weight'!$A$5:$A$1749,0)),"")</f>
        <v>2.2749999999999999</v>
      </c>
      <c r="L701" s="225">
        <f>IFERROR(K701-(TBIcalc!$H$9+TBIcalc!$H$10),"")</f>
        <v>2.0251999999999999</v>
      </c>
      <c r="M701" s="391">
        <f>AVERAGE(Ashed_controlls!$K$12:$K$14)</f>
        <v>2.2816647271287041</v>
      </c>
      <c r="N701" s="225">
        <f t="shared" si="54"/>
        <v>1.9789917259461893</v>
      </c>
      <c r="O701" s="225">
        <f>IF(IFERROR(INDEX('Both teabags AfterWet'!$C$3:$C$841,MATCH(J701,'Both teabags AfterWet'!$A$3:$A$841,0)),"")="","",(IFERROR(INDEX('Both teabags AfterWet'!$C$3:$C$841,MATCH(J701,'Both teabags AfterWet'!$A$3:$A$841,0)),"")))</f>
        <v>1.66</v>
      </c>
      <c r="P701" s="225">
        <f>IFERROR(IF(O701&gt;0,O701-(TBIcalc!$H$9),""),"")</f>
        <v>1.5093999999999999</v>
      </c>
      <c r="Q701" s="225">
        <f>IFERROR(INDEX('Ashed teabags wet'!$K$2:$K$821,MATCH(J701,'Ashed teabags wet'!$A$2:$A$821,0)),"")</f>
        <v>4.7856430707881614</v>
      </c>
      <c r="R701" s="225">
        <f t="shared" si="57"/>
        <v>1.4371655034895234</v>
      </c>
      <c r="S701" s="226">
        <f>'WetLitterbags placem_collection'!E42</f>
        <v>42765</v>
      </c>
      <c r="T701" s="226">
        <f>IF('WetLitterbags placem_collection'!G42="","",'WetLitterbags placem_collection'!G42)</f>
        <v>42820</v>
      </c>
      <c r="U701" s="227">
        <f t="shared" si="59"/>
        <v>55</v>
      </c>
      <c r="V701" s="225">
        <f t="shared" si="55"/>
        <v>0.51580000000000004</v>
      </c>
      <c r="W701" s="225">
        <f t="shared" si="56"/>
        <v>0.5418262224566659</v>
      </c>
      <c r="X701">
        <f>IFERROR(INDEX(Rainfall_Wet!$O$2:$O$217,MATCH(B701, Rainfall_Wet!$A$2:$A$217,0)),"")</f>
        <v>228.324359195</v>
      </c>
      <c r="Y701" s="231">
        <v>23.96</v>
      </c>
      <c r="Z701" s="231">
        <v>0.91999999999999804</v>
      </c>
      <c r="AA701" s="231">
        <v>75.12</v>
      </c>
      <c r="AB701" s="232" t="s">
        <v>2670</v>
      </c>
      <c r="AC701" s="231">
        <v>1.2493839329719072</v>
      </c>
      <c r="AD701">
        <f>IF('WetLitterbags placem_collection'!AB42="","",'WetLitterbags placem_collection'!AB42)</f>
        <v>8.6999999999999993</v>
      </c>
      <c r="AE701">
        <f>IF('WetLitterbags placem_collection'!Z42="","",'WetLitterbags placem_collection'!Z42)</f>
        <v>19.3</v>
      </c>
      <c r="AF701" s="246" t="str">
        <f>IF('WetLitterbags placem_collection'!AA42="","",'WetLitterbags placem_collection'!AA42)</f>
        <v>G</v>
      </c>
      <c r="AG701">
        <f>IF('WetLitterbags placem_collection'!AC42="","",'WetLitterbags placem_collection'!AC42)</f>
        <v>0</v>
      </c>
      <c r="AH701">
        <f>AVERAGE('WetLitterbags placem_collection'!S42,'WetLitterbags placem_collection'!U42)</f>
        <v>31.9</v>
      </c>
      <c r="AI701">
        <f>AVERAGE('WetLitterbags placem_collection'!R42,'WetLitterbags placem_collection'!T42)</f>
        <v>23.9</v>
      </c>
      <c r="AJ701">
        <f>INDEX(Coordinates!$B$2:$B$197,MATCH(G701,Coordinates!$J$2:$J$197,0))</f>
        <v>-3.4091539590000002</v>
      </c>
      <c r="AK701">
        <f>INDEX(Coordinates!$C$2:$C$197,MATCH(G701,Coordinates!$J$2:$J$197,0))</f>
        <v>34.852755029999997</v>
      </c>
      <c r="AL701" t="str">
        <f>IF(ISNUMBER(SEARCH("C", 'WetLitterbags placem_collection'!Y42)),"YES","NO")</f>
        <v>NO</v>
      </c>
      <c r="AM701" t="str">
        <f>IF(ISNUMBER(SEARCH("H", 'WetLitterbags placem_collection'!Y42)),"YES","NO")</f>
        <v>NO</v>
      </c>
      <c r="AN701" t="str">
        <f>IF(ISNUMBER(SEARCH("R", 'WetLitterbags placem_collection'!Y42)),"YES","NO")</f>
        <v>NO</v>
      </c>
    </row>
    <row r="702" spans="1:40" ht="15" customHeight="1">
      <c r="A702" s="258" t="s">
        <v>2460</v>
      </c>
      <c r="B702" s="263">
        <f>'Dry_Litterbag Placem_Collection'!A43</f>
        <v>41</v>
      </c>
      <c r="C702" s="263" t="str">
        <f>'Dry_Litterbag Placem_Collection'!B43</f>
        <v>Makao</v>
      </c>
      <c r="D702" s="263" t="s">
        <v>2659</v>
      </c>
      <c r="E702" s="263" t="s">
        <v>20</v>
      </c>
      <c r="F702" s="263">
        <v>2</v>
      </c>
      <c r="G702" s="264" t="str">
        <f>'Dry_Litterbag Placem_Collection'!C43</f>
        <v>Dry_P2_T1</v>
      </c>
      <c r="H702" s="273" t="s">
        <v>3651</v>
      </c>
      <c r="I702" s="274" t="s">
        <v>298</v>
      </c>
      <c r="J702" s="223" t="str">
        <f>'WetLitterbags placem_collection'!Q43</f>
        <v>R77</v>
      </c>
      <c r="K702" s="225">
        <f>IFERROR(INDEX('Green_rooibos initial weight'!$C$5:$C$1749,MATCH(J702, 'Green_rooibos initial weight'!$A$5:$A$1749,0)),"")</f>
        <v>2.1749999999999998</v>
      </c>
      <c r="L702" s="225">
        <f>IFERROR(K702-(TBIcalc!$H$9+TBIcalc!$H$10),"")</f>
        <v>1.9251999999999998</v>
      </c>
      <c r="M702" s="391">
        <f>AVERAGE(Ashed_controlls!$K$12:$K$14)</f>
        <v>2.2816647271287041</v>
      </c>
      <c r="N702" s="225">
        <f t="shared" si="54"/>
        <v>1.8812733906733179</v>
      </c>
      <c r="O702" s="225">
        <f>IF(IFERROR(INDEX('Both teabags AfterWet'!$C$3:$C$841,MATCH(J702,'Both teabags AfterWet'!$A$3:$A$841,0)),"")="","",(IFERROR(INDEX('Both teabags AfterWet'!$C$3:$C$841,MATCH(J702,'Both teabags AfterWet'!$A$3:$A$841,0)),"")))</f>
        <v>1.5429999999999999</v>
      </c>
      <c r="P702" s="225">
        <f>IFERROR(IF(O702&gt;0,O702-(TBIcalc!$H$9),""),"")</f>
        <v>1.3923999999999999</v>
      </c>
      <c r="Q702" s="225">
        <f>IFERROR(INDEX('Ashed teabags wet'!$K$2:$K$821,MATCH(J702,'Ashed teabags wet'!$A$2:$A$821,0)),"")</f>
        <v>6.0530265132569756</v>
      </c>
      <c r="R702" s="225">
        <f t="shared" si="57"/>
        <v>1.3081176588294097</v>
      </c>
      <c r="S702" s="226">
        <f>'WetLitterbags placem_collection'!E43</f>
        <v>42766</v>
      </c>
      <c r="T702" s="226">
        <f>IF('WetLitterbags placem_collection'!G43="","",'WetLitterbags placem_collection'!G43)</f>
        <v>42820</v>
      </c>
      <c r="U702" s="227">
        <f t="shared" si="59"/>
        <v>54</v>
      </c>
      <c r="V702" s="225">
        <f t="shared" si="55"/>
        <v>0.53279999999999994</v>
      </c>
      <c r="W702" s="225">
        <f t="shared" si="56"/>
        <v>0.57315573184390822</v>
      </c>
      <c r="X702">
        <f>IFERROR(INDEX(Rainfall_Wet!$O$2:$O$217,MATCH(B702, Rainfall_Wet!$A$2:$A$217,0)),"")</f>
        <v>214.262898705</v>
      </c>
      <c r="Y702" s="231">
        <v>19.96</v>
      </c>
      <c r="Z702" s="231">
        <v>4.9199999999999982</v>
      </c>
      <c r="AA702" s="231">
        <v>75.12</v>
      </c>
      <c r="AB702" s="232" t="s">
        <v>2671</v>
      </c>
      <c r="AC702" s="231">
        <v>1.641498275012321</v>
      </c>
      <c r="AD702">
        <f>IF('WetLitterbags placem_collection'!AB43="","",'WetLitterbags placem_collection'!AB43)</f>
        <v>4</v>
      </c>
      <c r="AE702">
        <f>IF('WetLitterbags placem_collection'!Z43="","",'WetLitterbags placem_collection'!Z43)</f>
        <v>19.100000000000001</v>
      </c>
      <c r="AF702" s="246" t="str">
        <f>IF('WetLitterbags placem_collection'!AA43="","",'WetLitterbags placem_collection'!AA43)</f>
        <v>G</v>
      </c>
      <c r="AG702">
        <f>IF('WetLitterbags placem_collection'!AC43="","",'WetLitterbags placem_collection'!AC43)</f>
        <v>0</v>
      </c>
      <c r="AH702">
        <f>AVERAGE('WetLitterbags placem_collection'!S43,'WetLitterbags placem_collection'!U43)</f>
        <v>21.9</v>
      </c>
      <c r="AI702">
        <f>AVERAGE('WetLitterbags placem_collection'!R43,'WetLitterbags placem_collection'!T43)</f>
        <v>24.5</v>
      </c>
      <c r="AJ702">
        <f>INDEX(Coordinates!$B$2:$B$197,MATCH(G702,Coordinates!$J$2:$J$197,0))</f>
        <v>-3.4083420040000001</v>
      </c>
      <c r="AK702">
        <f>INDEX(Coordinates!$C$2:$C$197,MATCH(G702,Coordinates!$J$2:$J$197,0))</f>
        <v>34.850283040000001</v>
      </c>
      <c r="AL702" t="str">
        <f>IF(ISNUMBER(SEARCH("C", 'WetLitterbags placem_collection'!Y43)),"YES","NO")</f>
        <v>NO</v>
      </c>
      <c r="AM702" t="str">
        <f>IF(ISNUMBER(SEARCH("H", 'WetLitterbags placem_collection'!Y43)),"YES","NO")</f>
        <v>NO</v>
      </c>
      <c r="AN702" t="str">
        <f>IF(ISNUMBER(SEARCH("R", 'WetLitterbags placem_collection'!Y43)),"YES","NO")</f>
        <v>YES</v>
      </c>
    </row>
    <row r="703" spans="1:40" ht="15" customHeight="1">
      <c r="A703" s="258" t="s">
        <v>2460</v>
      </c>
      <c r="B703" s="263">
        <f>'Dry_Litterbag Placem_Collection'!A44</f>
        <v>42</v>
      </c>
      <c r="C703" s="263" t="str">
        <f>'Dry_Litterbag Placem_Collection'!B44</f>
        <v>Makao</v>
      </c>
      <c r="D703" s="263" t="s">
        <v>2659</v>
      </c>
      <c r="E703" s="263" t="s">
        <v>20</v>
      </c>
      <c r="F703" s="263">
        <v>2</v>
      </c>
      <c r="G703" s="264" t="str">
        <f>'Dry_Litterbag Placem_Collection'!C44</f>
        <v>Dry_P2_T2</v>
      </c>
      <c r="H703" s="273" t="s">
        <v>3651</v>
      </c>
      <c r="I703" s="274" t="s">
        <v>298</v>
      </c>
      <c r="J703" s="223" t="str">
        <f>'WetLitterbags placem_collection'!Q44</f>
        <v>R81</v>
      </c>
      <c r="K703" s="225">
        <f>IFERROR(INDEX('Green_rooibos initial weight'!$C$5:$C$1749,MATCH(J703, 'Green_rooibos initial weight'!$A$5:$A$1749,0)),"")</f>
        <v>2.004</v>
      </c>
      <c r="L703" s="225">
        <f>IFERROR(K703-(TBIcalc!$H$9+TBIcalc!$H$10),"")</f>
        <v>1.7542</v>
      </c>
      <c r="M703" s="391">
        <f>AVERAGE(Ashed_controlls!$K$12:$K$14)</f>
        <v>2.2816647271287041</v>
      </c>
      <c r="N703" s="225">
        <f t="shared" si="54"/>
        <v>1.7141750373567082</v>
      </c>
      <c r="O703" s="225">
        <f>IF(IFERROR(INDEX('Both teabags AfterWet'!$C$3:$C$841,MATCH(J703,'Both teabags AfterWet'!$A$3:$A$841,0)),"")="","",(IFERROR(INDEX('Both teabags AfterWet'!$C$3:$C$841,MATCH(J703,'Both teabags AfterWet'!$A$3:$A$841,0)),"")))</f>
        <v>1.528</v>
      </c>
      <c r="P703" s="225">
        <f>IFERROR(IF(O703&gt;0,O703-(TBIcalc!$H$9),""),"")</f>
        <v>1.3774</v>
      </c>
      <c r="Q703" s="225">
        <f>IFERROR(INDEX('Ashed teabags wet'!$K$2:$K$821,MATCH(J703,'Ashed teabags wet'!$A$2:$A$821,0)),"")</f>
        <v>2.5036109773709327</v>
      </c>
      <c r="R703" s="225">
        <f t="shared" si="57"/>
        <v>1.3429152623976928</v>
      </c>
      <c r="S703" s="226">
        <f>'WetLitterbags placem_collection'!E44</f>
        <v>42766</v>
      </c>
      <c r="T703" s="226">
        <f>IF('WetLitterbags placem_collection'!G44="","",'WetLitterbags placem_collection'!G44)</f>
        <v>42820</v>
      </c>
      <c r="U703" s="227">
        <f t="shared" si="59"/>
        <v>54</v>
      </c>
      <c r="V703" s="225">
        <f t="shared" si="55"/>
        <v>0.37680000000000002</v>
      </c>
      <c r="W703" s="225">
        <f t="shared" si="56"/>
        <v>0.37125977495901541</v>
      </c>
      <c r="X703">
        <f>IFERROR(INDEX(Rainfall_Wet!$O$2:$O$217,MATCH(B703, Rainfall_Wet!$A$2:$A$217,0)),"")</f>
        <v>214.262898705</v>
      </c>
      <c r="Y703" s="231">
        <v>19.96</v>
      </c>
      <c r="Z703" s="231">
        <v>4.9199999999999982</v>
      </c>
      <c r="AA703" s="231">
        <v>75.12</v>
      </c>
      <c r="AB703" s="232" t="s">
        <v>2671</v>
      </c>
      <c r="AC703" s="231">
        <v>1.641498275012321</v>
      </c>
      <c r="AD703">
        <f>IF('WetLitterbags placem_collection'!AB44="","",'WetLitterbags placem_collection'!AB44)</f>
        <v>5.9</v>
      </c>
      <c r="AE703">
        <f>IF('WetLitterbags placem_collection'!Z44="","",'WetLitterbags placem_collection'!Z44)</f>
        <v>12.7</v>
      </c>
      <c r="AF703" s="246" t="str">
        <f>IF('WetLitterbags placem_collection'!AA44="","",'WetLitterbags placem_collection'!AA44)</f>
        <v>G</v>
      </c>
      <c r="AG703">
        <f>IF('WetLitterbags placem_collection'!AC44="","",'WetLitterbags placem_collection'!AC44)</f>
        <v>0</v>
      </c>
      <c r="AH703">
        <f>AVERAGE('WetLitterbags placem_collection'!S44,'WetLitterbags placem_collection'!U44)</f>
        <v>19</v>
      </c>
      <c r="AI703">
        <f>AVERAGE('WetLitterbags placem_collection'!R44,'WetLitterbags placem_collection'!T44)</f>
        <v>22.950000000000003</v>
      </c>
      <c r="AJ703">
        <f>INDEX(Coordinates!$B$2:$B$197,MATCH(G703,Coordinates!$J$2:$J$197,0))</f>
        <v>-3.4084079690000002</v>
      </c>
      <c r="AK703">
        <f>INDEX(Coordinates!$C$2:$C$197,MATCH(G703,Coordinates!$J$2:$J$197,0))</f>
        <v>34.850295029999998</v>
      </c>
      <c r="AL703" t="str">
        <f>IF(ISNUMBER(SEARCH("C", 'WetLitterbags placem_collection'!Y44)),"YES","NO")</f>
        <v>NO</v>
      </c>
      <c r="AM703" t="str">
        <f>IF(ISNUMBER(SEARCH("H", 'WetLitterbags placem_collection'!Y44)),"YES","NO")</f>
        <v>NO</v>
      </c>
      <c r="AN703" t="str">
        <f>IF(ISNUMBER(SEARCH("R", 'WetLitterbags placem_collection'!Y44)),"YES","NO")</f>
        <v>NO</v>
      </c>
    </row>
    <row r="704" spans="1:40" ht="15" customHeight="1">
      <c r="A704" s="258" t="s">
        <v>2460</v>
      </c>
      <c r="B704" s="263">
        <f>'Dry_Litterbag Placem_Collection'!A45</f>
        <v>43</v>
      </c>
      <c r="C704" s="263" t="str">
        <f>'Dry_Litterbag Placem_Collection'!B45</f>
        <v>Makao</v>
      </c>
      <c r="D704" s="263" t="s">
        <v>2659</v>
      </c>
      <c r="E704" s="263" t="s">
        <v>20</v>
      </c>
      <c r="F704" s="263">
        <v>2</v>
      </c>
      <c r="G704" s="264" t="str">
        <f>'Dry_Litterbag Placem_Collection'!C45</f>
        <v>Dry_P2_T3</v>
      </c>
      <c r="H704" s="273" t="s">
        <v>3651</v>
      </c>
      <c r="I704" s="274" t="s">
        <v>298</v>
      </c>
      <c r="J704" s="223" t="str">
        <f>'WetLitterbags placem_collection'!Q45</f>
        <v>R117</v>
      </c>
      <c r="K704" s="225">
        <f>IFERROR(INDEX('Green_rooibos initial weight'!$C$5:$C$1749,MATCH(J704, 'Green_rooibos initial weight'!$A$5:$A$1749,0)),"")</f>
        <v>2.2029999999999998</v>
      </c>
      <c r="L704" s="225">
        <f>IFERROR(K704-(TBIcalc!$H$9+TBIcalc!$H$10),"")</f>
        <v>1.9531999999999998</v>
      </c>
      <c r="M704" s="391">
        <f>AVERAGE(Ashed_controlls!$K$12:$K$14)</f>
        <v>2.2816647271287041</v>
      </c>
      <c r="N704" s="225">
        <f t="shared" si="54"/>
        <v>1.908634524549722</v>
      </c>
      <c r="O704" s="225">
        <f>IF(IFERROR(INDEX('Both teabags AfterWet'!$C$3:$C$841,MATCH(J704,'Both teabags AfterWet'!$A$3:$A$841,0)),"")="","",(IFERROR(INDEX('Both teabags AfterWet'!$C$3:$C$841,MATCH(J704,'Both teabags AfterWet'!$A$3:$A$841,0)),"")))</f>
        <v>1.6155999999999999</v>
      </c>
      <c r="P704" s="225">
        <f>IFERROR(IF(O704&gt;0,O704-(TBIcalc!$H$9),""),"")</f>
        <v>1.4649999999999999</v>
      </c>
      <c r="Q704" s="225">
        <f>IFERROR(INDEX('Ashed teabags wet'!$K$2:$K$821,MATCH(J704,'Ashed teabags wet'!$A$2:$A$821,0)),"")</f>
        <v>1.8435475834578603</v>
      </c>
      <c r="R704" s="225">
        <f t="shared" si="57"/>
        <v>1.4379920279023422</v>
      </c>
      <c r="S704" s="226">
        <f>'WetLitterbags placem_collection'!E45</f>
        <v>42766</v>
      </c>
      <c r="T704" s="226">
        <f>IF('WetLitterbags placem_collection'!G45="","",'WetLitterbags placem_collection'!G45)</f>
        <v>42820</v>
      </c>
      <c r="U704" s="227">
        <f t="shared" si="59"/>
        <v>54</v>
      </c>
      <c r="V704" s="225">
        <f t="shared" si="55"/>
        <v>0.48819999999999997</v>
      </c>
      <c r="W704" s="225">
        <f t="shared" si="56"/>
        <v>0.47064249664737989</v>
      </c>
      <c r="X704">
        <f>IFERROR(INDEX(Rainfall_Wet!$O$2:$O$217,MATCH(B704, Rainfall_Wet!$A$2:$A$217,0)),"")</f>
        <v>214.262898705</v>
      </c>
      <c r="Y704" s="231">
        <v>19.96</v>
      </c>
      <c r="Z704" s="231">
        <v>4.9199999999999982</v>
      </c>
      <c r="AA704" s="231">
        <v>75.12</v>
      </c>
      <c r="AB704" s="232" t="s">
        <v>2671</v>
      </c>
      <c r="AC704" s="231">
        <v>1.641498275012321</v>
      </c>
      <c r="AD704">
        <f>IF('WetLitterbags placem_collection'!AB45="","",'WetLitterbags placem_collection'!AB45)</f>
        <v>5</v>
      </c>
      <c r="AE704">
        <f>IF('WetLitterbags placem_collection'!Z45="","",'WetLitterbags placem_collection'!Z45)</f>
        <v>26.3</v>
      </c>
      <c r="AF704" s="246" t="str">
        <f>IF('WetLitterbags placem_collection'!AA45="","",'WetLitterbags placem_collection'!AA45)</f>
        <v>G</v>
      </c>
      <c r="AG704">
        <f>IF('WetLitterbags placem_collection'!AC45="","",'WetLitterbags placem_collection'!AC45)</f>
        <v>0</v>
      </c>
      <c r="AH704">
        <f>AVERAGE('WetLitterbags placem_collection'!S45,'WetLitterbags placem_collection'!U45)</f>
        <v>18.3</v>
      </c>
      <c r="AI704">
        <f>AVERAGE('WetLitterbags placem_collection'!R45,'WetLitterbags placem_collection'!T45)</f>
        <v>21.799999999999997</v>
      </c>
      <c r="AJ704">
        <f>INDEX(Coordinates!$B$2:$B$197,MATCH(G704,Coordinates!$J$2:$J$197,0))</f>
        <v>-3.4082369789999998</v>
      </c>
      <c r="AK704">
        <f>INDEX(Coordinates!$C$2:$C$197,MATCH(G704,Coordinates!$J$2:$J$197,0))</f>
        <v>34.850189999999998</v>
      </c>
      <c r="AL704" t="str">
        <f>IF(ISNUMBER(SEARCH("C", 'WetLitterbags placem_collection'!Y45)),"YES","NO")</f>
        <v>NO</v>
      </c>
      <c r="AM704" t="str">
        <f>IF(ISNUMBER(SEARCH("H", 'WetLitterbags placem_collection'!Y45)),"YES","NO")</f>
        <v>NO</v>
      </c>
      <c r="AN704" t="str">
        <f>IF(ISNUMBER(SEARCH("R", 'WetLitterbags placem_collection'!Y45)),"YES","NO")</f>
        <v>YES</v>
      </c>
    </row>
    <row r="705" spans="1:40" ht="15" customHeight="1">
      <c r="A705" s="258" t="s">
        <v>2460</v>
      </c>
      <c r="B705" s="263">
        <f>'Dry_Litterbag Placem_Collection'!A46</f>
        <v>44</v>
      </c>
      <c r="C705" s="263" t="str">
        <f>'Dry_Litterbag Placem_Collection'!B46</f>
        <v>Makao</v>
      </c>
      <c r="D705" s="263" t="s">
        <v>2659</v>
      </c>
      <c r="E705" s="263" t="s">
        <v>20</v>
      </c>
      <c r="F705" s="263">
        <v>2</v>
      </c>
      <c r="G705" s="264" t="str">
        <f>'Dry_Litterbag Placem_Collection'!C46</f>
        <v>Dry_P2_T4</v>
      </c>
      <c r="H705" s="273" t="s">
        <v>3651</v>
      </c>
      <c r="I705" s="274" t="s">
        <v>298</v>
      </c>
      <c r="J705" s="223" t="str">
        <f>'WetLitterbags placem_collection'!Q46</f>
        <v>R6</v>
      </c>
      <c r="K705" s="225">
        <f>IFERROR(INDEX('Green_rooibos initial weight'!$C$5:$C$1749,MATCH(J705, 'Green_rooibos initial weight'!$A$5:$A$1749,0)),"")</f>
        <v>2.226</v>
      </c>
      <c r="L705" s="225">
        <f>IFERROR(K705-(TBIcalc!$H$9+TBIcalc!$H$10),"")</f>
        <v>1.9762</v>
      </c>
      <c r="M705" s="391">
        <f>AVERAGE(Ashed_controlls!$K$12:$K$14)</f>
        <v>2.2816647271287041</v>
      </c>
      <c r="N705" s="225">
        <f t="shared" si="54"/>
        <v>1.9311097416624825</v>
      </c>
      <c r="O705" s="225">
        <f>IF(IFERROR(INDEX('Both teabags AfterWet'!$C$3:$C$841,MATCH(J705,'Both teabags AfterWet'!$A$3:$A$841,0)),"")="","",(IFERROR(INDEX('Both teabags AfterWet'!$C$3:$C$841,MATCH(J705,'Both teabags AfterWet'!$A$3:$A$841,0)),"")))</f>
        <v>1.5294000000000001</v>
      </c>
      <c r="P705" s="225">
        <f>IFERROR(IF(O705&gt;0,O705-(TBIcalc!$H$9),""),"")</f>
        <v>1.3788</v>
      </c>
      <c r="Q705" s="225">
        <f>IFERROR(INDEX('Ashed teabags wet'!$K$2:$K$821,MATCH(J705,'Ashed teabags wet'!$A$2:$A$821,0)),"")</f>
        <v>3.8782523318604794</v>
      </c>
      <c r="R705" s="225">
        <f t="shared" si="57"/>
        <v>1.3253266568483077</v>
      </c>
      <c r="S705" s="226">
        <f>'WetLitterbags placem_collection'!E46</f>
        <v>42766</v>
      </c>
      <c r="T705" s="226">
        <f>IF('WetLitterbags placem_collection'!G46="","",'WetLitterbags placem_collection'!G46)</f>
        <v>42820</v>
      </c>
      <c r="U705" s="227">
        <f t="shared" si="59"/>
        <v>54</v>
      </c>
      <c r="V705" s="225">
        <f t="shared" si="55"/>
        <v>0.59739999999999993</v>
      </c>
      <c r="W705" s="225">
        <f t="shared" si="56"/>
        <v>0.60578308481417475</v>
      </c>
      <c r="X705">
        <f>IFERROR(INDEX(Rainfall_Wet!$O$2:$O$217,MATCH(B705, Rainfall_Wet!$A$2:$A$217,0)),"")</f>
        <v>214.262898705</v>
      </c>
      <c r="Y705" s="231">
        <v>19.96</v>
      </c>
      <c r="Z705" s="231">
        <v>4.9199999999999982</v>
      </c>
      <c r="AA705" s="231">
        <v>75.12</v>
      </c>
      <c r="AB705" s="232" t="s">
        <v>2671</v>
      </c>
      <c r="AC705" s="231">
        <v>1.641498275012321</v>
      </c>
      <c r="AD705">
        <f>IF('WetLitterbags placem_collection'!AB46="","",'WetLitterbags placem_collection'!AB46)</f>
        <v>2.6</v>
      </c>
      <c r="AE705">
        <f>IF('WetLitterbags placem_collection'!Z46="","",'WetLitterbags placem_collection'!Z46)</f>
        <v>39.200000000000003</v>
      </c>
      <c r="AF705" s="246" t="str">
        <f>IF('WetLitterbags placem_collection'!AA46="","",'WetLitterbags placem_collection'!AA46)</f>
        <v>G</v>
      </c>
      <c r="AG705">
        <f>IF('WetLitterbags placem_collection'!AC46="","",'WetLitterbags placem_collection'!AC46)</f>
        <v>0</v>
      </c>
      <c r="AH705">
        <f>AVERAGE('WetLitterbags placem_collection'!S46,'WetLitterbags placem_collection'!U46)</f>
        <v>20.6</v>
      </c>
      <c r="AI705">
        <f>AVERAGE('WetLitterbags placem_collection'!R46,'WetLitterbags placem_collection'!T46)</f>
        <v>22.65</v>
      </c>
      <c r="AJ705">
        <f>INDEX(Coordinates!$B$2:$B$197,MATCH(G705,Coordinates!$J$2:$J$197,0))</f>
        <v>-3.4081529920000002</v>
      </c>
      <c r="AK705">
        <f>INDEX(Coordinates!$C$2:$C$197,MATCH(G705,Coordinates!$J$2:$J$197,0))</f>
        <v>34.850168959999998</v>
      </c>
      <c r="AL705" t="str">
        <f>IF(ISNUMBER(SEARCH("C", 'WetLitterbags placem_collection'!Y46)),"YES","NO")</f>
        <v>NO</v>
      </c>
      <c r="AM705" t="str">
        <f>IF(ISNUMBER(SEARCH("H", 'WetLitterbags placem_collection'!Y46)),"YES","NO")</f>
        <v>NO</v>
      </c>
      <c r="AN705" t="str">
        <f>IF(ISNUMBER(SEARCH("R", 'WetLitterbags placem_collection'!Y46)),"YES","NO")</f>
        <v>NO</v>
      </c>
    </row>
    <row r="706" spans="1:40" ht="15" customHeight="1">
      <c r="A706" s="258" t="s">
        <v>2460</v>
      </c>
      <c r="B706" s="263">
        <f>'Dry_Litterbag Placem_Collection'!A47</f>
        <v>45</v>
      </c>
      <c r="C706" s="263" t="str">
        <f>'Dry_Litterbag Placem_Collection'!B47</f>
        <v>Makao</v>
      </c>
      <c r="D706" s="263" t="s">
        <v>2659</v>
      </c>
      <c r="E706" s="263" t="s">
        <v>20</v>
      </c>
      <c r="F706" s="263">
        <v>2</v>
      </c>
      <c r="G706" s="264" t="str">
        <f>'Dry_Litterbag Placem_Collection'!C47</f>
        <v>Dry_P2_T5</v>
      </c>
      <c r="H706" s="273" t="s">
        <v>3651</v>
      </c>
      <c r="I706" s="274" t="s">
        <v>298</v>
      </c>
      <c r="J706" s="223" t="str">
        <f>'WetLitterbags placem_collection'!Q47</f>
        <v>R74</v>
      </c>
      <c r="K706" s="225">
        <f>IFERROR(INDEX('Green_rooibos initial weight'!$C$5:$C$1749,MATCH(J706, 'Green_rooibos initial weight'!$A$5:$A$1749,0)),"")</f>
        <v>2.3340000000000001</v>
      </c>
      <c r="L706" s="225">
        <f>IFERROR(K706-(TBIcalc!$H$9+TBIcalc!$H$10),"")</f>
        <v>2.0842000000000001</v>
      </c>
      <c r="M706" s="391">
        <f>AVERAGE(Ashed_controlls!$K$12:$K$14)</f>
        <v>2.2816647271287041</v>
      </c>
      <c r="N706" s="225">
        <f t="shared" si="54"/>
        <v>2.0366455437571838</v>
      </c>
      <c r="O706" s="225">
        <f>IF(IFERROR(INDEX('Both teabags AfterWet'!$C$3:$C$841,MATCH(J706,'Both teabags AfterWet'!$A$3:$A$841,0)),"")="","",(IFERROR(INDEX('Both teabags AfterWet'!$C$3:$C$841,MATCH(J706,'Both teabags AfterWet'!$A$3:$A$841,0)),"")))</f>
        <v>1.5923</v>
      </c>
      <c r="P706" s="225">
        <f>IFERROR(IF(O706&gt;0,O706-(TBIcalc!$H$9),""),"")</f>
        <v>1.4417</v>
      </c>
      <c r="Q706" s="225">
        <f>IFERROR(INDEX('Ashed teabags wet'!$K$2:$K$821,MATCH(J706,'Ashed teabags wet'!$A$2:$A$821,0)),"")</f>
        <v>3.1049778215869339</v>
      </c>
      <c r="R706" s="225">
        <f t="shared" si="57"/>
        <v>1.3969355347461812</v>
      </c>
      <c r="S706" s="226">
        <f>'WetLitterbags placem_collection'!E47</f>
        <v>42766</v>
      </c>
      <c r="T706" s="226">
        <f>IF('WetLitterbags placem_collection'!G47="","",'WetLitterbags placem_collection'!G47)</f>
        <v>42820</v>
      </c>
      <c r="U706" s="227">
        <f t="shared" si="59"/>
        <v>54</v>
      </c>
      <c r="V706" s="225">
        <f t="shared" si="55"/>
        <v>0.64250000000000007</v>
      </c>
      <c r="W706" s="225">
        <f t="shared" si="56"/>
        <v>0.63971000901100261</v>
      </c>
      <c r="X706">
        <f>IFERROR(INDEX(Rainfall_Wet!$O$2:$O$217,MATCH(B706, Rainfall_Wet!$A$2:$A$217,0)),"")</f>
        <v>214.262898705</v>
      </c>
      <c r="Y706" s="231">
        <v>19.96</v>
      </c>
      <c r="Z706" s="231">
        <v>4.9199999999999982</v>
      </c>
      <c r="AA706" s="231">
        <v>75.12</v>
      </c>
      <c r="AB706" s="232" t="s">
        <v>2671</v>
      </c>
      <c r="AC706" s="231">
        <v>1.641498275012321</v>
      </c>
      <c r="AD706">
        <f>IF('WetLitterbags placem_collection'!AB47="","",'WetLitterbags placem_collection'!AB47)</f>
        <v>2.2999999999999998</v>
      </c>
      <c r="AE706">
        <f>IF('WetLitterbags placem_collection'!Z47="","",'WetLitterbags placem_collection'!Z47)</f>
        <v>9.3000000000000007</v>
      </c>
      <c r="AF706" s="246" t="str">
        <f>IF('WetLitterbags placem_collection'!AA47="","",'WetLitterbags placem_collection'!AA47)</f>
        <v>O</v>
      </c>
      <c r="AG706">
        <f>IF('WetLitterbags placem_collection'!AC47="","",'WetLitterbags placem_collection'!AC47)</f>
        <v>0</v>
      </c>
      <c r="AH706">
        <f>AVERAGE('WetLitterbags placem_collection'!S47,'WetLitterbags placem_collection'!U47)</f>
        <v>24.4</v>
      </c>
      <c r="AI706">
        <f>AVERAGE('WetLitterbags placem_collection'!R47,'WetLitterbags placem_collection'!T47)</f>
        <v>22.15</v>
      </c>
      <c r="AJ706">
        <f>INDEX(Coordinates!$B$2:$B$197,MATCH(G706,Coordinates!$J$2:$J$197,0))</f>
        <v>-3.4081789759999999</v>
      </c>
      <c r="AK706">
        <f>INDEX(Coordinates!$C$2:$C$197,MATCH(G706,Coordinates!$J$2:$J$197,0))</f>
        <v>34.850516980000002</v>
      </c>
      <c r="AL706" t="str">
        <f>IF(ISNUMBER(SEARCH("C", 'WetLitterbags placem_collection'!Y47)),"YES","NO")</f>
        <v>NO</v>
      </c>
      <c r="AM706" t="str">
        <f>IF(ISNUMBER(SEARCH("H", 'WetLitterbags placem_collection'!Y47)),"YES","NO")</f>
        <v>NO</v>
      </c>
      <c r="AN706" t="str">
        <f>IF(ISNUMBER(SEARCH("R", 'WetLitterbags placem_collection'!Y47)),"YES","NO")</f>
        <v>NO</v>
      </c>
    </row>
    <row r="707" spans="1:40" ht="15" customHeight="1">
      <c r="A707" s="258" t="s">
        <v>2460</v>
      </c>
      <c r="B707" s="263">
        <f>'Dry_Litterbag Placem_Collection'!A48</f>
        <v>46</v>
      </c>
      <c r="C707" s="263" t="str">
        <f>'Dry_Litterbag Placem_Collection'!B48</f>
        <v>Makao</v>
      </c>
      <c r="D707" s="263" t="s">
        <v>2659</v>
      </c>
      <c r="E707" s="263" t="s">
        <v>20</v>
      </c>
      <c r="F707" s="263">
        <v>2</v>
      </c>
      <c r="G707" s="264" t="str">
        <f>'Dry_Litterbag Placem_Collection'!C48</f>
        <v>Dry_P2_T6</v>
      </c>
      <c r="H707" s="273" t="s">
        <v>3651</v>
      </c>
      <c r="I707" s="274" t="s">
        <v>298</v>
      </c>
      <c r="J707" s="223" t="str">
        <f>'WetLitterbags placem_collection'!Q48</f>
        <v>R102</v>
      </c>
      <c r="K707" s="225">
        <f>IFERROR(INDEX('Green_rooibos initial weight'!$C$5:$C$1749,MATCH(J707, 'Green_rooibos initial weight'!$A$5:$A$1749,0)),"")</f>
        <v>2.2469999999999999</v>
      </c>
      <c r="L707" s="225">
        <f>IFERROR(K707-(TBIcalc!$H$9+TBIcalc!$H$10),"")</f>
        <v>1.9971999999999999</v>
      </c>
      <c r="M707" s="391">
        <f>AVERAGE(Ashed_controlls!$K$12:$K$14)</f>
        <v>2.2816647271287041</v>
      </c>
      <c r="N707" s="225">
        <f t="shared" ref="N707:N770" si="60">IFERROR(L707-(M707/100)*L707,"")</f>
        <v>1.9516305920697854</v>
      </c>
      <c r="O707" s="225" t="str">
        <f>IF(IFERROR(INDEX('Both teabags AfterWet'!$C$3:$C$841,MATCH(J707,'Both teabags AfterWet'!$A$3:$A$841,0)),"")="","",(IFERROR(INDEX('Both teabags AfterWet'!$C$3:$C$841,MATCH(J707,'Both teabags AfterWet'!$A$3:$A$841,0)),"")))</f>
        <v/>
      </c>
      <c r="P707" s="225" t="str">
        <f>IFERROR(IF(O707&gt;0,O707-(TBIcalc!$H$9),""),"")</f>
        <v/>
      </c>
      <c r="Q707" s="225" t="str">
        <f>IFERROR(INDEX('Ashed teabags wet'!$K$2:$K$821,MATCH(J707,'Ashed teabags wet'!$A$2:$A$821,0)),"")</f>
        <v/>
      </c>
      <c r="R707" s="225" t="str">
        <f t="shared" si="57"/>
        <v/>
      </c>
      <c r="S707" s="226">
        <f>'WetLitterbags placem_collection'!E48</f>
        <v>42766</v>
      </c>
      <c r="T707" s="226">
        <f>IF('WetLitterbags placem_collection'!G48="","",'WetLitterbags placem_collection'!G48)</f>
        <v>42820</v>
      </c>
      <c r="U707" s="227">
        <f t="shared" si="59"/>
        <v>54</v>
      </c>
      <c r="V707" s="225" t="str">
        <f t="shared" ref="V707:V770" si="61">IFERROR(L707-P707,"")</f>
        <v/>
      </c>
      <c r="W707" s="225" t="str">
        <f t="shared" ref="W707:W770" si="62">IFERROR(N707-R707,"")</f>
        <v/>
      </c>
      <c r="X707">
        <f>IFERROR(INDEX(Rainfall_Wet!$O$2:$O$217,MATCH(B707, Rainfall_Wet!$A$2:$A$217,0)),"")</f>
        <v>214.262898705</v>
      </c>
      <c r="Y707" s="231">
        <v>19.96</v>
      </c>
      <c r="Z707" s="231">
        <v>4.9199999999999982</v>
      </c>
      <c r="AA707" s="231">
        <v>75.12</v>
      </c>
      <c r="AB707" s="232" t="s">
        <v>2671</v>
      </c>
      <c r="AC707" s="231">
        <v>1.641498275012321</v>
      </c>
      <c r="AD707" t="str">
        <f>IF('WetLitterbags placem_collection'!AB48="","",'WetLitterbags placem_collection'!AB48)</f>
        <v/>
      </c>
      <c r="AE707" t="str">
        <f>IF('WetLitterbags placem_collection'!Z48="","",'WetLitterbags placem_collection'!Z48)</f>
        <v/>
      </c>
      <c r="AF707" s="246" t="str">
        <f>IF('WetLitterbags placem_collection'!AA48="","",'WetLitterbags placem_collection'!AA48)</f>
        <v/>
      </c>
      <c r="AG707" t="str">
        <f>IF('WetLitterbags placem_collection'!AC48="","",'WetLitterbags placem_collection'!AC48)</f>
        <v/>
      </c>
      <c r="AH707">
        <f>AVERAGE('WetLitterbags placem_collection'!S48,'WetLitterbags placem_collection'!U48)</f>
        <v>22.5</v>
      </c>
      <c r="AI707">
        <f>AVERAGE('WetLitterbags placem_collection'!R48,'WetLitterbags placem_collection'!T48)</f>
        <v>20.100000000000001</v>
      </c>
      <c r="AJ707">
        <f>INDEX(Coordinates!$B$2:$B$197,MATCH(G707,Coordinates!$J$2:$J$197,0))</f>
        <v>-3.4084730130000001</v>
      </c>
      <c r="AK707">
        <f>INDEX(Coordinates!$C$2:$C$197,MATCH(G707,Coordinates!$J$2:$J$197,0))</f>
        <v>34.850401980000001</v>
      </c>
      <c r="AL707" t="str">
        <f>IF(ISNUMBER(SEARCH("C", 'WetLitterbags placem_collection'!Y48)),"YES","NO")</f>
        <v>NO</v>
      </c>
      <c r="AM707" t="str">
        <f>IF(ISNUMBER(SEARCH("H", 'WetLitterbags placem_collection'!Y48)),"YES","NO")</f>
        <v>NO</v>
      </c>
      <c r="AN707" t="str">
        <f>IF(ISNUMBER(SEARCH("R", 'WetLitterbags placem_collection'!Y48)),"YES","NO")</f>
        <v>NO</v>
      </c>
    </row>
    <row r="708" spans="1:40" ht="15" customHeight="1">
      <c r="A708" s="258" t="s">
        <v>2460</v>
      </c>
      <c r="B708" s="263">
        <f>'Dry_Litterbag Placem_Collection'!A49</f>
        <v>47</v>
      </c>
      <c r="C708" s="263" t="str">
        <f>'Dry_Litterbag Placem_Collection'!B49</f>
        <v>Makao</v>
      </c>
      <c r="D708" s="263" t="s">
        <v>2659</v>
      </c>
      <c r="E708" s="263" t="s">
        <v>20</v>
      </c>
      <c r="F708" s="263">
        <v>2</v>
      </c>
      <c r="G708" s="264" t="str">
        <f>'Dry_Litterbag Placem_Collection'!C49</f>
        <v>Dry_P2_T7</v>
      </c>
      <c r="H708" s="273" t="s">
        <v>3651</v>
      </c>
      <c r="I708" s="274" t="s">
        <v>298</v>
      </c>
      <c r="J708" s="223" t="str">
        <f>'WetLitterbags placem_collection'!Q49</f>
        <v>R76</v>
      </c>
      <c r="K708" s="225">
        <f>IFERROR(INDEX('Green_rooibos initial weight'!$C$5:$C$1749,MATCH(J708, 'Green_rooibos initial weight'!$A$5:$A$1749,0)),"")</f>
        <v>2.2970000000000002</v>
      </c>
      <c r="L708" s="225">
        <f>IFERROR(K708-(TBIcalc!$H$9+TBIcalc!$H$10),"")</f>
        <v>2.0472000000000001</v>
      </c>
      <c r="M708" s="391">
        <f>AVERAGE(Ashed_controlls!$K$12:$K$14)</f>
        <v>2.2816647271287041</v>
      </c>
      <c r="N708" s="225">
        <f t="shared" si="60"/>
        <v>2.0004897597062214</v>
      </c>
      <c r="O708" s="225">
        <f>IF(IFERROR(INDEX('Both teabags AfterWet'!$C$3:$C$841,MATCH(J708,'Both teabags AfterWet'!$A$3:$A$841,0)),"")="","",(IFERROR(INDEX('Both teabags AfterWet'!$C$3:$C$841,MATCH(J708,'Both teabags AfterWet'!$A$3:$A$841,0)),"")))</f>
        <v>1.665</v>
      </c>
      <c r="P708" s="225">
        <f>IFERROR(IF(O708&gt;0,O708-(TBIcalc!$H$9),""),"")</f>
        <v>1.5144</v>
      </c>
      <c r="Q708" s="225">
        <f>IFERROR(INDEX('Ashed teabags wet'!$K$2:$K$821,MATCH(J708,'Ashed teabags wet'!$A$2:$A$821,0)),"")</f>
        <v>3.0587074494324868</v>
      </c>
      <c r="R708" s="225">
        <f t="shared" si="57"/>
        <v>1.4680789343857943</v>
      </c>
      <c r="S708" s="226">
        <f>'WetLitterbags placem_collection'!E49</f>
        <v>42766</v>
      </c>
      <c r="T708" s="226">
        <f>IF('WetLitterbags placem_collection'!G49="","",'WetLitterbags placem_collection'!G49)</f>
        <v>42820</v>
      </c>
      <c r="U708" s="227">
        <f t="shared" si="59"/>
        <v>54</v>
      </c>
      <c r="V708" s="225">
        <f t="shared" si="61"/>
        <v>0.53280000000000016</v>
      </c>
      <c r="W708" s="225">
        <f t="shared" si="62"/>
        <v>0.53241082532042716</v>
      </c>
      <c r="X708">
        <f>IFERROR(INDEX(Rainfall_Wet!$O$2:$O$217,MATCH(B708, Rainfall_Wet!$A$2:$A$217,0)),"")</f>
        <v>214.262898705</v>
      </c>
      <c r="Y708" s="231">
        <v>19.96</v>
      </c>
      <c r="Z708" s="231">
        <v>4.9199999999999982</v>
      </c>
      <c r="AA708" s="231">
        <v>75.12</v>
      </c>
      <c r="AB708" s="232" t="s">
        <v>2671</v>
      </c>
      <c r="AC708" s="231">
        <v>1.641498275012321</v>
      </c>
      <c r="AD708">
        <f>IF('WetLitterbags placem_collection'!AB49="","",'WetLitterbags placem_collection'!AB49)</f>
        <v>5.2</v>
      </c>
      <c r="AE708">
        <f>IF('WetLitterbags placem_collection'!Z49="","",'WetLitterbags placem_collection'!Z49)</f>
        <v>5.2</v>
      </c>
      <c r="AF708" s="246" t="str">
        <f>IF('WetLitterbags placem_collection'!AA49="","",'WetLitterbags placem_collection'!AA49)</f>
        <v>G</v>
      </c>
      <c r="AG708">
        <f>IF('WetLitterbags placem_collection'!AC49="","",'WetLitterbags placem_collection'!AC49)</f>
        <v>0</v>
      </c>
      <c r="AH708">
        <f>AVERAGE('WetLitterbags placem_collection'!S49,'WetLitterbags placem_collection'!U49)</f>
        <v>23.7</v>
      </c>
      <c r="AI708">
        <f>AVERAGE('WetLitterbags placem_collection'!R49,'WetLitterbags placem_collection'!T49)</f>
        <v>22.6</v>
      </c>
      <c r="AJ708">
        <f>INDEX(Coordinates!$B$2:$B$197,MATCH(G708,Coordinates!$J$2:$J$197,0))</f>
        <v>-3.4084819820000001</v>
      </c>
      <c r="AK708">
        <f>INDEX(Coordinates!$C$2:$C$197,MATCH(G708,Coordinates!$J$2:$J$197,0))</f>
        <v>34.850024040000001</v>
      </c>
      <c r="AL708" t="str">
        <f>IF(ISNUMBER(SEARCH("C", 'WetLitterbags placem_collection'!Y49)),"YES","NO")</f>
        <v>NO</v>
      </c>
      <c r="AM708" t="str">
        <f>IF(ISNUMBER(SEARCH("H", 'WetLitterbags placem_collection'!Y49)),"YES","NO")</f>
        <v>NO</v>
      </c>
      <c r="AN708" t="str">
        <f>IF(ISNUMBER(SEARCH("R", 'WetLitterbags placem_collection'!Y49)),"YES","NO")</f>
        <v>NO</v>
      </c>
    </row>
    <row r="709" spans="1:40" ht="15" customHeight="1">
      <c r="A709" s="258" t="s">
        <v>2460</v>
      </c>
      <c r="B709" s="263">
        <f>'Dry_Litterbag Placem_Collection'!A50</f>
        <v>48</v>
      </c>
      <c r="C709" s="263" t="str">
        <f>'Dry_Litterbag Placem_Collection'!B50</f>
        <v>Makao</v>
      </c>
      <c r="D709" s="263" t="s">
        <v>2659</v>
      </c>
      <c r="E709" s="263" t="s">
        <v>20</v>
      </c>
      <c r="F709" s="263">
        <v>2</v>
      </c>
      <c r="G709" s="264" t="str">
        <f>'Dry_Litterbag Placem_Collection'!C50</f>
        <v>Dry_P2_T8</v>
      </c>
      <c r="H709" s="273" t="s">
        <v>3651</v>
      </c>
      <c r="I709" s="274" t="s">
        <v>298</v>
      </c>
      <c r="J709" s="223" t="str">
        <f>'WetLitterbags placem_collection'!Q50</f>
        <v>R107</v>
      </c>
      <c r="K709" s="225">
        <f>IFERROR(INDEX('Green_rooibos initial weight'!$C$5:$C$1749,MATCH(J709, 'Green_rooibos initial weight'!$A$5:$A$1749,0)),"")</f>
        <v>2.19</v>
      </c>
      <c r="L709" s="225">
        <f>IFERROR(K709-(TBIcalc!$H$9+TBIcalc!$H$10),"")</f>
        <v>1.9401999999999999</v>
      </c>
      <c r="M709" s="391">
        <f>AVERAGE(Ashed_controlls!$K$12:$K$14)</f>
        <v>2.2816647271287041</v>
      </c>
      <c r="N709" s="225">
        <f t="shared" si="60"/>
        <v>1.8959311409642488</v>
      </c>
      <c r="O709" s="225">
        <f>IF(IFERROR(INDEX('Both teabags AfterWet'!$C$3:$C$841,MATCH(J709,'Both teabags AfterWet'!$A$3:$A$841,0)),"")="","",(IFERROR(INDEX('Both teabags AfterWet'!$C$3:$C$841,MATCH(J709,'Both teabags AfterWet'!$A$3:$A$841,0)),"")))</f>
        <v>1.5349999999999999</v>
      </c>
      <c r="P709" s="225">
        <f>IFERROR(IF(O709&gt;0,O709-(TBIcalc!$H$9),""),"")</f>
        <v>1.3843999999999999</v>
      </c>
      <c r="Q709" s="225">
        <f>IFERROR(INDEX('Ashed teabags wet'!$K$2:$K$821,MATCH(J709,'Ashed teabags wet'!$A$2:$A$821,0)),"")</f>
        <v>3.4431137724549741</v>
      </c>
      <c r="R709" s="225">
        <f t="shared" si="57"/>
        <v>1.3367335329341332</v>
      </c>
      <c r="S709" s="226">
        <f>'WetLitterbags placem_collection'!E50</f>
        <v>42766</v>
      </c>
      <c r="T709" s="226">
        <f>IF('WetLitterbags placem_collection'!G50="","",'WetLitterbags placem_collection'!G50)</f>
        <v>42820</v>
      </c>
      <c r="U709" s="227">
        <f t="shared" si="59"/>
        <v>54</v>
      </c>
      <c r="V709" s="225">
        <f t="shared" si="61"/>
        <v>0.55580000000000007</v>
      </c>
      <c r="W709" s="225">
        <f t="shared" si="62"/>
        <v>0.55919760803011553</v>
      </c>
      <c r="X709">
        <f>IFERROR(INDEX(Rainfall_Wet!$O$2:$O$217,MATCH(B709, Rainfall_Wet!$A$2:$A$217,0)),"")</f>
        <v>214.262898705</v>
      </c>
      <c r="Y709" s="231">
        <v>19.96</v>
      </c>
      <c r="Z709" s="231">
        <v>4.9199999999999982</v>
      </c>
      <c r="AA709" s="231">
        <v>75.12</v>
      </c>
      <c r="AB709" s="232" t="s">
        <v>2671</v>
      </c>
      <c r="AC709" s="231">
        <v>1.641498275012321</v>
      </c>
      <c r="AD709">
        <f>IF('WetLitterbags placem_collection'!AB50="","",'WetLitterbags placem_collection'!AB50)</f>
        <v>7.3</v>
      </c>
      <c r="AE709">
        <f>IF('WetLitterbags placem_collection'!Z50="","",'WetLitterbags placem_collection'!Z50)</f>
        <v>27.2</v>
      </c>
      <c r="AF709" s="246" t="str">
        <f>IF('WetLitterbags placem_collection'!AA50="","",'WetLitterbags placem_collection'!AA50)</f>
        <v>M</v>
      </c>
      <c r="AG709">
        <f>IF('WetLitterbags placem_collection'!AC50="","",'WetLitterbags placem_collection'!AC50)</f>
        <v>0</v>
      </c>
      <c r="AH709">
        <f>AVERAGE('WetLitterbags placem_collection'!S50,'WetLitterbags placem_collection'!U50)</f>
        <v>21.8</v>
      </c>
      <c r="AI709">
        <f>AVERAGE('WetLitterbags placem_collection'!R50,'WetLitterbags placem_collection'!T50)</f>
        <v>21.65</v>
      </c>
      <c r="AJ709">
        <f>INDEX(Coordinates!$B$2:$B$197,MATCH(G709,Coordinates!$J$2:$J$197,0))</f>
        <v>-3.4081990090000001</v>
      </c>
      <c r="AK709">
        <f>INDEX(Coordinates!$C$2:$C$197,MATCH(G709,Coordinates!$J$2:$J$197,0))</f>
        <v>34.850254960000001</v>
      </c>
      <c r="AL709" t="str">
        <f>IF(ISNUMBER(SEARCH("C", 'WetLitterbags placem_collection'!Y50)),"YES","NO")</f>
        <v>NO</v>
      </c>
      <c r="AM709" t="str">
        <f>IF(ISNUMBER(SEARCH("H", 'WetLitterbags placem_collection'!Y50)),"YES","NO")</f>
        <v>NO</v>
      </c>
      <c r="AN709" t="str">
        <f>IF(ISNUMBER(SEARCH("R", 'WetLitterbags placem_collection'!Y50)),"YES","NO")</f>
        <v>NO</v>
      </c>
    </row>
    <row r="710" spans="1:40" ht="15" customHeight="1">
      <c r="A710" s="258" t="s">
        <v>2460</v>
      </c>
      <c r="B710" s="263">
        <f>'Dry_Litterbag Placem_Collection'!A51</f>
        <v>49</v>
      </c>
      <c r="C710" s="263" t="str">
        <f>'Dry_Litterbag Placem_Collection'!B51</f>
        <v>Makao</v>
      </c>
      <c r="D710" s="263" t="s">
        <v>2659</v>
      </c>
      <c r="E710" s="263" t="s">
        <v>20</v>
      </c>
      <c r="F710" s="263">
        <v>3</v>
      </c>
      <c r="G710" s="264" t="str">
        <f>'Dry_Litterbag Placem_Collection'!C51</f>
        <v>Dry_P3_T1</v>
      </c>
      <c r="H710" s="273" t="s">
        <v>3651</v>
      </c>
      <c r="I710" s="274" t="s">
        <v>298</v>
      </c>
      <c r="J710" s="223" t="str">
        <f>'WetLitterbags placem_collection'!Q51</f>
        <v>R155</v>
      </c>
      <c r="K710" s="225">
        <f>IFERROR(INDEX('Green_rooibos initial weight'!$C$5:$C$1749,MATCH(J710, 'Green_rooibos initial weight'!$A$5:$A$1749,0)),"")</f>
        <v>2.206</v>
      </c>
      <c r="L710" s="225">
        <f>IFERROR(K710-(TBIcalc!$H$9+TBIcalc!$H$10),"")</f>
        <v>1.9561999999999999</v>
      </c>
      <c r="M710" s="391">
        <f>AVERAGE(Ashed_controlls!$K$12:$K$14)</f>
        <v>2.2816647271287041</v>
      </c>
      <c r="N710" s="225">
        <f t="shared" si="60"/>
        <v>1.9115660746079082</v>
      </c>
      <c r="O710" s="225">
        <f>IF(IFERROR(INDEX('Both teabags AfterWet'!$C$3:$C$841,MATCH(J710,'Both teabags AfterWet'!$A$3:$A$841,0)),"")="","",(IFERROR(INDEX('Both teabags AfterWet'!$C$3:$C$841,MATCH(J710,'Both teabags AfterWet'!$A$3:$A$841,0)),"")))</f>
        <v>1.5909</v>
      </c>
      <c r="P710" s="225">
        <f>IFERROR(IF(O710&gt;0,O710-(TBIcalc!$H$9),""),"")</f>
        <v>1.4402999999999999</v>
      </c>
      <c r="Q710" s="225">
        <f>IFERROR(INDEX('Ashed teabags wet'!$K$2:$K$821,MATCH(J710,'Ashed teabags wet'!$A$2:$A$821,0)),"")</f>
        <v>10.705352676338336</v>
      </c>
      <c r="R710" s="225">
        <f t="shared" si="57"/>
        <v>1.2861108054026988</v>
      </c>
      <c r="S710" s="226">
        <f>'WetLitterbags placem_collection'!E51</f>
        <v>42766</v>
      </c>
      <c r="T710" s="226">
        <f>IF('WetLitterbags placem_collection'!G51="","",'WetLitterbags placem_collection'!G51)</f>
        <v>42820</v>
      </c>
      <c r="U710" s="227">
        <f t="shared" si="59"/>
        <v>54</v>
      </c>
      <c r="V710" s="225">
        <f t="shared" si="61"/>
        <v>0.51590000000000003</v>
      </c>
      <c r="W710" s="225">
        <f t="shared" si="62"/>
        <v>0.62545526920520933</v>
      </c>
      <c r="X710">
        <f>IFERROR(INDEX(Rainfall_Wet!$O$2:$O$217,MATCH(B710, Rainfall_Wet!$A$2:$A$217,0)),"")</f>
        <v>214.262898705</v>
      </c>
      <c r="Y710" s="231">
        <v>21.96</v>
      </c>
      <c r="Z710" s="231">
        <v>8.9199999999999982</v>
      </c>
      <c r="AA710" s="231">
        <v>69.12</v>
      </c>
      <c r="AB710" s="232" t="s">
        <v>2670</v>
      </c>
      <c r="AC710" s="231">
        <v>1.7491375061606702</v>
      </c>
      <c r="AD710">
        <f>IF('WetLitterbags placem_collection'!AB51="","",'WetLitterbags placem_collection'!AB51)</f>
        <v>10.4</v>
      </c>
      <c r="AE710">
        <f>IF('WetLitterbags placem_collection'!Z51="","",'WetLitterbags placem_collection'!Z51)</f>
        <v>36</v>
      </c>
      <c r="AF710" s="246" t="str">
        <f>IF('WetLitterbags placem_collection'!AA51="","",'WetLitterbags placem_collection'!AA51)</f>
        <v>M</v>
      </c>
      <c r="AG710">
        <f>IF('WetLitterbags placem_collection'!AC51="","",'WetLitterbags placem_collection'!AC51)</f>
        <v>1</v>
      </c>
      <c r="AH710">
        <f>AVERAGE('WetLitterbags placem_collection'!S51,'WetLitterbags placem_collection'!U51)</f>
        <v>26.2</v>
      </c>
      <c r="AI710">
        <f>AVERAGE('WetLitterbags placem_collection'!R51,'WetLitterbags placem_collection'!T51)</f>
        <v>26.55</v>
      </c>
      <c r="AJ710">
        <f>INDEX(Coordinates!$B$2:$B$197,MATCH(G710,Coordinates!$J$2:$J$197,0))</f>
        <v>-3.406225992</v>
      </c>
      <c r="AK710">
        <f>INDEX(Coordinates!$C$2:$C$197,MATCH(G710,Coordinates!$J$2:$J$197,0))</f>
        <v>34.85055998</v>
      </c>
      <c r="AL710" t="str">
        <f>IF(ISNUMBER(SEARCH("C", 'WetLitterbags placem_collection'!Y51)),"YES","NO")</f>
        <v>NO</v>
      </c>
      <c r="AM710" t="str">
        <f>IF(ISNUMBER(SEARCH("H", 'WetLitterbags placem_collection'!Y51)),"YES","NO")</f>
        <v>NO</v>
      </c>
      <c r="AN710" t="str">
        <f>IF(ISNUMBER(SEARCH("R", 'WetLitterbags placem_collection'!Y51)),"YES","NO")</f>
        <v>YES</v>
      </c>
    </row>
    <row r="711" spans="1:40" ht="15" customHeight="1">
      <c r="A711" s="258" t="s">
        <v>2460</v>
      </c>
      <c r="B711" s="263">
        <f>'Dry_Litterbag Placem_Collection'!A52</f>
        <v>50</v>
      </c>
      <c r="C711" s="263" t="str">
        <f>'Dry_Litterbag Placem_Collection'!B52</f>
        <v>Makao</v>
      </c>
      <c r="D711" s="263" t="s">
        <v>2659</v>
      </c>
      <c r="E711" s="263" t="s">
        <v>20</v>
      </c>
      <c r="F711" s="263">
        <v>3</v>
      </c>
      <c r="G711" s="264" t="str">
        <f>'Dry_Litterbag Placem_Collection'!C52</f>
        <v>Dry_P3_T2</v>
      </c>
      <c r="H711" s="273" t="s">
        <v>3651</v>
      </c>
      <c r="I711" s="274" t="s">
        <v>298</v>
      </c>
      <c r="J711" s="223" t="str">
        <f>'WetLitterbags placem_collection'!Q52</f>
        <v>R98</v>
      </c>
      <c r="K711" s="225">
        <f>IFERROR(INDEX('Green_rooibos initial weight'!$C$5:$C$1749,MATCH(J711, 'Green_rooibos initial weight'!$A$5:$A$1749,0)),"")</f>
        <v>2.1960000000000002</v>
      </c>
      <c r="L711" s="225">
        <f>IFERROR(K711-(TBIcalc!$H$9+TBIcalc!$H$10),"")</f>
        <v>1.9462000000000002</v>
      </c>
      <c r="M711" s="391">
        <f>AVERAGE(Ashed_controlls!$K$12:$K$14)</f>
        <v>2.2816647271287041</v>
      </c>
      <c r="N711" s="225">
        <f t="shared" si="60"/>
        <v>1.9017942410806212</v>
      </c>
      <c r="O711" s="225" t="str">
        <f>IF(IFERROR(INDEX('Both teabags AfterWet'!$C$3:$C$841,MATCH(J711,'Both teabags AfterWet'!$A$3:$A$841,0)),"")="","",(IFERROR(INDEX('Both teabags AfterWet'!$C$3:$C$841,MATCH(J711,'Both teabags AfterWet'!$A$3:$A$841,0)),"")))</f>
        <v/>
      </c>
      <c r="P711" s="225" t="str">
        <f>IFERROR(IF(O711&gt;0,O711-(TBIcalc!$H$9),""),"")</f>
        <v/>
      </c>
      <c r="Q711" s="225" t="str">
        <f>IFERROR(INDEX('Ashed teabags wet'!$K$2:$K$821,MATCH(J711,'Ashed teabags wet'!$A$2:$A$821,0)),"")</f>
        <v/>
      </c>
      <c r="R711" s="225" t="str">
        <f t="shared" si="57"/>
        <v/>
      </c>
      <c r="S711" s="226">
        <f>'WetLitterbags placem_collection'!E52</f>
        <v>42766</v>
      </c>
      <c r="T711" s="226">
        <f>IF('WetLitterbags placem_collection'!G52="","",'WetLitterbags placem_collection'!G52)</f>
        <v>42820</v>
      </c>
      <c r="U711" s="227">
        <f t="shared" si="59"/>
        <v>54</v>
      </c>
      <c r="V711" s="225" t="str">
        <f t="shared" si="61"/>
        <v/>
      </c>
      <c r="W711" s="225" t="str">
        <f t="shared" si="62"/>
        <v/>
      </c>
      <c r="X711">
        <f>IFERROR(INDEX(Rainfall_Wet!$O$2:$O$217,MATCH(B711, Rainfall_Wet!$A$2:$A$217,0)),"")</f>
        <v>214.262898705</v>
      </c>
      <c r="Y711" s="231">
        <v>21.96</v>
      </c>
      <c r="Z711" s="231">
        <v>8.9199999999999982</v>
      </c>
      <c r="AA711" s="231">
        <v>69.12</v>
      </c>
      <c r="AB711" s="232" t="s">
        <v>2670</v>
      </c>
      <c r="AC711" s="231">
        <v>1.7491375061606702</v>
      </c>
      <c r="AD711">
        <f>IF('WetLitterbags placem_collection'!AB52="","",'WetLitterbags placem_collection'!AB52)</f>
        <v>10</v>
      </c>
      <c r="AE711">
        <f>IF('WetLitterbags placem_collection'!Z52="","",'WetLitterbags placem_collection'!Z52)</f>
        <v>22.5</v>
      </c>
      <c r="AF711" s="246" t="str">
        <f>IF('WetLitterbags placem_collection'!AA52="","",'WetLitterbags placem_collection'!AA52)</f>
        <v>M</v>
      </c>
      <c r="AG711">
        <f>IF('WetLitterbags placem_collection'!AC52="","",'WetLitterbags placem_collection'!AC52)</f>
        <v>1</v>
      </c>
      <c r="AH711">
        <f>AVERAGE('WetLitterbags placem_collection'!S52,'WetLitterbags placem_collection'!U52)</f>
        <v>31.4</v>
      </c>
      <c r="AI711">
        <f>AVERAGE('WetLitterbags placem_collection'!R52,'WetLitterbags placem_collection'!T52)</f>
        <v>22.4</v>
      </c>
      <c r="AJ711">
        <f>INDEX(Coordinates!$B$2:$B$197,MATCH(G711,Coordinates!$J$2:$J$197,0))</f>
        <v>-3.4062630399999998</v>
      </c>
      <c r="AK711">
        <f>INDEX(Coordinates!$C$2:$C$197,MATCH(G711,Coordinates!$J$2:$J$197,0))</f>
        <v>34.850566010000001</v>
      </c>
      <c r="AL711" t="str">
        <f>IF(ISNUMBER(SEARCH("C", 'WetLitterbags placem_collection'!Y52)),"YES","NO")</f>
        <v>NO</v>
      </c>
      <c r="AM711" t="str">
        <f>IF(ISNUMBER(SEARCH("H", 'WetLitterbags placem_collection'!Y52)),"YES","NO")</f>
        <v>NO</v>
      </c>
      <c r="AN711" t="str">
        <f>IF(ISNUMBER(SEARCH("R", 'WetLitterbags placem_collection'!Y52)),"YES","NO")</f>
        <v>NO</v>
      </c>
    </row>
    <row r="712" spans="1:40" ht="15" customHeight="1">
      <c r="A712" s="258" t="s">
        <v>2460</v>
      </c>
      <c r="B712" s="263">
        <f>'Dry_Litterbag Placem_Collection'!A53</f>
        <v>51</v>
      </c>
      <c r="C712" s="263" t="str">
        <f>'Dry_Litterbag Placem_Collection'!B53</f>
        <v>Makao</v>
      </c>
      <c r="D712" s="263" t="s">
        <v>2659</v>
      </c>
      <c r="E712" s="263" t="s">
        <v>20</v>
      </c>
      <c r="F712" s="263">
        <v>3</v>
      </c>
      <c r="G712" s="264" t="str">
        <f>'Dry_Litterbag Placem_Collection'!C53</f>
        <v>Dry_P3_T3</v>
      </c>
      <c r="H712" s="273" t="s">
        <v>3651</v>
      </c>
      <c r="I712" s="274" t="s">
        <v>298</v>
      </c>
      <c r="J712" s="223" t="str">
        <f>'WetLitterbags placem_collection'!Q53</f>
        <v>R29</v>
      </c>
      <c r="K712" s="225">
        <f>IFERROR(INDEX('Green_rooibos initial weight'!$C$5:$C$1749,MATCH(J712, 'Green_rooibos initial weight'!$A$5:$A$1749,0)),"")</f>
        <v>2.2400000000000002</v>
      </c>
      <c r="L712" s="225">
        <f>IFERROR(K712-(TBIcalc!$H$9+TBIcalc!$H$10),"")</f>
        <v>1.9902000000000002</v>
      </c>
      <c r="M712" s="391">
        <f>AVERAGE(Ashed_controlls!$K$12:$K$14)</f>
        <v>2.2816647271287041</v>
      </c>
      <c r="N712" s="225">
        <f t="shared" si="60"/>
        <v>1.9447903086006848</v>
      </c>
      <c r="O712" s="225">
        <f>IF(IFERROR(INDEX('Both teabags AfterWet'!$C$3:$C$841,MATCH(J712,'Both teabags AfterWet'!$A$3:$A$841,0)),"")="","",(IFERROR(INDEX('Both teabags AfterWet'!$C$3:$C$841,MATCH(J712,'Both teabags AfterWet'!$A$3:$A$841,0)),"")))</f>
        <v>1.4950000000000001</v>
      </c>
      <c r="P712" s="225">
        <f>IFERROR(IF(O712&gt;0,O712-(TBIcalc!$H$9),""),"")</f>
        <v>1.3444</v>
      </c>
      <c r="Q712" s="225">
        <f>IFERROR(INDEX('Ashed teabags wet'!$K$2:$K$821,MATCH(J712,'Ashed teabags wet'!$A$2:$A$821,0)),"")</f>
        <v>3.8327526132399545</v>
      </c>
      <c r="R712" s="225">
        <f t="shared" si="57"/>
        <v>1.2928724738676021</v>
      </c>
      <c r="S712" s="226">
        <f>'WetLitterbags placem_collection'!E53</f>
        <v>42766</v>
      </c>
      <c r="T712" s="226">
        <f>IF('WetLitterbags placem_collection'!G53="","",'WetLitterbags placem_collection'!G53)</f>
        <v>42820</v>
      </c>
      <c r="U712" s="227">
        <f t="shared" si="59"/>
        <v>54</v>
      </c>
      <c r="V712" s="225">
        <f t="shared" si="61"/>
        <v>0.64580000000000015</v>
      </c>
      <c r="W712" s="225">
        <f t="shared" si="62"/>
        <v>0.65191783473308273</v>
      </c>
      <c r="X712">
        <f>IFERROR(INDEX(Rainfall_Wet!$O$2:$O$217,MATCH(B712, Rainfall_Wet!$A$2:$A$217,0)),"")</f>
        <v>214.262898705</v>
      </c>
      <c r="Y712" s="231">
        <v>21.96</v>
      </c>
      <c r="Z712" s="231">
        <v>8.9199999999999982</v>
      </c>
      <c r="AA712" s="231">
        <v>69.12</v>
      </c>
      <c r="AB712" s="232" t="s">
        <v>2670</v>
      </c>
      <c r="AC712" s="231">
        <v>1.7491375061606702</v>
      </c>
      <c r="AD712">
        <f>IF('WetLitterbags placem_collection'!AB53="","",'WetLitterbags placem_collection'!AB53)</f>
        <v>3</v>
      </c>
      <c r="AE712">
        <f>IF('WetLitterbags placem_collection'!Z53="","",'WetLitterbags placem_collection'!Z53)</f>
        <v>18</v>
      </c>
      <c r="AF712" s="246" t="str">
        <f>IF('WetLitterbags placem_collection'!AA53="","",'WetLitterbags placem_collection'!AA53)</f>
        <v>O</v>
      </c>
      <c r="AG712">
        <f>IF('WetLitterbags placem_collection'!AC53="","",'WetLitterbags placem_collection'!AC53)</f>
        <v>0</v>
      </c>
      <c r="AH712">
        <f>AVERAGE('WetLitterbags placem_collection'!S53,'WetLitterbags placem_collection'!U53)</f>
        <v>20.2</v>
      </c>
      <c r="AI712">
        <f>AVERAGE('WetLitterbags placem_collection'!R53,'WetLitterbags placem_collection'!T53)</f>
        <v>27.4</v>
      </c>
      <c r="AJ712">
        <f>INDEX(Coordinates!$B$2:$B$197,MATCH(G712,Coordinates!$J$2:$J$197,0))</f>
        <v>-3.4063920379999999</v>
      </c>
      <c r="AK712">
        <f>INDEX(Coordinates!$C$2:$C$197,MATCH(G712,Coordinates!$J$2:$J$197,0))</f>
        <v>34.850696020000001</v>
      </c>
      <c r="AL712" t="str">
        <f>IF(ISNUMBER(SEARCH("C", 'WetLitterbags placem_collection'!Y53)),"YES","NO")</f>
        <v>NO</v>
      </c>
      <c r="AM712" t="str">
        <f>IF(ISNUMBER(SEARCH("H", 'WetLitterbags placem_collection'!Y53)),"YES","NO")</f>
        <v>NO</v>
      </c>
      <c r="AN712" t="str">
        <f>IF(ISNUMBER(SEARCH("R", 'WetLitterbags placem_collection'!Y53)),"YES","NO")</f>
        <v>YES</v>
      </c>
    </row>
    <row r="713" spans="1:40" ht="15" customHeight="1">
      <c r="A713" s="258" t="s">
        <v>2460</v>
      </c>
      <c r="B713" s="263">
        <f>'Dry_Litterbag Placem_Collection'!A54</f>
        <v>52</v>
      </c>
      <c r="C713" s="263" t="str">
        <f>'Dry_Litterbag Placem_Collection'!B54</f>
        <v>Makao</v>
      </c>
      <c r="D713" s="263" t="s">
        <v>2659</v>
      </c>
      <c r="E713" s="263" t="s">
        <v>20</v>
      </c>
      <c r="F713" s="263">
        <v>3</v>
      </c>
      <c r="G713" s="264" t="str">
        <f>'Dry_Litterbag Placem_Collection'!C54</f>
        <v>Dry_P3_T4</v>
      </c>
      <c r="H713" s="273" t="s">
        <v>3651</v>
      </c>
      <c r="I713" s="274" t="s">
        <v>298</v>
      </c>
      <c r="J713" s="223" t="str">
        <f>'WetLitterbags placem_collection'!Q54</f>
        <v>R312</v>
      </c>
      <c r="K713" s="225">
        <f>IFERROR(INDEX('Green_rooibos initial weight'!$C$5:$C$1749,MATCH(J713, 'Green_rooibos initial weight'!$A$5:$A$1749,0)),"")</f>
        <v>2.2360000000000002</v>
      </c>
      <c r="L713" s="225">
        <f>IFERROR(K713-(TBIcalc!$H$9+TBIcalc!$H$10),"")</f>
        <v>1.9862000000000002</v>
      </c>
      <c r="M713" s="391">
        <f>AVERAGE(Ashed_controlls!$K$12:$K$14)</f>
        <v>2.2816647271287041</v>
      </c>
      <c r="N713" s="225">
        <f t="shared" si="60"/>
        <v>1.9408815751897699</v>
      </c>
      <c r="O713" s="225">
        <f>IF(IFERROR(INDEX('Both teabags AfterWet'!$C$3:$C$841,MATCH(J713,'Both teabags AfterWet'!$A$3:$A$841,0)),"")="","",(IFERROR(INDEX('Both teabags AfterWet'!$C$3:$C$841,MATCH(J713,'Both teabags AfterWet'!$A$3:$A$841,0)),"")))</f>
        <v>1.546</v>
      </c>
      <c r="P713" s="225">
        <f>IFERROR(IF(O713&gt;0,O713-(TBIcalc!$H$9),""),"")</f>
        <v>1.3954</v>
      </c>
      <c r="Q713" s="225">
        <f>IFERROR(INDEX('Ashed teabags wet'!$K$2:$K$821,MATCH(J713,'Ashed teabags wet'!$A$2:$A$821,0)),"")</f>
        <v>9.8235574630425244</v>
      </c>
      <c r="R713" s="225">
        <f t="shared" si="57"/>
        <v>1.2583220791607046</v>
      </c>
      <c r="S713" s="226">
        <f>'WetLitterbags placem_collection'!E54</f>
        <v>42766</v>
      </c>
      <c r="T713" s="226">
        <f>IF('WetLitterbags placem_collection'!G54="","",'WetLitterbags placem_collection'!G54)</f>
        <v>42820</v>
      </c>
      <c r="U713" s="227">
        <f t="shared" si="59"/>
        <v>54</v>
      </c>
      <c r="V713" s="225">
        <f t="shared" si="61"/>
        <v>0.59080000000000021</v>
      </c>
      <c r="W713" s="225">
        <f t="shared" si="62"/>
        <v>0.68255949602906529</v>
      </c>
      <c r="X713">
        <f>IFERROR(INDEX(Rainfall_Wet!$O$2:$O$217,MATCH(B713, Rainfall_Wet!$A$2:$A$217,0)),"")</f>
        <v>214.262898705</v>
      </c>
      <c r="Y713" s="231">
        <v>21.96</v>
      </c>
      <c r="Z713" s="231">
        <v>8.9199999999999982</v>
      </c>
      <c r="AA713" s="231">
        <v>69.12</v>
      </c>
      <c r="AB713" s="232" t="s">
        <v>2670</v>
      </c>
      <c r="AC713" s="231">
        <v>1.7491375061606702</v>
      </c>
      <c r="AD713">
        <f>IF('WetLitterbags placem_collection'!AB54="","",'WetLitterbags placem_collection'!AB54)</f>
        <v>13.4</v>
      </c>
      <c r="AE713">
        <f>IF('WetLitterbags placem_collection'!Z54="","",'WetLitterbags placem_collection'!Z54)</f>
        <v>67</v>
      </c>
      <c r="AF713" s="246" t="str">
        <f>IF('WetLitterbags placem_collection'!AA54="","",'WetLitterbags placem_collection'!AA54)</f>
        <v>M</v>
      </c>
      <c r="AG713">
        <f>IF('WetLitterbags placem_collection'!AC54="","",'WetLitterbags placem_collection'!AC54)</f>
        <v>1</v>
      </c>
      <c r="AH713">
        <f>AVERAGE('WetLitterbags placem_collection'!S54,'WetLitterbags placem_collection'!U54)</f>
        <v>29.8</v>
      </c>
      <c r="AI713">
        <f>AVERAGE('WetLitterbags placem_collection'!R54,'WetLitterbags placem_collection'!T54)</f>
        <v>25.799999999999997</v>
      </c>
      <c r="AJ713">
        <f>INDEX(Coordinates!$B$2:$B$197,MATCH(G713,Coordinates!$J$2:$J$197,0))</f>
        <v>-3.4061569999999999</v>
      </c>
      <c r="AK713">
        <f>INDEX(Coordinates!$C$2:$C$197,MATCH(G713,Coordinates!$J$2:$J$197,0))</f>
        <v>34.850738999999997</v>
      </c>
      <c r="AL713" t="str">
        <f>IF(ISNUMBER(SEARCH("C", 'WetLitterbags placem_collection'!Y54)),"YES","NO")</f>
        <v>NO</v>
      </c>
      <c r="AM713" t="str">
        <f>IF(ISNUMBER(SEARCH("H", 'WetLitterbags placem_collection'!Y54)),"YES","NO")</f>
        <v>NO</v>
      </c>
      <c r="AN713" t="str">
        <f>IF(ISNUMBER(SEARCH("R", 'WetLitterbags placem_collection'!Y54)),"YES","NO")</f>
        <v>YES</v>
      </c>
    </row>
    <row r="714" spans="1:40" ht="15" customHeight="1">
      <c r="A714" s="258" t="s">
        <v>2460</v>
      </c>
      <c r="B714" s="263">
        <f>'Dry_Litterbag Placem_Collection'!A55</f>
        <v>53</v>
      </c>
      <c r="C714" s="263" t="str">
        <f>'Dry_Litterbag Placem_Collection'!B55</f>
        <v>Makao</v>
      </c>
      <c r="D714" s="263" t="s">
        <v>2659</v>
      </c>
      <c r="E714" s="263" t="s">
        <v>20</v>
      </c>
      <c r="F714" s="263">
        <v>3</v>
      </c>
      <c r="G714" s="264" t="str">
        <f>'Dry_Litterbag Placem_Collection'!C55</f>
        <v>Dry_P3_T5</v>
      </c>
      <c r="H714" s="273" t="s">
        <v>3651</v>
      </c>
      <c r="I714" s="274" t="s">
        <v>298</v>
      </c>
      <c r="J714" s="223" t="str">
        <f>'WetLitterbags placem_collection'!Q55</f>
        <v>R113</v>
      </c>
      <c r="K714" s="225">
        <f>IFERROR(INDEX('Green_rooibos initial weight'!$C$5:$C$1749,MATCH(J714, 'Green_rooibos initial weight'!$A$5:$A$1749,0)),"")</f>
        <v>2.202</v>
      </c>
      <c r="L714" s="225">
        <f>IFERROR(K714-(TBIcalc!$H$9+TBIcalc!$H$10),"")</f>
        <v>1.9521999999999999</v>
      </c>
      <c r="M714" s="391">
        <f>AVERAGE(Ashed_controlls!$K$12:$K$14)</f>
        <v>2.2816647271287041</v>
      </c>
      <c r="N714" s="225">
        <f t="shared" si="60"/>
        <v>1.9076573411969935</v>
      </c>
      <c r="O714" s="225" t="str">
        <f>IF(IFERROR(INDEX('Both teabags AfterWet'!$C$3:$C$841,MATCH(J714,'Both teabags AfterWet'!$A$3:$A$841,0)),"")="","",(IFERROR(INDEX('Both teabags AfterWet'!$C$3:$C$841,MATCH(J714,'Both teabags AfterWet'!$A$3:$A$841,0)),"")))</f>
        <v/>
      </c>
      <c r="P714" s="225" t="str">
        <f>IFERROR(IF(O714&gt;0,O714-(TBIcalc!$H$9),""),"")</f>
        <v/>
      </c>
      <c r="Q714" s="225" t="str">
        <f>IFERROR(INDEX('Ashed teabags wet'!$K$2:$K$821,MATCH(J714,'Ashed teabags wet'!$A$2:$A$821,0)),"")</f>
        <v/>
      </c>
      <c r="R714" s="225" t="str">
        <f t="shared" si="57"/>
        <v/>
      </c>
      <c r="S714" s="226">
        <f>'WetLitterbags placem_collection'!E55</f>
        <v>42766</v>
      </c>
      <c r="T714" s="226">
        <f>IF('WetLitterbags placem_collection'!G55="","",'WetLitterbags placem_collection'!G55)</f>
        <v>42820</v>
      </c>
      <c r="U714" s="227">
        <f t="shared" si="59"/>
        <v>54</v>
      </c>
      <c r="V714" s="225" t="str">
        <f t="shared" si="61"/>
        <v/>
      </c>
      <c r="W714" s="225" t="str">
        <f t="shared" si="62"/>
        <v/>
      </c>
      <c r="X714">
        <f>IFERROR(INDEX(Rainfall_Wet!$O$2:$O$217,MATCH(B714, Rainfall_Wet!$A$2:$A$217,0)),"")</f>
        <v>214.262898705</v>
      </c>
      <c r="Y714" s="231">
        <v>21.96</v>
      </c>
      <c r="Z714" s="231">
        <v>8.9199999999999982</v>
      </c>
      <c r="AA714" s="231">
        <v>69.12</v>
      </c>
      <c r="AB714" s="232" t="s">
        <v>2670</v>
      </c>
      <c r="AC714" s="231">
        <v>1.7491375061606702</v>
      </c>
      <c r="AD714" t="str">
        <f>IF('WetLitterbags placem_collection'!AB55="","",'WetLitterbags placem_collection'!AB55)</f>
        <v/>
      </c>
      <c r="AE714" t="str">
        <f>IF('WetLitterbags placem_collection'!Z55="","",'WetLitterbags placem_collection'!Z55)</f>
        <v/>
      </c>
      <c r="AF714" s="246" t="str">
        <f>IF('WetLitterbags placem_collection'!AA55="","",'WetLitterbags placem_collection'!AA55)</f>
        <v/>
      </c>
      <c r="AG714" t="str">
        <f>IF('WetLitterbags placem_collection'!AC55="","",'WetLitterbags placem_collection'!AC55)</f>
        <v/>
      </c>
      <c r="AH714">
        <f>AVERAGE('WetLitterbags placem_collection'!S55,'WetLitterbags placem_collection'!U55)</f>
        <v>20.2</v>
      </c>
      <c r="AI714">
        <f>AVERAGE('WetLitterbags placem_collection'!R55,'WetLitterbags placem_collection'!T55)</f>
        <v>22.2</v>
      </c>
      <c r="AJ714">
        <f>INDEX(Coordinates!$B$2:$B$197,MATCH(G714,Coordinates!$J$2:$J$197,0))</f>
        <v>-3.4061140000000001</v>
      </c>
      <c r="AK714">
        <f>INDEX(Coordinates!$C$2:$C$197,MATCH(G714,Coordinates!$J$2:$J$197,0))</f>
        <v>34.850596000000003</v>
      </c>
      <c r="AL714" t="str">
        <f>IF(ISNUMBER(SEARCH("C", 'WetLitterbags placem_collection'!Y55)),"YES","NO")</f>
        <v>NO</v>
      </c>
      <c r="AM714" t="str">
        <f>IF(ISNUMBER(SEARCH("H", 'WetLitterbags placem_collection'!Y55)),"YES","NO")</f>
        <v>NO</v>
      </c>
      <c r="AN714" t="str">
        <f>IF(ISNUMBER(SEARCH("R", 'WetLitterbags placem_collection'!Y55)),"YES","NO")</f>
        <v>NO</v>
      </c>
    </row>
    <row r="715" spans="1:40" ht="15" customHeight="1">
      <c r="A715" s="258" t="s">
        <v>2460</v>
      </c>
      <c r="B715" s="263">
        <f>'Dry_Litterbag Placem_Collection'!A56</f>
        <v>54</v>
      </c>
      <c r="C715" s="263" t="str">
        <f>'Dry_Litterbag Placem_Collection'!B56</f>
        <v>Makao</v>
      </c>
      <c r="D715" s="263" t="s">
        <v>2659</v>
      </c>
      <c r="E715" s="263" t="s">
        <v>20</v>
      </c>
      <c r="F715" s="263">
        <v>3</v>
      </c>
      <c r="G715" s="264" t="str">
        <f>'Dry_Litterbag Placem_Collection'!C56</f>
        <v>Dry_P3_T6</v>
      </c>
      <c r="H715" s="273" t="s">
        <v>3651</v>
      </c>
      <c r="I715" s="274" t="s">
        <v>298</v>
      </c>
      <c r="J715" s="223" t="str">
        <f>'WetLitterbags placem_collection'!Q56</f>
        <v>R441</v>
      </c>
      <c r="K715" s="225">
        <f>IFERROR(INDEX('Green_rooibos initial weight'!$C$5:$C$1749,MATCH(J715, 'Green_rooibos initial weight'!$A$5:$A$1749,0)),"")</f>
        <v>2.1280000000000001</v>
      </c>
      <c r="L715" s="225">
        <f>IFERROR(K715-(TBIcalc!$H$9+TBIcalc!$H$10),"")</f>
        <v>1.8782000000000001</v>
      </c>
      <c r="M715" s="391">
        <f>AVERAGE(Ashed_controlls!$K$12:$K$14)</f>
        <v>2.2816647271287041</v>
      </c>
      <c r="N715" s="225">
        <f t="shared" si="60"/>
        <v>1.8353457730950689</v>
      </c>
      <c r="O715" s="225" t="str">
        <f>IF(IFERROR(INDEX('Both teabags AfterWet'!$C$3:$C$841,MATCH(J715,'Both teabags AfterWet'!$A$3:$A$841,0)),"")="","",(IFERROR(INDEX('Both teabags AfterWet'!$C$3:$C$841,MATCH(J715,'Both teabags AfterWet'!$A$3:$A$841,0)),"")))</f>
        <v/>
      </c>
      <c r="P715" s="225" t="str">
        <f>IFERROR(IF(O715&gt;0,O715-(TBIcalc!$H$9),""),"")</f>
        <v/>
      </c>
      <c r="Q715" s="225" t="str">
        <f>IFERROR(INDEX('Ashed teabags wet'!$K$2:$K$821,MATCH(J715,'Ashed teabags wet'!$A$2:$A$821,0)),"")</f>
        <v/>
      </c>
      <c r="R715" s="225" t="str">
        <f t="shared" ref="R715:R778" si="63">IFERROR(P715-(Q715/100)*P715,"")</f>
        <v/>
      </c>
      <c r="S715" s="226">
        <f>'WetLitterbags placem_collection'!E56</f>
        <v>42766</v>
      </c>
      <c r="T715" s="226">
        <f>IF('WetLitterbags placem_collection'!G56="","",'WetLitterbags placem_collection'!G56)</f>
        <v>42820</v>
      </c>
      <c r="U715" s="227">
        <f t="shared" si="59"/>
        <v>54</v>
      </c>
      <c r="V715" s="225" t="str">
        <f t="shared" si="61"/>
        <v/>
      </c>
      <c r="W715" s="225" t="str">
        <f t="shared" si="62"/>
        <v/>
      </c>
      <c r="X715">
        <f>IFERROR(INDEX(Rainfall_Wet!$O$2:$O$217,MATCH(B715, Rainfall_Wet!$A$2:$A$217,0)),"")</f>
        <v>214.262898705</v>
      </c>
      <c r="Y715" s="231">
        <v>21.96</v>
      </c>
      <c r="Z715" s="231">
        <v>8.9199999999999982</v>
      </c>
      <c r="AA715" s="231">
        <v>69.12</v>
      </c>
      <c r="AB715" s="232" t="s">
        <v>2670</v>
      </c>
      <c r="AC715" s="231">
        <v>1.7491375061606702</v>
      </c>
      <c r="AD715" t="str">
        <f>IF('WetLitterbags placem_collection'!AB56="","",'WetLitterbags placem_collection'!AB56)</f>
        <v/>
      </c>
      <c r="AE715" t="str">
        <f>IF('WetLitterbags placem_collection'!Z56="","",'WetLitterbags placem_collection'!Z56)</f>
        <v/>
      </c>
      <c r="AF715" s="246" t="str">
        <f>IF('WetLitterbags placem_collection'!AA56="","",'WetLitterbags placem_collection'!AA56)</f>
        <v/>
      </c>
      <c r="AG715" t="str">
        <f>IF('WetLitterbags placem_collection'!AC56="","",'WetLitterbags placem_collection'!AC56)</f>
        <v/>
      </c>
      <c r="AH715">
        <f>AVERAGE('WetLitterbags placem_collection'!S56,'WetLitterbags placem_collection'!U56)</f>
        <v>30.1</v>
      </c>
      <c r="AI715">
        <f>AVERAGE('WetLitterbags placem_collection'!R56,'WetLitterbags placem_collection'!T56)</f>
        <v>22.2</v>
      </c>
      <c r="AJ715">
        <f>INDEX(Coordinates!$B$2:$B$197,MATCH(G715,Coordinates!$J$2:$J$197,0))</f>
        <v>-3.406058019</v>
      </c>
      <c r="AK715">
        <f>INDEX(Coordinates!$C$2:$C$197,MATCH(G715,Coordinates!$J$2:$J$197,0))</f>
        <v>34.850466019999999</v>
      </c>
      <c r="AL715" t="str">
        <f>IF(ISNUMBER(SEARCH("C", 'WetLitterbags placem_collection'!Y56)),"YES","NO")</f>
        <v>NO</v>
      </c>
      <c r="AM715" t="str">
        <f>IF(ISNUMBER(SEARCH("H", 'WetLitterbags placem_collection'!Y56)),"YES","NO")</f>
        <v>NO</v>
      </c>
      <c r="AN715" t="str">
        <f>IF(ISNUMBER(SEARCH("R", 'WetLitterbags placem_collection'!Y56)),"YES","NO")</f>
        <v>NO</v>
      </c>
    </row>
    <row r="716" spans="1:40" ht="15" customHeight="1">
      <c r="A716" s="258" t="s">
        <v>2460</v>
      </c>
      <c r="B716" s="263">
        <f>'Dry_Litterbag Placem_Collection'!A57</f>
        <v>55</v>
      </c>
      <c r="C716" s="263" t="str">
        <f>'Dry_Litterbag Placem_Collection'!B57</f>
        <v>Makao</v>
      </c>
      <c r="D716" s="263" t="s">
        <v>2659</v>
      </c>
      <c r="E716" s="263" t="s">
        <v>20</v>
      </c>
      <c r="F716" s="263">
        <v>3</v>
      </c>
      <c r="G716" s="264" t="str">
        <f>'Dry_Litterbag Placem_Collection'!C57</f>
        <v>Dry_P3_T7</v>
      </c>
      <c r="H716" s="273" t="s">
        <v>3651</v>
      </c>
      <c r="I716" s="274" t="s">
        <v>298</v>
      </c>
      <c r="J716" s="223" t="str">
        <f>'WetLitterbags placem_collection'!Q57</f>
        <v>R54b</v>
      </c>
      <c r="K716" s="225" t="str">
        <f>IFERROR(INDEX('Green_rooibos initial weight'!$C$5:$C$1749,MATCH(J716, 'Green_rooibos initial weight'!$A$5:$A$1749,0)),"")</f>
        <v/>
      </c>
      <c r="L716" s="225" t="str">
        <f>IFERROR(K716-(TBIcalc!$H$9+TBIcalc!$H$10),"")</f>
        <v/>
      </c>
      <c r="M716" s="391">
        <f>AVERAGE(Ashed_controlls!$K$12:$K$14)</f>
        <v>2.2816647271287041</v>
      </c>
      <c r="N716" s="225" t="str">
        <f t="shared" si="60"/>
        <v/>
      </c>
      <c r="O716" s="225">
        <f>IF(IFERROR(INDEX('Both teabags AfterWet'!$C$3:$C$841,MATCH(J716,'Both teabags AfterWet'!$A$3:$A$841,0)),"")="","",(IFERROR(INDEX('Both teabags AfterWet'!$C$3:$C$841,MATCH(J716,'Both teabags AfterWet'!$A$3:$A$841,0)),"")))</f>
        <v>1.5207999999999999</v>
      </c>
      <c r="P716" s="225">
        <f>IFERROR(IF(O716&gt;0,O716-(TBIcalc!$H$9),""),"")</f>
        <v>1.3701999999999999</v>
      </c>
      <c r="Q716" s="225">
        <f>IFERROR(INDEX('Ashed teabags wet'!$K$2:$K$821,MATCH(J716,'Ashed teabags wet'!$A$2:$A$821,0)),"")</f>
        <v>10.692124105011484</v>
      </c>
      <c r="R716" s="225">
        <f t="shared" si="63"/>
        <v>1.2236965155131325</v>
      </c>
      <c r="S716" s="226">
        <f>'WetLitterbags placem_collection'!E57</f>
        <v>42766</v>
      </c>
      <c r="T716" s="226">
        <f>IF('WetLitterbags placem_collection'!G57="","",'WetLitterbags placem_collection'!G57)</f>
        <v>42820</v>
      </c>
      <c r="U716" s="227">
        <f t="shared" si="59"/>
        <v>54</v>
      </c>
      <c r="V716" s="225" t="str">
        <f t="shared" si="61"/>
        <v/>
      </c>
      <c r="W716" s="225" t="str">
        <f t="shared" si="62"/>
        <v/>
      </c>
      <c r="X716">
        <f>IFERROR(INDEX(Rainfall_Wet!$O$2:$O$217,MATCH(B716, Rainfall_Wet!$A$2:$A$217,0)),"")</f>
        <v>214.262898705</v>
      </c>
      <c r="Y716" s="231">
        <v>21.96</v>
      </c>
      <c r="Z716" s="231">
        <v>8.9199999999999982</v>
      </c>
      <c r="AA716" s="231">
        <v>69.12</v>
      </c>
      <c r="AB716" s="232" t="s">
        <v>2670</v>
      </c>
      <c r="AC716" s="231">
        <v>1.7491375061606702</v>
      </c>
      <c r="AD716">
        <f>IF('WetLitterbags placem_collection'!AB57="","",'WetLitterbags placem_collection'!AB57)</f>
        <v>15.8</v>
      </c>
      <c r="AE716">
        <f>IF('WetLitterbags placem_collection'!Z57="","",'WetLitterbags placem_collection'!Z57)</f>
        <v>45</v>
      </c>
      <c r="AF716" s="246" t="str">
        <f>IF('WetLitterbags placem_collection'!AA57="","",'WetLitterbags placem_collection'!AA57)</f>
        <v>M</v>
      </c>
      <c r="AG716">
        <f>IF('WetLitterbags placem_collection'!AC57="","",'WetLitterbags placem_collection'!AC57)</f>
        <v>1</v>
      </c>
      <c r="AH716">
        <f>AVERAGE('WetLitterbags placem_collection'!S57,'WetLitterbags placem_collection'!U57)</f>
        <v>33</v>
      </c>
      <c r="AI716">
        <f>AVERAGE('WetLitterbags placem_collection'!R57,'WetLitterbags placem_collection'!T57)</f>
        <v>25.9</v>
      </c>
      <c r="AJ716">
        <f>INDEX(Coordinates!$B$2:$B$197,MATCH(G716,Coordinates!$J$2:$J$197,0))</f>
        <v>-3.4061389879999999</v>
      </c>
      <c r="AK716">
        <f>INDEX(Coordinates!$C$2:$C$197,MATCH(G716,Coordinates!$J$2:$J$197,0))</f>
        <v>34.850574979999998</v>
      </c>
      <c r="AL716" t="str">
        <f>IF(ISNUMBER(SEARCH("C", 'WetLitterbags placem_collection'!Y57)),"YES","NO")</f>
        <v>NO</v>
      </c>
      <c r="AM716" t="str">
        <f>IF(ISNUMBER(SEARCH("H", 'WetLitterbags placem_collection'!Y57)),"YES","NO")</f>
        <v>NO</v>
      </c>
      <c r="AN716" t="str">
        <f>IF(ISNUMBER(SEARCH("R", 'WetLitterbags placem_collection'!Y57)),"YES","NO")</f>
        <v>NO</v>
      </c>
    </row>
    <row r="717" spans="1:40" ht="15" customHeight="1">
      <c r="A717" s="258" t="s">
        <v>2460</v>
      </c>
      <c r="B717" s="263">
        <f>'Dry_Litterbag Placem_Collection'!A58</f>
        <v>56</v>
      </c>
      <c r="C717" s="263" t="str">
        <f>'Dry_Litterbag Placem_Collection'!B58</f>
        <v>Makao</v>
      </c>
      <c r="D717" s="263" t="s">
        <v>2659</v>
      </c>
      <c r="E717" s="263" t="s">
        <v>20</v>
      </c>
      <c r="F717" s="263">
        <v>3</v>
      </c>
      <c r="G717" s="264" t="str">
        <f>'Dry_Litterbag Placem_Collection'!C58</f>
        <v>Dry_P3_T8</v>
      </c>
      <c r="H717" s="273" t="s">
        <v>3651</v>
      </c>
      <c r="I717" s="274" t="s">
        <v>298</v>
      </c>
      <c r="J717" s="223" t="str">
        <f>'WetLitterbags placem_collection'!Q58</f>
        <v>R58</v>
      </c>
      <c r="K717" s="225">
        <f>IFERROR(INDEX('Green_rooibos initial weight'!$C$5:$C$1749,MATCH(J717, 'Green_rooibos initial weight'!$A$5:$A$1749,0)),"")</f>
        <v>2.1760000000000002</v>
      </c>
      <c r="L717" s="225">
        <f>IFERROR(K717-(TBIcalc!$H$9+TBIcalc!$H$10),"")</f>
        <v>1.9262000000000001</v>
      </c>
      <c r="M717" s="391">
        <f>AVERAGE(Ashed_controlls!$K$12:$K$14)</f>
        <v>2.2816647271287041</v>
      </c>
      <c r="N717" s="225">
        <f t="shared" si="60"/>
        <v>1.8822505740260471</v>
      </c>
      <c r="O717" s="225">
        <f>IF(IFERROR(INDEX('Both teabags AfterWet'!$C$3:$C$841,MATCH(J717,'Both teabags AfterWet'!$A$3:$A$841,0)),"")="","",(IFERROR(INDEX('Both teabags AfterWet'!$C$3:$C$841,MATCH(J717,'Both teabags AfterWet'!$A$3:$A$841,0)),"")))</f>
        <v>1.5980000000000001</v>
      </c>
      <c r="P717" s="225">
        <f>IFERROR(IF(O717&gt;0,O717-(TBIcalc!$H$9),""),"")</f>
        <v>1.4474</v>
      </c>
      <c r="Q717" s="225">
        <f>IFERROR(INDEX('Ashed teabags wet'!$K$2:$K$821,MATCH(J717,'Ashed teabags wet'!$A$2:$A$821,0)),"")</f>
        <v>3.1372549019609965</v>
      </c>
      <c r="R717" s="225">
        <f t="shared" si="63"/>
        <v>1.4019913725490165</v>
      </c>
      <c r="S717" s="226">
        <f>'WetLitterbags placem_collection'!E58</f>
        <v>42766</v>
      </c>
      <c r="T717" s="226">
        <f>IF('WetLitterbags placem_collection'!G58="","",'WetLitterbags placem_collection'!G58)</f>
        <v>42820</v>
      </c>
      <c r="U717" s="227">
        <f t="shared" si="59"/>
        <v>54</v>
      </c>
      <c r="V717" s="225">
        <f t="shared" si="61"/>
        <v>0.47880000000000011</v>
      </c>
      <c r="W717" s="225">
        <f t="shared" si="62"/>
        <v>0.48025920147703061</v>
      </c>
      <c r="X717">
        <f>IFERROR(INDEX(Rainfall_Wet!$O$2:$O$217,MATCH(B717, Rainfall_Wet!$A$2:$A$217,0)),"")</f>
        <v>214.262898705</v>
      </c>
      <c r="Y717" s="231">
        <v>21.96</v>
      </c>
      <c r="Z717" s="231">
        <v>8.9199999999999982</v>
      </c>
      <c r="AA717" s="231">
        <v>69.12</v>
      </c>
      <c r="AB717" s="232" t="s">
        <v>2670</v>
      </c>
      <c r="AC717" s="231">
        <v>1.7491375061606702</v>
      </c>
      <c r="AD717">
        <f>IF('WetLitterbags placem_collection'!AB58="","",'WetLitterbags placem_collection'!AB58)</f>
        <v>15.4</v>
      </c>
      <c r="AE717">
        <f>IF('WetLitterbags placem_collection'!Z58="","",'WetLitterbags placem_collection'!Z58)</f>
        <v>30.8</v>
      </c>
      <c r="AF717" s="246" t="str">
        <f>IF('WetLitterbags placem_collection'!AA58="","",'WetLitterbags placem_collection'!AA58)</f>
        <v>M</v>
      </c>
      <c r="AG717">
        <f>IF('WetLitterbags placem_collection'!AC58="","",'WetLitterbags placem_collection'!AC58)</f>
        <v>0</v>
      </c>
      <c r="AH717">
        <f>AVERAGE('WetLitterbags placem_collection'!S58,'WetLitterbags placem_collection'!U58)</f>
        <v>29.5</v>
      </c>
      <c r="AI717">
        <f>AVERAGE('WetLitterbags placem_collection'!R58,'WetLitterbags placem_collection'!T58)</f>
        <v>27.6</v>
      </c>
      <c r="AJ717">
        <f>INDEX(Coordinates!$B$2:$B$197,MATCH(G717,Coordinates!$J$2:$J$197,0))</f>
        <v>-3.4062900300000001</v>
      </c>
      <c r="AK717">
        <f>INDEX(Coordinates!$C$2:$C$197,MATCH(G717,Coordinates!$J$2:$J$197,0))</f>
        <v>34.850441959999998</v>
      </c>
      <c r="AL717" t="str">
        <f>IF(ISNUMBER(SEARCH("C", 'WetLitterbags placem_collection'!Y58)),"YES","NO")</f>
        <v>NO</v>
      </c>
      <c r="AM717" t="str">
        <f>IF(ISNUMBER(SEARCH("H", 'WetLitterbags placem_collection'!Y58)),"YES","NO")</f>
        <v>NO</v>
      </c>
      <c r="AN717" t="str">
        <f>IF(ISNUMBER(SEARCH("R", 'WetLitterbags placem_collection'!Y58)),"YES","NO")</f>
        <v>NO</v>
      </c>
    </row>
    <row r="718" spans="1:40" ht="15" customHeight="1">
      <c r="A718" s="258" t="s">
        <v>2460</v>
      </c>
      <c r="B718" s="263">
        <f>'Dry_Litterbag Placem_Collection'!A59</f>
        <v>57</v>
      </c>
      <c r="C718" s="263" t="str">
        <f>'Dry_Litterbag Placem_Collection'!B59</f>
        <v>Makao</v>
      </c>
      <c r="D718" s="263" t="s">
        <v>2659</v>
      </c>
      <c r="E718" s="263" t="s">
        <v>20</v>
      </c>
      <c r="F718" s="263">
        <v>4</v>
      </c>
      <c r="G718" s="264" t="str">
        <f>'Dry_Litterbag Placem_Collection'!C59</f>
        <v>Dry_P4_T1</v>
      </c>
      <c r="H718" s="273" t="s">
        <v>3651</v>
      </c>
      <c r="I718" s="274" t="s">
        <v>298</v>
      </c>
      <c r="J718" s="223" t="str">
        <f>'WetLitterbags placem_collection'!Q59</f>
        <v>R435</v>
      </c>
      <c r="K718" s="225">
        <f>IFERROR(INDEX('Green_rooibos initial weight'!$C$5:$C$1749,MATCH(J718, 'Green_rooibos initial weight'!$A$5:$A$1749,0)),"")</f>
        <v>2.141</v>
      </c>
      <c r="L718" s="225">
        <f>IFERROR(K718-(TBIcalc!$H$9+TBIcalc!$H$10),"")</f>
        <v>1.8912</v>
      </c>
      <c r="M718" s="391">
        <f>AVERAGE(Ashed_controlls!$K$12:$K$14)</f>
        <v>2.2816647271287041</v>
      </c>
      <c r="N718" s="225">
        <f t="shared" si="60"/>
        <v>1.8480491566805419</v>
      </c>
      <c r="O718" s="225">
        <f>IF(IFERROR(INDEX('Both teabags AfterWet'!$C$3:$C$841,MATCH(J718,'Both teabags AfterWet'!$A$3:$A$841,0)),"")="","",(IFERROR(INDEX('Both teabags AfterWet'!$C$3:$C$841,MATCH(J718,'Both teabags AfterWet'!$A$3:$A$841,0)),"")))</f>
        <v>1.4594</v>
      </c>
      <c r="P718" s="225">
        <f>IFERROR(IF(O718&gt;0,O718-(TBIcalc!$H$9),""),"")</f>
        <v>1.3088</v>
      </c>
      <c r="Q718" s="225">
        <f>IFERROR(INDEX('Ashed teabags wet'!$K$2:$K$821,MATCH(J718,'Ashed teabags wet'!$A$2:$A$821,0)),"")</f>
        <v>7.3673870333987725</v>
      </c>
      <c r="R718" s="225">
        <f t="shared" si="63"/>
        <v>1.2123756385068769</v>
      </c>
      <c r="S718" s="226">
        <f>'WetLitterbags placem_collection'!E59</f>
        <v>42766</v>
      </c>
      <c r="T718" s="226">
        <f>IF('WetLitterbags placem_collection'!G59="","",'WetLitterbags placem_collection'!G59)</f>
        <v>42820</v>
      </c>
      <c r="U718" s="227">
        <f t="shared" si="59"/>
        <v>54</v>
      </c>
      <c r="V718" s="225">
        <f t="shared" si="61"/>
        <v>0.58240000000000003</v>
      </c>
      <c r="W718" s="225">
        <f t="shared" si="62"/>
        <v>0.63567351817366502</v>
      </c>
      <c r="X718">
        <f>IFERROR(INDEX(Rainfall_Wet!$O$2:$O$217,MATCH(B718, Rainfall_Wet!$A$2:$A$217,0)),"")</f>
        <v>214.262898705</v>
      </c>
      <c r="Y718" s="231">
        <v>25.96</v>
      </c>
      <c r="Z718" s="231">
        <v>6.9200000000000008</v>
      </c>
      <c r="AA718" s="231">
        <v>67.12</v>
      </c>
      <c r="AB718" s="232" t="s">
        <v>2670</v>
      </c>
      <c r="AC718" s="231">
        <v>1.7568260226712666</v>
      </c>
      <c r="AD718">
        <f>IF('WetLitterbags placem_collection'!AB59="","",'WetLitterbags placem_collection'!AB59)</f>
        <v>3.3</v>
      </c>
      <c r="AE718">
        <f>IF('WetLitterbags placem_collection'!Z59="","",'WetLitterbags placem_collection'!Z59)</f>
        <v>28.4</v>
      </c>
      <c r="AF718" s="246" t="str">
        <f>IF('WetLitterbags placem_collection'!AA59="","",'WetLitterbags placem_collection'!AA59)</f>
        <v>O</v>
      </c>
      <c r="AG718">
        <f>IF('WetLitterbags placem_collection'!AC59="","",'WetLitterbags placem_collection'!AC59)</f>
        <v>1</v>
      </c>
      <c r="AH718">
        <f>AVERAGE('WetLitterbags placem_collection'!S59,'WetLitterbags placem_collection'!U59)</f>
        <v>31.6</v>
      </c>
      <c r="AI718">
        <f>AVERAGE('WetLitterbags placem_collection'!R59,'WetLitterbags placem_collection'!T59)</f>
        <v>26.9</v>
      </c>
      <c r="AJ718">
        <f>INDEX(Coordinates!$B$2:$B$197,MATCH(G718,Coordinates!$J$2:$J$197,0))</f>
        <v>-3.4064239729999999</v>
      </c>
      <c r="AK718">
        <f>INDEX(Coordinates!$C$2:$C$197,MATCH(G718,Coordinates!$J$2:$J$197,0))</f>
        <v>34.851213010000002</v>
      </c>
      <c r="AL718" t="str">
        <f>IF(ISNUMBER(SEARCH("C", 'WetLitterbags placem_collection'!Y59)),"YES","NO")</f>
        <v>NO</v>
      </c>
      <c r="AM718" t="str">
        <f>IF(ISNUMBER(SEARCH("H", 'WetLitterbags placem_collection'!Y59)),"YES","NO")</f>
        <v>NO</v>
      </c>
      <c r="AN718" t="str">
        <f>IF(ISNUMBER(SEARCH("R", 'WetLitterbags placem_collection'!Y59)),"YES","NO")</f>
        <v>YES</v>
      </c>
    </row>
    <row r="719" spans="1:40" ht="15" customHeight="1">
      <c r="A719" s="258" t="s">
        <v>2460</v>
      </c>
      <c r="B719" s="263">
        <f>'Dry_Litterbag Placem_Collection'!A60</f>
        <v>58</v>
      </c>
      <c r="C719" s="263" t="str">
        <f>'Dry_Litterbag Placem_Collection'!B60</f>
        <v>Makao</v>
      </c>
      <c r="D719" s="263" t="s">
        <v>2659</v>
      </c>
      <c r="E719" s="263" t="s">
        <v>20</v>
      </c>
      <c r="F719" s="263">
        <v>4</v>
      </c>
      <c r="G719" s="264" t="str">
        <f>'Dry_Litterbag Placem_Collection'!C60</f>
        <v>Dry_P4_T2</v>
      </c>
      <c r="H719" s="273" t="s">
        <v>3651</v>
      </c>
      <c r="I719" s="274" t="s">
        <v>298</v>
      </c>
      <c r="J719" s="223" t="str">
        <f>'WetLitterbags placem_collection'!Q60</f>
        <v>R31</v>
      </c>
      <c r="K719" s="225">
        <f>IFERROR(INDEX('Green_rooibos initial weight'!$C$5:$C$1749,MATCH(J719, 'Green_rooibos initial weight'!$A$5:$A$1749,0)),"")</f>
        <v>2.1589999999999998</v>
      </c>
      <c r="L719" s="225">
        <f>IFERROR(K719-(TBIcalc!$H$9+TBIcalc!$H$10),"")</f>
        <v>1.9091999999999998</v>
      </c>
      <c r="M719" s="391">
        <f>AVERAGE(Ashed_controlls!$K$12:$K$14)</f>
        <v>2.2816647271287041</v>
      </c>
      <c r="N719" s="225">
        <f t="shared" si="60"/>
        <v>1.8656384570296585</v>
      </c>
      <c r="O719" s="225">
        <f>IF(IFERROR(INDEX('Both teabags AfterWet'!$C$3:$C$841,MATCH(J719,'Both teabags AfterWet'!$A$3:$A$841,0)),"")="","",(IFERROR(INDEX('Both teabags AfterWet'!$C$3:$C$841,MATCH(J719,'Both teabags AfterWet'!$A$3:$A$841,0)),"")))</f>
        <v>1.1857</v>
      </c>
      <c r="P719" s="225">
        <f>IFERROR(IF(O719&gt;0,O719-(TBIcalc!$H$9),""),"")</f>
        <v>1.0350999999999999</v>
      </c>
      <c r="Q719" s="225" t="str">
        <f>IFERROR(INDEX('Ashed teabags wet'!$K$2:$K$821,MATCH(J719,'Ashed teabags wet'!$A$2:$A$821,0)),"")</f>
        <v/>
      </c>
      <c r="R719" s="225" t="str">
        <f t="shared" si="63"/>
        <v/>
      </c>
      <c r="S719" s="226">
        <f>'WetLitterbags placem_collection'!E60</f>
        <v>42766</v>
      </c>
      <c r="T719" s="226">
        <f>IF('WetLitterbags placem_collection'!G60="","",'WetLitterbags placem_collection'!G60)</f>
        <v>42820</v>
      </c>
      <c r="U719" s="227">
        <f t="shared" si="59"/>
        <v>54</v>
      </c>
      <c r="V719" s="225">
        <f t="shared" si="61"/>
        <v>0.87409999999999988</v>
      </c>
      <c r="W719" s="225" t="str">
        <f t="shared" si="62"/>
        <v/>
      </c>
      <c r="X719">
        <f>IFERROR(INDEX(Rainfall_Wet!$O$2:$O$217,MATCH(B719, Rainfall_Wet!$A$2:$A$217,0)),"")</f>
        <v>214.262898705</v>
      </c>
      <c r="Y719" s="231">
        <v>25.96</v>
      </c>
      <c r="Z719" s="231">
        <v>6.9200000000000008</v>
      </c>
      <c r="AA719" s="231">
        <v>67.12</v>
      </c>
      <c r="AB719" s="232" t="s">
        <v>2670</v>
      </c>
      <c r="AC719" s="231">
        <v>1.7568260226712666</v>
      </c>
      <c r="AD719">
        <f>IF('WetLitterbags placem_collection'!AB60="","",'WetLitterbags placem_collection'!AB60)</f>
        <v>1.4</v>
      </c>
      <c r="AE719">
        <f>IF('WetLitterbags placem_collection'!Z60="","",'WetLitterbags placem_collection'!Z60)</f>
        <v>54.4</v>
      </c>
      <c r="AF719" s="246" t="str">
        <f>IF('WetLitterbags placem_collection'!AA60="","",'WetLitterbags placem_collection'!AA60)</f>
        <v>O</v>
      </c>
      <c r="AG719">
        <f>IF('WetLitterbags placem_collection'!AC60="","",'WetLitterbags placem_collection'!AC60)</f>
        <v>0</v>
      </c>
      <c r="AH719">
        <f>AVERAGE('WetLitterbags placem_collection'!S60,'WetLitterbags placem_collection'!U60)</f>
        <v>31.6</v>
      </c>
      <c r="AI719">
        <f>AVERAGE('WetLitterbags placem_collection'!R60,'WetLitterbags placem_collection'!T60)</f>
        <v>26.700000000000003</v>
      </c>
      <c r="AJ719">
        <f>INDEX(Coordinates!$B$2:$B$197,MATCH(G719,Coordinates!$J$2:$J$197,0))</f>
        <v>-3.4065020079999999</v>
      </c>
      <c r="AK719">
        <f>INDEX(Coordinates!$C$2:$C$197,MATCH(G719,Coordinates!$J$2:$J$197,0))</f>
        <v>34.851056020000001</v>
      </c>
      <c r="AL719" t="str">
        <f>IF(ISNUMBER(SEARCH("C", 'WetLitterbags placem_collection'!Y60)),"YES","NO")</f>
        <v>NO</v>
      </c>
      <c r="AM719" t="str">
        <f>IF(ISNUMBER(SEARCH("H", 'WetLitterbags placem_collection'!Y60)),"YES","NO")</f>
        <v>NO</v>
      </c>
      <c r="AN719" t="str">
        <f>IF(ISNUMBER(SEARCH("R", 'WetLitterbags placem_collection'!Y60)),"YES","NO")</f>
        <v>NO</v>
      </c>
    </row>
    <row r="720" spans="1:40" ht="15" customHeight="1">
      <c r="A720" s="258" t="s">
        <v>2460</v>
      </c>
      <c r="B720" s="263">
        <f>'Dry_Litterbag Placem_Collection'!A61</f>
        <v>59</v>
      </c>
      <c r="C720" s="263" t="str">
        <f>'Dry_Litterbag Placem_Collection'!B61</f>
        <v>Makao</v>
      </c>
      <c r="D720" s="263" t="s">
        <v>2659</v>
      </c>
      <c r="E720" s="263" t="s">
        <v>20</v>
      </c>
      <c r="F720" s="263">
        <v>4</v>
      </c>
      <c r="G720" s="264" t="str">
        <f>'Dry_Litterbag Placem_Collection'!C61</f>
        <v>Dry_P4_T3</v>
      </c>
      <c r="H720" s="273" t="s">
        <v>3651</v>
      </c>
      <c r="I720" s="274" t="s">
        <v>298</v>
      </c>
      <c r="J720" s="223" t="str">
        <f>'WetLitterbags placem_collection'!Q61</f>
        <v>R120</v>
      </c>
      <c r="K720" s="225">
        <f>IFERROR(INDEX('Green_rooibos initial weight'!$C$5:$C$1749,MATCH(J720, 'Green_rooibos initial weight'!$A$5:$A$1749,0)),"")</f>
        <v>2.2450000000000001</v>
      </c>
      <c r="L720" s="225">
        <f>IFERROR(K720-(TBIcalc!$H$9+TBIcalc!$H$10),"")</f>
        <v>1.9952000000000001</v>
      </c>
      <c r="M720" s="391">
        <f>AVERAGE(Ashed_controlls!$K$12:$K$14)</f>
        <v>2.2816647271287041</v>
      </c>
      <c r="N720" s="225">
        <f t="shared" si="60"/>
        <v>1.9496762253643283</v>
      </c>
      <c r="O720" s="225">
        <f>IF(IFERROR(INDEX('Both teabags AfterWet'!$C$3:$C$841,MATCH(J720,'Both teabags AfterWet'!$A$3:$A$841,0)),"")="","",(IFERROR(INDEX('Both teabags AfterWet'!$C$3:$C$841,MATCH(J720,'Both teabags AfterWet'!$A$3:$A$841,0)),"")))</f>
        <v>1.4690000000000001</v>
      </c>
      <c r="P720" s="225">
        <f>IFERROR(IF(O720&gt;0,O720-(TBIcalc!$H$9),""),"")</f>
        <v>1.3184</v>
      </c>
      <c r="Q720" s="225">
        <f>IFERROR(INDEX('Ashed teabags wet'!$K$2:$K$821,MATCH(J720,'Ashed teabags wet'!$A$2:$A$821,0)),"")</f>
        <v>3.836571998007162</v>
      </c>
      <c r="R720" s="225">
        <f t="shared" si="63"/>
        <v>1.2678186347782736</v>
      </c>
      <c r="S720" s="226">
        <f>'WetLitterbags placem_collection'!E61</f>
        <v>42766</v>
      </c>
      <c r="T720" s="226">
        <f>IF('WetLitterbags placem_collection'!G61="","",'WetLitterbags placem_collection'!G61)</f>
        <v>42820</v>
      </c>
      <c r="U720" s="227">
        <f t="shared" si="59"/>
        <v>54</v>
      </c>
      <c r="V720" s="225">
        <f t="shared" si="61"/>
        <v>0.67680000000000007</v>
      </c>
      <c r="W720" s="225">
        <f t="shared" si="62"/>
        <v>0.68185759058605466</v>
      </c>
      <c r="X720">
        <f>IFERROR(INDEX(Rainfall_Wet!$O$2:$O$217,MATCH(B720, Rainfall_Wet!$A$2:$A$217,0)),"")</f>
        <v>214.262898705</v>
      </c>
      <c r="Y720" s="231">
        <v>25.96</v>
      </c>
      <c r="Z720" s="231">
        <v>6.9200000000000008</v>
      </c>
      <c r="AA720" s="231">
        <v>67.12</v>
      </c>
      <c r="AB720" s="232" t="s">
        <v>2670</v>
      </c>
      <c r="AC720" s="231">
        <v>1.7568260226712666</v>
      </c>
      <c r="AD720">
        <f>IF('WetLitterbags placem_collection'!AB61="","",'WetLitterbags placem_collection'!AB61)</f>
        <v>3.3</v>
      </c>
      <c r="AE720">
        <f>IF('WetLitterbags placem_collection'!Z61="","",'WetLitterbags placem_collection'!Z61)</f>
        <v>46</v>
      </c>
      <c r="AF720" s="246" t="str">
        <f>IF('WetLitterbags placem_collection'!AA61="","",'WetLitterbags placem_collection'!AA61)</f>
        <v>O</v>
      </c>
      <c r="AG720">
        <f>IF('WetLitterbags placem_collection'!AC61="","",'WetLitterbags placem_collection'!AC61)</f>
        <v>0</v>
      </c>
      <c r="AH720">
        <f>AVERAGE('WetLitterbags placem_collection'!S61,'WetLitterbags placem_collection'!U61)</f>
        <v>27.9</v>
      </c>
      <c r="AI720">
        <f>AVERAGE('WetLitterbags placem_collection'!R61,'WetLitterbags placem_collection'!T61)</f>
        <v>27.049999999999997</v>
      </c>
      <c r="AJ720">
        <f>INDEX(Coordinates!$B$2:$B$197,MATCH(G720,Coordinates!$J$2:$J$197,0))</f>
        <v>-3.4062359670000002</v>
      </c>
      <c r="AK720">
        <f>INDEX(Coordinates!$C$2:$C$197,MATCH(G720,Coordinates!$J$2:$J$197,0))</f>
        <v>34.851107990000003</v>
      </c>
      <c r="AL720" t="str">
        <f>IF(ISNUMBER(SEARCH("C", 'WetLitterbags placem_collection'!Y61)),"YES","NO")</f>
        <v>NO</v>
      </c>
      <c r="AM720" t="str">
        <f>IF(ISNUMBER(SEARCH("H", 'WetLitterbags placem_collection'!Y61)),"YES","NO")</f>
        <v>NO</v>
      </c>
      <c r="AN720" t="str">
        <f>IF(ISNUMBER(SEARCH("R", 'WetLitterbags placem_collection'!Y61)),"YES","NO")</f>
        <v>NO</v>
      </c>
    </row>
    <row r="721" spans="1:40" ht="15" customHeight="1">
      <c r="A721" s="258" t="s">
        <v>2460</v>
      </c>
      <c r="B721" s="263">
        <f>'Dry_Litterbag Placem_Collection'!A62</f>
        <v>60</v>
      </c>
      <c r="C721" s="263" t="str">
        <f>'Dry_Litterbag Placem_Collection'!B62</f>
        <v>Makao</v>
      </c>
      <c r="D721" s="263" t="s">
        <v>2659</v>
      </c>
      <c r="E721" s="263" t="s">
        <v>20</v>
      </c>
      <c r="F721" s="263">
        <v>4</v>
      </c>
      <c r="G721" s="264" t="str">
        <f>'Dry_Litterbag Placem_Collection'!C62</f>
        <v>Dry_P4_T4</v>
      </c>
      <c r="H721" s="273" t="s">
        <v>3651</v>
      </c>
      <c r="I721" s="274" t="s">
        <v>298</v>
      </c>
      <c r="J721" s="223" t="str">
        <f>'WetLitterbags placem_collection'!Q62</f>
        <v>R390</v>
      </c>
      <c r="K721" s="225">
        <f>IFERROR(INDEX('Green_rooibos initial weight'!$C$5:$C$1749,MATCH(J721, 'Green_rooibos initial weight'!$A$5:$A$1749,0)),"")</f>
        <v>2.2480000000000002</v>
      </c>
      <c r="L721" s="225">
        <f>IFERROR(K721-(TBIcalc!$H$9+TBIcalc!$H$10),"")</f>
        <v>1.9982000000000002</v>
      </c>
      <c r="M721" s="391">
        <f>AVERAGE(Ashed_controlls!$K$12:$K$14)</f>
        <v>2.2816647271287041</v>
      </c>
      <c r="N721" s="225">
        <f t="shared" si="60"/>
        <v>1.9526077754225144</v>
      </c>
      <c r="O721" s="225">
        <f>IF(IFERROR(INDEX('Both teabags AfterWet'!$C$3:$C$841,MATCH(J721,'Both teabags AfterWet'!$A$3:$A$841,0)),"")="","",(IFERROR(INDEX('Both teabags AfterWet'!$C$3:$C$841,MATCH(J721,'Both teabags AfterWet'!$A$3:$A$841,0)),"")))</f>
        <v>1.5309999999999999</v>
      </c>
      <c r="P721" s="225">
        <f>IFERROR(IF(O721&gt;0,O721-(TBIcalc!$H$9),""),"")</f>
        <v>1.3803999999999998</v>
      </c>
      <c r="Q721" s="225">
        <f>IFERROR(INDEX('Ashed teabags wet'!$K$2:$K$821,MATCH(J721,'Ashed teabags wet'!$A$2:$A$821,0)),"")</f>
        <v>9.7068716962994532</v>
      </c>
      <c r="R721" s="225">
        <f t="shared" si="63"/>
        <v>1.2464063431042822</v>
      </c>
      <c r="S721" s="226">
        <f>'WetLitterbags placem_collection'!E62</f>
        <v>42766</v>
      </c>
      <c r="T721" s="226">
        <f>IF('WetLitterbags placem_collection'!G62="","",'WetLitterbags placem_collection'!G62)</f>
        <v>42820</v>
      </c>
      <c r="U721" s="227">
        <f t="shared" si="59"/>
        <v>54</v>
      </c>
      <c r="V721" s="225">
        <f t="shared" si="61"/>
        <v>0.61780000000000035</v>
      </c>
      <c r="W721" s="225">
        <f t="shared" si="62"/>
        <v>0.70620143231823218</v>
      </c>
      <c r="X721">
        <f>IFERROR(INDEX(Rainfall_Wet!$O$2:$O$217,MATCH(B721, Rainfall_Wet!$A$2:$A$217,0)),"")</f>
        <v>214.262898705</v>
      </c>
      <c r="Y721" s="231">
        <v>25.96</v>
      </c>
      <c r="Z721" s="231">
        <v>6.9200000000000008</v>
      </c>
      <c r="AA721" s="231">
        <v>67.12</v>
      </c>
      <c r="AB721" s="232" t="s">
        <v>2670</v>
      </c>
      <c r="AC721" s="231">
        <v>1.7568260226712666</v>
      </c>
      <c r="AD721">
        <f>IF('WetLitterbags placem_collection'!AB62="","",'WetLitterbags placem_collection'!AB62)</f>
        <v>2.4</v>
      </c>
      <c r="AE721">
        <f>IF('WetLitterbags placem_collection'!Z62="","",'WetLitterbags placem_collection'!Z62)</f>
        <v>10.199999999999999</v>
      </c>
      <c r="AF721" s="246" t="str">
        <f>IF('WetLitterbags placem_collection'!AA62="","",'WetLitterbags placem_collection'!AA62)</f>
        <v>O</v>
      </c>
      <c r="AG721">
        <f>IF('WetLitterbags placem_collection'!AC62="","",'WetLitterbags placem_collection'!AC62)</f>
        <v>0</v>
      </c>
      <c r="AH721">
        <f>AVERAGE('WetLitterbags placem_collection'!S62,'WetLitterbags placem_collection'!U62)</f>
        <v>22.5</v>
      </c>
      <c r="AI721">
        <f>AVERAGE('WetLitterbags placem_collection'!R62,'WetLitterbags placem_collection'!T62)</f>
        <v>28.6</v>
      </c>
      <c r="AJ721">
        <f>INDEX(Coordinates!$B$2:$B$197,MATCH(G721,Coordinates!$J$2:$J$197,0))</f>
        <v>-3.406281983</v>
      </c>
      <c r="AK721">
        <f>INDEX(Coordinates!$C$2:$C$197,MATCH(G721,Coordinates!$J$2:$J$197,0))</f>
        <v>34.85137898</v>
      </c>
      <c r="AL721" t="str">
        <f>IF(ISNUMBER(SEARCH("C", 'WetLitterbags placem_collection'!Y62)),"YES","NO")</f>
        <v>NO</v>
      </c>
      <c r="AM721" t="str">
        <f>IF(ISNUMBER(SEARCH("H", 'WetLitterbags placem_collection'!Y62)),"YES","NO")</f>
        <v>YES</v>
      </c>
      <c r="AN721" t="str">
        <f>IF(ISNUMBER(SEARCH("R", 'WetLitterbags placem_collection'!Y62)),"YES","NO")</f>
        <v>NO</v>
      </c>
    </row>
    <row r="722" spans="1:40" ht="15" customHeight="1">
      <c r="A722" s="258" t="s">
        <v>2460</v>
      </c>
      <c r="B722" s="263">
        <f>'Dry_Litterbag Placem_Collection'!A63</f>
        <v>61</v>
      </c>
      <c r="C722" s="263" t="str">
        <f>'Dry_Litterbag Placem_Collection'!B63</f>
        <v>Makao</v>
      </c>
      <c r="D722" s="263" t="s">
        <v>2659</v>
      </c>
      <c r="E722" s="263" t="s">
        <v>20</v>
      </c>
      <c r="F722" s="263">
        <v>4</v>
      </c>
      <c r="G722" s="264" t="str">
        <f>'Dry_Litterbag Placem_Collection'!C63</f>
        <v>Dry_P4_T5</v>
      </c>
      <c r="H722" s="273" t="s">
        <v>3651</v>
      </c>
      <c r="I722" s="274" t="s">
        <v>298</v>
      </c>
      <c r="J722" s="223" t="str">
        <f>'WetLitterbags placem_collection'!Q63</f>
        <v>R143</v>
      </c>
      <c r="K722" s="225">
        <f>IFERROR(INDEX('Green_rooibos initial weight'!$C$5:$C$1749,MATCH(J722, 'Green_rooibos initial weight'!$A$5:$A$1749,0)),"")</f>
        <v>2.1560000000000001</v>
      </c>
      <c r="L722" s="225">
        <f>IFERROR(K722-(TBIcalc!$H$9+TBIcalc!$H$10),"")</f>
        <v>1.9062000000000001</v>
      </c>
      <c r="M722" s="391">
        <f>AVERAGE(Ashed_controlls!$K$12:$K$14)</f>
        <v>2.2816647271287041</v>
      </c>
      <c r="N722" s="225">
        <f t="shared" si="60"/>
        <v>1.8627069069714728</v>
      </c>
      <c r="O722" s="225">
        <f>IF(IFERROR(INDEX('Both teabags AfterWet'!$C$3:$C$841,MATCH(J722,'Both teabags AfterWet'!$A$3:$A$841,0)),"")="","",(IFERROR(INDEX('Both teabags AfterWet'!$C$3:$C$841,MATCH(J722,'Both teabags AfterWet'!$A$3:$A$841,0)),"")))</f>
        <v>1.581</v>
      </c>
      <c r="P722" s="225">
        <f>IFERROR(IF(O722&gt;0,O722-(TBIcalc!$H$9),""),"")</f>
        <v>1.4303999999999999</v>
      </c>
      <c r="Q722" s="225">
        <f>IFERROR(INDEX('Ashed teabags wet'!$K$2:$K$821,MATCH(J722,'Ashed teabags wet'!$A$2:$A$821,0)),"")</f>
        <v>5.6762092793688481</v>
      </c>
      <c r="R722" s="225">
        <f t="shared" si="63"/>
        <v>1.349207502467908</v>
      </c>
      <c r="S722" s="226">
        <f>'WetLitterbags placem_collection'!E63</f>
        <v>42766</v>
      </c>
      <c r="T722" s="226">
        <f>IF('WetLitterbags placem_collection'!G63="","",'WetLitterbags placem_collection'!G63)</f>
        <v>42820</v>
      </c>
      <c r="U722" s="227">
        <f t="shared" si="59"/>
        <v>54</v>
      </c>
      <c r="V722" s="225">
        <f t="shared" si="61"/>
        <v>0.47580000000000022</v>
      </c>
      <c r="W722" s="225">
        <f t="shared" si="62"/>
        <v>0.51349940450356479</v>
      </c>
      <c r="X722">
        <f>IFERROR(INDEX(Rainfall_Wet!$O$2:$O$217,MATCH(B722, Rainfall_Wet!$A$2:$A$217,0)),"")</f>
        <v>214.262898705</v>
      </c>
      <c r="Y722" s="231">
        <v>25.96</v>
      </c>
      <c r="Z722" s="231">
        <v>6.9200000000000008</v>
      </c>
      <c r="AA722" s="231">
        <v>67.12</v>
      </c>
      <c r="AB722" s="232" t="s">
        <v>2670</v>
      </c>
      <c r="AC722" s="231">
        <v>1.7568260226712666</v>
      </c>
      <c r="AD722">
        <f>IF('WetLitterbags placem_collection'!AB63="","",'WetLitterbags placem_collection'!AB63)</f>
        <v>5.6</v>
      </c>
      <c r="AE722">
        <f>IF('WetLitterbags placem_collection'!Z63="","",'WetLitterbags placem_collection'!Z63)</f>
        <v>34.200000000000003</v>
      </c>
      <c r="AF722" s="246" t="str">
        <f>IF('WetLitterbags placem_collection'!AA63="","",'WetLitterbags placem_collection'!AA63)</f>
        <v>O</v>
      </c>
      <c r="AG722">
        <f>IF('WetLitterbags placem_collection'!AC63="","",'WetLitterbags placem_collection'!AC63)</f>
        <v>0</v>
      </c>
      <c r="AH722">
        <f>AVERAGE('WetLitterbags placem_collection'!S63,'WetLitterbags placem_collection'!U63)</f>
        <v>20.399999999999999</v>
      </c>
      <c r="AI722">
        <f>AVERAGE('WetLitterbags placem_collection'!R63,'WetLitterbags placem_collection'!T63)</f>
        <v>27.450000000000003</v>
      </c>
      <c r="AJ722">
        <f>INDEX(Coordinates!$B$2:$B$197,MATCH(G722,Coordinates!$J$2:$J$197,0))</f>
        <v>-3.406569986</v>
      </c>
      <c r="AK722">
        <f>INDEX(Coordinates!$C$2:$C$197,MATCH(G722,Coordinates!$J$2:$J$197,0))</f>
        <v>34.851323989999997</v>
      </c>
      <c r="AL722" t="str">
        <f>IF(ISNUMBER(SEARCH("C", 'WetLitterbags placem_collection'!Y63)),"YES","NO")</f>
        <v>NO</v>
      </c>
      <c r="AM722" t="str">
        <f>IF(ISNUMBER(SEARCH("H", 'WetLitterbags placem_collection'!Y63)),"YES","NO")</f>
        <v>NO</v>
      </c>
      <c r="AN722" t="str">
        <f>IF(ISNUMBER(SEARCH("R", 'WetLitterbags placem_collection'!Y63)),"YES","NO")</f>
        <v>NO</v>
      </c>
    </row>
    <row r="723" spans="1:40" ht="15" customHeight="1">
      <c r="A723" s="258" t="s">
        <v>2460</v>
      </c>
      <c r="B723" s="263">
        <f>'Dry_Litterbag Placem_Collection'!A64</f>
        <v>62</v>
      </c>
      <c r="C723" s="263" t="str">
        <f>'Dry_Litterbag Placem_Collection'!B64</f>
        <v>Makao</v>
      </c>
      <c r="D723" s="263" t="s">
        <v>2659</v>
      </c>
      <c r="E723" s="263" t="s">
        <v>20</v>
      </c>
      <c r="F723" s="263">
        <v>4</v>
      </c>
      <c r="G723" s="264" t="str">
        <f>'Dry_Litterbag Placem_Collection'!C64</f>
        <v>Dry_P4_T6</v>
      </c>
      <c r="H723" s="273" t="s">
        <v>3651</v>
      </c>
      <c r="I723" s="274" t="s">
        <v>298</v>
      </c>
      <c r="J723" s="223" t="str">
        <f>'WetLitterbags placem_collection'!Q64</f>
        <v>R448</v>
      </c>
      <c r="K723" s="225">
        <f>IFERROR(INDEX('Green_rooibos initial weight'!$C$5:$C$1749,MATCH(J723, 'Green_rooibos initial weight'!$A$5:$A$1749,0)),"")</f>
        <v>2.2029999999999998</v>
      </c>
      <c r="L723" s="225">
        <f>IFERROR(K723-(TBIcalc!$H$9+TBIcalc!$H$10),"")</f>
        <v>1.9531999999999998</v>
      </c>
      <c r="M723" s="391">
        <f>AVERAGE(Ashed_controlls!$K$12:$K$14)</f>
        <v>2.2816647271287041</v>
      </c>
      <c r="N723" s="225">
        <f t="shared" si="60"/>
        <v>1.908634524549722</v>
      </c>
      <c r="O723" s="225">
        <f>IF(IFERROR(INDEX('Both teabags AfterWet'!$C$3:$C$841,MATCH(J723,'Both teabags AfterWet'!$A$3:$A$841,0)),"")="","",(IFERROR(INDEX('Both teabags AfterWet'!$C$3:$C$841,MATCH(J723,'Both teabags AfterWet'!$A$3:$A$841,0)),"")))</f>
        <v>1.5379</v>
      </c>
      <c r="P723" s="225">
        <f>IFERROR(IF(O723&gt;0,O723-(TBIcalc!$H$9),""),"")</f>
        <v>1.3873</v>
      </c>
      <c r="Q723" s="225">
        <f>IFERROR(INDEX('Ashed teabags wet'!$K$2:$K$821,MATCH(J723,'Ashed teabags wet'!$A$2:$A$821,0)),"")</f>
        <v>6.7460317460323242</v>
      </c>
      <c r="R723" s="225">
        <f t="shared" si="63"/>
        <v>1.2937123015872936</v>
      </c>
      <c r="S723" s="226">
        <f>'WetLitterbags placem_collection'!E64</f>
        <v>42766</v>
      </c>
      <c r="T723" s="226">
        <f>IF('WetLitterbags placem_collection'!G64="","",'WetLitterbags placem_collection'!G64)</f>
        <v>42820</v>
      </c>
      <c r="U723" s="227">
        <f t="shared" si="59"/>
        <v>54</v>
      </c>
      <c r="V723" s="225">
        <f t="shared" si="61"/>
        <v>0.56589999999999985</v>
      </c>
      <c r="W723" s="225">
        <f t="shared" si="62"/>
        <v>0.61492222296242849</v>
      </c>
      <c r="X723">
        <f>IFERROR(INDEX(Rainfall_Wet!$O$2:$O$217,MATCH(B723, Rainfall_Wet!$A$2:$A$217,0)),"")</f>
        <v>214.262898705</v>
      </c>
      <c r="Y723" s="231">
        <v>25.96</v>
      </c>
      <c r="Z723" s="231">
        <v>6.9200000000000008</v>
      </c>
      <c r="AA723" s="231">
        <v>67.12</v>
      </c>
      <c r="AB723" s="232" t="s">
        <v>2670</v>
      </c>
      <c r="AC723" s="231">
        <v>1.7568260226712666</v>
      </c>
      <c r="AD723">
        <f>IF('WetLitterbags placem_collection'!AB64="","",'WetLitterbags placem_collection'!AB64)</f>
        <v>4.2</v>
      </c>
      <c r="AE723">
        <f>IF('WetLitterbags placem_collection'!Z64="","",'WetLitterbags placem_collection'!Z64)</f>
        <v>40.4</v>
      </c>
      <c r="AF723" s="246" t="str">
        <f>IF('WetLitterbags placem_collection'!AA64="","",'WetLitterbags placem_collection'!AA64)</f>
        <v>O</v>
      </c>
      <c r="AG723">
        <f>IF('WetLitterbags placem_collection'!AC64="","",'WetLitterbags placem_collection'!AC64)</f>
        <v>0</v>
      </c>
      <c r="AH723">
        <f>AVERAGE('WetLitterbags placem_collection'!S64,'WetLitterbags placem_collection'!U64)</f>
        <v>24.7</v>
      </c>
      <c r="AI723">
        <f>AVERAGE('WetLitterbags placem_collection'!R64,'WetLitterbags placem_collection'!T64)</f>
        <v>26.799999999999997</v>
      </c>
      <c r="AJ723">
        <f>INDEX(Coordinates!$B$2:$B$197,MATCH(G723,Coordinates!$J$2:$J$197,0))</f>
        <v>-3.4065180179999999</v>
      </c>
      <c r="AK723">
        <f>INDEX(Coordinates!$C$2:$C$197,MATCH(G723,Coordinates!$J$2:$J$197,0))</f>
        <v>34.85121402</v>
      </c>
      <c r="AL723" t="str">
        <f>IF(ISNUMBER(SEARCH("C", 'WetLitterbags placem_collection'!Y64)),"YES","NO")</f>
        <v>NO</v>
      </c>
      <c r="AM723" t="str">
        <f>IF(ISNUMBER(SEARCH("H", 'WetLitterbags placem_collection'!Y64)),"YES","NO")</f>
        <v>NO</v>
      </c>
      <c r="AN723" t="str">
        <f>IF(ISNUMBER(SEARCH("R", 'WetLitterbags placem_collection'!Y64)),"YES","NO")</f>
        <v>NO</v>
      </c>
    </row>
    <row r="724" spans="1:40" ht="15" customHeight="1">
      <c r="A724" s="258" t="s">
        <v>2460</v>
      </c>
      <c r="B724" s="263">
        <f>'Dry_Litterbag Placem_Collection'!A65</f>
        <v>63</v>
      </c>
      <c r="C724" s="263" t="str">
        <f>'Dry_Litterbag Placem_Collection'!B65</f>
        <v>Makao</v>
      </c>
      <c r="D724" s="263" t="s">
        <v>2659</v>
      </c>
      <c r="E724" s="263" t="s">
        <v>20</v>
      </c>
      <c r="F724" s="263">
        <v>4</v>
      </c>
      <c r="G724" s="264" t="str">
        <f>'Dry_Litterbag Placem_Collection'!C65</f>
        <v>Dry_P4_T7</v>
      </c>
      <c r="H724" s="273" t="s">
        <v>3651</v>
      </c>
      <c r="I724" s="274" t="s">
        <v>298</v>
      </c>
      <c r="J724" s="223" t="str">
        <f>'WetLitterbags placem_collection'!Q65</f>
        <v>R423</v>
      </c>
      <c r="K724" s="225">
        <f>IFERROR(INDEX('Green_rooibos initial weight'!$C$5:$C$1749,MATCH(J724, 'Green_rooibos initial weight'!$A$5:$A$1749,0)),"")</f>
        <v>2.1760000000000002</v>
      </c>
      <c r="L724" s="225">
        <f>IFERROR(K724-(TBIcalc!$H$9+TBIcalc!$H$10),"")</f>
        <v>1.9262000000000001</v>
      </c>
      <c r="M724" s="391">
        <f>AVERAGE(Ashed_controlls!$K$12:$K$14)</f>
        <v>2.2816647271287041</v>
      </c>
      <c r="N724" s="225">
        <f t="shared" si="60"/>
        <v>1.8822505740260471</v>
      </c>
      <c r="O724" s="225">
        <f>IF(IFERROR(INDEX('Both teabags AfterWet'!$C$3:$C$841,MATCH(J724,'Both teabags AfterWet'!$A$3:$A$841,0)),"")="","",(IFERROR(INDEX('Both teabags AfterWet'!$C$3:$C$841,MATCH(J724,'Both teabags AfterWet'!$A$3:$A$841,0)),"")))</f>
        <v>1.6359999999999999</v>
      </c>
      <c r="P724" s="225">
        <f>IFERROR(IF(O724&gt;0,O724-(TBIcalc!$H$9),""),"")</f>
        <v>1.4853999999999998</v>
      </c>
      <c r="Q724" s="225">
        <f>IFERROR(INDEX('Ashed teabags wet'!$K$2:$K$821,MATCH(J724,'Ashed teabags wet'!$A$2:$A$821,0)),"")</f>
        <v>8.0404429465571852</v>
      </c>
      <c r="R724" s="225">
        <f t="shared" si="63"/>
        <v>1.3659672604718394</v>
      </c>
      <c r="S724" s="226">
        <f>'WetLitterbags placem_collection'!E65</f>
        <v>42766</v>
      </c>
      <c r="T724" s="226">
        <f>IF('WetLitterbags placem_collection'!G65="","",'WetLitterbags placem_collection'!G65)</f>
        <v>42820</v>
      </c>
      <c r="U724" s="227">
        <f t="shared" si="59"/>
        <v>54</v>
      </c>
      <c r="V724" s="225">
        <f t="shared" si="61"/>
        <v>0.4408000000000003</v>
      </c>
      <c r="W724" s="225">
        <f t="shared" si="62"/>
        <v>0.51628331355420776</v>
      </c>
      <c r="X724">
        <f>IFERROR(INDEX(Rainfall_Wet!$O$2:$O$217,MATCH(B724, Rainfall_Wet!$A$2:$A$217,0)),"")</f>
        <v>214.262898705</v>
      </c>
      <c r="Y724" s="231">
        <v>25.96</v>
      </c>
      <c r="Z724" s="231">
        <v>6.9200000000000008</v>
      </c>
      <c r="AA724" s="231">
        <v>67.12</v>
      </c>
      <c r="AB724" s="232" t="s">
        <v>2670</v>
      </c>
      <c r="AC724" s="231">
        <v>1.7568260226712666</v>
      </c>
      <c r="AD724">
        <f>IF('WetLitterbags placem_collection'!AB65="","",'WetLitterbags placem_collection'!AB65)</f>
        <v>4.9000000000000004</v>
      </c>
      <c r="AE724">
        <f>IF('WetLitterbags placem_collection'!Z65="","",'WetLitterbags placem_collection'!Z65)</f>
        <v>45</v>
      </c>
      <c r="AF724" s="246" t="str">
        <f>IF('WetLitterbags placem_collection'!AA65="","",'WetLitterbags placem_collection'!AA65)</f>
        <v>O</v>
      </c>
      <c r="AG724">
        <f>IF('WetLitterbags placem_collection'!AC65="","",'WetLitterbags placem_collection'!AC65)</f>
        <v>0</v>
      </c>
      <c r="AH724">
        <f>AVERAGE('WetLitterbags placem_collection'!S65,'WetLitterbags placem_collection'!U65)</f>
        <v>22.9</v>
      </c>
      <c r="AI724">
        <f>AVERAGE('WetLitterbags placem_collection'!R65,'WetLitterbags placem_collection'!T65)</f>
        <v>28.25</v>
      </c>
      <c r="AJ724">
        <f>INDEX(Coordinates!$B$2:$B$197,MATCH(G724,Coordinates!$J$2:$J$197,0))</f>
        <v>-3.406334035</v>
      </c>
      <c r="AK724">
        <f>INDEX(Coordinates!$C$2:$C$197,MATCH(G724,Coordinates!$J$2:$J$197,0))</f>
        <v>34.851172030000001</v>
      </c>
      <c r="AL724" t="str">
        <f>IF(ISNUMBER(SEARCH("C", 'WetLitterbags placem_collection'!Y65)),"YES","NO")</f>
        <v>NO</v>
      </c>
      <c r="AM724" t="str">
        <f>IF(ISNUMBER(SEARCH("H", 'WetLitterbags placem_collection'!Y65)),"YES","NO")</f>
        <v>NO</v>
      </c>
      <c r="AN724" t="str">
        <f>IF(ISNUMBER(SEARCH("R", 'WetLitterbags placem_collection'!Y65)),"YES","NO")</f>
        <v>YES</v>
      </c>
    </row>
    <row r="725" spans="1:40" ht="15" customHeight="1">
      <c r="A725" s="258" t="s">
        <v>2460</v>
      </c>
      <c r="B725" s="263">
        <f>'Dry_Litterbag Placem_Collection'!A66</f>
        <v>64</v>
      </c>
      <c r="C725" s="263" t="str">
        <f>'Dry_Litterbag Placem_Collection'!B66</f>
        <v>Makao</v>
      </c>
      <c r="D725" s="263" t="s">
        <v>2659</v>
      </c>
      <c r="E725" s="263" t="s">
        <v>20</v>
      </c>
      <c r="F725" s="263">
        <v>4</v>
      </c>
      <c r="G725" s="264" t="str">
        <f>'Dry_Litterbag Placem_Collection'!C66</f>
        <v>Dry_P4_T8</v>
      </c>
      <c r="H725" s="273" t="s">
        <v>3651</v>
      </c>
      <c r="I725" s="274" t="s">
        <v>298</v>
      </c>
      <c r="J725" s="223" t="str">
        <f>'WetLitterbags placem_collection'!Q66</f>
        <v>R550</v>
      </c>
      <c r="K725" s="225">
        <f>IFERROR(INDEX('Green_rooibos initial weight'!$C$5:$C$1749,MATCH(J725, 'Green_rooibos initial weight'!$A$5:$A$1749,0)),"")</f>
        <v>2.177</v>
      </c>
      <c r="L725" s="225">
        <f>IFERROR(K725-(TBIcalc!$H$9+TBIcalc!$H$10),"")</f>
        <v>1.9272</v>
      </c>
      <c r="M725" s="391">
        <f>AVERAGE(Ashed_controlls!$K$12:$K$14)</f>
        <v>2.2816647271287041</v>
      </c>
      <c r="N725" s="225">
        <f t="shared" si="60"/>
        <v>1.8832277573787757</v>
      </c>
      <c r="O725" s="225">
        <f>IF(IFERROR(INDEX('Both teabags AfterWet'!$C$3:$C$841,MATCH(J725,'Both teabags AfterWet'!$A$3:$A$841,0)),"")="","",(IFERROR(INDEX('Both teabags AfterWet'!$C$3:$C$841,MATCH(J725,'Both teabags AfterWet'!$A$3:$A$841,0)),"")))</f>
        <v>1.6930000000000001</v>
      </c>
      <c r="P725" s="225">
        <f>IFERROR(IF(O725&gt;0,O725-(TBIcalc!$H$9),""),"")</f>
        <v>1.5424</v>
      </c>
      <c r="Q725" s="225">
        <f>IFERROR(INDEX('Ashed teabags wet'!$K$2:$K$821,MATCH(J725,'Ashed teabags wet'!$A$2:$A$821,0)),"")</f>
        <v>15.844027640671007</v>
      </c>
      <c r="R725" s="225">
        <f t="shared" si="63"/>
        <v>1.2980217176702904</v>
      </c>
      <c r="S725" s="226">
        <f>'WetLitterbags placem_collection'!E66</f>
        <v>42766</v>
      </c>
      <c r="T725" s="226">
        <f>IF('WetLitterbags placem_collection'!G66="","",'WetLitterbags placem_collection'!G66)</f>
        <v>42820</v>
      </c>
      <c r="U725" s="227">
        <f t="shared" si="59"/>
        <v>54</v>
      </c>
      <c r="V725" s="225">
        <f t="shared" si="61"/>
        <v>0.38480000000000003</v>
      </c>
      <c r="W725" s="225">
        <f t="shared" si="62"/>
        <v>0.58520603970848528</v>
      </c>
      <c r="X725">
        <f>IFERROR(INDEX(Rainfall_Wet!$O$2:$O$217,MATCH(B725, Rainfall_Wet!$A$2:$A$217,0)),"")</f>
        <v>214.262898705</v>
      </c>
      <c r="Y725" s="231">
        <v>25.96</v>
      </c>
      <c r="Z725" s="231">
        <v>6.9200000000000008</v>
      </c>
      <c r="AA725" s="231">
        <v>67.12</v>
      </c>
      <c r="AB725" s="232" t="s">
        <v>2670</v>
      </c>
      <c r="AC725" s="231">
        <v>1.7568260226712666</v>
      </c>
      <c r="AD725">
        <f>IF('WetLitterbags placem_collection'!AB66="","",'WetLitterbags placem_collection'!AB66)</f>
        <v>3</v>
      </c>
      <c r="AE725">
        <f>IF('WetLitterbags placem_collection'!Z66="","",'WetLitterbags placem_collection'!Z66)</f>
        <v>22.8</v>
      </c>
      <c r="AF725" s="246" t="str">
        <f>IF('WetLitterbags placem_collection'!AA66="","",'WetLitterbags placem_collection'!AA66)</f>
        <v>O</v>
      </c>
      <c r="AG725">
        <f>IF('WetLitterbags placem_collection'!AC66="","",'WetLitterbags placem_collection'!AC66)</f>
        <v>1</v>
      </c>
      <c r="AH725">
        <f>AVERAGE('WetLitterbags placem_collection'!S66,'WetLitterbags placem_collection'!U66)</f>
        <v>34.6</v>
      </c>
      <c r="AI725">
        <f>AVERAGE('WetLitterbags placem_collection'!R66,'WetLitterbags placem_collection'!T66)</f>
        <v>22.7</v>
      </c>
      <c r="AJ725">
        <f>INDEX(Coordinates!$B$2:$B$197,MATCH(G725,Coordinates!$J$2:$J$197,0))</f>
        <v>-3.4063409920000001</v>
      </c>
      <c r="AK725">
        <f>INDEX(Coordinates!$C$2:$C$197,MATCH(G725,Coordinates!$J$2:$J$197,0))</f>
        <v>34.85126004</v>
      </c>
      <c r="AL725" t="str">
        <f>IF(ISNUMBER(SEARCH("C", 'WetLitterbags placem_collection'!Y66)),"YES","NO")</f>
        <v>NO</v>
      </c>
      <c r="AM725" t="str">
        <f>IF(ISNUMBER(SEARCH("H", 'WetLitterbags placem_collection'!Y66)),"YES","NO")</f>
        <v>NO</v>
      </c>
      <c r="AN725" t="str">
        <f>IF(ISNUMBER(SEARCH("R", 'WetLitterbags placem_collection'!Y66)),"YES","NO")</f>
        <v>NO</v>
      </c>
    </row>
    <row r="726" spans="1:40" ht="15" customHeight="1">
      <c r="A726" s="258" t="s">
        <v>2460</v>
      </c>
      <c r="B726" s="263">
        <f>'Dry_Litterbag Placem_Collection'!A67</f>
        <v>65</v>
      </c>
      <c r="C726" s="263" t="str">
        <f>'Dry_Litterbag Placem_Collection'!B67</f>
        <v>Maswa</v>
      </c>
      <c r="D726" s="263" t="s">
        <v>2659</v>
      </c>
      <c r="E726" s="263" t="s">
        <v>2661</v>
      </c>
      <c r="F726" s="263">
        <v>1</v>
      </c>
      <c r="G726" s="264" t="str">
        <f>'Dry_Litterbag Placem_Collection'!C67</f>
        <v>Dry_W1_T1</v>
      </c>
      <c r="H726" s="273" t="s">
        <v>3651</v>
      </c>
      <c r="I726" s="274" t="s">
        <v>298</v>
      </c>
      <c r="J726" s="223" t="str">
        <f>'WetLitterbags placem_collection'!Q67</f>
        <v>R333</v>
      </c>
      <c r="K726" s="225">
        <f>IFERROR(INDEX('Green_rooibos initial weight'!$C$5:$C$1749,MATCH(J726, 'Green_rooibos initial weight'!$A$5:$A$1749,0)),"")</f>
        <v>2.27</v>
      </c>
      <c r="L726" s="225">
        <f>IFERROR(K726-(TBIcalc!$H$9+TBIcalc!$H$10),"")</f>
        <v>2.0202</v>
      </c>
      <c r="M726" s="391">
        <f>AVERAGE(Ashed_controlls!$K$12:$K$14)</f>
        <v>2.2816647271287041</v>
      </c>
      <c r="N726" s="225">
        <f t="shared" si="60"/>
        <v>1.9741058091825459</v>
      </c>
      <c r="O726" s="225">
        <f>IF(IFERROR(INDEX('Both teabags AfterWet'!$C$3:$C$841,MATCH(J726,'Both teabags AfterWet'!$A$3:$A$841,0)),"")="","",(IFERROR(INDEX('Both teabags AfterWet'!$C$3:$C$841,MATCH(J726,'Both teabags AfterWet'!$A$3:$A$841,0)),"")))</f>
        <v>1.6319999999999999</v>
      </c>
      <c r="P726" s="225">
        <f>IFERROR(IF(O726&gt;0,O726-(TBIcalc!$H$9),""),"")</f>
        <v>1.4813999999999998</v>
      </c>
      <c r="Q726" s="225">
        <f>IFERROR(INDEX('Ashed teabags wet'!$K$2:$K$821,MATCH(J726,'Ashed teabags wet'!$A$2:$A$821,0)),"")</f>
        <v>3.9440838741890998</v>
      </c>
      <c r="R726" s="225">
        <f t="shared" si="63"/>
        <v>1.4229723414877624</v>
      </c>
      <c r="S726" s="226">
        <f>'WetLitterbags placem_collection'!E67</f>
        <v>42767</v>
      </c>
      <c r="T726" s="226">
        <f>IF('WetLitterbags placem_collection'!G67="","",'WetLitterbags placem_collection'!G67)</f>
        <v>42818</v>
      </c>
      <c r="U726" s="227">
        <f t="shared" si="59"/>
        <v>51</v>
      </c>
      <c r="V726" s="225">
        <f t="shared" si="61"/>
        <v>0.53880000000000017</v>
      </c>
      <c r="W726" s="225">
        <f t="shared" si="62"/>
        <v>0.55113346769478344</v>
      </c>
      <c r="X726">
        <f>IFERROR(INDEX(Rainfall_Wet!$O$2:$O$217,MATCH(B726, Rainfall_Wet!$A$2:$A$217,0)),"")</f>
        <v>185.630065823</v>
      </c>
      <c r="Y726" s="231">
        <v>47.96</v>
      </c>
      <c r="Z726" s="231">
        <v>22.919999999999995</v>
      </c>
      <c r="AA726" s="231">
        <v>29.120000000000012</v>
      </c>
      <c r="AB726" s="232" t="s">
        <v>2673</v>
      </c>
      <c r="AC726" s="231">
        <v>2.8831936914736325</v>
      </c>
      <c r="AD726">
        <f>IF('WetLitterbags placem_collection'!AB67="","",'WetLitterbags placem_collection'!AB67)</f>
        <v>13.8</v>
      </c>
      <c r="AE726">
        <f>IF('WetLitterbags placem_collection'!Z67="","",'WetLitterbags placem_collection'!Z67)</f>
        <v>13.8</v>
      </c>
      <c r="AF726" s="246" t="str">
        <f>IF('WetLitterbags placem_collection'!AA67="","",'WetLitterbags placem_collection'!AA67)</f>
        <v>O</v>
      </c>
      <c r="AG726">
        <f>IF('WetLitterbags placem_collection'!AC67="","",'WetLitterbags placem_collection'!AC67)</f>
        <v>1</v>
      </c>
      <c r="AH726">
        <f>AVERAGE('WetLitterbags placem_collection'!S67,'WetLitterbags placem_collection'!U67)</f>
        <v>32.299999999999997</v>
      </c>
      <c r="AI726">
        <f>AVERAGE('WetLitterbags placem_collection'!R67,'WetLitterbags placem_collection'!T67)</f>
        <v>22.75</v>
      </c>
      <c r="AJ726">
        <f>INDEX(Coordinates!$B$2:$B$197,MATCH(G726,Coordinates!$J$2:$J$197,0))</f>
        <v>-3.2993960379999998</v>
      </c>
      <c r="AK726">
        <f>INDEX(Coordinates!$C$2:$C$197,MATCH(G726,Coordinates!$J$2:$J$197,0))</f>
        <v>34.848240959999998</v>
      </c>
      <c r="AL726" t="str">
        <f>IF(ISNUMBER(SEARCH("C", 'WetLitterbags placem_collection'!Y67)),"YES","NO")</f>
        <v>NO</v>
      </c>
      <c r="AM726" t="str">
        <f>IF(ISNUMBER(SEARCH("H", 'WetLitterbags placem_collection'!Y67)),"YES","NO")</f>
        <v>NO</v>
      </c>
      <c r="AN726" t="str">
        <f>IF(ISNUMBER(SEARCH("R", 'WetLitterbags placem_collection'!Y67)),"YES","NO")</f>
        <v>YES</v>
      </c>
    </row>
    <row r="727" spans="1:40" ht="15" customHeight="1">
      <c r="A727" s="258" t="s">
        <v>2460</v>
      </c>
      <c r="B727" s="263">
        <f>'Dry_Litterbag Placem_Collection'!A68</f>
        <v>66</v>
      </c>
      <c r="C727" s="263" t="str">
        <f>'Dry_Litterbag Placem_Collection'!B68</f>
        <v>Maswa</v>
      </c>
      <c r="D727" s="263" t="s">
        <v>2659</v>
      </c>
      <c r="E727" s="263" t="s">
        <v>2661</v>
      </c>
      <c r="F727" s="263">
        <v>1</v>
      </c>
      <c r="G727" s="264" t="str">
        <f>'Dry_Litterbag Placem_Collection'!C68</f>
        <v>Dry_W1_T2</v>
      </c>
      <c r="H727" s="273" t="s">
        <v>3651</v>
      </c>
      <c r="I727" s="274" t="s">
        <v>298</v>
      </c>
      <c r="J727" s="223" t="str">
        <f>'WetLitterbags placem_collection'!Q68</f>
        <v>R252</v>
      </c>
      <c r="K727" s="225">
        <f>IFERROR(INDEX('Green_rooibos initial weight'!$C$5:$C$1749,MATCH(J727, 'Green_rooibos initial weight'!$A$5:$A$1749,0)),"")</f>
        <v>2.2069999999999999</v>
      </c>
      <c r="L727" s="225">
        <f>IFERROR(K727-(TBIcalc!$H$9+TBIcalc!$H$10),"")</f>
        <v>1.9571999999999998</v>
      </c>
      <c r="M727" s="391">
        <f>AVERAGE(Ashed_controlls!$K$12:$K$14)</f>
        <v>2.2816647271287041</v>
      </c>
      <c r="N727" s="225">
        <f t="shared" si="60"/>
        <v>1.9125432579606367</v>
      </c>
      <c r="O727" s="225">
        <f>IF(IFERROR(INDEX('Both teabags AfterWet'!$C$3:$C$841,MATCH(J727,'Both teabags AfterWet'!$A$3:$A$841,0)),"")="","",(IFERROR(INDEX('Both teabags AfterWet'!$C$3:$C$841,MATCH(J727,'Both teabags AfterWet'!$A$3:$A$841,0)),"")))</f>
        <v>1.6584000000000001</v>
      </c>
      <c r="P727" s="225">
        <f>IFERROR(IF(O727&gt;0,O727-(TBIcalc!$H$9),""),"")</f>
        <v>1.5078</v>
      </c>
      <c r="Q727" s="225" t="str">
        <f>IFERROR(INDEX('Ashed teabags wet'!$K$2:$K$821,MATCH(J727,'Ashed teabags wet'!$A$2:$A$821,0)),"")</f>
        <v/>
      </c>
      <c r="R727" s="225" t="str">
        <f t="shared" si="63"/>
        <v/>
      </c>
      <c r="S727" s="226">
        <f>'WetLitterbags placem_collection'!E68</f>
        <v>42767</v>
      </c>
      <c r="T727" s="226">
        <f>IF('WetLitterbags placem_collection'!G68="","",'WetLitterbags placem_collection'!G68)</f>
        <v>42818</v>
      </c>
      <c r="U727" s="227">
        <f t="shared" ref="U727:U790" si="64">IFERROR(T727-S727,"")</f>
        <v>51</v>
      </c>
      <c r="V727" s="225">
        <f t="shared" si="61"/>
        <v>0.4493999999999998</v>
      </c>
      <c r="W727" s="225" t="str">
        <f t="shared" si="62"/>
        <v/>
      </c>
      <c r="X727">
        <f>IFERROR(INDEX(Rainfall_Wet!$O$2:$O$217,MATCH(B727, Rainfall_Wet!$A$2:$A$217,0)),"")</f>
        <v>185.630065823</v>
      </c>
      <c r="Y727" s="231">
        <v>47.96</v>
      </c>
      <c r="Z727" s="231">
        <v>22.919999999999995</v>
      </c>
      <c r="AA727" s="231">
        <v>29.120000000000012</v>
      </c>
      <c r="AB727" s="232" t="s">
        <v>2673</v>
      </c>
      <c r="AC727" s="231">
        <v>3.8831936914736298</v>
      </c>
      <c r="AD727">
        <f>IF('WetLitterbags placem_collection'!AB68="","",'WetLitterbags placem_collection'!AB68)</f>
        <v>8</v>
      </c>
      <c r="AE727">
        <f>IF('WetLitterbags placem_collection'!Z68="","",'WetLitterbags placem_collection'!Z68)</f>
        <v>19.8</v>
      </c>
      <c r="AF727" s="246" t="str">
        <f>IF('WetLitterbags placem_collection'!AA68="","",'WetLitterbags placem_collection'!AA68)</f>
        <v>O</v>
      </c>
      <c r="AG727">
        <f>IF('WetLitterbags placem_collection'!AC68="","",'WetLitterbags placem_collection'!AC68)</f>
        <v>1</v>
      </c>
      <c r="AH727">
        <f>AVERAGE('WetLitterbags placem_collection'!S68,'WetLitterbags placem_collection'!U68)</f>
        <v>30.6</v>
      </c>
      <c r="AI727">
        <f>AVERAGE('WetLitterbags placem_collection'!R68,'WetLitterbags placem_collection'!T68)</f>
        <v>21.95</v>
      </c>
      <c r="AJ727">
        <f>INDEX(Coordinates!$B$2:$B$197,MATCH(G727,Coordinates!$J$2:$J$197,0))</f>
        <v>-3.2993090340000002</v>
      </c>
      <c r="AK727">
        <f>INDEX(Coordinates!$C$2:$C$197,MATCH(G727,Coordinates!$J$2:$J$197,0))</f>
        <v>34.848404989999999</v>
      </c>
      <c r="AL727" t="str">
        <f>IF(ISNUMBER(SEARCH("C", 'WetLitterbags placem_collection'!Y68)),"YES","NO")</f>
        <v>NO</v>
      </c>
      <c r="AM727" t="str">
        <f>IF(ISNUMBER(SEARCH("H", 'WetLitterbags placem_collection'!Y68)),"YES","NO")</f>
        <v>NO</v>
      </c>
      <c r="AN727" t="str">
        <f>IF(ISNUMBER(SEARCH("R", 'WetLitterbags placem_collection'!Y68)),"YES","NO")</f>
        <v>NO</v>
      </c>
    </row>
    <row r="728" spans="1:40" ht="15" customHeight="1">
      <c r="A728" s="258" t="s">
        <v>2460</v>
      </c>
      <c r="B728" s="263">
        <f>'Dry_Litterbag Placem_Collection'!A69</f>
        <v>67</v>
      </c>
      <c r="C728" s="263" t="str">
        <f>'Dry_Litterbag Placem_Collection'!B69</f>
        <v>Maswa</v>
      </c>
      <c r="D728" s="263" t="s">
        <v>2659</v>
      </c>
      <c r="E728" s="263" t="s">
        <v>2661</v>
      </c>
      <c r="F728" s="263">
        <v>1</v>
      </c>
      <c r="G728" s="264" t="str">
        <f>'Dry_Litterbag Placem_Collection'!C69</f>
        <v>Dry_W1_T3</v>
      </c>
      <c r="H728" s="273" t="s">
        <v>3651</v>
      </c>
      <c r="I728" s="274" t="s">
        <v>298</v>
      </c>
      <c r="J728" s="223" t="str">
        <f>'WetLitterbags placem_collection'!Q69</f>
        <v>R44</v>
      </c>
      <c r="K728" s="225">
        <f>IFERROR(INDEX('Green_rooibos initial weight'!$C$5:$C$1749,MATCH(J728, 'Green_rooibos initial weight'!$A$5:$A$1749,0)),"")</f>
        <v>2.2480000000000002</v>
      </c>
      <c r="L728" s="225">
        <f>IFERROR(K728-(TBIcalc!$H$9+TBIcalc!$H$10),"")</f>
        <v>1.9982000000000002</v>
      </c>
      <c r="M728" s="391">
        <f>AVERAGE(Ashed_controlls!$K$12:$K$14)</f>
        <v>2.2816647271287041</v>
      </c>
      <c r="N728" s="225">
        <f t="shared" si="60"/>
        <v>1.9526077754225144</v>
      </c>
      <c r="O728" s="225">
        <f>IF(IFERROR(INDEX('Both teabags AfterWet'!$C$3:$C$841,MATCH(J728,'Both teabags AfterWet'!$A$3:$A$841,0)),"")="","",(IFERROR(INDEX('Both teabags AfterWet'!$C$3:$C$841,MATCH(J728,'Both teabags AfterWet'!$A$3:$A$841,0)),"")))</f>
        <v>1.5427999999999999</v>
      </c>
      <c r="P728" s="225">
        <f>IFERROR(IF(O728&gt;0,O728-(TBIcalc!$H$9),""),"")</f>
        <v>1.3921999999999999</v>
      </c>
      <c r="Q728" s="225">
        <f>IFERROR(INDEX('Ashed teabags wet'!$K$2:$K$821,MATCH(J728,'Ashed teabags wet'!$A$2:$A$821,0)),"")</f>
        <v>3.2098765432091394</v>
      </c>
      <c r="R728" s="225">
        <f t="shared" si="63"/>
        <v>1.3475120987654423</v>
      </c>
      <c r="S728" s="226">
        <f>'WetLitterbags placem_collection'!E69</f>
        <v>42767</v>
      </c>
      <c r="T728" s="226">
        <f>IF('WetLitterbags placem_collection'!G69="","",'WetLitterbags placem_collection'!G69)</f>
        <v>42818</v>
      </c>
      <c r="U728" s="227">
        <f t="shared" si="64"/>
        <v>51</v>
      </c>
      <c r="V728" s="225">
        <f t="shared" si="61"/>
        <v>0.60600000000000032</v>
      </c>
      <c r="W728" s="225">
        <f t="shared" si="62"/>
        <v>0.60509567665707209</v>
      </c>
      <c r="X728">
        <f>IFERROR(INDEX(Rainfall_Wet!$O$2:$O$217,MATCH(B728, Rainfall_Wet!$A$2:$A$217,0)),"")</f>
        <v>185.630065823</v>
      </c>
      <c r="Y728" s="231">
        <v>47.96</v>
      </c>
      <c r="Z728" s="231">
        <v>22.919999999999995</v>
      </c>
      <c r="AA728" s="231">
        <v>29.120000000000012</v>
      </c>
      <c r="AB728" s="232" t="s">
        <v>2673</v>
      </c>
      <c r="AC728" s="231">
        <v>4.8831936914736298</v>
      </c>
      <c r="AD728">
        <f>IF('WetLitterbags placem_collection'!AB69="","",'WetLitterbags placem_collection'!AB69)</f>
        <v>5.5</v>
      </c>
      <c r="AE728">
        <f>IF('WetLitterbags placem_collection'!Z69="","",'WetLitterbags placem_collection'!Z69)</f>
        <v>5.5</v>
      </c>
      <c r="AF728" s="246" t="str">
        <f>IF('WetLitterbags placem_collection'!AA69="","",'WetLitterbags placem_collection'!AA69)</f>
        <v>O</v>
      </c>
      <c r="AG728">
        <f>IF('WetLitterbags placem_collection'!AC69="","",'WetLitterbags placem_collection'!AC69)</f>
        <v>1</v>
      </c>
      <c r="AH728">
        <f>AVERAGE('WetLitterbags placem_collection'!S69,'WetLitterbags placem_collection'!U69)</f>
        <v>29.9</v>
      </c>
      <c r="AI728">
        <f>AVERAGE('WetLitterbags placem_collection'!R69,'WetLitterbags placem_collection'!T69)</f>
        <v>20.7</v>
      </c>
      <c r="AJ728">
        <f>INDEX(Coordinates!$B$2:$B$197,MATCH(G728,Coordinates!$J$2:$J$197,0))</f>
        <v>-3.299434008</v>
      </c>
      <c r="AK728">
        <f>INDEX(Coordinates!$C$2:$C$197,MATCH(G728,Coordinates!$J$2:$J$197,0))</f>
        <v>34.848514960000003</v>
      </c>
      <c r="AL728" t="str">
        <f>IF(ISNUMBER(SEARCH("C", 'WetLitterbags placem_collection'!Y69)),"YES","NO")</f>
        <v>NO</v>
      </c>
      <c r="AM728" t="str">
        <f>IF(ISNUMBER(SEARCH("H", 'WetLitterbags placem_collection'!Y69)),"YES","NO")</f>
        <v>NO</v>
      </c>
      <c r="AN728" t="str">
        <f>IF(ISNUMBER(SEARCH("R", 'WetLitterbags placem_collection'!Y69)),"YES","NO")</f>
        <v>NO</v>
      </c>
    </row>
    <row r="729" spans="1:40" ht="15" customHeight="1">
      <c r="A729" s="258" t="s">
        <v>2460</v>
      </c>
      <c r="B729" s="263">
        <f>'Dry_Litterbag Placem_Collection'!A70</f>
        <v>68</v>
      </c>
      <c r="C729" s="263" t="str">
        <f>'Dry_Litterbag Placem_Collection'!B70</f>
        <v>Maswa</v>
      </c>
      <c r="D729" s="263" t="s">
        <v>2659</v>
      </c>
      <c r="E729" s="263" t="s">
        <v>2661</v>
      </c>
      <c r="F729" s="263">
        <v>1</v>
      </c>
      <c r="G729" s="264" t="str">
        <f>'Dry_Litterbag Placem_Collection'!C70</f>
        <v>Dry_W1_T4</v>
      </c>
      <c r="H729" s="273" t="s">
        <v>3651</v>
      </c>
      <c r="I729" s="274" t="s">
        <v>298</v>
      </c>
      <c r="J729" s="223" t="str">
        <f>'WetLitterbags placem_collection'!Q70</f>
        <v>R9</v>
      </c>
      <c r="K729" s="225">
        <f>IFERROR(INDEX('Green_rooibos initial weight'!$C$5:$C$1749,MATCH(J729, 'Green_rooibos initial weight'!$A$5:$A$1749,0)),"")</f>
        <v>2.2679999999999998</v>
      </c>
      <c r="L729" s="225">
        <f>IFERROR(K729-(TBIcalc!$H$9+TBIcalc!$H$10),"")</f>
        <v>2.0181999999999998</v>
      </c>
      <c r="M729" s="391">
        <f>AVERAGE(Ashed_controlls!$K$12:$K$14)</f>
        <v>2.2816647271287041</v>
      </c>
      <c r="N729" s="225">
        <f t="shared" si="60"/>
        <v>1.9721514424770883</v>
      </c>
      <c r="O729" s="225">
        <f>IF(IFERROR(INDEX('Both teabags AfterWet'!$C$3:$C$841,MATCH(J729,'Both teabags AfterWet'!$A$3:$A$841,0)),"")="","",(IFERROR(INDEX('Both teabags AfterWet'!$C$3:$C$841,MATCH(J729,'Both teabags AfterWet'!$A$3:$A$841,0)),"")))</f>
        <v>1.7050000000000001</v>
      </c>
      <c r="P729" s="225">
        <f>IFERROR(IF(O729&gt;0,O729-(TBIcalc!$H$9),""),"")</f>
        <v>1.5544</v>
      </c>
      <c r="Q729" s="225">
        <f>IFERROR(INDEX('Ashed teabags wet'!$K$2:$K$821,MATCH(J729,'Ashed teabags wet'!$A$2:$A$821,0)),"")</f>
        <v>6.1938061938065374</v>
      </c>
      <c r="R729" s="225">
        <f t="shared" si="63"/>
        <v>1.4581234765234712</v>
      </c>
      <c r="S729" s="226">
        <f>'WetLitterbags placem_collection'!E70</f>
        <v>42767</v>
      </c>
      <c r="T729" s="226">
        <f>IF('WetLitterbags placem_collection'!G70="","",'WetLitterbags placem_collection'!G70)</f>
        <v>42818</v>
      </c>
      <c r="U729" s="227">
        <f t="shared" si="64"/>
        <v>51</v>
      </c>
      <c r="V729" s="225">
        <f t="shared" si="61"/>
        <v>0.46379999999999977</v>
      </c>
      <c r="W729" s="225">
        <f t="shared" si="62"/>
        <v>0.51402796595361711</v>
      </c>
      <c r="X729">
        <f>IFERROR(INDEX(Rainfall_Wet!$O$2:$O$217,MATCH(B729, Rainfall_Wet!$A$2:$A$217,0)),"")</f>
        <v>185.630065823</v>
      </c>
      <c r="Y729" s="231">
        <v>47.96</v>
      </c>
      <c r="Z729" s="231">
        <v>22.919999999999995</v>
      </c>
      <c r="AA729" s="231">
        <v>29.120000000000012</v>
      </c>
      <c r="AB729" s="232" t="s">
        <v>2673</v>
      </c>
      <c r="AC729" s="231">
        <v>5.8831936914736298</v>
      </c>
      <c r="AD729">
        <f>IF('WetLitterbags placem_collection'!AB70="","",'WetLitterbags placem_collection'!AB70)</f>
        <v>9.6999999999999993</v>
      </c>
      <c r="AE729">
        <f>IF('WetLitterbags placem_collection'!Z70="","",'WetLitterbags placem_collection'!Z70)</f>
        <v>23.4</v>
      </c>
      <c r="AF729" s="246" t="str">
        <f>IF('WetLitterbags placem_collection'!AA70="","",'WetLitterbags placem_collection'!AA70)</f>
        <v>O</v>
      </c>
      <c r="AG729">
        <f>IF('WetLitterbags placem_collection'!AC70="","",'WetLitterbags placem_collection'!AC70)</f>
        <v>1</v>
      </c>
      <c r="AH729">
        <f>AVERAGE('WetLitterbags placem_collection'!S70,'WetLitterbags placem_collection'!U70)</f>
        <v>29.85</v>
      </c>
      <c r="AI729">
        <f>AVERAGE('WetLitterbags placem_collection'!R70,'WetLitterbags placem_collection'!T70)</f>
        <v>21.2</v>
      </c>
      <c r="AJ729">
        <f>INDEX(Coordinates!$B$2:$B$197,MATCH(G729,Coordinates!$J$2:$J$197,0))</f>
        <v>-3.2991180099999999</v>
      </c>
      <c r="AK729">
        <f>INDEX(Coordinates!$C$2:$C$197,MATCH(G729,Coordinates!$J$2:$J$197,0))</f>
        <v>34.84824699</v>
      </c>
      <c r="AL729" t="str">
        <f>IF(ISNUMBER(SEARCH("C", 'WetLitterbags placem_collection'!Y70)),"YES","NO")</f>
        <v>NO</v>
      </c>
      <c r="AM729" t="str">
        <f>IF(ISNUMBER(SEARCH("H", 'WetLitterbags placem_collection'!Y70)),"YES","NO")</f>
        <v>NO</v>
      </c>
      <c r="AN729" t="str">
        <f>IF(ISNUMBER(SEARCH("R", 'WetLitterbags placem_collection'!Y70)),"YES","NO")</f>
        <v>NO</v>
      </c>
    </row>
    <row r="730" spans="1:40" ht="15" customHeight="1">
      <c r="A730" s="258" t="s">
        <v>2460</v>
      </c>
      <c r="B730" s="263">
        <f>'Dry_Litterbag Placem_Collection'!A71</f>
        <v>69</v>
      </c>
      <c r="C730" s="263" t="str">
        <f>'Dry_Litterbag Placem_Collection'!B71</f>
        <v>Maswa</v>
      </c>
      <c r="D730" s="263" t="s">
        <v>2659</v>
      </c>
      <c r="E730" s="263" t="s">
        <v>2661</v>
      </c>
      <c r="F730" s="263">
        <v>1</v>
      </c>
      <c r="G730" s="264" t="str">
        <f>'Dry_Litterbag Placem_Collection'!C71</f>
        <v>Dry_W1_T5</v>
      </c>
      <c r="H730" s="273" t="s">
        <v>3651</v>
      </c>
      <c r="I730" s="274" t="s">
        <v>298</v>
      </c>
      <c r="J730" s="223" t="str">
        <f>'WetLitterbags placem_collection'!Q71</f>
        <v>R251</v>
      </c>
      <c r="K730" s="225">
        <f>IFERROR(INDEX('Green_rooibos initial weight'!$C$5:$C$1749,MATCH(J730, 'Green_rooibos initial weight'!$A$5:$A$1749,0)),"")</f>
        <v>2.266</v>
      </c>
      <c r="L730" s="225">
        <f>IFERROR(K730-(TBIcalc!$H$9+TBIcalc!$H$10),"")</f>
        <v>2.0162</v>
      </c>
      <c r="M730" s="391">
        <f>AVERAGE(Ashed_controlls!$K$12:$K$14)</f>
        <v>2.2816647271287041</v>
      </c>
      <c r="N730" s="225">
        <f t="shared" si="60"/>
        <v>1.9701970757716312</v>
      </c>
      <c r="O730" s="225">
        <f>IF(IFERROR(INDEX('Both teabags AfterWet'!$C$3:$C$841,MATCH(J730,'Both teabags AfterWet'!$A$3:$A$841,0)),"")="","",(IFERROR(INDEX('Both teabags AfterWet'!$C$3:$C$841,MATCH(J730,'Both teabags AfterWet'!$A$3:$A$841,0)),"")))</f>
        <v>1.8979999999999999</v>
      </c>
      <c r="P730" s="225">
        <f>IFERROR(IF(O730&gt;0,O730-(TBIcalc!$H$9),""),"")</f>
        <v>1.7473999999999998</v>
      </c>
      <c r="Q730" s="225">
        <f>IFERROR(INDEX('Ashed teabags wet'!$K$2:$K$821,MATCH(J730,'Ashed teabags wet'!$A$2:$A$821,0)),"")</f>
        <v>14.026483570377628</v>
      </c>
      <c r="R730" s="225">
        <f t="shared" si="63"/>
        <v>1.5023012260912212</v>
      </c>
      <c r="S730" s="226">
        <f>'WetLitterbags placem_collection'!E71</f>
        <v>42767</v>
      </c>
      <c r="T730" s="226">
        <f>IF('WetLitterbags placem_collection'!G71="","",'WetLitterbags placem_collection'!G71)</f>
        <v>42818</v>
      </c>
      <c r="U730" s="227">
        <f t="shared" si="64"/>
        <v>51</v>
      </c>
      <c r="V730" s="225">
        <f t="shared" si="61"/>
        <v>0.26880000000000015</v>
      </c>
      <c r="W730" s="225">
        <f t="shared" si="62"/>
        <v>0.46789584968040998</v>
      </c>
      <c r="X730">
        <f>IFERROR(INDEX(Rainfall_Wet!$O$2:$O$217,MATCH(B730, Rainfall_Wet!$A$2:$A$217,0)),"")</f>
        <v>185.630065823</v>
      </c>
      <c r="Y730" s="231">
        <v>47.96</v>
      </c>
      <c r="Z730" s="231">
        <v>22.919999999999995</v>
      </c>
      <c r="AA730" s="231">
        <v>29.120000000000012</v>
      </c>
      <c r="AB730" s="232" t="s">
        <v>2673</v>
      </c>
      <c r="AC730" s="231">
        <v>6.8831936914736298</v>
      </c>
      <c r="AD730">
        <f>IF('WetLitterbags placem_collection'!AB71="","",'WetLitterbags placem_collection'!AB71)</f>
        <v>14.4</v>
      </c>
      <c r="AE730">
        <f>IF('WetLitterbags placem_collection'!Z71="","",'WetLitterbags placem_collection'!Z71)</f>
        <v>24.4</v>
      </c>
      <c r="AF730" s="246" t="str">
        <f>IF('WetLitterbags placem_collection'!AA71="","",'WetLitterbags placem_collection'!AA71)</f>
        <v>O</v>
      </c>
      <c r="AG730">
        <f>IF('WetLitterbags placem_collection'!AC71="","",'WetLitterbags placem_collection'!AC71)</f>
        <v>1</v>
      </c>
      <c r="AH730">
        <f>AVERAGE('WetLitterbags placem_collection'!S71,'WetLitterbags placem_collection'!U71)</f>
        <v>31.25</v>
      </c>
      <c r="AI730">
        <f>AVERAGE('WetLitterbags placem_collection'!R71,'WetLitterbags placem_collection'!T71)</f>
        <v>23.450000000000003</v>
      </c>
      <c r="AJ730">
        <f>INDEX(Coordinates!$B$2:$B$197,MATCH(G730,Coordinates!$J$2:$J$197,0))</f>
        <v>-3.2993180030000002</v>
      </c>
      <c r="AK730">
        <f>INDEX(Coordinates!$C$2:$C$197,MATCH(G730,Coordinates!$J$2:$J$197,0))</f>
        <v>34.848235010000003</v>
      </c>
      <c r="AL730" t="str">
        <f>IF(ISNUMBER(SEARCH("C", 'WetLitterbags placem_collection'!Y71)),"YES","NO")</f>
        <v>NO</v>
      </c>
      <c r="AM730" t="str">
        <f>IF(ISNUMBER(SEARCH("H", 'WetLitterbags placem_collection'!Y71)),"YES","NO")</f>
        <v>NO</v>
      </c>
      <c r="AN730" t="str">
        <f>IF(ISNUMBER(SEARCH("R", 'WetLitterbags placem_collection'!Y71)),"YES","NO")</f>
        <v>YES</v>
      </c>
    </row>
    <row r="731" spans="1:40" ht="15" customHeight="1">
      <c r="A731" s="258" t="s">
        <v>2460</v>
      </c>
      <c r="B731" s="263">
        <f>'Dry_Litterbag Placem_Collection'!A72</f>
        <v>70</v>
      </c>
      <c r="C731" s="263" t="str">
        <f>'Dry_Litterbag Placem_Collection'!B72</f>
        <v>Maswa</v>
      </c>
      <c r="D731" s="263" t="s">
        <v>2659</v>
      </c>
      <c r="E731" s="263" t="s">
        <v>2661</v>
      </c>
      <c r="F731" s="263">
        <v>1</v>
      </c>
      <c r="G731" s="264" t="str">
        <f>'Dry_Litterbag Placem_Collection'!C72</f>
        <v>Dry_W1_T6</v>
      </c>
      <c r="H731" s="273" t="s">
        <v>3651</v>
      </c>
      <c r="I731" s="274" t="s">
        <v>298</v>
      </c>
      <c r="J731" s="223" t="str">
        <f>'WetLitterbags placem_collection'!Q72</f>
        <v>R266</v>
      </c>
      <c r="K731" s="225">
        <f>IFERROR(INDEX('Green_rooibos initial weight'!$C$5:$C$1749,MATCH(J731, 'Green_rooibos initial weight'!$A$5:$A$1749,0)),"")</f>
        <v>2.1720000000000002</v>
      </c>
      <c r="L731" s="225">
        <f>IFERROR(K731-(TBIcalc!$H$9+TBIcalc!$H$10),"")</f>
        <v>1.9222000000000001</v>
      </c>
      <c r="M731" s="391">
        <f>AVERAGE(Ashed_controlls!$K$12:$K$14)</f>
        <v>2.2816647271287041</v>
      </c>
      <c r="N731" s="225">
        <f t="shared" si="60"/>
        <v>1.8783418406151322</v>
      </c>
      <c r="O731" s="225">
        <f>IF(IFERROR(INDEX('Both teabags AfterWet'!$C$3:$C$841,MATCH(J731,'Both teabags AfterWet'!$A$3:$A$841,0)),"")="","",(IFERROR(INDEX('Both teabags AfterWet'!$C$3:$C$841,MATCH(J731,'Both teabags AfterWet'!$A$3:$A$841,0)),"")))</f>
        <v>1.599</v>
      </c>
      <c r="P731" s="225">
        <f>IFERROR(IF(O731&gt;0,O731-(TBIcalc!$H$9),""),"")</f>
        <v>1.4483999999999999</v>
      </c>
      <c r="Q731" s="225">
        <f>IFERROR(INDEX('Ashed teabags wet'!$K$2:$K$821,MATCH(J731,'Ashed teabags wet'!$A$2:$A$821,0)),"")</f>
        <v>2.9397110114603966</v>
      </c>
      <c r="R731" s="225">
        <f t="shared" si="63"/>
        <v>1.4058212257100076</v>
      </c>
      <c r="S731" s="226">
        <f>'WetLitterbags placem_collection'!E72</f>
        <v>42767</v>
      </c>
      <c r="T731" s="226">
        <f>IF('WetLitterbags placem_collection'!G72="","",'WetLitterbags placem_collection'!G72)</f>
        <v>42818</v>
      </c>
      <c r="U731" s="227">
        <f t="shared" si="64"/>
        <v>51</v>
      </c>
      <c r="V731" s="225">
        <f t="shared" si="61"/>
        <v>0.47380000000000022</v>
      </c>
      <c r="W731" s="225">
        <f t="shared" si="62"/>
        <v>0.47252061490512465</v>
      </c>
      <c r="X731">
        <f>IFERROR(INDEX(Rainfall_Wet!$O$2:$O$217,MATCH(B731, Rainfall_Wet!$A$2:$A$217,0)),"")</f>
        <v>185.630065823</v>
      </c>
      <c r="Y731" s="231">
        <v>47.96</v>
      </c>
      <c r="Z731" s="231">
        <v>22.919999999999995</v>
      </c>
      <c r="AA731" s="231">
        <v>29.120000000000012</v>
      </c>
      <c r="AB731" s="232" t="s">
        <v>2673</v>
      </c>
      <c r="AC731" s="231">
        <v>7.8831936914736298</v>
      </c>
      <c r="AD731">
        <f>IF('WetLitterbags placem_collection'!AB72="","",'WetLitterbags placem_collection'!AB72)</f>
        <v>15</v>
      </c>
      <c r="AE731">
        <f>IF('WetLitterbags placem_collection'!Z72="","",'WetLitterbags placem_collection'!Z72)</f>
        <v>28</v>
      </c>
      <c r="AF731" s="246" t="str">
        <f>IF('WetLitterbags placem_collection'!AA72="","",'WetLitterbags placem_collection'!AA72)</f>
        <v>O</v>
      </c>
      <c r="AG731">
        <f>IF('WetLitterbags placem_collection'!AC72="","",'WetLitterbags placem_collection'!AC72)</f>
        <v>0</v>
      </c>
      <c r="AH731">
        <f>AVERAGE('WetLitterbags placem_collection'!S72,'WetLitterbags placem_collection'!U72)</f>
        <v>32.15</v>
      </c>
      <c r="AI731">
        <f>AVERAGE('WetLitterbags placem_collection'!R72,'WetLitterbags placem_collection'!T72)</f>
        <v>23.7</v>
      </c>
      <c r="AJ731">
        <f>INDEX(Coordinates!$B$2:$B$197,MATCH(G731,Coordinates!$J$2:$J$197,0))</f>
        <v>-3.299381034</v>
      </c>
      <c r="AK731">
        <f>INDEX(Coordinates!$C$2:$C$197,MATCH(G731,Coordinates!$J$2:$J$197,0))</f>
        <v>34.848312040000003</v>
      </c>
      <c r="AL731" t="str">
        <f>IF(ISNUMBER(SEARCH("C", 'WetLitterbags placem_collection'!Y72)),"YES","NO")</f>
        <v>NO</v>
      </c>
      <c r="AM731" t="str">
        <f>IF(ISNUMBER(SEARCH("H", 'WetLitterbags placem_collection'!Y72)),"YES","NO")</f>
        <v>NO</v>
      </c>
      <c r="AN731" t="str">
        <f>IF(ISNUMBER(SEARCH("R", 'WetLitterbags placem_collection'!Y72)),"YES","NO")</f>
        <v>YES</v>
      </c>
    </row>
    <row r="732" spans="1:40" ht="15" customHeight="1">
      <c r="A732" s="258" t="s">
        <v>2460</v>
      </c>
      <c r="B732" s="263">
        <f>'Dry_Litterbag Placem_Collection'!A73</f>
        <v>71</v>
      </c>
      <c r="C732" s="263" t="str">
        <f>'Dry_Litterbag Placem_Collection'!B73</f>
        <v>Maswa</v>
      </c>
      <c r="D732" s="263" t="s">
        <v>2659</v>
      </c>
      <c r="E732" s="263" t="s">
        <v>2661</v>
      </c>
      <c r="F732" s="263">
        <v>1</v>
      </c>
      <c r="G732" s="264" t="str">
        <f>'Dry_Litterbag Placem_Collection'!C73</f>
        <v>Dry_W1_T7</v>
      </c>
      <c r="H732" s="273" t="s">
        <v>3651</v>
      </c>
      <c r="I732" s="274" t="s">
        <v>298</v>
      </c>
      <c r="J732" s="223" t="str">
        <f>'WetLitterbags placem_collection'!Q73</f>
        <v>R528</v>
      </c>
      <c r="K732" s="225">
        <f>IFERROR(INDEX('Green_rooibos initial weight'!$C$5:$C$1749,MATCH(J732, 'Green_rooibos initial weight'!$A$5:$A$1749,0)),"")</f>
        <v>2.1019999999999999</v>
      </c>
      <c r="L732" s="225">
        <f>IFERROR(K732-(TBIcalc!$H$9+TBIcalc!$H$10),"")</f>
        <v>1.8521999999999998</v>
      </c>
      <c r="M732" s="391">
        <f>AVERAGE(Ashed_controlls!$K$12:$K$14)</f>
        <v>2.2816647271287041</v>
      </c>
      <c r="N732" s="225">
        <f t="shared" si="60"/>
        <v>1.809939005924122</v>
      </c>
      <c r="O732" s="225">
        <f>IF(IFERROR(INDEX('Both teabags AfterWet'!$C$3:$C$841,MATCH(J732,'Both teabags AfterWet'!$A$3:$A$841,0)),"")="","",(IFERROR(INDEX('Both teabags AfterWet'!$C$3:$C$841,MATCH(J732,'Both teabags AfterWet'!$A$3:$A$841,0)),"")))</f>
        <v>1.5779000000000001</v>
      </c>
      <c r="P732" s="225">
        <f>IFERROR(IF(O732&gt;0,O732-(TBIcalc!$H$9),""),"")</f>
        <v>1.4273</v>
      </c>
      <c r="Q732" s="225">
        <f>IFERROR(INDEX('Ashed teabags wet'!$K$2:$K$821,MATCH(J732,'Ashed teabags wet'!$A$2:$A$821,0)),"")</f>
        <v>2.689243027888772</v>
      </c>
      <c r="R732" s="225">
        <f t="shared" si="63"/>
        <v>1.3889164342629436</v>
      </c>
      <c r="S732" s="226">
        <f>'WetLitterbags placem_collection'!E73</f>
        <v>42767</v>
      </c>
      <c r="T732" s="226">
        <f>IF('WetLitterbags placem_collection'!G73="","",'WetLitterbags placem_collection'!G73)</f>
        <v>42818</v>
      </c>
      <c r="U732" s="227">
        <f t="shared" si="64"/>
        <v>51</v>
      </c>
      <c r="V732" s="225">
        <f t="shared" si="61"/>
        <v>0.42489999999999983</v>
      </c>
      <c r="W732" s="225">
        <f t="shared" si="62"/>
        <v>0.4210225716611784</v>
      </c>
      <c r="X732">
        <f>IFERROR(INDEX(Rainfall_Wet!$O$2:$O$217,MATCH(B732, Rainfall_Wet!$A$2:$A$217,0)),"")</f>
        <v>185.630065823</v>
      </c>
      <c r="Y732" s="231">
        <v>47.96</v>
      </c>
      <c r="Z732" s="231">
        <v>22.919999999999995</v>
      </c>
      <c r="AA732" s="231">
        <v>29.120000000000012</v>
      </c>
      <c r="AB732" s="232" t="s">
        <v>2673</v>
      </c>
      <c r="AC732" s="231">
        <v>8.8831936914736307</v>
      </c>
      <c r="AD732">
        <f>IF('WetLitterbags placem_collection'!AB73="","",'WetLitterbags placem_collection'!AB73)</f>
        <v>15.5</v>
      </c>
      <c r="AE732">
        <f>IF('WetLitterbags placem_collection'!Z73="","",'WetLitterbags placem_collection'!Z73)</f>
        <v>32</v>
      </c>
      <c r="AF732" s="246" t="str">
        <f>IF('WetLitterbags placem_collection'!AA73="","",'WetLitterbags placem_collection'!AA73)</f>
        <v>O</v>
      </c>
      <c r="AG732">
        <f>IF('WetLitterbags placem_collection'!AC73="","",'WetLitterbags placem_collection'!AC73)</f>
        <v>1</v>
      </c>
      <c r="AH732">
        <f>AVERAGE('WetLitterbags placem_collection'!S73,'WetLitterbags placem_collection'!U73)</f>
        <v>29.35</v>
      </c>
      <c r="AI732">
        <f>AVERAGE('WetLitterbags placem_collection'!R73,'WetLitterbags placem_collection'!T73)</f>
        <v>21.95</v>
      </c>
      <c r="AJ732">
        <f>INDEX(Coordinates!$B$2:$B$197,MATCH(G732,Coordinates!$J$2:$J$197,0))</f>
        <v>-3.2992429849999998</v>
      </c>
      <c r="AK732">
        <f>INDEX(Coordinates!$C$2:$C$197,MATCH(G732,Coordinates!$J$2:$J$197,0))</f>
        <v>34.847900989999999</v>
      </c>
      <c r="AL732" t="str">
        <f>IF(ISNUMBER(SEARCH("C", 'WetLitterbags placem_collection'!Y73)),"YES","NO")</f>
        <v>NO</v>
      </c>
      <c r="AM732" t="str">
        <f>IF(ISNUMBER(SEARCH("H", 'WetLitterbags placem_collection'!Y73)),"YES","NO")</f>
        <v>NO</v>
      </c>
      <c r="AN732" t="str">
        <f>IF(ISNUMBER(SEARCH("R", 'WetLitterbags placem_collection'!Y73)),"YES","NO")</f>
        <v>NO</v>
      </c>
    </row>
    <row r="733" spans="1:40" ht="15" customHeight="1">
      <c r="A733" s="258" t="s">
        <v>2460</v>
      </c>
      <c r="B733" s="263">
        <f>'Dry_Litterbag Placem_Collection'!A74</f>
        <v>72</v>
      </c>
      <c r="C733" s="263" t="str">
        <f>'Dry_Litterbag Placem_Collection'!B74</f>
        <v>Maswa</v>
      </c>
      <c r="D733" s="263" t="s">
        <v>2659</v>
      </c>
      <c r="E733" s="263" t="s">
        <v>2661</v>
      </c>
      <c r="F733" s="263">
        <v>1</v>
      </c>
      <c r="G733" s="264" t="str">
        <f>'Dry_Litterbag Placem_Collection'!C74</f>
        <v>Dry_W1_T8</v>
      </c>
      <c r="H733" s="273" t="s">
        <v>3651</v>
      </c>
      <c r="I733" s="274" t="s">
        <v>298</v>
      </c>
      <c r="J733" s="223" t="str">
        <f>'WetLitterbags placem_collection'!Q74</f>
        <v>R14</v>
      </c>
      <c r="K733" s="225">
        <f>IFERROR(INDEX('Green_rooibos initial weight'!$C$5:$C$1749,MATCH(J733, 'Green_rooibos initial weight'!$A$5:$A$1749,0)),"")</f>
        <v>2.181</v>
      </c>
      <c r="L733" s="225">
        <f>IFERROR(K733-(TBIcalc!$H$9+TBIcalc!$H$10),"")</f>
        <v>1.9312</v>
      </c>
      <c r="M733" s="391">
        <f>AVERAGE(Ashed_controlls!$K$12:$K$14)</f>
        <v>2.2816647271287041</v>
      </c>
      <c r="N733" s="225">
        <f t="shared" si="60"/>
        <v>1.8871364907896906</v>
      </c>
      <c r="O733" s="225">
        <f>IF(IFERROR(INDEX('Both teabags AfterWet'!$C$3:$C$841,MATCH(J733,'Both teabags AfterWet'!$A$3:$A$841,0)),"")="","",(IFERROR(INDEX('Both teabags AfterWet'!$C$3:$C$841,MATCH(J733,'Both teabags AfterWet'!$A$3:$A$841,0)),"")))</f>
        <v>1.5603</v>
      </c>
      <c r="P733" s="225">
        <f>IFERROR(IF(O733&gt;0,O733-(TBIcalc!$H$9),""),"")</f>
        <v>1.4097</v>
      </c>
      <c r="Q733" s="225">
        <f>IFERROR(INDEX('Ashed teabags wet'!$K$2:$K$821,MATCH(J733,'Ashed teabags wet'!$A$2:$A$821,0)),"")</f>
        <v>3.0571992110453157</v>
      </c>
      <c r="R733" s="225">
        <f t="shared" si="63"/>
        <v>1.3666026627218941</v>
      </c>
      <c r="S733" s="226">
        <f>'WetLitterbags placem_collection'!E74</f>
        <v>42767</v>
      </c>
      <c r="T733" s="226">
        <f>IF('WetLitterbags placem_collection'!G74="","",'WetLitterbags placem_collection'!G74)</f>
        <v>42818</v>
      </c>
      <c r="U733" s="227">
        <f t="shared" si="64"/>
        <v>51</v>
      </c>
      <c r="V733" s="225">
        <f t="shared" si="61"/>
        <v>0.52150000000000007</v>
      </c>
      <c r="W733" s="225">
        <f t="shared" si="62"/>
        <v>0.52053382806779647</v>
      </c>
      <c r="X733">
        <f>IFERROR(INDEX(Rainfall_Wet!$O$2:$O$217,MATCH(B733, Rainfall_Wet!$A$2:$A$217,0)),"")</f>
        <v>185.630065823</v>
      </c>
      <c r="Y733" s="231">
        <v>47.96</v>
      </c>
      <c r="Z733" s="231">
        <v>22.919999999999995</v>
      </c>
      <c r="AA733" s="231">
        <v>29.120000000000012</v>
      </c>
      <c r="AB733" s="232" t="s">
        <v>2673</v>
      </c>
      <c r="AC733" s="231">
        <v>9.8831936914736307</v>
      </c>
      <c r="AD733">
        <f>IF('WetLitterbags placem_collection'!AB74="","",'WetLitterbags placem_collection'!AB74)</f>
        <v>2.6</v>
      </c>
      <c r="AE733">
        <f>IF('WetLitterbags placem_collection'!Z74="","",'WetLitterbags placem_collection'!Z74)</f>
        <v>44</v>
      </c>
      <c r="AF733" s="246" t="str">
        <f>IF('WetLitterbags placem_collection'!AA74="","",'WetLitterbags placem_collection'!AA74)</f>
        <v>O</v>
      </c>
      <c r="AG733">
        <f>IF('WetLitterbags placem_collection'!AC74="","",'WetLitterbags placem_collection'!AC74)</f>
        <v>1</v>
      </c>
      <c r="AH733">
        <f>AVERAGE('WetLitterbags placem_collection'!S74,'WetLitterbags placem_collection'!U74)</f>
        <v>32</v>
      </c>
      <c r="AI733">
        <f>AVERAGE('WetLitterbags placem_collection'!R74,'WetLitterbags placem_collection'!T74)</f>
        <v>21.9</v>
      </c>
      <c r="AJ733">
        <f>INDEX(Coordinates!$B$2:$B$197,MATCH(G733,Coordinates!$J$2:$J$197,0))</f>
        <v>-3.2996540329999999</v>
      </c>
      <c r="AK733">
        <f>INDEX(Coordinates!$C$2:$C$197,MATCH(G733,Coordinates!$J$2:$J$197,0))</f>
        <v>34.848151020000003</v>
      </c>
      <c r="AL733" t="str">
        <f>IF(ISNUMBER(SEARCH("C", 'WetLitterbags placem_collection'!Y74)),"YES","NO")</f>
        <v>NO</v>
      </c>
      <c r="AM733" t="str">
        <f>IF(ISNUMBER(SEARCH("H", 'WetLitterbags placem_collection'!Y74)),"YES","NO")</f>
        <v>NO</v>
      </c>
      <c r="AN733" t="str">
        <f>IF(ISNUMBER(SEARCH("R", 'WetLitterbags placem_collection'!Y74)),"YES","NO")</f>
        <v>NO</v>
      </c>
    </row>
    <row r="734" spans="1:40" ht="15" customHeight="1">
      <c r="A734" s="258" t="s">
        <v>2460</v>
      </c>
      <c r="B734" s="263">
        <f>'Dry_Litterbag Placem_Collection'!A75</f>
        <v>73</v>
      </c>
      <c r="C734" s="263" t="str">
        <f>'Dry_Litterbag Placem_Collection'!B75</f>
        <v>Maswa</v>
      </c>
      <c r="D734" s="263" t="s">
        <v>2659</v>
      </c>
      <c r="E734" s="263" t="s">
        <v>2661</v>
      </c>
      <c r="F734" s="263">
        <v>2</v>
      </c>
      <c r="G734" s="264" t="str">
        <f>'Dry_Litterbag Placem_Collection'!C75</f>
        <v>Dry_W2_T1</v>
      </c>
      <c r="H734" s="273" t="s">
        <v>3651</v>
      </c>
      <c r="I734" s="274" t="s">
        <v>298</v>
      </c>
      <c r="J734" s="223" t="str">
        <f>'WetLitterbags placem_collection'!Q75</f>
        <v>R393</v>
      </c>
      <c r="K734" s="225">
        <f>IFERROR(INDEX('Green_rooibos initial weight'!$C$5:$C$1749,MATCH(J734, 'Green_rooibos initial weight'!$A$5:$A$1749,0)),"")</f>
        <v>2.1829999999999998</v>
      </c>
      <c r="L734" s="225">
        <f>IFERROR(K734-(TBIcalc!$H$9+TBIcalc!$H$10),"")</f>
        <v>1.9331999999999998</v>
      </c>
      <c r="M734" s="391">
        <f>AVERAGE(Ashed_controlls!$K$12:$K$14)</f>
        <v>2.2816647271287041</v>
      </c>
      <c r="N734" s="225">
        <f t="shared" si="60"/>
        <v>1.8890908574951477</v>
      </c>
      <c r="O734" s="225">
        <f>IF(IFERROR(INDEX('Both teabags AfterWet'!$C$3:$C$841,MATCH(J734,'Both teabags AfterWet'!$A$3:$A$841,0)),"")="","",(IFERROR(INDEX('Both teabags AfterWet'!$C$3:$C$841,MATCH(J734,'Both teabags AfterWet'!$A$3:$A$841,0)),"")))</f>
        <v>1.6598999999999999</v>
      </c>
      <c r="P734" s="225">
        <f>IFERROR(IF(O734&gt;0,O734-(TBIcalc!$H$9),""),"")</f>
        <v>1.5092999999999999</v>
      </c>
      <c r="Q734" s="225">
        <f>IFERROR(INDEX('Ashed teabags wet'!$K$2:$K$821,MATCH(J734,'Ashed teabags wet'!$A$2:$A$821,0)),"")</f>
        <v>2.4769305488104898</v>
      </c>
      <c r="R734" s="225">
        <f t="shared" si="63"/>
        <v>1.4719156872268031</v>
      </c>
      <c r="S734" s="226">
        <f>'WetLitterbags placem_collection'!E75</f>
        <v>42767</v>
      </c>
      <c r="T734" s="226">
        <f>IF('WetLitterbags placem_collection'!G75="","",'WetLitterbags placem_collection'!G75)</f>
        <v>42818</v>
      </c>
      <c r="U734" s="227">
        <f t="shared" si="64"/>
        <v>51</v>
      </c>
      <c r="V734" s="225">
        <f t="shared" si="61"/>
        <v>0.42389999999999994</v>
      </c>
      <c r="W734" s="225">
        <f t="shared" si="62"/>
        <v>0.41717517026834461</v>
      </c>
      <c r="X734">
        <f>IFERROR(INDEX(Rainfall_Wet!$O$2:$O$217,MATCH(B734, Rainfall_Wet!$A$2:$A$217,0)),"")</f>
        <v>185.630065823</v>
      </c>
      <c r="Y734" s="231">
        <v>45.272914521112256</v>
      </c>
      <c r="Z734" s="231">
        <v>23.604531410916575</v>
      </c>
      <c r="AA734" s="231">
        <v>31.122554067971166</v>
      </c>
      <c r="AB734" s="232" t="s">
        <v>2673</v>
      </c>
      <c r="AC734" s="231">
        <v>2.0547560374568752</v>
      </c>
      <c r="AD734">
        <f>IF('WetLitterbags placem_collection'!AB75="","",'WetLitterbags placem_collection'!AB75)</f>
        <v>9.1</v>
      </c>
      <c r="AE734">
        <f>IF('WetLitterbags placem_collection'!Z75="","",'WetLitterbags placem_collection'!Z75)</f>
        <v>10</v>
      </c>
      <c r="AF734" s="246" t="str">
        <f>IF('WetLitterbags placem_collection'!AA75="","",'WetLitterbags placem_collection'!AA75)</f>
        <v>M</v>
      </c>
      <c r="AG734">
        <f>IF('WetLitterbags placem_collection'!AC75="","",'WetLitterbags placem_collection'!AC75)</f>
        <v>1</v>
      </c>
      <c r="AH734">
        <f>AVERAGE('WetLitterbags placem_collection'!S75,'WetLitterbags placem_collection'!U75)</f>
        <v>27.85</v>
      </c>
      <c r="AI734">
        <f>AVERAGE('WetLitterbags placem_collection'!R75,'WetLitterbags placem_collection'!T75)</f>
        <v>26.15</v>
      </c>
      <c r="AJ734">
        <f>INDEX(Coordinates!$B$2:$B$197,MATCH(G734,Coordinates!$J$2:$J$197,0))</f>
        <v>-3.3025860229999999</v>
      </c>
      <c r="AK734">
        <f>INDEX(Coordinates!$C$2:$C$197,MATCH(G734,Coordinates!$J$2:$J$197,0))</f>
        <v>34.848048009999999</v>
      </c>
      <c r="AL734" t="str">
        <f>IF(ISNUMBER(SEARCH("C", 'WetLitterbags placem_collection'!Y75)),"YES","NO")</f>
        <v>NO</v>
      </c>
      <c r="AM734" t="str">
        <f>IF(ISNUMBER(SEARCH("H", 'WetLitterbags placem_collection'!Y75)),"YES","NO")</f>
        <v>NO</v>
      </c>
      <c r="AN734" t="str">
        <f>IF(ISNUMBER(SEARCH("R", 'WetLitterbags placem_collection'!Y75)),"YES","NO")</f>
        <v>YES</v>
      </c>
    </row>
    <row r="735" spans="1:40" ht="15" customHeight="1">
      <c r="A735" s="258" t="s">
        <v>2460</v>
      </c>
      <c r="B735" s="263">
        <f>'Dry_Litterbag Placem_Collection'!A76</f>
        <v>74</v>
      </c>
      <c r="C735" s="263" t="str">
        <f>'Dry_Litterbag Placem_Collection'!B76</f>
        <v>Maswa</v>
      </c>
      <c r="D735" s="263" t="s">
        <v>2659</v>
      </c>
      <c r="E735" s="263" t="s">
        <v>2661</v>
      </c>
      <c r="F735" s="263">
        <v>2</v>
      </c>
      <c r="G735" s="264" t="str">
        <f>'Dry_Litterbag Placem_Collection'!C76</f>
        <v>Dry_W2_T2</v>
      </c>
      <c r="H735" s="273" t="s">
        <v>3651</v>
      </c>
      <c r="I735" s="274" t="s">
        <v>298</v>
      </c>
      <c r="J735" s="223" t="str">
        <f>'WetLitterbags placem_collection'!Q76</f>
        <v>R138</v>
      </c>
      <c r="K735" s="225">
        <f>IFERROR(INDEX('Green_rooibos initial weight'!$C$5:$C$1749,MATCH(J735, 'Green_rooibos initial weight'!$A$5:$A$1749,0)),"")</f>
        <v>2.3140000000000001</v>
      </c>
      <c r="L735" s="225">
        <f>IFERROR(K735-(TBIcalc!$H$9+TBIcalc!$H$10),"")</f>
        <v>2.0642</v>
      </c>
      <c r="M735" s="391">
        <f>AVERAGE(Ashed_controlls!$K$12:$K$14)</f>
        <v>2.2816647271287041</v>
      </c>
      <c r="N735" s="225">
        <f t="shared" si="60"/>
        <v>2.0171018767026094</v>
      </c>
      <c r="O735" s="225">
        <f>IF(IFERROR(INDEX('Both teabags AfterWet'!$C$3:$C$841,MATCH(J735,'Both teabags AfterWet'!$A$3:$A$841,0)),"")="","",(IFERROR(INDEX('Both teabags AfterWet'!$C$3:$C$841,MATCH(J735,'Both teabags AfterWet'!$A$3:$A$841,0)),"")))</f>
        <v>1.6850000000000001</v>
      </c>
      <c r="P735" s="225">
        <f>IFERROR(IF(O735&gt;0,O735-(TBIcalc!$H$9),""),"")</f>
        <v>1.5344</v>
      </c>
      <c r="Q735" s="225">
        <f>IFERROR(INDEX('Ashed teabags wet'!$K$2:$K$821,MATCH(J735,'Ashed teabags wet'!$A$2:$A$821,0)),"")</f>
        <v>3.6873156342174327</v>
      </c>
      <c r="R735" s="225">
        <f t="shared" si="63"/>
        <v>1.4778218289085676</v>
      </c>
      <c r="S735" s="226">
        <f>'WetLitterbags placem_collection'!E76</f>
        <v>42767</v>
      </c>
      <c r="T735" s="226">
        <f>IF('WetLitterbags placem_collection'!G76="","",'WetLitterbags placem_collection'!G76)</f>
        <v>42818</v>
      </c>
      <c r="U735" s="227">
        <f t="shared" si="64"/>
        <v>51</v>
      </c>
      <c r="V735" s="225">
        <f t="shared" si="61"/>
        <v>0.52980000000000005</v>
      </c>
      <c r="W735" s="225">
        <f t="shared" si="62"/>
        <v>0.53928004779404182</v>
      </c>
      <c r="X735">
        <f>IFERROR(INDEX(Rainfall_Wet!$O$2:$O$217,MATCH(B735, Rainfall_Wet!$A$2:$A$217,0)),"")</f>
        <v>185.630065823</v>
      </c>
      <c r="Y735" s="231">
        <v>45.272914521112256</v>
      </c>
      <c r="Z735" s="231">
        <v>23.604531410916575</v>
      </c>
      <c r="AA735" s="231">
        <v>31.122554067971166</v>
      </c>
      <c r="AB735" s="232" t="s">
        <v>2673</v>
      </c>
      <c r="AC735" s="231">
        <v>3.0547560374568801</v>
      </c>
      <c r="AD735">
        <f>IF('WetLitterbags placem_collection'!AB76="","",'WetLitterbags placem_collection'!AB76)</f>
        <v>7.7</v>
      </c>
      <c r="AE735">
        <f>IF('WetLitterbags placem_collection'!Z76="","",'WetLitterbags placem_collection'!Z76)</f>
        <v>9.4</v>
      </c>
      <c r="AF735" s="246" t="str">
        <f>IF('WetLitterbags placem_collection'!AA76="","",'WetLitterbags placem_collection'!AA76)</f>
        <v>M</v>
      </c>
      <c r="AG735">
        <f>IF('WetLitterbags placem_collection'!AC76="","",'WetLitterbags placem_collection'!AC76)</f>
        <v>1</v>
      </c>
      <c r="AH735">
        <f>AVERAGE('WetLitterbags placem_collection'!S76,'WetLitterbags placem_collection'!U76)</f>
        <v>24.65</v>
      </c>
      <c r="AI735">
        <f>AVERAGE('WetLitterbags placem_collection'!R76,'WetLitterbags placem_collection'!T76)</f>
        <v>24.35</v>
      </c>
      <c r="AJ735">
        <f>INDEX(Coordinates!$B$2:$B$197,MATCH(G735,Coordinates!$J$2:$J$197,0))</f>
        <v>-3.3025779759999998</v>
      </c>
      <c r="AK735">
        <f>INDEX(Coordinates!$C$2:$C$197,MATCH(G735,Coordinates!$J$2:$J$197,0))</f>
        <v>34.848041969999997</v>
      </c>
      <c r="AL735" t="str">
        <f>IF(ISNUMBER(SEARCH("C", 'WetLitterbags placem_collection'!Y76)),"YES","NO")</f>
        <v>NO</v>
      </c>
      <c r="AM735" t="str">
        <f>IF(ISNUMBER(SEARCH("H", 'WetLitterbags placem_collection'!Y76)),"YES","NO")</f>
        <v>NO</v>
      </c>
      <c r="AN735" t="str">
        <f>IF(ISNUMBER(SEARCH("R", 'WetLitterbags placem_collection'!Y76)),"YES","NO")</f>
        <v>NO</v>
      </c>
    </row>
    <row r="736" spans="1:40" ht="15" customHeight="1">
      <c r="A736" s="258" t="s">
        <v>2460</v>
      </c>
      <c r="B736" s="263">
        <f>'Dry_Litterbag Placem_Collection'!A77</f>
        <v>75</v>
      </c>
      <c r="C736" s="263" t="str">
        <f>'Dry_Litterbag Placem_Collection'!B77</f>
        <v>Maswa</v>
      </c>
      <c r="D736" s="263" t="s">
        <v>2659</v>
      </c>
      <c r="E736" s="263" t="s">
        <v>2661</v>
      </c>
      <c r="F736" s="263">
        <v>2</v>
      </c>
      <c r="G736" s="264" t="str">
        <f>'Dry_Litterbag Placem_Collection'!C77</f>
        <v>Dry_W2_T3</v>
      </c>
      <c r="H736" s="273" t="s">
        <v>3651</v>
      </c>
      <c r="I736" s="274" t="s">
        <v>298</v>
      </c>
      <c r="J736" s="223" t="str">
        <f>'WetLitterbags placem_collection'!Q77</f>
        <v>R311</v>
      </c>
      <c r="K736" s="225">
        <f>IFERROR(INDEX('Green_rooibos initial weight'!$C$5:$C$1749,MATCH(J736, 'Green_rooibos initial weight'!$A$5:$A$1749,0)),"")</f>
        <v>2.2719999999999998</v>
      </c>
      <c r="L736" s="225">
        <f>IFERROR(K736-(TBIcalc!$H$9+TBIcalc!$H$10),"")</f>
        <v>2.0221999999999998</v>
      </c>
      <c r="M736" s="391">
        <f>AVERAGE(Ashed_controlls!$K$12:$K$14)</f>
        <v>2.2816647271287041</v>
      </c>
      <c r="N736" s="225">
        <f t="shared" si="60"/>
        <v>1.9760601758880032</v>
      </c>
      <c r="O736" s="225">
        <f>IF(IFERROR(INDEX('Both teabags AfterWet'!$C$3:$C$841,MATCH(J736,'Both teabags AfterWet'!$A$3:$A$841,0)),"")="","",(IFERROR(INDEX('Both teabags AfterWet'!$C$3:$C$841,MATCH(J736,'Both teabags AfterWet'!$A$3:$A$841,0)),"")))</f>
        <v>1.6715</v>
      </c>
      <c r="P736" s="225">
        <f>IFERROR(IF(O736&gt;0,O736-(TBIcalc!$H$9),""),"")</f>
        <v>1.5208999999999999</v>
      </c>
      <c r="Q736" s="225">
        <f>IFERROR(INDEX('Ashed teabags wet'!$K$2:$K$821,MATCH(J736,'Ashed teabags wet'!$A$2:$A$821,0)),"")</f>
        <v>3.5363457760311539</v>
      </c>
      <c r="R736" s="225">
        <f t="shared" si="63"/>
        <v>1.4671157170923421</v>
      </c>
      <c r="S736" s="226">
        <f>'WetLitterbags placem_collection'!E77</f>
        <v>42767</v>
      </c>
      <c r="T736" s="226">
        <f>IF('WetLitterbags placem_collection'!G77="","",'WetLitterbags placem_collection'!G77)</f>
        <v>42818</v>
      </c>
      <c r="U736" s="227">
        <f t="shared" si="64"/>
        <v>51</v>
      </c>
      <c r="V736" s="225">
        <f t="shared" si="61"/>
        <v>0.50129999999999986</v>
      </c>
      <c r="W736" s="225">
        <f t="shared" si="62"/>
        <v>0.50894445879566108</v>
      </c>
      <c r="X736">
        <f>IFERROR(INDEX(Rainfall_Wet!$O$2:$O$217,MATCH(B736, Rainfall_Wet!$A$2:$A$217,0)),"")</f>
        <v>185.630065823</v>
      </c>
      <c r="Y736" s="231">
        <v>45.272914521112256</v>
      </c>
      <c r="Z736" s="231">
        <v>23.604531410916575</v>
      </c>
      <c r="AA736" s="231">
        <v>31.122554067971166</v>
      </c>
      <c r="AB736" s="232" t="s">
        <v>2673</v>
      </c>
      <c r="AC736" s="231">
        <v>4.0547560374568796</v>
      </c>
      <c r="AD736">
        <f>IF('WetLitterbags placem_collection'!AB77="","",'WetLitterbags placem_collection'!AB77)</f>
        <v>6.1</v>
      </c>
      <c r="AE736">
        <f>IF('WetLitterbags placem_collection'!Z77="","",'WetLitterbags placem_collection'!Z77)</f>
        <v>13.8</v>
      </c>
      <c r="AF736" s="246" t="str">
        <f>IF('WetLitterbags placem_collection'!AA77="","",'WetLitterbags placem_collection'!AA77)</f>
        <v>O</v>
      </c>
      <c r="AG736">
        <f>IF('WetLitterbags placem_collection'!AC77="","",'WetLitterbags placem_collection'!AC77)</f>
        <v>0</v>
      </c>
      <c r="AH736">
        <f>AVERAGE('WetLitterbags placem_collection'!S77,'WetLitterbags placem_collection'!U77)</f>
        <v>27.150000000000002</v>
      </c>
      <c r="AI736">
        <f>AVERAGE('WetLitterbags placem_collection'!R77,'WetLitterbags placem_collection'!T77)</f>
        <v>25.65</v>
      </c>
      <c r="AJ736">
        <f>INDEX(Coordinates!$B$2:$B$197,MATCH(G736,Coordinates!$J$2:$J$197,0))</f>
        <v>-3.302687025</v>
      </c>
      <c r="AK736">
        <f>INDEX(Coordinates!$C$2:$C$197,MATCH(G736,Coordinates!$J$2:$J$197,0))</f>
        <v>34.847926970000003</v>
      </c>
      <c r="AL736" t="str">
        <f>IF(ISNUMBER(SEARCH("C", 'WetLitterbags placem_collection'!Y77)),"YES","NO")</f>
        <v>NO</v>
      </c>
      <c r="AM736" t="str">
        <f>IF(ISNUMBER(SEARCH("H", 'WetLitterbags placem_collection'!Y77)),"YES","NO")</f>
        <v>NO</v>
      </c>
      <c r="AN736" t="str">
        <f>IF(ISNUMBER(SEARCH("R", 'WetLitterbags placem_collection'!Y77)),"YES","NO")</f>
        <v>NO</v>
      </c>
    </row>
    <row r="737" spans="1:40" ht="15" customHeight="1">
      <c r="A737" s="258" t="s">
        <v>2460</v>
      </c>
      <c r="B737" s="263">
        <f>'Dry_Litterbag Placem_Collection'!A78</f>
        <v>76</v>
      </c>
      <c r="C737" s="263" t="str">
        <f>'Dry_Litterbag Placem_Collection'!B78</f>
        <v>Maswa</v>
      </c>
      <c r="D737" s="263" t="s">
        <v>2659</v>
      </c>
      <c r="E737" s="263" t="s">
        <v>2661</v>
      </c>
      <c r="F737" s="263">
        <v>2</v>
      </c>
      <c r="G737" s="264" t="str">
        <f>'Dry_Litterbag Placem_Collection'!C78</f>
        <v>Dry_W2_T4</v>
      </c>
      <c r="H737" s="273" t="s">
        <v>3651</v>
      </c>
      <c r="I737" s="274" t="s">
        <v>298</v>
      </c>
      <c r="J737" s="223" t="str">
        <f>'WetLitterbags placem_collection'!Q78</f>
        <v>R183</v>
      </c>
      <c r="K737" s="225">
        <f>IFERROR(INDEX('Green_rooibos initial weight'!$C$5:$C$1749,MATCH(J737, 'Green_rooibos initial weight'!$A$5:$A$1749,0)),"")</f>
        <v>2.262</v>
      </c>
      <c r="L737" s="225">
        <f>IFERROR(K737-(TBIcalc!$H$9+TBIcalc!$H$10),"")</f>
        <v>2.0122</v>
      </c>
      <c r="M737" s="391">
        <f>AVERAGE(Ashed_controlls!$K$12:$K$14)</f>
        <v>2.2816647271287041</v>
      </c>
      <c r="N737" s="225">
        <f t="shared" si="60"/>
        <v>1.9662883423607163</v>
      </c>
      <c r="O737" s="225">
        <f>IF(IFERROR(INDEX('Both teabags AfterWet'!$C$3:$C$841,MATCH(J737,'Both teabags AfterWet'!$A$3:$A$841,0)),"")="","",(IFERROR(INDEX('Both teabags AfterWet'!$C$3:$C$841,MATCH(J737,'Both teabags AfterWet'!$A$3:$A$841,0)),"")))</f>
        <v>1.7490000000000001</v>
      </c>
      <c r="P737" s="225">
        <f>IFERROR(IF(O737&gt;0,O737-(TBIcalc!$H$9),""),"")</f>
        <v>1.5984</v>
      </c>
      <c r="Q737" s="225">
        <f>IFERROR(INDEX('Ashed teabags wet'!$K$2:$K$821,MATCH(J737,'Ashed teabags wet'!$A$2:$A$821,0)),"")</f>
        <v>2.262879152624262</v>
      </c>
      <c r="R737" s="225">
        <f t="shared" si="63"/>
        <v>1.5622301396244538</v>
      </c>
      <c r="S737" s="226">
        <f>'WetLitterbags placem_collection'!E78</f>
        <v>42767</v>
      </c>
      <c r="T737" s="226">
        <f>IF('WetLitterbags placem_collection'!G78="","",'WetLitterbags placem_collection'!G78)</f>
        <v>42818</v>
      </c>
      <c r="U737" s="227">
        <f t="shared" si="64"/>
        <v>51</v>
      </c>
      <c r="V737" s="225">
        <f t="shared" si="61"/>
        <v>0.41379999999999995</v>
      </c>
      <c r="W737" s="225">
        <f t="shared" si="62"/>
        <v>0.40405820273626247</v>
      </c>
      <c r="X737">
        <f>IFERROR(INDEX(Rainfall_Wet!$O$2:$O$217,MATCH(B737, Rainfall_Wet!$A$2:$A$217,0)),"")</f>
        <v>185.630065823</v>
      </c>
      <c r="Y737" s="231">
        <v>45.272914521112256</v>
      </c>
      <c r="Z737" s="231">
        <v>23.604531410916575</v>
      </c>
      <c r="AA737" s="231">
        <v>31.122554067971166</v>
      </c>
      <c r="AB737" s="232" t="s">
        <v>2673</v>
      </c>
      <c r="AC737" s="231">
        <v>5.0547560374568796</v>
      </c>
      <c r="AD737">
        <f>IF('WetLitterbags placem_collection'!AB78="","",'WetLitterbags placem_collection'!AB78)</f>
        <v>6.7</v>
      </c>
      <c r="AE737">
        <f>IF('WetLitterbags placem_collection'!Z78="","",'WetLitterbags placem_collection'!Z78)</f>
        <v>19.3</v>
      </c>
      <c r="AF737" s="246" t="str">
        <f>IF('WetLitterbags placem_collection'!AA78="","",'WetLitterbags placem_collection'!AA78)</f>
        <v>M</v>
      </c>
      <c r="AG737">
        <f>IF('WetLitterbags placem_collection'!AC78="","",'WetLitterbags placem_collection'!AC78)</f>
        <v>1</v>
      </c>
      <c r="AH737">
        <f>AVERAGE('WetLitterbags placem_collection'!S78,'WetLitterbags placem_collection'!U78)</f>
        <v>26.8</v>
      </c>
      <c r="AI737">
        <f>AVERAGE('WetLitterbags placem_collection'!R78,'WetLitterbags placem_collection'!T78)</f>
        <v>23.7</v>
      </c>
      <c r="AJ737">
        <f>INDEX(Coordinates!$B$2:$B$197,MATCH(G737,Coordinates!$J$2:$J$197,0))</f>
        <v>-3.3024560190000001</v>
      </c>
      <c r="AK737">
        <f>INDEX(Coordinates!$C$2:$C$197,MATCH(G737,Coordinates!$J$2:$J$197,0))</f>
        <v>34.847871990000002</v>
      </c>
      <c r="AL737" t="str">
        <f>IF(ISNUMBER(SEARCH("C", 'WetLitterbags placem_collection'!Y78)),"YES","NO")</f>
        <v>NO</v>
      </c>
      <c r="AM737" t="str">
        <f>IF(ISNUMBER(SEARCH("H", 'WetLitterbags placem_collection'!Y78)),"YES","NO")</f>
        <v>NO</v>
      </c>
      <c r="AN737" t="str">
        <f>IF(ISNUMBER(SEARCH("R", 'WetLitterbags placem_collection'!Y78)),"YES","NO")</f>
        <v>NO</v>
      </c>
    </row>
    <row r="738" spans="1:40" ht="15" customHeight="1">
      <c r="A738" s="258" t="s">
        <v>2460</v>
      </c>
      <c r="B738" s="263">
        <f>'Dry_Litterbag Placem_Collection'!A79</f>
        <v>77</v>
      </c>
      <c r="C738" s="263" t="str">
        <f>'Dry_Litterbag Placem_Collection'!B79</f>
        <v>Maswa</v>
      </c>
      <c r="D738" s="263" t="s">
        <v>2659</v>
      </c>
      <c r="E738" s="263" t="s">
        <v>2661</v>
      </c>
      <c r="F738" s="263">
        <v>2</v>
      </c>
      <c r="G738" s="264" t="str">
        <f>'Dry_Litterbag Placem_Collection'!C79</f>
        <v>Dry_W2_T5</v>
      </c>
      <c r="H738" s="273" t="s">
        <v>3651</v>
      </c>
      <c r="I738" s="274" t="s">
        <v>298</v>
      </c>
      <c r="J738" s="223" t="str">
        <f>'WetLitterbags placem_collection'!Q79</f>
        <v>R228</v>
      </c>
      <c r="K738" s="225">
        <f>IFERROR(INDEX('Green_rooibos initial weight'!$C$5:$C$1749,MATCH(J738, 'Green_rooibos initial weight'!$A$5:$A$1749,0)),"")</f>
        <v>2.2040000000000002</v>
      </c>
      <c r="L738" s="225">
        <f>IFERROR(K738-(TBIcalc!$H$9+TBIcalc!$H$10),"")</f>
        <v>1.9542000000000002</v>
      </c>
      <c r="M738" s="391">
        <f>AVERAGE(Ashed_controlls!$K$12:$K$14)</f>
        <v>2.2816647271287041</v>
      </c>
      <c r="N738" s="225">
        <f t="shared" si="60"/>
        <v>1.909611707902451</v>
      </c>
      <c r="O738" s="225">
        <f>IF(IFERROR(INDEX('Both teabags AfterWet'!$C$3:$C$841,MATCH(J738,'Both teabags AfterWet'!$A$3:$A$841,0)),"")="","",(IFERROR(INDEX('Both teabags AfterWet'!$C$3:$C$841,MATCH(J738,'Both teabags AfterWet'!$A$3:$A$841,0)),"")))</f>
        <v>2.2429999999999999</v>
      </c>
      <c r="P738" s="225">
        <f>IFERROR(IF(O738&gt;0,O738-(TBIcalc!$H$9),""),"")</f>
        <v>2.0924</v>
      </c>
      <c r="Q738" s="225">
        <f>IFERROR(INDEX('Ashed teabags wet'!$K$2:$K$821,MATCH(J738,'Ashed teabags wet'!$A$2:$A$821,0)),"")</f>
        <v>25.765054294176</v>
      </c>
      <c r="R738" s="225">
        <f t="shared" si="63"/>
        <v>1.5532920039486613</v>
      </c>
      <c r="S738" s="226">
        <f>'WetLitterbags placem_collection'!E79</f>
        <v>42767</v>
      </c>
      <c r="T738" s="226">
        <f>IF('WetLitterbags placem_collection'!G79="","",'WetLitterbags placem_collection'!G79)</f>
        <v>42818</v>
      </c>
      <c r="U738" s="227">
        <f t="shared" si="64"/>
        <v>51</v>
      </c>
      <c r="V738" s="225">
        <f t="shared" si="61"/>
        <v>-0.13819999999999988</v>
      </c>
      <c r="W738" s="225">
        <f t="shared" si="62"/>
        <v>0.35631970395378976</v>
      </c>
      <c r="X738">
        <f>IFERROR(INDEX(Rainfall_Wet!$O$2:$O$217,MATCH(B738, Rainfall_Wet!$A$2:$A$217,0)),"")</f>
        <v>185.630065823</v>
      </c>
      <c r="Y738" s="231">
        <v>45.272914521112256</v>
      </c>
      <c r="Z738" s="231">
        <v>23.604531410916575</v>
      </c>
      <c r="AA738" s="231">
        <v>31.122554067971166</v>
      </c>
      <c r="AB738" s="232" t="s">
        <v>2673</v>
      </c>
      <c r="AC738" s="231">
        <v>6.0547560374568796</v>
      </c>
      <c r="AD738">
        <f>IF('WetLitterbags placem_collection'!AB79="","",'WetLitterbags placem_collection'!AB79)</f>
        <v>3.1</v>
      </c>
      <c r="AE738">
        <f>IF('WetLitterbags placem_collection'!Z79="","",'WetLitterbags placem_collection'!Z79)</f>
        <v>9.8000000000000007</v>
      </c>
      <c r="AF738" s="246" t="str">
        <f>IF('WetLitterbags placem_collection'!AA79="","",'WetLitterbags placem_collection'!AA79)</f>
        <v>O</v>
      </c>
      <c r="AG738">
        <f>IF('WetLitterbags placem_collection'!AC79="","",'WetLitterbags placem_collection'!AC79)</f>
        <v>1</v>
      </c>
      <c r="AH738">
        <f>AVERAGE('WetLitterbags placem_collection'!S79,'WetLitterbags placem_collection'!U79)</f>
        <v>25.950000000000003</v>
      </c>
      <c r="AI738">
        <f>AVERAGE('WetLitterbags placem_collection'!R79,'WetLitterbags placem_collection'!T79)</f>
        <v>25.950000000000003</v>
      </c>
      <c r="AJ738">
        <f>INDEX(Coordinates!$B$2:$B$197,MATCH(G738,Coordinates!$J$2:$J$197,0))</f>
        <v>-3.3023280279999998</v>
      </c>
      <c r="AK738">
        <f>INDEX(Coordinates!$C$2:$C$197,MATCH(G738,Coordinates!$J$2:$J$197,0))</f>
        <v>34.848223019999999</v>
      </c>
      <c r="AL738" t="str">
        <f>IF(ISNUMBER(SEARCH("C", 'WetLitterbags placem_collection'!Y79)),"YES","NO")</f>
        <v>NO</v>
      </c>
      <c r="AM738" t="str">
        <f>IF(ISNUMBER(SEARCH("H", 'WetLitterbags placem_collection'!Y79)),"YES","NO")</f>
        <v>NO</v>
      </c>
      <c r="AN738" t="str">
        <f>IF(ISNUMBER(SEARCH("R", 'WetLitterbags placem_collection'!Y79)),"YES","NO")</f>
        <v>NO</v>
      </c>
    </row>
    <row r="739" spans="1:40" ht="15" customHeight="1">
      <c r="A739" s="258" t="s">
        <v>2460</v>
      </c>
      <c r="B739" s="263">
        <f>'Dry_Litterbag Placem_Collection'!A80</f>
        <v>78</v>
      </c>
      <c r="C739" s="263" t="str">
        <f>'Dry_Litterbag Placem_Collection'!B80</f>
        <v>Maswa</v>
      </c>
      <c r="D739" s="263" t="s">
        <v>2659</v>
      </c>
      <c r="E739" s="263" t="s">
        <v>2661</v>
      </c>
      <c r="F739" s="263">
        <v>2</v>
      </c>
      <c r="G739" s="264" t="str">
        <f>'Dry_Litterbag Placem_Collection'!C80</f>
        <v>Dry_W2_T6</v>
      </c>
      <c r="H739" s="273" t="s">
        <v>3651</v>
      </c>
      <c r="I739" s="274" t="s">
        <v>298</v>
      </c>
      <c r="J739" s="223" t="str">
        <f>'WetLitterbags placem_collection'!Q80</f>
        <v>R100</v>
      </c>
      <c r="K739" s="225">
        <f>IFERROR(INDEX('Green_rooibos initial weight'!$C$5:$C$1749,MATCH(J739, 'Green_rooibos initial weight'!$A$5:$A$1749,0)),"")</f>
        <v>2.2549999999999999</v>
      </c>
      <c r="L739" s="225">
        <f>IFERROR(K739-(TBIcalc!$H$9+TBIcalc!$H$10),"")</f>
        <v>2.0051999999999999</v>
      </c>
      <c r="M739" s="391">
        <f>AVERAGE(Ashed_controlls!$K$12:$K$14)</f>
        <v>2.2816647271287041</v>
      </c>
      <c r="N739" s="225">
        <f t="shared" si="60"/>
        <v>1.959448058891615</v>
      </c>
      <c r="O739" s="225">
        <f>IF(IFERROR(INDEX('Both teabags AfterWet'!$C$3:$C$841,MATCH(J739,'Both teabags AfterWet'!$A$3:$A$841,0)),"")="","",(IFERROR(INDEX('Both teabags AfterWet'!$C$3:$C$841,MATCH(J739,'Both teabags AfterWet'!$A$3:$A$841,0)),"")))</f>
        <v>1.7222999999999999</v>
      </c>
      <c r="P739" s="225">
        <f>IFERROR(IF(O739&gt;0,O739-(TBIcalc!$H$9),""),"")</f>
        <v>1.5716999999999999</v>
      </c>
      <c r="Q739" s="225">
        <f>IFERROR(INDEX('Ashed teabags wet'!$K$2:$K$821,MATCH(J739,'Ashed teabags wet'!$A$2:$A$821,0)),"")</f>
        <v>2.8361858190706335</v>
      </c>
      <c r="R739" s="225">
        <f t="shared" si="63"/>
        <v>1.5271236674816668</v>
      </c>
      <c r="S739" s="226">
        <f>'WetLitterbags placem_collection'!E80</f>
        <v>42767</v>
      </c>
      <c r="T739" s="226">
        <f>IF('WetLitterbags placem_collection'!G80="","",'WetLitterbags placem_collection'!G80)</f>
        <v>42818</v>
      </c>
      <c r="U739" s="227">
        <f t="shared" si="64"/>
        <v>51</v>
      </c>
      <c r="V739" s="225">
        <f t="shared" si="61"/>
        <v>0.4335</v>
      </c>
      <c r="W739" s="225">
        <f t="shared" si="62"/>
        <v>0.43232439140994816</v>
      </c>
      <c r="X739">
        <f>IFERROR(INDEX(Rainfall_Wet!$O$2:$O$217,MATCH(B739, Rainfall_Wet!$A$2:$A$217,0)),"")</f>
        <v>185.630065823</v>
      </c>
      <c r="Y739" s="231">
        <v>45.272914521112256</v>
      </c>
      <c r="Z739" s="231">
        <v>23.604531410916575</v>
      </c>
      <c r="AA739" s="231">
        <v>31.122554067971166</v>
      </c>
      <c r="AB739" s="232" t="s">
        <v>2673</v>
      </c>
      <c r="AC739" s="231">
        <v>7.0547560374568796</v>
      </c>
      <c r="AD739">
        <f>IF('WetLitterbags placem_collection'!AB80="","",'WetLitterbags placem_collection'!AB80)</f>
        <v>10.4</v>
      </c>
      <c r="AE739">
        <f>IF('WetLitterbags placem_collection'!Z80="","",'WetLitterbags placem_collection'!Z80)</f>
        <v>15.4</v>
      </c>
      <c r="AF739" s="246" t="str">
        <f>IF('WetLitterbags placem_collection'!AA80="","",'WetLitterbags placem_collection'!AA80)</f>
        <v>M</v>
      </c>
      <c r="AG739">
        <f>IF('WetLitterbags placem_collection'!AC80="","",'WetLitterbags placem_collection'!AC80)</f>
        <v>1</v>
      </c>
      <c r="AH739">
        <f>AVERAGE('WetLitterbags placem_collection'!S80,'WetLitterbags placem_collection'!U80)</f>
        <v>24.15</v>
      </c>
      <c r="AI739">
        <f>AVERAGE('WetLitterbags placem_collection'!R80,'WetLitterbags placem_collection'!T80)</f>
        <v>27.75</v>
      </c>
      <c r="AJ739">
        <f>INDEX(Coordinates!$B$2:$B$197,MATCH(G739,Coordinates!$J$2:$J$197,0))</f>
        <v>-3.3025680020000001</v>
      </c>
      <c r="AK739">
        <f>INDEX(Coordinates!$C$2:$C$197,MATCH(G739,Coordinates!$J$2:$J$197,0))</f>
        <v>34.848167029999999</v>
      </c>
      <c r="AL739" t="str">
        <f>IF(ISNUMBER(SEARCH("C", 'WetLitterbags placem_collection'!Y80)),"YES","NO")</f>
        <v>NO</v>
      </c>
      <c r="AM739" t="str">
        <f>IF(ISNUMBER(SEARCH("H", 'WetLitterbags placem_collection'!Y80)),"YES","NO")</f>
        <v>NO</v>
      </c>
      <c r="AN739" t="str">
        <f>IF(ISNUMBER(SEARCH("R", 'WetLitterbags placem_collection'!Y80)),"YES","NO")</f>
        <v>NO</v>
      </c>
    </row>
    <row r="740" spans="1:40" ht="15" customHeight="1">
      <c r="A740" s="258" t="s">
        <v>2460</v>
      </c>
      <c r="B740" s="263">
        <f>'Dry_Litterbag Placem_Collection'!A81</f>
        <v>79</v>
      </c>
      <c r="C740" s="263" t="str">
        <f>'Dry_Litterbag Placem_Collection'!B81</f>
        <v>Maswa</v>
      </c>
      <c r="D740" s="263" t="s">
        <v>2659</v>
      </c>
      <c r="E740" s="263" t="s">
        <v>2661</v>
      </c>
      <c r="F740" s="263">
        <v>2</v>
      </c>
      <c r="G740" s="264" t="str">
        <f>'Dry_Litterbag Placem_Collection'!C81</f>
        <v>Dry_W2_T7</v>
      </c>
      <c r="H740" s="273" t="s">
        <v>3651</v>
      </c>
      <c r="I740" s="274" t="s">
        <v>298</v>
      </c>
      <c r="J740" s="223" t="str">
        <f>'WetLitterbags placem_collection'!Q81</f>
        <v>R56</v>
      </c>
      <c r="K740" s="225">
        <f>IFERROR(INDEX('Green_rooibos initial weight'!$C$5:$C$1749,MATCH(J740, 'Green_rooibos initial weight'!$A$5:$A$1749,0)),"")</f>
        <v>2.1829999999999998</v>
      </c>
      <c r="L740" s="225">
        <f>IFERROR(K740-(TBIcalc!$H$9+TBIcalc!$H$10),"")</f>
        <v>1.9331999999999998</v>
      </c>
      <c r="M740" s="391">
        <f>AVERAGE(Ashed_controlls!$K$12:$K$14)</f>
        <v>2.2816647271287041</v>
      </c>
      <c r="N740" s="225">
        <f t="shared" si="60"/>
        <v>1.8890908574951477</v>
      </c>
      <c r="O740" s="225">
        <f>IF(IFERROR(INDEX('Both teabags AfterWet'!$C$3:$C$841,MATCH(J740,'Both teabags AfterWet'!$A$3:$A$841,0)),"")="","",(IFERROR(INDEX('Both teabags AfterWet'!$C$3:$C$841,MATCH(J740,'Both teabags AfterWet'!$A$3:$A$841,0)),"")))</f>
        <v>1.6438999999999999</v>
      </c>
      <c r="P740" s="225">
        <f>IFERROR(IF(O740&gt;0,O740-(TBIcalc!$H$9),""),"")</f>
        <v>1.4932999999999998</v>
      </c>
      <c r="Q740" s="225">
        <f>IFERROR(INDEX('Ashed teabags wet'!$K$2:$K$821,MATCH(J740,'Ashed teabags wet'!$A$2:$A$821,0)),"")</f>
        <v>1.8838304552590228</v>
      </c>
      <c r="R740" s="225">
        <f t="shared" si="63"/>
        <v>1.4651687598116168</v>
      </c>
      <c r="S740" s="226">
        <f>'WetLitterbags placem_collection'!E81</f>
        <v>42767</v>
      </c>
      <c r="T740" s="226">
        <f>IF('WetLitterbags placem_collection'!G81="","",'WetLitterbags placem_collection'!G81)</f>
        <v>42818</v>
      </c>
      <c r="U740" s="227">
        <f t="shared" si="64"/>
        <v>51</v>
      </c>
      <c r="V740" s="225">
        <f t="shared" si="61"/>
        <v>0.43989999999999996</v>
      </c>
      <c r="W740" s="225">
        <f t="shared" si="62"/>
        <v>0.42392209768353095</v>
      </c>
      <c r="X740">
        <f>IFERROR(INDEX(Rainfall_Wet!$O$2:$O$217,MATCH(B740, Rainfall_Wet!$A$2:$A$217,0)),"")</f>
        <v>185.630065823</v>
      </c>
      <c r="Y740" s="231">
        <v>45.272914521112256</v>
      </c>
      <c r="Z740" s="231">
        <v>23.604531410916575</v>
      </c>
      <c r="AA740" s="231">
        <v>31.122554067971166</v>
      </c>
      <c r="AB740" s="232" t="s">
        <v>2673</v>
      </c>
      <c r="AC740" s="231">
        <v>8.0547560374568796</v>
      </c>
      <c r="AD740">
        <f>IF('WetLitterbags placem_collection'!AB81="","",'WetLitterbags placem_collection'!AB81)</f>
        <v>3</v>
      </c>
      <c r="AE740">
        <f>IF('WetLitterbags placem_collection'!Z81="","",'WetLitterbags placem_collection'!Z81)</f>
        <v>5</v>
      </c>
      <c r="AF740" s="246" t="str">
        <f>IF('WetLitterbags placem_collection'!AA81="","",'WetLitterbags placem_collection'!AA81)</f>
        <v>G</v>
      </c>
      <c r="AG740">
        <f>IF('WetLitterbags placem_collection'!AC81="","",'WetLitterbags placem_collection'!AC81)</f>
        <v>1</v>
      </c>
      <c r="AH740">
        <f>AVERAGE('WetLitterbags placem_collection'!S81,'WetLitterbags placem_collection'!U81)</f>
        <v>26.9</v>
      </c>
      <c r="AI740">
        <f>AVERAGE('WetLitterbags placem_collection'!R81,'WetLitterbags placem_collection'!T81)</f>
        <v>26.25</v>
      </c>
      <c r="AJ740">
        <f>INDEX(Coordinates!$B$2:$B$197,MATCH(G740,Coordinates!$J$2:$J$197,0))</f>
        <v>-3.3026270100000001</v>
      </c>
      <c r="AK740">
        <f>INDEX(Coordinates!$C$2:$C$197,MATCH(G740,Coordinates!$J$2:$J$197,0))</f>
        <v>34.84840801</v>
      </c>
      <c r="AL740" t="str">
        <f>IF(ISNUMBER(SEARCH("C", 'WetLitterbags placem_collection'!Y81)),"YES","NO")</f>
        <v>NO</v>
      </c>
      <c r="AM740" t="str">
        <f>IF(ISNUMBER(SEARCH("H", 'WetLitterbags placem_collection'!Y81)),"YES","NO")</f>
        <v>NO</v>
      </c>
      <c r="AN740" t="str">
        <f>IF(ISNUMBER(SEARCH("R", 'WetLitterbags placem_collection'!Y81)),"YES","NO")</f>
        <v>NO</v>
      </c>
    </row>
    <row r="741" spans="1:40" ht="15" customHeight="1">
      <c r="A741" s="258" t="s">
        <v>2460</v>
      </c>
      <c r="B741" s="263">
        <f>'Dry_Litterbag Placem_Collection'!A82</f>
        <v>80</v>
      </c>
      <c r="C741" s="263" t="str">
        <f>'Dry_Litterbag Placem_Collection'!B82</f>
        <v>Maswa</v>
      </c>
      <c r="D741" s="263" t="s">
        <v>2659</v>
      </c>
      <c r="E741" s="263" t="s">
        <v>2661</v>
      </c>
      <c r="F741" s="263">
        <v>2</v>
      </c>
      <c r="G741" s="264" t="str">
        <f>'Dry_Litterbag Placem_Collection'!C82</f>
        <v>Dry_W2_T8</v>
      </c>
      <c r="H741" s="273" t="s">
        <v>3651</v>
      </c>
      <c r="I741" s="274" t="s">
        <v>298</v>
      </c>
      <c r="J741" s="223" t="str">
        <f>'WetLitterbags placem_collection'!Q82</f>
        <v>R68</v>
      </c>
      <c r="K741" s="225">
        <f>IFERROR(INDEX('Green_rooibos initial weight'!$C$5:$C$1749,MATCH(J741, 'Green_rooibos initial weight'!$A$5:$A$1749,0)),"")</f>
        <v>2.2370000000000001</v>
      </c>
      <c r="L741" s="225">
        <f>IFERROR(K741-(TBIcalc!$H$9+TBIcalc!$H$10),"")</f>
        <v>1.9872000000000001</v>
      </c>
      <c r="M741" s="391">
        <f>AVERAGE(Ashed_controlls!$K$12:$K$14)</f>
        <v>2.2816647271287041</v>
      </c>
      <c r="N741" s="225">
        <f t="shared" si="60"/>
        <v>1.9418587585424985</v>
      </c>
      <c r="O741" s="225">
        <f>IF(IFERROR(INDEX('Both teabags AfterWet'!$C$3:$C$841,MATCH(J741,'Both teabags AfterWet'!$A$3:$A$841,0)),"")="","",(IFERROR(INDEX('Both teabags AfterWet'!$C$3:$C$841,MATCH(J741,'Both teabags AfterWet'!$A$3:$A$841,0)),"")))</f>
        <v>1.639</v>
      </c>
      <c r="P741" s="225">
        <f>IFERROR(IF(O741&gt;0,O741-(TBIcalc!$H$9),""),"")</f>
        <v>1.4883999999999999</v>
      </c>
      <c r="Q741" s="225">
        <f>IFERROR(INDEX('Ashed teabags wet'!$K$2:$K$821,MATCH(J741,'Ashed teabags wet'!$A$2:$A$821,0)),"")</f>
        <v>10.359922178988159</v>
      </c>
      <c r="R741" s="225">
        <f t="shared" si="63"/>
        <v>1.3342029182879402</v>
      </c>
      <c r="S741" s="226">
        <f>'WetLitterbags placem_collection'!E82</f>
        <v>42767</v>
      </c>
      <c r="T741" s="226">
        <f>IF('WetLitterbags placem_collection'!G82="","",'WetLitterbags placem_collection'!G82)</f>
        <v>42818</v>
      </c>
      <c r="U741" s="227">
        <f t="shared" si="64"/>
        <v>51</v>
      </c>
      <c r="V741" s="225">
        <f t="shared" si="61"/>
        <v>0.49880000000000013</v>
      </c>
      <c r="W741" s="225">
        <f t="shared" si="62"/>
        <v>0.60765584025455821</v>
      </c>
      <c r="X741">
        <f>IFERROR(INDEX(Rainfall_Wet!$O$2:$O$217,MATCH(B741, Rainfall_Wet!$A$2:$A$217,0)),"")</f>
        <v>185.630065823</v>
      </c>
      <c r="Y741" s="231">
        <v>45.272914521112256</v>
      </c>
      <c r="Z741" s="231">
        <v>23.604531410916575</v>
      </c>
      <c r="AA741" s="231">
        <v>31.122554067971166</v>
      </c>
      <c r="AB741" s="232" t="s">
        <v>2673</v>
      </c>
      <c r="AC741" s="231">
        <v>9.0547560374568796</v>
      </c>
      <c r="AD741">
        <f>IF('WetLitterbags placem_collection'!AB82="","",'WetLitterbags placem_collection'!AB82)</f>
        <v>2.7</v>
      </c>
      <c r="AE741">
        <f>IF('WetLitterbags placem_collection'!Z82="","",'WetLitterbags placem_collection'!Z82)</f>
        <v>12.4</v>
      </c>
      <c r="AF741" s="246" t="str">
        <f>IF('WetLitterbags placem_collection'!AA82="","",'WetLitterbags placem_collection'!AA82)</f>
        <v>O</v>
      </c>
      <c r="AG741">
        <f>IF('WetLitterbags placem_collection'!AC82="","",'WetLitterbags placem_collection'!AC82)</f>
        <v>1</v>
      </c>
      <c r="AH741">
        <f>AVERAGE('WetLitterbags placem_collection'!S82,'WetLitterbags placem_collection'!U82)</f>
        <v>28.55</v>
      </c>
      <c r="AI741">
        <f>AVERAGE('WetLitterbags placem_collection'!R82,'WetLitterbags placem_collection'!T82)</f>
        <v>27.450000000000003</v>
      </c>
      <c r="AJ741">
        <f>INDEX(Coordinates!$B$2:$B$197,MATCH(G741,Coordinates!$J$2:$J$197,0))</f>
        <v>-3.3028539920000002</v>
      </c>
      <c r="AK741">
        <f>INDEX(Coordinates!$C$2:$C$197,MATCH(G741,Coordinates!$J$2:$J$197,0))</f>
        <v>34.847988999999998</v>
      </c>
      <c r="AL741" t="str">
        <f>IF(ISNUMBER(SEARCH("C", 'WetLitterbags placem_collection'!Y82)),"YES","NO")</f>
        <v>NO</v>
      </c>
      <c r="AM741" t="str">
        <f>IF(ISNUMBER(SEARCH("H", 'WetLitterbags placem_collection'!Y82)),"YES","NO")</f>
        <v>NO</v>
      </c>
      <c r="AN741" t="str">
        <f>IF(ISNUMBER(SEARCH("R", 'WetLitterbags placem_collection'!Y82)),"YES","NO")</f>
        <v>NO</v>
      </c>
    </row>
    <row r="742" spans="1:40" ht="15" customHeight="1">
      <c r="A742" s="258" t="s">
        <v>2460</v>
      </c>
      <c r="B742" s="263">
        <f>'Dry_Litterbag Placem_Collection'!A83</f>
        <v>81</v>
      </c>
      <c r="C742" s="263" t="str">
        <f>'Dry_Litterbag Placem_Collection'!B83</f>
        <v>Maswa</v>
      </c>
      <c r="D742" s="263" t="s">
        <v>2659</v>
      </c>
      <c r="E742" s="263" t="s">
        <v>2661</v>
      </c>
      <c r="F742" s="263">
        <v>3</v>
      </c>
      <c r="G742" s="264" t="str">
        <f>'Dry_Litterbag Placem_Collection'!C83</f>
        <v>Dry_W3_T1</v>
      </c>
      <c r="H742" s="273" t="s">
        <v>3651</v>
      </c>
      <c r="I742" s="274" t="s">
        <v>298</v>
      </c>
      <c r="J742" s="223" t="str">
        <f>'WetLitterbags placem_collection'!Q83</f>
        <v>R293</v>
      </c>
      <c r="K742" s="225">
        <f>IFERROR(INDEX('Green_rooibos initial weight'!$C$5:$C$1749,MATCH(J742, 'Green_rooibos initial weight'!$A$5:$A$1749,0)),"")</f>
        <v>2.165</v>
      </c>
      <c r="L742" s="225">
        <f>IFERROR(K742-(TBIcalc!$H$9+TBIcalc!$H$10),"")</f>
        <v>1.9152</v>
      </c>
      <c r="M742" s="391">
        <f>AVERAGE(Ashed_controlls!$K$12:$K$14)</f>
        <v>2.2816647271287041</v>
      </c>
      <c r="N742" s="225">
        <f t="shared" si="60"/>
        <v>1.8715015571460312</v>
      </c>
      <c r="O742" s="225">
        <f>IF(IFERROR(INDEX('Both teabags AfterWet'!$C$3:$C$841,MATCH(J742,'Both teabags AfterWet'!$A$3:$A$841,0)),"")="","",(IFERROR(INDEX('Both teabags AfterWet'!$C$3:$C$841,MATCH(J742,'Both teabags AfterWet'!$A$3:$A$841,0)),"")))</f>
        <v>1.736</v>
      </c>
      <c r="P742" s="225">
        <f>IFERROR(IF(O742&gt;0,O742-(TBIcalc!$H$9),""),"")</f>
        <v>1.5853999999999999</v>
      </c>
      <c r="Q742" s="225">
        <f>IFERROR(INDEX('Ashed teabags wet'!$K$2:$K$821,MATCH(J742,'Ashed teabags wet'!$A$2:$A$821,0)),"")</f>
        <v>2.1037181996090717</v>
      </c>
      <c r="R742" s="225">
        <f t="shared" si="63"/>
        <v>1.5520476516633976</v>
      </c>
      <c r="S742" s="226">
        <f>'WetLitterbags placem_collection'!E83</f>
        <v>42767</v>
      </c>
      <c r="T742" s="226">
        <f>IF('WetLitterbags placem_collection'!G83="","",'WetLitterbags placem_collection'!G83)</f>
        <v>42818</v>
      </c>
      <c r="U742" s="227">
        <f t="shared" si="64"/>
        <v>51</v>
      </c>
      <c r="V742" s="225">
        <f t="shared" si="61"/>
        <v>0.32980000000000009</v>
      </c>
      <c r="W742" s="225">
        <f t="shared" si="62"/>
        <v>0.31945390548263353</v>
      </c>
      <c r="X742">
        <f>IFERROR(INDEX(Rainfall_Wet!$O$2:$O$217,MATCH(B742, Rainfall_Wet!$A$2:$A$217,0)),"")</f>
        <v>185.01185076100001</v>
      </c>
      <c r="Y742" s="231">
        <v>38.691629007962128</v>
      </c>
      <c r="Z742" s="231">
        <v>26.81299763288143</v>
      </c>
      <c r="AA742" s="231">
        <v>34.495373359156439</v>
      </c>
      <c r="AB742" s="232" t="s">
        <v>2675</v>
      </c>
      <c r="AC742" s="231">
        <v>2.5483587974371611</v>
      </c>
      <c r="AD742">
        <f>IF('WetLitterbags placem_collection'!AB83="","",'WetLitterbags placem_collection'!AB83)</f>
        <v>6.2</v>
      </c>
      <c r="AE742">
        <f>IF('WetLitterbags placem_collection'!Z83="","",'WetLitterbags placem_collection'!Z83)</f>
        <v>13.3</v>
      </c>
      <c r="AF742" s="246" t="str">
        <f>IF('WetLitterbags placem_collection'!AA83="","",'WetLitterbags placem_collection'!AA83)</f>
        <v>O</v>
      </c>
      <c r="AG742">
        <f>IF('WetLitterbags placem_collection'!AC83="","",'WetLitterbags placem_collection'!AC83)</f>
        <v>0</v>
      </c>
      <c r="AH742">
        <f>AVERAGE('WetLitterbags placem_collection'!S83,'WetLitterbags placem_collection'!U83)</f>
        <v>26.35</v>
      </c>
      <c r="AI742">
        <f>AVERAGE('WetLitterbags placem_collection'!R83,'WetLitterbags placem_collection'!T83)</f>
        <v>26.65</v>
      </c>
      <c r="AJ742">
        <f>INDEX(Coordinates!$B$2:$B$197,MATCH(G742,Coordinates!$J$2:$J$197,0))</f>
        <v>-3.2957159630000001</v>
      </c>
      <c r="AK742">
        <f>INDEX(Coordinates!$C$2:$C$197,MATCH(G742,Coordinates!$J$2:$J$197,0))</f>
        <v>34.852460999999998</v>
      </c>
      <c r="AL742" t="str">
        <f>IF(ISNUMBER(SEARCH("C", 'WetLitterbags placem_collection'!Y83)),"YES","NO")</f>
        <v>NO</v>
      </c>
      <c r="AM742" t="str">
        <f>IF(ISNUMBER(SEARCH("H", 'WetLitterbags placem_collection'!Y83)),"YES","NO")</f>
        <v>NO</v>
      </c>
      <c r="AN742" t="str">
        <f>IF(ISNUMBER(SEARCH("R", 'WetLitterbags placem_collection'!Y83)),"YES","NO")</f>
        <v>YES</v>
      </c>
    </row>
    <row r="743" spans="1:40" ht="15" customHeight="1">
      <c r="A743" s="258" t="s">
        <v>2460</v>
      </c>
      <c r="B743" s="263">
        <f>'Dry_Litterbag Placem_Collection'!A84</f>
        <v>82</v>
      </c>
      <c r="C743" s="263" t="str">
        <f>'Dry_Litterbag Placem_Collection'!B84</f>
        <v>Maswa</v>
      </c>
      <c r="D743" s="263" t="s">
        <v>2659</v>
      </c>
      <c r="E743" s="263" t="s">
        <v>2661</v>
      </c>
      <c r="F743" s="263">
        <v>3</v>
      </c>
      <c r="G743" s="264" t="str">
        <f>'Dry_Litterbag Placem_Collection'!C84</f>
        <v>Dry_W3_T2</v>
      </c>
      <c r="H743" s="273" t="s">
        <v>3651</v>
      </c>
      <c r="I743" s="274" t="s">
        <v>298</v>
      </c>
      <c r="J743" s="223" t="str">
        <f>'WetLitterbags placem_collection'!Q84</f>
        <v>R368</v>
      </c>
      <c r="K743" s="225">
        <f>IFERROR(INDEX('Green_rooibos initial weight'!$C$5:$C$1749,MATCH(J743, 'Green_rooibos initial weight'!$A$5:$A$1749,0)),"")</f>
        <v>2.2549999999999999</v>
      </c>
      <c r="L743" s="225">
        <f>IFERROR(K743-(TBIcalc!$H$9+TBIcalc!$H$10),"")</f>
        <v>2.0051999999999999</v>
      </c>
      <c r="M743" s="391">
        <f>AVERAGE(Ashed_controlls!$K$12:$K$14)</f>
        <v>2.2816647271287041</v>
      </c>
      <c r="N743" s="225">
        <f t="shared" si="60"/>
        <v>1.959448058891615</v>
      </c>
      <c r="O743" s="225">
        <f>IF(IFERROR(INDEX('Both teabags AfterWet'!$C$3:$C$841,MATCH(J743,'Both teabags AfterWet'!$A$3:$A$841,0)),"")="","",(IFERROR(INDEX('Both teabags AfterWet'!$C$3:$C$841,MATCH(J743,'Both teabags AfterWet'!$A$3:$A$841,0)),"")))</f>
        <v>1.704</v>
      </c>
      <c r="P743" s="225">
        <f>IFERROR(IF(O743&gt;0,O743-(TBIcalc!$H$9),""),"")</f>
        <v>1.5533999999999999</v>
      </c>
      <c r="Q743" s="225">
        <f>IFERROR(INDEX('Ashed teabags wet'!$K$2:$K$821,MATCH(J743,'Ashed teabags wet'!$A$2:$A$821,0)),"")</f>
        <v>4.0756914119362859</v>
      </c>
      <c r="R743" s="225">
        <f t="shared" si="63"/>
        <v>1.4900882096069816</v>
      </c>
      <c r="S743" s="226">
        <f>'WetLitterbags placem_collection'!E84</f>
        <v>42767</v>
      </c>
      <c r="T743" s="226">
        <f>IF('WetLitterbags placem_collection'!G84="","",'WetLitterbags placem_collection'!G84)</f>
        <v>42819</v>
      </c>
      <c r="U743" s="227">
        <f t="shared" si="64"/>
        <v>52</v>
      </c>
      <c r="V743" s="225">
        <f t="shared" si="61"/>
        <v>0.45179999999999998</v>
      </c>
      <c r="W743" s="225">
        <f t="shared" si="62"/>
        <v>0.46935984928463337</v>
      </c>
      <c r="X743">
        <f>IFERROR(INDEX(Rainfall_Wet!$O$2:$O$217,MATCH(B743, Rainfall_Wet!$A$2:$A$217,0)),"")</f>
        <v>194.93009798400001</v>
      </c>
      <c r="Y743" s="231">
        <v>38.691629007962128</v>
      </c>
      <c r="Z743" s="231">
        <v>26.81299763288143</v>
      </c>
      <c r="AA743" s="231">
        <v>34.495373359156439</v>
      </c>
      <c r="AB743" s="232" t="s">
        <v>2675</v>
      </c>
      <c r="AC743" s="231">
        <v>3.5483587974371602</v>
      </c>
      <c r="AD743">
        <f>IF('WetLitterbags placem_collection'!AB84="","",'WetLitterbags placem_collection'!AB84)</f>
        <v>2.4</v>
      </c>
      <c r="AE743">
        <f>IF('WetLitterbags placem_collection'!Z84="","",'WetLitterbags placem_collection'!Z84)</f>
        <v>16.600000000000001</v>
      </c>
      <c r="AF743" s="246" t="str">
        <f>IF('WetLitterbags placem_collection'!AA84="","",'WetLitterbags placem_collection'!AA84)</f>
        <v>O</v>
      </c>
      <c r="AG743" t="str">
        <f>IF('WetLitterbags placem_collection'!AC84="","",'WetLitterbags placem_collection'!AC84)</f>
        <v/>
      </c>
      <c r="AH743">
        <f>AVERAGE('WetLitterbags placem_collection'!S84,'WetLitterbags placem_collection'!U84)</f>
        <v>26.6</v>
      </c>
      <c r="AI743">
        <f>AVERAGE('WetLitterbags placem_collection'!R84,'WetLitterbags placem_collection'!T84)</f>
        <v>23.05</v>
      </c>
      <c r="AJ743">
        <f>INDEX(Coordinates!$B$2:$B$197,MATCH(G743,Coordinates!$J$2:$J$197,0))</f>
        <v>-3.2957230040000001</v>
      </c>
      <c r="AK743">
        <f>INDEX(Coordinates!$C$2:$C$197,MATCH(G743,Coordinates!$J$2:$J$197,0))</f>
        <v>34.852416990000002</v>
      </c>
      <c r="AL743" t="str">
        <f>IF(ISNUMBER(SEARCH("C", 'WetLitterbags placem_collection'!Y84)),"YES","NO")</f>
        <v>NO</v>
      </c>
      <c r="AM743" t="str">
        <f>IF(ISNUMBER(SEARCH("H", 'WetLitterbags placem_collection'!Y84)),"YES","NO")</f>
        <v>NO</v>
      </c>
      <c r="AN743" t="str">
        <f>IF(ISNUMBER(SEARCH("R", 'WetLitterbags placem_collection'!Y84)),"YES","NO")</f>
        <v>NO</v>
      </c>
    </row>
    <row r="744" spans="1:40" ht="15" customHeight="1">
      <c r="A744" s="258" t="s">
        <v>2460</v>
      </c>
      <c r="B744" s="263">
        <f>'Dry_Litterbag Placem_Collection'!A85</f>
        <v>83</v>
      </c>
      <c r="C744" s="263" t="str">
        <f>'Dry_Litterbag Placem_Collection'!B85</f>
        <v>Maswa</v>
      </c>
      <c r="D744" s="263" t="s">
        <v>2659</v>
      </c>
      <c r="E744" s="263" t="s">
        <v>2661</v>
      </c>
      <c r="F744" s="263">
        <v>3</v>
      </c>
      <c r="G744" s="264" t="str">
        <f>'Dry_Litterbag Placem_Collection'!C85</f>
        <v>Dry_W3_T3</v>
      </c>
      <c r="H744" s="273" t="s">
        <v>3651</v>
      </c>
      <c r="I744" s="274" t="s">
        <v>298</v>
      </c>
      <c r="J744" s="223" t="str">
        <f>'WetLitterbags placem_collection'!Q85</f>
        <v>R22</v>
      </c>
      <c r="K744" s="225">
        <f>IFERROR(INDEX('Green_rooibos initial weight'!$C$5:$C$1749,MATCH(J744, 'Green_rooibos initial weight'!$A$5:$A$1749,0)),"")</f>
        <v>2.0590000000000002</v>
      </c>
      <c r="L744" s="225">
        <f>IFERROR(K744-(TBIcalc!$H$9+TBIcalc!$H$10),"")</f>
        <v>1.8092000000000001</v>
      </c>
      <c r="M744" s="391">
        <f>AVERAGE(Ashed_controlls!$K$12:$K$14)</f>
        <v>2.2816647271287041</v>
      </c>
      <c r="N744" s="225">
        <f t="shared" si="60"/>
        <v>1.7679201217567877</v>
      </c>
      <c r="O744" s="225">
        <f>IF(IFERROR(INDEX('Both teabags AfterWet'!$C$3:$C$841,MATCH(J744,'Both teabags AfterWet'!$A$3:$A$841,0)),"")="","",(IFERROR(INDEX('Both teabags AfterWet'!$C$3:$C$841,MATCH(J744,'Both teabags AfterWet'!$A$3:$A$841,0)),"")))</f>
        <v>1.637</v>
      </c>
      <c r="P744" s="225">
        <f>IFERROR(IF(O744&gt;0,O744-(TBIcalc!$H$9),""),"")</f>
        <v>1.4863999999999999</v>
      </c>
      <c r="Q744" s="225">
        <f>IFERROR(INDEX('Ashed teabags wet'!$K$2:$K$821,MATCH(J744,'Ashed teabags wet'!$A$2:$A$821,0)),"")</f>
        <v>7.3339940535177606</v>
      </c>
      <c r="R744" s="225">
        <f t="shared" si="63"/>
        <v>1.377387512388512</v>
      </c>
      <c r="S744" s="226">
        <f>'WetLitterbags placem_collection'!E85</f>
        <v>42767</v>
      </c>
      <c r="T744" s="226">
        <f>IF('WetLitterbags placem_collection'!G85="","",'WetLitterbags placem_collection'!G85)</f>
        <v>42819</v>
      </c>
      <c r="U744" s="227">
        <f t="shared" si="64"/>
        <v>52</v>
      </c>
      <c r="V744" s="225">
        <f t="shared" si="61"/>
        <v>0.3228000000000002</v>
      </c>
      <c r="W744" s="225">
        <f t="shared" si="62"/>
        <v>0.39053260936827572</v>
      </c>
      <c r="X744">
        <f>IFERROR(INDEX(Rainfall_Wet!$O$2:$O$217,MATCH(B744, Rainfall_Wet!$A$2:$A$217,0)),"")</f>
        <v>194.93009798400001</v>
      </c>
      <c r="Y744" s="231">
        <v>38.691629007962128</v>
      </c>
      <c r="Z744" s="231">
        <v>26.81299763288143</v>
      </c>
      <c r="AA744" s="231">
        <v>34.495373359156439</v>
      </c>
      <c r="AB744" s="232" t="s">
        <v>2675</v>
      </c>
      <c r="AC744" s="231">
        <v>4.5483587974371602</v>
      </c>
      <c r="AD744">
        <f>IF('WetLitterbags placem_collection'!AB85="","",'WetLitterbags placem_collection'!AB85)</f>
        <v>6.4</v>
      </c>
      <c r="AE744">
        <f>IF('WetLitterbags placem_collection'!Z85="","",'WetLitterbags placem_collection'!Z85)</f>
        <v>42</v>
      </c>
      <c r="AF744" s="246" t="str">
        <f>IF('WetLitterbags placem_collection'!AA85="","",'WetLitterbags placem_collection'!AA85)</f>
        <v>M</v>
      </c>
      <c r="AG744">
        <f>IF('WetLitterbags placem_collection'!AC85="","",'WetLitterbags placem_collection'!AC85)</f>
        <v>1</v>
      </c>
      <c r="AH744">
        <f>AVERAGE('WetLitterbags placem_collection'!S85,'WetLitterbags placem_collection'!U85)</f>
        <v>30.099999999999998</v>
      </c>
      <c r="AI744">
        <f>AVERAGE('WetLitterbags placem_collection'!R85,'WetLitterbags placem_collection'!T85)</f>
        <v>25.05</v>
      </c>
      <c r="AJ744">
        <f>INDEX(Coordinates!$B$2:$B$197,MATCH(G744,Coordinates!$J$2:$J$197,0))</f>
        <v>-3.2957430369999998</v>
      </c>
      <c r="AK744">
        <f>INDEX(Coordinates!$C$2:$C$197,MATCH(G744,Coordinates!$J$2:$J$197,0))</f>
        <v>34.852309030000001</v>
      </c>
      <c r="AL744" t="str">
        <f>IF(ISNUMBER(SEARCH("C", 'WetLitterbags placem_collection'!Y85)),"YES","NO")</f>
        <v>NO</v>
      </c>
      <c r="AM744" t="str">
        <f>IF(ISNUMBER(SEARCH("H", 'WetLitterbags placem_collection'!Y85)),"YES","NO")</f>
        <v>NO</v>
      </c>
      <c r="AN744" t="str">
        <f>IF(ISNUMBER(SEARCH("R", 'WetLitterbags placem_collection'!Y85)),"YES","NO")</f>
        <v>NO</v>
      </c>
    </row>
    <row r="745" spans="1:40" ht="15" customHeight="1">
      <c r="A745" s="258" t="s">
        <v>2460</v>
      </c>
      <c r="B745" s="263">
        <f>'Dry_Litterbag Placem_Collection'!A86</f>
        <v>84</v>
      </c>
      <c r="C745" s="263" t="str">
        <f>'Dry_Litterbag Placem_Collection'!B86</f>
        <v>Maswa</v>
      </c>
      <c r="D745" s="263" t="s">
        <v>2659</v>
      </c>
      <c r="E745" s="263" t="s">
        <v>2661</v>
      </c>
      <c r="F745" s="263">
        <v>3</v>
      </c>
      <c r="G745" s="264" t="str">
        <f>'Dry_Litterbag Placem_Collection'!C86</f>
        <v>Dry_W3_T4</v>
      </c>
      <c r="H745" s="273" t="s">
        <v>3651</v>
      </c>
      <c r="I745" s="274" t="s">
        <v>298</v>
      </c>
      <c r="J745" s="223" t="str">
        <f>'WetLitterbags placem_collection'!Q86</f>
        <v>R417</v>
      </c>
      <c r="K745" s="225">
        <f>IFERROR(INDEX('Green_rooibos initial weight'!$C$5:$C$1749,MATCH(J745, 'Green_rooibos initial weight'!$A$5:$A$1749,0)),"")</f>
        <v>2.2269999999999999</v>
      </c>
      <c r="L745" s="225">
        <f>IFERROR(K745-(TBIcalc!$H$9+TBIcalc!$H$10),"")</f>
        <v>1.9771999999999998</v>
      </c>
      <c r="M745" s="391">
        <f>AVERAGE(Ashed_controlls!$K$12:$K$14)</f>
        <v>2.2816647271287041</v>
      </c>
      <c r="N745" s="225">
        <f t="shared" si="60"/>
        <v>1.9320869250152111</v>
      </c>
      <c r="O745" s="225">
        <f>IF(IFERROR(INDEX('Both teabags AfterWet'!$C$3:$C$841,MATCH(J745,'Both teabags AfterWet'!$A$3:$A$841,0)),"")="","",(IFERROR(INDEX('Both teabags AfterWet'!$C$3:$C$841,MATCH(J745,'Both teabags AfterWet'!$A$3:$A$841,0)),"")))</f>
        <v>1.5820000000000001</v>
      </c>
      <c r="P745" s="225">
        <f>IFERROR(IF(O745&gt;0,O745-(TBIcalc!$H$9),""),"")</f>
        <v>1.4314</v>
      </c>
      <c r="Q745" s="225">
        <f>IFERROR(INDEX('Ashed teabags wet'!$K$2:$K$821,MATCH(J745,'Ashed teabags wet'!$A$2:$A$821,0)),"")</f>
        <v>7.3412698412690327</v>
      </c>
      <c r="R745" s="225">
        <f t="shared" si="63"/>
        <v>1.3263170634920751</v>
      </c>
      <c r="S745" s="226">
        <f>'WetLitterbags placem_collection'!E86</f>
        <v>42767</v>
      </c>
      <c r="T745" s="226">
        <f>IF('WetLitterbags placem_collection'!G86="","",'WetLitterbags placem_collection'!G86)</f>
        <v>42819</v>
      </c>
      <c r="U745" s="227">
        <f t="shared" si="64"/>
        <v>52</v>
      </c>
      <c r="V745" s="225">
        <f t="shared" si="61"/>
        <v>0.54579999999999984</v>
      </c>
      <c r="W745" s="225">
        <f t="shared" si="62"/>
        <v>0.60576986152313594</v>
      </c>
      <c r="X745">
        <f>IFERROR(INDEX(Rainfall_Wet!$O$2:$O$217,MATCH(B745, Rainfall_Wet!$A$2:$A$217,0)),"")</f>
        <v>194.93009798400001</v>
      </c>
      <c r="Y745" s="231">
        <v>38.691629007962128</v>
      </c>
      <c r="Z745" s="231">
        <v>26.81299763288143</v>
      </c>
      <c r="AA745" s="231">
        <v>34.495373359156439</v>
      </c>
      <c r="AB745" s="232" t="s">
        <v>2675</v>
      </c>
      <c r="AC745" s="231">
        <v>5.5483587974371602</v>
      </c>
      <c r="AD745">
        <f>IF('WetLitterbags placem_collection'!AB86="","",'WetLitterbags placem_collection'!AB86)</f>
        <v>5.5</v>
      </c>
      <c r="AE745">
        <f>IF('WetLitterbags placem_collection'!Z86="","",'WetLitterbags placem_collection'!Z86)</f>
        <v>55.8</v>
      </c>
      <c r="AF745" s="246" t="str">
        <f>IF('WetLitterbags placem_collection'!AA86="","",'WetLitterbags placem_collection'!AA86)</f>
        <v>M</v>
      </c>
      <c r="AG745">
        <f>IF('WetLitterbags placem_collection'!AC86="","",'WetLitterbags placem_collection'!AC86)</f>
        <v>1</v>
      </c>
      <c r="AH745">
        <f>AVERAGE('WetLitterbags placem_collection'!S86,'WetLitterbags placem_collection'!U86)</f>
        <v>27.75</v>
      </c>
      <c r="AI745">
        <f>AVERAGE('WetLitterbags placem_collection'!R86,'WetLitterbags placem_collection'!T86)</f>
        <v>23.6</v>
      </c>
      <c r="AJ745">
        <f>INDEX(Coordinates!$B$2:$B$197,MATCH(G745,Coordinates!$J$2:$J$197,0))</f>
        <v>-3.295795005</v>
      </c>
      <c r="AK745">
        <f>INDEX(Coordinates!$C$2:$C$197,MATCH(G745,Coordinates!$J$2:$J$197,0))</f>
        <v>34.85232001</v>
      </c>
      <c r="AL745" t="str">
        <f>IF(ISNUMBER(SEARCH("C", 'WetLitterbags placem_collection'!Y86)),"YES","NO")</f>
        <v>NO</v>
      </c>
      <c r="AM745" t="str">
        <f>IF(ISNUMBER(SEARCH("H", 'WetLitterbags placem_collection'!Y86)),"YES","NO")</f>
        <v>NO</v>
      </c>
      <c r="AN745" t="str">
        <f>IF(ISNUMBER(SEARCH("R", 'WetLitterbags placem_collection'!Y86)),"YES","NO")</f>
        <v>YES</v>
      </c>
    </row>
    <row r="746" spans="1:40" ht="15" customHeight="1">
      <c r="A746" s="258" t="s">
        <v>2460</v>
      </c>
      <c r="B746" s="263">
        <f>'Dry_Litterbag Placem_Collection'!A87</f>
        <v>85</v>
      </c>
      <c r="C746" s="263" t="str">
        <f>'Dry_Litterbag Placem_Collection'!B87</f>
        <v>Maswa</v>
      </c>
      <c r="D746" s="263" t="s">
        <v>2659</v>
      </c>
      <c r="E746" s="263" t="s">
        <v>2661</v>
      </c>
      <c r="F746" s="263">
        <v>3</v>
      </c>
      <c r="G746" s="264" t="str">
        <f>'Dry_Litterbag Placem_Collection'!C87</f>
        <v>Dry_W3_T5</v>
      </c>
      <c r="H746" s="273" t="s">
        <v>3651</v>
      </c>
      <c r="I746" s="274" t="s">
        <v>298</v>
      </c>
      <c r="J746" s="223" t="str">
        <f>'WetLitterbags placem_collection'!Q87</f>
        <v>R391</v>
      </c>
      <c r="K746" s="225">
        <f>IFERROR(INDEX('Green_rooibos initial weight'!$C$5:$C$1749,MATCH(J746, 'Green_rooibos initial weight'!$A$5:$A$1749,0)),"")</f>
        <v>2.1960000000000002</v>
      </c>
      <c r="L746" s="225">
        <f>IFERROR(K746-(TBIcalc!$H$9+TBIcalc!$H$10),"")</f>
        <v>1.9462000000000002</v>
      </c>
      <c r="M746" s="391">
        <f>AVERAGE(Ashed_controlls!$K$12:$K$14)</f>
        <v>2.2816647271287041</v>
      </c>
      <c r="N746" s="225">
        <f t="shared" si="60"/>
        <v>1.9017942410806212</v>
      </c>
      <c r="O746" s="225">
        <f>IF(IFERROR(INDEX('Both teabags AfterWet'!$C$3:$C$841,MATCH(J746,'Both teabags AfterWet'!$A$3:$A$841,0)),"")="","",(IFERROR(INDEX('Both teabags AfterWet'!$C$3:$C$841,MATCH(J746,'Both teabags AfterWet'!$A$3:$A$841,0)),"")))</f>
        <v>1.6220000000000001</v>
      </c>
      <c r="P746" s="225">
        <f>IFERROR(IF(O746&gt;0,O746-(TBIcalc!$H$9),""),"")</f>
        <v>1.4714</v>
      </c>
      <c r="Q746" s="225">
        <f>IFERROR(INDEX('Ashed teabags wet'!$K$2:$K$821,MATCH(J746,'Ashed teabags wet'!$A$2:$A$821,0)),"")</f>
        <v>3.6463536463541599</v>
      </c>
      <c r="R746" s="225">
        <f t="shared" si="63"/>
        <v>1.4177475524475449</v>
      </c>
      <c r="S746" s="226">
        <f>'WetLitterbags placem_collection'!E87</f>
        <v>42767</v>
      </c>
      <c r="T746" s="226">
        <f>IF('WetLitterbags placem_collection'!G87="","",'WetLitterbags placem_collection'!G87)</f>
        <v>42819</v>
      </c>
      <c r="U746" s="227">
        <f t="shared" si="64"/>
        <v>52</v>
      </c>
      <c r="V746" s="225">
        <f t="shared" si="61"/>
        <v>0.47480000000000011</v>
      </c>
      <c r="W746" s="225">
        <f t="shared" si="62"/>
        <v>0.48404668863307632</v>
      </c>
      <c r="X746">
        <f>IFERROR(INDEX(Rainfall_Wet!$O$2:$O$217,MATCH(B746, Rainfall_Wet!$A$2:$A$217,0)),"")</f>
        <v>194.93009798400001</v>
      </c>
      <c r="Y746" s="231">
        <v>38.691629007962128</v>
      </c>
      <c r="Z746" s="231">
        <v>26.81299763288143</v>
      </c>
      <c r="AA746" s="231">
        <v>34.495373359156439</v>
      </c>
      <c r="AB746" s="232" t="s">
        <v>2675</v>
      </c>
      <c r="AC746" s="231">
        <v>6.5483587974371602</v>
      </c>
      <c r="AD746">
        <f>IF('WetLitterbags placem_collection'!AB87="","",'WetLitterbags placem_collection'!AB87)</f>
        <v>8.6</v>
      </c>
      <c r="AE746">
        <f>IF('WetLitterbags placem_collection'!Z87="","",'WetLitterbags placem_collection'!Z87)</f>
        <v>3.8</v>
      </c>
      <c r="AF746" s="246" t="str">
        <f>IF('WetLitterbags placem_collection'!AA87="","",'WetLitterbags placem_collection'!AA87)</f>
        <v>O</v>
      </c>
      <c r="AG746">
        <f>IF('WetLitterbags placem_collection'!AC87="","",'WetLitterbags placem_collection'!AC87)</f>
        <v>0</v>
      </c>
      <c r="AH746">
        <f>AVERAGE('WetLitterbags placem_collection'!S87,'WetLitterbags placem_collection'!U87)</f>
        <v>26.55</v>
      </c>
      <c r="AI746">
        <f>AVERAGE('WetLitterbags placem_collection'!R87,'WetLitterbags placem_collection'!T87)</f>
        <v>23.15</v>
      </c>
      <c r="AJ746">
        <f>INDEX(Coordinates!$B$2:$B$197,MATCH(G746,Coordinates!$J$2:$J$197,0))</f>
        <v>-3.2957100119999998</v>
      </c>
      <c r="AK746">
        <f>INDEX(Coordinates!$C$2:$C$197,MATCH(G746,Coordinates!$J$2:$J$197,0))</f>
        <v>34.852283970000002</v>
      </c>
      <c r="AL746" t="str">
        <f>IF(ISNUMBER(SEARCH("C", 'WetLitterbags placem_collection'!Y87)),"YES","NO")</f>
        <v>NO</v>
      </c>
      <c r="AM746" t="str">
        <f>IF(ISNUMBER(SEARCH("H", 'WetLitterbags placem_collection'!Y87)),"YES","NO")</f>
        <v>NO</v>
      </c>
      <c r="AN746" t="str">
        <f>IF(ISNUMBER(SEARCH("R", 'WetLitterbags placem_collection'!Y87)),"YES","NO")</f>
        <v>NO</v>
      </c>
    </row>
    <row r="747" spans="1:40" ht="15" customHeight="1">
      <c r="A747" s="258" t="s">
        <v>2460</v>
      </c>
      <c r="B747" s="263">
        <f>'Dry_Litterbag Placem_Collection'!A88</f>
        <v>86</v>
      </c>
      <c r="C747" s="263" t="str">
        <f>'Dry_Litterbag Placem_Collection'!B88</f>
        <v>Maswa</v>
      </c>
      <c r="D747" s="263" t="s">
        <v>2659</v>
      </c>
      <c r="E747" s="263" t="s">
        <v>2661</v>
      </c>
      <c r="F747" s="263">
        <v>3</v>
      </c>
      <c r="G747" s="264" t="str">
        <f>'Dry_Litterbag Placem_Collection'!C88</f>
        <v>Dry_W3_T6</v>
      </c>
      <c r="H747" s="273" t="s">
        <v>3651</v>
      </c>
      <c r="I747" s="274" t="s">
        <v>298</v>
      </c>
      <c r="J747" s="223" t="str">
        <f>'WetLitterbags placem_collection'!Q88</f>
        <v>R62</v>
      </c>
      <c r="K747" s="225">
        <f>IFERROR(INDEX('Green_rooibos initial weight'!$C$5:$C$1749,MATCH(J747, 'Green_rooibos initial weight'!$A$5:$A$1749,0)),"")</f>
        <v>2.3660000000000001</v>
      </c>
      <c r="L747" s="225">
        <f>IFERROR(K747-(TBIcalc!$H$9+TBIcalc!$H$10),"")</f>
        <v>2.1162000000000001</v>
      </c>
      <c r="M747" s="391">
        <f>AVERAGE(Ashed_controlls!$K$12:$K$14)</f>
        <v>2.2816647271287041</v>
      </c>
      <c r="N747" s="225">
        <f t="shared" si="60"/>
        <v>2.0679154110445026</v>
      </c>
      <c r="O747" s="225">
        <f>IF(IFERROR(INDEX('Both teabags AfterWet'!$C$3:$C$841,MATCH(J747,'Both teabags AfterWet'!$A$3:$A$841,0)),"")="","",(IFERROR(INDEX('Both teabags AfterWet'!$C$3:$C$841,MATCH(J747,'Both teabags AfterWet'!$A$3:$A$841,0)),"")))</f>
        <v>1.6786000000000001</v>
      </c>
      <c r="P747" s="225">
        <f>IFERROR(IF(O747&gt;0,O747-(TBIcalc!$H$9),""),"")</f>
        <v>1.528</v>
      </c>
      <c r="Q747" s="225">
        <f>IFERROR(INDEX('Ashed teabags wet'!$K$2:$K$821,MATCH(J747,'Ashed teabags wet'!$A$2:$A$821,0)),"")</f>
        <v>28.338278931750832</v>
      </c>
      <c r="R747" s="225">
        <f t="shared" si="63"/>
        <v>1.0949910979228474</v>
      </c>
      <c r="S747" s="226">
        <f>'WetLitterbags placem_collection'!E88</f>
        <v>42767</v>
      </c>
      <c r="T747" s="226">
        <f>IF('WetLitterbags placem_collection'!G88="","",'WetLitterbags placem_collection'!G88)</f>
        <v>42819</v>
      </c>
      <c r="U747" s="227">
        <f t="shared" si="64"/>
        <v>52</v>
      </c>
      <c r="V747" s="225">
        <f t="shared" si="61"/>
        <v>0.58820000000000006</v>
      </c>
      <c r="W747" s="225">
        <f t="shared" si="62"/>
        <v>0.97292431312165517</v>
      </c>
      <c r="X747">
        <f>IFERROR(INDEX(Rainfall_Wet!$O$2:$O$217,MATCH(B747, Rainfall_Wet!$A$2:$A$217,0)),"")</f>
        <v>194.93009798400001</v>
      </c>
      <c r="Y747" s="231">
        <v>38.691629007962128</v>
      </c>
      <c r="Z747" s="231">
        <v>26.81299763288143</v>
      </c>
      <c r="AA747" s="231">
        <v>34.495373359156439</v>
      </c>
      <c r="AB747" s="232" t="s">
        <v>2675</v>
      </c>
      <c r="AC747" s="231">
        <v>7.5483587974371602</v>
      </c>
      <c r="AD747">
        <f>IF('WetLitterbags placem_collection'!AB88="","",'WetLitterbags placem_collection'!AB88)</f>
        <v>3.7</v>
      </c>
      <c r="AE747">
        <f>IF('WetLitterbags placem_collection'!Z88="","",'WetLitterbags placem_collection'!Z88)</f>
        <v>7.5</v>
      </c>
      <c r="AF747" s="246" t="str">
        <f>IF('WetLitterbags placem_collection'!AA88="","",'WetLitterbags placem_collection'!AA88)</f>
        <v>O</v>
      </c>
      <c r="AG747">
        <f>IF('WetLitterbags placem_collection'!AC88="","",'WetLitterbags placem_collection'!AC88)</f>
        <v>0</v>
      </c>
      <c r="AH747">
        <f>AVERAGE('WetLitterbags placem_collection'!S88,'WetLitterbags placem_collection'!U88)</f>
        <v>24.05</v>
      </c>
      <c r="AI747">
        <f>AVERAGE('WetLitterbags placem_collection'!R88,'WetLitterbags placem_collection'!T88)</f>
        <v>25.799999999999997</v>
      </c>
      <c r="AJ747">
        <f>INDEX(Coordinates!$B$2:$B$197,MATCH(G747,Coordinates!$J$2:$J$197,0))</f>
        <v>-3.2956140399999998</v>
      </c>
      <c r="AK747">
        <f>INDEX(Coordinates!$C$2:$C$197,MATCH(G747,Coordinates!$J$2:$J$197,0))</f>
        <v>34.852137030000002</v>
      </c>
      <c r="AL747" t="str">
        <f>IF(ISNUMBER(SEARCH("C", 'WetLitterbags placem_collection'!Y88)),"YES","NO")</f>
        <v>NO</v>
      </c>
      <c r="AM747" t="str">
        <f>IF(ISNUMBER(SEARCH("H", 'WetLitterbags placem_collection'!Y88)),"YES","NO")</f>
        <v>NO</v>
      </c>
      <c r="AN747" t="str">
        <f>IF(ISNUMBER(SEARCH("R", 'WetLitterbags placem_collection'!Y88)),"YES","NO")</f>
        <v>NO</v>
      </c>
    </row>
    <row r="748" spans="1:40" ht="15" customHeight="1">
      <c r="A748" s="258" t="s">
        <v>2460</v>
      </c>
      <c r="B748" s="263">
        <f>'Dry_Litterbag Placem_Collection'!A89</f>
        <v>87</v>
      </c>
      <c r="C748" s="263" t="str">
        <f>'Dry_Litterbag Placem_Collection'!B89</f>
        <v>Maswa</v>
      </c>
      <c r="D748" s="263" t="s">
        <v>2659</v>
      </c>
      <c r="E748" s="263" t="s">
        <v>2661</v>
      </c>
      <c r="F748" s="263">
        <v>3</v>
      </c>
      <c r="G748" s="264" t="str">
        <f>'Dry_Litterbag Placem_Collection'!C89</f>
        <v>Dry_W3_T7</v>
      </c>
      <c r="H748" s="273" t="s">
        <v>3651</v>
      </c>
      <c r="I748" s="274" t="s">
        <v>298</v>
      </c>
      <c r="J748" s="223" t="str">
        <f>'WetLitterbags placem_collection'!Q89</f>
        <v>R329</v>
      </c>
      <c r="K748" s="225">
        <f>IFERROR(INDEX('Green_rooibos initial weight'!$C$5:$C$1749,MATCH(J748, 'Green_rooibos initial weight'!$A$5:$A$1749,0)),"")</f>
        <v>2.2120000000000002</v>
      </c>
      <c r="L748" s="225">
        <f>IFERROR(K748-(TBIcalc!$H$9+TBIcalc!$H$10),"")</f>
        <v>1.9622000000000002</v>
      </c>
      <c r="M748" s="391">
        <f>AVERAGE(Ashed_controlls!$K$12:$K$14)</f>
        <v>2.2816647271287041</v>
      </c>
      <c r="N748" s="225">
        <f t="shared" si="60"/>
        <v>1.9174291747242806</v>
      </c>
      <c r="O748" s="225">
        <f>IF(IFERROR(INDEX('Both teabags AfterWet'!$C$3:$C$841,MATCH(J748,'Both teabags AfterWet'!$A$3:$A$841,0)),"")="","",(IFERROR(INDEX('Both teabags AfterWet'!$C$3:$C$841,MATCH(J748,'Both teabags AfterWet'!$A$3:$A$841,0)),"")))</f>
        <v>1.7085999999999999</v>
      </c>
      <c r="P748" s="225">
        <f>IFERROR(IF(O748&gt;0,O748-(TBIcalc!$H$9),""),"")</f>
        <v>1.5579999999999998</v>
      </c>
      <c r="Q748" s="225">
        <f>IFERROR(INDEX('Ashed teabags wet'!$K$2:$K$821,MATCH(J748,'Ashed teabags wet'!$A$2:$A$821,0)),"")</f>
        <v>5.7663873829462604</v>
      </c>
      <c r="R748" s="225">
        <f t="shared" si="63"/>
        <v>1.4681596845736971</v>
      </c>
      <c r="S748" s="226">
        <f>'WetLitterbags placem_collection'!E89</f>
        <v>42767</v>
      </c>
      <c r="T748" s="226">
        <f>IF('WetLitterbags placem_collection'!G89="","",'WetLitterbags placem_collection'!G89)</f>
        <v>42819</v>
      </c>
      <c r="U748" s="227">
        <f t="shared" si="64"/>
        <v>52</v>
      </c>
      <c r="V748" s="225">
        <f t="shared" si="61"/>
        <v>0.40420000000000034</v>
      </c>
      <c r="W748" s="225">
        <f t="shared" si="62"/>
        <v>0.44926949015058359</v>
      </c>
      <c r="X748">
        <f>IFERROR(INDEX(Rainfall_Wet!$O$2:$O$217,MATCH(B748, Rainfall_Wet!$A$2:$A$217,0)),"")</f>
        <v>194.93009798400001</v>
      </c>
      <c r="Y748" s="231">
        <v>38.691629007962128</v>
      </c>
      <c r="Z748" s="231">
        <v>26.81299763288143</v>
      </c>
      <c r="AA748" s="231">
        <v>34.495373359156439</v>
      </c>
      <c r="AB748" s="232" t="s">
        <v>2675</v>
      </c>
      <c r="AC748" s="231">
        <v>8.5483587974371602</v>
      </c>
      <c r="AD748">
        <f>IF('WetLitterbags placem_collection'!AB89="","",'WetLitterbags placem_collection'!AB89)</f>
        <v>7.5</v>
      </c>
      <c r="AE748">
        <f>IF('WetLitterbags placem_collection'!Z89="","",'WetLitterbags placem_collection'!Z89)</f>
        <v>12.6</v>
      </c>
      <c r="AF748" s="246" t="str">
        <f>IF('WetLitterbags placem_collection'!AA89="","",'WetLitterbags placem_collection'!AA89)</f>
        <v>O</v>
      </c>
      <c r="AG748">
        <f>IF('WetLitterbags placem_collection'!AC89="","",'WetLitterbags placem_collection'!AC89)</f>
        <v>1</v>
      </c>
      <c r="AH748">
        <f>AVERAGE('WetLitterbags placem_collection'!S89,'WetLitterbags placem_collection'!U89)</f>
        <v>25.85</v>
      </c>
      <c r="AI748">
        <f>AVERAGE('WetLitterbags placem_collection'!R89,'WetLitterbags placem_collection'!T89)</f>
        <v>21.55</v>
      </c>
      <c r="AJ748">
        <f>INDEX(Coordinates!$B$2:$B$197,MATCH(G748,Coordinates!$J$2:$J$197,0))</f>
        <v>-3.295904975</v>
      </c>
      <c r="AK748">
        <f>INDEX(Coordinates!$C$2:$C$197,MATCH(G748,Coordinates!$J$2:$J$197,0))</f>
        <v>34.852136029999997</v>
      </c>
      <c r="AL748" t="str">
        <f>IF(ISNUMBER(SEARCH("C", 'WetLitterbags placem_collection'!Y89)),"YES","NO")</f>
        <v>NO</v>
      </c>
      <c r="AM748" t="str">
        <f>IF(ISNUMBER(SEARCH("H", 'WetLitterbags placem_collection'!Y89)),"YES","NO")</f>
        <v>NO</v>
      </c>
      <c r="AN748" t="str">
        <f>IF(ISNUMBER(SEARCH("R", 'WetLitterbags placem_collection'!Y89)),"YES","NO")</f>
        <v>NO</v>
      </c>
    </row>
    <row r="749" spans="1:40" ht="15" customHeight="1">
      <c r="A749" s="258" t="s">
        <v>2460</v>
      </c>
      <c r="B749" s="263">
        <f>'Dry_Litterbag Placem_Collection'!A90</f>
        <v>88</v>
      </c>
      <c r="C749" s="263" t="str">
        <f>'Dry_Litterbag Placem_Collection'!B90</f>
        <v>Maswa</v>
      </c>
      <c r="D749" s="263" t="s">
        <v>2659</v>
      </c>
      <c r="E749" s="263" t="s">
        <v>2661</v>
      </c>
      <c r="F749" s="263">
        <v>3</v>
      </c>
      <c r="G749" s="264" t="str">
        <f>'Dry_Litterbag Placem_Collection'!C90</f>
        <v>Dry_W3_T8</v>
      </c>
      <c r="H749" s="273" t="s">
        <v>3651</v>
      </c>
      <c r="I749" s="274" t="s">
        <v>298</v>
      </c>
      <c r="J749" s="223" t="str">
        <f>'WetLitterbags placem_collection'!Q90</f>
        <v>R288</v>
      </c>
      <c r="K749" s="225">
        <f>IFERROR(INDEX('Green_rooibos initial weight'!$C$5:$C$1749,MATCH(J749, 'Green_rooibos initial weight'!$A$5:$A$1749,0)),"")</f>
        <v>2.2450000000000001</v>
      </c>
      <c r="L749" s="225">
        <f>IFERROR(K749-(TBIcalc!$H$9+TBIcalc!$H$10),"")</f>
        <v>1.9952000000000001</v>
      </c>
      <c r="M749" s="391">
        <f>AVERAGE(Ashed_controlls!$K$12:$K$14)</f>
        <v>2.2816647271287041</v>
      </c>
      <c r="N749" s="225">
        <f t="shared" si="60"/>
        <v>1.9496762253643283</v>
      </c>
      <c r="O749" s="225" t="str">
        <f>IF(IFERROR(INDEX('Both teabags AfterWet'!$C$3:$C$841,MATCH(J749,'Both teabags AfterWet'!$A$3:$A$841,0)),"")="","",(IFERROR(INDEX('Both teabags AfterWet'!$C$3:$C$841,MATCH(J749,'Both teabags AfterWet'!$A$3:$A$841,0)),"")))</f>
        <v/>
      </c>
      <c r="P749" s="225" t="str">
        <f>IFERROR(IF(O749&gt;0,O749-(TBIcalc!$H$9),""),"")</f>
        <v/>
      </c>
      <c r="Q749" s="225" t="str">
        <f>IFERROR(INDEX('Ashed teabags wet'!$K$2:$K$821,MATCH(J749,'Ashed teabags wet'!$A$2:$A$821,0)),"")</f>
        <v/>
      </c>
      <c r="R749" s="225" t="str">
        <f t="shared" si="63"/>
        <v/>
      </c>
      <c r="S749" s="226">
        <f>'WetLitterbags placem_collection'!E90</f>
        <v>42767</v>
      </c>
      <c r="T749" s="226" t="str">
        <f>IF('WetLitterbags placem_collection'!G90="","",'WetLitterbags placem_collection'!G90)</f>
        <v/>
      </c>
      <c r="U749" s="227" t="str">
        <f t="shared" si="64"/>
        <v/>
      </c>
      <c r="V749" s="225" t="str">
        <f t="shared" si="61"/>
        <v/>
      </c>
      <c r="W749" s="225" t="str">
        <f t="shared" si="62"/>
        <v/>
      </c>
      <c r="X749" t="str">
        <f>IFERROR(INDEX(Rainfall_Wet!$O$2:$O$217,MATCH(B749, Rainfall_Wet!$A$2:$A$217,0)),"")</f>
        <v/>
      </c>
      <c r="Y749" s="231">
        <v>38.691629007962128</v>
      </c>
      <c r="Z749" s="231">
        <v>26.81299763288143</v>
      </c>
      <c r="AA749" s="231">
        <v>34.495373359156439</v>
      </c>
      <c r="AB749" s="232" t="s">
        <v>2675</v>
      </c>
      <c r="AC749" s="231">
        <v>9.5483587974371602</v>
      </c>
      <c r="AD749" t="str">
        <f>IF('WetLitterbags placem_collection'!AB90="","",'WetLitterbags placem_collection'!AB90)</f>
        <v/>
      </c>
      <c r="AE749" t="str">
        <f>IF('WetLitterbags placem_collection'!Z90="","",'WetLitterbags placem_collection'!Z90)</f>
        <v/>
      </c>
      <c r="AF749" s="246" t="str">
        <f>IF('WetLitterbags placem_collection'!AA90="","",'WetLitterbags placem_collection'!AA90)</f>
        <v/>
      </c>
      <c r="AG749" t="str">
        <f>IF('WetLitterbags placem_collection'!AC90="","",'WetLitterbags placem_collection'!AC90)</f>
        <v/>
      </c>
      <c r="AH749">
        <f>AVERAGE('WetLitterbags placem_collection'!S90,'WetLitterbags placem_collection'!U90)</f>
        <v>29.7</v>
      </c>
      <c r="AI749">
        <f>AVERAGE('WetLitterbags placem_collection'!R90,'WetLitterbags placem_collection'!T90)</f>
        <v>21.4</v>
      </c>
      <c r="AJ749">
        <f>INDEX(Coordinates!$B$2:$B$197,MATCH(G749,Coordinates!$J$2:$J$197,0))</f>
        <v>-3.2959530039999998</v>
      </c>
      <c r="AK749">
        <f>INDEX(Coordinates!$C$2:$C$197,MATCH(G749,Coordinates!$J$2:$J$197,0))</f>
        <v>34.85242504</v>
      </c>
      <c r="AL749" t="str">
        <f>IF(ISNUMBER(SEARCH("C", 'WetLitterbags placem_collection'!Y90)),"YES","NO")</f>
        <v>NO</v>
      </c>
      <c r="AM749" t="str">
        <f>IF(ISNUMBER(SEARCH("H", 'WetLitterbags placem_collection'!Y90)),"YES","NO")</f>
        <v>NO</v>
      </c>
      <c r="AN749" t="str">
        <f>IF(ISNUMBER(SEARCH("R", 'WetLitterbags placem_collection'!Y90)),"YES","NO")</f>
        <v>NO</v>
      </c>
    </row>
    <row r="750" spans="1:40" ht="15" customHeight="1">
      <c r="A750" s="258" t="s">
        <v>2460</v>
      </c>
      <c r="B750" s="263">
        <f>'Dry_Litterbag Placem_Collection'!A91</f>
        <v>89</v>
      </c>
      <c r="C750" s="263" t="str">
        <f>'Dry_Litterbag Placem_Collection'!B91</f>
        <v>Maswa</v>
      </c>
      <c r="D750" s="263" t="s">
        <v>2659</v>
      </c>
      <c r="E750" s="263" t="s">
        <v>2661</v>
      </c>
      <c r="F750" s="263">
        <v>4</v>
      </c>
      <c r="G750" s="264" t="str">
        <f>'Dry_Litterbag Placem_Collection'!C91</f>
        <v>Dry_W4_T1</v>
      </c>
      <c r="H750" s="273" t="s">
        <v>3651</v>
      </c>
      <c r="I750" s="274" t="s">
        <v>298</v>
      </c>
      <c r="J750" s="223" t="str">
        <f>'WetLitterbags placem_collection'!Q91</f>
        <v>R171</v>
      </c>
      <c r="K750" s="225">
        <f>IFERROR(INDEX('Green_rooibos initial weight'!$C$5:$C$1749,MATCH(J750, 'Green_rooibos initial weight'!$A$5:$A$1749,0)),"")</f>
        <v>2.1160000000000001</v>
      </c>
      <c r="L750" s="225">
        <f>IFERROR(K750-(TBIcalc!$H$9+TBIcalc!$H$10),"")</f>
        <v>1.8662000000000001</v>
      </c>
      <c r="M750" s="391">
        <f>AVERAGE(Ashed_controlls!$K$12:$K$14)</f>
        <v>2.2816647271287041</v>
      </c>
      <c r="N750" s="225">
        <f t="shared" si="60"/>
        <v>1.8236195728623241</v>
      </c>
      <c r="O750" s="225">
        <f>IF(IFERROR(INDEX('Both teabags AfterWet'!$C$3:$C$841,MATCH(J750,'Both teabags AfterWet'!$A$3:$A$841,0)),"")="","",(IFERROR(INDEX('Both teabags AfterWet'!$C$3:$C$841,MATCH(J750,'Both teabags AfterWet'!$A$3:$A$841,0)),"")))</f>
        <v>2.0529999999999999</v>
      </c>
      <c r="P750" s="225">
        <f>IFERROR(IF(O750&gt;0,O750-(TBIcalc!$H$9),""),"")</f>
        <v>1.9023999999999999</v>
      </c>
      <c r="Q750" s="225">
        <f>IFERROR(INDEX('Ashed teabags wet'!$K$2:$K$821,MATCH(J750,'Ashed teabags wet'!$A$2:$A$821,0)),"")</f>
        <v>19.890873015872916</v>
      </c>
      <c r="R750" s="225">
        <f t="shared" si="63"/>
        <v>1.5239960317460335</v>
      </c>
      <c r="S750" s="226">
        <f>'WetLitterbags placem_collection'!E91</f>
        <v>42767</v>
      </c>
      <c r="T750" s="226">
        <f>IF('WetLitterbags placem_collection'!G91="","",'WetLitterbags placem_collection'!G91)</f>
        <v>42819</v>
      </c>
      <c r="U750" s="227">
        <f t="shared" si="64"/>
        <v>52</v>
      </c>
      <c r="V750" s="225">
        <f t="shared" si="61"/>
        <v>-3.6199999999999788E-2</v>
      </c>
      <c r="W750" s="225">
        <f t="shared" si="62"/>
        <v>0.29962354111629064</v>
      </c>
      <c r="X750">
        <f>IFERROR(INDEX(Rainfall_Wet!$O$2:$O$217,MATCH(B750, Rainfall_Wet!$A$2:$A$217,0)),"")</f>
        <v>194.93009798400001</v>
      </c>
      <c r="Y750" s="231">
        <v>28.145762029394</v>
      </c>
      <c r="Z750" s="231">
        <v>25.085564727199518</v>
      </c>
      <c r="AA750" s="231">
        <v>46.768673243406489</v>
      </c>
      <c r="AB750" s="232" t="s">
        <v>2670</v>
      </c>
      <c r="AC750" s="231">
        <v>2.1716214884179394</v>
      </c>
      <c r="AD750">
        <f>IF('WetLitterbags placem_collection'!AB91="","",'WetLitterbags placem_collection'!AB91)</f>
        <v>7.3</v>
      </c>
      <c r="AE750">
        <f>IF('WetLitterbags placem_collection'!Z91="","",'WetLitterbags placem_collection'!Z91)</f>
        <v>35.799999999999997</v>
      </c>
      <c r="AF750" s="246" t="str">
        <f>IF('WetLitterbags placem_collection'!AA91="","",'WetLitterbags placem_collection'!AA91)</f>
        <v>O</v>
      </c>
      <c r="AG750">
        <f>IF('WetLitterbags placem_collection'!AC91="","",'WetLitterbags placem_collection'!AC91)</f>
        <v>0</v>
      </c>
      <c r="AH750">
        <f>AVERAGE('WetLitterbags placem_collection'!S91,'WetLitterbags placem_collection'!U91)</f>
        <v>20.95</v>
      </c>
      <c r="AI750">
        <f>AVERAGE('WetLitterbags placem_collection'!R91,'WetLitterbags placem_collection'!T91)</f>
        <v>24.45</v>
      </c>
      <c r="AJ750">
        <f>INDEX(Coordinates!$B$2:$B$197,MATCH(G750,Coordinates!$J$2:$J$197,0))</f>
        <v>-3.2966709980000002</v>
      </c>
      <c r="AK750">
        <f>INDEX(Coordinates!$C$2:$C$197,MATCH(G750,Coordinates!$J$2:$J$197,0))</f>
        <v>34.854407019999996</v>
      </c>
      <c r="AL750" t="str">
        <f>IF(ISNUMBER(SEARCH("C", 'WetLitterbags placem_collection'!Y91)),"YES","NO")</f>
        <v>NO</v>
      </c>
      <c r="AM750" t="str">
        <f>IF(ISNUMBER(SEARCH("H", 'WetLitterbags placem_collection'!Y91)),"YES","NO")</f>
        <v>NO</v>
      </c>
      <c r="AN750" t="str">
        <f>IF(ISNUMBER(SEARCH("R", 'WetLitterbags placem_collection'!Y91)),"YES","NO")</f>
        <v>NO</v>
      </c>
    </row>
    <row r="751" spans="1:40" ht="15" customHeight="1">
      <c r="A751" s="258" t="s">
        <v>2460</v>
      </c>
      <c r="B751" s="263">
        <f>'Dry_Litterbag Placem_Collection'!A92</f>
        <v>90</v>
      </c>
      <c r="C751" s="263" t="str">
        <f>'Dry_Litterbag Placem_Collection'!B92</f>
        <v>Maswa</v>
      </c>
      <c r="D751" s="263" t="s">
        <v>2659</v>
      </c>
      <c r="E751" s="263" t="s">
        <v>2661</v>
      </c>
      <c r="F751" s="263">
        <v>4</v>
      </c>
      <c r="G751" s="264" t="str">
        <f>'Dry_Litterbag Placem_Collection'!C92</f>
        <v>Dry_W4_T2</v>
      </c>
      <c r="H751" s="273" t="s">
        <v>3651</v>
      </c>
      <c r="I751" s="274" t="s">
        <v>298</v>
      </c>
      <c r="J751" s="223" t="str">
        <f>'WetLitterbags placem_collection'!Q92</f>
        <v>R517</v>
      </c>
      <c r="K751" s="225">
        <f>IFERROR(INDEX('Green_rooibos initial weight'!$C$5:$C$1749,MATCH(J751, 'Green_rooibos initial weight'!$A$5:$A$1749,0)),"")</f>
        <v>2.222</v>
      </c>
      <c r="L751" s="225">
        <f>IFERROR(K751-(TBIcalc!$H$9+TBIcalc!$H$10),"")</f>
        <v>1.9722</v>
      </c>
      <c r="M751" s="391">
        <f>AVERAGE(Ashed_controlls!$K$12:$K$14)</f>
        <v>2.2816647271287041</v>
      </c>
      <c r="N751" s="225">
        <f t="shared" si="60"/>
        <v>1.9272010082515676</v>
      </c>
      <c r="O751" s="225">
        <f>IF(IFERROR(INDEX('Both teabags AfterWet'!$C$3:$C$841,MATCH(J751,'Both teabags AfterWet'!$A$3:$A$841,0)),"")="","",(IFERROR(INDEX('Both teabags AfterWet'!$C$3:$C$841,MATCH(J751,'Both teabags AfterWet'!$A$3:$A$841,0)),"")))</f>
        <v>2.2749000000000001</v>
      </c>
      <c r="P751" s="225">
        <f>IFERROR(IF(O751&gt;0,O751-(TBIcalc!$H$9),""),"")</f>
        <v>2.1243000000000003</v>
      </c>
      <c r="Q751" s="225">
        <f>IFERROR(INDEX('Ashed teabags wet'!$K$2:$K$821,MATCH(J751,'Ashed teabags wet'!$A$2:$A$821,0)),"")</f>
        <v>22.544750846637683</v>
      </c>
      <c r="R751" s="225">
        <f t="shared" si="63"/>
        <v>1.645381857764876</v>
      </c>
      <c r="S751" s="226">
        <f>'WetLitterbags placem_collection'!E92</f>
        <v>42767</v>
      </c>
      <c r="T751" s="226">
        <f>IF('WetLitterbags placem_collection'!G92="","",'WetLitterbags placem_collection'!G92)</f>
        <v>42819</v>
      </c>
      <c r="U751" s="227">
        <f t="shared" si="64"/>
        <v>52</v>
      </c>
      <c r="V751" s="225">
        <f t="shared" si="61"/>
        <v>-0.15210000000000035</v>
      </c>
      <c r="W751" s="225">
        <f t="shared" si="62"/>
        <v>0.28181915048669159</v>
      </c>
      <c r="X751">
        <f>IFERROR(INDEX(Rainfall_Wet!$O$2:$O$217,MATCH(B751, Rainfall_Wet!$A$2:$A$217,0)),"")</f>
        <v>194.93009798400001</v>
      </c>
      <c r="Y751" s="231">
        <v>28.145762029394</v>
      </c>
      <c r="Z751" s="231">
        <v>25.085564727199518</v>
      </c>
      <c r="AA751" s="231">
        <v>46.768673243406489</v>
      </c>
      <c r="AB751" s="232" t="s">
        <v>2670</v>
      </c>
      <c r="AC751" s="231">
        <v>3.1716214884179399</v>
      </c>
      <c r="AD751">
        <f>IF('WetLitterbags placem_collection'!AB92="","",'WetLitterbags placem_collection'!AB92)</f>
        <v>7.7</v>
      </c>
      <c r="AE751">
        <f>IF('WetLitterbags placem_collection'!Z92="","",'WetLitterbags placem_collection'!Z92)</f>
        <v>30.4</v>
      </c>
      <c r="AF751" s="246" t="str">
        <f>IF('WetLitterbags placem_collection'!AA92="","",'WetLitterbags placem_collection'!AA92)</f>
        <v>O</v>
      </c>
      <c r="AG751">
        <f>IF('WetLitterbags placem_collection'!AC92="","",'WetLitterbags placem_collection'!AC92)</f>
        <v>0</v>
      </c>
      <c r="AH751">
        <f>AVERAGE('WetLitterbags placem_collection'!S92,'WetLitterbags placem_collection'!U92)</f>
        <v>27.5</v>
      </c>
      <c r="AI751">
        <f>AVERAGE('WetLitterbags placem_collection'!R92,'WetLitterbags placem_collection'!T92)</f>
        <v>23.85</v>
      </c>
      <c r="AJ751">
        <f>INDEX(Coordinates!$B$2:$B$197,MATCH(G751,Coordinates!$J$2:$J$197,0))</f>
        <v>-3.2966860009999999</v>
      </c>
      <c r="AK751">
        <f>INDEX(Coordinates!$C$2:$C$197,MATCH(G751,Coordinates!$J$2:$J$197,0))</f>
        <v>34.854371989999997</v>
      </c>
      <c r="AL751" t="str">
        <f>IF(ISNUMBER(SEARCH("C", 'WetLitterbags placem_collection'!Y92)),"YES","NO")</f>
        <v>NO</v>
      </c>
      <c r="AM751" t="str">
        <f>IF(ISNUMBER(SEARCH("H", 'WetLitterbags placem_collection'!Y92)),"YES","NO")</f>
        <v>NO</v>
      </c>
      <c r="AN751" t="str">
        <f>IF(ISNUMBER(SEARCH("R", 'WetLitterbags placem_collection'!Y92)),"YES","NO")</f>
        <v>YES</v>
      </c>
    </row>
    <row r="752" spans="1:40" ht="15" customHeight="1">
      <c r="A752" s="258" t="s">
        <v>2460</v>
      </c>
      <c r="B752" s="263">
        <f>'Dry_Litterbag Placem_Collection'!A93</f>
        <v>91</v>
      </c>
      <c r="C752" s="263" t="str">
        <f>'Dry_Litterbag Placem_Collection'!B93</f>
        <v>Maswa</v>
      </c>
      <c r="D752" s="263" t="s">
        <v>2659</v>
      </c>
      <c r="E752" s="263" t="s">
        <v>2661</v>
      </c>
      <c r="F752" s="263">
        <v>4</v>
      </c>
      <c r="G752" s="264" t="str">
        <f>'Dry_Litterbag Placem_Collection'!C93</f>
        <v>Dry_W4_T3</v>
      </c>
      <c r="H752" s="273" t="s">
        <v>3651</v>
      </c>
      <c r="I752" s="274" t="s">
        <v>298</v>
      </c>
      <c r="J752" s="223" t="str">
        <f>'WetLitterbags placem_collection'!Q93</f>
        <v>R73</v>
      </c>
      <c r="K752" s="225">
        <f>IFERROR(INDEX('Green_rooibos initial weight'!$C$5:$C$1749,MATCH(J752, 'Green_rooibos initial weight'!$A$5:$A$1749,0)),"")</f>
        <v>2.1459999999999999</v>
      </c>
      <c r="L752" s="225">
        <f>IFERROR(K752-(TBIcalc!$H$9+TBIcalc!$H$10),"")</f>
        <v>1.8961999999999999</v>
      </c>
      <c r="M752" s="391">
        <f>AVERAGE(Ashed_controlls!$K$12:$K$14)</f>
        <v>2.2816647271287041</v>
      </c>
      <c r="N752" s="225">
        <f t="shared" si="60"/>
        <v>1.8529350734441854</v>
      </c>
      <c r="O752" s="225">
        <f>IF(IFERROR(INDEX('Both teabags AfterWet'!$C$3:$C$841,MATCH(J752,'Both teabags AfterWet'!$A$3:$A$841,0)),"")="","",(IFERROR(INDEX('Both teabags AfterWet'!$C$3:$C$841,MATCH(J752,'Both teabags AfterWet'!$A$3:$A$841,0)),"")))</f>
        <v>1.663</v>
      </c>
      <c r="P752" s="225">
        <f>IFERROR(IF(O752&gt;0,O752-(TBIcalc!$H$9),""),"")</f>
        <v>1.5124</v>
      </c>
      <c r="Q752" s="225">
        <f>IFERROR(INDEX('Ashed teabags wet'!$K$2:$K$821,MATCH(J752,'Ashed teabags wet'!$A$2:$A$821,0)),"")</f>
        <v>3.2402791625130467</v>
      </c>
      <c r="R752" s="225">
        <f t="shared" si="63"/>
        <v>1.4633940179461526</v>
      </c>
      <c r="S752" s="226">
        <f>'WetLitterbags placem_collection'!E93</f>
        <v>42767</v>
      </c>
      <c r="T752" s="226">
        <f>IF('WetLitterbags placem_collection'!G93="","",'WetLitterbags placem_collection'!G93)</f>
        <v>42819</v>
      </c>
      <c r="U752" s="227">
        <f t="shared" si="64"/>
        <v>52</v>
      </c>
      <c r="V752" s="225">
        <f t="shared" si="61"/>
        <v>0.38379999999999992</v>
      </c>
      <c r="W752" s="225">
        <f t="shared" si="62"/>
        <v>0.38954105549803275</v>
      </c>
      <c r="X752">
        <f>IFERROR(INDEX(Rainfall_Wet!$O$2:$O$217,MATCH(B752, Rainfall_Wet!$A$2:$A$217,0)),"")</f>
        <v>194.93009798400001</v>
      </c>
      <c r="Y752" s="231">
        <v>28.145762029394</v>
      </c>
      <c r="Z752" s="231">
        <v>25.085564727199518</v>
      </c>
      <c r="AA752" s="231">
        <v>46.768673243406489</v>
      </c>
      <c r="AB752" s="232" t="s">
        <v>2670</v>
      </c>
      <c r="AC752" s="231">
        <v>4.1716214884179399</v>
      </c>
      <c r="AD752">
        <f>IF('WetLitterbags placem_collection'!AB93="","",'WetLitterbags placem_collection'!AB93)</f>
        <v>6.1</v>
      </c>
      <c r="AE752">
        <f>IF('WetLitterbags placem_collection'!Z93="","",'WetLitterbags placem_collection'!Z93)</f>
        <v>39.4</v>
      </c>
      <c r="AF752" s="246" t="str">
        <f>IF('WetLitterbags placem_collection'!AA93="","",'WetLitterbags placem_collection'!AA93)</f>
        <v>O</v>
      </c>
      <c r="AG752">
        <f>IF('WetLitterbags placem_collection'!AC93="","",'WetLitterbags placem_collection'!AC93)</f>
        <v>1</v>
      </c>
      <c r="AH752">
        <f>AVERAGE('WetLitterbags placem_collection'!S93,'WetLitterbags placem_collection'!U93)</f>
        <v>26.4</v>
      </c>
      <c r="AI752">
        <f>AVERAGE('WetLitterbags placem_collection'!R93,'WetLitterbags placem_collection'!T93)</f>
        <v>24.35</v>
      </c>
      <c r="AJ752">
        <f>INDEX(Coordinates!$B$2:$B$197,MATCH(G752,Coordinates!$J$2:$J$197,0))</f>
        <v>-3.2966180239999998</v>
      </c>
      <c r="AK752">
        <f>INDEX(Coordinates!$C$2:$C$197,MATCH(G752,Coordinates!$J$2:$J$197,0))</f>
        <v>34.854464020000002</v>
      </c>
      <c r="AL752" t="str">
        <f>IF(ISNUMBER(SEARCH("C", 'WetLitterbags placem_collection'!Y93)),"YES","NO")</f>
        <v>NO</v>
      </c>
      <c r="AM752" t="str">
        <f>IF(ISNUMBER(SEARCH("H", 'WetLitterbags placem_collection'!Y93)),"YES","NO")</f>
        <v>NO</v>
      </c>
      <c r="AN752" t="str">
        <f>IF(ISNUMBER(SEARCH("R", 'WetLitterbags placem_collection'!Y93)),"YES","NO")</f>
        <v>NO</v>
      </c>
    </row>
    <row r="753" spans="1:40" ht="15" customHeight="1">
      <c r="A753" s="258" t="s">
        <v>2460</v>
      </c>
      <c r="B753" s="263">
        <f>'Dry_Litterbag Placem_Collection'!A94</f>
        <v>92</v>
      </c>
      <c r="C753" s="263" t="str">
        <f>'Dry_Litterbag Placem_Collection'!B94</f>
        <v>Maswa</v>
      </c>
      <c r="D753" s="263" t="s">
        <v>2659</v>
      </c>
      <c r="E753" s="263" t="s">
        <v>2661</v>
      </c>
      <c r="F753" s="263">
        <v>4</v>
      </c>
      <c r="G753" s="264" t="str">
        <f>'Dry_Litterbag Placem_Collection'!C94</f>
        <v>Dry_W4_T4</v>
      </c>
      <c r="H753" s="273" t="s">
        <v>3651</v>
      </c>
      <c r="I753" s="274" t="s">
        <v>298</v>
      </c>
      <c r="J753" s="223" t="str">
        <f>'WetLitterbags placem_collection'!Q94</f>
        <v>R4</v>
      </c>
      <c r="K753" s="225">
        <f>IFERROR(INDEX('Green_rooibos initial weight'!$C$5:$C$1749,MATCH(J753, 'Green_rooibos initial weight'!$A$5:$A$1749,0)),"")</f>
        <v>2.1549999999999998</v>
      </c>
      <c r="L753" s="225">
        <f>IFERROR(K753-(TBIcalc!$H$9+TBIcalc!$H$10),"")</f>
        <v>1.9051999999999998</v>
      </c>
      <c r="M753" s="391">
        <f>AVERAGE(Ashed_controlls!$K$12:$K$14)</f>
        <v>2.2816647271287041</v>
      </c>
      <c r="N753" s="225">
        <f t="shared" si="60"/>
        <v>1.8617297236187438</v>
      </c>
      <c r="O753" s="225">
        <f>IF(IFERROR(INDEX('Both teabags AfterWet'!$C$3:$C$841,MATCH(J753,'Both teabags AfterWet'!$A$3:$A$841,0)),"")="","",(IFERROR(INDEX('Both teabags AfterWet'!$C$3:$C$841,MATCH(J753,'Both teabags AfterWet'!$A$3:$A$841,0)),"")))</f>
        <v>1.6779999999999999</v>
      </c>
      <c r="P753" s="225">
        <f>IFERROR(IF(O753&gt;0,O753-(TBIcalc!$H$9),""),"")</f>
        <v>1.5273999999999999</v>
      </c>
      <c r="Q753" s="225">
        <f>IFERROR(INDEX('Ashed teabags wet'!$K$2:$K$821,MATCH(J753,'Ashed teabags wet'!$A$2:$A$821,0)),"")</f>
        <v>2.4590163934421247</v>
      </c>
      <c r="R753" s="225">
        <f t="shared" si="63"/>
        <v>1.4898409836065649</v>
      </c>
      <c r="S753" s="226">
        <f>'WetLitterbags placem_collection'!E94</f>
        <v>42767</v>
      </c>
      <c r="T753" s="226">
        <f>IF('WetLitterbags placem_collection'!G94="","",'WetLitterbags placem_collection'!G94)</f>
        <v>42819</v>
      </c>
      <c r="U753" s="227">
        <f t="shared" si="64"/>
        <v>52</v>
      </c>
      <c r="V753" s="225">
        <f t="shared" si="61"/>
        <v>0.37779999999999991</v>
      </c>
      <c r="W753" s="225">
        <f t="shared" si="62"/>
        <v>0.37188874001217886</v>
      </c>
      <c r="X753">
        <f>IFERROR(INDEX(Rainfall_Wet!$O$2:$O$217,MATCH(B753, Rainfall_Wet!$A$2:$A$217,0)),"")</f>
        <v>194.93009798400001</v>
      </c>
      <c r="Y753" s="231">
        <v>28.145762029394</v>
      </c>
      <c r="Z753" s="231">
        <v>25.085564727199518</v>
      </c>
      <c r="AA753" s="231">
        <v>46.768673243406489</v>
      </c>
      <c r="AB753" s="232" t="s">
        <v>2670</v>
      </c>
      <c r="AC753" s="231">
        <v>5.1716214884179399</v>
      </c>
      <c r="AD753">
        <f>IF('WetLitterbags placem_collection'!AB94="","",'WetLitterbags placem_collection'!AB94)</f>
        <v>7.7</v>
      </c>
      <c r="AE753">
        <f>IF('WetLitterbags placem_collection'!Z94="","",'WetLitterbags placem_collection'!Z94)</f>
        <v>24.8</v>
      </c>
      <c r="AF753" s="246" t="str">
        <f>IF('WetLitterbags placem_collection'!AA94="","",'WetLitterbags placem_collection'!AA94)</f>
        <v>O</v>
      </c>
      <c r="AG753">
        <f>IF('WetLitterbags placem_collection'!AC94="","",'WetLitterbags placem_collection'!AC94)</f>
        <v>1</v>
      </c>
      <c r="AH753">
        <f>AVERAGE('WetLitterbags placem_collection'!S94,'WetLitterbags placem_collection'!U94)</f>
        <v>26.45</v>
      </c>
      <c r="AI753">
        <f>AVERAGE('WetLitterbags placem_collection'!R94,'WetLitterbags placem_collection'!T94)</f>
        <v>22.6</v>
      </c>
      <c r="AJ753">
        <f>INDEX(Coordinates!$B$2:$B$197,MATCH(G753,Coordinates!$J$2:$J$197,0))</f>
        <v>-3.2965539860000002</v>
      </c>
      <c r="AK753">
        <f>INDEX(Coordinates!$C$2:$C$197,MATCH(G753,Coordinates!$J$2:$J$197,0))</f>
        <v>34.854455969999997</v>
      </c>
      <c r="AL753" t="str">
        <f>IF(ISNUMBER(SEARCH("C", 'WetLitterbags placem_collection'!Y94)),"YES","NO")</f>
        <v>NO</v>
      </c>
      <c r="AM753" t="str">
        <f>IF(ISNUMBER(SEARCH("H", 'WetLitterbags placem_collection'!Y94)),"YES","NO")</f>
        <v>NO</v>
      </c>
      <c r="AN753" t="str">
        <f>IF(ISNUMBER(SEARCH("R", 'WetLitterbags placem_collection'!Y94)),"YES","NO")</f>
        <v>YES</v>
      </c>
    </row>
    <row r="754" spans="1:40" ht="15" customHeight="1">
      <c r="A754" s="258" t="s">
        <v>2460</v>
      </c>
      <c r="B754" s="263">
        <f>'Dry_Litterbag Placem_Collection'!A95</f>
        <v>93</v>
      </c>
      <c r="C754" s="263" t="str">
        <f>'Dry_Litterbag Placem_Collection'!B95</f>
        <v>Maswa</v>
      </c>
      <c r="D754" s="263" t="s">
        <v>2659</v>
      </c>
      <c r="E754" s="263" t="s">
        <v>2661</v>
      </c>
      <c r="F754" s="263">
        <v>4</v>
      </c>
      <c r="G754" s="264" t="str">
        <f>'Dry_Litterbag Placem_Collection'!C95</f>
        <v>Dry_W4_T5</v>
      </c>
      <c r="H754" s="273" t="s">
        <v>3651</v>
      </c>
      <c r="I754" s="274" t="s">
        <v>298</v>
      </c>
      <c r="J754" s="223" t="str">
        <f>'WetLitterbags placem_collection'!Q95</f>
        <v>R136</v>
      </c>
      <c r="K754" s="225">
        <f>IFERROR(INDEX('Green_rooibos initial weight'!$C$5:$C$1749,MATCH(J754, 'Green_rooibos initial weight'!$A$5:$A$1749,0)),"")</f>
        <v>2.21</v>
      </c>
      <c r="L754" s="225">
        <f>IFERROR(K754-(TBIcalc!$H$9+TBIcalc!$H$10),"")</f>
        <v>1.9601999999999999</v>
      </c>
      <c r="M754" s="391">
        <f>AVERAGE(Ashed_controlls!$K$12:$K$14)</f>
        <v>2.2816647271287041</v>
      </c>
      <c r="N754" s="225">
        <f t="shared" si="60"/>
        <v>1.9154748080188231</v>
      </c>
      <c r="O754" s="225">
        <f>IF(IFERROR(INDEX('Both teabags AfterWet'!$C$3:$C$841,MATCH(J754,'Both teabags AfterWet'!$A$3:$A$841,0)),"")="","",(IFERROR(INDEX('Both teabags AfterWet'!$C$3:$C$841,MATCH(J754,'Both teabags AfterWet'!$A$3:$A$841,0)),"")))</f>
        <v>1.6368</v>
      </c>
      <c r="P754" s="225">
        <f>IFERROR(IF(O754&gt;0,O754-(TBIcalc!$H$9),""),"")</f>
        <v>1.4862</v>
      </c>
      <c r="Q754" s="225">
        <f>IFERROR(INDEX('Ashed teabags wet'!$K$2:$K$821,MATCH(J754,'Ashed teabags wet'!$A$2:$A$821,0)),"")</f>
        <v>2.2232962783957189</v>
      </c>
      <c r="R754" s="225">
        <f t="shared" si="63"/>
        <v>1.4531573707104828</v>
      </c>
      <c r="S754" s="226">
        <f>'WetLitterbags placem_collection'!E95</f>
        <v>42767</v>
      </c>
      <c r="T754" s="226">
        <f>IF('WetLitterbags placem_collection'!G95="","",'WetLitterbags placem_collection'!G95)</f>
        <v>42819</v>
      </c>
      <c r="U754" s="227">
        <f t="shared" si="64"/>
        <v>52</v>
      </c>
      <c r="V754" s="225">
        <f t="shared" si="61"/>
        <v>0.47399999999999998</v>
      </c>
      <c r="W754" s="225">
        <f t="shared" si="62"/>
        <v>0.4623174373083403</v>
      </c>
      <c r="X754">
        <f>IFERROR(INDEX(Rainfall_Wet!$O$2:$O$217,MATCH(B754, Rainfall_Wet!$A$2:$A$217,0)),"")</f>
        <v>194.93009798400001</v>
      </c>
      <c r="Y754" s="231">
        <v>28.145762029394</v>
      </c>
      <c r="Z754" s="231">
        <v>25.085564727199518</v>
      </c>
      <c r="AA754" s="231">
        <v>46.768673243406489</v>
      </c>
      <c r="AB754" s="232" t="s">
        <v>2670</v>
      </c>
      <c r="AC754" s="231">
        <v>6.1716214884179399</v>
      </c>
      <c r="AD754">
        <f>IF('WetLitterbags placem_collection'!AB95="","",'WetLitterbags placem_collection'!AB95)</f>
        <v>6.6</v>
      </c>
      <c r="AE754">
        <f>IF('WetLitterbags placem_collection'!Z95="","",'WetLitterbags placem_collection'!Z95)</f>
        <v>40</v>
      </c>
      <c r="AF754" s="246" t="str">
        <f>IF('WetLitterbags placem_collection'!AA95="","",'WetLitterbags placem_collection'!AA95)</f>
        <v>O</v>
      </c>
      <c r="AG754">
        <f>IF('WetLitterbags placem_collection'!AC95="","",'WetLitterbags placem_collection'!AC95)</f>
        <v>1</v>
      </c>
      <c r="AH754">
        <f>AVERAGE('WetLitterbags placem_collection'!S95,'WetLitterbags placem_collection'!U95)</f>
        <v>25.25</v>
      </c>
      <c r="AI754">
        <f>AVERAGE('WetLitterbags placem_collection'!R95,'WetLitterbags placem_collection'!T95)</f>
        <v>23.5</v>
      </c>
      <c r="AJ754">
        <f>INDEX(Coordinates!$B$2:$B$197,MATCH(G754,Coordinates!$J$2:$J$197,0))</f>
        <v>-3.2964789680000002</v>
      </c>
      <c r="AK754">
        <f>INDEX(Coordinates!$C$2:$C$197,MATCH(G754,Coordinates!$J$2:$J$197,0))</f>
        <v>34.854331000000002</v>
      </c>
      <c r="AL754" t="str">
        <f>IF(ISNUMBER(SEARCH("C", 'WetLitterbags placem_collection'!Y95)),"YES","NO")</f>
        <v>NO</v>
      </c>
      <c r="AM754" t="str">
        <f>IF(ISNUMBER(SEARCH("H", 'WetLitterbags placem_collection'!Y95)),"YES","NO")</f>
        <v>NO</v>
      </c>
      <c r="AN754" t="str">
        <f>IF(ISNUMBER(SEARCH("R", 'WetLitterbags placem_collection'!Y95)),"YES","NO")</f>
        <v>YES</v>
      </c>
    </row>
    <row r="755" spans="1:40" ht="15" customHeight="1">
      <c r="A755" s="258" t="s">
        <v>2460</v>
      </c>
      <c r="B755" s="263">
        <f>'Dry_Litterbag Placem_Collection'!A96</f>
        <v>94</v>
      </c>
      <c r="C755" s="263" t="str">
        <f>'Dry_Litterbag Placem_Collection'!B96</f>
        <v>Maswa</v>
      </c>
      <c r="D755" s="263" t="s">
        <v>2659</v>
      </c>
      <c r="E755" s="263" t="s">
        <v>2661</v>
      </c>
      <c r="F755" s="263">
        <v>4</v>
      </c>
      <c r="G755" s="264" t="str">
        <f>'Dry_Litterbag Placem_Collection'!C96</f>
        <v>Dry_W4_T6</v>
      </c>
      <c r="H755" s="273" t="s">
        <v>3651</v>
      </c>
      <c r="I755" s="274" t="s">
        <v>298</v>
      </c>
      <c r="J755" s="223" t="str">
        <f>'WetLitterbags placem_collection'!Q96</f>
        <v>R358</v>
      </c>
      <c r="K755" s="225">
        <f>IFERROR(INDEX('Green_rooibos initial weight'!$C$5:$C$1749,MATCH(J755, 'Green_rooibos initial weight'!$A$5:$A$1749,0)),"")</f>
        <v>2.2210000000000001</v>
      </c>
      <c r="L755" s="225">
        <f>IFERROR(K755-(TBIcalc!$H$9+TBIcalc!$H$10),"")</f>
        <v>1.9712000000000001</v>
      </c>
      <c r="M755" s="391">
        <f>AVERAGE(Ashed_controlls!$K$12:$K$14)</f>
        <v>2.2816647271287041</v>
      </c>
      <c r="N755" s="225">
        <f t="shared" si="60"/>
        <v>1.926223824898839</v>
      </c>
      <c r="O755" s="225" t="str">
        <f>IF(IFERROR(INDEX('Both teabags AfterWet'!$C$3:$C$841,MATCH(J755,'Both teabags AfterWet'!$A$3:$A$841,0)),"")="","",(IFERROR(INDEX('Both teabags AfterWet'!$C$3:$C$841,MATCH(J755,'Both teabags AfterWet'!$A$3:$A$841,0)),"")))</f>
        <v/>
      </c>
      <c r="P755" s="225" t="str">
        <f>IFERROR(IF(O755&gt;0,O755-(TBIcalc!$H$9),""),"")</f>
        <v/>
      </c>
      <c r="Q755" s="225" t="str">
        <f>IFERROR(INDEX('Ashed teabags wet'!$K$2:$K$821,MATCH(J755,'Ashed teabags wet'!$A$2:$A$821,0)),"")</f>
        <v/>
      </c>
      <c r="R755" s="225" t="str">
        <f t="shared" si="63"/>
        <v/>
      </c>
      <c r="S755" s="226">
        <f>'WetLitterbags placem_collection'!E96</f>
        <v>42767</v>
      </c>
      <c r="T755" s="226" t="str">
        <f>IF('WetLitterbags placem_collection'!G96="","",'WetLitterbags placem_collection'!G96)</f>
        <v/>
      </c>
      <c r="U755" s="227" t="str">
        <f t="shared" si="64"/>
        <v/>
      </c>
      <c r="V755" s="225" t="str">
        <f t="shared" si="61"/>
        <v/>
      </c>
      <c r="W755" s="225" t="str">
        <f t="shared" si="62"/>
        <v/>
      </c>
      <c r="X755" t="str">
        <f>IFERROR(INDEX(Rainfall_Wet!$O$2:$O$217,MATCH(B755, Rainfall_Wet!$A$2:$A$217,0)),"")</f>
        <v/>
      </c>
      <c r="Y755" s="231">
        <v>28.145762029394</v>
      </c>
      <c r="Z755" s="231">
        <v>25.085564727199518</v>
      </c>
      <c r="AA755" s="231">
        <v>46.768673243406489</v>
      </c>
      <c r="AB755" s="232" t="s">
        <v>2670</v>
      </c>
      <c r="AC755" s="231">
        <v>7.1716214884179399</v>
      </c>
      <c r="AD755" t="str">
        <f>IF('WetLitterbags placem_collection'!AB96="","",'WetLitterbags placem_collection'!AB96)</f>
        <v/>
      </c>
      <c r="AE755" t="str">
        <f>IF('WetLitterbags placem_collection'!Z96="","",'WetLitterbags placem_collection'!Z96)</f>
        <v/>
      </c>
      <c r="AF755" s="246" t="str">
        <f>IF('WetLitterbags placem_collection'!AA96="","",'WetLitterbags placem_collection'!AA96)</f>
        <v/>
      </c>
      <c r="AG755" t="str">
        <f>IF('WetLitterbags placem_collection'!AC96="","",'WetLitterbags placem_collection'!AC96)</f>
        <v/>
      </c>
      <c r="AH755">
        <f>AVERAGE('WetLitterbags placem_collection'!S96,'WetLitterbags placem_collection'!U96)</f>
        <v>36.200000000000003</v>
      </c>
      <c r="AI755">
        <f>AVERAGE('WetLitterbags placem_collection'!R96,'WetLitterbags placem_collection'!T96)</f>
        <v>22</v>
      </c>
      <c r="AJ755">
        <f>INDEX(Coordinates!$B$2:$B$197,MATCH(G755,Coordinates!$J$2:$J$197,0))</f>
        <v>-3.2964649700000002</v>
      </c>
      <c r="AK755">
        <f>INDEX(Coordinates!$C$2:$C$197,MATCH(G755,Coordinates!$J$2:$J$197,0))</f>
        <v>34.854340970000003</v>
      </c>
      <c r="AL755" t="str">
        <f>IF(ISNUMBER(SEARCH("C", 'WetLitterbags placem_collection'!Y96)),"YES","NO")</f>
        <v>NO</v>
      </c>
      <c r="AM755" t="str">
        <f>IF(ISNUMBER(SEARCH("H", 'WetLitterbags placem_collection'!Y96)),"YES","NO")</f>
        <v>NO</v>
      </c>
      <c r="AN755" t="str">
        <f>IF(ISNUMBER(SEARCH("R", 'WetLitterbags placem_collection'!Y96)),"YES","NO")</f>
        <v>NO</v>
      </c>
    </row>
    <row r="756" spans="1:40" ht="15" customHeight="1">
      <c r="A756" s="258" t="s">
        <v>2460</v>
      </c>
      <c r="B756" s="263">
        <f>'Dry_Litterbag Placem_Collection'!A97</f>
        <v>95</v>
      </c>
      <c r="C756" s="263" t="str">
        <f>'Dry_Litterbag Placem_Collection'!B97</f>
        <v>Maswa</v>
      </c>
      <c r="D756" s="263" t="s">
        <v>2659</v>
      </c>
      <c r="E756" s="263" t="s">
        <v>2661</v>
      </c>
      <c r="F756" s="263">
        <v>4</v>
      </c>
      <c r="G756" s="264" t="str">
        <f>'Dry_Litterbag Placem_Collection'!C97</f>
        <v>Dry_W4_T7</v>
      </c>
      <c r="H756" s="273" t="s">
        <v>3651</v>
      </c>
      <c r="I756" s="274" t="s">
        <v>298</v>
      </c>
      <c r="J756" s="223" t="str">
        <f>'WetLitterbags placem_collection'!Q97</f>
        <v>R547</v>
      </c>
      <c r="K756" s="225">
        <f>IFERROR(INDEX('Green_rooibos initial weight'!$C$5:$C$1749,MATCH(J756, 'Green_rooibos initial weight'!$A$5:$A$1749,0)),"")</f>
        <v>2.194</v>
      </c>
      <c r="L756" s="225">
        <f>IFERROR(K756-(TBIcalc!$H$9+TBIcalc!$H$10),"")</f>
        <v>1.9441999999999999</v>
      </c>
      <c r="M756" s="391">
        <f>AVERAGE(Ashed_controlls!$K$12:$K$14)</f>
        <v>2.2816647271287041</v>
      </c>
      <c r="N756" s="225">
        <f t="shared" si="60"/>
        <v>1.8998398743751637</v>
      </c>
      <c r="O756" s="225">
        <f>IF(IFERROR(INDEX('Both teabags AfterWet'!$C$3:$C$841,MATCH(J756,'Both teabags AfterWet'!$A$3:$A$841,0)),"")="","",(IFERROR(INDEX('Both teabags AfterWet'!$C$3:$C$841,MATCH(J756,'Both teabags AfterWet'!$A$3:$A$841,0)),"")))</f>
        <v>1.5620000000000001</v>
      </c>
      <c r="P756" s="225">
        <f>IFERROR(IF(O756&gt;0,O756-(TBIcalc!$H$9),""),"")</f>
        <v>1.4114</v>
      </c>
      <c r="Q756" s="225">
        <f>IFERROR(INDEX('Ashed teabags wet'!$K$2:$K$821,MATCH(J756,'Ashed teabags wet'!$A$2:$A$821,0)),"")</f>
        <v>13.011335633317401</v>
      </c>
      <c r="R756" s="225">
        <f t="shared" si="63"/>
        <v>1.2277580088713582</v>
      </c>
      <c r="S756" s="226">
        <f>'WetLitterbags placem_collection'!E97</f>
        <v>42767</v>
      </c>
      <c r="T756" s="226">
        <f>IF('WetLitterbags placem_collection'!G97="","",'WetLitterbags placem_collection'!G97)</f>
        <v>42819</v>
      </c>
      <c r="U756" s="227">
        <f t="shared" si="64"/>
        <v>52</v>
      </c>
      <c r="V756" s="225">
        <f t="shared" si="61"/>
        <v>0.53279999999999994</v>
      </c>
      <c r="W756" s="225">
        <f t="shared" si="62"/>
        <v>0.67208186550380544</v>
      </c>
      <c r="X756">
        <f>IFERROR(INDEX(Rainfall_Wet!$O$2:$O$217,MATCH(B756, Rainfall_Wet!$A$2:$A$217,0)),"")</f>
        <v>194.93009798400001</v>
      </c>
      <c r="Y756" s="231">
        <v>28.145762029394</v>
      </c>
      <c r="Z756" s="231">
        <v>25.085564727199518</v>
      </c>
      <c r="AA756" s="231">
        <v>46.768673243406489</v>
      </c>
      <c r="AB756" s="232" t="s">
        <v>2670</v>
      </c>
      <c r="AC756" s="231">
        <v>8.1716214884179408</v>
      </c>
      <c r="AD756">
        <f>IF('WetLitterbags placem_collection'!AB97="","",'WetLitterbags placem_collection'!AB97)</f>
        <v>5.4</v>
      </c>
      <c r="AE756">
        <f>IF('WetLitterbags placem_collection'!Z97="","",'WetLitterbags placem_collection'!Z97)</f>
        <v>15.2</v>
      </c>
      <c r="AF756" s="246" t="str">
        <f>IF('WetLitterbags placem_collection'!AA97="","",'WetLitterbags placem_collection'!AA97)</f>
        <v>O</v>
      </c>
      <c r="AG756">
        <f>IF('WetLitterbags placem_collection'!AC97="","",'WetLitterbags placem_collection'!AC97)</f>
        <v>0</v>
      </c>
      <c r="AH756">
        <f>AVERAGE('WetLitterbags placem_collection'!S97,'WetLitterbags placem_collection'!U97)</f>
        <v>28.85</v>
      </c>
      <c r="AI756">
        <f>AVERAGE('WetLitterbags placem_collection'!R97,'WetLitterbags placem_collection'!T97)</f>
        <v>23.2</v>
      </c>
      <c r="AJ756">
        <f>INDEX(Coordinates!$B$2:$B$197,MATCH(G756,Coordinates!$J$2:$J$197,0))</f>
        <v>-3.296725983</v>
      </c>
      <c r="AK756">
        <f>INDEX(Coordinates!$C$2:$C$197,MATCH(G756,Coordinates!$J$2:$J$197,0))</f>
        <v>34.854216000000001</v>
      </c>
      <c r="AL756" t="str">
        <f>IF(ISNUMBER(SEARCH("C", 'WetLitterbags placem_collection'!Y97)),"YES","NO")</f>
        <v>NO</v>
      </c>
      <c r="AM756" t="str">
        <f>IF(ISNUMBER(SEARCH("H", 'WetLitterbags placem_collection'!Y97)),"YES","NO")</f>
        <v>NO</v>
      </c>
      <c r="AN756" t="str">
        <f>IF(ISNUMBER(SEARCH("R", 'WetLitterbags placem_collection'!Y97)),"YES","NO")</f>
        <v>YES</v>
      </c>
    </row>
    <row r="757" spans="1:40" ht="15" customHeight="1">
      <c r="A757" s="258" t="s">
        <v>2460</v>
      </c>
      <c r="B757" s="263">
        <f>'Dry_Litterbag Placem_Collection'!A98</f>
        <v>96</v>
      </c>
      <c r="C757" s="263" t="str">
        <f>'Dry_Litterbag Placem_Collection'!B98</f>
        <v>Maswa</v>
      </c>
      <c r="D757" s="263" t="s">
        <v>2659</v>
      </c>
      <c r="E757" s="263" t="s">
        <v>2661</v>
      </c>
      <c r="F757" s="263">
        <v>4</v>
      </c>
      <c r="G757" s="264" t="str">
        <f>'Dry_Litterbag Placem_Collection'!C98</f>
        <v>Dry_W4_T8</v>
      </c>
      <c r="H757" s="273" t="s">
        <v>3651</v>
      </c>
      <c r="I757" s="274" t="s">
        <v>298</v>
      </c>
      <c r="J757" s="223" t="str">
        <f>'WetLitterbags placem_collection'!Q98</f>
        <v>R588</v>
      </c>
      <c r="K757" s="225">
        <f>IFERROR(INDEX('Green_rooibos initial weight'!$C$5:$C$1749,MATCH(J757, 'Green_rooibos initial weight'!$A$5:$A$1749,0)),"")</f>
        <v>2.1360000000000001</v>
      </c>
      <c r="L757" s="225">
        <f>IFERROR(K757-(TBIcalc!$H$9+TBIcalc!$H$10),"")</f>
        <v>1.8862000000000001</v>
      </c>
      <c r="M757" s="391">
        <f>AVERAGE(Ashed_controlls!$K$12:$K$14)</f>
        <v>2.2816647271287041</v>
      </c>
      <c r="N757" s="225">
        <f t="shared" si="60"/>
        <v>1.8431632399168985</v>
      </c>
      <c r="O757" s="225">
        <f>IF(IFERROR(INDEX('Both teabags AfterWet'!$C$3:$C$841,MATCH(J757,'Both teabags AfterWet'!$A$3:$A$841,0)),"")="","",(IFERROR(INDEX('Both teabags AfterWet'!$C$3:$C$841,MATCH(J757,'Both teabags AfterWet'!$A$3:$A$841,0)),"")))</f>
        <v>0.87350000000000005</v>
      </c>
      <c r="P757" s="225">
        <f>IFERROR(IF(O757&gt;0,O757-(TBIcalc!$H$9),""),"")</f>
        <v>0.7229000000000001</v>
      </c>
      <c r="Q757" s="225">
        <f>IFERROR(INDEX('Ashed teabags wet'!$K$2:$K$821,MATCH(J757,'Ashed teabags wet'!$A$2:$A$821,0)),"")</f>
        <v>6.1660865241169791</v>
      </c>
      <c r="R757" s="225">
        <f t="shared" si="63"/>
        <v>0.67832536051715842</v>
      </c>
      <c r="S757" s="226">
        <f>'WetLitterbags placem_collection'!E98</f>
        <v>42767</v>
      </c>
      <c r="T757" s="226">
        <f>IF('WetLitterbags placem_collection'!G98="","",'WetLitterbags placem_collection'!G98)</f>
        <v>42819</v>
      </c>
      <c r="U757" s="227">
        <f t="shared" si="64"/>
        <v>52</v>
      </c>
      <c r="V757" s="225">
        <f t="shared" si="61"/>
        <v>1.1633</v>
      </c>
      <c r="W757" s="225">
        <f t="shared" si="62"/>
        <v>1.16483787939974</v>
      </c>
      <c r="X757">
        <f>IFERROR(INDEX(Rainfall_Wet!$O$2:$O$217,MATCH(B757, Rainfall_Wet!$A$2:$A$217,0)),"")</f>
        <v>194.93009798400001</v>
      </c>
      <c r="Y757" s="231">
        <v>28.145762029394</v>
      </c>
      <c r="Z757" s="231">
        <v>25.085564727199518</v>
      </c>
      <c r="AA757" s="231">
        <v>46.768673243406489</v>
      </c>
      <c r="AB757" s="232" t="s">
        <v>2670</v>
      </c>
      <c r="AC757" s="231">
        <v>9.1716214884179408</v>
      </c>
      <c r="AD757">
        <f>IF('WetLitterbags placem_collection'!AB98="","",'WetLitterbags placem_collection'!AB98)</f>
        <v>4</v>
      </c>
      <c r="AE757">
        <f>IF('WetLitterbags placem_collection'!Z98="","",'WetLitterbags placem_collection'!Z98)</f>
        <v>34.4</v>
      </c>
      <c r="AF757" s="246" t="str">
        <f>IF('WetLitterbags placem_collection'!AA98="","",'WetLitterbags placem_collection'!AA98)</f>
        <v>O</v>
      </c>
      <c r="AG757">
        <f>IF('WetLitterbags placem_collection'!AC98="","",'WetLitterbags placem_collection'!AC98)</f>
        <v>0</v>
      </c>
      <c r="AH757">
        <f>AVERAGE('WetLitterbags placem_collection'!S98,'WetLitterbags placem_collection'!U98)</f>
        <v>16.799999999999997</v>
      </c>
      <c r="AI757">
        <f>AVERAGE('WetLitterbags placem_collection'!R98,'WetLitterbags placem_collection'!T98)</f>
        <v>24.3</v>
      </c>
      <c r="AJ757">
        <f>INDEX(Coordinates!$B$2:$B$197,MATCH(G757,Coordinates!$J$2:$J$197,0))</f>
        <v>-3.2968360369999998</v>
      </c>
      <c r="AK757">
        <f>INDEX(Coordinates!$C$2:$C$197,MATCH(G757,Coordinates!$J$2:$J$197,0))</f>
        <v>34.854462009999999</v>
      </c>
      <c r="AL757" t="str">
        <f>IF(ISNUMBER(SEARCH("C", 'WetLitterbags placem_collection'!Y98)),"YES","NO")</f>
        <v>NO</v>
      </c>
      <c r="AM757" t="str">
        <f>IF(ISNUMBER(SEARCH("H", 'WetLitterbags placem_collection'!Y98)),"YES","NO")</f>
        <v>NO</v>
      </c>
      <c r="AN757" t="str">
        <f>IF(ISNUMBER(SEARCH("R", 'WetLitterbags placem_collection'!Y98)),"YES","NO")</f>
        <v>NO</v>
      </c>
    </row>
    <row r="758" spans="1:40" ht="15" customHeight="1">
      <c r="A758" s="258" t="s">
        <v>2460</v>
      </c>
      <c r="B758" s="263">
        <f>'Dry_Litterbag Placem_Collection'!A99</f>
        <v>97</v>
      </c>
      <c r="C758" s="263" t="str">
        <f>'Dry_Litterbag Placem_Collection'!B99</f>
        <v xml:space="preserve">Mwantimba
</v>
      </c>
      <c r="D758" s="263" t="s">
        <v>2460</v>
      </c>
      <c r="E758" s="263" t="s">
        <v>2660</v>
      </c>
      <c r="F758" s="263">
        <v>1</v>
      </c>
      <c r="G758" s="264" t="str">
        <f>'Dry_Litterbag Placem_Collection'!C99</f>
        <v>Wet_Ag1_T1</v>
      </c>
      <c r="H758" s="273" t="s">
        <v>3651</v>
      </c>
      <c r="I758" s="274" t="s">
        <v>298</v>
      </c>
      <c r="J758" s="223" t="str">
        <f>'WetLitterbags placem_collection'!Q99</f>
        <v>R576</v>
      </c>
      <c r="K758" s="225">
        <f>IFERROR(INDEX('Green_rooibos initial weight'!$C$5:$C$1749,MATCH(J758, 'Green_rooibos initial weight'!$A$5:$A$1749,0)),"")</f>
        <v>2.109</v>
      </c>
      <c r="L758" s="225">
        <f>IFERROR(K758-(TBIcalc!$H$9+TBIcalc!$H$10),"")</f>
        <v>1.8592</v>
      </c>
      <c r="M758" s="391">
        <f>AVERAGE(Ashed_controlls!$K$12:$K$14)</f>
        <v>2.2816647271287041</v>
      </c>
      <c r="N758" s="225">
        <f t="shared" si="60"/>
        <v>1.8167792893932231</v>
      </c>
      <c r="O758" s="225" t="str">
        <f>IF(IFERROR(INDEX('Both teabags AfterWet'!$C$3:$C$841,MATCH(J758,'Both teabags AfterWet'!$A$3:$A$841,0)),"")="","",(IFERROR(INDEX('Both teabags AfterWet'!$C$3:$C$841,MATCH(J758,'Both teabags AfterWet'!$A$3:$A$841,0)),"")))</f>
        <v/>
      </c>
      <c r="P758" s="225" t="str">
        <f>IFERROR(IF(O758&gt;0,O758-(TBIcalc!$H$9),""),"")</f>
        <v/>
      </c>
      <c r="Q758" s="225">
        <f>IFERROR(INDEX('Ashed teabags wet'!$K$2:$K$821,MATCH(J758,'Ashed teabags wet'!$A$2:$A$821,0)),"")</f>
        <v>8.4409136047665729</v>
      </c>
      <c r="R758" s="225" t="str">
        <f t="shared" si="63"/>
        <v/>
      </c>
      <c r="S758" s="226">
        <f>'WetLitterbags placem_collection'!E99</f>
        <v>42762</v>
      </c>
      <c r="T758" s="226">
        <f>IF('WetLitterbags placem_collection'!G99="","",'WetLitterbags placem_collection'!G99)</f>
        <v>42816</v>
      </c>
      <c r="U758" s="227">
        <f t="shared" si="64"/>
        <v>54</v>
      </c>
      <c r="V758" s="225" t="str">
        <f t="shared" si="61"/>
        <v/>
      </c>
      <c r="W758" s="225" t="str">
        <f t="shared" si="62"/>
        <v/>
      </c>
      <c r="X758">
        <f>IFERROR(INDEX(Rainfall_Wet!$O$2:$O$217,MATCH(B758, Rainfall_Wet!$A$2:$A$217,0)),"")</f>
        <v>206.85140822299999</v>
      </c>
      <c r="Y758" s="231">
        <v>45.96</v>
      </c>
      <c r="Z758" s="231">
        <v>14.920000000000003</v>
      </c>
      <c r="AA758" s="231">
        <v>39.119999999999997</v>
      </c>
      <c r="AB758" s="232" t="s">
        <v>2673</v>
      </c>
      <c r="AC758" s="231">
        <v>2.0374568753080333</v>
      </c>
      <c r="AD758">
        <f>IF('WetLitterbags placem_collection'!AB99="","",'WetLitterbags placem_collection'!AB99)</f>
        <v>2.4</v>
      </c>
      <c r="AE758">
        <f>IF('WetLitterbags placem_collection'!Z99="","",'WetLitterbags placem_collection'!Z99)</f>
        <v>8.9</v>
      </c>
      <c r="AF758" s="246" t="str">
        <f>IF('WetLitterbags placem_collection'!AA99="","",'WetLitterbags placem_collection'!AA99)</f>
        <v>G</v>
      </c>
      <c r="AG758">
        <f>IF('WetLitterbags placem_collection'!AC99="","",'WetLitterbags placem_collection'!AC99)</f>
        <v>1</v>
      </c>
      <c r="AH758">
        <f>AVERAGE('WetLitterbags placem_collection'!S99,'WetLitterbags placem_collection'!U99)</f>
        <v>19.25</v>
      </c>
      <c r="AI758">
        <f>AVERAGE('WetLitterbags placem_collection'!R99,'WetLitterbags placem_collection'!T99)</f>
        <v>28.75</v>
      </c>
      <c r="AJ758">
        <f>INDEX(Coordinates!$B$2:$B$197,MATCH(G758,Coordinates!$J$2:$J$197,0))</f>
        <v>-2.3691620310000001</v>
      </c>
      <c r="AK758">
        <f>INDEX(Coordinates!$C$2:$C$197,MATCH(G758,Coordinates!$J$2:$J$197,0))</f>
        <v>34.06028104</v>
      </c>
      <c r="AL758" t="str">
        <f>IF(ISNUMBER(SEARCH("C", 'WetLitterbags placem_collection'!Y99)),"YES","NO")</f>
        <v>NO</v>
      </c>
      <c r="AM758" t="str">
        <f>IF(ISNUMBER(SEARCH("H", 'WetLitterbags placem_collection'!Y99)),"YES","NO")</f>
        <v>NO</v>
      </c>
      <c r="AN758" t="str">
        <f>IF(ISNUMBER(SEARCH("R", 'WetLitterbags placem_collection'!Y99)),"YES","NO")</f>
        <v>NO</v>
      </c>
    </row>
    <row r="759" spans="1:40" ht="15" customHeight="1">
      <c r="A759" s="258" t="s">
        <v>2460</v>
      </c>
      <c r="B759" s="263">
        <f>'Dry_Litterbag Placem_Collection'!A100</f>
        <v>98</v>
      </c>
      <c r="C759" s="263" t="str">
        <f>'Dry_Litterbag Placem_Collection'!B100</f>
        <v xml:space="preserve">Mwantimba
</v>
      </c>
      <c r="D759" s="263" t="s">
        <v>2460</v>
      </c>
      <c r="E759" s="263" t="s">
        <v>2660</v>
      </c>
      <c r="F759" s="263">
        <v>1</v>
      </c>
      <c r="G759" s="264" t="str">
        <f>'Dry_Litterbag Placem_Collection'!C100</f>
        <v>Wet_Ag1_T2</v>
      </c>
      <c r="H759" s="273" t="s">
        <v>3651</v>
      </c>
      <c r="I759" s="274" t="s">
        <v>298</v>
      </c>
      <c r="J759" s="223" t="str">
        <f>'WetLitterbags placem_collection'!Q100</f>
        <v>R561</v>
      </c>
      <c r="K759" s="225">
        <f>IFERROR(INDEX('Green_rooibos initial weight'!$C$5:$C$1749,MATCH(J759, 'Green_rooibos initial weight'!$A$5:$A$1749,0)),"")</f>
        <v>2.0760000000000001</v>
      </c>
      <c r="L759" s="225">
        <f>IFERROR(K759-(TBIcalc!$H$9+TBIcalc!$H$10),"")</f>
        <v>1.8262</v>
      </c>
      <c r="M759" s="391">
        <f>AVERAGE(Ashed_controlls!$K$12:$K$14)</f>
        <v>2.2816647271287041</v>
      </c>
      <c r="N759" s="225">
        <f t="shared" si="60"/>
        <v>1.7845322387531757</v>
      </c>
      <c r="O759" s="225">
        <f>IF(IFERROR(INDEX('Both teabags AfterWet'!$C$3:$C$841,MATCH(J759,'Both teabags AfterWet'!$A$3:$A$841,0)),"")="","",(IFERROR(INDEX('Both teabags AfterWet'!$C$3:$C$841,MATCH(J759,'Both teabags AfterWet'!$A$3:$A$841,0)),"")))</f>
        <v>1.661</v>
      </c>
      <c r="P759" s="225">
        <f>IFERROR(IF(O759&gt;0,O759-(TBIcalc!$H$9),""),"")</f>
        <v>1.5104</v>
      </c>
      <c r="Q759" s="225">
        <f>IFERROR(INDEX('Ashed teabags wet'!$K$2:$K$821,MATCH(J759,'Ashed teabags wet'!$A$2:$A$821,0)),"")</f>
        <v>12.28244654400746</v>
      </c>
      <c r="R759" s="225">
        <f t="shared" si="63"/>
        <v>1.3248859273993112</v>
      </c>
      <c r="S759" s="226">
        <f>'WetLitterbags placem_collection'!E100</f>
        <v>42762</v>
      </c>
      <c r="T759" s="226">
        <f>IF('WetLitterbags placem_collection'!G100="","",'WetLitterbags placem_collection'!G100)</f>
        <v>42816</v>
      </c>
      <c r="U759" s="227">
        <f t="shared" si="64"/>
        <v>54</v>
      </c>
      <c r="V759" s="225">
        <f t="shared" si="61"/>
        <v>0.31580000000000008</v>
      </c>
      <c r="W759" s="225">
        <f t="shared" si="62"/>
        <v>0.45964631135386447</v>
      </c>
      <c r="X759">
        <f>IFERROR(INDEX(Rainfall_Wet!$O$2:$O$217,MATCH(B759, Rainfall_Wet!$A$2:$A$217,0)),"")</f>
        <v>206.85140822299999</v>
      </c>
      <c r="Y759" s="231">
        <v>45.96</v>
      </c>
      <c r="Z759" s="231">
        <v>14.920000000000003</v>
      </c>
      <c r="AA759" s="231">
        <v>39.119999999999997</v>
      </c>
      <c r="AB759" s="232" t="s">
        <v>2673</v>
      </c>
      <c r="AC759" s="231">
        <v>3.0374568753080302</v>
      </c>
      <c r="AD759">
        <f>IF('WetLitterbags placem_collection'!AB100="","",'WetLitterbags placem_collection'!AB100)</f>
        <v>7.8</v>
      </c>
      <c r="AE759">
        <f>IF('WetLitterbags placem_collection'!Z100="","",'WetLitterbags placem_collection'!Z100)</f>
        <v>4.45</v>
      </c>
      <c r="AF759" s="246" t="str">
        <f>IF('WetLitterbags placem_collection'!AA100="","",'WetLitterbags placem_collection'!AA100)</f>
        <v>G</v>
      </c>
      <c r="AG759">
        <f>IF('WetLitterbags placem_collection'!AC100="","",'WetLitterbags placem_collection'!AC100)</f>
        <v>1</v>
      </c>
      <c r="AH759">
        <f>AVERAGE('WetLitterbags placem_collection'!S100,'WetLitterbags placem_collection'!U100)</f>
        <v>22.25</v>
      </c>
      <c r="AI759">
        <f>AVERAGE('WetLitterbags placem_collection'!R100,'WetLitterbags placem_collection'!T100)</f>
        <v>29.85</v>
      </c>
      <c r="AJ759">
        <f>INDEX(Coordinates!$B$2:$B$197,MATCH(G759,Coordinates!$J$2:$J$197,0))</f>
        <v>-2.3692249790000002</v>
      </c>
      <c r="AK759">
        <f>INDEX(Coordinates!$C$2:$C$197,MATCH(G759,Coordinates!$J$2:$J$197,0))</f>
        <v>34.060285989999997</v>
      </c>
      <c r="AL759" t="str">
        <f>IF(ISNUMBER(SEARCH("C", 'WetLitterbags placem_collection'!Y100)),"YES","NO")</f>
        <v>NO</v>
      </c>
      <c r="AM759" t="str">
        <f>IF(ISNUMBER(SEARCH("H", 'WetLitterbags placem_collection'!Y100)),"YES","NO")</f>
        <v>NO</v>
      </c>
      <c r="AN759" t="str">
        <f>IF(ISNUMBER(SEARCH("R", 'WetLitterbags placem_collection'!Y100)),"YES","NO")</f>
        <v>NO</v>
      </c>
    </row>
    <row r="760" spans="1:40" ht="15" customHeight="1">
      <c r="A760" s="258" t="s">
        <v>2460</v>
      </c>
      <c r="B760" s="263">
        <f>'Dry_Litterbag Placem_Collection'!A101</f>
        <v>99</v>
      </c>
      <c r="C760" s="263" t="str">
        <f>'Dry_Litterbag Placem_Collection'!B101</f>
        <v xml:space="preserve">Mwantimba
</v>
      </c>
      <c r="D760" s="263" t="s">
        <v>2460</v>
      </c>
      <c r="E760" s="263" t="s">
        <v>2660</v>
      </c>
      <c r="F760" s="263">
        <v>1</v>
      </c>
      <c r="G760" s="264" t="str">
        <f>'Dry_Litterbag Placem_Collection'!C101</f>
        <v>Wet_Ag1_T3</v>
      </c>
      <c r="H760" s="273" t="s">
        <v>3651</v>
      </c>
      <c r="I760" s="274" t="s">
        <v>298</v>
      </c>
      <c r="J760" s="223" t="str">
        <f>'WetLitterbags placem_collection'!Q101</f>
        <v>R496</v>
      </c>
      <c r="K760" s="225">
        <f>IFERROR(INDEX('Green_rooibos initial weight'!$C$5:$C$1749,MATCH(J760, 'Green_rooibos initial weight'!$A$5:$A$1749,0)),"")</f>
        <v>2.2389999999999999</v>
      </c>
      <c r="L760" s="225">
        <f>IFERROR(K760-(TBIcalc!$H$9+TBIcalc!$H$10),"")</f>
        <v>1.9891999999999999</v>
      </c>
      <c r="M760" s="391">
        <f>AVERAGE(Ashed_controlls!$K$12:$K$14)</f>
        <v>2.2816647271287041</v>
      </c>
      <c r="N760" s="225">
        <f t="shared" si="60"/>
        <v>1.9438131252479556</v>
      </c>
      <c r="O760" s="225">
        <f>IF(IFERROR(INDEX('Both teabags AfterWet'!$C$3:$C$841,MATCH(J760,'Both teabags AfterWet'!$A$3:$A$841,0)),"")="","",(IFERROR(INDEX('Both teabags AfterWet'!$C$3:$C$841,MATCH(J760,'Both teabags AfterWet'!$A$3:$A$841,0)),"")))</f>
        <v>1.5016</v>
      </c>
      <c r="P760" s="225">
        <f>IFERROR(IF(O760&gt;0,O760-(TBIcalc!$H$9),""),"")</f>
        <v>1.351</v>
      </c>
      <c r="Q760" s="225">
        <f>IFERROR(INDEX('Ashed teabags wet'!$K$2:$K$821,MATCH(J760,'Ashed teabags wet'!$A$2:$A$821,0)),"")</f>
        <v>7.3182711198407153</v>
      </c>
      <c r="R760" s="225">
        <f t="shared" si="63"/>
        <v>1.252130157170952</v>
      </c>
      <c r="S760" s="226">
        <f>'WetLitterbags placem_collection'!E101</f>
        <v>42762</v>
      </c>
      <c r="T760" s="226">
        <f>IF('WetLitterbags placem_collection'!G101="","",'WetLitterbags placem_collection'!G101)</f>
        <v>42816</v>
      </c>
      <c r="U760" s="227">
        <f t="shared" si="64"/>
        <v>54</v>
      </c>
      <c r="V760" s="225">
        <f t="shared" si="61"/>
        <v>0.63819999999999988</v>
      </c>
      <c r="W760" s="225">
        <f t="shared" si="62"/>
        <v>0.69168296807700358</v>
      </c>
      <c r="X760">
        <f>IFERROR(INDEX(Rainfall_Wet!$O$2:$O$217,MATCH(B760, Rainfall_Wet!$A$2:$A$217,0)),"")</f>
        <v>206.85140822299999</v>
      </c>
      <c r="Y760" s="231">
        <v>45.96</v>
      </c>
      <c r="Z760" s="231">
        <v>14.920000000000003</v>
      </c>
      <c r="AA760" s="231">
        <v>39.119999999999997</v>
      </c>
      <c r="AB760" s="232" t="s">
        <v>2673</v>
      </c>
      <c r="AC760" s="231">
        <v>4.0374568753080302</v>
      </c>
      <c r="AD760">
        <f>IF('WetLitterbags placem_collection'!AB101="","",'WetLitterbags placem_collection'!AB101)</f>
        <v>5.0999999999999996</v>
      </c>
      <c r="AE760">
        <f>IF('WetLitterbags placem_collection'!Z101="","",'WetLitterbags placem_collection'!Z101)</f>
        <v>2.2999999999999998</v>
      </c>
      <c r="AF760" s="246" t="str">
        <f>IF('WetLitterbags placem_collection'!AA101="","",'WetLitterbags placem_collection'!AA101)</f>
        <v>G</v>
      </c>
      <c r="AG760">
        <f>IF('WetLitterbags placem_collection'!AC101="","",'WetLitterbags placem_collection'!AC101)</f>
        <v>0</v>
      </c>
      <c r="AH760">
        <f>AVERAGE('WetLitterbags placem_collection'!S101,'WetLitterbags placem_collection'!U101)</f>
        <v>17.95</v>
      </c>
      <c r="AI760">
        <f>AVERAGE('WetLitterbags placem_collection'!R101,'WetLitterbags placem_collection'!T101)</f>
        <v>30.85</v>
      </c>
      <c r="AJ760">
        <f>INDEX(Coordinates!$B$2:$B$197,MATCH(G760,Coordinates!$J$2:$J$197,0))</f>
        <v>-2.369284993</v>
      </c>
      <c r="AK760">
        <f>INDEX(Coordinates!$C$2:$C$197,MATCH(G760,Coordinates!$J$2:$J$197,0))</f>
        <v>34.06028104</v>
      </c>
      <c r="AL760" t="str">
        <f>IF(ISNUMBER(SEARCH("C", 'WetLitterbags placem_collection'!Y101)),"YES","NO")</f>
        <v>NO</v>
      </c>
      <c r="AM760" t="str">
        <f>IF(ISNUMBER(SEARCH("H", 'WetLitterbags placem_collection'!Y101)),"YES","NO")</f>
        <v>NO</v>
      </c>
      <c r="AN760" t="str">
        <f>IF(ISNUMBER(SEARCH("R", 'WetLitterbags placem_collection'!Y101)),"YES","NO")</f>
        <v>NO</v>
      </c>
    </row>
    <row r="761" spans="1:40" ht="15" customHeight="1">
      <c r="A761" s="258" t="s">
        <v>2460</v>
      </c>
      <c r="B761" s="263">
        <f>'Dry_Litterbag Placem_Collection'!A102</f>
        <v>100</v>
      </c>
      <c r="C761" s="263" t="str">
        <f>'Dry_Litterbag Placem_Collection'!B102</f>
        <v xml:space="preserve">Mwantimba
</v>
      </c>
      <c r="D761" s="263" t="s">
        <v>2460</v>
      </c>
      <c r="E761" s="263" t="s">
        <v>2660</v>
      </c>
      <c r="F761" s="263">
        <v>1</v>
      </c>
      <c r="G761" s="264" t="str">
        <f>'Dry_Litterbag Placem_Collection'!C102</f>
        <v>Wet_Ag1_T4</v>
      </c>
      <c r="H761" s="273" t="s">
        <v>3651</v>
      </c>
      <c r="I761" s="274" t="s">
        <v>298</v>
      </c>
      <c r="J761" s="223" t="str">
        <f>'WetLitterbags placem_collection'!Q102</f>
        <v>R497</v>
      </c>
      <c r="K761" s="225">
        <f>IFERROR(INDEX('Green_rooibos initial weight'!$C$5:$C$1749,MATCH(J761, 'Green_rooibos initial weight'!$A$5:$A$1749,0)),"")</f>
        <v>2.2240000000000002</v>
      </c>
      <c r="L761" s="225">
        <f>IFERROR(K761-(TBIcalc!$H$9+TBIcalc!$H$10),"")</f>
        <v>1.9742000000000002</v>
      </c>
      <c r="M761" s="391">
        <f>AVERAGE(Ashed_controlls!$K$12:$K$14)</f>
        <v>2.2816647271287041</v>
      </c>
      <c r="N761" s="225">
        <f t="shared" si="60"/>
        <v>1.9291553749570254</v>
      </c>
      <c r="O761" s="225">
        <f>IF(IFERROR(INDEX('Both teabags AfterWet'!$C$3:$C$841,MATCH(J761,'Both teabags AfterWet'!$A$3:$A$841,0)),"")="","",(IFERROR(INDEX('Both teabags AfterWet'!$C$3:$C$841,MATCH(J761,'Both teabags AfterWet'!$A$3:$A$841,0)),"")))</f>
        <v>1.66</v>
      </c>
      <c r="P761" s="225">
        <f>IFERROR(IF(O761&gt;0,O761-(TBIcalc!$H$9),""),"")</f>
        <v>1.5093999999999999</v>
      </c>
      <c r="Q761" s="225">
        <f>IFERROR(INDEX('Ashed teabags wet'!$K$2:$K$821,MATCH(J761,'Ashed teabags wet'!$A$2:$A$821,0)),"")</f>
        <v>7.3426573426567847</v>
      </c>
      <c r="R761" s="225">
        <f t="shared" si="63"/>
        <v>1.3985699300699383</v>
      </c>
      <c r="S761" s="226">
        <f>'WetLitterbags placem_collection'!E102</f>
        <v>42762</v>
      </c>
      <c r="T761" s="226">
        <f>IF('WetLitterbags placem_collection'!G102="","",'WetLitterbags placem_collection'!G102)</f>
        <v>42816</v>
      </c>
      <c r="U761" s="227">
        <f t="shared" si="64"/>
        <v>54</v>
      </c>
      <c r="V761" s="225">
        <f t="shared" si="61"/>
        <v>0.46480000000000032</v>
      </c>
      <c r="W761" s="225">
        <f t="shared" si="62"/>
        <v>0.53058544488708703</v>
      </c>
      <c r="X761">
        <f>IFERROR(INDEX(Rainfall_Wet!$O$2:$O$217,MATCH(B761, Rainfall_Wet!$A$2:$A$217,0)),"")</f>
        <v>206.85140822299999</v>
      </c>
      <c r="Y761" s="231">
        <v>45.96</v>
      </c>
      <c r="Z761" s="231">
        <v>14.920000000000003</v>
      </c>
      <c r="AA761" s="231">
        <v>39.119999999999997</v>
      </c>
      <c r="AB761" s="232" t="s">
        <v>2673</v>
      </c>
      <c r="AC761" s="231">
        <v>5.0374568753080302</v>
      </c>
      <c r="AD761">
        <f>IF('WetLitterbags placem_collection'!AB102="","",'WetLitterbags placem_collection'!AB102)</f>
        <v>1.6</v>
      </c>
      <c r="AE761">
        <f>IF('WetLitterbags placem_collection'!Z102="","",'WetLitterbags placem_collection'!Z102)</f>
        <v>15</v>
      </c>
      <c r="AF761" s="246" t="str">
        <f>IF('WetLitterbags placem_collection'!AA102="","",'WetLitterbags placem_collection'!AA102)</f>
        <v>G</v>
      </c>
      <c r="AG761">
        <f>IF('WetLitterbags placem_collection'!AC102="","",'WetLitterbags placem_collection'!AC102)</f>
        <v>1</v>
      </c>
      <c r="AH761">
        <f>AVERAGE('WetLitterbags placem_collection'!S102,'WetLitterbags placem_collection'!U102)</f>
        <v>16.5</v>
      </c>
      <c r="AI761">
        <f>AVERAGE('WetLitterbags placem_collection'!R102,'WetLitterbags placem_collection'!T102)</f>
        <v>29.85</v>
      </c>
      <c r="AJ761">
        <f>INDEX(Coordinates!$B$2:$B$197,MATCH(G761,Coordinates!$J$2:$J$197,0))</f>
        <v>-2.3691989950000001</v>
      </c>
      <c r="AK761">
        <f>INDEX(Coordinates!$C$2:$C$197,MATCH(G761,Coordinates!$J$2:$J$197,0))</f>
        <v>34.060208029999998</v>
      </c>
      <c r="AL761" t="str">
        <f>IF(ISNUMBER(SEARCH("C", 'WetLitterbags placem_collection'!Y102)),"YES","NO")</f>
        <v>NO</v>
      </c>
      <c r="AM761" t="str">
        <f>IF(ISNUMBER(SEARCH("H", 'WetLitterbags placem_collection'!Y102)),"YES","NO")</f>
        <v>NO</v>
      </c>
      <c r="AN761" t="str">
        <f>IF(ISNUMBER(SEARCH("R", 'WetLitterbags placem_collection'!Y102)),"YES","NO")</f>
        <v>NO</v>
      </c>
    </row>
    <row r="762" spans="1:40" ht="15" customHeight="1">
      <c r="A762" s="258" t="s">
        <v>2460</v>
      </c>
      <c r="B762" s="263">
        <f>'Dry_Litterbag Placem_Collection'!A103</f>
        <v>101</v>
      </c>
      <c r="C762" s="263" t="str">
        <f>'Dry_Litterbag Placem_Collection'!B103</f>
        <v xml:space="preserve">Mwantimba
</v>
      </c>
      <c r="D762" s="263" t="s">
        <v>2460</v>
      </c>
      <c r="E762" s="263" t="s">
        <v>2660</v>
      </c>
      <c r="F762" s="263">
        <v>1</v>
      </c>
      <c r="G762" s="264" t="str">
        <f>'Dry_Litterbag Placem_Collection'!C103</f>
        <v>Wet_Ag1_T5</v>
      </c>
      <c r="H762" s="273" t="s">
        <v>3651</v>
      </c>
      <c r="I762" s="274" t="s">
        <v>298</v>
      </c>
      <c r="J762" s="223" t="str">
        <f>'WetLitterbags placem_collection'!Q103</f>
        <v>R10</v>
      </c>
      <c r="K762" s="225">
        <f>IFERROR(INDEX('Green_rooibos initial weight'!$C$5:$C$1749,MATCH(J762, 'Green_rooibos initial weight'!$A$5:$A$1749,0)),"")</f>
        <v>2.29</v>
      </c>
      <c r="L762" s="225">
        <f>IFERROR(K762-(TBIcalc!$H$9+TBIcalc!$H$10),"")</f>
        <v>2.0402</v>
      </c>
      <c r="M762" s="391">
        <f>AVERAGE(Ashed_controlls!$K$12:$K$14)</f>
        <v>2.2816647271287041</v>
      </c>
      <c r="N762" s="225">
        <f t="shared" si="60"/>
        <v>1.9936494762371202</v>
      </c>
      <c r="O762" s="225">
        <f>IF(IFERROR(INDEX('Both teabags AfterWet'!$C$3:$C$841,MATCH(J762,'Both teabags AfterWet'!$A$3:$A$841,0)),"")="","",(IFERROR(INDEX('Both teabags AfterWet'!$C$3:$C$841,MATCH(J762,'Both teabags AfterWet'!$A$3:$A$841,0)),"")))</f>
        <v>1.5687</v>
      </c>
      <c r="P762" s="225">
        <f>IFERROR(IF(O762&gt;0,O762-(TBIcalc!$H$9),""),"")</f>
        <v>1.4180999999999999</v>
      </c>
      <c r="Q762" s="225">
        <f>IFERROR(INDEX('Ashed teabags wet'!$K$2:$K$821,MATCH(J762,'Ashed teabags wet'!$A$2:$A$821,0)),"")</f>
        <v>7.5048732943469902</v>
      </c>
      <c r="R762" s="225">
        <f t="shared" si="63"/>
        <v>1.3116733918128651</v>
      </c>
      <c r="S762" s="226">
        <f>'WetLitterbags placem_collection'!E103</f>
        <v>42762</v>
      </c>
      <c r="T762" s="226">
        <f>IF('WetLitterbags placem_collection'!G103="","",'WetLitterbags placem_collection'!G103)</f>
        <v>42816</v>
      </c>
      <c r="U762" s="227">
        <f t="shared" si="64"/>
        <v>54</v>
      </c>
      <c r="V762" s="225">
        <f t="shared" si="61"/>
        <v>0.6221000000000001</v>
      </c>
      <c r="W762" s="225">
        <f t="shared" si="62"/>
        <v>0.68197608442425506</v>
      </c>
      <c r="X762">
        <f>IFERROR(INDEX(Rainfall_Wet!$O$2:$O$217,MATCH(B762, Rainfall_Wet!$A$2:$A$217,0)),"")</f>
        <v>206.85140822299999</v>
      </c>
      <c r="Y762" s="231">
        <v>45.96</v>
      </c>
      <c r="Z762" s="231">
        <v>14.920000000000003</v>
      </c>
      <c r="AA762" s="231">
        <v>39.119999999999997</v>
      </c>
      <c r="AB762" s="232" t="s">
        <v>2673</v>
      </c>
      <c r="AC762" s="231">
        <v>6.0374568753080302</v>
      </c>
      <c r="AD762">
        <f>IF('WetLitterbags placem_collection'!AB103="","",'WetLitterbags placem_collection'!AB103)</f>
        <v>4.3499999999999996</v>
      </c>
      <c r="AE762">
        <f>IF('WetLitterbags placem_collection'!Z103="","",'WetLitterbags placem_collection'!Z103)</f>
        <v>17</v>
      </c>
      <c r="AF762" s="246" t="str">
        <f>IF('WetLitterbags placem_collection'!AA103="","",'WetLitterbags placem_collection'!AA103)</f>
        <v>G</v>
      </c>
      <c r="AG762">
        <f>IF('WetLitterbags placem_collection'!AC103="","",'WetLitterbags placem_collection'!AC103)</f>
        <v>1</v>
      </c>
      <c r="AH762">
        <f>AVERAGE('WetLitterbags placem_collection'!S103,'WetLitterbags placem_collection'!U103)</f>
        <v>22.549999999999997</v>
      </c>
      <c r="AI762">
        <f>AVERAGE('WetLitterbags placem_collection'!R103,'WetLitterbags placem_collection'!T103)</f>
        <v>31.150000000000002</v>
      </c>
      <c r="AJ762">
        <f>INDEX(Coordinates!$B$2:$B$197,MATCH(G762,Coordinates!$J$2:$J$197,0))</f>
        <v>-2.3691900260000001</v>
      </c>
      <c r="AK762">
        <f>INDEX(Coordinates!$C$2:$C$197,MATCH(G762,Coordinates!$J$2:$J$197,0))</f>
        <v>34.060177019999998</v>
      </c>
      <c r="AL762" t="str">
        <f>IF(ISNUMBER(SEARCH("C", 'WetLitterbags placem_collection'!Y103)),"YES","NO")</f>
        <v>NO</v>
      </c>
      <c r="AM762" t="str">
        <f>IF(ISNUMBER(SEARCH("H", 'WetLitterbags placem_collection'!Y103)),"YES","NO")</f>
        <v>NO</v>
      </c>
      <c r="AN762" t="str">
        <f>IF(ISNUMBER(SEARCH("R", 'WetLitterbags placem_collection'!Y103)),"YES","NO")</f>
        <v>NO</v>
      </c>
    </row>
    <row r="763" spans="1:40" ht="15" customHeight="1">
      <c r="A763" s="258" t="s">
        <v>2460</v>
      </c>
      <c r="B763" s="263">
        <f>'Dry_Litterbag Placem_Collection'!A104</f>
        <v>102</v>
      </c>
      <c r="C763" s="263" t="str">
        <f>'Dry_Litterbag Placem_Collection'!B104</f>
        <v xml:space="preserve">Mwantimba
</v>
      </c>
      <c r="D763" s="263" t="s">
        <v>2460</v>
      </c>
      <c r="E763" s="263" t="s">
        <v>2660</v>
      </c>
      <c r="F763" s="263">
        <v>1</v>
      </c>
      <c r="G763" s="264" t="str">
        <f>'Dry_Litterbag Placem_Collection'!C104</f>
        <v>Wet_Ag1_T6</v>
      </c>
      <c r="H763" s="273" t="s">
        <v>3651</v>
      </c>
      <c r="I763" s="274" t="s">
        <v>298</v>
      </c>
      <c r="J763" s="223" t="str">
        <f>'WetLitterbags placem_collection'!Q104</f>
        <v>R26</v>
      </c>
      <c r="K763" s="225">
        <f>IFERROR(INDEX('Green_rooibos initial weight'!$C$5:$C$1749,MATCH(J763, 'Green_rooibos initial weight'!$A$5:$A$1749,0)),"")</f>
        <v>2.2559999999999998</v>
      </c>
      <c r="L763" s="225">
        <f>IFERROR(K763-(TBIcalc!$H$9+TBIcalc!$H$10),"")</f>
        <v>2.0061999999999998</v>
      </c>
      <c r="M763" s="391">
        <f>AVERAGE(Ashed_controlls!$K$12:$K$14)</f>
        <v>2.2816647271287041</v>
      </c>
      <c r="N763" s="225">
        <f t="shared" si="60"/>
        <v>1.9604252422443438</v>
      </c>
      <c r="O763" s="225">
        <f>IF(IFERROR(INDEX('Both teabags AfterWet'!$C$3:$C$841,MATCH(J763,'Both teabags AfterWet'!$A$3:$A$841,0)),"")="","",(IFERROR(INDEX('Both teabags AfterWet'!$C$3:$C$841,MATCH(J763,'Both teabags AfterWet'!$A$3:$A$841,0)),"")))</f>
        <v>1.6240000000000001</v>
      </c>
      <c r="P763" s="225">
        <f>IFERROR(IF(O763&gt;0,O763-(TBIcalc!$H$9),""),"")</f>
        <v>1.4734</v>
      </c>
      <c r="Q763" s="225">
        <f>IFERROR(INDEX('Ashed teabags wet'!$K$2:$K$821,MATCH(J763,'Ashed teabags wet'!$A$2:$A$821,0)),"")</f>
        <v>5.4671968190859612</v>
      </c>
      <c r="R763" s="225">
        <f t="shared" si="63"/>
        <v>1.3928463220675875</v>
      </c>
      <c r="S763" s="226">
        <f>'WetLitterbags placem_collection'!E104</f>
        <v>42762</v>
      </c>
      <c r="T763" s="226">
        <f>IF('WetLitterbags placem_collection'!G104="","",'WetLitterbags placem_collection'!G104)</f>
        <v>42816</v>
      </c>
      <c r="U763" s="227">
        <f t="shared" si="64"/>
        <v>54</v>
      </c>
      <c r="V763" s="225">
        <f t="shared" si="61"/>
        <v>0.53279999999999972</v>
      </c>
      <c r="W763" s="225">
        <f t="shared" si="62"/>
        <v>0.56757892017675626</v>
      </c>
      <c r="X763">
        <f>IFERROR(INDEX(Rainfall_Wet!$O$2:$O$217,MATCH(B763, Rainfall_Wet!$A$2:$A$217,0)),"")</f>
        <v>206.85140822299999</v>
      </c>
      <c r="Y763" s="231">
        <v>45.96</v>
      </c>
      <c r="Z763" s="231">
        <v>14.920000000000003</v>
      </c>
      <c r="AA763" s="231">
        <v>39.119999999999997</v>
      </c>
      <c r="AB763" s="232" t="s">
        <v>2673</v>
      </c>
      <c r="AC763" s="231">
        <v>7.0374568753080302</v>
      </c>
      <c r="AD763">
        <f>IF('WetLitterbags placem_collection'!AB104="","",'WetLitterbags placem_collection'!AB104)</f>
        <v>7.7</v>
      </c>
      <c r="AE763">
        <f>IF('WetLitterbags placem_collection'!Z104="","",'WetLitterbags placem_collection'!Z104)</f>
        <v>21</v>
      </c>
      <c r="AF763" s="246" t="str">
        <f>IF('WetLitterbags placem_collection'!AA104="","",'WetLitterbags placem_collection'!AA104)</f>
        <v>G</v>
      </c>
      <c r="AG763">
        <f>IF('WetLitterbags placem_collection'!AC104="","",'WetLitterbags placem_collection'!AC104)</f>
        <v>1</v>
      </c>
      <c r="AH763">
        <f>AVERAGE('WetLitterbags placem_collection'!S104,'WetLitterbags placem_collection'!U104)</f>
        <v>21.099999999999998</v>
      </c>
      <c r="AI763">
        <f>AVERAGE('WetLitterbags placem_collection'!R104,'WetLitterbags placem_collection'!T104)</f>
        <v>31.8</v>
      </c>
      <c r="AJ763">
        <f>INDEX(Coordinates!$B$2:$B$197,MATCH(G763,Coordinates!$J$2:$J$197,0))</f>
        <v>-2.3691350409999998</v>
      </c>
      <c r="AK763">
        <f>INDEX(Coordinates!$C$2:$C$197,MATCH(G763,Coordinates!$J$2:$J$197,0))</f>
        <v>34.06018297</v>
      </c>
      <c r="AL763" t="str">
        <f>IF(ISNUMBER(SEARCH("C", 'WetLitterbags placem_collection'!Y104)),"YES","NO")</f>
        <v>NO</v>
      </c>
      <c r="AM763" t="str">
        <f>IF(ISNUMBER(SEARCH("H", 'WetLitterbags placem_collection'!Y104)),"YES","NO")</f>
        <v>NO</v>
      </c>
      <c r="AN763" t="str">
        <f>IF(ISNUMBER(SEARCH("R", 'WetLitterbags placem_collection'!Y104)),"YES","NO")</f>
        <v>NO</v>
      </c>
    </row>
    <row r="764" spans="1:40" ht="15" customHeight="1">
      <c r="A764" s="258" t="s">
        <v>2460</v>
      </c>
      <c r="B764" s="263">
        <f>'Dry_Litterbag Placem_Collection'!A105</f>
        <v>103</v>
      </c>
      <c r="C764" s="263" t="str">
        <f>'Dry_Litterbag Placem_Collection'!B105</f>
        <v xml:space="preserve">Mwantimba
</v>
      </c>
      <c r="D764" s="263" t="s">
        <v>2460</v>
      </c>
      <c r="E764" s="263" t="s">
        <v>2660</v>
      </c>
      <c r="F764" s="263">
        <v>1</v>
      </c>
      <c r="G764" s="264" t="str">
        <f>'Dry_Litterbag Placem_Collection'!C105</f>
        <v>Wet_Ag1_T7</v>
      </c>
      <c r="H764" s="273" t="s">
        <v>3651</v>
      </c>
      <c r="I764" s="274" t="s">
        <v>298</v>
      </c>
      <c r="J764" s="223" t="str">
        <f>'WetLitterbags placem_collection'!Q105</f>
        <v>R494</v>
      </c>
      <c r="K764" s="225">
        <f>IFERROR(INDEX('Green_rooibos initial weight'!$C$5:$C$1749,MATCH(J764, 'Green_rooibos initial weight'!$A$5:$A$1749,0)),"")</f>
        <v>2.2130000000000001</v>
      </c>
      <c r="L764" s="225">
        <f>IFERROR(K764-(TBIcalc!$H$9+TBIcalc!$H$10),"")</f>
        <v>1.9632000000000001</v>
      </c>
      <c r="M764" s="391">
        <f>AVERAGE(Ashed_controlls!$K$12:$K$14)</f>
        <v>2.2816647271287041</v>
      </c>
      <c r="N764" s="225">
        <f t="shared" si="60"/>
        <v>1.9184063580770094</v>
      </c>
      <c r="O764" s="225">
        <f>IF(IFERROR(INDEX('Both teabags AfterWet'!$C$3:$C$841,MATCH(J764,'Both teabags AfterWet'!$A$3:$A$841,0)),"")="","",(IFERROR(INDEX('Both teabags AfterWet'!$C$3:$C$841,MATCH(J764,'Both teabags AfterWet'!$A$3:$A$841,0)),"")))</f>
        <v>1.6919999999999999</v>
      </c>
      <c r="P764" s="225">
        <f>IFERROR(IF(O764&gt;0,O764-(TBIcalc!$H$9),""),"")</f>
        <v>1.5413999999999999</v>
      </c>
      <c r="Q764" s="225">
        <f>IFERROR(INDEX('Ashed teabags wet'!$K$2:$K$821,MATCH(J764,'Ashed teabags wet'!$A$2:$A$821,0)),"")</f>
        <v>5.3175775480057332</v>
      </c>
      <c r="R764" s="225">
        <f t="shared" si="63"/>
        <v>1.4594348596750395</v>
      </c>
      <c r="S764" s="226">
        <f>'WetLitterbags placem_collection'!E105</f>
        <v>42762</v>
      </c>
      <c r="T764" s="226">
        <f>IF('WetLitterbags placem_collection'!G105="","",'WetLitterbags placem_collection'!G105)</f>
        <v>42816</v>
      </c>
      <c r="U764" s="227">
        <f t="shared" si="64"/>
        <v>54</v>
      </c>
      <c r="V764" s="225">
        <f t="shared" si="61"/>
        <v>0.42180000000000017</v>
      </c>
      <c r="W764" s="225">
        <f t="shared" si="62"/>
        <v>0.45897149840196994</v>
      </c>
      <c r="X764">
        <f>IFERROR(INDEX(Rainfall_Wet!$O$2:$O$217,MATCH(B764, Rainfall_Wet!$A$2:$A$217,0)),"")</f>
        <v>206.85140822299999</v>
      </c>
      <c r="Y764" s="231">
        <v>45.96</v>
      </c>
      <c r="Z764" s="231">
        <v>14.920000000000003</v>
      </c>
      <c r="AA764" s="231">
        <v>39.119999999999997</v>
      </c>
      <c r="AB764" s="232" t="s">
        <v>2673</v>
      </c>
      <c r="AC764" s="231">
        <v>8.0374568753080293</v>
      </c>
      <c r="AD764">
        <f>IF('WetLitterbags placem_collection'!AB105="","",'WetLitterbags placem_collection'!AB105)</f>
        <v>3.25</v>
      </c>
      <c r="AE764">
        <f>IF('WetLitterbags placem_collection'!Z105="","",'WetLitterbags placem_collection'!Z105)</f>
        <v>16</v>
      </c>
      <c r="AF764" s="246" t="str">
        <f>IF('WetLitterbags placem_collection'!AA105="","",'WetLitterbags placem_collection'!AA105)</f>
        <v>G</v>
      </c>
      <c r="AG764">
        <f>IF('WetLitterbags placem_collection'!AC105="","",'WetLitterbags placem_collection'!AC105)</f>
        <v>1</v>
      </c>
      <c r="AH764">
        <f>AVERAGE('WetLitterbags placem_collection'!S105,'WetLitterbags placem_collection'!U105)</f>
        <v>20.450000000000003</v>
      </c>
      <c r="AI764">
        <f>AVERAGE('WetLitterbags placem_collection'!R105,'WetLitterbags placem_collection'!T105)</f>
        <v>30.25</v>
      </c>
      <c r="AJ764">
        <f>INDEX(Coordinates!$B$2:$B$197,MATCH(G764,Coordinates!$J$2:$J$197,0))</f>
        <v>-2.3691330289999999</v>
      </c>
      <c r="AK764">
        <f>INDEX(Coordinates!$C$2:$C$197,MATCH(G764,Coordinates!$J$2:$J$197,0))</f>
        <v>34.060233009999997</v>
      </c>
      <c r="AL764" t="str">
        <f>IF(ISNUMBER(SEARCH("C", 'WetLitterbags placem_collection'!Y105)),"YES","NO")</f>
        <v>NO</v>
      </c>
      <c r="AM764" t="str">
        <f>IF(ISNUMBER(SEARCH("H", 'WetLitterbags placem_collection'!Y105)),"YES","NO")</f>
        <v>NO</v>
      </c>
      <c r="AN764" t="str">
        <f>IF(ISNUMBER(SEARCH("R", 'WetLitterbags placem_collection'!Y105)),"YES","NO")</f>
        <v>YES</v>
      </c>
    </row>
    <row r="765" spans="1:40" ht="15" customHeight="1">
      <c r="A765" s="258" t="s">
        <v>2460</v>
      </c>
      <c r="B765" s="263">
        <f>'Dry_Litterbag Placem_Collection'!A106</f>
        <v>104</v>
      </c>
      <c r="C765" s="263" t="str">
        <f>'Dry_Litterbag Placem_Collection'!B106</f>
        <v xml:space="preserve">Mwantimba
</v>
      </c>
      <c r="D765" s="263" t="s">
        <v>2460</v>
      </c>
      <c r="E765" s="263" t="s">
        <v>2660</v>
      </c>
      <c r="F765" s="263">
        <v>1</v>
      </c>
      <c r="G765" s="264" t="str">
        <f>'Dry_Litterbag Placem_Collection'!C106</f>
        <v>Wet_Ag1_T8</v>
      </c>
      <c r="H765" s="273" t="s">
        <v>3651</v>
      </c>
      <c r="I765" s="274" t="s">
        <v>298</v>
      </c>
      <c r="J765" s="223" t="str">
        <f>'WetLitterbags placem_collection'!Q106</f>
        <v>R475</v>
      </c>
      <c r="K765" s="225">
        <f>IFERROR(INDEX('Green_rooibos initial weight'!$C$5:$C$1749,MATCH(J765, 'Green_rooibos initial weight'!$A$5:$A$1749,0)),"")</f>
        <v>2.2210000000000001</v>
      </c>
      <c r="L765" s="225">
        <f>IFERROR(K765-(TBIcalc!$H$9+TBIcalc!$H$10),"")</f>
        <v>1.9712000000000001</v>
      </c>
      <c r="M765" s="391">
        <f>AVERAGE(Ashed_controlls!$K$12:$K$14)</f>
        <v>2.2816647271287041</v>
      </c>
      <c r="N765" s="225">
        <f t="shared" si="60"/>
        <v>1.926223824898839</v>
      </c>
      <c r="O765" s="225">
        <f>IF(IFERROR(INDEX('Both teabags AfterWet'!$C$3:$C$841,MATCH(J765,'Both teabags AfterWet'!$A$3:$A$841,0)),"")="","",(IFERROR(INDEX('Both teabags AfterWet'!$C$3:$C$841,MATCH(J765,'Both teabags AfterWet'!$A$3:$A$841,0)),"")))</f>
        <v>1.4970000000000001</v>
      </c>
      <c r="P765" s="225">
        <f>IFERROR(IF(O765&gt;0,O765-(TBIcalc!$H$9),""),"")</f>
        <v>1.3464</v>
      </c>
      <c r="Q765" s="225">
        <f>IFERROR(INDEX('Ashed teabags wet'!$K$2:$K$821,MATCH(J765,'Ashed teabags wet'!$A$2:$A$821,0)),"")</f>
        <v>9.2474176094433584</v>
      </c>
      <c r="R765" s="225">
        <f t="shared" si="63"/>
        <v>1.2218927693064547</v>
      </c>
      <c r="S765" s="226">
        <f>'WetLitterbags placem_collection'!E106</f>
        <v>42762</v>
      </c>
      <c r="T765" s="226">
        <f>IF('WetLitterbags placem_collection'!G106="","",'WetLitterbags placem_collection'!G106)</f>
        <v>42816</v>
      </c>
      <c r="U765" s="227">
        <f t="shared" si="64"/>
        <v>54</v>
      </c>
      <c r="V765" s="225">
        <f t="shared" si="61"/>
        <v>0.62480000000000002</v>
      </c>
      <c r="W765" s="225">
        <f t="shared" si="62"/>
        <v>0.70433105559238429</v>
      </c>
      <c r="X765">
        <f>IFERROR(INDEX(Rainfall_Wet!$O$2:$O$217,MATCH(B765, Rainfall_Wet!$A$2:$A$217,0)),"")</f>
        <v>206.85140822299999</v>
      </c>
      <c r="Y765" s="231">
        <v>45.96</v>
      </c>
      <c r="Z765" s="231">
        <v>14.920000000000003</v>
      </c>
      <c r="AA765" s="231">
        <v>39.119999999999997</v>
      </c>
      <c r="AB765" s="232" t="s">
        <v>2673</v>
      </c>
      <c r="AC765" s="231">
        <v>9.0374568753080293</v>
      </c>
      <c r="AD765">
        <f>IF('WetLitterbags placem_collection'!AB106="","",'WetLitterbags placem_collection'!AB106)</f>
        <v>10.5</v>
      </c>
      <c r="AE765">
        <f>IF('WetLitterbags placem_collection'!Z106="","",'WetLitterbags placem_collection'!Z106)</f>
        <v>17</v>
      </c>
      <c r="AF765" s="246" t="str">
        <f>IF('WetLitterbags placem_collection'!AA106="","",'WetLitterbags placem_collection'!AA106)</f>
        <v>G</v>
      </c>
      <c r="AG765">
        <f>IF('WetLitterbags placem_collection'!AC106="","",'WetLitterbags placem_collection'!AC106)</f>
        <v>1</v>
      </c>
      <c r="AH765">
        <f>AVERAGE('WetLitterbags placem_collection'!S106,'WetLitterbags placem_collection'!U106)</f>
        <v>21.6</v>
      </c>
      <c r="AI765">
        <f>AVERAGE('WetLitterbags placem_collection'!R106,'WetLitterbags placem_collection'!T106)</f>
        <v>29.3</v>
      </c>
      <c r="AJ765">
        <f>INDEX(Coordinates!$B$2:$B$197,MATCH(G765,Coordinates!$J$2:$J$197,0))</f>
        <v>-2.3692910280000001</v>
      </c>
      <c r="AK765">
        <f>INDEX(Coordinates!$C$2:$C$197,MATCH(G765,Coordinates!$J$2:$J$197,0))</f>
        <v>34.06016202</v>
      </c>
      <c r="AL765" t="str">
        <f>IF(ISNUMBER(SEARCH("C", 'WetLitterbags placem_collection'!Y106)),"YES","NO")</f>
        <v>NO</v>
      </c>
      <c r="AM765" t="str">
        <f>IF(ISNUMBER(SEARCH("H", 'WetLitterbags placem_collection'!Y106)),"YES","NO")</f>
        <v>NO</v>
      </c>
      <c r="AN765" t="str">
        <f>IF(ISNUMBER(SEARCH("R", 'WetLitterbags placem_collection'!Y106)),"YES","NO")</f>
        <v>NO</v>
      </c>
    </row>
    <row r="766" spans="1:40" ht="15" customHeight="1">
      <c r="A766" s="258" t="s">
        <v>2460</v>
      </c>
      <c r="B766" s="263">
        <f>'Dry_Litterbag Placem_Collection'!A107</f>
        <v>105</v>
      </c>
      <c r="C766" s="263" t="str">
        <f>'Dry_Litterbag Placem_Collection'!B107</f>
        <v xml:space="preserve">Mwantimba
</v>
      </c>
      <c r="D766" s="263" t="s">
        <v>2460</v>
      </c>
      <c r="E766" s="263" t="s">
        <v>2660</v>
      </c>
      <c r="F766" s="263">
        <v>2</v>
      </c>
      <c r="G766" s="264" t="str">
        <f>'Dry_Litterbag Placem_Collection'!C107</f>
        <v>Wet_Ag2_T1</v>
      </c>
      <c r="H766" s="273" t="s">
        <v>3651</v>
      </c>
      <c r="I766" s="274" t="s">
        <v>298</v>
      </c>
      <c r="J766" s="223" t="str">
        <f>'WetLitterbags placem_collection'!Q107</f>
        <v>R540</v>
      </c>
      <c r="K766" s="225">
        <f>IFERROR(INDEX('Green_rooibos initial weight'!$C$5:$C$1749,MATCH(J766, 'Green_rooibos initial weight'!$A$5:$A$1749,0)),"")</f>
        <v>2.194</v>
      </c>
      <c r="L766" s="225">
        <f>IFERROR(K766-(TBIcalc!$H$9+TBIcalc!$H$10),"")</f>
        <v>1.9441999999999999</v>
      </c>
      <c r="M766" s="391">
        <f>AVERAGE(Ashed_controlls!$K$12:$K$14)</f>
        <v>2.2816647271287041</v>
      </c>
      <c r="N766" s="225">
        <f t="shared" si="60"/>
        <v>1.8998398743751637</v>
      </c>
      <c r="O766" s="225">
        <f>IF(IFERROR(INDEX('Both teabags AfterWet'!$C$3:$C$841,MATCH(J766,'Both teabags AfterWet'!$A$3:$A$841,0)),"")="","",(IFERROR(INDEX('Both teabags AfterWet'!$C$3:$C$841,MATCH(J766,'Both teabags AfterWet'!$A$3:$A$841,0)),"")))</f>
        <v>1.8080000000000001</v>
      </c>
      <c r="P766" s="225">
        <f>IFERROR(IF(O766&gt;0,O766-(TBIcalc!$H$9),""),"")</f>
        <v>1.6574</v>
      </c>
      <c r="Q766" s="225">
        <f>IFERROR(INDEX('Ashed teabags wet'!$K$2:$K$821,MATCH(J766,'Ashed teabags wet'!$A$2:$A$821,0)),"")</f>
        <v>5.7625434674605209</v>
      </c>
      <c r="R766" s="225">
        <f t="shared" si="63"/>
        <v>1.5618916045703093</v>
      </c>
      <c r="S766" s="226">
        <f>'WetLitterbags placem_collection'!E107</f>
        <v>42762</v>
      </c>
      <c r="T766" s="226">
        <f>IF('WetLitterbags placem_collection'!G107="","",'WetLitterbags placem_collection'!G107)</f>
        <v>42816</v>
      </c>
      <c r="U766" s="227">
        <f t="shared" si="64"/>
        <v>54</v>
      </c>
      <c r="V766" s="225">
        <f t="shared" si="61"/>
        <v>0.28679999999999994</v>
      </c>
      <c r="W766" s="225">
        <f t="shared" si="62"/>
        <v>0.33794826980485437</v>
      </c>
      <c r="X766">
        <f>IFERROR(INDEX(Rainfall_Wet!$O$2:$O$217,MATCH(B766, Rainfall_Wet!$A$2:$A$217,0)),"")</f>
        <v>206.85140822299999</v>
      </c>
      <c r="Y766" s="231">
        <v>34.344660194174757</v>
      </c>
      <c r="Z766" s="231">
        <v>19.22727272727273</v>
      </c>
      <c r="AA766" s="231">
        <v>46.428067078552509</v>
      </c>
      <c r="AB766" s="232" t="s">
        <v>2670</v>
      </c>
      <c r="AC766" s="231">
        <v>1.7452932479053718</v>
      </c>
      <c r="AD766">
        <f>IF('WetLitterbags placem_collection'!AB107="","",'WetLitterbags placem_collection'!AB107)</f>
        <v>5.5</v>
      </c>
      <c r="AE766">
        <f>IF('WetLitterbags placem_collection'!Z107="","",'WetLitterbags placem_collection'!Z107)</f>
        <v>23.5</v>
      </c>
      <c r="AF766" s="246" t="str">
        <f>IF('WetLitterbags placem_collection'!AA107="","",'WetLitterbags placem_collection'!AA107)</f>
        <v>M</v>
      </c>
      <c r="AG766">
        <f>IF('WetLitterbags placem_collection'!AC107="","",'WetLitterbags placem_collection'!AC107)</f>
        <v>0</v>
      </c>
      <c r="AH766">
        <f>AVERAGE('WetLitterbags placem_collection'!S107,'WetLitterbags placem_collection'!U107)</f>
        <v>11.350000000000001</v>
      </c>
      <c r="AI766">
        <f>AVERAGE('WetLitterbags placem_collection'!R107,'WetLitterbags placem_collection'!T107)</f>
        <v>32.150000000000006</v>
      </c>
      <c r="AJ766">
        <f>INDEX(Coordinates!$B$2:$B$197,MATCH(G766,Coordinates!$J$2:$J$197,0))</f>
        <v>-2.3698080240000001</v>
      </c>
      <c r="AK766">
        <f>INDEX(Coordinates!$C$2:$C$197,MATCH(G766,Coordinates!$J$2:$J$197,0))</f>
        <v>34.059671010000002</v>
      </c>
      <c r="AL766" t="str">
        <f>IF(ISNUMBER(SEARCH("C", 'WetLitterbags placem_collection'!Y107)),"YES","NO")</f>
        <v>NO</v>
      </c>
      <c r="AM766" t="str">
        <f>IF(ISNUMBER(SEARCH("H", 'WetLitterbags placem_collection'!Y107)),"YES","NO")</f>
        <v>NO</v>
      </c>
      <c r="AN766" t="str">
        <f>IF(ISNUMBER(SEARCH("R", 'WetLitterbags placem_collection'!Y107)),"YES","NO")</f>
        <v>YES</v>
      </c>
    </row>
    <row r="767" spans="1:40" ht="15" customHeight="1">
      <c r="A767" s="258" t="s">
        <v>2460</v>
      </c>
      <c r="B767" s="263">
        <f>'Dry_Litterbag Placem_Collection'!A108</f>
        <v>106</v>
      </c>
      <c r="C767" s="263" t="str">
        <f>'Dry_Litterbag Placem_Collection'!B108</f>
        <v xml:space="preserve">Mwantimba
</v>
      </c>
      <c r="D767" s="263" t="s">
        <v>2460</v>
      </c>
      <c r="E767" s="263" t="s">
        <v>2660</v>
      </c>
      <c r="F767" s="263">
        <v>2</v>
      </c>
      <c r="G767" s="264" t="str">
        <f>'Dry_Litterbag Placem_Collection'!C108</f>
        <v>Wet_Ag2_T2</v>
      </c>
      <c r="H767" s="273" t="s">
        <v>3651</v>
      </c>
      <c r="I767" s="274" t="s">
        <v>298</v>
      </c>
      <c r="J767" s="223" t="str">
        <f>'WetLitterbags placem_collection'!Q108</f>
        <v>R593</v>
      </c>
      <c r="K767" s="225">
        <f>IFERROR(INDEX('Green_rooibos initial weight'!$C$5:$C$1749,MATCH(J767, 'Green_rooibos initial weight'!$A$5:$A$1749,0)),"")</f>
        <v>2.2090000000000001</v>
      </c>
      <c r="L767" s="225">
        <f>IFERROR(K767-(TBIcalc!$H$9+TBIcalc!$H$10),"")</f>
        <v>1.9592000000000001</v>
      </c>
      <c r="M767" s="391">
        <f>AVERAGE(Ashed_controlls!$K$12:$K$14)</f>
        <v>2.2816647271287041</v>
      </c>
      <c r="N767" s="225">
        <f t="shared" si="60"/>
        <v>1.9144976246660945</v>
      </c>
      <c r="O767" s="225">
        <f>IF(IFERROR(INDEX('Both teabags AfterWet'!$C$3:$C$841,MATCH(J767,'Both teabags AfterWet'!$A$3:$A$841,0)),"")="","",(IFERROR(INDEX('Both teabags AfterWet'!$C$3:$C$841,MATCH(J767,'Both teabags AfterWet'!$A$3:$A$841,0)),"")))</f>
        <v>1.7729999999999999</v>
      </c>
      <c r="P767" s="225">
        <f>IFERROR(IF(O767&gt;0,O767-(TBIcalc!$H$9),""),"")</f>
        <v>1.6223999999999998</v>
      </c>
      <c r="Q767" s="225">
        <f>IFERROR(INDEX('Ashed teabags wet'!$K$2:$K$821,MATCH(J767,'Ashed teabags wet'!$A$2:$A$821,0)),"")</f>
        <v>5.062034739454969</v>
      </c>
      <c r="R767" s="225">
        <f t="shared" si="63"/>
        <v>1.5402735483870824</v>
      </c>
      <c r="S767" s="226">
        <f>'WetLitterbags placem_collection'!E108</f>
        <v>42762</v>
      </c>
      <c r="T767" s="226">
        <f>IF('WetLitterbags placem_collection'!G108="","",'WetLitterbags placem_collection'!G108)</f>
        <v>42816</v>
      </c>
      <c r="U767" s="227">
        <f t="shared" si="64"/>
        <v>54</v>
      </c>
      <c r="V767" s="225">
        <f t="shared" si="61"/>
        <v>0.33680000000000021</v>
      </c>
      <c r="W767" s="225">
        <f t="shared" si="62"/>
        <v>0.37422407627901211</v>
      </c>
      <c r="X767">
        <f>IFERROR(INDEX(Rainfall_Wet!$O$2:$O$217,MATCH(B767, Rainfall_Wet!$A$2:$A$217,0)),"")</f>
        <v>206.85140822299999</v>
      </c>
      <c r="Y767" s="231">
        <v>34.344660194174757</v>
      </c>
      <c r="Z767" s="231">
        <v>19.22727272727273</v>
      </c>
      <c r="AA767" s="231">
        <v>46.428067078552509</v>
      </c>
      <c r="AB767" s="232" t="s">
        <v>2670</v>
      </c>
      <c r="AC767" s="231">
        <v>2.7452932479053702</v>
      </c>
      <c r="AD767">
        <f>IF('WetLitterbags placem_collection'!AB108="","",'WetLitterbags placem_collection'!AB108)</f>
        <v>8.6</v>
      </c>
      <c r="AE767">
        <f>IF('WetLitterbags placem_collection'!Z108="","",'WetLitterbags placem_collection'!Z108)</f>
        <v>17</v>
      </c>
      <c r="AF767" s="246" t="str">
        <f>IF('WetLitterbags placem_collection'!AA108="","",'WetLitterbags placem_collection'!AA108)</f>
        <v>M</v>
      </c>
      <c r="AG767">
        <f>IF('WetLitterbags placem_collection'!AC108="","",'WetLitterbags placem_collection'!AC108)</f>
        <v>0</v>
      </c>
      <c r="AH767">
        <f>AVERAGE('WetLitterbags placem_collection'!S108,'WetLitterbags placem_collection'!U108)</f>
        <v>12.4</v>
      </c>
      <c r="AI767">
        <f>AVERAGE('WetLitterbags placem_collection'!R108,'WetLitterbags placem_collection'!T108)</f>
        <v>32.950000000000003</v>
      </c>
      <c r="AJ767">
        <f>INDEX(Coordinates!$B$2:$B$197,MATCH(G767,Coordinates!$J$2:$J$197,0))</f>
        <v>-2.3697620069999998</v>
      </c>
      <c r="AK767">
        <f>INDEX(Coordinates!$C$2:$C$197,MATCH(G767,Coordinates!$J$2:$J$197,0))</f>
        <v>34.059730010000003</v>
      </c>
      <c r="AL767" t="str">
        <f>IF(ISNUMBER(SEARCH("C", 'WetLitterbags placem_collection'!Y108)),"YES","NO")</f>
        <v>NO</v>
      </c>
      <c r="AM767" t="str">
        <f>IF(ISNUMBER(SEARCH("H", 'WetLitterbags placem_collection'!Y108)),"YES","NO")</f>
        <v>NO</v>
      </c>
      <c r="AN767" t="str">
        <f>IF(ISNUMBER(SEARCH("R", 'WetLitterbags placem_collection'!Y108)),"YES","NO")</f>
        <v>YES</v>
      </c>
    </row>
    <row r="768" spans="1:40" ht="15" customHeight="1">
      <c r="A768" s="258" t="s">
        <v>2460</v>
      </c>
      <c r="B768" s="263">
        <f>'Dry_Litterbag Placem_Collection'!A109</f>
        <v>107</v>
      </c>
      <c r="C768" s="263" t="str">
        <f>'Dry_Litterbag Placem_Collection'!B109</f>
        <v xml:space="preserve">Mwantimba
</v>
      </c>
      <c r="D768" s="263" t="s">
        <v>2460</v>
      </c>
      <c r="E768" s="263" t="s">
        <v>2660</v>
      </c>
      <c r="F768" s="263">
        <v>2</v>
      </c>
      <c r="G768" s="264" t="str">
        <f>'Dry_Litterbag Placem_Collection'!C109</f>
        <v>Wet_Ag2_T3</v>
      </c>
      <c r="H768" s="273" t="s">
        <v>3651</v>
      </c>
      <c r="I768" s="274" t="s">
        <v>298</v>
      </c>
      <c r="J768" s="223" t="str">
        <f>'WetLitterbags placem_collection'!Q109</f>
        <v>R510</v>
      </c>
      <c r="K768" s="225">
        <f>IFERROR(INDEX('Green_rooibos initial weight'!$C$5:$C$1749,MATCH(J768, 'Green_rooibos initial weight'!$A$5:$A$1749,0)),"")</f>
        <v>2.2349999999999999</v>
      </c>
      <c r="L768" s="225">
        <f>IFERROR(K768-(TBIcalc!$H$9+TBIcalc!$H$10),"")</f>
        <v>1.9851999999999999</v>
      </c>
      <c r="M768" s="391">
        <f>AVERAGE(Ashed_controlls!$K$12:$K$14)</f>
        <v>2.2816647271287041</v>
      </c>
      <c r="N768" s="225">
        <f t="shared" si="60"/>
        <v>1.9399043918370409</v>
      </c>
      <c r="O768" s="225">
        <f>IF(IFERROR(INDEX('Both teabags AfterWet'!$C$3:$C$841,MATCH(J768,'Both teabags AfterWet'!$A$3:$A$841,0)),"")="","",(IFERROR(INDEX('Both teabags AfterWet'!$C$3:$C$841,MATCH(J768,'Both teabags AfterWet'!$A$3:$A$841,0)),"")))</f>
        <v>1.5944</v>
      </c>
      <c r="P768" s="225">
        <f>IFERROR(IF(O768&gt;0,O768-(TBIcalc!$H$9),""),"")</f>
        <v>1.4438</v>
      </c>
      <c r="Q768" s="225">
        <f>IFERROR(INDEX('Ashed teabags wet'!$K$2:$K$821,MATCH(J768,'Ashed teabags wet'!$A$2:$A$821,0)),"")</f>
        <v>5.2605210420842559</v>
      </c>
      <c r="R768" s="225">
        <f t="shared" si="63"/>
        <v>1.3678485971943874</v>
      </c>
      <c r="S768" s="226">
        <f>'WetLitterbags placem_collection'!E109</f>
        <v>42762</v>
      </c>
      <c r="T768" s="226">
        <f>IF('WetLitterbags placem_collection'!G109="","",'WetLitterbags placem_collection'!G109)</f>
        <v>42816</v>
      </c>
      <c r="U768" s="227">
        <f t="shared" si="64"/>
        <v>54</v>
      </c>
      <c r="V768" s="225">
        <f t="shared" si="61"/>
        <v>0.54139999999999988</v>
      </c>
      <c r="W768" s="225">
        <f t="shared" si="62"/>
        <v>0.57205579464265344</v>
      </c>
      <c r="X768">
        <f>IFERROR(INDEX(Rainfall_Wet!$O$2:$O$217,MATCH(B768, Rainfall_Wet!$A$2:$A$217,0)),"")</f>
        <v>206.85140822299999</v>
      </c>
      <c r="Y768" s="231">
        <v>34.344660194174757</v>
      </c>
      <c r="Z768" s="231">
        <v>19.22727272727273</v>
      </c>
      <c r="AA768" s="231">
        <v>46.428067078552509</v>
      </c>
      <c r="AB768" s="232" t="s">
        <v>2670</v>
      </c>
      <c r="AC768" s="231">
        <v>3.7452932479053702</v>
      </c>
      <c r="AD768">
        <f>IF('WetLitterbags placem_collection'!AB109="","",'WetLitterbags placem_collection'!AB109)</f>
        <v>3.85</v>
      </c>
      <c r="AE768">
        <f>IF('WetLitterbags placem_collection'!Z109="","",'WetLitterbags placem_collection'!Z109)</f>
        <v>15.5</v>
      </c>
      <c r="AF768" s="246" t="str">
        <f>IF('WetLitterbags placem_collection'!AA109="","",'WetLitterbags placem_collection'!AA109)</f>
        <v>M</v>
      </c>
      <c r="AG768">
        <f>IF('WetLitterbags placem_collection'!AC109="","",'WetLitterbags placem_collection'!AC109)</f>
        <v>0</v>
      </c>
      <c r="AH768">
        <f>AVERAGE('WetLitterbags placem_collection'!S109,'WetLitterbags placem_collection'!U109)</f>
        <v>11.299999999999999</v>
      </c>
      <c r="AI768">
        <f>AVERAGE('WetLitterbags placem_collection'!R109,'WetLitterbags placem_collection'!T109)</f>
        <v>32.450000000000003</v>
      </c>
      <c r="AJ768">
        <f>INDEX(Coordinates!$B$2:$B$197,MATCH(G768,Coordinates!$J$2:$J$197,0))</f>
        <v>-2.3698409649999999</v>
      </c>
      <c r="AK768">
        <f>INDEX(Coordinates!$C$2:$C$197,MATCH(G768,Coordinates!$J$2:$J$197,0))</f>
        <v>34.059814000000003</v>
      </c>
      <c r="AL768" t="str">
        <f>IF(ISNUMBER(SEARCH("C", 'WetLitterbags placem_collection'!Y109)),"YES","NO")</f>
        <v>NO</v>
      </c>
      <c r="AM768" t="str">
        <f>IF(ISNUMBER(SEARCH("H", 'WetLitterbags placem_collection'!Y109)),"YES","NO")</f>
        <v>NO</v>
      </c>
      <c r="AN768" t="str">
        <f>IF(ISNUMBER(SEARCH("R", 'WetLitterbags placem_collection'!Y109)),"YES","NO")</f>
        <v>NO</v>
      </c>
    </row>
    <row r="769" spans="1:40" ht="15" customHeight="1">
      <c r="A769" s="258" t="s">
        <v>2460</v>
      </c>
      <c r="B769" s="263">
        <f>'Dry_Litterbag Placem_Collection'!A110</f>
        <v>108</v>
      </c>
      <c r="C769" s="263" t="str">
        <f>'Dry_Litterbag Placem_Collection'!B110</f>
        <v xml:space="preserve">Mwantimba
</v>
      </c>
      <c r="D769" s="263" t="s">
        <v>2460</v>
      </c>
      <c r="E769" s="263" t="s">
        <v>2660</v>
      </c>
      <c r="F769" s="263">
        <v>2</v>
      </c>
      <c r="G769" s="264" t="str">
        <f>'Dry_Litterbag Placem_Collection'!C110</f>
        <v>Wet_Ag2_T4</v>
      </c>
      <c r="H769" s="273" t="s">
        <v>3651</v>
      </c>
      <c r="I769" s="274" t="s">
        <v>298</v>
      </c>
      <c r="J769" s="223" t="str">
        <f>'WetLitterbags placem_collection'!Q110</f>
        <v>R509</v>
      </c>
      <c r="K769" s="225">
        <f>IFERROR(INDEX('Green_rooibos initial weight'!$C$5:$C$1749,MATCH(J769, 'Green_rooibos initial weight'!$A$5:$A$1749,0)),"")</f>
        <v>2.161</v>
      </c>
      <c r="L769" s="225">
        <f>IFERROR(K769-(TBIcalc!$H$9+TBIcalc!$H$10),"")</f>
        <v>1.9112</v>
      </c>
      <c r="M769" s="391">
        <f>AVERAGE(Ashed_controlls!$K$12:$K$14)</f>
        <v>2.2816647271287041</v>
      </c>
      <c r="N769" s="225">
        <f t="shared" si="60"/>
        <v>1.8675928237351163</v>
      </c>
      <c r="O769" s="225">
        <f>IF(IFERROR(INDEX('Both teabags AfterWet'!$C$3:$C$841,MATCH(J769,'Both teabags AfterWet'!$A$3:$A$841,0)),"")="","",(IFERROR(INDEX('Both teabags AfterWet'!$C$3:$C$841,MATCH(J769,'Both teabags AfterWet'!$A$3:$A$841,0)),"")))</f>
        <v>1.6739999999999999</v>
      </c>
      <c r="P769" s="225">
        <f>IFERROR(IF(O769&gt;0,O769-(TBIcalc!$H$9),""),"")</f>
        <v>1.5233999999999999</v>
      </c>
      <c r="Q769" s="225">
        <f>IFERROR(INDEX('Ashed teabags wet'!$K$2:$K$821,MATCH(J769,'Ashed teabags wet'!$A$2:$A$821,0)),"")</f>
        <v>5.6567593480338392</v>
      </c>
      <c r="R769" s="225">
        <f t="shared" si="63"/>
        <v>1.4372249280920524</v>
      </c>
      <c r="S769" s="226">
        <f>'WetLitterbags placem_collection'!E110</f>
        <v>42762</v>
      </c>
      <c r="T769" s="226">
        <f>IF('WetLitterbags placem_collection'!G110="","",'WetLitterbags placem_collection'!G110)</f>
        <v>42816</v>
      </c>
      <c r="U769" s="227">
        <f t="shared" si="64"/>
        <v>54</v>
      </c>
      <c r="V769" s="225">
        <f t="shared" si="61"/>
        <v>0.38780000000000014</v>
      </c>
      <c r="W769" s="225">
        <f t="shared" si="62"/>
        <v>0.43036789564306388</v>
      </c>
      <c r="X769">
        <f>IFERROR(INDEX(Rainfall_Wet!$O$2:$O$217,MATCH(B769, Rainfall_Wet!$A$2:$A$217,0)),"")</f>
        <v>206.85140822299999</v>
      </c>
      <c r="Y769" s="231">
        <v>34.344660194174757</v>
      </c>
      <c r="Z769" s="231">
        <v>19.22727272727273</v>
      </c>
      <c r="AA769" s="231">
        <v>46.428067078552509</v>
      </c>
      <c r="AB769" s="232" t="s">
        <v>2670</v>
      </c>
      <c r="AC769" s="231">
        <v>4.7452932479053702</v>
      </c>
      <c r="AD769">
        <f>IF('WetLitterbags placem_collection'!AB110="","",'WetLitterbags placem_collection'!AB110)</f>
        <v>9.6999999999999993</v>
      </c>
      <c r="AE769">
        <f>IF('WetLitterbags placem_collection'!Z110="","",'WetLitterbags placem_collection'!Z110)</f>
        <v>22.5</v>
      </c>
      <c r="AF769" s="246" t="str">
        <f>IF('WetLitterbags placem_collection'!AA110="","",'WetLitterbags placem_collection'!AA110)</f>
        <v>M</v>
      </c>
      <c r="AG769">
        <f>IF('WetLitterbags placem_collection'!AC110="","",'WetLitterbags placem_collection'!AC110)</f>
        <v>0</v>
      </c>
      <c r="AH769">
        <f>AVERAGE('WetLitterbags placem_collection'!S110,'WetLitterbags placem_collection'!U110)</f>
        <v>15.1</v>
      </c>
      <c r="AI769">
        <f>AVERAGE('WetLitterbags placem_collection'!R110,'WetLitterbags placem_collection'!T110)</f>
        <v>31.55</v>
      </c>
      <c r="AJ769">
        <f>INDEX(Coordinates!$B$2:$B$197,MATCH(G769,Coordinates!$J$2:$J$197,0))</f>
        <v>-2.3698620030000002</v>
      </c>
      <c r="AK769">
        <f>INDEX(Coordinates!$C$2:$C$197,MATCH(G769,Coordinates!$J$2:$J$197,0))</f>
        <v>34.059759020000001</v>
      </c>
      <c r="AL769" t="str">
        <f>IF(ISNUMBER(SEARCH("C", 'WetLitterbags placem_collection'!Y110)),"YES","NO")</f>
        <v>NO</v>
      </c>
      <c r="AM769" t="str">
        <f>IF(ISNUMBER(SEARCH("H", 'WetLitterbags placem_collection'!Y110)),"YES","NO")</f>
        <v>NO</v>
      </c>
      <c r="AN769" t="str">
        <f>IF(ISNUMBER(SEARCH("R", 'WetLitterbags placem_collection'!Y110)),"YES","NO")</f>
        <v>YES</v>
      </c>
    </row>
    <row r="770" spans="1:40" ht="15" customHeight="1">
      <c r="A770" s="258" t="s">
        <v>2460</v>
      </c>
      <c r="B770" s="263">
        <f>'Dry_Litterbag Placem_Collection'!A111</f>
        <v>109</v>
      </c>
      <c r="C770" s="263" t="str">
        <f>'Dry_Litterbag Placem_Collection'!B111</f>
        <v xml:space="preserve">Mwantimba
</v>
      </c>
      <c r="D770" s="263" t="s">
        <v>2460</v>
      </c>
      <c r="E770" s="263" t="s">
        <v>2660</v>
      </c>
      <c r="F770" s="263">
        <v>2</v>
      </c>
      <c r="G770" s="264" t="str">
        <f>'Dry_Litterbag Placem_Collection'!C111</f>
        <v>Wet_Ag2_T5</v>
      </c>
      <c r="H770" s="273" t="s">
        <v>3651</v>
      </c>
      <c r="I770" s="274" t="s">
        <v>298</v>
      </c>
      <c r="J770" s="223" t="str">
        <f>'WetLitterbags placem_collection'!Q111</f>
        <v>R33</v>
      </c>
      <c r="K770" s="225">
        <f>IFERROR(INDEX('Green_rooibos initial weight'!$C$5:$C$1749,MATCH(J770, 'Green_rooibos initial weight'!$A$5:$A$1749,0)),"")</f>
        <v>2.1989999999999998</v>
      </c>
      <c r="L770" s="225">
        <f>IFERROR(K770-(TBIcalc!$H$9+TBIcalc!$H$10),"")</f>
        <v>1.9491999999999998</v>
      </c>
      <c r="M770" s="391">
        <f>AVERAGE(Ashed_controlls!$K$12:$K$14)</f>
        <v>2.2816647271287041</v>
      </c>
      <c r="N770" s="225">
        <f t="shared" si="60"/>
        <v>1.9047257911388071</v>
      </c>
      <c r="O770" s="225">
        <f>IF(IFERROR(INDEX('Both teabags AfterWet'!$C$3:$C$841,MATCH(J770,'Both teabags AfterWet'!$A$3:$A$841,0)),"")="","",(IFERROR(INDEX('Both teabags AfterWet'!$C$3:$C$841,MATCH(J770,'Both teabags AfterWet'!$A$3:$A$841,0)),"")))</f>
        <v>1.5922000000000001</v>
      </c>
      <c r="P770" s="225">
        <f>IFERROR(IF(O770&gt;0,O770-(TBIcalc!$H$9),""),"")</f>
        <v>1.4416</v>
      </c>
      <c r="Q770" s="225">
        <f>IFERROR(INDEX('Ashed teabags wet'!$K$2:$K$821,MATCH(J770,'Ashed teabags wet'!$A$2:$A$821,0)),"")</f>
        <v>7.2896281800392453</v>
      </c>
      <c r="R770" s="225">
        <f t="shared" si="63"/>
        <v>1.3365127201565543</v>
      </c>
      <c r="S770" s="226">
        <f>'WetLitterbags placem_collection'!E111</f>
        <v>42762</v>
      </c>
      <c r="T770" s="226">
        <f>IF('WetLitterbags placem_collection'!G111="","",'WetLitterbags placem_collection'!G111)</f>
        <v>42816</v>
      </c>
      <c r="U770" s="227">
        <f t="shared" si="64"/>
        <v>54</v>
      </c>
      <c r="V770" s="225">
        <f t="shared" si="61"/>
        <v>0.50759999999999983</v>
      </c>
      <c r="W770" s="225">
        <f t="shared" si="62"/>
        <v>0.56821307098225282</v>
      </c>
      <c r="X770">
        <f>IFERROR(INDEX(Rainfall_Wet!$O$2:$O$217,MATCH(B770, Rainfall_Wet!$A$2:$A$217,0)),"")</f>
        <v>206.85140822299999</v>
      </c>
      <c r="Y770" s="231">
        <v>34.344660194174757</v>
      </c>
      <c r="Z770" s="231">
        <v>19.22727272727273</v>
      </c>
      <c r="AA770" s="231">
        <v>46.428067078552509</v>
      </c>
      <c r="AB770" s="232" t="s">
        <v>2670</v>
      </c>
      <c r="AC770" s="231">
        <v>5.7452932479053702</v>
      </c>
      <c r="AD770">
        <f>IF('WetLitterbags placem_collection'!AB111="","",'WetLitterbags placem_collection'!AB111)</f>
        <v>10.5</v>
      </c>
      <c r="AE770">
        <f>IF('WetLitterbags placem_collection'!Z111="","",'WetLitterbags placem_collection'!Z111)</f>
        <v>22.5</v>
      </c>
      <c r="AF770" s="246" t="str">
        <f>IF('WetLitterbags placem_collection'!AA111="","",'WetLitterbags placem_collection'!AA111)</f>
        <v>M</v>
      </c>
      <c r="AG770">
        <f>IF('WetLitterbags placem_collection'!AC111="","",'WetLitterbags placem_collection'!AC111)</f>
        <v>0</v>
      </c>
      <c r="AH770">
        <f>AVERAGE('WetLitterbags placem_collection'!S111,'WetLitterbags placem_collection'!U111)</f>
        <v>9</v>
      </c>
      <c r="AI770">
        <f>AVERAGE('WetLitterbags placem_collection'!R111,'WetLitterbags placem_collection'!T111)</f>
        <v>33.5</v>
      </c>
      <c r="AJ770">
        <f>INDEX(Coordinates!$B$2:$B$197,MATCH(G770,Coordinates!$J$2:$J$197,0))</f>
        <v>-2.3698390370000002</v>
      </c>
      <c r="AK770">
        <f>INDEX(Coordinates!$C$2:$C$197,MATCH(G770,Coordinates!$J$2:$J$197,0))</f>
        <v>34.059714</v>
      </c>
      <c r="AL770" t="str">
        <f>IF(ISNUMBER(SEARCH("C", 'WetLitterbags placem_collection'!Y111)),"YES","NO")</f>
        <v>NO</v>
      </c>
      <c r="AM770" t="str">
        <f>IF(ISNUMBER(SEARCH("H", 'WetLitterbags placem_collection'!Y111)),"YES","NO")</f>
        <v>NO</v>
      </c>
      <c r="AN770" t="str">
        <f>IF(ISNUMBER(SEARCH("R", 'WetLitterbags placem_collection'!Y111)),"YES","NO")</f>
        <v>NO</v>
      </c>
    </row>
    <row r="771" spans="1:40" ht="15" customHeight="1">
      <c r="A771" s="258" t="s">
        <v>2460</v>
      </c>
      <c r="B771" s="263">
        <f>'Dry_Litterbag Placem_Collection'!A112</f>
        <v>110</v>
      </c>
      <c r="C771" s="263" t="str">
        <f>'Dry_Litterbag Placem_Collection'!B112</f>
        <v xml:space="preserve">Mwantimba
</v>
      </c>
      <c r="D771" s="263" t="s">
        <v>2460</v>
      </c>
      <c r="E771" s="263" t="s">
        <v>2660</v>
      </c>
      <c r="F771" s="263">
        <v>2</v>
      </c>
      <c r="G771" s="264" t="str">
        <f>'Dry_Litterbag Placem_Collection'!C112</f>
        <v>Wet_Ag2_T6</v>
      </c>
      <c r="H771" s="273" t="s">
        <v>3651</v>
      </c>
      <c r="I771" s="274" t="s">
        <v>298</v>
      </c>
      <c r="J771" s="223" t="str">
        <f>'WetLitterbags placem_collection'!Q112</f>
        <v>R54a</v>
      </c>
      <c r="K771" s="225" t="str">
        <f>IFERROR(INDEX('Green_rooibos initial weight'!$C$5:$C$1749,MATCH(J771, 'Green_rooibos initial weight'!$A$5:$A$1749,0)),"")</f>
        <v/>
      </c>
      <c r="L771" s="225" t="str">
        <f>IFERROR(K771-(TBIcalc!$H$9+TBIcalc!$H$10),"")</f>
        <v/>
      </c>
      <c r="M771" s="391">
        <f>AVERAGE(Ashed_controlls!$K$12:$K$14)</f>
        <v>2.2816647271287041</v>
      </c>
      <c r="N771" s="225" t="str">
        <f t="shared" ref="N771:N834" si="65">IFERROR(L771-(M771/100)*L771,"")</f>
        <v/>
      </c>
      <c r="O771" s="225">
        <f>IF(IFERROR(INDEX('Both teabags AfterWet'!$C$3:$C$841,MATCH(J771,'Both teabags AfterWet'!$A$3:$A$841,0)),"")="","",(IFERROR(INDEX('Both teabags AfterWet'!$C$3:$C$841,MATCH(J771,'Both teabags AfterWet'!$A$3:$A$841,0)),"")))</f>
        <v>1.4870000000000001</v>
      </c>
      <c r="P771" s="225">
        <f>IFERROR(IF(O771&gt;0,O771-(TBIcalc!$H$9),""),"")</f>
        <v>1.3364</v>
      </c>
      <c r="Q771" s="225">
        <f>IFERROR(INDEX('Ashed teabags wet'!$K$2:$K$821,MATCH(J771,'Ashed teabags wet'!$A$2:$A$821,0)),"")</f>
        <v>4.8934108527127869</v>
      </c>
      <c r="R771" s="225">
        <f t="shared" si="63"/>
        <v>1.2710044573643464</v>
      </c>
      <c r="S771" s="226">
        <f>'WetLitterbags placem_collection'!E112</f>
        <v>42762</v>
      </c>
      <c r="T771" s="226">
        <f>IF('WetLitterbags placem_collection'!G112="","",'WetLitterbags placem_collection'!G112)</f>
        <v>42816</v>
      </c>
      <c r="U771" s="227">
        <f t="shared" si="64"/>
        <v>54</v>
      </c>
      <c r="V771" s="225" t="str">
        <f t="shared" ref="V771:V834" si="66">IFERROR(L771-P771,"")</f>
        <v/>
      </c>
      <c r="W771" s="225" t="str">
        <f t="shared" ref="W771:W834" si="67">IFERROR(N771-R771,"")</f>
        <v/>
      </c>
      <c r="X771">
        <f>IFERROR(INDEX(Rainfall_Wet!$O$2:$O$217,MATCH(B771, Rainfall_Wet!$A$2:$A$217,0)),"")</f>
        <v>206.85140822299999</v>
      </c>
      <c r="Y771" s="231">
        <v>34.344660194174757</v>
      </c>
      <c r="Z771" s="231">
        <v>19.22727272727273</v>
      </c>
      <c r="AA771" s="231">
        <v>46.428067078552509</v>
      </c>
      <c r="AB771" s="232" t="s">
        <v>2670</v>
      </c>
      <c r="AC771" s="231">
        <v>6.7452932479053702</v>
      </c>
      <c r="AD771">
        <f>IF('WetLitterbags placem_collection'!AB112="","",'WetLitterbags placem_collection'!AB112)</f>
        <v>5.75</v>
      </c>
      <c r="AE771">
        <f>IF('WetLitterbags placem_collection'!Z112="","",'WetLitterbags placem_collection'!Z112)</f>
        <v>22.5</v>
      </c>
      <c r="AF771" s="246" t="str">
        <f>IF('WetLitterbags placem_collection'!AA112="","",'WetLitterbags placem_collection'!AA112)</f>
        <v>M</v>
      </c>
      <c r="AG771">
        <f>IF('WetLitterbags placem_collection'!AC112="","",'WetLitterbags placem_collection'!AC112)</f>
        <v>0</v>
      </c>
      <c r="AH771">
        <f>AVERAGE('WetLitterbags placem_collection'!S112,'WetLitterbags placem_collection'!U112)</f>
        <v>16.950000000000003</v>
      </c>
      <c r="AI771">
        <f>AVERAGE('WetLitterbags placem_collection'!R112,'WetLitterbags placem_collection'!T112)</f>
        <v>30.5</v>
      </c>
      <c r="AJ771">
        <f>INDEX(Coordinates!$B$2:$B$197,MATCH(G771,Coordinates!$J$2:$J$197,0))</f>
        <v>-2.3697549659999999</v>
      </c>
      <c r="AK771">
        <f>INDEX(Coordinates!$C$2:$C$197,MATCH(G771,Coordinates!$J$2:$J$197,0))</f>
        <v>34.059668989999999</v>
      </c>
      <c r="AL771" t="str">
        <f>IF(ISNUMBER(SEARCH("C", 'WetLitterbags placem_collection'!Y112)),"YES","NO")</f>
        <v>NO</v>
      </c>
      <c r="AM771" t="str">
        <f>IF(ISNUMBER(SEARCH("H", 'WetLitterbags placem_collection'!Y112)),"YES","NO")</f>
        <v>NO</v>
      </c>
      <c r="AN771" t="str">
        <f>IF(ISNUMBER(SEARCH("R", 'WetLitterbags placem_collection'!Y112)),"YES","NO")</f>
        <v>YES</v>
      </c>
    </row>
    <row r="772" spans="1:40" ht="15" customHeight="1">
      <c r="A772" s="258" t="s">
        <v>2460</v>
      </c>
      <c r="B772" s="263">
        <f>'Dry_Litterbag Placem_Collection'!A113</f>
        <v>111</v>
      </c>
      <c r="C772" s="263" t="str">
        <f>'Dry_Litterbag Placem_Collection'!B113</f>
        <v xml:space="preserve">Mwantimba
</v>
      </c>
      <c r="D772" s="263" t="s">
        <v>2460</v>
      </c>
      <c r="E772" s="263" t="s">
        <v>2660</v>
      </c>
      <c r="F772" s="263">
        <v>2</v>
      </c>
      <c r="G772" s="264" t="str">
        <f>'Dry_Litterbag Placem_Collection'!C113</f>
        <v>Wet_Ag2_T7</v>
      </c>
      <c r="H772" s="273" t="s">
        <v>3651</v>
      </c>
      <c r="I772" s="274" t="s">
        <v>298</v>
      </c>
      <c r="J772" s="223" t="str">
        <f>'WetLitterbags placem_collection'!Q113</f>
        <v>R487</v>
      </c>
      <c r="K772" s="225">
        <f>IFERROR(INDEX('Green_rooibos initial weight'!$C$5:$C$1749,MATCH(J772, 'Green_rooibos initial weight'!$A$5:$A$1749,0)),"")</f>
        <v>2.222</v>
      </c>
      <c r="L772" s="225">
        <f>IFERROR(K772-(TBIcalc!$H$9+TBIcalc!$H$10),"")</f>
        <v>1.9722</v>
      </c>
      <c r="M772" s="391">
        <f>AVERAGE(Ashed_controlls!$K$12:$K$14)</f>
        <v>2.2816647271287041</v>
      </c>
      <c r="N772" s="225">
        <f t="shared" si="65"/>
        <v>1.9272010082515676</v>
      </c>
      <c r="O772" s="225">
        <f>IF(IFERROR(INDEX('Both teabags AfterWet'!$C$3:$C$841,MATCH(J772,'Both teabags AfterWet'!$A$3:$A$841,0)),"")="","",(IFERROR(INDEX('Both teabags AfterWet'!$C$3:$C$841,MATCH(J772,'Both teabags AfterWet'!$A$3:$A$841,0)),"")))</f>
        <v>1.609</v>
      </c>
      <c r="P772" s="225">
        <f>IFERROR(IF(O772&gt;0,O772-(TBIcalc!$H$9),""),"")</f>
        <v>1.4583999999999999</v>
      </c>
      <c r="Q772" s="225">
        <f>IFERROR(INDEX('Ashed teabags wet'!$K$2:$K$821,MATCH(J772,'Ashed teabags wet'!$A$2:$A$821,0)),"")</f>
        <v>6.2961141170683206</v>
      </c>
      <c r="R772" s="225">
        <f t="shared" si="63"/>
        <v>1.3665774717166754</v>
      </c>
      <c r="S772" s="226">
        <f>'WetLitterbags placem_collection'!E113</f>
        <v>42762</v>
      </c>
      <c r="T772" s="226">
        <f>IF('WetLitterbags placem_collection'!G113="","",'WetLitterbags placem_collection'!G113)</f>
        <v>42816</v>
      </c>
      <c r="U772" s="227">
        <f t="shared" si="64"/>
        <v>54</v>
      </c>
      <c r="V772" s="225">
        <f t="shared" si="66"/>
        <v>0.51380000000000003</v>
      </c>
      <c r="W772" s="225">
        <f t="shared" si="67"/>
        <v>0.56062353653489216</v>
      </c>
      <c r="X772">
        <f>IFERROR(INDEX(Rainfall_Wet!$O$2:$O$217,MATCH(B772, Rainfall_Wet!$A$2:$A$217,0)),"")</f>
        <v>206.85140822299999</v>
      </c>
      <c r="Y772" s="231">
        <v>34.344660194174757</v>
      </c>
      <c r="Z772" s="231">
        <v>19.22727272727273</v>
      </c>
      <c r="AA772" s="231">
        <v>46.428067078552509</v>
      </c>
      <c r="AB772" s="232" t="s">
        <v>2670</v>
      </c>
      <c r="AC772" s="231">
        <v>7.7452932479053702</v>
      </c>
      <c r="AD772">
        <f>IF('WetLitterbags placem_collection'!AB113="","",'WetLitterbags placem_collection'!AB113)</f>
        <v>6.1</v>
      </c>
      <c r="AE772">
        <f>IF('WetLitterbags placem_collection'!Z113="","",'WetLitterbags placem_collection'!Z113)</f>
        <v>26</v>
      </c>
      <c r="AF772" s="246" t="str">
        <f>IF('WetLitterbags placem_collection'!AA113="","",'WetLitterbags placem_collection'!AA113)</f>
        <v>M</v>
      </c>
      <c r="AG772">
        <f>IF('WetLitterbags placem_collection'!AC113="","",'WetLitterbags placem_collection'!AC113)</f>
        <v>0</v>
      </c>
      <c r="AH772">
        <f>AVERAGE('WetLitterbags placem_collection'!S113,'WetLitterbags placem_collection'!U113)</f>
        <v>11.1</v>
      </c>
      <c r="AI772">
        <f>AVERAGE('WetLitterbags placem_collection'!R113,'WetLitterbags placem_collection'!T113)</f>
        <v>32.65</v>
      </c>
      <c r="AJ772">
        <f>INDEX(Coordinates!$B$2:$B$197,MATCH(G772,Coordinates!$J$2:$J$197,0))</f>
        <v>-2.3697330060000001</v>
      </c>
      <c r="AK772">
        <f>INDEX(Coordinates!$C$2:$C$197,MATCH(G772,Coordinates!$J$2:$J$197,0))</f>
        <v>34.059615010000002</v>
      </c>
      <c r="AL772" t="str">
        <f>IF(ISNUMBER(SEARCH("C", 'WetLitterbags placem_collection'!Y113)),"YES","NO")</f>
        <v>NO</v>
      </c>
      <c r="AM772" t="str">
        <f>IF(ISNUMBER(SEARCH("H", 'WetLitterbags placem_collection'!Y113)),"YES","NO")</f>
        <v>NO</v>
      </c>
      <c r="AN772" t="str">
        <f>IF(ISNUMBER(SEARCH("R", 'WetLitterbags placem_collection'!Y113)),"YES","NO")</f>
        <v>NO</v>
      </c>
    </row>
    <row r="773" spans="1:40" ht="15" customHeight="1">
      <c r="A773" s="258" t="s">
        <v>2460</v>
      </c>
      <c r="B773" s="263">
        <f>'Dry_Litterbag Placem_Collection'!A114</f>
        <v>112</v>
      </c>
      <c r="C773" s="263" t="str">
        <f>'Dry_Litterbag Placem_Collection'!B114</f>
        <v xml:space="preserve">Mwantimba
</v>
      </c>
      <c r="D773" s="263" t="s">
        <v>2460</v>
      </c>
      <c r="E773" s="263" t="s">
        <v>2660</v>
      </c>
      <c r="F773" s="263">
        <v>2</v>
      </c>
      <c r="G773" s="264" t="str">
        <f>'Dry_Litterbag Placem_Collection'!C114</f>
        <v>Wet_Ag2_T8</v>
      </c>
      <c r="H773" s="273" t="s">
        <v>3651</v>
      </c>
      <c r="I773" s="274" t="s">
        <v>298</v>
      </c>
      <c r="J773" s="223" t="str">
        <f>'WetLitterbags placem_collection'!Q114</f>
        <v>R530</v>
      </c>
      <c r="K773" s="225">
        <f>IFERROR(INDEX('Green_rooibos initial weight'!$C$5:$C$1749,MATCH(J773, 'Green_rooibos initial weight'!$A$5:$A$1749,0)),"")</f>
        <v>2.1659999999999999</v>
      </c>
      <c r="L773" s="225">
        <f>IFERROR(K773-(TBIcalc!$H$9+TBIcalc!$H$10),"")</f>
        <v>1.9161999999999999</v>
      </c>
      <c r="M773" s="391">
        <f>AVERAGE(Ashed_controlls!$K$12:$K$14)</f>
        <v>2.2816647271287041</v>
      </c>
      <c r="N773" s="225">
        <f t="shared" si="65"/>
        <v>1.8724787404987597</v>
      </c>
      <c r="O773" s="225">
        <f>IF(IFERROR(INDEX('Both teabags AfterWet'!$C$3:$C$841,MATCH(J773,'Both teabags AfterWet'!$A$3:$A$841,0)),"")="","",(IFERROR(INDEX('Both teabags AfterWet'!$C$3:$C$841,MATCH(J773,'Both teabags AfterWet'!$A$3:$A$841,0)),"")))</f>
        <v>1.627</v>
      </c>
      <c r="P773" s="225">
        <f>IFERROR(IF(O773&gt;0,O773-(TBIcalc!$H$9),""),"")</f>
        <v>1.4763999999999999</v>
      </c>
      <c r="Q773" s="228">
        <f>IFERROR(INDEX('Ashed teabags wet'!$K$2:$K$821,MATCH(J773,'Ashed teabags wet'!$A$2:$A$821,0)),"")</f>
        <v>4.6511627906973203</v>
      </c>
      <c r="R773" s="225">
        <f t="shared" si="63"/>
        <v>1.4077302325581447</v>
      </c>
      <c r="S773" s="226">
        <f>'WetLitterbags placem_collection'!E114</f>
        <v>42762</v>
      </c>
      <c r="T773" s="226">
        <f>IF('WetLitterbags placem_collection'!G114="","",'WetLitterbags placem_collection'!G114)</f>
        <v>42816</v>
      </c>
      <c r="U773" s="227">
        <f t="shared" si="64"/>
        <v>54</v>
      </c>
      <c r="V773" s="225">
        <f t="shared" si="66"/>
        <v>0.43979999999999997</v>
      </c>
      <c r="W773" s="225">
        <f t="shared" si="67"/>
        <v>0.46474850794061506</v>
      </c>
      <c r="X773">
        <f>IFERROR(INDEX(Rainfall_Wet!$O$2:$O$217,MATCH(B773, Rainfall_Wet!$A$2:$A$217,0)),"")</f>
        <v>206.85140822299999</v>
      </c>
      <c r="Y773" s="231">
        <v>34.344660194174757</v>
      </c>
      <c r="Z773" s="231">
        <v>19.22727272727273</v>
      </c>
      <c r="AA773" s="231">
        <v>46.428067078552509</v>
      </c>
      <c r="AB773" s="232" t="s">
        <v>2670</v>
      </c>
      <c r="AC773" s="231">
        <v>8.7452932479053693</v>
      </c>
      <c r="AD773">
        <f>IF('WetLitterbags placem_collection'!AB114="","",'WetLitterbags placem_collection'!AB114)</f>
        <v>11.5</v>
      </c>
      <c r="AE773">
        <f>IF('WetLitterbags placem_collection'!Z114="","",'WetLitterbags placem_collection'!Z114)</f>
        <v>15</v>
      </c>
      <c r="AF773" s="246" t="str">
        <f>IF('WetLitterbags placem_collection'!AA114="","",'WetLitterbags placem_collection'!AA114)</f>
        <v>M</v>
      </c>
      <c r="AG773">
        <f>IF('WetLitterbags placem_collection'!AC114="","",'WetLitterbags placem_collection'!AC114)</f>
        <v>0</v>
      </c>
      <c r="AH773">
        <f>AVERAGE('WetLitterbags placem_collection'!S114,'WetLitterbags placem_collection'!U114)</f>
        <v>15.2</v>
      </c>
      <c r="AI773">
        <f>AVERAGE('WetLitterbags placem_collection'!R114,'WetLitterbags placem_collection'!T114)</f>
        <v>31.450000000000003</v>
      </c>
      <c r="AJ773">
        <f>INDEX(Coordinates!$B$2:$B$197,MATCH(G773,Coordinates!$J$2:$J$197,0))</f>
        <v>-2.36967098</v>
      </c>
      <c r="AK773">
        <f>INDEX(Coordinates!$C$2:$C$197,MATCH(G773,Coordinates!$J$2:$J$197,0))</f>
        <v>34.059735959999998</v>
      </c>
      <c r="AL773" t="str">
        <f>IF(ISNUMBER(SEARCH("C", 'WetLitterbags placem_collection'!Y114)),"YES","NO")</f>
        <v>NO</v>
      </c>
      <c r="AM773" t="str">
        <f>IF(ISNUMBER(SEARCH("H", 'WetLitterbags placem_collection'!Y114)),"YES","NO")</f>
        <v>NO</v>
      </c>
      <c r="AN773" t="str">
        <f>IF(ISNUMBER(SEARCH("R", 'WetLitterbags placem_collection'!Y114)),"YES","NO")</f>
        <v>NO</v>
      </c>
    </row>
    <row r="774" spans="1:40" ht="15" customHeight="1">
      <c r="A774" s="258" t="s">
        <v>2460</v>
      </c>
      <c r="B774" s="263">
        <f>'Dry_Litterbag Placem_Collection'!A115</f>
        <v>113</v>
      </c>
      <c r="C774" s="263" t="str">
        <f>'Dry_Litterbag Placem_Collection'!B115</f>
        <v xml:space="preserve">Mwantimba
</v>
      </c>
      <c r="D774" s="263" t="s">
        <v>2460</v>
      </c>
      <c r="E774" s="263" t="s">
        <v>2660</v>
      </c>
      <c r="F774" s="263">
        <v>3</v>
      </c>
      <c r="G774" s="264" t="str">
        <f>'Dry_Litterbag Placem_Collection'!C115</f>
        <v>Wet_Ag3_T1</v>
      </c>
      <c r="H774" s="273" t="s">
        <v>3651</v>
      </c>
      <c r="I774" s="274" t="s">
        <v>298</v>
      </c>
      <c r="J774" s="223" t="str">
        <f>'WetLitterbags placem_collection'!Q115</f>
        <v>R578</v>
      </c>
      <c r="K774" s="225">
        <f>IFERROR(INDEX('Green_rooibos initial weight'!$C$5:$C$1749,MATCH(J774, 'Green_rooibos initial weight'!$A$5:$A$1749,0)),"")</f>
        <v>2.1259999999999999</v>
      </c>
      <c r="L774" s="225">
        <f>IFERROR(K774-(TBIcalc!$H$9+TBIcalc!$H$10),"")</f>
        <v>1.8761999999999999</v>
      </c>
      <c r="M774" s="391">
        <f>AVERAGE(Ashed_controlls!$K$12:$K$14)</f>
        <v>2.2816647271287041</v>
      </c>
      <c r="N774" s="225">
        <f t="shared" si="65"/>
        <v>1.8333914063896111</v>
      </c>
      <c r="O774" s="225">
        <f>IF(IFERROR(INDEX('Both teabags AfterWet'!$C$3:$C$841,MATCH(J774,'Both teabags AfterWet'!$A$3:$A$841,0)),"")="","",(IFERROR(INDEX('Both teabags AfterWet'!$C$3:$C$841,MATCH(J774,'Both teabags AfterWet'!$A$3:$A$841,0)),"")))</f>
        <v>1.421</v>
      </c>
      <c r="P774" s="225">
        <f>IFERROR(IF(O774&gt;0,O774-(TBIcalc!$H$9),""),"")</f>
        <v>1.2704</v>
      </c>
      <c r="Q774" s="225">
        <f>IFERROR(INDEX('Ashed teabags wet'!$K$2:$K$821,MATCH(J774,'Ashed teabags wet'!$A$2:$A$821,0)),"")</f>
        <v>12.371134020618721</v>
      </c>
      <c r="R774" s="225">
        <f t="shared" si="63"/>
        <v>1.1132371134020598</v>
      </c>
      <c r="S774" s="226">
        <f>'WetLitterbags placem_collection'!E115</f>
        <v>42762</v>
      </c>
      <c r="T774" s="226">
        <f>IF('WetLitterbags placem_collection'!G115="","",'WetLitterbags placem_collection'!G115)</f>
        <v>42816</v>
      </c>
      <c r="U774" s="227">
        <f t="shared" si="64"/>
        <v>54</v>
      </c>
      <c r="V774" s="225">
        <f t="shared" si="66"/>
        <v>0.60579999999999989</v>
      </c>
      <c r="W774" s="225">
        <f t="shared" si="67"/>
        <v>0.72015429298755129</v>
      </c>
      <c r="X774">
        <f>IFERROR(INDEX(Rainfall_Wet!$O$2:$O$217,MATCH(B774, Rainfall_Wet!$A$2:$A$217,0)),"")</f>
        <v>206.85140822299999</v>
      </c>
      <c r="Y774" s="231">
        <v>27.96</v>
      </c>
      <c r="Z774" s="231">
        <v>4.9200000000000017</v>
      </c>
      <c r="AA774" s="231">
        <v>67.12</v>
      </c>
      <c r="AB774" s="232" t="s">
        <v>2670</v>
      </c>
      <c r="AC774" s="231">
        <v>0.88610152784622953</v>
      </c>
      <c r="AD774">
        <f>IF('WetLitterbags placem_collection'!AB115="","",'WetLitterbags placem_collection'!AB115)</f>
        <v>26</v>
      </c>
      <c r="AE774">
        <f>IF('WetLitterbags placem_collection'!Z115="","",'WetLitterbags placem_collection'!Z115)</f>
        <v>88.5</v>
      </c>
      <c r="AF774" s="246" t="str">
        <f>IF('WetLitterbags placem_collection'!AA115="","",'WetLitterbags placem_collection'!AA115)</f>
        <v>G</v>
      </c>
      <c r="AG774">
        <f>IF('WetLitterbags placem_collection'!AC115="","",'WetLitterbags placem_collection'!AC115)</f>
        <v>0</v>
      </c>
      <c r="AH774">
        <f>AVERAGE('WetLitterbags placem_collection'!S115,'WetLitterbags placem_collection'!U115)</f>
        <v>8.6999999999999993</v>
      </c>
      <c r="AI774">
        <f>AVERAGE('WetLitterbags placem_collection'!R115,'WetLitterbags placem_collection'!T115)</f>
        <v>32.4</v>
      </c>
      <c r="AJ774">
        <f>INDEX(Coordinates!$B$2:$B$197,MATCH(G774,Coordinates!$J$2:$J$197,0))</f>
        <v>-2.3487199940000001</v>
      </c>
      <c r="AK774">
        <f>INDEX(Coordinates!$C$2:$C$197,MATCH(G774,Coordinates!$J$2:$J$197,0))</f>
        <v>34.051391029999998</v>
      </c>
      <c r="AL774" t="str">
        <f>IF(ISNUMBER(SEARCH("C", 'WetLitterbags placem_collection'!Y115)),"YES","NO")</f>
        <v>NO</v>
      </c>
      <c r="AM774" t="str">
        <f>IF(ISNUMBER(SEARCH("H", 'WetLitterbags placem_collection'!Y115)),"YES","NO")</f>
        <v>NO</v>
      </c>
      <c r="AN774" t="str">
        <f>IF(ISNUMBER(SEARCH("R", 'WetLitterbags placem_collection'!Y115)),"YES","NO")</f>
        <v>YES</v>
      </c>
    </row>
    <row r="775" spans="1:40" ht="15" customHeight="1">
      <c r="A775" s="258" t="s">
        <v>2460</v>
      </c>
      <c r="B775" s="263">
        <f>'Dry_Litterbag Placem_Collection'!A116</f>
        <v>114</v>
      </c>
      <c r="C775" s="263" t="str">
        <f>'Dry_Litterbag Placem_Collection'!B116</f>
        <v xml:space="preserve">Mwantimba
</v>
      </c>
      <c r="D775" s="263" t="s">
        <v>2460</v>
      </c>
      <c r="E775" s="263" t="s">
        <v>2660</v>
      </c>
      <c r="F775" s="263">
        <v>3</v>
      </c>
      <c r="G775" s="264" t="str">
        <f>'Dry_Litterbag Placem_Collection'!C116</f>
        <v>Wet_Ag3_T2</v>
      </c>
      <c r="H775" s="273" t="s">
        <v>3651</v>
      </c>
      <c r="I775" s="274" t="s">
        <v>298</v>
      </c>
      <c r="J775" s="223" t="str">
        <f>'WetLitterbags placem_collection'!Q116</f>
        <v>R37</v>
      </c>
      <c r="K775" s="225">
        <f>IFERROR(INDEX('Green_rooibos initial weight'!$C$5:$C$1749,MATCH(J775, 'Green_rooibos initial weight'!$A$5:$A$1749,0)),"")</f>
        <v>2.0979999999999999</v>
      </c>
      <c r="L775" s="225">
        <f>IFERROR(K775-(TBIcalc!$H$9+TBIcalc!$H$10),"")</f>
        <v>1.8481999999999998</v>
      </c>
      <c r="M775" s="391">
        <f>AVERAGE(Ashed_controlls!$K$12:$K$14)</f>
        <v>2.2816647271287041</v>
      </c>
      <c r="N775" s="225">
        <f t="shared" si="65"/>
        <v>1.8060302725132071</v>
      </c>
      <c r="O775" s="225">
        <f>IF(IFERROR(INDEX('Both teabags AfterWet'!$C$3:$C$841,MATCH(J775,'Both teabags AfterWet'!$A$3:$A$841,0)),"")="","",(IFERROR(INDEX('Both teabags AfterWet'!$C$3:$C$841,MATCH(J775,'Both teabags AfterWet'!$A$3:$A$841,0)),"")))</f>
        <v>1.504</v>
      </c>
      <c r="P775" s="225">
        <f>IFERROR(IF(O775&gt;0,O775-(TBIcalc!$H$9),""),"")</f>
        <v>1.3533999999999999</v>
      </c>
      <c r="Q775" s="225">
        <f>IFERROR(INDEX('Ashed teabags wet'!$K$2:$K$821,MATCH(J775,'Ashed teabags wet'!$A$2:$A$821,0)),"")</f>
        <v>11.717576364547087</v>
      </c>
      <c r="R775" s="225">
        <f t="shared" si="63"/>
        <v>1.1948143214822196</v>
      </c>
      <c r="S775" s="226">
        <f>'WetLitterbags placem_collection'!E116</f>
        <v>42762</v>
      </c>
      <c r="T775" s="226">
        <f>IF('WetLitterbags placem_collection'!G116="","",'WetLitterbags placem_collection'!G116)</f>
        <v>42816</v>
      </c>
      <c r="U775" s="227">
        <f t="shared" si="64"/>
        <v>54</v>
      </c>
      <c r="V775" s="225">
        <f t="shared" si="66"/>
        <v>0.49479999999999991</v>
      </c>
      <c r="W775" s="225">
        <f t="shared" si="67"/>
        <v>0.61121595103098758</v>
      </c>
      <c r="X775">
        <f>IFERROR(INDEX(Rainfall_Wet!$O$2:$O$217,MATCH(B775, Rainfall_Wet!$A$2:$A$217,0)),"")</f>
        <v>206.85140822299999</v>
      </c>
      <c r="Y775" s="231">
        <v>27.96</v>
      </c>
      <c r="Z775" s="231">
        <v>4.9200000000000017</v>
      </c>
      <c r="AA775" s="231">
        <v>67.12</v>
      </c>
      <c r="AB775" s="232" t="s">
        <v>2670</v>
      </c>
      <c r="AC775" s="231">
        <v>1.8861015278462301</v>
      </c>
      <c r="AD775">
        <f>IF('WetLitterbags placem_collection'!AB116="","",'WetLitterbags placem_collection'!AB116)</f>
        <v>16.5</v>
      </c>
      <c r="AE775">
        <f>IF('WetLitterbags placem_collection'!Z116="","",'WetLitterbags placem_collection'!Z116)</f>
        <v>87.5</v>
      </c>
      <c r="AF775" s="246" t="str">
        <f>IF('WetLitterbags placem_collection'!AA116="","",'WetLitterbags placem_collection'!AA116)</f>
        <v>G</v>
      </c>
      <c r="AG775">
        <f>IF('WetLitterbags placem_collection'!AC116="","",'WetLitterbags placem_collection'!AC116)</f>
        <v>0</v>
      </c>
      <c r="AH775">
        <f>AVERAGE('WetLitterbags placem_collection'!S116,'WetLitterbags placem_collection'!U116)</f>
        <v>12.899999999999999</v>
      </c>
      <c r="AI775">
        <f>AVERAGE('WetLitterbags placem_collection'!R116,'WetLitterbags placem_collection'!T116)</f>
        <v>30.450000000000003</v>
      </c>
      <c r="AJ775">
        <f>INDEX(Coordinates!$B$2:$B$197,MATCH(G775,Coordinates!$J$2:$J$197,0))</f>
        <v>-2.348716976</v>
      </c>
      <c r="AK775">
        <f>INDEX(Coordinates!$C$2:$C$197,MATCH(G775,Coordinates!$J$2:$J$197,0))</f>
        <v>34.051484989999999</v>
      </c>
      <c r="AL775" t="str">
        <f>IF(ISNUMBER(SEARCH("C", 'WetLitterbags placem_collection'!Y116)),"YES","NO")</f>
        <v>NO</v>
      </c>
      <c r="AM775" t="str">
        <f>IF(ISNUMBER(SEARCH("H", 'WetLitterbags placem_collection'!Y116)),"YES","NO")</f>
        <v>NO</v>
      </c>
      <c r="AN775" t="str">
        <f>IF(ISNUMBER(SEARCH("R", 'WetLitterbags placem_collection'!Y116)),"YES","NO")</f>
        <v>NO</v>
      </c>
    </row>
    <row r="776" spans="1:40" ht="15" customHeight="1">
      <c r="A776" s="258" t="s">
        <v>2460</v>
      </c>
      <c r="B776" s="263">
        <f>'Dry_Litterbag Placem_Collection'!A117</f>
        <v>115</v>
      </c>
      <c r="C776" s="263" t="str">
        <f>'Dry_Litterbag Placem_Collection'!B117</f>
        <v xml:space="preserve">Mwantimba
</v>
      </c>
      <c r="D776" s="263" t="s">
        <v>2460</v>
      </c>
      <c r="E776" s="263" t="s">
        <v>2660</v>
      </c>
      <c r="F776" s="263">
        <v>3</v>
      </c>
      <c r="G776" s="264" t="str">
        <f>'Dry_Litterbag Placem_Collection'!C117</f>
        <v>Wet_Ag3_T3</v>
      </c>
      <c r="H776" s="273" t="s">
        <v>3651</v>
      </c>
      <c r="I776" s="274" t="s">
        <v>298</v>
      </c>
      <c r="J776" s="223" t="str">
        <f>'WetLitterbags placem_collection'!Q117</f>
        <v>R522</v>
      </c>
      <c r="K776" s="225">
        <f>IFERROR(INDEX('Green_rooibos initial weight'!$C$5:$C$1749,MATCH(J776, 'Green_rooibos initial weight'!$A$5:$A$1749,0)),"")</f>
        <v>2.1819999999999999</v>
      </c>
      <c r="L776" s="225">
        <f>IFERROR(K776-(TBIcalc!$H$9+TBIcalc!$H$10),"")</f>
        <v>1.9321999999999999</v>
      </c>
      <c r="M776" s="391">
        <f>AVERAGE(Ashed_controlls!$K$12:$K$14)</f>
        <v>2.2816647271287041</v>
      </c>
      <c r="N776" s="225">
        <f t="shared" si="65"/>
        <v>1.8881136741424192</v>
      </c>
      <c r="O776" s="225">
        <f>IF(IFERROR(INDEX('Both teabags AfterWet'!$C$3:$C$841,MATCH(J776,'Both teabags AfterWet'!$A$3:$A$841,0)),"")="","",(IFERROR(INDEX('Both teabags AfterWet'!$C$3:$C$841,MATCH(J776,'Both teabags AfterWet'!$A$3:$A$841,0)),"")))</f>
        <v>1.401</v>
      </c>
      <c r="P776" s="225">
        <f>IFERROR(IF(O776&gt;0,O776-(TBIcalc!$H$9),""),"")</f>
        <v>1.2504</v>
      </c>
      <c r="Q776" s="225">
        <f>IFERROR(INDEX('Ashed teabags wet'!$K$2:$K$821,MATCH(J776,'Ashed teabags wet'!$A$2:$A$821,0)),"")</f>
        <v>3.9292730844799202</v>
      </c>
      <c r="R776" s="225">
        <f t="shared" si="63"/>
        <v>1.201268369351663</v>
      </c>
      <c r="S776" s="226">
        <f>'WetLitterbags placem_collection'!E117</f>
        <v>42762</v>
      </c>
      <c r="T776" s="226">
        <f>IF('WetLitterbags placem_collection'!G117="","",'WetLitterbags placem_collection'!G117)</f>
        <v>42816</v>
      </c>
      <c r="U776" s="227">
        <f t="shared" si="64"/>
        <v>54</v>
      </c>
      <c r="V776" s="225">
        <f t="shared" si="66"/>
        <v>0.68179999999999996</v>
      </c>
      <c r="W776" s="225">
        <f t="shared" si="67"/>
        <v>0.68684530479075612</v>
      </c>
      <c r="X776">
        <f>IFERROR(INDEX(Rainfall_Wet!$O$2:$O$217,MATCH(B776, Rainfall_Wet!$A$2:$A$217,0)),"")</f>
        <v>206.85140822299999</v>
      </c>
      <c r="Y776" s="231">
        <v>27.96</v>
      </c>
      <c r="Z776" s="231">
        <v>4.9200000000000017</v>
      </c>
      <c r="AA776" s="231">
        <v>67.12</v>
      </c>
      <c r="AB776" s="232" t="s">
        <v>2670</v>
      </c>
      <c r="AC776" s="231">
        <v>2.8861015278462299</v>
      </c>
      <c r="AD776">
        <f>IF('WetLitterbags placem_collection'!AB117="","",'WetLitterbags placem_collection'!AB117)</f>
        <v>19</v>
      </c>
      <c r="AE776">
        <f>IF('WetLitterbags placem_collection'!Z117="","",'WetLitterbags placem_collection'!Z117)</f>
        <v>79.5</v>
      </c>
      <c r="AF776" s="246" t="str">
        <f>IF('WetLitterbags placem_collection'!AA117="","",'WetLitterbags placem_collection'!AA117)</f>
        <v>G</v>
      </c>
      <c r="AG776">
        <f>IF('WetLitterbags placem_collection'!AC117="","",'WetLitterbags placem_collection'!AC117)</f>
        <v>1</v>
      </c>
      <c r="AH776">
        <f>AVERAGE('WetLitterbags placem_collection'!S117,'WetLitterbags placem_collection'!U117)</f>
        <v>9.9499999999999993</v>
      </c>
      <c r="AI776">
        <f>AVERAGE('WetLitterbags placem_collection'!R117,'WetLitterbags placem_collection'!T117)</f>
        <v>31.7</v>
      </c>
      <c r="AJ776">
        <f>INDEX(Coordinates!$B$2:$B$197,MATCH(G776,Coordinates!$J$2:$J$197,0))</f>
        <v>-2.3487800079999999</v>
      </c>
      <c r="AK776">
        <f>INDEX(Coordinates!$C$2:$C$197,MATCH(G776,Coordinates!$J$2:$J$197,0))</f>
        <v>34.051495969999998</v>
      </c>
      <c r="AL776" t="str">
        <f>IF(ISNUMBER(SEARCH("C", 'WetLitterbags placem_collection'!Y117)),"YES","NO")</f>
        <v>NO</v>
      </c>
      <c r="AM776" t="str">
        <f>IF(ISNUMBER(SEARCH("H", 'WetLitterbags placem_collection'!Y117)),"YES","NO")</f>
        <v>NO</v>
      </c>
      <c r="AN776" t="str">
        <f>IF(ISNUMBER(SEARCH("R", 'WetLitterbags placem_collection'!Y117)),"YES","NO")</f>
        <v>YES</v>
      </c>
    </row>
    <row r="777" spans="1:40" ht="15" customHeight="1">
      <c r="A777" s="258" t="s">
        <v>2460</v>
      </c>
      <c r="B777" s="263">
        <f>'Dry_Litterbag Placem_Collection'!A118</f>
        <v>116</v>
      </c>
      <c r="C777" s="263" t="str">
        <f>'Dry_Litterbag Placem_Collection'!B118</f>
        <v xml:space="preserve">Mwantimba
</v>
      </c>
      <c r="D777" s="263" t="s">
        <v>2460</v>
      </c>
      <c r="E777" s="263" t="s">
        <v>2660</v>
      </c>
      <c r="F777" s="263">
        <v>3</v>
      </c>
      <c r="G777" s="264" t="str">
        <f>'Dry_Litterbag Placem_Collection'!C118</f>
        <v>Wet_Ag3_T4</v>
      </c>
      <c r="H777" s="273" t="s">
        <v>3651</v>
      </c>
      <c r="I777" s="274" t="s">
        <v>298</v>
      </c>
      <c r="J777" s="223" t="str">
        <f>'WetLitterbags placem_collection'!Q118</f>
        <v>R480</v>
      </c>
      <c r="K777" s="225">
        <f>IFERROR(INDEX('Green_rooibos initial weight'!$C$5:$C$1749,MATCH(J777, 'Green_rooibos initial weight'!$A$5:$A$1749,0)),"")</f>
        <v>2.17</v>
      </c>
      <c r="L777" s="225">
        <f>IFERROR(K777-(TBIcalc!$H$9+TBIcalc!$H$10),"")</f>
        <v>1.9201999999999999</v>
      </c>
      <c r="M777" s="391">
        <f>AVERAGE(Ashed_controlls!$K$12:$K$14)</f>
        <v>2.2816647271287041</v>
      </c>
      <c r="N777" s="225">
        <f t="shared" si="65"/>
        <v>1.8763874739096746</v>
      </c>
      <c r="O777" s="225">
        <f>IF(IFERROR(INDEX('Both teabags AfterWet'!$C$3:$C$841,MATCH(J777,'Both teabags AfterWet'!$A$3:$A$841,0)),"")="","",(IFERROR(INDEX('Both teabags AfterWet'!$C$3:$C$841,MATCH(J777,'Both teabags AfterWet'!$A$3:$A$841,0)),"")))</f>
        <v>1.389</v>
      </c>
      <c r="P777" s="225">
        <f>IFERROR(IF(O777&gt;0,O777-(TBIcalc!$H$9),""),"")</f>
        <v>1.2383999999999999</v>
      </c>
      <c r="Q777" s="225">
        <f>IFERROR(INDEX('Ashed teabags wet'!$K$2:$K$821,MATCH(J777,'Ashed teabags wet'!$A$2:$A$821,0)),"")</f>
        <v>9.0863704443334274</v>
      </c>
      <c r="R777" s="225">
        <f t="shared" si="63"/>
        <v>1.1258743884173747</v>
      </c>
      <c r="S777" s="226">
        <f>'WetLitterbags placem_collection'!E118</f>
        <v>42762</v>
      </c>
      <c r="T777" s="226">
        <f>IF('WetLitterbags placem_collection'!G118="","",'WetLitterbags placem_collection'!G118)</f>
        <v>42816</v>
      </c>
      <c r="U777" s="227">
        <f t="shared" si="64"/>
        <v>54</v>
      </c>
      <c r="V777" s="225">
        <f t="shared" si="66"/>
        <v>0.68179999999999996</v>
      </c>
      <c r="W777" s="225">
        <f t="shared" si="67"/>
        <v>0.75051308549229989</v>
      </c>
      <c r="X777">
        <f>IFERROR(INDEX(Rainfall_Wet!$O$2:$O$217,MATCH(B777, Rainfall_Wet!$A$2:$A$217,0)),"")</f>
        <v>206.85140822299999</v>
      </c>
      <c r="Y777" s="231">
        <v>27.96</v>
      </c>
      <c r="Z777" s="231">
        <v>4.9200000000000017</v>
      </c>
      <c r="AA777" s="231">
        <v>67.12</v>
      </c>
      <c r="AB777" s="232" t="s">
        <v>2670</v>
      </c>
      <c r="AC777" s="231">
        <v>3.8861015278462299</v>
      </c>
      <c r="AD777">
        <f>IF('WetLitterbags placem_collection'!AB118="","",'WetLitterbags placem_collection'!AB118)</f>
        <v>22.5</v>
      </c>
      <c r="AE777">
        <f>IF('WetLitterbags placem_collection'!Z118="","",'WetLitterbags placem_collection'!Z118)</f>
        <v>76</v>
      </c>
      <c r="AF777" s="246" t="str">
        <f>IF('WetLitterbags placem_collection'!AA118="","",'WetLitterbags placem_collection'!AA118)</f>
        <v>G</v>
      </c>
      <c r="AG777">
        <f>IF('WetLitterbags placem_collection'!AC118="","",'WetLitterbags placem_collection'!AC118)</f>
        <v>1</v>
      </c>
      <c r="AH777">
        <f>AVERAGE('WetLitterbags placem_collection'!S118,'WetLitterbags placem_collection'!U118)</f>
        <v>8.75</v>
      </c>
      <c r="AI777">
        <f>AVERAGE('WetLitterbags placem_collection'!R118,'WetLitterbags placem_collection'!T118)</f>
        <v>25.6</v>
      </c>
      <c r="AJ777">
        <f>INDEX(Coordinates!$B$2:$B$197,MATCH(G777,Coordinates!$J$2:$J$197,0))</f>
        <v>-2.3488120270000001</v>
      </c>
      <c r="AK777">
        <f>INDEX(Coordinates!$C$2:$C$197,MATCH(G777,Coordinates!$J$2:$J$197,0))</f>
        <v>34.05146697</v>
      </c>
      <c r="AL777" t="str">
        <f>IF(ISNUMBER(SEARCH("C", 'WetLitterbags placem_collection'!Y118)),"YES","NO")</f>
        <v>NO</v>
      </c>
      <c r="AM777" t="str">
        <f>IF(ISNUMBER(SEARCH("H", 'WetLitterbags placem_collection'!Y118)),"YES","NO")</f>
        <v>NO</v>
      </c>
      <c r="AN777" t="str">
        <f>IF(ISNUMBER(SEARCH("R", 'WetLitterbags placem_collection'!Y118)),"YES","NO")</f>
        <v>YES</v>
      </c>
    </row>
    <row r="778" spans="1:40" ht="15" customHeight="1">
      <c r="A778" s="258" t="s">
        <v>2460</v>
      </c>
      <c r="B778" s="263">
        <f>'Dry_Litterbag Placem_Collection'!A119</f>
        <v>117</v>
      </c>
      <c r="C778" s="263" t="str">
        <f>'Dry_Litterbag Placem_Collection'!B119</f>
        <v xml:space="preserve">Mwantimba
</v>
      </c>
      <c r="D778" s="263" t="s">
        <v>2460</v>
      </c>
      <c r="E778" s="263" t="s">
        <v>2660</v>
      </c>
      <c r="F778" s="263">
        <v>3</v>
      </c>
      <c r="G778" s="264" t="str">
        <f>'Dry_Litterbag Placem_Collection'!C119</f>
        <v>Wet_Ag3_T5</v>
      </c>
      <c r="H778" s="273" t="s">
        <v>3651</v>
      </c>
      <c r="I778" s="274" t="s">
        <v>298</v>
      </c>
      <c r="J778" s="223" t="str">
        <f>'WetLitterbags placem_collection'!Q119</f>
        <v>R565</v>
      </c>
      <c r="K778" s="225">
        <f>IFERROR(INDEX('Green_rooibos initial weight'!$C$5:$C$1749,MATCH(J778, 'Green_rooibos initial weight'!$A$5:$A$1749,0)),"")</f>
        <v>2.0649999999999999</v>
      </c>
      <c r="L778" s="225">
        <f>IFERROR(K778-(TBIcalc!$H$9+TBIcalc!$H$10),"")</f>
        <v>1.8151999999999999</v>
      </c>
      <c r="M778" s="391">
        <f>AVERAGE(Ashed_controlls!$K$12:$K$14)</f>
        <v>2.2816647271287041</v>
      </c>
      <c r="N778" s="225">
        <f t="shared" si="65"/>
        <v>1.7737832218731597</v>
      </c>
      <c r="O778" s="225">
        <f>IF(IFERROR(INDEX('Both teabags AfterWet'!$C$3:$C$841,MATCH(J778,'Both teabags AfterWet'!$A$3:$A$841,0)),"")="","",(IFERROR(INDEX('Both teabags AfterWet'!$C$3:$C$841,MATCH(J778,'Both teabags AfterWet'!$A$3:$A$841,0)),"")))</f>
        <v>1.343</v>
      </c>
      <c r="P778" s="225">
        <f>IFERROR(IF(O778&gt;0,O778-(TBIcalc!$H$9),""),"")</f>
        <v>1.1923999999999999</v>
      </c>
      <c r="Q778" s="225" t="str">
        <f>IFERROR(INDEX('Ashed teabags wet'!$K$2:$K$821,MATCH(J778,'Ashed teabags wet'!$A$2:$A$821,0)),"")</f>
        <v/>
      </c>
      <c r="R778" s="225" t="str">
        <f t="shared" si="63"/>
        <v/>
      </c>
      <c r="S778" s="226">
        <f>'WetLitterbags placem_collection'!E119</f>
        <v>42762</v>
      </c>
      <c r="T778" s="226">
        <f>IF('WetLitterbags placem_collection'!G119="","",'WetLitterbags placem_collection'!G119)</f>
        <v>42816</v>
      </c>
      <c r="U778" s="227">
        <f t="shared" si="64"/>
        <v>54</v>
      </c>
      <c r="V778" s="225">
        <f t="shared" si="66"/>
        <v>0.62280000000000002</v>
      </c>
      <c r="W778" s="225" t="str">
        <f t="shared" si="67"/>
        <v/>
      </c>
      <c r="X778">
        <f>IFERROR(INDEX(Rainfall_Wet!$O$2:$O$217,MATCH(B778, Rainfall_Wet!$A$2:$A$217,0)),"")</f>
        <v>206.85140822299999</v>
      </c>
      <c r="Y778" s="231">
        <v>27.96</v>
      </c>
      <c r="Z778" s="231">
        <v>4.9200000000000017</v>
      </c>
      <c r="AA778" s="231">
        <v>67.12</v>
      </c>
      <c r="AB778" s="232" t="s">
        <v>2670</v>
      </c>
      <c r="AC778" s="231">
        <v>4.8861015278462299</v>
      </c>
      <c r="AD778">
        <f>IF('WetLitterbags placem_collection'!AB119="","",'WetLitterbags placem_collection'!AB119)</f>
        <v>23.5</v>
      </c>
      <c r="AE778">
        <f>IF('WetLitterbags placem_collection'!Z119="","",'WetLitterbags placem_collection'!Z119)</f>
        <v>76</v>
      </c>
      <c r="AF778" s="246" t="str">
        <f>IF('WetLitterbags placem_collection'!AA119="","",'WetLitterbags placem_collection'!AA119)</f>
        <v>G</v>
      </c>
      <c r="AG778">
        <f>IF('WetLitterbags placem_collection'!AC119="","",'WetLitterbags placem_collection'!AC119)</f>
        <v>1</v>
      </c>
      <c r="AH778">
        <f>AVERAGE('WetLitterbags placem_collection'!S119,'WetLitterbags placem_collection'!U119)</f>
        <v>5.6999999999999993</v>
      </c>
      <c r="AI778">
        <f>AVERAGE('WetLitterbags placem_collection'!R119,'WetLitterbags placem_collection'!T119)</f>
        <v>31.75</v>
      </c>
      <c r="AJ778">
        <f>INDEX(Coordinates!$B$2:$B$197,MATCH(G778,Coordinates!$J$2:$J$197,0))</f>
        <v>-2.348814961</v>
      </c>
      <c r="AK778">
        <f>INDEX(Coordinates!$C$2:$C$197,MATCH(G778,Coordinates!$J$2:$J$197,0))</f>
        <v>34.051439979999998</v>
      </c>
      <c r="AL778" t="str">
        <f>IF(ISNUMBER(SEARCH("C", 'WetLitterbags placem_collection'!Y119)),"YES","NO")</f>
        <v>NO</v>
      </c>
      <c r="AM778" t="str">
        <f>IF(ISNUMBER(SEARCH("H", 'WetLitterbags placem_collection'!Y119)),"YES","NO")</f>
        <v>NO</v>
      </c>
      <c r="AN778" t="str">
        <f>IF(ISNUMBER(SEARCH("R", 'WetLitterbags placem_collection'!Y119)),"YES","NO")</f>
        <v>NO</v>
      </c>
    </row>
    <row r="779" spans="1:40" ht="15" customHeight="1">
      <c r="A779" s="258" t="s">
        <v>2460</v>
      </c>
      <c r="B779" s="263">
        <f>'Dry_Litterbag Placem_Collection'!A120</f>
        <v>118</v>
      </c>
      <c r="C779" s="263" t="str">
        <f>'Dry_Litterbag Placem_Collection'!B120</f>
        <v xml:space="preserve">Mwantimba
</v>
      </c>
      <c r="D779" s="263" t="s">
        <v>2460</v>
      </c>
      <c r="E779" s="263" t="s">
        <v>2660</v>
      </c>
      <c r="F779" s="263">
        <v>3</v>
      </c>
      <c r="G779" s="264" t="str">
        <f>'Dry_Litterbag Placem_Collection'!C120</f>
        <v>Wet_Ag3_T6</v>
      </c>
      <c r="H779" s="273" t="s">
        <v>3651</v>
      </c>
      <c r="I779" s="274" t="s">
        <v>298</v>
      </c>
      <c r="J779" s="223" t="str">
        <f>'WetLitterbags placem_collection'!Q120</f>
        <v>R544</v>
      </c>
      <c r="K779" s="225">
        <f>IFERROR(INDEX('Green_rooibos initial weight'!$C$5:$C$1749,MATCH(J779, 'Green_rooibos initial weight'!$A$5:$A$1749,0)),"")</f>
        <v>2.2109999999999999</v>
      </c>
      <c r="L779" s="225">
        <f>IFERROR(K779-(TBIcalc!$H$9+TBIcalc!$H$10),"")</f>
        <v>1.9611999999999998</v>
      </c>
      <c r="M779" s="391">
        <f>AVERAGE(Ashed_controlls!$K$12:$K$14)</f>
        <v>2.2816647271287041</v>
      </c>
      <c r="N779" s="225">
        <f t="shared" si="65"/>
        <v>1.9164519913715516</v>
      </c>
      <c r="O779" s="225">
        <f>IF(IFERROR(INDEX('Both teabags AfterWet'!$C$3:$C$841,MATCH(J779,'Both teabags AfterWet'!$A$3:$A$841,0)),"")="","",(IFERROR(INDEX('Both teabags AfterWet'!$C$3:$C$841,MATCH(J779,'Both teabags AfterWet'!$A$3:$A$841,0)),"")))</f>
        <v>1.599</v>
      </c>
      <c r="P779" s="225">
        <f>IFERROR(IF(O779&gt;0,O779-(TBIcalc!$H$9),""),"")</f>
        <v>1.4483999999999999</v>
      </c>
      <c r="Q779" s="225">
        <f>IFERROR(INDEX('Ashed teabags wet'!$K$2:$K$821,MATCH(J779,'Ashed teabags wet'!$A$2:$A$821,0)),"")</f>
        <v>4.604604604605111</v>
      </c>
      <c r="R779" s="225">
        <f t="shared" ref="R779:R842" si="68">IFERROR(P779-(Q779/100)*P779,"")</f>
        <v>1.3817069069068995</v>
      </c>
      <c r="S779" s="226">
        <f>'WetLitterbags placem_collection'!E120</f>
        <v>42762</v>
      </c>
      <c r="T779" s="226">
        <f>IF('WetLitterbags placem_collection'!G120="","",'WetLitterbags placem_collection'!G120)</f>
        <v>42816</v>
      </c>
      <c r="U779" s="227">
        <f t="shared" si="64"/>
        <v>54</v>
      </c>
      <c r="V779" s="225">
        <f t="shared" si="66"/>
        <v>0.51279999999999992</v>
      </c>
      <c r="W779" s="225">
        <f t="shared" si="67"/>
        <v>0.53474508446465219</v>
      </c>
      <c r="X779">
        <f>IFERROR(INDEX(Rainfall_Wet!$O$2:$O$217,MATCH(B779, Rainfall_Wet!$A$2:$A$217,0)),"")</f>
        <v>206.85140822299999</v>
      </c>
      <c r="Y779" s="231">
        <v>27.96</v>
      </c>
      <c r="Z779" s="231">
        <v>4.9200000000000017</v>
      </c>
      <c r="AA779" s="231">
        <v>67.12</v>
      </c>
      <c r="AB779" s="232" t="s">
        <v>2670</v>
      </c>
      <c r="AC779" s="231">
        <v>5.8861015278462299</v>
      </c>
      <c r="AD779">
        <f>IF('WetLitterbags placem_collection'!AB120="","",'WetLitterbags placem_collection'!AB120)</f>
        <v>17.5</v>
      </c>
      <c r="AE779">
        <f>IF('WetLitterbags placem_collection'!Z120="","",'WetLitterbags placem_collection'!Z120)</f>
        <v>70.5</v>
      </c>
      <c r="AF779" s="246" t="str">
        <f>IF('WetLitterbags placem_collection'!AA120="","",'WetLitterbags placem_collection'!AA120)</f>
        <v>G</v>
      </c>
      <c r="AG779">
        <f>IF('WetLitterbags placem_collection'!AC120="","",'WetLitterbags placem_collection'!AC120)</f>
        <v>1</v>
      </c>
      <c r="AH779">
        <f>AVERAGE('WetLitterbags placem_collection'!S120,'WetLitterbags placem_collection'!U120)</f>
        <v>10.7</v>
      </c>
      <c r="AI779">
        <f>AVERAGE('WetLitterbags placem_collection'!R120,'WetLitterbags placem_collection'!T120)</f>
        <v>30.85</v>
      </c>
      <c r="AJ779">
        <f>INDEX(Coordinates!$B$2:$B$197,MATCH(G779,Coordinates!$J$2:$J$197,0))</f>
        <v>-2.3488729629999998</v>
      </c>
      <c r="AK779">
        <f>INDEX(Coordinates!$C$2:$C$197,MATCH(G779,Coordinates!$J$2:$J$197,0))</f>
        <v>34.051454980000003</v>
      </c>
      <c r="AL779" t="str">
        <f>IF(ISNUMBER(SEARCH("C", 'WetLitterbags placem_collection'!Y120)),"YES","NO")</f>
        <v>NO</v>
      </c>
      <c r="AM779" t="str">
        <f>IF(ISNUMBER(SEARCH("H", 'WetLitterbags placem_collection'!Y120)),"YES","NO")</f>
        <v>NO</v>
      </c>
      <c r="AN779" t="str">
        <f>IF(ISNUMBER(SEARCH("R", 'WetLitterbags placem_collection'!Y120)),"YES","NO")</f>
        <v>NO</v>
      </c>
    </row>
    <row r="780" spans="1:40" ht="15" customHeight="1">
      <c r="A780" s="258" t="s">
        <v>2460</v>
      </c>
      <c r="B780" s="263">
        <f>'Dry_Litterbag Placem_Collection'!A121</f>
        <v>119</v>
      </c>
      <c r="C780" s="263" t="str">
        <f>'Dry_Litterbag Placem_Collection'!B121</f>
        <v xml:space="preserve">Mwantimba
</v>
      </c>
      <c r="D780" s="263" t="s">
        <v>2460</v>
      </c>
      <c r="E780" s="263" t="s">
        <v>2660</v>
      </c>
      <c r="F780" s="263">
        <v>3</v>
      </c>
      <c r="G780" s="264" t="str">
        <f>'Dry_Litterbag Placem_Collection'!C121</f>
        <v>Wet_Ag3_T7</v>
      </c>
      <c r="H780" s="273" t="s">
        <v>3651</v>
      </c>
      <c r="I780" s="274" t="s">
        <v>298</v>
      </c>
      <c r="J780" s="223" t="str">
        <f>'WetLitterbags placem_collection'!Q121</f>
        <v>R526</v>
      </c>
      <c r="K780" s="225">
        <f>IFERROR(INDEX('Green_rooibos initial weight'!$C$5:$C$1749,MATCH(J780, 'Green_rooibos initial weight'!$A$5:$A$1749,0)),"")</f>
        <v>2.0960000000000001</v>
      </c>
      <c r="L780" s="225">
        <f>IFERROR(K780-(TBIcalc!$H$9+TBIcalc!$H$10),"")</f>
        <v>1.8462000000000001</v>
      </c>
      <c r="M780" s="391">
        <f>AVERAGE(Ashed_controlls!$K$12:$K$14)</f>
        <v>2.2816647271287041</v>
      </c>
      <c r="N780" s="225">
        <f t="shared" si="65"/>
        <v>1.80407590580775</v>
      </c>
      <c r="O780" s="225">
        <f>IF(IFERROR(INDEX('Both teabags AfterWet'!$C$3:$C$841,MATCH(J780,'Both teabags AfterWet'!$A$3:$A$841,0)),"")="","",(IFERROR(INDEX('Both teabags AfterWet'!$C$3:$C$841,MATCH(J780,'Both teabags AfterWet'!$A$3:$A$841,0)),"")))</f>
        <v>1.3</v>
      </c>
      <c r="P780" s="225">
        <f>IFERROR(IF(O780&gt;0,O780-(TBIcalc!$H$9),""),"")</f>
        <v>1.1494</v>
      </c>
      <c r="Q780" s="225">
        <f>IFERROR(INDEX('Ashed teabags wet'!$K$2:$K$821,MATCH(J780,'Ashed teabags wet'!$A$2:$A$821,0)),"")</f>
        <v>6.4671814671816925</v>
      </c>
      <c r="R780" s="225">
        <f t="shared" si="68"/>
        <v>1.0750662162162137</v>
      </c>
      <c r="S780" s="226">
        <f>'WetLitterbags placem_collection'!E121</f>
        <v>42762</v>
      </c>
      <c r="T780" s="226">
        <f>IF('WetLitterbags placem_collection'!G121="","",'WetLitterbags placem_collection'!G121)</f>
        <v>42816</v>
      </c>
      <c r="U780" s="227">
        <f t="shared" si="64"/>
        <v>54</v>
      </c>
      <c r="V780" s="225">
        <f t="shared" si="66"/>
        <v>0.69680000000000009</v>
      </c>
      <c r="W780" s="225">
        <f t="shared" si="67"/>
        <v>0.72900968959153634</v>
      </c>
      <c r="X780">
        <f>IFERROR(INDEX(Rainfall_Wet!$O$2:$O$217,MATCH(B780, Rainfall_Wet!$A$2:$A$217,0)),"")</f>
        <v>206.85140822299999</v>
      </c>
      <c r="Y780" s="231">
        <v>27.96</v>
      </c>
      <c r="Z780" s="231">
        <v>4.9200000000000017</v>
      </c>
      <c r="AA780" s="231">
        <v>67.12</v>
      </c>
      <c r="AB780" s="232" t="s">
        <v>2670</v>
      </c>
      <c r="AC780" s="231">
        <v>6.8861015278462299</v>
      </c>
      <c r="AD780">
        <f>IF('WetLitterbags placem_collection'!AB121="","",'WetLitterbags placem_collection'!AB121)</f>
        <v>18.5</v>
      </c>
      <c r="AE780">
        <f>IF('WetLitterbags placem_collection'!Z121="","",'WetLitterbags placem_collection'!Z121)</f>
        <v>74.5</v>
      </c>
      <c r="AF780" s="246" t="str">
        <f>IF('WetLitterbags placem_collection'!AA121="","",'WetLitterbags placem_collection'!AA121)</f>
        <v>G</v>
      </c>
      <c r="AG780">
        <f>IF('WetLitterbags placem_collection'!AC121="","",'WetLitterbags placem_collection'!AC121)</f>
        <v>1</v>
      </c>
      <c r="AH780">
        <f>AVERAGE('WetLitterbags placem_collection'!S121,'WetLitterbags placem_collection'!U121)</f>
        <v>11.05</v>
      </c>
      <c r="AI780">
        <f>AVERAGE('WetLitterbags placem_collection'!R121,'WetLitterbags placem_collection'!T121)</f>
        <v>30.450000000000003</v>
      </c>
      <c r="AJ780">
        <f>INDEX(Coordinates!$B$2:$B$197,MATCH(G780,Coordinates!$J$2:$J$197,0))</f>
        <v>-2.3488589659999999</v>
      </c>
      <c r="AK780">
        <f>INDEX(Coordinates!$C$2:$C$197,MATCH(G780,Coordinates!$J$2:$J$197,0))</f>
        <v>34.051389010000001</v>
      </c>
      <c r="AL780" t="str">
        <f>IF(ISNUMBER(SEARCH("C", 'WetLitterbags placem_collection'!Y121)),"YES","NO")</f>
        <v>NO</v>
      </c>
      <c r="AM780" t="str">
        <f>IF(ISNUMBER(SEARCH("H", 'WetLitterbags placem_collection'!Y121)),"YES","NO")</f>
        <v>NO</v>
      </c>
      <c r="AN780" t="str">
        <f>IF(ISNUMBER(SEARCH("R", 'WetLitterbags placem_collection'!Y121)),"YES","NO")</f>
        <v>YES</v>
      </c>
    </row>
    <row r="781" spans="1:40" ht="15" customHeight="1">
      <c r="A781" s="258" t="s">
        <v>2460</v>
      </c>
      <c r="B781" s="263">
        <f>'Dry_Litterbag Placem_Collection'!A122</f>
        <v>120</v>
      </c>
      <c r="C781" s="263" t="str">
        <f>'Dry_Litterbag Placem_Collection'!B122</f>
        <v xml:space="preserve">Mwantimba
</v>
      </c>
      <c r="D781" s="263" t="s">
        <v>2460</v>
      </c>
      <c r="E781" s="263" t="s">
        <v>2660</v>
      </c>
      <c r="F781" s="263">
        <v>3</v>
      </c>
      <c r="G781" s="264" t="str">
        <f>'Dry_Litterbag Placem_Collection'!C122</f>
        <v>Wet_Ag3_T8</v>
      </c>
      <c r="H781" s="273" t="s">
        <v>3651</v>
      </c>
      <c r="I781" s="274" t="s">
        <v>298</v>
      </c>
      <c r="J781" s="223" t="str">
        <f>'WetLitterbags placem_collection'!Q122</f>
        <v>R594</v>
      </c>
      <c r="K781" s="225">
        <f>IFERROR(INDEX('Green_rooibos initial weight'!$C$5:$C$1749,MATCH(J781, 'Green_rooibos initial weight'!$A$5:$A$1749,0)),"")</f>
        <v>2.2400000000000002</v>
      </c>
      <c r="L781" s="225">
        <f>IFERROR(K781-(TBIcalc!$H$9+TBIcalc!$H$10),"")</f>
        <v>1.9902000000000002</v>
      </c>
      <c r="M781" s="391">
        <f>AVERAGE(Ashed_controlls!$K$12:$K$14)</f>
        <v>2.2816647271287041</v>
      </c>
      <c r="N781" s="225">
        <f t="shared" si="65"/>
        <v>1.9447903086006848</v>
      </c>
      <c r="O781" s="225">
        <f>IF(IFERROR(INDEX('Both teabags AfterWet'!$C$3:$C$841,MATCH(J781,'Both teabags AfterWet'!$A$3:$A$841,0)),"")="","",(IFERROR(INDEX('Both teabags AfterWet'!$C$3:$C$841,MATCH(J781,'Both teabags AfterWet'!$A$3:$A$841,0)),"")))</f>
        <v>1.4142999999999999</v>
      </c>
      <c r="P781" s="225">
        <f>IFERROR(IF(O781&gt;0,O781-(TBIcalc!$H$9),""),"")</f>
        <v>1.2636999999999998</v>
      </c>
      <c r="Q781" s="225">
        <f>IFERROR(INDEX('Ashed teabags wet'!$K$2:$K$821,MATCH(J781,'Ashed teabags wet'!$A$2:$A$821,0)),"")</f>
        <v>4.3540669856461571</v>
      </c>
      <c r="R781" s="225">
        <f t="shared" si="68"/>
        <v>1.2086776555023893</v>
      </c>
      <c r="S781" s="226">
        <f>'WetLitterbags placem_collection'!E122</f>
        <v>42762</v>
      </c>
      <c r="T781" s="226">
        <f>IF('WetLitterbags placem_collection'!G122="","",'WetLitterbags placem_collection'!G122)</f>
        <v>42816</v>
      </c>
      <c r="U781" s="227">
        <f t="shared" si="64"/>
        <v>54</v>
      </c>
      <c r="V781" s="225">
        <f t="shared" si="66"/>
        <v>0.72650000000000037</v>
      </c>
      <c r="W781" s="225">
        <f t="shared" si="67"/>
        <v>0.73611265309829554</v>
      </c>
      <c r="X781">
        <f>IFERROR(INDEX(Rainfall_Wet!$O$2:$O$217,MATCH(B781, Rainfall_Wet!$A$2:$A$217,0)),"")</f>
        <v>206.85140822299999</v>
      </c>
      <c r="Y781" s="231">
        <v>27.96</v>
      </c>
      <c r="Z781" s="231">
        <v>4.9200000000000017</v>
      </c>
      <c r="AA781" s="231">
        <v>67.12</v>
      </c>
      <c r="AB781" s="232" t="s">
        <v>2670</v>
      </c>
      <c r="AC781" s="231">
        <v>7.8861015278462299</v>
      </c>
      <c r="AD781">
        <f>IF('WetLitterbags placem_collection'!AB122="","",'WetLitterbags placem_collection'!AB122)</f>
        <v>19</v>
      </c>
      <c r="AE781">
        <f>IF('WetLitterbags placem_collection'!Z122="","",'WetLitterbags placem_collection'!Z122)</f>
        <v>98.5</v>
      </c>
      <c r="AF781" s="246" t="str">
        <f>IF('WetLitterbags placem_collection'!AA122="","",'WetLitterbags placem_collection'!AA122)</f>
        <v>G</v>
      </c>
      <c r="AG781">
        <f>IF('WetLitterbags placem_collection'!AC122="","",'WetLitterbags placem_collection'!AC122)</f>
        <v>0</v>
      </c>
      <c r="AH781">
        <f>AVERAGE('WetLitterbags placem_collection'!S122,'WetLitterbags placem_collection'!U122)</f>
        <v>14.95</v>
      </c>
      <c r="AI781">
        <f>AVERAGE('WetLitterbags placem_collection'!R122,'WetLitterbags placem_collection'!T122)</f>
        <v>30.299999999999997</v>
      </c>
      <c r="AJ781">
        <f>INDEX(Coordinates!$B$2:$B$197,MATCH(G781,Coordinates!$J$2:$J$197,0))</f>
        <v>-2.3486449760000001</v>
      </c>
      <c r="AK781">
        <f>INDEX(Coordinates!$C$2:$C$197,MATCH(G781,Coordinates!$J$2:$J$197,0))</f>
        <v>34.051495969999998</v>
      </c>
      <c r="AL781" t="str">
        <f>IF(ISNUMBER(SEARCH("C", 'WetLitterbags placem_collection'!Y122)),"YES","NO")</f>
        <v>NO</v>
      </c>
      <c r="AM781" t="str">
        <f>IF(ISNUMBER(SEARCH("H", 'WetLitterbags placem_collection'!Y122)),"YES","NO")</f>
        <v>NO</v>
      </c>
      <c r="AN781" t="str">
        <f>IF(ISNUMBER(SEARCH("R", 'WetLitterbags placem_collection'!Y122)),"YES","NO")</f>
        <v>YES</v>
      </c>
    </row>
    <row r="782" spans="1:40" ht="15" customHeight="1">
      <c r="A782" s="258" t="s">
        <v>2460</v>
      </c>
      <c r="B782" s="263">
        <f>'Dry_Litterbag Placem_Collection'!A123</f>
        <v>121</v>
      </c>
      <c r="C782" s="263" t="str">
        <f>'Dry_Litterbag Placem_Collection'!B123</f>
        <v xml:space="preserve">Mwantimba
</v>
      </c>
      <c r="D782" s="263" t="s">
        <v>2460</v>
      </c>
      <c r="E782" s="263" t="s">
        <v>2660</v>
      </c>
      <c r="F782" s="263">
        <v>4</v>
      </c>
      <c r="G782" s="264" t="str">
        <f>'Dry_Litterbag Placem_Collection'!C123</f>
        <v>Wet_Ag4_T1</v>
      </c>
      <c r="H782" s="273" t="s">
        <v>3651</v>
      </c>
      <c r="I782" s="274" t="s">
        <v>298</v>
      </c>
      <c r="J782" s="223" t="str">
        <f>'WetLitterbags placem_collection'!Q123</f>
        <v>R564</v>
      </c>
      <c r="K782" s="225">
        <f>IFERROR(INDEX('Green_rooibos initial weight'!$C$5:$C$1749,MATCH(J782, 'Green_rooibos initial weight'!$A$5:$A$1749,0)),"")</f>
        <v>2.145</v>
      </c>
      <c r="L782" s="225">
        <f>IFERROR(K782-(TBIcalc!$H$9+TBIcalc!$H$10),"")</f>
        <v>1.8952</v>
      </c>
      <c r="M782" s="391">
        <f>AVERAGE(Ashed_controlls!$K$12:$K$14)</f>
        <v>2.2816647271287041</v>
      </c>
      <c r="N782" s="225">
        <f t="shared" si="65"/>
        <v>1.8519578900914568</v>
      </c>
      <c r="O782" s="225">
        <f>IF(IFERROR(INDEX('Both teabags AfterWet'!$C$3:$C$841,MATCH(J782,'Both teabags AfterWet'!$A$3:$A$841,0)),"")="","",(IFERROR(INDEX('Both teabags AfterWet'!$C$3:$C$841,MATCH(J782,'Both teabags AfterWet'!$A$3:$A$841,0)),"")))</f>
        <v>1.53</v>
      </c>
      <c r="P782" s="225">
        <f>IFERROR(IF(O782&gt;0,O782-(TBIcalc!$H$9),""),"")</f>
        <v>1.3794</v>
      </c>
      <c r="Q782" s="225">
        <f>IFERROR(INDEX('Ashed teabags wet'!$K$2:$K$821,MATCH(J782,'Ashed teabags wet'!$A$2:$A$821,0)),"")</f>
        <v>7.5161772025872624</v>
      </c>
      <c r="R782" s="225">
        <f t="shared" si="68"/>
        <v>1.2757218516675113</v>
      </c>
      <c r="S782" s="226">
        <f>'WetLitterbags placem_collection'!E123</f>
        <v>42762</v>
      </c>
      <c r="T782" s="226">
        <f>IF('WetLitterbags placem_collection'!G123="","",'WetLitterbags placem_collection'!G123)</f>
        <v>42816</v>
      </c>
      <c r="U782" s="227">
        <f t="shared" si="64"/>
        <v>54</v>
      </c>
      <c r="V782" s="225">
        <f t="shared" si="66"/>
        <v>0.51580000000000004</v>
      </c>
      <c r="W782" s="225">
        <f t="shared" si="67"/>
        <v>0.57623603842394555</v>
      </c>
      <c r="X782">
        <f>IFERROR(INDEX(Rainfall_Wet!$O$2:$O$217,MATCH(B782, Rainfall_Wet!$A$2:$A$217,0)),"")</f>
        <v>206.85140822299999</v>
      </c>
      <c r="Y782" s="231">
        <v>17.96</v>
      </c>
      <c r="Z782" s="231">
        <v>4.9199999999999982</v>
      </c>
      <c r="AA782" s="231">
        <v>77.12</v>
      </c>
      <c r="AB782" s="232" t="s">
        <v>2671</v>
      </c>
      <c r="AC782" s="231">
        <v>2.0220798422868409</v>
      </c>
      <c r="AD782">
        <f>IF('WetLitterbags placem_collection'!AB123="","",'WetLitterbags placem_collection'!AB123)</f>
        <v>9.65</v>
      </c>
      <c r="AE782">
        <f>IF('WetLitterbags placem_collection'!Z123="","",'WetLitterbags placem_collection'!Z123)</f>
        <v>63</v>
      </c>
      <c r="AF782" s="246" t="str">
        <f>IF('WetLitterbags placem_collection'!AA123="","",'WetLitterbags placem_collection'!AA123)</f>
        <v>G</v>
      </c>
      <c r="AG782">
        <f>IF('WetLitterbags placem_collection'!AC123="","",'WetLitterbags placem_collection'!AC123)</f>
        <v>0</v>
      </c>
      <c r="AH782">
        <f>AVERAGE('WetLitterbags placem_collection'!S123,'WetLitterbags placem_collection'!U123)</f>
        <v>9.5500000000000007</v>
      </c>
      <c r="AI782">
        <f>AVERAGE('WetLitterbags placem_collection'!R123,'WetLitterbags placem_collection'!T123)</f>
        <v>30.75</v>
      </c>
      <c r="AJ782">
        <f>INDEX(Coordinates!$B$2:$B$197,MATCH(G782,Coordinates!$J$2:$J$197,0))</f>
        <v>-2.3492639789999998</v>
      </c>
      <c r="AK782">
        <f>INDEX(Coordinates!$C$2:$C$197,MATCH(G782,Coordinates!$J$2:$J$197,0))</f>
        <v>34.051464029999998</v>
      </c>
      <c r="AL782" t="str">
        <f>IF(ISNUMBER(SEARCH("C", 'WetLitterbags placem_collection'!Y123)),"YES","NO")</f>
        <v>NO</v>
      </c>
      <c r="AM782" t="str">
        <f>IF(ISNUMBER(SEARCH("H", 'WetLitterbags placem_collection'!Y123)),"YES","NO")</f>
        <v>NO</v>
      </c>
      <c r="AN782" t="str">
        <f>IF(ISNUMBER(SEARCH("R", 'WetLitterbags placem_collection'!Y123)),"YES","NO")</f>
        <v>YES</v>
      </c>
    </row>
    <row r="783" spans="1:40" ht="15" customHeight="1">
      <c r="A783" s="258" t="s">
        <v>2460</v>
      </c>
      <c r="B783" s="263">
        <f>'Dry_Litterbag Placem_Collection'!A124</f>
        <v>122</v>
      </c>
      <c r="C783" s="263" t="str">
        <f>'Dry_Litterbag Placem_Collection'!B124</f>
        <v xml:space="preserve">Mwantimba
</v>
      </c>
      <c r="D783" s="263" t="s">
        <v>2460</v>
      </c>
      <c r="E783" s="263" t="s">
        <v>2660</v>
      </c>
      <c r="F783" s="263">
        <v>4</v>
      </c>
      <c r="G783" s="264" t="str">
        <f>'Dry_Litterbag Placem_Collection'!C124</f>
        <v>Wet_Ag4_T2</v>
      </c>
      <c r="H783" s="273" t="s">
        <v>3651</v>
      </c>
      <c r="I783" s="274" t="s">
        <v>298</v>
      </c>
      <c r="J783" s="223" t="str">
        <f>'WetLitterbags placem_collection'!Q124</f>
        <v>R429</v>
      </c>
      <c r="K783" s="225">
        <f>IFERROR(INDEX('Green_rooibos initial weight'!$C$5:$C$1749,MATCH(J783, 'Green_rooibos initial weight'!$A$5:$A$1749,0)),"")</f>
        <v>2.21</v>
      </c>
      <c r="L783" s="225">
        <f>IFERROR(K783-(TBIcalc!$H$9+TBIcalc!$H$10),"")</f>
        <v>1.9601999999999999</v>
      </c>
      <c r="M783" s="391">
        <f>AVERAGE(Ashed_controlls!$K$12:$K$14)</f>
        <v>2.2816647271287041</v>
      </c>
      <c r="N783" s="225">
        <f t="shared" si="65"/>
        <v>1.9154748080188231</v>
      </c>
      <c r="O783" s="225">
        <f>IF(IFERROR(INDEX('Both teabags AfterWet'!$C$3:$C$841,MATCH(J783,'Both teabags AfterWet'!$A$3:$A$841,0)),"")="","",(IFERROR(INDEX('Both teabags AfterWet'!$C$3:$C$841,MATCH(J783,'Both teabags AfterWet'!$A$3:$A$841,0)),"")))</f>
        <v>1.2190000000000001</v>
      </c>
      <c r="P783" s="225">
        <f>IFERROR(IF(O783&gt;0,O783-(TBIcalc!$H$9),""),"")</f>
        <v>1.0684</v>
      </c>
      <c r="Q783" s="225">
        <f>IFERROR(INDEX('Ashed teabags wet'!$K$2:$K$821,MATCH(J783,'Ashed teabags wet'!$A$2:$A$821,0)),"")</f>
        <v>8.6138613861387903</v>
      </c>
      <c r="R783" s="225">
        <f t="shared" si="68"/>
        <v>0.97636950495049313</v>
      </c>
      <c r="S783" s="226">
        <f>'WetLitterbags placem_collection'!E124</f>
        <v>42762</v>
      </c>
      <c r="T783" s="226">
        <f>IF('WetLitterbags placem_collection'!G124="","",'WetLitterbags placem_collection'!G124)</f>
        <v>42816</v>
      </c>
      <c r="U783" s="227">
        <f t="shared" si="64"/>
        <v>54</v>
      </c>
      <c r="V783" s="225">
        <f t="shared" si="66"/>
        <v>0.89179999999999993</v>
      </c>
      <c r="W783" s="225">
        <f t="shared" si="67"/>
        <v>0.93910530306832996</v>
      </c>
      <c r="X783">
        <f>IFERROR(INDEX(Rainfall_Wet!$O$2:$O$217,MATCH(B783, Rainfall_Wet!$A$2:$A$217,0)),"")</f>
        <v>206.85140822299999</v>
      </c>
      <c r="Y783" s="231">
        <v>17.96</v>
      </c>
      <c r="Z783" s="231">
        <v>4.9199999999999982</v>
      </c>
      <c r="AA783" s="231">
        <v>77.12</v>
      </c>
      <c r="AB783" s="232" t="s">
        <v>2671</v>
      </c>
      <c r="AC783" s="231">
        <v>3.02207984228684</v>
      </c>
      <c r="AD783">
        <f>IF('WetLitterbags placem_collection'!AB124="","",'WetLitterbags placem_collection'!AB124)</f>
        <v>3.1</v>
      </c>
      <c r="AE783">
        <f>IF('WetLitterbags placem_collection'!Z124="","",'WetLitterbags placem_collection'!Z124)</f>
        <v>53</v>
      </c>
      <c r="AF783" s="246" t="str">
        <f>IF('WetLitterbags placem_collection'!AA124="","",'WetLitterbags placem_collection'!AA124)</f>
        <v>G</v>
      </c>
      <c r="AG783">
        <f>IF('WetLitterbags placem_collection'!AC124="","",'WetLitterbags placem_collection'!AC124)</f>
        <v>0</v>
      </c>
      <c r="AH783">
        <f>AVERAGE('WetLitterbags placem_collection'!S124,'WetLitterbags placem_collection'!U124)</f>
        <v>11.8</v>
      </c>
      <c r="AI783">
        <f>AVERAGE('WetLitterbags placem_collection'!R124,'WetLitterbags placem_collection'!T124)</f>
        <v>30.650000000000002</v>
      </c>
      <c r="AJ783">
        <f>INDEX(Coordinates!$B$2:$B$197,MATCH(G783,Coordinates!$J$2:$J$197,0))</f>
        <v>-2.34923196</v>
      </c>
      <c r="AK783">
        <f>INDEX(Coordinates!$C$2:$C$197,MATCH(G783,Coordinates!$J$2:$J$197,0))</f>
        <v>34.051422039999999</v>
      </c>
      <c r="AL783" t="str">
        <f>IF(ISNUMBER(SEARCH("C", 'WetLitterbags placem_collection'!Y124)),"YES","NO")</f>
        <v>NO</v>
      </c>
      <c r="AM783" t="str">
        <f>IF(ISNUMBER(SEARCH("H", 'WetLitterbags placem_collection'!Y124)),"YES","NO")</f>
        <v>NO</v>
      </c>
      <c r="AN783" t="str">
        <f>IF(ISNUMBER(SEARCH("R", 'WetLitterbags placem_collection'!Y124)),"YES","NO")</f>
        <v>YES</v>
      </c>
    </row>
    <row r="784" spans="1:40" ht="15" customHeight="1">
      <c r="A784" s="258" t="s">
        <v>2460</v>
      </c>
      <c r="B784" s="263">
        <f>'Dry_Litterbag Placem_Collection'!A125</f>
        <v>123</v>
      </c>
      <c r="C784" s="263" t="str">
        <f>'Dry_Litterbag Placem_Collection'!B125</f>
        <v xml:space="preserve">Mwantimba
</v>
      </c>
      <c r="D784" s="263" t="s">
        <v>2460</v>
      </c>
      <c r="E784" s="263" t="s">
        <v>2660</v>
      </c>
      <c r="F784" s="263">
        <v>4</v>
      </c>
      <c r="G784" s="264" t="str">
        <f>'Dry_Litterbag Placem_Collection'!C125</f>
        <v>Wet_Ag4_T3</v>
      </c>
      <c r="H784" s="273" t="s">
        <v>3651</v>
      </c>
      <c r="I784" s="274" t="s">
        <v>298</v>
      </c>
      <c r="J784" s="223" t="str">
        <f>'WetLitterbags placem_collection'!Q125</f>
        <v>R466</v>
      </c>
      <c r="K784" s="225">
        <f>IFERROR(INDEX('Green_rooibos initial weight'!$C$5:$C$1749,MATCH(J784, 'Green_rooibos initial weight'!$A$5:$A$1749,0)),"")</f>
        <v>2.2269999999999999</v>
      </c>
      <c r="L784" s="225">
        <f>IFERROR(K784-(TBIcalc!$H$9+TBIcalc!$H$10),"")</f>
        <v>1.9771999999999998</v>
      </c>
      <c r="M784" s="391">
        <f>AVERAGE(Ashed_controlls!$K$12:$K$14)</f>
        <v>2.2816647271287041</v>
      </c>
      <c r="N784" s="225">
        <f t="shared" si="65"/>
        <v>1.9320869250152111</v>
      </c>
      <c r="O784" s="225">
        <f>IF(IFERROR(INDEX('Both teabags AfterWet'!$C$3:$C$841,MATCH(J784,'Both teabags AfterWet'!$A$3:$A$841,0)),"")="","",(IFERROR(INDEX('Both teabags AfterWet'!$C$3:$C$841,MATCH(J784,'Both teabags AfterWet'!$A$3:$A$841,0)),"")))</f>
        <v>1.5760000000000001</v>
      </c>
      <c r="P784" s="225">
        <f>IFERROR(IF(O784&gt;0,O784-(TBIcalc!$H$9),""),"")</f>
        <v>1.4254</v>
      </c>
      <c r="Q784" s="225">
        <f>IFERROR(INDEX('Ashed teabags wet'!$K$2:$K$821,MATCH(J784,'Ashed teabags wet'!$A$2:$A$821,0)),"")</f>
        <v>3.9460539460533175</v>
      </c>
      <c r="R784" s="225">
        <f t="shared" si="68"/>
        <v>1.369152947052956</v>
      </c>
      <c r="S784" s="226">
        <f>'WetLitterbags placem_collection'!E125</f>
        <v>42762</v>
      </c>
      <c r="T784" s="226">
        <f>IF('WetLitterbags placem_collection'!G125="","",'WetLitterbags placem_collection'!G125)</f>
        <v>42816</v>
      </c>
      <c r="U784" s="227">
        <f t="shared" si="64"/>
        <v>54</v>
      </c>
      <c r="V784" s="225">
        <f t="shared" si="66"/>
        <v>0.55179999999999985</v>
      </c>
      <c r="W784" s="225">
        <f t="shared" si="67"/>
        <v>0.56293397796225508</v>
      </c>
      <c r="X784">
        <f>IFERROR(INDEX(Rainfall_Wet!$O$2:$O$217,MATCH(B784, Rainfall_Wet!$A$2:$A$217,0)),"")</f>
        <v>206.85140822299999</v>
      </c>
      <c r="Y784" s="231">
        <v>17.96</v>
      </c>
      <c r="Z784" s="231">
        <v>4.9199999999999982</v>
      </c>
      <c r="AA784" s="231">
        <v>77.12</v>
      </c>
      <c r="AB784" s="232" t="s">
        <v>2671</v>
      </c>
      <c r="AC784" s="231">
        <v>4.02207984228684</v>
      </c>
      <c r="AD784">
        <f>IF('WetLitterbags placem_collection'!AB125="","",'WetLitterbags placem_collection'!AB125)</f>
        <v>3.9</v>
      </c>
      <c r="AE784">
        <f>IF('WetLitterbags placem_collection'!Z125="","",'WetLitterbags placem_collection'!Z125)</f>
        <v>51</v>
      </c>
      <c r="AF784" s="246" t="str">
        <f>IF('WetLitterbags placem_collection'!AA125="","",'WetLitterbags placem_collection'!AA125)</f>
        <v>G</v>
      </c>
      <c r="AG784">
        <f>IF('WetLitterbags placem_collection'!AC125="","",'WetLitterbags placem_collection'!AC125)</f>
        <v>1</v>
      </c>
      <c r="AH784">
        <f>AVERAGE('WetLitterbags placem_collection'!S125,'WetLitterbags placem_collection'!U125)</f>
        <v>13.2</v>
      </c>
      <c r="AI784">
        <f>AVERAGE('WetLitterbags placem_collection'!R125,'WetLitterbags placem_collection'!T125)</f>
        <v>31.85</v>
      </c>
      <c r="AJ784">
        <f>INDEX(Coordinates!$B$2:$B$197,MATCH(G784,Coordinates!$J$2:$J$197,0))</f>
        <v>-2.3492390009999999</v>
      </c>
      <c r="AK784">
        <f>INDEX(Coordinates!$C$2:$C$197,MATCH(G784,Coordinates!$J$2:$J$197,0))</f>
        <v>34.051304020000003</v>
      </c>
      <c r="AL784" t="str">
        <f>IF(ISNUMBER(SEARCH("C", 'WetLitterbags placem_collection'!Y125)),"YES","NO")</f>
        <v>NO</v>
      </c>
      <c r="AM784" t="str">
        <f>IF(ISNUMBER(SEARCH("H", 'WetLitterbags placem_collection'!Y125)),"YES","NO")</f>
        <v>NO</v>
      </c>
      <c r="AN784" t="str">
        <f>IF(ISNUMBER(SEARCH("R", 'WetLitterbags placem_collection'!Y125)),"YES","NO")</f>
        <v>NO</v>
      </c>
    </row>
    <row r="785" spans="1:40" ht="15" customHeight="1">
      <c r="A785" s="258" t="s">
        <v>2460</v>
      </c>
      <c r="B785" s="263">
        <f>'Dry_Litterbag Placem_Collection'!A126</f>
        <v>124</v>
      </c>
      <c r="C785" s="263" t="str">
        <f>'Dry_Litterbag Placem_Collection'!B126</f>
        <v xml:space="preserve">Mwantimba
</v>
      </c>
      <c r="D785" s="263" t="s">
        <v>2460</v>
      </c>
      <c r="E785" s="263" t="s">
        <v>2660</v>
      </c>
      <c r="F785" s="263">
        <v>4</v>
      </c>
      <c r="G785" s="264" t="str">
        <f>'Dry_Litterbag Placem_Collection'!C126</f>
        <v>Wet_Ag4_T4</v>
      </c>
      <c r="H785" s="273" t="s">
        <v>3651</v>
      </c>
      <c r="I785" s="274" t="s">
        <v>298</v>
      </c>
      <c r="J785" s="223" t="str">
        <f>'WetLitterbags placem_collection'!Q126</f>
        <v>R471</v>
      </c>
      <c r="K785" s="225">
        <f>IFERROR(INDEX('Green_rooibos initial weight'!$C$5:$C$1749,MATCH(J785, 'Green_rooibos initial weight'!$A$5:$A$1749,0)),"")</f>
        <v>2.238</v>
      </c>
      <c r="L785" s="225">
        <f>IFERROR(K785-(TBIcalc!$H$9+TBIcalc!$H$10),"")</f>
        <v>1.9882</v>
      </c>
      <c r="M785" s="391">
        <f>AVERAGE(Ashed_controlls!$K$12:$K$14)</f>
        <v>2.2816647271287041</v>
      </c>
      <c r="N785" s="225">
        <f t="shared" si="65"/>
        <v>1.942835941895227</v>
      </c>
      <c r="O785" s="225">
        <f>IF(IFERROR(INDEX('Both teabags AfterWet'!$C$3:$C$841,MATCH(J785,'Both teabags AfterWet'!$A$3:$A$841,0)),"")="","",(IFERROR(INDEX('Both teabags AfterWet'!$C$3:$C$841,MATCH(J785,'Both teabags AfterWet'!$A$3:$A$841,0)),"")))</f>
        <v>1.518</v>
      </c>
      <c r="P785" s="225">
        <f>IFERROR(IF(O785&gt;0,O785-(TBIcalc!$H$9),""),"")</f>
        <v>1.3673999999999999</v>
      </c>
      <c r="Q785" s="225">
        <f>IFERROR(INDEX('Ashed teabags wet'!$K$2:$K$821,MATCH(J785,'Ashed teabags wet'!$A$2:$A$821,0)),"")</f>
        <v>3.762376237623815</v>
      </c>
      <c r="R785" s="225">
        <f t="shared" si="68"/>
        <v>1.3159532673267318</v>
      </c>
      <c r="S785" s="226">
        <f>'WetLitterbags placem_collection'!E126</f>
        <v>42762</v>
      </c>
      <c r="T785" s="226">
        <f>IF('WetLitterbags placem_collection'!G126="","",'WetLitterbags placem_collection'!G126)</f>
        <v>42816</v>
      </c>
      <c r="U785" s="227">
        <f t="shared" si="64"/>
        <v>54</v>
      </c>
      <c r="V785" s="225">
        <f t="shared" si="66"/>
        <v>0.62080000000000002</v>
      </c>
      <c r="W785" s="225">
        <f t="shared" si="67"/>
        <v>0.62688267456849522</v>
      </c>
      <c r="X785">
        <f>IFERROR(INDEX(Rainfall_Wet!$O$2:$O$217,MATCH(B785, Rainfall_Wet!$A$2:$A$217,0)),"")</f>
        <v>206.85140822299999</v>
      </c>
      <c r="Y785" s="231">
        <v>17.96</v>
      </c>
      <c r="Z785" s="231">
        <v>4.9199999999999982</v>
      </c>
      <c r="AA785" s="231">
        <v>77.12</v>
      </c>
      <c r="AB785" s="232" t="s">
        <v>2671</v>
      </c>
      <c r="AC785" s="231">
        <v>5.02207984228684</v>
      </c>
      <c r="AD785">
        <f>IF('WetLitterbags placem_collection'!AB126="","",'WetLitterbags placem_collection'!AB126)</f>
        <v>5.45</v>
      </c>
      <c r="AE785">
        <f>IF('WetLitterbags placem_collection'!Z126="","",'WetLitterbags placem_collection'!Z126)</f>
        <v>47</v>
      </c>
      <c r="AF785" s="246" t="str">
        <f>IF('WetLitterbags placem_collection'!AA126="","",'WetLitterbags placem_collection'!AA126)</f>
        <v>G</v>
      </c>
      <c r="AG785">
        <f>IF('WetLitterbags placem_collection'!AC126="","",'WetLitterbags placem_collection'!AC126)</f>
        <v>1</v>
      </c>
      <c r="AH785">
        <f>AVERAGE('WetLitterbags placem_collection'!S126,'WetLitterbags placem_collection'!U126)</f>
        <v>18.2</v>
      </c>
      <c r="AI785">
        <f>AVERAGE('WetLitterbags placem_collection'!R126,'WetLitterbags placem_collection'!T126)</f>
        <v>31.1</v>
      </c>
      <c r="AJ785">
        <f>INDEX(Coordinates!$B$2:$B$197,MATCH(G785,Coordinates!$J$2:$J$197,0))</f>
        <v>-2.3492799889999998</v>
      </c>
      <c r="AK785">
        <f>INDEX(Coordinates!$C$2:$C$197,MATCH(G785,Coordinates!$J$2:$J$197,0))</f>
        <v>34.051280970000001</v>
      </c>
      <c r="AL785" t="str">
        <f>IF(ISNUMBER(SEARCH("C", 'WetLitterbags placem_collection'!Y126)),"YES","NO")</f>
        <v>NO</v>
      </c>
      <c r="AM785" t="str">
        <f>IF(ISNUMBER(SEARCH("H", 'WetLitterbags placem_collection'!Y126)),"YES","NO")</f>
        <v>NO</v>
      </c>
      <c r="AN785" t="str">
        <f>IF(ISNUMBER(SEARCH("R", 'WetLitterbags placem_collection'!Y126)),"YES","NO")</f>
        <v>NO</v>
      </c>
    </row>
    <row r="786" spans="1:40" ht="15" customHeight="1">
      <c r="A786" s="258" t="s">
        <v>2460</v>
      </c>
      <c r="B786" s="263">
        <f>'Dry_Litterbag Placem_Collection'!A127</f>
        <v>125</v>
      </c>
      <c r="C786" s="263" t="str">
        <f>'Dry_Litterbag Placem_Collection'!B127</f>
        <v xml:space="preserve">Mwantimba
</v>
      </c>
      <c r="D786" s="263" t="s">
        <v>2460</v>
      </c>
      <c r="E786" s="263" t="s">
        <v>2660</v>
      </c>
      <c r="F786" s="263">
        <v>4</v>
      </c>
      <c r="G786" s="264" t="str">
        <f>'Dry_Litterbag Placem_Collection'!C127</f>
        <v>Wet_Ag4_T5</v>
      </c>
      <c r="H786" s="273" t="s">
        <v>3651</v>
      </c>
      <c r="I786" s="274" t="s">
        <v>298</v>
      </c>
      <c r="J786" s="223" t="str">
        <f>'WetLitterbags placem_collection'!Q127</f>
        <v>R486</v>
      </c>
      <c r="K786" s="225">
        <f>IFERROR(INDEX('Green_rooibos initial weight'!$C$5:$C$1749,MATCH(J786, 'Green_rooibos initial weight'!$A$5:$A$1749,0)),"")</f>
        <v>2.218</v>
      </c>
      <c r="L786" s="225">
        <f>IFERROR(K786-(TBIcalc!$H$9+TBIcalc!$H$10),"")</f>
        <v>1.9681999999999999</v>
      </c>
      <c r="M786" s="391">
        <f>AVERAGE(Ashed_controlls!$K$12:$K$14)</f>
        <v>2.2816647271287041</v>
      </c>
      <c r="N786" s="225">
        <f t="shared" si="65"/>
        <v>1.9232922748406529</v>
      </c>
      <c r="O786" s="225" t="str">
        <f>IF(IFERROR(INDEX('Both teabags AfterWet'!$C$3:$C$841,MATCH(J786,'Both teabags AfterWet'!$A$3:$A$841,0)),"")="","",(IFERROR(INDEX('Both teabags AfterWet'!$C$3:$C$841,MATCH(J786,'Both teabags AfterWet'!$A$3:$A$841,0)),"")))</f>
        <v/>
      </c>
      <c r="P786" s="225" t="str">
        <f>IFERROR(IF(O786&gt;0,O786-(TBIcalc!$H$9),""),"")</f>
        <v/>
      </c>
      <c r="Q786" s="225">
        <f>IFERROR(INDEX('Ashed teabags wet'!$K$2:$K$821,MATCH(J786,'Ashed teabags wet'!$A$2:$A$821,0)),"")</f>
        <v>4.2372881355932517</v>
      </c>
      <c r="R786" s="225" t="str">
        <f t="shared" si="68"/>
        <v/>
      </c>
      <c r="S786" s="226">
        <f>'WetLitterbags placem_collection'!E127</f>
        <v>42762</v>
      </c>
      <c r="T786" s="226">
        <f>IF('WetLitterbags placem_collection'!G127="","",'WetLitterbags placem_collection'!G127)</f>
        <v>42816</v>
      </c>
      <c r="U786" s="227">
        <f t="shared" si="64"/>
        <v>54</v>
      </c>
      <c r="V786" s="225" t="str">
        <f t="shared" si="66"/>
        <v/>
      </c>
      <c r="W786" s="225" t="str">
        <f t="shared" si="67"/>
        <v/>
      </c>
      <c r="X786">
        <f>IFERROR(INDEX(Rainfall_Wet!$O$2:$O$217,MATCH(B786, Rainfall_Wet!$A$2:$A$217,0)),"")</f>
        <v>206.85140822299999</v>
      </c>
      <c r="Y786" s="231">
        <v>17.96</v>
      </c>
      <c r="Z786" s="231">
        <v>4.9199999999999982</v>
      </c>
      <c r="AA786" s="231">
        <v>77.12</v>
      </c>
      <c r="AB786" s="232" t="s">
        <v>2671</v>
      </c>
      <c r="AC786" s="231">
        <v>6.02207984228684</v>
      </c>
      <c r="AD786">
        <f>IF('WetLitterbags placem_collection'!AB127="","",'WetLitterbags placem_collection'!AB127)</f>
        <v>9.3000000000000007</v>
      </c>
      <c r="AE786">
        <f>IF('WetLitterbags placem_collection'!Z127="","",'WetLitterbags placem_collection'!Z127)</f>
        <v>43</v>
      </c>
      <c r="AF786" s="246" t="str">
        <f>IF('WetLitterbags placem_collection'!AA127="","",'WetLitterbags placem_collection'!AA127)</f>
        <v>G</v>
      </c>
      <c r="AG786">
        <f>IF('WetLitterbags placem_collection'!AC127="","",'WetLitterbags placem_collection'!AC127)</f>
        <v>1</v>
      </c>
      <c r="AH786">
        <f>AVERAGE('WetLitterbags placem_collection'!S127,'WetLitterbags placem_collection'!U127)</f>
        <v>19.25</v>
      </c>
      <c r="AI786">
        <f>AVERAGE('WetLitterbags placem_collection'!R127,'WetLitterbags placem_collection'!T127)</f>
        <v>32.049999999999997</v>
      </c>
      <c r="AJ786">
        <f>INDEX(Coordinates!$B$2:$B$197,MATCH(G786,Coordinates!$J$2:$J$197,0))</f>
        <v>-2.3493320400000002</v>
      </c>
      <c r="AK786">
        <f>INDEX(Coordinates!$C$2:$C$197,MATCH(G786,Coordinates!$J$2:$J$197,0))</f>
        <v>34.051321960000003</v>
      </c>
      <c r="AL786" t="str">
        <f>IF(ISNUMBER(SEARCH("C", 'WetLitterbags placem_collection'!Y127)),"YES","NO")</f>
        <v>NO</v>
      </c>
      <c r="AM786" t="str">
        <f>IF(ISNUMBER(SEARCH("H", 'WetLitterbags placem_collection'!Y127)),"YES","NO")</f>
        <v>NO</v>
      </c>
      <c r="AN786" t="str">
        <f>IF(ISNUMBER(SEARCH("R", 'WetLitterbags placem_collection'!Y127)),"YES","NO")</f>
        <v>YES</v>
      </c>
    </row>
    <row r="787" spans="1:40" ht="15" customHeight="1">
      <c r="A787" s="258" t="s">
        <v>2460</v>
      </c>
      <c r="B787" s="263">
        <f>'Dry_Litterbag Placem_Collection'!A128</f>
        <v>126</v>
      </c>
      <c r="C787" s="263" t="str">
        <f>'Dry_Litterbag Placem_Collection'!B128</f>
        <v xml:space="preserve">Mwantimba
</v>
      </c>
      <c r="D787" s="263" t="s">
        <v>2460</v>
      </c>
      <c r="E787" s="263" t="s">
        <v>2660</v>
      </c>
      <c r="F787" s="263">
        <v>4</v>
      </c>
      <c r="G787" s="264" t="str">
        <f>'Dry_Litterbag Placem_Collection'!C128</f>
        <v>Wet_Ag4_T6</v>
      </c>
      <c r="H787" s="273" t="s">
        <v>3651</v>
      </c>
      <c r="I787" s="274" t="s">
        <v>298</v>
      </c>
      <c r="J787" s="223" t="str">
        <f>'WetLitterbags placem_collection'!Q128</f>
        <v>R55</v>
      </c>
      <c r="K787" s="225">
        <f>IFERROR(INDEX('Green_rooibos initial weight'!$C$5:$C$1749,MATCH(J787, 'Green_rooibos initial weight'!$A$5:$A$1749,0)),"")</f>
        <v>2.2010000000000001</v>
      </c>
      <c r="L787" s="225">
        <f>IFERROR(K787-(TBIcalc!$H$9+TBIcalc!$H$10),"")</f>
        <v>1.9512</v>
      </c>
      <c r="M787" s="391">
        <f>AVERAGE(Ashed_controlls!$K$12:$K$14)</f>
        <v>2.2816647271287041</v>
      </c>
      <c r="N787" s="225">
        <f t="shared" si="65"/>
        <v>1.9066801578442647</v>
      </c>
      <c r="O787" s="225">
        <f>IF(IFERROR(INDEX('Both teabags AfterWet'!$C$3:$C$841,MATCH(J787,'Both teabags AfterWet'!$A$3:$A$841,0)),"")="","",(IFERROR(INDEX('Both teabags AfterWet'!$C$3:$C$841,MATCH(J787,'Both teabags AfterWet'!$A$3:$A$841,0)),"")))</f>
        <v>1.4419999999999999</v>
      </c>
      <c r="P787" s="225">
        <f>IFERROR(IF(O787&gt;0,O787-(TBIcalc!$H$9),""),"")</f>
        <v>1.2913999999999999</v>
      </c>
      <c r="Q787" s="225">
        <f>IFERROR(INDEX('Ashed teabags wet'!$K$2:$K$821,MATCH(J787,'Ashed teabags wet'!$A$2:$A$821,0)),"")</f>
        <v>3.9111540318678832</v>
      </c>
      <c r="R787" s="225">
        <f t="shared" si="68"/>
        <v>1.240891356832458</v>
      </c>
      <c r="S787" s="226">
        <f>'WetLitterbags placem_collection'!E128</f>
        <v>42762</v>
      </c>
      <c r="T787" s="226">
        <f>IF('WetLitterbags placem_collection'!G128="","",'WetLitterbags placem_collection'!G128)</f>
        <v>42816</v>
      </c>
      <c r="U787" s="227">
        <f t="shared" si="64"/>
        <v>54</v>
      </c>
      <c r="V787" s="225">
        <f t="shared" si="66"/>
        <v>0.65980000000000016</v>
      </c>
      <c r="W787" s="225">
        <f t="shared" si="67"/>
        <v>0.66578880101180671</v>
      </c>
      <c r="X787">
        <f>IFERROR(INDEX(Rainfall_Wet!$O$2:$O$217,MATCH(B787, Rainfall_Wet!$A$2:$A$217,0)),"")</f>
        <v>206.85140822299999</v>
      </c>
      <c r="Y787" s="231">
        <v>17.96</v>
      </c>
      <c r="Z787" s="231">
        <v>4.9199999999999982</v>
      </c>
      <c r="AA787" s="231">
        <v>77.12</v>
      </c>
      <c r="AB787" s="232" t="s">
        <v>2671</v>
      </c>
      <c r="AC787" s="231">
        <v>7.02207984228684</v>
      </c>
      <c r="AD787">
        <f>IF('WetLitterbags placem_collection'!AB128="","",'WetLitterbags placem_collection'!AB128)</f>
        <v>10.85</v>
      </c>
      <c r="AE787">
        <f>IF('WetLitterbags placem_collection'!Z128="","",'WetLitterbags placem_collection'!Z128)</f>
        <v>40</v>
      </c>
      <c r="AF787" s="246" t="str">
        <f>IF('WetLitterbags placem_collection'!AA128="","",'WetLitterbags placem_collection'!AA128)</f>
        <v>G</v>
      </c>
      <c r="AG787">
        <f>IF('WetLitterbags placem_collection'!AC128="","",'WetLitterbags placem_collection'!AC128)</f>
        <v>1</v>
      </c>
      <c r="AH787">
        <f>AVERAGE('WetLitterbags placem_collection'!S128,'WetLitterbags placem_collection'!U128)</f>
        <v>16.649999999999999</v>
      </c>
      <c r="AI787">
        <f>AVERAGE('WetLitterbags placem_collection'!R128,'WetLitterbags placem_collection'!T128)</f>
        <v>32</v>
      </c>
      <c r="AJ787">
        <f>INDEX(Coordinates!$B$2:$B$197,MATCH(G787,Coordinates!$J$2:$J$197,0))</f>
        <v>-2.3493509829999999</v>
      </c>
      <c r="AK787">
        <f>INDEX(Coordinates!$C$2:$C$197,MATCH(G787,Coordinates!$J$2:$J$197,0))</f>
        <v>34.051332019999997</v>
      </c>
      <c r="AL787" t="str">
        <f>IF(ISNUMBER(SEARCH("C", 'WetLitterbags placem_collection'!Y128)),"YES","NO")</f>
        <v>NO</v>
      </c>
      <c r="AM787" t="str">
        <f>IF(ISNUMBER(SEARCH("H", 'WetLitterbags placem_collection'!Y128)),"YES","NO")</f>
        <v>NO</v>
      </c>
      <c r="AN787" t="str">
        <f>IF(ISNUMBER(SEARCH("R", 'WetLitterbags placem_collection'!Y128)),"YES","NO")</f>
        <v>YES</v>
      </c>
    </row>
    <row r="788" spans="1:40" ht="15" customHeight="1">
      <c r="A788" s="258" t="s">
        <v>2460</v>
      </c>
      <c r="B788" s="263">
        <f>'Dry_Litterbag Placem_Collection'!A129</f>
        <v>127</v>
      </c>
      <c r="C788" s="263" t="str">
        <f>'Dry_Litterbag Placem_Collection'!B129</f>
        <v xml:space="preserve">Mwantimba
</v>
      </c>
      <c r="D788" s="263" t="s">
        <v>2460</v>
      </c>
      <c r="E788" s="263" t="s">
        <v>2660</v>
      </c>
      <c r="F788" s="263">
        <v>4</v>
      </c>
      <c r="G788" s="264" t="str">
        <f>'Dry_Litterbag Placem_Collection'!C129</f>
        <v>Wet_Ag4_T7</v>
      </c>
      <c r="H788" s="273" t="s">
        <v>3651</v>
      </c>
      <c r="I788" s="274" t="s">
        <v>298</v>
      </c>
      <c r="J788" s="223" t="str">
        <f>'WetLitterbags placem_collection'!Q129</f>
        <v>R424</v>
      </c>
      <c r="K788" s="225">
        <f>IFERROR(INDEX('Green_rooibos initial weight'!$C$5:$C$1749,MATCH(J788, 'Green_rooibos initial weight'!$A$5:$A$1749,0)),"")</f>
        <v>2.214</v>
      </c>
      <c r="L788" s="225">
        <f>IFERROR(K788-(TBIcalc!$H$9+TBIcalc!$H$10),"")</f>
        <v>1.9641999999999999</v>
      </c>
      <c r="M788" s="391">
        <f>AVERAGE(Ashed_controlls!$K$12:$K$14)</f>
        <v>2.2816647271287041</v>
      </c>
      <c r="N788" s="225">
        <f t="shared" si="65"/>
        <v>1.919383541429738</v>
      </c>
      <c r="O788" s="225">
        <f>IF(IFERROR(INDEX('Both teabags AfterWet'!$C$3:$C$841,MATCH(J788,'Both teabags AfterWet'!$A$3:$A$841,0)),"")="","",(IFERROR(INDEX('Both teabags AfterWet'!$C$3:$C$841,MATCH(J788,'Both teabags AfterWet'!$A$3:$A$841,0)),"")))</f>
        <v>1.552</v>
      </c>
      <c r="P788" s="225">
        <f>IFERROR(IF(O788&gt;0,O788-(TBIcalc!$H$9),""),"")</f>
        <v>1.4014</v>
      </c>
      <c r="Q788" s="225">
        <f>IFERROR(INDEX('Ashed teabags wet'!$K$2:$K$821,MATCH(J788,'Ashed teabags wet'!$A$2:$A$821,0)),"")</f>
        <v>7.3429951690818136</v>
      </c>
      <c r="R788" s="225">
        <f t="shared" si="68"/>
        <v>1.2984952657004873</v>
      </c>
      <c r="S788" s="226">
        <f>'WetLitterbags placem_collection'!E129</f>
        <v>42762</v>
      </c>
      <c r="T788" s="226">
        <f>IF('WetLitterbags placem_collection'!G129="","",'WetLitterbags placem_collection'!G129)</f>
        <v>42816</v>
      </c>
      <c r="U788" s="227">
        <f t="shared" si="64"/>
        <v>54</v>
      </c>
      <c r="V788" s="225">
        <f t="shared" si="66"/>
        <v>0.56279999999999997</v>
      </c>
      <c r="W788" s="225">
        <f t="shared" si="67"/>
        <v>0.62088827572925065</v>
      </c>
      <c r="X788">
        <f>IFERROR(INDEX(Rainfall_Wet!$O$2:$O$217,MATCH(B788, Rainfall_Wet!$A$2:$A$217,0)),"")</f>
        <v>206.85140822299999</v>
      </c>
      <c r="Y788" s="231">
        <v>17.96</v>
      </c>
      <c r="Z788" s="231">
        <v>4.9199999999999982</v>
      </c>
      <c r="AA788" s="231">
        <v>77.12</v>
      </c>
      <c r="AB788" s="232" t="s">
        <v>2671</v>
      </c>
      <c r="AC788" s="231">
        <v>8.0220798422868391</v>
      </c>
      <c r="AD788">
        <f>IF('WetLitterbags placem_collection'!AB129="","",'WetLitterbags placem_collection'!AB129)</f>
        <v>5.35</v>
      </c>
      <c r="AE788">
        <f>IF('WetLitterbags placem_collection'!Z129="","",'WetLitterbags placem_collection'!Z129)</f>
        <v>58</v>
      </c>
      <c r="AF788" s="246" t="str">
        <f>IF('WetLitterbags placem_collection'!AA129="","",'WetLitterbags placem_collection'!AA129)</f>
        <v>G</v>
      </c>
      <c r="AG788">
        <f>IF('WetLitterbags placem_collection'!AC129="","",'WetLitterbags placem_collection'!AC129)</f>
        <v>1</v>
      </c>
      <c r="AH788">
        <f>AVERAGE('WetLitterbags placem_collection'!S129,'WetLitterbags placem_collection'!U129)</f>
        <v>15.8</v>
      </c>
      <c r="AI788">
        <f>AVERAGE('WetLitterbags placem_collection'!R129,'WetLitterbags placem_collection'!T129)</f>
        <v>31.55</v>
      </c>
      <c r="AJ788">
        <f>INDEX(Coordinates!$B$2:$B$197,MATCH(G788,Coordinates!$J$2:$J$197,0))</f>
        <v>-2.3491850219999999</v>
      </c>
      <c r="AK788">
        <f>INDEX(Coordinates!$C$2:$C$197,MATCH(G788,Coordinates!$J$2:$J$197,0))</f>
        <v>34.051264959999997</v>
      </c>
      <c r="AL788" t="str">
        <f>IF(ISNUMBER(SEARCH("C", 'WetLitterbags placem_collection'!Y129)),"YES","NO")</f>
        <v>NO</v>
      </c>
      <c r="AM788" t="str">
        <f>IF(ISNUMBER(SEARCH("H", 'WetLitterbags placem_collection'!Y129)),"YES","NO")</f>
        <v>NO</v>
      </c>
      <c r="AN788" t="str">
        <f>IF(ISNUMBER(SEARCH("R", 'WetLitterbags placem_collection'!Y129)),"YES","NO")</f>
        <v>YES</v>
      </c>
    </row>
    <row r="789" spans="1:40" ht="15" customHeight="1">
      <c r="A789" s="258" t="s">
        <v>2460</v>
      </c>
      <c r="B789" s="263">
        <f>'Dry_Litterbag Placem_Collection'!A130</f>
        <v>128</v>
      </c>
      <c r="C789" s="263" t="str">
        <f>'Dry_Litterbag Placem_Collection'!B130</f>
        <v xml:space="preserve">Mwantimba
</v>
      </c>
      <c r="D789" s="263" t="s">
        <v>2460</v>
      </c>
      <c r="E789" s="263" t="s">
        <v>2660</v>
      </c>
      <c r="F789" s="263">
        <v>4</v>
      </c>
      <c r="G789" s="264" t="str">
        <f>'Dry_Litterbag Placem_Collection'!C130</f>
        <v>Wet_Ag4_T8</v>
      </c>
      <c r="H789" s="273" t="s">
        <v>3651</v>
      </c>
      <c r="I789" s="274" t="s">
        <v>298</v>
      </c>
      <c r="J789" s="223" t="str">
        <f>'WetLitterbags placem_collection'!Q130</f>
        <v>R418</v>
      </c>
      <c r="K789" s="225">
        <f>IFERROR(INDEX('Green_rooibos initial weight'!$C$5:$C$1749,MATCH(J789, 'Green_rooibos initial weight'!$A$5:$A$1749,0)),"")</f>
        <v>2.2029999999999998</v>
      </c>
      <c r="L789" s="225">
        <f>IFERROR(K789-(TBIcalc!$H$9+TBIcalc!$H$10),"")</f>
        <v>1.9531999999999998</v>
      </c>
      <c r="M789" s="391">
        <f>AVERAGE(Ashed_controlls!$K$12:$K$14)</f>
        <v>2.2816647271287041</v>
      </c>
      <c r="N789" s="225">
        <f t="shared" si="65"/>
        <v>1.908634524549722</v>
      </c>
      <c r="O789" s="225">
        <f>IF(IFERROR(INDEX('Both teabags AfterWet'!$C$3:$C$841,MATCH(J789,'Both teabags AfterWet'!$A$3:$A$841,0)),"")="","",(IFERROR(INDEX('Both teabags AfterWet'!$C$3:$C$841,MATCH(J789,'Both teabags AfterWet'!$A$3:$A$841,0)),"")))</f>
        <v>1.4119999999999999</v>
      </c>
      <c r="P789" s="225">
        <f>IFERROR(IF(O789&gt;0,O789-(TBIcalc!$H$9),""),"")</f>
        <v>1.2613999999999999</v>
      </c>
      <c r="Q789" s="225">
        <f>IFERROR(INDEX('Ashed teabags wet'!$K$2:$K$821,MATCH(J789,'Ashed teabags wet'!$A$2:$A$821,0)),"")</f>
        <v>4.4282238442810895</v>
      </c>
      <c r="R789" s="225">
        <f t="shared" si="68"/>
        <v>1.2055423844282382</v>
      </c>
      <c r="S789" s="226">
        <f>'WetLitterbags placem_collection'!E130</f>
        <v>42762</v>
      </c>
      <c r="T789" s="226">
        <f>IF('WetLitterbags placem_collection'!G130="","",'WetLitterbags placem_collection'!G130)</f>
        <v>42816</v>
      </c>
      <c r="U789" s="227">
        <f t="shared" si="64"/>
        <v>54</v>
      </c>
      <c r="V789" s="225">
        <f t="shared" si="66"/>
        <v>0.69179999999999997</v>
      </c>
      <c r="W789" s="225">
        <f t="shared" si="67"/>
        <v>0.7030921401214838</v>
      </c>
      <c r="X789">
        <f>IFERROR(INDEX(Rainfall_Wet!$O$2:$O$217,MATCH(B789, Rainfall_Wet!$A$2:$A$217,0)),"")</f>
        <v>206.85140822299999</v>
      </c>
      <c r="Y789" s="231">
        <v>17.96</v>
      </c>
      <c r="Z789" s="231">
        <v>4.9199999999999982</v>
      </c>
      <c r="AA789" s="231">
        <v>77.12</v>
      </c>
      <c r="AB789" s="232" t="s">
        <v>2671</v>
      </c>
      <c r="AC789" s="231">
        <v>9.0220798422868391</v>
      </c>
      <c r="AD789">
        <f>IF('WetLitterbags placem_collection'!AB130="","",'WetLitterbags placem_collection'!AB130)</f>
        <v>10.9</v>
      </c>
      <c r="AE789">
        <f>IF('WetLitterbags placem_collection'!Z130="","",'WetLitterbags placem_collection'!Z130)</f>
        <v>44</v>
      </c>
      <c r="AF789" s="246" t="str">
        <f>IF('WetLitterbags placem_collection'!AA130="","",'WetLitterbags placem_collection'!AA130)</f>
        <v>G</v>
      </c>
      <c r="AG789">
        <f>IF('WetLitterbags placem_collection'!AC130="","",'WetLitterbags placem_collection'!AC130)</f>
        <v>0</v>
      </c>
      <c r="AH789">
        <f>AVERAGE('WetLitterbags placem_collection'!S130,'WetLitterbags placem_collection'!U130)</f>
        <v>8.15</v>
      </c>
      <c r="AI789">
        <f>AVERAGE('WetLitterbags placem_collection'!R130,'WetLitterbags placem_collection'!T130)</f>
        <v>31.650000000000002</v>
      </c>
      <c r="AJ789">
        <f>INDEX(Coordinates!$B$2:$B$197,MATCH(G789,Coordinates!$J$2:$J$197,0))</f>
        <v>-2.3493099960000001</v>
      </c>
      <c r="AK789">
        <f>INDEX(Coordinates!$C$2:$C$197,MATCH(G789,Coordinates!$J$2:$J$197,0))</f>
        <v>34.05141802</v>
      </c>
      <c r="AL789" t="str">
        <f>IF(ISNUMBER(SEARCH("C", 'WetLitterbags placem_collection'!Y130)),"YES","NO")</f>
        <v>NO</v>
      </c>
      <c r="AM789" t="str">
        <f>IF(ISNUMBER(SEARCH("H", 'WetLitterbags placem_collection'!Y130)),"YES","NO")</f>
        <v>NO</v>
      </c>
      <c r="AN789" t="str">
        <f>IF(ISNUMBER(SEARCH("R", 'WetLitterbags placem_collection'!Y130)),"YES","NO")</f>
        <v>YES</v>
      </c>
    </row>
    <row r="790" spans="1:40" ht="15" customHeight="1">
      <c r="A790" s="258" t="s">
        <v>2460</v>
      </c>
      <c r="B790" s="263">
        <f>'Dry_Litterbag Placem_Collection'!A131</f>
        <v>129</v>
      </c>
      <c r="C790" s="263" t="str">
        <f>'Dry_Litterbag Placem_Collection'!B131</f>
        <v xml:space="preserve">Mwantimba
</v>
      </c>
      <c r="D790" s="263" t="s">
        <v>2460</v>
      </c>
      <c r="E790" s="263" t="s">
        <v>20</v>
      </c>
      <c r="F790" s="263">
        <v>1</v>
      </c>
      <c r="G790" s="264" t="str">
        <f>'Dry_Litterbag Placem_Collection'!C131</f>
        <v>Wet_P1_T1</v>
      </c>
      <c r="H790" s="273" t="s">
        <v>3651</v>
      </c>
      <c r="I790" s="274" t="s">
        <v>298</v>
      </c>
      <c r="J790" s="223" t="str">
        <f>'WetLitterbags placem_collection'!Q131</f>
        <v>R520</v>
      </c>
      <c r="K790" s="225">
        <f>IFERROR(INDEX('Green_rooibos initial weight'!$C$5:$C$1749,MATCH(J790, 'Green_rooibos initial weight'!$A$5:$A$1749,0)),"")</f>
        <v>2.2210000000000001</v>
      </c>
      <c r="L790" s="225">
        <f>IFERROR(K790-(TBIcalc!$H$9+TBIcalc!$H$10),"")</f>
        <v>1.9712000000000001</v>
      </c>
      <c r="M790" s="391">
        <f>AVERAGE(Ashed_controlls!$K$12:$K$14)</f>
        <v>2.2816647271287041</v>
      </c>
      <c r="N790" s="225">
        <f t="shared" si="65"/>
        <v>1.926223824898839</v>
      </c>
      <c r="O790" s="225">
        <f>IF(IFERROR(INDEX('Both teabags AfterWet'!$C$3:$C$841,MATCH(J790,'Both teabags AfterWet'!$A$3:$A$841,0)),"")="","",(IFERROR(INDEX('Both teabags AfterWet'!$C$3:$C$841,MATCH(J790,'Both teabags AfterWet'!$A$3:$A$841,0)),"")))</f>
        <v>1.5878000000000001</v>
      </c>
      <c r="P790" s="225">
        <f>IFERROR(IF(O790&gt;0,O790-(TBIcalc!$H$9),""),"")</f>
        <v>1.4372</v>
      </c>
      <c r="Q790" s="225">
        <f>IFERROR(INDEX('Ashed teabags wet'!$K$2:$K$821,MATCH(J790,'Ashed teabags wet'!$A$2:$A$821,0)),"")</f>
        <v>5.5940594059407749</v>
      </c>
      <c r="R790" s="225">
        <f t="shared" si="68"/>
        <v>1.3568021782178192</v>
      </c>
      <c r="S790" s="226">
        <f>'WetLitterbags placem_collection'!E131</f>
        <v>42762</v>
      </c>
      <c r="T790" s="226">
        <f>IF('WetLitterbags placem_collection'!G131="","",'WetLitterbags placem_collection'!G131)</f>
        <v>42816</v>
      </c>
      <c r="U790" s="227">
        <f t="shared" si="64"/>
        <v>54</v>
      </c>
      <c r="V790" s="225">
        <f t="shared" si="66"/>
        <v>0.53400000000000003</v>
      </c>
      <c r="W790" s="225">
        <f t="shared" si="67"/>
        <v>0.5694216466810198</v>
      </c>
      <c r="X790">
        <f>IFERROR(INDEX(Rainfall_Wet!$O$2:$O$217,MATCH(B790, Rainfall_Wet!$A$2:$A$217,0)),"")</f>
        <v>206.85140822299999</v>
      </c>
      <c r="Y790" s="231">
        <v>31.214836424255054</v>
      </c>
      <c r="Z790" s="231">
        <v>11.377370285476141</v>
      </c>
      <c r="AA790" s="231">
        <v>57.407793290268799</v>
      </c>
      <c r="AB790" s="232" t="s">
        <v>2670</v>
      </c>
      <c r="AC790" s="231">
        <v>1.7337604731394776</v>
      </c>
      <c r="AD790">
        <f>IF('WetLitterbags placem_collection'!AB131="","",'WetLitterbags placem_collection'!AB131)</f>
        <v>2.4</v>
      </c>
      <c r="AE790">
        <f>IF('WetLitterbags placem_collection'!Z131="","",'WetLitterbags placem_collection'!Z131)</f>
        <v>2.4</v>
      </c>
      <c r="AF790" s="246" t="str">
        <f>IF('WetLitterbags placem_collection'!AA131="","",'WetLitterbags placem_collection'!AA131)</f>
        <v>O</v>
      </c>
      <c r="AG790">
        <f>IF('WetLitterbags placem_collection'!AC131="","",'WetLitterbags placem_collection'!AC131)</f>
        <v>1</v>
      </c>
      <c r="AH790">
        <f>AVERAGE('WetLitterbags placem_collection'!S131,'WetLitterbags placem_collection'!U131)</f>
        <v>15.05</v>
      </c>
      <c r="AI790">
        <f>AVERAGE('WetLitterbags placem_collection'!R131,'WetLitterbags placem_collection'!T131)</f>
        <v>28</v>
      </c>
      <c r="AJ790">
        <f>INDEX(Coordinates!$B$2:$B$197,MATCH(G790,Coordinates!$J$2:$J$197,0))</f>
        <v>-2.3503360249999998</v>
      </c>
      <c r="AK790">
        <f>INDEX(Coordinates!$C$2:$C$197,MATCH(G790,Coordinates!$J$2:$J$197,0))</f>
        <v>34.049662009999999</v>
      </c>
      <c r="AL790" t="str">
        <f>IF(ISNUMBER(SEARCH("C", 'WetLitterbags placem_collection'!Y131)),"YES","NO")</f>
        <v>NO</v>
      </c>
      <c r="AM790" t="str">
        <f>IF(ISNUMBER(SEARCH("H", 'WetLitterbags placem_collection'!Y131)),"YES","NO")</f>
        <v>NO</v>
      </c>
      <c r="AN790" t="str">
        <f>IF(ISNUMBER(SEARCH("R", 'WetLitterbags placem_collection'!Y131)),"YES","NO")</f>
        <v>NO</v>
      </c>
    </row>
    <row r="791" spans="1:40" ht="15" customHeight="1">
      <c r="A791" s="258" t="s">
        <v>2460</v>
      </c>
      <c r="B791" s="263">
        <f>'Dry_Litterbag Placem_Collection'!A132</f>
        <v>130</v>
      </c>
      <c r="C791" s="263" t="str">
        <f>'Dry_Litterbag Placem_Collection'!B132</f>
        <v xml:space="preserve">Mwantimba
</v>
      </c>
      <c r="D791" s="263" t="s">
        <v>2460</v>
      </c>
      <c r="E791" s="263" t="s">
        <v>20</v>
      </c>
      <c r="F791" s="263">
        <v>1</v>
      </c>
      <c r="G791" s="264" t="str">
        <f>'Dry_Litterbag Placem_Collection'!C132</f>
        <v>Wet_P1_T2</v>
      </c>
      <c r="H791" s="273" t="s">
        <v>3651</v>
      </c>
      <c r="I791" s="274" t="s">
        <v>298</v>
      </c>
      <c r="J791" s="223" t="str">
        <f>'WetLitterbags placem_collection'!Q132</f>
        <v>R433</v>
      </c>
      <c r="K791" s="225">
        <f>IFERROR(INDEX('Green_rooibos initial weight'!$C$5:$C$1749,MATCH(J791, 'Green_rooibos initial weight'!$A$5:$A$1749,0)),"")</f>
        <v>2.0750000000000002</v>
      </c>
      <c r="L791" s="225">
        <f>IFERROR(K791-(TBIcalc!$H$9+TBIcalc!$H$10),"")</f>
        <v>1.8252000000000002</v>
      </c>
      <c r="M791" s="391">
        <f>AVERAGE(Ashed_controlls!$K$12:$K$14)</f>
        <v>2.2816647271287041</v>
      </c>
      <c r="N791" s="225">
        <f t="shared" si="65"/>
        <v>1.7835550554004471</v>
      </c>
      <c r="O791" s="225">
        <f>IF(IFERROR(INDEX('Both teabags AfterWet'!$C$3:$C$841,MATCH(J791,'Both teabags AfterWet'!$A$3:$A$841,0)),"")="","",(IFERROR(INDEX('Both teabags AfterWet'!$C$3:$C$841,MATCH(J791,'Both teabags AfterWet'!$A$3:$A$841,0)),"")))</f>
        <v>1.5069999999999999</v>
      </c>
      <c r="P791" s="225">
        <f>IFERROR(IF(O791&gt;0,O791-(TBIcalc!$H$9),""),"")</f>
        <v>1.3563999999999998</v>
      </c>
      <c r="Q791" s="225">
        <f>IFERROR(INDEX('Ashed teabags wet'!$K$2:$K$821,MATCH(J791,'Ashed teabags wet'!$A$2:$A$821,0)),"")</f>
        <v>5.1420176297748439</v>
      </c>
      <c r="R791" s="225">
        <f t="shared" si="68"/>
        <v>1.2866536728697338</v>
      </c>
      <c r="S791" s="226">
        <f>'WetLitterbags placem_collection'!E132</f>
        <v>42762</v>
      </c>
      <c r="T791" s="226">
        <f>IF('WetLitterbags placem_collection'!G132="","",'WetLitterbags placem_collection'!G132)</f>
        <v>42816</v>
      </c>
      <c r="U791" s="227">
        <f t="shared" ref="U791:U854" si="69">IFERROR(T791-S791,"")</f>
        <v>54</v>
      </c>
      <c r="V791" s="225">
        <f t="shared" si="66"/>
        <v>0.46880000000000033</v>
      </c>
      <c r="W791" s="225">
        <f t="shared" si="67"/>
        <v>0.49690138253071336</v>
      </c>
      <c r="X791">
        <f>IFERROR(INDEX(Rainfall_Wet!$O$2:$O$217,MATCH(B791, Rainfall_Wet!$A$2:$A$217,0)),"")</f>
        <v>206.85140822299999</v>
      </c>
      <c r="Y791" s="231">
        <v>31.214836424255054</v>
      </c>
      <c r="Z791" s="231">
        <v>11.377370285476141</v>
      </c>
      <c r="AA791" s="231">
        <v>57.407793290268799</v>
      </c>
      <c r="AB791" s="232" t="s">
        <v>2670</v>
      </c>
      <c r="AC791" s="231">
        <v>2.7337604731394798</v>
      </c>
      <c r="AD791">
        <f>IF('WetLitterbags placem_collection'!AB132="","",'WetLitterbags placem_collection'!AB132)</f>
        <v>2.1</v>
      </c>
      <c r="AE791">
        <f>IF('WetLitterbags placem_collection'!Z132="","",'WetLitterbags placem_collection'!Z132)</f>
        <v>3.5</v>
      </c>
      <c r="AF791" s="246" t="str">
        <f>IF('WetLitterbags placem_collection'!AA132="","",'WetLitterbags placem_collection'!AA132)</f>
        <v>O</v>
      </c>
      <c r="AG791">
        <f>IF('WetLitterbags placem_collection'!AC132="","",'WetLitterbags placem_collection'!AC132)</f>
        <v>0</v>
      </c>
      <c r="AH791">
        <f>AVERAGE('WetLitterbags placem_collection'!S132,'WetLitterbags placem_collection'!U132)</f>
        <v>16.3</v>
      </c>
      <c r="AI791">
        <f>AVERAGE('WetLitterbags placem_collection'!R132,'WetLitterbags placem_collection'!T132)</f>
        <v>28.5</v>
      </c>
      <c r="AJ791">
        <f>INDEX(Coordinates!$B$2:$B$197,MATCH(G791,Coordinates!$J$2:$J$197,0))</f>
        <v>-2.3503729889999998</v>
      </c>
      <c r="AK791">
        <f>INDEX(Coordinates!$C$2:$C$197,MATCH(G791,Coordinates!$J$2:$J$197,0))</f>
        <v>34.049626969999998</v>
      </c>
      <c r="AL791" t="str">
        <f>IF(ISNUMBER(SEARCH("C", 'WetLitterbags placem_collection'!Y132)),"YES","NO")</f>
        <v>NO</v>
      </c>
      <c r="AM791" t="str">
        <f>IF(ISNUMBER(SEARCH("H", 'WetLitterbags placem_collection'!Y132)),"YES","NO")</f>
        <v>NO</v>
      </c>
      <c r="AN791" t="str">
        <f>IF(ISNUMBER(SEARCH("R", 'WetLitterbags placem_collection'!Y132)),"YES","NO")</f>
        <v>NO</v>
      </c>
    </row>
    <row r="792" spans="1:40" ht="15" customHeight="1">
      <c r="A792" s="258" t="s">
        <v>2460</v>
      </c>
      <c r="B792" s="263">
        <f>'Dry_Litterbag Placem_Collection'!A133</f>
        <v>131</v>
      </c>
      <c r="C792" s="263" t="str">
        <f>'Dry_Litterbag Placem_Collection'!B133</f>
        <v xml:space="preserve">Mwantimba
</v>
      </c>
      <c r="D792" s="263" t="s">
        <v>2460</v>
      </c>
      <c r="E792" s="263" t="s">
        <v>20</v>
      </c>
      <c r="F792" s="263">
        <v>1</v>
      </c>
      <c r="G792" s="264" t="str">
        <f>'Dry_Litterbag Placem_Collection'!C133</f>
        <v>Wet_P1_T3</v>
      </c>
      <c r="H792" s="273" t="s">
        <v>3651</v>
      </c>
      <c r="I792" s="274" t="s">
        <v>298</v>
      </c>
      <c r="J792" s="223" t="str">
        <f>'WetLitterbags placem_collection'!Q133</f>
        <v>R592</v>
      </c>
      <c r="K792" s="225">
        <f>IFERROR(INDEX('Green_rooibos initial weight'!$C$5:$C$1749,MATCH(J792, 'Green_rooibos initial weight'!$A$5:$A$1749,0)),"")</f>
        <v>2.2549999999999999</v>
      </c>
      <c r="L792" s="225">
        <f>IFERROR(K792-(TBIcalc!$H$9+TBIcalc!$H$10),"")</f>
        <v>2.0051999999999999</v>
      </c>
      <c r="M792" s="391">
        <f>AVERAGE(Ashed_controlls!$K$12:$K$14)</f>
        <v>2.2816647271287041</v>
      </c>
      <c r="N792" s="225">
        <f t="shared" si="65"/>
        <v>1.959448058891615</v>
      </c>
      <c r="O792" s="225">
        <f>IF(IFERROR(INDEX('Both teabags AfterWet'!$C$3:$C$841,MATCH(J792,'Both teabags AfterWet'!$A$3:$A$841,0)),"")="","",(IFERROR(INDEX('Both teabags AfterWet'!$C$3:$C$841,MATCH(J792,'Both teabags AfterWet'!$A$3:$A$841,0)),"")))</f>
        <v>1.6073999999999999</v>
      </c>
      <c r="P792" s="225">
        <f>IFERROR(IF(O792&gt;0,O792-(TBIcalc!$H$9),""),"")</f>
        <v>1.4567999999999999</v>
      </c>
      <c r="Q792" s="225">
        <f>IFERROR(INDEX('Ashed teabags wet'!$K$2:$K$821,MATCH(J792,'Ashed teabags wet'!$A$2:$A$821,0)),"")</f>
        <v>3.7601142313182434</v>
      </c>
      <c r="R792" s="225">
        <f t="shared" si="68"/>
        <v>1.4020226558781557</v>
      </c>
      <c r="S792" s="226">
        <f>'WetLitterbags placem_collection'!E133</f>
        <v>42762</v>
      </c>
      <c r="T792" s="226">
        <f>IF('WetLitterbags placem_collection'!G133="","",'WetLitterbags placem_collection'!G133)</f>
        <v>42816</v>
      </c>
      <c r="U792" s="227">
        <f t="shared" si="69"/>
        <v>54</v>
      </c>
      <c r="V792" s="225">
        <f t="shared" si="66"/>
        <v>0.5484</v>
      </c>
      <c r="W792" s="225">
        <f t="shared" si="67"/>
        <v>0.55742540301345933</v>
      </c>
      <c r="X792">
        <f>IFERROR(INDEX(Rainfall_Wet!$O$2:$O$217,MATCH(B792, Rainfall_Wet!$A$2:$A$217,0)),"")</f>
        <v>206.85140822299999</v>
      </c>
      <c r="Y792" s="231">
        <v>31.214836424255054</v>
      </c>
      <c r="Z792" s="231">
        <v>11.377370285476141</v>
      </c>
      <c r="AA792" s="231">
        <v>57.407793290268799</v>
      </c>
      <c r="AB792" s="232" t="s">
        <v>2670</v>
      </c>
      <c r="AC792" s="231">
        <v>3.7337604731394798</v>
      </c>
      <c r="AD792">
        <f>IF('WetLitterbags placem_collection'!AB133="","",'WetLitterbags placem_collection'!AB133)</f>
        <v>4.5</v>
      </c>
      <c r="AE792">
        <f>IF('WetLitterbags placem_collection'!Z133="","",'WetLitterbags placem_collection'!Z133)</f>
        <v>7.5</v>
      </c>
      <c r="AF792" s="246" t="str">
        <f>IF('WetLitterbags placem_collection'!AA133="","",'WetLitterbags placem_collection'!AA133)</f>
        <v>O</v>
      </c>
      <c r="AG792">
        <f>IF('WetLitterbags placem_collection'!AC133="","",'WetLitterbags placem_collection'!AC133)</f>
        <v>0</v>
      </c>
      <c r="AH792">
        <f>AVERAGE('WetLitterbags placem_collection'!S133,'WetLitterbags placem_collection'!U133)</f>
        <v>9.3000000000000007</v>
      </c>
      <c r="AI792">
        <f>AVERAGE('WetLitterbags placem_collection'!R133,'WetLitterbags placem_collection'!T133)</f>
        <v>28.950000000000003</v>
      </c>
      <c r="AJ792">
        <f>INDEX(Coordinates!$B$2:$B$197,MATCH(G792,Coordinates!$J$2:$J$197,0))</f>
        <v>-2.3503259660000002</v>
      </c>
      <c r="AK792">
        <f>INDEX(Coordinates!$C$2:$C$197,MATCH(G792,Coordinates!$J$2:$J$197,0))</f>
        <v>34.049616999999998</v>
      </c>
      <c r="AL792" t="str">
        <f>IF(ISNUMBER(SEARCH("C", 'WetLitterbags placem_collection'!Y133)),"YES","NO")</f>
        <v>NO</v>
      </c>
      <c r="AM792" t="str">
        <f>IF(ISNUMBER(SEARCH("H", 'WetLitterbags placem_collection'!Y133)),"YES","NO")</f>
        <v>NO</v>
      </c>
      <c r="AN792" t="str">
        <f>IF(ISNUMBER(SEARCH("R", 'WetLitterbags placem_collection'!Y133)),"YES","NO")</f>
        <v>NO</v>
      </c>
    </row>
    <row r="793" spans="1:40" ht="15" customHeight="1">
      <c r="A793" s="258" t="s">
        <v>2460</v>
      </c>
      <c r="B793" s="263">
        <f>'Dry_Litterbag Placem_Collection'!A134</f>
        <v>132</v>
      </c>
      <c r="C793" s="263" t="str">
        <f>'Dry_Litterbag Placem_Collection'!B134</f>
        <v xml:space="preserve">Mwantimba
</v>
      </c>
      <c r="D793" s="263" t="s">
        <v>2460</v>
      </c>
      <c r="E793" s="263" t="s">
        <v>20</v>
      </c>
      <c r="F793" s="263">
        <v>1</v>
      </c>
      <c r="G793" s="264" t="str">
        <f>'Dry_Litterbag Placem_Collection'!C134</f>
        <v>Wet_P1_T4</v>
      </c>
      <c r="H793" s="273" t="s">
        <v>3651</v>
      </c>
      <c r="I793" s="274" t="s">
        <v>298</v>
      </c>
      <c r="J793" s="223" t="str">
        <f>'WetLitterbags placem_collection'!Q134</f>
        <v>R477</v>
      </c>
      <c r="K793" s="225">
        <f>IFERROR(INDEX('Green_rooibos initial weight'!$C$5:$C$1749,MATCH(J793, 'Green_rooibos initial weight'!$A$5:$A$1749,0)),"")</f>
        <v>2.169</v>
      </c>
      <c r="L793" s="225">
        <f>IFERROR(K793-(TBIcalc!$H$9+TBIcalc!$H$10),"")</f>
        <v>1.9192</v>
      </c>
      <c r="M793" s="391">
        <f>AVERAGE(Ashed_controlls!$K$12:$K$14)</f>
        <v>2.2816647271287041</v>
      </c>
      <c r="N793" s="225">
        <f t="shared" si="65"/>
        <v>1.8754102905569459</v>
      </c>
      <c r="O793" s="225">
        <f>IF(IFERROR(INDEX('Both teabags AfterWet'!$C$3:$C$841,MATCH(J793,'Both teabags AfterWet'!$A$3:$A$841,0)),"")="","",(IFERROR(INDEX('Both teabags AfterWet'!$C$3:$C$841,MATCH(J793,'Both teabags AfterWet'!$A$3:$A$841,0)),"")))</f>
        <v>1.573</v>
      </c>
      <c r="P793" s="225">
        <f>IFERROR(IF(O793&gt;0,O793-(TBIcalc!$H$9),""),"")</f>
        <v>1.4223999999999999</v>
      </c>
      <c r="Q793" s="225">
        <f>IFERROR(INDEX('Ashed teabags wet'!$K$2:$K$821,MATCH(J793,'Ashed teabags wet'!$A$2:$A$821,0)),"")</f>
        <v>4.5098039215686896</v>
      </c>
      <c r="R793" s="225">
        <f t="shared" si="68"/>
        <v>1.3582525490196069</v>
      </c>
      <c r="S793" s="226">
        <f>'WetLitterbags placem_collection'!E134</f>
        <v>42762</v>
      </c>
      <c r="T793" s="226">
        <f>IF('WetLitterbags placem_collection'!G134="","",'WetLitterbags placem_collection'!G134)</f>
        <v>42816</v>
      </c>
      <c r="U793" s="227">
        <f t="shared" si="69"/>
        <v>54</v>
      </c>
      <c r="V793" s="225">
        <f t="shared" si="66"/>
        <v>0.49680000000000013</v>
      </c>
      <c r="W793" s="225">
        <f t="shared" si="67"/>
        <v>0.51715774153733896</v>
      </c>
      <c r="X793">
        <f>IFERROR(INDEX(Rainfall_Wet!$O$2:$O$217,MATCH(B793, Rainfall_Wet!$A$2:$A$217,0)),"")</f>
        <v>206.85140822299999</v>
      </c>
      <c r="Y793" s="231">
        <v>31.214836424255054</v>
      </c>
      <c r="Z793" s="231">
        <v>11.377370285476141</v>
      </c>
      <c r="AA793" s="231">
        <v>57.407793290268799</v>
      </c>
      <c r="AB793" s="232" t="s">
        <v>2670</v>
      </c>
      <c r="AC793" s="231">
        <v>4.7337604731394798</v>
      </c>
      <c r="AD793">
        <f>IF('WetLitterbags placem_collection'!AB134="","",'WetLitterbags placem_collection'!AB134)</f>
        <v>0.7</v>
      </c>
      <c r="AE793">
        <f>IF('WetLitterbags placem_collection'!Z134="","",'WetLitterbags placem_collection'!Z134)</f>
        <v>9.8000000000000007</v>
      </c>
      <c r="AF793" s="246" t="str">
        <f>IF('WetLitterbags placem_collection'!AA134="","",'WetLitterbags placem_collection'!AA134)</f>
        <v>G</v>
      </c>
      <c r="AG793">
        <f>IF('WetLitterbags placem_collection'!AC134="","",'WetLitterbags placem_collection'!AC134)</f>
        <v>1</v>
      </c>
      <c r="AH793">
        <f>AVERAGE('WetLitterbags placem_collection'!S134,'WetLitterbags placem_collection'!U134)</f>
        <v>18.55</v>
      </c>
      <c r="AI793">
        <f>AVERAGE('WetLitterbags placem_collection'!R134,'WetLitterbags placem_collection'!T134)</f>
        <v>28.95</v>
      </c>
      <c r="AJ793">
        <f>INDEX(Coordinates!$B$2:$B$197,MATCH(G793,Coordinates!$J$2:$J$197,0))</f>
        <v>-2.3504800260000001</v>
      </c>
      <c r="AK793">
        <f>INDEX(Coordinates!$C$2:$C$197,MATCH(G793,Coordinates!$J$2:$J$197,0))</f>
        <v>34.049551030000003</v>
      </c>
      <c r="AL793" t="str">
        <f>IF(ISNUMBER(SEARCH("C", 'WetLitterbags placem_collection'!Y134)),"YES","NO")</f>
        <v>NO</v>
      </c>
      <c r="AM793" t="str">
        <f>IF(ISNUMBER(SEARCH("H", 'WetLitterbags placem_collection'!Y134)),"YES","NO")</f>
        <v>NO</v>
      </c>
      <c r="AN793" t="str">
        <f>IF(ISNUMBER(SEARCH("R", 'WetLitterbags placem_collection'!Y134)),"YES","NO")</f>
        <v>NO</v>
      </c>
    </row>
    <row r="794" spans="1:40" ht="15" customHeight="1">
      <c r="A794" s="258" t="s">
        <v>2460</v>
      </c>
      <c r="B794" s="263">
        <f>'Dry_Litterbag Placem_Collection'!A135</f>
        <v>133</v>
      </c>
      <c r="C794" s="263" t="str">
        <f>'Dry_Litterbag Placem_Collection'!B135</f>
        <v xml:space="preserve">Mwantimba
</v>
      </c>
      <c r="D794" s="263" t="s">
        <v>2460</v>
      </c>
      <c r="E794" s="263" t="s">
        <v>20</v>
      </c>
      <c r="F794" s="263">
        <v>1</v>
      </c>
      <c r="G794" s="264" t="str">
        <f>'Dry_Litterbag Placem_Collection'!C135</f>
        <v>Wet_P1_T5</v>
      </c>
      <c r="H794" s="273" t="s">
        <v>3651</v>
      </c>
      <c r="I794" s="274" t="s">
        <v>298</v>
      </c>
      <c r="J794" s="223" t="str">
        <f>'WetLitterbags placem_collection'!Q135</f>
        <v>R597</v>
      </c>
      <c r="K794" s="225">
        <f>IFERROR(INDEX('Green_rooibos initial weight'!$C$5:$C$1749,MATCH(J794, 'Green_rooibos initial weight'!$A$5:$A$1749,0)),"")</f>
        <v>2.165</v>
      </c>
      <c r="L794" s="225">
        <f>IFERROR(K794-(TBIcalc!$H$9+TBIcalc!$H$10),"")</f>
        <v>1.9152</v>
      </c>
      <c r="M794" s="391">
        <f>AVERAGE(Ashed_controlls!$K$12:$K$14)</f>
        <v>2.2816647271287041</v>
      </c>
      <c r="N794" s="225">
        <f t="shared" si="65"/>
        <v>1.8715015571460312</v>
      </c>
      <c r="O794" s="225">
        <f>IF(IFERROR(INDEX('Both teabags AfterWet'!$C$3:$C$841,MATCH(J794,'Both teabags AfterWet'!$A$3:$A$841,0)),"")="","",(IFERROR(INDEX('Both teabags AfterWet'!$C$3:$C$841,MATCH(J794,'Both teabags AfterWet'!$A$3:$A$841,0)),"")))</f>
        <v>1.5714999999999999</v>
      </c>
      <c r="P794" s="225">
        <f>IFERROR(IF(O794&gt;0,O794-(TBIcalc!$H$9),""),"")</f>
        <v>1.4208999999999998</v>
      </c>
      <c r="Q794" s="225">
        <f>IFERROR(INDEX('Ashed teabags wet'!$K$2:$K$821,MATCH(J794,'Ashed teabags wet'!$A$2:$A$821,0)),"")</f>
        <v>7.7152812344452117</v>
      </c>
      <c r="R794" s="225">
        <f t="shared" si="68"/>
        <v>1.3112735689397679</v>
      </c>
      <c r="S794" s="226">
        <f>'WetLitterbags placem_collection'!E135</f>
        <v>42762</v>
      </c>
      <c r="T794" s="226">
        <f>IF('WetLitterbags placem_collection'!G135="","",'WetLitterbags placem_collection'!G135)</f>
        <v>42816</v>
      </c>
      <c r="U794" s="227">
        <f t="shared" si="69"/>
        <v>54</v>
      </c>
      <c r="V794" s="225">
        <f t="shared" si="66"/>
        <v>0.49430000000000018</v>
      </c>
      <c r="W794" s="225">
        <f t="shared" si="67"/>
        <v>0.56022798820626329</v>
      </c>
      <c r="X794">
        <f>IFERROR(INDEX(Rainfall_Wet!$O$2:$O$217,MATCH(B794, Rainfall_Wet!$A$2:$A$217,0)),"")</f>
        <v>206.85140822299999</v>
      </c>
      <c r="Y794" s="231">
        <v>31.214836424255054</v>
      </c>
      <c r="Z794" s="231">
        <v>11.377370285476141</v>
      </c>
      <c r="AA794" s="231">
        <v>57.407793290268799</v>
      </c>
      <c r="AB794" s="232" t="s">
        <v>2670</v>
      </c>
      <c r="AC794" s="231">
        <v>5.7337604731394798</v>
      </c>
      <c r="AD794">
        <f>IF('WetLitterbags placem_collection'!AB135="","",'WetLitterbags placem_collection'!AB135)</f>
        <v>2.2000000000000002</v>
      </c>
      <c r="AE794">
        <f>IF('WetLitterbags placem_collection'!Z135="","",'WetLitterbags placem_collection'!Z135)</f>
        <v>10</v>
      </c>
      <c r="AF794" s="246" t="str">
        <f>IF('WetLitterbags placem_collection'!AA135="","",'WetLitterbags placem_collection'!AA135)</f>
        <v>O</v>
      </c>
      <c r="AG794">
        <f>IF('WetLitterbags placem_collection'!AC135="","",'WetLitterbags placem_collection'!AC135)</f>
        <v>1</v>
      </c>
      <c r="AH794">
        <f>AVERAGE('WetLitterbags placem_collection'!S135,'WetLitterbags placem_collection'!U135)</f>
        <v>13.399999999999999</v>
      </c>
      <c r="AI794">
        <f>AVERAGE('WetLitterbags placem_collection'!R135,'WetLitterbags placem_collection'!T135)</f>
        <v>31.349999999999998</v>
      </c>
      <c r="AJ794">
        <f>INDEX(Coordinates!$B$2:$B$197,MATCH(G794,Coordinates!$J$2:$J$197,0))</f>
        <v>-2.350474996</v>
      </c>
      <c r="AK794">
        <f>INDEX(Coordinates!$C$2:$C$197,MATCH(G794,Coordinates!$J$2:$J$197,0))</f>
        <v>34.049801979999998</v>
      </c>
      <c r="AL794" t="str">
        <f>IF(ISNUMBER(SEARCH("C", 'WetLitterbags placem_collection'!Y135)),"YES","NO")</f>
        <v>NO</v>
      </c>
      <c r="AM794" t="str">
        <f>IF(ISNUMBER(SEARCH("H", 'WetLitterbags placem_collection'!Y135)),"YES","NO")</f>
        <v>NO</v>
      </c>
      <c r="AN794" t="str">
        <f>IF(ISNUMBER(SEARCH("R", 'WetLitterbags placem_collection'!Y135)),"YES","NO")</f>
        <v>NO</v>
      </c>
    </row>
    <row r="795" spans="1:40" ht="15" customHeight="1">
      <c r="A795" s="258" t="s">
        <v>2460</v>
      </c>
      <c r="B795" s="263">
        <f>'Dry_Litterbag Placem_Collection'!A136</f>
        <v>134</v>
      </c>
      <c r="C795" s="263" t="str">
        <f>'Dry_Litterbag Placem_Collection'!B136</f>
        <v xml:space="preserve">Mwantimba
</v>
      </c>
      <c r="D795" s="263" t="s">
        <v>2460</v>
      </c>
      <c r="E795" s="263" t="s">
        <v>20</v>
      </c>
      <c r="F795" s="263">
        <v>1</v>
      </c>
      <c r="G795" s="264" t="str">
        <f>'Dry_Litterbag Placem_Collection'!C136</f>
        <v>Wet_P1_T6</v>
      </c>
      <c r="H795" s="273" t="s">
        <v>3651</v>
      </c>
      <c r="I795" s="274" t="s">
        <v>298</v>
      </c>
      <c r="J795" s="223" t="str">
        <f>'WetLitterbags placem_collection'!Q136</f>
        <v>R467</v>
      </c>
      <c r="K795" s="225">
        <f>IFERROR(INDEX('Green_rooibos initial weight'!$C$5:$C$1749,MATCH(J795, 'Green_rooibos initial weight'!$A$5:$A$1749,0)),"")</f>
        <v>2.3140000000000001</v>
      </c>
      <c r="L795" s="225">
        <f>IFERROR(K795-(TBIcalc!$H$9+TBIcalc!$H$10),"")</f>
        <v>2.0642</v>
      </c>
      <c r="M795" s="391">
        <f>AVERAGE(Ashed_controlls!$K$12:$K$14)</f>
        <v>2.2816647271287041</v>
      </c>
      <c r="N795" s="225">
        <f t="shared" si="65"/>
        <v>2.0171018767026094</v>
      </c>
      <c r="O795" s="225">
        <f>IF(IFERROR(INDEX('Both teabags AfterWet'!$C$3:$C$841,MATCH(J795,'Both teabags AfterWet'!$A$3:$A$841,0)),"")="","",(IFERROR(INDEX('Both teabags AfterWet'!$C$3:$C$841,MATCH(J795,'Both teabags AfterWet'!$A$3:$A$841,0)),"")))</f>
        <v>1.591</v>
      </c>
      <c r="P795" s="225">
        <f>IFERROR(IF(O795&gt;0,O795-(TBIcalc!$H$9),""),"")</f>
        <v>1.4403999999999999</v>
      </c>
      <c r="Q795" s="225">
        <f>IFERROR(INDEX('Ashed teabags wet'!$K$2:$K$821,MATCH(J795,'Ashed teabags wet'!$A$2:$A$821,0)),"")</f>
        <v>3.4619188921860404</v>
      </c>
      <c r="R795" s="225">
        <f t="shared" si="68"/>
        <v>1.3905345202769521</v>
      </c>
      <c r="S795" s="226">
        <f>'WetLitterbags placem_collection'!E136</f>
        <v>42762</v>
      </c>
      <c r="T795" s="226">
        <f>IF('WetLitterbags placem_collection'!G136="","",'WetLitterbags placem_collection'!G136)</f>
        <v>42816</v>
      </c>
      <c r="U795" s="227">
        <f t="shared" si="69"/>
        <v>54</v>
      </c>
      <c r="V795" s="225">
        <f t="shared" si="66"/>
        <v>0.62380000000000013</v>
      </c>
      <c r="W795" s="225">
        <f t="shared" si="67"/>
        <v>0.62656735642565731</v>
      </c>
      <c r="X795">
        <f>IFERROR(INDEX(Rainfall_Wet!$O$2:$O$217,MATCH(B795, Rainfall_Wet!$A$2:$A$217,0)),"")</f>
        <v>206.85140822299999</v>
      </c>
      <c r="Y795" s="231">
        <v>31.214836424255054</v>
      </c>
      <c r="Z795" s="231">
        <v>11.377370285476141</v>
      </c>
      <c r="AA795" s="231">
        <v>57.407793290268799</v>
      </c>
      <c r="AB795" s="232" t="s">
        <v>2670</v>
      </c>
      <c r="AC795" s="231">
        <v>6.7337604731394798</v>
      </c>
      <c r="AD795">
        <f>IF('WetLitterbags placem_collection'!AB136="","",'WetLitterbags placem_collection'!AB136)</f>
        <v>1.1000000000000001</v>
      </c>
      <c r="AE795">
        <f>IF('WetLitterbags placem_collection'!Z136="","",'WetLitterbags placem_collection'!Z136)</f>
        <v>15.4</v>
      </c>
      <c r="AF795" s="246" t="str">
        <f>IF('WetLitterbags placem_collection'!AA136="","",'WetLitterbags placem_collection'!AA136)</f>
        <v>O</v>
      </c>
      <c r="AG795">
        <f>IF('WetLitterbags placem_collection'!AC136="","",'WetLitterbags placem_collection'!AC136)</f>
        <v>1</v>
      </c>
      <c r="AH795">
        <f>AVERAGE('WetLitterbags placem_collection'!S136,'WetLitterbags placem_collection'!U136)</f>
        <v>12.7</v>
      </c>
      <c r="AI795">
        <f>AVERAGE('WetLitterbags placem_collection'!R136,'WetLitterbags placem_collection'!T136)</f>
        <v>30.15</v>
      </c>
      <c r="AJ795">
        <f>INDEX(Coordinates!$B$2:$B$197,MATCH(G795,Coordinates!$J$2:$J$197,0))</f>
        <v>-2.3503559730000001</v>
      </c>
      <c r="AK795">
        <f>INDEX(Coordinates!$C$2:$C$197,MATCH(G795,Coordinates!$J$2:$J$197,0))</f>
        <v>34.049800980000001</v>
      </c>
      <c r="AL795" t="str">
        <f>IF(ISNUMBER(SEARCH("C", 'WetLitterbags placem_collection'!Y136)),"YES","NO")</f>
        <v>NO</v>
      </c>
      <c r="AM795" t="str">
        <f>IF(ISNUMBER(SEARCH("H", 'WetLitterbags placem_collection'!Y136)),"YES","NO")</f>
        <v>NO</v>
      </c>
      <c r="AN795" t="str">
        <f>IF(ISNUMBER(SEARCH("R", 'WetLitterbags placem_collection'!Y136)),"YES","NO")</f>
        <v>NO</v>
      </c>
    </row>
    <row r="796" spans="1:40" ht="15" customHeight="1">
      <c r="A796" s="258" t="s">
        <v>2460</v>
      </c>
      <c r="B796" s="263">
        <f>'Dry_Litterbag Placem_Collection'!A137</f>
        <v>135</v>
      </c>
      <c r="C796" s="263" t="str">
        <f>'Dry_Litterbag Placem_Collection'!B137</f>
        <v xml:space="preserve">Mwantimba
</v>
      </c>
      <c r="D796" s="263" t="s">
        <v>2460</v>
      </c>
      <c r="E796" s="263" t="s">
        <v>20</v>
      </c>
      <c r="F796" s="263">
        <v>1</v>
      </c>
      <c r="G796" s="264" t="str">
        <f>'Dry_Litterbag Placem_Collection'!C137</f>
        <v>Wet_P1_T7</v>
      </c>
      <c r="H796" s="273" t="s">
        <v>3651</v>
      </c>
      <c r="I796" s="274" t="s">
        <v>298</v>
      </c>
      <c r="J796" s="223" t="str">
        <f>'WetLitterbags placem_collection'!Q137</f>
        <v>R596</v>
      </c>
      <c r="K796" s="225">
        <f>IFERROR(INDEX('Green_rooibos initial weight'!$C$5:$C$1749,MATCH(J796, 'Green_rooibos initial weight'!$A$5:$A$1749,0)),"")</f>
        <v>2.1749999999999998</v>
      </c>
      <c r="L796" s="225">
        <f>IFERROR(K796-(TBIcalc!$H$9+TBIcalc!$H$10),"")</f>
        <v>1.9251999999999998</v>
      </c>
      <c r="M796" s="391">
        <f>AVERAGE(Ashed_controlls!$K$12:$K$14)</f>
        <v>2.2816647271287041</v>
      </c>
      <c r="N796" s="225">
        <f t="shared" si="65"/>
        <v>1.8812733906733179</v>
      </c>
      <c r="O796" s="225">
        <f>IF(IFERROR(INDEX('Both teabags AfterWet'!$C$3:$C$841,MATCH(J796,'Both teabags AfterWet'!$A$3:$A$841,0)),"")="","",(IFERROR(INDEX('Both teabags AfterWet'!$C$3:$C$841,MATCH(J796,'Both teabags AfterWet'!$A$3:$A$841,0)),"")))</f>
        <v>1.512</v>
      </c>
      <c r="P796" s="225">
        <f>IFERROR(IF(O796&gt;0,O796-(TBIcalc!$H$9),""),"")</f>
        <v>1.3613999999999999</v>
      </c>
      <c r="Q796" s="225">
        <f>IFERROR(INDEX('Ashed teabags wet'!$K$2:$K$821,MATCH(J796,'Ashed teabags wet'!$A$2:$A$821,0)),"")</f>
        <v>6.95609274790369</v>
      </c>
      <c r="R796" s="225">
        <f t="shared" si="68"/>
        <v>1.266699753330039</v>
      </c>
      <c r="S796" s="226">
        <f>'WetLitterbags placem_collection'!E137</f>
        <v>42762</v>
      </c>
      <c r="T796" s="226">
        <f>IF('WetLitterbags placem_collection'!G137="","",'WetLitterbags placem_collection'!G137)</f>
        <v>42816</v>
      </c>
      <c r="U796" s="227">
        <f t="shared" si="69"/>
        <v>54</v>
      </c>
      <c r="V796" s="225">
        <f t="shared" si="66"/>
        <v>0.56379999999999986</v>
      </c>
      <c r="W796" s="225">
        <f t="shared" si="67"/>
        <v>0.61457363734327886</v>
      </c>
      <c r="X796">
        <f>IFERROR(INDEX(Rainfall_Wet!$O$2:$O$217,MATCH(B796, Rainfall_Wet!$A$2:$A$217,0)),"")</f>
        <v>206.85140822299999</v>
      </c>
      <c r="Y796" s="231">
        <v>31.214836424255054</v>
      </c>
      <c r="Z796" s="231">
        <v>11.377370285476141</v>
      </c>
      <c r="AA796" s="231">
        <v>57.407793290268799</v>
      </c>
      <c r="AB796" s="232" t="s">
        <v>2670</v>
      </c>
      <c r="AC796" s="231">
        <v>7.7337604731394798</v>
      </c>
      <c r="AD796">
        <f>IF('WetLitterbags placem_collection'!AB137="","",'WetLitterbags placem_collection'!AB137)</f>
        <v>2.1</v>
      </c>
      <c r="AE796">
        <f>IF('WetLitterbags placem_collection'!Z137="","",'WetLitterbags placem_collection'!Z137)</f>
        <v>5.6</v>
      </c>
      <c r="AF796" s="246" t="str">
        <f>IF('WetLitterbags placem_collection'!AA137="","",'WetLitterbags placem_collection'!AA137)</f>
        <v>O</v>
      </c>
      <c r="AG796">
        <f>IF('WetLitterbags placem_collection'!AC137="","",'WetLitterbags placem_collection'!AC137)</f>
        <v>1</v>
      </c>
      <c r="AH796">
        <f>AVERAGE('WetLitterbags placem_collection'!S137,'WetLitterbags placem_collection'!U137)</f>
        <v>14.5</v>
      </c>
      <c r="AI796">
        <f>AVERAGE('WetLitterbags placem_collection'!R137,'WetLitterbags placem_collection'!T137)</f>
        <v>29.65</v>
      </c>
      <c r="AJ796">
        <f>INDEX(Coordinates!$B$2:$B$197,MATCH(G796,Coordinates!$J$2:$J$197,0))</f>
        <v>-2.3503589909999998</v>
      </c>
      <c r="AK796">
        <f>INDEX(Coordinates!$C$2:$C$197,MATCH(G796,Coordinates!$J$2:$J$197,0))</f>
        <v>34.049719000000003</v>
      </c>
      <c r="AL796" t="str">
        <f>IF(ISNUMBER(SEARCH("C", 'WetLitterbags placem_collection'!Y137)),"YES","NO")</f>
        <v>NO</v>
      </c>
      <c r="AM796" t="str">
        <f>IF(ISNUMBER(SEARCH("H", 'WetLitterbags placem_collection'!Y137)),"YES","NO")</f>
        <v>NO</v>
      </c>
      <c r="AN796" t="str">
        <f>IF(ISNUMBER(SEARCH("R", 'WetLitterbags placem_collection'!Y137)),"YES","NO")</f>
        <v>NO</v>
      </c>
    </row>
    <row r="797" spans="1:40" ht="15" customHeight="1">
      <c r="A797" s="258" t="s">
        <v>2460</v>
      </c>
      <c r="B797" s="263">
        <f>'Dry_Litterbag Placem_Collection'!A138</f>
        <v>136</v>
      </c>
      <c r="C797" s="263" t="str">
        <f>'Dry_Litterbag Placem_Collection'!B138</f>
        <v xml:space="preserve">Mwantimba
</v>
      </c>
      <c r="D797" s="263" t="s">
        <v>2460</v>
      </c>
      <c r="E797" s="263" t="s">
        <v>20</v>
      </c>
      <c r="F797" s="263">
        <v>1</v>
      </c>
      <c r="G797" s="264" t="str">
        <f>'Dry_Litterbag Placem_Collection'!C138</f>
        <v>Wet_P1_T8</v>
      </c>
      <c r="H797" s="273" t="s">
        <v>3651</v>
      </c>
      <c r="I797" s="274" t="s">
        <v>298</v>
      </c>
      <c r="J797" s="223" t="str">
        <f>'WetLitterbags placem_collection'!Q138</f>
        <v>R543</v>
      </c>
      <c r="K797" s="225">
        <f>IFERROR(INDEX('Green_rooibos initial weight'!$C$5:$C$1749,MATCH(J797, 'Green_rooibos initial weight'!$A$5:$A$1749,0)),"")</f>
        <v>2.2730000000000001</v>
      </c>
      <c r="L797" s="225">
        <f>IFERROR(K797-(TBIcalc!$H$9+TBIcalc!$H$10),"")</f>
        <v>2.0232000000000001</v>
      </c>
      <c r="M797" s="391">
        <f>AVERAGE(Ashed_controlls!$K$12:$K$14)</f>
        <v>2.2816647271287041</v>
      </c>
      <c r="N797" s="225">
        <f t="shared" si="65"/>
        <v>1.9770373592407322</v>
      </c>
      <c r="O797" s="225">
        <f>IF(IFERROR(INDEX('Both teabags AfterWet'!$C$3:$C$841,MATCH(J797,'Both teabags AfterWet'!$A$3:$A$841,0)),"")="","",(IFERROR(INDEX('Both teabags AfterWet'!$C$3:$C$841,MATCH(J797,'Both teabags AfterWet'!$A$3:$A$841,0)),"")))</f>
        <v>1.5604</v>
      </c>
      <c r="P797" s="225">
        <f>IFERROR(IF(O797&gt;0,O797-(TBIcalc!$H$9),""),"")</f>
        <v>1.4097999999999999</v>
      </c>
      <c r="Q797" s="225">
        <f>IFERROR(INDEX('Ashed teabags wet'!$K$2:$K$821,MATCH(J797,'Ashed teabags wet'!$A$2:$A$821,0)),"")</f>
        <v>6.5917968749991243</v>
      </c>
      <c r="R797" s="225">
        <f t="shared" si="68"/>
        <v>1.3168688476562622</v>
      </c>
      <c r="S797" s="226">
        <f>'WetLitterbags placem_collection'!E138</f>
        <v>42762</v>
      </c>
      <c r="T797" s="226">
        <f>IF('WetLitterbags placem_collection'!G138="","",'WetLitterbags placem_collection'!G138)</f>
        <v>42816</v>
      </c>
      <c r="U797" s="227">
        <f t="shared" si="69"/>
        <v>54</v>
      </c>
      <c r="V797" s="225">
        <f t="shared" si="66"/>
        <v>0.61340000000000017</v>
      </c>
      <c r="W797" s="225">
        <f t="shared" si="67"/>
        <v>0.66016851158446999</v>
      </c>
      <c r="X797">
        <f>IFERROR(INDEX(Rainfall_Wet!$O$2:$O$217,MATCH(B797, Rainfall_Wet!$A$2:$A$217,0)),"")</f>
        <v>206.85140822299999</v>
      </c>
      <c r="Y797" s="231">
        <v>31.214836424255054</v>
      </c>
      <c r="Z797" s="231">
        <v>11.377370285476141</v>
      </c>
      <c r="AA797" s="231">
        <v>57.407793290268799</v>
      </c>
      <c r="AB797" s="232" t="s">
        <v>2670</v>
      </c>
      <c r="AC797" s="231">
        <v>8.7337604731394798</v>
      </c>
      <c r="AD797">
        <f>IF('WetLitterbags placem_collection'!AB138="","",'WetLitterbags placem_collection'!AB138)</f>
        <v>2.2999999999999998</v>
      </c>
      <c r="AE797">
        <f>IF('WetLitterbags placem_collection'!Z138="","",'WetLitterbags placem_collection'!Z138)</f>
        <v>16.3</v>
      </c>
      <c r="AF797" s="246" t="str">
        <f>IF('WetLitterbags placem_collection'!AA138="","",'WetLitterbags placem_collection'!AA138)</f>
        <v>G</v>
      </c>
      <c r="AG797">
        <f>IF('WetLitterbags placem_collection'!AC138="","",'WetLitterbags placem_collection'!AC138)</f>
        <v>1</v>
      </c>
      <c r="AH797">
        <f>AVERAGE('WetLitterbags placem_collection'!S138,'WetLitterbags placem_collection'!U138)</f>
        <v>14.65</v>
      </c>
      <c r="AI797">
        <f>AVERAGE('WetLitterbags placem_collection'!R138,'WetLitterbags placem_collection'!T138)</f>
        <v>30.6</v>
      </c>
      <c r="AJ797">
        <f>INDEX(Coordinates!$B$2:$B$197,MATCH(G797,Coordinates!$J$2:$J$197,0))</f>
        <v>-2.3502159960000002</v>
      </c>
      <c r="AK797">
        <f>INDEX(Coordinates!$C$2:$C$197,MATCH(G797,Coordinates!$J$2:$J$197,0))</f>
        <v>34.049822020000001</v>
      </c>
      <c r="AL797" t="str">
        <f>IF(ISNUMBER(SEARCH("C", 'WetLitterbags placem_collection'!Y138)),"YES","NO")</f>
        <v>NO</v>
      </c>
      <c r="AM797" t="str">
        <f>IF(ISNUMBER(SEARCH("H", 'WetLitterbags placem_collection'!Y138)),"YES","NO")</f>
        <v>NO</v>
      </c>
      <c r="AN797" t="str">
        <f>IF(ISNUMBER(SEARCH("R", 'WetLitterbags placem_collection'!Y138)),"YES","NO")</f>
        <v>YES</v>
      </c>
    </row>
    <row r="798" spans="1:40" ht="15" customHeight="1">
      <c r="A798" s="258" t="s">
        <v>2460</v>
      </c>
      <c r="B798" s="263">
        <f>'Dry_Litterbag Placem_Collection'!A139</f>
        <v>137</v>
      </c>
      <c r="C798" s="263" t="str">
        <f>'Dry_Litterbag Placem_Collection'!B139</f>
        <v xml:space="preserve">Mwantimba
</v>
      </c>
      <c r="D798" s="263" t="s">
        <v>2460</v>
      </c>
      <c r="E798" s="263" t="s">
        <v>20</v>
      </c>
      <c r="F798" s="263">
        <v>2</v>
      </c>
      <c r="G798" s="264" t="str">
        <f>'Dry_Litterbag Placem_Collection'!C139</f>
        <v>Wet_P2_T1</v>
      </c>
      <c r="H798" s="273" t="s">
        <v>3651</v>
      </c>
      <c r="I798" s="274" t="s">
        <v>298</v>
      </c>
      <c r="J798" s="223" t="str">
        <f>'WetLitterbags placem_collection'!Q139</f>
        <v>R483</v>
      </c>
      <c r="K798" s="225">
        <f>IFERROR(INDEX('Green_rooibos initial weight'!$C$5:$C$1749,MATCH(J798, 'Green_rooibos initial weight'!$A$5:$A$1749,0)),"")</f>
        <v>2.1970000000000001</v>
      </c>
      <c r="L798" s="225">
        <f>IFERROR(K798-(TBIcalc!$H$9+TBIcalc!$H$10),"")</f>
        <v>1.9472</v>
      </c>
      <c r="M798" s="391">
        <f>AVERAGE(Ashed_controlls!$K$12:$K$14)</f>
        <v>2.2816647271287041</v>
      </c>
      <c r="N798" s="225">
        <f t="shared" si="65"/>
        <v>1.90277142443335</v>
      </c>
      <c r="O798" s="225">
        <f>IF(IFERROR(INDEX('Both teabags AfterWet'!$C$3:$C$841,MATCH(J798,'Both teabags AfterWet'!$A$3:$A$841,0)),"")="","",(IFERROR(INDEX('Both teabags AfterWet'!$C$3:$C$841,MATCH(J798,'Both teabags AfterWet'!$A$3:$A$841,0)),"")))</f>
        <v>1.778</v>
      </c>
      <c r="P798" s="225">
        <f>IFERROR(IF(O798&gt;0,O798-(TBIcalc!$H$9),""),"")</f>
        <v>1.6274</v>
      </c>
      <c r="Q798" s="225">
        <f>IFERROR(INDEX('Ashed teabags wet'!$K$2:$K$821,MATCH(J798,'Ashed teabags wet'!$A$2:$A$821,0)),"")</f>
        <v>11.371400683259917</v>
      </c>
      <c r="R798" s="225">
        <f t="shared" si="68"/>
        <v>1.4423418252806282</v>
      </c>
      <c r="S798" s="226">
        <f>'WetLitterbags placem_collection'!E139</f>
        <v>42762</v>
      </c>
      <c r="T798" s="226">
        <f>IF('WetLitterbags placem_collection'!G139="","",'WetLitterbags placem_collection'!G139)</f>
        <v>42816</v>
      </c>
      <c r="U798" s="227">
        <f t="shared" si="69"/>
        <v>54</v>
      </c>
      <c r="V798" s="225">
        <f t="shared" si="66"/>
        <v>0.31980000000000008</v>
      </c>
      <c r="W798" s="225">
        <f t="shared" si="67"/>
        <v>0.46042959915272186</v>
      </c>
      <c r="X798">
        <f>IFERROR(INDEX(Rainfall_Wet!$O$2:$O$217,MATCH(B798, Rainfall_Wet!$A$2:$A$217,0)),"")</f>
        <v>206.85140822299999</v>
      </c>
      <c r="Y798" s="231">
        <v>33.96</v>
      </c>
      <c r="Z798" s="231">
        <v>8.9200000000000017</v>
      </c>
      <c r="AA798" s="231">
        <v>57.12</v>
      </c>
      <c r="AB798" s="232" t="s">
        <v>2670</v>
      </c>
      <c r="AC798" s="231">
        <v>2.072055199605717</v>
      </c>
      <c r="AD798">
        <f>IF('WetLitterbags placem_collection'!AB139="","",'WetLitterbags placem_collection'!AB139)</f>
        <v>1.2</v>
      </c>
      <c r="AE798">
        <f>IF('WetLitterbags placem_collection'!Z139="","",'WetLitterbags placem_collection'!Z139)</f>
        <v>32.4</v>
      </c>
      <c r="AF798" s="246" t="str">
        <f>IF('WetLitterbags placem_collection'!AA139="","",'WetLitterbags placem_collection'!AA139)</f>
        <v>G</v>
      </c>
      <c r="AG798">
        <f>IF('WetLitterbags placem_collection'!AC139="","",'WetLitterbags placem_collection'!AC139)</f>
        <v>1</v>
      </c>
      <c r="AH798">
        <f>AVERAGE('WetLitterbags placem_collection'!S139,'WetLitterbags placem_collection'!U139)</f>
        <v>15.5</v>
      </c>
      <c r="AI798">
        <f>AVERAGE('WetLitterbags placem_collection'!R139,'WetLitterbags placem_collection'!T139)</f>
        <v>28.5</v>
      </c>
      <c r="AJ798">
        <f>INDEX(Coordinates!$B$2:$B$197,MATCH(G798,Coordinates!$J$2:$J$197,0))</f>
        <v>-2.348596025</v>
      </c>
      <c r="AK798">
        <f>INDEX(Coordinates!$C$2:$C$197,MATCH(G798,Coordinates!$J$2:$J$197,0))</f>
        <v>34.050070959999999</v>
      </c>
      <c r="AL798" t="str">
        <f>IF(ISNUMBER(SEARCH("C", 'WetLitterbags placem_collection'!Y139)),"YES","NO")</f>
        <v>NO</v>
      </c>
      <c r="AM798" t="str">
        <f>IF(ISNUMBER(SEARCH("H", 'WetLitterbags placem_collection'!Y139)),"YES","NO")</f>
        <v>NO</v>
      </c>
      <c r="AN798" t="str">
        <f>IF(ISNUMBER(SEARCH("R", 'WetLitterbags placem_collection'!Y139)),"YES","NO")</f>
        <v>NO</v>
      </c>
    </row>
    <row r="799" spans="1:40" ht="15" customHeight="1">
      <c r="A799" s="258" t="s">
        <v>2460</v>
      </c>
      <c r="B799" s="263">
        <f>'Dry_Litterbag Placem_Collection'!A140</f>
        <v>138</v>
      </c>
      <c r="C799" s="263" t="str">
        <f>'Dry_Litterbag Placem_Collection'!B140</f>
        <v xml:space="preserve">Mwantimba
</v>
      </c>
      <c r="D799" s="263" t="s">
        <v>2460</v>
      </c>
      <c r="E799" s="263" t="s">
        <v>20</v>
      </c>
      <c r="F799" s="263">
        <v>2</v>
      </c>
      <c r="G799" s="264" t="str">
        <f>'Dry_Litterbag Placem_Collection'!C140</f>
        <v>Wet_P2_T2</v>
      </c>
      <c r="H799" s="273" t="s">
        <v>3651</v>
      </c>
      <c r="I799" s="274" t="s">
        <v>298</v>
      </c>
      <c r="J799" s="223" t="str">
        <f>'WetLitterbags placem_collection'!Q140</f>
        <v>R21</v>
      </c>
      <c r="K799" s="225">
        <f>IFERROR(INDEX('Green_rooibos initial weight'!$C$5:$C$1749,MATCH(J799, 'Green_rooibos initial weight'!$A$5:$A$1749,0)),"")</f>
        <v>2.0249999999999999</v>
      </c>
      <c r="L799" s="225">
        <f>IFERROR(K799-(TBIcalc!$H$9+TBIcalc!$H$10),"")</f>
        <v>1.7751999999999999</v>
      </c>
      <c r="M799" s="391">
        <f>AVERAGE(Ashed_controlls!$K$12:$K$14)</f>
        <v>2.2816647271287041</v>
      </c>
      <c r="N799" s="225">
        <f t="shared" si="65"/>
        <v>1.7346958877640111</v>
      </c>
      <c r="O799" s="225">
        <f>IF(IFERROR(INDEX('Both teabags AfterWet'!$C$3:$C$841,MATCH(J799,'Both teabags AfterWet'!$A$3:$A$841,0)),"")="","",(IFERROR(INDEX('Both teabags AfterWet'!$C$3:$C$841,MATCH(J799,'Both teabags AfterWet'!$A$3:$A$841,0)),"")))</f>
        <v>1.522</v>
      </c>
      <c r="P799" s="225">
        <f>IFERROR(IF(O799&gt;0,O799-(TBIcalc!$H$9),""),"")</f>
        <v>1.3714</v>
      </c>
      <c r="Q799" s="225">
        <f>IFERROR(INDEX('Ashed teabags wet'!$K$2:$K$821,MATCH(J799,'Ashed teabags wet'!$A$2:$A$821,0)),"")</f>
        <v>5.1369863013697721</v>
      </c>
      <c r="R799" s="225">
        <f t="shared" si="68"/>
        <v>1.3009513698630149</v>
      </c>
      <c r="S799" s="226">
        <f>'WetLitterbags placem_collection'!E140</f>
        <v>42762</v>
      </c>
      <c r="T799" s="226">
        <f>IF('WetLitterbags placem_collection'!G140="","",'WetLitterbags placem_collection'!G140)</f>
        <v>42816</v>
      </c>
      <c r="U799" s="227">
        <f t="shared" si="69"/>
        <v>54</v>
      </c>
      <c r="V799" s="225">
        <f t="shared" si="66"/>
        <v>0.40379999999999994</v>
      </c>
      <c r="W799" s="225">
        <f t="shared" si="67"/>
        <v>0.43374451790099622</v>
      </c>
      <c r="X799">
        <f>IFERROR(INDEX(Rainfall_Wet!$O$2:$O$217,MATCH(B799, Rainfall_Wet!$A$2:$A$217,0)),"")</f>
        <v>206.85140822299999</v>
      </c>
      <c r="Y799" s="231">
        <v>33.96</v>
      </c>
      <c r="Z799" s="231">
        <v>8.9200000000000017</v>
      </c>
      <c r="AA799" s="231">
        <v>57.12</v>
      </c>
      <c r="AB799" s="232" t="s">
        <v>2670</v>
      </c>
      <c r="AC799" s="231">
        <v>3.0720551996057202</v>
      </c>
      <c r="AD799">
        <f>IF('WetLitterbags placem_collection'!AB140="","",'WetLitterbags placem_collection'!AB140)</f>
        <v>2.8</v>
      </c>
      <c r="AE799">
        <f>IF('WetLitterbags placem_collection'!Z140="","",'WetLitterbags placem_collection'!Z140)</f>
        <v>26.4</v>
      </c>
      <c r="AF799" s="246" t="str">
        <f>IF('WetLitterbags placem_collection'!AA140="","",'WetLitterbags placem_collection'!AA140)</f>
        <v>G</v>
      </c>
      <c r="AG799">
        <f>IF('WetLitterbags placem_collection'!AC140="","",'WetLitterbags placem_collection'!AC140)</f>
        <v>1</v>
      </c>
      <c r="AH799">
        <f>AVERAGE('WetLitterbags placem_collection'!S140,'WetLitterbags placem_collection'!U140)</f>
        <v>15.5</v>
      </c>
      <c r="AI799">
        <f>AVERAGE('WetLitterbags placem_collection'!R140,'WetLitterbags placem_collection'!T140)</f>
        <v>29.35</v>
      </c>
      <c r="AJ799">
        <f>INDEX(Coordinates!$B$2:$B$197,MATCH(G799,Coordinates!$J$2:$J$197,0))</f>
        <v>-2.3485449790000001</v>
      </c>
      <c r="AK799">
        <f>INDEX(Coordinates!$C$2:$C$197,MATCH(G799,Coordinates!$J$2:$J$197,0))</f>
        <v>34.050146980000001</v>
      </c>
      <c r="AL799" t="str">
        <f>IF(ISNUMBER(SEARCH("C", 'WetLitterbags placem_collection'!Y140)),"YES","NO")</f>
        <v>NO</v>
      </c>
      <c r="AM799" t="str">
        <f>IF(ISNUMBER(SEARCH("H", 'WetLitterbags placem_collection'!Y140)),"YES","NO")</f>
        <v>NO</v>
      </c>
      <c r="AN799" t="str">
        <f>IF(ISNUMBER(SEARCH("R", 'WetLitterbags placem_collection'!Y140)),"YES","NO")</f>
        <v>NO</v>
      </c>
    </row>
    <row r="800" spans="1:40" ht="15" customHeight="1">
      <c r="A800" s="258" t="s">
        <v>2460</v>
      </c>
      <c r="B800" s="263">
        <f>'Dry_Litterbag Placem_Collection'!A141</f>
        <v>139</v>
      </c>
      <c r="C800" s="263" t="str">
        <f>'Dry_Litterbag Placem_Collection'!B141</f>
        <v xml:space="preserve">Mwantimba
</v>
      </c>
      <c r="D800" s="263" t="s">
        <v>2460</v>
      </c>
      <c r="E800" s="263" t="s">
        <v>20</v>
      </c>
      <c r="F800" s="263">
        <v>2</v>
      </c>
      <c r="G800" s="264" t="str">
        <f>'Dry_Litterbag Placem_Collection'!C141</f>
        <v>Wet_P2_T3</v>
      </c>
      <c r="H800" s="273" t="s">
        <v>3651</v>
      </c>
      <c r="I800" s="274" t="s">
        <v>298</v>
      </c>
      <c r="J800" s="223" t="str">
        <f>'WetLitterbags placem_collection'!Q141</f>
        <v>R538</v>
      </c>
      <c r="K800" s="225">
        <f>IFERROR(INDEX('Green_rooibos initial weight'!$C$5:$C$1749,MATCH(J800, 'Green_rooibos initial weight'!$A$5:$A$1749,0)),"")</f>
        <v>2.2000000000000002</v>
      </c>
      <c r="L800" s="225">
        <f>IFERROR(K800-(TBIcalc!$H$9+TBIcalc!$H$10),"")</f>
        <v>1.9502000000000002</v>
      </c>
      <c r="M800" s="391">
        <f>AVERAGE(Ashed_controlls!$K$12:$K$14)</f>
        <v>2.2816647271287041</v>
      </c>
      <c r="N800" s="225">
        <f t="shared" si="65"/>
        <v>1.9057029744915361</v>
      </c>
      <c r="O800" s="225">
        <f>IF(IFERROR(INDEX('Both teabags AfterWet'!$C$3:$C$841,MATCH(J800,'Both teabags AfterWet'!$A$3:$A$841,0)),"")="","",(IFERROR(INDEX('Both teabags AfterWet'!$C$3:$C$841,MATCH(J800,'Both teabags AfterWet'!$A$3:$A$841,0)),"")))</f>
        <v>1.415</v>
      </c>
      <c r="P800" s="225">
        <f>IFERROR(IF(O800&gt;0,O800-(TBIcalc!$H$9),""),"")</f>
        <v>1.2644</v>
      </c>
      <c r="Q800" s="225">
        <f>IFERROR(INDEX('Ashed teabags wet'!$K$2:$K$821,MATCH(J800,'Ashed teabags wet'!$A$2:$A$821,0)),"")</f>
        <v>10.337972166998611</v>
      </c>
      <c r="R800" s="225">
        <f t="shared" si="68"/>
        <v>1.1336866799204695</v>
      </c>
      <c r="S800" s="226">
        <f>'WetLitterbags placem_collection'!E141</f>
        <v>42762</v>
      </c>
      <c r="T800" s="226">
        <f>IF('WetLitterbags placem_collection'!G141="","",'WetLitterbags placem_collection'!G141)</f>
        <v>42816</v>
      </c>
      <c r="U800" s="227">
        <f t="shared" si="69"/>
        <v>54</v>
      </c>
      <c r="V800" s="225">
        <f t="shared" si="66"/>
        <v>0.68580000000000019</v>
      </c>
      <c r="W800" s="225">
        <f t="shared" si="67"/>
        <v>0.77201629457106669</v>
      </c>
      <c r="X800">
        <f>IFERROR(INDEX(Rainfall_Wet!$O$2:$O$217,MATCH(B800, Rainfall_Wet!$A$2:$A$217,0)),"")</f>
        <v>206.85140822299999</v>
      </c>
      <c r="Y800" s="231">
        <v>33.96</v>
      </c>
      <c r="Z800" s="231">
        <v>8.9200000000000017</v>
      </c>
      <c r="AA800" s="231">
        <v>57.12</v>
      </c>
      <c r="AB800" s="232" t="s">
        <v>2670</v>
      </c>
      <c r="AC800" s="231">
        <v>4.0720551996057202</v>
      </c>
      <c r="AD800">
        <f>IF('WetLitterbags placem_collection'!AB141="","",'WetLitterbags placem_collection'!AB141)</f>
        <v>5.7</v>
      </c>
      <c r="AE800">
        <f>IF('WetLitterbags placem_collection'!Z141="","",'WetLitterbags placem_collection'!Z141)</f>
        <v>19.399999999999999</v>
      </c>
      <c r="AF800" s="246" t="str">
        <f>IF('WetLitterbags placem_collection'!AA141="","",'WetLitterbags placem_collection'!AA141)</f>
        <v>G</v>
      </c>
      <c r="AG800">
        <f>IF('WetLitterbags placem_collection'!AC141="","",'WetLitterbags placem_collection'!AC141)</f>
        <v>1</v>
      </c>
      <c r="AH800">
        <f>AVERAGE('WetLitterbags placem_collection'!S141,'WetLitterbags placem_collection'!U141)</f>
        <v>16.850000000000001</v>
      </c>
      <c r="AI800">
        <f>AVERAGE('WetLitterbags placem_collection'!R141,'WetLitterbags placem_collection'!T141)</f>
        <v>28.65</v>
      </c>
      <c r="AJ800">
        <f>INDEX(Coordinates!$B$2:$B$197,MATCH(G800,Coordinates!$J$2:$J$197,0))</f>
        <v>-2.3487209990000002</v>
      </c>
      <c r="AK800">
        <f>INDEX(Coordinates!$C$2:$C$197,MATCH(G800,Coordinates!$J$2:$J$197,0))</f>
        <v>34.050128039999997</v>
      </c>
      <c r="AL800" t="str">
        <f>IF(ISNUMBER(SEARCH("C", 'WetLitterbags placem_collection'!Y141)),"YES","NO")</f>
        <v>NO</v>
      </c>
      <c r="AM800" t="str">
        <f>IF(ISNUMBER(SEARCH("H", 'WetLitterbags placem_collection'!Y141)),"YES","NO")</f>
        <v>NO</v>
      </c>
      <c r="AN800" t="str">
        <f>IF(ISNUMBER(SEARCH("R", 'WetLitterbags placem_collection'!Y141)),"YES","NO")</f>
        <v>NO</v>
      </c>
    </row>
    <row r="801" spans="1:40" ht="15" customHeight="1">
      <c r="A801" s="258" t="s">
        <v>2460</v>
      </c>
      <c r="B801" s="263">
        <f>'Dry_Litterbag Placem_Collection'!A142</f>
        <v>140</v>
      </c>
      <c r="C801" s="263" t="str">
        <f>'Dry_Litterbag Placem_Collection'!B142</f>
        <v xml:space="preserve">Mwantimba
</v>
      </c>
      <c r="D801" s="263" t="s">
        <v>2460</v>
      </c>
      <c r="E801" s="263" t="s">
        <v>20</v>
      </c>
      <c r="F801" s="263">
        <v>2</v>
      </c>
      <c r="G801" s="264" t="str">
        <f>'Dry_Litterbag Placem_Collection'!C142</f>
        <v>Wet_P2_T4</v>
      </c>
      <c r="H801" s="273" t="s">
        <v>3651</v>
      </c>
      <c r="I801" s="274" t="s">
        <v>298</v>
      </c>
      <c r="J801" s="223" t="str">
        <f>'WetLitterbags placem_collection'!Q142</f>
        <v>R559</v>
      </c>
      <c r="K801" s="225">
        <f>IFERROR(INDEX('Green_rooibos initial weight'!$C$5:$C$1749,MATCH(J801, 'Green_rooibos initial weight'!$A$5:$A$1749,0)),"")</f>
        <v>2.161</v>
      </c>
      <c r="L801" s="225">
        <f>IFERROR(K801-(TBIcalc!$H$9+TBIcalc!$H$10),"")</f>
        <v>1.9112</v>
      </c>
      <c r="M801" s="391">
        <f>AVERAGE(Ashed_controlls!$K$12:$K$14)</f>
        <v>2.2816647271287041</v>
      </c>
      <c r="N801" s="225">
        <f t="shared" si="65"/>
        <v>1.8675928237351163</v>
      </c>
      <c r="O801" s="225">
        <f>IF(IFERROR(INDEX('Both teabags AfterWet'!$C$3:$C$841,MATCH(J801,'Both teabags AfterWet'!$A$3:$A$841,0)),"")="","",(IFERROR(INDEX('Both teabags AfterWet'!$C$3:$C$841,MATCH(J801,'Both teabags AfterWet'!$A$3:$A$841,0)),"")))</f>
        <v>1.6634</v>
      </c>
      <c r="P801" s="225">
        <f>IFERROR(IF(O801&gt;0,O801-(TBIcalc!$H$9),""),"")</f>
        <v>1.5127999999999999</v>
      </c>
      <c r="Q801" s="225">
        <f>IFERROR(INDEX('Ashed teabags wet'!$K$2:$K$821,MATCH(J801,'Ashed teabags wet'!$A$2:$A$821,0)),"")</f>
        <v>11.767508337303465</v>
      </c>
      <c r="R801" s="225">
        <f t="shared" si="68"/>
        <v>1.3347811338732731</v>
      </c>
      <c r="S801" s="226">
        <f>'WetLitterbags placem_collection'!E142</f>
        <v>42762</v>
      </c>
      <c r="T801" s="226">
        <f>IF('WetLitterbags placem_collection'!G142="","",'WetLitterbags placem_collection'!G142)</f>
        <v>42816</v>
      </c>
      <c r="U801" s="227">
        <f t="shared" si="69"/>
        <v>54</v>
      </c>
      <c r="V801" s="225">
        <f t="shared" si="66"/>
        <v>0.39840000000000009</v>
      </c>
      <c r="W801" s="225">
        <f t="shared" si="67"/>
        <v>0.53281168986184313</v>
      </c>
      <c r="X801">
        <f>IFERROR(INDEX(Rainfall_Wet!$O$2:$O$217,MATCH(B801, Rainfall_Wet!$A$2:$A$217,0)),"")</f>
        <v>206.85140822299999</v>
      </c>
      <c r="Y801" s="231">
        <v>33.96</v>
      </c>
      <c r="Z801" s="231">
        <v>8.9200000000000017</v>
      </c>
      <c r="AA801" s="231">
        <v>57.12</v>
      </c>
      <c r="AB801" s="232" t="s">
        <v>2670</v>
      </c>
      <c r="AC801" s="231">
        <v>5.0720551996057202</v>
      </c>
      <c r="AD801">
        <f>IF('WetLitterbags placem_collection'!AB142="","",'WetLitterbags placem_collection'!AB142)</f>
        <v>1.4</v>
      </c>
      <c r="AE801">
        <f>IF('WetLitterbags placem_collection'!Z142="","",'WetLitterbags placem_collection'!Z142)</f>
        <v>33.4</v>
      </c>
      <c r="AF801" s="246" t="str">
        <f>IF('WetLitterbags placem_collection'!AA142="","",'WetLitterbags placem_collection'!AA142)</f>
        <v>G</v>
      </c>
      <c r="AG801">
        <f>IF('WetLitterbags placem_collection'!AC142="","",'WetLitterbags placem_collection'!AC142)</f>
        <v>1</v>
      </c>
      <c r="AH801">
        <f>AVERAGE('WetLitterbags placem_collection'!S142,'WetLitterbags placem_collection'!U142)</f>
        <v>11.55</v>
      </c>
      <c r="AI801">
        <f>AVERAGE('WetLitterbags placem_collection'!R142,'WetLitterbags placem_collection'!T142)</f>
        <v>30.85</v>
      </c>
      <c r="AJ801">
        <f>INDEX(Coordinates!$B$2:$B$197,MATCH(G801,Coordinates!$J$2:$J$197,0))</f>
        <v>-2.3486250270000002</v>
      </c>
      <c r="AK801">
        <f>INDEX(Coordinates!$C$2:$C$197,MATCH(G801,Coordinates!$J$2:$J$197,0))</f>
        <v>34.050070959999999</v>
      </c>
      <c r="AL801" t="str">
        <f>IF(ISNUMBER(SEARCH("C", 'WetLitterbags placem_collection'!Y142)),"YES","NO")</f>
        <v>NO</v>
      </c>
      <c r="AM801" t="str">
        <f>IF(ISNUMBER(SEARCH("H", 'WetLitterbags placem_collection'!Y142)),"YES","NO")</f>
        <v>NO</v>
      </c>
      <c r="AN801" t="str">
        <f>IF(ISNUMBER(SEARCH("R", 'WetLitterbags placem_collection'!Y142)),"YES","NO")</f>
        <v>NO</v>
      </c>
    </row>
    <row r="802" spans="1:40" ht="15" customHeight="1">
      <c r="A802" s="258" t="s">
        <v>2460</v>
      </c>
      <c r="B802" s="263">
        <f>'Dry_Litterbag Placem_Collection'!A143</f>
        <v>141</v>
      </c>
      <c r="C802" s="263" t="str">
        <f>'Dry_Litterbag Placem_Collection'!B143</f>
        <v xml:space="preserve">Mwantimba
</v>
      </c>
      <c r="D802" s="263" t="s">
        <v>2460</v>
      </c>
      <c r="E802" s="263" t="s">
        <v>20</v>
      </c>
      <c r="F802" s="263">
        <v>2</v>
      </c>
      <c r="G802" s="264" t="str">
        <f>'Dry_Litterbag Placem_Collection'!C143</f>
        <v>Wet_P2_T5</v>
      </c>
      <c r="H802" s="273" t="s">
        <v>3651</v>
      </c>
      <c r="I802" s="274" t="s">
        <v>298</v>
      </c>
      <c r="J802" s="223" t="str">
        <f>'WetLitterbags placem_collection'!Q143</f>
        <v>R465</v>
      </c>
      <c r="K802" s="225">
        <f>IFERROR(INDEX('Green_rooibos initial weight'!$C$5:$C$1749,MATCH(J802, 'Green_rooibos initial weight'!$A$5:$A$1749,0)),"")</f>
        <v>2.206</v>
      </c>
      <c r="L802" s="225">
        <f>IFERROR(K802-(TBIcalc!$H$9+TBIcalc!$H$10),"")</f>
        <v>1.9561999999999999</v>
      </c>
      <c r="M802" s="391">
        <f>AVERAGE(Ashed_controlls!$K$12:$K$14)</f>
        <v>2.2816647271287041</v>
      </c>
      <c r="N802" s="225">
        <f t="shared" si="65"/>
        <v>1.9115660746079082</v>
      </c>
      <c r="O802" s="225">
        <f>IF(IFERROR(INDEX('Both teabags AfterWet'!$C$3:$C$841,MATCH(J802,'Both teabags AfterWet'!$A$3:$A$841,0)),"")="","",(IFERROR(INDEX('Both teabags AfterWet'!$C$3:$C$841,MATCH(J802,'Both teabags AfterWet'!$A$3:$A$841,0)),"")))</f>
        <v>1.6759999999999999</v>
      </c>
      <c r="P802" s="225">
        <f>IFERROR(IF(O802&gt;0,O802-(TBIcalc!$H$9),""),"")</f>
        <v>1.5253999999999999</v>
      </c>
      <c r="Q802" s="225">
        <f>IFERROR(INDEX('Ashed teabags wet'!$K$2:$K$821,MATCH(J802,'Ashed teabags wet'!$A$2:$A$821,0)),"")</f>
        <v>2.2604422604422161</v>
      </c>
      <c r="R802" s="225">
        <f t="shared" si="68"/>
        <v>1.4909192137592142</v>
      </c>
      <c r="S802" s="226">
        <f>'WetLitterbags placem_collection'!E143</f>
        <v>42762</v>
      </c>
      <c r="T802" s="226">
        <f>IF('WetLitterbags placem_collection'!G143="","",'WetLitterbags placem_collection'!G143)</f>
        <v>42816</v>
      </c>
      <c r="U802" s="227">
        <f t="shared" si="69"/>
        <v>54</v>
      </c>
      <c r="V802" s="225">
        <f t="shared" si="66"/>
        <v>0.43080000000000007</v>
      </c>
      <c r="W802" s="225">
        <f t="shared" si="67"/>
        <v>0.42064686084869396</v>
      </c>
      <c r="X802">
        <f>IFERROR(INDEX(Rainfall_Wet!$O$2:$O$217,MATCH(B802, Rainfall_Wet!$A$2:$A$217,0)),"")</f>
        <v>206.85140822299999</v>
      </c>
      <c r="Y802" s="231">
        <v>33.96</v>
      </c>
      <c r="Z802" s="231">
        <v>8.9200000000000017</v>
      </c>
      <c r="AA802" s="231">
        <v>57.12</v>
      </c>
      <c r="AB802" s="232" t="s">
        <v>2670</v>
      </c>
      <c r="AC802" s="231">
        <v>6.0720551996057202</v>
      </c>
      <c r="AD802">
        <f>IF('WetLitterbags placem_collection'!AB143="","",'WetLitterbags placem_collection'!AB143)</f>
        <v>1.4</v>
      </c>
      <c r="AE802">
        <f>IF('WetLitterbags placem_collection'!Z143="","",'WetLitterbags placem_collection'!Z143)</f>
        <v>28.4</v>
      </c>
      <c r="AF802" s="246" t="str">
        <f>IF('WetLitterbags placem_collection'!AA143="","",'WetLitterbags placem_collection'!AA143)</f>
        <v>G</v>
      </c>
      <c r="AG802">
        <f>IF('WetLitterbags placem_collection'!AC143="","",'WetLitterbags placem_collection'!AC143)</f>
        <v>1</v>
      </c>
      <c r="AH802">
        <f>AVERAGE('WetLitterbags placem_collection'!S143,'WetLitterbags placem_collection'!U143)</f>
        <v>9.6999999999999993</v>
      </c>
      <c r="AI802">
        <f>AVERAGE('WetLitterbags placem_collection'!R143,'WetLitterbags placem_collection'!T143)</f>
        <v>30.75</v>
      </c>
      <c r="AJ802">
        <f>INDEX(Coordinates!$B$2:$B$197,MATCH(G802,Coordinates!$J$2:$J$197,0))</f>
        <v>-2.3486060000000002</v>
      </c>
      <c r="AK802">
        <f>INDEX(Coordinates!$C$2:$C$197,MATCH(G802,Coordinates!$J$2:$J$197,0))</f>
        <v>34.050010020000002</v>
      </c>
      <c r="AL802" t="str">
        <f>IF(ISNUMBER(SEARCH("C", 'WetLitterbags placem_collection'!Y143)),"YES","NO")</f>
        <v>NO</v>
      </c>
      <c r="AM802" t="str">
        <f>IF(ISNUMBER(SEARCH("H", 'WetLitterbags placem_collection'!Y143)),"YES","NO")</f>
        <v>NO</v>
      </c>
      <c r="AN802" t="str">
        <f>IF(ISNUMBER(SEARCH("R", 'WetLitterbags placem_collection'!Y143)),"YES","NO")</f>
        <v>NO</v>
      </c>
    </row>
    <row r="803" spans="1:40" ht="15" customHeight="1">
      <c r="A803" s="258" t="s">
        <v>2460</v>
      </c>
      <c r="B803" s="263">
        <f>'Dry_Litterbag Placem_Collection'!A144</f>
        <v>142</v>
      </c>
      <c r="C803" s="263" t="str">
        <f>'Dry_Litterbag Placem_Collection'!B144</f>
        <v xml:space="preserve">Mwantimba
</v>
      </c>
      <c r="D803" s="263" t="s">
        <v>2460</v>
      </c>
      <c r="E803" s="263" t="s">
        <v>20</v>
      </c>
      <c r="F803" s="263">
        <v>2</v>
      </c>
      <c r="G803" s="264" t="str">
        <f>'Dry_Litterbag Placem_Collection'!C144</f>
        <v>Wet_P2_T6</v>
      </c>
      <c r="H803" s="273" t="s">
        <v>3651</v>
      </c>
      <c r="I803" s="274" t="s">
        <v>298</v>
      </c>
      <c r="J803" s="223" t="str">
        <f>'WetLitterbags placem_collection'!Q144</f>
        <v>R503</v>
      </c>
      <c r="K803" s="225">
        <f>IFERROR(INDEX('Green_rooibos initial weight'!$C$5:$C$1749,MATCH(J803, 'Green_rooibos initial weight'!$A$5:$A$1749,0)),"")</f>
        <v>2.1709999999999998</v>
      </c>
      <c r="L803" s="225">
        <f>IFERROR(K803-(TBIcalc!$H$9+TBIcalc!$H$10),"")</f>
        <v>1.9211999999999998</v>
      </c>
      <c r="M803" s="391">
        <f>AVERAGE(Ashed_controlls!$K$12:$K$14)</f>
        <v>2.2816647271287041</v>
      </c>
      <c r="N803" s="225">
        <f t="shared" si="65"/>
        <v>1.8773646572624032</v>
      </c>
      <c r="O803" s="225" t="str">
        <f>IF(IFERROR(INDEX('Both teabags AfterWet'!$C$3:$C$841,MATCH(J803,'Both teabags AfterWet'!$A$3:$A$841,0)),"")="","",(IFERROR(INDEX('Both teabags AfterWet'!$C$3:$C$841,MATCH(J803,'Both teabags AfterWet'!$A$3:$A$841,0)),"")))</f>
        <v/>
      </c>
      <c r="P803" s="225" t="str">
        <f>IFERROR(IF(O803&gt;0,O803-(TBIcalc!$H$9),""),"")</f>
        <v/>
      </c>
      <c r="Q803" s="225" t="str">
        <f>IFERROR(INDEX('Ashed teabags wet'!$K$2:$K$821,MATCH(J803,'Ashed teabags wet'!$A$2:$A$821,0)),"")</f>
        <v/>
      </c>
      <c r="R803" s="225" t="str">
        <f t="shared" si="68"/>
        <v/>
      </c>
      <c r="S803" s="226">
        <f>'WetLitterbags placem_collection'!E144</f>
        <v>42762</v>
      </c>
      <c r="T803" s="226">
        <f>IF('WetLitterbags placem_collection'!G144="","",'WetLitterbags placem_collection'!G144)</f>
        <v>42816</v>
      </c>
      <c r="U803" s="227">
        <f t="shared" si="69"/>
        <v>54</v>
      </c>
      <c r="V803" s="225" t="str">
        <f t="shared" si="66"/>
        <v/>
      </c>
      <c r="W803" s="225" t="str">
        <f t="shared" si="67"/>
        <v/>
      </c>
      <c r="X803">
        <f>IFERROR(INDEX(Rainfall_Wet!$O$2:$O$217,MATCH(B803, Rainfall_Wet!$A$2:$A$217,0)),"")</f>
        <v>206.85140822299999</v>
      </c>
      <c r="Y803" s="231">
        <v>33.96</v>
      </c>
      <c r="Z803" s="231">
        <v>8.9200000000000017</v>
      </c>
      <c r="AA803" s="231">
        <v>57.12</v>
      </c>
      <c r="AB803" s="232" t="s">
        <v>2670</v>
      </c>
      <c r="AC803" s="231">
        <v>7.0720551996057202</v>
      </c>
      <c r="AD803">
        <f>IF('WetLitterbags placem_collection'!AB144="","",'WetLitterbags placem_collection'!AB144)</f>
        <v>1.7</v>
      </c>
      <c r="AE803">
        <f>IF('WetLitterbags placem_collection'!Z144="","",'WetLitterbags placem_collection'!Z144)</f>
        <v>33.799999999999997</v>
      </c>
      <c r="AF803" s="246" t="str">
        <f>IF('WetLitterbags placem_collection'!AA144="","",'WetLitterbags placem_collection'!AA144)</f>
        <v>G</v>
      </c>
      <c r="AG803">
        <f>IF('WetLitterbags placem_collection'!AC144="","",'WetLitterbags placem_collection'!AC144)</f>
        <v>1</v>
      </c>
      <c r="AH803">
        <f>AVERAGE('WetLitterbags placem_collection'!S144,'WetLitterbags placem_collection'!U144)</f>
        <v>15.5</v>
      </c>
      <c r="AI803">
        <f>AVERAGE('WetLitterbags placem_collection'!R144,'WetLitterbags placem_collection'!T144)</f>
        <v>28.75</v>
      </c>
      <c r="AJ803">
        <f>INDEX(Coordinates!$B$2:$B$197,MATCH(G803,Coordinates!$J$2:$J$197,0))</f>
        <v>-2.348618992</v>
      </c>
      <c r="AK803">
        <f>INDEX(Coordinates!$C$2:$C$197,MATCH(G803,Coordinates!$J$2:$J$197,0))</f>
        <v>34.049996030000003</v>
      </c>
      <c r="AL803" t="str">
        <f>IF(ISNUMBER(SEARCH("C", 'WetLitterbags placem_collection'!Y144)),"YES","NO")</f>
        <v>NO</v>
      </c>
      <c r="AM803" t="str">
        <f>IF(ISNUMBER(SEARCH("H", 'WetLitterbags placem_collection'!Y144)),"YES","NO")</f>
        <v>NO</v>
      </c>
      <c r="AN803" t="str">
        <f>IF(ISNUMBER(SEARCH("R", 'WetLitterbags placem_collection'!Y144)),"YES","NO")</f>
        <v>YES</v>
      </c>
    </row>
    <row r="804" spans="1:40" ht="15" customHeight="1">
      <c r="A804" s="258" t="s">
        <v>2460</v>
      </c>
      <c r="B804" s="263">
        <f>'Dry_Litterbag Placem_Collection'!A145</f>
        <v>143</v>
      </c>
      <c r="C804" s="263" t="str">
        <f>'Dry_Litterbag Placem_Collection'!B145</f>
        <v xml:space="preserve">Mwantimba
</v>
      </c>
      <c r="D804" s="263" t="s">
        <v>2460</v>
      </c>
      <c r="E804" s="263" t="s">
        <v>20</v>
      </c>
      <c r="F804" s="263">
        <v>2</v>
      </c>
      <c r="G804" s="264" t="str">
        <f>'Dry_Litterbag Placem_Collection'!C145</f>
        <v>Wet_P2_T7</v>
      </c>
      <c r="H804" s="273" t="s">
        <v>3651</v>
      </c>
      <c r="I804" s="274" t="s">
        <v>298</v>
      </c>
      <c r="J804" s="223" t="str">
        <f>'WetLitterbags placem_collection'!Q145</f>
        <v>R567</v>
      </c>
      <c r="K804" s="225">
        <f>IFERROR(INDEX('Green_rooibos initial weight'!$C$5:$C$1749,MATCH(J804, 'Green_rooibos initial weight'!$A$5:$A$1749,0)),"")</f>
        <v>2.097</v>
      </c>
      <c r="L804" s="225">
        <f>IFERROR(K804-(TBIcalc!$H$9+TBIcalc!$H$10),"")</f>
        <v>1.8472</v>
      </c>
      <c r="M804" s="391">
        <f>AVERAGE(Ashed_controlls!$K$12:$K$14)</f>
        <v>2.2816647271287041</v>
      </c>
      <c r="N804" s="225">
        <f t="shared" si="65"/>
        <v>1.8050530891604786</v>
      </c>
      <c r="O804" s="225">
        <f>IF(IFERROR(INDEX('Both teabags AfterWet'!$C$3:$C$841,MATCH(J804,'Both teabags AfterWet'!$A$3:$A$841,0)),"")="","",(IFERROR(INDEX('Both teabags AfterWet'!$C$3:$C$841,MATCH(J804,'Both teabags AfterWet'!$A$3:$A$841,0)),"")))</f>
        <v>1.5908</v>
      </c>
      <c r="P804" s="225">
        <f>IFERROR(IF(O804&gt;0,O804-(TBIcalc!$H$9),""),"")</f>
        <v>1.4401999999999999</v>
      </c>
      <c r="Q804" s="225">
        <f>IFERROR(INDEX('Ashed teabags wet'!$K$2:$K$821,MATCH(J804,'Ashed teabags wet'!$A$2:$A$821,0)),"")</f>
        <v>3.9043435822355246</v>
      </c>
      <c r="R804" s="225">
        <f t="shared" si="68"/>
        <v>1.383969643728644</v>
      </c>
      <c r="S804" s="226">
        <f>'WetLitterbags placem_collection'!E145</f>
        <v>42762</v>
      </c>
      <c r="T804" s="226">
        <f>IF('WetLitterbags placem_collection'!G145="","",'WetLitterbags placem_collection'!G145)</f>
        <v>42816</v>
      </c>
      <c r="U804" s="227">
        <f t="shared" si="69"/>
        <v>54</v>
      </c>
      <c r="V804" s="225">
        <f t="shared" si="66"/>
        <v>0.40700000000000003</v>
      </c>
      <c r="W804" s="225">
        <f t="shared" si="67"/>
        <v>0.42108344543183462</v>
      </c>
      <c r="X804">
        <f>IFERROR(INDEX(Rainfall_Wet!$O$2:$O$217,MATCH(B804, Rainfall_Wet!$A$2:$A$217,0)),"")</f>
        <v>206.85140822299999</v>
      </c>
      <c r="Y804" s="231">
        <v>33.96</v>
      </c>
      <c r="Z804" s="231">
        <v>8.9200000000000017</v>
      </c>
      <c r="AA804" s="231">
        <v>57.12</v>
      </c>
      <c r="AB804" s="232" t="s">
        <v>2670</v>
      </c>
      <c r="AC804" s="231">
        <v>8.0720551996057193</v>
      </c>
      <c r="AD804">
        <f>IF('WetLitterbags placem_collection'!AB145="","",'WetLitterbags placem_collection'!AB145)</f>
        <v>2</v>
      </c>
      <c r="AE804">
        <f>IF('WetLitterbags placem_collection'!Z145="","",'WetLitterbags placem_collection'!Z145)</f>
        <v>23.4</v>
      </c>
      <c r="AF804" s="246" t="str">
        <f>IF('WetLitterbags placem_collection'!AA145="","",'WetLitterbags placem_collection'!AA145)</f>
        <v>G</v>
      </c>
      <c r="AG804">
        <f>IF('WetLitterbags placem_collection'!AC145="","",'WetLitterbags placem_collection'!AC145)</f>
        <v>1</v>
      </c>
      <c r="AH804">
        <f>AVERAGE('WetLitterbags placem_collection'!S145,'WetLitterbags placem_collection'!U145)</f>
        <v>14.5</v>
      </c>
      <c r="AI804">
        <f>AVERAGE('WetLitterbags placem_collection'!R145,'WetLitterbags placem_collection'!T145)</f>
        <v>30.9</v>
      </c>
      <c r="AJ804">
        <f>INDEX(Coordinates!$B$2:$B$197,MATCH(G804,Coordinates!$J$2:$J$197,0))</f>
        <v>-2.3484970349999998</v>
      </c>
      <c r="AK804">
        <f>INDEX(Coordinates!$C$2:$C$197,MATCH(G804,Coordinates!$J$2:$J$197,0))</f>
        <v>34.049979010000001</v>
      </c>
      <c r="AL804" t="str">
        <f>IF(ISNUMBER(SEARCH("C", 'WetLitterbags placem_collection'!Y145)),"YES","NO")</f>
        <v>NO</v>
      </c>
      <c r="AM804" t="str">
        <f>IF(ISNUMBER(SEARCH("H", 'WetLitterbags placem_collection'!Y145)),"YES","NO")</f>
        <v>NO</v>
      </c>
      <c r="AN804" t="str">
        <f>IF(ISNUMBER(SEARCH("R", 'WetLitterbags placem_collection'!Y145)),"YES","NO")</f>
        <v>NO</v>
      </c>
    </row>
    <row r="805" spans="1:40" ht="15" customHeight="1">
      <c r="A805" s="258" t="s">
        <v>2460</v>
      </c>
      <c r="B805" s="263">
        <f>'Dry_Litterbag Placem_Collection'!A146</f>
        <v>144</v>
      </c>
      <c r="C805" s="263" t="str">
        <f>'Dry_Litterbag Placem_Collection'!B146</f>
        <v xml:space="preserve">Mwantimba
</v>
      </c>
      <c r="D805" s="263" t="s">
        <v>2460</v>
      </c>
      <c r="E805" s="263" t="s">
        <v>20</v>
      </c>
      <c r="F805" s="263">
        <v>2</v>
      </c>
      <c r="G805" s="264" t="str">
        <f>'Dry_Litterbag Placem_Collection'!C146</f>
        <v>Wet_P2_T8</v>
      </c>
      <c r="H805" s="273" t="s">
        <v>3651</v>
      </c>
      <c r="I805" s="274" t="s">
        <v>298</v>
      </c>
      <c r="J805" s="223" t="str">
        <f>'WetLitterbags placem_collection'!Q146</f>
        <v>R15</v>
      </c>
      <c r="K805" s="225">
        <f>IFERROR(INDEX('Green_rooibos initial weight'!$C$5:$C$1749,MATCH(J805, 'Green_rooibos initial weight'!$A$5:$A$1749,0)),"")</f>
        <v>2.2269999999999999</v>
      </c>
      <c r="L805" s="225">
        <f>IFERROR(K805-(TBIcalc!$H$9+TBIcalc!$H$10),"")</f>
        <v>1.9771999999999998</v>
      </c>
      <c r="M805" s="391">
        <f>AVERAGE(Ashed_controlls!$K$12:$K$14)</f>
        <v>2.2816647271287041</v>
      </c>
      <c r="N805" s="225">
        <f t="shared" si="65"/>
        <v>1.9320869250152111</v>
      </c>
      <c r="O805" s="225">
        <f>IF(IFERROR(INDEX('Both teabags AfterWet'!$C$3:$C$841,MATCH(J805,'Both teabags AfterWet'!$A$3:$A$841,0)),"")="","",(IFERROR(INDEX('Both teabags AfterWet'!$C$3:$C$841,MATCH(J805,'Both teabags AfterWet'!$A$3:$A$841,0)),"")))</f>
        <v>1.7290000000000001</v>
      </c>
      <c r="P805" s="225">
        <f>IFERROR(IF(O805&gt;0,O805-(TBIcalc!$H$9),""),"")</f>
        <v>1.5784</v>
      </c>
      <c r="Q805" s="225">
        <f>IFERROR(INDEX('Ashed teabags wet'!$K$2:$K$821,MATCH(J805,'Ashed teabags wet'!$A$2:$A$821,0)),"")</f>
        <v>11.138613861386148</v>
      </c>
      <c r="R805" s="225">
        <f t="shared" si="68"/>
        <v>1.4025881188118812</v>
      </c>
      <c r="S805" s="226">
        <f>'WetLitterbags placem_collection'!E146</f>
        <v>42762</v>
      </c>
      <c r="T805" s="226">
        <f>IF('WetLitterbags placem_collection'!G146="","",'WetLitterbags placem_collection'!G146)</f>
        <v>42816</v>
      </c>
      <c r="U805" s="227">
        <f t="shared" si="69"/>
        <v>54</v>
      </c>
      <c r="V805" s="225">
        <f t="shared" si="66"/>
        <v>0.39879999999999982</v>
      </c>
      <c r="W805" s="225">
        <f t="shared" si="67"/>
        <v>0.5294988062033299</v>
      </c>
      <c r="X805">
        <f>IFERROR(INDEX(Rainfall_Wet!$O$2:$O$217,MATCH(B805, Rainfall_Wet!$A$2:$A$217,0)),"")</f>
        <v>206.85140822299999</v>
      </c>
      <c r="Y805" s="231">
        <v>33.96</v>
      </c>
      <c r="Z805" s="231">
        <v>8.9200000000000017</v>
      </c>
      <c r="AA805" s="231">
        <v>57.12</v>
      </c>
      <c r="AB805" s="232" t="s">
        <v>2670</v>
      </c>
      <c r="AC805" s="231">
        <v>9.0720551996057193</v>
      </c>
      <c r="AD805">
        <f>IF('WetLitterbags placem_collection'!AB146="","",'WetLitterbags placem_collection'!AB146)</f>
        <v>2.5</v>
      </c>
      <c r="AE805">
        <f>IF('WetLitterbags placem_collection'!Z146="","",'WetLitterbags placem_collection'!Z146)</f>
        <v>19.8</v>
      </c>
      <c r="AF805" s="246" t="str">
        <f>IF('WetLitterbags placem_collection'!AA146="","",'WetLitterbags placem_collection'!AA146)</f>
        <v>G</v>
      </c>
      <c r="AG805">
        <f>IF('WetLitterbags placem_collection'!AC146="","",'WetLitterbags placem_collection'!AC146)</f>
        <v>1</v>
      </c>
      <c r="AH805">
        <f>AVERAGE('WetLitterbags placem_collection'!S146,'WetLitterbags placem_collection'!U146)</f>
        <v>17.149999999999999</v>
      </c>
      <c r="AI805">
        <f>AVERAGE('WetLitterbags placem_collection'!R146,'WetLitterbags placem_collection'!T146)</f>
        <v>31.4</v>
      </c>
      <c r="AJ805">
        <f>INDEX(Coordinates!$B$2:$B$197,MATCH(G805,Coordinates!$J$2:$J$197,0))</f>
        <v>-2.3486560399999998</v>
      </c>
      <c r="AK805">
        <f>INDEX(Coordinates!$C$2:$C$197,MATCH(G805,Coordinates!$J$2:$J$197,0))</f>
        <v>34.049895020000001</v>
      </c>
      <c r="AL805" t="str">
        <f>IF(ISNUMBER(SEARCH("C", 'WetLitterbags placem_collection'!Y146)),"YES","NO")</f>
        <v>NO</v>
      </c>
      <c r="AM805" t="str">
        <f>IF(ISNUMBER(SEARCH("H", 'WetLitterbags placem_collection'!Y146)),"YES","NO")</f>
        <v>NO</v>
      </c>
      <c r="AN805" t="str">
        <f>IF(ISNUMBER(SEARCH("R", 'WetLitterbags placem_collection'!Y146)),"YES","NO")</f>
        <v>NO</v>
      </c>
    </row>
    <row r="806" spans="1:40" ht="15" customHeight="1">
      <c r="A806" s="258" t="s">
        <v>2460</v>
      </c>
      <c r="B806" s="263">
        <f>'Dry_Litterbag Placem_Collection'!A147</f>
        <v>145</v>
      </c>
      <c r="C806" s="263" t="str">
        <f>'Dry_Litterbag Placem_Collection'!B147</f>
        <v xml:space="preserve">Mwantimba
</v>
      </c>
      <c r="D806" s="263" t="s">
        <v>2460</v>
      </c>
      <c r="E806" s="263" t="s">
        <v>20</v>
      </c>
      <c r="F806" s="263">
        <v>3</v>
      </c>
      <c r="G806" s="264" t="str">
        <f>'Dry_Litterbag Placem_Collection'!C147</f>
        <v>Wet_P3_T1</v>
      </c>
      <c r="H806" s="273" t="s">
        <v>3651</v>
      </c>
      <c r="I806" s="274" t="s">
        <v>298</v>
      </c>
      <c r="J806" s="223" t="str">
        <f>'WetLitterbags placem_collection'!Q147</f>
        <v>R40</v>
      </c>
      <c r="K806" s="225">
        <f>IFERROR(INDEX('Green_rooibos initial weight'!$C$5:$C$1749,MATCH(J806, 'Green_rooibos initial weight'!$A$5:$A$1749,0)),"")</f>
        <v>2.121</v>
      </c>
      <c r="L806" s="225">
        <f>IFERROR(K806-(TBIcalc!$H$9+TBIcalc!$H$10),"")</f>
        <v>1.8712</v>
      </c>
      <c r="M806" s="391">
        <f>AVERAGE(Ashed_controlls!$K$12:$K$14)</f>
        <v>2.2816647271287041</v>
      </c>
      <c r="N806" s="225">
        <f t="shared" si="65"/>
        <v>1.8285054896259676</v>
      </c>
      <c r="O806" s="225">
        <f>IF(IFERROR(INDEX('Both teabags AfterWet'!$C$3:$C$841,MATCH(J806,'Both teabags AfterWet'!$A$3:$A$841,0)),"")="","",(IFERROR(INDEX('Both teabags AfterWet'!$C$3:$C$841,MATCH(J806,'Both teabags AfterWet'!$A$3:$A$841,0)),"")))</f>
        <v>1.589</v>
      </c>
      <c r="P806" s="225">
        <f>IFERROR(IF(O806&gt;0,O806-(TBIcalc!$H$9),""),"")</f>
        <v>1.4383999999999999</v>
      </c>
      <c r="Q806" s="225">
        <f>IFERROR(INDEX('Ashed teabags wet'!$K$2:$K$821,MATCH(J806,'Ashed teabags wet'!$A$2:$A$821,0)),"")</f>
        <v>8.3980582524276741</v>
      </c>
      <c r="R806" s="225">
        <f t="shared" si="68"/>
        <v>1.3176023300970803</v>
      </c>
      <c r="S806" s="226">
        <f>'WetLitterbags placem_collection'!E147</f>
        <v>42762</v>
      </c>
      <c r="T806" s="226">
        <f>IF('WetLitterbags placem_collection'!G147="","",'WetLitterbags placem_collection'!G147)</f>
        <v>42815</v>
      </c>
      <c r="U806" s="227">
        <f t="shared" si="69"/>
        <v>53</v>
      </c>
      <c r="V806" s="225">
        <f t="shared" si="66"/>
        <v>0.43280000000000007</v>
      </c>
      <c r="W806" s="225">
        <f t="shared" si="67"/>
        <v>0.51090315952888732</v>
      </c>
      <c r="X806">
        <f>IFERROR(INDEX(Rainfall_Wet!$O$2:$O$217,MATCH(B806, Rainfall_Wet!$A$2:$A$217,0)),"")</f>
        <v>205.76139209600001</v>
      </c>
      <c r="Y806" s="231">
        <v>39.96</v>
      </c>
      <c r="Z806" s="231">
        <v>12.920000000000002</v>
      </c>
      <c r="AA806" s="231">
        <v>47.12</v>
      </c>
      <c r="AB806" s="232" t="s">
        <v>2674</v>
      </c>
      <c r="AC806" s="231">
        <v>1.6549531789058647</v>
      </c>
      <c r="AD806">
        <f>IF('WetLitterbags placem_collection'!AB147="","",'WetLitterbags placem_collection'!AB147)</f>
        <v>3.95</v>
      </c>
      <c r="AE806">
        <f>IF('WetLitterbags placem_collection'!Z147="","",'WetLitterbags placem_collection'!Z147)</f>
        <v>13</v>
      </c>
      <c r="AF806" s="246" t="str">
        <f>IF('WetLitterbags placem_collection'!AA147="","",'WetLitterbags placem_collection'!AA147)</f>
        <v>O</v>
      </c>
      <c r="AG806">
        <f>IF('WetLitterbags placem_collection'!AC147="","",'WetLitterbags placem_collection'!AC147)</f>
        <v>0</v>
      </c>
      <c r="AH806">
        <f>AVERAGE('WetLitterbags placem_collection'!S147,'WetLitterbags placem_collection'!U147)</f>
        <v>27.200000000000003</v>
      </c>
      <c r="AI806">
        <f>AVERAGE('WetLitterbags placem_collection'!R147,'WetLitterbags placem_collection'!T147)</f>
        <v>30.9</v>
      </c>
      <c r="AJ806">
        <f>INDEX(Coordinates!$B$2:$B$197,MATCH(G806,Coordinates!$J$2:$J$197,0))</f>
        <v>-2.3675269729999999</v>
      </c>
      <c r="AK806">
        <f>INDEX(Coordinates!$C$2:$C$197,MATCH(G806,Coordinates!$J$2:$J$197,0))</f>
        <v>34.06035799</v>
      </c>
      <c r="AL806" t="str">
        <f>IF(ISNUMBER(SEARCH("C", 'WetLitterbags placem_collection'!Y147)),"YES","NO")</f>
        <v>NO</v>
      </c>
      <c r="AM806" t="str">
        <f>IF(ISNUMBER(SEARCH("H", 'WetLitterbags placem_collection'!Y147)),"YES","NO")</f>
        <v>NO</v>
      </c>
      <c r="AN806" t="str">
        <f>IF(ISNUMBER(SEARCH("R", 'WetLitterbags placem_collection'!Y147)),"YES","NO")</f>
        <v>NO</v>
      </c>
    </row>
    <row r="807" spans="1:40" ht="15" customHeight="1">
      <c r="A807" s="258" t="s">
        <v>2460</v>
      </c>
      <c r="B807" s="263">
        <f>'Dry_Litterbag Placem_Collection'!A148</f>
        <v>146</v>
      </c>
      <c r="C807" s="263" t="str">
        <f>'Dry_Litterbag Placem_Collection'!B148</f>
        <v xml:space="preserve">Mwantimba
</v>
      </c>
      <c r="D807" s="263" t="s">
        <v>2460</v>
      </c>
      <c r="E807" s="263" t="s">
        <v>20</v>
      </c>
      <c r="F807" s="263">
        <v>3</v>
      </c>
      <c r="G807" s="264" t="str">
        <f>'Dry_Litterbag Placem_Collection'!C148</f>
        <v>Wet_P3_T2</v>
      </c>
      <c r="H807" s="273" t="s">
        <v>3651</v>
      </c>
      <c r="I807" s="274" t="s">
        <v>298</v>
      </c>
      <c r="J807" s="223" t="str">
        <f>'WetLitterbags placem_collection'!Q148</f>
        <v>R468</v>
      </c>
      <c r="K807" s="225">
        <f>IFERROR(INDEX('Green_rooibos initial weight'!$C$5:$C$1749,MATCH(J807, 'Green_rooibos initial weight'!$A$5:$A$1749,0)),"")</f>
        <v>2.2869999999999999</v>
      </c>
      <c r="L807" s="225">
        <f>IFERROR(K807-(TBIcalc!$H$9+TBIcalc!$H$10),"")</f>
        <v>2.0371999999999999</v>
      </c>
      <c r="M807" s="391">
        <f>AVERAGE(Ashed_controlls!$K$12:$K$14)</f>
        <v>2.2816647271287041</v>
      </c>
      <c r="N807" s="225">
        <f t="shared" si="65"/>
        <v>1.9907179261789338</v>
      </c>
      <c r="O807" s="225">
        <f>IF(IFERROR(INDEX('Both teabags AfterWet'!$C$3:$C$841,MATCH(J807,'Both teabags AfterWet'!$A$3:$A$841,0)),"")="","",(IFERROR(INDEX('Both teabags AfterWet'!$C$3:$C$841,MATCH(J807,'Both teabags AfterWet'!$A$3:$A$841,0)),"")))</f>
        <v>1.657</v>
      </c>
      <c r="P807" s="225">
        <f>IFERROR(IF(O807&gt;0,O807-(TBIcalc!$H$9),""),"")</f>
        <v>1.5064</v>
      </c>
      <c r="Q807" s="225">
        <f>IFERROR(INDEX('Ashed teabags wet'!$K$2:$K$821,MATCH(J807,'Ashed teabags wet'!$A$2:$A$821,0)),"")</f>
        <v>5.4683544303797067</v>
      </c>
      <c r="R807" s="225">
        <f t="shared" si="68"/>
        <v>1.42402470886076</v>
      </c>
      <c r="S807" s="226">
        <f>'WetLitterbags placem_collection'!E148</f>
        <v>42762</v>
      </c>
      <c r="T807" s="226">
        <f>IF('WetLitterbags placem_collection'!G148="","",'WetLitterbags placem_collection'!G148)</f>
        <v>42815</v>
      </c>
      <c r="U807" s="227">
        <f t="shared" si="69"/>
        <v>53</v>
      </c>
      <c r="V807" s="225">
        <f t="shared" si="66"/>
        <v>0.53079999999999994</v>
      </c>
      <c r="W807" s="225">
        <f t="shared" si="67"/>
        <v>0.56669321731817379</v>
      </c>
      <c r="X807">
        <f>IFERROR(INDEX(Rainfall_Wet!$O$2:$O$217,MATCH(B807, Rainfall_Wet!$A$2:$A$217,0)),"")</f>
        <v>205.76139209600001</v>
      </c>
      <c r="Y807" s="231">
        <v>39.96</v>
      </c>
      <c r="Z807" s="231">
        <v>12.920000000000002</v>
      </c>
      <c r="AA807" s="231">
        <v>47.12</v>
      </c>
      <c r="AB807" s="232" t="s">
        <v>2674</v>
      </c>
      <c r="AC807" s="231">
        <v>2.6549531789058598</v>
      </c>
      <c r="AD807">
        <f>IF('WetLitterbags placem_collection'!AB148="","",'WetLitterbags placem_collection'!AB148)</f>
        <v>2.75</v>
      </c>
      <c r="AE807">
        <f>IF('WetLitterbags placem_collection'!Z148="","",'WetLitterbags placem_collection'!Z148)</f>
        <v>17.7</v>
      </c>
      <c r="AF807" s="246" t="str">
        <f>IF('WetLitterbags placem_collection'!AA148="","",'WetLitterbags placem_collection'!AA148)</f>
        <v>O</v>
      </c>
      <c r="AG807">
        <f>IF('WetLitterbags placem_collection'!AC148="","",'WetLitterbags placem_collection'!AC148)</f>
        <v>1</v>
      </c>
      <c r="AH807">
        <f>AVERAGE('WetLitterbags placem_collection'!S148,'WetLitterbags placem_collection'!U148)</f>
        <v>22.65</v>
      </c>
      <c r="AI807">
        <f>AVERAGE('WetLitterbags placem_collection'!R148,'WetLitterbags placem_collection'!T148)</f>
        <v>30.549999999999997</v>
      </c>
      <c r="AJ807">
        <f>INDEX(Coordinates!$B$2:$B$197,MATCH(G807,Coordinates!$J$2:$J$197,0))</f>
        <v>-2.3675380370000001</v>
      </c>
      <c r="AK807">
        <f>INDEX(Coordinates!$C$2:$C$197,MATCH(G807,Coordinates!$J$2:$J$197,0))</f>
        <v>34.060381960000001</v>
      </c>
      <c r="AL807" t="str">
        <f>IF(ISNUMBER(SEARCH("C", 'WetLitterbags placem_collection'!Y148)),"YES","NO")</f>
        <v>NO</v>
      </c>
      <c r="AM807" t="str">
        <f>IF(ISNUMBER(SEARCH("H", 'WetLitterbags placem_collection'!Y148)),"YES","NO")</f>
        <v>NO</v>
      </c>
      <c r="AN807" t="str">
        <f>IF(ISNUMBER(SEARCH("R", 'WetLitterbags placem_collection'!Y148)),"YES","NO")</f>
        <v>NO</v>
      </c>
    </row>
    <row r="808" spans="1:40" ht="15" customHeight="1">
      <c r="A808" s="258" t="s">
        <v>2460</v>
      </c>
      <c r="B808" s="263">
        <f>'Dry_Litterbag Placem_Collection'!A149</f>
        <v>147</v>
      </c>
      <c r="C808" s="263" t="str">
        <f>'Dry_Litterbag Placem_Collection'!B149</f>
        <v xml:space="preserve">Mwantimba
</v>
      </c>
      <c r="D808" s="263" t="s">
        <v>2460</v>
      </c>
      <c r="E808" s="263" t="s">
        <v>20</v>
      </c>
      <c r="F808" s="263">
        <v>3</v>
      </c>
      <c r="G808" s="264" t="str">
        <f>'Dry_Litterbag Placem_Collection'!C149</f>
        <v>Wet_P3_T3</v>
      </c>
      <c r="H808" s="273" t="s">
        <v>3651</v>
      </c>
      <c r="I808" s="274" t="s">
        <v>298</v>
      </c>
      <c r="J808" s="223" t="str">
        <f>'WetLitterbags placem_collection'!Q149</f>
        <v>R582</v>
      </c>
      <c r="K808" s="225">
        <f>IFERROR(INDEX('Green_rooibos initial weight'!$C$5:$C$1749,MATCH(J808, 'Green_rooibos initial weight'!$A$5:$A$1749,0)),"")</f>
        <v>2.2360000000000002</v>
      </c>
      <c r="L808" s="225">
        <f>IFERROR(K808-(TBIcalc!$H$9+TBIcalc!$H$10),"")</f>
        <v>1.9862000000000002</v>
      </c>
      <c r="M808" s="391">
        <f>AVERAGE(Ashed_controlls!$K$12:$K$14)</f>
        <v>2.2816647271287041</v>
      </c>
      <c r="N808" s="225">
        <f t="shared" si="65"/>
        <v>1.9408815751897699</v>
      </c>
      <c r="O808" s="225">
        <f>IF(IFERROR(INDEX('Both teabags AfterWet'!$C$3:$C$841,MATCH(J808,'Both teabags AfterWet'!$A$3:$A$841,0)),"")="","",(IFERROR(INDEX('Both teabags AfterWet'!$C$3:$C$841,MATCH(J808,'Both teabags AfterWet'!$A$3:$A$841,0)),"")))</f>
        <v>1.742</v>
      </c>
      <c r="P808" s="225">
        <f>IFERROR(IF(O808&gt;0,O808-(TBIcalc!$H$9),""),"")</f>
        <v>1.5913999999999999</v>
      </c>
      <c r="Q808" s="225">
        <f>IFERROR(INDEX('Ashed teabags wet'!$K$2:$K$821,MATCH(J808,'Ashed teabags wet'!$A$2:$A$821,0)),"")</f>
        <v>1.3068731848979416</v>
      </c>
      <c r="R808" s="225">
        <f t="shared" si="68"/>
        <v>1.570602420135534</v>
      </c>
      <c r="S808" s="226">
        <f>'WetLitterbags placem_collection'!E149</f>
        <v>42762</v>
      </c>
      <c r="T808" s="226">
        <f>IF('WetLitterbags placem_collection'!G149="","",'WetLitterbags placem_collection'!G149)</f>
        <v>42816</v>
      </c>
      <c r="U808" s="227">
        <f t="shared" si="69"/>
        <v>54</v>
      </c>
      <c r="V808" s="225">
        <f t="shared" si="66"/>
        <v>0.39480000000000026</v>
      </c>
      <c r="W808" s="225">
        <f t="shared" si="67"/>
        <v>0.37027915505423592</v>
      </c>
      <c r="X808">
        <f>IFERROR(INDEX(Rainfall_Wet!$O$2:$O$217,MATCH(B808, Rainfall_Wet!$A$2:$A$217,0)),"")</f>
        <v>206.85140822299999</v>
      </c>
      <c r="Y808" s="231">
        <v>39.96</v>
      </c>
      <c r="Z808" s="231">
        <v>12.920000000000002</v>
      </c>
      <c r="AA808" s="231">
        <v>47.12</v>
      </c>
      <c r="AB808" s="232" t="s">
        <v>2674</v>
      </c>
      <c r="AC808" s="231">
        <v>3.6549531789058598</v>
      </c>
      <c r="AD808">
        <f>IF('WetLitterbags placem_collection'!AB149="","",'WetLitterbags placem_collection'!AB149)</f>
        <v>3.6</v>
      </c>
      <c r="AE808">
        <f>IF('WetLitterbags placem_collection'!Z149="","",'WetLitterbags placem_collection'!Z149)</f>
        <v>19</v>
      </c>
      <c r="AF808" s="246" t="str">
        <f>IF('WetLitterbags placem_collection'!AA149="","",'WetLitterbags placem_collection'!AA149)</f>
        <v>M</v>
      </c>
      <c r="AG808">
        <f>IF('WetLitterbags placem_collection'!AC149="","",'WetLitterbags placem_collection'!AC149)</f>
        <v>1</v>
      </c>
      <c r="AH808">
        <f>AVERAGE('WetLitterbags placem_collection'!S149,'WetLitterbags placem_collection'!U149)</f>
        <v>23.35</v>
      </c>
      <c r="AI808">
        <f>AVERAGE('WetLitterbags placem_collection'!R149,'WetLitterbags placem_collection'!T149)</f>
        <v>29.9</v>
      </c>
      <c r="AJ808">
        <f>INDEX(Coordinates!$B$2:$B$197,MATCH(G808,Coordinates!$J$2:$J$197,0))</f>
        <v>-2.3675780180000001</v>
      </c>
      <c r="AK808">
        <f>INDEX(Coordinates!$C$2:$C$197,MATCH(G808,Coordinates!$J$2:$J$197,0))</f>
        <v>34.060323029999999</v>
      </c>
      <c r="AL808" t="str">
        <f>IF(ISNUMBER(SEARCH("C", 'WetLitterbags placem_collection'!Y149)),"YES","NO")</f>
        <v>NO</v>
      </c>
      <c r="AM808" t="str">
        <f>IF(ISNUMBER(SEARCH("H", 'WetLitterbags placem_collection'!Y149)),"YES","NO")</f>
        <v>NO</v>
      </c>
      <c r="AN808" t="str">
        <f>IF(ISNUMBER(SEARCH("R", 'WetLitterbags placem_collection'!Y149)),"YES","NO")</f>
        <v>NO</v>
      </c>
    </row>
    <row r="809" spans="1:40" ht="15" customHeight="1">
      <c r="A809" s="258" t="s">
        <v>2460</v>
      </c>
      <c r="B809" s="263">
        <f>'Dry_Litterbag Placem_Collection'!A150</f>
        <v>148</v>
      </c>
      <c r="C809" s="263" t="str">
        <f>'Dry_Litterbag Placem_Collection'!B150</f>
        <v xml:space="preserve">Mwantimba
</v>
      </c>
      <c r="D809" s="263" t="s">
        <v>2460</v>
      </c>
      <c r="E809" s="263" t="s">
        <v>20</v>
      </c>
      <c r="F809" s="263">
        <v>3</v>
      </c>
      <c r="G809" s="264" t="str">
        <f>'Dry_Litterbag Placem_Collection'!C150</f>
        <v>Wet_P3_T4</v>
      </c>
      <c r="H809" s="273" t="s">
        <v>3651</v>
      </c>
      <c r="I809" s="274" t="s">
        <v>298</v>
      </c>
      <c r="J809" s="223" t="str">
        <f>'WetLitterbags placem_collection'!Q150</f>
        <v>R20</v>
      </c>
      <c r="K809" s="225">
        <f>IFERROR(INDEX('Green_rooibos initial weight'!$C$5:$C$1749,MATCH(J809, 'Green_rooibos initial weight'!$A$5:$A$1749,0)),"")</f>
        <v>2.2400000000000002</v>
      </c>
      <c r="L809" s="225">
        <f>IFERROR(K809-(TBIcalc!$H$9+TBIcalc!$H$10),"")</f>
        <v>1.9902000000000002</v>
      </c>
      <c r="M809" s="391">
        <f>AVERAGE(Ashed_controlls!$K$12:$K$14)</f>
        <v>2.2816647271287041</v>
      </c>
      <c r="N809" s="225">
        <f t="shared" si="65"/>
        <v>1.9447903086006848</v>
      </c>
      <c r="O809" s="225">
        <f>IF(IFERROR(INDEX('Both teabags AfterWet'!$C$3:$C$841,MATCH(J809,'Both teabags AfterWet'!$A$3:$A$841,0)),"")="","",(IFERROR(INDEX('Both teabags AfterWet'!$C$3:$C$841,MATCH(J809,'Both teabags AfterWet'!$A$3:$A$841,0)),"")))</f>
        <v>1.6375999999999999</v>
      </c>
      <c r="P809" s="225">
        <f>IFERROR(IF(O809&gt;0,O809-(TBIcalc!$H$9),""),"")</f>
        <v>1.4869999999999999</v>
      </c>
      <c r="Q809" s="225">
        <f>IFERROR(INDEX('Ashed teabags wet'!$K$2:$K$821,MATCH(J809,'Ashed teabags wet'!$A$2:$A$821,0)),"")</f>
        <v>56.818181818177493</v>
      </c>
      <c r="R809" s="225">
        <f t="shared" si="68"/>
        <v>0.64211363636370067</v>
      </c>
      <c r="S809" s="226">
        <f>'WetLitterbags placem_collection'!E150</f>
        <v>42762</v>
      </c>
      <c r="T809" s="226">
        <f>IF('WetLitterbags placem_collection'!G150="","",'WetLitterbags placem_collection'!G150)</f>
        <v>42816</v>
      </c>
      <c r="U809" s="227">
        <f t="shared" si="69"/>
        <v>54</v>
      </c>
      <c r="V809" s="225">
        <f t="shared" si="66"/>
        <v>0.50320000000000031</v>
      </c>
      <c r="W809" s="225">
        <f t="shared" si="67"/>
        <v>1.3026766722369842</v>
      </c>
      <c r="X809">
        <f>IFERROR(INDEX(Rainfall_Wet!$O$2:$O$217,MATCH(B809, Rainfall_Wet!$A$2:$A$217,0)),"")</f>
        <v>206.85140822299999</v>
      </c>
      <c r="Y809" s="231">
        <v>39.96</v>
      </c>
      <c r="Z809" s="231">
        <v>12.920000000000002</v>
      </c>
      <c r="AA809" s="231">
        <v>47.12</v>
      </c>
      <c r="AB809" s="232" t="s">
        <v>2674</v>
      </c>
      <c r="AC809" s="231">
        <v>4.6549531789058696</v>
      </c>
      <c r="AD809">
        <f>IF('WetLitterbags placem_collection'!AB150="","",'WetLitterbags placem_collection'!AB150)</f>
        <v>4.9000000000000004</v>
      </c>
      <c r="AE809">
        <f>IF('WetLitterbags placem_collection'!Z150="","",'WetLitterbags placem_collection'!Z150)</f>
        <v>17.489999999999998</v>
      </c>
      <c r="AF809" s="246" t="str">
        <f>IF('WetLitterbags placem_collection'!AA150="","",'WetLitterbags placem_collection'!AA150)</f>
        <v>M</v>
      </c>
      <c r="AG809">
        <f>IF('WetLitterbags placem_collection'!AC150="","",'WetLitterbags placem_collection'!AC150)</f>
        <v>1</v>
      </c>
      <c r="AH809">
        <f>AVERAGE('WetLitterbags placem_collection'!S150,'WetLitterbags placem_collection'!U150)</f>
        <v>28.2</v>
      </c>
      <c r="AI809">
        <f>AVERAGE('WetLitterbags placem_collection'!R150,'WetLitterbags placem_collection'!T150)</f>
        <v>25.299999999999997</v>
      </c>
      <c r="AJ809">
        <f>INDEX(Coordinates!$B$2:$B$197,MATCH(G809,Coordinates!$J$2:$J$197,0))</f>
        <v>-2.3676269689999998</v>
      </c>
      <c r="AK809">
        <f>INDEX(Coordinates!$C$2:$C$197,MATCH(G809,Coordinates!$J$2:$J$197,0))</f>
        <v>34.060310960000002</v>
      </c>
      <c r="AL809" t="str">
        <f>IF(ISNUMBER(SEARCH("C", 'WetLitterbags placem_collection'!Y150)),"YES","NO")</f>
        <v>NO</v>
      </c>
      <c r="AM809" t="str">
        <f>IF(ISNUMBER(SEARCH("H", 'WetLitterbags placem_collection'!Y150)),"YES","NO")</f>
        <v>NO</v>
      </c>
      <c r="AN809" t="str">
        <f>IF(ISNUMBER(SEARCH("R", 'WetLitterbags placem_collection'!Y150)),"YES","NO")</f>
        <v>NO</v>
      </c>
    </row>
    <row r="810" spans="1:40" ht="15" customHeight="1">
      <c r="A810" s="258" t="s">
        <v>2460</v>
      </c>
      <c r="B810" s="263">
        <f>'Dry_Litterbag Placem_Collection'!A151</f>
        <v>149</v>
      </c>
      <c r="C810" s="263" t="str">
        <f>'Dry_Litterbag Placem_Collection'!B151</f>
        <v xml:space="preserve">Mwantimba
</v>
      </c>
      <c r="D810" s="263" t="s">
        <v>2460</v>
      </c>
      <c r="E810" s="263" t="s">
        <v>20</v>
      </c>
      <c r="F810" s="263">
        <v>3</v>
      </c>
      <c r="G810" s="264" t="str">
        <f>'Dry_Litterbag Placem_Collection'!C151</f>
        <v>Wet_P3_T5</v>
      </c>
      <c r="H810" s="273" t="s">
        <v>3651</v>
      </c>
      <c r="I810" s="274" t="s">
        <v>298</v>
      </c>
      <c r="J810" s="223" t="str">
        <f>'WetLitterbags placem_collection'!Q151</f>
        <v>R533</v>
      </c>
      <c r="K810" s="225">
        <f>IFERROR(INDEX('Green_rooibos initial weight'!$C$5:$C$1749,MATCH(J810, 'Green_rooibos initial weight'!$A$5:$A$1749,0)),"")</f>
        <v>2.1970000000000001</v>
      </c>
      <c r="L810" s="225">
        <f>IFERROR(K810-(TBIcalc!$H$9+TBIcalc!$H$10),"")</f>
        <v>1.9472</v>
      </c>
      <c r="M810" s="391">
        <f>AVERAGE(Ashed_controlls!$K$12:$K$14)</f>
        <v>2.2816647271287041</v>
      </c>
      <c r="N810" s="225">
        <f t="shared" si="65"/>
        <v>1.90277142443335</v>
      </c>
      <c r="O810" s="225">
        <f>IF(IFERROR(INDEX('Both teabags AfterWet'!$C$3:$C$841,MATCH(J810,'Both teabags AfterWet'!$A$3:$A$841,0)),"")="","",(IFERROR(INDEX('Both teabags AfterWet'!$C$3:$C$841,MATCH(J810,'Both teabags AfterWet'!$A$3:$A$841,0)),"")))</f>
        <v>1.7899</v>
      </c>
      <c r="P810" s="225">
        <f>IFERROR(IF(O810&gt;0,O810-(TBIcalc!$H$9),""),"")</f>
        <v>1.6393</v>
      </c>
      <c r="Q810" s="225">
        <f>IFERROR(INDEX('Ashed teabags wet'!$K$2:$K$821,MATCH(J810,'Ashed teabags wet'!$A$2:$A$821,0)),"")</f>
        <v>11.542288557213293</v>
      </c>
      <c r="R810" s="225">
        <f t="shared" si="68"/>
        <v>1.4500872636816025</v>
      </c>
      <c r="S810" s="226">
        <f>'WetLitterbags placem_collection'!E151</f>
        <v>42762</v>
      </c>
      <c r="T810" s="226">
        <f>IF('WetLitterbags placem_collection'!G151="","",'WetLitterbags placem_collection'!G151)</f>
        <v>42816</v>
      </c>
      <c r="U810" s="227">
        <f t="shared" si="69"/>
        <v>54</v>
      </c>
      <c r="V810" s="225">
        <f t="shared" si="66"/>
        <v>0.30790000000000006</v>
      </c>
      <c r="W810" s="225">
        <f t="shared" si="67"/>
        <v>0.45268416075174756</v>
      </c>
      <c r="X810">
        <f>IFERROR(INDEX(Rainfall_Wet!$O$2:$O$217,MATCH(B810, Rainfall_Wet!$A$2:$A$217,0)),"")</f>
        <v>206.85140822299999</v>
      </c>
      <c r="Y810" s="231">
        <v>39.96</v>
      </c>
      <c r="Z810" s="231">
        <v>12.920000000000002</v>
      </c>
      <c r="AA810" s="231">
        <v>47.12</v>
      </c>
      <c r="AB810" s="232" t="s">
        <v>2674</v>
      </c>
      <c r="AC810" s="231">
        <v>5.6549531789058696</v>
      </c>
      <c r="AD810">
        <f>IF('WetLitterbags placem_collection'!AB151="","",'WetLitterbags placem_collection'!AB151)</f>
        <v>2.8</v>
      </c>
      <c r="AE810">
        <f>IF('WetLitterbags placem_collection'!Z151="","",'WetLitterbags placem_collection'!Z151)</f>
        <v>13</v>
      </c>
      <c r="AF810" s="246" t="str">
        <f>IF('WetLitterbags placem_collection'!AA151="","",'WetLitterbags placem_collection'!AA151)</f>
        <v>M</v>
      </c>
      <c r="AG810">
        <f>IF('WetLitterbags placem_collection'!AC151="","",'WetLitterbags placem_collection'!AC151)</f>
        <v>1</v>
      </c>
      <c r="AH810">
        <f>AVERAGE('WetLitterbags placem_collection'!S151,'WetLitterbags placem_collection'!U151)</f>
        <v>25.4</v>
      </c>
      <c r="AI810">
        <f>AVERAGE('WetLitterbags placem_collection'!R151,'WetLitterbags placem_collection'!T151)</f>
        <v>26.9</v>
      </c>
      <c r="AJ810">
        <f>INDEX(Coordinates!$B$2:$B$197,MATCH(G810,Coordinates!$J$2:$J$197,0))</f>
        <v>-2.3677179960000001</v>
      </c>
      <c r="AK810">
        <f>INDEX(Coordinates!$C$2:$C$197,MATCH(G810,Coordinates!$J$2:$J$197,0))</f>
        <v>34.060324960000003</v>
      </c>
      <c r="AL810" t="str">
        <f>IF(ISNUMBER(SEARCH("C", 'WetLitterbags placem_collection'!Y151)),"YES","NO")</f>
        <v>NO</v>
      </c>
      <c r="AM810" t="str">
        <f>IF(ISNUMBER(SEARCH("H", 'WetLitterbags placem_collection'!Y151)),"YES","NO")</f>
        <v>NO</v>
      </c>
      <c r="AN810" t="str">
        <f>IF(ISNUMBER(SEARCH("R", 'WetLitterbags placem_collection'!Y151)),"YES","NO")</f>
        <v>NO</v>
      </c>
    </row>
    <row r="811" spans="1:40" ht="15" customHeight="1">
      <c r="A811" s="258" t="s">
        <v>2460</v>
      </c>
      <c r="B811" s="263">
        <f>'Dry_Litterbag Placem_Collection'!A152</f>
        <v>150</v>
      </c>
      <c r="C811" s="263" t="str">
        <f>'Dry_Litterbag Placem_Collection'!B152</f>
        <v xml:space="preserve">Mwantimba
</v>
      </c>
      <c r="D811" s="263" t="s">
        <v>2460</v>
      </c>
      <c r="E811" s="263" t="s">
        <v>20</v>
      </c>
      <c r="F811" s="263">
        <v>3</v>
      </c>
      <c r="G811" s="264" t="str">
        <f>'Dry_Litterbag Placem_Collection'!C152</f>
        <v>Wet_P3_T6</v>
      </c>
      <c r="H811" s="273" t="s">
        <v>3651</v>
      </c>
      <c r="I811" s="274" t="s">
        <v>298</v>
      </c>
      <c r="J811" s="223" t="str">
        <f>'WetLitterbags placem_collection'!Q152</f>
        <v>R572</v>
      </c>
      <c r="K811" s="225">
        <f>IFERROR(INDEX('Green_rooibos initial weight'!$C$5:$C$1749,MATCH(J811, 'Green_rooibos initial weight'!$A$5:$A$1749,0)),"")</f>
        <v>2.0819999999999999</v>
      </c>
      <c r="L811" s="225">
        <f>IFERROR(K811-(TBIcalc!$H$9+TBIcalc!$H$10),"")</f>
        <v>1.8321999999999998</v>
      </c>
      <c r="M811" s="391">
        <f>AVERAGE(Ashed_controlls!$K$12:$K$14)</f>
        <v>2.2816647271287041</v>
      </c>
      <c r="N811" s="225">
        <f t="shared" si="65"/>
        <v>1.7903953388695477</v>
      </c>
      <c r="O811" s="225">
        <f>IF(IFERROR(INDEX('Both teabags AfterWet'!$C$3:$C$841,MATCH(J811,'Both teabags AfterWet'!$A$3:$A$841,0)),"")="","",(IFERROR(INDEX('Both teabags AfterWet'!$C$3:$C$841,MATCH(J811,'Both teabags AfterWet'!$A$3:$A$841,0)),"")))</f>
        <v>1.5680000000000001</v>
      </c>
      <c r="P811" s="225">
        <f>IFERROR(IF(O811&gt;0,O811-(TBIcalc!$H$9),""),"")</f>
        <v>1.4174</v>
      </c>
      <c r="Q811" s="225">
        <f>IFERROR(INDEX('Ashed teabags wet'!$K$2:$K$821,MATCH(J811,'Ashed teabags wet'!$A$2:$A$821,0)),"")</f>
        <v>7.1853320118927355</v>
      </c>
      <c r="R811" s="225">
        <f t="shared" si="68"/>
        <v>1.3155551040634323</v>
      </c>
      <c r="S811" s="226">
        <f>'WetLitterbags placem_collection'!E152</f>
        <v>42762</v>
      </c>
      <c r="T811" s="226">
        <f>IF('WetLitterbags placem_collection'!G152="","",'WetLitterbags placem_collection'!G152)</f>
        <v>42816</v>
      </c>
      <c r="U811" s="227">
        <f t="shared" si="69"/>
        <v>54</v>
      </c>
      <c r="V811" s="225">
        <f t="shared" si="66"/>
        <v>0.41479999999999984</v>
      </c>
      <c r="W811" s="225">
        <f t="shared" si="67"/>
        <v>0.47484023480611537</v>
      </c>
      <c r="X811">
        <f>IFERROR(INDEX(Rainfall_Wet!$O$2:$O$217,MATCH(B811, Rainfall_Wet!$A$2:$A$217,0)),"")</f>
        <v>206.85140822299999</v>
      </c>
      <c r="Y811" s="231">
        <v>39.96</v>
      </c>
      <c r="Z811" s="231">
        <v>12.920000000000002</v>
      </c>
      <c r="AA811" s="231">
        <v>47.12</v>
      </c>
      <c r="AB811" s="232" t="s">
        <v>2674</v>
      </c>
      <c r="AC811" s="231">
        <v>6.6549531789058696</v>
      </c>
      <c r="AD811">
        <f>IF('WetLitterbags placem_collection'!AB152="","",'WetLitterbags placem_collection'!AB152)</f>
        <v>2.75</v>
      </c>
      <c r="AE811">
        <f>IF('WetLitterbags placem_collection'!Z152="","",'WetLitterbags placem_collection'!Z152)</f>
        <v>19</v>
      </c>
      <c r="AF811" s="246" t="str">
        <f>IF('WetLitterbags placem_collection'!AA152="","",'WetLitterbags placem_collection'!AA152)</f>
        <v>O</v>
      </c>
      <c r="AG811">
        <f>IF('WetLitterbags placem_collection'!AC152="","",'WetLitterbags placem_collection'!AC152)</f>
        <v>0</v>
      </c>
      <c r="AH811">
        <f>AVERAGE('WetLitterbags placem_collection'!S152,'WetLitterbags placem_collection'!U152)</f>
        <v>22.55</v>
      </c>
      <c r="AI811">
        <f>AVERAGE('WetLitterbags placem_collection'!R152,'WetLitterbags placem_collection'!T152)</f>
        <v>24.75</v>
      </c>
      <c r="AJ811">
        <f>INDEX(Coordinates!$B$2:$B$197,MATCH(G811,Coordinates!$J$2:$J$197,0))</f>
        <v>-2.3675230329999999</v>
      </c>
      <c r="AK811">
        <f>INDEX(Coordinates!$C$2:$C$197,MATCH(G811,Coordinates!$J$2:$J$197,0))</f>
        <v>34.060512969999998</v>
      </c>
      <c r="AL811" t="str">
        <f>IF(ISNUMBER(SEARCH("C", 'WetLitterbags placem_collection'!Y152)),"YES","NO")</f>
        <v>NO</v>
      </c>
      <c r="AM811" t="str">
        <f>IF(ISNUMBER(SEARCH("H", 'WetLitterbags placem_collection'!Y152)),"YES","NO")</f>
        <v>NO</v>
      </c>
      <c r="AN811" t="str">
        <f>IF(ISNUMBER(SEARCH("R", 'WetLitterbags placem_collection'!Y152)),"YES","NO")</f>
        <v>NO</v>
      </c>
    </row>
    <row r="812" spans="1:40" ht="15" customHeight="1">
      <c r="A812" s="258" t="s">
        <v>2460</v>
      </c>
      <c r="B812" s="263">
        <f>'Dry_Litterbag Placem_Collection'!A153</f>
        <v>151</v>
      </c>
      <c r="C812" s="263" t="str">
        <f>'Dry_Litterbag Placem_Collection'!B153</f>
        <v xml:space="preserve">Mwantimba
</v>
      </c>
      <c r="D812" s="263" t="s">
        <v>2460</v>
      </c>
      <c r="E812" s="263" t="s">
        <v>20</v>
      </c>
      <c r="F812" s="263">
        <v>3</v>
      </c>
      <c r="G812" s="264" t="str">
        <f>'Dry_Litterbag Placem_Collection'!C153</f>
        <v>Wet_P3_T7</v>
      </c>
      <c r="H812" s="273" t="s">
        <v>3651</v>
      </c>
      <c r="I812" s="274" t="s">
        <v>298</v>
      </c>
      <c r="J812" s="223" t="str">
        <f>'WetLitterbags placem_collection'!Q153</f>
        <v>R504</v>
      </c>
      <c r="K812" s="225">
        <f>IFERROR(INDEX('Green_rooibos initial weight'!$C$5:$C$1749,MATCH(J812, 'Green_rooibos initial weight'!$A$5:$A$1749,0)),"")</f>
        <v>2.1629999999999998</v>
      </c>
      <c r="L812" s="225">
        <f>IFERROR(K812-(TBIcalc!$H$9+TBIcalc!$H$10),"")</f>
        <v>1.9131999999999998</v>
      </c>
      <c r="M812" s="391">
        <f>AVERAGE(Ashed_controlls!$K$12:$K$14)</f>
        <v>2.2816647271287041</v>
      </c>
      <c r="N812" s="225">
        <f t="shared" si="65"/>
        <v>1.8695471904405734</v>
      </c>
      <c r="O812" s="225">
        <f>IF(IFERROR(INDEX('Both teabags AfterWet'!$C$3:$C$841,MATCH(J812,'Both teabags AfterWet'!$A$3:$A$841,0)),"")="","",(IFERROR(INDEX('Both teabags AfterWet'!$C$3:$C$841,MATCH(J812,'Both teabags AfterWet'!$A$3:$A$841,0)),"")))</f>
        <v>1.798</v>
      </c>
      <c r="P812" s="225">
        <f>IFERROR(IF(O812&gt;0,O812-(TBIcalc!$H$9),""),"")</f>
        <v>1.6474</v>
      </c>
      <c r="Q812" s="225">
        <f>IFERROR(INDEX('Ashed teabags wet'!$K$2:$K$821,MATCH(J812,'Ashed teabags wet'!$A$2:$A$821,0)),"")</f>
        <v>6.3484251968501049</v>
      </c>
      <c r="R812" s="225">
        <f t="shared" si="68"/>
        <v>1.5428160433070914</v>
      </c>
      <c r="S812" s="226">
        <f>'WetLitterbags placem_collection'!E153</f>
        <v>42762</v>
      </c>
      <c r="T812" s="226">
        <f>IF('WetLitterbags placem_collection'!G153="","",'WetLitterbags placem_collection'!G153)</f>
        <v>42816</v>
      </c>
      <c r="U812" s="227">
        <f t="shared" si="69"/>
        <v>54</v>
      </c>
      <c r="V812" s="225">
        <f t="shared" si="66"/>
        <v>0.26579999999999981</v>
      </c>
      <c r="W812" s="225">
        <f t="shared" si="67"/>
        <v>0.32673114713348195</v>
      </c>
      <c r="X812">
        <f>IFERROR(INDEX(Rainfall_Wet!$O$2:$O$217,MATCH(B812, Rainfall_Wet!$A$2:$A$217,0)),"")</f>
        <v>206.85140822299999</v>
      </c>
      <c r="Y812" s="231">
        <v>39.96</v>
      </c>
      <c r="Z812" s="231">
        <v>12.920000000000002</v>
      </c>
      <c r="AA812" s="231">
        <v>47.12</v>
      </c>
      <c r="AB812" s="232" t="s">
        <v>2674</v>
      </c>
      <c r="AC812" s="231">
        <v>7.6549531789058696</v>
      </c>
      <c r="AD812">
        <f>IF('WetLitterbags placem_collection'!AB153="","",'WetLitterbags placem_collection'!AB153)</f>
        <v>1.4</v>
      </c>
      <c r="AE812">
        <f>IF('WetLitterbags placem_collection'!Z153="","",'WetLitterbags placem_collection'!Z153)</f>
        <v>7.9</v>
      </c>
      <c r="AF812" s="246" t="str">
        <f>IF('WetLitterbags placem_collection'!AA153="","",'WetLitterbags placem_collection'!AA153)</f>
        <v>O</v>
      </c>
      <c r="AG812">
        <f>IF('WetLitterbags placem_collection'!AC153="","",'WetLitterbags placem_collection'!AC153)</f>
        <v>1</v>
      </c>
      <c r="AH812">
        <f>AVERAGE('WetLitterbags placem_collection'!S153,'WetLitterbags placem_collection'!U153)</f>
        <v>26.049999999999997</v>
      </c>
      <c r="AI812">
        <f>AVERAGE('WetLitterbags placem_collection'!R153,'WetLitterbags placem_collection'!T153)</f>
        <v>26.5</v>
      </c>
      <c r="AJ812">
        <f>INDEX(Coordinates!$B$2:$B$197,MATCH(G812,Coordinates!$J$2:$J$197,0))</f>
        <v>-2.3673460070000001</v>
      </c>
      <c r="AK812">
        <f>INDEX(Coordinates!$C$2:$C$197,MATCH(G812,Coordinates!$J$2:$J$197,0))</f>
        <v>34.060310039999997</v>
      </c>
      <c r="AL812" t="str">
        <f>IF(ISNUMBER(SEARCH("C", 'WetLitterbags placem_collection'!Y153)),"YES","NO")</f>
        <v>NO</v>
      </c>
      <c r="AM812" t="str">
        <f>IF(ISNUMBER(SEARCH("H", 'WetLitterbags placem_collection'!Y153)),"YES","NO")</f>
        <v>NO</v>
      </c>
      <c r="AN812" t="str">
        <f>IF(ISNUMBER(SEARCH("R", 'WetLitterbags placem_collection'!Y153)),"YES","NO")</f>
        <v>NO</v>
      </c>
    </row>
    <row r="813" spans="1:40" ht="15" customHeight="1">
      <c r="A813" s="258" t="s">
        <v>2460</v>
      </c>
      <c r="B813" s="263">
        <f>'Dry_Litterbag Placem_Collection'!A154</f>
        <v>152</v>
      </c>
      <c r="C813" s="263" t="str">
        <f>'Dry_Litterbag Placem_Collection'!B154</f>
        <v xml:space="preserve">Mwantimba
</v>
      </c>
      <c r="D813" s="263" t="s">
        <v>2460</v>
      </c>
      <c r="E813" s="263" t="s">
        <v>20</v>
      </c>
      <c r="F813" s="263">
        <v>3</v>
      </c>
      <c r="G813" s="264" t="str">
        <f>'Dry_Litterbag Placem_Collection'!C154</f>
        <v>Wet_P3_T8</v>
      </c>
      <c r="H813" s="273" t="s">
        <v>3651</v>
      </c>
      <c r="I813" s="274" t="s">
        <v>298</v>
      </c>
      <c r="J813" s="223" t="str">
        <f>'WetLitterbags placem_collection'!Q154</f>
        <v>R579</v>
      </c>
      <c r="K813" s="225">
        <f>IFERROR(INDEX('Green_rooibos initial weight'!$C$5:$C$1749,MATCH(J813, 'Green_rooibos initial weight'!$A$5:$A$1749,0)),"")</f>
        <v>2.1349999999999998</v>
      </c>
      <c r="L813" s="225">
        <f>IFERROR(K813-(TBIcalc!$H$9+TBIcalc!$H$10),"")</f>
        <v>1.8851999999999998</v>
      </c>
      <c r="M813" s="391">
        <f>AVERAGE(Ashed_controlls!$K$12:$K$14)</f>
        <v>2.2816647271287041</v>
      </c>
      <c r="N813" s="225">
        <f t="shared" si="65"/>
        <v>1.8421860565641694</v>
      </c>
      <c r="O813" s="225">
        <f>IF(IFERROR(INDEX('Both teabags AfterWet'!$C$3:$C$841,MATCH(J813,'Both teabags AfterWet'!$A$3:$A$841,0)),"")="","",(IFERROR(INDEX('Both teabags AfterWet'!$C$3:$C$841,MATCH(J813,'Both teabags AfterWet'!$A$3:$A$841,0)),"")))</f>
        <v>1.5234000000000001</v>
      </c>
      <c r="P813" s="225">
        <f>IFERROR(IF(O813&gt;0,O813-(TBIcalc!$H$9),""),"")</f>
        <v>1.3728</v>
      </c>
      <c r="Q813" s="225">
        <f>IFERROR(INDEX('Ashed teabags wet'!$K$2:$K$821,MATCH(J813,'Ashed teabags wet'!$A$2:$A$821,0)),"")</f>
        <v>5.1525762881442967</v>
      </c>
      <c r="R813" s="225">
        <f t="shared" si="68"/>
        <v>1.302065432716355</v>
      </c>
      <c r="S813" s="226">
        <f>'WetLitterbags placem_collection'!E154</f>
        <v>42762</v>
      </c>
      <c r="T813" s="226">
        <f>IF('WetLitterbags placem_collection'!G154="","",'WetLitterbags placem_collection'!G154)</f>
        <v>42816</v>
      </c>
      <c r="U813" s="227">
        <f t="shared" si="69"/>
        <v>54</v>
      </c>
      <c r="V813" s="225">
        <f t="shared" si="66"/>
        <v>0.51239999999999974</v>
      </c>
      <c r="W813" s="225">
        <f t="shared" si="67"/>
        <v>0.54012062384781445</v>
      </c>
      <c r="X813">
        <f>IFERROR(INDEX(Rainfall_Wet!$O$2:$O$217,MATCH(B813, Rainfall_Wet!$A$2:$A$217,0)),"")</f>
        <v>206.85140822299999</v>
      </c>
      <c r="Y813" s="231">
        <v>39.96</v>
      </c>
      <c r="Z813" s="231">
        <v>12.920000000000002</v>
      </c>
      <c r="AA813" s="231">
        <v>47.12</v>
      </c>
      <c r="AB813" s="232" t="s">
        <v>2674</v>
      </c>
      <c r="AC813" s="231">
        <v>8.6549531789058705</v>
      </c>
      <c r="AD813">
        <f>IF('WetLitterbags placem_collection'!AB154="","",'WetLitterbags placem_collection'!AB154)</f>
        <v>2.2000000000000002</v>
      </c>
      <c r="AE813">
        <f>IF('WetLitterbags placem_collection'!Z154="","",'WetLitterbags placem_collection'!Z154)</f>
        <v>15</v>
      </c>
      <c r="AF813" s="246" t="str">
        <f>IF('WetLitterbags placem_collection'!AA154="","",'WetLitterbags placem_collection'!AA154)</f>
        <v>M</v>
      </c>
      <c r="AG813">
        <f>IF('WetLitterbags placem_collection'!AC154="","",'WetLitterbags placem_collection'!AC154)</f>
        <v>0</v>
      </c>
      <c r="AH813">
        <f>AVERAGE('WetLitterbags placem_collection'!S154,'WetLitterbags placem_collection'!U154)</f>
        <v>18.8</v>
      </c>
      <c r="AI813">
        <f>AVERAGE('WetLitterbags placem_collection'!R154,'WetLitterbags placem_collection'!T154)</f>
        <v>23.7</v>
      </c>
      <c r="AJ813">
        <f>INDEX(Coordinates!$B$2:$B$197,MATCH(G813,Coordinates!$J$2:$J$197,0))</f>
        <v>-2.367543988</v>
      </c>
      <c r="AK813">
        <f>INDEX(Coordinates!$C$2:$C$197,MATCH(G813,Coordinates!$J$2:$J$197,0))</f>
        <v>34.060168969999999</v>
      </c>
      <c r="AL813" t="str">
        <f>IF(ISNUMBER(SEARCH("C", 'WetLitterbags placem_collection'!Y154)),"YES","NO")</f>
        <v>NO</v>
      </c>
      <c r="AM813" t="str">
        <f>IF(ISNUMBER(SEARCH("H", 'WetLitterbags placem_collection'!Y154)),"YES","NO")</f>
        <v>NO</v>
      </c>
      <c r="AN813" t="str">
        <f>IF(ISNUMBER(SEARCH("R", 'WetLitterbags placem_collection'!Y154)),"YES","NO")</f>
        <v>NO</v>
      </c>
    </row>
    <row r="814" spans="1:40" ht="15" customHeight="1">
      <c r="A814" s="258" t="s">
        <v>2460</v>
      </c>
      <c r="B814" s="263">
        <f>'Dry_Litterbag Placem_Collection'!A155</f>
        <v>153</v>
      </c>
      <c r="C814" s="263" t="str">
        <f>'Dry_Litterbag Placem_Collection'!B155</f>
        <v xml:space="preserve">Mwantimba
</v>
      </c>
      <c r="D814" s="263" t="s">
        <v>2460</v>
      </c>
      <c r="E814" s="263" t="s">
        <v>20</v>
      </c>
      <c r="F814" s="263">
        <v>4</v>
      </c>
      <c r="G814" s="264" t="str">
        <f>'Dry_Litterbag Placem_Collection'!C155</f>
        <v>Wet_P4_T1</v>
      </c>
      <c r="H814" s="273" t="s">
        <v>3651</v>
      </c>
      <c r="I814" s="274" t="s">
        <v>298</v>
      </c>
      <c r="J814" s="223" t="str">
        <f>'WetLitterbags placem_collection'!Q155</f>
        <v>R440</v>
      </c>
      <c r="K814" s="225">
        <f>IFERROR(INDEX('Green_rooibos initial weight'!$C$5:$C$1749,MATCH(J814, 'Green_rooibos initial weight'!$A$5:$A$1749,0)),"")</f>
        <v>2.1110000000000002</v>
      </c>
      <c r="L814" s="225">
        <f>IFERROR(K814-(TBIcalc!$H$9+TBIcalc!$H$10),"")</f>
        <v>1.8612000000000002</v>
      </c>
      <c r="M814" s="391">
        <f>AVERAGE(Ashed_controlls!$K$12:$K$14)</f>
        <v>2.2816647271287041</v>
      </c>
      <c r="N814" s="225">
        <f t="shared" si="65"/>
        <v>1.8187336560986807</v>
      </c>
      <c r="O814" s="225">
        <f>IF(IFERROR(INDEX('Both teabags AfterWet'!$C$3:$C$841,MATCH(J814,'Both teabags AfterWet'!$A$3:$A$841,0)),"")="","",(IFERROR(INDEX('Both teabags AfterWet'!$C$3:$C$841,MATCH(J814,'Both teabags AfterWet'!$A$3:$A$841,0)),"")))</f>
        <v>1.6322000000000001</v>
      </c>
      <c r="P814" s="225">
        <f>IFERROR(IF(O814&gt;0,O814-(TBIcalc!$H$9),""),"")</f>
        <v>1.4816</v>
      </c>
      <c r="Q814" s="225">
        <f>IFERROR(INDEX('Ashed teabags wet'!$K$2:$K$821,MATCH(J814,'Ashed teabags wet'!$A$2:$A$821,0)),"")</f>
        <v>4.0218470705065492</v>
      </c>
      <c r="R814" s="225">
        <f t="shared" si="68"/>
        <v>1.4220123138033749</v>
      </c>
      <c r="S814" s="226">
        <f>'WetLitterbags placem_collection'!E155</f>
        <v>42762</v>
      </c>
      <c r="T814" s="226">
        <f>IF('WetLitterbags placem_collection'!G155="","",'WetLitterbags placem_collection'!G155)</f>
        <v>42816</v>
      </c>
      <c r="U814" s="227">
        <f t="shared" si="69"/>
        <v>54</v>
      </c>
      <c r="V814" s="225">
        <f t="shared" si="66"/>
        <v>0.37960000000000016</v>
      </c>
      <c r="W814" s="225">
        <f t="shared" si="67"/>
        <v>0.39672134229530576</v>
      </c>
      <c r="X814">
        <f>IFERROR(INDEX(Rainfall_Wet!$O$2:$O$217,MATCH(B814, Rainfall_Wet!$A$2:$A$217,0)),"")</f>
        <v>206.85140822299999</v>
      </c>
      <c r="Y814" s="231">
        <v>27.96</v>
      </c>
      <c r="Z814" s="231">
        <v>4.9200000000000017</v>
      </c>
      <c r="AA814" s="231">
        <v>67.12</v>
      </c>
      <c r="AB814" s="232" t="s">
        <v>2670</v>
      </c>
      <c r="AC814" s="231">
        <v>1.0437161163134547</v>
      </c>
      <c r="AD814">
        <f>IF('WetLitterbags placem_collection'!AB155="","",'WetLitterbags placem_collection'!AB155)</f>
        <v>2.1</v>
      </c>
      <c r="AE814">
        <f>IF('WetLitterbags placem_collection'!Z155="","",'WetLitterbags placem_collection'!Z155)</f>
        <v>16.399999999999999</v>
      </c>
      <c r="AF814" s="246" t="str">
        <f>IF('WetLitterbags placem_collection'!AA155="","",'WetLitterbags placem_collection'!AA155)</f>
        <v>G</v>
      </c>
      <c r="AG814">
        <f>IF('WetLitterbags placem_collection'!AC155="","",'WetLitterbags placem_collection'!AC155)</f>
        <v>0</v>
      </c>
      <c r="AH814">
        <f>AVERAGE('WetLitterbags placem_collection'!S155,'WetLitterbags placem_collection'!U155)</f>
        <v>21.35</v>
      </c>
      <c r="AI814">
        <f>AVERAGE('WetLitterbags placem_collection'!R155,'WetLitterbags placem_collection'!T155)</f>
        <v>26.700000000000003</v>
      </c>
      <c r="AJ814">
        <f>INDEX(Coordinates!$B$2:$B$197,MATCH(G814,Coordinates!$J$2:$J$197,0))</f>
        <v>-2.3676780150000001</v>
      </c>
      <c r="AK814">
        <f>INDEX(Coordinates!$C$2:$C$197,MATCH(G814,Coordinates!$J$2:$J$197,0))</f>
        <v>34.05937797</v>
      </c>
      <c r="AL814" t="str">
        <f>IF(ISNUMBER(SEARCH("C", 'WetLitterbags placem_collection'!Y155)),"YES","NO")</f>
        <v>NO</v>
      </c>
      <c r="AM814" t="str">
        <f>IF(ISNUMBER(SEARCH("H", 'WetLitterbags placem_collection'!Y155)),"YES","NO")</f>
        <v>NO</v>
      </c>
      <c r="AN814" t="str">
        <f>IF(ISNUMBER(SEARCH("R", 'WetLitterbags placem_collection'!Y155)),"YES","NO")</f>
        <v>NO</v>
      </c>
    </row>
    <row r="815" spans="1:40" ht="15" customHeight="1">
      <c r="A815" s="258" t="s">
        <v>2460</v>
      </c>
      <c r="B815" s="263">
        <f>'Dry_Litterbag Placem_Collection'!A156</f>
        <v>154</v>
      </c>
      <c r="C815" s="263" t="str">
        <f>'Dry_Litterbag Placem_Collection'!B156</f>
        <v xml:space="preserve">Mwantimba
</v>
      </c>
      <c r="D815" s="263" t="s">
        <v>2460</v>
      </c>
      <c r="E815" s="263" t="s">
        <v>20</v>
      </c>
      <c r="F815" s="263">
        <v>4</v>
      </c>
      <c r="G815" s="264" t="str">
        <f>'Dry_Litterbag Placem_Collection'!C156</f>
        <v>Wet_P4_T2</v>
      </c>
      <c r="H815" s="273" t="s">
        <v>3651</v>
      </c>
      <c r="I815" s="274" t="s">
        <v>298</v>
      </c>
      <c r="J815" s="223" t="str">
        <f>'WetLitterbags placem_collection'!Q156</f>
        <v>R485</v>
      </c>
      <c r="K815" s="225">
        <f>IFERROR(INDEX('Green_rooibos initial weight'!$C$5:$C$1749,MATCH(J815, 'Green_rooibos initial weight'!$A$5:$A$1749,0)),"")</f>
        <v>2.242</v>
      </c>
      <c r="L815" s="225">
        <f>IFERROR(K815-(TBIcalc!$H$9+TBIcalc!$H$10),"")</f>
        <v>1.9922</v>
      </c>
      <c r="M815" s="391">
        <f>AVERAGE(Ashed_controlls!$K$12:$K$14)</f>
        <v>2.2816647271287041</v>
      </c>
      <c r="N815" s="225">
        <f t="shared" si="65"/>
        <v>1.9467446753061419</v>
      </c>
      <c r="O815" s="225">
        <f>IF(IFERROR(INDEX('Both teabags AfterWet'!$C$3:$C$841,MATCH(J815,'Both teabags AfterWet'!$A$3:$A$841,0)),"")="","",(IFERROR(INDEX('Both teabags AfterWet'!$C$3:$C$841,MATCH(J815,'Both teabags AfterWet'!$A$3:$A$841,0)),"")))</f>
        <v>1.839</v>
      </c>
      <c r="P815" s="225">
        <f>IFERROR(IF(O815&gt;0,O815-(TBIcalc!$H$9),""),"")</f>
        <v>1.6883999999999999</v>
      </c>
      <c r="Q815" s="225">
        <f>IFERROR(INDEX('Ashed teabags wet'!$K$2:$K$821,MATCH(J815,'Ashed teabags wet'!$A$2:$A$821,0)),"")</f>
        <v>11.924381968008097</v>
      </c>
      <c r="R815" s="225">
        <f t="shared" si="68"/>
        <v>1.4870687348521512</v>
      </c>
      <c r="S815" s="226">
        <f>'WetLitterbags placem_collection'!E156</f>
        <v>42762</v>
      </c>
      <c r="T815" s="226">
        <f>IF('WetLitterbags placem_collection'!G156="","",'WetLitterbags placem_collection'!G156)</f>
        <v>42816</v>
      </c>
      <c r="U815" s="227">
        <f t="shared" si="69"/>
        <v>54</v>
      </c>
      <c r="V815" s="225">
        <f t="shared" si="66"/>
        <v>0.30380000000000007</v>
      </c>
      <c r="W815" s="225">
        <f t="shared" si="67"/>
        <v>0.45967594045399074</v>
      </c>
      <c r="X815">
        <f>IFERROR(INDEX(Rainfall_Wet!$O$2:$O$217,MATCH(B815, Rainfall_Wet!$A$2:$A$217,0)),"")</f>
        <v>206.85140822299999</v>
      </c>
      <c r="Y815" s="231">
        <v>27.96</v>
      </c>
      <c r="Z815" s="231">
        <v>4.9200000000000017</v>
      </c>
      <c r="AA815" s="231">
        <v>67.12</v>
      </c>
      <c r="AB815" s="232" t="s">
        <v>2670</v>
      </c>
      <c r="AC815" s="231">
        <v>2.0437161163134498</v>
      </c>
      <c r="AD815">
        <f>IF('WetLitterbags placem_collection'!AB156="","",'WetLitterbags placem_collection'!AB156)</f>
        <v>2.15</v>
      </c>
      <c r="AE815">
        <f>IF('WetLitterbags placem_collection'!Z156="","",'WetLitterbags placem_collection'!Z156)</f>
        <v>9</v>
      </c>
      <c r="AF815" s="246" t="str">
        <f>IF('WetLitterbags placem_collection'!AA156="","",'WetLitterbags placem_collection'!AA156)</f>
        <v>G</v>
      </c>
      <c r="AG815">
        <f>IF('WetLitterbags placem_collection'!AC156="","",'WetLitterbags placem_collection'!AC156)</f>
        <v>0</v>
      </c>
      <c r="AH815">
        <f>AVERAGE('WetLitterbags placem_collection'!S156,'WetLitterbags placem_collection'!U156)</f>
        <v>23.5</v>
      </c>
      <c r="AI815">
        <f>AVERAGE('WetLitterbags placem_collection'!R156,'WetLitterbags placem_collection'!T156)</f>
        <v>25.7</v>
      </c>
      <c r="AJ815">
        <f>INDEX(Coordinates!$B$2:$B$197,MATCH(G815,Coordinates!$J$2:$J$197,0))</f>
        <v>-2.3677299820000002</v>
      </c>
      <c r="AK815">
        <f>INDEX(Coordinates!$C$2:$C$197,MATCH(G815,Coordinates!$J$2:$J$197,0))</f>
        <v>34.059351990000003</v>
      </c>
      <c r="AL815" t="str">
        <f>IF(ISNUMBER(SEARCH("C", 'WetLitterbags placem_collection'!Y156)),"YES","NO")</f>
        <v>NO</v>
      </c>
      <c r="AM815" t="str">
        <f>IF(ISNUMBER(SEARCH("H", 'WetLitterbags placem_collection'!Y156)),"YES","NO")</f>
        <v>NO</v>
      </c>
      <c r="AN815" t="str">
        <f>IF(ISNUMBER(SEARCH("R", 'WetLitterbags placem_collection'!Y156)),"YES","NO")</f>
        <v>NO</v>
      </c>
    </row>
    <row r="816" spans="1:40" ht="15" customHeight="1">
      <c r="A816" s="258" t="s">
        <v>2460</v>
      </c>
      <c r="B816" s="263">
        <f>'Dry_Litterbag Placem_Collection'!A157</f>
        <v>155</v>
      </c>
      <c r="C816" s="263" t="str">
        <f>'Dry_Litterbag Placem_Collection'!B157</f>
        <v xml:space="preserve">Mwantimba
</v>
      </c>
      <c r="D816" s="263" t="s">
        <v>2460</v>
      </c>
      <c r="E816" s="263" t="s">
        <v>20</v>
      </c>
      <c r="F816" s="263">
        <v>4</v>
      </c>
      <c r="G816" s="264" t="str">
        <f>'Dry_Litterbag Placem_Collection'!C157</f>
        <v>Wet_P4_T3</v>
      </c>
      <c r="H816" s="273" t="s">
        <v>3651</v>
      </c>
      <c r="I816" s="274" t="s">
        <v>298</v>
      </c>
      <c r="J816" s="223" t="str">
        <f>'WetLitterbags placem_collection'!Q157</f>
        <v>R556</v>
      </c>
      <c r="K816" s="225">
        <f>IFERROR(INDEX('Green_rooibos initial weight'!$C$5:$C$1749,MATCH(J816, 'Green_rooibos initial weight'!$A$5:$A$1749,0)),"")</f>
        <v>2.0830000000000002</v>
      </c>
      <c r="L816" s="225">
        <f>IFERROR(K816-(TBIcalc!$H$9+TBIcalc!$H$10),"")</f>
        <v>1.8332000000000002</v>
      </c>
      <c r="M816" s="391">
        <f>AVERAGE(Ashed_controlls!$K$12:$K$14)</f>
        <v>2.2816647271287041</v>
      </c>
      <c r="N816" s="225">
        <f t="shared" si="65"/>
        <v>1.7913725222222767</v>
      </c>
      <c r="O816" s="225">
        <f>IF(IFERROR(INDEX('Both teabags AfterWet'!$C$3:$C$841,MATCH(J816,'Both teabags AfterWet'!$A$3:$A$841,0)),"")="","",(IFERROR(INDEX('Both teabags AfterWet'!$C$3:$C$841,MATCH(J816,'Both teabags AfterWet'!$A$3:$A$841,0)),"")))</f>
        <v>1.643</v>
      </c>
      <c r="P816" s="225">
        <f>IFERROR(IF(O816&gt;0,O816-(TBIcalc!$H$9),""),"")</f>
        <v>1.4923999999999999</v>
      </c>
      <c r="Q816" s="225">
        <f>IFERROR(INDEX('Ashed teabags wet'!$K$2:$K$821,MATCH(J816,'Ashed teabags wet'!$A$2:$A$821,0)),"")</f>
        <v>7.5886170743882877</v>
      </c>
      <c r="R816" s="225">
        <f t="shared" si="68"/>
        <v>1.3791474787818292</v>
      </c>
      <c r="S816" s="226">
        <f>'WetLitterbags placem_collection'!E157</f>
        <v>42762</v>
      </c>
      <c r="T816" s="226">
        <f>IF('WetLitterbags placem_collection'!G157="","",'WetLitterbags placem_collection'!G157)</f>
        <v>42816</v>
      </c>
      <c r="U816" s="227">
        <f t="shared" si="69"/>
        <v>54</v>
      </c>
      <c r="V816" s="225">
        <f t="shared" si="66"/>
        <v>0.34080000000000021</v>
      </c>
      <c r="W816" s="225">
        <f t="shared" si="67"/>
        <v>0.41222504344044753</v>
      </c>
      <c r="X816">
        <f>IFERROR(INDEX(Rainfall_Wet!$O$2:$O$217,MATCH(B816, Rainfall_Wet!$A$2:$A$217,0)),"")</f>
        <v>206.85140822299999</v>
      </c>
      <c r="Y816" s="231">
        <v>27.96</v>
      </c>
      <c r="Z816" s="231">
        <v>4.9200000000000017</v>
      </c>
      <c r="AA816" s="231">
        <v>67.12</v>
      </c>
      <c r="AB816" s="232" t="s">
        <v>2670</v>
      </c>
      <c r="AC816" s="231">
        <v>3.0437161163134498</v>
      </c>
      <c r="AD816">
        <f>IF('WetLitterbags placem_collection'!AB157="","",'WetLitterbags placem_collection'!AB157)</f>
        <v>1.2</v>
      </c>
      <c r="AE816">
        <f>IF('WetLitterbags placem_collection'!Z157="","",'WetLitterbags placem_collection'!Z157)</f>
        <v>11</v>
      </c>
      <c r="AF816" s="246" t="str">
        <f>IF('WetLitterbags placem_collection'!AA157="","",'WetLitterbags placem_collection'!AA157)</f>
        <v>G</v>
      </c>
      <c r="AG816">
        <f>IF('WetLitterbags placem_collection'!AC157="","",'WetLitterbags placem_collection'!AC157)</f>
        <v>0</v>
      </c>
      <c r="AH816">
        <f>AVERAGE('WetLitterbags placem_collection'!S157,'WetLitterbags placem_collection'!U157)</f>
        <v>23.75</v>
      </c>
      <c r="AI816">
        <f>AVERAGE('WetLitterbags placem_collection'!R157,'WetLitterbags placem_collection'!T157)</f>
        <v>26.799999999999997</v>
      </c>
      <c r="AJ816">
        <f>INDEX(Coordinates!$B$2:$B$197,MATCH(G816,Coordinates!$J$2:$J$197,0))</f>
        <v>-2.3677119609999999</v>
      </c>
      <c r="AK816">
        <f>INDEX(Coordinates!$C$2:$C$197,MATCH(G816,Coordinates!$J$2:$J$197,0))</f>
        <v>34.059339000000001</v>
      </c>
      <c r="AL816" t="str">
        <f>IF(ISNUMBER(SEARCH("C", 'WetLitterbags placem_collection'!Y157)),"YES","NO")</f>
        <v>NO</v>
      </c>
      <c r="AM816" t="str">
        <f>IF(ISNUMBER(SEARCH("H", 'WetLitterbags placem_collection'!Y157)),"YES","NO")</f>
        <v>NO</v>
      </c>
      <c r="AN816" t="str">
        <f>IF(ISNUMBER(SEARCH("R", 'WetLitterbags placem_collection'!Y157)),"YES","NO")</f>
        <v>NO</v>
      </c>
    </row>
    <row r="817" spans="1:40" ht="15" customHeight="1">
      <c r="A817" s="258" t="s">
        <v>2460</v>
      </c>
      <c r="B817" s="263">
        <f>'Dry_Litterbag Placem_Collection'!A158</f>
        <v>156</v>
      </c>
      <c r="C817" s="263" t="str">
        <f>'Dry_Litterbag Placem_Collection'!B158</f>
        <v xml:space="preserve">Mwantimba
</v>
      </c>
      <c r="D817" s="263" t="s">
        <v>2460</v>
      </c>
      <c r="E817" s="263" t="s">
        <v>20</v>
      </c>
      <c r="F817" s="263">
        <v>4</v>
      </c>
      <c r="G817" s="264" t="str">
        <f>'Dry_Litterbag Placem_Collection'!C158</f>
        <v>Wet_P4_T4</v>
      </c>
      <c r="H817" s="273" t="s">
        <v>3651</v>
      </c>
      <c r="I817" s="274" t="s">
        <v>298</v>
      </c>
      <c r="J817" s="223" t="str">
        <f>'WetLitterbags placem_collection'!Q158</f>
        <v>R464</v>
      </c>
      <c r="K817" s="225">
        <f>IFERROR(INDEX('Green_rooibos initial weight'!$C$5:$C$1749,MATCH(J817, 'Green_rooibos initial weight'!$A$5:$A$1749,0)),"")</f>
        <v>2.2040000000000002</v>
      </c>
      <c r="L817" s="225">
        <f>IFERROR(K817-(TBIcalc!$H$9+TBIcalc!$H$10),"")</f>
        <v>1.9542000000000002</v>
      </c>
      <c r="M817" s="391">
        <f>AVERAGE(Ashed_controlls!$K$12:$K$14)</f>
        <v>2.2816647271287041</v>
      </c>
      <c r="N817" s="225">
        <f t="shared" si="65"/>
        <v>1.909611707902451</v>
      </c>
      <c r="O817" s="225">
        <f>IF(IFERROR(INDEX('Both teabags AfterWet'!$C$3:$C$841,MATCH(J817,'Both teabags AfterWet'!$A$3:$A$841,0)),"")="","",(IFERROR(INDEX('Both teabags AfterWet'!$C$3:$C$841,MATCH(J817,'Both teabags AfterWet'!$A$3:$A$841,0)),"")))</f>
        <v>1.802</v>
      </c>
      <c r="P817" s="225">
        <f>IFERROR(IF(O817&gt;0,O817-(TBIcalc!$H$9),""),"")</f>
        <v>1.6514</v>
      </c>
      <c r="Q817" s="225">
        <f>IFERROR(INDEX('Ashed teabags wet'!$K$2:$K$821,MATCH(J817,'Ashed teabags wet'!$A$2:$A$821,0)),"")</f>
        <v>8.8737201365180916</v>
      </c>
      <c r="R817" s="225">
        <f t="shared" si="68"/>
        <v>1.5048593856655401</v>
      </c>
      <c r="S817" s="226">
        <f>'WetLitterbags placem_collection'!E158</f>
        <v>42762</v>
      </c>
      <c r="T817" s="226">
        <f>IF('WetLitterbags placem_collection'!G158="","",'WetLitterbags placem_collection'!G158)</f>
        <v>42816</v>
      </c>
      <c r="U817" s="227">
        <f t="shared" si="69"/>
        <v>54</v>
      </c>
      <c r="V817" s="225">
        <f t="shared" si="66"/>
        <v>0.30280000000000018</v>
      </c>
      <c r="W817" s="225">
        <f t="shared" si="67"/>
        <v>0.40475232223691093</v>
      </c>
      <c r="X817">
        <f>IFERROR(INDEX(Rainfall_Wet!$O$2:$O$217,MATCH(B817, Rainfall_Wet!$A$2:$A$217,0)),"")</f>
        <v>206.85140822299999</v>
      </c>
      <c r="Y817" s="231">
        <v>27.96</v>
      </c>
      <c r="Z817" s="231">
        <v>4.9200000000000017</v>
      </c>
      <c r="AA817" s="231">
        <v>67.12</v>
      </c>
      <c r="AB817" s="232" t="s">
        <v>2670</v>
      </c>
      <c r="AC817" s="231">
        <v>4.0437161163134503</v>
      </c>
      <c r="AD817">
        <f>IF('WetLitterbags placem_collection'!AB158="","",'WetLitterbags placem_collection'!AB158)</f>
        <v>1.55</v>
      </c>
      <c r="AE817">
        <f>IF('WetLitterbags placem_collection'!Z158="","",'WetLitterbags placem_collection'!Z158)</f>
        <v>9.1</v>
      </c>
      <c r="AF817" s="246" t="str">
        <f>IF('WetLitterbags placem_collection'!AA158="","",'WetLitterbags placem_collection'!AA158)</f>
        <v>O</v>
      </c>
      <c r="AG817">
        <f>IF('WetLitterbags placem_collection'!AC158="","",'WetLitterbags placem_collection'!AC158)</f>
        <v>0</v>
      </c>
      <c r="AH817">
        <f>AVERAGE('WetLitterbags placem_collection'!S158,'WetLitterbags placem_collection'!U158)</f>
        <v>21.700000000000003</v>
      </c>
      <c r="AI817">
        <f>AVERAGE('WetLitterbags placem_collection'!R158,'WetLitterbags placem_collection'!T158)</f>
        <v>26.95</v>
      </c>
      <c r="AJ817">
        <f>INDEX(Coordinates!$B$2:$B$197,MATCH(G817,Coordinates!$J$2:$J$197,0))</f>
        <v>-2.3676950300000001</v>
      </c>
      <c r="AK817">
        <f>INDEX(Coordinates!$C$2:$C$197,MATCH(G817,Coordinates!$J$2:$J$197,0))</f>
        <v>34.059499010000003</v>
      </c>
      <c r="AL817" t="str">
        <f>IF(ISNUMBER(SEARCH("C", 'WetLitterbags placem_collection'!Y158)),"YES","NO")</f>
        <v>NO</v>
      </c>
      <c r="AM817" t="str">
        <f>IF(ISNUMBER(SEARCH("H", 'WetLitterbags placem_collection'!Y158)),"YES","NO")</f>
        <v>NO</v>
      </c>
      <c r="AN817" t="str">
        <f>IF(ISNUMBER(SEARCH("R", 'WetLitterbags placem_collection'!Y158)),"YES","NO")</f>
        <v>YES</v>
      </c>
    </row>
    <row r="818" spans="1:40" ht="15" customHeight="1">
      <c r="A818" s="258" t="s">
        <v>2460</v>
      </c>
      <c r="B818" s="263">
        <f>'Dry_Litterbag Placem_Collection'!A159</f>
        <v>157</v>
      </c>
      <c r="C818" s="263" t="str">
        <f>'Dry_Litterbag Placem_Collection'!B159</f>
        <v xml:space="preserve">Mwantimba
</v>
      </c>
      <c r="D818" s="263" t="s">
        <v>2460</v>
      </c>
      <c r="E818" s="263" t="s">
        <v>20</v>
      </c>
      <c r="F818" s="263">
        <v>4</v>
      </c>
      <c r="G818" s="264" t="str">
        <f>'Dry_Litterbag Placem_Collection'!C159</f>
        <v>Wet_P4_T5</v>
      </c>
      <c r="H818" s="273" t="s">
        <v>3651</v>
      </c>
      <c r="I818" s="274" t="s">
        <v>298</v>
      </c>
      <c r="J818" s="223" t="str">
        <f>'WetLitterbags placem_collection'!Q159</f>
        <v>R35</v>
      </c>
      <c r="K818" s="225">
        <f>IFERROR(INDEX('Green_rooibos initial weight'!$C$5:$C$1749,MATCH(J818, 'Green_rooibos initial weight'!$A$5:$A$1749,0)),"")</f>
        <v>2.0630000000000002</v>
      </c>
      <c r="L818" s="225">
        <f>IFERROR(K818-(TBIcalc!$H$9+TBIcalc!$H$10),"")</f>
        <v>1.8132000000000001</v>
      </c>
      <c r="M818" s="391">
        <f>AVERAGE(Ashed_controlls!$K$12:$K$14)</f>
        <v>2.2816647271287041</v>
      </c>
      <c r="N818" s="225">
        <f t="shared" si="65"/>
        <v>1.7718288551677024</v>
      </c>
      <c r="O818" s="225">
        <f>IF(IFERROR(INDEX('Both teabags AfterWet'!$C$3:$C$841,MATCH(J818,'Both teabags AfterWet'!$A$3:$A$841,0)),"")="","",(IFERROR(INDEX('Both teabags AfterWet'!$C$3:$C$841,MATCH(J818,'Both teabags AfterWet'!$A$3:$A$841,0)),"")))</f>
        <v>1.994</v>
      </c>
      <c r="P818" s="225">
        <f>IFERROR(IF(O818&gt;0,O818-(TBIcalc!$H$9),""),"")</f>
        <v>1.8433999999999999</v>
      </c>
      <c r="Q818" s="225">
        <f>IFERROR(INDEX('Ashed teabags wet'!$K$2:$K$821,MATCH(J818,'Ashed teabags wet'!$A$2:$A$821,0)),"")</f>
        <v>10.019743336623607</v>
      </c>
      <c r="R818" s="225">
        <f t="shared" si="68"/>
        <v>1.6586960513326803</v>
      </c>
      <c r="S818" s="226">
        <f>'WetLitterbags placem_collection'!E159</f>
        <v>42762</v>
      </c>
      <c r="T818" s="226">
        <f>IF('WetLitterbags placem_collection'!G159="","",'WetLitterbags placem_collection'!G159)</f>
        <v>42816</v>
      </c>
      <c r="U818" s="227">
        <f t="shared" si="69"/>
        <v>54</v>
      </c>
      <c r="V818" s="225">
        <f t="shared" si="66"/>
        <v>-3.0199999999999783E-2</v>
      </c>
      <c r="W818" s="225">
        <f t="shared" si="67"/>
        <v>0.11313280383502211</v>
      </c>
      <c r="X818">
        <f>IFERROR(INDEX(Rainfall_Wet!$O$2:$O$217,MATCH(B818, Rainfall_Wet!$A$2:$A$217,0)),"")</f>
        <v>206.85140822299999</v>
      </c>
      <c r="Y818" s="231">
        <v>27.96</v>
      </c>
      <c r="Z818" s="231">
        <v>4.9200000000000017</v>
      </c>
      <c r="AA818" s="231">
        <v>67.12</v>
      </c>
      <c r="AB818" s="232" t="s">
        <v>2670</v>
      </c>
      <c r="AC818" s="231">
        <v>5.0437161163134503</v>
      </c>
      <c r="AD818">
        <f>IF('WetLitterbags placem_collection'!AB159="","",'WetLitterbags placem_collection'!AB159)</f>
        <v>2.2999999999999998</v>
      </c>
      <c r="AE818">
        <f>IF('WetLitterbags placem_collection'!Z159="","",'WetLitterbags placem_collection'!Z159)</f>
        <v>7.7</v>
      </c>
      <c r="AF818" s="246" t="str">
        <f>IF('WetLitterbags placem_collection'!AA159="","",'WetLitterbags placem_collection'!AA159)</f>
        <v>O</v>
      </c>
      <c r="AG818">
        <f>IF('WetLitterbags placem_collection'!AC159="","",'WetLitterbags placem_collection'!AC159)</f>
        <v>0</v>
      </c>
      <c r="AH818">
        <f>AVERAGE('WetLitterbags placem_collection'!S159,'WetLitterbags placem_collection'!U159)</f>
        <v>22.6</v>
      </c>
      <c r="AI818">
        <f>AVERAGE('WetLitterbags placem_collection'!R159,'WetLitterbags placem_collection'!T159)</f>
        <v>29.2</v>
      </c>
      <c r="AJ818">
        <f>INDEX(Coordinates!$B$2:$B$197,MATCH(G818,Coordinates!$J$2:$J$197,0))</f>
        <v>-2.3678019830000001</v>
      </c>
      <c r="AK818">
        <f>INDEX(Coordinates!$C$2:$C$197,MATCH(G818,Coordinates!$J$2:$J$197,0))</f>
        <v>34.059521969999999</v>
      </c>
      <c r="AL818" t="str">
        <f>IF(ISNUMBER(SEARCH("C", 'WetLitterbags placem_collection'!Y159)),"YES","NO")</f>
        <v>NO</v>
      </c>
      <c r="AM818" t="str">
        <f>IF(ISNUMBER(SEARCH("H", 'WetLitterbags placem_collection'!Y159)),"YES","NO")</f>
        <v>NO</v>
      </c>
      <c r="AN818" t="str">
        <f>IF(ISNUMBER(SEARCH("R", 'WetLitterbags placem_collection'!Y159)),"YES","NO")</f>
        <v>NO</v>
      </c>
    </row>
    <row r="819" spans="1:40" ht="15" customHeight="1">
      <c r="A819" s="258" t="s">
        <v>2460</v>
      </c>
      <c r="B819" s="263">
        <f>'Dry_Litterbag Placem_Collection'!A160</f>
        <v>158</v>
      </c>
      <c r="C819" s="263" t="str">
        <f>'Dry_Litterbag Placem_Collection'!B160</f>
        <v xml:space="preserve">Mwantimba
</v>
      </c>
      <c r="D819" s="263" t="s">
        <v>2460</v>
      </c>
      <c r="E819" s="263" t="s">
        <v>20</v>
      </c>
      <c r="F819" s="263">
        <v>4</v>
      </c>
      <c r="G819" s="264" t="str">
        <f>'Dry_Litterbag Placem_Collection'!C160</f>
        <v>Wet_P4_T6</v>
      </c>
      <c r="H819" s="273" t="s">
        <v>3651</v>
      </c>
      <c r="I819" s="274" t="s">
        <v>298</v>
      </c>
      <c r="J819" s="223" t="str">
        <f>'WetLitterbags placem_collection'!Q160</f>
        <v>R570</v>
      </c>
      <c r="K819" s="225">
        <f>IFERROR(INDEX('Green_rooibos initial weight'!$C$5:$C$1749,MATCH(J819, 'Green_rooibos initial weight'!$A$5:$A$1749,0)),"")</f>
        <v>2.0910000000000002</v>
      </c>
      <c r="L819" s="225">
        <f>IFERROR(K819-(TBIcalc!$H$9+TBIcalc!$H$10),"")</f>
        <v>1.8412000000000002</v>
      </c>
      <c r="M819" s="391">
        <f>AVERAGE(Ashed_controlls!$K$12:$K$14)</f>
        <v>2.2816647271287041</v>
      </c>
      <c r="N819" s="225">
        <f t="shared" si="65"/>
        <v>1.7991899890441065</v>
      </c>
      <c r="O819" s="225">
        <f>IF(IFERROR(INDEX('Both teabags AfterWet'!$C$3:$C$841,MATCH(J819,'Both teabags AfterWet'!$A$3:$A$841,0)),"")="","",(IFERROR(INDEX('Both teabags AfterWet'!$C$3:$C$841,MATCH(J819,'Both teabags AfterWet'!$A$3:$A$841,0)),"")))</f>
        <v>1.718</v>
      </c>
      <c r="P819" s="225">
        <f>IFERROR(IF(O819&gt;0,O819-(TBIcalc!$H$9),""),"")</f>
        <v>1.5673999999999999</v>
      </c>
      <c r="Q819" s="225">
        <f>IFERROR(INDEX('Ashed teabags wet'!$K$2:$K$821,MATCH(J819,'Ashed teabags wet'!$A$2:$A$821,0)),"")</f>
        <v>4.5090180360722032</v>
      </c>
      <c r="R819" s="225">
        <f t="shared" si="68"/>
        <v>1.4967256513026042</v>
      </c>
      <c r="S819" s="226">
        <f>'WetLitterbags placem_collection'!E160</f>
        <v>42762</v>
      </c>
      <c r="T819" s="226">
        <f>IF('WetLitterbags placem_collection'!G160="","",'WetLitterbags placem_collection'!G160)</f>
        <v>42816</v>
      </c>
      <c r="U819" s="227">
        <f t="shared" si="69"/>
        <v>54</v>
      </c>
      <c r="V819" s="225">
        <f t="shared" si="66"/>
        <v>0.27380000000000027</v>
      </c>
      <c r="W819" s="225">
        <f t="shared" si="67"/>
        <v>0.30246433774150239</v>
      </c>
      <c r="X819">
        <f>IFERROR(INDEX(Rainfall_Wet!$O$2:$O$217,MATCH(B819, Rainfall_Wet!$A$2:$A$217,0)),"")</f>
        <v>206.85140822299999</v>
      </c>
      <c r="Y819" s="231">
        <v>27.96</v>
      </c>
      <c r="Z819" s="231">
        <v>4.9200000000000017</v>
      </c>
      <c r="AA819" s="231">
        <v>67.12</v>
      </c>
      <c r="AB819" s="232" t="s">
        <v>2670</v>
      </c>
      <c r="AC819" s="231">
        <v>6.0437161163134503</v>
      </c>
      <c r="AD819">
        <f>IF('WetLitterbags placem_collection'!AB160="","",'WetLitterbags placem_collection'!AB160)</f>
        <v>1.9</v>
      </c>
      <c r="AE819">
        <f>IF('WetLitterbags placem_collection'!Z160="","",'WetLitterbags placem_collection'!Z160)</f>
        <v>4.3</v>
      </c>
      <c r="AF819" s="246" t="str">
        <f>IF('WetLitterbags placem_collection'!AA160="","",'WetLitterbags placem_collection'!AA160)</f>
        <v>O</v>
      </c>
      <c r="AG819">
        <f>IF('WetLitterbags placem_collection'!AC160="","",'WetLitterbags placem_collection'!AC160)</f>
        <v>0</v>
      </c>
      <c r="AH819">
        <f>AVERAGE('WetLitterbags placem_collection'!S160,'WetLitterbags placem_collection'!U160)</f>
        <v>22.45</v>
      </c>
      <c r="AI819">
        <f>AVERAGE('WetLitterbags placem_collection'!R160,'WetLitterbags placem_collection'!T160)</f>
        <v>26.35</v>
      </c>
      <c r="AJ819">
        <f>INDEX(Coordinates!$B$2:$B$197,MATCH(G819,Coordinates!$J$2:$J$197,0))</f>
        <v>-2.3679270410000002</v>
      </c>
      <c r="AK819">
        <f>INDEX(Coordinates!$C$2:$C$197,MATCH(G819,Coordinates!$J$2:$J$197,0))</f>
        <v>34.059300020000002</v>
      </c>
      <c r="AL819" t="str">
        <f>IF(ISNUMBER(SEARCH("C", 'WetLitterbags placem_collection'!Y160)),"YES","NO")</f>
        <v>NO</v>
      </c>
      <c r="AM819" t="str">
        <f>IF(ISNUMBER(SEARCH("H", 'WetLitterbags placem_collection'!Y160)),"YES","NO")</f>
        <v>NO</v>
      </c>
      <c r="AN819" t="str">
        <f>IF(ISNUMBER(SEARCH("R", 'WetLitterbags placem_collection'!Y160)),"YES","NO")</f>
        <v>NO</v>
      </c>
    </row>
    <row r="820" spans="1:40" ht="15" customHeight="1">
      <c r="A820" s="258" t="s">
        <v>2460</v>
      </c>
      <c r="B820" s="263">
        <f>'Dry_Litterbag Placem_Collection'!A161</f>
        <v>159</v>
      </c>
      <c r="C820" s="263" t="str">
        <f>'Dry_Litterbag Placem_Collection'!B161</f>
        <v xml:space="preserve">Mwantimba
</v>
      </c>
      <c r="D820" s="263" t="s">
        <v>2460</v>
      </c>
      <c r="E820" s="263" t="s">
        <v>20</v>
      </c>
      <c r="F820" s="263">
        <v>4</v>
      </c>
      <c r="G820" s="264" t="str">
        <f>'Dry_Litterbag Placem_Collection'!C161</f>
        <v>Wet_P4_T7</v>
      </c>
      <c r="H820" s="273" t="s">
        <v>3651</v>
      </c>
      <c r="I820" s="274" t="s">
        <v>298</v>
      </c>
      <c r="J820" s="223" t="str">
        <f>'WetLitterbags placem_collection'!Q161</f>
        <v>R439</v>
      </c>
      <c r="K820" s="225">
        <f>IFERROR(INDEX('Green_rooibos initial weight'!$C$5:$C$1749,MATCH(J820, 'Green_rooibos initial weight'!$A$5:$A$1749,0)),"")</f>
        <v>2.2450000000000001</v>
      </c>
      <c r="L820" s="225">
        <f>IFERROR(K820-(TBIcalc!$H$9+TBIcalc!$H$10),"")</f>
        <v>1.9952000000000001</v>
      </c>
      <c r="M820" s="391">
        <f>AVERAGE(Ashed_controlls!$K$12:$K$14)</f>
        <v>2.2816647271287041</v>
      </c>
      <c r="N820" s="225">
        <f t="shared" si="65"/>
        <v>1.9496762253643283</v>
      </c>
      <c r="O820" s="225" t="str">
        <f>IF(IFERROR(INDEX('Both teabags AfterWet'!$C$3:$C$841,MATCH(J820,'Both teabags AfterWet'!$A$3:$A$841,0)),"")="","",(IFERROR(INDEX('Both teabags AfterWet'!$C$3:$C$841,MATCH(J820,'Both teabags AfterWet'!$A$3:$A$841,0)),"")))</f>
        <v/>
      </c>
      <c r="P820" s="225" t="str">
        <f>IFERROR(IF(O820&gt;0,O820-(TBIcalc!$H$9),""),"")</f>
        <v/>
      </c>
      <c r="Q820" s="225" t="str">
        <f>IFERROR(INDEX('Ashed teabags wet'!$K$2:$K$821,MATCH(J820,'Ashed teabags wet'!$A$2:$A$821,0)),"")</f>
        <v/>
      </c>
      <c r="R820" s="225" t="str">
        <f t="shared" si="68"/>
        <v/>
      </c>
      <c r="S820" s="226">
        <f>'WetLitterbags placem_collection'!E161</f>
        <v>42762</v>
      </c>
      <c r="T820" s="226">
        <f>IF('WetLitterbags placem_collection'!G161="","",'WetLitterbags placem_collection'!G161)</f>
        <v>42816</v>
      </c>
      <c r="U820" s="227">
        <f t="shared" si="69"/>
        <v>54</v>
      </c>
      <c r="V820" s="225" t="str">
        <f t="shared" si="66"/>
        <v/>
      </c>
      <c r="W820" s="225" t="str">
        <f t="shared" si="67"/>
        <v/>
      </c>
      <c r="X820">
        <f>IFERROR(INDEX(Rainfall_Wet!$O$2:$O$217,MATCH(B820, Rainfall_Wet!$A$2:$A$217,0)),"")</f>
        <v>206.85140822299999</v>
      </c>
      <c r="Y820" s="231">
        <v>27.96</v>
      </c>
      <c r="Z820" s="231">
        <v>4.9200000000000017</v>
      </c>
      <c r="AA820" s="231">
        <v>67.12</v>
      </c>
      <c r="AB820" s="232" t="s">
        <v>2670</v>
      </c>
      <c r="AC820" s="231">
        <v>7.0437161163134503</v>
      </c>
      <c r="AD820">
        <f>IF('WetLitterbags placem_collection'!AB161="","",'WetLitterbags placem_collection'!AB161)</f>
        <v>2.65</v>
      </c>
      <c r="AE820">
        <f>IF('WetLitterbags placem_collection'!Z161="","",'WetLitterbags placem_collection'!Z161)</f>
        <v>0</v>
      </c>
      <c r="AF820" s="246" t="str">
        <f>IF('WetLitterbags placem_collection'!AA161="","",'WetLitterbags placem_collection'!AA161)</f>
        <v>G</v>
      </c>
      <c r="AG820">
        <f>IF('WetLitterbags placem_collection'!AC161="","",'WetLitterbags placem_collection'!AC161)</f>
        <v>1</v>
      </c>
      <c r="AH820">
        <f>AVERAGE('WetLitterbags placem_collection'!S161,'WetLitterbags placem_collection'!U161)</f>
        <v>14.4</v>
      </c>
      <c r="AI820">
        <f>AVERAGE('WetLitterbags placem_collection'!R161,'WetLitterbags placem_collection'!T161)</f>
        <v>28</v>
      </c>
      <c r="AJ820">
        <f>INDEX(Coordinates!$B$2:$B$197,MATCH(G820,Coordinates!$J$2:$J$197,0))</f>
        <v>-2.3676829599999998</v>
      </c>
      <c r="AK820">
        <f>INDEX(Coordinates!$C$2:$C$197,MATCH(G820,Coordinates!$J$2:$J$197,0))</f>
        <v>34.059236990000002</v>
      </c>
      <c r="AL820" t="str">
        <f>IF(ISNUMBER(SEARCH("C", 'WetLitterbags placem_collection'!Y161)),"YES","NO")</f>
        <v>NO</v>
      </c>
      <c r="AM820" t="str">
        <f>IF(ISNUMBER(SEARCH("H", 'WetLitterbags placem_collection'!Y161)),"YES","NO")</f>
        <v>NO</v>
      </c>
      <c r="AN820" t="str">
        <f>IF(ISNUMBER(SEARCH("R", 'WetLitterbags placem_collection'!Y161)),"YES","NO")</f>
        <v>NO</v>
      </c>
    </row>
    <row r="821" spans="1:40" ht="15" customHeight="1">
      <c r="A821" s="258" t="s">
        <v>2460</v>
      </c>
      <c r="B821" s="263">
        <f>'Dry_Litterbag Placem_Collection'!A162</f>
        <v>160</v>
      </c>
      <c r="C821" s="263" t="str">
        <f>'Dry_Litterbag Placem_Collection'!B162</f>
        <v xml:space="preserve">Mwantimba
</v>
      </c>
      <c r="D821" s="263" t="s">
        <v>2460</v>
      </c>
      <c r="E821" s="263" t="s">
        <v>20</v>
      </c>
      <c r="F821" s="263">
        <v>4</v>
      </c>
      <c r="G821" s="264" t="str">
        <f>'Dry_Litterbag Placem_Collection'!C162</f>
        <v>Wet_P4_T8</v>
      </c>
      <c r="H821" s="273" t="s">
        <v>3651</v>
      </c>
      <c r="I821" s="274" t="s">
        <v>298</v>
      </c>
      <c r="J821" s="223" t="str">
        <f>'WetLitterbags placem_collection'!Q162</f>
        <v>R461</v>
      </c>
      <c r="K821" s="225">
        <f>IFERROR(INDEX('Green_rooibos initial weight'!$C$5:$C$1749,MATCH(J821, 'Green_rooibos initial weight'!$A$5:$A$1749,0)),"")</f>
        <v>2.1930000000000001</v>
      </c>
      <c r="L821" s="225">
        <f>IFERROR(K821-(TBIcalc!$H$9+TBIcalc!$H$10),"")</f>
        <v>1.9432</v>
      </c>
      <c r="M821" s="391">
        <f>AVERAGE(Ashed_controlls!$K$12:$K$14)</f>
        <v>2.2816647271287041</v>
      </c>
      <c r="N821" s="225">
        <f t="shared" si="65"/>
        <v>1.8988626910224351</v>
      </c>
      <c r="O821" s="225">
        <f>IF(IFERROR(INDEX('Both teabags AfterWet'!$C$3:$C$841,MATCH(J821,'Both teabags AfterWet'!$A$3:$A$841,0)),"")="","",(IFERROR(INDEX('Both teabags AfterWet'!$C$3:$C$841,MATCH(J821,'Both teabags AfterWet'!$A$3:$A$841,0)),"")))</f>
        <v>1.744</v>
      </c>
      <c r="P821" s="225">
        <f>IFERROR(IF(O821&gt;0,O821-(TBIcalc!$H$9),""),"")</f>
        <v>1.5933999999999999</v>
      </c>
      <c r="Q821" s="225">
        <f>IFERROR(INDEX('Ashed teabags wet'!$K$2:$K$821,MATCH(J821,'Ashed teabags wet'!$A$2:$A$821,0)),"")</f>
        <v>4.181184668989598</v>
      </c>
      <c r="R821" s="225">
        <f t="shared" si="68"/>
        <v>1.5267770034843198</v>
      </c>
      <c r="S821" s="226">
        <f>'WetLitterbags placem_collection'!E162</f>
        <v>42762</v>
      </c>
      <c r="T821" s="226">
        <f>IF('WetLitterbags placem_collection'!G162="","",'WetLitterbags placem_collection'!G162)</f>
        <v>42816</v>
      </c>
      <c r="U821" s="227">
        <f t="shared" si="69"/>
        <v>54</v>
      </c>
      <c r="V821" s="225">
        <f t="shared" si="66"/>
        <v>0.34980000000000011</v>
      </c>
      <c r="W821" s="225">
        <f t="shared" si="67"/>
        <v>0.37208568753811533</v>
      </c>
      <c r="X821">
        <f>IFERROR(INDEX(Rainfall_Wet!$O$2:$O$217,MATCH(B821, Rainfall_Wet!$A$2:$A$217,0)),"")</f>
        <v>206.85140822299999</v>
      </c>
      <c r="Y821" s="231">
        <v>27.96</v>
      </c>
      <c r="Z821" s="231">
        <v>4.9200000000000017</v>
      </c>
      <c r="AA821" s="231">
        <v>67.12</v>
      </c>
      <c r="AB821" s="232" t="s">
        <v>2670</v>
      </c>
      <c r="AC821" s="231">
        <v>8.0437161163134494</v>
      </c>
      <c r="AD821">
        <f>IF('WetLitterbags placem_collection'!AB162="","",'WetLitterbags placem_collection'!AB162)</f>
        <v>0.8</v>
      </c>
      <c r="AE821">
        <f>IF('WetLitterbags placem_collection'!Z162="","",'WetLitterbags placem_collection'!Z162)</f>
        <v>10.8</v>
      </c>
      <c r="AF821" s="246" t="str">
        <f>IF('WetLitterbags placem_collection'!AA162="","",'WetLitterbags placem_collection'!AA162)</f>
        <v>O</v>
      </c>
      <c r="AG821">
        <f>IF('WetLitterbags placem_collection'!AC162="","",'WetLitterbags placem_collection'!AC162)</f>
        <v>0</v>
      </c>
      <c r="AH821">
        <f>AVERAGE('WetLitterbags placem_collection'!S162,'WetLitterbags placem_collection'!U162)</f>
        <v>16.5</v>
      </c>
      <c r="AI821">
        <f>AVERAGE('WetLitterbags placem_collection'!R162,'WetLitterbags placem_collection'!T162)</f>
        <v>27.15</v>
      </c>
      <c r="AJ821">
        <f>INDEX(Coordinates!$B$2:$B$197,MATCH(G821,Coordinates!$J$2:$J$197,0))</f>
        <v>-2.367547005</v>
      </c>
      <c r="AK821">
        <f>INDEX(Coordinates!$C$2:$C$197,MATCH(G821,Coordinates!$J$2:$J$197,0))</f>
        <v>34.059494989999997</v>
      </c>
      <c r="AL821" t="str">
        <f>IF(ISNUMBER(SEARCH("C", 'WetLitterbags placem_collection'!Y162)),"YES","NO")</f>
        <v>NO</v>
      </c>
      <c r="AM821" t="str">
        <f>IF(ISNUMBER(SEARCH("H", 'WetLitterbags placem_collection'!Y162)),"YES","NO")</f>
        <v>NO</v>
      </c>
      <c r="AN821" t="str">
        <f>IF(ISNUMBER(SEARCH("R", 'WetLitterbags placem_collection'!Y162)),"YES","NO")</f>
        <v>NO</v>
      </c>
    </row>
    <row r="822" spans="1:40" ht="15" customHeight="1">
      <c r="A822" s="258" t="s">
        <v>2460</v>
      </c>
      <c r="B822" s="263">
        <f>'Dry_Litterbag Placem_Collection'!A163</f>
        <v>161</v>
      </c>
      <c r="C822" s="263" t="str">
        <f>'Dry_Litterbag Placem_Collection'!B163</f>
        <v>Handajega</v>
      </c>
      <c r="D822" s="263" t="s">
        <v>2460</v>
      </c>
      <c r="E822" s="263" t="s">
        <v>2661</v>
      </c>
      <c r="F822" s="263">
        <v>1</v>
      </c>
      <c r="G822" s="264" t="str">
        <f>'Dry_Litterbag Placem_Collection'!C163</f>
        <v>Wet_W1_T1</v>
      </c>
      <c r="H822" s="273" t="s">
        <v>3651</v>
      </c>
      <c r="I822" s="274" t="s">
        <v>298</v>
      </c>
      <c r="J822" s="223" t="str">
        <f>'WetLitterbags placem_collection'!Q163</f>
        <v>R253</v>
      </c>
      <c r="K822" s="225">
        <f>IFERROR(INDEX('Green_rooibos initial weight'!$C$5:$C$1749,MATCH(J822, 'Green_rooibos initial weight'!$A$5:$A$1749,0)),"")</f>
        <v>2.2130000000000001</v>
      </c>
      <c r="L822" s="225">
        <f>IFERROR(K822-(TBIcalc!$H$9+TBIcalc!$H$10),"")</f>
        <v>1.9632000000000001</v>
      </c>
      <c r="M822" s="391">
        <f>AVERAGE(Ashed_controlls!$K$12:$K$14)</f>
        <v>2.2816647271287041</v>
      </c>
      <c r="N822" s="225">
        <f t="shared" si="65"/>
        <v>1.9184063580770094</v>
      </c>
      <c r="O822" s="225">
        <f>IF(IFERROR(INDEX('Both teabags AfterWet'!$C$3:$C$841,MATCH(J822,'Both teabags AfterWet'!$A$3:$A$841,0)),"")="","",(IFERROR(INDEX('Both teabags AfterWet'!$C$3:$C$841,MATCH(J822,'Both teabags AfterWet'!$A$3:$A$841,0)),"")))</f>
        <v>1.7033</v>
      </c>
      <c r="P822" s="225">
        <f>IFERROR(IF(O822&gt;0,O822-(TBIcalc!$H$9),""),"")</f>
        <v>1.5527</v>
      </c>
      <c r="Q822" s="225">
        <f>IFERROR(INDEX('Ashed teabags wet'!$K$2:$K$821,MATCH(J822,'Ashed teabags wet'!$A$2:$A$821,0)),"")</f>
        <v>2.4952015355091484</v>
      </c>
      <c r="R822" s="225">
        <f t="shared" si="68"/>
        <v>1.5139570057581495</v>
      </c>
      <c r="S822" s="226">
        <f>'WetLitterbags placem_collection'!E163</f>
        <v>42763</v>
      </c>
      <c r="T822" s="226">
        <f>IF('WetLitterbags placem_collection'!G163="","",'WetLitterbags placem_collection'!G163)</f>
        <v>42814</v>
      </c>
      <c r="U822" s="227">
        <f t="shared" si="69"/>
        <v>51</v>
      </c>
      <c r="V822" s="225">
        <f t="shared" si="66"/>
        <v>0.41050000000000009</v>
      </c>
      <c r="W822" s="225">
        <f t="shared" si="67"/>
        <v>0.40444935231885992</v>
      </c>
      <c r="X822">
        <f>IFERROR(INDEX(Rainfall_Wet!$O$2:$O$217,MATCH(B822, Rainfall_Wet!$A$2:$A$217,0)),"")</f>
        <v>181.383442621</v>
      </c>
      <c r="Y822" s="231">
        <v>21.96</v>
      </c>
      <c r="Z822" s="231">
        <v>4.9199999999999982</v>
      </c>
      <c r="AA822" s="231">
        <v>73.12</v>
      </c>
      <c r="AB822" s="232" t="s">
        <v>2670</v>
      </c>
      <c r="AC822" s="231">
        <v>1.2416954164613114</v>
      </c>
      <c r="AD822">
        <f>IF('WetLitterbags placem_collection'!AB163="","",'WetLitterbags placem_collection'!AB163)</f>
        <v>7.6</v>
      </c>
      <c r="AE822">
        <f>IF('WetLitterbags placem_collection'!Z163="","",'WetLitterbags placem_collection'!Z163)</f>
        <v>35.799999999999997</v>
      </c>
      <c r="AF822" s="246" t="str">
        <f>IF('WetLitterbags placem_collection'!AA163="","",'WetLitterbags placem_collection'!AA163)</f>
        <v>M</v>
      </c>
      <c r="AG822">
        <f>IF('WetLitterbags placem_collection'!AC163="","",'WetLitterbags placem_collection'!AC163)</f>
        <v>0</v>
      </c>
      <c r="AH822">
        <f>AVERAGE('WetLitterbags placem_collection'!S163,'WetLitterbags placem_collection'!U163)</f>
        <v>11.100000000000001</v>
      </c>
      <c r="AI822">
        <f>AVERAGE('WetLitterbags placem_collection'!R163,'WetLitterbags placem_collection'!T163)</f>
        <v>33.6</v>
      </c>
      <c r="AJ822">
        <f>INDEX(Coordinates!$B$2:$B$197,MATCH(G822,Coordinates!$J$2:$J$197,0))</f>
        <v>-2.272751033</v>
      </c>
      <c r="AK822">
        <f>INDEX(Coordinates!$C$2:$C$197,MATCH(G822,Coordinates!$J$2:$J$197,0))</f>
        <v>34.023176030000002</v>
      </c>
      <c r="AL822" t="str">
        <f>IF(ISNUMBER(SEARCH("C", 'WetLitterbags placem_collection'!Y163)),"YES","NO")</f>
        <v>NO</v>
      </c>
      <c r="AM822" t="str">
        <f>IF(ISNUMBER(SEARCH("H", 'WetLitterbags placem_collection'!Y163)),"YES","NO")</f>
        <v>NO</v>
      </c>
      <c r="AN822" t="str">
        <f>IF(ISNUMBER(SEARCH("R", 'WetLitterbags placem_collection'!Y163)),"YES","NO")</f>
        <v>NO</v>
      </c>
    </row>
    <row r="823" spans="1:40" ht="15" customHeight="1">
      <c r="A823" s="258" t="s">
        <v>2460</v>
      </c>
      <c r="B823" s="263">
        <f>'Dry_Litterbag Placem_Collection'!A164</f>
        <v>162</v>
      </c>
      <c r="C823" s="263" t="str">
        <f>'Dry_Litterbag Placem_Collection'!B164</f>
        <v>Handajega</v>
      </c>
      <c r="D823" s="263" t="s">
        <v>2460</v>
      </c>
      <c r="E823" s="263" t="s">
        <v>2661</v>
      </c>
      <c r="F823" s="263">
        <v>1</v>
      </c>
      <c r="G823" s="264" t="str">
        <f>'Dry_Litterbag Placem_Collection'!C164</f>
        <v>Wet_W1_T2</v>
      </c>
      <c r="H823" s="273" t="s">
        <v>3651</v>
      </c>
      <c r="I823" s="274" t="s">
        <v>298</v>
      </c>
      <c r="J823" s="223" t="str">
        <f>'WetLitterbags placem_collection'!Q164</f>
        <v>R285</v>
      </c>
      <c r="K823" s="225">
        <f>IFERROR(INDEX('Green_rooibos initial weight'!$C$5:$C$1749,MATCH(J823, 'Green_rooibos initial weight'!$A$5:$A$1749,0)),"")</f>
        <v>2.2400000000000002</v>
      </c>
      <c r="L823" s="225">
        <f>IFERROR(K823-(TBIcalc!$H$9+TBIcalc!$H$10),"")</f>
        <v>1.9902000000000002</v>
      </c>
      <c r="M823" s="391">
        <f>AVERAGE(Ashed_controlls!$K$12:$K$14)</f>
        <v>2.2816647271287041</v>
      </c>
      <c r="N823" s="225">
        <f t="shared" si="65"/>
        <v>1.9447903086006848</v>
      </c>
      <c r="O823" s="225">
        <f>IF(IFERROR(INDEX('Both teabags AfterWet'!$C$3:$C$841,MATCH(J823,'Both teabags AfterWet'!$A$3:$A$841,0)),"")="","",(IFERROR(INDEX('Both teabags AfterWet'!$C$3:$C$841,MATCH(J823,'Both teabags AfterWet'!$A$3:$A$841,0)),"")))</f>
        <v>1.6621999999999999</v>
      </c>
      <c r="P823" s="225">
        <f>IFERROR(IF(O823&gt;0,O823-(TBIcalc!$H$9),""),"")</f>
        <v>1.5115999999999998</v>
      </c>
      <c r="Q823" s="225">
        <f>IFERROR(INDEX('Ashed teabags wet'!$K$2:$K$821,MATCH(J823,'Ashed teabags wet'!$A$2:$A$821,0)),"")</f>
        <v>1.8419777023749115</v>
      </c>
      <c r="R823" s="225">
        <f t="shared" si="68"/>
        <v>1.4837566650509006</v>
      </c>
      <c r="S823" s="226">
        <f>'WetLitterbags placem_collection'!E164</f>
        <v>42763</v>
      </c>
      <c r="T823" s="226">
        <f>IF('WetLitterbags placem_collection'!G164="","",'WetLitterbags placem_collection'!G164)</f>
        <v>42814</v>
      </c>
      <c r="U823" s="227">
        <f t="shared" si="69"/>
        <v>51</v>
      </c>
      <c r="V823" s="225">
        <f t="shared" si="66"/>
        <v>0.47860000000000036</v>
      </c>
      <c r="W823" s="225">
        <f t="shared" si="67"/>
        <v>0.46103364354978416</v>
      </c>
      <c r="X823">
        <f>IFERROR(INDEX(Rainfall_Wet!$O$2:$O$217,MATCH(B823, Rainfall_Wet!$A$2:$A$217,0)),"")</f>
        <v>181.383442621</v>
      </c>
      <c r="Y823" s="231">
        <v>21.96</v>
      </c>
      <c r="Z823" s="231">
        <v>4.9199999999999982</v>
      </c>
      <c r="AA823" s="231">
        <v>73.12</v>
      </c>
      <c r="AB823" s="232" t="s">
        <v>2670</v>
      </c>
      <c r="AC823" s="231">
        <v>2.2416954164613099</v>
      </c>
      <c r="AD823">
        <f>IF('WetLitterbags placem_collection'!AB164="","",'WetLitterbags placem_collection'!AB164)</f>
        <v>4.0999999999999996</v>
      </c>
      <c r="AE823">
        <f>IF('WetLitterbags placem_collection'!Z164="","",'WetLitterbags placem_collection'!Z164)</f>
        <v>31.4</v>
      </c>
      <c r="AF823" s="246" t="str">
        <f>IF('WetLitterbags placem_collection'!AA164="","",'WetLitterbags placem_collection'!AA164)</f>
        <v>M</v>
      </c>
      <c r="AG823">
        <f>IF('WetLitterbags placem_collection'!AC164="","",'WetLitterbags placem_collection'!AC164)</f>
        <v>0</v>
      </c>
      <c r="AH823">
        <f>AVERAGE('WetLitterbags placem_collection'!S164,'WetLitterbags placem_collection'!U164)</f>
        <v>9.35</v>
      </c>
      <c r="AI823">
        <f>AVERAGE('WetLitterbags placem_collection'!R164,'WetLitterbags placem_collection'!T164)</f>
        <v>34.450000000000003</v>
      </c>
      <c r="AJ823">
        <f>INDEX(Coordinates!$B$2:$B$197,MATCH(G823,Coordinates!$J$2:$J$197,0))</f>
        <v>-2.2727060219999999</v>
      </c>
      <c r="AK823">
        <f>INDEX(Coordinates!$C$2:$C$197,MATCH(G823,Coordinates!$J$2:$J$197,0))</f>
        <v>34.023162030000002</v>
      </c>
      <c r="AL823" t="str">
        <f>IF(ISNUMBER(SEARCH("C", 'WetLitterbags placem_collection'!Y164)),"YES","NO")</f>
        <v>NO</v>
      </c>
      <c r="AM823" t="str">
        <f>IF(ISNUMBER(SEARCH("H", 'WetLitterbags placem_collection'!Y164)),"YES","NO")</f>
        <v>NO</v>
      </c>
      <c r="AN823" t="str">
        <f>IF(ISNUMBER(SEARCH("R", 'WetLitterbags placem_collection'!Y164)),"YES","NO")</f>
        <v>YES</v>
      </c>
    </row>
    <row r="824" spans="1:40" ht="15" customHeight="1">
      <c r="A824" s="258" t="s">
        <v>2460</v>
      </c>
      <c r="B824" s="263">
        <f>'Dry_Litterbag Placem_Collection'!A165</f>
        <v>163</v>
      </c>
      <c r="C824" s="263" t="str">
        <f>'Dry_Litterbag Placem_Collection'!B165</f>
        <v>Handajega</v>
      </c>
      <c r="D824" s="263" t="s">
        <v>2460</v>
      </c>
      <c r="E824" s="263" t="s">
        <v>2661</v>
      </c>
      <c r="F824" s="263">
        <v>1</v>
      </c>
      <c r="G824" s="264" t="str">
        <f>'Dry_Litterbag Placem_Collection'!C165</f>
        <v>Wet_W1_T3</v>
      </c>
      <c r="H824" s="273" t="s">
        <v>3651</v>
      </c>
      <c r="I824" s="274" t="s">
        <v>298</v>
      </c>
      <c r="J824" s="223" t="str">
        <f>'WetLitterbags placem_collection'!Q165</f>
        <v>R341</v>
      </c>
      <c r="K824" s="225">
        <f>IFERROR(INDEX('Green_rooibos initial weight'!$C$5:$C$1749,MATCH(J824, 'Green_rooibos initial weight'!$A$5:$A$1749,0)),"")</f>
        <v>2.1560000000000001</v>
      </c>
      <c r="L824" s="225">
        <f>IFERROR(K824-(TBIcalc!$H$9+TBIcalc!$H$10),"")</f>
        <v>1.9062000000000001</v>
      </c>
      <c r="M824" s="391">
        <f>AVERAGE(Ashed_controlls!$K$12:$K$14)</f>
        <v>2.2816647271287041</v>
      </c>
      <c r="N824" s="225">
        <f t="shared" si="65"/>
        <v>1.8627069069714728</v>
      </c>
      <c r="O824" s="225">
        <f>IF(IFERROR(INDEX('Both teabags AfterWet'!$C$3:$C$841,MATCH(J824,'Both teabags AfterWet'!$A$3:$A$841,0)),"")="","",(IFERROR(INDEX('Both teabags AfterWet'!$C$3:$C$841,MATCH(J824,'Both teabags AfterWet'!$A$3:$A$841,0)),"")))</f>
        <v>1.738</v>
      </c>
      <c r="P824" s="225">
        <f>IFERROR(IF(O824&gt;0,O824-(TBIcalc!$H$9),""),"")</f>
        <v>1.5873999999999999</v>
      </c>
      <c r="Q824" s="225">
        <f>IFERROR(INDEX('Ashed teabags wet'!$K$2:$K$821,MATCH(J824,'Ashed teabags wet'!$A$2:$A$821,0)),"")</f>
        <v>2.2942643391521438</v>
      </c>
      <c r="R824" s="225">
        <f t="shared" si="68"/>
        <v>1.5509808478802989</v>
      </c>
      <c r="S824" s="226">
        <f>'WetLitterbags placem_collection'!E165</f>
        <v>42763</v>
      </c>
      <c r="T824" s="226">
        <f>IF('WetLitterbags placem_collection'!G165="","",'WetLitterbags placem_collection'!G165)</f>
        <v>42814</v>
      </c>
      <c r="U824" s="227">
        <f t="shared" si="69"/>
        <v>51</v>
      </c>
      <c r="V824" s="225">
        <f t="shared" si="66"/>
        <v>0.31880000000000019</v>
      </c>
      <c r="W824" s="225">
        <f t="shared" si="67"/>
        <v>0.3117260590911739</v>
      </c>
      <c r="X824">
        <f>IFERROR(INDEX(Rainfall_Wet!$O$2:$O$217,MATCH(B824, Rainfall_Wet!$A$2:$A$217,0)),"")</f>
        <v>181.383442621</v>
      </c>
      <c r="Y824" s="231">
        <v>21.96</v>
      </c>
      <c r="Z824" s="231">
        <v>4.9199999999999982</v>
      </c>
      <c r="AA824" s="231">
        <v>73.12</v>
      </c>
      <c r="AB824" s="232" t="s">
        <v>2670</v>
      </c>
      <c r="AC824" s="231">
        <v>3.2416954164613099</v>
      </c>
      <c r="AD824">
        <f>IF('WetLitterbags placem_collection'!AB165="","",'WetLitterbags placem_collection'!AB165)</f>
        <v>7.8</v>
      </c>
      <c r="AE824">
        <f>IF('WetLitterbags placem_collection'!Z165="","",'WetLitterbags placem_collection'!Z165)</f>
        <v>28.8</v>
      </c>
      <c r="AF824" s="246" t="str">
        <f>IF('WetLitterbags placem_collection'!AA165="","",'WetLitterbags placem_collection'!AA165)</f>
        <v>M</v>
      </c>
      <c r="AG824">
        <f>IF('WetLitterbags placem_collection'!AC165="","",'WetLitterbags placem_collection'!AC165)</f>
        <v>0</v>
      </c>
      <c r="AH824">
        <f>AVERAGE('WetLitterbags placem_collection'!S165,'WetLitterbags placem_collection'!U165)</f>
        <v>9.3000000000000007</v>
      </c>
      <c r="AI824">
        <f>AVERAGE('WetLitterbags placem_collection'!R165,'WetLitterbags placem_collection'!T165)</f>
        <v>33.5</v>
      </c>
      <c r="AJ824">
        <f>INDEX(Coordinates!$B$2:$B$197,MATCH(G824,Coordinates!$J$2:$J$197,0))</f>
        <v>-2.2726719919999998</v>
      </c>
      <c r="AK824">
        <f>INDEX(Coordinates!$C$2:$C$197,MATCH(G824,Coordinates!$J$2:$J$197,0))</f>
        <v>34.023210980000002</v>
      </c>
      <c r="AL824" t="str">
        <f>IF(ISNUMBER(SEARCH("C", 'WetLitterbags placem_collection'!Y165)),"YES","NO")</f>
        <v>NO</v>
      </c>
      <c r="AM824" t="str">
        <f>IF(ISNUMBER(SEARCH("H", 'WetLitterbags placem_collection'!Y165)),"YES","NO")</f>
        <v>NO</v>
      </c>
      <c r="AN824" t="str">
        <f>IF(ISNUMBER(SEARCH("R", 'WetLitterbags placem_collection'!Y165)),"YES","NO")</f>
        <v>NO</v>
      </c>
    </row>
    <row r="825" spans="1:40" ht="15" customHeight="1">
      <c r="A825" s="258" t="s">
        <v>2460</v>
      </c>
      <c r="B825" s="263">
        <f>'Dry_Litterbag Placem_Collection'!A166</f>
        <v>164</v>
      </c>
      <c r="C825" s="263" t="str">
        <f>'Dry_Litterbag Placem_Collection'!B166</f>
        <v>Handajega</v>
      </c>
      <c r="D825" s="263" t="s">
        <v>2460</v>
      </c>
      <c r="E825" s="263" t="s">
        <v>2661</v>
      </c>
      <c r="F825" s="263">
        <v>1</v>
      </c>
      <c r="G825" s="264" t="str">
        <f>'Dry_Litterbag Placem_Collection'!C166</f>
        <v>Wet_W1_T4</v>
      </c>
      <c r="H825" s="273" t="s">
        <v>3651</v>
      </c>
      <c r="I825" s="274" t="s">
        <v>298</v>
      </c>
      <c r="J825" s="223" t="str">
        <f>'WetLitterbags placem_collection'!Q166</f>
        <v>R264</v>
      </c>
      <c r="K825" s="225">
        <f>IFERROR(INDEX('Green_rooibos initial weight'!$C$5:$C$1749,MATCH(J825, 'Green_rooibos initial weight'!$A$5:$A$1749,0)),"")</f>
        <v>2.2250000000000001</v>
      </c>
      <c r="L825" s="225">
        <f>IFERROR(K825-(TBIcalc!$H$9+TBIcalc!$H$10),"")</f>
        <v>1.9752000000000001</v>
      </c>
      <c r="M825" s="391">
        <f>AVERAGE(Ashed_controlls!$K$12:$K$14)</f>
        <v>2.2816647271287041</v>
      </c>
      <c r="N825" s="225">
        <f t="shared" si="65"/>
        <v>1.9301325583097539</v>
      </c>
      <c r="O825" s="225">
        <f>IF(IFERROR(INDEX('Both teabags AfterWet'!$C$3:$C$841,MATCH(J825,'Both teabags AfterWet'!$A$3:$A$841,0)),"")="","",(IFERROR(INDEX('Both teabags AfterWet'!$C$3:$C$841,MATCH(J825,'Both teabags AfterWet'!$A$3:$A$841,0)),"")))</f>
        <v>1.7050000000000001</v>
      </c>
      <c r="P825" s="225">
        <f>IFERROR(IF(O825&gt;0,O825-(TBIcalc!$H$9),""),"")</f>
        <v>1.5544</v>
      </c>
      <c r="Q825" s="225">
        <f>IFERROR(INDEX('Ashed teabags wet'!$K$2:$K$821,MATCH(J825,'Ashed teabags wet'!$A$2:$A$821,0)),"")</f>
        <v>1.9295706705255817</v>
      </c>
      <c r="R825" s="225">
        <f t="shared" si="68"/>
        <v>1.5244067534973504</v>
      </c>
      <c r="S825" s="226">
        <f>'WetLitterbags placem_collection'!E166</f>
        <v>42763</v>
      </c>
      <c r="T825" s="226">
        <f>IF('WetLitterbags placem_collection'!G166="","",'WetLitterbags placem_collection'!G166)</f>
        <v>42814</v>
      </c>
      <c r="U825" s="227">
        <f t="shared" si="69"/>
        <v>51</v>
      </c>
      <c r="V825" s="225">
        <f t="shared" si="66"/>
        <v>0.42080000000000006</v>
      </c>
      <c r="W825" s="225">
        <f t="shared" si="67"/>
        <v>0.4057258048124035</v>
      </c>
      <c r="X825">
        <f>IFERROR(INDEX(Rainfall_Wet!$O$2:$O$217,MATCH(B825, Rainfall_Wet!$A$2:$A$217,0)),"")</f>
        <v>181.383442621</v>
      </c>
      <c r="Y825" s="231">
        <v>21.96</v>
      </c>
      <c r="Z825" s="231">
        <v>4.9199999999999982</v>
      </c>
      <c r="AA825" s="231">
        <v>73.12</v>
      </c>
      <c r="AB825" s="232" t="s">
        <v>2670</v>
      </c>
      <c r="AC825" s="231">
        <v>4.2416954164613099</v>
      </c>
      <c r="AD825">
        <f>IF('WetLitterbags placem_collection'!AB166="","",'WetLitterbags placem_collection'!AB166)</f>
        <v>9.5</v>
      </c>
      <c r="AE825">
        <f>IF('WetLitterbags placem_collection'!Z166="","",'WetLitterbags placem_collection'!Z166)</f>
        <v>20.8</v>
      </c>
      <c r="AF825" s="246" t="str">
        <f>IF('WetLitterbags placem_collection'!AA166="","",'WetLitterbags placem_collection'!AA166)</f>
        <v>M</v>
      </c>
      <c r="AG825">
        <f>IF('WetLitterbags placem_collection'!AC166="","",'WetLitterbags placem_collection'!AC166)</f>
        <v>0</v>
      </c>
      <c r="AH825">
        <f>AVERAGE('WetLitterbags placem_collection'!S166,'WetLitterbags placem_collection'!U166)</f>
        <v>9.25</v>
      </c>
      <c r="AI825">
        <f>AVERAGE('WetLitterbags placem_collection'!R166,'WetLitterbags placem_collection'!T166)</f>
        <v>33.799999999999997</v>
      </c>
      <c r="AJ825">
        <f>INDEX(Coordinates!$B$2:$B$197,MATCH(G825,Coordinates!$J$2:$J$197,0))</f>
        <v>-2.2726180130000002</v>
      </c>
      <c r="AK825">
        <f>INDEX(Coordinates!$C$2:$C$197,MATCH(G825,Coordinates!$J$2:$J$197,0))</f>
        <v>34.023212999999998</v>
      </c>
      <c r="AL825" t="str">
        <f>IF(ISNUMBER(SEARCH("C", 'WetLitterbags placem_collection'!Y166)),"YES","NO")</f>
        <v>NO</v>
      </c>
      <c r="AM825" t="str">
        <f>IF(ISNUMBER(SEARCH("H", 'WetLitterbags placem_collection'!Y166)),"YES","NO")</f>
        <v>NO</v>
      </c>
      <c r="AN825" t="str">
        <f>IF(ISNUMBER(SEARCH("R", 'WetLitterbags placem_collection'!Y166)),"YES","NO")</f>
        <v>NO</v>
      </c>
    </row>
    <row r="826" spans="1:40" ht="15" customHeight="1">
      <c r="A826" s="258" t="s">
        <v>2460</v>
      </c>
      <c r="B826" s="263">
        <f>'Dry_Litterbag Placem_Collection'!A167</f>
        <v>165</v>
      </c>
      <c r="C826" s="263" t="str">
        <f>'Dry_Litterbag Placem_Collection'!B167</f>
        <v>Handajega</v>
      </c>
      <c r="D826" s="263" t="s">
        <v>2460</v>
      </c>
      <c r="E826" s="263" t="s">
        <v>2661</v>
      </c>
      <c r="F826" s="263">
        <v>1</v>
      </c>
      <c r="G826" s="264" t="str">
        <f>'Dry_Litterbag Placem_Collection'!C167</f>
        <v>Wet_W1_T5</v>
      </c>
      <c r="H826" s="273" t="s">
        <v>3651</v>
      </c>
      <c r="I826" s="274" t="s">
        <v>298</v>
      </c>
      <c r="J826" s="223" t="str">
        <f>'WetLitterbags placem_collection'!Q167</f>
        <v>R411</v>
      </c>
      <c r="K826" s="225">
        <f>IFERROR(INDEX('Green_rooibos initial weight'!$C$5:$C$1749,MATCH(J826, 'Green_rooibos initial weight'!$A$5:$A$1749,0)),"")</f>
        <v>2.2240000000000002</v>
      </c>
      <c r="L826" s="225">
        <f>IFERROR(K826-(TBIcalc!$H$9+TBIcalc!$H$10),"")</f>
        <v>1.9742000000000002</v>
      </c>
      <c r="M826" s="391">
        <f>AVERAGE(Ashed_controlls!$K$12:$K$14)</f>
        <v>2.2816647271287041</v>
      </c>
      <c r="N826" s="225">
        <f t="shared" si="65"/>
        <v>1.9291553749570254</v>
      </c>
      <c r="O826" s="225">
        <f>IF(IFERROR(INDEX('Both teabags AfterWet'!$C$3:$C$841,MATCH(J826,'Both teabags AfterWet'!$A$3:$A$841,0)),"")="","",(IFERROR(INDEX('Both teabags AfterWet'!$C$3:$C$841,MATCH(J826,'Both teabags AfterWet'!$A$3:$A$841,0)),"")))</f>
        <v>1.728</v>
      </c>
      <c r="P826" s="225">
        <f>IFERROR(IF(O826&gt;0,O826-(TBIcalc!$H$9),""),"")</f>
        <v>1.5773999999999999</v>
      </c>
      <c r="Q826" s="225">
        <f>IFERROR(INDEX('Ashed teabags wet'!$K$2:$K$821,MATCH(J826,'Ashed teabags wet'!$A$2:$A$821,0)),"")</f>
        <v>1.9212295869364138</v>
      </c>
      <c r="R826" s="225">
        <f t="shared" si="68"/>
        <v>1.5470945244956649</v>
      </c>
      <c r="S826" s="226">
        <f>'WetLitterbags placem_collection'!E167</f>
        <v>42763</v>
      </c>
      <c r="T826" s="226">
        <f>IF('WetLitterbags placem_collection'!G167="","",'WetLitterbags placem_collection'!G167)</f>
        <v>42814</v>
      </c>
      <c r="U826" s="227">
        <f t="shared" si="69"/>
        <v>51</v>
      </c>
      <c r="V826" s="225">
        <f t="shared" si="66"/>
        <v>0.39680000000000026</v>
      </c>
      <c r="W826" s="225">
        <f t="shared" si="67"/>
        <v>0.38206085046136051</v>
      </c>
      <c r="X826">
        <f>IFERROR(INDEX(Rainfall_Wet!$O$2:$O$217,MATCH(B826, Rainfall_Wet!$A$2:$A$217,0)),"")</f>
        <v>181.383442621</v>
      </c>
      <c r="Y826" s="231">
        <v>21.96</v>
      </c>
      <c r="Z826" s="231">
        <v>4.9199999999999982</v>
      </c>
      <c r="AA826" s="231">
        <v>73.12</v>
      </c>
      <c r="AB826" s="232" t="s">
        <v>2670</v>
      </c>
      <c r="AC826" s="231">
        <v>5.2416954164613099</v>
      </c>
      <c r="AD826">
        <f>IF('WetLitterbags placem_collection'!AB167="","",'WetLitterbags placem_collection'!AB167)</f>
        <v>10.4</v>
      </c>
      <c r="AE826">
        <f>IF('WetLitterbags placem_collection'!Z167="","",'WetLitterbags placem_collection'!Z167)</f>
        <v>13.8</v>
      </c>
      <c r="AF826" s="246" t="str">
        <f>IF('WetLitterbags placem_collection'!AA167="","",'WetLitterbags placem_collection'!AA167)</f>
        <v>M</v>
      </c>
      <c r="AG826">
        <f>IF('WetLitterbags placem_collection'!AC167="","",'WetLitterbags placem_collection'!AC167)</f>
        <v>0</v>
      </c>
      <c r="AH826">
        <f>AVERAGE('WetLitterbags placem_collection'!S167,'WetLitterbags placem_collection'!U167)</f>
        <v>12</v>
      </c>
      <c r="AI826">
        <f>AVERAGE('WetLitterbags placem_collection'!R167,'WetLitterbags placem_collection'!T167)</f>
        <v>31.5</v>
      </c>
      <c r="AJ826">
        <f>INDEX(Coordinates!$B$2:$B$197,MATCH(G826,Coordinates!$J$2:$J$197,0))</f>
        <v>-2.2724750170000001</v>
      </c>
      <c r="AK826">
        <f>INDEX(Coordinates!$C$2:$C$197,MATCH(G826,Coordinates!$J$2:$J$197,0))</f>
        <v>34.02334501</v>
      </c>
      <c r="AL826" t="str">
        <f>IF(ISNUMBER(SEARCH("C", 'WetLitterbags placem_collection'!Y167)),"YES","NO")</f>
        <v>NO</v>
      </c>
      <c r="AM826" t="str">
        <f>IF(ISNUMBER(SEARCH("H", 'WetLitterbags placem_collection'!Y167)),"YES","NO")</f>
        <v>NO</v>
      </c>
      <c r="AN826" t="str">
        <f>IF(ISNUMBER(SEARCH("R", 'WetLitterbags placem_collection'!Y167)),"YES","NO")</f>
        <v>NO</v>
      </c>
    </row>
    <row r="827" spans="1:40" ht="15" customHeight="1">
      <c r="A827" s="258" t="s">
        <v>2460</v>
      </c>
      <c r="B827" s="263">
        <f>'Dry_Litterbag Placem_Collection'!A168</f>
        <v>166</v>
      </c>
      <c r="C827" s="263" t="str">
        <f>'Dry_Litterbag Placem_Collection'!B168</f>
        <v>Handajega</v>
      </c>
      <c r="D827" s="263" t="s">
        <v>2460</v>
      </c>
      <c r="E827" s="263" t="s">
        <v>2661</v>
      </c>
      <c r="F827" s="263">
        <v>1</v>
      </c>
      <c r="G827" s="264" t="str">
        <f>'Dry_Litterbag Placem_Collection'!C168</f>
        <v>Wet_W1_T6</v>
      </c>
      <c r="H827" s="273" t="s">
        <v>3651</v>
      </c>
      <c r="I827" s="274" t="s">
        <v>298</v>
      </c>
      <c r="J827" s="223" t="str">
        <f>'WetLitterbags placem_collection'!Q168</f>
        <v>R259</v>
      </c>
      <c r="K827" s="225">
        <f>IFERROR(INDEX('Green_rooibos initial weight'!$C$5:$C$1749,MATCH(J827, 'Green_rooibos initial weight'!$A$5:$A$1749,0)),"")</f>
        <v>2.218</v>
      </c>
      <c r="L827" s="225">
        <f>IFERROR(K827-(TBIcalc!$H$9+TBIcalc!$H$10),"")</f>
        <v>1.9681999999999999</v>
      </c>
      <c r="M827" s="391">
        <f>AVERAGE(Ashed_controlls!$K$12:$K$14)</f>
        <v>2.2816647271287041</v>
      </c>
      <c r="N827" s="225">
        <f t="shared" si="65"/>
        <v>1.9232922748406529</v>
      </c>
      <c r="O827" s="225">
        <f>IF(IFERROR(INDEX('Both teabags AfterWet'!$C$3:$C$841,MATCH(J827,'Both teabags AfterWet'!$A$3:$A$841,0)),"")="","",(IFERROR(INDEX('Both teabags AfterWet'!$C$3:$C$841,MATCH(J827,'Both teabags AfterWet'!$A$3:$A$841,0)),"")))</f>
        <v>1.7169000000000001</v>
      </c>
      <c r="P827" s="225">
        <f>IFERROR(IF(O827&gt;0,O827-(TBIcalc!$H$9),""),"")</f>
        <v>1.5663</v>
      </c>
      <c r="Q827" s="225">
        <f>IFERROR(INDEX('Ashed teabags wet'!$K$2:$K$821,MATCH(J827,'Ashed teabags wet'!$A$2:$A$821,0)),"")</f>
        <v>1.9326065411295223</v>
      </c>
      <c r="R827" s="225">
        <f t="shared" si="68"/>
        <v>1.5360295837462883</v>
      </c>
      <c r="S827" s="226">
        <f>'WetLitterbags placem_collection'!E168</f>
        <v>42763</v>
      </c>
      <c r="T827" s="226">
        <f>IF('WetLitterbags placem_collection'!G168="","",'WetLitterbags placem_collection'!G168)</f>
        <v>42814</v>
      </c>
      <c r="U827" s="227">
        <f t="shared" si="69"/>
        <v>51</v>
      </c>
      <c r="V827" s="225">
        <f t="shared" si="66"/>
        <v>0.40189999999999992</v>
      </c>
      <c r="W827" s="225">
        <f t="shared" si="67"/>
        <v>0.38726269109436462</v>
      </c>
      <c r="X827">
        <f>IFERROR(INDEX(Rainfall_Wet!$O$2:$O$217,MATCH(B827, Rainfall_Wet!$A$2:$A$217,0)),"")</f>
        <v>181.383442621</v>
      </c>
      <c r="Y827" s="231">
        <v>21.96</v>
      </c>
      <c r="Z827" s="231">
        <v>4.9199999999999982</v>
      </c>
      <c r="AA827" s="231">
        <v>73.12</v>
      </c>
      <c r="AB827" s="232" t="s">
        <v>2670</v>
      </c>
      <c r="AC827" s="231">
        <v>6.2416954164613099</v>
      </c>
      <c r="AD827">
        <f>IF('WetLitterbags placem_collection'!AB168="","",'WetLitterbags placem_collection'!AB168)</f>
        <v>2.1</v>
      </c>
      <c r="AE827">
        <f>IF('WetLitterbags placem_collection'!Z168="","",'WetLitterbags placem_collection'!Z168)</f>
        <v>4.7</v>
      </c>
      <c r="AF827" s="246" t="str">
        <f>IF('WetLitterbags placem_collection'!AA168="","",'WetLitterbags placem_collection'!AA168)</f>
        <v>M</v>
      </c>
      <c r="AG827">
        <f>IF('WetLitterbags placem_collection'!AC168="","",'WetLitterbags placem_collection'!AC168)</f>
        <v>0</v>
      </c>
      <c r="AH827">
        <f>AVERAGE('WetLitterbags placem_collection'!S168,'WetLitterbags placem_collection'!U168)</f>
        <v>11</v>
      </c>
      <c r="AI827">
        <f>AVERAGE('WetLitterbags placem_collection'!R168,'WetLitterbags placem_collection'!T168)</f>
        <v>31.5</v>
      </c>
      <c r="AJ827">
        <f>INDEX(Coordinates!$B$2:$B$197,MATCH(G827,Coordinates!$J$2:$J$197,0))</f>
        <v>-2.2725490289999999</v>
      </c>
      <c r="AK827">
        <f>INDEX(Coordinates!$C$2:$C$197,MATCH(G827,Coordinates!$J$2:$J$197,0))</f>
        <v>34.022886020000001</v>
      </c>
      <c r="AL827" t="str">
        <f>IF(ISNUMBER(SEARCH("C", 'WetLitterbags placem_collection'!Y168)),"YES","NO")</f>
        <v>NO</v>
      </c>
      <c r="AM827" t="str">
        <f>IF(ISNUMBER(SEARCH("H", 'WetLitterbags placem_collection'!Y168)),"YES","NO")</f>
        <v>NO</v>
      </c>
      <c r="AN827" t="str">
        <f>IF(ISNUMBER(SEARCH("R", 'WetLitterbags placem_collection'!Y168)),"YES","NO")</f>
        <v>NO</v>
      </c>
    </row>
    <row r="828" spans="1:40" ht="15" customHeight="1">
      <c r="A828" s="258" t="s">
        <v>2460</v>
      </c>
      <c r="B828" s="263">
        <f>'Dry_Litterbag Placem_Collection'!A169</f>
        <v>167</v>
      </c>
      <c r="C828" s="263" t="str">
        <f>'Dry_Litterbag Placem_Collection'!B169</f>
        <v>Handajega</v>
      </c>
      <c r="D828" s="263" t="s">
        <v>2460</v>
      </c>
      <c r="E828" s="263" t="s">
        <v>2661</v>
      </c>
      <c r="F828" s="263">
        <v>1</v>
      </c>
      <c r="G828" s="264" t="str">
        <f>'Dry_Litterbag Placem_Collection'!C169</f>
        <v>Wet_W1_T7</v>
      </c>
      <c r="H828" s="273" t="s">
        <v>3651</v>
      </c>
      <c r="I828" s="274" t="s">
        <v>298</v>
      </c>
      <c r="J828" s="223" t="str">
        <f>'WetLitterbags placem_collection'!Q169</f>
        <v>R215</v>
      </c>
      <c r="K828" s="225">
        <f>IFERROR(INDEX('Green_rooibos initial weight'!$C$5:$C$1749,MATCH(J828, 'Green_rooibos initial weight'!$A$5:$A$1749,0)),"")</f>
        <v>2.1949999999999998</v>
      </c>
      <c r="L828" s="225">
        <f>IFERROR(K828-(TBIcalc!$H$9+TBIcalc!$H$10),"")</f>
        <v>1.9451999999999998</v>
      </c>
      <c r="M828" s="391">
        <f>AVERAGE(Ashed_controlls!$K$12:$K$14)</f>
        <v>2.2816647271287041</v>
      </c>
      <c r="N828" s="225">
        <f t="shared" si="65"/>
        <v>1.9008170577278922</v>
      </c>
      <c r="O828" s="225">
        <f>IF(IFERROR(INDEX('Both teabags AfterWet'!$C$3:$C$841,MATCH(J828,'Both teabags AfterWet'!$A$3:$A$841,0)),"")="","",(IFERROR(INDEX('Both teabags AfterWet'!$C$3:$C$841,MATCH(J828,'Both teabags AfterWet'!$A$3:$A$841,0)),"")))</f>
        <v>1.7432000000000001</v>
      </c>
      <c r="P828" s="225">
        <f>IFERROR(IF(O828&gt;0,O828-(TBIcalc!$H$9),""),"")</f>
        <v>1.5926</v>
      </c>
      <c r="Q828" s="225">
        <f>IFERROR(INDEX('Ashed teabags wet'!$K$2:$K$821,MATCH(J828,'Ashed teabags wet'!$A$2:$A$821,0)),"")</f>
        <v>1.8428709990296765</v>
      </c>
      <c r="R828" s="225">
        <f t="shared" si="68"/>
        <v>1.5632504364694535</v>
      </c>
      <c r="S828" s="226">
        <f>'WetLitterbags placem_collection'!E169</f>
        <v>42763</v>
      </c>
      <c r="T828" s="226">
        <f>IF('WetLitterbags placem_collection'!G169="","",'WetLitterbags placem_collection'!G169)</f>
        <v>42814</v>
      </c>
      <c r="U828" s="227">
        <f t="shared" si="69"/>
        <v>51</v>
      </c>
      <c r="V828" s="225">
        <f t="shared" si="66"/>
        <v>0.3525999999999998</v>
      </c>
      <c r="W828" s="225">
        <f t="shared" si="67"/>
        <v>0.33756662125843873</v>
      </c>
      <c r="X828">
        <f>IFERROR(INDEX(Rainfall_Wet!$O$2:$O$217,MATCH(B828, Rainfall_Wet!$A$2:$A$217,0)),"")</f>
        <v>181.383442621</v>
      </c>
      <c r="Y828" s="231">
        <v>21.96</v>
      </c>
      <c r="Z828" s="231">
        <v>4.9199999999999982</v>
      </c>
      <c r="AA828" s="231">
        <v>73.12</v>
      </c>
      <c r="AB828" s="232" t="s">
        <v>2670</v>
      </c>
      <c r="AC828" s="231">
        <v>7.2416954164613099</v>
      </c>
      <c r="AD828">
        <f>IF('WetLitterbags placem_collection'!AB169="","",'WetLitterbags placem_collection'!AB169)</f>
        <v>5.6</v>
      </c>
      <c r="AE828">
        <f>IF('WetLitterbags placem_collection'!Z169="","",'WetLitterbags placem_collection'!Z169)</f>
        <v>4.2</v>
      </c>
      <c r="AF828" s="246" t="str">
        <f>IF('WetLitterbags placem_collection'!AA169="","",'WetLitterbags placem_collection'!AA169)</f>
        <v>M</v>
      </c>
      <c r="AG828">
        <f>IF('WetLitterbags placem_collection'!AC169="","",'WetLitterbags placem_collection'!AC169)</f>
        <v>1</v>
      </c>
      <c r="AH828">
        <f>AVERAGE('WetLitterbags placem_collection'!S169,'WetLitterbags placem_collection'!U169)</f>
        <v>10.45</v>
      </c>
      <c r="AI828">
        <f>AVERAGE('WetLitterbags placem_collection'!R169,'WetLitterbags placem_collection'!T169)</f>
        <v>31</v>
      </c>
      <c r="AJ828">
        <f>INDEX(Coordinates!$B$2:$B$197,MATCH(G828,Coordinates!$J$2:$J$197,0))</f>
        <v>-2.2729950310000002</v>
      </c>
      <c r="AK828">
        <f>INDEX(Coordinates!$C$2:$C$197,MATCH(G828,Coordinates!$J$2:$J$197,0))</f>
        <v>34.022923990000002</v>
      </c>
      <c r="AL828" t="str">
        <f>IF(ISNUMBER(SEARCH("C", 'WetLitterbags placem_collection'!Y169)),"YES","NO")</f>
        <v>NO</v>
      </c>
      <c r="AM828" t="str">
        <f>IF(ISNUMBER(SEARCH("H", 'WetLitterbags placem_collection'!Y169)),"YES","NO")</f>
        <v>NO</v>
      </c>
      <c r="AN828" t="str">
        <f>IF(ISNUMBER(SEARCH("R", 'WetLitterbags placem_collection'!Y169)),"YES","NO")</f>
        <v>NO</v>
      </c>
    </row>
    <row r="829" spans="1:40" ht="15" customHeight="1">
      <c r="A829" s="258" t="s">
        <v>2460</v>
      </c>
      <c r="B829" s="263">
        <f>'Dry_Litterbag Placem_Collection'!A170</f>
        <v>168</v>
      </c>
      <c r="C829" s="263" t="str">
        <f>'Dry_Litterbag Placem_Collection'!B170</f>
        <v>Handajega</v>
      </c>
      <c r="D829" s="263" t="s">
        <v>2460</v>
      </c>
      <c r="E829" s="263" t="s">
        <v>2661</v>
      </c>
      <c r="F829" s="263">
        <v>1</v>
      </c>
      <c r="G829" s="264" t="str">
        <f>'Dry_Litterbag Placem_Collection'!C170</f>
        <v>Wet_W1_T8</v>
      </c>
      <c r="H829" s="273" t="s">
        <v>3651</v>
      </c>
      <c r="I829" s="274" t="s">
        <v>298</v>
      </c>
      <c r="J829" s="223" t="str">
        <f>'WetLitterbags placem_collection'!Q170</f>
        <v>R322</v>
      </c>
      <c r="K829" s="225">
        <f>IFERROR(INDEX('Green_rooibos initial weight'!$C$5:$C$1749,MATCH(J829, 'Green_rooibos initial weight'!$A$5:$A$1749,0)),"")</f>
        <v>2.1909999999999998</v>
      </c>
      <c r="L829" s="225">
        <f>IFERROR(K829-(TBIcalc!$H$9+TBIcalc!$H$10),"")</f>
        <v>1.9411999999999998</v>
      </c>
      <c r="M829" s="391">
        <f>AVERAGE(Ashed_controlls!$K$12:$K$14)</f>
        <v>2.2816647271287041</v>
      </c>
      <c r="N829" s="225">
        <f t="shared" si="65"/>
        <v>1.8969083243169773</v>
      </c>
      <c r="O829" s="225">
        <f>IF(IFERROR(INDEX('Both teabags AfterWet'!$C$3:$C$841,MATCH(J829,'Both teabags AfterWet'!$A$3:$A$841,0)),"")="","",(IFERROR(INDEX('Both teabags AfterWet'!$C$3:$C$841,MATCH(J829,'Both teabags AfterWet'!$A$3:$A$841,0)),"")))</f>
        <v>1.6950000000000001</v>
      </c>
      <c r="P829" s="225">
        <f>IFERROR(IF(O829&gt;0,O829-(TBIcalc!$H$9),""),"")</f>
        <v>1.5444</v>
      </c>
      <c r="Q829" s="225">
        <f>IFERROR(INDEX('Ashed teabags wet'!$K$2:$K$821,MATCH(J829,'Ashed teabags wet'!$A$2:$A$821,0)),"")</f>
        <v>2.1371769383691874</v>
      </c>
      <c r="R829" s="225">
        <f t="shared" si="68"/>
        <v>1.5113934393638262</v>
      </c>
      <c r="S829" s="226">
        <f>'WetLitterbags placem_collection'!E170</f>
        <v>42763</v>
      </c>
      <c r="T829" s="226">
        <f>IF('WetLitterbags placem_collection'!G170="","",'WetLitterbags placem_collection'!G170)</f>
        <v>42814</v>
      </c>
      <c r="U829" s="227">
        <f t="shared" si="69"/>
        <v>51</v>
      </c>
      <c r="V829" s="225">
        <f t="shared" si="66"/>
        <v>0.39679999999999982</v>
      </c>
      <c r="W829" s="225">
        <f t="shared" si="67"/>
        <v>0.38551488495315112</v>
      </c>
      <c r="X829">
        <f>IFERROR(INDEX(Rainfall_Wet!$O$2:$O$217,MATCH(B829, Rainfall_Wet!$A$2:$A$217,0)),"")</f>
        <v>181.383442621</v>
      </c>
      <c r="Y829" s="231">
        <v>21.96</v>
      </c>
      <c r="Z829" s="231">
        <v>4.9199999999999982</v>
      </c>
      <c r="AA829" s="231">
        <v>73.12</v>
      </c>
      <c r="AB829" s="232" t="s">
        <v>2670</v>
      </c>
      <c r="AC829" s="231">
        <v>8.2416954164613099</v>
      </c>
      <c r="AD829">
        <f>IF('WetLitterbags placem_collection'!AB170="","",'WetLitterbags placem_collection'!AB170)</f>
        <v>2.4</v>
      </c>
      <c r="AE829">
        <f>IF('WetLitterbags placem_collection'!Z170="","",'WetLitterbags placem_collection'!Z170)</f>
        <v>46</v>
      </c>
      <c r="AF829" s="246" t="str">
        <f>IF('WetLitterbags placem_collection'!AA170="","",'WetLitterbags placem_collection'!AA170)</f>
        <v>M</v>
      </c>
      <c r="AG829">
        <f>IF('WetLitterbags placem_collection'!AC170="","",'WetLitterbags placem_collection'!AC170)</f>
        <v>0</v>
      </c>
      <c r="AH829">
        <f>AVERAGE('WetLitterbags placem_collection'!S170,'WetLitterbags placem_collection'!U170)</f>
        <v>11.25</v>
      </c>
      <c r="AI829">
        <f>AVERAGE('WetLitterbags placem_collection'!R170,'WetLitterbags placem_collection'!T170)</f>
        <v>33.299999999999997</v>
      </c>
      <c r="AJ829">
        <f>INDEX(Coordinates!$B$2:$B$197,MATCH(G829,Coordinates!$J$2:$J$197,0))</f>
        <v>-2.2729129719999999</v>
      </c>
      <c r="AK829">
        <f>INDEX(Coordinates!$C$2:$C$197,MATCH(G829,Coordinates!$J$2:$J$197,0))</f>
        <v>34.023350039999997</v>
      </c>
      <c r="AL829" t="str">
        <f>IF(ISNUMBER(SEARCH("C", 'WetLitterbags placem_collection'!Y170)),"YES","NO")</f>
        <v>NO</v>
      </c>
      <c r="AM829" t="str">
        <f>IF(ISNUMBER(SEARCH("H", 'WetLitterbags placem_collection'!Y170)),"YES","NO")</f>
        <v>NO</v>
      </c>
      <c r="AN829" t="str">
        <f>IF(ISNUMBER(SEARCH("R", 'WetLitterbags placem_collection'!Y170)),"YES","NO")</f>
        <v>NO</v>
      </c>
    </row>
    <row r="830" spans="1:40" ht="15" customHeight="1">
      <c r="A830" s="258" t="s">
        <v>2460</v>
      </c>
      <c r="B830" s="263">
        <f>'Dry_Litterbag Placem_Collection'!A171</f>
        <v>169</v>
      </c>
      <c r="C830" s="263" t="str">
        <f>'Dry_Litterbag Placem_Collection'!B171</f>
        <v>Handajega</v>
      </c>
      <c r="D830" s="263" t="s">
        <v>2460</v>
      </c>
      <c r="E830" s="263" t="s">
        <v>2661</v>
      </c>
      <c r="F830" s="263">
        <v>2</v>
      </c>
      <c r="G830" s="264" t="str">
        <f>'Dry_Litterbag Placem_Collection'!C171</f>
        <v>Wet_W2_T1</v>
      </c>
      <c r="H830" s="273" t="s">
        <v>3651</v>
      </c>
      <c r="I830" s="274" t="s">
        <v>298</v>
      </c>
      <c r="J830" s="223" t="str">
        <f>'WetLitterbags placem_collection'!Q171</f>
        <v>R403</v>
      </c>
      <c r="K830" s="225">
        <f>IFERROR(INDEX('Green_rooibos initial weight'!$C$5:$C$1749,MATCH(J830, 'Green_rooibos initial weight'!$A$5:$A$1749,0)),"")</f>
        <v>2.2679999999999998</v>
      </c>
      <c r="L830" s="225">
        <f>IFERROR(K830-(TBIcalc!$H$9+TBIcalc!$H$10),"")</f>
        <v>2.0181999999999998</v>
      </c>
      <c r="M830" s="391">
        <f>AVERAGE(Ashed_controlls!$K$12:$K$14)</f>
        <v>2.2816647271287041</v>
      </c>
      <c r="N830" s="225">
        <f t="shared" si="65"/>
        <v>1.9721514424770883</v>
      </c>
      <c r="O830" s="225">
        <f>IF(IFERROR(INDEX('Both teabags AfterWet'!$C$3:$C$841,MATCH(J830,'Both teabags AfterWet'!$A$3:$A$841,0)),"")="","",(IFERROR(INDEX('Both teabags AfterWet'!$C$3:$C$841,MATCH(J830,'Both teabags AfterWet'!$A$3:$A$841,0)),"")))</f>
        <v>1.736</v>
      </c>
      <c r="P830" s="225">
        <f>IFERROR(IF(O830&gt;0,O830-(TBIcalc!$H$9),""),"")</f>
        <v>1.5853999999999999</v>
      </c>
      <c r="Q830" s="225">
        <f>IFERROR(INDEX('Ashed teabags wet'!$K$2:$K$821,MATCH(J830,'Ashed teabags wet'!$A$2:$A$821,0)),"")</f>
        <v>3.6768263183359386</v>
      </c>
      <c r="R830" s="225">
        <f t="shared" si="68"/>
        <v>1.527107595549102</v>
      </c>
      <c r="S830" s="226">
        <f>'WetLitterbags placem_collection'!E171</f>
        <v>42763</v>
      </c>
      <c r="T830" s="226">
        <f>IF('WetLitterbags placem_collection'!G171="","",'WetLitterbags placem_collection'!G171)</f>
        <v>42814</v>
      </c>
      <c r="U830" s="227">
        <f t="shared" si="69"/>
        <v>51</v>
      </c>
      <c r="V830" s="225">
        <f t="shared" si="66"/>
        <v>0.43279999999999985</v>
      </c>
      <c r="W830" s="225">
        <f t="shared" si="67"/>
        <v>0.44504384692798626</v>
      </c>
      <c r="X830">
        <f>IFERROR(INDEX(Rainfall_Wet!$O$2:$O$217,MATCH(B830, Rainfall_Wet!$A$2:$A$217,0)),"")</f>
        <v>181.383442621</v>
      </c>
      <c r="Y830" s="231">
        <v>23.96</v>
      </c>
      <c r="Z830" s="231">
        <v>4.9199999999999982</v>
      </c>
      <c r="AA830" s="231">
        <v>71.12</v>
      </c>
      <c r="AB830" s="232" t="s">
        <v>2670</v>
      </c>
      <c r="AC830" s="231">
        <v>3.30913750616067</v>
      </c>
      <c r="AD830">
        <f>IF('WetLitterbags placem_collection'!AB171="","",'WetLitterbags placem_collection'!AB171)</f>
        <v>8.1999999999999993</v>
      </c>
      <c r="AE830">
        <f>IF('WetLitterbags placem_collection'!Z171="","",'WetLitterbags placem_collection'!Z171)</f>
        <v>11.4</v>
      </c>
      <c r="AF830" s="246" t="str">
        <f>IF('WetLitterbags placem_collection'!AA171="","",'WetLitterbags placem_collection'!AA171)</f>
        <v>O</v>
      </c>
      <c r="AG830">
        <f>IF('WetLitterbags placem_collection'!AC171="","",'WetLitterbags placem_collection'!AC171)</f>
        <v>1</v>
      </c>
      <c r="AH830">
        <f>AVERAGE('WetLitterbags placem_collection'!S171,'WetLitterbags placem_collection'!U171)</f>
        <v>9.65</v>
      </c>
      <c r="AI830">
        <f>AVERAGE('WetLitterbags placem_collection'!R171,'WetLitterbags placem_collection'!T171)</f>
        <v>36.200000000000003</v>
      </c>
      <c r="AJ830">
        <f>INDEX(Coordinates!$B$2:$B$197,MATCH(G830,Coordinates!$J$2:$J$197,0))</f>
        <v>-2.2784290180000002</v>
      </c>
      <c r="AK830">
        <f>INDEX(Coordinates!$C$2:$C$197,MATCH(G830,Coordinates!$J$2:$J$197,0))</f>
        <v>34.024240030000001</v>
      </c>
      <c r="AL830" t="str">
        <f>IF(ISNUMBER(SEARCH("C", 'WetLitterbags placem_collection'!Y171)),"YES","NO")</f>
        <v>NO</v>
      </c>
      <c r="AM830" t="str">
        <f>IF(ISNUMBER(SEARCH("H", 'WetLitterbags placem_collection'!Y171)),"YES","NO")</f>
        <v>NO</v>
      </c>
      <c r="AN830" t="str">
        <f>IF(ISNUMBER(SEARCH("R", 'WetLitterbags placem_collection'!Y171)),"YES","NO")</f>
        <v>NO</v>
      </c>
    </row>
    <row r="831" spans="1:40" ht="15" customHeight="1">
      <c r="A831" s="258" t="s">
        <v>2460</v>
      </c>
      <c r="B831" s="263">
        <f>'Dry_Litterbag Placem_Collection'!A172</f>
        <v>170</v>
      </c>
      <c r="C831" s="263" t="str">
        <f>'Dry_Litterbag Placem_Collection'!B172</f>
        <v>Handajega</v>
      </c>
      <c r="D831" s="263" t="s">
        <v>2460</v>
      </c>
      <c r="E831" s="263" t="s">
        <v>2661</v>
      </c>
      <c r="F831" s="263">
        <v>2</v>
      </c>
      <c r="G831" s="264" t="str">
        <f>'Dry_Litterbag Placem_Collection'!C172</f>
        <v>Wet_W2_T2</v>
      </c>
      <c r="H831" s="273" t="s">
        <v>3651</v>
      </c>
      <c r="I831" s="274" t="s">
        <v>298</v>
      </c>
      <c r="J831" s="223" t="str">
        <f>'WetLitterbags placem_collection'!Q172</f>
        <v>R583</v>
      </c>
      <c r="K831" s="225">
        <f>IFERROR(INDEX('Green_rooibos initial weight'!$C$5:$C$1749,MATCH(J831, 'Green_rooibos initial weight'!$A$5:$A$1749,0)),"")</f>
        <v>2.2549999999999999</v>
      </c>
      <c r="L831" s="225">
        <f>IFERROR(K831-(TBIcalc!$H$9+TBIcalc!$H$10),"")</f>
        <v>2.0051999999999999</v>
      </c>
      <c r="M831" s="391">
        <f>AVERAGE(Ashed_controlls!$K$12:$K$14)</f>
        <v>2.2816647271287041</v>
      </c>
      <c r="N831" s="225">
        <f t="shared" si="65"/>
        <v>1.959448058891615</v>
      </c>
      <c r="O831" s="225">
        <f>IF(IFERROR(INDEX('Both teabags AfterWet'!$C$3:$C$841,MATCH(J831,'Both teabags AfterWet'!$A$3:$A$841,0)),"")="","",(IFERROR(INDEX('Both teabags AfterWet'!$C$3:$C$841,MATCH(J831,'Both teabags AfterWet'!$A$3:$A$841,0)),"")))</f>
        <v>1.71</v>
      </c>
      <c r="P831" s="225">
        <f>IFERROR(IF(O831&gt;0,O831-(TBIcalc!$H$9),""),"")</f>
        <v>1.5593999999999999</v>
      </c>
      <c r="Q831" s="225">
        <f>IFERROR(INDEX('Ashed teabags wet'!$K$2:$K$821,MATCH(J831,'Ashed teabags wet'!$A$2:$A$821,0)),"")</f>
        <v>2.3988005996999138</v>
      </c>
      <c r="R831" s="225">
        <f t="shared" si="68"/>
        <v>1.5219931034482794</v>
      </c>
      <c r="S831" s="226">
        <f>'WetLitterbags placem_collection'!E172</f>
        <v>42763</v>
      </c>
      <c r="T831" s="226">
        <f>IF('WetLitterbags placem_collection'!G172="","",'WetLitterbags placem_collection'!G172)</f>
        <v>42814</v>
      </c>
      <c r="U831" s="227">
        <f t="shared" si="69"/>
        <v>51</v>
      </c>
      <c r="V831" s="225">
        <f t="shared" si="66"/>
        <v>0.44579999999999997</v>
      </c>
      <c r="W831" s="225">
        <f t="shared" si="67"/>
        <v>0.43745495544333557</v>
      </c>
      <c r="X831">
        <f>IFERROR(INDEX(Rainfall_Wet!$O$2:$O$217,MATCH(B831, Rainfall_Wet!$A$2:$A$217,0)),"")</f>
        <v>181.383442621</v>
      </c>
      <c r="Y831" s="231">
        <v>23.96</v>
      </c>
      <c r="Z831" s="231">
        <v>4.9199999999999982</v>
      </c>
      <c r="AA831" s="231">
        <v>71.12</v>
      </c>
      <c r="AB831" s="232" t="s">
        <v>2670</v>
      </c>
      <c r="AC831" s="231">
        <v>4.3091375061606696</v>
      </c>
      <c r="AD831">
        <f>IF('WetLitterbags placem_collection'!AB172="","",'WetLitterbags placem_collection'!AB172)</f>
        <v>7.7</v>
      </c>
      <c r="AE831">
        <f>IF('WetLitterbags placem_collection'!Z172="","",'WetLitterbags placem_collection'!Z172)</f>
        <v>15.8</v>
      </c>
      <c r="AF831" s="246" t="str">
        <f>IF('WetLitterbags placem_collection'!AA172="","",'WetLitterbags placem_collection'!AA172)</f>
        <v>O</v>
      </c>
      <c r="AG831">
        <f>IF('WetLitterbags placem_collection'!AC172="","",'WetLitterbags placem_collection'!AC172)</f>
        <v>1</v>
      </c>
      <c r="AH831">
        <f>AVERAGE('WetLitterbags placem_collection'!S172,'WetLitterbags placem_collection'!U172)</f>
        <v>8.1</v>
      </c>
      <c r="AI831">
        <f>AVERAGE('WetLitterbags placem_collection'!R172,'WetLitterbags placem_collection'!T172)</f>
        <v>33.599999999999994</v>
      </c>
      <c r="AJ831">
        <f>INDEX(Coordinates!$B$2:$B$197,MATCH(G831,Coordinates!$J$2:$J$197,0))</f>
        <v>-2.2784629650000001</v>
      </c>
      <c r="AK831">
        <f>INDEX(Coordinates!$C$2:$C$197,MATCH(G831,Coordinates!$J$2:$J$197,0))</f>
        <v>34.024177999999999</v>
      </c>
      <c r="AL831" t="str">
        <f>IF(ISNUMBER(SEARCH("C", 'WetLitterbags placem_collection'!Y172)),"YES","NO")</f>
        <v>NO</v>
      </c>
      <c r="AM831" t="str">
        <f>IF(ISNUMBER(SEARCH("H", 'WetLitterbags placem_collection'!Y172)),"YES","NO")</f>
        <v>NO</v>
      </c>
      <c r="AN831" t="str">
        <f>IF(ISNUMBER(SEARCH("R", 'WetLitterbags placem_collection'!Y172)),"YES","NO")</f>
        <v>NO</v>
      </c>
    </row>
    <row r="832" spans="1:40" ht="15" customHeight="1">
      <c r="A832" s="258" t="s">
        <v>2460</v>
      </c>
      <c r="B832" s="263">
        <f>'Dry_Litterbag Placem_Collection'!A173</f>
        <v>171</v>
      </c>
      <c r="C832" s="263" t="str">
        <f>'Dry_Litterbag Placem_Collection'!B173</f>
        <v>Handajega</v>
      </c>
      <c r="D832" s="263" t="s">
        <v>2460</v>
      </c>
      <c r="E832" s="263" t="s">
        <v>2661</v>
      </c>
      <c r="F832" s="263">
        <v>2</v>
      </c>
      <c r="G832" s="264" t="str">
        <f>'Dry_Litterbag Placem_Collection'!C173</f>
        <v>Wet_W2_T3</v>
      </c>
      <c r="H832" s="273" t="s">
        <v>3651</v>
      </c>
      <c r="I832" s="274" t="s">
        <v>298</v>
      </c>
      <c r="J832" s="223" t="str">
        <f>'WetLitterbags placem_collection'!Q173</f>
        <v>R451</v>
      </c>
      <c r="K832" s="225">
        <f>IFERROR(INDEX('Green_rooibos initial weight'!$C$5:$C$1749,MATCH(J832, 'Green_rooibos initial weight'!$A$5:$A$1749,0)),"")</f>
        <v>2.1970000000000001</v>
      </c>
      <c r="L832" s="225">
        <f>IFERROR(K832-(TBIcalc!$H$9+TBIcalc!$H$10),"")</f>
        <v>1.9472</v>
      </c>
      <c r="M832" s="391">
        <f>AVERAGE(Ashed_controlls!$K$12:$K$14)</f>
        <v>2.2816647271287041</v>
      </c>
      <c r="N832" s="225">
        <f t="shared" si="65"/>
        <v>1.90277142443335</v>
      </c>
      <c r="O832" s="225">
        <f>IF(IFERROR(INDEX('Both teabags AfterWet'!$C$3:$C$841,MATCH(J832,'Both teabags AfterWet'!$A$3:$A$841,0)),"")="","",(IFERROR(INDEX('Both teabags AfterWet'!$C$3:$C$841,MATCH(J832,'Both teabags AfterWet'!$A$3:$A$841,0)),"")))</f>
        <v>1.629</v>
      </c>
      <c r="P832" s="225">
        <f>IFERROR(IF(O832&gt;0,O832-(TBIcalc!$H$9),""),"")</f>
        <v>1.4783999999999999</v>
      </c>
      <c r="Q832" s="225">
        <f>IFERROR(INDEX('Ashed teabags wet'!$K$2:$K$821,MATCH(J832,'Ashed teabags wet'!$A$2:$A$821,0)),"")</f>
        <v>1.7224409448818911</v>
      </c>
      <c r="R832" s="225">
        <f t="shared" si="68"/>
        <v>1.4529354330708661</v>
      </c>
      <c r="S832" s="226">
        <f>'WetLitterbags placem_collection'!E173</f>
        <v>42763</v>
      </c>
      <c r="T832" s="226">
        <f>IF('WetLitterbags placem_collection'!G173="","",'WetLitterbags placem_collection'!G173)</f>
        <v>42814</v>
      </c>
      <c r="U832" s="227">
        <f t="shared" si="69"/>
        <v>51</v>
      </c>
      <c r="V832" s="225">
        <f t="shared" si="66"/>
        <v>0.46880000000000011</v>
      </c>
      <c r="W832" s="225">
        <f t="shared" si="67"/>
        <v>0.44983599136248387</v>
      </c>
      <c r="X832">
        <f>IFERROR(INDEX(Rainfall_Wet!$O$2:$O$217,MATCH(B832, Rainfall_Wet!$A$2:$A$217,0)),"")</f>
        <v>181.383442621</v>
      </c>
      <c r="Y832" s="231">
        <v>23.96</v>
      </c>
      <c r="Z832" s="231">
        <v>4.9199999999999982</v>
      </c>
      <c r="AA832" s="231">
        <v>71.12</v>
      </c>
      <c r="AB832" s="232" t="s">
        <v>2670</v>
      </c>
      <c r="AC832" s="231">
        <v>5.3091375061606696</v>
      </c>
      <c r="AD832">
        <f>IF('WetLitterbags placem_collection'!AB173="","",'WetLitterbags placem_collection'!AB173)</f>
        <v>13.4</v>
      </c>
      <c r="AE832">
        <f>IF('WetLitterbags placem_collection'!Z173="","",'WetLitterbags placem_collection'!Z173)</f>
        <v>7.6</v>
      </c>
      <c r="AF832" s="246" t="str">
        <f>IF('WetLitterbags placem_collection'!AA173="","",'WetLitterbags placem_collection'!AA173)</f>
        <v>O</v>
      </c>
      <c r="AG832">
        <f>IF('WetLitterbags placem_collection'!AC173="","",'WetLitterbags placem_collection'!AC173)</f>
        <v>1</v>
      </c>
      <c r="AH832">
        <f>AVERAGE('WetLitterbags placem_collection'!S173,'WetLitterbags placem_collection'!U173)</f>
        <v>10.5</v>
      </c>
      <c r="AI832">
        <f>AVERAGE('WetLitterbags placem_collection'!R173,'WetLitterbags placem_collection'!T173)</f>
        <v>34.15</v>
      </c>
      <c r="AJ832">
        <f>INDEX(Coordinates!$B$2:$B$197,MATCH(G832,Coordinates!$J$2:$J$197,0))</f>
        <v>-2.2785389889999998</v>
      </c>
      <c r="AK832">
        <f>INDEX(Coordinates!$C$2:$C$197,MATCH(G832,Coordinates!$J$2:$J$197,0))</f>
        <v>34.024371039999998</v>
      </c>
      <c r="AL832" t="str">
        <f>IF(ISNUMBER(SEARCH("C", 'WetLitterbags placem_collection'!Y173)),"YES","NO")</f>
        <v>NO</v>
      </c>
      <c r="AM832" t="str">
        <f>IF(ISNUMBER(SEARCH("H", 'WetLitterbags placem_collection'!Y173)),"YES","NO")</f>
        <v>NO</v>
      </c>
      <c r="AN832" t="str">
        <f>IF(ISNUMBER(SEARCH("R", 'WetLitterbags placem_collection'!Y173)),"YES","NO")</f>
        <v>NO</v>
      </c>
    </row>
    <row r="833" spans="1:40" ht="15" customHeight="1">
      <c r="A833" s="258" t="s">
        <v>2460</v>
      </c>
      <c r="B833" s="263">
        <f>'Dry_Litterbag Placem_Collection'!A174</f>
        <v>172</v>
      </c>
      <c r="C833" s="263" t="str">
        <f>'Dry_Litterbag Placem_Collection'!B174</f>
        <v>Handajega</v>
      </c>
      <c r="D833" s="263" t="s">
        <v>2460</v>
      </c>
      <c r="E833" s="263" t="s">
        <v>2661</v>
      </c>
      <c r="F833" s="263">
        <v>2</v>
      </c>
      <c r="G833" s="264" t="str">
        <f>'Dry_Litterbag Placem_Collection'!C174</f>
        <v>Wet_W2_T4</v>
      </c>
      <c r="H833" s="273" t="s">
        <v>3651</v>
      </c>
      <c r="I833" s="274" t="s">
        <v>298</v>
      </c>
      <c r="J833" s="223" t="str">
        <f>'WetLitterbags placem_collection'!Q174</f>
        <v>R353</v>
      </c>
      <c r="K833" s="225">
        <f>IFERROR(INDEX('Green_rooibos initial weight'!$C$5:$C$1749,MATCH(J833, 'Green_rooibos initial weight'!$A$5:$A$1749,0)),"")</f>
        <v>2.2909999999999999</v>
      </c>
      <c r="L833" s="225">
        <f>IFERROR(K833-(TBIcalc!$H$9+TBIcalc!$H$10),"")</f>
        <v>2.0411999999999999</v>
      </c>
      <c r="M833" s="391">
        <f>AVERAGE(Ashed_controlls!$K$12:$K$14)</f>
        <v>2.2816647271287041</v>
      </c>
      <c r="N833" s="225">
        <f t="shared" si="65"/>
        <v>1.9946266595898487</v>
      </c>
      <c r="O833" s="225">
        <f>IF(IFERROR(INDEX('Both teabags AfterWet'!$C$3:$C$841,MATCH(J833,'Both teabags AfterWet'!$A$3:$A$841,0)),"")="","",(IFERROR(INDEX('Both teabags AfterWet'!$C$3:$C$841,MATCH(J833,'Both teabags AfterWet'!$A$3:$A$841,0)),"")))</f>
        <v>1.7694000000000001</v>
      </c>
      <c r="P833" s="225">
        <f>IFERROR(IF(O833&gt;0,O833-(TBIcalc!$H$9),""),"")</f>
        <v>1.6188</v>
      </c>
      <c r="Q833" s="225" t="str">
        <f>IFERROR(INDEX('Ashed teabags wet'!$K$2:$K$821,MATCH(J833,'Ashed teabags wet'!$A$2:$A$821,0)),"")</f>
        <v/>
      </c>
      <c r="R833" s="225" t="str">
        <f t="shared" si="68"/>
        <v/>
      </c>
      <c r="S833" s="226">
        <f>'WetLitterbags placem_collection'!E174</f>
        <v>42763</v>
      </c>
      <c r="T833" s="226">
        <f>IF('WetLitterbags placem_collection'!G174="","",'WetLitterbags placem_collection'!G174)</f>
        <v>42814</v>
      </c>
      <c r="U833" s="227">
        <f t="shared" si="69"/>
        <v>51</v>
      </c>
      <c r="V833" s="225">
        <f t="shared" si="66"/>
        <v>0.42239999999999989</v>
      </c>
      <c r="W833" s="225" t="str">
        <f t="shared" si="67"/>
        <v/>
      </c>
      <c r="X833">
        <f>IFERROR(INDEX(Rainfall_Wet!$O$2:$O$217,MATCH(B833, Rainfall_Wet!$A$2:$A$217,0)),"")</f>
        <v>181.383442621</v>
      </c>
      <c r="Y833" s="231">
        <v>23.96</v>
      </c>
      <c r="Z833" s="231">
        <v>4.9199999999999982</v>
      </c>
      <c r="AA833" s="231">
        <v>71.12</v>
      </c>
      <c r="AB833" s="232" t="s">
        <v>2670</v>
      </c>
      <c r="AC833" s="231">
        <v>6.3091375061606696</v>
      </c>
      <c r="AD833">
        <f>IF('WetLitterbags placem_collection'!AB174="","",'WetLitterbags placem_collection'!AB174)</f>
        <v>3.3</v>
      </c>
      <c r="AE833">
        <f>IF('WetLitterbags placem_collection'!Z174="","",'WetLitterbags placem_collection'!Z174)</f>
        <v>28.4</v>
      </c>
      <c r="AF833" s="246" t="str">
        <f>IF('WetLitterbags placem_collection'!AA174="","",'WetLitterbags placem_collection'!AA174)</f>
        <v>G</v>
      </c>
      <c r="AG833">
        <f>IF('WetLitterbags placem_collection'!AC174="","",'WetLitterbags placem_collection'!AC174)</f>
        <v>1</v>
      </c>
      <c r="AH833">
        <f>AVERAGE('WetLitterbags placem_collection'!S174,'WetLitterbags placem_collection'!U174)</f>
        <v>9.6499999999999986</v>
      </c>
      <c r="AI833">
        <f>AVERAGE('WetLitterbags placem_collection'!R174,'WetLitterbags placem_collection'!T174)</f>
        <v>35.1</v>
      </c>
      <c r="AJ833">
        <f>INDEX(Coordinates!$B$2:$B$197,MATCH(G833,Coordinates!$J$2:$J$197,0))</f>
        <v>-2.2781410160000002</v>
      </c>
      <c r="AK833">
        <f>INDEX(Coordinates!$C$2:$C$197,MATCH(G833,Coordinates!$J$2:$J$197,0))</f>
        <v>34.024136009999999</v>
      </c>
      <c r="AL833" t="str">
        <f>IF(ISNUMBER(SEARCH("C", 'WetLitterbags placem_collection'!Y174)),"YES","NO")</f>
        <v>NO</v>
      </c>
      <c r="AM833" t="str">
        <f>IF(ISNUMBER(SEARCH("H", 'WetLitterbags placem_collection'!Y174)),"YES","NO")</f>
        <v>NO</v>
      </c>
      <c r="AN833" t="str">
        <f>IF(ISNUMBER(SEARCH("R", 'WetLitterbags placem_collection'!Y174)),"YES","NO")</f>
        <v>NO</v>
      </c>
    </row>
    <row r="834" spans="1:40" ht="15" customHeight="1">
      <c r="A834" s="258" t="s">
        <v>2460</v>
      </c>
      <c r="B834" s="263">
        <f>'Dry_Litterbag Placem_Collection'!A175</f>
        <v>173</v>
      </c>
      <c r="C834" s="263" t="str">
        <f>'Dry_Litterbag Placem_Collection'!B175</f>
        <v>Handajega</v>
      </c>
      <c r="D834" s="263" t="s">
        <v>2460</v>
      </c>
      <c r="E834" s="263" t="s">
        <v>2661</v>
      </c>
      <c r="F834" s="263">
        <v>2</v>
      </c>
      <c r="G834" s="264" t="str">
        <f>'Dry_Litterbag Placem_Collection'!C175</f>
        <v>Wet_W2_T5</v>
      </c>
      <c r="H834" s="273" t="s">
        <v>3651</v>
      </c>
      <c r="I834" s="274" t="s">
        <v>298</v>
      </c>
      <c r="J834" s="223" t="str">
        <f>'WetLitterbags placem_collection'!Q175</f>
        <v>R105</v>
      </c>
      <c r="K834" s="225">
        <f>IFERROR(INDEX('Green_rooibos initial weight'!$C$5:$C$1749,MATCH(J834, 'Green_rooibos initial weight'!$A$5:$A$1749,0)),"")</f>
        <v>2.254</v>
      </c>
      <c r="L834" s="225">
        <f>IFERROR(K834-(TBIcalc!$H$9+TBIcalc!$H$10),"")</f>
        <v>2.0042</v>
      </c>
      <c r="M834" s="391">
        <f>AVERAGE(Ashed_controlls!$K$12:$K$14)</f>
        <v>2.2816647271287041</v>
      </c>
      <c r="N834" s="225">
        <f t="shared" si="65"/>
        <v>1.9584708755388864</v>
      </c>
      <c r="O834" s="225">
        <f>IF(IFERROR(INDEX('Both teabags AfterWet'!$C$3:$C$841,MATCH(J834,'Both teabags AfterWet'!$A$3:$A$841,0)),"")="","",(IFERROR(INDEX('Both teabags AfterWet'!$C$3:$C$841,MATCH(J834,'Both teabags AfterWet'!$A$3:$A$841,0)),"")))</f>
        <v>1.6919999999999999</v>
      </c>
      <c r="P834" s="225">
        <f>IFERROR(IF(O834&gt;0,O834-(TBIcalc!$H$9),""),"")</f>
        <v>1.5413999999999999</v>
      </c>
      <c r="Q834" s="225">
        <f>IFERROR(INDEX('Ashed teabags wet'!$K$2:$K$821,MATCH(J834,'Ashed teabags wet'!$A$2:$A$821,0)),"")</f>
        <v>2.5628626692459697</v>
      </c>
      <c r="R834" s="225">
        <f t="shared" si="68"/>
        <v>1.5018960348162425</v>
      </c>
      <c r="S834" s="226">
        <f>'WetLitterbags placem_collection'!E175</f>
        <v>42763</v>
      </c>
      <c r="T834" s="226">
        <f>IF('WetLitterbags placem_collection'!G175="","",'WetLitterbags placem_collection'!G175)</f>
        <v>42814</v>
      </c>
      <c r="U834" s="227">
        <f t="shared" si="69"/>
        <v>51</v>
      </c>
      <c r="V834" s="225">
        <f t="shared" si="66"/>
        <v>0.4628000000000001</v>
      </c>
      <c r="W834" s="225">
        <f t="shared" si="67"/>
        <v>0.45657484072264398</v>
      </c>
      <c r="X834">
        <f>IFERROR(INDEX(Rainfall_Wet!$O$2:$O$217,MATCH(B834, Rainfall_Wet!$A$2:$A$217,0)),"")</f>
        <v>181.383442621</v>
      </c>
      <c r="Y834" s="231">
        <v>23.96</v>
      </c>
      <c r="Z834" s="231">
        <v>4.9199999999999982</v>
      </c>
      <c r="AA834" s="231">
        <v>71.12</v>
      </c>
      <c r="AB834" s="232" t="s">
        <v>2670</v>
      </c>
      <c r="AC834" s="231">
        <v>7.3091375061606696</v>
      </c>
      <c r="AD834">
        <f>IF('WetLitterbags placem_collection'!AB175="","",'WetLitterbags placem_collection'!AB175)</f>
        <v>15.4</v>
      </c>
      <c r="AE834">
        <f>IF('WetLitterbags placem_collection'!Z175="","",'WetLitterbags placem_collection'!Z175)</f>
        <v>12.4</v>
      </c>
      <c r="AF834" s="246" t="str">
        <f>IF('WetLitterbags placem_collection'!AA175="","",'WetLitterbags placem_collection'!AA175)</f>
        <v>O</v>
      </c>
      <c r="AG834">
        <f>IF('WetLitterbags placem_collection'!AC175="","",'WetLitterbags placem_collection'!AC175)</f>
        <v>0</v>
      </c>
      <c r="AH834">
        <f>AVERAGE('WetLitterbags placem_collection'!S175,'WetLitterbags placem_collection'!U175)</f>
        <v>10.450000000000001</v>
      </c>
      <c r="AI834">
        <f>AVERAGE('WetLitterbags placem_collection'!R175,'WetLitterbags placem_collection'!T175)</f>
        <v>36.349999999999994</v>
      </c>
      <c r="AJ834">
        <f>INDEX(Coordinates!$B$2:$B$197,MATCH(G834,Coordinates!$J$2:$J$197,0))</f>
        <v>-2.27856799</v>
      </c>
      <c r="AK834">
        <f>INDEX(Coordinates!$C$2:$C$197,MATCH(G834,Coordinates!$J$2:$J$197,0))</f>
        <v>34.023969970000003</v>
      </c>
      <c r="AL834" t="str">
        <f>IF(ISNUMBER(SEARCH("C", 'WetLitterbags placem_collection'!Y175)),"YES","NO")</f>
        <v>NO</v>
      </c>
      <c r="AM834" t="str">
        <f>IF(ISNUMBER(SEARCH("H", 'WetLitterbags placem_collection'!Y175)),"YES","NO")</f>
        <v>NO</v>
      </c>
      <c r="AN834" t="str">
        <f>IF(ISNUMBER(SEARCH("R", 'WetLitterbags placem_collection'!Y175)),"YES","NO")</f>
        <v>NO</v>
      </c>
    </row>
    <row r="835" spans="1:40" ht="15" customHeight="1">
      <c r="A835" s="258" t="s">
        <v>2460</v>
      </c>
      <c r="B835" s="263">
        <f>'Dry_Litterbag Placem_Collection'!A176</f>
        <v>174</v>
      </c>
      <c r="C835" s="263" t="str">
        <f>'Dry_Litterbag Placem_Collection'!B176</f>
        <v>Handajega</v>
      </c>
      <c r="D835" s="263" t="s">
        <v>2460</v>
      </c>
      <c r="E835" s="263" t="s">
        <v>2661</v>
      </c>
      <c r="F835" s="263">
        <v>2</v>
      </c>
      <c r="G835" s="264" t="str">
        <f>'Dry_Litterbag Placem_Collection'!C176</f>
        <v>Wet_W2_T6</v>
      </c>
      <c r="H835" s="273" t="s">
        <v>3651</v>
      </c>
      <c r="I835" s="274" t="s">
        <v>298</v>
      </c>
      <c r="J835" s="223" t="str">
        <f>'WetLitterbags placem_collection'!Q176</f>
        <v>R384</v>
      </c>
      <c r="K835" s="225">
        <f>IFERROR(INDEX('Green_rooibos initial weight'!$C$5:$C$1749,MATCH(J835, 'Green_rooibos initial weight'!$A$5:$A$1749,0)),"")</f>
        <v>2.2240000000000002</v>
      </c>
      <c r="L835" s="225">
        <f>IFERROR(K835-(TBIcalc!$H$9+TBIcalc!$H$10),"")</f>
        <v>1.9742000000000002</v>
      </c>
      <c r="M835" s="391">
        <f>AVERAGE(Ashed_controlls!$K$12:$K$14)</f>
        <v>2.2816647271287041</v>
      </c>
      <c r="N835" s="225">
        <f t="shared" ref="N835:N881" si="70">IFERROR(L835-(M835/100)*L835,"")</f>
        <v>1.9291553749570254</v>
      </c>
      <c r="O835" s="225">
        <f>IF(IFERROR(INDEX('Both teabags AfterWet'!$C$3:$C$841,MATCH(J835,'Both teabags AfterWet'!$A$3:$A$841,0)),"")="","",(IFERROR(INDEX('Both teabags AfterWet'!$C$3:$C$841,MATCH(J835,'Both teabags AfterWet'!$A$3:$A$841,0)),"")))</f>
        <v>1.772</v>
      </c>
      <c r="P835" s="225">
        <f>IFERROR(IF(O835&gt;0,O835-(TBIcalc!$H$9),""),"")</f>
        <v>1.6214</v>
      </c>
      <c r="Q835" s="225">
        <f>IFERROR(INDEX('Ashed teabags wet'!$K$2:$K$821,MATCH(J835,'Ashed teabags wet'!$A$2:$A$821,0)),"")</f>
        <v>2.1032504780120633</v>
      </c>
      <c r="R835" s="225">
        <f t="shared" si="68"/>
        <v>1.5872978967495124</v>
      </c>
      <c r="S835" s="226">
        <f>'WetLitterbags placem_collection'!E176</f>
        <v>42763</v>
      </c>
      <c r="T835" s="226">
        <f>IF('WetLitterbags placem_collection'!G176="","",'WetLitterbags placem_collection'!G176)</f>
        <v>42814</v>
      </c>
      <c r="U835" s="227">
        <f t="shared" si="69"/>
        <v>51</v>
      </c>
      <c r="V835" s="225">
        <f t="shared" ref="V835:V881" si="71">IFERROR(L835-P835,"")</f>
        <v>0.35280000000000022</v>
      </c>
      <c r="W835" s="225">
        <f t="shared" ref="W835:W881" si="72">IFERROR(N835-R835,"")</f>
        <v>0.341857478207513</v>
      </c>
      <c r="X835">
        <f>IFERROR(INDEX(Rainfall_Wet!$O$2:$O$217,MATCH(B835, Rainfall_Wet!$A$2:$A$217,0)),"")</f>
        <v>181.383442621</v>
      </c>
      <c r="Y835" s="231">
        <v>23.96</v>
      </c>
      <c r="Z835" s="231">
        <v>4.9199999999999982</v>
      </c>
      <c r="AA835" s="231">
        <v>71.12</v>
      </c>
      <c r="AB835" s="232" t="s">
        <v>2670</v>
      </c>
      <c r="AC835" s="231">
        <v>8.3091375061606705</v>
      </c>
      <c r="AD835">
        <f>IF('WetLitterbags placem_collection'!AB176="","",'WetLitterbags placem_collection'!AB176)</f>
        <v>7.4</v>
      </c>
      <c r="AE835">
        <f>IF('WetLitterbags placem_collection'!Z176="","",'WetLitterbags placem_collection'!Z176)</f>
        <v>7.4</v>
      </c>
      <c r="AF835" s="246" t="str">
        <f>IF('WetLitterbags placem_collection'!AA176="","",'WetLitterbags placem_collection'!AA176)</f>
        <v>O</v>
      </c>
      <c r="AG835">
        <f>IF('WetLitterbags placem_collection'!AC176="","",'WetLitterbags placem_collection'!AC176)</f>
        <v>0</v>
      </c>
      <c r="AH835">
        <f>AVERAGE('WetLitterbags placem_collection'!S176,'WetLitterbags placem_collection'!U176)</f>
        <v>17.75</v>
      </c>
      <c r="AI835">
        <f>AVERAGE('WetLitterbags placem_collection'!R176,'WetLitterbags placem_collection'!T176)</f>
        <v>34.85</v>
      </c>
      <c r="AJ835">
        <f>INDEX(Coordinates!$B$2:$B$197,MATCH(G835,Coordinates!$J$2:$J$197,0))</f>
        <v>-2.2786809780000001</v>
      </c>
      <c r="AK835">
        <f>INDEX(Coordinates!$C$2:$C$197,MATCH(G835,Coordinates!$J$2:$J$197,0))</f>
        <v>34.02434899</v>
      </c>
      <c r="AL835" t="str">
        <f>IF(ISNUMBER(SEARCH("C", 'WetLitterbags placem_collection'!Y176)),"YES","NO")</f>
        <v>NO</v>
      </c>
      <c r="AM835" t="str">
        <f>IF(ISNUMBER(SEARCH("H", 'WetLitterbags placem_collection'!Y176)),"YES","NO")</f>
        <v>NO</v>
      </c>
      <c r="AN835" t="str">
        <f>IF(ISNUMBER(SEARCH("R", 'WetLitterbags placem_collection'!Y176)),"YES","NO")</f>
        <v>NO</v>
      </c>
    </row>
    <row r="836" spans="1:40" ht="15" customHeight="1">
      <c r="A836" s="258" t="s">
        <v>2460</v>
      </c>
      <c r="B836" s="263">
        <f>'Dry_Litterbag Placem_Collection'!A177</f>
        <v>175</v>
      </c>
      <c r="C836" s="263" t="str">
        <f>'Dry_Litterbag Placem_Collection'!B177</f>
        <v>Handajega</v>
      </c>
      <c r="D836" s="263" t="s">
        <v>2460</v>
      </c>
      <c r="E836" s="263" t="s">
        <v>2661</v>
      </c>
      <c r="F836" s="263">
        <v>2</v>
      </c>
      <c r="G836" s="264" t="str">
        <f>'Dry_Litterbag Placem_Collection'!C177</f>
        <v>Wet_W2_T7</v>
      </c>
      <c r="H836" s="273" t="s">
        <v>3651</v>
      </c>
      <c r="I836" s="274" t="s">
        <v>298</v>
      </c>
      <c r="J836" s="223" t="str">
        <f>'WetLitterbags placem_collection'!Q177</f>
        <v>R481</v>
      </c>
      <c r="K836" s="225">
        <f>IFERROR(INDEX('Green_rooibos initial weight'!$C$5:$C$1749,MATCH(J836, 'Green_rooibos initial weight'!$A$5:$A$1749,0)),"")</f>
        <v>2.1589999999999998</v>
      </c>
      <c r="L836" s="225">
        <f>IFERROR(K836-(TBIcalc!$H$9+TBIcalc!$H$10),"")</f>
        <v>1.9091999999999998</v>
      </c>
      <c r="M836" s="391">
        <f>AVERAGE(Ashed_controlls!$K$12:$K$14)</f>
        <v>2.2816647271287041</v>
      </c>
      <c r="N836" s="225">
        <f t="shared" si="70"/>
        <v>1.8656384570296585</v>
      </c>
      <c r="O836" s="225">
        <f>IF(IFERROR(INDEX('Both teabags AfterWet'!$C$3:$C$841,MATCH(J836,'Both teabags AfterWet'!$A$3:$A$841,0)),"")="","",(IFERROR(INDEX('Both teabags AfterWet'!$C$3:$C$841,MATCH(J836,'Both teabags AfterWet'!$A$3:$A$841,0)),"")))</f>
        <v>1.681</v>
      </c>
      <c r="P836" s="225">
        <f>IFERROR(IF(O836&gt;0,O836-(TBIcalc!$H$9),""),"")</f>
        <v>1.5304</v>
      </c>
      <c r="Q836" s="225">
        <f>IFERROR(INDEX('Ashed teabags wet'!$K$2:$K$821,MATCH(J836,'Ashed teabags wet'!$A$2:$A$821,0)),"")</f>
        <v>22.390243902438794</v>
      </c>
      <c r="R836" s="225">
        <f t="shared" si="68"/>
        <v>1.1877397073170766</v>
      </c>
      <c r="S836" s="226">
        <f>'WetLitterbags placem_collection'!E177</f>
        <v>42763</v>
      </c>
      <c r="T836" s="226">
        <f>IF('WetLitterbags placem_collection'!G177="","",'WetLitterbags placem_collection'!G177)</f>
        <v>42814</v>
      </c>
      <c r="U836" s="227">
        <f t="shared" si="69"/>
        <v>51</v>
      </c>
      <c r="V836" s="225">
        <f t="shared" si="71"/>
        <v>0.3787999999999998</v>
      </c>
      <c r="W836" s="225">
        <f t="shared" si="72"/>
        <v>0.67789874971258191</v>
      </c>
      <c r="X836">
        <f>IFERROR(INDEX(Rainfall_Wet!$O$2:$O$217,MATCH(B836, Rainfall_Wet!$A$2:$A$217,0)),"")</f>
        <v>181.383442621</v>
      </c>
      <c r="Y836" s="231">
        <v>23.96</v>
      </c>
      <c r="Z836" s="231">
        <v>4.9199999999999982</v>
      </c>
      <c r="AA836" s="231">
        <v>71.12</v>
      </c>
      <c r="AB836" s="232" t="s">
        <v>2670</v>
      </c>
      <c r="AC836" s="231">
        <v>9.3091375061606705</v>
      </c>
      <c r="AD836">
        <f>IF('WetLitterbags placem_collection'!AB177="","",'WetLitterbags placem_collection'!AB177)</f>
        <v>15.4</v>
      </c>
      <c r="AE836">
        <f>IF('WetLitterbags placem_collection'!Z177="","",'WetLitterbags placem_collection'!Z177)</f>
        <v>9.8000000000000007</v>
      </c>
      <c r="AF836" s="246" t="str">
        <f>IF('WetLitterbags placem_collection'!AA177="","",'WetLitterbags placem_collection'!AA177)</f>
        <v>O</v>
      </c>
      <c r="AG836">
        <f>IF('WetLitterbags placem_collection'!AC177="","",'WetLitterbags placem_collection'!AC177)</f>
        <v>1</v>
      </c>
      <c r="AH836">
        <f>AVERAGE('WetLitterbags placem_collection'!S177,'WetLitterbags placem_collection'!U177)</f>
        <v>11.55</v>
      </c>
      <c r="AI836">
        <f>AVERAGE('WetLitterbags placem_collection'!R177,'WetLitterbags placem_collection'!T177)</f>
        <v>36.25</v>
      </c>
      <c r="AJ836">
        <f>INDEX(Coordinates!$B$2:$B$197,MATCH(G836,Coordinates!$J$2:$J$197,0))</f>
        <v>-2.2784219779999999</v>
      </c>
      <c r="AK836">
        <f>INDEX(Coordinates!$C$2:$C$197,MATCH(G836,Coordinates!$J$2:$J$197,0))</f>
        <v>34.024374979999997</v>
      </c>
      <c r="AL836" t="str">
        <f>IF(ISNUMBER(SEARCH("C", 'WetLitterbags placem_collection'!Y177)),"YES","NO")</f>
        <v>NO</v>
      </c>
      <c r="AM836" t="str">
        <f>IF(ISNUMBER(SEARCH("H", 'WetLitterbags placem_collection'!Y177)),"YES","NO")</f>
        <v>NO</v>
      </c>
      <c r="AN836" t="str">
        <f>IF(ISNUMBER(SEARCH("R", 'WetLitterbags placem_collection'!Y177)),"YES","NO")</f>
        <v>NO</v>
      </c>
    </row>
    <row r="837" spans="1:40" ht="15" customHeight="1">
      <c r="A837" s="258" t="s">
        <v>2460</v>
      </c>
      <c r="B837" s="263">
        <f>'Dry_Litterbag Placem_Collection'!A178</f>
        <v>176</v>
      </c>
      <c r="C837" s="263" t="str">
        <f>'Dry_Litterbag Placem_Collection'!B178</f>
        <v>Handajega</v>
      </c>
      <c r="D837" s="263" t="s">
        <v>2460</v>
      </c>
      <c r="E837" s="263" t="s">
        <v>2661</v>
      </c>
      <c r="F837" s="263">
        <v>2</v>
      </c>
      <c r="G837" s="264" t="str">
        <f>'Dry_Litterbag Placem_Collection'!C178</f>
        <v>Wet_W2_T8</v>
      </c>
      <c r="H837" s="273" t="s">
        <v>3651</v>
      </c>
      <c r="I837" s="274" t="s">
        <v>298</v>
      </c>
      <c r="J837" s="223" t="str">
        <f>'WetLitterbags placem_collection'!Q178</f>
        <v>R490</v>
      </c>
      <c r="K837" s="225">
        <f>IFERROR(INDEX('Green_rooibos initial weight'!$C$5:$C$1749,MATCH(J837, 'Green_rooibos initial weight'!$A$5:$A$1749,0)),"")</f>
        <v>2.1890000000000001</v>
      </c>
      <c r="L837" s="225">
        <f>IFERROR(K837-(TBIcalc!$H$9+TBIcalc!$H$10),"")</f>
        <v>1.9392</v>
      </c>
      <c r="M837" s="391">
        <f>AVERAGE(Ashed_controlls!$K$12:$K$14)</f>
        <v>2.2816647271287041</v>
      </c>
      <c r="N837" s="225">
        <f t="shared" si="70"/>
        <v>1.8949539576115202</v>
      </c>
      <c r="O837" s="225">
        <f>IF(IFERROR(INDEX('Both teabags AfterWet'!$C$3:$C$841,MATCH(J837,'Both teabags AfterWet'!$A$3:$A$841,0)),"")="","",(IFERROR(INDEX('Both teabags AfterWet'!$C$3:$C$841,MATCH(J837,'Both teabags AfterWet'!$A$3:$A$841,0)),"")))</f>
        <v>1.7070000000000001</v>
      </c>
      <c r="P837" s="225">
        <f>IFERROR(IF(O837&gt;0,O837-(TBIcalc!$H$9),""),"")</f>
        <v>1.5564</v>
      </c>
      <c r="Q837" s="225">
        <f>IFERROR(INDEX('Ashed teabags wet'!$K$2:$K$821,MATCH(J837,'Ashed teabags wet'!$A$2:$A$821,0)),"")</f>
        <v>2.6433915211971035</v>
      </c>
      <c r="R837" s="225">
        <f t="shared" si="68"/>
        <v>1.5152582543640882</v>
      </c>
      <c r="S837" s="226">
        <f>'WetLitterbags placem_collection'!E178</f>
        <v>42763</v>
      </c>
      <c r="T837" s="226">
        <f>IF('WetLitterbags placem_collection'!G178="","",'WetLitterbags placem_collection'!G178)</f>
        <v>42814</v>
      </c>
      <c r="U837" s="227">
        <f t="shared" si="69"/>
        <v>51</v>
      </c>
      <c r="V837" s="225">
        <f t="shared" si="71"/>
        <v>0.38280000000000003</v>
      </c>
      <c r="W837" s="225">
        <f t="shared" si="72"/>
        <v>0.37969570324743196</v>
      </c>
      <c r="X837">
        <f>IFERROR(INDEX(Rainfall_Wet!$O$2:$O$217,MATCH(B837, Rainfall_Wet!$A$2:$A$217,0)),"")</f>
        <v>181.383442621</v>
      </c>
      <c r="Y837" s="231">
        <v>23.96</v>
      </c>
      <c r="Z837" s="231">
        <v>4.9199999999999982</v>
      </c>
      <c r="AA837" s="231">
        <v>71.12</v>
      </c>
      <c r="AB837" s="232" t="s">
        <v>2670</v>
      </c>
      <c r="AC837" s="231">
        <v>10.309137506160701</v>
      </c>
      <c r="AD837">
        <f>IF('WetLitterbags placem_collection'!AB178="","",'WetLitterbags placem_collection'!AB178)</f>
        <v>6.8</v>
      </c>
      <c r="AE837">
        <f>IF('WetLitterbags placem_collection'!Z178="","",'WetLitterbags placem_collection'!Z178)</f>
        <v>6.9</v>
      </c>
      <c r="AF837" s="246" t="str">
        <f>IF('WetLitterbags placem_collection'!AA178="","",'WetLitterbags placem_collection'!AA178)</f>
        <v>O</v>
      </c>
      <c r="AG837">
        <f>IF('WetLitterbags placem_collection'!AC178="","",'WetLitterbags placem_collection'!AC178)</f>
        <v>0</v>
      </c>
      <c r="AH837">
        <f>AVERAGE('WetLitterbags placem_collection'!S178,'WetLitterbags placem_collection'!U178)</f>
        <v>11.4</v>
      </c>
      <c r="AI837">
        <f>AVERAGE('WetLitterbags placem_collection'!R178,'WetLitterbags placem_collection'!T178)</f>
        <v>34.15</v>
      </c>
      <c r="AJ837">
        <f>INDEX(Coordinates!$B$2:$B$197,MATCH(G837,Coordinates!$J$2:$J$197,0))</f>
        <v>-2.2782909679999999</v>
      </c>
      <c r="AK837">
        <f>INDEX(Coordinates!$C$2:$C$197,MATCH(G837,Coordinates!$J$2:$J$197,0))</f>
        <v>34.024574970000003</v>
      </c>
      <c r="AL837" t="str">
        <f>IF(ISNUMBER(SEARCH("C", 'WetLitterbags placem_collection'!Y178)),"YES","NO")</f>
        <v>NO</v>
      </c>
      <c r="AM837" t="str">
        <f>IF(ISNUMBER(SEARCH("H", 'WetLitterbags placem_collection'!Y178)),"YES","NO")</f>
        <v>NO</v>
      </c>
      <c r="AN837" t="str">
        <f>IF(ISNUMBER(SEARCH("R", 'WetLitterbags placem_collection'!Y178)),"YES","NO")</f>
        <v>NO</v>
      </c>
    </row>
    <row r="838" spans="1:40" ht="15" customHeight="1">
      <c r="A838" s="258" t="s">
        <v>2460</v>
      </c>
      <c r="B838" s="263">
        <f>'Dry_Litterbag Placem_Collection'!A179</f>
        <v>177</v>
      </c>
      <c r="C838" s="263" t="str">
        <f>'Dry_Litterbag Placem_Collection'!B179</f>
        <v>Handajega</v>
      </c>
      <c r="D838" s="263" t="s">
        <v>2460</v>
      </c>
      <c r="E838" s="263" t="s">
        <v>2661</v>
      </c>
      <c r="F838" s="263">
        <v>3</v>
      </c>
      <c r="G838" s="264" t="str">
        <f>'Dry_Litterbag Placem_Collection'!C179</f>
        <v>Wet_W3_T1</v>
      </c>
      <c r="H838" s="273" t="s">
        <v>3651</v>
      </c>
      <c r="I838" s="274" t="s">
        <v>298</v>
      </c>
      <c r="J838" s="223" t="str">
        <f>'WetLitterbags placem_collection'!Q179</f>
        <v>R470</v>
      </c>
      <c r="K838" s="225">
        <f>IFERROR(INDEX('Green_rooibos initial weight'!$C$5:$C$1749,MATCH(J838, 'Green_rooibos initial weight'!$A$5:$A$1749,0)),"")</f>
        <v>2.1240000000000001</v>
      </c>
      <c r="L838" s="225">
        <f>IFERROR(K838-(TBIcalc!$H$9+TBIcalc!$H$10),"")</f>
        <v>1.8742000000000001</v>
      </c>
      <c r="M838" s="391">
        <f>AVERAGE(Ashed_controlls!$K$12:$K$14)</f>
        <v>2.2816647271287041</v>
      </c>
      <c r="N838" s="225">
        <f t="shared" si="70"/>
        <v>1.8314370396841539</v>
      </c>
      <c r="O838" s="225">
        <f>IF(IFERROR(INDEX('Both teabags AfterWet'!$C$3:$C$841,MATCH(J838,'Both teabags AfterWet'!$A$3:$A$841,0)),"")="","",(IFERROR(INDEX('Both teabags AfterWet'!$C$3:$C$841,MATCH(J838,'Both teabags AfterWet'!$A$3:$A$841,0)),"")))</f>
        <v>1.677</v>
      </c>
      <c r="P838" s="225">
        <f>IFERROR(IF(O838&gt;0,O838-(TBIcalc!$H$9),""),"")</f>
        <v>1.5264</v>
      </c>
      <c r="Q838" s="225">
        <f>IFERROR(INDEX('Ashed teabags wet'!$K$2:$K$821,MATCH(J838,'Ashed teabags wet'!$A$2:$A$821,0)),"")</f>
        <v>2.3705853894531068</v>
      </c>
      <c r="R838" s="225">
        <f t="shared" si="68"/>
        <v>1.4902153846153878</v>
      </c>
      <c r="S838" s="226">
        <f>'WetLitterbags placem_collection'!E179</f>
        <v>42763</v>
      </c>
      <c r="T838" s="226">
        <f>IF('WetLitterbags placem_collection'!G179="","",'WetLitterbags placem_collection'!G179)</f>
        <v>42815</v>
      </c>
      <c r="U838" s="227">
        <f t="shared" si="69"/>
        <v>52</v>
      </c>
      <c r="V838" s="225">
        <f t="shared" si="71"/>
        <v>0.34780000000000011</v>
      </c>
      <c r="W838" s="225">
        <f t="shared" si="72"/>
        <v>0.34122165506876612</v>
      </c>
      <c r="X838">
        <f>IFERROR(INDEX(Rainfall_Wet!$O$2:$O$217,MATCH(B838, Rainfall_Wet!$A$2:$A$217,0)),"")</f>
        <v>188.24043152799999</v>
      </c>
      <c r="Y838" s="231">
        <v>25.96</v>
      </c>
      <c r="Z838" s="231">
        <v>8.9200000000000017</v>
      </c>
      <c r="AA838" s="231">
        <v>65.12</v>
      </c>
      <c r="AB838" s="232" t="s">
        <v>2670</v>
      </c>
      <c r="AC838" s="231">
        <v>1.614588467225234</v>
      </c>
      <c r="AD838">
        <f>IF('WetLitterbags placem_collection'!AB179="","",'WetLitterbags placem_collection'!AB179)</f>
        <v>17.8</v>
      </c>
      <c r="AE838">
        <f>IF('WetLitterbags placem_collection'!Z179="","",'WetLitterbags placem_collection'!Z179)</f>
        <v>25.8</v>
      </c>
      <c r="AF838" s="246" t="str">
        <f>IF('WetLitterbags placem_collection'!AA179="","",'WetLitterbags placem_collection'!AA179)</f>
        <v>O</v>
      </c>
      <c r="AG838">
        <f>IF('WetLitterbags placem_collection'!AC179="","",'WetLitterbags placem_collection'!AC179)</f>
        <v>0</v>
      </c>
      <c r="AH838">
        <f>AVERAGE('WetLitterbags placem_collection'!S179,'WetLitterbags placem_collection'!U179)</f>
        <v>19.200000000000003</v>
      </c>
      <c r="AI838">
        <f>AVERAGE('WetLitterbags placem_collection'!R179,'WetLitterbags placem_collection'!T179)</f>
        <v>32.1</v>
      </c>
      <c r="AJ838">
        <f>INDEX(Coordinates!$B$2:$B$197,MATCH(G838,Coordinates!$J$2:$J$197,0))</f>
        <v>-2.277740026</v>
      </c>
      <c r="AK838">
        <f>INDEX(Coordinates!$C$2:$C$197,MATCH(G838,Coordinates!$J$2:$J$197,0))</f>
        <v>34.027640990000002</v>
      </c>
      <c r="AL838" t="str">
        <f>IF(ISNUMBER(SEARCH("C", 'WetLitterbags placem_collection'!Y179)),"YES","NO")</f>
        <v>NO</v>
      </c>
      <c r="AM838" t="str">
        <f>IF(ISNUMBER(SEARCH("H", 'WetLitterbags placem_collection'!Y179)),"YES","NO")</f>
        <v>NO</v>
      </c>
      <c r="AN838" t="str">
        <f>IF(ISNUMBER(SEARCH("R", 'WetLitterbags placem_collection'!Y179)),"YES","NO")</f>
        <v>NO</v>
      </c>
    </row>
    <row r="839" spans="1:40" ht="15" customHeight="1">
      <c r="A839" s="258" t="s">
        <v>2460</v>
      </c>
      <c r="B839" s="263">
        <f>'Dry_Litterbag Placem_Collection'!A180</f>
        <v>178</v>
      </c>
      <c r="C839" s="263" t="str">
        <f>'Dry_Litterbag Placem_Collection'!B180</f>
        <v>Handajega</v>
      </c>
      <c r="D839" s="263" t="s">
        <v>2460</v>
      </c>
      <c r="E839" s="263" t="s">
        <v>2661</v>
      </c>
      <c r="F839" s="263">
        <v>3</v>
      </c>
      <c r="G839" s="264" t="str">
        <f>'Dry_Litterbag Placem_Collection'!C180</f>
        <v>Wet_W3_T2</v>
      </c>
      <c r="H839" s="273" t="s">
        <v>3651</v>
      </c>
      <c r="I839" s="274" t="s">
        <v>298</v>
      </c>
      <c r="J839" s="223" t="str">
        <f>'WetLitterbags placem_collection'!Q180</f>
        <v>R488</v>
      </c>
      <c r="K839" s="225">
        <f>IFERROR(INDEX('Green_rooibos initial weight'!$C$5:$C$1749,MATCH(J839, 'Green_rooibos initial weight'!$A$5:$A$1749,0)),"")</f>
        <v>2.1589999999999998</v>
      </c>
      <c r="L839" s="225">
        <f>IFERROR(K839-(TBIcalc!$H$9+TBIcalc!$H$10),"")</f>
        <v>1.9091999999999998</v>
      </c>
      <c r="M839" s="391">
        <f>AVERAGE(Ashed_controlls!$K$12:$K$14)</f>
        <v>2.2816647271287041</v>
      </c>
      <c r="N839" s="225">
        <f t="shared" si="70"/>
        <v>1.8656384570296585</v>
      </c>
      <c r="O839" s="225">
        <f>IF(IFERROR(INDEX('Both teabags AfterWet'!$C$3:$C$841,MATCH(J839,'Both teabags AfterWet'!$A$3:$A$841,0)),"")="","",(IFERROR(INDEX('Both teabags AfterWet'!$C$3:$C$841,MATCH(J839,'Both teabags AfterWet'!$A$3:$A$841,0)),"")))</f>
        <v>1.6446000000000001</v>
      </c>
      <c r="P839" s="225">
        <f>IFERROR(IF(O839&gt;0,O839-(TBIcalc!$H$9),""),"")</f>
        <v>1.494</v>
      </c>
      <c r="Q839" s="225">
        <f>IFERROR(INDEX('Ashed teabags wet'!$K$2:$K$821,MATCH(J839,'Ashed teabags wet'!$A$2:$A$821,0)),"")</f>
        <v>2.0802377414560613</v>
      </c>
      <c r="R839" s="225">
        <f t="shared" si="68"/>
        <v>1.4629212481426463</v>
      </c>
      <c r="S839" s="226">
        <f>'WetLitterbags placem_collection'!E180</f>
        <v>42763</v>
      </c>
      <c r="T839" s="226">
        <f>IF('WetLitterbags placem_collection'!G180="","",'WetLitterbags placem_collection'!G180)</f>
        <v>42815</v>
      </c>
      <c r="U839" s="227">
        <f t="shared" si="69"/>
        <v>52</v>
      </c>
      <c r="V839" s="225">
        <f t="shared" si="71"/>
        <v>0.41519999999999979</v>
      </c>
      <c r="W839" s="225">
        <f t="shared" si="72"/>
        <v>0.40271720888701212</v>
      </c>
      <c r="X839">
        <f>IFERROR(INDEX(Rainfall_Wet!$O$2:$O$217,MATCH(B839, Rainfall_Wet!$A$2:$A$217,0)),"")</f>
        <v>188.24043152799999</v>
      </c>
      <c r="Y839" s="231">
        <v>25.96</v>
      </c>
      <c r="Z839" s="231">
        <v>8.9200000000000017</v>
      </c>
      <c r="AA839" s="231">
        <v>65.12</v>
      </c>
      <c r="AB839" s="232" t="s">
        <v>2670</v>
      </c>
      <c r="AC839" s="231">
        <v>2.61458846722523</v>
      </c>
      <c r="AD839">
        <f>IF('WetLitterbags placem_collection'!AB180="","",'WetLitterbags placem_collection'!AB180)</f>
        <v>15.4</v>
      </c>
      <c r="AE839">
        <f>IF('WetLitterbags placem_collection'!Z180="","",'WetLitterbags placem_collection'!Z180)</f>
        <v>18.8</v>
      </c>
      <c r="AF839" s="246" t="str">
        <f>IF('WetLitterbags placem_collection'!AA180="","",'WetLitterbags placem_collection'!AA180)</f>
        <v>O</v>
      </c>
      <c r="AG839">
        <f>IF('WetLitterbags placem_collection'!AC180="","",'WetLitterbags placem_collection'!AC180)</f>
        <v>1</v>
      </c>
      <c r="AH839">
        <f>AVERAGE('WetLitterbags placem_collection'!S180,'WetLitterbags placem_collection'!U180)</f>
        <v>17.149999999999999</v>
      </c>
      <c r="AI839">
        <f>AVERAGE('WetLitterbags placem_collection'!R180,'WetLitterbags placem_collection'!T180)</f>
        <v>32.950000000000003</v>
      </c>
      <c r="AJ839">
        <f>INDEX(Coordinates!$B$2:$B$197,MATCH(G839,Coordinates!$J$2:$J$197,0))</f>
        <v>-2.2777889760000001</v>
      </c>
      <c r="AK839">
        <f>INDEX(Coordinates!$C$2:$C$197,MATCH(G839,Coordinates!$J$2:$J$197,0))</f>
        <v>34.027664960000003</v>
      </c>
      <c r="AL839" t="str">
        <f>IF(ISNUMBER(SEARCH("C", 'WetLitterbags placem_collection'!Y180)),"YES","NO")</f>
        <v>NO</v>
      </c>
      <c r="AM839" t="str">
        <f>IF(ISNUMBER(SEARCH("H", 'WetLitterbags placem_collection'!Y180)),"YES","NO")</f>
        <v>NO</v>
      </c>
      <c r="AN839" t="str">
        <f>IF(ISNUMBER(SEARCH("R", 'WetLitterbags placem_collection'!Y180)),"YES","NO")</f>
        <v>NO</v>
      </c>
    </row>
    <row r="840" spans="1:40" ht="15" customHeight="1">
      <c r="A840" s="258" t="s">
        <v>2460</v>
      </c>
      <c r="B840" s="263">
        <f>'Dry_Litterbag Placem_Collection'!A181</f>
        <v>179</v>
      </c>
      <c r="C840" s="263" t="str">
        <f>'Dry_Litterbag Placem_Collection'!B181</f>
        <v>Handajega</v>
      </c>
      <c r="D840" s="263" t="s">
        <v>2460</v>
      </c>
      <c r="E840" s="263" t="s">
        <v>2661</v>
      </c>
      <c r="F840" s="263">
        <v>3</v>
      </c>
      <c r="G840" s="264" t="str">
        <f>'Dry_Litterbag Placem_Collection'!C181</f>
        <v>Wet_W3_T3</v>
      </c>
      <c r="H840" s="273" t="s">
        <v>3651</v>
      </c>
      <c r="I840" s="274" t="s">
        <v>298</v>
      </c>
      <c r="J840" s="223" t="str">
        <f>'WetLitterbags placem_collection'!Q181</f>
        <v>R273</v>
      </c>
      <c r="K840" s="225">
        <f>IFERROR(INDEX('Green_rooibos initial weight'!$C$5:$C$1749,MATCH(J840, 'Green_rooibos initial weight'!$A$5:$A$1749,0)),"")</f>
        <v>2.2090000000000001</v>
      </c>
      <c r="L840" s="225">
        <f>IFERROR(K840-(TBIcalc!$H$9+TBIcalc!$H$10),"")</f>
        <v>1.9592000000000001</v>
      </c>
      <c r="M840" s="391">
        <f>AVERAGE(Ashed_controlls!$K$12:$K$14)</f>
        <v>2.2816647271287041</v>
      </c>
      <c r="N840" s="225">
        <f t="shared" si="70"/>
        <v>1.9144976246660945</v>
      </c>
      <c r="O840" s="225">
        <f>IF(IFERROR(INDEX('Both teabags AfterWet'!$C$3:$C$841,MATCH(J840,'Both teabags AfterWet'!$A$3:$A$841,0)),"")="","",(IFERROR(INDEX('Both teabags AfterWet'!$C$3:$C$841,MATCH(J840,'Both teabags AfterWet'!$A$3:$A$841,0)),"")))</f>
        <v>1.655</v>
      </c>
      <c r="P840" s="225">
        <f>IFERROR(IF(O840&gt;0,O840-(TBIcalc!$H$9),""),"")</f>
        <v>1.5044</v>
      </c>
      <c r="Q840" s="225">
        <f>IFERROR(INDEX('Ashed teabags wet'!$K$2:$K$821,MATCH(J840,'Ashed teabags wet'!$A$2:$A$821,0)),"")</f>
        <v>1.9912578921804642</v>
      </c>
      <c r="R840" s="225">
        <f t="shared" si="68"/>
        <v>1.4744435162700371</v>
      </c>
      <c r="S840" s="226">
        <f>'WetLitterbags placem_collection'!E181</f>
        <v>42763</v>
      </c>
      <c r="T840" s="226">
        <f>IF('WetLitterbags placem_collection'!G181="","",'WetLitterbags placem_collection'!G181)</f>
        <v>42815</v>
      </c>
      <c r="U840" s="227">
        <f t="shared" si="69"/>
        <v>52</v>
      </c>
      <c r="V840" s="225">
        <f t="shared" si="71"/>
        <v>0.45480000000000009</v>
      </c>
      <c r="W840" s="225">
        <f t="shared" si="72"/>
        <v>0.44005410839605741</v>
      </c>
      <c r="X840">
        <f>IFERROR(INDEX(Rainfall_Wet!$O$2:$O$217,MATCH(B840, Rainfall_Wet!$A$2:$A$217,0)),"")</f>
        <v>188.24043152799999</v>
      </c>
      <c r="Y840" s="231">
        <v>25.96</v>
      </c>
      <c r="Z840" s="231">
        <v>8.9200000000000017</v>
      </c>
      <c r="AA840" s="231">
        <v>65.12</v>
      </c>
      <c r="AB840" s="232" t="s">
        <v>2670</v>
      </c>
      <c r="AC840" s="231">
        <v>3.61458846722523</v>
      </c>
      <c r="AD840">
        <f>IF('WetLitterbags placem_collection'!AB181="","",'WetLitterbags placem_collection'!AB181)</f>
        <v>11.8</v>
      </c>
      <c r="AE840">
        <f>IF('WetLitterbags placem_collection'!Z181="","",'WetLitterbags placem_collection'!Z181)</f>
        <v>15.4</v>
      </c>
      <c r="AF840" s="246" t="str">
        <f>IF('WetLitterbags placem_collection'!AA181="","",'WetLitterbags placem_collection'!AA181)</f>
        <v>O</v>
      </c>
      <c r="AG840">
        <f>IF('WetLitterbags placem_collection'!AC181="","",'WetLitterbags placem_collection'!AC181)</f>
        <v>1</v>
      </c>
      <c r="AH840">
        <f>AVERAGE('WetLitterbags placem_collection'!S181,'WetLitterbags placem_collection'!U181)</f>
        <v>14.8</v>
      </c>
      <c r="AI840">
        <f>AVERAGE('WetLitterbags placem_collection'!R181,'WetLitterbags placem_collection'!T181)</f>
        <v>32.150000000000006</v>
      </c>
      <c r="AJ840">
        <f>INDEX(Coordinates!$B$2:$B$197,MATCH(G840,Coordinates!$J$2:$J$197,0))</f>
        <v>-2.2778579589999999</v>
      </c>
      <c r="AK840">
        <f>INDEX(Coordinates!$C$2:$C$197,MATCH(G840,Coordinates!$J$2:$J$197,0))</f>
        <v>34.027682980000002</v>
      </c>
      <c r="AL840" t="str">
        <f>IF(ISNUMBER(SEARCH("C", 'WetLitterbags placem_collection'!Y181)),"YES","NO")</f>
        <v>NO</v>
      </c>
      <c r="AM840" t="str">
        <f>IF(ISNUMBER(SEARCH("H", 'WetLitterbags placem_collection'!Y181)),"YES","NO")</f>
        <v>NO</v>
      </c>
      <c r="AN840" t="str">
        <f>IF(ISNUMBER(SEARCH("R", 'WetLitterbags placem_collection'!Y181)),"YES","NO")</f>
        <v>NO</v>
      </c>
    </row>
    <row r="841" spans="1:40" ht="15" customHeight="1">
      <c r="A841" s="258" t="s">
        <v>2460</v>
      </c>
      <c r="B841" s="263">
        <f>'Dry_Litterbag Placem_Collection'!A182</f>
        <v>180</v>
      </c>
      <c r="C841" s="263" t="str">
        <f>'Dry_Litterbag Placem_Collection'!B182</f>
        <v>Handajega</v>
      </c>
      <c r="D841" s="263" t="s">
        <v>2460</v>
      </c>
      <c r="E841" s="263" t="s">
        <v>2661</v>
      </c>
      <c r="F841" s="263">
        <v>3</v>
      </c>
      <c r="G841" s="264" t="str">
        <f>'Dry_Litterbag Placem_Collection'!C182</f>
        <v>Wet_W3_T4</v>
      </c>
      <c r="H841" s="273" t="s">
        <v>3651</v>
      </c>
      <c r="I841" s="274" t="s">
        <v>298</v>
      </c>
      <c r="J841" s="223" t="str">
        <f>'WetLitterbags placem_collection'!Q182</f>
        <v>R301</v>
      </c>
      <c r="K841" s="225">
        <f>IFERROR(INDEX('Green_rooibos initial weight'!$C$5:$C$1749,MATCH(J841, 'Green_rooibos initial weight'!$A$5:$A$1749,0)),"")</f>
        <v>2.2530000000000001</v>
      </c>
      <c r="L841" s="225">
        <f>IFERROR(K841-(TBIcalc!$H$9+TBIcalc!$H$10),"")</f>
        <v>2.0032000000000001</v>
      </c>
      <c r="M841" s="391">
        <f>AVERAGE(Ashed_controlls!$K$12:$K$14)</f>
        <v>2.2816647271287041</v>
      </c>
      <c r="N841" s="225">
        <f t="shared" si="70"/>
        <v>1.9574936921861579</v>
      </c>
      <c r="O841" s="225">
        <f>IF(IFERROR(INDEX('Both teabags AfterWet'!$C$3:$C$841,MATCH(J841,'Both teabags AfterWet'!$A$3:$A$841,0)),"")="","",(IFERROR(INDEX('Both teabags AfterWet'!$C$3:$C$841,MATCH(J841,'Both teabags AfterWet'!$A$3:$A$841,0)),"")))</f>
        <v>1.6709000000000001</v>
      </c>
      <c r="P841" s="225">
        <f>IFERROR(IF(O841&gt;0,O841-(TBIcalc!$H$9),""),"")</f>
        <v>1.5203</v>
      </c>
      <c r="Q841" s="225">
        <f>IFERROR(INDEX('Ashed teabags wet'!$K$2:$K$821,MATCH(J841,'Ashed teabags wet'!$A$2:$A$821,0)),"")</f>
        <v>1.9038076152294727</v>
      </c>
      <c r="R841" s="225">
        <f t="shared" si="68"/>
        <v>1.4913564128256662</v>
      </c>
      <c r="S841" s="226">
        <f>'WetLitterbags placem_collection'!E182</f>
        <v>42763</v>
      </c>
      <c r="T841" s="226">
        <f>IF('WetLitterbags placem_collection'!G182="","",'WetLitterbags placem_collection'!G182)</f>
        <v>42815</v>
      </c>
      <c r="U841" s="227">
        <f t="shared" si="69"/>
        <v>52</v>
      </c>
      <c r="V841" s="225">
        <f t="shared" si="71"/>
        <v>0.48290000000000011</v>
      </c>
      <c r="W841" s="225">
        <f t="shared" si="72"/>
        <v>0.46613727936049165</v>
      </c>
      <c r="X841">
        <f>IFERROR(INDEX(Rainfall_Wet!$O$2:$O$217,MATCH(B841, Rainfall_Wet!$A$2:$A$217,0)),"")</f>
        <v>188.24043152799999</v>
      </c>
      <c r="Y841" s="231">
        <v>25.96</v>
      </c>
      <c r="Z841" s="231">
        <v>8.9200000000000017</v>
      </c>
      <c r="AA841" s="231">
        <v>65.12</v>
      </c>
      <c r="AB841" s="232" t="s">
        <v>2670</v>
      </c>
      <c r="AC841" s="231">
        <v>4.6145884672252304</v>
      </c>
      <c r="AD841">
        <f>IF('WetLitterbags placem_collection'!AB182="","",'WetLitterbags placem_collection'!AB182)</f>
        <v>8.3000000000000007</v>
      </c>
      <c r="AE841">
        <f>IF('WetLitterbags placem_collection'!Z182="","",'WetLitterbags placem_collection'!Z182)</f>
        <v>35</v>
      </c>
      <c r="AF841" s="246" t="str">
        <f>IF('WetLitterbags placem_collection'!AA182="","",'WetLitterbags placem_collection'!AA182)</f>
        <v>O</v>
      </c>
      <c r="AG841">
        <f>IF('WetLitterbags placem_collection'!AC182="","",'WetLitterbags placem_collection'!AC182)</f>
        <v>0</v>
      </c>
      <c r="AH841">
        <f>AVERAGE('WetLitterbags placem_collection'!S182,'WetLitterbags placem_collection'!U182)</f>
        <v>12.85</v>
      </c>
      <c r="AI841">
        <f>AVERAGE('WetLitterbags placem_collection'!R182,'WetLitterbags placem_collection'!T182)</f>
        <v>32.450000000000003</v>
      </c>
      <c r="AJ841">
        <f>INDEX(Coordinates!$B$2:$B$197,MATCH(G841,Coordinates!$J$2:$J$197,0))</f>
        <v>-2.2780199809999999</v>
      </c>
      <c r="AK841">
        <f>INDEX(Coordinates!$C$2:$C$197,MATCH(G841,Coordinates!$J$2:$J$197,0))</f>
        <v>34.027705019999999</v>
      </c>
      <c r="AL841" t="str">
        <f>IF(ISNUMBER(SEARCH("C", 'WetLitterbags placem_collection'!Y182)),"YES","NO")</f>
        <v>NO</v>
      </c>
      <c r="AM841" t="str">
        <f>IF(ISNUMBER(SEARCH("H", 'WetLitterbags placem_collection'!Y182)),"YES","NO")</f>
        <v>NO</v>
      </c>
      <c r="AN841" t="str">
        <f>IF(ISNUMBER(SEARCH("R", 'WetLitterbags placem_collection'!Y182)),"YES","NO")</f>
        <v>YES</v>
      </c>
    </row>
    <row r="842" spans="1:40" ht="15" customHeight="1">
      <c r="A842" s="258" t="s">
        <v>2460</v>
      </c>
      <c r="B842" s="263">
        <f>'Dry_Litterbag Placem_Collection'!A183</f>
        <v>181</v>
      </c>
      <c r="C842" s="263" t="str">
        <f>'Dry_Litterbag Placem_Collection'!B183</f>
        <v>Handajega</v>
      </c>
      <c r="D842" s="263" t="s">
        <v>2460</v>
      </c>
      <c r="E842" s="263" t="s">
        <v>2661</v>
      </c>
      <c r="F842" s="263">
        <v>3</v>
      </c>
      <c r="G842" s="264" t="str">
        <f>'Dry_Litterbag Placem_Collection'!C183</f>
        <v>Wet_W3_T5</v>
      </c>
      <c r="H842" s="273" t="s">
        <v>3651</v>
      </c>
      <c r="I842" s="274" t="s">
        <v>298</v>
      </c>
      <c r="J842" s="223" t="str">
        <f>'WetLitterbags placem_collection'!Q183</f>
        <v>R291</v>
      </c>
      <c r="K842" s="225">
        <f>IFERROR(INDEX('Green_rooibos initial weight'!$C$5:$C$1749,MATCH(J842, 'Green_rooibos initial weight'!$A$5:$A$1749,0)),"")</f>
        <v>2.2320000000000002</v>
      </c>
      <c r="L842" s="225">
        <f>IFERROR(K842-(TBIcalc!$H$9+TBIcalc!$H$10),"")</f>
        <v>1.9822000000000002</v>
      </c>
      <c r="M842" s="391">
        <f>AVERAGE(Ashed_controlls!$K$12:$K$14)</f>
        <v>2.2816647271287041</v>
      </c>
      <c r="N842" s="225">
        <f t="shared" si="70"/>
        <v>1.936972841778855</v>
      </c>
      <c r="O842" s="225">
        <f>IF(IFERROR(INDEX('Both teabags AfterWet'!$C$3:$C$841,MATCH(J842,'Both teabags AfterWet'!$A$3:$A$841,0)),"")="","",(IFERROR(INDEX('Both teabags AfterWet'!$C$3:$C$841,MATCH(J842,'Both teabags AfterWet'!$A$3:$A$841,0)),"")))</f>
        <v>1.6970000000000001</v>
      </c>
      <c r="P842" s="225">
        <f>IFERROR(IF(O842&gt;0,O842-(TBIcalc!$H$9),""),"")</f>
        <v>1.5464</v>
      </c>
      <c r="Q842" s="225">
        <f>IFERROR(INDEX('Ashed teabags wet'!$K$2:$K$821,MATCH(J842,'Ashed teabags wet'!$A$2:$A$821,0)),"")</f>
        <v>2.1348859776812832</v>
      </c>
      <c r="R842" s="225">
        <f t="shared" si="68"/>
        <v>1.5133861232411365</v>
      </c>
      <c r="S842" s="226">
        <f>'WetLitterbags placem_collection'!E183</f>
        <v>42763</v>
      </c>
      <c r="T842" s="226">
        <f>IF('WetLitterbags placem_collection'!G183="","",'WetLitterbags placem_collection'!G183)</f>
        <v>42815</v>
      </c>
      <c r="U842" s="227">
        <f t="shared" si="69"/>
        <v>52</v>
      </c>
      <c r="V842" s="225">
        <f t="shared" si="71"/>
        <v>0.43580000000000019</v>
      </c>
      <c r="W842" s="225">
        <f t="shared" si="72"/>
        <v>0.42358671853771845</v>
      </c>
      <c r="X842">
        <f>IFERROR(INDEX(Rainfall_Wet!$O$2:$O$217,MATCH(B842, Rainfall_Wet!$A$2:$A$217,0)),"")</f>
        <v>188.24043152799999</v>
      </c>
      <c r="Y842" s="231">
        <v>25.96</v>
      </c>
      <c r="Z842" s="231">
        <v>8.9200000000000017</v>
      </c>
      <c r="AA842" s="231">
        <v>65.12</v>
      </c>
      <c r="AB842" s="232" t="s">
        <v>2670</v>
      </c>
      <c r="AC842" s="231">
        <v>5.6145884672252304</v>
      </c>
      <c r="AD842">
        <f>IF('WetLitterbags placem_collection'!AB183="","",'WetLitterbags placem_collection'!AB183)</f>
        <v>11.4</v>
      </c>
      <c r="AE842">
        <f>IF('WetLitterbags placem_collection'!Z183="","",'WetLitterbags placem_collection'!Z183)</f>
        <v>15.8</v>
      </c>
      <c r="AF842" s="246" t="str">
        <f>IF('WetLitterbags placem_collection'!AA183="","",'WetLitterbags placem_collection'!AA183)</f>
        <v>O</v>
      </c>
      <c r="AG842">
        <f>IF('WetLitterbags placem_collection'!AC183="","",'WetLitterbags placem_collection'!AC183)</f>
        <v>1</v>
      </c>
      <c r="AH842">
        <f>AVERAGE('WetLitterbags placem_collection'!S183,'WetLitterbags placem_collection'!U183)</f>
        <v>13.75</v>
      </c>
      <c r="AI842">
        <f>AVERAGE('WetLitterbags placem_collection'!R183,'WetLitterbags placem_collection'!T183)</f>
        <v>32.650000000000006</v>
      </c>
      <c r="AJ842">
        <f>INDEX(Coordinates!$B$2:$B$197,MATCH(G842,Coordinates!$J$2:$J$197,0))</f>
        <v>-2.2777329850000001</v>
      </c>
      <c r="AK842">
        <f>INDEX(Coordinates!$C$2:$C$197,MATCH(G842,Coordinates!$J$2:$J$197,0))</f>
        <v>34.027422970000003</v>
      </c>
      <c r="AL842" t="str">
        <f>IF(ISNUMBER(SEARCH("C", 'WetLitterbags placem_collection'!Y183)),"YES","NO")</f>
        <v>NO</v>
      </c>
      <c r="AM842" t="str">
        <f>IF(ISNUMBER(SEARCH("H", 'WetLitterbags placem_collection'!Y183)),"YES","NO")</f>
        <v>NO</v>
      </c>
      <c r="AN842" t="str">
        <f>IF(ISNUMBER(SEARCH("R", 'WetLitterbags placem_collection'!Y183)),"YES","NO")</f>
        <v>NO</v>
      </c>
    </row>
    <row r="843" spans="1:40" ht="15" customHeight="1">
      <c r="A843" s="258" t="s">
        <v>2460</v>
      </c>
      <c r="B843" s="263">
        <f>'Dry_Litterbag Placem_Collection'!A184</f>
        <v>182</v>
      </c>
      <c r="C843" s="263" t="str">
        <f>'Dry_Litterbag Placem_Collection'!B184</f>
        <v>Handajega</v>
      </c>
      <c r="D843" s="263" t="s">
        <v>2460</v>
      </c>
      <c r="E843" s="263" t="s">
        <v>2661</v>
      </c>
      <c r="F843" s="263">
        <v>3</v>
      </c>
      <c r="G843" s="264" t="str">
        <f>'Dry_Litterbag Placem_Collection'!C184</f>
        <v>Wet_W3_T6</v>
      </c>
      <c r="H843" s="273" t="s">
        <v>3651</v>
      </c>
      <c r="I843" s="274" t="s">
        <v>298</v>
      </c>
      <c r="J843" s="223" t="str">
        <f>'WetLitterbags placem_collection'!Q184</f>
        <v>R537</v>
      </c>
      <c r="K843" s="225">
        <f>IFERROR(INDEX('Green_rooibos initial weight'!$C$5:$C$1749,MATCH(J843, 'Green_rooibos initial weight'!$A$5:$A$1749,0)),"")</f>
        <v>2.145</v>
      </c>
      <c r="L843" s="225">
        <f>IFERROR(K843-(TBIcalc!$H$9+TBIcalc!$H$10),"")</f>
        <v>1.8952</v>
      </c>
      <c r="M843" s="391">
        <f>AVERAGE(Ashed_controlls!$K$12:$K$14)</f>
        <v>2.2816647271287041</v>
      </c>
      <c r="N843" s="225">
        <f t="shared" si="70"/>
        <v>1.8519578900914568</v>
      </c>
      <c r="O843" s="225">
        <f>IF(IFERROR(INDEX('Both teabags AfterWet'!$C$3:$C$841,MATCH(J843,'Both teabags AfterWet'!$A$3:$A$841,0)),"")="","",(IFERROR(INDEX('Both teabags AfterWet'!$C$3:$C$841,MATCH(J843,'Both teabags AfterWet'!$A$3:$A$841,0)),"")))</f>
        <v>1.7152000000000001</v>
      </c>
      <c r="P843" s="225">
        <f>IFERROR(IF(O843&gt;0,O843-(TBIcalc!$H$9),""),"")</f>
        <v>1.5646</v>
      </c>
      <c r="Q843" s="225">
        <f>IFERROR(INDEX('Ashed teabags wet'!$K$2:$K$821,MATCH(J843,'Ashed teabags wet'!$A$2:$A$821,0)),"")</f>
        <v>2.0958083832334542</v>
      </c>
      <c r="R843" s="225">
        <f t="shared" ref="R843:R881" si="73">IFERROR(P843-(Q843/100)*P843,"")</f>
        <v>1.5318089820359293</v>
      </c>
      <c r="S843" s="226">
        <f>'WetLitterbags placem_collection'!E184</f>
        <v>42763</v>
      </c>
      <c r="T843" s="226">
        <f>IF('WetLitterbags placem_collection'!G184="","",'WetLitterbags placem_collection'!G184)</f>
        <v>42815</v>
      </c>
      <c r="U843" s="227">
        <f t="shared" si="69"/>
        <v>52</v>
      </c>
      <c r="V843" s="225">
        <f t="shared" si="71"/>
        <v>0.3306</v>
      </c>
      <c r="W843" s="225">
        <f t="shared" si="72"/>
        <v>0.32014890805552754</v>
      </c>
      <c r="X843">
        <f>IFERROR(INDEX(Rainfall_Wet!$O$2:$O$217,MATCH(B843, Rainfall_Wet!$A$2:$A$217,0)),"")</f>
        <v>188.24043152799999</v>
      </c>
      <c r="Y843" s="231">
        <v>25.96</v>
      </c>
      <c r="Z843" s="231">
        <v>8.9200000000000017</v>
      </c>
      <c r="AA843" s="231">
        <v>65.12</v>
      </c>
      <c r="AB843" s="232" t="s">
        <v>2670</v>
      </c>
      <c r="AC843" s="231">
        <v>6.6145884672252304</v>
      </c>
      <c r="AD843">
        <f>IF('WetLitterbags placem_collection'!AB184="","",'WetLitterbags placem_collection'!AB184)</f>
        <v>8.8000000000000007</v>
      </c>
      <c r="AE843">
        <f>IF('WetLitterbags placem_collection'!Z184="","",'WetLitterbags placem_collection'!Z184)</f>
        <v>15.8</v>
      </c>
      <c r="AF843" s="246" t="str">
        <f>IF('WetLitterbags placem_collection'!AA184="","",'WetLitterbags placem_collection'!AA184)</f>
        <v>O</v>
      </c>
      <c r="AG843">
        <f>IF('WetLitterbags placem_collection'!AC184="","",'WetLitterbags placem_collection'!AC184)</f>
        <v>1</v>
      </c>
      <c r="AH843">
        <f>AVERAGE('WetLitterbags placem_collection'!S184,'WetLitterbags placem_collection'!U184)</f>
        <v>11.55</v>
      </c>
      <c r="AI843">
        <f>AVERAGE('WetLitterbags placem_collection'!R184,'WetLitterbags placem_collection'!T184)</f>
        <v>33.299999999999997</v>
      </c>
      <c r="AJ843">
        <f>INDEX(Coordinates!$B$2:$B$197,MATCH(G843,Coordinates!$J$2:$J$197,0))</f>
        <v>-2.2777009659999998</v>
      </c>
      <c r="AK843">
        <f>INDEX(Coordinates!$C$2:$C$197,MATCH(G843,Coordinates!$J$2:$J$197,0))</f>
        <v>34.027393969999999</v>
      </c>
      <c r="AL843" t="str">
        <f>IF(ISNUMBER(SEARCH("C", 'WetLitterbags placem_collection'!Y184)),"YES","NO")</f>
        <v>NO</v>
      </c>
      <c r="AM843" t="str">
        <f>IF(ISNUMBER(SEARCH("H", 'WetLitterbags placem_collection'!Y184)),"YES","NO")</f>
        <v>NO</v>
      </c>
      <c r="AN843" t="str">
        <f>IF(ISNUMBER(SEARCH("R", 'WetLitterbags placem_collection'!Y184)),"YES","NO")</f>
        <v>NO</v>
      </c>
    </row>
    <row r="844" spans="1:40" ht="15" customHeight="1">
      <c r="A844" s="258" t="s">
        <v>2460</v>
      </c>
      <c r="B844" s="263">
        <f>'Dry_Litterbag Placem_Collection'!A185</f>
        <v>183</v>
      </c>
      <c r="C844" s="263" t="str">
        <f>'Dry_Litterbag Placem_Collection'!B185</f>
        <v>Handajega</v>
      </c>
      <c r="D844" s="263" t="s">
        <v>2460</v>
      </c>
      <c r="E844" s="263" t="s">
        <v>2661</v>
      </c>
      <c r="F844" s="263">
        <v>3</v>
      </c>
      <c r="G844" s="264" t="str">
        <f>'Dry_Litterbag Placem_Collection'!C185</f>
        <v>Wet_W3_T7</v>
      </c>
      <c r="H844" s="273" t="s">
        <v>3651</v>
      </c>
      <c r="I844" s="274" t="s">
        <v>298</v>
      </c>
      <c r="J844" s="223" t="str">
        <f>'WetLitterbags placem_collection'!Q185</f>
        <v>R290</v>
      </c>
      <c r="K844" s="225">
        <f>IFERROR(INDEX('Green_rooibos initial weight'!$C$5:$C$1749,MATCH(J844, 'Green_rooibos initial weight'!$A$5:$A$1749,0)),"")</f>
        <v>2.153</v>
      </c>
      <c r="L844" s="225">
        <f>IFERROR(K844-(TBIcalc!$H$9+TBIcalc!$H$10),"")</f>
        <v>1.9032</v>
      </c>
      <c r="M844" s="391">
        <f>AVERAGE(Ashed_controlls!$K$12:$K$14)</f>
        <v>2.2816647271287041</v>
      </c>
      <c r="N844" s="225">
        <f t="shared" si="70"/>
        <v>1.8597753569132864</v>
      </c>
      <c r="O844" s="225">
        <f>IF(IFERROR(INDEX('Both teabags AfterWet'!$C$3:$C$841,MATCH(J844,'Both teabags AfterWet'!$A$3:$A$841,0)),"")="","",(IFERROR(INDEX('Both teabags AfterWet'!$C$3:$C$841,MATCH(J844,'Both teabags AfterWet'!$A$3:$A$841,0)),"")))</f>
        <v>1.7310000000000001</v>
      </c>
      <c r="P844" s="225">
        <f>IFERROR(IF(O844&gt;0,O844-(TBIcalc!$H$9),""),"")</f>
        <v>1.5804</v>
      </c>
      <c r="Q844" s="225">
        <f>IFERROR(INDEX('Ashed teabags wet'!$K$2:$K$821,MATCH(J844,'Ashed teabags wet'!$A$2:$A$821,0)),"")</f>
        <v>2.639442231076139</v>
      </c>
      <c r="R844" s="225">
        <f t="shared" si="73"/>
        <v>1.5386862549800728</v>
      </c>
      <c r="S844" s="226">
        <f>'WetLitterbags placem_collection'!E185</f>
        <v>42763</v>
      </c>
      <c r="T844" s="226">
        <f>IF('WetLitterbags placem_collection'!G185="","",'WetLitterbags placem_collection'!G185)</f>
        <v>42815</v>
      </c>
      <c r="U844" s="227">
        <f t="shared" si="69"/>
        <v>52</v>
      </c>
      <c r="V844" s="225">
        <f t="shared" si="71"/>
        <v>0.32279999999999998</v>
      </c>
      <c r="W844" s="225">
        <f t="shared" si="72"/>
        <v>0.32108910193321361</v>
      </c>
      <c r="X844">
        <f>IFERROR(INDEX(Rainfall_Wet!$O$2:$O$217,MATCH(B844, Rainfall_Wet!$A$2:$A$217,0)),"")</f>
        <v>188.24043152799999</v>
      </c>
      <c r="Y844" s="231">
        <v>25.96</v>
      </c>
      <c r="Z844" s="231">
        <v>8.9200000000000017</v>
      </c>
      <c r="AA844" s="231">
        <v>65.12</v>
      </c>
      <c r="AB844" s="232" t="s">
        <v>2670</v>
      </c>
      <c r="AC844" s="231">
        <v>7.6145884672252304</v>
      </c>
      <c r="AD844">
        <f>IF('WetLitterbags placem_collection'!AB185="","",'WetLitterbags placem_collection'!AB185)</f>
        <v>11.4</v>
      </c>
      <c r="AE844">
        <f>IF('WetLitterbags placem_collection'!Z185="","",'WetLitterbags placem_collection'!Z185)</f>
        <v>35.799999999999997</v>
      </c>
      <c r="AF844" s="246" t="str">
        <f>IF('WetLitterbags placem_collection'!AA185="","",'WetLitterbags placem_collection'!AA185)</f>
        <v>G</v>
      </c>
      <c r="AG844">
        <f>IF('WetLitterbags placem_collection'!AC185="","",'WetLitterbags placem_collection'!AC185)</f>
        <v>1</v>
      </c>
      <c r="AH844">
        <f>AVERAGE('WetLitterbags placem_collection'!S185,'WetLitterbags placem_collection'!U185)</f>
        <v>13.4</v>
      </c>
      <c r="AI844">
        <f>AVERAGE('WetLitterbags placem_collection'!R185,'WetLitterbags placem_collection'!T185)</f>
        <v>33.5</v>
      </c>
      <c r="AJ844">
        <f>INDEX(Coordinates!$B$2:$B$197,MATCH(G844,Coordinates!$J$2:$J$197,0))</f>
        <v>-2.2777790019999999</v>
      </c>
      <c r="AK844">
        <f>INDEX(Coordinates!$C$2:$C$197,MATCH(G844,Coordinates!$J$2:$J$197,0))</f>
        <v>34.028066029999998</v>
      </c>
      <c r="AL844" t="str">
        <f>IF(ISNUMBER(SEARCH("C", 'WetLitterbags placem_collection'!Y185)),"YES","NO")</f>
        <v>NO</v>
      </c>
      <c r="AM844" t="str">
        <f>IF(ISNUMBER(SEARCH("H", 'WetLitterbags placem_collection'!Y185)),"YES","NO")</f>
        <v>NO</v>
      </c>
      <c r="AN844" t="str">
        <f>IF(ISNUMBER(SEARCH("R", 'WetLitterbags placem_collection'!Y185)),"YES","NO")</f>
        <v>NO</v>
      </c>
    </row>
    <row r="845" spans="1:40" ht="15" customHeight="1">
      <c r="A845" s="258" t="s">
        <v>2460</v>
      </c>
      <c r="B845" s="263">
        <f>'Dry_Litterbag Placem_Collection'!A186</f>
        <v>184</v>
      </c>
      <c r="C845" s="263" t="str">
        <f>'Dry_Litterbag Placem_Collection'!B186</f>
        <v>Handajega</v>
      </c>
      <c r="D845" s="263" t="s">
        <v>2460</v>
      </c>
      <c r="E845" s="263" t="s">
        <v>2661</v>
      </c>
      <c r="F845" s="263">
        <v>3</v>
      </c>
      <c r="G845" s="264" t="str">
        <f>'Dry_Litterbag Placem_Collection'!C186</f>
        <v>Wet_W3_T8</v>
      </c>
      <c r="H845" s="273" t="s">
        <v>3651</v>
      </c>
      <c r="I845" s="274" t="s">
        <v>298</v>
      </c>
      <c r="J845" s="223" t="str">
        <f>'WetLitterbags placem_collection'!Q186</f>
        <v>R555</v>
      </c>
      <c r="K845" s="225">
        <f>IFERROR(INDEX('Green_rooibos initial weight'!$C$5:$C$1749,MATCH(J845, 'Green_rooibos initial weight'!$A$5:$A$1749,0)),"")</f>
        <v>2.1789999999999998</v>
      </c>
      <c r="L845" s="225">
        <f>IFERROR(K845-(TBIcalc!$H$9+TBIcalc!$H$10),"")</f>
        <v>1.9291999999999998</v>
      </c>
      <c r="M845" s="391">
        <f>AVERAGE(Ashed_controlls!$K$12:$K$14)</f>
        <v>2.2816647271287041</v>
      </c>
      <c r="N845" s="225">
        <f t="shared" si="70"/>
        <v>1.8851821240842328</v>
      </c>
      <c r="O845" s="225">
        <f>IF(IFERROR(INDEX('Both teabags AfterWet'!$C$3:$C$841,MATCH(J845,'Both teabags AfterWet'!$A$3:$A$841,0)),"")="","",(IFERROR(INDEX('Both teabags AfterWet'!$C$3:$C$841,MATCH(J845,'Both teabags AfterWet'!$A$3:$A$841,0)),"")))</f>
        <v>1.7096</v>
      </c>
      <c r="P845" s="225">
        <f>IFERROR(IF(O845&gt;0,O845-(TBIcalc!$H$9),""),"")</f>
        <v>1.5589999999999999</v>
      </c>
      <c r="Q845" s="225">
        <f>IFERROR(INDEX('Ashed teabags wet'!$K$2:$K$821,MATCH(J845,'Ashed teabags wet'!$A$2:$A$821,0)),"")</f>
        <v>2.750491159135366</v>
      </c>
      <c r="R845" s="225">
        <f t="shared" si="73"/>
        <v>1.5161198428290796</v>
      </c>
      <c r="S845" s="226">
        <f>'WetLitterbags placem_collection'!E186</f>
        <v>42763</v>
      </c>
      <c r="T845" s="226">
        <f>IF('WetLitterbags placem_collection'!G186="","",'WetLitterbags placem_collection'!G186)</f>
        <v>42815</v>
      </c>
      <c r="U845" s="227">
        <f t="shared" si="69"/>
        <v>52</v>
      </c>
      <c r="V845" s="225">
        <f t="shared" si="71"/>
        <v>0.37019999999999986</v>
      </c>
      <c r="W845" s="225">
        <f t="shared" si="72"/>
        <v>0.36906228125515317</v>
      </c>
      <c r="X845">
        <f>IFERROR(INDEX(Rainfall_Wet!$O$2:$O$217,MATCH(B845, Rainfall_Wet!$A$2:$A$217,0)),"")</f>
        <v>188.24043152799999</v>
      </c>
      <c r="Y845" s="231">
        <v>25.96</v>
      </c>
      <c r="Z845" s="231">
        <v>8.9200000000000017</v>
      </c>
      <c r="AA845" s="231">
        <v>65.12</v>
      </c>
      <c r="AB845" s="232" t="s">
        <v>2670</v>
      </c>
      <c r="AC845" s="231">
        <v>8.6145884672252304</v>
      </c>
      <c r="AD845">
        <f>IF('WetLitterbags placem_collection'!AB186="","",'WetLitterbags placem_collection'!AB186)</f>
        <v>3.7</v>
      </c>
      <c r="AE845">
        <f>IF('WetLitterbags placem_collection'!Z186="","",'WetLitterbags placem_collection'!Z186)</f>
        <v>16.399999999999999</v>
      </c>
      <c r="AF845" s="246" t="str">
        <f>IF('WetLitterbags placem_collection'!AA186="","",'WetLitterbags placem_collection'!AA186)</f>
        <v>O</v>
      </c>
      <c r="AG845">
        <f>IF('WetLitterbags placem_collection'!AC186="","",'WetLitterbags placem_collection'!AC186)</f>
        <v>0</v>
      </c>
      <c r="AH845">
        <f>AVERAGE('WetLitterbags placem_collection'!S186,'WetLitterbags placem_collection'!U186)</f>
        <v>13.3</v>
      </c>
      <c r="AI845">
        <f>AVERAGE('WetLitterbags placem_collection'!R186,'WetLitterbags placem_collection'!T186)</f>
        <v>29.950000000000003</v>
      </c>
      <c r="AJ845">
        <f>INDEX(Coordinates!$B$2:$B$197,MATCH(G845,Coordinates!$J$2:$J$197,0))</f>
        <v>-2.2775169829999999</v>
      </c>
      <c r="AK845">
        <f>INDEX(Coordinates!$C$2:$C$197,MATCH(G845,Coordinates!$J$2:$J$197,0))</f>
        <v>34.027766970000002</v>
      </c>
      <c r="AL845" t="str">
        <f>IF(ISNUMBER(SEARCH("C", 'WetLitterbags placem_collection'!Y186)),"YES","NO")</f>
        <v>NO</v>
      </c>
      <c r="AM845" t="str">
        <f>IF(ISNUMBER(SEARCH("H", 'WetLitterbags placem_collection'!Y186)),"YES","NO")</f>
        <v>NO</v>
      </c>
      <c r="AN845" t="str">
        <f>IF(ISNUMBER(SEARCH("R", 'WetLitterbags placem_collection'!Y186)),"YES","NO")</f>
        <v>NO</v>
      </c>
    </row>
    <row r="846" spans="1:40" ht="15" customHeight="1">
      <c r="A846" s="258" t="s">
        <v>2460</v>
      </c>
      <c r="B846" s="263">
        <f>'Dry_Litterbag Placem_Collection'!A187</f>
        <v>185</v>
      </c>
      <c r="C846" s="263" t="str">
        <f>'Dry_Litterbag Placem_Collection'!B187</f>
        <v>Handajega</v>
      </c>
      <c r="D846" s="263" t="s">
        <v>2460</v>
      </c>
      <c r="E846" s="263" t="s">
        <v>2661</v>
      </c>
      <c r="F846" s="263">
        <v>4</v>
      </c>
      <c r="G846" s="264" t="str">
        <f>'Dry_Litterbag Placem_Collection'!C187</f>
        <v>Wet_W4_T1</v>
      </c>
      <c r="H846" s="273" t="s">
        <v>3651</v>
      </c>
      <c r="I846" s="274" t="s">
        <v>298</v>
      </c>
      <c r="J846" s="223" t="str">
        <f>'WetLitterbags placem_collection'!Q187</f>
        <v>R539</v>
      </c>
      <c r="K846" s="225">
        <f>IFERROR(INDEX('Green_rooibos initial weight'!$C$5:$C$1749,MATCH(J846, 'Green_rooibos initial weight'!$A$5:$A$1749,0)),"")</f>
        <v>2.16</v>
      </c>
      <c r="L846" s="225">
        <f>IFERROR(K846-(TBIcalc!$H$9+TBIcalc!$H$10),"")</f>
        <v>1.9102000000000001</v>
      </c>
      <c r="M846" s="391">
        <f>AVERAGE(Ashed_controlls!$K$12:$K$14)</f>
        <v>2.2816647271287041</v>
      </c>
      <c r="N846" s="225">
        <f t="shared" si="70"/>
        <v>1.8666156403823877</v>
      </c>
      <c r="O846" s="225">
        <f>IF(IFERROR(INDEX('Both teabags AfterWet'!$C$3:$C$841,MATCH(J846,'Both teabags AfterWet'!$A$3:$A$841,0)),"")="","",(IFERROR(INDEX('Both teabags AfterWet'!$C$3:$C$841,MATCH(J846,'Both teabags AfterWet'!$A$3:$A$841,0)),"")))</f>
        <v>1.7513000000000001</v>
      </c>
      <c r="P846" s="225">
        <f>IFERROR(IF(O846&gt;0,O846-(TBIcalc!$H$9),""),"")</f>
        <v>1.6007</v>
      </c>
      <c r="Q846" s="225">
        <f>IFERROR(INDEX('Ashed teabags wet'!$K$2:$K$821,MATCH(J846,'Ashed teabags wet'!$A$2:$A$821,0)),"")</f>
        <v>1.5944195316393635</v>
      </c>
      <c r="R846" s="225">
        <f t="shared" si="73"/>
        <v>1.5751781265570488</v>
      </c>
      <c r="S846" s="226">
        <f>'WetLitterbags placem_collection'!E187</f>
        <v>42763</v>
      </c>
      <c r="T846" s="226">
        <f>IF('WetLitterbags placem_collection'!G187="","",'WetLitterbags placem_collection'!G187)</f>
        <v>42815</v>
      </c>
      <c r="U846" s="227">
        <f t="shared" si="69"/>
        <v>52</v>
      </c>
      <c r="V846" s="225">
        <f t="shared" si="71"/>
        <v>0.30950000000000011</v>
      </c>
      <c r="W846" s="225">
        <f t="shared" si="72"/>
        <v>0.29143751382533889</v>
      </c>
      <c r="X846">
        <f>IFERROR(INDEX(Rainfall_Wet!$O$2:$O$217,MATCH(B846, Rainfall_Wet!$A$2:$A$217,0)),"")</f>
        <v>188.24043152799999</v>
      </c>
      <c r="Y846" s="231">
        <v>25.96</v>
      </c>
      <c r="Z846" s="231">
        <v>8.9200000000000017</v>
      </c>
      <c r="AA846" s="231">
        <v>65.12</v>
      </c>
      <c r="AB846" s="232" t="s">
        <v>2670</v>
      </c>
      <c r="AC846" s="231">
        <v>1.6991621488417901</v>
      </c>
      <c r="AD846">
        <f>IF('WetLitterbags placem_collection'!AB187="","",'WetLitterbags placem_collection'!AB187)</f>
        <v>9.8000000000000007</v>
      </c>
      <c r="AE846">
        <f>IF('WetLitterbags placem_collection'!Z187="","",'WetLitterbags placem_collection'!Z187)</f>
        <v>29.4</v>
      </c>
      <c r="AF846" s="246" t="str">
        <f>IF('WetLitterbags placem_collection'!AA187="","",'WetLitterbags placem_collection'!AA187)</f>
        <v>O</v>
      </c>
      <c r="AG846">
        <f>IF('WetLitterbags placem_collection'!AC187="","",'WetLitterbags placem_collection'!AC187)</f>
        <v>0</v>
      </c>
      <c r="AH846">
        <f>AVERAGE('WetLitterbags placem_collection'!S187,'WetLitterbags placem_collection'!U187)</f>
        <v>17.850000000000001</v>
      </c>
      <c r="AI846">
        <f>AVERAGE('WetLitterbags placem_collection'!R187,'WetLitterbags placem_collection'!T187)</f>
        <v>35.400000000000006</v>
      </c>
      <c r="AJ846">
        <f>INDEX(Coordinates!$B$2:$B$197,MATCH(G846,Coordinates!$J$2:$J$197,0))</f>
        <v>-2.2787330300000002</v>
      </c>
      <c r="AK846">
        <f>INDEX(Coordinates!$C$2:$C$197,MATCH(G846,Coordinates!$J$2:$J$197,0))</f>
        <v>34.032136029999997</v>
      </c>
      <c r="AL846" t="str">
        <f>IF(ISNUMBER(SEARCH("C", 'WetLitterbags placem_collection'!Y187)),"YES","NO")</f>
        <v>NO</v>
      </c>
      <c r="AM846" t="str">
        <f>IF(ISNUMBER(SEARCH("H", 'WetLitterbags placem_collection'!Y187)),"YES","NO")</f>
        <v>NO</v>
      </c>
      <c r="AN846" t="str">
        <f>IF(ISNUMBER(SEARCH("R", 'WetLitterbags placem_collection'!Y187)),"YES","NO")</f>
        <v>NO</v>
      </c>
    </row>
    <row r="847" spans="1:40" ht="15" customHeight="1">
      <c r="A847" s="258" t="s">
        <v>2460</v>
      </c>
      <c r="B847" s="263">
        <f>'Dry_Litterbag Placem_Collection'!A188</f>
        <v>186</v>
      </c>
      <c r="C847" s="263" t="str">
        <f>'Dry_Litterbag Placem_Collection'!B188</f>
        <v>Handajega</v>
      </c>
      <c r="D847" s="263" t="s">
        <v>2460</v>
      </c>
      <c r="E847" s="263" t="s">
        <v>2661</v>
      </c>
      <c r="F847" s="263">
        <v>4</v>
      </c>
      <c r="G847" s="264" t="str">
        <f>'Dry_Litterbag Placem_Collection'!C188</f>
        <v>Wet_W4_T2</v>
      </c>
      <c r="H847" s="273" t="s">
        <v>3651</v>
      </c>
      <c r="I847" s="274" t="s">
        <v>298</v>
      </c>
      <c r="J847" s="223" t="str">
        <f>'WetLitterbags placem_collection'!Q188</f>
        <v>R186</v>
      </c>
      <c r="K847" s="225">
        <f>IFERROR(INDEX('Green_rooibos initial weight'!$C$5:$C$1749,MATCH(J847, 'Green_rooibos initial weight'!$A$5:$A$1749,0)),"")</f>
        <v>2.2530000000000001</v>
      </c>
      <c r="L847" s="225">
        <f>IFERROR(K847-(TBIcalc!$H$9+TBIcalc!$H$10),"")</f>
        <v>2.0032000000000001</v>
      </c>
      <c r="M847" s="391">
        <f>AVERAGE(Ashed_controlls!$K$12:$K$14)</f>
        <v>2.2816647271287041</v>
      </c>
      <c r="N847" s="225">
        <f t="shared" si="70"/>
        <v>1.9574936921861579</v>
      </c>
      <c r="O847" s="225">
        <f>IF(IFERROR(INDEX('Both teabags AfterWet'!$C$3:$C$841,MATCH(J847,'Both teabags AfterWet'!$A$3:$A$841,0)),"")="","",(IFERROR(INDEX('Both teabags AfterWet'!$C$3:$C$841,MATCH(J847,'Both teabags AfterWet'!$A$3:$A$841,0)),"")))</f>
        <v>1.7809999999999999</v>
      </c>
      <c r="P847" s="225">
        <f>IFERROR(IF(O847&gt;0,O847-(TBIcalc!$H$9),""),"")</f>
        <v>1.6303999999999998</v>
      </c>
      <c r="Q847" s="225">
        <f>IFERROR(INDEX('Ashed teabags wet'!$K$2:$K$821,MATCH(J847,'Ashed teabags wet'!$A$2:$A$821,0)),"")</f>
        <v>2.2783556215947218</v>
      </c>
      <c r="R847" s="225">
        <f t="shared" si="73"/>
        <v>1.5932536899455194</v>
      </c>
      <c r="S847" s="226">
        <f>'WetLitterbags placem_collection'!E188</f>
        <v>42763</v>
      </c>
      <c r="T847" s="226">
        <f>IF('WetLitterbags placem_collection'!G188="","",'WetLitterbags placem_collection'!G188)</f>
        <v>42815</v>
      </c>
      <c r="U847" s="227">
        <f t="shared" si="69"/>
        <v>52</v>
      </c>
      <c r="V847" s="225">
        <f t="shared" si="71"/>
        <v>0.37280000000000024</v>
      </c>
      <c r="W847" s="225">
        <f t="shared" si="72"/>
        <v>0.36424000224063846</v>
      </c>
      <c r="X847">
        <f>IFERROR(INDEX(Rainfall_Wet!$O$2:$O$217,MATCH(B847, Rainfall_Wet!$A$2:$A$217,0)),"")</f>
        <v>188.24043152799999</v>
      </c>
      <c r="Y847" s="231">
        <v>25.96</v>
      </c>
      <c r="Z847" s="231">
        <v>8.9200000000000017</v>
      </c>
      <c r="AA847" s="231">
        <v>65.12</v>
      </c>
      <c r="AB847" s="232" t="s">
        <v>2670</v>
      </c>
      <c r="AC847" s="231">
        <v>2.6991621488417898</v>
      </c>
      <c r="AD847">
        <f>IF('WetLitterbags placem_collection'!AB188="","",'WetLitterbags placem_collection'!AB188)</f>
        <v>11.4</v>
      </c>
      <c r="AE847">
        <f>IF('WetLitterbags placem_collection'!Z188="","",'WetLitterbags placem_collection'!Z188)</f>
        <v>45.4</v>
      </c>
      <c r="AF847" s="246" t="str">
        <f>IF('WetLitterbags placem_collection'!AA188="","",'WetLitterbags placem_collection'!AA188)</f>
        <v>O</v>
      </c>
      <c r="AG847">
        <f>IF('WetLitterbags placem_collection'!AC188="","",'WetLitterbags placem_collection'!AC188)</f>
        <v>0</v>
      </c>
      <c r="AH847">
        <f>AVERAGE('WetLitterbags placem_collection'!S188,'WetLitterbags placem_collection'!U188)</f>
        <v>16.899999999999999</v>
      </c>
      <c r="AI847">
        <f>AVERAGE('WetLitterbags placem_collection'!R188,'WetLitterbags placem_collection'!T188)</f>
        <v>33.9</v>
      </c>
      <c r="AJ847">
        <f>INDEX(Coordinates!$B$2:$B$197,MATCH(G847,Coordinates!$J$2:$J$197,0))</f>
        <v>-2.278763037</v>
      </c>
      <c r="AK847">
        <f>INDEX(Coordinates!$C$2:$C$197,MATCH(G847,Coordinates!$J$2:$J$197,0))</f>
        <v>34.031974009999999</v>
      </c>
      <c r="AL847" t="str">
        <f>IF(ISNUMBER(SEARCH("C", 'WetLitterbags placem_collection'!Y188)),"YES","NO")</f>
        <v>NO</v>
      </c>
      <c r="AM847" t="str">
        <f>IF(ISNUMBER(SEARCH("H", 'WetLitterbags placem_collection'!Y188)),"YES","NO")</f>
        <v>NO</v>
      </c>
      <c r="AN847" t="str">
        <f>IF(ISNUMBER(SEARCH("R", 'WetLitterbags placem_collection'!Y188)),"YES","NO")</f>
        <v>NO</v>
      </c>
    </row>
    <row r="848" spans="1:40" ht="15" customHeight="1">
      <c r="A848" s="258" t="s">
        <v>2460</v>
      </c>
      <c r="B848" s="263">
        <f>'Dry_Litterbag Placem_Collection'!A189</f>
        <v>187</v>
      </c>
      <c r="C848" s="263" t="str">
        <f>'Dry_Litterbag Placem_Collection'!B189</f>
        <v>Handajega</v>
      </c>
      <c r="D848" s="263" t="s">
        <v>2460</v>
      </c>
      <c r="E848" s="263" t="s">
        <v>2661</v>
      </c>
      <c r="F848" s="263">
        <v>4</v>
      </c>
      <c r="G848" s="264" t="str">
        <f>'Dry_Litterbag Placem_Collection'!C189</f>
        <v>Wet_W4_T3</v>
      </c>
      <c r="H848" s="273" t="s">
        <v>3651</v>
      </c>
      <c r="I848" s="274" t="s">
        <v>298</v>
      </c>
      <c r="J848" s="223" t="str">
        <f>'WetLitterbags placem_collection'!Q189</f>
        <v>R580</v>
      </c>
      <c r="K848" s="225">
        <f>IFERROR(INDEX('Green_rooibos initial weight'!$C$5:$C$1749,MATCH(J848, 'Green_rooibos initial weight'!$A$5:$A$1749,0)),"")</f>
        <v>2.0870000000000002</v>
      </c>
      <c r="L848" s="225">
        <f>IFERROR(K848-(TBIcalc!$H$9+TBIcalc!$H$10),"")</f>
        <v>1.8372000000000002</v>
      </c>
      <c r="M848" s="391">
        <f>AVERAGE(Ashed_controlls!$K$12:$K$14)</f>
        <v>2.2816647271287041</v>
      </c>
      <c r="N848" s="225">
        <f t="shared" si="70"/>
        <v>1.7952812556331916</v>
      </c>
      <c r="O848" s="225">
        <f>IF(IFERROR(INDEX('Both teabags AfterWet'!$C$3:$C$841,MATCH(J848,'Both teabags AfterWet'!$A$3:$A$841,0)),"")="","",(IFERROR(INDEX('Both teabags AfterWet'!$C$3:$C$841,MATCH(J848,'Both teabags AfterWet'!$A$3:$A$841,0)),"")))</f>
        <v>1.6225000000000001</v>
      </c>
      <c r="P848" s="225">
        <f>IFERROR(IF(O848&gt;0,O848-(TBIcalc!$H$9),""),"")</f>
        <v>1.4719</v>
      </c>
      <c r="Q848" s="225">
        <f>IFERROR(INDEX('Ashed teabags wet'!$K$2:$K$821,MATCH(J848,'Ashed teabags wet'!$A$2:$A$821,0)),"")</f>
        <v>2.0914396887151829</v>
      </c>
      <c r="R848" s="225">
        <f t="shared" si="73"/>
        <v>1.4411160992218013</v>
      </c>
      <c r="S848" s="226">
        <f>'WetLitterbags placem_collection'!E189</f>
        <v>42763</v>
      </c>
      <c r="T848" s="226">
        <f>IF('WetLitterbags placem_collection'!G189="","",'WetLitterbags placem_collection'!G189)</f>
        <v>42815</v>
      </c>
      <c r="U848" s="227">
        <f t="shared" si="69"/>
        <v>52</v>
      </c>
      <c r="V848" s="225">
        <f t="shared" si="71"/>
        <v>0.36530000000000018</v>
      </c>
      <c r="W848" s="225">
        <f t="shared" si="72"/>
        <v>0.35416515641139035</v>
      </c>
      <c r="X848">
        <f>IFERROR(INDEX(Rainfall_Wet!$O$2:$O$217,MATCH(B848, Rainfall_Wet!$A$2:$A$217,0)),"")</f>
        <v>188.24043152799999</v>
      </c>
      <c r="Y848" s="231">
        <v>25.96</v>
      </c>
      <c r="Z848" s="231">
        <v>8.9200000000000017</v>
      </c>
      <c r="AA848" s="231">
        <v>65.12</v>
      </c>
      <c r="AB848" s="232" t="s">
        <v>2670</v>
      </c>
      <c r="AC848" s="231">
        <v>3.6991621488417898</v>
      </c>
      <c r="AD848">
        <f>IF('WetLitterbags placem_collection'!AB189="","",'WetLitterbags placem_collection'!AB189)</f>
        <v>0.6</v>
      </c>
      <c r="AE848">
        <f>IF('WetLitterbags placem_collection'!Z189="","",'WetLitterbags placem_collection'!Z189)</f>
        <v>39.4</v>
      </c>
      <c r="AF848" s="246" t="str">
        <f>IF('WetLitterbags placem_collection'!AA189="","",'WetLitterbags placem_collection'!AA189)</f>
        <v>O</v>
      </c>
      <c r="AG848">
        <f>IF('WetLitterbags placem_collection'!AC189="","",'WetLitterbags placem_collection'!AC189)</f>
        <v>1</v>
      </c>
      <c r="AH848">
        <f>AVERAGE('WetLitterbags placem_collection'!S189,'WetLitterbags placem_collection'!U189)</f>
        <v>14.2</v>
      </c>
      <c r="AI848">
        <f>AVERAGE('WetLitterbags placem_collection'!R189,'WetLitterbags placem_collection'!T189)</f>
        <v>33</v>
      </c>
      <c r="AJ848">
        <f>INDEX(Coordinates!$B$2:$B$197,MATCH(G848,Coordinates!$J$2:$J$197,0))</f>
        <v>-2.2785890289999999</v>
      </c>
      <c r="AK848">
        <f>INDEX(Coordinates!$C$2:$C$197,MATCH(G848,Coordinates!$J$2:$J$197,0))</f>
        <v>34.031841999999997</v>
      </c>
      <c r="AL848" t="str">
        <f>IF(ISNUMBER(SEARCH("C", 'WetLitterbags placem_collection'!Y189)),"YES","NO")</f>
        <v>NO</v>
      </c>
      <c r="AM848" t="str">
        <f>IF(ISNUMBER(SEARCH("H", 'WetLitterbags placem_collection'!Y189)),"YES","NO")</f>
        <v>NO</v>
      </c>
      <c r="AN848" t="str">
        <f>IF(ISNUMBER(SEARCH("R", 'WetLitterbags placem_collection'!Y189)),"YES","NO")</f>
        <v>NO</v>
      </c>
    </row>
    <row r="849" spans="1:40" ht="15" customHeight="1">
      <c r="A849" s="258" t="s">
        <v>2460</v>
      </c>
      <c r="B849" s="263">
        <f>'Dry_Litterbag Placem_Collection'!A190</f>
        <v>188</v>
      </c>
      <c r="C849" s="263" t="str">
        <f>'Dry_Litterbag Placem_Collection'!B190</f>
        <v>Handajega</v>
      </c>
      <c r="D849" s="263" t="s">
        <v>2460</v>
      </c>
      <c r="E849" s="263" t="s">
        <v>2661</v>
      </c>
      <c r="F849" s="263">
        <v>4</v>
      </c>
      <c r="G849" s="264" t="str">
        <f>'Dry_Litterbag Placem_Collection'!C190</f>
        <v>Wet_W4_T4</v>
      </c>
      <c r="H849" s="273" t="s">
        <v>3651</v>
      </c>
      <c r="I849" s="274" t="s">
        <v>298</v>
      </c>
      <c r="J849" s="223" t="str">
        <f>'WetLitterbags placem_collection'!Q190</f>
        <v>R222</v>
      </c>
      <c r="K849" s="225">
        <f>IFERROR(INDEX('Green_rooibos initial weight'!$C$5:$C$1749,MATCH(J849, 'Green_rooibos initial weight'!$A$5:$A$1749,0)),"")</f>
        <v>2.194</v>
      </c>
      <c r="L849" s="225">
        <f>IFERROR(K849-(TBIcalc!$H$9+TBIcalc!$H$10),"")</f>
        <v>1.9441999999999999</v>
      </c>
      <c r="M849" s="391">
        <f>AVERAGE(Ashed_controlls!$K$12:$K$14)</f>
        <v>2.2816647271287041</v>
      </c>
      <c r="N849" s="225">
        <f t="shared" si="70"/>
        <v>1.8998398743751637</v>
      </c>
      <c r="O849" s="225">
        <f>IF(IFERROR(INDEX('Both teabags AfterWet'!$C$3:$C$841,MATCH(J849,'Both teabags AfterWet'!$A$3:$A$841,0)),"")="","",(IFERROR(INDEX('Both teabags AfterWet'!$C$3:$C$841,MATCH(J849,'Both teabags AfterWet'!$A$3:$A$841,0)),"")))</f>
        <v>1.5732999999999999</v>
      </c>
      <c r="P849" s="225">
        <f>IFERROR(IF(O849&gt;0,O849-(TBIcalc!$H$9),""),"")</f>
        <v>1.4226999999999999</v>
      </c>
      <c r="Q849" s="225">
        <f>IFERROR(INDEX('Ashed teabags wet'!$K$2:$K$821,MATCH(J849,'Ashed teabags wet'!$A$2:$A$821,0)),"")</f>
        <v>3.2535885167466505</v>
      </c>
      <c r="R849" s="225">
        <f t="shared" si="73"/>
        <v>1.3764111961722452</v>
      </c>
      <c r="S849" s="226">
        <f>'WetLitterbags placem_collection'!E190</f>
        <v>42763</v>
      </c>
      <c r="T849" s="226">
        <f>IF('WetLitterbags placem_collection'!G190="","",'WetLitterbags placem_collection'!G190)</f>
        <v>42815</v>
      </c>
      <c r="U849" s="227">
        <f t="shared" si="69"/>
        <v>52</v>
      </c>
      <c r="V849" s="225">
        <f t="shared" si="71"/>
        <v>0.52150000000000007</v>
      </c>
      <c r="W849" s="225">
        <f t="shared" si="72"/>
        <v>0.5234286782029185</v>
      </c>
      <c r="X849">
        <f>IFERROR(INDEX(Rainfall_Wet!$O$2:$O$217,MATCH(B849, Rainfall_Wet!$A$2:$A$217,0)),"")</f>
        <v>188.24043152799999</v>
      </c>
      <c r="Y849" s="231">
        <v>25.96</v>
      </c>
      <c r="Z849" s="231">
        <v>8.9200000000000017</v>
      </c>
      <c r="AA849" s="231">
        <v>65.12</v>
      </c>
      <c r="AB849" s="232" t="s">
        <v>2670</v>
      </c>
      <c r="AC849" s="231">
        <v>4.6991621488417898</v>
      </c>
      <c r="AD849">
        <f>IF('WetLitterbags placem_collection'!AB190="","",'WetLitterbags placem_collection'!AB190)</f>
        <v>2.2999999999999998</v>
      </c>
      <c r="AE849">
        <f>IF('WetLitterbags placem_collection'!Z190="","",'WetLitterbags placem_collection'!Z190)</f>
        <v>14.4</v>
      </c>
      <c r="AF849" s="246" t="str">
        <f>IF('WetLitterbags placem_collection'!AA190="","",'WetLitterbags placem_collection'!AA190)</f>
        <v>O</v>
      </c>
      <c r="AG849">
        <f>IF('WetLitterbags placem_collection'!AC190="","",'WetLitterbags placem_collection'!AC190)</f>
        <v>0</v>
      </c>
      <c r="AH849">
        <f>AVERAGE('WetLitterbags placem_collection'!S190,'WetLitterbags placem_collection'!U190)</f>
        <v>10.45</v>
      </c>
      <c r="AI849">
        <f>AVERAGE('WetLitterbags placem_collection'!R190,'WetLitterbags placem_collection'!T190)</f>
        <v>34.15</v>
      </c>
      <c r="AJ849">
        <f>INDEX(Coordinates!$B$2:$B$197,MATCH(G849,Coordinates!$J$2:$J$197,0))</f>
        <v>-2.278422983</v>
      </c>
      <c r="AK849">
        <f>INDEX(Coordinates!$C$2:$C$197,MATCH(G849,Coordinates!$J$2:$J$197,0))</f>
        <v>34.032261009999999</v>
      </c>
      <c r="AL849" t="str">
        <f>IF(ISNUMBER(SEARCH("C", 'WetLitterbags placem_collection'!Y190)),"YES","NO")</f>
        <v>NO</v>
      </c>
      <c r="AM849" t="str">
        <f>IF(ISNUMBER(SEARCH("H", 'WetLitterbags placem_collection'!Y190)),"YES","NO")</f>
        <v>NO</v>
      </c>
      <c r="AN849" t="str">
        <f>IF(ISNUMBER(SEARCH("R", 'WetLitterbags placem_collection'!Y190)),"YES","NO")</f>
        <v>NO</v>
      </c>
    </row>
    <row r="850" spans="1:40" ht="15" customHeight="1">
      <c r="A850" s="258" t="s">
        <v>2460</v>
      </c>
      <c r="B850" s="263">
        <f>'Dry_Litterbag Placem_Collection'!A191</f>
        <v>189</v>
      </c>
      <c r="C850" s="263" t="str">
        <f>'Dry_Litterbag Placem_Collection'!B191</f>
        <v>Handajega</v>
      </c>
      <c r="D850" s="263" t="s">
        <v>2460</v>
      </c>
      <c r="E850" s="263" t="s">
        <v>2661</v>
      </c>
      <c r="F850" s="263">
        <v>4</v>
      </c>
      <c r="G850" s="264" t="str">
        <f>'Dry_Litterbag Placem_Collection'!C191</f>
        <v>Wet_W4_T5</v>
      </c>
      <c r="H850" s="273" t="s">
        <v>3651</v>
      </c>
      <c r="I850" s="274" t="s">
        <v>298</v>
      </c>
      <c r="J850" s="223" t="str">
        <f>'WetLitterbags placem_collection'!Q191</f>
        <v>R216</v>
      </c>
      <c r="K850" s="225">
        <f>IFERROR(INDEX('Green_rooibos initial weight'!$C$5:$C$1749,MATCH(J850, 'Green_rooibos initial weight'!$A$5:$A$1749,0)),"")</f>
        <v>2.1880000000000002</v>
      </c>
      <c r="L850" s="225">
        <f>IFERROR(K850-(TBIcalc!$H$9+TBIcalc!$H$10),"")</f>
        <v>1.9382000000000001</v>
      </c>
      <c r="M850" s="391">
        <f>AVERAGE(Ashed_controlls!$K$12:$K$14)</f>
        <v>2.2816647271287041</v>
      </c>
      <c r="N850" s="225">
        <f t="shared" si="70"/>
        <v>1.8939767742587916</v>
      </c>
      <c r="O850" s="225">
        <f>IF(IFERROR(INDEX('Both teabags AfterWet'!$C$3:$C$841,MATCH(J850,'Both teabags AfterWet'!$A$3:$A$841,0)),"")="","",(IFERROR(INDEX('Both teabags AfterWet'!$C$3:$C$841,MATCH(J850,'Both teabags AfterWet'!$A$3:$A$841,0)),"")))</f>
        <v>1.6973</v>
      </c>
      <c r="P850" s="225">
        <f>IFERROR(IF(O850&gt;0,O850-(TBIcalc!$H$9),""),"")</f>
        <v>1.5467</v>
      </c>
      <c r="Q850" s="225">
        <f>IFERROR(INDEX('Ashed teabags wet'!$K$2:$K$821,MATCH(J850,'Ashed teabags wet'!$A$2:$A$821,0)),"")</f>
        <v>2.7254707631314172</v>
      </c>
      <c r="R850" s="225">
        <f t="shared" si="73"/>
        <v>1.5045451437066464</v>
      </c>
      <c r="S850" s="226">
        <f>'WetLitterbags placem_collection'!E191</f>
        <v>42763</v>
      </c>
      <c r="T850" s="226">
        <f>IF('WetLitterbags placem_collection'!G191="","",'WetLitterbags placem_collection'!G191)</f>
        <v>42815</v>
      </c>
      <c r="U850" s="227">
        <f t="shared" si="69"/>
        <v>52</v>
      </c>
      <c r="V850" s="225">
        <f t="shared" si="71"/>
        <v>0.39150000000000018</v>
      </c>
      <c r="W850" s="225">
        <f t="shared" si="72"/>
        <v>0.38943163055214525</v>
      </c>
      <c r="X850">
        <f>IFERROR(INDEX(Rainfall_Wet!$O$2:$O$217,MATCH(B850, Rainfall_Wet!$A$2:$A$217,0)),"")</f>
        <v>188.24043152799999</v>
      </c>
      <c r="Y850" s="231">
        <v>25.96</v>
      </c>
      <c r="Z850" s="231">
        <v>8.9200000000000017</v>
      </c>
      <c r="AA850" s="231">
        <v>65.12</v>
      </c>
      <c r="AB850" s="232" t="s">
        <v>2670</v>
      </c>
      <c r="AC850" s="231">
        <v>5.6991621488417898</v>
      </c>
      <c r="AD850">
        <f>IF('WetLitterbags placem_collection'!AB191="","",'WetLitterbags placem_collection'!AB191)</f>
        <v>0.6</v>
      </c>
      <c r="AE850">
        <f>IF('WetLitterbags placem_collection'!Z191="","",'WetLitterbags placem_collection'!Z191)</f>
        <v>7</v>
      </c>
      <c r="AF850" s="246" t="str">
        <f>IF('WetLitterbags placem_collection'!AA191="","",'WetLitterbags placem_collection'!AA191)</f>
        <v>O</v>
      </c>
      <c r="AG850">
        <f>IF('WetLitterbags placem_collection'!AC191="","",'WetLitterbags placem_collection'!AC191)</f>
        <v>1</v>
      </c>
      <c r="AH850">
        <f>AVERAGE('WetLitterbags placem_collection'!S191,'WetLitterbags placem_collection'!U191)</f>
        <v>13.6</v>
      </c>
      <c r="AI850">
        <f>AVERAGE('WetLitterbags placem_collection'!R191,'WetLitterbags placem_collection'!T191)</f>
        <v>30.6</v>
      </c>
      <c r="AJ850">
        <f>INDEX(Coordinates!$B$2:$B$197,MATCH(G850,Coordinates!$J$2:$J$197,0))</f>
        <v>-2.2787580080000001</v>
      </c>
      <c r="AK850">
        <f>INDEX(Coordinates!$C$2:$C$197,MATCH(G850,Coordinates!$J$2:$J$197,0))</f>
        <v>34.032463010000001</v>
      </c>
      <c r="AL850" t="str">
        <f>IF(ISNUMBER(SEARCH("C", 'WetLitterbags placem_collection'!Y191)),"YES","NO")</f>
        <v>NO</v>
      </c>
      <c r="AM850" t="str">
        <f>IF(ISNUMBER(SEARCH("H", 'WetLitterbags placem_collection'!Y191)),"YES","NO")</f>
        <v>NO</v>
      </c>
      <c r="AN850" t="str">
        <f>IF(ISNUMBER(SEARCH("R", 'WetLitterbags placem_collection'!Y191)),"YES","NO")</f>
        <v>YES</v>
      </c>
    </row>
    <row r="851" spans="1:40" ht="15" customHeight="1">
      <c r="A851" s="258" t="s">
        <v>2460</v>
      </c>
      <c r="B851" s="263">
        <f>'Dry_Litterbag Placem_Collection'!A192</f>
        <v>190</v>
      </c>
      <c r="C851" s="263" t="str">
        <f>'Dry_Litterbag Placem_Collection'!B192</f>
        <v>Handajega</v>
      </c>
      <c r="D851" s="263" t="s">
        <v>2460</v>
      </c>
      <c r="E851" s="263" t="s">
        <v>2661</v>
      </c>
      <c r="F851" s="263">
        <v>4</v>
      </c>
      <c r="G851" s="264" t="str">
        <f>'Dry_Litterbag Placem_Collection'!C192</f>
        <v>Wet_W4_T6</v>
      </c>
      <c r="H851" s="273" t="s">
        <v>3651</v>
      </c>
      <c r="I851" s="274" t="s">
        <v>298</v>
      </c>
      <c r="J851" s="223" t="str">
        <f>'WetLitterbags placem_collection'!Q192</f>
        <v>R232</v>
      </c>
      <c r="K851" s="225">
        <f>IFERROR(INDEX('Green_rooibos initial weight'!$C$5:$C$1749,MATCH(J851, 'Green_rooibos initial weight'!$A$5:$A$1749,0)),"")</f>
        <v>2.2440000000000002</v>
      </c>
      <c r="L851" s="225">
        <f>IFERROR(K851-(TBIcalc!$H$9+TBIcalc!$H$10),"")</f>
        <v>1.9942000000000002</v>
      </c>
      <c r="M851" s="391">
        <f>AVERAGE(Ashed_controlls!$K$12:$K$14)</f>
        <v>2.2816647271287041</v>
      </c>
      <c r="N851" s="225">
        <f t="shared" si="70"/>
        <v>1.9486990420115995</v>
      </c>
      <c r="O851" s="225">
        <f>IF(IFERROR(INDEX('Both teabags AfterWet'!$C$3:$C$841,MATCH(J851,'Both teabags AfterWet'!$A$3:$A$841,0)),"")="","",(IFERROR(INDEX('Both teabags AfterWet'!$C$3:$C$841,MATCH(J851,'Both teabags AfterWet'!$A$3:$A$841,0)),"")))</f>
        <v>1.7355</v>
      </c>
      <c r="P851" s="225">
        <f>IFERROR(IF(O851&gt;0,O851-(TBIcalc!$H$9),""),"")</f>
        <v>1.5849</v>
      </c>
      <c r="Q851" s="225">
        <f>IFERROR(INDEX('Ashed teabags wet'!$K$2:$K$821,MATCH(J851,'Ashed teabags wet'!$A$2:$A$821,0)),"")</f>
        <v>2.2167487684728533</v>
      </c>
      <c r="R851" s="225">
        <f t="shared" si="73"/>
        <v>1.5497667487684736</v>
      </c>
      <c r="S851" s="226">
        <f>'WetLitterbags placem_collection'!E192</f>
        <v>42763</v>
      </c>
      <c r="T851" s="226">
        <f>IF('WetLitterbags placem_collection'!G192="","",'WetLitterbags placem_collection'!G192)</f>
        <v>42815</v>
      </c>
      <c r="U851" s="227">
        <f t="shared" si="69"/>
        <v>52</v>
      </c>
      <c r="V851" s="225">
        <f t="shared" si="71"/>
        <v>0.40930000000000022</v>
      </c>
      <c r="W851" s="225">
        <f t="shared" si="72"/>
        <v>0.39893229324312585</v>
      </c>
      <c r="X851">
        <f>IFERROR(INDEX(Rainfall_Wet!$O$2:$O$217,MATCH(B851, Rainfall_Wet!$A$2:$A$217,0)),"")</f>
        <v>188.24043152799999</v>
      </c>
      <c r="Y851" s="231">
        <v>25.96</v>
      </c>
      <c r="Z851" s="231">
        <v>8.9200000000000017</v>
      </c>
      <c r="AA851" s="231">
        <v>65.12</v>
      </c>
      <c r="AB851" s="232" t="s">
        <v>2670</v>
      </c>
      <c r="AC851" s="231">
        <v>6.6991621488417898</v>
      </c>
      <c r="AD851">
        <f>IF('WetLitterbags placem_collection'!AB192="","",'WetLitterbags placem_collection'!AB192)</f>
        <v>9.5</v>
      </c>
      <c r="AE851">
        <f>IF('WetLitterbags placem_collection'!Z192="","",'WetLitterbags placem_collection'!Z192)</f>
        <v>17.399999999999999</v>
      </c>
      <c r="AF851" s="246" t="str">
        <f>IF('WetLitterbags placem_collection'!AA192="","",'WetLitterbags placem_collection'!AA192)</f>
        <v>O</v>
      </c>
      <c r="AG851">
        <f>IF('WetLitterbags placem_collection'!AC192="","",'WetLitterbags placem_collection'!AC192)</f>
        <v>0</v>
      </c>
      <c r="AH851">
        <f>AVERAGE('WetLitterbags placem_collection'!S192,'WetLitterbags placem_collection'!U192)</f>
        <v>13.55</v>
      </c>
      <c r="AI851">
        <f>AVERAGE('WetLitterbags placem_collection'!R192,'WetLitterbags placem_collection'!T192)</f>
        <v>34.049999999999997</v>
      </c>
      <c r="AJ851">
        <f>INDEX(Coordinates!$B$2:$B$197,MATCH(G851,Coordinates!$J$2:$J$197,0))</f>
        <v>-2.2787559960000001</v>
      </c>
      <c r="AK851">
        <f>INDEX(Coordinates!$C$2:$C$197,MATCH(G851,Coordinates!$J$2:$J$197,0))</f>
        <v>34.032268969999997</v>
      </c>
      <c r="AL851" t="str">
        <f>IF(ISNUMBER(SEARCH("C", 'WetLitterbags placem_collection'!Y192)),"YES","NO")</f>
        <v>NO</v>
      </c>
      <c r="AM851" t="str">
        <f>IF(ISNUMBER(SEARCH("H", 'WetLitterbags placem_collection'!Y192)),"YES","NO")</f>
        <v>NO</v>
      </c>
      <c r="AN851" t="str">
        <f>IF(ISNUMBER(SEARCH("R", 'WetLitterbags placem_collection'!Y192)),"YES","NO")</f>
        <v>NO</v>
      </c>
    </row>
    <row r="852" spans="1:40" ht="15" customHeight="1">
      <c r="A852" s="258" t="s">
        <v>2460</v>
      </c>
      <c r="B852" s="263">
        <f>'Dry_Litterbag Placem_Collection'!A193</f>
        <v>191</v>
      </c>
      <c r="C852" s="263" t="str">
        <f>'Dry_Litterbag Placem_Collection'!B193</f>
        <v>Handajega</v>
      </c>
      <c r="D852" s="263" t="s">
        <v>2460</v>
      </c>
      <c r="E852" s="263" t="s">
        <v>2661</v>
      </c>
      <c r="F852" s="263">
        <v>4</v>
      </c>
      <c r="G852" s="264" t="str">
        <f>'Dry_Litterbag Placem_Collection'!C193</f>
        <v>Wet_W4_T7</v>
      </c>
      <c r="H852" s="273" t="s">
        <v>3651</v>
      </c>
      <c r="I852" s="274" t="s">
        <v>298</v>
      </c>
      <c r="J852" s="223" t="str">
        <f>'WetLitterbags placem_collection'!Q193</f>
        <v>R387</v>
      </c>
      <c r="K852" s="225">
        <f>IFERROR(INDEX('Green_rooibos initial weight'!$C$5:$C$1749,MATCH(J852, 'Green_rooibos initial weight'!$A$5:$A$1749,0)),"")</f>
        <v>2.1080000000000001</v>
      </c>
      <c r="L852" s="225">
        <f>IFERROR(K852-(TBIcalc!$H$9+TBIcalc!$H$10),"")</f>
        <v>1.8582000000000001</v>
      </c>
      <c r="M852" s="391">
        <f>AVERAGE(Ashed_controlls!$K$12:$K$14)</f>
        <v>2.2816647271287041</v>
      </c>
      <c r="N852" s="225">
        <f t="shared" si="70"/>
        <v>1.8158021060404945</v>
      </c>
      <c r="O852" s="225">
        <f>IF(IFERROR(INDEX('Both teabags AfterWet'!$C$3:$C$841,MATCH(J852,'Both teabags AfterWet'!$A$3:$A$841,0)),"")="","",(IFERROR(INDEX('Both teabags AfterWet'!$C$3:$C$841,MATCH(J852,'Both teabags AfterWet'!$A$3:$A$841,0)),"")))</f>
        <v>1.6520999999999999</v>
      </c>
      <c r="P852" s="225">
        <f>IFERROR(IF(O852&gt;0,O852-(TBIcalc!$H$9),""),"")</f>
        <v>1.5014999999999998</v>
      </c>
      <c r="Q852" s="225">
        <f>IFERROR(INDEX('Ashed teabags wet'!$K$2:$K$821,MATCH(J852,'Ashed teabags wet'!$A$2:$A$821,0)),"")</f>
        <v>2.1414342629480405</v>
      </c>
      <c r="R852" s="225">
        <f t="shared" si="73"/>
        <v>1.469346364541835</v>
      </c>
      <c r="S852" s="226">
        <f>'WetLitterbags placem_collection'!E193</f>
        <v>42763</v>
      </c>
      <c r="T852" s="226">
        <f>IF('WetLitterbags placem_collection'!G193="","",'WetLitterbags placem_collection'!G193)</f>
        <v>42815</v>
      </c>
      <c r="U852" s="227">
        <f t="shared" si="69"/>
        <v>52</v>
      </c>
      <c r="V852" s="225">
        <f t="shared" si="71"/>
        <v>0.35670000000000024</v>
      </c>
      <c r="W852" s="225">
        <f t="shared" si="72"/>
        <v>0.34645574149865954</v>
      </c>
      <c r="X852">
        <f>IFERROR(INDEX(Rainfall_Wet!$O$2:$O$217,MATCH(B852, Rainfall_Wet!$A$2:$A$217,0)),"")</f>
        <v>188.24043152799999</v>
      </c>
      <c r="Y852" s="231">
        <v>25.96</v>
      </c>
      <c r="Z852" s="231">
        <v>8.9200000000000017</v>
      </c>
      <c r="AA852" s="231">
        <v>65.12</v>
      </c>
      <c r="AB852" s="232" t="s">
        <v>2670</v>
      </c>
      <c r="AC852" s="231">
        <v>7.6991621488417898</v>
      </c>
      <c r="AD852">
        <f>IF('WetLitterbags placem_collection'!AB193="","",'WetLitterbags placem_collection'!AB193)</f>
        <v>12.4</v>
      </c>
      <c r="AE852">
        <f>IF('WetLitterbags placem_collection'!Z193="","",'WetLitterbags placem_collection'!Z193)</f>
        <v>29.8</v>
      </c>
      <c r="AF852" s="246" t="str">
        <f>IF('WetLitterbags placem_collection'!AA193="","",'WetLitterbags placem_collection'!AA193)</f>
        <v>O</v>
      </c>
      <c r="AG852">
        <f>IF('WetLitterbags placem_collection'!AC193="","",'WetLitterbags placem_collection'!AC193)</f>
        <v>0</v>
      </c>
      <c r="AH852">
        <f>AVERAGE('WetLitterbags placem_collection'!S193,'WetLitterbags placem_collection'!U193)</f>
        <v>12.350000000000001</v>
      </c>
      <c r="AI852">
        <f>AVERAGE('WetLitterbags placem_collection'!R193,'WetLitterbags placem_collection'!T193)</f>
        <v>35</v>
      </c>
      <c r="AJ852">
        <f>INDEX(Coordinates!$B$2:$B$197,MATCH(G852,Coordinates!$J$2:$J$197,0))</f>
        <v>-2.278704029</v>
      </c>
      <c r="AK852">
        <f>INDEX(Coordinates!$C$2:$C$197,MATCH(G852,Coordinates!$J$2:$J$197,0))</f>
        <v>34.032182970000001</v>
      </c>
      <c r="AL852" t="str">
        <f>IF(ISNUMBER(SEARCH("C", 'WetLitterbags placem_collection'!Y193)),"YES","NO")</f>
        <v>NO</v>
      </c>
      <c r="AM852" t="str">
        <f>IF(ISNUMBER(SEARCH("H", 'WetLitterbags placem_collection'!Y193)),"YES","NO")</f>
        <v>NO</v>
      </c>
      <c r="AN852" t="str">
        <f>IF(ISNUMBER(SEARCH("R", 'WetLitterbags placem_collection'!Y193)),"YES","NO")</f>
        <v>NO</v>
      </c>
    </row>
    <row r="853" spans="1:40" ht="15" customHeight="1">
      <c r="A853" s="258" t="s">
        <v>2460</v>
      </c>
      <c r="B853" s="263">
        <f>'Dry_Litterbag Placem_Collection'!A194</f>
        <v>192</v>
      </c>
      <c r="C853" s="263" t="str">
        <f>'Dry_Litterbag Placem_Collection'!B194</f>
        <v>Handajega</v>
      </c>
      <c r="D853" s="263" t="s">
        <v>2460</v>
      </c>
      <c r="E853" s="263" t="s">
        <v>2661</v>
      </c>
      <c r="F853" s="263">
        <v>4</v>
      </c>
      <c r="G853" s="264" t="str">
        <f>'Dry_Litterbag Placem_Collection'!C194</f>
        <v>Wet_W4_T8</v>
      </c>
      <c r="H853" s="273" t="s">
        <v>3651</v>
      </c>
      <c r="I853" s="274" t="s">
        <v>298</v>
      </c>
      <c r="J853" s="223" t="str">
        <f>'WetLitterbags placem_collection'!Q194</f>
        <v>R346</v>
      </c>
      <c r="K853" s="225">
        <f>IFERROR(INDEX('Green_rooibos initial weight'!$C$5:$C$1749,MATCH(J853, 'Green_rooibos initial weight'!$A$5:$A$1749,0)),"")</f>
        <v>2.2349999999999999</v>
      </c>
      <c r="L853" s="225">
        <f>IFERROR(K853-(TBIcalc!$H$9+TBIcalc!$H$10),"")</f>
        <v>1.9851999999999999</v>
      </c>
      <c r="M853" s="391">
        <f>AVERAGE(Ashed_controlls!$K$12:$K$14)</f>
        <v>2.2816647271287041</v>
      </c>
      <c r="N853" s="225">
        <f t="shared" si="70"/>
        <v>1.9399043918370409</v>
      </c>
      <c r="O853" s="225">
        <f>IF(IFERROR(INDEX('Both teabags AfterWet'!$C$3:$C$841,MATCH(J853,'Both teabags AfterWet'!$A$3:$A$841,0)),"")="","",(IFERROR(INDEX('Both teabags AfterWet'!$C$3:$C$841,MATCH(J853,'Both teabags AfterWet'!$A$3:$A$841,0)),"")))</f>
        <v>1.6679999999999999</v>
      </c>
      <c r="P853" s="225">
        <f>IFERROR(IF(O853&gt;0,O853-(TBIcalc!$H$9),""),"")</f>
        <v>1.5173999999999999</v>
      </c>
      <c r="Q853" s="225">
        <f>IFERROR(INDEX('Ashed teabags wet'!$K$2:$K$821,MATCH(J853,'Ashed teabags wet'!$A$2:$A$821,0)),"")</f>
        <v>2.8640776699025032</v>
      </c>
      <c r="R853" s="225">
        <f t="shared" si="73"/>
        <v>1.4739404854368994</v>
      </c>
      <c r="S853" s="226">
        <f>'WetLitterbags placem_collection'!E194</f>
        <v>42763</v>
      </c>
      <c r="T853" s="226">
        <f>IF('WetLitterbags placem_collection'!G194="","",'WetLitterbags placem_collection'!G194)</f>
        <v>42815</v>
      </c>
      <c r="U853" s="227">
        <f t="shared" si="69"/>
        <v>52</v>
      </c>
      <c r="V853" s="225">
        <f t="shared" si="71"/>
        <v>0.46779999999999999</v>
      </c>
      <c r="W853" s="225">
        <f t="shared" si="72"/>
        <v>0.46596390640014151</v>
      </c>
      <c r="X853">
        <f>IFERROR(INDEX(Rainfall_Wet!$O$2:$O$217,MATCH(B853, Rainfall_Wet!$A$2:$A$217,0)),"")</f>
        <v>188.24043152799999</v>
      </c>
      <c r="Y853" s="231">
        <v>25.96</v>
      </c>
      <c r="Z853" s="231">
        <v>8.9200000000000017</v>
      </c>
      <c r="AA853" s="231">
        <v>65.12</v>
      </c>
      <c r="AB853" s="232" t="s">
        <v>2670</v>
      </c>
      <c r="AC853" s="231">
        <v>8.6991621488417898</v>
      </c>
      <c r="AD853">
        <f>IF('WetLitterbags placem_collection'!AB194="","",'WetLitterbags placem_collection'!AB194)</f>
        <v>3.6</v>
      </c>
      <c r="AE853">
        <f>IF('WetLitterbags placem_collection'!Z194="","",'WetLitterbags placem_collection'!Z194)</f>
        <v>37.799999999999997</v>
      </c>
      <c r="AF853" s="246" t="str">
        <f>IF('WetLitterbags placem_collection'!AA194="","",'WetLitterbags placem_collection'!AA194)</f>
        <v>O</v>
      </c>
      <c r="AG853">
        <f>IF('WetLitterbags placem_collection'!AC194="","",'WetLitterbags placem_collection'!AC194)</f>
        <v>0</v>
      </c>
      <c r="AH853">
        <f>AVERAGE('WetLitterbags placem_collection'!S194,'WetLitterbags placem_collection'!U194)</f>
        <v>9.25</v>
      </c>
      <c r="AI853">
        <f>AVERAGE('WetLitterbags placem_collection'!R194,'WetLitterbags placem_collection'!T194)</f>
        <v>33.299999999999997</v>
      </c>
      <c r="AJ853">
        <f>INDEX(Coordinates!$B$2:$B$197,MATCH(G853,Coordinates!$J$2:$J$197,0))</f>
        <v>-2.2789770269999998</v>
      </c>
      <c r="AK853">
        <f>INDEX(Coordinates!$C$2:$C$197,MATCH(G853,Coordinates!$J$2:$J$197,0))</f>
        <v>34.032051039999999</v>
      </c>
      <c r="AL853" t="str">
        <f>IF(ISNUMBER(SEARCH("C", 'WetLitterbags placem_collection'!Y194)),"YES","NO")</f>
        <v>NO</v>
      </c>
      <c r="AM853" t="str">
        <f>IF(ISNUMBER(SEARCH("H", 'WetLitterbags placem_collection'!Y194)),"YES","NO")</f>
        <v>NO</v>
      </c>
      <c r="AN853" t="str">
        <f>IF(ISNUMBER(SEARCH("R", 'WetLitterbags placem_collection'!Y194)),"YES","NO")</f>
        <v>NO</v>
      </c>
    </row>
    <row r="854" spans="1:40" ht="15" customHeight="1">
      <c r="A854" s="258" t="s">
        <v>2460</v>
      </c>
      <c r="B854" s="263">
        <f>'Dry_Litterbag Placem_Collection'!A195</f>
        <v>193</v>
      </c>
      <c r="C854" s="263" t="str">
        <f>'Dry_Litterbag Placem_Collection'!B195</f>
        <v>Makao</v>
      </c>
      <c r="D854" s="263" t="s">
        <v>2659</v>
      </c>
      <c r="E854" s="263" t="s">
        <v>2526</v>
      </c>
      <c r="F854" s="263">
        <v>4</v>
      </c>
      <c r="G854" s="264" t="str">
        <f>'Dry_Litterbag Placem_Collection'!C195</f>
        <v>Dry_Ag1_CG4</v>
      </c>
      <c r="H854" s="273" t="s">
        <v>3651</v>
      </c>
      <c r="I854" s="274" t="s">
        <v>298</v>
      </c>
      <c r="J854" s="223" t="str">
        <f>'WetLitterbags placem_collection'!Q195</f>
        <v>R364</v>
      </c>
      <c r="K854" s="225">
        <f>IFERROR(INDEX('Green_rooibos initial weight'!$C$5:$C$1749,MATCH(J854, 'Green_rooibos initial weight'!$A$5:$A$1749,0)),"")</f>
        <v>2.234</v>
      </c>
      <c r="L854" s="225">
        <f>IFERROR(K854-(TBIcalc!$H$9+TBIcalc!$H$10),"")</f>
        <v>1.9842</v>
      </c>
      <c r="M854" s="391">
        <f>AVERAGE(Ashed_controlls!$K$12:$K$14)</f>
        <v>2.2816647271287041</v>
      </c>
      <c r="N854" s="225">
        <f t="shared" si="70"/>
        <v>1.9389272084843123</v>
      </c>
      <c r="O854" s="225">
        <f>IF(IFERROR(INDEX('Both teabags AfterWet'!$C$3:$C$841,MATCH(J854,'Both teabags AfterWet'!$A$3:$A$841,0)),"")="","",(IFERROR(INDEX('Both teabags AfterWet'!$C$3:$C$841,MATCH(J854,'Both teabags AfterWet'!$A$3:$A$841,0)),"")))</f>
        <v>1.3913</v>
      </c>
      <c r="P854" s="225">
        <f>IFERROR(IF(O854&gt;0,O854-(TBIcalc!$H$9),""),"")</f>
        <v>1.2406999999999999</v>
      </c>
      <c r="Q854" s="225">
        <f>IFERROR(INDEX('Ashed teabags wet'!$K$2:$K$821,MATCH(J854,'Ashed teabags wet'!$A$2:$A$821,0)),"")</f>
        <v>3.461725987323931</v>
      </c>
      <c r="R854" s="225">
        <f t="shared" si="73"/>
        <v>1.1977503656752719</v>
      </c>
      <c r="S854" s="226">
        <f>'WetLitterbags placem_collection'!E195</f>
        <v>42769</v>
      </c>
      <c r="T854" s="226">
        <f>IF('WetLitterbags placem_collection'!G195="","",'WetLitterbags placem_collection'!G195)</f>
        <v>42813</v>
      </c>
      <c r="U854" s="227">
        <f t="shared" si="69"/>
        <v>44</v>
      </c>
      <c r="V854" s="225">
        <f t="shared" si="71"/>
        <v>0.74350000000000005</v>
      </c>
      <c r="W854" s="225">
        <f t="shared" si="72"/>
        <v>0.74117684280904039</v>
      </c>
      <c r="X854">
        <f>IFERROR(INDEX(Rainfall_Wet!$O$2:$O$217,MATCH(B854, Rainfall_Wet!$A$2:$A$217,0)),"")</f>
        <v>175.054685654</v>
      </c>
      <c r="Y854" s="231">
        <v>12.565665055683967</v>
      </c>
      <c r="Z854" s="231">
        <v>0.9665896196679955</v>
      </c>
      <c r="AA854" s="231">
        <v>86.467745324648035</v>
      </c>
      <c r="AB854" s="232" t="s">
        <v>2672</v>
      </c>
      <c r="AC854" s="231">
        <v>1.0225726959093147</v>
      </c>
      <c r="AD854">
        <f>IF('WetLitterbags placem_collection'!AB195="","",'WetLitterbags placem_collection'!AB195)</f>
        <v>15.2</v>
      </c>
      <c r="AE854">
        <f>IF('WetLitterbags placem_collection'!Z195="","",'WetLitterbags placem_collection'!Z195)</f>
        <v>12.2</v>
      </c>
      <c r="AF854" s="246" t="str">
        <f>IF('WetLitterbags placem_collection'!AA195="","",'WetLitterbags placem_collection'!AA195)</f>
        <v>O</v>
      </c>
      <c r="AG854">
        <f>IF('WetLitterbags placem_collection'!AC195="","",'WetLitterbags placem_collection'!AC195)</f>
        <v>1</v>
      </c>
      <c r="AH854">
        <f>AVERAGE('WetLitterbags placem_collection'!S195,'WetLitterbags placem_collection'!U195)</f>
        <v>22.4</v>
      </c>
      <c r="AI854">
        <f>AVERAGE('WetLitterbags placem_collection'!R195,'WetLitterbags placem_collection'!T195)</f>
        <v>28.95</v>
      </c>
      <c r="AJ854">
        <v>-2.4396949910000001</v>
      </c>
      <c r="AK854">
        <v>34.838574029999997</v>
      </c>
      <c r="AL854" t="str">
        <f>IF(ISNUMBER(SEARCH("C", 'WetLitterbags placem_collection'!Y195)),"YES","NO")</f>
        <v>NO</v>
      </c>
      <c r="AM854" t="str">
        <f>IF(ISNUMBER(SEARCH("H", 'WetLitterbags placem_collection'!Y195)),"YES","NO")</f>
        <v>NO</v>
      </c>
      <c r="AN854" t="str">
        <f>IF(ISNUMBER(SEARCH("R", 'WetLitterbags placem_collection'!Y195)),"YES","NO")</f>
        <v>NO</v>
      </c>
    </row>
    <row r="855" spans="1:40" ht="15" customHeight="1">
      <c r="A855" s="258" t="s">
        <v>2460</v>
      </c>
      <c r="B855" s="263">
        <f>'Dry_Litterbag Placem_Collection'!A196</f>
        <v>194</v>
      </c>
      <c r="C855" s="263" t="str">
        <f>'Dry_Litterbag Placem_Collection'!B196</f>
        <v>Makao</v>
      </c>
      <c r="D855" s="263" t="s">
        <v>2659</v>
      </c>
      <c r="E855" s="263" t="s">
        <v>2526</v>
      </c>
      <c r="F855" s="263">
        <v>3</v>
      </c>
      <c r="G855" s="264" t="str">
        <f>'Dry_Litterbag Placem_Collection'!C196</f>
        <v>Dry_Ag2_CG3</v>
      </c>
      <c r="H855" s="273" t="s">
        <v>3651</v>
      </c>
      <c r="I855" s="274" t="s">
        <v>298</v>
      </c>
      <c r="J855" s="223" t="str">
        <f>'WetLitterbags placem_collection'!Q196</f>
        <v>R167</v>
      </c>
      <c r="K855" s="225">
        <f>IFERROR(INDEX('Green_rooibos initial weight'!$C$5:$C$1749,MATCH(J855, 'Green_rooibos initial weight'!$A$5:$A$1749,0)),"")</f>
        <v>2.177</v>
      </c>
      <c r="L855" s="225">
        <f>IFERROR(K855-(TBIcalc!$H$9+TBIcalc!$H$10),"")</f>
        <v>1.9272</v>
      </c>
      <c r="M855" s="391">
        <f>AVERAGE(Ashed_controlls!$K$12:$K$14)</f>
        <v>2.2816647271287041</v>
      </c>
      <c r="N855" s="225">
        <f t="shared" si="70"/>
        <v>1.8832277573787757</v>
      </c>
      <c r="O855" s="225">
        <f>IF(IFERROR(INDEX('Both teabags AfterWet'!$C$3:$C$841,MATCH(J855,'Both teabags AfterWet'!$A$3:$A$841,0)),"")="","",(IFERROR(INDEX('Both teabags AfterWet'!$C$3:$C$841,MATCH(J855,'Both teabags AfterWet'!$A$3:$A$841,0)),"")))</f>
        <v>1.4750000000000001</v>
      </c>
      <c r="P855" s="225">
        <f>IFERROR(IF(O855&gt;0,O855-(TBIcalc!$H$9),""),"")</f>
        <v>1.3244</v>
      </c>
      <c r="Q855" s="225">
        <f>IFERROR(INDEX('Ashed teabags wet'!$K$2:$K$821,MATCH(J855,'Ashed teabags wet'!$A$2:$A$821,0)),"")</f>
        <v>3.2435129740522455</v>
      </c>
      <c r="R855" s="225">
        <f t="shared" si="73"/>
        <v>1.2814429141716521</v>
      </c>
      <c r="S855" s="226">
        <f>'WetLitterbags placem_collection'!E196</f>
        <v>42769</v>
      </c>
      <c r="T855" s="226">
        <f>IF('WetLitterbags placem_collection'!G196="","",'WetLitterbags placem_collection'!G196)</f>
        <v>42813</v>
      </c>
      <c r="U855" s="227">
        <f t="shared" ref="U855:U881" si="74">IFERROR(T855-S855,"")</f>
        <v>44</v>
      </c>
      <c r="V855" s="225">
        <f t="shared" si="71"/>
        <v>0.6028</v>
      </c>
      <c r="W855" s="225">
        <f t="shared" si="72"/>
        <v>0.60178484320712355</v>
      </c>
      <c r="X855">
        <f>IFERROR(INDEX(Rainfall_Wet!$O$2:$O$217,MATCH(B855, Rainfall_Wet!$A$2:$A$217,0)),"")</f>
        <v>175.054685654</v>
      </c>
      <c r="Y855" s="231">
        <v>21.13063730679653</v>
      </c>
      <c r="Z855" s="231">
        <v>3.0912555579081076</v>
      </c>
      <c r="AA855" s="231">
        <v>75.778107135295357</v>
      </c>
      <c r="AB855" s="232" t="s">
        <v>2670</v>
      </c>
      <c r="AC855" s="231">
        <v>0.46131099063578063</v>
      </c>
      <c r="AD855">
        <f>IF('WetLitterbags placem_collection'!AB196="","",'WetLitterbags placem_collection'!AB196)</f>
        <v>7.9</v>
      </c>
      <c r="AE855">
        <f>IF('WetLitterbags placem_collection'!Z196="","",'WetLitterbags placem_collection'!Z196)</f>
        <v>7.9</v>
      </c>
      <c r="AF855" s="246" t="str">
        <f>IF('WetLitterbags placem_collection'!AA196="","",'WetLitterbags placem_collection'!AA196)</f>
        <v>O</v>
      </c>
      <c r="AG855">
        <f>IF('WetLitterbags placem_collection'!AC196="","",'WetLitterbags placem_collection'!AC196)</f>
        <v>1</v>
      </c>
      <c r="AH855">
        <f>AVERAGE('WetLitterbags placem_collection'!S196,'WetLitterbags placem_collection'!U196)</f>
        <v>19.600000000000001</v>
      </c>
      <c r="AI855">
        <f>AVERAGE('WetLitterbags placem_collection'!R196,'WetLitterbags placem_collection'!T196)</f>
        <v>29.3</v>
      </c>
      <c r="AJ855">
        <v>-2.4395990190000001</v>
      </c>
      <c r="AK855">
        <v>34.838418959999998</v>
      </c>
      <c r="AL855" t="str">
        <f>IF(ISNUMBER(SEARCH("C", 'WetLitterbags placem_collection'!Y196)),"YES","NO")</f>
        <v>NO</v>
      </c>
      <c r="AM855" t="str">
        <f>IF(ISNUMBER(SEARCH("H", 'WetLitterbags placem_collection'!Y196)),"YES","NO")</f>
        <v>NO</v>
      </c>
      <c r="AN855" t="str">
        <f>IF(ISNUMBER(SEARCH("R", 'WetLitterbags placem_collection'!Y196)),"YES","NO")</f>
        <v>YES</v>
      </c>
    </row>
    <row r="856" spans="1:40" ht="15" customHeight="1">
      <c r="A856" s="258" t="s">
        <v>2460</v>
      </c>
      <c r="B856" s="263">
        <f>'Dry_Litterbag Placem_Collection'!A197</f>
        <v>195</v>
      </c>
      <c r="C856" s="263" t="str">
        <f>'Dry_Litterbag Placem_Collection'!B197</f>
        <v>Makao</v>
      </c>
      <c r="D856" s="263" t="s">
        <v>2659</v>
      </c>
      <c r="E856" s="263" t="s">
        <v>2526</v>
      </c>
      <c r="F856" s="263">
        <v>2</v>
      </c>
      <c r="G856" s="264" t="str">
        <f>'Dry_Litterbag Placem_Collection'!C197</f>
        <v>Dry_Ag3_CG2</v>
      </c>
      <c r="H856" s="273" t="s">
        <v>3651</v>
      </c>
      <c r="I856" s="274" t="s">
        <v>298</v>
      </c>
      <c r="J856" s="223" t="str">
        <f>'WetLitterbags placem_collection'!Q197</f>
        <v>R25</v>
      </c>
      <c r="K856" s="225">
        <f>IFERROR(INDEX('Green_rooibos initial weight'!$C$5:$C$1749,MATCH(J856, 'Green_rooibos initial weight'!$A$5:$A$1749,0)),"")</f>
        <v>2.16</v>
      </c>
      <c r="L856" s="225">
        <f>IFERROR(K856-(TBIcalc!$H$9+TBIcalc!$H$10),"")</f>
        <v>1.9102000000000001</v>
      </c>
      <c r="M856" s="391">
        <f>AVERAGE(Ashed_controlls!$K$12:$K$14)</f>
        <v>2.2816647271287041</v>
      </c>
      <c r="N856" s="225">
        <f t="shared" si="70"/>
        <v>1.8666156403823877</v>
      </c>
      <c r="O856" s="225">
        <f>IF(IFERROR(INDEX('Both teabags AfterWet'!$C$3:$C$841,MATCH(J856,'Both teabags AfterWet'!$A$3:$A$841,0)),"")="","",(IFERROR(INDEX('Both teabags AfterWet'!$C$3:$C$841,MATCH(J856,'Both teabags AfterWet'!$A$3:$A$841,0)),"")))</f>
        <v>1.3527</v>
      </c>
      <c r="P856" s="225">
        <f>IFERROR(IF(O856&gt;0,O856-(TBIcalc!$H$9),""),"")</f>
        <v>1.2020999999999999</v>
      </c>
      <c r="Q856" s="225">
        <f>IFERROR(INDEX('Ashed teabags wet'!$K$2:$K$821,MATCH(J856,'Ashed teabags wet'!$A$2:$A$821,0)),"")</f>
        <v>4.592085979482369</v>
      </c>
      <c r="R856" s="225">
        <f t="shared" si="73"/>
        <v>1.1468985344406424</v>
      </c>
      <c r="S856" s="226">
        <f>'WetLitterbags placem_collection'!E197</f>
        <v>42769</v>
      </c>
      <c r="T856" s="226">
        <f>IF('WetLitterbags placem_collection'!G197="","",'WetLitterbags placem_collection'!G197)</f>
        <v>42814</v>
      </c>
      <c r="U856" s="227">
        <f t="shared" si="74"/>
        <v>45</v>
      </c>
      <c r="V856" s="225">
        <f t="shared" si="71"/>
        <v>0.70810000000000017</v>
      </c>
      <c r="W856" s="225">
        <f t="shared" si="72"/>
        <v>0.71971710594174532</v>
      </c>
      <c r="X856">
        <f>IFERROR(INDEX(Rainfall_Wet!$O$2:$O$217,MATCH(B856, Rainfall_Wet!$A$2:$A$217,0)),"")</f>
        <v>175.377105089</v>
      </c>
      <c r="Y856" s="231">
        <v>54.080969906906262</v>
      </c>
      <c r="Z856" s="231">
        <v>21.264484651351896</v>
      </c>
      <c r="AA856" s="231">
        <v>24.654545441741845</v>
      </c>
      <c r="AB856" s="232" t="s">
        <v>2673</v>
      </c>
      <c r="AC856" s="231">
        <v>1.8433218334154755</v>
      </c>
      <c r="AD856">
        <f>IF('WetLitterbags placem_collection'!AB197="","",'WetLitterbags placem_collection'!AB197)</f>
        <v>5.13</v>
      </c>
      <c r="AE856">
        <f>IF('WetLitterbags placem_collection'!Z197="","",'WetLitterbags placem_collection'!Z197)</f>
        <v>5.13</v>
      </c>
      <c r="AF856" s="246" t="str">
        <f>IF('WetLitterbags placem_collection'!AA197="","",'WetLitterbags placem_collection'!AA197)</f>
        <v>O</v>
      </c>
      <c r="AG856">
        <f>IF('WetLitterbags placem_collection'!AC197="","",'WetLitterbags placem_collection'!AC197)</f>
        <v>1</v>
      </c>
      <c r="AH856">
        <f>AVERAGE('WetLitterbags placem_collection'!S197,'WetLitterbags placem_collection'!U197)</f>
        <v>29.700000000000003</v>
      </c>
      <c r="AI856">
        <f>AVERAGE('WetLitterbags placem_collection'!R197,'WetLitterbags placem_collection'!T197)</f>
        <v>24.35</v>
      </c>
      <c r="AJ856">
        <v>-2.4396450349999999</v>
      </c>
      <c r="AK856">
        <v>34.83836599</v>
      </c>
      <c r="AL856" t="str">
        <f>IF(ISNUMBER(SEARCH("C", 'WetLitterbags placem_collection'!Y197)),"YES","NO")</f>
        <v>NO</v>
      </c>
      <c r="AM856" t="str">
        <f>IF(ISNUMBER(SEARCH("H", 'WetLitterbags placem_collection'!Y197)),"YES","NO")</f>
        <v>NO</v>
      </c>
      <c r="AN856" t="str">
        <f>IF(ISNUMBER(SEARCH("R", 'WetLitterbags placem_collection'!Y197)),"YES","NO")</f>
        <v>NO</v>
      </c>
    </row>
    <row r="857" spans="1:40" ht="15" customHeight="1">
      <c r="A857" s="258" t="s">
        <v>2460</v>
      </c>
      <c r="B857" s="263">
        <f>'Dry_Litterbag Placem_Collection'!A198</f>
        <v>196</v>
      </c>
      <c r="C857" s="263" t="str">
        <f>'Dry_Litterbag Placem_Collection'!B198</f>
        <v>Makao</v>
      </c>
      <c r="D857" s="263" t="s">
        <v>2659</v>
      </c>
      <c r="E857" s="263" t="s">
        <v>2526</v>
      </c>
      <c r="F857" s="263">
        <v>1</v>
      </c>
      <c r="G857" s="264" t="str">
        <f>'Dry_Litterbag Placem_Collection'!C198</f>
        <v>Dry_Ag4_CG1</v>
      </c>
      <c r="H857" s="273" t="s">
        <v>3651</v>
      </c>
      <c r="I857" s="274" t="s">
        <v>298</v>
      </c>
      <c r="J857" s="223" t="str">
        <f>'WetLitterbags placem_collection'!Q198</f>
        <v>R362</v>
      </c>
      <c r="K857" s="225">
        <f>IFERROR(INDEX('Green_rooibos initial weight'!$C$5:$C$1749,MATCH(J857, 'Green_rooibos initial weight'!$A$5:$A$1749,0)),"")</f>
        <v>2.246</v>
      </c>
      <c r="L857" s="225">
        <f>IFERROR(K857-(TBIcalc!$H$9+TBIcalc!$H$10),"")</f>
        <v>1.9962</v>
      </c>
      <c r="M857" s="391">
        <f>AVERAGE(Ashed_controlls!$K$12:$K$14)</f>
        <v>2.2816647271287041</v>
      </c>
      <c r="N857" s="225">
        <f t="shared" si="70"/>
        <v>1.9506534087170568</v>
      </c>
      <c r="O857" s="225">
        <f>IF(IFERROR(INDEX('Both teabags AfterWet'!$C$3:$C$841,MATCH(J857,'Both teabags AfterWet'!$A$3:$A$841,0)),"")="","",(IFERROR(INDEX('Both teabags AfterWet'!$C$3:$C$841,MATCH(J857,'Both teabags AfterWet'!$A$3:$A$841,0)),"")))</f>
        <v>1.5253000000000001</v>
      </c>
      <c r="P857" s="225">
        <f>IFERROR(IF(O857&gt;0,O857-(TBIcalc!$H$9),""),"")</f>
        <v>1.3747</v>
      </c>
      <c r="Q857" s="225">
        <f>IFERROR(INDEX('Ashed teabags wet'!$K$2:$K$821,MATCH(J857,'Ashed teabags wet'!$A$2:$A$821,0)),"")</f>
        <v>3.690944881888675</v>
      </c>
      <c r="R857" s="225">
        <f t="shared" si="73"/>
        <v>1.3239605807086765</v>
      </c>
      <c r="S857" s="226">
        <f>'WetLitterbags placem_collection'!E198</f>
        <v>42769</v>
      </c>
      <c r="T857" s="226">
        <f>IF('WetLitterbags placem_collection'!G198="","",'WetLitterbags placem_collection'!G198)</f>
        <v>42814</v>
      </c>
      <c r="U857" s="227">
        <f t="shared" si="74"/>
        <v>45</v>
      </c>
      <c r="V857" s="225">
        <f t="shared" si="71"/>
        <v>0.62149999999999994</v>
      </c>
      <c r="W857" s="225">
        <f t="shared" si="72"/>
        <v>0.62669282800838033</v>
      </c>
      <c r="X857">
        <f>IFERROR(INDEX(Rainfall_Wet!$O$2:$O$217,MATCH(B857, Rainfall_Wet!$A$2:$A$217,0)),"")</f>
        <v>175.377105089</v>
      </c>
      <c r="Y857" s="231">
        <v>51.960000000000008</v>
      </c>
      <c r="Z857" s="231">
        <v>18.919999999999995</v>
      </c>
      <c r="AA857" s="231">
        <v>29.120000000000005</v>
      </c>
      <c r="AB857" s="232" t="s">
        <v>2673</v>
      </c>
      <c r="AC857" s="231">
        <v>1.85293247905372</v>
      </c>
      <c r="AD857">
        <f>IF('WetLitterbags placem_collection'!AB198="","",'WetLitterbags placem_collection'!AB198)</f>
        <v>13.8</v>
      </c>
      <c r="AE857">
        <f>IF('WetLitterbags placem_collection'!Z198="","",'WetLitterbags placem_collection'!Z198)</f>
        <v>17.399999999999999</v>
      </c>
      <c r="AF857" s="246" t="str">
        <f>IF('WetLitterbags placem_collection'!AA198="","",'WetLitterbags placem_collection'!AA198)</f>
        <v>O</v>
      </c>
      <c r="AG857">
        <f>IF('WetLitterbags placem_collection'!AC198="","",'WetLitterbags placem_collection'!AC198)</f>
        <v>1</v>
      </c>
      <c r="AH857">
        <f>AVERAGE('WetLitterbags placem_collection'!S198,'WetLitterbags placem_collection'!U198)</f>
        <v>23.75</v>
      </c>
      <c r="AI857">
        <f>AVERAGE('WetLitterbags placem_collection'!R198,'WetLitterbags placem_collection'!T198)</f>
        <v>25.25</v>
      </c>
      <c r="AJ857">
        <v>-2.439403972</v>
      </c>
      <c r="AK857">
        <v>34.838404959999998</v>
      </c>
      <c r="AL857" t="str">
        <f>IF(ISNUMBER(SEARCH("C", 'WetLitterbags placem_collection'!Y198)),"YES","NO")</f>
        <v>NO</v>
      </c>
      <c r="AM857" t="str">
        <f>IF(ISNUMBER(SEARCH("H", 'WetLitterbags placem_collection'!Y198)),"YES","NO")</f>
        <v>NO</v>
      </c>
      <c r="AN857" t="str">
        <f>IF(ISNUMBER(SEARCH("R", 'WetLitterbags placem_collection'!Y198)),"YES","NO")</f>
        <v>NO</v>
      </c>
    </row>
    <row r="858" spans="1:40" ht="15" customHeight="1">
      <c r="A858" s="258" t="s">
        <v>2460</v>
      </c>
      <c r="B858" s="263">
        <f>'Dry_Litterbag Placem_Collection'!A199</f>
        <v>197</v>
      </c>
      <c r="C858" s="263" t="str">
        <f>'Dry_Litterbag Placem_Collection'!B199</f>
        <v>Makao</v>
      </c>
      <c r="D858" s="263" t="s">
        <v>2659</v>
      </c>
      <c r="E858" s="263" t="s">
        <v>2526</v>
      </c>
      <c r="F858" s="263">
        <v>2</v>
      </c>
      <c r="G858" s="264" t="str">
        <f>'Dry_Litterbag Placem_Collection'!C199</f>
        <v>Dry_P1_CG2</v>
      </c>
      <c r="H858" s="273" t="s">
        <v>3651</v>
      </c>
      <c r="I858" s="274" t="s">
        <v>298</v>
      </c>
      <c r="J858" s="223" t="str">
        <f>'WetLitterbags placem_collection'!Q199</f>
        <v>R370</v>
      </c>
      <c r="K858" s="225">
        <f>IFERROR(INDEX('Green_rooibos initial weight'!$C$5:$C$1749,MATCH(J858, 'Green_rooibos initial weight'!$A$5:$A$1749,0)),"")</f>
        <v>2.2290000000000001</v>
      </c>
      <c r="L858" s="225">
        <f>IFERROR(K858-(TBIcalc!$H$9+TBIcalc!$H$10),"")</f>
        <v>1.9792000000000001</v>
      </c>
      <c r="M858" s="391">
        <f>AVERAGE(Ashed_controlls!$K$12:$K$14)</f>
        <v>2.2816647271287041</v>
      </c>
      <c r="N858" s="225">
        <f t="shared" si="70"/>
        <v>1.9340412917206689</v>
      </c>
      <c r="O858" s="225">
        <f>IF(IFERROR(INDEX('Both teabags AfterWet'!$C$3:$C$841,MATCH(J858,'Both teabags AfterWet'!$A$3:$A$841,0)),"")="","",(IFERROR(INDEX('Both teabags AfterWet'!$C$3:$C$841,MATCH(J858,'Both teabags AfterWet'!$A$3:$A$841,0)),"")))</f>
        <v>1.488</v>
      </c>
      <c r="P858" s="225">
        <f>IFERROR(IF(O858&gt;0,O858-(TBIcalc!$H$9),""),"")</f>
        <v>1.3373999999999999</v>
      </c>
      <c r="Q858" s="225">
        <f>IFERROR(INDEX('Ashed teabags wet'!$K$2:$K$821,MATCH(J858,'Ashed teabags wet'!$A$2:$A$821,0)),"")</f>
        <v>5.0682261208581973</v>
      </c>
      <c r="R858" s="225">
        <f t="shared" si="73"/>
        <v>1.2696175438596424</v>
      </c>
      <c r="S858" s="226">
        <f>'WetLitterbags placem_collection'!E199</f>
        <v>42769</v>
      </c>
      <c r="T858" s="226">
        <f>IF('WetLitterbags placem_collection'!G199="","",'WetLitterbags placem_collection'!G199)</f>
        <v>42814</v>
      </c>
      <c r="U858" s="227">
        <f t="shared" si="74"/>
        <v>45</v>
      </c>
      <c r="V858" s="225">
        <f t="shared" si="71"/>
        <v>0.64180000000000015</v>
      </c>
      <c r="W858" s="225">
        <f t="shared" si="72"/>
        <v>0.66442374786102643</v>
      </c>
      <c r="X858">
        <f>IFERROR(INDEX(Rainfall_Wet!$O$2:$O$217,MATCH(B858, Rainfall_Wet!$A$2:$A$217,0)),"")</f>
        <v>175.377105089</v>
      </c>
      <c r="Y858" s="231">
        <v>23.96</v>
      </c>
      <c r="Z858" s="231">
        <v>0.91999999999999804</v>
      </c>
      <c r="AA858" s="231">
        <v>75.12</v>
      </c>
      <c r="AB858" s="232" t="s">
        <v>2670</v>
      </c>
      <c r="AC858" s="231">
        <v>1.2493839329719072</v>
      </c>
      <c r="AD858">
        <f>IF('WetLitterbags placem_collection'!AB199="","",'WetLitterbags placem_collection'!AB199)</f>
        <v>5.13</v>
      </c>
      <c r="AE858">
        <f>IF('WetLitterbags placem_collection'!Z199="","",'WetLitterbags placem_collection'!Z199)</f>
        <v>5.13</v>
      </c>
      <c r="AF858" s="246" t="str">
        <f>IF('WetLitterbags placem_collection'!AA199="","",'WetLitterbags placem_collection'!AA199)</f>
        <v>O</v>
      </c>
      <c r="AG858">
        <f>IF('WetLitterbags placem_collection'!AC199="","",'WetLitterbags placem_collection'!AC199)</f>
        <v>1</v>
      </c>
      <c r="AH858">
        <f>AVERAGE('WetLitterbags placem_collection'!S199,'WetLitterbags placem_collection'!U199)</f>
        <v>22.85</v>
      </c>
      <c r="AI858">
        <f>AVERAGE('WetLitterbags placem_collection'!R199,'WetLitterbags placem_collection'!T199)</f>
        <v>24.4</v>
      </c>
      <c r="AJ858">
        <v>-2.4396450349999999</v>
      </c>
      <c r="AK858">
        <v>34.83836599</v>
      </c>
      <c r="AL858" t="str">
        <f>IF(ISNUMBER(SEARCH("C", 'WetLitterbags placem_collection'!Y199)),"YES","NO")</f>
        <v>NO</v>
      </c>
      <c r="AM858" t="str">
        <f>IF(ISNUMBER(SEARCH("H", 'WetLitterbags placem_collection'!Y199)),"YES","NO")</f>
        <v>NO</v>
      </c>
      <c r="AN858" t="str">
        <f>IF(ISNUMBER(SEARCH("R", 'WetLitterbags placem_collection'!Y199)),"YES","NO")</f>
        <v>YES</v>
      </c>
    </row>
    <row r="859" spans="1:40" ht="15" customHeight="1">
      <c r="A859" s="258" t="s">
        <v>2460</v>
      </c>
      <c r="B859" s="263">
        <f>'Dry_Litterbag Placem_Collection'!A200</f>
        <v>198</v>
      </c>
      <c r="C859" s="263" t="str">
        <f>'Dry_Litterbag Placem_Collection'!B200</f>
        <v>Makao</v>
      </c>
      <c r="D859" s="263" t="s">
        <v>2659</v>
      </c>
      <c r="E859" s="263" t="s">
        <v>2526</v>
      </c>
      <c r="F859" s="263">
        <v>3</v>
      </c>
      <c r="G859" s="264" t="str">
        <f>'Dry_Litterbag Placem_Collection'!C200</f>
        <v>Dry_P2_CG3</v>
      </c>
      <c r="H859" s="273" t="s">
        <v>3651</v>
      </c>
      <c r="I859" s="274" t="s">
        <v>298</v>
      </c>
      <c r="J859" s="223" t="str">
        <f>'WetLitterbags placem_collection'!Q200</f>
        <v>R168</v>
      </c>
      <c r="K859" s="225">
        <f>IFERROR(INDEX('Green_rooibos initial weight'!$C$5:$C$1749,MATCH(J859, 'Green_rooibos initial weight'!$A$5:$A$1749,0)),"")</f>
        <v>2.1459999999999999</v>
      </c>
      <c r="L859" s="225">
        <f>IFERROR(K859-(TBIcalc!$H$9+TBIcalc!$H$10),"")</f>
        <v>1.8961999999999999</v>
      </c>
      <c r="M859" s="391">
        <f>AVERAGE(Ashed_controlls!$K$12:$K$14)</f>
        <v>2.2816647271287041</v>
      </c>
      <c r="N859" s="225">
        <f t="shared" si="70"/>
        <v>1.8529350734441854</v>
      </c>
      <c r="O859" s="225">
        <f>IF(IFERROR(INDEX('Both teabags AfterWet'!$C$3:$C$841,MATCH(J859,'Both teabags AfterWet'!$A$3:$A$841,0)),"")="","",(IFERROR(INDEX('Both teabags AfterWet'!$C$3:$C$841,MATCH(J859,'Both teabags AfterWet'!$A$3:$A$841,0)),"")))</f>
        <v>1.5734999999999999</v>
      </c>
      <c r="P859" s="225">
        <f>IFERROR(IF(O859&gt;0,O859-(TBIcalc!$H$9),""),"")</f>
        <v>1.4228999999999998</v>
      </c>
      <c r="Q859" s="225">
        <f>IFERROR(INDEX('Ashed teabags wet'!$K$2:$K$821,MATCH(J859,'Ashed teabags wet'!$A$2:$A$821,0)),"")</f>
        <v>3.118908382066123</v>
      </c>
      <c r="R859" s="225">
        <f t="shared" si="73"/>
        <v>1.378521052631581</v>
      </c>
      <c r="S859" s="226">
        <f>'WetLitterbags placem_collection'!E200</f>
        <v>42769</v>
      </c>
      <c r="T859" s="226">
        <f>IF('WetLitterbags placem_collection'!G200="","",'WetLitterbags placem_collection'!G200)</f>
        <v>42813</v>
      </c>
      <c r="U859" s="227">
        <f t="shared" si="74"/>
        <v>44</v>
      </c>
      <c r="V859" s="225">
        <f t="shared" si="71"/>
        <v>0.47330000000000005</v>
      </c>
      <c r="W859" s="225">
        <f t="shared" si="72"/>
        <v>0.47441402081260442</v>
      </c>
      <c r="X859">
        <f>IFERROR(INDEX(Rainfall_Wet!$O$2:$O$217,MATCH(B859, Rainfall_Wet!$A$2:$A$217,0)),"")</f>
        <v>175.054685654</v>
      </c>
      <c r="Y859" s="231">
        <v>19.96</v>
      </c>
      <c r="Z859" s="231">
        <v>4.9199999999999982</v>
      </c>
      <c r="AA859" s="231">
        <v>75.12</v>
      </c>
      <c r="AB859" s="232" t="s">
        <v>2671</v>
      </c>
      <c r="AC859" s="231">
        <v>1.641498275012321</v>
      </c>
      <c r="AD859">
        <f>IF('WetLitterbags placem_collection'!AB200="","",'WetLitterbags placem_collection'!AB200)</f>
        <v>7.9</v>
      </c>
      <c r="AE859">
        <f>IF('WetLitterbags placem_collection'!Z200="","",'WetLitterbags placem_collection'!Z200)</f>
        <v>7.9</v>
      </c>
      <c r="AF859" s="246" t="str">
        <f>IF('WetLitterbags placem_collection'!AA200="","",'WetLitterbags placem_collection'!AA200)</f>
        <v>O</v>
      </c>
      <c r="AG859">
        <f>IF('WetLitterbags placem_collection'!AC200="","",'WetLitterbags placem_collection'!AC200)</f>
        <v>1</v>
      </c>
      <c r="AH859">
        <f>AVERAGE('WetLitterbags placem_collection'!S200,'WetLitterbags placem_collection'!U200)</f>
        <v>20.9</v>
      </c>
      <c r="AI859">
        <f>AVERAGE('WetLitterbags placem_collection'!R200,'WetLitterbags placem_collection'!T200)</f>
        <v>27.45</v>
      </c>
      <c r="AJ859">
        <v>-2.4395990190000001</v>
      </c>
      <c r="AK859">
        <v>34.838418959999998</v>
      </c>
      <c r="AL859" t="str">
        <f>IF(ISNUMBER(SEARCH("C", 'WetLitterbags placem_collection'!Y200)),"YES","NO")</f>
        <v>NO</v>
      </c>
      <c r="AM859" t="str">
        <f>IF(ISNUMBER(SEARCH("H", 'WetLitterbags placem_collection'!Y200)),"YES","NO")</f>
        <v>NO</v>
      </c>
      <c r="AN859" t="str">
        <f>IF(ISNUMBER(SEARCH("R", 'WetLitterbags placem_collection'!Y200)),"YES","NO")</f>
        <v>YES</v>
      </c>
    </row>
    <row r="860" spans="1:40" ht="15" customHeight="1">
      <c r="A860" s="258" t="s">
        <v>2460</v>
      </c>
      <c r="B860" s="263">
        <f>'Dry_Litterbag Placem_Collection'!A201</f>
        <v>199</v>
      </c>
      <c r="C860" s="263" t="str">
        <f>'Dry_Litterbag Placem_Collection'!B201</f>
        <v>Makao</v>
      </c>
      <c r="D860" s="263" t="s">
        <v>2659</v>
      </c>
      <c r="E860" s="263" t="s">
        <v>2526</v>
      </c>
      <c r="F860" s="263">
        <v>1</v>
      </c>
      <c r="G860" s="264" t="str">
        <f>'Dry_Litterbag Placem_Collection'!C201</f>
        <v>Dry_P3_CG1</v>
      </c>
      <c r="H860" s="273" t="s">
        <v>3651</v>
      </c>
      <c r="I860" s="274" t="s">
        <v>298</v>
      </c>
      <c r="J860" s="223" t="str">
        <f>'WetLitterbags placem_collection'!Q201</f>
        <v>R369</v>
      </c>
      <c r="K860" s="225">
        <f>IFERROR(INDEX('Green_rooibos initial weight'!$C$5:$C$1749,MATCH(J860, 'Green_rooibos initial weight'!$A$5:$A$1749,0)),"")</f>
        <v>2.2400000000000002</v>
      </c>
      <c r="L860" s="225">
        <f>IFERROR(K860-(TBIcalc!$H$9+TBIcalc!$H$10),"")</f>
        <v>1.9902000000000002</v>
      </c>
      <c r="M860" s="391">
        <f>AVERAGE(Ashed_controlls!$K$12:$K$14)</f>
        <v>2.2816647271287041</v>
      </c>
      <c r="N860" s="225">
        <f t="shared" si="70"/>
        <v>1.9447903086006848</v>
      </c>
      <c r="O860" s="225" t="str">
        <f>IF(IFERROR(INDEX('Both teabags AfterWet'!$C$3:$C$841,MATCH(J860,'Both teabags AfterWet'!$A$3:$A$841,0)),"")="","",(IFERROR(INDEX('Both teabags AfterWet'!$C$3:$C$841,MATCH(J860,'Both teabags AfterWet'!$A$3:$A$841,0)),"")))</f>
        <v/>
      </c>
      <c r="P860" s="225" t="str">
        <f>IFERROR(IF(O860&gt;0,O860-(TBIcalc!$H$9),""),"")</f>
        <v/>
      </c>
      <c r="Q860" s="225" t="str">
        <f>IFERROR(INDEX('Ashed teabags wet'!$K$2:$K$821,MATCH(J860,'Ashed teabags wet'!$A$2:$A$821,0)),"")</f>
        <v/>
      </c>
      <c r="R860" s="225" t="str">
        <f t="shared" si="73"/>
        <v/>
      </c>
      <c r="S860" s="226">
        <f>'WetLitterbags placem_collection'!E201</f>
        <v>42769</v>
      </c>
      <c r="T860" s="226">
        <f>IF('WetLitterbags placem_collection'!G201="","",'WetLitterbags placem_collection'!G201)</f>
        <v>42814</v>
      </c>
      <c r="U860" s="227">
        <f t="shared" si="74"/>
        <v>45</v>
      </c>
      <c r="V860" s="225" t="str">
        <f t="shared" si="71"/>
        <v/>
      </c>
      <c r="W860" s="225" t="str">
        <f t="shared" si="72"/>
        <v/>
      </c>
      <c r="X860">
        <f>IFERROR(INDEX(Rainfall_Wet!$O$2:$O$217,MATCH(B860, Rainfall_Wet!$A$2:$A$217,0)),"")</f>
        <v>175.377105089</v>
      </c>
      <c r="Y860" s="231">
        <v>21.96</v>
      </c>
      <c r="Z860" s="231">
        <v>8.9199999999999982</v>
      </c>
      <c r="AA860" s="231">
        <v>69.12</v>
      </c>
      <c r="AB860" s="232" t="s">
        <v>2670</v>
      </c>
      <c r="AC860" s="231">
        <v>1.7491375061606702</v>
      </c>
      <c r="AD860">
        <f>IF('WetLitterbags placem_collection'!AB201="","",'WetLitterbags placem_collection'!AB201)</f>
        <v>13.8</v>
      </c>
      <c r="AE860">
        <f>IF('WetLitterbags placem_collection'!Z201="","",'WetLitterbags placem_collection'!Z201)</f>
        <v>17.399999999999999</v>
      </c>
      <c r="AF860" s="246" t="str">
        <f>IF('WetLitterbags placem_collection'!AA201="","",'WetLitterbags placem_collection'!AA201)</f>
        <v>O</v>
      </c>
      <c r="AG860">
        <f>IF('WetLitterbags placem_collection'!AC201="","",'WetLitterbags placem_collection'!AC201)</f>
        <v>1</v>
      </c>
      <c r="AH860">
        <f>AVERAGE('WetLitterbags placem_collection'!S201,'WetLitterbags placem_collection'!U201)</f>
        <v>18.149999999999999</v>
      </c>
      <c r="AI860">
        <f>AVERAGE('WetLitterbags placem_collection'!R201,'WetLitterbags placem_collection'!T201)</f>
        <v>24.549999999999997</v>
      </c>
      <c r="AJ860">
        <v>-2.439403972</v>
      </c>
      <c r="AK860">
        <v>34.838404959999998</v>
      </c>
      <c r="AL860" t="str">
        <f>IF(ISNUMBER(SEARCH("C", 'WetLitterbags placem_collection'!Y201)),"YES","NO")</f>
        <v>NO</v>
      </c>
      <c r="AM860" t="str">
        <f>IF(ISNUMBER(SEARCH("H", 'WetLitterbags placem_collection'!Y201)),"YES","NO")</f>
        <v>NO</v>
      </c>
      <c r="AN860" t="str">
        <f>IF(ISNUMBER(SEARCH("R", 'WetLitterbags placem_collection'!Y201)),"YES","NO")</f>
        <v>YES</v>
      </c>
    </row>
    <row r="861" spans="1:40" ht="15" customHeight="1">
      <c r="A861" s="258" t="s">
        <v>2460</v>
      </c>
      <c r="B861" s="263">
        <f>'Dry_Litterbag Placem_Collection'!A202</f>
        <v>200</v>
      </c>
      <c r="C861" s="263" t="str">
        <f>'Dry_Litterbag Placem_Collection'!B202</f>
        <v>Makao</v>
      </c>
      <c r="D861" s="263" t="s">
        <v>2659</v>
      </c>
      <c r="E861" s="263" t="s">
        <v>2526</v>
      </c>
      <c r="F861" s="263">
        <v>4</v>
      </c>
      <c r="G861" s="264" t="str">
        <f>'Dry_Litterbag Placem_Collection'!C202</f>
        <v>Dry_P4_CG4</v>
      </c>
      <c r="H861" s="273" t="s">
        <v>3651</v>
      </c>
      <c r="I861" s="274" t="s">
        <v>298</v>
      </c>
      <c r="J861" s="223" t="str">
        <f>'WetLitterbags placem_collection'!Q202</f>
        <v>R359</v>
      </c>
      <c r="K861" s="225">
        <f>IFERROR(INDEX('Green_rooibos initial weight'!$C$5:$C$1749,MATCH(J861, 'Green_rooibos initial weight'!$A$5:$A$1749,0)),"")</f>
        <v>2.198</v>
      </c>
      <c r="L861" s="225">
        <f>IFERROR(K861-(TBIcalc!$H$9+TBIcalc!$H$10),"")</f>
        <v>1.9481999999999999</v>
      </c>
      <c r="M861" s="391">
        <f>AVERAGE(Ashed_controlls!$K$12:$K$14)</f>
        <v>2.2816647271287041</v>
      </c>
      <c r="N861" s="225">
        <f t="shared" si="70"/>
        <v>1.9037486077860786</v>
      </c>
      <c r="O861" s="225">
        <f>IF(IFERROR(INDEX('Both teabags AfterWet'!$C$3:$C$841,MATCH(J861,'Both teabags AfterWet'!$A$3:$A$841,0)),"")="","",(IFERROR(INDEX('Both teabags AfterWet'!$C$3:$C$841,MATCH(J861,'Both teabags AfterWet'!$A$3:$A$841,0)),"")))</f>
        <v>1.4882</v>
      </c>
      <c r="P861" s="225">
        <f>IFERROR(IF(O861&gt;0,O861-(TBIcalc!$H$9),""),"")</f>
        <v>1.3375999999999999</v>
      </c>
      <c r="Q861" s="225">
        <f>IFERROR(INDEX('Ashed teabags wet'!$K$2:$K$821,MATCH(J861,'Ashed teabags wet'!$A$2:$A$821,0)),"")</f>
        <v>4.0291262135925576</v>
      </c>
      <c r="R861" s="225">
        <f t="shared" si="73"/>
        <v>1.2837064077669857</v>
      </c>
      <c r="S861" s="226">
        <f>'WetLitterbags placem_collection'!E202</f>
        <v>42769</v>
      </c>
      <c r="T861" s="226">
        <f>IF('WetLitterbags placem_collection'!G202="","",'WetLitterbags placem_collection'!G202)</f>
        <v>42813</v>
      </c>
      <c r="U861" s="227">
        <f t="shared" si="74"/>
        <v>44</v>
      </c>
      <c r="V861" s="225">
        <f t="shared" si="71"/>
        <v>0.61060000000000003</v>
      </c>
      <c r="W861" s="225">
        <f t="shared" si="72"/>
        <v>0.62004220001909283</v>
      </c>
      <c r="X861">
        <f>IFERROR(INDEX(Rainfall_Wet!$O$2:$O$217,MATCH(B861, Rainfall_Wet!$A$2:$A$217,0)),"")</f>
        <v>175.054685654</v>
      </c>
      <c r="Y861" s="231">
        <v>25.96</v>
      </c>
      <c r="Z861" s="231">
        <v>6.9200000000000008</v>
      </c>
      <c r="AA861" s="231">
        <v>67.12</v>
      </c>
      <c r="AB861" s="232" t="s">
        <v>2670</v>
      </c>
      <c r="AC861" s="231">
        <v>1.7568260226712666</v>
      </c>
      <c r="AD861">
        <f>IF('WetLitterbags placem_collection'!AB202="","",'WetLitterbags placem_collection'!AB202)</f>
        <v>15.2</v>
      </c>
      <c r="AE861">
        <f>IF('WetLitterbags placem_collection'!Z202="","",'WetLitterbags placem_collection'!Z202)</f>
        <v>12.2</v>
      </c>
      <c r="AF861" s="246" t="str">
        <f>IF('WetLitterbags placem_collection'!AA202="","",'WetLitterbags placem_collection'!AA202)</f>
        <v>O</v>
      </c>
      <c r="AG861">
        <f>IF('WetLitterbags placem_collection'!AC202="","",'WetLitterbags placem_collection'!AC202)</f>
        <v>1</v>
      </c>
      <c r="AH861">
        <f>AVERAGE('WetLitterbags placem_collection'!S202,'WetLitterbags placem_collection'!U202)</f>
        <v>22.799999999999997</v>
      </c>
      <c r="AI861">
        <f>AVERAGE('WetLitterbags placem_collection'!R202,'WetLitterbags placem_collection'!T202)</f>
        <v>27.9</v>
      </c>
      <c r="AJ861">
        <v>-2.4396949910000001</v>
      </c>
      <c r="AK861">
        <v>34.838574029999997</v>
      </c>
      <c r="AL861" t="str">
        <f>IF(ISNUMBER(SEARCH("C", 'WetLitterbags placem_collection'!Y202)),"YES","NO")</f>
        <v>NO</v>
      </c>
      <c r="AM861" t="str">
        <f>IF(ISNUMBER(SEARCH("H", 'WetLitterbags placem_collection'!Y202)),"YES","NO")</f>
        <v>NO</v>
      </c>
      <c r="AN861" t="str">
        <f>IF(ISNUMBER(SEARCH("R", 'WetLitterbags placem_collection'!Y202)),"YES","NO")</f>
        <v>YES</v>
      </c>
    </row>
    <row r="862" spans="1:40" ht="15" customHeight="1">
      <c r="A862" s="258" t="s">
        <v>2460</v>
      </c>
      <c r="B862" s="263">
        <f>'Dry_Litterbag Placem_Collection'!A203</f>
        <v>201</v>
      </c>
      <c r="C862" s="263" t="str">
        <f>'Dry_Litterbag Placem_Collection'!B203</f>
        <v>Maswa</v>
      </c>
      <c r="D862" s="263" t="s">
        <v>2659</v>
      </c>
      <c r="E862" s="263" t="s">
        <v>2526</v>
      </c>
      <c r="F862" s="263">
        <v>4</v>
      </c>
      <c r="G862" s="264" t="str">
        <f>'Dry_Litterbag Placem_Collection'!C203</f>
        <v>Dry_W3_CG4</v>
      </c>
      <c r="H862" s="273" t="s">
        <v>3651</v>
      </c>
      <c r="I862" s="274" t="s">
        <v>298</v>
      </c>
      <c r="J862" s="223" t="str">
        <f>'WetLitterbags placem_collection'!Q203</f>
        <v>R395</v>
      </c>
      <c r="K862" s="225">
        <f>IFERROR(INDEX('Green_rooibos initial weight'!$C$5:$C$1749,MATCH(J862, 'Green_rooibos initial weight'!$A$5:$A$1749,0)),"")</f>
        <v>2.1280000000000001</v>
      </c>
      <c r="L862" s="225">
        <f>IFERROR(K862-(TBIcalc!$H$9+TBIcalc!$H$10),"")</f>
        <v>1.8782000000000001</v>
      </c>
      <c r="M862" s="391">
        <f>AVERAGE(Ashed_controlls!$K$12:$K$14)</f>
        <v>2.2816647271287041</v>
      </c>
      <c r="N862" s="225">
        <f t="shared" si="70"/>
        <v>1.8353457730950689</v>
      </c>
      <c r="O862" s="225">
        <f>IF(IFERROR(INDEX('Both teabags AfterWet'!$C$3:$C$841,MATCH(J862,'Both teabags AfterWet'!$A$3:$A$841,0)),"")="","",(IFERROR(INDEX('Both teabags AfterWet'!$C$3:$C$841,MATCH(J862,'Both teabags AfterWet'!$A$3:$A$841,0)),"")))</f>
        <v>1.5786</v>
      </c>
      <c r="P862" s="225">
        <f>IFERROR(IF(O862&gt;0,O862-(TBIcalc!$H$9),""),"")</f>
        <v>1.4279999999999999</v>
      </c>
      <c r="Q862" s="225">
        <f>IFERROR(INDEX('Ashed teabags wet'!$K$2:$K$821,MATCH(J862,'Ashed teabags wet'!$A$2:$A$821,0)),"")</f>
        <v>3.0123456790120686</v>
      </c>
      <c r="R862" s="225">
        <f t="shared" si="73"/>
        <v>1.3849837037037076</v>
      </c>
      <c r="S862" s="226">
        <f>'WetLitterbags placem_collection'!E203</f>
        <v>42769</v>
      </c>
      <c r="T862" s="226">
        <f>IF('WetLitterbags placem_collection'!G203="","",'WetLitterbags placem_collection'!G203)</f>
        <v>42813</v>
      </c>
      <c r="U862" s="227">
        <f t="shared" si="74"/>
        <v>44</v>
      </c>
      <c r="V862" s="225">
        <f t="shared" si="71"/>
        <v>0.45020000000000016</v>
      </c>
      <c r="W862" s="225">
        <f t="shared" si="72"/>
        <v>0.45036206939136125</v>
      </c>
      <c r="X862">
        <f>IFERROR(INDEX(Rainfall_Wet!$O$2:$O$217,MATCH(B862, Rainfall_Wet!$A$2:$A$217,0)),"")</f>
        <v>175.054685654</v>
      </c>
      <c r="Y862" s="231">
        <v>38.691629007962128</v>
      </c>
      <c r="Z862" s="231">
        <v>26.81299763288143</v>
      </c>
      <c r="AA862" s="231">
        <v>34.495373359156439</v>
      </c>
      <c r="AB862" s="232" t="s">
        <v>2675</v>
      </c>
      <c r="AC862" s="231">
        <v>2.5483587974371611</v>
      </c>
      <c r="AD862">
        <f>IF('WetLitterbags placem_collection'!AB203="","",'WetLitterbags placem_collection'!AB203)</f>
        <v>15.2</v>
      </c>
      <c r="AE862">
        <f>IF('WetLitterbags placem_collection'!Z203="","",'WetLitterbags placem_collection'!Z203)</f>
        <v>12.2</v>
      </c>
      <c r="AF862" s="246" t="str">
        <f>IF('WetLitterbags placem_collection'!AA203="","",'WetLitterbags placem_collection'!AA203)</f>
        <v>O</v>
      </c>
      <c r="AG862">
        <f>IF('WetLitterbags placem_collection'!AC203="","",'WetLitterbags placem_collection'!AC203)</f>
        <v>1</v>
      </c>
      <c r="AH862">
        <f>AVERAGE('WetLitterbags placem_collection'!S203,'WetLitterbags placem_collection'!U203)</f>
        <v>22</v>
      </c>
      <c r="AI862">
        <f>AVERAGE('WetLitterbags placem_collection'!R203,'WetLitterbags placem_collection'!T203)</f>
        <v>28</v>
      </c>
      <c r="AJ862">
        <v>-2.4396949910000001</v>
      </c>
      <c r="AK862">
        <v>34.838574029999997</v>
      </c>
      <c r="AL862" t="str">
        <f>IF(ISNUMBER(SEARCH("C", 'WetLitterbags placem_collection'!Y203)),"YES","NO")</f>
        <v>NO</v>
      </c>
      <c r="AM862" t="str">
        <f>IF(ISNUMBER(SEARCH("H", 'WetLitterbags placem_collection'!Y203)),"YES","NO")</f>
        <v>NO</v>
      </c>
      <c r="AN862" t="str">
        <f>IF(ISNUMBER(SEARCH("R", 'WetLitterbags placem_collection'!Y203)),"YES","NO")</f>
        <v>NO</v>
      </c>
    </row>
    <row r="863" spans="1:40" ht="15" customHeight="1">
      <c r="A863" s="258" t="s">
        <v>2460</v>
      </c>
      <c r="B863" s="263">
        <f>'Dry_Litterbag Placem_Collection'!A204</f>
        <v>202</v>
      </c>
      <c r="C863" s="263" t="str">
        <f>'Dry_Litterbag Placem_Collection'!B204</f>
        <v>Maswa</v>
      </c>
      <c r="D863" s="263" t="s">
        <v>2659</v>
      </c>
      <c r="E863" s="263" t="s">
        <v>2526</v>
      </c>
      <c r="F863" s="263">
        <v>1</v>
      </c>
      <c r="G863" s="264" t="str">
        <f>'Dry_Litterbag Placem_Collection'!C204</f>
        <v>Dry_W2_CG1</v>
      </c>
      <c r="H863" s="273" t="s">
        <v>3651</v>
      </c>
      <c r="I863" s="274" t="s">
        <v>298</v>
      </c>
      <c r="J863" s="223" t="str">
        <f>'WetLitterbags placem_collection'!Q204</f>
        <v>R182</v>
      </c>
      <c r="K863" s="225">
        <f>IFERROR(INDEX('Green_rooibos initial weight'!$C$5:$C$1749,MATCH(J863, 'Green_rooibos initial weight'!$A$5:$A$1749,0)),"")</f>
        <v>2.161</v>
      </c>
      <c r="L863" s="225">
        <f>IFERROR(K863-(TBIcalc!$H$9+TBIcalc!$H$10),"")</f>
        <v>1.9112</v>
      </c>
      <c r="M863" s="391">
        <f>AVERAGE(Ashed_controlls!$K$12:$K$14)</f>
        <v>2.2816647271287041</v>
      </c>
      <c r="N863" s="225">
        <f t="shared" si="70"/>
        <v>1.8675928237351163</v>
      </c>
      <c r="O863" s="225">
        <f>IF(IFERROR(INDEX('Both teabags AfterWet'!$C$3:$C$841,MATCH(J863,'Both teabags AfterWet'!$A$3:$A$841,0)),"")="","",(IFERROR(INDEX('Both teabags AfterWet'!$C$3:$C$841,MATCH(J863,'Both teabags AfterWet'!$A$3:$A$841,0)),"")))</f>
        <v>1.679</v>
      </c>
      <c r="P863" s="225">
        <f>IFERROR(IF(O863&gt;0,O863-(TBIcalc!$H$9),""),"")</f>
        <v>1.5284</v>
      </c>
      <c r="Q863" s="225">
        <f>IFERROR(INDEX('Ashed teabags wet'!$K$2:$K$821,MATCH(J863,'Ashed teabags wet'!$A$2:$A$821,0)),"")</f>
        <v>3.9234919077970858</v>
      </c>
      <c r="R863" s="225">
        <f t="shared" si="73"/>
        <v>1.4684333496812294</v>
      </c>
      <c r="S863" s="226">
        <f>'WetLitterbags placem_collection'!E204</f>
        <v>42769</v>
      </c>
      <c r="T863" s="226">
        <f>IF('WetLitterbags placem_collection'!G204="","",'WetLitterbags placem_collection'!G204)</f>
        <v>42814</v>
      </c>
      <c r="U863" s="227">
        <f t="shared" si="74"/>
        <v>45</v>
      </c>
      <c r="V863" s="225">
        <f t="shared" si="71"/>
        <v>0.38280000000000003</v>
      </c>
      <c r="W863" s="225">
        <f t="shared" si="72"/>
        <v>0.39915947405388685</v>
      </c>
      <c r="X863">
        <f>IFERROR(INDEX(Rainfall_Wet!$O$2:$O$217,MATCH(B863, Rainfall_Wet!$A$2:$A$217,0)),"")</f>
        <v>175.377105089</v>
      </c>
      <c r="Y863" s="231">
        <v>45.272914521112256</v>
      </c>
      <c r="Z863" s="231">
        <v>23.604531410916575</v>
      </c>
      <c r="AA863" s="231">
        <v>31.122554067971166</v>
      </c>
      <c r="AB863" s="232" t="s">
        <v>2673</v>
      </c>
      <c r="AC863" s="231">
        <v>2.0547560374568752</v>
      </c>
      <c r="AD863">
        <f>IF('WetLitterbags placem_collection'!AB204="","",'WetLitterbags placem_collection'!AB204)</f>
        <v>13.8</v>
      </c>
      <c r="AE863">
        <f>IF('WetLitterbags placem_collection'!Z204="","",'WetLitterbags placem_collection'!Z204)</f>
        <v>17.399999999999999</v>
      </c>
      <c r="AF863" s="246" t="str">
        <f>IF('WetLitterbags placem_collection'!AA204="","",'WetLitterbags placem_collection'!AA204)</f>
        <v>O</v>
      </c>
      <c r="AG863">
        <f>IF('WetLitterbags placem_collection'!AC204="","",'WetLitterbags placem_collection'!AC204)</f>
        <v>1</v>
      </c>
      <c r="AH863">
        <f>AVERAGE('WetLitterbags placem_collection'!S204,'WetLitterbags placem_collection'!U204)</f>
        <v>20.65</v>
      </c>
      <c r="AI863">
        <f>AVERAGE('WetLitterbags placem_collection'!R204,'WetLitterbags placem_collection'!T204)</f>
        <v>24.1</v>
      </c>
      <c r="AJ863">
        <v>-2.439403972</v>
      </c>
      <c r="AK863">
        <v>34.838404959999998</v>
      </c>
      <c r="AL863" t="str">
        <f>IF(ISNUMBER(SEARCH("C", 'WetLitterbags placem_collection'!Y204)),"YES","NO")</f>
        <v>NO</v>
      </c>
      <c r="AM863" t="str">
        <f>IF(ISNUMBER(SEARCH("H", 'WetLitterbags placem_collection'!Y204)),"YES","NO")</f>
        <v>NO</v>
      </c>
      <c r="AN863" t="str">
        <f>IF(ISNUMBER(SEARCH("R", 'WetLitterbags placem_collection'!Y204)),"YES","NO")</f>
        <v>NO</v>
      </c>
    </row>
    <row r="864" spans="1:40" ht="15" customHeight="1">
      <c r="A864" s="258" t="s">
        <v>2460</v>
      </c>
      <c r="B864" s="263">
        <f>'Dry_Litterbag Placem_Collection'!A205</f>
        <v>203</v>
      </c>
      <c r="C864" s="263" t="str">
        <f>'Dry_Litterbag Placem_Collection'!B205</f>
        <v>Maswa</v>
      </c>
      <c r="D864" s="263" t="s">
        <v>2659</v>
      </c>
      <c r="E864" s="263" t="s">
        <v>2526</v>
      </c>
      <c r="F864" s="263">
        <v>2</v>
      </c>
      <c r="G864" s="264" t="str">
        <f>'Dry_Litterbag Placem_Collection'!C205</f>
        <v>Dry_W1_CG2</v>
      </c>
      <c r="H864" s="273" t="s">
        <v>3651</v>
      </c>
      <c r="I864" s="274" t="s">
        <v>298</v>
      </c>
      <c r="J864" s="223" t="str">
        <f>'WetLitterbags placem_collection'!Q205</f>
        <v>R342</v>
      </c>
      <c r="K864" s="225">
        <f>IFERROR(INDEX('Green_rooibos initial weight'!$C$5:$C$1749,MATCH(J864, 'Green_rooibos initial weight'!$A$5:$A$1749,0)),"")</f>
        <v>2.2450000000000001</v>
      </c>
      <c r="L864" s="225">
        <f>IFERROR(K864-(TBIcalc!$H$9+TBIcalc!$H$10),"")</f>
        <v>1.9952000000000001</v>
      </c>
      <c r="M864" s="391">
        <f>AVERAGE(Ashed_controlls!$K$12:$K$14)</f>
        <v>2.2816647271287041</v>
      </c>
      <c r="N864" s="225">
        <f t="shared" si="70"/>
        <v>1.9496762253643283</v>
      </c>
      <c r="O864" s="225">
        <f>IF(IFERROR(INDEX('Both teabags AfterWet'!$C$3:$C$841,MATCH(J864,'Both teabags AfterWet'!$A$3:$A$841,0)),"")="","",(IFERROR(INDEX('Both teabags AfterWet'!$C$3:$C$841,MATCH(J864,'Both teabags AfterWet'!$A$3:$A$841,0)),"")))</f>
        <v>1.5906</v>
      </c>
      <c r="P864" s="225">
        <f>IFERROR(IF(O864&gt;0,O864-(TBIcalc!$H$9),""),"")</f>
        <v>1.44</v>
      </c>
      <c r="Q864" s="225">
        <f>IFERROR(INDEX('Ashed teabags wet'!$K$2:$K$821,MATCH(J864,'Ashed teabags wet'!$A$2:$A$821,0)),"")</f>
        <v>3.642714570858145</v>
      </c>
      <c r="R864" s="225">
        <f t="shared" si="73"/>
        <v>1.3875449101796427</v>
      </c>
      <c r="S864" s="226">
        <f>'WetLitterbags placem_collection'!E205</f>
        <v>42769</v>
      </c>
      <c r="T864" s="226">
        <f>IF('WetLitterbags placem_collection'!G205="","",'WetLitterbags placem_collection'!G205)</f>
        <v>42814</v>
      </c>
      <c r="U864" s="227">
        <f t="shared" si="74"/>
        <v>45</v>
      </c>
      <c r="V864" s="225">
        <f t="shared" si="71"/>
        <v>0.55520000000000014</v>
      </c>
      <c r="W864" s="225">
        <f t="shared" si="72"/>
        <v>0.56213131518468562</v>
      </c>
      <c r="X864">
        <f>IFERROR(INDEX(Rainfall_Wet!$O$2:$O$217,MATCH(B864, Rainfall_Wet!$A$2:$A$217,0)),"")</f>
        <v>175.377105089</v>
      </c>
      <c r="Y864" s="231">
        <v>47.96</v>
      </c>
      <c r="Z864" s="231">
        <v>22.919999999999995</v>
      </c>
      <c r="AA864" s="231">
        <v>29.120000000000012</v>
      </c>
      <c r="AB864" s="232" t="s">
        <v>2673</v>
      </c>
      <c r="AC864" s="231">
        <v>2.8831936914736325</v>
      </c>
      <c r="AD864">
        <f>IF('WetLitterbags placem_collection'!AB205="","",'WetLitterbags placem_collection'!AB205)</f>
        <v>5.13</v>
      </c>
      <c r="AE864">
        <f>IF('WetLitterbags placem_collection'!Z205="","",'WetLitterbags placem_collection'!Z205)</f>
        <v>5.13</v>
      </c>
      <c r="AF864" s="246" t="str">
        <f>IF('WetLitterbags placem_collection'!AA205="","",'WetLitterbags placem_collection'!AA205)</f>
        <v>O</v>
      </c>
      <c r="AG864">
        <f>IF('WetLitterbags placem_collection'!AC205="","",'WetLitterbags placem_collection'!AC205)</f>
        <v>1</v>
      </c>
      <c r="AH864">
        <f>AVERAGE('WetLitterbags placem_collection'!S205,'WetLitterbags placem_collection'!U205)</f>
        <v>27</v>
      </c>
      <c r="AI864">
        <f>AVERAGE('WetLitterbags placem_collection'!R205,'WetLitterbags placem_collection'!T205)</f>
        <v>28.4</v>
      </c>
      <c r="AJ864">
        <v>-2.4396450349999999</v>
      </c>
      <c r="AK864">
        <v>34.83836599</v>
      </c>
      <c r="AL864" t="str">
        <f>IF(ISNUMBER(SEARCH("C", 'WetLitterbags placem_collection'!Y205)),"YES","NO")</f>
        <v>NO</v>
      </c>
      <c r="AM864" t="str">
        <f>IF(ISNUMBER(SEARCH("H", 'WetLitterbags placem_collection'!Y205)),"YES","NO")</f>
        <v>NO</v>
      </c>
      <c r="AN864" t="str">
        <f>IF(ISNUMBER(SEARCH("R", 'WetLitterbags placem_collection'!Y205)),"YES","NO")</f>
        <v>NO</v>
      </c>
    </row>
    <row r="865" spans="1:40" ht="15" customHeight="1">
      <c r="A865" s="258" t="s">
        <v>2460</v>
      </c>
      <c r="B865" s="263">
        <f>'Dry_Litterbag Placem_Collection'!A206</f>
        <v>204</v>
      </c>
      <c r="C865" s="263" t="str">
        <f>'Dry_Litterbag Placem_Collection'!B206</f>
        <v>Maswa</v>
      </c>
      <c r="D865" s="263" t="s">
        <v>2659</v>
      </c>
      <c r="E865" s="263" t="s">
        <v>2526</v>
      </c>
      <c r="F865" s="263">
        <v>3</v>
      </c>
      <c r="G865" s="264" t="str">
        <f>'Dry_Litterbag Placem_Collection'!C206</f>
        <v>Dry_W4_CG3</v>
      </c>
      <c r="H865" s="273" t="s">
        <v>3651</v>
      </c>
      <c r="I865" s="274" t="s">
        <v>298</v>
      </c>
      <c r="J865" s="223" t="str">
        <f>'WetLitterbags placem_collection'!Q206</f>
        <v>R139</v>
      </c>
      <c r="K865" s="225">
        <f>IFERROR(INDEX('Green_rooibos initial weight'!$C$5:$C$1749,MATCH(J865, 'Green_rooibos initial weight'!$A$5:$A$1749,0)),"")</f>
        <v>2.2829999999999999</v>
      </c>
      <c r="L865" s="225">
        <f>IFERROR(K865-(TBIcalc!$H$9+TBIcalc!$H$10),"")</f>
        <v>2.0331999999999999</v>
      </c>
      <c r="M865" s="391">
        <f>AVERAGE(Ashed_controlls!$K$12:$K$14)</f>
        <v>2.2816647271287041</v>
      </c>
      <c r="N865" s="225">
        <f t="shared" si="70"/>
        <v>1.9868091927680191</v>
      </c>
      <c r="O865" s="225">
        <f>IF(IFERROR(INDEX('Both teabags AfterWet'!$C$3:$C$841,MATCH(J865,'Both teabags AfterWet'!$A$3:$A$841,0)),"")="","",(IFERROR(INDEX('Both teabags AfterWet'!$C$3:$C$841,MATCH(J865,'Both teabags AfterWet'!$A$3:$A$841,0)),"")))</f>
        <v>1.6255999999999999</v>
      </c>
      <c r="P865" s="225">
        <f>IFERROR(IF(O865&gt;0,O865-(TBIcalc!$H$9),""),"")</f>
        <v>1.4749999999999999</v>
      </c>
      <c r="Q865" s="225">
        <f>IFERROR(INDEX('Ashed teabags wet'!$K$2:$K$821,MATCH(J865,'Ashed teabags wet'!$A$2:$A$821,0)),"")</f>
        <v>2.9484029484021739</v>
      </c>
      <c r="R865" s="225">
        <f t="shared" si="73"/>
        <v>1.4315110565110678</v>
      </c>
      <c r="S865" s="226">
        <f>'WetLitterbags placem_collection'!E206</f>
        <v>42769</v>
      </c>
      <c r="T865" s="226">
        <f>IF('WetLitterbags placem_collection'!G206="","",'WetLitterbags placem_collection'!G206)</f>
        <v>42813</v>
      </c>
      <c r="U865" s="227">
        <f t="shared" si="74"/>
        <v>44</v>
      </c>
      <c r="V865" s="225">
        <f t="shared" si="71"/>
        <v>0.55820000000000003</v>
      </c>
      <c r="W865" s="225">
        <f t="shared" si="72"/>
        <v>0.55529813625695135</v>
      </c>
      <c r="X865">
        <f>IFERROR(INDEX(Rainfall_Wet!$O$2:$O$217,MATCH(B865, Rainfall_Wet!$A$2:$A$217,0)),"")</f>
        <v>175.054685654</v>
      </c>
      <c r="Y865" s="231">
        <v>28.145762029394</v>
      </c>
      <c r="Z865" s="231">
        <v>25.085564727199518</v>
      </c>
      <c r="AA865" s="231">
        <v>46.768673243406489</v>
      </c>
      <c r="AB865" s="232" t="s">
        <v>2670</v>
      </c>
      <c r="AC865" s="231">
        <v>2.1716214884179394</v>
      </c>
      <c r="AD865">
        <f>IF('WetLitterbags placem_collection'!AB206="","",'WetLitterbags placem_collection'!AB206)</f>
        <v>7.9</v>
      </c>
      <c r="AE865">
        <f>IF('WetLitterbags placem_collection'!Z206="","",'WetLitterbags placem_collection'!Z206)</f>
        <v>7.9</v>
      </c>
      <c r="AF865" s="246" t="str">
        <f>IF('WetLitterbags placem_collection'!AA206="","",'WetLitterbags placem_collection'!AA206)</f>
        <v>O</v>
      </c>
      <c r="AG865">
        <f>IF('WetLitterbags placem_collection'!AC206="","",'WetLitterbags placem_collection'!AC206)</f>
        <v>1</v>
      </c>
      <c r="AH865">
        <f>AVERAGE('WetLitterbags placem_collection'!S206,'WetLitterbags placem_collection'!U206)</f>
        <v>21.6</v>
      </c>
      <c r="AI865">
        <f>AVERAGE('WetLitterbags placem_collection'!R206,'WetLitterbags placem_collection'!T206)</f>
        <v>30.950000000000003</v>
      </c>
      <c r="AJ865">
        <v>-2.4395990190000001</v>
      </c>
      <c r="AK865">
        <v>34.838418959999998</v>
      </c>
      <c r="AL865" t="str">
        <f>IF(ISNUMBER(SEARCH("C", 'WetLitterbags placem_collection'!Y206)),"YES","NO")</f>
        <v>NO</v>
      </c>
      <c r="AM865" t="str">
        <f>IF(ISNUMBER(SEARCH("H", 'WetLitterbags placem_collection'!Y206)),"YES","NO")</f>
        <v>NO</v>
      </c>
      <c r="AN865" t="str">
        <f>IF(ISNUMBER(SEARCH("R", 'WetLitterbags placem_collection'!Y206)),"YES","NO")</f>
        <v>NO</v>
      </c>
    </row>
    <row r="866" spans="1:40" ht="15" customHeight="1">
      <c r="A866" s="258" t="s">
        <v>2460</v>
      </c>
      <c r="B866" s="263">
        <f>'Dry_Litterbag Placem_Collection'!A207</f>
        <v>205</v>
      </c>
      <c r="C866" s="263" t="str">
        <f>'Dry_Litterbag Placem_Collection'!B207</f>
        <v xml:space="preserve">Mwantimba
</v>
      </c>
      <c r="D866" s="263" t="s">
        <v>2460</v>
      </c>
      <c r="E866" s="263" t="s">
        <v>2526</v>
      </c>
      <c r="F866" s="263">
        <v>2</v>
      </c>
      <c r="G866" s="264" t="str">
        <f>'Dry_Litterbag Placem_Collection'!C207</f>
        <v>Wet_Ag1_CG2</v>
      </c>
      <c r="H866" s="273" t="s">
        <v>3651</v>
      </c>
      <c r="I866" s="274" t="s">
        <v>298</v>
      </c>
      <c r="J866" s="223" t="str">
        <f>'WetLitterbags placem_collection'!Q207</f>
        <v>R92</v>
      </c>
      <c r="K866" s="225">
        <f>IFERROR(INDEX('Green_rooibos initial weight'!$C$5:$C$1749,MATCH(J866, 'Green_rooibos initial weight'!$A$5:$A$1749,0)),"")</f>
        <v>2.246</v>
      </c>
      <c r="L866" s="225">
        <f>IFERROR(K866-(TBIcalc!$H$9+TBIcalc!$H$10),"")</f>
        <v>1.9962</v>
      </c>
      <c r="M866" s="391">
        <f>AVERAGE(Ashed_controlls!$K$12:$K$14)</f>
        <v>2.2816647271287041</v>
      </c>
      <c r="N866" s="225">
        <f t="shared" si="70"/>
        <v>1.9506534087170568</v>
      </c>
      <c r="O866" s="225">
        <f>IF(IFERROR(INDEX('Both teabags AfterWet'!$C$3:$C$841,MATCH(J866,'Both teabags AfterWet'!$A$3:$A$841,0)),"")="","",(IFERROR(INDEX('Both teabags AfterWet'!$C$3:$C$841,MATCH(J866,'Both teabags AfterWet'!$A$3:$A$841,0)),"")))</f>
        <v>1.7204999999999999</v>
      </c>
      <c r="P866" s="225">
        <f>IFERROR(IF(O866&gt;0,O866-(TBIcalc!$H$9),""),"")</f>
        <v>1.5698999999999999</v>
      </c>
      <c r="Q866" s="225">
        <f>IFERROR(INDEX('Ashed teabags wet'!$K$2:$K$821,MATCH(J866,'Ashed teabags wet'!$A$2:$A$821,0)),"")</f>
        <v>4.6821094135039614</v>
      </c>
      <c r="R866" s="225">
        <f t="shared" si="73"/>
        <v>1.4963955643174012</v>
      </c>
      <c r="S866" s="226">
        <f>'WetLitterbags placem_collection'!E207</f>
        <v>42769</v>
      </c>
      <c r="T866" s="226">
        <f>IF('WetLitterbags placem_collection'!G207="","",'WetLitterbags placem_collection'!G207)</f>
        <v>42814</v>
      </c>
      <c r="U866" s="227">
        <f t="shared" si="74"/>
        <v>45</v>
      </c>
      <c r="V866" s="225">
        <f t="shared" si="71"/>
        <v>0.42630000000000012</v>
      </c>
      <c r="W866" s="225">
        <f t="shared" si="72"/>
        <v>0.45425784439965566</v>
      </c>
      <c r="X866">
        <f>IFERROR(INDEX(Rainfall_Wet!$O$2:$O$217,MATCH(B866, Rainfall_Wet!$A$2:$A$217,0)),"")</f>
        <v>175.377105089</v>
      </c>
      <c r="Y866" s="231">
        <v>45.96</v>
      </c>
      <c r="Z866" s="231">
        <v>14.920000000000003</v>
      </c>
      <c r="AA866" s="231">
        <v>39.119999999999997</v>
      </c>
      <c r="AB866" s="232" t="s">
        <v>2673</v>
      </c>
      <c r="AC866" s="231">
        <v>2.0374568753080333</v>
      </c>
      <c r="AD866">
        <f>IF('WetLitterbags placem_collection'!AB207="","",'WetLitterbags placem_collection'!AB207)</f>
        <v>5.13</v>
      </c>
      <c r="AE866">
        <f>IF('WetLitterbags placem_collection'!Z207="","",'WetLitterbags placem_collection'!Z207)</f>
        <v>5.13</v>
      </c>
      <c r="AF866" s="246" t="str">
        <f>IF('WetLitterbags placem_collection'!AA207="","",'WetLitterbags placem_collection'!AA207)</f>
        <v>O</v>
      </c>
      <c r="AG866">
        <f>IF('WetLitterbags placem_collection'!AC207="","",'WetLitterbags placem_collection'!AC207)</f>
        <v>1</v>
      </c>
      <c r="AH866">
        <f>AVERAGE('WetLitterbags placem_collection'!S207,'WetLitterbags placem_collection'!U207)</f>
        <v>24.45</v>
      </c>
      <c r="AI866">
        <f>AVERAGE('WetLitterbags placem_collection'!R207,'WetLitterbags placem_collection'!T207)</f>
        <v>26.299999999999997</v>
      </c>
      <c r="AJ866">
        <v>-2.4396450349999999</v>
      </c>
      <c r="AK866">
        <v>34.83836599</v>
      </c>
      <c r="AL866" t="str">
        <f>IF(ISNUMBER(SEARCH("C", 'WetLitterbags placem_collection'!Y207)),"YES","NO")</f>
        <v>NO</v>
      </c>
      <c r="AM866" t="str">
        <f>IF(ISNUMBER(SEARCH("H", 'WetLitterbags placem_collection'!Y207)),"YES","NO")</f>
        <v>NO</v>
      </c>
      <c r="AN866" t="str">
        <f>IF(ISNUMBER(SEARCH("R", 'WetLitterbags placem_collection'!Y207)),"YES","NO")</f>
        <v>NO</v>
      </c>
    </row>
    <row r="867" spans="1:40" ht="15" customHeight="1">
      <c r="A867" s="258" t="s">
        <v>2460</v>
      </c>
      <c r="B867" s="263">
        <f>'Dry_Litterbag Placem_Collection'!A208</f>
        <v>206</v>
      </c>
      <c r="C867" s="263" t="str">
        <f>'Dry_Litterbag Placem_Collection'!B208</f>
        <v xml:space="preserve">Mwantimba
</v>
      </c>
      <c r="D867" s="263" t="s">
        <v>2460</v>
      </c>
      <c r="E867" s="263" t="s">
        <v>2526</v>
      </c>
      <c r="F867" s="263">
        <v>1</v>
      </c>
      <c r="G867" s="264" t="str">
        <f>'Dry_Litterbag Placem_Collection'!C208</f>
        <v>Wet_Ag2_CG1</v>
      </c>
      <c r="H867" s="273" t="s">
        <v>3651</v>
      </c>
      <c r="I867" s="274" t="s">
        <v>298</v>
      </c>
      <c r="J867" s="223" t="str">
        <f>'WetLitterbags placem_collection'!Q208</f>
        <v>R328</v>
      </c>
      <c r="K867" s="225">
        <f>IFERROR(INDEX('Green_rooibos initial weight'!$C$5:$C$1749,MATCH(J867, 'Green_rooibos initial weight'!$A$5:$A$1749,0)),"")</f>
        <v>2.2549999999999999</v>
      </c>
      <c r="L867" s="225">
        <f>IFERROR(K867-(TBIcalc!$H$9+TBIcalc!$H$10),"")</f>
        <v>2.0051999999999999</v>
      </c>
      <c r="M867" s="391">
        <f>AVERAGE(Ashed_controlls!$K$12:$K$14)</f>
        <v>2.2816647271287041</v>
      </c>
      <c r="N867" s="225">
        <f t="shared" si="70"/>
        <v>1.959448058891615</v>
      </c>
      <c r="O867" s="225">
        <f>IF(IFERROR(INDEX('Both teabags AfterWet'!$C$3:$C$841,MATCH(J867,'Both teabags AfterWet'!$A$3:$A$841,0)),"")="","",(IFERROR(INDEX('Both teabags AfterWet'!$C$3:$C$841,MATCH(J867,'Both teabags AfterWet'!$A$3:$A$841,0)),"")))</f>
        <v>1.609</v>
      </c>
      <c r="P867" s="225">
        <f>IFERROR(IF(O867&gt;0,O867-(TBIcalc!$H$9),""),"")</f>
        <v>1.4583999999999999</v>
      </c>
      <c r="Q867" s="225">
        <f>IFERROR(INDEX('Ashed teabags wet'!$K$2:$K$821,MATCH(J867,'Ashed teabags wet'!$A$2:$A$821,0)),"")</f>
        <v>5.8794708476237458</v>
      </c>
      <c r="R867" s="225">
        <f t="shared" si="73"/>
        <v>1.3726537971582553</v>
      </c>
      <c r="S867" s="226">
        <f>'WetLitterbags placem_collection'!E208</f>
        <v>42769</v>
      </c>
      <c r="T867" s="226">
        <f>IF('WetLitterbags placem_collection'!G208="","",'WetLitterbags placem_collection'!G208)</f>
        <v>42814</v>
      </c>
      <c r="U867" s="227">
        <f t="shared" si="74"/>
        <v>45</v>
      </c>
      <c r="V867" s="225">
        <f t="shared" si="71"/>
        <v>0.54679999999999995</v>
      </c>
      <c r="W867" s="225">
        <f t="shared" si="72"/>
        <v>0.58679426173335969</v>
      </c>
      <c r="X867">
        <f>IFERROR(INDEX(Rainfall_Wet!$O$2:$O$217,MATCH(B867, Rainfall_Wet!$A$2:$A$217,0)),"")</f>
        <v>175.377105089</v>
      </c>
      <c r="Y867" s="231">
        <v>34.344660194174757</v>
      </c>
      <c r="Z867" s="231">
        <v>19.22727272727273</v>
      </c>
      <c r="AA867" s="231">
        <v>46.428067078552509</v>
      </c>
      <c r="AB867" s="232" t="s">
        <v>2670</v>
      </c>
      <c r="AC867" s="231">
        <v>1.7452932479053718</v>
      </c>
      <c r="AD867">
        <f>IF('WetLitterbags placem_collection'!AB208="","",'WetLitterbags placem_collection'!AB208)</f>
        <v>13.8</v>
      </c>
      <c r="AE867">
        <f>IF('WetLitterbags placem_collection'!Z208="","",'WetLitterbags placem_collection'!Z208)</f>
        <v>17.399999999999999</v>
      </c>
      <c r="AF867" s="246" t="str">
        <f>IF('WetLitterbags placem_collection'!AA208="","",'WetLitterbags placem_collection'!AA208)</f>
        <v>O</v>
      </c>
      <c r="AG867">
        <f>IF('WetLitterbags placem_collection'!AC208="","",'WetLitterbags placem_collection'!AC208)</f>
        <v>1</v>
      </c>
      <c r="AH867">
        <f>AVERAGE('WetLitterbags placem_collection'!S208,'WetLitterbags placem_collection'!U208)</f>
        <v>19.05</v>
      </c>
      <c r="AI867">
        <f>AVERAGE('WetLitterbags placem_collection'!R208,'WetLitterbags placem_collection'!T208)</f>
        <v>24.15</v>
      </c>
      <c r="AJ867">
        <v>-2.439403972</v>
      </c>
      <c r="AK867">
        <v>34.838404959999998</v>
      </c>
      <c r="AL867" t="str">
        <f>IF(ISNUMBER(SEARCH("C", 'WetLitterbags placem_collection'!Y208)),"YES","NO")</f>
        <v>NO</v>
      </c>
      <c r="AM867" t="str">
        <f>IF(ISNUMBER(SEARCH("H", 'WetLitterbags placem_collection'!Y208)),"YES","NO")</f>
        <v>NO</v>
      </c>
      <c r="AN867" t="str">
        <f>IF(ISNUMBER(SEARCH("R", 'WetLitterbags placem_collection'!Y208)),"YES","NO")</f>
        <v>YES</v>
      </c>
    </row>
    <row r="868" spans="1:40" ht="15" customHeight="1">
      <c r="A868" s="258" t="s">
        <v>2460</v>
      </c>
      <c r="B868" s="263">
        <f>'Dry_Litterbag Placem_Collection'!A209</f>
        <v>207</v>
      </c>
      <c r="C868" s="263" t="str">
        <f>'Dry_Litterbag Placem_Collection'!B209</f>
        <v xml:space="preserve">Mwantimba
</v>
      </c>
      <c r="D868" s="263" t="s">
        <v>2460</v>
      </c>
      <c r="E868" s="263" t="s">
        <v>2526</v>
      </c>
      <c r="F868" s="263">
        <v>4</v>
      </c>
      <c r="G868" s="264" t="str">
        <f>'Dry_Litterbag Placem_Collection'!C209</f>
        <v>Wet_Ag3_CG4</v>
      </c>
      <c r="H868" s="273" t="s">
        <v>3651</v>
      </c>
      <c r="I868" s="274" t="s">
        <v>298</v>
      </c>
      <c r="J868" s="223" t="str">
        <f>'WetLitterbags placem_collection'!Q209</f>
        <v>R149</v>
      </c>
      <c r="K868" s="225">
        <f>IFERROR(INDEX('Green_rooibos initial weight'!$C$5:$C$1749,MATCH(J868, 'Green_rooibos initial weight'!$A$5:$A$1749,0)),"")</f>
        <v>2.2400000000000002</v>
      </c>
      <c r="L868" s="225">
        <f>IFERROR(K868-(TBIcalc!$H$9+TBIcalc!$H$10),"")</f>
        <v>1.9902000000000002</v>
      </c>
      <c r="M868" s="391">
        <f>AVERAGE(Ashed_controlls!$K$12:$K$14)</f>
        <v>2.2816647271287041</v>
      </c>
      <c r="N868" s="225">
        <f t="shared" si="70"/>
        <v>1.9447903086006848</v>
      </c>
      <c r="O868" s="225">
        <f>IF(IFERROR(INDEX('Both teabags AfterWet'!$C$3:$C$841,MATCH(J868,'Both teabags AfterWet'!$A$3:$A$841,0)),"")="","",(IFERROR(INDEX('Both teabags AfterWet'!$C$3:$C$841,MATCH(J868,'Both teabags AfterWet'!$A$3:$A$841,0)),"")))</f>
        <v>1.401</v>
      </c>
      <c r="P868" s="225">
        <f>IFERROR(IF(O868&gt;0,O868-(TBIcalc!$H$9),""),"")</f>
        <v>1.2504</v>
      </c>
      <c r="Q868" s="225">
        <f>IFERROR(INDEX('Ashed teabags wet'!$K$2:$K$821,MATCH(J868,'Ashed teabags wet'!$A$2:$A$821,0)),"")</f>
        <v>9.4146341463411449</v>
      </c>
      <c r="R868" s="225">
        <f t="shared" si="73"/>
        <v>1.1326794146341503</v>
      </c>
      <c r="S868" s="226">
        <f>'WetLitterbags placem_collection'!E209</f>
        <v>42769</v>
      </c>
      <c r="T868" s="226">
        <f>IF('WetLitterbags placem_collection'!G209="","",'WetLitterbags placem_collection'!G209)</f>
        <v>42813</v>
      </c>
      <c r="U868" s="227">
        <f t="shared" si="74"/>
        <v>44</v>
      </c>
      <c r="V868" s="225">
        <f t="shared" si="71"/>
        <v>0.73980000000000024</v>
      </c>
      <c r="W868" s="225">
        <f t="shared" si="72"/>
        <v>0.81211089396653446</v>
      </c>
      <c r="X868">
        <f>IFERROR(INDEX(Rainfall_Wet!$O$2:$O$217,MATCH(B868, Rainfall_Wet!$A$2:$A$217,0)),"")</f>
        <v>175.054685654</v>
      </c>
      <c r="Y868" s="231">
        <v>27.96</v>
      </c>
      <c r="Z868" s="231">
        <v>4.9200000000000017</v>
      </c>
      <c r="AA868" s="231">
        <v>67.12</v>
      </c>
      <c r="AB868" s="232" t="s">
        <v>2670</v>
      </c>
      <c r="AC868" s="231">
        <v>0.88610152784622953</v>
      </c>
      <c r="AD868">
        <f>IF('WetLitterbags placem_collection'!AB209="","",'WetLitterbags placem_collection'!AB209)</f>
        <v>15.2</v>
      </c>
      <c r="AE868">
        <f>IF('WetLitterbags placem_collection'!Z209="","",'WetLitterbags placem_collection'!Z209)</f>
        <v>12.2</v>
      </c>
      <c r="AF868" s="246" t="str">
        <f>IF('WetLitterbags placem_collection'!AA209="","",'WetLitterbags placem_collection'!AA209)</f>
        <v>O</v>
      </c>
      <c r="AG868">
        <f>IF('WetLitterbags placem_collection'!AC209="","",'WetLitterbags placem_collection'!AC209)</f>
        <v>1</v>
      </c>
      <c r="AH868">
        <f>AVERAGE('WetLitterbags placem_collection'!S209,'WetLitterbags placem_collection'!U209)</f>
        <v>19.8</v>
      </c>
      <c r="AI868">
        <f>AVERAGE('WetLitterbags placem_collection'!R209,'WetLitterbags placem_collection'!T209)</f>
        <v>29.05</v>
      </c>
      <c r="AJ868">
        <v>-2.4396949910000001</v>
      </c>
      <c r="AK868">
        <v>34.838574029999997</v>
      </c>
      <c r="AL868" t="str">
        <f>IF(ISNUMBER(SEARCH("C", 'WetLitterbags placem_collection'!Y209)),"YES","NO")</f>
        <v>NO</v>
      </c>
      <c r="AM868" t="str">
        <f>IF(ISNUMBER(SEARCH("H", 'WetLitterbags placem_collection'!Y209)),"YES","NO")</f>
        <v>NO</v>
      </c>
      <c r="AN868" t="str">
        <f>IF(ISNUMBER(SEARCH("R", 'WetLitterbags placem_collection'!Y209)),"YES","NO")</f>
        <v>NO</v>
      </c>
    </row>
    <row r="869" spans="1:40" ht="15" customHeight="1">
      <c r="A869" s="258" t="s">
        <v>2460</v>
      </c>
      <c r="B869" s="263">
        <f>'Dry_Litterbag Placem_Collection'!A210</f>
        <v>208</v>
      </c>
      <c r="C869" s="263" t="str">
        <f>'Dry_Litterbag Placem_Collection'!B210</f>
        <v xml:space="preserve">Mwantimba
</v>
      </c>
      <c r="D869" s="263" t="s">
        <v>2460</v>
      </c>
      <c r="E869" s="263" t="s">
        <v>2526</v>
      </c>
      <c r="F869" s="263">
        <v>3</v>
      </c>
      <c r="G869" s="264" t="str">
        <f>'Dry_Litterbag Placem_Collection'!C210</f>
        <v>Wet_Ag4_CG3</v>
      </c>
      <c r="H869" s="273" t="s">
        <v>3651</v>
      </c>
      <c r="I869" s="274" t="s">
        <v>298</v>
      </c>
      <c r="J869" s="223" t="str">
        <f>'WetLitterbags placem_collection'!Q210</f>
        <v>R449</v>
      </c>
      <c r="K869" s="225">
        <f>IFERROR(INDEX('Green_rooibos initial weight'!$C$5:$C$1749,MATCH(J869, 'Green_rooibos initial weight'!$A$5:$A$1749,0)),"")</f>
        <v>2.2709999999999999</v>
      </c>
      <c r="L869" s="225">
        <f>IFERROR(K869-(TBIcalc!$H$9+TBIcalc!$H$10),"")</f>
        <v>2.0211999999999999</v>
      </c>
      <c r="M869" s="391">
        <f>AVERAGE(Ashed_controlls!$K$12:$K$14)</f>
        <v>2.2816647271287041</v>
      </c>
      <c r="N869" s="225">
        <f t="shared" si="70"/>
        <v>1.9750829925352744</v>
      </c>
      <c r="O869" s="225">
        <f>IF(IFERROR(INDEX('Both teabags AfterWet'!$C$3:$C$841,MATCH(J869,'Both teabags AfterWet'!$A$3:$A$841,0)),"")="","",(IFERROR(INDEX('Both teabags AfterWet'!$C$3:$C$841,MATCH(J869,'Both teabags AfterWet'!$A$3:$A$841,0)),"")))</f>
        <v>1.611</v>
      </c>
      <c r="P869" s="225">
        <f>IFERROR(IF(O869&gt;0,O869-(TBIcalc!$H$9),""),"")</f>
        <v>1.4603999999999999</v>
      </c>
      <c r="Q869" s="225">
        <f>IFERROR(INDEX('Ashed teabags wet'!$K$2:$K$821,MATCH(J869,'Ashed teabags wet'!$A$2:$A$821,0)),"")</f>
        <v>7.5425790754251629</v>
      </c>
      <c r="R869" s="225">
        <f t="shared" si="73"/>
        <v>1.3502481751824909</v>
      </c>
      <c r="S869" s="226">
        <f>'WetLitterbags placem_collection'!E210</f>
        <v>42769</v>
      </c>
      <c r="T869" s="226">
        <f>IF('WetLitterbags placem_collection'!G210="","",'WetLitterbags placem_collection'!G210)</f>
        <v>42813</v>
      </c>
      <c r="U869" s="227">
        <f t="shared" si="74"/>
        <v>44</v>
      </c>
      <c r="V869" s="225">
        <f t="shared" si="71"/>
        <v>0.56079999999999997</v>
      </c>
      <c r="W869" s="225">
        <f t="shared" si="72"/>
        <v>0.62483481735278357</v>
      </c>
      <c r="X869">
        <f>IFERROR(INDEX(Rainfall_Wet!$O$2:$O$217,MATCH(B869, Rainfall_Wet!$A$2:$A$217,0)),"")</f>
        <v>175.054685654</v>
      </c>
      <c r="Y869" s="231">
        <v>17.96</v>
      </c>
      <c r="Z869" s="231">
        <v>4.9199999999999982</v>
      </c>
      <c r="AA869" s="231">
        <v>77.12</v>
      </c>
      <c r="AB869" s="232" t="s">
        <v>2671</v>
      </c>
      <c r="AC869" s="231">
        <v>2.0220798422868409</v>
      </c>
      <c r="AD869">
        <f>IF('WetLitterbags placem_collection'!AB210="","",'WetLitterbags placem_collection'!AB210)</f>
        <v>7.9</v>
      </c>
      <c r="AE869">
        <f>IF('WetLitterbags placem_collection'!Z210="","",'WetLitterbags placem_collection'!Z210)</f>
        <v>7.9</v>
      </c>
      <c r="AF869" s="246" t="str">
        <f>IF('WetLitterbags placem_collection'!AA210="","",'WetLitterbags placem_collection'!AA210)</f>
        <v>O</v>
      </c>
      <c r="AG869">
        <f>IF('WetLitterbags placem_collection'!AC210="","",'WetLitterbags placem_collection'!AC210)</f>
        <v>1</v>
      </c>
      <c r="AH869">
        <f>AVERAGE('WetLitterbags placem_collection'!S210,'WetLitterbags placem_collection'!U210)</f>
        <v>22.200000000000003</v>
      </c>
      <c r="AI869">
        <f>AVERAGE('WetLitterbags placem_collection'!R210,'WetLitterbags placem_collection'!T210)</f>
        <v>27.45</v>
      </c>
      <c r="AJ869">
        <v>-2.4395990190000001</v>
      </c>
      <c r="AK869">
        <v>34.838418959999998</v>
      </c>
      <c r="AL869" t="str">
        <f>IF(ISNUMBER(SEARCH("C", 'WetLitterbags placem_collection'!Y210)),"YES","NO")</f>
        <v>NO</v>
      </c>
      <c r="AM869" t="str">
        <f>IF(ISNUMBER(SEARCH("H", 'WetLitterbags placem_collection'!Y210)),"YES","NO")</f>
        <v>NO</v>
      </c>
      <c r="AN869" t="str">
        <f>IF(ISNUMBER(SEARCH("R", 'WetLitterbags placem_collection'!Y210)),"YES","NO")</f>
        <v>YES</v>
      </c>
    </row>
    <row r="870" spans="1:40" ht="15" customHeight="1">
      <c r="A870" s="258" t="s">
        <v>2460</v>
      </c>
      <c r="B870" s="263">
        <f>'Dry_Litterbag Placem_Collection'!A211</f>
        <v>209</v>
      </c>
      <c r="C870" s="263" t="str">
        <f>'Dry_Litterbag Placem_Collection'!B211</f>
        <v xml:space="preserve">Mwantimba
</v>
      </c>
      <c r="D870" s="263" t="s">
        <v>2460</v>
      </c>
      <c r="E870" s="263" t="s">
        <v>2526</v>
      </c>
      <c r="F870" s="263">
        <v>2</v>
      </c>
      <c r="G870" s="264" t="str">
        <f>'Dry_Litterbag Placem_Collection'!C211</f>
        <v>Wet_P1_CG2</v>
      </c>
      <c r="H870" s="273" t="s">
        <v>3651</v>
      </c>
      <c r="I870" s="274" t="s">
        <v>298</v>
      </c>
      <c r="J870" s="223" t="str">
        <f>'WetLitterbags placem_collection'!Q211</f>
        <v>R142</v>
      </c>
      <c r="K870" s="225">
        <f>IFERROR(INDEX('Green_rooibos initial weight'!$C$5:$C$1749,MATCH(J870, 'Green_rooibos initial weight'!$A$5:$A$1749,0)),"")</f>
        <v>2.0870000000000002</v>
      </c>
      <c r="L870" s="225">
        <f>IFERROR(K870-(TBIcalc!$H$9+TBIcalc!$H$10),"")</f>
        <v>1.8372000000000002</v>
      </c>
      <c r="M870" s="391">
        <f>AVERAGE(Ashed_controlls!$K$12:$K$14)</f>
        <v>2.2816647271287041</v>
      </c>
      <c r="N870" s="225">
        <f t="shared" si="70"/>
        <v>1.7952812556331916</v>
      </c>
      <c r="O870" s="225">
        <f>IF(IFERROR(INDEX('Both teabags AfterWet'!$C$3:$C$841,MATCH(J870,'Both teabags AfterWet'!$A$3:$A$841,0)),"")="","",(IFERROR(INDEX('Both teabags AfterWet'!$C$3:$C$841,MATCH(J870,'Both teabags AfterWet'!$A$3:$A$841,0)),"")))</f>
        <v>1.5780000000000001</v>
      </c>
      <c r="P870" s="225">
        <f>IFERROR(IF(O870&gt;0,O870-(TBIcalc!$H$9),""),"")</f>
        <v>1.4274</v>
      </c>
      <c r="Q870" s="225">
        <f>IFERROR(INDEX('Ashed teabags wet'!$K$2:$K$821,MATCH(J870,'Ashed teabags wet'!$A$2:$A$821,0)),"")</f>
        <v>6.2620423892102917</v>
      </c>
      <c r="R870" s="225">
        <f t="shared" si="73"/>
        <v>1.3380156069364122</v>
      </c>
      <c r="S870" s="226">
        <f>'WetLitterbags placem_collection'!E211</f>
        <v>42769</v>
      </c>
      <c r="T870" s="226">
        <f>IF('WetLitterbags placem_collection'!G211="","",'WetLitterbags placem_collection'!G211)</f>
        <v>42814</v>
      </c>
      <c r="U870" s="227">
        <f t="shared" si="74"/>
        <v>45</v>
      </c>
      <c r="V870" s="225">
        <f t="shared" si="71"/>
        <v>0.40980000000000016</v>
      </c>
      <c r="W870" s="225">
        <f t="shared" si="72"/>
        <v>0.45726564869677944</v>
      </c>
      <c r="X870">
        <f>IFERROR(INDEX(Rainfall_Wet!$O$2:$O$217,MATCH(B870, Rainfall_Wet!$A$2:$A$217,0)),"")</f>
        <v>175.377105089</v>
      </c>
      <c r="Y870" s="231">
        <v>31.214836424255054</v>
      </c>
      <c r="Z870" s="231">
        <v>11.377370285476141</v>
      </c>
      <c r="AA870" s="231">
        <v>57.407793290268799</v>
      </c>
      <c r="AB870" s="232" t="s">
        <v>2670</v>
      </c>
      <c r="AC870" s="231">
        <v>1.7337604731394776</v>
      </c>
      <c r="AD870">
        <f>IF('WetLitterbags placem_collection'!AB211="","",'WetLitterbags placem_collection'!AB211)</f>
        <v>5.13</v>
      </c>
      <c r="AE870">
        <f>IF('WetLitterbags placem_collection'!Z211="","",'WetLitterbags placem_collection'!Z211)</f>
        <v>5.13</v>
      </c>
      <c r="AF870" s="246" t="str">
        <f>IF('WetLitterbags placem_collection'!AA211="","",'WetLitterbags placem_collection'!AA211)</f>
        <v>O</v>
      </c>
      <c r="AG870">
        <f>IF('WetLitterbags placem_collection'!AC211="","",'WetLitterbags placem_collection'!AC211)</f>
        <v>1</v>
      </c>
      <c r="AH870">
        <f>AVERAGE('WetLitterbags placem_collection'!S211,'WetLitterbags placem_collection'!U211)</f>
        <v>24.5</v>
      </c>
      <c r="AI870">
        <f>AVERAGE('WetLitterbags placem_collection'!R211,'WetLitterbags placem_collection'!T211)</f>
        <v>24.4</v>
      </c>
      <c r="AJ870">
        <v>-2.4396450349999999</v>
      </c>
      <c r="AK870">
        <v>34.83836599</v>
      </c>
      <c r="AL870" t="str">
        <f>IF(ISNUMBER(SEARCH("C", 'WetLitterbags placem_collection'!Y211)),"YES","NO")</f>
        <v>NO</v>
      </c>
      <c r="AM870" t="str">
        <f>IF(ISNUMBER(SEARCH("H", 'WetLitterbags placem_collection'!Y211)),"YES","NO")</f>
        <v>NO</v>
      </c>
      <c r="AN870" t="str">
        <f>IF(ISNUMBER(SEARCH("R", 'WetLitterbags placem_collection'!Y211)),"YES","NO")</f>
        <v>YES</v>
      </c>
    </row>
    <row r="871" spans="1:40" ht="15" customHeight="1">
      <c r="A871" s="258" t="s">
        <v>2460</v>
      </c>
      <c r="B871" s="263">
        <f>'Dry_Litterbag Placem_Collection'!A212</f>
        <v>210</v>
      </c>
      <c r="C871" s="263" t="str">
        <f>'Dry_Litterbag Placem_Collection'!B212</f>
        <v xml:space="preserve">Mwantimba
</v>
      </c>
      <c r="D871" s="263" t="s">
        <v>2460</v>
      </c>
      <c r="E871" s="263" t="s">
        <v>2526</v>
      </c>
      <c r="F871" s="263">
        <v>4</v>
      </c>
      <c r="G871" s="264" t="str">
        <f>'Dry_Litterbag Placem_Collection'!C212</f>
        <v>Wet_P2_CG4</v>
      </c>
      <c r="H871" s="273" t="s">
        <v>3651</v>
      </c>
      <c r="I871" s="274" t="s">
        <v>298</v>
      </c>
      <c r="J871" s="223" t="str">
        <f>'WetLitterbags placem_collection'!Q212</f>
        <v>R392</v>
      </c>
      <c r="K871" s="225">
        <f>IFERROR(INDEX('Green_rooibos initial weight'!$C$5:$C$1749,MATCH(J871, 'Green_rooibos initial weight'!$A$5:$A$1749,0)),"")</f>
        <v>2.2309999999999999</v>
      </c>
      <c r="L871" s="225">
        <f>IFERROR(K871-(TBIcalc!$H$9+TBIcalc!$H$10),"")</f>
        <v>1.9811999999999999</v>
      </c>
      <c r="M871" s="391">
        <f>AVERAGE(Ashed_controlls!$K$12:$K$14)</f>
        <v>2.2816647271287041</v>
      </c>
      <c r="N871" s="225">
        <f t="shared" si="70"/>
        <v>1.935995658426126</v>
      </c>
      <c r="O871" s="225">
        <f>IF(IFERROR(INDEX('Both teabags AfterWet'!$C$3:$C$841,MATCH(J871,'Both teabags AfterWet'!$A$3:$A$841,0)),"")="","",(IFERROR(INDEX('Both teabags AfterWet'!$C$3:$C$841,MATCH(J871,'Both teabags AfterWet'!$A$3:$A$841,0)),"")))</f>
        <v>1.6165</v>
      </c>
      <c r="P871" s="225">
        <f>IFERROR(IF(O871&gt;0,O871-(TBIcalc!$H$9),""),"")</f>
        <v>1.4659</v>
      </c>
      <c r="Q871" s="225">
        <f>IFERROR(INDEX('Ashed teabags wet'!$K$2:$K$821,MATCH(J871,'Ashed teabags wet'!$A$2:$A$821,0)),"")</f>
        <v>8.4810733109723397</v>
      </c>
      <c r="R871" s="225">
        <f t="shared" si="73"/>
        <v>1.3415759463344565</v>
      </c>
      <c r="S871" s="226">
        <f>'WetLitterbags placem_collection'!E212</f>
        <v>42769</v>
      </c>
      <c r="T871" s="226">
        <f>IF('WetLitterbags placem_collection'!G212="","",'WetLitterbags placem_collection'!G212)</f>
        <v>42813</v>
      </c>
      <c r="U871" s="227">
        <f t="shared" si="74"/>
        <v>44</v>
      </c>
      <c r="V871" s="225">
        <f t="shared" si="71"/>
        <v>0.51529999999999987</v>
      </c>
      <c r="W871" s="225">
        <f t="shared" si="72"/>
        <v>0.59441971209166944</v>
      </c>
      <c r="X871">
        <f>IFERROR(INDEX(Rainfall_Wet!$O$2:$O$217,MATCH(B871, Rainfall_Wet!$A$2:$A$217,0)),"")</f>
        <v>175.054685654</v>
      </c>
      <c r="Y871" s="231">
        <v>33.96</v>
      </c>
      <c r="Z871" s="231">
        <v>8.9200000000000017</v>
      </c>
      <c r="AA871" s="231">
        <v>57.12</v>
      </c>
      <c r="AB871" s="232" t="s">
        <v>2670</v>
      </c>
      <c r="AC871" s="231">
        <v>2.072055199605717</v>
      </c>
      <c r="AD871">
        <f>IF('WetLitterbags placem_collection'!AB212="","",'WetLitterbags placem_collection'!AB212)</f>
        <v>15.2</v>
      </c>
      <c r="AE871">
        <f>IF('WetLitterbags placem_collection'!Z212="","",'WetLitterbags placem_collection'!Z212)</f>
        <v>12.2</v>
      </c>
      <c r="AF871" s="246" t="str">
        <f>IF('WetLitterbags placem_collection'!AA212="","",'WetLitterbags placem_collection'!AA212)</f>
        <v>O</v>
      </c>
      <c r="AG871">
        <f>IF('WetLitterbags placem_collection'!AC212="","",'WetLitterbags placem_collection'!AC212)</f>
        <v>1</v>
      </c>
      <c r="AH871">
        <f>AVERAGE('WetLitterbags placem_collection'!S212,'WetLitterbags placem_collection'!U212)</f>
        <v>22.4</v>
      </c>
      <c r="AI871">
        <f>AVERAGE('WetLitterbags placem_collection'!R212,'WetLitterbags placem_collection'!T212)</f>
        <v>28.400000000000002</v>
      </c>
      <c r="AJ871">
        <v>-2.4396949910000001</v>
      </c>
      <c r="AK871">
        <v>34.838574029999997</v>
      </c>
      <c r="AL871" t="str">
        <f>IF(ISNUMBER(SEARCH("C", 'WetLitterbags placem_collection'!Y212)),"YES","NO")</f>
        <v>NO</v>
      </c>
      <c r="AM871" t="str">
        <f>IF(ISNUMBER(SEARCH("H", 'WetLitterbags placem_collection'!Y212)),"YES","NO")</f>
        <v>NO</v>
      </c>
      <c r="AN871" t="str">
        <f>IF(ISNUMBER(SEARCH("R", 'WetLitterbags placem_collection'!Y212)),"YES","NO")</f>
        <v>NO</v>
      </c>
    </row>
    <row r="872" spans="1:40" ht="15" customHeight="1">
      <c r="A872" s="258" t="s">
        <v>2460</v>
      </c>
      <c r="B872" s="263">
        <f>'Dry_Litterbag Placem_Collection'!A213</f>
        <v>211</v>
      </c>
      <c r="C872" s="263" t="str">
        <f>'Dry_Litterbag Placem_Collection'!B213</f>
        <v xml:space="preserve">Mwantimba
</v>
      </c>
      <c r="D872" s="263" t="s">
        <v>2460</v>
      </c>
      <c r="E872" s="263" t="s">
        <v>2526</v>
      </c>
      <c r="F872" s="263">
        <v>1</v>
      </c>
      <c r="G872" s="264" t="str">
        <f>'Dry_Litterbag Placem_Collection'!C213</f>
        <v>Wet_P3_CG1</v>
      </c>
      <c r="H872" s="273" t="s">
        <v>3651</v>
      </c>
      <c r="I872" s="274" t="s">
        <v>298</v>
      </c>
      <c r="J872" s="223" t="str">
        <f>'WetLitterbags placem_collection'!Q213</f>
        <v>R589</v>
      </c>
      <c r="K872" s="225">
        <f>IFERROR(INDEX('Green_rooibos initial weight'!$C$5:$C$1749,MATCH(J872, 'Green_rooibos initial weight'!$A$5:$A$1749,0)),"")</f>
        <v>2.157</v>
      </c>
      <c r="L872" s="225">
        <f>IFERROR(K872-(TBIcalc!$H$9+TBIcalc!$H$10),"")</f>
        <v>1.9072</v>
      </c>
      <c r="M872" s="391">
        <f>AVERAGE(Ashed_controlls!$K$12:$K$14)</f>
        <v>2.2816647271287041</v>
      </c>
      <c r="N872" s="225">
        <f t="shared" si="70"/>
        <v>1.8636840903242013</v>
      </c>
      <c r="O872" s="225">
        <f>IF(IFERROR(INDEX('Both teabags AfterWet'!$C$3:$C$841,MATCH(J872,'Both teabags AfterWet'!$A$3:$A$841,0)),"")="","",(IFERROR(INDEX('Both teabags AfterWet'!$C$3:$C$841,MATCH(J872,'Both teabags AfterWet'!$A$3:$A$841,0)),"")))</f>
        <v>1.5489999999999999</v>
      </c>
      <c r="P872" s="225">
        <f>IFERROR(IF(O872&gt;0,O872-(TBIcalc!$H$9),""),"")</f>
        <v>1.3983999999999999</v>
      </c>
      <c r="Q872" s="225">
        <f>IFERROR(INDEX('Ashed teabags wet'!$K$2:$K$821,MATCH(J872,'Ashed teabags wet'!$A$2:$A$821,0)),"")</f>
        <v>7.414730598121813</v>
      </c>
      <c r="R872" s="225">
        <f t="shared" si="73"/>
        <v>1.2947124073158645</v>
      </c>
      <c r="S872" s="226">
        <f>'WetLitterbags placem_collection'!E213</f>
        <v>42769</v>
      </c>
      <c r="T872" s="226">
        <f>IF('WetLitterbags placem_collection'!G213="","",'WetLitterbags placem_collection'!G213)</f>
        <v>42814</v>
      </c>
      <c r="U872" s="227">
        <f t="shared" si="74"/>
        <v>45</v>
      </c>
      <c r="V872" s="225">
        <f t="shared" si="71"/>
        <v>0.50880000000000014</v>
      </c>
      <c r="W872" s="225">
        <f t="shared" si="72"/>
        <v>0.56897168300833689</v>
      </c>
      <c r="X872">
        <f>IFERROR(INDEX(Rainfall_Wet!$O$2:$O$217,MATCH(B872, Rainfall_Wet!$A$2:$A$217,0)),"")</f>
        <v>175.377105089</v>
      </c>
      <c r="Y872" s="231">
        <v>39.96</v>
      </c>
      <c r="Z872" s="231">
        <v>12.920000000000002</v>
      </c>
      <c r="AA872" s="231">
        <v>47.12</v>
      </c>
      <c r="AB872" s="232" t="s">
        <v>2674</v>
      </c>
      <c r="AC872" s="231">
        <v>1.6549531789058647</v>
      </c>
      <c r="AD872">
        <f>IF('WetLitterbags placem_collection'!AB213="","",'WetLitterbags placem_collection'!AB213)</f>
        <v>13.8</v>
      </c>
      <c r="AE872">
        <f>IF('WetLitterbags placem_collection'!Z213="","",'WetLitterbags placem_collection'!Z213)</f>
        <v>17.399999999999999</v>
      </c>
      <c r="AF872" s="246" t="str">
        <f>IF('WetLitterbags placem_collection'!AA213="","",'WetLitterbags placem_collection'!AA213)</f>
        <v>O</v>
      </c>
      <c r="AG872">
        <f>IF('WetLitterbags placem_collection'!AC213="","",'WetLitterbags placem_collection'!AC213)</f>
        <v>1</v>
      </c>
      <c r="AH872">
        <f>AVERAGE('WetLitterbags placem_collection'!S213,'WetLitterbags placem_collection'!U213)</f>
        <v>16.850000000000001</v>
      </c>
      <c r="AI872">
        <f>AVERAGE('WetLitterbags placem_collection'!R213,'WetLitterbags placem_collection'!T213)</f>
        <v>23.95</v>
      </c>
      <c r="AJ872">
        <v>-2.439403972</v>
      </c>
      <c r="AK872">
        <v>34.838404959999998</v>
      </c>
      <c r="AL872" t="str">
        <f>IF(ISNUMBER(SEARCH("C", 'WetLitterbags placem_collection'!Y213)),"YES","NO")</f>
        <v>NO</v>
      </c>
      <c r="AM872" t="str">
        <f>IF(ISNUMBER(SEARCH("H", 'WetLitterbags placem_collection'!Y213)),"YES","NO")</f>
        <v>NO</v>
      </c>
      <c r="AN872" t="str">
        <f>IF(ISNUMBER(SEARCH("R", 'WetLitterbags placem_collection'!Y213)),"YES","NO")</f>
        <v>YES</v>
      </c>
    </row>
    <row r="873" spans="1:40" ht="15" customHeight="1">
      <c r="A873" s="258" t="s">
        <v>2460</v>
      </c>
      <c r="B873" s="263">
        <f>'Dry_Litterbag Placem_Collection'!A214</f>
        <v>215</v>
      </c>
      <c r="C873" s="263" t="str">
        <f>'Dry_Litterbag Placem_Collection'!B214</f>
        <v xml:space="preserve">Mwantimba
</v>
      </c>
      <c r="D873" s="263" t="s">
        <v>2460</v>
      </c>
      <c r="E873" s="263" t="s">
        <v>2526</v>
      </c>
      <c r="F873" s="263">
        <v>3</v>
      </c>
      <c r="G873" s="264" t="str">
        <f>'Dry_Litterbag Placem_Collection'!C214</f>
        <v>Wet_W3_CG1</v>
      </c>
      <c r="H873" s="273" t="s">
        <v>3651</v>
      </c>
      <c r="I873" s="274" t="s">
        <v>298</v>
      </c>
      <c r="J873" s="223" t="str">
        <f>'WetLitterbags placem_collection'!Q214</f>
        <v>R130</v>
      </c>
      <c r="K873" s="225">
        <f>IFERROR(INDEX('Green_rooibos initial weight'!$C$5:$C$1749,MATCH(J873, 'Green_rooibos initial weight'!$A$5:$A$1749,0)),"")</f>
        <v>2.2410000000000001</v>
      </c>
      <c r="L873" s="225">
        <f>IFERROR(K873-(TBIcalc!$H$9+TBIcalc!$H$10),"")</f>
        <v>1.9912000000000001</v>
      </c>
      <c r="M873" s="391">
        <f>AVERAGE(Ashed_controlls!$K$12:$K$14)</f>
        <v>2.2816647271287041</v>
      </c>
      <c r="N873" s="225">
        <f t="shared" si="70"/>
        <v>1.9457674919534134</v>
      </c>
      <c r="O873" s="225">
        <f>IF(IFERROR(INDEX('Both teabags AfterWet'!$C$3:$C$841,MATCH(J873,'Both teabags AfterWet'!$A$3:$A$841,0)),"")="","",(IFERROR(INDEX('Both teabags AfterWet'!$C$3:$C$841,MATCH(J873,'Both teabags AfterWet'!$A$3:$A$841,0)),"")))</f>
        <v>1.6712</v>
      </c>
      <c r="P873" s="225">
        <f>IFERROR(IF(O873&gt;0,O873-(TBIcalc!$H$9),""),"")</f>
        <v>1.5206</v>
      </c>
      <c r="Q873" s="225">
        <f>IFERROR(INDEX('Ashed teabags wet'!$K$2:$K$821,MATCH(J873,'Ashed teabags wet'!$A$2:$A$821,0)),"")</f>
        <v>7.2700296735904999</v>
      </c>
      <c r="R873" s="225">
        <f t="shared" si="73"/>
        <v>1.4100519287833828</v>
      </c>
      <c r="S873" s="226">
        <f>'WetLitterbags placem_collection'!E214</f>
        <v>42769</v>
      </c>
      <c r="T873" s="226">
        <f>IF('WetLitterbags placem_collection'!G214="","",'WetLitterbags placem_collection'!G214)</f>
        <v>42813</v>
      </c>
      <c r="U873" s="227">
        <f t="shared" si="74"/>
        <v>44</v>
      </c>
      <c r="V873" s="225">
        <f t="shared" si="71"/>
        <v>0.47060000000000013</v>
      </c>
      <c r="W873" s="225">
        <f t="shared" si="72"/>
        <v>0.53571556317003055</v>
      </c>
      <c r="X873">
        <f>IFERROR(INDEX(Rainfall_Wet!$O$2:$O$217,MATCH(B873, Rainfall_Wet!$A$2:$A$217,0)),"")</f>
        <v>175.377105089</v>
      </c>
      <c r="Y873" s="231">
        <v>27.96</v>
      </c>
      <c r="Z873" s="231">
        <v>4.9200000000000017</v>
      </c>
      <c r="AA873" s="231">
        <v>67.12</v>
      </c>
      <c r="AB873" s="232" t="s">
        <v>2670</v>
      </c>
      <c r="AC873" s="231">
        <v>1.0437161163134547</v>
      </c>
      <c r="AD873">
        <f>IF('WetLitterbags placem_collection'!AB214="","",'WetLitterbags placem_collection'!AB214)</f>
        <v>7.9</v>
      </c>
      <c r="AE873">
        <f>IF('WetLitterbags placem_collection'!Z214="","",'WetLitterbags placem_collection'!Z214)</f>
        <v>7.9</v>
      </c>
      <c r="AF873" s="246" t="str">
        <f>IF('WetLitterbags placem_collection'!AA214="","",'WetLitterbags placem_collection'!AA214)</f>
        <v>O</v>
      </c>
      <c r="AG873">
        <f>IF('WetLitterbags placem_collection'!AC214="","",'WetLitterbags placem_collection'!AC214)</f>
        <v>1</v>
      </c>
      <c r="AH873">
        <f>AVERAGE('WetLitterbags placem_collection'!S214,'WetLitterbags placem_collection'!U214)</f>
        <v>22.45</v>
      </c>
      <c r="AI873">
        <f>AVERAGE('WetLitterbags placem_collection'!R214,'WetLitterbags placem_collection'!T214)</f>
        <v>27.450000000000003</v>
      </c>
      <c r="AJ873">
        <v>-2.4395990190000001</v>
      </c>
      <c r="AK873">
        <v>34.838418959999998</v>
      </c>
      <c r="AL873" t="str">
        <f>IF(ISNUMBER(SEARCH("C", 'WetLitterbags placem_collection'!Y214)),"YES","NO")</f>
        <v>NO</v>
      </c>
      <c r="AM873" t="str">
        <f>IF(ISNUMBER(SEARCH("H", 'WetLitterbags placem_collection'!Y214)),"YES","NO")</f>
        <v>NO</v>
      </c>
      <c r="AN873" t="str">
        <f>IF(ISNUMBER(SEARCH("R", 'WetLitterbags placem_collection'!Y214)),"YES","NO")</f>
        <v>YES</v>
      </c>
    </row>
    <row r="874" spans="1:40" ht="15" customHeight="1">
      <c r="A874" s="258" t="s">
        <v>2460</v>
      </c>
      <c r="B874" s="263">
        <f>'Dry_Litterbag Placem_Collection'!A215</f>
        <v>212</v>
      </c>
      <c r="C874" s="263" t="str">
        <f>'Dry_Litterbag Placem_Collection'!B215</f>
        <v xml:space="preserve">Mwantimba
</v>
      </c>
      <c r="D874" s="263" t="s">
        <v>2460</v>
      </c>
      <c r="E874" s="263" t="s">
        <v>2526</v>
      </c>
      <c r="F874" s="263">
        <v>4</v>
      </c>
      <c r="G874" s="264" t="str">
        <f>'Dry_Litterbag Placem_Collection'!C215</f>
        <v>Wet_P4_CG3</v>
      </c>
      <c r="H874" s="273" t="s">
        <v>3651</v>
      </c>
      <c r="I874" s="274" t="s">
        <v>298</v>
      </c>
      <c r="J874" s="223" t="str">
        <f>'WetLitterbags placem_collection'!Q215</f>
        <v>R111</v>
      </c>
      <c r="K874" s="225">
        <f>IFERROR(INDEX('Green_rooibos initial weight'!$C$5:$C$1749,MATCH(J874, 'Green_rooibos initial weight'!$A$5:$A$1749,0)),"")</f>
        <v>2.3170000000000002</v>
      </c>
      <c r="L874" s="225">
        <f>IFERROR(K874-(TBIcalc!$H$9+TBIcalc!$H$10),"")</f>
        <v>2.0672000000000001</v>
      </c>
      <c r="M874" s="391">
        <f>AVERAGE(Ashed_controlls!$K$12:$K$14)</f>
        <v>2.2816647271287041</v>
      </c>
      <c r="N874" s="225">
        <f t="shared" si="70"/>
        <v>2.0200334267607958</v>
      </c>
      <c r="O874" s="225">
        <f>IF(IFERROR(INDEX('Both teabags AfterWet'!$C$3:$C$841,MATCH(J874,'Both teabags AfterWet'!$A$3:$A$841,0)),"")="","",(IFERROR(INDEX('Both teabags AfterWet'!$C$3:$C$841,MATCH(J874,'Both teabags AfterWet'!$A$3:$A$841,0)),"")))</f>
        <v>1.587</v>
      </c>
      <c r="P874" s="225">
        <f>IFERROR(IF(O874&gt;0,O874-(TBIcalc!$H$9),""),"")</f>
        <v>1.4363999999999999</v>
      </c>
      <c r="Q874" s="225">
        <f>IFERROR(INDEX('Ashed teabags wet'!$K$2:$K$821,MATCH(J874,'Ashed teabags wet'!$A$2:$A$821,0)),"")</f>
        <v>3.4013605442175416</v>
      </c>
      <c r="R874" s="225">
        <f t="shared" si="73"/>
        <v>1.3875428571428592</v>
      </c>
      <c r="S874" s="226">
        <f>'WetLitterbags placem_collection'!E215</f>
        <v>42769</v>
      </c>
      <c r="T874" s="226">
        <f>IF('WetLitterbags placem_collection'!G215="","",'WetLitterbags placem_collection'!G215)</f>
        <v>42813</v>
      </c>
      <c r="U874" s="227">
        <f t="shared" si="74"/>
        <v>44</v>
      </c>
      <c r="V874" s="225">
        <f t="shared" si="71"/>
        <v>0.63080000000000025</v>
      </c>
      <c r="W874" s="225">
        <f t="shared" si="72"/>
        <v>0.63249056961793659</v>
      </c>
      <c r="X874">
        <f>IFERROR(INDEX(Rainfall_Wet!$O$2:$O$217,MATCH(B874, Rainfall_Wet!$A$2:$A$217,0)),"")</f>
        <v>175.054685654</v>
      </c>
      <c r="Y874" s="231">
        <v>21.96</v>
      </c>
      <c r="Z874" s="231">
        <v>4.9199999999999982</v>
      </c>
      <c r="AA874" s="231">
        <v>73.12</v>
      </c>
      <c r="AB874" s="232" t="s">
        <v>2670</v>
      </c>
      <c r="AC874" s="231">
        <v>1.2416954164613114</v>
      </c>
      <c r="AD874">
        <f>IF('WetLitterbags placem_collection'!AB215="","",'WetLitterbags placem_collection'!AB215)</f>
        <v>15.2</v>
      </c>
      <c r="AE874">
        <f>IF('WetLitterbags placem_collection'!Z215="","",'WetLitterbags placem_collection'!Z215)</f>
        <v>12.2</v>
      </c>
      <c r="AF874" s="246" t="str">
        <f>IF('WetLitterbags placem_collection'!AA215="","",'WetLitterbags placem_collection'!AA215)</f>
        <v>O</v>
      </c>
      <c r="AG874">
        <f>IF('WetLitterbags placem_collection'!AC215="","",'WetLitterbags placem_collection'!AC215)</f>
        <v>1</v>
      </c>
      <c r="AH874">
        <f>AVERAGE('WetLitterbags placem_collection'!S215,'WetLitterbags placem_collection'!U215)</f>
        <v>19.75</v>
      </c>
      <c r="AI874">
        <f>AVERAGE('WetLitterbags placem_collection'!R215,'WetLitterbags placem_collection'!T215)</f>
        <v>28.15</v>
      </c>
      <c r="AJ874">
        <v>-2.4396949910000001</v>
      </c>
      <c r="AK874">
        <v>34.838574029999997</v>
      </c>
      <c r="AL874" t="str">
        <f>IF(ISNUMBER(SEARCH("C", 'WetLitterbags placem_collection'!Y215)),"YES","NO")</f>
        <v>NO</v>
      </c>
      <c r="AM874" t="str">
        <f>IF(ISNUMBER(SEARCH("H", 'WetLitterbags placem_collection'!Y215)),"YES","NO")</f>
        <v>NO</v>
      </c>
      <c r="AN874" t="str">
        <f>IF(ISNUMBER(SEARCH("R", 'WetLitterbags placem_collection'!Y215)),"YES","NO")</f>
        <v>NO</v>
      </c>
    </row>
    <row r="875" spans="1:40" ht="15" customHeight="1">
      <c r="A875" s="258" t="s">
        <v>2460</v>
      </c>
      <c r="B875" s="263">
        <f>'Dry_Litterbag Placem_Collection'!A216</f>
        <v>213</v>
      </c>
      <c r="C875" s="263" t="str">
        <f>'Dry_Litterbag Placem_Collection'!B216</f>
        <v>Handajega</v>
      </c>
      <c r="D875" s="263" t="s">
        <v>2460</v>
      </c>
      <c r="E875" s="263" t="s">
        <v>2526</v>
      </c>
      <c r="F875" s="263">
        <v>3</v>
      </c>
      <c r="G875" s="264" t="str">
        <f>'Dry_Litterbag Placem_Collection'!C216</f>
        <v>Wet_W1_CG4</v>
      </c>
      <c r="H875" s="273" t="s">
        <v>3651</v>
      </c>
      <c r="I875" s="274" t="s">
        <v>298</v>
      </c>
      <c r="J875" s="223" t="str">
        <f>'WetLitterbags placem_collection'!Q216</f>
        <v>R412</v>
      </c>
      <c r="K875" s="225">
        <f>IFERROR(INDEX('Green_rooibos initial weight'!$C$5:$C$1749,MATCH(J875, 'Green_rooibos initial weight'!$A$5:$A$1749,0)),"")</f>
        <v>2.2709999999999999</v>
      </c>
      <c r="L875" s="225">
        <f>IFERROR(K875-(TBIcalc!$H$9+TBIcalc!$H$10),"")</f>
        <v>2.0211999999999999</v>
      </c>
      <c r="M875" s="391">
        <f>AVERAGE(Ashed_controlls!$K$12:$K$14)</f>
        <v>2.2816647271287041</v>
      </c>
      <c r="N875" s="225">
        <f t="shared" si="70"/>
        <v>1.9750829925352744</v>
      </c>
      <c r="O875" s="225">
        <f>IF(IFERROR(INDEX('Both teabags AfterWet'!$C$3:$C$841,MATCH(J875,'Both teabags AfterWet'!$A$3:$A$841,0)),"")="","",(IFERROR(INDEX('Both teabags AfterWet'!$C$3:$C$841,MATCH(J875,'Both teabags AfterWet'!$A$3:$A$841,0)),"")))</f>
        <v>1.4850000000000001</v>
      </c>
      <c r="P875" s="225">
        <f>IFERROR(IF(O875&gt;0,O875-(TBIcalc!$H$9),""),"")</f>
        <v>1.3344</v>
      </c>
      <c r="Q875" s="225">
        <f>IFERROR(INDEX('Ashed teabags wet'!$K$2:$K$821,MATCH(J875,'Ashed teabags wet'!$A$2:$A$821,0)),"")</f>
        <v>5.5972013992993173</v>
      </c>
      <c r="R875" s="225">
        <f t="shared" si="73"/>
        <v>1.2597109445277499</v>
      </c>
      <c r="S875" s="226">
        <f>'WetLitterbags placem_collection'!E216</f>
        <v>42769</v>
      </c>
      <c r="T875" s="226">
        <f>IF('WetLitterbags placem_collection'!G216="","",'WetLitterbags placem_collection'!G216)</f>
        <v>42813</v>
      </c>
      <c r="U875" s="227">
        <f t="shared" si="74"/>
        <v>44</v>
      </c>
      <c r="V875" s="225">
        <f t="shared" si="71"/>
        <v>0.68679999999999986</v>
      </c>
      <c r="W875" s="225">
        <f t="shared" si="72"/>
        <v>0.71537204800752452</v>
      </c>
      <c r="X875">
        <f>IFERROR(INDEX(Rainfall_Wet!$O$2:$O$217,MATCH(B875, Rainfall_Wet!$A$2:$A$217,0)),"")</f>
        <v>175.054685654</v>
      </c>
      <c r="Y875" s="231">
        <v>23.96</v>
      </c>
      <c r="Z875" s="231">
        <v>4.9199999999999982</v>
      </c>
      <c r="AA875" s="231">
        <v>71.12</v>
      </c>
      <c r="AB875" s="232" t="s">
        <v>2670</v>
      </c>
      <c r="AC875" s="231">
        <v>3.30913750616067</v>
      </c>
      <c r="AD875">
        <f>IF('WetLitterbags placem_collection'!AB216="","",'WetLitterbags placem_collection'!AB216)</f>
        <v>7.9</v>
      </c>
      <c r="AE875">
        <f>IF('WetLitterbags placem_collection'!Z216="","",'WetLitterbags placem_collection'!Z216)</f>
        <v>7.9</v>
      </c>
      <c r="AF875" s="246" t="str">
        <f>IF('WetLitterbags placem_collection'!AA216="","",'WetLitterbags placem_collection'!AA216)</f>
        <v>O</v>
      </c>
      <c r="AG875">
        <f>IF('WetLitterbags placem_collection'!AC216="","",'WetLitterbags placem_collection'!AC216)</f>
        <v>1</v>
      </c>
      <c r="AH875">
        <f>AVERAGE('WetLitterbags placem_collection'!S216,'WetLitterbags placem_collection'!U216)</f>
        <v>19.45</v>
      </c>
      <c r="AI875">
        <f>AVERAGE('WetLitterbags placem_collection'!R216,'WetLitterbags placem_collection'!T216)</f>
        <v>29.200000000000003</v>
      </c>
      <c r="AJ875">
        <v>-2.4396949910000001</v>
      </c>
      <c r="AK875">
        <v>34.838574029999997</v>
      </c>
      <c r="AL875" t="str">
        <f>IF(ISNUMBER(SEARCH("C", 'WetLitterbags placem_collection'!Y216)),"YES","NO")</f>
        <v>NO</v>
      </c>
      <c r="AM875" t="str">
        <f>IF(ISNUMBER(SEARCH("H", 'WetLitterbags placem_collection'!Y216)),"YES","NO")</f>
        <v>NO</v>
      </c>
      <c r="AN875" t="str">
        <f>IF(ISNUMBER(SEARCH("R", 'WetLitterbags placem_collection'!Y216)),"YES","NO")</f>
        <v>YES</v>
      </c>
    </row>
    <row r="876" spans="1:40" ht="15" customHeight="1">
      <c r="A876" s="258" t="s">
        <v>2460</v>
      </c>
      <c r="B876" s="263">
        <f>'Dry_Litterbag Placem_Collection'!A217</f>
        <v>214</v>
      </c>
      <c r="C876" s="263" t="str">
        <f>'Dry_Litterbag Placem_Collection'!B217</f>
        <v>Handajega</v>
      </c>
      <c r="D876" s="263" t="s">
        <v>2460</v>
      </c>
      <c r="E876" s="263" t="s">
        <v>2526</v>
      </c>
      <c r="F876" s="263">
        <v>1</v>
      </c>
      <c r="G876" s="264" t="str">
        <f>'Dry_Litterbag Placem_Collection'!C217</f>
        <v>Wet_W2_CG3</v>
      </c>
      <c r="H876" s="273" t="s">
        <v>3651</v>
      </c>
      <c r="I876" s="274" t="s">
        <v>298</v>
      </c>
      <c r="J876" s="223" t="str">
        <f>'WetLitterbags placem_collection'!Q217</f>
        <v>R434</v>
      </c>
      <c r="K876" s="225">
        <f>IFERROR(INDEX('Green_rooibos initial weight'!$C$5:$C$1749,MATCH(J876, 'Green_rooibos initial weight'!$A$5:$A$1749,0)),"")</f>
        <v>2.0840000000000001</v>
      </c>
      <c r="L876" s="225">
        <f>IFERROR(K876-(TBIcalc!$H$9+TBIcalc!$H$10),"")</f>
        <v>1.8342000000000001</v>
      </c>
      <c r="M876" s="391">
        <f>AVERAGE(Ashed_controlls!$K$12:$K$14)</f>
        <v>2.2816647271287041</v>
      </c>
      <c r="N876" s="225">
        <f t="shared" si="70"/>
        <v>1.7923497055750053</v>
      </c>
      <c r="O876" s="225">
        <f>IF(IFERROR(INDEX('Both teabags AfterWet'!$C$3:$C$841,MATCH(J876,'Both teabags AfterWet'!$A$3:$A$841,0)),"")="","",(IFERROR(INDEX('Both teabags AfterWet'!$C$3:$C$841,MATCH(J876,'Both teabags AfterWet'!$A$3:$A$841,0)),"")))</f>
        <v>1.5467</v>
      </c>
      <c r="P876" s="225">
        <f>IFERROR(IF(O876&gt;0,O876-(TBIcalc!$H$9),""),"")</f>
        <v>1.3960999999999999</v>
      </c>
      <c r="Q876" s="225">
        <f>IFERROR(INDEX('Ashed teabags wet'!$K$2:$K$821,MATCH(J876,'Ashed teabags wet'!$A$2:$A$821,0)),"")</f>
        <v>2.1484374999999396</v>
      </c>
      <c r="R876" s="225">
        <f t="shared" si="73"/>
        <v>1.3661056640625007</v>
      </c>
      <c r="S876" s="226">
        <f>'WetLitterbags placem_collection'!E217</f>
        <v>42769</v>
      </c>
      <c r="T876" s="226">
        <f>IF('WetLitterbags placem_collection'!G217="","",'WetLitterbags placem_collection'!G217)</f>
        <v>42814</v>
      </c>
      <c r="U876" s="227">
        <f t="shared" si="74"/>
        <v>45</v>
      </c>
      <c r="V876" s="225">
        <f t="shared" si="71"/>
        <v>0.43810000000000016</v>
      </c>
      <c r="W876" s="225">
        <f t="shared" si="72"/>
        <v>0.42624404151250461</v>
      </c>
      <c r="X876">
        <f>IFERROR(INDEX(Rainfall_Wet!$O$2:$O$217,MATCH(B876, Rainfall_Wet!$A$2:$A$217,0)),"")</f>
        <v>175.054685654</v>
      </c>
      <c r="Y876" s="231">
        <v>25.96</v>
      </c>
      <c r="Z876" s="231">
        <v>8.9200000000000017</v>
      </c>
      <c r="AA876" s="231">
        <v>65.12</v>
      </c>
      <c r="AB876" s="232" t="s">
        <v>2670</v>
      </c>
      <c r="AC876" s="231">
        <v>1.614588467225234</v>
      </c>
      <c r="AD876">
        <f>IF('WetLitterbags placem_collection'!AB217="","",'WetLitterbags placem_collection'!AB217)</f>
        <v>13.8</v>
      </c>
      <c r="AE876">
        <f>IF('WetLitterbags placem_collection'!Z217="","",'WetLitterbags placem_collection'!Z217)</f>
        <v>17.399999999999999</v>
      </c>
      <c r="AF876" s="246" t="str">
        <f>IF('WetLitterbags placem_collection'!AA217="","",'WetLitterbags placem_collection'!AA217)</f>
        <v>O</v>
      </c>
      <c r="AG876">
        <f>IF('WetLitterbags placem_collection'!AC217="","",'WetLitterbags placem_collection'!AC217)</f>
        <v>1</v>
      </c>
      <c r="AH876">
        <f>AVERAGE('WetLitterbags placem_collection'!S217,'WetLitterbags placem_collection'!U217)</f>
        <v>20.3</v>
      </c>
      <c r="AI876">
        <f>AVERAGE('WetLitterbags placem_collection'!R217,'WetLitterbags placem_collection'!T217)</f>
        <v>26.25</v>
      </c>
      <c r="AJ876">
        <v>-2.439403972</v>
      </c>
      <c r="AK876">
        <v>34.838404959999998</v>
      </c>
      <c r="AL876" t="str">
        <f>IF(ISNUMBER(SEARCH("C", 'WetLitterbags placem_collection'!Y217)),"YES","NO")</f>
        <v>NO</v>
      </c>
      <c r="AM876" t="str">
        <f>IF(ISNUMBER(SEARCH("H", 'WetLitterbags placem_collection'!Y217)),"YES","NO")</f>
        <v>NO</v>
      </c>
      <c r="AN876" t="str">
        <f>IF(ISNUMBER(SEARCH("R", 'WetLitterbags placem_collection'!Y217)),"YES","NO")</f>
        <v>YES</v>
      </c>
    </row>
    <row r="877" spans="1:40" ht="15" customHeight="1">
      <c r="A877" s="258" t="s">
        <v>2460</v>
      </c>
      <c r="B877" s="263">
        <f>'Dry_Litterbag Placem_Collection'!A218</f>
        <v>216</v>
      </c>
      <c r="C877" s="263" t="str">
        <f>'Dry_Litterbag Placem_Collection'!B218</f>
        <v>Handajega</v>
      </c>
      <c r="D877" s="263" t="s">
        <v>2460</v>
      </c>
      <c r="E877" s="263" t="s">
        <v>2526</v>
      </c>
      <c r="F877" s="263">
        <v>2</v>
      </c>
      <c r="G877" s="264" t="str">
        <f>'Dry_Litterbag Placem_Collection'!C218</f>
        <v>Wet_W4_CG2</v>
      </c>
      <c r="H877" s="273" t="s">
        <v>3651</v>
      </c>
      <c r="I877" s="274" t="s">
        <v>298</v>
      </c>
      <c r="J877" s="223" t="str">
        <f>'WetLitterbags placem_collection'!Q218</f>
        <v>R457</v>
      </c>
      <c r="K877" s="225">
        <f>IFERROR(INDEX('Green_rooibos initial weight'!$C$5:$C$1749,MATCH(J877, 'Green_rooibos initial weight'!$A$5:$A$1749,0)),"")</f>
        <v>2.2410000000000001</v>
      </c>
      <c r="L877" s="225">
        <f>IFERROR(K877-(TBIcalc!$H$9+TBIcalc!$H$10),"")</f>
        <v>1.9912000000000001</v>
      </c>
      <c r="M877" s="391">
        <f>AVERAGE(Ashed_controlls!$K$12:$K$14)</f>
        <v>2.2816647271287041</v>
      </c>
      <c r="N877" s="225">
        <f t="shared" si="70"/>
        <v>1.9457674919534134</v>
      </c>
      <c r="O877" s="225">
        <f>IF(IFERROR(INDEX('Both teabags AfterWet'!$C$3:$C$841,MATCH(J877,'Both teabags AfterWet'!$A$3:$A$841,0)),"")="","",(IFERROR(INDEX('Both teabags AfterWet'!$C$3:$C$841,MATCH(J877,'Both teabags AfterWet'!$A$3:$A$841,0)),"")))</f>
        <v>1.5940000000000001</v>
      </c>
      <c r="P877" s="225">
        <f>IFERROR(IF(O877&gt;0,O877-(TBIcalc!$H$9),""),"")</f>
        <v>1.4434</v>
      </c>
      <c r="Q877" s="225">
        <f>IFERROR(INDEX('Ashed teabags wet'!$K$2:$K$821,MATCH(J877,'Ashed teabags wet'!$A$2:$A$821,0)),"")</f>
        <v>3.2951289398278099</v>
      </c>
      <c r="R877" s="225">
        <f t="shared" si="73"/>
        <v>1.3958381088825254</v>
      </c>
      <c r="S877" s="226">
        <f>'WetLitterbags placem_collection'!E218</f>
        <v>42769</v>
      </c>
      <c r="T877" s="226">
        <f>IF('WetLitterbags placem_collection'!G218="","",'WetLitterbags placem_collection'!G218)</f>
        <v>42814</v>
      </c>
      <c r="U877" s="227">
        <f t="shared" si="74"/>
        <v>45</v>
      </c>
      <c r="V877" s="225">
        <f t="shared" si="71"/>
        <v>0.54780000000000006</v>
      </c>
      <c r="W877" s="225">
        <f t="shared" si="72"/>
        <v>0.54992938307088801</v>
      </c>
      <c r="X877">
        <f>IFERROR(INDEX(Rainfall_Wet!$O$2:$O$217,MATCH(B877, Rainfall_Wet!$A$2:$A$217,0)),"")</f>
        <v>175.377105089</v>
      </c>
      <c r="Y877" s="231">
        <v>25.96</v>
      </c>
      <c r="Z877" s="231">
        <v>8.9200000000000017</v>
      </c>
      <c r="AA877" s="231">
        <v>65.12</v>
      </c>
      <c r="AB877" s="232" t="s">
        <v>2670</v>
      </c>
      <c r="AC877" s="231">
        <v>1.6991621488417901</v>
      </c>
      <c r="AD877">
        <f>IF('WetLitterbags placem_collection'!AB218="","",'WetLitterbags placem_collection'!AB218)</f>
        <v>5.13</v>
      </c>
      <c r="AE877">
        <f>IF('WetLitterbags placem_collection'!Z218="","",'WetLitterbags placem_collection'!Z218)</f>
        <v>5.13</v>
      </c>
      <c r="AF877" s="246" t="str">
        <f>IF('WetLitterbags placem_collection'!AA218="","",'WetLitterbags placem_collection'!AA218)</f>
        <v>O</v>
      </c>
      <c r="AG877">
        <f>IF('WetLitterbags placem_collection'!AC218="","",'WetLitterbags placem_collection'!AC218)</f>
        <v>1</v>
      </c>
      <c r="AH877">
        <f>AVERAGE('WetLitterbags placem_collection'!S218,'WetLitterbags placem_collection'!U218)</f>
        <v>20.65</v>
      </c>
      <c r="AI877">
        <f>AVERAGE('WetLitterbags placem_collection'!R218,'WetLitterbags placem_collection'!T218)</f>
        <v>25.05</v>
      </c>
      <c r="AJ877">
        <v>-2.4396450349999999</v>
      </c>
      <c r="AK877">
        <v>34.83836599</v>
      </c>
      <c r="AL877" t="str">
        <f>IF(ISNUMBER(SEARCH("C", 'WetLitterbags placem_collection'!Y218)),"YES","NO")</f>
        <v>NO</v>
      </c>
      <c r="AM877" t="str">
        <f>IF(ISNUMBER(SEARCH("H", 'WetLitterbags placem_collection'!Y218)),"YES","NO")</f>
        <v>NO</v>
      </c>
      <c r="AN877" t="str">
        <f>IF(ISNUMBER(SEARCH("R", 'WetLitterbags placem_collection'!Y218)),"YES","NO")</f>
        <v>YES</v>
      </c>
    </row>
    <row r="878" spans="1:40" ht="15" customHeight="1">
      <c r="A878" s="258" t="s">
        <v>2460</v>
      </c>
      <c r="B878" s="263">
        <f>'Dry_Litterbag Placem_Collection'!A219</f>
        <v>217</v>
      </c>
      <c r="C878" s="263" t="str">
        <f>'Dry_Litterbag Placem_Collection'!B219</f>
        <v>Seronera</v>
      </c>
      <c r="D878" s="263" t="s">
        <v>2662</v>
      </c>
      <c r="E878" s="263" t="s">
        <v>2526</v>
      </c>
      <c r="F878" s="263">
        <v>1</v>
      </c>
      <c r="G878" s="264" t="str">
        <f>'Dry_Litterbag Placem_Collection'!C219</f>
        <v>Local1_CG1</v>
      </c>
      <c r="H878" s="273" t="s">
        <v>3651</v>
      </c>
      <c r="I878" s="274" t="s">
        <v>298</v>
      </c>
      <c r="J878" s="223" t="str">
        <f>'WetLitterbags placem_collection'!Q219</f>
        <v>R410</v>
      </c>
      <c r="K878" s="225">
        <f>IFERROR(INDEX('Green_rooibos initial weight'!$C$5:$C$1749,MATCH(J878, 'Green_rooibos initial weight'!$A$5:$A$1749,0)),"")</f>
        <v>2.1930000000000001</v>
      </c>
      <c r="L878" s="225">
        <f>IFERROR(K878-(TBIcalc!$H$9+TBIcalc!$H$10),"")</f>
        <v>1.9432</v>
      </c>
      <c r="M878" s="391">
        <f>AVERAGE(Ashed_controlls!$K$12:$K$14)</f>
        <v>2.2816647271287041</v>
      </c>
      <c r="N878" s="225">
        <f t="shared" si="70"/>
        <v>1.8988626910224351</v>
      </c>
      <c r="O878" s="225">
        <f>IF(IFERROR(INDEX('Both teabags AfterWet'!$C$3:$C$841,MATCH(J878,'Both teabags AfterWet'!$A$3:$A$841,0)),"")="","",(IFERROR(INDEX('Both teabags AfterWet'!$C$3:$C$841,MATCH(J878,'Both teabags AfterWet'!$A$3:$A$841,0)),"")))</f>
        <v>1.488</v>
      </c>
      <c r="P878" s="225">
        <f>IFERROR(IF(O878&gt;0,O878-(TBIcalc!$H$9),""),"")</f>
        <v>1.3373999999999999</v>
      </c>
      <c r="Q878" s="225">
        <f>IFERROR(INDEX('Ashed teabags wet'!$K$2:$K$821,MATCH(J878,'Ashed teabags wet'!$A$2:$A$821,0)),"")</f>
        <v>4.277286135692731</v>
      </c>
      <c r="R878" s="225">
        <f t="shared" si="73"/>
        <v>1.2801955752212453</v>
      </c>
      <c r="S878" s="226">
        <f>'WetLitterbags placem_collection'!E219</f>
        <v>42769</v>
      </c>
      <c r="T878" s="226">
        <f>IF('WetLitterbags placem_collection'!G219="","",'WetLitterbags placem_collection'!G219)</f>
        <v>42814</v>
      </c>
      <c r="U878" s="227">
        <f t="shared" si="74"/>
        <v>45</v>
      </c>
      <c r="V878" s="225">
        <f t="shared" si="71"/>
        <v>0.60580000000000012</v>
      </c>
      <c r="W878" s="225">
        <f t="shared" si="72"/>
        <v>0.61866711580118983</v>
      </c>
      <c r="X878">
        <f>IFERROR(INDEX(Rainfall_Wet!$O$2:$O$217,MATCH(B878, Rainfall_Wet!$A$2:$A$217,0)),"")</f>
        <v>175.377105089</v>
      </c>
      <c r="Y878" s="231">
        <v>29.076539101497506</v>
      </c>
      <c r="Z878" s="231">
        <v>7.1963394342762079</v>
      </c>
      <c r="AA878" s="231">
        <v>63.727121464226286</v>
      </c>
      <c r="AB878" s="231" t="s">
        <v>2670</v>
      </c>
      <c r="AC878" s="231">
        <v>1.0994578610152781</v>
      </c>
      <c r="AD878">
        <f>IF('WetLitterbags placem_collection'!AB219="","",'WetLitterbags placem_collection'!AB219)</f>
        <v>13.8</v>
      </c>
      <c r="AE878">
        <f>IF('WetLitterbags placem_collection'!Z219="","",'WetLitterbags placem_collection'!Z219)</f>
        <v>17.399999999999999</v>
      </c>
      <c r="AF878" s="246" t="str">
        <f>IF('WetLitterbags placem_collection'!AA219="","",'WetLitterbags placem_collection'!AA219)</f>
        <v>O</v>
      </c>
      <c r="AG878">
        <f>IF('WetLitterbags placem_collection'!AC219="","",'WetLitterbags placem_collection'!AC219)</f>
        <v>1</v>
      </c>
      <c r="AH878">
        <f>AVERAGE('WetLitterbags placem_collection'!S219,'WetLitterbags placem_collection'!U219)</f>
        <v>20.049999999999997</v>
      </c>
      <c r="AI878">
        <f>AVERAGE('WetLitterbags placem_collection'!R219,'WetLitterbags placem_collection'!T219)</f>
        <v>25.5</v>
      </c>
      <c r="AJ878">
        <v>-2.439403972</v>
      </c>
      <c r="AK878">
        <v>34.838404959999998</v>
      </c>
      <c r="AL878" t="str">
        <f>IF(ISNUMBER(SEARCH("C", 'WetLitterbags placem_collection'!Y219)),"YES","NO")</f>
        <v>NO</v>
      </c>
      <c r="AM878" t="str">
        <f>IF(ISNUMBER(SEARCH("H", 'WetLitterbags placem_collection'!Y219)),"YES","NO")</f>
        <v>NO</v>
      </c>
      <c r="AN878" t="str">
        <f>IF(ISNUMBER(SEARCH("R", 'WetLitterbags placem_collection'!Y219)),"YES","NO")</f>
        <v>NO</v>
      </c>
    </row>
    <row r="879" spans="1:40" ht="15" customHeight="1">
      <c r="A879" s="258" t="s">
        <v>2460</v>
      </c>
      <c r="B879" s="263">
        <f>'Dry_Litterbag Placem_Collection'!A220</f>
        <v>218</v>
      </c>
      <c r="C879" s="263" t="str">
        <f>'Dry_Litterbag Placem_Collection'!B220</f>
        <v>Seronera</v>
      </c>
      <c r="D879" s="263" t="s">
        <v>2662</v>
      </c>
      <c r="E879" s="263" t="s">
        <v>2526</v>
      </c>
      <c r="F879" s="263">
        <v>2</v>
      </c>
      <c r="G879" s="264" t="str">
        <f>'Dry_Litterbag Placem_Collection'!C220</f>
        <v>Local2_CG2</v>
      </c>
      <c r="H879" s="273" t="s">
        <v>3651</v>
      </c>
      <c r="I879" s="274" t="s">
        <v>298</v>
      </c>
      <c r="J879" s="223" t="str">
        <f>'WetLitterbags placem_collection'!Q220</f>
        <v>R103</v>
      </c>
      <c r="K879" s="225">
        <f>IFERROR(INDEX('Green_rooibos initial weight'!$C$5:$C$1749,MATCH(J879, 'Green_rooibos initial weight'!$A$5:$A$1749,0)),"")</f>
        <v>2.246</v>
      </c>
      <c r="L879" s="225">
        <f>IFERROR(K879-(TBIcalc!$H$9+TBIcalc!$H$10),"")</f>
        <v>1.9962</v>
      </c>
      <c r="M879" s="391">
        <f>AVERAGE(Ashed_controlls!$K$12:$K$14)</f>
        <v>2.2816647271287041</v>
      </c>
      <c r="N879" s="225">
        <f t="shared" si="70"/>
        <v>1.9506534087170568</v>
      </c>
      <c r="O879" s="225">
        <f>IF(IFERROR(INDEX('Both teabags AfterWet'!$C$3:$C$841,MATCH(J879,'Both teabags AfterWet'!$A$3:$A$841,0)),"")="","",(IFERROR(INDEX('Both teabags AfterWet'!$C$3:$C$841,MATCH(J879,'Both teabags AfterWet'!$A$3:$A$841,0)),"")))</f>
        <v>1.4296</v>
      </c>
      <c r="P879" s="225">
        <f>IFERROR(IF(O879&gt;0,O879-(TBIcalc!$H$9),""),"")</f>
        <v>1.2789999999999999</v>
      </c>
      <c r="Q879" s="225">
        <f>IFERROR(INDEX('Ashed teabags wet'!$K$2:$K$821,MATCH(J879,'Ashed teabags wet'!$A$2:$A$821,0)),"")</f>
        <v>5.6706114398422001</v>
      </c>
      <c r="R879" s="225">
        <f t="shared" si="73"/>
        <v>1.2064728796844182</v>
      </c>
      <c r="S879" s="226">
        <f>'WetLitterbags placem_collection'!E220</f>
        <v>42769</v>
      </c>
      <c r="T879" s="226">
        <f>IF('WetLitterbags placem_collection'!G220="","",'WetLitterbags placem_collection'!G220)</f>
        <v>42814</v>
      </c>
      <c r="U879" s="227">
        <f t="shared" si="74"/>
        <v>45</v>
      </c>
      <c r="V879" s="225">
        <f t="shared" si="71"/>
        <v>0.71720000000000006</v>
      </c>
      <c r="W879" s="225">
        <f t="shared" si="72"/>
        <v>0.74418052903263865</v>
      </c>
      <c r="X879">
        <f>IFERROR(INDEX(Rainfall_Wet!$O$2:$O$217,MATCH(B879, Rainfall_Wet!$A$2:$A$217,0)),"")</f>
        <v>175.377105089</v>
      </c>
      <c r="Y879" s="231">
        <v>21.072635135135137</v>
      </c>
      <c r="Z879" s="231">
        <v>7.3057432432432412</v>
      </c>
      <c r="AA879" s="231">
        <v>71.621621621621614</v>
      </c>
      <c r="AB879" s="231" t="s">
        <v>2670</v>
      </c>
      <c r="AC879" s="231">
        <v>1.4512074913750617</v>
      </c>
      <c r="AD879">
        <f>IF('WetLitterbags placem_collection'!AB220="","",'WetLitterbags placem_collection'!AB220)</f>
        <v>5.13</v>
      </c>
      <c r="AE879">
        <f>IF('WetLitterbags placem_collection'!Z220="","",'WetLitterbags placem_collection'!Z220)</f>
        <v>5.13</v>
      </c>
      <c r="AF879" s="246" t="str">
        <f>IF('WetLitterbags placem_collection'!AA220="","",'WetLitterbags placem_collection'!AA220)</f>
        <v>O</v>
      </c>
      <c r="AG879">
        <f>IF('WetLitterbags placem_collection'!AC220="","",'WetLitterbags placem_collection'!AC220)</f>
        <v>1</v>
      </c>
      <c r="AH879">
        <f>AVERAGE('WetLitterbags placem_collection'!S220,'WetLitterbags placem_collection'!U220)</f>
        <v>22.1</v>
      </c>
      <c r="AI879">
        <f>AVERAGE('WetLitterbags placem_collection'!R220,'WetLitterbags placem_collection'!T220)</f>
        <v>24.5</v>
      </c>
      <c r="AJ879">
        <v>-2.4396450349999999</v>
      </c>
      <c r="AK879">
        <v>34.83836599</v>
      </c>
      <c r="AL879" t="str">
        <f>IF(ISNUMBER(SEARCH("C", 'WetLitterbags placem_collection'!Y220)),"YES","NO")</f>
        <v>NO</v>
      </c>
      <c r="AM879" t="str">
        <f>IF(ISNUMBER(SEARCH("H", 'WetLitterbags placem_collection'!Y220)),"YES","NO")</f>
        <v>NO</v>
      </c>
      <c r="AN879" t="str">
        <f>IF(ISNUMBER(SEARCH("R", 'WetLitterbags placem_collection'!Y220)),"YES","NO")</f>
        <v>YES</v>
      </c>
    </row>
    <row r="880" spans="1:40" ht="15" customHeight="1">
      <c r="A880" s="258" t="s">
        <v>2460</v>
      </c>
      <c r="B880" s="263">
        <f>'Dry_Litterbag Placem_Collection'!A221</f>
        <v>219</v>
      </c>
      <c r="C880" s="263" t="str">
        <f>'Dry_Litterbag Placem_Collection'!B221</f>
        <v>Seronera</v>
      </c>
      <c r="D880" s="263" t="s">
        <v>2662</v>
      </c>
      <c r="E880" s="263" t="s">
        <v>2526</v>
      </c>
      <c r="F880" s="263">
        <v>3</v>
      </c>
      <c r="G880" s="264" t="str">
        <f>'Dry_Litterbag Placem_Collection'!C221</f>
        <v>Local3_CG3</v>
      </c>
      <c r="H880" s="273" t="s">
        <v>3651</v>
      </c>
      <c r="I880" s="274" t="s">
        <v>298</v>
      </c>
      <c r="J880" s="223" t="str">
        <f>'WetLitterbags placem_collection'!Q221</f>
        <v>R356</v>
      </c>
      <c r="K880" s="225">
        <f>IFERROR(INDEX('Green_rooibos initial weight'!$C$5:$C$1749,MATCH(J880, 'Green_rooibos initial weight'!$A$5:$A$1749,0)),"")</f>
        <v>2.1619999999999999</v>
      </c>
      <c r="L880" s="225">
        <f>IFERROR(K880-(TBIcalc!$H$9+TBIcalc!$H$10),"")</f>
        <v>1.9121999999999999</v>
      </c>
      <c r="M880" s="391">
        <f>AVERAGE(Ashed_controlls!$K$12:$K$14)</f>
        <v>2.2816647271287041</v>
      </c>
      <c r="N880" s="225">
        <f t="shared" si="70"/>
        <v>1.8685700070878448</v>
      </c>
      <c r="O880" s="225">
        <f>IF(IFERROR(INDEX('Both teabags AfterWet'!$C$3:$C$841,MATCH(J880,'Both teabags AfterWet'!$A$3:$A$841,0)),"")="","",(IFERROR(INDEX('Both teabags AfterWet'!$C$3:$C$841,MATCH(J880,'Both teabags AfterWet'!$A$3:$A$841,0)),"")))</f>
        <v>1.4823</v>
      </c>
      <c r="P880" s="225">
        <f>IFERROR(IF(O880&gt;0,O880-(TBIcalc!$H$9),""),"")</f>
        <v>1.3316999999999999</v>
      </c>
      <c r="Q880" s="225">
        <f>IFERROR(INDEX('Ashed teabags wet'!$K$2:$K$821,MATCH(J880,'Ashed teabags wet'!$A$2:$A$821,0)),"")</f>
        <v>7.426928605653603</v>
      </c>
      <c r="R880" s="225">
        <f t="shared" si="73"/>
        <v>1.2327955917585109</v>
      </c>
      <c r="S880" s="226">
        <f>'WetLitterbags placem_collection'!E221</f>
        <v>42769</v>
      </c>
      <c r="T880" s="226">
        <f>IF('WetLitterbags placem_collection'!G221="","",'WetLitterbags placem_collection'!G221)</f>
        <v>42813</v>
      </c>
      <c r="U880" s="227">
        <f t="shared" si="74"/>
        <v>44</v>
      </c>
      <c r="V880" s="225">
        <f t="shared" si="71"/>
        <v>0.58050000000000002</v>
      </c>
      <c r="W880" s="225">
        <f t="shared" si="72"/>
        <v>0.63577441532933388</v>
      </c>
      <c r="X880">
        <f>IFERROR(INDEX(Rainfall_Wet!$O$2:$O$217,MATCH(B880, Rainfall_Wet!$A$2:$A$217,0)),"")</f>
        <v>175.054685654</v>
      </c>
      <c r="Y880" s="231">
        <v>21.96</v>
      </c>
      <c r="Z880" s="231">
        <v>4.9199999999999982</v>
      </c>
      <c r="AA880" s="231">
        <v>73.12</v>
      </c>
      <c r="AB880" s="231" t="s">
        <v>2670</v>
      </c>
      <c r="AC880" s="231">
        <v>1.4012321340561851</v>
      </c>
      <c r="AD880">
        <f>IF('WetLitterbags placem_collection'!AB221="","",'WetLitterbags placem_collection'!AB221)</f>
        <v>7.9</v>
      </c>
      <c r="AE880">
        <f>IF('WetLitterbags placem_collection'!Z221="","",'WetLitterbags placem_collection'!Z221)</f>
        <v>7.9</v>
      </c>
      <c r="AF880" s="246" t="str">
        <f>IF('WetLitterbags placem_collection'!AA221="","",'WetLitterbags placem_collection'!AA221)</f>
        <v>O</v>
      </c>
      <c r="AG880">
        <f>IF('WetLitterbags placem_collection'!AC221="","",'WetLitterbags placem_collection'!AC221)</f>
        <v>1</v>
      </c>
      <c r="AH880">
        <f>AVERAGE('WetLitterbags placem_collection'!S221,'WetLitterbags placem_collection'!U221)</f>
        <v>21.75</v>
      </c>
      <c r="AI880">
        <f>AVERAGE('WetLitterbags placem_collection'!R221,'WetLitterbags placem_collection'!T221)</f>
        <v>27.55</v>
      </c>
      <c r="AJ880">
        <v>-2.4395990190000001</v>
      </c>
      <c r="AK880">
        <v>34.838418959999998</v>
      </c>
      <c r="AL880" t="str">
        <f>IF(ISNUMBER(SEARCH("C", 'WetLitterbags placem_collection'!Y221)),"YES","NO")</f>
        <v>NO</v>
      </c>
      <c r="AM880" t="str">
        <f>IF(ISNUMBER(SEARCH("H", 'WetLitterbags placem_collection'!Y221)),"YES","NO")</f>
        <v>NO</v>
      </c>
      <c r="AN880" t="str">
        <f>IF(ISNUMBER(SEARCH("R", 'WetLitterbags placem_collection'!Y221)),"YES","NO")</f>
        <v>NO</v>
      </c>
    </row>
    <row r="881" spans="1:40" ht="15" customHeight="1">
      <c r="A881" s="258" t="s">
        <v>2460</v>
      </c>
      <c r="B881" s="263">
        <f>'Dry_Litterbag Placem_Collection'!A222</f>
        <v>220</v>
      </c>
      <c r="C881" s="263" t="str">
        <f>'Dry_Litterbag Placem_Collection'!B222</f>
        <v>Seronera</v>
      </c>
      <c r="D881" s="263" t="s">
        <v>2662</v>
      </c>
      <c r="E881" s="263" t="s">
        <v>2526</v>
      </c>
      <c r="F881" s="263">
        <v>4</v>
      </c>
      <c r="G881" s="264" t="str">
        <f>'Dry_Litterbag Placem_Collection'!C222</f>
        <v>Local4_CG4</v>
      </c>
      <c r="H881" s="273" t="s">
        <v>3651</v>
      </c>
      <c r="I881" s="274" t="s">
        <v>298</v>
      </c>
      <c r="J881" s="223" t="str">
        <f>'WetLitterbags placem_collection'!Q222</f>
        <v>R319</v>
      </c>
      <c r="K881" s="225">
        <f>IFERROR(INDEX('Green_rooibos initial weight'!$C$5:$C$1749,MATCH(J881, 'Green_rooibos initial weight'!$A$5:$A$1749,0)),"")</f>
        <v>2.1709999999999998</v>
      </c>
      <c r="L881" s="225">
        <f>IFERROR(K881-(TBIcalc!$H$9+TBIcalc!$H$10),"")</f>
        <v>1.9211999999999998</v>
      </c>
      <c r="M881" s="391">
        <f>AVERAGE(Ashed_controlls!$K$12:$K$14)</f>
        <v>2.2816647271287041</v>
      </c>
      <c r="N881" s="225">
        <f t="shared" si="70"/>
        <v>1.8773646572624032</v>
      </c>
      <c r="O881" s="225">
        <f>IF(IFERROR(INDEX('Both teabags AfterWet'!$C$3:$C$841,MATCH(J881,'Both teabags AfterWet'!$A$3:$A$841,0)),"")="","",(IFERROR(INDEX('Both teabags AfterWet'!$C$3:$C$841,MATCH(J881,'Both teabags AfterWet'!$A$3:$A$841,0)),"")))</f>
        <v>1.5328999999999999</v>
      </c>
      <c r="P881" s="225">
        <f>IFERROR(IF(O881&gt;0,O881-(TBIcalc!$H$9),""),"")</f>
        <v>1.3822999999999999</v>
      </c>
      <c r="Q881" s="225">
        <f>IFERROR(INDEX('Ashed teabags wet'!$K$2:$K$821,MATCH(J881,'Ashed teabags wet'!$A$2:$A$821,0)),"")</f>
        <v>5.0223769269016794</v>
      </c>
      <c r="R881" s="225">
        <f t="shared" si="73"/>
        <v>1.312875683739438</v>
      </c>
      <c r="S881" s="226">
        <f>'WetLitterbags placem_collection'!E222</f>
        <v>42769</v>
      </c>
      <c r="T881" s="226">
        <f>IF('WetLitterbags placem_collection'!G222="","",'WetLitterbags placem_collection'!G222)</f>
        <v>42813</v>
      </c>
      <c r="U881" s="227">
        <f t="shared" si="74"/>
        <v>44</v>
      </c>
      <c r="V881" s="225">
        <f t="shared" si="71"/>
        <v>0.53889999999999993</v>
      </c>
      <c r="W881" s="225">
        <f t="shared" si="72"/>
        <v>0.56448897352296523</v>
      </c>
      <c r="X881">
        <f>IFERROR(INDEX(Rainfall_Wet!$O$2:$O$217,MATCH(B881, Rainfall_Wet!$A$2:$A$217,0)),"")</f>
        <v>175.054685654</v>
      </c>
      <c r="Y881" s="231">
        <v>15.960000000000003</v>
      </c>
      <c r="Z881" s="231">
        <v>6.9199999999999982</v>
      </c>
      <c r="AA881" s="231">
        <v>77.11999999999999</v>
      </c>
      <c r="AB881" s="231" t="s">
        <v>2671</v>
      </c>
      <c r="AC881" s="231">
        <v>0.60547067520946207</v>
      </c>
      <c r="AD881">
        <f>IF('WetLitterbags placem_collection'!AB222="","",'WetLitterbags placem_collection'!AB222)</f>
        <v>15.2</v>
      </c>
      <c r="AE881">
        <f>IF('WetLitterbags placem_collection'!Z222="","",'WetLitterbags placem_collection'!Z222)</f>
        <v>12.2</v>
      </c>
      <c r="AF881" s="246" t="str">
        <f>IF('WetLitterbags placem_collection'!AA222="","",'WetLitterbags placem_collection'!AA222)</f>
        <v>O</v>
      </c>
      <c r="AG881">
        <f>IF('WetLitterbags placem_collection'!AC222="","",'WetLitterbags placem_collection'!AC222)</f>
        <v>1</v>
      </c>
      <c r="AH881">
        <f>AVERAGE('WetLitterbags placem_collection'!S222,'WetLitterbags placem_collection'!U222)</f>
        <v>20.85</v>
      </c>
      <c r="AI881">
        <f>AVERAGE('WetLitterbags placem_collection'!R222,'WetLitterbags placem_collection'!T222)</f>
        <v>27.950000000000003</v>
      </c>
      <c r="AJ881">
        <v>-2.4396949910000001</v>
      </c>
      <c r="AK881">
        <v>34.838574029999997</v>
      </c>
      <c r="AL881" t="str">
        <f>IF(ISNUMBER(SEARCH("C", 'WetLitterbags placem_collection'!Y222)),"YES","NO")</f>
        <v>NO</v>
      </c>
      <c r="AM881" t="str">
        <f>IF(ISNUMBER(SEARCH("H", 'WetLitterbags placem_collection'!Y222)),"YES","NO")</f>
        <v>NO</v>
      </c>
      <c r="AN881" t="str">
        <f>IF(ISNUMBER(SEARCH("R", 'WetLitterbags placem_collection'!Y222)),"YES","NO")</f>
        <v>NO</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CD205-3DAC-475C-AE1A-9722309A97FF}">
  <dimension ref="A1:AN881"/>
  <sheetViews>
    <sheetView zoomScaleNormal="100" workbookViewId="0">
      <pane xSplit="7" ySplit="1" topLeftCell="H863" activePane="bottomRight" state="frozen"/>
      <selection pane="topRight" activeCell="F1" sqref="F1"/>
      <selection pane="bottomLeft" activeCell="A2" sqref="A2"/>
      <selection pane="bottomRight" activeCell="D1" sqref="D1:D1048576"/>
    </sheetView>
  </sheetViews>
  <sheetFormatPr baseColWidth="10" defaultColWidth="11.44140625" defaultRowHeight="14.4"/>
  <cols>
    <col min="1" max="1" width="11.44140625" style="259"/>
    <col min="2" max="2" width="6.109375" style="223" customWidth="1"/>
    <col min="3" max="6" width="11.44140625" style="223"/>
    <col min="7" max="7" width="20.109375" style="224" customWidth="1"/>
    <col min="8" max="9" width="11.44140625" style="223"/>
    <col min="11" max="16" width="11.44140625" style="195"/>
    <col min="17" max="17" width="21.88671875" style="240" customWidth="1"/>
    <col min="18" max="18" width="24.44140625" style="240" customWidth="1"/>
    <col min="19" max="20" width="11.44140625" style="16"/>
    <col min="21" max="21" width="11.44140625" style="17"/>
    <col min="22" max="22" width="11.44140625" style="195"/>
    <col min="23" max="27" width="11.44140625" style="240"/>
    <col min="28" max="28" width="16.88671875" customWidth="1"/>
    <col min="32" max="32" width="11.44140625" style="246"/>
  </cols>
  <sheetData>
    <row r="1" spans="1:40" ht="87" thickBot="1">
      <c r="A1" s="257" t="s">
        <v>2457</v>
      </c>
      <c r="B1" s="70" t="s">
        <v>2164</v>
      </c>
      <c r="C1" s="70" t="s">
        <v>2643</v>
      </c>
      <c r="D1" s="70" t="s">
        <v>2665</v>
      </c>
      <c r="E1" s="70" t="s">
        <v>2648</v>
      </c>
      <c r="F1" s="70" t="s">
        <v>2641</v>
      </c>
      <c r="G1" s="235" t="s">
        <v>2642</v>
      </c>
      <c r="H1" s="70" t="s">
        <v>25</v>
      </c>
      <c r="I1" s="70" t="s">
        <v>2664</v>
      </c>
      <c r="J1" s="70" t="s">
        <v>2647</v>
      </c>
      <c r="K1" s="279" t="s">
        <v>2649</v>
      </c>
      <c r="L1" s="279" t="s">
        <v>2650</v>
      </c>
      <c r="M1" s="70" t="s">
        <v>2651</v>
      </c>
      <c r="N1" s="70" t="s">
        <v>2652</v>
      </c>
      <c r="O1" s="279" t="s">
        <v>2653</v>
      </c>
      <c r="P1" s="279" t="s">
        <v>2654</v>
      </c>
      <c r="Q1" s="277" t="s">
        <v>2655</v>
      </c>
      <c r="R1" s="277" t="s">
        <v>2656</v>
      </c>
      <c r="S1" s="236" t="s">
        <v>2658</v>
      </c>
      <c r="T1" s="237" t="s">
        <v>31</v>
      </c>
      <c r="U1" s="238" t="s">
        <v>2657</v>
      </c>
      <c r="V1" s="279" t="s">
        <v>3653</v>
      </c>
      <c r="W1" s="277" t="s">
        <v>2663</v>
      </c>
      <c r="X1" s="277" t="s">
        <v>3150</v>
      </c>
      <c r="Y1" s="277" t="s">
        <v>2677</v>
      </c>
      <c r="Z1" s="277" t="s">
        <v>2678</v>
      </c>
      <c r="AA1" s="277" t="s">
        <v>2679</v>
      </c>
      <c r="AB1" s="238" t="s">
        <v>3151</v>
      </c>
      <c r="AC1" s="238" t="s">
        <v>2680</v>
      </c>
      <c r="AD1" s="239" t="s">
        <v>3154</v>
      </c>
      <c r="AE1" s="239" t="s">
        <v>3155</v>
      </c>
      <c r="AF1" s="245" t="s">
        <v>3152</v>
      </c>
      <c r="AG1" s="239" t="s">
        <v>3153</v>
      </c>
      <c r="AH1" s="239" t="s">
        <v>3159</v>
      </c>
      <c r="AI1" s="239" t="s">
        <v>3160</v>
      </c>
      <c r="AJ1" s="239" t="s">
        <v>3162</v>
      </c>
      <c r="AK1" s="239" t="s">
        <v>3163</v>
      </c>
      <c r="AL1" s="251" t="s">
        <v>3519</v>
      </c>
      <c r="AM1" s="251" t="s">
        <v>3520</v>
      </c>
      <c r="AN1" s="251" t="s">
        <v>3521</v>
      </c>
    </row>
    <row r="2" spans="1:40">
      <c r="A2" s="262" t="s">
        <v>2659</v>
      </c>
      <c r="B2" s="263">
        <f>'Dry_Litterbag Placem_Collection'!A3</f>
        <v>1</v>
      </c>
      <c r="C2" s="263" t="str">
        <f>'Dry_Litterbag Placem_Collection'!B3</f>
        <v>Makao</v>
      </c>
      <c r="D2" s="263" t="s">
        <v>2659</v>
      </c>
      <c r="E2" s="263" t="s">
        <v>2660</v>
      </c>
      <c r="F2" s="263">
        <v>1</v>
      </c>
      <c r="G2" s="264" t="str">
        <f>'Dry_Litterbag Placem_Collection'!C3</f>
        <v>Dry_Ag1_T1</v>
      </c>
      <c r="H2" s="265" t="s">
        <v>2541</v>
      </c>
      <c r="I2" s="266" t="s">
        <v>1147</v>
      </c>
      <c r="J2" s="263" t="str">
        <f>IF(ISBLANK('Dry_Litterbag Placem_Collection'!J3),"","G"&amp;""&amp;'Dry_Litterbag Placem_Collection'!J3)</f>
        <v>G407</v>
      </c>
      <c r="K2" s="267">
        <f>IFERROR(INDEX('Green_rooibos initial weight'!$C$5:$C$1749,MATCH(J2, 'Green_rooibos initial weight'!$A$5:$A$1749,0)),"")</f>
        <v>1.966</v>
      </c>
      <c r="L2" s="267">
        <f>IFERROR(K2-(TBIcalc!$Q$9+TBIcalc!$Q$10),"")</f>
        <v>1.7161999999999999</v>
      </c>
      <c r="M2" s="391">
        <f>AVERAGE(Ashed_controlls!$K$2:$K$11)</f>
        <v>5.5147656768714146</v>
      </c>
      <c r="N2" s="267">
        <f>IFERROR(L2-(M2/100)*L2,"")</f>
        <v>1.6215555914535327</v>
      </c>
      <c r="O2" s="267">
        <f>IF(IFERROR(INDEX('Both teabags AfterDry'!$D$3:$D$900,MATCH(J2,'Both teabags AfterDry'!$A$3:$A$900,0)),"")="","",(IFERROR(INDEX('Both teabags AfterDry'!$D$3:$D$900,MATCH(J2,'Both teabags AfterDry'!$A$3:$A$900,0)),"")))</f>
        <v>1.278</v>
      </c>
      <c r="P2" s="267">
        <f>IFERROR(IF(O2&gt;0,O2-(TBIcalc!$Q$9),""),"")</f>
        <v>1.1274</v>
      </c>
      <c r="Q2" s="278">
        <f>IFERROR(INDEX('Ashed teabags dry'!$K$2:$K$825,MATCH(J2,'Ashed teabags dry'!$A$2:$A$825,0)),"")</f>
        <v>21.67931688804563</v>
      </c>
      <c r="R2" s="278">
        <f>IFERROR(P2-(Q2/100)*P2,"")</f>
        <v>0.88298738140417354</v>
      </c>
      <c r="S2" s="268">
        <f>'Dry_Litterbag Placem_Collection'!E3</f>
        <v>42938</v>
      </c>
      <c r="T2" s="268">
        <f>IF('Dry_Litterbag Placem_Collection'!G3="","",'Dry_Litterbag Placem_Collection'!G3)</f>
        <v>43007</v>
      </c>
      <c r="U2" s="269">
        <f t="shared" ref="U2:U65" si="0">IFERROR(T2-S2,"")</f>
        <v>69</v>
      </c>
      <c r="V2" s="267">
        <f>IFERROR(L2-P2,"")</f>
        <v>0.58879999999999999</v>
      </c>
      <c r="W2" s="267">
        <f>IFERROR(N2-R2,"")</f>
        <v>0.73856821004935913</v>
      </c>
      <c r="X2" s="271">
        <f>IFERROR(INDEX(Rainfall_Dry!$O$2:$O$217,MATCH(B2, Rainfall_Dry!$A$2:$A$217,0)),"")</f>
        <v>6.900000125</v>
      </c>
      <c r="Y2" s="260">
        <v>12.565665055683967</v>
      </c>
      <c r="Z2" s="260">
        <v>0.9665896196679955</v>
      </c>
      <c r="AA2" s="260">
        <v>86.467745324648035</v>
      </c>
      <c r="AB2" s="261" t="s">
        <v>2672</v>
      </c>
      <c r="AC2" s="260">
        <v>1.0225726959093147</v>
      </c>
      <c r="AD2">
        <f>IF('WetLitterbags placem_collection'!AB3="","",'WetLitterbags placem_collection'!AB3)</f>
        <v>26.4</v>
      </c>
      <c r="AE2">
        <f>IF('WetLitterbags placem_collection'!Z3="","",'WetLitterbags placem_collection'!Z3)</f>
        <v>41</v>
      </c>
      <c r="AF2" s="246" t="str">
        <f>IF('WetLitterbags placem_collection'!AA3="","",'WetLitterbags placem_collection'!AA3)</f>
        <v>M</v>
      </c>
      <c r="AG2">
        <f>IF('WetLitterbags placem_collection'!AC3="","",'WetLitterbags placem_collection'!AC3)</f>
        <v>1</v>
      </c>
      <c r="AH2">
        <f>IFERROR(AVERAGE('Dry_Litterbag Placem_Collection'!O3,'Dry_Litterbag Placem_Collection'!R3),"")</f>
        <v>3.8</v>
      </c>
      <c r="AI2" s="271">
        <f>IFERROR(AVERAGE('Dry_Litterbag Placem_Collection'!N3,'Dry_Litterbag Placem_Collection'!Q3),"")</f>
        <v>26.9</v>
      </c>
      <c r="AJ2" s="270">
        <f>INDEX(Coordinates!$B$2:$B$197,MATCH(G2,Coordinates!$J$2:$J$197,0))</f>
        <v>-3.3978609999999998</v>
      </c>
      <c r="AK2" s="270">
        <f>INDEX(Coordinates!$C$2:$C$197,MATCH(G2,Coordinates!$J$2:$J$197,0))</f>
        <v>34.837608000000003</v>
      </c>
      <c r="AL2" s="270" t="str">
        <f>IF(ISNUMBER(SEARCH("C", 'Dry_Litterbag Placem_Collection'!S3)),"YES","NO")</f>
        <v>NO</v>
      </c>
      <c r="AM2" s="270" t="str">
        <f>IF(ISNUMBER(SEARCH("H", 'Dry_Litterbag Placem_Collection'!S3)),"YES","NO")</f>
        <v>YES</v>
      </c>
      <c r="AN2" s="270" t="str">
        <f>IF(ISNUMBER(SEARCH("R", 'Dry_Litterbag Placem_Collection'!S3)),"YES","NO")</f>
        <v>NO</v>
      </c>
    </row>
    <row r="3" spans="1:40">
      <c r="A3" s="262" t="s">
        <v>2659</v>
      </c>
      <c r="B3" s="263">
        <f>'Dry_Litterbag Placem_Collection'!A4</f>
        <v>2</v>
      </c>
      <c r="C3" s="263" t="str">
        <f>'Dry_Litterbag Placem_Collection'!B4</f>
        <v>Makao</v>
      </c>
      <c r="D3" s="263" t="s">
        <v>2659</v>
      </c>
      <c r="E3" s="263" t="s">
        <v>2660</v>
      </c>
      <c r="F3" s="263">
        <v>1</v>
      </c>
      <c r="G3" s="264" t="str">
        <f>'Dry_Litterbag Placem_Collection'!C4</f>
        <v>Dry_Ag1_T2</v>
      </c>
      <c r="H3" s="265" t="s">
        <v>2541</v>
      </c>
      <c r="I3" s="266" t="s">
        <v>1147</v>
      </c>
      <c r="J3" s="263" t="str">
        <f>IF(ISBLANK('Dry_Litterbag Placem_Collection'!J4),"","G"&amp;""&amp;'Dry_Litterbag Placem_Collection'!J4)</f>
        <v/>
      </c>
      <c r="K3" s="267" t="str">
        <f>IFERROR(INDEX('Green_rooibos initial weight'!$C$5:$C$1749,MATCH(J3, 'Green_rooibos initial weight'!$A$5:$A$1749,0)),"")</f>
        <v/>
      </c>
      <c r="L3" s="267" t="str">
        <f>IFERROR(K3-(TBIcalc!$Q$9+TBIcalc!$Q$10),"")</f>
        <v/>
      </c>
      <c r="M3" s="391">
        <f>AVERAGE(Ashed_controlls!$K$2:$K$11)</f>
        <v>5.5147656768714146</v>
      </c>
      <c r="N3" s="267" t="str">
        <f t="shared" ref="N3:N66" si="1">IFERROR(L3-(M3/100)*L3,"")</f>
        <v/>
      </c>
      <c r="O3" s="267" t="str">
        <f>IF(IFERROR(INDEX('Both teabags AfterDry'!$D$3:$D$900,MATCH(J3,'Both teabags AfterDry'!$A$3:$A$900,0)),"")="","",(IFERROR(INDEX('Both teabags AfterDry'!$D$3:$D$900,MATCH(J3,'Both teabags AfterDry'!$A$3:$A$900,0)),"")))</f>
        <v/>
      </c>
      <c r="P3" s="267" t="str">
        <f>IFERROR(IF(O3&gt;0,O3-(TBIcalc!$Q$9),""),"")</f>
        <v/>
      </c>
      <c r="Q3" s="278" t="str">
        <f>IFERROR(INDEX('Ashed teabags dry'!$K$2:$K$825,MATCH(J3,'Ashed teabags dry'!$A$2:$A$825,0)),"")</f>
        <v/>
      </c>
      <c r="R3" s="278" t="str">
        <f t="shared" ref="R3:R66" si="2">IFERROR(P3-(Q3/100)*P3,"")</f>
        <v/>
      </c>
      <c r="S3" s="268">
        <f>'Dry_Litterbag Placem_Collection'!E4</f>
        <v>0</v>
      </c>
      <c r="T3" s="268" t="str">
        <f>IF('Dry_Litterbag Placem_Collection'!G4="","",'Dry_Litterbag Placem_Collection'!G4)</f>
        <v/>
      </c>
      <c r="U3" s="269" t="str">
        <f t="shared" si="0"/>
        <v/>
      </c>
      <c r="V3" s="267" t="str">
        <f t="shared" ref="V3:V66" si="3">IFERROR(L3-P3,"")</f>
        <v/>
      </c>
      <c r="W3" s="267" t="str">
        <f t="shared" ref="W3:W66" si="4">IFERROR(N3-R3,"")</f>
        <v/>
      </c>
      <c r="X3" s="271" t="str">
        <f>IFERROR(INDEX(Rainfall_Dry!$O$2:$O$217,MATCH(B3, Rainfall_Dry!$A$2:$A$217,0)),"")</f>
        <v/>
      </c>
      <c r="Y3" s="260">
        <v>12.565665055683967</v>
      </c>
      <c r="Z3" s="260">
        <v>0.9665896196679955</v>
      </c>
      <c r="AA3" s="260">
        <v>86.467745324648035</v>
      </c>
      <c r="AB3" s="261" t="s">
        <v>2672</v>
      </c>
      <c r="AC3" s="260">
        <v>2.02257269590931</v>
      </c>
      <c r="AD3">
        <f>IF('WetLitterbags placem_collection'!AB4="","",'WetLitterbags placem_collection'!AB4)</f>
        <v>22.4</v>
      </c>
      <c r="AE3">
        <f>IF('WetLitterbags placem_collection'!Z4="","",'WetLitterbags placem_collection'!Z4)</f>
        <v>39.799999999999997</v>
      </c>
      <c r="AF3" s="246" t="str">
        <f>IF('WetLitterbags placem_collection'!AA4="","",'WetLitterbags placem_collection'!AA4)</f>
        <v>M</v>
      </c>
      <c r="AG3">
        <f>IF('WetLitterbags placem_collection'!AC4="","",'WetLitterbags placem_collection'!AC4)</f>
        <v>1</v>
      </c>
      <c r="AH3" t="str">
        <f>IFERROR(AVERAGE('Dry_Litterbag Placem_Collection'!O4,'Dry_Litterbag Placem_Collection'!R4),"")</f>
        <v/>
      </c>
      <c r="AI3" s="271" t="str">
        <f>IFERROR(AVERAGE('Dry_Litterbag Placem_Collection'!N4,'Dry_Litterbag Placem_Collection'!Q4),"")</f>
        <v/>
      </c>
      <c r="AJ3" s="270">
        <f>INDEX(Coordinates!$B$2:$B$197,MATCH(G3,Coordinates!$J$2:$J$197,0))</f>
        <v>-3.397879042</v>
      </c>
      <c r="AK3" s="270">
        <f>INDEX(Coordinates!$C$2:$C$197,MATCH(G3,Coordinates!$J$2:$J$197,0))</f>
        <v>34.837536010000001</v>
      </c>
      <c r="AL3" s="270" t="str">
        <f>IF(ISNUMBER(SEARCH("C", 'Dry_Litterbag Placem_Collection'!S4)),"YES","NO")</f>
        <v>NO</v>
      </c>
      <c r="AM3" s="270" t="str">
        <f>IF(ISNUMBER(SEARCH("H", 'Dry_Litterbag Placem_Collection'!S4)),"YES","NO")</f>
        <v>NO</v>
      </c>
      <c r="AN3" s="270" t="str">
        <f>IF(ISNUMBER(SEARCH("R", 'Dry_Litterbag Placem_Collection'!S4)),"YES","NO")</f>
        <v>NO</v>
      </c>
    </row>
    <row r="4" spans="1:40">
      <c r="A4" s="262" t="s">
        <v>2659</v>
      </c>
      <c r="B4" s="263">
        <f>'Dry_Litterbag Placem_Collection'!A5</f>
        <v>3</v>
      </c>
      <c r="C4" s="263" t="str">
        <f>'Dry_Litterbag Placem_Collection'!B5</f>
        <v>Makao</v>
      </c>
      <c r="D4" s="263" t="s">
        <v>2659</v>
      </c>
      <c r="E4" s="263" t="s">
        <v>2660</v>
      </c>
      <c r="F4" s="263">
        <v>1</v>
      </c>
      <c r="G4" s="264" t="str">
        <f>'Dry_Litterbag Placem_Collection'!C5</f>
        <v>Dry_Ag1_T3</v>
      </c>
      <c r="H4" s="265" t="s">
        <v>2541</v>
      </c>
      <c r="I4" s="266" t="s">
        <v>1147</v>
      </c>
      <c r="J4" s="263" t="str">
        <f>IF(ISBLANK('Dry_Litterbag Placem_Collection'!J5),"","G"&amp;""&amp;'Dry_Litterbag Placem_Collection'!J5)</f>
        <v>G259</v>
      </c>
      <c r="K4" s="267">
        <f>IFERROR(INDEX('Green_rooibos initial weight'!$C$5:$C$1749,MATCH(J4, 'Green_rooibos initial weight'!$A$5:$A$1749,0)),"")</f>
        <v>1.913</v>
      </c>
      <c r="L4" s="267">
        <f>IFERROR(K4-(TBIcalc!$Q$9+TBIcalc!$Q$10),"")</f>
        <v>1.6632</v>
      </c>
      <c r="M4" s="391">
        <f>AVERAGE(Ashed_controlls!$K$2:$K$11)</f>
        <v>5.5147656768714146</v>
      </c>
      <c r="N4" s="267">
        <f t="shared" si="1"/>
        <v>1.5714784172622747</v>
      </c>
      <c r="O4" s="267">
        <f>IF(IFERROR(INDEX('Both teabags AfterDry'!$D$3:$D$900,MATCH(J4,'Both teabags AfterDry'!$A$3:$A$900,0)),"")="","",(IFERROR(INDEX('Both teabags AfterDry'!$D$3:$D$900,MATCH(J4,'Both teabags AfterDry'!$A$3:$A$900,0)),"")))</f>
        <v>1.5964</v>
      </c>
      <c r="P4" s="267">
        <f>IFERROR(IF(O4&gt;0,O4-(TBIcalc!$Q$9),""),"")</f>
        <v>1.4458</v>
      </c>
      <c r="Q4" s="278">
        <f>IFERROR(INDEX('Ashed teabags dry'!$K$2:$K$825,MATCH(J4,'Ashed teabags dry'!$A$2:$A$825,0)),"")</f>
        <v>10.613993336505917</v>
      </c>
      <c r="R4" s="278">
        <f t="shared" si="2"/>
        <v>1.2923428843407974</v>
      </c>
      <c r="S4" s="268">
        <f>'Dry_Litterbag Placem_Collection'!E5</f>
        <v>42938</v>
      </c>
      <c r="T4" s="268">
        <f>IF('Dry_Litterbag Placem_Collection'!G5="","",'Dry_Litterbag Placem_Collection'!G5)</f>
        <v>43007</v>
      </c>
      <c r="U4" s="269">
        <f t="shared" si="0"/>
        <v>69</v>
      </c>
      <c r="V4" s="267">
        <f t="shared" si="3"/>
        <v>0.21740000000000004</v>
      </c>
      <c r="W4" s="267">
        <f t="shared" si="4"/>
        <v>0.2791355329214773</v>
      </c>
      <c r="X4" s="271">
        <f>IFERROR(INDEX(Rainfall_Dry!$O$2:$O$217,MATCH(B4, Rainfall_Dry!$A$2:$A$217,0)),"")</f>
        <v>6.900000125</v>
      </c>
      <c r="Y4" s="260">
        <v>12.565665055683967</v>
      </c>
      <c r="Z4" s="260">
        <v>0.9665896196679955</v>
      </c>
      <c r="AA4" s="260">
        <v>86.467745324648035</v>
      </c>
      <c r="AB4" s="261" t="s">
        <v>2672</v>
      </c>
      <c r="AC4" s="260">
        <v>3.02257269590931</v>
      </c>
      <c r="AD4" t="str">
        <f>IF('WetLitterbags placem_collection'!AB5="","",'WetLitterbags placem_collection'!AB5)</f>
        <v/>
      </c>
      <c r="AE4" t="str">
        <f>IF('WetLitterbags placem_collection'!Z5="","",'WetLitterbags placem_collection'!Z5)</f>
        <v/>
      </c>
      <c r="AF4" s="246" t="str">
        <f>IF('WetLitterbags placem_collection'!AA5="","",'WetLitterbags placem_collection'!AA5)</f>
        <v/>
      </c>
      <c r="AG4" t="str">
        <f>IF('WetLitterbags placem_collection'!AC5="","",'WetLitterbags placem_collection'!AC5)</f>
        <v/>
      </c>
      <c r="AH4">
        <f>IFERROR(AVERAGE('Dry_Litterbag Placem_Collection'!O5,'Dry_Litterbag Placem_Collection'!R5),"")</f>
        <v>3.3</v>
      </c>
      <c r="AI4" s="271">
        <f>IFERROR(AVERAGE('Dry_Litterbag Placem_Collection'!N5,'Dry_Litterbag Placem_Collection'!Q5),"")</f>
        <v>25</v>
      </c>
      <c r="AJ4" s="270">
        <f>INDEX(Coordinates!$B$2:$B$197,MATCH(G4,Coordinates!$J$2:$J$197,0))</f>
        <v>-3.3978739999999998</v>
      </c>
      <c r="AK4" s="270">
        <f>INDEX(Coordinates!$C$2:$C$197,MATCH(G4,Coordinates!$J$2:$J$197,0))</f>
        <v>34.837578999999998</v>
      </c>
      <c r="AL4" s="270" t="str">
        <f>IF(ISNUMBER(SEARCH("C", 'Dry_Litterbag Placem_Collection'!S5)),"YES","NO")</f>
        <v>YES</v>
      </c>
      <c r="AM4" s="270" t="str">
        <f>IF(ISNUMBER(SEARCH("H", 'Dry_Litterbag Placem_Collection'!S5)),"YES","NO")</f>
        <v>YES</v>
      </c>
      <c r="AN4" s="270" t="str">
        <f>IF(ISNUMBER(SEARCH("R", 'Dry_Litterbag Placem_Collection'!S5)),"YES","NO")</f>
        <v>NO</v>
      </c>
    </row>
    <row r="5" spans="1:40">
      <c r="A5" s="262" t="s">
        <v>2659</v>
      </c>
      <c r="B5" s="263">
        <f>'Dry_Litterbag Placem_Collection'!A6</f>
        <v>4</v>
      </c>
      <c r="C5" s="263" t="str">
        <f>'Dry_Litterbag Placem_Collection'!B6</f>
        <v>Makao</v>
      </c>
      <c r="D5" s="263" t="s">
        <v>2659</v>
      </c>
      <c r="E5" s="263" t="s">
        <v>2660</v>
      </c>
      <c r="F5" s="263">
        <v>1</v>
      </c>
      <c r="G5" s="264" t="str">
        <f>'Dry_Litterbag Placem_Collection'!C6</f>
        <v>Dry_Ag1_T4</v>
      </c>
      <c r="H5" s="265" t="s">
        <v>2541</v>
      </c>
      <c r="I5" s="266" t="s">
        <v>1147</v>
      </c>
      <c r="J5" s="263" t="str">
        <f>IF(ISBLANK('Dry_Litterbag Placem_Collection'!J6),"","G"&amp;""&amp;'Dry_Litterbag Placem_Collection'!J6)</f>
        <v>G255</v>
      </c>
      <c r="K5" s="267">
        <f>IFERROR(INDEX('Green_rooibos initial weight'!$C$5:$C$1749,MATCH(J5, 'Green_rooibos initial weight'!$A$5:$A$1749,0)),"")</f>
        <v>2.0310000000000001</v>
      </c>
      <c r="L5" s="267">
        <f>IFERROR(K5-(TBIcalc!$Q$9+TBIcalc!$Q$10),"")</f>
        <v>1.7812000000000001</v>
      </c>
      <c r="M5" s="391">
        <f>AVERAGE(Ashed_controlls!$K$2:$K$11)</f>
        <v>5.5147656768714146</v>
      </c>
      <c r="N5" s="267">
        <f t="shared" si="1"/>
        <v>1.6829709937635664</v>
      </c>
      <c r="O5" s="267">
        <f>IF(IFERROR(INDEX('Both teabags AfterDry'!$D$3:$D$900,MATCH(J5,'Both teabags AfterDry'!$A$3:$A$900,0)),"")="","",(IFERROR(INDEX('Both teabags AfterDry'!$D$3:$D$900,MATCH(J5,'Both teabags AfterDry'!$A$3:$A$900,0)),"")))</f>
        <v>1.6215999999999999</v>
      </c>
      <c r="P5" s="267">
        <f>IFERROR(IF(O5&gt;0,O5-(TBIcalc!$Q$9),""),"")</f>
        <v>1.4709999999999999</v>
      </c>
      <c r="Q5" s="278">
        <f>IFERROR(INDEX('Ashed teabags dry'!$K$2:$K$825,MATCH(J5,'Ashed teabags dry'!$A$2:$A$825,0)),"")</f>
        <v>8.5846867749423765</v>
      </c>
      <c r="R5" s="278">
        <f t="shared" si="2"/>
        <v>1.3447192575405975</v>
      </c>
      <c r="S5" s="268">
        <f>'Dry_Litterbag Placem_Collection'!E6</f>
        <v>42938</v>
      </c>
      <c r="T5" s="268">
        <f>IF('Dry_Litterbag Placem_Collection'!G6="","",'Dry_Litterbag Placem_Collection'!G6)</f>
        <v>43007</v>
      </c>
      <c r="U5" s="269">
        <f t="shared" si="0"/>
        <v>69</v>
      </c>
      <c r="V5" s="267">
        <f t="shared" si="3"/>
        <v>0.31020000000000025</v>
      </c>
      <c r="W5" s="267">
        <f t="shared" si="4"/>
        <v>0.33825173622296889</v>
      </c>
      <c r="X5" s="271">
        <f>IFERROR(INDEX(Rainfall_Dry!$O$2:$O$217,MATCH(B5, Rainfall_Dry!$A$2:$A$217,0)),"")</f>
        <v>6.900000125</v>
      </c>
      <c r="Y5" s="260">
        <v>12.565665055683967</v>
      </c>
      <c r="Z5" s="260">
        <v>0.9665896196679955</v>
      </c>
      <c r="AA5" s="260">
        <v>86.467745324648035</v>
      </c>
      <c r="AB5" s="261" t="s">
        <v>2672</v>
      </c>
      <c r="AC5" s="260">
        <v>4.02257269590931</v>
      </c>
      <c r="AD5" t="str">
        <f>IF('WetLitterbags placem_collection'!AB6="","",'WetLitterbags placem_collection'!AB6)</f>
        <v/>
      </c>
      <c r="AE5" t="str">
        <f>IF('WetLitterbags placem_collection'!Z6="","",'WetLitterbags placem_collection'!Z6)</f>
        <v/>
      </c>
      <c r="AF5" s="246" t="str">
        <f>IF('WetLitterbags placem_collection'!AA6="","",'WetLitterbags placem_collection'!AA6)</f>
        <v/>
      </c>
      <c r="AG5" t="str">
        <f>IF('WetLitterbags placem_collection'!AC6="","",'WetLitterbags placem_collection'!AC6)</f>
        <v/>
      </c>
      <c r="AH5">
        <f>IFERROR(AVERAGE('Dry_Litterbag Placem_Collection'!O6,'Dry_Litterbag Placem_Collection'!R6),"")</f>
        <v>2.25</v>
      </c>
      <c r="AI5" s="271">
        <f>IFERROR(AVERAGE('Dry_Litterbag Placem_Collection'!N6,'Dry_Litterbag Placem_Collection'!Q6),"")</f>
        <v>27.35</v>
      </c>
      <c r="AJ5" s="270">
        <f>INDEX(Coordinates!$B$2:$B$197,MATCH(G5,Coordinates!$J$2:$J$197,0))</f>
        <v>-3.3977780399999999</v>
      </c>
      <c r="AK5" s="270">
        <f>INDEX(Coordinates!$C$2:$C$197,MATCH(G5,Coordinates!$J$2:$J$197,0))</f>
        <v>34.83751204</v>
      </c>
      <c r="AL5" s="270" t="str">
        <f>IF(ISNUMBER(SEARCH("C", 'Dry_Litterbag Placem_Collection'!S6)),"YES","NO")</f>
        <v>NO</v>
      </c>
      <c r="AM5" s="270" t="str">
        <f>IF(ISNUMBER(SEARCH("H", 'Dry_Litterbag Placem_Collection'!S6)),"YES","NO")</f>
        <v>NO</v>
      </c>
      <c r="AN5" s="270" t="str">
        <f>IF(ISNUMBER(SEARCH("R", 'Dry_Litterbag Placem_Collection'!S6)),"YES","NO")</f>
        <v>NO</v>
      </c>
    </row>
    <row r="6" spans="1:40">
      <c r="A6" s="262" t="s">
        <v>2659</v>
      </c>
      <c r="B6" s="263">
        <f>'Dry_Litterbag Placem_Collection'!A7</f>
        <v>5</v>
      </c>
      <c r="C6" s="263" t="str">
        <f>'Dry_Litterbag Placem_Collection'!B7</f>
        <v>Makao</v>
      </c>
      <c r="D6" s="263" t="s">
        <v>2659</v>
      </c>
      <c r="E6" s="263" t="s">
        <v>2660</v>
      </c>
      <c r="F6" s="263">
        <v>1</v>
      </c>
      <c r="G6" s="264" t="str">
        <f>'Dry_Litterbag Placem_Collection'!C7</f>
        <v>Dry_Ag1_T5</v>
      </c>
      <c r="H6" s="265" t="s">
        <v>2541</v>
      </c>
      <c r="I6" s="266" t="s">
        <v>1147</v>
      </c>
      <c r="J6" s="263" t="str">
        <f>IF(ISBLANK('Dry_Litterbag Placem_Collection'!J7),"","G"&amp;""&amp;'Dry_Litterbag Placem_Collection'!J7)</f>
        <v>G122</v>
      </c>
      <c r="K6" s="267">
        <f>IFERROR(INDEX('Green_rooibos initial weight'!$C$5:$C$1749,MATCH(J6, 'Green_rooibos initial weight'!$A$5:$A$1749,0)),"")</f>
        <v>1.95</v>
      </c>
      <c r="L6" s="267">
        <f>IFERROR(K6-(TBIcalc!$Q$9+TBIcalc!$Q$10),"")</f>
        <v>1.7001999999999999</v>
      </c>
      <c r="M6" s="391">
        <f>AVERAGE(Ashed_controlls!$K$2:$K$11)</f>
        <v>5.5147656768714146</v>
      </c>
      <c r="N6" s="267">
        <f t="shared" si="1"/>
        <v>1.6064379539618321</v>
      </c>
      <c r="O6" s="267" t="str">
        <f>IF(IFERROR(INDEX('Both teabags AfterDry'!$D$3:$D$900,MATCH(J6,'Both teabags AfterDry'!$A$3:$A$900,0)),"")="","",(IFERROR(INDEX('Both teabags AfterDry'!$D$3:$D$900,MATCH(J6,'Both teabags AfterDry'!$A$3:$A$900,0)),"")))</f>
        <v/>
      </c>
      <c r="P6" s="267" t="str">
        <f>IFERROR(IF(O6&gt;0,O6-(TBIcalc!$Q$9),""),"")</f>
        <v/>
      </c>
      <c r="Q6" s="278" t="str">
        <f>IFERROR(INDEX('Ashed teabags dry'!$K$2:$K$825,MATCH(J6,'Ashed teabags dry'!$A$2:$A$825,0)),"")</f>
        <v/>
      </c>
      <c r="R6" s="278" t="str">
        <f t="shared" si="2"/>
        <v/>
      </c>
      <c r="S6" s="268">
        <f>'Dry_Litterbag Placem_Collection'!E7</f>
        <v>42938</v>
      </c>
      <c r="T6" s="268" t="str">
        <f>IF('Dry_Litterbag Placem_Collection'!G7="","",'Dry_Litterbag Placem_Collection'!G7)</f>
        <v/>
      </c>
      <c r="U6" s="269" t="str">
        <f t="shared" si="0"/>
        <v/>
      </c>
      <c r="V6" s="267" t="str">
        <f t="shared" si="3"/>
        <v/>
      </c>
      <c r="W6" s="267" t="str">
        <f t="shared" si="4"/>
        <v/>
      </c>
      <c r="X6" s="271" t="str">
        <f>IFERROR(INDEX(Rainfall_Dry!$O$2:$O$217,MATCH(B6, Rainfall_Dry!$A$2:$A$217,0)),"")</f>
        <v/>
      </c>
      <c r="Y6" s="260">
        <v>12.565665055683967</v>
      </c>
      <c r="Z6" s="260">
        <v>0.9665896196679955</v>
      </c>
      <c r="AA6" s="260">
        <v>86.467745324648035</v>
      </c>
      <c r="AB6" s="261" t="s">
        <v>2672</v>
      </c>
      <c r="AC6" s="260">
        <v>5.02257269590931</v>
      </c>
      <c r="AD6">
        <f>IF('WetLitterbags placem_collection'!AB7="","",'WetLitterbags placem_collection'!AB7)</f>
        <v>28.4</v>
      </c>
      <c r="AE6">
        <f>IF('WetLitterbags placem_collection'!Z7="","",'WetLitterbags placem_collection'!Z7)</f>
        <v>36.4</v>
      </c>
      <c r="AF6" s="246" t="str">
        <f>IF('WetLitterbags placem_collection'!AA7="","",'WetLitterbags placem_collection'!AA7)</f>
        <v>M</v>
      </c>
      <c r="AG6">
        <f>IF('WetLitterbags placem_collection'!AC7="","",'WetLitterbags placem_collection'!AC7)</f>
        <v>1</v>
      </c>
      <c r="AH6">
        <f>IFERROR(AVERAGE('Dry_Litterbag Placem_Collection'!O7,'Dry_Litterbag Placem_Collection'!R7),"")</f>
        <v>3.2</v>
      </c>
      <c r="AI6" s="271">
        <f>IFERROR(AVERAGE('Dry_Litterbag Placem_Collection'!N7,'Dry_Litterbag Placem_Collection'!Q7),"")</f>
        <v>26.7</v>
      </c>
      <c r="AJ6" s="270">
        <f>INDEX(Coordinates!$B$2:$B$197,MATCH(G6,Coordinates!$J$2:$J$197,0))</f>
        <v>-3.3978020120000001</v>
      </c>
      <c r="AK6" s="270">
        <f>INDEX(Coordinates!$C$2:$C$197,MATCH(G6,Coordinates!$J$2:$J$197,0))</f>
        <v>34.83751204</v>
      </c>
      <c r="AL6" s="270" t="str">
        <f>IF(ISNUMBER(SEARCH("C", 'Dry_Litterbag Placem_Collection'!S7)),"YES","NO")</f>
        <v>NO</v>
      </c>
      <c r="AM6" s="270" t="str">
        <f>IF(ISNUMBER(SEARCH("H", 'Dry_Litterbag Placem_Collection'!S7)),"YES","NO")</f>
        <v>NO</v>
      </c>
      <c r="AN6" s="270" t="str">
        <f>IF(ISNUMBER(SEARCH("R", 'Dry_Litterbag Placem_Collection'!S7)),"YES","NO")</f>
        <v>NO</v>
      </c>
    </row>
    <row r="7" spans="1:40">
      <c r="A7" s="262" t="s">
        <v>2659</v>
      </c>
      <c r="B7" s="263">
        <f>'Dry_Litterbag Placem_Collection'!A8</f>
        <v>6</v>
      </c>
      <c r="C7" s="263" t="str">
        <f>'Dry_Litterbag Placem_Collection'!B8</f>
        <v>Makao</v>
      </c>
      <c r="D7" s="263" t="s">
        <v>2659</v>
      </c>
      <c r="E7" s="263" t="s">
        <v>2660</v>
      </c>
      <c r="F7" s="263">
        <v>1</v>
      </c>
      <c r="G7" s="264" t="str">
        <f>'Dry_Litterbag Placem_Collection'!C8</f>
        <v>Dry_Ag1_T6</v>
      </c>
      <c r="H7" s="265" t="s">
        <v>2541</v>
      </c>
      <c r="I7" s="266" t="s">
        <v>1147</v>
      </c>
      <c r="J7" s="263" t="str">
        <f>IF(ISBLANK('Dry_Litterbag Placem_Collection'!J8),"","G"&amp;""&amp;'Dry_Litterbag Placem_Collection'!J8)</f>
        <v>G478</v>
      </c>
      <c r="K7" s="267">
        <f>IFERROR(INDEX('Green_rooibos initial weight'!$C$5:$C$1749,MATCH(J7, 'Green_rooibos initial weight'!$A$5:$A$1749,0)),"")</f>
        <v>2.056</v>
      </c>
      <c r="L7" s="267">
        <f>IFERROR(K7-(TBIcalc!$Q$9+TBIcalc!$Q$10),"")</f>
        <v>1.8062</v>
      </c>
      <c r="M7" s="391">
        <f>AVERAGE(Ashed_controlls!$K$2:$K$11)</f>
        <v>5.5147656768714146</v>
      </c>
      <c r="N7" s="267">
        <f t="shared" si="1"/>
        <v>1.7065923023443486</v>
      </c>
      <c r="O7" s="267" t="str">
        <f>IF(IFERROR(INDEX('Both teabags AfterDry'!$D$3:$D$900,MATCH(J7,'Both teabags AfterDry'!$A$3:$A$900,0)),"")="","",(IFERROR(INDEX('Both teabags AfterDry'!$D$3:$D$900,MATCH(J7,'Both teabags AfterDry'!$A$3:$A$900,0)),"")))</f>
        <v/>
      </c>
      <c r="P7" s="267" t="str">
        <f>IFERROR(IF(O7&gt;0,O7-(TBIcalc!$Q$9),""),"")</f>
        <v/>
      </c>
      <c r="Q7" s="278" t="str">
        <f>IFERROR(INDEX('Ashed teabags dry'!$K$2:$K$825,MATCH(J7,'Ashed teabags dry'!$A$2:$A$825,0)),"")</f>
        <v/>
      </c>
      <c r="R7" s="278" t="str">
        <f t="shared" si="2"/>
        <v/>
      </c>
      <c r="S7" s="268">
        <f>'Dry_Litterbag Placem_Collection'!E8</f>
        <v>42938</v>
      </c>
      <c r="T7" s="268">
        <f>IF('Dry_Litterbag Placem_Collection'!G8="","",'Dry_Litterbag Placem_Collection'!G8)</f>
        <v>43007</v>
      </c>
      <c r="U7" s="269">
        <f t="shared" si="0"/>
        <v>69</v>
      </c>
      <c r="V7" s="267" t="str">
        <f t="shared" si="3"/>
        <v/>
      </c>
      <c r="W7" s="267" t="str">
        <f t="shared" si="4"/>
        <v/>
      </c>
      <c r="X7" s="271">
        <f>IFERROR(INDEX(Rainfall_Dry!$O$2:$O$217,MATCH(B7, Rainfall_Dry!$A$2:$A$217,0)),"")</f>
        <v>6.900000125</v>
      </c>
      <c r="Y7" s="260">
        <v>12.565665055683967</v>
      </c>
      <c r="Z7" s="260">
        <v>0.9665896196679955</v>
      </c>
      <c r="AA7" s="260">
        <v>86.467745324648035</v>
      </c>
      <c r="AB7" s="261" t="s">
        <v>2672</v>
      </c>
      <c r="AC7" s="260">
        <v>6.02257269590931</v>
      </c>
      <c r="AD7">
        <f>IF('WetLitterbags placem_collection'!AB8="","",'WetLitterbags placem_collection'!AB8)</f>
        <v>32.4</v>
      </c>
      <c r="AE7">
        <f>IF('WetLitterbags placem_collection'!Z8="","",'WetLitterbags placem_collection'!Z8)</f>
        <v>31</v>
      </c>
      <c r="AF7" s="246" t="str">
        <f>IF('WetLitterbags placem_collection'!AA8="","",'WetLitterbags placem_collection'!AA8)</f>
        <v>M</v>
      </c>
      <c r="AG7">
        <f>IF('WetLitterbags placem_collection'!AC8="","",'WetLitterbags placem_collection'!AC8)</f>
        <v>1</v>
      </c>
      <c r="AH7">
        <f>IFERROR(AVERAGE('Dry_Litterbag Placem_Collection'!O8,'Dry_Litterbag Placem_Collection'!R8),"")</f>
        <v>5.35</v>
      </c>
      <c r="AI7" s="271">
        <f>IFERROR(AVERAGE('Dry_Litterbag Placem_Collection'!N8,'Dry_Litterbag Placem_Collection'!Q8),"")</f>
        <v>26.6</v>
      </c>
      <c r="AJ7" s="270">
        <f>INDEX(Coordinates!$B$2:$B$197,MATCH(G7,Coordinates!$J$2:$J$197,0))</f>
        <v>-3.3977389800000002</v>
      </c>
      <c r="AK7" s="270">
        <f>INDEX(Coordinates!$C$2:$C$197,MATCH(G7,Coordinates!$J$2:$J$197,0))</f>
        <v>34.837501979999999</v>
      </c>
      <c r="AL7" s="270" t="str">
        <f>IF(ISNUMBER(SEARCH("C", 'Dry_Litterbag Placem_Collection'!S8)),"YES","NO")</f>
        <v>NO</v>
      </c>
      <c r="AM7" s="270" t="str">
        <f>IF(ISNUMBER(SEARCH("H", 'Dry_Litterbag Placem_Collection'!S8)),"YES","NO")</f>
        <v>NO</v>
      </c>
      <c r="AN7" s="270" t="str">
        <f>IF(ISNUMBER(SEARCH("R", 'Dry_Litterbag Placem_Collection'!S8)),"YES","NO")</f>
        <v>NO</v>
      </c>
    </row>
    <row r="8" spans="1:40">
      <c r="A8" s="262" t="s">
        <v>2659</v>
      </c>
      <c r="B8" s="263">
        <f>'Dry_Litterbag Placem_Collection'!A9</f>
        <v>7</v>
      </c>
      <c r="C8" s="263" t="str">
        <f>'Dry_Litterbag Placem_Collection'!B9</f>
        <v>Makao</v>
      </c>
      <c r="D8" s="263" t="s">
        <v>2659</v>
      </c>
      <c r="E8" s="263" t="s">
        <v>2660</v>
      </c>
      <c r="F8" s="263">
        <v>1</v>
      </c>
      <c r="G8" s="264" t="str">
        <f>'Dry_Litterbag Placem_Collection'!C9</f>
        <v>Dry_Ag1_T7</v>
      </c>
      <c r="H8" s="265" t="s">
        <v>2541</v>
      </c>
      <c r="I8" s="266" t="s">
        <v>1147</v>
      </c>
      <c r="J8" s="263" t="str">
        <f>IF(ISBLANK('Dry_Litterbag Placem_Collection'!J9),"","G"&amp;""&amp;'Dry_Litterbag Placem_Collection'!J9)</f>
        <v>G106</v>
      </c>
      <c r="K8" s="267">
        <f>IFERROR(INDEX('Green_rooibos initial weight'!$C$5:$C$1749,MATCH(J8, 'Green_rooibos initial weight'!$A$5:$A$1749,0)),"")</f>
        <v>2.1230000000000002</v>
      </c>
      <c r="L8" s="267">
        <f>IFERROR(K8-(TBIcalc!$Q$9+TBIcalc!$Q$10),"")</f>
        <v>1.8732000000000002</v>
      </c>
      <c r="M8" s="391">
        <f>AVERAGE(Ashed_controlls!$K$2:$K$11)</f>
        <v>5.5147656768714146</v>
      </c>
      <c r="N8" s="267">
        <f t="shared" si="1"/>
        <v>1.7698974093408448</v>
      </c>
      <c r="O8" s="267">
        <f>IF(IFERROR(INDEX('Both teabags AfterDry'!$D$3:$D$900,MATCH(J8,'Both teabags AfterDry'!$A$3:$A$900,0)),"")="","",(IFERROR(INDEX('Both teabags AfterDry'!$D$3:$D$900,MATCH(J8,'Both teabags AfterDry'!$A$3:$A$900,0)),"")))</f>
        <v>2.0188999999999999</v>
      </c>
      <c r="P8" s="267">
        <f>IFERROR(IF(O8&gt;0,O8-(TBIcalc!$Q$9),""),"")</f>
        <v>1.8682999999999998</v>
      </c>
      <c r="Q8" s="278">
        <f>IFERROR(INDEX('Ashed teabags dry'!$K$2:$K$825,MATCH(J8,'Ashed teabags dry'!$A$2:$A$825,0)),"")</f>
        <v>8.482523444160524</v>
      </c>
      <c r="R8" s="278">
        <f t="shared" si="2"/>
        <v>1.7098210144927488</v>
      </c>
      <c r="S8" s="268">
        <f>'Dry_Litterbag Placem_Collection'!E9</f>
        <v>42938</v>
      </c>
      <c r="T8" s="268">
        <f>IF('Dry_Litterbag Placem_Collection'!G9="","",'Dry_Litterbag Placem_Collection'!G9)</f>
        <v>43007</v>
      </c>
      <c r="U8" s="269">
        <f t="shared" si="0"/>
        <v>69</v>
      </c>
      <c r="V8" s="267">
        <f t="shared" si="3"/>
        <v>4.9000000000003485E-3</v>
      </c>
      <c r="W8" s="267">
        <f t="shared" si="4"/>
        <v>6.0076394848096015E-2</v>
      </c>
      <c r="X8" s="271">
        <f>IFERROR(INDEX(Rainfall_Dry!$O$2:$O$217,MATCH(B8, Rainfall_Dry!$A$2:$A$217,0)),"")</f>
        <v>6.900000125</v>
      </c>
      <c r="Y8" s="260">
        <v>12.565665055683967</v>
      </c>
      <c r="Z8" s="260">
        <v>0.9665896196679955</v>
      </c>
      <c r="AA8" s="260">
        <v>86.467745324648035</v>
      </c>
      <c r="AB8" s="261" t="s">
        <v>2672</v>
      </c>
      <c r="AC8" s="260">
        <v>7.02257269590931</v>
      </c>
      <c r="AD8">
        <f>IF('WetLitterbags placem_collection'!AB9="","",'WetLitterbags placem_collection'!AB9)</f>
        <v>36</v>
      </c>
      <c r="AE8">
        <f>IF('WetLitterbags placem_collection'!Z9="","",'WetLitterbags placem_collection'!Z9)</f>
        <v>43.4</v>
      </c>
      <c r="AF8" s="246" t="str">
        <f>IF('WetLitterbags placem_collection'!AA9="","",'WetLitterbags placem_collection'!AA9)</f>
        <v>M</v>
      </c>
      <c r="AG8">
        <f>IF('WetLitterbags placem_collection'!AC9="","",'WetLitterbags placem_collection'!AC9)</f>
        <v>1</v>
      </c>
      <c r="AH8">
        <f>IFERROR(AVERAGE('Dry_Litterbag Placem_Collection'!O9,'Dry_Litterbag Placem_Collection'!R9),"")</f>
        <v>2.95</v>
      </c>
      <c r="AI8" s="271">
        <f>IFERROR(AVERAGE('Dry_Litterbag Placem_Collection'!N9,'Dry_Litterbag Placem_Collection'!Q9),"")</f>
        <v>24.75</v>
      </c>
      <c r="AJ8" s="270">
        <f>INDEX(Coordinates!$B$2:$B$197,MATCH(G8,Coordinates!$J$2:$J$197,0))</f>
        <v>-3.3977630360000002</v>
      </c>
      <c r="AK8" s="270">
        <f>INDEX(Coordinates!$C$2:$C$197,MATCH(G8,Coordinates!$J$2:$J$197,0))</f>
        <v>34.837600969999997</v>
      </c>
      <c r="AL8" s="270" t="str">
        <f>IF(ISNUMBER(SEARCH("C", 'Dry_Litterbag Placem_Collection'!S9)),"YES","NO")</f>
        <v>NO</v>
      </c>
      <c r="AM8" s="270" t="str">
        <f>IF(ISNUMBER(SEARCH("H", 'Dry_Litterbag Placem_Collection'!S9)),"YES","NO")</f>
        <v>YES</v>
      </c>
      <c r="AN8" s="270" t="str">
        <f>IF(ISNUMBER(SEARCH("R", 'Dry_Litterbag Placem_Collection'!S9)),"YES","NO")</f>
        <v>NO</v>
      </c>
    </row>
    <row r="9" spans="1:40">
      <c r="A9" s="262" t="s">
        <v>2659</v>
      </c>
      <c r="B9" s="263">
        <f>'Dry_Litterbag Placem_Collection'!A10</f>
        <v>8</v>
      </c>
      <c r="C9" s="263" t="str">
        <f>'Dry_Litterbag Placem_Collection'!B10</f>
        <v>Makao</v>
      </c>
      <c r="D9" s="263" t="s">
        <v>2659</v>
      </c>
      <c r="E9" s="263" t="s">
        <v>2660</v>
      </c>
      <c r="F9" s="263">
        <v>1</v>
      </c>
      <c r="G9" s="264" t="str">
        <f>'Dry_Litterbag Placem_Collection'!C10</f>
        <v>Dry_Ag1_T8</v>
      </c>
      <c r="H9" s="265" t="s">
        <v>2541</v>
      </c>
      <c r="I9" s="266" t="s">
        <v>1147</v>
      </c>
      <c r="J9" s="263" t="str">
        <f>IF(ISBLANK('Dry_Litterbag Placem_Collection'!J10),"","G"&amp;""&amp;'Dry_Litterbag Placem_Collection'!J10)</f>
        <v>G228</v>
      </c>
      <c r="K9" s="267">
        <f>IFERROR(INDEX('Green_rooibos initial weight'!$C$5:$C$1749,MATCH(J9, 'Green_rooibos initial weight'!$A$5:$A$1749,0)),"")</f>
        <v>1.976</v>
      </c>
      <c r="L9" s="267">
        <f>IFERROR(K9-(TBIcalc!$Q$9+TBIcalc!$Q$10),"")</f>
        <v>1.7262</v>
      </c>
      <c r="M9" s="391">
        <f>AVERAGE(Ashed_controlls!$K$2:$K$11)</f>
        <v>5.5147656768714146</v>
      </c>
      <c r="N9" s="267">
        <f t="shared" si="1"/>
        <v>1.6310041148858456</v>
      </c>
      <c r="O9" s="267">
        <f>IF(IFERROR(INDEX('Both teabags AfterDry'!$D$3:$D$900,MATCH(J9,'Both teabags AfterDry'!$A$3:$A$900,0)),"")="","",(IFERROR(INDEX('Both teabags AfterDry'!$D$3:$D$900,MATCH(J9,'Both teabags AfterDry'!$A$3:$A$900,0)),"")))</f>
        <v>0.83330000000000004</v>
      </c>
      <c r="P9" s="267">
        <f>IFERROR(IF(O9&gt;0,O9-(TBIcalc!$Q$9),""),"")</f>
        <v>0.68270000000000008</v>
      </c>
      <c r="Q9" s="278">
        <f>IFERROR(INDEX('Ashed teabags dry'!$K$2:$K$825,MATCH(J9,'Ashed teabags dry'!$A$2:$A$825,0)),"")</f>
        <v>14.545454545454678</v>
      </c>
      <c r="R9" s="278">
        <f t="shared" si="2"/>
        <v>0.58339818181818104</v>
      </c>
      <c r="S9" s="268">
        <f>'Dry_Litterbag Placem_Collection'!E10</f>
        <v>42938</v>
      </c>
      <c r="T9" s="268">
        <f>IF('Dry_Litterbag Placem_Collection'!G10="","",'Dry_Litterbag Placem_Collection'!G10)</f>
        <v>43007</v>
      </c>
      <c r="U9" s="269">
        <f t="shared" si="0"/>
        <v>69</v>
      </c>
      <c r="V9" s="267">
        <f t="shared" si="3"/>
        <v>1.0434999999999999</v>
      </c>
      <c r="W9" s="267">
        <f t="shared" si="4"/>
        <v>1.0476059330676646</v>
      </c>
      <c r="X9" s="271">
        <f>IFERROR(INDEX(Rainfall_Dry!$O$2:$O$217,MATCH(B9, Rainfall_Dry!$A$2:$A$217,0)),"")</f>
        <v>6.900000125</v>
      </c>
      <c r="Y9" s="260">
        <v>12.565665055683967</v>
      </c>
      <c r="Z9" s="260">
        <v>0.9665896196679955</v>
      </c>
      <c r="AA9" s="260">
        <v>86.467745324648035</v>
      </c>
      <c r="AB9" s="261" t="s">
        <v>2672</v>
      </c>
      <c r="AC9" s="260">
        <v>8.0225726959093109</v>
      </c>
      <c r="AD9">
        <f>IF('WetLitterbags placem_collection'!AB10="","",'WetLitterbags placem_collection'!AB10)</f>
        <v>36</v>
      </c>
      <c r="AE9">
        <f>IF('WetLitterbags placem_collection'!Z10="","",'WetLitterbags placem_collection'!Z10)</f>
        <v>38.4</v>
      </c>
      <c r="AF9" s="246" t="str">
        <f>IF('WetLitterbags placem_collection'!AA10="","",'WetLitterbags placem_collection'!AA10)</f>
        <v>M</v>
      </c>
      <c r="AG9" t="str">
        <f>IF('WetLitterbags placem_collection'!AC10="","",'WetLitterbags placem_collection'!AC10)</f>
        <v/>
      </c>
      <c r="AH9">
        <f>IFERROR(AVERAGE('Dry_Litterbag Placem_Collection'!O10,'Dry_Litterbag Placem_Collection'!R10),"")</f>
        <v>2.5999999999999996</v>
      </c>
      <c r="AI9" s="271">
        <f>IFERROR(AVERAGE('Dry_Litterbag Placem_Collection'!N10,'Dry_Litterbag Placem_Collection'!Q10),"")</f>
        <v>26</v>
      </c>
      <c r="AJ9" s="270">
        <f>INDEX(Coordinates!$B$2:$B$197,MATCH(G9,Coordinates!$J$2:$J$197,0))</f>
        <v>-3.3977320230000001</v>
      </c>
      <c r="AK9" s="270">
        <f>INDEX(Coordinates!$C$2:$C$197,MATCH(G9,Coordinates!$J$2:$J$197,0))</f>
        <v>34.837561989999998</v>
      </c>
      <c r="AL9" s="270" t="str">
        <f>IF(ISNUMBER(SEARCH("C", 'Dry_Litterbag Placem_Collection'!S10)),"YES","NO")</f>
        <v>NO</v>
      </c>
      <c r="AM9" s="270" t="str">
        <f>IF(ISNUMBER(SEARCH("H", 'Dry_Litterbag Placem_Collection'!S10)),"YES","NO")</f>
        <v>NO</v>
      </c>
      <c r="AN9" s="270" t="str">
        <f>IF(ISNUMBER(SEARCH("R", 'Dry_Litterbag Placem_Collection'!S10)),"YES","NO")</f>
        <v>YES</v>
      </c>
    </row>
    <row r="10" spans="1:40">
      <c r="A10" s="262" t="s">
        <v>2659</v>
      </c>
      <c r="B10" s="263">
        <f>'Dry_Litterbag Placem_Collection'!A11</f>
        <v>9</v>
      </c>
      <c r="C10" s="263" t="str">
        <f>'Dry_Litterbag Placem_Collection'!B11</f>
        <v>Makao</v>
      </c>
      <c r="D10" s="263" t="s">
        <v>2659</v>
      </c>
      <c r="E10" s="263" t="s">
        <v>2660</v>
      </c>
      <c r="F10" s="263">
        <v>2</v>
      </c>
      <c r="G10" s="264" t="str">
        <f>'Dry_Litterbag Placem_Collection'!C11</f>
        <v>Dry_Ag2_T1</v>
      </c>
      <c r="H10" s="265" t="s">
        <v>2541</v>
      </c>
      <c r="I10" s="266" t="s">
        <v>1147</v>
      </c>
      <c r="J10" s="263" t="str">
        <f>IF(ISBLANK('Dry_Litterbag Placem_Collection'!J11),"","G"&amp;""&amp;'Dry_Litterbag Placem_Collection'!J11)</f>
        <v>G277</v>
      </c>
      <c r="K10" s="267">
        <f>IFERROR(INDEX('Green_rooibos initial weight'!$C$5:$C$1749,MATCH(J10, 'Green_rooibos initial weight'!$A$5:$A$1749,0)),"")</f>
        <v>1.93</v>
      </c>
      <c r="L10" s="267">
        <f>IFERROR(K10-(TBIcalc!$Q$9+TBIcalc!$Q$10),"")</f>
        <v>1.6801999999999999</v>
      </c>
      <c r="M10" s="391">
        <f>AVERAGE(Ashed_controlls!$K$2:$K$11)</f>
        <v>5.5147656768714146</v>
      </c>
      <c r="N10" s="267">
        <f t="shared" si="1"/>
        <v>1.5875409070972064</v>
      </c>
      <c r="O10" s="267">
        <f>IF(IFERROR(INDEX('Both teabags AfterDry'!$D$3:$D$900,MATCH(J10,'Both teabags AfterDry'!$A$3:$A$900,0)),"")="","",(IFERROR(INDEX('Both teabags AfterDry'!$D$3:$D$900,MATCH(J10,'Both teabags AfterDry'!$A$3:$A$900,0)),"")))</f>
        <v>1.9345000000000001</v>
      </c>
      <c r="P10" s="267">
        <f>IFERROR(IF(O10&gt;0,O10-(TBIcalc!$Q$9),""),"")</f>
        <v>1.7839</v>
      </c>
      <c r="Q10" s="278">
        <f>IFERROR(INDEX('Ashed teabags dry'!$K$2:$K$825,MATCH(J10,'Ashed teabags dry'!$A$2:$A$825,0)),"")</f>
        <v>22.768222768222728</v>
      </c>
      <c r="R10" s="278">
        <f t="shared" si="2"/>
        <v>1.3777376740376748</v>
      </c>
      <c r="S10" s="268">
        <f>'Dry_Litterbag Placem_Collection'!E11</f>
        <v>42938</v>
      </c>
      <c r="T10" s="268">
        <f>IF('Dry_Litterbag Placem_Collection'!G11="","",'Dry_Litterbag Placem_Collection'!G11)</f>
        <v>43007</v>
      </c>
      <c r="U10" s="269">
        <f t="shared" si="0"/>
        <v>69</v>
      </c>
      <c r="V10" s="267">
        <f t="shared" si="3"/>
        <v>-0.10370000000000013</v>
      </c>
      <c r="W10" s="267">
        <f t="shared" si="4"/>
        <v>0.20980323305953164</v>
      </c>
      <c r="X10" s="271">
        <f>IFERROR(INDEX(Rainfall_Dry!$O$2:$O$217,MATCH(B10, Rainfall_Dry!$A$2:$A$217,0)),"")</f>
        <v>6.900000125</v>
      </c>
      <c r="Y10" s="260">
        <v>21.13063730679653</v>
      </c>
      <c r="Z10" s="260">
        <v>3.0912555579081076</v>
      </c>
      <c r="AA10" s="260">
        <v>75.778107135295357</v>
      </c>
      <c r="AB10" s="261" t="s">
        <v>2670</v>
      </c>
      <c r="AC10" s="260">
        <v>0.46131099063578063</v>
      </c>
      <c r="AD10">
        <f>IF('WetLitterbags placem_collection'!AB11="","",'WetLitterbags placem_collection'!AB11)</f>
        <v>10.8</v>
      </c>
      <c r="AE10">
        <f>IF('WetLitterbags placem_collection'!Z11="","",'WetLitterbags placem_collection'!Z11)</f>
        <v>28.4</v>
      </c>
      <c r="AF10" s="246" t="str">
        <f>IF('WetLitterbags placem_collection'!AA11="","",'WetLitterbags placem_collection'!AA11)</f>
        <v>M</v>
      </c>
      <c r="AG10">
        <f>IF('WetLitterbags placem_collection'!AC11="","",'WetLitterbags placem_collection'!AC11)</f>
        <v>0</v>
      </c>
      <c r="AH10">
        <f>IFERROR(AVERAGE('Dry_Litterbag Placem_Collection'!O11,'Dry_Litterbag Placem_Collection'!R11),"")</f>
        <v>3.3</v>
      </c>
      <c r="AI10" s="271">
        <f>IFERROR(AVERAGE('Dry_Litterbag Placem_Collection'!N11,'Dry_Litterbag Placem_Collection'!Q11),"")</f>
        <v>26.15</v>
      </c>
      <c r="AJ10" s="270">
        <f>INDEX(Coordinates!$B$2:$B$197,MATCH(G10,Coordinates!$J$2:$J$197,0))</f>
        <v>-3.3978290019999999</v>
      </c>
      <c r="AK10" s="270">
        <f>INDEX(Coordinates!$C$2:$C$197,MATCH(G10,Coordinates!$J$2:$J$197,0))</f>
        <v>34.837011969999999</v>
      </c>
      <c r="AL10" s="270" t="str">
        <f>IF(ISNUMBER(SEARCH("C", 'Dry_Litterbag Placem_Collection'!S11)),"YES","NO")</f>
        <v>YES</v>
      </c>
      <c r="AM10" s="270" t="str">
        <f>IF(ISNUMBER(SEARCH("H", 'Dry_Litterbag Placem_Collection'!S11)),"YES","NO")</f>
        <v>YES</v>
      </c>
      <c r="AN10" s="270" t="str">
        <f>IF(ISNUMBER(SEARCH("R", 'Dry_Litterbag Placem_Collection'!S11)),"YES","NO")</f>
        <v>NO</v>
      </c>
    </row>
    <row r="11" spans="1:40">
      <c r="A11" s="262" t="s">
        <v>2659</v>
      </c>
      <c r="B11" s="263">
        <f>'Dry_Litterbag Placem_Collection'!A12</f>
        <v>10</v>
      </c>
      <c r="C11" s="263" t="str">
        <f>'Dry_Litterbag Placem_Collection'!B12</f>
        <v>Makao</v>
      </c>
      <c r="D11" s="263" t="s">
        <v>2659</v>
      </c>
      <c r="E11" s="263" t="s">
        <v>2660</v>
      </c>
      <c r="F11" s="263">
        <v>2</v>
      </c>
      <c r="G11" s="264" t="str">
        <f>'Dry_Litterbag Placem_Collection'!C12</f>
        <v>Dry_Ag2_T2</v>
      </c>
      <c r="H11" s="265" t="s">
        <v>2541</v>
      </c>
      <c r="I11" s="266" t="s">
        <v>1147</v>
      </c>
      <c r="J11" s="263" t="str">
        <f>IF(ISBLANK('Dry_Litterbag Placem_Collection'!J12),"","G"&amp;""&amp;'Dry_Litterbag Placem_Collection'!J12)</f>
        <v>G310</v>
      </c>
      <c r="K11" s="267">
        <f>IFERROR(INDEX('Green_rooibos initial weight'!$C$5:$C$1749,MATCH(J11, 'Green_rooibos initial weight'!$A$5:$A$1749,0)),"")</f>
        <v>2.0459999999999998</v>
      </c>
      <c r="L11" s="267">
        <f>IFERROR(K11-(TBIcalc!$Q$9+TBIcalc!$Q$10),"")</f>
        <v>1.7961999999999998</v>
      </c>
      <c r="M11" s="391">
        <f>AVERAGE(Ashed_controlls!$K$2:$K$11)</f>
        <v>5.5147656768714146</v>
      </c>
      <c r="N11" s="267">
        <f t="shared" si="1"/>
        <v>1.6971437789120354</v>
      </c>
      <c r="O11" s="267" t="str">
        <f>IF(IFERROR(INDEX('Both teabags AfterDry'!$D$3:$D$900,MATCH(J11,'Both teabags AfterDry'!$A$3:$A$900,0)),"")="","",(IFERROR(INDEX('Both teabags AfterDry'!$D$3:$D$900,MATCH(J11,'Both teabags AfterDry'!$A$3:$A$900,0)),"")))</f>
        <v/>
      </c>
      <c r="P11" s="267" t="str">
        <f>IFERROR(IF(O11&gt;0,O11-(TBIcalc!$Q$9),""),"")</f>
        <v/>
      </c>
      <c r="Q11" s="278" t="str">
        <f>IFERROR(INDEX('Ashed teabags dry'!$K$2:$K$825,MATCH(J11,'Ashed teabags dry'!$A$2:$A$825,0)),"")</f>
        <v/>
      </c>
      <c r="R11" s="278" t="str">
        <f t="shared" si="2"/>
        <v/>
      </c>
      <c r="S11" s="268">
        <f>'Dry_Litterbag Placem_Collection'!E12</f>
        <v>42938</v>
      </c>
      <c r="T11" s="268" t="str">
        <f>IF('Dry_Litterbag Placem_Collection'!G12="","",'Dry_Litterbag Placem_Collection'!G12)</f>
        <v/>
      </c>
      <c r="U11" s="269" t="str">
        <f t="shared" si="0"/>
        <v/>
      </c>
      <c r="V11" s="267" t="str">
        <f t="shared" si="3"/>
        <v/>
      </c>
      <c r="W11" s="267" t="str">
        <f t="shared" si="4"/>
        <v/>
      </c>
      <c r="X11" s="271" t="str">
        <f>IFERROR(INDEX(Rainfall_Dry!$O$2:$O$217,MATCH(B11, Rainfall_Dry!$A$2:$A$217,0)),"")</f>
        <v/>
      </c>
      <c r="Y11" s="260">
        <v>21.13063730679653</v>
      </c>
      <c r="Z11" s="260">
        <v>3.0912555579081076</v>
      </c>
      <c r="AA11" s="260">
        <v>75.778107135295357</v>
      </c>
      <c r="AB11" s="261" t="s">
        <v>2670</v>
      </c>
      <c r="AC11" s="260">
        <v>1.46131099063578</v>
      </c>
      <c r="AD11">
        <f>IF('WetLitterbags placem_collection'!AB12="","",'WetLitterbags placem_collection'!AB12)</f>
        <v>16.8</v>
      </c>
      <c r="AE11">
        <f>IF('WetLitterbags placem_collection'!Z12="","",'WetLitterbags placem_collection'!Z12)</f>
        <v>30</v>
      </c>
      <c r="AF11" s="246" t="str">
        <f>IF('WetLitterbags placem_collection'!AA12="","",'WetLitterbags placem_collection'!AA12)</f>
        <v>M</v>
      </c>
      <c r="AG11">
        <f>IF('WetLitterbags placem_collection'!AC12="","",'WetLitterbags placem_collection'!AC12)</f>
        <v>0</v>
      </c>
      <c r="AH11">
        <f>IFERROR(AVERAGE('Dry_Litterbag Placem_Collection'!O12,'Dry_Litterbag Placem_Collection'!R12),"")</f>
        <v>1.5</v>
      </c>
      <c r="AI11" s="271">
        <f>IFERROR(AVERAGE('Dry_Litterbag Placem_Collection'!N12,'Dry_Litterbag Placem_Collection'!Q12),"")</f>
        <v>26.1</v>
      </c>
      <c r="AJ11" s="270">
        <f>INDEX(Coordinates!$B$2:$B$197,MATCH(G11,Coordinates!$J$2:$J$197,0))</f>
        <v>-3.3978119869999999</v>
      </c>
      <c r="AK11" s="270">
        <f>INDEX(Coordinates!$C$2:$C$197,MATCH(G11,Coordinates!$J$2:$J$197,0))</f>
        <v>34.836968980000002</v>
      </c>
      <c r="AL11" s="270" t="str">
        <f>IF(ISNUMBER(SEARCH("C", 'Dry_Litterbag Placem_Collection'!S12)),"YES","NO")</f>
        <v>NO</v>
      </c>
      <c r="AM11" s="270" t="str">
        <f>IF(ISNUMBER(SEARCH("H", 'Dry_Litterbag Placem_Collection'!S12)),"YES","NO")</f>
        <v>NO</v>
      </c>
      <c r="AN11" s="270" t="str">
        <f>IF(ISNUMBER(SEARCH("R", 'Dry_Litterbag Placem_Collection'!S12)),"YES","NO")</f>
        <v>NO</v>
      </c>
    </row>
    <row r="12" spans="1:40">
      <c r="A12" s="262" t="s">
        <v>2659</v>
      </c>
      <c r="B12" s="263">
        <f>'Dry_Litterbag Placem_Collection'!A13</f>
        <v>11</v>
      </c>
      <c r="C12" s="263" t="str">
        <f>'Dry_Litterbag Placem_Collection'!B13</f>
        <v>Makao</v>
      </c>
      <c r="D12" s="263" t="s">
        <v>2659</v>
      </c>
      <c r="E12" s="263" t="s">
        <v>2660</v>
      </c>
      <c r="F12" s="263">
        <v>2</v>
      </c>
      <c r="G12" s="264" t="str">
        <f>'Dry_Litterbag Placem_Collection'!C13</f>
        <v>Dry_Ag2_T3</v>
      </c>
      <c r="H12" s="265" t="s">
        <v>2541</v>
      </c>
      <c r="I12" s="266" t="s">
        <v>1147</v>
      </c>
      <c r="J12" s="263" t="str">
        <f>IF(ISBLANK('Dry_Litterbag Placem_Collection'!J13),"","G"&amp;""&amp;'Dry_Litterbag Placem_Collection'!J13)</f>
        <v>G435</v>
      </c>
      <c r="K12" s="267">
        <f>IFERROR(INDEX('Green_rooibos initial weight'!$C$5:$C$1749,MATCH(J12, 'Green_rooibos initial weight'!$A$5:$A$1749,0)),"")</f>
        <v>2.0009999999999999</v>
      </c>
      <c r="L12" s="267">
        <f>IFERROR(K12-(TBIcalc!$Q$9+TBIcalc!$Q$10),"")</f>
        <v>1.7511999999999999</v>
      </c>
      <c r="M12" s="391">
        <f>AVERAGE(Ashed_controlls!$K$2:$K$11)</f>
        <v>5.5147656768714146</v>
      </c>
      <c r="N12" s="267">
        <f t="shared" si="1"/>
        <v>1.6546254234666278</v>
      </c>
      <c r="O12" s="267">
        <f>IF(IFERROR(INDEX('Both teabags AfterDry'!$D$3:$D$900,MATCH(J12,'Both teabags AfterDry'!$A$3:$A$900,0)),"")="","",(IFERROR(INDEX('Both teabags AfterDry'!$D$3:$D$900,MATCH(J12,'Both teabags AfterDry'!$A$3:$A$900,0)),"")))</f>
        <v>1.7934000000000001</v>
      </c>
      <c r="P12" s="267">
        <f>IFERROR(IF(O12&gt;0,O12-(TBIcalc!$Q$9),""),"")</f>
        <v>1.6428</v>
      </c>
      <c r="Q12" s="278">
        <f>IFERROR(INDEX('Ashed teabags dry'!$K$2:$K$825,MATCH(J12,'Ashed teabags dry'!$A$2:$A$825,0)),"")</f>
        <v>10.240078392944513</v>
      </c>
      <c r="R12" s="278">
        <f t="shared" si="2"/>
        <v>1.4745759921607076</v>
      </c>
      <c r="S12" s="268">
        <f>'Dry_Litterbag Placem_Collection'!E13</f>
        <v>42938</v>
      </c>
      <c r="T12" s="268">
        <f>IF('Dry_Litterbag Placem_Collection'!G13="","",'Dry_Litterbag Placem_Collection'!G13)</f>
        <v>43007</v>
      </c>
      <c r="U12" s="269">
        <f t="shared" si="0"/>
        <v>69</v>
      </c>
      <c r="V12" s="267">
        <f t="shared" si="3"/>
        <v>0.10839999999999983</v>
      </c>
      <c r="W12" s="267">
        <f t="shared" si="4"/>
        <v>0.18004943130592022</v>
      </c>
      <c r="X12" s="271">
        <f>IFERROR(INDEX(Rainfall_Dry!$O$2:$O$217,MATCH(B12, Rainfall_Dry!$A$2:$A$217,0)),"")</f>
        <v>6.900000125</v>
      </c>
      <c r="Y12" s="260">
        <v>21.13063730679653</v>
      </c>
      <c r="Z12" s="260">
        <v>3.0912555579081076</v>
      </c>
      <c r="AA12" s="260">
        <v>75.778107135295357</v>
      </c>
      <c r="AB12" s="261" t="s">
        <v>2670</v>
      </c>
      <c r="AC12" s="260">
        <v>2.4613109906357802</v>
      </c>
      <c r="AD12">
        <f>IF('WetLitterbags placem_collection'!AB13="","",'WetLitterbags placem_collection'!AB13)</f>
        <v>11.4</v>
      </c>
      <c r="AE12">
        <f>IF('WetLitterbags placem_collection'!Z13="","",'WetLitterbags placem_collection'!Z13)</f>
        <v>24.4</v>
      </c>
      <c r="AF12" s="246" t="str">
        <f>IF('WetLitterbags placem_collection'!AA13="","",'WetLitterbags placem_collection'!AA13)</f>
        <v>M</v>
      </c>
      <c r="AG12">
        <f>IF('WetLitterbags placem_collection'!AC13="","",'WetLitterbags placem_collection'!AC13)</f>
        <v>0</v>
      </c>
      <c r="AH12">
        <f>IFERROR(AVERAGE('Dry_Litterbag Placem_Collection'!O13,'Dry_Litterbag Placem_Collection'!R13),"")</f>
        <v>5.3</v>
      </c>
      <c r="AI12" s="271">
        <f>IFERROR(AVERAGE('Dry_Litterbag Placem_Collection'!N13,'Dry_Litterbag Placem_Collection'!Q13),"")</f>
        <v>26.450000000000003</v>
      </c>
      <c r="AJ12" s="270">
        <f>INDEX(Coordinates!$B$2:$B$197,MATCH(G12,Coordinates!$J$2:$J$197,0))</f>
        <v>-3.3977929599999999</v>
      </c>
      <c r="AK12" s="270">
        <f>INDEX(Coordinates!$C$2:$C$197,MATCH(G12,Coordinates!$J$2:$J$197,0))</f>
        <v>34.837102999999999</v>
      </c>
      <c r="AL12" s="270" t="str">
        <f>IF(ISNUMBER(SEARCH("C", 'Dry_Litterbag Placem_Collection'!S13)),"YES","NO")</f>
        <v>YES</v>
      </c>
      <c r="AM12" s="270" t="str">
        <f>IF(ISNUMBER(SEARCH("H", 'Dry_Litterbag Placem_Collection'!S13)),"YES","NO")</f>
        <v>YES</v>
      </c>
      <c r="AN12" s="270" t="str">
        <f>IF(ISNUMBER(SEARCH("R", 'Dry_Litterbag Placem_Collection'!S13)),"YES","NO")</f>
        <v>NO</v>
      </c>
    </row>
    <row r="13" spans="1:40">
      <c r="A13" s="262" t="s">
        <v>2659</v>
      </c>
      <c r="B13" s="263">
        <f>'Dry_Litterbag Placem_Collection'!A14</f>
        <v>12</v>
      </c>
      <c r="C13" s="263" t="str">
        <f>'Dry_Litterbag Placem_Collection'!B14</f>
        <v>Makao</v>
      </c>
      <c r="D13" s="263" t="s">
        <v>2659</v>
      </c>
      <c r="E13" s="263" t="s">
        <v>2660</v>
      </c>
      <c r="F13" s="263">
        <v>2</v>
      </c>
      <c r="G13" s="264" t="str">
        <f>'Dry_Litterbag Placem_Collection'!C14</f>
        <v>Dry_Ag2_T4</v>
      </c>
      <c r="H13" s="265" t="s">
        <v>2541</v>
      </c>
      <c r="I13" s="266" t="s">
        <v>1147</v>
      </c>
      <c r="J13" s="263" t="str">
        <f>IF(ISBLANK('Dry_Litterbag Placem_Collection'!J14),"","G"&amp;""&amp;'Dry_Litterbag Placem_Collection'!J14)</f>
        <v/>
      </c>
      <c r="K13" s="267" t="str">
        <f>IFERROR(INDEX('Green_rooibos initial weight'!$C$5:$C$1749,MATCH(J13, 'Green_rooibos initial weight'!$A$5:$A$1749,0)),"")</f>
        <v/>
      </c>
      <c r="L13" s="267" t="str">
        <f>IFERROR(K13-(TBIcalc!$Q$9+TBIcalc!$Q$10),"")</f>
        <v/>
      </c>
      <c r="M13" s="391">
        <f>AVERAGE(Ashed_controlls!$K$2:$K$11)</f>
        <v>5.5147656768714146</v>
      </c>
      <c r="N13" s="267" t="str">
        <f t="shared" si="1"/>
        <v/>
      </c>
      <c r="O13" s="267" t="str">
        <f>IF(IFERROR(INDEX('Both teabags AfterDry'!$D$3:$D$900,MATCH(J13,'Both teabags AfterDry'!$A$3:$A$900,0)),"")="","",(IFERROR(INDEX('Both teabags AfterDry'!$D$3:$D$900,MATCH(J13,'Both teabags AfterDry'!$A$3:$A$900,0)),"")))</f>
        <v/>
      </c>
      <c r="P13" s="267" t="str">
        <f>IFERROR(IF(O13&gt;0,O13-(TBIcalc!$Q$9),""),"")</f>
        <v/>
      </c>
      <c r="Q13" s="278" t="str">
        <f>IFERROR(INDEX('Ashed teabags dry'!$K$2:$K$825,MATCH(J13,'Ashed teabags dry'!$A$2:$A$825,0)),"")</f>
        <v/>
      </c>
      <c r="R13" s="278" t="str">
        <f t="shared" si="2"/>
        <v/>
      </c>
      <c r="S13" s="268">
        <f>'Dry_Litterbag Placem_Collection'!E14</f>
        <v>0</v>
      </c>
      <c r="T13" s="268" t="str">
        <f>IF('Dry_Litterbag Placem_Collection'!G14="","",'Dry_Litterbag Placem_Collection'!G14)</f>
        <v/>
      </c>
      <c r="U13" s="269" t="str">
        <f t="shared" si="0"/>
        <v/>
      </c>
      <c r="V13" s="267" t="str">
        <f t="shared" si="3"/>
        <v/>
      </c>
      <c r="W13" s="267" t="str">
        <f t="shared" si="4"/>
        <v/>
      </c>
      <c r="X13" s="271" t="str">
        <f>IFERROR(INDEX(Rainfall_Dry!$O$2:$O$217,MATCH(B13, Rainfall_Dry!$A$2:$A$217,0)),"")</f>
        <v/>
      </c>
      <c r="Y13" s="260">
        <v>21.13063730679653</v>
      </c>
      <c r="Z13" s="260">
        <v>3.0912555579081076</v>
      </c>
      <c r="AA13" s="260">
        <v>75.778107135295357</v>
      </c>
      <c r="AB13" s="261" t="s">
        <v>2670</v>
      </c>
      <c r="AC13" s="260">
        <v>3.4613109906357802</v>
      </c>
      <c r="AD13" t="str">
        <f>IF('WetLitterbags placem_collection'!AB14="","",'WetLitterbags placem_collection'!AB14)</f>
        <v/>
      </c>
      <c r="AE13" t="str">
        <f>IF('WetLitterbags placem_collection'!Z14="","",'WetLitterbags placem_collection'!Z14)</f>
        <v/>
      </c>
      <c r="AF13" s="246" t="str">
        <f>IF('WetLitterbags placem_collection'!AA14="","",'WetLitterbags placem_collection'!AA14)</f>
        <v/>
      </c>
      <c r="AG13" t="str">
        <f>IF('WetLitterbags placem_collection'!AC14="","",'WetLitterbags placem_collection'!AC14)</f>
        <v/>
      </c>
      <c r="AH13" t="str">
        <f>IFERROR(AVERAGE('Dry_Litterbag Placem_Collection'!O14,'Dry_Litterbag Placem_Collection'!R14),"")</f>
        <v/>
      </c>
      <c r="AI13" s="271" t="str">
        <f>IFERROR(AVERAGE('Dry_Litterbag Placem_Collection'!N14,'Dry_Litterbag Placem_Collection'!Q14),"")</f>
        <v/>
      </c>
      <c r="AJ13" s="270">
        <f>INDEX(Coordinates!$B$2:$B$197,MATCH(G13,Coordinates!$J$2:$J$197,0))</f>
        <v>-3.3979050260000001</v>
      </c>
      <c r="AK13" s="270">
        <f>INDEX(Coordinates!$C$2:$C$197,MATCH(G13,Coordinates!$J$2:$J$197,0))</f>
        <v>34.837123030000001</v>
      </c>
      <c r="AL13" s="270" t="str">
        <f>IF(ISNUMBER(SEARCH("C", 'Dry_Litterbag Placem_Collection'!S14)),"YES","NO")</f>
        <v>NO</v>
      </c>
      <c r="AM13" s="270" t="str">
        <f>IF(ISNUMBER(SEARCH("H", 'Dry_Litterbag Placem_Collection'!S14)),"YES","NO")</f>
        <v>NO</v>
      </c>
      <c r="AN13" s="270" t="str">
        <f>IF(ISNUMBER(SEARCH("R", 'Dry_Litterbag Placem_Collection'!S14)),"YES","NO")</f>
        <v>NO</v>
      </c>
    </row>
    <row r="14" spans="1:40">
      <c r="A14" s="262" t="s">
        <v>2659</v>
      </c>
      <c r="B14" s="263">
        <f>'Dry_Litterbag Placem_Collection'!A15</f>
        <v>13</v>
      </c>
      <c r="C14" s="263" t="str">
        <f>'Dry_Litterbag Placem_Collection'!B15</f>
        <v>Makao</v>
      </c>
      <c r="D14" s="263" t="s">
        <v>2659</v>
      </c>
      <c r="E14" s="263" t="s">
        <v>2660</v>
      </c>
      <c r="F14" s="263">
        <v>2</v>
      </c>
      <c r="G14" s="264" t="str">
        <f>'Dry_Litterbag Placem_Collection'!C15</f>
        <v>Dry_Ag2_T5</v>
      </c>
      <c r="H14" s="265" t="s">
        <v>2541</v>
      </c>
      <c r="I14" s="266" t="s">
        <v>1147</v>
      </c>
      <c r="J14" s="263" t="str">
        <f>IF(ISBLANK('Dry_Litterbag Placem_Collection'!J15),"","G"&amp;""&amp;'Dry_Litterbag Placem_Collection'!J15)</f>
        <v>G2</v>
      </c>
      <c r="K14" s="267">
        <f>IFERROR(INDEX('Green_rooibos initial weight'!$C$5:$C$1749,MATCH(J14, 'Green_rooibos initial weight'!$A$5:$A$1749,0)),"")</f>
        <v>2</v>
      </c>
      <c r="L14" s="267">
        <f>IFERROR(K14-(TBIcalc!$Q$9+TBIcalc!$Q$10),"")</f>
        <v>1.7502</v>
      </c>
      <c r="M14" s="391">
        <f>AVERAGE(Ashed_controlls!$K$2:$K$11)</f>
        <v>5.5147656768714146</v>
      </c>
      <c r="N14" s="267">
        <f t="shared" si="1"/>
        <v>1.6536805711233964</v>
      </c>
      <c r="O14" s="267">
        <f>IF(IFERROR(INDEX('Both teabags AfterDry'!$D$3:$D$900,MATCH(J14,'Both teabags AfterDry'!$A$3:$A$900,0)),"")="","",(IFERROR(INDEX('Both teabags AfterDry'!$D$3:$D$900,MATCH(J14,'Both teabags AfterDry'!$A$3:$A$900,0)),"")))</f>
        <v>1.7587999999999999</v>
      </c>
      <c r="P14" s="267">
        <f>IFERROR(IF(O14&gt;0,O14-(TBIcalc!$Q$9),""),"")</f>
        <v>1.6081999999999999</v>
      </c>
      <c r="Q14" s="278">
        <f>IFERROR(INDEX('Ashed teabags dry'!$K$2:$K$825,MATCH(J14,'Ashed teabags dry'!$A$2:$A$825,0)),"")</f>
        <v>27.976482116609386</v>
      </c>
      <c r="R14" s="278">
        <f t="shared" si="2"/>
        <v>1.1582822146006877</v>
      </c>
      <c r="S14" s="268">
        <f>'Dry_Litterbag Placem_Collection'!E15</f>
        <v>42938</v>
      </c>
      <c r="T14" s="268">
        <f>IF('Dry_Litterbag Placem_Collection'!G15="","",'Dry_Litterbag Placem_Collection'!G15)</f>
        <v>43007</v>
      </c>
      <c r="U14" s="269">
        <f t="shared" si="0"/>
        <v>69</v>
      </c>
      <c r="V14" s="267">
        <f t="shared" si="3"/>
        <v>0.14200000000000013</v>
      </c>
      <c r="W14" s="267">
        <f t="shared" si="4"/>
        <v>0.49539835652270869</v>
      </c>
      <c r="X14" s="271">
        <f>IFERROR(INDEX(Rainfall_Dry!$O$2:$O$217,MATCH(B14, Rainfall_Dry!$A$2:$A$217,0)),"")</f>
        <v>6.900000125</v>
      </c>
      <c r="Y14" s="260">
        <v>21.13063730679653</v>
      </c>
      <c r="Z14" s="260">
        <v>3.0912555579081076</v>
      </c>
      <c r="AA14" s="260">
        <v>75.778107135295357</v>
      </c>
      <c r="AB14" s="261" t="s">
        <v>2670</v>
      </c>
      <c r="AC14" s="260">
        <v>4.4613109906357797</v>
      </c>
      <c r="AD14">
        <f>IF('WetLitterbags placem_collection'!AB15="","",'WetLitterbags placem_collection'!AB15)</f>
        <v>11.4</v>
      </c>
      <c r="AE14">
        <f>IF('WetLitterbags placem_collection'!Z15="","",'WetLitterbags placem_collection'!Z15)</f>
        <v>31</v>
      </c>
      <c r="AF14" s="246" t="str">
        <f>IF('WetLitterbags placem_collection'!AA15="","",'WetLitterbags placem_collection'!AA15)</f>
        <v>M</v>
      </c>
      <c r="AG14">
        <f>IF('WetLitterbags placem_collection'!AC15="","",'WetLitterbags placem_collection'!AC15)</f>
        <v>0</v>
      </c>
      <c r="AH14">
        <f>IFERROR(AVERAGE('Dry_Litterbag Placem_Collection'!O15,'Dry_Litterbag Placem_Collection'!R15),"")</f>
        <v>4.8</v>
      </c>
      <c r="AI14" s="271">
        <f>IFERROR(AVERAGE('Dry_Litterbag Placem_Collection'!N15,'Dry_Litterbag Placem_Collection'!Q15),"")</f>
        <v>26.1</v>
      </c>
      <c r="AJ14" s="270">
        <f>INDEX(Coordinates!$B$2:$B$197,MATCH(G14,Coordinates!$J$2:$J$197,0))</f>
        <v>-3.3979040199999999</v>
      </c>
      <c r="AK14" s="270">
        <f>INDEX(Coordinates!$C$2:$C$197,MATCH(G14,Coordinates!$J$2:$J$197,0))</f>
        <v>34.837027980000002</v>
      </c>
      <c r="AL14" s="270" t="str">
        <f>IF(ISNUMBER(SEARCH("C", 'Dry_Litterbag Placem_Collection'!S15)),"YES","NO")</f>
        <v>YES</v>
      </c>
      <c r="AM14" s="270" t="str">
        <f>IF(ISNUMBER(SEARCH("H", 'Dry_Litterbag Placem_Collection'!S15)),"YES","NO")</f>
        <v>NO</v>
      </c>
      <c r="AN14" s="270" t="str">
        <f>IF(ISNUMBER(SEARCH("R", 'Dry_Litterbag Placem_Collection'!S15)),"YES","NO")</f>
        <v>NO</v>
      </c>
    </row>
    <row r="15" spans="1:40">
      <c r="A15" s="262" t="s">
        <v>2659</v>
      </c>
      <c r="B15" s="263">
        <f>'Dry_Litterbag Placem_Collection'!A16</f>
        <v>14</v>
      </c>
      <c r="C15" s="263" t="str">
        <f>'Dry_Litterbag Placem_Collection'!B16</f>
        <v>Makao</v>
      </c>
      <c r="D15" s="263" t="s">
        <v>2659</v>
      </c>
      <c r="E15" s="263" t="s">
        <v>2660</v>
      </c>
      <c r="F15" s="263">
        <v>2</v>
      </c>
      <c r="G15" s="264" t="str">
        <f>'Dry_Litterbag Placem_Collection'!C16</f>
        <v>Dry_Ag2_T6</v>
      </c>
      <c r="H15" s="265" t="s">
        <v>2541</v>
      </c>
      <c r="I15" s="266" t="s">
        <v>1147</v>
      </c>
      <c r="J15" s="263" t="str">
        <f>IF(ISBLANK('Dry_Litterbag Placem_Collection'!J16),"","G"&amp;""&amp;'Dry_Litterbag Placem_Collection'!J16)</f>
        <v>G225</v>
      </c>
      <c r="K15" s="267">
        <f>IFERROR(INDEX('Green_rooibos initial weight'!$C$5:$C$1749,MATCH(J15, 'Green_rooibos initial weight'!$A$5:$A$1749,0)),"")</f>
        <v>2.117</v>
      </c>
      <c r="L15" s="267">
        <f>IFERROR(K15-(TBIcalc!$Q$9+TBIcalc!$Q$10),"")</f>
        <v>1.8672</v>
      </c>
      <c r="M15" s="391">
        <f>AVERAGE(Ashed_controlls!$K$2:$K$11)</f>
        <v>5.5147656768714146</v>
      </c>
      <c r="N15" s="267">
        <f t="shared" si="1"/>
        <v>1.764228295281457</v>
      </c>
      <c r="O15" s="267">
        <f>IF(IFERROR(INDEX('Both teabags AfterDry'!$D$3:$D$900,MATCH(J15,'Both teabags AfterDry'!$A$3:$A$900,0)),"")="","",(IFERROR(INDEX('Both teabags AfterDry'!$D$3:$D$900,MATCH(J15,'Both teabags AfterDry'!$A$3:$A$900,0)),"")))</f>
        <v>1.25</v>
      </c>
      <c r="P15" s="267">
        <f>IFERROR(IF(O15&gt;0,O15-(TBIcalc!$Q$9),""),"")</f>
        <v>1.0993999999999999</v>
      </c>
      <c r="Q15" s="278" t="str">
        <f>IFERROR(INDEX('Ashed teabags dry'!$K$2:$K$825,MATCH(J15,'Ashed teabags dry'!$A$2:$A$825,0)),"")</f>
        <v/>
      </c>
      <c r="R15" s="278" t="str">
        <f t="shared" si="2"/>
        <v/>
      </c>
      <c r="S15" s="268">
        <f>'Dry_Litterbag Placem_Collection'!E16</f>
        <v>42938</v>
      </c>
      <c r="T15" s="268">
        <f>IF('Dry_Litterbag Placem_Collection'!G16="","",'Dry_Litterbag Placem_Collection'!G16)</f>
        <v>43007</v>
      </c>
      <c r="U15" s="269">
        <f t="shared" si="0"/>
        <v>69</v>
      </c>
      <c r="V15" s="267">
        <f t="shared" si="3"/>
        <v>0.76780000000000004</v>
      </c>
      <c r="W15" s="267" t="str">
        <f t="shared" si="4"/>
        <v/>
      </c>
      <c r="X15" s="271">
        <f>IFERROR(INDEX(Rainfall_Dry!$O$2:$O$217,MATCH(B15, Rainfall_Dry!$A$2:$A$217,0)),"")</f>
        <v>6.900000125</v>
      </c>
      <c r="Y15" s="260">
        <v>21.13063730679653</v>
      </c>
      <c r="Z15" s="260">
        <v>3.0912555579081076</v>
      </c>
      <c r="AA15" s="260">
        <v>75.778107135295357</v>
      </c>
      <c r="AB15" s="261" t="s">
        <v>2670</v>
      </c>
      <c r="AC15" s="260">
        <v>5.4613109906357797</v>
      </c>
      <c r="AD15">
        <f>IF('WetLitterbags placem_collection'!AB16="","",'WetLitterbags placem_collection'!AB16)</f>
        <v>28.4</v>
      </c>
      <c r="AE15">
        <f>IF('WetLitterbags placem_collection'!Z16="","",'WetLitterbags placem_collection'!Z16)</f>
        <v>42.4</v>
      </c>
      <c r="AF15" s="246" t="str">
        <f>IF('WetLitterbags placem_collection'!AA16="","",'WetLitterbags placem_collection'!AA16)</f>
        <v>M</v>
      </c>
      <c r="AG15">
        <f>IF('WetLitterbags placem_collection'!AC16="","",'WetLitterbags placem_collection'!AC16)</f>
        <v>0</v>
      </c>
      <c r="AH15">
        <f>IFERROR(AVERAGE('Dry_Litterbag Placem_Collection'!O16,'Dry_Litterbag Placem_Collection'!R16),"")</f>
        <v>3.4</v>
      </c>
      <c r="AI15" s="271">
        <f>IFERROR(AVERAGE('Dry_Litterbag Placem_Collection'!N16,'Dry_Litterbag Placem_Collection'!Q16),"")</f>
        <v>25.55</v>
      </c>
      <c r="AJ15" s="270">
        <f>INDEX(Coordinates!$B$2:$B$197,MATCH(G15,Coordinates!$J$2:$J$197,0))</f>
        <v>-3.397854986</v>
      </c>
      <c r="AK15" s="270">
        <f>INDEX(Coordinates!$C$2:$C$197,MATCH(G15,Coordinates!$J$2:$J$197,0))</f>
        <v>34.836874010000002</v>
      </c>
      <c r="AL15" s="270" t="str">
        <f>IF(ISNUMBER(SEARCH("C", 'Dry_Litterbag Placem_Collection'!S16)),"YES","NO")</f>
        <v>NO</v>
      </c>
      <c r="AM15" s="270" t="str">
        <f>IF(ISNUMBER(SEARCH("H", 'Dry_Litterbag Placem_Collection'!S16)),"YES","NO")</f>
        <v>YES</v>
      </c>
      <c r="AN15" s="270" t="str">
        <f>IF(ISNUMBER(SEARCH("R", 'Dry_Litterbag Placem_Collection'!S16)),"YES","NO")</f>
        <v>NO</v>
      </c>
    </row>
    <row r="16" spans="1:40">
      <c r="A16" s="262" t="s">
        <v>2659</v>
      </c>
      <c r="B16" s="263">
        <f>'Dry_Litterbag Placem_Collection'!A17</f>
        <v>15</v>
      </c>
      <c r="C16" s="263" t="str">
        <f>'Dry_Litterbag Placem_Collection'!B17</f>
        <v>Makao</v>
      </c>
      <c r="D16" s="263" t="s">
        <v>2659</v>
      </c>
      <c r="E16" s="263" t="s">
        <v>2660</v>
      </c>
      <c r="F16" s="263">
        <v>2</v>
      </c>
      <c r="G16" s="264" t="str">
        <f>'Dry_Litterbag Placem_Collection'!C17</f>
        <v>Dry_Ag2_T7</v>
      </c>
      <c r="H16" s="265" t="s">
        <v>2541</v>
      </c>
      <c r="I16" s="266" t="s">
        <v>1147</v>
      </c>
      <c r="J16" s="263" t="str">
        <f>IF(ISBLANK('Dry_Litterbag Placem_Collection'!J17),"","G"&amp;""&amp;'Dry_Litterbag Placem_Collection'!J17)</f>
        <v>G444</v>
      </c>
      <c r="K16" s="267">
        <f>IFERROR(INDEX('Green_rooibos initial weight'!$C$5:$C$1749,MATCH(J16, 'Green_rooibos initial weight'!$A$5:$A$1749,0)),"")</f>
        <v>2.0259999999999998</v>
      </c>
      <c r="L16" s="267">
        <f>IFERROR(K16-(TBIcalc!$Q$9+TBIcalc!$Q$10),"")</f>
        <v>1.7761999999999998</v>
      </c>
      <c r="M16" s="391">
        <f>AVERAGE(Ashed_controlls!$K$2:$K$11)</f>
        <v>5.5147656768714146</v>
      </c>
      <c r="N16" s="267">
        <f t="shared" si="1"/>
        <v>1.6782467320474097</v>
      </c>
      <c r="O16" s="267">
        <f>IF(IFERROR(INDEX('Both teabags AfterDry'!$D$3:$D$900,MATCH(J16,'Both teabags AfterDry'!$A$3:$A$900,0)),"")="","",(IFERROR(INDEX('Both teabags AfterDry'!$D$3:$D$900,MATCH(J16,'Both teabags AfterDry'!$A$3:$A$900,0)),"")))</f>
        <v>1.3574999999999999</v>
      </c>
      <c r="P16" s="267">
        <f>IFERROR(IF(O16&gt;0,O16-(TBIcalc!$Q$9),""),"")</f>
        <v>1.2068999999999999</v>
      </c>
      <c r="Q16" s="278">
        <f>IFERROR(INDEX('Ashed teabags dry'!$K$2:$K$825,MATCH(J16,'Ashed teabags dry'!$A$2:$A$825,0)),"")</f>
        <v>10.790345480359514</v>
      </c>
      <c r="R16" s="278">
        <f t="shared" si="2"/>
        <v>1.0766713203975409</v>
      </c>
      <c r="S16" s="268">
        <f>'Dry_Litterbag Placem_Collection'!E17</f>
        <v>42938</v>
      </c>
      <c r="T16" s="268">
        <f>IF('Dry_Litterbag Placem_Collection'!G17="","",'Dry_Litterbag Placem_Collection'!G17)</f>
        <v>43007</v>
      </c>
      <c r="U16" s="269">
        <f t="shared" si="0"/>
        <v>69</v>
      </c>
      <c r="V16" s="267">
        <f t="shared" si="3"/>
        <v>0.56929999999999992</v>
      </c>
      <c r="W16" s="267">
        <f t="shared" si="4"/>
        <v>0.60157541164986883</v>
      </c>
      <c r="X16" s="271">
        <f>IFERROR(INDEX(Rainfall_Dry!$O$2:$O$217,MATCH(B16, Rainfall_Dry!$A$2:$A$217,0)),"")</f>
        <v>6.900000125</v>
      </c>
      <c r="Y16" s="260">
        <v>21.13063730679653</v>
      </c>
      <c r="Z16" s="260">
        <v>3.0912555579081076</v>
      </c>
      <c r="AA16" s="260">
        <v>75.778107135295357</v>
      </c>
      <c r="AB16" s="261" t="s">
        <v>2670</v>
      </c>
      <c r="AC16" s="260">
        <v>6.4613109906357797</v>
      </c>
      <c r="AD16">
        <f>IF('WetLitterbags placem_collection'!AB17="","",'WetLitterbags placem_collection'!AB17)</f>
        <v>15.8</v>
      </c>
      <c r="AE16">
        <f>IF('WetLitterbags placem_collection'!Z17="","",'WetLitterbags placem_collection'!Z17)</f>
        <v>30.4</v>
      </c>
      <c r="AF16" s="246" t="str">
        <f>IF('WetLitterbags placem_collection'!AA17="","",'WetLitterbags placem_collection'!AA17)</f>
        <v>M</v>
      </c>
      <c r="AG16">
        <f>IF('WetLitterbags placem_collection'!AC17="","",'WetLitterbags placem_collection'!AC17)</f>
        <v>0</v>
      </c>
      <c r="AH16">
        <f>IFERROR(AVERAGE('Dry_Litterbag Placem_Collection'!O17,'Dry_Litterbag Placem_Collection'!R17),"")</f>
        <v>3.0999999999999996</v>
      </c>
      <c r="AI16" s="271">
        <f>IFERROR(AVERAGE('Dry_Litterbag Placem_Collection'!N17,'Dry_Litterbag Placem_Collection'!Q17),"")</f>
        <v>28</v>
      </c>
      <c r="AJ16" s="270">
        <f>INDEX(Coordinates!$B$2:$B$197,MATCH(G16,Coordinates!$J$2:$J$197,0))</f>
        <v>-3.3978060349999999</v>
      </c>
      <c r="AK16" s="270">
        <f>INDEX(Coordinates!$C$2:$C$197,MATCH(G16,Coordinates!$J$2:$J$197,0))</f>
        <v>34.837023960000003</v>
      </c>
      <c r="AL16" s="270" t="str">
        <f>IF(ISNUMBER(SEARCH("C", 'Dry_Litterbag Placem_Collection'!S17)),"YES","NO")</f>
        <v>YES</v>
      </c>
      <c r="AM16" s="270" t="str">
        <f>IF(ISNUMBER(SEARCH("H", 'Dry_Litterbag Placem_Collection'!S17)),"YES","NO")</f>
        <v>YES</v>
      </c>
      <c r="AN16" s="270" t="str">
        <f>IF(ISNUMBER(SEARCH("R", 'Dry_Litterbag Placem_Collection'!S17)),"YES","NO")</f>
        <v>NO</v>
      </c>
    </row>
    <row r="17" spans="1:40">
      <c r="A17" s="262" t="s">
        <v>2659</v>
      </c>
      <c r="B17" s="263">
        <f>'Dry_Litterbag Placem_Collection'!A18</f>
        <v>16</v>
      </c>
      <c r="C17" s="263" t="str">
        <f>'Dry_Litterbag Placem_Collection'!B18</f>
        <v>Makao</v>
      </c>
      <c r="D17" s="263" t="s">
        <v>2659</v>
      </c>
      <c r="E17" s="263" t="s">
        <v>2660</v>
      </c>
      <c r="F17" s="263">
        <v>2</v>
      </c>
      <c r="G17" s="264" t="str">
        <f>'Dry_Litterbag Placem_Collection'!C18</f>
        <v>Dry_Ag2_T8</v>
      </c>
      <c r="H17" s="265" t="s">
        <v>2541</v>
      </c>
      <c r="I17" s="266" t="s">
        <v>1147</v>
      </c>
      <c r="J17" s="263" t="str">
        <f>IF(ISBLANK('Dry_Litterbag Placem_Collection'!J18),"","G"&amp;""&amp;'Dry_Litterbag Placem_Collection'!J18)</f>
        <v>G376</v>
      </c>
      <c r="K17" s="267">
        <f>IFERROR(INDEX('Green_rooibos initial weight'!$C$5:$C$1749,MATCH(J17, 'Green_rooibos initial weight'!$A$5:$A$1749,0)),"")</f>
        <v>2.0329999999999999</v>
      </c>
      <c r="L17" s="267">
        <f>IFERROR(K17-(TBIcalc!$Q$9+TBIcalc!$Q$10),"")</f>
        <v>1.7831999999999999</v>
      </c>
      <c r="M17" s="391">
        <f>AVERAGE(Ashed_controlls!$K$2:$K$11)</f>
        <v>5.5147656768714146</v>
      </c>
      <c r="N17" s="267">
        <f t="shared" si="1"/>
        <v>1.6848606984500289</v>
      </c>
      <c r="O17" s="267" t="str">
        <f>IF(IFERROR(INDEX('Both teabags AfterDry'!$D$3:$D$900,MATCH(J17,'Both teabags AfterDry'!$A$3:$A$900,0)),"")="","",(IFERROR(INDEX('Both teabags AfterDry'!$D$3:$D$900,MATCH(J17,'Both teabags AfterDry'!$A$3:$A$900,0)),"")))</f>
        <v/>
      </c>
      <c r="P17" s="267" t="str">
        <f>IFERROR(IF(O17&gt;0,O17-(TBIcalc!$Q$9),""),"")</f>
        <v/>
      </c>
      <c r="Q17" s="278" t="str">
        <f>IFERROR(INDEX('Ashed teabags dry'!$K$2:$K$825,MATCH(J17,'Ashed teabags dry'!$A$2:$A$825,0)),"")</f>
        <v/>
      </c>
      <c r="R17" s="278" t="str">
        <f t="shared" si="2"/>
        <v/>
      </c>
      <c r="S17" s="268">
        <f>'Dry_Litterbag Placem_Collection'!E18</f>
        <v>42938</v>
      </c>
      <c r="T17" s="268">
        <f>IF('Dry_Litterbag Placem_Collection'!G18="","",'Dry_Litterbag Placem_Collection'!G18)</f>
        <v>43007</v>
      </c>
      <c r="U17" s="269">
        <f t="shared" si="0"/>
        <v>69</v>
      </c>
      <c r="V17" s="267" t="str">
        <f t="shared" si="3"/>
        <v/>
      </c>
      <c r="W17" s="267" t="str">
        <f t="shared" si="4"/>
        <v/>
      </c>
      <c r="X17" s="271">
        <f>IFERROR(INDEX(Rainfall_Dry!$O$2:$O$217,MATCH(B17, Rainfall_Dry!$A$2:$A$217,0)),"")</f>
        <v>6.900000125</v>
      </c>
      <c r="Y17" s="260">
        <v>21.13063730679653</v>
      </c>
      <c r="Z17" s="260">
        <v>3.0912555579081076</v>
      </c>
      <c r="AA17" s="260">
        <v>75.778107135295357</v>
      </c>
      <c r="AB17" s="261" t="s">
        <v>2670</v>
      </c>
      <c r="AC17" s="260">
        <v>7.4613109906357797</v>
      </c>
      <c r="AD17">
        <f>IF('WetLitterbags placem_collection'!AB18="","",'WetLitterbags placem_collection'!AB18)</f>
        <v>8</v>
      </c>
      <c r="AE17">
        <f>IF('WetLitterbags placem_collection'!Z18="","",'WetLitterbags placem_collection'!Z18)</f>
        <v>12.4</v>
      </c>
      <c r="AF17" s="246" t="str">
        <f>IF('WetLitterbags placem_collection'!AA18="","",'WetLitterbags placem_collection'!AA18)</f>
        <v>M</v>
      </c>
      <c r="AG17">
        <f>IF('WetLitterbags placem_collection'!AC18="","",'WetLitterbags placem_collection'!AC18)</f>
        <v>0</v>
      </c>
      <c r="AH17">
        <f>IFERROR(AVERAGE('Dry_Litterbag Placem_Collection'!O18,'Dry_Litterbag Placem_Collection'!R18),"")</f>
        <v>9.1999999999999993</v>
      </c>
      <c r="AI17" s="271">
        <f>IFERROR(AVERAGE('Dry_Litterbag Placem_Collection'!N18,'Dry_Litterbag Placem_Collection'!Q18),"")</f>
        <v>27.049999999999997</v>
      </c>
      <c r="AJ17" s="270">
        <f>INDEX(Coordinates!$B$2:$B$197,MATCH(G17,Coordinates!$J$2:$J$197,0))</f>
        <v>-3.3977669760000002</v>
      </c>
      <c r="AK17" s="270">
        <f>INDEX(Coordinates!$C$2:$C$197,MATCH(G17,Coordinates!$J$2:$J$197,0))</f>
        <v>34.837181039999997</v>
      </c>
      <c r="AL17" s="270" t="str">
        <f>IF(ISNUMBER(SEARCH("C", 'Dry_Litterbag Placem_Collection'!S18)),"YES","NO")</f>
        <v>YES</v>
      </c>
      <c r="AM17" s="270" t="str">
        <f>IF(ISNUMBER(SEARCH("H", 'Dry_Litterbag Placem_Collection'!S18)),"YES","NO")</f>
        <v>YES</v>
      </c>
      <c r="AN17" s="270" t="str">
        <f>IF(ISNUMBER(SEARCH("R", 'Dry_Litterbag Placem_Collection'!S18)),"YES","NO")</f>
        <v>NO</v>
      </c>
    </row>
    <row r="18" spans="1:40">
      <c r="A18" s="262" t="s">
        <v>2659</v>
      </c>
      <c r="B18" s="263">
        <f>'Dry_Litterbag Placem_Collection'!A19</f>
        <v>17</v>
      </c>
      <c r="C18" s="263" t="str">
        <f>'Dry_Litterbag Placem_Collection'!B19</f>
        <v>Makao</v>
      </c>
      <c r="D18" s="263" t="s">
        <v>2659</v>
      </c>
      <c r="E18" s="263" t="s">
        <v>2660</v>
      </c>
      <c r="F18" s="263">
        <v>3</v>
      </c>
      <c r="G18" s="264" t="str">
        <f>'Dry_Litterbag Placem_Collection'!C19</f>
        <v>Dry_Ag3_T1</v>
      </c>
      <c r="H18" s="265" t="s">
        <v>2541</v>
      </c>
      <c r="I18" s="266" t="s">
        <v>1147</v>
      </c>
      <c r="J18" s="263" t="str">
        <f>IF(ISBLANK('Dry_Litterbag Placem_Collection'!J19),"","G"&amp;""&amp;'Dry_Litterbag Placem_Collection'!J19)</f>
        <v>G209</v>
      </c>
      <c r="K18" s="267">
        <f>IFERROR(INDEX('Green_rooibos initial weight'!$C$5:$C$1749,MATCH(J18, 'Green_rooibos initial weight'!$A$5:$A$1749,0)),"")</f>
        <v>2.1160000000000001</v>
      </c>
      <c r="L18" s="267">
        <f>IFERROR(K18-(TBIcalc!$Q$9+TBIcalc!$Q$10),"")</f>
        <v>1.8662000000000001</v>
      </c>
      <c r="M18" s="391">
        <f>AVERAGE(Ashed_controlls!$K$2:$K$11)</f>
        <v>5.5147656768714146</v>
      </c>
      <c r="N18" s="267">
        <f t="shared" si="1"/>
        <v>1.7632834429382258</v>
      </c>
      <c r="O18" s="267">
        <f>IF(IFERROR(INDEX('Both teabags AfterDry'!$D$3:$D$900,MATCH(J18,'Both teabags AfterDry'!$A$3:$A$900,0)),"")="","",(IFERROR(INDEX('Both teabags AfterDry'!$D$3:$D$900,MATCH(J18,'Both teabags AfterDry'!$A$3:$A$900,0)),"")))</f>
        <v>1.9087000000000001</v>
      </c>
      <c r="P18" s="267">
        <f>IFERROR(IF(O18&gt;0,O18-(TBIcalc!$Q$9),""),"")</f>
        <v>1.7581</v>
      </c>
      <c r="Q18" s="278">
        <f>IFERROR(INDEX('Ashed teabags dry'!$K$2:$K$825,MATCH(J18,'Ashed teabags dry'!$A$2:$A$825,0)),"")</f>
        <v>5.4283290924516674</v>
      </c>
      <c r="R18" s="278">
        <f t="shared" si="2"/>
        <v>1.6626645462256073</v>
      </c>
      <c r="S18" s="268">
        <f>'Dry_Litterbag Placem_Collection'!E19</f>
        <v>42936</v>
      </c>
      <c r="T18" s="268">
        <f>IF('Dry_Litterbag Placem_Collection'!G19="","",'Dry_Litterbag Placem_Collection'!G19)</f>
        <v>43007</v>
      </c>
      <c r="U18" s="269">
        <f t="shared" si="0"/>
        <v>71</v>
      </c>
      <c r="V18" s="267">
        <f t="shared" si="3"/>
        <v>0.10810000000000008</v>
      </c>
      <c r="W18" s="267">
        <f t="shared" si="4"/>
        <v>0.10061889671261848</v>
      </c>
      <c r="X18" s="271">
        <f>IFERROR(INDEX(Rainfall_Dry!$O$2:$O$217,MATCH(B18, Rainfall_Dry!$A$2:$A$217,0)),"")</f>
        <v>6.900000125</v>
      </c>
      <c r="Y18" s="260">
        <v>54.080969906906262</v>
      </c>
      <c r="Z18" s="260">
        <v>21.264484651351896</v>
      </c>
      <c r="AA18" s="260">
        <v>24.654545441741845</v>
      </c>
      <c r="AB18" s="261" t="s">
        <v>2673</v>
      </c>
      <c r="AC18" s="260">
        <v>1.8433218334154755</v>
      </c>
      <c r="AD18" t="str">
        <f>IF('WetLitterbags placem_collection'!AB19="","",'WetLitterbags placem_collection'!AB19)</f>
        <v/>
      </c>
      <c r="AE18" t="str">
        <f>IF('WetLitterbags placem_collection'!Z19="","",'WetLitterbags placem_collection'!Z19)</f>
        <v/>
      </c>
      <c r="AF18" s="246" t="str">
        <f>IF('WetLitterbags placem_collection'!AA19="","",'WetLitterbags placem_collection'!AA19)</f>
        <v/>
      </c>
      <c r="AG18" t="str">
        <f>IF('WetLitterbags placem_collection'!AC19="","",'WetLitterbags placem_collection'!AC19)</f>
        <v/>
      </c>
      <c r="AH18">
        <f>IFERROR(AVERAGE('Dry_Litterbag Placem_Collection'!O19,'Dry_Litterbag Placem_Collection'!R19),"")</f>
        <v>12.9</v>
      </c>
      <c r="AI18" s="271">
        <f>IFERROR(AVERAGE('Dry_Litterbag Placem_Collection'!N19,'Dry_Litterbag Placem_Collection'!Q19),"")</f>
        <v>26.2</v>
      </c>
      <c r="AJ18" s="270">
        <f>INDEX(Coordinates!$B$2:$B$197,MATCH(G18,Coordinates!$J$2:$J$197,0))</f>
        <v>-3.3854090330000002</v>
      </c>
      <c r="AK18" s="270">
        <f>INDEX(Coordinates!$C$2:$C$197,MATCH(G18,Coordinates!$J$2:$J$197,0))</f>
        <v>34.818901029999999</v>
      </c>
      <c r="AL18" s="270" t="str">
        <f>IF(ISNUMBER(SEARCH("C", 'Dry_Litterbag Placem_Collection'!S19)),"YES","NO")</f>
        <v>NO</v>
      </c>
      <c r="AM18" s="270" t="str">
        <f>IF(ISNUMBER(SEARCH("H", 'Dry_Litterbag Placem_Collection'!S19)),"YES","NO")</f>
        <v>NO</v>
      </c>
      <c r="AN18" s="270" t="str">
        <f>IF(ISNUMBER(SEARCH("R", 'Dry_Litterbag Placem_Collection'!S19)),"YES","NO")</f>
        <v>NO</v>
      </c>
    </row>
    <row r="19" spans="1:40">
      <c r="A19" s="262" t="s">
        <v>2659</v>
      </c>
      <c r="B19" s="263">
        <f>'Dry_Litterbag Placem_Collection'!A20</f>
        <v>18</v>
      </c>
      <c r="C19" s="263" t="str">
        <f>'Dry_Litterbag Placem_Collection'!B20</f>
        <v>Makao</v>
      </c>
      <c r="D19" s="263" t="s">
        <v>2659</v>
      </c>
      <c r="E19" s="263" t="s">
        <v>2660</v>
      </c>
      <c r="F19" s="263">
        <v>3</v>
      </c>
      <c r="G19" s="264" t="str">
        <f>'Dry_Litterbag Placem_Collection'!C20</f>
        <v>Dry_Ag3_T2</v>
      </c>
      <c r="H19" s="265" t="s">
        <v>2541</v>
      </c>
      <c r="I19" s="266" t="s">
        <v>1147</v>
      </c>
      <c r="J19" s="263" t="str">
        <f>IF(ISBLANK('Dry_Litterbag Placem_Collection'!J20),"","G"&amp;""&amp;'Dry_Litterbag Placem_Collection'!J20)</f>
        <v>G10</v>
      </c>
      <c r="K19" s="267">
        <f>IFERROR(INDEX('Green_rooibos initial weight'!$C$5:$C$1749,MATCH(J19, 'Green_rooibos initial weight'!$A$5:$A$1749,0)),"")</f>
        <v>1.9710000000000001</v>
      </c>
      <c r="L19" s="267">
        <f>IFERROR(K19-(TBIcalc!$Q$9+TBIcalc!$Q$10),"")</f>
        <v>1.7212000000000001</v>
      </c>
      <c r="M19" s="391">
        <f>AVERAGE(Ashed_controlls!$K$2:$K$11)</f>
        <v>5.5147656768714146</v>
      </c>
      <c r="N19" s="267">
        <f t="shared" si="1"/>
        <v>1.6262798531696894</v>
      </c>
      <c r="O19" s="267">
        <f>IF(IFERROR(INDEX('Both teabags AfterDry'!$D$3:$D$900,MATCH(J19,'Both teabags AfterDry'!$A$3:$A$900,0)),"")="","",(IFERROR(INDEX('Both teabags AfterDry'!$D$3:$D$900,MATCH(J19,'Both teabags AfterDry'!$A$3:$A$900,0)),"")))</f>
        <v>1.7706999999999999</v>
      </c>
      <c r="P19" s="267">
        <f>IFERROR(IF(O19&gt;0,O19-(TBIcalc!$Q$9),""),"")</f>
        <v>1.6200999999999999</v>
      </c>
      <c r="Q19" s="278">
        <f>IFERROR(INDEX('Ashed teabags dry'!$K$2:$K$825,MATCH(J19,'Ashed teabags dry'!$A$2:$A$825,0)),"")</f>
        <v>5.8337384540594233</v>
      </c>
      <c r="R19" s="278">
        <f t="shared" si="2"/>
        <v>1.5255876033057831</v>
      </c>
      <c r="S19" s="268">
        <f>'Dry_Litterbag Placem_Collection'!E20</f>
        <v>42936</v>
      </c>
      <c r="T19" s="268">
        <f>IF('Dry_Litterbag Placem_Collection'!G20="","",'Dry_Litterbag Placem_Collection'!G20)</f>
        <v>43007</v>
      </c>
      <c r="U19" s="269">
        <f t="shared" si="0"/>
        <v>71</v>
      </c>
      <c r="V19" s="267">
        <f t="shared" si="3"/>
        <v>0.10110000000000019</v>
      </c>
      <c r="W19" s="267">
        <f t="shared" si="4"/>
        <v>0.10069224986390624</v>
      </c>
      <c r="X19" s="271">
        <f>IFERROR(INDEX(Rainfall_Dry!$O$2:$O$217,MATCH(B19, Rainfall_Dry!$A$2:$A$217,0)),"")</f>
        <v>6.900000125</v>
      </c>
      <c r="Y19" s="260">
        <v>54.080969906906262</v>
      </c>
      <c r="Z19" s="260">
        <v>21.264484651351896</v>
      </c>
      <c r="AA19" s="260">
        <v>24.654545441741845</v>
      </c>
      <c r="AB19" s="261" t="s">
        <v>2673</v>
      </c>
      <c r="AC19" s="260">
        <v>2.8433218334154802</v>
      </c>
      <c r="AD19" t="str">
        <f>IF('WetLitterbags placem_collection'!AB20="","",'WetLitterbags placem_collection'!AB20)</f>
        <v/>
      </c>
      <c r="AE19" t="str">
        <f>IF('WetLitterbags placem_collection'!Z20="","",'WetLitterbags placem_collection'!Z20)</f>
        <v/>
      </c>
      <c r="AF19" s="246" t="str">
        <f>IF('WetLitterbags placem_collection'!AA20="","",'WetLitterbags placem_collection'!AA20)</f>
        <v/>
      </c>
      <c r="AG19" t="str">
        <f>IF('WetLitterbags placem_collection'!AC20="","",'WetLitterbags placem_collection'!AC20)</f>
        <v/>
      </c>
      <c r="AH19">
        <f>IFERROR(AVERAGE('Dry_Litterbag Placem_Collection'!O20,'Dry_Litterbag Placem_Collection'!R20),"")</f>
        <v>11.15</v>
      </c>
      <c r="AI19" s="271">
        <f>IFERROR(AVERAGE('Dry_Litterbag Placem_Collection'!N20,'Dry_Litterbag Placem_Collection'!Q20),"")</f>
        <v>26.1</v>
      </c>
      <c r="AJ19" s="270">
        <f>INDEX(Coordinates!$B$2:$B$197,MATCH(G19,Coordinates!$J$2:$J$197,0))</f>
        <v>-3.385375002</v>
      </c>
      <c r="AK19" s="270">
        <f>INDEX(Coordinates!$C$2:$C$197,MATCH(G19,Coordinates!$J$2:$J$197,0))</f>
        <v>34.818939999999998</v>
      </c>
      <c r="AL19" s="270" t="str">
        <f>IF(ISNUMBER(SEARCH("C", 'Dry_Litterbag Placem_Collection'!S20)),"YES","NO")</f>
        <v>NO</v>
      </c>
      <c r="AM19" s="270" t="str">
        <f>IF(ISNUMBER(SEARCH("H", 'Dry_Litterbag Placem_Collection'!S20)),"YES","NO")</f>
        <v>NO</v>
      </c>
      <c r="AN19" s="270" t="str">
        <f>IF(ISNUMBER(SEARCH("R", 'Dry_Litterbag Placem_Collection'!S20)),"YES","NO")</f>
        <v>NO</v>
      </c>
    </row>
    <row r="20" spans="1:40">
      <c r="A20" s="262" t="s">
        <v>2659</v>
      </c>
      <c r="B20" s="263">
        <f>'Dry_Litterbag Placem_Collection'!A21</f>
        <v>19</v>
      </c>
      <c r="C20" s="263" t="str">
        <f>'Dry_Litterbag Placem_Collection'!B21</f>
        <v>Makao</v>
      </c>
      <c r="D20" s="263" t="s">
        <v>2659</v>
      </c>
      <c r="E20" s="263" t="s">
        <v>2660</v>
      </c>
      <c r="F20" s="263">
        <v>3</v>
      </c>
      <c r="G20" s="264" t="str">
        <f>'Dry_Litterbag Placem_Collection'!C21</f>
        <v>Dry_Ag3_T3</v>
      </c>
      <c r="H20" s="265" t="s">
        <v>2541</v>
      </c>
      <c r="I20" s="266" t="s">
        <v>1147</v>
      </c>
      <c r="J20" s="263" t="str">
        <f>IF(ISBLANK('Dry_Litterbag Placem_Collection'!J21),"","G"&amp;""&amp;'Dry_Litterbag Placem_Collection'!J21)</f>
        <v>G190</v>
      </c>
      <c r="K20" s="267">
        <f>IFERROR(INDEX('Green_rooibos initial weight'!$C$5:$C$1749,MATCH(J20, 'Green_rooibos initial weight'!$A$5:$A$1749,0)),"")</f>
        <v>1.909</v>
      </c>
      <c r="L20" s="267">
        <f>IFERROR(K20-(TBIcalc!$Q$9+TBIcalc!$Q$10),"")</f>
        <v>1.6592</v>
      </c>
      <c r="M20" s="391">
        <f>AVERAGE(Ashed_controlls!$K$2:$K$11)</f>
        <v>5.5147656768714146</v>
      </c>
      <c r="N20" s="267">
        <f t="shared" si="1"/>
        <v>1.5676990078893496</v>
      </c>
      <c r="O20" s="267">
        <f>IF(IFERROR(INDEX('Both teabags AfterDry'!$D$3:$D$900,MATCH(J20,'Both teabags AfterDry'!$A$3:$A$900,0)),"")="","",(IFERROR(INDEX('Both teabags AfterDry'!$D$3:$D$900,MATCH(J20,'Both teabags AfterDry'!$A$3:$A$900,0)),"")))</f>
        <v>1.7041999999999999</v>
      </c>
      <c r="P20" s="267">
        <f>IFERROR(IF(O20&gt;0,O20-(TBIcalc!$Q$9),""),"")</f>
        <v>1.5535999999999999</v>
      </c>
      <c r="Q20" s="278">
        <f>IFERROR(INDEX('Ashed teabags dry'!$K$2:$K$825,MATCH(J20,'Ashed teabags dry'!$A$2:$A$825,0)),"")</f>
        <v>6.0311284046705405</v>
      </c>
      <c r="R20" s="278">
        <f t="shared" si="2"/>
        <v>1.4599003891050384</v>
      </c>
      <c r="S20" s="268">
        <f>'Dry_Litterbag Placem_Collection'!E21</f>
        <v>42936</v>
      </c>
      <c r="T20" s="268">
        <f>IF('Dry_Litterbag Placem_Collection'!G21="","",'Dry_Litterbag Placem_Collection'!G21)</f>
        <v>43007</v>
      </c>
      <c r="U20" s="269">
        <f t="shared" si="0"/>
        <v>71</v>
      </c>
      <c r="V20" s="267">
        <f t="shared" si="3"/>
        <v>0.10560000000000014</v>
      </c>
      <c r="W20" s="267">
        <f t="shared" si="4"/>
        <v>0.10779861878431118</v>
      </c>
      <c r="X20" s="271">
        <f>IFERROR(INDEX(Rainfall_Dry!$O$2:$O$217,MATCH(B20, Rainfall_Dry!$A$2:$A$217,0)),"")</f>
        <v>6.900000125</v>
      </c>
      <c r="Y20" s="260">
        <v>54.080969906906262</v>
      </c>
      <c r="Z20" s="260">
        <v>21.264484651351896</v>
      </c>
      <c r="AA20" s="260">
        <v>24.654545441741845</v>
      </c>
      <c r="AB20" s="261" t="s">
        <v>2673</v>
      </c>
      <c r="AC20" s="260">
        <v>3.8433218334154802</v>
      </c>
      <c r="AD20" t="str">
        <f>IF('WetLitterbags placem_collection'!AB21="","",'WetLitterbags placem_collection'!AB21)</f>
        <v/>
      </c>
      <c r="AE20" t="str">
        <f>IF('WetLitterbags placem_collection'!Z21="","",'WetLitterbags placem_collection'!Z21)</f>
        <v/>
      </c>
      <c r="AF20" s="246" t="str">
        <f>IF('WetLitterbags placem_collection'!AA21="","",'WetLitterbags placem_collection'!AA21)</f>
        <v/>
      </c>
      <c r="AG20" t="str">
        <f>IF('WetLitterbags placem_collection'!AC21="","",'WetLitterbags placem_collection'!AC21)</f>
        <v/>
      </c>
      <c r="AH20">
        <f>IFERROR(AVERAGE('Dry_Litterbag Placem_Collection'!O21,'Dry_Litterbag Placem_Collection'!R21),"")</f>
        <v>15.75</v>
      </c>
      <c r="AI20" s="271">
        <f>IFERROR(AVERAGE('Dry_Litterbag Placem_Collection'!N21,'Dry_Litterbag Placem_Collection'!Q21),"")</f>
        <v>25.700000000000003</v>
      </c>
      <c r="AJ20" s="270">
        <f>INDEX(Coordinates!$B$2:$B$197,MATCH(G20,Coordinates!$J$2:$J$197,0))</f>
        <v>-3.3853589930000001</v>
      </c>
      <c r="AK20" s="270">
        <f>INDEX(Coordinates!$C$2:$C$197,MATCH(G20,Coordinates!$J$2:$J$197,0))</f>
        <v>34.818991969999999</v>
      </c>
      <c r="AL20" s="270" t="str">
        <f>IF(ISNUMBER(SEARCH("C", 'Dry_Litterbag Placem_Collection'!S21)),"YES","NO")</f>
        <v>NO</v>
      </c>
      <c r="AM20" s="270" t="str">
        <f>IF(ISNUMBER(SEARCH("H", 'Dry_Litterbag Placem_Collection'!S21)),"YES","NO")</f>
        <v>YES</v>
      </c>
      <c r="AN20" s="270" t="str">
        <f>IF(ISNUMBER(SEARCH("R", 'Dry_Litterbag Placem_Collection'!S21)),"YES","NO")</f>
        <v>NO</v>
      </c>
    </row>
    <row r="21" spans="1:40">
      <c r="A21" s="262" t="s">
        <v>2659</v>
      </c>
      <c r="B21" s="263">
        <f>'Dry_Litterbag Placem_Collection'!A22</f>
        <v>20</v>
      </c>
      <c r="C21" s="263" t="str">
        <f>'Dry_Litterbag Placem_Collection'!B22</f>
        <v>Makao</v>
      </c>
      <c r="D21" s="263" t="s">
        <v>2659</v>
      </c>
      <c r="E21" s="263" t="s">
        <v>2660</v>
      </c>
      <c r="F21" s="263">
        <v>3</v>
      </c>
      <c r="G21" s="264" t="str">
        <f>'Dry_Litterbag Placem_Collection'!C22</f>
        <v>Dry_Ag3_T4</v>
      </c>
      <c r="H21" s="265" t="s">
        <v>2541</v>
      </c>
      <c r="I21" s="266" t="s">
        <v>1147</v>
      </c>
      <c r="J21" s="263" t="str">
        <f>IF(ISBLANK('Dry_Litterbag Placem_Collection'!J22),"","G"&amp;""&amp;'Dry_Litterbag Placem_Collection'!J22)</f>
        <v>G38</v>
      </c>
      <c r="K21" s="267">
        <f>IFERROR(INDEX('Green_rooibos initial weight'!$C$5:$C$1749,MATCH(J21, 'Green_rooibos initial weight'!$A$5:$A$1749,0)),"")</f>
        <v>1.93</v>
      </c>
      <c r="L21" s="267">
        <f>IFERROR(K21-(TBIcalc!$Q$9+TBIcalc!$Q$10),"")</f>
        <v>1.6801999999999999</v>
      </c>
      <c r="M21" s="391">
        <f>AVERAGE(Ashed_controlls!$K$2:$K$11)</f>
        <v>5.5147656768714146</v>
      </c>
      <c r="N21" s="267">
        <f t="shared" si="1"/>
        <v>1.5875409070972064</v>
      </c>
      <c r="O21" s="267">
        <f>IF(IFERROR(INDEX('Both teabags AfterDry'!$D$3:$D$900,MATCH(J21,'Both teabags AfterDry'!$A$3:$A$900,0)),"")="","",(IFERROR(INDEX('Both teabags AfterDry'!$D$3:$D$900,MATCH(J21,'Both teabags AfterDry'!$A$3:$A$900,0)),"")))</f>
        <v>1.6738</v>
      </c>
      <c r="P21" s="267">
        <f>IFERROR(IF(O21&gt;0,O21-(TBIcalc!$Q$9),""),"")</f>
        <v>1.5231999999999999</v>
      </c>
      <c r="Q21" s="278">
        <f>IFERROR(INDEX('Ashed teabags dry'!$K$2:$K$825,MATCH(J21,'Ashed teabags dry'!$A$2:$A$825,0)),"")</f>
        <v>6.723084156088639</v>
      </c>
      <c r="R21" s="278">
        <f t="shared" si="2"/>
        <v>1.4207939821344577</v>
      </c>
      <c r="S21" s="268">
        <f>'Dry_Litterbag Placem_Collection'!E22</f>
        <v>42936</v>
      </c>
      <c r="T21" s="268">
        <f>IF('Dry_Litterbag Placem_Collection'!G22="","",'Dry_Litterbag Placem_Collection'!G22)</f>
        <v>43007</v>
      </c>
      <c r="U21" s="269">
        <f t="shared" si="0"/>
        <v>71</v>
      </c>
      <c r="V21" s="267">
        <f t="shared" si="3"/>
        <v>0.15700000000000003</v>
      </c>
      <c r="W21" s="267">
        <f t="shared" si="4"/>
        <v>0.16674692496274868</v>
      </c>
      <c r="X21" s="271">
        <f>IFERROR(INDEX(Rainfall_Dry!$O$2:$O$217,MATCH(B21, Rainfall_Dry!$A$2:$A$217,0)),"")</f>
        <v>6.900000125</v>
      </c>
      <c r="Y21" s="260">
        <v>54.080969906906262</v>
      </c>
      <c r="Z21" s="260">
        <v>21.264484651351896</v>
      </c>
      <c r="AA21" s="260">
        <v>24.654545441741845</v>
      </c>
      <c r="AB21" s="261" t="s">
        <v>2673</v>
      </c>
      <c r="AC21" s="260">
        <v>4.8433218334154802</v>
      </c>
      <c r="AD21" t="str">
        <f>IF('WetLitterbags placem_collection'!AB22="","",'WetLitterbags placem_collection'!AB22)</f>
        <v/>
      </c>
      <c r="AE21" t="str">
        <f>IF('WetLitterbags placem_collection'!Z22="","",'WetLitterbags placem_collection'!Z22)</f>
        <v/>
      </c>
      <c r="AF21" s="246" t="str">
        <f>IF('WetLitterbags placem_collection'!AA22="","",'WetLitterbags placem_collection'!AA22)</f>
        <v/>
      </c>
      <c r="AG21" t="str">
        <f>IF('WetLitterbags placem_collection'!AC22="","",'WetLitterbags placem_collection'!AC22)</f>
        <v/>
      </c>
      <c r="AH21">
        <f>IFERROR(AVERAGE('Dry_Litterbag Placem_Collection'!O22,'Dry_Litterbag Placem_Collection'!R22),"")</f>
        <v>16</v>
      </c>
      <c r="AI21" s="271">
        <f>IFERROR(AVERAGE('Dry_Litterbag Placem_Collection'!N22,'Dry_Litterbag Placem_Collection'!Q22),"")</f>
        <v>26.3</v>
      </c>
      <c r="AJ21" s="270">
        <f>INDEX(Coordinates!$B$2:$B$197,MATCH(G21,Coordinates!$J$2:$J$197,0))</f>
        <v>-3.3853969629999998</v>
      </c>
      <c r="AK21" s="270">
        <f>INDEX(Coordinates!$C$2:$C$197,MATCH(G21,Coordinates!$J$2:$J$197,0))</f>
        <v>34.818977969999999</v>
      </c>
      <c r="AL21" s="270" t="str">
        <f>IF(ISNUMBER(SEARCH("C", 'Dry_Litterbag Placem_Collection'!S22)),"YES","NO")</f>
        <v>NO</v>
      </c>
      <c r="AM21" s="270" t="str">
        <f>IF(ISNUMBER(SEARCH("H", 'Dry_Litterbag Placem_Collection'!S22)),"YES","NO")</f>
        <v>YES</v>
      </c>
      <c r="AN21" s="270" t="str">
        <f>IF(ISNUMBER(SEARCH("R", 'Dry_Litterbag Placem_Collection'!S22)),"YES","NO")</f>
        <v>NO</v>
      </c>
    </row>
    <row r="22" spans="1:40">
      <c r="A22" s="262" t="s">
        <v>2659</v>
      </c>
      <c r="B22" s="263">
        <f>'Dry_Litterbag Placem_Collection'!A23</f>
        <v>21</v>
      </c>
      <c r="C22" s="263" t="str">
        <f>'Dry_Litterbag Placem_Collection'!B23</f>
        <v>Makao</v>
      </c>
      <c r="D22" s="263" t="s">
        <v>2659</v>
      </c>
      <c r="E22" s="263" t="s">
        <v>2660</v>
      </c>
      <c r="F22" s="263">
        <v>3</v>
      </c>
      <c r="G22" s="264" t="str">
        <f>'Dry_Litterbag Placem_Collection'!C23</f>
        <v>Dry_Ag3_T5</v>
      </c>
      <c r="H22" s="265" t="s">
        <v>2541</v>
      </c>
      <c r="I22" s="266" t="s">
        <v>1147</v>
      </c>
      <c r="J22" s="263" t="str">
        <f>IF(ISBLANK('Dry_Litterbag Placem_Collection'!J23),"","G"&amp;""&amp;'Dry_Litterbag Placem_Collection'!J23)</f>
        <v>G468</v>
      </c>
      <c r="K22" s="267">
        <f>IFERROR(INDEX('Green_rooibos initial weight'!$C$5:$C$1749,MATCH(J22, 'Green_rooibos initial weight'!$A$5:$A$1749,0)),"")</f>
        <v>2.1309999999999998</v>
      </c>
      <c r="L22" s="267">
        <f>IFERROR(K22-(TBIcalc!$Q$9+TBIcalc!$Q$10),"")</f>
        <v>1.8811999999999998</v>
      </c>
      <c r="M22" s="391">
        <f>AVERAGE(Ashed_controlls!$K$2:$K$11)</f>
        <v>5.5147656768714146</v>
      </c>
      <c r="N22" s="267">
        <f t="shared" si="1"/>
        <v>1.7774562280866948</v>
      </c>
      <c r="O22" s="267" t="str">
        <f>IF(IFERROR(INDEX('Both teabags AfterDry'!$D$3:$D$900,MATCH(J22,'Both teabags AfterDry'!$A$3:$A$900,0)),"")="","",(IFERROR(INDEX('Both teabags AfterDry'!$D$3:$D$900,MATCH(J22,'Both teabags AfterDry'!$A$3:$A$900,0)),"")))</f>
        <v/>
      </c>
      <c r="P22" s="267" t="str">
        <f>IFERROR(IF(O22&gt;0,O22-(TBIcalc!$Q$9),""),"")</f>
        <v/>
      </c>
      <c r="Q22" s="278" t="str">
        <f>IFERROR(INDEX('Ashed teabags dry'!$K$2:$K$825,MATCH(J22,'Ashed teabags dry'!$A$2:$A$825,0)),"")</f>
        <v/>
      </c>
      <c r="R22" s="278" t="str">
        <f t="shared" si="2"/>
        <v/>
      </c>
      <c r="S22" s="268">
        <f>'Dry_Litterbag Placem_Collection'!E23</f>
        <v>42936</v>
      </c>
      <c r="T22" s="268">
        <f>IF('Dry_Litterbag Placem_Collection'!G23="","",'Dry_Litterbag Placem_Collection'!G23)</f>
        <v>43007</v>
      </c>
      <c r="U22" s="269">
        <f t="shared" si="0"/>
        <v>71</v>
      </c>
      <c r="V22" s="267" t="str">
        <f t="shared" si="3"/>
        <v/>
      </c>
      <c r="W22" s="267" t="str">
        <f t="shared" si="4"/>
        <v/>
      </c>
      <c r="X22" s="271">
        <f>IFERROR(INDEX(Rainfall_Dry!$O$2:$O$217,MATCH(B22, Rainfall_Dry!$A$2:$A$217,0)),"")</f>
        <v>6.900000125</v>
      </c>
      <c r="Y22" s="260">
        <v>54.080969906906262</v>
      </c>
      <c r="Z22" s="260">
        <v>21.264484651351896</v>
      </c>
      <c r="AA22" s="260">
        <v>24.654545441741845</v>
      </c>
      <c r="AB22" s="261" t="s">
        <v>2673</v>
      </c>
      <c r="AC22" s="260">
        <v>5.8433218334154802</v>
      </c>
      <c r="AD22" t="str">
        <f>IF('WetLitterbags placem_collection'!AB23="","",'WetLitterbags placem_collection'!AB23)</f>
        <v/>
      </c>
      <c r="AE22" t="str">
        <f>IF('WetLitterbags placem_collection'!Z23="","",'WetLitterbags placem_collection'!Z23)</f>
        <v/>
      </c>
      <c r="AF22" s="246" t="str">
        <f>IF('WetLitterbags placem_collection'!AA23="","",'WetLitterbags placem_collection'!AA23)</f>
        <v/>
      </c>
      <c r="AG22" t="str">
        <f>IF('WetLitterbags placem_collection'!AC23="","",'WetLitterbags placem_collection'!AC23)</f>
        <v/>
      </c>
      <c r="AH22">
        <f>IFERROR(AVERAGE('Dry_Litterbag Placem_Collection'!O23,'Dry_Litterbag Placem_Collection'!R23),"")</f>
        <v>13.2</v>
      </c>
      <c r="AI22" s="271">
        <f>IFERROR(AVERAGE('Dry_Litterbag Placem_Collection'!N23,'Dry_Litterbag Placem_Collection'!Q23),"")</f>
        <v>26.1</v>
      </c>
      <c r="AJ22" s="270">
        <f>INDEX(Coordinates!$B$2:$B$197,MATCH(G22,Coordinates!$J$2:$J$197,0))</f>
        <v>-3.3854019919999998</v>
      </c>
      <c r="AK22" s="270">
        <f>INDEX(Coordinates!$C$2:$C$197,MATCH(G22,Coordinates!$J$2:$J$197,0))</f>
        <v>34.81894604</v>
      </c>
      <c r="AL22" s="270" t="str">
        <f>IF(ISNUMBER(SEARCH("C", 'Dry_Litterbag Placem_Collection'!S23)),"YES","NO")</f>
        <v>NO</v>
      </c>
      <c r="AM22" s="270" t="str">
        <f>IF(ISNUMBER(SEARCH("H", 'Dry_Litterbag Placem_Collection'!S23)),"YES","NO")</f>
        <v>NO</v>
      </c>
      <c r="AN22" s="270" t="str">
        <f>IF(ISNUMBER(SEARCH("R", 'Dry_Litterbag Placem_Collection'!S23)),"YES","NO")</f>
        <v>NO</v>
      </c>
    </row>
    <row r="23" spans="1:40">
      <c r="A23" s="262" t="s">
        <v>2659</v>
      </c>
      <c r="B23" s="263">
        <f>'Dry_Litterbag Placem_Collection'!A24</f>
        <v>22</v>
      </c>
      <c r="C23" s="263" t="str">
        <f>'Dry_Litterbag Placem_Collection'!B24</f>
        <v>Makao</v>
      </c>
      <c r="D23" s="263" t="s">
        <v>2659</v>
      </c>
      <c r="E23" s="263" t="s">
        <v>2660</v>
      </c>
      <c r="F23" s="263">
        <v>3</v>
      </c>
      <c r="G23" s="264" t="str">
        <f>'Dry_Litterbag Placem_Collection'!C24</f>
        <v>Dry_Ag3_T6</v>
      </c>
      <c r="H23" s="265" t="s">
        <v>2541</v>
      </c>
      <c r="I23" s="266" t="s">
        <v>1147</v>
      </c>
      <c r="J23" s="263" t="str">
        <f>IF(ISBLANK('Dry_Litterbag Placem_Collection'!J24),"","G"&amp;""&amp;'Dry_Litterbag Placem_Collection'!J24)</f>
        <v>G8</v>
      </c>
      <c r="K23" s="267">
        <f>IFERROR(INDEX('Green_rooibos initial weight'!$C$5:$C$1749,MATCH(J23, 'Green_rooibos initial weight'!$A$5:$A$1749,0)),"")</f>
        <v>2.0209999999999999</v>
      </c>
      <c r="L23" s="267">
        <f>IFERROR(K23-(TBIcalc!$Q$9+TBIcalc!$Q$10),"")</f>
        <v>1.7711999999999999</v>
      </c>
      <c r="M23" s="391">
        <f>AVERAGE(Ashed_controlls!$K$2:$K$11)</f>
        <v>5.5147656768714146</v>
      </c>
      <c r="N23" s="267">
        <f t="shared" si="1"/>
        <v>1.6735224703312535</v>
      </c>
      <c r="O23" s="267">
        <f>IF(IFERROR(INDEX('Both teabags AfterDry'!$D$3:$D$900,MATCH(J23,'Both teabags AfterDry'!$A$3:$A$900,0)),"")="","",(IFERROR(INDEX('Both teabags AfterDry'!$D$3:$D$900,MATCH(J23,'Both teabags AfterDry'!$A$3:$A$900,0)),"")))</f>
        <v>1.4722999999999999</v>
      </c>
      <c r="P23" s="267">
        <f>IFERROR(IF(O23&gt;0,O23-(TBIcalc!$Q$9),""),"")</f>
        <v>1.3216999999999999</v>
      </c>
      <c r="Q23" s="278">
        <f>IFERROR(INDEX('Ashed teabags dry'!$K$2:$K$825,MATCH(J23,'Ashed teabags dry'!$A$2:$A$825,0)),"")</f>
        <v>8.7882822902793247</v>
      </c>
      <c r="R23" s="278">
        <f t="shared" si="2"/>
        <v>1.2055452729693781</v>
      </c>
      <c r="S23" s="268">
        <f>'Dry_Litterbag Placem_Collection'!E24</f>
        <v>42936</v>
      </c>
      <c r="T23" s="268">
        <f>IF('Dry_Litterbag Placem_Collection'!G24="","",'Dry_Litterbag Placem_Collection'!G24)</f>
        <v>43007</v>
      </c>
      <c r="U23" s="269">
        <f t="shared" si="0"/>
        <v>71</v>
      </c>
      <c r="V23" s="267">
        <f t="shared" si="3"/>
        <v>0.44950000000000001</v>
      </c>
      <c r="W23" s="267">
        <f t="shared" si="4"/>
        <v>0.46797719736187537</v>
      </c>
      <c r="X23" s="271">
        <f>IFERROR(INDEX(Rainfall_Dry!$O$2:$O$217,MATCH(B23, Rainfall_Dry!$A$2:$A$217,0)),"")</f>
        <v>6.900000125</v>
      </c>
      <c r="Y23" s="260">
        <v>54.080969906906262</v>
      </c>
      <c r="Z23" s="260">
        <v>21.264484651351896</v>
      </c>
      <c r="AA23" s="260">
        <v>24.654545441741845</v>
      </c>
      <c r="AB23" s="261" t="s">
        <v>2673</v>
      </c>
      <c r="AC23" s="260">
        <v>6.8433218334154802</v>
      </c>
      <c r="AD23" t="str">
        <f>IF('WetLitterbags placem_collection'!AB24="","",'WetLitterbags placem_collection'!AB24)</f>
        <v/>
      </c>
      <c r="AE23" t="str">
        <f>IF('WetLitterbags placem_collection'!Z24="","",'WetLitterbags placem_collection'!Z24)</f>
        <v/>
      </c>
      <c r="AF23" s="246" t="str">
        <f>IF('WetLitterbags placem_collection'!AA24="","",'WetLitterbags placem_collection'!AA24)</f>
        <v/>
      </c>
      <c r="AG23" t="str">
        <f>IF('WetLitterbags placem_collection'!AC24="","",'WetLitterbags placem_collection'!AC24)</f>
        <v/>
      </c>
      <c r="AH23">
        <f>IFERROR(AVERAGE('Dry_Litterbag Placem_Collection'!O24,'Dry_Litterbag Placem_Collection'!R24),"")</f>
        <v>19.05</v>
      </c>
      <c r="AI23" s="271">
        <f>IFERROR(AVERAGE('Dry_Litterbag Placem_Collection'!N24,'Dry_Litterbag Placem_Collection'!Q24),"")</f>
        <v>25.75</v>
      </c>
      <c r="AJ23" s="270">
        <f>INDEX(Coordinates!$B$2:$B$197,MATCH(G23,Coordinates!$J$2:$J$197,0))</f>
        <v>-3.3854470029999999</v>
      </c>
      <c r="AK23" s="270">
        <f>INDEX(Coordinates!$C$2:$C$197,MATCH(G23,Coordinates!$J$2:$J$197,0))</f>
        <v>34.818946959999998</v>
      </c>
      <c r="AL23" s="270" t="str">
        <f>IF(ISNUMBER(SEARCH("C", 'Dry_Litterbag Placem_Collection'!S24)),"YES","NO")</f>
        <v>NO</v>
      </c>
      <c r="AM23" s="270" t="str">
        <f>IF(ISNUMBER(SEARCH("H", 'Dry_Litterbag Placem_Collection'!S24)),"YES","NO")</f>
        <v>NO</v>
      </c>
      <c r="AN23" s="270" t="str">
        <f>IF(ISNUMBER(SEARCH("R", 'Dry_Litterbag Placem_Collection'!S24)),"YES","NO")</f>
        <v>NO</v>
      </c>
    </row>
    <row r="24" spans="1:40">
      <c r="A24" s="262" t="s">
        <v>2659</v>
      </c>
      <c r="B24" s="263">
        <f>'Dry_Litterbag Placem_Collection'!A25</f>
        <v>23</v>
      </c>
      <c r="C24" s="263" t="str">
        <f>'Dry_Litterbag Placem_Collection'!B25</f>
        <v>Makao</v>
      </c>
      <c r="D24" s="263" t="s">
        <v>2659</v>
      </c>
      <c r="E24" s="263" t="s">
        <v>2660</v>
      </c>
      <c r="F24" s="263">
        <v>3</v>
      </c>
      <c r="G24" s="264" t="str">
        <f>'Dry_Litterbag Placem_Collection'!C25</f>
        <v>Dry_Ag3_T7</v>
      </c>
      <c r="H24" s="265" t="s">
        <v>2541</v>
      </c>
      <c r="I24" s="266" t="s">
        <v>1147</v>
      </c>
      <c r="J24" s="263" t="str">
        <f>IF(ISBLANK('Dry_Litterbag Placem_Collection'!J25),"","G"&amp;""&amp;'Dry_Litterbag Placem_Collection'!J25)</f>
        <v/>
      </c>
      <c r="K24" s="267" t="str">
        <f>IFERROR(INDEX('Green_rooibos initial weight'!$C$5:$C$1749,MATCH(J24, 'Green_rooibos initial weight'!$A$5:$A$1749,0)),"")</f>
        <v/>
      </c>
      <c r="L24" s="267" t="str">
        <f>IFERROR(K24-(TBIcalc!$Q$9+TBIcalc!$Q$10),"")</f>
        <v/>
      </c>
      <c r="M24" s="391">
        <f>AVERAGE(Ashed_controlls!$K$2:$K$11)</f>
        <v>5.5147656768714146</v>
      </c>
      <c r="N24" s="267" t="str">
        <f t="shared" si="1"/>
        <v/>
      </c>
      <c r="O24" s="267" t="str">
        <f>IF(IFERROR(INDEX('Both teabags AfterDry'!$D$3:$D$900,MATCH(J24,'Both teabags AfterDry'!$A$3:$A$900,0)),"")="","",(IFERROR(INDEX('Both teabags AfterDry'!$D$3:$D$900,MATCH(J24,'Both teabags AfterDry'!$A$3:$A$900,0)),"")))</f>
        <v/>
      </c>
      <c r="P24" s="267" t="str">
        <f>IFERROR(IF(O24&gt;0,O24-(TBIcalc!$Q$9),""),"")</f>
        <v/>
      </c>
      <c r="Q24" s="278" t="str">
        <f>IFERROR(INDEX('Ashed teabags dry'!$K$2:$K$825,MATCH(J24,'Ashed teabags dry'!$A$2:$A$825,0)),"")</f>
        <v/>
      </c>
      <c r="R24" s="278" t="str">
        <f t="shared" si="2"/>
        <v/>
      </c>
      <c r="S24" s="268">
        <f>'Dry_Litterbag Placem_Collection'!E25</f>
        <v>0</v>
      </c>
      <c r="T24" s="268" t="str">
        <f>IF('Dry_Litterbag Placem_Collection'!G25="","",'Dry_Litterbag Placem_Collection'!G25)</f>
        <v/>
      </c>
      <c r="U24" s="269" t="str">
        <f t="shared" si="0"/>
        <v/>
      </c>
      <c r="V24" s="267" t="str">
        <f t="shared" si="3"/>
        <v/>
      </c>
      <c r="W24" s="267" t="str">
        <f t="shared" si="4"/>
        <v/>
      </c>
      <c r="X24" s="271" t="str">
        <f>IFERROR(INDEX(Rainfall_Dry!$O$2:$O$217,MATCH(B24, Rainfall_Dry!$A$2:$A$217,0)),"")</f>
        <v/>
      </c>
      <c r="Y24" s="260">
        <v>54.080969906906262</v>
      </c>
      <c r="Z24" s="260">
        <v>21.264484651351896</v>
      </c>
      <c r="AA24" s="260">
        <v>24.654545441741845</v>
      </c>
      <c r="AB24" s="261" t="s">
        <v>2673</v>
      </c>
      <c r="AC24" s="260">
        <v>7.8433218334154802</v>
      </c>
      <c r="AD24" t="str">
        <f>IF('WetLitterbags placem_collection'!AB25="","",'WetLitterbags placem_collection'!AB25)</f>
        <v/>
      </c>
      <c r="AE24" t="str">
        <f>IF('WetLitterbags placem_collection'!Z25="","",'WetLitterbags placem_collection'!Z25)</f>
        <v/>
      </c>
      <c r="AF24" s="246" t="str">
        <f>IF('WetLitterbags placem_collection'!AA25="","",'WetLitterbags placem_collection'!AA25)</f>
        <v/>
      </c>
      <c r="AG24" t="str">
        <f>IF('WetLitterbags placem_collection'!AC25="","",'WetLitterbags placem_collection'!AC25)</f>
        <v/>
      </c>
      <c r="AH24" t="str">
        <f>IFERROR(AVERAGE('Dry_Litterbag Placem_Collection'!O25,'Dry_Litterbag Placem_Collection'!R25),"")</f>
        <v/>
      </c>
      <c r="AI24" s="271" t="str">
        <f>IFERROR(AVERAGE('Dry_Litterbag Placem_Collection'!N25,'Dry_Litterbag Placem_Collection'!Q25),"")</f>
        <v/>
      </c>
      <c r="AJ24" s="270">
        <f>INDEX(Coordinates!$B$2:$B$197,MATCH(G24,Coordinates!$J$2:$J$197,0))</f>
        <v>-3.3854200130000001</v>
      </c>
      <c r="AK24" s="270">
        <f>INDEX(Coordinates!$C$2:$C$197,MATCH(G24,Coordinates!$J$2:$J$197,0))</f>
        <v>34.818856019999998</v>
      </c>
      <c r="AL24" s="270" t="str">
        <f>IF(ISNUMBER(SEARCH("C", 'Dry_Litterbag Placem_Collection'!S25)),"YES","NO")</f>
        <v>NO</v>
      </c>
      <c r="AM24" s="270" t="str">
        <f>IF(ISNUMBER(SEARCH("H", 'Dry_Litterbag Placem_Collection'!S25)),"YES","NO")</f>
        <v>NO</v>
      </c>
      <c r="AN24" s="270" t="str">
        <f>IF(ISNUMBER(SEARCH("R", 'Dry_Litterbag Placem_Collection'!S25)),"YES","NO")</f>
        <v>NO</v>
      </c>
    </row>
    <row r="25" spans="1:40">
      <c r="A25" s="262" t="s">
        <v>2659</v>
      </c>
      <c r="B25" s="263">
        <f>'Dry_Litterbag Placem_Collection'!A26</f>
        <v>24</v>
      </c>
      <c r="C25" s="263" t="str">
        <f>'Dry_Litterbag Placem_Collection'!B26</f>
        <v>Makao</v>
      </c>
      <c r="D25" s="263" t="s">
        <v>2659</v>
      </c>
      <c r="E25" s="263" t="s">
        <v>2660</v>
      </c>
      <c r="F25" s="263">
        <v>3</v>
      </c>
      <c r="G25" s="264" t="str">
        <f>'Dry_Litterbag Placem_Collection'!C26</f>
        <v>Dry_Ag3_T8</v>
      </c>
      <c r="H25" s="265" t="s">
        <v>2541</v>
      </c>
      <c r="I25" s="266" t="s">
        <v>1147</v>
      </c>
      <c r="J25" s="263" t="str">
        <f>IF(ISBLANK('Dry_Litterbag Placem_Collection'!J26),"","G"&amp;""&amp;'Dry_Litterbag Placem_Collection'!J26)</f>
        <v>G320</v>
      </c>
      <c r="K25" s="267">
        <f>IFERROR(INDEX('Green_rooibos initial weight'!$C$5:$C$1749,MATCH(J25, 'Green_rooibos initial weight'!$A$5:$A$1749,0)),"")</f>
        <v>2.044</v>
      </c>
      <c r="L25" s="267">
        <f>IFERROR(K25-(TBIcalc!$Q$9+TBIcalc!$Q$10),"")</f>
        <v>1.7942</v>
      </c>
      <c r="M25" s="391">
        <f>AVERAGE(Ashed_controlls!$K$2:$K$11)</f>
        <v>5.5147656768714146</v>
      </c>
      <c r="N25" s="267">
        <f t="shared" si="1"/>
        <v>1.6952540742255731</v>
      </c>
      <c r="O25" s="267">
        <f>IF(IFERROR(INDEX('Both teabags AfterDry'!$D$3:$D$900,MATCH(J25,'Both teabags AfterDry'!$A$3:$A$900,0)),"")="","",(IFERROR(INDEX('Both teabags AfterDry'!$D$3:$D$900,MATCH(J25,'Both teabags AfterDry'!$A$3:$A$900,0)),"")))</f>
        <v>1.7525999999999999</v>
      </c>
      <c r="P25" s="267">
        <f>IFERROR(IF(O25&gt;0,O25-(TBIcalc!$Q$9),""),"")</f>
        <v>1.6019999999999999</v>
      </c>
      <c r="Q25" s="278">
        <f>IFERROR(INDEX('Ashed teabags dry'!$K$2:$K$825,MATCH(J25,'Ashed teabags dry'!$A$2:$A$825,0)),"")</f>
        <v>6.2730627306273838</v>
      </c>
      <c r="R25" s="278">
        <f t="shared" si="2"/>
        <v>1.5015055350553492</v>
      </c>
      <c r="S25" s="268">
        <f>'Dry_Litterbag Placem_Collection'!E26</f>
        <v>42936</v>
      </c>
      <c r="T25" s="268">
        <f>IF('Dry_Litterbag Placem_Collection'!G26="","",'Dry_Litterbag Placem_Collection'!G26)</f>
        <v>43007</v>
      </c>
      <c r="U25" s="269">
        <f t="shared" si="0"/>
        <v>71</v>
      </c>
      <c r="V25" s="267">
        <f t="shared" si="3"/>
        <v>0.19220000000000015</v>
      </c>
      <c r="W25" s="267">
        <f t="shared" si="4"/>
        <v>0.19374853917022383</v>
      </c>
      <c r="X25" s="271">
        <f>IFERROR(INDEX(Rainfall_Dry!$O$2:$O$217,MATCH(B25, Rainfall_Dry!$A$2:$A$217,0)),"")</f>
        <v>6.900000125</v>
      </c>
      <c r="Y25" s="260">
        <v>54.080969906906262</v>
      </c>
      <c r="Z25" s="260">
        <v>21.264484651351896</v>
      </c>
      <c r="AA25" s="260">
        <v>24.654545441741845</v>
      </c>
      <c r="AB25" s="261" t="s">
        <v>2673</v>
      </c>
      <c r="AC25" s="260">
        <v>8.8433218334154695</v>
      </c>
      <c r="AD25" t="str">
        <f>IF('WetLitterbags placem_collection'!AB26="","",'WetLitterbags placem_collection'!AB26)</f>
        <v/>
      </c>
      <c r="AE25" t="str">
        <f>IF('WetLitterbags placem_collection'!Z26="","",'WetLitterbags placem_collection'!Z26)</f>
        <v/>
      </c>
      <c r="AF25" s="246" t="str">
        <f>IF('WetLitterbags placem_collection'!AA26="","",'WetLitterbags placem_collection'!AA26)</f>
        <v/>
      </c>
      <c r="AG25" t="str">
        <f>IF('WetLitterbags placem_collection'!AC26="","",'WetLitterbags placem_collection'!AC26)</f>
        <v/>
      </c>
      <c r="AH25">
        <f>IFERROR(AVERAGE('Dry_Litterbag Placem_Collection'!O26,'Dry_Litterbag Placem_Collection'!R26),"")</f>
        <v>15.6</v>
      </c>
      <c r="AI25" s="271">
        <f>IFERROR(AVERAGE('Dry_Litterbag Placem_Collection'!N26,'Dry_Litterbag Placem_Collection'!Q26),"")</f>
        <v>25.5</v>
      </c>
      <c r="AJ25" s="270">
        <f>INDEX(Coordinates!$B$2:$B$197,MATCH(G25,Coordinates!$J$2:$J$197,0))</f>
        <v>-3.3853829649999998</v>
      </c>
      <c r="AK25" s="270">
        <f>INDEX(Coordinates!$C$2:$C$197,MATCH(G25,Coordinates!$J$2:$J$197,0))</f>
        <v>34.818877980000003</v>
      </c>
      <c r="AL25" s="270" t="str">
        <f>IF(ISNUMBER(SEARCH("C", 'Dry_Litterbag Placem_Collection'!S26)),"YES","NO")</f>
        <v>NO</v>
      </c>
      <c r="AM25" s="270" t="str">
        <f>IF(ISNUMBER(SEARCH("H", 'Dry_Litterbag Placem_Collection'!S26)),"YES","NO")</f>
        <v>NO</v>
      </c>
      <c r="AN25" s="270" t="str">
        <f>IF(ISNUMBER(SEARCH("R", 'Dry_Litterbag Placem_Collection'!S26)),"YES","NO")</f>
        <v>NO</v>
      </c>
    </row>
    <row r="26" spans="1:40">
      <c r="A26" s="262" t="s">
        <v>2659</v>
      </c>
      <c r="B26" s="263">
        <f>'Dry_Litterbag Placem_Collection'!A27</f>
        <v>25</v>
      </c>
      <c r="C26" s="263" t="str">
        <f>'Dry_Litterbag Placem_Collection'!B27</f>
        <v>Makao</v>
      </c>
      <c r="D26" s="263" t="s">
        <v>2659</v>
      </c>
      <c r="E26" s="263" t="s">
        <v>2660</v>
      </c>
      <c r="F26" s="263">
        <v>4</v>
      </c>
      <c r="G26" s="264" t="str">
        <f>'Dry_Litterbag Placem_Collection'!C27</f>
        <v>Dry_Ag4_T1</v>
      </c>
      <c r="H26" s="265" t="s">
        <v>2541</v>
      </c>
      <c r="I26" s="266" t="s">
        <v>1147</v>
      </c>
      <c r="J26" s="263" t="str">
        <f>IF(ISBLANK('Dry_Litterbag Placem_Collection'!J27),"","G"&amp;""&amp;'Dry_Litterbag Placem_Collection'!J27)</f>
        <v>G322</v>
      </c>
      <c r="K26" s="267">
        <f>IFERROR(INDEX('Green_rooibos initial weight'!$C$5:$C$1749,MATCH(J26, 'Green_rooibos initial weight'!$A$5:$A$1749,0)),"")</f>
        <v>2.0169999999999999</v>
      </c>
      <c r="L26" s="267">
        <f>IFERROR(K26-(TBIcalc!$Q$9+TBIcalc!$Q$10),"")</f>
        <v>1.7671999999999999</v>
      </c>
      <c r="M26" s="391">
        <f>AVERAGE(Ashed_controlls!$K$2:$K$11)</f>
        <v>5.5147656768714146</v>
      </c>
      <c r="N26" s="267">
        <f t="shared" si="1"/>
        <v>1.6697430609583281</v>
      </c>
      <c r="O26" s="267">
        <f>IF(IFERROR(INDEX('Both teabags AfterDry'!$D$3:$D$900,MATCH(J26,'Both teabags AfterDry'!$A$3:$A$900,0)),"")="","",(IFERROR(INDEX('Both teabags AfterDry'!$D$3:$D$900,MATCH(J26,'Both teabags AfterDry'!$A$3:$A$900,0)),"")))</f>
        <v>1.8697999999999999</v>
      </c>
      <c r="P26" s="267">
        <f>IFERROR(IF(O26&gt;0,O26-(TBIcalc!$Q$9),""),"")</f>
        <v>1.7191999999999998</v>
      </c>
      <c r="Q26" s="278">
        <f>IFERROR(INDEX('Ashed teabags dry'!$K$2:$K$825,MATCH(J26,'Ashed teabags dry'!$A$2:$A$825,0)),"")</f>
        <v>6.1076102762959152</v>
      </c>
      <c r="R26" s="278">
        <f t="shared" si="2"/>
        <v>1.6141979641299204</v>
      </c>
      <c r="S26" s="268">
        <f>'Dry_Litterbag Placem_Collection'!E27</f>
        <v>42936</v>
      </c>
      <c r="T26" s="268">
        <f>IF('Dry_Litterbag Placem_Collection'!G27="","",'Dry_Litterbag Placem_Collection'!G27)</f>
        <v>43007</v>
      </c>
      <c r="U26" s="269">
        <f t="shared" si="0"/>
        <v>71</v>
      </c>
      <c r="V26" s="267">
        <f t="shared" si="3"/>
        <v>4.8000000000000043E-2</v>
      </c>
      <c r="W26" s="267">
        <f t="shared" si="4"/>
        <v>5.5545096828407692E-2</v>
      </c>
      <c r="X26" s="271">
        <f>IFERROR(INDEX(Rainfall_Dry!$O$2:$O$217,MATCH(B26, Rainfall_Dry!$A$2:$A$217,0)),"")</f>
        <v>6.900000125</v>
      </c>
      <c r="Y26" s="260">
        <v>51.960000000000008</v>
      </c>
      <c r="Z26" s="260">
        <v>18.919999999999995</v>
      </c>
      <c r="AA26" s="260">
        <v>29.120000000000005</v>
      </c>
      <c r="AB26" s="261" t="s">
        <v>2673</v>
      </c>
      <c r="AC26" s="260">
        <v>1.85293247905372</v>
      </c>
      <c r="AD26" t="str">
        <f>IF('WetLitterbags placem_collection'!AB27="","",'WetLitterbags placem_collection'!AB27)</f>
        <v/>
      </c>
      <c r="AE26" t="str">
        <f>IF('WetLitterbags placem_collection'!Z27="","",'WetLitterbags placem_collection'!Z27)</f>
        <v/>
      </c>
      <c r="AF26" s="246" t="str">
        <f>IF('WetLitterbags placem_collection'!AA27="","",'WetLitterbags placem_collection'!AA27)</f>
        <v/>
      </c>
      <c r="AG26" t="str">
        <f>IF('WetLitterbags placem_collection'!AC27="","",'WetLitterbags placem_collection'!AC27)</f>
        <v/>
      </c>
      <c r="AH26">
        <f>IFERROR(AVERAGE('Dry_Litterbag Placem_Collection'!O27,'Dry_Litterbag Placem_Collection'!R27),"")</f>
        <v>9.85</v>
      </c>
      <c r="AI26" s="271">
        <f>IFERROR(AVERAGE('Dry_Litterbag Placem_Collection'!N27,'Dry_Litterbag Placem_Collection'!Q27),"")</f>
        <v>25.4</v>
      </c>
      <c r="AJ26" s="270">
        <f>INDEX(Coordinates!$B$2:$B$197,MATCH(G26,Coordinates!$J$2:$J$197,0))</f>
        <v>-3.3849129919999998</v>
      </c>
      <c r="AK26" s="270">
        <f>INDEX(Coordinates!$C$2:$C$197,MATCH(G26,Coordinates!$J$2:$J$197,0))</f>
        <v>34.818899020000003</v>
      </c>
      <c r="AL26" s="270" t="str">
        <f>IF(ISNUMBER(SEARCH("C", 'Dry_Litterbag Placem_Collection'!S27)),"YES","NO")</f>
        <v>NO</v>
      </c>
      <c r="AM26" s="270" t="str">
        <f>IF(ISNUMBER(SEARCH("H", 'Dry_Litterbag Placem_Collection'!S27)),"YES","NO")</f>
        <v>NO</v>
      </c>
      <c r="AN26" s="270" t="str">
        <f>IF(ISNUMBER(SEARCH("R", 'Dry_Litterbag Placem_Collection'!S27)),"YES","NO")</f>
        <v>NO</v>
      </c>
    </row>
    <row r="27" spans="1:40">
      <c r="A27" s="262" t="s">
        <v>2659</v>
      </c>
      <c r="B27" s="263">
        <f>'Dry_Litterbag Placem_Collection'!A28</f>
        <v>26</v>
      </c>
      <c r="C27" s="263" t="str">
        <f>'Dry_Litterbag Placem_Collection'!B28</f>
        <v>Makao</v>
      </c>
      <c r="D27" s="263" t="s">
        <v>2659</v>
      </c>
      <c r="E27" s="263" t="s">
        <v>2660</v>
      </c>
      <c r="F27" s="263">
        <v>4</v>
      </c>
      <c r="G27" s="264" t="str">
        <f>'Dry_Litterbag Placem_Collection'!C28</f>
        <v>Dry_Ag4_T2</v>
      </c>
      <c r="H27" s="265" t="s">
        <v>2541</v>
      </c>
      <c r="I27" s="266" t="s">
        <v>1147</v>
      </c>
      <c r="J27" s="263" t="str">
        <f>IF(ISBLANK('Dry_Litterbag Placem_Collection'!J28),"","G"&amp;""&amp;'Dry_Litterbag Placem_Collection'!J28)</f>
        <v>G58</v>
      </c>
      <c r="K27" s="267">
        <f>IFERROR(INDEX('Green_rooibos initial weight'!$C$5:$C$1749,MATCH(J27, 'Green_rooibos initial weight'!$A$5:$A$1749,0)),"")</f>
        <v>1.9370000000000001</v>
      </c>
      <c r="L27" s="267">
        <f>IFERROR(K27-(TBIcalc!$Q$9+TBIcalc!$Q$10),"")</f>
        <v>1.6872</v>
      </c>
      <c r="M27" s="391">
        <f>AVERAGE(Ashed_controlls!$K$2:$K$11)</f>
        <v>5.5147656768714146</v>
      </c>
      <c r="N27" s="267">
        <f t="shared" si="1"/>
        <v>1.5941548734998254</v>
      </c>
      <c r="O27" s="267">
        <f>IF(IFERROR(INDEX('Both teabags AfterDry'!$D$3:$D$900,MATCH(J27,'Both teabags AfterDry'!$A$3:$A$900,0)),"")="","",(IFERROR(INDEX('Both teabags AfterDry'!$D$3:$D$900,MATCH(J27,'Both teabags AfterDry'!$A$3:$A$900,0)),"")))</f>
        <v>1.7357</v>
      </c>
      <c r="P27" s="267">
        <f>IFERROR(IF(O27&gt;0,O27-(TBIcalc!$Q$9),""),"")</f>
        <v>1.5851</v>
      </c>
      <c r="Q27" s="278">
        <f>IFERROR(INDEX('Ashed teabags dry'!$K$2:$K$825,MATCH(J27,'Ashed teabags dry'!$A$2:$A$825,0)),"")</f>
        <v>5.724049551473775</v>
      </c>
      <c r="R27" s="278">
        <f t="shared" si="2"/>
        <v>1.4943680905595891</v>
      </c>
      <c r="S27" s="268">
        <f>'Dry_Litterbag Placem_Collection'!E28</f>
        <v>42936</v>
      </c>
      <c r="T27" s="268">
        <f>IF('Dry_Litterbag Placem_Collection'!G28="","",'Dry_Litterbag Placem_Collection'!G28)</f>
        <v>43007</v>
      </c>
      <c r="U27" s="269">
        <f t="shared" si="0"/>
        <v>71</v>
      </c>
      <c r="V27" s="267">
        <f t="shared" si="3"/>
        <v>0.10210000000000008</v>
      </c>
      <c r="W27" s="267">
        <f t="shared" si="4"/>
        <v>9.9786782940236352E-2</v>
      </c>
      <c r="X27" s="271">
        <f>IFERROR(INDEX(Rainfall_Dry!$O$2:$O$217,MATCH(B27, Rainfall_Dry!$A$2:$A$217,0)),"")</f>
        <v>6.900000125</v>
      </c>
      <c r="Y27" s="260">
        <v>51.960000000000008</v>
      </c>
      <c r="Z27" s="260">
        <v>18.919999999999995</v>
      </c>
      <c r="AA27" s="260">
        <v>29.120000000000005</v>
      </c>
      <c r="AB27" s="261" t="s">
        <v>2673</v>
      </c>
      <c r="AC27" s="260">
        <v>2.8529324790537198</v>
      </c>
      <c r="AD27" t="str">
        <f>IF('WetLitterbags placem_collection'!AB28="","",'WetLitterbags placem_collection'!AB28)</f>
        <v/>
      </c>
      <c r="AE27" t="str">
        <f>IF('WetLitterbags placem_collection'!Z28="","",'WetLitterbags placem_collection'!Z28)</f>
        <v/>
      </c>
      <c r="AF27" s="246" t="str">
        <f>IF('WetLitterbags placem_collection'!AA28="","",'WetLitterbags placem_collection'!AA28)</f>
        <v/>
      </c>
      <c r="AG27" t="str">
        <f>IF('WetLitterbags placem_collection'!AC28="","",'WetLitterbags placem_collection'!AC28)</f>
        <v/>
      </c>
      <c r="AH27">
        <f>IFERROR(AVERAGE('Dry_Litterbag Placem_Collection'!O28,'Dry_Litterbag Placem_Collection'!R28),"")</f>
        <v>8.1</v>
      </c>
      <c r="AI27" s="271">
        <f>IFERROR(AVERAGE('Dry_Litterbag Placem_Collection'!N28,'Dry_Litterbag Placem_Collection'!Q28),"")</f>
        <v>25.85</v>
      </c>
      <c r="AJ27" s="270">
        <f>INDEX(Coordinates!$B$2:$B$197,MATCH(G27,Coordinates!$J$2:$J$197,0))</f>
        <v>-3.3849689999999999</v>
      </c>
      <c r="AK27" s="270">
        <f>INDEX(Coordinates!$C$2:$C$197,MATCH(G27,Coordinates!$J$2:$J$197,0))</f>
        <v>34.818908</v>
      </c>
      <c r="AL27" s="270" t="str">
        <f>IF(ISNUMBER(SEARCH("C", 'Dry_Litterbag Placem_Collection'!S28)),"YES","NO")</f>
        <v>NO</v>
      </c>
      <c r="AM27" s="270" t="str">
        <f>IF(ISNUMBER(SEARCH("H", 'Dry_Litterbag Placem_Collection'!S28)),"YES","NO")</f>
        <v>NO</v>
      </c>
      <c r="AN27" s="270" t="str">
        <f>IF(ISNUMBER(SEARCH("R", 'Dry_Litterbag Placem_Collection'!S28)),"YES","NO")</f>
        <v>NO</v>
      </c>
    </row>
    <row r="28" spans="1:40">
      <c r="A28" s="262" t="s">
        <v>2659</v>
      </c>
      <c r="B28" s="263">
        <f>'Dry_Litterbag Placem_Collection'!A29</f>
        <v>27</v>
      </c>
      <c r="C28" s="263" t="str">
        <f>'Dry_Litterbag Placem_Collection'!B29</f>
        <v>Makao</v>
      </c>
      <c r="D28" s="263" t="s">
        <v>2659</v>
      </c>
      <c r="E28" s="263" t="s">
        <v>2660</v>
      </c>
      <c r="F28" s="263">
        <v>4</v>
      </c>
      <c r="G28" s="264" t="str">
        <f>'Dry_Litterbag Placem_Collection'!C29</f>
        <v>Dry_Ag4_T3</v>
      </c>
      <c r="H28" s="265" t="s">
        <v>2541</v>
      </c>
      <c r="I28" s="266" t="s">
        <v>1147</v>
      </c>
      <c r="J28" s="263" t="str">
        <f>IF(ISBLANK('Dry_Litterbag Placem_Collection'!J29),"","G"&amp;""&amp;'Dry_Litterbag Placem_Collection'!J29)</f>
        <v>G340</v>
      </c>
      <c r="K28" s="267">
        <f>IFERROR(INDEX('Green_rooibos initial weight'!$C$5:$C$1749,MATCH(J28, 'Green_rooibos initial weight'!$A$5:$A$1749,0)),"")</f>
        <v>2.0150000000000001</v>
      </c>
      <c r="L28" s="267">
        <f>IFERROR(K28-(TBIcalc!$Q$9+TBIcalc!$Q$10),"")</f>
        <v>1.7652000000000001</v>
      </c>
      <c r="M28" s="391">
        <f>AVERAGE(Ashed_controlls!$K$2:$K$11)</f>
        <v>5.5147656768714146</v>
      </c>
      <c r="N28" s="267">
        <f t="shared" si="1"/>
        <v>1.6678533562718658</v>
      </c>
      <c r="O28" s="267" t="str">
        <f>IF(IFERROR(INDEX('Both teabags AfterDry'!$D$3:$D$900,MATCH(J28,'Both teabags AfterDry'!$A$3:$A$900,0)),"")="","",(IFERROR(INDEX('Both teabags AfterDry'!$D$3:$D$900,MATCH(J28,'Both teabags AfterDry'!$A$3:$A$900,0)),"")))</f>
        <v/>
      </c>
      <c r="P28" s="267" t="str">
        <f>IFERROR(IF(O28&gt;0,O28-(TBIcalc!$Q$9),""),"")</f>
        <v/>
      </c>
      <c r="Q28" s="278" t="str">
        <f>IFERROR(INDEX('Ashed teabags dry'!$K$2:$K$825,MATCH(J28,'Ashed teabags dry'!$A$2:$A$825,0)),"")</f>
        <v/>
      </c>
      <c r="R28" s="278" t="str">
        <f t="shared" si="2"/>
        <v/>
      </c>
      <c r="S28" s="268">
        <f>'Dry_Litterbag Placem_Collection'!E29</f>
        <v>42936</v>
      </c>
      <c r="T28" s="268">
        <f>IF('Dry_Litterbag Placem_Collection'!G29="","",'Dry_Litterbag Placem_Collection'!G29)</f>
        <v>43007</v>
      </c>
      <c r="U28" s="269">
        <f t="shared" si="0"/>
        <v>71</v>
      </c>
      <c r="V28" s="267" t="str">
        <f t="shared" si="3"/>
        <v/>
      </c>
      <c r="W28" s="267" t="str">
        <f t="shared" si="4"/>
        <v/>
      </c>
      <c r="X28" s="271">
        <f>IFERROR(INDEX(Rainfall_Dry!$O$2:$O$217,MATCH(B28, Rainfall_Dry!$A$2:$A$217,0)),"")</f>
        <v>6.900000125</v>
      </c>
      <c r="Y28" s="260">
        <v>51.960000000000008</v>
      </c>
      <c r="Z28" s="260">
        <v>18.919999999999995</v>
      </c>
      <c r="AA28" s="260">
        <v>29.120000000000005</v>
      </c>
      <c r="AB28" s="261" t="s">
        <v>2673</v>
      </c>
      <c r="AC28" s="260">
        <v>3.8529324790537198</v>
      </c>
      <c r="AD28" t="str">
        <f>IF('WetLitterbags placem_collection'!AB29="","",'WetLitterbags placem_collection'!AB29)</f>
        <v/>
      </c>
      <c r="AE28" t="str">
        <f>IF('WetLitterbags placem_collection'!Z29="","",'WetLitterbags placem_collection'!Z29)</f>
        <v/>
      </c>
      <c r="AF28" s="246" t="str">
        <f>IF('WetLitterbags placem_collection'!AA29="","",'WetLitterbags placem_collection'!AA29)</f>
        <v/>
      </c>
      <c r="AG28" t="str">
        <f>IF('WetLitterbags placem_collection'!AC29="","",'WetLitterbags placem_collection'!AC29)</f>
        <v/>
      </c>
      <c r="AH28">
        <f>IFERROR(AVERAGE('Dry_Litterbag Placem_Collection'!O29,'Dry_Litterbag Placem_Collection'!R29),"")</f>
        <v>14.1</v>
      </c>
      <c r="AI28" s="271">
        <f>IFERROR(AVERAGE('Dry_Litterbag Placem_Collection'!N29,'Dry_Litterbag Placem_Collection'!Q29),"")</f>
        <v>26.15</v>
      </c>
      <c r="AJ28" s="270">
        <f>INDEX(Coordinates!$B$2:$B$197,MATCH(G28,Coordinates!$J$2:$J$197,0))</f>
        <v>-3.3849350359999999</v>
      </c>
      <c r="AK28" s="270">
        <f>INDEX(Coordinates!$C$2:$C$197,MATCH(G28,Coordinates!$J$2:$J$197,0))</f>
        <v>34.818943019999999</v>
      </c>
      <c r="AL28" s="270" t="str">
        <f>IF(ISNUMBER(SEARCH("C", 'Dry_Litterbag Placem_Collection'!S29)),"YES","NO")</f>
        <v>NO</v>
      </c>
      <c r="AM28" s="270" t="str">
        <f>IF(ISNUMBER(SEARCH("H", 'Dry_Litterbag Placem_Collection'!S29)),"YES","NO")</f>
        <v>NO</v>
      </c>
      <c r="AN28" s="270" t="str">
        <f>IF(ISNUMBER(SEARCH("R", 'Dry_Litterbag Placem_Collection'!S29)),"YES","NO")</f>
        <v>NO</v>
      </c>
    </row>
    <row r="29" spans="1:40">
      <c r="A29" s="262" t="s">
        <v>2659</v>
      </c>
      <c r="B29" s="263">
        <f>'Dry_Litterbag Placem_Collection'!A30</f>
        <v>28</v>
      </c>
      <c r="C29" s="263" t="str">
        <f>'Dry_Litterbag Placem_Collection'!B30</f>
        <v>Makao</v>
      </c>
      <c r="D29" s="263" t="s">
        <v>2659</v>
      </c>
      <c r="E29" s="263" t="s">
        <v>2660</v>
      </c>
      <c r="F29" s="263">
        <v>4</v>
      </c>
      <c r="G29" s="264" t="str">
        <f>'Dry_Litterbag Placem_Collection'!C30</f>
        <v>Dry_Ag4_T4</v>
      </c>
      <c r="H29" s="265" t="s">
        <v>2541</v>
      </c>
      <c r="I29" s="266" t="s">
        <v>1147</v>
      </c>
      <c r="J29" s="263" t="str">
        <f>IF(ISBLANK('Dry_Litterbag Placem_Collection'!J30),"","G"&amp;""&amp;'Dry_Litterbag Placem_Collection'!J30)</f>
        <v>G61</v>
      </c>
      <c r="K29" s="267">
        <f>IFERROR(INDEX('Green_rooibos initial weight'!$C$5:$C$1749,MATCH(J29, 'Green_rooibos initial weight'!$A$5:$A$1749,0)),"")</f>
        <v>1.88</v>
      </c>
      <c r="L29" s="267">
        <f>IFERROR(K29-(TBIcalc!$Q$9+TBIcalc!$Q$10),"")</f>
        <v>1.6301999999999999</v>
      </c>
      <c r="M29" s="391">
        <f>AVERAGE(Ashed_controlls!$K$2:$K$11)</f>
        <v>5.5147656768714146</v>
      </c>
      <c r="N29" s="267">
        <f t="shared" si="1"/>
        <v>1.5402982899356421</v>
      </c>
      <c r="O29" s="267">
        <f>IF(IFERROR(INDEX('Both teabags AfterDry'!$D$3:$D$900,MATCH(J29,'Both teabags AfterDry'!$A$3:$A$900,0)),"")="","",(IFERROR(INDEX('Both teabags AfterDry'!$D$3:$D$900,MATCH(J29,'Both teabags AfterDry'!$A$3:$A$900,0)),"")))</f>
        <v>1.4991000000000001</v>
      </c>
      <c r="P29" s="267">
        <f>IFERROR(IF(O29&gt;0,O29-(TBIcalc!$Q$9),""),"")</f>
        <v>1.3485</v>
      </c>
      <c r="Q29" s="278">
        <f>IFERROR(INDEX('Ashed teabags dry'!$K$2:$K$825,MATCH(J29,'Ashed teabags dry'!$A$2:$A$825,0)),"")</f>
        <v>6.888472352389627</v>
      </c>
      <c r="R29" s="278">
        <f t="shared" si="2"/>
        <v>1.2556089503280259</v>
      </c>
      <c r="S29" s="268">
        <f>'Dry_Litterbag Placem_Collection'!E30</f>
        <v>42936</v>
      </c>
      <c r="T29" s="268">
        <f>IF('Dry_Litterbag Placem_Collection'!G30="","",'Dry_Litterbag Placem_Collection'!G30)</f>
        <v>43007</v>
      </c>
      <c r="U29" s="269">
        <f t="shared" si="0"/>
        <v>71</v>
      </c>
      <c r="V29" s="267">
        <f t="shared" si="3"/>
        <v>0.28169999999999984</v>
      </c>
      <c r="W29" s="267">
        <f t="shared" si="4"/>
        <v>0.28468933960761622</v>
      </c>
      <c r="X29" s="271">
        <f>IFERROR(INDEX(Rainfall_Dry!$O$2:$O$217,MATCH(B29, Rainfall_Dry!$A$2:$A$217,0)),"")</f>
        <v>6.900000125</v>
      </c>
      <c r="Y29" s="260">
        <v>51.960000000000008</v>
      </c>
      <c r="Z29" s="260">
        <v>18.919999999999995</v>
      </c>
      <c r="AA29" s="260">
        <v>29.120000000000005</v>
      </c>
      <c r="AB29" s="261" t="s">
        <v>2673</v>
      </c>
      <c r="AC29" s="260">
        <v>4.8529324790537203</v>
      </c>
      <c r="AD29" t="str">
        <f>IF('WetLitterbags placem_collection'!AB30="","",'WetLitterbags placem_collection'!AB30)</f>
        <v/>
      </c>
      <c r="AE29" t="str">
        <f>IF('WetLitterbags placem_collection'!Z30="","",'WetLitterbags placem_collection'!Z30)</f>
        <v/>
      </c>
      <c r="AF29" s="246" t="str">
        <f>IF('WetLitterbags placem_collection'!AA30="","",'WetLitterbags placem_collection'!AA30)</f>
        <v/>
      </c>
      <c r="AG29" t="str">
        <f>IF('WetLitterbags placem_collection'!AC30="","",'WetLitterbags placem_collection'!AC30)</f>
        <v/>
      </c>
      <c r="AH29">
        <f>IFERROR(AVERAGE('Dry_Litterbag Placem_Collection'!O30,'Dry_Litterbag Placem_Collection'!R30),"")</f>
        <v>9.1000000000000014</v>
      </c>
      <c r="AI29" s="271">
        <f>IFERROR(AVERAGE('Dry_Litterbag Placem_Collection'!N30,'Dry_Litterbag Placem_Collection'!Q30),"")</f>
        <v>25.700000000000003</v>
      </c>
      <c r="AJ29" s="270">
        <f>INDEX(Coordinates!$B$2:$B$197,MATCH(G29,Coordinates!$J$2:$J$197,0))</f>
        <v>-3.3850070369999998</v>
      </c>
      <c r="AK29" s="270">
        <f>INDEX(Coordinates!$C$2:$C$197,MATCH(G29,Coordinates!$J$2:$J$197,0))</f>
        <v>34.818888960000002</v>
      </c>
      <c r="AL29" s="270" t="str">
        <f>IF(ISNUMBER(SEARCH("C", 'Dry_Litterbag Placem_Collection'!S30)),"YES","NO")</f>
        <v>NO</v>
      </c>
      <c r="AM29" s="270" t="str">
        <f>IF(ISNUMBER(SEARCH("H", 'Dry_Litterbag Placem_Collection'!S30)),"YES","NO")</f>
        <v>NO</v>
      </c>
      <c r="AN29" s="270" t="str">
        <f>IF(ISNUMBER(SEARCH("R", 'Dry_Litterbag Placem_Collection'!S30)),"YES","NO")</f>
        <v>NO</v>
      </c>
    </row>
    <row r="30" spans="1:40">
      <c r="A30" s="262" t="s">
        <v>2659</v>
      </c>
      <c r="B30" s="263">
        <f>'Dry_Litterbag Placem_Collection'!A31</f>
        <v>29</v>
      </c>
      <c r="C30" s="263" t="str">
        <f>'Dry_Litterbag Placem_Collection'!B31</f>
        <v>Makao</v>
      </c>
      <c r="D30" s="263" t="s">
        <v>2659</v>
      </c>
      <c r="E30" s="263" t="s">
        <v>2660</v>
      </c>
      <c r="F30" s="263">
        <v>4</v>
      </c>
      <c r="G30" s="264" t="str">
        <f>'Dry_Litterbag Placem_Collection'!C31</f>
        <v>Dry_Ag4_T5</v>
      </c>
      <c r="H30" s="265" t="s">
        <v>2541</v>
      </c>
      <c r="I30" s="266" t="s">
        <v>1147</v>
      </c>
      <c r="J30" s="263" t="str">
        <f>IF(ISBLANK('Dry_Litterbag Placem_Collection'!J31),"","G"&amp;""&amp;'Dry_Litterbag Placem_Collection'!J31)</f>
        <v>G319</v>
      </c>
      <c r="K30" s="267">
        <f>IFERROR(INDEX('Green_rooibos initial weight'!$C$5:$C$1749,MATCH(J30, 'Green_rooibos initial weight'!$A$5:$A$1749,0)),"")</f>
        <v>2.012</v>
      </c>
      <c r="L30" s="267">
        <f>IFERROR(K30-(TBIcalc!$Q$9+TBIcalc!$Q$10),"")</f>
        <v>1.7622</v>
      </c>
      <c r="M30" s="391">
        <f>AVERAGE(Ashed_controlls!$K$2:$K$11)</f>
        <v>5.5147656768714146</v>
      </c>
      <c r="N30" s="267">
        <f t="shared" si="1"/>
        <v>1.6650187992421719</v>
      </c>
      <c r="O30" s="267">
        <f>IF(IFERROR(INDEX('Both teabags AfterDry'!$D$3:$D$900,MATCH(J30,'Both teabags AfterDry'!$A$3:$A$900,0)),"")="","",(IFERROR(INDEX('Both teabags AfterDry'!$D$3:$D$900,MATCH(J30,'Both teabags AfterDry'!$A$3:$A$900,0)),"")))</f>
        <v>1.8162</v>
      </c>
      <c r="P30" s="267">
        <f>IFERROR(IF(O30&gt;0,O30-(TBIcalc!$Q$9),""),"")</f>
        <v>1.6656</v>
      </c>
      <c r="Q30" s="278" t="str">
        <f>IFERROR(INDEX('Ashed teabags dry'!$K$2:$K$825,MATCH(J30,'Ashed teabags dry'!$A$2:$A$825,0)),"")</f>
        <v/>
      </c>
      <c r="R30" s="278" t="str">
        <f t="shared" si="2"/>
        <v/>
      </c>
      <c r="S30" s="268">
        <f>'Dry_Litterbag Placem_Collection'!E31</f>
        <v>42936</v>
      </c>
      <c r="T30" s="268">
        <f>IF('Dry_Litterbag Placem_Collection'!G31="","",'Dry_Litterbag Placem_Collection'!G31)</f>
        <v>43007</v>
      </c>
      <c r="U30" s="269">
        <f t="shared" si="0"/>
        <v>71</v>
      </c>
      <c r="V30" s="267">
        <f t="shared" si="3"/>
        <v>9.6600000000000019E-2</v>
      </c>
      <c r="W30" s="267" t="str">
        <f t="shared" si="4"/>
        <v/>
      </c>
      <c r="X30" s="271">
        <f>IFERROR(INDEX(Rainfall_Dry!$O$2:$O$217,MATCH(B30, Rainfall_Dry!$A$2:$A$217,0)),"")</f>
        <v>6.900000125</v>
      </c>
      <c r="Y30" s="260">
        <v>51.960000000000008</v>
      </c>
      <c r="Z30" s="260">
        <v>18.919999999999995</v>
      </c>
      <c r="AA30" s="260">
        <v>29.120000000000005</v>
      </c>
      <c r="AB30" s="261" t="s">
        <v>2673</v>
      </c>
      <c r="AC30" s="260">
        <v>5.8529324790537203</v>
      </c>
      <c r="AD30" t="str">
        <f>IF('WetLitterbags placem_collection'!AB31="","",'WetLitterbags placem_collection'!AB31)</f>
        <v/>
      </c>
      <c r="AE30" t="str">
        <f>IF('WetLitterbags placem_collection'!Z31="","",'WetLitterbags placem_collection'!Z31)</f>
        <v/>
      </c>
      <c r="AF30" s="246" t="str">
        <f>IF('WetLitterbags placem_collection'!AA31="","",'WetLitterbags placem_collection'!AA31)</f>
        <v/>
      </c>
      <c r="AG30" t="str">
        <f>IF('WetLitterbags placem_collection'!AC31="","",'WetLitterbags placem_collection'!AC31)</f>
        <v/>
      </c>
      <c r="AH30">
        <f>IFERROR(AVERAGE('Dry_Litterbag Placem_Collection'!O31,'Dry_Litterbag Placem_Collection'!R31),"")</f>
        <v>15.15</v>
      </c>
      <c r="AI30" s="271">
        <f>IFERROR(AVERAGE('Dry_Litterbag Placem_Collection'!N31,'Dry_Litterbag Placem_Collection'!Q31),"")</f>
        <v>25.65</v>
      </c>
      <c r="AJ30" s="270">
        <f>INDEX(Coordinates!$B$2:$B$197,MATCH(G30,Coordinates!$J$2:$J$197,0))</f>
        <v>-3.3849480280000002</v>
      </c>
      <c r="AK30" s="270">
        <f>INDEX(Coordinates!$C$2:$C$197,MATCH(G30,Coordinates!$J$2:$J$197,0))</f>
        <v>34.818854010000003</v>
      </c>
      <c r="AL30" s="270" t="str">
        <f>IF(ISNUMBER(SEARCH("C", 'Dry_Litterbag Placem_Collection'!S31)),"YES","NO")</f>
        <v>NO</v>
      </c>
      <c r="AM30" s="270" t="str">
        <f>IF(ISNUMBER(SEARCH("H", 'Dry_Litterbag Placem_Collection'!S31)),"YES","NO")</f>
        <v>NO</v>
      </c>
      <c r="AN30" s="270" t="str">
        <f>IF(ISNUMBER(SEARCH("R", 'Dry_Litterbag Placem_Collection'!S31)),"YES","NO")</f>
        <v>NO</v>
      </c>
    </row>
    <row r="31" spans="1:40">
      <c r="A31" s="262" t="s">
        <v>2659</v>
      </c>
      <c r="B31" s="263">
        <f>'Dry_Litterbag Placem_Collection'!A32</f>
        <v>30</v>
      </c>
      <c r="C31" s="263" t="str">
        <f>'Dry_Litterbag Placem_Collection'!B32</f>
        <v>Makao</v>
      </c>
      <c r="D31" s="263" t="s">
        <v>2659</v>
      </c>
      <c r="E31" s="263" t="s">
        <v>2660</v>
      </c>
      <c r="F31" s="263">
        <v>4</v>
      </c>
      <c r="G31" s="264" t="str">
        <f>'Dry_Litterbag Placem_Collection'!C32</f>
        <v>Dry_Ag4_T6</v>
      </c>
      <c r="H31" s="265" t="s">
        <v>2541</v>
      </c>
      <c r="I31" s="266" t="s">
        <v>1147</v>
      </c>
      <c r="J31" s="263" t="str">
        <f>IF(ISBLANK('Dry_Litterbag Placem_Collection'!J32),"","G"&amp;""&amp;'Dry_Litterbag Placem_Collection'!J32)</f>
        <v>G273</v>
      </c>
      <c r="K31" s="267">
        <f>IFERROR(INDEX('Green_rooibos initial weight'!$C$5:$C$1749,MATCH(J31, 'Green_rooibos initial weight'!$A$5:$A$1749,0)),"")</f>
        <v>2.073</v>
      </c>
      <c r="L31" s="267">
        <f>IFERROR(K31-(TBIcalc!$Q$9+TBIcalc!$Q$10),"")</f>
        <v>1.8231999999999999</v>
      </c>
      <c r="M31" s="391">
        <f>AVERAGE(Ashed_controlls!$K$2:$K$11)</f>
        <v>5.5147656768714146</v>
      </c>
      <c r="N31" s="267">
        <f t="shared" si="1"/>
        <v>1.7226547921792803</v>
      </c>
      <c r="O31" s="267">
        <f>IF(IFERROR(INDEX('Both teabags AfterDry'!$D$3:$D$900,MATCH(J31,'Both teabags AfterDry'!$A$3:$A$900,0)),"")="","",(IFERROR(INDEX('Both teabags AfterDry'!$D$3:$D$900,MATCH(J31,'Both teabags AfterDry'!$A$3:$A$900,0)),"")))</f>
        <v>1.9318</v>
      </c>
      <c r="P31" s="267">
        <f>IFERROR(IF(O31&gt;0,O31-(TBIcalc!$Q$9),""),"")</f>
        <v>1.7811999999999999</v>
      </c>
      <c r="Q31" s="278">
        <f>IFERROR(INDEX('Ashed teabags dry'!$K$2:$K$825,MATCH(J31,'Ashed teabags dry'!$A$2:$A$825,0)),"")</f>
        <v>5.1138805328754682</v>
      </c>
      <c r="R31" s="278">
        <f t="shared" si="2"/>
        <v>1.690111559948422</v>
      </c>
      <c r="S31" s="268">
        <f>'Dry_Litterbag Placem_Collection'!E32</f>
        <v>42936</v>
      </c>
      <c r="T31" s="268">
        <f>IF('Dry_Litterbag Placem_Collection'!G32="","",'Dry_Litterbag Placem_Collection'!G32)</f>
        <v>43007</v>
      </c>
      <c r="U31" s="269">
        <f t="shared" si="0"/>
        <v>71</v>
      </c>
      <c r="V31" s="267">
        <f t="shared" si="3"/>
        <v>4.2000000000000037E-2</v>
      </c>
      <c r="W31" s="267">
        <f t="shared" si="4"/>
        <v>3.254323223085831E-2</v>
      </c>
      <c r="X31" s="271">
        <f>IFERROR(INDEX(Rainfall_Dry!$O$2:$O$217,MATCH(B31, Rainfall_Dry!$A$2:$A$217,0)),"")</f>
        <v>6.900000125</v>
      </c>
      <c r="Y31" s="260">
        <v>51.960000000000008</v>
      </c>
      <c r="Z31" s="260">
        <v>18.919999999999995</v>
      </c>
      <c r="AA31" s="260">
        <v>29.120000000000005</v>
      </c>
      <c r="AB31" s="261" t="s">
        <v>2673</v>
      </c>
      <c r="AC31" s="260">
        <v>6.8529324790537203</v>
      </c>
      <c r="AD31" t="str">
        <f>IF('WetLitterbags placem_collection'!AB32="","",'WetLitterbags placem_collection'!AB32)</f>
        <v/>
      </c>
      <c r="AE31" t="str">
        <f>IF('WetLitterbags placem_collection'!Z32="","",'WetLitterbags placem_collection'!Z32)</f>
        <v/>
      </c>
      <c r="AF31" s="246" t="str">
        <f>IF('WetLitterbags placem_collection'!AA32="","",'WetLitterbags placem_collection'!AA32)</f>
        <v/>
      </c>
      <c r="AG31" t="str">
        <f>IF('WetLitterbags placem_collection'!AC32="","",'WetLitterbags placem_collection'!AC32)</f>
        <v/>
      </c>
      <c r="AH31">
        <f>IFERROR(AVERAGE('Dry_Litterbag Placem_Collection'!O32,'Dry_Litterbag Placem_Collection'!R32),"")</f>
        <v>9.3000000000000007</v>
      </c>
      <c r="AI31" s="271">
        <f>IFERROR(AVERAGE('Dry_Litterbag Placem_Collection'!N32,'Dry_Litterbag Placem_Collection'!Q32),"")</f>
        <v>24</v>
      </c>
      <c r="AJ31" s="270">
        <f>INDEX(Coordinates!$B$2:$B$197,MATCH(G31,Coordinates!$J$2:$J$197,0))</f>
        <v>-3.38496496</v>
      </c>
      <c r="AK31" s="270">
        <f>INDEX(Coordinates!$C$2:$C$197,MATCH(G31,Coordinates!$J$2:$J$197,0))</f>
        <v>34.818790970000002</v>
      </c>
      <c r="AL31" s="270" t="str">
        <f>IF(ISNUMBER(SEARCH("C", 'Dry_Litterbag Placem_Collection'!S32)),"YES","NO")</f>
        <v>NO</v>
      </c>
      <c r="AM31" s="270" t="str">
        <f>IF(ISNUMBER(SEARCH("H", 'Dry_Litterbag Placem_Collection'!S32)),"YES","NO")</f>
        <v>NO</v>
      </c>
      <c r="AN31" s="270" t="str">
        <f>IF(ISNUMBER(SEARCH("R", 'Dry_Litterbag Placem_Collection'!S32)),"YES","NO")</f>
        <v>NO</v>
      </c>
    </row>
    <row r="32" spans="1:40">
      <c r="A32" s="262" t="s">
        <v>2659</v>
      </c>
      <c r="B32" s="263">
        <f>'Dry_Litterbag Placem_Collection'!A33</f>
        <v>31</v>
      </c>
      <c r="C32" s="263" t="str">
        <f>'Dry_Litterbag Placem_Collection'!B33</f>
        <v>Makao</v>
      </c>
      <c r="D32" s="263" t="s">
        <v>2659</v>
      </c>
      <c r="E32" s="263" t="s">
        <v>2660</v>
      </c>
      <c r="F32" s="263">
        <v>4</v>
      </c>
      <c r="G32" s="264" t="str">
        <f>'Dry_Litterbag Placem_Collection'!C33</f>
        <v>Dry_Ag4_T7</v>
      </c>
      <c r="H32" s="265" t="s">
        <v>2541</v>
      </c>
      <c r="I32" s="266" t="s">
        <v>1147</v>
      </c>
      <c r="J32" s="263" t="str">
        <f>IF(ISBLANK('Dry_Litterbag Placem_Collection'!J33),"","G"&amp;""&amp;'Dry_Litterbag Placem_Collection'!J33)</f>
        <v/>
      </c>
      <c r="K32" s="267" t="str">
        <f>IFERROR(INDEX('Green_rooibos initial weight'!$C$5:$C$1749,MATCH(J32, 'Green_rooibos initial weight'!$A$5:$A$1749,0)),"")</f>
        <v/>
      </c>
      <c r="L32" s="267" t="str">
        <f>IFERROR(K32-(TBIcalc!$Q$9+TBIcalc!$Q$10),"")</f>
        <v/>
      </c>
      <c r="M32" s="391">
        <f>AVERAGE(Ashed_controlls!$K$2:$K$11)</f>
        <v>5.5147656768714146</v>
      </c>
      <c r="N32" s="267" t="str">
        <f t="shared" si="1"/>
        <v/>
      </c>
      <c r="O32" s="267" t="str">
        <f>IF(IFERROR(INDEX('Both teabags AfterDry'!$D$3:$D$900,MATCH(J32,'Both teabags AfterDry'!$A$3:$A$900,0)),"")="","",(IFERROR(INDEX('Both teabags AfterDry'!$D$3:$D$900,MATCH(J32,'Both teabags AfterDry'!$A$3:$A$900,0)),"")))</f>
        <v/>
      </c>
      <c r="P32" s="267" t="str">
        <f>IFERROR(IF(O32&gt;0,O32-(TBIcalc!$Q$9),""),"")</f>
        <v/>
      </c>
      <c r="Q32" s="278" t="str">
        <f>IFERROR(INDEX('Ashed teabags dry'!$K$2:$K$825,MATCH(J32,'Ashed teabags dry'!$A$2:$A$825,0)),"")</f>
        <v/>
      </c>
      <c r="R32" s="278" t="str">
        <f t="shared" si="2"/>
        <v/>
      </c>
      <c r="S32" s="268">
        <f>'Dry_Litterbag Placem_Collection'!E33</f>
        <v>0</v>
      </c>
      <c r="T32" s="268" t="str">
        <f>IF('Dry_Litterbag Placem_Collection'!G33="","",'Dry_Litterbag Placem_Collection'!G33)</f>
        <v/>
      </c>
      <c r="U32" s="269" t="str">
        <f t="shared" si="0"/>
        <v/>
      </c>
      <c r="V32" s="267" t="str">
        <f t="shared" si="3"/>
        <v/>
      </c>
      <c r="W32" s="267" t="str">
        <f t="shared" si="4"/>
        <v/>
      </c>
      <c r="X32" s="271" t="str">
        <f>IFERROR(INDEX(Rainfall_Dry!$O$2:$O$217,MATCH(B32, Rainfall_Dry!$A$2:$A$217,0)),"")</f>
        <v/>
      </c>
      <c r="Y32" s="260">
        <v>51.960000000000008</v>
      </c>
      <c r="Z32" s="260">
        <v>18.919999999999995</v>
      </c>
      <c r="AA32" s="260">
        <v>29.120000000000005</v>
      </c>
      <c r="AB32" s="261" t="s">
        <v>2673</v>
      </c>
      <c r="AC32" s="260">
        <v>7.8529324790537203</v>
      </c>
      <c r="AD32" t="str">
        <f>IF('WetLitterbags placem_collection'!AB33="","",'WetLitterbags placem_collection'!AB33)</f>
        <v/>
      </c>
      <c r="AE32" t="str">
        <f>IF('WetLitterbags placem_collection'!Z33="","",'WetLitterbags placem_collection'!Z33)</f>
        <v/>
      </c>
      <c r="AF32" s="246" t="str">
        <f>IF('WetLitterbags placem_collection'!AA33="","",'WetLitterbags placem_collection'!AA33)</f>
        <v/>
      </c>
      <c r="AG32" t="str">
        <f>IF('WetLitterbags placem_collection'!AC33="","",'WetLitterbags placem_collection'!AC33)</f>
        <v/>
      </c>
      <c r="AH32" t="str">
        <f>IFERROR(AVERAGE('Dry_Litterbag Placem_Collection'!O33,'Dry_Litterbag Placem_Collection'!R33),"")</f>
        <v/>
      </c>
      <c r="AI32" s="271" t="str">
        <f>IFERROR(AVERAGE('Dry_Litterbag Placem_Collection'!N33,'Dry_Litterbag Placem_Collection'!Q33),"")</f>
        <v/>
      </c>
      <c r="AJ32" s="270">
        <f>INDEX(Coordinates!$B$2:$B$197,MATCH(G32,Coordinates!$J$2:$J$197,0))</f>
        <v>-3.3848409909999999</v>
      </c>
      <c r="AK32" s="270">
        <f>INDEX(Coordinates!$C$2:$C$197,MATCH(G32,Coordinates!$J$2:$J$197,0))</f>
        <v>34.818838999999997</v>
      </c>
      <c r="AL32" s="270" t="str">
        <f>IF(ISNUMBER(SEARCH("C", 'Dry_Litterbag Placem_Collection'!S33)),"YES","NO")</f>
        <v>NO</v>
      </c>
      <c r="AM32" s="270" t="str">
        <f>IF(ISNUMBER(SEARCH("H", 'Dry_Litterbag Placem_Collection'!S33)),"YES","NO")</f>
        <v>NO</v>
      </c>
      <c r="AN32" s="270" t="str">
        <f>IF(ISNUMBER(SEARCH("R", 'Dry_Litterbag Placem_Collection'!S33)),"YES","NO")</f>
        <v>NO</v>
      </c>
    </row>
    <row r="33" spans="1:40">
      <c r="A33" s="262" t="s">
        <v>2659</v>
      </c>
      <c r="B33" s="263">
        <f>'Dry_Litterbag Placem_Collection'!A34</f>
        <v>32</v>
      </c>
      <c r="C33" s="263" t="str">
        <f>'Dry_Litterbag Placem_Collection'!B34</f>
        <v>Makao</v>
      </c>
      <c r="D33" s="263" t="s">
        <v>2659</v>
      </c>
      <c r="E33" s="263" t="s">
        <v>2660</v>
      </c>
      <c r="F33" s="263">
        <v>4</v>
      </c>
      <c r="G33" s="264" t="str">
        <f>'Dry_Litterbag Placem_Collection'!C34</f>
        <v>Dry_Ag4_T8</v>
      </c>
      <c r="H33" s="265" t="s">
        <v>2541</v>
      </c>
      <c r="I33" s="266" t="s">
        <v>1147</v>
      </c>
      <c r="J33" s="263" t="str">
        <f>IF(ISBLANK('Dry_Litterbag Placem_Collection'!J34),"","G"&amp;""&amp;'Dry_Litterbag Placem_Collection'!J34)</f>
        <v>G193</v>
      </c>
      <c r="K33" s="267">
        <f>IFERROR(INDEX('Green_rooibos initial weight'!$C$5:$C$1749,MATCH(J33, 'Green_rooibos initial weight'!$A$5:$A$1749,0)),"")</f>
        <v>2.177</v>
      </c>
      <c r="L33" s="267">
        <f>IFERROR(K33-(TBIcalc!$Q$9+TBIcalc!$Q$10),"")</f>
        <v>1.9272</v>
      </c>
      <c r="M33" s="391">
        <f>AVERAGE(Ashed_controlls!$K$2:$K$11)</f>
        <v>5.5147656768714146</v>
      </c>
      <c r="N33" s="267">
        <f t="shared" si="1"/>
        <v>1.8209194358753342</v>
      </c>
      <c r="O33" s="267">
        <f>IF(IFERROR(INDEX('Both teabags AfterDry'!$D$3:$D$900,MATCH(J33,'Both teabags AfterDry'!$A$3:$A$900,0)),"")="","",(IFERROR(INDEX('Both teabags AfterDry'!$D$3:$D$900,MATCH(J33,'Both teabags AfterDry'!$A$3:$A$900,0)),"")))</f>
        <v>1.8848</v>
      </c>
      <c r="P33" s="267">
        <f>IFERROR(IF(O33&gt;0,O33-(TBIcalc!$Q$9),""),"")</f>
        <v>1.7342</v>
      </c>
      <c r="Q33" s="278">
        <f>IFERROR(INDEX('Ashed teabags dry'!$K$2:$K$825,MATCH(J33,'Ashed teabags dry'!$A$2:$A$825,0)),"")</f>
        <v>6.5004452359746852</v>
      </c>
      <c r="R33" s="278">
        <f t="shared" si="2"/>
        <v>1.6214692787177269</v>
      </c>
      <c r="S33" s="268">
        <f>'Dry_Litterbag Placem_Collection'!E34</f>
        <v>42936</v>
      </c>
      <c r="T33" s="268">
        <f>IF('Dry_Litterbag Placem_Collection'!G34="","",'Dry_Litterbag Placem_Collection'!G34)</f>
        <v>43007</v>
      </c>
      <c r="U33" s="269">
        <f t="shared" si="0"/>
        <v>71</v>
      </c>
      <c r="V33" s="267">
        <f t="shared" si="3"/>
        <v>0.19300000000000006</v>
      </c>
      <c r="W33" s="267">
        <f t="shared" si="4"/>
        <v>0.19945015715760728</v>
      </c>
      <c r="X33" s="271">
        <f>IFERROR(INDEX(Rainfall_Dry!$O$2:$O$217,MATCH(B33, Rainfall_Dry!$A$2:$A$217,0)),"")</f>
        <v>6.900000125</v>
      </c>
      <c r="Y33" s="260">
        <v>51.960000000000008</v>
      </c>
      <c r="Z33" s="260">
        <v>18.919999999999995</v>
      </c>
      <c r="AA33" s="260">
        <v>29.120000000000005</v>
      </c>
      <c r="AB33" s="261" t="s">
        <v>2673</v>
      </c>
      <c r="AC33" s="260">
        <v>8.8529324790537203</v>
      </c>
      <c r="AD33" t="str">
        <f>IF('WetLitterbags placem_collection'!AB34="","",'WetLitterbags placem_collection'!AB34)</f>
        <v/>
      </c>
      <c r="AE33" t="str">
        <f>IF('WetLitterbags placem_collection'!Z34="","",'WetLitterbags placem_collection'!Z34)</f>
        <v/>
      </c>
      <c r="AF33" s="246" t="str">
        <f>IF('WetLitterbags placem_collection'!AA34="","",'WetLitterbags placem_collection'!AA34)</f>
        <v/>
      </c>
      <c r="AG33" t="str">
        <f>IF('WetLitterbags placem_collection'!AC34="","",'WetLitterbags placem_collection'!AC34)</f>
        <v/>
      </c>
      <c r="AH33">
        <f>IFERROR(AVERAGE('Dry_Litterbag Placem_Collection'!O34,'Dry_Litterbag Placem_Collection'!R34),"")</f>
        <v>11.850000000000001</v>
      </c>
      <c r="AI33" s="271">
        <f>IFERROR(AVERAGE('Dry_Litterbag Placem_Collection'!N34,'Dry_Litterbag Placem_Collection'!Q34),"")</f>
        <v>25.45</v>
      </c>
      <c r="AJ33" s="270">
        <f>INDEX(Coordinates!$B$2:$B$197,MATCH(G33,Coordinates!$J$2:$J$197,0))</f>
        <v>-3.3849010060000002</v>
      </c>
      <c r="AK33" s="270">
        <f>INDEX(Coordinates!$C$2:$C$197,MATCH(G33,Coordinates!$J$2:$J$197,0))</f>
        <v>34.818979990000003</v>
      </c>
      <c r="AL33" s="270" t="str">
        <f>IF(ISNUMBER(SEARCH("C", 'Dry_Litterbag Placem_Collection'!S34)),"YES","NO")</f>
        <v>NO</v>
      </c>
      <c r="AM33" s="270" t="str">
        <f>IF(ISNUMBER(SEARCH("H", 'Dry_Litterbag Placem_Collection'!S34)),"YES","NO")</f>
        <v>NO</v>
      </c>
      <c r="AN33" s="270" t="str">
        <f>IF(ISNUMBER(SEARCH("R", 'Dry_Litterbag Placem_Collection'!S34)),"YES","NO")</f>
        <v>NO</v>
      </c>
    </row>
    <row r="34" spans="1:40">
      <c r="A34" s="262" t="s">
        <v>2659</v>
      </c>
      <c r="B34" s="263">
        <f>'Dry_Litterbag Placem_Collection'!A35</f>
        <v>33</v>
      </c>
      <c r="C34" s="263" t="str">
        <f>'Dry_Litterbag Placem_Collection'!B35</f>
        <v>Makao</v>
      </c>
      <c r="D34" s="263" t="s">
        <v>2659</v>
      </c>
      <c r="E34" s="263" t="s">
        <v>20</v>
      </c>
      <c r="F34" s="263">
        <v>1</v>
      </c>
      <c r="G34" s="264" t="str">
        <f>'Dry_Litterbag Placem_Collection'!C35</f>
        <v>Dry_P1_T1</v>
      </c>
      <c r="H34" s="265" t="s">
        <v>2541</v>
      </c>
      <c r="I34" s="266" t="s">
        <v>1147</v>
      </c>
      <c r="J34" s="263" t="str">
        <f>IF(ISBLANK('Dry_Litterbag Placem_Collection'!J35),"","G"&amp;""&amp;'Dry_Litterbag Placem_Collection'!J35)</f>
        <v>G218</v>
      </c>
      <c r="K34" s="267">
        <f>IFERROR(INDEX('Green_rooibos initial weight'!$C$5:$C$1749,MATCH(J34, 'Green_rooibos initial weight'!$A$5:$A$1749,0)),"")</f>
        <v>1.96</v>
      </c>
      <c r="L34" s="267">
        <f>IFERROR(K34-(TBIcalc!$Q$9+TBIcalc!$Q$10),"")</f>
        <v>1.7101999999999999</v>
      </c>
      <c r="M34" s="391">
        <f>AVERAGE(Ashed_controlls!$K$2:$K$11)</f>
        <v>5.5147656768714146</v>
      </c>
      <c r="N34" s="267">
        <f t="shared" si="1"/>
        <v>1.615886477394145</v>
      </c>
      <c r="O34" s="267">
        <f>IF(IFERROR(INDEX('Both teabags AfterDry'!$D$3:$D$900,MATCH(J34,'Both teabags AfterDry'!$A$3:$A$900,0)),"")="","",(IFERROR(INDEX('Both teabags AfterDry'!$D$3:$D$900,MATCH(J34,'Both teabags AfterDry'!$A$3:$A$900,0)),"")))</f>
        <v>1.7766</v>
      </c>
      <c r="P34" s="267">
        <f>IFERROR(IF(O34&gt;0,O34-(TBIcalc!$Q$9),""),"")</f>
        <v>1.6259999999999999</v>
      </c>
      <c r="Q34" s="278">
        <f>IFERROR(INDEX('Ashed teabags dry'!$K$2:$K$825,MATCH(J34,'Ashed teabags dry'!$A$2:$A$825,0)),"")</f>
        <v>5.8311575282857895</v>
      </c>
      <c r="R34" s="278">
        <f t="shared" si="2"/>
        <v>1.5311853785900729</v>
      </c>
      <c r="S34" s="268">
        <f>'Dry_Litterbag Placem_Collection'!E35</f>
        <v>42938</v>
      </c>
      <c r="T34" s="268">
        <f>IF('Dry_Litterbag Placem_Collection'!G35="","",'Dry_Litterbag Placem_Collection'!G35)</f>
        <v>43005</v>
      </c>
      <c r="U34" s="269">
        <f t="shared" si="0"/>
        <v>67</v>
      </c>
      <c r="V34" s="267">
        <f t="shared" si="3"/>
        <v>8.4200000000000053E-2</v>
      </c>
      <c r="W34" s="267">
        <f t="shared" si="4"/>
        <v>8.4701098804072172E-2</v>
      </c>
      <c r="X34" s="271">
        <f>IFERROR(INDEX(Rainfall_Dry!$O$2:$O$217,MATCH(B34, Rainfall_Dry!$A$2:$A$217,0)),"")</f>
        <v>6.5250000359999998</v>
      </c>
      <c r="Y34" s="260">
        <v>23.96</v>
      </c>
      <c r="Z34" s="260">
        <v>0.91999999999999804</v>
      </c>
      <c r="AA34" s="260">
        <v>75.12</v>
      </c>
      <c r="AB34" s="261" t="s">
        <v>2670</v>
      </c>
      <c r="AC34" s="260">
        <v>1.2493839329719072</v>
      </c>
      <c r="AD34">
        <f>IF('WetLitterbags placem_collection'!AB35="","",'WetLitterbags placem_collection'!AB35)</f>
        <v>9.5</v>
      </c>
      <c r="AE34">
        <f>IF('WetLitterbags placem_collection'!Z35="","",'WetLitterbags placem_collection'!Z35)</f>
        <v>17.2</v>
      </c>
      <c r="AF34" s="246" t="str">
        <f>IF('WetLitterbags placem_collection'!AA35="","",'WetLitterbags placem_collection'!AA35)</f>
        <v>G</v>
      </c>
      <c r="AG34">
        <f>IF('WetLitterbags placem_collection'!AC35="","",'WetLitterbags placem_collection'!AC35)</f>
        <v>0</v>
      </c>
      <c r="AH34">
        <f>IFERROR(AVERAGE('Dry_Litterbag Placem_Collection'!O35,'Dry_Litterbag Placem_Collection'!R35),"")</f>
        <v>1.65</v>
      </c>
      <c r="AI34" s="271">
        <f>IFERROR(AVERAGE('Dry_Litterbag Placem_Collection'!N35,'Dry_Litterbag Placem_Collection'!Q35),"")</f>
        <v>26.15</v>
      </c>
      <c r="AJ34" s="270">
        <f>INDEX(Coordinates!$B$2:$B$197,MATCH(G34,Coordinates!$J$2:$J$197,0))</f>
        <v>-3.4092039989999998</v>
      </c>
      <c r="AK34" s="270">
        <f>INDEX(Coordinates!$C$2:$C$197,MATCH(G34,Coordinates!$J$2:$J$197,0))</f>
        <v>34.852751009999999</v>
      </c>
      <c r="AL34" s="270" t="str">
        <f>IF(ISNUMBER(SEARCH("C", 'Dry_Litterbag Placem_Collection'!S35)),"YES","NO")</f>
        <v>NO</v>
      </c>
      <c r="AM34" s="270" t="str">
        <f>IF(ISNUMBER(SEARCH("H", 'Dry_Litterbag Placem_Collection'!S35)),"YES","NO")</f>
        <v>NO</v>
      </c>
      <c r="AN34" s="270" t="str">
        <f>IF(ISNUMBER(SEARCH("R", 'Dry_Litterbag Placem_Collection'!S35)),"YES","NO")</f>
        <v>NO</v>
      </c>
    </row>
    <row r="35" spans="1:40">
      <c r="A35" s="262" t="s">
        <v>2659</v>
      </c>
      <c r="B35" s="263">
        <f>'Dry_Litterbag Placem_Collection'!A36</f>
        <v>34</v>
      </c>
      <c r="C35" s="263" t="str">
        <f>'Dry_Litterbag Placem_Collection'!B36</f>
        <v>Makao</v>
      </c>
      <c r="D35" s="263" t="s">
        <v>2659</v>
      </c>
      <c r="E35" s="263" t="s">
        <v>20</v>
      </c>
      <c r="F35" s="263">
        <v>1</v>
      </c>
      <c r="G35" s="264" t="str">
        <f>'Dry_Litterbag Placem_Collection'!C36</f>
        <v>Dry_P1_T2</v>
      </c>
      <c r="H35" s="265" t="s">
        <v>2541</v>
      </c>
      <c r="I35" s="266" t="s">
        <v>1147</v>
      </c>
      <c r="J35" s="263" t="str">
        <f>IF(ISBLANK('Dry_Litterbag Placem_Collection'!J36),"","G"&amp;""&amp;'Dry_Litterbag Placem_Collection'!J36)</f>
        <v>G104</v>
      </c>
      <c r="K35" s="267">
        <f>IFERROR(INDEX('Green_rooibos initial weight'!$C$5:$C$1749,MATCH(J35, 'Green_rooibos initial weight'!$A$5:$A$1749,0)),"")</f>
        <v>2.0259999999999998</v>
      </c>
      <c r="L35" s="267">
        <f>IFERROR(K35-(TBIcalc!$Q$9+TBIcalc!$Q$10),"")</f>
        <v>1.7761999999999998</v>
      </c>
      <c r="M35" s="391">
        <f>AVERAGE(Ashed_controlls!$K$2:$K$11)</f>
        <v>5.5147656768714146</v>
      </c>
      <c r="N35" s="267">
        <f t="shared" si="1"/>
        <v>1.6782467320474097</v>
      </c>
      <c r="O35" s="267" t="str">
        <f>IF(IFERROR(INDEX('Both teabags AfterDry'!$D$3:$D$900,MATCH(J35,'Both teabags AfterDry'!$A$3:$A$900,0)),"")="","",(IFERROR(INDEX('Both teabags AfterDry'!$D$3:$D$900,MATCH(J35,'Both teabags AfterDry'!$A$3:$A$900,0)),"")))</f>
        <v/>
      </c>
      <c r="P35" s="267" t="str">
        <f>IFERROR(IF(O35&gt;0,O35-(TBIcalc!$Q$9),""),"")</f>
        <v/>
      </c>
      <c r="Q35" s="278" t="str">
        <f>IFERROR(INDEX('Ashed teabags dry'!$K$2:$K$825,MATCH(J35,'Ashed teabags dry'!$A$2:$A$825,0)),"")</f>
        <v/>
      </c>
      <c r="R35" s="278" t="str">
        <f t="shared" si="2"/>
        <v/>
      </c>
      <c r="S35" s="268">
        <f>'Dry_Litterbag Placem_Collection'!E36</f>
        <v>42938</v>
      </c>
      <c r="T35" s="268">
        <f>IF('Dry_Litterbag Placem_Collection'!G36="","",'Dry_Litterbag Placem_Collection'!G36)</f>
        <v>43005</v>
      </c>
      <c r="U35" s="269">
        <f t="shared" si="0"/>
        <v>67</v>
      </c>
      <c r="V35" s="267" t="str">
        <f t="shared" si="3"/>
        <v/>
      </c>
      <c r="W35" s="267" t="str">
        <f t="shared" si="4"/>
        <v/>
      </c>
      <c r="X35" s="271">
        <f>IFERROR(INDEX(Rainfall_Dry!$O$2:$O$217,MATCH(B35, Rainfall_Dry!$A$2:$A$217,0)),"")</f>
        <v>6.5250000359999998</v>
      </c>
      <c r="Y35" s="260">
        <v>23.96</v>
      </c>
      <c r="Z35" s="260">
        <v>0.91999999999999804</v>
      </c>
      <c r="AA35" s="260">
        <v>75.12</v>
      </c>
      <c r="AB35" s="261" t="s">
        <v>2670</v>
      </c>
      <c r="AC35" s="260">
        <v>1.2493839329719072</v>
      </c>
      <c r="AD35">
        <f>IF('WetLitterbags placem_collection'!AB36="","",'WetLitterbags placem_collection'!AB36)</f>
        <v>6.5</v>
      </c>
      <c r="AE35">
        <f>IF('WetLitterbags placem_collection'!Z36="","",'WetLitterbags placem_collection'!Z36)</f>
        <v>14.2</v>
      </c>
      <c r="AF35" s="246" t="str">
        <f>IF('WetLitterbags placem_collection'!AA36="","",'WetLitterbags placem_collection'!AA36)</f>
        <v>G</v>
      </c>
      <c r="AG35">
        <f>IF('WetLitterbags placem_collection'!AC36="","",'WetLitterbags placem_collection'!AC36)</f>
        <v>0</v>
      </c>
      <c r="AH35">
        <f>IFERROR(AVERAGE('Dry_Litterbag Placem_Collection'!O36,'Dry_Litterbag Placem_Collection'!R36),"")</f>
        <v>3.25</v>
      </c>
      <c r="AI35" s="271">
        <f>IFERROR(AVERAGE('Dry_Litterbag Placem_Collection'!N36,'Dry_Litterbag Placem_Collection'!Q36),"")</f>
        <v>26.9</v>
      </c>
      <c r="AJ35" s="270">
        <f>INDEX(Coordinates!$B$2:$B$197,MATCH(G35,Coordinates!$J$2:$J$197,0))</f>
        <v>-3.4092350119999999</v>
      </c>
      <c r="AK35" s="270">
        <f>INDEX(Coordinates!$C$2:$C$197,MATCH(G35,Coordinates!$J$2:$J$197,0))</f>
        <v>34.852782019999999</v>
      </c>
      <c r="AL35" s="270" t="str">
        <f>IF(ISNUMBER(SEARCH("C", 'Dry_Litterbag Placem_Collection'!S36)),"YES","NO")</f>
        <v>NO</v>
      </c>
      <c r="AM35" s="270" t="str">
        <f>IF(ISNUMBER(SEARCH("H", 'Dry_Litterbag Placem_Collection'!S36)),"YES","NO")</f>
        <v>YES</v>
      </c>
      <c r="AN35" s="270" t="str">
        <f>IF(ISNUMBER(SEARCH("R", 'Dry_Litterbag Placem_Collection'!S36)),"YES","NO")</f>
        <v>NO</v>
      </c>
    </row>
    <row r="36" spans="1:40">
      <c r="A36" s="262" t="s">
        <v>2659</v>
      </c>
      <c r="B36" s="263">
        <f>'Dry_Litterbag Placem_Collection'!A37</f>
        <v>35</v>
      </c>
      <c r="C36" s="263" t="str">
        <f>'Dry_Litterbag Placem_Collection'!B37</f>
        <v>Makao</v>
      </c>
      <c r="D36" s="263" t="s">
        <v>2659</v>
      </c>
      <c r="E36" s="263" t="s">
        <v>20</v>
      </c>
      <c r="F36" s="263">
        <v>1</v>
      </c>
      <c r="G36" s="264" t="str">
        <f>'Dry_Litterbag Placem_Collection'!C37</f>
        <v>Dry_P1_T3</v>
      </c>
      <c r="H36" s="265" t="s">
        <v>2541</v>
      </c>
      <c r="I36" s="266" t="s">
        <v>1147</v>
      </c>
      <c r="J36" s="263" t="str">
        <f>IF(ISBLANK('Dry_Litterbag Placem_Collection'!J37),"","G"&amp;""&amp;'Dry_Litterbag Placem_Collection'!J37)</f>
        <v>G188</v>
      </c>
      <c r="K36" s="267">
        <f>IFERROR(INDEX('Green_rooibos initial weight'!$C$5:$C$1749,MATCH(J36, 'Green_rooibos initial weight'!$A$5:$A$1749,0)),"")</f>
        <v>1.952</v>
      </c>
      <c r="L36" s="267">
        <f>IFERROR(K36-(TBIcalc!$Q$9+TBIcalc!$Q$10),"")</f>
        <v>1.7021999999999999</v>
      </c>
      <c r="M36" s="391">
        <f>AVERAGE(Ashed_controlls!$K$2:$K$11)</f>
        <v>5.5147656768714146</v>
      </c>
      <c r="N36" s="267">
        <f t="shared" si="1"/>
        <v>1.6083276586482946</v>
      </c>
      <c r="O36" s="267">
        <f>IF(IFERROR(INDEX('Both teabags AfterDry'!$D$3:$D$900,MATCH(J36,'Both teabags AfterDry'!$A$3:$A$900,0)),"")="","",(IFERROR(INDEX('Both teabags AfterDry'!$D$3:$D$900,MATCH(J36,'Both teabags AfterDry'!$A$3:$A$900,0)),"")))</f>
        <v>1.7849999999999999</v>
      </c>
      <c r="P36" s="267">
        <f>IFERROR(IF(O36&gt;0,O36-(TBIcalc!$Q$9),""),"")</f>
        <v>1.6343999999999999</v>
      </c>
      <c r="Q36" s="278">
        <f>IFERROR(INDEX('Ashed teabags dry'!$K$2:$K$825,MATCH(J36,'Ashed teabags dry'!$A$2:$A$825,0)),"")</f>
        <v>5.9055118110234908</v>
      </c>
      <c r="R36" s="278">
        <f t="shared" si="2"/>
        <v>1.5378803149606319</v>
      </c>
      <c r="S36" s="268">
        <f>'Dry_Litterbag Placem_Collection'!E37</f>
        <v>42938</v>
      </c>
      <c r="T36" s="268">
        <f>IF('Dry_Litterbag Placem_Collection'!G37="","",'Dry_Litterbag Placem_Collection'!G37)</f>
        <v>43005</v>
      </c>
      <c r="U36" s="269">
        <f t="shared" si="0"/>
        <v>67</v>
      </c>
      <c r="V36" s="267">
        <f t="shared" si="3"/>
        <v>6.7800000000000082E-2</v>
      </c>
      <c r="W36" s="267">
        <f t="shared" si="4"/>
        <v>7.04473436876627E-2</v>
      </c>
      <c r="X36" s="271">
        <f>IFERROR(INDEX(Rainfall_Dry!$O$2:$O$217,MATCH(B36, Rainfall_Dry!$A$2:$A$217,0)),"")</f>
        <v>6.5250000359999998</v>
      </c>
      <c r="Y36" s="260">
        <v>23.96</v>
      </c>
      <c r="Z36" s="260">
        <v>0.91999999999999804</v>
      </c>
      <c r="AA36" s="260">
        <v>75.12</v>
      </c>
      <c r="AB36" s="261" t="s">
        <v>2670</v>
      </c>
      <c r="AC36" s="260">
        <v>1.2493839329719072</v>
      </c>
      <c r="AD36">
        <f>IF('WetLitterbags placem_collection'!AB37="","",'WetLitterbags placem_collection'!AB37)</f>
        <v>0.7</v>
      </c>
      <c r="AE36">
        <f>IF('WetLitterbags placem_collection'!Z37="","",'WetLitterbags placem_collection'!Z37)</f>
        <v>10.6</v>
      </c>
      <c r="AF36" s="246" t="str">
        <f>IF('WetLitterbags placem_collection'!AA37="","",'WetLitterbags placem_collection'!AA37)</f>
        <v>G</v>
      </c>
      <c r="AG36">
        <f>IF('WetLitterbags placem_collection'!AC37="","",'WetLitterbags placem_collection'!AC37)</f>
        <v>0</v>
      </c>
      <c r="AH36">
        <f>IFERROR(AVERAGE('Dry_Litterbag Placem_Collection'!O37,'Dry_Litterbag Placem_Collection'!R37),"")</f>
        <v>3.35</v>
      </c>
      <c r="AI36" s="271">
        <f>IFERROR(AVERAGE('Dry_Litterbag Placem_Collection'!N37,'Dry_Litterbag Placem_Collection'!Q37),"")</f>
        <v>26.95</v>
      </c>
      <c r="AJ36" s="270">
        <f>INDEX(Coordinates!$B$2:$B$197,MATCH(G36,Coordinates!$J$2:$J$197,0))</f>
        <v>-3.409177009</v>
      </c>
      <c r="AK36" s="270">
        <f>INDEX(Coordinates!$C$2:$C$197,MATCH(G36,Coordinates!$J$2:$J$197,0))</f>
        <v>34.852818990000003</v>
      </c>
      <c r="AL36" s="270" t="str">
        <f>IF(ISNUMBER(SEARCH("C", 'Dry_Litterbag Placem_Collection'!S37)),"YES","NO")</f>
        <v>NO</v>
      </c>
      <c r="AM36" s="270" t="str">
        <f>IF(ISNUMBER(SEARCH("H", 'Dry_Litterbag Placem_Collection'!S37)),"YES","NO")</f>
        <v>NO</v>
      </c>
      <c r="AN36" s="270" t="str">
        <f>IF(ISNUMBER(SEARCH("R", 'Dry_Litterbag Placem_Collection'!S37)),"YES","NO")</f>
        <v>NO</v>
      </c>
    </row>
    <row r="37" spans="1:40">
      <c r="A37" s="262" t="s">
        <v>2659</v>
      </c>
      <c r="B37" s="263">
        <f>'Dry_Litterbag Placem_Collection'!A38</f>
        <v>36</v>
      </c>
      <c r="C37" s="263" t="str">
        <f>'Dry_Litterbag Placem_Collection'!B38</f>
        <v>Makao</v>
      </c>
      <c r="D37" s="263" t="s">
        <v>2659</v>
      </c>
      <c r="E37" s="263" t="s">
        <v>20</v>
      </c>
      <c r="F37" s="263">
        <v>1</v>
      </c>
      <c r="G37" s="264" t="str">
        <f>'Dry_Litterbag Placem_Collection'!C38</f>
        <v>Dry_P1_T4</v>
      </c>
      <c r="H37" s="265" t="s">
        <v>2541</v>
      </c>
      <c r="I37" s="266" t="s">
        <v>1147</v>
      </c>
      <c r="J37" s="263" t="str">
        <f>IF(ISBLANK('Dry_Litterbag Placem_Collection'!J38),"","G"&amp;""&amp;'Dry_Litterbag Placem_Collection'!J38)</f>
        <v>G379</v>
      </c>
      <c r="K37" s="267">
        <f>IFERROR(INDEX('Green_rooibos initial weight'!$C$5:$C$1749,MATCH(J37, 'Green_rooibos initial weight'!$A$5:$A$1749,0)),"")</f>
        <v>2.052</v>
      </c>
      <c r="L37" s="267">
        <f>IFERROR(K37-(TBIcalc!$Q$9+TBIcalc!$Q$10),"")</f>
        <v>1.8022</v>
      </c>
      <c r="M37" s="391">
        <f>AVERAGE(Ashed_controlls!$K$2:$K$11)</f>
        <v>5.5147656768714146</v>
      </c>
      <c r="N37" s="267">
        <f t="shared" si="1"/>
        <v>1.7028128929714235</v>
      </c>
      <c r="O37" s="267">
        <f>IF(IFERROR(INDEX('Both teabags AfterDry'!$D$3:$D$900,MATCH(J37,'Both teabags AfterDry'!$A$3:$A$900,0)),"")="","",(IFERROR(INDEX('Both teabags AfterDry'!$D$3:$D$900,MATCH(J37,'Both teabags AfterDry'!$A$3:$A$900,0)),"")))</f>
        <v>1.65</v>
      </c>
      <c r="P37" s="267">
        <f>IFERROR(IF(O37&gt;0,O37-(TBIcalc!$Q$9),""),"")</f>
        <v>1.4993999999999998</v>
      </c>
      <c r="Q37" s="278">
        <f>IFERROR(INDEX('Ashed teabags dry'!$K$2:$K$825,MATCH(J37,'Ashed teabags dry'!$A$2:$A$825,0)),"")</f>
        <v>8.6725663716812598</v>
      </c>
      <c r="R37" s="278">
        <f t="shared" si="2"/>
        <v>1.3693635398230111</v>
      </c>
      <c r="S37" s="268">
        <f>'Dry_Litterbag Placem_Collection'!E38</f>
        <v>42938</v>
      </c>
      <c r="T37" s="268">
        <f>IF('Dry_Litterbag Placem_Collection'!G38="","",'Dry_Litterbag Placem_Collection'!G38)</f>
        <v>43005</v>
      </c>
      <c r="U37" s="269">
        <f t="shared" si="0"/>
        <v>67</v>
      </c>
      <c r="V37" s="267">
        <f t="shared" si="3"/>
        <v>0.30280000000000018</v>
      </c>
      <c r="W37" s="267">
        <f t="shared" si="4"/>
        <v>0.3334493531484124</v>
      </c>
      <c r="X37" s="271">
        <f>IFERROR(INDEX(Rainfall_Dry!$O$2:$O$217,MATCH(B37, Rainfall_Dry!$A$2:$A$217,0)),"")</f>
        <v>6.5250000359999998</v>
      </c>
      <c r="Y37" s="260">
        <v>23.96</v>
      </c>
      <c r="Z37" s="260">
        <v>0.91999999999999804</v>
      </c>
      <c r="AA37" s="260">
        <v>75.12</v>
      </c>
      <c r="AB37" s="261" t="s">
        <v>2670</v>
      </c>
      <c r="AC37" s="260">
        <v>1.2493839329719072</v>
      </c>
      <c r="AD37">
        <f>IF('WetLitterbags placem_collection'!AB38="","",'WetLitterbags placem_collection'!AB38)</f>
        <v>3.3</v>
      </c>
      <c r="AE37">
        <f>IF('WetLitterbags placem_collection'!Z38="","",'WetLitterbags placem_collection'!Z38)</f>
        <v>4.9000000000000004</v>
      </c>
      <c r="AF37" s="246" t="str">
        <f>IF('WetLitterbags placem_collection'!AA38="","",'WetLitterbags placem_collection'!AA38)</f>
        <v>G</v>
      </c>
      <c r="AG37">
        <f>IF('WetLitterbags placem_collection'!AC38="","",'WetLitterbags placem_collection'!AC38)</f>
        <v>1</v>
      </c>
      <c r="AH37">
        <f>IFERROR(AVERAGE('Dry_Litterbag Placem_Collection'!O38,'Dry_Litterbag Placem_Collection'!R38),"")</f>
        <v>3</v>
      </c>
      <c r="AI37" s="271">
        <f>IFERROR(AVERAGE('Dry_Litterbag Placem_Collection'!N38,'Dry_Litterbag Placem_Collection'!Q38),"")</f>
        <v>25.85</v>
      </c>
      <c r="AJ37" s="270">
        <f>INDEX(Coordinates!$B$2:$B$197,MATCH(G37,Coordinates!$J$2:$J$197,0))</f>
        <v>-3.40917198</v>
      </c>
      <c r="AK37" s="270">
        <f>INDEX(Coordinates!$C$2:$C$197,MATCH(G37,Coordinates!$J$2:$J$197,0))</f>
        <v>34.852960979999999</v>
      </c>
      <c r="AL37" s="270" t="str">
        <f>IF(ISNUMBER(SEARCH("C", 'Dry_Litterbag Placem_Collection'!S38)),"YES","NO")</f>
        <v>NO</v>
      </c>
      <c r="AM37" s="270" t="str">
        <f>IF(ISNUMBER(SEARCH("H", 'Dry_Litterbag Placem_Collection'!S38)),"YES","NO")</f>
        <v>NO</v>
      </c>
      <c r="AN37" s="270" t="str">
        <f>IF(ISNUMBER(SEARCH("R", 'Dry_Litterbag Placem_Collection'!S38)),"YES","NO")</f>
        <v>NO</v>
      </c>
    </row>
    <row r="38" spans="1:40">
      <c r="A38" s="262" t="s">
        <v>2659</v>
      </c>
      <c r="B38" s="263">
        <f>'Dry_Litterbag Placem_Collection'!A39</f>
        <v>37</v>
      </c>
      <c r="C38" s="263" t="str">
        <f>'Dry_Litterbag Placem_Collection'!B39</f>
        <v>Makao</v>
      </c>
      <c r="D38" s="263" t="s">
        <v>2659</v>
      </c>
      <c r="E38" s="263" t="s">
        <v>20</v>
      </c>
      <c r="F38" s="263">
        <v>1</v>
      </c>
      <c r="G38" s="264" t="str">
        <f>'Dry_Litterbag Placem_Collection'!C39</f>
        <v>Dry_P1_T5</v>
      </c>
      <c r="H38" s="265" t="s">
        <v>2541</v>
      </c>
      <c r="I38" s="266" t="s">
        <v>1147</v>
      </c>
      <c r="J38" s="263" t="str">
        <f>IF(ISBLANK('Dry_Litterbag Placem_Collection'!J39),"","G"&amp;""&amp;'Dry_Litterbag Placem_Collection'!J39)</f>
        <v>G66</v>
      </c>
      <c r="K38" s="267">
        <f>IFERROR(INDEX('Green_rooibos initial weight'!$C$5:$C$1749,MATCH(J38, 'Green_rooibos initial weight'!$A$5:$A$1749,0)),"")</f>
        <v>1.9490000000000001</v>
      </c>
      <c r="L38" s="267">
        <f>IFERROR(K38-(TBIcalc!$Q$9+TBIcalc!$Q$10),"")</f>
        <v>1.6992</v>
      </c>
      <c r="M38" s="391">
        <f>AVERAGE(Ashed_controlls!$K$2:$K$11)</f>
        <v>5.5147656768714146</v>
      </c>
      <c r="N38" s="267">
        <f t="shared" si="1"/>
        <v>1.6054931016186009</v>
      </c>
      <c r="O38" s="267">
        <f>IF(IFERROR(INDEX('Both teabags AfterDry'!$D$3:$D$900,MATCH(J38,'Both teabags AfterDry'!$A$3:$A$900,0)),"")="","",(IFERROR(INDEX('Both teabags AfterDry'!$D$3:$D$900,MATCH(J38,'Both teabags AfterDry'!$A$3:$A$900,0)),"")))</f>
        <v>3.3298000000000001</v>
      </c>
      <c r="P38" s="267">
        <f>IFERROR(IF(O38&gt;0,O38-(TBIcalc!$Q$9),""),"")</f>
        <v>3.1792000000000002</v>
      </c>
      <c r="Q38" s="278">
        <f>IFERROR(INDEX('Ashed teabags dry'!$K$2:$K$825,MATCH(J38,'Ashed teabags dry'!$A$2:$A$825,0)),"")</f>
        <v>73.511543134872284</v>
      </c>
      <c r="R38" s="278">
        <f t="shared" si="2"/>
        <v>0.84212102065614047</v>
      </c>
      <c r="S38" s="268">
        <f>'Dry_Litterbag Placem_Collection'!E39</f>
        <v>42938</v>
      </c>
      <c r="T38" s="268">
        <f>IF('Dry_Litterbag Placem_Collection'!G39="","",'Dry_Litterbag Placem_Collection'!G39)</f>
        <v>43005</v>
      </c>
      <c r="U38" s="269">
        <f t="shared" si="0"/>
        <v>67</v>
      </c>
      <c r="V38" s="267">
        <f t="shared" si="3"/>
        <v>-1.4800000000000002</v>
      </c>
      <c r="W38" s="267">
        <f t="shared" si="4"/>
        <v>0.76337208096246045</v>
      </c>
      <c r="X38" s="271">
        <f>IFERROR(INDEX(Rainfall_Dry!$O$2:$O$217,MATCH(B38, Rainfall_Dry!$A$2:$A$217,0)),"")</f>
        <v>6.5250000359999998</v>
      </c>
      <c r="Y38" s="260">
        <v>23.96</v>
      </c>
      <c r="Z38" s="260">
        <v>0.91999999999999804</v>
      </c>
      <c r="AA38" s="260">
        <v>75.12</v>
      </c>
      <c r="AB38" s="261" t="s">
        <v>2670</v>
      </c>
      <c r="AC38" s="260">
        <v>1.2493839329719072</v>
      </c>
      <c r="AD38">
        <f>IF('WetLitterbags placem_collection'!AB39="","",'WetLitterbags placem_collection'!AB39)</f>
        <v>8.3000000000000007</v>
      </c>
      <c r="AE38">
        <f>IF('WetLitterbags placem_collection'!Z39="","",'WetLitterbags placem_collection'!Z39)</f>
        <v>27.8</v>
      </c>
      <c r="AF38" s="246" t="str">
        <f>IF('WetLitterbags placem_collection'!AA39="","",'WetLitterbags placem_collection'!AA39)</f>
        <v>G</v>
      </c>
      <c r="AG38">
        <f>IF('WetLitterbags placem_collection'!AC39="","",'WetLitterbags placem_collection'!AC39)</f>
        <v>0</v>
      </c>
      <c r="AH38">
        <f>IFERROR(AVERAGE('Dry_Litterbag Placem_Collection'!O39,'Dry_Litterbag Placem_Collection'!R39),"")</f>
        <v>4.25</v>
      </c>
      <c r="AI38" s="271">
        <f>IFERROR(AVERAGE('Dry_Litterbag Placem_Collection'!N39,'Dry_Litterbag Placem_Collection'!Q39),"")</f>
        <v>26.1</v>
      </c>
      <c r="AJ38" s="270">
        <f>INDEX(Coordinates!$B$2:$B$197,MATCH(G38,Coordinates!$J$2:$J$197,0))</f>
        <v>-3.4090709779999999</v>
      </c>
      <c r="AK38" s="270">
        <f>INDEX(Coordinates!$C$2:$C$197,MATCH(G38,Coordinates!$J$2:$J$197,0))</f>
        <v>34.852712029999999</v>
      </c>
      <c r="AL38" s="270" t="str">
        <f>IF(ISNUMBER(SEARCH("C", 'Dry_Litterbag Placem_Collection'!S39)),"YES","NO")</f>
        <v>YES</v>
      </c>
      <c r="AM38" s="270" t="str">
        <f>IF(ISNUMBER(SEARCH("H", 'Dry_Litterbag Placem_Collection'!S39)),"YES","NO")</f>
        <v>YES</v>
      </c>
      <c r="AN38" s="270" t="str">
        <f>IF(ISNUMBER(SEARCH("R", 'Dry_Litterbag Placem_Collection'!S39)),"YES","NO")</f>
        <v>NO</v>
      </c>
    </row>
    <row r="39" spans="1:40">
      <c r="A39" s="262" t="s">
        <v>2659</v>
      </c>
      <c r="B39" s="263">
        <f>'Dry_Litterbag Placem_Collection'!A40</f>
        <v>38</v>
      </c>
      <c r="C39" s="263" t="str">
        <f>'Dry_Litterbag Placem_Collection'!B40</f>
        <v>Makao</v>
      </c>
      <c r="D39" s="263" t="s">
        <v>2659</v>
      </c>
      <c r="E39" s="263" t="s">
        <v>20</v>
      </c>
      <c r="F39" s="263">
        <v>1</v>
      </c>
      <c r="G39" s="264" t="str">
        <f>'Dry_Litterbag Placem_Collection'!C40</f>
        <v>Dry_P1_T6</v>
      </c>
      <c r="H39" s="265" t="s">
        <v>2541</v>
      </c>
      <c r="I39" s="266" t="s">
        <v>1147</v>
      </c>
      <c r="J39" s="263" t="str">
        <f>IF(ISBLANK('Dry_Litterbag Placem_Collection'!J40),"","G"&amp;""&amp;'Dry_Litterbag Placem_Collection'!J40)</f>
        <v>G625</v>
      </c>
      <c r="K39" s="267">
        <f>IFERROR(INDEX('Green_rooibos initial weight'!$C$5:$C$1749,MATCH(J39, 'Green_rooibos initial weight'!$A$5:$A$1749,0)),"")</f>
        <v>1.9650000000000001</v>
      </c>
      <c r="L39" s="267">
        <f>IFERROR(K39-(TBIcalc!$Q$9+TBIcalc!$Q$10),"")</f>
        <v>1.7152000000000001</v>
      </c>
      <c r="M39" s="391">
        <f>AVERAGE(Ashed_controlls!$K$2:$K$11)</f>
        <v>5.5147656768714146</v>
      </c>
      <c r="N39" s="267">
        <f t="shared" si="1"/>
        <v>1.6206107391103015</v>
      </c>
      <c r="O39" s="267">
        <f>IF(IFERROR(INDEX('Both teabags AfterDry'!$D$3:$D$900,MATCH(J39,'Both teabags AfterDry'!$A$3:$A$900,0)),"")="","",(IFERROR(INDEX('Both teabags AfterDry'!$D$3:$D$900,MATCH(J39,'Both teabags AfterDry'!$A$3:$A$900,0)),"")))</f>
        <v>1.8379000000000001</v>
      </c>
      <c r="P39" s="267">
        <f>IFERROR(IF(O39&gt;0,O39-(TBIcalc!$Q$9),""),"")</f>
        <v>1.6873</v>
      </c>
      <c r="Q39" s="278">
        <f>IFERROR(INDEX('Ashed teabags dry'!$K$2:$K$825,MATCH(J39,'Ashed teabags dry'!$A$2:$A$825,0)),"")</f>
        <v>9.99592003263969</v>
      </c>
      <c r="R39" s="278">
        <f t="shared" si="2"/>
        <v>1.5186388412892706</v>
      </c>
      <c r="S39" s="268">
        <f>'Dry_Litterbag Placem_Collection'!E40</f>
        <v>42938</v>
      </c>
      <c r="T39" s="268">
        <f>IF('Dry_Litterbag Placem_Collection'!G40="","",'Dry_Litterbag Placem_Collection'!G40)</f>
        <v>43005</v>
      </c>
      <c r="U39" s="269">
        <f t="shared" si="0"/>
        <v>67</v>
      </c>
      <c r="V39" s="267">
        <f t="shared" si="3"/>
        <v>2.7900000000000036E-2</v>
      </c>
      <c r="W39" s="267">
        <f t="shared" si="4"/>
        <v>0.10197189782103089</v>
      </c>
      <c r="X39" s="271">
        <f>IFERROR(INDEX(Rainfall_Dry!$O$2:$O$217,MATCH(B39, Rainfall_Dry!$A$2:$A$217,0)),"")</f>
        <v>6.5250000359999998</v>
      </c>
      <c r="Y39" s="260">
        <v>23.96</v>
      </c>
      <c r="Z39" s="260">
        <v>0.91999999999999804</v>
      </c>
      <c r="AA39" s="260">
        <v>75.12</v>
      </c>
      <c r="AB39" s="261" t="s">
        <v>2670</v>
      </c>
      <c r="AC39" s="260">
        <v>1.2493839329719072</v>
      </c>
      <c r="AD39">
        <f>IF('WetLitterbags placem_collection'!AB40="","",'WetLitterbags placem_collection'!AB40)</f>
        <v>2</v>
      </c>
      <c r="AE39">
        <f>IF('WetLitterbags placem_collection'!Z40="","",'WetLitterbags placem_collection'!Z40)</f>
        <v>20.399999999999999</v>
      </c>
      <c r="AF39" s="246" t="str">
        <f>IF('WetLitterbags placem_collection'!AA40="","",'WetLitterbags placem_collection'!AA40)</f>
        <v>O</v>
      </c>
      <c r="AG39">
        <f>IF('WetLitterbags placem_collection'!AC40="","",'WetLitterbags placem_collection'!AC40)</f>
        <v>0</v>
      </c>
      <c r="AH39">
        <f>IFERROR(AVERAGE('Dry_Litterbag Placem_Collection'!O40,'Dry_Litterbag Placem_Collection'!R40),"")</f>
        <v>2.85</v>
      </c>
      <c r="AI39" s="271">
        <f>IFERROR(AVERAGE('Dry_Litterbag Placem_Collection'!N40,'Dry_Litterbag Placem_Collection'!Q40),"")</f>
        <v>26.7</v>
      </c>
      <c r="AJ39" s="270">
        <f>INDEX(Coordinates!$B$2:$B$197,MATCH(G39,Coordinates!$J$2:$J$197,0))</f>
        <v>-3.409280023</v>
      </c>
      <c r="AK39" s="270">
        <f>INDEX(Coordinates!$C$2:$C$197,MATCH(G39,Coordinates!$J$2:$J$197,0))</f>
        <v>34.852612960000002</v>
      </c>
      <c r="AL39" s="270" t="str">
        <f>IF(ISNUMBER(SEARCH("C", 'Dry_Litterbag Placem_Collection'!S40)),"YES","NO")</f>
        <v>YES</v>
      </c>
      <c r="AM39" s="270" t="str">
        <f>IF(ISNUMBER(SEARCH("H", 'Dry_Litterbag Placem_Collection'!S40)),"YES","NO")</f>
        <v>YES</v>
      </c>
      <c r="AN39" s="270" t="str">
        <f>IF(ISNUMBER(SEARCH("R", 'Dry_Litterbag Placem_Collection'!S40)),"YES","NO")</f>
        <v>NO</v>
      </c>
    </row>
    <row r="40" spans="1:40">
      <c r="A40" s="262" t="s">
        <v>2659</v>
      </c>
      <c r="B40" s="263">
        <f>'Dry_Litterbag Placem_Collection'!A41</f>
        <v>39</v>
      </c>
      <c r="C40" s="263" t="str">
        <f>'Dry_Litterbag Placem_Collection'!B41</f>
        <v>Makao</v>
      </c>
      <c r="D40" s="263" t="s">
        <v>2659</v>
      </c>
      <c r="E40" s="263" t="s">
        <v>20</v>
      </c>
      <c r="F40" s="263">
        <v>1</v>
      </c>
      <c r="G40" s="264" t="str">
        <f>'Dry_Litterbag Placem_Collection'!C41</f>
        <v>Dry_P1_T7</v>
      </c>
      <c r="H40" s="265" t="s">
        <v>2541</v>
      </c>
      <c r="I40" s="266" t="s">
        <v>1147</v>
      </c>
      <c r="J40" s="263" t="str">
        <f>IF(ISBLANK('Dry_Litterbag Placem_Collection'!J41),"","G"&amp;""&amp;'Dry_Litterbag Placem_Collection'!J41)</f>
        <v/>
      </c>
      <c r="K40" s="267" t="str">
        <f>IFERROR(INDEX('Green_rooibos initial weight'!$C$5:$C$1749,MATCH(J40, 'Green_rooibos initial weight'!$A$5:$A$1749,0)),"")</f>
        <v/>
      </c>
      <c r="L40" s="267" t="str">
        <f>IFERROR(K40-(TBIcalc!$Q$9+TBIcalc!$Q$10),"")</f>
        <v/>
      </c>
      <c r="M40" s="391">
        <f>AVERAGE(Ashed_controlls!$K$2:$K$11)</f>
        <v>5.5147656768714146</v>
      </c>
      <c r="N40" s="267" t="str">
        <f t="shared" si="1"/>
        <v/>
      </c>
      <c r="O40" s="267" t="str">
        <f>IF(IFERROR(INDEX('Both teabags AfterDry'!$D$3:$D$900,MATCH(J40,'Both teabags AfterDry'!$A$3:$A$900,0)),"")="","",(IFERROR(INDEX('Both teabags AfterDry'!$D$3:$D$900,MATCH(J40,'Both teabags AfterDry'!$A$3:$A$900,0)),"")))</f>
        <v/>
      </c>
      <c r="P40" s="267" t="str">
        <f>IFERROR(IF(O40&gt;0,O40-(TBIcalc!$Q$9),""),"")</f>
        <v/>
      </c>
      <c r="Q40" s="278" t="str">
        <f>IFERROR(INDEX('Ashed teabags dry'!$K$2:$K$825,MATCH(J40,'Ashed teabags dry'!$A$2:$A$825,0)),"")</f>
        <v/>
      </c>
      <c r="R40" s="278" t="str">
        <f t="shared" si="2"/>
        <v/>
      </c>
      <c r="S40" s="268">
        <f>'Dry_Litterbag Placem_Collection'!E41</f>
        <v>42938</v>
      </c>
      <c r="T40" s="268" t="str">
        <f>IF('Dry_Litterbag Placem_Collection'!G41="","",'Dry_Litterbag Placem_Collection'!G41)</f>
        <v/>
      </c>
      <c r="U40" s="269" t="str">
        <f t="shared" si="0"/>
        <v/>
      </c>
      <c r="V40" s="267" t="str">
        <f t="shared" si="3"/>
        <v/>
      </c>
      <c r="W40" s="267" t="str">
        <f t="shared" si="4"/>
        <v/>
      </c>
      <c r="X40" s="271" t="str">
        <f>IFERROR(INDEX(Rainfall_Dry!$O$2:$O$217,MATCH(B40, Rainfall_Dry!$A$2:$A$217,0)),"")</f>
        <v/>
      </c>
      <c r="Y40" s="260">
        <v>23.96</v>
      </c>
      <c r="Z40" s="260">
        <v>0.91999999999999804</v>
      </c>
      <c r="AA40" s="260">
        <v>75.12</v>
      </c>
      <c r="AB40" s="261" t="s">
        <v>2670</v>
      </c>
      <c r="AC40" s="260">
        <v>1.2493839329719072</v>
      </c>
      <c r="AD40">
        <f>IF('WetLitterbags placem_collection'!AB41="","",'WetLitterbags placem_collection'!AB41)</f>
        <v>2.4</v>
      </c>
      <c r="AE40">
        <f>IF('WetLitterbags placem_collection'!Z41="","",'WetLitterbags placem_collection'!Z41)</f>
        <v>18</v>
      </c>
      <c r="AF40" s="246" t="str">
        <f>IF('WetLitterbags placem_collection'!AA41="","",'WetLitterbags placem_collection'!AA41)</f>
        <v>G</v>
      </c>
      <c r="AG40">
        <f>IF('WetLitterbags placem_collection'!AC41="","",'WetLitterbags placem_collection'!AC41)</f>
        <v>1</v>
      </c>
      <c r="AH40" t="str">
        <f>IFERROR(AVERAGE('Dry_Litterbag Placem_Collection'!O41,'Dry_Litterbag Placem_Collection'!R41),"")</f>
        <v/>
      </c>
      <c r="AI40" s="271" t="str">
        <f>IFERROR(AVERAGE('Dry_Litterbag Placem_Collection'!N41,'Dry_Litterbag Placem_Collection'!Q41),"")</f>
        <v/>
      </c>
      <c r="AJ40" s="270">
        <f>INDEX(Coordinates!$B$2:$B$197,MATCH(G40,Coordinates!$J$2:$J$197,0))</f>
        <v>-3.4093859700000002</v>
      </c>
      <c r="AK40" s="270">
        <f>INDEX(Coordinates!$C$2:$C$197,MATCH(G40,Coordinates!$J$2:$J$197,0))</f>
        <v>34.852855030000001</v>
      </c>
      <c r="AL40" s="270" t="str">
        <f>IF(ISNUMBER(SEARCH("C", 'Dry_Litterbag Placem_Collection'!S41)),"YES","NO")</f>
        <v>NO</v>
      </c>
      <c r="AM40" s="270" t="str">
        <f>IF(ISNUMBER(SEARCH("H", 'Dry_Litterbag Placem_Collection'!S41)),"YES","NO")</f>
        <v>NO</v>
      </c>
      <c r="AN40" s="270" t="str">
        <f>IF(ISNUMBER(SEARCH("R", 'Dry_Litterbag Placem_Collection'!S41)),"YES","NO")</f>
        <v>NO</v>
      </c>
    </row>
    <row r="41" spans="1:40">
      <c r="A41" s="262" t="s">
        <v>2659</v>
      </c>
      <c r="B41" s="263">
        <f>'Dry_Litterbag Placem_Collection'!A42</f>
        <v>40</v>
      </c>
      <c r="C41" s="263" t="str">
        <f>'Dry_Litterbag Placem_Collection'!B42</f>
        <v>Makao</v>
      </c>
      <c r="D41" s="263" t="s">
        <v>2659</v>
      </c>
      <c r="E41" s="263" t="s">
        <v>20</v>
      </c>
      <c r="F41" s="263">
        <v>1</v>
      </c>
      <c r="G41" s="264" t="str">
        <f>'Dry_Litterbag Placem_Collection'!C42</f>
        <v>Dry_P1_T8</v>
      </c>
      <c r="H41" s="265" t="s">
        <v>2541</v>
      </c>
      <c r="I41" s="266" t="s">
        <v>1147</v>
      </c>
      <c r="J41" s="263" t="str">
        <f>IF(ISBLANK('Dry_Litterbag Placem_Collection'!J42),"","G"&amp;""&amp;'Dry_Litterbag Placem_Collection'!J42)</f>
        <v>G88</v>
      </c>
      <c r="K41" s="267">
        <f>IFERROR(INDEX('Green_rooibos initial weight'!$C$5:$C$1749,MATCH(J41, 'Green_rooibos initial weight'!$A$5:$A$1749,0)),"")</f>
        <v>2.1549999999999998</v>
      </c>
      <c r="L41" s="267">
        <f>IFERROR(K41-(TBIcalc!$Q$9+TBIcalc!$Q$10),"")</f>
        <v>1.9051999999999998</v>
      </c>
      <c r="M41" s="391">
        <f>AVERAGE(Ashed_controlls!$K$2:$K$11)</f>
        <v>5.5147656768714146</v>
      </c>
      <c r="N41" s="267">
        <f t="shared" si="1"/>
        <v>1.8001326843242456</v>
      </c>
      <c r="O41" s="267">
        <f>IF(IFERROR(INDEX('Both teabags AfterDry'!$D$3:$D$900,MATCH(J41,'Both teabags AfterDry'!$A$3:$A$900,0)),"")="","",(IFERROR(INDEX('Both teabags AfterDry'!$D$3:$D$900,MATCH(J41,'Both teabags AfterDry'!$A$3:$A$900,0)),"")))</f>
        <v>1.9495</v>
      </c>
      <c r="P41" s="267">
        <f>IFERROR(IF(O41&gt;0,O41-(TBIcalc!$Q$9),""),"")</f>
        <v>1.7988999999999999</v>
      </c>
      <c r="Q41" s="278">
        <f>IFERROR(INDEX('Ashed teabags dry'!$K$2:$K$825,MATCH(J41,'Ashed teabags dry'!$A$2:$A$825,0)),"")</f>
        <v>6.6945606694563358</v>
      </c>
      <c r="R41" s="278">
        <f t="shared" si="2"/>
        <v>1.6784715481171499</v>
      </c>
      <c r="S41" s="268">
        <f>'Dry_Litterbag Placem_Collection'!E42</f>
        <v>42938</v>
      </c>
      <c r="T41" s="268">
        <f>IF('Dry_Litterbag Placem_Collection'!G42="","",'Dry_Litterbag Placem_Collection'!G42)</f>
        <v>43005</v>
      </c>
      <c r="U41" s="269">
        <f t="shared" si="0"/>
        <v>67</v>
      </c>
      <c r="V41" s="267">
        <f t="shared" si="3"/>
        <v>0.10629999999999984</v>
      </c>
      <c r="W41" s="267">
        <f t="shared" si="4"/>
        <v>0.12166113620709562</v>
      </c>
      <c r="X41" s="271">
        <f>IFERROR(INDEX(Rainfall_Dry!$O$2:$O$217,MATCH(B41, Rainfall_Dry!$A$2:$A$217,0)),"")</f>
        <v>6.5250000359999998</v>
      </c>
      <c r="Y41" s="260">
        <v>23.96</v>
      </c>
      <c r="Z41" s="260">
        <v>0.91999999999999804</v>
      </c>
      <c r="AA41" s="260">
        <v>75.12</v>
      </c>
      <c r="AB41" s="261" t="s">
        <v>2670</v>
      </c>
      <c r="AC41" s="260">
        <v>1.2493839329719072</v>
      </c>
      <c r="AD41">
        <f>IF('WetLitterbags placem_collection'!AB42="","",'WetLitterbags placem_collection'!AB42)</f>
        <v>8.6999999999999993</v>
      </c>
      <c r="AE41">
        <f>IF('WetLitterbags placem_collection'!Z42="","",'WetLitterbags placem_collection'!Z42)</f>
        <v>19.3</v>
      </c>
      <c r="AF41" s="246" t="str">
        <f>IF('WetLitterbags placem_collection'!AA42="","",'WetLitterbags placem_collection'!AA42)</f>
        <v>G</v>
      </c>
      <c r="AG41">
        <f>IF('WetLitterbags placem_collection'!AC42="","",'WetLitterbags placem_collection'!AC42)</f>
        <v>0</v>
      </c>
      <c r="AH41">
        <f>IFERROR(AVERAGE('Dry_Litterbag Placem_Collection'!O42,'Dry_Litterbag Placem_Collection'!R42),"")</f>
        <v>4.5999999999999996</v>
      </c>
      <c r="AI41" s="271">
        <f>IFERROR(AVERAGE('Dry_Litterbag Placem_Collection'!N42,'Dry_Litterbag Placem_Collection'!Q42),"")</f>
        <v>26.2</v>
      </c>
      <c r="AJ41" s="270">
        <f>INDEX(Coordinates!$B$2:$B$197,MATCH(G41,Coordinates!$J$2:$J$197,0))</f>
        <v>-3.4091539590000002</v>
      </c>
      <c r="AK41" s="270">
        <f>INDEX(Coordinates!$C$2:$C$197,MATCH(G41,Coordinates!$J$2:$J$197,0))</f>
        <v>34.852755029999997</v>
      </c>
      <c r="AL41" s="270" t="str">
        <f>IF(ISNUMBER(SEARCH("C", 'Dry_Litterbag Placem_Collection'!S42)),"YES","NO")</f>
        <v>YES</v>
      </c>
      <c r="AM41" s="270" t="str">
        <f>IF(ISNUMBER(SEARCH("H", 'Dry_Litterbag Placem_Collection'!S42)),"YES","NO")</f>
        <v>YES</v>
      </c>
      <c r="AN41" s="270" t="str">
        <f>IF(ISNUMBER(SEARCH("R", 'Dry_Litterbag Placem_Collection'!S42)),"YES","NO")</f>
        <v>NO</v>
      </c>
    </row>
    <row r="42" spans="1:40">
      <c r="A42" s="262" t="s">
        <v>2659</v>
      </c>
      <c r="B42" s="263">
        <f>'Dry_Litterbag Placem_Collection'!A43</f>
        <v>41</v>
      </c>
      <c r="C42" s="263" t="str">
        <f>'Dry_Litterbag Placem_Collection'!B43</f>
        <v>Makao</v>
      </c>
      <c r="D42" s="263" t="s">
        <v>2659</v>
      </c>
      <c r="E42" s="263" t="s">
        <v>20</v>
      </c>
      <c r="F42" s="263">
        <v>2</v>
      </c>
      <c r="G42" s="264" t="str">
        <f>'Dry_Litterbag Placem_Collection'!C43</f>
        <v>Dry_P2_T1</v>
      </c>
      <c r="H42" s="265" t="s">
        <v>2541</v>
      </c>
      <c r="I42" s="266" t="s">
        <v>1147</v>
      </c>
      <c r="J42" s="263" t="str">
        <f>IF(ISBLANK('Dry_Litterbag Placem_Collection'!J43),"","G"&amp;""&amp;'Dry_Litterbag Placem_Collection'!J43)</f>
        <v>G256</v>
      </c>
      <c r="K42" s="267">
        <f>IFERROR(INDEX('Green_rooibos initial weight'!$C$5:$C$1749,MATCH(J42, 'Green_rooibos initial weight'!$A$5:$A$1749,0)),"")</f>
        <v>2.11</v>
      </c>
      <c r="L42" s="267">
        <f>IFERROR(K42-(TBIcalc!$Q$9+TBIcalc!$Q$10),"")</f>
        <v>1.8601999999999999</v>
      </c>
      <c r="M42" s="391">
        <f>AVERAGE(Ashed_controlls!$K$2:$K$11)</f>
        <v>5.5147656768714146</v>
      </c>
      <c r="N42" s="267">
        <f t="shared" si="1"/>
        <v>1.7576143288788377</v>
      </c>
      <c r="O42" s="267">
        <f>IF(IFERROR(INDEX('Both teabags AfterDry'!$D$3:$D$900,MATCH(J42,'Both teabags AfterDry'!$A$3:$A$900,0)),"")="","",(IFERROR(INDEX('Both teabags AfterDry'!$D$3:$D$900,MATCH(J42,'Both teabags AfterDry'!$A$3:$A$900,0)),"")))</f>
        <v>1.6208</v>
      </c>
      <c r="P42" s="267">
        <f>IFERROR(IF(O42&gt;0,O42-(TBIcalc!$Q$9),""),"")</f>
        <v>1.4702</v>
      </c>
      <c r="Q42" s="278">
        <f>IFERROR(INDEX('Ashed teabags dry'!$K$2:$K$825,MATCH(J42,'Ashed teabags dry'!$A$2:$A$825,0)),"")</f>
        <v>6.3627730294394693</v>
      </c>
      <c r="R42" s="278">
        <f t="shared" si="2"/>
        <v>1.376654510921181</v>
      </c>
      <c r="S42" s="268">
        <f>'Dry_Litterbag Placem_Collection'!E43</f>
        <v>42938</v>
      </c>
      <c r="T42" s="268">
        <f>IF('Dry_Litterbag Placem_Collection'!G43="","",'Dry_Litterbag Placem_Collection'!G43)</f>
        <v>43005</v>
      </c>
      <c r="U42" s="269">
        <f t="shared" si="0"/>
        <v>67</v>
      </c>
      <c r="V42" s="267">
        <f t="shared" si="3"/>
        <v>0.3899999999999999</v>
      </c>
      <c r="W42" s="267">
        <f t="shared" si="4"/>
        <v>0.38095981795765677</v>
      </c>
      <c r="X42" s="271">
        <f>IFERROR(INDEX(Rainfall_Dry!$O$2:$O$217,MATCH(B42, Rainfall_Dry!$A$2:$A$217,0)),"")</f>
        <v>6.5250000359999998</v>
      </c>
      <c r="Y42" s="260">
        <v>19.96</v>
      </c>
      <c r="Z42" s="260">
        <v>4.9199999999999982</v>
      </c>
      <c r="AA42" s="260">
        <v>75.12</v>
      </c>
      <c r="AB42" s="261" t="s">
        <v>2671</v>
      </c>
      <c r="AC42" s="260">
        <v>1.641498275012321</v>
      </c>
      <c r="AD42">
        <f>IF('WetLitterbags placem_collection'!AB43="","",'WetLitterbags placem_collection'!AB43)</f>
        <v>4</v>
      </c>
      <c r="AE42">
        <f>IF('WetLitterbags placem_collection'!Z43="","",'WetLitterbags placem_collection'!Z43)</f>
        <v>19.100000000000001</v>
      </c>
      <c r="AF42" s="246" t="str">
        <f>IF('WetLitterbags placem_collection'!AA43="","",'WetLitterbags placem_collection'!AA43)</f>
        <v>G</v>
      </c>
      <c r="AG42">
        <f>IF('WetLitterbags placem_collection'!AC43="","",'WetLitterbags placem_collection'!AC43)</f>
        <v>0</v>
      </c>
      <c r="AH42">
        <f>IFERROR(AVERAGE('Dry_Litterbag Placem_Collection'!O43,'Dry_Litterbag Placem_Collection'!R43),"")</f>
        <v>4.6500000000000004</v>
      </c>
      <c r="AI42" s="271">
        <f>IFERROR(AVERAGE('Dry_Litterbag Placem_Collection'!N43,'Dry_Litterbag Placem_Collection'!Q43),"")</f>
        <v>27.85</v>
      </c>
      <c r="AJ42" s="270">
        <f>INDEX(Coordinates!$B$2:$B$197,MATCH(G42,Coordinates!$J$2:$J$197,0))</f>
        <v>-3.4083420040000001</v>
      </c>
      <c r="AK42" s="270">
        <f>INDEX(Coordinates!$C$2:$C$197,MATCH(G42,Coordinates!$J$2:$J$197,0))</f>
        <v>34.850283040000001</v>
      </c>
      <c r="AL42" s="270" t="str">
        <f>IF(ISNUMBER(SEARCH("C", 'Dry_Litterbag Placem_Collection'!S43)),"YES","NO")</f>
        <v>NO</v>
      </c>
      <c r="AM42" s="270" t="str">
        <f>IF(ISNUMBER(SEARCH("H", 'Dry_Litterbag Placem_Collection'!S43)),"YES","NO")</f>
        <v>YES</v>
      </c>
      <c r="AN42" s="270" t="str">
        <f>IF(ISNUMBER(SEARCH("R", 'Dry_Litterbag Placem_Collection'!S43)),"YES","NO")</f>
        <v>NO</v>
      </c>
    </row>
    <row r="43" spans="1:40">
      <c r="A43" s="262" t="s">
        <v>2659</v>
      </c>
      <c r="B43" s="263">
        <f>'Dry_Litterbag Placem_Collection'!A44</f>
        <v>42</v>
      </c>
      <c r="C43" s="263" t="str">
        <f>'Dry_Litterbag Placem_Collection'!B44</f>
        <v>Makao</v>
      </c>
      <c r="D43" s="263" t="s">
        <v>2659</v>
      </c>
      <c r="E43" s="263" t="s">
        <v>20</v>
      </c>
      <c r="F43" s="263">
        <v>2</v>
      </c>
      <c r="G43" s="264" t="str">
        <f>'Dry_Litterbag Placem_Collection'!C44</f>
        <v>Dry_P2_T2</v>
      </c>
      <c r="H43" s="265" t="s">
        <v>2541</v>
      </c>
      <c r="I43" s="266" t="s">
        <v>1147</v>
      </c>
      <c r="J43" s="263" t="str">
        <f>IF(ISBLANK('Dry_Litterbag Placem_Collection'!J44),"","G"&amp;""&amp;'Dry_Litterbag Placem_Collection'!J44)</f>
        <v>G341</v>
      </c>
      <c r="K43" s="267">
        <f>IFERROR(INDEX('Green_rooibos initial weight'!$C$5:$C$1749,MATCH(J43, 'Green_rooibos initial weight'!$A$5:$A$1749,0)),"")</f>
        <v>1.954</v>
      </c>
      <c r="L43" s="267">
        <f>IFERROR(K43-(TBIcalc!$Q$9+TBIcalc!$Q$10),"")</f>
        <v>1.7041999999999999</v>
      </c>
      <c r="M43" s="391">
        <f>AVERAGE(Ashed_controlls!$K$2:$K$11)</f>
        <v>5.5147656768714146</v>
      </c>
      <c r="N43" s="267">
        <f t="shared" si="1"/>
        <v>1.6102173633347574</v>
      </c>
      <c r="O43" s="267">
        <f>IF(IFERROR(INDEX('Both teabags AfterDry'!$D$3:$D$900,MATCH(J43,'Both teabags AfterDry'!$A$3:$A$900,0)),"")="","",(IFERROR(INDEX('Both teabags AfterDry'!$D$3:$D$900,MATCH(J43,'Both teabags AfterDry'!$A$3:$A$900,0)),"")))</f>
        <v>1.7267999999999999</v>
      </c>
      <c r="P43" s="267">
        <f>IFERROR(IF(O43&gt;0,O43-(TBIcalc!$Q$9),""),"")</f>
        <v>1.5761999999999998</v>
      </c>
      <c r="Q43" s="278">
        <f>IFERROR(INDEX('Ashed teabags dry'!$K$2:$K$825,MATCH(J43,'Ashed teabags dry'!$A$2:$A$825,0)),"")</f>
        <v>7.1704594246447426</v>
      </c>
      <c r="R43" s="278">
        <f t="shared" si="2"/>
        <v>1.4631792185487493</v>
      </c>
      <c r="S43" s="268">
        <f>'Dry_Litterbag Placem_Collection'!E44</f>
        <v>42938</v>
      </c>
      <c r="T43" s="268">
        <f>IF('Dry_Litterbag Placem_Collection'!G44="","",'Dry_Litterbag Placem_Collection'!G44)</f>
        <v>43005</v>
      </c>
      <c r="U43" s="269">
        <f t="shared" si="0"/>
        <v>67</v>
      </c>
      <c r="V43" s="267">
        <f t="shared" si="3"/>
        <v>0.12800000000000011</v>
      </c>
      <c r="W43" s="267">
        <f t="shared" si="4"/>
        <v>0.14703814478600807</v>
      </c>
      <c r="X43" s="271">
        <f>IFERROR(INDEX(Rainfall_Dry!$O$2:$O$217,MATCH(B43, Rainfall_Dry!$A$2:$A$217,0)),"")</f>
        <v>6.5250000359999998</v>
      </c>
      <c r="Y43" s="260">
        <v>19.96</v>
      </c>
      <c r="Z43" s="260">
        <v>4.9199999999999982</v>
      </c>
      <c r="AA43" s="260">
        <v>75.12</v>
      </c>
      <c r="AB43" s="261" t="s">
        <v>2671</v>
      </c>
      <c r="AC43" s="260">
        <v>1.641498275012321</v>
      </c>
      <c r="AD43">
        <f>IF('WetLitterbags placem_collection'!AB44="","",'WetLitterbags placem_collection'!AB44)</f>
        <v>5.9</v>
      </c>
      <c r="AE43">
        <f>IF('WetLitterbags placem_collection'!Z44="","",'WetLitterbags placem_collection'!Z44)</f>
        <v>12.7</v>
      </c>
      <c r="AF43" s="246" t="str">
        <f>IF('WetLitterbags placem_collection'!AA44="","",'WetLitterbags placem_collection'!AA44)</f>
        <v>G</v>
      </c>
      <c r="AG43">
        <f>IF('WetLitterbags placem_collection'!AC44="","",'WetLitterbags placem_collection'!AC44)</f>
        <v>0</v>
      </c>
      <c r="AH43">
        <f>IFERROR(AVERAGE('Dry_Litterbag Placem_Collection'!O44,'Dry_Litterbag Placem_Collection'!R44),"")</f>
        <v>5.1999999999999993</v>
      </c>
      <c r="AI43" s="271">
        <f>IFERROR(AVERAGE('Dry_Litterbag Placem_Collection'!N44,'Dry_Litterbag Placem_Collection'!Q44),"")</f>
        <v>27.15</v>
      </c>
      <c r="AJ43" s="270">
        <f>INDEX(Coordinates!$B$2:$B$197,MATCH(G43,Coordinates!$J$2:$J$197,0))</f>
        <v>-3.4084079690000002</v>
      </c>
      <c r="AK43" s="270">
        <f>INDEX(Coordinates!$C$2:$C$197,MATCH(G43,Coordinates!$J$2:$J$197,0))</f>
        <v>34.850295029999998</v>
      </c>
      <c r="AL43" s="270" t="str">
        <f>IF(ISNUMBER(SEARCH("C", 'Dry_Litterbag Placem_Collection'!S44)),"YES","NO")</f>
        <v>YES</v>
      </c>
      <c r="AM43" s="270" t="str">
        <f>IF(ISNUMBER(SEARCH("H", 'Dry_Litterbag Placem_Collection'!S44)),"YES","NO")</f>
        <v>YES</v>
      </c>
      <c r="AN43" s="270" t="str">
        <f>IF(ISNUMBER(SEARCH("R", 'Dry_Litterbag Placem_Collection'!S44)),"YES","NO")</f>
        <v>NO</v>
      </c>
    </row>
    <row r="44" spans="1:40">
      <c r="A44" s="262" t="s">
        <v>2659</v>
      </c>
      <c r="B44" s="263">
        <f>'Dry_Litterbag Placem_Collection'!A45</f>
        <v>43</v>
      </c>
      <c r="C44" s="263" t="str">
        <f>'Dry_Litterbag Placem_Collection'!B45</f>
        <v>Makao</v>
      </c>
      <c r="D44" s="263" t="s">
        <v>2659</v>
      </c>
      <c r="E44" s="263" t="s">
        <v>20</v>
      </c>
      <c r="F44" s="263">
        <v>2</v>
      </c>
      <c r="G44" s="264" t="str">
        <f>'Dry_Litterbag Placem_Collection'!C45</f>
        <v>Dry_P2_T3</v>
      </c>
      <c r="H44" s="265" t="s">
        <v>2541</v>
      </c>
      <c r="I44" s="266" t="s">
        <v>1147</v>
      </c>
      <c r="J44" s="263" t="str">
        <f>IF(ISBLANK('Dry_Litterbag Placem_Collection'!J45),"","G"&amp;""&amp;'Dry_Litterbag Placem_Collection'!J45)</f>
        <v>G246</v>
      </c>
      <c r="K44" s="267">
        <f>IFERROR(INDEX('Green_rooibos initial weight'!$C$5:$C$1749,MATCH(J44, 'Green_rooibos initial weight'!$A$5:$A$1749,0)),"")</f>
        <v>2.1829999999999998</v>
      </c>
      <c r="L44" s="267">
        <f>IFERROR(K44-(TBIcalc!$Q$9+TBIcalc!$Q$10),"")</f>
        <v>1.9331999999999998</v>
      </c>
      <c r="M44" s="391">
        <f>AVERAGE(Ashed_controlls!$K$2:$K$11)</f>
        <v>5.5147656768714146</v>
      </c>
      <c r="N44" s="267">
        <f t="shared" si="1"/>
        <v>1.8265885499347216</v>
      </c>
      <c r="O44" s="267">
        <f>IF(IFERROR(INDEX('Both teabags AfterDry'!$D$3:$D$900,MATCH(J44,'Both teabags AfterDry'!$A$3:$A$900,0)),"")="","",(IFERROR(INDEX('Both teabags AfterDry'!$D$3:$D$900,MATCH(J44,'Both teabags AfterDry'!$A$3:$A$900,0)),"")))</f>
        <v>1.9577</v>
      </c>
      <c r="P44" s="267">
        <f>IFERROR(IF(O44&gt;0,O44-(TBIcalc!$Q$9),""),"")</f>
        <v>1.8070999999999999</v>
      </c>
      <c r="Q44" s="278">
        <f>IFERROR(INDEX('Ashed teabags dry'!$K$2:$K$825,MATCH(J44,'Ashed teabags dry'!$A$2:$A$825,0)),"")</f>
        <v>8.1468218442253786</v>
      </c>
      <c r="R44" s="278">
        <f t="shared" si="2"/>
        <v>1.6598787824530032</v>
      </c>
      <c r="S44" s="268">
        <f>'Dry_Litterbag Placem_Collection'!E45</f>
        <v>42938</v>
      </c>
      <c r="T44" s="268">
        <f>IF('Dry_Litterbag Placem_Collection'!G45="","",'Dry_Litterbag Placem_Collection'!G45)</f>
        <v>43005</v>
      </c>
      <c r="U44" s="269">
        <f t="shared" si="0"/>
        <v>67</v>
      </c>
      <c r="V44" s="267">
        <f t="shared" si="3"/>
        <v>0.12609999999999988</v>
      </c>
      <c r="W44" s="267">
        <f t="shared" si="4"/>
        <v>0.1667097674817184</v>
      </c>
      <c r="X44" s="271">
        <f>IFERROR(INDEX(Rainfall_Dry!$O$2:$O$217,MATCH(B44, Rainfall_Dry!$A$2:$A$217,0)),"")</f>
        <v>6.5250000359999998</v>
      </c>
      <c r="Y44" s="260">
        <v>19.96</v>
      </c>
      <c r="Z44" s="260">
        <v>4.9199999999999982</v>
      </c>
      <c r="AA44" s="260">
        <v>75.12</v>
      </c>
      <c r="AB44" s="261" t="s">
        <v>2671</v>
      </c>
      <c r="AC44" s="260">
        <v>1.641498275012321</v>
      </c>
      <c r="AD44">
        <f>IF('WetLitterbags placem_collection'!AB45="","",'WetLitterbags placem_collection'!AB45)</f>
        <v>5</v>
      </c>
      <c r="AE44">
        <f>IF('WetLitterbags placem_collection'!Z45="","",'WetLitterbags placem_collection'!Z45)</f>
        <v>26.3</v>
      </c>
      <c r="AF44" s="246" t="str">
        <f>IF('WetLitterbags placem_collection'!AA45="","",'WetLitterbags placem_collection'!AA45)</f>
        <v>G</v>
      </c>
      <c r="AG44">
        <f>IF('WetLitterbags placem_collection'!AC45="","",'WetLitterbags placem_collection'!AC45)</f>
        <v>0</v>
      </c>
      <c r="AH44">
        <f>IFERROR(AVERAGE('Dry_Litterbag Placem_Collection'!O45,'Dry_Litterbag Placem_Collection'!R45),"")</f>
        <v>2.4500000000000002</v>
      </c>
      <c r="AI44" s="271">
        <f>IFERROR(AVERAGE('Dry_Litterbag Placem_Collection'!N45,'Dry_Litterbag Placem_Collection'!Q45),"")</f>
        <v>26.1</v>
      </c>
      <c r="AJ44" s="270">
        <f>INDEX(Coordinates!$B$2:$B$197,MATCH(G44,Coordinates!$J$2:$J$197,0))</f>
        <v>-3.4082369789999998</v>
      </c>
      <c r="AK44" s="270">
        <f>INDEX(Coordinates!$C$2:$C$197,MATCH(G44,Coordinates!$J$2:$J$197,0))</f>
        <v>34.850189999999998</v>
      </c>
      <c r="AL44" s="270" t="str">
        <f>IF(ISNUMBER(SEARCH("C", 'Dry_Litterbag Placem_Collection'!S45)),"YES","NO")</f>
        <v>YES</v>
      </c>
      <c r="AM44" s="270" t="str">
        <f>IF(ISNUMBER(SEARCH("H", 'Dry_Litterbag Placem_Collection'!S45)),"YES","NO")</f>
        <v>YES</v>
      </c>
      <c r="AN44" s="270" t="str">
        <f>IF(ISNUMBER(SEARCH("R", 'Dry_Litterbag Placem_Collection'!S45)),"YES","NO")</f>
        <v>NO</v>
      </c>
    </row>
    <row r="45" spans="1:40">
      <c r="A45" s="262" t="s">
        <v>2659</v>
      </c>
      <c r="B45" s="263">
        <f>'Dry_Litterbag Placem_Collection'!A46</f>
        <v>44</v>
      </c>
      <c r="C45" s="263" t="str">
        <f>'Dry_Litterbag Placem_Collection'!B46</f>
        <v>Makao</v>
      </c>
      <c r="D45" s="263" t="s">
        <v>2659</v>
      </c>
      <c r="E45" s="263" t="s">
        <v>20</v>
      </c>
      <c r="F45" s="263">
        <v>2</v>
      </c>
      <c r="G45" s="264" t="str">
        <f>'Dry_Litterbag Placem_Collection'!C46</f>
        <v>Dry_P2_T4</v>
      </c>
      <c r="H45" s="265" t="s">
        <v>2541</v>
      </c>
      <c r="I45" s="266" t="s">
        <v>1147</v>
      </c>
      <c r="J45" s="263" t="str">
        <f>IF(ISBLANK('Dry_Litterbag Placem_Collection'!J46),"","G"&amp;""&amp;'Dry_Litterbag Placem_Collection'!J46)</f>
        <v>G115</v>
      </c>
      <c r="K45" s="267">
        <f>IFERROR(INDEX('Green_rooibos initial weight'!$C$5:$C$1749,MATCH(J45, 'Green_rooibos initial weight'!$A$5:$A$1749,0)),"")</f>
        <v>2.048</v>
      </c>
      <c r="L45" s="267">
        <f>IFERROR(K45-(TBIcalc!$Q$9+TBIcalc!$Q$10),"")</f>
        <v>1.7982</v>
      </c>
      <c r="M45" s="391">
        <f>AVERAGE(Ashed_controlls!$K$2:$K$11)</f>
        <v>5.5147656768714146</v>
      </c>
      <c r="N45" s="267">
        <f t="shared" si="1"/>
        <v>1.6990334835984982</v>
      </c>
      <c r="O45" s="267">
        <f>IF(IFERROR(INDEX('Both teabags AfterDry'!$D$3:$D$900,MATCH(J45,'Both teabags AfterDry'!$A$3:$A$900,0)),"")="","",(IFERROR(INDEX('Both teabags AfterDry'!$D$3:$D$900,MATCH(J45,'Both teabags AfterDry'!$A$3:$A$900,0)),"")))</f>
        <v>1.7069000000000001</v>
      </c>
      <c r="P45" s="267">
        <f>IFERROR(IF(O45&gt;0,O45-(TBIcalc!$Q$9),""),"")</f>
        <v>1.5563</v>
      </c>
      <c r="Q45" s="278">
        <f>IFERROR(INDEX('Ashed teabags dry'!$K$2:$K$825,MATCH(J45,'Ashed teabags dry'!$A$2:$A$825,0)),"")</f>
        <v>5.939159826170572</v>
      </c>
      <c r="R45" s="278">
        <f t="shared" si="2"/>
        <v>1.4638688556253074</v>
      </c>
      <c r="S45" s="268">
        <f>'Dry_Litterbag Placem_Collection'!E46</f>
        <v>42938</v>
      </c>
      <c r="T45" s="268">
        <f>IF('Dry_Litterbag Placem_Collection'!G46="","",'Dry_Litterbag Placem_Collection'!G46)</f>
        <v>43005</v>
      </c>
      <c r="U45" s="269">
        <f t="shared" si="0"/>
        <v>67</v>
      </c>
      <c r="V45" s="267">
        <f t="shared" si="3"/>
        <v>0.2419</v>
      </c>
      <c r="W45" s="267">
        <f t="shared" si="4"/>
        <v>0.23516462797319071</v>
      </c>
      <c r="X45" s="271">
        <f>IFERROR(INDEX(Rainfall_Dry!$O$2:$O$217,MATCH(B45, Rainfall_Dry!$A$2:$A$217,0)),"")</f>
        <v>6.5250000359999998</v>
      </c>
      <c r="Y45" s="260">
        <v>19.96</v>
      </c>
      <c r="Z45" s="260">
        <v>4.9199999999999982</v>
      </c>
      <c r="AA45" s="260">
        <v>75.12</v>
      </c>
      <c r="AB45" s="261" t="s">
        <v>2671</v>
      </c>
      <c r="AC45" s="260">
        <v>1.641498275012321</v>
      </c>
      <c r="AD45">
        <f>IF('WetLitterbags placem_collection'!AB46="","",'WetLitterbags placem_collection'!AB46)</f>
        <v>2.6</v>
      </c>
      <c r="AE45">
        <f>IF('WetLitterbags placem_collection'!Z46="","",'WetLitterbags placem_collection'!Z46)</f>
        <v>39.200000000000003</v>
      </c>
      <c r="AF45" s="246" t="str">
        <f>IF('WetLitterbags placem_collection'!AA46="","",'WetLitterbags placem_collection'!AA46)</f>
        <v>G</v>
      </c>
      <c r="AG45">
        <f>IF('WetLitterbags placem_collection'!AC46="","",'WetLitterbags placem_collection'!AC46)</f>
        <v>0</v>
      </c>
      <c r="AH45">
        <f>IFERROR(AVERAGE('Dry_Litterbag Placem_Collection'!O46,'Dry_Litterbag Placem_Collection'!R46),"")</f>
        <v>3.8499999999999996</v>
      </c>
      <c r="AI45" s="271">
        <f>IFERROR(AVERAGE('Dry_Litterbag Placem_Collection'!N46,'Dry_Litterbag Placem_Collection'!Q46),"")</f>
        <v>26.5</v>
      </c>
      <c r="AJ45" s="270">
        <f>INDEX(Coordinates!$B$2:$B$197,MATCH(G45,Coordinates!$J$2:$J$197,0))</f>
        <v>-3.4081529920000002</v>
      </c>
      <c r="AK45" s="270">
        <f>INDEX(Coordinates!$C$2:$C$197,MATCH(G45,Coordinates!$J$2:$J$197,0))</f>
        <v>34.850168959999998</v>
      </c>
      <c r="AL45" s="270" t="str">
        <f>IF(ISNUMBER(SEARCH("C", 'Dry_Litterbag Placem_Collection'!S46)),"YES","NO")</f>
        <v>NO</v>
      </c>
      <c r="AM45" s="270" t="str">
        <f>IF(ISNUMBER(SEARCH("H", 'Dry_Litterbag Placem_Collection'!S46)),"YES","NO")</f>
        <v>NO</v>
      </c>
      <c r="AN45" s="270" t="str">
        <f>IF(ISNUMBER(SEARCH("R", 'Dry_Litterbag Placem_Collection'!S46)),"YES","NO")</f>
        <v>NO</v>
      </c>
    </row>
    <row r="46" spans="1:40">
      <c r="A46" s="262" t="s">
        <v>2659</v>
      </c>
      <c r="B46" s="263">
        <f>'Dry_Litterbag Placem_Collection'!A47</f>
        <v>45</v>
      </c>
      <c r="C46" s="263" t="str">
        <f>'Dry_Litterbag Placem_Collection'!B47</f>
        <v>Makao</v>
      </c>
      <c r="D46" s="263" t="s">
        <v>2659</v>
      </c>
      <c r="E46" s="263" t="s">
        <v>20</v>
      </c>
      <c r="F46" s="263">
        <v>2</v>
      </c>
      <c r="G46" s="264" t="str">
        <f>'Dry_Litterbag Placem_Collection'!C47</f>
        <v>Dry_P2_T5</v>
      </c>
      <c r="H46" s="265" t="s">
        <v>2541</v>
      </c>
      <c r="I46" s="266" t="s">
        <v>1147</v>
      </c>
      <c r="J46" s="263" t="str">
        <f>IF(ISBLANK('Dry_Litterbag Placem_Collection'!J47),"","G"&amp;""&amp;'Dry_Litterbag Placem_Collection'!J47)</f>
        <v>G480</v>
      </c>
      <c r="K46" s="267">
        <f>IFERROR(INDEX('Green_rooibos initial weight'!$C$5:$C$1749,MATCH(J46, 'Green_rooibos initial weight'!$A$5:$A$1749,0)),"")</f>
        <v>1.9850000000000001</v>
      </c>
      <c r="L46" s="267">
        <f>IFERROR(K46-(TBIcalc!$Q$9+TBIcalc!$Q$10),"")</f>
        <v>1.7352000000000001</v>
      </c>
      <c r="M46" s="391">
        <f>AVERAGE(Ashed_controlls!$K$2:$K$11)</f>
        <v>5.5147656768714146</v>
      </c>
      <c r="N46" s="267">
        <f t="shared" si="1"/>
        <v>1.6395077859749272</v>
      </c>
      <c r="O46" s="267" t="str">
        <f>IF(IFERROR(INDEX('Both teabags AfterDry'!$D$3:$D$900,MATCH(J46,'Both teabags AfterDry'!$A$3:$A$900,0)),"")="","",(IFERROR(INDEX('Both teabags AfterDry'!$D$3:$D$900,MATCH(J46,'Both teabags AfterDry'!$A$3:$A$900,0)),"")))</f>
        <v/>
      </c>
      <c r="P46" s="267" t="str">
        <f>IFERROR(IF(O46&gt;0,O46-(TBIcalc!$Q$9),""),"")</f>
        <v/>
      </c>
      <c r="Q46" s="278" t="str">
        <f>IFERROR(INDEX('Ashed teabags dry'!$K$2:$K$825,MATCH(J46,'Ashed teabags dry'!$A$2:$A$825,0)),"")</f>
        <v/>
      </c>
      <c r="R46" s="278" t="str">
        <f t="shared" si="2"/>
        <v/>
      </c>
      <c r="S46" s="268">
        <f>'Dry_Litterbag Placem_Collection'!E47</f>
        <v>42938</v>
      </c>
      <c r="T46" s="268">
        <f>IF('Dry_Litterbag Placem_Collection'!G47="","",'Dry_Litterbag Placem_Collection'!G47)</f>
        <v>43005</v>
      </c>
      <c r="U46" s="269">
        <f t="shared" si="0"/>
        <v>67</v>
      </c>
      <c r="V46" s="267" t="str">
        <f t="shared" si="3"/>
        <v/>
      </c>
      <c r="W46" s="267" t="str">
        <f t="shared" si="4"/>
        <v/>
      </c>
      <c r="X46" s="271">
        <f>IFERROR(INDEX(Rainfall_Dry!$O$2:$O$217,MATCH(B46, Rainfall_Dry!$A$2:$A$217,0)),"")</f>
        <v>6.5250000359999998</v>
      </c>
      <c r="Y46" s="260">
        <v>19.96</v>
      </c>
      <c r="Z46" s="260">
        <v>4.9199999999999982</v>
      </c>
      <c r="AA46" s="260">
        <v>75.12</v>
      </c>
      <c r="AB46" s="261" t="s">
        <v>2671</v>
      </c>
      <c r="AC46" s="260">
        <v>1.641498275012321</v>
      </c>
      <c r="AD46">
        <f>IF('WetLitterbags placem_collection'!AB47="","",'WetLitterbags placem_collection'!AB47)</f>
        <v>2.2999999999999998</v>
      </c>
      <c r="AE46">
        <f>IF('WetLitterbags placem_collection'!Z47="","",'WetLitterbags placem_collection'!Z47)</f>
        <v>9.3000000000000007</v>
      </c>
      <c r="AF46" s="246" t="str">
        <f>IF('WetLitterbags placem_collection'!AA47="","",'WetLitterbags placem_collection'!AA47)</f>
        <v>O</v>
      </c>
      <c r="AG46">
        <f>IF('WetLitterbags placem_collection'!AC47="","",'WetLitterbags placem_collection'!AC47)</f>
        <v>0</v>
      </c>
      <c r="AH46">
        <f>IFERROR(AVERAGE('Dry_Litterbag Placem_Collection'!O47,'Dry_Litterbag Placem_Collection'!R47),"")</f>
        <v>4.0999999999999996</v>
      </c>
      <c r="AI46" s="271">
        <f>IFERROR(AVERAGE('Dry_Litterbag Placem_Collection'!N47,'Dry_Litterbag Placem_Collection'!Q47),"")</f>
        <v>27.25</v>
      </c>
      <c r="AJ46" s="270">
        <f>INDEX(Coordinates!$B$2:$B$197,MATCH(G46,Coordinates!$J$2:$J$197,0))</f>
        <v>-3.4081789759999999</v>
      </c>
      <c r="AK46" s="270">
        <f>INDEX(Coordinates!$C$2:$C$197,MATCH(G46,Coordinates!$J$2:$J$197,0))</f>
        <v>34.850516980000002</v>
      </c>
      <c r="AL46" s="270" t="str">
        <f>IF(ISNUMBER(SEARCH("C", 'Dry_Litterbag Placem_Collection'!S47)),"YES","NO")</f>
        <v>YES</v>
      </c>
      <c r="AM46" s="270" t="str">
        <f>IF(ISNUMBER(SEARCH("H", 'Dry_Litterbag Placem_Collection'!S47)),"YES","NO")</f>
        <v>YES</v>
      </c>
      <c r="AN46" s="270" t="str">
        <f>IF(ISNUMBER(SEARCH("R", 'Dry_Litterbag Placem_Collection'!S47)),"YES","NO")</f>
        <v>NO</v>
      </c>
    </row>
    <row r="47" spans="1:40">
      <c r="A47" s="262" t="s">
        <v>2659</v>
      </c>
      <c r="B47" s="263">
        <f>'Dry_Litterbag Placem_Collection'!A48</f>
        <v>46</v>
      </c>
      <c r="C47" s="263" t="str">
        <f>'Dry_Litterbag Placem_Collection'!B48</f>
        <v>Makao</v>
      </c>
      <c r="D47" s="263" t="s">
        <v>2659</v>
      </c>
      <c r="E47" s="263" t="s">
        <v>20</v>
      </c>
      <c r="F47" s="263">
        <v>2</v>
      </c>
      <c r="G47" s="264" t="str">
        <f>'Dry_Litterbag Placem_Collection'!C48</f>
        <v>Dry_P2_T6</v>
      </c>
      <c r="H47" s="265" t="s">
        <v>2541</v>
      </c>
      <c r="I47" s="266" t="s">
        <v>1147</v>
      </c>
      <c r="J47" s="263" t="str">
        <f>IF(ISBLANK('Dry_Litterbag Placem_Collection'!J48),"","G"&amp;""&amp;'Dry_Litterbag Placem_Collection'!J48)</f>
        <v/>
      </c>
      <c r="K47" s="267" t="str">
        <f>IFERROR(INDEX('Green_rooibos initial weight'!$C$5:$C$1749,MATCH(J47, 'Green_rooibos initial weight'!$A$5:$A$1749,0)),"")</f>
        <v/>
      </c>
      <c r="L47" s="267" t="str">
        <f>IFERROR(K47-(TBIcalc!$Q$9+TBIcalc!$Q$10),"")</f>
        <v/>
      </c>
      <c r="M47" s="391">
        <f>AVERAGE(Ashed_controlls!$K$2:$K$11)</f>
        <v>5.5147656768714146</v>
      </c>
      <c r="N47" s="267" t="str">
        <f t="shared" si="1"/>
        <v/>
      </c>
      <c r="O47" s="267" t="str">
        <f>IF(IFERROR(INDEX('Both teabags AfterDry'!$D$3:$D$900,MATCH(J47,'Both teabags AfterDry'!$A$3:$A$900,0)),"")="","",(IFERROR(INDEX('Both teabags AfterDry'!$D$3:$D$900,MATCH(J47,'Both teabags AfterDry'!$A$3:$A$900,0)),"")))</f>
        <v/>
      </c>
      <c r="P47" s="267" t="str">
        <f>IFERROR(IF(O47&gt;0,O47-(TBIcalc!$Q$9),""),"")</f>
        <v/>
      </c>
      <c r="Q47" s="278" t="str">
        <f>IFERROR(INDEX('Ashed teabags dry'!$K$2:$K$825,MATCH(J47,'Ashed teabags dry'!$A$2:$A$825,0)),"")</f>
        <v/>
      </c>
      <c r="R47" s="278" t="str">
        <f t="shared" si="2"/>
        <v/>
      </c>
      <c r="S47" s="268">
        <f>'Dry_Litterbag Placem_Collection'!E48</f>
        <v>0</v>
      </c>
      <c r="T47" s="268" t="str">
        <f>IF('Dry_Litterbag Placem_Collection'!G48="","",'Dry_Litterbag Placem_Collection'!G48)</f>
        <v/>
      </c>
      <c r="U47" s="269" t="str">
        <f t="shared" si="0"/>
        <v/>
      </c>
      <c r="V47" s="267" t="str">
        <f t="shared" si="3"/>
        <v/>
      </c>
      <c r="W47" s="267" t="str">
        <f t="shared" si="4"/>
        <v/>
      </c>
      <c r="X47" s="271" t="str">
        <f>IFERROR(INDEX(Rainfall_Dry!$O$2:$O$217,MATCH(B47, Rainfall_Dry!$A$2:$A$217,0)),"")</f>
        <v/>
      </c>
      <c r="Y47" s="260">
        <v>19.96</v>
      </c>
      <c r="Z47" s="260">
        <v>4.9199999999999982</v>
      </c>
      <c r="AA47" s="260">
        <v>75.12</v>
      </c>
      <c r="AB47" s="261" t="s">
        <v>2671</v>
      </c>
      <c r="AC47" s="260">
        <v>1.641498275012321</v>
      </c>
      <c r="AD47" t="str">
        <f>IF('WetLitterbags placem_collection'!AB48="","",'WetLitterbags placem_collection'!AB48)</f>
        <v/>
      </c>
      <c r="AE47" t="str">
        <f>IF('WetLitterbags placem_collection'!Z48="","",'WetLitterbags placem_collection'!Z48)</f>
        <v/>
      </c>
      <c r="AF47" s="246" t="str">
        <f>IF('WetLitterbags placem_collection'!AA48="","",'WetLitterbags placem_collection'!AA48)</f>
        <v/>
      </c>
      <c r="AG47" t="str">
        <f>IF('WetLitterbags placem_collection'!AC48="","",'WetLitterbags placem_collection'!AC48)</f>
        <v/>
      </c>
      <c r="AH47" t="str">
        <f>IFERROR(AVERAGE('Dry_Litterbag Placem_Collection'!O48,'Dry_Litterbag Placem_Collection'!R48),"")</f>
        <v/>
      </c>
      <c r="AI47" s="271" t="str">
        <f>IFERROR(AVERAGE('Dry_Litterbag Placem_Collection'!N48,'Dry_Litterbag Placem_Collection'!Q48),"")</f>
        <v/>
      </c>
      <c r="AJ47" s="270">
        <f>INDEX(Coordinates!$B$2:$B$197,MATCH(G47,Coordinates!$J$2:$J$197,0))</f>
        <v>-3.4084730130000001</v>
      </c>
      <c r="AK47" s="270">
        <f>INDEX(Coordinates!$C$2:$C$197,MATCH(G47,Coordinates!$J$2:$J$197,0))</f>
        <v>34.850401980000001</v>
      </c>
      <c r="AL47" s="270" t="str">
        <f>IF(ISNUMBER(SEARCH("C", 'Dry_Litterbag Placem_Collection'!S48)),"YES","NO")</f>
        <v>NO</v>
      </c>
      <c r="AM47" s="270" t="str">
        <f>IF(ISNUMBER(SEARCH("H", 'Dry_Litterbag Placem_Collection'!S48)),"YES","NO")</f>
        <v>NO</v>
      </c>
      <c r="AN47" s="270" t="str">
        <f>IF(ISNUMBER(SEARCH("R", 'Dry_Litterbag Placem_Collection'!S48)),"YES","NO")</f>
        <v>NO</v>
      </c>
    </row>
    <row r="48" spans="1:40">
      <c r="A48" s="262" t="s">
        <v>2659</v>
      </c>
      <c r="B48" s="263">
        <f>'Dry_Litterbag Placem_Collection'!A49</f>
        <v>47</v>
      </c>
      <c r="C48" s="263" t="str">
        <f>'Dry_Litterbag Placem_Collection'!B49</f>
        <v>Makao</v>
      </c>
      <c r="D48" s="263" t="s">
        <v>2659</v>
      </c>
      <c r="E48" s="263" t="s">
        <v>20</v>
      </c>
      <c r="F48" s="263">
        <v>2</v>
      </c>
      <c r="G48" s="264" t="str">
        <f>'Dry_Litterbag Placem_Collection'!C49</f>
        <v>Dry_P2_T7</v>
      </c>
      <c r="H48" s="265" t="s">
        <v>2541</v>
      </c>
      <c r="I48" s="266" t="s">
        <v>1147</v>
      </c>
      <c r="J48" s="263" t="str">
        <f>IF(ISBLANK('Dry_Litterbag Placem_Collection'!J49),"","G"&amp;""&amp;'Dry_Litterbag Placem_Collection'!J49)</f>
        <v>G110</v>
      </c>
      <c r="K48" s="267">
        <f>IFERROR(INDEX('Green_rooibos initial weight'!$C$5:$C$1749,MATCH(J48, 'Green_rooibos initial weight'!$A$5:$A$1749,0)),"")</f>
        <v>2.093</v>
      </c>
      <c r="L48" s="267">
        <f>IFERROR(K48-(TBIcalc!$Q$9+TBIcalc!$Q$10),"")</f>
        <v>1.8431999999999999</v>
      </c>
      <c r="M48" s="391">
        <f>AVERAGE(Ashed_controlls!$K$2:$K$11)</f>
        <v>5.5147656768714146</v>
      </c>
      <c r="N48" s="267">
        <f t="shared" si="1"/>
        <v>1.741551839043906</v>
      </c>
      <c r="O48" s="267">
        <f>IF(IFERROR(INDEX('Both teabags AfterDry'!$D$3:$D$900,MATCH(J48,'Both teabags AfterDry'!$A$3:$A$900,0)),"")="","",(IFERROR(INDEX('Both teabags AfterDry'!$D$3:$D$900,MATCH(J48,'Both teabags AfterDry'!$A$3:$A$900,0)),"")))</f>
        <v>1.8372999999999999</v>
      </c>
      <c r="P48" s="267">
        <f>IFERROR(IF(O48&gt;0,O48-(TBIcalc!$Q$9),""),"")</f>
        <v>1.6866999999999999</v>
      </c>
      <c r="Q48" s="278">
        <f>IFERROR(INDEX('Ashed teabags dry'!$K$2:$K$825,MATCH(J48,'Ashed teabags dry'!$A$2:$A$825,0)),"")</f>
        <v>6.3440422936146827</v>
      </c>
      <c r="R48" s="278">
        <f t="shared" si="2"/>
        <v>1.5796950386336011</v>
      </c>
      <c r="S48" s="268">
        <f>'Dry_Litterbag Placem_Collection'!E49</f>
        <v>42938</v>
      </c>
      <c r="T48" s="268">
        <f>IF('Dry_Litterbag Placem_Collection'!G49="","",'Dry_Litterbag Placem_Collection'!G49)</f>
        <v>43005</v>
      </c>
      <c r="U48" s="269">
        <f t="shared" si="0"/>
        <v>67</v>
      </c>
      <c r="V48" s="267">
        <f t="shared" si="3"/>
        <v>0.15650000000000008</v>
      </c>
      <c r="W48" s="267">
        <f t="shared" si="4"/>
        <v>0.16185680041030492</v>
      </c>
      <c r="X48" s="271">
        <f>IFERROR(INDEX(Rainfall_Dry!$O$2:$O$217,MATCH(B48, Rainfall_Dry!$A$2:$A$217,0)),"")</f>
        <v>6.5250000359999998</v>
      </c>
      <c r="Y48" s="260">
        <v>19.96</v>
      </c>
      <c r="Z48" s="260">
        <v>4.9199999999999982</v>
      </c>
      <c r="AA48" s="260">
        <v>75.12</v>
      </c>
      <c r="AB48" s="261" t="s">
        <v>2671</v>
      </c>
      <c r="AC48" s="260">
        <v>1.641498275012321</v>
      </c>
      <c r="AD48">
        <f>IF('WetLitterbags placem_collection'!AB49="","",'WetLitterbags placem_collection'!AB49)</f>
        <v>5.2</v>
      </c>
      <c r="AE48">
        <f>IF('WetLitterbags placem_collection'!Z49="","",'WetLitterbags placem_collection'!Z49)</f>
        <v>5.2</v>
      </c>
      <c r="AF48" s="246" t="str">
        <f>IF('WetLitterbags placem_collection'!AA49="","",'WetLitterbags placem_collection'!AA49)</f>
        <v>G</v>
      </c>
      <c r="AG48">
        <f>IF('WetLitterbags placem_collection'!AC49="","",'WetLitterbags placem_collection'!AC49)</f>
        <v>0</v>
      </c>
      <c r="AH48">
        <f>IFERROR(AVERAGE('Dry_Litterbag Placem_Collection'!O49,'Dry_Litterbag Placem_Collection'!R49),"")</f>
        <v>5.35</v>
      </c>
      <c r="AI48" s="271">
        <f>IFERROR(AVERAGE('Dry_Litterbag Placem_Collection'!N49,'Dry_Litterbag Placem_Collection'!Q49),"")</f>
        <v>26.4</v>
      </c>
      <c r="AJ48" s="270">
        <f>INDEX(Coordinates!$B$2:$B$197,MATCH(G48,Coordinates!$J$2:$J$197,0))</f>
        <v>-3.4084819820000001</v>
      </c>
      <c r="AK48" s="270">
        <f>INDEX(Coordinates!$C$2:$C$197,MATCH(G48,Coordinates!$J$2:$J$197,0))</f>
        <v>34.850024040000001</v>
      </c>
      <c r="AL48" s="270" t="str">
        <f>IF(ISNUMBER(SEARCH("C", 'Dry_Litterbag Placem_Collection'!S49)),"YES","NO")</f>
        <v>NO</v>
      </c>
      <c r="AM48" s="270" t="str">
        <f>IF(ISNUMBER(SEARCH("H", 'Dry_Litterbag Placem_Collection'!S49)),"YES","NO")</f>
        <v>NO</v>
      </c>
      <c r="AN48" s="270" t="str">
        <f>IF(ISNUMBER(SEARCH("R", 'Dry_Litterbag Placem_Collection'!S49)),"YES","NO")</f>
        <v>NO</v>
      </c>
    </row>
    <row r="49" spans="1:40">
      <c r="A49" s="262" t="s">
        <v>2659</v>
      </c>
      <c r="B49" s="263">
        <f>'Dry_Litterbag Placem_Collection'!A50</f>
        <v>48</v>
      </c>
      <c r="C49" s="263" t="str">
        <f>'Dry_Litterbag Placem_Collection'!B50</f>
        <v>Makao</v>
      </c>
      <c r="D49" s="263" t="s">
        <v>2659</v>
      </c>
      <c r="E49" s="263" t="s">
        <v>20</v>
      </c>
      <c r="F49" s="263">
        <v>2</v>
      </c>
      <c r="G49" s="264" t="str">
        <f>'Dry_Litterbag Placem_Collection'!C50</f>
        <v>Dry_P2_T8</v>
      </c>
      <c r="H49" s="265" t="s">
        <v>2541</v>
      </c>
      <c r="I49" s="266" t="s">
        <v>1147</v>
      </c>
      <c r="J49" s="263" t="str">
        <f>IF(ISBLANK('Dry_Litterbag Placem_Collection'!J50),"","G"&amp;""&amp;'Dry_Litterbag Placem_Collection'!J50)</f>
        <v>G233</v>
      </c>
      <c r="K49" s="267">
        <f>IFERROR(INDEX('Green_rooibos initial weight'!$C$5:$C$1749,MATCH(J49, 'Green_rooibos initial weight'!$A$5:$A$1749,0)),"")</f>
        <v>1.9490000000000001</v>
      </c>
      <c r="L49" s="267">
        <f>IFERROR(K49-(TBIcalc!$Q$9+TBIcalc!$Q$10),"")</f>
        <v>1.6992</v>
      </c>
      <c r="M49" s="391">
        <f>AVERAGE(Ashed_controlls!$K$2:$K$11)</f>
        <v>5.5147656768714146</v>
      </c>
      <c r="N49" s="267">
        <f t="shared" si="1"/>
        <v>1.6054931016186009</v>
      </c>
      <c r="O49" s="267">
        <f>IF(IFERROR(INDEX('Both teabags AfterDry'!$D$3:$D$900,MATCH(J49,'Both teabags AfterDry'!$A$3:$A$900,0)),"")="","",(IFERROR(INDEX('Both teabags AfterDry'!$D$3:$D$900,MATCH(J49,'Both teabags AfterDry'!$A$3:$A$900,0)),"")))</f>
        <v>1.6727000000000001</v>
      </c>
      <c r="P49" s="267">
        <f>IFERROR(IF(O49&gt;0,O49-(TBIcalc!$Q$9),""),"")</f>
        <v>1.5221</v>
      </c>
      <c r="Q49" s="278">
        <f>IFERROR(INDEX('Ashed teabags dry'!$K$2:$K$825,MATCH(J49,'Ashed teabags dry'!$A$2:$A$825,0)),"")</f>
        <v>6.3352826510722657</v>
      </c>
      <c r="R49" s="278">
        <f t="shared" si="2"/>
        <v>1.4256706627680291</v>
      </c>
      <c r="S49" s="268">
        <f>'Dry_Litterbag Placem_Collection'!E50</f>
        <v>42938</v>
      </c>
      <c r="T49" s="268">
        <f>IF('Dry_Litterbag Placem_Collection'!G50="","",'Dry_Litterbag Placem_Collection'!G50)</f>
        <v>43005</v>
      </c>
      <c r="U49" s="269">
        <f t="shared" si="0"/>
        <v>67</v>
      </c>
      <c r="V49" s="267">
        <f t="shared" si="3"/>
        <v>0.17710000000000004</v>
      </c>
      <c r="W49" s="267">
        <f t="shared" si="4"/>
        <v>0.17982243885057181</v>
      </c>
      <c r="X49" s="271">
        <f>IFERROR(INDEX(Rainfall_Dry!$O$2:$O$217,MATCH(B49, Rainfall_Dry!$A$2:$A$217,0)),"")</f>
        <v>6.5250000359999998</v>
      </c>
      <c r="Y49" s="260">
        <v>19.96</v>
      </c>
      <c r="Z49" s="260">
        <v>4.9199999999999982</v>
      </c>
      <c r="AA49" s="260">
        <v>75.12</v>
      </c>
      <c r="AB49" s="261" t="s">
        <v>2671</v>
      </c>
      <c r="AC49" s="260">
        <v>1.641498275012321</v>
      </c>
      <c r="AD49">
        <f>IF('WetLitterbags placem_collection'!AB50="","",'WetLitterbags placem_collection'!AB50)</f>
        <v>7.3</v>
      </c>
      <c r="AE49">
        <f>IF('WetLitterbags placem_collection'!Z50="","",'WetLitterbags placem_collection'!Z50)</f>
        <v>27.2</v>
      </c>
      <c r="AF49" s="246" t="str">
        <f>IF('WetLitterbags placem_collection'!AA50="","",'WetLitterbags placem_collection'!AA50)</f>
        <v>M</v>
      </c>
      <c r="AG49">
        <f>IF('WetLitterbags placem_collection'!AC50="","",'WetLitterbags placem_collection'!AC50)</f>
        <v>0</v>
      </c>
      <c r="AH49">
        <f>IFERROR(AVERAGE('Dry_Litterbag Placem_Collection'!O50,'Dry_Litterbag Placem_Collection'!R50),"")</f>
        <v>3.95</v>
      </c>
      <c r="AI49" s="271">
        <f>IFERROR(AVERAGE('Dry_Litterbag Placem_Collection'!N50,'Dry_Litterbag Placem_Collection'!Q50),"")</f>
        <v>25.950000000000003</v>
      </c>
      <c r="AJ49" s="270">
        <f>INDEX(Coordinates!$B$2:$B$197,MATCH(G49,Coordinates!$J$2:$J$197,0))</f>
        <v>-3.4081990090000001</v>
      </c>
      <c r="AK49" s="270">
        <f>INDEX(Coordinates!$C$2:$C$197,MATCH(G49,Coordinates!$J$2:$J$197,0))</f>
        <v>34.850254960000001</v>
      </c>
      <c r="AL49" s="270" t="str">
        <f>IF(ISNUMBER(SEARCH("C", 'Dry_Litterbag Placem_Collection'!S50)),"YES","NO")</f>
        <v>NO</v>
      </c>
      <c r="AM49" s="270" t="str">
        <f>IF(ISNUMBER(SEARCH("H", 'Dry_Litterbag Placem_Collection'!S50)),"YES","NO")</f>
        <v>NO</v>
      </c>
      <c r="AN49" s="270" t="str">
        <f>IF(ISNUMBER(SEARCH("R", 'Dry_Litterbag Placem_Collection'!S50)),"YES","NO")</f>
        <v>NO</v>
      </c>
    </row>
    <row r="50" spans="1:40">
      <c r="A50" s="262" t="s">
        <v>2659</v>
      </c>
      <c r="B50" s="263">
        <f>'Dry_Litterbag Placem_Collection'!A51</f>
        <v>49</v>
      </c>
      <c r="C50" s="263" t="str">
        <f>'Dry_Litterbag Placem_Collection'!B51</f>
        <v>Makao</v>
      </c>
      <c r="D50" s="263" t="s">
        <v>2659</v>
      </c>
      <c r="E50" s="263" t="s">
        <v>20</v>
      </c>
      <c r="F50" s="263">
        <v>3</v>
      </c>
      <c r="G50" s="264" t="str">
        <f>'Dry_Litterbag Placem_Collection'!C51</f>
        <v>Dry_P3_T1</v>
      </c>
      <c r="H50" s="265" t="s">
        <v>2541</v>
      </c>
      <c r="I50" s="266" t="s">
        <v>1147</v>
      </c>
      <c r="J50" s="263" t="str">
        <f>IF(ISBLANK('Dry_Litterbag Placem_Collection'!J51),"","G"&amp;""&amp;'Dry_Litterbag Placem_Collection'!J51)</f>
        <v>G54</v>
      </c>
      <c r="K50" s="267">
        <f>IFERROR(INDEX('Green_rooibos initial weight'!$C$5:$C$1749,MATCH(J50, 'Green_rooibos initial weight'!$A$5:$A$1749,0)),"")</f>
        <v>2.0539999999999998</v>
      </c>
      <c r="L50" s="267">
        <f>IFERROR(K50-(TBIcalc!$Q$9+TBIcalc!$Q$10),"")</f>
        <v>1.8041999999999998</v>
      </c>
      <c r="M50" s="391">
        <f>AVERAGE(Ashed_controlls!$K$2:$K$11)</f>
        <v>5.5147656768714146</v>
      </c>
      <c r="N50" s="267">
        <f t="shared" si="1"/>
        <v>1.7047025976578858</v>
      </c>
      <c r="O50" s="267" t="str">
        <f>IF(IFERROR(INDEX('Both teabags AfterDry'!$D$3:$D$900,MATCH(J50,'Both teabags AfterDry'!$A$3:$A$900,0)),"")="","",(IFERROR(INDEX('Both teabags AfterDry'!$D$3:$D$900,MATCH(J50,'Both teabags AfterDry'!$A$3:$A$900,0)),"")))</f>
        <v/>
      </c>
      <c r="P50" s="267" t="str">
        <f>IFERROR(IF(O50&gt;0,O50-(TBIcalc!$Q$9),""),"")</f>
        <v/>
      </c>
      <c r="Q50" s="278" t="str">
        <f>IFERROR(INDEX('Ashed teabags dry'!$K$2:$K$825,MATCH(J50,'Ashed teabags dry'!$A$2:$A$825,0)),"")</f>
        <v/>
      </c>
      <c r="R50" s="278" t="str">
        <f t="shared" si="2"/>
        <v/>
      </c>
      <c r="S50" s="268">
        <f>'Dry_Litterbag Placem_Collection'!E51</f>
        <v>42938</v>
      </c>
      <c r="T50" s="268">
        <f>IF('Dry_Litterbag Placem_Collection'!G51="","",'Dry_Litterbag Placem_Collection'!G51)</f>
        <v>43005</v>
      </c>
      <c r="U50" s="269">
        <f t="shared" si="0"/>
        <v>67</v>
      </c>
      <c r="V50" s="267" t="str">
        <f t="shared" si="3"/>
        <v/>
      </c>
      <c r="W50" s="267" t="str">
        <f t="shared" si="4"/>
        <v/>
      </c>
      <c r="X50" s="271">
        <f>IFERROR(INDEX(Rainfall_Dry!$O$2:$O$217,MATCH(B50, Rainfall_Dry!$A$2:$A$217,0)),"")</f>
        <v>6.5250000359999998</v>
      </c>
      <c r="Y50" s="260">
        <v>21.96</v>
      </c>
      <c r="Z50" s="260">
        <v>8.9199999999999982</v>
      </c>
      <c r="AA50" s="260">
        <v>69.12</v>
      </c>
      <c r="AB50" s="261" t="s">
        <v>2670</v>
      </c>
      <c r="AC50" s="260">
        <v>1.7491375061606702</v>
      </c>
      <c r="AD50">
        <f>IF('WetLitterbags placem_collection'!AB51="","",'WetLitterbags placem_collection'!AB51)</f>
        <v>10.4</v>
      </c>
      <c r="AE50">
        <f>IF('WetLitterbags placem_collection'!Z51="","",'WetLitterbags placem_collection'!Z51)</f>
        <v>36</v>
      </c>
      <c r="AF50" s="246" t="str">
        <f>IF('WetLitterbags placem_collection'!AA51="","",'WetLitterbags placem_collection'!AA51)</f>
        <v>M</v>
      </c>
      <c r="AG50">
        <f>IF('WetLitterbags placem_collection'!AC51="","",'WetLitterbags placem_collection'!AC51)</f>
        <v>1</v>
      </c>
      <c r="AH50">
        <f>IFERROR(AVERAGE('Dry_Litterbag Placem_Collection'!O51,'Dry_Litterbag Placem_Collection'!R51),"")</f>
        <v>7.05</v>
      </c>
      <c r="AI50" s="271">
        <f>IFERROR(AVERAGE('Dry_Litterbag Placem_Collection'!N51,'Dry_Litterbag Placem_Collection'!Q51),"")</f>
        <v>31.5</v>
      </c>
      <c r="AJ50" s="270">
        <f>INDEX(Coordinates!$B$2:$B$197,MATCH(G50,Coordinates!$J$2:$J$197,0))</f>
        <v>-3.406225992</v>
      </c>
      <c r="AK50" s="270">
        <f>INDEX(Coordinates!$C$2:$C$197,MATCH(G50,Coordinates!$J$2:$J$197,0))</f>
        <v>34.85055998</v>
      </c>
      <c r="AL50" s="270" t="str">
        <f>IF(ISNUMBER(SEARCH("C", 'Dry_Litterbag Placem_Collection'!S51)),"YES","NO")</f>
        <v>NO</v>
      </c>
      <c r="AM50" s="270" t="str">
        <f>IF(ISNUMBER(SEARCH("H", 'Dry_Litterbag Placem_Collection'!S51)),"YES","NO")</f>
        <v>NO</v>
      </c>
      <c r="AN50" s="270" t="str">
        <f>IF(ISNUMBER(SEARCH("R", 'Dry_Litterbag Placem_Collection'!S51)),"YES","NO")</f>
        <v>NO</v>
      </c>
    </row>
    <row r="51" spans="1:40">
      <c r="A51" s="262" t="s">
        <v>2659</v>
      </c>
      <c r="B51" s="263">
        <f>'Dry_Litterbag Placem_Collection'!A52</f>
        <v>50</v>
      </c>
      <c r="C51" s="263" t="str">
        <f>'Dry_Litterbag Placem_Collection'!B52</f>
        <v>Makao</v>
      </c>
      <c r="D51" s="263" t="s">
        <v>2659</v>
      </c>
      <c r="E51" s="263" t="s">
        <v>20</v>
      </c>
      <c r="F51" s="263">
        <v>3</v>
      </c>
      <c r="G51" s="264" t="str">
        <f>'Dry_Litterbag Placem_Collection'!C52</f>
        <v>Dry_P3_T2</v>
      </c>
      <c r="H51" s="265" t="s">
        <v>2541</v>
      </c>
      <c r="I51" s="266" t="s">
        <v>1147</v>
      </c>
      <c r="J51" s="263" t="str">
        <f>IF(ISBLANK('Dry_Litterbag Placem_Collection'!J52),"","G"&amp;""&amp;'Dry_Litterbag Placem_Collection'!J52)</f>
        <v>G276</v>
      </c>
      <c r="K51" s="267">
        <f>IFERROR(INDEX('Green_rooibos initial weight'!$C$5:$C$1749,MATCH(J51, 'Green_rooibos initial weight'!$A$5:$A$1749,0)),"")</f>
        <v>1.966</v>
      </c>
      <c r="L51" s="267">
        <f>IFERROR(K51-(TBIcalc!$Q$9+TBIcalc!$Q$10),"")</f>
        <v>1.7161999999999999</v>
      </c>
      <c r="M51" s="391">
        <f>AVERAGE(Ashed_controlls!$K$2:$K$11)</f>
        <v>5.5147656768714146</v>
      </c>
      <c r="N51" s="267">
        <f t="shared" si="1"/>
        <v>1.6215555914535327</v>
      </c>
      <c r="O51" s="267" t="str">
        <f>IF(IFERROR(INDEX('Both teabags AfterDry'!$D$3:$D$900,MATCH(J51,'Both teabags AfterDry'!$A$3:$A$900,0)),"")="","",(IFERROR(INDEX('Both teabags AfterDry'!$D$3:$D$900,MATCH(J51,'Both teabags AfterDry'!$A$3:$A$900,0)),"")))</f>
        <v/>
      </c>
      <c r="P51" s="267" t="str">
        <f>IFERROR(IF(O51&gt;0,O51-(TBIcalc!$Q$9),""),"")</f>
        <v/>
      </c>
      <c r="Q51" s="278" t="str">
        <f>IFERROR(INDEX('Ashed teabags dry'!$K$2:$K$825,MATCH(J51,'Ashed teabags dry'!$A$2:$A$825,0)),"")</f>
        <v/>
      </c>
      <c r="R51" s="278" t="str">
        <f t="shared" si="2"/>
        <v/>
      </c>
      <c r="S51" s="268">
        <f>'Dry_Litterbag Placem_Collection'!E52</f>
        <v>42938</v>
      </c>
      <c r="T51" s="268" t="str">
        <f>IF('Dry_Litterbag Placem_Collection'!G52="","",'Dry_Litterbag Placem_Collection'!G52)</f>
        <v/>
      </c>
      <c r="U51" s="269" t="str">
        <f t="shared" si="0"/>
        <v/>
      </c>
      <c r="V51" s="267" t="str">
        <f t="shared" si="3"/>
        <v/>
      </c>
      <c r="W51" s="267" t="str">
        <f t="shared" si="4"/>
        <v/>
      </c>
      <c r="X51" s="271" t="str">
        <f>IFERROR(INDEX(Rainfall_Dry!$O$2:$O$217,MATCH(B51, Rainfall_Dry!$A$2:$A$217,0)),"")</f>
        <v/>
      </c>
      <c r="Y51" s="260">
        <v>21.96</v>
      </c>
      <c r="Z51" s="260">
        <v>8.9199999999999982</v>
      </c>
      <c r="AA51" s="260">
        <v>69.12</v>
      </c>
      <c r="AB51" s="261" t="s">
        <v>2670</v>
      </c>
      <c r="AC51" s="260">
        <v>1.7491375061606702</v>
      </c>
      <c r="AD51">
        <f>IF('WetLitterbags placem_collection'!AB52="","",'WetLitterbags placem_collection'!AB52)</f>
        <v>10</v>
      </c>
      <c r="AE51">
        <f>IF('WetLitterbags placem_collection'!Z52="","",'WetLitterbags placem_collection'!Z52)</f>
        <v>22.5</v>
      </c>
      <c r="AF51" s="246" t="str">
        <f>IF('WetLitterbags placem_collection'!AA52="","",'WetLitterbags placem_collection'!AA52)</f>
        <v>M</v>
      </c>
      <c r="AG51">
        <f>IF('WetLitterbags placem_collection'!AC52="","",'WetLitterbags placem_collection'!AC52)</f>
        <v>1</v>
      </c>
      <c r="AH51">
        <f>IFERROR(AVERAGE('Dry_Litterbag Placem_Collection'!O52,'Dry_Litterbag Placem_Collection'!R52),"")</f>
        <v>6.4</v>
      </c>
      <c r="AI51" s="271">
        <f>IFERROR(AVERAGE('Dry_Litterbag Placem_Collection'!N52,'Dry_Litterbag Placem_Collection'!Q52),"")</f>
        <v>27.6</v>
      </c>
      <c r="AJ51" s="270">
        <f>INDEX(Coordinates!$B$2:$B$197,MATCH(G51,Coordinates!$J$2:$J$197,0))</f>
        <v>-3.4062630399999998</v>
      </c>
      <c r="AK51" s="270">
        <f>INDEX(Coordinates!$C$2:$C$197,MATCH(G51,Coordinates!$J$2:$J$197,0))</f>
        <v>34.850566010000001</v>
      </c>
      <c r="AL51" s="270" t="str">
        <f>IF(ISNUMBER(SEARCH("C", 'Dry_Litterbag Placem_Collection'!S52)),"YES","NO")</f>
        <v>NO</v>
      </c>
      <c r="AM51" s="270" t="str">
        <f>IF(ISNUMBER(SEARCH("H", 'Dry_Litterbag Placem_Collection'!S52)),"YES","NO")</f>
        <v>NO</v>
      </c>
      <c r="AN51" s="270" t="str">
        <f>IF(ISNUMBER(SEARCH("R", 'Dry_Litterbag Placem_Collection'!S52)),"YES","NO")</f>
        <v>NO</v>
      </c>
    </row>
    <row r="52" spans="1:40">
      <c r="A52" s="262" t="s">
        <v>2659</v>
      </c>
      <c r="B52" s="263">
        <f>'Dry_Litterbag Placem_Collection'!A53</f>
        <v>51</v>
      </c>
      <c r="C52" s="263" t="str">
        <f>'Dry_Litterbag Placem_Collection'!B53</f>
        <v>Makao</v>
      </c>
      <c r="D52" s="263" t="s">
        <v>2659</v>
      </c>
      <c r="E52" s="263" t="s">
        <v>20</v>
      </c>
      <c r="F52" s="263">
        <v>3</v>
      </c>
      <c r="G52" s="264" t="str">
        <f>'Dry_Litterbag Placem_Collection'!C53</f>
        <v>Dry_P3_T3</v>
      </c>
      <c r="H52" s="265" t="s">
        <v>2541</v>
      </c>
      <c r="I52" s="266" t="s">
        <v>1147</v>
      </c>
      <c r="J52" s="263" t="str">
        <f>IF(ISBLANK('Dry_Litterbag Placem_Collection'!J53),"","G"&amp;""&amp;'Dry_Litterbag Placem_Collection'!J53)</f>
        <v>G227</v>
      </c>
      <c r="K52" s="267">
        <f>IFERROR(INDEX('Green_rooibos initial weight'!$C$5:$C$1749,MATCH(J52, 'Green_rooibos initial weight'!$A$5:$A$1749,0)),"")</f>
        <v>1.986</v>
      </c>
      <c r="L52" s="267">
        <f>IFERROR(K52-(TBIcalc!$Q$9+TBIcalc!$Q$10),"")</f>
        <v>1.7362</v>
      </c>
      <c r="M52" s="391">
        <f>AVERAGE(Ashed_controlls!$K$2:$K$11)</f>
        <v>5.5147656768714146</v>
      </c>
      <c r="N52" s="267">
        <f t="shared" si="1"/>
        <v>1.6404526383181586</v>
      </c>
      <c r="O52" s="267">
        <f>IF(IFERROR(INDEX('Both teabags AfterDry'!$D$3:$D$900,MATCH(J52,'Both teabags AfterDry'!$A$3:$A$900,0)),"")="","",(IFERROR(INDEX('Both teabags AfterDry'!$D$3:$D$900,MATCH(J52,'Both teabags AfterDry'!$A$3:$A$900,0)),"")))</f>
        <v>1.7715000000000001</v>
      </c>
      <c r="P52" s="267">
        <f>IFERROR(IF(O52&gt;0,O52-(TBIcalc!$Q$9),""),"")</f>
        <v>1.6209</v>
      </c>
      <c r="Q52" s="278">
        <f>IFERROR(INDEX('Ashed teabags dry'!$K$2:$K$825,MATCH(J52,'Ashed teabags dry'!$A$2:$A$825,0)),"")</f>
        <v>5.9108954565503948</v>
      </c>
      <c r="R52" s="278">
        <f t="shared" si="2"/>
        <v>1.5250902955447747</v>
      </c>
      <c r="S52" s="268">
        <f>'Dry_Litterbag Placem_Collection'!E53</f>
        <v>42938</v>
      </c>
      <c r="T52" s="268">
        <f>IF('Dry_Litterbag Placem_Collection'!G53="","",'Dry_Litterbag Placem_Collection'!G53)</f>
        <v>43005</v>
      </c>
      <c r="U52" s="269">
        <f t="shared" si="0"/>
        <v>67</v>
      </c>
      <c r="V52" s="267">
        <f t="shared" si="3"/>
        <v>0.11529999999999996</v>
      </c>
      <c r="W52" s="267">
        <f t="shared" si="4"/>
        <v>0.11536234277338386</v>
      </c>
      <c r="X52" s="271">
        <f>IFERROR(INDEX(Rainfall_Dry!$O$2:$O$217,MATCH(B52, Rainfall_Dry!$A$2:$A$217,0)),"")</f>
        <v>6.5250000359999998</v>
      </c>
      <c r="Y52" s="260">
        <v>21.96</v>
      </c>
      <c r="Z52" s="260">
        <v>8.9199999999999982</v>
      </c>
      <c r="AA52" s="260">
        <v>69.12</v>
      </c>
      <c r="AB52" s="261" t="s">
        <v>2670</v>
      </c>
      <c r="AC52" s="260">
        <v>1.7491375061606702</v>
      </c>
      <c r="AD52">
        <f>IF('WetLitterbags placem_collection'!AB53="","",'WetLitterbags placem_collection'!AB53)</f>
        <v>3</v>
      </c>
      <c r="AE52">
        <f>IF('WetLitterbags placem_collection'!Z53="","",'WetLitterbags placem_collection'!Z53)</f>
        <v>18</v>
      </c>
      <c r="AF52" s="246" t="str">
        <f>IF('WetLitterbags placem_collection'!AA53="","",'WetLitterbags placem_collection'!AA53)</f>
        <v>O</v>
      </c>
      <c r="AG52">
        <f>IF('WetLitterbags placem_collection'!AC53="","",'WetLitterbags placem_collection'!AC53)</f>
        <v>0</v>
      </c>
      <c r="AH52">
        <f>IFERROR(AVERAGE('Dry_Litterbag Placem_Collection'!O53,'Dry_Litterbag Placem_Collection'!R53),"")</f>
        <v>2.4500000000000002</v>
      </c>
      <c r="AI52" s="271">
        <f>IFERROR(AVERAGE('Dry_Litterbag Placem_Collection'!N53,'Dry_Litterbag Placem_Collection'!Q53),"")</f>
        <v>34.450000000000003</v>
      </c>
      <c r="AJ52" s="270">
        <f>INDEX(Coordinates!$B$2:$B$197,MATCH(G52,Coordinates!$J$2:$J$197,0))</f>
        <v>-3.4063920379999999</v>
      </c>
      <c r="AK52" s="270">
        <f>INDEX(Coordinates!$C$2:$C$197,MATCH(G52,Coordinates!$J$2:$J$197,0))</f>
        <v>34.850696020000001</v>
      </c>
      <c r="AL52" s="270" t="str">
        <f>IF(ISNUMBER(SEARCH("C", 'Dry_Litterbag Placem_Collection'!S53)),"YES","NO")</f>
        <v>NO</v>
      </c>
      <c r="AM52" s="270" t="str">
        <f>IF(ISNUMBER(SEARCH("H", 'Dry_Litterbag Placem_Collection'!S53)),"YES","NO")</f>
        <v>NO</v>
      </c>
      <c r="AN52" s="270" t="str">
        <f>IF(ISNUMBER(SEARCH("R", 'Dry_Litterbag Placem_Collection'!S53)),"YES","NO")</f>
        <v>NO</v>
      </c>
    </row>
    <row r="53" spans="1:40">
      <c r="A53" s="262" t="s">
        <v>2659</v>
      </c>
      <c r="B53" s="263">
        <f>'Dry_Litterbag Placem_Collection'!A54</f>
        <v>52</v>
      </c>
      <c r="C53" s="263" t="str">
        <f>'Dry_Litterbag Placem_Collection'!B54</f>
        <v>Makao</v>
      </c>
      <c r="D53" s="263" t="s">
        <v>2659</v>
      </c>
      <c r="E53" s="263" t="s">
        <v>20</v>
      </c>
      <c r="F53" s="263">
        <v>3</v>
      </c>
      <c r="G53" s="264" t="str">
        <f>'Dry_Litterbag Placem_Collection'!C54</f>
        <v>Dry_P3_T4</v>
      </c>
      <c r="H53" s="265" t="s">
        <v>2541</v>
      </c>
      <c r="I53" s="266" t="s">
        <v>1147</v>
      </c>
      <c r="J53" s="263" t="str">
        <f>IF(ISBLANK('Dry_Litterbag Placem_Collection'!J54),"","G"&amp;""&amp;'Dry_Litterbag Placem_Collection'!J54)</f>
        <v>G237</v>
      </c>
      <c r="K53" s="267">
        <f>IFERROR(INDEX('Green_rooibos initial weight'!$C$5:$C$1749,MATCH(J53, 'Green_rooibos initial weight'!$A$5:$A$1749,0)),"")</f>
        <v>1.988</v>
      </c>
      <c r="L53" s="267">
        <f>IFERROR(K53-(TBIcalc!$Q$9+TBIcalc!$Q$10),"")</f>
        <v>1.7382</v>
      </c>
      <c r="M53" s="391">
        <f>AVERAGE(Ashed_controlls!$K$2:$K$11)</f>
        <v>5.5147656768714146</v>
      </c>
      <c r="N53" s="267">
        <f t="shared" si="1"/>
        <v>1.6423423430046211</v>
      </c>
      <c r="O53" s="267">
        <f>IF(IFERROR(INDEX('Both teabags AfterDry'!$D$3:$D$900,MATCH(J53,'Both teabags AfterDry'!$A$3:$A$900,0)),"")="","",(IFERROR(INDEX('Both teabags AfterDry'!$D$3:$D$900,MATCH(J53,'Both teabags AfterDry'!$A$3:$A$900,0)),"")))</f>
        <v>1.8220000000000001</v>
      </c>
      <c r="P53" s="267">
        <f>IFERROR(IF(O53&gt;0,O53-(TBIcalc!$Q$9),""),"")</f>
        <v>1.6714</v>
      </c>
      <c r="Q53" s="278">
        <f>IFERROR(INDEX('Ashed teabags dry'!$K$2:$K$825,MATCH(J53,'Ashed teabags dry'!$A$2:$A$825,0)),"")</f>
        <v>5.8161350844273088</v>
      </c>
      <c r="R53" s="278">
        <f t="shared" si="2"/>
        <v>1.5741891181988819</v>
      </c>
      <c r="S53" s="268">
        <f>'Dry_Litterbag Placem_Collection'!E54</f>
        <v>42938</v>
      </c>
      <c r="T53" s="268">
        <f>IF('Dry_Litterbag Placem_Collection'!G54="","",'Dry_Litterbag Placem_Collection'!G54)</f>
        <v>43005</v>
      </c>
      <c r="U53" s="269">
        <f t="shared" si="0"/>
        <v>67</v>
      </c>
      <c r="V53" s="267">
        <f t="shared" si="3"/>
        <v>6.6799999999999971E-2</v>
      </c>
      <c r="W53" s="267">
        <f t="shared" si="4"/>
        <v>6.8153224805739265E-2</v>
      </c>
      <c r="X53" s="271">
        <f>IFERROR(INDEX(Rainfall_Dry!$O$2:$O$217,MATCH(B53, Rainfall_Dry!$A$2:$A$217,0)),"")</f>
        <v>6.5250000359999998</v>
      </c>
      <c r="Y53" s="260">
        <v>21.96</v>
      </c>
      <c r="Z53" s="260">
        <v>8.9199999999999982</v>
      </c>
      <c r="AA53" s="260">
        <v>69.12</v>
      </c>
      <c r="AB53" s="261" t="s">
        <v>2670</v>
      </c>
      <c r="AC53" s="260">
        <v>1.7491375061606702</v>
      </c>
      <c r="AD53">
        <f>IF('WetLitterbags placem_collection'!AB54="","",'WetLitterbags placem_collection'!AB54)</f>
        <v>13.4</v>
      </c>
      <c r="AE53">
        <f>IF('WetLitterbags placem_collection'!Z54="","",'WetLitterbags placem_collection'!Z54)</f>
        <v>67</v>
      </c>
      <c r="AF53" s="246" t="str">
        <f>IF('WetLitterbags placem_collection'!AA54="","",'WetLitterbags placem_collection'!AA54)</f>
        <v>M</v>
      </c>
      <c r="AG53">
        <f>IF('WetLitterbags placem_collection'!AC54="","",'WetLitterbags placem_collection'!AC54)</f>
        <v>1</v>
      </c>
      <c r="AH53">
        <f>IFERROR(AVERAGE('Dry_Litterbag Placem_Collection'!O54,'Dry_Litterbag Placem_Collection'!R54),"")</f>
        <v>5.75</v>
      </c>
      <c r="AI53" s="271">
        <f>IFERROR(AVERAGE('Dry_Litterbag Placem_Collection'!N54,'Dry_Litterbag Placem_Collection'!Q54),"")</f>
        <v>30.75</v>
      </c>
      <c r="AJ53" s="270">
        <f>INDEX(Coordinates!$B$2:$B$197,MATCH(G53,Coordinates!$J$2:$J$197,0))</f>
        <v>-3.4061569999999999</v>
      </c>
      <c r="AK53" s="270">
        <f>INDEX(Coordinates!$C$2:$C$197,MATCH(G53,Coordinates!$J$2:$J$197,0))</f>
        <v>34.850738999999997</v>
      </c>
      <c r="AL53" s="270" t="str">
        <f>IF(ISNUMBER(SEARCH("C", 'Dry_Litterbag Placem_Collection'!S54)),"YES","NO")</f>
        <v>NO</v>
      </c>
      <c r="AM53" s="270" t="str">
        <f>IF(ISNUMBER(SEARCH("H", 'Dry_Litterbag Placem_Collection'!S54)),"YES","NO")</f>
        <v>NO</v>
      </c>
      <c r="AN53" s="270" t="str">
        <f>IF(ISNUMBER(SEARCH("R", 'Dry_Litterbag Placem_Collection'!S54)),"YES","NO")</f>
        <v>NO</v>
      </c>
    </row>
    <row r="54" spans="1:40">
      <c r="A54" s="262" t="s">
        <v>2659</v>
      </c>
      <c r="B54" s="263">
        <f>'Dry_Litterbag Placem_Collection'!A55</f>
        <v>53</v>
      </c>
      <c r="C54" s="263" t="str">
        <f>'Dry_Litterbag Placem_Collection'!B55</f>
        <v>Makao</v>
      </c>
      <c r="D54" s="263" t="s">
        <v>2659</v>
      </c>
      <c r="E54" s="263" t="s">
        <v>20</v>
      </c>
      <c r="F54" s="263">
        <v>3</v>
      </c>
      <c r="G54" s="264" t="str">
        <f>'Dry_Litterbag Placem_Collection'!C55</f>
        <v>Dry_P3_T5</v>
      </c>
      <c r="H54" s="265" t="s">
        <v>2541</v>
      </c>
      <c r="I54" s="266" t="s">
        <v>1147</v>
      </c>
      <c r="J54" s="263" t="str">
        <f>IF(ISBLANK('Dry_Litterbag Placem_Collection'!J55),"","G"&amp;""&amp;'Dry_Litterbag Placem_Collection'!J55)</f>
        <v>G172</v>
      </c>
      <c r="K54" s="267">
        <f>IFERROR(INDEX('Green_rooibos initial weight'!$C$5:$C$1749,MATCH(J54, 'Green_rooibos initial weight'!$A$5:$A$1749,0)),"")</f>
        <v>1.9870000000000001</v>
      </c>
      <c r="L54" s="267">
        <f>IFERROR(K54-(TBIcalc!$Q$9+TBIcalc!$Q$10),"")</f>
        <v>1.7372000000000001</v>
      </c>
      <c r="M54" s="391">
        <f>AVERAGE(Ashed_controlls!$K$2:$K$11)</f>
        <v>5.5147656768714146</v>
      </c>
      <c r="N54" s="267">
        <f t="shared" si="1"/>
        <v>1.64139749066139</v>
      </c>
      <c r="O54" s="267">
        <f>IF(IFERROR(INDEX('Both teabags AfterDry'!$D$3:$D$900,MATCH(J54,'Both teabags AfterDry'!$A$3:$A$900,0)),"")="","",(IFERROR(INDEX('Both teabags AfterDry'!$D$3:$D$900,MATCH(J54,'Both teabags AfterDry'!$A$3:$A$900,0)),"")))</f>
        <v>1.8197000000000001</v>
      </c>
      <c r="P54" s="267">
        <f>IFERROR(IF(O54&gt;0,O54-(TBIcalc!$Q$9),""),"")</f>
        <v>1.6691</v>
      </c>
      <c r="Q54" s="278">
        <f>IFERROR(INDEX('Ashed teabags dry'!$K$2:$K$825,MATCH(J54,'Ashed teabags dry'!$A$2:$A$825,0)),"")</f>
        <v>5.6308213378488601</v>
      </c>
      <c r="R54" s="278">
        <f t="shared" si="2"/>
        <v>1.5751159610499648</v>
      </c>
      <c r="S54" s="268">
        <f>'Dry_Litterbag Placem_Collection'!E55</f>
        <v>42938</v>
      </c>
      <c r="T54" s="268">
        <f>IF('Dry_Litterbag Placem_Collection'!G55="","",'Dry_Litterbag Placem_Collection'!G55)</f>
        <v>43005</v>
      </c>
      <c r="U54" s="269">
        <f t="shared" si="0"/>
        <v>67</v>
      </c>
      <c r="V54" s="267">
        <f t="shared" si="3"/>
        <v>6.8100000000000049E-2</v>
      </c>
      <c r="W54" s="267">
        <f t="shared" si="4"/>
        <v>6.6281529611425194E-2</v>
      </c>
      <c r="X54" s="271">
        <f>IFERROR(INDEX(Rainfall_Dry!$O$2:$O$217,MATCH(B54, Rainfall_Dry!$A$2:$A$217,0)),"")</f>
        <v>6.5250000359999998</v>
      </c>
      <c r="Y54" s="260">
        <v>21.96</v>
      </c>
      <c r="Z54" s="260">
        <v>8.9199999999999982</v>
      </c>
      <c r="AA54" s="260">
        <v>69.12</v>
      </c>
      <c r="AB54" s="261" t="s">
        <v>2670</v>
      </c>
      <c r="AC54" s="260">
        <v>1.7491375061606702</v>
      </c>
      <c r="AD54" t="str">
        <f>IF('WetLitterbags placem_collection'!AB55="","",'WetLitterbags placem_collection'!AB55)</f>
        <v/>
      </c>
      <c r="AE54" t="str">
        <f>IF('WetLitterbags placem_collection'!Z55="","",'WetLitterbags placem_collection'!Z55)</f>
        <v/>
      </c>
      <c r="AF54" s="246" t="str">
        <f>IF('WetLitterbags placem_collection'!AA55="","",'WetLitterbags placem_collection'!AA55)</f>
        <v/>
      </c>
      <c r="AG54" t="str">
        <f>IF('WetLitterbags placem_collection'!AC55="","",'WetLitterbags placem_collection'!AC55)</f>
        <v/>
      </c>
      <c r="AH54">
        <f>IFERROR(AVERAGE('Dry_Litterbag Placem_Collection'!O55,'Dry_Litterbag Placem_Collection'!R55),"")</f>
        <v>6.5</v>
      </c>
      <c r="AI54" s="271">
        <f>IFERROR(AVERAGE('Dry_Litterbag Placem_Collection'!N55,'Dry_Litterbag Placem_Collection'!Q55),"")</f>
        <v>30.4</v>
      </c>
      <c r="AJ54" s="270">
        <f>INDEX(Coordinates!$B$2:$B$197,MATCH(G54,Coordinates!$J$2:$J$197,0))</f>
        <v>-3.4061140000000001</v>
      </c>
      <c r="AK54" s="270">
        <f>INDEX(Coordinates!$C$2:$C$197,MATCH(G54,Coordinates!$J$2:$J$197,0))</f>
        <v>34.850596000000003</v>
      </c>
      <c r="AL54" s="270" t="str">
        <f>IF(ISNUMBER(SEARCH("C", 'Dry_Litterbag Placem_Collection'!S55)),"YES","NO")</f>
        <v>NO</v>
      </c>
      <c r="AM54" s="270" t="str">
        <f>IF(ISNUMBER(SEARCH("H", 'Dry_Litterbag Placem_Collection'!S55)),"YES","NO")</f>
        <v>NO</v>
      </c>
      <c r="AN54" s="270" t="str">
        <f>IF(ISNUMBER(SEARCH("R", 'Dry_Litterbag Placem_Collection'!S55)),"YES","NO")</f>
        <v>NO</v>
      </c>
    </row>
    <row r="55" spans="1:40">
      <c r="A55" s="262" t="s">
        <v>2659</v>
      </c>
      <c r="B55" s="263">
        <f>'Dry_Litterbag Placem_Collection'!A56</f>
        <v>54</v>
      </c>
      <c r="C55" s="263" t="str">
        <f>'Dry_Litterbag Placem_Collection'!B56</f>
        <v>Makao</v>
      </c>
      <c r="D55" s="263" t="s">
        <v>2659</v>
      </c>
      <c r="E55" s="263" t="s">
        <v>20</v>
      </c>
      <c r="F55" s="263">
        <v>3</v>
      </c>
      <c r="G55" s="264" t="str">
        <f>'Dry_Litterbag Placem_Collection'!C56</f>
        <v>Dry_P3_T6</v>
      </c>
      <c r="H55" s="265" t="s">
        <v>2541</v>
      </c>
      <c r="I55" s="266" t="s">
        <v>1147</v>
      </c>
      <c r="J55" s="263" t="str">
        <f>IF(ISBLANK('Dry_Litterbag Placem_Collection'!J56),"","G"&amp;""&amp;'Dry_Litterbag Placem_Collection'!J56)</f>
        <v/>
      </c>
      <c r="K55" s="267" t="str">
        <f>IFERROR(INDEX('Green_rooibos initial weight'!$C$5:$C$1749,MATCH(J55, 'Green_rooibos initial weight'!$A$5:$A$1749,0)),"")</f>
        <v/>
      </c>
      <c r="L55" s="267" t="str">
        <f>IFERROR(K55-(TBIcalc!$Q$9+TBIcalc!$Q$10),"")</f>
        <v/>
      </c>
      <c r="M55" s="391">
        <f>AVERAGE(Ashed_controlls!$K$2:$K$11)</f>
        <v>5.5147656768714146</v>
      </c>
      <c r="N55" s="267" t="str">
        <f t="shared" si="1"/>
        <v/>
      </c>
      <c r="O55" s="267" t="str">
        <f>IF(IFERROR(INDEX('Both teabags AfterDry'!$D$3:$D$900,MATCH(J55,'Both teabags AfterDry'!$A$3:$A$900,0)),"")="","",(IFERROR(INDEX('Both teabags AfterDry'!$D$3:$D$900,MATCH(J55,'Both teabags AfterDry'!$A$3:$A$900,0)),"")))</f>
        <v/>
      </c>
      <c r="P55" s="267" t="str">
        <f>IFERROR(IF(O55&gt;0,O55-(TBIcalc!$Q$9),""),"")</f>
        <v/>
      </c>
      <c r="Q55" s="278" t="str">
        <f>IFERROR(INDEX('Ashed teabags dry'!$K$2:$K$825,MATCH(J55,'Ashed teabags dry'!$A$2:$A$825,0)),"")</f>
        <v/>
      </c>
      <c r="R55" s="278" t="str">
        <f t="shared" si="2"/>
        <v/>
      </c>
      <c r="S55" s="268">
        <f>'Dry_Litterbag Placem_Collection'!E56</f>
        <v>0</v>
      </c>
      <c r="T55" s="268" t="str">
        <f>IF('Dry_Litterbag Placem_Collection'!G56="","",'Dry_Litterbag Placem_Collection'!G56)</f>
        <v/>
      </c>
      <c r="U55" s="269" t="str">
        <f t="shared" si="0"/>
        <v/>
      </c>
      <c r="V55" s="267" t="str">
        <f t="shared" si="3"/>
        <v/>
      </c>
      <c r="W55" s="267" t="str">
        <f t="shared" si="4"/>
        <v/>
      </c>
      <c r="X55" s="271" t="str">
        <f>IFERROR(INDEX(Rainfall_Dry!$O$2:$O$217,MATCH(B55, Rainfall_Dry!$A$2:$A$217,0)),"")</f>
        <v/>
      </c>
      <c r="Y55" s="260">
        <v>21.96</v>
      </c>
      <c r="Z55" s="260">
        <v>8.9199999999999982</v>
      </c>
      <c r="AA55" s="260">
        <v>69.12</v>
      </c>
      <c r="AB55" s="261" t="s">
        <v>2670</v>
      </c>
      <c r="AC55" s="260">
        <v>1.7491375061606702</v>
      </c>
      <c r="AD55" t="str">
        <f>IF('WetLitterbags placem_collection'!AB56="","",'WetLitterbags placem_collection'!AB56)</f>
        <v/>
      </c>
      <c r="AE55" t="str">
        <f>IF('WetLitterbags placem_collection'!Z56="","",'WetLitterbags placem_collection'!Z56)</f>
        <v/>
      </c>
      <c r="AF55" s="246" t="str">
        <f>IF('WetLitterbags placem_collection'!AA56="","",'WetLitterbags placem_collection'!AA56)</f>
        <v/>
      </c>
      <c r="AG55" t="str">
        <f>IF('WetLitterbags placem_collection'!AC56="","",'WetLitterbags placem_collection'!AC56)</f>
        <v/>
      </c>
      <c r="AH55" t="str">
        <f>IFERROR(AVERAGE('Dry_Litterbag Placem_Collection'!O56,'Dry_Litterbag Placem_Collection'!R56),"")</f>
        <v/>
      </c>
      <c r="AI55" s="271" t="str">
        <f>IFERROR(AVERAGE('Dry_Litterbag Placem_Collection'!N56,'Dry_Litterbag Placem_Collection'!Q56),"")</f>
        <v/>
      </c>
      <c r="AJ55" s="270">
        <f>INDEX(Coordinates!$B$2:$B$197,MATCH(G55,Coordinates!$J$2:$J$197,0))</f>
        <v>-3.406058019</v>
      </c>
      <c r="AK55" s="270">
        <f>INDEX(Coordinates!$C$2:$C$197,MATCH(G55,Coordinates!$J$2:$J$197,0))</f>
        <v>34.850466019999999</v>
      </c>
      <c r="AL55" s="270" t="str">
        <f>IF(ISNUMBER(SEARCH("C", 'Dry_Litterbag Placem_Collection'!S56)),"YES","NO")</f>
        <v>NO</v>
      </c>
      <c r="AM55" s="270" t="str">
        <f>IF(ISNUMBER(SEARCH("H", 'Dry_Litterbag Placem_Collection'!S56)),"YES","NO")</f>
        <v>NO</v>
      </c>
      <c r="AN55" s="270" t="str">
        <f>IF(ISNUMBER(SEARCH("R", 'Dry_Litterbag Placem_Collection'!S56)),"YES","NO")</f>
        <v>NO</v>
      </c>
    </row>
    <row r="56" spans="1:40">
      <c r="A56" s="262" t="s">
        <v>2659</v>
      </c>
      <c r="B56" s="263">
        <f>'Dry_Litterbag Placem_Collection'!A57</f>
        <v>55</v>
      </c>
      <c r="C56" s="263" t="str">
        <f>'Dry_Litterbag Placem_Collection'!B57</f>
        <v>Makao</v>
      </c>
      <c r="D56" s="263" t="s">
        <v>2659</v>
      </c>
      <c r="E56" s="263" t="s">
        <v>20</v>
      </c>
      <c r="F56" s="263">
        <v>3</v>
      </c>
      <c r="G56" s="264" t="str">
        <f>'Dry_Litterbag Placem_Collection'!C57</f>
        <v>Dry_P3_T7</v>
      </c>
      <c r="H56" s="265" t="s">
        <v>2541</v>
      </c>
      <c r="I56" s="266" t="s">
        <v>1147</v>
      </c>
      <c r="J56" s="263" t="str">
        <f>IF(ISBLANK('Dry_Litterbag Placem_Collection'!J57),"","G"&amp;""&amp;'Dry_Litterbag Placem_Collection'!J57)</f>
        <v>G86</v>
      </c>
      <c r="K56" s="267">
        <f>IFERROR(INDEX('Green_rooibos initial weight'!$C$5:$C$1749,MATCH(J56, 'Green_rooibos initial weight'!$A$5:$A$1749,0)),"")</f>
        <v>2.1030000000000002</v>
      </c>
      <c r="L56" s="267">
        <f>IFERROR(K56-(TBIcalc!$Q$9+TBIcalc!$Q$10),"")</f>
        <v>1.8532000000000002</v>
      </c>
      <c r="M56" s="391">
        <f>AVERAGE(Ashed_controlls!$K$2:$K$11)</f>
        <v>5.5147656768714146</v>
      </c>
      <c r="N56" s="267">
        <f t="shared" si="1"/>
        <v>1.7510003624762192</v>
      </c>
      <c r="O56" s="267">
        <f>IF(IFERROR(INDEX('Both teabags AfterDry'!$D$3:$D$900,MATCH(J56,'Both teabags AfterDry'!$A$3:$A$900,0)),"")="","",(IFERROR(INDEX('Both teabags AfterDry'!$D$3:$D$900,MATCH(J56,'Both teabags AfterDry'!$A$3:$A$900,0)),"")))</f>
        <v>1.8914</v>
      </c>
      <c r="P56" s="267">
        <f>IFERROR(IF(O56&gt;0,O56-(TBIcalc!$Q$9),""),"")</f>
        <v>1.7407999999999999</v>
      </c>
      <c r="Q56" s="278">
        <f>IFERROR(INDEX('Ashed teabags dry'!$K$2:$K$825,MATCH(J56,'Ashed teabags dry'!$A$2:$A$825,0)),"")</f>
        <v>6.1160714285713613</v>
      </c>
      <c r="R56" s="278">
        <f t="shared" si="2"/>
        <v>1.6343314285714297</v>
      </c>
      <c r="S56" s="268">
        <f>'Dry_Litterbag Placem_Collection'!E57</f>
        <v>42938</v>
      </c>
      <c r="T56" s="268">
        <f>IF('Dry_Litterbag Placem_Collection'!G57="","",'Dry_Litterbag Placem_Collection'!G57)</f>
        <v>43005</v>
      </c>
      <c r="U56" s="269">
        <f t="shared" si="0"/>
        <v>67</v>
      </c>
      <c r="V56" s="267">
        <f t="shared" si="3"/>
        <v>0.11240000000000028</v>
      </c>
      <c r="W56" s="267">
        <f t="shared" si="4"/>
        <v>0.1166689339047895</v>
      </c>
      <c r="X56" s="271">
        <f>IFERROR(INDEX(Rainfall_Dry!$O$2:$O$217,MATCH(B56, Rainfall_Dry!$A$2:$A$217,0)),"")</f>
        <v>6.5250000359999998</v>
      </c>
      <c r="Y56" s="260">
        <v>21.96</v>
      </c>
      <c r="Z56" s="260">
        <v>8.9199999999999982</v>
      </c>
      <c r="AA56" s="260">
        <v>69.12</v>
      </c>
      <c r="AB56" s="261" t="s">
        <v>2670</v>
      </c>
      <c r="AC56" s="260">
        <v>1.7491375061606702</v>
      </c>
      <c r="AD56">
        <f>IF('WetLitterbags placem_collection'!AB57="","",'WetLitterbags placem_collection'!AB57)</f>
        <v>15.8</v>
      </c>
      <c r="AE56">
        <f>IF('WetLitterbags placem_collection'!Z57="","",'WetLitterbags placem_collection'!Z57)</f>
        <v>45</v>
      </c>
      <c r="AF56" s="246" t="str">
        <f>IF('WetLitterbags placem_collection'!AA57="","",'WetLitterbags placem_collection'!AA57)</f>
        <v>M</v>
      </c>
      <c r="AG56">
        <f>IF('WetLitterbags placem_collection'!AC57="","",'WetLitterbags placem_collection'!AC57)</f>
        <v>1</v>
      </c>
      <c r="AH56">
        <f>IFERROR(AVERAGE('Dry_Litterbag Placem_Collection'!O57,'Dry_Litterbag Placem_Collection'!R57),"")</f>
        <v>4.8</v>
      </c>
      <c r="AI56" s="271">
        <f>IFERROR(AVERAGE('Dry_Litterbag Placem_Collection'!N57,'Dry_Litterbag Placem_Collection'!Q57),"")</f>
        <v>31.9</v>
      </c>
      <c r="AJ56" s="270">
        <f>INDEX(Coordinates!$B$2:$B$197,MATCH(G56,Coordinates!$J$2:$J$197,0))</f>
        <v>-3.4061389879999999</v>
      </c>
      <c r="AK56" s="270">
        <f>INDEX(Coordinates!$C$2:$C$197,MATCH(G56,Coordinates!$J$2:$J$197,0))</f>
        <v>34.850574979999998</v>
      </c>
      <c r="AL56" s="270" t="str">
        <f>IF(ISNUMBER(SEARCH("C", 'Dry_Litterbag Placem_Collection'!S57)),"YES","NO")</f>
        <v>YES</v>
      </c>
      <c r="AM56" s="270" t="str">
        <f>IF(ISNUMBER(SEARCH("H", 'Dry_Litterbag Placem_Collection'!S57)),"YES","NO")</f>
        <v>YES</v>
      </c>
      <c r="AN56" s="270" t="str">
        <f>IF(ISNUMBER(SEARCH("R", 'Dry_Litterbag Placem_Collection'!S57)),"YES","NO")</f>
        <v>NO</v>
      </c>
    </row>
    <row r="57" spans="1:40">
      <c r="A57" s="262" t="s">
        <v>2659</v>
      </c>
      <c r="B57" s="263">
        <f>'Dry_Litterbag Placem_Collection'!A58</f>
        <v>56</v>
      </c>
      <c r="C57" s="263" t="str">
        <f>'Dry_Litterbag Placem_Collection'!B58</f>
        <v>Makao</v>
      </c>
      <c r="D57" s="263" t="s">
        <v>2659</v>
      </c>
      <c r="E57" s="263" t="s">
        <v>20</v>
      </c>
      <c r="F57" s="263">
        <v>3</v>
      </c>
      <c r="G57" s="264" t="str">
        <f>'Dry_Litterbag Placem_Collection'!C58</f>
        <v>Dry_P3_T8</v>
      </c>
      <c r="H57" s="265" t="s">
        <v>2541</v>
      </c>
      <c r="I57" s="266" t="s">
        <v>1147</v>
      </c>
      <c r="J57" s="263" t="str">
        <f>IF(ISBLANK('Dry_Litterbag Placem_Collection'!J58),"","G"&amp;""&amp;'Dry_Litterbag Placem_Collection'!J58)</f>
        <v>G107</v>
      </c>
      <c r="K57" s="267">
        <f>IFERROR(INDEX('Green_rooibos initial weight'!$C$5:$C$1749,MATCH(J57, 'Green_rooibos initial weight'!$A$5:$A$1749,0)),"")</f>
        <v>2.1749999999999998</v>
      </c>
      <c r="L57" s="267">
        <f>IFERROR(K57-(TBIcalc!$Q$9+TBIcalc!$Q$10),"")</f>
        <v>1.9251999999999998</v>
      </c>
      <c r="M57" s="391">
        <f>AVERAGE(Ashed_controlls!$K$2:$K$11)</f>
        <v>5.5147656768714146</v>
      </c>
      <c r="N57" s="267">
        <f t="shared" si="1"/>
        <v>1.8190297311888712</v>
      </c>
      <c r="O57" s="267">
        <f>IF(IFERROR(INDEX('Both teabags AfterDry'!$D$3:$D$900,MATCH(J57,'Both teabags AfterDry'!$A$3:$A$900,0)),"")="","",(IFERROR(INDEX('Both teabags AfterDry'!$D$3:$D$900,MATCH(J57,'Both teabags AfterDry'!$A$3:$A$900,0)),"")))</f>
        <v>2.0276000000000001</v>
      </c>
      <c r="P57" s="267">
        <f>IFERROR(IF(O57&gt;0,O57-(TBIcalc!$Q$9),""),"")</f>
        <v>1.877</v>
      </c>
      <c r="Q57" s="278">
        <f>IFERROR(INDEX('Ashed teabags dry'!$K$2:$K$825,MATCH(J57,'Ashed teabags dry'!$A$2:$A$825,0)),"")</f>
        <v>5.6218057921633493</v>
      </c>
      <c r="R57" s="278">
        <f t="shared" si="2"/>
        <v>1.7714787052810939</v>
      </c>
      <c r="S57" s="268">
        <f>'Dry_Litterbag Placem_Collection'!E58</f>
        <v>42938</v>
      </c>
      <c r="T57" s="268">
        <f>IF('Dry_Litterbag Placem_Collection'!G58="","",'Dry_Litterbag Placem_Collection'!G58)</f>
        <v>43005</v>
      </c>
      <c r="U57" s="269">
        <f t="shared" si="0"/>
        <v>67</v>
      </c>
      <c r="V57" s="267">
        <f t="shared" si="3"/>
        <v>4.8199999999999799E-2</v>
      </c>
      <c r="W57" s="267">
        <f t="shared" si="4"/>
        <v>4.7551025907777378E-2</v>
      </c>
      <c r="X57" s="271">
        <f>IFERROR(INDEX(Rainfall_Dry!$O$2:$O$217,MATCH(B57, Rainfall_Dry!$A$2:$A$217,0)),"")</f>
        <v>6.5250000359999998</v>
      </c>
      <c r="Y57" s="260">
        <v>21.96</v>
      </c>
      <c r="Z57" s="260">
        <v>8.9199999999999982</v>
      </c>
      <c r="AA57" s="260">
        <v>69.12</v>
      </c>
      <c r="AB57" s="261" t="s">
        <v>2670</v>
      </c>
      <c r="AC57" s="260">
        <v>1.7491375061606702</v>
      </c>
      <c r="AD57">
        <f>IF('WetLitterbags placem_collection'!AB58="","",'WetLitterbags placem_collection'!AB58)</f>
        <v>15.4</v>
      </c>
      <c r="AE57">
        <f>IF('WetLitterbags placem_collection'!Z58="","",'WetLitterbags placem_collection'!Z58)</f>
        <v>30.8</v>
      </c>
      <c r="AF57" s="246" t="str">
        <f>IF('WetLitterbags placem_collection'!AA58="","",'WetLitterbags placem_collection'!AA58)</f>
        <v>M</v>
      </c>
      <c r="AG57">
        <f>IF('WetLitterbags placem_collection'!AC58="","",'WetLitterbags placem_collection'!AC58)</f>
        <v>0</v>
      </c>
      <c r="AH57">
        <f>IFERROR(AVERAGE('Dry_Litterbag Placem_Collection'!O58,'Dry_Litterbag Placem_Collection'!R58),"")</f>
        <v>8.3000000000000007</v>
      </c>
      <c r="AI57" s="271">
        <f>IFERROR(AVERAGE('Dry_Litterbag Placem_Collection'!N58,'Dry_Litterbag Placem_Collection'!Q58),"")</f>
        <v>30.049999999999997</v>
      </c>
      <c r="AJ57" s="270">
        <f>INDEX(Coordinates!$B$2:$B$197,MATCH(G57,Coordinates!$J$2:$J$197,0))</f>
        <v>-3.4062900300000001</v>
      </c>
      <c r="AK57" s="270">
        <f>INDEX(Coordinates!$C$2:$C$197,MATCH(G57,Coordinates!$J$2:$J$197,0))</f>
        <v>34.850441959999998</v>
      </c>
      <c r="AL57" s="270" t="str">
        <f>IF(ISNUMBER(SEARCH("C", 'Dry_Litterbag Placem_Collection'!S58)),"YES","NO")</f>
        <v>NO</v>
      </c>
      <c r="AM57" s="270" t="str">
        <f>IF(ISNUMBER(SEARCH("H", 'Dry_Litterbag Placem_Collection'!S58)),"YES","NO")</f>
        <v>NO</v>
      </c>
      <c r="AN57" s="270" t="str">
        <f>IF(ISNUMBER(SEARCH("R", 'Dry_Litterbag Placem_Collection'!S58)),"YES","NO")</f>
        <v>NO</v>
      </c>
    </row>
    <row r="58" spans="1:40">
      <c r="A58" s="262" t="s">
        <v>2659</v>
      </c>
      <c r="B58" s="263">
        <f>'Dry_Litterbag Placem_Collection'!A59</f>
        <v>57</v>
      </c>
      <c r="C58" s="263" t="str">
        <f>'Dry_Litterbag Placem_Collection'!B59</f>
        <v>Makao</v>
      </c>
      <c r="D58" s="263" t="s">
        <v>2659</v>
      </c>
      <c r="E58" s="263" t="s">
        <v>20</v>
      </c>
      <c r="F58" s="263">
        <v>4</v>
      </c>
      <c r="G58" s="264" t="str">
        <f>'Dry_Litterbag Placem_Collection'!C59</f>
        <v>Dry_P4_T1</v>
      </c>
      <c r="H58" s="265" t="s">
        <v>2541</v>
      </c>
      <c r="I58" s="266" t="s">
        <v>1147</v>
      </c>
      <c r="J58" s="263" t="str">
        <f>IF(ISBLANK('Dry_Litterbag Placem_Collection'!J59),"","G"&amp;""&amp;'Dry_Litterbag Placem_Collection'!J59)</f>
        <v>G41</v>
      </c>
      <c r="K58" s="267">
        <f>IFERROR(INDEX('Green_rooibos initial weight'!$C$5:$C$1749,MATCH(J58, 'Green_rooibos initial weight'!$A$5:$A$1749,0)),"")</f>
        <v>1.9850000000000001</v>
      </c>
      <c r="L58" s="267">
        <f>IFERROR(K58-(TBIcalc!$Q$9+TBIcalc!$Q$10),"")</f>
        <v>1.7352000000000001</v>
      </c>
      <c r="M58" s="391">
        <f>AVERAGE(Ashed_controlls!$K$2:$K$11)</f>
        <v>5.5147656768714146</v>
      </c>
      <c r="N58" s="267">
        <f t="shared" si="1"/>
        <v>1.6395077859749272</v>
      </c>
      <c r="O58" s="267">
        <f>IF(IFERROR(INDEX('Both teabags AfterDry'!$D$3:$D$900,MATCH(J58,'Both teabags AfterDry'!$A$3:$A$900,0)),"")="","",(IFERROR(INDEX('Both teabags AfterDry'!$D$3:$D$900,MATCH(J58,'Both teabags AfterDry'!$A$3:$A$900,0)),"")))</f>
        <v>1.7847</v>
      </c>
      <c r="P58" s="267">
        <f>IFERROR(IF(O58&gt;0,O58-(TBIcalc!$Q$9),""),"")</f>
        <v>1.6340999999999999</v>
      </c>
      <c r="Q58" s="278">
        <f>IFERROR(INDEX('Ashed teabags dry'!$K$2:$K$825,MATCH(J58,'Ashed teabags dry'!$A$2:$A$825,0)),"")</f>
        <v>6.1166429587480353</v>
      </c>
      <c r="R58" s="278">
        <f t="shared" si="2"/>
        <v>1.5341479374110982</v>
      </c>
      <c r="S58" s="268">
        <f>'Dry_Litterbag Placem_Collection'!E59</f>
        <v>42938</v>
      </c>
      <c r="T58" s="268">
        <f>IF('Dry_Litterbag Placem_Collection'!G59="","",'Dry_Litterbag Placem_Collection'!G59)</f>
        <v>43005</v>
      </c>
      <c r="U58" s="269">
        <f t="shared" si="0"/>
        <v>67</v>
      </c>
      <c r="V58" s="267">
        <f t="shared" si="3"/>
        <v>0.10110000000000019</v>
      </c>
      <c r="W58" s="267">
        <f t="shared" si="4"/>
        <v>0.10535984856382896</v>
      </c>
      <c r="X58" s="271">
        <f>IFERROR(INDEX(Rainfall_Dry!$O$2:$O$217,MATCH(B58, Rainfall_Dry!$A$2:$A$217,0)),"")</f>
        <v>6.5250000359999998</v>
      </c>
      <c r="Y58" s="260">
        <v>25.96</v>
      </c>
      <c r="Z58" s="260">
        <v>6.9200000000000008</v>
      </c>
      <c r="AA58" s="260">
        <v>67.12</v>
      </c>
      <c r="AB58" s="261" t="s">
        <v>2670</v>
      </c>
      <c r="AC58" s="260">
        <v>1.7568260226712666</v>
      </c>
      <c r="AD58">
        <f>IF('WetLitterbags placem_collection'!AB59="","",'WetLitterbags placem_collection'!AB59)</f>
        <v>3.3</v>
      </c>
      <c r="AE58">
        <f>IF('WetLitterbags placem_collection'!Z59="","",'WetLitterbags placem_collection'!Z59)</f>
        <v>28.4</v>
      </c>
      <c r="AF58" s="246" t="str">
        <f>IF('WetLitterbags placem_collection'!AA59="","",'WetLitterbags placem_collection'!AA59)</f>
        <v>O</v>
      </c>
      <c r="AG58">
        <f>IF('WetLitterbags placem_collection'!AC59="","",'WetLitterbags placem_collection'!AC59)</f>
        <v>1</v>
      </c>
      <c r="AH58">
        <f>IFERROR(AVERAGE('Dry_Litterbag Placem_Collection'!O59,'Dry_Litterbag Placem_Collection'!R59),"")</f>
        <v>3.95</v>
      </c>
      <c r="AI58" s="271">
        <f>IFERROR(AVERAGE('Dry_Litterbag Placem_Collection'!N59,'Dry_Litterbag Placem_Collection'!Q59),"")</f>
        <v>33.25</v>
      </c>
      <c r="AJ58" s="270">
        <f>INDEX(Coordinates!$B$2:$B$197,MATCH(G58,Coordinates!$J$2:$J$197,0))</f>
        <v>-3.4064239729999999</v>
      </c>
      <c r="AK58" s="270">
        <f>INDEX(Coordinates!$C$2:$C$197,MATCH(G58,Coordinates!$J$2:$J$197,0))</f>
        <v>34.851213010000002</v>
      </c>
      <c r="AL58" s="270" t="str">
        <f>IF(ISNUMBER(SEARCH("C", 'Dry_Litterbag Placem_Collection'!S59)),"YES","NO")</f>
        <v>NO</v>
      </c>
      <c r="AM58" s="270" t="str">
        <f>IF(ISNUMBER(SEARCH("H", 'Dry_Litterbag Placem_Collection'!S59)),"YES","NO")</f>
        <v>NO</v>
      </c>
      <c r="AN58" s="270" t="str">
        <f>IF(ISNUMBER(SEARCH("R", 'Dry_Litterbag Placem_Collection'!S59)),"YES","NO")</f>
        <v>NO</v>
      </c>
    </row>
    <row r="59" spans="1:40">
      <c r="A59" s="262" t="s">
        <v>2659</v>
      </c>
      <c r="B59" s="263">
        <f>'Dry_Litterbag Placem_Collection'!A60</f>
        <v>58</v>
      </c>
      <c r="C59" s="263" t="str">
        <f>'Dry_Litterbag Placem_Collection'!B60</f>
        <v>Makao</v>
      </c>
      <c r="D59" s="263" t="s">
        <v>2659</v>
      </c>
      <c r="E59" s="263" t="s">
        <v>20</v>
      </c>
      <c r="F59" s="263">
        <v>4</v>
      </c>
      <c r="G59" s="264" t="str">
        <f>'Dry_Litterbag Placem_Collection'!C60</f>
        <v>Dry_P4_T2</v>
      </c>
      <c r="H59" s="265" t="s">
        <v>2541</v>
      </c>
      <c r="I59" s="266" t="s">
        <v>1147</v>
      </c>
      <c r="J59" s="263" t="str">
        <f>IF(ISBLANK('Dry_Litterbag Placem_Collection'!J60),"","G"&amp;""&amp;'Dry_Litterbag Placem_Collection'!J60)</f>
        <v>G481</v>
      </c>
      <c r="K59" s="267">
        <f>IFERROR(INDEX('Green_rooibos initial weight'!$C$5:$C$1749,MATCH(J59, 'Green_rooibos initial weight'!$A$5:$A$1749,0)),"")</f>
        <v>2.0529999999999999</v>
      </c>
      <c r="L59" s="267">
        <f>IFERROR(K59-(TBIcalc!$Q$9+TBIcalc!$Q$10),"")</f>
        <v>1.8031999999999999</v>
      </c>
      <c r="M59" s="391">
        <f>AVERAGE(Ashed_controlls!$K$2:$K$11)</f>
        <v>5.5147656768714146</v>
      </c>
      <c r="N59" s="267">
        <f t="shared" si="1"/>
        <v>1.7037577453146546</v>
      </c>
      <c r="O59" s="267">
        <f>IF(IFERROR(INDEX('Both teabags AfterDry'!$D$3:$D$900,MATCH(J59,'Both teabags AfterDry'!$A$3:$A$900,0)),"")="","",(IFERROR(INDEX('Both teabags AfterDry'!$D$3:$D$900,MATCH(J59,'Both teabags AfterDry'!$A$3:$A$900,0)),"")))</f>
        <v>1.7612000000000001</v>
      </c>
      <c r="P59" s="267">
        <f>IFERROR(IF(O59&gt;0,O59-(TBIcalc!$Q$9),""),"")</f>
        <v>1.6106</v>
      </c>
      <c r="Q59" s="278">
        <f>IFERROR(INDEX('Ashed teabags dry'!$K$2:$K$825,MATCH(J59,'Ashed teabags dry'!$A$2:$A$825,0)),"")</f>
        <v>5.8618976651769072</v>
      </c>
      <c r="R59" s="278">
        <f t="shared" si="2"/>
        <v>1.5161882762046608</v>
      </c>
      <c r="S59" s="268">
        <f>'Dry_Litterbag Placem_Collection'!E60</f>
        <v>42938</v>
      </c>
      <c r="T59" s="268">
        <f>IF('Dry_Litterbag Placem_Collection'!G60="","",'Dry_Litterbag Placem_Collection'!G60)</f>
        <v>43005</v>
      </c>
      <c r="U59" s="269">
        <f t="shared" si="0"/>
        <v>67</v>
      </c>
      <c r="V59" s="267">
        <f t="shared" si="3"/>
        <v>0.19259999999999988</v>
      </c>
      <c r="W59" s="267">
        <f t="shared" si="4"/>
        <v>0.18756946910999384</v>
      </c>
      <c r="X59" s="271">
        <f>IFERROR(INDEX(Rainfall_Dry!$O$2:$O$217,MATCH(B59, Rainfall_Dry!$A$2:$A$217,0)),"")</f>
        <v>6.5250000359999998</v>
      </c>
      <c r="Y59" s="260">
        <v>25.96</v>
      </c>
      <c r="Z59" s="260">
        <v>6.9200000000000008</v>
      </c>
      <c r="AA59" s="260">
        <v>67.12</v>
      </c>
      <c r="AB59" s="261" t="s">
        <v>2670</v>
      </c>
      <c r="AC59" s="260">
        <v>1.7568260226712666</v>
      </c>
      <c r="AD59">
        <f>IF('WetLitterbags placem_collection'!AB60="","",'WetLitterbags placem_collection'!AB60)</f>
        <v>1.4</v>
      </c>
      <c r="AE59">
        <f>IF('WetLitterbags placem_collection'!Z60="","",'WetLitterbags placem_collection'!Z60)</f>
        <v>54.4</v>
      </c>
      <c r="AF59" s="246" t="str">
        <f>IF('WetLitterbags placem_collection'!AA60="","",'WetLitterbags placem_collection'!AA60)</f>
        <v>O</v>
      </c>
      <c r="AG59">
        <f>IF('WetLitterbags placem_collection'!AC60="","",'WetLitterbags placem_collection'!AC60)</f>
        <v>0</v>
      </c>
      <c r="AH59">
        <f>IFERROR(AVERAGE('Dry_Litterbag Placem_Collection'!O60,'Dry_Litterbag Placem_Collection'!R60),"")</f>
        <v>5.7</v>
      </c>
      <c r="AI59" s="271">
        <f>IFERROR(AVERAGE('Dry_Litterbag Placem_Collection'!N60,'Dry_Litterbag Placem_Collection'!Q60),"")</f>
        <v>32.35</v>
      </c>
      <c r="AJ59" s="270">
        <f>INDEX(Coordinates!$B$2:$B$197,MATCH(G59,Coordinates!$J$2:$J$197,0))</f>
        <v>-3.4065020079999999</v>
      </c>
      <c r="AK59" s="270">
        <f>INDEX(Coordinates!$C$2:$C$197,MATCH(G59,Coordinates!$J$2:$J$197,0))</f>
        <v>34.851056020000001</v>
      </c>
      <c r="AL59" s="270" t="str">
        <f>IF(ISNUMBER(SEARCH("C", 'Dry_Litterbag Placem_Collection'!S60)),"YES","NO")</f>
        <v>NO</v>
      </c>
      <c r="AM59" s="270" t="str">
        <f>IF(ISNUMBER(SEARCH("H", 'Dry_Litterbag Placem_Collection'!S60)),"YES","NO")</f>
        <v>YES</v>
      </c>
      <c r="AN59" s="270" t="str">
        <f>IF(ISNUMBER(SEARCH("R", 'Dry_Litterbag Placem_Collection'!S60)),"YES","NO")</f>
        <v>NO</v>
      </c>
    </row>
    <row r="60" spans="1:40">
      <c r="A60" s="262" t="s">
        <v>2659</v>
      </c>
      <c r="B60" s="263">
        <f>'Dry_Litterbag Placem_Collection'!A61</f>
        <v>59</v>
      </c>
      <c r="C60" s="263" t="str">
        <f>'Dry_Litterbag Placem_Collection'!B61</f>
        <v>Makao</v>
      </c>
      <c r="D60" s="263" t="s">
        <v>2659</v>
      </c>
      <c r="E60" s="263" t="s">
        <v>20</v>
      </c>
      <c r="F60" s="263">
        <v>4</v>
      </c>
      <c r="G60" s="264" t="str">
        <f>'Dry_Litterbag Placem_Collection'!C61</f>
        <v>Dry_P4_T3</v>
      </c>
      <c r="H60" s="265" t="s">
        <v>2541</v>
      </c>
      <c r="I60" s="266" t="s">
        <v>1147</v>
      </c>
      <c r="J60" s="263" t="str">
        <f>IF(ISBLANK('Dry_Litterbag Placem_Collection'!J61),"","G"&amp;""&amp;'Dry_Litterbag Placem_Collection'!J61)</f>
        <v>G261</v>
      </c>
      <c r="K60" s="267">
        <f>IFERROR(INDEX('Green_rooibos initial weight'!$C$5:$C$1749,MATCH(J60, 'Green_rooibos initial weight'!$A$5:$A$1749,0)),"")</f>
        <v>1.9850000000000001</v>
      </c>
      <c r="L60" s="267">
        <f>IFERROR(K60-(TBIcalc!$Q$9+TBIcalc!$Q$10),"")</f>
        <v>1.7352000000000001</v>
      </c>
      <c r="M60" s="391">
        <f>AVERAGE(Ashed_controlls!$K$2:$K$11)</f>
        <v>5.5147656768714146</v>
      </c>
      <c r="N60" s="267">
        <f t="shared" si="1"/>
        <v>1.6395077859749272</v>
      </c>
      <c r="O60" s="267">
        <f>IF(IFERROR(INDEX('Both teabags AfterDry'!$D$3:$D$900,MATCH(J60,'Both teabags AfterDry'!$A$3:$A$900,0)),"")="","",(IFERROR(INDEX('Both teabags AfterDry'!$D$3:$D$900,MATCH(J60,'Both teabags AfterDry'!$A$3:$A$900,0)),"")))</f>
        <v>1.8041</v>
      </c>
      <c r="P60" s="267">
        <f>IFERROR(IF(O60&gt;0,O60-(TBIcalc!$Q$9),""),"")</f>
        <v>1.6535</v>
      </c>
      <c r="Q60" s="278">
        <f>IFERROR(INDEX('Ashed teabags dry'!$K$2:$K$825,MATCH(J60,'Ashed teabags dry'!$A$2:$A$825,0)),"")</f>
        <v>5.7350933090575786</v>
      </c>
      <c r="R60" s="278">
        <f t="shared" si="2"/>
        <v>1.558670232134733</v>
      </c>
      <c r="S60" s="268">
        <f>'Dry_Litterbag Placem_Collection'!E61</f>
        <v>42938</v>
      </c>
      <c r="T60" s="268">
        <f>IF('Dry_Litterbag Placem_Collection'!G61="","",'Dry_Litterbag Placem_Collection'!G61)</f>
        <v>43005</v>
      </c>
      <c r="U60" s="269">
        <f t="shared" si="0"/>
        <v>67</v>
      </c>
      <c r="V60" s="267">
        <f t="shared" si="3"/>
        <v>8.1700000000000106E-2</v>
      </c>
      <c r="W60" s="267">
        <f t="shared" si="4"/>
        <v>8.0837553840194198E-2</v>
      </c>
      <c r="X60" s="271">
        <f>IFERROR(INDEX(Rainfall_Dry!$O$2:$O$217,MATCH(B60, Rainfall_Dry!$A$2:$A$217,0)),"")</f>
        <v>6.5250000359999998</v>
      </c>
      <c r="Y60" s="260">
        <v>25.96</v>
      </c>
      <c r="Z60" s="260">
        <v>6.9200000000000008</v>
      </c>
      <c r="AA60" s="260">
        <v>67.12</v>
      </c>
      <c r="AB60" s="261" t="s">
        <v>2670</v>
      </c>
      <c r="AC60" s="260">
        <v>1.7568260226712666</v>
      </c>
      <c r="AD60">
        <f>IF('WetLitterbags placem_collection'!AB61="","",'WetLitterbags placem_collection'!AB61)</f>
        <v>3.3</v>
      </c>
      <c r="AE60">
        <f>IF('WetLitterbags placem_collection'!Z61="","",'WetLitterbags placem_collection'!Z61)</f>
        <v>46</v>
      </c>
      <c r="AF60" s="246" t="str">
        <f>IF('WetLitterbags placem_collection'!AA61="","",'WetLitterbags placem_collection'!AA61)</f>
        <v>O</v>
      </c>
      <c r="AG60">
        <f>IF('WetLitterbags placem_collection'!AC61="","",'WetLitterbags placem_collection'!AC61)</f>
        <v>0</v>
      </c>
      <c r="AH60">
        <f>IFERROR(AVERAGE('Dry_Litterbag Placem_Collection'!O61,'Dry_Litterbag Placem_Collection'!R61),"")</f>
        <v>7.6999999999999993</v>
      </c>
      <c r="AI60" s="271">
        <f>IFERROR(AVERAGE('Dry_Litterbag Placem_Collection'!N61,'Dry_Litterbag Placem_Collection'!Q61),"")</f>
        <v>31.8</v>
      </c>
      <c r="AJ60" s="270">
        <f>INDEX(Coordinates!$B$2:$B$197,MATCH(G60,Coordinates!$J$2:$J$197,0))</f>
        <v>-3.4062359670000002</v>
      </c>
      <c r="AK60" s="270">
        <f>INDEX(Coordinates!$C$2:$C$197,MATCH(G60,Coordinates!$J$2:$J$197,0))</f>
        <v>34.851107990000003</v>
      </c>
      <c r="AL60" s="270" t="str">
        <f>IF(ISNUMBER(SEARCH("C", 'Dry_Litterbag Placem_Collection'!S61)),"YES","NO")</f>
        <v>NO</v>
      </c>
      <c r="AM60" s="270" t="str">
        <f>IF(ISNUMBER(SEARCH("H", 'Dry_Litterbag Placem_Collection'!S61)),"YES","NO")</f>
        <v>NO</v>
      </c>
      <c r="AN60" s="270" t="str">
        <f>IF(ISNUMBER(SEARCH("R", 'Dry_Litterbag Placem_Collection'!S61)),"YES","NO")</f>
        <v>NO</v>
      </c>
    </row>
    <row r="61" spans="1:40">
      <c r="A61" s="262" t="s">
        <v>2659</v>
      </c>
      <c r="B61" s="263">
        <f>'Dry_Litterbag Placem_Collection'!A62</f>
        <v>60</v>
      </c>
      <c r="C61" s="263" t="str">
        <f>'Dry_Litterbag Placem_Collection'!B62</f>
        <v>Makao</v>
      </c>
      <c r="D61" s="263" t="s">
        <v>2659</v>
      </c>
      <c r="E61" s="263" t="s">
        <v>20</v>
      </c>
      <c r="F61" s="263">
        <v>4</v>
      </c>
      <c r="G61" s="264" t="str">
        <f>'Dry_Litterbag Placem_Collection'!C62</f>
        <v>Dry_P4_T4</v>
      </c>
      <c r="H61" s="265" t="s">
        <v>2541</v>
      </c>
      <c r="I61" s="266" t="s">
        <v>1147</v>
      </c>
      <c r="J61" s="263" t="str">
        <f>IF(ISBLANK('Dry_Litterbag Placem_Collection'!J62),"","G"&amp;""&amp;'Dry_Litterbag Placem_Collection'!J62)</f>
        <v>G152</v>
      </c>
      <c r="K61" s="267">
        <f>IFERROR(INDEX('Green_rooibos initial weight'!$C$5:$C$1749,MATCH(J61, 'Green_rooibos initial weight'!$A$5:$A$1749,0)),"")</f>
        <v>2.0489999999999999</v>
      </c>
      <c r="L61" s="267">
        <f>IFERROR(K61-(TBIcalc!$Q$9+TBIcalc!$Q$10),"")</f>
        <v>1.7991999999999999</v>
      </c>
      <c r="M61" s="391">
        <f>AVERAGE(Ashed_controlls!$K$2:$K$11)</f>
        <v>5.5147656768714146</v>
      </c>
      <c r="N61" s="267">
        <f t="shared" si="1"/>
        <v>1.6999783359417293</v>
      </c>
      <c r="O61" s="267">
        <f>IF(IFERROR(INDEX('Both teabags AfterDry'!$D$3:$D$900,MATCH(J61,'Both teabags AfterDry'!$A$3:$A$900,0)),"")="","",(IFERROR(INDEX('Both teabags AfterDry'!$D$3:$D$900,MATCH(J61,'Both teabags AfterDry'!$A$3:$A$900,0)),"")))</f>
        <v>1.8697999999999999</v>
      </c>
      <c r="P61" s="267">
        <f>IFERROR(IF(O61&gt;0,O61-(TBIcalc!$Q$9),""),"")</f>
        <v>1.7191999999999998</v>
      </c>
      <c r="Q61" s="278">
        <f>IFERROR(INDEX('Ashed teabags dry'!$K$2:$K$825,MATCH(J61,'Ashed teabags dry'!$A$2:$A$825,0)),"")</f>
        <v>5.545536519386725</v>
      </c>
      <c r="R61" s="278">
        <f t="shared" si="2"/>
        <v>1.6238611361587032</v>
      </c>
      <c r="S61" s="268">
        <f>'Dry_Litterbag Placem_Collection'!E62</f>
        <v>42938</v>
      </c>
      <c r="T61" s="268">
        <f>IF('Dry_Litterbag Placem_Collection'!G62="","",'Dry_Litterbag Placem_Collection'!G62)</f>
        <v>43005</v>
      </c>
      <c r="U61" s="269">
        <f t="shared" si="0"/>
        <v>67</v>
      </c>
      <c r="V61" s="267">
        <f t="shared" si="3"/>
        <v>8.0000000000000071E-2</v>
      </c>
      <c r="W61" s="267">
        <f t="shared" si="4"/>
        <v>7.6117199783026113E-2</v>
      </c>
      <c r="X61" s="271">
        <f>IFERROR(INDEX(Rainfall_Dry!$O$2:$O$217,MATCH(B61, Rainfall_Dry!$A$2:$A$217,0)),"")</f>
        <v>6.5250000359999998</v>
      </c>
      <c r="Y61" s="260">
        <v>25.96</v>
      </c>
      <c r="Z61" s="260">
        <v>6.9200000000000008</v>
      </c>
      <c r="AA61" s="260">
        <v>67.12</v>
      </c>
      <c r="AB61" s="261" t="s">
        <v>2670</v>
      </c>
      <c r="AC61" s="260">
        <v>1.7568260226712666</v>
      </c>
      <c r="AD61">
        <f>IF('WetLitterbags placem_collection'!AB62="","",'WetLitterbags placem_collection'!AB62)</f>
        <v>2.4</v>
      </c>
      <c r="AE61">
        <f>IF('WetLitterbags placem_collection'!Z62="","",'WetLitterbags placem_collection'!Z62)</f>
        <v>10.199999999999999</v>
      </c>
      <c r="AF61" s="246" t="str">
        <f>IF('WetLitterbags placem_collection'!AA62="","",'WetLitterbags placem_collection'!AA62)</f>
        <v>O</v>
      </c>
      <c r="AG61">
        <f>IF('WetLitterbags placem_collection'!AC62="","",'WetLitterbags placem_collection'!AC62)</f>
        <v>0</v>
      </c>
      <c r="AH61">
        <f>IFERROR(AVERAGE('Dry_Litterbag Placem_Collection'!O62,'Dry_Litterbag Placem_Collection'!R62),"")</f>
        <v>5.65</v>
      </c>
      <c r="AI61" s="271">
        <f>IFERROR(AVERAGE('Dry_Litterbag Placem_Collection'!N62,'Dry_Litterbag Placem_Collection'!Q62),"")</f>
        <v>32.650000000000006</v>
      </c>
      <c r="AJ61" s="270">
        <f>INDEX(Coordinates!$B$2:$B$197,MATCH(G61,Coordinates!$J$2:$J$197,0))</f>
        <v>-3.406281983</v>
      </c>
      <c r="AK61" s="270">
        <f>INDEX(Coordinates!$C$2:$C$197,MATCH(G61,Coordinates!$J$2:$J$197,0))</f>
        <v>34.85137898</v>
      </c>
      <c r="AL61" s="270" t="str">
        <f>IF(ISNUMBER(SEARCH("C", 'Dry_Litterbag Placem_Collection'!S62)),"YES","NO")</f>
        <v>NO</v>
      </c>
      <c r="AM61" s="270" t="str">
        <f>IF(ISNUMBER(SEARCH("H", 'Dry_Litterbag Placem_Collection'!S62)),"YES","NO")</f>
        <v>NO</v>
      </c>
      <c r="AN61" s="270" t="str">
        <f>IF(ISNUMBER(SEARCH("R", 'Dry_Litterbag Placem_Collection'!S62)),"YES","NO")</f>
        <v>NO</v>
      </c>
    </row>
    <row r="62" spans="1:40">
      <c r="A62" s="262" t="s">
        <v>2659</v>
      </c>
      <c r="B62" s="263">
        <f>'Dry_Litterbag Placem_Collection'!A63</f>
        <v>61</v>
      </c>
      <c r="C62" s="263" t="str">
        <f>'Dry_Litterbag Placem_Collection'!B63</f>
        <v>Makao</v>
      </c>
      <c r="D62" s="263" t="s">
        <v>2659</v>
      </c>
      <c r="E62" s="263" t="s">
        <v>20</v>
      </c>
      <c r="F62" s="263">
        <v>4</v>
      </c>
      <c r="G62" s="264" t="str">
        <f>'Dry_Litterbag Placem_Collection'!C63</f>
        <v>Dry_P4_T5</v>
      </c>
      <c r="H62" s="265" t="s">
        <v>2541</v>
      </c>
      <c r="I62" s="266" t="s">
        <v>1147</v>
      </c>
      <c r="J62" s="263" t="str">
        <f>IF(ISBLANK('Dry_Litterbag Placem_Collection'!J63),"","G"&amp;""&amp;'Dry_Litterbag Placem_Collection'!J63)</f>
        <v>G191</v>
      </c>
      <c r="K62" s="267">
        <f>IFERROR(INDEX('Green_rooibos initial weight'!$C$5:$C$1749,MATCH(J62, 'Green_rooibos initial weight'!$A$5:$A$1749,0)),"")</f>
        <v>2.0590000000000002</v>
      </c>
      <c r="L62" s="267">
        <f>IFERROR(K62-(TBIcalc!$Q$9+TBIcalc!$Q$10),"")</f>
        <v>1.8092000000000001</v>
      </c>
      <c r="M62" s="391">
        <f>AVERAGE(Ashed_controlls!$K$2:$K$11)</f>
        <v>5.5147656768714146</v>
      </c>
      <c r="N62" s="267">
        <f t="shared" si="1"/>
        <v>1.7094268593740425</v>
      </c>
      <c r="O62" s="267" t="str">
        <f>IF(IFERROR(INDEX('Both teabags AfterDry'!$D$3:$D$900,MATCH(J62,'Both teabags AfterDry'!$A$3:$A$900,0)),"")="","",(IFERROR(INDEX('Both teabags AfterDry'!$D$3:$D$900,MATCH(J62,'Both teabags AfterDry'!$A$3:$A$900,0)),"")))</f>
        <v/>
      </c>
      <c r="P62" s="267" t="str">
        <f>IFERROR(IF(O62&gt;0,O62-(TBIcalc!$Q$9),""),"")</f>
        <v/>
      </c>
      <c r="Q62" s="278" t="str">
        <f>IFERROR(INDEX('Ashed teabags dry'!$K$2:$K$825,MATCH(J62,'Ashed teabags dry'!$A$2:$A$825,0)),"")</f>
        <v/>
      </c>
      <c r="R62" s="278" t="str">
        <f t="shared" si="2"/>
        <v/>
      </c>
      <c r="S62" s="268">
        <f>'Dry_Litterbag Placem_Collection'!E63</f>
        <v>42938</v>
      </c>
      <c r="T62" s="268">
        <f>IF('Dry_Litterbag Placem_Collection'!G63="","",'Dry_Litterbag Placem_Collection'!G63)</f>
        <v>43005</v>
      </c>
      <c r="U62" s="269">
        <f t="shared" si="0"/>
        <v>67</v>
      </c>
      <c r="V62" s="267" t="str">
        <f t="shared" si="3"/>
        <v/>
      </c>
      <c r="W62" s="267" t="str">
        <f t="shared" si="4"/>
        <v/>
      </c>
      <c r="X62" s="271">
        <f>IFERROR(INDEX(Rainfall_Dry!$O$2:$O$217,MATCH(B62, Rainfall_Dry!$A$2:$A$217,0)),"")</f>
        <v>6.5250000359999998</v>
      </c>
      <c r="Y62" s="260">
        <v>25.96</v>
      </c>
      <c r="Z62" s="260">
        <v>6.9200000000000008</v>
      </c>
      <c r="AA62" s="260">
        <v>67.12</v>
      </c>
      <c r="AB62" s="261" t="s">
        <v>2670</v>
      </c>
      <c r="AC62" s="260">
        <v>1.7568260226712666</v>
      </c>
      <c r="AD62">
        <f>IF('WetLitterbags placem_collection'!AB63="","",'WetLitterbags placem_collection'!AB63)</f>
        <v>5.6</v>
      </c>
      <c r="AE62">
        <f>IF('WetLitterbags placem_collection'!Z63="","",'WetLitterbags placem_collection'!Z63)</f>
        <v>34.200000000000003</v>
      </c>
      <c r="AF62" s="246" t="str">
        <f>IF('WetLitterbags placem_collection'!AA63="","",'WetLitterbags placem_collection'!AA63)</f>
        <v>O</v>
      </c>
      <c r="AG62">
        <f>IF('WetLitterbags placem_collection'!AC63="","",'WetLitterbags placem_collection'!AC63)</f>
        <v>0</v>
      </c>
      <c r="AH62">
        <f>IFERROR(AVERAGE('Dry_Litterbag Placem_Collection'!O63,'Dry_Litterbag Placem_Collection'!R63),"")</f>
        <v>4.5</v>
      </c>
      <c r="AI62" s="271">
        <f>IFERROR(AVERAGE('Dry_Litterbag Placem_Collection'!N63,'Dry_Litterbag Placem_Collection'!Q63),"")</f>
        <v>34</v>
      </c>
      <c r="AJ62" s="270">
        <f>INDEX(Coordinates!$B$2:$B$197,MATCH(G62,Coordinates!$J$2:$J$197,0))</f>
        <v>-3.406569986</v>
      </c>
      <c r="AK62" s="270">
        <f>INDEX(Coordinates!$C$2:$C$197,MATCH(G62,Coordinates!$J$2:$J$197,0))</f>
        <v>34.851323989999997</v>
      </c>
      <c r="AL62" s="270" t="str">
        <f>IF(ISNUMBER(SEARCH("C", 'Dry_Litterbag Placem_Collection'!S63)),"YES","NO")</f>
        <v>NO</v>
      </c>
      <c r="AM62" s="270" t="str">
        <f>IF(ISNUMBER(SEARCH("H", 'Dry_Litterbag Placem_Collection'!S63)),"YES","NO")</f>
        <v>NO</v>
      </c>
      <c r="AN62" s="270" t="str">
        <f>IF(ISNUMBER(SEARCH("R", 'Dry_Litterbag Placem_Collection'!S63)),"YES","NO")</f>
        <v>NO</v>
      </c>
    </row>
    <row r="63" spans="1:40">
      <c r="A63" s="262" t="s">
        <v>2659</v>
      </c>
      <c r="B63" s="263">
        <f>'Dry_Litterbag Placem_Collection'!A64</f>
        <v>62</v>
      </c>
      <c r="C63" s="263" t="str">
        <f>'Dry_Litterbag Placem_Collection'!B64</f>
        <v>Makao</v>
      </c>
      <c r="D63" s="263" t="s">
        <v>2659</v>
      </c>
      <c r="E63" s="263" t="s">
        <v>20</v>
      </c>
      <c r="F63" s="263">
        <v>4</v>
      </c>
      <c r="G63" s="264" t="str">
        <f>'Dry_Litterbag Placem_Collection'!C64</f>
        <v>Dry_P4_T6</v>
      </c>
      <c r="H63" s="265" t="s">
        <v>2541</v>
      </c>
      <c r="I63" s="266" t="s">
        <v>1147</v>
      </c>
      <c r="J63" s="263" t="str">
        <f>IF(ISBLANK('Dry_Litterbag Placem_Collection'!J64),"","G"&amp;""&amp;'Dry_Litterbag Placem_Collection'!J64)</f>
        <v/>
      </c>
      <c r="K63" s="267" t="str">
        <f>IFERROR(INDEX('Green_rooibos initial weight'!$C$5:$C$1749,MATCH(J63, 'Green_rooibos initial weight'!$A$5:$A$1749,0)),"")</f>
        <v/>
      </c>
      <c r="L63" s="267" t="str">
        <f>IFERROR(K63-(TBIcalc!$Q$9+TBIcalc!$Q$10),"")</f>
        <v/>
      </c>
      <c r="M63" s="391">
        <f>AVERAGE(Ashed_controlls!$K$2:$K$11)</f>
        <v>5.5147656768714146</v>
      </c>
      <c r="N63" s="267" t="str">
        <f t="shared" si="1"/>
        <v/>
      </c>
      <c r="O63" s="267" t="str">
        <f>IF(IFERROR(INDEX('Both teabags AfterDry'!$D$3:$D$900,MATCH(J63,'Both teabags AfterDry'!$A$3:$A$900,0)),"")="","",(IFERROR(INDEX('Both teabags AfterDry'!$D$3:$D$900,MATCH(J63,'Both teabags AfterDry'!$A$3:$A$900,0)),"")))</f>
        <v/>
      </c>
      <c r="P63" s="267" t="str">
        <f>IFERROR(IF(O63&gt;0,O63-(TBIcalc!$Q$9),""),"")</f>
        <v/>
      </c>
      <c r="Q63" s="278" t="str">
        <f>IFERROR(INDEX('Ashed teabags dry'!$K$2:$K$825,MATCH(J63,'Ashed teabags dry'!$A$2:$A$825,0)),"")</f>
        <v/>
      </c>
      <c r="R63" s="278" t="str">
        <f t="shared" si="2"/>
        <v/>
      </c>
      <c r="S63" s="268">
        <f>'Dry_Litterbag Placem_Collection'!E64</f>
        <v>0</v>
      </c>
      <c r="T63" s="268" t="str">
        <f>IF('Dry_Litterbag Placem_Collection'!G64="","",'Dry_Litterbag Placem_Collection'!G64)</f>
        <v/>
      </c>
      <c r="U63" s="269" t="str">
        <f t="shared" si="0"/>
        <v/>
      </c>
      <c r="V63" s="267" t="str">
        <f t="shared" si="3"/>
        <v/>
      </c>
      <c r="W63" s="267" t="str">
        <f t="shared" si="4"/>
        <v/>
      </c>
      <c r="X63" s="271" t="str">
        <f>IFERROR(INDEX(Rainfall_Dry!$O$2:$O$217,MATCH(B63, Rainfall_Dry!$A$2:$A$217,0)),"")</f>
        <v/>
      </c>
      <c r="Y63" s="260">
        <v>25.96</v>
      </c>
      <c r="Z63" s="260">
        <v>6.9200000000000008</v>
      </c>
      <c r="AA63" s="260">
        <v>67.12</v>
      </c>
      <c r="AB63" s="261" t="s">
        <v>2670</v>
      </c>
      <c r="AC63" s="260">
        <v>1.7568260226712666</v>
      </c>
      <c r="AD63">
        <f>IF('WetLitterbags placem_collection'!AB64="","",'WetLitterbags placem_collection'!AB64)</f>
        <v>4.2</v>
      </c>
      <c r="AE63">
        <f>IF('WetLitterbags placem_collection'!Z64="","",'WetLitterbags placem_collection'!Z64)</f>
        <v>40.4</v>
      </c>
      <c r="AF63" s="246" t="str">
        <f>IF('WetLitterbags placem_collection'!AA64="","",'WetLitterbags placem_collection'!AA64)</f>
        <v>O</v>
      </c>
      <c r="AG63">
        <f>IF('WetLitterbags placem_collection'!AC64="","",'WetLitterbags placem_collection'!AC64)</f>
        <v>0</v>
      </c>
      <c r="AH63" t="str">
        <f>IFERROR(AVERAGE('Dry_Litterbag Placem_Collection'!O64,'Dry_Litterbag Placem_Collection'!R64),"")</f>
        <v/>
      </c>
      <c r="AI63" s="271" t="str">
        <f>IFERROR(AVERAGE('Dry_Litterbag Placem_Collection'!N64,'Dry_Litterbag Placem_Collection'!Q64),"")</f>
        <v/>
      </c>
      <c r="AJ63" s="270">
        <f>INDEX(Coordinates!$B$2:$B$197,MATCH(G63,Coordinates!$J$2:$J$197,0))</f>
        <v>-3.4065180179999999</v>
      </c>
      <c r="AK63" s="270">
        <f>INDEX(Coordinates!$C$2:$C$197,MATCH(G63,Coordinates!$J$2:$J$197,0))</f>
        <v>34.85121402</v>
      </c>
      <c r="AL63" s="270" t="str">
        <f>IF(ISNUMBER(SEARCH("C", 'Dry_Litterbag Placem_Collection'!S64)),"YES","NO")</f>
        <v>NO</v>
      </c>
      <c r="AM63" s="270" t="str">
        <f>IF(ISNUMBER(SEARCH("H", 'Dry_Litterbag Placem_Collection'!S64)),"YES","NO")</f>
        <v>NO</v>
      </c>
      <c r="AN63" s="270" t="str">
        <f>IF(ISNUMBER(SEARCH("R", 'Dry_Litterbag Placem_Collection'!S64)),"YES","NO")</f>
        <v>NO</v>
      </c>
    </row>
    <row r="64" spans="1:40">
      <c r="A64" s="262" t="s">
        <v>2659</v>
      </c>
      <c r="B64" s="263">
        <f>'Dry_Litterbag Placem_Collection'!A65</f>
        <v>63</v>
      </c>
      <c r="C64" s="263" t="str">
        <f>'Dry_Litterbag Placem_Collection'!B65</f>
        <v>Makao</v>
      </c>
      <c r="D64" s="263" t="s">
        <v>2659</v>
      </c>
      <c r="E64" s="263" t="s">
        <v>20</v>
      </c>
      <c r="F64" s="263">
        <v>4</v>
      </c>
      <c r="G64" s="264" t="str">
        <f>'Dry_Litterbag Placem_Collection'!C65</f>
        <v>Dry_P4_T7</v>
      </c>
      <c r="H64" s="265" t="s">
        <v>2541</v>
      </c>
      <c r="I64" s="266" t="s">
        <v>1147</v>
      </c>
      <c r="J64" s="263" t="str">
        <f>IF(ISBLANK('Dry_Litterbag Placem_Collection'!J65),"","G"&amp;""&amp;'Dry_Litterbag Placem_Collection'!J65)</f>
        <v>G49</v>
      </c>
      <c r="K64" s="267">
        <f>IFERROR(INDEX('Green_rooibos initial weight'!$C$5:$C$1749,MATCH(J64, 'Green_rooibos initial weight'!$A$5:$A$1749,0)),"")</f>
        <v>2.0859999999999999</v>
      </c>
      <c r="L64" s="267">
        <f>IFERROR(K64-(TBIcalc!$Q$9+TBIcalc!$Q$10),"")</f>
        <v>1.8361999999999998</v>
      </c>
      <c r="M64" s="391">
        <f>AVERAGE(Ashed_controlls!$K$2:$K$11)</f>
        <v>5.5147656768714146</v>
      </c>
      <c r="N64" s="267">
        <f t="shared" si="1"/>
        <v>1.734937872641287</v>
      </c>
      <c r="O64" s="267">
        <f>IF(IFERROR(INDEX('Both teabags AfterDry'!$D$3:$D$900,MATCH(J64,'Both teabags AfterDry'!$A$3:$A$900,0)),"")="","",(IFERROR(INDEX('Both teabags AfterDry'!$D$3:$D$900,MATCH(J64,'Both teabags AfterDry'!$A$3:$A$900,0)),"")))</f>
        <v>1.9326000000000001</v>
      </c>
      <c r="P64" s="267">
        <f>IFERROR(IF(O64&gt;0,O64-(TBIcalc!$Q$9),""),"")</f>
        <v>1.782</v>
      </c>
      <c r="Q64" s="278">
        <f>IFERROR(INDEX('Ashed teabags dry'!$K$2:$K$825,MATCH(J64,'Ashed teabags dry'!$A$2:$A$825,0)),"")</f>
        <v>4.9388753056235117</v>
      </c>
      <c r="R64" s="278">
        <f t="shared" si="2"/>
        <v>1.693989242053789</v>
      </c>
      <c r="S64" s="268">
        <f>'Dry_Litterbag Placem_Collection'!E65</f>
        <v>42938</v>
      </c>
      <c r="T64" s="268">
        <f>IF('Dry_Litterbag Placem_Collection'!G65="","",'Dry_Litterbag Placem_Collection'!G65)</f>
        <v>43005</v>
      </c>
      <c r="U64" s="269">
        <f t="shared" si="0"/>
        <v>67</v>
      </c>
      <c r="V64" s="267">
        <f t="shared" si="3"/>
        <v>5.4199999999999804E-2</v>
      </c>
      <c r="W64" s="267">
        <f t="shared" si="4"/>
        <v>4.0948630587497981E-2</v>
      </c>
      <c r="X64" s="271">
        <f>IFERROR(INDEX(Rainfall_Dry!$O$2:$O$217,MATCH(B64, Rainfall_Dry!$A$2:$A$217,0)),"")</f>
        <v>6.5250000359999998</v>
      </c>
      <c r="Y64" s="260">
        <v>25.96</v>
      </c>
      <c r="Z64" s="260">
        <v>6.9200000000000008</v>
      </c>
      <c r="AA64" s="260">
        <v>67.12</v>
      </c>
      <c r="AB64" s="261" t="s">
        <v>2670</v>
      </c>
      <c r="AC64" s="260">
        <v>1.7568260226712666</v>
      </c>
      <c r="AD64">
        <f>IF('WetLitterbags placem_collection'!AB65="","",'WetLitterbags placem_collection'!AB65)</f>
        <v>4.9000000000000004</v>
      </c>
      <c r="AE64">
        <f>IF('WetLitterbags placem_collection'!Z65="","",'WetLitterbags placem_collection'!Z65)</f>
        <v>45</v>
      </c>
      <c r="AF64" s="246" t="str">
        <f>IF('WetLitterbags placem_collection'!AA65="","",'WetLitterbags placem_collection'!AA65)</f>
        <v>O</v>
      </c>
      <c r="AG64">
        <f>IF('WetLitterbags placem_collection'!AC65="","",'WetLitterbags placem_collection'!AC65)</f>
        <v>0</v>
      </c>
      <c r="AH64">
        <f>IFERROR(AVERAGE('Dry_Litterbag Placem_Collection'!O65,'Dry_Litterbag Placem_Collection'!R65),"")</f>
        <v>4.75</v>
      </c>
      <c r="AI64" s="271">
        <f>IFERROR(AVERAGE('Dry_Litterbag Placem_Collection'!N65,'Dry_Litterbag Placem_Collection'!Q65),"")</f>
        <v>31.3</v>
      </c>
      <c r="AJ64" s="270">
        <f>INDEX(Coordinates!$B$2:$B$197,MATCH(G64,Coordinates!$J$2:$J$197,0))</f>
        <v>-3.406334035</v>
      </c>
      <c r="AK64" s="270">
        <f>INDEX(Coordinates!$C$2:$C$197,MATCH(G64,Coordinates!$J$2:$J$197,0))</f>
        <v>34.851172030000001</v>
      </c>
      <c r="AL64" s="270" t="str">
        <f>IF(ISNUMBER(SEARCH("C", 'Dry_Litterbag Placem_Collection'!S65)),"YES","NO")</f>
        <v>NO</v>
      </c>
      <c r="AM64" s="270" t="str">
        <f>IF(ISNUMBER(SEARCH("H", 'Dry_Litterbag Placem_Collection'!S65)),"YES","NO")</f>
        <v>NO</v>
      </c>
      <c r="AN64" s="270" t="str">
        <f>IF(ISNUMBER(SEARCH("R", 'Dry_Litterbag Placem_Collection'!S65)),"YES","NO")</f>
        <v>NO</v>
      </c>
    </row>
    <row r="65" spans="1:40">
      <c r="A65" s="262" t="s">
        <v>2659</v>
      </c>
      <c r="B65" s="263">
        <f>'Dry_Litterbag Placem_Collection'!A66</f>
        <v>64</v>
      </c>
      <c r="C65" s="263" t="str">
        <f>'Dry_Litterbag Placem_Collection'!B66</f>
        <v>Makao</v>
      </c>
      <c r="D65" s="263" t="s">
        <v>2659</v>
      </c>
      <c r="E65" s="263" t="s">
        <v>20</v>
      </c>
      <c r="F65" s="263">
        <v>4</v>
      </c>
      <c r="G65" s="264" t="str">
        <f>'Dry_Litterbag Placem_Collection'!C66</f>
        <v>Dry_P4_T8</v>
      </c>
      <c r="H65" s="265" t="s">
        <v>2541</v>
      </c>
      <c r="I65" s="266" t="s">
        <v>1147</v>
      </c>
      <c r="J65" s="263" t="str">
        <f>IF(ISBLANK('Dry_Litterbag Placem_Collection'!J66),"","G"&amp;""&amp;'Dry_Litterbag Placem_Collection'!J66)</f>
        <v>G347</v>
      </c>
      <c r="K65" s="267">
        <f>IFERROR(INDEX('Green_rooibos initial weight'!$C$5:$C$1749,MATCH(J65, 'Green_rooibos initial weight'!$A$5:$A$1749,0)),"")</f>
        <v>1.8919999999999999</v>
      </c>
      <c r="L65" s="267">
        <f>IFERROR(K65-(TBIcalc!$Q$9+TBIcalc!$Q$10),"")</f>
        <v>1.6421999999999999</v>
      </c>
      <c r="M65" s="391">
        <f>AVERAGE(Ashed_controlls!$K$2:$K$11)</f>
        <v>5.5147656768714146</v>
      </c>
      <c r="N65" s="267">
        <f t="shared" si="1"/>
        <v>1.5516365180544176</v>
      </c>
      <c r="O65" s="267">
        <f>IF(IFERROR(INDEX('Both teabags AfterDry'!$D$3:$D$900,MATCH(J65,'Both teabags AfterDry'!$A$3:$A$900,0)),"")="","",(IFERROR(INDEX('Both teabags AfterDry'!$D$3:$D$900,MATCH(J65,'Both teabags AfterDry'!$A$3:$A$900,0)),"")))</f>
        <v>1.6924999999999999</v>
      </c>
      <c r="P65" s="267">
        <f>IFERROR(IF(O65&gt;0,O65-(TBIcalc!$Q$9),""),"")</f>
        <v>1.5418999999999998</v>
      </c>
      <c r="Q65" s="278">
        <f>IFERROR(INDEX('Ashed teabags dry'!$K$2:$K$825,MATCH(J65,'Ashed teabags dry'!$A$2:$A$825,0)),"")</f>
        <v>6.3334982681843854</v>
      </c>
      <c r="R65" s="278">
        <f t="shared" si="2"/>
        <v>1.4442437902028649</v>
      </c>
      <c r="S65" s="268">
        <f>'Dry_Litterbag Placem_Collection'!E66</f>
        <v>42938</v>
      </c>
      <c r="T65" s="268">
        <f>IF('Dry_Litterbag Placem_Collection'!G66="","",'Dry_Litterbag Placem_Collection'!G66)</f>
        <v>43005</v>
      </c>
      <c r="U65" s="269">
        <f t="shared" si="0"/>
        <v>67</v>
      </c>
      <c r="V65" s="267">
        <f t="shared" si="3"/>
        <v>0.10030000000000006</v>
      </c>
      <c r="W65" s="267">
        <f t="shared" si="4"/>
        <v>0.10739272785155274</v>
      </c>
      <c r="X65" s="271">
        <f>IFERROR(INDEX(Rainfall_Dry!$O$2:$O$217,MATCH(B65, Rainfall_Dry!$A$2:$A$217,0)),"")</f>
        <v>6.5250000359999998</v>
      </c>
      <c r="Y65" s="260">
        <v>25.96</v>
      </c>
      <c r="Z65" s="260">
        <v>6.9200000000000008</v>
      </c>
      <c r="AA65" s="260">
        <v>67.12</v>
      </c>
      <c r="AB65" s="261" t="s">
        <v>2670</v>
      </c>
      <c r="AC65" s="260">
        <v>1.7568260226712666</v>
      </c>
      <c r="AD65">
        <f>IF('WetLitterbags placem_collection'!AB66="","",'WetLitterbags placem_collection'!AB66)</f>
        <v>3</v>
      </c>
      <c r="AE65">
        <f>IF('WetLitterbags placem_collection'!Z66="","",'WetLitterbags placem_collection'!Z66)</f>
        <v>22.8</v>
      </c>
      <c r="AF65" s="246" t="str">
        <f>IF('WetLitterbags placem_collection'!AA66="","",'WetLitterbags placem_collection'!AA66)</f>
        <v>O</v>
      </c>
      <c r="AG65">
        <f>IF('WetLitterbags placem_collection'!AC66="","",'WetLitterbags placem_collection'!AC66)</f>
        <v>1</v>
      </c>
      <c r="AH65">
        <f>IFERROR(AVERAGE('Dry_Litterbag Placem_Collection'!O66,'Dry_Litterbag Placem_Collection'!R66),"")</f>
        <v>5.55</v>
      </c>
      <c r="AI65" s="271">
        <f>IFERROR(AVERAGE('Dry_Litterbag Placem_Collection'!N66,'Dry_Litterbag Placem_Collection'!Q66),"")</f>
        <v>31.5</v>
      </c>
      <c r="AJ65" s="270">
        <f>INDEX(Coordinates!$B$2:$B$197,MATCH(G65,Coordinates!$J$2:$J$197,0))</f>
        <v>-3.4063409920000001</v>
      </c>
      <c r="AK65" s="270">
        <f>INDEX(Coordinates!$C$2:$C$197,MATCH(G65,Coordinates!$J$2:$J$197,0))</f>
        <v>34.85126004</v>
      </c>
      <c r="AL65" s="270" t="str">
        <f>IF(ISNUMBER(SEARCH("C", 'Dry_Litterbag Placem_Collection'!S66)),"YES","NO")</f>
        <v>NO</v>
      </c>
      <c r="AM65" s="270" t="str">
        <f>IF(ISNUMBER(SEARCH("H", 'Dry_Litterbag Placem_Collection'!S66)),"YES","NO")</f>
        <v>NO</v>
      </c>
      <c r="AN65" s="270" t="str">
        <f>IF(ISNUMBER(SEARCH("R", 'Dry_Litterbag Placem_Collection'!S66)),"YES","NO")</f>
        <v>NO</v>
      </c>
    </row>
    <row r="66" spans="1:40">
      <c r="A66" s="262" t="s">
        <v>2659</v>
      </c>
      <c r="B66" s="263">
        <f>'Dry_Litterbag Placem_Collection'!A67</f>
        <v>65</v>
      </c>
      <c r="C66" s="263" t="str">
        <f>'Dry_Litterbag Placem_Collection'!B67</f>
        <v>Maswa</v>
      </c>
      <c r="D66" s="263" t="s">
        <v>2659</v>
      </c>
      <c r="E66" s="263" t="s">
        <v>2661</v>
      </c>
      <c r="F66" s="263">
        <v>1</v>
      </c>
      <c r="G66" s="264" t="str">
        <f>'Dry_Litterbag Placem_Collection'!C67</f>
        <v>Dry_W1_T1</v>
      </c>
      <c r="H66" s="265" t="s">
        <v>2541</v>
      </c>
      <c r="I66" s="266" t="s">
        <v>1147</v>
      </c>
      <c r="J66" s="263" t="str">
        <f>IF(ISBLANK('Dry_Litterbag Placem_Collection'!J67),"","G"&amp;""&amp;'Dry_Litterbag Placem_Collection'!J67)</f>
        <v>G495</v>
      </c>
      <c r="K66" s="267">
        <f>IFERROR(INDEX('Green_rooibos initial weight'!$C$5:$C$1749,MATCH(J66, 'Green_rooibos initial weight'!$A$5:$A$1749,0)),"")</f>
        <v>2.0390000000000001</v>
      </c>
      <c r="L66" s="267">
        <f>IFERROR(K66-(TBIcalc!$Q$9+TBIcalc!$Q$10),"")</f>
        <v>1.7892000000000001</v>
      </c>
      <c r="M66" s="391">
        <f>AVERAGE(Ashed_controlls!$K$2:$K$11)</f>
        <v>5.5147656768714146</v>
      </c>
      <c r="N66" s="267">
        <f t="shared" si="1"/>
        <v>1.6905298125094168</v>
      </c>
      <c r="O66" s="267" t="str">
        <f>IF(IFERROR(INDEX('Both teabags AfterDry'!$D$3:$D$900,MATCH(J66,'Both teabags AfterDry'!$A$3:$A$900,0)),"")="","",(IFERROR(INDEX('Both teabags AfterDry'!$D$3:$D$900,MATCH(J66,'Both teabags AfterDry'!$A$3:$A$900,0)),"")))</f>
        <v/>
      </c>
      <c r="P66" s="267" t="str">
        <f>IFERROR(IF(O66&gt;0,O66-(TBIcalc!$Q$9),""),"")</f>
        <v/>
      </c>
      <c r="Q66" s="278" t="str">
        <f>IFERROR(INDEX('Ashed teabags dry'!$K$2:$K$825,MATCH(J66,'Ashed teabags dry'!$A$2:$A$825,0)),"")</f>
        <v/>
      </c>
      <c r="R66" s="278" t="str">
        <f t="shared" si="2"/>
        <v/>
      </c>
      <c r="S66" s="268">
        <f>'Dry_Litterbag Placem_Collection'!E67</f>
        <v>42937</v>
      </c>
      <c r="T66" s="268">
        <f>IF('Dry_Litterbag Placem_Collection'!G67="","",'Dry_Litterbag Placem_Collection'!G67)</f>
        <v>43005</v>
      </c>
      <c r="U66" s="269">
        <f t="shared" ref="U66:U129" si="5">IFERROR(T66-S66,"")</f>
        <v>68</v>
      </c>
      <c r="V66" s="267" t="str">
        <f t="shared" si="3"/>
        <v/>
      </c>
      <c r="W66" s="267" t="str">
        <f t="shared" si="4"/>
        <v/>
      </c>
      <c r="X66" s="271">
        <f>IFERROR(INDEX(Rainfall_Dry!$O$2:$O$217,MATCH(B66, Rainfall_Dry!$A$2:$A$217,0)),"")</f>
        <v>6.900000125</v>
      </c>
      <c r="Y66" s="260">
        <v>47.96</v>
      </c>
      <c r="Z66" s="260">
        <v>22.919999999999995</v>
      </c>
      <c r="AA66" s="260">
        <v>29.120000000000012</v>
      </c>
      <c r="AB66" s="261" t="s">
        <v>2673</v>
      </c>
      <c r="AC66" s="260">
        <v>2.8831936914736325</v>
      </c>
      <c r="AD66">
        <f>IF('WetLitterbags placem_collection'!AB67="","",'WetLitterbags placem_collection'!AB67)</f>
        <v>13.8</v>
      </c>
      <c r="AE66">
        <f>IF('WetLitterbags placem_collection'!Z67="","",'WetLitterbags placem_collection'!Z67)</f>
        <v>13.8</v>
      </c>
      <c r="AF66" s="246" t="str">
        <f>IF('WetLitterbags placem_collection'!AA67="","",'WetLitterbags placem_collection'!AA67)</f>
        <v>O</v>
      </c>
      <c r="AG66">
        <f>IF('WetLitterbags placem_collection'!AC67="","",'WetLitterbags placem_collection'!AC67)</f>
        <v>1</v>
      </c>
      <c r="AH66">
        <f>IFERROR(AVERAGE('Dry_Litterbag Placem_Collection'!O67,'Dry_Litterbag Placem_Collection'!R67),"")</f>
        <v>10.65</v>
      </c>
      <c r="AI66" s="271">
        <f>IFERROR(AVERAGE('Dry_Litterbag Placem_Collection'!N67,'Dry_Litterbag Placem_Collection'!Q67),"")</f>
        <v>28</v>
      </c>
      <c r="AJ66" s="270">
        <f>INDEX(Coordinates!$B$2:$B$197,MATCH(G66,Coordinates!$J$2:$J$197,0))</f>
        <v>-3.2993960379999998</v>
      </c>
      <c r="AK66" s="270">
        <f>INDEX(Coordinates!$C$2:$C$197,MATCH(G66,Coordinates!$J$2:$J$197,0))</f>
        <v>34.848240959999998</v>
      </c>
      <c r="AL66" s="270" t="str">
        <f>IF(ISNUMBER(SEARCH("C", 'Dry_Litterbag Placem_Collection'!S67)),"YES","NO")</f>
        <v>NO</v>
      </c>
      <c r="AM66" s="270" t="str">
        <f>IF(ISNUMBER(SEARCH("H", 'Dry_Litterbag Placem_Collection'!S67)),"YES","NO")</f>
        <v>NO</v>
      </c>
      <c r="AN66" s="270" t="str">
        <f>IF(ISNUMBER(SEARCH("R", 'Dry_Litterbag Placem_Collection'!S67)),"YES","NO")</f>
        <v>NO</v>
      </c>
    </row>
    <row r="67" spans="1:40">
      <c r="A67" s="262" t="s">
        <v>2659</v>
      </c>
      <c r="B67" s="263">
        <f>'Dry_Litterbag Placem_Collection'!A68</f>
        <v>66</v>
      </c>
      <c r="C67" s="263" t="str">
        <f>'Dry_Litterbag Placem_Collection'!B68</f>
        <v>Maswa</v>
      </c>
      <c r="D67" s="263" t="s">
        <v>2659</v>
      </c>
      <c r="E67" s="263" t="s">
        <v>2661</v>
      </c>
      <c r="F67" s="263">
        <v>1</v>
      </c>
      <c r="G67" s="264" t="str">
        <f>'Dry_Litterbag Placem_Collection'!C68</f>
        <v>Dry_W1_T2</v>
      </c>
      <c r="H67" s="265" t="s">
        <v>2541</v>
      </c>
      <c r="I67" s="266" t="s">
        <v>1147</v>
      </c>
      <c r="J67" s="263" t="str">
        <f>IF(ISBLANK('Dry_Litterbag Placem_Collection'!J68),"","G"&amp;""&amp;'Dry_Litterbag Placem_Collection'!J68)</f>
        <v>G247</v>
      </c>
      <c r="K67" s="267">
        <f>IFERROR(INDEX('Green_rooibos initial weight'!$C$5:$C$1749,MATCH(J67, 'Green_rooibos initial weight'!$A$5:$A$1749,0)),"")</f>
        <v>2.13</v>
      </c>
      <c r="L67" s="267">
        <f>IFERROR(K67-(TBIcalc!$Q$9+TBIcalc!$Q$10),"")</f>
        <v>1.8801999999999999</v>
      </c>
      <c r="M67" s="391">
        <f>AVERAGE(Ashed_controlls!$K$2:$K$11)</f>
        <v>5.5147656768714146</v>
      </c>
      <c r="N67" s="267">
        <f t="shared" ref="N67:N130" si="6">IFERROR(L67-(M67/100)*L67,"")</f>
        <v>1.7765113757434636</v>
      </c>
      <c r="O67" s="267">
        <f>IF(IFERROR(INDEX('Both teabags AfterDry'!$D$3:$D$900,MATCH(J67,'Both teabags AfterDry'!$A$3:$A$900,0)),"")="","",(IFERROR(INDEX('Both teabags AfterDry'!$D$3:$D$900,MATCH(J67,'Both teabags AfterDry'!$A$3:$A$900,0)),"")))</f>
        <v>1.9853000000000001</v>
      </c>
      <c r="P67" s="267">
        <f>IFERROR(IF(O67&gt;0,O67-(TBIcalc!$Q$9),""),"")</f>
        <v>1.8347</v>
      </c>
      <c r="Q67" s="278">
        <f>IFERROR(INDEX('Ashed teabags dry'!$K$2:$K$825,MATCH(J67,'Ashed teabags dry'!$A$2:$A$825,0)),"")</f>
        <v>6.078147612156255</v>
      </c>
      <c r="R67" s="278">
        <f t="shared" ref="R67:R130" si="7">IFERROR(P67-(Q67/100)*P67,"")</f>
        <v>1.7231842257597692</v>
      </c>
      <c r="S67" s="268">
        <f>'Dry_Litterbag Placem_Collection'!E68</f>
        <v>42937</v>
      </c>
      <c r="T67" s="268">
        <f>IF('Dry_Litterbag Placem_Collection'!G68="","",'Dry_Litterbag Placem_Collection'!G68)</f>
        <v>43005</v>
      </c>
      <c r="U67" s="269">
        <f t="shared" si="5"/>
        <v>68</v>
      </c>
      <c r="V67" s="267">
        <f t="shared" ref="V67:V130" si="8">IFERROR(L67-P67,"")</f>
        <v>4.5499999999999874E-2</v>
      </c>
      <c r="W67" s="267">
        <f t="shared" ref="W67:W130" si="9">IFERROR(N67-R67,"")</f>
        <v>5.3327149983694477E-2</v>
      </c>
      <c r="X67" s="271">
        <f>IFERROR(INDEX(Rainfall_Dry!$O$2:$O$217,MATCH(B67, Rainfall_Dry!$A$2:$A$217,0)),"")</f>
        <v>6.900000125</v>
      </c>
      <c r="Y67" s="260">
        <v>47.96</v>
      </c>
      <c r="Z67" s="260">
        <v>22.919999999999995</v>
      </c>
      <c r="AA67" s="260">
        <v>29.120000000000012</v>
      </c>
      <c r="AB67" s="261" t="s">
        <v>2673</v>
      </c>
      <c r="AC67" s="260">
        <v>3.8831936914736298</v>
      </c>
      <c r="AD67">
        <f>IF('WetLitterbags placem_collection'!AB68="","",'WetLitterbags placem_collection'!AB68)</f>
        <v>8</v>
      </c>
      <c r="AE67">
        <f>IF('WetLitterbags placem_collection'!Z68="","",'WetLitterbags placem_collection'!Z68)</f>
        <v>19.8</v>
      </c>
      <c r="AF67" s="246" t="str">
        <f>IF('WetLitterbags placem_collection'!AA68="","",'WetLitterbags placem_collection'!AA68)</f>
        <v>O</v>
      </c>
      <c r="AG67">
        <f>IF('WetLitterbags placem_collection'!AC68="","",'WetLitterbags placem_collection'!AC68)</f>
        <v>1</v>
      </c>
      <c r="AH67">
        <f>IFERROR(AVERAGE('Dry_Litterbag Placem_Collection'!O68,'Dry_Litterbag Placem_Collection'!R68),"")</f>
        <v>10.100000000000001</v>
      </c>
      <c r="AI67" s="271">
        <f>IFERROR(AVERAGE('Dry_Litterbag Placem_Collection'!N68,'Dry_Litterbag Placem_Collection'!Q68),"")</f>
        <v>23.6</v>
      </c>
      <c r="AJ67" s="270">
        <f>INDEX(Coordinates!$B$2:$B$197,MATCH(G67,Coordinates!$J$2:$J$197,0))</f>
        <v>-3.2993090340000002</v>
      </c>
      <c r="AK67" s="270">
        <f>INDEX(Coordinates!$C$2:$C$197,MATCH(G67,Coordinates!$J$2:$J$197,0))</f>
        <v>34.848404989999999</v>
      </c>
      <c r="AL67" s="270" t="str">
        <f>IF(ISNUMBER(SEARCH("C", 'Dry_Litterbag Placem_Collection'!S68)),"YES","NO")</f>
        <v>YES</v>
      </c>
      <c r="AM67" s="270" t="str">
        <f>IF(ISNUMBER(SEARCH("H", 'Dry_Litterbag Placem_Collection'!S68)),"YES","NO")</f>
        <v>YES</v>
      </c>
      <c r="AN67" s="270" t="str">
        <f>IF(ISNUMBER(SEARCH("R", 'Dry_Litterbag Placem_Collection'!S68)),"YES","NO")</f>
        <v>NO</v>
      </c>
    </row>
    <row r="68" spans="1:40">
      <c r="A68" s="262" t="s">
        <v>2659</v>
      </c>
      <c r="B68" s="263">
        <f>'Dry_Litterbag Placem_Collection'!A69</f>
        <v>67</v>
      </c>
      <c r="C68" s="263" t="str">
        <f>'Dry_Litterbag Placem_Collection'!B69</f>
        <v>Maswa</v>
      </c>
      <c r="D68" s="263" t="s">
        <v>2659</v>
      </c>
      <c r="E68" s="263" t="s">
        <v>2661</v>
      </c>
      <c r="F68" s="263">
        <v>1</v>
      </c>
      <c r="G68" s="264" t="str">
        <f>'Dry_Litterbag Placem_Collection'!C69</f>
        <v>Dry_W1_T3</v>
      </c>
      <c r="H68" s="265" t="s">
        <v>2541</v>
      </c>
      <c r="I68" s="266" t="s">
        <v>1147</v>
      </c>
      <c r="J68" s="263" t="str">
        <f>IF(ISBLANK('Dry_Litterbag Placem_Collection'!J69),"","G"&amp;""&amp;'Dry_Litterbag Placem_Collection'!J69)</f>
        <v/>
      </c>
      <c r="K68" s="267" t="str">
        <f>IFERROR(INDEX('Green_rooibos initial weight'!$C$5:$C$1749,MATCH(J68, 'Green_rooibos initial weight'!$A$5:$A$1749,0)),"")</f>
        <v/>
      </c>
      <c r="L68" s="267" t="str">
        <f>IFERROR(K68-(TBIcalc!$Q$9+TBIcalc!$Q$10),"")</f>
        <v/>
      </c>
      <c r="M68" s="391">
        <f>AVERAGE(Ashed_controlls!$K$2:$K$11)</f>
        <v>5.5147656768714146</v>
      </c>
      <c r="N68" s="267" t="str">
        <f t="shared" si="6"/>
        <v/>
      </c>
      <c r="O68" s="267" t="str">
        <f>IF(IFERROR(INDEX('Both teabags AfterDry'!$D$3:$D$900,MATCH(J68,'Both teabags AfterDry'!$A$3:$A$900,0)),"")="","",(IFERROR(INDEX('Both teabags AfterDry'!$D$3:$D$900,MATCH(J68,'Both teabags AfterDry'!$A$3:$A$900,0)),"")))</f>
        <v/>
      </c>
      <c r="P68" s="267" t="str">
        <f>IFERROR(IF(O68&gt;0,O68-(TBIcalc!$Q$9),""),"")</f>
        <v/>
      </c>
      <c r="Q68" s="278" t="str">
        <f>IFERROR(INDEX('Ashed teabags dry'!$K$2:$K$825,MATCH(J68,'Ashed teabags dry'!$A$2:$A$825,0)),"")</f>
        <v/>
      </c>
      <c r="R68" s="278" t="str">
        <f t="shared" si="7"/>
        <v/>
      </c>
      <c r="S68" s="268">
        <f>'Dry_Litterbag Placem_Collection'!E69</f>
        <v>0</v>
      </c>
      <c r="T68" s="268" t="str">
        <f>IF('Dry_Litterbag Placem_Collection'!G69="","",'Dry_Litterbag Placem_Collection'!G69)</f>
        <v/>
      </c>
      <c r="U68" s="269" t="str">
        <f t="shared" si="5"/>
        <v/>
      </c>
      <c r="V68" s="267" t="str">
        <f t="shared" si="8"/>
        <v/>
      </c>
      <c r="W68" s="267" t="str">
        <f t="shared" si="9"/>
        <v/>
      </c>
      <c r="X68" s="271" t="str">
        <f>IFERROR(INDEX(Rainfall_Dry!$O$2:$O$217,MATCH(B68, Rainfall_Dry!$A$2:$A$217,0)),"")</f>
        <v/>
      </c>
      <c r="Y68" s="260">
        <v>47.96</v>
      </c>
      <c r="Z68" s="260">
        <v>22.919999999999995</v>
      </c>
      <c r="AA68" s="260">
        <v>29.120000000000012</v>
      </c>
      <c r="AB68" s="261" t="s">
        <v>2673</v>
      </c>
      <c r="AC68" s="260">
        <v>4.8831936914736298</v>
      </c>
      <c r="AD68">
        <f>IF('WetLitterbags placem_collection'!AB69="","",'WetLitterbags placem_collection'!AB69)</f>
        <v>5.5</v>
      </c>
      <c r="AE68">
        <f>IF('WetLitterbags placem_collection'!Z69="","",'WetLitterbags placem_collection'!Z69)</f>
        <v>5.5</v>
      </c>
      <c r="AF68" s="246" t="str">
        <f>IF('WetLitterbags placem_collection'!AA69="","",'WetLitterbags placem_collection'!AA69)</f>
        <v>O</v>
      </c>
      <c r="AG68">
        <f>IF('WetLitterbags placem_collection'!AC69="","",'WetLitterbags placem_collection'!AC69)</f>
        <v>1</v>
      </c>
      <c r="AH68" t="str">
        <f>IFERROR(AVERAGE('Dry_Litterbag Placem_Collection'!O69,'Dry_Litterbag Placem_Collection'!R69),"")</f>
        <v/>
      </c>
      <c r="AI68" s="271" t="str">
        <f>IFERROR(AVERAGE('Dry_Litterbag Placem_Collection'!N69,'Dry_Litterbag Placem_Collection'!Q69),"")</f>
        <v/>
      </c>
      <c r="AJ68" s="270">
        <f>INDEX(Coordinates!$B$2:$B$197,MATCH(G68,Coordinates!$J$2:$J$197,0))</f>
        <v>-3.299434008</v>
      </c>
      <c r="AK68" s="270">
        <f>INDEX(Coordinates!$C$2:$C$197,MATCH(G68,Coordinates!$J$2:$J$197,0))</f>
        <v>34.848514960000003</v>
      </c>
      <c r="AL68" s="270" t="str">
        <f>IF(ISNUMBER(SEARCH("C", 'Dry_Litterbag Placem_Collection'!S69)),"YES","NO")</f>
        <v>NO</v>
      </c>
      <c r="AM68" s="270" t="str">
        <f>IF(ISNUMBER(SEARCH("H", 'Dry_Litterbag Placem_Collection'!S69)),"YES","NO")</f>
        <v>NO</v>
      </c>
      <c r="AN68" s="270" t="str">
        <f>IF(ISNUMBER(SEARCH("R", 'Dry_Litterbag Placem_Collection'!S69)),"YES","NO")</f>
        <v>NO</v>
      </c>
    </row>
    <row r="69" spans="1:40">
      <c r="A69" s="262" t="s">
        <v>2659</v>
      </c>
      <c r="B69" s="263">
        <f>'Dry_Litterbag Placem_Collection'!A70</f>
        <v>68</v>
      </c>
      <c r="C69" s="263" t="str">
        <f>'Dry_Litterbag Placem_Collection'!B70</f>
        <v>Maswa</v>
      </c>
      <c r="D69" s="263" t="s">
        <v>2659</v>
      </c>
      <c r="E69" s="263" t="s">
        <v>2661</v>
      </c>
      <c r="F69" s="263">
        <v>1</v>
      </c>
      <c r="G69" s="264" t="str">
        <f>'Dry_Litterbag Placem_Collection'!C70</f>
        <v>Dry_W1_T4</v>
      </c>
      <c r="H69" s="265" t="s">
        <v>2541</v>
      </c>
      <c r="I69" s="266" t="s">
        <v>1147</v>
      </c>
      <c r="J69" s="263" t="str">
        <f>IF(ISBLANK('Dry_Litterbag Placem_Collection'!J70),"","G"&amp;""&amp;'Dry_Litterbag Placem_Collection'!J70)</f>
        <v>G63</v>
      </c>
      <c r="K69" s="267">
        <f>IFERROR(INDEX('Green_rooibos initial weight'!$C$5:$C$1749,MATCH(J69, 'Green_rooibos initial weight'!$A$5:$A$1749,0)),"")</f>
        <v>2</v>
      </c>
      <c r="L69" s="267">
        <f>IFERROR(K69-(TBIcalc!$Q$9+TBIcalc!$Q$10),"")</f>
        <v>1.7502</v>
      </c>
      <c r="M69" s="391">
        <f>AVERAGE(Ashed_controlls!$K$2:$K$11)</f>
        <v>5.5147656768714146</v>
      </c>
      <c r="N69" s="267">
        <f t="shared" si="6"/>
        <v>1.6536805711233964</v>
      </c>
      <c r="O69" s="267">
        <f>IF(IFERROR(INDEX('Both teabags AfterDry'!$D$3:$D$900,MATCH(J69,'Both teabags AfterDry'!$A$3:$A$900,0)),"")="","",(IFERROR(INDEX('Both teabags AfterDry'!$D$3:$D$900,MATCH(J69,'Both teabags AfterDry'!$A$3:$A$900,0)),"")))</f>
        <v>1.8152999999999999</v>
      </c>
      <c r="P69" s="267">
        <f>IFERROR(IF(O69&gt;0,O69-(TBIcalc!$Q$9),""),"")</f>
        <v>1.6646999999999998</v>
      </c>
      <c r="Q69" s="278">
        <f>IFERROR(INDEX('Ashed teabags dry'!$K$2:$K$825,MATCH(J69,'Ashed teabags dry'!$A$2:$A$825,0)),"")</f>
        <v>5.6851311953349883</v>
      </c>
      <c r="R69" s="278">
        <f t="shared" si="7"/>
        <v>1.5700596209912583</v>
      </c>
      <c r="S69" s="268">
        <f>'Dry_Litterbag Placem_Collection'!E70</f>
        <v>42937</v>
      </c>
      <c r="T69" s="268">
        <f>IF('Dry_Litterbag Placem_Collection'!G70="","",'Dry_Litterbag Placem_Collection'!G70)</f>
        <v>43005</v>
      </c>
      <c r="U69" s="269">
        <f t="shared" si="5"/>
        <v>68</v>
      </c>
      <c r="V69" s="267">
        <f t="shared" si="8"/>
        <v>8.5500000000000131E-2</v>
      </c>
      <c r="W69" s="267">
        <f t="shared" si="9"/>
        <v>8.3620950132138105E-2</v>
      </c>
      <c r="X69" s="271">
        <f>IFERROR(INDEX(Rainfall_Dry!$O$2:$O$217,MATCH(B69, Rainfall_Dry!$A$2:$A$217,0)),"")</f>
        <v>6.900000125</v>
      </c>
      <c r="Y69" s="260">
        <v>47.96</v>
      </c>
      <c r="Z69" s="260">
        <v>22.919999999999995</v>
      </c>
      <c r="AA69" s="260">
        <v>29.120000000000012</v>
      </c>
      <c r="AB69" s="261" t="s">
        <v>2673</v>
      </c>
      <c r="AC69" s="260">
        <v>5.8831936914736298</v>
      </c>
      <c r="AD69">
        <f>IF('WetLitterbags placem_collection'!AB70="","",'WetLitterbags placem_collection'!AB70)</f>
        <v>9.6999999999999993</v>
      </c>
      <c r="AE69">
        <f>IF('WetLitterbags placem_collection'!Z70="","",'WetLitterbags placem_collection'!Z70)</f>
        <v>23.4</v>
      </c>
      <c r="AF69" s="246" t="str">
        <f>IF('WetLitterbags placem_collection'!AA70="","",'WetLitterbags placem_collection'!AA70)</f>
        <v>O</v>
      </c>
      <c r="AG69">
        <f>IF('WetLitterbags placem_collection'!AC70="","",'WetLitterbags placem_collection'!AC70)</f>
        <v>1</v>
      </c>
      <c r="AH69">
        <f>IFERROR(AVERAGE('Dry_Litterbag Placem_Collection'!O70,'Dry_Litterbag Placem_Collection'!R70),"")</f>
        <v>7.75</v>
      </c>
      <c r="AI69" s="271">
        <f>IFERROR(AVERAGE('Dry_Litterbag Placem_Collection'!N70,'Dry_Litterbag Placem_Collection'!Q70),"")</f>
        <v>26.85</v>
      </c>
      <c r="AJ69" s="270">
        <f>INDEX(Coordinates!$B$2:$B$197,MATCH(G69,Coordinates!$J$2:$J$197,0))</f>
        <v>-3.2991180099999999</v>
      </c>
      <c r="AK69" s="270">
        <f>INDEX(Coordinates!$C$2:$C$197,MATCH(G69,Coordinates!$J$2:$J$197,0))</f>
        <v>34.84824699</v>
      </c>
      <c r="AL69" s="270" t="str">
        <f>IF(ISNUMBER(SEARCH("C", 'Dry_Litterbag Placem_Collection'!S70)),"YES","NO")</f>
        <v>NO</v>
      </c>
      <c r="AM69" s="270" t="str">
        <f>IF(ISNUMBER(SEARCH("H", 'Dry_Litterbag Placem_Collection'!S70)),"YES","NO")</f>
        <v>NO</v>
      </c>
      <c r="AN69" s="270" t="str">
        <f>IF(ISNUMBER(SEARCH("R", 'Dry_Litterbag Placem_Collection'!S70)),"YES","NO")</f>
        <v>NO</v>
      </c>
    </row>
    <row r="70" spans="1:40">
      <c r="A70" s="262" t="s">
        <v>2659</v>
      </c>
      <c r="B70" s="263">
        <f>'Dry_Litterbag Placem_Collection'!A71</f>
        <v>69</v>
      </c>
      <c r="C70" s="263" t="str">
        <f>'Dry_Litterbag Placem_Collection'!B71</f>
        <v>Maswa</v>
      </c>
      <c r="D70" s="263" t="s">
        <v>2659</v>
      </c>
      <c r="E70" s="263" t="s">
        <v>2661</v>
      </c>
      <c r="F70" s="263">
        <v>1</v>
      </c>
      <c r="G70" s="264" t="str">
        <f>'Dry_Litterbag Placem_Collection'!C71</f>
        <v>Dry_W1_T5</v>
      </c>
      <c r="H70" s="265" t="s">
        <v>2541</v>
      </c>
      <c r="I70" s="266" t="s">
        <v>1147</v>
      </c>
      <c r="J70" s="263" t="str">
        <f>IF(ISBLANK('Dry_Litterbag Placem_Collection'!J71),"","G"&amp;""&amp;'Dry_Litterbag Placem_Collection'!J71)</f>
        <v>G382</v>
      </c>
      <c r="K70" s="267">
        <f>IFERROR(INDEX('Green_rooibos initial weight'!$C$5:$C$1749,MATCH(J70, 'Green_rooibos initial weight'!$A$5:$A$1749,0)),"")</f>
        <v>2.0960000000000001</v>
      </c>
      <c r="L70" s="267">
        <f>IFERROR(K70-(TBIcalc!$Q$9+TBIcalc!$Q$10),"")</f>
        <v>1.8462000000000001</v>
      </c>
      <c r="M70" s="391">
        <f>AVERAGE(Ashed_controlls!$K$2:$K$11)</f>
        <v>5.5147656768714146</v>
      </c>
      <c r="N70" s="267">
        <f t="shared" si="6"/>
        <v>1.7443863960735999</v>
      </c>
      <c r="O70" s="267">
        <f>IF(IFERROR(INDEX('Both teabags AfterDry'!$D$3:$D$900,MATCH(J70,'Both teabags AfterDry'!$A$3:$A$900,0)),"")="","",(IFERROR(INDEX('Both teabags AfterDry'!$D$3:$D$900,MATCH(J70,'Both teabags AfterDry'!$A$3:$A$900,0)),"")))</f>
        <v>1.8677999999999999</v>
      </c>
      <c r="P70" s="267">
        <f>IFERROR(IF(O70&gt;0,O70-(TBIcalc!$Q$9),""),"")</f>
        <v>1.7171999999999998</v>
      </c>
      <c r="Q70" s="278">
        <f>IFERROR(INDEX('Ashed teabags dry'!$K$2:$K$825,MATCH(J70,'Ashed teabags dry'!$A$2:$A$825,0)),"")</f>
        <v>5.5063913470994565</v>
      </c>
      <c r="R70" s="278">
        <f t="shared" si="7"/>
        <v>1.622644247787608</v>
      </c>
      <c r="S70" s="268">
        <f>'Dry_Litterbag Placem_Collection'!E71</f>
        <v>42937</v>
      </c>
      <c r="T70" s="268">
        <f>IF('Dry_Litterbag Placem_Collection'!G71="","",'Dry_Litterbag Placem_Collection'!G71)</f>
        <v>43006</v>
      </c>
      <c r="U70" s="269">
        <f t="shared" si="5"/>
        <v>69</v>
      </c>
      <c r="V70" s="267">
        <f t="shared" si="8"/>
        <v>0.12900000000000023</v>
      </c>
      <c r="W70" s="267">
        <f t="shared" si="9"/>
        <v>0.12174214828599195</v>
      </c>
      <c r="X70" s="271">
        <f>IFERROR(INDEX(Rainfall_Dry!$O$2:$O$217,MATCH(B70, Rainfall_Dry!$A$2:$A$217,0)),"")</f>
        <v>6.900000125</v>
      </c>
      <c r="Y70" s="260">
        <v>47.96</v>
      </c>
      <c r="Z70" s="260">
        <v>22.919999999999995</v>
      </c>
      <c r="AA70" s="260">
        <v>29.120000000000012</v>
      </c>
      <c r="AB70" s="261" t="s">
        <v>2673</v>
      </c>
      <c r="AC70" s="260">
        <v>6.8831936914736298</v>
      </c>
      <c r="AD70">
        <f>IF('WetLitterbags placem_collection'!AB71="","",'WetLitterbags placem_collection'!AB71)</f>
        <v>14.4</v>
      </c>
      <c r="AE70">
        <f>IF('WetLitterbags placem_collection'!Z71="","",'WetLitterbags placem_collection'!Z71)</f>
        <v>24.4</v>
      </c>
      <c r="AF70" s="246" t="str">
        <f>IF('WetLitterbags placem_collection'!AA71="","",'WetLitterbags placem_collection'!AA71)</f>
        <v>O</v>
      </c>
      <c r="AG70">
        <f>IF('WetLitterbags placem_collection'!AC71="","",'WetLitterbags placem_collection'!AC71)</f>
        <v>1</v>
      </c>
      <c r="AH70">
        <f>IFERROR(AVERAGE('Dry_Litterbag Placem_Collection'!O71,'Dry_Litterbag Placem_Collection'!R71),"")</f>
        <v>7.95</v>
      </c>
      <c r="AI70" s="271">
        <f>IFERROR(AVERAGE('Dry_Litterbag Placem_Collection'!N71,'Dry_Litterbag Placem_Collection'!Q71),"")</f>
        <v>26.55</v>
      </c>
      <c r="AJ70" s="270">
        <f>INDEX(Coordinates!$B$2:$B$197,MATCH(G70,Coordinates!$J$2:$J$197,0))</f>
        <v>-3.2993180030000002</v>
      </c>
      <c r="AK70" s="270">
        <f>INDEX(Coordinates!$C$2:$C$197,MATCH(G70,Coordinates!$J$2:$J$197,0))</f>
        <v>34.848235010000003</v>
      </c>
      <c r="AL70" s="270" t="str">
        <f>IF(ISNUMBER(SEARCH("C", 'Dry_Litterbag Placem_Collection'!S71)),"YES","NO")</f>
        <v>NO</v>
      </c>
      <c r="AM70" s="270" t="str">
        <f>IF(ISNUMBER(SEARCH("H", 'Dry_Litterbag Placem_Collection'!S71)),"YES","NO")</f>
        <v>NO</v>
      </c>
      <c r="AN70" s="270" t="str">
        <f>IF(ISNUMBER(SEARCH("R", 'Dry_Litterbag Placem_Collection'!S71)),"YES","NO")</f>
        <v>NO</v>
      </c>
    </row>
    <row r="71" spans="1:40">
      <c r="A71" s="262" t="s">
        <v>2659</v>
      </c>
      <c r="B71" s="263">
        <f>'Dry_Litterbag Placem_Collection'!A72</f>
        <v>70</v>
      </c>
      <c r="C71" s="263" t="str">
        <f>'Dry_Litterbag Placem_Collection'!B72</f>
        <v>Maswa</v>
      </c>
      <c r="D71" s="263" t="s">
        <v>2659</v>
      </c>
      <c r="E71" s="263" t="s">
        <v>2661</v>
      </c>
      <c r="F71" s="263">
        <v>1</v>
      </c>
      <c r="G71" s="264" t="str">
        <f>'Dry_Litterbag Placem_Collection'!C72</f>
        <v>Dry_W1_T6</v>
      </c>
      <c r="H71" s="265" t="s">
        <v>2541</v>
      </c>
      <c r="I71" s="266" t="s">
        <v>1147</v>
      </c>
      <c r="J71" s="263" t="str">
        <f>IF(ISBLANK('Dry_Litterbag Placem_Collection'!J72),"","G"&amp;""&amp;'Dry_Litterbag Placem_Collection'!J72)</f>
        <v>G278</v>
      </c>
      <c r="K71" s="267">
        <f>IFERROR(INDEX('Green_rooibos initial weight'!$C$5:$C$1749,MATCH(J71, 'Green_rooibos initial weight'!$A$5:$A$1749,0)),"")</f>
        <v>2.0049999999999999</v>
      </c>
      <c r="L71" s="267">
        <f>IFERROR(K71-(TBIcalc!$Q$9+TBIcalc!$Q$10),"")</f>
        <v>1.7551999999999999</v>
      </c>
      <c r="M71" s="391">
        <f>AVERAGE(Ashed_controlls!$K$2:$K$11)</f>
        <v>5.5147656768714146</v>
      </c>
      <c r="N71" s="267">
        <f t="shared" si="6"/>
        <v>1.6584048328395529</v>
      </c>
      <c r="O71" s="267">
        <f>IF(IFERROR(INDEX('Both teabags AfterDry'!$D$3:$D$900,MATCH(J71,'Both teabags AfterDry'!$A$3:$A$900,0)),"")="","",(IFERROR(INDEX('Both teabags AfterDry'!$D$3:$D$900,MATCH(J71,'Both teabags AfterDry'!$A$3:$A$900,0)),"")))</f>
        <v>1.8243</v>
      </c>
      <c r="P71" s="267">
        <f>IFERROR(IF(O71&gt;0,O71-(TBIcalc!$Q$9),""),"")</f>
        <v>1.6737</v>
      </c>
      <c r="Q71" s="278">
        <f>IFERROR(INDEX('Ashed teabags dry'!$K$2:$K$825,MATCH(J71,'Ashed teabags dry'!$A$2:$A$825,0)),"")</f>
        <v>5.9292476332832429</v>
      </c>
      <c r="R71" s="278">
        <f t="shared" si="7"/>
        <v>1.5744621823617384</v>
      </c>
      <c r="S71" s="268">
        <f>'Dry_Litterbag Placem_Collection'!E72</f>
        <v>42937</v>
      </c>
      <c r="T71" s="268">
        <f>IF('Dry_Litterbag Placem_Collection'!G72="","",'Dry_Litterbag Placem_Collection'!G72)</f>
        <v>43006</v>
      </c>
      <c r="U71" s="269">
        <f t="shared" si="5"/>
        <v>69</v>
      </c>
      <c r="V71" s="267">
        <f t="shared" si="8"/>
        <v>8.1499999999999906E-2</v>
      </c>
      <c r="W71" s="267">
        <f t="shared" si="9"/>
        <v>8.3942650477814462E-2</v>
      </c>
      <c r="X71" s="271">
        <f>IFERROR(INDEX(Rainfall_Dry!$O$2:$O$217,MATCH(B71, Rainfall_Dry!$A$2:$A$217,0)),"")</f>
        <v>6.900000125</v>
      </c>
      <c r="Y71" s="260">
        <v>47.96</v>
      </c>
      <c r="Z71" s="260">
        <v>22.919999999999995</v>
      </c>
      <c r="AA71" s="260">
        <v>29.120000000000012</v>
      </c>
      <c r="AB71" s="261" t="s">
        <v>2673</v>
      </c>
      <c r="AC71" s="260">
        <v>7.8831936914736298</v>
      </c>
      <c r="AD71">
        <f>IF('WetLitterbags placem_collection'!AB72="","",'WetLitterbags placem_collection'!AB72)</f>
        <v>15</v>
      </c>
      <c r="AE71">
        <f>IF('WetLitterbags placem_collection'!Z72="","",'WetLitterbags placem_collection'!Z72)</f>
        <v>28</v>
      </c>
      <c r="AF71" s="246" t="str">
        <f>IF('WetLitterbags placem_collection'!AA72="","",'WetLitterbags placem_collection'!AA72)</f>
        <v>O</v>
      </c>
      <c r="AG71">
        <f>IF('WetLitterbags placem_collection'!AC72="","",'WetLitterbags placem_collection'!AC72)</f>
        <v>0</v>
      </c>
      <c r="AH71">
        <f>IFERROR(AVERAGE('Dry_Litterbag Placem_Collection'!O72,'Dry_Litterbag Placem_Collection'!R72),"")</f>
        <v>8.8000000000000007</v>
      </c>
      <c r="AI71" s="271">
        <f>IFERROR(AVERAGE('Dry_Litterbag Placem_Collection'!N72,'Dry_Litterbag Placem_Collection'!Q72),"")</f>
        <v>27.200000000000003</v>
      </c>
      <c r="AJ71" s="270">
        <f>INDEX(Coordinates!$B$2:$B$197,MATCH(G71,Coordinates!$J$2:$J$197,0))</f>
        <v>-3.299381034</v>
      </c>
      <c r="AK71" s="270">
        <f>INDEX(Coordinates!$C$2:$C$197,MATCH(G71,Coordinates!$J$2:$J$197,0))</f>
        <v>34.848312040000003</v>
      </c>
      <c r="AL71" s="270" t="str">
        <f>IF(ISNUMBER(SEARCH("C", 'Dry_Litterbag Placem_Collection'!S72)),"YES","NO")</f>
        <v>NO</v>
      </c>
      <c r="AM71" s="270" t="str">
        <f>IF(ISNUMBER(SEARCH("H", 'Dry_Litterbag Placem_Collection'!S72)),"YES","NO")</f>
        <v>NO</v>
      </c>
      <c r="AN71" s="270" t="str">
        <f>IF(ISNUMBER(SEARCH("R", 'Dry_Litterbag Placem_Collection'!S72)),"YES","NO")</f>
        <v>NO</v>
      </c>
    </row>
    <row r="72" spans="1:40">
      <c r="A72" s="262" t="s">
        <v>2659</v>
      </c>
      <c r="B72" s="263">
        <f>'Dry_Litterbag Placem_Collection'!A73</f>
        <v>71</v>
      </c>
      <c r="C72" s="263" t="str">
        <f>'Dry_Litterbag Placem_Collection'!B73</f>
        <v>Maswa</v>
      </c>
      <c r="D72" s="263" t="s">
        <v>2659</v>
      </c>
      <c r="E72" s="263" t="s">
        <v>2661</v>
      </c>
      <c r="F72" s="263">
        <v>1</v>
      </c>
      <c r="G72" s="264" t="str">
        <f>'Dry_Litterbag Placem_Collection'!C73</f>
        <v>Dry_W1_T7</v>
      </c>
      <c r="H72" s="265" t="s">
        <v>2541</v>
      </c>
      <c r="I72" s="266" t="s">
        <v>1147</v>
      </c>
      <c r="J72" s="263" t="str">
        <f>IF(ISBLANK('Dry_Litterbag Placem_Collection'!J73),"","G"&amp;""&amp;'Dry_Litterbag Placem_Collection'!J73)</f>
        <v>G138</v>
      </c>
      <c r="K72" s="267">
        <f>IFERROR(INDEX('Green_rooibos initial weight'!$C$5:$C$1749,MATCH(J72, 'Green_rooibos initial weight'!$A$5:$A$1749,0)),"")</f>
        <v>1.956</v>
      </c>
      <c r="L72" s="267">
        <f>IFERROR(K72-(TBIcalc!$Q$9+TBIcalc!$Q$10),"")</f>
        <v>1.7061999999999999</v>
      </c>
      <c r="M72" s="391">
        <f>AVERAGE(Ashed_controlls!$K$2:$K$11)</f>
        <v>5.5147656768714146</v>
      </c>
      <c r="N72" s="267">
        <f t="shared" si="6"/>
        <v>1.6121070680212199</v>
      </c>
      <c r="O72" s="267">
        <f>IF(IFERROR(INDEX('Both teabags AfterDry'!$D$3:$D$900,MATCH(J72,'Both teabags AfterDry'!$A$3:$A$900,0)),"")="","",(IFERROR(INDEX('Both teabags AfterDry'!$D$3:$D$900,MATCH(J72,'Both teabags AfterDry'!$A$3:$A$900,0)),"")))</f>
        <v>1.782</v>
      </c>
      <c r="P72" s="267">
        <f>IFERROR(IF(O72&gt;0,O72-(TBIcalc!$Q$9),""),"")</f>
        <v>1.6314</v>
      </c>
      <c r="Q72" s="278">
        <f>IFERROR(INDEX('Ashed teabags dry'!$K$2:$K$825,MATCH(J72,'Ashed teabags dry'!$A$2:$A$825,0)),"")</f>
        <v>5.177372962607877</v>
      </c>
      <c r="R72" s="278">
        <f t="shared" si="7"/>
        <v>1.546936337488015</v>
      </c>
      <c r="S72" s="268">
        <f>'Dry_Litterbag Placem_Collection'!E73</f>
        <v>42937</v>
      </c>
      <c r="T72" s="268">
        <f>IF('Dry_Litterbag Placem_Collection'!G73="","",'Dry_Litterbag Placem_Collection'!G73)</f>
        <v>43006</v>
      </c>
      <c r="U72" s="269">
        <f t="shared" si="5"/>
        <v>69</v>
      </c>
      <c r="V72" s="267">
        <f t="shared" si="8"/>
        <v>7.4799999999999978E-2</v>
      </c>
      <c r="W72" s="267">
        <f t="shared" si="9"/>
        <v>6.517073053320499E-2</v>
      </c>
      <c r="X72" s="271">
        <f>IFERROR(INDEX(Rainfall_Dry!$O$2:$O$217,MATCH(B72, Rainfall_Dry!$A$2:$A$217,0)),"")</f>
        <v>6.900000125</v>
      </c>
      <c r="Y72" s="260">
        <v>47.96</v>
      </c>
      <c r="Z72" s="260">
        <v>22.919999999999995</v>
      </c>
      <c r="AA72" s="260">
        <v>29.120000000000012</v>
      </c>
      <c r="AB72" s="261" t="s">
        <v>2673</v>
      </c>
      <c r="AC72" s="260">
        <v>8.8831936914736307</v>
      </c>
      <c r="AD72">
        <f>IF('WetLitterbags placem_collection'!AB73="","",'WetLitterbags placem_collection'!AB73)</f>
        <v>15.5</v>
      </c>
      <c r="AE72">
        <f>IF('WetLitterbags placem_collection'!Z73="","",'WetLitterbags placem_collection'!Z73)</f>
        <v>32</v>
      </c>
      <c r="AF72" s="246" t="str">
        <f>IF('WetLitterbags placem_collection'!AA73="","",'WetLitterbags placem_collection'!AA73)</f>
        <v>O</v>
      </c>
      <c r="AG72">
        <f>IF('WetLitterbags placem_collection'!AC73="","",'WetLitterbags placem_collection'!AC73)</f>
        <v>1</v>
      </c>
      <c r="AH72">
        <f>IFERROR(AVERAGE('Dry_Litterbag Placem_Collection'!O73,'Dry_Litterbag Placem_Collection'!R73),"")</f>
        <v>9.9499999999999993</v>
      </c>
      <c r="AI72" s="271">
        <f>IFERROR(AVERAGE('Dry_Litterbag Placem_Collection'!N73,'Dry_Litterbag Placem_Collection'!Q73),"")</f>
        <v>27.6</v>
      </c>
      <c r="AJ72" s="270">
        <f>INDEX(Coordinates!$B$2:$B$197,MATCH(G72,Coordinates!$J$2:$J$197,0))</f>
        <v>-3.2992429849999998</v>
      </c>
      <c r="AK72" s="270">
        <f>INDEX(Coordinates!$C$2:$C$197,MATCH(G72,Coordinates!$J$2:$J$197,0))</f>
        <v>34.847900989999999</v>
      </c>
      <c r="AL72" s="270" t="str">
        <f>IF(ISNUMBER(SEARCH("C", 'Dry_Litterbag Placem_Collection'!S73)),"YES","NO")</f>
        <v>NO</v>
      </c>
      <c r="AM72" s="270" t="str">
        <f>IF(ISNUMBER(SEARCH("H", 'Dry_Litterbag Placem_Collection'!S73)),"YES","NO")</f>
        <v>NO</v>
      </c>
      <c r="AN72" s="270" t="str">
        <f>IF(ISNUMBER(SEARCH("R", 'Dry_Litterbag Placem_Collection'!S73)),"YES","NO")</f>
        <v>NO</v>
      </c>
    </row>
    <row r="73" spans="1:40">
      <c r="A73" s="262" t="s">
        <v>2659</v>
      </c>
      <c r="B73" s="263">
        <f>'Dry_Litterbag Placem_Collection'!A74</f>
        <v>72</v>
      </c>
      <c r="C73" s="263" t="str">
        <f>'Dry_Litterbag Placem_Collection'!B74</f>
        <v>Maswa</v>
      </c>
      <c r="D73" s="263" t="s">
        <v>2659</v>
      </c>
      <c r="E73" s="263" t="s">
        <v>2661</v>
      </c>
      <c r="F73" s="263">
        <v>1</v>
      </c>
      <c r="G73" s="264" t="str">
        <f>'Dry_Litterbag Placem_Collection'!C74</f>
        <v>Dry_W1_T8</v>
      </c>
      <c r="H73" s="265" t="s">
        <v>2541</v>
      </c>
      <c r="I73" s="266" t="s">
        <v>1147</v>
      </c>
      <c r="J73" s="263" t="str">
        <f>IF(ISBLANK('Dry_Litterbag Placem_Collection'!J74),"","G"&amp;""&amp;'Dry_Litterbag Placem_Collection'!J74)</f>
        <v>G431</v>
      </c>
      <c r="K73" s="267">
        <f>IFERROR(INDEX('Green_rooibos initial weight'!$C$5:$C$1749,MATCH(J73, 'Green_rooibos initial weight'!$A$5:$A$1749,0)),"")</f>
        <v>2.08</v>
      </c>
      <c r="L73" s="267">
        <f>IFERROR(K73-(TBIcalc!$Q$9+TBIcalc!$Q$10),"")</f>
        <v>1.8302</v>
      </c>
      <c r="M73" s="391">
        <f>AVERAGE(Ashed_controlls!$K$2:$K$11)</f>
        <v>5.5147656768714146</v>
      </c>
      <c r="N73" s="267">
        <f t="shared" si="6"/>
        <v>1.7292687585818993</v>
      </c>
      <c r="O73" s="267">
        <f>IF(IFERROR(INDEX('Both teabags AfterDry'!$D$3:$D$900,MATCH(J73,'Both teabags AfterDry'!$A$3:$A$900,0)),"")="","",(IFERROR(INDEX('Both teabags AfterDry'!$D$3:$D$900,MATCH(J73,'Both teabags AfterDry'!$A$3:$A$900,0)),"")))</f>
        <v>1.8758999999999999</v>
      </c>
      <c r="P73" s="267">
        <f>IFERROR(IF(O73&gt;0,O73-(TBIcalc!$Q$9),""),"")</f>
        <v>1.7252999999999998</v>
      </c>
      <c r="Q73" s="278">
        <f>IFERROR(INDEX('Ashed teabags dry'!$K$2:$K$825,MATCH(J73,'Ashed teabags dry'!$A$2:$A$825,0)),"")</f>
        <v>5.6922334780507073</v>
      </c>
      <c r="R73" s="278">
        <f t="shared" si="7"/>
        <v>1.627091895803191</v>
      </c>
      <c r="S73" s="268">
        <f>'Dry_Litterbag Placem_Collection'!E74</f>
        <v>42937</v>
      </c>
      <c r="T73" s="268">
        <f>IF('Dry_Litterbag Placem_Collection'!G74="","",'Dry_Litterbag Placem_Collection'!G74)</f>
        <v>43006</v>
      </c>
      <c r="U73" s="269">
        <f t="shared" si="5"/>
        <v>69</v>
      </c>
      <c r="V73" s="267">
        <f t="shared" si="8"/>
        <v>0.10490000000000022</v>
      </c>
      <c r="W73" s="267">
        <f t="shared" si="9"/>
        <v>0.1021768627787083</v>
      </c>
      <c r="X73" s="271">
        <f>IFERROR(INDEX(Rainfall_Dry!$O$2:$O$217,MATCH(B73, Rainfall_Dry!$A$2:$A$217,0)),"")</f>
        <v>6.900000125</v>
      </c>
      <c r="Y73" s="260">
        <v>47.96</v>
      </c>
      <c r="Z73" s="260">
        <v>22.919999999999995</v>
      </c>
      <c r="AA73" s="260">
        <v>29.120000000000012</v>
      </c>
      <c r="AB73" s="261" t="s">
        <v>2673</v>
      </c>
      <c r="AC73" s="260">
        <v>9.8831936914736307</v>
      </c>
      <c r="AD73">
        <f>IF('WetLitterbags placem_collection'!AB74="","",'WetLitterbags placem_collection'!AB74)</f>
        <v>2.6</v>
      </c>
      <c r="AE73">
        <f>IF('WetLitterbags placem_collection'!Z74="","",'WetLitterbags placem_collection'!Z74)</f>
        <v>44</v>
      </c>
      <c r="AF73" s="246" t="str">
        <f>IF('WetLitterbags placem_collection'!AA74="","",'WetLitterbags placem_collection'!AA74)</f>
        <v>O</v>
      </c>
      <c r="AG73">
        <f>IF('WetLitterbags placem_collection'!AC74="","",'WetLitterbags placem_collection'!AC74)</f>
        <v>1</v>
      </c>
      <c r="AH73">
        <f>IFERROR(AVERAGE('Dry_Litterbag Placem_Collection'!O74,'Dry_Litterbag Placem_Collection'!R74),"")</f>
        <v>9.5</v>
      </c>
      <c r="AI73" s="271">
        <f>IFERROR(AVERAGE('Dry_Litterbag Placem_Collection'!N74,'Dry_Litterbag Placem_Collection'!Q74),"")</f>
        <v>26.35</v>
      </c>
      <c r="AJ73" s="270">
        <f>INDEX(Coordinates!$B$2:$B$197,MATCH(G73,Coordinates!$J$2:$J$197,0))</f>
        <v>-3.2996540329999999</v>
      </c>
      <c r="AK73" s="270">
        <f>INDEX(Coordinates!$C$2:$C$197,MATCH(G73,Coordinates!$J$2:$J$197,0))</f>
        <v>34.848151020000003</v>
      </c>
      <c r="AL73" s="270" t="str">
        <f>IF(ISNUMBER(SEARCH("C", 'Dry_Litterbag Placem_Collection'!S74)),"YES","NO")</f>
        <v>NO</v>
      </c>
      <c r="AM73" s="270" t="str">
        <f>IF(ISNUMBER(SEARCH("H", 'Dry_Litterbag Placem_Collection'!S74)),"YES","NO")</f>
        <v>NO</v>
      </c>
      <c r="AN73" s="270" t="str">
        <f>IF(ISNUMBER(SEARCH("R", 'Dry_Litterbag Placem_Collection'!S74)),"YES","NO")</f>
        <v>NO</v>
      </c>
    </row>
    <row r="74" spans="1:40">
      <c r="A74" s="262" t="s">
        <v>2659</v>
      </c>
      <c r="B74" s="263">
        <f>'Dry_Litterbag Placem_Collection'!A75</f>
        <v>73</v>
      </c>
      <c r="C74" s="263" t="str">
        <f>'Dry_Litterbag Placem_Collection'!B75</f>
        <v>Maswa</v>
      </c>
      <c r="D74" s="263" t="s">
        <v>2659</v>
      </c>
      <c r="E74" s="263" t="s">
        <v>2661</v>
      </c>
      <c r="F74" s="263">
        <v>2</v>
      </c>
      <c r="G74" s="264" t="str">
        <f>'Dry_Litterbag Placem_Collection'!C75</f>
        <v>Dry_W2_T1</v>
      </c>
      <c r="H74" s="265" t="s">
        <v>2541</v>
      </c>
      <c r="I74" s="266" t="s">
        <v>1147</v>
      </c>
      <c r="J74" s="263" t="str">
        <f>IF(ISBLANK('Dry_Litterbag Placem_Collection'!J75),"","G"&amp;""&amp;'Dry_Litterbag Placem_Collection'!J75)</f>
        <v>G321</v>
      </c>
      <c r="K74" s="267">
        <f>IFERROR(INDEX('Green_rooibos initial weight'!$C$5:$C$1749,MATCH(J74, 'Green_rooibos initial weight'!$A$5:$A$1749,0)),"")</f>
        <v>1.9179999999999999</v>
      </c>
      <c r="L74" s="267">
        <f>IFERROR(K74-(TBIcalc!$Q$9+TBIcalc!$Q$10),"")</f>
        <v>1.6681999999999999</v>
      </c>
      <c r="M74" s="391">
        <f>AVERAGE(Ashed_controlls!$K$2:$K$11)</f>
        <v>5.5147656768714146</v>
      </c>
      <c r="N74" s="267">
        <f t="shared" si="6"/>
        <v>1.5762026789784309</v>
      </c>
      <c r="O74" s="267" t="str">
        <f>IF(IFERROR(INDEX('Both teabags AfterDry'!$D$3:$D$900,MATCH(J74,'Both teabags AfterDry'!$A$3:$A$900,0)),"")="","",(IFERROR(INDEX('Both teabags AfterDry'!$D$3:$D$900,MATCH(J74,'Both teabags AfterDry'!$A$3:$A$900,0)),"")))</f>
        <v/>
      </c>
      <c r="P74" s="267" t="str">
        <f>IFERROR(IF(O74&gt;0,O74-(TBIcalc!$Q$9),""),"")</f>
        <v/>
      </c>
      <c r="Q74" s="278" t="str">
        <f>IFERROR(INDEX('Ashed teabags dry'!$K$2:$K$825,MATCH(J74,'Ashed teabags dry'!$A$2:$A$825,0)),"")</f>
        <v/>
      </c>
      <c r="R74" s="278" t="str">
        <f t="shared" si="7"/>
        <v/>
      </c>
      <c r="S74" s="268">
        <f>'Dry_Litterbag Placem_Collection'!E75</f>
        <v>42937</v>
      </c>
      <c r="T74" s="268">
        <f>IF('Dry_Litterbag Placem_Collection'!G75="","",'Dry_Litterbag Placem_Collection'!G75)</f>
        <v>43006</v>
      </c>
      <c r="U74" s="269">
        <f t="shared" si="5"/>
        <v>69</v>
      </c>
      <c r="V74" s="267" t="str">
        <f t="shared" si="8"/>
        <v/>
      </c>
      <c r="W74" s="267" t="str">
        <f t="shared" si="9"/>
        <v/>
      </c>
      <c r="X74" s="271">
        <f>IFERROR(INDEX(Rainfall_Dry!$O$2:$O$217,MATCH(B74, Rainfall_Dry!$A$2:$A$217,0)),"")</f>
        <v>6.900000125</v>
      </c>
      <c r="Y74" s="260">
        <v>45.272914521112256</v>
      </c>
      <c r="Z74" s="260">
        <v>23.604531410916575</v>
      </c>
      <c r="AA74" s="260">
        <v>31.122554067971166</v>
      </c>
      <c r="AB74" s="261" t="s">
        <v>2673</v>
      </c>
      <c r="AC74" s="260">
        <v>2.0547560374568752</v>
      </c>
      <c r="AD74">
        <f>IF('WetLitterbags placem_collection'!AB75="","",'WetLitterbags placem_collection'!AB75)</f>
        <v>9.1</v>
      </c>
      <c r="AE74">
        <f>IF('WetLitterbags placem_collection'!Z75="","",'WetLitterbags placem_collection'!Z75)</f>
        <v>10</v>
      </c>
      <c r="AF74" s="246" t="str">
        <f>IF('WetLitterbags placem_collection'!AA75="","",'WetLitterbags placem_collection'!AA75)</f>
        <v>M</v>
      </c>
      <c r="AG74">
        <f>IF('WetLitterbags placem_collection'!AC75="","",'WetLitterbags placem_collection'!AC75)</f>
        <v>1</v>
      </c>
      <c r="AH74">
        <f>IFERROR(AVERAGE('Dry_Litterbag Placem_Collection'!O75,'Dry_Litterbag Placem_Collection'!R75),"")</f>
        <v>9.5500000000000007</v>
      </c>
      <c r="AI74" s="271">
        <f>IFERROR(AVERAGE('Dry_Litterbag Placem_Collection'!N75,'Dry_Litterbag Placem_Collection'!Q75),"")</f>
        <v>28.35</v>
      </c>
      <c r="AJ74" s="270">
        <f>INDEX(Coordinates!$B$2:$B$197,MATCH(G74,Coordinates!$J$2:$J$197,0))</f>
        <v>-3.3025860229999999</v>
      </c>
      <c r="AK74" s="270">
        <f>INDEX(Coordinates!$C$2:$C$197,MATCH(G74,Coordinates!$J$2:$J$197,0))</f>
        <v>34.848048009999999</v>
      </c>
      <c r="AL74" s="270" t="str">
        <f>IF(ISNUMBER(SEARCH("C", 'Dry_Litterbag Placem_Collection'!S75)),"YES","NO")</f>
        <v>NO</v>
      </c>
      <c r="AM74" s="270" t="str">
        <f>IF(ISNUMBER(SEARCH("H", 'Dry_Litterbag Placem_Collection'!S75)),"YES","NO")</f>
        <v>NO</v>
      </c>
      <c r="AN74" s="270" t="str">
        <f>IF(ISNUMBER(SEARCH("R", 'Dry_Litterbag Placem_Collection'!S75)),"YES","NO")</f>
        <v>NO</v>
      </c>
    </row>
    <row r="75" spans="1:40">
      <c r="A75" s="262" t="s">
        <v>2659</v>
      </c>
      <c r="B75" s="263">
        <f>'Dry_Litterbag Placem_Collection'!A76</f>
        <v>74</v>
      </c>
      <c r="C75" s="263" t="str">
        <f>'Dry_Litterbag Placem_Collection'!B76</f>
        <v>Maswa</v>
      </c>
      <c r="D75" s="263" t="s">
        <v>2659</v>
      </c>
      <c r="E75" s="263" t="s">
        <v>2661</v>
      </c>
      <c r="F75" s="263">
        <v>2</v>
      </c>
      <c r="G75" s="264" t="str">
        <f>'Dry_Litterbag Placem_Collection'!C76</f>
        <v>Dry_W2_T2</v>
      </c>
      <c r="H75" s="265" t="s">
        <v>2541</v>
      </c>
      <c r="I75" s="266" t="s">
        <v>1147</v>
      </c>
      <c r="J75" s="263" t="str">
        <f>IF(ISBLANK('Dry_Litterbag Placem_Collection'!J76),"","G"&amp;""&amp;'Dry_Litterbag Placem_Collection'!J76)</f>
        <v>G329</v>
      </c>
      <c r="K75" s="267">
        <f>IFERROR(INDEX('Green_rooibos initial weight'!$C$5:$C$1749,MATCH(J75, 'Green_rooibos initial weight'!$A$5:$A$1749,0)),"")</f>
        <v>1.9550000000000001</v>
      </c>
      <c r="L75" s="267">
        <f>IFERROR(K75-(TBIcalc!$Q$9+TBIcalc!$Q$10),"")</f>
        <v>1.7052</v>
      </c>
      <c r="M75" s="391">
        <f>AVERAGE(Ashed_controlls!$K$2:$K$11)</f>
        <v>5.5147656768714146</v>
      </c>
      <c r="N75" s="267">
        <f t="shared" si="6"/>
        <v>1.6111622156779888</v>
      </c>
      <c r="O75" s="267">
        <f>IF(IFERROR(INDEX('Both teabags AfterDry'!$D$3:$D$900,MATCH(J75,'Both teabags AfterDry'!$A$3:$A$900,0)),"")="","",(IFERROR(INDEX('Both teabags AfterDry'!$D$3:$D$900,MATCH(J75,'Both teabags AfterDry'!$A$3:$A$900,0)),"")))</f>
        <v>1.7850999999999999</v>
      </c>
      <c r="P75" s="267">
        <f>IFERROR(IF(O75&gt;0,O75-(TBIcalc!$Q$9),""),"")</f>
        <v>1.6344999999999998</v>
      </c>
      <c r="Q75" s="278">
        <f>IFERROR(INDEX('Ashed teabags dry'!$K$2:$K$825,MATCH(J75,'Ashed teabags dry'!$A$2:$A$825,0)),"")</f>
        <v>5.4652880354504347</v>
      </c>
      <c r="R75" s="278">
        <f t="shared" si="7"/>
        <v>1.5451698670605625</v>
      </c>
      <c r="S75" s="268">
        <f>'Dry_Litterbag Placem_Collection'!E76</f>
        <v>42937</v>
      </c>
      <c r="T75" s="268">
        <f>IF('Dry_Litterbag Placem_Collection'!G76="","",'Dry_Litterbag Placem_Collection'!G76)</f>
        <v>43006</v>
      </c>
      <c r="U75" s="269">
        <f t="shared" si="5"/>
        <v>69</v>
      </c>
      <c r="V75" s="267">
        <f t="shared" si="8"/>
        <v>7.0700000000000207E-2</v>
      </c>
      <c r="W75" s="267">
        <f t="shared" si="9"/>
        <v>6.5992348617426311E-2</v>
      </c>
      <c r="X75" s="271">
        <f>IFERROR(INDEX(Rainfall_Dry!$O$2:$O$217,MATCH(B75, Rainfall_Dry!$A$2:$A$217,0)),"")</f>
        <v>6.900000125</v>
      </c>
      <c r="Y75" s="260">
        <v>45.272914521112256</v>
      </c>
      <c r="Z75" s="260">
        <v>23.604531410916575</v>
      </c>
      <c r="AA75" s="260">
        <v>31.122554067971166</v>
      </c>
      <c r="AB75" s="261" t="s">
        <v>2673</v>
      </c>
      <c r="AC75" s="260">
        <v>3.0547560374568801</v>
      </c>
      <c r="AD75">
        <f>IF('WetLitterbags placem_collection'!AB76="","",'WetLitterbags placem_collection'!AB76)</f>
        <v>7.7</v>
      </c>
      <c r="AE75">
        <f>IF('WetLitterbags placem_collection'!Z76="","",'WetLitterbags placem_collection'!Z76)</f>
        <v>9.4</v>
      </c>
      <c r="AF75" s="246" t="str">
        <f>IF('WetLitterbags placem_collection'!AA76="","",'WetLitterbags placem_collection'!AA76)</f>
        <v>M</v>
      </c>
      <c r="AG75">
        <f>IF('WetLitterbags placem_collection'!AC76="","",'WetLitterbags placem_collection'!AC76)</f>
        <v>1</v>
      </c>
      <c r="AH75">
        <f>IFERROR(AVERAGE('Dry_Litterbag Placem_Collection'!O76,'Dry_Litterbag Placem_Collection'!R76),"")</f>
        <v>10.8</v>
      </c>
      <c r="AI75" s="271">
        <f>IFERROR(AVERAGE('Dry_Litterbag Placem_Collection'!N76,'Dry_Litterbag Placem_Collection'!Q76),"")</f>
        <v>28.1</v>
      </c>
      <c r="AJ75" s="270">
        <f>INDEX(Coordinates!$B$2:$B$197,MATCH(G75,Coordinates!$J$2:$J$197,0))</f>
        <v>-3.3025779759999998</v>
      </c>
      <c r="AK75" s="270">
        <f>INDEX(Coordinates!$C$2:$C$197,MATCH(G75,Coordinates!$J$2:$J$197,0))</f>
        <v>34.848041969999997</v>
      </c>
      <c r="AL75" s="270" t="str">
        <f>IF(ISNUMBER(SEARCH("C", 'Dry_Litterbag Placem_Collection'!S76)),"YES","NO")</f>
        <v>NO</v>
      </c>
      <c r="AM75" s="270" t="str">
        <f>IF(ISNUMBER(SEARCH("H", 'Dry_Litterbag Placem_Collection'!S76)),"YES","NO")</f>
        <v>NO</v>
      </c>
      <c r="AN75" s="270" t="str">
        <f>IF(ISNUMBER(SEARCH("R", 'Dry_Litterbag Placem_Collection'!S76)),"YES","NO")</f>
        <v>NO</v>
      </c>
    </row>
    <row r="76" spans="1:40">
      <c r="A76" s="262" t="s">
        <v>2659</v>
      </c>
      <c r="B76" s="263">
        <f>'Dry_Litterbag Placem_Collection'!A77</f>
        <v>75</v>
      </c>
      <c r="C76" s="263" t="str">
        <f>'Dry_Litterbag Placem_Collection'!B77</f>
        <v>Maswa</v>
      </c>
      <c r="D76" s="263" t="s">
        <v>2659</v>
      </c>
      <c r="E76" s="263" t="s">
        <v>2661</v>
      </c>
      <c r="F76" s="263">
        <v>2</v>
      </c>
      <c r="G76" s="264" t="str">
        <f>'Dry_Litterbag Placem_Collection'!C77</f>
        <v>Dry_W2_T3</v>
      </c>
      <c r="H76" s="265" t="s">
        <v>2541</v>
      </c>
      <c r="I76" s="266" t="s">
        <v>1147</v>
      </c>
      <c r="J76" s="263" t="str">
        <f>IF(ISBLANK('Dry_Litterbag Placem_Collection'!J77),"","G"&amp;""&amp;'Dry_Litterbag Placem_Collection'!J77)</f>
        <v>G215</v>
      </c>
      <c r="K76" s="267">
        <f>IFERROR(INDEX('Green_rooibos initial weight'!$C$5:$C$1749,MATCH(J76, 'Green_rooibos initial weight'!$A$5:$A$1749,0)),"")</f>
        <v>2.0579999999999998</v>
      </c>
      <c r="L76" s="267">
        <f>IFERROR(K76-(TBIcalc!$Q$9+TBIcalc!$Q$10),"")</f>
        <v>1.8081999999999998</v>
      </c>
      <c r="M76" s="391">
        <f>AVERAGE(Ashed_controlls!$K$2:$K$11)</f>
        <v>5.5147656768714146</v>
      </c>
      <c r="N76" s="267">
        <f t="shared" si="6"/>
        <v>1.7084820070308109</v>
      </c>
      <c r="O76" s="267">
        <f>IF(IFERROR(INDEX('Both teabags AfterDry'!$D$3:$D$900,MATCH(J76,'Both teabags AfterDry'!$A$3:$A$900,0)),"")="","",(IFERROR(INDEX('Both teabags AfterDry'!$D$3:$D$900,MATCH(J76,'Both teabags AfterDry'!$A$3:$A$900,0)),"")))</f>
        <v>1.9146000000000001</v>
      </c>
      <c r="P76" s="267">
        <f>IFERROR(IF(O76&gt;0,O76-(TBIcalc!$Q$9),""),"")</f>
        <v>1.764</v>
      </c>
      <c r="Q76" s="278">
        <f>IFERROR(INDEX('Ashed teabags dry'!$K$2:$K$825,MATCH(J76,'Ashed teabags dry'!$A$2:$A$825,0)),"")</f>
        <v>5.0223769269016794</v>
      </c>
      <c r="R76" s="278">
        <f t="shared" si="7"/>
        <v>1.6754052710094545</v>
      </c>
      <c r="S76" s="268">
        <f>'Dry_Litterbag Placem_Collection'!E77</f>
        <v>42937</v>
      </c>
      <c r="T76" s="268">
        <f>IF('Dry_Litterbag Placem_Collection'!G77="","",'Dry_Litterbag Placem_Collection'!G77)</f>
        <v>43006</v>
      </c>
      <c r="U76" s="269">
        <f t="shared" si="5"/>
        <v>69</v>
      </c>
      <c r="V76" s="267">
        <f t="shared" si="8"/>
        <v>4.4199999999999795E-2</v>
      </c>
      <c r="W76" s="267">
        <f t="shared" si="9"/>
        <v>3.3076736021356412E-2</v>
      </c>
      <c r="X76" s="271">
        <f>IFERROR(INDEX(Rainfall_Dry!$O$2:$O$217,MATCH(B76, Rainfall_Dry!$A$2:$A$217,0)),"")</f>
        <v>6.900000125</v>
      </c>
      <c r="Y76" s="260">
        <v>45.272914521112256</v>
      </c>
      <c r="Z76" s="260">
        <v>23.604531410916575</v>
      </c>
      <c r="AA76" s="260">
        <v>31.122554067971166</v>
      </c>
      <c r="AB76" s="261" t="s">
        <v>2673</v>
      </c>
      <c r="AC76" s="260">
        <v>4.0547560374568796</v>
      </c>
      <c r="AD76">
        <f>IF('WetLitterbags placem_collection'!AB77="","",'WetLitterbags placem_collection'!AB77)</f>
        <v>6.1</v>
      </c>
      <c r="AE76">
        <f>IF('WetLitterbags placem_collection'!Z77="","",'WetLitterbags placem_collection'!Z77)</f>
        <v>13.8</v>
      </c>
      <c r="AF76" s="246" t="str">
        <f>IF('WetLitterbags placem_collection'!AA77="","",'WetLitterbags placem_collection'!AA77)</f>
        <v>O</v>
      </c>
      <c r="AG76">
        <f>IF('WetLitterbags placem_collection'!AC77="","",'WetLitterbags placem_collection'!AC77)</f>
        <v>0</v>
      </c>
      <c r="AH76">
        <f>IFERROR(AVERAGE('Dry_Litterbag Placem_Collection'!O77,'Dry_Litterbag Placem_Collection'!R77),"")</f>
        <v>12.3</v>
      </c>
      <c r="AI76" s="271">
        <f>IFERROR(AVERAGE('Dry_Litterbag Placem_Collection'!N77,'Dry_Litterbag Placem_Collection'!Q77),"")</f>
        <v>27.200000000000003</v>
      </c>
      <c r="AJ76" s="270">
        <f>INDEX(Coordinates!$B$2:$B$197,MATCH(G76,Coordinates!$J$2:$J$197,0))</f>
        <v>-3.302687025</v>
      </c>
      <c r="AK76" s="270">
        <f>INDEX(Coordinates!$C$2:$C$197,MATCH(G76,Coordinates!$J$2:$J$197,0))</f>
        <v>34.847926970000003</v>
      </c>
      <c r="AL76" s="270" t="str">
        <f>IF(ISNUMBER(SEARCH("C", 'Dry_Litterbag Placem_Collection'!S77)),"YES","NO")</f>
        <v>NO</v>
      </c>
      <c r="AM76" s="270" t="str">
        <f>IF(ISNUMBER(SEARCH("H", 'Dry_Litterbag Placem_Collection'!S77)),"YES","NO")</f>
        <v>YES</v>
      </c>
      <c r="AN76" s="270" t="str">
        <f>IF(ISNUMBER(SEARCH("R", 'Dry_Litterbag Placem_Collection'!S77)),"YES","NO")</f>
        <v>NO</v>
      </c>
    </row>
    <row r="77" spans="1:40">
      <c r="A77" s="262" t="s">
        <v>2659</v>
      </c>
      <c r="B77" s="263">
        <f>'Dry_Litterbag Placem_Collection'!A78</f>
        <v>76</v>
      </c>
      <c r="C77" s="263" t="str">
        <f>'Dry_Litterbag Placem_Collection'!B78</f>
        <v>Maswa</v>
      </c>
      <c r="D77" s="263" t="s">
        <v>2659</v>
      </c>
      <c r="E77" s="263" t="s">
        <v>2661</v>
      </c>
      <c r="F77" s="263">
        <v>2</v>
      </c>
      <c r="G77" s="264" t="str">
        <f>'Dry_Litterbag Placem_Collection'!C78</f>
        <v>Dry_W2_T4</v>
      </c>
      <c r="H77" s="265" t="s">
        <v>2541</v>
      </c>
      <c r="I77" s="266" t="s">
        <v>1147</v>
      </c>
      <c r="J77" s="263" t="str">
        <f>IF(ISBLANK('Dry_Litterbag Placem_Collection'!J78),"","G"&amp;""&amp;'Dry_Litterbag Placem_Collection'!J78)</f>
        <v>G60</v>
      </c>
      <c r="K77" s="267">
        <f>IFERROR(INDEX('Green_rooibos initial weight'!$C$5:$C$1749,MATCH(J77, 'Green_rooibos initial weight'!$A$5:$A$1749,0)),"")</f>
        <v>2.1230000000000002</v>
      </c>
      <c r="L77" s="267">
        <f>IFERROR(K77-(TBIcalc!$Q$9+TBIcalc!$Q$10),"")</f>
        <v>1.8732000000000002</v>
      </c>
      <c r="M77" s="391">
        <f>AVERAGE(Ashed_controlls!$K$2:$K$11)</f>
        <v>5.5147656768714146</v>
      </c>
      <c r="N77" s="267">
        <f t="shared" si="6"/>
        <v>1.7698974093408448</v>
      </c>
      <c r="O77" s="267">
        <f>IF(IFERROR(INDEX('Both teabags AfterDry'!$D$3:$D$900,MATCH(J77,'Both teabags AfterDry'!$A$3:$A$900,0)),"")="","",(IFERROR(INDEX('Both teabags AfterDry'!$D$3:$D$900,MATCH(J77,'Both teabags AfterDry'!$A$3:$A$900,0)),"")))</f>
        <v>1.9540999999999999</v>
      </c>
      <c r="P77" s="267">
        <f>IFERROR(IF(O77&gt;0,O77-(TBIcalc!$Q$9),""),"")</f>
        <v>1.8034999999999999</v>
      </c>
      <c r="Q77" s="278">
        <f>IFERROR(INDEX('Ashed teabags dry'!$K$2:$K$825,MATCH(J77,'Ashed teabags dry'!$A$2:$A$825,0)),"")</f>
        <v>5.8748403575990409</v>
      </c>
      <c r="R77" s="278">
        <f t="shared" si="7"/>
        <v>1.6975472541507013</v>
      </c>
      <c r="S77" s="268">
        <f>'Dry_Litterbag Placem_Collection'!E78</f>
        <v>42937</v>
      </c>
      <c r="T77" s="268">
        <f>IF('Dry_Litterbag Placem_Collection'!G78="","",'Dry_Litterbag Placem_Collection'!G78)</f>
        <v>43006</v>
      </c>
      <c r="U77" s="269">
        <f t="shared" si="5"/>
        <v>69</v>
      </c>
      <c r="V77" s="267">
        <f t="shared" si="8"/>
        <v>6.9700000000000317E-2</v>
      </c>
      <c r="W77" s="267">
        <f t="shared" si="9"/>
        <v>7.2350155190143539E-2</v>
      </c>
      <c r="X77" s="271">
        <f>IFERROR(INDEX(Rainfall_Dry!$O$2:$O$217,MATCH(B77, Rainfall_Dry!$A$2:$A$217,0)),"")</f>
        <v>6.900000125</v>
      </c>
      <c r="Y77" s="260">
        <v>45.272914521112256</v>
      </c>
      <c r="Z77" s="260">
        <v>23.604531410916575</v>
      </c>
      <c r="AA77" s="260">
        <v>31.122554067971166</v>
      </c>
      <c r="AB77" s="261" t="s">
        <v>2673</v>
      </c>
      <c r="AC77" s="260">
        <v>5.0547560374568796</v>
      </c>
      <c r="AD77">
        <f>IF('WetLitterbags placem_collection'!AB78="","",'WetLitterbags placem_collection'!AB78)</f>
        <v>6.7</v>
      </c>
      <c r="AE77">
        <f>IF('WetLitterbags placem_collection'!Z78="","",'WetLitterbags placem_collection'!Z78)</f>
        <v>19.3</v>
      </c>
      <c r="AF77" s="246" t="str">
        <f>IF('WetLitterbags placem_collection'!AA78="","",'WetLitterbags placem_collection'!AA78)</f>
        <v>M</v>
      </c>
      <c r="AG77">
        <f>IF('WetLitterbags placem_collection'!AC78="","",'WetLitterbags placem_collection'!AC78)</f>
        <v>1</v>
      </c>
      <c r="AH77">
        <f>IFERROR(AVERAGE('Dry_Litterbag Placem_Collection'!O78,'Dry_Litterbag Placem_Collection'!R78),"")</f>
        <v>11.1</v>
      </c>
      <c r="AI77" s="271">
        <f>IFERROR(AVERAGE('Dry_Litterbag Placem_Collection'!N78,'Dry_Litterbag Placem_Collection'!Q78),"")</f>
        <v>27.75</v>
      </c>
      <c r="AJ77" s="270">
        <f>INDEX(Coordinates!$B$2:$B$197,MATCH(G77,Coordinates!$J$2:$J$197,0))</f>
        <v>-3.3024560190000001</v>
      </c>
      <c r="AK77" s="270">
        <f>INDEX(Coordinates!$C$2:$C$197,MATCH(G77,Coordinates!$J$2:$J$197,0))</f>
        <v>34.847871990000002</v>
      </c>
      <c r="AL77" s="270" t="str">
        <f>IF(ISNUMBER(SEARCH("C", 'Dry_Litterbag Placem_Collection'!S78)),"YES","NO")</f>
        <v>NO</v>
      </c>
      <c r="AM77" s="270" t="str">
        <f>IF(ISNUMBER(SEARCH("H", 'Dry_Litterbag Placem_Collection'!S78)),"YES","NO")</f>
        <v>NO</v>
      </c>
      <c r="AN77" s="270" t="str">
        <f>IF(ISNUMBER(SEARCH("R", 'Dry_Litterbag Placem_Collection'!S78)),"YES","NO")</f>
        <v>NO</v>
      </c>
    </row>
    <row r="78" spans="1:40">
      <c r="A78" s="262" t="s">
        <v>2659</v>
      </c>
      <c r="B78" s="263">
        <f>'Dry_Litterbag Placem_Collection'!A79</f>
        <v>77</v>
      </c>
      <c r="C78" s="263" t="str">
        <f>'Dry_Litterbag Placem_Collection'!B79</f>
        <v>Maswa</v>
      </c>
      <c r="D78" s="263" t="s">
        <v>2659</v>
      </c>
      <c r="E78" s="263" t="s">
        <v>2661</v>
      </c>
      <c r="F78" s="263">
        <v>2</v>
      </c>
      <c r="G78" s="264" t="str">
        <f>'Dry_Litterbag Placem_Collection'!C79</f>
        <v>Dry_W2_T5</v>
      </c>
      <c r="H78" s="265" t="s">
        <v>2541</v>
      </c>
      <c r="I78" s="266" t="s">
        <v>1147</v>
      </c>
      <c r="J78" s="263" t="str">
        <f>IF(ISBLANK('Dry_Litterbag Placem_Collection'!J79),"","G"&amp;""&amp;'Dry_Litterbag Placem_Collection'!J79)</f>
        <v/>
      </c>
      <c r="K78" s="267" t="str">
        <f>IFERROR(INDEX('Green_rooibos initial weight'!$C$5:$C$1749,MATCH(J78, 'Green_rooibos initial weight'!$A$5:$A$1749,0)),"")</f>
        <v/>
      </c>
      <c r="L78" s="267" t="str">
        <f>IFERROR(K78-(TBIcalc!$Q$9+TBIcalc!$Q$10),"")</f>
        <v/>
      </c>
      <c r="M78" s="391">
        <f>AVERAGE(Ashed_controlls!$K$2:$K$11)</f>
        <v>5.5147656768714146</v>
      </c>
      <c r="N78" s="267" t="str">
        <f t="shared" si="6"/>
        <v/>
      </c>
      <c r="O78" s="267" t="str">
        <f>IF(IFERROR(INDEX('Both teabags AfterDry'!$D$3:$D$900,MATCH(J78,'Both teabags AfterDry'!$A$3:$A$900,0)),"")="","",(IFERROR(INDEX('Both teabags AfterDry'!$D$3:$D$900,MATCH(J78,'Both teabags AfterDry'!$A$3:$A$900,0)),"")))</f>
        <v/>
      </c>
      <c r="P78" s="267" t="str">
        <f>IFERROR(IF(O78&gt;0,O78-(TBIcalc!$Q$9),""),"")</f>
        <v/>
      </c>
      <c r="Q78" s="278" t="str">
        <f>IFERROR(INDEX('Ashed teabags dry'!$K$2:$K$825,MATCH(J78,'Ashed teabags dry'!$A$2:$A$825,0)),"")</f>
        <v/>
      </c>
      <c r="R78" s="278" t="str">
        <f t="shared" si="7"/>
        <v/>
      </c>
      <c r="S78" s="268">
        <f>'Dry_Litterbag Placem_Collection'!E79</f>
        <v>0</v>
      </c>
      <c r="T78" s="268" t="str">
        <f>IF('Dry_Litterbag Placem_Collection'!G79="","",'Dry_Litterbag Placem_Collection'!G79)</f>
        <v/>
      </c>
      <c r="U78" s="269" t="str">
        <f t="shared" si="5"/>
        <v/>
      </c>
      <c r="V78" s="267" t="str">
        <f t="shared" si="8"/>
        <v/>
      </c>
      <c r="W78" s="267" t="str">
        <f t="shared" si="9"/>
        <v/>
      </c>
      <c r="X78" s="271" t="str">
        <f>IFERROR(INDEX(Rainfall_Dry!$O$2:$O$217,MATCH(B78, Rainfall_Dry!$A$2:$A$217,0)),"")</f>
        <v/>
      </c>
      <c r="Y78" s="260">
        <v>45.272914521112256</v>
      </c>
      <c r="Z78" s="260">
        <v>23.604531410916575</v>
      </c>
      <c r="AA78" s="260">
        <v>31.122554067971166</v>
      </c>
      <c r="AB78" s="261" t="s">
        <v>2673</v>
      </c>
      <c r="AC78" s="260">
        <v>6.0547560374568796</v>
      </c>
      <c r="AD78">
        <f>IF('WetLitterbags placem_collection'!AB79="","",'WetLitterbags placem_collection'!AB79)</f>
        <v>3.1</v>
      </c>
      <c r="AE78">
        <f>IF('WetLitterbags placem_collection'!Z79="","",'WetLitterbags placem_collection'!Z79)</f>
        <v>9.8000000000000007</v>
      </c>
      <c r="AF78" s="246" t="str">
        <f>IF('WetLitterbags placem_collection'!AA79="","",'WetLitterbags placem_collection'!AA79)</f>
        <v>O</v>
      </c>
      <c r="AG78">
        <f>IF('WetLitterbags placem_collection'!AC79="","",'WetLitterbags placem_collection'!AC79)</f>
        <v>1</v>
      </c>
      <c r="AH78" t="str">
        <f>IFERROR(AVERAGE('Dry_Litterbag Placem_Collection'!O79,'Dry_Litterbag Placem_Collection'!R79),"")</f>
        <v/>
      </c>
      <c r="AI78" s="271" t="str">
        <f>IFERROR(AVERAGE('Dry_Litterbag Placem_Collection'!N79,'Dry_Litterbag Placem_Collection'!Q79),"")</f>
        <v/>
      </c>
      <c r="AJ78" s="270">
        <f>INDEX(Coordinates!$B$2:$B$197,MATCH(G78,Coordinates!$J$2:$J$197,0))</f>
        <v>-3.3023280279999998</v>
      </c>
      <c r="AK78" s="270">
        <f>INDEX(Coordinates!$C$2:$C$197,MATCH(G78,Coordinates!$J$2:$J$197,0))</f>
        <v>34.848223019999999</v>
      </c>
      <c r="AL78" s="270" t="str">
        <f>IF(ISNUMBER(SEARCH("C", 'Dry_Litterbag Placem_Collection'!S79)),"YES","NO")</f>
        <v>NO</v>
      </c>
      <c r="AM78" s="270" t="str">
        <f>IF(ISNUMBER(SEARCH("H", 'Dry_Litterbag Placem_Collection'!S79)),"YES","NO")</f>
        <v>NO</v>
      </c>
      <c r="AN78" s="270" t="str">
        <f>IF(ISNUMBER(SEARCH("R", 'Dry_Litterbag Placem_Collection'!S79)),"YES","NO")</f>
        <v>NO</v>
      </c>
    </row>
    <row r="79" spans="1:40">
      <c r="A79" s="262" t="s">
        <v>2659</v>
      </c>
      <c r="B79" s="263">
        <f>'Dry_Litterbag Placem_Collection'!A80</f>
        <v>78</v>
      </c>
      <c r="C79" s="263" t="str">
        <f>'Dry_Litterbag Placem_Collection'!B80</f>
        <v>Maswa</v>
      </c>
      <c r="D79" s="263" t="s">
        <v>2659</v>
      </c>
      <c r="E79" s="263" t="s">
        <v>2661</v>
      </c>
      <c r="F79" s="263">
        <v>2</v>
      </c>
      <c r="G79" s="264" t="str">
        <f>'Dry_Litterbag Placem_Collection'!C80</f>
        <v>Dry_W2_T6</v>
      </c>
      <c r="H79" s="265" t="s">
        <v>2541</v>
      </c>
      <c r="I79" s="266" t="s">
        <v>1147</v>
      </c>
      <c r="J79" s="263" t="str">
        <f>IF(ISBLANK('Dry_Litterbag Placem_Collection'!J80),"","G"&amp;""&amp;'Dry_Litterbag Placem_Collection'!J80)</f>
        <v>G97</v>
      </c>
      <c r="K79" s="267">
        <f>IFERROR(INDEX('Green_rooibos initial weight'!$C$5:$C$1749,MATCH(J79, 'Green_rooibos initial weight'!$A$5:$A$1749,0)),"")</f>
        <v>2.0960000000000001</v>
      </c>
      <c r="L79" s="267">
        <f>IFERROR(K79-(TBIcalc!$Q$9+TBIcalc!$Q$10),"")</f>
        <v>1.8462000000000001</v>
      </c>
      <c r="M79" s="391">
        <f>AVERAGE(Ashed_controlls!$K$2:$K$11)</f>
        <v>5.5147656768714146</v>
      </c>
      <c r="N79" s="267">
        <f t="shared" si="6"/>
        <v>1.7443863960735999</v>
      </c>
      <c r="O79" s="267">
        <f>IF(IFERROR(INDEX('Both teabags AfterDry'!$D$3:$D$900,MATCH(J79,'Both teabags AfterDry'!$A$3:$A$900,0)),"")="","",(IFERROR(INDEX('Both teabags AfterDry'!$D$3:$D$900,MATCH(J79,'Both teabags AfterDry'!$A$3:$A$900,0)),"")))</f>
        <v>1.7647999999999999</v>
      </c>
      <c r="P79" s="267">
        <f>IFERROR(IF(O79&gt;0,O79-(TBIcalc!$Q$9),""),"")</f>
        <v>1.6141999999999999</v>
      </c>
      <c r="Q79" s="278">
        <f>IFERROR(INDEX('Ashed teabags dry'!$K$2:$K$825,MATCH(J79,'Ashed teabags dry'!$A$2:$A$825,0)),"")</f>
        <v>5.6475170399223327</v>
      </c>
      <c r="R79" s="278">
        <f t="shared" si="7"/>
        <v>1.5230377799415735</v>
      </c>
      <c r="S79" s="268">
        <f>'Dry_Litterbag Placem_Collection'!E80</f>
        <v>42937</v>
      </c>
      <c r="T79" s="268">
        <f>IF('Dry_Litterbag Placem_Collection'!G80="","",'Dry_Litterbag Placem_Collection'!G80)</f>
        <v>43006</v>
      </c>
      <c r="U79" s="269">
        <f t="shared" si="5"/>
        <v>69</v>
      </c>
      <c r="V79" s="267">
        <f t="shared" si="8"/>
        <v>0.23200000000000021</v>
      </c>
      <c r="W79" s="267">
        <f t="shared" si="9"/>
        <v>0.22134861613202639</v>
      </c>
      <c r="X79" s="271">
        <f>IFERROR(INDEX(Rainfall_Dry!$O$2:$O$217,MATCH(B79, Rainfall_Dry!$A$2:$A$217,0)),"")</f>
        <v>6.900000125</v>
      </c>
      <c r="Y79" s="260">
        <v>45.272914521112256</v>
      </c>
      <c r="Z79" s="260">
        <v>23.604531410916575</v>
      </c>
      <c r="AA79" s="260">
        <v>31.122554067971166</v>
      </c>
      <c r="AB79" s="261" t="s">
        <v>2673</v>
      </c>
      <c r="AC79" s="260">
        <v>7.0547560374568796</v>
      </c>
      <c r="AD79">
        <f>IF('WetLitterbags placem_collection'!AB80="","",'WetLitterbags placem_collection'!AB80)</f>
        <v>10.4</v>
      </c>
      <c r="AE79">
        <f>IF('WetLitterbags placem_collection'!Z80="","",'WetLitterbags placem_collection'!Z80)</f>
        <v>15.4</v>
      </c>
      <c r="AF79" s="246" t="str">
        <f>IF('WetLitterbags placem_collection'!AA80="","",'WetLitterbags placem_collection'!AA80)</f>
        <v>M</v>
      </c>
      <c r="AG79">
        <f>IF('WetLitterbags placem_collection'!AC80="","",'WetLitterbags placem_collection'!AC80)</f>
        <v>1</v>
      </c>
      <c r="AH79">
        <f>IFERROR(AVERAGE('Dry_Litterbag Placem_Collection'!O80,'Dry_Litterbag Placem_Collection'!R80),"")</f>
        <v>11.149999999999999</v>
      </c>
      <c r="AI79" s="271">
        <f>IFERROR(AVERAGE('Dry_Litterbag Placem_Collection'!N80,'Dry_Litterbag Placem_Collection'!Q80),"")</f>
        <v>28.35</v>
      </c>
      <c r="AJ79" s="270">
        <f>INDEX(Coordinates!$B$2:$B$197,MATCH(G79,Coordinates!$J$2:$J$197,0))</f>
        <v>-3.3025680020000001</v>
      </c>
      <c r="AK79" s="270">
        <f>INDEX(Coordinates!$C$2:$C$197,MATCH(G79,Coordinates!$J$2:$J$197,0))</f>
        <v>34.848167029999999</v>
      </c>
      <c r="AL79" s="270" t="str">
        <f>IF(ISNUMBER(SEARCH("C", 'Dry_Litterbag Placem_Collection'!S80)),"YES","NO")</f>
        <v>NO</v>
      </c>
      <c r="AM79" s="270" t="str">
        <f>IF(ISNUMBER(SEARCH("H", 'Dry_Litterbag Placem_Collection'!S80)),"YES","NO")</f>
        <v>YES</v>
      </c>
      <c r="AN79" s="270" t="str">
        <f>IF(ISNUMBER(SEARCH("R", 'Dry_Litterbag Placem_Collection'!S80)),"YES","NO")</f>
        <v>NO</v>
      </c>
    </row>
    <row r="80" spans="1:40">
      <c r="A80" s="262" t="s">
        <v>2659</v>
      </c>
      <c r="B80" s="263">
        <f>'Dry_Litterbag Placem_Collection'!A81</f>
        <v>79</v>
      </c>
      <c r="C80" s="263" t="str">
        <f>'Dry_Litterbag Placem_Collection'!B81</f>
        <v>Maswa</v>
      </c>
      <c r="D80" s="263" t="s">
        <v>2659</v>
      </c>
      <c r="E80" s="263" t="s">
        <v>2661</v>
      </c>
      <c r="F80" s="263">
        <v>2</v>
      </c>
      <c r="G80" s="264" t="str">
        <f>'Dry_Litterbag Placem_Collection'!C81</f>
        <v>Dry_W2_T7</v>
      </c>
      <c r="H80" s="265" t="s">
        <v>2541</v>
      </c>
      <c r="I80" s="266" t="s">
        <v>1147</v>
      </c>
      <c r="J80" s="263" t="str">
        <f>IF(ISBLANK('Dry_Litterbag Placem_Collection'!J81),"","G"&amp;""&amp;'Dry_Litterbag Placem_Collection'!J81)</f>
        <v>G130</v>
      </c>
      <c r="K80" s="267">
        <f>IFERROR(INDEX('Green_rooibos initial weight'!$C$5:$C$1749,MATCH(J80, 'Green_rooibos initial weight'!$A$5:$A$1749,0)),"")</f>
        <v>1.976</v>
      </c>
      <c r="L80" s="267">
        <f>IFERROR(K80-(TBIcalc!$Q$9+TBIcalc!$Q$10),"")</f>
        <v>1.7262</v>
      </c>
      <c r="M80" s="391">
        <f>AVERAGE(Ashed_controlls!$K$2:$K$11)</f>
        <v>5.5147656768714146</v>
      </c>
      <c r="N80" s="267">
        <f t="shared" si="6"/>
        <v>1.6310041148858456</v>
      </c>
      <c r="O80" s="267">
        <f>IF(IFERROR(INDEX('Both teabags AfterDry'!$D$3:$D$900,MATCH(J80,'Both teabags AfterDry'!$A$3:$A$900,0)),"")="","",(IFERROR(INDEX('Both teabags AfterDry'!$D$3:$D$900,MATCH(J80,'Both teabags AfterDry'!$A$3:$A$900,0)),"")))</f>
        <v>1.8545</v>
      </c>
      <c r="P80" s="267">
        <f>IFERROR(IF(O80&gt;0,O80-(TBIcalc!$Q$9),""),"")</f>
        <v>1.7039</v>
      </c>
      <c r="Q80" s="278">
        <f>IFERROR(INDEX('Ashed teabags dry'!$K$2:$K$825,MATCH(J80,'Ashed teabags dry'!$A$2:$A$825,0)),"")</f>
        <v>5.8363970588233842</v>
      </c>
      <c r="R80" s="278">
        <f t="shared" si="7"/>
        <v>1.6044536305147084</v>
      </c>
      <c r="S80" s="268">
        <f>'Dry_Litterbag Placem_Collection'!E81</f>
        <v>42937</v>
      </c>
      <c r="T80" s="268">
        <f>IF('Dry_Litterbag Placem_Collection'!G81="","",'Dry_Litterbag Placem_Collection'!G81)</f>
        <v>43006</v>
      </c>
      <c r="U80" s="269">
        <f t="shared" si="5"/>
        <v>69</v>
      </c>
      <c r="V80" s="267">
        <f t="shared" si="8"/>
        <v>2.2299999999999986E-2</v>
      </c>
      <c r="W80" s="267">
        <f t="shared" si="9"/>
        <v>2.6550484371137273E-2</v>
      </c>
      <c r="X80" s="271">
        <f>IFERROR(INDEX(Rainfall_Dry!$O$2:$O$217,MATCH(B80, Rainfall_Dry!$A$2:$A$217,0)),"")</f>
        <v>6.900000125</v>
      </c>
      <c r="Y80" s="260">
        <v>45.272914521112256</v>
      </c>
      <c r="Z80" s="260">
        <v>23.604531410916575</v>
      </c>
      <c r="AA80" s="260">
        <v>31.122554067971166</v>
      </c>
      <c r="AB80" s="261" t="s">
        <v>2673</v>
      </c>
      <c r="AC80" s="260">
        <v>8.0547560374568796</v>
      </c>
      <c r="AD80">
        <f>IF('WetLitterbags placem_collection'!AB81="","",'WetLitterbags placem_collection'!AB81)</f>
        <v>3</v>
      </c>
      <c r="AE80">
        <f>IF('WetLitterbags placem_collection'!Z81="","",'WetLitterbags placem_collection'!Z81)</f>
        <v>5</v>
      </c>
      <c r="AF80" s="246" t="str">
        <f>IF('WetLitterbags placem_collection'!AA81="","",'WetLitterbags placem_collection'!AA81)</f>
        <v>G</v>
      </c>
      <c r="AG80">
        <f>IF('WetLitterbags placem_collection'!AC81="","",'WetLitterbags placem_collection'!AC81)</f>
        <v>1</v>
      </c>
      <c r="AH80">
        <f>IFERROR(AVERAGE('Dry_Litterbag Placem_Collection'!O81,'Dry_Litterbag Placem_Collection'!R81),"")</f>
        <v>9.1999999999999993</v>
      </c>
      <c r="AI80" s="271">
        <f>IFERROR(AVERAGE('Dry_Litterbag Placem_Collection'!N81,'Dry_Litterbag Placem_Collection'!Q81),"")</f>
        <v>26.25</v>
      </c>
      <c r="AJ80" s="270">
        <f>INDEX(Coordinates!$B$2:$B$197,MATCH(G80,Coordinates!$J$2:$J$197,0))</f>
        <v>-3.3026270100000001</v>
      </c>
      <c r="AK80" s="270">
        <f>INDEX(Coordinates!$C$2:$C$197,MATCH(G80,Coordinates!$J$2:$J$197,0))</f>
        <v>34.84840801</v>
      </c>
      <c r="AL80" s="270" t="str">
        <f>IF(ISNUMBER(SEARCH("C", 'Dry_Litterbag Placem_Collection'!S81)),"YES","NO")</f>
        <v>NO</v>
      </c>
      <c r="AM80" s="270" t="str">
        <f>IF(ISNUMBER(SEARCH("H", 'Dry_Litterbag Placem_Collection'!S81)),"YES","NO")</f>
        <v>NO</v>
      </c>
      <c r="AN80" s="270" t="str">
        <f>IF(ISNUMBER(SEARCH("R", 'Dry_Litterbag Placem_Collection'!S81)),"YES","NO")</f>
        <v>NO</v>
      </c>
    </row>
    <row r="81" spans="1:40">
      <c r="A81" s="262" t="s">
        <v>2659</v>
      </c>
      <c r="B81" s="263">
        <f>'Dry_Litterbag Placem_Collection'!A82</f>
        <v>80</v>
      </c>
      <c r="C81" s="263" t="str">
        <f>'Dry_Litterbag Placem_Collection'!B82</f>
        <v>Maswa</v>
      </c>
      <c r="D81" s="263" t="s">
        <v>2659</v>
      </c>
      <c r="E81" s="263" t="s">
        <v>2661</v>
      </c>
      <c r="F81" s="263">
        <v>2</v>
      </c>
      <c r="G81" s="264" t="str">
        <f>'Dry_Litterbag Placem_Collection'!C82</f>
        <v>Dry_W2_T8</v>
      </c>
      <c r="H81" s="265" t="s">
        <v>2541</v>
      </c>
      <c r="I81" s="266" t="s">
        <v>1147</v>
      </c>
      <c r="J81" s="263" t="str">
        <f>IF(ISBLANK('Dry_Litterbag Placem_Collection'!J82),"","G"&amp;""&amp;'Dry_Litterbag Placem_Collection'!J82)</f>
        <v>G24</v>
      </c>
      <c r="K81" s="267">
        <f>IFERROR(INDEX('Green_rooibos initial weight'!$C$5:$C$1749,MATCH(J81, 'Green_rooibos initial weight'!$A$5:$A$1749,0)),"")</f>
        <v>2.09</v>
      </c>
      <c r="L81" s="267">
        <f>IFERROR(K81-(TBIcalc!$Q$9+TBIcalc!$Q$10),"")</f>
        <v>1.8401999999999998</v>
      </c>
      <c r="M81" s="391">
        <f>AVERAGE(Ashed_controlls!$K$2:$K$11)</f>
        <v>5.5147656768714146</v>
      </c>
      <c r="N81" s="267">
        <f t="shared" si="6"/>
        <v>1.7387172820142121</v>
      </c>
      <c r="O81" s="267">
        <f>IF(IFERROR(INDEX('Both teabags AfterDry'!$D$3:$D$900,MATCH(J81,'Both teabags AfterDry'!$A$3:$A$900,0)),"")="","",(IFERROR(INDEX('Both teabags AfterDry'!$D$3:$D$900,MATCH(J81,'Both teabags AfterDry'!$A$3:$A$900,0)),"")))</f>
        <v>1.9084000000000001</v>
      </c>
      <c r="P81" s="267">
        <f>IFERROR(IF(O81&gt;0,O81-(TBIcalc!$Q$9),""),"")</f>
        <v>1.7578</v>
      </c>
      <c r="Q81" s="278">
        <f>IFERROR(INDEX('Ashed teabags dry'!$K$2:$K$825,MATCH(J81,'Ashed teabags dry'!$A$2:$A$825,0)),"")</f>
        <v>5.4078826764434664</v>
      </c>
      <c r="R81" s="278">
        <f t="shared" si="7"/>
        <v>1.6627402383134768</v>
      </c>
      <c r="S81" s="268">
        <f>'Dry_Litterbag Placem_Collection'!E82</f>
        <v>42937</v>
      </c>
      <c r="T81" s="268">
        <f>IF('Dry_Litterbag Placem_Collection'!G82="","",'Dry_Litterbag Placem_Collection'!G82)</f>
        <v>43006</v>
      </c>
      <c r="U81" s="269">
        <f t="shared" si="5"/>
        <v>69</v>
      </c>
      <c r="V81" s="267">
        <f t="shared" si="8"/>
        <v>8.2399999999999807E-2</v>
      </c>
      <c r="W81" s="267">
        <f t="shared" si="9"/>
        <v>7.5977043700735214E-2</v>
      </c>
      <c r="X81" s="271">
        <f>IFERROR(INDEX(Rainfall_Dry!$O$2:$O$217,MATCH(B81, Rainfall_Dry!$A$2:$A$217,0)),"")</f>
        <v>6.900000125</v>
      </c>
      <c r="Y81" s="260">
        <v>45.272914521112256</v>
      </c>
      <c r="Z81" s="260">
        <v>23.604531410916575</v>
      </c>
      <c r="AA81" s="260">
        <v>31.122554067971166</v>
      </c>
      <c r="AB81" s="261" t="s">
        <v>2673</v>
      </c>
      <c r="AC81" s="260">
        <v>9.0547560374568796</v>
      </c>
      <c r="AD81">
        <f>IF('WetLitterbags placem_collection'!AB82="","",'WetLitterbags placem_collection'!AB82)</f>
        <v>2.7</v>
      </c>
      <c r="AE81">
        <f>IF('WetLitterbags placem_collection'!Z82="","",'WetLitterbags placem_collection'!Z82)</f>
        <v>12.4</v>
      </c>
      <c r="AF81" s="246" t="str">
        <f>IF('WetLitterbags placem_collection'!AA82="","",'WetLitterbags placem_collection'!AA82)</f>
        <v>O</v>
      </c>
      <c r="AG81">
        <f>IF('WetLitterbags placem_collection'!AC82="","",'WetLitterbags placem_collection'!AC82)</f>
        <v>1</v>
      </c>
      <c r="AH81">
        <f>IFERROR(AVERAGE('Dry_Litterbag Placem_Collection'!O82,'Dry_Litterbag Placem_Collection'!R82),"")</f>
        <v>11.75</v>
      </c>
      <c r="AI81" s="271">
        <f>IFERROR(AVERAGE('Dry_Litterbag Placem_Collection'!N82,'Dry_Litterbag Placem_Collection'!Q82),"")</f>
        <v>27.7</v>
      </c>
      <c r="AJ81" s="270">
        <f>INDEX(Coordinates!$B$2:$B$197,MATCH(G81,Coordinates!$J$2:$J$197,0))</f>
        <v>-3.3028539920000002</v>
      </c>
      <c r="AK81" s="270">
        <f>INDEX(Coordinates!$C$2:$C$197,MATCH(G81,Coordinates!$J$2:$J$197,0))</f>
        <v>34.847988999999998</v>
      </c>
      <c r="AL81" s="270" t="str">
        <f>IF(ISNUMBER(SEARCH("C", 'Dry_Litterbag Placem_Collection'!S82)),"YES","NO")</f>
        <v>NO</v>
      </c>
      <c r="AM81" s="270" t="str">
        <f>IF(ISNUMBER(SEARCH("H", 'Dry_Litterbag Placem_Collection'!S82)),"YES","NO")</f>
        <v>NO</v>
      </c>
      <c r="AN81" s="270" t="str">
        <f>IF(ISNUMBER(SEARCH("R", 'Dry_Litterbag Placem_Collection'!S82)),"YES","NO")</f>
        <v>NO</v>
      </c>
    </row>
    <row r="82" spans="1:40">
      <c r="A82" s="262" t="s">
        <v>2659</v>
      </c>
      <c r="B82" s="263">
        <f>'Dry_Litterbag Placem_Collection'!A83</f>
        <v>81</v>
      </c>
      <c r="C82" s="263" t="str">
        <f>'Dry_Litterbag Placem_Collection'!B83</f>
        <v>Maswa</v>
      </c>
      <c r="D82" s="263" t="s">
        <v>2659</v>
      </c>
      <c r="E82" s="263" t="s">
        <v>2661</v>
      </c>
      <c r="F82" s="263">
        <v>3</v>
      </c>
      <c r="G82" s="264" t="str">
        <f>'Dry_Litterbag Placem_Collection'!C83</f>
        <v>Dry_W3_T1</v>
      </c>
      <c r="H82" s="265" t="s">
        <v>2541</v>
      </c>
      <c r="I82" s="266" t="s">
        <v>1147</v>
      </c>
      <c r="J82" s="263" t="str">
        <f>IF(ISBLANK('Dry_Litterbag Placem_Collection'!J83),"","G"&amp;""&amp;'Dry_Litterbag Placem_Collection'!J83)</f>
        <v>G312</v>
      </c>
      <c r="K82" s="267">
        <f>IFERROR(INDEX('Green_rooibos initial weight'!$C$5:$C$1749,MATCH(J82, 'Green_rooibos initial weight'!$A$5:$A$1749,0)),"")</f>
        <v>2.0179999999999998</v>
      </c>
      <c r="L82" s="267">
        <f>IFERROR(K82-(TBIcalc!$Q$9+TBIcalc!$Q$10),"")</f>
        <v>1.7681999999999998</v>
      </c>
      <c r="M82" s="391">
        <f>AVERAGE(Ashed_controlls!$K$2:$K$11)</f>
        <v>5.5147656768714146</v>
      </c>
      <c r="N82" s="267">
        <f t="shared" si="6"/>
        <v>1.6706879133015595</v>
      </c>
      <c r="O82" s="267">
        <f>IF(IFERROR(INDEX('Both teabags AfterDry'!$D$3:$D$900,MATCH(J82,'Both teabags AfterDry'!$A$3:$A$900,0)),"")="","",(IFERROR(INDEX('Both teabags AfterDry'!$D$3:$D$900,MATCH(J82,'Both teabags AfterDry'!$A$3:$A$900,0)),"")))</f>
        <v>1.7978000000000001</v>
      </c>
      <c r="P82" s="267">
        <f>IFERROR(IF(O82&gt;0,O82-(TBIcalc!$Q$9),""),"")</f>
        <v>1.6472</v>
      </c>
      <c r="Q82" s="278">
        <f>IFERROR(INDEX('Ashed teabags dry'!$K$2:$K$825,MATCH(J82,'Ashed teabags dry'!$A$2:$A$825,0)),"")</f>
        <v>5.5148853099064077</v>
      </c>
      <c r="R82" s="278">
        <f t="shared" si="7"/>
        <v>1.5563588091752216</v>
      </c>
      <c r="S82" s="268">
        <f>'Dry_Litterbag Placem_Collection'!E83</f>
        <v>42937</v>
      </c>
      <c r="T82" s="268">
        <f>IF('Dry_Litterbag Placem_Collection'!G83="","",'Dry_Litterbag Placem_Collection'!G83)</f>
        <v>43006</v>
      </c>
      <c r="U82" s="269">
        <f t="shared" si="5"/>
        <v>69</v>
      </c>
      <c r="V82" s="267">
        <f t="shared" si="8"/>
        <v>0.12099999999999977</v>
      </c>
      <c r="W82" s="267">
        <f t="shared" si="9"/>
        <v>0.1143291041263379</v>
      </c>
      <c r="X82" s="271">
        <f>IFERROR(INDEX(Rainfall_Dry!$O$2:$O$217,MATCH(B82, Rainfall_Dry!$A$2:$A$217,0)),"")</f>
        <v>12.563016860999999</v>
      </c>
      <c r="Y82" s="260">
        <v>38.691629007962128</v>
      </c>
      <c r="Z82" s="260">
        <v>26.81299763288143</v>
      </c>
      <c r="AA82" s="260">
        <v>34.495373359156439</v>
      </c>
      <c r="AB82" s="261" t="s">
        <v>2675</v>
      </c>
      <c r="AC82" s="260">
        <v>2.5483587974371611</v>
      </c>
      <c r="AD82">
        <f>IF('WetLitterbags placem_collection'!AB83="","",'WetLitterbags placem_collection'!AB83)</f>
        <v>6.2</v>
      </c>
      <c r="AE82">
        <f>IF('WetLitterbags placem_collection'!Z83="","",'WetLitterbags placem_collection'!Z83)</f>
        <v>13.3</v>
      </c>
      <c r="AF82" s="246" t="str">
        <f>IF('WetLitterbags placem_collection'!AA83="","",'WetLitterbags placem_collection'!AA83)</f>
        <v>O</v>
      </c>
      <c r="AG82">
        <f>IF('WetLitterbags placem_collection'!AC83="","",'WetLitterbags placem_collection'!AC83)</f>
        <v>0</v>
      </c>
      <c r="AH82">
        <f>IFERROR(AVERAGE('Dry_Litterbag Placem_Collection'!O83,'Dry_Litterbag Placem_Collection'!R83),"")</f>
        <v>11.850000000000001</v>
      </c>
      <c r="AI82" s="271">
        <f>IFERROR(AVERAGE('Dry_Litterbag Placem_Collection'!N83,'Dry_Litterbag Placem_Collection'!Q83),"")</f>
        <v>26.35</v>
      </c>
      <c r="AJ82" s="270">
        <f>INDEX(Coordinates!$B$2:$B$197,MATCH(G82,Coordinates!$J$2:$J$197,0))</f>
        <v>-3.2957159630000001</v>
      </c>
      <c r="AK82" s="270">
        <f>INDEX(Coordinates!$C$2:$C$197,MATCH(G82,Coordinates!$J$2:$J$197,0))</f>
        <v>34.852460999999998</v>
      </c>
      <c r="AL82" s="270" t="str">
        <f>IF(ISNUMBER(SEARCH("C", 'Dry_Litterbag Placem_Collection'!S83)),"YES","NO")</f>
        <v>NO</v>
      </c>
      <c r="AM82" s="270" t="str">
        <f>IF(ISNUMBER(SEARCH("H", 'Dry_Litterbag Placem_Collection'!S83)),"YES","NO")</f>
        <v>NO</v>
      </c>
      <c r="AN82" s="270" t="str">
        <f>IF(ISNUMBER(SEARCH("R", 'Dry_Litterbag Placem_Collection'!S83)),"YES","NO")</f>
        <v>NO</v>
      </c>
    </row>
    <row r="83" spans="1:40">
      <c r="A83" s="262" t="s">
        <v>2659</v>
      </c>
      <c r="B83" s="263">
        <f>'Dry_Litterbag Placem_Collection'!A84</f>
        <v>82</v>
      </c>
      <c r="C83" s="263" t="str">
        <f>'Dry_Litterbag Placem_Collection'!B84</f>
        <v>Maswa</v>
      </c>
      <c r="D83" s="263" t="s">
        <v>2659</v>
      </c>
      <c r="E83" s="263" t="s">
        <v>2661</v>
      </c>
      <c r="F83" s="263">
        <v>3</v>
      </c>
      <c r="G83" s="264" t="str">
        <f>'Dry_Litterbag Placem_Collection'!C84</f>
        <v>Dry_W3_T2</v>
      </c>
      <c r="H83" s="265" t="s">
        <v>2541</v>
      </c>
      <c r="I83" s="266" t="s">
        <v>1147</v>
      </c>
      <c r="J83" s="263" t="str">
        <f>IF(ISBLANK('Dry_Litterbag Placem_Collection'!J84),"","G"&amp;""&amp;'Dry_Litterbag Placem_Collection'!J84)</f>
        <v>G356</v>
      </c>
      <c r="K83" s="267">
        <f>IFERROR(INDEX('Green_rooibos initial weight'!$C$5:$C$1749,MATCH(J83, 'Green_rooibos initial weight'!$A$5:$A$1749,0)),"")</f>
        <v>1.9870000000000001</v>
      </c>
      <c r="L83" s="267">
        <f>IFERROR(K83-(TBIcalc!$Q$9+TBIcalc!$Q$10),"")</f>
        <v>1.7372000000000001</v>
      </c>
      <c r="M83" s="391">
        <f>AVERAGE(Ashed_controlls!$K$2:$K$11)</f>
        <v>5.5147656768714146</v>
      </c>
      <c r="N83" s="267">
        <f t="shared" si="6"/>
        <v>1.64139749066139</v>
      </c>
      <c r="O83" s="267">
        <f>IF(IFERROR(INDEX('Both teabags AfterDry'!$D$3:$D$900,MATCH(J83,'Both teabags AfterDry'!$A$3:$A$900,0)),"")="","",(IFERROR(INDEX('Both teabags AfterDry'!$D$3:$D$900,MATCH(J83,'Both teabags AfterDry'!$A$3:$A$900,0)),"")))</f>
        <v>1.7767999999999999</v>
      </c>
      <c r="P83" s="267">
        <f>IFERROR(IF(O83&gt;0,O83-(TBIcalc!$Q$9),""),"")</f>
        <v>1.6261999999999999</v>
      </c>
      <c r="Q83" s="278">
        <f>IFERROR(INDEX('Ashed teabags dry'!$K$2:$K$825,MATCH(J83,'Ashed teabags dry'!$A$2:$A$825,0)),"")</f>
        <v>5.2706552706550589</v>
      </c>
      <c r="R83" s="278">
        <f t="shared" si="7"/>
        <v>1.5404886039886074</v>
      </c>
      <c r="S83" s="268">
        <f>'Dry_Litterbag Placem_Collection'!E84</f>
        <v>42937</v>
      </c>
      <c r="T83" s="268">
        <f>IF('Dry_Litterbag Placem_Collection'!G84="","",'Dry_Litterbag Placem_Collection'!G84)</f>
        <v>43006</v>
      </c>
      <c r="U83" s="269">
        <f t="shared" si="5"/>
        <v>69</v>
      </c>
      <c r="V83" s="267">
        <f t="shared" si="8"/>
        <v>0.11100000000000021</v>
      </c>
      <c r="W83" s="267">
        <f t="shared" si="9"/>
        <v>0.10090888667278253</v>
      </c>
      <c r="X83" s="271">
        <f>IFERROR(INDEX(Rainfall_Dry!$O$2:$O$217,MATCH(B83, Rainfall_Dry!$A$2:$A$217,0)),"")</f>
        <v>12.563016860999999</v>
      </c>
      <c r="Y83" s="260">
        <v>38.691629007962128</v>
      </c>
      <c r="Z83" s="260">
        <v>26.81299763288143</v>
      </c>
      <c r="AA83" s="260">
        <v>34.495373359156439</v>
      </c>
      <c r="AB83" s="261" t="s">
        <v>2675</v>
      </c>
      <c r="AC83" s="260">
        <v>3.5483587974371602</v>
      </c>
      <c r="AD83">
        <f>IF('WetLitterbags placem_collection'!AB84="","",'WetLitterbags placem_collection'!AB84)</f>
        <v>2.4</v>
      </c>
      <c r="AE83">
        <f>IF('WetLitterbags placem_collection'!Z84="","",'WetLitterbags placem_collection'!Z84)</f>
        <v>16.600000000000001</v>
      </c>
      <c r="AF83" s="246" t="str">
        <f>IF('WetLitterbags placem_collection'!AA84="","",'WetLitterbags placem_collection'!AA84)</f>
        <v>O</v>
      </c>
      <c r="AG83" t="str">
        <f>IF('WetLitterbags placem_collection'!AC84="","",'WetLitterbags placem_collection'!AC84)</f>
        <v/>
      </c>
      <c r="AH83">
        <f>IFERROR(AVERAGE('Dry_Litterbag Placem_Collection'!O84,'Dry_Litterbag Placem_Collection'!R84),"")</f>
        <v>9.9499999999999993</v>
      </c>
      <c r="AI83" s="271">
        <f>IFERROR(AVERAGE('Dry_Litterbag Placem_Collection'!N84,'Dry_Litterbag Placem_Collection'!Q84),"")</f>
        <v>25.5</v>
      </c>
      <c r="AJ83" s="270">
        <f>INDEX(Coordinates!$B$2:$B$197,MATCH(G83,Coordinates!$J$2:$J$197,0))</f>
        <v>-3.2957230040000001</v>
      </c>
      <c r="AK83" s="270">
        <f>INDEX(Coordinates!$C$2:$C$197,MATCH(G83,Coordinates!$J$2:$J$197,0))</f>
        <v>34.852416990000002</v>
      </c>
      <c r="AL83" s="270" t="str">
        <f>IF(ISNUMBER(SEARCH("C", 'Dry_Litterbag Placem_Collection'!S84)),"YES","NO")</f>
        <v>NO</v>
      </c>
      <c r="AM83" s="270" t="str">
        <f>IF(ISNUMBER(SEARCH("H", 'Dry_Litterbag Placem_Collection'!S84)),"YES","NO")</f>
        <v>NO</v>
      </c>
      <c r="AN83" s="270" t="str">
        <f>IF(ISNUMBER(SEARCH("R", 'Dry_Litterbag Placem_Collection'!S84)),"YES","NO")</f>
        <v>NO</v>
      </c>
    </row>
    <row r="84" spans="1:40">
      <c r="A84" s="262" t="s">
        <v>2659</v>
      </c>
      <c r="B84" s="263">
        <f>'Dry_Litterbag Placem_Collection'!A85</f>
        <v>83</v>
      </c>
      <c r="C84" s="263" t="str">
        <f>'Dry_Litterbag Placem_Collection'!B85</f>
        <v>Maswa</v>
      </c>
      <c r="D84" s="263" t="s">
        <v>2659</v>
      </c>
      <c r="E84" s="263" t="s">
        <v>2661</v>
      </c>
      <c r="F84" s="263">
        <v>3</v>
      </c>
      <c r="G84" s="264" t="str">
        <f>'Dry_Litterbag Placem_Collection'!C85</f>
        <v>Dry_W3_T3</v>
      </c>
      <c r="H84" s="265" t="s">
        <v>2541</v>
      </c>
      <c r="I84" s="266" t="s">
        <v>1147</v>
      </c>
      <c r="J84" s="263" t="str">
        <f>IF(ISBLANK('Dry_Litterbag Placem_Collection'!J85),"","G"&amp;""&amp;'Dry_Litterbag Placem_Collection'!J85)</f>
        <v>G331</v>
      </c>
      <c r="K84" s="267">
        <f>IFERROR(INDEX('Green_rooibos initial weight'!$C$5:$C$1749,MATCH(J84, 'Green_rooibos initial weight'!$A$5:$A$1749,0)),"")</f>
        <v>2.0550000000000002</v>
      </c>
      <c r="L84" s="267">
        <f>IFERROR(K84-(TBIcalc!$Q$9+TBIcalc!$Q$10),"")</f>
        <v>1.8052000000000001</v>
      </c>
      <c r="M84" s="391">
        <f>AVERAGE(Ashed_controlls!$K$2:$K$11)</f>
        <v>5.5147656768714146</v>
      </c>
      <c r="N84" s="267">
        <f t="shared" si="6"/>
        <v>1.7056474500011174</v>
      </c>
      <c r="O84" s="267">
        <f>IF(IFERROR(INDEX('Both teabags AfterDry'!$D$3:$D$900,MATCH(J84,'Both teabags AfterDry'!$A$3:$A$900,0)),"")="","",(IFERROR(INDEX('Both teabags AfterDry'!$D$3:$D$900,MATCH(J84,'Both teabags AfterDry'!$A$3:$A$900,0)),"")))</f>
        <v>1.8354999999999999</v>
      </c>
      <c r="P84" s="267">
        <f>IFERROR(IF(O84&gt;0,O84-(TBIcalc!$Q$9),""),"")</f>
        <v>1.6848999999999998</v>
      </c>
      <c r="Q84" s="278">
        <f>IFERROR(INDEX('Ashed teabags dry'!$K$2:$K$825,MATCH(J84,'Ashed teabags dry'!$A$2:$A$825,0)),"")</f>
        <v>5.6902523503216829</v>
      </c>
      <c r="R84" s="278">
        <f t="shared" si="7"/>
        <v>1.5890249381494299</v>
      </c>
      <c r="S84" s="268">
        <f>'Dry_Litterbag Placem_Collection'!E85</f>
        <v>42937</v>
      </c>
      <c r="T84" s="268">
        <f>IF('Dry_Litterbag Placem_Collection'!G85="","",'Dry_Litterbag Placem_Collection'!G85)</f>
        <v>43006</v>
      </c>
      <c r="U84" s="269">
        <f t="shared" si="5"/>
        <v>69</v>
      </c>
      <c r="V84" s="267">
        <f t="shared" si="8"/>
        <v>0.1203000000000003</v>
      </c>
      <c r="W84" s="267">
        <f t="shared" si="9"/>
        <v>0.11662251185168748</v>
      </c>
      <c r="X84" s="271">
        <f>IFERROR(INDEX(Rainfall_Dry!$O$2:$O$217,MATCH(B84, Rainfall_Dry!$A$2:$A$217,0)),"")</f>
        <v>12.563016860999999</v>
      </c>
      <c r="Y84" s="260">
        <v>38.691629007962128</v>
      </c>
      <c r="Z84" s="260">
        <v>26.81299763288143</v>
      </c>
      <c r="AA84" s="260">
        <v>34.495373359156439</v>
      </c>
      <c r="AB84" s="261" t="s">
        <v>2675</v>
      </c>
      <c r="AC84" s="260">
        <v>4.5483587974371602</v>
      </c>
      <c r="AD84">
        <f>IF('WetLitterbags placem_collection'!AB85="","",'WetLitterbags placem_collection'!AB85)</f>
        <v>6.4</v>
      </c>
      <c r="AE84">
        <f>IF('WetLitterbags placem_collection'!Z85="","",'WetLitterbags placem_collection'!Z85)</f>
        <v>42</v>
      </c>
      <c r="AF84" s="246" t="str">
        <f>IF('WetLitterbags placem_collection'!AA85="","",'WetLitterbags placem_collection'!AA85)</f>
        <v>M</v>
      </c>
      <c r="AG84">
        <f>IF('WetLitterbags placem_collection'!AC85="","",'WetLitterbags placem_collection'!AC85)</f>
        <v>1</v>
      </c>
      <c r="AH84">
        <f>IFERROR(AVERAGE('Dry_Litterbag Placem_Collection'!O85,'Dry_Litterbag Placem_Collection'!R85),"")</f>
        <v>10.050000000000001</v>
      </c>
      <c r="AI84" s="271">
        <f>IFERROR(AVERAGE('Dry_Litterbag Placem_Collection'!N85,'Dry_Litterbag Placem_Collection'!Q85),"")</f>
        <v>26.05</v>
      </c>
      <c r="AJ84" s="270">
        <f>INDEX(Coordinates!$B$2:$B$197,MATCH(G84,Coordinates!$J$2:$J$197,0))</f>
        <v>-3.2957430369999998</v>
      </c>
      <c r="AK84" s="270">
        <f>INDEX(Coordinates!$C$2:$C$197,MATCH(G84,Coordinates!$J$2:$J$197,0))</f>
        <v>34.852309030000001</v>
      </c>
      <c r="AL84" s="270" t="str">
        <f>IF(ISNUMBER(SEARCH("C", 'Dry_Litterbag Placem_Collection'!S85)),"YES","NO")</f>
        <v>NO</v>
      </c>
      <c r="AM84" s="270" t="str">
        <f>IF(ISNUMBER(SEARCH("H", 'Dry_Litterbag Placem_Collection'!S85)),"YES","NO")</f>
        <v>YES</v>
      </c>
      <c r="AN84" s="270" t="str">
        <f>IF(ISNUMBER(SEARCH("R", 'Dry_Litterbag Placem_Collection'!S85)),"YES","NO")</f>
        <v>NO</v>
      </c>
    </row>
    <row r="85" spans="1:40">
      <c r="A85" s="262" t="s">
        <v>2659</v>
      </c>
      <c r="B85" s="263">
        <f>'Dry_Litterbag Placem_Collection'!A86</f>
        <v>84</v>
      </c>
      <c r="C85" s="263" t="str">
        <f>'Dry_Litterbag Placem_Collection'!B86</f>
        <v>Maswa</v>
      </c>
      <c r="D85" s="263" t="s">
        <v>2659</v>
      </c>
      <c r="E85" s="263" t="s">
        <v>2661</v>
      </c>
      <c r="F85" s="263">
        <v>3</v>
      </c>
      <c r="G85" s="264" t="str">
        <f>'Dry_Litterbag Placem_Collection'!C86</f>
        <v>Dry_W3_T4</v>
      </c>
      <c r="H85" s="265" t="s">
        <v>2541</v>
      </c>
      <c r="I85" s="266" t="s">
        <v>1147</v>
      </c>
      <c r="J85" s="263" t="str">
        <f>IF(ISBLANK('Dry_Litterbag Placem_Collection'!J86),"","G"&amp;""&amp;'Dry_Litterbag Placem_Collection'!J86)</f>
        <v>G101</v>
      </c>
      <c r="K85" s="267">
        <f>IFERROR(INDEX('Green_rooibos initial weight'!$C$5:$C$1749,MATCH(J85, 'Green_rooibos initial weight'!$A$5:$A$1749,0)),"")</f>
        <v>2.173</v>
      </c>
      <c r="L85" s="267">
        <f>IFERROR(K85-(TBIcalc!$Q$9+TBIcalc!$Q$10),"")</f>
        <v>1.9232</v>
      </c>
      <c r="M85" s="391">
        <f>AVERAGE(Ashed_controlls!$K$2:$K$11)</f>
        <v>5.5147656768714146</v>
      </c>
      <c r="N85" s="267">
        <f t="shared" si="6"/>
        <v>1.8171400265024089</v>
      </c>
      <c r="O85" s="267">
        <f>IF(IFERROR(INDEX('Both teabags AfterDry'!$D$3:$D$900,MATCH(J85,'Both teabags AfterDry'!$A$3:$A$900,0)),"")="","",(IFERROR(INDEX('Both teabags AfterDry'!$D$3:$D$900,MATCH(J85,'Both teabags AfterDry'!$A$3:$A$900,0)),"")))</f>
        <v>1.9434</v>
      </c>
      <c r="P85" s="267">
        <f>IFERROR(IF(O85&gt;0,O85-(TBIcalc!$Q$9),""),"")</f>
        <v>1.7927999999999999</v>
      </c>
      <c r="Q85" s="278">
        <f>IFERROR(INDEX('Ashed teabags dry'!$K$2:$K$825,MATCH(J85,'Ashed teabags dry'!$A$2:$A$825,0)),"")</f>
        <v>5.5508112724168974</v>
      </c>
      <c r="R85" s="278">
        <f t="shared" si="7"/>
        <v>1.6932850555081098</v>
      </c>
      <c r="S85" s="268">
        <f>'Dry_Litterbag Placem_Collection'!E86</f>
        <v>42937</v>
      </c>
      <c r="T85" s="268">
        <f>IF('Dry_Litterbag Placem_Collection'!G86="","",'Dry_Litterbag Placem_Collection'!G86)</f>
        <v>43006</v>
      </c>
      <c r="U85" s="269">
        <f t="shared" si="5"/>
        <v>69</v>
      </c>
      <c r="V85" s="267">
        <f t="shared" si="8"/>
        <v>0.13040000000000007</v>
      </c>
      <c r="W85" s="267">
        <f t="shared" si="9"/>
        <v>0.1238549709942991</v>
      </c>
      <c r="X85" s="271">
        <f>IFERROR(INDEX(Rainfall_Dry!$O$2:$O$217,MATCH(B85, Rainfall_Dry!$A$2:$A$217,0)),"")</f>
        <v>12.563016860999999</v>
      </c>
      <c r="Y85" s="260">
        <v>38.691629007962128</v>
      </c>
      <c r="Z85" s="260">
        <v>26.81299763288143</v>
      </c>
      <c r="AA85" s="260">
        <v>34.495373359156439</v>
      </c>
      <c r="AB85" s="261" t="s">
        <v>2675</v>
      </c>
      <c r="AC85" s="260">
        <v>5.5483587974371602</v>
      </c>
      <c r="AD85">
        <f>IF('WetLitterbags placem_collection'!AB86="","",'WetLitterbags placem_collection'!AB86)</f>
        <v>5.5</v>
      </c>
      <c r="AE85">
        <f>IF('WetLitterbags placem_collection'!Z86="","",'WetLitterbags placem_collection'!Z86)</f>
        <v>55.8</v>
      </c>
      <c r="AF85" s="246" t="str">
        <f>IF('WetLitterbags placem_collection'!AA86="","",'WetLitterbags placem_collection'!AA86)</f>
        <v>M</v>
      </c>
      <c r="AG85">
        <f>IF('WetLitterbags placem_collection'!AC86="","",'WetLitterbags placem_collection'!AC86)</f>
        <v>1</v>
      </c>
      <c r="AH85">
        <f>IFERROR(AVERAGE('Dry_Litterbag Placem_Collection'!O86,'Dry_Litterbag Placem_Collection'!R86),"")</f>
        <v>10.15</v>
      </c>
      <c r="AI85" s="271">
        <f>IFERROR(AVERAGE('Dry_Litterbag Placem_Collection'!N86,'Dry_Litterbag Placem_Collection'!Q86),"")</f>
        <v>26.549999999999997</v>
      </c>
      <c r="AJ85" s="270">
        <f>INDEX(Coordinates!$B$2:$B$197,MATCH(G85,Coordinates!$J$2:$J$197,0))</f>
        <v>-3.295795005</v>
      </c>
      <c r="AK85" s="270">
        <f>INDEX(Coordinates!$C$2:$C$197,MATCH(G85,Coordinates!$J$2:$J$197,0))</f>
        <v>34.85232001</v>
      </c>
      <c r="AL85" s="270" t="str">
        <f>IF(ISNUMBER(SEARCH("C", 'Dry_Litterbag Placem_Collection'!S86)),"YES","NO")</f>
        <v>NO</v>
      </c>
      <c r="AM85" s="270" t="str">
        <f>IF(ISNUMBER(SEARCH("H", 'Dry_Litterbag Placem_Collection'!S86)),"YES","NO")</f>
        <v>YES</v>
      </c>
      <c r="AN85" s="270" t="str">
        <f>IF(ISNUMBER(SEARCH("R", 'Dry_Litterbag Placem_Collection'!S86)),"YES","NO")</f>
        <v>NO</v>
      </c>
    </row>
    <row r="86" spans="1:40">
      <c r="A86" s="262" t="s">
        <v>2659</v>
      </c>
      <c r="B86" s="263">
        <f>'Dry_Litterbag Placem_Collection'!A87</f>
        <v>85</v>
      </c>
      <c r="C86" s="263" t="str">
        <f>'Dry_Litterbag Placem_Collection'!B87</f>
        <v>Maswa</v>
      </c>
      <c r="D86" s="263" t="s">
        <v>2659</v>
      </c>
      <c r="E86" s="263" t="s">
        <v>2661</v>
      </c>
      <c r="F86" s="263">
        <v>3</v>
      </c>
      <c r="G86" s="264" t="str">
        <f>'Dry_Litterbag Placem_Collection'!C87</f>
        <v>Dry_W3_T5</v>
      </c>
      <c r="H86" s="265" t="s">
        <v>2541</v>
      </c>
      <c r="I86" s="266" t="s">
        <v>1147</v>
      </c>
      <c r="J86" s="263" t="str">
        <f>IF(ISBLANK('Dry_Litterbag Placem_Collection'!J87),"","G"&amp;""&amp;'Dry_Litterbag Placem_Collection'!J87)</f>
        <v/>
      </c>
      <c r="K86" s="267" t="str">
        <f>IFERROR(INDEX('Green_rooibos initial weight'!$C$5:$C$1749,MATCH(J86, 'Green_rooibos initial weight'!$A$5:$A$1749,0)),"")</f>
        <v/>
      </c>
      <c r="L86" s="267" t="str">
        <f>IFERROR(K86-(TBIcalc!$Q$9+TBIcalc!$Q$10),"")</f>
        <v/>
      </c>
      <c r="M86" s="391">
        <f>AVERAGE(Ashed_controlls!$K$2:$K$11)</f>
        <v>5.5147656768714146</v>
      </c>
      <c r="N86" s="267" t="str">
        <f t="shared" si="6"/>
        <v/>
      </c>
      <c r="O86" s="267" t="str">
        <f>IF(IFERROR(INDEX('Both teabags AfterDry'!$D$3:$D$900,MATCH(J86,'Both teabags AfterDry'!$A$3:$A$900,0)),"")="","",(IFERROR(INDEX('Both teabags AfterDry'!$D$3:$D$900,MATCH(J86,'Both teabags AfterDry'!$A$3:$A$900,0)),"")))</f>
        <v/>
      </c>
      <c r="P86" s="267" t="str">
        <f>IFERROR(IF(O86&gt;0,O86-(TBIcalc!$Q$9),""),"")</f>
        <v/>
      </c>
      <c r="Q86" s="278" t="str">
        <f>IFERROR(INDEX('Ashed teabags dry'!$K$2:$K$825,MATCH(J86,'Ashed teabags dry'!$A$2:$A$825,0)),"")</f>
        <v/>
      </c>
      <c r="R86" s="278" t="str">
        <f t="shared" si="7"/>
        <v/>
      </c>
      <c r="S86" s="268">
        <f>'Dry_Litterbag Placem_Collection'!E87</f>
        <v>0</v>
      </c>
      <c r="T86" s="268" t="str">
        <f>IF('Dry_Litterbag Placem_Collection'!G87="","",'Dry_Litterbag Placem_Collection'!G87)</f>
        <v/>
      </c>
      <c r="U86" s="269" t="str">
        <f t="shared" si="5"/>
        <v/>
      </c>
      <c r="V86" s="267" t="str">
        <f t="shared" si="8"/>
        <v/>
      </c>
      <c r="W86" s="267" t="str">
        <f t="shared" si="9"/>
        <v/>
      </c>
      <c r="X86" s="271" t="str">
        <f>IFERROR(INDEX(Rainfall_Dry!$O$2:$O$217,MATCH(B86, Rainfall_Dry!$A$2:$A$217,0)),"")</f>
        <v/>
      </c>
      <c r="Y86" s="260">
        <v>38.691629007962128</v>
      </c>
      <c r="Z86" s="260">
        <v>26.81299763288143</v>
      </c>
      <c r="AA86" s="260">
        <v>34.495373359156439</v>
      </c>
      <c r="AB86" s="261" t="s">
        <v>2675</v>
      </c>
      <c r="AC86" s="260">
        <v>6.5483587974371602</v>
      </c>
      <c r="AD86">
        <f>IF('WetLitterbags placem_collection'!AB87="","",'WetLitterbags placem_collection'!AB87)</f>
        <v>8.6</v>
      </c>
      <c r="AE86">
        <f>IF('WetLitterbags placem_collection'!Z87="","",'WetLitterbags placem_collection'!Z87)</f>
        <v>3.8</v>
      </c>
      <c r="AF86" s="246" t="str">
        <f>IF('WetLitterbags placem_collection'!AA87="","",'WetLitterbags placem_collection'!AA87)</f>
        <v>O</v>
      </c>
      <c r="AG86">
        <f>IF('WetLitterbags placem_collection'!AC87="","",'WetLitterbags placem_collection'!AC87)</f>
        <v>0</v>
      </c>
      <c r="AH86" t="str">
        <f>IFERROR(AVERAGE('Dry_Litterbag Placem_Collection'!O87,'Dry_Litterbag Placem_Collection'!R87),"")</f>
        <v/>
      </c>
      <c r="AI86" s="271" t="str">
        <f>IFERROR(AVERAGE('Dry_Litterbag Placem_Collection'!N87,'Dry_Litterbag Placem_Collection'!Q87),"")</f>
        <v/>
      </c>
      <c r="AJ86" s="270">
        <f>INDEX(Coordinates!$B$2:$B$197,MATCH(G86,Coordinates!$J$2:$J$197,0))</f>
        <v>-3.2957100119999998</v>
      </c>
      <c r="AK86" s="270">
        <f>INDEX(Coordinates!$C$2:$C$197,MATCH(G86,Coordinates!$J$2:$J$197,0))</f>
        <v>34.852283970000002</v>
      </c>
      <c r="AL86" s="270" t="str">
        <f>IF(ISNUMBER(SEARCH("C", 'Dry_Litterbag Placem_Collection'!S87)),"YES","NO")</f>
        <v>NO</v>
      </c>
      <c r="AM86" s="270" t="str">
        <f>IF(ISNUMBER(SEARCH("H", 'Dry_Litterbag Placem_Collection'!S87)),"YES","NO")</f>
        <v>NO</v>
      </c>
      <c r="AN86" s="270" t="str">
        <f>IF(ISNUMBER(SEARCH("R", 'Dry_Litterbag Placem_Collection'!S87)),"YES","NO")</f>
        <v>NO</v>
      </c>
    </row>
    <row r="87" spans="1:40">
      <c r="A87" s="262" t="s">
        <v>2659</v>
      </c>
      <c r="B87" s="263">
        <f>'Dry_Litterbag Placem_Collection'!A88</f>
        <v>86</v>
      </c>
      <c r="C87" s="263" t="str">
        <f>'Dry_Litterbag Placem_Collection'!B88</f>
        <v>Maswa</v>
      </c>
      <c r="D87" s="263" t="s">
        <v>2659</v>
      </c>
      <c r="E87" s="263" t="s">
        <v>2661</v>
      </c>
      <c r="F87" s="263">
        <v>3</v>
      </c>
      <c r="G87" s="264" t="str">
        <f>'Dry_Litterbag Placem_Collection'!C88</f>
        <v>Dry_W3_T6</v>
      </c>
      <c r="H87" s="265" t="s">
        <v>2541</v>
      </c>
      <c r="I87" s="266" t="s">
        <v>1147</v>
      </c>
      <c r="J87" s="263" t="str">
        <f>IF(ISBLANK('Dry_Litterbag Placem_Collection'!J88),"","G"&amp;""&amp;'Dry_Litterbag Placem_Collection'!J88)</f>
        <v>G31</v>
      </c>
      <c r="K87" s="267">
        <f>IFERROR(INDEX('Green_rooibos initial weight'!$C$5:$C$1749,MATCH(J87, 'Green_rooibos initial weight'!$A$5:$A$1749,0)),"")</f>
        <v>1.9390000000000001</v>
      </c>
      <c r="L87" s="267">
        <f>IFERROR(K87-(TBIcalc!$Q$9+TBIcalc!$Q$10),"")</f>
        <v>1.6892</v>
      </c>
      <c r="M87" s="391">
        <f>AVERAGE(Ashed_controlls!$K$2:$K$11)</f>
        <v>5.5147656768714146</v>
      </c>
      <c r="N87" s="267">
        <f t="shared" si="6"/>
        <v>1.5960445781862882</v>
      </c>
      <c r="O87" s="267" t="str">
        <f>IF(IFERROR(INDEX('Both teabags AfterDry'!$D$3:$D$900,MATCH(J87,'Both teabags AfterDry'!$A$3:$A$900,0)),"")="","",(IFERROR(INDEX('Both teabags AfterDry'!$D$3:$D$900,MATCH(J87,'Both teabags AfterDry'!$A$3:$A$900,0)),"")))</f>
        <v/>
      </c>
      <c r="P87" s="267" t="str">
        <f>IFERROR(IF(O87&gt;0,O87-(TBIcalc!$Q$9),""),"")</f>
        <v/>
      </c>
      <c r="Q87" s="278" t="str">
        <f>IFERROR(INDEX('Ashed teabags dry'!$K$2:$K$825,MATCH(J87,'Ashed teabags dry'!$A$2:$A$825,0)),"")</f>
        <v/>
      </c>
      <c r="R87" s="278" t="str">
        <f t="shared" si="7"/>
        <v/>
      </c>
      <c r="S87" s="268">
        <f>'Dry_Litterbag Placem_Collection'!E88</f>
        <v>42937</v>
      </c>
      <c r="T87" s="268">
        <f>IF('Dry_Litterbag Placem_Collection'!G88="","",'Dry_Litterbag Placem_Collection'!G88)</f>
        <v>43006</v>
      </c>
      <c r="U87" s="269">
        <f t="shared" si="5"/>
        <v>69</v>
      </c>
      <c r="V87" s="267" t="str">
        <f t="shared" si="8"/>
        <v/>
      </c>
      <c r="W87" s="267" t="str">
        <f t="shared" si="9"/>
        <v/>
      </c>
      <c r="X87" s="271">
        <f>IFERROR(INDEX(Rainfall_Dry!$O$2:$O$217,MATCH(B87, Rainfall_Dry!$A$2:$A$217,0)),"")</f>
        <v>12.563016860999999</v>
      </c>
      <c r="Y87" s="260">
        <v>38.691629007962128</v>
      </c>
      <c r="Z87" s="260">
        <v>26.81299763288143</v>
      </c>
      <c r="AA87" s="260">
        <v>34.495373359156439</v>
      </c>
      <c r="AB87" s="261" t="s">
        <v>2675</v>
      </c>
      <c r="AC87" s="260">
        <v>7.5483587974371602</v>
      </c>
      <c r="AD87">
        <f>IF('WetLitterbags placem_collection'!AB88="","",'WetLitterbags placem_collection'!AB88)</f>
        <v>3.7</v>
      </c>
      <c r="AE87">
        <f>IF('WetLitterbags placem_collection'!Z88="","",'WetLitterbags placem_collection'!Z88)</f>
        <v>7.5</v>
      </c>
      <c r="AF87" s="246" t="str">
        <f>IF('WetLitterbags placem_collection'!AA88="","",'WetLitterbags placem_collection'!AA88)</f>
        <v>O</v>
      </c>
      <c r="AG87">
        <f>IF('WetLitterbags placem_collection'!AC88="","",'WetLitterbags placem_collection'!AC88)</f>
        <v>0</v>
      </c>
      <c r="AH87">
        <f>IFERROR(AVERAGE('Dry_Litterbag Placem_Collection'!O88,'Dry_Litterbag Placem_Collection'!R88),"")</f>
        <v>11.75</v>
      </c>
      <c r="AI87" s="271">
        <f>IFERROR(AVERAGE('Dry_Litterbag Placem_Collection'!N88,'Dry_Litterbag Placem_Collection'!Q88),"")</f>
        <v>26.9</v>
      </c>
      <c r="AJ87" s="270">
        <f>INDEX(Coordinates!$B$2:$B$197,MATCH(G87,Coordinates!$J$2:$J$197,0))</f>
        <v>-3.2956140399999998</v>
      </c>
      <c r="AK87" s="270">
        <f>INDEX(Coordinates!$C$2:$C$197,MATCH(G87,Coordinates!$J$2:$J$197,0))</f>
        <v>34.852137030000002</v>
      </c>
      <c r="AL87" s="270" t="str">
        <f>IF(ISNUMBER(SEARCH("C", 'Dry_Litterbag Placem_Collection'!S88)),"YES","NO")</f>
        <v>NO</v>
      </c>
      <c r="AM87" s="270" t="str">
        <f>IF(ISNUMBER(SEARCH("H", 'Dry_Litterbag Placem_Collection'!S88)),"YES","NO")</f>
        <v>YES</v>
      </c>
      <c r="AN87" s="270" t="str">
        <f>IF(ISNUMBER(SEARCH("R", 'Dry_Litterbag Placem_Collection'!S88)),"YES","NO")</f>
        <v>NO</v>
      </c>
    </row>
    <row r="88" spans="1:40">
      <c r="A88" s="262" t="s">
        <v>2659</v>
      </c>
      <c r="B88" s="263">
        <f>'Dry_Litterbag Placem_Collection'!A89</f>
        <v>87</v>
      </c>
      <c r="C88" s="263" t="str">
        <f>'Dry_Litterbag Placem_Collection'!B89</f>
        <v>Maswa</v>
      </c>
      <c r="D88" s="263" t="s">
        <v>2659</v>
      </c>
      <c r="E88" s="263" t="s">
        <v>2661</v>
      </c>
      <c r="F88" s="263">
        <v>3</v>
      </c>
      <c r="G88" s="264" t="str">
        <f>'Dry_Litterbag Placem_Collection'!C89</f>
        <v>Dry_W3_T7</v>
      </c>
      <c r="H88" s="265" t="s">
        <v>2541</v>
      </c>
      <c r="I88" s="266" t="s">
        <v>1147</v>
      </c>
      <c r="J88" s="263" t="str">
        <f>IF(ISBLANK('Dry_Litterbag Placem_Collection'!J89),"","G"&amp;""&amp;'Dry_Litterbag Placem_Collection'!J89)</f>
        <v>G220</v>
      </c>
      <c r="K88" s="267">
        <f>IFERROR(INDEX('Green_rooibos initial weight'!$C$5:$C$1749,MATCH(J88, 'Green_rooibos initial weight'!$A$5:$A$1749,0)),"")</f>
        <v>2.1179999999999999</v>
      </c>
      <c r="L88" s="267">
        <f>IFERROR(K88-(TBIcalc!$Q$9+TBIcalc!$Q$10),"")</f>
        <v>1.8681999999999999</v>
      </c>
      <c r="M88" s="391">
        <f>AVERAGE(Ashed_controlls!$K$2:$K$11)</f>
        <v>5.5147656768714146</v>
      </c>
      <c r="N88" s="267">
        <f t="shared" si="6"/>
        <v>1.7651731476246881</v>
      </c>
      <c r="O88" s="267">
        <f>IF(IFERROR(INDEX('Both teabags AfterDry'!$D$3:$D$900,MATCH(J88,'Both teabags AfterDry'!$A$3:$A$900,0)),"")="","",(IFERROR(INDEX('Both teabags AfterDry'!$D$3:$D$900,MATCH(J88,'Both teabags AfterDry'!$A$3:$A$900,0)),"")))</f>
        <v>1.9671000000000001</v>
      </c>
      <c r="P88" s="267">
        <f>IFERROR(IF(O88&gt;0,O88-(TBIcalc!$Q$9),""),"")</f>
        <v>1.8165</v>
      </c>
      <c r="Q88" s="278">
        <f>IFERROR(INDEX('Ashed teabags dry'!$K$2:$K$825,MATCH(J88,'Ashed teabags dry'!$A$2:$A$825,0)),"")</f>
        <v>5.9062218214606252</v>
      </c>
      <c r="R88" s="278">
        <f t="shared" si="7"/>
        <v>1.7092134806131678</v>
      </c>
      <c r="S88" s="268">
        <f>'Dry_Litterbag Placem_Collection'!E89</f>
        <v>42937</v>
      </c>
      <c r="T88" s="268">
        <f>IF('Dry_Litterbag Placem_Collection'!G89="","",'Dry_Litterbag Placem_Collection'!G89)</f>
        <v>43006</v>
      </c>
      <c r="U88" s="269">
        <f t="shared" si="5"/>
        <v>69</v>
      </c>
      <c r="V88" s="267">
        <f t="shared" si="8"/>
        <v>5.1699999999999857E-2</v>
      </c>
      <c r="W88" s="267">
        <f t="shared" si="9"/>
        <v>5.5959667011520331E-2</v>
      </c>
      <c r="X88" s="271">
        <f>IFERROR(INDEX(Rainfall_Dry!$O$2:$O$217,MATCH(B88, Rainfall_Dry!$A$2:$A$217,0)),"")</f>
        <v>12.563016860999999</v>
      </c>
      <c r="Y88" s="260">
        <v>38.691629007962128</v>
      </c>
      <c r="Z88" s="260">
        <v>26.81299763288143</v>
      </c>
      <c r="AA88" s="260">
        <v>34.495373359156439</v>
      </c>
      <c r="AB88" s="261" t="s">
        <v>2675</v>
      </c>
      <c r="AC88" s="260">
        <v>8.5483587974371602</v>
      </c>
      <c r="AD88">
        <f>IF('WetLitterbags placem_collection'!AB89="","",'WetLitterbags placem_collection'!AB89)</f>
        <v>7.5</v>
      </c>
      <c r="AE88">
        <f>IF('WetLitterbags placem_collection'!Z89="","",'WetLitterbags placem_collection'!Z89)</f>
        <v>12.6</v>
      </c>
      <c r="AF88" s="246" t="str">
        <f>IF('WetLitterbags placem_collection'!AA89="","",'WetLitterbags placem_collection'!AA89)</f>
        <v>O</v>
      </c>
      <c r="AG88">
        <f>IF('WetLitterbags placem_collection'!AC89="","",'WetLitterbags placem_collection'!AC89)</f>
        <v>1</v>
      </c>
      <c r="AH88">
        <f>IFERROR(AVERAGE('Dry_Litterbag Placem_Collection'!O89,'Dry_Litterbag Placem_Collection'!R89),"")</f>
        <v>10.65</v>
      </c>
      <c r="AI88" s="271">
        <f>IFERROR(AVERAGE('Dry_Litterbag Placem_Collection'!N89,'Dry_Litterbag Placem_Collection'!Q89),"")</f>
        <v>24.3</v>
      </c>
      <c r="AJ88" s="270">
        <f>INDEX(Coordinates!$B$2:$B$197,MATCH(G88,Coordinates!$J$2:$J$197,0))</f>
        <v>-3.295904975</v>
      </c>
      <c r="AK88" s="270">
        <f>INDEX(Coordinates!$C$2:$C$197,MATCH(G88,Coordinates!$J$2:$J$197,0))</f>
        <v>34.852136029999997</v>
      </c>
      <c r="AL88" s="270" t="str">
        <f>IF(ISNUMBER(SEARCH("C", 'Dry_Litterbag Placem_Collection'!S89)),"YES","NO")</f>
        <v>NO</v>
      </c>
      <c r="AM88" s="270" t="str">
        <f>IF(ISNUMBER(SEARCH("H", 'Dry_Litterbag Placem_Collection'!S89)),"YES","NO")</f>
        <v>NO</v>
      </c>
      <c r="AN88" s="270" t="str">
        <f>IF(ISNUMBER(SEARCH("R", 'Dry_Litterbag Placem_Collection'!S89)),"YES","NO")</f>
        <v>NO</v>
      </c>
    </row>
    <row r="89" spans="1:40">
      <c r="A89" s="262" t="s">
        <v>2659</v>
      </c>
      <c r="B89" s="263">
        <f>'Dry_Litterbag Placem_Collection'!A90</f>
        <v>88</v>
      </c>
      <c r="C89" s="263" t="str">
        <f>'Dry_Litterbag Placem_Collection'!B90</f>
        <v>Maswa</v>
      </c>
      <c r="D89" s="263" t="s">
        <v>2659</v>
      </c>
      <c r="E89" s="263" t="s">
        <v>2661</v>
      </c>
      <c r="F89" s="263">
        <v>3</v>
      </c>
      <c r="G89" s="264" t="str">
        <f>'Dry_Litterbag Placem_Collection'!C90</f>
        <v>Dry_W3_T8</v>
      </c>
      <c r="H89" s="265" t="s">
        <v>2541</v>
      </c>
      <c r="I89" s="266" t="s">
        <v>1147</v>
      </c>
      <c r="J89" s="263" t="str">
        <f>IF(ISBLANK('Dry_Litterbag Placem_Collection'!J90),"","G"&amp;""&amp;'Dry_Litterbag Placem_Collection'!J90)</f>
        <v>G531</v>
      </c>
      <c r="K89" s="267">
        <f>IFERROR(INDEX('Green_rooibos initial weight'!$C$5:$C$1749,MATCH(J89, 'Green_rooibos initial weight'!$A$5:$A$1749,0)),"")</f>
        <v>2.0110000000000001</v>
      </c>
      <c r="L89" s="267">
        <f>IFERROR(K89-(TBIcalc!$Q$9+TBIcalc!$Q$10),"")</f>
        <v>1.7612000000000001</v>
      </c>
      <c r="M89" s="391">
        <f>AVERAGE(Ashed_controlls!$K$2:$K$11)</f>
        <v>5.5147656768714146</v>
      </c>
      <c r="N89" s="267">
        <f t="shared" si="6"/>
        <v>1.6640739468989407</v>
      </c>
      <c r="O89" s="267">
        <f>IF(IFERROR(INDEX('Both teabags AfterDry'!$D$3:$D$900,MATCH(J89,'Both teabags AfterDry'!$A$3:$A$900,0)),"")="","",(IFERROR(INDEX('Both teabags AfterDry'!$D$3:$D$900,MATCH(J89,'Both teabags AfterDry'!$A$3:$A$900,0)),"")))</f>
        <v>1.8593999999999999</v>
      </c>
      <c r="P89" s="267">
        <f>IFERROR(IF(O89&gt;0,O89-(TBIcalc!$Q$9),""),"")</f>
        <v>1.7087999999999999</v>
      </c>
      <c r="Q89" s="278">
        <f>IFERROR(INDEX('Ashed teabags dry'!$K$2:$K$825,MATCH(J89,'Ashed teabags dry'!$A$2:$A$825,0)),"")</f>
        <v>7.2600696171056427</v>
      </c>
      <c r="R89" s="278">
        <f t="shared" si="7"/>
        <v>1.5847399303828986</v>
      </c>
      <c r="S89" s="268">
        <f>'Dry_Litterbag Placem_Collection'!E90</f>
        <v>42937</v>
      </c>
      <c r="T89" s="268">
        <f>IF('Dry_Litterbag Placem_Collection'!G90="","",'Dry_Litterbag Placem_Collection'!G90)</f>
        <v>43006</v>
      </c>
      <c r="U89" s="269">
        <f t="shared" si="5"/>
        <v>69</v>
      </c>
      <c r="V89" s="267">
        <f t="shared" si="8"/>
        <v>5.2400000000000224E-2</v>
      </c>
      <c r="W89" s="267">
        <f t="shared" si="9"/>
        <v>7.9334016516042105E-2</v>
      </c>
      <c r="X89" s="271">
        <f>IFERROR(INDEX(Rainfall_Dry!$O$2:$O$217,MATCH(B89, Rainfall_Dry!$A$2:$A$217,0)),"")</f>
        <v>12.563016860999999</v>
      </c>
      <c r="Y89" s="260">
        <v>38.691629007962128</v>
      </c>
      <c r="Z89" s="260">
        <v>26.81299763288143</v>
      </c>
      <c r="AA89" s="260">
        <v>34.495373359156439</v>
      </c>
      <c r="AB89" s="261" t="s">
        <v>2675</v>
      </c>
      <c r="AC89" s="260">
        <v>9.5483587974371602</v>
      </c>
      <c r="AD89" t="str">
        <f>IF('WetLitterbags placem_collection'!AB90="","",'WetLitterbags placem_collection'!AB90)</f>
        <v/>
      </c>
      <c r="AE89" t="str">
        <f>IF('WetLitterbags placem_collection'!Z90="","",'WetLitterbags placem_collection'!Z90)</f>
        <v/>
      </c>
      <c r="AF89" s="246" t="str">
        <f>IF('WetLitterbags placem_collection'!AA90="","",'WetLitterbags placem_collection'!AA90)</f>
        <v/>
      </c>
      <c r="AG89" t="str">
        <f>IF('WetLitterbags placem_collection'!AC90="","",'WetLitterbags placem_collection'!AC90)</f>
        <v/>
      </c>
      <c r="AH89">
        <f>IFERROR(AVERAGE('Dry_Litterbag Placem_Collection'!O90,'Dry_Litterbag Placem_Collection'!R90),"")</f>
        <v>11.7</v>
      </c>
      <c r="AI89" s="271">
        <f>IFERROR(AVERAGE('Dry_Litterbag Placem_Collection'!N90,'Dry_Litterbag Placem_Collection'!Q90),"")</f>
        <v>26.049999999999997</v>
      </c>
      <c r="AJ89" s="270">
        <f>INDEX(Coordinates!$B$2:$B$197,MATCH(G89,Coordinates!$J$2:$J$197,0))</f>
        <v>-3.2959530039999998</v>
      </c>
      <c r="AK89" s="270">
        <f>INDEX(Coordinates!$C$2:$C$197,MATCH(G89,Coordinates!$J$2:$J$197,0))</f>
        <v>34.85242504</v>
      </c>
      <c r="AL89" s="270" t="str">
        <f>IF(ISNUMBER(SEARCH("C", 'Dry_Litterbag Placem_Collection'!S90)),"YES","NO")</f>
        <v>NO</v>
      </c>
      <c r="AM89" s="270" t="str">
        <f>IF(ISNUMBER(SEARCH("H", 'Dry_Litterbag Placem_Collection'!S90)),"YES","NO")</f>
        <v>NO</v>
      </c>
      <c r="AN89" s="270" t="str">
        <f>IF(ISNUMBER(SEARCH("R", 'Dry_Litterbag Placem_Collection'!S90)),"YES","NO")</f>
        <v>NO</v>
      </c>
    </row>
    <row r="90" spans="1:40">
      <c r="A90" s="262" t="s">
        <v>2659</v>
      </c>
      <c r="B90" s="263">
        <f>'Dry_Litterbag Placem_Collection'!A91</f>
        <v>89</v>
      </c>
      <c r="C90" s="263" t="str">
        <f>'Dry_Litterbag Placem_Collection'!B91</f>
        <v>Maswa</v>
      </c>
      <c r="D90" s="263" t="s">
        <v>2659</v>
      </c>
      <c r="E90" s="263" t="s">
        <v>2661</v>
      </c>
      <c r="F90" s="263">
        <v>4</v>
      </c>
      <c r="G90" s="264" t="str">
        <f>'Dry_Litterbag Placem_Collection'!C91</f>
        <v>Dry_W4_T1</v>
      </c>
      <c r="H90" s="265" t="s">
        <v>2541</v>
      </c>
      <c r="I90" s="266" t="s">
        <v>1147</v>
      </c>
      <c r="J90" s="263" t="str">
        <f>IF(ISBLANK('Dry_Litterbag Placem_Collection'!J91),"","G"&amp;""&amp;'Dry_Litterbag Placem_Collection'!J91)</f>
        <v>G35</v>
      </c>
      <c r="K90" s="267">
        <f>IFERROR(INDEX('Green_rooibos initial weight'!$C$5:$C$1749,MATCH(J90, 'Green_rooibos initial weight'!$A$5:$A$1749,0)),"")</f>
        <v>2.0299999999999998</v>
      </c>
      <c r="L90" s="267">
        <f>IFERROR(K90-(TBIcalc!$Q$9+TBIcalc!$Q$10),"")</f>
        <v>1.7801999999999998</v>
      </c>
      <c r="M90" s="391">
        <f>AVERAGE(Ashed_controlls!$K$2:$K$11)</f>
        <v>5.5147656768714146</v>
      </c>
      <c r="N90" s="267">
        <f t="shared" si="6"/>
        <v>1.6820261414203348</v>
      </c>
      <c r="O90" s="267">
        <f>IF(IFERROR(INDEX('Both teabags AfterDry'!$D$3:$D$900,MATCH(J90,'Both teabags AfterDry'!$A$3:$A$900,0)),"")="","",(IFERROR(INDEX('Both teabags AfterDry'!$D$3:$D$900,MATCH(J90,'Both teabags AfterDry'!$A$3:$A$900,0)),"")))</f>
        <v>1.8633999999999999</v>
      </c>
      <c r="P90" s="267">
        <f>IFERROR(IF(O90&gt;0,O90-(TBIcalc!$Q$9),""),"")</f>
        <v>1.7127999999999999</v>
      </c>
      <c r="Q90" s="278">
        <f>IFERROR(INDEX('Ashed teabags dry'!$K$2:$K$825,MATCH(J90,'Ashed teabags dry'!$A$2:$A$825,0)),"")</f>
        <v>5.6105610561053325</v>
      </c>
      <c r="R90" s="278">
        <f t="shared" si="7"/>
        <v>1.6167023102310278</v>
      </c>
      <c r="S90" s="268">
        <f>'Dry_Litterbag Placem_Collection'!E91</f>
        <v>42937</v>
      </c>
      <c r="T90" s="268">
        <f>IF('Dry_Litterbag Placem_Collection'!G91="","",'Dry_Litterbag Placem_Collection'!G91)</f>
        <v>43006</v>
      </c>
      <c r="U90" s="269">
        <f t="shared" si="5"/>
        <v>69</v>
      </c>
      <c r="V90" s="267">
        <f t="shared" si="8"/>
        <v>6.7399999999999904E-2</v>
      </c>
      <c r="W90" s="267">
        <f t="shared" si="9"/>
        <v>6.5323831189306958E-2</v>
      </c>
      <c r="X90" s="271">
        <f>IFERROR(INDEX(Rainfall_Dry!$O$2:$O$217,MATCH(B90, Rainfall_Dry!$A$2:$A$217,0)),"")</f>
        <v>12.563016860999999</v>
      </c>
      <c r="Y90" s="260">
        <v>28.145762029394</v>
      </c>
      <c r="Z90" s="260">
        <v>25.085564727199518</v>
      </c>
      <c r="AA90" s="260">
        <v>46.768673243406489</v>
      </c>
      <c r="AB90" s="261" t="s">
        <v>2670</v>
      </c>
      <c r="AC90" s="260">
        <v>2.1716214884179394</v>
      </c>
      <c r="AD90">
        <f>IF('WetLitterbags placem_collection'!AB91="","",'WetLitterbags placem_collection'!AB91)</f>
        <v>7.3</v>
      </c>
      <c r="AE90">
        <f>IF('WetLitterbags placem_collection'!Z91="","",'WetLitterbags placem_collection'!Z91)</f>
        <v>35.799999999999997</v>
      </c>
      <c r="AF90" s="246" t="str">
        <f>IF('WetLitterbags placem_collection'!AA91="","",'WetLitterbags placem_collection'!AA91)</f>
        <v>O</v>
      </c>
      <c r="AG90">
        <f>IF('WetLitterbags placem_collection'!AC91="","",'WetLitterbags placem_collection'!AC91)</f>
        <v>0</v>
      </c>
      <c r="AH90">
        <f>IFERROR(AVERAGE('Dry_Litterbag Placem_Collection'!O91,'Dry_Litterbag Placem_Collection'!R91),"")</f>
        <v>10.5</v>
      </c>
      <c r="AI90" s="271">
        <f>IFERROR(AVERAGE('Dry_Litterbag Placem_Collection'!N91,'Dry_Litterbag Placem_Collection'!Q91),"")</f>
        <v>26.6</v>
      </c>
      <c r="AJ90" s="270">
        <f>INDEX(Coordinates!$B$2:$B$197,MATCH(G90,Coordinates!$J$2:$J$197,0))</f>
        <v>-3.2966709980000002</v>
      </c>
      <c r="AK90" s="270">
        <f>INDEX(Coordinates!$C$2:$C$197,MATCH(G90,Coordinates!$J$2:$J$197,0))</f>
        <v>34.854407019999996</v>
      </c>
      <c r="AL90" s="270" t="str">
        <f>IF(ISNUMBER(SEARCH("C", 'Dry_Litterbag Placem_Collection'!S91)),"YES","NO")</f>
        <v>NO</v>
      </c>
      <c r="AM90" s="270" t="str">
        <f>IF(ISNUMBER(SEARCH("H", 'Dry_Litterbag Placem_Collection'!S91)),"YES","NO")</f>
        <v>NO</v>
      </c>
      <c r="AN90" s="270" t="str">
        <f>IF(ISNUMBER(SEARCH("R", 'Dry_Litterbag Placem_Collection'!S91)),"YES","NO")</f>
        <v>NO</v>
      </c>
    </row>
    <row r="91" spans="1:40">
      <c r="A91" s="262" t="s">
        <v>2659</v>
      </c>
      <c r="B91" s="263">
        <f>'Dry_Litterbag Placem_Collection'!A92</f>
        <v>90</v>
      </c>
      <c r="C91" s="263" t="str">
        <f>'Dry_Litterbag Placem_Collection'!B92</f>
        <v>Maswa</v>
      </c>
      <c r="D91" s="263" t="s">
        <v>2659</v>
      </c>
      <c r="E91" s="263" t="s">
        <v>2661</v>
      </c>
      <c r="F91" s="263">
        <v>4</v>
      </c>
      <c r="G91" s="264" t="str">
        <f>'Dry_Litterbag Placem_Collection'!C92</f>
        <v>Dry_W4_T2</v>
      </c>
      <c r="H91" s="265" t="s">
        <v>2541</v>
      </c>
      <c r="I91" s="266" t="s">
        <v>1147</v>
      </c>
      <c r="J91" s="263" t="str">
        <f>IF(ISBLANK('Dry_Litterbag Placem_Collection'!J92),"","G"&amp;""&amp;'Dry_Litterbag Placem_Collection'!J92)</f>
        <v>G264</v>
      </c>
      <c r="K91" s="267">
        <f>IFERROR(INDEX('Green_rooibos initial weight'!$C$5:$C$1749,MATCH(J91, 'Green_rooibos initial weight'!$A$5:$A$1749,0)),"")</f>
        <v>2.1070000000000002</v>
      </c>
      <c r="L91" s="267">
        <f>IFERROR(K91-(TBIcalc!$Q$9+TBIcalc!$Q$10),"")</f>
        <v>1.8572000000000002</v>
      </c>
      <c r="M91" s="391">
        <f>AVERAGE(Ashed_controlls!$K$2:$K$11)</f>
        <v>5.5147656768714146</v>
      </c>
      <c r="N91" s="267">
        <f t="shared" si="6"/>
        <v>1.7547797718491442</v>
      </c>
      <c r="O91" s="267" t="str">
        <f>IF(IFERROR(INDEX('Both teabags AfterDry'!$D$3:$D$900,MATCH(J91,'Both teabags AfterDry'!$A$3:$A$900,0)),"")="","",(IFERROR(INDEX('Both teabags AfterDry'!$D$3:$D$900,MATCH(J91,'Both teabags AfterDry'!$A$3:$A$900,0)),"")))</f>
        <v/>
      </c>
      <c r="P91" s="267" t="str">
        <f>IFERROR(IF(O91&gt;0,O91-(TBIcalc!$Q$9),""),"")</f>
        <v/>
      </c>
      <c r="Q91" s="278" t="str">
        <f>IFERROR(INDEX('Ashed teabags dry'!$K$2:$K$825,MATCH(J91,'Ashed teabags dry'!$A$2:$A$825,0)),"")</f>
        <v/>
      </c>
      <c r="R91" s="278" t="str">
        <f t="shared" si="7"/>
        <v/>
      </c>
      <c r="S91" s="268">
        <f>'Dry_Litterbag Placem_Collection'!E92</f>
        <v>42937</v>
      </c>
      <c r="T91" s="268">
        <f>IF('Dry_Litterbag Placem_Collection'!G92="","",'Dry_Litterbag Placem_Collection'!G92)</f>
        <v>43006</v>
      </c>
      <c r="U91" s="269">
        <f t="shared" si="5"/>
        <v>69</v>
      </c>
      <c r="V91" s="267" t="str">
        <f t="shared" si="8"/>
        <v/>
      </c>
      <c r="W91" s="267" t="str">
        <f t="shared" si="9"/>
        <v/>
      </c>
      <c r="X91" s="271">
        <f>IFERROR(INDEX(Rainfall_Dry!$O$2:$O$217,MATCH(B91, Rainfall_Dry!$A$2:$A$217,0)),"")</f>
        <v>12.563016860999999</v>
      </c>
      <c r="Y91" s="260">
        <v>28.145762029394</v>
      </c>
      <c r="Z91" s="260">
        <v>25.085564727199518</v>
      </c>
      <c r="AA91" s="260">
        <v>46.768673243406489</v>
      </c>
      <c r="AB91" s="261" t="s">
        <v>2670</v>
      </c>
      <c r="AC91" s="260">
        <v>3.1716214884179399</v>
      </c>
      <c r="AD91">
        <f>IF('WetLitterbags placem_collection'!AB92="","",'WetLitterbags placem_collection'!AB92)</f>
        <v>7.7</v>
      </c>
      <c r="AE91">
        <f>IF('WetLitterbags placem_collection'!Z92="","",'WetLitterbags placem_collection'!Z92)</f>
        <v>30.4</v>
      </c>
      <c r="AF91" s="246" t="str">
        <f>IF('WetLitterbags placem_collection'!AA92="","",'WetLitterbags placem_collection'!AA92)</f>
        <v>O</v>
      </c>
      <c r="AG91">
        <f>IF('WetLitterbags placem_collection'!AC92="","",'WetLitterbags placem_collection'!AC92)</f>
        <v>0</v>
      </c>
      <c r="AH91">
        <f>IFERROR(AVERAGE('Dry_Litterbag Placem_Collection'!O92,'Dry_Litterbag Placem_Collection'!R92),"")</f>
        <v>9.85</v>
      </c>
      <c r="AI91" s="271">
        <f>IFERROR(AVERAGE('Dry_Litterbag Placem_Collection'!N92,'Dry_Litterbag Placem_Collection'!Q92),"")</f>
        <v>26.45</v>
      </c>
      <c r="AJ91" s="270">
        <f>INDEX(Coordinates!$B$2:$B$197,MATCH(G91,Coordinates!$J$2:$J$197,0))</f>
        <v>-3.2966860009999999</v>
      </c>
      <c r="AK91" s="270">
        <f>INDEX(Coordinates!$C$2:$C$197,MATCH(G91,Coordinates!$J$2:$J$197,0))</f>
        <v>34.854371989999997</v>
      </c>
      <c r="AL91" s="270" t="str">
        <f>IF(ISNUMBER(SEARCH("C", 'Dry_Litterbag Placem_Collection'!S92)),"YES","NO")</f>
        <v>NO</v>
      </c>
      <c r="AM91" s="270" t="str">
        <f>IF(ISNUMBER(SEARCH("H", 'Dry_Litterbag Placem_Collection'!S92)),"YES","NO")</f>
        <v>NO</v>
      </c>
      <c r="AN91" s="270" t="str">
        <f>IF(ISNUMBER(SEARCH("R", 'Dry_Litterbag Placem_Collection'!S92)),"YES","NO")</f>
        <v>NO</v>
      </c>
    </row>
    <row r="92" spans="1:40">
      <c r="A92" s="262" t="s">
        <v>2659</v>
      </c>
      <c r="B92" s="263">
        <f>'Dry_Litterbag Placem_Collection'!A93</f>
        <v>91</v>
      </c>
      <c r="C92" s="263" t="str">
        <f>'Dry_Litterbag Placem_Collection'!B93</f>
        <v>Maswa</v>
      </c>
      <c r="D92" s="263" t="s">
        <v>2659</v>
      </c>
      <c r="E92" s="263" t="s">
        <v>2661</v>
      </c>
      <c r="F92" s="263">
        <v>4</v>
      </c>
      <c r="G92" s="264" t="str">
        <f>'Dry_Litterbag Placem_Collection'!C93</f>
        <v>Dry_W4_T3</v>
      </c>
      <c r="H92" s="265" t="s">
        <v>2541</v>
      </c>
      <c r="I92" s="266" t="s">
        <v>1147</v>
      </c>
      <c r="J92" s="263" t="str">
        <f>IF(ISBLANK('Dry_Litterbag Placem_Collection'!J93),"","G"&amp;""&amp;'Dry_Litterbag Placem_Collection'!J93)</f>
        <v>G13</v>
      </c>
      <c r="K92" s="267">
        <f>IFERROR(INDEX('Green_rooibos initial weight'!$C$5:$C$1749,MATCH(J92, 'Green_rooibos initial weight'!$A$5:$A$1749,0)),"")</f>
        <v>2.085</v>
      </c>
      <c r="L92" s="267">
        <f>IFERROR(K92-(TBIcalc!$Q$9+TBIcalc!$Q$10),"")</f>
        <v>1.8351999999999999</v>
      </c>
      <c r="M92" s="391">
        <f>AVERAGE(Ashed_controlls!$K$2:$K$11)</f>
        <v>5.5147656768714146</v>
      </c>
      <c r="N92" s="267">
        <f t="shared" si="6"/>
        <v>1.7339930202980558</v>
      </c>
      <c r="O92" s="267">
        <f>IF(IFERROR(INDEX('Both teabags AfterDry'!$D$3:$D$900,MATCH(J92,'Both teabags AfterDry'!$A$3:$A$900,0)),"")="","",(IFERROR(INDEX('Both teabags AfterDry'!$D$3:$D$900,MATCH(J92,'Both teabags AfterDry'!$A$3:$A$900,0)),"")))</f>
        <v>1.9104000000000001</v>
      </c>
      <c r="P92" s="267">
        <f>IFERROR(IF(O92&gt;0,O92-(TBIcalc!$Q$9),""),"")</f>
        <v>1.7598</v>
      </c>
      <c r="Q92" s="278">
        <f>IFERROR(INDEX('Ashed teabags dry'!$K$2:$K$825,MATCH(J92,'Ashed teabags dry'!$A$2:$A$825,0)),"")</f>
        <v>5.9558517284466683</v>
      </c>
      <c r="R92" s="278">
        <f t="shared" si="7"/>
        <v>1.6549889212827955</v>
      </c>
      <c r="S92" s="268">
        <f>'Dry_Litterbag Placem_Collection'!E93</f>
        <v>42937</v>
      </c>
      <c r="T92" s="268">
        <f>IF('Dry_Litterbag Placem_Collection'!G93="","",'Dry_Litterbag Placem_Collection'!G93)</f>
        <v>43006</v>
      </c>
      <c r="U92" s="269">
        <f t="shared" si="5"/>
        <v>69</v>
      </c>
      <c r="V92" s="267">
        <f t="shared" si="8"/>
        <v>7.5399999999999912E-2</v>
      </c>
      <c r="W92" s="267">
        <f t="shared" si="9"/>
        <v>7.9004099015260287E-2</v>
      </c>
      <c r="X92" s="271">
        <f>IFERROR(INDEX(Rainfall_Dry!$O$2:$O$217,MATCH(B92, Rainfall_Dry!$A$2:$A$217,0)),"")</f>
        <v>12.563016860999999</v>
      </c>
      <c r="Y92" s="260">
        <v>28.145762029394</v>
      </c>
      <c r="Z92" s="260">
        <v>25.085564727199518</v>
      </c>
      <c r="AA92" s="260">
        <v>46.768673243406489</v>
      </c>
      <c r="AB92" s="261" t="s">
        <v>2670</v>
      </c>
      <c r="AC92" s="260">
        <v>4.1716214884179399</v>
      </c>
      <c r="AD92">
        <f>IF('WetLitterbags placem_collection'!AB93="","",'WetLitterbags placem_collection'!AB93)</f>
        <v>6.1</v>
      </c>
      <c r="AE92">
        <f>IF('WetLitterbags placem_collection'!Z93="","",'WetLitterbags placem_collection'!Z93)</f>
        <v>39.4</v>
      </c>
      <c r="AF92" s="246" t="str">
        <f>IF('WetLitterbags placem_collection'!AA93="","",'WetLitterbags placem_collection'!AA93)</f>
        <v>O</v>
      </c>
      <c r="AG92">
        <f>IF('WetLitterbags placem_collection'!AC93="","",'WetLitterbags placem_collection'!AC93)</f>
        <v>1</v>
      </c>
      <c r="AH92">
        <f>IFERROR(AVERAGE('Dry_Litterbag Placem_Collection'!O93,'Dry_Litterbag Placem_Collection'!R93),"")</f>
        <v>10.95</v>
      </c>
      <c r="AI92" s="271">
        <f>IFERROR(AVERAGE('Dry_Litterbag Placem_Collection'!N93,'Dry_Litterbag Placem_Collection'!Q93),"")</f>
        <v>25.95</v>
      </c>
      <c r="AJ92" s="270">
        <f>INDEX(Coordinates!$B$2:$B$197,MATCH(G92,Coordinates!$J$2:$J$197,0))</f>
        <v>-3.2966180239999998</v>
      </c>
      <c r="AK92" s="270">
        <f>INDEX(Coordinates!$C$2:$C$197,MATCH(G92,Coordinates!$J$2:$J$197,0))</f>
        <v>34.854464020000002</v>
      </c>
      <c r="AL92" s="270" t="str">
        <f>IF(ISNUMBER(SEARCH("C", 'Dry_Litterbag Placem_Collection'!S93)),"YES","NO")</f>
        <v>NO</v>
      </c>
      <c r="AM92" s="270" t="str">
        <f>IF(ISNUMBER(SEARCH("H", 'Dry_Litterbag Placem_Collection'!S93)),"YES","NO")</f>
        <v>NO</v>
      </c>
      <c r="AN92" s="270" t="str">
        <f>IF(ISNUMBER(SEARCH("R", 'Dry_Litterbag Placem_Collection'!S93)),"YES","NO")</f>
        <v>NO</v>
      </c>
    </row>
    <row r="93" spans="1:40">
      <c r="A93" s="262" t="s">
        <v>2659</v>
      </c>
      <c r="B93" s="263">
        <f>'Dry_Litterbag Placem_Collection'!A94</f>
        <v>92</v>
      </c>
      <c r="C93" s="263" t="str">
        <f>'Dry_Litterbag Placem_Collection'!B94</f>
        <v>Maswa</v>
      </c>
      <c r="D93" s="263" t="s">
        <v>2659</v>
      </c>
      <c r="E93" s="263" t="s">
        <v>2661</v>
      </c>
      <c r="F93" s="263">
        <v>4</v>
      </c>
      <c r="G93" s="264" t="str">
        <f>'Dry_Litterbag Placem_Collection'!C94</f>
        <v>Dry_W4_T4</v>
      </c>
      <c r="H93" s="265" t="s">
        <v>2541</v>
      </c>
      <c r="I93" s="266" t="s">
        <v>1147</v>
      </c>
      <c r="J93" s="263" t="str">
        <f>IF(ISBLANK('Dry_Litterbag Placem_Collection'!J94),"","G"&amp;""&amp;'Dry_Litterbag Placem_Collection'!J94)</f>
        <v>G324</v>
      </c>
      <c r="K93" s="267">
        <f>IFERROR(INDEX('Green_rooibos initial weight'!$C$5:$C$1749,MATCH(J93, 'Green_rooibos initial weight'!$A$5:$A$1749,0)),"")</f>
        <v>2.0430000000000001</v>
      </c>
      <c r="L93" s="267">
        <f>IFERROR(K93-(TBIcalc!$Q$9+TBIcalc!$Q$10),"")</f>
        <v>1.7932000000000001</v>
      </c>
      <c r="M93" s="391">
        <f>AVERAGE(Ashed_controlls!$K$2:$K$11)</f>
        <v>5.5147656768714146</v>
      </c>
      <c r="N93" s="267">
        <f t="shared" si="6"/>
        <v>1.6943092218823419</v>
      </c>
      <c r="O93" s="267">
        <f>IF(IFERROR(INDEX('Both teabags AfterDry'!$D$3:$D$900,MATCH(J93,'Both teabags AfterDry'!$A$3:$A$900,0)),"")="","",(IFERROR(INDEX('Both teabags AfterDry'!$D$3:$D$900,MATCH(J93,'Both teabags AfterDry'!$A$3:$A$900,0)),"")))</f>
        <v>1.6847000000000001</v>
      </c>
      <c r="P93" s="267">
        <f>IFERROR(IF(O93&gt;0,O93-(TBIcalc!$Q$9),""),"")</f>
        <v>1.5341</v>
      </c>
      <c r="Q93" s="278">
        <f>IFERROR(INDEX('Ashed teabags dry'!$K$2:$K$825,MATCH(J93,'Ashed teabags dry'!$A$2:$A$825,0)),"")</f>
        <v>7.5962018990501106</v>
      </c>
      <c r="R93" s="278">
        <f t="shared" si="7"/>
        <v>1.4175666666666722</v>
      </c>
      <c r="S93" s="268">
        <f>'Dry_Litterbag Placem_Collection'!E94</f>
        <v>42937</v>
      </c>
      <c r="T93" s="268">
        <f>IF('Dry_Litterbag Placem_Collection'!G94="","",'Dry_Litterbag Placem_Collection'!G94)</f>
        <v>43006</v>
      </c>
      <c r="U93" s="269">
        <f t="shared" si="5"/>
        <v>69</v>
      </c>
      <c r="V93" s="267">
        <f t="shared" si="8"/>
        <v>0.25910000000000011</v>
      </c>
      <c r="W93" s="267">
        <f t="shared" si="9"/>
        <v>0.27674255521566971</v>
      </c>
      <c r="X93" s="271">
        <f>IFERROR(INDEX(Rainfall_Dry!$O$2:$O$217,MATCH(B93, Rainfall_Dry!$A$2:$A$217,0)),"")</f>
        <v>12.563016860999999</v>
      </c>
      <c r="Y93" s="260">
        <v>28.145762029394</v>
      </c>
      <c r="Z93" s="260">
        <v>25.085564727199518</v>
      </c>
      <c r="AA93" s="260">
        <v>46.768673243406489</v>
      </c>
      <c r="AB93" s="261" t="s">
        <v>2670</v>
      </c>
      <c r="AC93" s="260">
        <v>5.1716214884179399</v>
      </c>
      <c r="AD93">
        <f>IF('WetLitterbags placem_collection'!AB94="","",'WetLitterbags placem_collection'!AB94)</f>
        <v>7.7</v>
      </c>
      <c r="AE93">
        <f>IF('WetLitterbags placem_collection'!Z94="","",'WetLitterbags placem_collection'!Z94)</f>
        <v>24.8</v>
      </c>
      <c r="AF93" s="246" t="str">
        <f>IF('WetLitterbags placem_collection'!AA94="","",'WetLitterbags placem_collection'!AA94)</f>
        <v>O</v>
      </c>
      <c r="AG93">
        <f>IF('WetLitterbags placem_collection'!AC94="","",'WetLitterbags placem_collection'!AC94)</f>
        <v>1</v>
      </c>
      <c r="AH93">
        <f>IFERROR(AVERAGE('Dry_Litterbag Placem_Collection'!O94,'Dry_Litterbag Placem_Collection'!R94),"")</f>
        <v>10.25</v>
      </c>
      <c r="AI93" s="271">
        <f>IFERROR(AVERAGE('Dry_Litterbag Placem_Collection'!N94,'Dry_Litterbag Placem_Collection'!Q94),"")</f>
        <v>26</v>
      </c>
      <c r="AJ93" s="270">
        <f>INDEX(Coordinates!$B$2:$B$197,MATCH(G93,Coordinates!$J$2:$J$197,0))</f>
        <v>-3.2965539860000002</v>
      </c>
      <c r="AK93" s="270">
        <f>INDEX(Coordinates!$C$2:$C$197,MATCH(G93,Coordinates!$J$2:$J$197,0))</f>
        <v>34.854455969999997</v>
      </c>
      <c r="AL93" s="270" t="str">
        <f>IF(ISNUMBER(SEARCH("C", 'Dry_Litterbag Placem_Collection'!S94)),"YES","NO")</f>
        <v>NO</v>
      </c>
      <c r="AM93" s="270" t="str">
        <f>IF(ISNUMBER(SEARCH("H", 'Dry_Litterbag Placem_Collection'!S94)),"YES","NO")</f>
        <v>YES</v>
      </c>
      <c r="AN93" s="270" t="str">
        <f>IF(ISNUMBER(SEARCH("R", 'Dry_Litterbag Placem_Collection'!S94)),"YES","NO")</f>
        <v>NO</v>
      </c>
    </row>
    <row r="94" spans="1:40">
      <c r="A94" s="262" t="s">
        <v>2659</v>
      </c>
      <c r="B94" s="263">
        <f>'Dry_Litterbag Placem_Collection'!A95</f>
        <v>93</v>
      </c>
      <c r="C94" s="263" t="str">
        <f>'Dry_Litterbag Placem_Collection'!B95</f>
        <v>Maswa</v>
      </c>
      <c r="D94" s="263" t="s">
        <v>2659</v>
      </c>
      <c r="E94" s="263" t="s">
        <v>2661</v>
      </c>
      <c r="F94" s="263">
        <v>4</v>
      </c>
      <c r="G94" s="264" t="str">
        <f>'Dry_Litterbag Placem_Collection'!C95</f>
        <v>Dry_W4_T5</v>
      </c>
      <c r="H94" s="265" t="s">
        <v>2541</v>
      </c>
      <c r="I94" s="266" t="s">
        <v>1147</v>
      </c>
      <c r="J94" s="263" t="str">
        <f>IF(ISBLANK('Dry_Litterbag Placem_Collection'!J95),"","G"&amp;""&amp;'Dry_Litterbag Placem_Collection'!J95)</f>
        <v>G99</v>
      </c>
      <c r="K94" s="267">
        <f>IFERROR(INDEX('Green_rooibos initial weight'!$C$5:$C$1749,MATCH(J94, 'Green_rooibos initial weight'!$A$5:$A$1749,0)),"")</f>
        <v>2.097</v>
      </c>
      <c r="L94" s="267">
        <f>IFERROR(K94-(TBIcalc!$Q$9+TBIcalc!$Q$10),"")</f>
        <v>1.8472</v>
      </c>
      <c r="M94" s="391">
        <f>AVERAGE(Ashed_controlls!$K$2:$K$11)</f>
        <v>5.5147656768714146</v>
      </c>
      <c r="N94" s="267">
        <f t="shared" si="6"/>
        <v>1.7453312484168313</v>
      </c>
      <c r="O94" s="267">
        <f>IF(IFERROR(INDEX('Both teabags AfterDry'!$D$3:$D$900,MATCH(J94,'Both teabags AfterDry'!$A$3:$A$900,0)),"")="","",(IFERROR(INDEX('Both teabags AfterDry'!$D$3:$D$900,MATCH(J94,'Both teabags AfterDry'!$A$3:$A$900,0)),"")))</f>
        <v>1.9186000000000001</v>
      </c>
      <c r="P94" s="267">
        <f>IFERROR(IF(O94&gt;0,O94-(TBIcalc!$Q$9),""),"")</f>
        <v>1.768</v>
      </c>
      <c r="Q94" s="278">
        <f>IFERROR(INDEX('Ashed teabags dry'!$K$2:$K$825,MATCH(J94,'Ashed teabags dry'!$A$2:$A$825,0)),"")</f>
        <v>6.1659712563742239</v>
      </c>
      <c r="R94" s="278">
        <f t="shared" si="7"/>
        <v>1.6589856281873037</v>
      </c>
      <c r="S94" s="268">
        <f>'Dry_Litterbag Placem_Collection'!E95</f>
        <v>42937</v>
      </c>
      <c r="T94" s="268">
        <f>IF('Dry_Litterbag Placem_Collection'!G95="","",'Dry_Litterbag Placem_Collection'!G95)</f>
        <v>43006</v>
      </c>
      <c r="U94" s="269">
        <f t="shared" si="5"/>
        <v>69</v>
      </c>
      <c r="V94" s="267">
        <f t="shared" si="8"/>
        <v>7.9199999999999937E-2</v>
      </c>
      <c r="W94" s="267">
        <f t="shared" si="9"/>
        <v>8.6345620229527631E-2</v>
      </c>
      <c r="X94" s="271">
        <f>IFERROR(INDEX(Rainfall_Dry!$O$2:$O$217,MATCH(B94, Rainfall_Dry!$A$2:$A$217,0)),"")</f>
        <v>12.563016860999999</v>
      </c>
      <c r="Y94" s="260">
        <v>28.145762029394</v>
      </c>
      <c r="Z94" s="260">
        <v>25.085564727199518</v>
      </c>
      <c r="AA94" s="260">
        <v>46.768673243406489</v>
      </c>
      <c r="AB94" s="261" t="s">
        <v>2670</v>
      </c>
      <c r="AC94" s="260">
        <v>6.1716214884179399</v>
      </c>
      <c r="AD94">
        <f>IF('WetLitterbags placem_collection'!AB95="","",'WetLitterbags placem_collection'!AB95)</f>
        <v>6.6</v>
      </c>
      <c r="AE94">
        <f>IF('WetLitterbags placem_collection'!Z95="","",'WetLitterbags placem_collection'!Z95)</f>
        <v>40</v>
      </c>
      <c r="AF94" s="246" t="str">
        <f>IF('WetLitterbags placem_collection'!AA95="","",'WetLitterbags placem_collection'!AA95)</f>
        <v>O</v>
      </c>
      <c r="AG94">
        <f>IF('WetLitterbags placem_collection'!AC95="","",'WetLitterbags placem_collection'!AC95)</f>
        <v>1</v>
      </c>
      <c r="AH94">
        <f>IFERROR(AVERAGE('Dry_Litterbag Placem_Collection'!O95,'Dry_Litterbag Placem_Collection'!R95),"")</f>
        <v>10.45</v>
      </c>
      <c r="AI94" s="271">
        <f>IFERROR(AVERAGE('Dry_Litterbag Placem_Collection'!N95,'Dry_Litterbag Placem_Collection'!Q95),"")</f>
        <v>26.4</v>
      </c>
      <c r="AJ94" s="270">
        <f>INDEX(Coordinates!$B$2:$B$197,MATCH(G94,Coordinates!$J$2:$J$197,0))</f>
        <v>-3.2964789680000002</v>
      </c>
      <c r="AK94" s="270">
        <f>INDEX(Coordinates!$C$2:$C$197,MATCH(G94,Coordinates!$J$2:$J$197,0))</f>
        <v>34.854331000000002</v>
      </c>
      <c r="AL94" s="270" t="str">
        <f>IF(ISNUMBER(SEARCH("C", 'Dry_Litterbag Placem_Collection'!S95)),"YES","NO")</f>
        <v>NO</v>
      </c>
      <c r="AM94" s="270" t="str">
        <f>IF(ISNUMBER(SEARCH("H", 'Dry_Litterbag Placem_Collection'!S95)),"YES","NO")</f>
        <v>YES</v>
      </c>
      <c r="AN94" s="270" t="str">
        <f>IF(ISNUMBER(SEARCH("R", 'Dry_Litterbag Placem_Collection'!S95)),"YES","NO")</f>
        <v>NO</v>
      </c>
    </row>
    <row r="95" spans="1:40">
      <c r="A95" s="262" t="s">
        <v>2659</v>
      </c>
      <c r="B95" s="263">
        <f>'Dry_Litterbag Placem_Collection'!A96</f>
        <v>94</v>
      </c>
      <c r="C95" s="263" t="str">
        <f>'Dry_Litterbag Placem_Collection'!B96</f>
        <v>Maswa</v>
      </c>
      <c r="D95" s="263" t="s">
        <v>2659</v>
      </c>
      <c r="E95" s="263" t="s">
        <v>2661</v>
      </c>
      <c r="F95" s="263">
        <v>4</v>
      </c>
      <c r="G95" s="264" t="str">
        <f>'Dry_Litterbag Placem_Collection'!C96</f>
        <v>Dry_W4_T6</v>
      </c>
      <c r="H95" s="265" t="s">
        <v>2541</v>
      </c>
      <c r="I95" s="266" t="s">
        <v>1147</v>
      </c>
      <c r="J95" s="263" t="str">
        <f>IF(ISBLANK('Dry_Litterbag Placem_Collection'!J96),"","G"&amp;""&amp;'Dry_Litterbag Placem_Collection'!J96)</f>
        <v/>
      </c>
      <c r="K95" s="267" t="str">
        <f>IFERROR(INDEX('Green_rooibos initial weight'!$C$5:$C$1749,MATCH(J95, 'Green_rooibos initial weight'!$A$5:$A$1749,0)),"")</f>
        <v/>
      </c>
      <c r="L95" s="267" t="str">
        <f>IFERROR(K95-(TBIcalc!$Q$9+TBIcalc!$Q$10),"")</f>
        <v/>
      </c>
      <c r="M95" s="391">
        <f>AVERAGE(Ashed_controlls!$K$2:$K$11)</f>
        <v>5.5147656768714146</v>
      </c>
      <c r="N95" s="267" t="str">
        <f t="shared" si="6"/>
        <v/>
      </c>
      <c r="O95" s="267" t="str">
        <f>IF(IFERROR(INDEX('Both teabags AfterDry'!$D$3:$D$900,MATCH(J95,'Both teabags AfterDry'!$A$3:$A$900,0)),"")="","",(IFERROR(INDEX('Both teabags AfterDry'!$D$3:$D$900,MATCH(J95,'Both teabags AfterDry'!$A$3:$A$900,0)),"")))</f>
        <v/>
      </c>
      <c r="P95" s="267" t="str">
        <f>IFERROR(IF(O95&gt;0,O95-(TBIcalc!$Q$9),""),"")</f>
        <v/>
      </c>
      <c r="Q95" s="278" t="str">
        <f>IFERROR(INDEX('Ashed teabags dry'!$K$2:$K$825,MATCH(J95,'Ashed teabags dry'!$A$2:$A$825,0)),"")</f>
        <v/>
      </c>
      <c r="R95" s="278" t="str">
        <f t="shared" si="7"/>
        <v/>
      </c>
      <c r="S95" s="268">
        <f>'Dry_Litterbag Placem_Collection'!E96</f>
        <v>0</v>
      </c>
      <c r="T95" s="268" t="str">
        <f>IF('Dry_Litterbag Placem_Collection'!G96="","",'Dry_Litterbag Placem_Collection'!G96)</f>
        <v/>
      </c>
      <c r="U95" s="269" t="str">
        <f t="shared" si="5"/>
        <v/>
      </c>
      <c r="V95" s="267" t="str">
        <f t="shared" si="8"/>
        <v/>
      </c>
      <c r="W95" s="267" t="str">
        <f t="shared" si="9"/>
        <v/>
      </c>
      <c r="X95" s="271" t="str">
        <f>IFERROR(INDEX(Rainfall_Dry!$O$2:$O$217,MATCH(B95, Rainfall_Dry!$A$2:$A$217,0)),"")</f>
        <v/>
      </c>
      <c r="Y95" s="260">
        <v>28.145762029394</v>
      </c>
      <c r="Z95" s="260">
        <v>25.085564727199518</v>
      </c>
      <c r="AA95" s="260">
        <v>46.768673243406489</v>
      </c>
      <c r="AB95" s="261" t="s">
        <v>2670</v>
      </c>
      <c r="AC95" s="260">
        <v>7.1716214884179399</v>
      </c>
      <c r="AD95" t="str">
        <f>IF('WetLitterbags placem_collection'!AB96="","",'WetLitterbags placem_collection'!AB96)</f>
        <v/>
      </c>
      <c r="AE95" t="str">
        <f>IF('WetLitterbags placem_collection'!Z96="","",'WetLitterbags placem_collection'!Z96)</f>
        <v/>
      </c>
      <c r="AF95" s="246" t="str">
        <f>IF('WetLitterbags placem_collection'!AA96="","",'WetLitterbags placem_collection'!AA96)</f>
        <v/>
      </c>
      <c r="AG95" t="str">
        <f>IF('WetLitterbags placem_collection'!AC96="","",'WetLitterbags placem_collection'!AC96)</f>
        <v/>
      </c>
      <c r="AH95" t="str">
        <f>IFERROR(AVERAGE('Dry_Litterbag Placem_Collection'!O96,'Dry_Litterbag Placem_Collection'!R96),"")</f>
        <v/>
      </c>
      <c r="AI95" s="271" t="str">
        <f>IFERROR(AVERAGE('Dry_Litterbag Placem_Collection'!N96,'Dry_Litterbag Placem_Collection'!Q96),"")</f>
        <v/>
      </c>
      <c r="AJ95" s="270">
        <f>INDEX(Coordinates!$B$2:$B$197,MATCH(G95,Coordinates!$J$2:$J$197,0))</f>
        <v>-3.2964649700000002</v>
      </c>
      <c r="AK95" s="270">
        <f>INDEX(Coordinates!$C$2:$C$197,MATCH(G95,Coordinates!$J$2:$J$197,0))</f>
        <v>34.854340970000003</v>
      </c>
      <c r="AL95" s="270" t="str">
        <f>IF(ISNUMBER(SEARCH("C", 'Dry_Litterbag Placem_Collection'!S96)),"YES","NO")</f>
        <v>NO</v>
      </c>
      <c r="AM95" s="270" t="str">
        <f>IF(ISNUMBER(SEARCH("H", 'Dry_Litterbag Placem_Collection'!S96)),"YES","NO")</f>
        <v>NO</v>
      </c>
      <c r="AN95" s="270" t="str">
        <f>IF(ISNUMBER(SEARCH("R", 'Dry_Litterbag Placem_Collection'!S96)),"YES","NO")</f>
        <v>NO</v>
      </c>
    </row>
    <row r="96" spans="1:40" ht="15" customHeight="1">
      <c r="A96" s="262" t="s">
        <v>2659</v>
      </c>
      <c r="B96" s="263">
        <f>'Dry_Litterbag Placem_Collection'!A97</f>
        <v>95</v>
      </c>
      <c r="C96" s="263" t="str">
        <f>'Dry_Litterbag Placem_Collection'!B97</f>
        <v>Maswa</v>
      </c>
      <c r="D96" s="263" t="s">
        <v>2659</v>
      </c>
      <c r="E96" s="263" t="s">
        <v>2661</v>
      </c>
      <c r="F96" s="263">
        <v>4</v>
      </c>
      <c r="G96" s="264" t="str">
        <f>'Dry_Litterbag Placem_Collection'!C97</f>
        <v>Dry_W4_T7</v>
      </c>
      <c r="H96" s="265" t="s">
        <v>2541</v>
      </c>
      <c r="I96" s="266" t="s">
        <v>1147</v>
      </c>
      <c r="J96" s="263" t="str">
        <f>IF(ISBLANK('Dry_Litterbag Placem_Collection'!J97),"","G"&amp;""&amp;'Dry_Litterbag Placem_Collection'!J97)</f>
        <v>G126</v>
      </c>
      <c r="K96" s="267">
        <f>IFERROR(INDEX('Green_rooibos initial weight'!$C$5:$C$1749,MATCH(J96, 'Green_rooibos initial weight'!$A$5:$A$1749,0)),"")</f>
        <v>2.093</v>
      </c>
      <c r="L96" s="267">
        <f>IFERROR(K96-(TBIcalc!$Q$9+TBIcalc!$Q$10),"")</f>
        <v>1.8431999999999999</v>
      </c>
      <c r="M96" s="391">
        <f>AVERAGE(Ashed_controlls!$K$2:$K$11)</f>
        <v>5.5147656768714146</v>
      </c>
      <c r="N96" s="267">
        <f t="shared" si="6"/>
        <v>1.741551839043906</v>
      </c>
      <c r="O96" s="267">
        <f>IF(IFERROR(INDEX('Both teabags AfterDry'!$D$3:$D$900,MATCH(J96,'Both teabags AfterDry'!$A$3:$A$900,0)),"")="","",(IFERROR(INDEX('Both teabags AfterDry'!$D$3:$D$900,MATCH(J96,'Both teabags AfterDry'!$A$3:$A$900,0)),"")))</f>
        <v>1.8705000000000001</v>
      </c>
      <c r="P96" s="267">
        <f>IFERROR(IF(O96&gt;0,O96-(TBIcalc!$Q$9),""),"")</f>
        <v>1.7199</v>
      </c>
      <c r="Q96" s="278">
        <f>IFERROR(INDEX('Ashed teabags dry'!$K$2:$K$825,MATCH(J96,'Ashed teabags dry'!$A$2:$A$825,0)),"")</f>
        <v>5.4866412213739713</v>
      </c>
      <c r="R96" s="278">
        <f t="shared" si="7"/>
        <v>1.6255352576335891</v>
      </c>
      <c r="S96" s="268">
        <f>'Dry_Litterbag Placem_Collection'!E97</f>
        <v>42937</v>
      </c>
      <c r="T96" s="268">
        <f>IF('Dry_Litterbag Placem_Collection'!G97="","",'Dry_Litterbag Placem_Collection'!G97)</f>
        <v>43006</v>
      </c>
      <c r="U96" s="269">
        <f t="shared" si="5"/>
        <v>69</v>
      </c>
      <c r="V96" s="267">
        <f t="shared" si="8"/>
        <v>0.12329999999999997</v>
      </c>
      <c r="W96" s="267">
        <f t="shared" si="9"/>
        <v>0.1160165814103169</v>
      </c>
      <c r="X96" s="271">
        <f>IFERROR(INDEX(Rainfall_Dry!$O$2:$O$217,MATCH(B96, Rainfall_Dry!$A$2:$A$217,0)),"")</f>
        <v>12.563016860999999</v>
      </c>
      <c r="Y96" s="260">
        <v>28.145762029394</v>
      </c>
      <c r="Z96" s="260">
        <v>25.085564727199518</v>
      </c>
      <c r="AA96" s="260">
        <v>46.768673243406489</v>
      </c>
      <c r="AB96" s="261" t="s">
        <v>2670</v>
      </c>
      <c r="AC96" s="260">
        <v>8.1716214884179408</v>
      </c>
      <c r="AD96">
        <f>IF('WetLitterbags placem_collection'!AB97="","",'WetLitterbags placem_collection'!AB97)</f>
        <v>5.4</v>
      </c>
      <c r="AE96">
        <f>IF('WetLitterbags placem_collection'!Z97="","",'WetLitterbags placem_collection'!Z97)</f>
        <v>15.2</v>
      </c>
      <c r="AF96" s="246" t="str">
        <f>IF('WetLitterbags placem_collection'!AA97="","",'WetLitterbags placem_collection'!AA97)</f>
        <v>O</v>
      </c>
      <c r="AG96">
        <f>IF('WetLitterbags placem_collection'!AC97="","",'WetLitterbags placem_collection'!AC97)</f>
        <v>0</v>
      </c>
      <c r="AH96">
        <f>IFERROR(AVERAGE('Dry_Litterbag Placem_Collection'!O97,'Dry_Litterbag Placem_Collection'!R97),"")</f>
        <v>8.75</v>
      </c>
      <c r="AI96" s="271">
        <f>IFERROR(AVERAGE('Dry_Litterbag Placem_Collection'!N97,'Dry_Litterbag Placem_Collection'!Q97),"")</f>
        <v>27.35</v>
      </c>
      <c r="AJ96" s="270">
        <f>INDEX(Coordinates!$B$2:$B$197,MATCH(G96,Coordinates!$J$2:$J$197,0))</f>
        <v>-3.296725983</v>
      </c>
      <c r="AK96" s="270">
        <f>INDEX(Coordinates!$C$2:$C$197,MATCH(G96,Coordinates!$J$2:$J$197,0))</f>
        <v>34.854216000000001</v>
      </c>
      <c r="AL96" s="270" t="str">
        <f>IF(ISNUMBER(SEARCH("C", 'Dry_Litterbag Placem_Collection'!S97)),"YES","NO")</f>
        <v>NO</v>
      </c>
      <c r="AM96" s="270" t="str">
        <f>IF(ISNUMBER(SEARCH("H", 'Dry_Litterbag Placem_Collection'!S97)),"YES","NO")</f>
        <v>NO</v>
      </c>
      <c r="AN96" s="270" t="str">
        <f>IF(ISNUMBER(SEARCH("R", 'Dry_Litterbag Placem_Collection'!S97)),"YES","NO")</f>
        <v>NO</v>
      </c>
    </row>
    <row r="97" spans="1:40" ht="15" customHeight="1">
      <c r="A97" s="262" t="s">
        <v>2659</v>
      </c>
      <c r="B97" s="263">
        <f>'Dry_Litterbag Placem_Collection'!A98</f>
        <v>96</v>
      </c>
      <c r="C97" s="263" t="str">
        <f>'Dry_Litterbag Placem_Collection'!B98</f>
        <v>Maswa</v>
      </c>
      <c r="D97" s="263" t="s">
        <v>2659</v>
      </c>
      <c r="E97" s="263" t="s">
        <v>2661</v>
      </c>
      <c r="F97" s="263">
        <v>4</v>
      </c>
      <c r="G97" s="264" t="str">
        <f>'Dry_Litterbag Placem_Collection'!C98</f>
        <v>Dry_W4_T8</v>
      </c>
      <c r="H97" s="265" t="s">
        <v>2541</v>
      </c>
      <c r="I97" s="266" t="s">
        <v>1147</v>
      </c>
      <c r="J97" s="263" t="str">
        <f>IF(ISBLANK('Dry_Litterbag Placem_Collection'!J98),"","G"&amp;""&amp;'Dry_Litterbag Placem_Collection'!J98)</f>
        <v>G244</v>
      </c>
      <c r="K97" s="267">
        <f>IFERROR(INDEX('Green_rooibos initial weight'!$C$5:$C$1749,MATCH(J97, 'Green_rooibos initial weight'!$A$5:$A$1749,0)),"")</f>
        <v>2.04</v>
      </c>
      <c r="L97" s="267">
        <f>IFERROR(K97-(TBIcalc!$Q$9+TBIcalc!$Q$10),"")</f>
        <v>1.7902</v>
      </c>
      <c r="M97" s="391">
        <f>AVERAGE(Ashed_controlls!$K$2:$K$11)</f>
        <v>5.5147656768714146</v>
      </c>
      <c r="N97" s="267">
        <f t="shared" si="6"/>
        <v>1.691474664852648</v>
      </c>
      <c r="O97" s="267">
        <f>IF(IFERROR(INDEX('Both teabags AfterDry'!$D$3:$D$900,MATCH(J97,'Both teabags AfterDry'!$A$3:$A$900,0)),"")="","",(IFERROR(INDEX('Both teabags AfterDry'!$D$3:$D$900,MATCH(J97,'Both teabags AfterDry'!$A$3:$A$900,0)),"")))</f>
        <v>1.8649</v>
      </c>
      <c r="P97" s="267">
        <f>IFERROR(IF(O97&gt;0,O97-(TBIcalc!$Q$9),""),"")</f>
        <v>1.7142999999999999</v>
      </c>
      <c r="Q97" s="278">
        <f>IFERROR(INDEX('Ashed teabags dry'!$K$2:$K$825,MATCH(J97,'Ashed teabags dry'!$A$2:$A$825,0)),"")</f>
        <v>5.8795180722893514</v>
      </c>
      <c r="R97" s="278">
        <f t="shared" si="7"/>
        <v>1.6135074216867435</v>
      </c>
      <c r="S97" s="268">
        <f>'Dry_Litterbag Placem_Collection'!E98</f>
        <v>42937</v>
      </c>
      <c r="T97" s="268">
        <f>IF('Dry_Litterbag Placem_Collection'!G98="","",'Dry_Litterbag Placem_Collection'!G98)</f>
        <v>43006</v>
      </c>
      <c r="U97" s="269">
        <f t="shared" si="5"/>
        <v>69</v>
      </c>
      <c r="V97" s="267">
        <f t="shared" si="8"/>
        <v>7.5900000000000079E-2</v>
      </c>
      <c r="W97" s="267">
        <f t="shared" si="9"/>
        <v>7.7967243165904421E-2</v>
      </c>
      <c r="X97" s="271">
        <f>IFERROR(INDEX(Rainfall_Dry!$O$2:$O$217,MATCH(B97, Rainfall_Dry!$A$2:$A$217,0)),"")</f>
        <v>12.563016860999999</v>
      </c>
      <c r="Y97" s="260">
        <v>28.145762029394</v>
      </c>
      <c r="Z97" s="260">
        <v>25.085564727199518</v>
      </c>
      <c r="AA97" s="260">
        <v>46.768673243406489</v>
      </c>
      <c r="AB97" s="261" t="s">
        <v>2670</v>
      </c>
      <c r="AC97" s="260">
        <v>9.1716214884179408</v>
      </c>
      <c r="AD97">
        <f>IF('WetLitterbags placem_collection'!AB98="","",'WetLitterbags placem_collection'!AB98)</f>
        <v>4</v>
      </c>
      <c r="AE97">
        <f>IF('WetLitterbags placem_collection'!Z98="","",'WetLitterbags placem_collection'!Z98)</f>
        <v>34.4</v>
      </c>
      <c r="AF97" s="246" t="str">
        <f>IF('WetLitterbags placem_collection'!AA98="","",'WetLitterbags placem_collection'!AA98)</f>
        <v>O</v>
      </c>
      <c r="AG97">
        <f>IF('WetLitterbags placem_collection'!AC98="","",'WetLitterbags placem_collection'!AC98)</f>
        <v>0</v>
      </c>
      <c r="AH97">
        <f>IFERROR(AVERAGE('Dry_Litterbag Placem_Collection'!O98,'Dry_Litterbag Placem_Collection'!R98),"")</f>
        <v>5.0999999999999996</v>
      </c>
      <c r="AI97" s="271">
        <f>IFERROR(AVERAGE('Dry_Litterbag Placem_Collection'!N98,'Dry_Litterbag Placem_Collection'!Q98),"")</f>
        <v>25.950000000000003</v>
      </c>
      <c r="AJ97" s="270">
        <f>INDEX(Coordinates!$B$2:$B$197,MATCH(G97,Coordinates!$J$2:$J$197,0))</f>
        <v>-3.2968360369999998</v>
      </c>
      <c r="AK97" s="270">
        <f>INDEX(Coordinates!$C$2:$C$197,MATCH(G97,Coordinates!$J$2:$J$197,0))</f>
        <v>34.854462009999999</v>
      </c>
      <c r="AL97" s="270" t="str">
        <f>IF(ISNUMBER(SEARCH("C", 'Dry_Litterbag Placem_Collection'!S98)),"YES","NO")</f>
        <v>NO</v>
      </c>
      <c r="AM97" s="270" t="str">
        <f>IF(ISNUMBER(SEARCH("H", 'Dry_Litterbag Placem_Collection'!S98)),"YES","NO")</f>
        <v>NO</v>
      </c>
      <c r="AN97" s="270" t="str">
        <f>IF(ISNUMBER(SEARCH("R", 'Dry_Litterbag Placem_Collection'!S98)),"YES","NO")</f>
        <v>NO</v>
      </c>
    </row>
    <row r="98" spans="1:40" ht="15" customHeight="1">
      <c r="A98" s="262" t="s">
        <v>2659</v>
      </c>
      <c r="B98" s="263">
        <f>'Dry_Litterbag Placem_Collection'!A99</f>
        <v>97</v>
      </c>
      <c r="C98" s="263" t="str">
        <f>'Dry_Litterbag Placem_Collection'!B99</f>
        <v xml:space="preserve">Mwantimba
</v>
      </c>
      <c r="D98" s="263" t="s">
        <v>2460</v>
      </c>
      <c r="E98" s="263" t="s">
        <v>2660</v>
      </c>
      <c r="F98" s="263">
        <v>1</v>
      </c>
      <c r="G98" s="264" t="str">
        <f>'Dry_Litterbag Placem_Collection'!C99</f>
        <v>Wet_Ag1_T1</v>
      </c>
      <c r="H98" s="265" t="s">
        <v>2541</v>
      </c>
      <c r="I98" s="266" t="s">
        <v>1147</v>
      </c>
      <c r="J98" s="263" t="str">
        <f>IF(ISBLANK('Dry_Litterbag Placem_Collection'!J99),"","G"&amp;""&amp;'Dry_Litterbag Placem_Collection'!J99)</f>
        <v>G432</v>
      </c>
      <c r="K98" s="267">
        <f>IFERROR(INDEX('Green_rooibos initial weight'!$C$5:$C$1749,MATCH(J98, 'Green_rooibos initial weight'!$A$5:$A$1749,0)),"")</f>
        <v>2.0659999999999998</v>
      </c>
      <c r="L98" s="267">
        <f>IFERROR(K98-(TBIcalc!$Q$9+TBIcalc!$Q$10),"")</f>
        <v>1.8161999999999998</v>
      </c>
      <c r="M98" s="391">
        <f>AVERAGE(Ashed_controlls!$K$2:$K$11)</f>
        <v>5.5147656768714146</v>
      </c>
      <c r="N98" s="267">
        <f t="shared" si="6"/>
        <v>1.7160408257766613</v>
      </c>
      <c r="O98" s="267" t="str">
        <f>IF(IFERROR(INDEX('Both teabags AfterDry'!$D$3:$D$900,MATCH(J98,'Both teabags AfterDry'!$A$3:$A$900,0)),"")="","",(IFERROR(INDEX('Both teabags AfterDry'!$D$3:$D$900,MATCH(J98,'Both teabags AfterDry'!$A$3:$A$900,0)),"")))</f>
        <v/>
      </c>
      <c r="P98" s="267" t="str">
        <f>IFERROR(IF(O98&gt;0,O98-(TBIcalc!$Q$9),""),"")</f>
        <v/>
      </c>
      <c r="Q98" s="278" t="str">
        <f>IFERROR(INDEX('Ashed teabags dry'!$K$2:$K$825,MATCH(J98,'Ashed teabags dry'!$A$2:$A$825,0)),"")</f>
        <v/>
      </c>
      <c r="R98" s="278" t="str">
        <f t="shared" si="7"/>
        <v/>
      </c>
      <c r="S98" s="268">
        <f>'Dry_Litterbag Placem_Collection'!E99</f>
        <v>42939</v>
      </c>
      <c r="T98" s="268">
        <f>IF('Dry_Litterbag Placem_Collection'!G99="","",'Dry_Litterbag Placem_Collection'!G99)</f>
        <v>43010</v>
      </c>
      <c r="U98" s="269">
        <f t="shared" si="5"/>
        <v>71</v>
      </c>
      <c r="V98" s="267" t="str">
        <f t="shared" si="8"/>
        <v/>
      </c>
      <c r="W98" s="267" t="str">
        <f t="shared" si="9"/>
        <v/>
      </c>
      <c r="X98" s="271">
        <f>IFERROR(INDEX(Rainfall_Dry!$O$2:$O$217,MATCH(B98, Rainfall_Dry!$A$2:$A$217,0)),"")</f>
        <v>137.19979645800001</v>
      </c>
      <c r="Y98" s="260">
        <v>45.96</v>
      </c>
      <c r="Z98" s="260">
        <v>14.920000000000003</v>
      </c>
      <c r="AA98" s="260">
        <v>39.119999999999997</v>
      </c>
      <c r="AB98" s="261" t="s">
        <v>2673</v>
      </c>
      <c r="AC98" s="260">
        <v>2.0374568753080333</v>
      </c>
      <c r="AD98">
        <f>IF('WetLitterbags placem_collection'!AB99="","",'WetLitterbags placem_collection'!AB99)</f>
        <v>2.4</v>
      </c>
      <c r="AE98">
        <f>IF('WetLitterbags placem_collection'!Z99="","",'WetLitterbags placem_collection'!Z99)</f>
        <v>8.9</v>
      </c>
      <c r="AF98" s="246" t="str">
        <f>IF('WetLitterbags placem_collection'!AA99="","",'WetLitterbags placem_collection'!AA99)</f>
        <v>G</v>
      </c>
      <c r="AG98">
        <f>IF('WetLitterbags placem_collection'!AC99="","",'WetLitterbags placem_collection'!AC99)</f>
        <v>1</v>
      </c>
      <c r="AH98">
        <f>IFERROR(AVERAGE('Dry_Litterbag Placem_Collection'!O99,'Dry_Litterbag Placem_Collection'!R99),"")</f>
        <v>6.6</v>
      </c>
      <c r="AI98" s="271">
        <f>IFERROR(AVERAGE('Dry_Litterbag Placem_Collection'!N99,'Dry_Litterbag Placem_Collection'!Q99),"")</f>
        <v>28.5</v>
      </c>
      <c r="AJ98" s="270">
        <f>INDEX(Coordinates!$B$2:$B$197,MATCH(G98,Coordinates!$J$2:$J$197,0))</f>
        <v>-2.3691620310000001</v>
      </c>
      <c r="AK98" s="270">
        <f>INDEX(Coordinates!$C$2:$C$197,MATCH(G98,Coordinates!$J$2:$J$197,0))</f>
        <v>34.06028104</v>
      </c>
      <c r="AL98" s="270" t="str">
        <f>IF(ISNUMBER(SEARCH("C", 'Dry_Litterbag Placem_Collection'!S99)),"YES","NO")</f>
        <v>YES</v>
      </c>
      <c r="AM98" s="270" t="str">
        <f>IF(ISNUMBER(SEARCH("H", 'Dry_Litterbag Placem_Collection'!S99)),"YES","NO")</f>
        <v>YES</v>
      </c>
      <c r="AN98" s="270" t="str">
        <f>IF(ISNUMBER(SEARCH("R", 'Dry_Litterbag Placem_Collection'!S99)),"YES","NO")</f>
        <v>NO</v>
      </c>
    </row>
    <row r="99" spans="1:40" ht="15" customHeight="1">
      <c r="A99" s="262" t="s">
        <v>2659</v>
      </c>
      <c r="B99" s="263">
        <f>'Dry_Litterbag Placem_Collection'!A100</f>
        <v>98</v>
      </c>
      <c r="C99" s="263" t="str">
        <f>'Dry_Litterbag Placem_Collection'!B100</f>
        <v xml:space="preserve">Mwantimba
</v>
      </c>
      <c r="D99" s="263" t="s">
        <v>2460</v>
      </c>
      <c r="E99" s="263" t="s">
        <v>2660</v>
      </c>
      <c r="F99" s="263">
        <v>1</v>
      </c>
      <c r="G99" s="264" t="str">
        <f>'Dry_Litterbag Placem_Collection'!C100</f>
        <v>Wet_Ag1_T2</v>
      </c>
      <c r="H99" s="265" t="s">
        <v>2541</v>
      </c>
      <c r="I99" s="266" t="s">
        <v>1147</v>
      </c>
      <c r="J99" s="263" t="str">
        <f>IF(ISBLANK('Dry_Litterbag Placem_Collection'!J100),"","G"&amp;""&amp;'Dry_Litterbag Placem_Collection'!J100)</f>
        <v>G184</v>
      </c>
      <c r="K99" s="267">
        <f>IFERROR(INDEX('Green_rooibos initial weight'!$C$5:$C$1749,MATCH(J99, 'Green_rooibos initial weight'!$A$5:$A$1749,0)),"")</f>
        <v>1.925</v>
      </c>
      <c r="L99" s="267">
        <f>IFERROR(K99-(TBIcalc!$Q$9+TBIcalc!$Q$10),"")</f>
        <v>1.6752</v>
      </c>
      <c r="M99" s="391">
        <f>AVERAGE(Ashed_controlls!$K$2:$K$11)</f>
        <v>5.5147656768714146</v>
      </c>
      <c r="N99" s="267">
        <f t="shared" si="6"/>
        <v>1.5828166453810502</v>
      </c>
      <c r="O99" s="267">
        <f>IF(IFERROR(INDEX('Both teabags AfterDry'!$D$3:$D$900,MATCH(J99,'Both teabags AfterDry'!$A$3:$A$900,0)),"")="","",(IFERROR(INDEX('Both teabags AfterDry'!$D$3:$D$900,MATCH(J99,'Both teabags AfterDry'!$A$3:$A$900,0)),"")))</f>
        <v>0.99180000000000001</v>
      </c>
      <c r="P99" s="267">
        <f>IFERROR(IF(O99&gt;0,O99-(TBIcalc!$Q$9),""),"")</f>
        <v>0.84119999999999995</v>
      </c>
      <c r="Q99" s="278">
        <f>IFERROR(INDEX('Ashed teabags dry'!$K$2:$K$825,MATCH(J99,'Ashed teabags dry'!$A$2:$A$825,0)),"")</f>
        <v>12.153918348193013</v>
      </c>
      <c r="R99" s="278">
        <f t="shared" si="7"/>
        <v>0.73896123885500031</v>
      </c>
      <c r="S99" s="268">
        <f>'Dry_Litterbag Placem_Collection'!E100</f>
        <v>42939</v>
      </c>
      <c r="T99" s="268">
        <f>IF('Dry_Litterbag Placem_Collection'!G100="","",'Dry_Litterbag Placem_Collection'!G100)</f>
        <v>43010</v>
      </c>
      <c r="U99" s="269">
        <f t="shared" si="5"/>
        <v>71</v>
      </c>
      <c r="V99" s="267">
        <f t="shared" si="8"/>
        <v>0.83400000000000007</v>
      </c>
      <c r="W99" s="267">
        <f t="shared" si="9"/>
        <v>0.84385540652604984</v>
      </c>
      <c r="X99" s="271">
        <f>IFERROR(INDEX(Rainfall_Dry!$O$2:$O$217,MATCH(B99, Rainfall_Dry!$A$2:$A$217,0)),"")</f>
        <v>137.19979645800001</v>
      </c>
      <c r="Y99" s="260">
        <v>45.96</v>
      </c>
      <c r="Z99" s="260">
        <v>14.920000000000003</v>
      </c>
      <c r="AA99" s="260">
        <v>39.119999999999997</v>
      </c>
      <c r="AB99" s="261" t="s">
        <v>2673</v>
      </c>
      <c r="AC99" s="260">
        <v>3.0374568753080302</v>
      </c>
      <c r="AD99">
        <f>IF('WetLitterbags placem_collection'!AB100="","",'WetLitterbags placem_collection'!AB100)</f>
        <v>7.8</v>
      </c>
      <c r="AE99">
        <f>IF('WetLitterbags placem_collection'!Z100="","",'WetLitterbags placem_collection'!Z100)</f>
        <v>4.45</v>
      </c>
      <c r="AF99" s="246" t="str">
        <f>IF('WetLitterbags placem_collection'!AA100="","",'WetLitterbags placem_collection'!AA100)</f>
        <v>G</v>
      </c>
      <c r="AG99">
        <f>IF('WetLitterbags placem_collection'!AC100="","",'WetLitterbags placem_collection'!AC100)</f>
        <v>1</v>
      </c>
      <c r="AH99">
        <f>IFERROR(AVERAGE('Dry_Litterbag Placem_Collection'!O100,'Dry_Litterbag Placem_Collection'!R100),"")</f>
        <v>7.25</v>
      </c>
      <c r="AI99" s="271">
        <f>IFERROR(AVERAGE('Dry_Litterbag Placem_Collection'!N100,'Dry_Litterbag Placem_Collection'!Q100),"")</f>
        <v>29.3</v>
      </c>
      <c r="AJ99" s="270">
        <f>INDEX(Coordinates!$B$2:$B$197,MATCH(G99,Coordinates!$J$2:$J$197,0))</f>
        <v>-2.3692249790000002</v>
      </c>
      <c r="AK99" s="270">
        <f>INDEX(Coordinates!$C$2:$C$197,MATCH(G99,Coordinates!$J$2:$J$197,0))</f>
        <v>34.060285989999997</v>
      </c>
      <c r="AL99" s="270" t="str">
        <f>IF(ISNUMBER(SEARCH("C", 'Dry_Litterbag Placem_Collection'!S100)),"YES","NO")</f>
        <v>YES</v>
      </c>
      <c r="AM99" s="270" t="str">
        <f>IF(ISNUMBER(SEARCH("H", 'Dry_Litterbag Placem_Collection'!S100)),"YES","NO")</f>
        <v>YES</v>
      </c>
      <c r="AN99" s="270" t="str">
        <f>IF(ISNUMBER(SEARCH("R", 'Dry_Litterbag Placem_Collection'!S100)),"YES","NO")</f>
        <v>NO</v>
      </c>
    </row>
    <row r="100" spans="1:40" ht="15" customHeight="1">
      <c r="A100" s="262" t="s">
        <v>2659</v>
      </c>
      <c r="B100" s="263">
        <f>'Dry_Litterbag Placem_Collection'!A101</f>
        <v>99</v>
      </c>
      <c r="C100" s="263" t="str">
        <f>'Dry_Litterbag Placem_Collection'!B101</f>
        <v xml:space="preserve">Mwantimba
</v>
      </c>
      <c r="D100" s="263" t="s">
        <v>2460</v>
      </c>
      <c r="E100" s="263" t="s">
        <v>2660</v>
      </c>
      <c r="F100" s="263">
        <v>1</v>
      </c>
      <c r="G100" s="264" t="str">
        <f>'Dry_Litterbag Placem_Collection'!C101</f>
        <v>Wet_Ag1_T3</v>
      </c>
      <c r="H100" s="265" t="s">
        <v>2541</v>
      </c>
      <c r="I100" s="266" t="s">
        <v>1147</v>
      </c>
      <c r="J100" s="263" t="str">
        <f>IF(ISBLANK('Dry_Litterbag Placem_Collection'!J101),"","G"&amp;""&amp;'Dry_Litterbag Placem_Collection'!J101)</f>
        <v/>
      </c>
      <c r="K100" s="267" t="str">
        <f>IFERROR(INDEX('Green_rooibos initial weight'!$C$5:$C$1749,MATCH(J100, 'Green_rooibos initial weight'!$A$5:$A$1749,0)),"")</f>
        <v/>
      </c>
      <c r="L100" s="267" t="str">
        <f>IFERROR(K100-(TBIcalc!$Q$9+TBIcalc!$Q$10),"")</f>
        <v/>
      </c>
      <c r="M100" s="391">
        <f>AVERAGE(Ashed_controlls!$K$2:$K$11)</f>
        <v>5.5147656768714146</v>
      </c>
      <c r="N100" s="267" t="str">
        <f t="shared" si="6"/>
        <v/>
      </c>
      <c r="O100" s="267" t="str">
        <f>IF(IFERROR(INDEX('Both teabags AfterDry'!$D$3:$D$900,MATCH(J100,'Both teabags AfterDry'!$A$3:$A$900,0)),"")="","",(IFERROR(INDEX('Both teabags AfterDry'!$D$3:$D$900,MATCH(J100,'Both teabags AfterDry'!$A$3:$A$900,0)),"")))</f>
        <v/>
      </c>
      <c r="P100" s="267" t="str">
        <f>IFERROR(IF(O100&gt;0,O100-(TBIcalc!$Q$9),""),"")</f>
        <v/>
      </c>
      <c r="Q100" s="278" t="str">
        <f>IFERROR(INDEX('Ashed teabags dry'!$K$2:$K$825,MATCH(J100,'Ashed teabags dry'!$A$2:$A$825,0)),"")</f>
        <v/>
      </c>
      <c r="R100" s="278" t="str">
        <f t="shared" si="7"/>
        <v/>
      </c>
      <c r="S100" s="268">
        <f>'Dry_Litterbag Placem_Collection'!E101</f>
        <v>0</v>
      </c>
      <c r="T100" s="268" t="str">
        <f>IF('Dry_Litterbag Placem_Collection'!G101="","",'Dry_Litterbag Placem_Collection'!G101)</f>
        <v/>
      </c>
      <c r="U100" s="269" t="str">
        <f t="shared" si="5"/>
        <v/>
      </c>
      <c r="V100" s="267" t="str">
        <f t="shared" si="8"/>
        <v/>
      </c>
      <c r="W100" s="267" t="str">
        <f t="shared" si="9"/>
        <v/>
      </c>
      <c r="X100" s="271" t="str">
        <f>IFERROR(INDEX(Rainfall_Dry!$O$2:$O$217,MATCH(B100, Rainfall_Dry!$A$2:$A$217,0)),"")</f>
        <v/>
      </c>
      <c r="Y100" s="260">
        <v>45.96</v>
      </c>
      <c r="Z100" s="260">
        <v>14.920000000000003</v>
      </c>
      <c r="AA100" s="260">
        <v>39.119999999999997</v>
      </c>
      <c r="AB100" s="261" t="s">
        <v>2673</v>
      </c>
      <c r="AC100" s="260">
        <v>4.0374568753080302</v>
      </c>
      <c r="AD100">
        <f>IF('WetLitterbags placem_collection'!AB101="","",'WetLitterbags placem_collection'!AB101)</f>
        <v>5.0999999999999996</v>
      </c>
      <c r="AE100">
        <f>IF('WetLitterbags placem_collection'!Z101="","",'WetLitterbags placem_collection'!Z101)</f>
        <v>2.2999999999999998</v>
      </c>
      <c r="AF100" s="246" t="str">
        <f>IF('WetLitterbags placem_collection'!AA101="","",'WetLitterbags placem_collection'!AA101)</f>
        <v>G</v>
      </c>
      <c r="AG100">
        <f>IF('WetLitterbags placem_collection'!AC101="","",'WetLitterbags placem_collection'!AC101)</f>
        <v>0</v>
      </c>
      <c r="AH100" t="str">
        <f>IFERROR(AVERAGE('Dry_Litterbag Placem_Collection'!O101,'Dry_Litterbag Placem_Collection'!R101),"")</f>
        <v/>
      </c>
      <c r="AI100" s="271" t="str">
        <f>IFERROR(AVERAGE('Dry_Litterbag Placem_Collection'!N101,'Dry_Litterbag Placem_Collection'!Q101),"")</f>
        <v/>
      </c>
      <c r="AJ100" s="270">
        <f>INDEX(Coordinates!$B$2:$B$197,MATCH(G100,Coordinates!$J$2:$J$197,0))</f>
        <v>-2.369284993</v>
      </c>
      <c r="AK100" s="270">
        <f>INDEX(Coordinates!$C$2:$C$197,MATCH(G100,Coordinates!$J$2:$J$197,0))</f>
        <v>34.06028104</v>
      </c>
      <c r="AL100" s="270" t="str">
        <f>IF(ISNUMBER(SEARCH("C", 'Dry_Litterbag Placem_Collection'!S101)),"YES","NO")</f>
        <v>NO</v>
      </c>
      <c r="AM100" s="270" t="str">
        <f>IF(ISNUMBER(SEARCH("H", 'Dry_Litterbag Placem_Collection'!S101)),"YES","NO")</f>
        <v>NO</v>
      </c>
      <c r="AN100" s="270" t="str">
        <f>IF(ISNUMBER(SEARCH("R", 'Dry_Litterbag Placem_Collection'!S101)),"YES","NO")</f>
        <v>NO</v>
      </c>
    </row>
    <row r="101" spans="1:40" ht="15" customHeight="1">
      <c r="A101" s="262" t="s">
        <v>2659</v>
      </c>
      <c r="B101" s="263">
        <f>'Dry_Litterbag Placem_Collection'!A102</f>
        <v>100</v>
      </c>
      <c r="C101" s="263" t="str">
        <f>'Dry_Litterbag Placem_Collection'!B102</f>
        <v xml:space="preserve">Mwantimba
</v>
      </c>
      <c r="D101" s="263" t="s">
        <v>2460</v>
      </c>
      <c r="E101" s="263" t="s">
        <v>2660</v>
      </c>
      <c r="F101" s="263">
        <v>1</v>
      </c>
      <c r="G101" s="264" t="str">
        <f>'Dry_Litterbag Placem_Collection'!C102</f>
        <v>Wet_Ag1_T4</v>
      </c>
      <c r="H101" s="265" t="s">
        <v>2541</v>
      </c>
      <c r="I101" s="266" t="s">
        <v>1147</v>
      </c>
      <c r="J101" s="263" t="str">
        <f>IF(ISBLANK('Dry_Litterbag Placem_Collection'!J102),"","G"&amp;""&amp;'Dry_Litterbag Placem_Collection'!J102)</f>
        <v>G176</v>
      </c>
      <c r="K101" s="267">
        <f>IFERROR(INDEX('Green_rooibos initial weight'!$C$5:$C$1749,MATCH(J101, 'Green_rooibos initial weight'!$A$5:$A$1749,0)),"")</f>
        <v>2.0590000000000002</v>
      </c>
      <c r="L101" s="267">
        <f>IFERROR(K101-(TBIcalc!$Q$9+TBIcalc!$Q$10),"")</f>
        <v>1.8092000000000001</v>
      </c>
      <c r="M101" s="391">
        <f>AVERAGE(Ashed_controlls!$K$2:$K$11)</f>
        <v>5.5147656768714146</v>
      </c>
      <c r="N101" s="267">
        <f t="shared" si="6"/>
        <v>1.7094268593740425</v>
      </c>
      <c r="O101" s="267">
        <f>IF(IFERROR(INDEX('Both teabags AfterDry'!$D$3:$D$900,MATCH(J101,'Both teabags AfterDry'!$A$3:$A$900,0)),"")="","",(IFERROR(INDEX('Both teabags AfterDry'!$D$3:$D$900,MATCH(J101,'Both teabags AfterDry'!$A$3:$A$900,0)),"")))</f>
        <v>1.3146</v>
      </c>
      <c r="P101" s="267">
        <f>IFERROR(IF(O101&gt;0,O101-(TBIcalc!$Q$9),""),"")</f>
        <v>1.1639999999999999</v>
      </c>
      <c r="Q101" s="278">
        <f>IFERROR(INDEX('Ashed teabags dry'!$K$2:$K$825,MATCH(J101,'Ashed teabags dry'!$A$2:$A$825,0)),"")</f>
        <v>14.190157668418236</v>
      </c>
      <c r="R101" s="278">
        <f t="shared" si="7"/>
        <v>0.99882656473961173</v>
      </c>
      <c r="S101" s="268">
        <f>'Dry_Litterbag Placem_Collection'!E102</f>
        <v>42939</v>
      </c>
      <c r="T101" s="268">
        <f>IF('Dry_Litterbag Placem_Collection'!G102="","",'Dry_Litterbag Placem_Collection'!G102)</f>
        <v>43010</v>
      </c>
      <c r="U101" s="269">
        <f t="shared" si="5"/>
        <v>71</v>
      </c>
      <c r="V101" s="267">
        <f t="shared" si="8"/>
        <v>0.64520000000000022</v>
      </c>
      <c r="W101" s="267">
        <f t="shared" si="9"/>
        <v>0.71060029463443075</v>
      </c>
      <c r="X101" s="271">
        <f>IFERROR(INDEX(Rainfall_Dry!$O$2:$O$217,MATCH(B101, Rainfall_Dry!$A$2:$A$217,0)),"")</f>
        <v>137.19979645800001</v>
      </c>
      <c r="Y101" s="260">
        <v>45.96</v>
      </c>
      <c r="Z101" s="260">
        <v>14.920000000000003</v>
      </c>
      <c r="AA101" s="260">
        <v>39.119999999999997</v>
      </c>
      <c r="AB101" s="261" t="s">
        <v>2673</v>
      </c>
      <c r="AC101" s="260">
        <v>5.0374568753080302</v>
      </c>
      <c r="AD101">
        <f>IF('WetLitterbags placem_collection'!AB102="","",'WetLitterbags placem_collection'!AB102)</f>
        <v>1.6</v>
      </c>
      <c r="AE101">
        <f>IF('WetLitterbags placem_collection'!Z102="","",'WetLitterbags placem_collection'!Z102)</f>
        <v>15</v>
      </c>
      <c r="AF101" s="246" t="str">
        <f>IF('WetLitterbags placem_collection'!AA102="","",'WetLitterbags placem_collection'!AA102)</f>
        <v>G</v>
      </c>
      <c r="AG101">
        <f>IF('WetLitterbags placem_collection'!AC102="","",'WetLitterbags placem_collection'!AC102)</f>
        <v>1</v>
      </c>
      <c r="AH101">
        <f>IFERROR(AVERAGE('Dry_Litterbag Placem_Collection'!O102,'Dry_Litterbag Placem_Collection'!R102),"")</f>
        <v>6.75</v>
      </c>
      <c r="AI101" s="271">
        <f>IFERROR(AVERAGE('Dry_Litterbag Placem_Collection'!N102,'Dry_Litterbag Placem_Collection'!Q102),"")</f>
        <v>29.1</v>
      </c>
      <c r="AJ101" s="270">
        <f>INDEX(Coordinates!$B$2:$B$197,MATCH(G101,Coordinates!$J$2:$J$197,0))</f>
        <v>-2.3691989950000001</v>
      </c>
      <c r="AK101" s="270">
        <f>INDEX(Coordinates!$C$2:$C$197,MATCH(G101,Coordinates!$J$2:$J$197,0))</f>
        <v>34.060208029999998</v>
      </c>
      <c r="AL101" s="270" t="str">
        <f>IF(ISNUMBER(SEARCH("C", 'Dry_Litterbag Placem_Collection'!S102)),"YES","NO")</f>
        <v>YES</v>
      </c>
      <c r="AM101" s="270" t="str">
        <f>IF(ISNUMBER(SEARCH("H", 'Dry_Litterbag Placem_Collection'!S102)),"YES","NO")</f>
        <v>YES</v>
      </c>
      <c r="AN101" s="270" t="str">
        <f>IF(ISNUMBER(SEARCH("R", 'Dry_Litterbag Placem_Collection'!S102)),"YES","NO")</f>
        <v>NO</v>
      </c>
    </row>
    <row r="102" spans="1:40" ht="15" customHeight="1">
      <c r="A102" s="262" t="s">
        <v>2659</v>
      </c>
      <c r="B102" s="263">
        <f>'Dry_Litterbag Placem_Collection'!A103</f>
        <v>101</v>
      </c>
      <c r="C102" s="263" t="str">
        <f>'Dry_Litterbag Placem_Collection'!B103</f>
        <v xml:space="preserve">Mwantimba
</v>
      </c>
      <c r="D102" s="263" t="s">
        <v>2460</v>
      </c>
      <c r="E102" s="263" t="s">
        <v>2660</v>
      </c>
      <c r="F102" s="263">
        <v>1</v>
      </c>
      <c r="G102" s="264" t="str">
        <f>'Dry_Litterbag Placem_Collection'!C103</f>
        <v>Wet_Ag1_T5</v>
      </c>
      <c r="H102" s="265" t="s">
        <v>2541</v>
      </c>
      <c r="I102" s="266" t="s">
        <v>1147</v>
      </c>
      <c r="J102" s="263" t="str">
        <f>IF(ISBLANK('Dry_Litterbag Placem_Collection'!J103),"","G"&amp;""&amp;'Dry_Litterbag Placem_Collection'!J103)</f>
        <v>G11</v>
      </c>
      <c r="K102" s="267">
        <f>IFERROR(INDEX('Green_rooibos initial weight'!$C$5:$C$1749,MATCH(J102, 'Green_rooibos initial weight'!$A$5:$A$1749,0)),"")</f>
        <v>1.839</v>
      </c>
      <c r="L102" s="267">
        <f>IFERROR(K102-(TBIcalc!$Q$9+TBIcalc!$Q$10),"")</f>
        <v>1.5891999999999999</v>
      </c>
      <c r="M102" s="391">
        <f>AVERAGE(Ashed_controlls!$K$2:$K$11)</f>
        <v>5.5147656768714146</v>
      </c>
      <c r="N102" s="267">
        <f t="shared" si="6"/>
        <v>1.5015593438631594</v>
      </c>
      <c r="O102" s="267">
        <f>IF(IFERROR(INDEX('Both teabags AfterDry'!$D$3:$D$900,MATCH(J102,'Both teabags AfterDry'!$A$3:$A$900,0)),"")="","",(IFERROR(INDEX('Both teabags AfterDry'!$D$3:$D$900,MATCH(J102,'Both teabags AfterDry'!$A$3:$A$900,0)),"")))</f>
        <v>1.0169999999999999</v>
      </c>
      <c r="P102" s="267">
        <f>IFERROR(IF(O102&gt;0,O102-(TBIcalc!$Q$9),""),"")</f>
        <v>0.86639999999999984</v>
      </c>
      <c r="Q102" s="278">
        <f>IFERROR(INDEX('Ashed teabags dry'!$K$2:$K$825,MATCH(J102,'Ashed teabags dry'!$A$2:$A$825,0)),"")</f>
        <v>15.774099318403096</v>
      </c>
      <c r="R102" s="278">
        <f t="shared" si="7"/>
        <v>0.72973320350535542</v>
      </c>
      <c r="S102" s="268">
        <f>'Dry_Litterbag Placem_Collection'!E103</f>
        <v>42939</v>
      </c>
      <c r="T102" s="268">
        <f>IF('Dry_Litterbag Placem_Collection'!G103="","",'Dry_Litterbag Placem_Collection'!G103)</f>
        <v>43010</v>
      </c>
      <c r="U102" s="269">
        <f t="shared" si="5"/>
        <v>71</v>
      </c>
      <c r="V102" s="267">
        <f t="shared" si="8"/>
        <v>0.72280000000000011</v>
      </c>
      <c r="W102" s="267">
        <f t="shared" si="9"/>
        <v>0.77182614035780395</v>
      </c>
      <c r="X102" s="271">
        <f>IFERROR(INDEX(Rainfall_Dry!$O$2:$O$217,MATCH(B102, Rainfall_Dry!$A$2:$A$217,0)),"")</f>
        <v>137.19979645800001</v>
      </c>
      <c r="Y102" s="260">
        <v>45.96</v>
      </c>
      <c r="Z102" s="260">
        <v>14.920000000000003</v>
      </c>
      <c r="AA102" s="260">
        <v>39.119999999999997</v>
      </c>
      <c r="AB102" s="261" t="s">
        <v>2673</v>
      </c>
      <c r="AC102" s="260">
        <v>6.0374568753080302</v>
      </c>
      <c r="AD102">
        <f>IF('WetLitterbags placem_collection'!AB103="","",'WetLitterbags placem_collection'!AB103)</f>
        <v>4.3499999999999996</v>
      </c>
      <c r="AE102">
        <f>IF('WetLitterbags placem_collection'!Z103="","",'WetLitterbags placem_collection'!Z103)</f>
        <v>17</v>
      </c>
      <c r="AF102" s="246" t="str">
        <f>IF('WetLitterbags placem_collection'!AA103="","",'WetLitterbags placem_collection'!AA103)</f>
        <v>G</v>
      </c>
      <c r="AG102">
        <f>IF('WetLitterbags placem_collection'!AC103="","",'WetLitterbags placem_collection'!AC103)</f>
        <v>1</v>
      </c>
      <c r="AH102">
        <f>IFERROR(AVERAGE('Dry_Litterbag Placem_Collection'!O103,'Dry_Litterbag Placem_Collection'!R103),"")</f>
        <v>7.75</v>
      </c>
      <c r="AI102" s="271">
        <f>IFERROR(AVERAGE('Dry_Litterbag Placem_Collection'!N103,'Dry_Litterbag Placem_Collection'!Q103),"")</f>
        <v>29.549999999999997</v>
      </c>
      <c r="AJ102" s="270">
        <f>INDEX(Coordinates!$B$2:$B$197,MATCH(G102,Coordinates!$J$2:$J$197,0))</f>
        <v>-2.3691900260000001</v>
      </c>
      <c r="AK102" s="270">
        <f>INDEX(Coordinates!$C$2:$C$197,MATCH(G102,Coordinates!$J$2:$J$197,0))</f>
        <v>34.060177019999998</v>
      </c>
      <c r="AL102" s="270" t="str">
        <f>IF(ISNUMBER(SEARCH("C", 'Dry_Litterbag Placem_Collection'!S103)),"YES","NO")</f>
        <v>YES</v>
      </c>
      <c r="AM102" s="270" t="str">
        <f>IF(ISNUMBER(SEARCH("H", 'Dry_Litterbag Placem_Collection'!S103)),"YES","NO")</f>
        <v>NO</v>
      </c>
      <c r="AN102" s="270" t="str">
        <f>IF(ISNUMBER(SEARCH("R", 'Dry_Litterbag Placem_Collection'!S103)),"YES","NO")</f>
        <v>NO</v>
      </c>
    </row>
    <row r="103" spans="1:40" ht="15" customHeight="1">
      <c r="A103" s="262" t="s">
        <v>2659</v>
      </c>
      <c r="B103" s="263">
        <f>'Dry_Litterbag Placem_Collection'!A104</f>
        <v>102</v>
      </c>
      <c r="C103" s="263" t="str">
        <f>'Dry_Litterbag Placem_Collection'!B104</f>
        <v xml:space="preserve">Mwantimba
</v>
      </c>
      <c r="D103" s="263" t="s">
        <v>2460</v>
      </c>
      <c r="E103" s="263" t="s">
        <v>2660</v>
      </c>
      <c r="F103" s="263">
        <v>1</v>
      </c>
      <c r="G103" s="264" t="str">
        <f>'Dry_Litterbag Placem_Collection'!C104</f>
        <v>Wet_Ag1_T6</v>
      </c>
      <c r="H103" s="265" t="s">
        <v>2541</v>
      </c>
      <c r="I103" s="266" t="s">
        <v>1147</v>
      </c>
      <c r="J103" s="263" t="str">
        <f>IF(ISBLANK('Dry_Litterbag Placem_Collection'!J104),"","G"&amp;""&amp;'Dry_Litterbag Placem_Collection'!J104)</f>
        <v>G284</v>
      </c>
      <c r="K103" s="267">
        <f>IFERROR(INDEX('Green_rooibos initial weight'!$C$5:$C$1749,MATCH(J103, 'Green_rooibos initial weight'!$A$5:$A$1749,0)),"")</f>
        <v>2.0760000000000001</v>
      </c>
      <c r="L103" s="267">
        <f>IFERROR(K103-(TBIcalc!$Q$9+TBIcalc!$Q$10),"")</f>
        <v>1.8262</v>
      </c>
      <c r="M103" s="391">
        <f>AVERAGE(Ashed_controlls!$K$2:$K$11)</f>
        <v>5.5147656768714146</v>
      </c>
      <c r="N103" s="267">
        <f t="shared" si="6"/>
        <v>1.7254893492089742</v>
      </c>
      <c r="O103" s="267">
        <f>IF(IFERROR(INDEX('Both teabags AfterDry'!$D$3:$D$900,MATCH(J103,'Both teabags AfterDry'!$A$3:$A$900,0)),"")="","",(IFERROR(INDEX('Both teabags AfterDry'!$D$3:$D$900,MATCH(J103,'Both teabags AfterDry'!$A$3:$A$900,0)),"")))</f>
        <v>1.1585000000000001</v>
      </c>
      <c r="P103" s="267">
        <f>IFERROR(IF(O103&gt;0,O103-(TBIcalc!$Q$9),""),"")</f>
        <v>1.0079</v>
      </c>
      <c r="Q103" s="278">
        <f>IFERROR(INDEX('Ashed teabags dry'!$K$2:$K$825,MATCH(J103,'Ashed teabags dry'!$A$2:$A$825,0)),"")</f>
        <v>12.200736648250626</v>
      </c>
      <c r="R103" s="278">
        <f t="shared" si="7"/>
        <v>0.88492877532228198</v>
      </c>
      <c r="S103" s="268">
        <f>'Dry_Litterbag Placem_Collection'!E104</f>
        <v>42939</v>
      </c>
      <c r="T103" s="268">
        <f>IF('Dry_Litterbag Placem_Collection'!G104="","",'Dry_Litterbag Placem_Collection'!G104)</f>
        <v>43010</v>
      </c>
      <c r="U103" s="269">
        <f t="shared" si="5"/>
        <v>71</v>
      </c>
      <c r="V103" s="267">
        <f t="shared" si="8"/>
        <v>0.81830000000000003</v>
      </c>
      <c r="W103" s="267">
        <f t="shared" si="9"/>
        <v>0.84056057388669225</v>
      </c>
      <c r="X103" s="271">
        <f>IFERROR(INDEX(Rainfall_Dry!$O$2:$O$217,MATCH(B103, Rainfall_Dry!$A$2:$A$217,0)),"")</f>
        <v>137.19979645800001</v>
      </c>
      <c r="Y103" s="260">
        <v>45.96</v>
      </c>
      <c r="Z103" s="260">
        <v>14.920000000000003</v>
      </c>
      <c r="AA103" s="260">
        <v>39.119999999999997</v>
      </c>
      <c r="AB103" s="261" t="s">
        <v>2673</v>
      </c>
      <c r="AC103" s="260">
        <v>7.0374568753080302</v>
      </c>
      <c r="AD103">
        <f>IF('WetLitterbags placem_collection'!AB104="","",'WetLitterbags placem_collection'!AB104)</f>
        <v>7.7</v>
      </c>
      <c r="AE103">
        <f>IF('WetLitterbags placem_collection'!Z104="","",'WetLitterbags placem_collection'!Z104)</f>
        <v>21</v>
      </c>
      <c r="AF103" s="246" t="str">
        <f>IF('WetLitterbags placem_collection'!AA104="","",'WetLitterbags placem_collection'!AA104)</f>
        <v>G</v>
      </c>
      <c r="AG103">
        <f>IF('WetLitterbags placem_collection'!AC104="","",'WetLitterbags placem_collection'!AC104)</f>
        <v>1</v>
      </c>
      <c r="AH103">
        <f>IFERROR(AVERAGE('Dry_Litterbag Placem_Collection'!O104,'Dry_Litterbag Placem_Collection'!R104),"")</f>
        <v>7.3000000000000007</v>
      </c>
      <c r="AI103" s="271">
        <f>IFERROR(AVERAGE('Dry_Litterbag Placem_Collection'!N104,'Dry_Litterbag Placem_Collection'!Q104),"")</f>
        <v>29.05</v>
      </c>
      <c r="AJ103" s="270">
        <f>INDEX(Coordinates!$B$2:$B$197,MATCH(G103,Coordinates!$J$2:$J$197,0))</f>
        <v>-2.3691350409999998</v>
      </c>
      <c r="AK103" s="270">
        <f>INDEX(Coordinates!$C$2:$C$197,MATCH(G103,Coordinates!$J$2:$J$197,0))</f>
        <v>34.06018297</v>
      </c>
      <c r="AL103" s="270" t="str">
        <f>IF(ISNUMBER(SEARCH("C", 'Dry_Litterbag Placem_Collection'!S104)),"YES","NO")</f>
        <v>YES</v>
      </c>
      <c r="AM103" s="270" t="str">
        <f>IF(ISNUMBER(SEARCH("H", 'Dry_Litterbag Placem_Collection'!S104)),"YES","NO")</f>
        <v>YES</v>
      </c>
      <c r="AN103" s="270" t="str">
        <f>IF(ISNUMBER(SEARCH("R", 'Dry_Litterbag Placem_Collection'!S104)),"YES","NO")</f>
        <v>NO</v>
      </c>
    </row>
    <row r="104" spans="1:40" ht="15" customHeight="1">
      <c r="A104" s="262" t="s">
        <v>2659</v>
      </c>
      <c r="B104" s="263">
        <f>'Dry_Litterbag Placem_Collection'!A105</f>
        <v>103</v>
      </c>
      <c r="C104" s="263" t="str">
        <f>'Dry_Litterbag Placem_Collection'!B105</f>
        <v xml:space="preserve">Mwantimba
</v>
      </c>
      <c r="D104" s="263" t="s">
        <v>2460</v>
      </c>
      <c r="E104" s="263" t="s">
        <v>2660</v>
      </c>
      <c r="F104" s="263">
        <v>1</v>
      </c>
      <c r="G104" s="264" t="str">
        <f>'Dry_Litterbag Placem_Collection'!C105</f>
        <v>Wet_Ag1_T7</v>
      </c>
      <c r="H104" s="265" t="s">
        <v>2541</v>
      </c>
      <c r="I104" s="266" t="s">
        <v>1147</v>
      </c>
      <c r="J104" s="263" t="str">
        <f>IF(ISBLANK('Dry_Litterbag Placem_Collection'!J105),"","G"&amp;""&amp;'Dry_Litterbag Placem_Collection'!J105)</f>
        <v>G326</v>
      </c>
      <c r="K104" s="267">
        <f>IFERROR(INDEX('Green_rooibos initial weight'!$C$5:$C$1749,MATCH(J104, 'Green_rooibos initial weight'!$A$5:$A$1749,0)),"")</f>
        <v>2.04</v>
      </c>
      <c r="L104" s="267">
        <f>IFERROR(K104-(TBIcalc!$Q$9+TBIcalc!$Q$10),"")</f>
        <v>1.7902</v>
      </c>
      <c r="M104" s="391">
        <f>AVERAGE(Ashed_controlls!$K$2:$K$11)</f>
        <v>5.5147656768714146</v>
      </c>
      <c r="N104" s="267">
        <f t="shared" si="6"/>
        <v>1.691474664852648</v>
      </c>
      <c r="O104" s="267">
        <f>IF(IFERROR(INDEX('Both teabags AfterDry'!$D$3:$D$900,MATCH(J104,'Both teabags AfterDry'!$A$3:$A$900,0)),"")="","",(IFERROR(INDEX('Both teabags AfterDry'!$D$3:$D$900,MATCH(J104,'Both teabags AfterDry'!$A$3:$A$900,0)),"")))</f>
        <v>1.0625</v>
      </c>
      <c r="P104" s="267">
        <f>IFERROR(IF(O104&gt;0,O104-(TBIcalc!$Q$9),""),"")</f>
        <v>0.91189999999999993</v>
      </c>
      <c r="Q104" s="278">
        <f>IFERROR(INDEX('Ashed teabags dry'!$K$2:$K$825,MATCH(J104,'Ashed teabags dry'!$A$2:$A$825,0)),"")</f>
        <v>16.846473029045587</v>
      </c>
      <c r="R104" s="278">
        <f t="shared" si="7"/>
        <v>0.75827701244813328</v>
      </c>
      <c r="S104" s="268">
        <f>'Dry_Litterbag Placem_Collection'!E105</f>
        <v>42939</v>
      </c>
      <c r="T104" s="268">
        <f>IF('Dry_Litterbag Placem_Collection'!G105="","",'Dry_Litterbag Placem_Collection'!G105)</f>
        <v>43010</v>
      </c>
      <c r="U104" s="269">
        <f t="shared" si="5"/>
        <v>71</v>
      </c>
      <c r="V104" s="267">
        <f t="shared" si="8"/>
        <v>0.87830000000000008</v>
      </c>
      <c r="W104" s="267">
        <f t="shared" si="9"/>
        <v>0.93319765240451469</v>
      </c>
      <c r="X104" s="271">
        <f>IFERROR(INDEX(Rainfall_Dry!$O$2:$O$217,MATCH(B104, Rainfall_Dry!$A$2:$A$217,0)),"")</f>
        <v>137.19979645800001</v>
      </c>
      <c r="Y104" s="260">
        <v>45.96</v>
      </c>
      <c r="Z104" s="260">
        <v>14.920000000000003</v>
      </c>
      <c r="AA104" s="260">
        <v>39.119999999999997</v>
      </c>
      <c r="AB104" s="261" t="s">
        <v>2673</v>
      </c>
      <c r="AC104" s="260">
        <v>8.0374568753080293</v>
      </c>
      <c r="AD104">
        <f>IF('WetLitterbags placem_collection'!AB105="","",'WetLitterbags placem_collection'!AB105)</f>
        <v>3.25</v>
      </c>
      <c r="AE104">
        <f>IF('WetLitterbags placem_collection'!Z105="","",'WetLitterbags placem_collection'!Z105)</f>
        <v>16</v>
      </c>
      <c r="AF104" s="246" t="str">
        <f>IF('WetLitterbags placem_collection'!AA105="","",'WetLitterbags placem_collection'!AA105)</f>
        <v>G</v>
      </c>
      <c r="AG104">
        <f>IF('WetLitterbags placem_collection'!AC105="","",'WetLitterbags placem_collection'!AC105)</f>
        <v>1</v>
      </c>
      <c r="AH104">
        <f>IFERROR(AVERAGE('Dry_Litterbag Placem_Collection'!O105,'Dry_Litterbag Placem_Collection'!R105),"")</f>
        <v>30.9</v>
      </c>
      <c r="AI104" s="271">
        <f>IFERROR(AVERAGE('Dry_Litterbag Placem_Collection'!N105,'Dry_Litterbag Placem_Collection'!Q105),"")</f>
        <v>28.799999999999997</v>
      </c>
      <c r="AJ104" s="270">
        <f>INDEX(Coordinates!$B$2:$B$197,MATCH(G104,Coordinates!$J$2:$J$197,0))</f>
        <v>-2.3691330289999999</v>
      </c>
      <c r="AK104" s="270">
        <f>INDEX(Coordinates!$C$2:$C$197,MATCH(G104,Coordinates!$J$2:$J$197,0))</f>
        <v>34.060233009999997</v>
      </c>
      <c r="AL104" s="270" t="str">
        <f>IF(ISNUMBER(SEARCH("C", 'Dry_Litterbag Placem_Collection'!S105)),"YES","NO")</f>
        <v>YES</v>
      </c>
      <c r="AM104" s="270" t="str">
        <f>IF(ISNUMBER(SEARCH("H", 'Dry_Litterbag Placem_Collection'!S105)),"YES","NO")</f>
        <v>YES</v>
      </c>
      <c r="AN104" s="270" t="str">
        <f>IF(ISNUMBER(SEARCH("R", 'Dry_Litterbag Placem_Collection'!S105)),"YES","NO")</f>
        <v>NO</v>
      </c>
    </row>
    <row r="105" spans="1:40" ht="15" customHeight="1">
      <c r="A105" s="262" t="s">
        <v>2659</v>
      </c>
      <c r="B105" s="263">
        <f>'Dry_Litterbag Placem_Collection'!A106</f>
        <v>104</v>
      </c>
      <c r="C105" s="263" t="str">
        <f>'Dry_Litterbag Placem_Collection'!B106</f>
        <v xml:space="preserve">Mwantimba
</v>
      </c>
      <c r="D105" s="263" t="s">
        <v>2460</v>
      </c>
      <c r="E105" s="263" t="s">
        <v>2660</v>
      </c>
      <c r="F105" s="263">
        <v>1</v>
      </c>
      <c r="G105" s="264" t="str">
        <f>'Dry_Litterbag Placem_Collection'!C106</f>
        <v>Wet_Ag1_T8</v>
      </c>
      <c r="H105" s="265" t="s">
        <v>2541</v>
      </c>
      <c r="I105" s="266" t="s">
        <v>1147</v>
      </c>
      <c r="J105" s="263" t="str">
        <f>IF(ISBLANK('Dry_Litterbag Placem_Collection'!J106),"","G"&amp;""&amp;'Dry_Litterbag Placem_Collection'!J106)</f>
        <v>G162</v>
      </c>
      <c r="K105" s="267">
        <f>IFERROR(INDEX('Green_rooibos initial weight'!$C$5:$C$1749,MATCH(J105, 'Green_rooibos initial weight'!$A$5:$A$1749,0)),"")</f>
        <v>2.0390000000000001</v>
      </c>
      <c r="L105" s="267">
        <f>IFERROR(K105-(TBIcalc!$Q$9+TBIcalc!$Q$10),"")</f>
        <v>1.7892000000000001</v>
      </c>
      <c r="M105" s="391">
        <f>AVERAGE(Ashed_controlls!$K$2:$K$11)</f>
        <v>5.5147656768714146</v>
      </c>
      <c r="N105" s="267">
        <f t="shared" si="6"/>
        <v>1.6905298125094168</v>
      </c>
      <c r="O105" s="267">
        <f>IF(IFERROR(INDEX('Both teabags AfterDry'!$D$3:$D$900,MATCH(J105,'Both teabags AfterDry'!$A$3:$A$900,0)),"")="","",(IFERROR(INDEX('Both teabags AfterDry'!$D$3:$D$900,MATCH(J105,'Both teabags AfterDry'!$A$3:$A$900,0)),"")))</f>
        <v>1.4899</v>
      </c>
      <c r="P105" s="267">
        <f>IFERROR(IF(O105&gt;0,O105-(TBIcalc!$Q$9),""),"")</f>
        <v>1.3392999999999999</v>
      </c>
      <c r="Q105" s="278" t="str">
        <f>IFERROR(INDEX('Ashed teabags dry'!$K$2:$K$825,MATCH(J105,'Ashed teabags dry'!$A$2:$A$825,0)),"")</f>
        <v/>
      </c>
      <c r="R105" s="278" t="str">
        <f t="shared" si="7"/>
        <v/>
      </c>
      <c r="S105" s="268">
        <f>'Dry_Litterbag Placem_Collection'!E106</f>
        <v>42939</v>
      </c>
      <c r="T105" s="268">
        <f>IF('Dry_Litterbag Placem_Collection'!G106="","",'Dry_Litterbag Placem_Collection'!G106)</f>
        <v>43010</v>
      </c>
      <c r="U105" s="269">
        <f t="shared" si="5"/>
        <v>71</v>
      </c>
      <c r="V105" s="267">
        <f t="shared" si="8"/>
        <v>0.44990000000000019</v>
      </c>
      <c r="W105" s="267" t="str">
        <f t="shared" si="9"/>
        <v/>
      </c>
      <c r="X105" s="271">
        <f>IFERROR(INDEX(Rainfall_Dry!$O$2:$O$217,MATCH(B105, Rainfall_Dry!$A$2:$A$217,0)),"")</f>
        <v>137.19979645800001</v>
      </c>
      <c r="Y105" s="260">
        <v>45.96</v>
      </c>
      <c r="Z105" s="260">
        <v>14.920000000000003</v>
      </c>
      <c r="AA105" s="260">
        <v>39.119999999999997</v>
      </c>
      <c r="AB105" s="261" t="s">
        <v>2673</v>
      </c>
      <c r="AC105" s="260">
        <v>9.0374568753080293</v>
      </c>
      <c r="AD105">
        <f>IF('WetLitterbags placem_collection'!AB106="","",'WetLitterbags placem_collection'!AB106)</f>
        <v>10.5</v>
      </c>
      <c r="AE105">
        <f>IF('WetLitterbags placem_collection'!Z106="","",'WetLitterbags placem_collection'!Z106)</f>
        <v>17</v>
      </c>
      <c r="AF105" s="246" t="str">
        <f>IF('WetLitterbags placem_collection'!AA106="","",'WetLitterbags placem_collection'!AA106)</f>
        <v>G</v>
      </c>
      <c r="AG105">
        <f>IF('WetLitterbags placem_collection'!AC106="","",'WetLitterbags placem_collection'!AC106)</f>
        <v>1</v>
      </c>
      <c r="AH105">
        <f>IFERROR(AVERAGE('Dry_Litterbag Placem_Collection'!O106,'Dry_Litterbag Placem_Collection'!R106),"")</f>
        <v>9.3000000000000007</v>
      </c>
      <c r="AI105" s="271">
        <f>IFERROR(AVERAGE('Dry_Litterbag Placem_Collection'!N106,'Dry_Litterbag Placem_Collection'!Q106),"")</f>
        <v>28.05</v>
      </c>
      <c r="AJ105" s="270">
        <f>INDEX(Coordinates!$B$2:$B$197,MATCH(G105,Coordinates!$J$2:$J$197,0))</f>
        <v>-2.3692910280000001</v>
      </c>
      <c r="AK105" s="270">
        <f>INDEX(Coordinates!$C$2:$C$197,MATCH(G105,Coordinates!$J$2:$J$197,0))</f>
        <v>34.06016202</v>
      </c>
      <c r="AL105" s="270" t="str">
        <f>IF(ISNUMBER(SEARCH("C", 'Dry_Litterbag Placem_Collection'!S106)),"YES","NO")</f>
        <v>YES</v>
      </c>
      <c r="AM105" s="270" t="str">
        <f>IF(ISNUMBER(SEARCH("H", 'Dry_Litterbag Placem_Collection'!S106)),"YES","NO")</f>
        <v>NO</v>
      </c>
      <c r="AN105" s="270" t="str">
        <f>IF(ISNUMBER(SEARCH("R", 'Dry_Litterbag Placem_Collection'!S106)),"YES","NO")</f>
        <v>NO</v>
      </c>
    </row>
    <row r="106" spans="1:40" ht="15" customHeight="1">
      <c r="A106" s="262" t="s">
        <v>2659</v>
      </c>
      <c r="B106" s="263">
        <f>'Dry_Litterbag Placem_Collection'!A107</f>
        <v>105</v>
      </c>
      <c r="C106" s="263" t="str">
        <f>'Dry_Litterbag Placem_Collection'!B107</f>
        <v xml:space="preserve">Mwantimba
</v>
      </c>
      <c r="D106" s="263" t="s">
        <v>2460</v>
      </c>
      <c r="E106" s="263" t="s">
        <v>2660</v>
      </c>
      <c r="F106" s="263">
        <v>2</v>
      </c>
      <c r="G106" s="264" t="str">
        <f>'Dry_Litterbag Placem_Collection'!C107</f>
        <v>Wet_Ag2_T1</v>
      </c>
      <c r="H106" s="265" t="s">
        <v>2541</v>
      </c>
      <c r="I106" s="266" t="s">
        <v>1147</v>
      </c>
      <c r="J106" s="263" t="str">
        <f>IF(ISBLANK('Dry_Litterbag Placem_Collection'!J107),"","G"&amp;""&amp;'Dry_Litterbag Placem_Collection'!J107)</f>
        <v>G6</v>
      </c>
      <c r="K106" s="267">
        <f>IFERROR(INDEX('Green_rooibos initial weight'!$C$5:$C$1749,MATCH(J106, 'Green_rooibos initial weight'!$A$5:$A$1749,0)),"")</f>
        <v>2.016</v>
      </c>
      <c r="L106" s="267">
        <f>IFERROR(K106-(TBIcalc!$Q$9+TBIcalc!$Q$10),"")</f>
        <v>1.7662</v>
      </c>
      <c r="M106" s="391">
        <f>AVERAGE(Ashed_controlls!$K$2:$K$11)</f>
        <v>5.5147656768714146</v>
      </c>
      <c r="N106" s="267">
        <f t="shared" si="6"/>
        <v>1.668798208615097</v>
      </c>
      <c r="O106" s="267">
        <f>IF(IFERROR(INDEX('Both teabags AfterDry'!$D$3:$D$900,MATCH(J106,'Both teabags AfterDry'!$A$3:$A$900,0)),"")="","",(IFERROR(INDEX('Both teabags AfterDry'!$D$3:$D$900,MATCH(J106,'Both teabags AfterDry'!$A$3:$A$900,0)),"")))</f>
        <v>1.1637</v>
      </c>
      <c r="P106" s="267">
        <f>IFERROR(IF(O106&gt;0,O106-(TBIcalc!$Q$9),""),"")</f>
        <v>1.0130999999999999</v>
      </c>
      <c r="Q106" s="278">
        <f>IFERROR(INDEX('Ashed teabags dry'!$K$2:$K$825,MATCH(J106,'Ashed teabags dry'!$A$2:$A$825,0)),"")</f>
        <v>24.114832535885235</v>
      </c>
      <c r="R106" s="278">
        <f t="shared" si="7"/>
        <v>0.76879263157894662</v>
      </c>
      <c r="S106" s="268">
        <f>'Dry_Litterbag Placem_Collection'!E107</f>
        <v>42939</v>
      </c>
      <c r="T106" s="268">
        <f>IF('Dry_Litterbag Placem_Collection'!G107="","",'Dry_Litterbag Placem_Collection'!G107)</f>
        <v>43010</v>
      </c>
      <c r="U106" s="269">
        <f t="shared" si="5"/>
        <v>71</v>
      </c>
      <c r="V106" s="267">
        <f t="shared" si="8"/>
        <v>0.7531000000000001</v>
      </c>
      <c r="W106" s="267">
        <f t="shared" si="9"/>
        <v>0.90000557703615036</v>
      </c>
      <c r="X106" s="271">
        <f>IFERROR(INDEX(Rainfall_Dry!$O$2:$O$217,MATCH(B106, Rainfall_Dry!$A$2:$A$217,0)),"")</f>
        <v>137.19979645800001</v>
      </c>
      <c r="Y106" s="260">
        <v>34.344660194174757</v>
      </c>
      <c r="Z106" s="260">
        <v>19.22727272727273</v>
      </c>
      <c r="AA106" s="260">
        <v>46.428067078552509</v>
      </c>
      <c r="AB106" s="261" t="s">
        <v>2670</v>
      </c>
      <c r="AC106" s="260">
        <v>1.7452932479053718</v>
      </c>
      <c r="AD106">
        <f>IF('WetLitterbags placem_collection'!AB107="","",'WetLitterbags placem_collection'!AB107)</f>
        <v>5.5</v>
      </c>
      <c r="AE106">
        <f>IF('WetLitterbags placem_collection'!Z107="","",'WetLitterbags placem_collection'!Z107)</f>
        <v>23.5</v>
      </c>
      <c r="AF106" s="246" t="str">
        <f>IF('WetLitterbags placem_collection'!AA107="","",'WetLitterbags placem_collection'!AA107)</f>
        <v>M</v>
      </c>
      <c r="AG106">
        <f>IF('WetLitterbags placem_collection'!AC107="","",'WetLitterbags placem_collection'!AC107)</f>
        <v>0</v>
      </c>
      <c r="AH106">
        <f>IFERROR(AVERAGE('Dry_Litterbag Placem_Collection'!O107,'Dry_Litterbag Placem_Collection'!R107),"")</f>
        <v>7.5500000000000007</v>
      </c>
      <c r="AI106" s="271">
        <f>IFERROR(AVERAGE('Dry_Litterbag Placem_Collection'!N107,'Dry_Litterbag Placem_Collection'!Q107),"")</f>
        <v>30.549999999999997</v>
      </c>
      <c r="AJ106" s="270">
        <f>INDEX(Coordinates!$B$2:$B$197,MATCH(G106,Coordinates!$J$2:$J$197,0))</f>
        <v>-2.3698080240000001</v>
      </c>
      <c r="AK106" s="270">
        <f>INDEX(Coordinates!$C$2:$C$197,MATCH(G106,Coordinates!$J$2:$J$197,0))</f>
        <v>34.059671010000002</v>
      </c>
      <c r="AL106" s="270" t="str">
        <f>IF(ISNUMBER(SEARCH("C", 'Dry_Litterbag Placem_Collection'!S107)),"YES","NO")</f>
        <v>NO</v>
      </c>
      <c r="AM106" s="270" t="str">
        <f>IF(ISNUMBER(SEARCH("H", 'Dry_Litterbag Placem_Collection'!S107)),"YES","NO")</f>
        <v>NO</v>
      </c>
      <c r="AN106" s="270" t="str">
        <f>IF(ISNUMBER(SEARCH("R", 'Dry_Litterbag Placem_Collection'!S107)),"YES","NO")</f>
        <v>NO</v>
      </c>
    </row>
    <row r="107" spans="1:40" ht="15" customHeight="1">
      <c r="A107" s="262" t="s">
        <v>2659</v>
      </c>
      <c r="B107" s="263">
        <f>'Dry_Litterbag Placem_Collection'!A108</f>
        <v>106</v>
      </c>
      <c r="C107" s="263" t="str">
        <f>'Dry_Litterbag Placem_Collection'!B108</f>
        <v xml:space="preserve">Mwantimba
</v>
      </c>
      <c r="D107" s="263" t="s">
        <v>2460</v>
      </c>
      <c r="E107" s="263" t="s">
        <v>2660</v>
      </c>
      <c r="F107" s="263">
        <v>2</v>
      </c>
      <c r="G107" s="264" t="str">
        <f>'Dry_Litterbag Placem_Collection'!C108</f>
        <v>Wet_Ag2_T2</v>
      </c>
      <c r="H107" s="265" t="s">
        <v>2541</v>
      </c>
      <c r="I107" s="266" t="s">
        <v>1147</v>
      </c>
      <c r="J107" s="263" t="str">
        <f>IF(ISBLANK('Dry_Litterbag Placem_Collection'!J108),"","G"&amp;""&amp;'Dry_Litterbag Placem_Collection'!J108)</f>
        <v>G20</v>
      </c>
      <c r="K107" s="267">
        <f>IFERROR(INDEX('Green_rooibos initial weight'!$C$5:$C$1749,MATCH(J107, 'Green_rooibos initial weight'!$A$5:$A$1749,0)),"")</f>
        <v>2.032</v>
      </c>
      <c r="L107" s="267">
        <f>IFERROR(K107-(TBIcalc!$Q$9+TBIcalc!$Q$10),"")</f>
        <v>1.7822</v>
      </c>
      <c r="M107" s="391">
        <f>AVERAGE(Ashed_controlls!$K$2:$K$11)</f>
        <v>5.5147656768714146</v>
      </c>
      <c r="N107" s="267">
        <f t="shared" si="6"/>
        <v>1.6839158461067976</v>
      </c>
      <c r="O107" s="267">
        <f>IF(IFERROR(INDEX('Both teabags AfterDry'!$D$3:$D$900,MATCH(J107,'Both teabags AfterDry'!$A$3:$A$900,0)),"")="","",(IFERROR(INDEX('Both teabags AfterDry'!$D$3:$D$900,MATCH(J107,'Both teabags AfterDry'!$A$3:$A$900,0)),"")))</f>
        <v>1.0826</v>
      </c>
      <c r="P107" s="267">
        <f>IFERROR(IF(O107&gt;0,O107-(TBIcalc!$Q$9),""),"")</f>
        <v>0.93199999999999994</v>
      </c>
      <c r="Q107" s="278">
        <f>IFERROR(INDEX('Ashed teabags dry'!$K$2:$K$825,MATCH(J107,'Ashed teabags dry'!$A$2:$A$825,0)),"")</f>
        <v>11.814345991561</v>
      </c>
      <c r="R107" s="278">
        <f t="shared" si="7"/>
        <v>0.82189029535865143</v>
      </c>
      <c r="S107" s="268">
        <f>'Dry_Litterbag Placem_Collection'!E108</f>
        <v>42939</v>
      </c>
      <c r="T107" s="268">
        <f>IF('Dry_Litterbag Placem_Collection'!G108="","",'Dry_Litterbag Placem_Collection'!G108)</f>
        <v>43010</v>
      </c>
      <c r="U107" s="269">
        <f t="shared" si="5"/>
        <v>71</v>
      </c>
      <c r="V107" s="267">
        <f t="shared" si="8"/>
        <v>0.85020000000000007</v>
      </c>
      <c r="W107" s="267">
        <f t="shared" si="9"/>
        <v>0.86202555074814613</v>
      </c>
      <c r="X107" s="271">
        <f>IFERROR(INDEX(Rainfall_Dry!$O$2:$O$217,MATCH(B107, Rainfall_Dry!$A$2:$A$217,0)),"")</f>
        <v>137.19979645800001</v>
      </c>
      <c r="Y107" s="260">
        <v>34.344660194174757</v>
      </c>
      <c r="Z107" s="260">
        <v>19.22727272727273</v>
      </c>
      <c r="AA107" s="260">
        <v>46.428067078552509</v>
      </c>
      <c r="AB107" s="261" t="s">
        <v>2670</v>
      </c>
      <c r="AC107" s="260">
        <v>2.7452932479053702</v>
      </c>
      <c r="AD107">
        <f>IF('WetLitterbags placem_collection'!AB108="","",'WetLitterbags placem_collection'!AB108)</f>
        <v>8.6</v>
      </c>
      <c r="AE107">
        <f>IF('WetLitterbags placem_collection'!Z108="","",'WetLitterbags placem_collection'!Z108)</f>
        <v>17</v>
      </c>
      <c r="AF107" s="246" t="str">
        <f>IF('WetLitterbags placem_collection'!AA108="","",'WetLitterbags placem_collection'!AA108)</f>
        <v>M</v>
      </c>
      <c r="AG107">
        <f>IF('WetLitterbags placem_collection'!AC108="","",'WetLitterbags placem_collection'!AC108)</f>
        <v>0</v>
      </c>
      <c r="AH107">
        <f>IFERROR(AVERAGE('Dry_Litterbag Placem_Collection'!O108,'Dry_Litterbag Placem_Collection'!R108),"")</f>
        <v>6.1</v>
      </c>
      <c r="AI107" s="271">
        <f>IFERROR(AVERAGE('Dry_Litterbag Placem_Collection'!N108,'Dry_Litterbag Placem_Collection'!Q108),"")</f>
        <v>31.3</v>
      </c>
      <c r="AJ107" s="270">
        <f>INDEX(Coordinates!$B$2:$B$197,MATCH(G107,Coordinates!$J$2:$J$197,0))</f>
        <v>-2.3697620069999998</v>
      </c>
      <c r="AK107" s="270">
        <f>INDEX(Coordinates!$C$2:$C$197,MATCH(G107,Coordinates!$J$2:$J$197,0))</f>
        <v>34.059730010000003</v>
      </c>
      <c r="AL107" s="270" t="str">
        <f>IF(ISNUMBER(SEARCH("C", 'Dry_Litterbag Placem_Collection'!S108)),"YES","NO")</f>
        <v>NO</v>
      </c>
      <c r="AM107" s="270" t="str">
        <f>IF(ISNUMBER(SEARCH("H", 'Dry_Litterbag Placem_Collection'!S108)),"YES","NO")</f>
        <v>YES</v>
      </c>
      <c r="AN107" s="270" t="str">
        <f>IF(ISNUMBER(SEARCH("R", 'Dry_Litterbag Placem_Collection'!S108)),"YES","NO")</f>
        <v>NO</v>
      </c>
    </row>
    <row r="108" spans="1:40" ht="15" customHeight="1">
      <c r="A108" s="262" t="s">
        <v>2659</v>
      </c>
      <c r="B108" s="263">
        <f>'Dry_Litterbag Placem_Collection'!A109</f>
        <v>107</v>
      </c>
      <c r="C108" s="263" t="str">
        <f>'Dry_Litterbag Placem_Collection'!B109</f>
        <v xml:space="preserve">Mwantimba
</v>
      </c>
      <c r="D108" s="263" t="s">
        <v>2460</v>
      </c>
      <c r="E108" s="263" t="s">
        <v>2660</v>
      </c>
      <c r="F108" s="263">
        <v>2</v>
      </c>
      <c r="G108" s="264" t="str">
        <f>'Dry_Litterbag Placem_Collection'!C109</f>
        <v>Wet_Ag2_T3</v>
      </c>
      <c r="H108" s="265" t="s">
        <v>2541</v>
      </c>
      <c r="I108" s="266" t="s">
        <v>1147</v>
      </c>
      <c r="J108" s="263" t="str">
        <f>IF(ISBLANK('Dry_Litterbag Placem_Collection'!J109),"","G"&amp;""&amp;'Dry_Litterbag Placem_Collection'!J109)</f>
        <v>G129</v>
      </c>
      <c r="K108" s="267">
        <f>IFERROR(INDEX('Green_rooibos initial weight'!$C$5:$C$1749,MATCH(J108, 'Green_rooibos initial weight'!$A$5:$A$1749,0)),"")</f>
        <v>1.9630000000000001</v>
      </c>
      <c r="L108" s="267">
        <f>IFERROR(K108-(TBIcalc!$Q$9+TBIcalc!$Q$10),"")</f>
        <v>1.7132000000000001</v>
      </c>
      <c r="M108" s="391">
        <f>AVERAGE(Ashed_controlls!$K$2:$K$11)</f>
        <v>5.5147656768714146</v>
      </c>
      <c r="N108" s="267">
        <f t="shared" si="6"/>
        <v>1.618721034423839</v>
      </c>
      <c r="O108" s="267" t="str">
        <f>IF(IFERROR(INDEX('Both teabags AfterDry'!$D$3:$D$900,MATCH(J108,'Both teabags AfterDry'!$A$3:$A$900,0)),"")="","",(IFERROR(INDEX('Both teabags AfterDry'!$D$3:$D$900,MATCH(J108,'Both teabags AfterDry'!$A$3:$A$900,0)),"")))</f>
        <v/>
      </c>
      <c r="P108" s="267" t="str">
        <f>IFERROR(IF(O108&gt;0,O108-(TBIcalc!$Q$9),""),"")</f>
        <v/>
      </c>
      <c r="Q108" s="278" t="str">
        <f>IFERROR(INDEX('Ashed teabags dry'!$K$2:$K$825,MATCH(J108,'Ashed teabags dry'!$A$2:$A$825,0)),"")</f>
        <v/>
      </c>
      <c r="R108" s="278" t="str">
        <f t="shared" si="7"/>
        <v/>
      </c>
      <c r="S108" s="268">
        <f>'Dry_Litterbag Placem_Collection'!E109</f>
        <v>42939</v>
      </c>
      <c r="T108" s="268">
        <f>IF('Dry_Litterbag Placem_Collection'!G109="","",'Dry_Litterbag Placem_Collection'!G109)</f>
        <v>43010</v>
      </c>
      <c r="U108" s="269">
        <f t="shared" si="5"/>
        <v>71</v>
      </c>
      <c r="V108" s="267" t="str">
        <f t="shared" si="8"/>
        <v/>
      </c>
      <c r="W108" s="267" t="str">
        <f t="shared" si="9"/>
        <v/>
      </c>
      <c r="X108" s="271">
        <f>IFERROR(INDEX(Rainfall_Dry!$O$2:$O$217,MATCH(B108, Rainfall_Dry!$A$2:$A$217,0)),"")</f>
        <v>137.19979645800001</v>
      </c>
      <c r="Y108" s="260">
        <v>34.344660194174757</v>
      </c>
      <c r="Z108" s="260">
        <v>19.22727272727273</v>
      </c>
      <c r="AA108" s="260">
        <v>46.428067078552509</v>
      </c>
      <c r="AB108" s="261" t="s">
        <v>2670</v>
      </c>
      <c r="AC108" s="260">
        <v>3.7452932479053702</v>
      </c>
      <c r="AD108">
        <f>IF('WetLitterbags placem_collection'!AB109="","",'WetLitterbags placem_collection'!AB109)</f>
        <v>3.85</v>
      </c>
      <c r="AE108">
        <f>IF('WetLitterbags placem_collection'!Z109="","",'WetLitterbags placem_collection'!Z109)</f>
        <v>15.5</v>
      </c>
      <c r="AF108" s="246" t="str">
        <f>IF('WetLitterbags placem_collection'!AA109="","",'WetLitterbags placem_collection'!AA109)</f>
        <v>M</v>
      </c>
      <c r="AG108">
        <f>IF('WetLitterbags placem_collection'!AC109="","",'WetLitterbags placem_collection'!AC109)</f>
        <v>0</v>
      </c>
      <c r="AH108">
        <f>IFERROR(AVERAGE('Dry_Litterbag Placem_Collection'!O109,'Dry_Litterbag Placem_Collection'!R109),"")</f>
        <v>5.3</v>
      </c>
      <c r="AI108" s="271">
        <f>IFERROR(AVERAGE('Dry_Litterbag Placem_Collection'!N109,'Dry_Litterbag Placem_Collection'!Q109),"")</f>
        <v>30.200000000000003</v>
      </c>
      <c r="AJ108" s="270">
        <f>INDEX(Coordinates!$B$2:$B$197,MATCH(G108,Coordinates!$J$2:$J$197,0))</f>
        <v>-2.3698409649999999</v>
      </c>
      <c r="AK108" s="270">
        <f>INDEX(Coordinates!$C$2:$C$197,MATCH(G108,Coordinates!$J$2:$J$197,0))</f>
        <v>34.059814000000003</v>
      </c>
      <c r="AL108" s="270" t="str">
        <f>IF(ISNUMBER(SEARCH("C", 'Dry_Litterbag Placem_Collection'!S109)),"YES","NO")</f>
        <v>YES</v>
      </c>
      <c r="AM108" s="270" t="str">
        <f>IF(ISNUMBER(SEARCH("H", 'Dry_Litterbag Placem_Collection'!S109)),"YES","NO")</f>
        <v>YES</v>
      </c>
      <c r="AN108" s="270" t="str">
        <f>IF(ISNUMBER(SEARCH("R", 'Dry_Litterbag Placem_Collection'!S109)),"YES","NO")</f>
        <v>NO</v>
      </c>
    </row>
    <row r="109" spans="1:40" ht="15" customHeight="1">
      <c r="A109" s="262" t="s">
        <v>2659</v>
      </c>
      <c r="B109" s="263">
        <f>'Dry_Litterbag Placem_Collection'!A110</f>
        <v>108</v>
      </c>
      <c r="C109" s="263" t="str">
        <f>'Dry_Litterbag Placem_Collection'!B110</f>
        <v xml:space="preserve">Mwantimba
</v>
      </c>
      <c r="D109" s="263" t="s">
        <v>2460</v>
      </c>
      <c r="E109" s="263" t="s">
        <v>2660</v>
      </c>
      <c r="F109" s="263">
        <v>2</v>
      </c>
      <c r="G109" s="264" t="str">
        <f>'Dry_Litterbag Placem_Collection'!C110</f>
        <v>Wet_Ag2_T4</v>
      </c>
      <c r="H109" s="265" t="s">
        <v>2541</v>
      </c>
      <c r="I109" s="266" t="s">
        <v>1147</v>
      </c>
      <c r="J109" s="263" t="str">
        <f>IF(ISBLANK('Dry_Litterbag Placem_Collection'!J110),"","G"&amp;""&amp;'Dry_Litterbag Placem_Collection'!J110)</f>
        <v>G258</v>
      </c>
      <c r="K109" s="267">
        <f>IFERROR(INDEX('Green_rooibos initial weight'!$C$5:$C$1749,MATCH(J109, 'Green_rooibos initial weight'!$A$5:$A$1749,0)),"")</f>
        <v>2.1280000000000001</v>
      </c>
      <c r="L109" s="267">
        <f>IFERROR(K109-(TBIcalc!$Q$9+TBIcalc!$Q$10),"")</f>
        <v>1.8782000000000001</v>
      </c>
      <c r="M109" s="391">
        <f>AVERAGE(Ashed_controlls!$K$2:$K$11)</f>
        <v>5.5147656768714146</v>
      </c>
      <c r="N109" s="267">
        <f t="shared" si="6"/>
        <v>1.7746216710570011</v>
      </c>
      <c r="O109" s="267">
        <f>IF(IFERROR(INDEX('Both teabags AfterDry'!$D$3:$D$900,MATCH(J109,'Both teabags AfterDry'!$A$3:$A$900,0)),"")="","",(IFERROR(INDEX('Both teabags AfterDry'!$D$3:$D$900,MATCH(J109,'Both teabags AfterDry'!$A$3:$A$900,0)),"")))</f>
        <v>0.92730000000000001</v>
      </c>
      <c r="P109" s="267">
        <f>IFERROR(IF(O109&gt;0,O109-(TBIcalc!$Q$9),""),"")</f>
        <v>0.77669999999999995</v>
      </c>
      <c r="Q109" s="278">
        <f>IFERROR(INDEX('Ashed teabags dry'!$K$2:$K$825,MATCH(J109,'Ashed teabags dry'!$A$2:$A$825,0)),"")</f>
        <v>20.211233797408489</v>
      </c>
      <c r="R109" s="278">
        <f t="shared" si="7"/>
        <v>0.61971934709552823</v>
      </c>
      <c r="S109" s="268">
        <f>'Dry_Litterbag Placem_Collection'!E110</f>
        <v>42939</v>
      </c>
      <c r="T109" s="268">
        <f>IF('Dry_Litterbag Placem_Collection'!G110="","",'Dry_Litterbag Placem_Collection'!G110)</f>
        <v>43010</v>
      </c>
      <c r="U109" s="269">
        <f t="shared" si="5"/>
        <v>71</v>
      </c>
      <c r="V109" s="267">
        <f t="shared" si="8"/>
        <v>1.1015000000000001</v>
      </c>
      <c r="W109" s="267">
        <f t="shared" si="9"/>
        <v>1.1549023239614729</v>
      </c>
      <c r="X109" s="271">
        <f>IFERROR(INDEX(Rainfall_Dry!$O$2:$O$217,MATCH(B109, Rainfall_Dry!$A$2:$A$217,0)),"")</f>
        <v>137.19979645800001</v>
      </c>
      <c r="Y109" s="260">
        <v>34.344660194174757</v>
      </c>
      <c r="Z109" s="260">
        <v>19.22727272727273</v>
      </c>
      <c r="AA109" s="260">
        <v>46.428067078552509</v>
      </c>
      <c r="AB109" s="261" t="s">
        <v>2670</v>
      </c>
      <c r="AC109" s="260">
        <v>4.7452932479053702</v>
      </c>
      <c r="AD109">
        <f>IF('WetLitterbags placem_collection'!AB110="","",'WetLitterbags placem_collection'!AB110)</f>
        <v>9.6999999999999993</v>
      </c>
      <c r="AE109">
        <f>IF('WetLitterbags placem_collection'!Z110="","",'WetLitterbags placem_collection'!Z110)</f>
        <v>22.5</v>
      </c>
      <c r="AF109" s="246" t="str">
        <f>IF('WetLitterbags placem_collection'!AA110="","",'WetLitterbags placem_collection'!AA110)</f>
        <v>M</v>
      </c>
      <c r="AG109">
        <f>IF('WetLitterbags placem_collection'!AC110="","",'WetLitterbags placem_collection'!AC110)</f>
        <v>0</v>
      </c>
      <c r="AH109">
        <f>IFERROR(AVERAGE('Dry_Litterbag Placem_Collection'!O110,'Dry_Litterbag Placem_Collection'!R110),"")</f>
        <v>7.65</v>
      </c>
      <c r="AI109" s="271">
        <f>IFERROR(AVERAGE('Dry_Litterbag Placem_Collection'!N110,'Dry_Litterbag Placem_Collection'!Q110),"")</f>
        <v>31.8</v>
      </c>
      <c r="AJ109" s="270">
        <f>INDEX(Coordinates!$B$2:$B$197,MATCH(G109,Coordinates!$J$2:$J$197,0))</f>
        <v>-2.3698620030000002</v>
      </c>
      <c r="AK109" s="270">
        <f>INDEX(Coordinates!$C$2:$C$197,MATCH(G109,Coordinates!$J$2:$J$197,0))</f>
        <v>34.059759020000001</v>
      </c>
      <c r="AL109" s="270" t="str">
        <f>IF(ISNUMBER(SEARCH("C", 'Dry_Litterbag Placem_Collection'!S110)),"YES","NO")</f>
        <v>YES</v>
      </c>
      <c r="AM109" s="270" t="str">
        <f>IF(ISNUMBER(SEARCH("H", 'Dry_Litterbag Placem_Collection'!S110)),"YES","NO")</f>
        <v>NO</v>
      </c>
      <c r="AN109" s="270" t="str">
        <f>IF(ISNUMBER(SEARCH("R", 'Dry_Litterbag Placem_Collection'!S110)),"YES","NO")</f>
        <v>NO</v>
      </c>
    </row>
    <row r="110" spans="1:40" ht="15" customHeight="1">
      <c r="A110" s="262" t="s">
        <v>2659</v>
      </c>
      <c r="B110" s="263">
        <f>'Dry_Litterbag Placem_Collection'!A111</f>
        <v>109</v>
      </c>
      <c r="C110" s="263" t="str">
        <f>'Dry_Litterbag Placem_Collection'!B111</f>
        <v xml:space="preserve">Mwantimba
</v>
      </c>
      <c r="D110" s="263" t="s">
        <v>2460</v>
      </c>
      <c r="E110" s="263" t="s">
        <v>2660</v>
      </c>
      <c r="F110" s="263">
        <v>2</v>
      </c>
      <c r="G110" s="264" t="str">
        <f>'Dry_Litterbag Placem_Collection'!C111</f>
        <v>Wet_Ag2_T5</v>
      </c>
      <c r="H110" s="265" t="s">
        <v>2541</v>
      </c>
      <c r="I110" s="266" t="s">
        <v>1147</v>
      </c>
      <c r="J110" s="263" t="str">
        <f>IF(ISBLANK('Dry_Litterbag Placem_Collection'!J111),"","G"&amp;""&amp;'Dry_Litterbag Placem_Collection'!J111)</f>
        <v>G294</v>
      </c>
      <c r="K110" s="267">
        <f>IFERROR(INDEX('Green_rooibos initial weight'!$C$5:$C$1749,MATCH(J110, 'Green_rooibos initial weight'!$A$5:$A$1749,0)),"")</f>
        <v>1.994</v>
      </c>
      <c r="L110" s="267">
        <f>IFERROR(K110-(TBIcalc!$Q$9+TBIcalc!$Q$10),"")</f>
        <v>1.7442</v>
      </c>
      <c r="M110" s="391">
        <f>AVERAGE(Ashed_controlls!$K$2:$K$11)</f>
        <v>5.5147656768714146</v>
      </c>
      <c r="N110" s="267">
        <f t="shared" si="6"/>
        <v>1.6480114570640088</v>
      </c>
      <c r="O110" s="267">
        <f>IF(IFERROR(INDEX('Both teabags AfterDry'!$D$3:$D$900,MATCH(J110,'Both teabags AfterDry'!$A$3:$A$900,0)),"")="","",(IFERROR(INDEX('Both teabags AfterDry'!$D$3:$D$900,MATCH(J110,'Both teabags AfterDry'!$A$3:$A$900,0)),"")))</f>
        <v>0.93010000000000004</v>
      </c>
      <c r="P110" s="267">
        <f>IFERROR(IF(O110&gt;0,O110-(TBIcalc!$Q$9),""),"")</f>
        <v>0.77950000000000008</v>
      </c>
      <c r="Q110" s="278">
        <f>IFERROR(INDEX('Ashed teabags dry'!$K$2:$K$825,MATCH(J110,'Ashed teabags dry'!$A$2:$A$825,0)),"")</f>
        <v>29.671832269827163</v>
      </c>
      <c r="R110" s="278">
        <f t="shared" si="7"/>
        <v>0.54820806745669737</v>
      </c>
      <c r="S110" s="268">
        <f>'Dry_Litterbag Placem_Collection'!E111</f>
        <v>42939</v>
      </c>
      <c r="T110" s="268">
        <f>IF('Dry_Litterbag Placem_Collection'!G111="","",'Dry_Litterbag Placem_Collection'!G111)</f>
        <v>43010</v>
      </c>
      <c r="U110" s="269">
        <f t="shared" si="5"/>
        <v>71</v>
      </c>
      <c r="V110" s="267">
        <f t="shared" si="8"/>
        <v>0.96469999999999989</v>
      </c>
      <c r="W110" s="267">
        <f t="shared" si="9"/>
        <v>1.0998033896073114</v>
      </c>
      <c r="X110" s="271">
        <f>IFERROR(INDEX(Rainfall_Dry!$O$2:$O$217,MATCH(B110, Rainfall_Dry!$A$2:$A$217,0)),"")</f>
        <v>137.19979645800001</v>
      </c>
      <c r="Y110" s="260">
        <v>34.344660194174757</v>
      </c>
      <c r="Z110" s="260">
        <v>19.22727272727273</v>
      </c>
      <c r="AA110" s="260">
        <v>46.428067078552509</v>
      </c>
      <c r="AB110" s="261" t="s">
        <v>2670</v>
      </c>
      <c r="AC110" s="260">
        <v>5.7452932479053702</v>
      </c>
      <c r="AD110">
        <f>IF('WetLitterbags placem_collection'!AB111="","",'WetLitterbags placem_collection'!AB111)</f>
        <v>10.5</v>
      </c>
      <c r="AE110">
        <f>IF('WetLitterbags placem_collection'!Z111="","",'WetLitterbags placem_collection'!Z111)</f>
        <v>22.5</v>
      </c>
      <c r="AF110" s="246" t="str">
        <f>IF('WetLitterbags placem_collection'!AA111="","",'WetLitterbags placem_collection'!AA111)</f>
        <v>M</v>
      </c>
      <c r="AG110">
        <f>IF('WetLitterbags placem_collection'!AC111="","",'WetLitterbags placem_collection'!AC111)</f>
        <v>0</v>
      </c>
      <c r="AH110">
        <f>IFERROR(AVERAGE('Dry_Litterbag Placem_Collection'!O111,'Dry_Litterbag Placem_Collection'!R111),"")</f>
        <v>7.5</v>
      </c>
      <c r="AI110" s="271">
        <f>IFERROR(AVERAGE('Dry_Litterbag Placem_Collection'!N111,'Dry_Litterbag Placem_Collection'!Q111),"")</f>
        <v>30.65</v>
      </c>
      <c r="AJ110" s="270">
        <f>INDEX(Coordinates!$B$2:$B$197,MATCH(G110,Coordinates!$J$2:$J$197,0))</f>
        <v>-2.3698390370000002</v>
      </c>
      <c r="AK110" s="270">
        <f>INDEX(Coordinates!$C$2:$C$197,MATCH(G110,Coordinates!$J$2:$J$197,0))</f>
        <v>34.059714</v>
      </c>
      <c r="AL110" s="270" t="str">
        <f>IF(ISNUMBER(SEARCH("C", 'Dry_Litterbag Placem_Collection'!S111)),"YES","NO")</f>
        <v>NO</v>
      </c>
      <c r="AM110" s="270" t="str">
        <f>IF(ISNUMBER(SEARCH("H", 'Dry_Litterbag Placem_Collection'!S111)),"YES","NO")</f>
        <v>NO</v>
      </c>
      <c r="AN110" s="270" t="str">
        <f>IF(ISNUMBER(SEARCH("R", 'Dry_Litterbag Placem_Collection'!S111)),"YES","NO")</f>
        <v>NO</v>
      </c>
    </row>
    <row r="111" spans="1:40" ht="15" customHeight="1">
      <c r="A111" s="262" t="s">
        <v>2659</v>
      </c>
      <c r="B111" s="263">
        <f>'Dry_Litterbag Placem_Collection'!A112</f>
        <v>110</v>
      </c>
      <c r="C111" s="263" t="str">
        <f>'Dry_Litterbag Placem_Collection'!B112</f>
        <v xml:space="preserve">Mwantimba
</v>
      </c>
      <c r="D111" s="263" t="s">
        <v>2460</v>
      </c>
      <c r="E111" s="263" t="s">
        <v>2660</v>
      </c>
      <c r="F111" s="263">
        <v>2</v>
      </c>
      <c r="G111" s="264" t="str">
        <f>'Dry_Litterbag Placem_Collection'!C112</f>
        <v>Wet_Ag2_T6</v>
      </c>
      <c r="H111" s="265" t="s">
        <v>2541</v>
      </c>
      <c r="I111" s="266" t="s">
        <v>1147</v>
      </c>
      <c r="J111" s="263" t="str">
        <f>IF(ISBLANK('Dry_Litterbag Placem_Collection'!J112),"","G"&amp;""&amp;'Dry_Litterbag Placem_Collection'!J112)</f>
        <v>G350</v>
      </c>
      <c r="K111" s="267">
        <f>IFERROR(INDEX('Green_rooibos initial weight'!$C$5:$C$1749,MATCH(J111, 'Green_rooibos initial weight'!$A$5:$A$1749,0)),"")</f>
        <v>2.0640000000000001</v>
      </c>
      <c r="L111" s="267">
        <f>IFERROR(K111-(TBIcalc!$Q$9+TBIcalc!$Q$10),"")</f>
        <v>1.8142</v>
      </c>
      <c r="M111" s="391">
        <f>AVERAGE(Ashed_controlls!$K$2:$K$11)</f>
        <v>5.5147656768714146</v>
      </c>
      <c r="N111" s="267">
        <f t="shared" si="6"/>
        <v>1.7141511210901987</v>
      </c>
      <c r="O111" s="267">
        <f>IF(IFERROR(INDEX('Both teabags AfterDry'!$D$3:$D$900,MATCH(J111,'Both teabags AfterDry'!$A$3:$A$900,0)),"")="","",(IFERROR(INDEX('Both teabags AfterDry'!$D$3:$D$900,MATCH(J111,'Both teabags AfterDry'!$A$3:$A$900,0)),"")))</f>
        <v>0.95640000000000003</v>
      </c>
      <c r="P111" s="267">
        <f>IFERROR(IF(O111&gt;0,O111-(TBIcalc!$Q$9),""),"")</f>
        <v>0.80580000000000007</v>
      </c>
      <c r="Q111" s="278">
        <f>IFERROR(INDEX('Ashed teabags dry'!$K$2:$K$825,MATCH(J111,'Ashed teabags dry'!$A$2:$A$825,0)),"")</f>
        <v>19.624497094323072</v>
      </c>
      <c r="R111" s="278">
        <f t="shared" si="7"/>
        <v>0.64766580241394478</v>
      </c>
      <c r="S111" s="268">
        <f>'Dry_Litterbag Placem_Collection'!E112</f>
        <v>42939</v>
      </c>
      <c r="T111" s="268">
        <f>IF('Dry_Litterbag Placem_Collection'!G112="","",'Dry_Litterbag Placem_Collection'!G112)</f>
        <v>43010</v>
      </c>
      <c r="U111" s="269">
        <f t="shared" si="5"/>
        <v>71</v>
      </c>
      <c r="V111" s="267">
        <f t="shared" si="8"/>
        <v>1.0084</v>
      </c>
      <c r="W111" s="267">
        <f t="shared" si="9"/>
        <v>1.066485318676254</v>
      </c>
      <c r="X111" s="271">
        <f>IFERROR(INDEX(Rainfall_Dry!$O$2:$O$217,MATCH(B111, Rainfall_Dry!$A$2:$A$217,0)),"")</f>
        <v>137.19979645800001</v>
      </c>
      <c r="Y111" s="260">
        <v>34.344660194174757</v>
      </c>
      <c r="Z111" s="260">
        <v>19.22727272727273</v>
      </c>
      <c r="AA111" s="260">
        <v>46.428067078552509</v>
      </c>
      <c r="AB111" s="261" t="s">
        <v>2670</v>
      </c>
      <c r="AC111" s="260">
        <v>6.7452932479053702</v>
      </c>
      <c r="AD111">
        <f>IF('WetLitterbags placem_collection'!AB112="","",'WetLitterbags placem_collection'!AB112)</f>
        <v>5.75</v>
      </c>
      <c r="AE111">
        <f>IF('WetLitterbags placem_collection'!Z112="","",'WetLitterbags placem_collection'!Z112)</f>
        <v>22.5</v>
      </c>
      <c r="AF111" s="246" t="str">
        <f>IF('WetLitterbags placem_collection'!AA112="","",'WetLitterbags placem_collection'!AA112)</f>
        <v>M</v>
      </c>
      <c r="AG111">
        <f>IF('WetLitterbags placem_collection'!AC112="","",'WetLitterbags placem_collection'!AC112)</f>
        <v>0</v>
      </c>
      <c r="AH111">
        <f>IFERROR(AVERAGE('Dry_Litterbag Placem_Collection'!O112,'Dry_Litterbag Placem_Collection'!R112),"")</f>
        <v>7.3500000000000005</v>
      </c>
      <c r="AI111" s="271">
        <f>IFERROR(AVERAGE('Dry_Litterbag Placem_Collection'!N112,'Dry_Litterbag Placem_Collection'!Q112),"")</f>
        <v>31.150000000000002</v>
      </c>
      <c r="AJ111" s="270">
        <f>INDEX(Coordinates!$B$2:$B$197,MATCH(G111,Coordinates!$J$2:$J$197,0))</f>
        <v>-2.3697549659999999</v>
      </c>
      <c r="AK111" s="270">
        <f>INDEX(Coordinates!$C$2:$C$197,MATCH(G111,Coordinates!$J$2:$J$197,0))</f>
        <v>34.059668989999999</v>
      </c>
      <c r="AL111" s="270" t="str">
        <f>IF(ISNUMBER(SEARCH("C", 'Dry_Litterbag Placem_Collection'!S112)),"YES","NO")</f>
        <v>YES</v>
      </c>
      <c r="AM111" s="270" t="str">
        <f>IF(ISNUMBER(SEARCH("H", 'Dry_Litterbag Placem_Collection'!S112)),"YES","NO")</f>
        <v>YES</v>
      </c>
      <c r="AN111" s="270" t="str">
        <f>IF(ISNUMBER(SEARCH("R", 'Dry_Litterbag Placem_Collection'!S112)),"YES","NO")</f>
        <v>NO</v>
      </c>
    </row>
    <row r="112" spans="1:40" ht="15" customHeight="1">
      <c r="A112" s="262" t="s">
        <v>2659</v>
      </c>
      <c r="B112" s="263">
        <f>'Dry_Litterbag Placem_Collection'!A113</f>
        <v>111</v>
      </c>
      <c r="C112" s="263" t="str">
        <f>'Dry_Litterbag Placem_Collection'!B113</f>
        <v xml:space="preserve">Mwantimba
</v>
      </c>
      <c r="D112" s="263" t="s">
        <v>2460</v>
      </c>
      <c r="E112" s="263" t="s">
        <v>2660</v>
      </c>
      <c r="F112" s="263">
        <v>2</v>
      </c>
      <c r="G112" s="264" t="str">
        <f>'Dry_Litterbag Placem_Collection'!C113</f>
        <v>Wet_Ag2_T7</v>
      </c>
      <c r="H112" s="265" t="s">
        <v>2541</v>
      </c>
      <c r="I112" s="266" t="s">
        <v>1147</v>
      </c>
      <c r="J112" s="263" t="str">
        <f>IF(ISBLANK('Dry_Litterbag Placem_Collection'!J113),"","G"&amp;""&amp;'Dry_Litterbag Placem_Collection'!J113)</f>
        <v>G274</v>
      </c>
      <c r="K112" s="267">
        <f>IFERROR(INDEX('Green_rooibos initial weight'!$C$5:$C$1749,MATCH(J112, 'Green_rooibos initial weight'!$A$5:$A$1749,0)),"")</f>
        <v>2.12</v>
      </c>
      <c r="L112" s="267">
        <f>IFERROR(K112-(TBIcalc!$Q$9+TBIcalc!$Q$10),"")</f>
        <v>1.8702000000000001</v>
      </c>
      <c r="M112" s="391">
        <f>AVERAGE(Ashed_controlls!$K$2:$K$11)</f>
        <v>5.5147656768714146</v>
      </c>
      <c r="N112" s="267">
        <f t="shared" si="6"/>
        <v>1.7670628523111509</v>
      </c>
      <c r="O112" s="267">
        <f>IF(IFERROR(INDEX('Both teabags AfterDry'!$D$3:$D$900,MATCH(J112,'Both teabags AfterDry'!$A$3:$A$900,0)),"")="","",(IFERROR(INDEX('Both teabags AfterDry'!$D$3:$D$900,MATCH(J112,'Both teabags AfterDry'!$A$3:$A$900,0)),"")))</f>
        <v>1.0779000000000001</v>
      </c>
      <c r="P112" s="267">
        <f>IFERROR(IF(O112&gt;0,O112-(TBIcalc!$Q$9),""),"")</f>
        <v>0.92730000000000001</v>
      </c>
      <c r="Q112" s="278">
        <f>IFERROR(INDEX('Ashed teabags dry'!$K$2:$K$825,MATCH(J112,'Ashed teabags dry'!$A$2:$A$825,0)),"")</f>
        <v>17.275747508306221</v>
      </c>
      <c r="R112" s="278">
        <f t="shared" si="7"/>
        <v>0.76710199335547635</v>
      </c>
      <c r="S112" s="268">
        <f>'Dry_Litterbag Placem_Collection'!E113</f>
        <v>42939</v>
      </c>
      <c r="T112" s="268">
        <f>IF('Dry_Litterbag Placem_Collection'!G113="","",'Dry_Litterbag Placem_Collection'!G113)</f>
        <v>43010</v>
      </c>
      <c r="U112" s="269">
        <f t="shared" si="5"/>
        <v>71</v>
      </c>
      <c r="V112" s="267">
        <f t="shared" si="8"/>
        <v>0.94290000000000007</v>
      </c>
      <c r="W112" s="267">
        <f t="shared" si="9"/>
        <v>0.99996085895567455</v>
      </c>
      <c r="X112" s="271">
        <f>IFERROR(INDEX(Rainfall_Dry!$O$2:$O$217,MATCH(B112, Rainfall_Dry!$A$2:$A$217,0)),"")</f>
        <v>137.19979645800001</v>
      </c>
      <c r="Y112" s="260">
        <v>34.344660194174757</v>
      </c>
      <c r="Z112" s="260">
        <v>19.22727272727273</v>
      </c>
      <c r="AA112" s="260">
        <v>46.428067078552509</v>
      </c>
      <c r="AB112" s="261" t="s">
        <v>2670</v>
      </c>
      <c r="AC112" s="260">
        <v>7.7452932479053702</v>
      </c>
      <c r="AD112">
        <f>IF('WetLitterbags placem_collection'!AB113="","",'WetLitterbags placem_collection'!AB113)</f>
        <v>6.1</v>
      </c>
      <c r="AE112">
        <f>IF('WetLitterbags placem_collection'!Z113="","",'WetLitterbags placem_collection'!Z113)</f>
        <v>26</v>
      </c>
      <c r="AF112" s="246" t="str">
        <f>IF('WetLitterbags placem_collection'!AA113="","",'WetLitterbags placem_collection'!AA113)</f>
        <v>M</v>
      </c>
      <c r="AG112">
        <f>IF('WetLitterbags placem_collection'!AC113="","",'WetLitterbags placem_collection'!AC113)</f>
        <v>0</v>
      </c>
      <c r="AH112">
        <f>IFERROR(AVERAGE('Dry_Litterbag Placem_Collection'!O113,'Dry_Litterbag Placem_Collection'!R113),"")</f>
        <v>8.3000000000000007</v>
      </c>
      <c r="AI112" s="271">
        <f>IFERROR(AVERAGE('Dry_Litterbag Placem_Collection'!N113,'Dry_Litterbag Placem_Collection'!Q113),"")</f>
        <v>29.549999999999997</v>
      </c>
      <c r="AJ112" s="270">
        <f>INDEX(Coordinates!$B$2:$B$197,MATCH(G112,Coordinates!$J$2:$J$197,0))</f>
        <v>-2.3697330060000001</v>
      </c>
      <c r="AK112" s="270">
        <f>INDEX(Coordinates!$C$2:$C$197,MATCH(G112,Coordinates!$J$2:$J$197,0))</f>
        <v>34.059615010000002</v>
      </c>
      <c r="AL112" s="270" t="str">
        <f>IF(ISNUMBER(SEARCH("C", 'Dry_Litterbag Placem_Collection'!S113)),"YES","NO")</f>
        <v>YES</v>
      </c>
      <c r="AM112" s="270" t="str">
        <f>IF(ISNUMBER(SEARCH("H", 'Dry_Litterbag Placem_Collection'!S113)),"YES","NO")</f>
        <v>NO</v>
      </c>
      <c r="AN112" s="270" t="str">
        <f>IF(ISNUMBER(SEARCH("R", 'Dry_Litterbag Placem_Collection'!S113)),"YES","NO")</f>
        <v>NO</v>
      </c>
    </row>
    <row r="113" spans="1:40" ht="15" customHeight="1">
      <c r="A113" s="262" t="s">
        <v>2659</v>
      </c>
      <c r="B113" s="263">
        <f>'Dry_Litterbag Placem_Collection'!A114</f>
        <v>112</v>
      </c>
      <c r="C113" s="263" t="str">
        <f>'Dry_Litterbag Placem_Collection'!B114</f>
        <v xml:space="preserve">Mwantimba
</v>
      </c>
      <c r="D113" s="263" t="s">
        <v>2460</v>
      </c>
      <c r="E113" s="263" t="s">
        <v>2660</v>
      </c>
      <c r="F113" s="263">
        <v>2</v>
      </c>
      <c r="G113" s="264" t="str">
        <f>'Dry_Litterbag Placem_Collection'!C114</f>
        <v>Wet_Ag2_T8</v>
      </c>
      <c r="H113" s="265" t="s">
        <v>2541</v>
      </c>
      <c r="I113" s="266" t="s">
        <v>1147</v>
      </c>
      <c r="J113" s="263" t="str">
        <f>IF(ISBLANK('Dry_Litterbag Placem_Collection'!J114),"","G"&amp;""&amp;'Dry_Litterbag Placem_Collection'!J114)</f>
        <v/>
      </c>
      <c r="K113" s="267" t="str">
        <f>IFERROR(INDEX('Green_rooibos initial weight'!$C$5:$C$1749,MATCH(J113, 'Green_rooibos initial weight'!$A$5:$A$1749,0)),"")</f>
        <v/>
      </c>
      <c r="L113" s="267" t="str">
        <f>IFERROR(K113-(TBIcalc!$Q$9+TBIcalc!$Q$10),"")</f>
        <v/>
      </c>
      <c r="M113" s="391">
        <f>AVERAGE(Ashed_controlls!$K$2:$K$11)</f>
        <v>5.5147656768714146</v>
      </c>
      <c r="N113" s="267" t="str">
        <f t="shared" si="6"/>
        <v/>
      </c>
      <c r="O113" s="267" t="str">
        <f>IF(IFERROR(INDEX('Both teabags AfterDry'!$D$3:$D$900,MATCH(J113,'Both teabags AfterDry'!$A$3:$A$900,0)),"")="","",(IFERROR(INDEX('Both teabags AfterDry'!$D$3:$D$900,MATCH(J113,'Both teabags AfterDry'!$A$3:$A$900,0)),"")))</f>
        <v/>
      </c>
      <c r="P113" s="267" t="str">
        <f>IFERROR(IF(O113&gt;0,O113-(TBIcalc!$Q$9),""),"")</f>
        <v/>
      </c>
      <c r="Q113" s="278" t="str">
        <f>IFERROR(INDEX('Ashed teabags dry'!$K$2:$K$825,MATCH(J113,'Ashed teabags dry'!$A$2:$A$825,0)),"")</f>
        <v/>
      </c>
      <c r="R113" s="278" t="str">
        <f t="shared" si="7"/>
        <v/>
      </c>
      <c r="S113" s="268">
        <f>'Dry_Litterbag Placem_Collection'!E114</f>
        <v>0</v>
      </c>
      <c r="T113" s="268" t="str">
        <f>IF('Dry_Litterbag Placem_Collection'!G114="","",'Dry_Litterbag Placem_Collection'!G114)</f>
        <v/>
      </c>
      <c r="U113" s="269" t="str">
        <f t="shared" si="5"/>
        <v/>
      </c>
      <c r="V113" s="267" t="str">
        <f t="shared" si="8"/>
        <v/>
      </c>
      <c r="W113" s="267" t="str">
        <f t="shared" si="9"/>
        <v/>
      </c>
      <c r="X113" s="271" t="str">
        <f>IFERROR(INDEX(Rainfall_Dry!$O$2:$O$217,MATCH(B113, Rainfall_Dry!$A$2:$A$217,0)),"")</f>
        <v/>
      </c>
      <c r="Y113" s="260">
        <v>34.344660194174757</v>
      </c>
      <c r="Z113" s="260">
        <v>19.22727272727273</v>
      </c>
      <c r="AA113" s="260">
        <v>46.428067078552509</v>
      </c>
      <c r="AB113" s="261" t="s">
        <v>2670</v>
      </c>
      <c r="AC113" s="260">
        <v>8.7452932479053693</v>
      </c>
      <c r="AD113">
        <f>IF('WetLitterbags placem_collection'!AB114="","",'WetLitterbags placem_collection'!AB114)</f>
        <v>11.5</v>
      </c>
      <c r="AE113">
        <f>IF('WetLitterbags placem_collection'!Z114="","",'WetLitterbags placem_collection'!Z114)</f>
        <v>15</v>
      </c>
      <c r="AF113" s="246" t="str">
        <f>IF('WetLitterbags placem_collection'!AA114="","",'WetLitterbags placem_collection'!AA114)</f>
        <v>M</v>
      </c>
      <c r="AG113">
        <f>IF('WetLitterbags placem_collection'!AC114="","",'WetLitterbags placem_collection'!AC114)</f>
        <v>0</v>
      </c>
      <c r="AH113" t="str">
        <f>IFERROR(AVERAGE('Dry_Litterbag Placem_Collection'!O114,'Dry_Litterbag Placem_Collection'!R114),"")</f>
        <v/>
      </c>
      <c r="AI113" s="271" t="str">
        <f>IFERROR(AVERAGE('Dry_Litterbag Placem_Collection'!N114,'Dry_Litterbag Placem_Collection'!Q114),"")</f>
        <v/>
      </c>
      <c r="AJ113" s="270">
        <f>INDEX(Coordinates!$B$2:$B$197,MATCH(G113,Coordinates!$J$2:$J$197,0))</f>
        <v>-2.36967098</v>
      </c>
      <c r="AK113" s="270">
        <f>INDEX(Coordinates!$C$2:$C$197,MATCH(G113,Coordinates!$J$2:$J$197,0))</f>
        <v>34.059735959999998</v>
      </c>
      <c r="AL113" s="270" t="str">
        <f>IF(ISNUMBER(SEARCH("C", 'Dry_Litterbag Placem_Collection'!S114)),"YES","NO")</f>
        <v>NO</v>
      </c>
      <c r="AM113" s="270" t="str">
        <f>IF(ISNUMBER(SEARCH("H", 'Dry_Litterbag Placem_Collection'!S114)),"YES","NO")</f>
        <v>NO</v>
      </c>
      <c r="AN113" s="270" t="str">
        <f>IF(ISNUMBER(SEARCH("R", 'Dry_Litterbag Placem_Collection'!S114)),"YES","NO")</f>
        <v>NO</v>
      </c>
    </row>
    <row r="114" spans="1:40" ht="15" customHeight="1">
      <c r="A114" s="262" t="s">
        <v>2659</v>
      </c>
      <c r="B114" s="263">
        <f>'Dry_Litterbag Placem_Collection'!A115</f>
        <v>113</v>
      </c>
      <c r="C114" s="263" t="str">
        <f>'Dry_Litterbag Placem_Collection'!B115</f>
        <v xml:space="preserve">Mwantimba
</v>
      </c>
      <c r="D114" s="263" t="s">
        <v>2460</v>
      </c>
      <c r="E114" s="263" t="s">
        <v>2660</v>
      </c>
      <c r="F114" s="263">
        <v>3</v>
      </c>
      <c r="G114" s="264" t="str">
        <f>'Dry_Litterbag Placem_Collection'!C115</f>
        <v>Wet_Ag3_T1</v>
      </c>
      <c r="H114" s="265" t="s">
        <v>2541</v>
      </c>
      <c r="I114" s="266" t="s">
        <v>1147</v>
      </c>
      <c r="J114" s="263" t="str">
        <f>IF(ISBLANK('Dry_Litterbag Placem_Collection'!J115),"","G"&amp;""&amp;'Dry_Litterbag Placem_Collection'!J115)</f>
        <v>G314</v>
      </c>
      <c r="K114" s="267">
        <f>IFERROR(INDEX('Green_rooibos initial weight'!$C$5:$C$1749,MATCH(J114, 'Green_rooibos initial weight'!$A$5:$A$1749,0)),"")</f>
        <v>2.0430000000000001</v>
      </c>
      <c r="L114" s="267">
        <f>IFERROR(K114-(TBIcalc!$Q$9+TBIcalc!$Q$10),"")</f>
        <v>1.7932000000000001</v>
      </c>
      <c r="M114" s="391">
        <f>AVERAGE(Ashed_controlls!$K$2:$K$11)</f>
        <v>5.5147656768714146</v>
      </c>
      <c r="N114" s="267">
        <f t="shared" si="6"/>
        <v>1.6943092218823419</v>
      </c>
      <c r="O114" s="267">
        <f>IF(IFERROR(INDEX('Both teabags AfterDry'!$D$3:$D$900,MATCH(J114,'Both teabags AfterDry'!$A$3:$A$900,0)),"")="","",(IFERROR(INDEX('Both teabags AfterDry'!$D$3:$D$900,MATCH(J114,'Both teabags AfterDry'!$A$3:$A$900,0)),"")))</f>
        <v>0.78080000000000005</v>
      </c>
      <c r="P114" s="267">
        <f>IFERROR(IF(O114&gt;0,O114-(TBIcalc!$Q$9),""),"")</f>
        <v>0.63020000000000009</v>
      </c>
      <c r="Q114" s="278">
        <f>IFERROR(INDEX('Ashed teabags dry'!$K$2:$K$825,MATCH(J114,'Ashed teabags dry'!$A$2:$A$825,0)),"")</f>
        <v>21.798134011874424</v>
      </c>
      <c r="R114" s="278">
        <f t="shared" si="7"/>
        <v>0.49282815945716746</v>
      </c>
      <c r="S114" s="268">
        <f>'Dry_Litterbag Placem_Collection'!E115</f>
        <v>42939</v>
      </c>
      <c r="T114" s="268">
        <f>IF('Dry_Litterbag Placem_Collection'!G115="","",'Dry_Litterbag Placem_Collection'!G115)</f>
        <v>43008</v>
      </c>
      <c r="U114" s="269">
        <f t="shared" si="5"/>
        <v>69</v>
      </c>
      <c r="V114" s="267">
        <f t="shared" si="8"/>
        <v>1.163</v>
      </c>
      <c r="W114" s="267">
        <f t="shared" si="9"/>
        <v>1.2014810624251744</v>
      </c>
      <c r="X114" s="271">
        <f>IFERROR(INDEX(Rainfall_Dry!$O$2:$O$217,MATCH(B114, Rainfall_Dry!$A$2:$A$217,0)),"")</f>
        <v>136.27214243</v>
      </c>
      <c r="Y114" s="260">
        <v>27.96</v>
      </c>
      <c r="Z114" s="260">
        <v>4.9200000000000017</v>
      </c>
      <c r="AA114" s="260">
        <v>67.12</v>
      </c>
      <c r="AB114" s="261" t="s">
        <v>2670</v>
      </c>
      <c r="AC114" s="260">
        <v>0.88610152784622953</v>
      </c>
      <c r="AD114">
        <f>IF('WetLitterbags placem_collection'!AB115="","",'WetLitterbags placem_collection'!AB115)</f>
        <v>26</v>
      </c>
      <c r="AE114">
        <f>IF('WetLitterbags placem_collection'!Z115="","",'WetLitterbags placem_collection'!Z115)</f>
        <v>88.5</v>
      </c>
      <c r="AF114" s="246" t="str">
        <f>IF('WetLitterbags placem_collection'!AA115="","",'WetLitterbags placem_collection'!AA115)</f>
        <v>G</v>
      </c>
      <c r="AG114">
        <f>IF('WetLitterbags placem_collection'!AC115="","",'WetLitterbags placem_collection'!AC115)</f>
        <v>0</v>
      </c>
      <c r="AH114">
        <f>IFERROR(AVERAGE('Dry_Litterbag Placem_Collection'!O115,'Dry_Litterbag Placem_Collection'!R115),"")</f>
        <v>6.35</v>
      </c>
      <c r="AI114" s="271">
        <f>IFERROR(AVERAGE('Dry_Litterbag Placem_Collection'!N115,'Dry_Litterbag Placem_Collection'!Q115),"")</f>
        <v>28.9</v>
      </c>
      <c r="AJ114" s="270">
        <f>INDEX(Coordinates!$B$2:$B$197,MATCH(G114,Coordinates!$J$2:$J$197,0))</f>
        <v>-2.3487199940000001</v>
      </c>
      <c r="AK114" s="270">
        <f>INDEX(Coordinates!$C$2:$C$197,MATCH(G114,Coordinates!$J$2:$J$197,0))</f>
        <v>34.051391029999998</v>
      </c>
      <c r="AL114" s="270" t="str">
        <f>IF(ISNUMBER(SEARCH("C", 'Dry_Litterbag Placem_Collection'!S115)),"YES","NO")</f>
        <v>NO</v>
      </c>
      <c r="AM114" s="270" t="str">
        <f>IF(ISNUMBER(SEARCH("H", 'Dry_Litterbag Placem_Collection'!S115)),"YES","NO")</f>
        <v>NO</v>
      </c>
      <c r="AN114" s="270" t="str">
        <f>IF(ISNUMBER(SEARCH("R", 'Dry_Litterbag Placem_Collection'!S115)),"YES","NO")</f>
        <v>YES</v>
      </c>
    </row>
    <row r="115" spans="1:40" ht="15" customHeight="1">
      <c r="A115" s="262" t="s">
        <v>2659</v>
      </c>
      <c r="B115" s="263">
        <f>'Dry_Litterbag Placem_Collection'!A116</f>
        <v>114</v>
      </c>
      <c r="C115" s="263" t="str">
        <f>'Dry_Litterbag Placem_Collection'!B116</f>
        <v xml:space="preserve">Mwantimba
</v>
      </c>
      <c r="D115" s="263" t="s">
        <v>2460</v>
      </c>
      <c r="E115" s="263" t="s">
        <v>2660</v>
      </c>
      <c r="F115" s="263">
        <v>3</v>
      </c>
      <c r="G115" s="264" t="str">
        <f>'Dry_Litterbag Placem_Collection'!C116</f>
        <v>Wet_Ag3_T2</v>
      </c>
      <c r="H115" s="265" t="s">
        <v>2541</v>
      </c>
      <c r="I115" s="266" t="s">
        <v>1147</v>
      </c>
      <c r="J115" s="263" t="str">
        <f>IF(ISBLANK('Dry_Litterbag Placem_Collection'!J116),"","G"&amp;""&amp;'Dry_Litterbag Placem_Collection'!J116)</f>
        <v>G263</v>
      </c>
      <c r="K115" s="267">
        <f>IFERROR(INDEX('Green_rooibos initial weight'!$C$5:$C$1749,MATCH(J115, 'Green_rooibos initial weight'!$A$5:$A$1749,0)),"")</f>
        <v>2.0960000000000001</v>
      </c>
      <c r="L115" s="267">
        <f>IFERROR(K115-(TBIcalc!$Q$9+TBIcalc!$Q$10),"")</f>
        <v>1.8462000000000001</v>
      </c>
      <c r="M115" s="391">
        <f>AVERAGE(Ashed_controlls!$K$2:$K$11)</f>
        <v>5.5147656768714146</v>
      </c>
      <c r="N115" s="267">
        <f t="shared" si="6"/>
        <v>1.7443863960735999</v>
      </c>
      <c r="O115" s="267">
        <f>IF(IFERROR(INDEX('Both teabags AfterDry'!$D$3:$D$900,MATCH(J115,'Both teabags AfterDry'!$A$3:$A$900,0)),"")="","",(IFERROR(INDEX('Both teabags AfterDry'!$D$3:$D$900,MATCH(J115,'Both teabags AfterDry'!$A$3:$A$900,0)),"")))</f>
        <v>0.83330000000000004</v>
      </c>
      <c r="P115" s="267">
        <f>IFERROR(IF(O115&gt;0,O115-(TBIcalc!$Q$9),""),"")</f>
        <v>0.68270000000000008</v>
      </c>
      <c r="Q115" s="278">
        <f>IFERROR(INDEX('Ashed teabags dry'!$K$2:$K$825,MATCH(J115,'Ashed teabags dry'!$A$2:$A$825,0)),"")</f>
        <v>29.125376992675438</v>
      </c>
      <c r="R115" s="278">
        <f t="shared" si="7"/>
        <v>0.48386105127100487</v>
      </c>
      <c r="S115" s="268">
        <f>'Dry_Litterbag Placem_Collection'!E116</f>
        <v>42939</v>
      </c>
      <c r="T115" s="268">
        <f>IF('Dry_Litterbag Placem_Collection'!G116="","",'Dry_Litterbag Placem_Collection'!G116)</f>
        <v>43008</v>
      </c>
      <c r="U115" s="269">
        <f t="shared" si="5"/>
        <v>69</v>
      </c>
      <c r="V115" s="267">
        <f t="shared" si="8"/>
        <v>1.1635</v>
      </c>
      <c r="W115" s="267">
        <f t="shared" si="9"/>
        <v>1.260525344802595</v>
      </c>
      <c r="X115" s="271">
        <f>IFERROR(INDEX(Rainfall_Dry!$O$2:$O$217,MATCH(B115, Rainfall_Dry!$A$2:$A$217,0)),"")</f>
        <v>136.27214243</v>
      </c>
      <c r="Y115" s="260">
        <v>27.96</v>
      </c>
      <c r="Z115" s="260">
        <v>4.9200000000000017</v>
      </c>
      <c r="AA115" s="260">
        <v>67.12</v>
      </c>
      <c r="AB115" s="261" t="s">
        <v>2670</v>
      </c>
      <c r="AC115" s="260">
        <v>1.8861015278462301</v>
      </c>
      <c r="AD115">
        <f>IF('WetLitterbags placem_collection'!AB116="","",'WetLitterbags placem_collection'!AB116)</f>
        <v>16.5</v>
      </c>
      <c r="AE115">
        <f>IF('WetLitterbags placem_collection'!Z116="","",'WetLitterbags placem_collection'!Z116)</f>
        <v>87.5</v>
      </c>
      <c r="AF115" s="246" t="str">
        <f>IF('WetLitterbags placem_collection'!AA116="","",'WetLitterbags placem_collection'!AA116)</f>
        <v>G</v>
      </c>
      <c r="AG115">
        <f>IF('WetLitterbags placem_collection'!AC116="","",'WetLitterbags placem_collection'!AC116)</f>
        <v>0</v>
      </c>
      <c r="AH115">
        <f>IFERROR(AVERAGE('Dry_Litterbag Placem_Collection'!O116,'Dry_Litterbag Placem_Collection'!R116),"")</f>
        <v>12.1</v>
      </c>
      <c r="AI115" s="271">
        <f>IFERROR(AVERAGE('Dry_Litterbag Placem_Collection'!N116,'Dry_Litterbag Placem_Collection'!Q116),"")</f>
        <v>28.1</v>
      </c>
      <c r="AJ115" s="270">
        <f>INDEX(Coordinates!$B$2:$B$197,MATCH(G115,Coordinates!$J$2:$J$197,0))</f>
        <v>-2.348716976</v>
      </c>
      <c r="AK115" s="270">
        <f>INDEX(Coordinates!$C$2:$C$197,MATCH(G115,Coordinates!$J$2:$J$197,0))</f>
        <v>34.051484989999999</v>
      </c>
      <c r="AL115" s="270" t="str">
        <f>IF(ISNUMBER(SEARCH("C", 'Dry_Litterbag Placem_Collection'!S116)),"YES","NO")</f>
        <v>NO</v>
      </c>
      <c r="AM115" s="270" t="str">
        <f>IF(ISNUMBER(SEARCH("H", 'Dry_Litterbag Placem_Collection'!S116)),"YES","NO")</f>
        <v>NO</v>
      </c>
      <c r="AN115" s="270" t="str">
        <f>IF(ISNUMBER(SEARCH("R", 'Dry_Litterbag Placem_Collection'!S116)),"YES","NO")</f>
        <v>NO</v>
      </c>
    </row>
    <row r="116" spans="1:40" ht="15" customHeight="1">
      <c r="A116" s="262" t="s">
        <v>2659</v>
      </c>
      <c r="B116" s="263">
        <f>'Dry_Litterbag Placem_Collection'!A117</f>
        <v>115</v>
      </c>
      <c r="C116" s="263" t="str">
        <f>'Dry_Litterbag Placem_Collection'!B117</f>
        <v xml:space="preserve">Mwantimba
</v>
      </c>
      <c r="D116" s="263" t="s">
        <v>2460</v>
      </c>
      <c r="E116" s="263" t="s">
        <v>2660</v>
      </c>
      <c r="F116" s="263">
        <v>3</v>
      </c>
      <c r="G116" s="264" t="str">
        <f>'Dry_Litterbag Placem_Collection'!C117</f>
        <v>Wet_Ag3_T3</v>
      </c>
      <c r="H116" s="265" t="s">
        <v>2541</v>
      </c>
      <c r="I116" s="266" t="s">
        <v>1147</v>
      </c>
      <c r="J116" s="263" t="str">
        <f>IF(ISBLANK('Dry_Litterbag Placem_Collection'!J117),"","G"&amp;""&amp;'Dry_Litterbag Placem_Collection'!J117)</f>
        <v>G125</v>
      </c>
      <c r="K116" s="267">
        <f>IFERROR(INDEX('Green_rooibos initial weight'!$C$5:$C$1749,MATCH(J116, 'Green_rooibos initial weight'!$A$5:$A$1749,0)),"")</f>
        <v>2.0979999999999999</v>
      </c>
      <c r="L116" s="267">
        <f>IFERROR(K116-(TBIcalc!$Q$9+TBIcalc!$Q$10),"")</f>
        <v>1.8481999999999998</v>
      </c>
      <c r="M116" s="391">
        <f>AVERAGE(Ashed_controlls!$K$2:$K$11)</f>
        <v>5.5147656768714146</v>
      </c>
      <c r="N116" s="267">
        <f t="shared" si="6"/>
        <v>1.7462761007600625</v>
      </c>
      <c r="O116" s="267">
        <f>IF(IFERROR(INDEX('Both teabags AfterDry'!$D$3:$D$900,MATCH(J116,'Both teabags AfterDry'!$A$3:$A$900,0)),"")="","",(IFERROR(INDEX('Both teabags AfterDry'!$D$3:$D$900,MATCH(J116,'Both teabags AfterDry'!$A$3:$A$900,0)),"")))</f>
        <v>0.78120000000000001</v>
      </c>
      <c r="P116" s="267">
        <f>IFERROR(IF(O116&gt;0,O116-(TBIcalc!$Q$9),""),"")</f>
        <v>0.63060000000000005</v>
      </c>
      <c r="Q116" s="278">
        <f>IFERROR(INDEX('Ashed teabags dry'!$K$2:$K$825,MATCH(J116,'Ashed teabags dry'!$A$2:$A$825,0)),"")</f>
        <v>18.503937007873372</v>
      </c>
      <c r="R116" s="278">
        <f t="shared" si="7"/>
        <v>0.51391417322835053</v>
      </c>
      <c r="S116" s="268">
        <f>'Dry_Litterbag Placem_Collection'!E117</f>
        <v>42939</v>
      </c>
      <c r="T116" s="268">
        <f>IF('Dry_Litterbag Placem_Collection'!G117="","",'Dry_Litterbag Placem_Collection'!G117)</f>
        <v>43008</v>
      </c>
      <c r="U116" s="269">
        <f t="shared" si="5"/>
        <v>69</v>
      </c>
      <c r="V116" s="267">
        <f t="shared" si="8"/>
        <v>1.2175999999999998</v>
      </c>
      <c r="W116" s="267">
        <f t="shared" si="9"/>
        <v>1.2323619275317119</v>
      </c>
      <c r="X116" s="271">
        <f>IFERROR(INDEX(Rainfall_Dry!$O$2:$O$217,MATCH(B116, Rainfall_Dry!$A$2:$A$217,0)),"")</f>
        <v>136.27214243</v>
      </c>
      <c r="Y116" s="260">
        <v>27.96</v>
      </c>
      <c r="Z116" s="260">
        <v>4.9200000000000017</v>
      </c>
      <c r="AA116" s="260">
        <v>67.12</v>
      </c>
      <c r="AB116" s="261" t="s">
        <v>2670</v>
      </c>
      <c r="AC116" s="260">
        <v>2.8861015278462299</v>
      </c>
      <c r="AD116">
        <f>IF('WetLitterbags placem_collection'!AB117="","",'WetLitterbags placem_collection'!AB117)</f>
        <v>19</v>
      </c>
      <c r="AE116">
        <f>IF('WetLitterbags placem_collection'!Z117="","",'WetLitterbags placem_collection'!Z117)</f>
        <v>79.5</v>
      </c>
      <c r="AF116" s="246" t="str">
        <f>IF('WetLitterbags placem_collection'!AA117="","",'WetLitterbags placem_collection'!AA117)</f>
        <v>G</v>
      </c>
      <c r="AG116">
        <f>IF('WetLitterbags placem_collection'!AC117="","",'WetLitterbags placem_collection'!AC117)</f>
        <v>1</v>
      </c>
      <c r="AH116">
        <f>IFERROR(AVERAGE('Dry_Litterbag Placem_Collection'!O117,'Dry_Litterbag Placem_Collection'!R117),"")</f>
        <v>6.9</v>
      </c>
      <c r="AI116" s="271">
        <f>IFERROR(AVERAGE('Dry_Litterbag Placem_Collection'!N117,'Dry_Litterbag Placem_Collection'!Q117),"")</f>
        <v>28.95</v>
      </c>
      <c r="AJ116" s="270">
        <f>INDEX(Coordinates!$B$2:$B$197,MATCH(G116,Coordinates!$J$2:$J$197,0))</f>
        <v>-2.3487800079999999</v>
      </c>
      <c r="AK116" s="270">
        <f>INDEX(Coordinates!$C$2:$C$197,MATCH(G116,Coordinates!$J$2:$J$197,0))</f>
        <v>34.051495969999998</v>
      </c>
      <c r="AL116" s="270" t="str">
        <f>IF(ISNUMBER(SEARCH("C", 'Dry_Litterbag Placem_Collection'!S117)),"YES","NO")</f>
        <v>NO</v>
      </c>
      <c r="AM116" s="270" t="str">
        <f>IF(ISNUMBER(SEARCH("H", 'Dry_Litterbag Placem_Collection'!S117)),"YES","NO")</f>
        <v>NO</v>
      </c>
      <c r="AN116" s="270" t="str">
        <f>IF(ISNUMBER(SEARCH("R", 'Dry_Litterbag Placem_Collection'!S117)),"YES","NO")</f>
        <v>YES</v>
      </c>
    </row>
    <row r="117" spans="1:40" ht="15" customHeight="1">
      <c r="A117" s="262" t="s">
        <v>2659</v>
      </c>
      <c r="B117" s="263">
        <f>'Dry_Litterbag Placem_Collection'!A118</f>
        <v>116</v>
      </c>
      <c r="C117" s="263" t="str">
        <f>'Dry_Litterbag Placem_Collection'!B118</f>
        <v xml:space="preserve">Mwantimba
</v>
      </c>
      <c r="D117" s="263" t="s">
        <v>2460</v>
      </c>
      <c r="E117" s="263" t="s">
        <v>2660</v>
      </c>
      <c r="F117" s="263">
        <v>3</v>
      </c>
      <c r="G117" s="264" t="str">
        <f>'Dry_Litterbag Placem_Collection'!C118</f>
        <v>Wet_Ag3_T4</v>
      </c>
      <c r="H117" s="265" t="s">
        <v>2541</v>
      </c>
      <c r="I117" s="266" t="s">
        <v>1147</v>
      </c>
      <c r="J117" s="263" t="str">
        <f>IF(ISBLANK('Dry_Litterbag Placem_Collection'!J118),"","G"&amp;""&amp;'Dry_Litterbag Placem_Collection'!J118)</f>
        <v>G189</v>
      </c>
      <c r="K117" s="267">
        <f>IFERROR(INDEX('Green_rooibos initial weight'!$C$5:$C$1749,MATCH(J117, 'Green_rooibos initial weight'!$A$5:$A$1749,0)),"")</f>
        <v>2.0059999999999998</v>
      </c>
      <c r="L117" s="267">
        <f>IFERROR(K117-(TBIcalc!$Q$9+TBIcalc!$Q$10),"")</f>
        <v>1.7561999999999998</v>
      </c>
      <c r="M117" s="391">
        <f>AVERAGE(Ashed_controlls!$K$2:$K$11)</f>
        <v>5.5147656768714146</v>
      </c>
      <c r="N117" s="267">
        <f t="shared" si="6"/>
        <v>1.659349685182784</v>
      </c>
      <c r="O117" s="267">
        <f>IF(IFERROR(INDEX('Both teabags AfterDry'!$D$3:$D$900,MATCH(J117,'Both teabags AfterDry'!$A$3:$A$900,0)),"")="","",(IFERROR(INDEX('Both teabags AfterDry'!$D$3:$D$900,MATCH(J117,'Both teabags AfterDry'!$A$3:$A$900,0)),"")))</f>
        <v>0.76890000000000003</v>
      </c>
      <c r="P117" s="267">
        <f>IFERROR(IF(O117&gt;0,O117-(TBIcalc!$Q$9),""),"")</f>
        <v>0.61830000000000007</v>
      </c>
      <c r="Q117" s="278">
        <f>IFERROR(INDEX('Ashed teabags dry'!$K$2:$K$825,MATCH(J117,'Ashed teabags dry'!$A$2:$A$825,0)),"")</f>
        <v>20.116618075801487</v>
      </c>
      <c r="R117" s="278">
        <f t="shared" si="7"/>
        <v>0.49391895043731948</v>
      </c>
      <c r="S117" s="268">
        <f>'Dry_Litterbag Placem_Collection'!E118</f>
        <v>42939</v>
      </c>
      <c r="T117" s="268">
        <f>IF('Dry_Litterbag Placem_Collection'!G118="","",'Dry_Litterbag Placem_Collection'!G118)</f>
        <v>43008</v>
      </c>
      <c r="U117" s="269">
        <f t="shared" si="5"/>
        <v>69</v>
      </c>
      <c r="V117" s="267">
        <f t="shared" si="8"/>
        <v>1.1378999999999997</v>
      </c>
      <c r="W117" s="267">
        <f t="shared" si="9"/>
        <v>1.1654307347454647</v>
      </c>
      <c r="X117" s="271">
        <f>IFERROR(INDEX(Rainfall_Dry!$O$2:$O$217,MATCH(B117, Rainfall_Dry!$A$2:$A$217,0)),"")</f>
        <v>136.27214243</v>
      </c>
      <c r="Y117" s="260">
        <v>27.96</v>
      </c>
      <c r="Z117" s="260">
        <v>4.9200000000000017</v>
      </c>
      <c r="AA117" s="260">
        <v>67.12</v>
      </c>
      <c r="AB117" s="261" t="s">
        <v>2670</v>
      </c>
      <c r="AC117" s="260">
        <v>3.8861015278462299</v>
      </c>
      <c r="AD117">
        <f>IF('WetLitterbags placem_collection'!AB118="","",'WetLitterbags placem_collection'!AB118)</f>
        <v>22.5</v>
      </c>
      <c r="AE117">
        <f>IF('WetLitterbags placem_collection'!Z118="","",'WetLitterbags placem_collection'!Z118)</f>
        <v>76</v>
      </c>
      <c r="AF117" s="246" t="str">
        <f>IF('WetLitterbags placem_collection'!AA118="","",'WetLitterbags placem_collection'!AA118)</f>
        <v>G</v>
      </c>
      <c r="AG117">
        <f>IF('WetLitterbags placem_collection'!AC118="","",'WetLitterbags placem_collection'!AC118)</f>
        <v>1</v>
      </c>
      <c r="AH117">
        <f>IFERROR(AVERAGE('Dry_Litterbag Placem_Collection'!O118,'Dry_Litterbag Placem_Collection'!R118),"")</f>
        <v>8.65</v>
      </c>
      <c r="AI117" s="271">
        <f>IFERROR(AVERAGE('Dry_Litterbag Placem_Collection'!N118,'Dry_Litterbag Placem_Collection'!Q118),"")</f>
        <v>29.799999999999997</v>
      </c>
      <c r="AJ117" s="270">
        <f>INDEX(Coordinates!$B$2:$B$197,MATCH(G117,Coordinates!$J$2:$J$197,0))</f>
        <v>-2.3488120270000001</v>
      </c>
      <c r="AK117" s="270">
        <f>INDEX(Coordinates!$C$2:$C$197,MATCH(G117,Coordinates!$J$2:$J$197,0))</f>
        <v>34.05146697</v>
      </c>
      <c r="AL117" s="270" t="str">
        <f>IF(ISNUMBER(SEARCH("C", 'Dry_Litterbag Placem_Collection'!S118)),"YES","NO")</f>
        <v>NO</v>
      </c>
      <c r="AM117" s="270" t="str">
        <f>IF(ISNUMBER(SEARCH("H", 'Dry_Litterbag Placem_Collection'!S118)),"YES","NO")</f>
        <v>NO</v>
      </c>
      <c r="AN117" s="270" t="str">
        <f>IF(ISNUMBER(SEARCH("R", 'Dry_Litterbag Placem_Collection'!S118)),"YES","NO")</f>
        <v>YES</v>
      </c>
    </row>
    <row r="118" spans="1:40" ht="15" customHeight="1">
      <c r="A118" s="262" t="s">
        <v>2659</v>
      </c>
      <c r="B118" s="263">
        <f>'Dry_Litterbag Placem_Collection'!A119</f>
        <v>117</v>
      </c>
      <c r="C118" s="263" t="str">
        <f>'Dry_Litterbag Placem_Collection'!B119</f>
        <v xml:space="preserve">Mwantimba
</v>
      </c>
      <c r="D118" s="263" t="s">
        <v>2460</v>
      </c>
      <c r="E118" s="263" t="s">
        <v>2660</v>
      </c>
      <c r="F118" s="263">
        <v>3</v>
      </c>
      <c r="G118" s="264" t="str">
        <f>'Dry_Litterbag Placem_Collection'!C119</f>
        <v>Wet_Ag3_T5</v>
      </c>
      <c r="H118" s="265" t="s">
        <v>2541</v>
      </c>
      <c r="I118" s="266" t="s">
        <v>1147</v>
      </c>
      <c r="J118" s="263" t="str">
        <f>IF(ISBLANK('Dry_Litterbag Placem_Collection'!J119),"","G"&amp;""&amp;'Dry_Litterbag Placem_Collection'!J119)</f>
        <v>G533</v>
      </c>
      <c r="K118" s="267">
        <f>IFERROR(INDEX('Green_rooibos initial weight'!$C$5:$C$1749,MATCH(J118, 'Green_rooibos initial weight'!$A$5:$A$1749,0)),"")</f>
        <v>2.1070000000000002</v>
      </c>
      <c r="L118" s="267">
        <f>IFERROR(K118-(TBIcalc!$Q$9+TBIcalc!$Q$10),"")</f>
        <v>1.8572000000000002</v>
      </c>
      <c r="M118" s="391">
        <f>AVERAGE(Ashed_controlls!$K$2:$K$11)</f>
        <v>5.5147656768714146</v>
      </c>
      <c r="N118" s="267">
        <f t="shared" si="6"/>
        <v>1.7547797718491442</v>
      </c>
      <c r="O118" s="267" t="str">
        <f>IF(IFERROR(INDEX('Both teabags AfterDry'!$D$3:$D$900,MATCH(J118,'Both teabags AfterDry'!$A$3:$A$900,0)),"")="","",(IFERROR(INDEX('Both teabags AfterDry'!$D$3:$D$900,MATCH(J118,'Both teabags AfterDry'!$A$3:$A$900,0)),"")))</f>
        <v/>
      </c>
      <c r="P118" s="267" t="str">
        <f>IFERROR(IF(O118&gt;0,O118-(TBIcalc!$Q$9),""),"")</f>
        <v/>
      </c>
      <c r="Q118" s="278" t="str">
        <f>IFERROR(INDEX('Ashed teabags dry'!$K$2:$K$825,MATCH(J118,'Ashed teabags dry'!$A$2:$A$825,0)),"")</f>
        <v/>
      </c>
      <c r="R118" s="278" t="str">
        <f t="shared" si="7"/>
        <v/>
      </c>
      <c r="S118" s="268">
        <f>'Dry_Litterbag Placem_Collection'!E119</f>
        <v>42939</v>
      </c>
      <c r="T118" s="268">
        <f>IF('Dry_Litterbag Placem_Collection'!G119="","",'Dry_Litterbag Placem_Collection'!G119)</f>
        <v>43008</v>
      </c>
      <c r="U118" s="269">
        <f t="shared" si="5"/>
        <v>69</v>
      </c>
      <c r="V118" s="267" t="str">
        <f t="shared" si="8"/>
        <v/>
      </c>
      <c r="W118" s="267" t="str">
        <f t="shared" si="9"/>
        <v/>
      </c>
      <c r="X118" s="271">
        <f>IFERROR(INDEX(Rainfall_Dry!$O$2:$O$217,MATCH(B118, Rainfall_Dry!$A$2:$A$217,0)),"")</f>
        <v>136.27214243</v>
      </c>
      <c r="Y118" s="260">
        <v>27.96</v>
      </c>
      <c r="Z118" s="260">
        <v>4.9200000000000017</v>
      </c>
      <c r="AA118" s="260">
        <v>67.12</v>
      </c>
      <c r="AB118" s="261" t="s">
        <v>2670</v>
      </c>
      <c r="AC118" s="260">
        <v>4.8861015278462299</v>
      </c>
      <c r="AD118">
        <f>IF('WetLitterbags placem_collection'!AB119="","",'WetLitterbags placem_collection'!AB119)</f>
        <v>23.5</v>
      </c>
      <c r="AE118">
        <f>IF('WetLitterbags placem_collection'!Z119="","",'WetLitterbags placem_collection'!Z119)</f>
        <v>76</v>
      </c>
      <c r="AF118" s="246" t="str">
        <f>IF('WetLitterbags placem_collection'!AA119="","",'WetLitterbags placem_collection'!AA119)</f>
        <v>G</v>
      </c>
      <c r="AG118">
        <f>IF('WetLitterbags placem_collection'!AC119="","",'WetLitterbags placem_collection'!AC119)</f>
        <v>1</v>
      </c>
      <c r="AH118">
        <f>IFERROR(AVERAGE('Dry_Litterbag Placem_Collection'!O119,'Dry_Litterbag Placem_Collection'!R119),"")</f>
        <v>10.149999999999999</v>
      </c>
      <c r="AI118" s="271">
        <f>IFERROR(AVERAGE('Dry_Litterbag Placem_Collection'!N119,'Dry_Litterbag Placem_Collection'!Q119),"")</f>
        <v>29.05</v>
      </c>
      <c r="AJ118" s="270">
        <f>INDEX(Coordinates!$B$2:$B$197,MATCH(G118,Coordinates!$J$2:$J$197,0))</f>
        <v>-2.348814961</v>
      </c>
      <c r="AK118" s="270">
        <f>INDEX(Coordinates!$C$2:$C$197,MATCH(G118,Coordinates!$J$2:$J$197,0))</f>
        <v>34.051439979999998</v>
      </c>
      <c r="AL118" s="270" t="str">
        <f>IF(ISNUMBER(SEARCH("C", 'Dry_Litterbag Placem_Collection'!S119)),"YES","NO")</f>
        <v>NO</v>
      </c>
      <c r="AM118" s="270" t="str">
        <f>IF(ISNUMBER(SEARCH("H", 'Dry_Litterbag Placem_Collection'!S119)),"YES","NO")</f>
        <v>NO</v>
      </c>
      <c r="AN118" s="270" t="str">
        <f>IF(ISNUMBER(SEARCH("R", 'Dry_Litterbag Placem_Collection'!S119)),"YES","NO")</f>
        <v>YES</v>
      </c>
    </row>
    <row r="119" spans="1:40" ht="15" customHeight="1">
      <c r="A119" s="262" t="s">
        <v>2659</v>
      </c>
      <c r="B119" s="263">
        <f>'Dry_Litterbag Placem_Collection'!A120</f>
        <v>118</v>
      </c>
      <c r="C119" s="263" t="str">
        <f>'Dry_Litterbag Placem_Collection'!B120</f>
        <v xml:space="preserve">Mwantimba
</v>
      </c>
      <c r="D119" s="263" t="s">
        <v>2460</v>
      </c>
      <c r="E119" s="263" t="s">
        <v>2660</v>
      </c>
      <c r="F119" s="263">
        <v>3</v>
      </c>
      <c r="G119" s="264" t="str">
        <f>'Dry_Litterbag Placem_Collection'!C120</f>
        <v>Wet_Ag3_T6</v>
      </c>
      <c r="H119" s="265" t="s">
        <v>2541</v>
      </c>
      <c r="I119" s="266" t="s">
        <v>1147</v>
      </c>
      <c r="J119" s="263" t="str">
        <f>IF(ISBLANK('Dry_Litterbag Placem_Collection'!J120),"","G"&amp;""&amp;'Dry_Litterbag Placem_Collection'!J120)</f>
        <v>G200</v>
      </c>
      <c r="K119" s="267">
        <f>IFERROR(INDEX('Green_rooibos initial weight'!$C$5:$C$1749,MATCH(J119, 'Green_rooibos initial weight'!$A$5:$A$1749,0)),"")</f>
        <v>2.0150000000000001</v>
      </c>
      <c r="L119" s="267">
        <f>IFERROR(K119-(TBIcalc!$Q$9+TBIcalc!$Q$10),"")</f>
        <v>1.7652000000000001</v>
      </c>
      <c r="M119" s="391">
        <f>AVERAGE(Ashed_controlls!$K$2:$K$11)</f>
        <v>5.5147656768714146</v>
      </c>
      <c r="N119" s="267">
        <f t="shared" si="6"/>
        <v>1.6678533562718658</v>
      </c>
      <c r="O119" s="267">
        <f>IF(IFERROR(INDEX('Both teabags AfterDry'!$D$3:$D$900,MATCH(J119,'Both teabags AfterDry'!$A$3:$A$900,0)),"")="","",(IFERROR(INDEX('Both teabags AfterDry'!$D$3:$D$900,MATCH(J119,'Both teabags AfterDry'!$A$3:$A$900,0)),"")))</f>
        <v>0.71760000000000002</v>
      </c>
      <c r="P119" s="267">
        <f>IFERROR(IF(O119&gt;0,O119-(TBIcalc!$Q$9),""),"")</f>
        <v>0.56699999999999995</v>
      </c>
      <c r="Q119" s="278">
        <f>IFERROR(INDEX('Ashed teabags dry'!$K$2:$K$825,MATCH(J119,'Ashed teabags dry'!$A$2:$A$825,0)),"")</f>
        <v>18.547215496368619</v>
      </c>
      <c r="R119" s="278">
        <f t="shared" si="7"/>
        <v>0.46183728813558989</v>
      </c>
      <c r="S119" s="268">
        <f>'Dry_Litterbag Placem_Collection'!E120</f>
        <v>42939</v>
      </c>
      <c r="T119" s="268">
        <f>IF('Dry_Litterbag Placem_Collection'!G120="","",'Dry_Litterbag Placem_Collection'!G120)</f>
        <v>43008</v>
      </c>
      <c r="U119" s="269">
        <f t="shared" si="5"/>
        <v>69</v>
      </c>
      <c r="V119" s="267">
        <f t="shared" si="8"/>
        <v>1.1982000000000002</v>
      </c>
      <c r="W119" s="267">
        <f t="shared" si="9"/>
        <v>1.2060160681362759</v>
      </c>
      <c r="X119" s="271">
        <f>IFERROR(INDEX(Rainfall_Dry!$O$2:$O$217,MATCH(B119, Rainfall_Dry!$A$2:$A$217,0)),"")</f>
        <v>136.27214243</v>
      </c>
      <c r="Y119" s="260">
        <v>27.96</v>
      </c>
      <c r="Z119" s="260">
        <v>4.9200000000000017</v>
      </c>
      <c r="AA119" s="260">
        <v>67.12</v>
      </c>
      <c r="AB119" s="261" t="s">
        <v>2670</v>
      </c>
      <c r="AC119" s="260">
        <v>5.8861015278462299</v>
      </c>
      <c r="AD119">
        <f>IF('WetLitterbags placem_collection'!AB120="","",'WetLitterbags placem_collection'!AB120)</f>
        <v>17.5</v>
      </c>
      <c r="AE119">
        <f>IF('WetLitterbags placem_collection'!Z120="","",'WetLitterbags placem_collection'!Z120)</f>
        <v>70.5</v>
      </c>
      <c r="AF119" s="246" t="str">
        <f>IF('WetLitterbags placem_collection'!AA120="","",'WetLitterbags placem_collection'!AA120)</f>
        <v>G</v>
      </c>
      <c r="AG119">
        <f>IF('WetLitterbags placem_collection'!AC120="","",'WetLitterbags placem_collection'!AC120)</f>
        <v>1</v>
      </c>
      <c r="AH119">
        <f>IFERROR(AVERAGE('Dry_Litterbag Placem_Collection'!O120,'Dry_Litterbag Placem_Collection'!R120),"")</f>
        <v>7.8000000000000007</v>
      </c>
      <c r="AI119" s="271">
        <f>IFERROR(AVERAGE('Dry_Litterbag Placem_Collection'!N120,'Dry_Litterbag Placem_Collection'!Q120),"")</f>
        <v>28.25</v>
      </c>
      <c r="AJ119" s="270">
        <f>INDEX(Coordinates!$B$2:$B$197,MATCH(G119,Coordinates!$J$2:$J$197,0))</f>
        <v>-2.3488729629999998</v>
      </c>
      <c r="AK119" s="270">
        <f>INDEX(Coordinates!$C$2:$C$197,MATCH(G119,Coordinates!$J$2:$J$197,0))</f>
        <v>34.051454980000003</v>
      </c>
      <c r="AL119" s="270" t="str">
        <f>IF(ISNUMBER(SEARCH("C", 'Dry_Litterbag Placem_Collection'!S120)),"YES","NO")</f>
        <v>NO</v>
      </c>
      <c r="AM119" s="270" t="str">
        <f>IF(ISNUMBER(SEARCH("H", 'Dry_Litterbag Placem_Collection'!S120)),"YES","NO")</f>
        <v>YES</v>
      </c>
      <c r="AN119" s="270" t="str">
        <f>IF(ISNUMBER(SEARCH("R", 'Dry_Litterbag Placem_Collection'!S120)),"YES","NO")</f>
        <v>YES</v>
      </c>
    </row>
    <row r="120" spans="1:40" ht="15" customHeight="1">
      <c r="A120" s="262" t="s">
        <v>2659</v>
      </c>
      <c r="B120" s="263">
        <f>'Dry_Litterbag Placem_Collection'!A121</f>
        <v>119</v>
      </c>
      <c r="C120" s="263" t="str">
        <f>'Dry_Litterbag Placem_Collection'!B121</f>
        <v xml:space="preserve">Mwantimba
</v>
      </c>
      <c r="D120" s="263" t="s">
        <v>2460</v>
      </c>
      <c r="E120" s="263" t="s">
        <v>2660</v>
      </c>
      <c r="F120" s="263">
        <v>3</v>
      </c>
      <c r="G120" s="264" t="str">
        <f>'Dry_Litterbag Placem_Collection'!C121</f>
        <v>Wet_Ag3_T7</v>
      </c>
      <c r="H120" s="265" t="s">
        <v>2541</v>
      </c>
      <c r="I120" s="266" t="s">
        <v>1147</v>
      </c>
      <c r="J120" s="263" t="str">
        <f>IF(ISBLANK('Dry_Litterbag Placem_Collection'!J121),"","G"&amp;""&amp;'Dry_Litterbag Placem_Collection'!J121)</f>
        <v>G236</v>
      </c>
      <c r="K120" s="267">
        <f>IFERROR(INDEX('Green_rooibos initial weight'!$C$5:$C$1749,MATCH(J120, 'Green_rooibos initial weight'!$A$5:$A$1749,0)),"")</f>
        <v>2.0529999999999999</v>
      </c>
      <c r="L120" s="267">
        <f>IFERROR(K120-(TBIcalc!$Q$9+TBIcalc!$Q$10),"")</f>
        <v>1.8031999999999999</v>
      </c>
      <c r="M120" s="391">
        <f>AVERAGE(Ashed_controlls!$K$2:$K$11)</f>
        <v>5.5147656768714146</v>
      </c>
      <c r="N120" s="267">
        <f t="shared" si="6"/>
        <v>1.7037577453146546</v>
      </c>
      <c r="O120" s="267">
        <f>IF(IFERROR(INDEX('Both teabags AfterDry'!$D$3:$D$900,MATCH(J120,'Both teabags AfterDry'!$A$3:$A$900,0)),"")="","",(IFERROR(INDEX('Both teabags AfterDry'!$D$3:$D$900,MATCH(J120,'Both teabags AfterDry'!$A$3:$A$900,0)),"")))</f>
        <v>0.81489999999999996</v>
      </c>
      <c r="P120" s="267">
        <f>IFERROR(IF(O120&gt;0,O120-(TBIcalc!$Q$9),""),"")</f>
        <v>0.66429999999999989</v>
      </c>
      <c r="Q120" s="278">
        <f>IFERROR(INDEX('Ashed teabags dry'!$K$2:$K$825,MATCH(J120,'Ashed teabags dry'!$A$2:$A$825,0)),"")</f>
        <v>19.0062711046786</v>
      </c>
      <c r="R120" s="278">
        <f t="shared" si="7"/>
        <v>0.53804134105162005</v>
      </c>
      <c r="S120" s="268">
        <f>'Dry_Litterbag Placem_Collection'!E121</f>
        <v>42939</v>
      </c>
      <c r="T120" s="268">
        <f>IF('Dry_Litterbag Placem_Collection'!G121="","",'Dry_Litterbag Placem_Collection'!G121)</f>
        <v>43008</v>
      </c>
      <c r="U120" s="269">
        <f t="shared" si="5"/>
        <v>69</v>
      </c>
      <c r="V120" s="267">
        <f t="shared" si="8"/>
        <v>1.1389</v>
      </c>
      <c r="W120" s="267">
        <f t="shared" si="9"/>
        <v>1.1657164042630346</v>
      </c>
      <c r="X120" s="271">
        <f>IFERROR(INDEX(Rainfall_Dry!$O$2:$O$217,MATCH(B120, Rainfall_Dry!$A$2:$A$217,0)),"")</f>
        <v>136.27214243</v>
      </c>
      <c r="Y120" s="260">
        <v>27.96</v>
      </c>
      <c r="Z120" s="260">
        <v>4.9200000000000017</v>
      </c>
      <c r="AA120" s="260">
        <v>67.12</v>
      </c>
      <c r="AB120" s="261" t="s">
        <v>2670</v>
      </c>
      <c r="AC120" s="260">
        <v>6.8861015278462299</v>
      </c>
      <c r="AD120">
        <f>IF('WetLitterbags placem_collection'!AB121="","",'WetLitterbags placem_collection'!AB121)</f>
        <v>18.5</v>
      </c>
      <c r="AE120">
        <f>IF('WetLitterbags placem_collection'!Z121="","",'WetLitterbags placem_collection'!Z121)</f>
        <v>74.5</v>
      </c>
      <c r="AF120" s="246" t="str">
        <f>IF('WetLitterbags placem_collection'!AA121="","",'WetLitterbags placem_collection'!AA121)</f>
        <v>G</v>
      </c>
      <c r="AG120">
        <f>IF('WetLitterbags placem_collection'!AC121="","",'WetLitterbags placem_collection'!AC121)</f>
        <v>1</v>
      </c>
      <c r="AH120">
        <f>IFERROR(AVERAGE('Dry_Litterbag Placem_Collection'!O121,'Dry_Litterbag Placem_Collection'!R121),"")</f>
        <v>10.050000000000001</v>
      </c>
      <c r="AI120" s="271">
        <f>IFERROR(AVERAGE('Dry_Litterbag Placem_Collection'!N121,'Dry_Litterbag Placem_Collection'!Q121),"")</f>
        <v>27.95</v>
      </c>
      <c r="AJ120" s="270">
        <f>INDEX(Coordinates!$B$2:$B$197,MATCH(G120,Coordinates!$J$2:$J$197,0))</f>
        <v>-2.3488589659999999</v>
      </c>
      <c r="AK120" s="270">
        <f>INDEX(Coordinates!$C$2:$C$197,MATCH(G120,Coordinates!$J$2:$J$197,0))</f>
        <v>34.051389010000001</v>
      </c>
      <c r="AL120" s="270" t="str">
        <f>IF(ISNUMBER(SEARCH("C", 'Dry_Litterbag Placem_Collection'!S121)),"YES","NO")</f>
        <v>NO</v>
      </c>
      <c r="AM120" s="270" t="str">
        <f>IF(ISNUMBER(SEARCH("H", 'Dry_Litterbag Placem_Collection'!S121)),"YES","NO")</f>
        <v>YES</v>
      </c>
      <c r="AN120" s="270" t="str">
        <f>IF(ISNUMBER(SEARCH("R", 'Dry_Litterbag Placem_Collection'!S121)),"YES","NO")</f>
        <v>NO</v>
      </c>
    </row>
    <row r="121" spans="1:40" ht="15" customHeight="1">
      <c r="A121" s="262" t="s">
        <v>2659</v>
      </c>
      <c r="B121" s="263">
        <f>'Dry_Litterbag Placem_Collection'!A122</f>
        <v>120</v>
      </c>
      <c r="C121" s="263" t="str">
        <f>'Dry_Litterbag Placem_Collection'!B122</f>
        <v xml:space="preserve">Mwantimba
</v>
      </c>
      <c r="D121" s="263" t="s">
        <v>2460</v>
      </c>
      <c r="E121" s="263" t="s">
        <v>2660</v>
      </c>
      <c r="F121" s="263">
        <v>3</v>
      </c>
      <c r="G121" s="264" t="str">
        <f>'Dry_Litterbag Placem_Collection'!C122</f>
        <v>Wet_Ag3_T8</v>
      </c>
      <c r="H121" s="265" t="s">
        <v>2541</v>
      </c>
      <c r="I121" s="266" t="s">
        <v>1147</v>
      </c>
      <c r="J121" s="263" t="str">
        <f>IF(ISBLANK('Dry_Litterbag Placem_Collection'!J122),"","G"&amp;""&amp;'Dry_Litterbag Placem_Collection'!J122)</f>
        <v/>
      </c>
      <c r="K121" s="267" t="str">
        <f>IFERROR(INDEX('Green_rooibos initial weight'!$C$5:$C$1749,MATCH(J121, 'Green_rooibos initial weight'!$A$5:$A$1749,0)),"")</f>
        <v/>
      </c>
      <c r="L121" s="267" t="str">
        <f>IFERROR(K121-(TBIcalc!$Q$9+TBIcalc!$Q$10),"")</f>
        <v/>
      </c>
      <c r="M121" s="391">
        <f>AVERAGE(Ashed_controlls!$K$2:$K$11)</f>
        <v>5.5147656768714146</v>
      </c>
      <c r="N121" s="267" t="str">
        <f t="shared" si="6"/>
        <v/>
      </c>
      <c r="O121" s="267" t="str">
        <f>IF(IFERROR(INDEX('Both teabags AfterDry'!$D$3:$D$900,MATCH(J121,'Both teabags AfterDry'!$A$3:$A$900,0)),"")="","",(IFERROR(INDEX('Both teabags AfterDry'!$D$3:$D$900,MATCH(J121,'Both teabags AfterDry'!$A$3:$A$900,0)),"")))</f>
        <v/>
      </c>
      <c r="P121" s="267" t="str">
        <f>IFERROR(IF(O121&gt;0,O121-(TBIcalc!$Q$9),""),"")</f>
        <v/>
      </c>
      <c r="Q121" s="278" t="str">
        <f>IFERROR(INDEX('Ashed teabags dry'!$K$2:$K$825,MATCH(J121,'Ashed teabags dry'!$A$2:$A$825,0)),"")</f>
        <v/>
      </c>
      <c r="R121" s="278" t="str">
        <f t="shared" si="7"/>
        <v/>
      </c>
      <c r="S121" s="268">
        <f>'Dry_Litterbag Placem_Collection'!E122</f>
        <v>0</v>
      </c>
      <c r="T121" s="268" t="str">
        <f>IF('Dry_Litterbag Placem_Collection'!G122="","",'Dry_Litterbag Placem_Collection'!G122)</f>
        <v/>
      </c>
      <c r="U121" s="269" t="str">
        <f t="shared" si="5"/>
        <v/>
      </c>
      <c r="V121" s="267" t="str">
        <f t="shared" si="8"/>
        <v/>
      </c>
      <c r="W121" s="267" t="str">
        <f t="shared" si="9"/>
        <v/>
      </c>
      <c r="X121" s="271" t="str">
        <f>IFERROR(INDEX(Rainfall_Dry!$O$2:$O$217,MATCH(B121, Rainfall_Dry!$A$2:$A$217,0)),"")</f>
        <v/>
      </c>
      <c r="Y121" s="260">
        <v>27.96</v>
      </c>
      <c r="Z121" s="260">
        <v>4.9200000000000017</v>
      </c>
      <c r="AA121" s="260">
        <v>67.12</v>
      </c>
      <c r="AB121" s="261" t="s">
        <v>2670</v>
      </c>
      <c r="AC121" s="260">
        <v>7.8861015278462299</v>
      </c>
      <c r="AD121">
        <f>IF('WetLitterbags placem_collection'!AB122="","",'WetLitterbags placem_collection'!AB122)</f>
        <v>19</v>
      </c>
      <c r="AE121">
        <f>IF('WetLitterbags placem_collection'!Z122="","",'WetLitterbags placem_collection'!Z122)</f>
        <v>98.5</v>
      </c>
      <c r="AF121" s="246" t="str">
        <f>IF('WetLitterbags placem_collection'!AA122="","",'WetLitterbags placem_collection'!AA122)</f>
        <v>G</v>
      </c>
      <c r="AG121">
        <f>IF('WetLitterbags placem_collection'!AC122="","",'WetLitterbags placem_collection'!AC122)</f>
        <v>0</v>
      </c>
      <c r="AH121" t="str">
        <f>IFERROR(AVERAGE('Dry_Litterbag Placem_Collection'!O122,'Dry_Litterbag Placem_Collection'!R122),"")</f>
        <v/>
      </c>
      <c r="AI121" s="271" t="str">
        <f>IFERROR(AVERAGE('Dry_Litterbag Placem_Collection'!N122,'Dry_Litterbag Placem_Collection'!Q122),"")</f>
        <v/>
      </c>
      <c r="AJ121" s="270">
        <f>INDEX(Coordinates!$B$2:$B$197,MATCH(G121,Coordinates!$J$2:$J$197,0))</f>
        <v>-2.3486449760000001</v>
      </c>
      <c r="AK121" s="270">
        <f>INDEX(Coordinates!$C$2:$C$197,MATCH(G121,Coordinates!$J$2:$J$197,0))</f>
        <v>34.051495969999998</v>
      </c>
      <c r="AL121" s="270" t="str">
        <f>IF(ISNUMBER(SEARCH("C", 'Dry_Litterbag Placem_Collection'!S122)),"YES","NO")</f>
        <v>NO</v>
      </c>
      <c r="AM121" s="270" t="str">
        <f>IF(ISNUMBER(SEARCH("H", 'Dry_Litterbag Placem_Collection'!S122)),"YES","NO")</f>
        <v>NO</v>
      </c>
      <c r="AN121" s="270" t="str">
        <f>IF(ISNUMBER(SEARCH("R", 'Dry_Litterbag Placem_Collection'!S122)),"YES","NO")</f>
        <v>NO</v>
      </c>
    </row>
    <row r="122" spans="1:40" ht="15" customHeight="1">
      <c r="A122" s="262" t="s">
        <v>2659</v>
      </c>
      <c r="B122" s="263">
        <f>'Dry_Litterbag Placem_Collection'!A123</f>
        <v>121</v>
      </c>
      <c r="C122" s="263" t="str">
        <f>'Dry_Litterbag Placem_Collection'!B123</f>
        <v xml:space="preserve">Mwantimba
</v>
      </c>
      <c r="D122" s="263" t="s">
        <v>2460</v>
      </c>
      <c r="E122" s="263" t="s">
        <v>2660</v>
      </c>
      <c r="F122" s="263">
        <v>4</v>
      </c>
      <c r="G122" s="264" t="str">
        <f>'Dry_Litterbag Placem_Collection'!C123</f>
        <v>Wet_Ag4_T1</v>
      </c>
      <c r="H122" s="265" t="s">
        <v>2541</v>
      </c>
      <c r="I122" s="266" t="s">
        <v>1147</v>
      </c>
      <c r="J122" s="263" t="str">
        <f>IF(ISBLANK('Dry_Litterbag Placem_Collection'!J123),"","G"&amp;""&amp;'Dry_Litterbag Placem_Collection'!J123)</f>
        <v>G280</v>
      </c>
      <c r="K122" s="267">
        <f>IFERROR(INDEX('Green_rooibos initial weight'!$C$5:$C$1749,MATCH(J122, 'Green_rooibos initial weight'!$A$5:$A$1749,0)),"")</f>
        <v>1.9450000000000001</v>
      </c>
      <c r="L122" s="267">
        <f>IFERROR(K122-(TBIcalc!$Q$9+TBIcalc!$Q$10),"")</f>
        <v>1.6952</v>
      </c>
      <c r="M122" s="391">
        <f>AVERAGE(Ashed_controlls!$K$2:$K$11)</f>
        <v>5.5147656768714146</v>
      </c>
      <c r="N122" s="267">
        <f t="shared" si="6"/>
        <v>1.6017136922456758</v>
      </c>
      <c r="O122" s="267" t="str">
        <f>IF(IFERROR(INDEX('Both teabags AfterDry'!$D$3:$D$900,MATCH(J122,'Both teabags AfterDry'!$A$3:$A$900,0)),"")="","",(IFERROR(INDEX('Both teabags AfterDry'!$D$3:$D$900,MATCH(J122,'Both teabags AfterDry'!$A$3:$A$900,0)),"")))</f>
        <v/>
      </c>
      <c r="P122" s="267" t="str">
        <f>IFERROR(IF(O122&gt;0,O122-(TBIcalc!$Q$9),""),"")</f>
        <v/>
      </c>
      <c r="Q122" s="278" t="str">
        <f>IFERROR(INDEX('Ashed teabags dry'!$K$2:$K$825,MATCH(J122,'Ashed teabags dry'!$A$2:$A$825,0)),"")</f>
        <v/>
      </c>
      <c r="R122" s="278" t="str">
        <f t="shared" si="7"/>
        <v/>
      </c>
      <c r="S122" s="268">
        <f>'Dry_Litterbag Placem_Collection'!E123</f>
        <v>42939</v>
      </c>
      <c r="T122" s="268">
        <f>IF('Dry_Litterbag Placem_Collection'!G123="","",'Dry_Litterbag Placem_Collection'!G123)</f>
        <v>43008</v>
      </c>
      <c r="U122" s="269">
        <f t="shared" si="5"/>
        <v>69</v>
      </c>
      <c r="V122" s="267" t="str">
        <f t="shared" si="8"/>
        <v/>
      </c>
      <c r="W122" s="267" t="str">
        <f t="shared" si="9"/>
        <v/>
      </c>
      <c r="X122" s="271">
        <f>IFERROR(INDEX(Rainfall_Dry!$O$2:$O$217,MATCH(B122, Rainfall_Dry!$A$2:$A$217,0)),"")</f>
        <v>136.27214243</v>
      </c>
      <c r="Y122" s="260">
        <v>17.96</v>
      </c>
      <c r="Z122" s="260">
        <v>4.9199999999999982</v>
      </c>
      <c r="AA122" s="260">
        <v>77.12</v>
      </c>
      <c r="AB122" s="261" t="s">
        <v>2671</v>
      </c>
      <c r="AC122" s="260">
        <v>2.0220798422868409</v>
      </c>
      <c r="AD122">
        <f>IF('WetLitterbags placem_collection'!AB123="","",'WetLitterbags placem_collection'!AB123)</f>
        <v>9.65</v>
      </c>
      <c r="AE122">
        <f>IF('WetLitterbags placem_collection'!Z123="","",'WetLitterbags placem_collection'!Z123)</f>
        <v>63</v>
      </c>
      <c r="AF122" s="246" t="str">
        <f>IF('WetLitterbags placem_collection'!AA123="","",'WetLitterbags placem_collection'!AA123)</f>
        <v>G</v>
      </c>
      <c r="AG122">
        <f>IF('WetLitterbags placem_collection'!AC123="","",'WetLitterbags placem_collection'!AC123)</f>
        <v>0</v>
      </c>
      <c r="AH122">
        <f>IFERROR(AVERAGE('Dry_Litterbag Placem_Collection'!O123,'Dry_Litterbag Placem_Collection'!R123),"")</f>
        <v>5.5</v>
      </c>
      <c r="AI122" s="271">
        <f>IFERROR(AVERAGE('Dry_Litterbag Placem_Collection'!N123,'Dry_Litterbag Placem_Collection'!Q123),"")</f>
        <v>29.1</v>
      </c>
      <c r="AJ122" s="270">
        <f>INDEX(Coordinates!$B$2:$B$197,MATCH(G122,Coordinates!$J$2:$J$197,0))</f>
        <v>-2.3492639789999998</v>
      </c>
      <c r="AK122" s="270">
        <f>INDEX(Coordinates!$C$2:$C$197,MATCH(G122,Coordinates!$J$2:$J$197,0))</f>
        <v>34.051464029999998</v>
      </c>
      <c r="AL122" s="270" t="str">
        <f>IF(ISNUMBER(SEARCH("C", 'Dry_Litterbag Placem_Collection'!S123)),"YES","NO")</f>
        <v>NO</v>
      </c>
      <c r="AM122" s="270" t="str">
        <f>IF(ISNUMBER(SEARCH("H", 'Dry_Litterbag Placem_Collection'!S123)),"YES","NO")</f>
        <v>NO</v>
      </c>
      <c r="AN122" s="270" t="str">
        <f>IF(ISNUMBER(SEARCH("R", 'Dry_Litterbag Placem_Collection'!S123)),"YES","NO")</f>
        <v>NO</v>
      </c>
    </row>
    <row r="123" spans="1:40" ht="15" customHeight="1">
      <c r="A123" s="262" t="s">
        <v>2659</v>
      </c>
      <c r="B123" s="263">
        <f>'Dry_Litterbag Placem_Collection'!A124</f>
        <v>122</v>
      </c>
      <c r="C123" s="263" t="str">
        <f>'Dry_Litterbag Placem_Collection'!B124</f>
        <v xml:space="preserve">Mwantimba
</v>
      </c>
      <c r="D123" s="263" t="s">
        <v>2460</v>
      </c>
      <c r="E123" s="263" t="s">
        <v>2660</v>
      </c>
      <c r="F123" s="263">
        <v>4</v>
      </c>
      <c r="G123" s="264" t="str">
        <f>'Dry_Litterbag Placem_Collection'!C124</f>
        <v>Wet_Ag4_T2</v>
      </c>
      <c r="H123" s="265" t="s">
        <v>2541</v>
      </c>
      <c r="I123" s="266" t="s">
        <v>1147</v>
      </c>
      <c r="J123" s="263" t="str">
        <f>IF(ISBLANK('Dry_Litterbag Placem_Collection'!J124),"","G"&amp;""&amp;'Dry_Litterbag Placem_Collection'!J124)</f>
        <v>G231</v>
      </c>
      <c r="K123" s="267">
        <f>IFERROR(INDEX('Green_rooibos initial weight'!$C$5:$C$1749,MATCH(J123, 'Green_rooibos initial weight'!$A$5:$A$1749,0)),"")</f>
        <v>2.085</v>
      </c>
      <c r="L123" s="267">
        <f>IFERROR(K123-(TBIcalc!$Q$9+TBIcalc!$Q$10),"")</f>
        <v>1.8351999999999999</v>
      </c>
      <c r="M123" s="391">
        <f>AVERAGE(Ashed_controlls!$K$2:$K$11)</f>
        <v>5.5147656768714146</v>
      </c>
      <c r="N123" s="267">
        <f t="shared" si="6"/>
        <v>1.7339930202980558</v>
      </c>
      <c r="O123" s="267">
        <f>IF(IFERROR(INDEX('Both teabags AfterDry'!$D$3:$D$900,MATCH(J123,'Both teabags AfterDry'!$A$3:$A$900,0)),"")="","",(IFERROR(INDEX('Both teabags AfterDry'!$D$3:$D$900,MATCH(J123,'Both teabags AfterDry'!$A$3:$A$900,0)),"")))</f>
        <v>1.8747</v>
      </c>
      <c r="P123" s="267">
        <f>IFERROR(IF(O123&gt;0,O123-(TBIcalc!$Q$9),""),"")</f>
        <v>1.7241</v>
      </c>
      <c r="Q123" s="278">
        <f>IFERROR(INDEX('Ashed teabags dry'!$K$2:$K$825,MATCH(J123,'Ashed teabags dry'!$A$2:$A$825,0)),"")</f>
        <v>27.063339731285495</v>
      </c>
      <c r="R123" s="278">
        <f t="shared" si="7"/>
        <v>1.2575009596929068</v>
      </c>
      <c r="S123" s="268">
        <f>'Dry_Litterbag Placem_Collection'!E124</f>
        <v>42939</v>
      </c>
      <c r="T123" s="268">
        <f>IF('Dry_Litterbag Placem_Collection'!G124="","",'Dry_Litterbag Placem_Collection'!G124)</f>
        <v>43008</v>
      </c>
      <c r="U123" s="269">
        <f t="shared" si="5"/>
        <v>69</v>
      </c>
      <c r="V123" s="267">
        <f t="shared" si="8"/>
        <v>0.11109999999999998</v>
      </c>
      <c r="W123" s="267">
        <f t="shared" si="9"/>
        <v>0.47649206060514904</v>
      </c>
      <c r="X123" s="271">
        <f>IFERROR(INDEX(Rainfall_Dry!$O$2:$O$217,MATCH(B123, Rainfall_Dry!$A$2:$A$217,0)),"")</f>
        <v>136.27214243</v>
      </c>
      <c r="Y123" s="260">
        <v>17.96</v>
      </c>
      <c r="Z123" s="260">
        <v>4.9199999999999982</v>
      </c>
      <c r="AA123" s="260">
        <v>77.12</v>
      </c>
      <c r="AB123" s="261" t="s">
        <v>2671</v>
      </c>
      <c r="AC123" s="260">
        <v>3.02207984228684</v>
      </c>
      <c r="AD123">
        <f>IF('WetLitterbags placem_collection'!AB124="","",'WetLitterbags placem_collection'!AB124)</f>
        <v>3.1</v>
      </c>
      <c r="AE123">
        <f>IF('WetLitterbags placem_collection'!Z124="","",'WetLitterbags placem_collection'!Z124)</f>
        <v>53</v>
      </c>
      <c r="AF123" s="246" t="str">
        <f>IF('WetLitterbags placem_collection'!AA124="","",'WetLitterbags placem_collection'!AA124)</f>
        <v>G</v>
      </c>
      <c r="AG123">
        <f>IF('WetLitterbags placem_collection'!AC124="","",'WetLitterbags placem_collection'!AC124)</f>
        <v>0</v>
      </c>
      <c r="AH123">
        <f>IFERROR(AVERAGE('Dry_Litterbag Placem_Collection'!O124,'Dry_Litterbag Placem_Collection'!R124),"")</f>
        <v>9.0500000000000007</v>
      </c>
      <c r="AI123" s="271">
        <f>IFERROR(AVERAGE('Dry_Litterbag Placem_Collection'!N124,'Dry_Litterbag Placem_Collection'!Q124),"")</f>
        <v>28.55</v>
      </c>
      <c r="AJ123" s="270">
        <f>INDEX(Coordinates!$B$2:$B$197,MATCH(G123,Coordinates!$J$2:$J$197,0))</f>
        <v>-2.34923196</v>
      </c>
      <c r="AK123" s="270">
        <f>INDEX(Coordinates!$C$2:$C$197,MATCH(G123,Coordinates!$J$2:$J$197,0))</f>
        <v>34.051422039999999</v>
      </c>
      <c r="AL123" s="270" t="str">
        <f>IF(ISNUMBER(SEARCH("C", 'Dry_Litterbag Placem_Collection'!S124)),"YES","NO")</f>
        <v>NO</v>
      </c>
      <c r="AM123" s="270" t="str">
        <f>IF(ISNUMBER(SEARCH("H", 'Dry_Litterbag Placem_Collection'!S124)),"YES","NO")</f>
        <v>YES</v>
      </c>
      <c r="AN123" s="270" t="str">
        <f>IF(ISNUMBER(SEARCH("R", 'Dry_Litterbag Placem_Collection'!S124)),"YES","NO")</f>
        <v>NO</v>
      </c>
    </row>
    <row r="124" spans="1:40" ht="15" customHeight="1">
      <c r="A124" s="262" t="s">
        <v>2659</v>
      </c>
      <c r="B124" s="263">
        <f>'Dry_Litterbag Placem_Collection'!A125</f>
        <v>123</v>
      </c>
      <c r="C124" s="263" t="str">
        <f>'Dry_Litterbag Placem_Collection'!B125</f>
        <v xml:space="preserve">Mwantimba
</v>
      </c>
      <c r="D124" s="263" t="s">
        <v>2460</v>
      </c>
      <c r="E124" s="263" t="s">
        <v>2660</v>
      </c>
      <c r="F124" s="263">
        <v>4</v>
      </c>
      <c r="G124" s="264" t="str">
        <f>'Dry_Litterbag Placem_Collection'!C125</f>
        <v>Wet_Ag4_T3</v>
      </c>
      <c r="H124" s="265" t="s">
        <v>2541</v>
      </c>
      <c r="I124" s="266" t="s">
        <v>1147</v>
      </c>
      <c r="J124" s="263" t="str">
        <f>IF(ISBLANK('Dry_Litterbag Placem_Collection'!J125),"","G"&amp;""&amp;'Dry_Litterbag Placem_Collection'!J125)</f>
        <v>G292</v>
      </c>
      <c r="K124" s="267">
        <f>IFERROR(INDEX('Green_rooibos initial weight'!$C$5:$C$1749,MATCH(J124, 'Green_rooibos initial weight'!$A$5:$A$1749,0)),"")</f>
        <v>2.0289999999999999</v>
      </c>
      <c r="L124" s="267">
        <f>IFERROR(K124-(TBIcalc!$Q$9+TBIcalc!$Q$10),"")</f>
        <v>1.7791999999999999</v>
      </c>
      <c r="M124" s="391">
        <f>AVERAGE(Ashed_controlls!$K$2:$K$11)</f>
        <v>5.5147656768714146</v>
      </c>
      <c r="N124" s="267">
        <f t="shared" si="6"/>
        <v>1.6810812890771036</v>
      </c>
      <c r="O124" s="267">
        <f>IF(IFERROR(INDEX('Both teabags AfterDry'!$D$3:$D$900,MATCH(J124,'Both teabags AfterDry'!$A$3:$A$900,0)),"")="","",(IFERROR(INDEX('Both teabags AfterDry'!$D$3:$D$900,MATCH(J124,'Both teabags AfterDry'!$A$3:$A$900,0)),"")))</f>
        <v>0.88980000000000004</v>
      </c>
      <c r="P124" s="267">
        <f>IFERROR(IF(O124&gt;0,O124-(TBIcalc!$Q$9),""),"")</f>
        <v>0.73920000000000008</v>
      </c>
      <c r="Q124" s="278">
        <f>IFERROR(INDEX('Ashed teabags dry'!$K$2:$K$825,MATCH(J124,'Ashed teabags dry'!$A$2:$A$825,0)),"")</f>
        <v>18.857705563761883</v>
      </c>
      <c r="R124" s="278">
        <f t="shared" si="7"/>
        <v>0.59980384047267221</v>
      </c>
      <c r="S124" s="268">
        <f>'Dry_Litterbag Placem_Collection'!E125</f>
        <v>42939</v>
      </c>
      <c r="T124" s="268">
        <f>IF('Dry_Litterbag Placem_Collection'!G125="","",'Dry_Litterbag Placem_Collection'!G125)</f>
        <v>43008</v>
      </c>
      <c r="U124" s="269">
        <f t="shared" si="5"/>
        <v>69</v>
      </c>
      <c r="V124" s="267">
        <f t="shared" si="8"/>
        <v>1.0399999999999998</v>
      </c>
      <c r="W124" s="267">
        <f t="shared" si="9"/>
        <v>1.0812774486044314</v>
      </c>
      <c r="X124" s="271">
        <f>IFERROR(INDEX(Rainfall_Dry!$O$2:$O$217,MATCH(B124, Rainfall_Dry!$A$2:$A$217,0)),"")</f>
        <v>136.27214243</v>
      </c>
      <c r="Y124" s="260">
        <v>17.96</v>
      </c>
      <c r="Z124" s="260">
        <v>4.9199999999999982</v>
      </c>
      <c r="AA124" s="260">
        <v>77.12</v>
      </c>
      <c r="AB124" s="261" t="s">
        <v>2671</v>
      </c>
      <c r="AC124" s="260">
        <v>4.02207984228684</v>
      </c>
      <c r="AD124">
        <f>IF('WetLitterbags placem_collection'!AB125="","",'WetLitterbags placem_collection'!AB125)</f>
        <v>3.9</v>
      </c>
      <c r="AE124">
        <f>IF('WetLitterbags placem_collection'!Z125="","",'WetLitterbags placem_collection'!Z125)</f>
        <v>51</v>
      </c>
      <c r="AF124" s="246" t="str">
        <f>IF('WetLitterbags placem_collection'!AA125="","",'WetLitterbags placem_collection'!AA125)</f>
        <v>G</v>
      </c>
      <c r="AG124">
        <f>IF('WetLitterbags placem_collection'!AC125="","",'WetLitterbags placem_collection'!AC125)</f>
        <v>1</v>
      </c>
      <c r="AH124">
        <f>IFERROR(AVERAGE('Dry_Litterbag Placem_Collection'!O125,'Dry_Litterbag Placem_Collection'!R125),"")</f>
        <v>10.7</v>
      </c>
      <c r="AI124" s="271">
        <f>IFERROR(AVERAGE('Dry_Litterbag Placem_Collection'!N125,'Dry_Litterbag Placem_Collection'!Q125),"")</f>
        <v>27.1</v>
      </c>
      <c r="AJ124" s="270">
        <f>INDEX(Coordinates!$B$2:$B$197,MATCH(G124,Coordinates!$J$2:$J$197,0))</f>
        <v>-2.3492390009999999</v>
      </c>
      <c r="AK124" s="270">
        <f>INDEX(Coordinates!$C$2:$C$197,MATCH(G124,Coordinates!$J$2:$J$197,0))</f>
        <v>34.051304020000003</v>
      </c>
      <c r="AL124" s="270" t="str">
        <f>IF(ISNUMBER(SEARCH("C", 'Dry_Litterbag Placem_Collection'!S125)),"YES","NO")</f>
        <v>NO</v>
      </c>
      <c r="AM124" s="270" t="str">
        <f>IF(ISNUMBER(SEARCH("H", 'Dry_Litterbag Placem_Collection'!S125)),"YES","NO")</f>
        <v>NO</v>
      </c>
      <c r="AN124" s="270" t="str">
        <f>IF(ISNUMBER(SEARCH("R", 'Dry_Litterbag Placem_Collection'!S125)),"YES","NO")</f>
        <v>YES</v>
      </c>
    </row>
    <row r="125" spans="1:40" ht="15" customHeight="1">
      <c r="A125" s="262" t="s">
        <v>2659</v>
      </c>
      <c r="B125" s="263">
        <f>'Dry_Litterbag Placem_Collection'!A126</f>
        <v>124</v>
      </c>
      <c r="C125" s="263" t="str">
        <f>'Dry_Litterbag Placem_Collection'!B126</f>
        <v xml:space="preserve">Mwantimba
</v>
      </c>
      <c r="D125" s="263" t="s">
        <v>2460</v>
      </c>
      <c r="E125" s="263" t="s">
        <v>2660</v>
      </c>
      <c r="F125" s="263">
        <v>4</v>
      </c>
      <c r="G125" s="264" t="str">
        <f>'Dry_Litterbag Placem_Collection'!C126</f>
        <v>Wet_Ag4_T4</v>
      </c>
      <c r="H125" s="265" t="s">
        <v>2541</v>
      </c>
      <c r="I125" s="266" t="s">
        <v>1147</v>
      </c>
      <c r="J125" s="263" t="str">
        <f>IF(ISBLANK('Dry_Litterbag Placem_Collection'!J126),"","G"&amp;""&amp;'Dry_Litterbag Placem_Collection'!J126)</f>
        <v>G116</v>
      </c>
      <c r="K125" s="267">
        <f>IFERROR(INDEX('Green_rooibos initial weight'!$C$5:$C$1749,MATCH(J125, 'Green_rooibos initial weight'!$A$5:$A$1749,0)),"")</f>
        <v>1.925</v>
      </c>
      <c r="L125" s="267">
        <f>IFERROR(K125-(TBIcalc!$Q$9+TBIcalc!$Q$10),"")</f>
        <v>1.6752</v>
      </c>
      <c r="M125" s="391">
        <f>AVERAGE(Ashed_controlls!$K$2:$K$11)</f>
        <v>5.5147656768714146</v>
      </c>
      <c r="N125" s="267">
        <f t="shared" si="6"/>
        <v>1.5828166453810502</v>
      </c>
      <c r="O125" s="267">
        <f>IF(IFERROR(INDEX('Both teabags AfterDry'!$D$3:$D$900,MATCH(J125,'Both teabags AfterDry'!$A$3:$A$900,0)),"")="","",(IFERROR(INDEX('Both teabags AfterDry'!$D$3:$D$900,MATCH(J125,'Both teabags AfterDry'!$A$3:$A$900,0)),"")))</f>
        <v>0.63749999999999996</v>
      </c>
      <c r="P125" s="267">
        <f>IFERROR(IF(O125&gt;0,O125-(TBIcalc!$Q$9),""),"")</f>
        <v>0.48689999999999994</v>
      </c>
      <c r="Q125" s="278">
        <f>IFERROR(INDEX('Ashed teabags dry'!$K$2:$K$825,MATCH(J125,'Ashed teabags dry'!$A$2:$A$825,0)),"")</f>
        <v>17.988929889299115</v>
      </c>
      <c r="R125" s="278">
        <f t="shared" si="7"/>
        <v>0.39931190036900255</v>
      </c>
      <c r="S125" s="268">
        <f>'Dry_Litterbag Placem_Collection'!E126</f>
        <v>42939</v>
      </c>
      <c r="T125" s="268">
        <f>IF('Dry_Litterbag Placem_Collection'!G126="","",'Dry_Litterbag Placem_Collection'!G126)</f>
        <v>43008</v>
      </c>
      <c r="U125" s="269">
        <f t="shared" si="5"/>
        <v>69</v>
      </c>
      <c r="V125" s="267">
        <f t="shared" si="8"/>
        <v>1.1883000000000001</v>
      </c>
      <c r="W125" s="267">
        <f t="shared" si="9"/>
        <v>1.1835047450120477</v>
      </c>
      <c r="X125" s="271">
        <f>IFERROR(INDEX(Rainfall_Dry!$O$2:$O$217,MATCH(B125, Rainfall_Dry!$A$2:$A$217,0)),"")</f>
        <v>136.27214243</v>
      </c>
      <c r="Y125" s="260">
        <v>17.96</v>
      </c>
      <c r="Z125" s="260">
        <v>4.9199999999999982</v>
      </c>
      <c r="AA125" s="260">
        <v>77.12</v>
      </c>
      <c r="AB125" s="261" t="s">
        <v>2671</v>
      </c>
      <c r="AC125" s="260">
        <v>5.02207984228684</v>
      </c>
      <c r="AD125">
        <f>IF('WetLitterbags placem_collection'!AB126="","",'WetLitterbags placem_collection'!AB126)</f>
        <v>5.45</v>
      </c>
      <c r="AE125">
        <f>IF('WetLitterbags placem_collection'!Z126="","",'WetLitterbags placem_collection'!Z126)</f>
        <v>47</v>
      </c>
      <c r="AF125" s="246" t="str">
        <f>IF('WetLitterbags placem_collection'!AA126="","",'WetLitterbags placem_collection'!AA126)</f>
        <v>G</v>
      </c>
      <c r="AG125">
        <f>IF('WetLitterbags placem_collection'!AC126="","",'WetLitterbags placem_collection'!AC126)</f>
        <v>1</v>
      </c>
      <c r="AH125">
        <f>IFERROR(AVERAGE('Dry_Litterbag Placem_Collection'!O126,'Dry_Litterbag Placem_Collection'!R126),"")</f>
        <v>9.15</v>
      </c>
      <c r="AI125" s="271">
        <f>IFERROR(AVERAGE('Dry_Litterbag Placem_Collection'!N126,'Dry_Litterbag Placem_Collection'!Q126),"")</f>
        <v>28.05</v>
      </c>
      <c r="AJ125" s="270">
        <f>INDEX(Coordinates!$B$2:$B$197,MATCH(G125,Coordinates!$J$2:$J$197,0))</f>
        <v>-2.3492799889999998</v>
      </c>
      <c r="AK125" s="270">
        <f>INDEX(Coordinates!$C$2:$C$197,MATCH(G125,Coordinates!$J$2:$J$197,0))</f>
        <v>34.051280970000001</v>
      </c>
      <c r="AL125" s="270" t="str">
        <f>IF(ISNUMBER(SEARCH("C", 'Dry_Litterbag Placem_Collection'!S126)),"YES","NO")</f>
        <v>NO</v>
      </c>
      <c r="AM125" s="270" t="str">
        <f>IF(ISNUMBER(SEARCH("H", 'Dry_Litterbag Placem_Collection'!S126)),"YES","NO")</f>
        <v>YES</v>
      </c>
      <c r="AN125" s="270" t="str">
        <f>IF(ISNUMBER(SEARCH("R", 'Dry_Litterbag Placem_Collection'!S126)),"YES","NO")</f>
        <v>YES</v>
      </c>
    </row>
    <row r="126" spans="1:40" ht="15" customHeight="1">
      <c r="A126" s="262" t="s">
        <v>2659</v>
      </c>
      <c r="B126" s="263">
        <f>'Dry_Litterbag Placem_Collection'!A127</f>
        <v>125</v>
      </c>
      <c r="C126" s="263" t="str">
        <f>'Dry_Litterbag Placem_Collection'!B127</f>
        <v xml:space="preserve">Mwantimba
</v>
      </c>
      <c r="D126" s="263" t="s">
        <v>2460</v>
      </c>
      <c r="E126" s="263" t="s">
        <v>2660</v>
      </c>
      <c r="F126" s="263">
        <v>4</v>
      </c>
      <c r="G126" s="264" t="str">
        <f>'Dry_Litterbag Placem_Collection'!C127</f>
        <v>Wet_Ag4_T5</v>
      </c>
      <c r="H126" s="265" t="s">
        <v>2541</v>
      </c>
      <c r="I126" s="266" t="s">
        <v>1147</v>
      </c>
      <c r="J126" s="263" t="str">
        <f>IF(ISBLANK('Dry_Litterbag Placem_Collection'!J127),"","G"&amp;""&amp;'Dry_Litterbag Placem_Collection'!J127)</f>
        <v>G50</v>
      </c>
      <c r="K126" s="267">
        <f>IFERROR(INDEX('Green_rooibos initial weight'!$C$5:$C$1749,MATCH(J126, 'Green_rooibos initial weight'!$A$5:$A$1749,0)),"")</f>
        <v>1.954</v>
      </c>
      <c r="L126" s="267">
        <f>IFERROR(K126-(TBIcalc!$Q$9+TBIcalc!$Q$10),"")</f>
        <v>1.7041999999999999</v>
      </c>
      <c r="M126" s="391">
        <f>AVERAGE(Ashed_controlls!$K$2:$K$11)</f>
        <v>5.5147656768714146</v>
      </c>
      <c r="N126" s="267">
        <f t="shared" si="6"/>
        <v>1.6102173633347574</v>
      </c>
      <c r="O126" s="267">
        <f>IF(IFERROR(INDEX('Both teabags AfterDry'!$D$3:$D$900,MATCH(J126,'Both teabags AfterDry'!$A$3:$A$900,0)),"")="","",(IFERROR(INDEX('Both teabags AfterDry'!$D$3:$D$900,MATCH(J126,'Both teabags AfterDry'!$A$3:$A$900,0)),"")))</f>
        <v>0.8911</v>
      </c>
      <c r="P126" s="267">
        <f>IFERROR(IF(O126&gt;0,O126-(TBIcalc!$Q$9),""),"")</f>
        <v>0.74049999999999994</v>
      </c>
      <c r="Q126" s="278">
        <f>IFERROR(INDEX('Ashed teabags dry'!$K$2:$K$825,MATCH(J126,'Ashed teabags dry'!$A$2:$A$825,0)),"")</f>
        <v>30.974309258361465</v>
      </c>
      <c r="R126" s="278">
        <f t="shared" si="7"/>
        <v>0.5111352399418333</v>
      </c>
      <c r="S126" s="268">
        <f>'Dry_Litterbag Placem_Collection'!E127</f>
        <v>42939</v>
      </c>
      <c r="T126" s="268">
        <f>IF('Dry_Litterbag Placem_Collection'!G127="","",'Dry_Litterbag Placem_Collection'!G127)</f>
        <v>43008</v>
      </c>
      <c r="U126" s="269">
        <f t="shared" si="5"/>
        <v>69</v>
      </c>
      <c r="V126" s="267">
        <f t="shared" si="8"/>
        <v>0.9637</v>
      </c>
      <c r="W126" s="267">
        <f t="shared" si="9"/>
        <v>1.099082123392924</v>
      </c>
      <c r="X126" s="271">
        <f>IFERROR(INDEX(Rainfall_Dry!$O$2:$O$217,MATCH(B126, Rainfall_Dry!$A$2:$A$217,0)),"")</f>
        <v>136.27214243</v>
      </c>
      <c r="Y126" s="260">
        <v>17.96</v>
      </c>
      <c r="Z126" s="260">
        <v>4.9199999999999982</v>
      </c>
      <c r="AA126" s="260">
        <v>77.12</v>
      </c>
      <c r="AB126" s="261" t="s">
        <v>2671</v>
      </c>
      <c r="AC126" s="260">
        <v>6.02207984228684</v>
      </c>
      <c r="AD126">
        <f>IF('WetLitterbags placem_collection'!AB127="","",'WetLitterbags placem_collection'!AB127)</f>
        <v>9.3000000000000007</v>
      </c>
      <c r="AE126">
        <f>IF('WetLitterbags placem_collection'!Z127="","",'WetLitterbags placem_collection'!Z127)</f>
        <v>43</v>
      </c>
      <c r="AF126" s="246" t="str">
        <f>IF('WetLitterbags placem_collection'!AA127="","",'WetLitterbags placem_collection'!AA127)</f>
        <v>G</v>
      </c>
      <c r="AG126">
        <f>IF('WetLitterbags placem_collection'!AC127="","",'WetLitterbags placem_collection'!AC127)</f>
        <v>1</v>
      </c>
      <c r="AH126">
        <f>IFERROR(AVERAGE('Dry_Litterbag Placem_Collection'!O127,'Dry_Litterbag Placem_Collection'!R127),"")</f>
        <v>10.85</v>
      </c>
      <c r="AI126" s="271">
        <f>IFERROR(AVERAGE('Dry_Litterbag Placem_Collection'!N127,'Dry_Litterbag Placem_Collection'!Q127),"")</f>
        <v>28.05</v>
      </c>
      <c r="AJ126" s="270">
        <f>INDEX(Coordinates!$B$2:$B$197,MATCH(G126,Coordinates!$J$2:$J$197,0))</f>
        <v>-2.3493320400000002</v>
      </c>
      <c r="AK126" s="270">
        <f>INDEX(Coordinates!$C$2:$C$197,MATCH(G126,Coordinates!$J$2:$J$197,0))</f>
        <v>34.051321960000003</v>
      </c>
      <c r="AL126" s="270" t="str">
        <f>IF(ISNUMBER(SEARCH("C", 'Dry_Litterbag Placem_Collection'!S127)),"YES","NO")</f>
        <v>NO</v>
      </c>
      <c r="AM126" s="270" t="str">
        <f>IF(ISNUMBER(SEARCH("H", 'Dry_Litterbag Placem_Collection'!S127)),"YES","NO")</f>
        <v>NO</v>
      </c>
      <c r="AN126" s="270" t="str">
        <f>IF(ISNUMBER(SEARCH("R", 'Dry_Litterbag Placem_Collection'!S127)),"YES","NO")</f>
        <v>NO</v>
      </c>
    </row>
    <row r="127" spans="1:40" ht="15" customHeight="1">
      <c r="A127" s="262" t="s">
        <v>2659</v>
      </c>
      <c r="B127" s="263">
        <f>'Dry_Litterbag Placem_Collection'!A128</f>
        <v>126</v>
      </c>
      <c r="C127" s="263" t="str">
        <f>'Dry_Litterbag Placem_Collection'!B128</f>
        <v xml:space="preserve">Mwantimba
</v>
      </c>
      <c r="D127" s="263" t="s">
        <v>2460</v>
      </c>
      <c r="E127" s="263" t="s">
        <v>2660</v>
      </c>
      <c r="F127" s="263">
        <v>4</v>
      </c>
      <c r="G127" s="264" t="str">
        <f>'Dry_Litterbag Placem_Collection'!C128</f>
        <v>Wet_Ag4_T6</v>
      </c>
      <c r="H127" s="265" t="s">
        <v>2541</v>
      </c>
      <c r="I127" s="266" t="s">
        <v>1147</v>
      </c>
      <c r="J127" s="263" t="str">
        <f>IF(ISBLANK('Dry_Litterbag Placem_Collection'!J128),"","G"&amp;""&amp;'Dry_Litterbag Placem_Collection'!J128)</f>
        <v/>
      </c>
      <c r="K127" s="267" t="str">
        <f>IFERROR(INDEX('Green_rooibos initial weight'!$C$5:$C$1749,MATCH(J127, 'Green_rooibos initial weight'!$A$5:$A$1749,0)),"")</f>
        <v/>
      </c>
      <c r="L127" s="267" t="str">
        <f>IFERROR(K127-(TBIcalc!$Q$9+TBIcalc!$Q$10),"")</f>
        <v/>
      </c>
      <c r="M127" s="391">
        <f>AVERAGE(Ashed_controlls!$K$2:$K$11)</f>
        <v>5.5147656768714146</v>
      </c>
      <c r="N127" s="267" t="str">
        <f t="shared" si="6"/>
        <v/>
      </c>
      <c r="O127" s="267" t="str">
        <f>IF(IFERROR(INDEX('Both teabags AfterDry'!$D$3:$D$900,MATCH(J127,'Both teabags AfterDry'!$A$3:$A$900,0)),"")="","",(IFERROR(INDEX('Both teabags AfterDry'!$D$3:$D$900,MATCH(J127,'Both teabags AfterDry'!$A$3:$A$900,0)),"")))</f>
        <v/>
      </c>
      <c r="P127" s="267" t="str">
        <f>IFERROR(IF(O127&gt;0,O127-(TBIcalc!$Q$9),""),"")</f>
        <v/>
      </c>
      <c r="Q127" s="278" t="str">
        <f>IFERROR(INDEX('Ashed teabags dry'!$K$2:$K$825,MATCH(J127,'Ashed teabags dry'!$A$2:$A$825,0)),"")</f>
        <v/>
      </c>
      <c r="R127" s="278" t="str">
        <f t="shared" si="7"/>
        <v/>
      </c>
      <c r="S127" s="268">
        <f>'Dry_Litterbag Placem_Collection'!E128</f>
        <v>0</v>
      </c>
      <c r="T127" s="268" t="str">
        <f>IF('Dry_Litterbag Placem_Collection'!G128="","",'Dry_Litterbag Placem_Collection'!G128)</f>
        <v/>
      </c>
      <c r="U127" s="269" t="str">
        <f t="shared" si="5"/>
        <v/>
      </c>
      <c r="V127" s="267" t="str">
        <f t="shared" si="8"/>
        <v/>
      </c>
      <c r="W127" s="267" t="str">
        <f t="shared" si="9"/>
        <v/>
      </c>
      <c r="X127" s="271" t="str">
        <f>IFERROR(INDEX(Rainfall_Dry!$O$2:$O$217,MATCH(B127, Rainfall_Dry!$A$2:$A$217,0)),"")</f>
        <v/>
      </c>
      <c r="Y127" s="260">
        <v>17.96</v>
      </c>
      <c r="Z127" s="260">
        <v>4.9199999999999982</v>
      </c>
      <c r="AA127" s="260">
        <v>77.12</v>
      </c>
      <c r="AB127" s="261" t="s">
        <v>2671</v>
      </c>
      <c r="AC127" s="260">
        <v>7.02207984228684</v>
      </c>
      <c r="AD127">
        <f>IF('WetLitterbags placem_collection'!AB128="","",'WetLitterbags placem_collection'!AB128)</f>
        <v>10.85</v>
      </c>
      <c r="AE127">
        <f>IF('WetLitterbags placem_collection'!Z128="","",'WetLitterbags placem_collection'!Z128)</f>
        <v>40</v>
      </c>
      <c r="AF127" s="246" t="str">
        <f>IF('WetLitterbags placem_collection'!AA128="","",'WetLitterbags placem_collection'!AA128)</f>
        <v>G</v>
      </c>
      <c r="AG127">
        <f>IF('WetLitterbags placem_collection'!AC128="","",'WetLitterbags placem_collection'!AC128)</f>
        <v>1</v>
      </c>
      <c r="AH127" t="str">
        <f>IFERROR(AVERAGE('Dry_Litterbag Placem_Collection'!O128,'Dry_Litterbag Placem_Collection'!R128),"")</f>
        <v/>
      </c>
      <c r="AI127" s="271" t="str">
        <f>IFERROR(AVERAGE('Dry_Litterbag Placem_Collection'!N128,'Dry_Litterbag Placem_Collection'!Q128),"")</f>
        <v/>
      </c>
      <c r="AJ127" s="270">
        <f>INDEX(Coordinates!$B$2:$B$197,MATCH(G127,Coordinates!$J$2:$J$197,0))</f>
        <v>-2.3493509829999999</v>
      </c>
      <c r="AK127" s="270">
        <f>INDEX(Coordinates!$C$2:$C$197,MATCH(G127,Coordinates!$J$2:$J$197,0))</f>
        <v>34.051332019999997</v>
      </c>
      <c r="AL127" s="270" t="str">
        <f>IF(ISNUMBER(SEARCH("C", 'Dry_Litterbag Placem_Collection'!S128)),"YES","NO")</f>
        <v>NO</v>
      </c>
      <c r="AM127" s="270" t="str">
        <f>IF(ISNUMBER(SEARCH("H", 'Dry_Litterbag Placem_Collection'!S128)),"YES","NO")</f>
        <v>NO</v>
      </c>
      <c r="AN127" s="270" t="str">
        <f>IF(ISNUMBER(SEARCH("R", 'Dry_Litterbag Placem_Collection'!S128)),"YES","NO")</f>
        <v>NO</v>
      </c>
    </row>
    <row r="128" spans="1:40" ht="15" customHeight="1">
      <c r="A128" s="262" t="s">
        <v>2659</v>
      </c>
      <c r="B128" s="263">
        <f>'Dry_Litterbag Placem_Collection'!A129</f>
        <v>127</v>
      </c>
      <c r="C128" s="263" t="str">
        <f>'Dry_Litterbag Placem_Collection'!B129</f>
        <v xml:space="preserve">Mwantimba
</v>
      </c>
      <c r="D128" s="263" t="s">
        <v>2460</v>
      </c>
      <c r="E128" s="263" t="s">
        <v>2660</v>
      </c>
      <c r="F128" s="263">
        <v>4</v>
      </c>
      <c r="G128" s="264" t="str">
        <f>'Dry_Litterbag Placem_Collection'!C129</f>
        <v>Wet_Ag4_T7</v>
      </c>
      <c r="H128" s="265" t="s">
        <v>2541</v>
      </c>
      <c r="I128" s="266" t="s">
        <v>1147</v>
      </c>
      <c r="J128" s="263" t="str">
        <f>IF(ISBLANK('Dry_Litterbag Placem_Collection'!J129),"","G"&amp;""&amp;'Dry_Litterbag Placem_Collection'!J129)</f>
        <v>G318</v>
      </c>
      <c r="K128" s="267">
        <f>IFERROR(INDEX('Green_rooibos initial weight'!$C$5:$C$1749,MATCH(J128, 'Green_rooibos initial weight'!$A$5:$A$1749,0)),"")</f>
        <v>1.929</v>
      </c>
      <c r="L128" s="267">
        <f>IFERROR(K128-(TBIcalc!$Q$9+TBIcalc!$Q$10),"")</f>
        <v>1.6792</v>
      </c>
      <c r="M128" s="391">
        <f>AVERAGE(Ashed_controlls!$K$2:$K$11)</f>
        <v>5.5147656768714146</v>
      </c>
      <c r="N128" s="267">
        <f t="shared" si="6"/>
        <v>1.5865960547539752</v>
      </c>
      <c r="O128" s="267">
        <f>IF(IFERROR(INDEX('Both teabags AfterDry'!$D$3:$D$900,MATCH(J128,'Both teabags AfterDry'!$A$3:$A$900,0)),"")="","",(IFERROR(INDEX('Both teabags AfterDry'!$D$3:$D$900,MATCH(J128,'Both teabags AfterDry'!$A$3:$A$900,0)),"")))</f>
        <v>0.70609999999999995</v>
      </c>
      <c r="P128" s="267">
        <f>IFERROR(IF(O128&gt;0,O128-(TBIcalc!$Q$9),""),"")</f>
        <v>0.55549999999999988</v>
      </c>
      <c r="Q128" s="278">
        <f>IFERROR(INDEX('Ashed teabags dry'!$K$2:$K$825,MATCH(J128,'Ashed teabags dry'!$A$2:$A$825,0)),"")</f>
        <v>13.937442502299483</v>
      </c>
      <c r="R128" s="278">
        <f t="shared" si="7"/>
        <v>0.47807750689972628</v>
      </c>
      <c r="S128" s="268">
        <f>'Dry_Litterbag Placem_Collection'!E129</f>
        <v>42939</v>
      </c>
      <c r="T128" s="268">
        <f>IF('Dry_Litterbag Placem_Collection'!G129="","",'Dry_Litterbag Placem_Collection'!G129)</f>
        <v>43008</v>
      </c>
      <c r="U128" s="269">
        <f t="shared" si="5"/>
        <v>69</v>
      </c>
      <c r="V128" s="267">
        <f t="shared" si="8"/>
        <v>1.1237000000000001</v>
      </c>
      <c r="W128" s="267">
        <f t="shared" si="9"/>
        <v>1.108518547854249</v>
      </c>
      <c r="X128" s="271">
        <f>IFERROR(INDEX(Rainfall_Dry!$O$2:$O$217,MATCH(B128, Rainfall_Dry!$A$2:$A$217,0)),"")</f>
        <v>136.27214243</v>
      </c>
      <c r="Y128" s="260">
        <v>17.96</v>
      </c>
      <c r="Z128" s="260">
        <v>4.9199999999999982</v>
      </c>
      <c r="AA128" s="260">
        <v>77.12</v>
      </c>
      <c r="AB128" s="261" t="s">
        <v>2671</v>
      </c>
      <c r="AC128" s="260">
        <v>8.0220798422868391</v>
      </c>
      <c r="AD128">
        <f>IF('WetLitterbags placem_collection'!AB129="","",'WetLitterbags placem_collection'!AB129)</f>
        <v>5.35</v>
      </c>
      <c r="AE128">
        <f>IF('WetLitterbags placem_collection'!Z129="","",'WetLitterbags placem_collection'!Z129)</f>
        <v>58</v>
      </c>
      <c r="AF128" s="246" t="str">
        <f>IF('WetLitterbags placem_collection'!AA129="","",'WetLitterbags placem_collection'!AA129)</f>
        <v>G</v>
      </c>
      <c r="AG128">
        <f>IF('WetLitterbags placem_collection'!AC129="","",'WetLitterbags placem_collection'!AC129)</f>
        <v>1</v>
      </c>
      <c r="AH128">
        <f>IFERROR(AVERAGE('Dry_Litterbag Placem_Collection'!O129,'Dry_Litterbag Placem_Collection'!R129),"")</f>
        <v>9.6999999999999993</v>
      </c>
      <c r="AI128" s="271">
        <f>IFERROR(AVERAGE('Dry_Litterbag Placem_Collection'!N129,'Dry_Litterbag Placem_Collection'!Q129),"")</f>
        <v>28.1</v>
      </c>
      <c r="AJ128" s="270">
        <f>INDEX(Coordinates!$B$2:$B$197,MATCH(G128,Coordinates!$J$2:$J$197,0))</f>
        <v>-2.3491850219999999</v>
      </c>
      <c r="AK128" s="270">
        <f>INDEX(Coordinates!$C$2:$C$197,MATCH(G128,Coordinates!$J$2:$J$197,0))</f>
        <v>34.051264959999997</v>
      </c>
      <c r="AL128" s="270" t="str">
        <f>IF(ISNUMBER(SEARCH("C", 'Dry_Litterbag Placem_Collection'!S129)),"YES","NO")</f>
        <v>NO</v>
      </c>
      <c r="AM128" s="270" t="str">
        <f>IF(ISNUMBER(SEARCH("H", 'Dry_Litterbag Placem_Collection'!S129)),"YES","NO")</f>
        <v>NO</v>
      </c>
      <c r="AN128" s="270" t="str">
        <f>IF(ISNUMBER(SEARCH("R", 'Dry_Litterbag Placem_Collection'!S129)),"YES","NO")</f>
        <v>YES</v>
      </c>
    </row>
    <row r="129" spans="1:40" ht="15" customHeight="1">
      <c r="A129" s="262" t="s">
        <v>2659</v>
      </c>
      <c r="B129" s="263">
        <f>'Dry_Litterbag Placem_Collection'!A130</f>
        <v>128</v>
      </c>
      <c r="C129" s="263" t="str">
        <f>'Dry_Litterbag Placem_Collection'!B130</f>
        <v xml:space="preserve">Mwantimba
</v>
      </c>
      <c r="D129" s="263" t="s">
        <v>2460</v>
      </c>
      <c r="E129" s="263" t="s">
        <v>2660</v>
      </c>
      <c r="F129" s="263">
        <v>4</v>
      </c>
      <c r="G129" s="264" t="str">
        <f>'Dry_Litterbag Placem_Collection'!C130</f>
        <v>Wet_Ag4_T8</v>
      </c>
      <c r="H129" s="265" t="s">
        <v>2541</v>
      </c>
      <c r="I129" s="266" t="s">
        <v>1147</v>
      </c>
      <c r="J129" s="263" t="str">
        <f>IF(ISBLANK('Dry_Litterbag Placem_Collection'!J130),"","G"&amp;""&amp;'Dry_Litterbag Placem_Collection'!J130)</f>
        <v>G34</v>
      </c>
      <c r="K129" s="267">
        <f>IFERROR(INDEX('Green_rooibos initial weight'!$C$5:$C$1749,MATCH(J129, 'Green_rooibos initial weight'!$A$5:$A$1749,0)),"")</f>
        <v>2.133</v>
      </c>
      <c r="L129" s="267">
        <f>IFERROR(K129-(TBIcalc!$Q$9+TBIcalc!$Q$10),"")</f>
        <v>1.8832</v>
      </c>
      <c r="M129" s="391">
        <f>AVERAGE(Ashed_controlls!$K$2:$K$11)</f>
        <v>5.5147656768714146</v>
      </c>
      <c r="N129" s="267">
        <f t="shared" si="6"/>
        <v>1.7793459327731576</v>
      </c>
      <c r="O129" s="267">
        <f>IF(IFERROR(INDEX('Both teabags AfterDry'!$D$3:$D$900,MATCH(J129,'Both teabags AfterDry'!$A$3:$A$900,0)),"")="","",(IFERROR(INDEX('Both teabags AfterDry'!$D$3:$D$900,MATCH(J129,'Both teabags AfterDry'!$A$3:$A$900,0)),"")))</f>
        <v>0.92579999999999996</v>
      </c>
      <c r="P129" s="267">
        <f>IFERROR(IF(O129&gt;0,O129-(TBIcalc!$Q$9),""),"")</f>
        <v>0.77519999999999989</v>
      </c>
      <c r="Q129" s="278">
        <f>IFERROR(INDEX('Ashed teabags dry'!$K$2:$K$825,MATCH(J129,'Ashed teabags dry'!$A$2:$A$825,0)),"")</f>
        <v>26.714158504006296</v>
      </c>
      <c r="R129" s="278">
        <f t="shared" si="7"/>
        <v>0.56811184327694308</v>
      </c>
      <c r="S129" s="268">
        <f>'Dry_Litterbag Placem_Collection'!E130</f>
        <v>42939</v>
      </c>
      <c r="T129" s="268">
        <f>IF('Dry_Litterbag Placem_Collection'!G130="","",'Dry_Litterbag Placem_Collection'!G130)</f>
        <v>43008</v>
      </c>
      <c r="U129" s="269">
        <f t="shared" si="5"/>
        <v>69</v>
      </c>
      <c r="V129" s="267">
        <f t="shared" si="8"/>
        <v>1.1080000000000001</v>
      </c>
      <c r="W129" s="267">
        <f t="shared" si="9"/>
        <v>1.2112340894962146</v>
      </c>
      <c r="X129" s="271">
        <f>IFERROR(INDEX(Rainfall_Dry!$O$2:$O$217,MATCH(B129, Rainfall_Dry!$A$2:$A$217,0)),"")</f>
        <v>136.27214243</v>
      </c>
      <c r="Y129" s="260">
        <v>17.96</v>
      </c>
      <c r="Z129" s="260">
        <v>4.9199999999999982</v>
      </c>
      <c r="AA129" s="260">
        <v>77.12</v>
      </c>
      <c r="AB129" s="261" t="s">
        <v>2671</v>
      </c>
      <c r="AC129" s="260">
        <v>9.0220798422868391</v>
      </c>
      <c r="AD129">
        <f>IF('WetLitterbags placem_collection'!AB130="","",'WetLitterbags placem_collection'!AB130)</f>
        <v>10.9</v>
      </c>
      <c r="AE129">
        <f>IF('WetLitterbags placem_collection'!Z130="","",'WetLitterbags placem_collection'!Z130)</f>
        <v>44</v>
      </c>
      <c r="AF129" s="246" t="str">
        <f>IF('WetLitterbags placem_collection'!AA130="","",'WetLitterbags placem_collection'!AA130)</f>
        <v>G</v>
      </c>
      <c r="AG129">
        <f>IF('WetLitterbags placem_collection'!AC130="","",'WetLitterbags placem_collection'!AC130)</f>
        <v>0</v>
      </c>
      <c r="AH129">
        <f>IFERROR(AVERAGE('Dry_Litterbag Placem_Collection'!O130,'Dry_Litterbag Placem_Collection'!R130),"")</f>
        <v>8.4499999999999993</v>
      </c>
      <c r="AI129" s="271">
        <f>IFERROR(AVERAGE('Dry_Litterbag Placem_Collection'!N130,'Dry_Litterbag Placem_Collection'!Q130),"")</f>
        <v>28.4</v>
      </c>
      <c r="AJ129" s="270">
        <f>INDEX(Coordinates!$B$2:$B$197,MATCH(G129,Coordinates!$J$2:$J$197,0))</f>
        <v>-2.3493099960000001</v>
      </c>
      <c r="AK129" s="270">
        <f>INDEX(Coordinates!$C$2:$C$197,MATCH(G129,Coordinates!$J$2:$J$197,0))</f>
        <v>34.05141802</v>
      </c>
      <c r="AL129" s="270" t="str">
        <f>IF(ISNUMBER(SEARCH("C", 'Dry_Litterbag Placem_Collection'!S130)),"YES","NO")</f>
        <v>NO</v>
      </c>
      <c r="AM129" s="270" t="str">
        <f>IF(ISNUMBER(SEARCH("H", 'Dry_Litterbag Placem_Collection'!S130)),"YES","NO")</f>
        <v>NO</v>
      </c>
      <c r="AN129" s="270" t="str">
        <f>IF(ISNUMBER(SEARCH("R", 'Dry_Litterbag Placem_Collection'!S130)),"YES","NO")</f>
        <v>NO</v>
      </c>
    </row>
    <row r="130" spans="1:40" ht="15" customHeight="1">
      <c r="A130" s="262" t="s">
        <v>2659</v>
      </c>
      <c r="B130" s="263">
        <f>'Dry_Litterbag Placem_Collection'!A131</f>
        <v>129</v>
      </c>
      <c r="C130" s="263" t="str">
        <f>'Dry_Litterbag Placem_Collection'!B131</f>
        <v xml:space="preserve">Mwantimba
</v>
      </c>
      <c r="D130" s="263" t="s">
        <v>2460</v>
      </c>
      <c r="E130" s="263" t="s">
        <v>20</v>
      </c>
      <c r="F130" s="263">
        <v>1</v>
      </c>
      <c r="G130" s="264" t="str">
        <f>'Dry_Litterbag Placem_Collection'!C131</f>
        <v>Wet_P1_T1</v>
      </c>
      <c r="H130" s="265" t="s">
        <v>2541</v>
      </c>
      <c r="I130" s="266" t="s">
        <v>1147</v>
      </c>
      <c r="J130" s="263" t="str">
        <f>IF(ISBLANK('Dry_Litterbag Placem_Collection'!J131),"","G"&amp;""&amp;'Dry_Litterbag Placem_Collection'!J131)</f>
        <v>G80</v>
      </c>
      <c r="K130" s="267">
        <f>IFERROR(INDEX('Green_rooibos initial weight'!$C$5:$C$1749,MATCH(J130, 'Green_rooibos initial weight'!$A$5:$A$1749,0)),"")</f>
        <v>2.0259999999999998</v>
      </c>
      <c r="L130" s="267">
        <f>IFERROR(K130-(TBIcalc!$Q$9+TBIcalc!$Q$10),"")</f>
        <v>1.7761999999999998</v>
      </c>
      <c r="M130" s="391">
        <f>AVERAGE(Ashed_controlls!$K$2:$K$11)</f>
        <v>5.5147656768714146</v>
      </c>
      <c r="N130" s="267">
        <f t="shared" si="6"/>
        <v>1.6782467320474097</v>
      </c>
      <c r="O130" s="267">
        <f>IF(IFERROR(INDEX('Both teabags AfterDry'!$D$3:$D$900,MATCH(J130,'Both teabags AfterDry'!$A$3:$A$900,0)),"")="","",(IFERROR(INDEX('Both teabags AfterDry'!$D$3:$D$900,MATCH(J130,'Both teabags AfterDry'!$A$3:$A$900,0)),"")))</f>
        <v>0.72970000000000002</v>
      </c>
      <c r="P130" s="267">
        <f>IFERROR(IF(O130&gt;0,O130-(TBIcalc!$Q$9),""),"")</f>
        <v>0.57909999999999995</v>
      </c>
      <c r="Q130" s="278">
        <f>IFERROR(INDEX('Ashed teabags dry'!$K$2:$K$825,MATCH(J130,'Ashed teabags dry'!$A$2:$A$825,0)),"")</f>
        <v>20.009394081728875</v>
      </c>
      <c r="R130" s="278">
        <f t="shared" si="7"/>
        <v>0.46322559887270803</v>
      </c>
      <c r="S130" s="268">
        <f>'Dry_Litterbag Placem_Collection'!E131</f>
        <v>42939</v>
      </c>
      <c r="T130" s="268">
        <f>IF('Dry_Litterbag Placem_Collection'!G131="","",'Dry_Litterbag Placem_Collection'!G131)</f>
        <v>43008</v>
      </c>
      <c r="U130" s="269">
        <f t="shared" ref="U130:U193" si="10">IFERROR(T130-S130,"")</f>
        <v>69</v>
      </c>
      <c r="V130" s="267">
        <f t="shared" si="8"/>
        <v>1.1970999999999998</v>
      </c>
      <c r="W130" s="267">
        <f t="shared" si="9"/>
        <v>1.2150211331747016</v>
      </c>
      <c r="X130" s="271">
        <f>IFERROR(INDEX(Rainfall_Dry!$O$2:$O$217,MATCH(B130, Rainfall_Dry!$A$2:$A$217,0)),"")</f>
        <v>136.27214243</v>
      </c>
      <c r="Y130" s="260">
        <v>31.214836424255054</v>
      </c>
      <c r="Z130" s="260">
        <v>11.377370285476141</v>
      </c>
      <c r="AA130" s="260">
        <v>57.407793290268799</v>
      </c>
      <c r="AB130" s="261" t="s">
        <v>2670</v>
      </c>
      <c r="AC130" s="260">
        <v>1.7337604731394776</v>
      </c>
      <c r="AD130">
        <f>IF('WetLitterbags placem_collection'!AB131="","",'WetLitterbags placem_collection'!AB131)</f>
        <v>2.4</v>
      </c>
      <c r="AE130">
        <f>IF('WetLitterbags placem_collection'!Z131="","",'WetLitterbags placem_collection'!Z131)</f>
        <v>2.4</v>
      </c>
      <c r="AF130" s="246" t="str">
        <f>IF('WetLitterbags placem_collection'!AA131="","",'WetLitterbags placem_collection'!AA131)</f>
        <v>O</v>
      </c>
      <c r="AG130">
        <f>IF('WetLitterbags placem_collection'!AC131="","",'WetLitterbags placem_collection'!AC131)</f>
        <v>1</v>
      </c>
      <c r="AH130">
        <f>IFERROR(AVERAGE('Dry_Litterbag Placem_Collection'!O131,'Dry_Litterbag Placem_Collection'!R131),"")</f>
        <v>11.8</v>
      </c>
      <c r="AI130" s="271">
        <f>IFERROR(AVERAGE('Dry_Litterbag Placem_Collection'!N131,'Dry_Litterbag Placem_Collection'!Q131),"")</f>
        <v>29.05</v>
      </c>
      <c r="AJ130" s="270">
        <f>INDEX(Coordinates!$B$2:$B$197,MATCH(G130,Coordinates!$J$2:$J$197,0))</f>
        <v>-2.3503360249999998</v>
      </c>
      <c r="AK130" s="270">
        <f>INDEX(Coordinates!$C$2:$C$197,MATCH(G130,Coordinates!$J$2:$J$197,0))</f>
        <v>34.049662009999999</v>
      </c>
      <c r="AL130" s="270" t="str">
        <f>IF(ISNUMBER(SEARCH("C", 'Dry_Litterbag Placem_Collection'!S131)),"YES","NO")</f>
        <v>YES</v>
      </c>
      <c r="AM130" s="270" t="str">
        <f>IF(ISNUMBER(SEARCH("H", 'Dry_Litterbag Placem_Collection'!S131)),"YES","NO")</f>
        <v>YES</v>
      </c>
      <c r="AN130" s="270" t="str">
        <f>IF(ISNUMBER(SEARCH("R", 'Dry_Litterbag Placem_Collection'!S131)),"YES","NO")</f>
        <v>NO</v>
      </c>
    </row>
    <row r="131" spans="1:40" ht="15" customHeight="1">
      <c r="A131" s="262" t="s">
        <v>2659</v>
      </c>
      <c r="B131" s="263">
        <f>'Dry_Litterbag Placem_Collection'!A132</f>
        <v>130</v>
      </c>
      <c r="C131" s="263" t="str">
        <f>'Dry_Litterbag Placem_Collection'!B132</f>
        <v xml:space="preserve">Mwantimba
</v>
      </c>
      <c r="D131" s="263" t="s">
        <v>2460</v>
      </c>
      <c r="E131" s="263" t="s">
        <v>20</v>
      </c>
      <c r="F131" s="263">
        <v>1</v>
      </c>
      <c r="G131" s="264" t="str">
        <f>'Dry_Litterbag Placem_Collection'!C132</f>
        <v>Wet_P1_T2</v>
      </c>
      <c r="H131" s="265" t="s">
        <v>2541</v>
      </c>
      <c r="I131" s="266" t="s">
        <v>1147</v>
      </c>
      <c r="J131" s="263" t="str">
        <f>IF(ISBLANK('Dry_Litterbag Placem_Collection'!J132),"","G"&amp;""&amp;'Dry_Litterbag Placem_Collection'!J132)</f>
        <v>G64</v>
      </c>
      <c r="K131" s="267">
        <f>IFERROR(INDEX('Green_rooibos initial weight'!$C$5:$C$1749,MATCH(J131, 'Green_rooibos initial weight'!$A$5:$A$1749,0)),"")</f>
        <v>2.0840000000000001</v>
      </c>
      <c r="L131" s="267">
        <f>IFERROR(K131-(TBIcalc!$Q$9+TBIcalc!$Q$10),"")</f>
        <v>1.8342000000000001</v>
      </c>
      <c r="M131" s="391">
        <f>AVERAGE(Ashed_controlls!$K$2:$K$11)</f>
        <v>5.5147656768714146</v>
      </c>
      <c r="N131" s="267">
        <f t="shared" ref="N131:N194" si="11">IFERROR(L131-(M131/100)*L131,"")</f>
        <v>1.7330481679548246</v>
      </c>
      <c r="O131" s="267">
        <f>IF(IFERROR(INDEX('Both teabags AfterDry'!$D$3:$D$900,MATCH(J131,'Both teabags AfterDry'!$A$3:$A$900,0)),"")="","",(IFERROR(INDEX('Both teabags AfterDry'!$D$3:$D$900,MATCH(J131,'Both teabags AfterDry'!$A$3:$A$900,0)),"")))</f>
        <v>0.83650000000000002</v>
      </c>
      <c r="P131" s="267">
        <f>IFERROR(IF(O131&gt;0,O131-(TBIcalc!$Q$9),""),"")</f>
        <v>0.68589999999999995</v>
      </c>
      <c r="Q131" s="278">
        <f>IFERROR(INDEX('Ashed teabags dry'!$K$2:$K$825,MATCH(J131,'Ashed teabags dry'!$A$2:$A$825,0)),"")</f>
        <v>23.217636022513883</v>
      </c>
      <c r="R131" s="278">
        <f t="shared" ref="R131:R194" si="12">IFERROR(P131-(Q131/100)*P131,"")</f>
        <v>0.52665023452157722</v>
      </c>
      <c r="S131" s="268">
        <f>'Dry_Litterbag Placem_Collection'!E132</f>
        <v>42939</v>
      </c>
      <c r="T131" s="268">
        <f>IF('Dry_Litterbag Placem_Collection'!G132="","",'Dry_Litterbag Placem_Collection'!G132)</f>
        <v>43008</v>
      </c>
      <c r="U131" s="269">
        <f t="shared" si="10"/>
        <v>69</v>
      </c>
      <c r="V131" s="267">
        <f t="shared" ref="V131:V194" si="13">IFERROR(L131-P131,"")</f>
        <v>1.1483000000000001</v>
      </c>
      <c r="W131" s="267">
        <f t="shared" ref="W131:W194" si="14">IFERROR(N131-R131,"")</f>
        <v>1.2063979334332475</v>
      </c>
      <c r="X131" s="271">
        <f>IFERROR(INDEX(Rainfall_Dry!$O$2:$O$217,MATCH(B131, Rainfall_Dry!$A$2:$A$217,0)),"")</f>
        <v>136.27214243</v>
      </c>
      <c r="Y131" s="260">
        <v>31.214836424255054</v>
      </c>
      <c r="Z131" s="260">
        <v>11.377370285476141</v>
      </c>
      <c r="AA131" s="260">
        <v>57.407793290268799</v>
      </c>
      <c r="AB131" s="261" t="s">
        <v>2670</v>
      </c>
      <c r="AC131" s="260">
        <v>2.7337604731394798</v>
      </c>
      <c r="AD131">
        <f>IF('WetLitterbags placem_collection'!AB132="","",'WetLitterbags placem_collection'!AB132)</f>
        <v>2.1</v>
      </c>
      <c r="AE131">
        <f>IF('WetLitterbags placem_collection'!Z132="","",'WetLitterbags placem_collection'!Z132)</f>
        <v>3.5</v>
      </c>
      <c r="AF131" s="246" t="str">
        <f>IF('WetLitterbags placem_collection'!AA132="","",'WetLitterbags placem_collection'!AA132)</f>
        <v>O</v>
      </c>
      <c r="AG131">
        <f>IF('WetLitterbags placem_collection'!AC132="","",'WetLitterbags placem_collection'!AC132)</f>
        <v>0</v>
      </c>
      <c r="AH131">
        <f>IFERROR(AVERAGE('Dry_Litterbag Placem_Collection'!O132,'Dry_Litterbag Placem_Collection'!R132),"")</f>
        <v>8.9499999999999993</v>
      </c>
      <c r="AI131" s="271">
        <f>IFERROR(AVERAGE('Dry_Litterbag Placem_Collection'!N132,'Dry_Litterbag Placem_Collection'!Q132),"")</f>
        <v>28.55</v>
      </c>
      <c r="AJ131" s="270">
        <f>INDEX(Coordinates!$B$2:$B$197,MATCH(G131,Coordinates!$J$2:$J$197,0))</f>
        <v>-2.3503729889999998</v>
      </c>
      <c r="AK131" s="270">
        <f>INDEX(Coordinates!$C$2:$C$197,MATCH(G131,Coordinates!$J$2:$J$197,0))</f>
        <v>34.049626969999998</v>
      </c>
      <c r="AL131" s="270" t="str">
        <f>IF(ISNUMBER(SEARCH("C", 'Dry_Litterbag Placem_Collection'!S132)),"YES","NO")</f>
        <v>YES</v>
      </c>
      <c r="AM131" s="270" t="str">
        <f>IF(ISNUMBER(SEARCH("H", 'Dry_Litterbag Placem_Collection'!S132)),"YES","NO")</f>
        <v>NO</v>
      </c>
      <c r="AN131" s="270" t="str">
        <f>IF(ISNUMBER(SEARCH("R", 'Dry_Litterbag Placem_Collection'!S132)),"YES","NO")</f>
        <v>NO</v>
      </c>
    </row>
    <row r="132" spans="1:40" ht="15" customHeight="1">
      <c r="A132" s="262" t="s">
        <v>2659</v>
      </c>
      <c r="B132" s="263">
        <f>'Dry_Litterbag Placem_Collection'!A133</f>
        <v>131</v>
      </c>
      <c r="C132" s="263" t="str">
        <f>'Dry_Litterbag Placem_Collection'!B133</f>
        <v xml:space="preserve">Mwantimba
</v>
      </c>
      <c r="D132" s="263" t="s">
        <v>2460</v>
      </c>
      <c r="E132" s="263" t="s">
        <v>20</v>
      </c>
      <c r="F132" s="263">
        <v>1</v>
      </c>
      <c r="G132" s="264" t="str">
        <f>'Dry_Litterbag Placem_Collection'!C133</f>
        <v>Wet_P1_T3</v>
      </c>
      <c r="H132" s="265" t="s">
        <v>2541</v>
      </c>
      <c r="I132" s="266" t="s">
        <v>1147</v>
      </c>
      <c r="J132" s="263" t="str">
        <f>IF(ISBLANK('Dry_Litterbag Placem_Collection'!J133),"","G"&amp;""&amp;'Dry_Litterbag Placem_Collection'!J133)</f>
        <v>G118</v>
      </c>
      <c r="K132" s="267">
        <f>IFERROR(INDEX('Green_rooibos initial weight'!$C$5:$C$1749,MATCH(J132, 'Green_rooibos initial weight'!$A$5:$A$1749,0)),"")</f>
        <v>2.0870000000000002</v>
      </c>
      <c r="L132" s="267">
        <f>IFERROR(K132-(TBIcalc!$Q$9+TBIcalc!$Q$10),"")</f>
        <v>1.8372000000000002</v>
      </c>
      <c r="M132" s="391">
        <f>AVERAGE(Ashed_controlls!$K$2:$K$11)</f>
        <v>5.5147656768714146</v>
      </c>
      <c r="N132" s="267">
        <f t="shared" si="11"/>
        <v>1.7358827249845186</v>
      </c>
      <c r="O132" s="267">
        <f>IF(IFERROR(INDEX('Both teabags AfterDry'!$D$3:$D$900,MATCH(J132,'Both teabags AfterDry'!$A$3:$A$900,0)),"")="","",(IFERROR(INDEX('Both teabags AfterDry'!$D$3:$D$900,MATCH(J132,'Both teabags AfterDry'!$A$3:$A$900,0)),"")))</f>
        <v>0.87509999999999999</v>
      </c>
      <c r="P132" s="267">
        <f>IFERROR(IF(O132&gt;0,O132-(TBIcalc!$Q$9),""),"")</f>
        <v>0.72449999999999992</v>
      </c>
      <c r="Q132" s="278">
        <f>IFERROR(INDEX('Ashed teabags dry'!$K$2:$K$825,MATCH(J132,'Ashed teabags dry'!$A$2:$A$825,0)),"")</f>
        <v>19.267364414842707</v>
      </c>
      <c r="R132" s="278">
        <f t="shared" si="12"/>
        <v>0.58490794481446451</v>
      </c>
      <c r="S132" s="268">
        <f>'Dry_Litterbag Placem_Collection'!E133</f>
        <v>42939</v>
      </c>
      <c r="T132" s="268">
        <f>IF('Dry_Litterbag Placem_Collection'!G133="","",'Dry_Litterbag Placem_Collection'!G133)</f>
        <v>43008</v>
      </c>
      <c r="U132" s="269">
        <f t="shared" si="10"/>
        <v>69</v>
      </c>
      <c r="V132" s="267">
        <f t="shared" si="13"/>
        <v>1.1127000000000002</v>
      </c>
      <c r="W132" s="267">
        <f t="shared" si="14"/>
        <v>1.1509747801700541</v>
      </c>
      <c r="X132" s="271">
        <f>IFERROR(INDEX(Rainfall_Dry!$O$2:$O$217,MATCH(B132, Rainfall_Dry!$A$2:$A$217,0)),"")</f>
        <v>136.27214243</v>
      </c>
      <c r="Y132" s="260">
        <v>31.214836424255054</v>
      </c>
      <c r="Z132" s="260">
        <v>11.377370285476141</v>
      </c>
      <c r="AA132" s="260">
        <v>57.407793290268799</v>
      </c>
      <c r="AB132" s="261" t="s">
        <v>2670</v>
      </c>
      <c r="AC132" s="260">
        <v>3.7337604731394798</v>
      </c>
      <c r="AD132">
        <f>IF('WetLitterbags placem_collection'!AB133="","",'WetLitterbags placem_collection'!AB133)</f>
        <v>4.5</v>
      </c>
      <c r="AE132">
        <f>IF('WetLitterbags placem_collection'!Z133="","",'WetLitterbags placem_collection'!Z133)</f>
        <v>7.5</v>
      </c>
      <c r="AF132" s="246" t="str">
        <f>IF('WetLitterbags placem_collection'!AA133="","",'WetLitterbags placem_collection'!AA133)</f>
        <v>O</v>
      </c>
      <c r="AG132">
        <f>IF('WetLitterbags placem_collection'!AC133="","",'WetLitterbags placem_collection'!AC133)</f>
        <v>0</v>
      </c>
      <c r="AH132">
        <f>IFERROR(AVERAGE('Dry_Litterbag Placem_Collection'!O133,'Dry_Litterbag Placem_Collection'!R133),"")</f>
        <v>8.9499999999999993</v>
      </c>
      <c r="AI132" s="271">
        <f>IFERROR(AVERAGE('Dry_Litterbag Placem_Collection'!N133,'Dry_Litterbag Placem_Collection'!Q133),"")</f>
        <v>28.6</v>
      </c>
      <c r="AJ132" s="270">
        <f>INDEX(Coordinates!$B$2:$B$197,MATCH(G132,Coordinates!$J$2:$J$197,0))</f>
        <v>-2.3503259660000002</v>
      </c>
      <c r="AK132" s="270">
        <f>INDEX(Coordinates!$C$2:$C$197,MATCH(G132,Coordinates!$J$2:$J$197,0))</f>
        <v>34.049616999999998</v>
      </c>
      <c r="AL132" s="270" t="str">
        <f>IF(ISNUMBER(SEARCH("C", 'Dry_Litterbag Placem_Collection'!S133)),"YES","NO")</f>
        <v>YES</v>
      </c>
      <c r="AM132" s="270" t="str">
        <f>IF(ISNUMBER(SEARCH("H", 'Dry_Litterbag Placem_Collection'!S133)),"YES","NO")</f>
        <v>NO</v>
      </c>
      <c r="AN132" s="270" t="str">
        <f>IF(ISNUMBER(SEARCH("R", 'Dry_Litterbag Placem_Collection'!S133)),"YES","NO")</f>
        <v>NO</v>
      </c>
    </row>
    <row r="133" spans="1:40" ht="15" customHeight="1">
      <c r="A133" s="262" t="s">
        <v>2659</v>
      </c>
      <c r="B133" s="263">
        <f>'Dry_Litterbag Placem_Collection'!A134</f>
        <v>132</v>
      </c>
      <c r="C133" s="263" t="str">
        <f>'Dry_Litterbag Placem_Collection'!B134</f>
        <v xml:space="preserve">Mwantimba
</v>
      </c>
      <c r="D133" s="263" t="s">
        <v>2460</v>
      </c>
      <c r="E133" s="263" t="s">
        <v>20</v>
      </c>
      <c r="F133" s="263">
        <v>1</v>
      </c>
      <c r="G133" s="264" t="str">
        <f>'Dry_Litterbag Placem_Collection'!C134</f>
        <v>Wet_P1_T4</v>
      </c>
      <c r="H133" s="265" t="s">
        <v>2541</v>
      </c>
      <c r="I133" s="266" t="s">
        <v>1147</v>
      </c>
      <c r="J133" s="263" t="str">
        <f>IF(ISBLANK('Dry_Litterbag Placem_Collection'!J134),"","G"&amp;""&amp;'Dry_Litterbag Placem_Collection'!J134)</f>
        <v/>
      </c>
      <c r="K133" s="267" t="str">
        <f>IFERROR(INDEX('Green_rooibos initial weight'!$C$5:$C$1749,MATCH(J133, 'Green_rooibos initial weight'!$A$5:$A$1749,0)),"")</f>
        <v/>
      </c>
      <c r="L133" s="267" t="str">
        <f>IFERROR(K133-(TBIcalc!$Q$9+TBIcalc!$Q$10),"")</f>
        <v/>
      </c>
      <c r="M133" s="391">
        <f>AVERAGE(Ashed_controlls!$K$2:$K$11)</f>
        <v>5.5147656768714146</v>
      </c>
      <c r="N133" s="267" t="str">
        <f t="shared" si="11"/>
        <v/>
      </c>
      <c r="O133" s="267" t="str">
        <f>IF(IFERROR(INDEX('Both teabags AfterDry'!$D$3:$D$900,MATCH(J133,'Both teabags AfterDry'!$A$3:$A$900,0)),"")="","",(IFERROR(INDEX('Both teabags AfterDry'!$D$3:$D$900,MATCH(J133,'Both teabags AfterDry'!$A$3:$A$900,0)),"")))</f>
        <v/>
      </c>
      <c r="P133" s="267" t="str">
        <f>IFERROR(IF(O133&gt;0,O133-(TBIcalc!$Q$9),""),"")</f>
        <v/>
      </c>
      <c r="Q133" s="278" t="str">
        <f>IFERROR(INDEX('Ashed teabags dry'!$K$2:$K$825,MATCH(J133,'Ashed teabags dry'!$A$2:$A$825,0)),"")</f>
        <v/>
      </c>
      <c r="R133" s="278" t="str">
        <f t="shared" si="12"/>
        <v/>
      </c>
      <c r="S133" s="268">
        <f>'Dry_Litterbag Placem_Collection'!E134</f>
        <v>0</v>
      </c>
      <c r="T133" s="268" t="str">
        <f>IF('Dry_Litterbag Placem_Collection'!G134="","",'Dry_Litterbag Placem_Collection'!G134)</f>
        <v/>
      </c>
      <c r="U133" s="269" t="str">
        <f t="shared" si="10"/>
        <v/>
      </c>
      <c r="V133" s="267" t="str">
        <f t="shared" si="13"/>
        <v/>
      </c>
      <c r="W133" s="267" t="str">
        <f t="shared" si="14"/>
        <v/>
      </c>
      <c r="X133" s="271" t="str">
        <f>IFERROR(INDEX(Rainfall_Dry!$O$2:$O$217,MATCH(B133, Rainfall_Dry!$A$2:$A$217,0)),"")</f>
        <v/>
      </c>
      <c r="Y133" s="260">
        <v>31.214836424255054</v>
      </c>
      <c r="Z133" s="260">
        <v>11.377370285476141</v>
      </c>
      <c r="AA133" s="260">
        <v>57.407793290268799</v>
      </c>
      <c r="AB133" s="261" t="s">
        <v>2670</v>
      </c>
      <c r="AC133" s="260">
        <v>4.7337604731394798</v>
      </c>
      <c r="AD133">
        <f>IF('WetLitterbags placem_collection'!AB134="","",'WetLitterbags placem_collection'!AB134)</f>
        <v>0.7</v>
      </c>
      <c r="AE133">
        <f>IF('WetLitterbags placem_collection'!Z134="","",'WetLitterbags placem_collection'!Z134)</f>
        <v>9.8000000000000007</v>
      </c>
      <c r="AF133" s="246" t="str">
        <f>IF('WetLitterbags placem_collection'!AA134="","",'WetLitterbags placem_collection'!AA134)</f>
        <v>G</v>
      </c>
      <c r="AG133">
        <f>IF('WetLitterbags placem_collection'!AC134="","",'WetLitterbags placem_collection'!AC134)</f>
        <v>1</v>
      </c>
      <c r="AH133" t="str">
        <f>IFERROR(AVERAGE('Dry_Litterbag Placem_Collection'!O134,'Dry_Litterbag Placem_Collection'!R134),"")</f>
        <v/>
      </c>
      <c r="AI133" s="271" t="str">
        <f>IFERROR(AVERAGE('Dry_Litterbag Placem_Collection'!N134,'Dry_Litterbag Placem_Collection'!Q134),"")</f>
        <v/>
      </c>
      <c r="AJ133" s="270">
        <f>INDEX(Coordinates!$B$2:$B$197,MATCH(G133,Coordinates!$J$2:$J$197,0))</f>
        <v>-2.3504800260000001</v>
      </c>
      <c r="AK133" s="270">
        <f>INDEX(Coordinates!$C$2:$C$197,MATCH(G133,Coordinates!$J$2:$J$197,0))</f>
        <v>34.049551030000003</v>
      </c>
      <c r="AL133" s="270" t="str">
        <f>IF(ISNUMBER(SEARCH("C", 'Dry_Litterbag Placem_Collection'!S134)),"YES","NO")</f>
        <v>NO</v>
      </c>
      <c r="AM133" s="270" t="str">
        <f>IF(ISNUMBER(SEARCH("H", 'Dry_Litterbag Placem_Collection'!S134)),"YES","NO")</f>
        <v>NO</v>
      </c>
      <c r="AN133" s="270" t="str">
        <f>IF(ISNUMBER(SEARCH("R", 'Dry_Litterbag Placem_Collection'!S134)),"YES","NO")</f>
        <v>NO</v>
      </c>
    </row>
    <row r="134" spans="1:40" ht="15" customHeight="1">
      <c r="A134" s="262" t="s">
        <v>2659</v>
      </c>
      <c r="B134" s="263">
        <f>'Dry_Litterbag Placem_Collection'!A135</f>
        <v>133</v>
      </c>
      <c r="C134" s="263" t="str">
        <f>'Dry_Litterbag Placem_Collection'!B135</f>
        <v xml:space="preserve">Mwantimba
</v>
      </c>
      <c r="D134" s="263" t="s">
        <v>2460</v>
      </c>
      <c r="E134" s="263" t="s">
        <v>20</v>
      </c>
      <c r="F134" s="263">
        <v>1</v>
      </c>
      <c r="G134" s="264" t="str">
        <f>'Dry_Litterbag Placem_Collection'!C135</f>
        <v>Wet_P1_T5</v>
      </c>
      <c r="H134" s="265" t="s">
        <v>2541</v>
      </c>
      <c r="I134" s="266" t="s">
        <v>1147</v>
      </c>
      <c r="J134" s="263" t="str">
        <f>IF(ISBLANK('Dry_Litterbag Placem_Collection'!J135),"","G"&amp;""&amp;'Dry_Litterbag Placem_Collection'!J135)</f>
        <v>G270</v>
      </c>
      <c r="K134" s="267">
        <f>IFERROR(INDEX('Green_rooibos initial weight'!$C$5:$C$1749,MATCH(J134, 'Green_rooibos initial weight'!$A$5:$A$1749,0)),"")</f>
        <v>2.0139999999999998</v>
      </c>
      <c r="L134" s="267">
        <f>IFERROR(K134-(TBIcalc!$Q$9+TBIcalc!$Q$10),"")</f>
        <v>1.7641999999999998</v>
      </c>
      <c r="M134" s="391">
        <f>AVERAGE(Ashed_controlls!$K$2:$K$11)</f>
        <v>5.5147656768714146</v>
      </c>
      <c r="N134" s="267">
        <f t="shared" si="11"/>
        <v>1.6669085039286342</v>
      </c>
      <c r="O134" s="267" t="str">
        <f>IF(IFERROR(INDEX('Both teabags AfterDry'!$D$3:$D$900,MATCH(J134,'Both teabags AfterDry'!$A$3:$A$900,0)),"")="","",(IFERROR(INDEX('Both teabags AfterDry'!$D$3:$D$900,MATCH(J134,'Both teabags AfterDry'!$A$3:$A$900,0)),"")))</f>
        <v/>
      </c>
      <c r="P134" s="267" t="str">
        <f>IFERROR(IF(O134&gt;0,O134-(TBIcalc!$Q$9),""),"")</f>
        <v/>
      </c>
      <c r="Q134" s="278" t="str">
        <f>IFERROR(INDEX('Ashed teabags dry'!$K$2:$K$825,MATCH(J134,'Ashed teabags dry'!$A$2:$A$825,0)),"")</f>
        <v/>
      </c>
      <c r="R134" s="278" t="str">
        <f t="shared" si="12"/>
        <v/>
      </c>
      <c r="S134" s="268">
        <f>'Dry_Litterbag Placem_Collection'!E135</f>
        <v>42939</v>
      </c>
      <c r="T134" s="268">
        <f>IF('Dry_Litterbag Placem_Collection'!G135="","",'Dry_Litterbag Placem_Collection'!G135)</f>
        <v>43008</v>
      </c>
      <c r="U134" s="269">
        <f t="shared" si="10"/>
        <v>69</v>
      </c>
      <c r="V134" s="267" t="str">
        <f t="shared" si="13"/>
        <v/>
      </c>
      <c r="W134" s="267" t="str">
        <f t="shared" si="14"/>
        <v/>
      </c>
      <c r="X134" s="271">
        <f>IFERROR(INDEX(Rainfall_Dry!$O$2:$O$217,MATCH(B134, Rainfall_Dry!$A$2:$A$217,0)),"")</f>
        <v>136.27214243</v>
      </c>
      <c r="Y134" s="260">
        <v>31.214836424255054</v>
      </c>
      <c r="Z134" s="260">
        <v>11.377370285476141</v>
      </c>
      <c r="AA134" s="260">
        <v>57.407793290268799</v>
      </c>
      <c r="AB134" s="261" t="s">
        <v>2670</v>
      </c>
      <c r="AC134" s="260">
        <v>5.7337604731394798</v>
      </c>
      <c r="AD134">
        <f>IF('WetLitterbags placem_collection'!AB135="","",'WetLitterbags placem_collection'!AB135)</f>
        <v>2.2000000000000002</v>
      </c>
      <c r="AE134">
        <f>IF('WetLitterbags placem_collection'!Z135="","",'WetLitterbags placem_collection'!Z135)</f>
        <v>10</v>
      </c>
      <c r="AF134" s="246" t="str">
        <f>IF('WetLitterbags placem_collection'!AA135="","",'WetLitterbags placem_collection'!AA135)</f>
        <v>O</v>
      </c>
      <c r="AG134">
        <f>IF('WetLitterbags placem_collection'!AC135="","",'WetLitterbags placem_collection'!AC135)</f>
        <v>1</v>
      </c>
      <c r="AH134">
        <f>IFERROR(AVERAGE('Dry_Litterbag Placem_Collection'!O135,'Dry_Litterbag Placem_Collection'!R135),"")</f>
        <v>8.75</v>
      </c>
      <c r="AI134" s="271">
        <f>IFERROR(AVERAGE('Dry_Litterbag Placem_Collection'!N135,'Dry_Litterbag Placem_Collection'!Q135),"")</f>
        <v>31.3</v>
      </c>
      <c r="AJ134" s="270">
        <f>INDEX(Coordinates!$B$2:$B$197,MATCH(G134,Coordinates!$J$2:$J$197,0))</f>
        <v>-2.350474996</v>
      </c>
      <c r="AK134" s="270">
        <f>INDEX(Coordinates!$C$2:$C$197,MATCH(G134,Coordinates!$J$2:$J$197,0))</f>
        <v>34.049801979999998</v>
      </c>
      <c r="AL134" s="270" t="str">
        <f>IF(ISNUMBER(SEARCH("C", 'Dry_Litterbag Placem_Collection'!S135)),"YES","NO")</f>
        <v>YES</v>
      </c>
      <c r="AM134" s="270" t="str">
        <f>IF(ISNUMBER(SEARCH("H", 'Dry_Litterbag Placem_Collection'!S135)),"YES","NO")</f>
        <v>NO</v>
      </c>
      <c r="AN134" s="270" t="str">
        <f>IF(ISNUMBER(SEARCH("R", 'Dry_Litterbag Placem_Collection'!S135)),"YES","NO")</f>
        <v>NO</v>
      </c>
    </row>
    <row r="135" spans="1:40" ht="15" customHeight="1">
      <c r="A135" s="262" t="s">
        <v>2659</v>
      </c>
      <c r="B135" s="263">
        <f>'Dry_Litterbag Placem_Collection'!A136</f>
        <v>134</v>
      </c>
      <c r="C135" s="263" t="str">
        <f>'Dry_Litterbag Placem_Collection'!B136</f>
        <v xml:space="preserve">Mwantimba
</v>
      </c>
      <c r="D135" s="263" t="s">
        <v>2460</v>
      </c>
      <c r="E135" s="263" t="s">
        <v>20</v>
      </c>
      <c r="F135" s="263">
        <v>1</v>
      </c>
      <c r="G135" s="264" t="str">
        <f>'Dry_Litterbag Placem_Collection'!C136</f>
        <v>Wet_P1_T6</v>
      </c>
      <c r="H135" s="265" t="s">
        <v>2541</v>
      </c>
      <c r="I135" s="266" t="s">
        <v>1147</v>
      </c>
      <c r="J135" s="263" t="str">
        <f>IF(ISBLANK('Dry_Litterbag Placem_Collection'!J136),"","G"&amp;""&amp;'Dry_Litterbag Placem_Collection'!J136)</f>
        <v>G316</v>
      </c>
      <c r="K135" s="267">
        <f>IFERROR(INDEX('Green_rooibos initial weight'!$C$5:$C$1749,MATCH(J135, 'Green_rooibos initial weight'!$A$5:$A$1749,0)),"")</f>
        <v>2.0579999999999998</v>
      </c>
      <c r="L135" s="267">
        <f>IFERROR(K135-(TBIcalc!$Q$9+TBIcalc!$Q$10),"")</f>
        <v>1.8081999999999998</v>
      </c>
      <c r="M135" s="391">
        <f>AVERAGE(Ashed_controlls!$K$2:$K$11)</f>
        <v>5.5147656768714146</v>
      </c>
      <c r="N135" s="267">
        <f t="shared" si="11"/>
        <v>1.7084820070308109</v>
      </c>
      <c r="O135" s="267">
        <f>IF(IFERROR(INDEX('Both teabags AfterDry'!$D$3:$D$900,MATCH(J135,'Both teabags AfterDry'!$A$3:$A$900,0)),"")="","",(IFERROR(INDEX('Both teabags AfterDry'!$D$3:$D$900,MATCH(J135,'Both teabags AfterDry'!$A$3:$A$900,0)),"")))</f>
        <v>0.6512</v>
      </c>
      <c r="P135" s="267">
        <f>IFERROR(IF(O135&gt;0,O135-(TBIcalc!$Q$9),""),"")</f>
        <v>0.50059999999999993</v>
      </c>
      <c r="Q135" s="278" t="str">
        <f>IFERROR(INDEX('Ashed teabags dry'!$K$2:$K$825,MATCH(J135,'Ashed teabags dry'!$A$2:$A$825,0)),"")</f>
        <v/>
      </c>
      <c r="R135" s="278" t="str">
        <f t="shared" si="12"/>
        <v/>
      </c>
      <c r="S135" s="268">
        <f>'Dry_Litterbag Placem_Collection'!E136</f>
        <v>42939</v>
      </c>
      <c r="T135" s="268">
        <f>IF('Dry_Litterbag Placem_Collection'!G136="","",'Dry_Litterbag Placem_Collection'!G136)</f>
        <v>43008</v>
      </c>
      <c r="U135" s="269">
        <f t="shared" si="10"/>
        <v>69</v>
      </c>
      <c r="V135" s="267">
        <f t="shared" si="13"/>
        <v>1.3075999999999999</v>
      </c>
      <c r="W135" s="267" t="str">
        <f t="shared" si="14"/>
        <v/>
      </c>
      <c r="X135" s="271">
        <f>IFERROR(INDEX(Rainfall_Dry!$O$2:$O$217,MATCH(B135, Rainfall_Dry!$A$2:$A$217,0)),"")</f>
        <v>136.27214243</v>
      </c>
      <c r="Y135" s="260">
        <v>31.214836424255054</v>
      </c>
      <c r="Z135" s="260">
        <v>11.377370285476141</v>
      </c>
      <c r="AA135" s="260">
        <v>57.407793290268799</v>
      </c>
      <c r="AB135" s="261" t="s">
        <v>2670</v>
      </c>
      <c r="AC135" s="260">
        <v>6.7337604731394798</v>
      </c>
      <c r="AD135">
        <f>IF('WetLitterbags placem_collection'!AB136="","",'WetLitterbags placem_collection'!AB136)</f>
        <v>1.1000000000000001</v>
      </c>
      <c r="AE135">
        <f>IF('WetLitterbags placem_collection'!Z136="","",'WetLitterbags placem_collection'!Z136)</f>
        <v>15.4</v>
      </c>
      <c r="AF135" s="246" t="str">
        <f>IF('WetLitterbags placem_collection'!AA136="","",'WetLitterbags placem_collection'!AA136)</f>
        <v>O</v>
      </c>
      <c r="AG135">
        <f>IF('WetLitterbags placem_collection'!AC136="","",'WetLitterbags placem_collection'!AC136)</f>
        <v>1</v>
      </c>
      <c r="AH135">
        <f>IFERROR(AVERAGE('Dry_Litterbag Placem_Collection'!O136,'Dry_Litterbag Placem_Collection'!R136),"")</f>
        <v>6.65</v>
      </c>
      <c r="AI135" s="271">
        <f>IFERROR(AVERAGE('Dry_Litterbag Placem_Collection'!N136,'Dry_Litterbag Placem_Collection'!Q136),"")</f>
        <v>29.200000000000003</v>
      </c>
      <c r="AJ135" s="270">
        <f>INDEX(Coordinates!$B$2:$B$197,MATCH(G135,Coordinates!$J$2:$J$197,0))</f>
        <v>-2.3503559730000001</v>
      </c>
      <c r="AK135" s="270">
        <f>INDEX(Coordinates!$C$2:$C$197,MATCH(G135,Coordinates!$J$2:$J$197,0))</f>
        <v>34.049800980000001</v>
      </c>
      <c r="AL135" s="270" t="str">
        <f>IF(ISNUMBER(SEARCH("C", 'Dry_Litterbag Placem_Collection'!S136)),"YES","NO")</f>
        <v>NO</v>
      </c>
      <c r="AM135" s="270" t="str">
        <f>IF(ISNUMBER(SEARCH("H", 'Dry_Litterbag Placem_Collection'!S136)),"YES","NO")</f>
        <v>NO</v>
      </c>
      <c r="AN135" s="270" t="str">
        <f>IF(ISNUMBER(SEARCH("R", 'Dry_Litterbag Placem_Collection'!S136)),"YES","NO")</f>
        <v>YES</v>
      </c>
    </row>
    <row r="136" spans="1:40" ht="15" customHeight="1">
      <c r="A136" s="262" t="s">
        <v>2659</v>
      </c>
      <c r="B136" s="263">
        <f>'Dry_Litterbag Placem_Collection'!A137</f>
        <v>135</v>
      </c>
      <c r="C136" s="263" t="str">
        <f>'Dry_Litterbag Placem_Collection'!B137</f>
        <v xml:space="preserve">Mwantimba
</v>
      </c>
      <c r="D136" s="263" t="s">
        <v>2460</v>
      </c>
      <c r="E136" s="263" t="s">
        <v>20</v>
      </c>
      <c r="F136" s="263">
        <v>1</v>
      </c>
      <c r="G136" s="264" t="str">
        <f>'Dry_Litterbag Placem_Collection'!C137</f>
        <v>Wet_P1_T7</v>
      </c>
      <c r="H136" s="265" t="s">
        <v>2541</v>
      </c>
      <c r="I136" s="266" t="s">
        <v>1147</v>
      </c>
      <c r="J136" s="263" t="str">
        <f>IF(ISBLANK('Dry_Litterbag Placem_Collection'!J137),"","G"&amp;""&amp;'Dry_Litterbag Placem_Collection'!J137)</f>
        <v>G77</v>
      </c>
      <c r="K136" s="267">
        <f>IFERROR(INDEX('Green_rooibos initial weight'!$C$5:$C$1749,MATCH(J136, 'Green_rooibos initial weight'!$A$5:$A$1749,0)),"")</f>
        <v>2.0190000000000001</v>
      </c>
      <c r="L136" s="267">
        <f>IFERROR(K136-(TBIcalc!$Q$9+TBIcalc!$Q$10),"")</f>
        <v>1.7692000000000001</v>
      </c>
      <c r="M136" s="391">
        <f>AVERAGE(Ashed_controlls!$K$2:$K$11)</f>
        <v>5.5147656768714146</v>
      </c>
      <c r="N136" s="267">
        <f t="shared" si="11"/>
        <v>1.6716327656447911</v>
      </c>
      <c r="O136" s="267">
        <f>IF(IFERROR(INDEX('Both teabags AfterDry'!$D$3:$D$900,MATCH(J136,'Both teabags AfterDry'!$A$3:$A$900,0)),"")="","",(IFERROR(INDEX('Both teabags AfterDry'!$D$3:$D$900,MATCH(J136,'Both teabags AfterDry'!$A$3:$A$900,0)),"")))</f>
        <v>0.94330000000000003</v>
      </c>
      <c r="P136" s="267">
        <f>IFERROR(IF(O136&gt;0,O136-(TBIcalc!$Q$9),""),"")</f>
        <v>0.79269999999999996</v>
      </c>
      <c r="Q136" s="278">
        <f>IFERROR(INDEX('Ashed teabags dry'!$K$2:$K$825,MATCH(J136,'Ashed teabags dry'!$A$2:$A$825,0)),"")</f>
        <v>34.179033030157882</v>
      </c>
      <c r="R136" s="278">
        <f t="shared" si="12"/>
        <v>0.52176280516993845</v>
      </c>
      <c r="S136" s="268">
        <f>'Dry_Litterbag Placem_Collection'!E137</f>
        <v>42939</v>
      </c>
      <c r="T136" s="268">
        <f>IF('Dry_Litterbag Placem_Collection'!G137="","",'Dry_Litterbag Placem_Collection'!G137)</f>
        <v>43008</v>
      </c>
      <c r="U136" s="269">
        <f t="shared" si="10"/>
        <v>69</v>
      </c>
      <c r="V136" s="267">
        <f t="shared" si="13"/>
        <v>0.97650000000000015</v>
      </c>
      <c r="W136" s="267">
        <f t="shared" si="14"/>
        <v>1.1498699604748528</v>
      </c>
      <c r="X136" s="271">
        <f>IFERROR(INDEX(Rainfall_Dry!$O$2:$O$217,MATCH(B136, Rainfall_Dry!$A$2:$A$217,0)),"")</f>
        <v>136.27214243</v>
      </c>
      <c r="Y136" s="260">
        <v>31.214836424255054</v>
      </c>
      <c r="Z136" s="260">
        <v>11.377370285476141</v>
      </c>
      <c r="AA136" s="260">
        <v>57.407793290268799</v>
      </c>
      <c r="AB136" s="261" t="s">
        <v>2670</v>
      </c>
      <c r="AC136" s="260">
        <v>7.7337604731394798</v>
      </c>
      <c r="AD136">
        <f>IF('WetLitterbags placem_collection'!AB137="","",'WetLitterbags placem_collection'!AB137)</f>
        <v>2.1</v>
      </c>
      <c r="AE136">
        <f>IF('WetLitterbags placem_collection'!Z137="","",'WetLitterbags placem_collection'!Z137)</f>
        <v>5.6</v>
      </c>
      <c r="AF136" s="246" t="str">
        <f>IF('WetLitterbags placem_collection'!AA137="","",'WetLitterbags placem_collection'!AA137)</f>
        <v>O</v>
      </c>
      <c r="AG136">
        <f>IF('WetLitterbags placem_collection'!AC137="","",'WetLitterbags placem_collection'!AC137)</f>
        <v>1</v>
      </c>
      <c r="AH136">
        <f>IFERROR(AVERAGE('Dry_Litterbag Placem_Collection'!O137,'Dry_Litterbag Placem_Collection'!R137),"")</f>
        <v>8.5500000000000007</v>
      </c>
      <c r="AI136" s="271">
        <f>IFERROR(AVERAGE('Dry_Litterbag Placem_Collection'!N137,'Dry_Litterbag Placem_Collection'!Q137),"")</f>
        <v>31.35</v>
      </c>
      <c r="AJ136" s="270">
        <f>INDEX(Coordinates!$B$2:$B$197,MATCH(G136,Coordinates!$J$2:$J$197,0))</f>
        <v>-2.3503589909999998</v>
      </c>
      <c r="AK136" s="270">
        <f>INDEX(Coordinates!$C$2:$C$197,MATCH(G136,Coordinates!$J$2:$J$197,0))</f>
        <v>34.049719000000003</v>
      </c>
      <c r="AL136" s="270" t="str">
        <f>IF(ISNUMBER(SEARCH("C", 'Dry_Litterbag Placem_Collection'!S137)),"YES","NO")</f>
        <v>YES</v>
      </c>
      <c r="AM136" s="270" t="str">
        <f>IF(ISNUMBER(SEARCH("H", 'Dry_Litterbag Placem_Collection'!S137)),"YES","NO")</f>
        <v>YES</v>
      </c>
      <c r="AN136" s="270" t="str">
        <f>IF(ISNUMBER(SEARCH("R", 'Dry_Litterbag Placem_Collection'!S137)),"YES","NO")</f>
        <v>NO</v>
      </c>
    </row>
    <row r="137" spans="1:40" ht="15" customHeight="1">
      <c r="A137" s="262" t="s">
        <v>2659</v>
      </c>
      <c r="B137" s="263">
        <f>'Dry_Litterbag Placem_Collection'!A138</f>
        <v>136</v>
      </c>
      <c r="C137" s="263" t="str">
        <f>'Dry_Litterbag Placem_Collection'!B138</f>
        <v xml:space="preserve">Mwantimba
</v>
      </c>
      <c r="D137" s="263" t="s">
        <v>2460</v>
      </c>
      <c r="E137" s="263" t="s">
        <v>20</v>
      </c>
      <c r="F137" s="263">
        <v>1</v>
      </c>
      <c r="G137" s="264" t="str">
        <f>'Dry_Litterbag Placem_Collection'!C138</f>
        <v>Wet_P1_T8</v>
      </c>
      <c r="H137" s="265" t="s">
        <v>2541</v>
      </c>
      <c r="I137" s="266" t="s">
        <v>1147</v>
      </c>
      <c r="J137" s="263" t="str">
        <f>IF(ISBLANK('Dry_Litterbag Placem_Collection'!J138),"","G"&amp;""&amp;'Dry_Litterbag Placem_Collection'!J138)</f>
        <v>G332</v>
      </c>
      <c r="K137" s="267">
        <f>IFERROR(INDEX('Green_rooibos initial weight'!$C$5:$C$1749,MATCH(J137, 'Green_rooibos initial weight'!$A$5:$A$1749,0)),"")</f>
        <v>2.121</v>
      </c>
      <c r="L137" s="267">
        <f>IFERROR(K137-(TBIcalc!$Q$9+TBIcalc!$Q$10),"")</f>
        <v>1.8712</v>
      </c>
      <c r="M137" s="391">
        <f>AVERAGE(Ashed_controlls!$K$2:$K$11)</f>
        <v>5.5147656768714146</v>
      </c>
      <c r="N137" s="267">
        <f t="shared" si="11"/>
        <v>1.7680077046543821</v>
      </c>
      <c r="O137" s="267">
        <f>IF(IFERROR(INDEX('Both teabags AfterDry'!$D$3:$D$900,MATCH(J137,'Both teabags AfterDry'!$A$3:$A$900,0)),"")="","",(IFERROR(INDEX('Both teabags AfterDry'!$D$3:$D$900,MATCH(J137,'Both teabags AfterDry'!$A$3:$A$900,0)),"")))</f>
        <v>0.98260000000000003</v>
      </c>
      <c r="P137" s="267">
        <f>IFERROR(IF(O137&gt;0,O137-(TBIcalc!$Q$9),""),"")</f>
        <v>0.83200000000000007</v>
      </c>
      <c r="Q137" s="278">
        <f>IFERROR(INDEX('Ashed teabags dry'!$K$2:$K$825,MATCH(J137,'Ashed teabags dry'!$A$2:$A$825,0)),"")</f>
        <v>36.128717698681726</v>
      </c>
      <c r="R137" s="278">
        <f t="shared" si="12"/>
        <v>0.53140906874696814</v>
      </c>
      <c r="S137" s="268">
        <f>'Dry_Litterbag Placem_Collection'!E138</f>
        <v>42939</v>
      </c>
      <c r="T137" s="268">
        <f>IF('Dry_Litterbag Placem_Collection'!G138="","",'Dry_Litterbag Placem_Collection'!G138)</f>
        <v>43008</v>
      </c>
      <c r="U137" s="269">
        <f t="shared" si="10"/>
        <v>69</v>
      </c>
      <c r="V137" s="267">
        <f t="shared" si="13"/>
        <v>1.0391999999999999</v>
      </c>
      <c r="W137" s="267">
        <f t="shared" si="14"/>
        <v>1.2365986359074139</v>
      </c>
      <c r="X137" s="271">
        <f>IFERROR(INDEX(Rainfall_Dry!$O$2:$O$217,MATCH(B137, Rainfall_Dry!$A$2:$A$217,0)),"")</f>
        <v>136.27214243</v>
      </c>
      <c r="Y137" s="260">
        <v>31.214836424255054</v>
      </c>
      <c r="Z137" s="260">
        <v>11.377370285476141</v>
      </c>
      <c r="AA137" s="260">
        <v>57.407793290268799</v>
      </c>
      <c r="AB137" s="261" t="s">
        <v>2670</v>
      </c>
      <c r="AC137" s="260">
        <v>8.7337604731394798</v>
      </c>
      <c r="AD137">
        <f>IF('WetLitterbags placem_collection'!AB138="","",'WetLitterbags placem_collection'!AB138)</f>
        <v>2.2999999999999998</v>
      </c>
      <c r="AE137">
        <f>IF('WetLitterbags placem_collection'!Z138="","",'WetLitterbags placem_collection'!Z138)</f>
        <v>16.3</v>
      </c>
      <c r="AF137" s="246" t="str">
        <f>IF('WetLitterbags placem_collection'!AA138="","",'WetLitterbags placem_collection'!AA138)</f>
        <v>G</v>
      </c>
      <c r="AG137">
        <f>IF('WetLitterbags placem_collection'!AC138="","",'WetLitterbags placem_collection'!AC138)</f>
        <v>1</v>
      </c>
      <c r="AH137">
        <f>IFERROR(AVERAGE('Dry_Litterbag Placem_Collection'!O138,'Dry_Litterbag Placem_Collection'!R138),"")</f>
        <v>5.9</v>
      </c>
      <c r="AI137" s="271">
        <f>IFERROR(AVERAGE('Dry_Litterbag Placem_Collection'!N138,'Dry_Litterbag Placem_Collection'!Q138),"")</f>
        <v>29.9</v>
      </c>
      <c r="AJ137" s="270">
        <f>INDEX(Coordinates!$B$2:$B$197,MATCH(G137,Coordinates!$J$2:$J$197,0))</f>
        <v>-2.3502159960000002</v>
      </c>
      <c r="AK137" s="270">
        <f>INDEX(Coordinates!$C$2:$C$197,MATCH(G137,Coordinates!$J$2:$J$197,0))</f>
        <v>34.049822020000001</v>
      </c>
      <c r="AL137" s="270" t="str">
        <f>IF(ISNUMBER(SEARCH("C", 'Dry_Litterbag Placem_Collection'!S138)),"YES","NO")</f>
        <v>YES</v>
      </c>
      <c r="AM137" s="270" t="str">
        <f>IF(ISNUMBER(SEARCH("H", 'Dry_Litterbag Placem_Collection'!S138)),"YES","NO")</f>
        <v>NO</v>
      </c>
      <c r="AN137" s="270" t="str">
        <f>IF(ISNUMBER(SEARCH("R", 'Dry_Litterbag Placem_Collection'!S138)),"YES","NO")</f>
        <v>NO</v>
      </c>
    </row>
    <row r="138" spans="1:40" ht="15" customHeight="1">
      <c r="A138" s="262" t="s">
        <v>2659</v>
      </c>
      <c r="B138" s="263">
        <f>'Dry_Litterbag Placem_Collection'!A139</f>
        <v>137</v>
      </c>
      <c r="C138" s="263" t="str">
        <f>'Dry_Litterbag Placem_Collection'!B139</f>
        <v xml:space="preserve">Mwantimba
</v>
      </c>
      <c r="D138" s="263" t="s">
        <v>2460</v>
      </c>
      <c r="E138" s="263" t="s">
        <v>20</v>
      </c>
      <c r="F138" s="263">
        <v>2</v>
      </c>
      <c r="G138" s="264" t="str">
        <f>'Dry_Litterbag Placem_Collection'!C139</f>
        <v>Wet_P2_T1</v>
      </c>
      <c r="H138" s="265" t="s">
        <v>2541</v>
      </c>
      <c r="I138" s="266" t="s">
        <v>1147</v>
      </c>
      <c r="J138" s="263" t="str">
        <f>IF(ISBLANK('Dry_Litterbag Placem_Collection'!J139),"","G"&amp;""&amp;'Dry_Litterbag Placem_Collection'!J139)</f>
        <v>G30</v>
      </c>
      <c r="K138" s="267">
        <f>IFERROR(INDEX('Green_rooibos initial weight'!$C$5:$C$1749,MATCH(J138, 'Green_rooibos initial weight'!$A$5:$A$1749,0)),"")</f>
        <v>2.0680000000000001</v>
      </c>
      <c r="L138" s="267">
        <f>IFERROR(K138-(TBIcalc!$Q$9+TBIcalc!$Q$10),"")</f>
        <v>1.8182</v>
      </c>
      <c r="M138" s="391">
        <f>AVERAGE(Ashed_controlls!$K$2:$K$11)</f>
        <v>5.5147656768714146</v>
      </c>
      <c r="N138" s="267">
        <f t="shared" si="11"/>
        <v>1.7179305304631241</v>
      </c>
      <c r="O138" s="267">
        <f>IF(IFERROR(INDEX('Both teabags AfterDry'!$D$3:$D$900,MATCH(J138,'Both teabags AfterDry'!$A$3:$A$900,0)),"")="","",(IFERROR(INDEX('Both teabags AfterDry'!$D$3:$D$900,MATCH(J138,'Both teabags AfterDry'!$A$3:$A$900,0)),"")))</f>
        <v>0.80879999999999996</v>
      </c>
      <c r="P138" s="267">
        <f>IFERROR(IF(O138&gt;0,O138-(TBIcalc!$Q$9),""),"")</f>
        <v>0.6581999999999999</v>
      </c>
      <c r="Q138" s="278">
        <f>IFERROR(INDEX('Ashed teabags dry'!$K$2:$K$825,MATCH(J138,'Ashed teabags dry'!$A$2:$A$825,0)),"")</f>
        <v>19.57311534968159</v>
      </c>
      <c r="R138" s="278">
        <f t="shared" si="12"/>
        <v>0.52936975476839565</v>
      </c>
      <c r="S138" s="268">
        <f>'Dry_Litterbag Placem_Collection'!E139</f>
        <v>42939</v>
      </c>
      <c r="T138" s="268">
        <f>IF('Dry_Litterbag Placem_Collection'!G139="","",'Dry_Litterbag Placem_Collection'!G139)</f>
        <v>43008</v>
      </c>
      <c r="U138" s="269">
        <f t="shared" si="10"/>
        <v>69</v>
      </c>
      <c r="V138" s="267">
        <f t="shared" si="13"/>
        <v>1.1600000000000001</v>
      </c>
      <c r="W138" s="267">
        <f t="shared" si="14"/>
        <v>1.1885607756947283</v>
      </c>
      <c r="X138" s="271">
        <f>IFERROR(INDEX(Rainfall_Dry!$O$2:$O$217,MATCH(B138, Rainfall_Dry!$A$2:$A$217,0)),"")</f>
        <v>136.27214243</v>
      </c>
      <c r="Y138" s="260">
        <v>33.96</v>
      </c>
      <c r="Z138" s="260">
        <v>8.9200000000000017</v>
      </c>
      <c r="AA138" s="260">
        <v>57.12</v>
      </c>
      <c r="AB138" s="261" t="s">
        <v>2670</v>
      </c>
      <c r="AC138" s="260">
        <v>2.072055199605717</v>
      </c>
      <c r="AD138">
        <f>IF('WetLitterbags placem_collection'!AB139="","",'WetLitterbags placem_collection'!AB139)</f>
        <v>1.2</v>
      </c>
      <c r="AE138">
        <f>IF('WetLitterbags placem_collection'!Z139="","",'WetLitterbags placem_collection'!Z139)</f>
        <v>32.4</v>
      </c>
      <c r="AF138" s="246" t="str">
        <f>IF('WetLitterbags placem_collection'!AA139="","",'WetLitterbags placem_collection'!AA139)</f>
        <v>G</v>
      </c>
      <c r="AG138">
        <f>IF('WetLitterbags placem_collection'!AC139="","",'WetLitterbags placem_collection'!AC139)</f>
        <v>1</v>
      </c>
      <c r="AH138">
        <f>IFERROR(AVERAGE('Dry_Litterbag Placem_Collection'!O139,'Dry_Litterbag Placem_Collection'!R139),"")</f>
        <v>8.9</v>
      </c>
      <c r="AI138" s="271">
        <f>IFERROR(AVERAGE('Dry_Litterbag Placem_Collection'!N139,'Dry_Litterbag Placem_Collection'!Q139),"")</f>
        <v>27.55</v>
      </c>
      <c r="AJ138" s="270">
        <f>INDEX(Coordinates!$B$2:$B$197,MATCH(G138,Coordinates!$J$2:$J$197,0))</f>
        <v>-2.348596025</v>
      </c>
      <c r="AK138" s="270">
        <f>INDEX(Coordinates!$C$2:$C$197,MATCH(G138,Coordinates!$J$2:$J$197,0))</f>
        <v>34.050070959999999</v>
      </c>
      <c r="AL138" s="270" t="str">
        <f>IF(ISNUMBER(SEARCH("C", 'Dry_Litterbag Placem_Collection'!S139)),"YES","NO")</f>
        <v>NO</v>
      </c>
      <c r="AM138" s="270" t="str">
        <f>IF(ISNUMBER(SEARCH("H", 'Dry_Litterbag Placem_Collection'!S139)),"YES","NO")</f>
        <v>YES</v>
      </c>
      <c r="AN138" s="270" t="str">
        <f>IF(ISNUMBER(SEARCH("R", 'Dry_Litterbag Placem_Collection'!S139)),"YES","NO")</f>
        <v>NO</v>
      </c>
    </row>
    <row r="139" spans="1:40" ht="15" customHeight="1">
      <c r="A139" s="262" t="s">
        <v>2659</v>
      </c>
      <c r="B139" s="263">
        <f>'Dry_Litterbag Placem_Collection'!A140</f>
        <v>138</v>
      </c>
      <c r="C139" s="263" t="str">
        <f>'Dry_Litterbag Placem_Collection'!B140</f>
        <v xml:space="preserve">Mwantimba
</v>
      </c>
      <c r="D139" s="263" t="s">
        <v>2460</v>
      </c>
      <c r="E139" s="263" t="s">
        <v>20</v>
      </c>
      <c r="F139" s="263">
        <v>2</v>
      </c>
      <c r="G139" s="264" t="str">
        <f>'Dry_Litterbag Placem_Collection'!C140</f>
        <v>Wet_P2_T2</v>
      </c>
      <c r="H139" s="265" t="s">
        <v>2541</v>
      </c>
      <c r="I139" s="266" t="s">
        <v>1147</v>
      </c>
      <c r="J139" s="263" t="str">
        <f>IF(ISBLANK('Dry_Litterbag Placem_Collection'!J140),"","G"&amp;""&amp;'Dry_Litterbag Placem_Collection'!J140)</f>
        <v>G213</v>
      </c>
      <c r="K139" s="267">
        <f>IFERROR(INDEX('Green_rooibos initial weight'!$C$5:$C$1749,MATCH(J139, 'Green_rooibos initial weight'!$A$5:$A$1749,0)),"")</f>
        <v>2.0670000000000002</v>
      </c>
      <c r="L139" s="267">
        <f>IFERROR(K139-(TBIcalc!$Q$9+TBIcalc!$Q$10),"")</f>
        <v>1.8172000000000001</v>
      </c>
      <c r="M139" s="391">
        <f>AVERAGE(Ashed_controlls!$K$2:$K$11)</f>
        <v>5.5147656768714146</v>
      </c>
      <c r="N139" s="267">
        <f t="shared" si="11"/>
        <v>1.7169856781198929</v>
      </c>
      <c r="O139" s="267">
        <f>IF(IFERROR(INDEX('Both teabags AfterDry'!$D$3:$D$900,MATCH(J139,'Both teabags AfterDry'!$A$3:$A$900,0)),"")="","",(IFERROR(INDEX('Both teabags AfterDry'!$D$3:$D$900,MATCH(J139,'Both teabags AfterDry'!$A$3:$A$900,0)),"")))</f>
        <v>0.66200000000000003</v>
      </c>
      <c r="P139" s="267">
        <f>IFERROR(IF(O139&gt;0,O139-(TBIcalc!$Q$9),""),"")</f>
        <v>0.51140000000000008</v>
      </c>
      <c r="Q139" s="278">
        <f>IFERROR(INDEX('Ashed teabags dry'!$K$2:$K$825,MATCH(J139,'Ashed teabags dry'!$A$2:$A$825,0)),"")</f>
        <v>28.084896347481987</v>
      </c>
      <c r="R139" s="278">
        <f t="shared" si="12"/>
        <v>0.36777384007897718</v>
      </c>
      <c r="S139" s="268">
        <f>'Dry_Litterbag Placem_Collection'!E140</f>
        <v>42939</v>
      </c>
      <c r="T139" s="268">
        <f>IF('Dry_Litterbag Placem_Collection'!G140="","",'Dry_Litterbag Placem_Collection'!G140)</f>
        <v>43008</v>
      </c>
      <c r="U139" s="269">
        <f t="shared" si="10"/>
        <v>69</v>
      </c>
      <c r="V139" s="267">
        <f t="shared" si="13"/>
        <v>1.3058000000000001</v>
      </c>
      <c r="W139" s="267">
        <f t="shared" si="14"/>
        <v>1.3492118380409157</v>
      </c>
      <c r="X139" s="271">
        <f>IFERROR(INDEX(Rainfall_Dry!$O$2:$O$217,MATCH(B139, Rainfall_Dry!$A$2:$A$217,0)),"")</f>
        <v>136.27214243</v>
      </c>
      <c r="Y139" s="260">
        <v>33.96</v>
      </c>
      <c r="Z139" s="260">
        <v>8.9200000000000017</v>
      </c>
      <c r="AA139" s="260">
        <v>57.12</v>
      </c>
      <c r="AB139" s="261" t="s">
        <v>2670</v>
      </c>
      <c r="AC139" s="260">
        <v>3.0720551996057202</v>
      </c>
      <c r="AD139">
        <f>IF('WetLitterbags placem_collection'!AB140="","",'WetLitterbags placem_collection'!AB140)</f>
        <v>2.8</v>
      </c>
      <c r="AE139">
        <f>IF('WetLitterbags placem_collection'!Z140="","",'WetLitterbags placem_collection'!Z140)</f>
        <v>26.4</v>
      </c>
      <c r="AF139" s="246" t="str">
        <f>IF('WetLitterbags placem_collection'!AA140="","",'WetLitterbags placem_collection'!AA140)</f>
        <v>G</v>
      </c>
      <c r="AG139">
        <f>IF('WetLitterbags placem_collection'!AC140="","",'WetLitterbags placem_collection'!AC140)</f>
        <v>1</v>
      </c>
      <c r="AH139">
        <f>IFERROR(AVERAGE('Dry_Litterbag Placem_Collection'!O140,'Dry_Litterbag Placem_Collection'!R140),"")</f>
        <v>7.05</v>
      </c>
      <c r="AI139" s="271">
        <f>IFERROR(AVERAGE('Dry_Litterbag Placem_Collection'!N140,'Dry_Litterbag Placem_Collection'!Q140),"")</f>
        <v>28.799999999999997</v>
      </c>
      <c r="AJ139" s="270">
        <f>INDEX(Coordinates!$B$2:$B$197,MATCH(G139,Coordinates!$J$2:$J$197,0))</f>
        <v>-2.3485449790000001</v>
      </c>
      <c r="AK139" s="270">
        <f>INDEX(Coordinates!$C$2:$C$197,MATCH(G139,Coordinates!$J$2:$J$197,0))</f>
        <v>34.050146980000001</v>
      </c>
      <c r="AL139" s="270" t="str">
        <f>IF(ISNUMBER(SEARCH("C", 'Dry_Litterbag Placem_Collection'!S140)),"YES","NO")</f>
        <v>YES</v>
      </c>
      <c r="AM139" s="270" t="str">
        <f>IF(ISNUMBER(SEARCH("H", 'Dry_Litterbag Placem_Collection'!S140)),"YES","NO")</f>
        <v>YES</v>
      </c>
      <c r="AN139" s="270" t="str">
        <f>IF(ISNUMBER(SEARCH("R", 'Dry_Litterbag Placem_Collection'!S140)),"YES","NO")</f>
        <v>NO</v>
      </c>
    </row>
    <row r="140" spans="1:40" ht="15" customHeight="1">
      <c r="A140" s="262" t="s">
        <v>2659</v>
      </c>
      <c r="B140" s="263">
        <f>'Dry_Litterbag Placem_Collection'!A141</f>
        <v>139</v>
      </c>
      <c r="C140" s="263" t="str">
        <f>'Dry_Litterbag Placem_Collection'!B141</f>
        <v xml:space="preserve">Mwantimba
</v>
      </c>
      <c r="D140" s="263" t="s">
        <v>2460</v>
      </c>
      <c r="E140" s="263" t="s">
        <v>20</v>
      </c>
      <c r="F140" s="263">
        <v>2</v>
      </c>
      <c r="G140" s="264" t="str">
        <f>'Dry_Litterbag Placem_Collection'!C141</f>
        <v>Wet_P2_T3</v>
      </c>
      <c r="H140" s="265" t="s">
        <v>2541</v>
      </c>
      <c r="I140" s="266" t="s">
        <v>1147</v>
      </c>
      <c r="J140" s="263" t="str">
        <f>IF(ISBLANK('Dry_Litterbag Placem_Collection'!J141),"","G"&amp;""&amp;'Dry_Litterbag Placem_Collection'!J141)</f>
        <v>G17</v>
      </c>
      <c r="K140" s="267">
        <f>IFERROR(INDEX('Green_rooibos initial weight'!$C$5:$C$1749,MATCH(J140, 'Green_rooibos initial weight'!$A$5:$A$1749,0)),"")</f>
        <v>1.9870000000000001</v>
      </c>
      <c r="L140" s="267">
        <f>IFERROR(K140-(TBIcalc!$Q$9+TBIcalc!$Q$10),"")</f>
        <v>1.7372000000000001</v>
      </c>
      <c r="M140" s="391">
        <f>AVERAGE(Ashed_controlls!$K$2:$K$11)</f>
        <v>5.5147656768714146</v>
      </c>
      <c r="N140" s="267">
        <f t="shared" si="11"/>
        <v>1.64139749066139</v>
      </c>
      <c r="O140" s="267">
        <f>IF(IFERROR(INDEX('Both teabags AfterDry'!$D$3:$D$900,MATCH(J140,'Both teabags AfterDry'!$A$3:$A$900,0)),"")="","",(IFERROR(INDEX('Both teabags AfterDry'!$D$3:$D$900,MATCH(J140,'Both teabags AfterDry'!$A$3:$A$900,0)),"")))</f>
        <v>0.73580000000000001</v>
      </c>
      <c r="P140" s="267">
        <f>IFERROR(IF(O140&gt;0,O140-(TBIcalc!$Q$9),""),"")</f>
        <v>0.58519999999999994</v>
      </c>
      <c r="Q140" s="278">
        <f>IFERROR(INDEX('Ashed teabags dry'!$K$2:$K$825,MATCH(J140,'Ashed teabags dry'!$A$2:$A$825,0)),"")</f>
        <v>21.345029239766301</v>
      </c>
      <c r="R140" s="278">
        <f t="shared" si="12"/>
        <v>0.46028888888888758</v>
      </c>
      <c r="S140" s="268">
        <f>'Dry_Litterbag Placem_Collection'!E141</f>
        <v>42939</v>
      </c>
      <c r="T140" s="268">
        <f>IF('Dry_Litterbag Placem_Collection'!G141="","",'Dry_Litterbag Placem_Collection'!G141)</f>
        <v>43008</v>
      </c>
      <c r="U140" s="269">
        <f t="shared" si="10"/>
        <v>69</v>
      </c>
      <c r="V140" s="267">
        <f t="shared" si="13"/>
        <v>1.1520000000000001</v>
      </c>
      <c r="W140" s="267">
        <f t="shared" si="14"/>
        <v>1.1811086017725023</v>
      </c>
      <c r="X140" s="271">
        <f>IFERROR(INDEX(Rainfall_Dry!$O$2:$O$217,MATCH(B140, Rainfall_Dry!$A$2:$A$217,0)),"")</f>
        <v>136.27214243</v>
      </c>
      <c r="Y140" s="260">
        <v>33.96</v>
      </c>
      <c r="Z140" s="260">
        <v>8.9200000000000017</v>
      </c>
      <c r="AA140" s="260">
        <v>57.12</v>
      </c>
      <c r="AB140" s="261" t="s">
        <v>2670</v>
      </c>
      <c r="AC140" s="260">
        <v>4.0720551996057202</v>
      </c>
      <c r="AD140">
        <f>IF('WetLitterbags placem_collection'!AB141="","",'WetLitterbags placem_collection'!AB141)</f>
        <v>5.7</v>
      </c>
      <c r="AE140">
        <f>IF('WetLitterbags placem_collection'!Z141="","",'WetLitterbags placem_collection'!Z141)</f>
        <v>19.399999999999999</v>
      </c>
      <c r="AF140" s="246" t="str">
        <f>IF('WetLitterbags placem_collection'!AA141="","",'WetLitterbags placem_collection'!AA141)</f>
        <v>G</v>
      </c>
      <c r="AG140">
        <f>IF('WetLitterbags placem_collection'!AC141="","",'WetLitterbags placem_collection'!AC141)</f>
        <v>1</v>
      </c>
      <c r="AH140">
        <f>IFERROR(AVERAGE('Dry_Litterbag Placem_Collection'!O141,'Dry_Litterbag Placem_Collection'!R141),"")</f>
        <v>11.200000000000001</v>
      </c>
      <c r="AI140" s="271">
        <f>IFERROR(AVERAGE('Dry_Litterbag Placem_Collection'!N141,'Dry_Litterbag Placem_Collection'!Q141),"")</f>
        <v>28.15</v>
      </c>
      <c r="AJ140" s="270">
        <f>INDEX(Coordinates!$B$2:$B$197,MATCH(G140,Coordinates!$J$2:$J$197,0))</f>
        <v>-2.3487209990000002</v>
      </c>
      <c r="AK140" s="270">
        <f>INDEX(Coordinates!$C$2:$C$197,MATCH(G140,Coordinates!$J$2:$J$197,0))</f>
        <v>34.050128039999997</v>
      </c>
      <c r="AL140" s="270" t="str">
        <f>IF(ISNUMBER(SEARCH("C", 'Dry_Litterbag Placem_Collection'!S141)),"YES","NO")</f>
        <v>YES</v>
      </c>
      <c r="AM140" s="270" t="str">
        <f>IF(ISNUMBER(SEARCH("H", 'Dry_Litterbag Placem_Collection'!S141)),"YES","NO")</f>
        <v>YES</v>
      </c>
      <c r="AN140" s="270" t="str">
        <f>IF(ISNUMBER(SEARCH("R", 'Dry_Litterbag Placem_Collection'!S141)),"YES","NO")</f>
        <v>NO</v>
      </c>
    </row>
    <row r="141" spans="1:40" ht="15" customHeight="1">
      <c r="A141" s="262" t="s">
        <v>2659</v>
      </c>
      <c r="B141" s="263">
        <f>'Dry_Litterbag Placem_Collection'!A142</f>
        <v>140</v>
      </c>
      <c r="C141" s="263" t="str">
        <f>'Dry_Litterbag Placem_Collection'!B142</f>
        <v xml:space="preserve">Mwantimba
</v>
      </c>
      <c r="D141" s="263" t="s">
        <v>2460</v>
      </c>
      <c r="E141" s="263" t="s">
        <v>20</v>
      </c>
      <c r="F141" s="263">
        <v>2</v>
      </c>
      <c r="G141" s="264" t="str">
        <f>'Dry_Litterbag Placem_Collection'!C142</f>
        <v>Wet_P2_T4</v>
      </c>
      <c r="H141" s="265" t="s">
        <v>2541</v>
      </c>
      <c r="I141" s="266" t="s">
        <v>1147</v>
      </c>
      <c r="J141" s="263" t="str">
        <f>IF(ISBLANK('Dry_Litterbag Placem_Collection'!J142),"","G"&amp;""&amp;'Dry_Litterbag Placem_Collection'!J142)</f>
        <v>G401</v>
      </c>
      <c r="K141" s="267">
        <f>IFERROR(INDEX('Green_rooibos initial weight'!$C$5:$C$1749,MATCH(J141, 'Green_rooibos initial weight'!$A$5:$A$1749,0)),"")</f>
        <v>1.9390000000000001</v>
      </c>
      <c r="L141" s="267">
        <f>IFERROR(K141-(TBIcalc!$Q$9+TBIcalc!$Q$10),"")</f>
        <v>1.6892</v>
      </c>
      <c r="M141" s="391">
        <f>AVERAGE(Ashed_controlls!$K$2:$K$11)</f>
        <v>5.5147656768714146</v>
      </c>
      <c r="N141" s="267">
        <f t="shared" si="11"/>
        <v>1.5960445781862882</v>
      </c>
      <c r="O141" s="267">
        <f>IF(IFERROR(INDEX('Both teabags AfterDry'!$D$3:$D$900,MATCH(J141,'Both teabags AfterDry'!$A$3:$A$900,0)),"")="","",(IFERROR(INDEX('Both teabags AfterDry'!$D$3:$D$900,MATCH(J141,'Both teabags AfterDry'!$A$3:$A$900,0)),"")))</f>
        <v>0.9304</v>
      </c>
      <c r="P141" s="267">
        <f>IFERROR(IF(O141&gt;0,O141-(TBIcalc!$Q$9),""),"")</f>
        <v>0.77980000000000005</v>
      </c>
      <c r="Q141" s="278">
        <f>IFERROR(INDEX('Ashed teabags dry'!$K$2:$K$825,MATCH(J141,'Ashed teabags dry'!$A$2:$A$825,0)),"")</f>
        <v>22.900763358778644</v>
      </c>
      <c r="R141" s="278">
        <f t="shared" si="12"/>
        <v>0.60121984732824418</v>
      </c>
      <c r="S141" s="268">
        <f>'Dry_Litterbag Placem_Collection'!E142</f>
        <v>42939</v>
      </c>
      <c r="T141" s="268">
        <f>IF('Dry_Litterbag Placem_Collection'!G142="","",'Dry_Litterbag Placem_Collection'!G142)</f>
        <v>43008</v>
      </c>
      <c r="U141" s="269">
        <f t="shared" si="10"/>
        <v>69</v>
      </c>
      <c r="V141" s="267">
        <f t="shared" si="13"/>
        <v>0.90939999999999999</v>
      </c>
      <c r="W141" s="267">
        <f t="shared" si="14"/>
        <v>0.99482473085804402</v>
      </c>
      <c r="X141" s="271">
        <f>IFERROR(INDEX(Rainfall_Dry!$O$2:$O$217,MATCH(B141, Rainfall_Dry!$A$2:$A$217,0)),"")</f>
        <v>136.27214243</v>
      </c>
      <c r="Y141" s="260">
        <v>33.96</v>
      </c>
      <c r="Z141" s="260">
        <v>8.9200000000000017</v>
      </c>
      <c r="AA141" s="260">
        <v>57.12</v>
      </c>
      <c r="AB141" s="261" t="s">
        <v>2670</v>
      </c>
      <c r="AC141" s="260">
        <v>5.0720551996057202</v>
      </c>
      <c r="AD141">
        <f>IF('WetLitterbags placem_collection'!AB142="","",'WetLitterbags placem_collection'!AB142)</f>
        <v>1.4</v>
      </c>
      <c r="AE141">
        <f>IF('WetLitterbags placem_collection'!Z142="","",'WetLitterbags placem_collection'!Z142)</f>
        <v>33.4</v>
      </c>
      <c r="AF141" s="246" t="str">
        <f>IF('WetLitterbags placem_collection'!AA142="","",'WetLitterbags placem_collection'!AA142)</f>
        <v>G</v>
      </c>
      <c r="AG141">
        <f>IF('WetLitterbags placem_collection'!AC142="","",'WetLitterbags placem_collection'!AC142)</f>
        <v>1</v>
      </c>
      <c r="AH141">
        <f>IFERROR(AVERAGE('Dry_Litterbag Placem_Collection'!O142,'Dry_Litterbag Placem_Collection'!R142),"")</f>
        <v>7.3000000000000007</v>
      </c>
      <c r="AI141" s="271">
        <f>IFERROR(AVERAGE('Dry_Litterbag Placem_Collection'!N142,'Dry_Litterbag Placem_Collection'!Q142),"")</f>
        <v>28</v>
      </c>
      <c r="AJ141" s="270">
        <f>INDEX(Coordinates!$B$2:$B$197,MATCH(G141,Coordinates!$J$2:$J$197,0))</f>
        <v>-2.3486250270000002</v>
      </c>
      <c r="AK141" s="270">
        <f>INDEX(Coordinates!$C$2:$C$197,MATCH(G141,Coordinates!$J$2:$J$197,0))</f>
        <v>34.050070959999999</v>
      </c>
      <c r="AL141" s="270" t="str">
        <f>IF(ISNUMBER(SEARCH("C", 'Dry_Litterbag Placem_Collection'!S142)),"YES","NO")</f>
        <v>NO</v>
      </c>
      <c r="AM141" s="270" t="str">
        <f>IF(ISNUMBER(SEARCH("H", 'Dry_Litterbag Placem_Collection'!S142)),"YES","NO")</f>
        <v>NO</v>
      </c>
      <c r="AN141" s="270" t="str">
        <f>IF(ISNUMBER(SEARCH("R", 'Dry_Litterbag Placem_Collection'!S142)),"YES","NO")</f>
        <v>YES</v>
      </c>
    </row>
    <row r="142" spans="1:40" ht="15" customHeight="1">
      <c r="A142" s="262" t="s">
        <v>2659</v>
      </c>
      <c r="B142" s="263">
        <f>'Dry_Litterbag Placem_Collection'!A143</f>
        <v>141</v>
      </c>
      <c r="C142" s="263" t="str">
        <f>'Dry_Litterbag Placem_Collection'!B143</f>
        <v xml:space="preserve">Mwantimba
</v>
      </c>
      <c r="D142" s="263" t="s">
        <v>2460</v>
      </c>
      <c r="E142" s="263" t="s">
        <v>20</v>
      </c>
      <c r="F142" s="263">
        <v>2</v>
      </c>
      <c r="G142" s="264" t="str">
        <f>'Dry_Litterbag Placem_Collection'!C143</f>
        <v>Wet_P2_T5</v>
      </c>
      <c r="H142" s="265" t="s">
        <v>2541</v>
      </c>
      <c r="I142" s="266" t="s">
        <v>1147</v>
      </c>
      <c r="J142" s="263" t="str">
        <f>IF(ISBLANK('Dry_Litterbag Placem_Collection'!J143),"","G"&amp;""&amp;'Dry_Litterbag Placem_Collection'!J143)</f>
        <v/>
      </c>
      <c r="K142" s="267" t="str">
        <f>IFERROR(INDEX('Green_rooibos initial weight'!$C$5:$C$1749,MATCH(J142, 'Green_rooibos initial weight'!$A$5:$A$1749,0)),"")</f>
        <v/>
      </c>
      <c r="L142" s="267" t="str">
        <f>IFERROR(K142-(TBIcalc!$Q$9+TBIcalc!$Q$10),"")</f>
        <v/>
      </c>
      <c r="M142" s="391">
        <f>AVERAGE(Ashed_controlls!$K$2:$K$11)</f>
        <v>5.5147656768714146</v>
      </c>
      <c r="N142" s="267" t="str">
        <f t="shared" si="11"/>
        <v/>
      </c>
      <c r="O142" s="267" t="str">
        <f>IF(IFERROR(INDEX('Both teabags AfterDry'!$D$3:$D$900,MATCH(J142,'Both teabags AfterDry'!$A$3:$A$900,0)),"")="","",(IFERROR(INDEX('Both teabags AfterDry'!$D$3:$D$900,MATCH(J142,'Both teabags AfterDry'!$A$3:$A$900,0)),"")))</f>
        <v/>
      </c>
      <c r="P142" s="267" t="str">
        <f>IFERROR(IF(O142&gt;0,O142-(TBIcalc!$Q$9),""),"")</f>
        <v/>
      </c>
      <c r="Q142" s="278" t="str">
        <f>IFERROR(INDEX('Ashed teabags dry'!$K$2:$K$825,MATCH(J142,'Ashed teabags dry'!$A$2:$A$825,0)),"")</f>
        <v/>
      </c>
      <c r="R142" s="278" t="str">
        <f t="shared" si="12"/>
        <v/>
      </c>
      <c r="S142" s="268">
        <f>'Dry_Litterbag Placem_Collection'!E143</f>
        <v>0</v>
      </c>
      <c r="T142" s="268" t="str">
        <f>IF('Dry_Litterbag Placem_Collection'!G143="","",'Dry_Litterbag Placem_Collection'!G143)</f>
        <v/>
      </c>
      <c r="U142" s="269" t="str">
        <f t="shared" si="10"/>
        <v/>
      </c>
      <c r="V142" s="267" t="str">
        <f t="shared" si="13"/>
        <v/>
      </c>
      <c r="W142" s="267" t="str">
        <f t="shared" si="14"/>
        <v/>
      </c>
      <c r="X142" s="271" t="str">
        <f>IFERROR(INDEX(Rainfall_Dry!$O$2:$O$217,MATCH(B142, Rainfall_Dry!$A$2:$A$217,0)),"")</f>
        <v/>
      </c>
      <c r="Y142" s="260">
        <v>33.96</v>
      </c>
      <c r="Z142" s="260">
        <v>8.9200000000000017</v>
      </c>
      <c r="AA142" s="260">
        <v>57.12</v>
      </c>
      <c r="AB142" s="261" t="s">
        <v>2670</v>
      </c>
      <c r="AC142" s="260">
        <v>6.0720551996057202</v>
      </c>
      <c r="AD142">
        <f>IF('WetLitterbags placem_collection'!AB143="","",'WetLitterbags placem_collection'!AB143)</f>
        <v>1.4</v>
      </c>
      <c r="AE142">
        <f>IF('WetLitterbags placem_collection'!Z143="","",'WetLitterbags placem_collection'!Z143)</f>
        <v>28.4</v>
      </c>
      <c r="AF142" s="246" t="str">
        <f>IF('WetLitterbags placem_collection'!AA143="","",'WetLitterbags placem_collection'!AA143)</f>
        <v>G</v>
      </c>
      <c r="AG142">
        <f>IF('WetLitterbags placem_collection'!AC143="","",'WetLitterbags placem_collection'!AC143)</f>
        <v>1</v>
      </c>
      <c r="AH142" t="str">
        <f>IFERROR(AVERAGE('Dry_Litterbag Placem_Collection'!O143,'Dry_Litterbag Placem_Collection'!R143),"")</f>
        <v/>
      </c>
      <c r="AI142" s="271" t="str">
        <f>IFERROR(AVERAGE('Dry_Litterbag Placem_Collection'!N143,'Dry_Litterbag Placem_Collection'!Q143),"")</f>
        <v/>
      </c>
      <c r="AJ142" s="270">
        <f>INDEX(Coordinates!$B$2:$B$197,MATCH(G142,Coordinates!$J$2:$J$197,0))</f>
        <v>-2.3486060000000002</v>
      </c>
      <c r="AK142" s="270">
        <f>INDEX(Coordinates!$C$2:$C$197,MATCH(G142,Coordinates!$J$2:$J$197,0))</f>
        <v>34.050010020000002</v>
      </c>
      <c r="AL142" s="270" t="str">
        <f>IF(ISNUMBER(SEARCH("C", 'Dry_Litterbag Placem_Collection'!S143)),"YES","NO")</f>
        <v>NO</v>
      </c>
      <c r="AM142" s="270" t="str">
        <f>IF(ISNUMBER(SEARCH("H", 'Dry_Litterbag Placem_Collection'!S143)),"YES","NO")</f>
        <v>NO</v>
      </c>
      <c r="AN142" s="270" t="str">
        <f>IF(ISNUMBER(SEARCH("R", 'Dry_Litterbag Placem_Collection'!S143)),"YES","NO")</f>
        <v>NO</v>
      </c>
    </row>
    <row r="143" spans="1:40" ht="15" customHeight="1">
      <c r="A143" s="262" t="s">
        <v>2659</v>
      </c>
      <c r="B143" s="263">
        <f>'Dry_Litterbag Placem_Collection'!A144</f>
        <v>142</v>
      </c>
      <c r="C143" s="263" t="str">
        <f>'Dry_Litterbag Placem_Collection'!B144</f>
        <v xml:space="preserve">Mwantimba
</v>
      </c>
      <c r="D143" s="263" t="s">
        <v>2460</v>
      </c>
      <c r="E143" s="263" t="s">
        <v>20</v>
      </c>
      <c r="F143" s="263">
        <v>2</v>
      </c>
      <c r="G143" s="264" t="str">
        <f>'Dry_Litterbag Placem_Collection'!C144</f>
        <v>Wet_P2_T6</v>
      </c>
      <c r="H143" s="265" t="s">
        <v>2541</v>
      </c>
      <c r="I143" s="266" t="s">
        <v>1147</v>
      </c>
      <c r="J143" s="263" t="str">
        <f>IF(ISBLANK('Dry_Litterbag Placem_Collection'!J144),"","G"&amp;""&amp;'Dry_Litterbag Placem_Collection'!J144)</f>
        <v>G87</v>
      </c>
      <c r="K143" s="267">
        <f>IFERROR(INDEX('Green_rooibos initial weight'!$C$5:$C$1749,MATCH(J143, 'Green_rooibos initial weight'!$A$5:$A$1749,0)),"")</f>
        <v>1.9870000000000001</v>
      </c>
      <c r="L143" s="267">
        <f>IFERROR(K143-(TBIcalc!$Q$9+TBIcalc!$Q$10),"")</f>
        <v>1.7372000000000001</v>
      </c>
      <c r="M143" s="391">
        <f>AVERAGE(Ashed_controlls!$K$2:$K$11)</f>
        <v>5.5147656768714146</v>
      </c>
      <c r="N143" s="267">
        <f t="shared" si="11"/>
        <v>1.64139749066139</v>
      </c>
      <c r="O143" s="267" t="str">
        <f>IF(IFERROR(INDEX('Both teabags AfterDry'!$D$3:$D$900,MATCH(J143,'Both teabags AfterDry'!$A$3:$A$900,0)),"")="","",(IFERROR(INDEX('Both teabags AfterDry'!$D$3:$D$900,MATCH(J143,'Both teabags AfterDry'!$A$3:$A$900,0)),"")))</f>
        <v/>
      </c>
      <c r="P143" s="267" t="str">
        <f>IFERROR(IF(O143&gt;0,O143-(TBIcalc!$Q$9),""),"")</f>
        <v/>
      </c>
      <c r="Q143" s="278" t="str">
        <f>IFERROR(INDEX('Ashed teabags dry'!$K$2:$K$825,MATCH(J143,'Ashed teabags dry'!$A$2:$A$825,0)),"")</f>
        <v/>
      </c>
      <c r="R143" s="278" t="str">
        <f t="shared" si="12"/>
        <v/>
      </c>
      <c r="S143" s="268">
        <f>'Dry_Litterbag Placem_Collection'!E144</f>
        <v>42939</v>
      </c>
      <c r="T143" s="268">
        <f>IF('Dry_Litterbag Placem_Collection'!G144="","",'Dry_Litterbag Placem_Collection'!G144)</f>
        <v>43008</v>
      </c>
      <c r="U143" s="269">
        <f t="shared" si="10"/>
        <v>69</v>
      </c>
      <c r="V143" s="267" t="str">
        <f t="shared" si="13"/>
        <v/>
      </c>
      <c r="W143" s="267" t="str">
        <f t="shared" si="14"/>
        <v/>
      </c>
      <c r="X143" s="271">
        <f>IFERROR(INDEX(Rainfall_Dry!$O$2:$O$217,MATCH(B143, Rainfall_Dry!$A$2:$A$217,0)),"")</f>
        <v>136.27214243</v>
      </c>
      <c r="Y143" s="260">
        <v>33.96</v>
      </c>
      <c r="Z143" s="260">
        <v>8.9200000000000017</v>
      </c>
      <c r="AA143" s="260">
        <v>57.12</v>
      </c>
      <c r="AB143" s="261" t="s">
        <v>2670</v>
      </c>
      <c r="AC143" s="260">
        <v>7.0720551996057202</v>
      </c>
      <c r="AD143">
        <f>IF('WetLitterbags placem_collection'!AB144="","",'WetLitterbags placem_collection'!AB144)</f>
        <v>1.7</v>
      </c>
      <c r="AE143">
        <f>IF('WetLitterbags placem_collection'!Z144="","",'WetLitterbags placem_collection'!Z144)</f>
        <v>33.799999999999997</v>
      </c>
      <c r="AF143" s="246" t="str">
        <f>IF('WetLitterbags placem_collection'!AA144="","",'WetLitterbags placem_collection'!AA144)</f>
        <v>G</v>
      </c>
      <c r="AG143">
        <f>IF('WetLitterbags placem_collection'!AC144="","",'WetLitterbags placem_collection'!AC144)</f>
        <v>1</v>
      </c>
      <c r="AH143">
        <f>IFERROR(AVERAGE('Dry_Litterbag Placem_Collection'!O144,'Dry_Litterbag Placem_Collection'!R144),"")</f>
        <v>8.4499999999999993</v>
      </c>
      <c r="AI143" s="271">
        <f>IFERROR(AVERAGE('Dry_Litterbag Placem_Collection'!N144,'Dry_Litterbag Placem_Collection'!Q144),"")</f>
        <v>28.4</v>
      </c>
      <c r="AJ143" s="270">
        <f>INDEX(Coordinates!$B$2:$B$197,MATCH(G143,Coordinates!$J$2:$J$197,0))</f>
        <v>-2.348618992</v>
      </c>
      <c r="AK143" s="270">
        <f>INDEX(Coordinates!$C$2:$C$197,MATCH(G143,Coordinates!$J$2:$J$197,0))</f>
        <v>34.049996030000003</v>
      </c>
      <c r="AL143" s="270" t="str">
        <f>IF(ISNUMBER(SEARCH("C", 'Dry_Litterbag Placem_Collection'!S144)),"YES","NO")</f>
        <v>YES</v>
      </c>
      <c r="AM143" s="270" t="str">
        <f>IF(ISNUMBER(SEARCH("H", 'Dry_Litterbag Placem_Collection'!S144)),"YES","NO")</f>
        <v>NO</v>
      </c>
      <c r="AN143" s="270" t="str">
        <f>IF(ISNUMBER(SEARCH("R", 'Dry_Litterbag Placem_Collection'!S144)),"YES","NO")</f>
        <v>YES</v>
      </c>
    </row>
    <row r="144" spans="1:40" ht="15" customHeight="1">
      <c r="A144" s="262" t="s">
        <v>2659</v>
      </c>
      <c r="B144" s="263">
        <f>'Dry_Litterbag Placem_Collection'!A145</f>
        <v>143</v>
      </c>
      <c r="C144" s="263" t="str">
        <f>'Dry_Litterbag Placem_Collection'!B145</f>
        <v xml:space="preserve">Mwantimba
</v>
      </c>
      <c r="D144" s="263" t="s">
        <v>2460</v>
      </c>
      <c r="E144" s="263" t="s">
        <v>20</v>
      </c>
      <c r="F144" s="263">
        <v>2</v>
      </c>
      <c r="G144" s="264" t="str">
        <f>'Dry_Litterbag Placem_Collection'!C145</f>
        <v>Wet_P2_T7</v>
      </c>
      <c r="H144" s="265" t="s">
        <v>2541</v>
      </c>
      <c r="I144" s="266" t="s">
        <v>1147</v>
      </c>
      <c r="J144" s="263" t="str">
        <f>IF(ISBLANK('Dry_Litterbag Placem_Collection'!J145),"","G"&amp;""&amp;'Dry_Litterbag Placem_Collection'!J145)</f>
        <v>G501</v>
      </c>
      <c r="K144" s="267">
        <f>IFERROR(INDEX('Green_rooibos initial weight'!$C$5:$C$1749,MATCH(J144, 'Green_rooibos initial weight'!$A$5:$A$1749,0)),"")</f>
        <v>1.917</v>
      </c>
      <c r="L144" s="267">
        <f>IFERROR(K144-(TBIcalc!$Q$9+TBIcalc!$Q$10),"")</f>
        <v>1.6672</v>
      </c>
      <c r="M144" s="391">
        <f>AVERAGE(Ashed_controlls!$K$2:$K$11)</f>
        <v>5.5147656768714146</v>
      </c>
      <c r="N144" s="267">
        <f t="shared" si="11"/>
        <v>1.5752578266351998</v>
      </c>
      <c r="O144" s="267">
        <f>IF(IFERROR(INDEX('Both teabags AfterDry'!$D$3:$D$900,MATCH(J144,'Both teabags AfterDry'!$A$3:$A$900,0)),"")="","",(IFERROR(INDEX('Both teabags AfterDry'!$D$3:$D$900,MATCH(J144,'Both teabags AfterDry'!$A$3:$A$900,0)),"")))</f>
        <v>0.78680000000000005</v>
      </c>
      <c r="P144" s="267">
        <f>IFERROR(IF(O144&gt;0,O144-(TBIcalc!$Q$9),""),"")</f>
        <v>0.6362000000000001</v>
      </c>
      <c r="Q144" s="278">
        <f>IFERROR(INDEX('Ashed teabags dry'!$K$2:$K$825,MATCH(J144,'Ashed teabags dry'!$A$2:$A$825,0)),"")</f>
        <v>20.618120237087211</v>
      </c>
      <c r="R144" s="278">
        <f t="shared" si="12"/>
        <v>0.50502751905165122</v>
      </c>
      <c r="S144" s="268">
        <f>'Dry_Litterbag Placem_Collection'!E145</f>
        <v>42939</v>
      </c>
      <c r="T144" s="268">
        <f>IF('Dry_Litterbag Placem_Collection'!G145="","",'Dry_Litterbag Placem_Collection'!G145)</f>
        <v>43008</v>
      </c>
      <c r="U144" s="269">
        <f t="shared" si="10"/>
        <v>69</v>
      </c>
      <c r="V144" s="267">
        <f t="shared" si="13"/>
        <v>1.0309999999999999</v>
      </c>
      <c r="W144" s="267">
        <f t="shared" si="14"/>
        <v>1.0702303075835484</v>
      </c>
      <c r="X144" s="271">
        <f>IFERROR(INDEX(Rainfall_Dry!$O$2:$O$217,MATCH(B144, Rainfall_Dry!$A$2:$A$217,0)),"")</f>
        <v>136.27214243</v>
      </c>
      <c r="Y144" s="260">
        <v>33.96</v>
      </c>
      <c r="Z144" s="260">
        <v>8.9200000000000017</v>
      </c>
      <c r="AA144" s="260">
        <v>57.12</v>
      </c>
      <c r="AB144" s="261" t="s">
        <v>2670</v>
      </c>
      <c r="AC144" s="260">
        <v>8.0720551996057193</v>
      </c>
      <c r="AD144">
        <f>IF('WetLitterbags placem_collection'!AB145="","",'WetLitterbags placem_collection'!AB145)</f>
        <v>2</v>
      </c>
      <c r="AE144">
        <f>IF('WetLitterbags placem_collection'!Z145="","",'WetLitterbags placem_collection'!Z145)</f>
        <v>23.4</v>
      </c>
      <c r="AF144" s="246" t="str">
        <f>IF('WetLitterbags placem_collection'!AA145="","",'WetLitterbags placem_collection'!AA145)</f>
        <v>G</v>
      </c>
      <c r="AG144">
        <f>IF('WetLitterbags placem_collection'!AC145="","",'WetLitterbags placem_collection'!AC145)</f>
        <v>1</v>
      </c>
      <c r="AH144">
        <f>IFERROR(AVERAGE('Dry_Litterbag Placem_Collection'!O145,'Dry_Litterbag Placem_Collection'!R145),"")</f>
        <v>12.5</v>
      </c>
      <c r="AI144" s="271">
        <f>IFERROR(AVERAGE('Dry_Litterbag Placem_Collection'!N145,'Dry_Litterbag Placem_Collection'!Q145),"")</f>
        <v>28</v>
      </c>
      <c r="AJ144" s="270">
        <f>INDEX(Coordinates!$B$2:$B$197,MATCH(G144,Coordinates!$J$2:$J$197,0))</f>
        <v>-2.3484970349999998</v>
      </c>
      <c r="AK144" s="270">
        <f>INDEX(Coordinates!$C$2:$C$197,MATCH(G144,Coordinates!$J$2:$J$197,0))</f>
        <v>34.049979010000001</v>
      </c>
      <c r="AL144" s="270" t="str">
        <f>IF(ISNUMBER(SEARCH("C", 'Dry_Litterbag Placem_Collection'!S145)),"YES","NO")</f>
        <v>NO</v>
      </c>
      <c r="AM144" s="270" t="str">
        <f>IF(ISNUMBER(SEARCH("H", 'Dry_Litterbag Placem_Collection'!S145)),"YES","NO")</f>
        <v>NO</v>
      </c>
      <c r="AN144" s="270" t="str">
        <f>IF(ISNUMBER(SEARCH("R", 'Dry_Litterbag Placem_Collection'!S145)),"YES","NO")</f>
        <v>NO</v>
      </c>
    </row>
    <row r="145" spans="1:40" ht="15" customHeight="1">
      <c r="A145" s="262" t="s">
        <v>2659</v>
      </c>
      <c r="B145" s="263">
        <f>'Dry_Litterbag Placem_Collection'!A146</f>
        <v>144</v>
      </c>
      <c r="C145" s="263" t="str">
        <f>'Dry_Litterbag Placem_Collection'!B146</f>
        <v xml:space="preserve">Mwantimba
</v>
      </c>
      <c r="D145" s="263" t="s">
        <v>2460</v>
      </c>
      <c r="E145" s="263" t="s">
        <v>20</v>
      </c>
      <c r="F145" s="263">
        <v>2</v>
      </c>
      <c r="G145" s="264" t="str">
        <f>'Dry_Litterbag Placem_Collection'!C146</f>
        <v>Wet_P2_T8</v>
      </c>
      <c r="H145" s="265" t="s">
        <v>2541</v>
      </c>
      <c r="I145" s="266" t="s">
        <v>1147</v>
      </c>
      <c r="J145" s="263" t="str">
        <f>IF(ISBLANK('Dry_Litterbag Placem_Collection'!J146),"","G"&amp;""&amp;'Dry_Litterbag Placem_Collection'!J146)</f>
        <v>G141</v>
      </c>
      <c r="K145" s="267">
        <f>IFERROR(INDEX('Green_rooibos initial weight'!$C$5:$C$1749,MATCH(J145, 'Green_rooibos initial weight'!$A$5:$A$1749,0)),"")</f>
        <v>2.0310000000000001</v>
      </c>
      <c r="L145" s="267">
        <f>IFERROR(K145-(TBIcalc!$Q$9+TBIcalc!$Q$10),"")</f>
        <v>1.7812000000000001</v>
      </c>
      <c r="M145" s="391">
        <f>AVERAGE(Ashed_controlls!$K$2:$K$11)</f>
        <v>5.5147656768714146</v>
      </c>
      <c r="N145" s="267">
        <f t="shared" si="11"/>
        <v>1.6829709937635664</v>
      </c>
      <c r="O145" s="267">
        <f>IF(IFERROR(INDEX('Both teabags AfterDry'!$D$3:$D$900,MATCH(J145,'Both teabags AfterDry'!$A$3:$A$900,0)),"")="","",(IFERROR(INDEX('Both teabags AfterDry'!$D$3:$D$900,MATCH(J145,'Both teabags AfterDry'!$A$3:$A$900,0)),"")))</f>
        <v>0.66180000000000005</v>
      </c>
      <c r="P145" s="267">
        <f>IFERROR(IF(O145&gt;0,O145-(TBIcalc!$Q$9),""),"")</f>
        <v>0.5112000000000001</v>
      </c>
      <c r="Q145" s="278">
        <f>IFERROR(INDEX('Ashed teabags dry'!$K$2:$K$825,MATCH(J145,'Ashed teabags dry'!$A$2:$A$825,0)),"")</f>
        <v>16.886930983847094</v>
      </c>
      <c r="R145" s="278">
        <f t="shared" si="12"/>
        <v>0.42487400881057374</v>
      </c>
      <c r="S145" s="268">
        <f>'Dry_Litterbag Placem_Collection'!E146</f>
        <v>42939</v>
      </c>
      <c r="T145" s="268">
        <f>IF('Dry_Litterbag Placem_Collection'!G146="","",'Dry_Litterbag Placem_Collection'!G146)</f>
        <v>43008</v>
      </c>
      <c r="U145" s="269">
        <f t="shared" si="10"/>
        <v>69</v>
      </c>
      <c r="V145" s="267">
        <f t="shared" si="13"/>
        <v>1.27</v>
      </c>
      <c r="W145" s="267">
        <f t="shared" si="14"/>
        <v>1.2580969849529926</v>
      </c>
      <c r="X145" s="271">
        <f>IFERROR(INDEX(Rainfall_Dry!$O$2:$O$217,MATCH(B145, Rainfall_Dry!$A$2:$A$217,0)),"")</f>
        <v>136.27214243</v>
      </c>
      <c r="Y145" s="260">
        <v>33.96</v>
      </c>
      <c r="Z145" s="260">
        <v>8.9200000000000017</v>
      </c>
      <c r="AA145" s="260">
        <v>57.12</v>
      </c>
      <c r="AB145" s="261" t="s">
        <v>2670</v>
      </c>
      <c r="AC145" s="260">
        <v>9.0720551996057193</v>
      </c>
      <c r="AD145">
        <f>IF('WetLitterbags placem_collection'!AB146="","",'WetLitterbags placem_collection'!AB146)</f>
        <v>2.5</v>
      </c>
      <c r="AE145">
        <f>IF('WetLitterbags placem_collection'!Z146="","",'WetLitterbags placem_collection'!Z146)</f>
        <v>19.8</v>
      </c>
      <c r="AF145" s="246" t="str">
        <f>IF('WetLitterbags placem_collection'!AA146="","",'WetLitterbags placem_collection'!AA146)</f>
        <v>G</v>
      </c>
      <c r="AG145">
        <f>IF('WetLitterbags placem_collection'!AC146="","",'WetLitterbags placem_collection'!AC146)</f>
        <v>1</v>
      </c>
      <c r="AH145">
        <f>IFERROR(AVERAGE('Dry_Litterbag Placem_Collection'!O146,'Dry_Litterbag Placem_Collection'!R146),"")</f>
        <v>9.4499999999999993</v>
      </c>
      <c r="AI145" s="271">
        <f>IFERROR(AVERAGE('Dry_Litterbag Placem_Collection'!N146,'Dry_Litterbag Placem_Collection'!Q146),"")</f>
        <v>29.15</v>
      </c>
      <c r="AJ145" s="270">
        <f>INDEX(Coordinates!$B$2:$B$197,MATCH(G145,Coordinates!$J$2:$J$197,0))</f>
        <v>-2.3486560399999998</v>
      </c>
      <c r="AK145" s="270">
        <f>INDEX(Coordinates!$C$2:$C$197,MATCH(G145,Coordinates!$J$2:$J$197,0))</f>
        <v>34.049895020000001</v>
      </c>
      <c r="AL145" s="270" t="str">
        <f>IF(ISNUMBER(SEARCH("C", 'Dry_Litterbag Placem_Collection'!S146)),"YES","NO")</f>
        <v>NO</v>
      </c>
      <c r="AM145" s="270" t="str">
        <f>IF(ISNUMBER(SEARCH("H", 'Dry_Litterbag Placem_Collection'!S146)),"YES","NO")</f>
        <v>YES</v>
      </c>
      <c r="AN145" s="270" t="str">
        <f>IF(ISNUMBER(SEARCH("R", 'Dry_Litterbag Placem_Collection'!S146)),"YES","NO")</f>
        <v>NO</v>
      </c>
    </row>
    <row r="146" spans="1:40" ht="15" customHeight="1">
      <c r="A146" s="262" t="s">
        <v>2659</v>
      </c>
      <c r="B146" s="263">
        <f>'Dry_Litterbag Placem_Collection'!A147</f>
        <v>145</v>
      </c>
      <c r="C146" s="263" t="str">
        <f>'Dry_Litterbag Placem_Collection'!B147</f>
        <v xml:space="preserve">Mwantimba
</v>
      </c>
      <c r="D146" s="263" t="s">
        <v>2460</v>
      </c>
      <c r="E146" s="263" t="s">
        <v>20</v>
      </c>
      <c r="F146" s="263">
        <v>3</v>
      </c>
      <c r="G146" s="264" t="str">
        <f>'Dry_Litterbag Placem_Collection'!C147</f>
        <v>Wet_P3_T1</v>
      </c>
      <c r="H146" s="265" t="s">
        <v>2541</v>
      </c>
      <c r="I146" s="266" t="s">
        <v>1147</v>
      </c>
      <c r="J146" s="263" t="str">
        <f>IF(ISBLANK('Dry_Litterbag Placem_Collection'!J147),"","G"&amp;""&amp;'Dry_Litterbag Placem_Collection'!J147)</f>
        <v>G131</v>
      </c>
      <c r="K146" s="267">
        <f>IFERROR(INDEX('Green_rooibos initial weight'!$C$5:$C$1749,MATCH(J146, 'Green_rooibos initial weight'!$A$5:$A$1749,0)),"")</f>
        <v>1.9670000000000001</v>
      </c>
      <c r="L146" s="267">
        <f>IFERROR(K146-(TBIcalc!$Q$9+TBIcalc!$Q$10),"")</f>
        <v>1.7172000000000001</v>
      </c>
      <c r="M146" s="391">
        <f>AVERAGE(Ashed_controlls!$K$2:$K$11)</f>
        <v>5.5147656768714146</v>
      </c>
      <c r="N146" s="267">
        <f t="shared" si="11"/>
        <v>1.6225004437967641</v>
      </c>
      <c r="O146" s="267">
        <f>IF(IFERROR(INDEX('Both teabags AfterDry'!$D$3:$D$900,MATCH(J146,'Both teabags AfterDry'!$A$3:$A$900,0)),"")="","",(IFERROR(INDEX('Both teabags AfterDry'!$D$3:$D$900,MATCH(J146,'Both teabags AfterDry'!$A$3:$A$900,0)),"")))</f>
        <v>1.544</v>
      </c>
      <c r="P146" s="267">
        <f>IFERROR(IF(O146&gt;0,O146-(TBIcalc!$Q$9),""),"")</f>
        <v>1.3934</v>
      </c>
      <c r="Q146" s="278">
        <f>IFERROR(INDEX('Ashed teabags dry'!$K$2:$K$825,MATCH(J146,'Ashed teabags dry'!$A$2:$A$825,0)),"")</f>
        <v>8.3820662768028189</v>
      </c>
      <c r="R146" s="278">
        <f t="shared" si="12"/>
        <v>1.2766042884990294</v>
      </c>
      <c r="S146" s="268">
        <f>'Dry_Litterbag Placem_Collection'!E147</f>
        <v>42939</v>
      </c>
      <c r="T146" s="268">
        <f>IF('Dry_Litterbag Placem_Collection'!G147="","",'Dry_Litterbag Placem_Collection'!G147)</f>
        <v>43010</v>
      </c>
      <c r="U146" s="269">
        <f t="shared" si="10"/>
        <v>71</v>
      </c>
      <c r="V146" s="267">
        <f t="shared" si="13"/>
        <v>0.32380000000000009</v>
      </c>
      <c r="W146" s="267">
        <f t="shared" si="14"/>
        <v>0.34589615529773465</v>
      </c>
      <c r="X146" s="271">
        <f>IFERROR(INDEX(Rainfall_Dry!$O$2:$O$217,MATCH(B146, Rainfall_Dry!$A$2:$A$217,0)),"")</f>
        <v>137.19979645800001</v>
      </c>
      <c r="Y146" s="260">
        <v>39.96</v>
      </c>
      <c r="Z146" s="260">
        <v>12.920000000000002</v>
      </c>
      <c r="AA146" s="260">
        <v>47.12</v>
      </c>
      <c r="AB146" s="261" t="s">
        <v>2674</v>
      </c>
      <c r="AC146" s="260">
        <v>1.6549531789058647</v>
      </c>
      <c r="AD146">
        <f>IF('WetLitterbags placem_collection'!AB147="","",'WetLitterbags placem_collection'!AB147)</f>
        <v>3.95</v>
      </c>
      <c r="AE146">
        <f>IF('WetLitterbags placem_collection'!Z147="","",'WetLitterbags placem_collection'!Z147)</f>
        <v>13</v>
      </c>
      <c r="AF146" s="246" t="str">
        <f>IF('WetLitterbags placem_collection'!AA147="","",'WetLitterbags placem_collection'!AA147)</f>
        <v>O</v>
      </c>
      <c r="AG146">
        <f>IF('WetLitterbags placem_collection'!AC147="","",'WetLitterbags placem_collection'!AC147)</f>
        <v>0</v>
      </c>
      <c r="AH146">
        <f>IFERROR(AVERAGE('Dry_Litterbag Placem_Collection'!O147,'Dry_Litterbag Placem_Collection'!R147),"")</f>
        <v>6.35</v>
      </c>
      <c r="AI146" s="271">
        <f>IFERROR(AVERAGE('Dry_Litterbag Placem_Collection'!N147,'Dry_Litterbag Placem_Collection'!Q147),"")</f>
        <v>30</v>
      </c>
      <c r="AJ146" s="270">
        <f>INDEX(Coordinates!$B$2:$B$197,MATCH(G146,Coordinates!$J$2:$J$197,0))</f>
        <v>-2.3675269729999999</v>
      </c>
      <c r="AK146" s="270">
        <f>INDEX(Coordinates!$C$2:$C$197,MATCH(G146,Coordinates!$J$2:$J$197,0))</f>
        <v>34.06035799</v>
      </c>
      <c r="AL146" s="270" t="str">
        <f>IF(ISNUMBER(SEARCH("C", 'Dry_Litterbag Placem_Collection'!S147)),"YES","NO")</f>
        <v>NO</v>
      </c>
      <c r="AM146" s="270" t="str">
        <f>IF(ISNUMBER(SEARCH("H", 'Dry_Litterbag Placem_Collection'!S147)),"YES","NO")</f>
        <v>NO</v>
      </c>
      <c r="AN146" s="270" t="str">
        <f>IF(ISNUMBER(SEARCH("R", 'Dry_Litterbag Placem_Collection'!S147)),"YES","NO")</f>
        <v>NO</v>
      </c>
    </row>
    <row r="147" spans="1:40" ht="15" customHeight="1">
      <c r="A147" s="262" t="s">
        <v>2659</v>
      </c>
      <c r="B147" s="263">
        <f>'Dry_Litterbag Placem_Collection'!A148</f>
        <v>146</v>
      </c>
      <c r="C147" s="263" t="str">
        <f>'Dry_Litterbag Placem_Collection'!B148</f>
        <v xml:space="preserve">Mwantimba
</v>
      </c>
      <c r="D147" s="263" t="s">
        <v>2460</v>
      </c>
      <c r="E147" s="263" t="s">
        <v>20</v>
      </c>
      <c r="F147" s="263">
        <v>3</v>
      </c>
      <c r="G147" s="264" t="str">
        <f>'Dry_Litterbag Placem_Collection'!C148</f>
        <v>Wet_P3_T2</v>
      </c>
      <c r="H147" s="265" t="s">
        <v>2541</v>
      </c>
      <c r="I147" s="266" t="s">
        <v>1147</v>
      </c>
      <c r="J147" s="263" t="str">
        <f>IF(ISBLANK('Dry_Litterbag Placem_Collection'!J148),"","G"&amp;""&amp;'Dry_Litterbag Placem_Collection'!J148)</f>
        <v>G465</v>
      </c>
      <c r="K147" s="267">
        <f>IFERROR(INDEX('Green_rooibos initial weight'!$C$5:$C$1749,MATCH(J147, 'Green_rooibos initial weight'!$A$5:$A$1749,0)),"")</f>
        <v>2.004</v>
      </c>
      <c r="L147" s="267">
        <f>IFERROR(K147-(TBIcalc!$Q$9+TBIcalc!$Q$10),"")</f>
        <v>1.7542</v>
      </c>
      <c r="M147" s="391">
        <f>AVERAGE(Ashed_controlls!$K$2:$K$11)</f>
        <v>5.5147656768714146</v>
      </c>
      <c r="N147" s="267">
        <f t="shared" si="11"/>
        <v>1.6574599804963217</v>
      </c>
      <c r="O147" s="267">
        <f>IF(IFERROR(INDEX('Both teabags AfterDry'!$D$3:$D$900,MATCH(J147,'Both teabags AfterDry'!$A$3:$A$900,0)),"")="","",(IFERROR(INDEX('Both teabags AfterDry'!$D$3:$D$900,MATCH(J147,'Both teabags AfterDry'!$A$3:$A$900,0)),"")))</f>
        <v>1.6845000000000001</v>
      </c>
      <c r="P147" s="267">
        <f>IFERROR(IF(O147&gt;0,O147-(TBIcalc!$Q$9),""),"")</f>
        <v>1.5339</v>
      </c>
      <c r="Q147" s="278">
        <f>IFERROR(INDEX('Ashed teabags dry'!$K$2:$K$825,MATCH(J147,'Ashed teabags dry'!$A$2:$A$825,0)),"")</f>
        <v>6.8675889328057185</v>
      </c>
      <c r="R147" s="278">
        <f t="shared" si="12"/>
        <v>1.4285580533596931</v>
      </c>
      <c r="S147" s="268">
        <f>'Dry_Litterbag Placem_Collection'!E148</f>
        <v>42939</v>
      </c>
      <c r="T147" s="268">
        <f>IF('Dry_Litterbag Placem_Collection'!G148="","",'Dry_Litterbag Placem_Collection'!G148)</f>
        <v>43010</v>
      </c>
      <c r="U147" s="269">
        <f t="shared" si="10"/>
        <v>71</v>
      </c>
      <c r="V147" s="267">
        <f t="shared" si="13"/>
        <v>0.22029999999999994</v>
      </c>
      <c r="W147" s="267">
        <f t="shared" si="14"/>
        <v>0.2289019271366286</v>
      </c>
      <c r="X147" s="271">
        <f>IFERROR(INDEX(Rainfall_Dry!$O$2:$O$217,MATCH(B147, Rainfall_Dry!$A$2:$A$217,0)),"")</f>
        <v>137.19979645800001</v>
      </c>
      <c r="Y147" s="260">
        <v>39.96</v>
      </c>
      <c r="Z147" s="260">
        <v>12.920000000000002</v>
      </c>
      <c r="AA147" s="260">
        <v>47.12</v>
      </c>
      <c r="AB147" s="261" t="s">
        <v>2674</v>
      </c>
      <c r="AC147" s="260">
        <v>2.6549531789058598</v>
      </c>
      <c r="AD147">
        <f>IF('WetLitterbags placem_collection'!AB148="","",'WetLitterbags placem_collection'!AB148)</f>
        <v>2.75</v>
      </c>
      <c r="AE147">
        <f>IF('WetLitterbags placem_collection'!Z148="","",'WetLitterbags placem_collection'!Z148)</f>
        <v>17.7</v>
      </c>
      <c r="AF147" s="246" t="str">
        <f>IF('WetLitterbags placem_collection'!AA148="","",'WetLitterbags placem_collection'!AA148)</f>
        <v>O</v>
      </c>
      <c r="AG147">
        <f>IF('WetLitterbags placem_collection'!AC148="","",'WetLitterbags placem_collection'!AC148)</f>
        <v>1</v>
      </c>
      <c r="AH147">
        <f>IFERROR(AVERAGE('Dry_Litterbag Placem_Collection'!O148,'Dry_Litterbag Placem_Collection'!R148),"")</f>
        <v>6.1</v>
      </c>
      <c r="AI147" s="271">
        <f>IFERROR(AVERAGE('Dry_Litterbag Placem_Collection'!N148,'Dry_Litterbag Placem_Collection'!Q148),"")</f>
        <v>31</v>
      </c>
      <c r="AJ147" s="270">
        <f>INDEX(Coordinates!$B$2:$B$197,MATCH(G147,Coordinates!$J$2:$J$197,0))</f>
        <v>-2.3675380370000001</v>
      </c>
      <c r="AK147" s="270">
        <f>INDEX(Coordinates!$C$2:$C$197,MATCH(G147,Coordinates!$J$2:$J$197,0))</f>
        <v>34.060381960000001</v>
      </c>
      <c r="AL147" s="270" t="str">
        <f>IF(ISNUMBER(SEARCH("C", 'Dry_Litterbag Placem_Collection'!S148)),"YES","NO")</f>
        <v>NO</v>
      </c>
      <c r="AM147" s="270" t="str">
        <f>IF(ISNUMBER(SEARCH("H", 'Dry_Litterbag Placem_Collection'!S148)),"YES","NO")</f>
        <v>NO</v>
      </c>
      <c r="AN147" s="270" t="str">
        <f>IF(ISNUMBER(SEARCH("R", 'Dry_Litterbag Placem_Collection'!S148)),"YES","NO")</f>
        <v>NO</v>
      </c>
    </row>
    <row r="148" spans="1:40" ht="15" customHeight="1">
      <c r="A148" s="262" t="s">
        <v>2659</v>
      </c>
      <c r="B148" s="263">
        <f>'Dry_Litterbag Placem_Collection'!A149</f>
        <v>147</v>
      </c>
      <c r="C148" s="263" t="str">
        <f>'Dry_Litterbag Placem_Collection'!B149</f>
        <v xml:space="preserve">Mwantimba
</v>
      </c>
      <c r="D148" s="263" t="s">
        <v>2460</v>
      </c>
      <c r="E148" s="263" t="s">
        <v>20</v>
      </c>
      <c r="F148" s="263">
        <v>3</v>
      </c>
      <c r="G148" s="264" t="str">
        <f>'Dry_Litterbag Placem_Collection'!C149</f>
        <v>Wet_P3_T3</v>
      </c>
      <c r="H148" s="265" t="s">
        <v>2541</v>
      </c>
      <c r="I148" s="266" t="s">
        <v>1147</v>
      </c>
      <c r="J148" s="263" t="str">
        <f>IF(ISBLANK('Dry_Litterbag Placem_Collection'!J149),"","G"&amp;""&amp;'Dry_Litterbag Placem_Collection'!J149)</f>
        <v>G15</v>
      </c>
      <c r="K148" s="267">
        <f>IFERROR(INDEX('Green_rooibos initial weight'!$C$5:$C$1749,MATCH(J148, 'Green_rooibos initial weight'!$A$5:$A$1749,0)),"")</f>
        <v>2.0510000000000002</v>
      </c>
      <c r="L148" s="267">
        <f>IFERROR(K148-(TBIcalc!$Q$9+TBIcalc!$Q$10),"")</f>
        <v>1.8012000000000001</v>
      </c>
      <c r="M148" s="391">
        <f>AVERAGE(Ashed_controlls!$K$2:$K$11)</f>
        <v>5.5147656768714146</v>
      </c>
      <c r="N148" s="267">
        <f t="shared" si="11"/>
        <v>1.7018680406281923</v>
      </c>
      <c r="O148" s="267">
        <f>IF(IFERROR(INDEX('Both teabags AfterDry'!$D$3:$D$900,MATCH(J148,'Both teabags AfterDry'!$A$3:$A$900,0)),"")="","",(IFERROR(INDEX('Both teabags AfterDry'!$D$3:$D$900,MATCH(J148,'Both teabags AfterDry'!$A$3:$A$900,0)),"")))</f>
        <v>1.6711</v>
      </c>
      <c r="P148" s="267">
        <f>IFERROR(IF(O148&gt;0,O148-(TBIcalc!$Q$9),""),"")</f>
        <v>1.5205</v>
      </c>
      <c r="Q148" s="278">
        <f>IFERROR(INDEX('Ashed teabags dry'!$K$2:$K$825,MATCH(J148,'Ashed teabags dry'!$A$2:$A$825,0)),"")</f>
        <v>6.9790628115651439</v>
      </c>
      <c r="R148" s="278">
        <f t="shared" si="12"/>
        <v>1.4143833499501519</v>
      </c>
      <c r="S148" s="268">
        <f>'Dry_Litterbag Placem_Collection'!E149</f>
        <v>42939</v>
      </c>
      <c r="T148" s="268">
        <f>IF('Dry_Litterbag Placem_Collection'!G149="","",'Dry_Litterbag Placem_Collection'!G149)</f>
        <v>43010</v>
      </c>
      <c r="U148" s="269">
        <f t="shared" si="10"/>
        <v>71</v>
      </c>
      <c r="V148" s="267">
        <f t="shared" si="13"/>
        <v>0.28070000000000017</v>
      </c>
      <c r="W148" s="267">
        <f t="shared" si="14"/>
        <v>0.28748469067804039</v>
      </c>
      <c r="X148" s="271">
        <f>IFERROR(INDEX(Rainfall_Dry!$O$2:$O$217,MATCH(B148, Rainfall_Dry!$A$2:$A$217,0)),"")</f>
        <v>137.19979645800001</v>
      </c>
      <c r="Y148" s="260">
        <v>39.96</v>
      </c>
      <c r="Z148" s="260">
        <v>12.920000000000002</v>
      </c>
      <c r="AA148" s="260">
        <v>47.12</v>
      </c>
      <c r="AB148" s="261" t="s">
        <v>2674</v>
      </c>
      <c r="AC148" s="260">
        <v>3.6549531789058598</v>
      </c>
      <c r="AD148">
        <f>IF('WetLitterbags placem_collection'!AB149="","",'WetLitterbags placem_collection'!AB149)</f>
        <v>3.6</v>
      </c>
      <c r="AE148">
        <f>IF('WetLitterbags placem_collection'!Z149="","",'WetLitterbags placem_collection'!Z149)</f>
        <v>19</v>
      </c>
      <c r="AF148" s="246" t="str">
        <f>IF('WetLitterbags placem_collection'!AA149="","",'WetLitterbags placem_collection'!AA149)</f>
        <v>M</v>
      </c>
      <c r="AG148">
        <f>IF('WetLitterbags placem_collection'!AC149="","",'WetLitterbags placem_collection'!AC149)</f>
        <v>1</v>
      </c>
      <c r="AH148">
        <f>IFERROR(AVERAGE('Dry_Litterbag Placem_Collection'!O149,'Dry_Litterbag Placem_Collection'!R149),"")</f>
        <v>5.6</v>
      </c>
      <c r="AI148" s="271">
        <f>IFERROR(AVERAGE('Dry_Litterbag Placem_Collection'!N149,'Dry_Litterbag Placem_Collection'!Q149),"")</f>
        <v>29.900000000000002</v>
      </c>
      <c r="AJ148" s="270">
        <f>INDEX(Coordinates!$B$2:$B$197,MATCH(G148,Coordinates!$J$2:$J$197,0))</f>
        <v>-2.3675780180000001</v>
      </c>
      <c r="AK148" s="270">
        <f>INDEX(Coordinates!$C$2:$C$197,MATCH(G148,Coordinates!$J$2:$J$197,0))</f>
        <v>34.060323029999999</v>
      </c>
      <c r="AL148" s="270" t="str">
        <f>IF(ISNUMBER(SEARCH("C", 'Dry_Litterbag Placem_Collection'!S149)),"YES","NO")</f>
        <v>NO</v>
      </c>
      <c r="AM148" s="270" t="str">
        <f>IF(ISNUMBER(SEARCH("H", 'Dry_Litterbag Placem_Collection'!S149)),"YES","NO")</f>
        <v>NO</v>
      </c>
      <c r="AN148" s="270" t="str">
        <f>IF(ISNUMBER(SEARCH("R", 'Dry_Litterbag Placem_Collection'!S149)),"YES","NO")</f>
        <v>NO</v>
      </c>
    </row>
    <row r="149" spans="1:40" ht="15" customHeight="1">
      <c r="A149" s="262" t="s">
        <v>2659</v>
      </c>
      <c r="B149" s="263">
        <f>'Dry_Litterbag Placem_Collection'!A150</f>
        <v>148</v>
      </c>
      <c r="C149" s="263" t="str">
        <f>'Dry_Litterbag Placem_Collection'!B150</f>
        <v xml:space="preserve">Mwantimba
</v>
      </c>
      <c r="D149" s="263" t="s">
        <v>2460</v>
      </c>
      <c r="E149" s="263" t="s">
        <v>20</v>
      </c>
      <c r="F149" s="263">
        <v>3</v>
      </c>
      <c r="G149" s="264" t="str">
        <f>'Dry_Litterbag Placem_Collection'!C150</f>
        <v>Wet_P3_T4</v>
      </c>
      <c r="H149" s="265" t="s">
        <v>2541</v>
      </c>
      <c r="I149" s="266" t="s">
        <v>1147</v>
      </c>
      <c r="J149" s="263" t="str">
        <f>IF(ISBLANK('Dry_Litterbag Placem_Collection'!J150),"","G"&amp;""&amp;'Dry_Litterbag Placem_Collection'!J150)</f>
        <v>G290</v>
      </c>
      <c r="K149" s="267">
        <f>IFERROR(INDEX('Green_rooibos initial weight'!$C$5:$C$1749,MATCH(J149, 'Green_rooibos initial weight'!$A$5:$A$1749,0)),"")</f>
        <v>2.0539999999999998</v>
      </c>
      <c r="L149" s="267">
        <f>IFERROR(K149-(TBIcalc!$Q$9+TBIcalc!$Q$10),"")</f>
        <v>1.8041999999999998</v>
      </c>
      <c r="M149" s="391">
        <f>AVERAGE(Ashed_controlls!$K$2:$K$11)</f>
        <v>5.5147656768714146</v>
      </c>
      <c r="N149" s="267">
        <f t="shared" si="11"/>
        <v>1.7047025976578858</v>
      </c>
      <c r="O149" s="267">
        <f>IF(IFERROR(INDEX('Both teabags AfterDry'!$D$3:$D$900,MATCH(J149,'Both teabags AfterDry'!$A$3:$A$900,0)),"")="","",(IFERROR(INDEX('Both teabags AfterDry'!$D$3:$D$900,MATCH(J149,'Both teabags AfterDry'!$A$3:$A$900,0)),"")))</f>
        <v>1.6564000000000001</v>
      </c>
      <c r="P149" s="267">
        <f>IFERROR(IF(O149&gt;0,O149-(TBIcalc!$Q$9),""),"")</f>
        <v>1.5058</v>
      </c>
      <c r="Q149" s="278">
        <f>IFERROR(INDEX('Ashed teabags dry'!$K$2:$K$825,MATCH(J149,'Ashed teabags dry'!$A$2:$A$825,0)),"")</f>
        <v>7.4552269887550784</v>
      </c>
      <c r="R149" s="278">
        <f t="shared" si="12"/>
        <v>1.393539192003326</v>
      </c>
      <c r="S149" s="268">
        <f>'Dry_Litterbag Placem_Collection'!E150</f>
        <v>42939</v>
      </c>
      <c r="T149" s="268">
        <f>IF('Dry_Litterbag Placem_Collection'!G150="","",'Dry_Litterbag Placem_Collection'!G150)</f>
        <v>43010</v>
      </c>
      <c r="U149" s="269">
        <f t="shared" si="10"/>
        <v>71</v>
      </c>
      <c r="V149" s="267">
        <f t="shared" si="13"/>
        <v>0.29839999999999978</v>
      </c>
      <c r="W149" s="267">
        <f t="shared" si="14"/>
        <v>0.3111634056545598</v>
      </c>
      <c r="X149" s="271">
        <f>IFERROR(INDEX(Rainfall_Dry!$O$2:$O$217,MATCH(B149, Rainfall_Dry!$A$2:$A$217,0)),"")</f>
        <v>137.19979645800001</v>
      </c>
      <c r="Y149" s="260">
        <v>39.96</v>
      </c>
      <c r="Z149" s="260">
        <v>12.920000000000002</v>
      </c>
      <c r="AA149" s="260">
        <v>47.12</v>
      </c>
      <c r="AB149" s="261" t="s">
        <v>2674</v>
      </c>
      <c r="AC149" s="260">
        <v>4.6549531789058696</v>
      </c>
      <c r="AD149">
        <f>IF('WetLitterbags placem_collection'!AB150="","",'WetLitterbags placem_collection'!AB150)</f>
        <v>4.9000000000000004</v>
      </c>
      <c r="AE149">
        <f>IF('WetLitterbags placem_collection'!Z150="","",'WetLitterbags placem_collection'!Z150)</f>
        <v>17.489999999999998</v>
      </c>
      <c r="AF149" s="246" t="str">
        <f>IF('WetLitterbags placem_collection'!AA150="","",'WetLitterbags placem_collection'!AA150)</f>
        <v>M</v>
      </c>
      <c r="AG149">
        <f>IF('WetLitterbags placem_collection'!AC150="","",'WetLitterbags placem_collection'!AC150)</f>
        <v>1</v>
      </c>
      <c r="AH149">
        <f>IFERROR(AVERAGE('Dry_Litterbag Placem_Collection'!O150,'Dry_Litterbag Placem_Collection'!R150),"")</f>
        <v>6.5</v>
      </c>
      <c r="AI149" s="271">
        <f>IFERROR(AVERAGE('Dry_Litterbag Placem_Collection'!N150,'Dry_Litterbag Placem_Collection'!Q150),"")</f>
        <v>31.6</v>
      </c>
      <c r="AJ149" s="270">
        <f>INDEX(Coordinates!$B$2:$B$197,MATCH(G149,Coordinates!$J$2:$J$197,0))</f>
        <v>-2.3676269689999998</v>
      </c>
      <c r="AK149" s="270">
        <f>INDEX(Coordinates!$C$2:$C$197,MATCH(G149,Coordinates!$J$2:$J$197,0))</f>
        <v>34.060310960000002</v>
      </c>
      <c r="AL149" s="270" t="str">
        <f>IF(ISNUMBER(SEARCH("C", 'Dry_Litterbag Placem_Collection'!S150)),"YES","NO")</f>
        <v>NO</v>
      </c>
      <c r="AM149" s="270" t="str">
        <f>IF(ISNUMBER(SEARCH("H", 'Dry_Litterbag Placem_Collection'!S150)),"YES","NO")</f>
        <v>NO</v>
      </c>
      <c r="AN149" s="270" t="str">
        <f>IF(ISNUMBER(SEARCH("R", 'Dry_Litterbag Placem_Collection'!S150)),"YES","NO")</f>
        <v>NO</v>
      </c>
    </row>
    <row r="150" spans="1:40" ht="15" customHeight="1">
      <c r="A150" s="262" t="s">
        <v>2659</v>
      </c>
      <c r="B150" s="263">
        <f>'Dry_Litterbag Placem_Collection'!A151</f>
        <v>149</v>
      </c>
      <c r="C150" s="263" t="str">
        <f>'Dry_Litterbag Placem_Collection'!B151</f>
        <v xml:space="preserve">Mwantimba
</v>
      </c>
      <c r="D150" s="263" t="s">
        <v>2460</v>
      </c>
      <c r="E150" s="263" t="s">
        <v>20</v>
      </c>
      <c r="F150" s="263">
        <v>3</v>
      </c>
      <c r="G150" s="264" t="str">
        <f>'Dry_Litterbag Placem_Collection'!C151</f>
        <v>Wet_P3_T5</v>
      </c>
      <c r="H150" s="265" t="s">
        <v>2541</v>
      </c>
      <c r="I150" s="266" t="s">
        <v>1147</v>
      </c>
      <c r="J150" s="263" t="str">
        <f>IF(ISBLANK('Dry_Litterbag Placem_Collection'!J151),"","G"&amp;""&amp;'Dry_Litterbag Placem_Collection'!J151)</f>
        <v>G194</v>
      </c>
      <c r="K150" s="267">
        <f>IFERROR(INDEX('Green_rooibos initial weight'!$C$5:$C$1749,MATCH(J150, 'Green_rooibos initial weight'!$A$5:$A$1749,0)),"")</f>
        <v>2.032</v>
      </c>
      <c r="L150" s="267">
        <f>IFERROR(K150-(TBIcalc!$Q$9+TBIcalc!$Q$10),"")</f>
        <v>1.7822</v>
      </c>
      <c r="M150" s="391">
        <f>AVERAGE(Ashed_controlls!$K$2:$K$11)</f>
        <v>5.5147656768714146</v>
      </c>
      <c r="N150" s="267">
        <f t="shared" si="11"/>
        <v>1.6839158461067976</v>
      </c>
      <c r="O150" s="267">
        <f>IF(IFERROR(INDEX('Both teabags AfterDry'!$D$3:$D$900,MATCH(J150,'Both teabags AfterDry'!$A$3:$A$900,0)),"")="","",(IFERROR(INDEX('Both teabags AfterDry'!$D$3:$D$900,MATCH(J150,'Both teabags AfterDry'!$A$3:$A$900,0)),"")))</f>
        <v>1.56</v>
      </c>
      <c r="P150" s="267">
        <f>IFERROR(IF(O150&gt;0,O150-(TBIcalc!$Q$9),""),"")</f>
        <v>1.4094</v>
      </c>
      <c r="Q150" s="278">
        <f>IFERROR(INDEX('Ashed teabags dry'!$K$2:$K$825,MATCH(J150,'Ashed teabags dry'!$A$2:$A$825,0)),"")</f>
        <v>7.1186440677962963</v>
      </c>
      <c r="R150" s="278">
        <f t="shared" si="12"/>
        <v>1.3090698305084789</v>
      </c>
      <c r="S150" s="268">
        <f>'Dry_Litterbag Placem_Collection'!E151</f>
        <v>42939</v>
      </c>
      <c r="T150" s="268">
        <f>IF('Dry_Litterbag Placem_Collection'!G151="","",'Dry_Litterbag Placem_Collection'!G151)</f>
        <v>43010</v>
      </c>
      <c r="U150" s="269">
        <f t="shared" si="10"/>
        <v>71</v>
      </c>
      <c r="V150" s="267">
        <f t="shared" si="13"/>
        <v>0.37280000000000002</v>
      </c>
      <c r="W150" s="267">
        <f t="shared" si="14"/>
        <v>0.37484601559831865</v>
      </c>
      <c r="X150" s="271">
        <f>IFERROR(INDEX(Rainfall_Dry!$O$2:$O$217,MATCH(B150, Rainfall_Dry!$A$2:$A$217,0)),"")</f>
        <v>137.19979645800001</v>
      </c>
      <c r="Y150" s="260">
        <v>39.96</v>
      </c>
      <c r="Z150" s="260">
        <v>12.920000000000002</v>
      </c>
      <c r="AA150" s="260">
        <v>47.12</v>
      </c>
      <c r="AB150" s="261" t="s">
        <v>2674</v>
      </c>
      <c r="AC150" s="260">
        <v>5.6549531789058696</v>
      </c>
      <c r="AD150">
        <f>IF('WetLitterbags placem_collection'!AB151="","",'WetLitterbags placem_collection'!AB151)</f>
        <v>2.8</v>
      </c>
      <c r="AE150">
        <f>IF('WetLitterbags placem_collection'!Z151="","",'WetLitterbags placem_collection'!Z151)</f>
        <v>13</v>
      </c>
      <c r="AF150" s="246" t="str">
        <f>IF('WetLitterbags placem_collection'!AA151="","",'WetLitterbags placem_collection'!AA151)</f>
        <v>M</v>
      </c>
      <c r="AG150">
        <f>IF('WetLitterbags placem_collection'!AC151="","",'WetLitterbags placem_collection'!AC151)</f>
        <v>1</v>
      </c>
      <c r="AH150">
        <f>IFERROR(AVERAGE('Dry_Litterbag Placem_Collection'!O151,'Dry_Litterbag Placem_Collection'!R151),"")</f>
        <v>6.3000000000000007</v>
      </c>
      <c r="AI150" s="271">
        <f>IFERROR(AVERAGE('Dry_Litterbag Placem_Collection'!N151,'Dry_Litterbag Placem_Collection'!Q151),"")</f>
        <v>31</v>
      </c>
      <c r="AJ150" s="270">
        <f>INDEX(Coordinates!$B$2:$B$197,MATCH(G150,Coordinates!$J$2:$J$197,0))</f>
        <v>-2.3677179960000001</v>
      </c>
      <c r="AK150" s="270">
        <f>INDEX(Coordinates!$C$2:$C$197,MATCH(G150,Coordinates!$J$2:$J$197,0))</f>
        <v>34.060324960000003</v>
      </c>
      <c r="AL150" s="270" t="str">
        <f>IF(ISNUMBER(SEARCH("C", 'Dry_Litterbag Placem_Collection'!S151)),"YES","NO")</f>
        <v>NO</v>
      </c>
      <c r="AM150" s="270" t="str">
        <f>IF(ISNUMBER(SEARCH("H", 'Dry_Litterbag Placem_Collection'!S151)),"YES","NO")</f>
        <v>NO</v>
      </c>
      <c r="AN150" s="270" t="str">
        <f>IF(ISNUMBER(SEARCH("R", 'Dry_Litterbag Placem_Collection'!S151)),"YES","NO")</f>
        <v>NO</v>
      </c>
    </row>
    <row r="151" spans="1:40" ht="15" customHeight="1">
      <c r="A151" s="262" t="s">
        <v>2659</v>
      </c>
      <c r="B151" s="263">
        <f>'Dry_Litterbag Placem_Collection'!A152</f>
        <v>150</v>
      </c>
      <c r="C151" s="263" t="str">
        <f>'Dry_Litterbag Placem_Collection'!B152</f>
        <v xml:space="preserve">Mwantimba
</v>
      </c>
      <c r="D151" s="263" t="s">
        <v>2460</v>
      </c>
      <c r="E151" s="263" t="s">
        <v>20</v>
      </c>
      <c r="F151" s="263">
        <v>3</v>
      </c>
      <c r="G151" s="264" t="str">
        <f>'Dry_Litterbag Placem_Collection'!C152</f>
        <v>Wet_P3_T6</v>
      </c>
      <c r="H151" s="265" t="s">
        <v>2541</v>
      </c>
      <c r="I151" s="266" t="s">
        <v>1147</v>
      </c>
      <c r="J151" s="263" t="str">
        <f>IF(ISBLANK('Dry_Litterbag Placem_Collection'!J152),"","G"&amp;""&amp;'Dry_Litterbag Placem_Collection'!J152)</f>
        <v>G272</v>
      </c>
      <c r="K151" s="267">
        <f>IFERROR(INDEX('Green_rooibos initial weight'!$C$5:$C$1749,MATCH(J151, 'Green_rooibos initial weight'!$A$5:$A$1749,0)),"")</f>
        <v>2.0649999999999999</v>
      </c>
      <c r="L151" s="267">
        <f>IFERROR(K151-(TBIcalc!$Q$9+TBIcalc!$Q$10),"")</f>
        <v>1.8151999999999999</v>
      </c>
      <c r="M151" s="391">
        <f>AVERAGE(Ashed_controlls!$K$2:$K$11)</f>
        <v>5.5147656768714146</v>
      </c>
      <c r="N151" s="267">
        <f t="shared" si="11"/>
        <v>1.7150959734334301</v>
      </c>
      <c r="O151" s="267" t="str">
        <f>IF(IFERROR(INDEX('Both teabags AfterDry'!$D$3:$D$900,MATCH(J151,'Both teabags AfterDry'!$A$3:$A$900,0)),"")="","",(IFERROR(INDEX('Both teabags AfterDry'!$D$3:$D$900,MATCH(J151,'Both teabags AfterDry'!$A$3:$A$900,0)),"")))</f>
        <v/>
      </c>
      <c r="P151" s="267" t="str">
        <f>IFERROR(IF(O151&gt;0,O151-(TBIcalc!$Q$9),""),"")</f>
        <v/>
      </c>
      <c r="Q151" s="278" t="str">
        <f>IFERROR(INDEX('Ashed teabags dry'!$K$2:$K$825,MATCH(J151,'Ashed teabags dry'!$A$2:$A$825,0)),"")</f>
        <v/>
      </c>
      <c r="R151" s="278" t="str">
        <f t="shared" si="12"/>
        <v/>
      </c>
      <c r="S151" s="268">
        <f>'Dry_Litterbag Placem_Collection'!E152</f>
        <v>42939</v>
      </c>
      <c r="T151" s="268">
        <f>IF('Dry_Litterbag Placem_Collection'!G152="","",'Dry_Litterbag Placem_Collection'!G152)</f>
        <v>43010</v>
      </c>
      <c r="U151" s="269">
        <f t="shared" si="10"/>
        <v>71</v>
      </c>
      <c r="V151" s="267" t="str">
        <f t="shared" si="13"/>
        <v/>
      </c>
      <c r="W151" s="267" t="str">
        <f t="shared" si="14"/>
        <v/>
      </c>
      <c r="X151" s="271">
        <f>IFERROR(INDEX(Rainfall_Dry!$O$2:$O$217,MATCH(B151, Rainfall_Dry!$A$2:$A$217,0)),"")</f>
        <v>137.19979645800001</v>
      </c>
      <c r="Y151" s="260">
        <v>39.96</v>
      </c>
      <c r="Z151" s="260">
        <v>12.920000000000002</v>
      </c>
      <c r="AA151" s="260">
        <v>47.12</v>
      </c>
      <c r="AB151" s="261" t="s">
        <v>2674</v>
      </c>
      <c r="AC151" s="260">
        <v>6.6549531789058696</v>
      </c>
      <c r="AD151">
        <f>IF('WetLitterbags placem_collection'!AB152="","",'WetLitterbags placem_collection'!AB152)</f>
        <v>2.75</v>
      </c>
      <c r="AE151">
        <f>IF('WetLitterbags placem_collection'!Z152="","",'WetLitterbags placem_collection'!Z152)</f>
        <v>19</v>
      </c>
      <c r="AF151" s="246" t="str">
        <f>IF('WetLitterbags placem_collection'!AA152="","",'WetLitterbags placem_collection'!AA152)</f>
        <v>O</v>
      </c>
      <c r="AG151">
        <f>IF('WetLitterbags placem_collection'!AC152="","",'WetLitterbags placem_collection'!AC152)</f>
        <v>0</v>
      </c>
      <c r="AH151">
        <f>IFERROR(AVERAGE('Dry_Litterbag Placem_Collection'!O152,'Dry_Litterbag Placem_Collection'!R152),"")</f>
        <v>6.1999999999999993</v>
      </c>
      <c r="AI151" s="271">
        <f>IFERROR(AVERAGE('Dry_Litterbag Placem_Collection'!N152,'Dry_Litterbag Placem_Collection'!Q152),"")</f>
        <v>30.8</v>
      </c>
      <c r="AJ151" s="270">
        <f>INDEX(Coordinates!$B$2:$B$197,MATCH(G151,Coordinates!$J$2:$J$197,0))</f>
        <v>-2.3675230329999999</v>
      </c>
      <c r="AK151" s="270">
        <f>INDEX(Coordinates!$C$2:$C$197,MATCH(G151,Coordinates!$J$2:$J$197,0))</f>
        <v>34.060512969999998</v>
      </c>
      <c r="AL151" s="270" t="str">
        <f>IF(ISNUMBER(SEARCH("C", 'Dry_Litterbag Placem_Collection'!S152)),"YES","NO")</f>
        <v>NO</v>
      </c>
      <c r="AM151" s="270" t="str">
        <f>IF(ISNUMBER(SEARCH("H", 'Dry_Litterbag Placem_Collection'!S152)),"YES","NO")</f>
        <v>YES</v>
      </c>
      <c r="AN151" s="270" t="str">
        <f>IF(ISNUMBER(SEARCH("R", 'Dry_Litterbag Placem_Collection'!S152)),"YES","NO")</f>
        <v>NO</v>
      </c>
    </row>
    <row r="152" spans="1:40" ht="15" customHeight="1">
      <c r="A152" s="262" t="s">
        <v>2659</v>
      </c>
      <c r="B152" s="263">
        <f>'Dry_Litterbag Placem_Collection'!A153</f>
        <v>151</v>
      </c>
      <c r="C152" s="263" t="str">
        <f>'Dry_Litterbag Placem_Collection'!B153</f>
        <v xml:space="preserve">Mwantimba
</v>
      </c>
      <c r="D152" s="263" t="s">
        <v>2460</v>
      </c>
      <c r="E152" s="263" t="s">
        <v>20</v>
      </c>
      <c r="F152" s="263">
        <v>3</v>
      </c>
      <c r="G152" s="264" t="str">
        <f>'Dry_Litterbag Placem_Collection'!C153</f>
        <v>Wet_P3_T7</v>
      </c>
      <c r="H152" s="265" t="s">
        <v>2541</v>
      </c>
      <c r="I152" s="266" t="s">
        <v>1147</v>
      </c>
      <c r="J152" s="263" t="str">
        <f>IF(ISBLANK('Dry_Litterbag Placem_Collection'!J153),"","G"&amp;""&amp;'Dry_Litterbag Placem_Collection'!J153)</f>
        <v/>
      </c>
      <c r="K152" s="267" t="str">
        <f>IFERROR(INDEX('Green_rooibos initial weight'!$C$5:$C$1749,MATCH(J152, 'Green_rooibos initial weight'!$A$5:$A$1749,0)),"")</f>
        <v/>
      </c>
      <c r="L152" s="267" t="str">
        <f>IFERROR(K152-(TBIcalc!$Q$9+TBIcalc!$Q$10),"")</f>
        <v/>
      </c>
      <c r="M152" s="391">
        <f>AVERAGE(Ashed_controlls!$K$2:$K$11)</f>
        <v>5.5147656768714146</v>
      </c>
      <c r="N152" s="267" t="str">
        <f t="shared" si="11"/>
        <v/>
      </c>
      <c r="O152" s="267" t="str">
        <f>IF(IFERROR(INDEX('Both teabags AfterDry'!$D$3:$D$900,MATCH(J152,'Both teabags AfterDry'!$A$3:$A$900,0)),"")="","",(IFERROR(INDEX('Both teabags AfterDry'!$D$3:$D$900,MATCH(J152,'Both teabags AfterDry'!$A$3:$A$900,0)),"")))</f>
        <v/>
      </c>
      <c r="P152" s="267" t="str">
        <f>IFERROR(IF(O152&gt;0,O152-(TBIcalc!$Q$9),""),"")</f>
        <v/>
      </c>
      <c r="Q152" s="278" t="str">
        <f>IFERROR(INDEX('Ashed teabags dry'!$K$2:$K$825,MATCH(J152,'Ashed teabags dry'!$A$2:$A$825,0)),"")</f>
        <v/>
      </c>
      <c r="R152" s="278" t="str">
        <f t="shared" si="12"/>
        <v/>
      </c>
      <c r="S152" s="268">
        <f>'Dry_Litterbag Placem_Collection'!E153</f>
        <v>0</v>
      </c>
      <c r="T152" s="268" t="str">
        <f>IF('Dry_Litterbag Placem_Collection'!G153="","",'Dry_Litterbag Placem_Collection'!G153)</f>
        <v/>
      </c>
      <c r="U152" s="269" t="str">
        <f t="shared" si="10"/>
        <v/>
      </c>
      <c r="V152" s="267" t="str">
        <f t="shared" si="13"/>
        <v/>
      </c>
      <c r="W152" s="267" t="str">
        <f t="shared" si="14"/>
        <v/>
      </c>
      <c r="X152" s="271" t="str">
        <f>IFERROR(INDEX(Rainfall_Dry!$O$2:$O$217,MATCH(B152, Rainfall_Dry!$A$2:$A$217,0)),"")</f>
        <v/>
      </c>
      <c r="Y152" s="260">
        <v>39.96</v>
      </c>
      <c r="Z152" s="260">
        <v>12.920000000000002</v>
      </c>
      <c r="AA152" s="260">
        <v>47.12</v>
      </c>
      <c r="AB152" s="261" t="s">
        <v>2674</v>
      </c>
      <c r="AC152" s="260">
        <v>7.6549531789058696</v>
      </c>
      <c r="AD152">
        <f>IF('WetLitterbags placem_collection'!AB153="","",'WetLitterbags placem_collection'!AB153)</f>
        <v>1.4</v>
      </c>
      <c r="AE152">
        <f>IF('WetLitterbags placem_collection'!Z153="","",'WetLitterbags placem_collection'!Z153)</f>
        <v>7.9</v>
      </c>
      <c r="AF152" s="246" t="str">
        <f>IF('WetLitterbags placem_collection'!AA153="","",'WetLitterbags placem_collection'!AA153)</f>
        <v>O</v>
      </c>
      <c r="AG152">
        <f>IF('WetLitterbags placem_collection'!AC153="","",'WetLitterbags placem_collection'!AC153)</f>
        <v>1</v>
      </c>
      <c r="AH152" t="str">
        <f>IFERROR(AVERAGE('Dry_Litterbag Placem_Collection'!O153,'Dry_Litterbag Placem_Collection'!R153),"")</f>
        <v/>
      </c>
      <c r="AI152" s="271" t="str">
        <f>IFERROR(AVERAGE('Dry_Litterbag Placem_Collection'!N153,'Dry_Litterbag Placem_Collection'!Q153),"")</f>
        <v/>
      </c>
      <c r="AJ152" s="270">
        <f>INDEX(Coordinates!$B$2:$B$197,MATCH(G152,Coordinates!$J$2:$J$197,0))</f>
        <v>-2.3673460070000001</v>
      </c>
      <c r="AK152" s="270">
        <f>INDEX(Coordinates!$C$2:$C$197,MATCH(G152,Coordinates!$J$2:$J$197,0))</f>
        <v>34.060310039999997</v>
      </c>
      <c r="AL152" s="270" t="str">
        <f>IF(ISNUMBER(SEARCH("C", 'Dry_Litterbag Placem_Collection'!S153)),"YES","NO")</f>
        <v>NO</v>
      </c>
      <c r="AM152" s="270" t="str">
        <f>IF(ISNUMBER(SEARCH("H", 'Dry_Litterbag Placem_Collection'!S153)),"YES","NO")</f>
        <v>NO</v>
      </c>
      <c r="AN152" s="270" t="str">
        <f>IF(ISNUMBER(SEARCH("R", 'Dry_Litterbag Placem_Collection'!S153)),"YES","NO")</f>
        <v>NO</v>
      </c>
    </row>
    <row r="153" spans="1:40" ht="15" customHeight="1">
      <c r="A153" s="262" t="s">
        <v>2659</v>
      </c>
      <c r="B153" s="263">
        <f>'Dry_Litterbag Placem_Collection'!A154</f>
        <v>152</v>
      </c>
      <c r="C153" s="263" t="str">
        <f>'Dry_Litterbag Placem_Collection'!B154</f>
        <v xml:space="preserve">Mwantimba
</v>
      </c>
      <c r="D153" s="263" t="s">
        <v>2460</v>
      </c>
      <c r="E153" s="263" t="s">
        <v>20</v>
      </c>
      <c r="F153" s="263">
        <v>3</v>
      </c>
      <c r="G153" s="264" t="str">
        <f>'Dry_Litterbag Placem_Collection'!C154</f>
        <v>Wet_P3_T8</v>
      </c>
      <c r="H153" s="265" t="s">
        <v>2541</v>
      </c>
      <c r="I153" s="266" t="s">
        <v>1147</v>
      </c>
      <c r="J153" s="263" t="str">
        <f>IF(ISBLANK('Dry_Litterbag Placem_Collection'!J154),"","G"&amp;""&amp;'Dry_Litterbag Placem_Collection'!J154)</f>
        <v>G198</v>
      </c>
      <c r="K153" s="267">
        <f>IFERROR(INDEX('Green_rooibos initial weight'!$C$5:$C$1749,MATCH(J153, 'Green_rooibos initial weight'!$A$5:$A$1749,0)),"")</f>
        <v>1.931</v>
      </c>
      <c r="L153" s="267">
        <f>IFERROR(K153-(TBIcalc!$Q$9+TBIcalc!$Q$10),"")</f>
        <v>1.6812</v>
      </c>
      <c r="M153" s="391">
        <f>AVERAGE(Ashed_controlls!$K$2:$K$11)</f>
        <v>5.5147656768714146</v>
      </c>
      <c r="N153" s="267">
        <f t="shared" si="11"/>
        <v>1.5884857594404378</v>
      </c>
      <c r="O153" s="267">
        <f>IF(IFERROR(INDEX('Both teabags AfterDry'!$D$3:$D$900,MATCH(J153,'Both teabags AfterDry'!$A$3:$A$900,0)),"")="","",(IFERROR(INDEX('Both teabags AfterDry'!$D$3:$D$900,MATCH(J153,'Both teabags AfterDry'!$A$3:$A$900,0)),"")))</f>
        <v>1.3654999999999999</v>
      </c>
      <c r="P153" s="267">
        <f>IFERROR(IF(O153&gt;0,O153-(TBIcalc!$Q$9),""),"")</f>
        <v>1.2148999999999999</v>
      </c>
      <c r="Q153" s="278">
        <f>IFERROR(INDEX('Ashed teabags dry'!$K$2:$K$825,MATCH(J153,'Ashed teabags dry'!$A$2:$A$825,0)),"")</f>
        <v>10.100586756077433</v>
      </c>
      <c r="R153" s="278">
        <f t="shared" si="12"/>
        <v>1.0921879715004152</v>
      </c>
      <c r="S153" s="268">
        <f>'Dry_Litterbag Placem_Collection'!E154</f>
        <v>42939</v>
      </c>
      <c r="T153" s="268">
        <f>IF('Dry_Litterbag Placem_Collection'!G154="","",'Dry_Litterbag Placem_Collection'!G154)</f>
        <v>43010</v>
      </c>
      <c r="U153" s="269">
        <f t="shared" si="10"/>
        <v>71</v>
      </c>
      <c r="V153" s="267">
        <f t="shared" si="13"/>
        <v>0.46630000000000016</v>
      </c>
      <c r="W153" s="267">
        <f t="shared" si="14"/>
        <v>0.49629778794002255</v>
      </c>
      <c r="X153" s="271">
        <f>IFERROR(INDEX(Rainfall_Dry!$O$2:$O$217,MATCH(B153, Rainfall_Dry!$A$2:$A$217,0)),"")</f>
        <v>137.19979645800001</v>
      </c>
      <c r="Y153" s="260">
        <v>39.96</v>
      </c>
      <c r="Z153" s="260">
        <v>12.920000000000002</v>
      </c>
      <c r="AA153" s="260">
        <v>47.12</v>
      </c>
      <c r="AB153" s="261" t="s">
        <v>2674</v>
      </c>
      <c r="AC153" s="260">
        <v>8.6549531789058705</v>
      </c>
      <c r="AD153">
        <f>IF('WetLitterbags placem_collection'!AB154="","",'WetLitterbags placem_collection'!AB154)</f>
        <v>2.2000000000000002</v>
      </c>
      <c r="AE153">
        <f>IF('WetLitterbags placem_collection'!Z154="","",'WetLitterbags placem_collection'!Z154)</f>
        <v>15</v>
      </c>
      <c r="AF153" s="246" t="str">
        <f>IF('WetLitterbags placem_collection'!AA154="","",'WetLitterbags placem_collection'!AA154)</f>
        <v>M</v>
      </c>
      <c r="AG153">
        <f>IF('WetLitterbags placem_collection'!AC154="","",'WetLitterbags placem_collection'!AC154)</f>
        <v>0</v>
      </c>
      <c r="AH153">
        <f>IFERROR(AVERAGE('Dry_Litterbag Placem_Collection'!O154,'Dry_Litterbag Placem_Collection'!R154),"")</f>
        <v>6.4</v>
      </c>
      <c r="AI153" s="271">
        <f>IFERROR(AVERAGE('Dry_Litterbag Placem_Collection'!N154,'Dry_Litterbag Placem_Collection'!Q154),"")</f>
        <v>28.45</v>
      </c>
      <c r="AJ153" s="270">
        <f>INDEX(Coordinates!$B$2:$B$197,MATCH(G153,Coordinates!$J$2:$J$197,0))</f>
        <v>-2.367543988</v>
      </c>
      <c r="AK153" s="270">
        <f>INDEX(Coordinates!$C$2:$C$197,MATCH(G153,Coordinates!$J$2:$J$197,0))</f>
        <v>34.060168969999999</v>
      </c>
      <c r="AL153" s="270" t="str">
        <f>IF(ISNUMBER(SEARCH("C", 'Dry_Litterbag Placem_Collection'!S154)),"YES","NO")</f>
        <v>YES</v>
      </c>
      <c r="AM153" s="270" t="str">
        <f>IF(ISNUMBER(SEARCH("H", 'Dry_Litterbag Placem_Collection'!S154)),"YES","NO")</f>
        <v>YES</v>
      </c>
      <c r="AN153" s="270" t="str">
        <f>IF(ISNUMBER(SEARCH("R", 'Dry_Litterbag Placem_Collection'!S154)),"YES","NO")</f>
        <v>NO</v>
      </c>
    </row>
    <row r="154" spans="1:40" ht="15" customHeight="1">
      <c r="A154" s="262" t="s">
        <v>2659</v>
      </c>
      <c r="B154" s="263">
        <f>'Dry_Litterbag Placem_Collection'!A155</f>
        <v>153</v>
      </c>
      <c r="C154" s="263" t="str">
        <f>'Dry_Litterbag Placem_Collection'!B155</f>
        <v xml:space="preserve">Mwantimba
</v>
      </c>
      <c r="D154" s="263" t="s">
        <v>2460</v>
      </c>
      <c r="E154" s="263" t="s">
        <v>20</v>
      </c>
      <c r="F154" s="263">
        <v>4</v>
      </c>
      <c r="G154" s="264" t="str">
        <f>'Dry_Litterbag Placem_Collection'!C155</f>
        <v>Wet_P4_T1</v>
      </c>
      <c r="H154" s="265" t="s">
        <v>2541</v>
      </c>
      <c r="I154" s="266" t="s">
        <v>1147</v>
      </c>
      <c r="J154" s="263" t="str">
        <f>IF(ISBLANK('Dry_Litterbag Placem_Collection'!J155),"","G"&amp;""&amp;'Dry_Litterbag Placem_Collection'!J155)</f>
        <v>G197</v>
      </c>
      <c r="K154" s="267">
        <f>IFERROR(INDEX('Green_rooibos initial weight'!$C$5:$C$1749,MATCH(J154, 'Green_rooibos initial weight'!$A$5:$A$1749,0)),"")</f>
        <v>2.1120000000000001</v>
      </c>
      <c r="L154" s="267">
        <f>IFERROR(K154-(TBIcalc!$Q$9+TBIcalc!$Q$10),"")</f>
        <v>1.8622000000000001</v>
      </c>
      <c r="M154" s="391">
        <f>AVERAGE(Ashed_controlls!$K$2:$K$11)</f>
        <v>5.5147656768714146</v>
      </c>
      <c r="N154" s="267">
        <f t="shared" si="11"/>
        <v>1.7595040335653005</v>
      </c>
      <c r="O154" s="267">
        <f>IF(IFERROR(INDEX('Both teabags AfterDry'!$D$3:$D$900,MATCH(J154,'Both teabags AfterDry'!$A$3:$A$900,0)),"")="","",(IFERROR(INDEX('Both teabags AfterDry'!$D$3:$D$900,MATCH(J154,'Both teabags AfterDry'!$A$3:$A$900,0)),"")))</f>
        <v>1.2847</v>
      </c>
      <c r="P154" s="267">
        <f>IFERROR(IF(O154&gt;0,O154-(TBIcalc!$Q$9),""),"")</f>
        <v>1.1340999999999999</v>
      </c>
      <c r="Q154" s="278">
        <f>IFERROR(INDEX('Ashed teabags dry'!$K$2:$K$825,MATCH(J154,'Ashed teabags dry'!$A$2:$A$825,0)),"")</f>
        <v>10.205908683975077</v>
      </c>
      <c r="R154" s="278">
        <f t="shared" si="12"/>
        <v>1.0183547896150387</v>
      </c>
      <c r="S154" s="268">
        <f>'Dry_Litterbag Placem_Collection'!E155</f>
        <v>42939</v>
      </c>
      <c r="T154" s="268">
        <f>IF('Dry_Litterbag Placem_Collection'!G155="","",'Dry_Litterbag Placem_Collection'!G155)</f>
        <v>43010</v>
      </c>
      <c r="U154" s="269">
        <f t="shared" si="10"/>
        <v>71</v>
      </c>
      <c r="V154" s="267">
        <f t="shared" si="13"/>
        <v>0.72810000000000019</v>
      </c>
      <c r="W154" s="267">
        <f t="shared" si="14"/>
        <v>0.74114924395026183</v>
      </c>
      <c r="X154" s="271">
        <f>IFERROR(INDEX(Rainfall_Dry!$O$2:$O$217,MATCH(B154, Rainfall_Dry!$A$2:$A$217,0)),"")</f>
        <v>137.19979645800001</v>
      </c>
      <c r="Y154" s="260">
        <v>27.96</v>
      </c>
      <c r="Z154" s="260">
        <v>4.9200000000000017</v>
      </c>
      <c r="AA154" s="260">
        <v>67.12</v>
      </c>
      <c r="AB154" s="261" t="s">
        <v>2670</v>
      </c>
      <c r="AC154" s="260">
        <v>1.0437161163134547</v>
      </c>
      <c r="AD154">
        <f>IF('WetLitterbags placem_collection'!AB155="","",'WetLitterbags placem_collection'!AB155)</f>
        <v>2.1</v>
      </c>
      <c r="AE154">
        <f>IF('WetLitterbags placem_collection'!Z155="","",'WetLitterbags placem_collection'!Z155)</f>
        <v>16.399999999999999</v>
      </c>
      <c r="AF154" s="246" t="str">
        <f>IF('WetLitterbags placem_collection'!AA155="","",'WetLitterbags placem_collection'!AA155)</f>
        <v>G</v>
      </c>
      <c r="AG154">
        <f>IF('WetLitterbags placem_collection'!AC155="","",'WetLitterbags placem_collection'!AC155)</f>
        <v>0</v>
      </c>
      <c r="AH154">
        <f>IFERROR(AVERAGE('Dry_Litterbag Placem_Collection'!O155,'Dry_Litterbag Placem_Collection'!R155),"")</f>
        <v>5.65</v>
      </c>
      <c r="AI154" s="271">
        <f>IFERROR(AVERAGE('Dry_Litterbag Placem_Collection'!N155,'Dry_Litterbag Placem_Collection'!Q155),"")</f>
        <v>31.65</v>
      </c>
      <c r="AJ154" s="270">
        <f>INDEX(Coordinates!$B$2:$B$197,MATCH(G154,Coordinates!$J$2:$J$197,0))</f>
        <v>-2.3676780150000001</v>
      </c>
      <c r="AK154" s="270">
        <f>INDEX(Coordinates!$C$2:$C$197,MATCH(G154,Coordinates!$J$2:$J$197,0))</f>
        <v>34.05937797</v>
      </c>
      <c r="AL154" s="270" t="str">
        <f>IF(ISNUMBER(SEARCH("C", 'Dry_Litterbag Placem_Collection'!S155)),"YES","NO")</f>
        <v>YES</v>
      </c>
      <c r="AM154" s="270" t="str">
        <f>IF(ISNUMBER(SEARCH("H", 'Dry_Litterbag Placem_Collection'!S155)),"YES","NO")</f>
        <v>YES</v>
      </c>
      <c r="AN154" s="270" t="str">
        <f>IF(ISNUMBER(SEARCH("R", 'Dry_Litterbag Placem_Collection'!S155)),"YES","NO")</f>
        <v>NO</v>
      </c>
    </row>
    <row r="155" spans="1:40" ht="15" customHeight="1">
      <c r="A155" s="262" t="s">
        <v>2659</v>
      </c>
      <c r="B155" s="263">
        <f>'Dry_Litterbag Placem_Collection'!A156</f>
        <v>154</v>
      </c>
      <c r="C155" s="263" t="str">
        <f>'Dry_Litterbag Placem_Collection'!B156</f>
        <v xml:space="preserve">Mwantimba
</v>
      </c>
      <c r="D155" s="263" t="s">
        <v>2460</v>
      </c>
      <c r="E155" s="263" t="s">
        <v>20</v>
      </c>
      <c r="F155" s="263">
        <v>4</v>
      </c>
      <c r="G155" s="264" t="str">
        <f>'Dry_Litterbag Placem_Collection'!C156</f>
        <v>Wet_P4_T2</v>
      </c>
      <c r="H155" s="265" t="s">
        <v>2541</v>
      </c>
      <c r="I155" s="266" t="s">
        <v>1147</v>
      </c>
      <c r="J155" s="263" t="str">
        <f>IF(ISBLANK('Dry_Litterbag Placem_Collection'!J156),"","G"&amp;""&amp;'Dry_Litterbag Placem_Collection'!J156)</f>
        <v>G127</v>
      </c>
      <c r="K155" s="267">
        <f>IFERROR(INDEX('Green_rooibos initial weight'!$C$5:$C$1749,MATCH(J155, 'Green_rooibos initial weight'!$A$5:$A$1749,0)),"")</f>
        <v>1.9490000000000001</v>
      </c>
      <c r="L155" s="267">
        <f>IFERROR(K155-(TBIcalc!$Q$9+TBIcalc!$Q$10),"")</f>
        <v>1.6992</v>
      </c>
      <c r="M155" s="391">
        <f>AVERAGE(Ashed_controlls!$K$2:$K$11)</f>
        <v>5.5147656768714146</v>
      </c>
      <c r="N155" s="267">
        <f t="shared" si="11"/>
        <v>1.6054931016186009</v>
      </c>
      <c r="O155" s="267">
        <f>IF(IFERROR(INDEX('Both teabags AfterDry'!$D$3:$D$900,MATCH(J155,'Both teabags AfterDry'!$A$3:$A$900,0)),"")="","",(IFERROR(INDEX('Both teabags AfterDry'!$D$3:$D$900,MATCH(J155,'Both teabags AfterDry'!$A$3:$A$900,0)),"")))</f>
        <v>1.1896</v>
      </c>
      <c r="P155" s="267">
        <f>IFERROR(IF(O155&gt;0,O155-(TBIcalc!$Q$9),""),"")</f>
        <v>1.0389999999999999</v>
      </c>
      <c r="Q155" s="278">
        <f>IFERROR(INDEX('Ashed teabags dry'!$K$2:$K$825,MATCH(J155,'Ashed teabags dry'!$A$2:$A$825,0)),"")</f>
        <v>12.964728312678373</v>
      </c>
      <c r="R155" s="278">
        <f t="shared" si="12"/>
        <v>0.90429647283127168</v>
      </c>
      <c r="S155" s="268">
        <f>'Dry_Litterbag Placem_Collection'!E156</f>
        <v>42939</v>
      </c>
      <c r="T155" s="268">
        <f>IF('Dry_Litterbag Placem_Collection'!G156="","",'Dry_Litterbag Placem_Collection'!G156)</f>
        <v>43010</v>
      </c>
      <c r="U155" s="269">
        <f t="shared" si="10"/>
        <v>71</v>
      </c>
      <c r="V155" s="267">
        <f t="shared" si="13"/>
        <v>0.66020000000000012</v>
      </c>
      <c r="W155" s="267">
        <f t="shared" si="14"/>
        <v>0.70119662878732925</v>
      </c>
      <c r="X155" s="271">
        <f>IFERROR(INDEX(Rainfall_Dry!$O$2:$O$217,MATCH(B155, Rainfall_Dry!$A$2:$A$217,0)),"")</f>
        <v>137.19979645800001</v>
      </c>
      <c r="Y155" s="260">
        <v>27.96</v>
      </c>
      <c r="Z155" s="260">
        <v>4.9200000000000017</v>
      </c>
      <c r="AA155" s="260">
        <v>67.12</v>
      </c>
      <c r="AB155" s="261" t="s">
        <v>2670</v>
      </c>
      <c r="AC155" s="260">
        <v>2.0437161163134498</v>
      </c>
      <c r="AD155">
        <f>IF('WetLitterbags placem_collection'!AB156="","",'WetLitterbags placem_collection'!AB156)</f>
        <v>2.15</v>
      </c>
      <c r="AE155">
        <f>IF('WetLitterbags placem_collection'!Z156="","",'WetLitterbags placem_collection'!Z156)</f>
        <v>9</v>
      </c>
      <c r="AF155" s="246" t="str">
        <f>IF('WetLitterbags placem_collection'!AA156="","",'WetLitterbags placem_collection'!AA156)</f>
        <v>G</v>
      </c>
      <c r="AG155">
        <f>IF('WetLitterbags placem_collection'!AC156="","",'WetLitterbags placem_collection'!AC156)</f>
        <v>0</v>
      </c>
      <c r="AH155">
        <f>IFERROR(AVERAGE('Dry_Litterbag Placem_Collection'!O156,'Dry_Litterbag Placem_Collection'!R156),"")</f>
        <v>4.05</v>
      </c>
      <c r="AI155" s="271">
        <f>IFERROR(AVERAGE('Dry_Litterbag Placem_Collection'!N156,'Dry_Litterbag Placem_Collection'!Q156),"")</f>
        <v>30.45</v>
      </c>
      <c r="AJ155" s="270">
        <f>INDEX(Coordinates!$B$2:$B$197,MATCH(G155,Coordinates!$J$2:$J$197,0))</f>
        <v>-2.3677299820000002</v>
      </c>
      <c r="AK155" s="270">
        <f>INDEX(Coordinates!$C$2:$C$197,MATCH(G155,Coordinates!$J$2:$J$197,0))</f>
        <v>34.059351990000003</v>
      </c>
      <c r="AL155" s="270" t="str">
        <f>IF(ISNUMBER(SEARCH("C", 'Dry_Litterbag Placem_Collection'!S156)),"YES","NO")</f>
        <v>YES</v>
      </c>
      <c r="AM155" s="270" t="str">
        <f>IF(ISNUMBER(SEARCH("H", 'Dry_Litterbag Placem_Collection'!S156)),"YES","NO")</f>
        <v>YES</v>
      </c>
      <c r="AN155" s="270" t="str">
        <f>IF(ISNUMBER(SEARCH("R", 'Dry_Litterbag Placem_Collection'!S156)),"YES","NO")</f>
        <v>NO</v>
      </c>
    </row>
    <row r="156" spans="1:40" ht="15" customHeight="1">
      <c r="A156" s="262" t="s">
        <v>2659</v>
      </c>
      <c r="B156" s="263">
        <f>'Dry_Litterbag Placem_Collection'!A157</f>
        <v>155</v>
      </c>
      <c r="C156" s="263" t="str">
        <f>'Dry_Litterbag Placem_Collection'!B157</f>
        <v xml:space="preserve">Mwantimba
</v>
      </c>
      <c r="D156" s="263" t="s">
        <v>2460</v>
      </c>
      <c r="E156" s="263" t="s">
        <v>20</v>
      </c>
      <c r="F156" s="263">
        <v>4</v>
      </c>
      <c r="G156" s="264" t="str">
        <f>'Dry_Litterbag Placem_Collection'!C157</f>
        <v>Wet_P4_T3</v>
      </c>
      <c r="H156" s="265" t="s">
        <v>2541</v>
      </c>
      <c r="I156" s="266" t="s">
        <v>1147</v>
      </c>
      <c r="J156" s="263" t="str">
        <f>IF(ISBLANK('Dry_Litterbag Placem_Collection'!J157),"","G"&amp;""&amp;'Dry_Litterbag Placem_Collection'!J157)</f>
        <v>G253</v>
      </c>
      <c r="K156" s="267">
        <f>IFERROR(INDEX('Green_rooibos initial weight'!$C$5:$C$1749,MATCH(J156, 'Green_rooibos initial weight'!$A$5:$A$1749,0)),"")</f>
        <v>2.0169999999999999</v>
      </c>
      <c r="L156" s="267">
        <f>IFERROR(K156-(TBIcalc!$Q$9+TBIcalc!$Q$10),"")</f>
        <v>1.7671999999999999</v>
      </c>
      <c r="M156" s="391">
        <f>AVERAGE(Ashed_controlls!$K$2:$K$11)</f>
        <v>5.5147656768714146</v>
      </c>
      <c r="N156" s="267">
        <f t="shared" si="11"/>
        <v>1.6697430609583281</v>
      </c>
      <c r="O156" s="267">
        <f>IF(IFERROR(INDEX('Both teabags AfterDry'!$D$3:$D$900,MATCH(J156,'Both teabags AfterDry'!$A$3:$A$900,0)),"")="","",(IFERROR(INDEX('Both teabags AfterDry'!$D$3:$D$900,MATCH(J156,'Both teabags AfterDry'!$A$3:$A$900,0)),"")))</f>
        <v>1.2484</v>
      </c>
      <c r="P156" s="267">
        <f>IFERROR(IF(O156&gt;0,O156-(TBIcalc!$Q$9),""),"")</f>
        <v>1.0977999999999999</v>
      </c>
      <c r="Q156" s="278">
        <f>IFERROR(INDEX('Ashed teabags dry'!$K$2:$K$825,MATCH(J156,'Ashed teabags dry'!$A$2:$A$825,0)),"")</f>
        <v>13.077679449360829</v>
      </c>
      <c r="R156" s="278">
        <f t="shared" si="12"/>
        <v>0.95423323500491675</v>
      </c>
      <c r="S156" s="268">
        <f>'Dry_Litterbag Placem_Collection'!E157</f>
        <v>42939</v>
      </c>
      <c r="T156" s="268">
        <f>IF('Dry_Litterbag Placem_Collection'!G157="","",'Dry_Litterbag Placem_Collection'!G157)</f>
        <v>43010</v>
      </c>
      <c r="U156" s="269">
        <f t="shared" si="10"/>
        <v>71</v>
      </c>
      <c r="V156" s="267">
        <f t="shared" si="13"/>
        <v>0.6694</v>
      </c>
      <c r="W156" s="267">
        <f t="shared" si="14"/>
        <v>0.71550982595341139</v>
      </c>
      <c r="X156" s="271">
        <f>IFERROR(INDEX(Rainfall_Dry!$O$2:$O$217,MATCH(B156, Rainfall_Dry!$A$2:$A$217,0)),"")</f>
        <v>137.19979645800001</v>
      </c>
      <c r="Y156" s="260">
        <v>27.96</v>
      </c>
      <c r="Z156" s="260">
        <v>4.9200000000000017</v>
      </c>
      <c r="AA156" s="260">
        <v>67.12</v>
      </c>
      <c r="AB156" s="261" t="s">
        <v>2670</v>
      </c>
      <c r="AC156" s="260">
        <v>3.0437161163134498</v>
      </c>
      <c r="AD156">
        <f>IF('WetLitterbags placem_collection'!AB157="","",'WetLitterbags placem_collection'!AB157)</f>
        <v>1.2</v>
      </c>
      <c r="AE156">
        <f>IF('WetLitterbags placem_collection'!Z157="","",'WetLitterbags placem_collection'!Z157)</f>
        <v>11</v>
      </c>
      <c r="AF156" s="246" t="str">
        <f>IF('WetLitterbags placem_collection'!AA157="","",'WetLitterbags placem_collection'!AA157)</f>
        <v>G</v>
      </c>
      <c r="AG156">
        <f>IF('WetLitterbags placem_collection'!AC157="","",'WetLitterbags placem_collection'!AC157)</f>
        <v>0</v>
      </c>
      <c r="AH156">
        <f>IFERROR(AVERAGE('Dry_Litterbag Placem_Collection'!O157,'Dry_Litterbag Placem_Collection'!R157),"")</f>
        <v>5.0999999999999996</v>
      </c>
      <c r="AI156" s="271">
        <f>IFERROR(AVERAGE('Dry_Litterbag Placem_Collection'!N157,'Dry_Litterbag Placem_Collection'!Q157),"")</f>
        <v>29.4</v>
      </c>
      <c r="AJ156" s="270">
        <f>INDEX(Coordinates!$B$2:$B$197,MATCH(G156,Coordinates!$J$2:$J$197,0))</f>
        <v>-2.3677119609999999</v>
      </c>
      <c r="AK156" s="270">
        <f>INDEX(Coordinates!$C$2:$C$197,MATCH(G156,Coordinates!$J$2:$J$197,0))</f>
        <v>34.059339000000001</v>
      </c>
      <c r="AL156" s="270" t="str">
        <f>IF(ISNUMBER(SEARCH("C", 'Dry_Litterbag Placem_Collection'!S157)),"YES","NO")</f>
        <v>NO</v>
      </c>
      <c r="AM156" s="270" t="str">
        <f>IF(ISNUMBER(SEARCH("H", 'Dry_Litterbag Placem_Collection'!S157)),"YES","NO")</f>
        <v>YES</v>
      </c>
      <c r="AN156" s="270" t="str">
        <f>IF(ISNUMBER(SEARCH("R", 'Dry_Litterbag Placem_Collection'!S157)),"YES","NO")</f>
        <v>NO</v>
      </c>
    </row>
    <row r="157" spans="1:40" ht="15" customHeight="1">
      <c r="A157" s="262" t="s">
        <v>2659</v>
      </c>
      <c r="B157" s="263">
        <f>'Dry_Litterbag Placem_Collection'!A158</f>
        <v>156</v>
      </c>
      <c r="C157" s="263" t="str">
        <f>'Dry_Litterbag Placem_Collection'!B158</f>
        <v xml:space="preserve">Mwantimba
</v>
      </c>
      <c r="D157" s="263" t="s">
        <v>2460</v>
      </c>
      <c r="E157" s="263" t="s">
        <v>20</v>
      </c>
      <c r="F157" s="263">
        <v>4</v>
      </c>
      <c r="G157" s="264" t="str">
        <f>'Dry_Litterbag Placem_Collection'!C158</f>
        <v>Wet_P4_T4</v>
      </c>
      <c r="H157" s="265" t="s">
        <v>2541</v>
      </c>
      <c r="I157" s="266" t="s">
        <v>1147</v>
      </c>
      <c r="J157" s="263" t="str">
        <f>IF(ISBLANK('Dry_Litterbag Placem_Collection'!J158),"","G"&amp;""&amp;'Dry_Litterbag Placem_Collection'!J158)</f>
        <v>G47</v>
      </c>
      <c r="K157" s="267">
        <f>IFERROR(INDEX('Green_rooibos initial weight'!$C$5:$C$1749,MATCH(J157, 'Green_rooibos initial weight'!$A$5:$A$1749,0)),"")</f>
        <v>2.0840000000000001</v>
      </c>
      <c r="L157" s="267">
        <f>IFERROR(K157-(TBIcalc!$Q$9+TBIcalc!$Q$10),"")</f>
        <v>1.8342000000000001</v>
      </c>
      <c r="M157" s="391">
        <f>AVERAGE(Ashed_controlls!$K$2:$K$11)</f>
        <v>5.5147656768714146</v>
      </c>
      <c r="N157" s="267">
        <f t="shared" si="11"/>
        <v>1.7330481679548246</v>
      </c>
      <c r="O157" s="267">
        <f>IF(IFERROR(INDEX('Both teabags AfterDry'!$D$3:$D$900,MATCH(J157,'Both teabags AfterDry'!$A$3:$A$900,0)),"")="","",(IFERROR(INDEX('Both teabags AfterDry'!$D$3:$D$900,MATCH(J157,'Both teabags AfterDry'!$A$3:$A$900,0)),"")))</f>
        <v>1.1167</v>
      </c>
      <c r="P157" s="267">
        <f>IFERROR(IF(O157&gt;0,O157-(TBIcalc!$Q$9),""),"")</f>
        <v>0.96609999999999996</v>
      </c>
      <c r="Q157" s="278">
        <f>IFERROR(INDEX('Ashed teabags dry'!$K$2:$K$825,MATCH(J157,'Ashed teabags dry'!$A$2:$A$825,0)),"")</f>
        <v>22.323571771483682</v>
      </c>
      <c r="R157" s="278">
        <f t="shared" si="12"/>
        <v>0.75043197311569609</v>
      </c>
      <c r="S157" s="268">
        <f>'Dry_Litterbag Placem_Collection'!E158</f>
        <v>42939</v>
      </c>
      <c r="T157" s="268">
        <f>IF('Dry_Litterbag Placem_Collection'!G158="","",'Dry_Litterbag Placem_Collection'!G158)</f>
        <v>43010</v>
      </c>
      <c r="U157" s="269">
        <f t="shared" si="10"/>
        <v>71</v>
      </c>
      <c r="V157" s="267">
        <f t="shared" si="13"/>
        <v>0.86810000000000009</v>
      </c>
      <c r="W157" s="267">
        <f t="shared" si="14"/>
        <v>0.98261619483912854</v>
      </c>
      <c r="X157" s="271">
        <f>IFERROR(INDEX(Rainfall_Dry!$O$2:$O$217,MATCH(B157, Rainfall_Dry!$A$2:$A$217,0)),"")</f>
        <v>137.19979645800001</v>
      </c>
      <c r="Y157" s="260">
        <v>27.96</v>
      </c>
      <c r="Z157" s="260">
        <v>4.9200000000000017</v>
      </c>
      <c r="AA157" s="260">
        <v>67.12</v>
      </c>
      <c r="AB157" s="261" t="s">
        <v>2670</v>
      </c>
      <c r="AC157" s="260">
        <v>4.0437161163134503</v>
      </c>
      <c r="AD157">
        <f>IF('WetLitterbags placem_collection'!AB158="","",'WetLitterbags placem_collection'!AB158)</f>
        <v>1.55</v>
      </c>
      <c r="AE157">
        <f>IF('WetLitterbags placem_collection'!Z158="","",'WetLitterbags placem_collection'!Z158)</f>
        <v>9.1</v>
      </c>
      <c r="AF157" s="246" t="str">
        <f>IF('WetLitterbags placem_collection'!AA158="","",'WetLitterbags placem_collection'!AA158)</f>
        <v>O</v>
      </c>
      <c r="AG157">
        <f>IF('WetLitterbags placem_collection'!AC158="","",'WetLitterbags placem_collection'!AC158)</f>
        <v>0</v>
      </c>
      <c r="AH157">
        <f>IFERROR(AVERAGE('Dry_Litterbag Placem_Collection'!O158,'Dry_Litterbag Placem_Collection'!R158),"")</f>
        <v>4.5</v>
      </c>
      <c r="AI157" s="271">
        <f>IFERROR(AVERAGE('Dry_Litterbag Placem_Collection'!N158,'Dry_Litterbag Placem_Collection'!Q158),"")</f>
        <v>30.35</v>
      </c>
      <c r="AJ157" s="270">
        <f>INDEX(Coordinates!$B$2:$B$197,MATCH(G157,Coordinates!$J$2:$J$197,0))</f>
        <v>-2.3676950300000001</v>
      </c>
      <c r="AK157" s="270">
        <f>INDEX(Coordinates!$C$2:$C$197,MATCH(G157,Coordinates!$J$2:$J$197,0))</f>
        <v>34.059499010000003</v>
      </c>
      <c r="AL157" s="270" t="str">
        <f>IF(ISNUMBER(SEARCH("C", 'Dry_Litterbag Placem_Collection'!S158)),"YES","NO")</f>
        <v>NO</v>
      </c>
      <c r="AM157" s="270" t="str">
        <f>IF(ISNUMBER(SEARCH("H", 'Dry_Litterbag Placem_Collection'!S158)),"YES","NO")</f>
        <v>YES</v>
      </c>
      <c r="AN157" s="270" t="str">
        <f>IF(ISNUMBER(SEARCH("R", 'Dry_Litterbag Placem_Collection'!S158)),"YES","NO")</f>
        <v>YES</v>
      </c>
    </row>
    <row r="158" spans="1:40" ht="15" customHeight="1">
      <c r="A158" s="262" t="s">
        <v>2659</v>
      </c>
      <c r="B158" s="263">
        <f>'Dry_Litterbag Placem_Collection'!A159</f>
        <v>157</v>
      </c>
      <c r="C158" s="263" t="str">
        <f>'Dry_Litterbag Placem_Collection'!B159</f>
        <v xml:space="preserve">Mwantimba
</v>
      </c>
      <c r="D158" s="263" t="s">
        <v>2460</v>
      </c>
      <c r="E158" s="263" t="s">
        <v>20</v>
      </c>
      <c r="F158" s="263">
        <v>4</v>
      </c>
      <c r="G158" s="264" t="str">
        <f>'Dry_Litterbag Placem_Collection'!C159</f>
        <v>Wet_P4_T5</v>
      </c>
      <c r="H158" s="265" t="s">
        <v>2541</v>
      </c>
      <c r="I158" s="266" t="s">
        <v>1147</v>
      </c>
      <c r="J158" s="263" t="str">
        <f>IF(ISBLANK('Dry_Litterbag Placem_Collection'!J159),"","G"&amp;""&amp;'Dry_Litterbag Placem_Collection'!J159)</f>
        <v>G328</v>
      </c>
      <c r="K158" s="267">
        <f>IFERROR(INDEX('Green_rooibos initial weight'!$C$5:$C$1749,MATCH(J158, 'Green_rooibos initial weight'!$A$5:$A$1749,0)),"")</f>
        <v>2.1309999999999998</v>
      </c>
      <c r="L158" s="267">
        <f>IFERROR(K158-(TBIcalc!$Q$9+TBIcalc!$Q$10),"")</f>
        <v>1.8811999999999998</v>
      </c>
      <c r="M158" s="391">
        <f>AVERAGE(Ashed_controlls!$K$2:$K$11)</f>
        <v>5.5147656768714146</v>
      </c>
      <c r="N158" s="267">
        <f t="shared" si="11"/>
        <v>1.7774562280866948</v>
      </c>
      <c r="O158" s="267" t="str">
        <f>IF(IFERROR(INDEX('Both teabags AfterDry'!$D$3:$D$900,MATCH(J158,'Both teabags AfterDry'!$A$3:$A$900,0)),"")="","",(IFERROR(INDEX('Both teabags AfterDry'!$D$3:$D$900,MATCH(J158,'Both teabags AfterDry'!$A$3:$A$900,0)),"")))</f>
        <v/>
      </c>
      <c r="P158" s="267" t="str">
        <f>IFERROR(IF(O158&gt;0,O158-(TBIcalc!$Q$9),""),"")</f>
        <v/>
      </c>
      <c r="Q158" s="278" t="str">
        <f>IFERROR(INDEX('Ashed teabags dry'!$K$2:$K$825,MATCH(J158,'Ashed teabags dry'!$A$2:$A$825,0)),"")</f>
        <v/>
      </c>
      <c r="R158" s="278" t="str">
        <f t="shared" si="12"/>
        <v/>
      </c>
      <c r="S158" s="268">
        <f>'Dry_Litterbag Placem_Collection'!E159</f>
        <v>42939</v>
      </c>
      <c r="T158" s="268">
        <f>IF('Dry_Litterbag Placem_Collection'!G159="","",'Dry_Litterbag Placem_Collection'!G159)</f>
        <v>43010</v>
      </c>
      <c r="U158" s="269">
        <f t="shared" si="10"/>
        <v>71</v>
      </c>
      <c r="V158" s="267" t="str">
        <f t="shared" si="13"/>
        <v/>
      </c>
      <c r="W158" s="267" t="str">
        <f t="shared" si="14"/>
        <v/>
      </c>
      <c r="X158" s="271">
        <f>IFERROR(INDEX(Rainfall_Dry!$O$2:$O$217,MATCH(B158, Rainfall_Dry!$A$2:$A$217,0)),"")</f>
        <v>137.19979645800001</v>
      </c>
      <c r="Y158" s="260">
        <v>27.96</v>
      </c>
      <c r="Z158" s="260">
        <v>4.9200000000000017</v>
      </c>
      <c r="AA158" s="260">
        <v>67.12</v>
      </c>
      <c r="AB158" s="261" t="s">
        <v>2670</v>
      </c>
      <c r="AC158" s="260">
        <v>5.0437161163134503</v>
      </c>
      <c r="AD158">
        <f>IF('WetLitterbags placem_collection'!AB159="","",'WetLitterbags placem_collection'!AB159)</f>
        <v>2.2999999999999998</v>
      </c>
      <c r="AE158">
        <f>IF('WetLitterbags placem_collection'!Z159="","",'WetLitterbags placem_collection'!Z159)</f>
        <v>7.7</v>
      </c>
      <c r="AF158" s="246" t="str">
        <f>IF('WetLitterbags placem_collection'!AA159="","",'WetLitterbags placem_collection'!AA159)</f>
        <v>O</v>
      </c>
      <c r="AG158">
        <f>IF('WetLitterbags placem_collection'!AC159="","",'WetLitterbags placem_collection'!AC159)</f>
        <v>0</v>
      </c>
      <c r="AH158">
        <f>IFERROR(AVERAGE('Dry_Litterbag Placem_Collection'!O159,'Dry_Litterbag Placem_Collection'!R159),"")</f>
        <v>5.65</v>
      </c>
      <c r="AI158" s="271">
        <f>IFERROR(AVERAGE('Dry_Litterbag Placem_Collection'!N159,'Dry_Litterbag Placem_Collection'!Q159),"")</f>
        <v>29.85</v>
      </c>
      <c r="AJ158" s="270">
        <f>INDEX(Coordinates!$B$2:$B$197,MATCH(G158,Coordinates!$J$2:$J$197,0))</f>
        <v>-2.3678019830000001</v>
      </c>
      <c r="AK158" s="270">
        <f>INDEX(Coordinates!$C$2:$C$197,MATCH(G158,Coordinates!$J$2:$J$197,0))</f>
        <v>34.059521969999999</v>
      </c>
      <c r="AL158" s="270" t="str">
        <f>IF(ISNUMBER(SEARCH("C", 'Dry_Litterbag Placem_Collection'!S159)),"YES","NO")</f>
        <v>YES</v>
      </c>
      <c r="AM158" s="270" t="str">
        <f>IF(ISNUMBER(SEARCH("H", 'Dry_Litterbag Placem_Collection'!S159)),"YES","NO")</f>
        <v>YES</v>
      </c>
      <c r="AN158" s="270" t="str">
        <f>IF(ISNUMBER(SEARCH("R", 'Dry_Litterbag Placem_Collection'!S159)),"YES","NO")</f>
        <v>YES</v>
      </c>
    </row>
    <row r="159" spans="1:40" ht="15" customHeight="1">
      <c r="A159" s="262" t="s">
        <v>2659</v>
      </c>
      <c r="B159" s="263">
        <f>'Dry_Litterbag Placem_Collection'!A160</f>
        <v>158</v>
      </c>
      <c r="C159" s="263" t="str">
        <f>'Dry_Litterbag Placem_Collection'!B160</f>
        <v xml:space="preserve">Mwantimba
</v>
      </c>
      <c r="D159" s="263" t="s">
        <v>2460</v>
      </c>
      <c r="E159" s="263" t="s">
        <v>20</v>
      </c>
      <c r="F159" s="263">
        <v>4</v>
      </c>
      <c r="G159" s="264" t="str">
        <f>'Dry_Litterbag Placem_Collection'!C160</f>
        <v>Wet_P4_T6</v>
      </c>
      <c r="H159" s="265" t="s">
        <v>2541</v>
      </c>
      <c r="I159" s="266" t="s">
        <v>1147</v>
      </c>
      <c r="J159" s="263" t="str">
        <f>IF(ISBLANK('Dry_Litterbag Placem_Collection'!J160),"","G"&amp;""&amp;'Dry_Litterbag Placem_Collection'!J160)</f>
        <v>G21</v>
      </c>
      <c r="K159" s="267">
        <f>IFERROR(INDEX('Green_rooibos initial weight'!$C$5:$C$1749,MATCH(J159, 'Green_rooibos initial weight'!$A$5:$A$1749,0)),"")</f>
        <v>2.04</v>
      </c>
      <c r="L159" s="267">
        <f>IFERROR(K159-(TBIcalc!$Q$9+TBIcalc!$Q$10),"")</f>
        <v>1.7902</v>
      </c>
      <c r="M159" s="391">
        <f>AVERAGE(Ashed_controlls!$K$2:$K$11)</f>
        <v>5.5147656768714146</v>
      </c>
      <c r="N159" s="267">
        <f t="shared" si="11"/>
        <v>1.691474664852648</v>
      </c>
      <c r="O159" s="267" t="str">
        <f>IF(IFERROR(INDEX('Both teabags AfterDry'!$D$3:$D$900,MATCH(J159,'Both teabags AfterDry'!$A$3:$A$900,0)),"")="","",(IFERROR(INDEX('Both teabags AfterDry'!$D$3:$D$900,MATCH(J159,'Both teabags AfterDry'!$A$3:$A$900,0)),"")))</f>
        <v/>
      </c>
      <c r="P159" s="267" t="str">
        <f>IFERROR(IF(O159&gt;0,O159-(TBIcalc!$Q$9),""),"")</f>
        <v/>
      </c>
      <c r="Q159" s="278">
        <f>IFERROR(INDEX('Ashed teabags dry'!$K$2:$K$825,MATCH(J159,'Ashed teabags dry'!$A$2:$A$825,0)),"")</f>
        <v>0</v>
      </c>
      <c r="R159" s="278" t="str">
        <f t="shared" si="12"/>
        <v/>
      </c>
      <c r="S159" s="268">
        <f>'Dry_Litterbag Placem_Collection'!E160</f>
        <v>42939</v>
      </c>
      <c r="T159" s="268">
        <f>IF('Dry_Litterbag Placem_Collection'!G160="","",'Dry_Litterbag Placem_Collection'!G160)</f>
        <v>43010</v>
      </c>
      <c r="U159" s="269">
        <f t="shared" si="10"/>
        <v>71</v>
      </c>
      <c r="V159" s="267" t="str">
        <f t="shared" si="13"/>
        <v/>
      </c>
      <c r="W159" s="267" t="str">
        <f t="shared" si="14"/>
        <v/>
      </c>
      <c r="X159" s="271">
        <f>IFERROR(INDEX(Rainfall_Dry!$O$2:$O$217,MATCH(B159, Rainfall_Dry!$A$2:$A$217,0)),"")</f>
        <v>137.19979645800001</v>
      </c>
      <c r="Y159" s="260">
        <v>27.96</v>
      </c>
      <c r="Z159" s="260">
        <v>4.9200000000000017</v>
      </c>
      <c r="AA159" s="260">
        <v>67.12</v>
      </c>
      <c r="AB159" s="261" t="s">
        <v>2670</v>
      </c>
      <c r="AC159" s="260">
        <v>6.0437161163134503</v>
      </c>
      <c r="AD159">
        <f>IF('WetLitterbags placem_collection'!AB160="","",'WetLitterbags placem_collection'!AB160)</f>
        <v>1.9</v>
      </c>
      <c r="AE159">
        <f>IF('WetLitterbags placem_collection'!Z160="","",'WetLitterbags placem_collection'!Z160)</f>
        <v>4.3</v>
      </c>
      <c r="AF159" s="246" t="str">
        <f>IF('WetLitterbags placem_collection'!AA160="","",'WetLitterbags placem_collection'!AA160)</f>
        <v>O</v>
      </c>
      <c r="AG159">
        <f>IF('WetLitterbags placem_collection'!AC160="","",'WetLitterbags placem_collection'!AC160)</f>
        <v>0</v>
      </c>
      <c r="AH159">
        <f>IFERROR(AVERAGE('Dry_Litterbag Placem_Collection'!O160,'Dry_Litterbag Placem_Collection'!R160),"")</f>
        <v>5.95</v>
      </c>
      <c r="AI159" s="271">
        <f>IFERROR(AVERAGE('Dry_Litterbag Placem_Collection'!N160,'Dry_Litterbag Placem_Collection'!Q160),"")</f>
        <v>31.8</v>
      </c>
      <c r="AJ159" s="270">
        <f>INDEX(Coordinates!$B$2:$B$197,MATCH(G159,Coordinates!$J$2:$J$197,0))</f>
        <v>-2.3679270410000002</v>
      </c>
      <c r="AK159" s="270">
        <f>INDEX(Coordinates!$C$2:$C$197,MATCH(G159,Coordinates!$J$2:$J$197,0))</f>
        <v>34.059300020000002</v>
      </c>
      <c r="AL159" s="270" t="str">
        <f>IF(ISNUMBER(SEARCH("C", 'Dry_Litterbag Placem_Collection'!S160)),"YES","NO")</f>
        <v>YES</v>
      </c>
      <c r="AM159" s="270" t="str">
        <f>IF(ISNUMBER(SEARCH("H", 'Dry_Litterbag Placem_Collection'!S160)),"YES","NO")</f>
        <v>YES</v>
      </c>
      <c r="AN159" s="270" t="str">
        <f>IF(ISNUMBER(SEARCH("R", 'Dry_Litterbag Placem_Collection'!S160)),"YES","NO")</f>
        <v>NO</v>
      </c>
    </row>
    <row r="160" spans="1:40" ht="15" customHeight="1">
      <c r="A160" s="262" t="s">
        <v>2659</v>
      </c>
      <c r="B160" s="263">
        <f>'Dry_Litterbag Placem_Collection'!A161</f>
        <v>159</v>
      </c>
      <c r="C160" s="263" t="str">
        <f>'Dry_Litterbag Placem_Collection'!B161</f>
        <v xml:space="preserve">Mwantimba
</v>
      </c>
      <c r="D160" s="263" t="s">
        <v>2460</v>
      </c>
      <c r="E160" s="263" t="s">
        <v>20</v>
      </c>
      <c r="F160" s="263">
        <v>4</v>
      </c>
      <c r="G160" s="264" t="str">
        <f>'Dry_Litterbag Placem_Collection'!C161</f>
        <v>Wet_P4_T7</v>
      </c>
      <c r="H160" s="265" t="s">
        <v>2541</v>
      </c>
      <c r="I160" s="266" t="s">
        <v>1147</v>
      </c>
      <c r="J160" s="263" t="str">
        <f>IF(ISBLANK('Dry_Litterbag Placem_Collection'!J161),"","G"&amp;""&amp;'Dry_Litterbag Placem_Collection'!J161)</f>
        <v/>
      </c>
      <c r="K160" s="267" t="str">
        <f>IFERROR(INDEX('Green_rooibos initial weight'!$C$5:$C$1749,MATCH(J160, 'Green_rooibos initial weight'!$A$5:$A$1749,0)),"")</f>
        <v/>
      </c>
      <c r="L160" s="267" t="str">
        <f>IFERROR(K160-(TBIcalc!$Q$9+TBIcalc!$Q$10),"")</f>
        <v/>
      </c>
      <c r="M160" s="391">
        <f>AVERAGE(Ashed_controlls!$K$2:$K$11)</f>
        <v>5.5147656768714146</v>
      </c>
      <c r="N160" s="267" t="str">
        <f t="shared" si="11"/>
        <v/>
      </c>
      <c r="O160" s="267" t="str">
        <f>IF(IFERROR(INDEX('Both teabags AfterDry'!$D$3:$D$900,MATCH(J160,'Both teabags AfterDry'!$A$3:$A$900,0)),"")="","",(IFERROR(INDEX('Both teabags AfterDry'!$D$3:$D$900,MATCH(J160,'Both teabags AfterDry'!$A$3:$A$900,0)),"")))</f>
        <v/>
      </c>
      <c r="P160" s="267" t="str">
        <f>IFERROR(IF(O160&gt;0,O160-(TBIcalc!$Q$9),""),"")</f>
        <v/>
      </c>
      <c r="Q160" s="278" t="str">
        <f>IFERROR(INDEX('Ashed teabags dry'!$K$2:$K$825,MATCH(J160,'Ashed teabags dry'!$A$2:$A$825,0)),"")</f>
        <v/>
      </c>
      <c r="R160" s="278" t="str">
        <f t="shared" si="12"/>
        <v/>
      </c>
      <c r="S160" s="268">
        <f>'Dry_Litterbag Placem_Collection'!E161</f>
        <v>0</v>
      </c>
      <c r="T160" s="268" t="str">
        <f>IF('Dry_Litterbag Placem_Collection'!G161="","",'Dry_Litterbag Placem_Collection'!G161)</f>
        <v/>
      </c>
      <c r="U160" s="269" t="str">
        <f t="shared" si="10"/>
        <v/>
      </c>
      <c r="V160" s="267" t="str">
        <f t="shared" si="13"/>
        <v/>
      </c>
      <c r="W160" s="267" t="str">
        <f t="shared" si="14"/>
        <v/>
      </c>
      <c r="X160" s="271" t="str">
        <f>IFERROR(INDEX(Rainfall_Dry!$O$2:$O$217,MATCH(B160, Rainfall_Dry!$A$2:$A$217,0)),"")</f>
        <v/>
      </c>
      <c r="Y160" s="260">
        <v>27.96</v>
      </c>
      <c r="Z160" s="260">
        <v>4.9200000000000017</v>
      </c>
      <c r="AA160" s="260">
        <v>67.12</v>
      </c>
      <c r="AB160" s="261" t="s">
        <v>2670</v>
      </c>
      <c r="AC160" s="260">
        <v>7.0437161163134503</v>
      </c>
      <c r="AD160">
        <f>IF('WetLitterbags placem_collection'!AB161="","",'WetLitterbags placem_collection'!AB161)</f>
        <v>2.65</v>
      </c>
      <c r="AE160">
        <f>IF('WetLitterbags placem_collection'!Z161="","",'WetLitterbags placem_collection'!Z161)</f>
        <v>0</v>
      </c>
      <c r="AF160" s="246" t="str">
        <f>IF('WetLitterbags placem_collection'!AA161="","",'WetLitterbags placem_collection'!AA161)</f>
        <v>G</v>
      </c>
      <c r="AG160">
        <f>IF('WetLitterbags placem_collection'!AC161="","",'WetLitterbags placem_collection'!AC161)</f>
        <v>1</v>
      </c>
      <c r="AH160" t="str">
        <f>IFERROR(AVERAGE('Dry_Litterbag Placem_Collection'!O161,'Dry_Litterbag Placem_Collection'!R161),"")</f>
        <v/>
      </c>
      <c r="AI160" s="271" t="str">
        <f>IFERROR(AVERAGE('Dry_Litterbag Placem_Collection'!N161,'Dry_Litterbag Placem_Collection'!Q161),"")</f>
        <v/>
      </c>
      <c r="AJ160" s="270">
        <f>INDEX(Coordinates!$B$2:$B$197,MATCH(G160,Coordinates!$J$2:$J$197,0))</f>
        <v>-2.3676829599999998</v>
      </c>
      <c r="AK160" s="270">
        <f>INDEX(Coordinates!$C$2:$C$197,MATCH(G160,Coordinates!$J$2:$J$197,0))</f>
        <v>34.059236990000002</v>
      </c>
      <c r="AL160" s="270" t="str">
        <f>IF(ISNUMBER(SEARCH("C", 'Dry_Litterbag Placem_Collection'!S161)),"YES","NO")</f>
        <v>NO</v>
      </c>
      <c r="AM160" s="270" t="str">
        <f>IF(ISNUMBER(SEARCH("H", 'Dry_Litterbag Placem_Collection'!S161)),"YES","NO")</f>
        <v>NO</v>
      </c>
      <c r="AN160" s="270" t="str">
        <f>IF(ISNUMBER(SEARCH("R", 'Dry_Litterbag Placem_Collection'!S161)),"YES","NO")</f>
        <v>NO</v>
      </c>
    </row>
    <row r="161" spans="1:40" ht="15" customHeight="1">
      <c r="A161" s="262" t="s">
        <v>2659</v>
      </c>
      <c r="B161" s="263">
        <f>'Dry_Litterbag Placem_Collection'!A162</f>
        <v>160</v>
      </c>
      <c r="C161" s="263" t="str">
        <f>'Dry_Litterbag Placem_Collection'!B162</f>
        <v xml:space="preserve">Mwantimba
</v>
      </c>
      <c r="D161" s="263" t="s">
        <v>2460</v>
      </c>
      <c r="E161" s="263" t="s">
        <v>20</v>
      </c>
      <c r="F161" s="263">
        <v>4</v>
      </c>
      <c r="G161" s="264" t="str">
        <f>'Dry_Litterbag Placem_Collection'!C162</f>
        <v>Wet_P4_T8</v>
      </c>
      <c r="H161" s="265" t="s">
        <v>2541</v>
      </c>
      <c r="I161" s="266" t="s">
        <v>1147</v>
      </c>
      <c r="J161" s="263" t="str">
        <f>IF(ISBLANK('Dry_Litterbag Placem_Collection'!J162),"","G"&amp;""&amp;'Dry_Litterbag Placem_Collection'!J162)</f>
        <v>G482</v>
      </c>
      <c r="K161" s="267">
        <f>IFERROR(INDEX('Green_rooibos initial weight'!$C$5:$C$1749,MATCH(J161, 'Green_rooibos initial weight'!$A$5:$A$1749,0)),"")</f>
        <v>2.056</v>
      </c>
      <c r="L161" s="267">
        <f>IFERROR(K161-(TBIcalc!$Q$9+TBIcalc!$Q$10),"")</f>
        <v>1.8062</v>
      </c>
      <c r="M161" s="391">
        <f>AVERAGE(Ashed_controlls!$K$2:$K$11)</f>
        <v>5.5147656768714146</v>
      </c>
      <c r="N161" s="267">
        <f t="shared" si="11"/>
        <v>1.7065923023443486</v>
      </c>
      <c r="O161" s="267">
        <f>IF(IFERROR(INDEX('Both teabags AfterDry'!$D$3:$D$900,MATCH(J161,'Both teabags AfterDry'!$A$3:$A$900,0)),"")="","",(IFERROR(INDEX('Both teabags AfterDry'!$D$3:$D$900,MATCH(J161,'Both teabags AfterDry'!$A$3:$A$900,0)),"")))</f>
        <v>1.4819</v>
      </c>
      <c r="P161" s="267">
        <f>IFERROR(IF(O161&gt;0,O161-(TBIcalc!$Q$9),""),"")</f>
        <v>1.3312999999999999</v>
      </c>
      <c r="Q161" s="278">
        <f>IFERROR(INDEX('Ashed teabags dry'!$K$2:$K$825,MATCH(J161,'Ashed teabags dry'!$A$2:$A$825,0)),"")</f>
        <v>15.061378659112389</v>
      </c>
      <c r="R161" s="278">
        <f t="shared" si="12"/>
        <v>1.1307878659112367</v>
      </c>
      <c r="S161" s="268">
        <f>'Dry_Litterbag Placem_Collection'!E162</f>
        <v>42939</v>
      </c>
      <c r="T161" s="268">
        <f>IF('Dry_Litterbag Placem_Collection'!G162="","",'Dry_Litterbag Placem_Collection'!G162)</f>
        <v>43010</v>
      </c>
      <c r="U161" s="269">
        <f t="shared" si="10"/>
        <v>71</v>
      </c>
      <c r="V161" s="267">
        <f t="shared" si="13"/>
        <v>0.4749000000000001</v>
      </c>
      <c r="W161" s="267">
        <f t="shared" si="14"/>
        <v>0.57580443643311185</v>
      </c>
      <c r="X161" s="271">
        <f>IFERROR(INDEX(Rainfall_Dry!$O$2:$O$217,MATCH(B161, Rainfall_Dry!$A$2:$A$217,0)),"")</f>
        <v>137.19979645800001</v>
      </c>
      <c r="Y161" s="260">
        <v>27.96</v>
      </c>
      <c r="Z161" s="260">
        <v>4.9200000000000017</v>
      </c>
      <c r="AA161" s="260">
        <v>67.12</v>
      </c>
      <c r="AB161" s="261" t="s">
        <v>2670</v>
      </c>
      <c r="AC161" s="260">
        <v>8.0437161163134494</v>
      </c>
      <c r="AD161">
        <f>IF('WetLitterbags placem_collection'!AB162="","",'WetLitterbags placem_collection'!AB162)</f>
        <v>0.8</v>
      </c>
      <c r="AE161">
        <f>IF('WetLitterbags placem_collection'!Z162="","",'WetLitterbags placem_collection'!Z162)</f>
        <v>10.8</v>
      </c>
      <c r="AF161" s="246" t="str">
        <f>IF('WetLitterbags placem_collection'!AA162="","",'WetLitterbags placem_collection'!AA162)</f>
        <v>O</v>
      </c>
      <c r="AG161">
        <f>IF('WetLitterbags placem_collection'!AC162="","",'WetLitterbags placem_collection'!AC162)</f>
        <v>0</v>
      </c>
      <c r="AH161">
        <f>IFERROR(AVERAGE('Dry_Litterbag Placem_Collection'!O162,'Dry_Litterbag Placem_Collection'!R162),"")</f>
        <v>6.25</v>
      </c>
      <c r="AI161" s="271">
        <f>IFERROR(AVERAGE('Dry_Litterbag Placem_Collection'!N162,'Dry_Litterbag Placem_Collection'!Q162),"")</f>
        <v>29.200000000000003</v>
      </c>
      <c r="AJ161" s="270">
        <f>INDEX(Coordinates!$B$2:$B$197,MATCH(G161,Coordinates!$J$2:$J$197,0))</f>
        <v>-2.367547005</v>
      </c>
      <c r="AK161" s="270">
        <f>INDEX(Coordinates!$C$2:$C$197,MATCH(G161,Coordinates!$J$2:$J$197,0))</f>
        <v>34.059494989999997</v>
      </c>
      <c r="AL161" s="270" t="str">
        <f>IF(ISNUMBER(SEARCH("C", 'Dry_Litterbag Placem_Collection'!S162)),"YES","NO")</f>
        <v>YES</v>
      </c>
      <c r="AM161" s="270" t="str">
        <f>IF(ISNUMBER(SEARCH("H", 'Dry_Litterbag Placem_Collection'!S162)),"YES","NO")</f>
        <v>YES</v>
      </c>
      <c r="AN161" s="270" t="str">
        <f>IF(ISNUMBER(SEARCH("R", 'Dry_Litterbag Placem_Collection'!S162)),"YES","NO")</f>
        <v>NO</v>
      </c>
    </row>
    <row r="162" spans="1:40" ht="15" customHeight="1">
      <c r="A162" s="262" t="s">
        <v>2659</v>
      </c>
      <c r="B162" s="263">
        <f>'Dry_Litterbag Placem_Collection'!A163</f>
        <v>161</v>
      </c>
      <c r="C162" s="263" t="str">
        <f>'Dry_Litterbag Placem_Collection'!B163</f>
        <v>Handajega</v>
      </c>
      <c r="D162" s="263" t="s">
        <v>2460</v>
      </c>
      <c r="E162" s="263" t="s">
        <v>2661</v>
      </c>
      <c r="F162" s="263">
        <v>1</v>
      </c>
      <c r="G162" s="264" t="str">
        <f>'Dry_Litterbag Placem_Collection'!C163</f>
        <v>Wet_W1_T1</v>
      </c>
      <c r="H162" s="265" t="s">
        <v>2541</v>
      </c>
      <c r="I162" s="266" t="s">
        <v>1147</v>
      </c>
      <c r="J162" s="263" t="str">
        <f>IF(ISBLANK('Dry_Litterbag Placem_Collection'!J163),"","G"&amp;""&amp;'Dry_Litterbag Placem_Collection'!J163)</f>
        <v>G51</v>
      </c>
      <c r="K162" s="267">
        <f>IFERROR(INDEX('Green_rooibos initial weight'!$C$5:$C$1749,MATCH(J162, 'Green_rooibos initial weight'!$A$5:$A$1749,0)),"")</f>
        <v>2.0259999999999998</v>
      </c>
      <c r="L162" s="267">
        <f>IFERROR(K162-(TBIcalc!$Q$9+TBIcalc!$Q$10),"")</f>
        <v>1.7761999999999998</v>
      </c>
      <c r="M162" s="391">
        <f>AVERAGE(Ashed_controlls!$K$2:$K$11)</f>
        <v>5.5147656768714146</v>
      </c>
      <c r="N162" s="267">
        <f t="shared" si="11"/>
        <v>1.6782467320474097</v>
      </c>
      <c r="O162" s="267">
        <f>IF(IFERROR(INDEX('Both teabags AfterDry'!$D$3:$D$900,MATCH(J162,'Both teabags AfterDry'!$A$3:$A$900,0)),"")="","",(IFERROR(INDEX('Both teabags AfterDry'!$D$3:$D$900,MATCH(J162,'Both teabags AfterDry'!$A$3:$A$900,0)),"")))</f>
        <v>0.81589999999999996</v>
      </c>
      <c r="P162" s="267">
        <f>IFERROR(IF(O162&gt;0,O162-(TBIcalc!$Q$9),""),"")</f>
        <v>0.6653</v>
      </c>
      <c r="Q162" s="278">
        <f>IFERROR(INDEX('Ashed teabags dry'!$K$2:$K$825,MATCH(J162,'Ashed teabags dry'!$A$2:$A$825,0)),"")</f>
        <v>26.176336226588315</v>
      </c>
      <c r="R162" s="278">
        <f t="shared" si="12"/>
        <v>0.49114883508450791</v>
      </c>
      <c r="S162" s="268">
        <f>'Dry_Litterbag Placem_Collection'!E163</f>
        <v>42940</v>
      </c>
      <c r="T162" s="268">
        <f>IF('Dry_Litterbag Placem_Collection'!G163="","",'Dry_Litterbag Placem_Collection'!G163)</f>
        <v>43009</v>
      </c>
      <c r="U162" s="269">
        <f t="shared" si="10"/>
        <v>69</v>
      </c>
      <c r="V162" s="267">
        <f t="shared" si="13"/>
        <v>1.1108999999999998</v>
      </c>
      <c r="W162" s="267">
        <f t="shared" si="14"/>
        <v>1.1870978969629018</v>
      </c>
      <c r="X162" s="271">
        <f>IFERROR(INDEX(Rainfall_Dry!$O$2:$O$217,MATCH(B162, Rainfall_Dry!$A$2:$A$217,0)),"")</f>
        <v>162.634207253</v>
      </c>
      <c r="Y162" s="260">
        <v>21.96</v>
      </c>
      <c r="Z162" s="260">
        <v>4.9199999999999982</v>
      </c>
      <c r="AA162" s="260">
        <v>73.12</v>
      </c>
      <c r="AB162" s="261" t="s">
        <v>2670</v>
      </c>
      <c r="AC162" s="260">
        <v>1.2416954164613114</v>
      </c>
      <c r="AD162">
        <f>IF('WetLitterbags placem_collection'!AB163="","",'WetLitterbags placem_collection'!AB163)</f>
        <v>7.6</v>
      </c>
      <c r="AE162">
        <f>IF('WetLitterbags placem_collection'!Z163="","",'WetLitterbags placem_collection'!Z163)</f>
        <v>35.799999999999997</v>
      </c>
      <c r="AF162" s="246" t="str">
        <f>IF('WetLitterbags placem_collection'!AA163="","",'WetLitterbags placem_collection'!AA163)</f>
        <v>M</v>
      </c>
      <c r="AG162">
        <f>IF('WetLitterbags placem_collection'!AC163="","",'WetLitterbags placem_collection'!AC163)</f>
        <v>0</v>
      </c>
      <c r="AH162">
        <f>IFERROR(AVERAGE('Dry_Litterbag Placem_Collection'!O163,'Dry_Litterbag Placem_Collection'!R163),"")</f>
        <v>5.65</v>
      </c>
      <c r="AI162" s="271">
        <f>IFERROR(AVERAGE('Dry_Litterbag Placem_Collection'!N163,'Dry_Litterbag Placem_Collection'!Q163),"")</f>
        <v>31.7</v>
      </c>
      <c r="AJ162" s="270">
        <f>INDEX(Coordinates!$B$2:$B$197,MATCH(G162,Coordinates!$J$2:$J$197,0))</f>
        <v>-2.272751033</v>
      </c>
      <c r="AK162" s="270">
        <f>INDEX(Coordinates!$C$2:$C$197,MATCH(G162,Coordinates!$J$2:$J$197,0))</f>
        <v>34.023176030000002</v>
      </c>
      <c r="AL162" s="270" t="str">
        <f>IF(ISNUMBER(SEARCH("C", 'Dry_Litterbag Placem_Collection'!S163)),"YES","NO")</f>
        <v>NO</v>
      </c>
      <c r="AM162" s="270" t="str">
        <f>IF(ISNUMBER(SEARCH("H", 'Dry_Litterbag Placem_Collection'!S163)),"YES","NO")</f>
        <v>YES</v>
      </c>
      <c r="AN162" s="270" t="str">
        <f>IF(ISNUMBER(SEARCH("R", 'Dry_Litterbag Placem_Collection'!S163)),"YES","NO")</f>
        <v>YES</v>
      </c>
    </row>
    <row r="163" spans="1:40" ht="15" customHeight="1">
      <c r="A163" s="262" t="s">
        <v>2659</v>
      </c>
      <c r="B163" s="263">
        <f>'Dry_Litterbag Placem_Collection'!A164</f>
        <v>162</v>
      </c>
      <c r="C163" s="263" t="str">
        <f>'Dry_Litterbag Placem_Collection'!B164</f>
        <v>Handajega</v>
      </c>
      <c r="D163" s="263" t="s">
        <v>2460</v>
      </c>
      <c r="E163" s="263" t="s">
        <v>2661</v>
      </c>
      <c r="F163" s="263">
        <v>1</v>
      </c>
      <c r="G163" s="264" t="str">
        <f>'Dry_Litterbag Placem_Collection'!C164</f>
        <v>Wet_W1_T2</v>
      </c>
      <c r="H163" s="265" t="s">
        <v>2541</v>
      </c>
      <c r="I163" s="266" t="s">
        <v>1147</v>
      </c>
      <c r="J163" s="263" t="str">
        <f>IF(ISBLANK('Dry_Litterbag Placem_Collection'!J164),"","G"&amp;""&amp;'Dry_Litterbag Placem_Collection'!J164)</f>
        <v>G238</v>
      </c>
      <c r="K163" s="267">
        <f>IFERROR(INDEX('Green_rooibos initial weight'!$C$5:$C$1749,MATCH(J163, 'Green_rooibos initial weight'!$A$5:$A$1749,0)),"")</f>
        <v>2.1160000000000001</v>
      </c>
      <c r="L163" s="267">
        <f>IFERROR(K163-(TBIcalc!$Q$9+TBIcalc!$Q$10),"")</f>
        <v>1.8662000000000001</v>
      </c>
      <c r="M163" s="391">
        <f>AVERAGE(Ashed_controlls!$K$2:$K$11)</f>
        <v>5.5147656768714146</v>
      </c>
      <c r="N163" s="267">
        <f t="shared" si="11"/>
        <v>1.7632834429382258</v>
      </c>
      <c r="O163" s="267">
        <f>IF(IFERROR(INDEX('Both teabags AfterDry'!$D$3:$D$900,MATCH(J163,'Both teabags AfterDry'!$A$3:$A$900,0)),"")="","",(IFERROR(INDEX('Both teabags AfterDry'!$D$3:$D$900,MATCH(J163,'Both teabags AfterDry'!$A$3:$A$900,0)),"")))</f>
        <v>0.81089999999999995</v>
      </c>
      <c r="P163" s="267">
        <f>IFERROR(IF(O163&gt;0,O163-(TBIcalc!$Q$9),""),"")</f>
        <v>0.66029999999999989</v>
      </c>
      <c r="Q163" s="278">
        <f>IFERROR(INDEX('Ashed teabags dry'!$K$2:$K$825,MATCH(J163,'Ashed teabags dry'!$A$2:$A$825,0)),"")</f>
        <v>25.849056603773789</v>
      </c>
      <c r="R163" s="278">
        <f t="shared" si="12"/>
        <v>0.48961867924528157</v>
      </c>
      <c r="S163" s="268">
        <f>'Dry_Litterbag Placem_Collection'!E164</f>
        <v>42940</v>
      </c>
      <c r="T163" s="268">
        <f>IF('Dry_Litterbag Placem_Collection'!G164="","",'Dry_Litterbag Placem_Collection'!G164)</f>
        <v>43009</v>
      </c>
      <c r="U163" s="269">
        <f t="shared" si="10"/>
        <v>69</v>
      </c>
      <c r="V163" s="267">
        <f t="shared" si="13"/>
        <v>1.2059000000000002</v>
      </c>
      <c r="W163" s="267">
        <f t="shared" si="14"/>
        <v>1.2736647636929441</v>
      </c>
      <c r="X163" s="271">
        <f>IFERROR(INDEX(Rainfall_Dry!$O$2:$O$217,MATCH(B163, Rainfall_Dry!$A$2:$A$217,0)),"")</f>
        <v>162.634207253</v>
      </c>
      <c r="Y163" s="260">
        <v>21.96</v>
      </c>
      <c r="Z163" s="260">
        <v>4.9199999999999982</v>
      </c>
      <c r="AA163" s="260">
        <v>73.12</v>
      </c>
      <c r="AB163" s="261" t="s">
        <v>2670</v>
      </c>
      <c r="AC163" s="260">
        <v>2.2416954164613099</v>
      </c>
      <c r="AD163">
        <f>IF('WetLitterbags placem_collection'!AB164="","",'WetLitterbags placem_collection'!AB164)</f>
        <v>4.0999999999999996</v>
      </c>
      <c r="AE163">
        <f>IF('WetLitterbags placem_collection'!Z164="","",'WetLitterbags placem_collection'!Z164)</f>
        <v>31.4</v>
      </c>
      <c r="AF163" s="246" t="str">
        <f>IF('WetLitterbags placem_collection'!AA164="","",'WetLitterbags placem_collection'!AA164)</f>
        <v>M</v>
      </c>
      <c r="AG163">
        <f>IF('WetLitterbags placem_collection'!AC164="","",'WetLitterbags placem_collection'!AC164)</f>
        <v>0</v>
      </c>
      <c r="AH163">
        <f>IFERROR(AVERAGE('Dry_Litterbag Placem_Collection'!O164,'Dry_Litterbag Placem_Collection'!R164),"")</f>
        <v>4.4499999999999993</v>
      </c>
      <c r="AI163" s="271">
        <f>IFERROR(AVERAGE('Dry_Litterbag Placem_Collection'!N164,'Dry_Litterbag Placem_Collection'!Q164),"")</f>
        <v>31.650000000000002</v>
      </c>
      <c r="AJ163" s="270">
        <f>INDEX(Coordinates!$B$2:$B$197,MATCH(G163,Coordinates!$J$2:$J$197,0))</f>
        <v>-2.2727060219999999</v>
      </c>
      <c r="AK163" s="270">
        <f>INDEX(Coordinates!$C$2:$C$197,MATCH(G163,Coordinates!$J$2:$J$197,0))</f>
        <v>34.023162030000002</v>
      </c>
      <c r="AL163" s="270" t="str">
        <f>IF(ISNUMBER(SEARCH("C", 'Dry_Litterbag Placem_Collection'!S164)),"YES","NO")</f>
        <v>NO</v>
      </c>
      <c r="AM163" s="270" t="str">
        <f>IF(ISNUMBER(SEARCH("H", 'Dry_Litterbag Placem_Collection'!S164)),"YES","NO")</f>
        <v>NO</v>
      </c>
      <c r="AN163" s="270" t="str">
        <f>IF(ISNUMBER(SEARCH("R", 'Dry_Litterbag Placem_Collection'!S164)),"YES","NO")</f>
        <v>YES</v>
      </c>
    </row>
    <row r="164" spans="1:40" ht="15" customHeight="1">
      <c r="A164" s="262" t="s">
        <v>2659</v>
      </c>
      <c r="B164" s="263">
        <f>'Dry_Litterbag Placem_Collection'!A165</f>
        <v>163</v>
      </c>
      <c r="C164" s="263" t="str">
        <f>'Dry_Litterbag Placem_Collection'!B165</f>
        <v>Handajega</v>
      </c>
      <c r="D164" s="263" t="s">
        <v>2460</v>
      </c>
      <c r="E164" s="263" t="s">
        <v>2661</v>
      </c>
      <c r="F164" s="263">
        <v>1</v>
      </c>
      <c r="G164" s="264" t="str">
        <f>'Dry_Litterbag Placem_Collection'!C165</f>
        <v>Wet_W1_T3</v>
      </c>
      <c r="H164" s="265" t="s">
        <v>2541</v>
      </c>
      <c r="I164" s="266" t="s">
        <v>1147</v>
      </c>
      <c r="J164" s="263" t="str">
        <f>IF(ISBLANK('Dry_Litterbag Placem_Collection'!J165),"","G"&amp;""&amp;'Dry_Litterbag Placem_Collection'!J165)</f>
        <v>G59</v>
      </c>
      <c r="K164" s="267">
        <f>IFERROR(INDEX('Green_rooibos initial weight'!$C$5:$C$1749,MATCH(J164, 'Green_rooibos initial weight'!$A$5:$A$1749,0)),"")</f>
        <v>1.929</v>
      </c>
      <c r="L164" s="267">
        <f>IFERROR(K164-(TBIcalc!$Q$9+TBIcalc!$Q$10),"")</f>
        <v>1.6792</v>
      </c>
      <c r="M164" s="391">
        <f>AVERAGE(Ashed_controlls!$K$2:$K$11)</f>
        <v>5.5147656768714146</v>
      </c>
      <c r="N164" s="267">
        <f t="shared" si="11"/>
        <v>1.5865960547539752</v>
      </c>
      <c r="O164" s="267">
        <f>IF(IFERROR(INDEX('Both teabags AfterDry'!$D$3:$D$900,MATCH(J164,'Both teabags AfterDry'!$A$3:$A$900,0)),"")="","",(IFERROR(INDEX('Both teabags AfterDry'!$D$3:$D$900,MATCH(J164,'Both teabags AfterDry'!$A$3:$A$900,0)),"")))</f>
        <v>0.95679999999999998</v>
      </c>
      <c r="P164" s="267">
        <f>IFERROR(IF(O164&gt;0,O164-(TBIcalc!$Q$9),""),"")</f>
        <v>0.80620000000000003</v>
      </c>
      <c r="Q164" s="278">
        <f>IFERROR(INDEX('Ashed teabags dry'!$K$2:$K$825,MATCH(J164,'Ashed teabags dry'!$A$2:$A$825,0)),"")</f>
        <v>34.794396746499032</v>
      </c>
      <c r="R164" s="278">
        <f t="shared" si="12"/>
        <v>0.52568757342972483</v>
      </c>
      <c r="S164" s="268">
        <f>'Dry_Litterbag Placem_Collection'!E165</f>
        <v>42940</v>
      </c>
      <c r="T164" s="268">
        <f>IF('Dry_Litterbag Placem_Collection'!G165="","",'Dry_Litterbag Placem_Collection'!G165)</f>
        <v>43009</v>
      </c>
      <c r="U164" s="269">
        <f t="shared" si="10"/>
        <v>69</v>
      </c>
      <c r="V164" s="267">
        <f t="shared" si="13"/>
        <v>0.873</v>
      </c>
      <c r="W164" s="267">
        <f t="shared" si="14"/>
        <v>1.0609084813242504</v>
      </c>
      <c r="X164" s="271">
        <f>IFERROR(INDEX(Rainfall_Dry!$O$2:$O$217,MATCH(B164, Rainfall_Dry!$A$2:$A$217,0)),"")</f>
        <v>162.634207253</v>
      </c>
      <c r="Y164" s="260">
        <v>21.96</v>
      </c>
      <c r="Z164" s="260">
        <v>4.9199999999999982</v>
      </c>
      <c r="AA164" s="260">
        <v>73.12</v>
      </c>
      <c r="AB164" s="261" t="s">
        <v>2670</v>
      </c>
      <c r="AC164" s="260">
        <v>3.2416954164613099</v>
      </c>
      <c r="AD164">
        <f>IF('WetLitterbags placem_collection'!AB165="","",'WetLitterbags placem_collection'!AB165)</f>
        <v>7.8</v>
      </c>
      <c r="AE164">
        <f>IF('WetLitterbags placem_collection'!Z165="","",'WetLitterbags placem_collection'!Z165)</f>
        <v>28.8</v>
      </c>
      <c r="AF164" s="246" t="str">
        <f>IF('WetLitterbags placem_collection'!AA165="","",'WetLitterbags placem_collection'!AA165)</f>
        <v>M</v>
      </c>
      <c r="AG164">
        <f>IF('WetLitterbags placem_collection'!AC165="","",'WetLitterbags placem_collection'!AC165)</f>
        <v>0</v>
      </c>
      <c r="AH164">
        <f>IFERROR(AVERAGE('Dry_Litterbag Placem_Collection'!O165,'Dry_Litterbag Placem_Collection'!R165),"")</f>
        <v>4.45</v>
      </c>
      <c r="AI164" s="271">
        <f>IFERROR(AVERAGE('Dry_Litterbag Placem_Collection'!N165,'Dry_Litterbag Placem_Collection'!Q165),"")</f>
        <v>32.75</v>
      </c>
      <c r="AJ164" s="270">
        <f>INDEX(Coordinates!$B$2:$B$197,MATCH(G164,Coordinates!$J$2:$J$197,0))</f>
        <v>-2.2726719919999998</v>
      </c>
      <c r="AK164" s="270">
        <f>INDEX(Coordinates!$C$2:$C$197,MATCH(G164,Coordinates!$J$2:$J$197,0))</f>
        <v>34.023210980000002</v>
      </c>
      <c r="AL164" s="270" t="str">
        <f>IF(ISNUMBER(SEARCH("C", 'Dry_Litterbag Placem_Collection'!S165)),"YES","NO")</f>
        <v>NO</v>
      </c>
      <c r="AM164" s="270" t="str">
        <f>IF(ISNUMBER(SEARCH("H", 'Dry_Litterbag Placem_Collection'!S165)),"YES","NO")</f>
        <v>NO</v>
      </c>
      <c r="AN164" s="270" t="str">
        <f>IF(ISNUMBER(SEARCH("R", 'Dry_Litterbag Placem_Collection'!S165)),"YES","NO")</f>
        <v>YES</v>
      </c>
    </row>
    <row r="165" spans="1:40" ht="15" customHeight="1">
      <c r="A165" s="262" t="s">
        <v>2659</v>
      </c>
      <c r="B165" s="263">
        <f>'Dry_Litterbag Placem_Collection'!A166</f>
        <v>164</v>
      </c>
      <c r="C165" s="263" t="str">
        <f>'Dry_Litterbag Placem_Collection'!B166</f>
        <v>Handajega</v>
      </c>
      <c r="D165" s="263" t="s">
        <v>2460</v>
      </c>
      <c r="E165" s="263" t="s">
        <v>2661</v>
      </c>
      <c r="F165" s="263">
        <v>1</v>
      </c>
      <c r="G165" s="264" t="str">
        <f>'Dry_Litterbag Placem_Collection'!C166</f>
        <v>Wet_W1_T4</v>
      </c>
      <c r="H165" s="265" t="s">
        <v>2541</v>
      </c>
      <c r="I165" s="266" t="s">
        <v>1147</v>
      </c>
      <c r="J165" s="263" t="str">
        <f>IF(ISBLANK('Dry_Litterbag Placem_Collection'!J166),"","G"&amp;""&amp;'Dry_Litterbag Placem_Collection'!J166)</f>
        <v>G7</v>
      </c>
      <c r="K165" s="267">
        <f>IFERROR(INDEX('Green_rooibos initial weight'!$C$5:$C$1749,MATCH(J165, 'Green_rooibos initial weight'!$A$5:$A$1749,0)),"")</f>
        <v>1.974</v>
      </c>
      <c r="L165" s="267">
        <f>IFERROR(K165-(TBIcalc!$Q$9+TBIcalc!$Q$10),"")</f>
        <v>1.7242</v>
      </c>
      <c r="M165" s="391">
        <f>AVERAGE(Ashed_controlls!$K$2:$K$11)</f>
        <v>5.5147656768714146</v>
      </c>
      <c r="N165" s="267">
        <f t="shared" si="11"/>
        <v>1.6291144101993831</v>
      </c>
      <c r="O165" s="267">
        <f>IF(IFERROR(INDEX('Both teabags AfterDry'!$D$3:$D$900,MATCH(J165,'Both teabags AfterDry'!$A$3:$A$900,0)),"")="","",(IFERROR(INDEX('Both teabags AfterDry'!$D$3:$D$900,MATCH(J165,'Both teabags AfterDry'!$A$3:$A$900,0)),"")))</f>
        <v>0.82040000000000002</v>
      </c>
      <c r="P165" s="267">
        <f>IFERROR(IF(O165&gt;0,O165-(TBIcalc!$Q$9),""),"")</f>
        <v>0.66979999999999995</v>
      </c>
      <c r="Q165" s="278">
        <f>IFERROR(INDEX('Ashed teabags dry'!$K$2:$K$825,MATCH(J165,'Ashed teabags dry'!$A$2:$A$825,0)),"")</f>
        <v>25.538020086083453</v>
      </c>
      <c r="R165" s="278">
        <f t="shared" si="12"/>
        <v>0.49874634146341301</v>
      </c>
      <c r="S165" s="268">
        <f>'Dry_Litterbag Placem_Collection'!E166</f>
        <v>42940</v>
      </c>
      <c r="T165" s="268">
        <f>IF('Dry_Litterbag Placem_Collection'!G166="","",'Dry_Litterbag Placem_Collection'!G166)</f>
        <v>43009</v>
      </c>
      <c r="U165" s="269">
        <f t="shared" si="10"/>
        <v>69</v>
      </c>
      <c r="V165" s="267">
        <f t="shared" si="13"/>
        <v>1.0544</v>
      </c>
      <c r="W165" s="267">
        <f t="shared" si="14"/>
        <v>1.1303680687359701</v>
      </c>
      <c r="X165" s="271">
        <f>IFERROR(INDEX(Rainfall_Dry!$O$2:$O$217,MATCH(B165, Rainfall_Dry!$A$2:$A$217,0)),"")</f>
        <v>162.634207253</v>
      </c>
      <c r="Y165" s="260">
        <v>21.96</v>
      </c>
      <c r="Z165" s="260">
        <v>4.9199999999999982</v>
      </c>
      <c r="AA165" s="260">
        <v>73.12</v>
      </c>
      <c r="AB165" s="261" t="s">
        <v>2670</v>
      </c>
      <c r="AC165" s="260">
        <v>4.2416954164613099</v>
      </c>
      <c r="AD165">
        <f>IF('WetLitterbags placem_collection'!AB166="","",'WetLitterbags placem_collection'!AB166)</f>
        <v>9.5</v>
      </c>
      <c r="AE165">
        <f>IF('WetLitterbags placem_collection'!Z166="","",'WetLitterbags placem_collection'!Z166)</f>
        <v>20.8</v>
      </c>
      <c r="AF165" s="246" t="str">
        <f>IF('WetLitterbags placem_collection'!AA166="","",'WetLitterbags placem_collection'!AA166)</f>
        <v>M</v>
      </c>
      <c r="AG165">
        <f>IF('WetLitterbags placem_collection'!AC166="","",'WetLitterbags placem_collection'!AC166)</f>
        <v>0</v>
      </c>
      <c r="AH165">
        <f>IFERROR(AVERAGE('Dry_Litterbag Placem_Collection'!O166,'Dry_Litterbag Placem_Collection'!R166),"")</f>
        <v>5.0500000000000007</v>
      </c>
      <c r="AI165" s="271">
        <f>IFERROR(AVERAGE('Dry_Litterbag Placem_Collection'!N166,'Dry_Litterbag Placem_Collection'!Q166),"")</f>
        <v>31.3</v>
      </c>
      <c r="AJ165" s="270">
        <f>INDEX(Coordinates!$B$2:$B$197,MATCH(G165,Coordinates!$J$2:$J$197,0))</f>
        <v>-2.2726180130000002</v>
      </c>
      <c r="AK165" s="270">
        <f>INDEX(Coordinates!$C$2:$C$197,MATCH(G165,Coordinates!$J$2:$J$197,0))</f>
        <v>34.023212999999998</v>
      </c>
      <c r="AL165" s="270" t="str">
        <f>IF(ISNUMBER(SEARCH("C", 'Dry_Litterbag Placem_Collection'!S166)),"YES","NO")</f>
        <v>NO</v>
      </c>
      <c r="AM165" s="270" t="str">
        <f>IF(ISNUMBER(SEARCH("H", 'Dry_Litterbag Placem_Collection'!S166)),"YES","NO")</f>
        <v>NO</v>
      </c>
      <c r="AN165" s="270" t="str">
        <f>IF(ISNUMBER(SEARCH("R", 'Dry_Litterbag Placem_Collection'!S166)),"YES","NO")</f>
        <v>YES</v>
      </c>
    </row>
    <row r="166" spans="1:40" ht="15" customHeight="1">
      <c r="A166" s="262" t="s">
        <v>2659</v>
      </c>
      <c r="B166" s="263">
        <f>'Dry_Litterbag Placem_Collection'!A167</f>
        <v>165</v>
      </c>
      <c r="C166" s="263" t="str">
        <f>'Dry_Litterbag Placem_Collection'!B167</f>
        <v>Handajega</v>
      </c>
      <c r="D166" s="263" t="s">
        <v>2460</v>
      </c>
      <c r="E166" s="263" t="s">
        <v>2661</v>
      </c>
      <c r="F166" s="263">
        <v>1</v>
      </c>
      <c r="G166" s="264" t="str">
        <f>'Dry_Litterbag Placem_Collection'!C167</f>
        <v>Wet_W1_T5</v>
      </c>
      <c r="H166" s="265" t="s">
        <v>2541</v>
      </c>
      <c r="I166" s="266" t="s">
        <v>1147</v>
      </c>
      <c r="J166" s="263" t="str">
        <f>IF(ISBLANK('Dry_Litterbag Placem_Collection'!J167),"","G"&amp;""&amp;'Dry_Litterbag Placem_Collection'!J167)</f>
        <v>G85</v>
      </c>
      <c r="K166" s="267">
        <f>IFERROR(INDEX('Green_rooibos initial weight'!$C$5:$C$1749,MATCH(J166, 'Green_rooibos initial weight'!$A$5:$A$1749,0)),"")</f>
        <v>2.1360000000000001</v>
      </c>
      <c r="L166" s="267">
        <f>IFERROR(K166-(TBIcalc!$Q$9+TBIcalc!$Q$10),"")</f>
        <v>1.8862000000000001</v>
      </c>
      <c r="M166" s="391">
        <f>AVERAGE(Ashed_controlls!$K$2:$K$11)</f>
        <v>5.5147656768714146</v>
      </c>
      <c r="N166" s="267">
        <f t="shared" si="11"/>
        <v>1.7821804898028515</v>
      </c>
      <c r="O166" s="267">
        <f>IF(IFERROR(INDEX('Both teabags AfterDry'!$D$3:$D$900,MATCH(J166,'Both teabags AfterDry'!$A$3:$A$900,0)),"")="","",(IFERROR(INDEX('Both teabags AfterDry'!$D$3:$D$900,MATCH(J166,'Both teabags AfterDry'!$A$3:$A$900,0)),"")))</f>
        <v>0.84360000000000002</v>
      </c>
      <c r="P166" s="267">
        <f>IFERROR(IF(O166&gt;0,O166-(TBIcalc!$Q$9),""),"")</f>
        <v>0.69300000000000006</v>
      </c>
      <c r="Q166" s="278">
        <f>IFERROR(INDEX('Ashed teabags dry'!$K$2:$K$825,MATCH(J166,'Ashed teabags dry'!$A$2:$A$825,0)),"")</f>
        <v>25.443786982247975</v>
      </c>
      <c r="R166" s="278">
        <f t="shared" si="12"/>
        <v>0.51667455621302161</v>
      </c>
      <c r="S166" s="268">
        <f>'Dry_Litterbag Placem_Collection'!E167</f>
        <v>42940</v>
      </c>
      <c r="T166" s="268">
        <f>IF('Dry_Litterbag Placem_Collection'!G167="","",'Dry_Litterbag Placem_Collection'!G167)</f>
        <v>43009</v>
      </c>
      <c r="U166" s="269">
        <f t="shared" si="10"/>
        <v>69</v>
      </c>
      <c r="V166" s="267">
        <f t="shared" si="13"/>
        <v>1.1932</v>
      </c>
      <c r="W166" s="267">
        <f t="shared" si="14"/>
        <v>1.26550593358983</v>
      </c>
      <c r="X166" s="271">
        <f>IFERROR(INDEX(Rainfall_Dry!$O$2:$O$217,MATCH(B166, Rainfall_Dry!$A$2:$A$217,0)),"")</f>
        <v>162.634207253</v>
      </c>
      <c r="Y166" s="260">
        <v>21.96</v>
      </c>
      <c r="Z166" s="260">
        <v>4.9199999999999982</v>
      </c>
      <c r="AA166" s="260">
        <v>73.12</v>
      </c>
      <c r="AB166" s="261" t="s">
        <v>2670</v>
      </c>
      <c r="AC166" s="260">
        <v>5.2416954164613099</v>
      </c>
      <c r="AD166">
        <f>IF('WetLitterbags placem_collection'!AB167="","",'WetLitterbags placem_collection'!AB167)</f>
        <v>10.4</v>
      </c>
      <c r="AE166">
        <f>IF('WetLitterbags placem_collection'!Z167="","",'WetLitterbags placem_collection'!Z167)</f>
        <v>13.8</v>
      </c>
      <c r="AF166" s="246" t="str">
        <f>IF('WetLitterbags placem_collection'!AA167="","",'WetLitterbags placem_collection'!AA167)</f>
        <v>M</v>
      </c>
      <c r="AG166">
        <f>IF('WetLitterbags placem_collection'!AC167="","",'WetLitterbags placem_collection'!AC167)</f>
        <v>0</v>
      </c>
      <c r="AH166">
        <f>IFERROR(AVERAGE('Dry_Litterbag Placem_Collection'!O167,'Dry_Litterbag Placem_Collection'!R167),"")</f>
        <v>5.3000000000000007</v>
      </c>
      <c r="AI166" s="271">
        <f>IFERROR(AVERAGE('Dry_Litterbag Placem_Collection'!N167,'Dry_Litterbag Placem_Collection'!Q167),"")</f>
        <v>32.049999999999997</v>
      </c>
      <c r="AJ166" s="270">
        <f>INDEX(Coordinates!$B$2:$B$197,MATCH(G166,Coordinates!$J$2:$J$197,0))</f>
        <v>-2.2724750170000001</v>
      </c>
      <c r="AK166" s="270">
        <f>INDEX(Coordinates!$C$2:$C$197,MATCH(G166,Coordinates!$J$2:$J$197,0))</f>
        <v>34.02334501</v>
      </c>
      <c r="AL166" s="270" t="str">
        <f>IF(ISNUMBER(SEARCH("C", 'Dry_Litterbag Placem_Collection'!S167)),"YES","NO")</f>
        <v>NO</v>
      </c>
      <c r="AM166" s="270" t="str">
        <f>IF(ISNUMBER(SEARCH("H", 'Dry_Litterbag Placem_Collection'!S167)),"YES","NO")</f>
        <v>NO</v>
      </c>
      <c r="AN166" s="270" t="str">
        <f>IF(ISNUMBER(SEARCH("R", 'Dry_Litterbag Placem_Collection'!S167)),"YES","NO")</f>
        <v>NO</v>
      </c>
    </row>
    <row r="167" spans="1:40" ht="15" customHeight="1">
      <c r="A167" s="262" t="s">
        <v>2659</v>
      </c>
      <c r="B167" s="263">
        <f>'Dry_Litterbag Placem_Collection'!A168</f>
        <v>166</v>
      </c>
      <c r="C167" s="263" t="str">
        <f>'Dry_Litterbag Placem_Collection'!B168</f>
        <v>Handajega</v>
      </c>
      <c r="D167" s="263" t="s">
        <v>2460</v>
      </c>
      <c r="E167" s="263" t="s">
        <v>2661</v>
      </c>
      <c r="F167" s="263">
        <v>1</v>
      </c>
      <c r="G167" s="264" t="str">
        <f>'Dry_Litterbag Placem_Collection'!C168</f>
        <v>Wet_W1_T6</v>
      </c>
      <c r="H167" s="265" t="s">
        <v>2541</v>
      </c>
      <c r="I167" s="266" t="s">
        <v>1147</v>
      </c>
      <c r="J167" s="263" t="str">
        <f>IF(ISBLANK('Dry_Litterbag Placem_Collection'!J168),"","G"&amp;""&amp;'Dry_Litterbag Placem_Collection'!J168)</f>
        <v>G1</v>
      </c>
      <c r="K167" s="267">
        <f>IFERROR(INDEX('Green_rooibos initial weight'!$C$5:$C$1749,MATCH(J167, 'Green_rooibos initial weight'!$A$5:$A$1749,0)),"")</f>
        <v>1.9870000000000001</v>
      </c>
      <c r="L167" s="267">
        <f>IFERROR(K167-(TBIcalc!$Q$9+TBIcalc!$Q$10),"")</f>
        <v>1.7372000000000001</v>
      </c>
      <c r="M167" s="391">
        <f>AVERAGE(Ashed_controlls!$K$2:$K$11)</f>
        <v>5.5147656768714146</v>
      </c>
      <c r="N167" s="267">
        <f t="shared" si="11"/>
        <v>1.64139749066139</v>
      </c>
      <c r="O167" s="267">
        <f>IF(IFERROR(INDEX('Both teabags AfterDry'!$D$3:$D$900,MATCH(J167,'Both teabags AfterDry'!$A$3:$A$900,0)),"")="","",(IFERROR(INDEX('Both teabags AfterDry'!$D$3:$D$900,MATCH(J167,'Both teabags AfterDry'!$A$3:$A$900,0)),"")))</f>
        <v>0.85040000000000004</v>
      </c>
      <c r="P167" s="267">
        <f>IFERROR(IF(O167&gt;0,O167-(TBIcalc!$Q$9),""),"")</f>
        <v>0.69979999999999998</v>
      </c>
      <c r="Q167" s="278">
        <f>IFERROR(INDEX('Ashed teabags dry'!$K$2:$K$825,MATCH(J167,'Ashed teabags dry'!$A$2:$A$825,0)),"")</f>
        <v>26.737451737451874</v>
      </c>
      <c r="R167" s="278">
        <f t="shared" si="12"/>
        <v>0.51269131274131174</v>
      </c>
      <c r="S167" s="268">
        <f>'Dry_Litterbag Placem_Collection'!E168</f>
        <v>42940</v>
      </c>
      <c r="T167" s="268">
        <f>IF('Dry_Litterbag Placem_Collection'!G168="","",'Dry_Litterbag Placem_Collection'!G168)</f>
        <v>43009</v>
      </c>
      <c r="U167" s="269">
        <f t="shared" si="10"/>
        <v>69</v>
      </c>
      <c r="V167" s="267">
        <f t="shared" si="13"/>
        <v>1.0374000000000001</v>
      </c>
      <c r="W167" s="267">
        <f t="shared" si="14"/>
        <v>1.1287061779200782</v>
      </c>
      <c r="X167" s="271">
        <f>IFERROR(INDEX(Rainfall_Dry!$O$2:$O$217,MATCH(B167, Rainfall_Dry!$A$2:$A$217,0)),"")</f>
        <v>162.634207253</v>
      </c>
      <c r="Y167" s="260">
        <v>21.96</v>
      </c>
      <c r="Z167" s="260">
        <v>4.9199999999999982</v>
      </c>
      <c r="AA167" s="260">
        <v>73.12</v>
      </c>
      <c r="AB167" s="261" t="s">
        <v>2670</v>
      </c>
      <c r="AC167" s="260">
        <v>6.2416954164613099</v>
      </c>
      <c r="AD167">
        <f>IF('WetLitterbags placem_collection'!AB168="","",'WetLitterbags placem_collection'!AB168)</f>
        <v>2.1</v>
      </c>
      <c r="AE167">
        <f>IF('WetLitterbags placem_collection'!Z168="","",'WetLitterbags placem_collection'!Z168)</f>
        <v>4.7</v>
      </c>
      <c r="AF167" s="246" t="str">
        <f>IF('WetLitterbags placem_collection'!AA168="","",'WetLitterbags placem_collection'!AA168)</f>
        <v>M</v>
      </c>
      <c r="AG167">
        <f>IF('WetLitterbags placem_collection'!AC168="","",'WetLitterbags placem_collection'!AC168)</f>
        <v>0</v>
      </c>
      <c r="AH167">
        <f>IFERROR(AVERAGE('Dry_Litterbag Placem_Collection'!O168,'Dry_Litterbag Placem_Collection'!R168),"")</f>
        <v>5.15</v>
      </c>
      <c r="AI167" s="271">
        <f>IFERROR(AVERAGE('Dry_Litterbag Placem_Collection'!N168,'Dry_Litterbag Placem_Collection'!Q168),"")</f>
        <v>33.25</v>
      </c>
      <c r="AJ167" s="270">
        <f>INDEX(Coordinates!$B$2:$B$197,MATCH(G167,Coordinates!$J$2:$J$197,0))</f>
        <v>-2.2725490289999999</v>
      </c>
      <c r="AK167" s="270">
        <f>INDEX(Coordinates!$C$2:$C$197,MATCH(G167,Coordinates!$J$2:$J$197,0))</f>
        <v>34.022886020000001</v>
      </c>
      <c r="AL167" s="270" t="str">
        <f>IF(ISNUMBER(SEARCH("C", 'Dry_Litterbag Placem_Collection'!S168)),"YES","NO")</f>
        <v>NO</v>
      </c>
      <c r="AM167" s="270" t="str">
        <f>IF(ISNUMBER(SEARCH("H", 'Dry_Litterbag Placem_Collection'!S168)),"YES","NO")</f>
        <v>NO</v>
      </c>
      <c r="AN167" s="270" t="str">
        <f>IF(ISNUMBER(SEARCH("R", 'Dry_Litterbag Placem_Collection'!S168)),"YES","NO")</f>
        <v>YES</v>
      </c>
    </row>
    <row r="168" spans="1:40" ht="15" customHeight="1">
      <c r="A168" s="262" t="s">
        <v>2659</v>
      </c>
      <c r="B168" s="263">
        <f>'Dry_Litterbag Placem_Collection'!A169</f>
        <v>167</v>
      </c>
      <c r="C168" s="263" t="str">
        <f>'Dry_Litterbag Placem_Collection'!B169</f>
        <v>Handajega</v>
      </c>
      <c r="D168" s="263" t="s">
        <v>2460</v>
      </c>
      <c r="E168" s="263" t="s">
        <v>2661</v>
      </c>
      <c r="F168" s="263">
        <v>1</v>
      </c>
      <c r="G168" s="264" t="str">
        <f>'Dry_Litterbag Placem_Collection'!C169</f>
        <v>Wet_W1_T7</v>
      </c>
      <c r="H168" s="265" t="s">
        <v>2541</v>
      </c>
      <c r="I168" s="266" t="s">
        <v>1147</v>
      </c>
      <c r="J168" s="263" t="str">
        <f>IF(ISBLANK('Dry_Litterbag Placem_Collection'!J169),"","G"&amp;""&amp;'Dry_Litterbag Placem_Collection'!J169)</f>
        <v/>
      </c>
      <c r="K168" s="267" t="str">
        <f>IFERROR(INDEX('Green_rooibos initial weight'!$C$5:$C$1749,MATCH(J168, 'Green_rooibos initial weight'!$A$5:$A$1749,0)),"")</f>
        <v/>
      </c>
      <c r="L168" s="267" t="str">
        <f>IFERROR(K168-(TBIcalc!$Q$9+TBIcalc!$Q$10),"")</f>
        <v/>
      </c>
      <c r="M168" s="391">
        <f>AVERAGE(Ashed_controlls!$K$2:$K$11)</f>
        <v>5.5147656768714146</v>
      </c>
      <c r="N168" s="267" t="str">
        <f t="shared" si="11"/>
        <v/>
      </c>
      <c r="O168" s="267" t="str">
        <f>IF(IFERROR(INDEX('Both teabags AfterDry'!$D$3:$D$900,MATCH(J168,'Both teabags AfterDry'!$A$3:$A$900,0)),"")="","",(IFERROR(INDEX('Both teabags AfterDry'!$D$3:$D$900,MATCH(J168,'Both teabags AfterDry'!$A$3:$A$900,0)),"")))</f>
        <v/>
      </c>
      <c r="P168" s="267" t="str">
        <f>IFERROR(IF(O168&gt;0,O168-(TBIcalc!$Q$9),""),"")</f>
        <v/>
      </c>
      <c r="Q168" s="278" t="str">
        <f>IFERROR(INDEX('Ashed teabags dry'!$K$2:$K$825,MATCH(J168,'Ashed teabags dry'!$A$2:$A$825,0)),"")</f>
        <v/>
      </c>
      <c r="R168" s="278" t="str">
        <f t="shared" si="12"/>
        <v/>
      </c>
      <c r="S168" s="268">
        <f>'Dry_Litterbag Placem_Collection'!E169</f>
        <v>0</v>
      </c>
      <c r="T168" s="268" t="str">
        <f>IF('Dry_Litterbag Placem_Collection'!G169="","",'Dry_Litterbag Placem_Collection'!G169)</f>
        <v/>
      </c>
      <c r="U168" s="269" t="str">
        <f t="shared" si="10"/>
        <v/>
      </c>
      <c r="V168" s="267" t="str">
        <f t="shared" si="13"/>
        <v/>
      </c>
      <c r="W168" s="267" t="str">
        <f t="shared" si="14"/>
        <v/>
      </c>
      <c r="X168" s="271" t="str">
        <f>IFERROR(INDEX(Rainfall_Dry!$O$2:$O$217,MATCH(B168, Rainfall_Dry!$A$2:$A$217,0)),"")</f>
        <v/>
      </c>
      <c r="Y168" s="260">
        <v>21.96</v>
      </c>
      <c r="Z168" s="260">
        <v>4.9199999999999982</v>
      </c>
      <c r="AA168" s="260">
        <v>73.12</v>
      </c>
      <c r="AB168" s="261" t="s">
        <v>2670</v>
      </c>
      <c r="AC168" s="260">
        <v>7.2416954164613099</v>
      </c>
      <c r="AD168">
        <f>IF('WetLitterbags placem_collection'!AB169="","",'WetLitterbags placem_collection'!AB169)</f>
        <v>5.6</v>
      </c>
      <c r="AE168">
        <f>IF('WetLitterbags placem_collection'!Z169="","",'WetLitterbags placem_collection'!Z169)</f>
        <v>4.2</v>
      </c>
      <c r="AF168" s="246" t="str">
        <f>IF('WetLitterbags placem_collection'!AA169="","",'WetLitterbags placem_collection'!AA169)</f>
        <v>M</v>
      </c>
      <c r="AG168">
        <f>IF('WetLitterbags placem_collection'!AC169="","",'WetLitterbags placem_collection'!AC169)</f>
        <v>1</v>
      </c>
      <c r="AH168" t="str">
        <f>IFERROR(AVERAGE('Dry_Litterbag Placem_Collection'!O169,'Dry_Litterbag Placem_Collection'!R169),"")</f>
        <v/>
      </c>
      <c r="AI168" s="271" t="str">
        <f>IFERROR(AVERAGE('Dry_Litterbag Placem_Collection'!N169,'Dry_Litterbag Placem_Collection'!Q169),"")</f>
        <v/>
      </c>
      <c r="AJ168" s="270">
        <f>INDEX(Coordinates!$B$2:$B$197,MATCH(G168,Coordinates!$J$2:$J$197,0))</f>
        <v>-2.2729950310000002</v>
      </c>
      <c r="AK168" s="270">
        <f>INDEX(Coordinates!$C$2:$C$197,MATCH(G168,Coordinates!$J$2:$J$197,0))</f>
        <v>34.022923990000002</v>
      </c>
      <c r="AL168" s="270" t="str">
        <f>IF(ISNUMBER(SEARCH("C", 'Dry_Litterbag Placem_Collection'!S169)),"YES","NO")</f>
        <v>NO</v>
      </c>
      <c r="AM168" s="270" t="str">
        <f>IF(ISNUMBER(SEARCH("H", 'Dry_Litterbag Placem_Collection'!S169)),"YES","NO")</f>
        <v>NO</v>
      </c>
      <c r="AN168" s="270" t="str">
        <f>IF(ISNUMBER(SEARCH("R", 'Dry_Litterbag Placem_Collection'!S169)),"YES","NO")</f>
        <v>NO</v>
      </c>
    </row>
    <row r="169" spans="1:40" ht="15" customHeight="1">
      <c r="A169" s="262" t="s">
        <v>2659</v>
      </c>
      <c r="B169" s="263">
        <f>'Dry_Litterbag Placem_Collection'!A170</f>
        <v>168</v>
      </c>
      <c r="C169" s="263" t="str">
        <f>'Dry_Litterbag Placem_Collection'!B170</f>
        <v>Handajega</v>
      </c>
      <c r="D169" s="263" t="s">
        <v>2460</v>
      </c>
      <c r="E169" s="263" t="s">
        <v>2661</v>
      </c>
      <c r="F169" s="263">
        <v>1</v>
      </c>
      <c r="G169" s="264" t="str">
        <f>'Dry_Litterbag Placem_Collection'!C170</f>
        <v>Wet_W1_T8</v>
      </c>
      <c r="H169" s="265" t="s">
        <v>2541</v>
      </c>
      <c r="I169" s="266" t="s">
        <v>1147</v>
      </c>
      <c r="J169" s="263" t="str">
        <f>IF(ISBLANK('Dry_Litterbag Placem_Collection'!J170),"","G"&amp;""&amp;'Dry_Litterbag Placem_Collection'!J170)</f>
        <v>G70</v>
      </c>
      <c r="K169" s="267">
        <f>IFERROR(INDEX('Green_rooibos initial weight'!$C$5:$C$1749,MATCH(J169, 'Green_rooibos initial weight'!$A$5:$A$1749,0)),"")</f>
        <v>2.0939999999999999</v>
      </c>
      <c r="L169" s="267">
        <f>IFERROR(K169-(TBIcalc!$Q$9+TBIcalc!$Q$10),"")</f>
        <v>1.8441999999999998</v>
      </c>
      <c r="M169" s="391">
        <f>AVERAGE(Ashed_controlls!$K$2:$K$11)</f>
        <v>5.5147656768714146</v>
      </c>
      <c r="N169" s="267">
        <f t="shared" si="11"/>
        <v>1.7424966913871371</v>
      </c>
      <c r="O169" s="267" t="str">
        <f>IF(IFERROR(INDEX('Both teabags AfterDry'!$D$3:$D$900,MATCH(J169,'Both teabags AfterDry'!$A$3:$A$900,0)),"")="","",(IFERROR(INDEX('Both teabags AfterDry'!$D$3:$D$900,MATCH(J169,'Both teabags AfterDry'!$A$3:$A$900,0)),"")))</f>
        <v/>
      </c>
      <c r="P169" s="267" t="str">
        <f>IFERROR(IF(O169&gt;0,O169-(TBIcalc!$Q$9),""),"")</f>
        <v/>
      </c>
      <c r="Q169" s="278" t="str">
        <f>IFERROR(INDEX('Ashed teabags dry'!$K$2:$K$825,MATCH(J169,'Ashed teabags dry'!$A$2:$A$825,0)),"")</f>
        <v/>
      </c>
      <c r="R169" s="278" t="str">
        <f t="shared" si="12"/>
        <v/>
      </c>
      <c r="S169" s="268">
        <f>'Dry_Litterbag Placem_Collection'!E170</f>
        <v>42940</v>
      </c>
      <c r="T169" s="268">
        <f>IF('Dry_Litterbag Placem_Collection'!G170="","",'Dry_Litterbag Placem_Collection'!G170)</f>
        <v>43009</v>
      </c>
      <c r="U169" s="269">
        <f t="shared" si="10"/>
        <v>69</v>
      </c>
      <c r="V169" s="267" t="str">
        <f t="shared" si="13"/>
        <v/>
      </c>
      <c r="W169" s="267" t="str">
        <f t="shared" si="14"/>
        <v/>
      </c>
      <c r="X169" s="271">
        <f>IFERROR(INDEX(Rainfall_Dry!$O$2:$O$217,MATCH(B169, Rainfall_Dry!$A$2:$A$217,0)),"")</f>
        <v>162.634207253</v>
      </c>
      <c r="Y169" s="260">
        <v>21.96</v>
      </c>
      <c r="Z169" s="260">
        <v>4.9199999999999982</v>
      </c>
      <c r="AA169" s="260">
        <v>73.12</v>
      </c>
      <c r="AB169" s="261" t="s">
        <v>2670</v>
      </c>
      <c r="AC169" s="260">
        <v>8.2416954164613099</v>
      </c>
      <c r="AD169">
        <f>IF('WetLitterbags placem_collection'!AB170="","",'WetLitterbags placem_collection'!AB170)</f>
        <v>2.4</v>
      </c>
      <c r="AE169">
        <f>IF('WetLitterbags placem_collection'!Z170="","",'WetLitterbags placem_collection'!Z170)</f>
        <v>46</v>
      </c>
      <c r="AF169" s="246" t="str">
        <f>IF('WetLitterbags placem_collection'!AA170="","",'WetLitterbags placem_collection'!AA170)</f>
        <v>M</v>
      </c>
      <c r="AG169">
        <f>IF('WetLitterbags placem_collection'!AC170="","",'WetLitterbags placem_collection'!AC170)</f>
        <v>0</v>
      </c>
      <c r="AH169">
        <f>IFERROR(AVERAGE('Dry_Litterbag Placem_Collection'!O170,'Dry_Litterbag Placem_Collection'!R170),"")</f>
        <v>4.0999999999999996</v>
      </c>
      <c r="AI169" s="271">
        <f>IFERROR(AVERAGE('Dry_Litterbag Placem_Collection'!N170,'Dry_Litterbag Placem_Collection'!Q170),"")</f>
        <v>30.15</v>
      </c>
      <c r="AJ169" s="270">
        <f>INDEX(Coordinates!$B$2:$B$197,MATCH(G169,Coordinates!$J$2:$J$197,0))</f>
        <v>-2.2729129719999999</v>
      </c>
      <c r="AK169" s="270">
        <f>INDEX(Coordinates!$C$2:$C$197,MATCH(G169,Coordinates!$J$2:$J$197,0))</f>
        <v>34.023350039999997</v>
      </c>
      <c r="AL169" s="270" t="str">
        <f>IF(ISNUMBER(SEARCH("C", 'Dry_Litterbag Placem_Collection'!S170)),"YES","NO")</f>
        <v>NO</v>
      </c>
      <c r="AM169" s="270" t="str">
        <f>IF(ISNUMBER(SEARCH("H", 'Dry_Litterbag Placem_Collection'!S170)),"YES","NO")</f>
        <v>NO</v>
      </c>
      <c r="AN169" s="270" t="str">
        <f>IF(ISNUMBER(SEARCH("R", 'Dry_Litterbag Placem_Collection'!S170)),"YES","NO")</f>
        <v>YES</v>
      </c>
    </row>
    <row r="170" spans="1:40" ht="15" customHeight="1">
      <c r="A170" s="262" t="s">
        <v>2659</v>
      </c>
      <c r="B170" s="263">
        <f>'Dry_Litterbag Placem_Collection'!A171</f>
        <v>169</v>
      </c>
      <c r="C170" s="263" t="str">
        <f>'Dry_Litterbag Placem_Collection'!B171</f>
        <v>Handajega</v>
      </c>
      <c r="D170" s="263" t="s">
        <v>2460</v>
      </c>
      <c r="E170" s="263" t="s">
        <v>2661</v>
      </c>
      <c r="F170" s="263">
        <v>2</v>
      </c>
      <c r="G170" s="264" t="str">
        <f>'Dry_Litterbag Placem_Collection'!C171</f>
        <v>Wet_W2_T1</v>
      </c>
      <c r="H170" s="265" t="s">
        <v>2541</v>
      </c>
      <c r="I170" s="266" t="s">
        <v>1147</v>
      </c>
      <c r="J170" s="263" t="str">
        <f>IF(ISBLANK('Dry_Litterbag Placem_Collection'!J171),"","G"&amp;""&amp;'Dry_Litterbag Placem_Collection'!J171)</f>
        <v>G250</v>
      </c>
      <c r="K170" s="267">
        <f>IFERROR(INDEX('Green_rooibos initial weight'!$C$5:$C$1749,MATCH(J170, 'Green_rooibos initial weight'!$A$5:$A$1749,0)),"")</f>
        <v>2.0139999999999998</v>
      </c>
      <c r="L170" s="267">
        <f>IFERROR(K170-(TBIcalc!$Q$9+TBIcalc!$Q$10),"")</f>
        <v>1.7641999999999998</v>
      </c>
      <c r="M170" s="391">
        <f>AVERAGE(Ashed_controlls!$K$2:$K$11)</f>
        <v>5.5147656768714146</v>
      </c>
      <c r="N170" s="267">
        <f t="shared" si="11"/>
        <v>1.6669085039286342</v>
      </c>
      <c r="O170" s="267">
        <f>IF(IFERROR(INDEX('Both teabags AfterDry'!$D$3:$D$900,MATCH(J170,'Both teabags AfterDry'!$A$3:$A$900,0)),"")="","",(IFERROR(INDEX('Both teabags AfterDry'!$D$3:$D$900,MATCH(J170,'Both teabags AfterDry'!$A$3:$A$900,0)),"")))</f>
        <v>0.80610000000000004</v>
      </c>
      <c r="P170" s="267">
        <f>IFERROR(IF(O170&gt;0,O170-(TBIcalc!$Q$9),""),"")</f>
        <v>0.65549999999999997</v>
      </c>
      <c r="Q170" s="278">
        <f>IFERROR(INDEX('Ashed teabags dry'!$K$2:$K$825,MATCH(J170,'Ashed teabags dry'!$A$2:$A$825,0)),"")</f>
        <v>17.823265102348216</v>
      </c>
      <c r="R170" s="278">
        <f t="shared" si="12"/>
        <v>0.53866849725410737</v>
      </c>
      <c r="S170" s="268">
        <f>'Dry_Litterbag Placem_Collection'!E171</f>
        <v>42940</v>
      </c>
      <c r="T170" s="268">
        <f>IF('Dry_Litterbag Placem_Collection'!G171="","",'Dry_Litterbag Placem_Collection'!G171)</f>
        <v>43009</v>
      </c>
      <c r="U170" s="269">
        <f t="shared" si="10"/>
        <v>69</v>
      </c>
      <c r="V170" s="267">
        <f t="shared" si="13"/>
        <v>1.1086999999999998</v>
      </c>
      <c r="W170" s="267">
        <f t="shared" si="14"/>
        <v>1.1282400066745268</v>
      </c>
      <c r="X170" s="271">
        <f>IFERROR(INDEX(Rainfall_Dry!$O$2:$O$217,MATCH(B170, Rainfall_Dry!$A$2:$A$217,0)),"")</f>
        <v>162.634207253</v>
      </c>
      <c r="Y170" s="260">
        <v>23.96</v>
      </c>
      <c r="Z170" s="260">
        <v>4.9199999999999982</v>
      </c>
      <c r="AA170" s="260">
        <v>71.12</v>
      </c>
      <c r="AB170" s="261" t="s">
        <v>2670</v>
      </c>
      <c r="AC170" s="260">
        <v>3.30913750616067</v>
      </c>
      <c r="AD170">
        <f>IF('WetLitterbags placem_collection'!AB171="","",'WetLitterbags placem_collection'!AB171)</f>
        <v>8.1999999999999993</v>
      </c>
      <c r="AE170">
        <f>IF('WetLitterbags placem_collection'!Z171="","",'WetLitterbags placem_collection'!Z171)</f>
        <v>11.4</v>
      </c>
      <c r="AF170" s="246" t="str">
        <f>IF('WetLitterbags placem_collection'!AA171="","",'WetLitterbags placem_collection'!AA171)</f>
        <v>O</v>
      </c>
      <c r="AG170">
        <f>IF('WetLitterbags placem_collection'!AC171="","",'WetLitterbags placem_collection'!AC171)</f>
        <v>1</v>
      </c>
      <c r="AH170">
        <f>IFERROR(AVERAGE('Dry_Litterbag Placem_Collection'!O171,'Dry_Litterbag Placem_Collection'!R171),"")</f>
        <v>6.65</v>
      </c>
      <c r="AI170" s="271">
        <f>IFERROR(AVERAGE('Dry_Litterbag Placem_Collection'!N171,'Dry_Litterbag Placem_Collection'!Q171),"")</f>
        <v>35.049999999999997</v>
      </c>
      <c r="AJ170" s="270">
        <f>INDEX(Coordinates!$B$2:$B$197,MATCH(G170,Coordinates!$J$2:$J$197,0))</f>
        <v>-2.2784290180000002</v>
      </c>
      <c r="AK170" s="270">
        <f>INDEX(Coordinates!$C$2:$C$197,MATCH(G170,Coordinates!$J$2:$J$197,0))</f>
        <v>34.024240030000001</v>
      </c>
      <c r="AL170" s="270" t="str">
        <f>IF(ISNUMBER(SEARCH("C", 'Dry_Litterbag Placem_Collection'!S171)),"YES","NO")</f>
        <v>NO</v>
      </c>
      <c r="AM170" s="270" t="str">
        <f>IF(ISNUMBER(SEARCH("H", 'Dry_Litterbag Placem_Collection'!S171)),"YES","NO")</f>
        <v>NO</v>
      </c>
      <c r="AN170" s="270" t="str">
        <f>IF(ISNUMBER(SEARCH("R", 'Dry_Litterbag Placem_Collection'!S171)),"YES","NO")</f>
        <v>YES</v>
      </c>
    </row>
    <row r="171" spans="1:40" ht="15" customHeight="1">
      <c r="A171" s="262" t="s">
        <v>2659</v>
      </c>
      <c r="B171" s="263">
        <f>'Dry_Litterbag Placem_Collection'!A172</f>
        <v>170</v>
      </c>
      <c r="C171" s="263" t="str">
        <f>'Dry_Litterbag Placem_Collection'!B172</f>
        <v>Handajega</v>
      </c>
      <c r="D171" s="263" t="s">
        <v>2460</v>
      </c>
      <c r="E171" s="263" t="s">
        <v>2661</v>
      </c>
      <c r="F171" s="263">
        <v>2</v>
      </c>
      <c r="G171" s="264" t="str">
        <f>'Dry_Litterbag Placem_Collection'!C172</f>
        <v>Wet_W2_T2</v>
      </c>
      <c r="H171" s="265" t="s">
        <v>2541</v>
      </c>
      <c r="I171" s="266" t="s">
        <v>1147</v>
      </c>
      <c r="J171" s="263" t="str">
        <f>IF(ISBLANK('Dry_Litterbag Placem_Collection'!J172),"","G"&amp;""&amp;'Dry_Litterbag Placem_Collection'!J172)</f>
        <v>G624</v>
      </c>
      <c r="K171" s="267">
        <f>IFERROR(INDEX('Green_rooibos initial weight'!$C$5:$C$1749,MATCH(J171, 'Green_rooibos initial weight'!$A$5:$A$1749,0)),"")</f>
        <v>2.024</v>
      </c>
      <c r="L171" s="267">
        <f>IFERROR(K171-(TBIcalc!$Q$9+TBIcalc!$Q$10),"")</f>
        <v>1.7742</v>
      </c>
      <c r="M171" s="391">
        <f>AVERAGE(Ashed_controlls!$K$2:$K$11)</f>
        <v>5.5147656768714146</v>
      </c>
      <c r="N171" s="267">
        <f t="shared" si="11"/>
        <v>1.6763570273609474</v>
      </c>
      <c r="O171" s="267">
        <f>IF(IFERROR(INDEX('Both teabags AfterDry'!$D$3:$D$900,MATCH(J171,'Both teabags AfterDry'!$A$3:$A$900,0)),"")="","",(IFERROR(INDEX('Both teabags AfterDry'!$D$3:$D$900,MATCH(J171,'Both teabags AfterDry'!$A$3:$A$900,0)),"")))</f>
        <v>0.94779999999999998</v>
      </c>
      <c r="P171" s="267">
        <f>IFERROR(IF(O171&gt;0,O171-(TBIcalc!$Q$9),""),"")</f>
        <v>0.79719999999999991</v>
      </c>
      <c r="Q171" s="278">
        <f>IFERROR(INDEX('Ashed teabags dry'!$K$2:$K$825,MATCH(J171,'Ashed teabags dry'!$A$2:$A$825,0)),"")</f>
        <v>29.054385105340501</v>
      </c>
      <c r="R171" s="278">
        <f t="shared" si="12"/>
        <v>0.56557844194022544</v>
      </c>
      <c r="S171" s="268">
        <f>'Dry_Litterbag Placem_Collection'!E172</f>
        <v>42940</v>
      </c>
      <c r="T171" s="268">
        <f>IF('Dry_Litterbag Placem_Collection'!G172="","",'Dry_Litterbag Placem_Collection'!G172)</f>
        <v>43009</v>
      </c>
      <c r="U171" s="269">
        <f t="shared" si="10"/>
        <v>69</v>
      </c>
      <c r="V171" s="267">
        <f t="shared" si="13"/>
        <v>0.97700000000000009</v>
      </c>
      <c r="W171" s="267">
        <f t="shared" si="14"/>
        <v>1.1107785854207219</v>
      </c>
      <c r="X171" s="271">
        <f>IFERROR(INDEX(Rainfall_Dry!$O$2:$O$217,MATCH(B171, Rainfall_Dry!$A$2:$A$217,0)),"")</f>
        <v>162.634207253</v>
      </c>
      <c r="Y171" s="260">
        <v>23.96</v>
      </c>
      <c r="Z171" s="260">
        <v>4.9199999999999982</v>
      </c>
      <c r="AA171" s="260">
        <v>71.12</v>
      </c>
      <c r="AB171" s="261" t="s">
        <v>2670</v>
      </c>
      <c r="AC171" s="260">
        <v>4.3091375061606696</v>
      </c>
      <c r="AD171">
        <f>IF('WetLitterbags placem_collection'!AB172="","",'WetLitterbags placem_collection'!AB172)</f>
        <v>7.7</v>
      </c>
      <c r="AE171">
        <f>IF('WetLitterbags placem_collection'!Z172="","",'WetLitterbags placem_collection'!Z172)</f>
        <v>15.8</v>
      </c>
      <c r="AF171" s="246" t="str">
        <f>IF('WetLitterbags placem_collection'!AA172="","",'WetLitterbags placem_collection'!AA172)</f>
        <v>O</v>
      </c>
      <c r="AG171">
        <f>IF('WetLitterbags placem_collection'!AC172="","",'WetLitterbags placem_collection'!AC172)</f>
        <v>1</v>
      </c>
      <c r="AH171">
        <f>IFERROR(AVERAGE('Dry_Litterbag Placem_Collection'!O172,'Dry_Litterbag Placem_Collection'!R172),"")</f>
        <v>6.1</v>
      </c>
      <c r="AI171" s="271">
        <f>IFERROR(AVERAGE('Dry_Litterbag Placem_Collection'!N172,'Dry_Litterbag Placem_Collection'!Q172),"")</f>
        <v>33.950000000000003</v>
      </c>
      <c r="AJ171" s="270">
        <f>INDEX(Coordinates!$B$2:$B$197,MATCH(G171,Coordinates!$J$2:$J$197,0))</f>
        <v>-2.2784629650000001</v>
      </c>
      <c r="AK171" s="270">
        <f>INDEX(Coordinates!$C$2:$C$197,MATCH(G171,Coordinates!$J$2:$J$197,0))</f>
        <v>34.024177999999999</v>
      </c>
      <c r="AL171" s="270" t="str">
        <f>IF(ISNUMBER(SEARCH("C", 'Dry_Litterbag Placem_Collection'!S172)),"YES","NO")</f>
        <v>NO</v>
      </c>
      <c r="AM171" s="270" t="str">
        <f>IF(ISNUMBER(SEARCH("H", 'Dry_Litterbag Placem_Collection'!S172)),"YES","NO")</f>
        <v>YES</v>
      </c>
      <c r="AN171" s="270" t="str">
        <f>IF(ISNUMBER(SEARCH("R", 'Dry_Litterbag Placem_Collection'!S172)),"YES","NO")</f>
        <v>YES</v>
      </c>
    </row>
    <row r="172" spans="1:40" ht="15" customHeight="1">
      <c r="A172" s="262" t="s">
        <v>2659</v>
      </c>
      <c r="B172" s="263">
        <f>'Dry_Litterbag Placem_Collection'!A173</f>
        <v>171</v>
      </c>
      <c r="C172" s="263" t="str">
        <f>'Dry_Litterbag Placem_Collection'!B173</f>
        <v>Handajega</v>
      </c>
      <c r="D172" s="263" t="s">
        <v>2460</v>
      </c>
      <c r="E172" s="263" t="s">
        <v>2661</v>
      </c>
      <c r="F172" s="263">
        <v>2</v>
      </c>
      <c r="G172" s="264" t="str">
        <f>'Dry_Litterbag Placem_Collection'!C173</f>
        <v>Wet_W2_T3</v>
      </c>
      <c r="H172" s="265" t="s">
        <v>2541</v>
      </c>
      <c r="I172" s="266" t="s">
        <v>1147</v>
      </c>
      <c r="J172" s="263" t="str">
        <f>IF(ISBLANK('Dry_Litterbag Placem_Collection'!J173),"","G"&amp;""&amp;'Dry_Litterbag Placem_Collection'!J173)</f>
        <v>G149</v>
      </c>
      <c r="K172" s="267">
        <f>IFERROR(INDEX('Green_rooibos initial weight'!$C$5:$C$1749,MATCH(J172, 'Green_rooibos initial weight'!$A$5:$A$1749,0)),"")</f>
        <v>2.1789999999999998</v>
      </c>
      <c r="L172" s="267">
        <f>IFERROR(K172-(TBIcalc!$Q$9+TBIcalc!$Q$10),"")</f>
        <v>1.9291999999999998</v>
      </c>
      <c r="M172" s="391">
        <f>AVERAGE(Ashed_controlls!$K$2:$K$11)</f>
        <v>5.5147656768714146</v>
      </c>
      <c r="N172" s="267">
        <f t="shared" si="11"/>
        <v>1.8228091405617965</v>
      </c>
      <c r="O172" s="267">
        <f>IF(IFERROR(INDEX('Both teabags AfterDry'!$D$3:$D$900,MATCH(J172,'Both teabags AfterDry'!$A$3:$A$900,0)),"")="","",(IFERROR(INDEX('Both teabags AfterDry'!$D$3:$D$900,MATCH(J172,'Both teabags AfterDry'!$A$3:$A$900,0)),"")))</f>
        <v>0.75890000000000002</v>
      </c>
      <c r="P172" s="267">
        <f>IFERROR(IF(O172&gt;0,O172-(TBIcalc!$Q$9),""),"")</f>
        <v>0.60830000000000006</v>
      </c>
      <c r="Q172" s="278">
        <f>IFERROR(INDEX('Ashed teabags dry'!$K$2:$K$825,MATCH(J172,'Ashed teabags dry'!$A$2:$A$825,0)),"")</f>
        <v>19.04525111884687</v>
      </c>
      <c r="R172" s="278">
        <f t="shared" si="12"/>
        <v>0.49244773744405457</v>
      </c>
      <c r="S172" s="268">
        <f>'Dry_Litterbag Placem_Collection'!E173</f>
        <v>42940</v>
      </c>
      <c r="T172" s="268">
        <f>IF('Dry_Litterbag Placem_Collection'!G173="","",'Dry_Litterbag Placem_Collection'!G173)</f>
        <v>43009</v>
      </c>
      <c r="U172" s="269">
        <f t="shared" si="10"/>
        <v>69</v>
      </c>
      <c r="V172" s="267">
        <f t="shared" si="13"/>
        <v>1.3208999999999997</v>
      </c>
      <c r="W172" s="267">
        <f t="shared" si="14"/>
        <v>1.330361403117742</v>
      </c>
      <c r="X172" s="271">
        <f>IFERROR(INDEX(Rainfall_Dry!$O$2:$O$217,MATCH(B172, Rainfall_Dry!$A$2:$A$217,0)),"")</f>
        <v>162.634207253</v>
      </c>
      <c r="Y172" s="260">
        <v>23.96</v>
      </c>
      <c r="Z172" s="260">
        <v>4.9199999999999982</v>
      </c>
      <c r="AA172" s="260">
        <v>71.12</v>
      </c>
      <c r="AB172" s="261" t="s">
        <v>2670</v>
      </c>
      <c r="AC172" s="260">
        <v>5.3091375061606696</v>
      </c>
      <c r="AD172">
        <f>IF('WetLitterbags placem_collection'!AB173="","",'WetLitterbags placem_collection'!AB173)</f>
        <v>13.4</v>
      </c>
      <c r="AE172">
        <f>IF('WetLitterbags placem_collection'!Z173="","",'WetLitterbags placem_collection'!Z173)</f>
        <v>7.6</v>
      </c>
      <c r="AF172" s="246" t="str">
        <f>IF('WetLitterbags placem_collection'!AA173="","",'WetLitterbags placem_collection'!AA173)</f>
        <v>O</v>
      </c>
      <c r="AG172">
        <f>IF('WetLitterbags placem_collection'!AC173="","",'WetLitterbags placem_collection'!AC173)</f>
        <v>1</v>
      </c>
      <c r="AH172">
        <f>IFERROR(AVERAGE('Dry_Litterbag Placem_Collection'!O173,'Dry_Litterbag Placem_Collection'!R173),"")</f>
        <v>5.6</v>
      </c>
      <c r="AI172" s="271">
        <f>IFERROR(AVERAGE('Dry_Litterbag Placem_Collection'!N173,'Dry_Litterbag Placem_Collection'!Q173),"")</f>
        <v>33</v>
      </c>
      <c r="AJ172" s="270">
        <f>INDEX(Coordinates!$B$2:$B$197,MATCH(G172,Coordinates!$J$2:$J$197,0))</f>
        <v>-2.2785389889999998</v>
      </c>
      <c r="AK172" s="270">
        <f>INDEX(Coordinates!$C$2:$C$197,MATCH(G172,Coordinates!$J$2:$J$197,0))</f>
        <v>34.024371039999998</v>
      </c>
      <c r="AL172" s="270" t="str">
        <f>IF(ISNUMBER(SEARCH("C", 'Dry_Litterbag Placem_Collection'!S173)),"YES","NO")</f>
        <v>NO</v>
      </c>
      <c r="AM172" s="270" t="str">
        <f>IF(ISNUMBER(SEARCH("H", 'Dry_Litterbag Placem_Collection'!S173)),"YES","NO")</f>
        <v>NO</v>
      </c>
      <c r="AN172" s="270" t="str">
        <f>IF(ISNUMBER(SEARCH("R", 'Dry_Litterbag Placem_Collection'!S173)),"YES","NO")</f>
        <v>YES</v>
      </c>
    </row>
    <row r="173" spans="1:40" ht="15" customHeight="1">
      <c r="A173" s="262" t="s">
        <v>2659</v>
      </c>
      <c r="B173" s="263">
        <f>'Dry_Litterbag Placem_Collection'!A174</f>
        <v>172</v>
      </c>
      <c r="C173" s="263" t="str">
        <f>'Dry_Litterbag Placem_Collection'!B174</f>
        <v>Handajega</v>
      </c>
      <c r="D173" s="263" t="s">
        <v>2460</v>
      </c>
      <c r="E173" s="263" t="s">
        <v>2661</v>
      </c>
      <c r="F173" s="263">
        <v>2</v>
      </c>
      <c r="G173" s="264" t="str">
        <f>'Dry_Litterbag Placem_Collection'!C174</f>
        <v>Wet_W2_T4</v>
      </c>
      <c r="H173" s="265" t="s">
        <v>2541</v>
      </c>
      <c r="I173" s="266" t="s">
        <v>1147</v>
      </c>
      <c r="J173" s="263" t="str">
        <f>IF(ISBLANK('Dry_Litterbag Placem_Collection'!J174),"","G"&amp;""&amp;'Dry_Litterbag Placem_Collection'!J174)</f>
        <v/>
      </c>
      <c r="K173" s="267" t="str">
        <f>IFERROR(INDEX('Green_rooibos initial weight'!$C$5:$C$1749,MATCH(J173, 'Green_rooibos initial weight'!$A$5:$A$1749,0)),"")</f>
        <v/>
      </c>
      <c r="L173" s="267" t="str">
        <f>IFERROR(K173-(TBIcalc!$Q$9+TBIcalc!$Q$10),"")</f>
        <v/>
      </c>
      <c r="M173" s="391">
        <f>AVERAGE(Ashed_controlls!$K$2:$K$11)</f>
        <v>5.5147656768714146</v>
      </c>
      <c r="N173" s="267" t="str">
        <f t="shared" si="11"/>
        <v/>
      </c>
      <c r="O173" s="267" t="str">
        <f>IF(IFERROR(INDEX('Both teabags AfterDry'!$D$3:$D$900,MATCH(J173,'Both teabags AfterDry'!$A$3:$A$900,0)),"")="","",(IFERROR(INDEX('Both teabags AfterDry'!$D$3:$D$900,MATCH(J173,'Both teabags AfterDry'!$A$3:$A$900,0)),"")))</f>
        <v/>
      </c>
      <c r="P173" s="267" t="str">
        <f>IFERROR(IF(O173&gt;0,O173-(TBIcalc!$Q$9),""),"")</f>
        <v/>
      </c>
      <c r="Q173" s="278" t="str">
        <f>IFERROR(INDEX('Ashed teabags dry'!$K$2:$K$825,MATCH(J173,'Ashed teabags dry'!$A$2:$A$825,0)),"")</f>
        <v/>
      </c>
      <c r="R173" s="278" t="str">
        <f t="shared" si="12"/>
        <v/>
      </c>
      <c r="S173" s="268">
        <f>'Dry_Litterbag Placem_Collection'!E174</f>
        <v>0</v>
      </c>
      <c r="T173" s="268" t="str">
        <f>IF('Dry_Litterbag Placem_Collection'!G174="","",'Dry_Litterbag Placem_Collection'!G174)</f>
        <v/>
      </c>
      <c r="U173" s="269" t="str">
        <f t="shared" si="10"/>
        <v/>
      </c>
      <c r="V173" s="267" t="str">
        <f t="shared" si="13"/>
        <v/>
      </c>
      <c r="W173" s="267" t="str">
        <f t="shared" si="14"/>
        <v/>
      </c>
      <c r="X173" s="271" t="str">
        <f>IFERROR(INDEX(Rainfall_Dry!$O$2:$O$217,MATCH(B173, Rainfall_Dry!$A$2:$A$217,0)),"")</f>
        <v/>
      </c>
      <c r="Y173" s="260">
        <v>23.96</v>
      </c>
      <c r="Z173" s="260">
        <v>4.9199999999999982</v>
      </c>
      <c r="AA173" s="260">
        <v>71.12</v>
      </c>
      <c r="AB173" s="261" t="s">
        <v>2670</v>
      </c>
      <c r="AC173" s="260">
        <v>6.3091375061606696</v>
      </c>
      <c r="AD173">
        <f>IF('WetLitterbags placem_collection'!AB174="","",'WetLitterbags placem_collection'!AB174)</f>
        <v>3.3</v>
      </c>
      <c r="AE173">
        <f>IF('WetLitterbags placem_collection'!Z174="","",'WetLitterbags placem_collection'!Z174)</f>
        <v>28.4</v>
      </c>
      <c r="AF173" s="246" t="str">
        <f>IF('WetLitterbags placem_collection'!AA174="","",'WetLitterbags placem_collection'!AA174)</f>
        <v>G</v>
      </c>
      <c r="AG173">
        <f>IF('WetLitterbags placem_collection'!AC174="","",'WetLitterbags placem_collection'!AC174)</f>
        <v>1</v>
      </c>
      <c r="AH173" t="str">
        <f>IFERROR(AVERAGE('Dry_Litterbag Placem_Collection'!O174,'Dry_Litterbag Placem_Collection'!R174),"")</f>
        <v/>
      </c>
      <c r="AI173" s="271" t="str">
        <f>IFERROR(AVERAGE('Dry_Litterbag Placem_Collection'!N174,'Dry_Litterbag Placem_Collection'!Q174),"")</f>
        <v/>
      </c>
      <c r="AJ173" s="270">
        <f>INDEX(Coordinates!$B$2:$B$197,MATCH(G173,Coordinates!$J$2:$J$197,0))</f>
        <v>-2.2781410160000002</v>
      </c>
      <c r="AK173" s="270">
        <f>INDEX(Coordinates!$C$2:$C$197,MATCH(G173,Coordinates!$J$2:$J$197,0))</f>
        <v>34.024136009999999</v>
      </c>
      <c r="AL173" s="270" t="str">
        <f>IF(ISNUMBER(SEARCH("C", 'Dry_Litterbag Placem_Collection'!S174)),"YES","NO")</f>
        <v>NO</v>
      </c>
      <c r="AM173" s="270" t="str">
        <f>IF(ISNUMBER(SEARCH("H", 'Dry_Litterbag Placem_Collection'!S174)),"YES","NO")</f>
        <v>NO</v>
      </c>
      <c r="AN173" s="270" t="str">
        <f>IF(ISNUMBER(SEARCH("R", 'Dry_Litterbag Placem_Collection'!S174)),"YES","NO")</f>
        <v>NO</v>
      </c>
    </row>
    <row r="174" spans="1:40" ht="15" customHeight="1">
      <c r="A174" s="262" t="s">
        <v>2659</v>
      </c>
      <c r="B174" s="263">
        <f>'Dry_Litterbag Placem_Collection'!A175</f>
        <v>173</v>
      </c>
      <c r="C174" s="263" t="str">
        <f>'Dry_Litterbag Placem_Collection'!B175</f>
        <v>Handajega</v>
      </c>
      <c r="D174" s="263" t="s">
        <v>2460</v>
      </c>
      <c r="E174" s="263" t="s">
        <v>2661</v>
      </c>
      <c r="F174" s="263">
        <v>2</v>
      </c>
      <c r="G174" s="264" t="str">
        <f>'Dry_Litterbag Placem_Collection'!C175</f>
        <v>Wet_W2_T5</v>
      </c>
      <c r="H174" s="265" t="s">
        <v>2541</v>
      </c>
      <c r="I174" s="266" t="s">
        <v>1147</v>
      </c>
      <c r="J174" s="263" t="str">
        <f>IF(ISBLANK('Dry_Litterbag Placem_Collection'!J175),"","G"&amp;""&amp;'Dry_Litterbag Placem_Collection'!J175)</f>
        <v>G597</v>
      </c>
      <c r="K174" s="267">
        <f>IFERROR(INDEX('Green_rooibos initial weight'!$C$5:$C$1749,MATCH(J174, 'Green_rooibos initial weight'!$A$5:$A$1749,0)),"")</f>
        <v>1.948</v>
      </c>
      <c r="L174" s="267">
        <f>IFERROR(K174-(TBIcalc!$Q$9+TBIcalc!$Q$10),"")</f>
        <v>1.6981999999999999</v>
      </c>
      <c r="M174" s="391">
        <f>AVERAGE(Ashed_controlls!$K$2:$K$11)</f>
        <v>5.5147656768714146</v>
      </c>
      <c r="N174" s="267">
        <f t="shared" si="11"/>
        <v>1.6045482492753695</v>
      </c>
      <c r="O174" s="267" t="str">
        <f>IF(IFERROR(INDEX('Both teabags AfterDry'!$D$3:$D$900,MATCH(J174,'Both teabags AfterDry'!$A$3:$A$900,0)),"")="","",(IFERROR(INDEX('Both teabags AfterDry'!$D$3:$D$900,MATCH(J174,'Both teabags AfterDry'!$A$3:$A$900,0)),"")))</f>
        <v/>
      </c>
      <c r="P174" s="267" t="str">
        <f>IFERROR(IF(O174&gt;0,O174-(TBIcalc!$Q$9),""),"")</f>
        <v/>
      </c>
      <c r="Q174" s="278" t="str">
        <f>IFERROR(INDEX('Ashed teabags dry'!$K$2:$K$825,MATCH(J174,'Ashed teabags dry'!$A$2:$A$825,0)),"")</f>
        <v/>
      </c>
      <c r="R174" s="278" t="str">
        <f t="shared" si="12"/>
        <v/>
      </c>
      <c r="S174" s="268">
        <f>'Dry_Litterbag Placem_Collection'!E175</f>
        <v>42940</v>
      </c>
      <c r="T174" s="268">
        <f>IF('Dry_Litterbag Placem_Collection'!G175="","",'Dry_Litterbag Placem_Collection'!G175)</f>
        <v>43009</v>
      </c>
      <c r="U174" s="269">
        <f t="shared" si="10"/>
        <v>69</v>
      </c>
      <c r="V174" s="267" t="str">
        <f t="shared" si="13"/>
        <v/>
      </c>
      <c r="W174" s="267" t="str">
        <f t="shared" si="14"/>
        <v/>
      </c>
      <c r="X174" s="271">
        <f>IFERROR(INDEX(Rainfall_Dry!$O$2:$O$217,MATCH(B174, Rainfall_Dry!$A$2:$A$217,0)),"")</f>
        <v>162.634207253</v>
      </c>
      <c r="Y174" s="260">
        <v>23.96</v>
      </c>
      <c r="Z174" s="260">
        <v>4.9199999999999982</v>
      </c>
      <c r="AA174" s="260">
        <v>71.12</v>
      </c>
      <c r="AB174" s="261" t="s">
        <v>2670</v>
      </c>
      <c r="AC174" s="260">
        <v>7.3091375061606696</v>
      </c>
      <c r="AD174">
        <f>IF('WetLitterbags placem_collection'!AB175="","",'WetLitterbags placem_collection'!AB175)</f>
        <v>15.4</v>
      </c>
      <c r="AE174">
        <f>IF('WetLitterbags placem_collection'!Z175="","",'WetLitterbags placem_collection'!Z175)</f>
        <v>12.4</v>
      </c>
      <c r="AF174" s="246" t="str">
        <f>IF('WetLitterbags placem_collection'!AA175="","",'WetLitterbags placem_collection'!AA175)</f>
        <v>O</v>
      </c>
      <c r="AG174">
        <f>IF('WetLitterbags placem_collection'!AC175="","",'WetLitterbags placem_collection'!AC175)</f>
        <v>0</v>
      </c>
      <c r="AH174">
        <f>IFERROR(AVERAGE('Dry_Litterbag Placem_Collection'!O175,'Dry_Litterbag Placem_Collection'!R175),"")</f>
        <v>6.3</v>
      </c>
      <c r="AI174" s="271">
        <f>IFERROR(AVERAGE('Dry_Litterbag Placem_Collection'!N175,'Dry_Litterbag Placem_Collection'!Q175),"")</f>
        <v>34.049999999999997</v>
      </c>
      <c r="AJ174" s="270">
        <f>INDEX(Coordinates!$B$2:$B$197,MATCH(G174,Coordinates!$J$2:$J$197,0))</f>
        <v>-2.27856799</v>
      </c>
      <c r="AK174" s="270">
        <f>INDEX(Coordinates!$C$2:$C$197,MATCH(G174,Coordinates!$J$2:$J$197,0))</f>
        <v>34.023969970000003</v>
      </c>
      <c r="AL174" s="270" t="str">
        <f>IF(ISNUMBER(SEARCH("C", 'Dry_Litterbag Placem_Collection'!S175)),"YES","NO")</f>
        <v>NO</v>
      </c>
      <c r="AM174" s="270" t="str">
        <f>IF(ISNUMBER(SEARCH("H", 'Dry_Litterbag Placem_Collection'!S175)),"YES","NO")</f>
        <v>YES</v>
      </c>
      <c r="AN174" s="270" t="str">
        <f>IF(ISNUMBER(SEARCH("R", 'Dry_Litterbag Placem_Collection'!S175)),"YES","NO")</f>
        <v>YES</v>
      </c>
    </row>
    <row r="175" spans="1:40" ht="15" customHeight="1">
      <c r="A175" s="262" t="s">
        <v>2659</v>
      </c>
      <c r="B175" s="263">
        <f>'Dry_Litterbag Placem_Collection'!A176</f>
        <v>174</v>
      </c>
      <c r="C175" s="263" t="str">
        <f>'Dry_Litterbag Placem_Collection'!B176</f>
        <v>Handajega</v>
      </c>
      <c r="D175" s="263" t="s">
        <v>2460</v>
      </c>
      <c r="E175" s="263" t="s">
        <v>2661</v>
      </c>
      <c r="F175" s="263">
        <v>2</v>
      </c>
      <c r="G175" s="264" t="str">
        <f>'Dry_Litterbag Placem_Collection'!C176</f>
        <v>Wet_W2_T6</v>
      </c>
      <c r="H175" s="265" t="s">
        <v>2541</v>
      </c>
      <c r="I175" s="266" t="s">
        <v>1147</v>
      </c>
      <c r="J175" s="263" t="str">
        <f>IF(ISBLANK('Dry_Litterbag Placem_Collection'!J176),"","G"&amp;""&amp;'Dry_Litterbag Placem_Collection'!J176)</f>
        <v>G396</v>
      </c>
      <c r="K175" s="267">
        <f>IFERROR(INDEX('Green_rooibos initial weight'!$C$5:$C$1749,MATCH(J175, 'Green_rooibos initial weight'!$A$5:$A$1749,0)),"")</f>
        <v>2.0070000000000001</v>
      </c>
      <c r="L175" s="267">
        <f>IFERROR(K175-(TBIcalc!$Q$9+TBIcalc!$Q$10),"")</f>
        <v>1.7572000000000001</v>
      </c>
      <c r="M175" s="391">
        <f>AVERAGE(Ashed_controlls!$K$2:$K$11)</f>
        <v>5.5147656768714146</v>
      </c>
      <c r="N175" s="267">
        <f t="shared" si="11"/>
        <v>1.6602945375260156</v>
      </c>
      <c r="O175" s="267">
        <f>IF(IFERROR(INDEX('Both teabags AfterDry'!$D$3:$D$900,MATCH(J175,'Both teabags AfterDry'!$A$3:$A$900,0)),"")="","",(IFERROR(INDEX('Both teabags AfterDry'!$D$3:$D$900,MATCH(J175,'Both teabags AfterDry'!$A$3:$A$900,0)),"")))</f>
        <v>0.80349999999999999</v>
      </c>
      <c r="P175" s="267">
        <f>IFERROR(IF(O175&gt;0,O175-(TBIcalc!$Q$9),""),"")</f>
        <v>0.65290000000000004</v>
      </c>
      <c r="Q175" s="278">
        <f>IFERROR(INDEX('Ashed teabags dry'!$K$2:$K$825,MATCH(J175,'Ashed teabags dry'!$A$2:$A$825,0)),"")</f>
        <v>24.860074626865973</v>
      </c>
      <c r="R175" s="278">
        <f t="shared" si="12"/>
        <v>0.49058857276119205</v>
      </c>
      <c r="S175" s="268">
        <f>'Dry_Litterbag Placem_Collection'!E176</f>
        <v>42940</v>
      </c>
      <c r="T175" s="268">
        <f>IF('Dry_Litterbag Placem_Collection'!G176="","",'Dry_Litterbag Placem_Collection'!G176)</f>
        <v>43009</v>
      </c>
      <c r="U175" s="269">
        <f t="shared" si="10"/>
        <v>69</v>
      </c>
      <c r="V175" s="267">
        <f t="shared" si="13"/>
        <v>1.1043000000000001</v>
      </c>
      <c r="W175" s="267">
        <f t="shared" si="14"/>
        <v>1.1697059647648236</v>
      </c>
      <c r="X175" s="271">
        <f>IFERROR(INDEX(Rainfall_Dry!$O$2:$O$217,MATCH(B175, Rainfall_Dry!$A$2:$A$217,0)),"")</f>
        <v>162.634207253</v>
      </c>
      <c r="Y175" s="260">
        <v>23.96</v>
      </c>
      <c r="Z175" s="260">
        <v>4.9199999999999982</v>
      </c>
      <c r="AA175" s="260">
        <v>71.12</v>
      </c>
      <c r="AB175" s="261" t="s">
        <v>2670</v>
      </c>
      <c r="AC175" s="260">
        <v>8.3091375061606705</v>
      </c>
      <c r="AD175">
        <f>IF('WetLitterbags placem_collection'!AB176="","",'WetLitterbags placem_collection'!AB176)</f>
        <v>7.4</v>
      </c>
      <c r="AE175">
        <f>IF('WetLitterbags placem_collection'!Z176="","",'WetLitterbags placem_collection'!Z176)</f>
        <v>7.4</v>
      </c>
      <c r="AF175" s="246" t="str">
        <f>IF('WetLitterbags placem_collection'!AA176="","",'WetLitterbags placem_collection'!AA176)</f>
        <v>O</v>
      </c>
      <c r="AG175">
        <f>IF('WetLitterbags placem_collection'!AC176="","",'WetLitterbags placem_collection'!AC176)</f>
        <v>0</v>
      </c>
      <c r="AH175">
        <f>IFERROR(AVERAGE('Dry_Litterbag Placem_Collection'!O176,'Dry_Litterbag Placem_Collection'!R176),"")</f>
        <v>5.9</v>
      </c>
      <c r="AI175" s="271">
        <f>IFERROR(AVERAGE('Dry_Litterbag Placem_Collection'!N176,'Dry_Litterbag Placem_Collection'!Q176),"")</f>
        <v>33.200000000000003</v>
      </c>
      <c r="AJ175" s="270">
        <f>INDEX(Coordinates!$B$2:$B$197,MATCH(G175,Coordinates!$J$2:$J$197,0))</f>
        <v>-2.2786809780000001</v>
      </c>
      <c r="AK175" s="270">
        <f>INDEX(Coordinates!$C$2:$C$197,MATCH(G175,Coordinates!$J$2:$J$197,0))</f>
        <v>34.02434899</v>
      </c>
      <c r="AL175" s="270" t="str">
        <f>IF(ISNUMBER(SEARCH("C", 'Dry_Litterbag Placem_Collection'!S176)),"YES","NO")</f>
        <v>NO</v>
      </c>
      <c r="AM175" s="270" t="str">
        <f>IF(ISNUMBER(SEARCH("H", 'Dry_Litterbag Placem_Collection'!S176)),"YES","NO")</f>
        <v>YES</v>
      </c>
      <c r="AN175" s="270" t="str">
        <f>IF(ISNUMBER(SEARCH("R", 'Dry_Litterbag Placem_Collection'!S176)),"YES","NO")</f>
        <v>YES</v>
      </c>
    </row>
    <row r="176" spans="1:40" ht="15" customHeight="1">
      <c r="A176" s="262" t="s">
        <v>2659</v>
      </c>
      <c r="B176" s="263">
        <f>'Dry_Litterbag Placem_Collection'!A177</f>
        <v>175</v>
      </c>
      <c r="C176" s="263" t="str">
        <f>'Dry_Litterbag Placem_Collection'!B177</f>
        <v>Handajega</v>
      </c>
      <c r="D176" s="263" t="s">
        <v>2460</v>
      </c>
      <c r="E176" s="263" t="s">
        <v>2661</v>
      </c>
      <c r="F176" s="263">
        <v>2</v>
      </c>
      <c r="G176" s="264" t="str">
        <f>'Dry_Litterbag Placem_Collection'!C177</f>
        <v>Wet_W2_T7</v>
      </c>
      <c r="H176" s="265" t="s">
        <v>2541</v>
      </c>
      <c r="I176" s="266" t="s">
        <v>1147</v>
      </c>
      <c r="J176" s="263" t="str">
        <f>IF(ISBLANK('Dry_Litterbag Placem_Collection'!J177),"","G"&amp;""&amp;'Dry_Litterbag Placem_Collection'!J177)</f>
        <v>G612</v>
      </c>
      <c r="K176" s="267">
        <f>IFERROR(INDEX('Green_rooibos initial weight'!$C$5:$C$1749,MATCH(J176, 'Green_rooibos initial weight'!$A$5:$A$1749,0)),"")</f>
        <v>2.004</v>
      </c>
      <c r="L176" s="267">
        <f>IFERROR(K176-(TBIcalc!$Q$9+TBIcalc!$Q$10),"")</f>
        <v>1.7542</v>
      </c>
      <c r="M176" s="391">
        <f>AVERAGE(Ashed_controlls!$K$2:$K$11)</f>
        <v>5.5147656768714146</v>
      </c>
      <c r="N176" s="267">
        <f t="shared" si="11"/>
        <v>1.6574599804963217</v>
      </c>
      <c r="O176" s="267">
        <f>IF(IFERROR(INDEX('Both teabags AfterDry'!$D$3:$D$900,MATCH(J176,'Both teabags AfterDry'!$A$3:$A$900,0)),"")="","",(IFERROR(INDEX('Both teabags AfterDry'!$D$3:$D$900,MATCH(J176,'Both teabags AfterDry'!$A$3:$A$900,0)),"")))</f>
        <v>0.83</v>
      </c>
      <c r="P176" s="267">
        <f>IFERROR(IF(O176&gt;0,O176-(TBIcalc!$Q$9),""),"")</f>
        <v>0.6794</v>
      </c>
      <c r="Q176" s="278">
        <f>IFERROR(INDEX('Ashed teabags dry'!$K$2:$K$825,MATCH(J176,'Ashed teabags dry'!$A$2:$A$825,0)),"")</f>
        <v>28.902765388045704</v>
      </c>
      <c r="R176" s="278">
        <f t="shared" si="12"/>
        <v>0.48303461195361752</v>
      </c>
      <c r="S176" s="268">
        <f>'Dry_Litterbag Placem_Collection'!E177</f>
        <v>42940</v>
      </c>
      <c r="T176" s="268">
        <f>IF('Dry_Litterbag Placem_Collection'!G177="","",'Dry_Litterbag Placem_Collection'!G177)</f>
        <v>43009</v>
      </c>
      <c r="U176" s="269">
        <f t="shared" si="10"/>
        <v>69</v>
      </c>
      <c r="V176" s="267">
        <f t="shared" si="13"/>
        <v>1.0748</v>
      </c>
      <c r="W176" s="267">
        <f t="shared" si="14"/>
        <v>1.1744253685427042</v>
      </c>
      <c r="X176" s="271">
        <f>IFERROR(INDEX(Rainfall_Dry!$O$2:$O$217,MATCH(B176, Rainfall_Dry!$A$2:$A$217,0)),"")</f>
        <v>162.634207253</v>
      </c>
      <c r="Y176" s="260">
        <v>23.96</v>
      </c>
      <c r="Z176" s="260">
        <v>4.9199999999999982</v>
      </c>
      <c r="AA176" s="260">
        <v>71.12</v>
      </c>
      <c r="AB176" s="261" t="s">
        <v>2670</v>
      </c>
      <c r="AC176" s="260">
        <v>9.3091375061606705</v>
      </c>
      <c r="AD176">
        <f>IF('WetLitterbags placem_collection'!AB177="","",'WetLitterbags placem_collection'!AB177)</f>
        <v>15.4</v>
      </c>
      <c r="AE176">
        <f>IF('WetLitterbags placem_collection'!Z177="","",'WetLitterbags placem_collection'!Z177)</f>
        <v>9.8000000000000007</v>
      </c>
      <c r="AF176" s="246" t="str">
        <f>IF('WetLitterbags placem_collection'!AA177="","",'WetLitterbags placem_collection'!AA177)</f>
        <v>O</v>
      </c>
      <c r="AG176">
        <f>IF('WetLitterbags placem_collection'!AC177="","",'WetLitterbags placem_collection'!AC177)</f>
        <v>1</v>
      </c>
      <c r="AH176">
        <f>IFERROR(AVERAGE('Dry_Litterbag Placem_Collection'!O177,'Dry_Litterbag Placem_Collection'!R177),"")</f>
        <v>5.9499999999999993</v>
      </c>
      <c r="AI176" s="271">
        <f>IFERROR(AVERAGE('Dry_Litterbag Placem_Collection'!N177,'Dry_Litterbag Placem_Collection'!Q177),"")</f>
        <v>34.049999999999997</v>
      </c>
      <c r="AJ176" s="270">
        <f>INDEX(Coordinates!$B$2:$B$197,MATCH(G176,Coordinates!$J$2:$J$197,0))</f>
        <v>-2.2784219779999999</v>
      </c>
      <c r="AK176" s="270">
        <f>INDEX(Coordinates!$C$2:$C$197,MATCH(G176,Coordinates!$J$2:$J$197,0))</f>
        <v>34.024374979999997</v>
      </c>
      <c r="AL176" s="270" t="str">
        <f>IF(ISNUMBER(SEARCH("C", 'Dry_Litterbag Placem_Collection'!S177)),"YES","NO")</f>
        <v>NO</v>
      </c>
      <c r="AM176" s="270" t="str">
        <f>IF(ISNUMBER(SEARCH("H", 'Dry_Litterbag Placem_Collection'!S177)),"YES","NO")</f>
        <v>YES</v>
      </c>
      <c r="AN176" s="270" t="str">
        <f>IF(ISNUMBER(SEARCH("R", 'Dry_Litterbag Placem_Collection'!S177)),"YES","NO")</f>
        <v>YES</v>
      </c>
    </row>
    <row r="177" spans="1:40" ht="15" customHeight="1">
      <c r="A177" s="262" t="s">
        <v>2659</v>
      </c>
      <c r="B177" s="263">
        <f>'Dry_Litterbag Placem_Collection'!A178</f>
        <v>176</v>
      </c>
      <c r="C177" s="263" t="str">
        <f>'Dry_Litterbag Placem_Collection'!B178</f>
        <v>Handajega</v>
      </c>
      <c r="D177" s="263" t="s">
        <v>2460</v>
      </c>
      <c r="E177" s="263" t="s">
        <v>2661</v>
      </c>
      <c r="F177" s="263">
        <v>2</v>
      </c>
      <c r="G177" s="264" t="str">
        <f>'Dry_Litterbag Placem_Collection'!C178</f>
        <v>Wet_W2_T8</v>
      </c>
      <c r="H177" s="265" t="s">
        <v>2541</v>
      </c>
      <c r="I177" s="266" t="s">
        <v>1147</v>
      </c>
      <c r="J177" s="263" t="str">
        <f>IF(ISBLANK('Dry_Litterbag Placem_Collection'!J178),"","G"&amp;""&amp;'Dry_Litterbag Placem_Collection'!J178)</f>
        <v>G183</v>
      </c>
      <c r="K177" s="267">
        <f>IFERROR(INDEX('Green_rooibos initial weight'!$C$5:$C$1749,MATCH(J177, 'Green_rooibos initial weight'!$A$5:$A$1749,0)),"")</f>
        <v>1.897</v>
      </c>
      <c r="L177" s="267">
        <f>IFERROR(K177-(TBIcalc!$Q$9+TBIcalc!$Q$10),"")</f>
        <v>1.6472</v>
      </c>
      <c r="M177" s="391">
        <f>AVERAGE(Ashed_controlls!$K$2:$K$11)</f>
        <v>5.5147656768714146</v>
      </c>
      <c r="N177" s="267">
        <f t="shared" si="11"/>
        <v>1.5563607797705741</v>
      </c>
      <c r="O177" s="267">
        <f>IF(IFERROR(INDEX('Both teabags AfterDry'!$D$3:$D$900,MATCH(J177,'Both teabags AfterDry'!$A$3:$A$900,0)),"")="","",(IFERROR(INDEX('Both teabags AfterDry'!$D$3:$D$900,MATCH(J177,'Both teabags AfterDry'!$A$3:$A$900,0)),"")))</f>
        <v>0.92459999999999998</v>
      </c>
      <c r="P177" s="267">
        <f>IFERROR(IF(O177&gt;0,O177-(TBIcalc!$Q$9),""),"")</f>
        <v>0.77400000000000002</v>
      </c>
      <c r="Q177" s="278">
        <f>IFERROR(INDEX('Ashed teabags dry'!$K$2:$K$825,MATCH(J177,'Ashed teabags dry'!$A$2:$A$825,0)),"")</f>
        <v>36.390532544378914</v>
      </c>
      <c r="R177" s="278">
        <f t="shared" si="12"/>
        <v>0.49233727810650724</v>
      </c>
      <c r="S177" s="268">
        <f>'Dry_Litterbag Placem_Collection'!E178</f>
        <v>42940</v>
      </c>
      <c r="T177" s="268">
        <f>IF('Dry_Litterbag Placem_Collection'!G178="","",'Dry_Litterbag Placem_Collection'!G178)</f>
        <v>43009</v>
      </c>
      <c r="U177" s="269">
        <f t="shared" si="10"/>
        <v>69</v>
      </c>
      <c r="V177" s="267">
        <f t="shared" si="13"/>
        <v>0.87319999999999998</v>
      </c>
      <c r="W177" s="267">
        <f t="shared" si="14"/>
        <v>1.0640235016640669</v>
      </c>
      <c r="X177" s="271">
        <f>IFERROR(INDEX(Rainfall_Dry!$O$2:$O$217,MATCH(B177, Rainfall_Dry!$A$2:$A$217,0)),"")</f>
        <v>162.634207253</v>
      </c>
      <c r="Y177" s="260">
        <v>23.96</v>
      </c>
      <c r="Z177" s="260">
        <v>4.9199999999999982</v>
      </c>
      <c r="AA177" s="260">
        <v>71.12</v>
      </c>
      <c r="AB177" s="261" t="s">
        <v>2670</v>
      </c>
      <c r="AC177" s="260">
        <v>10.309137506160701</v>
      </c>
      <c r="AD177">
        <f>IF('WetLitterbags placem_collection'!AB178="","",'WetLitterbags placem_collection'!AB178)</f>
        <v>6.8</v>
      </c>
      <c r="AE177">
        <f>IF('WetLitterbags placem_collection'!Z178="","",'WetLitterbags placem_collection'!Z178)</f>
        <v>6.9</v>
      </c>
      <c r="AF177" s="246" t="str">
        <f>IF('WetLitterbags placem_collection'!AA178="","",'WetLitterbags placem_collection'!AA178)</f>
        <v>O</v>
      </c>
      <c r="AG177">
        <f>IF('WetLitterbags placem_collection'!AC178="","",'WetLitterbags placem_collection'!AC178)</f>
        <v>0</v>
      </c>
      <c r="AH177">
        <f>IFERROR(AVERAGE('Dry_Litterbag Placem_Collection'!O178,'Dry_Litterbag Placem_Collection'!R178),"")</f>
        <v>4.5999999999999996</v>
      </c>
      <c r="AI177" s="271">
        <f>IFERROR(AVERAGE('Dry_Litterbag Placem_Collection'!N178,'Dry_Litterbag Placem_Collection'!Q178),"")</f>
        <v>34.5</v>
      </c>
      <c r="AJ177" s="270">
        <f>INDEX(Coordinates!$B$2:$B$197,MATCH(G177,Coordinates!$J$2:$J$197,0))</f>
        <v>-2.2782909679999999</v>
      </c>
      <c r="AK177" s="270">
        <f>INDEX(Coordinates!$C$2:$C$197,MATCH(G177,Coordinates!$J$2:$J$197,0))</f>
        <v>34.024574970000003</v>
      </c>
      <c r="AL177" s="270" t="str">
        <f>IF(ISNUMBER(SEARCH("C", 'Dry_Litterbag Placem_Collection'!S178)),"YES","NO")</f>
        <v>NO</v>
      </c>
      <c r="AM177" s="270" t="str">
        <f>IF(ISNUMBER(SEARCH("H", 'Dry_Litterbag Placem_Collection'!S178)),"YES","NO")</f>
        <v>YES</v>
      </c>
      <c r="AN177" s="270" t="str">
        <f>IF(ISNUMBER(SEARCH("R", 'Dry_Litterbag Placem_Collection'!S178)),"YES","NO")</f>
        <v>YES</v>
      </c>
    </row>
    <row r="178" spans="1:40" ht="15" customHeight="1">
      <c r="A178" s="262" t="s">
        <v>2659</v>
      </c>
      <c r="B178" s="263">
        <f>'Dry_Litterbag Placem_Collection'!A179</f>
        <v>177</v>
      </c>
      <c r="C178" s="263" t="str">
        <f>'Dry_Litterbag Placem_Collection'!B179</f>
        <v>Handajega</v>
      </c>
      <c r="D178" s="263" t="s">
        <v>2460</v>
      </c>
      <c r="E178" s="263" t="s">
        <v>2661</v>
      </c>
      <c r="F178" s="263">
        <v>3</v>
      </c>
      <c r="G178" s="264" t="str">
        <f>'Dry_Litterbag Placem_Collection'!C179</f>
        <v>Wet_W3_T1</v>
      </c>
      <c r="H178" s="265" t="s">
        <v>2541</v>
      </c>
      <c r="I178" s="266" t="s">
        <v>1147</v>
      </c>
      <c r="J178" s="263" t="str">
        <f>IF(ISBLANK('Dry_Litterbag Placem_Collection'!J179),"","G"&amp;""&amp;'Dry_Litterbag Placem_Collection'!J179)</f>
        <v>G98</v>
      </c>
      <c r="K178" s="267">
        <f>IFERROR(INDEX('Green_rooibos initial weight'!$C$5:$C$1749,MATCH(J178, 'Green_rooibos initial weight'!$A$5:$A$1749,0)),"")</f>
        <v>2.0979999999999999</v>
      </c>
      <c r="L178" s="267">
        <f>IFERROR(K178-(TBIcalc!$Q$9+TBIcalc!$Q$10),"")</f>
        <v>1.8481999999999998</v>
      </c>
      <c r="M178" s="391">
        <f>AVERAGE(Ashed_controlls!$K$2:$K$11)</f>
        <v>5.5147656768714146</v>
      </c>
      <c r="N178" s="267">
        <f t="shared" si="11"/>
        <v>1.7462761007600625</v>
      </c>
      <c r="O178" s="267" t="str">
        <f>IF(IFERROR(INDEX('Both teabags AfterDry'!$D$3:$D$900,MATCH(J178,'Both teabags AfterDry'!$A$3:$A$900,0)),"")="","",(IFERROR(INDEX('Both teabags AfterDry'!$D$3:$D$900,MATCH(J178,'Both teabags AfterDry'!$A$3:$A$900,0)),"")))</f>
        <v/>
      </c>
      <c r="P178" s="267" t="str">
        <f>IFERROR(IF(O178&gt;0,O178-(TBIcalc!$Q$9),""),"")</f>
        <v/>
      </c>
      <c r="Q178" s="278" t="str">
        <f>IFERROR(INDEX('Ashed teabags dry'!$K$2:$K$825,MATCH(J178,'Ashed teabags dry'!$A$2:$A$825,0)),"")</f>
        <v/>
      </c>
      <c r="R178" s="278" t="str">
        <f t="shared" si="12"/>
        <v/>
      </c>
      <c r="S178" s="268">
        <f>'Dry_Litterbag Placem_Collection'!E179</f>
        <v>42940</v>
      </c>
      <c r="T178" s="268">
        <f>IF('Dry_Litterbag Placem_Collection'!G179="","",'Dry_Litterbag Placem_Collection'!G179)</f>
        <v>43009</v>
      </c>
      <c r="U178" s="269">
        <f t="shared" si="10"/>
        <v>69</v>
      </c>
      <c r="V178" s="267" t="str">
        <f t="shared" si="13"/>
        <v/>
      </c>
      <c r="W178" s="267" t="str">
        <f t="shared" si="14"/>
        <v/>
      </c>
      <c r="X178" s="271">
        <f>IFERROR(INDEX(Rainfall_Dry!$O$2:$O$217,MATCH(B178, Rainfall_Dry!$A$2:$A$217,0)),"")</f>
        <v>162.634207253</v>
      </c>
      <c r="Y178" s="260">
        <v>25.96</v>
      </c>
      <c r="Z178" s="260">
        <v>8.9200000000000017</v>
      </c>
      <c r="AA178" s="260">
        <v>65.12</v>
      </c>
      <c r="AB178" s="261" t="s">
        <v>2670</v>
      </c>
      <c r="AC178" s="260">
        <v>1.614588467225234</v>
      </c>
      <c r="AD178">
        <f>IF('WetLitterbags placem_collection'!AB179="","",'WetLitterbags placem_collection'!AB179)</f>
        <v>17.8</v>
      </c>
      <c r="AE178">
        <f>IF('WetLitterbags placem_collection'!Z179="","",'WetLitterbags placem_collection'!Z179)</f>
        <v>25.8</v>
      </c>
      <c r="AF178" s="246" t="str">
        <f>IF('WetLitterbags placem_collection'!AA179="","",'WetLitterbags placem_collection'!AA179)</f>
        <v>O</v>
      </c>
      <c r="AG178">
        <f>IF('WetLitterbags placem_collection'!AC179="","",'WetLitterbags placem_collection'!AC179)</f>
        <v>0</v>
      </c>
      <c r="AH178">
        <f>IFERROR(AVERAGE('Dry_Litterbag Placem_Collection'!O179,'Dry_Litterbag Placem_Collection'!R179),"")</f>
        <v>4.6999999999999993</v>
      </c>
      <c r="AI178" s="271">
        <f>IFERROR(AVERAGE('Dry_Litterbag Placem_Collection'!N179,'Dry_Litterbag Placem_Collection'!Q179),"")</f>
        <v>34.150000000000006</v>
      </c>
      <c r="AJ178" s="270">
        <f>INDEX(Coordinates!$B$2:$B$197,MATCH(G178,Coordinates!$J$2:$J$197,0))</f>
        <v>-2.277740026</v>
      </c>
      <c r="AK178" s="270">
        <f>INDEX(Coordinates!$C$2:$C$197,MATCH(G178,Coordinates!$J$2:$J$197,0))</f>
        <v>34.027640990000002</v>
      </c>
      <c r="AL178" s="270" t="str">
        <f>IF(ISNUMBER(SEARCH("C", 'Dry_Litterbag Placem_Collection'!S179)),"YES","NO")</f>
        <v>NO</v>
      </c>
      <c r="AM178" s="270" t="str">
        <f>IF(ISNUMBER(SEARCH("H", 'Dry_Litterbag Placem_Collection'!S179)),"YES","NO")</f>
        <v>YES</v>
      </c>
      <c r="AN178" s="270" t="str">
        <f>IF(ISNUMBER(SEARCH("R", 'Dry_Litterbag Placem_Collection'!S179)),"YES","NO")</f>
        <v>YES</v>
      </c>
    </row>
    <row r="179" spans="1:40" ht="15" customHeight="1">
      <c r="A179" s="262" t="s">
        <v>2659</v>
      </c>
      <c r="B179" s="263">
        <f>'Dry_Litterbag Placem_Collection'!A180</f>
        <v>178</v>
      </c>
      <c r="C179" s="263" t="str">
        <f>'Dry_Litterbag Placem_Collection'!B180</f>
        <v>Handajega</v>
      </c>
      <c r="D179" s="263" t="s">
        <v>2460</v>
      </c>
      <c r="E179" s="263" t="s">
        <v>2661</v>
      </c>
      <c r="F179" s="263">
        <v>3</v>
      </c>
      <c r="G179" s="264" t="str">
        <f>'Dry_Litterbag Placem_Collection'!C180</f>
        <v>Wet_W3_T2</v>
      </c>
      <c r="H179" s="265" t="s">
        <v>2541</v>
      </c>
      <c r="I179" s="266" t="s">
        <v>1147</v>
      </c>
      <c r="J179" s="263" t="str">
        <f>IF(ISBLANK('Dry_Litterbag Placem_Collection'!J180),"","G"&amp;""&amp;'Dry_Litterbag Placem_Collection'!J180)</f>
        <v>G353</v>
      </c>
      <c r="K179" s="267">
        <f>IFERROR(INDEX('Green_rooibos initial weight'!$C$5:$C$1749,MATCH(J179, 'Green_rooibos initial weight'!$A$5:$A$1749,0)),"")</f>
        <v>1.988</v>
      </c>
      <c r="L179" s="267">
        <f>IFERROR(K179-(TBIcalc!$Q$9+TBIcalc!$Q$10),"")</f>
        <v>1.7382</v>
      </c>
      <c r="M179" s="391">
        <f>AVERAGE(Ashed_controlls!$K$2:$K$11)</f>
        <v>5.5147656768714146</v>
      </c>
      <c r="N179" s="267">
        <f t="shared" si="11"/>
        <v>1.6423423430046211</v>
      </c>
      <c r="O179" s="267">
        <f>IF(IFERROR(INDEX('Both teabags AfterDry'!$D$3:$D$900,MATCH(J179,'Both teabags AfterDry'!$A$3:$A$900,0)),"")="","",(IFERROR(INDEX('Both teabags AfterDry'!$D$3:$D$900,MATCH(J179,'Both teabags AfterDry'!$A$3:$A$900,0)),"")))</f>
        <v>0.80569999999999997</v>
      </c>
      <c r="P179" s="267">
        <f>IFERROR(IF(O179&gt;0,O179-(TBIcalc!$Q$9),""),"")</f>
        <v>0.65510000000000002</v>
      </c>
      <c r="Q179" s="278">
        <f>IFERROR(INDEX('Ashed teabags dry'!$K$2:$K$825,MATCH(J179,'Ashed teabags dry'!$A$2:$A$825,0)),"")</f>
        <v>27.451946771808881</v>
      </c>
      <c r="R179" s="278">
        <f t="shared" si="12"/>
        <v>0.47526229669788</v>
      </c>
      <c r="S179" s="268">
        <f>'Dry_Litterbag Placem_Collection'!E180</f>
        <v>42940</v>
      </c>
      <c r="T179" s="268">
        <f>IF('Dry_Litterbag Placem_Collection'!G180="","",'Dry_Litterbag Placem_Collection'!G180)</f>
        <v>43009</v>
      </c>
      <c r="U179" s="269">
        <f t="shared" si="10"/>
        <v>69</v>
      </c>
      <c r="V179" s="267">
        <f t="shared" si="13"/>
        <v>1.0831</v>
      </c>
      <c r="W179" s="267">
        <f t="shared" si="14"/>
        <v>1.167080046306741</v>
      </c>
      <c r="X179" s="271">
        <f>IFERROR(INDEX(Rainfall_Dry!$O$2:$O$217,MATCH(B179, Rainfall_Dry!$A$2:$A$217,0)),"")</f>
        <v>162.634207253</v>
      </c>
      <c r="Y179" s="260">
        <v>25.96</v>
      </c>
      <c r="Z179" s="260">
        <v>8.9200000000000017</v>
      </c>
      <c r="AA179" s="260">
        <v>65.12</v>
      </c>
      <c r="AB179" s="261" t="s">
        <v>2670</v>
      </c>
      <c r="AC179" s="260">
        <v>2.61458846722523</v>
      </c>
      <c r="AD179">
        <f>IF('WetLitterbags placem_collection'!AB180="","",'WetLitterbags placem_collection'!AB180)</f>
        <v>15.4</v>
      </c>
      <c r="AE179">
        <f>IF('WetLitterbags placem_collection'!Z180="","",'WetLitterbags placem_collection'!Z180)</f>
        <v>18.8</v>
      </c>
      <c r="AF179" s="246" t="str">
        <f>IF('WetLitterbags placem_collection'!AA180="","",'WetLitterbags placem_collection'!AA180)</f>
        <v>O</v>
      </c>
      <c r="AG179">
        <f>IF('WetLitterbags placem_collection'!AC180="","",'WetLitterbags placem_collection'!AC180)</f>
        <v>1</v>
      </c>
      <c r="AH179">
        <f>IFERROR(AVERAGE('Dry_Litterbag Placem_Collection'!O180,'Dry_Litterbag Placem_Collection'!R180),"")</f>
        <v>4.5</v>
      </c>
      <c r="AI179" s="271">
        <f>IFERROR(AVERAGE('Dry_Litterbag Placem_Collection'!N180,'Dry_Litterbag Placem_Collection'!Q180),"")</f>
        <v>35.799999999999997</v>
      </c>
      <c r="AJ179" s="270">
        <f>INDEX(Coordinates!$B$2:$B$197,MATCH(G179,Coordinates!$J$2:$J$197,0))</f>
        <v>-2.2777889760000001</v>
      </c>
      <c r="AK179" s="270">
        <f>INDEX(Coordinates!$C$2:$C$197,MATCH(G179,Coordinates!$J$2:$J$197,0))</f>
        <v>34.027664960000003</v>
      </c>
      <c r="AL179" s="270" t="str">
        <f>IF(ISNUMBER(SEARCH("C", 'Dry_Litterbag Placem_Collection'!S180)),"YES","NO")</f>
        <v>NO</v>
      </c>
      <c r="AM179" s="270" t="str">
        <f>IF(ISNUMBER(SEARCH("H", 'Dry_Litterbag Placem_Collection'!S180)),"YES","NO")</f>
        <v>NO</v>
      </c>
      <c r="AN179" s="270" t="str">
        <f>IF(ISNUMBER(SEARCH("R", 'Dry_Litterbag Placem_Collection'!S180)),"YES","NO")</f>
        <v>YES</v>
      </c>
    </row>
    <row r="180" spans="1:40" ht="15" customHeight="1">
      <c r="A180" s="262" t="s">
        <v>2659</v>
      </c>
      <c r="B180" s="263">
        <f>'Dry_Litterbag Placem_Collection'!A181</f>
        <v>179</v>
      </c>
      <c r="C180" s="263" t="str">
        <f>'Dry_Litterbag Placem_Collection'!B181</f>
        <v>Handajega</v>
      </c>
      <c r="D180" s="263" t="s">
        <v>2460</v>
      </c>
      <c r="E180" s="263" t="s">
        <v>2661</v>
      </c>
      <c r="F180" s="263">
        <v>3</v>
      </c>
      <c r="G180" s="264" t="str">
        <f>'Dry_Litterbag Placem_Collection'!C181</f>
        <v>Wet_W3_T3</v>
      </c>
      <c r="H180" s="265" t="s">
        <v>2541</v>
      </c>
      <c r="I180" s="266" t="s">
        <v>1147</v>
      </c>
      <c r="J180" s="263" t="str">
        <f>IF(ISBLANK('Dry_Litterbag Placem_Collection'!J181),"","G"&amp;""&amp;'Dry_Litterbag Placem_Collection'!J181)</f>
        <v>G42</v>
      </c>
      <c r="K180" s="267">
        <f>IFERROR(INDEX('Green_rooibos initial weight'!$C$5:$C$1749,MATCH(J180, 'Green_rooibos initial weight'!$A$5:$A$1749,0)),"")</f>
        <v>1.9530000000000001</v>
      </c>
      <c r="L180" s="267">
        <f>IFERROR(K180-(TBIcalc!$Q$9+TBIcalc!$Q$10),"")</f>
        <v>1.7032</v>
      </c>
      <c r="M180" s="391">
        <f>AVERAGE(Ashed_controlls!$K$2:$K$11)</f>
        <v>5.5147656768714146</v>
      </c>
      <c r="N180" s="267">
        <f t="shared" si="11"/>
        <v>1.609272510991526</v>
      </c>
      <c r="O180" s="267" t="str">
        <f>IF(IFERROR(INDEX('Both teabags AfterDry'!$D$3:$D$900,MATCH(J180,'Both teabags AfterDry'!$A$3:$A$900,0)),"")="","",(IFERROR(INDEX('Both teabags AfterDry'!$D$3:$D$900,MATCH(J180,'Both teabags AfterDry'!$A$3:$A$900,0)),"")))</f>
        <v/>
      </c>
      <c r="P180" s="267" t="str">
        <f>IFERROR(IF(O180&gt;0,O180-(TBIcalc!$Q$9),""),"")</f>
        <v/>
      </c>
      <c r="Q180" s="278">
        <f>IFERROR(INDEX('Ashed teabags dry'!$K$2:$K$825,MATCH(J180,'Ashed teabags dry'!$A$2:$A$825,0)),"")</f>
        <v>41.121951219512503</v>
      </c>
      <c r="R180" s="278" t="str">
        <f t="shared" si="12"/>
        <v/>
      </c>
      <c r="S180" s="268">
        <f>'Dry_Litterbag Placem_Collection'!E181</f>
        <v>42940</v>
      </c>
      <c r="T180" s="268">
        <f>IF('Dry_Litterbag Placem_Collection'!G181="","",'Dry_Litterbag Placem_Collection'!G181)</f>
        <v>43009</v>
      </c>
      <c r="U180" s="269">
        <f t="shared" si="10"/>
        <v>69</v>
      </c>
      <c r="V180" s="267" t="str">
        <f t="shared" si="13"/>
        <v/>
      </c>
      <c r="W180" s="267" t="str">
        <f t="shared" si="14"/>
        <v/>
      </c>
      <c r="X180" s="271">
        <f>IFERROR(INDEX(Rainfall_Dry!$O$2:$O$217,MATCH(B180, Rainfall_Dry!$A$2:$A$217,0)),"")</f>
        <v>162.634207253</v>
      </c>
      <c r="Y180" s="260">
        <v>25.96</v>
      </c>
      <c r="Z180" s="260">
        <v>8.9200000000000017</v>
      </c>
      <c r="AA180" s="260">
        <v>65.12</v>
      </c>
      <c r="AB180" s="261" t="s">
        <v>2670</v>
      </c>
      <c r="AC180" s="260">
        <v>3.61458846722523</v>
      </c>
      <c r="AD180">
        <f>IF('WetLitterbags placem_collection'!AB181="","",'WetLitterbags placem_collection'!AB181)</f>
        <v>11.8</v>
      </c>
      <c r="AE180">
        <f>IF('WetLitterbags placem_collection'!Z181="","",'WetLitterbags placem_collection'!Z181)</f>
        <v>15.4</v>
      </c>
      <c r="AF180" s="246" t="str">
        <f>IF('WetLitterbags placem_collection'!AA181="","",'WetLitterbags placem_collection'!AA181)</f>
        <v>O</v>
      </c>
      <c r="AG180">
        <f>IF('WetLitterbags placem_collection'!AC181="","",'WetLitterbags placem_collection'!AC181)</f>
        <v>1</v>
      </c>
      <c r="AH180">
        <f>IFERROR(AVERAGE('Dry_Litterbag Placem_Collection'!O181,'Dry_Litterbag Placem_Collection'!R181),"")</f>
        <v>5.8</v>
      </c>
      <c r="AI180" s="271">
        <f>IFERROR(AVERAGE('Dry_Litterbag Placem_Collection'!N181,'Dry_Litterbag Placem_Collection'!Q181),"")</f>
        <v>34.75</v>
      </c>
      <c r="AJ180" s="270">
        <f>INDEX(Coordinates!$B$2:$B$197,MATCH(G180,Coordinates!$J$2:$J$197,0))</f>
        <v>-2.2778579589999999</v>
      </c>
      <c r="AK180" s="270">
        <f>INDEX(Coordinates!$C$2:$C$197,MATCH(G180,Coordinates!$J$2:$J$197,0))</f>
        <v>34.027682980000002</v>
      </c>
      <c r="AL180" s="270" t="str">
        <f>IF(ISNUMBER(SEARCH("C", 'Dry_Litterbag Placem_Collection'!S181)),"YES","NO")</f>
        <v>NO</v>
      </c>
      <c r="AM180" s="270" t="str">
        <f>IF(ISNUMBER(SEARCH("H", 'Dry_Litterbag Placem_Collection'!S181)),"YES","NO")</f>
        <v>NO</v>
      </c>
      <c r="AN180" s="270" t="str">
        <f>IF(ISNUMBER(SEARCH("R", 'Dry_Litterbag Placem_Collection'!S181)),"YES","NO")</f>
        <v>YES</v>
      </c>
    </row>
    <row r="181" spans="1:40" ht="15" customHeight="1">
      <c r="A181" s="262" t="s">
        <v>2659</v>
      </c>
      <c r="B181" s="263">
        <f>'Dry_Litterbag Placem_Collection'!A182</f>
        <v>180</v>
      </c>
      <c r="C181" s="263" t="str">
        <f>'Dry_Litterbag Placem_Collection'!B182</f>
        <v>Handajega</v>
      </c>
      <c r="D181" s="263" t="s">
        <v>2460</v>
      </c>
      <c r="E181" s="263" t="s">
        <v>2661</v>
      </c>
      <c r="F181" s="263">
        <v>3</v>
      </c>
      <c r="G181" s="264" t="str">
        <f>'Dry_Litterbag Placem_Collection'!C182</f>
        <v>Wet_W3_T4</v>
      </c>
      <c r="H181" s="265" t="s">
        <v>2541</v>
      </c>
      <c r="I181" s="266" t="s">
        <v>1147</v>
      </c>
      <c r="J181" s="263" t="str">
        <f>IF(ISBLANK('Dry_Litterbag Placem_Collection'!J182),"","G"&amp;""&amp;'Dry_Litterbag Placem_Collection'!J182)</f>
        <v>G245</v>
      </c>
      <c r="K181" s="267">
        <f>IFERROR(INDEX('Green_rooibos initial weight'!$C$5:$C$1749,MATCH(J181, 'Green_rooibos initial weight'!$A$5:$A$1749,0)),"")</f>
        <v>2.0150000000000001</v>
      </c>
      <c r="L181" s="267">
        <f>IFERROR(K181-(TBIcalc!$Q$9+TBIcalc!$Q$10),"")</f>
        <v>1.7652000000000001</v>
      </c>
      <c r="M181" s="391">
        <f>AVERAGE(Ashed_controlls!$K$2:$K$11)</f>
        <v>5.5147656768714146</v>
      </c>
      <c r="N181" s="267">
        <f t="shared" si="11"/>
        <v>1.6678533562718658</v>
      </c>
      <c r="O181" s="267">
        <f>IF(IFERROR(INDEX('Both teabags AfterDry'!$D$3:$D$900,MATCH(J181,'Both teabags AfterDry'!$A$3:$A$900,0)),"")="","",(IFERROR(INDEX('Both teabags AfterDry'!$D$3:$D$900,MATCH(J181,'Both teabags AfterDry'!$A$3:$A$900,0)),"")))</f>
        <v>0.81240000000000001</v>
      </c>
      <c r="P181" s="267">
        <f>IFERROR(IF(O181&gt;0,O181-(TBIcalc!$Q$9),""),"")</f>
        <v>0.66179999999999994</v>
      </c>
      <c r="Q181" s="278">
        <f>IFERROR(INDEX('Ashed teabags dry'!$K$2:$K$825,MATCH(J181,'Ashed teabags dry'!$A$2:$A$825,0)),"")</f>
        <v>19.084712755598879</v>
      </c>
      <c r="R181" s="278">
        <f t="shared" si="12"/>
        <v>0.53549737098344652</v>
      </c>
      <c r="S181" s="268">
        <f>'Dry_Litterbag Placem_Collection'!E182</f>
        <v>42940</v>
      </c>
      <c r="T181" s="268">
        <f>IF('Dry_Litterbag Placem_Collection'!G182="","",'Dry_Litterbag Placem_Collection'!G182)</f>
        <v>43009</v>
      </c>
      <c r="U181" s="269">
        <f t="shared" si="10"/>
        <v>69</v>
      </c>
      <c r="V181" s="267">
        <f t="shared" si="13"/>
        <v>1.1034000000000002</v>
      </c>
      <c r="W181" s="267">
        <f t="shared" si="14"/>
        <v>1.1323559852884193</v>
      </c>
      <c r="X181" s="271">
        <f>IFERROR(INDEX(Rainfall_Dry!$O$2:$O$217,MATCH(B181, Rainfall_Dry!$A$2:$A$217,0)),"")</f>
        <v>162.634207253</v>
      </c>
      <c r="Y181" s="260">
        <v>25.96</v>
      </c>
      <c r="Z181" s="260">
        <v>8.9200000000000017</v>
      </c>
      <c r="AA181" s="260">
        <v>65.12</v>
      </c>
      <c r="AB181" s="261" t="s">
        <v>2670</v>
      </c>
      <c r="AC181" s="260">
        <v>4.6145884672252304</v>
      </c>
      <c r="AD181">
        <f>IF('WetLitterbags placem_collection'!AB182="","",'WetLitterbags placem_collection'!AB182)</f>
        <v>8.3000000000000007</v>
      </c>
      <c r="AE181">
        <f>IF('WetLitterbags placem_collection'!Z182="","",'WetLitterbags placem_collection'!Z182)</f>
        <v>35</v>
      </c>
      <c r="AF181" s="246" t="str">
        <f>IF('WetLitterbags placem_collection'!AA182="","",'WetLitterbags placem_collection'!AA182)</f>
        <v>O</v>
      </c>
      <c r="AG181">
        <f>IF('WetLitterbags placem_collection'!AC182="","",'WetLitterbags placem_collection'!AC182)</f>
        <v>0</v>
      </c>
      <c r="AH181">
        <f>IFERROR(AVERAGE('Dry_Litterbag Placem_Collection'!O182,'Dry_Litterbag Placem_Collection'!R182),"")</f>
        <v>5.3</v>
      </c>
      <c r="AI181" s="271">
        <f>IFERROR(AVERAGE('Dry_Litterbag Placem_Collection'!N182,'Dry_Litterbag Placem_Collection'!Q182),"")</f>
        <v>31</v>
      </c>
      <c r="AJ181" s="270">
        <f>INDEX(Coordinates!$B$2:$B$197,MATCH(G181,Coordinates!$J$2:$J$197,0))</f>
        <v>-2.2780199809999999</v>
      </c>
      <c r="AK181" s="270">
        <f>INDEX(Coordinates!$C$2:$C$197,MATCH(G181,Coordinates!$J$2:$J$197,0))</f>
        <v>34.027705019999999</v>
      </c>
      <c r="AL181" s="270" t="str">
        <f>IF(ISNUMBER(SEARCH("C", 'Dry_Litterbag Placem_Collection'!S182)),"YES","NO")</f>
        <v>NO</v>
      </c>
      <c r="AM181" s="270" t="str">
        <f>IF(ISNUMBER(SEARCH("H", 'Dry_Litterbag Placem_Collection'!S182)),"YES","NO")</f>
        <v>NO</v>
      </c>
      <c r="AN181" s="270" t="str">
        <f>IF(ISNUMBER(SEARCH("R", 'Dry_Litterbag Placem_Collection'!S182)),"YES","NO")</f>
        <v>YES</v>
      </c>
    </row>
    <row r="182" spans="1:40" ht="15" customHeight="1">
      <c r="A182" s="262" t="s">
        <v>2659</v>
      </c>
      <c r="B182" s="263">
        <f>'Dry_Litterbag Placem_Collection'!A183</f>
        <v>181</v>
      </c>
      <c r="C182" s="263" t="str">
        <f>'Dry_Litterbag Placem_Collection'!B183</f>
        <v>Handajega</v>
      </c>
      <c r="D182" s="263" t="s">
        <v>2460</v>
      </c>
      <c r="E182" s="263" t="s">
        <v>2661</v>
      </c>
      <c r="F182" s="263">
        <v>3</v>
      </c>
      <c r="G182" s="264" t="str">
        <f>'Dry_Litterbag Placem_Collection'!C183</f>
        <v>Wet_W3_T5</v>
      </c>
      <c r="H182" s="265" t="s">
        <v>2541</v>
      </c>
      <c r="I182" s="266" t="s">
        <v>1147</v>
      </c>
      <c r="J182" s="263" t="str">
        <f>IF(ISBLANK('Dry_Litterbag Placem_Collection'!J183),"","G"&amp;""&amp;'Dry_Litterbag Placem_Collection'!J183)</f>
        <v>G411</v>
      </c>
      <c r="K182" s="267">
        <f>IFERROR(INDEX('Green_rooibos initial weight'!$C$5:$C$1749,MATCH(J182, 'Green_rooibos initial weight'!$A$5:$A$1749,0)),"")</f>
        <v>2.1120000000000001</v>
      </c>
      <c r="L182" s="267">
        <f>IFERROR(K182-(TBIcalc!$Q$9+TBIcalc!$Q$10),"")</f>
        <v>1.8622000000000001</v>
      </c>
      <c r="M182" s="391">
        <f>AVERAGE(Ashed_controlls!$K$2:$K$11)</f>
        <v>5.5147656768714146</v>
      </c>
      <c r="N182" s="267">
        <f t="shared" si="11"/>
        <v>1.7595040335653005</v>
      </c>
      <c r="O182" s="267">
        <f>IF(IFERROR(INDEX('Both teabags AfterDry'!$D$3:$D$900,MATCH(J182,'Both teabags AfterDry'!$A$3:$A$900,0)),"")="","",(IFERROR(INDEX('Both teabags AfterDry'!$D$3:$D$900,MATCH(J182,'Both teabags AfterDry'!$A$3:$A$900,0)),"")))</f>
        <v>0.76629999999999998</v>
      </c>
      <c r="P182" s="267">
        <f>IFERROR(IF(O182&gt;0,O182-(TBIcalc!$Q$9),""),"")</f>
        <v>0.61569999999999991</v>
      </c>
      <c r="Q182" s="278">
        <f>IFERROR(INDEX('Ashed teabags dry'!$K$2:$K$825,MATCH(J182,'Ashed teabags dry'!$A$2:$A$825,0)),"")</f>
        <v>18.218018914882634</v>
      </c>
      <c r="R182" s="278">
        <f t="shared" si="12"/>
        <v>0.50353165754106755</v>
      </c>
      <c r="S182" s="268">
        <f>'Dry_Litterbag Placem_Collection'!E183</f>
        <v>42940</v>
      </c>
      <c r="T182" s="268">
        <f>IF('Dry_Litterbag Placem_Collection'!G183="","",'Dry_Litterbag Placem_Collection'!G183)</f>
        <v>43009</v>
      </c>
      <c r="U182" s="269">
        <f t="shared" si="10"/>
        <v>69</v>
      </c>
      <c r="V182" s="267">
        <f t="shared" si="13"/>
        <v>1.2465000000000002</v>
      </c>
      <c r="W182" s="267">
        <f t="shared" si="14"/>
        <v>1.255972376024233</v>
      </c>
      <c r="X182" s="271">
        <f>IFERROR(INDEX(Rainfall_Dry!$O$2:$O$217,MATCH(B182, Rainfall_Dry!$A$2:$A$217,0)),"")</f>
        <v>162.634207253</v>
      </c>
      <c r="Y182" s="260">
        <v>25.96</v>
      </c>
      <c r="Z182" s="260">
        <v>8.9200000000000017</v>
      </c>
      <c r="AA182" s="260">
        <v>65.12</v>
      </c>
      <c r="AB182" s="261" t="s">
        <v>2670</v>
      </c>
      <c r="AC182" s="260">
        <v>5.6145884672252304</v>
      </c>
      <c r="AD182">
        <f>IF('WetLitterbags placem_collection'!AB183="","",'WetLitterbags placem_collection'!AB183)</f>
        <v>11.4</v>
      </c>
      <c r="AE182">
        <f>IF('WetLitterbags placem_collection'!Z183="","",'WetLitterbags placem_collection'!Z183)</f>
        <v>15.8</v>
      </c>
      <c r="AF182" s="246" t="str">
        <f>IF('WetLitterbags placem_collection'!AA183="","",'WetLitterbags placem_collection'!AA183)</f>
        <v>O</v>
      </c>
      <c r="AG182">
        <f>IF('WetLitterbags placem_collection'!AC183="","",'WetLitterbags placem_collection'!AC183)</f>
        <v>1</v>
      </c>
      <c r="AH182">
        <f>IFERROR(AVERAGE('Dry_Litterbag Placem_Collection'!O183,'Dry_Litterbag Placem_Collection'!R183),"")</f>
        <v>4.3000000000000007</v>
      </c>
      <c r="AI182" s="271">
        <f>IFERROR(AVERAGE('Dry_Litterbag Placem_Collection'!N183,'Dry_Litterbag Placem_Collection'!Q183),"")</f>
        <v>35.099999999999994</v>
      </c>
      <c r="AJ182" s="270">
        <f>INDEX(Coordinates!$B$2:$B$197,MATCH(G182,Coordinates!$J$2:$J$197,0))</f>
        <v>-2.2777329850000001</v>
      </c>
      <c r="AK182" s="270">
        <f>INDEX(Coordinates!$C$2:$C$197,MATCH(G182,Coordinates!$J$2:$J$197,0))</f>
        <v>34.027422970000003</v>
      </c>
      <c r="AL182" s="270" t="str">
        <f>IF(ISNUMBER(SEARCH("C", 'Dry_Litterbag Placem_Collection'!S183)),"YES","NO")</f>
        <v>NO</v>
      </c>
      <c r="AM182" s="270" t="str">
        <f>IF(ISNUMBER(SEARCH("H", 'Dry_Litterbag Placem_Collection'!S183)),"YES","NO")</f>
        <v>NO</v>
      </c>
      <c r="AN182" s="270" t="str">
        <f>IF(ISNUMBER(SEARCH("R", 'Dry_Litterbag Placem_Collection'!S183)),"YES","NO")</f>
        <v>YES</v>
      </c>
    </row>
    <row r="183" spans="1:40" ht="15" customHeight="1">
      <c r="A183" s="262" t="s">
        <v>2659</v>
      </c>
      <c r="B183" s="263">
        <f>'Dry_Litterbag Placem_Collection'!A184</f>
        <v>182</v>
      </c>
      <c r="C183" s="263" t="str">
        <f>'Dry_Litterbag Placem_Collection'!B184</f>
        <v>Handajega</v>
      </c>
      <c r="D183" s="263" t="s">
        <v>2460</v>
      </c>
      <c r="E183" s="263" t="s">
        <v>2661</v>
      </c>
      <c r="F183" s="263">
        <v>3</v>
      </c>
      <c r="G183" s="264" t="str">
        <f>'Dry_Litterbag Placem_Collection'!C184</f>
        <v>Wet_W3_T6</v>
      </c>
      <c r="H183" s="265" t="s">
        <v>2541</v>
      </c>
      <c r="I183" s="266" t="s">
        <v>1147</v>
      </c>
      <c r="J183" s="263" t="str">
        <f>IF(ISBLANK('Dry_Litterbag Placem_Collection'!J184),"","G"&amp;""&amp;'Dry_Litterbag Placem_Collection'!J184)</f>
        <v>G309</v>
      </c>
      <c r="K183" s="267">
        <f>IFERROR(INDEX('Green_rooibos initial weight'!$C$5:$C$1749,MATCH(J183, 'Green_rooibos initial weight'!$A$5:$A$1749,0)),"")</f>
        <v>2.0579999999999998</v>
      </c>
      <c r="L183" s="267">
        <f>IFERROR(K183-(TBIcalc!$Q$9+TBIcalc!$Q$10),"")</f>
        <v>1.8081999999999998</v>
      </c>
      <c r="M183" s="391">
        <f>AVERAGE(Ashed_controlls!$K$2:$K$11)</f>
        <v>5.5147656768714146</v>
      </c>
      <c r="N183" s="267">
        <f t="shared" si="11"/>
        <v>1.7084820070308109</v>
      </c>
      <c r="O183" s="267">
        <f>IF(IFERROR(INDEX('Both teabags AfterDry'!$D$3:$D$900,MATCH(J183,'Both teabags AfterDry'!$A$3:$A$900,0)),"")="","",(IFERROR(INDEX('Both teabags AfterDry'!$D$3:$D$900,MATCH(J183,'Both teabags AfterDry'!$A$3:$A$900,0)),"")))</f>
        <v>0.88170000000000004</v>
      </c>
      <c r="P183" s="267">
        <f>IFERROR(IF(O183&gt;0,O183-(TBIcalc!$Q$9),""),"")</f>
        <v>0.73110000000000008</v>
      </c>
      <c r="Q183" s="278">
        <f>IFERROR(INDEX('Ashed teabags dry'!$K$2:$K$825,MATCH(J183,'Ashed teabags dry'!$A$2:$A$825,0)),"")</f>
        <v>34.288537549406669</v>
      </c>
      <c r="R183" s="278">
        <f t="shared" si="12"/>
        <v>0.48041650197628794</v>
      </c>
      <c r="S183" s="268">
        <f>'Dry_Litterbag Placem_Collection'!E184</f>
        <v>42940</v>
      </c>
      <c r="T183" s="268">
        <f>IF('Dry_Litterbag Placem_Collection'!G184="","",'Dry_Litterbag Placem_Collection'!G184)</f>
        <v>43009</v>
      </c>
      <c r="U183" s="269">
        <f t="shared" si="10"/>
        <v>69</v>
      </c>
      <c r="V183" s="267">
        <f t="shared" si="13"/>
        <v>1.0770999999999997</v>
      </c>
      <c r="W183" s="267">
        <f t="shared" si="14"/>
        <v>1.2280655050545231</v>
      </c>
      <c r="X183" s="271">
        <f>IFERROR(INDEX(Rainfall_Dry!$O$2:$O$217,MATCH(B183, Rainfall_Dry!$A$2:$A$217,0)),"")</f>
        <v>162.634207253</v>
      </c>
      <c r="Y183" s="260">
        <v>25.96</v>
      </c>
      <c r="Z183" s="260">
        <v>8.9200000000000017</v>
      </c>
      <c r="AA183" s="260">
        <v>65.12</v>
      </c>
      <c r="AB183" s="261" t="s">
        <v>2670</v>
      </c>
      <c r="AC183" s="260">
        <v>6.6145884672252304</v>
      </c>
      <c r="AD183">
        <f>IF('WetLitterbags placem_collection'!AB184="","",'WetLitterbags placem_collection'!AB184)</f>
        <v>8.8000000000000007</v>
      </c>
      <c r="AE183">
        <f>IF('WetLitterbags placem_collection'!Z184="","",'WetLitterbags placem_collection'!Z184)</f>
        <v>15.8</v>
      </c>
      <c r="AF183" s="246" t="str">
        <f>IF('WetLitterbags placem_collection'!AA184="","",'WetLitterbags placem_collection'!AA184)</f>
        <v>O</v>
      </c>
      <c r="AG183">
        <f>IF('WetLitterbags placem_collection'!AC184="","",'WetLitterbags placem_collection'!AC184)</f>
        <v>1</v>
      </c>
      <c r="AH183">
        <f>IFERROR(AVERAGE('Dry_Litterbag Placem_Collection'!O184,'Dry_Litterbag Placem_Collection'!R184),"")</f>
        <v>6.55</v>
      </c>
      <c r="AI183" s="271">
        <f>IFERROR(AVERAGE('Dry_Litterbag Placem_Collection'!N184,'Dry_Litterbag Placem_Collection'!Q184),"")</f>
        <v>36.400000000000006</v>
      </c>
      <c r="AJ183" s="270">
        <f>INDEX(Coordinates!$B$2:$B$197,MATCH(G183,Coordinates!$J$2:$J$197,0))</f>
        <v>-2.2777009659999998</v>
      </c>
      <c r="AK183" s="270">
        <f>INDEX(Coordinates!$C$2:$C$197,MATCH(G183,Coordinates!$J$2:$J$197,0))</f>
        <v>34.027393969999999</v>
      </c>
      <c r="AL183" s="270" t="str">
        <f>IF(ISNUMBER(SEARCH("C", 'Dry_Litterbag Placem_Collection'!S184)),"YES","NO")</f>
        <v>NO</v>
      </c>
      <c r="AM183" s="270" t="str">
        <f>IF(ISNUMBER(SEARCH("H", 'Dry_Litterbag Placem_Collection'!S184)),"YES","NO")</f>
        <v>NO</v>
      </c>
      <c r="AN183" s="270" t="str">
        <f>IF(ISNUMBER(SEARCH("R", 'Dry_Litterbag Placem_Collection'!S184)),"YES","NO")</f>
        <v>NO</v>
      </c>
    </row>
    <row r="184" spans="1:40" ht="15" customHeight="1">
      <c r="A184" s="262" t="s">
        <v>2659</v>
      </c>
      <c r="B184" s="263">
        <f>'Dry_Litterbag Placem_Collection'!A185</f>
        <v>183</v>
      </c>
      <c r="C184" s="263" t="str">
        <f>'Dry_Litterbag Placem_Collection'!B185</f>
        <v>Handajega</v>
      </c>
      <c r="D184" s="263" t="s">
        <v>2460</v>
      </c>
      <c r="E184" s="263" t="s">
        <v>2661</v>
      </c>
      <c r="F184" s="263">
        <v>3</v>
      </c>
      <c r="G184" s="264" t="str">
        <f>'Dry_Litterbag Placem_Collection'!C185</f>
        <v>Wet_W3_T7</v>
      </c>
      <c r="H184" s="265" t="s">
        <v>2541</v>
      </c>
      <c r="I184" s="266" t="s">
        <v>1147</v>
      </c>
      <c r="J184" s="263" t="str">
        <f>IF(ISBLANK('Dry_Litterbag Placem_Collection'!J185),"","G"&amp;""&amp;'Dry_Litterbag Placem_Collection'!J185)</f>
        <v/>
      </c>
      <c r="K184" s="267" t="str">
        <f>IFERROR(INDEX('Green_rooibos initial weight'!$C$5:$C$1749,MATCH(J184, 'Green_rooibos initial weight'!$A$5:$A$1749,0)),"")</f>
        <v/>
      </c>
      <c r="L184" s="267" t="str">
        <f>IFERROR(K184-(TBIcalc!$Q$9+TBIcalc!$Q$10),"")</f>
        <v/>
      </c>
      <c r="M184" s="391">
        <f>AVERAGE(Ashed_controlls!$K$2:$K$11)</f>
        <v>5.5147656768714146</v>
      </c>
      <c r="N184" s="267" t="str">
        <f t="shared" si="11"/>
        <v/>
      </c>
      <c r="O184" s="267" t="str">
        <f>IF(IFERROR(INDEX('Both teabags AfterDry'!$D$3:$D$900,MATCH(J184,'Both teabags AfterDry'!$A$3:$A$900,0)),"")="","",(IFERROR(INDEX('Both teabags AfterDry'!$D$3:$D$900,MATCH(J184,'Both teabags AfterDry'!$A$3:$A$900,0)),"")))</f>
        <v/>
      </c>
      <c r="P184" s="267" t="str">
        <f>IFERROR(IF(O184&gt;0,O184-(TBIcalc!$Q$9),""),"")</f>
        <v/>
      </c>
      <c r="Q184" s="278" t="str">
        <f>IFERROR(INDEX('Ashed teabags dry'!$K$2:$K$825,MATCH(J184,'Ashed teabags dry'!$A$2:$A$825,0)),"")</f>
        <v/>
      </c>
      <c r="R184" s="278" t="str">
        <f t="shared" si="12"/>
        <v/>
      </c>
      <c r="S184" s="268">
        <f>'Dry_Litterbag Placem_Collection'!E185</f>
        <v>0</v>
      </c>
      <c r="T184" s="268" t="str">
        <f>IF('Dry_Litterbag Placem_Collection'!G185="","",'Dry_Litterbag Placem_Collection'!G185)</f>
        <v/>
      </c>
      <c r="U184" s="269" t="str">
        <f t="shared" si="10"/>
        <v/>
      </c>
      <c r="V184" s="267" t="str">
        <f t="shared" si="13"/>
        <v/>
      </c>
      <c r="W184" s="267" t="str">
        <f t="shared" si="14"/>
        <v/>
      </c>
      <c r="X184" s="271" t="str">
        <f>IFERROR(INDEX(Rainfall_Dry!$O$2:$O$217,MATCH(B184, Rainfall_Dry!$A$2:$A$217,0)),"")</f>
        <v/>
      </c>
      <c r="Y184" s="260">
        <v>25.96</v>
      </c>
      <c r="Z184" s="260">
        <v>8.9200000000000017</v>
      </c>
      <c r="AA184" s="260">
        <v>65.12</v>
      </c>
      <c r="AB184" s="261" t="s">
        <v>2670</v>
      </c>
      <c r="AC184" s="260">
        <v>7.6145884672252304</v>
      </c>
      <c r="AD184">
        <f>IF('WetLitterbags placem_collection'!AB185="","",'WetLitterbags placem_collection'!AB185)</f>
        <v>11.4</v>
      </c>
      <c r="AE184">
        <f>IF('WetLitterbags placem_collection'!Z185="","",'WetLitterbags placem_collection'!Z185)</f>
        <v>35.799999999999997</v>
      </c>
      <c r="AF184" s="246" t="str">
        <f>IF('WetLitterbags placem_collection'!AA185="","",'WetLitterbags placem_collection'!AA185)</f>
        <v>G</v>
      </c>
      <c r="AG184">
        <f>IF('WetLitterbags placem_collection'!AC185="","",'WetLitterbags placem_collection'!AC185)</f>
        <v>1</v>
      </c>
      <c r="AH184" t="str">
        <f>IFERROR(AVERAGE('Dry_Litterbag Placem_Collection'!O185,'Dry_Litterbag Placem_Collection'!R185),"")</f>
        <v/>
      </c>
      <c r="AI184" s="271" t="str">
        <f>IFERROR(AVERAGE('Dry_Litterbag Placem_Collection'!N185,'Dry_Litterbag Placem_Collection'!Q185),"")</f>
        <v/>
      </c>
      <c r="AJ184" s="270">
        <f>INDEX(Coordinates!$B$2:$B$197,MATCH(G184,Coordinates!$J$2:$J$197,0))</f>
        <v>-2.2777790019999999</v>
      </c>
      <c r="AK184" s="270">
        <f>INDEX(Coordinates!$C$2:$C$197,MATCH(G184,Coordinates!$J$2:$J$197,0))</f>
        <v>34.028066029999998</v>
      </c>
      <c r="AL184" s="270" t="str">
        <f>IF(ISNUMBER(SEARCH("C", 'Dry_Litterbag Placem_Collection'!S185)),"YES","NO")</f>
        <v>NO</v>
      </c>
      <c r="AM184" s="270" t="str">
        <f>IF(ISNUMBER(SEARCH("H", 'Dry_Litterbag Placem_Collection'!S185)),"YES","NO")</f>
        <v>NO</v>
      </c>
      <c r="AN184" s="270" t="str">
        <f>IF(ISNUMBER(SEARCH("R", 'Dry_Litterbag Placem_Collection'!S185)),"YES","NO")</f>
        <v>NO</v>
      </c>
    </row>
    <row r="185" spans="1:40" ht="15" customHeight="1">
      <c r="A185" s="262" t="s">
        <v>2659</v>
      </c>
      <c r="B185" s="263">
        <f>'Dry_Litterbag Placem_Collection'!A186</f>
        <v>184</v>
      </c>
      <c r="C185" s="263" t="str">
        <f>'Dry_Litterbag Placem_Collection'!B186</f>
        <v>Handajega</v>
      </c>
      <c r="D185" s="263" t="s">
        <v>2460</v>
      </c>
      <c r="E185" s="263" t="s">
        <v>2661</v>
      </c>
      <c r="F185" s="263">
        <v>3</v>
      </c>
      <c r="G185" s="264" t="str">
        <f>'Dry_Litterbag Placem_Collection'!C186</f>
        <v>Wet_W3_T8</v>
      </c>
      <c r="H185" s="265" t="s">
        <v>2541</v>
      </c>
      <c r="I185" s="266" t="s">
        <v>1147</v>
      </c>
      <c r="J185" s="263" t="str">
        <f>IF(ISBLANK('Dry_Litterbag Placem_Collection'!J186),"","G"&amp;""&amp;'Dry_Litterbag Placem_Collection'!J186)</f>
        <v>G235</v>
      </c>
      <c r="K185" s="267">
        <f>IFERROR(INDEX('Green_rooibos initial weight'!$C$5:$C$1749,MATCH(J185, 'Green_rooibos initial weight'!$A$5:$A$1749,0)),"")</f>
        <v>1.9259999999999999</v>
      </c>
      <c r="L185" s="267">
        <f>IFERROR(K185-(TBIcalc!$Q$9+TBIcalc!$Q$10),"")</f>
        <v>1.6761999999999999</v>
      </c>
      <c r="M185" s="391">
        <f>AVERAGE(Ashed_controlls!$K$2:$K$11)</f>
        <v>5.5147656768714146</v>
      </c>
      <c r="N185" s="267">
        <f t="shared" si="11"/>
        <v>1.5837614977242813</v>
      </c>
      <c r="O185" s="267">
        <f>IF(IFERROR(INDEX('Both teabags AfterDry'!$D$3:$D$900,MATCH(J185,'Both teabags AfterDry'!$A$3:$A$900,0)),"")="","",(IFERROR(INDEX('Both teabags AfterDry'!$D$3:$D$900,MATCH(J185,'Both teabags AfterDry'!$A$3:$A$900,0)),"")))</f>
        <v>0.66620000000000001</v>
      </c>
      <c r="P185" s="267">
        <f>IFERROR(IF(O185&gt;0,O185-(TBIcalc!$Q$9),""),"")</f>
        <v>0.51560000000000006</v>
      </c>
      <c r="Q185" s="278">
        <f>IFERROR(INDEX('Ashed teabags dry'!$K$2:$K$825,MATCH(J185,'Ashed teabags dry'!$A$2:$A$825,0)),"")</f>
        <v>28.09315866084463</v>
      </c>
      <c r="R185" s="278">
        <f t="shared" si="12"/>
        <v>0.37075167394468511</v>
      </c>
      <c r="S185" s="268">
        <f>'Dry_Litterbag Placem_Collection'!E186</f>
        <v>42940</v>
      </c>
      <c r="T185" s="268">
        <f>IF('Dry_Litterbag Placem_Collection'!G186="","",'Dry_Litterbag Placem_Collection'!G186)</f>
        <v>43009</v>
      </c>
      <c r="U185" s="269">
        <f t="shared" si="10"/>
        <v>69</v>
      </c>
      <c r="V185" s="267">
        <f t="shared" si="13"/>
        <v>1.1605999999999999</v>
      </c>
      <c r="W185" s="267">
        <f t="shared" si="14"/>
        <v>1.2130098237795961</v>
      </c>
      <c r="X185" s="271">
        <f>IFERROR(INDEX(Rainfall_Dry!$O$2:$O$217,MATCH(B185, Rainfall_Dry!$A$2:$A$217,0)),"")</f>
        <v>162.634207253</v>
      </c>
      <c r="Y185" s="260">
        <v>25.96</v>
      </c>
      <c r="Z185" s="260">
        <v>8.9200000000000017</v>
      </c>
      <c r="AA185" s="260">
        <v>65.12</v>
      </c>
      <c r="AB185" s="261" t="s">
        <v>2670</v>
      </c>
      <c r="AC185" s="260">
        <v>8.6145884672252304</v>
      </c>
      <c r="AD185">
        <f>IF('WetLitterbags placem_collection'!AB186="","",'WetLitterbags placem_collection'!AB186)</f>
        <v>3.7</v>
      </c>
      <c r="AE185">
        <f>IF('WetLitterbags placem_collection'!Z186="","",'WetLitterbags placem_collection'!Z186)</f>
        <v>16.399999999999999</v>
      </c>
      <c r="AF185" s="246" t="str">
        <f>IF('WetLitterbags placem_collection'!AA186="","",'WetLitterbags placem_collection'!AA186)</f>
        <v>O</v>
      </c>
      <c r="AG185">
        <f>IF('WetLitterbags placem_collection'!AC186="","",'WetLitterbags placem_collection'!AC186)</f>
        <v>0</v>
      </c>
      <c r="AH185">
        <f>IFERROR(AVERAGE('Dry_Litterbag Placem_Collection'!O186,'Dry_Litterbag Placem_Collection'!R186),"")</f>
        <v>4.3</v>
      </c>
      <c r="AI185" s="271">
        <f>IFERROR(AVERAGE('Dry_Litterbag Placem_Collection'!N186,'Dry_Litterbag Placem_Collection'!Q186),"")</f>
        <v>28.05</v>
      </c>
      <c r="AJ185" s="270">
        <f>INDEX(Coordinates!$B$2:$B$197,MATCH(G185,Coordinates!$J$2:$J$197,0))</f>
        <v>-2.2775169829999999</v>
      </c>
      <c r="AK185" s="270">
        <f>INDEX(Coordinates!$C$2:$C$197,MATCH(G185,Coordinates!$J$2:$J$197,0))</f>
        <v>34.027766970000002</v>
      </c>
      <c r="AL185" s="270" t="str">
        <f>IF(ISNUMBER(SEARCH("C", 'Dry_Litterbag Placem_Collection'!S186)),"YES","NO")</f>
        <v>NO</v>
      </c>
      <c r="AM185" s="270" t="str">
        <f>IF(ISNUMBER(SEARCH("H", 'Dry_Litterbag Placem_Collection'!S186)),"YES","NO")</f>
        <v>NO</v>
      </c>
      <c r="AN185" s="270" t="str">
        <f>IF(ISNUMBER(SEARCH("R", 'Dry_Litterbag Placem_Collection'!S186)),"YES","NO")</f>
        <v>YES</v>
      </c>
    </row>
    <row r="186" spans="1:40" ht="15" customHeight="1">
      <c r="A186" s="262" t="s">
        <v>2659</v>
      </c>
      <c r="B186" s="263">
        <f>'Dry_Litterbag Placem_Collection'!A187</f>
        <v>185</v>
      </c>
      <c r="C186" s="263" t="str">
        <f>'Dry_Litterbag Placem_Collection'!B187</f>
        <v>Handajega</v>
      </c>
      <c r="D186" s="263" t="s">
        <v>2460</v>
      </c>
      <c r="E186" s="263" t="s">
        <v>2661</v>
      </c>
      <c r="F186" s="263">
        <v>4</v>
      </c>
      <c r="G186" s="264" t="str">
        <f>'Dry_Litterbag Placem_Collection'!C187</f>
        <v>Wet_W4_T1</v>
      </c>
      <c r="H186" s="265" t="s">
        <v>2541</v>
      </c>
      <c r="I186" s="266" t="s">
        <v>1147</v>
      </c>
      <c r="J186" s="263" t="str">
        <f>IF(ISBLANK('Dry_Litterbag Placem_Collection'!J187),"","G"&amp;""&amp;'Dry_Litterbag Placem_Collection'!J187)</f>
        <v>G369</v>
      </c>
      <c r="K186" s="267">
        <f>IFERROR(INDEX('Green_rooibos initial weight'!$C$5:$C$1749,MATCH(J186, 'Green_rooibos initial weight'!$A$5:$A$1749,0)),"")</f>
        <v>2.1219999999999999</v>
      </c>
      <c r="L186" s="267">
        <f>IFERROR(K186-(TBIcalc!$Q$9+TBIcalc!$Q$10),"")</f>
        <v>1.8721999999999999</v>
      </c>
      <c r="M186" s="391">
        <f>AVERAGE(Ashed_controlls!$K$2:$K$11)</f>
        <v>5.5147656768714146</v>
      </c>
      <c r="N186" s="267">
        <f t="shared" si="11"/>
        <v>1.7689525569976132</v>
      </c>
      <c r="O186" s="267" t="str">
        <f>IF(IFERROR(INDEX('Both teabags AfterDry'!$D$3:$D$900,MATCH(J186,'Both teabags AfterDry'!$A$3:$A$900,0)),"")="","",(IFERROR(INDEX('Both teabags AfterDry'!$D$3:$D$900,MATCH(J186,'Both teabags AfterDry'!$A$3:$A$900,0)),"")))</f>
        <v/>
      </c>
      <c r="P186" s="267" t="str">
        <f>IFERROR(IF(O186&gt;0,O186-(TBIcalc!$Q$9),""),"")</f>
        <v/>
      </c>
      <c r="Q186" s="278" t="str">
        <f>IFERROR(INDEX('Ashed teabags dry'!$K$2:$K$825,MATCH(J186,'Ashed teabags dry'!$A$2:$A$825,0)),"")</f>
        <v/>
      </c>
      <c r="R186" s="278" t="str">
        <f t="shared" si="12"/>
        <v/>
      </c>
      <c r="S186" s="268">
        <f>'Dry_Litterbag Placem_Collection'!E187</f>
        <v>42940</v>
      </c>
      <c r="T186" s="268">
        <f>IF('Dry_Litterbag Placem_Collection'!G187="","",'Dry_Litterbag Placem_Collection'!G187)</f>
        <v>43009</v>
      </c>
      <c r="U186" s="269">
        <f t="shared" si="10"/>
        <v>69</v>
      </c>
      <c r="V186" s="267" t="str">
        <f t="shared" si="13"/>
        <v/>
      </c>
      <c r="W186" s="267" t="str">
        <f t="shared" si="14"/>
        <v/>
      </c>
      <c r="X186" s="271">
        <f>IFERROR(INDEX(Rainfall_Dry!$O$2:$O$217,MATCH(B186, Rainfall_Dry!$A$2:$A$217,0)),"")</f>
        <v>162.634207253</v>
      </c>
      <c r="Y186" s="260">
        <v>25.96</v>
      </c>
      <c r="Z186" s="260">
        <v>8.9200000000000017</v>
      </c>
      <c r="AA186" s="260">
        <v>65.12</v>
      </c>
      <c r="AB186" s="261" t="s">
        <v>2670</v>
      </c>
      <c r="AC186" s="260">
        <v>1.6991621488417901</v>
      </c>
      <c r="AD186">
        <f>IF('WetLitterbags placem_collection'!AB187="","",'WetLitterbags placem_collection'!AB187)</f>
        <v>9.8000000000000007</v>
      </c>
      <c r="AE186">
        <f>IF('WetLitterbags placem_collection'!Z187="","",'WetLitterbags placem_collection'!Z187)</f>
        <v>29.4</v>
      </c>
      <c r="AF186" s="246" t="str">
        <f>IF('WetLitterbags placem_collection'!AA187="","",'WetLitterbags placem_collection'!AA187)</f>
        <v>O</v>
      </c>
      <c r="AG186">
        <f>IF('WetLitterbags placem_collection'!AC187="","",'WetLitterbags placem_collection'!AC187)</f>
        <v>0</v>
      </c>
      <c r="AH186">
        <f>IFERROR(AVERAGE('Dry_Litterbag Placem_Collection'!O187,'Dry_Litterbag Placem_Collection'!R187),"")</f>
        <v>4.9000000000000004</v>
      </c>
      <c r="AI186" s="271">
        <f>IFERROR(AVERAGE('Dry_Litterbag Placem_Collection'!N187,'Dry_Litterbag Placem_Collection'!Q187),"")</f>
        <v>35</v>
      </c>
      <c r="AJ186" s="270">
        <f>INDEX(Coordinates!$B$2:$B$197,MATCH(G186,Coordinates!$J$2:$J$197,0))</f>
        <v>-2.2787330300000002</v>
      </c>
      <c r="AK186" s="270">
        <f>INDEX(Coordinates!$C$2:$C$197,MATCH(G186,Coordinates!$J$2:$J$197,0))</f>
        <v>34.032136029999997</v>
      </c>
      <c r="AL186" s="270" t="str">
        <f>IF(ISNUMBER(SEARCH("C", 'Dry_Litterbag Placem_Collection'!S187)),"YES","NO")</f>
        <v>NO</v>
      </c>
      <c r="AM186" s="270" t="str">
        <f>IF(ISNUMBER(SEARCH("H", 'Dry_Litterbag Placem_Collection'!S187)),"YES","NO")</f>
        <v>NO</v>
      </c>
      <c r="AN186" s="270" t="str">
        <f>IF(ISNUMBER(SEARCH("R", 'Dry_Litterbag Placem_Collection'!S187)),"YES","NO")</f>
        <v>NO</v>
      </c>
    </row>
    <row r="187" spans="1:40" ht="15" customHeight="1">
      <c r="A187" s="262" t="s">
        <v>2659</v>
      </c>
      <c r="B187" s="263">
        <f>'Dry_Litterbag Placem_Collection'!A188</f>
        <v>186</v>
      </c>
      <c r="C187" s="263" t="str">
        <f>'Dry_Litterbag Placem_Collection'!B188</f>
        <v>Handajega</v>
      </c>
      <c r="D187" s="263" t="s">
        <v>2460</v>
      </c>
      <c r="E187" s="263" t="s">
        <v>2661</v>
      </c>
      <c r="F187" s="263">
        <v>4</v>
      </c>
      <c r="G187" s="264" t="str">
        <f>'Dry_Litterbag Placem_Collection'!C188</f>
        <v>Wet_W4_T2</v>
      </c>
      <c r="H187" s="265" t="s">
        <v>2541</v>
      </c>
      <c r="I187" s="266" t="s">
        <v>1147</v>
      </c>
      <c r="J187" s="263" t="str">
        <f>IF(ISBLANK('Dry_Litterbag Placem_Collection'!J188),"","G"&amp;""&amp;'Dry_Litterbag Placem_Collection'!J188)</f>
        <v>G295</v>
      </c>
      <c r="K187" s="267">
        <f>IFERROR(INDEX('Green_rooibos initial weight'!$C$5:$C$1749,MATCH(J187, 'Green_rooibos initial weight'!$A$5:$A$1749,0)),"")</f>
        <v>2.0379999999999998</v>
      </c>
      <c r="L187" s="267">
        <f>IFERROR(K187-(TBIcalc!$Q$9+TBIcalc!$Q$10),"")</f>
        <v>1.7881999999999998</v>
      </c>
      <c r="M187" s="391">
        <f>AVERAGE(Ashed_controlls!$K$2:$K$11)</f>
        <v>5.5147656768714146</v>
      </c>
      <c r="N187" s="267">
        <f t="shared" si="11"/>
        <v>1.6895849601661852</v>
      </c>
      <c r="O187" s="267">
        <f>IF(IFERROR(INDEX('Both teabags AfterDry'!$D$3:$D$900,MATCH(J187,'Both teabags AfterDry'!$A$3:$A$900,0)),"")="","",(IFERROR(INDEX('Both teabags AfterDry'!$D$3:$D$900,MATCH(J187,'Both teabags AfterDry'!$A$3:$A$900,0)),"")))</f>
        <v>0.92659999999999998</v>
      </c>
      <c r="P187" s="267">
        <f>IFERROR(IF(O187&gt;0,O187-(TBIcalc!$Q$9),""),"")</f>
        <v>0.77600000000000002</v>
      </c>
      <c r="Q187" s="278">
        <f>IFERROR(INDEX('Ashed teabags dry'!$K$2:$K$825,MATCH(J187,'Ashed teabags dry'!$A$2:$A$825,0)),"")</f>
        <v>26.422563087580492</v>
      </c>
      <c r="R187" s="278">
        <f t="shared" si="12"/>
        <v>0.57096091044037545</v>
      </c>
      <c r="S187" s="268">
        <f>'Dry_Litterbag Placem_Collection'!E188</f>
        <v>42940</v>
      </c>
      <c r="T187" s="268">
        <f>IF('Dry_Litterbag Placem_Collection'!G188="","",'Dry_Litterbag Placem_Collection'!G188)</f>
        <v>43009</v>
      </c>
      <c r="U187" s="269">
        <f t="shared" si="10"/>
        <v>69</v>
      </c>
      <c r="V187" s="267">
        <f t="shared" si="13"/>
        <v>1.0121999999999998</v>
      </c>
      <c r="W187" s="267">
        <f t="shared" si="14"/>
        <v>1.1186240497258098</v>
      </c>
      <c r="X187" s="271">
        <f>IFERROR(INDEX(Rainfall_Dry!$O$2:$O$217,MATCH(B187, Rainfall_Dry!$A$2:$A$217,0)),"")</f>
        <v>162.634207253</v>
      </c>
      <c r="Y187" s="260">
        <v>25.96</v>
      </c>
      <c r="Z187" s="260">
        <v>8.9200000000000017</v>
      </c>
      <c r="AA187" s="260">
        <v>65.12</v>
      </c>
      <c r="AB187" s="261" t="s">
        <v>2670</v>
      </c>
      <c r="AC187" s="260">
        <v>2.6991621488417898</v>
      </c>
      <c r="AD187">
        <f>IF('WetLitterbags placem_collection'!AB188="","",'WetLitterbags placem_collection'!AB188)</f>
        <v>11.4</v>
      </c>
      <c r="AE187">
        <f>IF('WetLitterbags placem_collection'!Z188="","",'WetLitterbags placem_collection'!Z188)</f>
        <v>45.4</v>
      </c>
      <c r="AF187" s="246" t="str">
        <f>IF('WetLitterbags placem_collection'!AA188="","",'WetLitterbags placem_collection'!AA188)</f>
        <v>O</v>
      </c>
      <c r="AG187">
        <f>IF('WetLitterbags placem_collection'!AC188="","",'WetLitterbags placem_collection'!AC188)</f>
        <v>0</v>
      </c>
      <c r="AH187">
        <f>IFERROR(AVERAGE('Dry_Litterbag Placem_Collection'!O188,'Dry_Litterbag Placem_Collection'!R188),"")</f>
        <v>7.55</v>
      </c>
      <c r="AI187" s="271">
        <f>IFERROR(AVERAGE('Dry_Litterbag Placem_Collection'!N188,'Dry_Litterbag Placem_Collection'!Q188),"")</f>
        <v>35.299999999999997</v>
      </c>
      <c r="AJ187" s="270">
        <f>INDEX(Coordinates!$B$2:$B$197,MATCH(G187,Coordinates!$J$2:$J$197,0))</f>
        <v>-2.278763037</v>
      </c>
      <c r="AK187" s="270">
        <f>INDEX(Coordinates!$C$2:$C$197,MATCH(G187,Coordinates!$J$2:$J$197,0))</f>
        <v>34.031974009999999</v>
      </c>
      <c r="AL187" s="270" t="str">
        <f>IF(ISNUMBER(SEARCH("C", 'Dry_Litterbag Placem_Collection'!S188)),"YES","NO")</f>
        <v>NO</v>
      </c>
      <c r="AM187" s="270" t="str">
        <f>IF(ISNUMBER(SEARCH("H", 'Dry_Litterbag Placem_Collection'!S188)),"YES","NO")</f>
        <v>YES</v>
      </c>
      <c r="AN187" s="270" t="str">
        <f>IF(ISNUMBER(SEARCH("R", 'Dry_Litterbag Placem_Collection'!S188)),"YES","NO")</f>
        <v>YES</v>
      </c>
    </row>
    <row r="188" spans="1:40" ht="15" customHeight="1">
      <c r="A188" s="262" t="s">
        <v>2659</v>
      </c>
      <c r="B188" s="263">
        <f>'Dry_Litterbag Placem_Collection'!A189</f>
        <v>187</v>
      </c>
      <c r="C188" s="263" t="str">
        <f>'Dry_Litterbag Placem_Collection'!B189</f>
        <v>Handajega</v>
      </c>
      <c r="D188" s="263" t="s">
        <v>2460</v>
      </c>
      <c r="E188" s="263" t="s">
        <v>2661</v>
      </c>
      <c r="F188" s="263">
        <v>4</v>
      </c>
      <c r="G188" s="264" t="str">
        <f>'Dry_Litterbag Placem_Collection'!C189</f>
        <v>Wet_W4_T3</v>
      </c>
      <c r="H188" s="265" t="s">
        <v>2541</v>
      </c>
      <c r="I188" s="266" t="s">
        <v>1147</v>
      </c>
      <c r="J188" s="263" t="str">
        <f>IF(ISBLANK('Dry_Litterbag Placem_Collection'!J189),"","G"&amp;""&amp;'Dry_Litterbag Placem_Collection'!J189)</f>
        <v>G242</v>
      </c>
      <c r="K188" s="267">
        <f>IFERROR(INDEX('Green_rooibos initial weight'!$C$5:$C$1749,MATCH(J188, 'Green_rooibos initial weight'!$A$5:$A$1749,0)),"")</f>
        <v>1.9470000000000001</v>
      </c>
      <c r="L188" s="267">
        <f>IFERROR(K188-(TBIcalc!$Q$9+TBIcalc!$Q$10),"")</f>
        <v>1.6972</v>
      </c>
      <c r="M188" s="391">
        <f>AVERAGE(Ashed_controlls!$K$2:$K$11)</f>
        <v>5.5147656768714146</v>
      </c>
      <c r="N188" s="267">
        <f t="shared" si="11"/>
        <v>1.6036033969321384</v>
      </c>
      <c r="O188" s="267">
        <f>IF(IFERROR(INDEX('Both teabags AfterDry'!$D$3:$D$900,MATCH(J188,'Both teabags AfterDry'!$A$3:$A$900,0)),"")="","",(IFERROR(INDEX('Both teabags AfterDry'!$D$3:$D$900,MATCH(J188,'Both teabags AfterDry'!$A$3:$A$900,0)),"")))</f>
        <v>0.70840000000000003</v>
      </c>
      <c r="P188" s="267">
        <f>IFERROR(IF(O188&gt;0,O188-(TBIcalc!$Q$9),""),"")</f>
        <v>0.55780000000000007</v>
      </c>
      <c r="Q188" s="278">
        <f>IFERROR(INDEX('Ashed teabags dry'!$K$2:$K$825,MATCH(J188,'Ashed teabags dry'!$A$2:$A$825,0)),"")</f>
        <v>27.059970745976948</v>
      </c>
      <c r="R188" s="278">
        <f t="shared" si="12"/>
        <v>0.40685948317894061</v>
      </c>
      <c r="S188" s="268">
        <f>'Dry_Litterbag Placem_Collection'!E189</f>
        <v>42940</v>
      </c>
      <c r="T188" s="268">
        <f>IF('Dry_Litterbag Placem_Collection'!G189="","",'Dry_Litterbag Placem_Collection'!G189)</f>
        <v>43009</v>
      </c>
      <c r="U188" s="269">
        <f t="shared" si="10"/>
        <v>69</v>
      </c>
      <c r="V188" s="267">
        <f t="shared" si="13"/>
        <v>1.1394</v>
      </c>
      <c r="W188" s="267">
        <f t="shared" si="14"/>
        <v>1.1967439137531977</v>
      </c>
      <c r="X188" s="271">
        <f>IFERROR(INDEX(Rainfall_Dry!$O$2:$O$217,MATCH(B188, Rainfall_Dry!$A$2:$A$217,0)),"")</f>
        <v>162.634207253</v>
      </c>
      <c r="Y188" s="260">
        <v>25.96</v>
      </c>
      <c r="Z188" s="260">
        <v>8.9200000000000017</v>
      </c>
      <c r="AA188" s="260">
        <v>65.12</v>
      </c>
      <c r="AB188" s="261" t="s">
        <v>2670</v>
      </c>
      <c r="AC188" s="260">
        <v>3.6991621488417898</v>
      </c>
      <c r="AD188">
        <f>IF('WetLitterbags placem_collection'!AB189="","",'WetLitterbags placem_collection'!AB189)</f>
        <v>0.6</v>
      </c>
      <c r="AE188">
        <f>IF('WetLitterbags placem_collection'!Z189="","",'WetLitterbags placem_collection'!Z189)</f>
        <v>39.4</v>
      </c>
      <c r="AF188" s="246" t="str">
        <f>IF('WetLitterbags placem_collection'!AA189="","",'WetLitterbags placem_collection'!AA189)</f>
        <v>O</v>
      </c>
      <c r="AG188">
        <f>IF('WetLitterbags placem_collection'!AC189="","",'WetLitterbags placem_collection'!AC189)</f>
        <v>1</v>
      </c>
      <c r="AH188">
        <f>IFERROR(AVERAGE('Dry_Litterbag Placem_Collection'!O189,'Dry_Litterbag Placem_Collection'!R189),"")</f>
        <v>5.05</v>
      </c>
      <c r="AI188" s="271">
        <f>IFERROR(AVERAGE('Dry_Litterbag Placem_Collection'!N189,'Dry_Litterbag Placem_Collection'!Q189),"")</f>
        <v>35.150000000000006</v>
      </c>
      <c r="AJ188" s="270">
        <f>INDEX(Coordinates!$B$2:$B$197,MATCH(G188,Coordinates!$J$2:$J$197,0))</f>
        <v>-2.2785890289999999</v>
      </c>
      <c r="AK188" s="270">
        <f>INDEX(Coordinates!$C$2:$C$197,MATCH(G188,Coordinates!$J$2:$J$197,0))</f>
        <v>34.031841999999997</v>
      </c>
      <c r="AL188" s="270" t="str">
        <f>IF(ISNUMBER(SEARCH("C", 'Dry_Litterbag Placem_Collection'!S189)),"YES","NO")</f>
        <v>NO</v>
      </c>
      <c r="AM188" s="270" t="str">
        <f>IF(ISNUMBER(SEARCH("H", 'Dry_Litterbag Placem_Collection'!S189)),"YES","NO")</f>
        <v>NO</v>
      </c>
      <c r="AN188" s="270" t="str">
        <f>IF(ISNUMBER(SEARCH("R", 'Dry_Litterbag Placem_Collection'!S189)),"YES","NO")</f>
        <v>YES</v>
      </c>
    </row>
    <row r="189" spans="1:40" ht="15" customHeight="1">
      <c r="A189" s="262" t="s">
        <v>2659</v>
      </c>
      <c r="B189" s="263">
        <f>'Dry_Litterbag Placem_Collection'!A190</f>
        <v>188</v>
      </c>
      <c r="C189" s="263" t="str">
        <f>'Dry_Litterbag Placem_Collection'!B190</f>
        <v>Handajega</v>
      </c>
      <c r="D189" s="263" t="s">
        <v>2460</v>
      </c>
      <c r="E189" s="263" t="s">
        <v>2661</v>
      </c>
      <c r="F189" s="263">
        <v>4</v>
      </c>
      <c r="G189" s="264" t="str">
        <f>'Dry_Litterbag Placem_Collection'!C190</f>
        <v>Wet_W4_T4</v>
      </c>
      <c r="H189" s="265" t="s">
        <v>2541</v>
      </c>
      <c r="I189" s="266" t="s">
        <v>1147</v>
      </c>
      <c r="J189" s="263" t="str">
        <f>IF(ISBLANK('Dry_Litterbag Placem_Collection'!J190),"","G"&amp;""&amp;'Dry_Litterbag Placem_Collection'!J190)</f>
        <v>G146</v>
      </c>
      <c r="K189" s="267">
        <f>IFERROR(INDEX('Green_rooibos initial weight'!$C$5:$C$1749,MATCH(J189, 'Green_rooibos initial weight'!$A$5:$A$1749,0)),"")</f>
        <v>2.0529999999999999</v>
      </c>
      <c r="L189" s="267">
        <f>IFERROR(K189-(TBIcalc!$Q$9+TBIcalc!$Q$10),"")</f>
        <v>1.8031999999999999</v>
      </c>
      <c r="M189" s="391">
        <f>AVERAGE(Ashed_controlls!$K$2:$K$11)</f>
        <v>5.5147656768714146</v>
      </c>
      <c r="N189" s="267">
        <f t="shared" si="11"/>
        <v>1.7037577453146546</v>
      </c>
      <c r="O189" s="267">
        <f>IF(IFERROR(INDEX('Both teabags AfterDry'!$D$3:$D$900,MATCH(J189,'Both teabags AfterDry'!$A$3:$A$900,0)),"")="","",(IFERROR(INDEX('Both teabags AfterDry'!$D$3:$D$900,MATCH(J189,'Both teabags AfterDry'!$A$3:$A$900,0)),"")))</f>
        <v>0.91069999999999995</v>
      </c>
      <c r="P189" s="267">
        <f>IFERROR(IF(O189&gt;0,O189-(TBIcalc!$Q$9),""),"")</f>
        <v>0.7601</v>
      </c>
      <c r="Q189" s="278">
        <f>IFERROR(INDEX('Ashed teabags dry'!$K$2:$K$825,MATCH(J189,'Ashed teabags dry'!$A$2:$A$825,0)),"")</f>
        <v>39.03411608329683</v>
      </c>
      <c r="R189" s="278">
        <f t="shared" si="12"/>
        <v>0.46340168365086076</v>
      </c>
      <c r="S189" s="268">
        <f>'Dry_Litterbag Placem_Collection'!E190</f>
        <v>42940</v>
      </c>
      <c r="T189" s="268">
        <f>IF('Dry_Litterbag Placem_Collection'!G190="","",'Dry_Litterbag Placem_Collection'!G190)</f>
        <v>43009</v>
      </c>
      <c r="U189" s="269">
        <f t="shared" si="10"/>
        <v>69</v>
      </c>
      <c r="V189" s="267">
        <f t="shared" si="13"/>
        <v>1.0430999999999999</v>
      </c>
      <c r="W189" s="267">
        <f t="shared" si="14"/>
        <v>1.2403560616637939</v>
      </c>
      <c r="X189" s="271">
        <f>IFERROR(INDEX(Rainfall_Dry!$O$2:$O$217,MATCH(B189, Rainfall_Dry!$A$2:$A$217,0)),"")</f>
        <v>162.634207253</v>
      </c>
      <c r="Y189" s="260">
        <v>25.96</v>
      </c>
      <c r="Z189" s="260">
        <v>8.9200000000000017</v>
      </c>
      <c r="AA189" s="260">
        <v>65.12</v>
      </c>
      <c r="AB189" s="261" t="s">
        <v>2670</v>
      </c>
      <c r="AC189" s="260">
        <v>4.6991621488417898</v>
      </c>
      <c r="AD189">
        <f>IF('WetLitterbags placem_collection'!AB190="","",'WetLitterbags placem_collection'!AB190)</f>
        <v>2.2999999999999998</v>
      </c>
      <c r="AE189">
        <f>IF('WetLitterbags placem_collection'!Z190="","",'WetLitterbags placem_collection'!Z190)</f>
        <v>14.4</v>
      </c>
      <c r="AF189" s="246" t="str">
        <f>IF('WetLitterbags placem_collection'!AA190="","",'WetLitterbags placem_collection'!AA190)</f>
        <v>O</v>
      </c>
      <c r="AG189">
        <f>IF('WetLitterbags placem_collection'!AC190="","",'WetLitterbags placem_collection'!AC190)</f>
        <v>0</v>
      </c>
      <c r="AH189">
        <f>IFERROR(AVERAGE('Dry_Litterbag Placem_Collection'!O190,'Dry_Litterbag Placem_Collection'!R190),"")</f>
        <v>7.35</v>
      </c>
      <c r="AI189" s="271">
        <f>IFERROR(AVERAGE('Dry_Litterbag Placem_Collection'!N190,'Dry_Litterbag Placem_Collection'!Q190),"")</f>
        <v>34.150000000000006</v>
      </c>
      <c r="AJ189" s="270">
        <f>INDEX(Coordinates!$B$2:$B$197,MATCH(G189,Coordinates!$J$2:$J$197,0))</f>
        <v>-2.278422983</v>
      </c>
      <c r="AK189" s="270">
        <f>INDEX(Coordinates!$C$2:$C$197,MATCH(G189,Coordinates!$J$2:$J$197,0))</f>
        <v>34.032261009999999</v>
      </c>
      <c r="AL189" s="270" t="str">
        <f>IF(ISNUMBER(SEARCH("C", 'Dry_Litterbag Placem_Collection'!S190)),"YES","NO")</f>
        <v>NO</v>
      </c>
      <c r="AM189" s="270" t="str">
        <f>IF(ISNUMBER(SEARCH("H", 'Dry_Litterbag Placem_Collection'!S190)),"YES","NO")</f>
        <v>YES</v>
      </c>
      <c r="AN189" s="270" t="str">
        <f>IF(ISNUMBER(SEARCH("R", 'Dry_Litterbag Placem_Collection'!S190)),"YES","NO")</f>
        <v>YES</v>
      </c>
    </row>
    <row r="190" spans="1:40" ht="15" customHeight="1">
      <c r="A190" s="262" t="s">
        <v>2659</v>
      </c>
      <c r="B190" s="263">
        <f>'Dry_Litterbag Placem_Collection'!A191</f>
        <v>189</v>
      </c>
      <c r="C190" s="263" t="str">
        <f>'Dry_Litterbag Placem_Collection'!B191</f>
        <v>Handajega</v>
      </c>
      <c r="D190" s="263" t="s">
        <v>2460</v>
      </c>
      <c r="E190" s="263" t="s">
        <v>2661</v>
      </c>
      <c r="F190" s="263">
        <v>4</v>
      </c>
      <c r="G190" s="264" t="str">
        <f>'Dry_Litterbag Placem_Collection'!C191</f>
        <v>Wet_W4_T5</v>
      </c>
      <c r="H190" s="265" t="s">
        <v>2541</v>
      </c>
      <c r="I190" s="266" t="s">
        <v>1147</v>
      </c>
      <c r="J190" s="263" t="str">
        <f>IF(ISBLANK('Dry_Litterbag Placem_Collection'!J191),"","G"&amp;""&amp;'Dry_Litterbag Placem_Collection'!J191)</f>
        <v>G144</v>
      </c>
      <c r="K190" s="267">
        <f>IFERROR(INDEX('Green_rooibos initial weight'!$C$5:$C$1749,MATCH(J190, 'Green_rooibos initial weight'!$A$5:$A$1749,0)),"")</f>
        <v>2.0230000000000001</v>
      </c>
      <c r="L190" s="267">
        <f>IFERROR(K190-(TBIcalc!$Q$9+TBIcalc!$Q$10),"")</f>
        <v>1.7732000000000001</v>
      </c>
      <c r="M190" s="391">
        <f>AVERAGE(Ashed_controlls!$K$2:$K$11)</f>
        <v>5.5147656768714146</v>
      </c>
      <c r="N190" s="267">
        <f t="shared" si="11"/>
        <v>1.6754121750177162</v>
      </c>
      <c r="O190" s="267">
        <f>IF(IFERROR(INDEX('Both teabags AfterDry'!$D$3:$D$900,MATCH(J190,'Both teabags AfterDry'!$A$3:$A$900,0)),"")="","",(IFERROR(INDEX('Both teabags AfterDry'!$D$3:$D$900,MATCH(J190,'Both teabags AfterDry'!$A$3:$A$900,0)),"")))</f>
        <v>0.68520000000000003</v>
      </c>
      <c r="P190" s="267">
        <f>IFERROR(IF(O190&gt;0,O190-(TBIcalc!$Q$9),""),"")</f>
        <v>0.53459999999999996</v>
      </c>
      <c r="Q190" s="278">
        <f>IFERROR(INDEX('Ashed teabags dry'!$K$2:$K$825,MATCH(J190,'Ashed teabags dry'!$A$2:$A$825,0)),"")</f>
        <v>22.366450324513245</v>
      </c>
      <c r="R190" s="278">
        <f t="shared" si="12"/>
        <v>0.41502895656515215</v>
      </c>
      <c r="S190" s="268">
        <f>'Dry_Litterbag Placem_Collection'!E191</f>
        <v>42940</v>
      </c>
      <c r="T190" s="268">
        <f>IF('Dry_Litterbag Placem_Collection'!G191="","",'Dry_Litterbag Placem_Collection'!G191)</f>
        <v>43009</v>
      </c>
      <c r="U190" s="269">
        <f t="shared" si="10"/>
        <v>69</v>
      </c>
      <c r="V190" s="267">
        <f t="shared" si="13"/>
        <v>1.2386000000000001</v>
      </c>
      <c r="W190" s="267">
        <f t="shared" si="14"/>
        <v>1.2603832184525641</v>
      </c>
      <c r="X190" s="271">
        <f>IFERROR(INDEX(Rainfall_Dry!$O$2:$O$217,MATCH(B190, Rainfall_Dry!$A$2:$A$217,0)),"")</f>
        <v>162.634207253</v>
      </c>
      <c r="Y190" s="260">
        <v>25.96</v>
      </c>
      <c r="Z190" s="260">
        <v>8.9200000000000017</v>
      </c>
      <c r="AA190" s="260">
        <v>65.12</v>
      </c>
      <c r="AB190" s="261" t="s">
        <v>2670</v>
      </c>
      <c r="AC190" s="260">
        <v>5.6991621488417898</v>
      </c>
      <c r="AD190">
        <f>IF('WetLitterbags placem_collection'!AB191="","",'WetLitterbags placem_collection'!AB191)</f>
        <v>0.6</v>
      </c>
      <c r="AE190">
        <f>IF('WetLitterbags placem_collection'!Z191="","",'WetLitterbags placem_collection'!Z191)</f>
        <v>7</v>
      </c>
      <c r="AF190" s="246" t="str">
        <f>IF('WetLitterbags placem_collection'!AA191="","",'WetLitterbags placem_collection'!AA191)</f>
        <v>O</v>
      </c>
      <c r="AG190">
        <f>IF('WetLitterbags placem_collection'!AC191="","",'WetLitterbags placem_collection'!AC191)</f>
        <v>1</v>
      </c>
      <c r="AH190">
        <f>IFERROR(AVERAGE('Dry_Litterbag Placem_Collection'!O191,'Dry_Litterbag Placem_Collection'!R191),"")</f>
        <v>5.5</v>
      </c>
      <c r="AI190" s="271">
        <f>IFERROR(AVERAGE('Dry_Litterbag Placem_Collection'!N191,'Dry_Litterbag Placem_Collection'!Q191),"")</f>
        <v>33</v>
      </c>
      <c r="AJ190" s="270">
        <f>INDEX(Coordinates!$B$2:$B$197,MATCH(G190,Coordinates!$J$2:$J$197,0))</f>
        <v>-2.2787580080000001</v>
      </c>
      <c r="AK190" s="270">
        <f>INDEX(Coordinates!$C$2:$C$197,MATCH(G190,Coordinates!$J$2:$J$197,0))</f>
        <v>34.032463010000001</v>
      </c>
      <c r="AL190" s="270" t="str">
        <f>IF(ISNUMBER(SEARCH("C", 'Dry_Litterbag Placem_Collection'!S191)),"YES","NO")</f>
        <v>NO</v>
      </c>
      <c r="AM190" s="270" t="str">
        <f>IF(ISNUMBER(SEARCH("H", 'Dry_Litterbag Placem_Collection'!S191)),"YES","NO")</f>
        <v>NO</v>
      </c>
      <c r="AN190" s="270" t="str">
        <f>IF(ISNUMBER(SEARCH("R", 'Dry_Litterbag Placem_Collection'!S191)),"YES","NO")</f>
        <v>YES</v>
      </c>
    </row>
    <row r="191" spans="1:40" ht="15" customHeight="1">
      <c r="A191" s="262" t="s">
        <v>2659</v>
      </c>
      <c r="B191" s="263">
        <f>'Dry_Litterbag Placem_Collection'!A192</f>
        <v>190</v>
      </c>
      <c r="C191" s="263" t="str">
        <f>'Dry_Litterbag Placem_Collection'!B192</f>
        <v>Handajega</v>
      </c>
      <c r="D191" s="263" t="s">
        <v>2460</v>
      </c>
      <c r="E191" s="263" t="s">
        <v>2661</v>
      </c>
      <c r="F191" s="263">
        <v>4</v>
      </c>
      <c r="G191" s="264" t="str">
        <f>'Dry_Litterbag Placem_Collection'!C192</f>
        <v>Wet_W4_T6</v>
      </c>
      <c r="H191" s="265" t="s">
        <v>2541</v>
      </c>
      <c r="I191" s="266" t="s">
        <v>1147</v>
      </c>
      <c r="J191" s="263" t="str">
        <f>IF(ISBLANK('Dry_Litterbag Placem_Collection'!J192),"","G"&amp;""&amp;'Dry_Litterbag Placem_Collection'!J192)</f>
        <v>G171</v>
      </c>
      <c r="K191" s="267">
        <f>IFERROR(INDEX('Green_rooibos initial weight'!$C$5:$C$1749,MATCH(J191, 'Green_rooibos initial weight'!$A$5:$A$1749,0)),"")</f>
        <v>1.9239999999999999</v>
      </c>
      <c r="L191" s="267">
        <f>IFERROR(K191-(TBIcalc!$Q$9+TBIcalc!$Q$10),"")</f>
        <v>1.6741999999999999</v>
      </c>
      <c r="M191" s="391">
        <f>AVERAGE(Ashed_controlls!$K$2:$K$11)</f>
        <v>5.5147656768714146</v>
      </c>
      <c r="N191" s="267">
        <f t="shared" si="11"/>
        <v>1.5818717930378188</v>
      </c>
      <c r="O191" s="267">
        <f>IF(IFERROR(INDEX('Both teabags AfterDry'!$D$3:$D$900,MATCH(J191,'Both teabags AfterDry'!$A$3:$A$900,0)),"")="","",(IFERROR(INDEX('Both teabags AfterDry'!$D$3:$D$900,MATCH(J191,'Both teabags AfterDry'!$A$3:$A$900,0)),"")))</f>
        <v>0.75309999999999999</v>
      </c>
      <c r="P191" s="267">
        <f>IFERROR(IF(O191&gt;0,O191-(TBIcalc!$Q$9),""),"")</f>
        <v>0.60250000000000004</v>
      </c>
      <c r="Q191" s="278">
        <f>IFERROR(INDEX('Ashed teabags dry'!$K$2:$K$825,MATCH(J191,'Ashed teabags dry'!$A$2:$A$825,0)),"")</f>
        <v>24.915824915824324</v>
      </c>
      <c r="R191" s="278">
        <f t="shared" si="12"/>
        <v>0.45238215488215849</v>
      </c>
      <c r="S191" s="268">
        <f>'Dry_Litterbag Placem_Collection'!E192</f>
        <v>42940</v>
      </c>
      <c r="T191" s="268">
        <f>IF('Dry_Litterbag Placem_Collection'!G192="","",'Dry_Litterbag Placem_Collection'!G192)</f>
        <v>43009</v>
      </c>
      <c r="U191" s="269">
        <f t="shared" si="10"/>
        <v>69</v>
      </c>
      <c r="V191" s="267">
        <f t="shared" si="13"/>
        <v>1.0716999999999999</v>
      </c>
      <c r="W191" s="267">
        <f t="shared" si="14"/>
        <v>1.1294896381556603</v>
      </c>
      <c r="X191" s="271">
        <f>IFERROR(INDEX(Rainfall_Dry!$O$2:$O$217,MATCH(B191, Rainfall_Dry!$A$2:$A$217,0)),"")</f>
        <v>162.634207253</v>
      </c>
      <c r="Y191" s="260">
        <v>25.96</v>
      </c>
      <c r="Z191" s="260">
        <v>8.9200000000000017</v>
      </c>
      <c r="AA191" s="260">
        <v>65.12</v>
      </c>
      <c r="AB191" s="261" t="s">
        <v>2670</v>
      </c>
      <c r="AC191" s="260">
        <v>6.6991621488417898</v>
      </c>
      <c r="AD191">
        <f>IF('WetLitterbags placem_collection'!AB192="","",'WetLitterbags placem_collection'!AB192)</f>
        <v>9.5</v>
      </c>
      <c r="AE191">
        <f>IF('WetLitterbags placem_collection'!Z192="","",'WetLitterbags placem_collection'!Z192)</f>
        <v>17.399999999999999</v>
      </c>
      <c r="AF191" s="246" t="str">
        <f>IF('WetLitterbags placem_collection'!AA192="","",'WetLitterbags placem_collection'!AA192)</f>
        <v>O</v>
      </c>
      <c r="AG191">
        <f>IF('WetLitterbags placem_collection'!AC192="","",'WetLitterbags placem_collection'!AC192)</f>
        <v>0</v>
      </c>
      <c r="AH191">
        <f>IFERROR(AVERAGE('Dry_Litterbag Placem_Collection'!O192,'Dry_Litterbag Placem_Collection'!R192),"")</f>
        <v>5.0500000000000007</v>
      </c>
      <c r="AI191" s="271">
        <f>IFERROR(AVERAGE('Dry_Litterbag Placem_Collection'!N192,'Dry_Litterbag Placem_Collection'!Q192),"")</f>
        <v>36.049999999999997</v>
      </c>
      <c r="AJ191" s="270">
        <f>INDEX(Coordinates!$B$2:$B$197,MATCH(G191,Coordinates!$J$2:$J$197,0))</f>
        <v>-2.2787559960000001</v>
      </c>
      <c r="AK191" s="270">
        <f>INDEX(Coordinates!$C$2:$C$197,MATCH(G191,Coordinates!$J$2:$J$197,0))</f>
        <v>34.032268969999997</v>
      </c>
      <c r="AL191" s="270" t="str">
        <f>IF(ISNUMBER(SEARCH("C", 'Dry_Litterbag Placem_Collection'!S192)),"YES","NO")</f>
        <v>NO</v>
      </c>
      <c r="AM191" s="270" t="str">
        <f>IF(ISNUMBER(SEARCH("H", 'Dry_Litterbag Placem_Collection'!S192)),"YES","NO")</f>
        <v>NO</v>
      </c>
      <c r="AN191" s="270" t="str">
        <f>IF(ISNUMBER(SEARCH("R", 'Dry_Litterbag Placem_Collection'!S192)),"YES","NO")</f>
        <v>NO</v>
      </c>
    </row>
    <row r="192" spans="1:40" ht="15" customHeight="1">
      <c r="A192" s="262" t="s">
        <v>2659</v>
      </c>
      <c r="B192" s="263">
        <f>'Dry_Litterbag Placem_Collection'!A193</f>
        <v>191</v>
      </c>
      <c r="C192" s="263" t="str">
        <f>'Dry_Litterbag Placem_Collection'!B193</f>
        <v>Handajega</v>
      </c>
      <c r="D192" s="263" t="s">
        <v>2460</v>
      </c>
      <c r="E192" s="263" t="s">
        <v>2661</v>
      </c>
      <c r="F192" s="263">
        <v>4</v>
      </c>
      <c r="G192" s="264" t="str">
        <f>'Dry_Litterbag Placem_Collection'!C193</f>
        <v>Wet_W4_T7</v>
      </c>
      <c r="H192" s="265" t="s">
        <v>2541</v>
      </c>
      <c r="I192" s="266" t="s">
        <v>1147</v>
      </c>
      <c r="J192" s="263" t="str">
        <f>IF(ISBLANK('Dry_Litterbag Placem_Collection'!J193),"","G"&amp;""&amp;'Dry_Litterbag Placem_Collection'!J193)</f>
        <v>G232</v>
      </c>
      <c r="K192" s="267">
        <f>IFERROR(INDEX('Green_rooibos initial weight'!$C$5:$C$1749,MATCH(J192, 'Green_rooibos initial weight'!$A$5:$A$1749,0)),"")</f>
        <v>2.04</v>
      </c>
      <c r="L192" s="267">
        <f>IFERROR(K192-(TBIcalc!$Q$9+TBIcalc!$Q$10),"")</f>
        <v>1.7902</v>
      </c>
      <c r="M192" s="391">
        <f>AVERAGE(Ashed_controlls!$K$2:$K$11)</f>
        <v>5.5147656768714146</v>
      </c>
      <c r="N192" s="267">
        <f t="shared" si="11"/>
        <v>1.691474664852648</v>
      </c>
      <c r="O192" s="267">
        <f>IF(IFERROR(INDEX('Both teabags AfterDry'!$D$3:$D$900,MATCH(J192,'Both teabags AfterDry'!$A$3:$A$900,0)),"")="","",(IFERROR(INDEX('Both teabags AfterDry'!$D$3:$D$900,MATCH(J192,'Both teabags AfterDry'!$A$3:$A$900,0)),"")))</f>
        <v>0.80369999999999997</v>
      </c>
      <c r="P192" s="267">
        <f>IFERROR(IF(O192&gt;0,O192-(TBIcalc!$Q$9),""),"")</f>
        <v>0.65310000000000001</v>
      </c>
      <c r="Q192" s="278">
        <f>IFERROR(INDEX('Ashed teabags dry'!$K$2:$K$825,MATCH(J192,'Ashed teabags dry'!$A$2:$A$825,0)),"")</f>
        <v>26.339066339066047</v>
      </c>
      <c r="R192" s="278">
        <f t="shared" si="12"/>
        <v>0.48107955773955968</v>
      </c>
      <c r="S192" s="268">
        <f>'Dry_Litterbag Placem_Collection'!E193</f>
        <v>42940</v>
      </c>
      <c r="T192" s="268">
        <f>IF('Dry_Litterbag Placem_Collection'!G193="","",'Dry_Litterbag Placem_Collection'!G193)</f>
        <v>43009</v>
      </c>
      <c r="U192" s="269">
        <f t="shared" si="10"/>
        <v>69</v>
      </c>
      <c r="V192" s="267">
        <f t="shared" si="13"/>
        <v>1.1371</v>
      </c>
      <c r="W192" s="267">
        <f t="shared" si="14"/>
        <v>1.2103951071130883</v>
      </c>
      <c r="X192" s="271">
        <f>IFERROR(INDEX(Rainfall_Dry!$O$2:$O$217,MATCH(B192, Rainfall_Dry!$A$2:$A$217,0)),"")</f>
        <v>162.634207253</v>
      </c>
      <c r="Y192" s="260">
        <v>25.96</v>
      </c>
      <c r="Z192" s="260">
        <v>8.9200000000000017</v>
      </c>
      <c r="AA192" s="260">
        <v>65.12</v>
      </c>
      <c r="AB192" s="261" t="s">
        <v>2670</v>
      </c>
      <c r="AC192" s="260">
        <v>7.6991621488417898</v>
      </c>
      <c r="AD192">
        <f>IF('WetLitterbags placem_collection'!AB193="","",'WetLitterbags placem_collection'!AB193)</f>
        <v>12.4</v>
      </c>
      <c r="AE192">
        <f>IF('WetLitterbags placem_collection'!Z193="","",'WetLitterbags placem_collection'!Z193)</f>
        <v>29.8</v>
      </c>
      <c r="AF192" s="246" t="str">
        <f>IF('WetLitterbags placem_collection'!AA193="","",'WetLitterbags placem_collection'!AA193)</f>
        <v>O</v>
      </c>
      <c r="AG192">
        <f>IF('WetLitterbags placem_collection'!AC193="","",'WetLitterbags placem_collection'!AC193)</f>
        <v>0</v>
      </c>
      <c r="AH192">
        <f>IFERROR(AVERAGE('Dry_Litterbag Placem_Collection'!O193,'Dry_Litterbag Placem_Collection'!R193),"")</f>
        <v>6.45</v>
      </c>
      <c r="AI192" s="271">
        <f>IFERROR(AVERAGE('Dry_Litterbag Placem_Collection'!N193,'Dry_Litterbag Placem_Collection'!Q193),"")</f>
        <v>36.349999999999994</v>
      </c>
      <c r="AJ192" s="270">
        <f>INDEX(Coordinates!$B$2:$B$197,MATCH(G192,Coordinates!$J$2:$J$197,0))</f>
        <v>-2.278704029</v>
      </c>
      <c r="AK192" s="270">
        <f>INDEX(Coordinates!$C$2:$C$197,MATCH(G192,Coordinates!$J$2:$J$197,0))</f>
        <v>34.032182970000001</v>
      </c>
      <c r="AL192" s="270" t="str">
        <f>IF(ISNUMBER(SEARCH("C", 'Dry_Litterbag Placem_Collection'!S193)),"YES","NO")</f>
        <v>NO</v>
      </c>
      <c r="AM192" s="270" t="str">
        <f>IF(ISNUMBER(SEARCH("H", 'Dry_Litterbag Placem_Collection'!S193)),"YES","NO")</f>
        <v>NO</v>
      </c>
      <c r="AN192" s="270" t="str">
        <f>IF(ISNUMBER(SEARCH("R", 'Dry_Litterbag Placem_Collection'!S193)),"YES","NO")</f>
        <v>NO</v>
      </c>
    </row>
    <row r="193" spans="1:40" ht="15" customHeight="1">
      <c r="A193" s="262" t="s">
        <v>2659</v>
      </c>
      <c r="B193" s="263">
        <f>'Dry_Litterbag Placem_Collection'!A194</f>
        <v>192</v>
      </c>
      <c r="C193" s="263" t="str">
        <f>'Dry_Litterbag Placem_Collection'!B194</f>
        <v>Handajega</v>
      </c>
      <c r="D193" s="263" t="s">
        <v>2460</v>
      </c>
      <c r="E193" s="263" t="s">
        <v>2661</v>
      </c>
      <c r="F193" s="263">
        <v>4</v>
      </c>
      <c r="G193" s="264" t="str">
        <f>'Dry_Litterbag Placem_Collection'!C194</f>
        <v>Wet_W4_T8</v>
      </c>
      <c r="H193" s="265" t="s">
        <v>2541</v>
      </c>
      <c r="I193" s="266" t="s">
        <v>1147</v>
      </c>
      <c r="J193" s="263" t="str">
        <f>IF(ISBLANK('Dry_Litterbag Placem_Collection'!J194),"","G"&amp;""&amp;'Dry_Litterbag Placem_Collection'!J194)</f>
        <v/>
      </c>
      <c r="K193" s="267" t="str">
        <f>IFERROR(INDEX('Green_rooibos initial weight'!$C$5:$C$1749,MATCH(J193, 'Green_rooibos initial weight'!$A$5:$A$1749,0)),"")</f>
        <v/>
      </c>
      <c r="L193" s="267" t="str">
        <f>IFERROR(K193-(TBIcalc!$Q$9+TBIcalc!$Q$10),"")</f>
        <v/>
      </c>
      <c r="M193" s="391">
        <f>AVERAGE(Ashed_controlls!$K$2:$K$11)</f>
        <v>5.5147656768714146</v>
      </c>
      <c r="N193" s="267" t="str">
        <f t="shared" si="11"/>
        <v/>
      </c>
      <c r="O193" s="267" t="str">
        <f>IF(IFERROR(INDEX('Both teabags AfterDry'!$D$3:$D$900,MATCH(J193,'Both teabags AfterDry'!$A$3:$A$900,0)),"")="","",(IFERROR(INDEX('Both teabags AfterDry'!$D$3:$D$900,MATCH(J193,'Both teabags AfterDry'!$A$3:$A$900,0)),"")))</f>
        <v/>
      </c>
      <c r="P193" s="267" t="str">
        <f>IFERROR(IF(O193&gt;0,O193-(TBIcalc!$Q$9),""),"")</f>
        <v/>
      </c>
      <c r="Q193" s="278" t="str">
        <f>IFERROR(INDEX('Ashed teabags dry'!$K$2:$K$825,MATCH(J193,'Ashed teabags dry'!$A$2:$A$825,0)),"")</f>
        <v/>
      </c>
      <c r="R193" s="278" t="str">
        <f t="shared" si="12"/>
        <v/>
      </c>
      <c r="S193" s="268">
        <f>'Dry_Litterbag Placem_Collection'!E194</f>
        <v>0</v>
      </c>
      <c r="T193" s="268" t="str">
        <f>IF('Dry_Litterbag Placem_Collection'!G194="","",'Dry_Litterbag Placem_Collection'!G194)</f>
        <v/>
      </c>
      <c r="U193" s="269" t="str">
        <f t="shared" si="10"/>
        <v/>
      </c>
      <c r="V193" s="267" t="str">
        <f t="shared" si="13"/>
        <v/>
      </c>
      <c r="W193" s="267" t="str">
        <f t="shared" si="14"/>
        <v/>
      </c>
      <c r="X193" s="271" t="str">
        <f>IFERROR(INDEX(Rainfall_Dry!$O$2:$O$217,MATCH(B193, Rainfall_Dry!$A$2:$A$217,0)),"")</f>
        <v/>
      </c>
      <c r="Y193" s="260">
        <v>25.96</v>
      </c>
      <c r="Z193" s="260">
        <v>8.9200000000000017</v>
      </c>
      <c r="AA193" s="260">
        <v>65.12</v>
      </c>
      <c r="AB193" s="261" t="s">
        <v>2670</v>
      </c>
      <c r="AC193" s="260">
        <v>8.6991621488417898</v>
      </c>
      <c r="AD193">
        <f>IF('WetLitterbags placem_collection'!AB194="","",'WetLitterbags placem_collection'!AB194)</f>
        <v>3.6</v>
      </c>
      <c r="AE193">
        <f>IF('WetLitterbags placem_collection'!Z194="","",'WetLitterbags placem_collection'!Z194)</f>
        <v>37.799999999999997</v>
      </c>
      <c r="AF193" s="246" t="str">
        <f>IF('WetLitterbags placem_collection'!AA194="","",'WetLitterbags placem_collection'!AA194)</f>
        <v>O</v>
      </c>
      <c r="AG193">
        <f>IF('WetLitterbags placem_collection'!AC194="","",'WetLitterbags placem_collection'!AC194)</f>
        <v>0</v>
      </c>
      <c r="AH193" t="str">
        <f>IFERROR(AVERAGE('Dry_Litterbag Placem_Collection'!O194,'Dry_Litterbag Placem_Collection'!R194),"")</f>
        <v/>
      </c>
      <c r="AI193" s="271" t="str">
        <f>IFERROR(AVERAGE('Dry_Litterbag Placem_Collection'!N194,'Dry_Litterbag Placem_Collection'!Q194),"")</f>
        <v/>
      </c>
      <c r="AJ193" s="270">
        <f>INDEX(Coordinates!$B$2:$B$197,MATCH(G193,Coordinates!$J$2:$J$197,0))</f>
        <v>-2.2789770269999998</v>
      </c>
      <c r="AK193" s="270">
        <f>INDEX(Coordinates!$C$2:$C$197,MATCH(G193,Coordinates!$J$2:$J$197,0))</f>
        <v>34.032051039999999</v>
      </c>
      <c r="AL193" s="270" t="str">
        <f>IF(ISNUMBER(SEARCH("C", 'Dry_Litterbag Placem_Collection'!S194)),"YES","NO")</f>
        <v>NO</v>
      </c>
      <c r="AM193" s="270" t="str">
        <f>IF(ISNUMBER(SEARCH("H", 'Dry_Litterbag Placem_Collection'!S194)),"YES","NO")</f>
        <v>NO</v>
      </c>
      <c r="AN193" s="270" t="str">
        <f>IF(ISNUMBER(SEARCH("R", 'Dry_Litterbag Placem_Collection'!S194)),"YES","NO")</f>
        <v>NO</v>
      </c>
    </row>
    <row r="194" spans="1:40" ht="15" customHeight="1">
      <c r="A194" s="262" t="s">
        <v>2659</v>
      </c>
      <c r="B194" s="263">
        <f>'Dry_Litterbag Placem_Collection'!A195</f>
        <v>193</v>
      </c>
      <c r="C194" s="263" t="str">
        <f>'Dry_Litterbag Placem_Collection'!B195</f>
        <v>Makao</v>
      </c>
      <c r="D194" s="263" t="s">
        <v>2659</v>
      </c>
      <c r="E194" s="263" t="s">
        <v>2526</v>
      </c>
      <c r="F194" s="263">
        <v>4</v>
      </c>
      <c r="G194" s="264" t="str">
        <f>'Dry_Litterbag Placem_Collection'!C195</f>
        <v>Dry_Ag1_CG4</v>
      </c>
      <c r="H194" s="265" t="s">
        <v>2541</v>
      </c>
      <c r="I194" s="266" t="s">
        <v>1147</v>
      </c>
      <c r="J194" s="263" t="str">
        <f>IF(ISBLANK('Dry_Litterbag Placem_Collection'!J195),"","G"&amp;""&amp;'Dry_Litterbag Placem_Collection'!J195)</f>
        <v>G257</v>
      </c>
      <c r="K194" s="267">
        <f>IFERROR(INDEX('Green_rooibos initial weight'!$C$5:$C$1749,MATCH(J194, 'Green_rooibos initial weight'!$A$5:$A$1749,0)),"")</f>
        <v>1.9319999999999999</v>
      </c>
      <c r="L194" s="267">
        <f>IFERROR(K194-(TBIcalc!$Q$9+TBIcalc!$Q$10),"")</f>
        <v>1.6821999999999999</v>
      </c>
      <c r="M194" s="391">
        <f>AVERAGE(Ashed_controlls!$K$2:$K$11)</f>
        <v>5.5147656768714146</v>
      </c>
      <c r="N194" s="267">
        <f t="shared" si="11"/>
        <v>1.589430611783669</v>
      </c>
      <c r="O194" s="267">
        <f>IF(IFERROR(INDEX('Both teabags AfterDry'!$D$3:$D$900,MATCH(J194,'Both teabags AfterDry'!$A$3:$A$900,0)),"")="","",(IFERROR(INDEX('Both teabags AfterDry'!$D$3:$D$900,MATCH(J194,'Both teabags AfterDry'!$A$3:$A$900,0)),"")))</f>
        <v>0.67</v>
      </c>
      <c r="P194" s="267">
        <f>IFERROR(IF(O194&gt;0,O194-(TBIcalc!$Q$9),""),"")</f>
        <v>0.51940000000000008</v>
      </c>
      <c r="Q194" s="278">
        <f>IFERROR(INDEX('Ashed teabags dry'!$K$2:$K$825,MATCH(J194,'Ashed teabags dry'!$A$2:$A$825,0)),"")</f>
        <v>13.170731707316666</v>
      </c>
      <c r="R194" s="278">
        <f t="shared" si="12"/>
        <v>0.45099121951219734</v>
      </c>
      <c r="S194" s="268">
        <f>'Dry_Litterbag Placem_Collection'!E195</f>
        <v>42942</v>
      </c>
      <c r="T194" s="268">
        <f>IF('Dry_Litterbag Placem_Collection'!G195="","",'Dry_Litterbag Placem_Collection'!G195)</f>
        <v>43004</v>
      </c>
      <c r="U194" s="269">
        <f t="shared" ref="U194:U257" si="15">IFERROR(T194-S194,"")</f>
        <v>62</v>
      </c>
      <c r="V194" s="267">
        <f t="shared" si="13"/>
        <v>1.1627999999999998</v>
      </c>
      <c r="W194" s="267">
        <f t="shared" si="14"/>
        <v>1.1384393922714717</v>
      </c>
      <c r="X194" s="271">
        <f>IFERROR(INDEX(Rainfall_Dry!$O$2:$O$217,MATCH(B194, Rainfall_Dry!$A$2:$A$217,0)),"")</f>
        <v>171.84818423999999</v>
      </c>
      <c r="Y194" s="260">
        <v>12.565665055683967</v>
      </c>
      <c r="Z194" s="260">
        <v>0.9665896196679955</v>
      </c>
      <c r="AA194" s="260">
        <v>86.467745324648035</v>
      </c>
      <c r="AB194" s="261" t="s">
        <v>2672</v>
      </c>
      <c r="AC194" s="260">
        <v>1.0225726959093147</v>
      </c>
      <c r="AD194">
        <f>IF('WetLitterbags placem_collection'!AB195="","",'WetLitterbags placem_collection'!AB195)</f>
        <v>15.2</v>
      </c>
      <c r="AE194">
        <f>IF('WetLitterbags placem_collection'!Z195="","",'WetLitterbags placem_collection'!Z195)</f>
        <v>12.2</v>
      </c>
      <c r="AF194" s="246" t="str">
        <f>IF('WetLitterbags placem_collection'!AA195="","",'WetLitterbags placem_collection'!AA195)</f>
        <v>O</v>
      </c>
      <c r="AG194">
        <f>IF('WetLitterbags placem_collection'!AC195="","",'WetLitterbags placem_collection'!AC195)</f>
        <v>1</v>
      </c>
      <c r="AH194">
        <f>IFERROR(AVERAGE('Dry_Litterbag Placem_Collection'!O195,'Dry_Litterbag Placem_Collection'!R195),"")</f>
        <v>5.0999999999999996</v>
      </c>
      <c r="AI194" s="271">
        <f>IFERROR(AVERAGE('Dry_Litterbag Placem_Collection'!N195,'Dry_Litterbag Placem_Collection'!Q195),"")</f>
        <v>28.799999999999997</v>
      </c>
      <c r="AJ194">
        <v>-2.4396949910000001</v>
      </c>
      <c r="AK194">
        <v>34.838574029999997</v>
      </c>
      <c r="AL194" s="270" t="str">
        <f>IF(ISNUMBER(SEARCH("C", 'Dry_Litterbag Placem_Collection'!S195)),"YES","NO")</f>
        <v>NO</v>
      </c>
      <c r="AM194" s="270" t="str">
        <f>IF(ISNUMBER(SEARCH("H", 'Dry_Litterbag Placem_Collection'!S195)),"YES","NO")</f>
        <v>NO</v>
      </c>
      <c r="AN194" s="270" t="str">
        <f>IF(ISNUMBER(SEARCH("R", 'Dry_Litterbag Placem_Collection'!S195)),"YES","NO")</f>
        <v>YES</v>
      </c>
    </row>
    <row r="195" spans="1:40" ht="15" customHeight="1">
      <c r="A195" s="262" t="s">
        <v>2659</v>
      </c>
      <c r="B195" s="263">
        <f>'Dry_Litterbag Placem_Collection'!A196</f>
        <v>194</v>
      </c>
      <c r="C195" s="263" t="str">
        <f>'Dry_Litterbag Placem_Collection'!B196</f>
        <v>Makao</v>
      </c>
      <c r="D195" s="263" t="s">
        <v>2659</v>
      </c>
      <c r="E195" s="263" t="s">
        <v>2526</v>
      </c>
      <c r="F195" s="263">
        <v>3</v>
      </c>
      <c r="G195" s="264" t="str">
        <f>'Dry_Litterbag Placem_Collection'!C196</f>
        <v>Dry_Ag2_CG3</v>
      </c>
      <c r="H195" s="265" t="s">
        <v>2541</v>
      </c>
      <c r="I195" s="266" t="s">
        <v>1147</v>
      </c>
      <c r="J195" s="263" t="str">
        <f>IF(ISBLANK('Dry_Litterbag Placem_Collection'!J196),"","G"&amp;""&amp;'Dry_Litterbag Placem_Collection'!J196)</f>
        <v>G148</v>
      </c>
      <c r="K195" s="267">
        <f>IFERROR(INDEX('Green_rooibos initial weight'!$C$5:$C$1749,MATCH(J195, 'Green_rooibos initial weight'!$A$5:$A$1749,0)),"")</f>
        <v>2.0710000000000002</v>
      </c>
      <c r="L195" s="267">
        <f>IFERROR(K195-(TBIcalc!$Q$9+TBIcalc!$Q$10),"")</f>
        <v>1.8212000000000002</v>
      </c>
      <c r="M195" s="391">
        <f>AVERAGE(Ashed_controlls!$K$2:$K$11)</f>
        <v>5.5147656768714146</v>
      </c>
      <c r="N195" s="267">
        <f t="shared" ref="N195:N258" si="16">IFERROR(L195-(M195/100)*L195,"")</f>
        <v>1.720765087492818</v>
      </c>
      <c r="O195" s="267">
        <f>IF(IFERROR(INDEX('Both teabags AfterDry'!$D$3:$D$900,MATCH(J195,'Both teabags AfterDry'!$A$3:$A$900,0)),"")="","",(IFERROR(INDEX('Both teabags AfterDry'!$D$3:$D$900,MATCH(J195,'Both teabags AfterDry'!$A$3:$A$900,0)),"")))</f>
        <v>0.433</v>
      </c>
      <c r="P195" s="267">
        <f>IFERROR(IF(O195&gt;0,O195-(TBIcalc!$Q$9),""),"")</f>
        <v>0.28239999999999998</v>
      </c>
      <c r="Q195" s="278">
        <f>IFERROR(INDEX('Ashed teabags dry'!$K$2:$K$825,MATCH(J195,'Ashed teabags dry'!$A$2:$A$825,0)),"")</f>
        <v>15.447941888619916</v>
      </c>
      <c r="R195" s="278">
        <f t="shared" ref="R195:R258" si="17">IFERROR(P195-(Q195/100)*P195,"")</f>
        <v>0.23877501210653734</v>
      </c>
      <c r="S195" s="268">
        <f>'Dry_Litterbag Placem_Collection'!E196</f>
        <v>42942</v>
      </c>
      <c r="T195" s="268">
        <f>IF('Dry_Litterbag Placem_Collection'!G196="","",'Dry_Litterbag Placem_Collection'!G196)</f>
        <v>43004</v>
      </c>
      <c r="U195" s="269">
        <f t="shared" si="15"/>
        <v>62</v>
      </c>
      <c r="V195" s="267">
        <f t="shared" ref="V195:V258" si="18">IFERROR(L195-P195,"")</f>
        <v>1.5388000000000002</v>
      </c>
      <c r="W195" s="267">
        <f t="shared" ref="W195:W258" si="19">IFERROR(N195-R195,"")</f>
        <v>1.4819900753862807</v>
      </c>
      <c r="X195" s="271">
        <f>IFERROR(INDEX(Rainfall_Dry!$O$2:$O$217,MATCH(B195, Rainfall_Dry!$A$2:$A$217,0)),"")</f>
        <v>171.84818423999999</v>
      </c>
      <c r="Y195" s="260">
        <v>21.13063730679653</v>
      </c>
      <c r="Z195" s="260">
        <v>3.0912555579081076</v>
      </c>
      <c r="AA195" s="260">
        <v>75.778107135295357</v>
      </c>
      <c r="AB195" s="261" t="s">
        <v>2670</v>
      </c>
      <c r="AC195" s="260">
        <v>0.46131099063578063</v>
      </c>
      <c r="AD195">
        <f>IF('WetLitterbags placem_collection'!AB196="","",'WetLitterbags placem_collection'!AB196)</f>
        <v>7.9</v>
      </c>
      <c r="AE195">
        <f>IF('WetLitterbags placem_collection'!Z196="","",'WetLitterbags placem_collection'!Z196)</f>
        <v>7.9</v>
      </c>
      <c r="AF195" s="246" t="str">
        <f>IF('WetLitterbags placem_collection'!AA196="","",'WetLitterbags placem_collection'!AA196)</f>
        <v>O</v>
      </c>
      <c r="AG195">
        <f>IF('WetLitterbags placem_collection'!AC196="","",'WetLitterbags placem_collection'!AC196)</f>
        <v>1</v>
      </c>
      <c r="AH195">
        <f>IFERROR(AVERAGE('Dry_Litterbag Placem_Collection'!O196,'Dry_Litterbag Placem_Collection'!R196),"")</f>
        <v>5.4</v>
      </c>
      <c r="AI195" s="271">
        <f>IFERROR(AVERAGE('Dry_Litterbag Placem_Collection'!N196,'Dry_Litterbag Placem_Collection'!Q196),"")</f>
        <v>30.849999999999998</v>
      </c>
      <c r="AJ195">
        <v>-2.4395990190000001</v>
      </c>
      <c r="AK195">
        <v>34.838418959999998</v>
      </c>
      <c r="AL195" s="270" t="str">
        <f>IF(ISNUMBER(SEARCH("C", 'Dry_Litterbag Placem_Collection'!S196)),"YES","NO")</f>
        <v>NO</v>
      </c>
      <c r="AM195" s="270" t="str">
        <f>IF(ISNUMBER(SEARCH("H", 'Dry_Litterbag Placem_Collection'!S196)),"YES","NO")</f>
        <v>YES</v>
      </c>
      <c r="AN195" s="270" t="str">
        <f>IF(ISNUMBER(SEARCH("R", 'Dry_Litterbag Placem_Collection'!S196)),"YES","NO")</f>
        <v>YES</v>
      </c>
    </row>
    <row r="196" spans="1:40" ht="15" customHeight="1">
      <c r="A196" s="262" t="s">
        <v>2659</v>
      </c>
      <c r="B196" s="263">
        <f>'Dry_Litterbag Placem_Collection'!A197</f>
        <v>195</v>
      </c>
      <c r="C196" s="263" t="str">
        <f>'Dry_Litterbag Placem_Collection'!B197</f>
        <v>Makao</v>
      </c>
      <c r="D196" s="263" t="s">
        <v>2659</v>
      </c>
      <c r="E196" s="263" t="s">
        <v>2526</v>
      </c>
      <c r="F196" s="263">
        <v>2</v>
      </c>
      <c r="G196" s="264" t="str">
        <f>'Dry_Litterbag Placem_Collection'!C197</f>
        <v>Dry_Ag3_CG2</v>
      </c>
      <c r="H196" s="265" t="s">
        <v>2541</v>
      </c>
      <c r="I196" s="266" t="s">
        <v>1147</v>
      </c>
      <c r="J196" s="263" t="str">
        <f>IF(ISBLANK('Dry_Litterbag Placem_Collection'!J197),"","G"&amp;""&amp;'Dry_Litterbag Placem_Collection'!J197)</f>
        <v>G105</v>
      </c>
      <c r="K196" s="267">
        <f>IFERROR(INDEX('Green_rooibos initial weight'!$C$5:$C$1749,MATCH(J196, 'Green_rooibos initial weight'!$A$5:$A$1749,0)),"")</f>
        <v>2.1440000000000001</v>
      </c>
      <c r="L196" s="267">
        <f>IFERROR(K196-(TBIcalc!$Q$9+TBIcalc!$Q$10),"")</f>
        <v>1.8942000000000001</v>
      </c>
      <c r="M196" s="391">
        <f>AVERAGE(Ashed_controlls!$K$2:$K$11)</f>
        <v>5.5147656768714146</v>
      </c>
      <c r="N196" s="267">
        <f t="shared" si="16"/>
        <v>1.7897393085487017</v>
      </c>
      <c r="O196" s="267">
        <f>IF(IFERROR(INDEX('Both teabags AfterDry'!$D$3:$D$900,MATCH(J196,'Both teabags AfterDry'!$A$3:$A$900,0)),"")="","",(IFERROR(INDEX('Both teabags AfterDry'!$D$3:$D$900,MATCH(J196,'Both teabags AfterDry'!$A$3:$A$900,0)),"")))</f>
        <v>1.2050000000000001</v>
      </c>
      <c r="P196" s="267">
        <f>IFERROR(IF(O196&gt;0,O196-(TBIcalc!$Q$9),""),"")</f>
        <v>1.0544</v>
      </c>
      <c r="Q196" s="278">
        <f>IFERROR(INDEX('Ashed teabags dry'!$K$2:$K$825,MATCH(J196,'Ashed teabags dry'!$A$2:$A$825,0)),"")</f>
        <v>44.075144508670796</v>
      </c>
      <c r="R196" s="278">
        <f t="shared" si="17"/>
        <v>0.58967167630057515</v>
      </c>
      <c r="S196" s="268">
        <f>'Dry_Litterbag Placem_Collection'!E197</f>
        <v>42942</v>
      </c>
      <c r="T196" s="268">
        <f>IF('Dry_Litterbag Placem_Collection'!G197="","",'Dry_Litterbag Placem_Collection'!G197)</f>
        <v>43004</v>
      </c>
      <c r="U196" s="269">
        <f t="shared" si="15"/>
        <v>62</v>
      </c>
      <c r="V196" s="267">
        <f t="shared" si="18"/>
        <v>0.8398000000000001</v>
      </c>
      <c r="W196" s="267">
        <f t="shared" si="19"/>
        <v>1.2000676322481265</v>
      </c>
      <c r="X196" s="271">
        <f>IFERROR(INDEX(Rainfall_Dry!$O$2:$O$217,MATCH(B196, Rainfall_Dry!$A$2:$A$217,0)),"")</f>
        <v>171.84818423999999</v>
      </c>
      <c r="Y196" s="260">
        <v>54.080969906906262</v>
      </c>
      <c r="Z196" s="260">
        <v>21.264484651351896</v>
      </c>
      <c r="AA196" s="260">
        <v>24.654545441741845</v>
      </c>
      <c r="AB196" s="261" t="s">
        <v>2673</v>
      </c>
      <c r="AC196" s="260">
        <v>1.8433218334154755</v>
      </c>
      <c r="AD196">
        <f>IF('WetLitterbags placem_collection'!AB197="","",'WetLitterbags placem_collection'!AB197)</f>
        <v>5.13</v>
      </c>
      <c r="AE196">
        <f>IF('WetLitterbags placem_collection'!Z197="","",'WetLitterbags placem_collection'!Z197)</f>
        <v>5.13</v>
      </c>
      <c r="AF196" s="246" t="str">
        <f>IF('WetLitterbags placem_collection'!AA197="","",'WetLitterbags placem_collection'!AA197)</f>
        <v>O</v>
      </c>
      <c r="AG196">
        <f>IF('WetLitterbags placem_collection'!AC197="","",'WetLitterbags placem_collection'!AC197)</f>
        <v>1</v>
      </c>
      <c r="AH196">
        <f>IFERROR(AVERAGE('Dry_Litterbag Placem_Collection'!O197,'Dry_Litterbag Placem_Collection'!R197),"")</f>
        <v>11.4</v>
      </c>
      <c r="AI196" s="271">
        <f>IFERROR(AVERAGE('Dry_Litterbag Placem_Collection'!N197,'Dry_Litterbag Placem_Collection'!Q197),"")</f>
        <v>28.1</v>
      </c>
      <c r="AJ196">
        <v>-2.4396450349999999</v>
      </c>
      <c r="AK196">
        <v>34.83836599</v>
      </c>
      <c r="AL196" s="270" t="str">
        <f>IF(ISNUMBER(SEARCH("C", 'Dry_Litterbag Placem_Collection'!S197)),"YES","NO")</f>
        <v>NO</v>
      </c>
      <c r="AM196" s="270" t="str">
        <f>IF(ISNUMBER(SEARCH("H", 'Dry_Litterbag Placem_Collection'!S197)),"YES","NO")</f>
        <v>YES</v>
      </c>
      <c r="AN196" s="270" t="str">
        <f>IF(ISNUMBER(SEARCH("R", 'Dry_Litterbag Placem_Collection'!S197)),"YES","NO")</f>
        <v>YES</v>
      </c>
    </row>
    <row r="197" spans="1:40" ht="15" customHeight="1">
      <c r="A197" s="262" t="s">
        <v>2659</v>
      </c>
      <c r="B197" s="263">
        <f>'Dry_Litterbag Placem_Collection'!A198</f>
        <v>196</v>
      </c>
      <c r="C197" s="263" t="str">
        <f>'Dry_Litterbag Placem_Collection'!B198</f>
        <v>Makao</v>
      </c>
      <c r="D197" s="263" t="s">
        <v>2659</v>
      </c>
      <c r="E197" s="263" t="s">
        <v>2526</v>
      </c>
      <c r="F197" s="263">
        <v>1</v>
      </c>
      <c r="G197" s="264" t="str">
        <f>'Dry_Litterbag Placem_Collection'!C198</f>
        <v>Dry_Ag4_CG1</v>
      </c>
      <c r="H197" s="265" t="s">
        <v>2541</v>
      </c>
      <c r="I197" s="266" t="s">
        <v>1147</v>
      </c>
      <c r="J197" s="263" t="str">
        <f>IF(ISBLANK('Dry_Litterbag Placem_Collection'!J198),"","G"&amp;""&amp;'Dry_Litterbag Placem_Collection'!J198)</f>
        <v>G12</v>
      </c>
      <c r="K197" s="267">
        <f>IFERROR(INDEX('Green_rooibos initial weight'!$C$5:$C$1749,MATCH(J197, 'Green_rooibos initial weight'!$A$5:$A$1749,0)),"")</f>
        <v>1.9870000000000001</v>
      </c>
      <c r="L197" s="267">
        <f>IFERROR(K197-(TBIcalc!$Q$9+TBIcalc!$Q$10),"")</f>
        <v>1.7372000000000001</v>
      </c>
      <c r="M197" s="391">
        <f>AVERAGE(Ashed_controlls!$K$2:$K$11)</f>
        <v>5.5147656768714146</v>
      </c>
      <c r="N197" s="267">
        <f t="shared" si="16"/>
        <v>1.64139749066139</v>
      </c>
      <c r="O197" s="267">
        <f>IF(IFERROR(INDEX('Both teabags AfterDry'!$D$3:$D$900,MATCH(J197,'Both teabags AfterDry'!$A$3:$A$900,0)),"")="","",(IFERROR(INDEX('Both teabags AfterDry'!$D$3:$D$900,MATCH(J197,'Both teabags AfterDry'!$A$3:$A$900,0)),"")))</f>
        <v>0.748</v>
      </c>
      <c r="P197" s="267">
        <f>IFERROR(IF(O197&gt;0,O197-(TBIcalc!$Q$9),""),"")</f>
        <v>0.59739999999999993</v>
      </c>
      <c r="Q197" s="278">
        <f>IFERROR(INDEX('Ashed teabags dry'!$K$2:$K$825,MATCH(J197,'Ashed teabags dry'!$A$2:$A$825,0)),"")</f>
        <v>27.855421686746478</v>
      </c>
      <c r="R197" s="278">
        <f t="shared" si="17"/>
        <v>0.43099171084337651</v>
      </c>
      <c r="S197" s="268">
        <f>'Dry_Litterbag Placem_Collection'!E198</f>
        <v>42942</v>
      </c>
      <c r="T197" s="268">
        <f>IF('Dry_Litterbag Placem_Collection'!G198="","",'Dry_Litterbag Placem_Collection'!G198)</f>
        <v>43004</v>
      </c>
      <c r="U197" s="269">
        <f t="shared" si="15"/>
        <v>62</v>
      </c>
      <c r="V197" s="267">
        <f t="shared" si="18"/>
        <v>1.1398000000000001</v>
      </c>
      <c r="W197" s="267">
        <f t="shared" si="19"/>
        <v>1.2104057798180134</v>
      </c>
      <c r="X197" s="271">
        <f>IFERROR(INDEX(Rainfall_Dry!$O$2:$O$217,MATCH(B197, Rainfall_Dry!$A$2:$A$217,0)),"")</f>
        <v>171.84818423999999</v>
      </c>
      <c r="Y197" s="260">
        <v>51.960000000000008</v>
      </c>
      <c r="Z197" s="260">
        <v>18.919999999999995</v>
      </c>
      <c r="AA197" s="260">
        <v>29.120000000000005</v>
      </c>
      <c r="AB197" s="261" t="s">
        <v>2673</v>
      </c>
      <c r="AC197" s="260">
        <v>1.85293247905372</v>
      </c>
      <c r="AD197">
        <f>IF('WetLitterbags placem_collection'!AB198="","",'WetLitterbags placem_collection'!AB198)</f>
        <v>13.8</v>
      </c>
      <c r="AE197">
        <f>IF('WetLitterbags placem_collection'!Z198="","",'WetLitterbags placem_collection'!Z198)</f>
        <v>17.399999999999999</v>
      </c>
      <c r="AF197" s="246" t="str">
        <f>IF('WetLitterbags placem_collection'!AA198="","",'WetLitterbags placem_collection'!AA198)</f>
        <v>O</v>
      </c>
      <c r="AG197">
        <f>IF('WetLitterbags placem_collection'!AC198="","",'WetLitterbags placem_collection'!AC198)</f>
        <v>1</v>
      </c>
      <c r="AH197">
        <f>IFERROR(AVERAGE('Dry_Litterbag Placem_Collection'!O198,'Dry_Litterbag Placem_Collection'!R198),"")</f>
        <v>12.45</v>
      </c>
      <c r="AI197" s="271">
        <f>IFERROR(AVERAGE('Dry_Litterbag Placem_Collection'!N198,'Dry_Litterbag Placem_Collection'!Q198),"")</f>
        <v>26.65</v>
      </c>
      <c r="AJ197">
        <v>-2.439403972</v>
      </c>
      <c r="AK197">
        <v>34.838404959999998</v>
      </c>
      <c r="AL197" s="270" t="str">
        <f>IF(ISNUMBER(SEARCH("C", 'Dry_Litterbag Placem_Collection'!S198)),"YES","NO")</f>
        <v>NO</v>
      </c>
      <c r="AM197" s="270" t="str">
        <f>IF(ISNUMBER(SEARCH("H", 'Dry_Litterbag Placem_Collection'!S198)),"YES","NO")</f>
        <v>YES</v>
      </c>
      <c r="AN197" s="270" t="str">
        <f>IF(ISNUMBER(SEARCH("R", 'Dry_Litterbag Placem_Collection'!S198)),"YES","NO")</f>
        <v>NO</v>
      </c>
    </row>
    <row r="198" spans="1:40" ht="15" customHeight="1">
      <c r="A198" s="262" t="s">
        <v>2659</v>
      </c>
      <c r="B198" s="263">
        <f>'Dry_Litterbag Placem_Collection'!A199</f>
        <v>197</v>
      </c>
      <c r="C198" s="263" t="str">
        <f>'Dry_Litterbag Placem_Collection'!B199</f>
        <v>Makao</v>
      </c>
      <c r="D198" s="263" t="s">
        <v>2659</v>
      </c>
      <c r="E198" s="263" t="s">
        <v>2526</v>
      </c>
      <c r="F198" s="263">
        <v>2</v>
      </c>
      <c r="G198" s="264" t="str">
        <f>'Dry_Litterbag Placem_Collection'!C199</f>
        <v>Dry_P1_CG2</v>
      </c>
      <c r="H198" s="265" t="s">
        <v>2541</v>
      </c>
      <c r="I198" s="266" t="s">
        <v>1147</v>
      </c>
      <c r="J198" s="263" t="str">
        <f>IF(ISBLANK('Dry_Litterbag Placem_Collection'!J199),"","G"&amp;""&amp;'Dry_Litterbag Placem_Collection'!J199)</f>
        <v>G399</v>
      </c>
      <c r="K198" s="267">
        <f>IFERROR(INDEX('Green_rooibos initial weight'!$C$5:$C$1749,MATCH(J198, 'Green_rooibos initial weight'!$A$5:$A$1749,0)),"")</f>
        <v>2.0070000000000001</v>
      </c>
      <c r="L198" s="267">
        <f>IFERROR(K198-(TBIcalc!$Q$9+TBIcalc!$Q$10),"")</f>
        <v>1.7572000000000001</v>
      </c>
      <c r="M198" s="391">
        <f>AVERAGE(Ashed_controlls!$K$2:$K$11)</f>
        <v>5.5147656768714146</v>
      </c>
      <c r="N198" s="267">
        <f t="shared" si="16"/>
        <v>1.6602945375260156</v>
      </c>
      <c r="O198" s="267">
        <f>IF(IFERROR(INDEX('Both teabags AfterDry'!$D$3:$D$900,MATCH(J198,'Both teabags AfterDry'!$A$3:$A$900,0)),"")="","",(IFERROR(INDEX('Both teabags AfterDry'!$D$3:$D$900,MATCH(J198,'Both teabags AfterDry'!$A$3:$A$900,0)),"")))</f>
        <v>0.69</v>
      </c>
      <c r="P198" s="267">
        <f>IFERROR(IF(O198&gt;0,O198-(TBIcalc!$Q$9),""),"")</f>
        <v>0.53939999999999988</v>
      </c>
      <c r="Q198" s="278">
        <f>IFERROR(INDEX('Ashed teabags dry'!$K$2:$K$825,MATCH(J198,'Ashed teabags dry'!$A$2:$A$825,0)),"")</f>
        <v>18.458698661744211</v>
      </c>
      <c r="R198" s="278">
        <f t="shared" si="17"/>
        <v>0.43983377941855162</v>
      </c>
      <c r="S198" s="268">
        <f>'Dry_Litterbag Placem_Collection'!E199</f>
        <v>42942</v>
      </c>
      <c r="T198" s="268">
        <f>IF('Dry_Litterbag Placem_Collection'!G199="","",'Dry_Litterbag Placem_Collection'!G199)</f>
        <v>43004</v>
      </c>
      <c r="U198" s="269">
        <f t="shared" si="15"/>
        <v>62</v>
      </c>
      <c r="V198" s="267">
        <f t="shared" si="18"/>
        <v>1.2178000000000002</v>
      </c>
      <c r="W198" s="267">
        <f t="shared" si="19"/>
        <v>1.220460758107464</v>
      </c>
      <c r="X198" s="271">
        <f>IFERROR(INDEX(Rainfall_Dry!$O$2:$O$217,MATCH(B198, Rainfall_Dry!$A$2:$A$217,0)),"")</f>
        <v>171.84818423999999</v>
      </c>
      <c r="Y198" s="260">
        <v>23.96</v>
      </c>
      <c r="Z198" s="260">
        <v>0.91999999999999804</v>
      </c>
      <c r="AA198" s="260">
        <v>75.12</v>
      </c>
      <c r="AB198" s="261" t="s">
        <v>2670</v>
      </c>
      <c r="AC198" s="260">
        <v>1.2493839329719072</v>
      </c>
      <c r="AD198">
        <f>IF('WetLitterbags placem_collection'!AB199="","",'WetLitterbags placem_collection'!AB199)</f>
        <v>5.13</v>
      </c>
      <c r="AE198">
        <f>IF('WetLitterbags placem_collection'!Z199="","",'WetLitterbags placem_collection'!Z199)</f>
        <v>5.13</v>
      </c>
      <c r="AF198" s="246" t="str">
        <f>IF('WetLitterbags placem_collection'!AA199="","",'WetLitterbags placem_collection'!AA199)</f>
        <v>O</v>
      </c>
      <c r="AG198">
        <f>IF('WetLitterbags placem_collection'!AC199="","",'WetLitterbags placem_collection'!AC199)</f>
        <v>1</v>
      </c>
      <c r="AH198">
        <f>IFERROR(AVERAGE('Dry_Litterbag Placem_Collection'!O199,'Dry_Litterbag Placem_Collection'!R199),"")</f>
        <v>6.3000000000000007</v>
      </c>
      <c r="AI198" s="271">
        <f>IFERROR(AVERAGE('Dry_Litterbag Placem_Collection'!N199,'Dry_Litterbag Placem_Collection'!Q199),"")</f>
        <v>29.05</v>
      </c>
      <c r="AJ198">
        <v>-2.4396450349999999</v>
      </c>
      <c r="AK198">
        <v>34.83836599</v>
      </c>
      <c r="AL198" s="270" t="str">
        <f>IF(ISNUMBER(SEARCH("C", 'Dry_Litterbag Placem_Collection'!S199)),"YES","NO")</f>
        <v>NO</v>
      </c>
      <c r="AM198" s="270" t="str">
        <f>IF(ISNUMBER(SEARCH("H", 'Dry_Litterbag Placem_Collection'!S199)),"YES","NO")</f>
        <v>NO</v>
      </c>
      <c r="AN198" s="270" t="str">
        <f>IF(ISNUMBER(SEARCH("R", 'Dry_Litterbag Placem_Collection'!S199)),"YES","NO")</f>
        <v>YES</v>
      </c>
    </row>
    <row r="199" spans="1:40" ht="15" customHeight="1">
      <c r="A199" s="262" t="s">
        <v>2659</v>
      </c>
      <c r="B199" s="263">
        <f>'Dry_Litterbag Placem_Collection'!A200</f>
        <v>198</v>
      </c>
      <c r="C199" s="263" t="str">
        <f>'Dry_Litterbag Placem_Collection'!B200</f>
        <v>Makao</v>
      </c>
      <c r="D199" s="263" t="s">
        <v>2659</v>
      </c>
      <c r="E199" s="263" t="s">
        <v>2526</v>
      </c>
      <c r="F199" s="263">
        <v>3</v>
      </c>
      <c r="G199" s="264" t="str">
        <f>'Dry_Litterbag Placem_Collection'!C200</f>
        <v>Dry_P2_CG3</v>
      </c>
      <c r="H199" s="265" t="s">
        <v>2541</v>
      </c>
      <c r="I199" s="266" t="s">
        <v>1147</v>
      </c>
      <c r="J199" s="263" t="str">
        <f>IF(ISBLANK('Dry_Litterbag Placem_Collection'!J200),"","G"&amp;""&amp;'Dry_Litterbag Placem_Collection'!J200)</f>
        <v>G27</v>
      </c>
      <c r="K199" s="267">
        <f>IFERROR(INDEX('Green_rooibos initial weight'!$C$5:$C$1749,MATCH(J199, 'Green_rooibos initial weight'!$A$5:$A$1749,0)),"")</f>
        <v>1.966</v>
      </c>
      <c r="L199" s="267">
        <f>IFERROR(K199-(TBIcalc!$Q$9+TBIcalc!$Q$10),"")</f>
        <v>1.7161999999999999</v>
      </c>
      <c r="M199" s="391">
        <f>AVERAGE(Ashed_controlls!$K$2:$K$11)</f>
        <v>5.5147656768714146</v>
      </c>
      <c r="N199" s="267">
        <f t="shared" si="16"/>
        <v>1.6215555914535327</v>
      </c>
      <c r="O199" s="267">
        <f>IF(IFERROR(INDEX('Both teabags AfterDry'!$D$3:$D$900,MATCH(J199,'Both teabags AfterDry'!$A$3:$A$900,0)),"")="","",(IFERROR(INDEX('Both teabags AfterDry'!$D$3:$D$900,MATCH(J199,'Both teabags AfterDry'!$A$3:$A$900,0)),"")))</f>
        <v>0.73799999999999999</v>
      </c>
      <c r="P199" s="267">
        <f>IFERROR(IF(O199&gt;0,O199-(TBIcalc!$Q$9),""),"")</f>
        <v>0.58739999999999992</v>
      </c>
      <c r="Q199" s="278">
        <f>IFERROR(INDEX('Ashed teabags dry'!$K$2:$K$825,MATCH(J199,'Ashed teabags dry'!$A$2:$A$825,0)),"")</f>
        <v>26.042177538007827</v>
      </c>
      <c r="R199" s="278">
        <f t="shared" si="17"/>
        <v>0.43442824914174194</v>
      </c>
      <c r="S199" s="268">
        <f>'Dry_Litterbag Placem_Collection'!E200</f>
        <v>42942</v>
      </c>
      <c r="T199" s="268">
        <f>IF('Dry_Litterbag Placem_Collection'!G200="","",'Dry_Litterbag Placem_Collection'!G200)</f>
        <v>43004</v>
      </c>
      <c r="U199" s="269">
        <f t="shared" si="15"/>
        <v>62</v>
      </c>
      <c r="V199" s="267">
        <f t="shared" si="18"/>
        <v>1.1288</v>
      </c>
      <c r="W199" s="267">
        <f t="shared" si="19"/>
        <v>1.1871273423117907</v>
      </c>
      <c r="X199" s="271">
        <f>IFERROR(INDEX(Rainfall_Dry!$O$2:$O$217,MATCH(B199, Rainfall_Dry!$A$2:$A$217,0)),"")</f>
        <v>171.84818423999999</v>
      </c>
      <c r="Y199" s="260">
        <v>19.96</v>
      </c>
      <c r="Z199" s="260">
        <v>4.9199999999999982</v>
      </c>
      <c r="AA199" s="260">
        <v>75.12</v>
      </c>
      <c r="AB199" s="261" t="s">
        <v>2671</v>
      </c>
      <c r="AC199" s="260">
        <v>1.641498275012321</v>
      </c>
      <c r="AD199">
        <f>IF('WetLitterbags placem_collection'!AB200="","",'WetLitterbags placem_collection'!AB200)</f>
        <v>7.9</v>
      </c>
      <c r="AE199">
        <f>IF('WetLitterbags placem_collection'!Z200="","",'WetLitterbags placem_collection'!Z200)</f>
        <v>7.9</v>
      </c>
      <c r="AF199" s="246" t="str">
        <f>IF('WetLitterbags placem_collection'!AA200="","",'WetLitterbags placem_collection'!AA200)</f>
        <v>O</v>
      </c>
      <c r="AG199">
        <f>IF('WetLitterbags placem_collection'!AC200="","",'WetLitterbags placem_collection'!AC200)</f>
        <v>1</v>
      </c>
      <c r="AH199">
        <f>IFERROR(AVERAGE('Dry_Litterbag Placem_Collection'!O200,'Dry_Litterbag Placem_Collection'!R200),"")</f>
        <v>4.8499999999999996</v>
      </c>
      <c r="AI199" s="271">
        <f>IFERROR(AVERAGE('Dry_Litterbag Placem_Collection'!N200,'Dry_Litterbag Placem_Collection'!Q200),"")</f>
        <v>30.25</v>
      </c>
      <c r="AJ199">
        <v>-2.4395990190000001</v>
      </c>
      <c r="AK199">
        <v>34.838418959999998</v>
      </c>
      <c r="AL199" s="270" t="str">
        <f>IF(ISNUMBER(SEARCH("C", 'Dry_Litterbag Placem_Collection'!S200)),"YES","NO")</f>
        <v>NO</v>
      </c>
      <c r="AM199" s="270" t="str">
        <f>IF(ISNUMBER(SEARCH("H", 'Dry_Litterbag Placem_Collection'!S200)),"YES","NO")</f>
        <v>NO</v>
      </c>
      <c r="AN199" s="270" t="str">
        <f>IF(ISNUMBER(SEARCH("R", 'Dry_Litterbag Placem_Collection'!S200)),"YES","NO")</f>
        <v>YES</v>
      </c>
    </row>
    <row r="200" spans="1:40" ht="15" customHeight="1">
      <c r="A200" s="262" t="s">
        <v>2659</v>
      </c>
      <c r="B200" s="263">
        <f>'Dry_Litterbag Placem_Collection'!A201</f>
        <v>199</v>
      </c>
      <c r="C200" s="263" t="str">
        <f>'Dry_Litterbag Placem_Collection'!B201</f>
        <v>Makao</v>
      </c>
      <c r="D200" s="263" t="s">
        <v>2659</v>
      </c>
      <c r="E200" s="263" t="s">
        <v>2526</v>
      </c>
      <c r="F200" s="263">
        <v>1</v>
      </c>
      <c r="G200" s="264" t="str">
        <f>'Dry_Litterbag Placem_Collection'!C201</f>
        <v>Dry_P3_CG1</v>
      </c>
      <c r="H200" s="265" t="s">
        <v>2541</v>
      </c>
      <c r="I200" s="266" t="s">
        <v>1147</v>
      </c>
      <c r="J200" s="263" t="str">
        <f>IF(ISBLANK('Dry_Litterbag Placem_Collection'!J201),"","G"&amp;""&amp;'Dry_Litterbag Placem_Collection'!J201)</f>
        <v>G224</v>
      </c>
      <c r="K200" s="267">
        <f>IFERROR(INDEX('Green_rooibos initial weight'!$C$5:$C$1749,MATCH(J200, 'Green_rooibos initial weight'!$A$5:$A$1749,0)),"")</f>
        <v>2.0259999999999998</v>
      </c>
      <c r="L200" s="267">
        <f>IFERROR(K200-(TBIcalc!$Q$9+TBIcalc!$Q$10),"")</f>
        <v>1.7761999999999998</v>
      </c>
      <c r="M200" s="391">
        <f>AVERAGE(Ashed_controlls!$K$2:$K$11)</f>
        <v>5.5147656768714146</v>
      </c>
      <c r="N200" s="267">
        <f t="shared" si="16"/>
        <v>1.6782467320474097</v>
      </c>
      <c r="O200" s="267">
        <f>IF(IFERROR(INDEX('Both teabags AfterDry'!$D$3:$D$900,MATCH(J200,'Both teabags AfterDry'!$A$3:$A$900,0)),"")="","",(IFERROR(INDEX('Both teabags AfterDry'!$D$3:$D$900,MATCH(J200,'Both teabags AfterDry'!$A$3:$A$900,0)),"")))</f>
        <v>0.53049999999999997</v>
      </c>
      <c r="P200" s="267">
        <f>IFERROR(IF(O200&gt;0,O200-(TBIcalc!$Q$9),""),"")</f>
        <v>0.37989999999999996</v>
      </c>
      <c r="Q200" s="278">
        <f>IFERROR(INDEX('Ashed teabags dry'!$K$2:$K$825,MATCH(J200,'Ashed teabags dry'!$A$2:$A$825,0)),"")</f>
        <v>22.616075886170179</v>
      </c>
      <c r="R200" s="278">
        <f t="shared" si="17"/>
        <v>0.29398152770843944</v>
      </c>
      <c r="S200" s="268">
        <f>'Dry_Litterbag Placem_Collection'!E201</f>
        <v>42942</v>
      </c>
      <c r="T200" s="268">
        <f>IF('Dry_Litterbag Placem_Collection'!G201="","",'Dry_Litterbag Placem_Collection'!G201)</f>
        <v>43004</v>
      </c>
      <c r="U200" s="269">
        <f t="shared" si="15"/>
        <v>62</v>
      </c>
      <c r="V200" s="267">
        <f t="shared" si="18"/>
        <v>1.3962999999999999</v>
      </c>
      <c r="W200" s="267">
        <f t="shared" si="19"/>
        <v>1.3842652043389703</v>
      </c>
      <c r="X200" s="271">
        <f>IFERROR(INDEX(Rainfall_Dry!$O$2:$O$217,MATCH(B200, Rainfall_Dry!$A$2:$A$217,0)),"")</f>
        <v>171.84818423999999</v>
      </c>
      <c r="Y200" s="260">
        <v>21.96</v>
      </c>
      <c r="Z200" s="260">
        <v>8.9199999999999982</v>
      </c>
      <c r="AA200" s="260">
        <v>69.12</v>
      </c>
      <c r="AB200" s="261" t="s">
        <v>2670</v>
      </c>
      <c r="AC200" s="260">
        <v>1.7491375061606702</v>
      </c>
      <c r="AD200">
        <f>IF('WetLitterbags placem_collection'!AB201="","",'WetLitterbags placem_collection'!AB201)</f>
        <v>13.8</v>
      </c>
      <c r="AE200">
        <f>IF('WetLitterbags placem_collection'!Z201="","",'WetLitterbags placem_collection'!Z201)</f>
        <v>17.399999999999999</v>
      </c>
      <c r="AF200" s="246" t="str">
        <f>IF('WetLitterbags placem_collection'!AA201="","",'WetLitterbags placem_collection'!AA201)</f>
        <v>O</v>
      </c>
      <c r="AG200">
        <f>IF('WetLitterbags placem_collection'!AC201="","",'WetLitterbags placem_collection'!AC201)</f>
        <v>1</v>
      </c>
      <c r="AH200">
        <f>IFERROR(AVERAGE('Dry_Litterbag Placem_Collection'!O201,'Dry_Litterbag Placem_Collection'!R201),"")</f>
        <v>6.1999999999999993</v>
      </c>
      <c r="AI200" s="271">
        <f>IFERROR(AVERAGE('Dry_Litterbag Placem_Collection'!N201,'Dry_Litterbag Placem_Collection'!Q201),"")</f>
        <v>27.200000000000003</v>
      </c>
      <c r="AJ200">
        <v>-2.439403972</v>
      </c>
      <c r="AK200">
        <v>34.838404959999998</v>
      </c>
      <c r="AL200" s="270" t="str">
        <f>IF(ISNUMBER(SEARCH("C", 'Dry_Litterbag Placem_Collection'!S201)),"YES","NO")</f>
        <v>NO</v>
      </c>
      <c r="AM200" s="270" t="str">
        <f>IF(ISNUMBER(SEARCH("H", 'Dry_Litterbag Placem_Collection'!S201)),"YES","NO")</f>
        <v>YES</v>
      </c>
      <c r="AN200" s="270" t="str">
        <f>IF(ISNUMBER(SEARCH("R", 'Dry_Litterbag Placem_Collection'!S201)),"YES","NO")</f>
        <v>NO</v>
      </c>
    </row>
    <row r="201" spans="1:40" ht="15" customHeight="1">
      <c r="A201" s="262" t="s">
        <v>2659</v>
      </c>
      <c r="B201" s="263">
        <f>'Dry_Litterbag Placem_Collection'!A202</f>
        <v>200</v>
      </c>
      <c r="C201" s="263" t="str">
        <f>'Dry_Litterbag Placem_Collection'!B202</f>
        <v>Makao</v>
      </c>
      <c r="D201" s="263" t="s">
        <v>2659</v>
      </c>
      <c r="E201" s="263" t="s">
        <v>2526</v>
      </c>
      <c r="F201" s="263">
        <v>4</v>
      </c>
      <c r="G201" s="264" t="str">
        <f>'Dry_Litterbag Placem_Collection'!C202</f>
        <v>Dry_P4_CG4</v>
      </c>
      <c r="H201" s="265" t="s">
        <v>2541</v>
      </c>
      <c r="I201" s="266" t="s">
        <v>1147</v>
      </c>
      <c r="J201" s="263" t="str">
        <f>IF(ISBLANK('Dry_Litterbag Placem_Collection'!J202),"","G"&amp;""&amp;'Dry_Litterbag Placem_Collection'!J202)</f>
        <v>G158</v>
      </c>
      <c r="K201" s="267">
        <f>IFERROR(INDEX('Green_rooibos initial weight'!$C$5:$C$1749,MATCH(J201, 'Green_rooibos initial weight'!$A$5:$A$1749,0)),"")</f>
        <v>2.0609999999999999</v>
      </c>
      <c r="L201" s="267">
        <f>IFERROR(K201-(TBIcalc!$Q$9+TBIcalc!$Q$10),"")</f>
        <v>1.8111999999999999</v>
      </c>
      <c r="M201" s="391">
        <f>AVERAGE(Ashed_controlls!$K$2:$K$11)</f>
        <v>5.5147656768714146</v>
      </c>
      <c r="N201" s="267">
        <f t="shared" si="16"/>
        <v>1.7113165640605048</v>
      </c>
      <c r="O201" s="267">
        <f>IF(IFERROR(INDEX('Both teabags AfterDry'!$D$3:$D$900,MATCH(J201,'Both teabags AfterDry'!$A$3:$A$900,0)),"")="","",(IFERROR(INDEX('Both teabags AfterDry'!$D$3:$D$900,MATCH(J201,'Both teabags AfterDry'!$A$3:$A$900,0)),"")))</f>
        <v>0.71050000000000002</v>
      </c>
      <c r="P201" s="267">
        <f>IFERROR(IF(O201&gt;0,O201-(TBIcalc!$Q$9),""),"")</f>
        <v>0.55990000000000006</v>
      </c>
      <c r="Q201" s="278">
        <f>IFERROR(INDEX('Ashed teabags dry'!$K$2:$K$825,MATCH(J201,'Ashed teabags dry'!$A$2:$A$825,0)),"")</f>
        <v>21.295855169128785</v>
      </c>
      <c r="R201" s="278">
        <f t="shared" si="17"/>
        <v>0.44066450690804798</v>
      </c>
      <c r="S201" s="268">
        <f>'Dry_Litterbag Placem_Collection'!E202</f>
        <v>42942</v>
      </c>
      <c r="T201" s="268">
        <f>IF('Dry_Litterbag Placem_Collection'!G202="","",'Dry_Litterbag Placem_Collection'!G202)</f>
        <v>43004</v>
      </c>
      <c r="U201" s="269">
        <f t="shared" si="15"/>
        <v>62</v>
      </c>
      <c r="V201" s="267">
        <f t="shared" si="18"/>
        <v>1.2512999999999999</v>
      </c>
      <c r="W201" s="267">
        <f t="shared" si="19"/>
        <v>1.2706520571524569</v>
      </c>
      <c r="X201" s="271">
        <f>IFERROR(INDEX(Rainfall_Dry!$O$2:$O$217,MATCH(B201, Rainfall_Dry!$A$2:$A$217,0)),"")</f>
        <v>171.84818423999999</v>
      </c>
      <c r="Y201" s="260">
        <v>25.96</v>
      </c>
      <c r="Z201" s="260">
        <v>6.9200000000000008</v>
      </c>
      <c r="AA201" s="260">
        <v>67.12</v>
      </c>
      <c r="AB201" s="261" t="s">
        <v>2670</v>
      </c>
      <c r="AC201" s="260">
        <v>1.7568260226712666</v>
      </c>
      <c r="AD201">
        <f>IF('WetLitterbags placem_collection'!AB202="","",'WetLitterbags placem_collection'!AB202)</f>
        <v>15.2</v>
      </c>
      <c r="AE201">
        <f>IF('WetLitterbags placem_collection'!Z202="","",'WetLitterbags placem_collection'!Z202)</f>
        <v>12.2</v>
      </c>
      <c r="AF201" s="246" t="str">
        <f>IF('WetLitterbags placem_collection'!AA202="","",'WetLitterbags placem_collection'!AA202)</f>
        <v>O</v>
      </c>
      <c r="AG201">
        <f>IF('WetLitterbags placem_collection'!AC202="","",'WetLitterbags placem_collection'!AC202)</f>
        <v>1</v>
      </c>
      <c r="AH201">
        <f>IFERROR(AVERAGE('Dry_Litterbag Placem_Collection'!O202,'Dry_Litterbag Placem_Collection'!R202),"")</f>
        <v>7</v>
      </c>
      <c r="AI201" s="271">
        <f>IFERROR(AVERAGE('Dry_Litterbag Placem_Collection'!N202,'Dry_Litterbag Placem_Collection'!Q202),"")</f>
        <v>32.9</v>
      </c>
      <c r="AJ201">
        <v>-2.4396949910000001</v>
      </c>
      <c r="AK201">
        <v>34.838574029999997</v>
      </c>
      <c r="AL201" s="270" t="str">
        <f>IF(ISNUMBER(SEARCH("C", 'Dry_Litterbag Placem_Collection'!S202)),"YES","NO")</f>
        <v>NO</v>
      </c>
      <c r="AM201" s="270" t="str">
        <f>IF(ISNUMBER(SEARCH("H", 'Dry_Litterbag Placem_Collection'!S202)),"YES","NO")</f>
        <v>NO</v>
      </c>
      <c r="AN201" s="270" t="str">
        <f>IF(ISNUMBER(SEARCH("R", 'Dry_Litterbag Placem_Collection'!S202)),"YES","NO")</f>
        <v>YES</v>
      </c>
    </row>
    <row r="202" spans="1:40" ht="15" customHeight="1">
      <c r="A202" s="262" t="s">
        <v>2659</v>
      </c>
      <c r="B202" s="263">
        <f>'Dry_Litterbag Placem_Collection'!A203</f>
        <v>201</v>
      </c>
      <c r="C202" s="263" t="str">
        <f>'Dry_Litterbag Placem_Collection'!B203</f>
        <v>Maswa</v>
      </c>
      <c r="D202" s="263" t="s">
        <v>2659</v>
      </c>
      <c r="E202" s="263" t="s">
        <v>2526</v>
      </c>
      <c r="F202" s="263">
        <v>4</v>
      </c>
      <c r="G202" s="264" t="str">
        <f>'Dry_Litterbag Placem_Collection'!C203</f>
        <v>Dry_W3_CG4</v>
      </c>
      <c r="H202" s="265" t="s">
        <v>2541</v>
      </c>
      <c r="I202" s="266" t="s">
        <v>1147</v>
      </c>
      <c r="J202" s="263" t="str">
        <f>IF(ISBLANK('Dry_Litterbag Placem_Collection'!J203),"","G"&amp;""&amp;'Dry_Litterbag Placem_Collection'!J203)</f>
        <v>G211</v>
      </c>
      <c r="K202" s="267">
        <f>IFERROR(INDEX('Green_rooibos initial weight'!$C$5:$C$1749,MATCH(J202, 'Green_rooibos initial weight'!$A$5:$A$1749,0)),"")</f>
        <v>2.06</v>
      </c>
      <c r="L202" s="267">
        <f>IFERROR(K202-(TBIcalc!$Q$9+TBIcalc!$Q$10),"")</f>
        <v>1.8102</v>
      </c>
      <c r="M202" s="391">
        <f>AVERAGE(Ashed_controlls!$K$2:$K$11)</f>
        <v>5.5147656768714146</v>
      </c>
      <c r="N202" s="267">
        <f t="shared" si="16"/>
        <v>1.7103717117172736</v>
      </c>
      <c r="O202" s="267">
        <f>IF(IFERROR(INDEX('Both teabags AfterDry'!$D$3:$D$900,MATCH(J202,'Both teabags AfterDry'!$A$3:$A$900,0)),"")="","",(IFERROR(INDEX('Both teabags AfterDry'!$D$3:$D$900,MATCH(J202,'Both teabags AfterDry'!$A$3:$A$900,0)),"")))</f>
        <v>0.67300000000000004</v>
      </c>
      <c r="P202" s="267">
        <f>IFERROR(IF(O202&gt;0,O202-(TBIcalc!$Q$9),""),"")</f>
        <v>0.52239999999999998</v>
      </c>
      <c r="Q202" s="278">
        <f>IFERROR(INDEX('Ashed teabags dry'!$K$2:$K$825,MATCH(J202,'Ashed teabags dry'!$A$2:$A$825,0)),"")</f>
        <v>67.294685990337157</v>
      </c>
      <c r="R202" s="278">
        <f t="shared" si="17"/>
        <v>0.17085256038647867</v>
      </c>
      <c r="S202" s="268">
        <f>'Dry_Litterbag Placem_Collection'!E203</f>
        <v>42942</v>
      </c>
      <c r="T202" s="268">
        <f>IF('Dry_Litterbag Placem_Collection'!G203="","",'Dry_Litterbag Placem_Collection'!G203)</f>
        <v>43004</v>
      </c>
      <c r="U202" s="269">
        <f t="shared" si="15"/>
        <v>62</v>
      </c>
      <c r="V202" s="267">
        <f t="shared" si="18"/>
        <v>1.2878000000000001</v>
      </c>
      <c r="W202" s="267">
        <f t="shared" si="19"/>
        <v>1.5395191513307949</v>
      </c>
      <c r="X202" s="271">
        <f>IFERROR(INDEX(Rainfall_Dry!$O$2:$O$217,MATCH(B202, Rainfall_Dry!$A$2:$A$217,0)),"")</f>
        <v>171.84818423999999</v>
      </c>
      <c r="Y202" s="260">
        <v>38.691629007962128</v>
      </c>
      <c r="Z202" s="260">
        <v>26.81299763288143</v>
      </c>
      <c r="AA202" s="260">
        <v>34.495373359156439</v>
      </c>
      <c r="AB202" s="261" t="s">
        <v>2675</v>
      </c>
      <c r="AC202" s="260">
        <v>2.5483587974371611</v>
      </c>
      <c r="AD202">
        <f>IF('WetLitterbags placem_collection'!AB203="","",'WetLitterbags placem_collection'!AB203)</f>
        <v>15.2</v>
      </c>
      <c r="AE202">
        <f>IF('WetLitterbags placem_collection'!Z203="","",'WetLitterbags placem_collection'!Z203)</f>
        <v>12.2</v>
      </c>
      <c r="AF202" s="246" t="str">
        <f>IF('WetLitterbags placem_collection'!AA203="","",'WetLitterbags placem_collection'!AA203)</f>
        <v>O</v>
      </c>
      <c r="AG202">
        <f>IF('WetLitterbags placem_collection'!AC203="","",'WetLitterbags placem_collection'!AC203)</f>
        <v>1</v>
      </c>
      <c r="AH202">
        <f>IFERROR(AVERAGE('Dry_Litterbag Placem_Collection'!O203,'Dry_Litterbag Placem_Collection'!R203),"")</f>
        <v>8.9</v>
      </c>
      <c r="AI202" s="271">
        <f>IFERROR(AVERAGE('Dry_Litterbag Placem_Collection'!N203,'Dry_Litterbag Placem_Collection'!Q203),"")</f>
        <v>29.15</v>
      </c>
      <c r="AJ202">
        <v>-2.4396949910000001</v>
      </c>
      <c r="AK202">
        <v>34.838574029999997</v>
      </c>
      <c r="AL202" s="270" t="str">
        <f>IF(ISNUMBER(SEARCH("C", 'Dry_Litterbag Placem_Collection'!S203)),"YES","NO")</f>
        <v>NO</v>
      </c>
      <c r="AM202" s="270" t="str">
        <f>IF(ISNUMBER(SEARCH("H", 'Dry_Litterbag Placem_Collection'!S203)),"YES","NO")</f>
        <v>YES</v>
      </c>
      <c r="AN202" s="270" t="str">
        <f>IF(ISNUMBER(SEARCH("R", 'Dry_Litterbag Placem_Collection'!S203)),"YES","NO")</f>
        <v>YES</v>
      </c>
    </row>
    <row r="203" spans="1:40" ht="15" customHeight="1">
      <c r="A203" s="262" t="s">
        <v>2659</v>
      </c>
      <c r="B203" s="263">
        <f>'Dry_Litterbag Placem_Collection'!A204</f>
        <v>202</v>
      </c>
      <c r="C203" s="263" t="str">
        <f>'Dry_Litterbag Placem_Collection'!B204</f>
        <v>Maswa</v>
      </c>
      <c r="D203" s="263" t="s">
        <v>2659</v>
      </c>
      <c r="E203" s="263" t="s">
        <v>2526</v>
      </c>
      <c r="F203" s="263">
        <v>1</v>
      </c>
      <c r="G203" s="264" t="str">
        <f>'Dry_Litterbag Placem_Collection'!C204</f>
        <v>Dry_W2_CG1</v>
      </c>
      <c r="H203" s="265" t="s">
        <v>2541</v>
      </c>
      <c r="I203" s="266" t="s">
        <v>1147</v>
      </c>
      <c r="J203" s="263" t="str">
        <f>IF(ISBLANK('Dry_Litterbag Placem_Collection'!J204),"","G"&amp;""&amp;'Dry_Litterbag Placem_Collection'!J204)</f>
        <v>G181</v>
      </c>
      <c r="K203" s="267">
        <f>IFERROR(INDEX('Green_rooibos initial weight'!$C$5:$C$1749,MATCH(J203, 'Green_rooibos initial weight'!$A$5:$A$1749,0)),"")</f>
        <v>1.7629999999999999</v>
      </c>
      <c r="L203" s="267">
        <f>IFERROR(K203-(TBIcalc!$Q$9+TBIcalc!$Q$10),"")</f>
        <v>1.5131999999999999</v>
      </c>
      <c r="M203" s="391">
        <f>AVERAGE(Ashed_controlls!$K$2:$K$11)</f>
        <v>5.5147656768714146</v>
      </c>
      <c r="N203" s="267">
        <f t="shared" si="16"/>
        <v>1.4297505657775815</v>
      </c>
      <c r="O203" s="267">
        <f>IF(IFERROR(INDEX('Both teabags AfterDry'!$D$3:$D$900,MATCH(J203,'Both teabags AfterDry'!$A$3:$A$900,0)),"")="","",(IFERROR(INDEX('Both teabags AfterDry'!$D$3:$D$900,MATCH(J203,'Both teabags AfterDry'!$A$3:$A$900,0)),"")))</f>
        <v>0.80740000000000001</v>
      </c>
      <c r="P203" s="267">
        <f>IFERROR(IF(O203&gt;0,O203-(TBIcalc!$Q$9),""),"")</f>
        <v>0.65680000000000005</v>
      </c>
      <c r="Q203" s="278">
        <f>IFERROR(INDEX('Ashed teabags dry'!$K$2:$K$825,MATCH(J203,'Ashed teabags dry'!$A$2:$A$825,0)),"")</f>
        <v>30.530575539568105</v>
      </c>
      <c r="R203" s="278">
        <f t="shared" si="17"/>
        <v>0.45627517985611671</v>
      </c>
      <c r="S203" s="268">
        <f>'Dry_Litterbag Placem_Collection'!E204</f>
        <v>42942</v>
      </c>
      <c r="T203" s="268">
        <f>IF('Dry_Litterbag Placem_Collection'!G204="","",'Dry_Litterbag Placem_Collection'!G204)</f>
        <v>43004</v>
      </c>
      <c r="U203" s="269">
        <f t="shared" si="15"/>
        <v>62</v>
      </c>
      <c r="V203" s="267">
        <f t="shared" si="18"/>
        <v>0.85639999999999983</v>
      </c>
      <c r="W203" s="267">
        <f t="shared" si="19"/>
        <v>0.97347538592146488</v>
      </c>
      <c r="X203" s="271">
        <f>IFERROR(INDEX(Rainfall_Dry!$O$2:$O$217,MATCH(B203, Rainfall_Dry!$A$2:$A$217,0)),"")</f>
        <v>171.84818423999999</v>
      </c>
      <c r="Y203" s="260">
        <v>45.272914521112256</v>
      </c>
      <c r="Z203" s="260">
        <v>23.604531410916575</v>
      </c>
      <c r="AA203" s="260">
        <v>31.122554067971166</v>
      </c>
      <c r="AB203" s="261" t="s">
        <v>2673</v>
      </c>
      <c r="AC203" s="260">
        <v>2.0547560374568752</v>
      </c>
      <c r="AD203">
        <f>IF('WetLitterbags placem_collection'!AB204="","",'WetLitterbags placem_collection'!AB204)</f>
        <v>13.8</v>
      </c>
      <c r="AE203">
        <f>IF('WetLitterbags placem_collection'!Z204="","",'WetLitterbags placem_collection'!Z204)</f>
        <v>17.399999999999999</v>
      </c>
      <c r="AF203" s="246" t="str">
        <f>IF('WetLitterbags placem_collection'!AA204="","",'WetLitterbags placem_collection'!AA204)</f>
        <v>O</v>
      </c>
      <c r="AG203">
        <f>IF('WetLitterbags placem_collection'!AC204="","",'WetLitterbags placem_collection'!AC204)</f>
        <v>1</v>
      </c>
      <c r="AH203">
        <f>IFERROR(AVERAGE('Dry_Litterbag Placem_Collection'!O204,'Dry_Litterbag Placem_Collection'!R204),"")</f>
        <v>6.3</v>
      </c>
      <c r="AI203" s="271">
        <f>IFERROR(AVERAGE('Dry_Litterbag Placem_Collection'!N204,'Dry_Litterbag Placem_Collection'!Q204),"")</f>
        <v>28.85</v>
      </c>
      <c r="AJ203">
        <v>-2.439403972</v>
      </c>
      <c r="AK203">
        <v>34.838404959999998</v>
      </c>
      <c r="AL203" s="270" t="str">
        <f>IF(ISNUMBER(SEARCH("C", 'Dry_Litterbag Placem_Collection'!S204)),"YES","NO")</f>
        <v>NO</v>
      </c>
      <c r="AM203" s="270" t="str">
        <f>IF(ISNUMBER(SEARCH("H", 'Dry_Litterbag Placem_Collection'!S204)),"YES","NO")</f>
        <v>NO</v>
      </c>
      <c r="AN203" s="270" t="str">
        <f>IF(ISNUMBER(SEARCH("R", 'Dry_Litterbag Placem_Collection'!S204)),"YES","NO")</f>
        <v>YES</v>
      </c>
    </row>
    <row r="204" spans="1:40" ht="15" customHeight="1">
      <c r="A204" s="262" t="s">
        <v>2659</v>
      </c>
      <c r="B204" s="263">
        <f>'Dry_Litterbag Placem_Collection'!A205</f>
        <v>203</v>
      </c>
      <c r="C204" s="263" t="str">
        <f>'Dry_Litterbag Placem_Collection'!B205</f>
        <v>Maswa</v>
      </c>
      <c r="D204" s="263" t="s">
        <v>2659</v>
      </c>
      <c r="E204" s="263" t="s">
        <v>2526</v>
      </c>
      <c r="F204" s="263">
        <v>2</v>
      </c>
      <c r="G204" s="264" t="str">
        <f>'Dry_Litterbag Placem_Collection'!C205</f>
        <v>Dry_W1_CG2</v>
      </c>
      <c r="H204" s="265" t="s">
        <v>2541</v>
      </c>
      <c r="I204" s="266" t="s">
        <v>1147</v>
      </c>
      <c r="J204" s="263" t="str">
        <f>IF(ISBLANK('Dry_Litterbag Placem_Collection'!J205),"","G"&amp;""&amp;'Dry_Litterbag Placem_Collection'!J205)</f>
        <v>G179</v>
      </c>
      <c r="K204" s="267">
        <f>IFERROR(INDEX('Green_rooibos initial weight'!$C$5:$C$1749,MATCH(J204, 'Green_rooibos initial weight'!$A$5:$A$1749,0)),"")</f>
        <v>1.9750000000000001</v>
      </c>
      <c r="L204" s="267">
        <f>IFERROR(K204-(TBIcalc!$Q$9+TBIcalc!$Q$10),"")</f>
        <v>1.7252000000000001</v>
      </c>
      <c r="M204" s="391">
        <f>AVERAGE(Ashed_controlls!$K$2:$K$11)</f>
        <v>5.5147656768714146</v>
      </c>
      <c r="N204" s="267">
        <f t="shared" si="16"/>
        <v>1.6300592625426145</v>
      </c>
      <c r="O204" s="267">
        <f>IF(IFERROR(INDEX('Both teabags AfterDry'!$D$3:$D$900,MATCH(J204,'Both teabags AfterDry'!$A$3:$A$900,0)),"")="","",(IFERROR(INDEX('Both teabags AfterDry'!$D$3:$D$900,MATCH(J204,'Both teabags AfterDry'!$A$3:$A$900,0)),"")))</f>
        <v>0.59770000000000001</v>
      </c>
      <c r="P204" s="267">
        <f>IFERROR(IF(O204&gt;0,O204-(TBIcalc!$Q$9),""),"")</f>
        <v>0.4471</v>
      </c>
      <c r="Q204" s="278">
        <f>IFERROR(INDEX('Ashed teabags dry'!$K$2:$K$825,MATCH(J204,'Ashed teabags dry'!$A$2:$A$825,0)),"")</f>
        <v>24.558823529410816</v>
      </c>
      <c r="R204" s="278">
        <f t="shared" si="17"/>
        <v>0.33729750000000425</v>
      </c>
      <c r="S204" s="268">
        <f>'Dry_Litterbag Placem_Collection'!E205</f>
        <v>42942</v>
      </c>
      <c r="T204" s="268">
        <f>IF('Dry_Litterbag Placem_Collection'!G205="","",'Dry_Litterbag Placem_Collection'!G205)</f>
        <v>43004</v>
      </c>
      <c r="U204" s="269">
        <f t="shared" si="15"/>
        <v>62</v>
      </c>
      <c r="V204" s="267">
        <f t="shared" si="18"/>
        <v>1.2781</v>
      </c>
      <c r="W204" s="267">
        <f t="shared" si="19"/>
        <v>1.2927617625426102</v>
      </c>
      <c r="X204" s="271">
        <f>IFERROR(INDEX(Rainfall_Dry!$O$2:$O$217,MATCH(B204, Rainfall_Dry!$A$2:$A$217,0)),"")</f>
        <v>171.84818423999999</v>
      </c>
      <c r="Y204" s="260">
        <v>47.96</v>
      </c>
      <c r="Z204" s="260">
        <v>22.919999999999995</v>
      </c>
      <c r="AA204" s="260">
        <v>29.120000000000012</v>
      </c>
      <c r="AB204" s="261" t="s">
        <v>2673</v>
      </c>
      <c r="AC204" s="260">
        <v>2.8831936914736325</v>
      </c>
      <c r="AD204">
        <f>IF('WetLitterbags placem_collection'!AB205="","",'WetLitterbags placem_collection'!AB205)</f>
        <v>5.13</v>
      </c>
      <c r="AE204">
        <f>IF('WetLitterbags placem_collection'!Z205="","",'WetLitterbags placem_collection'!Z205)</f>
        <v>5.13</v>
      </c>
      <c r="AF204" s="246" t="str">
        <f>IF('WetLitterbags placem_collection'!AA205="","",'WetLitterbags placem_collection'!AA205)</f>
        <v>O</v>
      </c>
      <c r="AG204">
        <f>IF('WetLitterbags placem_collection'!AC205="","",'WetLitterbags placem_collection'!AC205)</f>
        <v>1</v>
      </c>
      <c r="AH204">
        <f>IFERROR(AVERAGE('Dry_Litterbag Placem_Collection'!O205,'Dry_Litterbag Placem_Collection'!R205),"")</f>
        <v>10.100000000000001</v>
      </c>
      <c r="AI204" s="271">
        <f>IFERROR(AVERAGE('Dry_Litterbag Placem_Collection'!N205,'Dry_Litterbag Placem_Collection'!Q205),"")</f>
        <v>28.299999999999997</v>
      </c>
      <c r="AJ204">
        <v>-2.4396450349999999</v>
      </c>
      <c r="AK204">
        <v>34.83836599</v>
      </c>
      <c r="AL204" s="270" t="str">
        <f>IF(ISNUMBER(SEARCH("C", 'Dry_Litterbag Placem_Collection'!S205)),"YES","NO")</f>
        <v>NO</v>
      </c>
      <c r="AM204" s="270" t="str">
        <f>IF(ISNUMBER(SEARCH("H", 'Dry_Litterbag Placem_Collection'!S205)),"YES","NO")</f>
        <v>YES</v>
      </c>
      <c r="AN204" s="270" t="str">
        <f>IF(ISNUMBER(SEARCH("R", 'Dry_Litterbag Placem_Collection'!S205)),"YES","NO")</f>
        <v>YES</v>
      </c>
    </row>
    <row r="205" spans="1:40" ht="15" customHeight="1">
      <c r="A205" s="262" t="s">
        <v>2659</v>
      </c>
      <c r="B205" s="263">
        <f>'Dry_Litterbag Placem_Collection'!A206</f>
        <v>204</v>
      </c>
      <c r="C205" s="263" t="str">
        <f>'Dry_Litterbag Placem_Collection'!B206</f>
        <v>Maswa</v>
      </c>
      <c r="D205" s="263" t="s">
        <v>2659</v>
      </c>
      <c r="E205" s="263" t="s">
        <v>2526</v>
      </c>
      <c r="F205" s="263">
        <v>3</v>
      </c>
      <c r="G205" s="264" t="str">
        <f>'Dry_Litterbag Placem_Collection'!C206</f>
        <v>Dry_W4_CG3</v>
      </c>
      <c r="H205" s="265" t="s">
        <v>2541</v>
      </c>
      <c r="I205" s="266" t="s">
        <v>1147</v>
      </c>
      <c r="J205" s="263" t="str">
        <f>IF(ISBLANK('Dry_Litterbag Placem_Collection'!J206),"","G"&amp;""&amp;'Dry_Litterbag Placem_Collection'!J206)</f>
        <v>G248</v>
      </c>
      <c r="K205" s="267">
        <f>IFERROR(INDEX('Green_rooibos initial weight'!$C$5:$C$1749,MATCH(J205, 'Green_rooibos initial weight'!$A$5:$A$1749,0)),"")</f>
        <v>1.9950000000000001</v>
      </c>
      <c r="L205" s="267">
        <f>IFERROR(K205-(TBIcalc!$Q$9+TBIcalc!$Q$10),"")</f>
        <v>1.7452000000000001</v>
      </c>
      <c r="M205" s="391">
        <f>AVERAGE(Ashed_controlls!$K$2:$K$11)</f>
        <v>5.5147656768714146</v>
      </c>
      <c r="N205" s="267">
        <f t="shared" si="16"/>
        <v>1.6489563094072401</v>
      </c>
      <c r="O205" s="267">
        <f>IF(IFERROR(INDEX('Both teabags AfterDry'!$D$3:$D$900,MATCH(J205,'Both teabags AfterDry'!$A$3:$A$900,0)),"")="","",(IFERROR(INDEX('Both teabags AfterDry'!$D$3:$D$900,MATCH(J205,'Both teabags AfterDry'!$A$3:$A$900,0)),"")))</f>
        <v>1.7124999999999999</v>
      </c>
      <c r="P205" s="267">
        <f>IFERROR(IF(O205&gt;0,O205-(TBIcalc!$Q$9),""),"")</f>
        <v>1.5618999999999998</v>
      </c>
      <c r="Q205" s="278">
        <f>IFERROR(INDEX('Ashed teabags dry'!$K$2:$K$825,MATCH(J205,'Ashed teabags dry'!$A$2:$A$825,0)),"")</f>
        <v>13.375486381322672</v>
      </c>
      <c r="R205" s="278">
        <f t="shared" si="17"/>
        <v>1.352988278210121</v>
      </c>
      <c r="S205" s="268">
        <f>'Dry_Litterbag Placem_Collection'!E206</f>
        <v>42942</v>
      </c>
      <c r="T205" s="268">
        <f>IF('Dry_Litterbag Placem_Collection'!G206="","",'Dry_Litterbag Placem_Collection'!G206)</f>
        <v>43004</v>
      </c>
      <c r="U205" s="269">
        <f t="shared" si="15"/>
        <v>62</v>
      </c>
      <c r="V205" s="267">
        <f t="shared" si="18"/>
        <v>0.18330000000000024</v>
      </c>
      <c r="W205" s="267">
        <f t="shared" si="19"/>
        <v>0.29596803119711912</v>
      </c>
      <c r="X205" s="271">
        <f>IFERROR(INDEX(Rainfall_Dry!$O$2:$O$217,MATCH(B205, Rainfall_Dry!$A$2:$A$217,0)),"")</f>
        <v>171.84818423999999</v>
      </c>
      <c r="Y205" s="260">
        <v>28.145762029394</v>
      </c>
      <c r="Z205" s="260">
        <v>25.085564727199518</v>
      </c>
      <c r="AA205" s="260">
        <v>46.768673243406489</v>
      </c>
      <c r="AB205" s="261" t="s">
        <v>2670</v>
      </c>
      <c r="AC205" s="260">
        <v>2.1716214884179394</v>
      </c>
      <c r="AD205">
        <f>IF('WetLitterbags placem_collection'!AB206="","",'WetLitterbags placem_collection'!AB206)</f>
        <v>7.9</v>
      </c>
      <c r="AE205">
        <f>IF('WetLitterbags placem_collection'!Z206="","",'WetLitterbags placem_collection'!Z206)</f>
        <v>7.9</v>
      </c>
      <c r="AF205" s="246" t="str">
        <f>IF('WetLitterbags placem_collection'!AA206="","",'WetLitterbags placem_collection'!AA206)</f>
        <v>O</v>
      </c>
      <c r="AG205">
        <f>IF('WetLitterbags placem_collection'!AC206="","",'WetLitterbags placem_collection'!AC206)</f>
        <v>1</v>
      </c>
      <c r="AH205">
        <f>IFERROR(AVERAGE('Dry_Litterbag Placem_Collection'!O206,'Dry_Litterbag Placem_Collection'!R206),"")</f>
        <v>8.3500000000000014</v>
      </c>
      <c r="AI205" s="271">
        <f>IFERROR(AVERAGE('Dry_Litterbag Placem_Collection'!N206,'Dry_Litterbag Placem_Collection'!Q206),"")</f>
        <v>27.299999999999997</v>
      </c>
      <c r="AJ205">
        <v>-2.4395990190000001</v>
      </c>
      <c r="AK205">
        <v>34.838418959999998</v>
      </c>
      <c r="AL205" s="270" t="str">
        <f>IF(ISNUMBER(SEARCH("C", 'Dry_Litterbag Placem_Collection'!S206)),"YES","NO")</f>
        <v>NO</v>
      </c>
      <c r="AM205" s="270" t="str">
        <f>IF(ISNUMBER(SEARCH("H", 'Dry_Litterbag Placem_Collection'!S206)),"YES","NO")</f>
        <v>YES</v>
      </c>
      <c r="AN205" s="270" t="str">
        <f>IF(ISNUMBER(SEARCH("R", 'Dry_Litterbag Placem_Collection'!S206)),"YES","NO")</f>
        <v>YES</v>
      </c>
    </row>
    <row r="206" spans="1:40" ht="15" customHeight="1">
      <c r="A206" s="262" t="s">
        <v>2659</v>
      </c>
      <c r="B206" s="263">
        <f>'Dry_Litterbag Placem_Collection'!A207</f>
        <v>205</v>
      </c>
      <c r="C206" s="263" t="str">
        <f>'Dry_Litterbag Placem_Collection'!B207</f>
        <v xml:space="preserve">Mwantimba
</v>
      </c>
      <c r="D206" s="263" t="s">
        <v>2460</v>
      </c>
      <c r="E206" s="263" t="s">
        <v>2526</v>
      </c>
      <c r="F206" s="263">
        <v>2</v>
      </c>
      <c r="G206" s="264" t="str">
        <f>'Dry_Litterbag Placem_Collection'!C207</f>
        <v>Wet_Ag1_CG2</v>
      </c>
      <c r="H206" s="265" t="s">
        <v>2541</v>
      </c>
      <c r="I206" s="266" t="s">
        <v>1147</v>
      </c>
      <c r="J206" s="263" t="str">
        <f>IF(ISBLANK('Dry_Litterbag Placem_Collection'!J207),"","G"&amp;""&amp;'Dry_Litterbag Placem_Collection'!J207)</f>
        <v>G55</v>
      </c>
      <c r="K206" s="267">
        <f>IFERROR(INDEX('Green_rooibos initial weight'!$C$5:$C$1749,MATCH(J206, 'Green_rooibos initial weight'!$A$5:$A$1749,0)),"")</f>
        <v>2.024</v>
      </c>
      <c r="L206" s="267">
        <f>IFERROR(K206-(TBIcalc!$Q$9+TBIcalc!$Q$10),"")</f>
        <v>1.7742</v>
      </c>
      <c r="M206" s="391">
        <f>AVERAGE(Ashed_controlls!$K$2:$K$11)</f>
        <v>5.5147656768714146</v>
      </c>
      <c r="N206" s="267">
        <f t="shared" si="16"/>
        <v>1.6763570273609474</v>
      </c>
      <c r="O206" s="267">
        <f>IF(IFERROR(INDEX('Both teabags AfterDry'!$D$3:$D$900,MATCH(J206,'Both teabags AfterDry'!$A$3:$A$900,0)),"")="","",(IFERROR(INDEX('Both teabags AfterDry'!$D$3:$D$900,MATCH(J206,'Both teabags AfterDry'!$A$3:$A$900,0)),"")))</f>
        <v>0.86550000000000005</v>
      </c>
      <c r="P206" s="267">
        <f>IFERROR(IF(O206&gt;0,O206-(TBIcalc!$Q$9),""),"")</f>
        <v>0.71490000000000009</v>
      </c>
      <c r="Q206" s="278">
        <f>IFERROR(INDEX('Ashed teabags dry'!$K$2:$K$825,MATCH(J206,'Ashed teabags dry'!$A$2:$A$825,0)),"")</f>
        <v>19.260700389104883</v>
      </c>
      <c r="R206" s="278">
        <f t="shared" si="17"/>
        <v>0.57720525291828928</v>
      </c>
      <c r="S206" s="268">
        <f>'Dry_Litterbag Placem_Collection'!E207</f>
        <v>42942</v>
      </c>
      <c r="T206" s="268">
        <f>IF('Dry_Litterbag Placem_Collection'!G207="","",'Dry_Litterbag Placem_Collection'!G207)</f>
        <v>43004</v>
      </c>
      <c r="U206" s="269">
        <f t="shared" si="15"/>
        <v>62</v>
      </c>
      <c r="V206" s="267">
        <f t="shared" si="18"/>
        <v>1.0592999999999999</v>
      </c>
      <c r="W206" s="267">
        <f t="shared" si="19"/>
        <v>1.099151774442658</v>
      </c>
      <c r="X206" s="271">
        <f>IFERROR(INDEX(Rainfall_Dry!$O$2:$O$217,MATCH(B206, Rainfall_Dry!$A$2:$A$217,0)),"")</f>
        <v>171.84818423999999</v>
      </c>
      <c r="Y206" s="260">
        <v>45.96</v>
      </c>
      <c r="Z206" s="260">
        <v>14.920000000000003</v>
      </c>
      <c r="AA206" s="260">
        <v>39.119999999999997</v>
      </c>
      <c r="AB206" s="261" t="s">
        <v>2673</v>
      </c>
      <c r="AC206" s="260">
        <v>2.0374568753080333</v>
      </c>
      <c r="AD206">
        <f>IF('WetLitterbags placem_collection'!AB207="","",'WetLitterbags placem_collection'!AB207)</f>
        <v>5.13</v>
      </c>
      <c r="AE206">
        <f>IF('WetLitterbags placem_collection'!Z207="","",'WetLitterbags placem_collection'!Z207)</f>
        <v>5.13</v>
      </c>
      <c r="AF206" s="246" t="str">
        <f>IF('WetLitterbags placem_collection'!AA207="","",'WetLitterbags placem_collection'!AA207)</f>
        <v>O</v>
      </c>
      <c r="AG206">
        <f>IF('WetLitterbags placem_collection'!AC207="","",'WetLitterbags placem_collection'!AC207)</f>
        <v>1</v>
      </c>
      <c r="AH206">
        <f>IFERROR(AVERAGE('Dry_Litterbag Placem_Collection'!O207,'Dry_Litterbag Placem_Collection'!R207),"")</f>
        <v>7.9499999999999993</v>
      </c>
      <c r="AI206" s="271">
        <f>IFERROR(AVERAGE('Dry_Litterbag Placem_Collection'!N207,'Dry_Litterbag Placem_Collection'!Q207),"")</f>
        <v>29.05</v>
      </c>
      <c r="AJ206">
        <v>-2.4396450349999999</v>
      </c>
      <c r="AK206">
        <v>34.83836599</v>
      </c>
      <c r="AL206" s="270" t="str">
        <f>IF(ISNUMBER(SEARCH("C", 'Dry_Litterbag Placem_Collection'!S207)),"YES","NO")</f>
        <v>NO</v>
      </c>
      <c r="AM206" s="270" t="str">
        <f>IF(ISNUMBER(SEARCH("H", 'Dry_Litterbag Placem_Collection'!S207)),"YES","NO")</f>
        <v>YES</v>
      </c>
      <c r="AN206" s="270" t="str">
        <f>IF(ISNUMBER(SEARCH("R", 'Dry_Litterbag Placem_Collection'!S207)),"YES","NO")</f>
        <v>YES</v>
      </c>
    </row>
    <row r="207" spans="1:40" ht="15" customHeight="1">
      <c r="A207" s="262" t="s">
        <v>2659</v>
      </c>
      <c r="B207" s="263">
        <f>'Dry_Litterbag Placem_Collection'!A208</f>
        <v>206</v>
      </c>
      <c r="C207" s="263" t="str">
        <f>'Dry_Litterbag Placem_Collection'!B208</f>
        <v xml:space="preserve">Mwantimba
</v>
      </c>
      <c r="D207" s="263" t="s">
        <v>2460</v>
      </c>
      <c r="E207" s="263" t="s">
        <v>2526</v>
      </c>
      <c r="F207" s="263">
        <v>1</v>
      </c>
      <c r="G207" s="264" t="str">
        <f>'Dry_Litterbag Placem_Collection'!C208</f>
        <v>Wet_Ag2_CG1</v>
      </c>
      <c r="H207" s="265" t="s">
        <v>2541</v>
      </c>
      <c r="I207" s="266" t="s">
        <v>1147</v>
      </c>
      <c r="J207" s="263" t="str">
        <f>IF(ISBLANK('Dry_Litterbag Placem_Collection'!J208),"","G"&amp;""&amp;'Dry_Litterbag Placem_Collection'!J208)</f>
        <v>G124</v>
      </c>
      <c r="K207" s="267">
        <f>IFERROR(INDEX('Green_rooibos initial weight'!$C$5:$C$1749,MATCH(J207, 'Green_rooibos initial weight'!$A$5:$A$1749,0)),"")</f>
        <v>1.9390000000000001</v>
      </c>
      <c r="L207" s="267">
        <f>IFERROR(K207-(TBIcalc!$Q$9+TBIcalc!$Q$10),"")</f>
        <v>1.6892</v>
      </c>
      <c r="M207" s="391">
        <f>AVERAGE(Ashed_controlls!$K$2:$K$11)</f>
        <v>5.5147656768714146</v>
      </c>
      <c r="N207" s="267">
        <f t="shared" si="16"/>
        <v>1.5960445781862882</v>
      </c>
      <c r="O207" s="267">
        <f>IF(IFERROR(INDEX('Both teabags AfterDry'!$D$3:$D$900,MATCH(J207,'Both teabags AfterDry'!$A$3:$A$900,0)),"")="","",(IFERROR(INDEX('Both teabags AfterDry'!$D$3:$D$900,MATCH(J207,'Both teabags AfterDry'!$A$3:$A$900,0)),"")))</f>
        <v>0.66969999999999996</v>
      </c>
      <c r="P207" s="267">
        <f>IFERROR(IF(O207&gt;0,O207-(TBIcalc!$Q$9),""),"")</f>
        <v>0.51909999999999989</v>
      </c>
      <c r="Q207" s="278">
        <f>IFERROR(INDEX('Ashed teabags dry'!$K$2:$K$825,MATCH(J207,'Ashed teabags dry'!$A$2:$A$825,0)),"")</f>
        <v>14.333976833976731</v>
      </c>
      <c r="R207" s="278">
        <f t="shared" si="17"/>
        <v>0.44469232625482669</v>
      </c>
      <c r="S207" s="268">
        <f>'Dry_Litterbag Placem_Collection'!E208</f>
        <v>42942</v>
      </c>
      <c r="T207" s="268">
        <f>IF('Dry_Litterbag Placem_Collection'!G208="","",'Dry_Litterbag Placem_Collection'!G208)</f>
        <v>43004</v>
      </c>
      <c r="U207" s="269">
        <f t="shared" si="15"/>
        <v>62</v>
      </c>
      <c r="V207" s="267">
        <f t="shared" si="18"/>
        <v>1.1701000000000001</v>
      </c>
      <c r="W207" s="267">
        <f t="shared" si="19"/>
        <v>1.1513522519314616</v>
      </c>
      <c r="X207" s="271">
        <f>IFERROR(INDEX(Rainfall_Dry!$O$2:$O$217,MATCH(B207, Rainfall_Dry!$A$2:$A$217,0)),"")</f>
        <v>171.84818423999999</v>
      </c>
      <c r="Y207" s="260">
        <v>34.344660194174757</v>
      </c>
      <c r="Z207" s="260">
        <v>19.22727272727273</v>
      </c>
      <c r="AA207" s="260">
        <v>46.428067078552509</v>
      </c>
      <c r="AB207" s="261" t="s">
        <v>2670</v>
      </c>
      <c r="AC207" s="260">
        <v>1.7452932479053718</v>
      </c>
      <c r="AD207">
        <f>IF('WetLitterbags placem_collection'!AB208="","",'WetLitterbags placem_collection'!AB208)</f>
        <v>13.8</v>
      </c>
      <c r="AE207">
        <f>IF('WetLitterbags placem_collection'!Z208="","",'WetLitterbags placem_collection'!Z208)</f>
        <v>17.399999999999999</v>
      </c>
      <c r="AF207" s="246" t="str">
        <f>IF('WetLitterbags placem_collection'!AA208="","",'WetLitterbags placem_collection'!AA208)</f>
        <v>O</v>
      </c>
      <c r="AG207">
        <f>IF('WetLitterbags placem_collection'!AC208="","",'WetLitterbags placem_collection'!AC208)</f>
        <v>1</v>
      </c>
      <c r="AH207">
        <f>IFERROR(AVERAGE('Dry_Litterbag Placem_Collection'!O208,'Dry_Litterbag Placem_Collection'!R208),"")</f>
        <v>6.4</v>
      </c>
      <c r="AI207" s="271">
        <f>IFERROR(AVERAGE('Dry_Litterbag Placem_Collection'!N208,'Dry_Litterbag Placem_Collection'!Q208),"")</f>
        <v>27.799999999999997</v>
      </c>
      <c r="AJ207">
        <v>-2.439403972</v>
      </c>
      <c r="AK207">
        <v>34.838404959999998</v>
      </c>
      <c r="AL207" s="270" t="str">
        <f>IF(ISNUMBER(SEARCH("C", 'Dry_Litterbag Placem_Collection'!S208)),"YES","NO")</f>
        <v>NO</v>
      </c>
      <c r="AM207" s="270" t="str">
        <f>IF(ISNUMBER(SEARCH("H", 'Dry_Litterbag Placem_Collection'!S208)),"YES","NO")</f>
        <v>NO</v>
      </c>
      <c r="AN207" s="270" t="str">
        <f>IF(ISNUMBER(SEARCH("R", 'Dry_Litterbag Placem_Collection'!S208)),"YES","NO")</f>
        <v>YES</v>
      </c>
    </row>
    <row r="208" spans="1:40" ht="15" customHeight="1">
      <c r="A208" s="262" t="s">
        <v>2659</v>
      </c>
      <c r="B208" s="263">
        <f>'Dry_Litterbag Placem_Collection'!A209</f>
        <v>207</v>
      </c>
      <c r="C208" s="263" t="str">
        <f>'Dry_Litterbag Placem_Collection'!B209</f>
        <v xml:space="preserve">Mwantimba
</v>
      </c>
      <c r="D208" s="263" t="s">
        <v>2460</v>
      </c>
      <c r="E208" s="263" t="s">
        <v>2526</v>
      </c>
      <c r="F208" s="263">
        <v>4</v>
      </c>
      <c r="G208" s="264" t="str">
        <f>'Dry_Litterbag Placem_Collection'!C209</f>
        <v>Wet_Ag3_CG4</v>
      </c>
      <c r="H208" s="265" t="s">
        <v>2541</v>
      </c>
      <c r="I208" s="266" t="s">
        <v>1147</v>
      </c>
      <c r="J208" s="263" t="str">
        <f>IF(ISBLANK('Dry_Litterbag Placem_Collection'!J209),"","G"&amp;""&amp;'Dry_Litterbag Placem_Collection'!J209)</f>
        <v>G234</v>
      </c>
      <c r="K208" s="267">
        <f>IFERROR(INDEX('Green_rooibos initial weight'!$C$5:$C$1749,MATCH(J208, 'Green_rooibos initial weight'!$A$5:$A$1749,0)),"")</f>
        <v>2.13</v>
      </c>
      <c r="L208" s="267">
        <f>IFERROR(K208-(TBIcalc!$Q$9+TBIcalc!$Q$10),"")</f>
        <v>1.8801999999999999</v>
      </c>
      <c r="M208" s="391">
        <f>AVERAGE(Ashed_controlls!$K$2:$K$11)</f>
        <v>5.5147656768714146</v>
      </c>
      <c r="N208" s="267">
        <f t="shared" si="16"/>
        <v>1.7765113757434636</v>
      </c>
      <c r="O208" s="267">
        <f>IF(IFERROR(INDEX('Both teabags AfterDry'!$D$3:$D$900,MATCH(J208,'Both teabags AfterDry'!$A$3:$A$900,0)),"")="","",(IFERROR(INDEX('Both teabags AfterDry'!$D$3:$D$900,MATCH(J208,'Both teabags AfterDry'!$A$3:$A$900,0)),"")))</f>
        <v>0.745</v>
      </c>
      <c r="P208" s="267">
        <f>IFERROR(IF(O208&gt;0,O208-(TBIcalc!$Q$9),""),"")</f>
        <v>0.59440000000000004</v>
      </c>
      <c r="Q208" s="278">
        <f>IFERROR(INDEX('Ashed teabags dry'!$K$2:$K$825,MATCH(J208,'Ashed teabags dry'!$A$2:$A$825,0)),"")</f>
        <v>21.467639015496861</v>
      </c>
      <c r="R208" s="278">
        <f t="shared" si="17"/>
        <v>0.46679635369188666</v>
      </c>
      <c r="S208" s="268">
        <f>'Dry_Litterbag Placem_Collection'!E209</f>
        <v>42942</v>
      </c>
      <c r="T208" s="268">
        <f>IF('Dry_Litterbag Placem_Collection'!G209="","",'Dry_Litterbag Placem_Collection'!G209)</f>
        <v>43004</v>
      </c>
      <c r="U208" s="269">
        <f t="shared" si="15"/>
        <v>62</v>
      </c>
      <c r="V208" s="267">
        <f t="shared" si="18"/>
        <v>1.2857999999999998</v>
      </c>
      <c r="W208" s="267">
        <f t="shared" si="19"/>
        <v>1.309715022051577</v>
      </c>
      <c r="X208" s="271">
        <f>IFERROR(INDEX(Rainfall_Dry!$O$2:$O$217,MATCH(B208, Rainfall_Dry!$A$2:$A$217,0)),"")</f>
        <v>171.84818423999999</v>
      </c>
      <c r="Y208" s="260">
        <v>27.96</v>
      </c>
      <c r="Z208" s="260">
        <v>4.9200000000000017</v>
      </c>
      <c r="AA208" s="260">
        <v>67.12</v>
      </c>
      <c r="AB208" s="261" t="s">
        <v>2670</v>
      </c>
      <c r="AC208" s="260">
        <v>0.88610152784622953</v>
      </c>
      <c r="AD208">
        <f>IF('WetLitterbags placem_collection'!AB209="","",'WetLitterbags placem_collection'!AB209)</f>
        <v>15.2</v>
      </c>
      <c r="AE208">
        <f>IF('WetLitterbags placem_collection'!Z209="","",'WetLitterbags placem_collection'!Z209)</f>
        <v>12.2</v>
      </c>
      <c r="AF208" s="246" t="str">
        <f>IF('WetLitterbags placem_collection'!AA209="","",'WetLitterbags placem_collection'!AA209)</f>
        <v>O</v>
      </c>
      <c r="AG208">
        <f>IF('WetLitterbags placem_collection'!AC209="","",'WetLitterbags placem_collection'!AC209)</f>
        <v>1</v>
      </c>
      <c r="AH208">
        <f>IFERROR(AVERAGE('Dry_Litterbag Placem_Collection'!O209,'Dry_Litterbag Placem_Collection'!R209),"")</f>
        <v>4.3</v>
      </c>
      <c r="AI208" s="271">
        <f>IFERROR(AVERAGE('Dry_Litterbag Placem_Collection'!N209,'Dry_Litterbag Placem_Collection'!Q209),"")</f>
        <v>29.6</v>
      </c>
      <c r="AJ208">
        <v>-2.4396949910000001</v>
      </c>
      <c r="AK208">
        <v>34.838574029999997</v>
      </c>
      <c r="AL208" s="270" t="str">
        <f>IF(ISNUMBER(SEARCH("C", 'Dry_Litterbag Placem_Collection'!S209)),"YES","NO")</f>
        <v>NO</v>
      </c>
      <c r="AM208" s="270" t="str">
        <f>IF(ISNUMBER(SEARCH("H", 'Dry_Litterbag Placem_Collection'!S209)),"YES","NO")</f>
        <v>NO</v>
      </c>
      <c r="AN208" s="270" t="str">
        <f>IF(ISNUMBER(SEARCH("R", 'Dry_Litterbag Placem_Collection'!S209)),"YES","NO")</f>
        <v>YES</v>
      </c>
    </row>
    <row r="209" spans="1:40" ht="15" customHeight="1">
      <c r="A209" s="262" t="s">
        <v>2659</v>
      </c>
      <c r="B209" s="263">
        <f>'Dry_Litterbag Placem_Collection'!A210</f>
        <v>208</v>
      </c>
      <c r="C209" s="263" t="str">
        <f>'Dry_Litterbag Placem_Collection'!B210</f>
        <v xml:space="preserve">Mwantimba
</v>
      </c>
      <c r="D209" s="263" t="s">
        <v>2460</v>
      </c>
      <c r="E209" s="263" t="s">
        <v>2526</v>
      </c>
      <c r="F209" s="263">
        <v>3</v>
      </c>
      <c r="G209" s="264" t="str">
        <f>'Dry_Litterbag Placem_Collection'!C210</f>
        <v>Wet_Ag4_CG3</v>
      </c>
      <c r="H209" s="265" t="s">
        <v>2541</v>
      </c>
      <c r="I209" s="266" t="s">
        <v>1147</v>
      </c>
      <c r="J209" s="263" t="str">
        <f>IF(ISBLANK('Dry_Litterbag Placem_Collection'!J210),"","G"&amp;""&amp;'Dry_Litterbag Placem_Collection'!J210)</f>
        <v>G412</v>
      </c>
      <c r="K209" s="267">
        <f>IFERROR(INDEX('Green_rooibos initial weight'!$C$5:$C$1749,MATCH(J209, 'Green_rooibos initial weight'!$A$5:$A$1749,0)),"")</f>
        <v>2.0049999999999999</v>
      </c>
      <c r="L209" s="267">
        <f>IFERROR(K209-(TBIcalc!$Q$9+TBIcalc!$Q$10),"")</f>
        <v>1.7551999999999999</v>
      </c>
      <c r="M209" s="391">
        <f>AVERAGE(Ashed_controlls!$K$2:$K$11)</f>
        <v>5.5147656768714146</v>
      </c>
      <c r="N209" s="267">
        <f t="shared" si="16"/>
        <v>1.6584048328395529</v>
      </c>
      <c r="O209" s="267">
        <f>IF(IFERROR(INDEX('Both teabags AfterDry'!$D$3:$D$900,MATCH(J209,'Both teabags AfterDry'!$A$3:$A$900,0)),"")="","",(IFERROR(INDEX('Both teabags AfterDry'!$D$3:$D$900,MATCH(J209,'Both teabags AfterDry'!$A$3:$A$900,0)),"")))</f>
        <v>0.72499999999999998</v>
      </c>
      <c r="P209" s="267">
        <f>IFERROR(IF(O209&gt;0,O209-(TBIcalc!$Q$9),""),"")</f>
        <v>0.57440000000000002</v>
      </c>
      <c r="Q209" s="278">
        <f>IFERROR(INDEX('Ashed teabags dry'!$K$2:$K$825,MATCH(J209,'Ashed teabags dry'!$A$2:$A$825,0)),"")</f>
        <v>27.644710578842087</v>
      </c>
      <c r="R209" s="278">
        <f t="shared" si="17"/>
        <v>0.41560878243513111</v>
      </c>
      <c r="S209" s="268">
        <f>'Dry_Litterbag Placem_Collection'!E210</f>
        <v>42942</v>
      </c>
      <c r="T209" s="268">
        <f>IF('Dry_Litterbag Placem_Collection'!G210="","",'Dry_Litterbag Placem_Collection'!G210)</f>
        <v>43004</v>
      </c>
      <c r="U209" s="269">
        <f t="shared" si="15"/>
        <v>62</v>
      </c>
      <c r="V209" s="267">
        <f t="shared" si="18"/>
        <v>1.1807999999999998</v>
      </c>
      <c r="W209" s="267">
        <f t="shared" si="19"/>
        <v>1.2427960504044218</v>
      </c>
      <c r="X209" s="271">
        <f>IFERROR(INDEX(Rainfall_Dry!$O$2:$O$217,MATCH(B209, Rainfall_Dry!$A$2:$A$217,0)),"")</f>
        <v>171.84818423999999</v>
      </c>
      <c r="Y209" s="260">
        <v>17.96</v>
      </c>
      <c r="Z209" s="260">
        <v>4.9199999999999982</v>
      </c>
      <c r="AA209" s="260">
        <v>77.12</v>
      </c>
      <c r="AB209" s="261" t="s">
        <v>2671</v>
      </c>
      <c r="AC209" s="260">
        <v>2.0220798422868409</v>
      </c>
      <c r="AD209">
        <f>IF('WetLitterbags placem_collection'!AB210="","",'WetLitterbags placem_collection'!AB210)</f>
        <v>7.9</v>
      </c>
      <c r="AE209">
        <f>IF('WetLitterbags placem_collection'!Z210="","",'WetLitterbags placem_collection'!Z210)</f>
        <v>7.9</v>
      </c>
      <c r="AF209" s="246" t="str">
        <f>IF('WetLitterbags placem_collection'!AA210="","",'WetLitterbags placem_collection'!AA210)</f>
        <v>O</v>
      </c>
      <c r="AG209">
        <f>IF('WetLitterbags placem_collection'!AC210="","",'WetLitterbags placem_collection'!AC210)</f>
        <v>1</v>
      </c>
      <c r="AH209">
        <f>IFERROR(AVERAGE('Dry_Litterbag Placem_Collection'!O210,'Dry_Litterbag Placem_Collection'!R210),"")</f>
        <v>6.2</v>
      </c>
      <c r="AI209" s="271">
        <f>IFERROR(AVERAGE('Dry_Litterbag Placem_Collection'!N210,'Dry_Litterbag Placem_Collection'!Q210),"")</f>
        <v>29.1</v>
      </c>
      <c r="AJ209">
        <v>-2.4395990190000001</v>
      </c>
      <c r="AK209">
        <v>34.838418959999998</v>
      </c>
      <c r="AL209" s="270" t="str">
        <f>IF(ISNUMBER(SEARCH("C", 'Dry_Litterbag Placem_Collection'!S210)),"YES","NO")</f>
        <v>NO</v>
      </c>
      <c r="AM209" s="270" t="str">
        <f>IF(ISNUMBER(SEARCH("H", 'Dry_Litterbag Placem_Collection'!S210)),"YES","NO")</f>
        <v>YES</v>
      </c>
      <c r="AN209" s="270" t="str">
        <f>IF(ISNUMBER(SEARCH("R", 'Dry_Litterbag Placem_Collection'!S210)),"YES","NO")</f>
        <v>YES</v>
      </c>
    </row>
    <row r="210" spans="1:40" ht="15" customHeight="1">
      <c r="A210" s="262" t="s">
        <v>2659</v>
      </c>
      <c r="B210" s="263">
        <f>'Dry_Litterbag Placem_Collection'!A211</f>
        <v>209</v>
      </c>
      <c r="C210" s="263" t="str">
        <f>'Dry_Litterbag Placem_Collection'!B211</f>
        <v xml:space="preserve">Mwantimba
</v>
      </c>
      <c r="D210" s="263" t="s">
        <v>2460</v>
      </c>
      <c r="E210" s="263" t="s">
        <v>2526</v>
      </c>
      <c r="F210" s="263">
        <v>2</v>
      </c>
      <c r="G210" s="264" t="str">
        <f>'Dry_Litterbag Placem_Collection'!C211</f>
        <v>Wet_P1_CG2</v>
      </c>
      <c r="H210" s="265" t="s">
        <v>2541</v>
      </c>
      <c r="I210" s="266" t="s">
        <v>1147</v>
      </c>
      <c r="J210" s="263" t="str">
        <f>IF(ISBLANK('Dry_Litterbag Placem_Collection'!J211),"","G"&amp;""&amp;'Dry_Litterbag Placem_Collection'!J211)</f>
        <v>G94</v>
      </c>
      <c r="K210" s="267">
        <f>IFERROR(INDEX('Green_rooibos initial weight'!$C$5:$C$1749,MATCH(J210, 'Green_rooibos initial weight'!$A$5:$A$1749,0)),"")</f>
        <v>2.0630000000000002</v>
      </c>
      <c r="L210" s="267">
        <f>IFERROR(K210-(TBIcalc!$Q$9+TBIcalc!$Q$10),"")</f>
        <v>1.8132000000000001</v>
      </c>
      <c r="M210" s="391">
        <f>AVERAGE(Ashed_controlls!$K$2:$K$11)</f>
        <v>5.5147656768714146</v>
      </c>
      <c r="N210" s="267">
        <f t="shared" si="16"/>
        <v>1.7132062687469676</v>
      </c>
      <c r="O210" s="267" t="str">
        <f>IF(IFERROR(INDEX('Both teabags AfterDry'!$D$3:$D$900,MATCH(J210,'Both teabags AfterDry'!$A$3:$A$900,0)),"")="","",(IFERROR(INDEX('Both teabags AfterDry'!$D$3:$D$900,MATCH(J210,'Both teabags AfterDry'!$A$3:$A$900,0)),"")))</f>
        <v/>
      </c>
      <c r="P210" s="267" t="str">
        <f>IFERROR(IF(O210&gt;0,O210-(TBIcalc!$Q$9),""),"")</f>
        <v/>
      </c>
      <c r="Q210" s="278">
        <f>IFERROR(INDEX('Ashed teabags dry'!$K$2:$K$825,MATCH(J210,'Ashed teabags dry'!$A$2:$A$825,0)),"")</f>
        <v>19.445818901534416</v>
      </c>
      <c r="R210" s="278" t="str">
        <f t="shared" si="17"/>
        <v/>
      </c>
      <c r="S210" s="268">
        <f>'Dry_Litterbag Placem_Collection'!E211</f>
        <v>42942</v>
      </c>
      <c r="T210" s="268">
        <f>IF('Dry_Litterbag Placem_Collection'!G211="","",'Dry_Litterbag Placem_Collection'!G211)</f>
        <v>43004</v>
      </c>
      <c r="U210" s="269">
        <f t="shared" si="15"/>
        <v>62</v>
      </c>
      <c r="V210" s="267" t="str">
        <f t="shared" si="18"/>
        <v/>
      </c>
      <c r="W210" s="267" t="str">
        <f t="shared" si="19"/>
        <v/>
      </c>
      <c r="X210" s="271">
        <f>IFERROR(INDEX(Rainfall_Dry!$O$2:$O$217,MATCH(B210, Rainfall_Dry!$A$2:$A$217,0)),"")</f>
        <v>171.84818423999999</v>
      </c>
      <c r="Y210" s="260">
        <v>31.214836424255054</v>
      </c>
      <c r="Z210" s="260">
        <v>11.377370285476141</v>
      </c>
      <c r="AA210" s="260">
        <v>57.407793290268799</v>
      </c>
      <c r="AB210" s="261" t="s">
        <v>2670</v>
      </c>
      <c r="AC210" s="260">
        <v>1.7337604731394776</v>
      </c>
      <c r="AD210">
        <f>IF('WetLitterbags placem_collection'!AB211="","",'WetLitterbags placem_collection'!AB211)</f>
        <v>5.13</v>
      </c>
      <c r="AE210">
        <f>IF('WetLitterbags placem_collection'!Z211="","",'WetLitterbags placem_collection'!Z211)</f>
        <v>5.13</v>
      </c>
      <c r="AF210" s="246" t="str">
        <f>IF('WetLitterbags placem_collection'!AA211="","",'WetLitterbags placem_collection'!AA211)</f>
        <v>O</v>
      </c>
      <c r="AG210">
        <f>IF('WetLitterbags placem_collection'!AC211="","",'WetLitterbags placem_collection'!AC211)</f>
        <v>1</v>
      </c>
      <c r="AH210">
        <f>IFERROR(AVERAGE('Dry_Litterbag Placem_Collection'!O211,'Dry_Litterbag Placem_Collection'!R211),"")</f>
        <v>8.6000000000000014</v>
      </c>
      <c r="AI210" s="271">
        <f>IFERROR(AVERAGE('Dry_Litterbag Placem_Collection'!N211,'Dry_Litterbag Placem_Collection'!Q211),"")</f>
        <v>29.6</v>
      </c>
      <c r="AJ210">
        <v>-2.4396450349999999</v>
      </c>
      <c r="AK210">
        <v>34.83836599</v>
      </c>
      <c r="AL210" s="270" t="str">
        <f>IF(ISNUMBER(SEARCH("C", 'Dry_Litterbag Placem_Collection'!S211)),"YES","NO")</f>
        <v>NO</v>
      </c>
      <c r="AM210" s="270" t="str">
        <f>IF(ISNUMBER(SEARCH("H", 'Dry_Litterbag Placem_Collection'!S211)),"YES","NO")</f>
        <v>NO</v>
      </c>
      <c r="AN210" s="270" t="str">
        <f>IF(ISNUMBER(SEARCH("R", 'Dry_Litterbag Placem_Collection'!S211)),"YES","NO")</f>
        <v>YES</v>
      </c>
    </row>
    <row r="211" spans="1:40" ht="15" customHeight="1">
      <c r="A211" s="262" t="s">
        <v>2659</v>
      </c>
      <c r="B211" s="263">
        <f>'Dry_Litterbag Placem_Collection'!A212</f>
        <v>210</v>
      </c>
      <c r="C211" s="263" t="str">
        <f>'Dry_Litterbag Placem_Collection'!B212</f>
        <v xml:space="preserve">Mwantimba
</v>
      </c>
      <c r="D211" s="263" t="s">
        <v>2460</v>
      </c>
      <c r="E211" s="263" t="s">
        <v>2526</v>
      </c>
      <c r="F211" s="263">
        <v>4</v>
      </c>
      <c r="G211" s="264" t="str">
        <f>'Dry_Litterbag Placem_Collection'!C212</f>
        <v>Wet_P2_CG4</v>
      </c>
      <c r="H211" s="265" t="s">
        <v>2541</v>
      </c>
      <c r="I211" s="266" t="s">
        <v>1147</v>
      </c>
      <c r="J211" s="263" t="str">
        <f>IF(ISBLANK('Dry_Litterbag Placem_Collection'!J212),"","G"&amp;""&amp;'Dry_Litterbag Placem_Collection'!J212)</f>
        <v>G93</v>
      </c>
      <c r="K211" s="267">
        <f>IFERROR(INDEX('Green_rooibos initial weight'!$C$5:$C$1749,MATCH(J211, 'Green_rooibos initial weight'!$A$5:$A$1749,0)),"")</f>
        <v>2.1230000000000002</v>
      </c>
      <c r="L211" s="267">
        <f>IFERROR(K211-(TBIcalc!$Q$9+TBIcalc!$Q$10),"")</f>
        <v>1.8732000000000002</v>
      </c>
      <c r="M211" s="391">
        <f>AVERAGE(Ashed_controlls!$K$2:$K$11)</f>
        <v>5.5147656768714146</v>
      </c>
      <c r="N211" s="267">
        <f t="shared" si="16"/>
        <v>1.7698974093408448</v>
      </c>
      <c r="O211" s="267">
        <f>IF(IFERROR(INDEX('Both teabags AfterDry'!$D$3:$D$900,MATCH(J211,'Both teabags AfterDry'!$A$3:$A$900,0)),"")="","",(IFERROR(INDEX('Both teabags AfterDry'!$D$3:$D$900,MATCH(J211,'Both teabags AfterDry'!$A$3:$A$900,0)),"")))</f>
        <v>0.80600000000000005</v>
      </c>
      <c r="P211" s="267">
        <f>IFERROR(IF(O211&gt;0,O211-(TBIcalc!$Q$9),""),"")</f>
        <v>0.65539999999999998</v>
      </c>
      <c r="Q211" s="278">
        <f>IFERROR(INDEX('Ashed teabags dry'!$K$2:$K$825,MATCH(J211,'Ashed teabags dry'!$A$2:$A$825,0)),"")</f>
        <v>13.82488479262701</v>
      </c>
      <c r="R211" s="278">
        <f t="shared" si="17"/>
        <v>0.56479170506912257</v>
      </c>
      <c r="S211" s="268">
        <f>'Dry_Litterbag Placem_Collection'!E212</f>
        <v>42942</v>
      </c>
      <c r="T211" s="268">
        <f>IF('Dry_Litterbag Placem_Collection'!G212="","",'Dry_Litterbag Placem_Collection'!G212)</f>
        <v>43004</v>
      </c>
      <c r="U211" s="269">
        <f t="shared" si="15"/>
        <v>62</v>
      </c>
      <c r="V211" s="267">
        <f t="shared" si="18"/>
        <v>1.2178000000000002</v>
      </c>
      <c r="W211" s="267">
        <f t="shared" si="19"/>
        <v>1.2051057042717224</v>
      </c>
      <c r="X211" s="271">
        <f>IFERROR(INDEX(Rainfall_Dry!$O$2:$O$217,MATCH(B211, Rainfall_Dry!$A$2:$A$217,0)),"")</f>
        <v>171.84818423999999</v>
      </c>
      <c r="Y211" s="260">
        <v>33.96</v>
      </c>
      <c r="Z211" s="260">
        <v>8.9200000000000017</v>
      </c>
      <c r="AA211" s="260">
        <v>57.12</v>
      </c>
      <c r="AB211" s="261" t="s">
        <v>2670</v>
      </c>
      <c r="AC211" s="260">
        <v>2.072055199605717</v>
      </c>
      <c r="AD211">
        <f>IF('WetLitterbags placem_collection'!AB212="","",'WetLitterbags placem_collection'!AB212)</f>
        <v>15.2</v>
      </c>
      <c r="AE211">
        <f>IF('WetLitterbags placem_collection'!Z212="","",'WetLitterbags placem_collection'!Z212)</f>
        <v>12.2</v>
      </c>
      <c r="AF211" s="246" t="str">
        <f>IF('WetLitterbags placem_collection'!AA212="","",'WetLitterbags placem_collection'!AA212)</f>
        <v>O</v>
      </c>
      <c r="AG211">
        <f>IF('WetLitterbags placem_collection'!AC212="","",'WetLitterbags placem_collection'!AC212)</f>
        <v>1</v>
      </c>
      <c r="AH211">
        <f>IFERROR(AVERAGE('Dry_Litterbag Placem_Collection'!O212,'Dry_Litterbag Placem_Collection'!R212),"")</f>
        <v>6.1</v>
      </c>
      <c r="AI211" s="271">
        <f>IFERROR(AVERAGE('Dry_Litterbag Placem_Collection'!N212,'Dry_Litterbag Placem_Collection'!Q212),"")</f>
        <v>27.5</v>
      </c>
      <c r="AJ211">
        <v>-2.4396949910000001</v>
      </c>
      <c r="AK211">
        <v>34.838574029999997</v>
      </c>
      <c r="AL211" s="270" t="str">
        <f>IF(ISNUMBER(SEARCH("C", 'Dry_Litterbag Placem_Collection'!S212)),"YES","NO")</f>
        <v>YES</v>
      </c>
      <c r="AM211" s="270" t="str">
        <f>IF(ISNUMBER(SEARCH("H", 'Dry_Litterbag Placem_Collection'!S212)),"YES","NO")</f>
        <v>NO</v>
      </c>
      <c r="AN211" s="270" t="str">
        <f>IF(ISNUMBER(SEARCH("R", 'Dry_Litterbag Placem_Collection'!S212)),"YES","NO")</f>
        <v>YES</v>
      </c>
    </row>
    <row r="212" spans="1:40" ht="15" customHeight="1">
      <c r="A212" s="262" t="s">
        <v>2659</v>
      </c>
      <c r="B212" s="263">
        <f>'Dry_Litterbag Placem_Collection'!A213</f>
        <v>211</v>
      </c>
      <c r="C212" s="263" t="str">
        <f>'Dry_Litterbag Placem_Collection'!B213</f>
        <v xml:space="preserve">Mwantimba
</v>
      </c>
      <c r="D212" s="263" t="s">
        <v>2460</v>
      </c>
      <c r="E212" s="263" t="s">
        <v>2526</v>
      </c>
      <c r="F212" s="263">
        <v>1</v>
      </c>
      <c r="G212" s="264" t="str">
        <f>'Dry_Litterbag Placem_Collection'!C213</f>
        <v>Wet_P3_CG1</v>
      </c>
      <c r="H212" s="265" t="s">
        <v>2541</v>
      </c>
      <c r="I212" s="266" t="s">
        <v>1147</v>
      </c>
      <c r="J212" s="263" t="str">
        <f>IF(ISBLANK('Dry_Litterbag Placem_Collection'!J213),"","G"&amp;""&amp;'Dry_Litterbag Placem_Collection'!J213)</f>
        <v>G26</v>
      </c>
      <c r="K212" s="267">
        <f>IFERROR(INDEX('Green_rooibos initial weight'!$C$5:$C$1749,MATCH(J212, 'Green_rooibos initial weight'!$A$5:$A$1749,0)),"")</f>
        <v>2.1059999999999999</v>
      </c>
      <c r="L212" s="267">
        <f>IFERROR(K212-(TBIcalc!$Q$9+TBIcalc!$Q$10),"")</f>
        <v>1.8561999999999999</v>
      </c>
      <c r="M212" s="391">
        <f>AVERAGE(Ashed_controlls!$K$2:$K$11)</f>
        <v>5.5147656768714146</v>
      </c>
      <c r="N212" s="267">
        <f t="shared" si="16"/>
        <v>1.7538349195059126</v>
      </c>
      <c r="O212" s="267">
        <f>IF(IFERROR(INDEX('Both teabags AfterDry'!$D$3:$D$900,MATCH(J212,'Both teabags AfterDry'!$A$3:$A$900,0)),"")="","",(IFERROR(INDEX('Both teabags AfterDry'!$D$3:$D$900,MATCH(J212,'Both teabags AfterDry'!$A$3:$A$900,0)),"")))</f>
        <v>0.38400000000000001</v>
      </c>
      <c r="P212" s="267">
        <f>IFERROR(IF(O212&gt;0,O212-(TBIcalc!$Q$9),""),"")</f>
        <v>0.2334</v>
      </c>
      <c r="Q212" s="278">
        <f>IFERROR(INDEX('Ashed teabags dry'!$K$2:$K$825,MATCH(J212,'Ashed teabags dry'!$A$2:$A$825,0)),"")</f>
        <v>18.38888888888961</v>
      </c>
      <c r="R212" s="278">
        <f t="shared" si="17"/>
        <v>0.19048033333333164</v>
      </c>
      <c r="S212" s="268">
        <f>'Dry_Litterbag Placem_Collection'!E213</f>
        <v>42942</v>
      </c>
      <c r="T212" s="268">
        <f>IF('Dry_Litterbag Placem_Collection'!G213="","",'Dry_Litterbag Placem_Collection'!G213)</f>
        <v>43004</v>
      </c>
      <c r="U212" s="269">
        <f t="shared" si="15"/>
        <v>62</v>
      </c>
      <c r="V212" s="267">
        <f t="shared" si="18"/>
        <v>1.6227999999999998</v>
      </c>
      <c r="W212" s="267">
        <f t="shared" si="19"/>
        <v>1.5633545861725811</v>
      </c>
      <c r="X212" s="271">
        <f>IFERROR(INDEX(Rainfall_Dry!$O$2:$O$217,MATCH(B212, Rainfall_Dry!$A$2:$A$217,0)),"")</f>
        <v>171.84818423999999</v>
      </c>
      <c r="Y212" s="260">
        <v>39.96</v>
      </c>
      <c r="Z212" s="260">
        <v>12.920000000000002</v>
      </c>
      <c r="AA212" s="260">
        <v>47.12</v>
      </c>
      <c r="AB212" s="261" t="s">
        <v>2674</v>
      </c>
      <c r="AC212" s="260">
        <v>1.6549531789058647</v>
      </c>
      <c r="AD212">
        <f>IF('WetLitterbags placem_collection'!AB213="","",'WetLitterbags placem_collection'!AB213)</f>
        <v>13.8</v>
      </c>
      <c r="AE212">
        <f>IF('WetLitterbags placem_collection'!Z213="","",'WetLitterbags placem_collection'!Z213)</f>
        <v>17.399999999999999</v>
      </c>
      <c r="AF212" s="246" t="str">
        <f>IF('WetLitterbags placem_collection'!AA213="","",'WetLitterbags placem_collection'!AA213)</f>
        <v>O</v>
      </c>
      <c r="AG212">
        <f>IF('WetLitterbags placem_collection'!AC213="","",'WetLitterbags placem_collection'!AC213)</f>
        <v>1</v>
      </c>
      <c r="AH212">
        <f>IFERROR(AVERAGE('Dry_Litterbag Placem_Collection'!O213,'Dry_Litterbag Placem_Collection'!R213),"")</f>
        <v>7.55</v>
      </c>
      <c r="AI212" s="271">
        <f>IFERROR(AVERAGE('Dry_Litterbag Placem_Collection'!N213,'Dry_Litterbag Placem_Collection'!Q213),"")</f>
        <v>28</v>
      </c>
      <c r="AJ212">
        <v>-2.439403972</v>
      </c>
      <c r="AK212">
        <v>34.838404959999998</v>
      </c>
      <c r="AL212" s="270" t="str">
        <f>IF(ISNUMBER(SEARCH("C", 'Dry_Litterbag Placem_Collection'!S213)),"YES","NO")</f>
        <v>NO</v>
      </c>
      <c r="AM212" s="270" t="str">
        <f>IF(ISNUMBER(SEARCH("H", 'Dry_Litterbag Placem_Collection'!S213)),"YES","NO")</f>
        <v>YES</v>
      </c>
      <c r="AN212" s="270" t="str">
        <f>IF(ISNUMBER(SEARCH("R", 'Dry_Litterbag Placem_Collection'!S213)),"YES","NO")</f>
        <v>NO</v>
      </c>
    </row>
    <row r="213" spans="1:40" ht="15" customHeight="1">
      <c r="A213" s="262" t="s">
        <v>2659</v>
      </c>
      <c r="B213" s="263">
        <f>'Dry_Litterbag Placem_Collection'!A214</f>
        <v>215</v>
      </c>
      <c r="C213" s="263" t="str">
        <f>'Dry_Litterbag Placem_Collection'!B214</f>
        <v xml:space="preserve">Mwantimba
</v>
      </c>
      <c r="D213" s="263" t="s">
        <v>2460</v>
      </c>
      <c r="E213" s="263" t="s">
        <v>2526</v>
      </c>
      <c r="F213" s="263">
        <v>3</v>
      </c>
      <c r="G213" s="264" t="str">
        <f>'Dry_Litterbag Placem_Collection'!C214</f>
        <v>Wet_W3_CG1</v>
      </c>
      <c r="H213" s="265" t="s">
        <v>2541</v>
      </c>
      <c r="I213" s="266" t="s">
        <v>1147</v>
      </c>
      <c r="J213" s="263" t="str">
        <f>IF(ISBLANK('Dry_Litterbag Placem_Collection'!J214),"","G"&amp;""&amp;'Dry_Litterbag Placem_Collection'!J214)</f>
        <v>G169</v>
      </c>
      <c r="K213" s="267">
        <f>IFERROR(INDEX('Green_rooibos initial weight'!$C$5:$C$1749,MATCH(J213, 'Green_rooibos initial weight'!$A$5:$A$1749,0)),"")</f>
        <v>2.0649999999999999</v>
      </c>
      <c r="L213" s="267">
        <f>IFERROR(K213-(TBIcalc!$Q$9+TBIcalc!$Q$10),"")</f>
        <v>1.8151999999999999</v>
      </c>
      <c r="M213" s="391">
        <f>AVERAGE(Ashed_controlls!$K$2:$K$11)</f>
        <v>5.5147656768714146</v>
      </c>
      <c r="N213" s="267">
        <f t="shared" si="16"/>
        <v>1.7150959734334301</v>
      </c>
      <c r="O213" s="267">
        <f>IF(IFERROR(INDEX('Both teabags AfterDry'!$D$3:$D$900,MATCH(J213,'Both teabags AfterDry'!$A$3:$A$900,0)),"")="","",(IFERROR(INDEX('Both teabags AfterDry'!$D$3:$D$900,MATCH(J213,'Both teabags AfterDry'!$A$3:$A$900,0)),"")))</f>
        <v>0.70899999999999996</v>
      </c>
      <c r="P213" s="267">
        <f>IFERROR(IF(O213&gt;0,O213-(TBIcalc!$Q$9),""),"")</f>
        <v>0.55840000000000001</v>
      </c>
      <c r="Q213" s="278">
        <f>IFERROR(INDEX('Ashed teabags dry'!$K$2:$K$825,MATCH(J213,'Ashed teabags dry'!$A$2:$A$825,0)),"")</f>
        <v>21.867199201197611</v>
      </c>
      <c r="R213" s="278">
        <f t="shared" si="17"/>
        <v>0.43629355966051253</v>
      </c>
      <c r="S213" s="268">
        <f>'Dry_Litterbag Placem_Collection'!E214</f>
        <v>42942</v>
      </c>
      <c r="T213" s="268">
        <f>IF('Dry_Litterbag Placem_Collection'!G214="","",'Dry_Litterbag Placem_Collection'!G214)</f>
        <v>43004</v>
      </c>
      <c r="U213" s="269">
        <f t="shared" si="15"/>
        <v>62</v>
      </c>
      <c r="V213" s="267">
        <f t="shared" si="18"/>
        <v>1.2567999999999999</v>
      </c>
      <c r="W213" s="267">
        <f t="shared" si="19"/>
        <v>1.2788024137729175</v>
      </c>
      <c r="X213" s="271" t="str">
        <f>IFERROR(INDEX(Rainfall_Dry!$O$2:$O$217,MATCH(B213, Rainfall_Dry!$A$2:$A$217,0)),"")</f>
        <v/>
      </c>
      <c r="Y213" s="260">
        <v>27.96</v>
      </c>
      <c r="Z213" s="260">
        <v>4.9200000000000017</v>
      </c>
      <c r="AA213" s="260">
        <v>67.12</v>
      </c>
      <c r="AB213" s="261" t="s">
        <v>2670</v>
      </c>
      <c r="AC213" s="260">
        <v>1.0437161163134547</v>
      </c>
      <c r="AD213">
        <f>IF('WetLitterbags placem_collection'!AB214="","",'WetLitterbags placem_collection'!AB214)</f>
        <v>7.9</v>
      </c>
      <c r="AE213">
        <f>IF('WetLitterbags placem_collection'!Z214="","",'WetLitterbags placem_collection'!Z214)</f>
        <v>7.9</v>
      </c>
      <c r="AF213" s="246" t="str">
        <f>IF('WetLitterbags placem_collection'!AA214="","",'WetLitterbags placem_collection'!AA214)</f>
        <v>O</v>
      </c>
      <c r="AG213">
        <f>IF('WetLitterbags placem_collection'!AC214="","",'WetLitterbags placem_collection'!AC214)</f>
        <v>1</v>
      </c>
      <c r="AH213">
        <f>IFERROR(AVERAGE('Dry_Litterbag Placem_Collection'!O214,'Dry_Litterbag Placem_Collection'!R214),"")</f>
        <v>4.3</v>
      </c>
      <c r="AI213" s="271">
        <f>IFERROR(AVERAGE('Dry_Litterbag Placem_Collection'!N214,'Dry_Litterbag Placem_Collection'!Q214),"")</f>
        <v>28.75</v>
      </c>
      <c r="AJ213">
        <v>-2.4395990190000001</v>
      </c>
      <c r="AK213">
        <v>34.838418959999998</v>
      </c>
      <c r="AL213" s="270" t="str">
        <f>IF(ISNUMBER(SEARCH("C", 'Dry_Litterbag Placem_Collection'!S214)),"YES","NO")</f>
        <v>NO</v>
      </c>
      <c r="AM213" s="270" t="str">
        <f>IF(ISNUMBER(SEARCH("H", 'Dry_Litterbag Placem_Collection'!S214)),"YES","NO")</f>
        <v>NO</v>
      </c>
      <c r="AN213" s="270" t="str">
        <f>IF(ISNUMBER(SEARCH("R", 'Dry_Litterbag Placem_Collection'!S214)),"YES","NO")</f>
        <v>NO</v>
      </c>
    </row>
    <row r="214" spans="1:40" ht="15" customHeight="1">
      <c r="A214" s="262" t="s">
        <v>2659</v>
      </c>
      <c r="B214" s="263">
        <f>'Dry_Litterbag Placem_Collection'!A215</f>
        <v>212</v>
      </c>
      <c r="C214" s="263" t="str">
        <f>'Dry_Litterbag Placem_Collection'!B215</f>
        <v xml:space="preserve">Mwantimba
</v>
      </c>
      <c r="D214" s="263" t="s">
        <v>2460</v>
      </c>
      <c r="E214" s="263" t="s">
        <v>2526</v>
      </c>
      <c r="F214" s="263">
        <v>4</v>
      </c>
      <c r="G214" s="264" t="str">
        <f>'Dry_Litterbag Placem_Collection'!C215</f>
        <v>Wet_P4_CG3</v>
      </c>
      <c r="H214" s="265" t="s">
        <v>2541</v>
      </c>
      <c r="I214" s="266" t="s">
        <v>1147</v>
      </c>
      <c r="J214" s="263" t="str">
        <f>IF(ISBLANK('Dry_Litterbag Placem_Collection'!J215),"","G"&amp;""&amp;'Dry_Litterbag Placem_Collection'!J215)</f>
        <v>G68</v>
      </c>
      <c r="K214" s="267">
        <f>IFERROR(INDEX('Green_rooibos initial weight'!$C$5:$C$1749,MATCH(J214, 'Green_rooibos initial weight'!$A$5:$A$1749,0)),"")</f>
        <v>1.921</v>
      </c>
      <c r="L214" s="267">
        <f>IFERROR(K214-(TBIcalc!$Q$9+TBIcalc!$Q$10),"")</f>
        <v>1.6712</v>
      </c>
      <c r="M214" s="391">
        <f>AVERAGE(Ashed_controlls!$K$2:$K$11)</f>
        <v>5.5147656768714146</v>
      </c>
      <c r="N214" s="267">
        <f t="shared" si="16"/>
        <v>1.5790372360081248</v>
      </c>
      <c r="O214" s="267">
        <f>IF(IFERROR(INDEX('Both teabags AfterDry'!$D$3:$D$900,MATCH(J214,'Both teabags AfterDry'!$A$3:$A$900,0)),"")="","",(IFERROR(INDEX('Both teabags AfterDry'!$D$3:$D$900,MATCH(J214,'Both teabags AfterDry'!$A$3:$A$900,0)),"")))</f>
        <v>0.71</v>
      </c>
      <c r="P214" s="267">
        <f>IFERROR(IF(O214&gt;0,O214-(TBIcalc!$Q$9),""),"")</f>
        <v>0.5593999999999999</v>
      </c>
      <c r="Q214" s="278">
        <f>IFERROR(INDEX('Ashed teabags dry'!$K$2:$K$825,MATCH(J214,'Ashed teabags dry'!$A$2:$A$825,0)),"")</f>
        <v>24.931756141947613</v>
      </c>
      <c r="R214" s="278">
        <f t="shared" si="17"/>
        <v>0.419931756141945</v>
      </c>
      <c r="S214" s="268">
        <f>'Dry_Litterbag Placem_Collection'!E215</f>
        <v>42942</v>
      </c>
      <c r="T214" s="268">
        <f>IF('Dry_Litterbag Placem_Collection'!G215="","",'Dry_Litterbag Placem_Collection'!G215)</f>
        <v>43004</v>
      </c>
      <c r="U214" s="269">
        <f t="shared" si="15"/>
        <v>62</v>
      </c>
      <c r="V214" s="267">
        <f t="shared" si="18"/>
        <v>1.1118000000000001</v>
      </c>
      <c r="W214" s="267">
        <f t="shared" si="19"/>
        <v>1.15910547986618</v>
      </c>
      <c r="X214" s="271">
        <f>IFERROR(INDEX(Rainfall_Dry!$O$2:$O$217,MATCH(B214, Rainfall_Dry!$A$2:$A$217,0)),"")</f>
        <v>171.84818423999999</v>
      </c>
      <c r="Y214" s="260">
        <v>21.96</v>
      </c>
      <c r="Z214" s="260">
        <v>4.9199999999999982</v>
      </c>
      <c r="AA214" s="260">
        <v>73.12</v>
      </c>
      <c r="AB214" s="261" t="s">
        <v>2670</v>
      </c>
      <c r="AC214" s="260">
        <v>1.2416954164613114</v>
      </c>
      <c r="AD214">
        <f>IF('WetLitterbags placem_collection'!AB215="","",'WetLitterbags placem_collection'!AB215)</f>
        <v>15.2</v>
      </c>
      <c r="AE214">
        <f>IF('WetLitterbags placem_collection'!Z215="","",'WetLitterbags placem_collection'!Z215)</f>
        <v>12.2</v>
      </c>
      <c r="AF214" s="246" t="str">
        <f>IF('WetLitterbags placem_collection'!AA215="","",'WetLitterbags placem_collection'!AA215)</f>
        <v>O</v>
      </c>
      <c r="AG214">
        <f>IF('WetLitterbags placem_collection'!AC215="","",'WetLitterbags placem_collection'!AC215)</f>
        <v>1</v>
      </c>
      <c r="AH214">
        <f>IFERROR(AVERAGE('Dry_Litterbag Placem_Collection'!O215,'Dry_Litterbag Placem_Collection'!R215),"")</f>
        <v>8.1499999999999986</v>
      </c>
      <c r="AI214" s="271">
        <f>IFERROR(AVERAGE('Dry_Litterbag Placem_Collection'!N215,'Dry_Litterbag Placem_Collection'!Q215),"")</f>
        <v>28.25</v>
      </c>
      <c r="AJ214">
        <v>-2.4396949910000001</v>
      </c>
      <c r="AK214">
        <v>34.838574029999997</v>
      </c>
      <c r="AL214" s="270" t="str">
        <f>IF(ISNUMBER(SEARCH("C", 'Dry_Litterbag Placem_Collection'!S215)),"YES","NO")</f>
        <v>NO</v>
      </c>
      <c r="AM214" s="270" t="str">
        <f>IF(ISNUMBER(SEARCH("H", 'Dry_Litterbag Placem_Collection'!S215)),"YES","NO")</f>
        <v>YES</v>
      </c>
      <c r="AN214" s="270" t="str">
        <f>IF(ISNUMBER(SEARCH("R", 'Dry_Litterbag Placem_Collection'!S215)),"YES","NO")</f>
        <v>YES</v>
      </c>
    </row>
    <row r="215" spans="1:40" ht="15" customHeight="1">
      <c r="A215" s="262" t="s">
        <v>2659</v>
      </c>
      <c r="B215" s="263">
        <f>'Dry_Litterbag Placem_Collection'!A216</f>
        <v>213</v>
      </c>
      <c r="C215" s="263" t="str">
        <f>'Dry_Litterbag Placem_Collection'!B216</f>
        <v>Handajega</v>
      </c>
      <c r="D215" s="263" t="s">
        <v>2460</v>
      </c>
      <c r="E215" s="263" t="s">
        <v>2526</v>
      </c>
      <c r="F215" s="263">
        <v>3</v>
      </c>
      <c r="G215" s="264" t="str">
        <f>'Dry_Litterbag Placem_Collection'!C216</f>
        <v>Wet_W1_CG4</v>
      </c>
      <c r="H215" s="265" t="s">
        <v>2541</v>
      </c>
      <c r="I215" s="266" t="s">
        <v>1147</v>
      </c>
      <c r="J215" s="263" t="str">
        <f>IF(ISBLANK('Dry_Litterbag Placem_Collection'!J216),"","G"&amp;""&amp;'Dry_Litterbag Placem_Collection'!J216)</f>
        <v>G143</v>
      </c>
      <c r="K215" s="267">
        <f>IFERROR(INDEX('Green_rooibos initial weight'!$C$5:$C$1749,MATCH(J215, 'Green_rooibos initial weight'!$A$5:$A$1749,0)),"")</f>
        <v>1.9450000000000001</v>
      </c>
      <c r="L215" s="267">
        <f>IFERROR(K215-(TBIcalc!$Q$9+TBIcalc!$Q$10),"")</f>
        <v>1.6952</v>
      </c>
      <c r="M215" s="391">
        <f>AVERAGE(Ashed_controlls!$K$2:$K$11)</f>
        <v>5.5147656768714146</v>
      </c>
      <c r="N215" s="267">
        <f t="shared" si="16"/>
        <v>1.6017136922456758</v>
      </c>
      <c r="O215" s="267">
        <f>IF(IFERROR(INDEX('Both teabags AfterDry'!$D$3:$D$900,MATCH(J215,'Both teabags AfterDry'!$A$3:$A$900,0)),"")="","",(IFERROR(INDEX('Both teabags AfterDry'!$D$3:$D$900,MATCH(J215,'Both teabags AfterDry'!$A$3:$A$900,0)),"")))</f>
        <v>0.57899999999999996</v>
      </c>
      <c r="P215" s="267">
        <f>IFERROR(IF(O215&gt;0,O215-(TBIcalc!$Q$9),""),"")</f>
        <v>0.42839999999999995</v>
      </c>
      <c r="Q215" s="278">
        <f>IFERROR(INDEX('Ashed teabags dry'!$K$2:$K$825,MATCH(J215,'Ashed teabags dry'!$A$2:$A$825,0)),"")</f>
        <v>19.161676646707068</v>
      </c>
      <c r="R215" s="278">
        <f t="shared" si="17"/>
        <v>0.34631137724550687</v>
      </c>
      <c r="S215" s="268">
        <f>'Dry_Litterbag Placem_Collection'!E216</f>
        <v>42942</v>
      </c>
      <c r="T215" s="268">
        <f>IF('Dry_Litterbag Placem_Collection'!G216="","",'Dry_Litterbag Placem_Collection'!G216)</f>
        <v>43004</v>
      </c>
      <c r="U215" s="269">
        <f t="shared" si="15"/>
        <v>62</v>
      </c>
      <c r="V215" s="267">
        <f t="shared" si="18"/>
        <v>1.2668000000000001</v>
      </c>
      <c r="W215" s="267">
        <f t="shared" si="19"/>
        <v>1.255402315000169</v>
      </c>
      <c r="X215" s="271">
        <f>IFERROR(INDEX(Rainfall_Dry!$O$2:$O$217,MATCH(B215, Rainfall_Dry!$A$2:$A$217,0)),"")</f>
        <v>171.84818423999999</v>
      </c>
      <c r="Y215" s="260">
        <v>23.96</v>
      </c>
      <c r="Z215" s="260">
        <v>4.9199999999999982</v>
      </c>
      <c r="AA215" s="260">
        <v>71.12</v>
      </c>
      <c r="AB215" s="261" t="s">
        <v>2670</v>
      </c>
      <c r="AC215" s="260">
        <v>3.30913750616067</v>
      </c>
      <c r="AD215">
        <f>IF('WetLitterbags placem_collection'!AB216="","",'WetLitterbags placem_collection'!AB216)</f>
        <v>7.9</v>
      </c>
      <c r="AE215">
        <f>IF('WetLitterbags placem_collection'!Z216="","",'WetLitterbags placem_collection'!Z216)</f>
        <v>7.9</v>
      </c>
      <c r="AF215" s="246" t="str">
        <f>IF('WetLitterbags placem_collection'!AA216="","",'WetLitterbags placem_collection'!AA216)</f>
        <v>O</v>
      </c>
      <c r="AG215">
        <f>IF('WetLitterbags placem_collection'!AC216="","",'WetLitterbags placem_collection'!AC216)</f>
        <v>1</v>
      </c>
      <c r="AH215">
        <f>IFERROR(AVERAGE('Dry_Litterbag Placem_Collection'!O216,'Dry_Litterbag Placem_Collection'!R216),"")</f>
        <v>4.3499999999999996</v>
      </c>
      <c r="AI215" s="271">
        <f>IFERROR(AVERAGE('Dry_Litterbag Placem_Collection'!N216,'Dry_Litterbag Placem_Collection'!Q216),"")</f>
        <v>29.1</v>
      </c>
      <c r="AJ215">
        <v>-2.4396949910000001</v>
      </c>
      <c r="AK215">
        <v>34.838574029999997</v>
      </c>
      <c r="AL215" s="270" t="str">
        <f>IF(ISNUMBER(SEARCH("C", 'Dry_Litterbag Placem_Collection'!S216)),"YES","NO")</f>
        <v>NO</v>
      </c>
      <c r="AM215" s="270" t="str">
        <f>IF(ISNUMBER(SEARCH("H", 'Dry_Litterbag Placem_Collection'!S216)),"YES","NO")</f>
        <v>NO</v>
      </c>
      <c r="AN215" s="270" t="str">
        <f>IF(ISNUMBER(SEARCH("R", 'Dry_Litterbag Placem_Collection'!S216)),"YES","NO")</f>
        <v>YES</v>
      </c>
    </row>
    <row r="216" spans="1:40" ht="15" customHeight="1">
      <c r="A216" s="262" t="s">
        <v>2659</v>
      </c>
      <c r="B216" s="263">
        <f>'Dry_Litterbag Placem_Collection'!A217</f>
        <v>214</v>
      </c>
      <c r="C216" s="263" t="str">
        <f>'Dry_Litterbag Placem_Collection'!B217</f>
        <v>Handajega</v>
      </c>
      <c r="D216" s="263" t="s">
        <v>2460</v>
      </c>
      <c r="E216" s="263" t="s">
        <v>2526</v>
      </c>
      <c r="F216" s="263">
        <v>1</v>
      </c>
      <c r="G216" s="264" t="str">
        <f>'Dry_Litterbag Placem_Collection'!C217</f>
        <v>Wet_W2_CG3</v>
      </c>
      <c r="H216" s="265" t="s">
        <v>2541</v>
      </c>
      <c r="I216" s="266" t="s">
        <v>1147</v>
      </c>
      <c r="J216" s="263" t="str">
        <f>IF(ISBLANK('Dry_Litterbag Placem_Collection'!J217),"","G"&amp;""&amp;'Dry_Litterbag Placem_Collection'!J217)</f>
        <v>G128</v>
      </c>
      <c r="K216" s="267">
        <f>IFERROR(INDEX('Green_rooibos initial weight'!$C$5:$C$1749,MATCH(J216, 'Green_rooibos initial weight'!$A$5:$A$1749,0)),"")</f>
        <v>2.0219999999999998</v>
      </c>
      <c r="L216" s="267">
        <f>IFERROR(K216-(TBIcalc!$Q$9+TBIcalc!$Q$10),"")</f>
        <v>1.7721999999999998</v>
      </c>
      <c r="M216" s="391">
        <f>AVERAGE(Ashed_controlls!$K$2:$K$11)</f>
        <v>5.5147656768714146</v>
      </c>
      <c r="N216" s="267">
        <f t="shared" si="16"/>
        <v>1.6744673226744846</v>
      </c>
      <c r="O216" s="267">
        <f>IF(IFERROR(INDEX('Both teabags AfterDry'!$D$3:$D$900,MATCH(J216,'Both teabags AfterDry'!$A$3:$A$900,0)),"")="","",(IFERROR(INDEX('Both teabags AfterDry'!$D$3:$D$900,MATCH(J216,'Both teabags AfterDry'!$A$3:$A$900,0)),"")))</f>
        <v>0.70599999999999996</v>
      </c>
      <c r="P216" s="267">
        <f>IFERROR(IF(O216&gt;0,O216-(TBIcalc!$Q$9),""),"")</f>
        <v>0.55539999999999989</v>
      </c>
      <c r="Q216" s="278">
        <f>IFERROR(INDEX('Ashed teabags dry'!$K$2:$K$825,MATCH(J216,'Ashed teabags dry'!$A$2:$A$825,0)),"")</f>
        <v>20.06472491909372</v>
      </c>
      <c r="R216" s="278">
        <f t="shared" si="17"/>
        <v>0.44396051779935342</v>
      </c>
      <c r="S216" s="268">
        <f>'Dry_Litterbag Placem_Collection'!E217</f>
        <v>42942</v>
      </c>
      <c r="T216" s="268">
        <f>IF('Dry_Litterbag Placem_Collection'!G217="","",'Dry_Litterbag Placem_Collection'!G217)</f>
        <v>43004</v>
      </c>
      <c r="U216" s="269">
        <f t="shared" si="15"/>
        <v>62</v>
      </c>
      <c r="V216" s="267">
        <f t="shared" si="18"/>
        <v>1.2167999999999999</v>
      </c>
      <c r="W216" s="267">
        <f t="shared" si="19"/>
        <v>1.2305068048751311</v>
      </c>
      <c r="X216" s="271">
        <f>IFERROR(INDEX(Rainfall_Dry!$O$2:$O$217,MATCH(B216, Rainfall_Dry!$A$2:$A$217,0)),"")</f>
        <v>171.84818423999999</v>
      </c>
      <c r="Y216" s="260">
        <v>25.96</v>
      </c>
      <c r="Z216" s="260">
        <v>8.9200000000000017</v>
      </c>
      <c r="AA216" s="260">
        <v>65.12</v>
      </c>
      <c r="AB216" s="261" t="s">
        <v>2670</v>
      </c>
      <c r="AC216" s="260">
        <v>1.614588467225234</v>
      </c>
      <c r="AD216">
        <f>IF('WetLitterbags placem_collection'!AB217="","",'WetLitterbags placem_collection'!AB217)</f>
        <v>13.8</v>
      </c>
      <c r="AE216">
        <f>IF('WetLitterbags placem_collection'!Z217="","",'WetLitterbags placem_collection'!Z217)</f>
        <v>17.399999999999999</v>
      </c>
      <c r="AF216" s="246" t="str">
        <f>IF('WetLitterbags placem_collection'!AA217="","",'WetLitterbags placem_collection'!AA217)</f>
        <v>O</v>
      </c>
      <c r="AG216">
        <f>IF('WetLitterbags placem_collection'!AC217="","",'WetLitterbags placem_collection'!AC217)</f>
        <v>1</v>
      </c>
      <c r="AH216">
        <f>IFERROR(AVERAGE('Dry_Litterbag Placem_Collection'!O217,'Dry_Litterbag Placem_Collection'!R217),"")</f>
        <v>6.3</v>
      </c>
      <c r="AI216" s="271">
        <f>IFERROR(AVERAGE('Dry_Litterbag Placem_Collection'!N217,'Dry_Litterbag Placem_Collection'!Q217),"")</f>
        <v>29.8</v>
      </c>
      <c r="AJ216">
        <v>-2.439403972</v>
      </c>
      <c r="AK216">
        <v>34.838404959999998</v>
      </c>
      <c r="AL216" s="270" t="str">
        <f>IF(ISNUMBER(SEARCH("C", 'Dry_Litterbag Placem_Collection'!S217)),"YES","NO")</f>
        <v>NO</v>
      </c>
      <c r="AM216" s="270" t="str">
        <f>IF(ISNUMBER(SEARCH("H", 'Dry_Litterbag Placem_Collection'!S217)),"YES","NO")</f>
        <v>YES</v>
      </c>
      <c r="AN216" s="270" t="str">
        <f>IF(ISNUMBER(SEARCH("R", 'Dry_Litterbag Placem_Collection'!S217)),"YES","NO")</f>
        <v>NO</v>
      </c>
    </row>
    <row r="217" spans="1:40" ht="15" customHeight="1">
      <c r="A217" s="262" t="s">
        <v>2659</v>
      </c>
      <c r="B217" s="263">
        <f>'Dry_Litterbag Placem_Collection'!A218</f>
        <v>216</v>
      </c>
      <c r="C217" s="263" t="str">
        <f>'Dry_Litterbag Placem_Collection'!B218</f>
        <v>Handajega</v>
      </c>
      <c r="D217" s="263" t="s">
        <v>2460</v>
      </c>
      <c r="E217" s="263" t="s">
        <v>2526</v>
      </c>
      <c r="F217" s="263">
        <v>2</v>
      </c>
      <c r="G217" s="264" t="str">
        <f>'Dry_Litterbag Placem_Collection'!C218</f>
        <v>Wet_W4_CG2</v>
      </c>
      <c r="H217" s="265" t="s">
        <v>2541</v>
      </c>
      <c r="I217" s="266" t="s">
        <v>1147</v>
      </c>
      <c r="J217" s="263" t="str">
        <f>IF(ISBLANK('Dry_Litterbag Placem_Collection'!J218),"","G"&amp;""&amp;'Dry_Litterbag Placem_Collection'!J218)</f>
        <v>G95</v>
      </c>
      <c r="K217" s="267">
        <f>IFERROR(INDEX('Green_rooibos initial weight'!$C$5:$C$1749,MATCH(J217, 'Green_rooibos initial weight'!$A$5:$A$1749,0)),"")</f>
        <v>2.1110000000000002</v>
      </c>
      <c r="L217" s="267">
        <f>IFERROR(K217-(TBIcalc!$Q$9+TBIcalc!$Q$10),"")</f>
        <v>1.8612000000000002</v>
      </c>
      <c r="M217" s="391">
        <f>AVERAGE(Ashed_controlls!$K$2:$K$11)</f>
        <v>5.5147656768714146</v>
      </c>
      <c r="N217" s="267">
        <f t="shared" si="16"/>
        <v>1.7585591812220693</v>
      </c>
      <c r="O217" s="267">
        <f>IF(IFERROR(INDEX('Both teabags AfterDry'!$D$3:$D$900,MATCH(J217,'Both teabags AfterDry'!$A$3:$A$900,0)),"")="","",(IFERROR(INDEX('Both teabags AfterDry'!$D$3:$D$900,MATCH(J217,'Both teabags AfterDry'!$A$3:$A$900,0)),"")))</f>
        <v>0.80600000000000005</v>
      </c>
      <c r="P217" s="267">
        <f>IFERROR(IF(O217&gt;0,O217-(TBIcalc!$Q$9),""),"")</f>
        <v>0.65539999999999998</v>
      </c>
      <c r="Q217" s="278">
        <f>IFERROR(INDEX('Ashed teabags dry'!$K$2:$K$825,MATCH(J217,'Ashed teabags dry'!$A$2:$A$825,0)),"")</f>
        <v>24.313893653516725</v>
      </c>
      <c r="R217" s="278">
        <f t="shared" si="17"/>
        <v>0.49604674099485135</v>
      </c>
      <c r="S217" s="268">
        <f>'Dry_Litterbag Placem_Collection'!E218</f>
        <v>42942</v>
      </c>
      <c r="T217" s="268">
        <f>IF('Dry_Litterbag Placem_Collection'!G218="","",'Dry_Litterbag Placem_Collection'!G218)</f>
        <v>43004</v>
      </c>
      <c r="U217" s="269">
        <f t="shared" si="15"/>
        <v>62</v>
      </c>
      <c r="V217" s="267">
        <f t="shared" si="18"/>
        <v>1.2058000000000002</v>
      </c>
      <c r="W217" s="267">
        <f t="shared" si="19"/>
        <v>1.2625124402272179</v>
      </c>
      <c r="X217" s="271">
        <f>IFERROR(INDEX(Rainfall_Dry!$O$2:$O$217,MATCH(B217, Rainfall_Dry!$A$2:$A$217,0)),"")</f>
        <v>171.84818423999999</v>
      </c>
      <c r="Y217" s="260">
        <v>25.96</v>
      </c>
      <c r="Z217" s="260">
        <v>8.9200000000000017</v>
      </c>
      <c r="AA217" s="260">
        <v>65.12</v>
      </c>
      <c r="AB217" s="261" t="s">
        <v>2670</v>
      </c>
      <c r="AC217" s="260">
        <v>1.6991621488417901</v>
      </c>
      <c r="AD217">
        <f>IF('WetLitterbags placem_collection'!AB218="","",'WetLitterbags placem_collection'!AB218)</f>
        <v>5.13</v>
      </c>
      <c r="AE217">
        <f>IF('WetLitterbags placem_collection'!Z218="","",'WetLitterbags placem_collection'!Z218)</f>
        <v>5.13</v>
      </c>
      <c r="AF217" s="246" t="str">
        <f>IF('WetLitterbags placem_collection'!AA218="","",'WetLitterbags placem_collection'!AA218)</f>
        <v>O</v>
      </c>
      <c r="AG217">
        <f>IF('WetLitterbags placem_collection'!AC218="","",'WetLitterbags placem_collection'!AC218)</f>
        <v>1</v>
      </c>
      <c r="AH217">
        <f>IFERROR(AVERAGE('Dry_Litterbag Placem_Collection'!O218,'Dry_Litterbag Placem_Collection'!R218),"")</f>
        <v>7.0500000000000007</v>
      </c>
      <c r="AI217" s="271">
        <f>IFERROR(AVERAGE('Dry_Litterbag Placem_Collection'!N218,'Dry_Litterbag Placem_Collection'!Q218),"")</f>
        <v>29.85</v>
      </c>
      <c r="AJ217">
        <v>-2.4396450349999999</v>
      </c>
      <c r="AK217">
        <v>34.83836599</v>
      </c>
      <c r="AL217" s="270" t="str">
        <f>IF(ISNUMBER(SEARCH("C", 'Dry_Litterbag Placem_Collection'!S218)),"YES","NO")</f>
        <v>NO</v>
      </c>
      <c r="AM217" s="270" t="str">
        <f>IF(ISNUMBER(SEARCH("H", 'Dry_Litterbag Placem_Collection'!S218)),"YES","NO")</f>
        <v>NO</v>
      </c>
      <c r="AN217" s="270" t="str">
        <f>IF(ISNUMBER(SEARCH("R", 'Dry_Litterbag Placem_Collection'!S218)),"YES","NO")</f>
        <v>NO</v>
      </c>
    </row>
    <row r="218" spans="1:40" ht="15" customHeight="1">
      <c r="A218" s="262" t="s">
        <v>2659</v>
      </c>
      <c r="B218" s="263">
        <f>'Dry_Litterbag Placem_Collection'!A219</f>
        <v>217</v>
      </c>
      <c r="C218" s="263" t="str">
        <f>'Dry_Litterbag Placem_Collection'!B219</f>
        <v>Seronera</v>
      </c>
      <c r="D218" s="263" t="s">
        <v>2662</v>
      </c>
      <c r="E218" s="263" t="s">
        <v>2526</v>
      </c>
      <c r="F218" s="263">
        <v>1</v>
      </c>
      <c r="G218" s="264" t="str">
        <f>'Dry_Litterbag Placem_Collection'!C219</f>
        <v>Local1_CG1</v>
      </c>
      <c r="H218" s="265" t="s">
        <v>2541</v>
      </c>
      <c r="I218" s="266" t="s">
        <v>1147</v>
      </c>
      <c r="J218" s="263" t="str">
        <f>IF(ISBLANK('Dry_Litterbag Placem_Collection'!J219),"","G"&amp;""&amp;'Dry_Litterbag Placem_Collection'!J219)</f>
        <v>G313</v>
      </c>
      <c r="K218" s="267">
        <f>IFERROR(INDEX('Green_rooibos initial weight'!$C$5:$C$1749,MATCH(J218, 'Green_rooibos initial weight'!$A$5:$A$1749,0)),"")</f>
        <v>1.923</v>
      </c>
      <c r="L218" s="267">
        <f>IFERROR(K218-(TBIcalc!$Q$9+TBIcalc!$Q$10),"")</f>
        <v>1.6732</v>
      </c>
      <c r="M218" s="391">
        <f>AVERAGE(Ashed_controlls!$K$2:$K$11)</f>
        <v>5.5147656768714146</v>
      </c>
      <c r="N218" s="267">
        <f t="shared" si="16"/>
        <v>1.5809269406945876</v>
      </c>
      <c r="O218" s="267">
        <f>IF(IFERROR(INDEX('Both teabags AfterDry'!$D$3:$D$900,MATCH(J218,'Both teabags AfterDry'!$A$3:$A$900,0)),"")="","",(IFERROR(INDEX('Both teabags AfterDry'!$D$3:$D$900,MATCH(J218,'Both teabags AfterDry'!$A$3:$A$900,0)),"")))</f>
        <v>0.74719999999999998</v>
      </c>
      <c r="P218" s="267">
        <f>IFERROR(IF(O218&gt;0,O218-(TBIcalc!$Q$9),""),"")</f>
        <v>0.59660000000000002</v>
      </c>
      <c r="Q218" s="278">
        <f>IFERROR(INDEX('Ashed teabags dry'!$K$2:$K$825,MATCH(J218,'Ashed teabags dry'!$A$2:$A$825,0)),"")</f>
        <v>17.652671755725578</v>
      </c>
      <c r="R218" s="278">
        <f t="shared" si="17"/>
        <v>0.49128416030534122</v>
      </c>
      <c r="S218" s="268">
        <f>'Dry_Litterbag Placem_Collection'!E219</f>
        <v>42942</v>
      </c>
      <c r="T218" s="268">
        <f>IF('Dry_Litterbag Placem_Collection'!G219="","",'Dry_Litterbag Placem_Collection'!G219)</f>
        <v>43004</v>
      </c>
      <c r="U218" s="269">
        <f t="shared" si="15"/>
        <v>62</v>
      </c>
      <c r="V218" s="267">
        <f t="shared" si="18"/>
        <v>1.0766</v>
      </c>
      <c r="W218" s="267">
        <f t="shared" si="19"/>
        <v>1.0896427803892463</v>
      </c>
      <c r="X218" s="271">
        <f>IFERROR(INDEX(Rainfall_Dry!$O$2:$O$217,MATCH(B218, Rainfall_Dry!$A$2:$A$217,0)),"")</f>
        <v>171.84818423999999</v>
      </c>
      <c r="Y218" s="260">
        <v>29.076539101497506</v>
      </c>
      <c r="Z218" s="260">
        <v>7.1963394342762079</v>
      </c>
      <c r="AA218" s="260">
        <v>63.727121464226286</v>
      </c>
      <c r="AB218" s="260" t="s">
        <v>2670</v>
      </c>
      <c r="AC218" s="260">
        <v>1.0994578610152781</v>
      </c>
      <c r="AD218">
        <f>IF('WetLitterbags placem_collection'!AB219="","",'WetLitterbags placem_collection'!AB219)</f>
        <v>13.8</v>
      </c>
      <c r="AE218">
        <f>IF('WetLitterbags placem_collection'!Z219="","",'WetLitterbags placem_collection'!Z219)</f>
        <v>17.399999999999999</v>
      </c>
      <c r="AF218" s="246" t="str">
        <f>IF('WetLitterbags placem_collection'!AA219="","",'WetLitterbags placem_collection'!AA219)</f>
        <v>O</v>
      </c>
      <c r="AG218">
        <f>IF('WetLitterbags placem_collection'!AC219="","",'WetLitterbags placem_collection'!AC219)</f>
        <v>1</v>
      </c>
      <c r="AH218">
        <f>IFERROR(AVERAGE('Dry_Litterbag Placem_Collection'!O219,'Dry_Litterbag Placem_Collection'!R219),"")</f>
        <v>7.1999999999999993</v>
      </c>
      <c r="AI218" s="271">
        <f>IFERROR(AVERAGE('Dry_Litterbag Placem_Collection'!N219,'Dry_Litterbag Placem_Collection'!Q219),"")</f>
        <v>31.25</v>
      </c>
      <c r="AJ218">
        <v>-2.439403972</v>
      </c>
      <c r="AK218">
        <v>34.838404959999998</v>
      </c>
      <c r="AL218" s="270" t="str">
        <f>IF(ISNUMBER(SEARCH("C", 'Dry_Litterbag Placem_Collection'!S219)),"YES","NO")</f>
        <v>NO</v>
      </c>
      <c r="AM218" s="270" t="str">
        <f>IF(ISNUMBER(SEARCH("H", 'Dry_Litterbag Placem_Collection'!S219)),"YES","NO")</f>
        <v>YES</v>
      </c>
      <c r="AN218" s="270" t="str">
        <f>IF(ISNUMBER(SEARCH("R", 'Dry_Litterbag Placem_Collection'!S219)),"YES","NO")</f>
        <v>YES</v>
      </c>
    </row>
    <row r="219" spans="1:40" ht="15" customHeight="1">
      <c r="A219" s="262" t="s">
        <v>2659</v>
      </c>
      <c r="B219" s="263">
        <f>'Dry_Litterbag Placem_Collection'!A220</f>
        <v>218</v>
      </c>
      <c r="C219" s="263" t="str">
        <f>'Dry_Litterbag Placem_Collection'!B220</f>
        <v>Seronera</v>
      </c>
      <c r="D219" s="263" t="s">
        <v>2662</v>
      </c>
      <c r="E219" s="263" t="s">
        <v>2526</v>
      </c>
      <c r="F219" s="263">
        <v>2</v>
      </c>
      <c r="G219" s="264" t="str">
        <f>'Dry_Litterbag Placem_Collection'!C220</f>
        <v>Local2_CG2</v>
      </c>
      <c r="H219" s="265" t="s">
        <v>2541</v>
      </c>
      <c r="I219" s="266" t="s">
        <v>1147</v>
      </c>
      <c r="J219" s="263" t="str">
        <f>IF(ISBLANK('Dry_Litterbag Placem_Collection'!J220),"","G"&amp;""&amp;'Dry_Litterbag Placem_Collection'!J220)</f>
        <v>G485</v>
      </c>
      <c r="K219" s="267">
        <f>IFERROR(INDEX('Green_rooibos initial weight'!$C$5:$C$1749,MATCH(J219, 'Green_rooibos initial weight'!$A$5:$A$1749,0)),"")</f>
        <v>1.9890000000000001</v>
      </c>
      <c r="L219" s="267">
        <f>IFERROR(K219-(TBIcalc!$Q$9+TBIcalc!$Q$10),"")</f>
        <v>1.7392000000000001</v>
      </c>
      <c r="M219" s="391">
        <f>AVERAGE(Ashed_controlls!$K$2:$K$11)</f>
        <v>5.5147656768714146</v>
      </c>
      <c r="N219" s="267">
        <f t="shared" si="16"/>
        <v>1.6432871953478525</v>
      </c>
      <c r="O219" s="267">
        <f>IF(IFERROR(INDEX('Both teabags AfterDry'!$D$3:$D$900,MATCH(J219,'Both teabags AfterDry'!$A$3:$A$900,0)),"")="","",(IFERROR(INDEX('Both teabags AfterDry'!$D$3:$D$900,MATCH(J219,'Both teabags AfterDry'!$A$3:$A$900,0)),"")))</f>
        <v>0.66900000000000004</v>
      </c>
      <c r="P219" s="267">
        <f>IFERROR(IF(O219&gt;0,O219-(TBIcalc!$Q$9),""),"")</f>
        <v>0.51839999999999997</v>
      </c>
      <c r="Q219" s="278">
        <f>IFERROR(INDEX('Ashed teabags dry'!$K$2:$K$825,MATCH(J219,'Ashed teabags dry'!$A$2:$A$825,0)),"")</f>
        <v>22.069641981362956</v>
      </c>
      <c r="R219" s="278">
        <f t="shared" si="17"/>
        <v>0.40399097596861444</v>
      </c>
      <c r="S219" s="268">
        <f>'Dry_Litterbag Placem_Collection'!E220</f>
        <v>42942</v>
      </c>
      <c r="T219" s="268">
        <f>IF('Dry_Litterbag Placem_Collection'!G220="","",'Dry_Litterbag Placem_Collection'!G220)</f>
        <v>43004</v>
      </c>
      <c r="U219" s="269">
        <f t="shared" si="15"/>
        <v>62</v>
      </c>
      <c r="V219" s="267">
        <f t="shared" si="18"/>
        <v>1.2208000000000001</v>
      </c>
      <c r="W219" s="267">
        <f t="shared" si="19"/>
        <v>1.2392962193792381</v>
      </c>
      <c r="X219" s="271">
        <f>IFERROR(INDEX(Rainfall_Dry!$O$2:$O$217,MATCH(B219, Rainfall_Dry!$A$2:$A$217,0)),"")</f>
        <v>171.84818423999999</v>
      </c>
      <c r="Y219" s="260">
        <v>21.072635135135137</v>
      </c>
      <c r="Z219" s="260">
        <v>7.3057432432432412</v>
      </c>
      <c r="AA219" s="260">
        <v>71.621621621621614</v>
      </c>
      <c r="AB219" s="260" t="s">
        <v>2670</v>
      </c>
      <c r="AC219" s="260">
        <v>1.4512074913750617</v>
      </c>
      <c r="AD219">
        <f>IF('WetLitterbags placem_collection'!AB220="","",'WetLitterbags placem_collection'!AB220)</f>
        <v>5.13</v>
      </c>
      <c r="AE219">
        <f>IF('WetLitterbags placem_collection'!Z220="","",'WetLitterbags placem_collection'!Z220)</f>
        <v>5.13</v>
      </c>
      <c r="AF219" s="246" t="str">
        <f>IF('WetLitterbags placem_collection'!AA220="","",'WetLitterbags placem_collection'!AA220)</f>
        <v>O</v>
      </c>
      <c r="AG219">
        <f>IF('WetLitterbags placem_collection'!AC220="","",'WetLitterbags placem_collection'!AC220)</f>
        <v>1</v>
      </c>
      <c r="AH219">
        <f>IFERROR(AVERAGE('Dry_Litterbag Placem_Collection'!O220,'Dry_Litterbag Placem_Collection'!R220),"")</f>
        <v>6.45</v>
      </c>
      <c r="AI219" s="271">
        <f>IFERROR(AVERAGE('Dry_Litterbag Placem_Collection'!N220,'Dry_Litterbag Placem_Collection'!Q220),"")</f>
        <v>29.15</v>
      </c>
      <c r="AJ219">
        <v>-2.4396450349999999</v>
      </c>
      <c r="AK219">
        <v>34.83836599</v>
      </c>
      <c r="AL219" s="270" t="str">
        <f>IF(ISNUMBER(SEARCH("C", 'Dry_Litterbag Placem_Collection'!S220)),"YES","NO")</f>
        <v>NO</v>
      </c>
      <c r="AM219" s="270" t="str">
        <f>IF(ISNUMBER(SEARCH("H", 'Dry_Litterbag Placem_Collection'!S220)),"YES","NO")</f>
        <v>NO</v>
      </c>
      <c r="AN219" s="270" t="str">
        <f>IF(ISNUMBER(SEARCH("R", 'Dry_Litterbag Placem_Collection'!S220)),"YES","NO")</f>
        <v>YES</v>
      </c>
    </row>
    <row r="220" spans="1:40" ht="15" customHeight="1">
      <c r="A220" s="262" t="s">
        <v>2659</v>
      </c>
      <c r="B220" s="263">
        <f>'Dry_Litterbag Placem_Collection'!A221</f>
        <v>219</v>
      </c>
      <c r="C220" s="263" t="str">
        <f>'Dry_Litterbag Placem_Collection'!B221</f>
        <v>Seronera</v>
      </c>
      <c r="D220" s="263" t="s">
        <v>2662</v>
      </c>
      <c r="E220" s="263" t="s">
        <v>2526</v>
      </c>
      <c r="F220" s="263">
        <v>3</v>
      </c>
      <c r="G220" s="264" t="str">
        <f>'Dry_Litterbag Placem_Collection'!C221</f>
        <v>Local3_CG3</v>
      </c>
      <c r="H220" s="265" t="s">
        <v>2541</v>
      </c>
      <c r="I220" s="266" t="s">
        <v>1147</v>
      </c>
      <c r="J220" s="263" t="str">
        <f>IF(ISBLANK('Dry_Litterbag Placem_Collection'!J221),"","G"&amp;""&amp;'Dry_Litterbag Placem_Collection'!J221)</f>
        <v>G196</v>
      </c>
      <c r="K220" s="267">
        <f>IFERROR(INDEX('Green_rooibos initial weight'!$C$5:$C$1749,MATCH(J220, 'Green_rooibos initial weight'!$A$5:$A$1749,0)),"")</f>
        <v>2.028</v>
      </c>
      <c r="L220" s="267">
        <f>IFERROR(K220-(TBIcalc!$Q$9+TBIcalc!$Q$10),"")</f>
        <v>1.7782</v>
      </c>
      <c r="M220" s="391">
        <f>AVERAGE(Ashed_controlls!$K$2:$K$11)</f>
        <v>5.5147656768714146</v>
      </c>
      <c r="N220" s="267">
        <f t="shared" si="16"/>
        <v>1.6801364367338725</v>
      </c>
      <c r="O220" s="267">
        <f>IF(IFERROR(INDEX('Both teabags AfterDry'!$D$3:$D$900,MATCH(J220,'Both teabags AfterDry'!$A$3:$A$900,0)),"")="","",(IFERROR(INDEX('Both teabags AfterDry'!$D$3:$D$900,MATCH(J220,'Both teabags AfterDry'!$A$3:$A$900,0)),"")))</f>
        <v>0.5756</v>
      </c>
      <c r="P220" s="267">
        <f>IFERROR(IF(O220&gt;0,O220-(TBIcalc!$Q$9),""),"")</f>
        <v>0.42499999999999999</v>
      </c>
      <c r="Q220" s="278">
        <f>IFERROR(INDEX('Ashed teabags dry'!$K$2:$K$825,MATCH(J220,'Ashed teabags dry'!$A$2:$A$825,0)),"")</f>
        <v>22.698178237321503</v>
      </c>
      <c r="R220" s="278">
        <f t="shared" si="17"/>
        <v>0.32853274249138359</v>
      </c>
      <c r="S220" s="268">
        <f>'Dry_Litterbag Placem_Collection'!E221</f>
        <v>42942</v>
      </c>
      <c r="T220" s="268">
        <f>IF('Dry_Litterbag Placem_Collection'!G221="","",'Dry_Litterbag Placem_Collection'!G221)</f>
        <v>43004</v>
      </c>
      <c r="U220" s="269">
        <f t="shared" si="15"/>
        <v>62</v>
      </c>
      <c r="V220" s="267">
        <f t="shared" si="18"/>
        <v>1.3532</v>
      </c>
      <c r="W220" s="267">
        <f t="shared" si="19"/>
        <v>1.3516036942424889</v>
      </c>
      <c r="X220" s="271">
        <f>IFERROR(INDEX(Rainfall_Dry!$O$2:$O$217,MATCH(B220, Rainfall_Dry!$A$2:$A$217,0)),"")</f>
        <v>171.84818423999999</v>
      </c>
      <c r="Y220" s="260">
        <v>21.96</v>
      </c>
      <c r="Z220" s="260">
        <v>4.9199999999999982</v>
      </c>
      <c r="AA220" s="260">
        <v>73.12</v>
      </c>
      <c r="AB220" s="260" t="s">
        <v>2670</v>
      </c>
      <c r="AC220" s="260">
        <v>1.4012321340561851</v>
      </c>
      <c r="AD220">
        <f>IF('WetLitterbags placem_collection'!AB221="","",'WetLitterbags placem_collection'!AB221)</f>
        <v>7.9</v>
      </c>
      <c r="AE220">
        <f>IF('WetLitterbags placem_collection'!Z221="","",'WetLitterbags placem_collection'!Z221)</f>
        <v>7.9</v>
      </c>
      <c r="AF220" s="246" t="str">
        <f>IF('WetLitterbags placem_collection'!AA221="","",'WetLitterbags placem_collection'!AA221)</f>
        <v>O</v>
      </c>
      <c r="AG220">
        <f>IF('WetLitterbags placem_collection'!AC221="","",'WetLitterbags placem_collection'!AC221)</f>
        <v>1</v>
      </c>
      <c r="AH220">
        <f>IFERROR(AVERAGE('Dry_Litterbag Placem_Collection'!O221,'Dry_Litterbag Placem_Collection'!R221),"")</f>
        <v>5.75</v>
      </c>
      <c r="AI220" s="271">
        <f>IFERROR(AVERAGE('Dry_Litterbag Placem_Collection'!N221,'Dry_Litterbag Placem_Collection'!Q221),"")</f>
        <v>32.75</v>
      </c>
      <c r="AJ220">
        <v>-2.4395990190000001</v>
      </c>
      <c r="AK220">
        <v>34.838418959999998</v>
      </c>
      <c r="AL220" s="270" t="str">
        <f>IF(ISNUMBER(SEARCH("C", 'Dry_Litterbag Placem_Collection'!S221)),"YES","NO")</f>
        <v>NO</v>
      </c>
      <c r="AM220" s="270" t="str">
        <f>IF(ISNUMBER(SEARCH("H", 'Dry_Litterbag Placem_Collection'!S221)),"YES","NO")</f>
        <v>YES</v>
      </c>
      <c r="AN220" s="270" t="str">
        <f>IF(ISNUMBER(SEARCH("R", 'Dry_Litterbag Placem_Collection'!S221)),"YES","NO")</f>
        <v>YES</v>
      </c>
    </row>
    <row r="221" spans="1:40" ht="15" customHeight="1">
      <c r="A221" s="262" t="s">
        <v>2659</v>
      </c>
      <c r="B221" s="263">
        <f>'Dry_Litterbag Placem_Collection'!A222</f>
        <v>220</v>
      </c>
      <c r="C221" s="263" t="str">
        <f>'Dry_Litterbag Placem_Collection'!B222</f>
        <v>Seronera</v>
      </c>
      <c r="D221" s="263" t="s">
        <v>2662</v>
      </c>
      <c r="E221" s="263" t="s">
        <v>2526</v>
      </c>
      <c r="F221" s="263">
        <v>4</v>
      </c>
      <c r="G221" s="264" t="str">
        <f>'Dry_Litterbag Placem_Collection'!C222</f>
        <v>Local4_CG4</v>
      </c>
      <c r="H221" s="265" t="s">
        <v>2541</v>
      </c>
      <c r="I221" s="266" t="s">
        <v>1147</v>
      </c>
      <c r="J221" s="263" t="str">
        <f>IF(ISBLANK('Dry_Litterbag Placem_Collection'!J222),"","G"&amp;""&amp;'Dry_Litterbag Placem_Collection'!J222)</f>
        <v>G39</v>
      </c>
      <c r="K221" s="267">
        <f>IFERROR(INDEX('Green_rooibos initial weight'!$C$5:$C$1749,MATCH(J221, 'Green_rooibos initial weight'!$A$5:$A$1749,0)),"")</f>
        <v>2.0670000000000002</v>
      </c>
      <c r="L221" s="267">
        <f>IFERROR(K221-(TBIcalc!$Q$9+TBIcalc!$Q$10),"")</f>
        <v>1.8172000000000001</v>
      </c>
      <c r="M221" s="391">
        <f>AVERAGE(Ashed_controlls!$K$2:$K$11)</f>
        <v>5.5147656768714146</v>
      </c>
      <c r="N221" s="267">
        <f t="shared" si="16"/>
        <v>1.7169856781198929</v>
      </c>
      <c r="O221" s="267" t="str">
        <f>IF(IFERROR(INDEX('Both teabags AfterDry'!$D$3:$D$900,MATCH(J221,'Both teabags AfterDry'!$A$3:$A$900,0)),"")="","",(IFERROR(INDEX('Both teabags AfterDry'!$D$3:$D$900,MATCH(J221,'Both teabags AfterDry'!$A$3:$A$900,0)),"")))</f>
        <v/>
      </c>
      <c r="P221" s="267" t="str">
        <f>IFERROR(IF(O221&gt;0,O221-(TBIcalc!$Q$9),""),"")</f>
        <v/>
      </c>
      <c r="Q221" s="278" t="str">
        <f>IFERROR(INDEX('Ashed teabags dry'!$K$2:$K$825,MATCH(J221,'Ashed teabags dry'!$A$2:$A$825,0)),"")</f>
        <v/>
      </c>
      <c r="R221" s="278" t="str">
        <f t="shared" si="17"/>
        <v/>
      </c>
      <c r="S221" s="268">
        <f>'Dry_Litterbag Placem_Collection'!E222</f>
        <v>42942</v>
      </c>
      <c r="T221" s="268">
        <f>IF('Dry_Litterbag Placem_Collection'!G222="","",'Dry_Litterbag Placem_Collection'!G222)</f>
        <v>43004</v>
      </c>
      <c r="U221" s="269">
        <f t="shared" si="15"/>
        <v>62</v>
      </c>
      <c r="V221" s="267" t="str">
        <f t="shared" si="18"/>
        <v/>
      </c>
      <c r="W221" s="267" t="str">
        <f t="shared" si="19"/>
        <v/>
      </c>
      <c r="X221" s="271">
        <f>IFERROR(INDEX(Rainfall_Dry!$O$2:$O$217,MATCH(B221, Rainfall_Dry!$A$2:$A$217,0)),"")</f>
        <v>171.84818423999999</v>
      </c>
      <c r="Y221" s="260">
        <v>15.960000000000003</v>
      </c>
      <c r="Z221" s="260">
        <v>6.9199999999999982</v>
      </c>
      <c r="AA221" s="260">
        <v>77.11999999999999</v>
      </c>
      <c r="AB221" s="260" t="s">
        <v>2671</v>
      </c>
      <c r="AC221" s="260">
        <v>0.60547067520946207</v>
      </c>
      <c r="AD221">
        <f>IF('WetLitterbags placem_collection'!AB222="","",'WetLitterbags placem_collection'!AB222)</f>
        <v>15.2</v>
      </c>
      <c r="AE221">
        <f>IF('WetLitterbags placem_collection'!Z222="","",'WetLitterbags placem_collection'!Z222)</f>
        <v>12.2</v>
      </c>
      <c r="AF221" s="246" t="str">
        <f>IF('WetLitterbags placem_collection'!AA222="","",'WetLitterbags placem_collection'!AA222)</f>
        <v>O</v>
      </c>
      <c r="AG221">
        <f>IF('WetLitterbags placem_collection'!AC222="","",'WetLitterbags placem_collection'!AC222)</f>
        <v>1</v>
      </c>
      <c r="AH221">
        <f>IFERROR(AVERAGE('Dry_Litterbag Placem_Collection'!O222,'Dry_Litterbag Placem_Collection'!R222),"")</f>
        <v>5.3</v>
      </c>
      <c r="AI221" s="271">
        <f>IFERROR(AVERAGE('Dry_Litterbag Placem_Collection'!N222,'Dry_Litterbag Placem_Collection'!Q222),"")</f>
        <v>33.65</v>
      </c>
      <c r="AJ221">
        <v>-2.4396949910000001</v>
      </c>
      <c r="AK221">
        <v>34.838574029999997</v>
      </c>
      <c r="AL221" s="270" t="str">
        <f>IF(ISNUMBER(SEARCH("C", 'Dry_Litterbag Placem_Collection'!S222)),"YES","NO")</f>
        <v>NO</v>
      </c>
      <c r="AM221" s="270" t="str">
        <f>IF(ISNUMBER(SEARCH("H", 'Dry_Litterbag Placem_Collection'!S222)),"YES","NO")</f>
        <v>NO</v>
      </c>
      <c r="AN221" s="270" t="str">
        <f>IF(ISNUMBER(SEARCH("R", 'Dry_Litterbag Placem_Collection'!S222)),"YES","NO")</f>
        <v>YES</v>
      </c>
    </row>
    <row r="222" spans="1:40" ht="15" customHeight="1">
      <c r="A222" s="262" t="s">
        <v>2659</v>
      </c>
      <c r="B222" s="263">
        <f>'Dry_Litterbag Placem_Collection'!A3</f>
        <v>1</v>
      </c>
      <c r="C222" s="263" t="str">
        <f>'Dry_Litterbag Placem_Collection'!B3</f>
        <v>Makao</v>
      </c>
      <c r="D222" s="263" t="s">
        <v>2659</v>
      </c>
      <c r="E222" s="263" t="s">
        <v>2660</v>
      </c>
      <c r="F222" s="263">
        <v>1</v>
      </c>
      <c r="G222" s="264" t="str">
        <f>'Dry_Litterbag Placem_Collection'!C3</f>
        <v>Dry_Ag1_T1</v>
      </c>
      <c r="H222" s="265" t="s">
        <v>2541</v>
      </c>
      <c r="I222" s="272" t="s">
        <v>298</v>
      </c>
      <c r="J222" s="263" t="str">
        <f>IF(ISBLANK('Dry_Litterbag Placem_Collection'!K3),"","R"&amp;""&amp;'Dry_Litterbag Placem_Collection'!K3)</f>
        <v>R811</v>
      </c>
      <c r="K222" s="267">
        <f>IFERROR(INDEX('Green_rooibos initial weight'!$C$5:$C$1749,MATCH(J222, 'Green_rooibos initial weight'!$A$5:$A$1749,0)),"")</f>
        <v>2.226</v>
      </c>
      <c r="L222" s="267">
        <f>IFERROR(K222-(TBIcalc!$Q$9+TBIcalc!$Q$10),"")</f>
        <v>1.9762</v>
      </c>
      <c r="M222" s="391">
        <f>AVERAGE(Ashed_controlls!$K$12:$K$14)</f>
        <v>2.2816647271287041</v>
      </c>
      <c r="N222" s="267">
        <f t="shared" si="16"/>
        <v>1.9311097416624825</v>
      </c>
      <c r="O222" s="267">
        <f>IF(IFERROR(INDEX('Both teabags AfterDry'!$D$3:$D$900,MATCH(J222,'Both teabags AfterDry'!$A$3:$A$900,0)),"")="","",(IFERROR(INDEX('Both teabags AfterDry'!$D$3:$D$900,MATCH(J222,'Both teabags AfterDry'!$A$3:$A$900,0)),"")))</f>
        <v>1.8292999999999999</v>
      </c>
      <c r="P222" s="267">
        <f>IFERROR(IF(O222&gt;0,O222-(TBIcalc!$Q$9),""),"")</f>
        <v>1.6786999999999999</v>
      </c>
      <c r="Q222" s="278">
        <f>IFERROR(INDEX('Ashed teabags dry'!$K$2:$K$825,MATCH(J222,'Ashed teabags dry'!$A$2:$A$825,0)),"")</f>
        <v>3.9233576642330181</v>
      </c>
      <c r="R222" s="278">
        <f t="shared" si="17"/>
        <v>1.6128385948905202</v>
      </c>
      <c r="S222" s="268">
        <f>'Dry_Litterbag Placem_Collection'!E3</f>
        <v>42938</v>
      </c>
      <c r="T222" s="268">
        <f>IF('Dry_Litterbag Placem_Collection'!G3="","",'Dry_Litterbag Placem_Collection'!G3)</f>
        <v>43007</v>
      </c>
      <c r="U222" s="269">
        <f t="shared" si="15"/>
        <v>69</v>
      </c>
      <c r="V222" s="267">
        <f t="shared" si="18"/>
        <v>0.2975000000000001</v>
      </c>
      <c r="W222" s="267">
        <f t="shared" si="19"/>
        <v>0.31827114677196233</v>
      </c>
      <c r="X222" s="271">
        <f>IFERROR(INDEX(Rainfall_Dry!$O$2:$O$217,MATCH(B222, Rainfall_Dry!$A$2:$A$217,0)),"")</f>
        <v>6.900000125</v>
      </c>
      <c r="Y222" s="260">
        <v>12.565665055683967</v>
      </c>
      <c r="Z222" s="260">
        <v>0.9665896196679955</v>
      </c>
      <c r="AA222" s="260">
        <v>86.467745324648035</v>
      </c>
      <c r="AB222" s="261" t="s">
        <v>2672</v>
      </c>
      <c r="AC222" s="260">
        <v>1.0225726959093147</v>
      </c>
      <c r="AD222">
        <f>IF('WetLitterbags placem_collection'!AB3="","",'WetLitterbags placem_collection'!AB3)</f>
        <v>26.4</v>
      </c>
      <c r="AE222">
        <f>IF('WetLitterbags placem_collection'!Z3="","",'WetLitterbags placem_collection'!Z3)</f>
        <v>41</v>
      </c>
      <c r="AF222" s="246" t="str">
        <f>IF('WetLitterbags placem_collection'!AA3="","",'WetLitterbags placem_collection'!AA3)</f>
        <v>M</v>
      </c>
      <c r="AG222">
        <f>IF('WetLitterbags placem_collection'!AC3="","",'WetLitterbags placem_collection'!AC3)</f>
        <v>1</v>
      </c>
      <c r="AH222">
        <f>IFERROR(AVERAGE('Dry_Litterbag Placem_Collection'!O3,'Dry_Litterbag Placem_Collection'!R3),"")</f>
        <v>3.8</v>
      </c>
      <c r="AI222" s="271">
        <f>IFERROR(AVERAGE('Dry_Litterbag Placem_Collection'!N3,'Dry_Litterbag Placem_Collection'!Q3),"")</f>
        <v>26.9</v>
      </c>
      <c r="AJ222" s="270">
        <f>INDEX(Coordinates!$B$2:$B$197,MATCH(G222,Coordinates!$J$2:$J$197,0))</f>
        <v>-3.3978609999999998</v>
      </c>
      <c r="AK222" s="270">
        <f>INDEX(Coordinates!$C$2:$C$197,MATCH(G222,Coordinates!$J$2:$J$197,0))</f>
        <v>34.837608000000003</v>
      </c>
      <c r="AL222" s="270" t="str">
        <f>IF(ISNUMBER(SEARCH("C", 'Dry_Litterbag Placem_Collection'!T3)),"YES","NO")</f>
        <v>NO</v>
      </c>
      <c r="AM222" s="270" t="str">
        <f>IF(ISNUMBER(SEARCH("H", 'Dry_Litterbag Placem_Collection'!T3)),"YES","NO")</f>
        <v>YES</v>
      </c>
      <c r="AN222" s="270" t="str">
        <f>IF(ISNUMBER(SEARCH("R", 'Dry_Litterbag Placem_Collection'!T3)),"YES","NO")</f>
        <v>NO</v>
      </c>
    </row>
    <row r="223" spans="1:40" ht="15" customHeight="1">
      <c r="A223" s="262" t="s">
        <v>2659</v>
      </c>
      <c r="B223" s="263">
        <f>'Dry_Litterbag Placem_Collection'!A4</f>
        <v>2</v>
      </c>
      <c r="C223" s="263" t="str">
        <f>'Dry_Litterbag Placem_Collection'!B4</f>
        <v>Makao</v>
      </c>
      <c r="D223" s="263" t="s">
        <v>2659</v>
      </c>
      <c r="E223" s="263" t="s">
        <v>2660</v>
      </c>
      <c r="F223" s="263">
        <v>1</v>
      </c>
      <c r="G223" s="264" t="str">
        <f>'Dry_Litterbag Placem_Collection'!C4</f>
        <v>Dry_Ag1_T2</v>
      </c>
      <c r="H223" s="265" t="s">
        <v>2541</v>
      </c>
      <c r="I223" s="272" t="s">
        <v>298</v>
      </c>
      <c r="J223" s="263" t="str">
        <f>IF(ISBLANK('Dry_Litterbag Placem_Collection'!K4),"","R"&amp;""&amp;'Dry_Litterbag Placem_Collection'!K4)</f>
        <v/>
      </c>
      <c r="K223" s="267" t="str">
        <f>IFERROR(INDEX('Green_rooibos initial weight'!$C$5:$C$1749,MATCH(J223, 'Green_rooibos initial weight'!$A$5:$A$1749,0)),"")</f>
        <v/>
      </c>
      <c r="L223" s="267" t="str">
        <f>IFERROR(K223-(TBIcalc!$Q$9+TBIcalc!$Q$10),"")</f>
        <v/>
      </c>
      <c r="M223" s="391">
        <f>AVERAGE(Ashed_controlls!$K$12:$K$14)</f>
        <v>2.2816647271287041</v>
      </c>
      <c r="N223" s="267" t="str">
        <f t="shared" si="16"/>
        <v/>
      </c>
      <c r="O223" s="267" t="str">
        <f>IF(IFERROR(INDEX('Both teabags AfterDry'!$D$3:$D$900,MATCH(J223,'Both teabags AfterDry'!$A$3:$A$900,0)),"")="","",(IFERROR(INDEX('Both teabags AfterDry'!$D$3:$D$900,MATCH(J223,'Both teabags AfterDry'!$A$3:$A$900,0)),"")))</f>
        <v/>
      </c>
      <c r="P223" s="267" t="str">
        <f>IFERROR(IF(O223&gt;0,O223-(TBIcalc!$Q$9),""),"")</f>
        <v/>
      </c>
      <c r="Q223" s="278" t="str">
        <f>IFERROR(INDEX('Ashed teabags dry'!$K$2:$K$825,MATCH(J223,'Ashed teabags dry'!$A$2:$A$825,0)),"")</f>
        <v/>
      </c>
      <c r="R223" s="278" t="str">
        <f t="shared" si="17"/>
        <v/>
      </c>
      <c r="S223" s="268">
        <f>'Dry_Litterbag Placem_Collection'!E4</f>
        <v>0</v>
      </c>
      <c r="T223" s="268" t="str">
        <f>IF('Dry_Litterbag Placem_Collection'!G4="","",'Dry_Litterbag Placem_Collection'!G4)</f>
        <v/>
      </c>
      <c r="U223" s="269" t="str">
        <f t="shared" si="15"/>
        <v/>
      </c>
      <c r="V223" s="267" t="str">
        <f t="shared" si="18"/>
        <v/>
      </c>
      <c r="W223" s="267" t="str">
        <f t="shared" si="19"/>
        <v/>
      </c>
      <c r="X223" s="271" t="str">
        <f>IFERROR(INDEX(Rainfall_Dry!$O$2:$O$217,MATCH(B223, Rainfall_Dry!$A$2:$A$217,0)),"")</f>
        <v/>
      </c>
      <c r="Y223" s="260">
        <v>12.565665055683967</v>
      </c>
      <c r="Z223" s="260">
        <v>0.9665896196679955</v>
      </c>
      <c r="AA223" s="260">
        <v>86.467745324648035</v>
      </c>
      <c r="AB223" s="261" t="s">
        <v>2672</v>
      </c>
      <c r="AC223" s="260">
        <v>2.02257269590931</v>
      </c>
      <c r="AD223">
        <f>IF('WetLitterbags placem_collection'!AB4="","",'WetLitterbags placem_collection'!AB4)</f>
        <v>22.4</v>
      </c>
      <c r="AE223">
        <f>IF('WetLitterbags placem_collection'!Z4="","",'WetLitterbags placem_collection'!Z4)</f>
        <v>39.799999999999997</v>
      </c>
      <c r="AF223" s="246" t="str">
        <f>IF('WetLitterbags placem_collection'!AA4="","",'WetLitterbags placem_collection'!AA4)</f>
        <v>M</v>
      </c>
      <c r="AG223">
        <f>IF('WetLitterbags placem_collection'!AC4="","",'WetLitterbags placem_collection'!AC4)</f>
        <v>1</v>
      </c>
      <c r="AH223" t="str">
        <f>IFERROR(AVERAGE('Dry_Litterbag Placem_Collection'!O4,'Dry_Litterbag Placem_Collection'!R4),"")</f>
        <v/>
      </c>
      <c r="AI223" s="271" t="str">
        <f>IFERROR(AVERAGE('Dry_Litterbag Placem_Collection'!N4,'Dry_Litterbag Placem_Collection'!Q4),"")</f>
        <v/>
      </c>
      <c r="AJ223" s="270">
        <f>INDEX(Coordinates!$B$2:$B$197,MATCH(G223,Coordinates!$J$2:$J$197,0))</f>
        <v>-3.397879042</v>
      </c>
      <c r="AK223" s="270">
        <f>INDEX(Coordinates!$C$2:$C$197,MATCH(G223,Coordinates!$J$2:$J$197,0))</f>
        <v>34.837536010000001</v>
      </c>
      <c r="AL223" s="270" t="str">
        <f>IF(ISNUMBER(SEARCH("C", 'Dry_Litterbag Placem_Collection'!T4)),"YES","NO")</f>
        <v>NO</v>
      </c>
      <c r="AM223" s="270" t="str">
        <f>IF(ISNUMBER(SEARCH("H", 'Dry_Litterbag Placem_Collection'!T4)),"YES","NO")</f>
        <v>NO</v>
      </c>
      <c r="AN223" s="270" t="str">
        <f>IF(ISNUMBER(SEARCH("R", 'Dry_Litterbag Placem_Collection'!T4)),"YES","NO")</f>
        <v>NO</v>
      </c>
    </row>
    <row r="224" spans="1:40" ht="15" customHeight="1">
      <c r="A224" s="262" t="s">
        <v>2659</v>
      </c>
      <c r="B224" s="263">
        <f>'Dry_Litterbag Placem_Collection'!A5</f>
        <v>3</v>
      </c>
      <c r="C224" s="263" t="str">
        <f>'Dry_Litterbag Placem_Collection'!B5</f>
        <v>Makao</v>
      </c>
      <c r="D224" s="263" t="s">
        <v>2659</v>
      </c>
      <c r="E224" s="263" t="s">
        <v>2660</v>
      </c>
      <c r="F224" s="263">
        <v>1</v>
      </c>
      <c r="G224" s="264" t="str">
        <f>'Dry_Litterbag Placem_Collection'!C5</f>
        <v>Dry_Ag1_T3</v>
      </c>
      <c r="H224" s="265" t="s">
        <v>2541</v>
      </c>
      <c r="I224" s="272" t="s">
        <v>298</v>
      </c>
      <c r="J224" s="263" t="str">
        <f>IF(ISBLANK('Dry_Litterbag Placem_Collection'!K5),"","R"&amp;""&amp;'Dry_Litterbag Placem_Collection'!K5)</f>
        <v>R742</v>
      </c>
      <c r="K224" s="267">
        <f>IFERROR(INDEX('Green_rooibos initial weight'!$C$5:$C$1749,MATCH(J224, 'Green_rooibos initial weight'!$A$5:$A$1749,0)),"")</f>
        <v>2.1259999999999999</v>
      </c>
      <c r="L224" s="267">
        <f>IFERROR(K224-(TBIcalc!$Q$9+TBIcalc!$Q$10),"")</f>
        <v>1.8761999999999999</v>
      </c>
      <c r="M224" s="391">
        <f>AVERAGE(Ashed_controlls!$K$12:$K$14)</f>
        <v>2.2816647271287041</v>
      </c>
      <c r="N224" s="267">
        <f t="shared" si="16"/>
        <v>1.8333914063896111</v>
      </c>
      <c r="O224" s="267">
        <f>IF(IFERROR(INDEX('Both teabags AfterDry'!$D$3:$D$900,MATCH(J224,'Both teabags AfterDry'!$A$3:$A$900,0)),"")="","",(IFERROR(INDEX('Both teabags AfterDry'!$D$3:$D$900,MATCH(J224,'Both teabags AfterDry'!$A$3:$A$900,0)),"")))</f>
        <v>1.8767</v>
      </c>
      <c r="P224" s="267">
        <f>IFERROR(IF(O224&gt;0,O224-(TBIcalc!$Q$9),""),"")</f>
        <v>1.7261</v>
      </c>
      <c r="Q224" s="278">
        <f>IFERROR(INDEX('Ashed teabags dry'!$K$2:$K$825,MATCH(J224,'Ashed teabags dry'!$A$2:$A$825,0)),"")</f>
        <v>2.7142857142857459</v>
      </c>
      <c r="R224" s="278">
        <f t="shared" si="17"/>
        <v>1.6792487142857138</v>
      </c>
      <c r="S224" s="268">
        <f>'Dry_Litterbag Placem_Collection'!E5</f>
        <v>42938</v>
      </c>
      <c r="T224" s="268">
        <f>IF('Dry_Litterbag Placem_Collection'!G5="","",'Dry_Litterbag Placem_Collection'!G5)</f>
        <v>43007</v>
      </c>
      <c r="U224" s="269">
        <f t="shared" si="15"/>
        <v>69</v>
      </c>
      <c r="V224" s="267">
        <f t="shared" si="18"/>
        <v>0.1500999999999999</v>
      </c>
      <c r="W224" s="267">
        <f t="shared" si="19"/>
        <v>0.15414269210389731</v>
      </c>
      <c r="X224" s="271">
        <f>IFERROR(INDEX(Rainfall_Dry!$O$2:$O$217,MATCH(B224, Rainfall_Dry!$A$2:$A$217,0)),"")</f>
        <v>6.900000125</v>
      </c>
      <c r="Y224" s="260">
        <v>12.565665055683967</v>
      </c>
      <c r="Z224" s="260">
        <v>0.9665896196679955</v>
      </c>
      <c r="AA224" s="260">
        <v>86.467745324648035</v>
      </c>
      <c r="AB224" s="261" t="s">
        <v>2672</v>
      </c>
      <c r="AC224" s="260">
        <v>3.02257269590931</v>
      </c>
      <c r="AD224" t="str">
        <f>IF('WetLitterbags placem_collection'!AB5="","",'WetLitterbags placem_collection'!AB5)</f>
        <v/>
      </c>
      <c r="AE224" t="str">
        <f>IF('WetLitterbags placem_collection'!Z5="","",'WetLitterbags placem_collection'!Z5)</f>
        <v/>
      </c>
      <c r="AF224" s="246" t="str">
        <f>IF('WetLitterbags placem_collection'!AA5="","",'WetLitterbags placem_collection'!AA5)</f>
        <v/>
      </c>
      <c r="AG224" t="str">
        <f>IF('WetLitterbags placem_collection'!AC5="","",'WetLitterbags placem_collection'!AC5)</f>
        <v/>
      </c>
      <c r="AH224">
        <f>IFERROR(AVERAGE('Dry_Litterbag Placem_Collection'!O5,'Dry_Litterbag Placem_Collection'!R5),"")</f>
        <v>3.3</v>
      </c>
      <c r="AI224" s="271">
        <f>IFERROR(AVERAGE('Dry_Litterbag Placem_Collection'!N5,'Dry_Litterbag Placem_Collection'!Q5),"")</f>
        <v>25</v>
      </c>
      <c r="AJ224" s="270">
        <f>INDEX(Coordinates!$B$2:$B$197,MATCH(G224,Coordinates!$J$2:$J$197,0))</f>
        <v>-3.3978739999999998</v>
      </c>
      <c r="AK224" s="270">
        <f>INDEX(Coordinates!$C$2:$C$197,MATCH(G224,Coordinates!$J$2:$J$197,0))</f>
        <v>34.837578999999998</v>
      </c>
      <c r="AL224" s="270" t="str">
        <f>IF(ISNUMBER(SEARCH("C", 'Dry_Litterbag Placem_Collection'!T5)),"YES","NO")</f>
        <v>YES</v>
      </c>
      <c r="AM224" s="270" t="str">
        <f>IF(ISNUMBER(SEARCH("H", 'Dry_Litterbag Placem_Collection'!T5)),"YES","NO")</f>
        <v>YES</v>
      </c>
      <c r="AN224" s="270" t="str">
        <f>IF(ISNUMBER(SEARCH("R", 'Dry_Litterbag Placem_Collection'!T5)),"YES","NO")</f>
        <v>NO</v>
      </c>
    </row>
    <row r="225" spans="1:40" ht="15" customHeight="1">
      <c r="A225" s="262" t="s">
        <v>2659</v>
      </c>
      <c r="B225" s="263">
        <f>'Dry_Litterbag Placem_Collection'!A6</f>
        <v>4</v>
      </c>
      <c r="C225" s="263" t="str">
        <f>'Dry_Litterbag Placem_Collection'!B6</f>
        <v>Makao</v>
      </c>
      <c r="D225" s="263" t="s">
        <v>2659</v>
      </c>
      <c r="E225" s="263" t="s">
        <v>2660</v>
      </c>
      <c r="F225" s="263">
        <v>1</v>
      </c>
      <c r="G225" s="264" t="str">
        <f>'Dry_Litterbag Placem_Collection'!C6</f>
        <v>Dry_Ag1_T4</v>
      </c>
      <c r="H225" s="265" t="s">
        <v>2541</v>
      </c>
      <c r="I225" s="272" t="s">
        <v>298</v>
      </c>
      <c r="J225" s="263" t="str">
        <f>IF(ISBLANK('Dry_Litterbag Placem_Collection'!K6),"","R"&amp;""&amp;'Dry_Litterbag Placem_Collection'!K6)</f>
        <v>R661</v>
      </c>
      <c r="K225" s="267">
        <f>IFERROR(INDEX('Green_rooibos initial weight'!$C$5:$C$1749,MATCH(J225, 'Green_rooibos initial weight'!$A$5:$A$1749,0)),"")</f>
        <v>2.1629999999999998</v>
      </c>
      <c r="L225" s="267">
        <f>IFERROR(K225-(TBIcalc!$Q$9+TBIcalc!$Q$10),"")</f>
        <v>1.9131999999999998</v>
      </c>
      <c r="M225" s="391">
        <f>AVERAGE(Ashed_controlls!$K$12:$K$14)</f>
        <v>2.2816647271287041</v>
      </c>
      <c r="N225" s="267">
        <f t="shared" si="16"/>
        <v>1.8695471904405734</v>
      </c>
      <c r="O225" s="267">
        <f>IF(IFERROR(INDEX('Both teabags AfterDry'!$D$3:$D$900,MATCH(J225,'Both teabags AfterDry'!$A$3:$A$900,0)),"")="","",(IFERROR(INDEX('Both teabags AfterDry'!$D$3:$D$900,MATCH(J225,'Both teabags AfterDry'!$A$3:$A$900,0)),"")))</f>
        <v>1.837</v>
      </c>
      <c r="P225" s="267">
        <f>IFERROR(IF(O225&gt;0,O225-(TBIcalc!$Q$9),""),"")</f>
        <v>1.6863999999999999</v>
      </c>
      <c r="Q225" s="278">
        <f>IFERROR(INDEX('Ashed teabags dry'!$K$2:$K$825,MATCH(J225,'Ashed teabags dry'!$A$2:$A$825,0)),"")</f>
        <v>2.5594149908590014</v>
      </c>
      <c r="R225" s="278">
        <f t="shared" si="17"/>
        <v>1.6432380255941537</v>
      </c>
      <c r="S225" s="268">
        <f>'Dry_Litterbag Placem_Collection'!E6</f>
        <v>42938</v>
      </c>
      <c r="T225" s="268">
        <f>IF('Dry_Litterbag Placem_Collection'!G6="","",'Dry_Litterbag Placem_Collection'!G6)</f>
        <v>43007</v>
      </c>
      <c r="U225" s="269">
        <f t="shared" si="15"/>
        <v>69</v>
      </c>
      <c r="V225" s="267">
        <f t="shared" si="18"/>
        <v>0.22679999999999989</v>
      </c>
      <c r="W225" s="267">
        <f t="shared" si="19"/>
        <v>0.22630916484641972</v>
      </c>
      <c r="X225" s="271">
        <f>IFERROR(INDEX(Rainfall_Dry!$O$2:$O$217,MATCH(B225, Rainfall_Dry!$A$2:$A$217,0)),"")</f>
        <v>6.900000125</v>
      </c>
      <c r="Y225" s="260">
        <v>12.565665055683967</v>
      </c>
      <c r="Z225" s="260">
        <v>0.9665896196679955</v>
      </c>
      <c r="AA225" s="260">
        <v>86.467745324648035</v>
      </c>
      <c r="AB225" s="261" t="s">
        <v>2672</v>
      </c>
      <c r="AC225" s="260">
        <v>4.02257269590931</v>
      </c>
      <c r="AD225" t="str">
        <f>IF('WetLitterbags placem_collection'!AB6="","",'WetLitterbags placem_collection'!AB6)</f>
        <v/>
      </c>
      <c r="AE225" t="str">
        <f>IF('WetLitterbags placem_collection'!Z6="","",'WetLitterbags placem_collection'!Z6)</f>
        <v/>
      </c>
      <c r="AF225" s="246" t="str">
        <f>IF('WetLitterbags placem_collection'!AA6="","",'WetLitterbags placem_collection'!AA6)</f>
        <v/>
      </c>
      <c r="AG225" t="str">
        <f>IF('WetLitterbags placem_collection'!AC6="","",'WetLitterbags placem_collection'!AC6)</f>
        <v/>
      </c>
      <c r="AH225">
        <f>IFERROR(AVERAGE('Dry_Litterbag Placem_Collection'!O6,'Dry_Litterbag Placem_Collection'!R6),"")</f>
        <v>2.25</v>
      </c>
      <c r="AI225" s="271">
        <f>IFERROR(AVERAGE('Dry_Litterbag Placem_Collection'!N6,'Dry_Litterbag Placem_Collection'!Q6),"")</f>
        <v>27.35</v>
      </c>
      <c r="AJ225" s="270">
        <f>INDEX(Coordinates!$B$2:$B$197,MATCH(G225,Coordinates!$J$2:$J$197,0))</f>
        <v>-3.3977780399999999</v>
      </c>
      <c r="AK225" s="270">
        <f>INDEX(Coordinates!$C$2:$C$197,MATCH(G225,Coordinates!$J$2:$J$197,0))</f>
        <v>34.83751204</v>
      </c>
      <c r="AL225" s="270" t="str">
        <f>IF(ISNUMBER(SEARCH("C", 'Dry_Litterbag Placem_Collection'!T6)),"YES","NO")</f>
        <v>NO</v>
      </c>
      <c r="AM225" s="270" t="str">
        <f>IF(ISNUMBER(SEARCH("H", 'Dry_Litterbag Placem_Collection'!T6)),"YES","NO")</f>
        <v>YES</v>
      </c>
      <c r="AN225" s="270" t="str">
        <f>IF(ISNUMBER(SEARCH("R", 'Dry_Litterbag Placem_Collection'!T6)),"YES","NO")</f>
        <v>NO</v>
      </c>
    </row>
    <row r="226" spans="1:40" ht="15" customHeight="1">
      <c r="A226" s="262" t="s">
        <v>2659</v>
      </c>
      <c r="B226" s="263">
        <f>'Dry_Litterbag Placem_Collection'!A7</f>
        <v>5</v>
      </c>
      <c r="C226" s="263" t="str">
        <f>'Dry_Litterbag Placem_Collection'!B7</f>
        <v>Makao</v>
      </c>
      <c r="D226" s="263" t="s">
        <v>2659</v>
      </c>
      <c r="E226" s="263" t="s">
        <v>2660</v>
      </c>
      <c r="F226" s="263">
        <v>1</v>
      </c>
      <c r="G226" s="264" t="str">
        <f>'Dry_Litterbag Placem_Collection'!C7</f>
        <v>Dry_Ag1_T5</v>
      </c>
      <c r="H226" s="265" t="s">
        <v>2541</v>
      </c>
      <c r="I226" s="272" t="s">
        <v>298</v>
      </c>
      <c r="J226" s="263" t="str">
        <f>IF(ISBLANK('Dry_Litterbag Placem_Collection'!K7),"","R"&amp;""&amp;'Dry_Litterbag Placem_Collection'!K7)</f>
        <v>R724</v>
      </c>
      <c r="K226" s="267">
        <f>IFERROR(INDEX('Green_rooibos initial weight'!$C$5:$C$1749,MATCH(J226, 'Green_rooibos initial weight'!$A$5:$A$1749,0)),"")</f>
        <v>2.149</v>
      </c>
      <c r="L226" s="267">
        <f>IFERROR(K226-(TBIcalc!$Q$9+TBIcalc!$Q$10),"")</f>
        <v>1.8992</v>
      </c>
      <c r="M226" s="391">
        <f>AVERAGE(Ashed_controlls!$K$12:$K$14)</f>
        <v>2.2816647271287041</v>
      </c>
      <c r="N226" s="267">
        <f t="shared" si="16"/>
        <v>1.8558666235023717</v>
      </c>
      <c r="O226" s="267" t="str">
        <f>IF(IFERROR(INDEX('Both teabags AfterDry'!$D$3:$D$900,MATCH(J226,'Both teabags AfterDry'!$A$3:$A$900,0)),"")="","",(IFERROR(INDEX('Both teabags AfterDry'!$D$3:$D$900,MATCH(J226,'Both teabags AfterDry'!$A$3:$A$900,0)),"")))</f>
        <v/>
      </c>
      <c r="P226" s="267" t="str">
        <f>IFERROR(IF(O226&gt;0,O226-(TBIcalc!$Q$9),""),"")</f>
        <v/>
      </c>
      <c r="Q226" s="278" t="str">
        <f>IFERROR(INDEX('Ashed teabags dry'!$K$2:$K$825,MATCH(J226,'Ashed teabags dry'!$A$2:$A$825,0)),"")</f>
        <v/>
      </c>
      <c r="R226" s="278" t="str">
        <f t="shared" si="17"/>
        <v/>
      </c>
      <c r="S226" s="268">
        <f>'Dry_Litterbag Placem_Collection'!E7</f>
        <v>42938</v>
      </c>
      <c r="T226" s="268" t="str">
        <f>IF('Dry_Litterbag Placem_Collection'!G7="","",'Dry_Litterbag Placem_Collection'!G7)</f>
        <v/>
      </c>
      <c r="U226" s="269" t="str">
        <f t="shared" si="15"/>
        <v/>
      </c>
      <c r="V226" s="267" t="str">
        <f t="shared" si="18"/>
        <v/>
      </c>
      <c r="W226" s="267" t="str">
        <f t="shared" si="19"/>
        <v/>
      </c>
      <c r="X226" s="271" t="str">
        <f>IFERROR(INDEX(Rainfall_Dry!$O$2:$O$217,MATCH(B226, Rainfall_Dry!$A$2:$A$217,0)),"")</f>
        <v/>
      </c>
      <c r="Y226" s="260">
        <v>12.565665055683967</v>
      </c>
      <c r="Z226" s="260">
        <v>0.9665896196679955</v>
      </c>
      <c r="AA226" s="260">
        <v>86.467745324648035</v>
      </c>
      <c r="AB226" s="261" t="s">
        <v>2672</v>
      </c>
      <c r="AC226" s="260">
        <v>5.02257269590931</v>
      </c>
      <c r="AD226">
        <f>IF('WetLitterbags placem_collection'!AB7="","",'WetLitterbags placem_collection'!AB7)</f>
        <v>28.4</v>
      </c>
      <c r="AE226">
        <f>IF('WetLitterbags placem_collection'!Z7="","",'WetLitterbags placem_collection'!Z7)</f>
        <v>36.4</v>
      </c>
      <c r="AF226" s="246" t="str">
        <f>IF('WetLitterbags placem_collection'!AA7="","",'WetLitterbags placem_collection'!AA7)</f>
        <v>M</v>
      </c>
      <c r="AG226">
        <f>IF('WetLitterbags placem_collection'!AC7="","",'WetLitterbags placem_collection'!AC7)</f>
        <v>1</v>
      </c>
      <c r="AH226">
        <f>IFERROR(AVERAGE('Dry_Litterbag Placem_Collection'!O7,'Dry_Litterbag Placem_Collection'!R7),"")</f>
        <v>3.2</v>
      </c>
      <c r="AI226" s="271">
        <f>IFERROR(AVERAGE('Dry_Litterbag Placem_Collection'!N7,'Dry_Litterbag Placem_Collection'!Q7),"")</f>
        <v>26.7</v>
      </c>
      <c r="AJ226" s="270">
        <f>INDEX(Coordinates!$B$2:$B$197,MATCH(G226,Coordinates!$J$2:$J$197,0))</f>
        <v>-3.3978020120000001</v>
      </c>
      <c r="AK226" s="270">
        <f>INDEX(Coordinates!$C$2:$C$197,MATCH(G226,Coordinates!$J$2:$J$197,0))</f>
        <v>34.83751204</v>
      </c>
      <c r="AL226" s="270" t="str">
        <f>IF(ISNUMBER(SEARCH("C", 'Dry_Litterbag Placem_Collection'!T7)),"YES","NO")</f>
        <v>NO</v>
      </c>
      <c r="AM226" s="270" t="str">
        <f>IF(ISNUMBER(SEARCH("H", 'Dry_Litterbag Placem_Collection'!T7)),"YES","NO")</f>
        <v>NO</v>
      </c>
      <c r="AN226" s="270" t="str">
        <f>IF(ISNUMBER(SEARCH("R", 'Dry_Litterbag Placem_Collection'!T7)),"YES","NO")</f>
        <v>NO</v>
      </c>
    </row>
    <row r="227" spans="1:40" ht="15" customHeight="1">
      <c r="A227" s="262" t="s">
        <v>2659</v>
      </c>
      <c r="B227" s="263">
        <f>'Dry_Litterbag Placem_Collection'!A8</f>
        <v>6</v>
      </c>
      <c r="C227" s="263" t="str">
        <f>'Dry_Litterbag Placem_Collection'!B8</f>
        <v>Makao</v>
      </c>
      <c r="D227" s="263" t="s">
        <v>2659</v>
      </c>
      <c r="E227" s="263" t="s">
        <v>2660</v>
      </c>
      <c r="F227" s="263">
        <v>1</v>
      </c>
      <c r="G227" s="264" t="str">
        <f>'Dry_Litterbag Placem_Collection'!C8</f>
        <v>Dry_Ag1_T6</v>
      </c>
      <c r="H227" s="265" t="s">
        <v>2541</v>
      </c>
      <c r="I227" s="272" t="s">
        <v>298</v>
      </c>
      <c r="J227" s="263" t="str">
        <f>IF(ISBLANK('Dry_Litterbag Placem_Collection'!K8),"","R"&amp;""&amp;'Dry_Litterbag Placem_Collection'!K8)</f>
        <v>R688</v>
      </c>
      <c r="K227" s="267">
        <f>IFERROR(INDEX('Green_rooibos initial weight'!$C$5:$C$1749,MATCH(J227, 'Green_rooibos initial weight'!$A$5:$A$1749,0)),"")</f>
        <v>2.1709999999999998</v>
      </c>
      <c r="L227" s="267">
        <f>IFERROR(K227-(TBIcalc!$Q$9+TBIcalc!$Q$10),"")</f>
        <v>1.9211999999999998</v>
      </c>
      <c r="M227" s="391">
        <f>AVERAGE(Ashed_controlls!$K$12:$K$14)</f>
        <v>2.2816647271287041</v>
      </c>
      <c r="N227" s="267">
        <f t="shared" si="16"/>
        <v>1.8773646572624032</v>
      </c>
      <c r="O227" s="267" t="str">
        <f>IF(IFERROR(INDEX('Both teabags AfterDry'!$D$3:$D$900,MATCH(J227,'Both teabags AfterDry'!$A$3:$A$900,0)),"")="","",(IFERROR(INDEX('Both teabags AfterDry'!$D$3:$D$900,MATCH(J227,'Both teabags AfterDry'!$A$3:$A$900,0)),"")))</f>
        <v/>
      </c>
      <c r="P227" s="267" t="str">
        <f>IFERROR(IF(O227&gt;0,O227-(TBIcalc!$Q$9),""),"")</f>
        <v/>
      </c>
      <c r="Q227" s="278" t="str">
        <f>IFERROR(INDEX('Ashed teabags dry'!$K$2:$K$825,MATCH(J227,'Ashed teabags dry'!$A$2:$A$825,0)),"")</f>
        <v/>
      </c>
      <c r="R227" s="278" t="str">
        <f t="shared" si="17"/>
        <v/>
      </c>
      <c r="S227" s="268">
        <f>'Dry_Litterbag Placem_Collection'!E8</f>
        <v>42938</v>
      </c>
      <c r="T227" s="268">
        <f>IF('Dry_Litterbag Placem_Collection'!G8="","",'Dry_Litterbag Placem_Collection'!G8)</f>
        <v>43007</v>
      </c>
      <c r="U227" s="269">
        <f t="shared" si="15"/>
        <v>69</v>
      </c>
      <c r="V227" s="267" t="str">
        <f t="shared" si="18"/>
        <v/>
      </c>
      <c r="W227" s="267" t="str">
        <f t="shared" si="19"/>
        <v/>
      </c>
      <c r="X227" s="271">
        <f>IFERROR(INDEX(Rainfall_Dry!$O$2:$O$217,MATCH(B227, Rainfall_Dry!$A$2:$A$217,0)),"")</f>
        <v>6.900000125</v>
      </c>
      <c r="Y227" s="260">
        <v>12.565665055683967</v>
      </c>
      <c r="Z227" s="260">
        <v>0.9665896196679955</v>
      </c>
      <c r="AA227" s="260">
        <v>86.467745324648035</v>
      </c>
      <c r="AB227" s="261" t="s">
        <v>2672</v>
      </c>
      <c r="AC227" s="260">
        <v>6.02257269590931</v>
      </c>
      <c r="AD227">
        <f>IF('WetLitterbags placem_collection'!AB8="","",'WetLitterbags placem_collection'!AB8)</f>
        <v>32.4</v>
      </c>
      <c r="AE227">
        <f>IF('WetLitterbags placem_collection'!Z8="","",'WetLitterbags placem_collection'!Z8)</f>
        <v>31</v>
      </c>
      <c r="AF227" s="246" t="str">
        <f>IF('WetLitterbags placem_collection'!AA8="","",'WetLitterbags placem_collection'!AA8)</f>
        <v>M</v>
      </c>
      <c r="AG227">
        <f>IF('WetLitterbags placem_collection'!AC8="","",'WetLitterbags placem_collection'!AC8)</f>
        <v>1</v>
      </c>
      <c r="AH227">
        <f>IFERROR(AVERAGE('Dry_Litterbag Placem_Collection'!O8,'Dry_Litterbag Placem_Collection'!R8),"")</f>
        <v>5.35</v>
      </c>
      <c r="AI227" s="271">
        <f>IFERROR(AVERAGE('Dry_Litterbag Placem_Collection'!N8,'Dry_Litterbag Placem_Collection'!Q8),"")</f>
        <v>26.6</v>
      </c>
      <c r="AJ227" s="270">
        <f>INDEX(Coordinates!$B$2:$B$197,MATCH(G227,Coordinates!$J$2:$J$197,0))</f>
        <v>-3.3977389800000002</v>
      </c>
      <c r="AK227" s="270">
        <f>INDEX(Coordinates!$C$2:$C$197,MATCH(G227,Coordinates!$J$2:$J$197,0))</f>
        <v>34.837501979999999</v>
      </c>
      <c r="AL227" s="270" t="str">
        <f>IF(ISNUMBER(SEARCH("C", 'Dry_Litterbag Placem_Collection'!T8)),"YES","NO")</f>
        <v>NO</v>
      </c>
      <c r="AM227" s="270" t="str">
        <f>IF(ISNUMBER(SEARCH("H", 'Dry_Litterbag Placem_Collection'!T8)),"YES","NO")</f>
        <v>NO</v>
      </c>
      <c r="AN227" s="270" t="str">
        <f>IF(ISNUMBER(SEARCH("R", 'Dry_Litterbag Placem_Collection'!T8)),"YES","NO")</f>
        <v>NO</v>
      </c>
    </row>
    <row r="228" spans="1:40" ht="15" customHeight="1">
      <c r="A228" s="262" t="s">
        <v>2659</v>
      </c>
      <c r="B228" s="263">
        <f>'Dry_Litterbag Placem_Collection'!A9</f>
        <v>7</v>
      </c>
      <c r="C228" s="263" t="str">
        <f>'Dry_Litterbag Placem_Collection'!B9</f>
        <v>Makao</v>
      </c>
      <c r="D228" s="263" t="s">
        <v>2659</v>
      </c>
      <c r="E228" s="263" t="s">
        <v>2660</v>
      </c>
      <c r="F228" s="263">
        <v>1</v>
      </c>
      <c r="G228" s="264" t="str">
        <f>'Dry_Litterbag Placem_Collection'!C9</f>
        <v>Dry_Ag1_T7</v>
      </c>
      <c r="H228" s="265" t="s">
        <v>2541</v>
      </c>
      <c r="I228" s="272" t="s">
        <v>298</v>
      </c>
      <c r="J228" s="263" t="str">
        <f>IF(ISBLANK('Dry_Litterbag Placem_Collection'!K9),"","R"&amp;""&amp;'Dry_Litterbag Placem_Collection'!K9)</f>
        <v>R762</v>
      </c>
      <c r="K228" s="267">
        <f>IFERROR(INDEX('Green_rooibos initial weight'!$C$5:$C$1749,MATCH(J228, 'Green_rooibos initial weight'!$A$5:$A$1749,0)),"")</f>
        <v>2.1949999999999998</v>
      </c>
      <c r="L228" s="267">
        <f>IFERROR(K228-(TBIcalc!$Q$9+TBIcalc!$Q$10),"")</f>
        <v>1.9451999999999998</v>
      </c>
      <c r="M228" s="391">
        <f>AVERAGE(Ashed_controlls!$K$12:$K$14)</f>
        <v>2.2816647271287041</v>
      </c>
      <c r="N228" s="267">
        <f t="shared" si="16"/>
        <v>1.9008170577278922</v>
      </c>
      <c r="O228" s="267">
        <f>IF(IFERROR(INDEX('Both teabags AfterDry'!$D$3:$D$900,MATCH(J228,'Both teabags AfterDry'!$A$3:$A$900,0)),"")="","",(IFERROR(INDEX('Both teabags AfterDry'!$D$3:$D$900,MATCH(J228,'Both teabags AfterDry'!$A$3:$A$900,0)),"")))</f>
        <v>1.7052</v>
      </c>
      <c r="P228" s="267">
        <f>IFERROR(IF(O228&gt;0,O228-(TBIcalc!$Q$9),""),"")</f>
        <v>1.5546</v>
      </c>
      <c r="Q228" s="278">
        <f>IFERROR(INDEX('Ashed teabags dry'!$K$2:$K$825,MATCH(J228,'Ashed teabags dry'!$A$2:$A$825,0)),"")</f>
        <v>6.2499999999996207</v>
      </c>
      <c r="R228" s="278">
        <f t="shared" si="17"/>
        <v>1.4574375000000059</v>
      </c>
      <c r="S228" s="268">
        <f>'Dry_Litterbag Placem_Collection'!E9</f>
        <v>42938</v>
      </c>
      <c r="T228" s="268">
        <f>IF('Dry_Litterbag Placem_Collection'!G9="","",'Dry_Litterbag Placem_Collection'!G9)</f>
        <v>43007</v>
      </c>
      <c r="U228" s="269">
        <f t="shared" si="15"/>
        <v>69</v>
      </c>
      <c r="V228" s="267">
        <f t="shared" si="18"/>
        <v>0.39059999999999984</v>
      </c>
      <c r="W228" s="267">
        <f t="shared" si="19"/>
        <v>0.44337955772788629</v>
      </c>
      <c r="X228" s="271">
        <f>IFERROR(INDEX(Rainfall_Dry!$O$2:$O$217,MATCH(B228, Rainfall_Dry!$A$2:$A$217,0)),"")</f>
        <v>6.900000125</v>
      </c>
      <c r="Y228" s="260">
        <v>12.565665055683967</v>
      </c>
      <c r="Z228" s="260">
        <v>0.9665896196679955</v>
      </c>
      <c r="AA228" s="260">
        <v>86.467745324648035</v>
      </c>
      <c r="AB228" s="261" t="s">
        <v>2672</v>
      </c>
      <c r="AC228" s="260">
        <v>7.02257269590931</v>
      </c>
      <c r="AD228">
        <f>IF('WetLitterbags placem_collection'!AB9="","",'WetLitterbags placem_collection'!AB9)</f>
        <v>36</v>
      </c>
      <c r="AE228">
        <f>IF('WetLitterbags placem_collection'!Z9="","",'WetLitterbags placem_collection'!Z9)</f>
        <v>43.4</v>
      </c>
      <c r="AF228" s="246" t="str">
        <f>IF('WetLitterbags placem_collection'!AA9="","",'WetLitterbags placem_collection'!AA9)</f>
        <v>M</v>
      </c>
      <c r="AG228">
        <f>IF('WetLitterbags placem_collection'!AC9="","",'WetLitterbags placem_collection'!AC9)</f>
        <v>1</v>
      </c>
      <c r="AH228">
        <f>IFERROR(AVERAGE('Dry_Litterbag Placem_Collection'!O9,'Dry_Litterbag Placem_Collection'!R9),"")</f>
        <v>2.95</v>
      </c>
      <c r="AI228" s="271">
        <f>IFERROR(AVERAGE('Dry_Litterbag Placem_Collection'!N9,'Dry_Litterbag Placem_Collection'!Q9),"")</f>
        <v>24.75</v>
      </c>
      <c r="AJ228" s="270">
        <f>INDEX(Coordinates!$B$2:$B$197,MATCH(G228,Coordinates!$J$2:$J$197,0))</f>
        <v>-3.3977630360000002</v>
      </c>
      <c r="AK228" s="270">
        <f>INDEX(Coordinates!$C$2:$C$197,MATCH(G228,Coordinates!$J$2:$J$197,0))</f>
        <v>34.837600969999997</v>
      </c>
      <c r="AL228" s="270" t="str">
        <f>IF(ISNUMBER(SEARCH("C", 'Dry_Litterbag Placem_Collection'!T9)),"YES","NO")</f>
        <v>NO</v>
      </c>
      <c r="AM228" s="270" t="str">
        <f>IF(ISNUMBER(SEARCH("H", 'Dry_Litterbag Placem_Collection'!T9)),"YES","NO")</f>
        <v>YES</v>
      </c>
      <c r="AN228" s="270" t="str">
        <f>IF(ISNUMBER(SEARCH("R", 'Dry_Litterbag Placem_Collection'!T9)),"YES","NO")</f>
        <v>NO</v>
      </c>
    </row>
    <row r="229" spans="1:40" ht="15" customHeight="1">
      <c r="A229" s="262" t="s">
        <v>2659</v>
      </c>
      <c r="B229" s="263">
        <f>'Dry_Litterbag Placem_Collection'!A10</f>
        <v>8</v>
      </c>
      <c r="C229" s="263" t="str">
        <f>'Dry_Litterbag Placem_Collection'!B10</f>
        <v>Makao</v>
      </c>
      <c r="D229" s="263" t="s">
        <v>2659</v>
      </c>
      <c r="E229" s="263" t="s">
        <v>2660</v>
      </c>
      <c r="F229" s="263">
        <v>1</v>
      </c>
      <c r="G229" s="264" t="str">
        <f>'Dry_Litterbag Placem_Collection'!C10</f>
        <v>Dry_Ag1_T8</v>
      </c>
      <c r="H229" s="265" t="s">
        <v>2541</v>
      </c>
      <c r="I229" s="272" t="s">
        <v>298</v>
      </c>
      <c r="J229" s="263" t="str">
        <f>IF(ISBLANK('Dry_Litterbag Placem_Collection'!K10),"","R"&amp;""&amp;'Dry_Litterbag Placem_Collection'!K10)</f>
        <v>R727</v>
      </c>
      <c r="K229" s="267">
        <f>IFERROR(INDEX('Green_rooibos initial weight'!$C$5:$C$1749,MATCH(J229, 'Green_rooibos initial weight'!$A$5:$A$1749,0)),"")</f>
        <v>2.1629999999999998</v>
      </c>
      <c r="L229" s="267">
        <f>IFERROR(K229-(TBIcalc!$Q$9+TBIcalc!$Q$10),"")</f>
        <v>1.9131999999999998</v>
      </c>
      <c r="M229" s="391">
        <f>AVERAGE(Ashed_controlls!$K$12:$K$14)</f>
        <v>2.2816647271287041</v>
      </c>
      <c r="N229" s="267">
        <f t="shared" si="16"/>
        <v>1.8695471904405734</v>
      </c>
      <c r="O229" s="267" t="str">
        <f>IF(IFERROR(INDEX('Both teabags AfterDry'!$D$3:$D$900,MATCH(J229,'Both teabags AfterDry'!$A$3:$A$900,0)),"")="","",(IFERROR(INDEX('Both teabags AfterDry'!$D$3:$D$900,MATCH(J229,'Both teabags AfterDry'!$A$3:$A$900,0)),"")))</f>
        <v/>
      </c>
      <c r="P229" s="267" t="str">
        <f>IFERROR(IF(O229&gt;0,O229-(TBIcalc!$Q$9),""),"")</f>
        <v/>
      </c>
      <c r="Q229" s="278">
        <f>IFERROR(INDEX('Ashed teabags dry'!$K$2:$K$825,MATCH(J229,'Ashed teabags dry'!$A$2:$A$825,0)),"")</f>
        <v>91.762114537445356</v>
      </c>
      <c r="R229" s="278" t="str">
        <f t="shared" si="17"/>
        <v/>
      </c>
      <c r="S229" s="268">
        <f>'Dry_Litterbag Placem_Collection'!E10</f>
        <v>42938</v>
      </c>
      <c r="T229" s="268">
        <f>IF('Dry_Litterbag Placem_Collection'!G10="","",'Dry_Litterbag Placem_Collection'!G10)</f>
        <v>43007</v>
      </c>
      <c r="U229" s="269">
        <f t="shared" si="15"/>
        <v>69</v>
      </c>
      <c r="V229" s="267" t="str">
        <f t="shared" si="18"/>
        <v/>
      </c>
      <c r="W229" s="267" t="str">
        <f t="shared" si="19"/>
        <v/>
      </c>
      <c r="X229" s="271">
        <f>IFERROR(INDEX(Rainfall_Dry!$O$2:$O$217,MATCH(B229, Rainfall_Dry!$A$2:$A$217,0)),"")</f>
        <v>6.900000125</v>
      </c>
      <c r="Y229" s="260">
        <v>12.565665055683967</v>
      </c>
      <c r="Z229" s="260">
        <v>0.9665896196679955</v>
      </c>
      <c r="AA229" s="260">
        <v>86.467745324648035</v>
      </c>
      <c r="AB229" s="261" t="s">
        <v>2672</v>
      </c>
      <c r="AC229" s="260">
        <v>8.0225726959093109</v>
      </c>
      <c r="AD229">
        <f>IF('WetLitterbags placem_collection'!AB10="","",'WetLitterbags placem_collection'!AB10)</f>
        <v>36</v>
      </c>
      <c r="AE229">
        <f>IF('WetLitterbags placem_collection'!Z10="","",'WetLitterbags placem_collection'!Z10)</f>
        <v>38.4</v>
      </c>
      <c r="AF229" s="246" t="str">
        <f>IF('WetLitterbags placem_collection'!AA10="","",'WetLitterbags placem_collection'!AA10)</f>
        <v>M</v>
      </c>
      <c r="AG229" t="str">
        <f>IF('WetLitterbags placem_collection'!AC10="","",'WetLitterbags placem_collection'!AC10)</f>
        <v/>
      </c>
      <c r="AH229">
        <f>IFERROR(AVERAGE('Dry_Litterbag Placem_Collection'!O10,'Dry_Litterbag Placem_Collection'!R10),"")</f>
        <v>2.5999999999999996</v>
      </c>
      <c r="AI229" s="271">
        <f>IFERROR(AVERAGE('Dry_Litterbag Placem_Collection'!N10,'Dry_Litterbag Placem_Collection'!Q10),"")</f>
        <v>26</v>
      </c>
      <c r="AJ229" s="270">
        <f>INDEX(Coordinates!$B$2:$B$197,MATCH(G229,Coordinates!$J$2:$J$197,0))</f>
        <v>-3.3977320230000001</v>
      </c>
      <c r="AK229" s="270">
        <f>INDEX(Coordinates!$C$2:$C$197,MATCH(G229,Coordinates!$J$2:$J$197,0))</f>
        <v>34.837561989999998</v>
      </c>
      <c r="AL229" s="270" t="str">
        <f>IF(ISNUMBER(SEARCH("C", 'Dry_Litterbag Placem_Collection'!T10)),"YES","NO")</f>
        <v>NO</v>
      </c>
      <c r="AM229" s="270" t="str">
        <f>IF(ISNUMBER(SEARCH("H", 'Dry_Litterbag Placem_Collection'!T10)),"YES","NO")</f>
        <v>NO</v>
      </c>
      <c r="AN229" s="270" t="str">
        <f>IF(ISNUMBER(SEARCH("R", 'Dry_Litterbag Placem_Collection'!T10)),"YES","NO")</f>
        <v>NO</v>
      </c>
    </row>
    <row r="230" spans="1:40" ht="15" customHeight="1">
      <c r="A230" s="262" t="s">
        <v>2659</v>
      </c>
      <c r="B230" s="263">
        <f>'Dry_Litterbag Placem_Collection'!A11</f>
        <v>9</v>
      </c>
      <c r="C230" s="263" t="str">
        <f>'Dry_Litterbag Placem_Collection'!B11</f>
        <v>Makao</v>
      </c>
      <c r="D230" s="263" t="s">
        <v>2659</v>
      </c>
      <c r="E230" s="263" t="s">
        <v>2660</v>
      </c>
      <c r="F230" s="263">
        <v>2</v>
      </c>
      <c r="G230" s="264" t="str">
        <f>'Dry_Litterbag Placem_Collection'!C11</f>
        <v>Dry_Ag2_T1</v>
      </c>
      <c r="H230" s="265" t="s">
        <v>2541</v>
      </c>
      <c r="I230" s="272" t="s">
        <v>298</v>
      </c>
      <c r="J230" s="263" t="str">
        <f>IF(ISBLANK('Dry_Litterbag Placem_Collection'!K11),"","R"&amp;""&amp;'Dry_Litterbag Placem_Collection'!K11)</f>
        <v>R785</v>
      </c>
      <c r="K230" s="267">
        <f>IFERROR(INDEX('Green_rooibos initial weight'!$C$5:$C$1749,MATCH(J230, 'Green_rooibos initial weight'!$A$5:$A$1749,0)),"")</f>
        <v>2.2549999999999999</v>
      </c>
      <c r="L230" s="267">
        <f>IFERROR(K230-(TBIcalc!$Q$9+TBIcalc!$Q$10),"")</f>
        <v>2.0051999999999999</v>
      </c>
      <c r="M230" s="391">
        <f>AVERAGE(Ashed_controlls!$K$12:$K$14)</f>
        <v>2.2816647271287041</v>
      </c>
      <c r="N230" s="267">
        <f t="shared" si="16"/>
        <v>1.959448058891615</v>
      </c>
      <c r="O230" s="267">
        <f>IF(IFERROR(INDEX('Both teabags AfterDry'!$D$3:$D$900,MATCH(J230,'Both teabags AfterDry'!$A$3:$A$900,0)),"")="","",(IFERROR(INDEX('Both teabags AfterDry'!$D$3:$D$900,MATCH(J230,'Both teabags AfterDry'!$A$3:$A$900,0)),"")))</f>
        <v>3.7812999999999999</v>
      </c>
      <c r="P230" s="267">
        <f>IFERROR(IF(O230&gt;0,O230-(TBIcalc!$Q$9),""),"")</f>
        <v>3.6307</v>
      </c>
      <c r="Q230" s="278">
        <f>IFERROR(INDEX('Ashed teabags dry'!$K$2:$K$825,MATCH(J230,'Ashed teabags dry'!$A$2:$A$825,0)),"")</f>
        <v>96.078431372548579</v>
      </c>
      <c r="R230" s="278">
        <f t="shared" si="17"/>
        <v>0.1423803921568787</v>
      </c>
      <c r="S230" s="268">
        <f>'Dry_Litterbag Placem_Collection'!E11</f>
        <v>42938</v>
      </c>
      <c r="T230" s="268">
        <f>IF('Dry_Litterbag Placem_Collection'!G11="","",'Dry_Litterbag Placem_Collection'!G11)</f>
        <v>43007</v>
      </c>
      <c r="U230" s="269">
        <f t="shared" si="15"/>
        <v>69</v>
      </c>
      <c r="V230" s="267">
        <f t="shared" si="18"/>
        <v>-1.6255000000000002</v>
      </c>
      <c r="W230" s="267">
        <f t="shared" si="19"/>
        <v>1.8170676667347363</v>
      </c>
      <c r="X230" s="271">
        <f>IFERROR(INDEX(Rainfall_Dry!$O$2:$O$217,MATCH(B230, Rainfall_Dry!$A$2:$A$217,0)),"")</f>
        <v>6.900000125</v>
      </c>
      <c r="Y230" s="260">
        <v>21.13063730679653</v>
      </c>
      <c r="Z230" s="260">
        <v>3.0912555579081076</v>
      </c>
      <c r="AA230" s="260">
        <v>75.778107135295357</v>
      </c>
      <c r="AB230" s="261" t="s">
        <v>2670</v>
      </c>
      <c r="AC230" s="260">
        <v>0.46131099063578063</v>
      </c>
      <c r="AD230">
        <f>IF('WetLitterbags placem_collection'!AB11="","",'WetLitterbags placem_collection'!AB11)</f>
        <v>10.8</v>
      </c>
      <c r="AE230">
        <f>IF('WetLitterbags placem_collection'!Z11="","",'WetLitterbags placem_collection'!Z11)</f>
        <v>28.4</v>
      </c>
      <c r="AF230" s="246" t="str">
        <f>IF('WetLitterbags placem_collection'!AA11="","",'WetLitterbags placem_collection'!AA11)</f>
        <v>M</v>
      </c>
      <c r="AG230">
        <f>IF('WetLitterbags placem_collection'!AC11="","",'WetLitterbags placem_collection'!AC11)</f>
        <v>0</v>
      </c>
      <c r="AH230">
        <f>IFERROR(AVERAGE('Dry_Litterbag Placem_Collection'!O11,'Dry_Litterbag Placem_Collection'!R11),"")</f>
        <v>3.3</v>
      </c>
      <c r="AI230" s="271">
        <f>IFERROR(AVERAGE('Dry_Litterbag Placem_Collection'!N11,'Dry_Litterbag Placem_Collection'!Q11),"")</f>
        <v>26.15</v>
      </c>
      <c r="AJ230" s="270">
        <f>INDEX(Coordinates!$B$2:$B$197,MATCH(G230,Coordinates!$J$2:$J$197,0))</f>
        <v>-3.3978290019999999</v>
      </c>
      <c r="AK230" s="270">
        <f>INDEX(Coordinates!$C$2:$C$197,MATCH(G230,Coordinates!$J$2:$J$197,0))</f>
        <v>34.837011969999999</v>
      </c>
      <c r="AL230" s="270" t="str">
        <f>IF(ISNUMBER(SEARCH("C", 'Dry_Litterbag Placem_Collection'!T11)),"YES","NO")</f>
        <v>YES</v>
      </c>
      <c r="AM230" s="270" t="str">
        <f>IF(ISNUMBER(SEARCH("H", 'Dry_Litterbag Placem_Collection'!T11)),"YES","NO")</f>
        <v>NO</v>
      </c>
      <c r="AN230" s="270" t="str">
        <f>IF(ISNUMBER(SEARCH("R", 'Dry_Litterbag Placem_Collection'!T11)),"YES","NO")</f>
        <v>NO</v>
      </c>
    </row>
    <row r="231" spans="1:40" ht="15" customHeight="1">
      <c r="A231" s="262" t="s">
        <v>2659</v>
      </c>
      <c r="B231" s="263">
        <f>'Dry_Litterbag Placem_Collection'!A12</f>
        <v>10</v>
      </c>
      <c r="C231" s="263" t="str">
        <f>'Dry_Litterbag Placem_Collection'!B12</f>
        <v>Makao</v>
      </c>
      <c r="D231" s="263" t="s">
        <v>2659</v>
      </c>
      <c r="E231" s="263" t="s">
        <v>2660</v>
      </c>
      <c r="F231" s="263">
        <v>2</v>
      </c>
      <c r="G231" s="264" t="str">
        <f>'Dry_Litterbag Placem_Collection'!C12</f>
        <v>Dry_Ag2_T2</v>
      </c>
      <c r="H231" s="265" t="s">
        <v>2541</v>
      </c>
      <c r="I231" s="272" t="s">
        <v>298</v>
      </c>
      <c r="J231" s="263" t="str">
        <f>IF(ISBLANK('Dry_Litterbag Placem_Collection'!K12),"","R"&amp;""&amp;'Dry_Litterbag Placem_Collection'!K12)</f>
        <v>R747</v>
      </c>
      <c r="K231" s="267">
        <f>IFERROR(INDEX('Green_rooibos initial weight'!$C$5:$C$1749,MATCH(J231, 'Green_rooibos initial weight'!$A$5:$A$1749,0)),"")</f>
        <v>2.1549999999999998</v>
      </c>
      <c r="L231" s="267">
        <f>IFERROR(K231-(TBIcalc!$Q$9+TBIcalc!$Q$10),"")</f>
        <v>1.9051999999999998</v>
      </c>
      <c r="M231" s="391">
        <f>AVERAGE(Ashed_controlls!$K$12:$K$14)</f>
        <v>2.2816647271287041</v>
      </c>
      <c r="N231" s="267">
        <f t="shared" si="16"/>
        <v>1.8617297236187438</v>
      </c>
      <c r="O231" s="267" t="str">
        <f>IF(IFERROR(INDEX('Both teabags AfterDry'!$D$3:$D$900,MATCH(J231,'Both teabags AfterDry'!$A$3:$A$900,0)),"")="","",(IFERROR(INDEX('Both teabags AfterDry'!$D$3:$D$900,MATCH(J231,'Both teabags AfterDry'!$A$3:$A$900,0)),"")))</f>
        <v/>
      </c>
      <c r="P231" s="267" t="str">
        <f>IFERROR(IF(O231&gt;0,O231-(TBIcalc!$Q$9),""),"")</f>
        <v/>
      </c>
      <c r="Q231" s="278" t="str">
        <f>IFERROR(INDEX('Ashed teabags dry'!$K$2:$K$825,MATCH(J231,'Ashed teabags dry'!$A$2:$A$825,0)),"")</f>
        <v/>
      </c>
      <c r="R231" s="278" t="str">
        <f t="shared" si="17"/>
        <v/>
      </c>
      <c r="S231" s="268">
        <f>'Dry_Litterbag Placem_Collection'!E12</f>
        <v>42938</v>
      </c>
      <c r="T231" s="268" t="str">
        <f>IF('Dry_Litterbag Placem_Collection'!G12="","",'Dry_Litterbag Placem_Collection'!G12)</f>
        <v/>
      </c>
      <c r="U231" s="269" t="str">
        <f t="shared" si="15"/>
        <v/>
      </c>
      <c r="V231" s="267" t="str">
        <f t="shared" si="18"/>
        <v/>
      </c>
      <c r="W231" s="267" t="str">
        <f t="shared" si="19"/>
        <v/>
      </c>
      <c r="X231" s="271" t="str">
        <f>IFERROR(INDEX(Rainfall_Dry!$O$2:$O$217,MATCH(B231, Rainfall_Dry!$A$2:$A$217,0)),"")</f>
        <v/>
      </c>
      <c r="Y231" s="260">
        <v>21.13063730679653</v>
      </c>
      <c r="Z231" s="260">
        <v>3.0912555579081076</v>
      </c>
      <c r="AA231" s="260">
        <v>75.778107135295357</v>
      </c>
      <c r="AB231" s="261" t="s">
        <v>2670</v>
      </c>
      <c r="AC231" s="260">
        <v>1.46131099063578</v>
      </c>
      <c r="AD231">
        <f>IF('WetLitterbags placem_collection'!AB12="","",'WetLitterbags placem_collection'!AB12)</f>
        <v>16.8</v>
      </c>
      <c r="AE231">
        <f>IF('WetLitterbags placem_collection'!Z12="","",'WetLitterbags placem_collection'!Z12)</f>
        <v>30</v>
      </c>
      <c r="AF231" s="246" t="str">
        <f>IF('WetLitterbags placem_collection'!AA12="","",'WetLitterbags placem_collection'!AA12)</f>
        <v>M</v>
      </c>
      <c r="AG231">
        <f>IF('WetLitterbags placem_collection'!AC12="","",'WetLitterbags placem_collection'!AC12)</f>
        <v>0</v>
      </c>
      <c r="AH231">
        <f>IFERROR(AVERAGE('Dry_Litterbag Placem_Collection'!O12,'Dry_Litterbag Placem_Collection'!R12),"")</f>
        <v>1.5</v>
      </c>
      <c r="AI231" s="271">
        <f>IFERROR(AVERAGE('Dry_Litterbag Placem_Collection'!N12,'Dry_Litterbag Placem_Collection'!Q12),"")</f>
        <v>26.1</v>
      </c>
      <c r="AJ231" s="270">
        <f>INDEX(Coordinates!$B$2:$B$197,MATCH(G231,Coordinates!$J$2:$J$197,0))</f>
        <v>-3.3978119869999999</v>
      </c>
      <c r="AK231" s="270">
        <f>INDEX(Coordinates!$C$2:$C$197,MATCH(G231,Coordinates!$J$2:$J$197,0))</f>
        <v>34.836968980000002</v>
      </c>
      <c r="AL231" s="270" t="str">
        <f>IF(ISNUMBER(SEARCH("C", 'Dry_Litterbag Placem_Collection'!T12)),"YES","NO")</f>
        <v>NO</v>
      </c>
      <c r="AM231" s="270" t="str">
        <f>IF(ISNUMBER(SEARCH("H", 'Dry_Litterbag Placem_Collection'!T12)),"YES","NO")</f>
        <v>NO</v>
      </c>
      <c r="AN231" s="270" t="str">
        <f>IF(ISNUMBER(SEARCH("R", 'Dry_Litterbag Placem_Collection'!T12)),"YES","NO")</f>
        <v>NO</v>
      </c>
    </row>
    <row r="232" spans="1:40" ht="15" customHeight="1">
      <c r="A232" s="262" t="s">
        <v>2659</v>
      </c>
      <c r="B232" s="263">
        <f>'Dry_Litterbag Placem_Collection'!A13</f>
        <v>11</v>
      </c>
      <c r="C232" s="263" t="str">
        <f>'Dry_Litterbag Placem_Collection'!B13</f>
        <v>Makao</v>
      </c>
      <c r="D232" s="263" t="s">
        <v>2659</v>
      </c>
      <c r="E232" s="263" t="s">
        <v>2660</v>
      </c>
      <c r="F232" s="263">
        <v>2</v>
      </c>
      <c r="G232" s="264" t="str">
        <f>'Dry_Litterbag Placem_Collection'!C13</f>
        <v>Dry_Ag2_T3</v>
      </c>
      <c r="H232" s="265" t="s">
        <v>2541</v>
      </c>
      <c r="I232" s="272" t="s">
        <v>298</v>
      </c>
      <c r="J232" s="263" t="str">
        <f>IF(ISBLANK('Dry_Litterbag Placem_Collection'!K13),"","R"&amp;""&amp;'Dry_Litterbag Placem_Collection'!K13)</f>
        <v>R748</v>
      </c>
      <c r="K232" s="267">
        <f>IFERROR(INDEX('Green_rooibos initial weight'!$C$5:$C$1749,MATCH(J232, 'Green_rooibos initial weight'!$A$5:$A$1749,0)),"")</f>
        <v>2.1829999999999998</v>
      </c>
      <c r="L232" s="267">
        <f>IFERROR(K232-(TBIcalc!$Q$9+TBIcalc!$Q$10),"")</f>
        <v>1.9331999999999998</v>
      </c>
      <c r="M232" s="391">
        <f>AVERAGE(Ashed_controlls!$K$12:$K$14)</f>
        <v>2.2816647271287041</v>
      </c>
      <c r="N232" s="267">
        <f t="shared" si="16"/>
        <v>1.8890908574951477</v>
      </c>
      <c r="O232" s="267">
        <f>IF(IFERROR(INDEX('Both teabags AfterDry'!$D$3:$D$900,MATCH(J232,'Both teabags AfterDry'!$A$3:$A$900,0)),"")="","",(IFERROR(INDEX('Both teabags AfterDry'!$D$3:$D$900,MATCH(J232,'Both teabags AfterDry'!$A$3:$A$900,0)),"")))</f>
        <v>0.98360000000000003</v>
      </c>
      <c r="P232" s="267">
        <f>IFERROR(IF(O232&gt;0,O232-(TBIcalc!$Q$9),""),"")</f>
        <v>0.83299999999999996</v>
      </c>
      <c r="Q232" s="278">
        <f>IFERROR(INDEX('Ashed teabags dry'!$K$2:$K$825,MATCH(J232,'Ashed teabags dry'!$A$2:$A$825,0)),"")</f>
        <v>89.951923076922583</v>
      </c>
      <c r="R232" s="278">
        <f t="shared" si="17"/>
        <v>8.3700480769234864E-2</v>
      </c>
      <c r="S232" s="268">
        <f>'Dry_Litterbag Placem_Collection'!E13</f>
        <v>42938</v>
      </c>
      <c r="T232" s="268">
        <f>IF('Dry_Litterbag Placem_Collection'!G13="","",'Dry_Litterbag Placem_Collection'!G13)</f>
        <v>43007</v>
      </c>
      <c r="U232" s="269">
        <f t="shared" si="15"/>
        <v>69</v>
      </c>
      <c r="V232" s="267">
        <f t="shared" si="18"/>
        <v>1.1001999999999998</v>
      </c>
      <c r="W232" s="267">
        <f t="shared" si="19"/>
        <v>1.8053903767259127</v>
      </c>
      <c r="X232" s="271">
        <f>IFERROR(INDEX(Rainfall_Dry!$O$2:$O$217,MATCH(B232, Rainfall_Dry!$A$2:$A$217,0)),"")</f>
        <v>6.900000125</v>
      </c>
      <c r="Y232" s="260">
        <v>21.13063730679653</v>
      </c>
      <c r="Z232" s="260">
        <v>3.0912555579081076</v>
      </c>
      <c r="AA232" s="260">
        <v>75.778107135295357</v>
      </c>
      <c r="AB232" s="261" t="s">
        <v>2670</v>
      </c>
      <c r="AC232" s="260">
        <v>2.4613109906357802</v>
      </c>
      <c r="AD232">
        <f>IF('WetLitterbags placem_collection'!AB13="","",'WetLitterbags placem_collection'!AB13)</f>
        <v>11.4</v>
      </c>
      <c r="AE232">
        <f>IF('WetLitterbags placem_collection'!Z13="","",'WetLitterbags placem_collection'!Z13)</f>
        <v>24.4</v>
      </c>
      <c r="AF232" s="246" t="str">
        <f>IF('WetLitterbags placem_collection'!AA13="","",'WetLitterbags placem_collection'!AA13)</f>
        <v>M</v>
      </c>
      <c r="AG232">
        <f>IF('WetLitterbags placem_collection'!AC13="","",'WetLitterbags placem_collection'!AC13)</f>
        <v>0</v>
      </c>
      <c r="AH232">
        <f>IFERROR(AVERAGE('Dry_Litterbag Placem_Collection'!O13,'Dry_Litterbag Placem_Collection'!R13),"")</f>
        <v>5.3</v>
      </c>
      <c r="AI232" s="271">
        <f>IFERROR(AVERAGE('Dry_Litterbag Placem_Collection'!N13,'Dry_Litterbag Placem_Collection'!Q13),"")</f>
        <v>26.450000000000003</v>
      </c>
      <c r="AJ232" s="270">
        <f>INDEX(Coordinates!$B$2:$B$197,MATCH(G232,Coordinates!$J$2:$J$197,0))</f>
        <v>-3.3977929599999999</v>
      </c>
      <c r="AK232" s="270">
        <f>INDEX(Coordinates!$C$2:$C$197,MATCH(G232,Coordinates!$J$2:$J$197,0))</f>
        <v>34.837102999999999</v>
      </c>
      <c r="AL232" s="270" t="str">
        <f>IF(ISNUMBER(SEARCH("C", 'Dry_Litterbag Placem_Collection'!T13)),"YES","NO")</f>
        <v>YES</v>
      </c>
      <c r="AM232" s="270" t="str">
        <f>IF(ISNUMBER(SEARCH("H", 'Dry_Litterbag Placem_Collection'!T13)),"YES","NO")</f>
        <v>YES</v>
      </c>
      <c r="AN232" s="270" t="str">
        <f>IF(ISNUMBER(SEARCH("R", 'Dry_Litterbag Placem_Collection'!T13)),"YES","NO")</f>
        <v>NO</v>
      </c>
    </row>
    <row r="233" spans="1:40" ht="15" customHeight="1">
      <c r="A233" s="262" t="s">
        <v>2659</v>
      </c>
      <c r="B233" s="263">
        <f>'Dry_Litterbag Placem_Collection'!A14</f>
        <v>12</v>
      </c>
      <c r="C233" s="263" t="str">
        <f>'Dry_Litterbag Placem_Collection'!B14</f>
        <v>Makao</v>
      </c>
      <c r="D233" s="263" t="s">
        <v>2659</v>
      </c>
      <c r="E233" s="263" t="s">
        <v>2660</v>
      </c>
      <c r="F233" s="263">
        <v>2</v>
      </c>
      <c r="G233" s="264" t="str">
        <f>'Dry_Litterbag Placem_Collection'!C14</f>
        <v>Dry_Ag2_T4</v>
      </c>
      <c r="H233" s="265" t="s">
        <v>2541</v>
      </c>
      <c r="I233" s="272" t="s">
        <v>298</v>
      </c>
      <c r="J233" s="263" t="str">
        <f>IF(ISBLANK('Dry_Litterbag Placem_Collection'!K14),"","R"&amp;""&amp;'Dry_Litterbag Placem_Collection'!K14)</f>
        <v/>
      </c>
      <c r="K233" s="267" t="str">
        <f>IFERROR(INDEX('Green_rooibos initial weight'!$C$5:$C$1749,MATCH(J233, 'Green_rooibos initial weight'!$A$5:$A$1749,0)),"")</f>
        <v/>
      </c>
      <c r="L233" s="267" t="str">
        <f>IFERROR(K233-(TBIcalc!$Q$9+TBIcalc!$Q$10),"")</f>
        <v/>
      </c>
      <c r="M233" s="391">
        <f>AVERAGE(Ashed_controlls!$K$12:$K$14)</f>
        <v>2.2816647271287041</v>
      </c>
      <c r="N233" s="267" t="str">
        <f t="shared" si="16"/>
        <v/>
      </c>
      <c r="O233" s="267" t="str">
        <f>IF(IFERROR(INDEX('Both teabags AfterDry'!$D$3:$D$900,MATCH(J233,'Both teabags AfterDry'!$A$3:$A$900,0)),"")="","",(IFERROR(INDEX('Both teabags AfterDry'!$D$3:$D$900,MATCH(J233,'Both teabags AfterDry'!$A$3:$A$900,0)),"")))</f>
        <v/>
      </c>
      <c r="P233" s="267" t="str">
        <f>IFERROR(IF(O233&gt;0,O233-(TBIcalc!$Q$9),""),"")</f>
        <v/>
      </c>
      <c r="Q233" s="278" t="str">
        <f>IFERROR(INDEX('Ashed teabags dry'!$K$2:$K$825,MATCH(J233,'Ashed teabags dry'!$A$2:$A$825,0)),"")</f>
        <v/>
      </c>
      <c r="R233" s="278" t="str">
        <f t="shared" si="17"/>
        <v/>
      </c>
      <c r="S233" s="268">
        <f>'Dry_Litterbag Placem_Collection'!E14</f>
        <v>0</v>
      </c>
      <c r="T233" s="268" t="str">
        <f>IF('Dry_Litterbag Placem_Collection'!G14="","",'Dry_Litterbag Placem_Collection'!G14)</f>
        <v/>
      </c>
      <c r="U233" s="269" t="str">
        <f t="shared" si="15"/>
        <v/>
      </c>
      <c r="V233" s="267" t="str">
        <f t="shared" si="18"/>
        <v/>
      </c>
      <c r="W233" s="267" t="str">
        <f t="shared" si="19"/>
        <v/>
      </c>
      <c r="X233" s="271" t="str">
        <f>IFERROR(INDEX(Rainfall_Dry!$O$2:$O$217,MATCH(B233, Rainfall_Dry!$A$2:$A$217,0)),"")</f>
        <v/>
      </c>
      <c r="Y233" s="260">
        <v>21.13063730679653</v>
      </c>
      <c r="Z233" s="260">
        <v>3.0912555579081076</v>
      </c>
      <c r="AA233" s="260">
        <v>75.778107135295357</v>
      </c>
      <c r="AB233" s="261" t="s">
        <v>2670</v>
      </c>
      <c r="AC233" s="260">
        <v>3.4613109906357802</v>
      </c>
      <c r="AD233" t="str">
        <f>IF('WetLitterbags placem_collection'!AB14="","",'WetLitterbags placem_collection'!AB14)</f>
        <v/>
      </c>
      <c r="AE233" t="str">
        <f>IF('WetLitterbags placem_collection'!Z14="","",'WetLitterbags placem_collection'!Z14)</f>
        <v/>
      </c>
      <c r="AF233" s="246" t="str">
        <f>IF('WetLitterbags placem_collection'!AA14="","",'WetLitterbags placem_collection'!AA14)</f>
        <v/>
      </c>
      <c r="AG233" t="str">
        <f>IF('WetLitterbags placem_collection'!AC14="","",'WetLitterbags placem_collection'!AC14)</f>
        <v/>
      </c>
      <c r="AH233" t="str">
        <f>IFERROR(AVERAGE('Dry_Litterbag Placem_Collection'!O14,'Dry_Litterbag Placem_Collection'!R14),"")</f>
        <v/>
      </c>
      <c r="AI233" s="271" t="str">
        <f>IFERROR(AVERAGE('Dry_Litterbag Placem_Collection'!N14,'Dry_Litterbag Placem_Collection'!Q14),"")</f>
        <v/>
      </c>
      <c r="AJ233" s="270">
        <f>INDEX(Coordinates!$B$2:$B$197,MATCH(G233,Coordinates!$J$2:$J$197,0))</f>
        <v>-3.3979050260000001</v>
      </c>
      <c r="AK233" s="270">
        <f>INDEX(Coordinates!$C$2:$C$197,MATCH(G233,Coordinates!$J$2:$J$197,0))</f>
        <v>34.837123030000001</v>
      </c>
      <c r="AL233" s="270" t="str">
        <f>IF(ISNUMBER(SEARCH("C", 'Dry_Litterbag Placem_Collection'!T14)),"YES","NO")</f>
        <v>NO</v>
      </c>
      <c r="AM233" s="270" t="str">
        <f>IF(ISNUMBER(SEARCH("H", 'Dry_Litterbag Placem_Collection'!T14)),"YES","NO")</f>
        <v>NO</v>
      </c>
      <c r="AN233" s="270" t="str">
        <f>IF(ISNUMBER(SEARCH("R", 'Dry_Litterbag Placem_Collection'!T14)),"YES","NO")</f>
        <v>NO</v>
      </c>
    </row>
    <row r="234" spans="1:40" ht="15" customHeight="1">
      <c r="A234" s="262" t="s">
        <v>2659</v>
      </c>
      <c r="B234" s="263">
        <f>'Dry_Litterbag Placem_Collection'!A15</f>
        <v>13</v>
      </c>
      <c r="C234" s="263" t="str">
        <f>'Dry_Litterbag Placem_Collection'!B15</f>
        <v>Makao</v>
      </c>
      <c r="D234" s="263" t="s">
        <v>2659</v>
      </c>
      <c r="E234" s="263" t="s">
        <v>2660</v>
      </c>
      <c r="F234" s="263">
        <v>2</v>
      </c>
      <c r="G234" s="264" t="str">
        <f>'Dry_Litterbag Placem_Collection'!C15</f>
        <v>Dry_Ag2_T5</v>
      </c>
      <c r="H234" s="265" t="s">
        <v>2541</v>
      </c>
      <c r="I234" s="272" t="s">
        <v>298</v>
      </c>
      <c r="J234" s="263" t="str">
        <f>IF(ISBLANK('Dry_Litterbag Placem_Collection'!K15),"","R"&amp;""&amp;'Dry_Litterbag Placem_Collection'!K15)</f>
        <v>R784</v>
      </c>
      <c r="K234" s="267">
        <f>IFERROR(INDEX('Green_rooibos initial weight'!$C$5:$C$1749,MATCH(J234, 'Green_rooibos initial weight'!$A$5:$A$1749,0)),"")</f>
        <v>2.17</v>
      </c>
      <c r="L234" s="267">
        <f>IFERROR(K234-(TBIcalc!$Q$9+TBIcalc!$Q$10),"")</f>
        <v>1.9201999999999999</v>
      </c>
      <c r="M234" s="391">
        <f>AVERAGE(Ashed_controlls!$K$12:$K$14)</f>
        <v>2.2816647271287041</v>
      </c>
      <c r="N234" s="267">
        <f t="shared" si="16"/>
        <v>1.8763874739096746</v>
      </c>
      <c r="O234" s="267" t="str">
        <f>IF(IFERROR(INDEX('Both teabags AfterDry'!$D$3:$D$900,MATCH(J234,'Both teabags AfterDry'!$A$3:$A$900,0)),"")="","",(IFERROR(INDEX('Both teabags AfterDry'!$D$3:$D$900,MATCH(J234,'Both teabags AfterDry'!$A$3:$A$900,0)),"")))</f>
        <v/>
      </c>
      <c r="P234" s="267" t="str">
        <f>IFERROR(IF(O234&gt;0,O234-(TBIcalc!$Q$9),""),"")</f>
        <v/>
      </c>
      <c r="Q234" s="278">
        <f>IFERROR(INDEX('Ashed teabags dry'!$K$2:$K$825,MATCH(J234,'Ashed teabags dry'!$A$2:$A$825,0)),"")</f>
        <v>92.742616033754956</v>
      </c>
      <c r="R234" s="278" t="str">
        <f t="shared" si="17"/>
        <v/>
      </c>
      <c r="S234" s="268">
        <f>'Dry_Litterbag Placem_Collection'!E15</f>
        <v>42938</v>
      </c>
      <c r="T234" s="268">
        <f>IF('Dry_Litterbag Placem_Collection'!G15="","",'Dry_Litterbag Placem_Collection'!G15)</f>
        <v>43007</v>
      </c>
      <c r="U234" s="269">
        <f t="shared" si="15"/>
        <v>69</v>
      </c>
      <c r="V234" s="267" t="str">
        <f t="shared" si="18"/>
        <v/>
      </c>
      <c r="W234" s="267" t="str">
        <f t="shared" si="19"/>
        <v/>
      </c>
      <c r="X234" s="271">
        <f>IFERROR(INDEX(Rainfall_Dry!$O$2:$O$217,MATCH(B234, Rainfall_Dry!$A$2:$A$217,0)),"")</f>
        <v>6.900000125</v>
      </c>
      <c r="Y234" s="260">
        <v>21.13063730679653</v>
      </c>
      <c r="Z234" s="260">
        <v>3.0912555579081076</v>
      </c>
      <c r="AA234" s="260">
        <v>75.778107135295357</v>
      </c>
      <c r="AB234" s="261" t="s">
        <v>2670</v>
      </c>
      <c r="AC234" s="260">
        <v>4.4613109906357797</v>
      </c>
      <c r="AD234">
        <f>IF('WetLitterbags placem_collection'!AB15="","",'WetLitterbags placem_collection'!AB15)</f>
        <v>11.4</v>
      </c>
      <c r="AE234">
        <f>IF('WetLitterbags placem_collection'!Z15="","",'WetLitterbags placem_collection'!Z15)</f>
        <v>31</v>
      </c>
      <c r="AF234" s="246" t="str">
        <f>IF('WetLitterbags placem_collection'!AA15="","",'WetLitterbags placem_collection'!AA15)</f>
        <v>M</v>
      </c>
      <c r="AG234">
        <f>IF('WetLitterbags placem_collection'!AC15="","",'WetLitterbags placem_collection'!AC15)</f>
        <v>0</v>
      </c>
      <c r="AH234">
        <f>IFERROR(AVERAGE('Dry_Litterbag Placem_Collection'!O15,'Dry_Litterbag Placem_Collection'!R15),"")</f>
        <v>4.8</v>
      </c>
      <c r="AI234" s="271">
        <f>IFERROR(AVERAGE('Dry_Litterbag Placem_Collection'!N15,'Dry_Litterbag Placem_Collection'!Q15),"")</f>
        <v>26.1</v>
      </c>
      <c r="AJ234" s="270">
        <f>INDEX(Coordinates!$B$2:$B$197,MATCH(G234,Coordinates!$J$2:$J$197,0))</f>
        <v>-3.3979040199999999</v>
      </c>
      <c r="AK234" s="270">
        <f>INDEX(Coordinates!$C$2:$C$197,MATCH(G234,Coordinates!$J$2:$J$197,0))</f>
        <v>34.837027980000002</v>
      </c>
      <c r="AL234" s="270" t="str">
        <f>IF(ISNUMBER(SEARCH("C", 'Dry_Litterbag Placem_Collection'!T15)),"YES","NO")</f>
        <v>YES</v>
      </c>
      <c r="AM234" s="270" t="str">
        <f>IF(ISNUMBER(SEARCH("H", 'Dry_Litterbag Placem_Collection'!T15)),"YES","NO")</f>
        <v>YES</v>
      </c>
      <c r="AN234" s="270" t="str">
        <f>IF(ISNUMBER(SEARCH("R", 'Dry_Litterbag Placem_Collection'!T15)),"YES","NO")</f>
        <v>NO</v>
      </c>
    </row>
    <row r="235" spans="1:40" ht="15" customHeight="1">
      <c r="A235" s="262" t="s">
        <v>2659</v>
      </c>
      <c r="B235" s="263">
        <f>'Dry_Litterbag Placem_Collection'!A16</f>
        <v>14</v>
      </c>
      <c r="C235" s="263" t="str">
        <f>'Dry_Litterbag Placem_Collection'!B16</f>
        <v>Makao</v>
      </c>
      <c r="D235" s="263" t="s">
        <v>2659</v>
      </c>
      <c r="E235" s="263" t="s">
        <v>2660</v>
      </c>
      <c r="F235" s="263">
        <v>2</v>
      </c>
      <c r="G235" s="264" t="str">
        <f>'Dry_Litterbag Placem_Collection'!C16</f>
        <v>Dry_Ag2_T6</v>
      </c>
      <c r="H235" s="265" t="s">
        <v>2541</v>
      </c>
      <c r="I235" s="272" t="s">
        <v>298</v>
      </c>
      <c r="J235" s="263" t="str">
        <f>IF(ISBLANK('Dry_Litterbag Placem_Collection'!K16),"","R"&amp;""&amp;'Dry_Litterbag Placem_Collection'!K16)</f>
        <v>R838</v>
      </c>
      <c r="K235" s="267">
        <f>IFERROR(INDEX('Green_rooibos initial weight'!$C$5:$C$1749,MATCH(J235, 'Green_rooibos initial weight'!$A$5:$A$1749,0)),"")</f>
        <v>2.1589999999999998</v>
      </c>
      <c r="L235" s="267">
        <f>IFERROR(K235-(TBIcalc!$Q$9+TBIcalc!$Q$10),"")</f>
        <v>1.9091999999999998</v>
      </c>
      <c r="M235" s="391">
        <f>AVERAGE(Ashed_controlls!$K$12:$K$14)</f>
        <v>2.2816647271287041</v>
      </c>
      <c r="N235" s="267">
        <f t="shared" si="16"/>
        <v>1.8656384570296585</v>
      </c>
      <c r="O235" s="267">
        <f>IF(IFERROR(INDEX('Both teabags AfterDry'!$D$3:$D$900,MATCH(J235,'Both teabags AfterDry'!$A$3:$A$900,0)),"")="","",(IFERROR(INDEX('Both teabags AfterDry'!$D$3:$D$900,MATCH(J235,'Both teabags AfterDry'!$A$3:$A$900,0)),"")))</f>
        <v>1.0848</v>
      </c>
      <c r="P235" s="267">
        <f>IFERROR(IF(O235&gt;0,O235-(TBIcalc!$Q$9),""),"")</f>
        <v>0.93419999999999992</v>
      </c>
      <c r="Q235" s="278">
        <f>IFERROR(INDEX('Ashed teabags dry'!$K$2:$K$825,MATCH(J235,'Ashed teabags dry'!$A$2:$A$825,0)),"")</f>
        <v>96.944824441403483</v>
      </c>
      <c r="R235" s="278">
        <f t="shared" si="17"/>
        <v>2.854145006840858E-2</v>
      </c>
      <c r="S235" s="268">
        <f>'Dry_Litterbag Placem_Collection'!E16</f>
        <v>42938</v>
      </c>
      <c r="T235" s="268">
        <f>IF('Dry_Litterbag Placem_Collection'!G16="","",'Dry_Litterbag Placem_Collection'!G16)</f>
        <v>43007</v>
      </c>
      <c r="U235" s="269">
        <f t="shared" si="15"/>
        <v>69</v>
      </c>
      <c r="V235" s="267">
        <f t="shared" si="18"/>
        <v>0.97499999999999987</v>
      </c>
      <c r="W235" s="267">
        <f t="shared" si="19"/>
        <v>1.8370970069612498</v>
      </c>
      <c r="X235" s="271">
        <f>IFERROR(INDEX(Rainfall_Dry!$O$2:$O$217,MATCH(B235, Rainfall_Dry!$A$2:$A$217,0)),"")</f>
        <v>6.900000125</v>
      </c>
      <c r="Y235" s="260">
        <v>21.13063730679653</v>
      </c>
      <c r="Z235" s="260">
        <v>3.0912555579081076</v>
      </c>
      <c r="AA235" s="260">
        <v>75.778107135295357</v>
      </c>
      <c r="AB235" s="261" t="s">
        <v>2670</v>
      </c>
      <c r="AC235" s="260">
        <v>5.4613109906357797</v>
      </c>
      <c r="AD235">
        <f>IF('WetLitterbags placem_collection'!AB16="","",'WetLitterbags placem_collection'!AB16)</f>
        <v>28.4</v>
      </c>
      <c r="AE235">
        <f>IF('WetLitterbags placem_collection'!Z16="","",'WetLitterbags placem_collection'!Z16)</f>
        <v>42.4</v>
      </c>
      <c r="AF235" s="246" t="str">
        <f>IF('WetLitterbags placem_collection'!AA16="","",'WetLitterbags placem_collection'!AA16)</f>
        <v>M</v>
      </c>
      <c r="AG235">
        <f>IF('WetLitterbags placem_collection'!AC16="","",'WetLitterbags placem_collection'!AC16)</f>
        <v>0</v>
      </c>
      <c r="AH235">
        <f>IFERROR(AVERAGE('Dry_Litterbag Placem_Collection'!O16,'Dry_Litterbag Placem_Collection'!R16),"")</f>
        <v>3.4</v>
      </c>
      <c r="AI235" s="271">
        <f>IFERROR(AVERAGE('Dry_Litterbag Placem_Collection'!N16,'Dry_Litterbag Placem_Collection'!Q16),"")</f>
        <v>25.55</v>
      </c>
      <c r="AJ235" s="270">
        <f>INDEX(Coordinates!$B$2:$B$197,MATCH(G235,Coordinates!$J$2:$J$197,0))</f>
        <v>-3.397854986</v>
      </c>
      <c r="AK235" s="270">
        <f>INDEX(Coordinates!$C$2:$C$197,MATCH(G235,Coordinates!$J$2:$J$197,0))</f>
        <v>34.836874010000002</v>
      </c>
      <c r="AL235" s="270" t="str">
        <f>IF(ISNUMBER(SEARCH("C", 'Dry_Litterbag Placem_Collection'!T16)),"YES","NO")</f>
        <v>YES</v>
      </c>
      <c r="AM235" s="270" t="str">
        <f>IF(ISNUMBER(SEARCH("H", 'Dry_Litterbag Placem_Collection'!T16)),"YES","NO")</f>
        <v>YES</v>
      </c>
      <c r="AN235" s="270" t="str">
        <f>IF(ISNUMBER(SEARCH("R", 'Dry_Litterbag Placem_Collection'!T16)),"YES","NO")</f>
        <v>NO</v>
      </c>
    </row>
    <row r="236" spans="1:40" ht="15" customHeight="1">
      <c r="A236" s="262" t="s">
        <v>2659</v>
      </c>
      <c r="B236" s="263">
        <f>'Dry_Litterbag Placem_Collection'!A17</f>
        <v>15</v>
      </c>
      <c r="C236" s="263" t="str">
        <f>'Dry_Litterbag Placem_Collection'!B17</f>
        <v>Makao</v>
      </c>
      <c r="D236" s="263" t="s">
        <v>2659</v>
      </c>
      <c r="E236" s="263" t="s">
        <v>2660</v>
      </c>
      <c r="F236" s="263">
        <v>2</v>
      </c>
      <c r="G236" s="264" t="str">
        <f>'Dry_Litterbag Placem_Collection'!C17</f>
        <v>Dry_Ag2_T7</v>
      </c>
      <c r="H236" s="265" t="s">
        <v>2541</v>
      </c>
      <c r="I236" s="272" t="s">
        <v>298</v>
      </c>
      <c r="J236" s="263" t="str">
        <f>IF(ISBLANK('Dry_Litterbag Placem_Collection'!K17),"","R"&amp;""&amp;'Dry_Litterbag Placem_Collection'!K17)</f>
        <v>R793</v>
      </c>
      <c r="K236" s="267">
        <f>IFERROR(INDEX('Green_rooibos initial weight'!$C$5:$C$1749,MATCH(J236, 'Green_rooibos initial weight'!$A$5:$A$1749,0)),"")</f>
        <v>2.2050000000000001</v>
      </c>
      <c r="L236" s="267">
        <f>IFERROR(K236-(TBIcalc!$Q$9+TBIcalc!$Q$10),"")</f>
        <v>1.9552</v>
      </c>
      <c r="M236" s="391">
        <f>AVERAGE(Ashed_controlls!$K$12:$K$14)</f>
        <v>2.2816647271287041</v>
      </c>
      <c r="N236" s="267">
        <f t="shared" si="16"/>
        <v>1.9105888912551796</v>
      </c>
      <c r="O236" s="267">
        <f>IF(IFERROR(INDEX('Both teabags AfterDry'!$D$3:$D$900,MATCH(J236,'Both teabags AfterDry'!$A$3:$A$900,0)),"")="","",(IFERROR(INDEX('Both teabags AfterDry'!$D$3:$D$900,MATCH(J236,'Both teabags AfterDry'!$A$3:$A$900,0)),"")))</f>
        <v>0.24560000000000001</v>
      </c>
      <c r="P236" s="267">
        <f>IFERROR(IF(O236&gt;0,O236-(TBIcalc!$Q$9),""),"")</f>
        <v>9.5000000000000001E-2</v>
      </c>
      <c r="Q236" s="278">
        <f>IFERROR(INDEX('Ashed teabags dry'!$K$2:$K$825,MATCH(J236,'Ashed teabags dry'!$A$2:$A$825,0)),"")</f>
        <v>0</v>
      </c>
      <c r="R236" s="278">
        <f t="shared" si="17"/>
        <v>9.5000000000000001E-2</v>
      </c>
      <c r="S236" s="268">
        <f>'Dry_Litterbag Placem_Collection'!E17</f>
        <v>42938</v>
      </c>
      <c r="T236" s="268">
        <f>IF('Dry_Litterbag Placem_Collection'!G17="","",'Dry_Litterbag Placem_Collection'!G17)</f>
        <v>43007</v>
      </c>
      <c r="U236" s="269">
        <f t="shared" si="15"/>
        <v>69</v>
      </c>
      <c r="V236" s="267">
        <f t="shared" si="18"/>
        <v>1.8602000000000001</v>
      </c>
      <c r="W236" s="267">
        <f t="shared" si="19"/>
        <v>1.8155888912551796</v>
      </c>
      <c r="X236" s="271">
        <f>IFERROR(INDEX(Rainfall_Dry!$O$2:$O$217,MATCH(B236, Rainfall_Dry!$A$2:$A$217,0)),"")</f>
        <v>6.900000125</v>
      </c>
      <c r="Y236" s="260">
        <v>21.13063730679653</v>
      </c>
      <c r="Z236" s="260">
        <v>3.0912555579081076</v>
      </c>
      <c r="AA236" s="260">
        <v>75.778107135295357</v>
      </c>
      <c r="AB236" s="261" t="s">
        <v>2670</v>
      </c>
      <c r="AC236" s="260">
        <v>6.4613109906357797</v>
      </c>
      <c r="AD236">
        <f>IF('WetLitterbags placem_collection'!AB17="","",'WetLitterbags placem_collection'!AB17)</f>
        <v>15.8</v>
      </c>
      <c r="AE236">
        <f>IF('WetLitterbags placem_collection'!Z17="","",'WetLitterbags placem_collection'!Z17)</f>
        <v>30.4</v>
      </c>
      <c r="AF236" s="246" t="str">
        <f>IF('WetLitterbags placem_collection'!AA17="","",'WetLitterbags placem_collection'!AA17)</f>
        <v>M</v>
      </c>
      <c r="AG236">
        <f>IF('WetLitterbags placem_collection'!AC17="","",'WetLitterbags placem_collection'!AC17)</f>
        <v>0</v>
      </c>
      <c r="AH236">
        <f>IFERROR(AVERAGE('Dry_Litterbag Placem_Collection'!O17,'Dry_Litterbag Placem_Collection'!R17),"")</f>
        <v>3.0999999999999996</v>
      </c>
      <c r="AI236" s="271">
        <f>IFERROR(AVERAGE('Dry_Litterbag Placem_Collection'!N17,'Dry_Litterbag Placem_Collection'!Q17),"")</f>
        <v>28</v>
      </c>
      <c r="AJ236" s="270">
        <f>INDEX(Coordinates!$B$2:$B$197,MATCH(G236,Coordinates!$J$2:$J$197,0))</f>
        <v>-3.3978060349999999</v>
      </c>
      <c r="AK236" s="270">
        <f>INDEX(Coordinates!$C$2:$C$197,MATCH(G236,Coordinates!$J$2:$J$197,0))</f>
        <v>34.837023960000003</v>
      </c>
      <c r="AL236" s="270" t="str">
        <f>IF(ISNUMBER(SEARCH("C", 'Dry_Litterbag Placem_Collection'!T17)),"YES","NO")</f>
        <v>YES</v>
      </c>
      <c r="AM236" s="270" t="str">
        <f>IF(ISNUMBER(SEARCH("H", 'Dry_Litterbag Placem_Collection'!T17)),"YES","NO")</f>
        <v>YES</v>
      </c>
      <c r="AN236" s="270" t="str">
        <f>IF(ISNUMBER(SEARCH("R", 'Dry_Litterbag Placem_Collection'!T17)),"YES","NO")</f>
        <v>NO</v>
      </c>
    </row>
    <row r="237" spans="1:40" ht="15" customHeight="1">
      <c r="A237" s="262" t="s">
        <v>2659</v>
      </c>
      <c r="B237" s="263">
        <f>'Dry_Litterbag Placem_Collection'!A18</f>
        <v>16</v>
      </c>
      <c r="C237" s="263" t="str">
        <f>'Dry_Litterbag Placem_Collection'!B18</f>
        <v>Makao</v>
      </c>
      <c r="D237" s="263" t="s">
        <v>2659</v>
      </c>
      <c r="E237" s="263" t="s">
        <v>2660</v>
      </c>
      <c r="F237" s="263">
        <v>2</v>
      </c>
      <c r="G237" s="264" t="str">
        <f>'Dry_Litterbag Placem_Collection'!C18</f>
        <v>Dry_Ag2_T8</v>
      </c>
      <c r="H237" s="265" t="s">
        <v>2541</v>
      </c>
      <c r="I237" s="272" t="s">
        <v>298</v>
      </c>
      <c r="J237" s="263" t="str">
        <f>IF(ISBLANK('Dry_Litterbag Placem_Collection'!K18),"","R"&amp;""&amp;'Dry_Litterbag Placem_Collection'!K18)</f>
        <v>R755</v>
      </c>
      <c r="K237" s="267">
        <f>IFERROR(INDEX('Green_rooibos initial weight'!$C$5:$C$1749,MATCH(J237, 'Green_rooibos initial weight'!$A$5:$A$1749,0)),"")</f>
        <v>2.2120000000000002</v>
      </c>
      <c r="L237" s="267">
        <f>IFERROR(K237-(TBIcalc!$Q$9+TBIcalc!$Q$10),"")</f>
        <v>1.9622000000000002</v>
      </c>
      <c r="M237" s="391">
        <f>AVERAGE(Ashed_controlls!$K$12:$K$14)</f>
        <v>2.2816647271287041</v>
      </c>
      <c r="N237" s="267">
        <f t="shared" si="16"/>
        <v>1.9174291747242806</v>
      </c>
      <c r="O237" s="267" t="str">
        <f>IF(IFERROR(INDEX('Both teabags AfterDry'!$D$3:$D$900,MATCH(J237,'Both teabags AfterDry'!$A$3:$A$900,0)),"")="","",(IFERROR(INDEX('Both teabags AfterDry'!$D$3:$D$900,MATCH(J237,'Both teabags AfterDry'!$A$3:$A$900,0)),"")))</f>
        <v/>
      </c>
      <c r="P237" s="267" t="str">
        <f>IFERROR(IF(O237&gt;0,O237-(TBIcalc!$Q$9),""),"")</f>
        <v/>
      </c>
      <c r="Q237" s="278" t="str">
        <f>IFERROR(INDEX('Ashed teabags dry'!$K$2:$K$825,MATCH(J237,'Ashed teabags dry'!$A$2:$A$825,0)),"")</f>
        <v/>
      </c>
      <c r="R237" s="278" t="str">
        <f t="shared" si="17"/>
        <v/>
      </c>
      <c r="S237" s="268">
        <f>'Dry_Litterbag Placem_Collection'!E18</f>
        <v>42938</v>
      </c>
      <c r="T237" s="268">
        <f>IF('Dry_Litterbag Placem_Collection'!G18="","",'Dry_Litterbag Placem_Collection'!G18)</f>
        <v>43007</v>
      </c>
      <c r="U237" s="269">
        <f t="shared" si="15"/>
        <v>69</v>
      </c>
      <c r="V237" s="267" t="str">
        <f t="shared" si="18"/>
        <v/>
      </c>
      <c r="W237" s="267" t="str">
        <f t="shared" si="19"/>
        <v/>
      </c>
      <c r="X237" s="271">
        <f>IFERROR(INDEX(Rainfall_Dry!$O$2:$O$217,MATCH(B237, Rainfall_Dry!$A$2:$A$217,0)),"")</f>
        <v>6.900000125</v>
      </c>
      <c r="Y237" s="260">
        <v>21.13063730679653</v>
      </c>
      <c r="Z237" s="260">
        <v>3.0912555579081076</v>
      </c>
      <c r="AA237" s="260">
        <v>75.778107135295357</v>
      </c>
      <c r="AB237" s="261" t="s">
        <v>2670</v>
      </c>
      <c r="AC237" s="260">
        <v>7.4613109906357797</v>
      </c>
      <c r="AD237">
        <f>IF('WetLitterbags placem_collection'!AB18="","",'WetLitterbags placem_collection'!AB18)</f>
        <v>8</v>
      </c>
      <c r="AE237">
        <f>IF('WetLitterbags placem_collection'!Z18="","",'WetLitterbags placem_collection'!Z18)</f>
        <v>12.4</v>
      </c>
      <c r="AF237" s="246" t="str">
        <f>IF('WetLitterbags placem_collection'!AA18="","",'WetLitterbags placem_collection'!AA18)</f>
        <v>M</v>
      </c>
      <c r="AG237">
        <f>IF('WetLitterbags placem_collection'!AC18="","",'WetLitterbags placem_collection'!AC18)</f>
        <v>0</v>
      </c>
      <c r="AH237">
        <f>IFERROR(AVERAGE('Dry_Litterbag Placem_Collection'!O18,'Dry_Litterbag Placem_Collection'!R18),"")</f>
        <v>9.1999999999999993</v>
      </c>
      <c r="AI237" s="271">
        <f>IFERROR(AVERAGE('Dry_Litterbag Placem_Collection'!N18,'Dry_Litterbag Placem_Collection'!Q18),"")</f>
        <v>27.049999999999997</v>
      </c>
      <c r="AJ237" s="270">
        <f>INDEX(Coordinates!$B$2:$B$197,MATCH(G237,Coordinates!$J$2:$J$197,0))</f>
        <v>-3.3977669760000002</v>
      </c>
      <c r="AK237" s="270">
        <f>INDEX(Coordinates!$C$2:$C$197,MATCH(G237,Coordinates!$J$2:$J$197,0))</f>
        <v>34.837181039999997</v>
      </c>
      <c r="AL237" s="270" t="str">
        <f>IF(ISNUMBER(SEARCH("C", 'Dry_Litterbag Placem_Collection'!T18)),"YES","NO")</f>
        <v>YES</v>
      </c>
      <c r="AM237" s="270" t="str">
        <f>IF(ISNUMBER(SEARCH("H", 'Dry_Litterbag Placem_Collection'!T18)),"YES","NO")</f>
        <v>YES</v>
      </c>
      <c r="AN237" s="270" t="str">
        <f>IF(ISNUMBER(SEARCH("R", 'Dry_Litterbag Placem_Collection'!T18)),"YES","NO")</f>
        <v>NO</v>
      </c>
    </row>
    <row r="238" spans="1:40" ht="15" customHeight="1">
      <c r="A238" s="262" t="s">
        <v>2659</v>
      </c>
      <c r="B238" s="263">
        <f>'Dry_Litterbag Placem_Collection'!A19</f>
        <v>17</v>
      </c>
      <c r="C238" s="263" t="str">
        <f>'Dry_Litterbag Placem_Collection'!B19</f>
        <v>Makao</v>
      </c>
      <c r="D238" s="263" t="s">
        <v>2659</v>
      </c>
      <c r="E238" s="263" t="s">
        <v>2660</v>
      </c>
      <c r="F238" s="263">
        <v>3</v>
      </c>
      <c r="G238" s="264" t="str">
        <f>'Dry_Litterbag Placem_Collection'!C19</f>
        <v>Dry_Ag3_T1</v>
      </c>
      <c r="H238" s="265" t="s">
        <v>2541</v>
      </c>
      <c r="I238" s="272" t="s">
        <v>298</v>
      </c>
      <c r="J238" s="263" t="str">
        <f>IF(ISBLANK('Dry_Litterbag Placem_Collection'!K19),"","R"&amp;""&amp;'Dry_Litterbag Placem_Collection'!K19)</f>
        <v>R826</v>
      </c>
      <c r="K238" s="267">
        <f>IFERROR(INDEX('Green_rooibos initial weight'!$C$5:$C$1749,MATCH(J238, 'Green_rooibos initial weight'!$A$5:$A$1749,0)),"")</f>
        <v>2.1659999999999999</v>
      </c>
      <c r="L238" s="267">
        <f>IFERROR(K238-(TBIcalc!$Q$9+TBIcalc!$Q$10),"")</f>
        <v>1.9161999999999999</v>
      </c>
      <c r="M238" s="391">
        <f>AVERAGE(Ashed_controlls!$K$12:$K$14)</f>
        <v>2.2816647271287041</v>
      </c>
      <c r="N238" s="267">
        <f t="shared" si="16"/>
        <v>1.8724787404987597</v>
      </c>
      <c r="O238" s="267">
        <f>IF(IFERROR(INDEX('Both teabags AfterDry'!$D$3:$D$900,MATCH(J238,'Both teabags AfterDry'!$A$3:$A$900,0)),"")="","",(IFERROR(INDEX('Both teabags AfterDry'!$D$3:$D$900,MATCH(J238,'Both teabags AfterDry'!$A$3:$A$900,0)),"")))</f>
        <v>1.9086000000000001</v>
      </c>
      <c r="P238" s="267">
        <f>IFERROR(IF(O238&gt;0,O238-(TBIcalc!$Q$9),""),"")</f>
        <v>1.758</v>
      </c>
      <c r="Q238" s="278">
        <f>IFERROR(INDEX('Ashed teabags dry'!$K$2:$K$825,MATCH(J238,'Ashed teabags dry'!$A$2:$A$825,0)),"")</f>
        <v>3.214971209212738</v>
      </c>
      <c r="R238" s="278">
        <f t="shared" si="17"/>
        <v>1.7014808061420401</v>
      </c>
      <c r="S238" s="268">
        <f>'Dry_Litterbag Placem_Collection'!E19</f>
        <v>42936</v>
      </c>
      <c r="T238" s="268">
        <f>IF('Dry_Litterbag Placem_Collection'!G19="","",'Dry_Litterbag Placem_Collection'!G19)</f>
        <v>43007</v>
      </c>
      <c r="U238" s="269">
        <f t="shared" si="15"/>
        <v>71</v>
      </c>
      <c r="V238" s="267">
        <f t="shared" si="18"/>
        <v>0.1581999999999999</v>
      </c>
      <c r="W238" s="267">
        <f t="shared" si="19"/>
        <v>0.17099793435671962</v>
      </c>
      <c r="X238" s="271">
        <f>IFERROR(INDEX(Rainfall_Dry!$O$2:$O$217,MATCH(B238, Rainfall_Dry!$A$2:$A$217,0)),"")</f>
        <v>6.900000125</v>
      </c>
      <c r="Y238" s="260">
        <v>54.080969906906262</v>
      </c>
      <c r="Z238" s="260">
        <v>21.264484651351896</v>
      </c>
      <c r="AA238" s="260">
        <v>24.654545441741845</v>
      </c>
      <c r="AB238" s="261" t="s">
        <v>2673</v>
      </c>
      <c r="AC238" s="260">
        <v>1.8433218334154755</v>
      </c>
      <c r="AD238" t="str">
        <f>IF('WetLitterbags placem_collection'!AB19="","",'WetLitterbags placem_collection'!AB19)</f>
        <v/>
      </c>
      <c r="AE238" t="str">
        <f>IF('WetLitterbags placem_collection'!Z19="","",'WetLitterbags placem_collection'!Z19)</f>
        <v/>
      </c>
      <c r="AF238" s="246" t="str">
        <f>IF('WetLitterbags placem_collection'!AA19="","",'WetLitterbags placem_collection'!AA19)</f>
        <v/>
      </c>
      <c r="AG238" t="str">
        <f>IF('WetLitterbags placem_collection'!AC19="","",'WetLitterbags placem_collection'!AC19)</f>
        <v/>
      </c>
      <c r="AH238">
        <f>IFERROR(AVERAGE('Dry_Litterbag Placem_Collection'!O19,'Dry_Litterbag Placem_Collection'!R19),"")</f>
        <v>12.9</v>
      </c>
      <c r="AI238" s="271">
        <f>IFERROR(AVERAGE('Dry_Litterbag Placem_Collection'!N19,'Dry_Litterbag Placem_Collection'!Q19),"")</f>
        <v>26.2</v>
      </c>
      <c r="AJ238" s="270">
        <f>INDEX(Coordinates!$B$2:$B$197,MATCH(G238,Coordinates!$J$2:$J$197,0))</f>
        <v>-3.3854090330000002</v>
      </c>
      <c r="AK238" s="270">
        <f>INDEX(Coordinates!$C$2:$C$197,MATCH(G238,Coordinates!$J$2:$J$197,0))</f>
        <v>34.818901029999999</v>
      </c>
      <c r="AL238" s="270" t="str">
        <f>IF(ISNUMBER(SEARCH("C", 'Dry_Litterbag Placem_Collection'!T19)),"YES","NO")</f>
        <v>NO</v>
      </c>
      <c r="AM238" s="270" t="str">
        <f>IF(ISNUMBER(SEARCH("H", 'Dry_Litterbag Placem_Collection'!T19)),"YES","NO")</f>
        <v>NO</v>
      </c>
      <c r="AN238" s="270" t="str">
        <f>IF(ISNUMBER(SEARCH("R", 'Dry_Litterbag Placem_Collection'!T19)),"YES","NO")</f>
        <v>NO</v>
      </c>
    </row>
    <row r="239" spans="1:40" ht="15" customHeight="1">
      <c r="A239" s="262" t="s">
        <v>2659</v>
      </c>
      <c r="B239" s="263">
        <f>'Dry_Litterbag Placem_Collection'!A20</f>
        <v>18</v>
      </c>
      <c r="C239" s="263" t="str">
        <f>'Dry_Litterbag Placem_Collection'!B20</f>
        <v>Makao</v>
      </c>
      <c r="D239" s="263" t="s">
        <v>2659</v>
      </c>
      <c r="E239" s="263" t="s">
        <v>2660</v>
      </c>
      <c r="F239" s="263">
        <v>3</v>
      </c>
      <c r="G239" s="264" t="str">
        <f>'Dry_Litterbag Placem_Collection'!C20</f>
        <v>Dry_Ag3_T2</v>
      </c>
      <c r="H239" s="265" t="s">
        <v>2541</v>
      </c>
      <c r="I239" s="272" t="s">
        <v>298</v>
      </c>
      <c r="J239" s="263" t="str">
        <f>IF(ISBLANK('Dry_Litterbag Placem_Collection'!K20),"","R"&amp;""&amp;'Dry_Litterbag Placem_Collection'!K20)</f>
        <v>R732</v>
      </c>
      <c r="K239" s="267">
        <f>IFERROR(INDEX('Green_rooibos initial weight'!$C$5:$C$1749,MATCH(J239, 'Green_rooibos initial weight'!$A$5:$A$1749,0)),"")</f>
        <v>2.2189999999999999</v>
      </c>
      <c r="L239" s="267">
        <f>IFERROR(K239-(TBIcalc!$Q$9+TBIcalc!$Q$10),"")</f>
        <v>1.9691999999999998</v>
      </c>
      <c r="M239" s="391">
        <f>AVERAGE(Ashed_controlls!$K$12:$K$14)</f>
        <v>2.2816647271287041</v>
      </c>
      <c r="N239" s="267">
        <f t="shared" si="16"/>
        <v>1.9242694581933815</v>
      </c>
      <c r="O239" s="267">
        <f>IF(IFERROR(INDEX('Both teabags AfterDry'!$D$3:$D$900,MATCH(J239,'Both teabags AfterDry'!$A$3:$A$900,0)),"")="","",(IFERROR(INDEX('Both teabags AfterDry'!$D$3:$D$900,MATCH(J239,'Both teabags AfterDry'!$A$3:$A$900,0)),"")))</f>
        <v>1.9874000000000001</v>
      </c>
      <c r="P239" s="267">
        <f>IFERROR(IF(O239&gt;0,O239-(TBIcalc!$Q$9),""),"")</f>
        <v>1.8368</v>
      </c>
      <c r="Q239" s="278">
        <f>IFERROR(INDEX('Ashed teabags dry'!$K$2:$K$825,MATCH(J239,'Ashed teabags dry'!$A$2:$A$825,0)),"")</f>
        <v>2.4777006937559349</v>
      </c>
      <c r="R239" s="278">
        <f t="shared" si="17"/>
        <v>1.791289593657091</v>
      </c>
      <c r="S239" s="268">
        <f>'Dry_Litterbag Placem_Collection'!E20</f>
        <v>42936</v>
      </c>
      <c r="T239" s="268">
        <f>IF('Dry_Litterbag Placem_Collection'!G20="","",'Dry_Litterbag Placem_Collection'!G20)</f>
        <v>43007</v>
      </c>
      <c r="U239" s="269">
        <f t="shared" si="15"/>
        <v>71</v>
      </c>
      <c r="V239" s="267">
        <f t="shared" si="18"/>
        <v>0.13239999999999985</v>
      </c>
      <c r="W239" s="267">
        <f t="shared" si="19"/>
        <v>0.13297986453629052</v>
      </c>
      <c r="X239" s="271">
        <f>IFERROR(INDEX(Rainfall_Dry!$O$2:$O$217,MATCH(B239, Rainfall_Dry!$A$2:$A$217,0)),"")</f>
        <v>6.900000125</v>
      </c>
      <c r="Y239" s="260">
        <v>54.080969906906262</v>
      </c>
      <c r="Z239" s="260">
        <v>21.264484651351896</v>
      </c>
      <c r="AA239" s="260">
        <v>24.654545441741845</v>
      </c>
      <c r="AB239" s="261" t="s">
        <v>2673</v>
      </c>
      <c r="AC239" s="260">
        <v>2.8433218334154802</v>
      </c>
      <c r="AD239" t="str">
        <f>IF('WetLitterbags placem_collection'!AB20="","",'WetLitterbags placem_collection'!AB20)</f>
        <v/>
      </c>
      <c r="AE239" t="str">
        <f>IF('WetLitterbags placem_collection'!Z20="","",'WetLitterbags placem_collection'!Z20)</f>
        <v/>
      </c>
      <c r="AF239" s="246" t="str">
        <f>IF('WetLitterbags placem_collection'!AA20="","",'WetLitterbags placem_collection'!AA20)</f>
        <v/>
      </c>
      <c r="AG239" t="str">
        <f>IF('WetLitterbags placem_collection'!AC20="","",'WetLitterbags placem_collection'!AC20)</f>
        <v/>
      </c>
      <c r="AH239">
        <f>IFERROR(AVERAGE('Dry_Litterbag Placem_Collection'!O20,'Dry_Litterbag Placem_Collection'!R20),"")</f>
        <v>11.15</v>
      </c>
      <c r="AI239" s="271">
        <f>IFERROR(AVERAGE('Dry_Litterbag Placem_Collection'!N20,'Dry_Litterbag Placem_Collection'!Q20),"")</f>
        <v>26.1</v>
      </c>
      <c r="AJ239" s="270">
        <f>INDEX(Coordinates!$B$2:$B$197,MATCH(G239,Coordinates!$J$2:$J$197,0))</f>
        <v>-3.385375002</v>
      </c>
      <c r="AK239" s="270">
        <f>INDEX(Coordinates!$C$2:$C$197,MATCH(G239,Coordinates!$J$2:$J$197,0))</f>
        <v>34.818939999999998</v>
      </c>
      <c r="AL239" s="270" t="str">
        <f>IF(ISNUMBER(SEARCH("C", 'Dry_Litterbag Placem_Collection'!T20)),"YES","NO")</f>
        <v>NO</v>
      </c>
      <c r="AM239" s="270" t="str">
        <f>IF(ISNUMBER(SEARCH("H", 'Dry_Litterbag Placem_Collection'!T20)),"YES","NO")</f>
        <v>YES</v>
      </c>
      <c r="AN239" s="270" t="str">
        <f>IF(ISNUMBER(SEARCH("R", 'Dry_Litterbag Placem_Collection'!T20)),"YES","NO")</f>
        <v>NO</v>
      </c>
    </row>
    <row r="240" spans="1:40" ht="15" customHeight="1">
      <c r="A240" s="262" t="s">
        <v>2659</v>
      </c>
      <c r="B240" s="263">
        <f>'Dry_Litterbag Placem_Collection'!A21</f>
        <v>19</v>
      </c>
      <c r="C240" s="263" t="str">
        <f>'Dry_Litterbag Placem_Collection'!B21</f>
        <v>Makao</v>
      </c>
      <c r="D240" s="263" t="s">
        <v>2659</v>
      </c>
      <c r="E240" s="263" t="s">
        <v>2660</v>
      </c>
      <c r="F240" s="263">
        <v>3</v>
      </c>
      <c r="G240" s="264" t="str">
        <f>'Dry_Litterbag Placem_Collection'!C21</f>
        <v>Dry_Ag3_T3</v>
      </c>
      <c r="H240" s="265" t="s">
        <v>2541</v>
      </c>
      <c r="I240" s="272" t="s">
        <v>298</v>
      </c>
      <c r="J240" s="263" t="str">
        <f>IF(ISBLANK('Dry_Litterbag Placem_Collection'!K21),"","R"&amp;""&amp;'Dry_Litterbag Placem_Collection'!K21)</f>
        <v>R749</v>
      </c>
      <c r="K240" s="267">
        <f>IFERROR(INDEX('Green_rooibos initial weight'!$C$5:$C$1749,MATCH(J240, 'Green_rooibos initial weight'!$A$5:$A$1749,0)),"")</f>
        <v>2.2050000000000001</v>
      </c>
      <c r="L240" s="267">
        <f>IFERROR(K240-(TBIcalc!$Q$9+TBIcalc!$Q$10),"")</f>
        <v>1.9552</v>
      </c>
      <c r="M240" s="391">
        <f>AVERAGE(Ashed_controlls!$K$12:$K$14)</f>
        <v>2.2816647271287041</v>
      </c>
      <c r="N240" s="267">
        <f t="shared" si="16"/>
        <v>1.9105888912551796</v>
      </c>
      <c r="O240" s="267">
        <f>IF(IFERROR(INDEX('Both teabags AfterDry'!$D$3:$D$900,MATCH(J240,'Both teabags AfterDry'!$A$3:$A$900,0)),"")="","",(IFERROR(INDEX('Both teabags AfterDry'!$D$3:$D$900,MATCH(J240,'Both teabags AfterDry'!$A$3:$A$900,0)),"")))</f>
        <v>1.9492</v>
      </c>
      <c r="P240" s="267">
        <f>IFERROR(IF(O240&gt;0,O240-(TBIcalc!$Q$9),""),"")</f>
        <v>1.7986</v>
      </c>
      <c r="Q240" s="278">
        <f>IFERROR(INDEX('Ashed teabags dry'!$K$2:$K$825,MATCH(J240,'Ashed teabags dry'!$A$2:$A$825,0)),"")</f>
        <v>3.2445520581110632</v>
      </c>
      <c r="R240" s="278">
        <f t="shared" si="17"/>
        <v>1.7402434866828145</v>
      </c>
      <c r="S240" s="268">
        <f>'Dry_Litterbag Placem_Collection'!E21</f>
        <v>42936</v>
      </c>
      <c r="T240" s="268">
        <f>IF('Dry_Litterbag Placem_Collection'!G21="","",'Dry_Litterbag Placem_Collection'!G21)</f>
        <v>43007</v>
      </c>
      <c r="U240" s="269">
        <f t="shared" si="15"/>
        <v>71</v>
      </c>
      <c r="V240" s="267">
        <f t="shared" si="18"/>
        <v>0.15660000000000007</v>
      </c>
      <c r="W240" s="267">
        <f t="shared" si="19"/>
        <v>0.17034540457236513</v>
      </c>
      <c r="X240" s="271">
        <f>IFERROR(INDEX(Rainfall_Dry!$O$2:$O$217,MATCH(B240, Rainfall_Dry!$A$2:$A$217,0)),"")</f>
        <v>6.900000125</v>
      </c>
      <c r="Y240" s="260">
        <v>54.080969906906262</v>
      </c>
      <c r="Z240" s="260">
        <v>21.264484651351896</v>
      </c>
      <c r="AA240" s="260">
        <v>24.654545441741845</v>
      </c>
      <c r="AB240" s="261" t="s">
        <v>2673</v>
      </c>
      <c r="AC240" s="260">
        <v>3.8433218334154802</v>
      </c>
      <c r="AD240" t="str">
        <f>IF('WetLitterbags placem_collection'!AB21="","",'WetLitterbags placem_collection'!AB21)</f>
        <v/>
      </c>
      <c r="AE240" t="str">
        <f>IF('WetLitterbags placem_collection'!Z21="","",'WetLitterbags placem_collection'!Z21)</f>
        <v/>
      </c>
      <c r="AF240" s="246" t="str">
        <f>IF('WetLitterbags placem_collection'!AA21="","",'WetLitterbags placem_collection'!AA21)</f>
        <v/>
      </c>
      <c r="AG240" t="str">
        <f>IF('WetLitterbags placem_collection'!AC21="","",'WetLitterbags placem_collection'!AC21)</f>
        <v/>
      </c>
      <c r="AH240">
        <f>IFERROR(AVERAGE('Dry_Litterbag Placem_Collection'!O21,'Dry_Litterbag Placem_Collection'!R21),"")</f>
        <v>15.75</v>
      </c>
      <c r="AI240" s="271">
        <f>IFERROR(AVERAGE('Dry_Litterbag Placem_Collection'!N21,'Dry_Litterbag Placem_Collection'!Q21),"")</f>
        <v>25.700000000000003</v>
      </c>
      <c r="AJ240" s="270">
        <f>INDEX(Coordinates!$B$2:$B$197,MATCH(G240,Coordinates!$J$2:$J$197,0))</f>
        <v>-3.3853589930000001</v>
      </c>
      <c r="AK240" s="270">
        <f>INDEX(Coordinates!$C$2:$C$197,MATCH(G240,Coordinates!$J$2:$J$197,0))</f>
        <v>34.818991969999999</v>
      </c>
      <c r="AL240" s="270" t="str">
        <f>IF(ISNUMBER(SEARCH("C", 'Dry_Litterbag Placem_Collection'!T21)),"YES","NO")</f>
        <v>NO</v>
      </c>
      <c r="AM240" s="270" t="str">
        <f>IF(ISNUMBER(SEARCH("H", 'Dry_Litterbag Placem_Collection'!T21)),"YES","NO")</f>
        <v>NO</v>
      </c>
      <c r="AN240" s="270" t="str">
        <f>IF(ISNUMBER(SEARCH("R", 'Dry_Litterbag Placem_Collection'!T21)),"YES","NO")</f>
        <v>NO</v>
      </c>
    </row>
    <row r="241" spans="1:40" ht="15" customHeight="1">
      <c r="A241" s="262" t="s">
        <v>2659</v>
      </c>
      <c r="B241" s="263">
        <f>'Dry_Litterbag Placem_Collection'!A22</f>
        <v>20</v>
      </c>
      <c r="C241" s="263" t="str">
        <f>'Dry_Litterbag Placem_Collection'!B22</f>
        <v>Makao</v>
      </c>
      <c r="D241" s="263" t="s">
        <v>2659</v>
      </c>
      <c r="E241" s="263" t="s">
        <v>2660</v>
      </c>
      <c r="F241" s="263">
        <v>3</v>
      </c>
      <c r="G241" s="264" t="str">
        <f>'Dry_Litterbag Placem_Collection'!C22</f>
        <v>Dry_Ag3_T4</v>
      </c>
      <c r="H241" s="265" t="s">
        <v>2541</v>
      </c>
      <c r="I241" s="272" t="s">
        <v>298</v>
      </c>
      <c r="J241" s="263" t="str">
        <f>IF(ISBLANK('Dry_Litterbag Placem_Collection'!K22),"","R"&amp;""&amp;'Dry_Litterbag Placem_Collection'!K22)</f>
        <v>R632</v>
      </c>
      <c r="K241" s="267">
        <f>IFERROR(INDEX('Green_rooibos initial weight'!$C$5:$C$1749,MATCH(J241, 'Green_rooibos initial weight'!$A$5:$A$1749,0)),"")</f>
        <v>2.1269999999999998</v>
      </c>
      <c r="L241" s="267">
        <f>IFERROR(K241-(TBIcalc!$Q$9+TBIcalc!$Q$10),"")</f>
        <v>1.8771999999999998</v>
      </c>
      <c r="M241" s="391">
        <f>AVERAGE(Ashed_controlls!$K$12:$K$14)</f>
        <v>2.2816647271287041</v>
      </c>
      <c r="N241" s="267">
        <f t="shared" si="16"/>
        <v>1.8343685897423396</v>
      </c>
      <c r="O241" s="267">
        <f>IF(IFERROR(INDEX('Both teabags AfterDry'!$D$3:$D$900,MATCH(J241,'Both teabags AfterDry'!$A$3:$A$900,0)),"")="","",(IFERROR(INDEX('Both teabags AfterDry'!$D$3:$D$900,MATCH(J241,'Both teabags AfterDry'!$A$3:$A$900,0)),"")))</f>
        <v>1.9161999999999999</v>
      </c>
      <c r="P241" s="267">
        <f>IFERROR(IF(O241&gt;0,O241-(TBIcalc!$Q$9),""),"")</f>
        <v>1.7655999999999998</v>
      </c>
      <c r="Q241" s="278">
        <f>IFERROR(INDEX('Ashed teabags dry'!$K$2:$K$825,MATCH(J241,'Ashed teabags dry'!$A$2:$A$825,0)),"")</f>
        <v>3.0104712041882107</v>
      </c>
      <c r="R241" s="278">
        <f t="shared" si="17"/>
        <v>1.7124471204188527</v>
      </c>
      <c r="S241" s="268">
        <f>'Dry_Litterbag Placem_Collection'!E22</f>
        <v>42936</v>
      </c>
      <c r="T241" s="268">
        <f>IF('Dry_Litterbag Placem_Collection'!G22="","",'Dry_Litterbag Placem_Collection'!G22)</f>
        <v>43007</v>
      </c>
      <c r="U241" s="269">
        <f t="shared" si="15"/>
        <v>71</v>
      </c>
      <c r="V241" s="267">
        <f t="shared" si="18"/>
        <v>0.11159999999999992</v>
      </c>
      <c r="W241" s="267">
        <f t="shared" si="19"/>
        <v>0.12192146932348691</v>
      </c>
      <c r="X241" s="271">
        <f>IFERROR(INDEX(Rainfall_Dry!$O$2:$O$217,MATCH(B241, Rainfall_Dry!$A$2:$A$217,0)),"")</f>
        <v>6.900000125</v>
      </c>
      <c r="Y241" s="260">
        <v>54.080969906906262</v>
      </c>
      <c r="Z241" s="260">
        <v>21.264484651351896</v>
      </c>
      <c r="AA241" s="260">
        <v>24.654545441741845</v>
      </c>
      <c r="AB241" s="261" t="s">
        <v>2673</v>
      </c>
      <c r="AC241" s="260">
        <v>4.8433218334154802</v>
      </c>
      <c r="AD241" t="str">
        <f>IF('WetLitterbags placem_collection'!AB22="","",'WetLitterbags placem_collection'!AB22)</f>
        <v/>
      </c>
      <c r="AE241" t="str">
        <f>IF('WetLitterbags placem_collection'!Z22="","",'WetLitterbags placem_collection'!Z22)</f>
        <v/>
      </c>
      <c r="AF241" s="246" t="str">
        <f>IF('WetLitterbags placem_collection'!AA22="","",'WetLitterbags placem_collection'!AA22)</f>
        <v/>
      </c>
      <c r="AG241" t="str">
        <f>IF('WetLitterbags placem_collection'!AC22="","",'WetLitterbags placem_collection'!AC22)</f>
        <v/>
      </c>
      <c r="AH241">
        <f>IFERROR(AVERAGE('Dry_Litterbag Placem_Collection'!O22,'Dry_Litterbag Placem_Collection'!R22),"")</f>
        <v>16</v>
      </c>
      <c r="AI241" s="271">
        <f>IFERROR(AVERAGE('Dry_Litterbag Placem_Collection'!N22,'Dry_Litterbag Placem_Collection'!Q22),"")</f>
        <v>26.3</v>
      </c>
      <c r="AJ241" s="270">
        <f>INDEX(Coordinates!$B$2:$B$197,MATCH(G241,Coordinates!$J$2:$J$197,0))</f>
        <v>-3.3853969629999998</v>
      </c>
      <c r="AK241" s="270">
        <f>INDEX(Coordinates!$C$2:$C$197,MATCH(G241,Coordinates!$J$2:$J$197,0))</f>
        <v>34.818977969999999</v>
      </c>
      <c r="AL241" s="270" t="str">
        <f>IF(ISNUMBER(SEARCH("C", 'Dry_Litterbag Placem_Collection'!T22)),"YES","NO")</f>
        <v>NO</v>
      </c>
      <c r="AM241" s="270" t="str">
        <f>IF(ISNUMBER(SEARCH("H", 'Dry_Litterbag Placem_Collection'!T22)),"YES","NO")</f>
        <v>NO</v>
      </c>
      <c r="AN241" s="270" t="str">
        <f>IF(ISNUMBER(SEARCH("R", 'Dry_Litterbag Placem_Collection'!T22)),"YES","NO")</f>
        <v>NO</v>
      </c>
    </row>
    <row r="242" spans="1:40" ht="15" customHeight="1">
      <c r="A242" s="262" t="s">
        <v>2659</v>
      </c>
      <c r="B242" s="263">
        <f>'Dry_Litterbag Placem_Collection'!A23</f>
        <v>21</v>
      </c>
      <c r="C242" s="263" t="str">
        <f>'Dry_Litterbag Placem_Collection'!B23</f>
        <v>Makao</v>
      </c>
      <c r="D242" s="263" t="s">
        <v>2659</v>
      </c>
      <c r="E242" s="263" t="s">
        <v>2660</v>
      </c>
      <c r="F242" s="263">
        <v>3</v>
      </c>
      <c r="G242" s="264" t="str">
        <f>'Dry_Litterbag Placem_Collection'!C23</f>
        <v>Dry_Ag3_T5</v>
      </c>
      <c r="H242" s="265" t="s">
        <v>2541</v>
      </c>
      <c r="I242" s="272" t="s">
        <v>298</v>
      </c>
      <c r="J242" s="263" t="str">
        <f>IF(ISBLANK('Dry_Litterbag Placem_Collection'!K23),"","R"&amp;""&amp;'Dry_Litterbag Placem_Collection'!K23)</f>
        <v>R630</v>
      </c>
      <c r="K242" s="267">
        <f>IFERROR(INDEX('Green_rooibos initial weight'!$C$5:$C$1749,MATCH(J242, 'Green_rooibos initial weight'!$A$5:$A$1749,0)),"")</f>
        <v>2.13</v>
      </c>
      <c r="L242" s="267">
        <f>IFERROR(K242-(TBIcalc!$Q$9+TBIcalc!$Q$10),"")</f>
        <v>1.8801999999999999</v>
      </c>
      <c r="M242" s="391">
        <f>AVERAGE(Ashed_controlls!$K$12:$K$14)</f>
        <v>2.2816647271287041</v>
      </c>
      <c r="N242" s="267">
        <f t="shared" si="16"/>
        <v>1.837300139800526</v>
      </c>
      <c r="O242" s="267" t="str">
        <f>IF(IFERROR(INDEX('Both teabags AfterDry'!$D$3:$D$900,MATCH(J242,'Both teabags AfterDry'!$A$3:$A$900,0)),"")="","",(IFERROR(INDEX('Both teabags AfterDry'!$D$3:$D$900,MATCH(J242,'Both teabags AfterDry'!$A$3:$A$900,0)),"")))</f>
        <v/>
      </c>
      <c r="P242" s="267" t="str">
        <f>IFERROR(IF(O242&gt;0,O242-(TBIcalc!$Q$9),""),"")</f>
        <v/>
      </c>
      <c r="Q242" s="278" t="str">
        <f>IFERROR(INDEX('Ashed teabags dry'!$K$2:$K$825,MATCH(J242,'Ashed teabags dry'!$A$2:$A$825,0)),"")</f>
        <v/>
      </c>
      <c r="R242" s="278" t="str">
        <f t="shared" si="17"/>
        <v/>
      </c>
      <c r="S242" s="268">
        <f>'Dry_Litterbag Placem_Collection'!E23</f>
        <v>42936</v>
      </c>
      <c r="T242" s="268">
        <f>IF('Dry_Litterbag Placem_Collection'!G23="","",'Dry_Litterbag Placem_Collection'!G23)</f>
        <v>43007</v>
      </c>
      <c r="U242" s="269">
        <f t="shared" si="15"/>
        <v>71</v>
      </c>
      <c r="V242" s="267" t="str">
        <f t="shared" si="18"/>
        <v/>
      </c>
      <c r="W242" s="267" t="str">
        <f t="shared" si="19"/>
        <v/>
      </c>
      <c r="X242" s="271">
        <f>IFERROR(INDEX(Rainfall_Dry!$O$2:$O$217,MATCH(B242, Rainfall_Dry!$A$2:$A$217,0)),"")</f>
        <v>6.900000125</v>
      </c>
      <c r="Y242" s="260">
        <v>54.080969906906262</v>
      </c>
      <c r="Z242" s="260">
        <v>21.264484651351896</v>
      </c>
      <c r="AA242" s="260">
        <v>24.654545441741845</v>
      </c>
      <c r="AB242" s="261" t="s">
        <v>2673</v>
      </c>
      <c r="AC242" s="260">
        <v>5.8433218334154802</v>
      </c>
      <c r="AD242" t="str">
        <f>IF('WetLitterbags placem_collection'!AB23="","",'WetLitterbags placem_collection'!AB23)</f>
        <v/>
      </c>
      <c r="AE242" t="str">
        <f>IF('WetLitterbags placem_collection'!Z23="","",'WetLitterbags placem_collection'!Z23)</f>
        <v/>
      </c>
      <c r="AF242" s="246" t="str">
        <f>IF('WetLitterbags placem_collection'!AA23="","",'WetLitterbags placem_collection'!AA23)</f>
        <v/>
      </c>
      <c r="AG242" t="str">
        <f>IF('WetLitterbags placem_collection'!AC23="","",'WetLitterbags placem_collection'!AC23)</f>
        <v/>
      </c>
      <c r="AH242">
        <f>IFERROR(AVERAGE('Dry_Litterbag Placem_Collection'!O23,'Dry_Litterbag Placem_Collection'!R23),"")</f>
        <v>13.2</v>
      </c>
      <c r="AI242" s="271">
        <f>IFERROR(AVERAGE('Dry_Litterbag Placem_Collection'!N23,'Dry_Litterbag Placem_Collection'!Q23),"")</f>
        <v>26.1</v>
      </c>
      <c r="AJ242" s="270">
        <f>INDEX(Coordinates!$B$2:$B$197,MATCH(G242,Coordinates!$J$2:$J$197,0))</f>
        <v>-3.3854019919999998</v>
      </c>
      <c r="AK242" s="270">
        <f>INDEX(Coordinates!$C$2:$C$197,MATCH(G242,Coordinates!$J$2:$J$197,0))</f>
        <v>34.81894604</v>
      </c>
      <c r="AL242" s="270" t="str">
        <f>IF(ISNUMBER(SEARCH("C", 'Dry_Litterbag Placem_Collection'!T23)),"YES","NO")</f>
        <v>NO</v>
      </c>
      <c r="AM242" s="270" t="str">
        <f>IF(ISNUMBER(SEARCH("H", 'Dry_Litterbag Placem_Collection'!T23)),"YES","NO")</f>
        <v>NO</v>
      </c>
      <c r="AN242" s="270" t="str">
        <f>IF(ISNUMBER(SEARCH("R", 'Dry_Litterbag Placem_Collection'!T23)),"YES","NO")</f>
        <v>NO</v>
      </c>
    </row>
    <row r="243" spans="1:40" ht="15" customHeight="1">
      <c r="A243" s="262" t="s">
        <v>2659</v>
      </c>
      <c r="B243" s="263">
        <f>'Dry_Litterbag Placem_Collection'!A24</f>
        <v>22</v>
      </c>
      <c r="C243" s="263" t="str">
        <f>'Dry_Litterbag Placem_Collection'!B24</f>
        <v>Makao</v>
      </c>
      <c r="D243" s="263" t="s">
        <v>2659</v>
      </c>
      <c r="E243" s="263" t="s">
        <v>2660</v>
      </c>
      <c r="F243" s="263">
        <v>3</v>
      </c>
      <c r="G243" s="264" t="str">
        <f>'Dry_Litterbag Placem_Collection'!C24</f>
        <v>Dry_Ag3_T6</v>
      </c>
      <c r="H243" s="265" t="s">
        <v>2541</v>
      </c>
      <c r="I243" s="272" t="s">
        <v>298</v>
      </c>
      <c r="J243" s="263" t="str">
        <f>IF(ISBLANK('Dry_Litterbag Placem_Collection'!K24),"","R"&amp;""&amp;'Dry_Litterbag Placem_Collection'!K24)</f>
        <v>R723</v>
      </c>
      <c r="K243" s="267">
        <f>IFERROR(INDEX('Green_rooibos initial weight'!$C$5:$C$1749,MATCH(J243, 'Green_rooibos initial weight'!$A$5:$A$1749,0)),"")</f>
        <v>2.2559999999999998</v>
      </c>
      <c r="L243" s="267">
        <f>IFERROR(K243-(TBIcalc!$Q$9+TBIcalc!$Q$10),"")</f>
        <v>2.0061999999999998</v>
      </c>
      <c r="M243" s="391">
        <f>AVERAGE(Ashed_controlls!$K$12:$K$14)</f>
        <v>2.2816647271287041</v>
      </c>
      <c r="N243" s="267">
        <f t="shared" si="16"/>
        <v>1.9604252422443438</v>
      </c>
      <c r="O243" s="267">
        <f>IF(IFERROR(INDEX('Both teabags AfterDry'!$D$3:$D$900,MATCH(J243,'Both teabags AfterDry'!$A$3:$A$900,0)),"")="","",(IFERROR(INDEX('Both teabags AfterDry'!$D$3:$D$900,MATCH(J243,'Both teabags AfterDry'!$A$3:$A$900,0)),"")))</f>
        <v>1.8997999999999999</v>
      </c>
      <c r="P243" s="267">
        <f>IFERROR(IF(O243&gt;0,O243-(TBIcalc!$Q$9),""),"")</f>
        <v>1.7491999999999999</v>
      </c>
      <c r="Q243" s="278">
        <f>IFERROR(INDEX('Ashed teabags dry'!$K$2:$K$825,MATCH(J243,'Ashed teabags dry'!$A$2:$A$825,0)),"")</f>
        <v>3.508771929824448</v>
      </c>
      <c r="R243" s="278">
        <f t="shared" si="17"/>
        <v>1.6878245614035106</v>
      </c>
      <c r="S243" s="268">
        <f>'Dry_Litterbag Placem_Collection'!E24</f>
        <v>42936</v>
      </c>
      <c r="T243" s="268">
        <f>IF('Dry_Litterbag Placem_Collection'!G24="","",'Dry_Litterbag Placem_Collection'!G24)</f>
        <v>43007</v>
      </c>
      <c r="U243" s="269">
        <f t="shared" si="15"/>
        <v>71</v>
      </c>
      <c r="V243" s="267">
        <f t="shared" si="18"/>
        <v>0.2569999999999999</v>
      </c>
      <c r="W243" s="267">
        <f t="shared" si="19"/>
        <v>0.27260068084083322</v>
      </c>
      <c r="X243" s="271">
        <f>IFERROR(INDEX(Rainfall_Dry!$O$2:$O$217,MATCH(B243, Rainfall_Dry!$A$2:$A$217,0)),"")</f>
        <v>6.900000125</v>
      </c>
      <c r="Y243" s="260">
        <v>54.080969906906262</v>
      </c>
      <c r="Z243" s="260">
        <v>21.264484651351896</v>
      </c>
      <c r="AA243" s="260">
        <v>24.654545441741845</v>
      </c>
      <c r="AB243" s="261" t="s">
        <v>2673</v>
      </c>
      <c r="AC243" s="260">
        <v>6.8433218334154802</v>
      </c>
      <c r="AD243" t="str">
        <f>IF('WetLitterbags placem_collection'!AB24="","",'WetLitterbags placem_collection'!AB24)</f>
        <v/>
      </c>
      <c r="AE243" t="str">
        <f>IF('WetLitterbags placem_collection'!Z24="","",'WetLitterbags placem_collection'!Z24)</f>
        <v/>
      </c>
      <c r="AF243" s="246" t="str">
        <f>IF('WetLitterbags placem_collection'!AA24="","",'WetLitterbags placem_collection'!AA24)</f>
        <v/>
      </c>
      <c r="AG243" t="str">
        <f>IF('WetLitterbags placem_collection'!AC24="","",'WetLitterbags placem_collection'!AC24)</f>
        <v/>
      </c>
      <c r="AH243">
        <f>IFERROR(AVERAGE('Dry_Litterbag Placem_Collection'!O24,'Dry_Litterbag Placem_Collection'!R24),"")</f>
        <v>19.05</v>
      </c>
      <c r="AI243" s="271">
        <f>IFERROR(AVERAGE('Dry_Litterbag Placem_Collection'!N24,'Dry_Litterbag Placem_Collection'!Q24),"")</f>
        <v>25.75</v>
      </c>
      <c r="AJ243" s="270">
        <f>INDEX(Coordinates!$B$2:$B$197,MATCH(G243,Coordinates!$J$2:$J$197,0))</f>
        <v>-3.3854470029999999</v>
      </c>
      <c r="AK243" s="270">
        <f>INDEX(Coordinates!$C$2:$C$197,MATCH(G243,Coordinates!$J$2:$J$197,0))</f>
        <v>34.818946959999998</v>
      </c>
      <c r="AL243" s="270" t="str">
        <f>IF(ISNUMBER(SEARCH("C", 'Dry_Litterbag Placem_Collection'!T24)),"YES","NO")</f>
        <v>NO</v>
      </c>
      <c r="AM243" s="270" t="str">
        <f>IF(ISNUMBER(SEARCH("H", 'Dry_Litterbag Placem_Collection'!T24)),"YES","NO")</f>
        <v>YES</v>
      </c>
      <c r="AN243" s="270" t="str">
        <f>IF(ISNUMBER(SEARCH("R", 'Dry_Litterbag Placem_Collection'!T24)),"YES","NO")</f>
        <v>NO</v>
      </c>
    </row>
    <row r="244" spans="1:40" ht="15" customHeight="1">
      <c r="A244" s="262" t="s">
        <v>2659</v>
      </c>
      <c r="B244" s="263">
        <f>'Dry_Litterbag Placem_Collection'!A25</f>
        <v>23</v>
      </c>
      <c r="C244" s="263" t="str">
        <f>'Dry_Litterbag Placem_Collection'!B25</f>
        <v>Makao</v>
      </c>
      <c r="D244" s="263" t="s">
        <v>2659</v>
      </c>
      <c r="E244" s="263" t="s">
        <v>2660</v>
      </c>
      <c r="F244" s="263">
        <v>3</v>
      </c>
      <c r="G244" s="264" t="str">
        <f>'Dry_Litterbag Placem_Collection'!C25</f>
        <v>Dry_Ag3_T7</v>
      </c>
      <c r="H244" s="265" t="s">
        <v>2541</v>
      </c>
      <c r="I244" s="272" t="s">
        <v>298</v>
      </c>
      <c r="J244" s="263" t="str">
        <f>IF(ISBLANK('Dry_Litterbag Placem_Collection'!K25),"","R"&amp;""&amp;'Dry_Litterbag Placem_Collection'!K25)</f>
        <v/>
      </c>
      <c r="K244" s="267" t="str">
        <f>IFERROR(INDEX('Green_rooibos initial weight'!$C$5:$C$1749,MATCH(J244, 'Green_rooibos initial weight'!$A$5:$A$1749,0)),"")</f>
        <v/>
      </c>
      <c r="L244" s="267" t="str">
        <f>IFERROR(K244-(TBIcalc!$Q$9+TBIcalc!$Q$10),"")</f>
        <v/>
      </c>
      <c r="M244" s="391">
        <f>AVERAGE(Ashed_controlls!$K$12:$K$14)</f>
        <v>2.2816647271287041</v>
      </c>
      <c r="N244" s="267" t="str">
        <f t="shared" si="16"/>
        <v/>
      </c>
      <c r="O244" s="267" t="str">
        <f>IF(IFERROR(INDEX('Both teabags AfterDry'!$D$3:$D$900,MATCH(J244,'Both teabags AfterDry'!$A$3:$A$900,0)),"")="","",(IFERROR(INDEX('Both teabags AfterDry'!$D$3:$D$900,MATCH(J244,'Both teabags AfterDry'!$A$3:$A$900,0)),"")))</f>
        <v/>
      </c>
      <c r="P244" s="267" t="str">
        <f>IFERROR(IF(O244&gt;0,O244-(TBIcalc!$Q$9),""),"")</f>
        <v/>
      </c>
      <c r="Q244" s="278" t="str">
        <f>IFERROR(INDEX('Ashed teabags dry'!$K$2:$K$825,MATCH(J244,'Ashed teabags dry'!$A$2:$A$825,0)),"")</f>
        <v/>
      </c>
      <c r="R244" s="278" t="str">
        <f t="shared" si="17"/>
        <v/>
      </c>
      <c r="S244" s="268">
        <f>'Dry_Litterbag Placem_Collection'!E25</f>
        <v>0</v>
      </c>
      <c r="T244" s="268" t="str">
        <f>IF('Dry_Litterbag Placem_Collection'!G25="","",'Dry_Litterbag Placem_Collection'!G25)</f>
        <v/>
      </c>
      <c r="U244" s="269" t="str">
        <f t="shared" si="15"/>
        <v/>
      </c>
      <c r="V244" s="267" t="str">
        <f t="shared" si="18"/>
        <v/>
      </c>
      <c r="W244" s="267" t="str">
        <f t="shared" si="19"/>
        <v/>
      </c>
      <c r="X244" s="271" t="str">
        <f>IFERROR(INDEX(Rainfall_Dry!$O$2:$O$217,MATCH(B244, Rainfall_Dry!$A$2:$A$217,0)),"")</f>
        <v/>
      </c>
      <c r="Y244" s="260">
        <v>54.080969906906262</v>
      </c>
      <c r="Z244" s="260">
        <v>21.264484651351896</v>
      </c>
      <c r="AA244" s="260">
        <v>24.654545441741845</v>
      </c>
      <c r="AB244" s="261" t="s">
        <v>2673</v>
      </c>
      <c r="AC244" s="260">
        <v>7.8433218334154802</v>
      </c>
      <c r="AD244" t="str">
        <f>IF('WetLitterbags placem_collection'!AB25="","",'WetLitterbags placem_collection'!AB25)</f>
        <v/>
      </c>
      <c r="AE244" t="str">
        <f>IF('WetLitterbags placem_collection'!Z25="","",'WetLitterbags placem_collection'!Z25)</f>
        <v/>
      </c>
      <c r="AF244" s="246" t="str">
        <f>IF('WetLitterbags placem_collection'!AA25="","",'WetLitterbags placem_collection'!AA25)</f>
        <v/>
      </c>
      <c r="AG244" t="str">
        <f>IF('WetLitterbags placem_collection'!AC25="","",'WetLitterbags placem_collection'!AC25)</f>
        <v/>
      </c>
      <c r="AH244" t="str">
        <f>IFERROR(AVERAGE('Dry_Litterbag Placem_Collection'!O25,'Dry_Litterbag Placem_Collection'!R25),"")</f>
        <v/>
      </c>
      <c r="AI244" s="271" t="str">
        <f>IFERROR(AVERAGE('Dry_Litterbag Placem_Collection'!N25,'Dry_Litterbag Placem_Collection'!Q25),"")</f>
        <v/>
      </c>
      <c r="AJ244" s="270">
        <f>INDEX(Coordinates!$B$2:$B$197,MATCH(G244,Coordinates!$J$2:$J$197,0))</f>
        <v>-3.3854200130000001</v>
      </c>
      <c r="AK244" s="270">
        <f>INDEX(Coordinates!$C$2:$C$197,MATCH(G244,Coordinates!$J$2:$J$197,0))</f>
        <v>34.818856019999998</v>
      </c>
      <c r="AL244" s="270" t="str">
        <f>IF(ISNUMBER(SEARCH("C", 'Dry_Litterbag Placem_Collection'!T25)),"YES","NO")</f>
        <v>NO</v>
      </c>
      <c r="AM244" s="270" t="str">
        <f>IF(ISNUMBER(SEARCH("H", 'Dry_Litterbag Placem_Collection'!T25)),"YES","NO")</f>
        <v>NO</v>
      </c>
      <c r="AN244" s="270" t="str">
        <f>IF(ISNUMBER(SEARCH("R", 'Dry_Litterbag Placem_Collection'!T25)),"YES","NO")</f>
        <v>NO</v>
      </c>
    </row>
    <row r="245" spans="1:40" ht="15" customHeight="1">
      <c r="A245" s="262" t="s">
        <v>2659</v>
      </c>
      <c r="B245" s="263">
        <f>'Dry_Litterbag Placem_Collection'!A26</f>
        <v>24</v>
      </c>
      <c r="C245" s="263" t="str">
        <f>'Dry_Litterbag Placem_Collection'!B26</f>
        <v>Makao</v>
      </c>
      <c r="D245" s="263" t="s">
        <v>2659</v>
      </c>
      <c r="E245" s="263" t="s">
        <v>2660</v>
      </c>
      <c r="F245" s="263">
        <v>3</v>
      </c>
      <c r="G245" s="264" t="str">
        <f>'Dry_Litterbag Placem_Collection'!C26</f>
        <v>Dry_Ag3_T8</v>
      </c>
      <c r="H245" s="265" t="s">
        <v>2541</v>
      </c>
      <c r="I245" s="272" t="s">
        <v>298</v>
      </c>
      <c r="J245" s="263" t="str">
        <f>IF(ISBLANK('Dry_Litterbag Placem_Collection'!K26),"","R"&amp;""&amp;'Dry_Litterbag Placem_Collection'!K26)</f>
        <v>R225</v>
      </c>
      <c r="K245" s="267">
        <f>IFERROR(INDEX('Green_rooibos initial weight'!$C$5:$C$1749,MATCH(J245, 'Green_rooibos initial weight'!$A$5:$A$1749,0)),"")</f>
        <v>2.214</v>
      </c>
      <c r="L245" s="267">
        <f>IFERROR(K245-(TBIcalc!$Q$9+TBIcalc!$Q$10),"")</f>
        <v>1.9641999999999999</v>
      </c>
      <c r="M245" s="391">
        <f>AVERAGE(Ashed_controlls!$K$12:$K$14)</f>
        <v>2.2816647271287041</v>
      </c>
      <c r="N245" s="267">
        <f t="shared" si="16"/>
        <v>1.919383541429738</v>
      </c>
      <c r="O245" s="267">
        <f>IF(IFERROR(INDEX('Both teabags AfterDry'!$D$3:$D$900,MATCH(J245,'Both teabags AfterDry'!$A$3:$A$900,0)),"")="","",(IFERROR(INDEX('Both teabags AfterDry'!$D$3:$D$900,MATCH(J245,'Both teabags AfterDry'!$A$3:$A$900,0)),"")))</f>
        <v>1.9572000000000001</v>
      </c>
      <c r="P245" s="267">
        <f>IFERROR(IF(O245&gt;0,O245-(TBIcalc!$Q$9),""),"")</f>
        <v>1.8066</v>
      </c>
      <c r="Q245" s="278">
        <f>IFERROR(INDEX('Ashed teabags dry'!$K$2:$K$825,MATCH(J245,'Ashed teabags dry'!$A$2:$A$825,0)),"")</f>
        <v>2.4928092042184851</v>
      </c>
      <c r="R245" s="278">
        <f t="shared" si="17"/>
        <v>1.7615649089165888</v>
      </c>
      <c r="S245" s="268">
        <f>'Dry_Litterbag Placem_Collection'!E26</f>
        <v>42936</v>
      </c>
      <c r="T245" s="268">
        <f>IF('Dry_Litterbag Placem_Collection'!G26="","",'Dry_Litterbag Placem_Collection'!G26)</f>
        <v>43007</v>
      </c>
      <c r="U245" s="269">
        <f t="shared" si="15"/>
        <v>71</v>
      </c>
      <c r="V245" s="267">
        <f t="shared" si="18"/>
        <v>0.15759999999999996</v>
      </c>
      <c r="W245" s="267">
        <f t="shared" si="19"/>
        <v>0.1578186325131492</v>
      </c>
      <c r="X245" s="271">
        <f>IFERROR(INDEX(Rainfall_Dry!$O$2:$O$217,MATCH(B245, Rainfall_Dry!$A$2:$A$217,0)),"")</f>
        <v>6.900000125</v>
      </c>
      <c r="Y245" s="260">
        <v>54.080969906906262</v>
      </c>
      <c r="Z245" s="260">
        <v>21.264484651351896</v>
      </c>
      <c r="AA245" s="260">
        <v>24.654545441741845</v>
      </c>
      <c r="AB245" s="261" t="s">
        <v>2673</v>
      </c>
      <c r="AC245" s="260">
        <v>8.8433218334154695</v>
      </c>
      <c r="AD245" t="str">
        <f>IF('WetLitterbags placem_collection'!AB26="","",'WetLitterbags placem_collection'!AB26)</f>
        <v/>
      </c>
      <c r="AE245" t="str">
        <f>IF('WetLitterbags placem_collection'!Z26="","",'WetLitterbags placem_collection'!Z26)</f>
        <v/>
      </c>
      <c r="AF245" s="246" t="str">
        <f>IF('WetLitterbags placem_collection'!AA26="","",'WetLitterbags placem_collection'!AA26)</f>
        <v/>
      </c>
      <c r="AG245" t="str">
        <f>IF('WetLitterbags placem_collection'!AC26="","",'WetLitterbags placem_collection'!AC26)</f>
        <v/>
      </c>
      <c r="AH245">
        <f>IFERROR(AVERAGE('Dry_Litterbag Placem_Collection'!O26,'Dry_Litterbag Placem_Collection'!R26),"")</f>
        <v>15.6</v>
      </c>
      <c r="AI245" s="271">
        <f>IFERROR(AVERAGE('Dry_Litterbag Placem_Collection'!N26,'Dry_Litterbag Placem_Collection'!Q26),"")</f>
        <v>25.5</v>
      </c>
      <c r="AJ245" s="270">
        <f>INDEX(Coordinates!$B$2:$B$197,MATCH(G245,Coordinates!$J$2:$J$197,0))</f>
        <v>-3.3853829649999998</v>
      </c>
      <c r="AK245" s="270">
        <f>INDEX(Coordinates!$C$2:$C$197,MATCH(G245,Coordinates!$J$2:$J$197,0))</f>
        <v>34.818877980000003</v>
      </c>
      <c r="AL245" s="270" t="str">
        <f>IF(ISNUMBER(SEARCH("C", 'Dry_Litterbag Placem_Collection'!T26)),"YES","NO")</f>
        <v>NO</v>
      </c>
      <c r="AM245" s="270" t="str">
        <f>IF(ISNUMBER(SEARCH("H", 'Dry_Litterbag Placem_Collection'!T26)),"YES","NO")</f>
        <v>NO</v>
      </c>
      <c r="AN245" s="270" t="str">
        <f>IF(ISNUMBER(SEARCH("R", 'Dry_Litterbag Placem_Collection'!T26)),"YES","NO")</f>
        <v>NO</v>
      </c>
    </row>
    <row r="246" spans="1:40" ht="15" customHeight="1">
      <c r="A246" s="262" t="s">
        <v>2659</v>
      </c>
      <c r="B246" s="263">
        <f>'Dry_Litterbag Placem_Collection'!A27</f>
        <v>25</v>
      </c>
      <c r="C246" s="263" t="str">
        <f>'Dry_Litterbag Placem_Collection'!B27</f>
        <v>Makao</v>
      </c>
      <c r="D246" s="263" t="s">
        <v>2659</v>
      </c>
      <c r="E246" s="263" t="s">
        <v>2660</v>
      </c>
      <c r="F246" s="263">
        <v>4</v>
      </c>
      <c r="G246" s="264" t="str">
        <f>'Dry_Litterbag Placem_Collection'!C27</f>
        <v>Dry_Ag4_T1</v>
      </c>
      <c r="H246" s="265" t="s">
        <v>2541</v>
      </c>
      <c r="I246" s="272" t="s">
        <v>298</v>
      </c>
      <c r="J246" s="263" t="str">
        <f>IF(ISBLANK('Dry_Litterbag Placem_Collection'!K27),"","R"&amp;""&amp;'Dry_Litterbag Placem_Collection'!K27)</f>
        <v>R43</v>
      </c>
      <c r="K246" s="267">
        <f>IFERROR(INDEX('Green_rooibos initial weight'!$C$5:$C$1749,MATCH(J246, 'Green_rooibos initial weight'!$A$5:$A$1749,0)),"")</f>
        <v>2.2759999999999998</v>
      </c>
      <c r="L246" s="267">
        <f>IFERROR(K246-(TBIcalc!$Q$9+TBIcalc!$Q$10),"")</f>
        <v>2.0261999999999998</v>
      </c>
      <c r="M246" s="391">
        <f>AVERAGE(Ashed_controlls!$K$12:$K$14)</f>
        <v>2.2816647271287041</v>
      </c>
      <c r="N246" s="267">
        <f t="shared" si="16"/>
        <v>1.9799689092989179</v>
      </c>
      <c r="O246" s="267">
        <f>IF(IFERROR(INDEX('Both teabags AfterDry'!$D$3:$D$900,MATCH(J246,'Both teabags AfterDry'!$A$3:$A$900,0)),"")="","",(IFERROR(INDEX('Both teabags AfterDry'!$D$3:$D$900,MATCH(J246,'Both teabags AfterDry'!$A$3:$A$900,0)),"")))</f>
        <v>2.0165999999999999</v>
      </c>
      <c r="P246" s="267">
        <f>IFERROR(IF(O246&gt;0,O246-(TBIcalc!$Q$9),""),"")</f>
        <v>1.8659999999999999</v>
      </c>
      <c r="Q246" s="278">
        <f>IFERROR(INDEX('Ashed teabags dry'!$K$2:$K$825,MATCH(J246,'Ashed teabags dry'!$A$2:$A$825,0)),"")</f>
        <v>3.4160037435664092</v>
      </c>
      <c r="R246" s="278">
        <f t="shared" si="17"/>
        <v>1.8022573701450506</v>
      </c>
      <c r="S246" s="268">
        <f>'Dry_Litterbag Placem_Collection'!E27</f>
        <v>42936</v>
      </c>
      <c r="T246" s="268">
        <f>IF('Dry_Litterbag Placem_Collection'!G27="","",'Dry_Litterbag Placem_Collection'!G27)</f>
        <v>43007</v>
      </c>
      <c r="U246" s="269">
        <f t="shared" si="15"/>
        <v>71</v>
      </c>
      <c r="V246" s="267">
        <f t="shared" si="18"/>
        <v>0.1601999999999999</v>
      </c>
      <c r="W246" s="267">
        <f t="shared" si="19"/>
        <v>0.17771153915386728</v>
      </c>
      <c r="X246" s="271">
        <f>IFERROR(INDEX(Rainfall_Dry!$O$2:$O$217,MATCH(B246, Rainfall_Dry!$A$2:$A$217,0)),"")</f>
        <v>6.900000125</v>
      </c>
      <c r="Y246" s="260">
        <v>51.960000000000008</v>
      </c>
      <c r="Z246" s="260">
        <v>18.919999999999995</v>
      </c>
      <c r="AA246" s="260">
        <v>29.120000000000005</v>
      </c>
      <c r="AB246" s="261" t="s">
        <v>2673</v>
      </c>
      <c r="AC246" s="260">
        <v>1.85293247905372</v>
      </c>
      <c r="AD246" t="str">
        <f>IF('WetLitterbags placem_collection'!AB27="","",'WetLitterbags placem_collection'!AB27)</f>
        <v/>
      </c>
      <c r="AE246" t="str">
        <f>IF('WetLitterbags placem_collection'!Z27="","",'WetLitterbags placem_collection'!Z27)</f>
        <v/>
      </c>
      <c r="AF246" s="246" t="str">
        <f>IF('WetLitterbags placem_collection'!AA27="","",'WetLitterbags placem_collection'!AA27)</f>
        <v/>
      </c>
      <c r="AG246" t="str">
        <f>IF('WetLitterbags placem_collection'!AC27="","",'WetLitterbags placem_collection'!AC27)</f>
        <v/>
      </c>
      <c r="AH246">
        <f>IFERROR(AVERAGE('Dry_Litterbag Placem_Collection'!O27,'Dry_Litterbag Placem_Collection'!R27),"")</f>
        <v>9.85</v>
      </c>
      <c r="AI246" s="271">
        <f>IFERROR(AVERAGE('Dry_Litterbag Placem_Collection'!N27,'Dry_Litterbag Placem_Collection'!Q27),"")</f>
        <v>25.4</v>
      </c>
      <c r="AJ246" s="270">
        <f>INDEX(Coordinates!$B$2:$B$197,MATCH(G246,Coordinates!$J$2:$J$197,0))</f>
        <v>-3.3849129919999998</v>
      </c>
      <c r="AK246" s="270">
        <f>INDEX(Coordinates!$C$2:$C$197,MATCH(G246,Coordinates!$J$2:$J$197,0))</f>
        <v>34.818899020000003</v>
      </c>
      <c r="AL246" s="270" t="str">
        <f>IF(ISNUMBER(SEARCH("C", 'Dry_Litterbag Placem_Collection'!T27)),"YES","NO")</f>
        <v>NO</v>
      </c>
      <c r="AM246" s="270" t="str">
        <f>IF(ISNUMBER(SEARCH("H", 'Dry_Litterbag Placem_Collection'!T27)),"YES","NO")</f>
        <v>NO</v>
      </c>
      <c r="AN246" s="270" t="str">
        <f>IF(ISNUMBER(SEARCH("R", 'Dry_Litterbag Placem_Collection'!T27)),"YES","NO")</f>
        <v>NO</v>
      </c>
    </row>
    <row r="247" spans="1:40" ht="15" customHeight="1">
      <c r="A247" s="262" t="s">
        <v>2659</v>
      </c>
      <c r="B247" s="263">
        <f>'Dry_Litterbag Placem_Collection'!A28</f>
        <v>26</v>
      </c>
      <c r="C247" s="263" t="str">
        <f>'Dry_Litterbag Placem_Collection'!B28</f>
        <v>Makao</v>
      </c>
      <c r="D247" s="263" t="s">
        <v>2659</v>
      </c>
      <c r="E247" s="263" t="s">
        <v>2660</v>
      </c>
      <c r="F247" s="263">
        <v>4</v>
      </c>
      <c r="G247" s="264" t="str">
        <f>'Dry_Litterbag Placem_Collection'!C28</f>
        <v>Dry_Ag4_T2</v>
      </c>
      <c r="H247" s="265" t="s">
        <v>2541</v>
      </c>
      <c r="I247" s="272" t="s">
        <v>298</v>
      </c>
      <c r="J247" s="263" t="str">
        <f>IF(ISBLANK('Dry_Litterbag Placem_Collection'!K28),"","R"&amp;""&amp;'Dry_Litterbag Placem_Collection'!K28)</f>
        <v>R602</v>
      </c>
      <c r="K247" s="267">
        <f>IFERROR(INDEX('Green_rooibos initial weight'!$C$5:$C$1749,MATCH(J247, 'Green_rooibos initial weight'!$A$5:$A$1749,0)),"")</f>
        <v>2.19</v>
      </c>
      <c r="L247" s="267">
        <f>IFERROR(K247-(TBIcalc!$Q$9+TBIcalc!$Q$10),"")</f>
        <v>1.9401999999999999</v>
      </c>
      <c r="M247" s="391">
        <f>AVERAGE(Ashed_controlls!$K$12:$K$14)</f>
        <v>2.2816647271287041</v>
      </c>
      <c r="N247" s="267">
        <f t="shared" si="16"/>
        <v>1.8959311409642488</v>
      </c>
      <c r="O247" s="267">
        <f>IF(IFERROR(INDEX('Both teabags AfterDry'!$D$3:$D$900,MATCH(J247,'Both teabags AfterDry'!$A$3:$A$900,0)),"")="","",(IFERROR(INDEX('Both teabags AfterDry'!$D$3:$D$900,MATCH(J247,'Both teabags AfterDry'!$A$3:$A$900,0)),"")))</f>
        <v>1.9849000000000001</v>
      </c>
      <c r="P247" s="267">
        <f>IFERROR(IF(O247&gt;0,O247-(TBIcalc!$Q$9),""),"")</f>
        <v>1.8343</v>
      </c>
      <c r="Q247" s="278">
        <f>IFERROR(INDEX('Ashed teabags dry'!$K$2:$K$825,MATCH(J247,'Ashed teabags dry'!$A$2:$A$825,0)),"")</f>
        <v>2.2760290556907226</v>
      </c>
      <c r="R247" s="278">
        <f t="shared" si="17"/>
        <v>1.7925507990314651</v>
      </c>
      <c r="S247" s="268">
        <f>'Dry_Litterbag Placem_Collection'!E28</f>
        <v>42936</v>
      </c>
      <c r="T247" s="268">
        <f>IF('Dry_Litterbag Placem_Collection'!G28="","",'Dry_Litterbag Placem_Collection'!G28)</f>
        <v>43007</v>
      </c>
      <c r="U247" s="269">
        <f t="shared" si="15"/>
        <v>71</v>
      </c>
      <c r="V247" s="267">
        <f t="shared" si="18"/>
        <v>0.10589999999999988</v>
      </c>
      <c r="W247" s="267">
        <f t="shared" si="19"/>
        <v>0.10338034193278367</v>
      </c>
      <c r="X247" s="271">
        <f>IFERROR(INDEX(Rainfall_Dry!$O$2:$O$217,MATCH(B247, Rainfall_Dry!$A$2:$A$217,0)),"")</f>
        <v>6.900000125</v>
      </c>
      <c r="Y247" s="260">
        <v>51.960000000000008</v>
      </c>
      <c r="Z247" s="260">
        <v>18.919999999999995</v>
      </c>
      <c r="AA247" s="260">
        <v>29.120000000000005</v>
      </c>
      <c r="AB247" s="261" t="s">
        <v>2673</v>
      </c>
      <c r="AC247" s="260">
        <v>2.8529324790537198</v>
      </c>
      <c r="AD247" t="str">
        <f>IF('WetLitterbags placem_collection'!AB28="","",'WetLitterbags placem_collection'!AB28)</f>
        <v/>
      </c>
      <c r="AE247" t="str">
        <f>IF('WetLitterbags placem_collection'!Z28="","",'WetLitterbags placem_collection'!Z28)</f>
        <v/>
      </c>
      <c r="AF247" s="246" t="str">
        <f>IF('WetLitterbags placem_collection'!AA28="","",'WetLitterbags placem_collection'!AA28)</f>
        <v/>
      </c>
      <c r="AG247" t="str">
        <f>IF('WetLitterbags placem_collection'!AC28="","",'WetLitterbags placem_collection'!AC28)</f>
        <v/>
      </c>
      <c r="AH247">
        <f>IFERROR(AVERAGE('Dry_Litterbag Placem_Collection'!O28,'Dry_Litterbag Placem_Collection'!R28),"")</f>
        <v>8.1</v>
      </c>
      <c r="AI247" s="271">
        <f>IFERROR(AVERAGE('Dry_Litterbag Placem_Collection'!N28,'Dry_Litterbag Placem_Collection'!Q28),"")</f>
        <v>25.85</v>
      </c>
      <c r="AJ247" s="270">
        <f>INDEX(Coordinates!$B$2:$B$197,MATCH(G247,Coordinates!$J$2:$J$197,0))</f>
        <v>-3.3849689999999999</v>
      </c>
      <c r="AK247" s="270">
        <f>INDEX(Coordinates!$C$2:$C$197,MATCH(G247,Coordinates!$J$2:$J$197,0))</f>
        <v>34.818908</v>
      </c>
      <c r="AL247" s="270" t="str">
        <f>IF(ISNUMBER(SEARCH("C", 'Dry_Litterbag Placem_Collection'!T28)),"YES","NO")</f>
        <v>NO</v>
      </c>
      <c r="AM247" s="270" t="str">
        <f>IF(ISNUMBER(SEARCH("H", 'Dry_Litterbag Placem_Collection'!T28)),"YES","NO")</f>
        <v>NO</v>
      </c>
      <c r="AN247" s="270" t="str">
        <f>IF(ISNUMBER(SEARCH("R", 'Dry_Litterbag Placem_Collection'!T28)),"YES","NO")</f>
        <v>NO</v>
      </c>
    </row>
    <row r="248" spans="1:40" ht="15" customHeight="1">
      <c r="A248" s="262" t="s">
        <v>2659</v>
      </c>
      <c r="B248" s="263">
        <f>'Dry_Litterbag Placem_Collection'!A29</f>
        <v>27</v>
      </c>
      <c r="C248" s="263" t="str">
        <f>'Dry_Litterbag Placem_Collection'!B29</f>
        <v>Makao</v>
      </c>
      <c r="D248" s="263" t="s">
        <v>2659</v>
      </c>
      <c r="E248" s="263" t="s">
        <v>2660</v>
      </c>
      <c r="F248" s="263">
        <v>4</v>
      </c>
      <c r="G248" s="264" t="str">
        <f>'Dry_Litterbag Placem_Collection'!C29</f>
        <v>Dry_Ag4_T3</v>
      </c>
      <c r="H248" s="265" t="s">
        <v>2541</v>
      </c>
      <c r="I248" s="272" t="s">
        <v>298</v>
      </c>
      <c r="J248" s="263" t="str">
        <f>IF(ISBLANK('Dry_Litterbag Placem_Collection'!K29),"","R"&amp;""&amp;'Dry_Litterbag Placem_Collection'!K29)</f>
        <v>R666</v>
      </c>
      <c r="K248" s="267">
        <f>IFERROR(INDEX('Green_rooibos initial weight'!$C$5:$C$1749,MATCH(J248, 'Green_rooibos initial weight'!$A$5:$A$1749,0)),"")</f>
        <v>2.15</v>
      </c>
      <c r="L248" s="267">
        <f>IFERROR(K248-(TBIcalc!$Q$9+TBIcalc!$Q$10),"")</f>
        <v>1.9001999999999999</v>
      </c>
      <c r="M248" s="391">
        <f>AVERAGE(Ashed_controlls!$K$12:$K$14)</f>
        <v>2.2816647271287041</v>
      </c>
      <c r="N248" s="267">
        <f t="shared" si="16"/>
        <v>1.8568438068551003</v>
      </c>
      <c r="O248" s="267" t="str">
        <f>IF(IFERROR(INDEX('Both teabags AfterDry'!$D$3:$D$900,MATCH(J248,'Both teabags AfterDry'!$A$3:$A$900,0)),"")="","",(IFERROR(INDEX('Both teabags AfterDry'!$D$3:$D$900,MATCH(J248,'Both teabags AfterDry'!$A$3:$A$900,0)),"")))</f>
        <v/>
      </c>
      <c r="P248" s="267" t="str">
        <f>IFERROR(IF(O248&gt;0,O248-(TBIcalc!$Q$9),""),"")</f>
        <v/>
      </c>
      <c r="Q248" s="278" t="str">
        <f>IFERROR(INDEX('Ashed teabags dry'!$K$2:$K$825,MATCH(J248,'Ashed teabags dry'!$A$2:$A$825,0)),"")</f>
        <v/>
      </c>
      <c r="R248" s="278" t="str">
        <f t="shared" si="17"/>
        <v/>
      </c>
      <c r="S248" s="268">
        <f>'Dry_Litterbag Placem_Collection'!E29</f>
        <v>42936</v>
      </c>
      <c r="T248" s="268">
        <f>IF('Dry_Litterbag Placem_Collection'!G29="","",'Dry_Litterbag Placem_Collection'!G29)</f>
        <v>43007</v>
      </c>
      <c r="U248" s="269">
        <f t="shared" si="15"/>
        <v>71</v>
      </c>
      <c r="V248" s="267" t="str">
        <f t="shared" si="18"/>
        <v/>
      </c>
      <c r="W248" s="267" t="str">
        <f t="shared" si="19"/>
        <v/>
      </c>
      <c r="X248" s="271">
        <f>IFERROR(INDEX(Rainfall_Dry!$O$2:$O$217,MATCH(B248, Rainfall_Dry!$A$2:$A$217,0)),"")</f>
        <v>6.900000125</v>
      </c>
      <c r="Y248" s="260">
        <v>51.960000000000008</v>
      </c>
      <c r="Z248" s="260">
        <v>18.919999999999995</v>
      </c>
      <c r="AA248" s="260">
        <v>29.120000000000005</v>
      </c>
      <c r="AB248" s="261" t="s">
        <v>2673</v>
      </c>
      <c r="AC248" s="260">
        <v>3.8529324790537198</v>
      </c>
      <c r="AD248" t="str">
        <f>IF('WetLitterbags placem_collection'!AB29="","",'WetLitterbags placem_collection'!AB29)</f>
        <v/>
      </c>
      <c r="AE248" t="str">
        <f>IF('WetLitterbags placem_collection'!Z29="","",'WetLitterbags placem_collection'!Z29)</f>
        <v/>
      </c>
      <c r="AF248" s="246" t="str">
        <f>IF('WetLitterbags placem_collection'!AA29="","",'WetLitterbags placem_collection'!AA29)</f>
        <v/>
      </c>
      <c r="AG248" t="str">
        <f>IF('WetLitterbags placem_collection'!AC29="","",'WetLitterbags placem_collection'!AC29)</f>
        <v/>
      </c>
      <c r="AH248">
        <f>IFERROR(AVERAGE('Dry_Litterbag Placem_Collection'!O29,'Dry_Litterbag Placem_Collection'!R29),"")</f>
        <v>14.1</v>
      </c>
      <c r="AI248" s="271">
        <f>IFERROR(AVERAGE('Dry_Litterbag Placem_Collection'!N29,'Dry_Litterbag Placem_Collection'!Q29),"")</f>
        <v>26.15</v>
      </c>
      <c r="AJ248" s="270">
        <f>INDEX(Coordinates!$B$2:$B$197,MATCH(G248,Coordinates!$J$2:$J$197,0))</f>
        <v>-3.3849350359999999</v>
      </c>
      <c r="AK248" s="270">
        <f>INDEX(Coordinates!$C$2:$C$197,MATCH(G248,Coordinates!$J$2:$J$197,0))</f>
        <v>34.818943019999999</v>
      </c>
      <c r="AL248" s="270" t="str">
        <f>IF(ISNUMBER(SEARCH("C", 'Dry_Litterbag Placem_Collection'!T29)),"YES","NO")</f>
        <v>NO</v>
      </c>
      <c r="AM248" s="270" t="str">
        <f>IF(ISNUMBER(SEARCH("H", 'Dry_Litterbag Placem_Collection'!T29)),"YES","NO")</f>
        <v>NO</v>
      </c>
      <c r="AN248" s="270" t="str">
        <f>IF(ISNUMBER(SEARCH("R", 'Dry_Litterbag Placem_Collection'!T29)),"YES","NO")</f>
        <v>NO</v>
      </c>
    </row>
    <row r="249" spans="1:40" ht="15" customHeight="1">
      <c r="A249" s="262" t="s">
        <v>2659</v>
      </c>
      <c r="B249" s="263">
        <f>'Dry_Litterbag Placem_Collection'!A30</f>
        <v>28</v>
      </c>
      <c r="C249" s="263" t="str">
        <f>'Dry_Litterbag Placem_Collection'!B30</f>
        <v>Makao</v>
      </c>
      <c r="D249" s="263" t="s">
        <v>2659</v>
      </c>
      <c r="E249" s="263" t="s">
        <v>2660</v>
      </c>
      <c r="F249" s="263">
        <v>4</v>
      </c>
      <c r="G249" s="264" t="str">
        <f>'Dry_Litterbag Placem_Collection'!C30</f>
        <v>Dry_Ag4_T4</v>
      </c>
      <c r="H249" s="265" t="s">
        <v>2541</v>
      </c>
      <c r="I249" s="272" t="s">
        <v>298</v>
      </c>
      <c r="J249" s="263" t="str">
        <f>IF(ISBLANK('Dry_Litterbag Placem_Collection'!K30),"","R"&amp;""&amp;'Dry_Litterbag Placem_Collection'!K30)</f>
        <v>R705</v>
      </c>
      <c r="K249" s="267">
        <f>IFERROR(INDEX('Green_rooibos initial weight'!$C$5:$C$1749,MATCH(J249, 'Green_rooibos initial weight'!$A$5:$A$1749,0)),"")</f>
        <v>2.1859999999999999</v>
      </c>
      <c r="L249" s="267">
        <f>IFERROR(K249-(TBIcalc!$Q$9+TBIcalc!$Q$10),"")</f>
        <v>1.9361999999999999</v>
      </c>
      <c r="M249" s="391">
        <f>AVERAGE(Ashed_controlls!$K$12:$K$14)</f>
        <v>2.2816647271287041</v>
      </c>
      <c r="N249" s="267">
        <f t="shared" si="16"/>
        <v>1.8920224075533341</v>
      </c>
      <c r="O249" s="267">
        <f>IF(IFERROR(INDEX('Both teabags AfterDry'!$D$3:$D$900,MATCH(J249,'Both teabags AfterDry'!$A$3:$A$900,0)),"")="","",(IFERROR(INDEX('Both teabags AfterDry'!$D$3:$D$900,MATCH(J249,'Both teabags AfterDry'!$A$3:$A$900,0)),"")))</f>
        <v>2.0167999999999999</v>
      </c>
      <c r="P249" s="267">
        <f>IFERROR(IF(O249&gt;0,O249-(TBIcalc!$Q$9),""),"")</f>
        <v>1.8661999999999999</v>
      </c>
      <c r="Q249" s="278">
        <f>IFERROR(INDEX('Ashed teabags dry'!$K$2:$K$825,MATCH(J249,'Ashed teabags dry'!$A$2:$A$825,0)),"")</f>
        <v>3.6201222378937139</v>
      </c>
      <c r="R249" s="278">
        <f t="shared" si="17"/>
        <v>1.7986412787964274</v>
      </c>
      <c r="S249" s="268">
        <f>'Dry_Litterbag Placem_Collection'!E30</f>
        <v>42936</v>
      </c>
      <c r="T249" s="268">
        <f>IF('Dry_Litterbag Placem_Collection'!G30="","",'Dry_Litterbag Placem_Collection'!G30)</f>
        <v>43007</v>
      </c>
      <c r="U249" s="269">
        <f t="shared" si="15"/>
        <v>71</v>
      </c>
      <c r="V249" s="267">
        <f t="shared" si="18"/>
        <v>7.0000000000000062E-2</v>
      </c>
      <c r="W249" s="267">
        <f t="shared" si="19"/>
        <v>9.3381128756906628E-2</v>
      </c>
      <c r="X249" s="271">
        <f>IFERROR(INDEX(Rainfall_Dry!$O$2:$O$217,MATCH(B249, Rainfall_Dry!$A$2:$A$217,0)),"")</f>
        <v>6.900000125</v>
      </c>
      <c r="Y249" s="260">
        <v>51.960000000000008</v>
      </c>
      <c r="Z249" s="260">
        <v>18.919999999999995</v>
      </c>
      <c r="AA249" s="260">
        <v>29.120000000000005</v>
      </c>
      <c r="AB249" s="261" t="s">
        <v>2673</v>
      </c>
      <c r="AC249" s="260">
        <v>4.8529324790537203</v>
      </c>
      <c r="AD249" t="str">
        <f>IF('WetLitterbags placem_collection'!AB30="","",'WetLitterbags placem_collection'!AB30)</f>
        <v/>
      </c>
      <c r="AE249" t="str">
        <f>IF('WetLitterbags placem_collection'!Z30="","",'WetLitterbags placem_collection'!Z30)</f>
        <v/>
      </c>
      <c r="AF249" s="246" t="str">
        <f>IF('WetLitterbags placem_collection'!AA30="","",'WetLitterbags placem_collection'!AA30)</f>
        <v/>
      </c>
      <c r="AG249" t="str">
        <f>IF('WetLitterbags placem_collection'!AC30="","",'WetLitterbags placem_collection'!AC30)</f>
        <v/>
      </c>
      <c r="AH249">
        <f>IFERROR(AVERAGE('Dry_Litterbag Placem_Collection'!O30,'Dry_Litterbag Placem_Collection'!R30),"")</f>
        <v>9.1000000000000014</v>
      </c>
      <c r="AI249" s="271">
        <f>IFERROR(AVERAGE('Dry_Litterbag Placem_Collection'!N30,'Dry_Litterbag Placem_Collection'!Q30),"")</f>
        <v>25.700000000000003</v>
      </c>
      <c r="AJ249" s="270">
        <f>INDEX(Coordinates!$B$2:$B$197,MATCH(G249,Coordinates!$J$2:$J$197,0))</f>
        <v>-3.3850070369999998</v>
      </c>
      <c r="AK249" s="270">
        <f>INDEX(Coordinates!$C$2:$C$197,MATCH(G249,Coordinates!$J$2:$J$197,0))</f>
        <v>34.818888960000002</v>
      </c>
      <c r="AL249" s="270" t="str">
        <f>IF(ISNUMBER(SEARCH("C", 'Dry_Litterbag Placem_Collection'!T30)),"YES","NO")</f>
        <v>NO</v>
      </c>
      <c r="AM249" s="270" t="str">
        <f>IF(ISNUMBER(SEARCH("H", 'Dry_Litterbag Placem_Collection'!T30)),"YES","NO")</f>
        <v>NO</v>
      </c>
      <c r="AN249" s="270" t="str">
        <f>IF(ISNUMBER(SEARCH("R", 'Dry_Litterbag Placem_Collection'!T30)),"YES","NO")</f>
        <v>NO</v>
      </c>
    </row>
    <row r="250" spans="1:40" ht="15" customHeight="1">
      <c r="A250" s="262" t="s">
        <v>2659</v>
      </c>
      <c r="B250" s="263">
        <f>'Dry_Litterbag Placem_Collection'!A31</f>
        <v>29</v>
      </c>
      <c r="C250" s="263" t="str">
        <f>'Dry_Litterbag Placem_Collection'!B31</f>
        <v>Makao</v>
      </c>
      <c r="D250" s="263" t="s">
        <v>2659</v>
      </c>
      <c r="E250" s="263" t="s">
        <v>2660</v>
      </c>
      <c r="F250" s="263">
        <v>4</v>
      </c>
      <c r="G250" s="264" t="str">
        <f>'Dry_Litterbag Placem_Collection'!C31</f>
        <v>Dry_Ag4_T5</v>
      </c>
      <c r="H250" s="265" t="s">
        <v>2541</v>
      </c>
      <c r="I250" s="272" t="s">
        <v>298</v>
      </c>
      <c r="J250" s="263" t="str">
        <f>IF(ISBLANK('Dry_Litterbag Placem_Collection'!K31),"","R"&amp;""&amp;'Dry_Litterbag Placem_Collection'!K31)</f>
        <v>R305</v>
      </c>
      <c r="K250" s="267">
        <f>IFERROR(INDEX('Green_rooibos initial weight'!$C$5:$C$1749,MATCH(J250, 'Green_rooibos initial weight'!$A$5:$A$1749,0)),"")</f>
        <v>2.2829999999999999</v>
      </c>
      <c r="L250" s="267">
        <f>IFERROR(K250-(TBIcalc!$Q$9+TBIcalc!$Q$10),"")</f>
        <v>2.0331999999999999</v>
      </c>
      <c r="M250" s="391">
        <f>AVERAGE(Ashed_controlls!$K$12:$K$14)</f>
        <v>2.2816647271287041</v>
      </c>
      <c r="N250" s="267">
        <f t="shared" si="16"/>
        <v>1.9868091927680191</v>
      </c>
      <c r="O250" s="267">
        <f>IF(IFERROR(INDEX('Both teabags AfterDry'!$D$3:$D$900,MATCH(J250,'Both teabags AfterDry'!$A$3:$A$900,0)),"")="","",(IFERROR(INDEX('Both teabags AfterDry'!$D$3:$D$900,MATCH(J250,'Both teabags AfterDry'!$A$3:$A$900,0)),"")))</f>
        <v>2.0718999999999999</v>
      </c>
      <c r="P250" s="267">
        <f>IFERROR(IF(O250&gt;0,O250-(TBIcalc!$Q$9),""),"")</f>
        <v>1.9212999999999998</v>
      </c>
      <c r="Q250" s="278">
        <f>IFERROR(INDEX('Ashed teabags dry'!$K$2:$K$825,MATCH(J250,'Ashed teabags dry'!$A$2:$A$825,0)),"")</f>
        <v>2.7534965034964429</v>
      </c>
      <c r="R250" s="278">
        <f t="shared" si="17"/>
        <v>1.8683970716783227</v>
      </c>
      <c r="S250" s="268">
        <f>'Dry_Litterbag Placem_Collection'!E31</f>
        <v>42936</v>
      </c>
      <c r="T250" s="268">
        <f>IF('Dry_Litterbag Placem_Collection'!G31="","",'Dry_Litterbag Placem_Collection'!G31)</f>
        <v>43007</v>
      </c>
      <c r="U250" s="269">
        <f t="shared" si="15"/>
        <v>71</v>
      </c>
      <c r="V250" s="267">
        <f t="shared" si="18"/>
        <v>0.11190000000000011</v>
      </c>
      <c r="W250" s="267">
        <f t="shared" si="19"/>
        <v>0.11841212108969645</v>
      </c>
      <c r="X250" s="271">
        <f>IFERROR(INDEX(Rainfall_Dry!$O$2:$O$217,MATCH(B250, Rainfall_Dry!$A$2:$A$217,0)),"")</f>
        <v>6.900000125</v>
      </c>
      <c r="Y250" s="260">
        <v>51.960000000000008</v>
      </c>
      <c r="Z250" s="260">
        <v>18.919999999999995</v>
      </c>
      <c r="AA250" s="260">
        <v>29.120000000000005</v>
      </c>
      <c r="AB250" s="261" t="s">
        <v>2673</v>
      </c>
      <c r="AC250" s="260">
        <v>5.8529324790537203</v>
      </c>
      <c r="AD250" t="str">
        <f>IF('WetLitterbags placem_collection'!AB31="","",'WetLitterbags placem_collection'!AB31)</f>
        <v/>
      </c>
      <c r="AE250" t="str">
        <f>IF('WetLitterbags placem_collection'!Z31="","",'WetLitterbags placem_collection'!Z31)</f>
        <v/>
      </c>
      <c r="AF250" s="246" t="str">
        <f>IF('WetLitterbags placem_collection'!AA31="","",'WetLitterbags placem_collection'!AA31)</f>
        <v/>
      </c>
      <c r="AG250" t="str">
        <f>IF('WetLitterbags placem_collection'!AC31="","",'WetLitterbags placem_collection'!AC31)</f>
        <v/>
      </c>
      <c r="AH250">
        <f>IFERROR(AVERAGE('Dry_Litterbag Placem_Collection'!O31,'Dry_Litterbag Placem_Collection'!R31),"")</f>
        <v>15.15</v>
      </c>
      <c r="AI250" s="271">
        <f>IFERROR(AVERAGE('Dry_Litterbag Placem_Collection'!N31,'Dry_Litterbag Placem_Collection'!Q31),"")</f>
        <v>25.65</v>
      </c>
      <c r="AJ250" s="270">
        <f>INDEX(Coordinates!$B$2:$B$197,MATCH(G250,Coordinates!$J$2:$J$197,0))</f>
        <v>-3.3849480280000002</v>
      </c>
      <c r="AK250" s="270">
        <f>INDEX(Coordinates!$C$2:$C$197,MATCH(G250,Coordinates!$J$2:$J$197,0))</f>
        <v>34.818854010000003</v>
      </c>
      <c r="AL250" s="270" t="str">
        <f>IF(ISNUMBER(SEARCH("C", 'Dry_Litterbag Placem_Collection'!T31)),"YES","NO")</f>
        <v>NO</v>
      </c>
      <c r="AM250" s="270" t="str">
        <f>IF(ISNUMBER(SEARCH("H", 'Dry_Litterbag Placem_Collection'!T31)),"YES","NO")</f>
        <v>NO</v>
      </c>
      <c r="AN250" s="270" t="str">
        <f>IF(ISNUMBER(SEARCH("R", 'Dry_Litterbag Placem_Collection'!T31)),"YES","NO")</f>
        <v>NO</v>
      </c>
    </row>
    <row r="251" spans="1:40" ht="15" customHeight="1">
      <c r="A251" s="262" t="s">
        <v>2659</v>
      </c>
      <c r="B251" s="263">
        <f>'Dry_Litterbag Placem_Collection'!A32</f>
        <v>30</v>
      </c>
      <c r="C251" s="263" t="str">
        <f>'Dry_Litterbag Placem_Collection'!B32</f>
        <v>Makao</v>
      </c>
      <c r="D251" s="263" t="s">
        <v>2659</v>
      </c>
      <c r="E251" s="263" t="s">
        <v>2660</v>
      </c>
      <c r="F251" s="263">
        <v>4</v>
      </c>
      <c r="G251" s="264" t="str">
        <f>'Dry_Litterbag Placem_Collection'!C32</f>
        <v>Dry_Ag4_T6</v>
      </c>
      <c r="H251" s="265" t="s">
        <v>2541</v>
      </c>
      <c r="I251" s="272" t="s">
        <v>298</v>
      </c>
      <c r="J251" s="263" t="str">
        <f>IF(ISBLANK('Dry_Litterbag Placem_Collection'!K32),"","R"&amp;""&amp;'Dry_Litterbag Placem_Collection'!K32)</f>
        <v>R667</v>
      </c>
      <c r="K251" s="267">
        <f>IFERROR(INDEX('Green_rooibos initial weight'!$C$5:$C$1749,MATCH(J251, 'Green_rooibos initial weight'!$A$5:$A$1749,0)),"")</f>
        <v>2.1949999999999998</v>
      </c>
      <c r="L251" s="267">
        <f>IFERROR(K251-(TBIcalc!$Q$9+TBIcalc!$Q$10),"")</f>
        <v>1.9451999999999998</v>
      </c>
      <c r="M251" s="391">
        <f>AVERAGE(Ashed_controlls!$K$12:$K$14)</f>
        <v>2.2816647271287041</v>
      </c>
      <c r="N251" s="267">
        <f t="shared" si="16"/>
        <v>1.9008170577278922</v>
      </c>
      <c r="O251" s="267">
        <f>IF(IFERROR(INDEX('Both teabags AfterDry'!$D$3:$D$900,MATCH(J251,'Both teabags AfterDry'!$A$3:$A$900,0)),"")="","",(IFERROR(INDEX('Both teabags AfterDry'!$D$3:$D$900,MATCH(J251,'Both teabags AfterDry'!$A$3:$A$900,0)),"")))</f>
        <v>2.0158999999999998</v>
      </c>
      <c r="P251" s="267">
        <f>IFERROR(IF(O251&gt;0,O251-(TBIcalc!$Q$9),""),"")</f>
        <v>1.8652999999999997</v>
      </c>
      <c r="Q251" s="278">
        <f>IFERROR(INDEX('Ashed teabags dry'!$K$2:$K$825,MATCH(J251,'Ashed teabags dry'!$A$2:$A$825,0)),"")</f>
        <v>2.0813623462635014</v>
      </c>
      <c r="R251" s="278">
        <f t="shared" si="17"/>
        <v>1.8264763481551467</v>
      </c>
      <c r="S251" s="268">
        <f>'Dry_Litterbag Placem_Collection'!E32</f>
        <v>42936</v>
      </c>
      <c r="T251" s="268">
        <f>IF('Dry_Litterbag Placem_Collection'!G32="","",'Dry_Litterbag Placem_Collection'!G32)</f>
        <v>43007</v>
      </c>
      <c r="U251" s="269">
        <f t="shared" si="15"/>
        <v>71</v>
      </c>
      <c r="V251" s="267">
        <f t="shared" si="18"/>
        <v>7.9900000000000082E-2</v>
      </c>
      <c r="W251" s="267">
        <f t="shared" si="19"/>
        <v>7.4340709572745522E-2</v>
      </c>
      <c r="X251" s="271">
        <f>IFERROR(INDEX(Rainfall_Dry!$O$2:$O$217,MATCH(B251, Rainfall_Dry!$A$2:$A$217,0)),"")</f>
        <v>6.900000125</v>
      </c>
      <c r="Y251" s="260">
        <v>51.960000000000008</v>
      </c>
      <c r="Z251" s="260">
        <v>18.919999999999995</v>
      </c>
      <c r="AA251" s="260">
        <v>29.120000000000005</v>
      </c>
      <c r="AB251" s="261" t="s">
        <v>2673</v>
      </c>
      <c r="AC251" s="260">
        <v>6.8529324790537203</v>
      </c>
      <c r="AD251" t="str">
        <f>IF('WetLitterbags placem_collection'!AB32="","",'WetLitterbags placem_collection'!AB32)</f>
        <v/>
      </c>
      <c r="AE251" t="str">
        <f>IF('WetLitterbags placem_collection'!Z32="","",'WetLitterbags placem_collection'!Z32)</f>
        <v/>
      </c>
      <c r="AF251" s="246" t="str">
        <f>IF('WetLitterbags placem_collection'!AA32="","",'WetLitterbags placem_collection'!AA32)</f>
        <v/>
      </c>
      <c r="AG251" t="str">
        <f>IF('WetLitterbags placem_collection'!AC32="","",'WetLitterbags placem_collection'!AC32)</f>
        <v/>
      </c>
      <c r="AH251">
        <f>IFERROR(AVERAGE('Dry_Litterbag Placem_Collection'!O32,'Dry_Litterbag Placem_Collection'!R32),"")</f>
        <v>9.3000000000000007</v>
      </c>
      <c r="AI251" s="271">
        <f>IFERROR(AVERAGE('Dry_Litterbag Placem_Collection'!N32,'Dry_Litterbag Placem_Collection'!Q32),"")</f>
        <v>24</v>
      </c>
      <c r="AJ251" s="270">
        <f>INDEX(Coordinates!$B$2:$B$197,MATCH(G251,Coordinates!$J$2:$J$197,0))</f>
        <v>-3.38496496</v>
      </c>
      <c r="AK251" s="270">
        <f>INDEX(Coordinates!$C$2:$C$197,MATCH(G251,Coordinates!$J$2:$J$197,0))</f>
        <v>34.818790970000002</v>
      </c>
      <c r="AL251" s="270" t="str">
        <f>IF(ISNUMBER(SEARCH("C", 'Dry_Litterbag Placem_Collection'!T32)),"YES","NO")</f>
        <v>NO</v>
      </c>
      <c r="AM251" s="270" t="str">
        <f>IF(ISNUMBER(SEARCH("H", 'Dry_Litterbag Placem_Collection'!T32)),"YES","NO")</f>
        <v>NO</v>
      </c>
      <c r="AN251" s="270" t="str">
        <f>IF(ISNUMBER(SEARCH("R", 'Dry_Litterbag Placem_Collection'!T32)),"YES","NO")</f>
        <v>NO</v>
      </c>
    </row>
    <row r="252" spans="1:40" ht="15" customHeight="1">
      <c r="A252" s="262" t="s">
        <v>2659</v>
      </c>
      <c r="B252" s="263">
        <f>'Dry_Litterbag Placem_Collection'!A33</f>
        <v>31</v>
      </c>
      <c r="C252" s="263" t="str">
        <f>'Dry_Litterbag Placem_Collection'!B33</f>
        <v>Makao</v>
      </c>
      <c r="D252" s="263" t="s">
        <v>2659</v>
      </c>
      <c r="E252" s="263" t="s">
        <v>2660</v>
      </c>
      <c r="F252" s="263">
        <v>4</v>
      </c>
      <c r="G252" s="264" t="str">
        <f>'Dry_Litterbag Placem_Collection'!C33</f>
        <v>Dry_Ag4_T7</v>
      </c>
      <c r="H252" s="265" t="s">
        <v>2541</v>
      </c>
      <c r="I252" s="272" t="s">
        <v>298</v>
      </c>
      <c r="J252" s="263" t="str">
        <f>IF(ISBLANK('Dry_Litterbag Placem_Collection'!K33),"","R"&amp;""&amp;'Dry_Litterbag Placem_Collection'!K33)</f>
        <v/>
      </c>
      <c r="K252" s="267" t="str">
        <f>IFERROR(INDEX('Green_rooibos initial weight'!$C$5:$C$1749,MATCH(J252, 'Green_rooibos initial weight'!$A$5:$A$1749,0)),"")</f>
        <v/>
      </c>
      <c r="L252" s="267" t="str">
        <f>IFERROR(K252-(TBIcalc!$Q$9+TBIcalc!$Q$10),"")</f>
        <v/>
      </c>
      <c r="M252" s="391">
        <f>AVERAGE(Ashed_controlls!$K$12:$K$14)</f>
        <v>2.2816647271287041</v>
      </c>
      <c r="N252" s="267" t="str">
        <f t="shared" si="16"/>
        <v/>
      </c>
      <c r="O252" s="267" t="str">
        <f>IF(IFERROR(INDEX('Both teabags AfterDry'!$D$3:$D$900,MATCH(J252,'Both teabags AfterDry'!$A$3:$A$900,0)),"")="","",(IFERROR(INDEX('Both teabags AfterDry'!$D$3:$D$900,MATCH(J252,'Both teabags AfterDry'!$A$3:$A$900,0)),"")))</f>
        <v/>
      </c>
      <c r="P252" s="267" t="str">
        <f>IFERROR(IF(O252&gt;0,O252-(TBIcalc!$Q$9),""),"")</f>
        <v/>
      </c>
      <c r="Q252" s="278" t="str">
        <f>IFERROR(INDEX('Ashed teabags dry'!$K$2:$K$825,MATCH(J252,'Ashed teabags dry'!$A$2:$A$825,0)),"")</f>
        <v/>
      </c>
      <c r="R252" s="278" t="str">
        <f t="shared" si="17"/>
        <v/>
      </c>
      <c r="S252" s="268">
        <f>'Dry_Litterbag Placem_Collection'!E33</f>
        <v>0</v>
      </c>
      <c r="T252" s="268" t="str">
        <f>IF('Dry_Litterbag Placem_Collection'!G33="","",'Dry_Litterbag Placem_Collection'!G33)</f>
        <v/>
      </c>
      <c r="U252" s="269" t="str">
        <f t="shared" si="15"/>
        <v/>
      </c>
      <c r="V252" s="267" t="str">
        <f t="shared" si="18"/>
        <v/>
      </c>
      <c r="W252" s="267" t="str">
        <f t="shared" si="19"/>
        <v/>
      </c>
      <c r="X252" s="271" t="str">
        <f>IFERROR(INDEX(Rainfall_Dry!$O$2:$O$217,MATCH(B252, Rainfall_Dry!$A$2:$A$217,0)),"")</f>
        <v/>
      </c>
      <c r="Y252" s="260">
        <v>51.960000000000008</v>
      </c>
      <c r="Z252" s="260">
        <v>18.919999999999995</v>
      </c>
      <c r="AA252" s="260">
        <v>29.120000000000005</v>
      </c>
      <c r="AB252" s="261" t="s">
        <v>2673</v>
      </c>
      <c r="AC252" s="260">
        <v>7.8529324790537203</v>
      </c>
      <c r="AD252" t="str">
        <f>IF('WetLitterbags placem_collection'!AB33="","",'WetLitterbags placem_collection'!AB33)</f>
        <v/>
      </c>
      <c r="AE252" t="str">
        <f>IF('WetLitterbags placem_collection'!Z33="","",'WetLitterbags placem_collection'!Z33)</f>
        <v/>
      </c>
      <c r="AF252" s="246" t="str">
        <f>IF('WetLitterbags placem_collection'!AA33="","",'WetLitterbags placem_collection'!AA33)</f>
        <v/>
      </c>
      <c r="AG252" t="str">
        <f>IF('WetLitterbags placem_collection'!AC33="","",'WetLitterbags placem_collection'!AC33)</f>
        <v/>
      </c>
      <c r="AH252" t="str">
        <f>IFERROR(AVERAGE('Dry_Litterbag Placem_Collection'!O33,'Dry_Litterbag Placem_Collection'!R33),"")</f>
        <v/>
      </c>
      <c r="AI252" s="271" t="str">
        <f>IFERROR(AVERAGE('Dry_Litterbag Placem_Collection'!N33,'Dry_Litterbag Placem_Collection'!Q33),"")</f>
        <v/>
      </c>
      <c r="AJ252" s="270">
        <f>INDEX(Coordinates!$B$2:$B$197,MATCH(G252,Coordinates!$J$2:$J$197,0))</f>
        <v>-3.3848409909999999</v>
      </c>
      <c r="AK252" s="270">
        <f>INDEX(Coordinates!$C$2:$C$197,MATCH(G252,Coordinates!$J$2:$J$197,0))</f>
        <v>34.818838999999997</v>
      </c>
      <c r="AL252" s="270" t="str">
        <f>IF(ISNUMBER(SEARCH("C", 'Dry_Litterbag Placem_Collection'!T33)),"YES","NO")</f>
        <v>NO</v>
      </c>
      <c r="AM252" s="270" t="str">
        <f>IF(ISNUMBER(SEARCH("H", 'Dry_Litterbag Placem_Collection'!T33)),"YES","NO")</f>
        <v>NO</v>
      </c>
      <c r="AN252" s="270" t="str">
        <f>IF(ISNUMBER(SEARCH("R", 'Dry_Litterbag Placem_Collection'!T33)),"YES","NO")</f>
        <v>NO</v>
      </c>
    </row>
    <row r="253" spans="1:40" ht="15" customHeight="1">
      <c r="A253" s="262" t="s">
        <v>2659</v>
      </c>
      <c r="B253" s="263">
        <f>'Dry_Litterbag Placem_Collection'!A34</f>
        <v>32</v>
      </c>
      <c r="C253" s="263" t="str">
        <f>'Dry_Litterbag Placem_Collection'!B34</f>
        <v>Makao</v>
      </c>
      <c r="D253" s="263" t="s">
        <v>2659</v>
      </c>
      <c r="E253" s="263" t="s">
        <v>2660</v>
      </c>
      <c r="F253" s="263">
        <v>4</v>
      </c>
      <c r="G253" s="264" t="str">
        <f>'Dry_Litterbag Placem_Collection'!C34</f>
        <v>Dry_Ag4_T8</v>
      </c>
      <c r="H253" s="265" t="s">
        <v>2541</v>
      </c>
      <c r="I253" s="272" t="s">
        <v>298</v>
      </c>
      <c r="J253" s="263" t="str">
        <f>IF(ISBLANK('Dry_Litterbag Placem_Collection'!K34),"","R"&amp;""&amp;'Dry_Litterbag Placem_Collection'!K34)</f>
        <v>R743</v>
      </c>
      <c r="K253" s="267">
        <f>IFERROR(INDEX('Green_rooibos initial weight'!$C$5:$C$1749,MATCH(J253, 'Green_rooibos initial weight'!$A$5:$A$1749,0)),"")</f>
        <v>2.2480000000000002</v>
      </c>
      <c r="L253" s="267">
        <f>IFERROR(K253-(TBIcalc!$Q$9+TBIcalc!$Q$10),"")</f>
        <v>1.9982000000000002</v>
      </c>
      <c r="M253" s="391">
        <f>AVERAGE(Ashed_controlls!$K$12:$K$14)</f>
        <v>2.2816647271287041</v>
      </c>
      <c r="N253" s="267">
        <f t="shared" si="16"/>
        <v>1.9526077754225144</v>
      </c>
      <c r="O253" s="267">
        <f>IF(IFERROR(INDEX('Both teabags AfterDry'!$D$3:$D$900,MATCH(J253,'Both teabags AfterDry'!$A$3:$A$900,0)),"")="","",(IFERROR(INDEX('Both teabags AfterDry'!$D$3:$D$900,MATCH(J253,'Both teabags AfterDry'!$A$3:$A$900,0)),"")))</f>
        <v>1.9944999999999999</v>
      </c>
      <c r="P253" s="267">
        <f>IFERROR(IF(O253&gt;0,O253-(TBIcalc!$Q$9),""),"")</f>
        <v>1.8438999999999999</v>
      </c>
      <c r="Q253" s="278">
        <f>IFERROR(INDEX('Ashed teabags dry'!$K$2:$K$825,MATCH(J253,'Ashed teabags dry'!$A$2:$A$825,0)),"")</f>
        <v>3.3151904997520401</v>
      </c>
      <c r="R253" s="278">
        <f t="shared" si="17"/>
        <v>1.7827712023750719</v>
      </c>
      <c r="S253" s="268">
        <f>'Dry_Litterbag Placem_Collection'!E34</f>
        <v>42936</v>
      </c>
      <c r="T253" s="268">
        <f>IF('Dry_Litterbag Placem_Collection'!G34="","",'Dry_Litterbag Placem_Collection'!G34)</f>
        <v>43007</v>
      </c>
      <c r="U253" s="269">
        <f t="shared" si="15"/>
        <v>71</v>
      </c>
      <c r="V253" s="267">
        <f t="shared" si="18"/>
        <v>0.15430000000000033</v>
      </c>
      <c r="W253" s="267">
        <f t="shared" si="19"/>
        <v>0.16983657304744249</v>
      </c>
      <c r="X253" s="271">
        <f>IFERROR(INDEX(Rainfall_Dry!$O$2:$O$217,MATCH(B253, Rainfall_Dry!$A$2:$A$217,0)),"")</f>
        <v>6.900000125</v>
      </c>
      <c r="Y253" s="260">
        <v>51.960000000000008</v>
      </c>
      <c r="Z253" s="260">
        <v>18.919999999999995</v>
      </c>
      <c r="AA253" s="260">
        <v>29.120000000000005</v>
      </c>
      <c r="AB253" s="261" t="s">
        <v>2673</v>
      </c>
      <c r="AC253" s="260">
        <v>8.8529324790537203</v>
      </c>
      <c r="AD253" t="str">
        <f>IF('WetLitterbags placem_collection'!AB34="","",'WetLitterbags placem_collection'!AB34)</f>
        <v/>
      </c>
      <c r="AE253" t="str">
        <f>IF('WetLitterbags placem_collection'!Z34="","",'WetLitterbags placem_collection'!Z34)</f>
        <v/>
      </c>
      <c r="AF253" s="246" t="str">
        <f>IF('WetLitterbags placem_collection'!AA34="","",'WetLitterbags placem_collection'!AA34)</f>
        <v/>
      </c>
      <c r="AG253" t="str">
        <f>IF('WetLitterbags placem_collection'!AC34="","",'WetLitterbags placem_collection'!AC34)</f>
        <v/>
      </c>
      <c r="AH253">
        <f>IFERROR(AVERAGE('Dry_Litterbag Placem_Collection'!O34,'Dry_Litterbag Placem_Collection'!R34),"")</f>
        <v>11.850000000000001</v>
      </c>
      <c r="AI253" s="271">
        <f>IFERROR(AVERAGE('Dry_Litterbag Placem_Collection'!N34,'Dry_Litterbag Placem_Collection'!Q34),"")</f>
        <v>25.45</v>
      </c>
      <c r="AJ253" s="270">
        <f>INDEX(Coordinates!$B$2:$B$197,MATCH(G253,Coordinates!$J$2:$J$197,0))</f>
        <v>-3.3849010060000002</v>
      </c>
      <c r="AK253" s="270">
        <f>INDEX(Coordinates!$C$2:$C$197,MATCH(G253,Coordinates!$J$2:$J$197,0))</f>
        <v>34.818979990000003</v>
      </c>
      <c r="AL253" s="270" t="str">
        <f>IF(ISNUMBER(SEARCH("C", 'Dry_Litterbag Placem_Collection'!T34)),"YES","NO")</f>
        <v>NO</v>
      </c>
      <c r="AM253" s="270" t="str">
        <f>IF(ISNUMBER(SEARCH("H", 'Dry_Litterbag Placem_Collection'!T34)),"YES","NO")</f>
        <v>NO</v>
      </c>
      <c r="AN253" s="270" t="str">
        <f>IF(ISNUMBER(SEARCH("R", 'Dry_Litterbag Placem_Collection'!T34)),"YES","NO")</f>
        <v>NO</v>
      </c>
    </row>
    <row r="254" spans="1:40" ht="15" customHeight="1">
      <c r="A254" s="262" t="s">
        <v>2659</v>
      </c>
      <c r="B254" s="263">
        <f>'Dry_Litterbag Placem_Collection'!A35</f>
        <v>33</v>
      </c>
      <c r="C254" s="263" t="str">
        <f>'Dry_Litterbag Placem_Collection'!B35</f>
        <v>Makao</v>
      </c>
      <c r="D254" s="263" t="s">
        <v>2659</v>
      </c>
      <c r="E254" s="263" t="s">
        <v>20</v>
      </c>
      <c r="F254" s="263">
        <v>1</v>
      </c>
      <c r="G254" s="264" t="str">
        <f>'Dry_Litterbag Placem_Collection'!C35</f>
        <v>Dry_P1_T1</v>
      </c>
      <c r="H254" s="265" t="s">
        <v>2541</v>
      </c>
      <c r="I254" s="272" t="s">
        <v>298</v>
      </c>
      <c r="J254" s="263" t="str">
        <f>IF(ISBLANK('Dry_Litterbag Placem_Collection'!K35),"","R"&amp;""&amp;'Dry_Litterbag Placem_Collection'!K35)</f>
        <v>R769</v>
      </c>
      <c r="K254" s="267">
        <f>IFERROR(INDEX('Green_rooibos initial weight'!$C$5:$C$1749,MATCH(J254, 'Green_rooibos initial weight'!$A$5:$A$1749,0)),"")</f>
        <v>2.2480000000000002</v>
      </c>
      <c r="L254" s="267">
        <f>IFERROR(K254-(TBIcalc!$Q$9+TBIcalc!$Q$10),"")</f>
        <v>1.9982000000000002</v>
      </c>
      <c r="M254" s="391">
        <f>AVERAGE(Ashed_controlls!$K$12:$K$14)</f>
        <v>2.2816647271287041</v>
      </c>
      <c r="N254" s="267">
        <f t="shared" si="16"/>
        <v>1.9526077754225144</v>
      </c>
      <c r="O254" s="267">
        <f>IF(IFERROR(INDEX('Both teabags AfterDry'!$D$3:$D$900,MATCH(J254,'Both teabags AfterDry'!$A$3:$A$900,0)),"")="","",(IFERROR(INDEX('Both teabags AfterDry'!$D$3:$D$900,MATCH(J254,'Both teabags AfterDry'!$A$3:$A$900,0)),"")))</f>
        <v>1.9911000000000001</v>
      </c>
      <c r="P254" s="267">
        <f>IFERROR(IF(O254&gt;0,O254-(TBIcalc!$Q$9),""),"")</f>
        <v>1.8405</v>
      </c>
      <c r="Q254" s="278">
        <f>IFERROR(INDEX('Ashed teabags dry'!$K$2:$K$825,MATCH(J254,'Ashed teabags dry'!$A$2:$A$825,0)),"")</f>
        <v>2.7544351073765245</v>
      </c>
      <c r="R254" s="278">
        <f t="shared" si="17"/>
        <v>1.7898046218487351</v>
      </c>
      <c r="S254" s="268">
        <f>'Dry_Litterbag Placem_Collection'!E35</f>
        <v>42938</v>
      </c>
      <c r="T254" s="268">
        <f>IF('Dry_Litterbag Placem_Collection'!G35="","",'Dry_Litterbag Placem_Collection'!G35)</f>
        <v>43005</v>
      </c>
      <c r="U254" s="269">
        <f t="shared" si="15"/>
        <v>67</v>
      </c>
      <c r="V254" s="267">
        <f t="shared" si="18"/>
        <v>0.15770000000000017</v>
      </c>
      <c r="W254" s="267">
        <f t="shared" si="19"/>
        <v>0.16280315357377928</v>
      </c>
      <c r="X254" s="271">
        <f>IFERROR(INDEX(Rainfall_Dry!$O$2:$O$217,MATCH(B254, Rainfall_Dry!$A$2:$A$217,0)),"")</f>
        <v>6.5250000359999998</v>
      </c>
      <c r="Y254" s="260">
        <v>23.96</v>
      </c>
      <c r="Z254" s="260">
        <v>0.91999999999999804</v>
      </c>
      <c r="AA254" s="260">
        <v>75.12</v>
      </c>
      <c r="AB254" s="261" t="s">
        <v>2670</v>
      </c>
      <c r="AC254" s="260">
        <v>1.2493839329719072</v>
      </c>
      <c r="AD254">
        <f>IF('WetLitterbags placem_collection'!AB35="","",'WetLitterbags placem_collection'!AB35)</f>
        <v>9.5</v>
      </c>
      <c r="AE254">
        <f>IF('WetLitterbags placem_collection'!Z35="","",'WetLitterbags placem_collection'!Z35)</f>
        <v>17.2</v>
      </c>
      <c r="AF254" s="246" t="str">
        <f>IF('WetLitterbags placem_collection'!AA35="","",'WetLitterbags placem_collection'!AA35)</f>
        <v>G</v>
      </c>
      <c r="AG254">
        <f>IF('WetLitterbags placem_collection'!AC35="","",'WetLitterbags placem_collection'!AC35)</f>
        <v>0</v>
      </c>
      <c r="AH254">
        <f>IFERROR(AVERAGE('Dry_Litterbag Placem_Collection'!O35,'Dry_Litterbag Placem_Collection'!R35),"")</f>
        <v>1.65</v>
      </c>
      <c r="AI254" s="271">
        <f>IFERROR(AVERAGE('Dry_Litterbag Placem_Collection'!N35,'Dry_Litterbag Placem_Collection'!Q35),"")</f>
        <v>26.15</v>
      </c>
      <c r="AJ254" s="270">
        <f>INDEX(Coordinates!$B$2:$B$197,MATCH(G254,Coordinates!$J$2:$J$197,0))</f>
        <v>-3.4092039989999998</v>
      </c>
      <c r="AK254" s="270">
        <f>INDEX(Coordinates!$C$2:$C$197,MATCH(G254,Coordinates!$J$2:$J$197,0))</f>
        <v>34.852751009999999</v>
      </c>
      <c r="AL254" s="270" t="str">
        <f>IF(ISNUMBER(SEARCH("C", 'Dry_Litterbag Placem_Collection'!T35)),"YES","NO")</f>
        <v>NO</v>
      </c>
      <c r="AM254" s="270" t="str">
        <f>IF(ISNUMBER(SEARCH("H", 'Dry_Litterbag Placem_Collection'!T35)),"YES","NO")</f>
        <v>NO</v>
      </c>
      <c r="AN254" s="270" t="str">
        <f>IF(ISNUMBER(SEARCH("R", 'Dry_Litterbag Placem_Collection'!T35)),"YES","NO")</f>
        <v>NO</v>
      </c>
    </row>
    <row r="255" spans="1:40" ht="15" customHeight="1">
      <c r="A255" s="262" t="s">
        <v>2659</v>
      </c>
      <c r="B255" s="263">
        <f>'Dry_Litterbag Placem_Collection'!A36</f>
        <v>34</v>
      </c>
      <c r="C255" s="263" t="str">
        <f>'Dry_Litterbag Placem_Collection'!B36</f>
        <v>Makao</v>
      </c>
      <c r="D255" s="263" t="s">
        <v>2659</v>
      </c>
      <c r="E255" s="263" t="s">
        <v>20</v>
      </c>
      <c r="F255" s="263">
        <v>1</v>
      </c>
      <c r="G255" s="264" t="str">
        <f>'Dry_Litterbag Placem_Collection'!C36</f>
        <v>Dry_P1_T2</v>
      </c>
      <c r="H255" s="265" t="s">
        <v>2541</v>
      </c>
      <c r="I255" s="272" t="s">
        <v>298</v>
      </c>
      <c r="J255" s="263" t="str">
        <f>IF(ISBLANK('Dry_Litterbag Placem_Collection'!K36),"","R"&amp;""&amp;'Dry_Litterbag Placem_Collection'!K36)</f>
        <v>R753</v>
      </c>
      <c r="K255" s="267">
        <f>IFERROR(INDEX('Green_rooibos initial weight'!$C$5:$C$1749,MATCH(J255, 'Green_rooibos initial weight'!$A$5:$A$1749,0)),"")</f>
        <v>2.2400000000000002</v>
      </c>
      <c r="L255" s="267">
        <f>IFERROR(K255-(TBIcalc!$Q$9+TBIcalc!$Q$10),"")</f>
        <v>1.9902000000000002</v>
      </c>
      <c r="M255" s="391">
        <f>AVERAGE(Ashed_controlls!$K$12:$K$14)</f>
        <v>2.2816647271287041</v>
      </c>
      <c r="N255" s="267">
        <f t="shared" si="16"/>
        <v>1.9447903086006848</v>
      </c>
      <c r="O255" s="267" t="str">
        <f>IF(IFERROR(INDEX('Both teabags AfterDry'!$D$3:$D$900,MATCH(J255,'Both teabags AfterDry'!$A$3:$A$900,0)),"")="","",(IFERROR(INDEX('Both teabags AfterDry'!$D$3:$D$900,MATCH(J255,'Both teabags AfterDry'!$A$3:$A$900,0)),"")))</f>
        <v/>
      </c>
      <c r="P255" s="267" t="str">
        <f>IFERROR(IF(O255&gt;0,O255-(TBIcalc!$Q$9),""),"")</f>
        <v/>
      </c>
      <c r="Q255" s="278" t="str">
        <f>IFERROR(INDEX('Ashed teabags dry'!$K$2:$K$825,MATCH(J255,'Ashed teabags dry'!$A$2:$A$825,0)),"")</f>
        <v/>
      </c>
      <c r="R255" s="278" t="str">
        <f t="shared" si="17"/>
        <v/>
      </c>
      <c r="S255" s="268">
        <f>'Dry_Litterbag Placem_Collection'!E36</f>
        <v>42938</v>
      </c>
      <c r="T255" s="268">
        <f>IF('Dry_Litterbag Placem_Collection'!G36="","",'Dry_Litterbag Placem_Collection'!G36)</f>
        <v>43005</v>
      </c>
      <c r="U255" s="269">
        <f t="shared" si="15"/>
        <v>67</v>
      </c>
      <c r="V255" s="267" t="str">
        <f t="shared" si="18"/>
        <v/>
      </c>
      <c r="W255" s="267" t="str">
        <f t="shared" si="19"/>
        <v/>
      </c>
      <c r="X255" s="271">
        <f>IFERROR(INDEX(Rainfall_Dry!$O$2:$O$217,MATCH(B255, Rainfall_Dry!$A$2:$A$217,0)),"")</f>
        <v>6.5250000359999998</v>
      </c>
      <c r="Y255" s="260">
        <v>23.96</v>
      </c>
      <c r="Z255" s="260">
        <v>0.91999999999999804</v>
      </c>
      <c r="AA255" s="260">
        <v>75.12</v>
      </c>
      <c r="AB255" s="261" t="s">
        <v>2670</v>
      </c>
      <c r="AC255" s="260">
        <v>1.2493839329719072</v>
      </c>
      <c r="AD255">
        <f>IF('WetLitterbags placem_collection'!AB36="","",'WetLitterbags placem_collection'!AB36)</f>
        <v>6.5</v>
      </c>
      <c r="AE255">
        <f>IF('WetLitterbags placem_collection'!Z36="","",'WetLitterbags placem_collection'!Z36)</f>
        <v>14.2</v>
      </c>
      <c r="AF255" s="246" t="str">
        <f>IF('WetLitterbags placem_collection'!AA36="","",'WetLitterbags placem_collection'!AA36)</f>
        <v>G</v>
      </c>
      <c r="AG255">
        <f>IF('WetLitterbags placem_collection'!AC36="","",'WetLitterbags placem_collection'!AC36)</f>
        <v>0</v>
      </c>
      <c r="AH255">
        <f>IFERROR(AVERAGE('Dry_Litterbag Placem_Collection'!O36,'Dry_Litterbag Placem_Collection'!R36),"")</f>
        <v>3.25</v>
      </c>
      <c r="AI255" s="271">
        <f>IFERROR(AVERAGE('Dry_Litterbag Placem_Collection'!N36,'Dry_Litterbag Placem_Collection'!Q36),"")</f>
        <v>26.9</v>
      </c>
      <c r="AJ255" s="270">
        <f>INDEX(Coordinates!$B$2:$B$197,MATCH(G255,Coordinates!$J$2:$J$197,0))</f>
        <v>-3.4092350119999999</v>
      </c>
      <c r="AK255" s="270">
        <f>INDEX(Coordinates!$C$2:$C$197,MATCH(G255,Coordinates!$J$2:$J$197,0))</f>
        <v>34.852782019999999</v>
      </c>
      <c r="AL255" s="270" t="str">
        <f>IF(ISNUMBER(SEARCH("C", 'Dry_Litterbag Placem_Collection'!T36)),"YES","NO")</f>
        <v>NO</v>
      </c>
      <c r="AM255" s="270" t="str">
        <f>IF(ISNUMBER(SEARCH("H", 'Dry_Litterbag Placem_Collection'!T36)),"YES","NO")</f>
        <v>NO</v>
      </c>
      <c r="AN255" s="270" t="str">
        <f>IF(ISNUMBER(SEARCH("R", 'Dry_Litterbag Placem_Collection'!T36)),"YES","NO")</f>
        <v>NO</v>
      </c>
    </row>
    <row r="256" spans="1:40" ht="15" customHeight="1">
      <c r="A256" s="262" t="s">
        <v>2659</v>
      </c>
      <c r="B256" s="263">
        <f>'Dry_Litterbag Placem_Collection'!A37</f>
        <v>35</v>
      </c>
      <c r="C256" s="263" t="str">
        <f>'Dry_Litterbag Placem_Collection'!B37</f>
        <v>Makao</v>
      </c>
      <c r="D256" s="263" t="s">
        <v>2659</v>
      </c>
      <c r="E256" s="263" t="s">
        <v>20</v>
      </c>
      <c r="F256" s="263">
        <v>1</v>
      </c>
      <c r="G256" s="264" t="str">
        <f>'Dry_Litterbag Placem_Collection'!C37</f>
        <v>Dry_P1_T3</v>
      </c>
      <c r="H256" s="265" t="s">
        <v>2541</v>
      </c>
      <c r="I256" s="272" t="s">
        <v>298</v>
      </c>
      <c r="J256" s="263" t="str">
        <f>IF(ISBLANK('Dry_Litterbag Placem_Collection'!K37),"","R"&amp;""&amp;'Dry_Litterbag Placem_Collection'!K37)</f>
        <v>R776</v>
      </c>
      <c r="K256" s="267">
        <f>IFERROR(INDEX('Green_rooibos initial weight'!$C$5:$C$1749,MATCH(J256, 'Green_rooibos initial weight'!$A$5:$A$1749,0)),"")</f>
        <v>2.1989999999999998</v>
      </c>
      <c r="L256" s="267">
        <f>IFERROR(K256-(TBIcalc!$Q$9+TBIcalc!$Q$10),"")</f>
        <v>1.9491999999999998</v>
      </c>
      <c r="M256" s="391">
        <f>AVERAGE(Ashed_controlls!$K$12:$K$14)</f>
        <v>2.2816647271287041</v>
      </c>
      <c r="N256" s="267">
        <f t="shared" si="16"/>
        <v>1.9047257911388071</v>
      </c>
      <c r="O256" s="267">
        <f>IF(IFERROR(INDEX('Both teabags AfterDry'!$D$3:$D$900,MATCH(J256,'Both teabags AfterDry'!$A$3:$A$900,0)),"")="","",(IFERROR(INDEX('Both teabags AfterDry'!$D$3:$D$900,MATCH(J256,'Both teabags AfterDry'!$A$3:$A$900,0)),"")))</f>
        <v>1.9447000000000001</v>
      </c>
      <c r="P256" s="267">
        <f>IFERROR(IF(O256&gt;0,O256-(TBIcalc!$Q$9),""),"")</f>
        <v>1.7941</v>
      </c>
      <c r="Q256" s="278">
        <f>IFERROR(INDEX('Ashed teabags dry'!$K$2:$K$825,MATCH(J256,'Ashed teabags dry'!$A$2:$A$825,0)),"")</f>
        <v>3.3316506814742248</v>
      </c>
      <c r="R256" s="278">
        <f t="shared" si="17"/>
        <v>1.734326855123671</v>
      </c>
      <c r="S256" s="268">
        <f>'Dry_Litterbag Placem_Collection'!E37</f>
        <v>42938</v>
      </c>
      <c r="T256" s="268">
        <f>IF('Dry_Litterbag Placem_Collection'!G37="","",'Dry_Litterbag Placem_Collection'!G37)</f>
        <v>43005</v>
      </c>
      <c r="U256" s="269">
        <f t="shared" si="15"/>
        <v>67</v>
      </c>
      <c r="V256" s="267">
        <f t="shared" si="18"/>
        <v>0.15509999999999979</v>
      </c>
      <c r="W256" s="267">
        <f t="shared" si="19"/>
        <v>0.17039893601513612</v>
      </c>
      <c r="X256" s="271">
        <f>IFERROR(INDEX(Rainfall_Dry!$O$2:$O$217,MATCH(B256, Rainfall_Dry!$A$2:$A$217,0)),"")</f>
        <v>6.5250000359999998</v>
      </c>
      <c r="Y256" s="260">
        <v>23.96</v>
      </c>
      <c r="Z256" s="260">
        <v>0.91999999999999804</v>
      </c>
      <c r="AA256" s="260">
        <v>75.12</v>
      </c>
      <c r="AB256" s="261" t="s">
        <v>2670</v>
      </c>
      <c r="AC256" s="260">
        <v>1.2493839329719072</v>
      </c>
      <c r="AD256">
        <f>IF('WetLitterbags placem_collection'!AB37="","",'WetLitterbags placem_collection'!AB37)</f>
        <v>0.7</v>
      </c>
      <c r="AE256">
        <f>IF('WetLitterbags placem_collection'!Z37="","",'WetLitterbags placem_collection'!Z37)</f>
        <v>10.6</v>
      </c>
      <c r="AF256" s="246" t="str">
        <f>IF('WetLitterbags placem_collection'!AA37="","",'WetLitterbags placem_collection'!AA37)</f>
        <v>G</v>
      </c>
      <c r="AG256">
        <f>IF('WetLitterbags placem_collection'!AC37="","",'WetLitterbags placem_collection'!AC37)</f>
        <v>0</v>
      </c>
      <c r="AH256">
        <f>IFERROR(AVERAGE('Dry_Litterbag Placem_Collection'!O37,'Dry_Litterbag Placem_Collection'!R37),"")</f>
        <v>3.35</v>
      </c>
      <c r="AI256" s="271">
        <f>IFERROR(AVERAGE('Dry_Litterbag Placem_Collection'!N37,'Dry_Litterbag Placem_Collection'!Q37),"")</f>
        <v>26.95</v>
      </c>
      <c r="AJ256" s="270">
        <f>INDEX(Coordinates!$B$2:$B$197,MATCH(G256,Coordinates!$J$2:$J$197,0))</f>
        <v>-3.409177009</v>
      </c>
      <c r="AK256" s="270">
        <f>INDEX(Coordinates!$C$2:$C$197,MATCH(G256,Coordinates!$J$2:$J$197,0))</f>
        <v>34.852818990000003</v>
      </c>
      <c r="AL256" s="270" t="str">
        <f>IF(ISNUMBER(SEARCH("C", 'Dry_Litterbag Placem_Collection'!T37)),"YES","NO")</f>
        <v>NO</v>
      </c>
      <c r="AM256" s="270" t="str">
        <f>IF(ISNUMBER(SEARCH("H", 'Dry_Litterbag Placem_Collection'!T37)),"YES","NO")</f>
        <v>NO</v>
      </c>
      <c r="AN256" s="270" t="str">
        <f>IF(ISNUMBER(SEARCH("R", 'Dry_Litterbag Placem_Collection'!T37)),"YES","NO")</f>
        <v>NO</v>
      </c>
    </row>
    <row r="257" spans="1:40" ht="15" customHeight="1">
      <c r="A257" s="262" t="s">
        <v>2659</v>
      </c>
      <c r="B257" s="263">
        <f>'Dry_Litterbag Placem_Collection'!A38</f>
        <v>36</v>
      </c>
      <c r="C257" s="263" t="str">
        <f>'Dry_Litterbag Placem_Collection'!B38</f>
        <v>Makao</v>
      </c>
      <c r="D257" s="263" t="s">
        <v>2659</v>
      </c>
      <c r="E257" s="263" t="s">
        <v>20</v>
      </c>
      <c r="F257" s="263">
        <v>1</v>
      </c>
      <c r="G257" s="264" t="str">
        <f>'Dry_Litterbag Placem_Collection'!C38</f>
        <v>Dry_P1_T4</v>
      </c>
      <c r="H257" s="265" t="s">
        <v>2541</v>
      </c>
      <c r="I257" s="272" t="s">
        <v>298</v>
      </c>
      <c r="J257" s="263" t="str">
        <f>IF(ISBLANK('Dry_Litterbag Placem_Collection'!K38),"","R"&amp;""&amp;'Dry_Litterbag Placem_Collection'!K38)</f>
        <v>R799</v>
      </c>
      <c r="K257" s="267">
        <f>IFERROR(INDEX('Green_rooibos initial weight'!$C$5:$C$1749,MATCH(J257, 'Green_rooibos initial weight'!$A$5:$A$1749,0)),"")</f>
        <v>2.2040000000000002</v>
      </c>
      <c r="L257" s="267">
        <f>IFERROR(K257-(TBIcalc!$Q$9+TBIcalc!$Q$10),"")</f>
        <v>1.9542000000000002</v>
      </c>
      <c r="M257" s="391">
        <f>AVERAGE(Ashed_controlls!$K$12:$K$14)</f>
        <v>2.2816647271287041</v>
      </c>
      <c r="N257" s="267">
        <f t="shared" si="16"/>
        <v>1.909611707902451</v>
      </c>
      <c r="O257" s="267">
        <f>IF(IFERROR(INDEX('Both teabags AfterDry'!$D$3:$D$900,MATCH(J257,'Both teabags AfterDry'!$A$3:$A$900,0)),"")="","",(IFERROR(INDEX('Both teabags AfterDry'!$D$3:$D$900,MATCH(J257,'Both teabags AfterDry'!$A$3:$A$900,0)),"")))</f>
        <v>1.3494999999999999</v>
      </c>
      <c r="P257" s="267">
        <f>IFERROR(IF(O257&gt;0,O257-(TBIcalc!$Q$9),""),"")</f>
        <v>1.1988999999999999</v>
      </c>
      <c r="Q257" s="278">
        <f>IFERROR(INDEX('Ashed teabags dry'!$K$2:$K$825,MATCH(J257,'Ashed teabags dry'!$A$2:$A$825,0)),"")</f>
        <v>96.616541353382999</v>
      </c>
      <c r="R257" s="278">
        <f t="shared" si="17"/>
        <v>4.0564285714291159E-2</v>
      </c>
      <c r="S257" s="268">
        <f>'Dry_Litterbag Placem_Collection'!E38</f>
        <v>42938</v>
      </c>
      <c r="T257" s="268">
        <f>IF('Dry_Litterbag Placem_Collection'!G38="","",'Dry_Litterbag Placem_Collection'!G38)</f>
        <v>43005</v>
      </c>
      <c r="U257" s="269">
        <f t="shared" si="15"/>
        <v>67</v>
      </c>
      <c r="V257" s="267">
        <f t="shared" si="18"/>
        <v>0.7553000000000003</v>
      </c>
      <c r="W257" s="267">
        <f t="shared" si="19"/>
        <v>1.8690474221881599</v>
      </c>
      <c r="X257" s="271">
        <f>IFERROR(INDEX(Rainfall_Dry!$O$2:$O$217,MATCH(B257, Rainfall_Dry!$A$2:$A$217,0)),"")</f>
        <v>6.5250000359999998</v>
      </c>
      <c r="Y257" s="260">
        <v>23.96</v>
      </c>
      <c r="Z257" s="260">
        <v>0.91999999999999804</v>
      </c>
      <c r="AA257" s="260">
        <v>75.12</v>
      </c>
      <c r="AB257" s="261" t="s">
        <v>2670</v>
      </c>
      <c r="AC257" s="260">
        <v>1.2493839329719072</v>
      </c>
      <c r="AD257">
        <f>IF('WetLitterbags placem_collection'!AB38="","",'WetLitterbags placem_collection'!AB38)</f>
        <v>3.3</v>
      </c>
      <c r="AE257">
        <f>IF('WetLitterbags placem_collection'!Z38="","",'WetLitterbags placem_collection'!Z38)</f>
        <v>4.9000000000000004</v>
      </c>
      <c r="AF257" s="246" t="str">
        <f>IF('WetLitterbags placem_collection'!AA38="","",'WetLitterbags placem_collection'!AA38)</f>
        <v>G</v>
      </c>
      <c r="AG257">
        <f>IF('WetLitterbags placem_collection'!AC38="","",'WetLitterbags placem_collection'!AC38)</f>
        <v>1</v>
      </c>
      <c r="AH257">
        <f>IFERROR(AVERAGE('Dry_Litterbag Placem_Collection'!O38,'Dry_Litterbag Placem_Collection'!R38),"")</f>
        <v>3</v>
      </c>
      <c r="AI257" s="271">
        <f>IFERROR(AVERAGE('Dry_Litterbag Placem_Collection'!N38,'Dry_Litterbag Placem_Collection'!Q38),"")</f>
        <v>25.85</v>
      </c>
      <c r="AJ257" s="270">
        <f>INDEX(Coordinates!$B$2:$B$197,MATCH(G257,Coordinates!$J$2:$J$197,0))</f>
        <v>-3.40917198</v>
      </c>
      <c r="AK257" s="270">
        <f>INDEX(Coordinates!$C$2:$C$197,MATCH(G257,Coordinates!$J$2:$J$197,0))</f>
        <v>34.852960979999999</v>
      </c>
      <c r="AL257" s="270" t="str">
        <f>IF(ISNUMBER(SEARCH("C", 'Dry_Litterbag Placem_Collection'!T38)),"YES","NO")</f>
        <v>YES</v>
      </c>
      <c r="AM257" s="270" t="str">
        <f>IF(ISNUMBER(SEARCH("H", 'Dry_Litterbag Placem_Collection'!T38)),"YES","NO")</f>
        <v>YES</v>
      </c>
      <c r="AN257" s="270" t="str">
        <f>IF(ISNUMBER(SEARCH("R", 'Dry_Litterbag Placem_Collection'!T38)),"YES","NO")</f>
        <v>NO</v>
      </c>
    </row>
    <row r="258" spans="1:40" ht="15" customHeight="1">
      <c r="A258" s="262" t="s">
        <v>2659</v>
      </c>
      <c r="B258" s="263">
        <f>'Dry_Litterbag Placem_Collection'!A39</f>
        <v>37</v>
      </c>
      <c r="C258" s="263" t="str">
        <f>'Dry_Litterbag Placem_Collection'!B39</f>
        <v>Makao</v>
      </c>
      <c r="D258" s="263" t="s">
        <v>2659</v>
      </c>
      <c r="E258" s="263" t="s">
        <v>20</v>
      </c>
      <c r="F258" s="263">
        <v>1</v>
      </c>
      <c r="G258" s="264" t="str">
        <f>'Dry_Litterbag Placem_Collection'!C39</f>
        <v>Dry_P1_T5</v>
      </c>
      <c r="H258" s="265" t="s">
        <v>2541</v>
      </c>
      <c r="I258" s="272" t="s">
        <v>298</v>
      </c>
      <c r="J258" s="263" t="str">
        <f>IF(ISBLANK('Dry_Litterbag Placem_Collection'!K39),"","R"&amp;""&amp;'Dry_Litterbag Placem_Collection'!K39)</f>
        <v>R722</v>
      </c>
      <c r="K258" s="267">
        <f>IFERROR(INDEX('Green_rooibos initial weight'!$C$5:$C$1749,MATCH(J258, 'Green_rooibos initial weight'!$A$5:$A$1749,0)),"")</f>
        <v>2.2069999999999999</v>
      </c>
      <c r="L258" s="267">
        <f>IFERROR(K258-(TBIcalc!$Q$9+TBIcalc!$Q$10),"")</f>
        <v>1.9571999999999998</v>
      </c>
      <c r="M258" s="391">
        <f>AVERAGE(Ashed_controlls!$K$12:$K$14)</f>
        <v>2.2816647271287041</v>
      </c>
      <c r="N258" s="267">
        <f t="shared" si="16"/>
        <v>1.9125432579606367</v>
      </c>
      <c r="O258" s="267">
        <f>IF(IFERROR(INDEX('Both teabags AfterDry'!$D$3:$D$900,MATCH(J258,'Both teabags AfterDry'!$A$3:$A$900,0)),"")="","",(IFERROR(INDEX('Both teabags AfterDry'!$D$3:$D$900,MATCH(J258,'Both teabags AfterDry'!$A$3:$A$900,0)),"")))</f>
        <v>0.13320000000000001</v>
      </c>
      <c r="P258" s="267">
        <f>IFERROR(IF(O258&gt;0,O258-(TBIcalc!$Q$9),""),"")</f>
        <v>-1.7399999999999999E-2</v>
      </c>
      <c r="Q258" s="278">
        <f>IFERROR(INDEX('Ashed teabags dry'!$K$2:$K$825,MATCH(J258,'Ashed teabags dry'!$A$2:$A$825,0)),"")</f>
        <v>96.545105566220045</v>
      </c>
      <c r="R258" s="278">
        <f t="shared" si="17"/>
        <v>-6.0115163147771156E-4</v>
      </c>
      <c r="S258" s="268">
        <f>'Dry_Litterbag Placem_Collection'!E39</f>
        <v>42938</v>
      </c>
      <c r="T258" s="268">
        <f>IF('Dry_Litterbag Placem_Collection'!G39="","",'Dry_Litterbag Placem_Collection'!G39)</f>
        <v>43005</v>
      </c>
      <c r="U258" s="269">
        <f t="shared" ref="U258:U321" si="20">IFERROR(T258-S258,"")</f>
        <v>67</v>
      </c>
      <c r="V258" s="267">
        <f t="shared" si="18"/>
        <v>1.9745999999999999</v>
      </c>
      <c r="W258" s="267">
        <f t="shared" si="19"/>
        <v>1.9131444095921144</v>
      </c>
      <c r="X258" s="271">
        <f>IFERROR(INDEX(Rainfall_Dry!$O$2:$O$217,MATCH(B258, Rainfall_Dry!$A$2:$A$217,0)),"")</f>
        <v>6.5250000359999998</v>
      </c>
      <c r="Y258" s="260">
        <v>23.96</v>
      </c>
      <c r="Z258" s="260">
        <v>0.91999999999999804</v>
      </c>
      <c r="AA258" s="260">
        <v>75.12</v>
      </c>
      <c r="AB258" s="261" t="s">
        <v>2670</v>
      </c>
      <c r="AC258" s="260">
        <v>1.2493839329719072</v>
      </c>
      <c r="AD258">
        <f>IF('WetLitterbags placem_collection'!AB39="","",'WetLitterbags placem_collection'!AB39)</f>
        <v>8.3000000000000007</v>
      </c>
      <c r="AE258">
        <f>IF('WetLitterbags placem_collection'!Z39="","",'WetLitterbags placem_collection'!Z39)</f>
        <v>27.8</v>
      </c>
      <c r="AF258" s="246" t="str">
        <f>IF('WetLitterbags placem_collection'!AA39="","",'WetLitterbags placem_collection'!AA39)</f>
        <v>G</v>
      </c>
      <c r="AG258">
        <f>IF('WetLitterbags placem_collection'!AC39="","",'WetLitterbags placem_collection'!AC39)</f>
        <v>0</v>
      </c>
      <c r="AH258">
        <f>IFERROR(AVERAGE('Dry_Litterbag Placem_Collection'!O39,'Dry_Litterbag Placem_Collection'!R39),"")</f>
        <v>4.25</v>
      </c>
      <c r="AI258" s="271">
        <f>IFERROR(AVERAGE('Dry_Litterbag Placem_Collection'!N39,'Dry_Litterbag Placem_Collection'!Q39),"")</f>
        <v>26.1</v>
      </c>
      <c r="AJ258" s="270">
        <f>INDEX(Coordinates!$B$2:$B$197,MATCH(G258,Coordinates!$J$2:$J$197,0))</f>
        <v>-3.4090709779999999</v>
      </c>
      <c r="AK258" s="270">
        <f>INDEX(Coordinates!$C$2:$C$197,MATCH(G258,Coordinates!$J$2:$J$197,0))</f>
        <v>34.852712029999999</v>
      </c>
      <c r="AL258" s="270" t="str">
        <f>IF(ISNUMBER(SEARCH("C", 'Dry_Litterbag Placem_Collection'!T39)),"YES","NO")</f>
        <v>YES</v>
      </c>
      <c r="AM258" s="270" t="str">
        <f>IF(ISNUMBER(SEARCH("H", 'Dry_Litterbag Placem_Collection'!T39)),"YES","NO")</f>
        <v>YES</v>
      </c>
      <c r="AN258" s="270" t="str">
        <f>IF(ISNUMBER(SEARCH("R", 'Dry_Litterbag Placem_Collection'!T39)),"YES","NO")</f>
        <v>NO</v>
      </c>
    </row>
    <row r="259" spans="1:40" ht="15" customHeight="1">
      <c r="A259" s="262" t="s">
        <v>2659</v>
      </c>
      <c r="B259" s="263">
        <f>'Dry_Litterbag Placem_Collection'!A40</f>
        <v>38</v>
      </c>
      <c r="C259" s="263" t="str">
        <f>'Dry_Litterbag Placem_Collection'!B40</f>
        <v>Makao</v>
      </c>
      <c r="D259" s="263" t="s">
        <v>2659</v>
      </c>
      <c r="E259" s="263" t="s">
        <v>20</v>
      </c>
      <c r="F259" s="263">
        <v>1</v>
      </c>
      <c r="G259" s="264" t="str">
        <f>'Dry_Litterbag Placem_Collection'!C40</f>
        <v>Dry_P1_T6</v>
      </c>
      <c r="H259" s="265" t="s">
        <v>2541</v>
      </c>
      <c r="I259" s="272" t="s">
        <v>298</v>
      </c>
      <c r="J259" s="263" t="str">
        <f>IF(ISBLANK('Dry_Litterbag Placem_Collection'!K40),"","R"&amp;""&amp;'Dry_Litterbag Placem_Collection'!K40)</f>
        <v>R796</v>
      </c>
      <c r="K259" s="267">
        <f>IFERROR(INDEX('Green_rooibos initial weight'!$C$5:$C$1749,MATCH(J259, 'Green_rooibos initial weight'!$A$5:$A$1749,0)),"")</f>
        <v>2.2360000000000002</v>
      </c>
      <c r="L259" s="267">
        <f>IFERROR(K259-(TBIcalc!$Q$9+TBIcalc!$Q$10),"")</f>
        <v>1.9862000000000002</v>
      </c>
      <c r="M259" s="391">
        <f>AVERAGE(Ashed_controlls!$K$12:$K$14)</f>
        <v>2.2816647271287041</v>
      </c>
      <c r="N259" s="267">
        <f t="shared" ref="N259:N322" si="21">IFERROR(L259-(M259/100)*L259,"")</f>
        <v>1.9408815751897699</v>
      </c>
      <c r="O259" s="267">
        <f>IF(IFERROR(INDEX('Both teabags AfterDry'!$D$3:$D$900,MATCH(J259,'Both teabags AfterDry'!$A$3:$A$900,0)),"")="","",(IFERROR(INDEX('Both teabags AfterDry'!$D$3:$D$900,MATCH(J259,'Both teabags AfterDry'!$A$3:$A$900,0)),"")))</f>
        <v>1.9076</v>
      </c>
      <c r="P259" s="267">
        <f>IFERROR(IF(O259&gt;0,O259-(TBIcalc!$Q$9),""),"")</f>
        <v>1.7569999999999999</v>
      </c>
      <c r="Q259" s="278">
        <f>IFERROR(INDEX('Ashed teabags dry'!$K$2:$K$825,MATCH(J259,'Ashed teabags dry'!$A$2:$A$825,0)),"")</f>
        <v>4.810004810006216</v>
      </c>
      <c r="R259" s="278">
        <f t="shared" ref="R259:R322" si="22">IFERROR(P259-(Q259/100)*P259,"")</f>
        <v>1.6724882154881906</v>
      </c>
      <c r="S259" s="268">
        <f>'Dry_Litterbag Placem_Collection'!E40</f>
        <v>42938</v>
      </c>
      <c r="T259" s="268">
        <f>IF('Dry_Litterbag Placem_Collection'!G40="","",'Dry_Litterbag Placem_Collection'!G40)</f>
        <v>43005</v>
      </c>
      <c r="U259" s="269">
        <f t="shared" si="20"/>
        <v>67</v>
      </c>
      <c r="V259" s="267">
        <f t="shared" ref="V259:V322" si="23">IFERROR(L259-P259,"")</f>
        <v>0.22920000000000029</v>
      </c>
      <c r="W259" s="267">
        <f t="shared" ref="W259:W322" si="24">IFERROR(N259-R259,"")</f>
        <v>0.26839335970157929</v>
      </c>
      <c r="X259" s="271">
        <f>IFERROR(INDEX(Rainfall_Dry!$O$2:$O$217,MATCH(B259, Rainfall_Dry!$A$2:$A$217,0)),"")</f>
        <v>6.5250000359999998</v>
      </c>
      <c r="Y259" s="260">
        <v>23.96</v>
      </c>
      <c r="Z259" s="260">
        <v>0.91999999999999804</v>
      </c>
      <c r="AA259" s="260">
        <v>75.12</v>
      </c>
      <c r="AB259" s="261" t="s">
        <v>2670</v>
      </c>
      <c r="AC259" s="260">
        <v>1.2493839329719072</v>
      </c>
      <c r="AD259">
        <f>IF('WetLitterbags placem_collection'!AB40="","",'WetLitterbags placem_collection'!AB40)</f>
        <v>2</v>
      </c>
      <c r="AE259">
        <f>IF('WetLitterbags placem_collection'!Z40="","",'WetLitterbags placem_collection'!Z40)</f>
        <v>20.399999999999999</v>
      </c>
      <c r="AF259" s="246" t="str">
        <f>IF('WetLitterbags placem_collection'!AA40="","",'WetLitterbags placem_collection'!AA40)</f>
        <v>O</v>
      </c>
      <c r="AG259">
        <f>IF('WetLitterbags placem_collection'!AC40="","",'WetLitterbags placem_collection'!AC40)</f>
        <v>0</v>
      </c>
      <c r="AH259">
        <f>IFERROR(AVERAGE('Dry_Litterbag Placem_Collection'!O40,'Dry_Litterbag Placem_Collection'!R40),"")</f>
        <v>2.85</v>
      </c>
      <c r="AI259" s="271">
        <f>IFERROR(AVERAGE('Dry_Litterbag Placem_Collection'!N40,'Dry_Litterbag Placem_Collection'!Q40),"")</f>
        <v>26.7</v>
      </c>
      <c r="AJ259" s="270">
        <f>INDEX(Coordinates!$B$2:$B$197,MATCH(G259,Coordinates!$J$2:$J$197,0))</f>
        <v>-3.409280023</v>
      </c>
      <c r="AK259" s="270">
        <f>INDEX(Coordinates!$C$2:$C$197,MATCH(G259,Coordinates!$J$2:$J$197,0))</f>
        <v>34.852612960000002</v>
      </c>
      <c r="AL259" s="270" t="str">
        <f>IF(ISNUMBER(SEARCH("C", 'Dry_Litterbag Placem_Collection'!T40)),"YES","NO")</f>
        <v>NO</v>
      </c>
      <c r="AM259" s="270" t="str">
        <f>IF(ISNUMBER(SEARCH("H", 'Dry_Litterbag Placem_Collection'!T40)),"YES","NO")</f>
        <v>NO</v>
      </c>
      <c r="AN259" s="270" t="str">
        <f>IF(ISNUMBER(SEARCH("R", 'Dry_Litterbag Placem_Collection'!T40)),"YES","NO")</f>
        <v>NO</v>
      </c>
    </row>
    <row r="260" spans="1:40" ht="15" customHeight="1">
      <c r="A260" s="262" t="s">
        <v>2659</v>
      </c>
      <c r="B260" s="263">
        <f>'Dry_Litterbag Placem_Collection'!A41</f>
        <v>39</v>
      </c>
      <c r="C260" s="263" t="str">
        <f>'Dry_Litterbag Placem_Collection'!B41</f>
        <v>Makao</v>
      </c>
      <c r="D260" s="263" t="s">
        <v>2659</v>
      </c>
      <c r="E260" s="263" t="s">
        <v>20</v>
      </c>
      <c r="F260" s="263">
        <v>1</v>
      </c>
      <c r="G260" s="264" t="str">
        <f>'Dry_Litterbag Placem_Collection'!C41</f>
        <v>Dry_P1_T7</v>
      </c>
      <c r="H260" s="265" t="s">
        <v>2541</v>
      </c>
      <c r="I260" s="272" t="s">
        <v>298</v>
      </c>
      <c r="J260" s="263" t="str">
        <f>IF(ISBLANK('Dry_Litterbag Placem_Collection'!K41),"","R"&amp;""&amp;'Dry_Litterbag Placem_Collection'!K41)</f>
        <v/>
      </c>
      <c r="K260" s="267" t="str">
        <f>IFERROR(INDEX('Green_rooibos initial weight'!$C$5:$C$1749,MATCH(J260, 'Green_rooibos initial weight'!$A$5:$A$1749,0)),"")</f>
        <v/>
      </c>
      <c r="L260" s="267" t="str">
        <f>IFERROR(K260-(TBIcalc!$Q$9+TBIcalc!$Q$10),"")</f>
        <v/>
      </c>
      <c r="M260" s="391">
        <f>AVERAGE(Ashed_controlls!$K$12:$K$14)</f>
        <v>2.2816647271287041</v>
      </c>
      <c r="N260" s="267" t="str">
        <f t="shared" si="21"/>
        <v/>
      </c>
      <c r="O260" s="267" t="str">
        <f>IF(IFERROR(INDEX('Both teabags AfterDry'!$D$3:$D$900,MATCH(J260,'Both teabags AfterDry'!$A$3:$A$900,0)),"")="","",(IFERROR(INDEX('Both teabags AfterDry'!$D$3:$D$900,MATCH(J260,'Both teabags AfterDry'!$A$3:$A$900,0)),"")))</f>
        <v/>
      </c>
      <c r="P260" s="267" t="str">
        <f>IFERROR(IF(O260&gt;0,O260-(TBIcalc!$Q$9),""),"")</f>
        <v/>
      </c>
      <c r="Q260" s="278" t="str">
        <f>IFERROR(INDEX('Ashed teabags dry'!$K$2:$K$825,MATCH(J260,'Ashed teabags dry'!$A$2:$A$825,0)),"")</f>
        <v/>
      </c>
      <c r="R260" s="278" t="str">
        <f t="shared" si="22"/>
        <v/>
      </c>
      <c r="S260" s="268">
        <f>'Dry_Litterbag Placem_Collection'!E41</f>
        <v>42938</v>
      </c>
      <c r="T260" s="268" t="str">
        <f>IF('Dry_Litterbag Placem_Collection'!G41="","",'Dry_Litterbag Placem_Collection'!G41)</f>
        <v/>
      </c>
      <c r="U260" s="269" t="str">
        <f t="shared" si="20"/>
        <v/>
      </c>
      <c r="V260" s="267" t="str">
        <f t="shared" si="23"/>
        <v/>
      </c>
      <c r="W260" s="267" t="str">
        <f t="shared" si="24"/>
        <v/>
      </c>
      <c r="X260" s="271" t="str">
        <f>IFERROR(INDEX(Rainfall_Dry!$O$2:$O$217,MATCH(B260, Rainfall_Dry!$A$2:$A$217,0)),"")</f>
        <v/>
      </c>
      <c r="Y260" s="260">
        <v>23.96</v>
      </c>
      <c r="Z260" s="260">
        <v>0.91999999999999804</v>
      </c>
      <c r="AA260" s="260">
        <v>75.12</v>
      </c>
      <c r="AB260" s="261" t="s">
        <v>2670</v>
      </c>
      <c r="AC260" s="260">
        <v>1.2493839329719072</v>
      </c>
      <c r="AD260">
        <f>IF('WetLitterbags placem_collection'!AB41="","",'WetLitterbags placem_collection'!AB41)</f>
        <v>2.4</v>
      </c>
      <c r="AE260">
        <f>IF('WetLitterbags placem_collection'!Z41="","",'WetLitterbags placem_collection'!Z41)</f>
        <v>18</v>
      </c>
      <c r="AF260" s="246" t="str">
        <f>IF('WetLitterbags placem_collection'!AA41="","",'WetLitterbags placem_collection'!AA41)</f>
        <v>G</v>
      </c>
      <c r="AG260">
        <f>IF('WetLitterbags placem_collection'!AC41="","",'WetLitterbags placem_collection'!AC41)</f>
        <v>1</v>
      </c>
      <c r="AH260" t="str">
        <f>IFERROR(AVERAGE('Dry_Litterbag Placem_Collection'!O41,'Dry_Litterbag Placem_Collection'!R41),"")</f>
        <v/>
      </c>
      <c r="AI260" s="271" t="str">
        <f>IFERROR(AVERAGE('Dry_Litterbag Placem_Collection'!N41,'Dry_Litterbag Placem_Collection'!Q41),"")</f>
        <v/>
      </c>
      <c r="AJ260" s="270">
        <f>INDEX(Coordinates!$B$2:$B$197,MATCH(G260,Coordinates!$J$2:$J$197,0))</f>
        <v>-3.4093859700000002</v>
      </c>
      <c r="AK260" s="270">
        <f>INDEX(Coordinates!$C$2:$C$197,MATCH(G260,Coordinates!$J$2:$J$197,0))</f>
        <v>34.852855030000001</v>
      </c>
      <c r="AL260" s="270" t="str">
        <f>IF(ISNUMBER(SEARCH("C", 'Dry_Litterbag Placem_Collection'!T41)),"YES","NO")</f>
        <v>NO</v>
      </c>
      <c r="AM260" s="270" t="str">
        <f>IF(ISNUMBER(SEARCH("H", 'Dry_Litterbag Placem_Collection'!T41)),"YES","NO")</f>
        <v>NO</v>
      </c>
      <c r="AN260" s="270" t="str">
        <f>IF(ISNUMBER(SEARCH("R", 'Dry_Litterbag Placem_Collection'!T41)),"YES","NO")</f>
        <v>NO</v>
      </c>
    </row>
    <row r="261" spans="1:40" ht="15" customHeight="1">
      <c r="A261" s="262" t="s">
        <v>2659</v>
      </c>
      <c r="B261" s="263">
        <f>'Dry_Litterbag Placem_Collection'!A42</f>
        <v>40</v>
      </c>
      <c r="C261" s="263" t="str">
        <f>'Dry_Litterbag Placem_Collection'!B42</f>
        <v>Makao</v>
      </c>
      <c r="D261" s="263" t="s">
        <v>2659</v>
      </c>
      <c r="E261" s="263" t="s">
        <v>20</v>
      </c>
      <c r="F261" s="263">
        <v>1</v>
      </c>
      <c r="G261" s="264" t="str">
        <f>'Dry_Litterbag Placem_Collection'!C42</f>
        <v>Dry_P1_T8</v>
      </c>
      <c r="H261" s="265" t="s">
        <v>2541</v>
      </c>
      <c r="I261" s="272" t="s">
        <v>298</v>
      </c>
      <c r="J261" s="263" t="str">
        <f>IF(ISBLANK('Dry_Litterbag Placem_Collection'!K42),"","R"&amp;""&amp;'Dry_Litterbag Placem_Collection'!K42)</f>
        <v>R782</v>
      </c>
      <c r="K261" s="267">
        <f>IFERROR(INDEX('Green_rooibos initial weight'!$C$5:$C$1749,MATCH(J261, 'Green_rooibos initial weight'!$A$5:$A$1749,0)),"")</f>
        <v>2.2410000000000001</v>
      </c>
      <c r="L261" s="267">
        <f>IFERROR(K261-(TBIcalc!$Q$9+TBIcalc!$Q$10),"")</f>
        <v>1.9912000000000001</v>
      </c>
      <c r="M261" s="391">
        <f>AVERAGE(Ashed_controlls!$K$12:$K$14)</f>
        <v>2.2816647271287041</v>
      </c>
      <c r="N261" s="267">
        <f t="shared" si="21"/>
        <v>1.9457674919534134</v>
      </c>
      <c r="O261" s="267">
        <f>IF(IFERROR(INDEX('Both teabags AfterDry'!$D$3:$D$900,MATCH(J261,'Both teabags AfterDry'!$A$3:$A$900,0)),"")="","",(IFERROR(INDEX('Both teabags AfterDry'!$D$3:$D$900,MATCH(J261,'Both teabags AfterDry'!$A$3:$A$900,0)),"")))</f>
        <v>1.992</v>
      </c>
      <c r="P261" s="267">
        <f>IFERROR(IF(O261&gt;0,O261-(TBIcalc!$Q$9),""),"")</f>
        <v>1.8413999999999999</v>
      </c>
      <c r="Q261" s="278">
        <f>IFERROR(INDEX('Ashed teabags dry'!$K$2:$K$825,MATCH(J261,'Ashed teabags dry'!$A$2:$A$825,0)),"")</f>
        <v>3.5485460818134884</v>
      </c>
      <c r="R261" s="278">
        <f t="shared" si="22"/>
        <v>1.7760570724494864</v>
      </c>
      <c r="S261" s="268">
        <f>'Dry_Litterbag Placem_Collection'!E42</f>
        <v>42938</v>
      </c>
      <c r="T261" s="268">
        <f>IF('Dry_Litterbag Placem_Collection'!G42="","",'Dry_Litterbag Placem_Collection'!G42)</f>
        <v>43005</v>
      </c>
      <c r="U261" s="269">
        <f t="shared" si="20"/>
        <v>67</v>
      </c>
      <c r="V261" s="267">
        <f t="shared" si="23"/>
        <v>0.14980000000000016</v>
      </c>
      <c r="W261" s="267">
        <f t="shared" si="24"/>
        <v>0.16971041950392696</v>
      </c>
      <c r="X261" s="271">
        <f>IFERROR(INDEX(Rainfall_Dry!$O$2:$O$217,MATCH(B261, Rainfall_Dry!$A$2:$A$217,0)),"")</f>
        <v>6.5250000359999998</v>
      </c>
      <c r="Y261" s="260">
        <v>23.96</v>
      </c>
      <c r="Z261" s="260">
        <v>0.91999999999999804</v>
      </c>
      <c r="AA261" s="260">
        <v>75.12</v>
      </c>
      <c r="AB261" s="261" t="s">
        <v>2670</v>
      </c>
      <c r="AC261" s="260">
        <v>1.2493839329719072</v>
      </c>
      <c r="AD261">
        <f>IF('WetLitterbags placem_collection'!AB42="","",'WetLitterbags placem_collection'!AB42)</f>
        <v>8.6999999999999993</v>
      </c>
      <c r="AE261">
        <f>IF('WetLitterbags placem_collection'!Z42="","",'WetLitterbags placem_collection'!Z42)</f>
        <v>19.3</v>
      </c>
      <c r="AF261" s="246" t="str">
        <f>IF('WetLitterbags placem_collection'!AA42="","",'WetLitterbags placem_collection'!AA42)</f>
        <v>G</v>
      </c>
      <c r="AG261">
        <f>IF('WetLitterbags placem_collection'!AC42="","",'WetLitterbags placem_collection'!AC42)</f>
        <v>0</v>
      </c>
      <c r="AH261">
        <f>IFERROR(AVERAGE('Dry_Litterbag Placem_Collection'!O42,'Dry_Litterbag Placem_Collection'!R42),"")</f>
        <v>4.5999999999999996</v>
      </c>
      <c r="AI261" s="271">
        <f>IFERROR(AVERAGE('Dry_Litterbag Placem_Collection'!N42,'Dry_Litterbag Placem_Collection'!Q42),"")</f>
        <v>26.2</v>
      </c>
      <c r="AJ261" s="270">
        <f>INDEX(Coordinates!$B$2:$B$197,MATCH(G261,Coordinates!$J$2:$J$197,0))</f>
        <v>-3.4091539590000002</v>
      </c>
      <c r="AK261" s="270">
        <f>INDEX(Coordinates!$C$2:$C$197,MATCH(G261,Coordinates!$J$2:$J$197,0))</f>
        <v>34.852755029999997</v>
      </c>
      <c r="AL261" s="270" t="str">
        <f>IF(ISNUMBER(SEARCH("C", 'Dry_Litterbag Placem_Collection'!T42)),"YES","NO")</f>
        <v>NO</v>
      </c>
      <c r="AM261" s="270" t="str">
        <f>IF(ISNUMBER(SEARCH("H", 'Dry_Litterbag Placem_Collection'!T42)),"YES","NO")</f>
        <v>NO</v>
      </c>
      <c r="AN261" s="270" t="str">
        <f>IF(ISNUMBER(SEARCH("R", 'Dry_Litterbag Placem_Collection'!T42)),"YES","NO")</f>
        <v>NO</v>
      </c>
    </row>
    <row r="262" spans="1:40" ht="15" customHeight="1">
      <c r="A262" s="262" t="s">
        <v>2659</v>
      </c>
      <c r="B262" s="263">
        <f>'Dry_Litterbag Placem_Collection'!A43</f>
        <v>41</v>
      </c>
      <c r="C262" s="263" t="str">
        <f>'Dry_Litterbag Placem_Collection'!B43</f>
        <v>Makao</v>
      </c>
      <c r="D262" s="263" t="s">
        <v>2659</v>
      </c>
      <c r="E262" s="263" t="s">
        <v>20</v>
      </c>
      <c r="F262" s="263">
        <v>2</v>
      </c>
      <c r="G262" s="264" t="str">
        <f>'Dry_Litterbag Placem_Collection'!C43</f>
        <v>Dry_P2_T1</v>
      </c>
      <c r="H262" s="265" t="s">
        <v>2541</v>
      </c>
      <c r="I262" s="272" t="s">
        <v>298</v>
      </c>
      <c r="J262" s="263" t="str">
        <f>IF(ISBLANK('Dry_Litterbag Placem_Collection'!K43),"","R"&amp;""&amp;'Dry_Litterbag Placem_Collection'!K43)</f>
        <v>R820</v>
      </c>
      <c r="K262" s="267">
        <f>IFERROR(INDEX('Green_rooibos initial weight'!$C$5:$C$1749,MATCH(J262, 'Green_rooibos initial weight'!$A$5:$A$1749,0)),"")</f>
        <v>2.2170000000000001</v>
      </c>
      <c r="L262" s="267">
        <f>IFERROR(K262-(TBIcalc!$Q$9+TBIcalc!$Q$10),"")</f>
        <v>1.9672000000000001</v>
      </c>
      <c r="M262" s="391">
        <f>AVERAGE(Ashed_controlls!$K$12:$K$14)</f>
        <v>2.2816647271287041</v>
      </c>
      <c r="N262" s="267">
        <f t="shared" si="21"/>
        <v>1.9223150914879241</v>
      </c>
      <c r="O262" s="267">
        <f>IF(IFERROR(INDEX('Both teabags AfterDry'!$D$3:$D$900,MATCH(J262,'Both teabags AfterDry'!$A$3:$A$900,0)),"")="","",(IFERROR(INDEX('Both teabags AfterDry'!$D$3:$D$900,MATCH(J262,'Both teabags AfterDry'!$A$3:$A$900,0)),"")))</f>
        <v>1.2708999999999999</v>
      </c>
      <c r="P262" s="267">
        <f>IFERROR(IF(O262&gt;0,O262-(TBIcalc!$Q$9),""),"")</f>
        <v>1.1202999999999999</v>
      </c>
      <c r="Q262" s="278">
        <f>IFERROR(INDEX('Ashed teabags dry'!$K$2:$K$825,MATCH(J262,'Ashed teabags dry'!$A$2:$A$825,0)),"")</f>
        <v>3.1920199501252777</v>
      </c>
      <c r="R262" s="278">
        <f t="shared" si="22"/>
        <v>1.0845398004987463</v>
      </c>
      <c r="S262" s="268">
        <f>'Dry_Litterbag Placem_Collection'!E43</f>
        <v>42938</v>
      </c>
      <c r="T262" s="268">
        <f>IF('Dry_Litterbag Placem_Collection'!G43="","",'Dry_Litterbag Placem_Collection'!G43)</f>
        <v>43005</v>
      </c>
      <c r="U262" s="269">
        <f t="shared" si="20"/>
        <v>67</v>
      </c>
      <c r="V262" s="267">
        <f t="shared" si="23"/>
        <v>0.84690000000000021</v>
      </c>
      <c r="W262" s="267">
        <f t="shared" si="24"/>
        <v>0.8377752909891778</v>
      </c>
      <c r="X262" s="271">
        <f>IFERROR(INDEX(Rainfall_Dry!$O$2:$O$217,MATCH(B262, Rainfall_Dry!$A$2:$A$217,0)),"")</f>
        <v>6.5250000359999998</v>
      </c>
      <c r="Y262" s="260">
        <v>19.96</v>
      </c>
      <c r="Z262" s="260">
        <v>4.9199999999999982</v>
      </c>
      <c r="AA262" s="260">
        <v>75.12</v>
      </c>
      <c r="AB262" s="261" t="s">
        <v>2671</v>
      </c>
      <c r="AC262" s="260">
        <v>1.641498275012321</v>
      </c>
      <c r="AD262">
        <f>IF('WetLitterbags placem_collection'!AB43="","",'WetLitterbags placem_collection'!AB43)</f>
        <v>4</v>
      </c>
      <c r="AE262">
        <f>IF('WetLitterbags placem_collection'!Z43="","",'WetLitterbags placem_collection'!Z43)</f>
        <v>19.100000000000001</v>
      </c>
      <c r="AF262" s="246" t="str">
        <f>IF('WetLitterbags placem_collection'!AA43="","",'WetLitterbags placem_collection'!AA43)</f>
        <v>G</v>
      </c>
      <c r="AG262">
        <f>IF('WetLitterbags placem_collection'!AC43="","",'WetLitterbags placem_collection'!AC43)</f>
        <v>0</v>
      </c>
      <c r="AH262">
        <f>IFERROR(AVERAGE('Dry_Litterbag Placem_Collection'!O43,'Dry_Litterbag Placem_Collection'!R43),"")</f>
        <v>4.6500000000000004</v>
      </c>
      <c r="AI262" s="271">
        <f>IFERROR(AVERAGE('Dry_Litterbag Placem_Collection'!N43,'Dry_Litterbag Placem_Collection'!Q43),"")</f>
        <v>27.85</v>
      </c>
      <c r="AJ262" s="270">
        <f>INDEX(Coordinates!$B$2:$B$197,MATCH(G262,Coordinates!$J$2:$J$197,0))</f>
        <v>-3.4083420040000001</v>
      </c>
      <c r="AK262" s="270">
        <f>INDEX(Coordinates!$C$2:$C$197,MATCH(G262,Coordinates!$J$2:$J$197,0))</f>
        <v>34.850283040000001</v>
      </c>
      <c r="AL262" s="270" t="str">
        <f>IF(ISNUMBER(SEARCH("C", 'Dry_Litterbag Placem_Collection'!T43)),"YES","NO")</f>
        <v>NO</v>
      </c>
      <c r="AM262" s="270" t="str">
        <f>IF(ISNUMBER(SEARCH("H", 'Dry_Litterbag Placem_Collection'!T43)),"YES","NO")</f>
        <v>YES</v>
      </c>
      <c r="AN262" s="270" t="str">
        <f>IF(ISNUMBER(SEARCH("R", 'Dry_Litterbag Placem_Collection'!T43)),"YES","NO")</f>
        <v>NO</v>
      </c>
    </row>
    <row r="263" spans="1:40" ht="15" customHeight="1">
      <c r="A263" s="262" t="s">
        <v>2659</v>
      </c>
      <c r="B263" s="263">
        <f>'Dry_Litterbag Placem_Collection'!A44</f>
        <v>42</v>
      </c>
      <c r="C263" s="263" t="str">
        <f>'Dry_Litterbag Placem_Collection'!B44</f>
        <v>Makao</v>
      </c>
      <c r="D263" s="263" t="s">
        <v>2659</v>
      </c>
      <c r="E263" s="263" t="s">
        <v>20</v>
      </c>
      <c r="F263" s="263">
        <v>2</v>
      </c>
      <c r="G263" s="264" t="str">
        <f>'Dry_Litterbag Placem_Collection'!C44</f>
        <v>Dry_P2_T2</v>
      </c>
      <c r="H263" s="265" t="s">
        <v>2541</v>
      </c>
      <c r="I263" s="272" t="s">
        <v>298</v>
      </c>
      <c r="J263" s="263" t="str">
        <f>IF(ISBLANK('Dry_Litterbag Placem_Collection'!K44),"","R"&amp;""&amp;'Dry_Litterbag Placem_Collection'!K44)</f>
        <v>R806</v>
      </c>
      <c r="K263" s="267">
        <f>IFERROR(INDEX('Green_rooibos initial weight'!$C$5:$C$1749,MATCH(J263, 'Green_rooibos initial weight'!$A$5:$A$1749,0)),"")</f>
        <v>2.2389999999999999</v>
      </c>
      <c r="L263" s="267">
        <f>IFERROR(K263-(TBIcalc!$Q$9+TBIcalc!$Q$10),"")</f>
        <v>1.9891999999999999</v>
      </c>
      <c r="M263" s="391">
        <f>AVERAGE(Ashed_controlls!$K$12:$K$14)</f>
        <v>2.2816647271287041</v>
      </c>
      <c r="N263" s="267">
        <f t="shared" si="21"/>
        <v>1.9438131252479556</v>
      </c>
      <c r="O263" s="267">
        <f>IF(IFERROR(INDEX('Both teabags AfterDry'!$D$3:$D$900,MATCH(J263,'Both teabags AfterDry'!$A$3:$A$900,0)),"")="","",(IFERROR(INDEX('Both teabags AfterDry'!$D$3:$D$900,MATCH(J263,'Both teabags AfterDry'!$A$3:$A$900,0)),"")))</f>
        <v>0.14760000000000001</v>
      </c>
      <c r="P263" s="267">
        <f>IFERROR(IF(O263&gt;0,O263-(TBIcalc!$Q$9),""),"")</f>
        <v>-3.0000000000000027E-3</v>
      </c>
      <c r="Q263" s="278">
        <f>IFERROR(INDEX('Ashed teabags dry'!$K$2:$K$825,MATCH(J263,'Ashed teabags dry'!$A$2:$A$825,0)),"")</f>
        <v>0</v>
      </c>
      <c r="R263" s="278">
        <f t="shared" si="22"/>
        <v>-3.0000000000000027E-3</v>
      </c>
      <c r="S263" s="268">
        <f>'Dry_Litterbag Placem_Collection'!E44</f>
        <v>42938</v>
      </c>
      <c r="T263" s="268">
        <f>IF('Dry_Litterbag Placem_Collection'!G44="","",'Dry_Litterbag Placem_Collection'!G44)</f>
        <v>43005</v>
      </c>
      <c r="U263" s="269">
        <f t="shared" si="20"/>
        <v>67</v>
      </c>
      <c r="V263" s="267">
        <f t="shared" si="23"/>
        <v>1.9922</v>
      </c>
      <c r="W263" s="267">
        <f t="shared" si="24"/>
        <v>1.9468131252479557</v>
      </c>
      <c r="X263" s="271">
        <f>IFERROR(INDEX(Rainfall_Dry!$O$2:$O$217,MATCH(B263, Rainfall_Dry!$A$2:$A$217,0)),"")</f>
        <v>6.5250000359999998</v>
      </c>
      <c r="Y263" s="260">
        <v>19.96</v>
      </c>
      <c r="Z263" s="260">
        <v>4.9199999999999982</v>
      </c>
      <c r="AA263" s="260">
        <v>75.12</v>
      </c>
      <c r="AB263" s="261" t="s">
        <v>2671</v>
      </c>
      <c r="AC263" s="260">
        <v>1.641498275012321</v>
      </c>
      <c r="AD263">
        <f>IF('WetLitterbags placem_collection'!AB44="","",'WetLitterbags placem_collection'!AB44)</f>
        <v>5.9</v>
      </c>
      <c r="AE263">
        <f>IF('WetLitterbags placem_collection'!Z44="","",'WetLitterbags placem_collection'!Z44)</f>
        <v>12.7</v>
      </c>
      <c r="AF263" s="246" t="str">
        <f>IF('WetLitterbags placem_collection'!AA44="","",'WetLitterbags placem_collection'!AA44)</f>
        <v>G</v>
      </c>
      <c r="AG263">
        <f>IF('WetLitterbags placem_collection'!AC44="","",'WetLitterbags placem_collection'!AC44)</f>
        <v>0</v>
      </c>
      <c r="AH263">
        <f>IFERROR(AVERAGE('Dry_Litterbag Placem_Collection'!O44,'Dry_Litterbag Placem_Collection'!R44),"")</f>
        <v>5.1999999999999993</v>
      </c>
      <c r="AI263" s="271">
        <f>IFERROR(AVERAGE('Dry_Litterbag Placem_Collection'!N44,'Dry_Litterbag Placem_Collection'!Q44),"")</f>
        <v>27.15</v>
      </c>
      <c r="AJ263" s="270">
        <f>INDEX(Coordinates!$B$2:$B$197,MATCH(G263,Coordinates!$J$2:$J$197,0))</f>
        <v>-3.4084079690000002</v>
      </c>
      <c r="AK263" s="270">
        <f>INDEX(Coordinates!$C$2:$C$197,MATCH(G263,Coordinates!$J$2:$J$197,0))</f>
        <v>34.850295029999998</v>
      </c>
      <c r="AL263" s="270" t="str">
        <f>IF(ISNUMBER(SEARCH("C", 'Dry_Litterbag Placem_Collection'!T44)),"YES","NO")</f>
        <v>YES</v>
      </c>
      <c r="AM263" s="270" t="str">
        <f>IF(ISNUMBER(SEARCH("H", 'Dry_Litterbag Placem_Collection'!T44)),"YES","NO")</f>
        <v>YES</v>
      </c>
      <c r="AN263" s="270" t="str">
        <f>IF(ISNUMBER(SEARCH("R", 'Dry_Litterbag Placem_Collection'!T44)),"YES","NO")</f>
        <v>NO</v>
      </c>
    </row>
    <row r="264" spans="1:40" ht="15" customHeight="1">
      <c r="A264" s="262" t="s">
        <v>2659</v>
      </c>
      <c r="B264" s="263">
        <f>'Dry_Litterbag Placem_Collection'!A45</f>
        <v>43</v>
      </c>
      <c r="C264" s="263" t="str">
        <f>'Dry_Litterbag Placem_Collection'!B45</f>
        <v>Makao</v>
      </c>
      <c r="D264" s="263" t="s">
        <v>2659</v>
      </c>
      <c r="E264" s="263" t="s">
        <v>20</v>
      </c>
      <c r="F264" s="263">
        <v>2</v>
      </c>
      <c r="G264" s="264" t="str">
        <f>'Dry_Litterbag Placem_Collection'!C45</f>
        <v>Dry_P2_T3</v>
      </c>
      <c r="H264" s="265" t="s">
        <v>2541</v>
      </c>
      <c r="I264" s="272" t="s">
        <v>298</v>
      </c>
      <c r="J264" s="263" t="str">
        <f>IF(ISBLANK('Dry_Litterbag Placem_Collection'!K45),"","R"&amp;""&amp;'Dry_Litterbag Placem_Collection'!K45)</f>
        <v>R758</v>
      </c>
      <c r="K264" s="267">
        <f>IFERROR(INDEX('Green_rooibos initial weight'!$C$5:$C$1749,MATCH(J264, 'Green_rooibos initial weight'!$A$5:$A$1749,0)),"")</f>
        <v>2.2200000000000002</v>
      </c>
      <c r="L264" s="267">
        <f>IFERROR(K264-(TBIcalc!$Q$9+TBIcalc!$Q$10),"")</f>
        <v>1.9702000000000002</v>
      </c>
      <c r="M264" s="391">
        <f>AVERAGE(Ashed_controlls!$K$12:$K$14)</f>
        <v>2.2816647271287041</v>
      </c>
      <c r="N264" s="267">
        <f t="shared" si="21"/>
        <v>1.9252466415461105</v>
      </c>
      <c r="O264" s="267">
        <f>IF(IFERROR(INDEX('Both teabags AfterDry'!$D$3:$D$900,MATCH(J264,'Both teabags AfterDry'!$A$3:$A$900,0)),"")="","",(IFERROR(INDEX('Both teabags AfterDry'!$D$3:$D$900,MATCH(J264,'Both teabags AfterDry'!$A$3:$A$900,0)),"")))</f>
        <v>1.6818</v>
      </c>
      <c r="P264" s="267">
        <f>IFERROR(IF(O264&gt;0,O264-(TBIcalc!$Q$9),""),"")</f>
        <v>1.5311999999999999</v>
      </c>
      <c r="Q264" s="278">
        <f>IFERROR(INDEX('Ashed teabags dry'!$K$2:$K$825,MATCH(J264,'Ashed teabags dry'!$A$2:$A$825,0)),"")</f>
        <v>92.062122519413393</v>
      </c>
      <c r="R264" s="278">
        <f t="shared" si="22"/>
        <v>0.12154477998274205</v>
      </c>
      <c r="S264" s="268">
        <f>'Dry_Litterbag Placem_Collection'!E45</f>
        <v>42938</v>
      </c>
      <c r="T264" s="268">
        <f>IF('Dry_Litterbag Placem_Collection'!G45="","",'Dry_Litterbag Placem_Collection'!G45)</f>
        <v>43005</v>
      </c>
      <c r="U264" s="269">
        <f t="shared" si="20"/>
        <v>67</v>
      </c>
      <c r="V264" s="267">
        <f t="shared" si="23"/>
        <v>0.43900000000000028</v>
      </c>
      <c r="W264" s="267">
        <f t="shared" si="24"/>
        <v>1.8037018615633684</v>
      </c>
      <c r="X264" s="271">
        <f>IFERROR(INDEX(Rainfall_Dry!$O$2:$O$217,MATCH(B264, Rainfall_Dry!$A$2:$A$217,0)),"")</f>
        <v>6.5250000359999998</v>
      </c>
      <c r="Y264" s="260">
        <v>19.96</v>
      </c>
      <c r="Z264" s="260">
        <v>4.9199999999999982</v>
      </c>
      <c r="AA264" s="260">
        <v>75.12</v>
      </c>
      <c r="AB264" s="261" t="s">
        <v>2671</v>
      </c>
      <c r="AC264" s="260">
        <v>1.641498275012321</v>
      </c>
      <c r="AD264">
        <f>IF('WetLitterbags placem_collection'!AB45="","",'WetLitterbags placem_collection'!AB45)</f>
        <v>5</v>
      </c>
      <c r="AE264">
        <f>IF('WetLitterbags placem_collection'!Z45="","",'WetLitterbags placem_collection'!Z45)</f>
        <v>26.3</v>
      </c>
      <c r="AF264" s="246" t="str">
        <f>IF('WetLitterbags placem_collection'!AA45="","",'WetLitterbags placem_collection'!AA45)</f>
        <v>G</v>
      </c>
      <c r="AG264">
        <f>IF('WetLitterbags placem_collection'!AC45="","",'WetLitterbags placem_collection'!AC45)</f>
        <v>0</v>
      </c>
      <c r="AH264">
        <f>IFERROR(AVERAGE('Dry_Litterbag Placem_Collection'!O45,'Dry_Litterbag Placem_Collection'!R45),"")</f>
        <v>2.4500000000000002</v>
      </c>
      <c r="AI264" s="271">
        <f>IFERROR(AVERAGE('Dry_Litterbag Placem_Collection'!N45,'Dry_Litterbag Placem_Collection'!Q45),"")</f>
        <v>26.1</v>
      </c>
      <c r="AJ264" s="270">
        <f>INDEX(Coordinates!$B$2:$B$197,MATCH(G264,Coordinates!$J$2:$J$197,0))</f>
        <v>-3.4082369789999998</v>
      </c>
      <c r="AK264" s="270">
        <f>INDEX(Coordinates!$C$2:$C$197,MATCH(G264,Coordinates!$J$2:$J$197,0))</f>
        <v>34.850189999999998</v>
      </c>
      <c r="AL264" s="270" t="str">
        <f>IF(ISNUMBER(SEARCH("C", 'Dry_Litterbag Placem_Collection'!T45)),"YES","NO")</f>
        <v>YES</v>
      </c>
      <c r="AM264" s="270" t="str">
        <f>IF(ISNUMBER(SEARCH("H", 'Dry_Litterbag Placem_Collection'!T45)),"YES","NO")</f>
        <v>YES</v>
      </c>
      <c r="AN264" s="270" t="str">
        <f>IF(ISNUMBER(SEARCH("R", 'Dry_Litterbag Placem_Collection'!T45)),"YES","NO")</f>
        <v>NO</v>
      </c>
    </row>
    <row r="265" spans="1:40" ht="15" customHeight="1">
      <c r="A265" s="262" t="s">
        <v>2659</v>
      </c>
      <c r="B265" s="263">
        <f>'Dry_Litterbag Placem_Collection'!A46</f>
        <v>44</v>
      </c>
      <c r="C265" s="263" t="str">
        <f>'Dry_Litterbag Placem_Collection'!B46</f>
        <v>Makao</v>
      </c>
      <c r="D265" s="263" t="s">
        <v>2659</v>
      </c>
      <c r="E265" s="263" t="s">
        <v>20</v>
      </c>
      <c r="F265" s="263">
        <v>2</v>
      </c>
      <c r="G265" s="264" t="str">
        <f>'Dry_Litterbag Placem_Collection'!C46</f>
        <v>Dry_P2_T4</v>
      </c>
      <c r="H265" s="265" t="s">
        <v>2541</v>
      </c>
      <c r="I265" s="272" t="s">
        <v>298</v>
      </c>
      <c r="J265" s="263" t="str">
        <f>IF(ISBLANK('Dry_Litterbag Placem_Collection'!K46),"","R"&amp;""&amp;'Dry_Litterbag Placem_Collection'!K46)</f>
        <v>R783</v>
      </c>
      <c r="K265" s="267">
        <f>IFERROR(INDEX('Green_rooibos initial weight'!$C$5:$C$1749,MATCH(J265, 'Green_rooibos initial weight'!$A$5:$A$1749,0)),"")</f>
        <v>2.1989999999999998</v>
      </c>
      <c r="L265" s="267">
        <f>IFERROR(K265-(TBIcalc!$Q$9+TBIcalc!$Q$10),"")</f>
        <v>1.9491999999999998</v>
      </c>
      <c r="M265" s="391">
        <f>AVERAGE(Ashed_controlls!$K$12:$K$14)</f>
        <v>2.2816647271287041</v>
      </c>
      <c r="N265" s="267">
        <f t="shared" si="21"/>
        <v>1.9047257911388071</v>
      </c>
      <c r="O265" s="267">
        <f>IF(IFERROR(INDEX('Both teabags AfterDry'!$D$3:$D$900,MATCH(J265,'Both teabags AfterDry'!$A$3:$A$900,0)),"")="","",(IFERROR(INDEX('Both teabags AfterDry'!$D$3:$D$900,MATCH(J265,'Both teabags AfterDry'!$A$3:$A$900,0)),"")))</f>
        <v>1.8973</v>
      </c>
      <c r="P265" s="267">
        <f>IFERROR(IF(O265&gt;0,O265-(TBIcalc!$Q$9),""),"")</f>
        <v>1.7466999999999999</v>
      </c>
      <c r="Q265" s="278">
        <f>IFERROR(INDEX('Ashed teabags dry'!$K$2:$K$825,MATCH(J265,'Ashed teabags dry'!$A$2:$A$825,0)),"")</f>
        <v>3.6579572446556408</v>
      </c>
      <c r="R265" s="278">
        <f t="shared" si="22"/>
        <v>1.6828064608075999</v>
      </c>
      <c r="S265" s="268">
        <f>'Dry_Litterbag Placem_Collection'!E46</f>
        <v>42938</v>
      </c>
      <c r="T265" s="268">
        <f>IF('Dry_Litterbag Placem_Collection'!G46="","",'Dry_Litterbag Placem_Collection'!G46)</f>
        <v>43005</v>
      </c>
      <c r="U265" s="269">
        <f t="shared" si="20"/>
        <v>67</v>
      </c>
      <c r="V265" s="267">
        <f t="shared" si="23"/>
        <v>0.2024999999999999</v>
      </c>
      <c r="W265" s="267">
        <f t="shared" si="24"/>
        <v>0.22191933033120725</v>
      </c>
      <c r="X265" s="271">
        <f>IFERROR(INDEX(Rainfall_Dry!$O$2:$O$217,MATCH(B265, Rainfall_Dry!$A$2:$A$217,0)),"")</f>
        <v>6.5250000359999998</v>
      </c>
      <c r="Y265" s="260">
        <v>19.96</v>
      </c>
      <c r="Z265" s="260">
        <v>4.9199999999999982</v>
      </c>
      <c r="AA265" s="260">
        <v>75.12</v>
      </c>
      <c r="AB265" s="261" t="s">
        <v>2671</v>
      </c>
      <c r="AC265" s="260">
        <v>1.641498275012321</v>
      </c>
      <c r="AD265">
        <f>IF('WetLitterbags placem_collection'!AB46="","",'WetLitterbags placem_collection'!AB46)</f>
        <v>2.6</v>
      </c>
      <c r="AE265">
        <f>IF('WetLitterbags placem_collection'!Z46="","",'WetLitterbags placem_collection'!Z46)</f>
        <v>39.200000000000003</v>
      </c>
      <c r="AF265" s="246" t="str">
        <f>IF('WetLitterbags placem_collection'!AA46="","",'WetLitterbags placem_collection'!AA46)</f>
        <v>G</v>
      </c>
      <c r="AG265">
        <f>IF('WetLitterbags placem_collection'!AC46="","",'WetLitterbags placem_collection'!AC46)</f>
        <v>0</v>
      </c>
      <c r="AH265">
        <f>IFERROR(AVERAGE('Dry_Litterbag Placem_Collection'!O46,'Dry_Litterbag Placem_Collection'!R46),"")</f>
        <v>3.8499999999999996</v>
      </c>
      <c r="AI265" s="271">
        <f>IFERROR(AVERAGE('Dry_Litterbag Placem_Collection'!N46,'Dry_Litterbag Placem_Collection'!Q46),"")</f>
        <v>26.5</v>
      </c>
      <c r="AJ265" s="270">
        <f>INDEX(Coordinates!$B$2:$B$197,MATCH(G265,Coordinates!$J$2:$J$197,0))</f>
        <v>-3.4081529920000002</v>
      </c>
      <c r="AK265" s="270">
        <f>INDEX(Coordinates!$C$2:$C$197,MATCH(G265,Coordinates!$J$2:$J$197,0))</f>
        <v>34.850168959999998</v>
      </c>
      <c r="AL265" s="270" t="str">
        <f>IF(ISNUMBER(SEARCH("C", 'Dry_Litterbag Placem_Collection'!T46)),"YES","NO")</f>
        <v>NO</v>
      </c>
      <c r="AM265" s="270" t="str">
        <f>IF(ISNUMBER(SEARCH("H", 'Dry_Litterbag Placem_Collection'!T46)),"YES","NO")</f>
        <v>NO</v>
      </c>
      <c r="AN265" s="270" t="str">
        <f>IF(ISNUMBER(SEARCH("R", 'Dry_Litterbag Placem_Collection'!T46)),"YES","NO")</f>
        <v>NO</v>
      </c>
    </row>
    <row r="266" spans="1:40" ht="15" customHeight="1">
      <c r="A266" s="262" t="s">
        <v>2659</v>
      </c>
      <c r="B266" s="263">
        <f>'Dry_Litterbag Placem_Collection'!A47</f>
        <v>45</v>
      </c>
      <c r="C266" s="263" t="str">
        <f>'Dry_Litterbag Placem_Collection'!B47</f>
        <v>Makao</v>
      </c>
      <c r="D266" s="263" t="s">
        <v>2659</v>
      </c>
      <c r="E266" s="263" t="s">
        <v>20</v>
      </c>
      <c r="F266" s="263">
        <v>2</v>
      </c>
      <c r="G266" s="264" t="str">
        <f>'Dry_Litterbag Placem_Collection'!C47</f>
        <v>Dry_P2_T5</v>
      </c>
      <c r="H266" s="265" t="s">
        <v>2541</v>
      </c>
      <c r="I266" s="272" t="s">
        <v>298</v>
      </c>
      <c r="J266" s="263" t="str">
        <f>IF(ISBLANK('Dry_Litterbag Placem_Collection'!K47),"","R"&amp;""&amp;'Dry_Litterbag Placem_Collection'!K47)</f>
        <v>R827</v>
      </c>
      <c r="K266" s="267">
        <f>IFERROR(INDEX('Green_rooibos initial weight'!$C$5:$C$1749,MATCH(J266, 'Green_rooibos initial weight'!$A$5:$A$1749,0)),"")</f>
        <v>2.222</v>
      </c>
      <c r="L266" s="267">
        <f>IFERROR(K266-(TBIcalc!$Q$9+TBIcalc!$Q$10),"")</f>
        <v>1.9722</v>
      </c>
      <c r="M266" s="391">
        <f>AVERAGE(Ashed_controlls!$K$12:$K$14)</f>
        <v>2.2816647271287041</v>
      </c>
      <c r="N266" s="267">
        <f t="shared" si="21"/>
        <v>1.9272010082515676</v>
      </c>
      <c r="O266" s="267" t="str">
        <f>IF(IFERROR(INDEX('Both teabags AfterDry'!$D$3:$D$900,MATCH(J266,'Both teabags AfterDry'!$A$3:$A$900,0)),"")="","",(IFERROR(INDEX('Both teabags AfterDry'!$D$3:$D$900,MATCH(J266,'Both teabags AfterDry'!$A$3:$A$900,0)),"")))</f>
        <v/>
      </c>
      <c r="P266" s="267" t="str">
        <f>IFERROR(IF(O266&gt;0,O266-(TBIcalc!$Q$9),""),"")</f>
        <v/>
      </c>
      <c r="Q266" s="278" t="str">
        <f>IFERROR(INDEX('Ashed teabags dry'!$K$2:$K$825,MATCH(J266,'Ashed teabags dry'!$A$2:$A$825,0)),"")</f>
        <v/>
      </c>
      <c r="R266" s="278" t="str">
        <f t="shared" si="22"/>
        <v/>
      </c>
      <c r="S266" s="268">
        <f>'Dry_Litterbag Placem_Collection'!E47</f>
        <v>42938</v>
      </c>
      <c r="T266" s="268">
        <f>IF('Dry_Litterbag Placem_Collection'!G47="","",'Dry_Litterbag Placem_Collection'!G47)</f>
        <v>43005</v>
      </c>
      <c r="U266" s="269">
        <f t="shared" si="20"/>
        <v>67</v>
      </c>
      <c r="V266" s="267" t="str">
        <f t="shared" si="23"/>
        <v/>
      </c>
      <c r="W266" s="267" t="str">
        <f t="shared" si="24"/>
        <v/>
      </c>
      <c r="X266" s="271">
        <f>IFERROR(INDEX(Rainfall_Dry!$O$2:$O$217,MATCH(B266, Rainfall_Dry!$A$2:$A$217,0)),"")</f>
        <v>6.5250000359999998</v>
      </c>
      <c r="Y266" s="260">
        <v>19.96</v>
      </c>
      <c r="Z266" s="260">
        <v>4.9199999999999982</v>
      </c>
      <c r="AA266" s="260">
        <v>75.12</v>
      </c>
      <c r="AB266" s="261" t="s">
        <v>2671</v>
      </c>
      <c r="AC266" s="260">
        <v>1.641498275012321</v>
      </c>
      <c r="AD266">
        <f>IF('WetLitterbags placem_collection'!AB47="","",'WetLitterbags placem_collection'!AB47)</f>
        <v>2.2999999999999998</v>
      </c>
      <c r="AE266">
        <f>IF('WetLitterbags placem_collection'!Z47="","",'WetLitterbags placem_collection'!Z47)</f>
        <v>9.3000000000000007</v>
      </c>
      <c r="AF266" s="246" t="str">
        <f>IF('WetLitterbags placem_collection'!AA47="","",'WetLitterbags placem_collection'!AA47)</f>
        <v>O</v>
      </c>
      <c r="AG266">
        <f>IF('WetLitterbags placem_collection'!AC47="","",'WetLitterbags placem_collection'!AC47)</f>
        <v>0</v>
      </c>
      <c r="AH266">
        <f>IFERROR(AVERAGE('Dry_Litterbag Placem_Collection'!O47,'Dry_Litterbag Placem_Collection'!R47),"")</f>
        <v>4.0999999999999996</v>
      </c>
      <c r="AI266" s="271">
        <f>IFERROR(AVERAGE('Dry_Litterbag Placem_Collection'!N47,'Dry_Litterbag Placem_Collection'!Q47),"")</f>
        <v>27.25</v>
      </c>
      <c r="AJ266" s="270">
        <f>INDEX(Coordinates!$B$2:$B$197,MATCH(G266,Coordinates!$J$2:$J$197,0))</f>
        <v>-3.4081789759999999</v>
      </c>
      <c r="AK266" s="270">
        <f>INDEX(Coordinates!$C$2:$C$197,MATCH(G266,Coordinates!$J$2:$J$197,0))</f>
        <v>34.850516980000002</v>
      </c>
      <c r="AL266" s="270" t="str">
        <f>IF(ISNUMBER(SEARCH("C", 'Dry_Litterbag Placem_Collection'!T47)),"YES","NO")</f>
        <v>YES</v>
      </c>
      <c r="AM266" s="270" t="str">
        <f>IF(ISNUMBER(SEARCH("H", 'Dry_Litterbag Placem_Collection'!T47)),"YES","NO")</f>
        <v>YES</v>
      </c>
      <c r="AN266" s="270" t="str">
        <f>IF(ISNUMBER(SEARCH("R", 'Dry_Litterbag Placem_Collection'!T47)),"YES","NO")</f>
        <v>NO</v>
      </c>
    </row>
    <row r="267" spans="1:40" ht="15" customHeight="1">
      <c r="A267" s="262" t="s">
        <v>2659</v>
      </c>
      <c r="B267" s="263">
        <f>'Dry_Litterbag Placem_Collection'!A48</f>
        <v>46</v>
      </c>
      <c r="C267" s="263" t="str">
        <f>'Dry_Litterbag Placem_Collection'!B48</f>
        <v>Makao</v>
      </c>
      <c r="D267" s="263" t="s">
        <v>2659</v>
      </c>
      <c r="E267" s="263" t="s">
        <v>20</v>
      </c>
      <c r="F267" s="263">
        <v>2</v>
      </c>
      <c r="G267" s="264" t="str">
        <f>'Dry_Litterbag Placem_Collection'!C48</f>
        <v>Dry_P2_T6</v>
      </c>
      <c r="H267" s="265" t="s">
        <v>2541</v>
      </c>
      <c r="I267" s="272" t="s">
        <v>298</v>
      </c>
      <c r="J267" s="263" t="str">
        <f>IF(ISBLANK('Dry_Litterbag Placem_Collection'!K48),"","R"&amp;""&amp;'Dry_Litterbag Placem_Collection'!K48)</f>
        <v/>
      </c>
      <c r="K267" s="267" t="str">
        <f>IFERROR(INDEX('Green_rooibos initial weight'!$C$5:$C$1749,MATCH(J267, 'Green_rooibos initial weight'!$A$5:$A$1749,0)),"")</f>
        <v/>
      </c>
      <c r="L267" s="267" t="str">
        <f>IFERROR(K267-(TBIcalc!$Q$9+TBIcalc!$Q$10),"")</f>
        <v/>
      </c>
      <c r="M267" s="391">
        <f>AVERAGE(Ashed_controlls!$K$12:$K$14)</f>
        <v>2.2816647271287041</v>
      </c>
      <c r="N267" s="267" t="str">
        <f t="shared" si="21"/>
        <v/>
      </c>
      <c r="O267" s="267" t="str">
        <f>IF(IFERROR(INDEX('Both teabags AfterDry'!$D$3:$D$900,MATCH(J267,'Both teabags AfterDry'!$A$3:$A$900,0)),"")="","",(IFERROR(INDEX('Both teabags AfterDry'!$D$3:$D$900,MATCH(J267,'Both teabags AfterDry'!$A$3:$A$900,0)),"")))</f>
        <v/>
      </c>
      <c r="P267" s="267" t="str">
        <f>IFERROR(IF(O267&gt;0,O267-(TBIcalc!$Q$9),""),"")</f>
        <v/>
      </c>
      <c r="Q267" s="278" t="str">
        <f>IFERROR(INDEX('Ashed teabags dry'!$K$2:$K$825,MATCH(J267,'Ashed teabags dry'!$A$2:$A$825,0)),"")</f>
        <v/>
      </c>
      <c r="R267" s="278" t="str">
        <f t="shared" si="22"/>
        <v/>
      </c>
      <c r="S267" s="268">
        <f>'Dry_Litterbag Placem_Collection'!E48</f>
        <v>0</v>
      </c>
      <c r="T267" s="268" t="str">
        <f>IF('Dry_Litterbag Placem_Collection'!G48="","",'Dry_Litterbag Placem_Collection'!G48)</f>
        <v/>
      </c>
      <c r="U267" s="269" t="str">
        <f t="shared" si="20"/>
        <v/>
      </c>
      <c r="V267" s="267" t="str">
        <f t="shared" si="23"/>
        <v/>
      </c>
      <c r="W267" s="267" t="str">
        <f t="shared" si="24"/>
        <v/>
      </c>
      <c r="X267" s="271" t="str">
        <f>IFERROR(INDEX(Rainfall_Dry!$O$2:$O$217,MATCH(B267, Rainfall_Dry!$A$2:$A$217,0)),"")</f>
        <v/>
      </c>
      <c r="Y267" s="260">
        <v>19.96</v>
      </c>
      <c r="Z267" s="260">
        <v>4.9199999999999982</v>
      </c>
      <c r="AA267" s="260">
        <v>75.12</v>
      </c>
      <c r="AB267" s="261" t="s">
        <v>2671</v>
      </c>
      <c r="AC267" s="260">
        <v>1.641498275012321</v>
      </c>
      <c r="AD267" t="str">
        <f>IF('WetLitterbags placem_collection'!AB48="","",'WetLitterbags placem_collection'!AB48)</f>
        <v/>
      </c>
      <c r="AE267" t="str">
        <f>IF('WetLitterbags placem_collection'!Z48="","",'WetLitterbags placem_collection'!Z48)</f>
        <v/>
      </c>
      <c r="AF267" s="246" t="str">
        <f>IF('WetLitterbags placem_collection'!AA48="","",'WetLitterbags placem_collection'!AA48)</f>
        <v/>
      </c>
      <c r="AG267" t="str">
        <f>IF('WetLitterbags placem_collection'!AC48="","",'WetLitterbags placem_collection'!AC48)</f>
        <v/>
      </c>
      <c r="AH267" t="str">
        <f>IFERROR(AVERAGE('Dry_Litterbag Placem_Collection'!O48,'Dry_Litterbag Placem_Collection'!R48),"")</f>
        <v/>
      </c>
      <c r="AI267" s="271" t="str">
        <f>IFERROR(AVERAGE('Dry_Litterbag Placem_Collection'!N48,'Dry_Litterbag Placem_Collection'!Q48),"")</f>
        <v/>
      </c>
      <c r="AJ267" s="270">
        <f>INDEX(Coordinates!$B$2:$B$197,MATCH(G267,Coordinates!$J$2:$J$197,0))</f>
        <v>-3.4084730130000001</v>
      </c>
      <c r="AK267" s="270">
        <f>INDEX(Coordinates!$C$2:$C$197,MATCH(G267,Coordinates!$J$2:$J$197,0))</f>
        <v>34.850401980000001</v>
      </c>
      <c r="AL267" s="270" t="str">
        <f>IF(ISNUMBER(SEARCH("C", 'Dry_Litterbag Placem_Collection'!T48)),"YES","NO")</f>
        <v>NO</v>
      </c>
      <c r="AM267" s="270" t="str">
        <f>IF(ISNUMBER(SEARCH("H", 'Dry_Litterbag Placem_Collection'!T48)),"YES","NO")</f>
        <v>NO</v>
      </c>
      <c r="AN267" s="270" t="str">
        <f>IF(ISNUMBER(SEARCH("R", 'Dry_Litterbag Placem_Collection'!T48)),"YES","NO")</f>
        <v>NO</v>
      </c>
    </row>
    <row r="268" spans="1:40" ht="15" customHeight="1">
      <c r="A268" s="262" t="s">
        <v>2659</v>
      </c>
      <c r="B268" s="263">
        <f>'Dry_Litterbag Placem_Collection'!A49</f>
        <v>47</v>
      </c>
      <c r="C268" s="263" t="str">
        <f>'Dry_Litterbag Placem_Collection'!B49</f>
        <v>Makao</v>
      </c>
      <c r="D268" s="263" t="s">
        <v>2659</v>
      </c>
      <c r="E268" s="263" t="s">
        <v>20</v>
      </c>
      <c r="F268" s="263">
        <v>2</v>
      </c>
      <c r="G268" s="264" t="str">
        <f>'Dry_Litterbag Placem_Collection'!C49</f>
        <v>Dry_P2_T7</v>
      </c>
      <c r="H268" s="265" t="s">
        <v>2541</v>
      </c>
      <c r="I268" s="272" t="s">
        <v>298</v>
      </c>
      <c r="J268" s="263" t="str">
        <f>IF(ISBLANK('Dry_Litterbag Placem_Collection'!K49),"","R"&amp;""&amp;'Dry_Litterbag Placem_Collection'!K49)</f>
        <v>R831</v>
      </c>
      <c r="K268" s="267">
        <f>IFERROR(INDEX('Green_rooibos initial weight'!$C$5:$C$1749,MATCH(J268, 'Green_rooibos initial weight'!$A$5:$A$1749,0)),"")</f>
        <v>2.2410000000000001</v>
      </c>
      <c r="L268" s="267">
        <f>IFERROR(K268-(TBIcalc!$Q$9+TBIcalc!$Q$10),"")</f>
        <v>1.9912000000000001</v>
      </c>
      <c r="M268" s="391">
        <f>AVERAGE(Ashed_controlls!$K$12:$K$14)</f>
        <v>2.2816647271287041</v>
      </c>
      <c r="N268" s="267">
        <f t="shared" si="21"/>
        <v>1.9457674919534134</v>
      </c>
      <c r="O268" s="267">
        <f>IF(IFERROR(INDEX('Both teabags AfterDry'!$D$3:$D$900,MATCH(J268,'Both teabags AfterDry'!$A$3:$A$900,0)),"")="","",(IFERROR(INDEX('Both teabags AfterDry'!$D$3:$D$900,MATCH(J268,'Both teabags AfterDry'!$A$3:$A$900,0)),"")))</f>
        <v>1.9105000000000001</v>
      </c>
      <c r="P268" s="267">
        <f>IFERROR(IF(O268&gt;0,O268-(TBIcalc!$Q$9),""),"")</f>
        <v>1.7599</v>
      </c>
      <c r="Q268" s="278">
        <f>IFERROR(INDEX('Ashed teabags dry'!$K$2:$K$825,MATCH(J268,'Ashed teabags dry'!$A$2:$A$825,0)),"")</f>
        <v>4.5857988165679391</v>
      </c>
      <c r="R268" s="278">
        <f t="shared" si="22"/>
        <v>1.6791945266272208</v>
      </c>
      <c r="S268" s="268">
        <f>'Dry_Litterbag Placem_Collection'!E49</f>
        <v>42938</v>
      </c>
      <c r="T268" s="268">
        <f>IF('Dry_Litterbag Placem_Collection'!G49="","",'Dry_Litterbag Placem_Collection'!G49)</f>
        <v>43005</v>
      </c>
      <c r="U268" s="269">
        <f t="shared" si="20"/>
        <v>67</v>
      </c>
      <c r="V268" s="267">
        <f t="shared" si="23"/>
        <v>0.23130000000000006</v>
      </c>
      <c r="W268" s="267">
        <f t="shared" si="24"/>
        <v>0.26657296532619257</v>
      </c>
      <c r="X268" s="271">
        <f>IFERROR(INDEX(Rainfall_Dry!$O$2:$O$217,MATCH(B268, Rainfall_Dry!$A$2:$A$217,0)),"")</f>
        <v>6.5250000359999998</v>
      </c>
      <c r="Y268" s="260">
        <v>19.96</v>
      </c>
      <c r="Z268" s="260">
        <v>4.9199999999999982</v>
      </c>
      <c r="AA268" s="260">
        <v>75.12</v>
      </c>
      <c r="AB268" s="261" t="s">
        <v>2671</v>
      </c>
      <c r="AC268" s="260">
        <v>1.641498275012321</v>
      </c>
      <c r="AD268">
        <f>IF('WetLitterbags placem_collection'!AB49="","",'WetLitterbags placem_collection'!AB49)</f>
        <v>5.2</v>
      </c>
      <c r="AE268">
        <f>IF('WetLitterbags placem_collection'!Z49="","",'WetLitterbags placem_collection'!Z49)</f>
        <v>5.2</v>
      </c>
      <c r="AF268" s="246" t="str">
        <f>IF('WetLitterbags placem_collection'!AA49="","",'WetLitterbags placem_collection'!AA49)</f>
        <v>G</v>
      </c>
      <c r="AG268">
        <f>IF('WetLitterbags placem_collection'!AC49="","",'WetLitterbags placem_collection'!AC49)</f>
        <v>0</v>
      </c>
      <c r="AH268">
        <f>IFERROR(AVERAGE('Dry_Litterbag Placem_Collection'!O49,'Dry_Litterbag Placem_Collection'!R49),"")</f>
        <v>5.35</v>
      </c>
      <c r="AI268" s="271">
        <f>IFERROR(AVERAGE('Dry_Litterbag Placem_Collection'!N49,'Dry_Litterbag Placem_Collection'!Q49),"")</f>
        <v>26.4</v>
      </c>
      <c r="AJ268" s="270">
        <f>INDEX(Coordinates!$B$2:$B$197,MATCH(G268,Coordinates!$J$2:$J$197,0))</f>
        <v>-3.4084819820000001</v>
      </c>
      <c r="AK268" s="270">
        <f>INDEX(Coordinates!$C$2:$C$197,MATCH(G268,Coordinates!$J$2:$J$197,0))</f>
        <v>34.850024040000001</v>
      </c>
      <c r="AL268" s="270" t="str">
        <f>IF(ISNUMBER(SEARCH("C", 'Dry_Litterbag Placem_Collection'!T49)),"YES","NO")</f>
        <v>NO</v>
      </c>
      <c r="AM268" s="270" t="str">
        <f>IF(ISNUMBER(SEARCH("H", 'Dry_Litterbag Placem_Collection'!T49)),"YES","NO")</f>
        <v>YES</v>
      </c>
      <c r="AN268" s="270" t="str">
        <f>IF(ISNUMBER(SEARCH("R", 'Dry_Litterbag Placem_Collection'!T49)),"YES","NO")</f>
        <v>NO</v>
      </c>
    </row>
    <row r="269" spans="1:40" ht="15" customHeight="1">
      <c r="A269" s="262" t="s">
        <v>2659</v>
      </c>
      <c r="B269" s="263">
        <f>'Dry_Litterbag Placem_Collection'!A50</f>
        <v>48</v>
      </c>
      <c r="C269" s="263" t="str">
        <f>'Dry_Litterbag Placem_Collection'!B50</f>
        <v>Makao</v>
      </c>
      <c r="D269" s="263" t="s">
        <v>2659</v>
      </c>
      <c r="E269" s="263" t="s">
        <v>20</v>
      </c>
      <c r="F269" s="263">
        <v>2</v>
      </c>
      <c r="G269" s="264" t="str">
        <f>'Dry_Litterbag Placem_Collection'!C50</f>
        <v>Dry_P2_T8</v>
      </c>
      <c r="H269" s="265" t="s">
        <v>2541</v>
      </c>
      <c r="I269" s="272" t="s">
        <v>298</v>
      </c>
      <c r="J269" s="263" t="str">
        <f>IF(ISBLANK('Dry_Litterbag Placem_Collection'!K50),"","R"&amp;""&amp;'Dry_Litterbag Placem_Collection'!K50)</f>
        <v>R828</v>
      </c>
      <c r="K269" s="267">
        <f>IFERROR(INDEX('Green_rooibos initial weight'!$C$5:$C$1749,MATCH(J269, 'Green_rooibos initial weight'!$A$5:$A$1749,0)),"")</f>
        <v>2.2330000000000001</v>
      </c>
      <c r="L269" s="267">
        <f>IFERROR(K269-(TBIcalc!$Q$9+TBIcalc!$Q$10),"")</f>
        <v>1.9832000000000001</v>
      </c>
      <c r="M269" s="391">
        <f>AVERAGE(Ashed_controlls!$K$12:$K$14)</f>
        <v>2.2816647271287041</v>
      </c>
      <c r="N269" s="267">
        <f t="shared" si="21"/>
        <v>1.9379500251315835</v>
      </c>
      <c r="O269" s="267">
        <f>IF(IFERROR(INDEX('Both teabags AfterDry'!$D$3:$D$900,MATCH(J269,'Both teabags AfterDry'!$A$3:$A$900,0)),"")="","",(IFERROR(INDEX('Both teabags AfterDry'!$D$3:$D$900,MATCH(J269,'Both teabags AfterDry'!$A$3:$A$900,0)),"")))</f>
        <v>1.7596000000000001</v>
      </c>
      <c r="P269" s="267">
        <f>IFERROR(IF(O269&gt;0,O269-(TBIcalc!$Q$9),""),"")</f>
        <v>1.609</v>
      </c>
      <c r="Q269" s="278">
        <f>IFERROR(INDEX('Ashed teabags dry'!$K$2:$K$825,MATCH(J269,'Ashed teabags dry'!$A$2:$A$825,0)),"")</f>
        <v>2.0276953511382803</v>
      </c>
      <c r="R269" s="278">
        <f t="shared" si="22"/>
        <v>1.576374381800185</v>
      </c>
      <c r="S269" s="268">
        <f>'Dry_Litterbag Placem_Collection'!E50</f>
        <v>42938</v>
      </c>
      <c r="T269" s="268">
        <f>IF('Dry_Litterbag Placem_Collection'!G50="","",'Dry_Litterbag Placem_Collection'!G50)</f>
        <v>43005</v>
      </c>
      <c r="U269" s="269">
        <f t="shared" si="20"/>
        <v>67</v>
      </c>
      <c r="V269" s="267">
        <f t="shared" si="23"/>
        <v>0.37420000000000009</v>
      </c>
      <c r="W269" s="267">
        <f t="shared" si="24"/>
        <v>0.36157564333139858</v>
      </c>
      <c r="X269" s="271">
        <f>IFERROR(INDEX(Rainfall_Dry!$O$2:$O$217,MATCH(B269, Rainfall_Dry!$A$2:$A$217,0)),"")</f>
        <v>6.5250000359999998</v>
      </c>
      <c r="Y269" s="260">
        <v>19.96</v>
      </c>
      <c r="Z269" s="260">
        <v>4.9199999999999982</v>
      </c>
      <c r="AA269" s="260">
        <v>75.12</v>
      </c>
      <c r="AB269" s="261" t="s">
        <v>2671</v>
      </c>
      <c r="AC269" s="260">
        <v>1.641498275012321</v>
      </c>
      <c r="AD269">
        <f>IF('WetLitterbags placem_collection'!AB50="","",'WetLitterbags placem_collection'!AB50)</f>
        <v>7.3</v>
      </c>
      <c r="AE269">
        <f>IF('WetLitterbags placem_collection'!Z50="","",'WetLitterbags placem_collection'!Z50)</f>
        <v>27.2</v>
      </c>
      <c r="AF269" s="246" t="str">
        <f>IF('WetLitterbags placem_collection'!AA50="","",'WetLitterbags placem_collection'!AA50)</f>
        <v>M</v>
      </c>
      <c r="AG269">
        <f>IF('WetLitterbags placem_collection'!AC50="","",'WetLitterbags placem_collection'!AC50)</f>
        <v>0</v>
      </c>
      <c r="AH269">
        <f>IFERROR(AVERAGE('Dry_Litterbag Placem_Collection'!O50,'Dry_Litterbag Placem_Collection'!R50),"")</f>
        <v>3.95</v>
      </c>
      <c r="AI269" s="271">
        <f>IFERROR(AVERAGE('Dry_Litterbag Placem_Collection'!N50,'Dry_Litterbag Placem_Collection'!Q50),"")</f>
        <v>25.950000000000003</v>
      </c>
      <c r="AJ269" s="270">
        <f>INDEX(Coordinates!$B$2:$B$197,MATCH(G269,Coordinates!$J$2:$J$197,0))</f>
        <v>-3.4081990090000001</v>
      </c>
      <c r="AK269" s="270">
        <f>INDEX(Coordinates!$C$2:$C$197,MATCH(G269,Coordinates!$J$2:$J$197,0))</f>
        <v>34.850254960000001</v>
      </c>
      <c r="AL269" s="270" t="str">
        <f>IF(ISNUMBER(SEARCH("C", 'Dry_Litterbag Placem_Collection'!T50)),"YES","NO")</f>
        <v>NO</v>
      </c>
      <c r="AM269" s="270" t="str">
        <f>IF(ISNUMBER(SEARCH("H", 'Dry_Litterbag Placem_Collection'!T50)),"YES","NO")</f>
        <v>NO</v>
      </c>
      <c r="AN269" s="270" t="str">
        <f>IF(ISNUMBER(SEARCH("R", 'Dry_Litterbag Placem_Collection'!T50)),"YES","NO")</f>
        <v>NO</v>
      </c>
    </row>
    <row r="270" spans="1:40" ht="15" customHeight="1">
      <c r="A270" s="262" t="s">
        <v>2659</v>
      </c>
      <c r="B270" s="263">
        <f>'Dry_Litterbag Placem_Collection'!A51</f>
        <v>49</v>
      </c>
      <c r="C270" s="263" t="str">
        <f>'Dry_Litterbag Placem_Collection'!B51</f>
        <v>Makao</v>
      </c>
      <c r="D270" s="263" t="s">
        <v>2659</v>
      </c>
      <c r="E270" s="263" t="s">
        <v>20</v>
      </c>
      <c r="F270" s="263">
        <v>3</v>
      </c>
      <c r="G270" s="264" t="str">
        <f>'Dry_Litterbag Placem_Collection'!C51</f>
        <v>Dry_P3_T1</v>
      </c>
      <c r="H270" s="265" t="s">
        <v>2541</v>
      </c>
      <c r="I270" s="272" t="s">
        <v>298</v>
      </c>
      <c r="J270" s="263" t="str">
        <f>IF(ISBLANK('Dry_Litterbag Placem_Collection'!K51),"","R"&amp;""&amp;'Dry_Litterbag Placem_Collection'!K51)</f>
        <v>R805</v>
      </c>
      <c r="K270" s="267">
        <f>IFERROR(INDEX('Green_rooibos initial weight'!$C$5:$C$1749,MATCH(J270, 'Green_rooibos initial weight'!$A$5:$A$1749,0)),"")</f>
        <v>2.2469999999999999</v>
      </c>
      <c r="L270" s="267">
        <f>IFERROR(K270-(TBIcalc!$Q$9+TBIcalc!$Q$10),"")</f>
        <v>1.9971999999999999</v>
      </c>
      <c r="M270" s="391">
        <f>AVERAGE(Ashed_controlls!$K$12:$K$14)</f>
        <v>2.2816647271287041</v>
      </c>
      <c r="N270" s="267">
        <f t="shared" si="21"/>
        <v>1.9516305920697854</v>
      </c>
      <c r="O270" s="267" t="str">
        <f>IF(IFERROR(INDEX('Both teabags AfterDry'!$D$3:$D$900,MATCH(J270,'Both teabags AfterDry'!$A$3:$A$900,0)),"")="","",(IFERROR(INDEX('Both teabags AfterDry'!$D$3:$D$900,MATCH(J270,'Both teabags AfterDry'!$A$3:$A$900,0)),"")))</f>
        <v/>
      </c>
      <c r="P270" s="267" t="str">
        <f>IFERROR(IF(O270&gt;0,O270-(TBIcalc!$Q$9),""),"")</f>
        <v/>
      </c>
      <c r="Q270" s="278" t="str">
        <f>IFERROR(INDEX('Ashed teabags dry'!$K$2:$K$825,MATCH(J270,'Ashed teabags dry'!$A$2:$A$825,0)),"")</f>
        <v/>
      </c>
      <c r="R270" s="278" t="str">
        <f t="shared" si="22"/>
        <v/>
      </c>
      <c r="S270" s="268">
        <f>'Dry_Litterbag Placem_Collection'!E51</f>
        <v>42938</v>
      </c>
      <c r="T270" s="268">
        <f>IF('Dry_Litterbag Placem_Collection'!G51="","",'Dry_Litterbag Placem_Collection'!G51)</f>
        <v>43005</v>
      </c>
      <c r="U270" s="269">
        <f t="shared" si="20"/>
        <v>67</v>
      </c>
      <c r="V270" s="267" t="str">
        <f t="shared" si="23"/>
        <v/>
      </c>
      <c r="W270" s="267" t="str">
        <f t="shared" si="24"/>
        <v/>
      </c>
      <c r="X270" s="271">
        <f>IFERROR(INDEX(Rainfall_Dry!$O$2:$O$217,MATCH(B270, Rainfall_Dry!$A$2:$A$217,0)),"")</f>
        <v>6.5250000359999998</v>
      </c>
      <c r="Y270" s="260">
        <v>21.96</v>
      </c>
      <c r="Z270" s="260">
        <v>8.9199999999999982</v>
      </c>
      <c r="AA270" s="260">
        <v>69.12</v>
      </c>
      <c r="AB270" s="261" t="s">
        <v>2670</v>
      </c>
      <c r="AC270" s="260">
        <v>1.7491375061606702</v>
      </c>
      <c r="AD270">
        <f>IF('WetLitterbags placem_collection'!AB51="","",'WetLitterbags placem_collection'!AB51)</f>
        <v>10.4</v>
      </c>
      <c r="AE270">
        <f>IF('WetLitterbags placem_collection'!Z51="","",'WetLitterbags placem_collection'!Z51)</f>
        <v>36</v>
      </c>
      <c r="AF270" s="246" t="str">
        <f>IF('WetLitterbags placem_collection'!AA51="","",'WetLitterbags placem_collection'!AA51)</f>
        <v>M</v>
      </c>
      <c r="AG270">
        <f>IF('WetLitterbags placem_collection'!AC51="","",'WetLitterbags placem_collection'!AC51)</f>
        <v>1</v>
      </c>
      <c r="AH270">
        <f>IFERROR(AVERAGE('Dry_Litterbag Placem_Collection'!O51,'Dry_Litterbag Placem_Collection'!R51),"")</f>
        <v>7.05</v>
      </c>
      <c r="AI270" s="271">
        <f>IFERROR(AVERAGE('Dry_Litterbag Placem_Collection'!N51,'Dry_Litterbag Placem_Collection'!Q51),"")</f>
        <v>31.5</v>
      </c>
      <c r="AJ270" s="270">
        <f>INDEX(Coordinates!$B$2:$B$197,MATCH(G270,Coordinates!$J$2:$J$197,0))</f>
        <v>-3.406225992</v>
      </c>
      <c r="AK270" s="270">
        <f>INDEX(Coordinates!$C$2:$C$197,MATCH(G270,Coordinates!$J$2:$J$197,0))</f>
        <v>34.85055998</v>
      </c>
      <c r="AL270" s="270" t="str">
        <f>IF(ISNUMBER(SEARCH("C", 'Dry_Litterbag Placem_Collection'!T51)),"YES","NO")</f>
        <v>NO</v>
      </c>
      <c r="AM270" s="270" t="str">
        <f>IF(ISNUMBER(SEARCH("H", 'Dry_Litterbag Placem_Collection'!T51)),"YES","NO")</f>
        <v>NO</v>
      </c>
      <c r="AN270" s="270" t="str">
        <f>IF(ISNUMBER(SEARCH("R", 'Dry_Litterbag Placem_Collection'!T51)),"YES","NO")</f>
        <v>NO</v>
      </c>
    </row>
    <row r="271" spans="1:40" ht="15" customHeight="1">
      <c r="A271" s="262" t="s">
        <v>2659</v>
      </c>
      <c r="B271" s="263">
        <f>'Dry_Litterbag Placem_Collection'!A52</f>
        <v>50</v>
      </c>
      <c r="C271" s="263" t="str">
        <f>'Dry_Litterbag Placem_Collection'!B52</f>
        <v>Makao</v>
      </c>
      <c r="D271" s="263" t="s">
        <v>2659</v>
      </c>
      <c r="E271" s="263" t="s">
        <v>20</v>
      </c>
      <c r="F271" s="263">
        <v>3</v>
      </c>
      <c r="G271" s="264" t="str">
        <f>'Dry_Litterbag Placem_Collection'!C52</f>
        <v>Dry_P3_T2</v>
      </c>
      <c r="H271" s="265" t="s">
        <v>2541</v>
      </c>
      <c r="I271" s="272" t="s">
        <v>298</v>
      </c>
      <c r="J271" s="263" t="str">
        <f>IF(ISBLANK('Dry_Litterbag Placem_Collection'!K52),"","R"&amp;""&amp;'Dry_Litterbag Placem_Collection'!K52)</f>
        <v>R754</v>
      </c>
      <c r="K271" s="267">
        <f>IFERROR(INDEX('Green_rooibos initial weight'!$C$5:$C$1749,MATCH(J271, 'Green_rooibos initial weight'!$A$5:$A$1749,0)),"")</f>
        <v>2.2069999999999999</v>
      </c>
      <c r="L271" s="267">
        <f>IFERROR(K271-(TBIcalc!$Q$9+TBIcalc!$Q$10),"")</f>
        <v>1.9571999999999998</v>
      </c>
      <c r="M271" s="391">
        <f>AVERAGE(Ashed_controlls!$K$12:$K$14)</f>
        <v>2.2816647271287041</v>
      </c>
      <c r="N271" s="267">
        <f t="shared" si="21"/>
        <v>1.9125432579606367</v>
      </c>
      <c r="O271" s="267" t="str">
        <f>IF(IFERROR(INDEX('Both teabags AfterDry'!$D$3:$D$900,MATCH(J271,'Both teabags AfterDry'!$A$3:$A$900,0)),"")="","",(IFERROR(INDEX('Both teabags AfterDry'!$D$3:$D$900,MATCH(J271,'Both teabags AfterDry'!$A$3:$A$900,0)),"")))</f>
        <v/>
      </c>
      <c r="P271" s="267" t="str">
        <f>IFERROR(IF(O271&gt;0,O271-(TBIcalc!$Q$9),""),"")</f>
        <v/>
      </c>
      <c r="Q271" s="278" t="str">
        <f>IFERROR(INDEX('Ashed teabags dry'!$K$2:$K$825,MATCH(J271,'Ashed teabags dry'!$A$2:$A$825,0)),"")</f>
        <v/>
      </c>
      <c r="R271" s="278" t="str">
        <f t="shared" si="22"/>
        <v/>
      </c>
      <c r="S271" s="268">
        <f>'Dry_Litterbag Placem_Collection'!E52</f>
        <v>42938</v>
      </c>
      <c r="T271" s="268" t="str">
        <f>IF('Dry_Litterbag Placem_Collection'!G52="","",'Dry_Litterbag Placem_Collection'!G52)</f>
        <v/>
      </c>
      <c r="U271" s="269" t="str">
        <f t="shared" si="20"/>
        <v/>
      </c>
      <c r="V271" s="267" t="str">
        <f t="shared" si="23"/>
        <v/>
      </c>
      <c r="W271" s="267" t="str">
        <f t="shared" si="24"/>
        <v/>
      </c>
      <c r="X271" s="271" t="str">
        <f>IFERROR(INDEX(Rainfall_Dry!$O$2:$O$217,MATCH(B271, Rainfall_Dry!$A$2:$A$217,0)),"")</f>
        <v/>
      </c>
      <c r="Y271" s="260">
        <v>21.96</v>
      </c>
      <c r="Z271" s="260">
        <v>8.9199999999999982</v>
      </c>
      <c r="AA271" s="260">
        <v>69.12</v>
      </c>
      <c r="AB271" s="261" t="s">
        <v>2670</v>
      </c>
      <c r="AC271" s="260">
        <v>1.7491375061606702</v>
      </c>
      <c r="AD271">
        <f>IF('WetLitterbags placem_collection'!AB52="","",'WetLitterbags placem_collection'!AB52)</f>
        <v>10</v>
      </c>
      <c r="AE271">
        <f>IF('WetLitterbags placem_collection'!Z52="","",'WetLitterbags placem_collection'!Z52)</f>
        <v>22.5</v>
      </c>
      <c r="AF271" s="246" t="str">
        <f>IF('WetLitterbags placem_collection'!AA52="","",'WetLitterbags placem_collection'!AA52)</f>
        <v>M</v>
      </c>
      <c r="AG271">
        <f>IF('WetLitterbags placem_collection'!AC52="","",'WetLitterbags placem_collection'!AC52)</f>
        <v>1</v>
      </c>
      <c r="AH271">
        <f>IFERROR(AVERAGE('Dry_Litterbag Placem_Collection'!O52,'Dry_Litterbag Placem_Collection'!R52),"")</f>
        <v>6.4</v>
      </c>
      <c r="AI271" s="271">
        <f>IFERROR(AVERAGE('Dry_Litterbag Placem_Collection'!N52,'Dry_Litterbag Placem_Collection'!Q52),"")</f>
        <v>27.6</v>
      </c>
      <c r="AJ271" s="270">
        <f>INDEX(Coordinates!$B$2:$B$197,MATCH(G271,Coordinates!$J$2:$J$197,0))</f>
        <v>-3.4062630399999998</v>
      </c>
      <c r="AK271" s="270">
        <f>INDEX(Coordinates!$C$2:$C$197,MATCH(G271,Coordinates!$J$2:$J$197,0))</f>
        <v>34.850566010000001</v>
      </c>
      <c r="AL271" s="270" t="str">
        <f>IF(ISNUMBER(SEARCH("C", 'Dry_Litterbag Placem_Collection'!T52)),"YES","NO")</f>
        <v>NO</v>
      </c>
      <c r="AM271" s="270" t="str">
        <f>IF(ISNUMBER(SEARCH("H", 'Dry_Litterbag Placem_Collection'!T52)),"YES","NO")</f>
        <v>NO</v>
      </c>
      <c r="AN271" s="270" t="str">
        <f>IF(ISNUMBER(SEARCH("R", 'Dry_Litterbag Placem_Collection'!T52)),"YES","NO")</f>
        <v>NO</v>
      </c>
    </row>
    <row r="272" spans="1:40" ht="15" customHeight="1">
      <c r="A272" s="262" t="s">
        <v>2659</v>
      </c>
      <c r="B272" s="263">
        <f>'Dry_Litterbag Placem_Collection'!A53</f>
        <v>51</v>
      </c>
      <c r="C272" s="263" t="str">
        <f>'Dry_Litterbag Placem_Collection'!B53</f>
        <v>Makao</v>
      </c>
      <c r="D272" s="263" t="s">
        <v>2659</v>
      </c>
      <c r="E272" s="263" t="s">
        <v>20</v>
      </c>
      <c r="F272" s="263">
        <v>3</v>
      </c>
      <c r="G272" s="264" t="str">
        <f>'Dry_Litterbag Placem_Collection'!C53</f>
        <v>Dry_P3_T3</v>
      </c>
      <c r="H272" s="265" t="s">
        <v>2541</v>
      </c>
      <c r="I272" s="272" t="s">
        <v>298</v>
      </c>
      <c r="J272" s="263" t="str">
        <f>IF(ISBLANK('Dry_Litterbag Placem_Collection'!K53),"","R"&amp;""&amp;'Dry_Litterbag Placem_Collection'!K53)</f>
        <v>R798</v>
      </c>
      <c r="K272" s="267">
        <f>IFERROR(INDEX('Green_rooibos initial weight'!$C$5:$C$1749,MATCH(J272, 'Green_rooibos initial weight'!$A$5:$A$1749,0)),"")</f>
        <v>2.1850000000000001</v>
      </c>
      <c r="L272" s="267">
        <f>IFERROR(K272-(TBIcalc!$Q$9+TBIcalc!$Q$10),"")</f>
        <v>1.9352</v>
      </c>
      <c r="M272" s="391">
        <f>AVERAGE(Ashed_controlls!$K$12:$K$14)</f>
        <v>2.2816647271287041</v>
      </c>
      <c r="N272" s="267">
        <f t="shared" si="21"/>
        <v>1.8910452242006053</v>
      </c>
      <c r="O272" s="267">
        <f>IF(IFERROR(INDEX('Both teabags AfterDry'!$D$3:$D$900,MATCH(J272,'Both teabags AfterDry'!$A$3:$A$900,0)),"")="","",(IFERROR(INDEX('Both teabags AfterDry'!$D$3:$D$900,MATCH(J272,'Both teabags AfterDry'!$A$3:$A$900,0)),"")))</f>
        <v>1.8956999999999999</v>
      </c>
      <c r="P272" s="267">
        <f>IFERROR(IF(O272&gt;0,O272-(TBIcalc!$Q$9),""),"")</f>
        <v>1.7450999999999999</v>
      </c>
      <c r="Q272" s="278">
        <f>IFERROR(INDEX('Ashed teabags dry'!$K$2:$K$825,MATCH(J272,'Ashed teabags dry'!$A$2:$A$825,0)),"")</f>
        <v>3.1954887218038985</v>
      </c>
      <c r="R272" s="278">
        <f t="shared" si="22"/>
        <v>1.6893355263158001</v>
      </c>
      <c r="S272" s="268">
        <f>'Dry_Litterbag Placem_Collection'!E53</f>
        <v>42938</v>
      </c>
      <c r="T272" s="268">
        <f>IF('Dry_Litterbag Placem_Collection'!G53="","",'Dry_Litterbag Placem_Collection'!G53)</f>
        <v>43005</v>
      </c>
      <c r="U272" s="269">
        <f t="shared" si="20"/>
        <v>67</v>
      </c>
      <c r="V272" s="267">
        <f t="shared" si="23"/>
        <v>0.19010000000000016</v>
      </c>
      <c r="W272" s="267">
        <f t="shared" si="24"/>
        <v>0.20170969788480519</v>
      </c>
      <c r="X272" s="271">
        <f>IFERROR(INDEX(Rainfall_Dry!$O$2:$O$217,MATCH(B272, Rainfall_Dry!$A$2:$A$217,0)),"")</f>
        <v>6.5250000359999998</v>
      </c>
      <c r="Y272" s="260">
        <v>21.96</v>
      </c>
      <c r="Z272" s="260">
        <v>8.9199999999999982</v>
      </c>
      <c r="AA272" s="260">
        <v>69.12</v>
      </c>
      <c r="AB272" s="261" t="s">
        <v>2670</v>
      </c>
      <c r="AC272" s="260">
        <v>1.7491375061606702</v>
      </c>
      <c r="AD272">
        <f>IF('WetLitterbags placem_collection'!AB53="","",'WetLitterbags placem_collection'!AB53)</f>
        <v>3</v>
      </c>
      <c r="AE272">
        <f>IF('WetLitterbags placem_collection'!Z53="","",'WetLitterbags placem_collection'!Z53)</f>
        <v>18</v>
      </c>
      <c r="AF272" s="246" t="str">
        <f>IF('WetLitterbags placem_collection'!AA53="","",'WetLitterbags placem_collection'!AA53)</f>
        <v>O</v>
      </c>
      <c r="AG272">
        <f>IF('WetLitterbags placem_collection'!AC53="","",'WetLitterbags placem_collection'!AC53)</f>
        <v>0</v>
      </c>
      <c r="AH272">
        <f>IFERROR(AVERAGE('Dry_Litterbag Placem_Collection'!O53,'Dry_Litterbag Placem_Collection'!R53),"")</f>
        <v>2.4500000000000002</v>
      </c>
      <c r="AI272" s="271">
        <f>IFERROR(AVERAGE('Dry_Litterbag Placem_Collection'!N53,'Dry_Litterbag Placem_Collection'!Q53),"")</f>
        <v>34.450000000000003</v>
      </c>
      <c r="AJ272" s="270">
        <f>INDEX(Coordinates!$B$2:$B$197,MATCH(G272,Coordinates!$J$2:$J$197,0))</f>
        <v>-3.4063920379999999</v>
      </c>
      <c r="AK272" s="270">
        <f>INDEX(Coordinates!$C$2:$C$197,MATCH(G272,Coordinates!$J$2:$J$197,0))</f>
        <v>34.850696020000001</v>
      </c>
      <c r="AL272" s="270" t="str">
        <f>IF(ISNUMBER(SEARCH("C", 'Dry_Litterbag Placem_Collection'!T53)),"YES","NO")</f>
        <v>NO</v>
      </c>
      <c r="AM272" s="270" t="str">
        <f>IF(ISNUMBER(SEARCH("H", 'Dry_Litterbag Placem_Collection'!T53)),"YES","NO")</f>
        <v>NO</v>
      </c>
      <c r="AN272" s="270" t="str">
        <f>IF(ISNUMBER(SEARCH("R", 'Dry_Litterbag Placem_Collection'!T53)),"YES","NO")</f>
        <v>NO</v>
      </c>
    </row>
    <row r="273" spans="1:40" ht="15" customHeight="1">
      <c r="A273" s="262" t="s">
        <v>2659</v>
      </c>
      <c r="B273" s="263">
        <f>'Dry_Litterbag Placem_Collection'!A54</f>
        <v>52</v>
      </c>
      <c r="C273" s="263" t="str">
        <f>'Dry_Litterbag Placem_Collection'!B54</f>
        <v>Makao</v>
      </c>
      <c r="D273" s="263" t="s">
        <v>2659</v>
      </c>
      <c r="E273" s="263" t="s">
        <v>20</v>
      </c>
      <c r="F273" s="263">
        <v>3</v>
      </c>
      <c r="G273" s="264" t="str">
        <f>'Dry_Litterbag Placem_Collection'!C54</f>
        <v>Dry_P3_T4</v>
      </c>
      <c r="H273" s="265" t="s">
        <v>2541</v>
      </c>
      <c r="I273" s="272" t="s">
        <v>298</v>
      </c>
      <c r="J273" s="263" t="str">
        <f>IF(ISBLANK('Dry_Litterbag Placem_Collection'!K54),"","R"&amp;""&amp;'Dry_Litterbag Placem_Collection'!K54)</f>
        <v>R833</v>
      </c>
      <c r="K273" s="267">
        <f>IFERROR(INDEX('Green_rooibos initial weight'!$C$5:$C$1749,MATCH(J273, 'Green_rooibos initial weight'!$A$5:$A$1749,0)),"")</f>
        <v>2.218</v>
      </c>
      <c r="L273" s="267">
        <f>IFERROR(K273-(TBIcalc!$Q$9+TBIcalc!$Q$10),"")</f>
        <v>1.9681999999999999</v>
      </c>
      <c r="M273" s="391">
        <f>AVERAGE(Ashed_controlls!$K$12:$K$14)</f>
        <v>2.2816647271287041</v>
      </c>
      <c r="N273" s="267">
        <f t="shared" si="21"/>
        <v>1.9232922748406529</v>
      </c>
      <c r="O273" s="267">
        <f>IF(IFERROR(INDEX('Both teabags AfterDry'!$D$3:$D$900,MATCH(J273,'Both teabags AfterDry'!$A$3:$A$900,0)),"")="","",(IFERROR(INDEX('Both teabags AfterDry'!$D$3:$D$900,MATCH(J273,'Both teabags AfterDry'!$A$3:$A$900,0)),"")))</f>
        <v>1.9791000000000001</v>
      </c>
      <c r="P273" s="267">
        <f>IFERROR(IF(O273&gt;0,O273-(TBIcalc!$Q$9),""),"")</f>
        <v>1.8285</v>
      </c>
      <c r="Q273" s="278">
        <f>IFERROR(INDEX('Ashed teabags dry'!$K$2:$K$825,MATCH(J273,'Ashed teabags dry'!$A$2:$A$825,0)),"")</f>
        <v>3.0042918454938667</v>
      </c>
      <c r="R273" s="278">
        <f t="shared" si="22"/>
        <v>1.7735665236051446</v>
      </c>
      <c r="S273" s="268">
        <f>'Dry_Litterbag Placem_Collection'!E54</f>
        <v>42938</v>
      </c>
      <c r="T273" s="268">
        <f>IF('Dry_Litterbag Placem_Collection'!G54="","",'Dry_Litterbag Placem_Collection'!G54)</f>
        <v>43005</v>
      </c>
      <c r="U273" s="269">
        <f t="shared" si="20"/>
        <v>67</v>
      </c>
      <c r="V273" s="267">
        <f t="shared" si="23"/>
        <v>0.13969999999999994</v>
      </c>
      <c r="W273" s="267">
        <f t="shared" si="24"/>
        <v>0.14972575123550835</v>
      </c>
      <c r="X273" s="271">
        <f>IFERROR(INDEX(Rainfall_Dry!$O$2:$O$217,MATCH(B273, Rainfall_Dry!$A$2:$A$217,0)),"")</f>
        <v>6.5250000359999998</v>
      </c>
      <c r="Y273" s="260">
        <v>21.96</v>
      </c>
      <c r="Z273" s="260">
        <v>8.9199999999999982</v>
      </c>
      <c r="AA273" s="260">
        <v>69.12</v>
      </c>
      <c r="AB273" s="261" t="s">
        <v>2670</v>
      </c>
      <c r="AC273" s="260">
        <v>1.7491375061606702</v>
      </c>
      <c r="AD273">
        <f>IF('WetLitterbags placem_collection'!AB54="","",'WetLitterbags placem_collection'!AB54)</f>
        <v>13.4</v>
      </c>
      <c r="AE273">
        <f>IF('WetLitterbags placem_collection'!Z54="","",'WetLitterbags placem_collection'!Z54)</f>
        <v>67</v>
      </c>
      <c r="AF273" s="246" t="str">
        <f>IF('WetLitterbags placem_collection'!AA54="","",'WetLitterbags placem_collection'!AA54)</f>
        <v>M</v>
      </c>
      <c r="AG273">
        <f>IF('WetLitterbags placem_collection'!AC54="","",'WetLitterbags placem_collection'!AC54)</f>
        <v>1</v>
      </c>
      <c r="AH273">
        <f>IFERROR(AVERAGE('Dry_Litterbag Placem_Collection'!O54,'Dry_Litterbag Placem_Collection'!R54),"")</f>
        <v>5.75</v>
      </c>
      <c r="AI273" s="271">
        <f>IFERROR(AVERAGE('Dry_Litterbag Placem_Collection'!N54,'Dry_Litterbag Placem_Collection'!Q54),"")</f>
        <v>30.75</v>
      </c>
      <c r="AJ273" s="270">
        <f>INDEX(Coordinates!$B$2:$B$197,MATCH(G273,Coordinates!$J$2:$J$197,0))</f>
        <v>-3.4061569999999999</v>
      </c>
      <c r="AK273" s="270">
        <f>INDEX(Coordinates!$C$2:$C$197,MATCH(G273,Coordinates!$J$2:$J$197,0))</f>
        <v>34.850738999999997</v>
      </c>
      <c r="AL273" s="270" t="str">
        <f>IF(ISNUMBER(SEARCH("C", 'Dry_Litterbag Placem_Collection'!T54)),"YES","NO")</f>
        <v>NO</v>
      </c>
      <c r="AM273" s="270" t="str">
        <f>IF(ISNUMBER(SEARCH("H", 'Dry_Litterbag Placem_Collection'!T54)),"YES","NO")</f>
        <v>NO</v>
      </c>
      <c r="AN273" s="270" t="str">
        <f>IF(ISNUMBER(SEARCH("R", 'Dry_Litterbag Placem_Collection'!T54)),"YES","NO")</f>
        <v>NO</v>
      </c>
    </row>
    <row r="274" spans="1:40" ht="15" customHeight="1">
      <c r="A274" s="262" t="s">
        <v>2659</v>
      </c>
      <c r="B274" s="263">
        <f>'Dry_Litterbag Placem_Collection'!A55</f>
        <v>53</v>
      </c>
      <c r="C274" s="263" t="str">
        <f>'Dry_Litterbag Placem_Collection'!B55</f>
        <v>Makao</v>
      </c>
      <c r="D274" s="263" t="s">
        <v>2659</v>
      </c>
      <c r="E274" s="263" t="s">
        <v>20</v>
      </c>
      <c r="F274" s="263">
        <v>3</v>
      </c>
      <c r="G274" s="264" t="str">
        <f>'Dry_Litterbag Placem_Collection'!C55</f>
        <v>Dry_P3_T5</v>
      </c>
      <c r="H274" s="265" t="s">
        <v>2541</v>
      </c>
      <c r="I274" s="272" t="s">
        <v>298</v>
      </c>
      <c r="J274" s="263" t="str">
        <f>IF(ISBLANK('Dry_Litterbag Placem_Collection'!K55),"","R"&amp;""&amp;'Dry_Litterbag Placem_Collection'!K55)</f>
        <v>R734</v>
      </c>
      <c r="K274" s="267">
        <f>IFERROR(INDEX('Green_rooibos initial weight'!$C$5:$C$1749,MATCH(J274, 'Green_rooibos initial weight'!$A$5:$A$1749,0)),"")</f>
        <v>2.1589999999999998</v>
      </c>
      <c r="L274" s="267">
        <f>IFERROR(K274-(TBIcalc!$Q$9+TBIcalc!$Q$10),"")</f>
        <v>1.9091999999999998</v>
      </c>
      <c r="M274" s="391">
        <f>AVERAGE(Ashed_controlls!$K$12:$K$14)</f>
        <v>2.2816647271287041</v>
      </c>
      <c r="N274" s="267">
        <f t="shared" si="21"/>
        <v>1.8656384570296585</v>
      </c>
      <c r="O274" s="267">
        <f>IF(IFERROR(INDEX('Both teabags AfterDry'!$D$3:$D$900,MATCH(J274,'Both teabags AfterDry'!$A$3:$A$900,0)),"")="","",(IFERROR(INDEX('Both teabags AfterDry'!$D$3:$D$900,MATCH(J274,'Both teabags AfterDry'!$A$3:$A$900,0)),"")))</f>
        <v>1.8914</v>
      </c>
      <c r="P274" s="267">
        <f>IFERROR(IF(O274&gt;0,O274-(TBIcalc!$Q$9),""),"")</f>
        <v>1.7407999999999999</v>
      </c>
      <c r="Q274" s="278">
        <f>IFERROR(INDEX('Ashed teabags dry'!$K$2:$K$825,MATCH(J274,'Ashed teabags dry'!$A$2:$A$825,0)),"")</f>
        <v>2.63419483101393</v>
      </c>
      <c r="R274" s="278">
        <f t="shared" si="22"/>
        <v>1.6949439363817094</v>
      </c>
      <c r="S274" s="268">
        <f>'Dry_Litterbag Placem_Collection'!E55</f>
        <v>42938</v>
      </c>
      <c r="T274" s="268">
        <f>IF('Dry_Litterbag Placem_Collection'!G55="","",'Dry_Litterbag Placem_Collection'!G55)</f>
        <v>43005</v>
      </c>
      <c r="U274" s="269">
        <f t="shared" si="20"/>
        <v>67</v>
      </c>
      <c r="V274" s="267">
        <f t="shared" si="23"/>
        <v>0.16839999999999988</v>
      </c>
      <c r="W274" s="267">
        <f t="shared" si="24"/>
        <v>0.1706945206479491</v>
      </c>
      <c r="X274" s="271">
        <f>IFERROR(INDEX(Rainfall_Dry!$O$2:$O$217,MATCH(B274, Rainfall_Dry!$A$2:$A$217,0)),"")</f>
        <v>6.5250000359999998</v>
      </c>
      <c r="Y274" s="260">
        <v>21.96</v>
      </c>
      <c r="Z274" s="260">
        <v>8.9199999999999982</v>
      </c>
      <c r="AA274" s="260">
        <v>69.12</v>
      </c>
      <c r="AB274" s="261" t="s">
        <v>2670</v>
      </c>
      <c r="AC274" s="260">
        <v>1.7491375061606702</v>
      </c>
      <c r="AD274" t="str">
        <f>IF('WetLitterbags placem_collection'!AB55="","",'WetLitterbags placem_collection'!AB55)</f>
        <v/>
      </c>
      <c r="AE274" t="str">
        <f>IF('WetLitterbags placem_collection'!Z55="","",'WetLitterbags placem_collection'!Z55)</f>
        <v/>
      </c>
      <c r="AF274" s="246" t="str">
        <f>IF('WetLitterbags placem_collection'!AA55="","",'WetLitterbags placem_collection'!AA55)</f>
        <v/>
      </c>
      <c r="AG274" t="str">
        <f>IF('WetLitterbags placem_collection'!AC55="","",'WetLitterbags placem_collection'!AC55)</f>
        <v/>
      </c>
      <c r="AH274">
        <f>IFERROR(AVERAGE('Dry_Litterbag Placem_Collection'!O55,'Dry_Litterbag Placem_Collection'!R55),"")</f>
        <v>6.5</v>
      </c>
      <c r="AI274" s="271">
        <f>IFERROR(AVERAGE('Dry_Litterbag Placem_Collection'!N55,'Dry_Litterbag Placem_Collection'!Q55),"")</f>
        <v>30.4</v>
      </c>
      <c r="AJ274" s="270">
        <f>INDEX(Coordinates!$B$2:$B$197,MATCH(G274,Coordinates!$J$2:$J$197,0))</f>
        <v>-3.4061140000000001</v>
      </c>
      <c r="AK274" s="270">
        <f>INDEX(Coordinates!$C$2:$C$197,MATCH(G274,Coordinates!$J$2:$J$197,0))</f>
        <v>34.850596000000003</v>
      </c>
      <c r="AL274" s="270" t="str">
        <f>IF(ISNUMBER(SEARCH("C", 'Dry_Litterbag Placem_Collection'!T55)),"YES","NO")</f>
        <v>NO</v>
      </c>
      <c r="AM274" s="270" t="str">
        <f>IF(ISNUMBER(SEARCH("H", 'Dry_Litterbag Placem_Collection'!T55)),"YES","NO")</f>
        <v>NO</v>
      </c>
      <c r="AN274" s="270" t="str">
        <f>IF(ISNUMBER(SEARCH("R", 'Dry_Litterbag Placem_Collection'!T55)),"YES","NO")</f>
        <v>NO</v>
      </c>
    </row>
    <row r="275" spans="1:40" ht="15" customHeight="1">
      <c r="A275" s="262" t="s">
        <v>2659</v>
      </c>
      <c r="B275" s="263">
        <f>'Dry_Litterbag Placem_Collection'!A56</f>
        <v>54</v>
      </c>
      <c r="C275" s="263" t="str">
        <f>'Dry_Litterbag Placem_Collection'!B56</f>
        <v>Makao</v>
      </c>
      <c r="D275" s="263" t="s">
        <v>2659</v>
      </c>
      <c r="E275" s="263" t="s">
        <v>20</v>
      </c>
      <c r="F275" s="263">
        <v>3</v>
      </c>
      <c r="G275" s="264" t="str">
        <f>'Dry_Litterbag Placem_Collection'!C56</f>
        <v>Dry_P3_T6</v>
      </c>
      <c r="H275" s="265" t="s">
        <v>2541</v>
      </c>
      <c r="I275" s="272" t="s">
        <v>298</v>
      </c>
      <c r="J275" s="263" t="str">
        <f>IF(ISBLANK('Dry_Litterbag Placem_Collection'!K56),"","R"&amp;""&amp;'Dry_Litterbag Placem_Collection'!K56)</f>
        <v/>
      </c>
      <c r="K275" s="267" t="str">
        <f>IFERROR(INDEX('Green_rooibos initial weight'!$C$5:$C$1749,MATCH(J275, 'Green_rooibos initial weight'!$A$5:$A$1749,0)),"")</f>
        <v/>
      </c>
      <c r="L275" s="267" t="str">
        <f>IFERROR(K275-(TBIcalc!$Q$9+TBIcalc!$Q$10),"")</f>
        <v/>
      </c>
      <c r="M275" s="391">
        <f>AVERAGE(Ashed_controlls!$K$12:$K$14)</f>
        <v>2.2816647271287041</v>
      </c>
      <c r="N275" s="267" t="str">
        <f t="shared" si="21"/>
        <v/>
      </c>
      <c r="O275" s="267" t="str">
        <f>IF(IFERROR(INDEX('Both teabags AfterDry'!$D$3:$D$900,MATCH(J275,'Both teabags AfterDry'!$A$3:$A$900,0)),"")="","",(IFERROR(INDEX('Both teabags AfterDry'!$D$3:$D$900,MATCH(J275,'Both teabags AfterDry'!$A$3:$A$900,0)),"")))</f>
        <v/>
      </c>
      <c r="P275" s="267" t="str">
        <f>IFERROR(IF(O275&gt;0,O275-(TBIcalc!$Q$9),""),"")</f>
        <v/>
      </c>
      <c r="Q275" s="278" t="str">
        <f>IFERROR(INDEX('Ashed teabags dry'!$K$2:$K$825,MATCH(J275,'Ashed teabags dry'!$A$2:$A$825,0)),"")</f>
        <v/>
      </c>
      <c r="R275" s="278" t="str">
        <f t="shared" si="22"/>
        <v/>
      </c>
      <c r="S275" s="268">
        <f>'Dry_Litterbag Placem_Collection'!E56</f>
        <v>0</v>
      </c>
      <c r="T275" s="268" t="str">
        <f>IF('Dry_Litterbag Placem_Collection'!G56="","",'Dry_Litterbag Placem_Collection'!G56)</f>
        <v/>
      </c>
      <c r="U275" s="269" t="str">
        <f t="shared" si="20"/>
        <v/>
      </c>
      <c r="V275" s="267" t="str">
        <f t="shared" si="23"/>
        <v/>
      </c>
      <c r="W275" s="267" t="str">
        <f t="shared" si="24"/>
        <v/>
      </c>
      <c r="X275" s="271" t="str">
        <f>IFERROR(INDEX(Rainfall_Dry!$O$2:$O$217,MATCH(B275, Rainfall_Dry!$A$2:$A$217,0)),"")</f>
        <v/>
      </c>
      <c r="Y275" s="260">
        <v>21.96</v>
      </c>
      <c r="Z275" s="260">
        <v>8.9199999999999982</v>
      </c>
      <c r="AA275" s="260">
        <v>69.12</v>
      </c>
      <c r="AB275" s="261" t="s">
        <v>2670</v>
      </c>
      <c r="AC275" s="260">
        <v>1.7491375061606702</v>
      </c>
      <c r="AD275" t="str">
        <f>IF('WetLitterbags placem_collection'!AB56="","",'WetLitterbags placem_collection'!AB56)</f>
        <v/>
      </c>
      <c r="AE275" t="str">
        <f>IF('WetLitterbags placem_collection'!Z56="","",'WetLitterbags placem_collection'!Z56)</f>
        <v/>
      </c>
      <c r="AF275" s="246" t="str">
        <f>IF('WetLitterbags placem_collection'!AA56="","",'WetLitterbags placem_collection'!AA56)</f>
        <v/>
      </c>
      <c r="AG275" t="str">
        <f>IF('WetLitterbags placem_collection'!AC56="","",'WetLitterbags placem_collection'!AC56)</f>
        <v/>
      </c>
      <c r="AH275" t="str">
        <f>IFERROR(AVERAGE('Dry_Litterbag Placem_Collection'!O56,'Dry_Litterbag Placem_Collection'!R56),"")</f>
        <v/>
      </c>
      <c r="AI275" s="271" t="str">
        <f>IFERROR(AVERAGE('Dry_Litterbag Placem_Collection'!N56,'Dry_Litterbag Placem_Collection'!Q56),"")</f>
        <v/>
      </c>
      <c r="AJ275" s="270">
        <f>INDEX(Coordinates!$B$2:$B$197,MATCH(G275,Coordinates!$J$2:$J$197,0))</f>
        <v>-3.406058019</v>
      </c>
      <c r="AK275" s="270">
        <f>INDEX(Coordinates!$C$2:$C$197,MATCH(G275,Coordinates!$J$2:$J$197,0))</f>
        <v>34.850466019999999</v>
      </c>
      <c r="AL275" s="270" t="str">
        <f>IF(ISNUMBER(SEARCH("C", 'Dry_Litterbag Placem_Collection'!T56)),"YES","NO")</f>
        <v>NO</v>
      </c>
      <c r="AM275" s="270" t="str">
        <f>IF(ISNUMBER(SEARCH("H", 'Dry_Litterbag Placem_Collection'!T56)),"YES","NO")</f>
        <v>NO</v>
      </c>
      <c r="AN275" s="270" t="str">
        <f>IF(ISNUMBER(SEARCH("R", 'Dry_Litterbag Placem_Collection'!T56)),"YES","NO")</f>
        <v>NO</v>
      </c>
    </row>
    <row r="276" spans="1:40" ht="15" customHeight="1">
      <c r="A276" s="262" t="s">
        <v>2659</v>
      </c>
      <c r="B276" s="263">
        <f>'Dry_Litterbag Placem_Collection'!A57</f>
        <v>55</v>
      </c>
      <c r="C276" s="263" t="str">
        <f>'Dry_Litterbag Placem_Collection'!B57</f>
        <v>Makao</v>
      </c>
      <c r="D276" s="263" t="s">
        <v>2659</v>
      </c>
      <c r="E276" s="263" t="s">
        <v>20</v>
      </c>
      <c r="F276" s="263">
        <v>3</v>
      </c>
      <c r="G276" s="264" t="str">
        <f>'Dry_Litterbag Placem_Collection'!C57</f>
        <v>Dry_P3_T7</v>
      </c>
      <c r="H276" s="265" t="s">
        <v>2541</v>
      </c>
      <c r="I276" s="272" t="s">
        <v>298</v>
      </c>
      <c r="J276" s="263" t="str">
        <f>IF(ISBLANK('Dry_Litterbag Placem_Collection'!K57),"","R"&amp;""&amp;'Dry_Litterbag Placem_Collection'!K57)</f>
        <v>R839</v>
      </c>
      <c r="K276" s="267">
        <f>IFERROR(INDEX('Green_rooibos initial weight'!$C$5:$C$1749,MATCH(J276, 'Green_rooibos initial weight'!$A$5:$A$1749,0)),"")</f>
        <v>2.2269999999999999</v>
      </c>
      <c r="L276" s="267">
        <f>IFERROR(K276-(TBIcalc!$Q$9+TBIcalc!$Q$10),"")</f>
        <v>1.9771999999999998</v>
      </c>
      <c r="M276" s="391">
        <f>AVERAGE(Ashed_controlls!$K$12:$K$14)</f>
        <v>2.2816647271287041</v>
      </c>
      <c r="N276" s="267">
        <f t="shared" si="21"/>
        <v>1.9320869250152111</v>
      </c>
      <c r="O276" s="267">
        <f>IF(IFERROR(INDEX('Both teabags AfterDry'!$D$3:$D$900,MATCH(J276,'Both teabags AfterDry'!$A$3:$A$900,0)),"")="","",(IFERROR(INDEX('Both teabags AfterDry'!$D$3:$D$900,MATCH(J276,'Both teabags AfterDry'!$A$3:$A$900,0)),"")))</f>
        <v>1.9775</v>
      </c>
      <c r="P276" s="267">
        <f>IFERROR(IF(O276&gt;0,O276-(TBIcalc!$Q$9),""),"")</f>
        <v>1.8269</v>
      </c>
      <c r="Q276" s="278">
        <f>IFERROR(INDEX('Ashed teabags dry'!$K$2:$K$825,MATCH(J276,'Ashed teabags dry'!$A$2:$A$825,0)),"")</f>
        <v>2.7226580526069402</v>
      </c>
      <c r="R276" s="278">
        <f t="shared" si="22"/>
        <v>1.7771597600369238</v>
      </c>
      <c r="S276" s="268">
        <f>'Dry_Litterbag Placem_Collection'!E57</f>
        <v>42938</v>
      </c>
      <c r="T276" s="268">
        <f>IF('Dry_Litterbag Placem_Collection'!G57="","",'Dry_Litterbag Placem_Collection'!G57)</f>
        <v>43005</v>
      </c>
      <c r="U276" s="269">
        <f t="shared" si="20"/>
        <v>67</v>
      </c>
      <c r="V276" s="267">
        <f t="shared" si="23"/>
        <v>0.15029999999999988</v>
      </c>
      <c r="W276" s="267">
        <f t="shared" si="24"/>
        <v>0.15492716497828729</v>
      </c>
      <c r="X276" s="271">
        <f>IFERROR(INDEX(Rainfall_Dry!$O$2:$O$217,MATCH(B276, Rainfall_Dry!$A$2:$A$217,0)),"")</f>
        <v>6.5250000359999998</v>
      </c>
      <c r="Y276" s="260">
        <v>21.96</v>
      </c>
      <c r="Z276" s="260">
        <v>8.9199999999999982</v>
      </c>
      <c r="AA276" s="260">
        <v>69.12</v>
      </c>
      <c r="AB276" s="261" t="s">
        <v>2670</v>
      </c>
      <c r="AC276" s="260">
        <v>1.7491375061606702</v>
      </c>
      <c r="AD276">
        <f>IF('WetLitterbags placem_collection'!AB57="","",'WetLitterbags placem_collection'!AB57)</f>
        <v>15.8</v>
      </c>
      <c r="AE276">
        <f>IF('WetLitterbags placem_collection'!Z57="","",'WetLitterbags placem_collection'!Z57)</f>
        <v>45</v>
      </c>
      <c r="AF276" s="246" t="str">
        <f>IF('WetLitterbags placem_collection'!AA57="","",'WetLitterbags placem_collection'!AA57)</f>
        <v>M</v>
      </c>
      <c r="AG276">
        <f>IF('WetLitterbags placem_collection'!AC57="","",'WetLitterbags placem_collection'!AC57)</f>
        <v>1</v>
      </c>
      <c r="AH276">
        <f>IFERROR(AVERAGE('Dry_Litterbag Placem_Collection'!O57,'Dry_Litterbag Placem_Collection'!R57),"")</f>
        <v>4.8</v>
      </c>
      <c r="AI276" s="271">
        <f>IFERROR(AVERAGE('Dry_Litterbag Placem_Collection'!N57,'Dry_Litterbag Placem_Collection'!Q57),"")</f>
        <v>31.9</v>
      </c>
      <c r="AJ276" s="270">
        <f>INDEX(Coordinates!$B$2:$B$197,MATCH(G276,Coordinates!$J$2:$J$197,0))</f>
        <v>-3.4061389879999999</v>
      </c>
      <c r="AK276" s="270">
        <f>INDEX(Coordinates!$C$2:$C$197,MATCH(G276,Coordinates!$J$2:$J$197,0))</f>
        <v>34.850574979999998</v>
      </c>
      <c r="AL276" s="270" t="str">
        <f>IF(ISNUMBER(SEARCH("C", 'Dry_Litterbag Placem_Collection'!T57)),"YES","NO")</f>
        <v>YES</v>
      </c>
      <c r="AM276" s="270" t="str">
        <f>IF(ISNUMBER(SEARCH("H", 'Dry_Litterbag Placem_Collection'!T57)),"YES","NO")</f>
        <v>YES</v>
      </c>
      <c r="AN276" s="270" t="str">
        <f>IF(ISNUMBER(SEARCH("R", 'Dry_Litterbag Placem_Collection'!T57)),"YES","NO")</f>
        <v>NO</v>
      </c>
    </row>
    <row r="277" spans="1:40" ht="15" customHeight="1">
      <c r="A277" s="262" t="s">
        <v>2659</v>
      </c>
      <c r="B277" s="263">
        <f>'Dry_Litterbag Placem_Collection'!A58</f>
        <v>56</v>
      </c>
      <c r="C277" s="263" t="str">
        <f>'Dry_Litterbag Placem_Collection'!B58</f>
        <v>Makao</v>
      </c>
      <c r="D277" s="263" t="s">
        <v>2659</v>
      </c>
      <c r="E277" s="263" t="s">
        <v>20</v>
      </c>
      <c r="F277" s="263">
        <v>3</v>
      </c>
      <c r="G277" s="264" t="str">
        <f>'Dry_Litterbag Placem_Collection'!C58</f>
        <v>Dry_P3_T8</v>
      </c>
      <c r="H277" s="265" t="s">
        <v>2541</v>
      </c>
      <c r="I277" s="272" t="s">
        <v>298</v>
      </c>
      <c r="J277" s="263" t="str">
        <f>IF(ISBLANK('Dry_Litterbag Placem_Collection'!K58),"","R"&amp;""&amp;'Dry_Litterbag Placem_Collection'!K58)</f>
        <v>R760</v>
      </c>
      <c r="K277" s="267">
        <f>IFERROR(INDEX('Green_rooibos initial weight'!$C$5:$C$1749,MATCH(J277, 'Green_rooibos initial weight'!$A$5:$A$1749,0)),"")</f>
        <v>2.2320000000000002</v>
      </c>
      <c r="L277" s="267">
        <f>IFERROR(K277-(TBIcalc!$Q$9+TBIcalc!$Q$10),"")</f>
        <v>1.9822000000000002</v>
      </c>
      <c r="M277" s="391">
        <f>AVERAGE(Ashed_controlls!$K$12:$K$14)</f>
        <v>2.2816647271287041</v>
      </c>
      <c r="N277" s="267">
        <f t="shared" si="21"/>
        <v>1.936972841778855</v>
      </c>
      <c r="O277" s="267">
        <f>IF(IFERROR(INDEX('Both teabags AfterDry'!$D$3:$D$900,MATCH(J277,'Both teabags AfterDry'!$A$3:$A$900,0)),"")="","",(IFERROR(INDEX('Both teabags AfterDry'!$D$3:$D$900,MATCH(J277,'Both teabags AfterDry'!$A$3:$A$900,0)),"")))</f>
        <v>1.9821</v>
      </c>
      <c r="P277" s="267">
        <f>IFERROR(IF(O277&gt;0,O277-(TBIcalc!$Q$9),""),"")</f>
        <v>1.8314999999999999</v>
      </c>
      <c r="Q277" s="278">
        <f>IFERROR(INDEX('Ashed teabags dry'!$K$2:$K$825,MATCH(J277,'Ashed teabags dry'!$A$2:$A$825,0)),"")</f>
        <v>2.8949950932292219</v>
      </c>
      <c r="R277" s="278">
        <f t="shared" si="22"/>
        <v>1.7784781648675068</v>
      </c>
      <c r="S277" s="268">
        <f>'Dry_Litterbag Placem_Collection'!E58</f>
        <v>42938</v>
      </c>
      <c r="T277" s="268">
        <f>IF('Dry_Litterbag Placem_Collection'!G58="","",'Dry_Litterbag Placem_Collection'!G58)</f>
        <v>43005</v>
      </c>
      <c r="U277" s="269">
        <f t="shared" si="20"/>
        <v>67</v>
      </c>
      <c r="V277" s="267">
        <f t="shared" si="23"/>
        <v>0.15070000000000028</v>
      </c>
      <c r="W277" s="267">
        <f t="shared" si="24"/>
        <v>0.15849467691134822</v>
      </c>
      <c r="X277" s="271">
        <f>IFERROR(INDEX(Rainfall_Dry!$O$2:$O$217,MATCH(B277, Rainfall_Dry!$A$2:$A$217,0)),"")</f>
        <v>6.5250000359999998</v>
      </c>
      <c r="Y277" s="260">
        <v>21.96</v>
      </c>
      <c r="Z277" s="260">
        <v>8.9199999999999982</v>
      </c>
      <c r="AA277" s="260">
        <v>69.12</v>
      </c>
      <c r="AB277" s="261" t="s">
        <v>2670</v>
      </c>
      <c r="AC277" s="260">
        <v>1.7491375061606702</v>
      </c>
      <c r="AD277">
        <f>IF('WetLitterbags placem_collection'!AB58="","",'WetLitterbags placem_collection'!AB58)</f>
        <v>15.4</v>
      </c>
      <c r="AE277">
        <f>IF('WetLitterbags placem_collection'!Z58="","",'WetLitterbags placem_collection'!Z58)</f>
        <v>30.8</v>
      </c>
      <c r="AF277" s="246" t="str">
        <f>IF('WetLitterbags placem_collection'!AA58="","",'WetLitterbags placem_collection'!AA58)</f>
        <v>M</v>
      </c>
      <c r="AG277">
        <f>IF('WetLitterbags placem_collection'!AC58="","",'WetLitterbags placem_collection'!AC58)</f>
        <v>0</v>
      </c>
      <c r="AH277">
        <f>IFERROR(AVERAGE('Dry_Litterbag Placem_Collection'!O58,'Dry_Litterbag Placem_Collection'!R58),"")</f>
        <v>8.3000000000000007</v>
      </c>
      <c r="AI277" s="271">
        <f>IFERROR(AVERAGE('Dry_Litterbag Placem_Collection'!N58,'Dry_Litterbag Placem_Collection'!Q58),"")</f>
        <v>30.049999999999997</v>
      </c>
      <c r="AJ277" s="270">
        <f>INDEX(Coordinates!$B$2:$B$197,MATCH(G277,Coordinates!$J$2:$J$197,0))</f>
        <v>-3.4062900300000001</v>
      </c>
      <c r="AK277" s="270">
        <f>INDEX(Coordinates!$C$2:$C$197,MATCH(G277,Coordinates!$J$2:$J$197,0))</f>
        <v>34.850441959999998</v>
      </c>
      <c r="AL277" s="270" t="str">
        <f>IF(ISNUMBER(SEARCH("C", 'Dry_Litterbag Placem_Collection'!T58)),"YES","NO")</f>
        <v>NO</v>
      </c>
      <c r="AM277" s="270" t="str">
        <f>IF(ISNUMBER(SEARCH("H", 'Dry_Litterbag Placem_Collection'!T58)),"YES","NO")</f>
        <v>NO</v>
      </c>
      <c r="AN277" s="270" t="str">
        <f>IF(ISNUMBER(SEARCH("R", 'Dry_Litterbag Placem_Collection'!T58)),"YES","NO")</f>
        <v>NO</v>
      </c>
    </row>
    <row r="278" spans="1:40" ht="15" customHeight="1">
      <c r="A278" s="262" t="s">
        <v>2659</v>
      </c>
      <c r="B278" s="263">
        <f>'Dry_Litterbag Placem_Collection'!A59</f>
        <v>57</v>
      </c>
      <c r="C278" s="263" t="str">
        <f>'Dry_Litterbag Placem_Collection'!B59</f>
        <v>Makao</v>
      </c>
      <c r="D278" s="263" t="s">
        <v>2659</v>
      </c>
      <c r="E278" s="263" t="s">
        <v>20</v>
      </c>
      <c r="F278" s="263">
        <v>4</v>
      </c>
      <c r="G278" s="264" t="str">
        <f>'Dry_Litterbag Placem_Collection'!C59</f>
        <v>Dry_P4_T1</v>
      </c>
      <c r="H278" s="265" t="s">
        <v>2541</v>
      </c>
      <c r="I278" s="272" t="s">
        <v>298</v>
      </c>
      <c r="J278" s="263" t="str">
        <f>IF(ISBLANK('Dry_Litterbag Placem_Collection'!K59),"","R"&amp;""&amp;'Dry_Litterbag Placem_Collection'!K59)</f>
        <v>R830</v>
      </c>
      <c r="K278" s="267">
        <f>IFERROR(INDEX('Green_rooibos initial weight'!$C$5:$C$1749,MATCH(J278, 'Green_rooibos initial weight'!$A$5:$A$1749,0)),"")</f>
        <v>2.2160000000000002</v>
      </c>
      <c r="L278" s="267">
        <f>IFERROR(K278-(TBIcalc!$Q$9+TBIcalc!$Q$10),"")</f>
        <v>1.9662000000000002</v>
      </c>
      <c r="M278" s="391">
        <f>AVERAGE(Ashed_controlls!$K$12:$K$14)</f>
        <v>2.2816647271287041</v>
      </c>
      <c r="N278" s="267">
        <f t="shared" si="21"/>
        <v>1.9213379081351956</v>
      </c>
      <c r="O278" s="267">
        <f>IF(IFERROR(INDEX('Both teabags AfterDry'!$D$3:$D$900,MATCH(J278,'Both teabags AfterDry'!$A$3:$A$900,0)),"")="","",(IFERROR(INDEX('Both teabags AfterDry'!$D$3:$D$900,MATCH(J278,'Both teabags AfterDry'!$A$3:$A$900,0)),"")))</f>
        <v>1.9719</v>
      </c>
      <c r="P278" s="267">
        <f>IFERROR(IF(O278&gt;0,O278-(TBIcalc!$Q$9),""),"")</f>
        <v>1.8212999999999999</v>
      </c>
      <c r="Q278" s="278">
        <f>IFERROR(INDEX('Ashed teabags dry'!$K$2:$K$825,MATCH(J278,'Ashed teabags dry'!$A$2:$A$825,0)),"")</f>
        <v>2.183219178082795</v>
      </c>
      <c r="R278" s="278">
        <f t="shared" si="22"/>
        <v>1.781537029109578</v>
      </c>
      <c r="S278" s="268">
        <f>'Dry_Litterbag Placem_Collection'!E59</f>
        <v>42938</v>
      </c>
      <c r="T278" s="268">
        <f>IF('Dry_Litterbag Placem_Collection'!G59="","",'Dry_Litterbag Placem_Collection'!G59)</f>
        <v>43005</v>
      </c>
      <c r="U278" s="269">
        <f t="shared" si="20"/>
        <v>67</v>
      </c>
      <c r="V278" s="267">
        <f t="shared" si="23"/>
        <v>0.14490000000000025</v>
      </c>
      <c r="W278" s="267">
        <f t="shared" si="24"/>
        <v>0.13980087902561755</v>
      </c>
      <c r="X278" s="271">
        <f>IFERROR(INDEX(Rainfall_Dry!$O$2:$O$217,MATCH(B278, Rainfall_Dry!$A$2:$A$217,0)),"")</f>
        <v>6.5250000359999998</v>
      </c>
      <c r="Y278" s="260">
        <v>25.96</v>
      </c>
      <c r="Z278" s="260">
        <v>6.9200000000000008</v>
      </c>
      <c r="AA278" s="260">
        <v>67.12</v>
      </c>
      <c r="AB278" s="261" t="s">
        <v>2670</v>
      </c>
      <c r="AC278" s="260">
        <v>1.7568260226712666</v>
      </c>
      <c r="AD278">
        <f>IF('WetLitterbags placem_collection'!AB59="","",'WetLitterbags placem_collection'!AB59)</f>
        <v>3.3</v>
      </c>
      <c r="AE278">
        <f>IF('WetLitterbags placem_collection'!Z59="","",'WetLitterbags placem_collection'!Z59)</f>
        <v>28.4</v>
      </c>
      <c r="AF278" s="246" t="str">
        <f>IF('WetLitterbags placem_collection'!AA59="","",'WetLitterbags placem_collection'!AA59)</f>
        <v>O</v>
      </c>
      <c r="AG278">
        <f>IF('WetLitterbags placem_collection'!AC59="","",'WetLitterbags placem_collection'!AC59)</f>
        <v>1</v>
      </c>
      <c r="AH278">
        <f>IFERROR(AVERAGE('Dry_Litterbag Placem_Collection'!O59,'Dry_Litterbag Placem_Collection'!R59),"")</f>
        <v>3.95</v>
      </c>
      <c r="AI278" s="271">
        <f>IFERROR(AVERAGE('Dry_Litterbag Placem_Collection'!N59,'Dry_Litterbag Placem_Collection'!Q59),"")</f>
        <v>33.25</v>
      </c>
      <c r="AJ278" s="270">
        <f>INDEX(Coordinates!$B$2:$B$197,MATCH(G278,Coordinates!$J$2:$J$197,0))</f>
        <v>-3.4064239729999999</v>
      </c>
      <c r="AK278" s="270">
        <f>INDEX(Coordinates!$C$2:$C$197,MATCH(G278,Coordinates!$J$2:$J$197,0))</f>
        <v>34.851213010000002</v>
      </c>
      <c r="AL278" s="270" t="str">
        <f>IF(ISNUMBER(SEARCH("C", 'Dry_Litterbag Placem_Collection'!T59)),"YES","NO")</f>
        <v>NO</v>
      </c>
      <c r="AM278" s="270" t="str">
        <f>IF(ISNUMBER(SEARCH("H", 'Dry_Litterbag Placem_Collection'!T59)),"YES","NO")</f>
        <v>NO</v>
      </c>
      <c r="AN278" s="270" t="str">
        <f>IF(ISNUMBER(SEARCH("R", 'Dry_Litterbag Placem_Collection'!T59)),"YES","NO")</f>
        <v>NO</v>
      </c>
    </row>
    <row r="279" spans="1:40" ht="15" customHeight="1">
      <c r="A279" s="262" t="s">
        <v>2659</v>
      </c>
      <c r="B279" s="263">
        <f>'Dry_Litterbag Placem_Collection'!A60</f>
        <v>58</v>
      </c>
      <c r="C279" s="263" t="str">
        <f>'Dry_Litterbag Placem_Collection'!B60</f>
        <v>Makao</v>
      </c>
      <c r="D279" s="263" t="s">
        <v>2659</v>
      </c>
      <c r="E279" s="263" t="s">
        <v>20</v>
      </c>
      <c r="F279" s="263">
        <v>4</v>
      </c>
      <c r="G279" s="264" t="str">
        <f>'Dry_Litterbag Placem_Collection'!C60</f>
        <v>Dry_P4_T2</v>
      </c>
      <c r="H279" s="265" t="s">
        <v>2541</v>
      </c>
      <c r="I279" s="272" t="s">
        <v>298</v>
      </c>
      <c r="J279" s="263" t="str">
        <f>IF(ISBLANK('Dry_Litterbag Placem_Collection'!K60),"","R"&amp;""&amp;'Dry_Litterbag Placem_Collection'!K60)</f>
        <v>R725</v>
      </c>
      <c r="K279" s="267">
        <f>IFERROR(INDEX('Green_rooibos initial weight'!$C$5:$C$1749,MATCH(J279, 'Green_rooibos initial weight'!$A$5:$A$1749,0)),"")</f>
        <v>2.1930000000000001</v>
      </c>
      <c r="L279" s="267">
        <f>IFERROR(K279-(TBIcalc!$Q$9+TBIcalc!$Q$10),"")</f>
        <v>1.9432</v>
      </c>
      <c r="M279" s="391">
        <f>AVERAGE(Ashed_controlls!$K$12:$K$14)</f>
        <v>2.2816647271287041</v>
      </c>
      <c r="N279" s="267">
        <f t="shared" si="21"/>
        <v>1.8988626910224351</v>
      </c>
      <c r="O279" s="267">
        <f>IF(IFERROR(INDEX('Both teabags AfterDry'!$D$3:$D$900,MATCH(J279,'Both teabags AfterDry'!$A$3:$A$900,0)),"")="","",(IFERROR(INDEX('Both teabags AfterDry'!$D$3:$D$900,MATCH(J279,'Both teabags AfterDry'!$A$3:$A$900,0)),"")))</f>
        <v>0.71450000000000002</v>
      </c>
      <c r="P279" s="267">
        <f>IFERROR(IF(O279&gt;0,O279-(TBIcalc!$Q$9),""),"")</f>
        <v>0.56390000000000007</v>
      </c>
      <c r="Q279" s="278">
        <f>IFERROR(INDEX('Ashed teabags dry'!$K$2:$K$825,MATCH(J279,'Ashed teabags dry'!$A$2:$A$825,0)),"")</f>
        <v>3.528360875390312</v>
      </c>
      <c r="R279" s="278">
        <f t="shared" si="22"/>
        <v>0.54400357302367408</v>
      </c>
      <c r="S279" s="268">
        <f>'Dry_Litterbag Placem_Collection'!E60</f>
        <v>42938</v>
      </c>
      <c r="T279" s="268">
        <f>IF('Dry_Litterbag Placem_Collection'!G60="","",'Dry_Litterbag Placem_Collection'!G60)</f>
        <v>43005</v>
      </c>
      <c r="U279" s="269">
        <f t="shared" si="20"/>
        <v>67</v>
      </c>
      <c r="V279" s="267">
        <f t="shared" si="23"/>
        <v>1.3793</v>
      </c>
      <c r="W279" s="267">
        <f t="shared" si="24"/>
        <v>1.354859117998761</v>
      </c>
      <c r="X279" s="271">
        <f>IFERROR(INDEX(Rainfall_Dry!$O$2:$O$217,MATCH(B279, Rainfall_Dry!$A$2:$A$217,0)),"")</f>
        <v>6.5250000359999998</v>
      </c>
      <c r="Y279" s="260">
        <v>25.96</v>
      </c>
      <c r="Z279" s="260">
        <v>6.9200000000000008</v>
      </c>
      <c r="AA279" s="260">
        <v>67.12</v>
      </c>
      <c r="AB279" s="261" t="s">
        <v>2670</v>
      </c>
      <c r="AC279" s="260">
        <v>1.7568260226712666</v>
      </c>
      <c r="AD279">
        <f>IF('WetLitterbags placem_collection'!AB60="","",'WetLitterbags placem_collection'!AB60)</f>
        <v>1.4</v>
      </c>
      <c r="AE279">
        <f>IF('WetLitterbags placem_collection'!Z60="","",'WetLitterbags placem_collection'!Z60)</f>
        <v>54.4</v>
      </c>
      <c r="AF279" s="246" t="str">
        <f>IF('WetLitterbags placem_collection'!AA60="","",'WetLitterbags placem_collection'!AA60)</f>
        <v>O</v>
      </c>
      <c r="AG279">
        <f>IF('WetLitterbags placem_collection'!AC60="","",'WetLitterbags placem_collection'!AC60)</f>
        <v>0</v>
      </c>
      <c r="AH279">
        <f>IFERROR(AVERAGE('Dry_Litterbag Placem_Collection'!O60,'Dry_Litterbag Placem_Collection'!R60),"")</f>
        <v>5.7</v>
      </c>
      <c r="AI279" s="271">
        <f>IFERROR(AVERAGE('Dry_Litterbag Placem_Collection'!N60,'Dry_Litterbag Placem_Collection'!Q60),"")</f>
        <v>32.35</v>
      </c>
      <c r="AJ279" s="270">
        <f>INDEX(Coordinates!$B$2:$B$197,MATCH(G279,Coordinates!$J$2:$J$197,0))</f>
        <v>-3.4065020079999999</v>
      </c>
      <c r="AK279" s="270">
        <f>INDEX(Coordinates!$C$2:$C$197,MATCH(G279,Coordinates!$J$2:$J$197,0))</f>
        <v>34.851056020000001</v>
      </c>
      <c r="AL279" s="270" t="str">
        <f>IF(ISNUMBER(SEARCH("C", 'Dry_Litterbag Placem_Collection'!T60)),"YES","NO")</f>
        <v>NO</v>
      </c>
      <c r="AM279" s="270" t="str">
        <f>IF(ISNUMBER(SEARCH("H", 'Dry_Litterbag Placem_Collection'!T60)),"YES","NO")</f>
        <v>YES</v>
      </c>
      <c r="AN279" s="270" t="str">
        <f>IF(ISNUMBER(SEARCH("R", 'Dry_Litterbag Placem_Collection'!T60)),"YES","NO")</f>
        <v>NO</v>
      </c>
    </row>
    <row r="280" spans="1:40" ht="15" customHeight="1">
      <c r="A280" s="262" t="s">
        <v>2659</v>
      </c>
      <c r="B280" s="263">
        <f>'Dry_Litterbag Placem_Collection'!A61</f>
        <v>59</v>
      </c>
      <c r="C280" s="263" t="str">
        <f>'Dry_Litterbag Placem_Collection'!B61</f>
        <v>Makao</v>
      </c>
      <c r="D280" s="263" t="s">
        <v>2659</v>
      </c>
      <c r="E280" s="263" t="s">
        <v>20</v>
      </c>
      <c r="F280" s="263">
        <v>4</v>
      </c>
      <c r="G280" s="264" t="str">
        <f>'Dry_Litterbag Placem_Collection'!C61</f>
        <v>Dry_P4_T3</v>
      </c>
      <c r="H280" s="265" t="s">
        <v>2541</v>
      </c>
      <c r="I280" s="272" t="s">
        <v>298</v>
      </c>
      <c r="J280" s="263" t="str">
        <f>IF(ISBLANK('Dry_Litterbag Placem_Collection'!K61),"","R"&amp;""&amp;'Dry_Litterbag Placem_Collection'!K61)</f>
        <v>R721</v>
      </c>
      <c r="K280" s="267">
        <f>IFERROR(INDEX('Green_rooibos initial weight'!$C$5:$C$1749,MATCH(J280, 'Green_rooibos initial weight'!$A$5:$A$1749,0)),"")</f>
        <v>2.2229999999999999</v>
      </c>
      <c r="L280" s="267">
        <f>IFERROR(K280-(TBIcalc!$Q$9+TBIcalc!$Q$10),"")</f>
        <v>1.9731999999999998</v>
      </c>
      <c r="M280" s="391">
        <f>AVERAGE(Ashed_controlls!$K$12:$K$14)</f>
        <v>2.2816647271287041</v>
      </c>
      <c r="N280" s="267">
        <f t="shared" si="21"/>
        <v>1.9281781916042962</v>
      </c>
      <c r="O280" s="267">
        <f>IF(IFERROR(INDEX('Both teabags AfterDry'!$D$3:$D$900,MATCH(J280,'Both teabags AfterDry'!$A$3:$A$900,0)),"")="","",(IFERROR(INDEX('Both teabags AfterDry'!$D$3:$D$900,MATCH(J280,'Both teabags AfterDry'!$A$3:$A$900,0)),"")))</f>
        <v>1.9549000000000001</v>
      </c>
      <c r="P280" s="267">
        <f>IFERROR(IF(O280&gt;0,O280-(TBIcalc!$Q$9),""),"")</f>
        <v>1.8043</v>
      </c>
      <c r="Q280" s="278">
        <f>IFERROR(INDEX('Ashed teabags dry'!$K$2:$K$825,MATCH(J280,'Ashed teabags dry'!$A$2:$A$825,0)),"")</f>
        <v>2.6871401151632113</v>
      </c>
      <c r="R280" s="278">
        <f t="shared" si="22"/>
        <v>1.7558159309021102</v>
      </c>
      <c r="S280" s="268">
        <f>'Dry_Litterbag Placem_Collection'!E61</f>
        <v>42938</v>
      </c>
      <c r="T280" s="268">
        <f>IF('Dry_Litterbag Placem_Collection'!G61="","",'Dry_Litterbag Placem_Collection'!G61)</f>
        <v>43005</v>
      </c>
      <c r="U280" s="269">
        <f t="shared" si="20"/>
        <v>67</v>
      </c>
      <c r="V280" s="267">
        <f t="shared" si="23"/>
        <v>0.16889999999999983</v>
      </c>
      <c r="W280" s="267">
        <f t="shared" si="24"/>
        <v>0.17236226070218597</v>
      </c>
      <c r="X280" s="271">
        <f>IFERROR(INDEX(Rainfall_Dry!$O$2:$O$217,MATCH(B280, Rainfall_Dry!$A$2:$A$217,0)),"")</f>
        <v>6.5250000359999998</v>
      </c>
      <c r="Y280" s="260">
        <v>25.96</v>
      </c>
      <c r="Z280" s="260">
        <v>6.9200000000000008</v>
      </c>
      <c r="AA280" s="260">
        <v>67.12</v>
      </c>
      <c r="AB280" s="261" t="s">
        <v>2670</v>
      </c>
      <c r="AC280" s="260">
        <v>1.7568260226712666</v>
      </c>
      <c r="AD280">
        <f>IF('WetLitterbags placem_collection'!AB61="","",'WetLitterbags placem_collection'!AB61)</f>
        <v>3.3</v>
      </c>
      <c r="AE280">
        <f>IF('WetLitterbags placem_collection'!Z61="","",'WetLitterbags placem_collection'!Z61)</f>
        <v>46</v>
      </c>
      <c r="AF280" s="246" t="str">
        <f>IF('WetLitterbags placem_collection'!AA61="","",'WetLitterbags placem_collection'!AA61)</f>
        <v>O</v>
      </c>
      <c r="AG280">
        <f>IF('WetLitterbags placem_collection'!AC61="","",'WetLitterbags placem_collection'!AC61)</f>
        <v>0</v>
      </c>
      <c r="AH280">
        <f>IFERROR(AVERAGE('Dry_Litterbag Placem_Collection'!O61,'Dry_Litterbag Placem_Collection'!R61),"")</f>
        <v>7.6999999999999993</v>
      </c>
      <c r="AI280" s="271">
        <f>IFERROR(AVERAGE('Dry_Litterbag Placem_Collection'!N61,'Dry_Litterbag Placem_Collection'!Q61),"")</f>
        <v>31.8</v>
      </c>
      <c r="AJ280" s="270">
        <f>INDEX(Coordinates!$B$2:$B$197,MATCH(G280,Coordinates!$J$2:$J$197,0))</f>
        <v>-3.4062359670000002</v>
      </c>
      <c r="AK280" s="270">
        <f>INDEX(Coordinates!$C$2:$C$197,MATCH(G280,Coordinates!$J$2:$J$197,0))</f>
        <v>34.851107990000003</v>
      </c>
      <c r="AL280" s="270" t="str">
        <f>IF(ISNUMBER(SEARCH("C", 'Dry_Litterbag Placem_Collection'!T61)),"YES","NO")</f>
        <v>NO</v>
      </c>
      <c r="AM280" s="270" t="str">
        <f>IF(ISNUMBER(SEARCH("H", 'Dry_Litterbag Placem_Collection'!T61)),"YES","NO")</f>
        <v>NO</v>
      </c>
      <c r="AN280" s="270" t="str">
        <f>IF(ISNUMBER(SEARCH("R", 'Dry_Litterbag Placem_Collection'!T61)),"YES","NO")</f>
        <v>NO</v>
      </c>
    </row>
    <row r="281" spans="1:40" ht="15" customHeight="1">
      <c r="A281" s="262" t="s">
        <v>2659</v>
      </c>
      <c r="B281" s="263">
        <f>'Dry_Litterbag Placem_Collection'!A62</f>
        <v>60</v>
      </c>
      <c r="C281" s="263" t="str">
        <f>'Dry_Litterbag Placem_Collection'!B62</f>
        <v>Makao</v>
      </c>
      <c r="D281" s="263" t="s">
        <v>2659</v>
      </c>
      <c r="E281" s="263" t="s">
        <v>20</v>
      </c>
      <c r="F281" s="263">
        <v>4</v>
      </c>
      <c r="G281" s="264" t="str">
        <f>'Dry_Litterbag Placem_Collection'!C62</f>
        <v>Dry_P4_T4</v>
      </c>
      <c r="H281" s="265" t="s">
        <v>2541</v>
      </c>
      <c r="I281" s="272" t="s">
        <v>298</v>
      </c>
      <c r="J281" s="263" t="str">
        <f>IF(ISBLANK('Dry_Litterbag Placem_Collection'!K62),"","R"&amp;""&amp;'Dry_Litterbag Placem_Collection'!K62)</f>
        <v>R763</v>
      </c>
      <c r="K281" s="267">
        <f>IFERROR(INDEX('Green_rooibos initial weight'!$C$5:$C$1749,MATCH(J281, 'Green_rooibos initial weight'!$A$5:$A$1749,0)),"")</f>
        <v>2.2589999999999999</v>
      </c>
      <c r="L281" s="267">
        <f>IFERROR(K281-(TBIcalc!$Q$9+TBIcalc!$Q$10),"")</f>
        <v>2.0091999999999999</v>
      </c>
      <c r="M281" s="391">
        <f>AVERAGE(Ashed_controlls!$K$12:$K$14)</f>
        <v>2.2816647271287041</v>
      </c>
      <c r="N281" s="267">
        <f t="shared" si="21"/>
        <v>1.9633567923025299</v>
      </c>
      <c r="O281" s="267">
        <f>IF(IFERROR(INDEX('Both teabags AfterDry'!$D$3:$D$900,MATCH(J281,'Both teabags AfterDry'!$A$3:$A$900,0)),"")="","",(IFERROR(INDEX('Both teabags AfterDry'!$D$3:$D$900,MATCH(J281,'Both teabags AfterDry'!$A$3:$A$900,0)),"")))</f>
        <v>1.9797</v>
      </c>
      <c r="P281" s="267">
        <f>IFERROR(IF(O281&gt;0,O281-(TBIcalc!$Q$9),""),"")</f>
        <v>1.8290999999999999</v>
      </c>
      <c r="Q281" s="278">
        <f>IFERROR(INDEX('Ashed teabags dry'!$K$2:$K$825,MATCH(J281,'Ashed teabags dry'!$A$2:$A$825,0)),"")</f>
        <v>2.8315946348738801</v>
      </c>
      <c r="R281" s="278">
        <f t="shared" si="22"/>
        <v>1.7773073025335218</v>
      </c>
      <c r="S281" s="268">
        <f>'Dry_Litterbag Placem_Collection'!E62</f>
        <v>42938</v>
      </c>
      <c r="T281" s="268">
        <f>IF('Dry_Litterbag Placem_Collection'!G62="","",'Dry_Litterbag Placem_Collection'!G62)</f>
        <v>43005</v>
      </c>
      <c r="U281" s="269">
        <f t="shared" si="20"/>
        <v>67</v>
      </c>
      <c r="V281" s="267">
        <f t="shared" si="23"/>
        <v>0.18009999999999993</v>
      </c>
      <c r="W281" s="267">
        <f t="shared" si="24"/>
        <v>0.18604948976900815</v>
      </c>
      <c r="X281" s="271">
        <f>IFERROR(INDEX(Rainfall_Dry!$O$2:$O$217,MATCH(B281, Rainfall_Dry!$A$2:$A$217,0)),"")</f>
        <v>6.5250000359999998</v>
      </c>
      <c r="Y281" s="260">
        <v>25.96</v>
      </c>
      <c r="Z281" s="260">
        <v>6.9200000000000008</v>
      </c>
      <c r="AA281" s="260">
        <v>67.12</v>
      </c>
      <c r="AB281" s="261" t="s">
        <v>2670</v>
      </c>
      <c r="AC281" s="260">
        <v>1.7568260226712666</v>
      </c>
      <c r="AD281">
        <f>IF('WetLitterbags placem_collection'!AB62="","",'WetLitterbags placem_collection'!AB62)</f>
        <v>2.4</v>
      </c>
      <c r="AE281">
        <f>IF('WetLitterbags placem_collection'!Z62="","",'WetLitterbags placem_collection'!Z62)</f>
        <v>10.199999999999999</v>
      </c>
      <c r="AF281" s="246" t="str">
        <f>IF('WetLitterbags placem_collection'!AA62="","",'WetLitterbags placem_collection'!AA62)</f>
        <v>O</v>
      </c>
      <c r="AG281">
        <f>IF('WetLitterbags placem_collection'!AC62="","",'WetLitterbags placem_collection'!AC62)</f>
        <v>0</v>
      </c>
      <c r="AH281">
        <f>IFERROR(AVERAGE('Dry_Litterbag Placem_Collection'!O62,'Dry_Litterbag Placem_Collection'!R62),"")</f>
        <v>5.65</v>
      </c>
      <c r="AI281" s="271">
        <f>IFERROR(AVERAGE('Dry_Litterbag Placem_Collection'!N62,'Dry_Litterbag Placem_Collection'!Q62),"")</f>
        <v>32.650000000000006</v>
      </c>
      <c r="AJ281" s="270">
        <f>INDEX(Coordinates!$B$2:$B$197,MATCH(G281,Coordinates!$J$2:$J$197,0))</f>
        <v>-3.406281983</v>
      </c>
      <c r="AK281" s="270">
        <f>INDEX(Coordinates!$C$2:$C$197,MATCH(G281,Coordinates!$J$2:$J$197,0))</f>
        <v>34.85137898</v>
      </c>
      <c r="AL281" s="270" t="str">
        <f>IF(ISNUMBER(SEARCH("C", 'Dry_Litterbag Placem_Collection'!T62)),"YES","NO")</f>
        <v>NO</v>
      </c>
      <c r="AM281" s="270" t="str">
        <f>IF(ISNUMBER(SEARCH("H", 'Dry_Litterbag Placem_Collection'!T62)),"YES","NO")</f>
        <v>NO</v>
      </c>
      <c r="AN281" s="270" t="str">
        <f>IF(ISNUMBER(SEARCH("R", 'Dry_Litterbag Placem_Collection'!T62)),"YES","NO")</f>
        <v>NO</v>
      </c>
    </row>
    <row r="282" spans="1:40" ht="15" customHeight="1">
      <c r="A282" s="262" t="s">
        <v>2659</v>
      </c>
      <c r="B282" s="263">
        <f>'Dry_Litterbag Placem_Collection'!A63</f>
        <v>61</v>
      </c>
      <c r="C282" s="263" t="str">
        <f>'Dry_Litterbag Placem_Collection'!B63</f>
        <v>Makao</v>
      </c>
      <c r="D282" s="263" t="s">
        <v>2659</v>
      </c>
      <c r="E282" s="263" t="s">
        <v>20</v>
      </c>
      <c r="F282" s="263">
        <v>4</v>
      </c>
      <c r="G282" s="264" t="str">
        <f>'Dry_Litterbag Placem_Collection'!C63</f>
        <v>Dry_P4_T5</v>
      </c>
      <c r="H282" s="265" t="s">
        <v>2541</v>
      </c>
      <c r="I282" s="272" t="s">
        <v>298</v>
      </c>
      <c r="J282" s="263" t="str">
        <f>IF(ISBLANK('Dry_Litterbag Placem_Collection'!K63),"","R"&amp;""&amp;'Dry_Litterbag Placem_Collection'!K63)</f>
        <v>R775</v>
      </c>
      <c r="K282" s="267">
        <f>IFERROR(INDEX('Green_rooibos initial weight'!$C$5:$C$1749,MATCH(J282, 'Green_rooibos initial weight'!$A$5:$A$1749,0)),"")</f>
        <v>2.2290000000000001</v>
      </c>
      <c r="L282" s="267">
        <f>IFERROR(K282-(TBIcalc!$Q$9+TBIcalc!$Q$10),"")</f>
        <v>1.9792000000000001</v>
      </c>
      <c r="M282" s="391">
        <f>AVERAGE(Ashed_controlls!$K$12:$K$14)</f>
        <v>2.2816647271287041</v>
      </c>
      <c r="N282" s="267">
        <f t="shared" si="21"/>
        <v>1.9340412917206689</v>
      </c>
      <c r="O282" s="267" t="str">
        <f>IF(IFERROR(INDEX('Both teabags AfterDry'!$D$3:$D$900,MATCH(J282,'Both teabags AfterDry'!$A$3:$A$900,0)),"")="","",(IFERROR(INDEX('Both teabags AfterDry'!$D$3:$D$900,MATCH(J282,'Both teabags AfterDry'!$A$3:$A$900,0)),"")))</f>
        <v/>
      </c>
      <c r="P282" s="267" t="str">
        <f>IFERROR(IF(O282&gt;0,O282-(TBIcalc!$Q$9),""),"")</f>
        <v/>
      </c>
      <c r="Q282" s="278" t="str">
        <f>IFERROR(INDEX('Ashed teabags dry'!$K$2:$K$825,MATCH(J282,'Ashed teabags dry'!$A$2:$A$825,0)),"")</f>
        <v/>
      </c>
      <c r="R282" s="278" t="str">
        <f t="shared" si="22"/>
        <v/>
      </c>
      <c r="S282" s="268">
        <f>'Dry_Litterbag Placem_Collection'!E63</f>
        <v>42938</v>
      </c>
      <c r="T282" s="268">
        <f>IF('Dry_Litterbag Placem_Collection'!G63="","",'Dry_Litterbag Placem_Collection'!G63)</f>
        <v>43005</v>
      </c>
      <c r="U282" s="269">
        <f t="shared" si="20"/>
        <v>67</v>
      </c>
      <c r="V282" s="267" t="str">
        <f t="shared" si="23"/>
        <v/>
      </c>
      <c r="W282" s="267" t="str">
        <f t="shared" si="24"/>
        <v/>
      </c>
      <c r="X282" s="271">
        <f>IFERROR(INDEX(Rainfall_Dry!$O$2:$O$217,MATCH(B282, Rainfall_Dry!$A$2:$A$217,0)),"")</f>
        <v>6.5250000359999998</v>
      </c>
      <c r="Y282" s="260">
        <v>25.96</v>
      </c>
      <c r="Z282" s="260">
        <v>6.9200000000000008</v>
      </c>
      <c r="AA282" s="260">
        <v>67.12</v>
      </c>
      <c r="AB282" s="261" t="s">
        <v>2670</v>
      </c>
      <c r="AC282" s="260">
        <v>1.7568260226712666</v>
      </c>
      <c r="AD282">
        <f>IF('WetLitterbags placem_collection'!AB63="","",'WetLitterbags placem_collection'!AB63)</f>
        <v>5.6</v>
      </c>
      <c r="AE282">
        <f>IF('WetLitterbags placem_collection'!Z63="","",'WetLitterbags placem_collection'!Z63)</f>
        <v>34.200000000000003</v>
      </c>
      <c r="AF282" s="246" t="str">
        <f>IF('WetLitterbags placem_collection'!AA63="","",'WetLitterbags placem_collection'!AA63)</f>
        <v>O</v>
      </c>
      <c r="AG282">
        <f>IF('WetLitterbags placem_collection'!AC63="","",'WetLitterbags placem_collection'!AC63)</f>
        <v>0</v>
      </c>
      <c r="AH282">
        <f>IFERROR(AVERAGE('Dry_Litterbag Placem_Collection'!O63,'Dry_Litterbag Placem_Collection'!R63),"")</f>
        <v>4.5</v>
      </c>
      <c r="AI282" s="271">
        <f>IFERROR(AVERAGE('Dry_Litterbag Placem_Collection'!N63,'Dry_Litterbag Placem_Collection'!Q63),"")</f>
        <v>34</v>
      </c>
      <c r="AJ282" s="270">
        <f>INDEX(Coordinates!$B$2:$B$197,MATCH(G282,Coordinates!$J$2:$J$197,0))</f>
        <v>-3.406569986</v>
      </c>
      <c r="AK282" s="270">
        <f>INDEX(Coordinates!$C$2:$C$197,MATCH(G282,Coordinates!$J$2:$J$197,0))</f>
        <v>34.851323989999997</v>
      </c>
      <c r="AL282" s="270" t="str">
        <f>IF(ISNUMBER(SEARCH("C", 'Dry_Litterbag Placem_Collection'!T63)),"YES","NO")</f>
        <v>NO</v>
      </c>
      <c r="AM282" s="270" t="str">
        <f>IF(ISNUMBER(SEARCH("H", 'Dry_Litterbag Placem_Collection'!T63)),"YES","NO")</f>
        <v>NO</v>
      </c>
      <c r="AN282" s="270" t="str">
        <f>IF(ISNUMBER(SEARCH("R", 'Dry_Litterbag Placem_Collection'!T63)),"YES","NO")</f>
        <v>NO</v>
      </c>
    </row>
    <row r="283" spans="1:40" ht="15" customHeight="1">
      <c r="A283" s="262" t="s">
        <v>2659</v>
      </c>
      <c r="B283" s="263">
        <f>'Dry_Litterbag Placem_Collection'!A64</f>
        <v>62</v>
      </c>
      <c r="C283" s="263" t="str">
        <f>'Dry_Litterbag Placem_Collection'!B64</f>
        <v>Makao</v>
      </c>
      <c r="D283" s="263" t="s">
        <v>2659</v>
      </c>
      <c r="E283" s="263" t="s">
        <v>20</v>
      </c>
      <c r="F283" s="263">
        <v>4</v>
      </c>
      <c r="G283" s="264" t="str">
        <f>'Dry_Litterbag Placem_Collection'!C64</f>
        <v>Dry_P4_T6</v>
      </c>
      <c r="H283" s="265" t="s">
        <v>2541</v>
      </c>
      <c r="I283" s="272" t="s">
        <v>298</v>
      </c>
      <c r="J283" s="263" t="str">
        <f>IF(ISBLANK('Dry_Litterbag Placem_Collection'!K64),"","R"&amp;""&amp;'Dry_Litterbag Placem_Collection'!K64)</f>
        <v/>
      </c>
      <c r="K283" s="267" t="str">
        <f>IFERROR(INDEX('Green_rooibos initial weight'!$C$5:$C$1749,MATCH(J283, 'Green_rooibos initial weight'!$A$5:$A$1749,0)),"")</f>
        <v/>
      </c>
      <c r="L283" s="267" t="str">
        <f>IFERROR(K283-(TBIcalc!$Q$9+TBIcalc!$Q$10),"")</f>
        <v/>
      </c>
      <c r="M283" s="391">
        <f>AVERAGE(Ashed_controlls!$K$12:$K$14)</f>
        <v>2.2816647271287041</v>
      </c>
      <c r="N283" s="267" t="str">
        <f t="shared" si="21"/>
        <v/>
      </c>
      <c r="O283" s="267" t="str">
        <f>IF(IFERROR(INDEX('Both teabags AfterDry'!$D$3:$D$900,MATCH(J283,'Both teabags AfterDry'!$A$3:$A$900,0)),"")="","",(IFERROR(INDEX('Both teabags AfterDry'!$D$3:$D$900,MATCH(J283,'Both teabags AfterDry'!$A$3:$A$900,0)),"")))</f>
        <v/>
      </c>
      <c r="P283" s="267" t="str">
        <f>IFERROR(IF(O283&gt;0,O283-(TBIcalc!$Q$9),""),"")</f>
        <v/>
      </c>
      <c r="Q283" s="278" t="str">
        <f>IFERROR(INDEX('Ashed teabags dry'!$K$2:$K$825,MATCH(J283,'Ashed teabags dry'!$A$2:$A$825,0)),"")</f>
        <v/>
      </c>
      <c r="R283" s="278" t="str">
        <f t="shared" si="22"/>
        <v/>
      </c>
      <c r="S283" s="268">
        <f>'Dry_Litterbag Placem_Collection'!E64</f>
        <v>0</v>
      </c>
      <c r="T283" s="268" t="str">
        <f>IF('Dry_Litterbag Placem_Collection'!G64="","",'Dry_Litterbag Placem_Collection'!G64)</f>
        <v/>
      </c>
      <c r="U283" s="269" t="str">
        <f t="shared" si="20"/>
        <v/>
      </c>
      <c r="V283" s="267" t="str">
        <f t="shared" si="23"/>
        <v/>
      </c>
      <c r="W283" s="267" t="str">
        <f t="shared" si="24"/>
        <v/>
      </c>
      <c r="X283" s="271" t="str">
        <f>IFERROR(INDEX(Rainfall_Dry!$O$2:$O$217,MATCH(B283, Rainfall_Dry!$A$2:$A$217,0)),"")</f>
        <v/>
      </c>
      <c r="Y283" s="260">
        <v>25.96</v>
      </c>
      <c r="Z283" s="260">
        <v>6.9200000000000008</v>
      </c>
      <c r="AA283" s="260">
        <v>67.12</v>
      </c>
      <c r="AB283" s="261" t="s">
        <v>2670</v>
      </c>
      <c r="AC283" s="260">
        <v>1.7568260226712666</v>
      </c>
      <c r="AD283">
        <f>IF('WetLitterbags placem_collection'!AB64="","",'WetLitterbags placem_collection'!AB64)</f>
        <v>4.2</v>
      </c>
      <c r="AE283">
        <f>IF('WetLitterbags placem_collection'!Z64="","",'WetLitterbags placem_collection'!Z64)</f>
        <v>40.4</v>
      </c>
      <c r="AF283" s="246" t="str">
        <f>IF('WetLitterbags placem_collection'!AA64="","",'WetLitterbags placem_collection'!AA64)</f>
        <v>O</v>
      </c>
      <c r="AG283">
        <f>IF('WetLitterbags placem_collection'!AC64="","",'WetLitterbags placem_collection'!AC64)</f>
        <v>0</v>
      </c>
      <c r="AH283" t="str">
        <f>IFERROR(AVERAGE('Dry_Litterbag Placem_Collection'!O64,'Dry_Litterbag Placem_Collection'!R64),"")</f>
        <v/>
      </c>
      <c r="AI283" s="271" t="str">
        <f>IFERROR(AVERAGE('Dry_Litterbag Placem_Collection'!N64,'Dry_Litterbag Placem_Collection'!Q64),"")</f>
        <v/>
      </c>
      <c r="AJ283" s="270">
        <f>INDEX(Coordinates!$B$2:$B$197,MATCH(G283,Coordinates!$J$2:$J$197,0))</f>
        <v>-3.4065180179999999</v>
      </c>
      <c r="AK283" s="270">
        <f>INDEX(Coordinates!$C$2:$C$197,MATCH(G283,Coordinates!$J$2:$J$197,0))</f>
        <v>34.85121402</v>
      </c>
      <c r="AL283" s="270" t="str">
        <f>IF(ISNUMBER(SEARCH("C", 'Dry_Litterbag Placem_Collection'!T64)),"YES","NO")</f>
        <v>NO</v>
      </c>
      <c r="AM283" s="270" t="str">
        <f>IF(ISNUMBER(SEARCH("H", 'Dry_Litterbag Placem_Collection'!T64)),"YES","NO")</f>
        <v>NO</v>
      </c>
      <c r="AN283" s="270" t="str">
        <f>IF(ISNUMBER(SEARCH("R", 'Dry_Litterbag Placem_Collection'!T64)),"YES","NO")</f>
        <v>NO</v>
      </c>
    </row>
    <row r="284" spans="1:40" ht="15" customHeight="1">
      <c r="A284" s="262" t="s">
        <v>2659</v>
      </c>
      <c r="B284" s="263">
        <f>'Dry_Litterbag Placem_Collection'!A65</f>
        <v>63</v>
      </c>
      <c r="C284" s="263" t="str">
        <f>'Dry_Litterbag Placem_Collection'!B65</f>
        <v>Makao</v>
      </c>
      <c r="D284" s="263" t="s">
        <v>2659</v>
      </c>
      <c r="E284" s="263" t="s">
        <v>20</v>
      </c>
      <c r="F284" s="263">
        <v>4</v>
      </c>
      <c r="G284" s="264" t="str">
        <f>'Dry_Litterbag Placem_Collection'!C65</f>
        <v>Dry_P4_T7</v>
      </c>
      <c r="H284" s="265" t="s">
        <v>2541</v>
      </c>
      <c r="I284" s="272" t="s">
        <v>298</v>
      </c>
      <c r="J284" s="263" t="str">
        <f>IF(ISBLANK('Dry_Litterbag Placem_Collection'!K65),"","R"&amp;""&amp;'Dry_Litterbag Placem_Collection'!K65)</f>
        <v>R733</v>
      </c>
      <c r="K284" s="267">
        <f>IFERROR(INDEX('Green_rooibos initial weight'!$C$5:$C$1749,MATCH(J284, 'Green_rooibos initial weight'!$A$5:$A$1749,0)),"")</f>
        <v>2.181</v>
      </c>
      <c r="L284" s="267">
        <f>IFERROR(K284-(TBIcalc!$Q$9+TBIcalc!$Q$10),"")</f>
        <v>1.9312</v>
      </c>
      <c r="M284" s="391">
        <f>AVERAGE(Ashed_controlls!$K$12:$K$14)</f>
        <v>2.2816647271287041</v>
      </c>
      <c r="N284" s="267">
        <f t="shared" si="21"/>
        <v>1.8871364907896906</v>
      </c>
      <c r="O284" s="267">
        <f>IF(IFERROR(INDEX('Both teabags AfterDry'!$D$3:$D$900,MATCH(J284,'Both teabags AfterDry'!$A$3:$A$900,0)),"")="","",(IFERROR(INDEX('Both teabags AfterDry'!$D$3:$D$900,MATCH(J284,'Both teabags AfterDry'!$A$3:$A$900,0)),"")))</f>
        <v>1.9025000000000001</v>
      </c>
      <c r="P284" s="267">
        <f>IFERROR(IF(O284&gt;0,O284-(TBIcalc!$Q$9),""),"")</f>
        <v>1.7519</v>
      </c>
      <c r="Q284" s="278">
        <f>IFERROR(INDEX('Ashed teabags dry'!$K$2:$K$825,MATCH(J284,'Ashed teabags dry'!$A$2:$A$825,0)),"")</f>
        <v>2.0627417275461966</v>
      </c>
      <c r="R284" s="278">
        <f t="shared" si="22"/>
        <v>1.7157628276751182</v>
      </c>
      <c r="S284" s="268">
        <f>'Dry_Litterbag Placem_Collection'!E65</f>
        <v>42938</v>
      </c>
      <c r="T284" s="268">
        <f>IF('Dry_Litterbag Placem_Collection'!G65="","",'Dry_Litterbag Placem_Collection'!G65)</f>
        <v>43005</v>
      </c>
      <c r="U284" s="269">
        <f t="shared" si="20"/>
        <v>67</v>
      </c>
      <c r="V284" s="267">
        <f t="shared" si="23"/>
        <v>0.17930000000000001</v>
      </c>
      <c r="W284" s="267">
        <f t="shared" si="24"/>
        <v>0.17137366311457236</v>
      </c>
      <c r="X284" s="271">
        <f>IFERROR(INDEX(Rainfall_Dry!$O$2:$O$217,MATCH(B284, Rainfall_Dry!$A$2:$A$217,0)),"")</f>
        <v>6.5250000359999998</v>
      </c>
      <c r="Y284" s="260">
        <v>25.96</v>
      </c>
      <c r="Z284" s="260">
        <v>6.9200000000000008</v>
      </c>
      <c r="AA284" s="260">
        <v>67.12</v>
      </c>
      <c r="AB284" s="261" t="s">
        <v>2670</v>
      </c>
      <c r="AC284" s="260">
        <v>1.7568260226712666</v>
      </c>
      <c r="AD284">
        <f>IF('WetLitterbags placem_collection'!AB65="","",'WetLitterbags placem_collection'!AB65)</f>
        <v>4.9000000000000004</v>
      </c>
      <c r="AE284">
        <f>IF('WetLitterbags placem_collection'!Z65="","",'WetLitterbags placem_collection'!Z65)</f>
        <v>45</v>
      </c>
      <c r="AF284" s="246" t="str">
        <f>IF('WetLitterbags placem_collection'!AA65="","",'WetLitterbags placem_collection'!AA65)</f>
        <v>O</v>
      </c>
      <c r="AG284">
        <f>IF('WetLitterbags placem_collection'!AC65="","",'WetLitterbags placem_collection'!AC65)</f>
        <v>0</v>
      </c>
      <c r="AH284">
        <f>IFERROR(AVERAGE('Dry_Litterbag Placem_Collection'!O65,'Dry_Litterbag Placem_Collection'!R65),"")</f>
        <v>4.75</v>
      </c>
      <c r="AI284" s="271">
        <f>IFERROR(AVERAGE('Dry_Litterbag Placem_Collection'!N65,'Dry_Litterbag Placem_Collection'!Q65),"")</f>
        <v>31.3</v>
      </c>
      <c r="AJ284" s="270">
        <f>INDEX(Coordinates!$B$2:$B$197,MATCH(G284,Coordinates!$J$2:$J$197,0))</f>
        <v>-3.406334035</v>
      </c>
      <c r="AK284" s="270">
        <f>INDEX(Coordinates!$C$2:$C$197,MATCH(G284,Coordinates!$J$2:$J$197,0))</f>
        <v>34.851172030000001</v>
      </c>
      <c r="AL284" s="270" t="str">
        <f>IF(ISNUMBER(SEARCH("C", 'Dry_Litterbag Placem_Collection'!T65)),"YES","NO")</f>
        <v>NO</v>
      </c>
      <c r="AM284" s="270" t="str">
        <f>IF(ISNUMBER(SEARCH("H", 'Dry_Litterbag Placem_Collection'!T65)),"YES","NO")</f>
        <v>NO</v>
      </c>
      <c r="AN284" s="270" t="str">
        <f>IF(ISNUMBER(SEARCH("R", 'Dry_Litterbag Placem_Collection'!T65)),"YES","NO")</f>
        <v>NO</v>
      </c>
    </row>
    <row r="285" spans="1:40" ht="15" customHeight="1">
      <c r="A285" s="262" t="s">
        <v>2659</v>
      </c>
      <c r="B285" s="263">
        <f>'Dry_Litterbag Placem_Collection'!A66</f>
        <v>64</v>
      </c>
      <c r="C285" s="263" t="str">
        <f>'Dry_Litterbag Placem_Collection'!B66</f>
        <v>Makao</v>
      </c>
      <c r="D285" s="263" t="s">
        <v>2659</v>
      </c>
      <c r="E285" s="263" t="s">
        <v>20</v>
      </c>
      <c r="F285" s="263">
        <v>4</v>
      </c>
      <c r="G285" s="264" t="str">
        <f>'Dry_Litterbag Placem_Collection'!C66</f>
        <v>Dry_P4_T8</v>
      </c>
      <c r="H285" s="265" t="s">
        <v>2541</v>
      </c>
      <c r="I285" s="272" t="s">
        <v>298</v>
      </c>
      <c r="J285" s="263" t="str">
        <f>IF(ISBLANK('Dry_Litterbag Placem_Collection'!K66),"","R"&amp;""&amp;'Dry_Litterbag Placem_Collection'!K66)</f>
        <v>R765</v>
      </c>
      <c r="K285" s="267">
        <f>IFERROR(INDEX('Green_rooibos initial weight'!$C$5:$C$1749,MATCH(J285, 'Green_rooibos initial weight'!$A$5:$A$1749,0)),"")</f>
        <v>2.2400000000000002</v>
      </c>
      <c r="L285" s="267">
        <f>IFERROR(K285-(TBIcalc!$Q$9+TBIcalc!$Q$10),"")</f>
        <v>1.9902000000000002</v>
      </c>
      <c r="M285" s="391">
        <f>AVERAGE(Ashed_controlls!$K$12:$K$14)</f>
        <v>2.2816647271287041</v>
      </c>
      <c r="N285" s="267">
        <f t="shared" si="21"/>
        <v>1.9447903086006848</v>
      </c>
      <c r="O285" s="267">
        <f>IF(IFERROR(INDEX('Both teabags AfterDry'!$D$3:$D$900,MATCH(J285,'Both teabags AfterDry'!$A$3:$A$900,0)),"")="","",(IFERROR(INDEX('Both teabags AfterDry'!$D$3:$D$900,MATCH(J285,'Both teabags AfterDry'!$A$3:$A$900,0)),"")))</f>
        <v>1.9783999999999999</v>
      </c>
      <c r="P285" s="267">
        <f>IFERROR(IF(O285&gt;0,O285-(TBIcalc!$Q$9),""),"")</f>
        <v>1.8277999999999999</v>
      </c>
      <c r="Q285" s="278">
        <f>IFERROR(INDEX('Ashed teabags dry'!$K$2:$K$825,MATCH(J285,'Ashed teabags dry'!$A$2:$A$825,0)),"")</f>
        <v>2.2874191944304623</v>
      </c>
      <c r="R285" s="278">
        <f t="shared" si="22"/>
        <v>1.7859905519641999</v>
      </c>
      <c r="S285" s="268">
        <f>'Dry_Litterbag Placem_Collection'!E66</f>
        <v>42938</v>
      </c>
      <c r="T285" s="268">
        <f>IF('Dry_Litterbag Placem_Collection'!G66="","",'Dry_Litterbag Placem_Collection'!G66)</f>
        <v>43005</v>
      </c>
      <c r="U285" s="269">
        <f t="shared" si="20"/>
        <v>67</v>
      </c>
      <c r="V285" s="267">
        <f t="shared" si="23"/>
        <v>0.16240000000000032</v>
      </c>
      <c r="W285" s="267">
        <f t="shared" si="24"/>
        <v>0.15879975663648493</v>
      </c>
      <c r="X285" s="271">
        <f>IFERROR(INDEX(Rainfall_Dry!$O$2:$O$217,MATCH(B285, Rainfall_Dry!$A$2:$A$217,0)),"")</f>
        <v>6.5250000359999998</v>
      </c>
      <c r="Y285" s="260">
        <v>25.96</v>
      </c>
      <c r="Z285" s="260">
        <v>6.9200000000000008</v>
      </c>
      <c r="AA285" s="260">
        <v>67.12</v>
      </c>
      <c r="AB285" s="261" t="s">
        <v>2670</v>
      </c>
      <c r="AC285" s="260">
        <v>1.7568260226712666</v>
      </c>
      <c r="AD285">
        <f>IF('WetLitterbags placem_collection'!AB66="","",'WetLitterbags placem_collection'!AB66)</f>
        <v>3</v>
      </c>
      <c r="AE285">
        <f>IF('WetLitterbags placem_collection'!Z66="","",'WetLitterbags placem_collection'!Z66)</f>
        <v>22.8</v>
      </c>
      <c r="AF285" s="246" t="str">
        <f>IF('WetLitterbags placem_collection'!AA66="","",'WetLitterbags placem_collection'!AA66)</f>
        <v>O</v>
      </c>
      <c r="AG285">
        <f>IF('WetLitterbags placem_collection'!AC66="","",'WetLitterbags placem_collection'!AC66)</f>
        <v>1</v>
      </c>
      <c r="AH285">
        <f>IFERROR(AVERAGE('Dry_Litterbag Placem_Collection'!O66,'Dry_Litterbag Placem_Collection'!R66),"")</f>
        <v>5.55</v>
      </c>
      <c r="AI285" s="271">
        <f>IFERROR(AVERAGE('Dry_Litterbag Placem_Collection'!N66,'Dry_Litterbag Placem_Collection'!Q66),"")</f>
        <v>31.5</v>
      </c>
      <c r="AJ285" s="270">
        <f>INDEX(Coordinates!$B$2:$B$197,MATCH(G285,Coordinates!$J$2:$J$197,0))</f>
        <v>-3.4063409920000001</v>
      </c>
      <c r="AK285" s="270">
        <f>INDEX(Coordinates!$C$2:$C$197,MATCH(G285,Coordinates!$J$2:$J$197,0))</f>
        <v>34.85126004</v>
      </c>
      <c r="AL285" s="270" t="str">
        <f>IF(ISNUMBER(SEARCH("C", 'Dry_Litterbag Placem_Collection'!T66)),"YES","NO")</f>
        <v>NO</v>
      </c>
      <c r="AM285" s="270" t="str">
        <f>IF(ISNUMBER(SEARCH("H", 'Dry_Litterbag Placem_Collection'!T66)),"YES","NO")</f>
        <v>NO</v>
      </c>
      <c r="AN285" s="270" t="str">
        <f>IF(ISNUMBER(SEARCH("R", 'Dry_Litterbag Placem_Collection'!T66)),"YES","NO")</f>
        <v>NO</v>
      </c>
    </row>
    <row r="286" spans="1:40" ht="15" customHeight="1">
      <c r="A286" s="262" t="s">
        <v>2659</v>
      </c>
      <c r="B286" s="263">
        <f>'Dry_Litterbag Placem_Collection'!A67</f>
        <v>65</v>
      </c>
      <c r="C286" s="263" t="str">
        <f>'Dry_Litterbag Placem_Collection'!B67</f>
        <v>Maswa</v>
      </c>
      <c r="D286" s="263" t="s">
        <v>2659</v>
      </c>
      <c r="E286" s="263" t="s">
        <v>2661</v>
      </c>
      <c r="F286" s="263">
        <v>1</v>
      </c>
      <c r="G286" s="264" t="str">
        <f>'Dry_Litterbag Placem_Collection'!C67</f>
        <v>Dry_W1_T1</v>
      </c>
      <c r="H286" s="265" t="s">
        <v>2541</v>
      </c>
      <c r="I286" s="272" t="s">
        <v>298</v>
      </c>
      <c r="J286" s="263" t="str">
        <f>IF(ISBLANK('Dry_Litterbag Placem_Collection'!K67),"","R"&amp;""&amp;'Dry_Litterbag Placem_Collection'!K67)</f>
        <v>R731</v>
      </c>
      <c r="K286" s="267">
        <f>IFERROR(INDEX('Green_rooibos initial weight'!$C$5:$C$1749,MATCH(J286, 'Green_rooibos initial weight'!$A$5:$A$1749,0)),"")</f>
        <v>2.2480000000000002</v>
      </c>
      <c r="L286" s="267">
        <f>IFERROR(K286-(TBIcalc!$Q$9+TBIcalc!$Q$10),"")</f>
        <v>1.9982000000000002</v>
      </c>
      <c r="M286" s="391">
        <f>AVERAGE(Ashed_controlls!$K$12:$K$14)</f>
        <v>2.2816647271287041</v>
      </c>
      <c r="N286" s="267">
        <f t="shared" si="21"/>
        <v>1.9526077754225144</v>
      </c>
      <c r="O286" s="267" t="str">
        <f>IF(IFERROR(INDEX('Both teabags AfterDry'!$D$3:$D$900,MATCH(J286,'Both teabags AfterDry'!$A$3:$A$900,0)),"")="","",(IFERROR(INDEX('Both teabags AfterDry'!$D$3:$D$900,MATCH(J286,'Both teabags AfterDry'!$A$3:$A$900,0)),"")))</f>
        <v/>
      </c>
      <c r="P286" s="267" t="str">
        <f>IFERROR(IF(O286&gt;0,O286-(TBIcalc!$Q$9),""),"")</f>
        <v/>
      </c>
      <c r="Q286" s="278" t="str">
        <f>IFERROR(INDEX('Ashed teabags dry'!$K$2:$K$825,MATCH(J286,'Ashed teabags dry'!$A$2:$A$825,0)),"")</f>
        <v/>
      </c>
      <c r="R286" s="278" t="str">
        <f t="shared" si="22"/>
        <v/>
      </c>
      <c r="S286" s="268">
        <f>'Dry_Litterbag Placem_Collection'!E67</f>
        <v>42937</v>
      </c>
      <c r="T286" s="268">
        <f>IF('Dry_Litterbag Placem_Collection'!G67="","",'Dry_Litterbag Placem_Collection'!G67)</f>
        <v>43005</v>
      </c>
      <c r="U286" s="269">
        <f t="shared" si="20"/>
        <v>68</v>
      </c>
      <c r="V286" s="267" t="str">
        <f t="shared" si="23"/>
        <v/>
      </c>
      <c r="W286" s="267" t="str">
        <f t="shared" si="24"/>
        <v/>
      </c>
      <c r="X286" s="271">
        <f>IFERROR(INDEX(Rainfall_Dry!$O$2:$O$217,MATCH(B286, Rainfall_Dry!$A$2:$A$217,0)),"")</f>
        <v>6.900000125</v>
      </c>
      <c r="Y286" s="260">
        <v>47.96</v>
      </c>
      <c r="Z286" s="260">
        <v>22.919999999999995</v>
      </c>
      <c r="AA286" s="260">
        <v>29.120000000000012</v>
      </c>
      <c r="AB286" s="261" t="s">
        <v>2673</v>
      </c>
      <c r="AC286" s="260">
        <v>2.8831936914736325</v>
      </c>
      <c r="AD286">
        <f>IF('WetLitterbags placem_collection'!AB67="","",'WetLitterbags placem_collection'!AB67)</f>
        <v>13.8</v>
      </c>
      <c r="AE286">
        <f>IF('WetLitterbags placem_collection'!Z67="","",'WetLitterbags placem_collection'!Z67)</f>
        <v>13.8</v>
      </c>
      <c r="AF286" s="246" t="str">
        <f>IF('WetLitterbags placem_collection'!AA67="","",'WetLitterbags placem_collection'!AA67)</f>
        <v>O</v>
      </c>
      <c r="AG286">
        <f>IF('WetLitterbags placem_collection'!AC67="","",'WetLitterbags placem_collection'!AC67)</f>
        <v>1</v>
      </c>
      <c r="AH286">
        <f>IFERROR(AVERAGE('Dry_Litterbag Placem_Collection'!O67,'Dry_Litterbag Placem_Collection'!R67),"")</f>
        <v>10.65</v>
      </c>
      <c r="AI286" s="271">
        <f>IFERROR(AVERAGE('Dry_Litterbag Placem_Collection'!N67,'Dry_Litterbag Placem_Collection'!Q67),"")</f>
        <v>28</v>
      </c>
      <c r="AJ286" s="270">
        <f>INDEX(Coordinates!$B$2:$B$197,MATCH(G286,Coordinates!$J$2:$J$197,0))</f>
        <v>-3.2993960379999998</v>
      </c>
      <c r="AK286" s="270">
        <f>INDEX(Coordinates!$C$2:$C$197,MATCH(G286,Coordinates!$J$2:$J$197,0))</f>
        <v>34.848240959999998</v>
      </c>
      <c r="AL286" s="270" t="str">
        <f>IF(ISNUMBER(SEARCH("C", 'Dry_Litterbag Placem_Collection'!T67)),"YES","NO")</f>
        <v>NO</v>
      </c>
      <c r="AM286" s="270" t="str">
        <f>IF(ISNUMBER(SEARCH("H", 'Dry_Litterbag Placem_Collection'!T67)),"YES","NO")</f>
        <v>NO</v>
      </c>
      <c r="AN286" s="270" t="str">
        <f>IF(ISNUMBER(SEARCH("R", 'Dry_Litterbag Placem_Collection'!T67)),"YES","NO")</f>
        <v>NO</v>
      </c>
    </row>
    <row r="287" spans="1:40" ht="15" customHeight="1">
      <c r="A287" s="262" t="s">
        <v>2659</v>
      </c>
      <c r="B287" s="263">
        <f>'Dry_Litterbag Placem_Collection'!A68</f>
        <v>66</v>
      </c>
      <c r="C287" s="263" t="str">
        <f>'Dry_Litterbag Placem_Collection'!B68</f>
        <v>Maswa</v>
      </c>
      <c r="D287" s="263" t="s">
        <v>2659</v>
      </c>
      <c r="E287" s="263" t="s">
        <v>2661</v>
      </c>
      <c r="F287" s="263">
        <v>1</v>
      </c>
      <c r="G287" s="264" t="str">
        <f>'Dry_Litterbag Placem_Collection'!C68</f>
        <v>Dry_W1_T2</v>
      </c>
      <c r="H287" s="265" t="s">
        <v>2541</v>
      </c>
      <c r="I287" s="272" t="s">
        <v>298</v>
      </c>
      <c r="J287" s="263" t="str">
        <f>IF(ISBLANK('Dry_Litterbag Placem_Collection'!K68),"","R"&amp;""&amp;'Dry_Litterbag Placem_Collection'!K68)</f>
        <v>R816</v>
      </c>
      <c r="K287" s="267">
        <f>IFERROR(INDEX('Green_rooibos initial weight'!$C$5:$C$1749,MATCH(J287, 'Green_rooibos initial weight'!$A$5:$A$1749,0)),"")</f>
        <v>2.194</v>
      </c>
      <c r="L287" s="267">
        <f>IFERROR(K287-(TBIcalc!$Q$9+TBIcalc!$Q$10),"")</f>
        <v>1.9441999999999999</v>
      </c>
      <c r="M287" s="391">
        <f>AVERAGE(Ashed_controlls!$K$12:$K$14)</f>
        <v>2.2816647271287041</v>
      </c>
      <c r="N287" s="267">
        <f t="shared" si="21"/>
        <v>1.8998398743751637</v>
      </c>
      <c r="O287" s="267" t="str">
        <f>IF(IFERROR(INDEX('Both teabags AfterDry'!$D$3:$D$900,MATCH(J287,'Both teabags AfterDry'!$A$3:$A$900,0)),"")="","",(IFERROR(INDEX('Both teabags AfterDry'!$D$3:$D$900,MATCH(J287,'Both teabags AfterDry'!$A$3:$A$900,0)),"")))</f>
        <v/>
      </c>
      <c r="P287" s="267" t="str">
        <f>IFERROR(IF(O287&gt;0,O287-(TBIcalc!$Q$9),""),"")</f>
        <v/>
      </c>
      <c r="Q287" s="278">
        <f>IFERROR(INDEX('Ashed teabags dry'!$K$2:$K$825,MATCH(J287,'Ashed teabags dry'!$A$2:$A$825,0)),"")</f>
        <v>3.3524481693872197</v>
      </c>
      <c r="R287" s="278" t="str">
        <f t="shared" si="22"/>
        <v/>
      </c>
      <c r="S287" s="268">
        <f>'Dry_Litterbag Placem_Collection'!E68</f>
        <v>42937</v>
      </c>
      <c r="T287" s="268">
        <f>IF('Dry_Litterbag Placem_Collection'!G68="","",'Dry_Litterbag Placem_Collection'!G68)</f>
        <v>43005</v>
      </c>
      <c r="U287" s="269">
        <f t="shared" si="20"/>
        <v>68</v>
      </c>
      <c r="V287" s="267" t="str">
        <f t="shared" si="23"/>
        <v/>
      </c>
      <c r="W287" s="267" t="str">
        <f t="shared" si="24"/>
        <v/>
      </c>
      <c r="X287" s="271">
        <f>IFERROR(INDEX(Rainfall_Dry!$O$2:$O$217,MATCH(B287, Rainfall_Dry!$A$2:$A$217,0)),"")</f>
        <v>6.900000125</v>
      </c>
      <c r="Y287" s="260">
        <v>47.96</v>
      </c>
      <c r="Z287" s="260">
        <v>22.919999999999995</v>
      </c>
      <c r="AA287" s="260">
        <v>29.120000000000012</v>
      </c>
      <c r="AB287" s="261" t="s">
        <v>2673</v>
      </c>
      <c r="AC287" s="260">
        <v>3.8831936914736298</v>
      </c>
      <c r="AD287">
        <f>IF('WetLitterbags placem_collection'!AB68="","",'WetLitterbags placem_collection'!AB68)</f>
        <v>8</v>
      </c>
      <c r="AE287">
        <f>IF('WetLitterbags placem_collection'!Z68="","",'WetLitterbags placem_collection'!Z68)</f>
        <v>19.8</v>
      </c>
      <c r="AF287" s="246" t="str">
        <f>IF('WetLitterbags placem_collection'!AA68="","",'WetLitterbags placem_collection'!AA68)</f>
        <v>O</v>
      </c>
      <c r="AG287">
        <f>IF('WetLitterbags placem_collection'!AC68="","",'WetLitterbags placem_collection'!AC68)</f>
        <v>1</v>
      </c>
      <c r="AH287">
        <f>IFERROR(AVERAGE('Dry_Litterbag Placem_Collection'!O68,'Dry_Litterbag Placem_Collection'!R68),"")</f>
        <v>10.100000000000001</v>
      </c>
      <c r="AI287" s="271">
        <f>IFERROR(AVERAGE('Dry_Litterbag Placem_Collection'!N68,'Dry_Litterbag Placem_Collection'!Q68),"")</f>
        <v>23.6</v>
      </c>
      <c r="AJ287" s="270">
        <f>INDEX(Coordinates!$B$2:$B$197,MATCH(G287,Coordinates!$J$2:$J$197,0))</f>
        <v>-3.2993090340000002</v>
      </c>
      <c r="AK287" s="270">
        <f>INDEX(Coordinates!$C$2:$C$197,MATCH(G287,Coordinates!$J$2:$J$197,0))</f>
        <v>34.848404989999999</v>
      </c>
      <c r="AL287" s="270" t="str">
        <f>IF(ISNUMBER(SEARCH("C", 'Dry_Litterbag Placem_Collection'!T68)),"YES","NO")</f>
        <v>NO</v>
      </c>
      <c r="AM287" s="270" t="str">
        <f>IF(ISNUMBER(SEARCH("H", 'Dry_Litterbag Placem_Collection'!T68)),"YES","NO")</f>
        <v>NO</v>
      </c>
      <c r="AN287" s="270" t="str">
        <f>IF(ISNUMBER(SEARCH("R", 'Dry_Litterbag Placem_Collection'!T68)),"YES","NO")</f>
        <v>NO</v>
      </c>
    </row>
    <row r="288" spans="1:40" ht="15" customHeight="1">
      <c r="A288" s="262" t="s">
        <v>2659</v>
      </c>
      <c r="B288" s="263">
        <f>'Dry_Litterbag Placem_Collection'!A69</f>
        <v>67</v>
      </c>
      <c r="C288" s="263" t="str">
        <f>'Dry_Litterbag Placem_Collection'!B69</f>
        <v>Maswa</v>
      </c>
      <c r="D288" s="263" t="s">
        <v>2659</v>
      </c>
      <c r="E288" s="263" t="s">
        <v>2661</v>
      </c>
      <c r="F288" s="263">
        <v>1</v>
      </c>
      <c r="G288" s="264" t="str">
        <f>'Dry_Litterbag Placem_Collection'!C69</f>
        <v>Dry_W1_T3</v>
      </c>
      <c r="H288" s="265" t="s">
        <v>2541</v>
      </c>
      <c r="I288" s="272" t="s">
        <v>298</v>
      </c>
      <c r="J288" s="263" t="str">
        <f>IF(ISBLANK('Dry_Litterbag Placem_Collection'!K69),"","R"&amp;""&amp;'Dry_Litterbag Placem_Collection'!K69)</f>
        <v/>
      </c>
      <c r="K288" s="267" t="str">
        <f>IFERROR(INDEX('Green_rooibos initial weight'!$C$5:$C$1749,MATCH(J288, 'Green_rooibos initial weight'!$A$5:$A$1749,0)),"")</f>
        <v/>
      </c>
      <c r="L288" s="267" t="str">
        <f>IFERROR(K288-(TBIcalc!$Q$9+TBIcalc!$Q$10),"")</f>
        <v/>
      </c>
      <c r="M288" s="391">
        <f>AVERAGE(Ashed_controlls!$K$12:$K$14)</f>
        <v>2.2816647271287041</v>
      </c>
      <c r="N288" s="267" t="str">
        <f t="shared" si="21"/>
        <v/>
      </c>
      <c r="O288" s="267" t="str">
        <f>IF(IFERROR(INDEX('Both teabags AfterDry'!$D$3:$D$900,MATCH(J288,'Both teabags AfterDry'!$A$3:$A$900,0)),"")="","",(IFERROR(INDEX('Both teabags AfterDry'!$D$3:$D$900,MATCH(J288,'Both teabags AfterDry'!$A$3:$A$900,0)),"")))</f>
        <v/>
      </c>
      <c r="P288" s="267" t="str">
        <f>IFERROR(IF(O288&gt;0,O288-(TBIcalc!$Q$9),""),"")</f>
        <v/>
      </c>
      <c r="Q288" s="278" t="str">
        <f>IFERROR(INDEX('Ashed teabags dry'!$K$2:$K$825,MATCH(J288,'Ashed teabags dry'!$A$2:$A$825,0)),"")</f>
        <v/>
      </c>
      <c r="R288" s="278" t="str">
        <f t="shared" si="22"/>
        <v/>
      </c>
      <c r="S288" s="268">
        <f>'Dry_Litterbag Placem_Collection'!E69</f>
        <v>0</v>
      </c>
      <c r="T288" s="268" t="str">
        <f>IF('Dry_Litterbag Placem_Collection'!G69="","",'Dry_Litterbag Placem_Collection'!G69)</f>
        <v/>
      </c>
      <c r="U288" s="269" t="str">
        <f t="shared" si="20"/>
        <v/>
      </c>
      <c r="V288" s="267" t="str">
        <f t="shared" si="23"/>
        <v/>
      </c>
      <c r="W288" s="267" t="str">
        <f t="shared" si="24"/>
        <v/>
      </c>
      <c r="X288" s="271" t="str">
        <f>IFERROR(INDEX(Rainfall_Dry!$O$2:$O$217,MATCH(B288, Rainfall_Dry!$A$2:$A$217,0)),"")</f>
        <v/>
      </c>
      <c r="Y288" s="260">
        <v>47.96</v>
      </c>
      <c r="Z288" s="260">
        <v>22.919999999999995</v>
      </c>
      <c r="AA288" s="260">
        <v>29.120000000000012</v>
      </c>
      <c r="AB288" s="261" t="s">
        <v>2673</v>
      </c>
      <c r="AC288" s="260">
        <v>4.8831936914736298</v>
      </c>
      <c r="AD288">
        <f>IF('WetLitterbags placem_collection'!AB69="","",'WetLitterbags placem_collection'!AB69)</f>
        <v>5.5</v>
      </c>
      <c r="AE288">
        <f>IF('WetLitterbags placem_collection'!Z69="","",'WetLitterbags placem_collection'!Z69)</f>
        <v>5.5</v>
      </c>
      <c r="AF288" s="246" t="str">
        <f>IF('WetLitterbags placem_collection'!AA69="","",'WetLitterbags placem_collection'!AA69)</f>
        <v>O</v>
      </c>
      <c r="AG288">
        <f>IF('WetLitterbags placem_collection'!AC69="","",'WetLitterbags placem_collection'!AC69)</f>
        <v>1</v>
      </c>
      <c r="AH288" t="str">
        <f>IFERROR(AVERAGE('Dry_Litterbag Placem_Collection'!O69,'Dry_Litterbag Placem_Collection'!R69),"")</f>
        <v/>
      </c>
      <c r="AI288" s="271" t="str">
        <f>IFERROR(AVERAGE('Dry_Litterbag Placem_Collection'!N69,'Dry_Litterbag Placem_Collection'!Q69),"")</f>
        <v/>
      </c>
      <c r="AJ288" s="270">
        <f>INDEX(Coordinates!$B$2:$B$197,MATCH(G288,Coordinates!$J$2:$J$197,0))</f>
        <v>-3.299434008</v>
      </c>
      <c r="AK288" s="270">
        <f>INDEX(Coordinates!$C$2:$C$197,MATCH(G288,Coordinates!$J$2:$J$197,0))</f>
        <v>34.848514960000003</v>
      </c>
      <c r="AL288" s="270" t="str">
        <f>IF(ISNUMBER(SEARCH("C", 'Dry_Litterbag Placem_Collection'!T69)),"YES","NO")</f>
        <v>NO</v>
      </c>
      <c r="AM288" s="270" t="str">
        <f>IF(ISNUMBER(SEARCH("H", 'Dry_Litterbag Placem_Collection'!T69)),"YES","NO")</f>
        <v>NO</v>
      </c>
      <c r="AN288" s="270" t="str">
        <f>IF(ISNUMBER(SEARCH("R", 'Dry_Litterbag Placem_Collection'!T69)),"YES","NO")</f>
        <v>NO</v>
      </c>
    </row>
    <row r="289" spans="1:40" ht="15" customHeight="1">
      <c r="A289" s="262" t="s">
        <v>2659</v>
      </c>
      <c r="B289" s="263">
        <f>'Dry_Litterbag Placem_Collection'!A70</f>
        <v>68</v>
      </c>
      <c r="C289" s="263" t="str">
        <f>'Dry_Litterbag Placem_Collection'!B70</f>
        <v>Maswa</v>
      </c>
      <c r="D289" s="263" t="s">
        <v>2659</v>
      </c>
      <c r="E289" s="263" t="s">
        <v>2661</v>
      </c>
      <c r="F289" s="263">
        <v>1</v>
      </c>
      <c r="G289" s="264" t="str">
        <f>'Dry_Litterbag Placem_Collection'!C70</f>
        <v>Dry_W1_T4</v>
      </c>
      <c r="H289" s="265" t="s">
        <v>2541</v>
      </c>
      <c r="I289" s="272" t="s">
        <v>298</v>
      </c>
      <c r="J289" s="263" t="str">
        <f>IF(ISBLANK('Dry_Litterbag Placem_Collection'!K70),"","R"&amp;""&amp;'Dry_Litterbag Placem_Collection'!K70)</f>
        <v>R815</v>
      </c>
      <c r="K289" s="267">
        <f>IFERROR(INDEX('Green_rooibos initial weight'!$C$5:$C$1749,MATCH(J289, 'Green_rooibos initial weight'!$A$5:$A$1749,0)),"")</f>
        <v>2.2130000000000001</v>
      </c>
      <c r="L289" s="267">
        <f>IFERROR(K289-(TBIcalc!$Q$9+TBIcalc!$Q$10),"")</f>
        <v>1.9632000000000001</v>
      </c>
      <c r="M289" s="391">
        <f>AVERAGE(Ashed_controlls!$K$12:$K$14)</f>
        <v>2.2816647271287041</v>
      </c>
      <c r="N289" s="267">
        <f t="shared" si="21"/>
        <v>1.9184063580770094</v>
      </c>
      <c r="O289" s="267">
        <f>IF(IFERROR(INDEX('Both teabags AfterDry'!$D$3:$D$900,MATCH(J289,'Both teabags AfterDry'!$A$3:$A$900,0)),"")="","",(IFERROR(INDEX('Both teabags AfterDry'!$D$3:$D$900,MATCH(J289,'Both teabags AfterDry'!$A$3:$A$900,0)),"")))</f>
        <v>1.9467000000000001</v>
      </c>
      <c r="P289" s="267">
        <f>IFERROR(IF(O289&gt;0,O289-(TBIcalc!$Q$9),""),"")</f>
        <v>1.7961</v>
      </c>
      <c r="Q289" s="278">
        <f>IFERROR(INDEX('Ashed teabags dry'!$K$2:$K$825,MATCH(J289,'Ashed teabags dry'!$A$2:$A$825,0)),"")</f>
        <v>2.8207461328482384</v>
      </c>
      <c r="R289" s="278">
        <f t="shared" si="22"/>
        <v>1.7454365787079129</v>
      </c>
      <c r="S289" s="268">
        <f>'Dry_Litterbag Placem_Collection'!E70</f>
        <v>42937</v>
      </c>
      <c r="T289" s="268">
        <f>IF('Dry_Litterbag Placem_Collection'!G70="","",'Dry_Litterbag Placem_Collection'!G70)</f>
        <v>43005</v>
      </c>
      <c r="U289" s="269">
        <f t="shared" si="20"/>
        <v>68</v>
      </c>
      <c r="V289" s="267">
        <f t="shared" si="23"/>
        <v>0.16710000000000003</v>
      </c>
      <c r="W289" s="267">
        <f t="shared" si="24"/>
        <v>0.17296977936909652</v>
      </c>
      <c r="X289" s="271">
        <f>IFERROR(INDEX(Rainfall_Dry!$O$2:$O$217,MATCH(B289, Rainfall_Dry!$A$2:$A$217,0)),"")</f>
        <v>6.900000125</v>
      </c>
      <c r="Y289" s="260">
        <v>47.96</v>
      </c>
      <c r="Z289" s="260">
        <v>22.919999999999995</v>
      </c>
      <c r="AA289" s="260">
        <v>29.120000000000012</v>
      </c>
      <c r="AB289" s="261" t="s">
        <v>2673</v>
      </c>
      <c r="AC289" s="260">
        <v>5.8831936914736298</v>
      </c>
      <c r="AD289">
        <f>IF('WetLitterbags placem_collection'!AB70="","",'WetLitterbags placem_collection'!AB70)</f>
        <v>9.6999999999999993</v>
      </c>
      <c r="AE289">
        <f>IF('WetLitterbags placem_collection'!Z70="","",'WetLitterbags placem_collection'!Z70)</f>
        <v>23.4</v>
      </c>
      <c r="AF289" s="246" t="str">
        <f>IF('WetLitterbags placem_collection'!AA70="","",'WetLitterbags placem_collection'!AA70)</f>
        <v>O</v>
      </c>
      <c r="AG289">
        <f>IF('WetLitterbags placem_collection'!AC70="","",'WetLitterbags placem_collection'!AC70)</f>
        <v>1</v>
      </c>
      <c r="AH289">
        <f>IFERROR(AVERAGE('Dry_Litterbag Placem_Collection'!O70,'Dry_Litterbag Placem_Collection'!R70),"")</f>
        <v>7.75</v>
      </c>
      <c r="AI289" s="271">
        <f>IFERROR(AVERAGE('Dry_Litterbag Placem_Collection'!N70,'Dry_Litterbag Placem_Collection'!Q70),"")</f>
        <v>26.85</v>
      </c>
      <c r="AJ289" s="270">
        <f>INDEX(Coordinates!$B$2:$B$197,MATCH(G289,Coordinates!$J$2:$J$197,0))</f>
        <v>-3.2991180099999999</v>
      </c>
      <c r="AK289" s="270">
        <f>INDEX(Coordinates!$C$2:$C$197,MATCH(G289,Coordinates!$J$2:$J$197,0))</f>
        <v>34.84824699</v>
      </c>
      <c r="AL289" s="270" t="str">
        <f>IF(ISNUMBER(SEARCH("C", 'Dry_Litterbag Placem_Collection'!T70)),"YES","NO")</f>
        <v>NO</v>
      </c>
      <c r="AM289" s="270" t="str">
        <f>IF(ISNUMBER(SEARCH("H", 'Dry_Litterbag Placem_Collection'!T70)),"YES","NO")</f>
        <v>NO</v>
      </c>
      <c r="AN289" s="270" t="str">
        <f>IF(ISNUMBER(SEARCH("R", 'Dry_Litterbag Placem_Collection'!T70)),"YES","NO")</f>
        <v>NO</v>
      </c>
    </row>
    <row r="290" spans="1:40" ht="15" customHeight="1">
      <c r="A290" s="262" t="s">
        <v>2659</v>
      </c>
      <c r="B290" s="263">
        <f>'Dry_Litterbag Placem_Collection'!A71</f>
        <v>69</v>
      </c>
      <c r="C290" s="263" t="str">
        <f>'Dry_Litterbag Placem_Collection'!B71</f>
        <v>Maswa</v>
      </c>
      <c r="D290" s="263" t="s">
        <v>2659</v>
      </c>
      <c r="E290" s="263" t="s">
        <v>2661</v>
      </c>
      <c r="F290" s="263">
        <v>1</v>
      </c>
      <c r="G290" s="264" t="str">
        <f>'Dry_Litterbag Placem_Collection'!C71</f>
        <v>Dry_W1_T5</v>
      </c>
      <c r="H290" s="265" t="s">
        <v>2541</v>
      </c>
      <c r="I290" s="272" t="s">
        <v>298</v>
      </c>
      <c r="J290" s="263" t="str">
        <f>IF(ISBLANK('Dry_Litterbag Placem_Collection'!K71),"","R"&amp;""&amp;'Dry_Litterbag Placem_Collection'!K71)</f>
        <v>R741</v>
      </c>
      <c r="K290" s="267">
        <f>IFERROR(INDEX('Green_rooibos initial weight'!$C$5:$C$1749,MATCH(J290, 'Green_rooibos initial weight'!$A$5:$A$1749,0)),"")</f>
        <v>2.262</v>
      </c>
      <c r="L290" s="267">
        <f>IFERROR(K290-(TBIcalc!$Q$9+TBIcalc!$Q$10),"")</f>
        <v>2.0122</v>
      </c>
      <c r="M290" s="391">
        <f>AVERAGE(Ashed_controlls!$K$12:$K$14)</f>
        <v>2.2816647271287041</v>
      </c>
      <c r="N290" s="267">
        <f t="shared" si="21"/>
        <v>1.9662883423607163</v>
      </c>
      <c r="O290" s="267">
        <f>IF(IFERROR(INDEX('Both teabags AfterDry'!$D$3:$D$900,MATCH(J290,'Both teabags AfterDry'!$A$3:$A$900,0)),"")="","",(IFERROR(INDEX('Both teabags AfterDry'!$D$3:$D$900,MATCH(J290,'Both teabags AfterDry'!$A$3:$A$900,0)),"")))</f>
        <v>1.9702999999999999</v>
      </c>
      <c r="P290" s="267">
        <f>IFERROR(IF(O290&gt;0,O290-(TBIcalc!$Q$9),""),"")</f>
        <v>1.8196999999999999</v>
      </c>
      <c r="Q290" s="278">
        <f>IFERROR(INDEX('Ashed teabags dry'!$K$2:$K$825,MATCH(J290,'Ashed teabags dry'!$A$2:$A$825,0)),"")</f>
        <v>3.5535535535533986</v>
      </c>
      <c r="R290" s="278">
        <f t="shared" si="22"/>
        <v>1.7550359859859888</v>
      </c>
      <c r="S290" s="268">
        <f>'Dry_Litterbag Placem_Collection'!E71</f>
        <v>42937</v>
      </c>
      <c r="T290" s="268">
        <f>IF('Dry_Litterbag Placem_Collection'!G71="","",'Dry_Litterbag Placem_Collection'!G71)</f>
        <v>43006</v>
      </c>
      <c r="U290" s="269">
        <f t="shared" si="20"/>
        <v>69</v>
      </c>
      <c r="V290" s="267">
        <f t="shared" si="23"/>
        <v>0.19250000000000012</v>
      </c>
      <c r="W290" s="267">
        <f t="shared" si="24"/>
        <v>0.2112523563747275</v>
      </c>
      <c r="X290" s="271">
        <f>IFERROR(INDEX(Rainfall_Dry!$O$2:$O$217,MATCH(B290, Rainfall_Dry!$A$2:$A$217,0)),"")</f>
        <v>6.900000125</v>
      </c>
      <c r="Y290" s="260">
        <v>47.96</v>
      </c>
      <c r="Z290" s="260">
        <v>22.919999999999995</v>
      </c>
      <c r="AA290" s="260">
        <v>29.120000000000012</v>
      </c>
      <c r="AB290" s="261" t="s">
        <v>2673</v>
      </c>
      <c r="AC290" s="260">
        <v>6.8831936914736298</v>
      </c>
      <c r="AD290">
        <f>IF('WetLitterbags placem_collection'!AB71="","",'WetLitterbags placem_collection'!AB71)</f>
        <v>14.4</v>
      </c>
      <c r="AE290">
        <f>IF('WetLitterbags placem_collection'!Z71="","",'WetLitterbags placem_collection'!Z71)</f>
        <v>24.4</v>
      </c>
      <c r="AF290" s="246" t="str">
        <f>IF('WetLitterbags placem_collection'!AA71="","",'WetLitterbags placem_collection'!AA71)</f>
        <v>O</v>
      </c>
      <c r="AG290">
        <f>IF('WetLitterbags placem_collection'!AC71="","",'WetLitterbags placem_collection'!AC71)</f>
        <v>1</v>
      </c>
      <c r="AH290">
        <f>IFERROR(AVERAGE('Dry_Litterbag Placem_Collection'!O71,'Dry_Litterbag Placem_Collection'!R71),"")</f>
        <v>7.95</v>
      </c>
      <c r="AI290" s="271">
        <f>IFERROR(AVERAGE('Dry_Litterbag Placem_Collection'!N71,'Dry_Litterbag Placem_Collection'!Q71),"")</f>
        <v>26.55</v>
      </c>
      <c r="AJ290" s="270">
        <f>INDEX(Coordinates!$B$2:$B$197,MATCH(G290,Coordinates!$J$2:$J$197,0))</f>
        <v>-3.2993180030000002</v>
      </c>
      <c r="AK290" s="270">
        <f>INDEX(Coordinates!$C$2:$C$197,MATCH(G290,Coordinates!$J$2:$J$197,0))</f>
        <v>34.848235010000003</v>
      </c>
      <c r="AL290" s="270" t="str">
        <f>IF(ISNUMBER(SEARCH("C", 'Dry_Litterbag Placem_Collection'!T71)),"YES","NO")</f>
        <v>YES</v>
      </c>
      <c r="AM290" s="270" t="str">
        <f>IF(ISNUMBER(SEARCH("H", 'Dry_Litterbag Placem_Collection'!T71)),"YES","NO")</f>
        <v>NO</v>
      </c>
      <c r="AN290" s="270" t="str">
        <f>IF(ISNUMBER(SEARCH("R", 'Dry_Litterbag Placem_Collection'!T71)),"YES","NO")</f>
        <v>NO</v>
      </c>
    </row>
    <row r="291" spans="1:40" ht="15" customHeight="1">
      <c r="A291" s="262" t="s">
        <v>2659</v>
      </c>
      <c r="B291" s="263">
        <f>'Dry_Litterbag Placem_Collection'!A72</f>
        <v>70</v>
      </c>
      <c r="C291" s="263" t="str">
        <f>'Dry_Litterbag Placem_Collection'!B72</f>
        <v>Maswa</v>
      </c>
      <c r="D291" s="263" t="s">
        <v>2659</v>
      </c>
      <c r="E291" s="263" t="s">
        <v>2661</v>
      </c>
      <c r="F291" s="263">
        <v>1</v>
      </c>
      <c r="G291" s="264" t="str">
        <f>'Dry_Litterbag Placem_Collection'!C72</f>
        <v>Dry_W1_T6</v>
      </c>
      <c r="H291" s="265" t="s">
        <v>2541</v>
      </c>
      <c r="I291" s="272" t="s">
        <v>298</v>
      </c>
      <c r="J291" s="263" t="str">
        <f>IF(ISBLANK('Dry_Litterbag Placem_Collection'!K72),"","R"&amp;""&amp;'Dry_Litterbag Placem_Collection'!K72)</f>
        <v>R294</v>
      </c>
      <c r="K291" s="267">
        <f>IFERROR(INDEX('Green_rooibos initial weight'!$C$5:$C$1749,MATCH(J291, 'Green_rooibos initial weight'!$A$5:$A$1749,0)),"")</f>
        <v>2.226</v>
      </c>
      <c r="L291" s="267">
        <f>IFERROR(K291-(TBIcalc!$Q$9+TBIcalc!$Q$10),"")</f>
        <v>1.9762</v>
      </c>
      <c r="M291" s="391">
        <f>AVERAGE(Ashed_controlls!$K$12:$K$14)</f>
        <v>2.2816647271287041</v>
      </c>
      <c r="N291" s="267">
        <f t="shared" si="21"/>
        <v>1.9311097416624825</v>
      </c>
      <c r="O291" s="267">
        <f>IF(IFERROR(INDEX('Both teabags AfterDry'!$D$3:$D$900,MATCH(J291,'Both teabags AfterDry'!$A$3:$A$900,0)),"")="","",(IFERROR(INDEX('Both teabags AfterDry'!$D$3:$D$900,MATCH(J291,'Both teabags AfterDry'!$A$3:$A$900,0)),"")))</f>
        <v>0.51</v>
      </c>
      <c r="P291" s="267">
        <f>IFERROR(IF(O291&gt;0,O291-(TBIcalc!$Q$9),""),"")</f>
        <v>0.3594</v>
      </c>
      <c r="Q291" s="278">
        <f>IFERROR(INDEX('Ashed teabags dry'!$K$2:$K$825,MATCH(J291,'Ashed teabags dry'!$A$2:$A$825,0)),"")</f>
        <v>66.450324513230314</v>
      </c>
      <c r="R291" s="278">
        <f t="shared" si="22"/>
        <v>0.12057753369945023</v>
      </c>
      <c r="S291" s="268">
        <f>'Dry_Litterbag Placem_Collection'!E72</f>
        <v>42937</v>
      </c>
      <c r="T291" s="268">
        <f>IF('Dry_Litterbag Placem_Collection'!G72="","",'Dry_Litterbag Placem_Collection'!G72)</f>
        <v>43006</v>
      </c>
      <c r="U291" s="269">
        <f t="shared" si="20"/>
        <v>69</v>
      </c>
      <c r="V291" s="267">
        <f t="shared" si="23"/>
        <v>1.6168</v>
      </c>
      <c r="W291" s="267">
        <f t="shared" si="24"/>
        <v>1.8105322079630324</v>
      </c>
      <c r="X291" s="271">
        <f>IFERROR(INDEX(Rainfall_Dry!$O$2:$O$217,MATCH(B291, Rainfall_Dry!$A$2:$A$217,0)),"")</f>
        <v>6.900000125</v>
      </c>
      <c r="Y291" s="260">
        <v>47.96</v>
      </c>
      <c r="Z291" s="260">
        <v>22.919999999999995</v>
      </c>
      <c r="AA291" s="260">
        <v>29.120000000000012</v>
      </c>
      <c r="AB291" s="261" t="s">
        <v>2673</v>
      </c>
      <c r="AC291" s="260">
        <v>7.8831936914736298</v>
      </c>
      <c r="AD291">
        <f>IF('WetLitterbags placem_collection'!AB72="","",'WetLitterbags placem_collection'!AB72)</f>
        <v>15</v>
      </c>
      <c r="AE291">
        <f>IF('WetLitterbags placem_collection'!Z72="","",'WetLitterbags placem_collection'!Z72)</f>
        <v>28</v>
      </c>
      <c r="AF291" s="246" t="str">
        <f>IF('WetLitterbags placem_collection'!AA72="","",'WetLitterbags placem_collection'!AA72)</f>
        <v>O</v>
      </c>
      <c r="AG291">
        <f>IF('WetLitterbags placem_collection'!AC72="","",'WetLitterbags placem_collection'!AC72)</f>
        <v>0</v>
      </c>
      <c r="AH291">
        <f>IFERROR(AVERAGE('Dry_Litterbag Placem_Collection'!O72,'Dry_Litterbag Placem_Collection'!R72),"")</f>
        <v>8.8000000000000007</v>
      </c>
      <c r="AI291" s="271">
        <f>IFERROR(AVERAGE('Dry_Litterbag Placem_Collection'!N72,'Dry_Litterbag Placem_Collection'!Q72),"")</f>
        <v>27.200000000000003</v>
      </c>
      <c r="AJ291" s="270">
        <f>INDEX(Coordinates!$B$2:$B$197,MATCH(G291,Coordinates!$J$2:$J$197,0))</f>
        <v>-3.299381034</v>
      </c>
      <c r="AK291" s="270">
        <f>INDEX(Coordinates!$C$2:$C$197,MATCH(G291,Coordinates!$J$2:$J$197,0))</f>
        <v>34.848312040000003</v>
      </c>
      <c r="AL291" s="270" t="str">
        <f>IF(ISNUMBER(SEARCH("C", 'Dry_Litterbag Placem_Collection'!T72)),"YES","NO")</f>
        <v>YES</v>
      </c>
      <c r="AM291" s="270" t="str">
        <f>IF(ISNUMBER(SEARCH("H", 'Dry_Litterbag Placem_Collection'!T72)),"YES","NO")</f>
        <v>YES</v>
      </c>
      <c r="AN291" s="270" t="str">
        <f>IF(ISNUMBER(SEARCH("R", 'Dry_Litterbag Placem_Collection'!T72)),"YES","NO")</f>
        <v>NO</v>
      </c>
    </row>
    <row r="292" spans="1:40" ht="15" customHeight="1">
      <c r="A292" s="262" t="s">
        <v>2659</v>
      </c>
      <c r="B292" s="263">
        <f>'Dry_Litterbag Placem_Collection'!A73</f>
        <v>71</v>
      </c>
      <c r="C292" s="263" t="str">
        <f>'Dry_Litterbag Placem_Collection'!B73</f>
        <v>Maswa</v>
      </c>
      <c r="D292" s="263" t="s">
        <v>2659</v>
      </c>
      <c r="E292" s="263" t="s">
        <v>2661</v>
      </c>
      <c r="F292" s="263">
        <v>1</v>
      </c>
      <c r="G292" s="264" t="str">
        <f>'Dry_Litterbag Placem_Collection'!C73</f>
        <v>Dry_W1_T7</v>
      </c>
      <c r="H292" s="265" t="s">
        <v>2541</v>
      </c>
      <c r="I292" s="272" t="s">
        <v>298</v>
      </c>
      <c r="J292" s="263" t="str">
        <f>IF(ISBLANK('Dry_Litterbag Placem_Collection'!K73),"","R"&amp;""&amp;'Dry_Litterbag Placem_Collection'!K73)</f>
        <v>R761</v>
      </c>
      <c r="K292" s="267">
        <f>IFERROR(INDEX('Green_rooibos initial weight'!$C$5:$C$1749,MATCH(J292, 'Green_rooibos initial weight'!$A$5:$A$1749,0)),"")</f>
        <v>2.1509999999999998</v>
      </c>
      <c r="L292" s="267">
        <f>IFERROR(K292-(TBIcalc!$Q$9+TBIcalc!$Q$10),"")</f>
        <v>1.9011999999999998</v>
      </c>
      <c r="M292" s="391">
        <f>AVERAGE(Ashed_controlls!$K$12:$K$14)</f>
        <v>2.2816647271287041</v>
      </c>
      <c r="N292" s="267">
        <f t="shared" si="21"/>
        <v>1.8578209902078289</v>
      </c>
      <c r="O292" s="267">
        <f>IF(IFERROR(INDEX('Both teabags AfterDry'!$D$3:$D$900,MATCH(J292,'Both teabags AfterDry'!$A$3:$A$900,0)),"")="","",(IFERROR(INDEX('Both teabags AfterDry'!$D$3:$D$900,MATCH(J292,'Both teabags AfterDry'!$A$3:$A$900,0)),"")))</f>
        <v>1.9017999999999999</v>
      </c>
      <c r="P292" s="267">
        <f>IFERROR(IF(O292&gt;0,O292-(TBIcalc!$Q$9),""),"")</f>
        <v>1.7511999999999999</v>
      </c>
      <c r="Q292" s="278">
        <f>IFERROR(INDEX('Ashed teabags dry'!$K$2:$K$825,MATCH(J292,'Ashed teabags dry'!$A$2:$A$825,0)),"")</f>
        <v>2.5515210991172763</v>
      </c>
      <c r="R292" s="278">
        <f t="shared" si="22"/>
        <v>1.7065177625122581</v>
      </c>
      <c r="S292" s="268">
        <f>'Dry_Litterbag Placem_Collection'!E73</f>
        <v>42937</v>
      </c>
      <c r="T292" s="268">
        <f>IF('Dry_Litterbag Placem_Collection'!G73="","",'Dry_Litterbag Placem_Collection'!G73)</f>
        <v>43006</v>
      </c>
      <c r="U292" s="269">
        <f t="shared" si="20"/>
        <v>69</v>
      </c>
      <c r="V292" s="267">
        <f t="shared" si="23"/>
        <v>0.14999999999999991</v>
      </c>
      <c r="W292" s="267">
        <f t="shared" si="24"/>
        <v>0.15130322769557081</v>
      </c>
      <c r="X292" s="271">
        <f>IFERROR(INDEX(Rainfall_Dry!$O$2:$O$217,MATCH(B292, Rainfall_Dry!$A$2:$A$217,0)),"")</f>
        <v>6.900000125</v>
      </c>
      <c r="Y292" s="260">
        <v>47.96</v>
      </c>
      <c r="Z292" s="260">
        <v>22.919999999999995</v>
      </c>
      <c r="AA292" s="260">
        <v>29.120000000000012</v>
      </c>
      <c r="AB292" s="261" t="s">
        <v>2673</v>
      </c>
      <c r="AC292" s="260">
        <v>8.8831936914736307</v>
      </c>
      <c r="AD292">
        <f>IF('WetLitterbags placem_collection'!AB73="","",'WetLitterbags placem_collection'!AB73)</f>
        <v>15.5</v>
      </c>
      <c r="AE292">
        <f>IF('WetLitterbags placem_collection'!Z73="","",'WetLitterbags placem_collection'!Z73)</f>
        <v>32</v>
      </c>
      <c r="AF292" s="246" t="str">
        <f>IF('WetLitterbags placem_collection'!AA73="","",'WetLitterbags placem_collection'!AA73)</f>
        <v>O</v>
      </c>
      <c r="AG292">
        <f>IF('WetLitterbags placem_collection'!AC73="","",'WetLitterbags placem_collection'!AC73)</f>
        <v>1</v>
      </c>
      <c r="AH292">
        <f>IFERROR(AVERAGE('Dry_Litterbag Placem_Collection'!O73,'Dry_Litterbag Placem_Collection'!R73),"")</f>
        <v>9.9499999999999993</v>
      </c>
      <c r="AI292" s="271">
        <f>IFERROR(AVERAGE('Dry_Litterbag Placem_Collection'!N73,'Dry_Litterbag Placem_Collection'!Q73),"")</f>
        <v>27.6</v>
      </c>
      <c r="AJ292" s="270">
        <f>INDEX(Coordinates!$B$2:$B$197,MATCH(G292,Coordinates!$J$2:$J$197,0))</f>
        <v>-3.2992429849999998</v>
      </c>
      <c r="AK292" s="270">
        <f>INDEX(Coordinates!$C$2:$C$197,MATCH(G292,Coordinates!$J$2:$J$197,0))</f>
        <v>34.847900989999999</v>
      </c>
      <c r="AL292" s="270" t="str">
        <f>IF(ISNUMBER(SEARCH("C", 'Dry_Litterbag Placem_Collection'!T73)),"YES","NO")</f>
        <v>NO</v>
      </c>
      <c r="AM292" s="270" t="str">
        <f>IF(ISNUMBER(SEARCH("H", 'Dry_Litterbag Placem_Collection'!T73)),"YES","NO")</f>
        <v>NO</v>
      </c>
      <c r="AN292" s="270" t="str">
        <f>IF(ISNUMBER(SEARCH("R", 'Dry_Litterbag Placem_Collection'!T73)),"YES","NO")</f>
        <v>NO</v>
      </c>
    </row>
    <row r="293" spans="1:40" ht="15" customHeight="1">
      <c r="A293" s="262" t="s">
        <v>2659</v>
      </c>
      <c r="B293" s="263">
        <f>'Dry_Litterbag Placem_Collection'!A74</f>
        <v>72</v>
      </c>
      <c r="C293" s="263" t="str">
        <f>'Dry_Litterbag Placem_Collection'!B74</f>
        <v>Maswa</v>
      </c>
      <c r="D293" s="263" t="s">
        <v>2659</v>
      </c>
      <c r="E293" s="263" t="s">
        <v>2661</v>
      </c>
      <c r="F293" s="263">
        <v>1</v>
      </c>
      <c r="G293" s="264" t="str">
        <f>'Dry_Litterbag Placem_Collection'!C74</f>
        <v>Dry_W1_T8</v>
      </c>
      <c r="H293" s="265" t="s">
        <v>2541</v>
      </c>
      <c r="I293" s="272" t="s">
        <v>298</v>
      </c>
      <c r="J293" s="263" t="str">
        <f>IF(ISBLANK('Dry_Litterbag Placem_Collection'!K74),"","R"&amp;""&amp;'Dry_Litterbag Placem_Collection'!K74)</f>
        <v>R780</v>
      </c>
      <c r="K293" s="267">
        <f>IFERROR(INDEX('Green_rooibos initial weight'!$C$5:$C$1749,MATCH(J293, 'Green_rooibos initial weight'!$A$5:$A$1749,0)),"")</f>
        <v>2.19</v>
      </c>
      <c r="L293" s="267">
        <f>IFERROR(K293-(TBIcalc!$Q$9+TBIcalc!$Q$10),"")</f>
        <v>1.9401999999999999</v>
      </c>
      <c r="M293" s="391">
        <f>AVERAGE(Ashed_controlls!$K$12:$K$14)</f>
        <v>2.2816647271287041</v>
      </c>
      <c r="N293" s="267">
        <f t="shared" si="21"/>
        <v>1.8959311409642488</v>
      </c>
      <c r="O293" s="267">
        <f>IF(IFERROR(INDEX('Both teabags AfterDry'!$D$3:$D$900,MATCH(J293,'Both teabags AfterDry'!$A$3:$A$900,0)),"")="","",(IFERROR(INDEX('Both teabags AfterDry'!$D$3:$D$900,MATCH(J293,'Both teabags AfterDry'!$A$3:$A$900,0)),"")))</f>
        <v>1.9477</v>
      </c>
      <c r="P293" s="267">
        <f>IFERROR(IF(O293&gt;0,O293-(TBIcalc!$Q$9),""),"")</f>
        <v>1.7970999999999999</v>
      </c>
      <c r="Q293" s="278">
        <f>IFERROR(INDEX('Ashed teabags dry'!$K$2:$K$825,MATCH(J293,'Ashed teabags dry'!$A$2:$A$825,0)),"")</f>
        <v>2.0045558086562076</v>
      </c>
      <c r="R293" s="278">
        <f t="shared" si="22"/>
        <v>1.7610761275626392</v>
      </c>
      <c r="S293" s="268">
        <f>'Dry_Litterbag Placem_Collection'!E74</f>
        <v>42937</v>
      </c>
      <c r="T293" s="268">
        <f>IF('Dry_Litterbag Placem_Collection'!G74="","",'Dry_Litterbag Placem_Collection'!G74)</f>
        <v>43006</v>
      </c>
      <c r="U293" s="269">
        <f t="shared" si="20"/>
        <v>69</v>
      </c>
      <c r="V293" s="267">
        <f t="shared" si="23"/>
        <v>0.1431</v>
      </c>
      <c r="W293" s="267">
        <f t="shared" si="24"/>
        <v>0.13485501340160955</v>
      </c>
      <c r="X293" s="271">
        <f>IFERROR(INDEX(Rainfall_Dry!$O$2:$O$217,MATCH(B293, Rainfall_Dry!$A$2:$A$217,0)),"")</f>
        <v>6.900000125</v>
      </c>
      <c r="Y293" s="260">
        <v>47.96</v>
      </c>
      <c r="Z293" s="260">
        <v>22.919999999999995</v>
      </c>
      <c r="AA293" s="260">
        <v>29.120000000000012</v>
      </c>
      <c r="AB293" s="261" t="s">
        <v>2673</v>
      </c>
      <c r="AC293" s="260">
        <v>9.8831936914736307</v>
      </c>
      <c r="AD293">
        <f>IF('WetLitterbags placem_collection'!AB74="","",'WetLitterbags placem_collection'!AB74)</f>
        <v>2.6</v>
      </c>
      <c r="AE293">
        <f>IF('WetLitterbags placem_collection'!Z74="","",'WetLitterbags placem_collection'!Z74)</f>
        <v>44</v>
      </c>
      <c r="AF293" s="246" t="str">
        <f>IF('WetLitterbags placem_collection'!AA74="","",'WetLitterbags placem_collection'!AA74)</f>
        <v>O</v>
      </c>
      <c r="AG293">
        <f>IF('WetLitterbags placem_collection'!AC74="","",'WetLitterbags placem_collection'!AC74)</f>
        <v>1</v>
      </c>
      <c r="AH293">
        <f>IFERROR(AVERAGE('Dry_Litterbag Placem_Collection'!O74,'Dry_Litterbag Placem_Collection'!R74),"")</f>
        <v>9.5</v>
      </c>
      <c r="AI293" s="271">
        <f>IFERROR(AVERAGE('Dry_Litterbag Placem_Collection'!N74,'Dry_Litterbag Placem_Collection'!Q74),"")</f>
        <v>26.35</v>
      </c>
      <c r="AJ293" s="270">
        <f>INDEX(Coordinates!$B$2:$B$197,MATCH(G293,Coordinates!$J$2:$J$197,0))</f>
        <v>-3.2996540329999999</v>
      </c>
      <c r="AK293" s="270">
        <f>INDEX(Coordinates!$C$2:$C$197,MATCH(G293,Coordinates!$J$2:$J$197,0))</f>
        <v>34.848151020000003</v>
      </c>
      <c r="AL293" s="270" t="str">
        <f>IF(ISNUMBER(SEARCH("C", 'Dry_Litterbag Placem_Collection'!T74)),"YES","NO")</f>
        <v>NO</v>
      </c>
      <c r="AM293" s="270" t="str">
        <f>IF(ISNUMBER(SEARCH("H", 'Dry_Litterbag Placem_Collection'!T74)),"YES","NO")</f>
        <v>NO</v>
      </c>
      <c r="AN293" s="270" t="str">
        <f>IF(ISNUMBER(SEARCH("R", 'Dry_Litterbag Placem_Collection'!T74)),"YES","NO")</f>
        <v>NO</v>
      </c>
    </row>
    <row r="294" spans="1:40" ht="15" customHeight="1">
      <c r="A294" s="262" t="s">
        <v>2659</v>
      </c>
      <c r="B294" s="263">
        <f>'Dry_Litterbag Placem_Collection'!A75</f>
        <v>73</v>
      </c>
      <c r="C294" s="263" t="str">
        <f>'Dry_Litterbag Placem_Collection'!B75</f>
        <v>Maswa</v>
      </c>
      <c r="D294" s="263" t="s">
        <v>2659</v>
      </c>
      <c r="E294" s="263" t="s">
        <v>2661</v>
      </c>
      <c r="F294" s="263">
        <v>2</v>
      </c>
      <c r="G294" s="264" t="str">
        <f>'Dry_Litterbag Placem_Collection'!C75</f>
        <v>Dry_W2_T1</v>
      </c>
      <c r="H294" s="265" t="s">
        <v>2541</v>
      </c>
      <c r="I294" s="272" t="s">
        <v>298</v>
      </c>
      <c r="J294" s="263" t="str">
        <f>IF(ISBLANK('Dry_Litterbag Placem_Collection'!K75),"","R"&amp;""&amp;'Dry_Litterbag Placem_Collection'!K75)</f>
        <v>R730</v>
      </c>
      <c r="K294" s="267">
        <f>IFERROR(INDEX('Green_rooibos initial weight'!$C$5:$C$1749,MATCH(J294, 'Green_rooibos initial weight'!$A$5:$A$1749,0)),"")</f>
        <v>2.1509999999999998</v>
      </c>
      <c r="L294" s="267">
        <f>IFERROR(K294-(TBIcalc!$Q$9+TBIcalc!$Q$10),"")</f>
        <v>1.9011999999999998</v>
      </c>
      <c r="M294" s="391">
        <f>AVERAGE(Ashed_controlls!$K$12:$K$14)</f>
        <v>2.2816647271287041</v>
      </c>
      <c r="N294" s="267">
        <f t="shared" si="21"/>
        <v>1.8578209902078289</v>
      </c>
      <c r="O294" s="267" t="str">
        <f>IF(IFERROR(INDEX('Both teabags AfterDry'!$D$3:$D$900,MATCH(J294,'Both teabags AfterDry'!$A$3:$A$900,0)),"")="","",(IFERROR(INDEX('Both teabags AfterDry'!$D$3:$D$900,MATCH(J294,'Both teabags AfterDry'!$A$3:$A$900,0)),"")))</f>
        <v/>
      </c>
      <c r="P294" s="267" t="str">
        <f>IFERROR(IF(O294&gt;0,O294-(TBIcalc!$Q$9),""),"")</f>
        <v/>
      </c>
      <c r="Q294" s="278" t="str">
        <f>IFERROR(INDEX('Ashed teabags dry'!$K$2:$K$825,MATCH(J294,'Ashed teabags dry'!$A$2:$A$825,0)),"")</f>
        <v/>
      </c>
      <c r="R294" s="278" t="str">
        <f t="shared" si="22"/>
        <v/>
      </c>
      <c r="S294" s="268">
        <f>'Dry_Litterbag Placem_Collection'!E75</f>
        <v>42937</v>
      </c>
      <c r="T294" s="268">
        <f>IF('Dry_Litterbag Placem_Collection'!G75="","",'Dry_Litterbag Placem_Collection'!G75)</f>
        <v>43006</v>
      </c>
      <c r="U294" s="269">
        <f t="shared" si="20"/>
        <v>69</v>
      </c>
      <c r="V294" s="267" t="str">
        <f t="shared" si="23"/>
        <v/>
      </c>
      <c r="W294" s="267" t="str">
        <f t="shared" si="24"/>
        <v/>
      </c>
      <c r="X294" s="271">
        <f>IFERROR(INDEX(Rainfall_Dry!$O$2:$O$217,MATCH(B294, Rainfall_Dry!$A$2:$A$217,0)),"")</f>
        <v>6.900000125</v>
      </c>
      <c r="Y294" s="260">
        <v>45.272914521112256</v>
      </c>
      <c r="Z294" s="260">
        <v>23.604531410916575</v>
      </c>
      <c r="AA294" s="260">
        <v>31.122554067971166</v>
      </c>
      <c r="AB294" s="261" t="s">
        <v>2673</v>
      </c>
      <c r="AC294" s="260">
        <v>2.0547560374568752</v>
      </c>
      <c r="AD294">
        <f>IF('WetLitterbags placem_collection'!AB75="","",'WetLitterbags placem_collection'!AB75)</f>
        <v>9.1</v>
      </c>
      <c r="AE294">
        <f>IF('WetLitterbags placem_collection'!Z75="","",'WetLitterbags placem_collection'!Z75)</f>
        <v>10</v>
      </c>
      <c r="AF294" s="246" t="str">
        <f>IF('WetLitterbags placem_collection'!AA75="","",'WetLitterbags placem_collection'!AA75)</f>
        <v>M</v>
      </c>
      <c r="AG294">
        <f>IF('WetLitterbags placem_collection'!AC75="","",'WetLitterbags placem_collection'!AC75)</f>
        <v>1</v>
      </c>
      <c r="AH294">
        <f>IFERROR(AVERAGE('Dry_Litterbag Placem_Collection'!O75,'Dry_Litterbag Placem_Collection'!R75),"")</f>
        <v>9.5500000000000007</v>
      </c>
      <c r="AI294" s="271">
        <f>IFERROR(AVERAGE('Dry_Litterbag Placem_Collection'!N75,'Dry_Litterbag Placem_Collection'!Q75),"")</f>
        <v>28.35</v>
      </c>
      <c r="AJ294" s="270">
        <f>INDEX(Coordinates!$B$2:$B$197,MATCH(G294,Coordinates!$J$2:$J$197,0))</f>
        <v>-3.3025860229999999</v>
      </c>
      <c r="AK294" s="270">
        <f>INDEX(Coordinates!$C$2:$C$197,MATCH(G294,Coordinates!$J$2:$J$197,0))</f>
        <v>34.848048009999999</v>
      </c>
      <c r="AL294" s="270" t="str">
        <f>IF(ISNUMBER(SEARCH("C", 'Dry_Litterbag Placem_Collection'!T75)),"YES","NO")</f>
        <v>NO</v>
      </c>
      <c r="AM294" s="270" t="str">
        <f>IF(ISNUMBER(SEARCH("H", 'Dry_Litterbag Placem_Collection'!T75)),"YES","NO")</f>
        <v>NO</v>
      </c>
      <c r="AN294" s="270" t="str">
        <f>IF(ISNUMBER(SEARCH("R", 'Dry_Litterbag Placem_Collection'!T75)),"YES","NO")</f>
        <v>NO</v>
      </c>
    </row>
    <row r="295" spans="1:40" ht="15" customHeight="1">
      <c r="A295" s="262" t="s">
        <v>2659</v>
      </c>
      <c r="B295" s="263">
        <f>'Dry_Litterbag Placem_Collection'!A76</f>
        <v>74</v>
      </c>
      <c r="C295" s="263" t="str">
        <f>'Dry_Litterbag Placem_Collection'!B76</f>
        <v>Maswa</v>
      </c>
      <c r="D295" s="263" t="s">
        <v>2659</v>
      </c>
      <c r="E295" s="263" t="s">
        <v>2661</v>
      </c>
      <c r="F295" s="263">
        <v>2</v>
      </c>
      <c r="G295" s="264" t="str">
        <f>'Dry_Litterbag Placem_Collection'!C76</f>
        <v>Dry_W2_T2</v>
      </c>
      <c r="H295" s="265" t="s">
        <v>2541</v>
      </c>
      <c r="I295" s="272" t="s">
        <v>298</v>
      </c>
      <c r="J295" s="263" t="str">
        <f>IF(ISBLANK('Dry_Litterbag Placem_Collection'!K76),"","R"&amp;""&amp;'Dry_Litterbag Placem_Collection'!K76)</f>
        <v>R825</v>
      </c>
      <c r="K295" s="267">
        <f>IFERROR(INDEX('Green_rooibos initial weight'!$C$5:$C$1749,MATCH(J295, 'Green_rooibos initial weight'!$A$5:$A$1749,0)),"")</f>
        <v>2.1419999999999999</v>
      </c>
      <c r="L295" s="267">
        <f>IFERROR(K295-(TBIcalc!$Q$9+TBIcalc!$Q$10),"")</f>
        <v>1.8921999999999999</v>
      </c>
      <c r="M295" s="391">
        <f>AVERAGE(Ashed_controlls!$K$12:$K$14)</f>
        <v>2.2816647271287041</v>
      </c>
      <c r="N295" s="267">
        <f t="shared" si="21"/>
        <v>1.8490263400332705</v>
      </c>
      <c r="O295" s="267">
        <f>IF(IFERROR(INDEX('Both teabags AfterDry'!$D$3:$D$900,MATCH(J295,'Both teabags AfterDry'!$A$3:$A$900,0)),"")="","",(IFERROR(INDEX('Both teabags AfterDry'!$D$3:$D$900,MATCH(J295,'Both teabags AfterDry'!$A$3:$A$900,0)),"")))</f>
        <v>1.8925000000000001</v>
      </c>
      <c r="P295" s="267">
        <f>IFERROR(IF(O295&gt;0,O295-(TBIcalc!$Q$9),""),"")</f>
        <v>1.7419</v>
      </c>
      <c r="Q295" s="278">
        <f>IFERROR(INDEX('Ashed teabags dry'!$K$2:$K$825,MATCH(J295,'Ashed teabags dry'!$A$2:$A$825,0)),"")</f>
        <v>2.7741655830084477</v>
      </c>
      <c r="R295" s="278">
        <f t="shared" si="22"/>
        <v>1.6935768097095758</v>
      </c>
      <c r="S295" s="268">
        <f>'Dry_Litterbag Placem_Collection'!E76</f>
        <v>42937</v>
      </c>
      <c r="T295" s="268">
        <f>IF('Dry_Litterbag Placem_Collection'!G76="","",'Dry_Litterbag Placem_Collection'!G76)</f>
        <v>43006</v>
      </c>
      <c r="U295" s="269">
        <f t="shared" si="20"/>
        <v>69</v>
      </c>
      <c r="V295" s="267">
        <f t="shared" si="23"/>
        <v>0.15029999999999988</v>
      </c>
      <c r="W295" s="267">
        <f t="shared" si="24"/>
        <v>0.15544953032369468</v>
      </c>
      <c r="X295" s="271">
        <f>IFERROR(INDEX(Rainfall_Dry!$O$2:$O$217,MATCH(B295, Rainfall_Dry!$A$2:$A$217,0)),"")</f>
        <v>6.900000125</v>
      </c>
      <c r="Y295" s="260">
        <v>45.272914521112256</v>
      </c>
      <c r="Z295" s="260">
        <v>23.604531410916575</v>
      </c>
      <c r="AA295" s="260">
        <v>31.122554067971166</v>
      </c>
      <c r="AB295" s="261" t="s">
        <v>2673</v>
      </c>
      <c r="AC295" s="260">
        <v>3.0547560374568801</v>
      </c>
      <c r="AD295">
        <f>IF('WetLitterbags placem_collection'!AB76="","",'WetLitterbags placem_collection'!AB76)</f>
        <v>7.7</v>
      </c>
      <c r="AE295">
        <f>IF('WetLitterbags placem_collection'!Z76="","",'WetLitterbags placem_collection'!Z76)</f>
        <v>9.4</v>
      </c>
      <c r="AF295" s="246" t="str">
        <f>IF('WetLitterbags placem_collection'!AA76="","",'WetLitterbags placem_collection'!AA76)</f>
        <v>M</v>
      </c>
      <c r="AG295">
        <f>IF('WetLitterbags placem_collection'!AC76="","",'WetLitterbags placem_collection'!AC76)</f>
        <v>1</v>
      </c>
      <c r="AH295">
        <f>IFERROR(AVERAGE('Dry_Litterbag Placem_Collection'!O76,'Dry_Litterbag Placem_Collection'!R76),"")</f>
        <v>10.8</v>
      </c>
      <c r="AI295" s="271">
        <f>IFERROR(AVERAGE('Dry_Litterbag Placem_Collection'!N76,'Dry_Litterbag Placem_Collection'!Q76),"")</f>
        <v>28.1</v>
      </c>
      <c r="AJ295" s="270">
        <f>INDEX(Coordinates!$B$2:$B$197,MATCH(G295,Coordinates!$J$2:$J$197,0))</f>
        <v>-3.3025779759999998</v>
      </c>
      <c r="AK295" s="270">
        <f>INDEX(Coordinates!$C$2:$C$197,MATCH(G295,Coordinates!$J$2:$J$197,0))</f>
        <v>34.848041969999997</v>
      </c>
      <c r="AL295" s="270" t="str">
        <f>IF(ISNUMBER(SEARCH("C", 'Dry_Litterbag Placem_Collection'!T76)),"YES","NO")</f>
        <v>NO</v>
      </c>
      <c r="AM295" s="270" t="str">
        <f>IF(ISNUMBER(SEARCH("H", 'Dry_Litterbag Placem_Collection'!T76)),"YES","NO")</f>
        <v>NO</v>
      </c>
      <c r="AN295" s="270" t="str">
        <f>IF(ISNUMBER(SEARCH("R", 'Dry_Litterbag Placem_Collection'!T76)),"YES","NO")</f>
        <v>NO</v>
      </c>
    </row>
    <row r="296" spans="1:40" ht="15" customHeight="1">
      <c r="A296" s="262" t="s">
        <v>2659</v>
      </c>
      <c r="B296" s="263">
        <f>'Dry_Litterbag Placem_Collection'!A77</f>
        <v>75</v>
      </c>
      <c r="C296" s="263" t="str">
        <f>'Dry_Litterbag Placem_Collection'!B77</f>
        <v>Maswa</v>
      </c>
      <c r="D296" s="263" t="s">
        <v>2659</v>
      </c>
      <c r="E296" s="263" t="s">
        <v>2661</v>
      </c>
      <c r="F296" s="263">
        <v>2</v>
      </c>
      <c r="G296" s="264" t="str">
        <f>'Dry_Litterbag Placem_Collection'!C77</f>
        <v>Dry_W2_T3</v>
      </c>
      <c r="H296" s="265" t="s">
        <v>2541</v>
      </c>
      <c r="I296" s="272" t="s">
        <v>298</v>
      </c>
      <c r="J296" s="263" t="str">
        <f>IF(ISBLANK('Dry_Litterbag Placem_Collection'!K77),"","R"&amp;""&amp;'Dry_Litterbag Placem_Collection'!K77)</f>
        <v>R840</v>
      </c>
      <c r="K296" s="267">
        <f>IFERROR(INDEX('Green_rooibos initial weight'!$C$5:$C$1749,MATCH(J296, 'Green_rooibos initial weight'!$A$5:$A$1749,0)),"")</f>
        <v>2.3010000000000002</v>
      </c>
      <c r="L296" s="267">
        <f>IFERROR(K296-(TBIcalc!$Q$9+TBIcalc!$Q$10),"")</f>
        <v>2.0512000000000001</v>
      </c>
      <c r="M296" s="391">
        <f>AVERAGE(Ashed_controlls!$K$12:$K$14)</f>
        <v>2.2816647271287041</v>
      </c>
      <c r="N296" s="267">
        <f t="shared" si="21"/>
        <v>2.0043984931171361</v>
      </c>
      <c r="O296" s="267">
        <f>IF(IFERROR(INDEX('Both teabags AfterDry'!$D$3:$D$900,MATCH(J296,'Both teabags AfterDry'!$A$3:$A$900,0)),"")="","",(IFERROR(INDEX('Both teabags AfterDry'!$D$3:$D$900,MATCH(J296,'Both teabags AfterDry'!$A$3:$A$900,0)),"")))</f>
        <v>2.0405000000000002</v>
      </c>
      <c r="P296" s="267">
        <f>IFERROR(IF(O296&gt;0,O296-(TBIcalc!$Q$9),""),"")</f>
        <v>1.8899000000000001</v>
      </c>
      <c r="Q296" s="278">
        <f>IFERROR(INDEX('Ashed teabags dry'!$K$2:$K$825,MATCH(J296,'Ashed teabags dry'!$A$2:$A$825,0)),"")</f>
        <v>3.2504780114727398</v>
      </c>
      <c r="R296" s="278">
        <f t="shared" si="22"/>
        <v>1.8284692160611768</v>
      </c>
      <c r="S296" s="268">
        <f>'Dry_Litterbag Placem_Collection'!E77</f>
        <v>42937</v>
      </c>
      <c r="T296" s="268">
        <f>IF('Dry_Litterbag Placem_Collection'!G77="","",'Dry_Litterbag Placem_Collection'!G77)</f>
        <v>43006</v>
      </c>
      <c r="U296" s="269">
        <f t="shared" si="20"/>
        <v>69</v>
      </c>
      <c r="V296" s="267">
        <f t="shared" si="23"/>
        <v>0.1613</v>
      </c>
      <c r="W296" s="267">
        <f t="shared" si="24"/>
        <v>0.17592927705595929</v>
      </c>
      <c r="X296" s="271">
        <f>IFERROR(INDEX(Rainfall_Dry!$O$2:$O$217,MATCH(B296, Rainfall_Dry!$A$2:$A$217,0)),"")</f>
        <v>6.900000125</v>
      </c>
      <c r="Y296" s="260">
        <v>45.272914521112256</v>
      </c>
      <c r="Z296" s="260">
        <v>23.604531410916575</v>
      </c>
      <c r="AA296" s="260">
        <v>31.122554067971166</v>
      </c>
      <c r="AB296" s="261" t="s">
        <v>2673</v>
      </c>
      <c r="AC296" s="260">
        <v>4.0547560374568796</v>
      </c>
      <c r="AD296">
        <f>IF('WetLitterbags placem_collection'!AB77="","",'WetLitterbags placem_collection'!AB77)</f>
        <v>6.1</v>
      </c>
      <c r="AE296">
        <f>IF('WetLitterbags placem_collection'!Z77="","",'WetLitterbags placem_collection'!Z77)</f>
        <v>13.8</v>
      </c>
      <c r="AF296" s="246" t="str">
        <f>IF('WetLitterbags placem_collection'!AA77="","",'WetLitterbags placem_collection'!AA77)</f>
        <v>O</v>
      </c>
      <c r="AG296">
        <f>IF('WetLitterbags placem_collection'!AC77="","",'WetLitterbags placem_collection'!AC77)</f>
        <v>0</v>
      </c>
      <c r="AH296">
        <f>IFERROR(AVERAGE('Dry_Litterbag Placem_Collection'!O77,'Dry_Litterbag Placem_Collection'!R77),"")</f>
        <v>12.3</v>
      </c>
      <c r="AI296" s="271">
        <f>IFERROR(AVERAGE('Dry_Litterbag Placem_Collection'!N77,'Dry_Litterbag Placem_Collection'!Q77),"")</f>
        <v>27.200000000000003</v>
      </c>
      <c r="AJ296" s="270">
        <f>INDEX(Coordinates!$B$2:$B$197,MATCH(G296,Coordinates!$J$2:$J$197,0))</f>
        <v>-3.302687025</v>
      </c>
      <c r="AK296" s="270">
        <f>INDEX(Coordinates!$C$2:$C$197,MATCH(G296,Coordinates!$J$2:$J$197,0))</f>
        <v>34.847926970000003</v>
      </c>
      <c r="AL296" s="270" t="str">
        <f>IF(ISNUMBER(SEARCH("C", 'Dry_Litterbag Placem_Collection'!T77)),"YES","NO")</f>
        <v>NO</v>
      </c>
      <c r="AM296" s="270" t="str">
        <f>IF(ISNUMBER(SEARCH("H", 'Dry_Litterbag Placem_Collection'!T77)),"YES","NO")</f>
        <v>NO</v>
      </c>
      <c r="AN296" s="270" t="str">
        <f>IF(ISNUMBER(SEARCH("R", 'Dry_Litterbag Placem_Collection'!T77)),"YES","NO")</f>
        <v>NO</v>
      </c>
    </row>
    <row r="297" spans="1:40" ht="15" customHeight="1">
      <c r="A297" s="262" t="s">
        <v>2659</v>
      </c>
      <c r="B297" s="263">
        <f>'Dry_Litterbag Placem_Collection'!A78</f>
        <v>76</v>
      </c>
      <c r="C297" s="263" t="str">
        <f>'Dry_Litterbag Placem_Collection'!B78</f>
        <v>Maswa</v>
      </c>
      <c r="D297" s="263" t="s">
        <v>2659</v>
      </c>
      <c r="E297" s="263" t="s">
        <v>2661</v>
      </c>
      <c r="F297" s="263">
        <v>2</v>
      </c>
      <c r="G297" s="264" t="str">
        <f>'Dry_Litterbag Placem_Collection'!C78</f>
        <v>Dry_W2_T4</v>
      </c>
      <c r="H297" s="265" t="s">
        <v>2541</v>
      </c>
      <c r="I297" s="272" t="s">
        <v>298</v>
      </c>
      <c r="J297" s="263" t="str">
        <f>IF(ISBLANK('Dry_Litterbag Placem_Collection'!K78),"","R"&amp;""&amp;'Dry_Litterbag Placem_Collection'!K78)</f>
        <v>R770</v>
      </c>
      <c r="K297" s="267">
        <f>IFERROR(INDEX('Green_rooibos initial weight'!$C$5:$C$1749,MATCH(J297, 'Green_rooibos initial weight'!$A$5:$A$1749,0)),"")</f>
        <v>2.206</v>
      </c>
      <c r="L297" s="267">
        <f>IFERROR(K297-(TBIcalc!$Q$9+TBIcalc!$Q$10),"")</f>
        <v>1.9561999999999999</v>
      </c>
      <c r="M297" s="391">
        <f>AVERAGE(Ashed_controlls!$K$12:$K$14)</f>
        <v>2.2816647271287041</v>
      </c>
      <c r="N297" s="267">
        <f t="shared" si="21"/>
        <v>1.9115660746079082</v>
      </c>
      <c r="O297" s="267">
        <f>IF(IFERROR(INDEX('Both teabags AfterDry'!$D$3:$D$900,MATCH(J297,'Both teabags AfterDry'!$A$3:$A$900,0)),"")="","",(IFERROR(INDEX('Both teabags AfterDry'!$D$3:$D$900,MATCH(J297,'Both teabags AfterDry'!$A$3:$A$900,0)),"")))</f>
        <v>1.9444999999999999</v>
      </c>
      <c r="P297" s="267">
        <f>IFERROR(IF(O297&gt;0,O297-(TBIcalc!$Q$9),""),"")</f>
        <v>1.7938999999999998</v>
      </c>
      <c r="Q297" s="278">
        <f>IFERROR(INDEX('Ashed teabags dry'!$K$2:$K$825,MATCH(J297,'Ashed teabags dry'!$A$2:$A$825,0)),"")</f>
        <v>2.8059990324146233</v>
      </c>
      <c r="R297" s="278">
        <f t="shared" si="22"/>
        <v>1.7435631833575138</v>
      </c>
      <c r="S297" s="268">
        <f>'Dry_Litterbag Placem_Collection'!E78</f>
        <v>42937</v>
      </c>
      <c r="T297" s="268">
        <f>IF('Dry_Litterbag Placem_Collection'!G78="","",'Dry_Litterbag Placem_Collection'!G78)</f>
        <v>43006</v>
      </c>
      <c r="U297" s="269">
        <f t="shared" si="20"/>
        <v>69</v>
      </c>
      <c r="V297" s="267">
        <f t="shared" si="23"/>
        <v>0.16230000000000011</v>
      </c>
      <c r="W297" s="267">
        <f t="shared" si="24"/>
        <v>0.16800289125039436</v>
      </c>
      <c r="X297" s="271">
        <f>IFERROR(INDEX(Rainfall_Dry!$O$2:$O$217,MATCH(B297, Rainfall_Dry!$A$2:$A$217,0)),"")</f>
        <v>6.900000125</v>
      </c>
      <c r="Y297" s="260">
        <v>45.272914521112256</v>
      </c>
      <c r="Z297" s="260">
        <v>23.604531410916575</v>
      </c>
      <c r="AA297" s="260">
        <v>31.122554067971166</v>
      </c>
      <c r="AB297" s="261" t="s">
        <v>2673</v>
      </c>
      <c r="AC297" s="260">
        <v>5.0547560374568796</v>
      </c>
      <c r="AD297">
        <f>IF('WetLitterbags placem_collection'!AB78="","",'WetLitterbags placem_collection'!AB78)</f>
        <v>6.7</v>
      </c>
      <c r="AE297">
        <f>IF('WetLitterbags placem_collection'!Z78="","",'WetLitterbags placem_collection'!Z78)</f>
        <v>19.3</v>
      </c>
      <c r="AF297" s="246" t="str">
        <f>IF('WetLitterbags placem_collection'!AA78="","",'WetLitterbags placem_collection'!AA78)</f>
        <v>M</v>
      </c>
      <c r="AG297">
        <f>IF('WetLitterbags placem_collection'!AC78="","",'WetLitterbags placem_collection'!AC78)</f>
        <v>1</v>
      </c>
      <c r="AH297">
        <f>IFERROR(AVERAGE('Dry_Litterbag Placem_Collection'!O78,'Dry_Litterbag Placem_Collection'!R78),"")</f>
        <v>11.1</v>
      </c>
      <c r="AI297" s="271">
        <f>IFERROR(AVERAGE('Dry_Litterbag Placem_Collection'!N78,'Dry_Litterbag Placem_Collection'!Q78),"")</f>
        <v>27.75</v>
      </c>
      <c r="AJ297" s="270">
        <f>INDEX(Coordinates!$B$2:$B$197,MATCH(G297,Coordinates!$J$2:$J$197,0))</f>
        <v>-3.3024560190000001</v>
      </c>
      <c r="AK297" s="270">
        <f>INDEX(Coordinates!$C$2:$C$197,MATCH(G297,Coordinates!$J$2:$J$197,0))</f>
        <v>34.847871990000002</v>
      </c>
      <c r="AL297" s="270" t="str">
        <f>IF(ISNUMBER(SEARCH("C", 'Dry_Litterbag Placem_Collection'!T78)),"YES","NO")</f>
        <v>NO</v>
      </c>
      <c r="AM297" s="270" t="str">
        <f>IF(ISNUMBER(SEARCH("H", 'Dry_Litterbag Placem_Collection'!T78)),"YES","NO")</f>
        <v>NO</v>
      </c>
      <c r="AN297" s="270" t="str">
        <f>IF(ISNUMBER(SEARCH("R", 'Dry_Litterbag Placem_Collection'!T78)),"YES","NO")</f>
        <v>NO</v>
      </c>
    </row>
    <row r="298" spans="1:40" ht="15" customHeight="1">
      <c r="A298" s="262" t="s">
        <v>2659</v>
      </c>
      <c r="B298" s="263">
        <f>'Dry_Litterbag Placem_Collection'!A79</f>
        <v>77</v>
      </c>
      <c r="C298" s="263" t="str">
        <f>'Dry_Litterbag Placem_Collection'!B79</f>
        <v>Maswa</v>
      </c>
      <c r="D298" s="263" t="s">
        <v>2659</v>
      </c>
      <c r="E298" s="263" t="s">
        <v>2661</v>
      </c>
      <c r="F298" s="263">
        <v>2</v>
      </c>
      <c r="G298" s="264" t="str">
        <f>'Dry_Litterbag Placem_Collection'!C79</f>
        <v>Dry_W2_T5</v>
      </c>
      <c r="H298" s="265" t="s">
        <v>2541</v>
      </c>
      <c r="I298" s="272" t="s">
        <v>298</v>
      </c>
      <c r="J298" s="263" t="str">
        <f>IF(ISBLANK('Dry_Litterbag Placem_Collection'!K79),"","R"&amp;""&amp;'Dry_Litterbag Placem_Collection'!K79)</f>
        <v/>
      </c>
      <c r="K298" s="267" t="str">
        <f>IFERROR(INDEX('Green_rooibos initial weight'!$C$5:$C$1749,MATCH(J298, 'Green_rooibos initial weight'!$A$5:$A$1749,0)),"")</f>
        <v/>
      </c>
      <c r="L298" s="267" t="str">
        <f>IFERROR(K298-(TBIcalc!$Q$9+TBIcalc!$Q$10),"")</f>
        <v/>
      </c>
      <c r="M298" s="391">
        <f>AVERAGE(Ashed_controlls!$K$12:$K$14)</f>
        <v>2.2816647271287041</v>
      </c>
      <c r="N298" s="267" t="str">
        <f t="shared" si="21"/>
        <v/>
      </c>
      <c r="O298" s="267" t="str">
        <f>IF(IFERROR(INDEX('Both teabags AfterDry'!$D$3:$D$900,MATCH(J298,'Both teabags AfterDry'!$A$3:$A$900,0)),"")="","",(IFERROR(INDEX('Both teabags AfterDry'!$D$3:$D$900,MATCH(J298,'Both teabags AfterDry'!$A$3:$A$900,0)),"")))</f>
        <v/>
      </c>
      <c r="P298" s="267" t="str">
        <f>IFERROR(IF(O298&gt;0,O298-(TBIcalc!$Q$9),""),"")</f>
        <v/>
      </c>
      <c r="Q298" s="278" t="str">
        <f>IFERROR(INDEX('Ashed teabags dry'!$K$2:$K$825,MATCH(J298,'Ashed teabags dry'!$A$2:$A$825,0)),"")</f>
        <v/>
      </c>
      <c r="R298" s="278" t="str">
        <f t="shared" si="22"/>
        <v/>
      </c>
      <c r="S298" s="268">
        <f>'Dry_Litterbag Placem_Collection'!E79</f>
        <v>0</v>
      </c>
      <c r="T298" s="268" t="str">
        <f>IF('Dry_Litterbag Placem_Collection'!G79="","",'Dry_Litterbag Placem_Collection'!G79)</f>
        <v/>
      </c>
      <c r="U298" s="269" t="str">
        <f t="shared" si="20"/>
        <v/>
      </c>
      <c r="V298" s="267" t="str">
        <f t="shared" si="23"/>
        <v/>
      </c>
      <c r="W298" s="267" t="str">
        <f t="shared" si="24"/>
        <v/>
      </c>
      <c r="X298" s="271" t="str">
        <f>IFERROR(INDEX(Rainfall_Dry!$O$2:$O$217,MATCH(B298, Rainfall_Dry!$A$2:$A$217,0)),"")</f>
        <v/>
      </c>
      <c r="Y298" s="260">
        <v>45.272914521112256</v>
      </c>
      <c r="Z298" s="260">
        <v>23.604531410916575</v>
      </c>
      <c r="AA298" s="260">
        <v>31.122554067971166</v>
      </c>
      <c r="AB298" s="261" t="s">
        <v>2673</v>
      </c>
      <c r="AC298" s="260">
        <v>6.0547560374568796</v>
      </c>
      <c r="AD298">
        <f>IF('WetLitterbags placem_collection'!AB79="","",'WetLitterbags placem_collection'!AB79)</f>
        <v>3.1</v>
      </c>
      <c r="AE298">
        <f>IF('WetLitterbags placem_collection'!Z79="","",'WetLitterbags placem_collection'!Z79)</f>
        <v>9.8000000000000007</v>
      </c>
      <c r="AF298" s="246" t="str">
        <f>IF('WetLitterbags placem_collection'!AA79="","",'WetLitterbags placem_collection'!AA79)</f>
        <v>O</v>
      </c>
      <c r="AG298">
        <f>IF('WetLitterbags placem_collection'!AC79="","",'WetLitterbags placem_collection'!AC79)</f>
        <v>1</v>
      </c>
      <c r="AH298" t="str">
        <f>IFERROR(AVERAGE('Dry_Litterbag Placem_Collection'!O79,'Dry_Litterbag Placem_Collection'!R79),"")</f>
        <v/>
      </c>
      <c r="AI298" s="271" t="str">
        <f>IFERROR(AVERAGE('Dry_Litterbag Placem_Collection'!N79,'Dry_Litterbag Placem_Collection'!Q79),"")</f>
        <v/>
      </c>
      <c r="AJ298" s="270">
        <f>INDEX(Coordinates!$B$2:$B$197,MATCH(G298,Coordinates!$J$2:$J$197,0))</f>
        <v>-3.3023280279999998</v>
      </c>
      <c r="AK298" s="270">
        <f>INDEX(Coordinates!$C$2:$C$197,MATCH(G298,Coordinates!$J$2:$J$197,0))</f>
        <v>34.848223019999999</v>
      </c>
      <c r="AL298" s="270" t="str">
        <f>IF(ISNUMBER(SEARCH("C", 'Dry_Litterbag Placem_Collection'!T79)),"YES","NO")</f>
        <v>NO</v>
      </c>
      <c r="AM298" s="270" t="str">
        <f>IF(ISNUMBER(SEARCH("H", 'Dry_Litterbag Placem_Collection'!T79)),"YES","NO")</f>
        <v>NO</v>
      </c>
      <c r="AN298" s="270" t="str">
        <f>IF(ISNUMBER(SEARCH("R", 'Dry_Litterbag Placem_Collection'!T79)),"YES","NO")</f>
        <v>NO</v>
      </c>
    </row>
    <row r="299" spans="1:40" ht="15" customHeight="1">
      <c r="A299" s="262" t="s">
        <v>2659</v>
      </c>
      <c r="B299" s="263">
        <f>'Dry_Litterbag Placem_Collection'!A80</f>
        <v>78</v>
      </c>
      <c r="C299" s="263" t="str">
        <f>'Dry_Litterbag Placem_Collection'!B80</f>
        <v>Maswa</v>
      </c>
      <c r="D299" s="263" t="s">
        <v>2659</v>
      </c>
      <c r="E299" s="263" t="s">
        <v>2661</v>
      </c>
      <c r="F299" s="263">
        <v>2</v>
      </c>
      <c r="G299" s="264" t="str">
        <f>'Dry_Litterbag Placem_Collection'!C80</f>
        <v>Dry_W2_T6</v>
      </c>
      <c r="H299" s="265" t="s">
        <v>2541</v>
      </c>
      <c r="I299" s="272" t="s">
        <v>298</v>
      </c>
      <c r="J299" s="263" t="str">
        <f>IF(ISBLANK('Dry_Litterbag Placem_Collection'!K80),"","R"&amp;""&amp;'Dry_Litterbag Placem_Collection'!K80)</f>
        <v>R696</v>
      </c>
      <c r="K299" s="267">
        <f>IFERROR(INDEX('Green_rooibos initial weight'!$C$5:$C$1749,MATCH(J299, 'Green_rooibos initial weight'!$A$5:$A$1749,0)),"")</f>
        <v>2.1389999999999998</v>
      </c>
      <c r="L299" s="267">
        <f>IFERROR(K299-(TBIcalc!$Q$9+TBIcalc!$Q$10),"")</f>
        <v>1.8891999999999998</v>
      </c>
      <c r="M299" s="391">
        <f>AVERAGE(Ashed_controlls!$K$12:$K$14)</f>
        <v>2.2816647271287041</v>
      </c>
      <c r="N299" s="267">
        <f t="shared" si="21"/>
        <v>1.8460947899750844</v>
      </c>
      <c r="O299" s="267">
        <f>IF(IFERROR(INDEX('Both teabags AfterDry'!$D$3:$D$900,MATCH(J299,'Both teabags AfterDry'!$A$3:$A$900,0)),"")="","",(IFERROR(INDEX('Both teabags AfterDry'!$D$3:$D$900,MATCH(J299,'Both teabags AfterDry'!$A$3:$A$900,0)),"")))</f>
        <v>1.9605999999999999</v>
      </c>
      <c r="P299" s="267">
        <f>IFERROR(IF(O299&gt;0,O299-(TBIcalc!$Q$9),""),"")</f>
        <v>1.8099999999999998</v>
      </c>
      <c r="Q299" s="278">
        <f>IFERROR(INDEX('Ashed teabags dry'!$K$2:$K$825,MATCH(J299,'Ashed teabags dry'!$A$2:$A$825,0)),"")</f>
        <v>2.2848808945063115</v>
      </c>
      <c r="R299" s="278">
        <f t="shared" si="22"/>
        <v>1.7686436558094356</v>
      </c>
      <c r="S299" s="268">
        <f>'Dry_Litterbag Placem_Collection'!E80</f>
        <v>42937</v>
      </c>
      <c r="T299" s="268">
        <f>IF('Dry_Litterbag Placem_Collection'!G80="","",'Dry_Litterbag Placem_Collection'!G80)</f>
        <v>43006</v>
      </c>
      <c r="U299" s="269">
        <f t="shared" si="20"/>
        <v>69</v>
      </c>
      <c r="V299" s="267">
        <f t="shared" si="23"/>
        <v>7.9199999999999937E-2</v>
      </c>
      <c r="W299" s="267">
        <f t="shared" si="24"/>
        <v>7.745113416564875E-2</v>
      </c>
      <c r="X299" s="271">
        <f>IFERROR(INDEX(Rainfall_Dry!$O$2:$O$217,MATCH(B299, Rainfall_Dry!$A$2:$A$217,0)),"")</f>
        <v>6.900000125</v>
      </c>
      <c r="Y299" s="260">
        <v>45.272914521112256</v>
      </c>
      <c r="Z299" s="260">
        <v>23.604531410916575</v>
      </c>
      <c r="AA299" s="260">
        <v>31.122554067971166</v>
      </c>
      <c r="AB299" s="261" t="s">
        <v>2673</v>
      </c>
      <c r="AC299" s="260">
        <v>7.0547560374568796</v>
      </c>
      <c r="AD299">
        <f>IF('WetLitterbags placem_collection'!AB80="","",'WetLitterbags placem_collection'!AB80)</f>
        <v>10.4</v>
      </c>
      <c r="AE299">
        <f>IF('WetLitterbags placem_collection'!Z80="","",'WetLitterbags placem_collection'!Z80)</f>
        <v>15.4</v>
      </c>
      <c r="AF299" s="246" t="str">
        <f>IF('WetLitterbags placem_collection'!AA80="","",'WetLitterbags placem_collection'!AA80)</f>
        <v>M</v>
      </c>
      <c r="AG299">
        <f>IF('WetLitterbags placem_collection'!AC80="","",'WetLitterbags placem_collection'!AC80)</f>
        <v>1</v>
      </c>
      <c r="AH299">
        <f>IFERROR(AVERAGE('Dry_Litterbag Placem_Collection'!O80,'Dry_Litterbag Placem_Collection'!R80),"")</f>
        <v>11.149999999999999</v>
      </c>
      <c r="AI299" s="271">
        <f>IFERROR(AVERAGE('Dry_Litterbag Placem_Collection'!N80,'Dry_Litterbag Placem_Collection'!Q80),"")</f>
        <v>28.35</v>
      </c>
      <c r="AJ299" s="270">
        <f>INDEX(Coordinates!$B$2:$B$197,MATCH(G299,Coordinates!$J$2:$J$197,0))</f>
        <v>-3.3025680020000001</v>
      </c>
      <c r="AK299" s="270">
        <f>INDEX(Coordinates!$C$2:$C$197,MATCH(G299,Coordinates!$J$2:$J$197,0))</f>
        <v>34.848167029999999</v>
      </c>
      <c r="AL299" s="270" t="str">
        <f>IF(ISNUMBER(SEARCH("C", 'Dry_Litterbag Placem_Collection'!T80)),"YES","NO")</f>
        <v>NO</v>
      </c>
      <c r="AM299" s="270" t="str">
        <f>IF(ISNUMBER(SEARCH("H", 'Dry_Litterbag Placem_Collection'!T80)),"YES","NO")</f>
        <v>YES</v>
      </c>
      <c r="AN299" s="270" t="str">
        <f>IF(ISNUMBER(SEARCH("R", 'Dry_Litterbag Placem_Collection'!T80)),"YES","NO")</f>
        <v>NO</v>
      </c>
    </row>
    <row r="300" spans="1:40" ht="15" customHeight="1">
      <c r="A300" s="262" t="s">
        <v>2659</v>
      </c>
      <c r="B300" s="263">
        <f>'Dry_Litterbag Placem_Collection'!A81</f>
        <v>79</v>
      </c>
      <c r="C300" s="263" t="str">
        <f>'Dry_Litterbag Placem_Collection'!B81</f>
        <v>Maswa</v>
      </c>
      <c r="D300" s="263" t="s">
        <v>2659</v>
      </c>
      <c r="E300" s="263" t="s">
        <v>2661</v>
      </c>
      <c r="F300" s="263">
        <v>2</v>
      </c>
      <c r="G300" s="264" t="str">
        <f>'Dry_Litterbag Placem_Collection'!C81</f>
        <v>Dry_W2_T7</v>
      </c>
      <c r="H300" s="265" t="s">
        <v>2541</v>
      </c>
      <c r="I300" s="272" t="s">
        <v>298</v>
      </c>
      <c r="J300" s="263" t="str">
        <f>IF(ISBLANK('Dry_Litterbag Placem_Collection'!K81),"","R"&amp;""&amp;'Dry_Litterbag Placem_Collection'!K81)</f>
        <v>R270</v>
      </c>
      <c r="K300" s="267">
        <f>IFERROR(INDEX('Green_rooibos initial weight'!$C$5:$C$1749,MATCH(J300, 'Green_rooibos initial weight'!$A$5:$A$1749,0)),"")</f>
        <v>2.2170000000000001</v>
      </c>
      <c r="L300" s="267">
        <f>IFERROR(K300-(TBIcalc!$Q$9+TBIcalc!$Q$10),"")</f>
        <v>1.9672000000000001</v>
      </c>
      <c r="M300" s="391">
        <f>AVERAGE(Ashed_controlls!$K$12:$K$14)</f>
        <v>2.2816647271287041</v>
      </c>
      <c r="N300" s="267">
        <f t="shared" si="21"/>
        <v>1.9223150914879241</v>
      </c>
      <c r="O300" s="267">
        <f>IF(IFERROR(INDEX('Both teabags AfterDry'!$D$3:$D$900,MATCH(J300,'Both teabags AfterDry'!$A$3:$A$900,0)),"")="","",(IFERROR(INDEX('Both teabags AfterDry'!$D$3:$D$900,MATCH(J300,'Both teabags AfterDry'!$A$3:$A$900,0)),"")))</f>
        <v>1.9970000000000001</v>
      </c>
      <c r="P300" s="267">
        <f>IFERROR(IF(O300&gt;0,O300-(TBIcalc!$Q$9),""),"")</f>
        <v>1.8464</v>
      </c>
      <c r="Q300" s="278">
        <f>IFERROR(INDEX('Ashed teabags dry'!$K$2:$K$825,MATCH(J300,'Ashed teabags dry'!$A$2:$A$825,0)),"")</f>
        <v>2.6437847866422564</v>
      </c>
      <c r="R300" s="278">
        <f t="shared" si="22"/>
        <v>1.7975851576994375</v>
      </c>
      <c r="S300" s="268">
        <f>'Dry_Litterbag Placem_Collection'!E81</f>
        <v>42937</v>
      </c>
      <c r="T300" s="268">
        <f>IF('Dry_Litterbag Placem_Collection'!G81="","",'Dry_Litterbag Placem_Collection'!G81)</f>
        <v>43006</v>
      </c>
      <c r="U300" s="269">
        <f t="shared" si="20"/>
        <v>69</v>
      </c>
      <c r="V300" s="267">
        <f t="shared" si="23"/>
        <v>0.12080000000000002</v>
      </c>
      <c r="W300" s="267">
        <f t="shared" si="24"/>
        <v>0.12472993378848662</v>
      </c>
      <c r="X300" s="271">
        <f>IFERROR(INDEX(Rainfall_Dry!$O$2:$O$217,MATCH(B300, Rainfall_Dry!$A$2:$A$217,0)),"")</f>
        <v>6.900000125</v>
      </c>
      <c r="Y300" s="260">
        <v>45.272914521112256</v>
      </c>
      <c r="Z300" s="260">
        <v>23.604531410916575</v>
      </c>
      <c r="AA300" s="260">
        <v>31.122554067971166</v>
      </c>
      <c r="AB300" s="261" t="s">
        <v>2673</v>
      </c>
      <c r="AC300" s="260">
        <v>8.0547560374568796</v>
      </c>
      <c r="AD300">
        <f>IF('WetLitterbags placem_collection'!AB81="","",'WetLitterbags placem_collection'!AB81)</f>
        <v>3</v>
      </c>
      <c r="AE300">
        <f>IF('WetLitterbags placem_collection'!Z81="","",'WetLitterbags placem_collection'!Z81)</f>
        <v>5</v>
      </c>
      <c r="AF300" s="246" t="str">
        <f>IF('WetLitterbags placem_collection'!AA81="","",'WetLitterbags placem_collection'!AA81)</f>
        <v>G</v>
      </c>
      <c r="AG300">
        <f>IF('WetLitterbags placem_collection'!AC81="","",'WetLitterbags placem_collection'!AC81)</f>
        <v>1</v>
      </c>
      <c r="AH300">
        <f>IFERROR(AVERAGE('Dry_Litterbag Placem_Collection'!O81,'Dry_Litterbag Placem_Collection'!R81),"")</f>
        <v>9.1999999999999993</v>
      </c>
      <c r="AI300" s="271">
        <f>IFERROR(AVERAGE('Dry_Litterbag Placem_Collection'!N81,'Dry_Litterbag Placem_Collection'!Q81),"")</f>
        <v>26.25</v>
      </c>
      <c r="AJ300" s="270">
        <f>INDEX(Coordinates!$B$2:$B$197,MATCH(G300,Coordinates!$J$2:$J$197,0))</f>
        <v>-3.3026270100000001</v>
      </c>
      <c r="AK300" s="270">
        <f>INDEX(Coordinates!$C$2:$C$197,MATCH(G300,Coordinates!$J$2:$J$197,0))</f>
        <v>34.84840801</v>
      </c>
      <c r="AL300" s="270" t="str">
        <f>IF(ISNUMBER(SEARCH("C", 'Dry_Litterbag Placem_Collection'!T81)),"YES","NO")</f>
        <v>NO</v>
      </c>
      <c r="AM300" s="270" t="str">
        <f>IF(ISNUMBER(SEARCH("H", 'Dry_Litterbag Placem_Collection'!T81)),"YES","NO")</f>
        <v>NO</v>
      </c>
      <c r="AN300" s="270" t="str">
        <f>IF(ISNUMBER(SEARCH("R", 'Dry_Litterbag Placem_Collection'!T81)),"YES","NO")</f>
        <v>NO</v>
      </c>
    </row>
    <row r="301" spans="1:40" ht="15" customHeight="1">
      <c r="A301" s="262" t="s">
        <v>2659</v>
      </c>
      <c r="B301" s="263">
        <f>'Dry_Litterbag Placem_Collection'!A82</f>
        <v>80</v>
      </c>
      <c r="C301" s="263" t="str">
        <f>'Dry_Litterbag Placem_Collection'!B82</f>
        <v>Maswa</v>
      </c>
      <c r="D301" s="263" t="s">
        <v>2659</v>
      </c>
      <c r="E301" s="263" t="s">
        <v>2661</v>
      </c>
      <c r="F301" s="263">
        <v>2</v>
      </c>
      <c r="G301" s="264" t="str">
        <f>'Dry_Litterbag Placem_Collection'!C82</f>
        <v>Dry_W2_T8</v>
      </c>
      <c r="H301" s="265" t="s">
        <v>2541</v>
      </c>
      <c r="I301" s="272" t="s">
        <v>298</v>
      </c>
      <c r="J301" s="263" t="str">
        <f>IF(ISBLANK('Dry_Litterbag Placem_Collection'!K82),"","R"&amp;""&amp;'Dry_Litterbag Placem_Collection'!K82)</f>
        <v>R726</v>
      </c>
      <c r="K301" s="267">
        <f>IFERROR(INDEX('Green_rooibos initial weight'!$C$5:$C$1749,MATCH(J301, 'Green_rooibos initial weight'!$A$5:$A$1749,0)),"")</f>
        <v>2.2810000000000001</v>
      </c>
      <c r="L301" s="267">
        <f>IFERROR(K301-(TBIcalc!$Q$9+TBIcalc!$Q$10),"")</f>
        <v>2.0312000000000001</v>
      </c>
      <c r="M301" s="391">
        <f>AVERAGE(Ashed_controlls!$K$12:$K$14)</f>
        <v>2.2816647271287041</v>
      </c>
      <c r="N301" s="267">
        <f t="shared" si="21"/>
        <v>1.9848548260625618</v>
      </c>
      <c r="O301" s="267">
        <f>IF(IFERROR(INDEX('Both teabags AfterDry'!$D$3:$D$900,MATCH(J301,'Both teabags AfterDry'!$A$3:$A$900,0)),"")="","",(IFERROR(INDEX('Both teabags AfterDry'!$D$3:$D$900,MATCH(J301,'Both teabags AfterDry'!$A$3:$A$900,0)),"")))</f>
        <v>1.9471000000000001</v>
      </c>
      <c r="P301" s="267">
        <f>IFERROR(IF(O301&gt;0,O301-(TBIcalc!$Q$9),""),"")</f>
        <v>1.7965</v>
      </c>
      <c r="Q301" s="278">
        <f>IFERROR(INDEX('Ashed teabags dry'!$K$2:$K$825,MATCH(J301,'Ashed teabags dry'!$A$2:$A$825,0)),"")</f>
        <v>2.8653295128930178</v>
      </c>
      <c r="R301" s="278">
        <f t="shared" si="22"/>
        <v>1.7450243553008769</v>
      </c>
      <c r="S301" s="268">
        <f>'Dry_Litterbag Placem_Collection'!E82</f>
        <v>42937</v>
      </c>
      <c r="T301" s="268">
        <f>IF('Dry_Litterbag Placem_Collection'!G82="","",'Dry_Litterbag Placem_Collection'!G82)</f>
        <v>43006</v>
      </c>
      <c r="U301" s="269">
        <f t="shared" si="20"/>
        <v>69</v>
      </c>
      <c r="V301" s="267">
        <f t="shared" si="23"/>
        <v>0.23470000000000013</v>
      </c>
      <c r="W301" s="267">
        <f t="shared" si="24"/>
        <v>0.23983047076168496</v>
      </c>
      <c r="X301" s="271">
        <f>IFERROR(INDEX(Rainfall_Dry!$O$2:$O$217,MATCH(B301, Rainfall_Dry!$A$2:$A$217,0)),"")</f>
        <v>6.900000125</v>
      </c>
      <c r="Y301" s="260">
        <v>45.272914521112256</v>
      </c>
      <c r="Z301" s="260">
        <v>23.604531410916575</v>
      </c>
      <c r="AA301" s="260">
        <v>31.122554067971166</v>
      </c>
      <c r="AB301" s="261" t="s">
        <v>2673</v>
      </c>
      <c r="AC301" s="260">
        <v>9.0547560374568796</v>
      </c>
      <c r="AD301">
        <f>IF('WetLitterbags placem_collection'!AB82="","",'WetLitterbags placem_collection'!AB82)</f>
        <v>2.7</v>
      </c>
      <c r="AE301">
        <f>IF('WetLitterbags placem_collection'!Z82="","",'WetLitterbags placem_collection'!Z82)</f>
        <v>12.4</v>
      </c>
      <c r="AF301" s="246" t="str">
        <f>IF('WetLitterbags placem_collection'!AA82="","",'WetLitterbags placem_collection'!AA82)</f>
        <v>O</v>
      </c>
      <c r="AG301">
        <f>IF('WetLitterbags placem_collection'!AC82="","",'WetLitterbags placem_collection'!AC82)</f>
        <v>1</v>
      </c>
      <c r="AH301">
        <f>IFERROR(AVERAGE('Dry_Litterbag Placem_Collection'!O82,'Dry_Litterbag Placem_Collection'!R82),"")</f>
        <v>11.75</v>
      </c>
      <c r="AI301" s="271">
        <f>IFERROR(AVERAGE('Dry_Litterbag Placem_Collection'!N82,'Dry_Litterbag Placem_Collection'!Q82),"")</f>
        <v>27.7</v>
      </c>
      <c r="AJ301" s="270">
        <f>INDEX(Coordinates!$B$2:$B$197,MATCH(G301,Coordinates!$J$2:$J$197,0))</f>
        <v>-3.3028539920000002</v>
      </c>
      <c r="AK301" s="270">
        <f>INDEX(Coordinates!$C$2:$C$197,MATCH(G301,Coordinates!$J$2:$J$197,0))</f>
        <v>34.847988999999998</v>
      </c>
      <c r="AL301" s="270" t="str">
        <f>IF(ISNUMBER(SEARCH("C", 'Dry_Litterbag Placem_Collection'!T82)),"YES","NO")</f>
        <v>NO</v>
      </c>
      <c r="AM301" s="270" t="str">
        <f>IF(ISNUMBER(SEARCH("H", 'Dry_Litterbag Placem_Collection'!T82)),"YES","NO")</f>
        <v>NO</v>
      </c>
      <c r="AN301" s="270" t="str">
        <f>IF(ISNUMBER(SEARCH("R", 'Dry_Litterbag Placem_Collection'!T82)),"YES","NO")</f>
        <v>NO</v>
      </c>
    </row>
    <row r="302" spans="1:40" ht="15" customHeight="1">
      <c r="A302" s="262" t="s">
        <v>2659</v>
      </c>
      <c r="B302" s="263">
        <f>'Dry_Litterbag Placem_Collection'!A83</f>
        <v>81</v>
      </c>
      <c r="C302" s="263" t="str">
        <f>'Dry_Litterbag Placem_Collection'!B83</f>
        <v>Maswa</v>
      </c>
      <c r="D302" s="263" t="s">
        <v>2659</v>
      </c>
      <c r="E302" s="263" t="s">
        <v>2661</v>
      </c>
      <c r="F302" s="263">
        <v>3</v>
      </c>
      <c r="G302" s="264" t="str">
        <f>'Dry_Litterbag Placem_Collection'!C83</f>
        <v>Dry_W3_T1</v>
      </c>
      <c r="H302" s="265" t="s">
        <v>2541</v>
      </c>
      <c r="I302" s="272" t="s">
        <v>298</v>
      </c>
      <c r="J302" s="263" t="str">
        <f>IF(ISBLANK('Dry_Litterbag Placem_Collection'!K83),"","R"&amp;""&amp;'Dry_Litterbag Placem_Collection'!K83)</f>
        <v>R739</v>
      </c>
      <c r="K302" s="267">
        <f>IFERROR(INDEX('Green_rooibos initial weight'!$C$5:$C$1749,MATCH(J302, 'Green_rooibos initial weight'!$A$5:$A$1749,0)),"")</f>
        <v>2.222</v>
      </c>
      <c r="L302" s="267">
        <f>IFERROR(K302-(TBIcalc!$Q$9+TBIcalc!$Q$10),"")</f>
        <v>1.9722</v>
      </c>
      <c r="M302" s="391">
        <f>AVERAGE(Ashed_controlls!$K$12:$K$14)</f>
        <v>2.2816647271287041</v>
      </c>
      <c r="N302" s="267">
        <f t="shared" si="21"/>
        <v>1.9272010082515676</v>
      </c>
      <c r="O302" s="267">
        <f>IF(IFERROR(INDEX('Both teabags AfterDry'!$D$3:$D$900,MATCH(J302,'Both teabags AfterDry'!$A$3:$A$900,0)),"")="","",(IFERROR(INDEX('Both teabags AfterDry'!$D$3:$D$900,MATCH(J302,'Both teabags AfterDry'!$A$3:$A$900,0)),"")))</f>
        <v>1.9457</v>
      </c>
      <c r="P302" s="267">
        <f>IFERROR(IF(O302&gt;0,O302-(TBIcalc!$Q$9),""),"")</f>
        <v>1.7950999999999999</v>
      </c>
      <c r="Q302" s="278">
        <f>IFERROR(INDEX('Ashed teabags dry'!$K$2:$K$825,MATCH(J302,'Ashed teabags dry'!$A$2:$A$825,0)),"")</f>
        <v>2.6627218934911183</v>
      </c>
      <c r="R302" s="278">
        <f t="shared" si="22"/>
        <v>1.7473014792899408</v>
      </c>
      <c r="S302" s="268">
        <f>'Dry_Litterbag Placem_Collection'!E83</f>
        <v>42937</v>
      </c>
      <c r="T302" s="268">
        <f>IF('Dry_Litterbag Placem_Collection'!G83="","",'Dry_Litterbag Placem_Collection'!G83)</f>
        <v>43006</v>
      </c>
      <c r="U302" s="269">
        <f t="shared" si="20"/>
        <v>69</v>
      </c>
      <c r="V302" s="267">
        <f t="shared" si="23"/>
        <v>0.17710000000000004</v>
      </c>
      <c r="W302" s="267">
        <f t="shared" si="24"/>
        <v>0.17989952896162675</v>
      </c>
      <c r="X302" s="271">
        <f>IFERROR(INDEX(Rainfall_Dry!$O$2:$O$217,MATCH(B302, Rainfall_Dry!$A$2:$A$217,0)),"")</f>
        <v>12.563016860999999</v>
      </c>
      <c r="Y302" s="260">
        <v>38.691629007962128</v>
      </c>
      <c r="Z302" s="260">
        <v>26.81299763288143</v>
      </c>
      <c r="AA302" s="260">
        <v>34.495373359156439</v>
      </c>
      <c r="AB302" s="261" t="s">
        <v>2675</v>
      </c>
      <c r="AC302" s="260">
        <v>2.5483587974371611</v>
      </c>
      <c r="AD302">
        <f>IF('WetLitterbags placem_collection'!AB83="","",'WetLitterbags placem_collection'!AB83)</f>
        <v>6.2</v>
      </c>
      <c r="AE302">
        <f>IF('WetLitterbags placem_collection'!Z83="","",'WetLitterbags placem_collection'!Z83)</f>
        <v>13.3</v>
      </c>
      <c r="AF302" s="246" t="str">
        <f>IF('WetLitterbags placem_collection'!AA83="","",'WetLitterbags placem_collection'!AA83)</f>
        <v>O</v>
      </c>
      <c r="AG302">
        <f>IF('WetLitterbags placem_collection'!AC83="","",'WetLitterbags placem_collection'!AC83)</f>
        <v>0</v>
      </c>
      <c r="AH302">
        <f>IFERROR(AVERAGE('Dry_Litterbag Placem_Collection'!O83,'Dry_Litterbag Placem_Collection'!R83),"")</f>
        <v>11.850000000000001</v>
      </c>
      <c r="AI302" s="271">
        <f>IFERROR(AVERAGE('Dry_Litterbag Placem_Collection'!N83,'Dry_Litterbag Placem_Collection'!Q83),"")</f>
        <v>26.35</v>
      </c>
      <c r="AJ302" s="270">
        <f>INDEX(Coordinates!$B$2:$B$197,MATCH(G302,Coordinates!$J$2:$J$197,0))</f>
        <v>-3.2957159630000001</v>
      </c>
      <c r="AK302" s="270">
        <f>INDEX(Coordinates!$C$2:$C$197,MATCH(G302,Coordinates!$J$2:$J$197,0))</f>
        <v>34.852460999999998</v>
      </c>
      <c r="AL302" s="270" t="str">
        <f>IF(ISNUMBER(SEARCH("C", 'Dry_Litterbag Placem_Collection'!T83)),"YES","NO")</f>
        <v>NO</v>
      </c>
      <c r="AM302" s="270" t="str">
        <f>IF(ISNUMBER(SEARCH("H", 'Dry_Litterbag Placem_Collection'!T83)),"YES","NO")</f>
        <v>NO</v>
      </c>
      <c r="AN302" s="270" t="str">
        <f>IF(ISNUMBER(SEARCH("R", 'Dry_Litterbag Placem_Collection'!T83)),"YES","NO")</f>
        <v>NO</v>
      </c>
    </row>
    <row r="303" spans="1:40" ht="15" customHeight="1">
      <c r="A303" s="262" t="s">
        <v>2659</v>
      </c>
      <c r="B303" s="263">
        <f>'Dry_Litterbag Placem_Collection'!A84</f>
        <v>82</v>
      </c>
      <c r="C303" s="263" t="str">
        <f>'Dry_Litterbag Placem_Collection'!B84</f>
        <v>Maswa</v>
      </c>
      <c r="D303" s="263" t="s">
        <v>2659</v>
      </c>
      <c r="E303" s="263" t="s">
        <v>2661</v>
      </c>
      <c r="F303" s="263">
        <v>3</v>
      </c>
      <c r="G303" s="264" t="str">
        <f>'Dry_Litterbag Placem_Collection'!C84</f>
        <v>Dry_W3_T2</v>
      </c>
      <c r="H303" s="265" t="s">
        <v>2541</v>
      </c>
      <c r="I303" s="272" t="s">
        <v>298</v>
      </c>
      <c r="J303" s="263" t="str">
        <f>IF(ISBLANK('Dry_Litterbag Placem_Collection'!K84),"","R"&amp;""&amp;'Dry_Litterbag Placem_Collection'!K84)</f>
        <v>R800</v>
      </c>
      <c r="K303" s="267">
        <f>IFERROR(INDEX('Green_rooibos initial weight'!$C$5:$C$1749,MATCH(J303, 'Green_rooibos initial weight'!$A$5:$A$1749,0)),"")</f>
        <v>2.1579999999999999</v>
      </c>
      <c r="L303" s="267">
        <f>IFERROR(K303-(TBIcalc!$Q$9+TBIcalc!$Q$10),"")</f>
        <v>1.9081999999999999</v>
      </c>
      <c r="M303" s="391">
        <f>AVERAGE(Ashed_controlls!$K$12:$K$14)</f>
        <v>2.2816647271287041</v>
      </c>
      <c r="N303" s="267">
        <f t="shared" si="21"/>
        <v>1.8646612736769299</v>
      </c>
      <c r="O303" s="267">
        <f>IF(IFERROR(INDEX('Both teabags AfterDry'!$D$3:$D$900,MATCH(J303,'Both teabags AfterDry'!$A$3:$A$900,0)),"")="","",(IFERROR(INDEX('Both teabags AfterDry'!$D$3:$D$900,MATCH(J303,'Both teabags AfterDry'!$A$3:$A$900,0)),"")))</f>
        <v>1.8712</v>
      </c>
      <c r="P303" s="267">
        <f>IFERROR(IF(O303&gt;0,O303-(TBIcalc!$Q$9),""),"")</f>
        <v>1.7205999999999999</v>
      </c>
      <c r="Q303" s="278">
        <f>IFERROR(INDEX('Ashed teabags dry'!$K$2:$K$825,MATCH(J303,'Ashed teabags dry'!$A$2:$A$825,0)),"")</f>
        <v>2.8725314183131179</v>
      </c>
      <c r="R303" s="278">
        <f t="shared" si="22"/>
        <v>1.6711752244165043</v>
      </c>
      <c r="S303" s="268">
        <f>'Dry_Litterbag Placem_Collection'!E84</f>
        <v>42937</v>
      </c>
      <c r="T303" s="268">
        <f>IF('Dry_Litterbag Placem_Collection'!G84="","",'Dry_Litterbag Placem_Collection'!G84)</f>
        <v>43006</v>
      </c>
      <c r="U303" s="269">
        <f t="shared" si="20"/>
        <v>69</v>
      </c>
      <c r="V303" s="267">
        <f t="shared" si="23"/>
        <v>0.18759999999999999</v>
      </c>
      <c r="W303" s="267">
        <f t="shared" si="24"/>
        <v>0.19348604926042556</v>
      </c>
      <c r="X303" s="271">
        <f>IFERROR(INDEX(Rainfall_Dry!$O$2:$O$217,MATCH(B303, Rainfall_Dry!$A$2:$A$217,0)),"")</f>
        <v>12.563016860999999</v>
      </c>
      <c r="Y303" s="260">
        <v>38.691629007962128</v>
      </c>
      <c r="Z303" s="260">
        <v>26.81299763288143</v>
      </c>
      <c r="AA303" s="260">
        <v>34.495373359156439</v>
      </c>
      <c r="AB303" s="261" t="s">
        <v>2675</v>
      </c>
      <c r="AC303" s="260">
        <v>3.5483587974371602</v>
      </c>
      <c r="AD303">
        <f>IF('WetLitterbags placem_collection'!AB84="","",'WetLitterbags placem_collection'!AB84)</f>
        <v>2.4</v>
      </c>
      <c r="AE303">
        <f>IF('WetLitterbags placem_collection'!Z84="","",'WetLitterbags placem_collection'!Z84)</f>
        <v>16.600000000000001</v>
      </c>
      <c r="AF303" s="246" t="str">
        <f>IF('WetLitterbags placem_collection'!AA84="","",'WetLitterbags placem_collection'!AA84)</f>
        <v>O</v>
      </c>
      <c r="AG303" t="str">
        <f>IF('WetLitterbags placem_collection'!AC84="","",'WetLitterbags placem_collection'!AC84)</f>
        <v/>
      </c>
      <c r="AH303">
        <f>IFERROR(AVERAGE('Dry_Litterbag Placem_Collection'!O84,'Dry_Litterbag Placem_Collection'!R84),"")</f>
        <v>9.9499999999999993</v>
      </c>
      <c r="AI303" s="271">
        <f>IFERROR(AVERAGE('Dry_Litterbag Placem_Collection'!N84,'Dry_Litterbag Placem_Collection'!Q84),"")</f>
        <v>25.5</v>
      </c>
      <c r="AJ303" s="270">
        <f>INDEX(Coordinates!$B$2:$B$197,MATCH(G303,Coordinates!$J$2:$J$197,0))</f>
        <v>-3.2957230040000001</v>
      </c>
      <c r="AK303" s="270">
        <f>INDEX(Coordinates!$C$2:$C$197,MATCH(G303,Coordinates!$J$2:$J$197,0))</f>
        <v>34.852416990000002</v>
      </c>
      <c r="AL303" s="270" t="str">
        <f>IF(ISNUMBER(SEARCH("C", 'Dry_Litterbag Placem_Collection'!T84)),"YES","NO")</f>
        <v>NO</v>
      </c>
      <c r="AM303" s="270" t="str">
        <f>IF(ISNUMBER(SEARCH("H", 'Dry_Litterbag Placem_Collection'!T84)),"YES","NO")</f>
        <v>NO</v>
      </c>
      <c r="AN303" s="270" t="str">
        <f>IF(ISNUMBER(SEARCH("R", 'Dry_Litterbag Placem_Collection'!T84)),"YES","NO")</f>
        <v>NO</v>
      </c>
    </row>
    <row r="304" spans="1:40" ht="15" customHeight="1">
      <c r="A304" s="262" t="s">
        <v>2659</v>
      </c>
      <c r="B304" s="263">
        <f>'Dry_Litterbag Placem_Collection'!A85</f>
        <v>83</v>
      </c>
      <c r="C304" s="263" t="str">
        <f>'Dry_Litterbag Placem_Collection'!B85</f>
        <v>Maswa</v>
      </c>
      <c r="D304" s="263" t="s">
        <v>2659</v>
      </c>
      <c r="E304" s="263" t="s">
        <v>2661</v>
      </c>
      <c r="F304" s="263">
        <v>3</v>
      </c>
      <c r="G304" s="264" t="str">
        <f>'Dry_Litterbag Placem_Collection'!C85</f>
        <v>Dry_W3_T3</v>
      </c>
      <c r="H304" s="265" t="s">
        <v>2541</v>
      </c>
      <c r="I304" s="272" t="s">
        <v>298</v>
      </c>
      <c r="J304" s="263" t="str">
        <f>IF(ISBLANK('Dry_Litterbag Placem_Collection'!K85),"","R"&amp;""&amp;'Dry_Litterbag Placem_Collection'!K85)</f>
        <v>R764</v>
      </c>
      <c r="K304" s="267">
        <f>IFERROR(INDEX('Green_rooibos initial weight'!$C$5:$C$1749,MATCH(J304, 'Green_rooibos initial weight'!$A$5:$A$1749,0)),"")</f>
        <v>2.2160000000000002</v>
      </c>
      <c r="L304" s="267">
        <f>IFERROR(K304-(TBIcalc!$Q$9+TBIcalc!$Q$10),"")</f>
        <v>1.9662000000000002</v>
      </c>
      <c r="M304" s="391">
        <f>AVERAGE(Ashed_controlls!$K$12:$K$14)</f>
        <v>2.2816647271287041</v>
      </c>
      <c r="N304" s="267">
        <f t="shared" si="21"/>
        <v>1.9213379081351956</v>
      </c>
      <c r="O304" s="267">
        <f>IF(IFERROR(INDEX('Both teabags AfterDry'!$D$3:$D$900,MATCH(J304,'Both teabags AfterDry'!$A$3:$A$900,0)),"")="","",(IFERROR(INDEX('Both teabags AfterDry'!$D$3:$D$900,MATCH(J304,'Both teabags AfterDry'!$A$3:$A$900,0)),"")))</f>
        <v>1.9178999999999999</v>
      </c>
      <c r="P304" s="267">
        <f>IFERROR(IF(O304&gt;0,O304-(TBIcalc!$Q$9),""),"")</f>
        <v>1.7672999999999999</v>
      </c>
      <c r="Q304" s="278">
        <f>IFERROR(INDEX('Ashed teabags dry'!$K$2:$K$825,MATCH(J304,'Ashed teabags dry'!$A$2:$A$825,0)),"")</f>
        <v>2.3591718825229306</v>
      </c>
      <c r="R304" s="278">
        <f t="shared" si="22"/>
        <v>1.7256063553201721</v>
      </c>
      <c r="S304" s="268">
        <f>'Dry_Litterbag Placem_Collection'!E85</f>
        <v>42937</v>
      </c>
      <c r="T304" s="268">
        <f>IF('Dry_Litterbag Placem_Collection'!G85="","",'Dry_Litterbag Placem_Collection'!G85)</f>
        <v>43006</v>
      </c>
      <c r="U304" s="269">
        <f t="shared" si="20"/>
        <v>69</v>
      </c>
      <c r="V304" s="267">
        <f t="shared" si="23"/>
        <v>0.1989000000000003</v>
      </c>
      <c r="W304" s="267">
        <f t="shared" si="24"/>
        <v>0.19573155281502341</v>
      </c>
      <c r="X304" s="271">
        <f>IFERROR(INDEX(Rainfall_Dry!$O$2:$O$217,MATCH(B304, Rainfall_Dry!$A$2:$A$217,0)),"")</f>
        <v>12.563016860999999</v>
      </c>
      <c r="Y304" s="260">
        <v>38.691629007962128</v>
      </c>
      <c r="Z304" s="260">
        <v>26.81299763288143</v>
      </c>
      <c r="AA304" s="260">
        <v>34.495373359156439</v>
      </c>
      <c r="AB304" s="261" t="s">
        <v>2675</v>
      </c>
      <c r="AC304" s="260">
        <v>4.5483587974371602</v>
      </c>
      <c r="AD304">
        <f>IF('WetLitterbags placem_collection'!AB85="","",'WetLitterbags placem_collection'!AB85)</f>
        <v>6.4</v>
      </c>
      <c r="AE304">
        <f>IF('WetLitterbags placem_collection'!Z85="","",'WetLitterbags placem_collection'!Z85)</f>
        <v>42</v>
      </c>
      <c r="AF304" s="246" t="str">
        <f>IF('WetLitterbags placem_collection'!AA85="","",'WetLitterbags placem_collection'!AA85)</f>
        <v>M</v>
      </c>
      <c r="AG304">
        <f>IF('WetLitterbags placem_collection'!AC85="","",'WetLitterbags placem_collection'!AC85)</f>
        <v>1</v>
      </c>
      <c r="AH304">
        <f>IFERROR(AVERAGE('Dry_Litterbag Placem_Collection'!O85,'Dry_Litterbag Placem_Collection'!R85),"")</f>
        <v>10.050000000000001</v>
      </c>
      <c r="AI304" s="271">
        <f>IFERROR(AVERAGE('Dry_Litterbag Placem_Collection'!N85,'Dry_Litterbag Placem_Collection'!Q85),"")</f>
        <v>26.05</v>
      </c>
      <c r="AJ304" s="270">
        <f>INDEX(Coordinates!$B$2:$B$197,MATCH(G304,Coordinates!$J$2:$J$197,0))</f>
        <v>-3.2957430369999998</v>
      </c>
      <c r="AK304" s="270">
        <f>INDEX(Coordinates!$C$2:$C$197,MATCH(G304,Coordinates!$J$2:$J$197,0))</f>
        <v>34.852309030000001</v>
      </c>
      <c r="AL304" s="270" t="str">
        <f>IF(ISNUMBER(SEARCH("C", 'Dry_Litterbag Placem_Collection'!T85)),"YES","NO")</f>
        <v>NO</v>
      </c>
      <c r="AM304" s="270" t="str">
        <f>IF(ISNUMBER(SEARCH("H", 'Dry_Litterbag Placem_Collection'!T85)),"YES","NO")</f>
        <v>NO</v>
      </c>
      <c r="AN304" s="270" t="str">
        <f>IF(ISNUMBER(SEARCH("R", 'Dry_Litterbag Placem_Collection'!T85)),"YES","NO")</f>
        <v>NO</v>
      </c>
    </row>
    <row r="305" spans="1:40" ht="15" customHeight="1">
      <c r="A305" s="262" t="s">
        <v>2659</v>
      </c>
      <c r="B305" s="263">
        <f>'Dry_Litterbag Placem_Collection'!A86</f>
        <v>84</v>
      </c>
      <c r="C305" s="263" t="str">
        <f>'Dry_Litterbag Placem_Collection'!B86</f>
        <v>Maswa</v>
      </c>
      <c r="D305" s="263" t="s">
        <v>2659</v>
      </c>
      <c r="E305" s="263" t="s">
        <v>2661</v>
      </c>
      <c r="F305" s="263">
        <v>3</v>
      </c>
      <c r="G305" s="264" t="str">
        <f>'Dry_Litterbag Placem_Collection'!C86</f>
        <v>Dry_W3_T4</v>
      </c>
      <c r="H305" s="265" t="s">
        <v>2541</v>
      </c>
      <c r="I305" s="272" t="s">
        <v>298</v>
      </c>
      <c r="J305" s="263" t="str">
        <f>IF(ISBLANK('Dry_Litterbag Placem_Collection'!K86),"","R"&amp;""&amp;'Dry_Litterbag Placem_Collection'!K86)</f>
        <v>R778</v>
      </c>
      <c r="K305" s="267">
        <f>IFERROR(INDEX('Green_rooibos initial weight'!$C$5:$C$1749,MATCH(J305, 'Green_rooibos initial weight'!$A$5:$A$1749,0)),"")</f>
        <v>2.2450000000000001</v>
      </c>
      <c r="L305" s="267">
        <f>IFERROR(K305-(TBIcalc!$Q$9+TBIcalc!$Q$10),"")</f>
        <v>1.9952000000000001</v>
      </c>
      <c r="M305" s="391">
        <f>AVERAGE(Ashed_controlls!$K$12:$K$14)</f>
        <v>2.2816647271287041</v>
      </c>
      <c r="N305" s="267">
        <f t="shared" si="21"/>
        <v>1.9496762253643283</v>
      </c>
      <c r="O305" s="267">
        <f>IF(IFERROR(INDEX('Both teabags AfterDry'!$D$3:$D$900,MATCH(J305,'Both teabags AfterDry'!$A$3:$A$900,0)),"")="","",(IFERROR(INDEX('Both teabags AfterDry'!$D$3:$D$900,MATCH(J305,'Both teabags AfterDry'!$A$3:$A$900,0)),"")))</f>
        <v>1.9495</v>
      </c>
      <c r="P305" s="267">
        <f>IFERROR(IF(O305&gt;0,O305-(TBIcalc!$Q$9),""),"")</f>
        <v>1.7988999999999999</v>
      </c>
      <c r="Q305" s="278">
        <f>IFERROR(INDEX('Ashed teabags dry'!$K$2:$K$825,MATCH(J305,'Ashed teabags dry'!$A$2:$A$825,0)),"")</f>
        <v>2.5398406374508733</v>
      </c>
      <c r="R305" s="278">
        <f t="shared" si="22"/>
        <v>1.7532108067728962</v>
      </c>
      <c r="S305" s="268">
        <f>'Dry_Litterbag Placem_Collection'!E86</f>
        <v>42937</v>
      </c>
      <c r="T305" s="268">
        <f>IF('Dry_Litterbag Placem_Collection'!G86="","",'Dry_Litterbag Placem_Collection'!G86)</f>
        <v>43006</v>
      </c>
      <c r="U305" s="269">
        <f t="shared" si="20"/>
        <v>69</v>
      </c>
      <c r="V305" s="267">
        <f t="shared" si="23"/>
        <v>0.19630000000000014</v>
      </c>
      <c r="W305" s="267">
        <f t="shared" si="24"/>
        <v>0.19646541859143207</v>
      </c>
      <c r="X305" s="271">
        <f>IFERROR(INDEX(Rainfall_Dry!$O$2:$O$217,MATCH(B305, Rainfall_Dry!$A$2:$A$217,0)),"")</f>
        <v>12.563016860999999</v>
      </c>
      <c r="Y305" s="260">
        <v>38.691629007962128</v>
      </c>
      <c r="Z305" s="260">
        <v>26.81299763288143</v>
      </c>
      <c r="AA305" s="260">
        <v>34.495373359156439</v>
      </c>
      <c r="AB305" s="261" t="s">
        <v>2675</v>
      </c>
      <c r="AC305" s="260">
        <v>5.5483587974371602</v>
      </c>
      <c r="AD305">
        <f>IF('WetLitterbags placem_collection'!AB86="","",'WetLitterbags placem_collection'!AB86)</f>
        <v>5.5</v>
      </c>
      <c r="AE305">
        <f>IF('WetLitterbags placem_collection'!Z86="","",'WetLitterbags placem_collection'!Z86)</f>
        <v>55.8</v>
      </c>
      <c r="AF305" s="246" t="str">
        <f>IF('WetLitterbags placem_collection'!AA86="","",'WetLitterbags placem_collection'!AA86)</f>
        <v>M</v>
      </c>
      <c r="AG305">
        <f>IF('WetLitterbags placem_collection'!AC86="","",'WetLitterbags placem_collection'!AC86)</f>
        <v>1</v>
      </c>
      <c r="AH305">
        <f>IFERROR(AVERAGE('Dry_Litterbag Placem_Collection'!O86,'Dry_Litterbag Placem_Collection'!R86),"")</f>
        <v>10.15</v>
      </c>
      <c r="AI305" s="271">
        <f>IFERROR(AVERAGE('Dry_Litterbag Placem_Collection'!N86,'Dry_Litterbag Placem_Collection'!Q86),"")</f>
        <v>26.549999999999997</v>
      </c>
      <c r="AJ305" s="270">
        <f>INDEX(Coordinates!$B$2:$B$197,MATCH(G305,Coordinates!$J$2:$J$197,0))</f>
        <v>-3.295795005</v>
      </c>
      <c r="AK305" s="270">
        <f>INDEX(Coordinates!$C$2:$C$197,MATCH(G305,Coordinates!$J$2:$J$197,0))</f>
        <v>34.85232001</v>
      </c>
      <c r="AL305" s="270" t="str">
        <f>IF(ISNUMBER(SEARCH("C", 'Dry_Litterbag Placem_Collection'!T86)),"YES","NO")</f>
        <v>NO</v>
      </c>
      <c r="AM305" s="270" t="str">
        <f>IF(ISNUMBER(SEARCH("H", 'Dry_Litterbag Placem_Collection'!T86)),"YES","NO")</f>
        <v>NO</v>
      </c>
      <c r="AN305" s="270" t="str">
        <f>IF(ISNUMBER(SEARCH("R", 'Dry_Litterbag Placem_Collection'!T86)),"YES","NO")</f>
        <v>NO</v>
      </c>
    </row>
    <row r="306" spans="1:40" ht="15" customHeight="1">
      <c r="A306" s="262" t="s">
        <v>2659</v>
      </c>
      <c r="B306" s="263">
        <f>'Dry_Litterbag Placem_Collection'!A87</f>
        <v>85</v>
      </c>
      <c r="C306" s="263" t="str">
        <f>'Dry_Litterbag Placem_Collection'!B87</f>
        <v>Maswa</v>
      </c>
      <c r="D306" s="263" t="s">
        <v>2659</v>
      </c>
      <c r="E306" s="263" t="s">
        <v>2661</v>
      </c>
      <c r="F306" s="263">
        <v>3</v>
      </c>
      <c r="G306" s="264" t="str">
        <f>'Dry_Litterbag Placem_Collection'!C87</f>
        <v>Dry_W3_T5</v>
      </c>
      <c r="H306" s="265" t="s">
        <v>2541</v>
      </c>
      <c r="I306" s="272" t="s">
        <v>298</v>
      </c>
      <c r="J306" s="263" t="str">
        <f>IF(ISBLANK('Dry_Litterbag Placem_Collection'!K87),"","R"&amp;""&amp;'Dry_Litterbag Placem_Collection'!K87)</f>
        <v/>
      </c>
      <c r="K306" s="267" t="str">
        <f>IFERROR(INDEX('Green_rooibos initial weight'!$C$5:$C$1749,MATCH(J306, 'Green_rooibos initial weight'!$A$5:$A$1749,0)),"")</f>
        <v/>
      </c>
      <c r="L306" s="267" t="str">
        <f>IFERROR(K306-(TBIcalc!$Q$9+TBIcalc!$Q$10),"")</f>
        <v/>
      </c>
      <c r="M306" s="391">
        <f>AVERAGE(Ashed_controlls!$K$12:$K$14)</f>
        <v>2.2816647271287041</v>
      </c>
      <c r="N306" s="267" t="str">
        <f t="shared" si="21"/>
        <v/>
      </c>
      <c r="O306" s="267" t="str">
        <f>IF(IFERROR(INDEX('Both teabags AfterDry'!$D$3:$D$900,MATCH(J306,'Both teabags AfterDry'!$A$3:$A$900,0)),"")="","",(IFERROR(INDEX('Both teabags AfterDry'!$D$3:$D$900,MATCH(J306,'Both teabags AfterDry'!$A$3:$A$900,0)),"")))</f>
        <v/>
      </c>
      <c r="P306" s="267" t="str">
        <f>IFERROR(IF(O306&gt;0,O306-(TBIcalc!$Q$9),""),"")</f>
        <v/>
      </c>
      <c r="Q306" s="278" t="str">
        <f>IFERROR(INDEX('Ashed teabags dry'!$K$2:$K$825,MATCH(J306,'Ashed teabags dry'!$A$2:$A$825,0)),"")</f>
        <v/>
      </c>
      <c r="R306" s="278" t="str">
        <f t="shared" si="22"/>
        <v/>
      </c>
      <c r="S306" s="268">
        <f>'Dry_Litterbag Placem_Collection'!E87</f>
        <v>0</v>
      </c>
      <c r="T306" s="268" t="str">
        <f>IF('Dry_Litterbag Placem_Collection'!G87="","",'Dry_Litterbag Placem_Collection'!G87)</f>
        <v/>
      </c>
      <c r="U306" s="269" t="str">
        <f t="shared" si="20"/>
        <v/>
      </c>
      <c r="V306" s="267" t="str">
        <f t="shared" si="23"/>
        <v/>
      </c>
      <c r="W306" s="267" t="str">
        <f t="shared" si="24"/>
        <v/>
      </c>
      <c r="X306" s="271" t="str">
        <f>IFERROR(INDEX(Rainfall_Dry!$O$2:$O$217,MATCH(B306, Rainfall_Dry!$A$2:$A$217,0)),"")</f>
        <v/>
      </c>
      <c r="Y306" s="260">
        <v>38.691629007962128</v>
      </c>
      <c r="Z306" s="260">
        <v>26.81299763288143</v>
      </c>
      <c r="AA306" s="260">
        <v>34.495373359156439</v>
      </c>
      <c r="AB306" s="261" t="s">
        <v>2675</v>
      </c>
      <c r="AC306" s="260">
        <v>6.5483587974371602</v>
      </c>
      <c r="AD306">
        <f>IF('WetLitterbags placem_collection'!AB87="","",'WetLitterbags placem_collection'!AB87)</f>
        <v>8.6</v>
      </c>
      <c r="AE306">
        <f>IF('WetLitterbags placem_collection'!Z87="","",'WetLitterbags placem_collection'!Z87)</f>
        <v>3.8</v>
      </c>
      <c r="AF306" s="246" t="str">
        <f>IF('WetLitterbags placem_collection'!AA87="","",'WetLitterbags placem_collection'!AA87)</f>
        <v>O</v>
      </c>
      <c r="AG306">
        <f>IF('WetLitterbags placem_collection'!AC87="","",'WetLitterbags placem_collection'!AC87)</f>
        <v>0</v>
      </c>
      <c r="AH306" t="str">
        <f>IFERROR(AVERAGE('Dry_Litterbag Placem_Collection'!O87,'Dry_Litterbag Placem_Collection'!R87),"")</f>
        <v/>
      </c>
      <c r="AI306" s="271" t="str">
        <f>IFERROR(AVERAGE('Dry_Litterbag Placem_Collection'!N87,'Dry_Litterbag Placem_Collection'!Q87),"")</f>
        <v/>
      </c>
      <c r="AJ306" s="270">
        <f>INDEX(Coordinates!$B$2:$B$197,MATCH(G306,Coordinates!$J$2:$J$197,0))</f>
        <v>-3.2957100119999998</v>
      </c>
      <c r="AK306" s="270">
        <f>INDEX(Coordinates!$C$2:$C$197,MATCH(G306,Coordinates!$J$2:$J$197,0))</f>
        <v>34.852283970000002</v>
      </c>
      <c r="AL306" s="270" t="str">
        <f>IF(ISNUMBER(SEARCH("C", 'Dry_Litterbag Placem_Collection'!T87)),"YES","NO")</f>
        <v>NO</v>
      </c>
      <c r="AM306" s="270" t="str">
        <f>IF(ISNUMBER(SEARCH("H", 'Dry_Litterbag Placem_Collection'!T87)),"YES","NO")</f>
        <v>NO</v>
      </c>
      <c r="AN306" s="270" t="str">
        <f>IF(ISNUMBER(SEARCH("R", 'Dry_Litterbag Placem_Collection'!T87)),"YES","NO")</f>
        <v>NO</v>
      </c>
    </row>
    <row r="307" spans="1:40" ht="15" customHeight="1">
      <c r="A307" s="262" t="s">
        <v>2659</v>
      </c>
      <c r="B307" s="263">
        <f>'Dry_Litterbag Placem_Collection'!A88</f>
        <v>86</v>
      </c>
      <c r="C307" s="263" t="str">
        <f>'Dry_Litterbag Placem_Collection'!B88</f>
        <v>Maswa</v>
      </c>
      <c r="D307" s="263" t="s">
        <v>2659</v>
      </c>
      <c r="E307" s="263" t="s">
        <v>2661</v>
      </c>
      <c r="F307" s="263">
        <v>3</v>
      </c>
      <c r="G307" s="264" t="str">
        <f>'Dry_Litterbag Placem_Collection'!C88</f>
        <v>Dry_W3_T6</v>
      </c>
      <c r="H307" s="265" t="s">
        <v>2541</v>
      </c>
      <c r="I307" s="272" t="s">
        <v>298</v>
      </c>
      <c r="J307" s="263" t="str">
        <f>IF(ISBLANK('Dry_Litterbag Placem_Collection'!K88),"","R"&amp;""&amp;'Dry_Litterbag Placem_Collection'!K88)</f>
        <v>R738</v>
      </c>
      <c r="K307" s="267">
        <f>IFERROR(INDEX('Green_rooibos initial weight'!$C$5:$C$1749,MATCH(J307, 'Green_rooibos initial weight'!$A$5:$A$1749,0)),"")</f>
        <v>2.1890000000000001</v>
      </c>
      <c r="L307" s="267">
        <f>IFERROR(K307-(TBIcalc!$Q$9+TBIcalc!$Q$10),"")</f>
        <v>1.9392</v>
      </c>
      <c r="M307" s="391">
        <f>AVERAGE(Ashed_controlls!$K$12:$K$14)</f>
        <v>2.2816647271287041</v>
      </c>
      <c r="N307" s="267">
        <f t="shared" si="21"/>
        <v>1.8949539576115202</v>
      </c>
      <c r="O307" s="267" t="str">
        <f>IF(IFERROR(INDEX('Both teabags AfterDry'!$D$3:$D$900,MATCH(J307,'Both teabags AfterDry'!$A$3:$A$900,0)),"")="","",(IFERROR(INDEX('Both teabags AfterDry'!$D$3:$D$900,MATCH(J307,'Both teabags AfterDry'!$A$3:$A$900,0)),"")))</f>
        <v/>
      </c>
      <c r="P307" s="267" t="str">
        <f>IFERROR(IF(O307&gt;0,O307-(TBIcalc!$Q$9),""),"")</f>
        <v/>
      </c>
      <c r="Q307" s="278" t="str">
        <f>IFERROR(INDEX('Ashed teabags dry'!$K$2:$K$825,MATCH(J307,'Ashed teabags dry'!$A$2:$A$825,0)),"")</f>
        <v/>
      </c>
      <c r="R307" s="278" t="str">
        <f t="shared" si="22"/>
        <v/>
      </c>
      <c r="S307" s="268">
        <f>'Dry_Litterbag Placem_Collection'!E88</f>
        <v>42937</v>
      </c>
      <c r="T307" s="268">
        <f>IF('Dry_Litterbag Placem_Collection'!G88="","",'Dry_Litterbag Placem_Collection'!G88)</f>
        <v>43006</v>
      </c>
      <c r="U307" s="269">
        <f t="shared" si="20"/>
        <v>69</v>
      </c>
      <c r="V307" s="267" t="str">
        <f t="shared" si="23"/>
        <v/>
      </c>
      <c r="W307" s="267" t="str">
        <f t="shared" si="24"/>
        <v/>
      </c>
      <c r="X307" s="271">
        <f>IFERROR(INDEX(Rainfall_Dry!$O$2:$O$217,MATCH(B307, Rainfall_Dry!$A$2:$A$217,0)),"")</f>
        <v>12.563016860999999</v>
      </c>
      <c r="Y307" s="260">
        <v>38.691629007962128</v>
      </c>
      <c r="Z307" s="260">
        <v>26.81299763288143</v>
      </c>
      <c r="AA307" s="260">
        <v>34.495373359156439</v>
      </c>
      <c r="AB307" s="261" t="s">
        <v>2675</v>
      </c>
      <c r="AC307" s="260">
        <v>7.5483587974371602</v>
      </c>
      <c r="AD307">
        <f>IF('WetLitterbags placem_collection'!AB88="","",'WetLitterbags placem_collection'!AB88)</f>
        <v>3.7</v>
      </c>
      <c r="AE307">
        <f>IF('WetLitterbags placem_collection'!Z88="","",'WetLitterbags placem_collection'!Z88)</f>
        <v>7.5</v>
      </c>
      <c r="AF307" s="246" t="str">
        <f>IF('WetLitterbags placem_collection'!AA88="","",'WetLitterbags placem_collection'!AA88)</f>
        <v>O</v>
      </c>
      <c r="AG307">
        <f>IF('WetLitterbags placem_collection'!AC88="","",'WetLitterbags placem_collection'!AC88)</f>
        <v>0</v>
      </c>
      <c r="AH307">
        <f>IFERROR(AVERAGE('Dry_Litterbag Placem_Collection'!O88,'Dry_Litterbag Placem_Collection'!R88),"")</f>
        <v>11.75</v>
      </c>
      <c r="AI307" s="271">
        <f>IFERROR(AVERAGE('Dry_Litterbag Placem_Collection'!N88,'Dry_Litterbag Placem_Collection'!Q88),"")</f>
        <v>26.9</v>
      </c>
      <c r="AJ307" s="270">
        <f>INDEX(Coordinates!$B$2:$B$197,MATCH(G307,Coordinates!$J$2:$J$197,0))</f>
        <v>-3.2956140399999998</v>
      </c>
      <c r="AK307" s="270">
        <f>INDEX(Coordinates!$C$2:$C$197,MATCH(G307,Coordinates!$J$2:$J$197,0))</f>
        <v>34.852137030000002</v>
      </c>
      <c r="AL307" s="270" t="str">
        <f>IF(ISNUMBER(SEARCH("C", 'Dry_Litterbag Placem_Collection'!T88)),"YES","NO")</f>
        <v>NO</v>
      </c>
      <c r="AM307" s="270" t="str">
        <f>IF(ISNUMBER(SEARCH("H", 'Dry_Litterbag Placem_Collection'!T88)),"YES","NO")</f>
        <v>NO</v>
      </c>
      <c r="AN307" s="270" t="str">
        <f>IF(ISNUMBER(SEARCH("R", 'Dry_Litterbag Placem_Collection'!T88)),"YES","NO")</f>
        <v>NO</v>
      </c>
    </row>
    <row r="308" spans="1:40" ht="15" customHeight="1">
      <c r="A308" s="262" t="s">
        <v>2659</v>
      </c>
      <c r="B308" s="263">
        <f>'Dry_Litterbag Placem_Collection'!A89</f>
        <v>87</v>
      </c>
      <c r="C308" s="263" t="str">
        <f>'Dry_Litterbag Placem_Collection'!B89</f>
        <v>Maswa</v>
      </c>
      <c r="D308" s="263" t="s">
        <v>2659</v>
      </c>
      <c r="E308" s="263" t="s">
        <v>2661</v>
      </c>
      <c r="F308" s="263">
        <v>3</v>
      </c>
      <c r="G308" s="264" t="str">
        <f>'Dry_Litterbag Placem_Collection'!C89</f>
        <v>Dry_W3_T7</v>
      </c>
      <c r="H308" s="265" t="s">
        <v>2541</v>
      </c>
      <c r="I308" s="272" t="s">
        <v>298</v>
      </c>
      <c r="J308" s="263" t="str">
        <f>IF(ISBLANK('Dry_Litterbag Placem_Collection'!K89),"","R"&amp;""&amp;'Dry_Litterbag Placem_Collection'!K89)</f>
        <v>R394</v>
      </c>
      <c r="K308" s="267">
        <f>IFERROR(INDEX('Green_rooibos initial weight'!$C$5:$C$1749,MATCH(J308, 'Green_rooibos initial weight'!$A$5:$A$1749,0)),"")</f>
        <v>2.1800000000000002</v>
      </c>
      <c r="L308" s="267">
        <f>IFERROR(K308-(TBIcalc!$Q$9+TBIcalc!$Q$10),"")</f>
        <v>1.9302000000000001</v>
      </c>
      <c r="M308" s="391">
        <f>AVERAGE(Ashed_controlls!$K$12:$K$14)</f>
        <v>2.2816647271287041</v>
      </c>
      <c r="N308" s="267">
        <f t="shared" si="21"/>
        <v>1.8861593074369618</v>
      </c>
      <c r="O308" s="267">
        <f>IF(IFERROR(INDEX('Both teabags AfterDry'!$D$3:$D$900,MATCH(J308,'Both teabags AfterDry'!$A$3:$A$900,0)),"")="","",(IFERROR(INDEX('Both teabags AfterDry'!$D$3:$D$900,MATCH(J308,'Both teabags AfterDry'!$A$3:$A$900,0)),"")))</f>
        <v>1.9392</v>
      </c>
      <c r="P308" s="267">
        <f>IFERROR(IF(O308&gt;0,O308-(TBIcalc!$Q$9),""),"")</f>
        <v>1.7886</v>
      </c>
      <c r="Q308" s="278">
        <f>IFERROR(INDEX('Ashed teabags dry'!$K$2:$K$825,MATCH(J308,'Ashed teabags dry'!$A$2:$A$825,0)),"")</f>
        <v>3.1437125748499946</v>
      </c>
      <c r="R308" s="278">
        <f t="shared" si="22"/>
        <v>1.732371556886233</v>
      </c>
      <c r="S308" s="268">
        <f>'Dry_Litterbag Placem_Collection'!E89</f>
        <v>42937</v>
      </c>
      <c r="T308" s="268">
        <f>IF('Dry_Litterbag Placem_Collection'!G89="","",'Dry_Litterbag Placem_Collection'!G89)</f>
        <v>43006</v>
      </c>
      <c r="U308" s="269">
        <f t="shared" si="20"/>
        <v>69</v>
      </c>
      <c r="V308" s="267">
        <f t="shared" si="23"/>
        <v>0.14160000000000017</v>
      </c>
      <c r="W308" s="267">
        <f t="shared" si="24"/>
        <v>0.1537877505507288</v>
      </c>
      <c r="X308" s="271">
        <f>IFERROR(INDEX(Rainfall_Dry!$O$2:$O$217,MATCH(B308, Rainfall_Dry!$A$2:$A$217,0)),"")</f>
        <v>12.563016860999999</v>
      </c>
      <c r="Y308" s="260">
        <v>38.691629007962128</v>
      </c>
      <c r="Z308" s="260">
        <v>26.81299763288143</v>
      </c>
      <c r="AA308" s="260">
        <v>34.495373359156439</v>
      </c>
      <c r="AB308" s="261" t="s">
        <v>2675</v>
      </c>
      <c r="AC308" s="260">
        <v>8.5483587974371602</v>
      </c>
      <c r="AD308">
        <f>IF('WetLitterbags placem_collection'!AB89="","",'WetLitterbags placem_collection'!AB89)</f>
        <v>7.5</v>
      </c>
      <c r="AE308">
        <f>IF('WetLitterbags placem_collection'!Z89="","",'WetLitterbags placem_collection'!Z89)</f>
        <v>12.6</v>
      </c>
      <c r="AF308" s="246" t="str">
        <f>IF('WetLitterbags placem_collection'!AA89="","",'WetLitterbags placem_collection'!AA89)</f>
        <v>O</v>
      </c>
      <c r="AG308">
        <f>IF('WetLitterbags placem_collection'!AC89="","",'WetLitterbags placem_collection'!AC89)</f>
        <v>1</v>
      </c>
      <c r="AH308">
        <f>IFERROR(AVERAGE('Dry_Litterbag Placem_Collection'!O89,'Dry_Litterbag Placem_Collection'!R89),"")</f>
        <v>10.65</v>
      </c>
      <c r="AI308" s="271">
        <f>IFERROR(AVERAGE('Dry_Litterbag Placem_Collection'!N89,'Dry_Litterbag Placem_Collection'!Q89),"")</f>
        <v>24.3</v>
      </c>
      <c r="AJ308" s="270">
        <f>INDEX(Coordinates!$B$2:$B$197,MATCH(G308,Coordinates!$J$2:$J$197,0))</f>
        <v>-3.295904975</v>
      </c>
      <c r="AK308" s="270">
        <f>INDEX(Coordinates!$C$2:$C$197,MATCH(G308,Coordinates!$J$2:$J$197,0))</f>
        <v>34.852136029999997</v>
      </c>
      <c r="AL308" s="270" t="str">
        <f>IF(ISNUMBER(SEARCH("C", 'Dry_Litterbag Placem_Collection'!T89)),"YES","NO")</f>
        <v>NO</v>
      </c>
      <c r="AM308" s="270" t="str">
        <f>IF(ISNUMBER(SEARCH("H", 'Dry_Litterbag Placem_Collection'!T89)),"YES","NO")</f>
        <v>NO</v>
      </c>
      <c r="AN308" s="270" t="str">
        <f>IF(ISNUMBER(SEARCH("R", 'Dry_Litterbag Placem_Collection'!T89)),"YES","NO")</f>
        <v>NO</v>
      </c>
    </row>
    <row r="309" spans="1:40" ht="15" customHeight="1">
      <c r="A309" s="262" t="s">
        <v>2659</v>
      </c>
      <c r="B309" s="263">
        <f>'Dry_Litterbag Placem_Collection'!A90</f>
        <v>88</v>
      </c>
      <c r="C309" s="263" t="str">
        <f>'Dry_Litterbag Placem_Collection'!B90</f>
        <v>Maswa</v>
      </c>
      <c r="D309" s="263" t="s">
        <v>2659</v>
      </c>
      <c r="E309" s="263" t="s">
        <v>2661</v>
      </c>
      <c r="F309" s="263">
        <v>3</v>
      </c>
      <c r="G309" s="264" t="str">
        <f>'Dry_Litterbag Placem_Collection'!C90</f>
        <v>Dry_W3_T8</v>
      </c>
      <c r="H309" s="265" t="s">
        <v>2541</v>
      </c>
      <c r="I309" s="272" t="s">
        <v>298</v>
      </c>
      <c r="J309" s="263" t="str">
        <f>IF(ISBLANK('Dry_Litterbag Placem_Collection'!K90),"","R"&amp;""&amp;'Dry_Litterbag Placem_Collection'!K90)</f>
        <v>R819</v>
      </c>
      <c r="K309" s="267">
        <f>IFERROR(INDEX('Green_rooibos initial weight'!$C$5:$C$1749,MATCH(J309, 'Green_rooibos initial weight'!$A$5:$A$1749,0)),"")</f>
        <v>2.16</v>
      </c>
      <c r="L309" s="267">
        <f>IFERROR(K309-(TBIcalc!$Q$9+TBIcalc!$Q$10),"")</f>
        <v>1.9102000000000001</v>
      </c>
      <c r="M309" s="391">
        <f>AVERAGE(Ashed_controlls!$K$12:$K$14)</f>
        <v>2.2816647271287041</v>
      </c>
      <c r="N309" s="267">
        <f t="shared" si="21"/>
        <v>1.8666156403823877</v>
      </c>
      <c r="O309" s="267">
        <f>IF(IFERROR(INDEX('Both teabags AfterDry'!$D$3:$D$900,MATCH(J309,'Both teabags AfterDry'!$A$3:$A$900,0)),"")="","",(IFERROR(INDEX('Both teabags AfterDry'!$D$3:$D$900,MATCH(J309,'Both teabags AfterDry'!$A$3:$A$900,0)),"")))</f>
        <v>2.8028</v>
      </c>
      <c r="P309" s="267">
        <f>IFERROR(IF(O309&gt;0,O309-(TBIcalc!$Q$9),""),"")</f>
        <v>2.6522000000000001</v>
      </c>
      <c r="Q309" s="278">
        <f>IFERROR(INDEX('Ashed teabags dry'!$K$2:$K$825,MATCH(J309,'Ashed teabags dry'!$A$2:$A$825,0)),"")</f>
        <v>86.93858845096193</v>
      </c>
      <c r="R309" s="278">
        <f t="shared" si="22"/>
        <v>0.3464147571035876</v>
      </c>
      <c r="S309" s="268">
        <f>'Dry_Litterbag Placem_Collection'!E90</f>
        <v>42937</v>
      </c>
      <c r="T309" s="268">
        <f>IF('Dry_Litterbag Placem_Collection'!G90="","",'Dry_Litterbag Placem_Collection'!G90)</f>
        <v>43006</v>
      </c>
      <c r="U309" s="269">
        <f t="shared" si="20"/>
        <v>69</v>
      </c>
      <c r="V309" s="267">
        <f t="shared" si="23"/>
        <v>-0.74199999999999999</v>
      </c>
      <c r="W309" s="267">
        <f t="shared" si="24"/>
        <v>1.5202008832788001</v>
      </c>
      <c r="X309" s="271">
        <f>IFERROR(INDEX(Rainfall_Dry!$O$2:$O$217,MATCH(B309, Rainfall_Dry!$A$2:$A$217,0)),"")</f>
        <v>12.563016860999999</v>
      </c>
      <c r="Y309" s="260">
        <v>38.691629007962128</v>
      </c>
      <c r="Z309" s="260">
        <v>26.81299763288143</v>
      </c>
      <c r="AA309" s="260">
        <v>34.495373359156439</v>
      </c>
      <c r="AB309" s="261" t="s">
        <v>2675</v>
      </c>
      <c r="AC309" s="260">
        <v>9.5483587974371602</v>
      </c>
      <c r="AD309" t="str">
        <f>IF('WetLitterbags placem_collection'!AB90="","",'WetLitterbags placem_collection'!AB90)</f>
        <v/>
      </c>
      <c r="AE309" t="str">
        <f>IF('WetLitterbags placem_collection'!Z90="","",'WetLitterbags placem_collection'!Z90)</f>
        <v/>
      </c>
      <c r="AF309" s="246" t="str">
        <f>IF('WetLitterbags placem_collection'!AA90="","",'WetLitterbags placem_collection'!AA90)</f>
        <v/>
      </c>
      <c r="AG309" t="str">
        <f>IF('WetLitterbags placem_collection'!AC90="","",'WetLitterbags placem_collection'!AC90)</f>
        <v/>
      </c>
      <c r="AH309">
        <f>IFERROR(AVERAGE('Dry_Litterbag Placem_Collection'!O90,'Dry_Litterbag Placem_Collection'!R90),"")</f>
        <v>11.7</v>
      </c>
      <c r="AI309" s="271">
        <f>IFERROR(AVERAGE('Dry_Litterbag Placem_Collection'!N90,'Dry_Litterbag Placem_Collection'!Q90),"")</f>
        <v>26.049999999999997</v>
      </c>
      <c r="AJ309" s="270">
        <f>INDEX(Coordinates!$B$2:$B$197,MATCH(G309,Coordinates!$J$2:$J$197,0))</f>
        <v>-3.2959530039999998</v>
      </c>
      <c r="AK309" s="270">
        <f>INDEX(Coordinates!$C$2:$C$197,MATCH(G309,Coordinates!$J$2:$J$197,0))</f>
        <v>34.85242504</v>
      </c>
      <c r="AL309" s="270" t="str">
        <f>IF(ISNUMBER(SEARCH("C", 'Dry_Litterbag Placem_Collection'!T90)),"YES","NO")</f>
        <v>NO</v>
      </c>
      <c r="AM309" s="270" t="str">
        <f>IF(ISNUMBER(SEARCH("H", 'Dry_Litterbag Placem_Collection'!T90)),"YES","NO")</f>
        <v>NO</v>
      </c>
      <c r="AN309" s="270" t="str">
        <f>IF(ISNUMBER(SEARCH("R", 'Dry_Litterbag Placem_Collection'!T90)),"YES","NO")</f>
        <v>NO</v>
      </c>
    </row>
    <row r="310" spans="1:40" ht="15" customHeight="1">
      <c r="A310" s="262" t="s">
        <v>2659</v>
      </c>
      <c r="B310" s="263">
        <f>'Dry_Litterbag Placem_Collection'!A91</f>
        <v>89</v>
      </c>
      <c r="C310" s="263" t="str">
        <f>'Dry_Litterbag Placem_Collection'!B91</f>
        <v>Maswa</v>
      </c>
      <c r="D310" s="263" t="s">
        <v>2659</v>
      </c>
      <c r="E310" s="263" t="s">
        <v>2661</v>
      </c>
      <c r="F310" s="263">
        <v>4</v>
      </c>
      <c r="G310" s="264" t="str">
        <f>'Dry_Litterbag Placem_Collection'!C91</f>
        <v>Dry_W4_T1</v>
      </c>
      <c r="H310" s="265" t="s">
        <v>2541</v>
      </c>
      <c r="I310" s="272" t="s">
        <v>298</v>
      </c>
      <c r="J310" s="263" t="str">
        <f>IF(ISBLANK('Dry_Litterbag Placem_Collection'!K91),"","R"&amp;""&amp;'Dry_Litterbag Placem_Collection'!K91)</f>
        <v>R818</v>
      </c>
      <c r="K310" s="267">
        <f>IFERROR(INDEX('Green_rooibos initial weight'!$C$5:$C$1749,MATCH(J310, 'Green_rooibos initial weight'!$A$5:$A$1749,0)),"")</f>
        <v>2.1680000000000001</v>
      </c>
      <c r="L310" s="267">
        <f>IFERROR(K310-(TBIcalc!$Q$9+TBIcalc!$Q$10),"")</f>
        <v>1.9182000000000001</v>
      </c>
      <c r="M310" s="391">
        <f>AVERAGE(Ashed_controlls!$K$12:$K$14)</f>
        <v>2.2816647271287041</v>
      </c>
      <c r="N310" s="267">
        <f t="shared" si="21"/>
        <v>1.8744331072042173</v>
      </c>
      <c r="O310" s="267">
        <f>IF(IFERROR(INDEX('Both teabags AfterDry'!$D$3:$D$900,MATCH(J310,'Both teabags AfterDry'!$A$3:$A$900,0)),"")="","",(IFERROR(INDEX('Both teabags AfterDry'!$D$3:$D$900,MATCH(J310,'Both teabags AfterDry'!$A$3:$A$900,0)),"")))</f>
        <v>1.9155</v>
      </c>
      <c r="P310" s="267">
        <f>IFERROR(IF(O310&gt;0,O310-(TBIcalc!$Q$9),""),"")</f>
        <v>1.7648999999999999</v>
      </c>
      <c r="Q310" s="278">
        <f>IFERROR(INDEX('Ashed teabags dry'!$K$2:$K$825,MATCH(J310,'Ashed teabags dry'!$A$2:$A$825,0)),"")</f>
        <v>2.8114396509937518</v>
      </c>
      <c r="R310" s="278">
        <f t="shared" si="22"/>
        <v>1.7152809015996111</v>
      </c>
      <c r="S310" s="268">
        <f>'Dry_Litterbag Placem_Collection'!E91</f>
        <v>42937</v>
      </c>
      <c r="T310" s="268">
        <f>IF('Dry_Litterbag Placem_Collection'!G91="","",'Dry_Litterbag Placem_Collection'!G91)</f>
        <v>43006</v>
      </c>
      <c r="U310" s="269">
        <f t="shared" si="20"/>
        <v>69</v>
      </c>
      <c r="V310" s="267">
        <f t="shared" si="23"/>
        <v>0.15330000000000021</v>
      </c>
      <c r="W310" s="267">
        <f t="shared" si="24"/>
        <v>0.15915220560460619</v>
      </c>
      <c r="X310" s="271">
        <f>IFERROR(INDEX(Rainfall_Dry!$O$2:$O$217,MATCH(B310, Rainfall_Dry!$A$2:$A$217,0)),"")</f>
        <v>12.563016860999999</v>
      </c>
      <c r="Y310" s="260">
        <v>28.145762029394</v>
      </c>
      <c r="Z310" s="260">
        <v>25.085564727199518</v>
      </c>
      <c r="AA310" s="260">
        <v>46.768673243406489</v>
      </c>
      <c r="AB310" s="261" t="s">
        <v>2670</v>
      </c>
      <c r="AC310" s="260">
        <v>2.1716214884179394</v>
      </c>
      <c r="AD310">
        <f>IF('WetLitterbags placem_collection'!AB91="","",'WetLitterbags placem_collection'!AB91)</f>
        <v>7.3</v>
      </c>
      <c r="AE310">
        <f>IF('WetLitterbags placem_collection'!Z91="","",'WetLitterbags placem_collection'!Z91)</f>
        <v>35.799999999999997</v>
      </c>
      <c r="AF310" s="246" t="str">
        <f>IF('WetLitterbags placem_collection'!AA91="","",'WetLitterbags placem_collection'!AA91)</f>
        <v>O</v>
      </c>
      <c r="AG310">
        <f>IF('WetLitterbags placem_collection'!AC91="","",'WetLitterbags placem_collection'!AC91)</f>
        <v>0</v>
      </c>
      <c r="AH310">
        <f>IFERROR(AVERAGE('Dry_Litterbag Placem_Collection'!O91,'Dry_Litterbag Placem_Collection'!R91),"")</f>
        <v>10.5</v>
      </c>
      <c r="AI310" s="271">
        <f>IFERROR(AVERAGE('Dry_Litterbag Placem_Collection'!N91,'Dry_Litterbag Placem_Collection'!Q91),"")</f>
        <v>26.6</v>
      </c>
      <c r="AJ310" s="270">
        <f>INDEX(Coordinates!$B$2:$B$197,MATCH(G310,Coordinates!$J$2:$J$197,0))</f>
        <v>-3.2966709980000002</v>
      </c>
      <c r="AK310" s="270">
        <f>INDEX(Coordinates!$C$2:$C$197,MATCH(G310,Coordinates!$J$2:$J$197,0))</f>
        <v>34.854407019999996</v>
      </c>
      <c r="AL310" s="270" t="str">
        <f>IF(ISNUMBER(SEARCH("C", 'Dry_Litterbag Placem_Collection'!T91)),"YES","NO")</f>
        <v>NO</v>
      </c>
      <c r="AM310" s="270" t="str">
        <f>IF(ISNUMBER(SEARCH("H", 'Dry_Litterbag Placem_Collection'!T91)),"YES","NO")</f>
        <v>NO</v>
      </c>
      <c r="AN310" s="270" t="str">
        <f>IF(ISNUMBER(SEARCH("R", 'Dry_Litterbag Placem_Collection'!T91)),"YES","NO")</f>
        <v>NO</v>
      </c>
    </row>
    <row r="311" spans="1:40" ht="15" customHeight="1">
      <c r="A311" s="262" t="s">
        <v>2659</v>
      </c>
      <c r="B311" s="263">
        <f>'Dry_Litterbag Placem_Collection'!A92</f>
        <v>90</v>
      </c>
      <c r="C311" s="263" t="str">
        <f>'Dry_Litterbag Placem_Collection'!B92</f>
        <v>Maswa</v>
      </c>
      <c r="D311" s="263" t="s">
        <v>2659</v>
      </c>
      <c r="E311" s="263" t="s">
        <v>2661</v>
      </c>
      <c r="F311" s="263">
        <v>4</v>
      </c>
      <c r="G311" s="264" t="str">
        <f>'Dry_Litterbag Placem_Collection'!C92</f>
        <v>Dry_W4_T2</v>
      </c>
      <c r="H311" s="265" t="s">
        <v>2541</v>
      </c>
      <c r="I311" s="272" t="s">
        <v>298</v>
      </c>
      <c r="J311" s="263" t="str">
        <f>IF(ISBLANK('Dry_Litterbag Placem_Collection'!K92),"","R"&amp;""&amp;'Dry_Litterbag Placem_Collection'!K92)</f>
        <v>R767</v>
      </c>
      <c r="K311" s="267">
        <f>IFERROR(INDEX('Green_rooibos initial weight'!$C$5:$C$1749,MATCH(J311, 'Green_rooibos initial weight'!$A$5:$A$1749,0)),"")</f>
        <v>2.1890000000000001</v>
      </c>
      <c r="L311" s="267">
        <f>IFERROR(K311-(TBIcalc!$Q$9+TBIcalc!$Q$10),"")</f>
        <v>1.9392</v>
      </c>
      <c r="M311" s="391">
        <f>AVERAGE(Ashed_controlls!$K$12:$K$14)</f>
        <v>2.2816647271287041</v>
      </c>
      <c r="N311" s="267">
        <f t="shared" si="21"/>
        <v>1.8949539576115202</v>
      </c>
      <c r="O311" s="267" t="str">
        <f>IF(IFERROR(INDEX('Both teabags AfterDry'!$D$3:$D$900,MATCH(J311,'Both teabags AfterDry'!$A$3:$A$900,0)),"")="","",(IFERROR(INDEX('Both teabags AfterDry'!$D$3:$D$900,MATCH(J311,'Both teabags AfterDry'!$A$3:$A$900,0)),"")))</f>
        <v/>
      </c>
      <c r="P311" s="267" t="str">
        <f>IFERROR(IF(O311&gt;0,O311-(TBIcalc!$Q$9),""),"")</f>
        <v/>
      </c>
      <c r="Q311" s="278" t="str">
        <f>IFERROR(INDEX('Ashed teabags dry'!$K$2:$K$825,MATCH(J311,'Ashed teabags dry'!$A$2:$A$825,0)),"")</f>
        <v/>
      </c>
      <c r="R311" s="278" t="str">
        <f t="shared" si="22"/>
        <v/>
      </c>
      <c r="S311" s="268">
        <f>'Dry_Litterbag Placem_Collection'!E92</f>
        <v>42937</v>
      </c>
      <c r="T311" s="268">
        <f>IF('Dry_Litterbag Placem_Collection'!G92="","",'Dry_Litterbag Placem_Collection'!G92)</f>
        <v>43006</v>
      </c>
      <c r="U311" s="269">
        <f t="shared" si="20"/>
        <v>69</v>
      </c>
      <c r="V311" s="267" t="str">
        <f t="shared" si="23"/>
        <v/>
      </c>
      <c r="W311" s="267" t="str">
        <f t="shared" si="24"/>
        <v/>
      </c>
      <c r="X311" s="271">
        <f>IFERROR(INDEX(Rainfall_Dry!$O$2:$O$217,MATCH(B311, Rainfall_Dry!$A$2:$A$217,0)),"")</f>
        <v>12.563016860999999</v>
      </c>
      <c r="Y311" s="260">
        <v>28.145762029394</v>
      </c>
      <c r="Z311" s="260">
        <v>25.085564727199518</v>
      </c>
      <c r="AA311" s="260">
        <v>46.768673243406489</v>
      </c>
      <c r="AB311" s="261" t="s">
        <v>2670</v>
      </c>
      <c r="AC311" s="260">
        <v>3.1716214884179399</v>
      </c>
      <c r="AD311">
        <f>IF('WetLitterbags placem_collection'!AB92="","",'WetLitterbags placem_collection'!AB92)</f>
        <v>7.7</v>
      </c>
      <c r="AE311">
        <f>IF('WetLitterbags placem_collection'!Z92="","",'WetLitterbags placem_collection'!Z92)</f>
        <v>30.4</v>
      </c>
      <c r="AF311" s="246" t="str">
        <f>IF('WetLitterbags placem_collection'!AA92="","",'WetLitterbags placem_collection'!AA92)</f>
        <v>O</v>
      </c>
      <c r="AG311">
        <f>IF('WetLitterbags placem_collection'!AC92="","",'WetLitterbags placem_collection'!AC92)</f>
        <v>0</v>
      </c>
      <c r="AH311">
        <f>IFERROR(AVERAGE('Dry_Litterbag Placem_Collection'!O92,'Dry_Litterbag Placem_Collection'!R92),"")</f>
        <v>9.85</v>
      </c>
      <c r="AI311" s="271">
        <f>IFERROR(AVERAGE('Dry_Litterbag Placem_Collection'!N92,'Dry_Litterbag Placem_Collection'!Q92),"")</f>
        <v>26.45</v>
      </c>
      <c r="AJ311" s="270">
        <f>INDEX(Coordinates!$B$2:$B$197,MATCH(G311,Coordinates!$J$2:$J$197,0))</f>
        <v>-3.2966860009999999</v>
      </c>
      <c r="AK311" s="270">
        <f>INDEX(Coordinates!$C$2:$C$197,MATCH(G311,Coordinates!$J$2:$J$197,0))</f>
        <v>34.854371989999997</v>
      </c>
      <c r="AL311" s="270" t="str">
        <f>IF(ISNUMBER(SEARCH("C", 'Dry_Litterbag Placem_Collection'!T92)),"YES","NO")</f>
        <v>NO</v>
      </c>
      <c r="AM311" s="270" t="str">
        <f>IF(ISNUMBER(SEARCH("H", 'Dry_Litterbag Placem_Collection'!T92)),"YES","NO")</f>
        <v>NO</v>
      </c>
      <c r="AN311" s="270" t="str">
        <f>IF(ISNUMBER(SEARCH("R", 'Dry_Litterbag Placem_Collection'!T92)),"YES","NO")</f>
        <v>NO</v>
      </c>
    </row>
    <row r="312" spans="1:40" ht="15" customHeight="1">
      <c r="A312" s="262" t="s">
        <v>2659</v>
      </c>
      <c r="B312" s="263">
        <f>'Dry_Litterbag Placem_Collection'!A93</f>
        <v>91</v>
      </c>
      <c r="C312" s="263" t="str">
        <f>'Dry_Litterbag Placem_Collection'!B93</f>
        <v>Maswa</v>
      </c>
      <c r="D312" s="263" t="s">
        <v>2659</v>
      </c>
      <c r="E312" s="263" t="s">
        <v>2661</v>
      </c>
      <c r="F312" s="263">
        <v>4</v>
      </c>
      <c r="G312" s="264" t="str">
        <f>'Dry_Litterbag Placem_Collection'!C93</f>
        <v>Dry_W4_T3</v>
      </c>
      <c r="H312" s="265" t="s">
        <v>2541</v>
      </c>
      <c r="I312" s="272" t="s">
        <v>298</v>
      </c>
      <c r="J312" s="263" t="str">
        <f>IF(ISBLANK('Dry_Litterbag Placem_Collection'!K93),"","R"&amp;""&amp;'Dry_Litterbag Placem_Collection'!K93)</f>
        <v>R787</v>
      </c>
      <c r="K312" s="267">
        <f>IFERROR(INDEX('Green_rooibos initial weight'!$C$5:$C$1749,MATCH(J312, 'Green_rooibos initial weight'!$A$5:$A$1749,0)),"")</f>
        <v>2.1579999999999999</v>
      </c>
      <c r="L312" s="267">
        <f>IFERROR(K312-(TBIcalc!$Q$9+TBIcalc!$Q$10),"")</f>
        <v>1.9081999999999999</v>
      </c>
      <c r="M312" s="391">
        <f>AVERAGE(Ashed_controlls!$K$12:$K$14)</f>
        <v>2.2816647271287041</v>
      </c>
      <c r="N312" s="267">
        <f t="shared" si="21"/>
        <v>1.8646612736769299</v>
      </c>
      <c r="O312" s="267">
        <f>IF(IFERROR(INDEX('Both teabags AfterDry'!$D$3:$D$900,MATCH(J312,'Both teabags AfterDry'!$A$3:$A$900,0)),"")="","",(IFERROR(INDEX('Both teabags AfterDry'!$D$3:$D$900,MATCH(J312,'Both teabags AfterDry'!$A$3:$A$900,0)),"")))</f>
        <v>1.8551</v>
      </c>
      <c r="P312" s="267">
        <f>IFERROR(IF(O312&gt;0,O312-(TBIcalc!$Q$9),""),"")</f>
        <v>1.7044999999999999</v>
      </c>
      <c r="Q312" s="278">
        <f>IFERROR(INDEX('Ashed teabags dry'!$K$2:$K$825,MATCH(J312,'Ashed teabags dry'!$A$2:$A$825,0)),"")</f>
        <v>3.5746606334838318</v>
      </c>
      <c r="R312" s="278">
        <f t="shared" si="22"/>
        <v>1.643569909502268</v>
      </c>
      <c r="S312" s="268">
        <f>'Dry_Litterbag Placem_Collection'!E93</f>
        <v>42937</v>
      </c>
      <c r="T312" s="268">
        <f>IF('Dry_Litterbag Placem_Collection'!G93="","",'Dry_Litterbag Placem_Collection'!G93)</f>
        <v>43006</v>
      </c>
      <c r="U312" s="269">
        <f t="shared" si="20"/>
        <v>69</v>
      </c>
      <c r="V312" s="267">
        <f t="shared" si="23"/>
        <v>0.20369999999999999</v>
      </c>
      <c r="W312" s="267">
        <f t="shared" si="24"/>
        <v>0.22109136417466191</v>
      </c>
      <c r="X312" s="271">
        <f>IFERROR(INDEX(Rainfall_Dry!$O$2:$O$217,MATCH(B312, Rainfall_Dry!$A$2:$A$217,0)),"")</f>
        <v>12.563016860999999</v>
      </c>
      <c r="Y312" s="260">
        <v>28.145762029394</v>
      </c>
      <c r="Z312" s="260">
        <v>25.085564727199518</v>
      </c>
      <c r="AA312" s="260">
        <v>46.768673243406489</v>
      </c>
      <c r="AB312" s="261" t="s">
        <v>2670</v>
      </c>
      <c r="AC312" s="260">
        <v>4.1716214884179399</v>
      </c>
      <c r="AD312">
        <f>IF('WetLitterbags placem_collection'!AB93="","",'WetLitterbags placem_collection'!AB93)</f>
        <v>6.1</v>
      </c>
      <c r="AE312">
        <f>IF('WetLitterbags placem_collection'!Z93="","",'WetLitterbags placem_collection'!Z93)</f>
        <v>39.4</v>
      </c>
      <c r="AF312" s="246" t="str">
        <f>IF('WetLitterbags placem_collection'!AA93="","",'WetLitterbags placem_collection'!AA93)</f>
        <v>O</v>
      </c>
      <c r="AG312">
        <f>IF('WetLitterbags placem_collection'!AC93="","",'WetLitterbags placem_collection'!AC93)</f>
        <v>1</v>
      </c>
      <c r="AH312">
        <f>IFERROR(AVERAGE('Dry_Litterbag Placem_Collection'!O93,'Dry_Litterbag Placem_Collection'!R93),"")</f>
        <v>10.95</v>
      </c>
      <c r="AI312" s="271">
        <f>IFERROR(AVERAGE('Dry_Litterbag Placem_Collection'!N93,'Dry_Litterbag Placem_Collection'!Q93),"")</f>
        <v>25.95</v>
      </c>
      <c r="AJ312" s="270">
        <f>INDEX(Coordinates!$B$2:$B$197,MATCH(G312,Coordinates!$J$2:$J$197,0))</f>
        <v>-3.2966180239999998</v>
      </c>
      <c r="AK312" s="270">
        <f>INDEX(Coordinates!$C$2:$C$197,MATCH(G312,Coordinates!$J$2:$J$197,0))</f>
        <v>34.854464020000002</v>
      </c>
      <c r="AL312" s="270" t="str">
        <f>IF(ISNUMBER(SEARCH("C", 'Dry_Litterbag Placem_Collection'!T93)),"YES","NO")</f>
        <v>NO</v>
      </c>
      <c r="AM312" s="270" t="str">
        <f>IF(ISNUMBER(SEARCH("H", 'Dry_Litterbag Placem_Collection'!T93)),"YES","NO")</f>
        <v>NO</v>
      </c>
      <c r="AN312" s="270" t="str">
        <f>IF(ISNUMBER(SEARCH("R", 'Dry_Litterbag Placem_Collection'!T93)),"YES","NO")</f>
        <v>NO</v>
      </c>
    </row>
    <row r="313" spans="1:40" ht="15" customHeight="1">
      <c r="A313" s="262" t="s">
        <v>2659</v>
      </c>
      <c r="B313" s="263">
        <f>'Dry_Litterbag Placem_Collection'!A94</f>
        <v>92</v>
      </c>
      <c r="C313" s="263" t="str">
        <f>'Dry_Litterbag Placem_Collection'!B94</f>
        <v>Maswa</v>
      </c>
      <c r="D313" s="263" t="s">
        <v>2659</v>
      </c>
      <c r="E313" s="263" t="s">
        <v>2661</v>
      </c>
      <c r="F313" s="263">
        <v>4</v>
      </c>
      <c r="G313" s="264" t="str">
        <f>'Dry_Litterbag Placem_Collection'!C94</f>
        <v>Dry_W4_T4</v>
      </c>
      <c r="H313" s="265" t="s">
        <v>2541</v>
      </c>
      <c r="I313" s="272" t="s">
        <v>298</v>
      </c>
      <c r="J313" s="263" t="str">
        <f>IF(ISBLANK('Dry_Litterbag Placem_Collection'!K94),"","R"&amp;""&amp;'Dry_Litterbag Placem_Collection'!K94)</f>
        <v>R812</v>
      </c>
      <c r="K313" s="267">
        <f>IFERROR(INDEX('Green_rooibos initial weight'!$C$5:$C$1749,MATCH(J313, 'Green_rooibos initial weight'!$A$5:$A$1749,0)),"")</f>
        <v>2.1819999999999999</v>
      </c>
      <c r="L313" s="267">
        <f>IFERROR(K313-(TBIcalc!$Q$9+TBIcalc!$Q$10),"")</f>
        <v>1.9321999999999999</v>
      </c>
      <c r="M313" s="391">
        <f>AVERAGE(Ashed_controlls!$K$12:$K$14)</f>
        <v>2.2816647271287041</v>
      </c>
      <c r="N313" s="267">
        <f t="shared" si="21"/>
        <v>1.8881136741424192</v>
      </c>
      <c r="O313" s="267">
        <f>IF(IFERROR(INDEX('Both teabags AfterDry'!$D$3:$D$900,MATCH(J313,'Both teabags AfterDry'!$A$3:$A$900,0)),"")="","",(IFERROR(INDEX('Both teabags AfterDry'!$D$3:$D$900,MATCH(J313,'Both teabags AfterDry'!$A$3:$A$900,0)),"")))</f>
        <v>1.8855</v>
      </c>
      <c r="P313" s="267">
        <f>IFERROR(IF(O313&gt;0,O313-(TBIcalc!$Q$9),""),"")</f>
        <v>1.7348999999999999</v>
      </c>
      <c r="Q313" s="278">
        <f>IFERROR(INDEX('Ashed teabags dry'!$K$2:$K$825,MATCH(J313,'Ashed teabags dry'!$A$2:$A$825,0)),"")</f>
        <v>1.8952618453866015</v>
      </c>
      <c r="R313" s="278">
        <f t="shared" si="22"/>
        <v>1.7020191022443878</v>
      </c>
      <c r="S313" s="268">
        <f>'Dry_Litterbag Placem_Collection'!E94</f>
        <v>42937</v>
      </c>
      <c r="T313" s="268">
        <f>IF('Dry_Litterbag Placem_Collection'!G94="","",'Dry_Litterbag Placem_Collection'!G94)</f>
        <v>43006</v>
      </c>
      <c r="U313" s="269">
        <f t="shared" si="20"/>
        <v>69</v>
      </c>
      <c r="V313" s="267">
        <f t="shared" si="23"/>
        <v>0.19730000000000003</v>
      </c>
      <c r="W313" s="267">
        <f t="shared" si="24"/>
        <v>0.18609457189803136</v>
      </c>
      <c r="X313" s="271">
        <f>IFERROR(INDEX(Rainfall_Dry!$O$2:$O$217,MATCH(B313, Rainfall_Dry!$A$2:$A$217,0)),"")</f>
        <v>12.563016860999999</v>
      </c>
      <c r="Y313" s="260">
        <v>28.145762029394</v>
      </c>
      <c r="Z313" s="260">
        <v>25.085564727199518</v>
      </c>
      <c r="AA313" s="260">
        <v>46.768673243406489</v>
      </c>
      <c r="AB313" s="261" t="s">
        <v>2670</v>
      </c>
      <c r="AC313" s="260">
        <v>5.1716214884179399</v>
      </c>
      <c r="AD313">
        <f>IF('WetLitterbags placem_collection'!AB94="","",'WetLitterbags placem_collection'!AB94)</f>
        <v>7.7</v>
      </c>
      <c r="AE313">
        <f>IF('WetLitterbags placem_collection'!Z94="","",'WetLitterbags placem_collection'!Z94)</f>
        <v>24.8</v>
      </c>
      <c r="AF313" s="246" t="str">
        <f>IF('WetLitterbags placem_collection'!AA94="","",'WetLitterbags placem_collection'!AA94)</f>
        <v>O</v>
      </c>
      <c r="AG313">
        <f>IF('WetLitterbags placem_collection'!AC94="","",'WetLitterbags placem_collection'!AC94)</f>
        <v>1</v>
      </c>
      <c r="AH313">
        <f>IFERROR(AVERAGE('Dry_Litterbag Placem_Collection'!O94,'Dry_Litterbag Placem_Collection'!R94),"")</f>
        <v>10.25</v>
      </c>
      <c r="AI313" s="271">
        <f>IFERROR(AVERAGE('Dry_Litterbag Placem_Collection'!N94,'Dry_Litterbag Placem_Collection'!Q94),"")</f>
        <v>26</v>
      </c>
      <c r="AJ313" s="270">
        <f>INDEX(Coordinates!$B$2:$B$197,MATCH(G313,Coordinates!$J$2:$J$197,0))</f>
        <v>-3.2965539860000002</v>
      </c>
      <c r="AK313" s="270">
        <f>INDEX(Coordinates!$C$2:$C$197,MATCH(G313,Coordinates!$J$2:$J$197,0))</f>
        <v>34.854455969999997</v>
      </c>
      <c r="AL313" s="270" t="str">
        <f>IF(ISNUMBER(SEARCH("C", 'Dry_Litterbag Placem_Collection'!T94)),"YES","NO")</f>
        <v>NO</v>
      </c>
      <c r="AM313" s="270" t="str">
        <f>IF(ISNUMBER(SEARCH("H", 'Dry_Litterbag Placem_Collection'!T94)),"YES","NO")</f>
        <v>NO</v>
      </c>
      <c r="AN313" s="270" t="str">
        <f>IF(ISNUMBER(SEARCH("R", 'Dry_Litterbag Placem_Collection'!T94)),"YES","NO")</f>
        <v>NO</v>
      </c>
    </row>
    <row r="314" spans="1:40" ht="15" customHeight="1">
      <c r="A314" s="262" t="s">
        <v>2659</v>
      </c>
      <c r="B314" s="263">
        <f>'Dry_Litterbag Placem_Collection'!A95</f>
        <v>93</v>
      </c>
      <c r="C314" s="263" t="str">
        <f>'Dry_Litterbag Placem_Collection'!B95</f>
        <v>Maswa</v>
      </c>
      <c r="D314" s="263" t="s">
        <v>2659</v>
      </c>
      <c r="E314" s="263" t="s">
        <v>2661</v>
      </c>
      <c r="F314" s="263">
        <v>4</v>
      </c>
      <c r="G314" s="264" t="str">
        <f>'Dry_Litterbag Placem_Collection'!C95</f>
        <v>Dry_W4_T5</v>
      </c>
      <c r="H314" s="265" t="s">
        <v>2541</v>
      </c>
      <c r="I314" s="272" t="s">
        <v>298</v>
      </c>
      <c r="J314" s="263" t="str">
        <f>IF(ISBLANK('Dry_Litterbag Placem_Collection'!K95),"","R"&amp;""&amp;'Dry_Litterbag Placem_Collection'!K95)</f>
        <v>R675</v>
      </c>
      <c r="K314" s="267">
        <f>IFERROR(INDEX('Green_rooibos initial weight'!$C$5:$C$1749,MATCH(J314, 'Green_rooibos initial weight'!$A$5:$A$1749,0)),"")</f>
        <v>2.2069999999999999</v>
      </c>
      <c r="L314" s="267">
        <f>IFERROR(K314-(TBIcalc!$Q$9+TBIcalc!$Q$10),"")</f>
        <v>1.9571999999999998</v>
      </c>
      <c r="M314" s="391">
        <f>AVERAGE(Ashed_controlls!$K$12:$K$14)</f>
        <v>2.2816647271287041</v>
      </c>
      <c r="N314" s="267">
        <f t="shared" si="21"/>
        <v>1.9125432579606367</v>
      </c>
      <c r="O314" s="267">
        <f>IF(IFERROR(INDEX('Both teabags AfterDry'!$D$3:$D$900,MATCH(J314,'Both teabags AfterDry'!$A$3:$A$900,0)),"")="","",(IFERROR(INDEX('Both teabags AfterDry'!$D$3:$D$900,MATCH(J314,'Both teabags AfterDry'!$A$3:$A$900,0)),"")))</f>
        <v>2.0310000000000001</v>
      </c>
      <c r="P314" s="267">
        <f>IFERROR(IF(O314&gt;0,O314-(TBIcalc!$Q$9),""),"")</f>
        <v>1.8804000000000001</v>
      </c>
      <c r="Q314" s="278">
        <f>IFERROR(INDEX('Ashed teabags dry'!$K$2:$K$825,MATCH(J314,'Ashed teabags dry'!$A$2:$A$825,0)),"")</f>
        <v>3.8099506947561541</v>
      </c>
      <c r="R314" s="278">
        <f t="shared" si="22"/>
        <v>1.8087576871358053</v>
      </c>
      <c r="S314" s="268">
        <f>'Dry_Litterbag Placem_Collection'!E95</f>
        <v>42937</v>
      </c>
      <c r="T314" s="268">
        <f>IF('Dry_Litterbag Placem_Collection'!G95="","",'Dry_Litterbag Placem_Collection'!G95)</f>
        <v>43006</v>
      </c>
      <c r="U314" s="269">
        <f t="shared" si="20"/>
        <v>69</v>
      </c>
      <c r="V314" s="267">
        <f t="shared" si="23"/>
        <v>7.6799999999999757E-2</v>
      </c>
      <c r="W314" s="267">
        <f t="shared" si="24"/>
        <v>0.10378557082483142</v>
      </c>
      <c r="X314" s="271">
        <f>IFERROR(INDEX(Rainfall_Dry!$O$2:$O$217,MATCH(B314, Rainfall_Dry!$A$2:$A$217,0)),"")</f>
        <v>12.563016860999999</v>
      </c>
      <c r="Y314" s="260">
        <v>28.145762029394</v>
      </c>
      <c r="Z314" s="260">
        <v>25.085564727199518</v>
      </c>
      <c r="AA314" s="260">
        <v>46.768673243406489</v>
      </c>
      <c r="AB314" s="261" t="s">
        <v>2670</v>
      </c>
      <c r="AC314" s="260">
        <v>6.1716214884179399</v>
      </c>
      <c r="AD314">
        <f>IF('WetLitterbags placem_collection'!AB95="","",'WetLitterbags placem_collection'!AB95)</f>
        <v>6.6</v>
      </c>
      <c r="AE314">
        <f>IF('WetLitterbags placem_collection'!Z95="","",'WetLitterbags placem_collection'!Z95)</f>
        <v>40</v>
      </c>
      <c r="AF314" s="246" t="str">
        <f>IF('WetLitterbags placem_collection'!AA95="","",'WetLitterbags placem_collection'!AA95)</f>
        <v>O</v>
      </c>
      <c r="AG314">
        <f>IF('WetLitterbags placem_collection'!AC95="","",'WetLitterbags placem_collection'!AC95)</f>
        <v>1</v>
      </c>
      <c r="AH314">
        <f>IFERROR(AVERAGE('Dry_Litterbag Placem_Collection'!O95,'Dry_Litterbag Placem_Collection'!R95),"")</f>
        <v>10.45</v>
      </c>
      <c r="AI314" s="271">
        <f>IFERROR(AVERAGE('Dry_Litterbag Placem_Collection'!N95,'Dry_Litterbag Placem_Collection'!Q95),"")</f>
        <v>26.4</v>
      </c>
      <c r="AJ314" s="270">
        <f>INDEX(Coordinates!$B$2:$B$197,MATCH(G314,Coordinates!$J$2:$J$197,0))</f>
        <v>-3.2964789680000002</v>
      </c>
      <c r="AK314" s="270">
        <f>INDEX(Coordinates!$C$2:$C$197,MATCH(G314,Coordinates!$J$2:$J$197,0))</f>
        <v>34.854331000000002</v>
      </c>
      <c r="AL314" s="270" t="str">
        <f>IF(ISNUMBER(SEARCH("C", 'Dry_Litterbag Placem_Collection'!T95)),"YES","NO")</f>
        <v>NO</v>
      </c>
      <c r="AM314" s="270" t="str">
        <f>IF(ISNUMBER(SEARCH("H", 'Dry_Litterbag Placem_Collection'!T95)),"YES","NO")</f>
        <v>YES</v>
      </c>
      <c r="AN314" s="270" t="str">
        <f>IF(ISNUMBER(SEARCH("R", 'Dry_Litterbag Placem_Collection'!T95)),"YES","NO")</f>
        <v>NO</v>
      </c>
    </row>
    <row r="315" spans="1:40" ht="15" customHeight="1">
      <c r="A315" s="262" t="s">
        <v>2659</v>
      </c>
      <c r="B315" s="263">
        <f>'Dry_Litterbag Placem_Collection'!A96</f>
        <v>94</v>
      </c>
      <c r="C315" s="263" t="str">
        <f>'Dry_Litterbag Placem_Collection'!B96</f>
        <v>Maswa</v>
      </c>
      <c r="D315" s="263" t="s">
        <v>2659</v>
      </c>
      <c r="E315" s="263" t="s">
        <v>2661</v>
      </c>
      <c r="F315" s="263">
        <v>4</v>
      </c>
      <c r="G315" s="264" t="str">
        <f>'Dry_Litterbag Placem_Collection'!C96</f>
        <v>Dry_W4_T6</v>
      </c>
      <c r="H315" s="265" t="s">
        <v>2541</v>
      </c>
      <c r="I315" s="272" t="s">
        <v>298</v>
      </c>
      <c r="J315" s="263" t="str">
        <f>IF(ISBLANK('Dry_Litterbag Placem_Collection'!K96),"","R"&amp;""&amp;'Dry_Litterbag Placem_Collection'!K96)</f>
        <v/>
      </c>
      <c r="K315" s="267" t="str">
        <f>IFERROR(INDEX('Green_rooibos initial weight'!$C$5:$C$1749,MATCH(J315, 'Green_rooibos initial weight'!$A$5:$A$1749,0)),"")</f>
        <v/>
      </c>
      <c r="L315" s="267" t="str">
        <f>IFERROR(K315-(TBIcalc!$Q$9+TBIcalc!$Q$10),"")</f>
        <v/>
      </c>
      <c r="M315" s="391">
        <f>AVERAGE(Ashed_controlls!$K$12:$K$14)</f>
        <v>2.2816647271287041</v>
      </c>
      <c r="N315" s="267" t="str">
        <f t="shared" si="21"/>
        <v/>
      </c>
      <c r="O315" s="267" t="str">
        <f>IF(IFERROR(INDEX('Both teabags AfterDry'!$D$3:$D$900,MATCH(J315,'Both teabags AfterDry'!$A$3:$A$900,0)),"")="","",(IFERROR(INDEX('Both teabags AfterDry'!$D$3:$D$900,MATCH(J315,'Both teabags AfterDry'!$A$3:$A$900,0)),"")))</f>
        <v/>
      </c>
      <c r="P315" s="267" t="str">
        <f>IFERROR(IF(O315&gt;0,O315-(TBIcalc!$Q$9),""),"")</f>
        <v/>
      </c>
      <c r="Q315" s="278" t="str">
        <f>IFERROR(INDEX('Ashed teabags dry'!$K$2:$K$825,MATCH(J315,'Ashed teabags dry'!$A$2:$A$825,0)),"")</f>
        <v/>
      </c>
      <c r="R315" s="278" t="str">
        <f t="shared" si="22"/>
        <v/>
      </c>
      <c r="S315" s="268">
        <f>'Dry_Litterbag Placem_Collection'!E96</f>
        <v>0</v>
      </c>
      <c r="T315" s="268" t="str">
        <f>IF('Dry_Litterbag Placem_Collection'!G96="","",'Dry_Litterbag Placem_Collection'!G96)</f>
        <v/>
      </c>
      <c r="U315" s="269" t="str">
        <f t="shared" si="20"/>
        <v/>
      </c>
      <c r="V315" s="267" t="str">
        <f t="shared" si="23"/>
        <v/>
      </c>
      <c r="W315" s="267" t="str">
        <f t="shared" si="24"/>
        <v/>
      </c>
      <c r="X315" s="271" t="str">
        <f>IFERROR(INDEX(Rainfall_Dry!$O$2:$O$217,MATCH(B315, Rainfall_Dry!$A$2:$A$217,0)),"")</f>
        <v/>
      </c>
      <c r="Y315" s="260">
        <v>28.145762029394</v>
      </c>
      <c r="Z315" s="260">
        <v>25.085564727199518</v>
      </c>
      <c r="AA315" s="260">
        <v>46.768673243406489</v>
      </c>
      <c r="AB315" s="261" t="s">
        <v>2670</v>
      </c>
      <c r="AC315" s="260">
        <v>7.1716214884179399</v>
      </c>
      <c r="AD315" t="str">
        <f>IF('WetLitterbags placem_collection'!AB96="","",'WetLitterbags placem_collection'!AB96)</f>
        <v/>
      </c>
      <c r="AE315" t="str">
        <f>IF('WetLitterbags placem_collection'!Z96="","",'WetLitterbags placem_collection'!Z96)</f>
        <v/>
      </c>
      <c r="AF315" s="246" t="str">
        <f>IF('WetLitterbags placem_collection'!AA96="","",'WetLitterbags placem_collection'!AA96)</f>
        <v/>
      </c>
      <c r="AG315" t="str">
        <f>IF('WetLitterbags placem_collection'!AC96="","",'WetLitterbags placem_collection'!AC96)</f>
        <v/>
      </c>
      <c r="AH315" t="str">
        <f>IFERROR(AVERAGE('Dry_Litterbag Placem_Collection'!O96,'Dry_Litterbag Placem_Collection'!R96),"")</f>
        <v/>
      </c>
      <c r="AI315" s="271" t="str">
        <f>IFERROR(AVERAGE('Dry_Litterbag Placem_Collection'!N96,'Dry_Litterbag Placem_Collection'!Q96),"")</f>
        <v/>
      </c>
      <c r="AJ315" s="270">
        <f>INDEX(Coordinates!$B$2:$B$197,MATCH(G315,Coordinates!$J$2:$J$197,0))</f>
        <v>-3.2964649700000002</v>
      </c>
      <c r="AK315" s="270">
        <f>INDEX(Coordinates!$C$2:$C$197,MATCH(G315,Coordinates!$J$2:$J$197,0))</f>
        <v>34.854340970000003</v>
      </c>
      <c r="AL315" s="270" t="str">
        <f>IF(ISNUMBER(SEARCH("C", 'Dry_Litterbag Placem_Collection'!T96)),"YES","NO")</f>
        <v>NO</v>
      </c>
      <c r="AM315" s="270" t="str">
        <f>IF(ISNUMBER(SEARCH("H", 'Dry_Litterbag Placem_Collection'!T96)),"YES","NO")</f>
        <v>NO</v>
      </c>
      <c r="AN315" s="270" t="str">
        <f>IF(ISNUMBER(SEARCH("R", 'Dry_Litterbag Placem_Collection'!T96)),"YES","NO")</f>
        <v>NO</v>
      </c>
    </row>
    <row r="316" spans="1:40" ht="15" customHeight="1">
      <c r="A316" s="262" t="s">
        <v>2659</v>
      </c>
      <c r="B316" s="263">
        <f>'Dry_Litterbag Placem_Collection'!A97</f>
        <v>95</v>
      </c>
      <c r="C316" s="263" t="str">
        <f>'Dry_Litterbag Placem_Collection'!B97</f>
        <v>Maswa</v>
      </c>
      <c r="D316" s="263" t="s">
        <v>2659</v>
      </c>
      <c r="E316" s="263" t="s">
        <v>2661</v>
      </c>
      <c r="F316" s="263">
        <v>4</v>
      </c>
      <c r="G316" s="264" t="str">
        <f>'Dry_Litterbag Placem_Collection'!C97</f>
        <v>Dry_W4_T7</v>
      </c>
      <c r="H316" s="265" t="s">
        <v>2541</v>
      </c>
      <c r="I316" s="272" t="s">
        <v>298</v>
      </c>
      <c r="J316" s="263" t="str">
        <f>IF(ISBLANK('Dry_Litterbag Placem_Collection'!K97),"","R"&amp;""&amp;'Dry_Litterbag Placem_Collection'!K97)</f>
        <v>R794</v>
      </c>
      <c r="K316" s="267">
        <f>IFERROR(INDEX('Green_rooibos initial weight'!$C$5:$C$1749,MATCH(J316, 'Green_rooibos initial weight'!$A$5:$A$1749,0)),"")</f>
        <v>2.2000000000000002</v>
      </c>
      <c r="L316" s="267">
        <f>IFERROR(K316-(TBIcalc!$Q$9+TBIcalc!$Q$10),"")</f>
        <v>1.9502000000000002</v>
      </c>
      <c r="M316" s="391">
        <f>AVERAGE(Ashed_controlls!$K$12:$K$14)</f>
        <v>2.2816647271287041</v>
      </c>
      <c r="N316" s="267">
        <f t="shared" si="21"/>
        <v>1.9057029744915361</v>
      </c>
      <c r="O316" s="267">
        <f>IF(IFERROR(INDEX('Both teabags AfterDry'!$D$3:$D$900,MATCH(J316,'Both teabags AfterDry'!$A$3:$A$900,0)),"")="","",(IFERROR(INDEX('Both teabags AfterDry'!$D$3:$D$900,MATCH(J316,'Both teabags AfterDry'!$A$3:$A$900,0)),"")))</f>
        <v>1.9469000000000001</v>
      </c>
      <c r="P316" s="267">
        <f>IFERROR(IF(O316&gt;0,O316-(TBIcalc!$Q$9),""),"")</f>
        <v>1.7963</v>
      </c>
      <c r="Q316" s="278">
        <f>IFERROR(INDEX('Ashed teabags dry'!$K$2:$K$825,MATCH(J316,'Ashed teabags dry'!$A$2:$A$825,0)),"")</f>
        <v>2.6693030153240724</v>
      </c>
      <c r="R316" s="278">
        <f t="shared" si="22"/>
        <v>1.7483513099357337</v>
      </c>
      <c r="S316" s="268">
        <f>'Dry_Litterbag Placem_Collection'!E97</f>
        <v>42937</v>
      </c>
      <c r="T316" s="268">
        <f>IF('Dry_Litterbag Placem_Collection'!G97="","",'Dry_Litterbag Placem_Collection'!G97)</f>
        <v>43006</v>
      </c>
      <c r="U316" s="269">
        <f t="shared" si="20"/>
        <v>69</v>
      </c>
      <c r="V316" s="267">
        <f t="shared" si="23"/>
        <v>0.15390000000000015</v>
      </c>
      <c r="W316" s="267">
        <f t="shared" si="24"/>
        <v>0.15735166455580241</v>
      </c>
      <c r="X316" s="271">
        <f>IFERROR(INDEX(Rainfall_Dry!$O$2:$O$217,MATCH(B316, Rainfall_Dry!$A$2:$A$217,0)),"")</f>
        <v>12.563016860999999</v>
      </c>
      <c r="Y316" s="260">
        <v>28.145762029394</v>
      </c>
      <c r="Z316" s="260">
        <v>25.085564727199518</v>
      </c>
      <c r="AA316" s="260">
        <v>46.768673243406489</v>
      </c>
      <c r="AB316" s="261" t="s">
        <v>2670</v>
      </c>
      <c r="AC316" s="260">
        <v>8.1716214884179408</v>
      </c>
      <c r="AD316">
        <f>IF('WetLitterbags placem_collection'!AB97="","",'WetLitterbags placem_collection'!AB97)</f>
        <v>5.4</v>
      </c>
      <c r="AE316">
        <f>IF('WetLitterbags placem_collection'!Z97="","",'WetLitterbags placem_collection'!Z97)</f>
        <v>15.2</v>
      </c>
      <c r="AF316" s="246" t="str">
        <f>IF('WetLitterbags placem_collection'!AA97="","",'WetLitterbags placem_collection'!AA97)</f>
        <v>O</v>
      </c>
      <c r="AG316">
        <f>IF('WetLitterbags placem_collection'!AC97="","",'WetLitterbags placem_collection'!AC97)</f>
        <v>0</v>
      </c>
      <c r="AH316">
        <f>IFERROR(AVERAGE('Dry_Litterbag Placem_Collection'!O97,'Dry_Litterbag Placem_Collection'!R97),"")</f>
        <v>8.75</v>
      </c>
      <c r="AI316" s="271">
        <f>IFERROR(AVERAGE('Dry_Litterbag Placem_Collection'!N97,'Dry_Litterbag Placem_Collection'!Q97),"")</f>
        <v>27.35</v>
      </c>
      <c r="AJ316" s="270">
        <f>INDEX(Coordinates!$B$2:$B$197,MATCH(G316,Coordinates!$J$2:$J$197,0))</f>
        <v>-3.296725983</v>
      </c>
      <c r="AK316" s="270">
        <f>INDEX(Coordinates!$C$2:$C$197,MATCH(G316,Coordinates!$J$2:$J$197,0))</f>
        <v>34.854216000000001</v>
      </c>
      <c r="AL316" s="270" t="str">
        <f>IF(ISNUMBER(SEARCH("C", 'Dry_Litterbag Placem_Collection'!T97)),"YES","NO")</f>
        <v>NO</v>
      </c>
      <c r="AM316" s="270" t="str">
        <f>IF(ISNUMBER(SEARCH("H", 'Dry_Litterbag Placem_Collection'!T97)),"YES","NO")</f>
        <v>NO</v>
      </c>
      <c r="AN316" s="270" t="str">
        <f>IF(ISNUMBER(SEARCH("R", 'Dry_Litterbag Placem_Collection'!T97)),"YES","NO")</f>
        <v>NO</v>
      </c>
    </row>
    <row r="317" spans="1:40" ht="15" customHeight="1">
      <c r="A317" s="262" t="s">
        <v>2659</v>
      </c>
      <c r="B317" s="263">
        <f>'Dry_Litterbag Placem_Collection'!A98</f>
        <v>96</v>
      </c>
      <c r="C317" s="263" t="str">
        <f>'Dry_Litterbag Placem_Collection'!B98</f>
        <v>Maswa</v>
      </c>
      <c r="D317" s="263" t="s">
        <v>2659</v>
      </c>
      <c r="E317" s="263" t="s">
        <v>2661</v>
      </c>
      <c r="F317" s="263">
        <v>4</v>
      </c>
      <c r="G317" s="264" t="str">
        <f>'Dry_Litterbag Placem_Collection'!C98</f>
        <v>Dry_W4_T8</v>
      </c>
      <c r="H317" s="265" t="s">
        <v>2541</v>
      </c>
      <c r="I317" s="272" t="s">
        <v>298</v>
      </c>
      <c r="J317" s="263" t="str">
        <f>IF(ISBLANK('Dry_Litterbag Placem_Collection'!K98),"","R"&amp;""&amp;'Dry_Litterbag Placem_Collection'!K98)</f>
        <v>R737</v>
      </c>
      <c r="K317" s="267">
        <f>IFERROR(INDEX('Green_rooibos initial weight'!$C$5:$C$1749,MATCH(J317, 'Green_rooibos initial weight'!$A$5:$A$1749,0)),"")</f>
        <v>2.222</v>
      </c>
      <c r="L317" s="267">
        <f>IFERROR(K317-(TBIcalc!$Q$9+TBIcalc!$Q$10),"")</f>
        <v>1.9722</v>
      </c>
      <c r="M317" s="391">
        <f>AVERAGE(Ashed_controlls!$K$12:$K$14)</f>
        <v>2.2816647271287041</v>
      </c>
      <c r="N317" s="267">
        <f t="shared" si="21"/>
        <v>1.9272010082515676</v>
      </c>
      <c r="O317" s="267">
        <f>IF(IFERROR(INDEX('Both teabags AfterDry'!$D$3:$D$900,MATCH(J317,'Both teabags AfterDry'!$A$3:$A$900,0)),"")="","",(IFERROR(INDEX('Both teabags AfterDry'!$D$3:$D$900,MATCH(J317,'Both teabags AfterDry'!$A$3:$A$900,0)),"")))</f>
        <v>1.9686999999999999</v>
      </c>
      <c r="P317" s="267">
        <f>IFERROR(IF(O317&gt;0,O317-(TBIcalc!$Q$9),""),"")</f>
        <v>1.8180999999999998</v>
      </c>
      <c r="Q317" s="278">
        <f>IFERROR(INDEX('Ashed teabags dry'!$K$2:$K$825,MATCH(J317,'Ashed teabags dry'!$A$2:$A$825,0)),"")</f>
        <v>3.1531531531539305</v>
      </c>
      <c r="R317" s="278">
        <f t="shared" si="22"/>
        <v>1.7607725225225082</v>
      </c>
      <c r="S317" s="268">
        <f>'Dry_Litterbag Placem_Collection'!E98</f>
        <v>42937</v>
      </c>
      <c r="T317" s="268">
        <f>IF('Dry_Litterbag Placem_Collection'!G98="","",'Dry_Litterbag Placem_Collection'!G98)</f>
        <v>43006</v>
      </c>
      <c r="U317" s="269">
        <f t="shared" si="20"/>
        <v>69</v>
      </c>
      <c r="V317" s="267">
        <f t="shared" si="23"/>
        <v>0.15410000000000013</v>
      </c>
      <c r="W317" s="267">
        <f t="shared" si="24"/>
        <v>0.16642848572905944</v>
      </c>
      <c r="X317" s="271">
        <f>IFERROR(INDEX(Rainfall_Dry!$O$2:$O$217,MATCH(B317, Rainfall_Dry!$A$2:$A$217,0)),"")</f>
        <v>12.563016860999999</v>
      </c>
      <c r="Y317" s="260">
        <v>28.145762029394</v>
      </c>
      <c r="Z317" s="260">
        <v>25.085564727199518</v>
      </c>
      <c r="AA317" s="260">
        <v>46.768673243406489</v>
      </c>
      <c r="AB317" s="261" t="s">
        <v>2670</v>
      </c>
      <c r="AC317" s="260">
        <v>9.1716214884179408</v>
      </c>
      <c r="AD317">
        <f>IF('WetLitterbags placem_collection'!AB98="","",'WetLitterbags placem_collection'!AB98)</f>
        <v>4</v>
      </c>
      <c r="AE317">
        <f>IF('WetLitterbags placem_collection'!Z98="","",'WetLitterbags placem_collection'!Z98)</f>
        <v>34.4</v>
      </c>
      <c r="AF317" s="246" t="str">
        <f>IF('WetLitterbags placem_collection'!AA98="","",'WetLitterbags placem_collection'!AA98)</f>
        <v>O</v>
      </c>
      <c r="AG317">
        <f>IF('WetLitterbags placem_collection'!AC98="","",'WetLitterbags placem_collection'!AC98)</f>
        <v>0</v>
      </c>
      <c r="AH317">
        <f>IFERROR(AVERAGE('Dry_Litterbag Placem_Collection'!O98,'Dry_Litterbag Placem_Collection'!R98),"")</f>
        <v>5.0999999999999996</v>
      </c>
      <c r="AI317" s="271">
        <f>IFERROR(AVERAGE('Dry_Litterbag Placem_Collection'!N98,'Dry_Litterbag Placem_Collection'!Q98),"")</f>
        <v>25.950000000000003</v>
      </c>
      <c r="AJ317" s="270">
        <f>INDEX(Coordinates!$B$2:$B$197,MATCH(G317,Coordinates!$J$2:$J$197,0))</f>
        <v>-3.2968360369999998</v>
      </c>
      <c r="AK317" s="270">
        <f>INDEX(Coordinates!$C$2:$C$197,MATCH(G317,Coordinates!$J$2:$J$197,0))</f>
        <v>34.854462009999999</v>
      </c>
      <c r="AL317" s="270" t="str">
        <f>IF(ISNUMBER(SEARCH("C", 'Dry_Litterbag Placem_Collection'!T98)),"YES","NO")</f>
        <v>NO</v>
      </c>
      <c r="AM317" s="270" t="str">
        <f>IF(ISNUMBER(SEARCH("H", 'Dry_Litterbag Placem_Collection'!T98)),"YES","NO")</f>
        <v>NO</v>
      </c>
      <c r="AN317" s="270" t="str">
        <f>IF(ISNUMBER(SEARCH("R", 'Dry_Litterbag Placem_Collection'!T98)),"YES","NO")</f>
        <v>NO</v>
      </c>
    </row>
    <row r="318" spans="1:40" ht="15" customHeight="1">
      <c r="A318" s="262" t="s">
        <v>2659</v>
      </c>
      <c r="B318" s="263">
        <f>'Dry_Litterbag Placem_Collection'!A99</f>
        <v>97</v>
      </c>
      <c r="C318" s="263" t="str">
        <f>'Dry_Litterbag Placem_Collection'!B99</f>
        <v xml:space="preserve">Mwantimba
</v>
      </c>
      <c r="D318" s="263" t="s">
        <v>2460</v>
      </c>
      <c r="E318" s="263" t="s">
        <v>2660</v>
      </c>
      <c r="F318" s="263">
        <v>1</v>
      </c>
      <c r="G318" s="264" t="str">
        <f>'Dry_Litterbag Placem_Collection'!C99</f>
        <v>Wet_Ag1_T1</v>
      </c>
      <c r="H318" s="265" t="s">
        <v>2541</v>
      </c>
      <c r="I318" s="272" t="s">
        <v>298</v>
      </c>
      <c r="J318" s="263" t="str">
        <f>IF(ISBLANK('Dry_Litterbag Placem_Collection'!K99),"","R"&amp;""&amp;'Dry_Litterbag Placem_Collection'!K99)</f>
        <v>R801</v>
      </c>
      <c r="K318" s="267">
        <f>IFERROR(INDEX('Green_rooibos initial weight'!$C$5:$C$1749,MATCH(J318, 'Green_rooibos initial weight'!$A$5:$A$1749,0)),"")</f>
        <v>2.17</v>
      </c>
      <c r="L318" s="267">
        <f>IFERROR(K318-(TBIcalc!$Q$9+TBIcalc!$Q$10),"")</f>
        <v>1.9201999999999999</v>
      </c>
      <c r="M318" s="391">
        <f>AVERAGE(Ashed_controlls!$K$12:$K$14)</f>
        <v>2.2816647271287041</v>
      </c>
      <c r="N318" s="267">
        <f t="shared" si="21"/>
        <v>1.8763874739096746</v>
      </c>
      <c r="O318" s="267" t="str">
        <f>IF(IFERROR(INDEX('Both teabags AfterDry'!$D$3:$D$900,MATCH(J318,'Both teabags AfterDry'!$A$3:$A$900,0)),"")="","",(IFERROR(INDEX('Both teabags AfterDry'!$D$3:$D$900,MATCH(J318,'Both teabags AfterDry'!$A$3:$A$900,0)),"")))</f>
        <v/>
      </c>
      <c r="P318" s="267" t="str">
        <f>IFERROR(IF(O318&gt;0,O318-(TBIcalc!$Q$9),""),"")</f>
        <v/>
      </c>
      <c r="Q318" s="278" t="str">
        <f>IFERROR(INDEX('Ashed teabags dry'!$K$2:$K$825,MATCH(J318,'Ashed teabags dry'!$A$2:$A$825,0)),"")</f>
        <v/>
      </c>
      <c r="R318" s="278" t="str">
        <f t="shared" si="22"/>
        <v/>
      </c>
      <c r="S318" s="268">
        <f>'Dry_Litterbag Placem_Collection'!E99</f>
        <v>42939</v>
      </c>
      <c r="T318" s="268">
        <f>IF('Dry_Litterbag Placem_Collection'!G99="","",'Dry_Litterbag Placem_Collection'!G99)</f>
        <v>43010</v>
      </c>
      <c r="U318" s="269">
        <f t="shared" si="20"/>
        <v>71</v>
      </c>
      <c r="V318" s="267" t="str">
        <f t="shared" si="23"/>
        <v/>
      </c>
      <c r="W318" s="267" t="str">
        <f t="shared" si="24"/>
        <v/>
      </c>
      <c r="X318" s="271">
        <f>IFERROR(INDEX(Rainfall_Dry!$O$2:$O$217,MATCH(B318, Rainfall_Dry!$A$2:$A$217,0)),"")</f>
        <v>137.19979645800001</v>
      </c>
      <c r="Y318" s="260">
        <v>45.96</v>
      </c>
      <c r="Z318" s="260">
        <v>14.920000000000003</v>
      </c>
      <c r="AA318" s="260">
        <v>39.119999999999997</v>
      </c>
      <c r="AB318" s="261" t="s">
        <v>2673</v>
      </c>
      <c r="AC318" s="260">
        <v>2.0374568753080333</v>
      </c>
      <c r="AD318">
        <f>IF('WetLitterbags placem_collection'!AB99="","",'WetLitterbags placem_collection'!AB99)</f>
        <v>2.4</v>
      </c>
      <c r="AE318">
        <f>IF('WetLitterbags placem_collection'!Z99="","",'WetLitterbags placem_collection'!Z99)</f>
        <v>8.9</v>
      </c>
      <c r="AF318" s="246" t="str">
        <f>IF('WetLitterbags placem_collection'!AA99="","",'WetLitterbags placem_collection'!AA99)</f>
        <v>G</v>
      </c>
      <c r="AG318">
        <f>IF('WetLitterbags placem_collection'!AC99="","",'WetLitterbags placem_collection'!AC99)</f>
        <v>1</v>
      </c>
      <c r="AH318">
        <f>IFERROR(AVERAGE('Dry_Litterbag Placem_Collection'!O99,'Dry_Litterbag Placem_Collection'!R99),"")</f>
        <v>6.6</v>
      </c>
      <c r="AI318" s="271">
        <f>IFERROR(AVERAGE('Dry_Litterbag Placem_Collection'!N99,'Dry_Litterbag Placem_Collection'!Q99),"")</f>
        <v>28.5</v>
      </c>
      <c r="AJ318" s="270">
        <f>INDEX(Coordinates!$B$2:$B$197,MATCH(G318,Coordinates!$J$2:$J$197,0))</f>
        <v>-2.3691620310000001</v>
      </c>
      <c r="AK318" s="270">
        <f>INDEX(Coordinates!$C$2:$C$197,MATCH(G318,Coordinates!$J$2:$J$197,0))</f>
        <v>34.06028104</v>
      </c>
      <c r="AL318" s="270" t="str">
        <f>IF(ISNUMBER(SEARCH("C", 'Dry_Litterbag Placem_Collection'!T99)),"YES","NO")</f>
        <v>YES</v>
      </c>
      <c r="AM318" s="270" t="str">
        <f>IF(ISNUMBER(SEARCH("H", 'Dry_Litterbag Placem_Collection'!T99)),"YES","NO")</f>
        <v>YES</v>
      </c>
      <c r="AN318" s="270" t="str">
        <f>IF(ISNUMBER(SEARCH("R", 'Dry_Litterbag Placem_Collection'!T99)),"YES","NO")</f>
        <v>NO</v>
      </c>
    </row>
    <row r="319" spans="1:40" ht="15" customHeight="1">
      <c r="A319" s="262" t="s">
        <v>2659</v>
      </c>
      <c r="B319" s="263">
        <f>'Dry_Litterbag Placem_Collection'!A100</f>
        <v>98</v>
      </c>
      <c r="C319" s="263" t="str">
        <f>'Dry_Litterbag Placem_Collection'!B100</f>
        <v xml:space="preserve">Mwantimba
</v>
      </c>
      <c r="D319" s="263" t="s">
        <v>2460</v>
      </c>
      <c r="E319" s="263" t="s">
        <v>2660</v>
      </c>
      <c r="F319" s="263">
        <v>1</v>
      </c>
      <c r="G319" s="264" t="str">
        <f>'Dry_Litterbag Placem_Collection'!C100</f>
        <v>Wet_Ag1_T2</v>
      </c>
      <c r="H319" s="265" t="s">
        <v>2541</v>
      </c>
      <c r="I319" s="272" t="s">
        <v>298</v>
      </c>
      <c r="J319" s="263" t="str">
        <f>IF(ISBLANK('Dry_Litterbag Placem_Collection'!K100),"","R"&amp;""&amp;'Dry_Litterbag Placem_Collection'!K100)</f>
        <v>R808</v>
      </c>
      <c r="K319" s="267">
        <f>IFERROR(INDEX('Green_rooibos initial weight'!$C$5:$C$1749,MATCH(J319, 'Green_rooibos initial weight'!$A$5:$A$1749,0)),"")</f>
        <v>2.2309999999999999</v>
      </c>
      <c r="L319" s="267">
        <f>IFERROR(K319-(TBIcalc!$Q$9+TBIcalc!$Q$10),"")</f>
        <v>1.9811999999999999</v>
      </c>
      <c r="M319" s="391">
        <f>AVERAGE(Ashed_controlls!$K$12:$K$14)</f>
        <v>2.2816647271287041</v>
      </c>
      <c r="N319" s="267">
        <f t="shared" si="21"/>
        <v>1.935995658426126</v>
      </c>
      <c r="O319" s="267">
        <f>IF(IFERROR(INDEX('Both teabags AfterDry'!$D$3:$D$900,MATCH(J319,'Both teabags AfterDry'!$A$3:$A$900,0)),"")="","",(IFERROR(INDEX('Both teabags AfterDry'!$D$3:$D$900,MATCH(J319,'Both teabags AfterDry'!$A$3:$A$900,0)),"")))</f>
        <v>0</v>
      </c>
      <c r="P319" s="267" t="str">
        <f>IFERROR(IF(O319&gt;0,O319-(TBIcalc!$Q$9),""),"")</f>
        <v/>
      </c>
      <c r="Q319" s="278" t="str">
        <f>IFERROR(INDEX('Ashed teabags dry'!$K$2:$K$825,MATCH(J319,'Ashed teabags dry'!$A$2:$A$825,0)),"")</f>
        <v/>
      </c>
      <c r="R319" s="278" t="str">
        <f t="shared" si="22"/>
        <v/>
      </c>
      <c r="S319" s="268">
        <f>'Dry_Litterbag Placem_Collection'!E100</f>
        <v>42939</v>
      </c>
      <c r="T319" s="268">
        <f>IF('Dry_Litterbag Placem_Collection'!G100="","",'Dry_Litterbag Placem_Collection'!G100)</f>
        <v>43010</v>
      </c>
      <c r="U319" s="269">
        <f t="shared" si="20"/>
        <v>71</v>
      </c>
      <c r="V319" s="267" t="str">
        <f t="shared" si="23"/>
        <v/>
      </c>
      <c r="W319" s="267" t="str">
        <f t="shared" si="24"/>
        <v/>
      </c>
      <c r="X319" s="271">
        <f>IFERROR(INDEX(Rainfall_Dry!$O$2:$O$217,MATCH(B319, Rainfall_Dry!$A$2:$A$217,0)),"")</f>
        <v>137.19979645800001</v>
      </c>
      <c r="Y319" s="260">
        <v>45.96</v>
      </c>
      <c r="Z319" s="260">
        <v>14.920000000000003</v>
      </c>
      <c r="AA319" s="260">
        <v>39.119999999999997</v>
      </c>
      <c r="AB319" s="261" t="s">
        <v>2673</v>
      </c>
      <c r="AC319" s="260">
        <v>3.0374568753080302</v>
      </c>
      <c r="AD319">
        <f>IF('WetLitterbags placem_collection'!AB100="","",'WetLitterbags placem_collection'!AB100)</f>
        <v>7.8</v>
      </c>
      <c r="AE319">
        <f>IF('WetLitterbags placem_collection'!Z100="","",'WetLitterbags placem_collection'!Z100)</f>
        <v>4.45</v>
      </c>
      <c r="AF319" s="246" t="str">
        <f>IF('WetLitterbags placem_collection'!AA100="","",'WetLitterbags placem_collection'!AA100)</f>
        <v>G</v>
      </c>
      <c r="AG319">
        <f>IF('WetLitterbags placem_collection'!AC100="","",'WetLitterbags placem_collection'!AC100)</f>
        <v>1</v>
      </c>
      <c r="AH319">
        <f>IFERROR(AVERAGE('Dry_Litterbag Placem_Collection'!O100,'Dry_Litterbag Placem_Collection'!R100),"")</f>
        <v>7.25</v>
      </c>
      <c r="AI319" s="271">
        <f>IFERROR(AVERAGE('Dry_Litterbag Placem_Collection'!N100,'Dry_Litterbag Placem_Collection'!Q100),"")</f>
        <v>29.3</v>
      </c>
      <c r="AJ319" s="270">
        <f>INDEX(Coordinates!$B$2:$B$197,MATCH(G319,Coordinates!$J$2:$J$197,0))</f>
        <v>-2.3692249790000002</v>
      </c>
      <c r="AK319" s="270">
        <f>INDEX(Coordinates!$C$2:$C$197,MATCH(G319,Coordinates!$J$2:$J$197,0))</f>
        <v>34.060285989999997</v>
      </c>
      <c r="AL319" s="270" t="str">
        <f>IF(ISNUMBER(SEARCH("C", 'Dry_Litterbag Placem_Collection'!T100)),"YES","NO")</f>
        <v>YES</v>
      </c>
      <c r="AM319" s="270" t="str">
        <f>IF(ISNUMBER(SEARCH("H", 'Dry_Litterbag Placem_Collection'!T100)),"YES","NO")</f>
        <v>YES</v>
      </c>
      <c r="AN319" s="270" t="str">
        <f>IF(ISNUMBER(SEARCH("R", 'Dry_Litterbag Placem_Collection'!T100)),"YES","NO")</f>
        <v>NO</v>
      </c>
    </row>
    <row r="320" spans="1:40" ht="15" customHeight="1">
      <c r="A320" s="262" t="s">
        <v>2659</v>
      </c>
      <c r="B320" s="263">
        <f>'Dry_Litterbag Placem_Collection'!A101</f>
        <v>99</v>
      </c>
      <c r="C320" s="263" t="str">
        <f>'Dry_Litterbag Placem_Collection'!B101</f>
        <v xml:space="preserve">Mwantimba
</v>
      </c>
      <c r="D320" s="263" t="s">
        <v>2460</v>
      </c>
      <c r="E320" s="263" t="s">
        <v>2660</v>
      </c>
      <c r="F320" s="263">
        <v>1</v>
      </c>
      <c r="G320" s="264" t="str">
        <f>'Dry_Litterbag Placem_Collection'!C101</f>
        <v>Wet_Ag1_T3</v>
      </c>
      <c r="H320" s="265" t="s">
        <v>2541</v>
      </c>
      <c r="I320" s="272" t="s">
        <v>298</v>
      </c>
      <c r="J320" s="263" t="str">
        <f>IF(ISBLANK('Dry_Litterbag Placem_Collection'!K101),"","R"&amp;""&amp;'Dry_Litterbag Placem_Collection'!K101)</f>
        <v/>
      </c>
      <c r="K320" s="267" t="str">
        <f>IFERROR(INDEX('Green_rooibos initial weight'!$C$5:$C$1749,MATCH(J320, 'Green_rooibos initial weight'!$A$5:$A$1749,0)),"")</f>
        <v/>
      </c>
      <c r="L320" s="267" t="str">
        <f>IFERROR(K320-(TBIcalc!$Q$9+TBIcalc!$Q$10),"")</f>
        <v/>
      </c>
      <c r="M320" s="391">
        <f>AVERAGE(Ashed_controlls!$K$12:$K$14)</f>
        <v>2.2816647271287041</v>
      </c>
      <c r="N320" s="267" t="str">
        <f t="shared" si="21"/>
        <v/>
      </c>
      <c r="O320" s="267" t="str">
        <f>IF(IFERROR(INDEX('Both teabags AfterDry'!$D$3:$D$900,MATCH(J320,'Both teabags AfterDry'!$A$3:$A$900,0)),"")="","",(IFERROR(INDEX('Both teabags AfterDry'!$D$3:$D$900,MATCH(J320,'Both teabags AfterDry'!$A$3:$A$900,0)),"")))</f>
        <v/>
      </c>
      <c r="P320" s="267" t="str">
        <f>IFERROR(IF(O320&gt;0,O320-(TBIcalc!$Q$9),""),"")</f>
        <v/>
      </c>
      <c r="Q320" s="278" t="str">
        <f>IFERROR(INDEX('Ashed teabags dry'!$K$2:$K$825,MATCH(J320,'Ashed teabags dry'!$A$2:$A$825,0)),"")</f>
        <v/>
      </c>
      <c r="R320" s="278" t="str">
        <f t="shared" si="22"/>
        <v/>
      </c>
      <c r="S320" s="268">
        <f>'Dry_Litterbag Placem_Collection'!E101</f>
        <v>0</v>
      </c>
      <c r="T320" s="268" t="str">
        <f>IF('Dry_Litterbag Placem_Collection'!G101="","",'Dry_Litterbag Placem_Collection'!G101)</f>
        <v/>
      </c>
      <c r="U320" s="269" t="str">
        <f t="shared" si="20"/>
        <v/>
      </c>
      <c r="V320" s="267" t="str">
        <f t="shared" si="23"/>
        <v/>
      </c>
      <c r="W320" s="267" t="str">
        <f t="shared" si="24"/>
        <v/>
      </c>
      <c r="X320" s="271" t="str">
        <f>IFERROR(INDEX(Rainfall_Dry!$O$2:$O$217,MATCH(B320, Rainfall_Dry!$A$2:$A$217,0)),"")</f>
        <v/>
      </c>
      <c r="Y320" s="260">
        <v>45.96</v>
      </c>
      <c r="Z320" s="260">
        <v>14.920000000000003</v>
      </c>
      <c r="AA320" s="260">
        <v>39.119999999999997</v>
      </c>
      <c r="AB320" s="261" t="s">
        <v>2673</v>
      </c>
      <c r="AC320" s="260">
        <v>4.0374568753080302</v>
      </c>
      <c r="AD320">
        <f>IF('WetLitterbags placem_collection'!AB101="","",'WetLitterbags placem_collection'!AB101)</f>
        <v>5.0999999999999996</v>
      </c>
      <c r="AE320">
        <f>IF('WetLitterbags placem_collection'!Z101="","",'WetLitterbags placem_collection'!Z101)</f>
        <v>2.2999999999999998</v>
      </c>
      <c r="AF320" s="246" t="str">
        <f>IF('WetLitterbags placem_collection'!AA101="","",'WetLitterbags placem_collection'!AA101)</f>
        <v>G</v>
      </c>
      <c r="AG320">
        <f>IF('WetLitterbags placem_collection'!AC101="","",'WetLitterbags placem_collection'!AC101)</f>
        <v>0</v>
      </c>
      <c r="AH320" t="str">
        <f>IFERROR(AVERAGE('Dry_Litterbag Placem_Collection'!O101,'Dry_Litterbag Placem_Collection'!R101),"")</f>
        <v/>
      </c>
      <c r="AI320" s="271" t="str">
        <f>IFERROR(AVERAGE('Dry_Litterbag Placem_Collection'!N101,'Dry_Litterbag Placem_Collection'!Q101),"")</f>
        <v/>
      </c>
      <c r="AJ320" s="270">
        <f>INDEX(Coordinates!$B$2:$B$197,MATCH(G320,Coordinates!$J$2:$J$197,0))</f>
        <v>-2.369284993</v>
      </c>
      <c r="AK320" s="270">
        <f>INDEX(Coordinates!$C$2:$C$197,MATCH(G320,Coordinates!$J$2:$J$197,0))</f>
        <v>34.06028104</v>
      </c>
      <c r="AL320" s="270" t="str">
        <f>IF(ISNUMBER(SEARCH("C", 'Dry_Litterbag Placem_Collection'!T101)),"YES","NO")</f>
        <v>NO</v>
      </c>
      <c r="AM320" s="270" t="str">
        <f>IF(ISNUMBER(SEARCH("H", 'Dry_Litterbag Placem_Collection'!T101)),"YES","NO")</f>
        <v>NO</v>
      </c>
      <c r="AN320" s="270" t="str">
        <f>IF(ISNUMBER(SEARCH("R", 'Dry_Litterbag Placem_Collection'!T101)),"YES","NO")</f>
        <v>NO</v>
      </c>
    </row>
    <row r="321" spans="1:40" ht="15" customHeight="1">
      <c r="A321" s="262" t="s">
        <v>2659</v>
      </c>
      <c r="B321" s="263">
        <f>'Dry_Litterbag Placem_Collection'!A102</f>
        <v>100</v>
      </c>
      <c r="C321" s="263" t="str">
        <f>'Dry_Litterbag Placem_Collection'!B102</f>
        <v xml:space="preserve">Mwantimba
</v>
      </c>
      <c r="D321" s="263" t="s">
        <v>2460</v>
      </c>
      <c r="E321" s="263" t="s">
        <v>2660</v>
      </c>
      <c r="F321" s="263">
        <v>1</v>
      </c>
      <c r="G321" s="264" t="str">
        <f>'Dry_Litterbag Placem_Collection'!C102</f>
        <v>Wet_Ag1_T4</v>
      </c>
      <c r="H321" s="265" t="s">
        <v>2541</v>
      </c>
      <c r="I321" s="272" t="s">
        <v>298</v>
      </c>
      <c r="J321" s="263" t="str">
        <f>IF(ISBLANK('Dry_Litterbag Placem_Collection'!K102),"","R"&amp;""&amp;'Dry_Litterbag Placem_Collection'!K102)</f>
        <v>R276</v>
      </c>
      <c r="K321" s="267">
        <f>IFERROR(INDEX('Green_rooibos initial weight'!$C$5:$C$1749,MATCH(J321, 'Green_rooibos initial weight'!$A$5:$A$1749,0)),"")</f>
        <v>2.1930000000000001</v>
      </c>
      <c r="L321" s="267">
        <f>IFERROR(K321-(TBIcalc!$Q$9+TBIcalc!$Q$10),"")</f>
        <v>1.9432</v>
      </c>
      <c r="M321" s="391">
        <f>AVERAGE(Ashed_controlls!$K$12:$K$14)</f>
        <v>2.2816647271287041</v>
      </c>
      <c r="N321" s="267">
        <f t="shared" si="21"/>
        <v>1.8988626910224351</v>
      </c>
      <c r="O321" s="267">
        <f>IF(IFERROR(INDEX('Both teabags AfterDry'!$D$3:$D$900,MATCH(J321,'Both teabags AfterDry'!$A$3:$A$900,0)),"")="","",(IFERROR(INDEX('Both teabags AfterDry'!$D$3:$D$900,MATCH(J321,'Both teabags AfterDry'!$A$3:$A$900,0)),"")))</f>
        <v>1.4581</v>
      </c>
      <c r="P321" s="267">
        <f>IFERROR(IF(O321&gt;0,O321-(TBIcalc!$Q$9),""),"")</f>
        <v>1.3074999999999999</v>
      </c>
      <c r="Q321" s="278">
        <f>IFERROR(INDEX('Ashed teabags dry'!$K$2:$K$825,MATCH(J321,'Ashed teabags dry'!$A$2:$A$825,0)),"")</f>
        <v>88.392857142857224</v>
      </c>
      <c r="R321" s="278">
        <f t="shared" si="22"/>
        <v>0.1517633928571418</v>
      </c>
      <c r="S321" s="268">
        <f>'Dry_Litterbag Placem_Collection'!E102</f>
        <v>42939</v>
      </c>
      <c r="T321" s="268">
        <f>IF('Dry_Litterbag Placem_Collection'!G102="","",'Dry_Litterbag Placem_Collection'!G102)</f>
        <v>43010</v>
      </c>
      <c r="U321" s="269">
        <f t="shared" si="20"/>
        <v>71</v>
      </c>
      <c r="V321" s="267">
        <f t="shared" si="23"/>
        <v>0.63570000000000015</v>
      </c>
      <c r="W321" s="267">
        <f t="shared" si="24"/>
        <v>1.7470992981652933</v>
      </c>
      <c r="X321" s="271">
        <f>IFERROR(INDEX(Rainfall_Dry!$O$2:$O$217,MATCH(B321, Rainfall_Dry!$A$2:$A$217,0)),"")</f>
        <v>137.19979645800001</v>
      </c>
      <c r="Y321" s="260">
        <v>45.96</v>
      </c>
      <c r="Z321" s="260">
        <v>14.920000000000003</v>
      </c>
      <c r="AA321" s="260">
        <v>39.119999999999997</v>
      </c>
      <c r="AB321" s="261" t="s">
        <v>2673</v>
      </c>
      <c r="AC321" s="260">
        <v>5.0374568753080302</v>
      </c>
      <c r="AD321">
        <f>IF('WetLitterbags placem_collection'!AB102="","",'WetLitterbags placem_collection'!AB102)</f>
        <v>1.6</v>
      </c>
      <c r="AE321">
        <f>IF('WetLitterbags placem_collection'!Z102="","",'WetLitterbags placem_collection'!Z102)</f>
        <v>15</v>
      </c>
      <c r="AF321" s="246" t="str">
        <f>IF('WetLitterbags placem_collection'!AA102="","",'WetLitterbags placem_collection'!AA102)</f>
        <v>G</v>
      </c>
      <c r="AG321">
        <f>IF('WetLitterbags placem_collection'!AC102="","",'WetLitterbags placem_collection'!AC102)</f>
        <v>1</v>
      </c>
      <c r="AH321">
        <f>IFERROR(AVERAGE('Dry_Litterbag Placem_Collection'!O102,'Dry_Litterbag Placem_Collection'!R102),"")</f>
        <v>6.75</v>
      </c>
      <c r="AI321" s="271">
        <f>IFERROR(AVERAGE('Dry_Litterbag Placem_Collection'!N102,'Dry_Litterbag Placem_Collection'!Q102),"")</f>
        <v>29.1</v>
      </c>
      <c r="AJ321" s="270">
        <f>INDEX(Coordinates!$B$2:$B$197,MATCH(G321,Coordinates!$J$2:$J$197,0))</f>
        <v>-2.3691989950000001</v>
      </c>
      <c r="AK321" s="270">
        <f>INDEX(Coordinates!$C$2:$C$197,MATCH(G321,Coordinates!$J$2:$J$197,0))</f>
        <v>34.060208029999998</v>
      </c>
      <c r="AL321" s="270" t="str">
        <f>IF(ISNUMBER(SEARCH("C", 'Dry_Litterbag Placem_Collection'!T102)),"YES","NO")</f>
        <v>YES</v>
      </c>
      <c r="AM321" s="270" t="str">
        <f>IF(ISNUMBER(SEARCH("H", 'Dry_Litterbag Placem_Collection'!T102)),"YES","NO")</f>
        <v>YES</v>
      </c>
      <c r="AN321" s="270" t="str">
        <f>IF(ISNUMBER(SEARCH("R", 'Dry_Litterbag Placem_Collection'!T102)),"YES","NO")</f>
        <v>NO</v>
      </c>
    </row>
    <row r="322" spans="1:40" ht="15" customHeight="1">
      <c r="A322" s="262" t="s">
        <v>2659</v>
      </c>
      <c r="B322" s="263">
        <f>'Dry_Litterbag Placem_Collection'!A103</f>
        <v>101</v>
      </c>
      <c r="C322" s="263" t="str">
        <f>'Dry_Litterbag Placem_Collection'!B103</f>
        <v xml:space="preserve">Mwantimba
</v>
      </c>
      <c r="D322" s="263" t="s">
        <v>2460</v>
      </c>
      <c r="E322" s="263" t="s">
        <v>2660</v>
      </c>
      <c r="F322" s="263">
        <v>1</v>
      </c>
      <c r="G322" s="264" t="str">
        <f>'Dry_Litterbag Placem_Collection'!C103</f>
        <v>Wet_Ag1_T5</v>
      </c>
      <c r="H322" s="265" t="s">
        <v>2541</v>
      </c>
      <c r="I322" s="272" t="s">
        <v>298</v>
      </c>
      <c r="J322" s="263" t="str">
        <f>IF(ISBLANK('Dry_Litterbag Placem_Collection'!K103),"","R"&amp;""&amp;'Dry_Litterbag Placem_Collection'!K103)</f>
        <v>R624</v>
      </c>
      <c r="K322" s="267">
        <f>IFERROR(INDEX('Green_rooibos initial weight'!$C$5:$C$1749,MATCH(J322, 'Green_rooibos initial weight'!$A$5:$A$1749,0)),"")</f>
        <v>2.0739999999999998</v>
      </c>
      <c r="L322" s="267">
        <f>IFERROR(K322-(TBIcalc!$Q$9+TBIcalc!$Q$10),"")</f>
        <v>1.8241999999999998</v>
      </c>
      <c r="M322" s="391">
        <f>AVERAGE(Ashed_controlls!$K$12:$K$14)</f>
        <v>2.2816647271287041</v>
      </c>
      <c r="N322" s="267">
        <f t="shared" si="21"/>
        <v>1.7825778720477179</v>
      </c>
      <c r="O322" s="267" t="str">
        <f>IF(IFERROR(INDEX('Both teabags AfterDry'!$D$3:$D$900,MATCH(J322,'Both teabags AfterDry'!$A$3:$A$900,0)),"")="","",(IFERROR(INDEX('Both teabags AfterDry'!$D$3:$D$900,MATCH(J322,'Both teabags AfterDry'!$A$3:$A$900,0)),"")))</f>
        <v/>
      </c>
      <c r="P322" s="267" t="str">
        <f>IFERROR(IF(O322&gt;0,O322-(TBIcalc!$Q$9),""),"")</f>
        <v/>
      </c>
      <c r="Q322" s="278">
        <f>IFERROR(INDEX('Ashed teabags dry'!$K$2:$K$825,MATCH(J322,'Ashed teabags dry'!$A$2:$A$825,0)),"")</f>
        <v>86.281234688877774</v>
      </c>
      <c r="R322" s="278" t="str">
        <f t="shared" si="22"/>
        <v/>
      </c>
      <c r="S322" s="268">
        <f>'Dry_Litterbag Placem_Collection'!E103</f>
        <v>42939</v>
      </c>
      <c r="T322" s="268">
        <f>IF('Dry_Litterbag Placem_Collection'!G103="","",'Dry_Litterbag Placem_Collection'!G103)</f>
        <v>43010</v>
      </c>
      <c r="U322" s="269">
        <f t="shared" ref="U322:U385" si="25">IFERROR(T322-S322,"")</f>
        <v>71</v>
      </c>
      <c r="V322" s="267" t="str">
        <f t="shared" si="23"/>
        <v/>
      </c>
      <c r="W322" s="267" t="str">
        <f t="shared" si="24"/>
        <v/>
      </c>
      <c r="X322" s="271">
        <f>IFERROR(INDEX(Rainfall_Dry!$O$2:$O$217,MATCH(B322, Rainfall_Dry!$A$2:$A$217,0)),"")</f>
        <v>137.19979645800001</v>
      </c>
      <c r="Y322" s="260">
        <v>45.96</v>
      </c>
      <c r="Z322" s="260">
        <v>14.920000000000003</v>
      </c>
      <c r="AA322" s="260">
        <v>39.119999999999997</v>
      </c>
      <c r="AB322" s="261" t="s">
        <v>2673</v>
      </c>
      <c r="AC322" s="260">
        <v>6.0374568753080302</v>
      </c>
      <c r="AD322">
        <f>IF('WetLitterbags placem_collection'!AB103="","",'WetLitterbags placem_collection'!AB103)</f>
        <v>4.3499999999999996</v>
      </c>
      <c r="AE322">
        <f>IF('WetLitterbags placem_collection'!Z103="","",'WetLitterbags placem_collection'!Z103)</f>
        <v>17</v>
      </c>
      <c r="AF322" s="246" t="str">
        <f>IF('WetLitterbags placem_collection'!AA103="","",'WetLitterbags placem_collection'!AA103)</f>
        <v>G</v>
      </c>
      <c r="AG322">
        <f>IF('WetLitterbags placem_collection'!AC103="","",'WetLitterbags placem_collection'!AC103)</f>
        <v>1</v>
      </c>
      <c r="AH322">
        <f>IFERROR(AVERAGE('Dry_Litterbag Placem_Collection'!O103,'Dry_Litterbag Placem_Collection'!R103),"")</f>
        <v>7.75</v>
      </c>
      <c r="AI322" s="271">
        <f>IFERROR(AVERAGE('Dry_Litterbag Placem_Collection'!N103,'Dry_Litterbag Placem_Collection'!Q103),"")</f>
        <v>29.549999999999997</v>
      </c>
      <c r="AJ322" s="270">
        <f>INDEX(Coordinates!$B$2:$B$197,MATCH(G322,Coordinates!$J$2:$J$197,0))</f>
        <v>-2.3691900260000001</v>
      </c>
      <c r="AK322" s="270">
        <f>INDEX(Coordinates!$C$2:$C$197,MATCH(G322,Coordinates!$J$2:$J$197,0))</f>
        <v>34.060177019999998</v>
      </c>
      <c r="AL322" s="270" t="str">
        <f>IF(ISNUMBER(SEARCH("C", 'Dry_Litterbag Placem_Collection'!T103)),"YES","NO")</f>
        <v>YES</v>
      </c>
      <c r="AM322" s="270" t="str">
        <f>IF(ISNUMBER(SEARCH("H", 'Dry_Litterbag Placem_Collection'!T103)),"YES","NO")</f>
        <v>YES</v>
      </c>
      <c r="AN322" s="270" t="str">
        <f>IF(ISNUMBER(SEARCH("R", 'Dry_Litterbag Placem_Collection'!T103)),"YES","NO")</f>
        <v>NO</v>
      </c>
    </row>
    <row r="323" spans="1:40" ht="15" customHeight="1">
      <c r="A323" s="262" t="s">
        <v>2659</v>
      </c>
      <c r="B323" s="263">
        <f>'Dry_Litterbag Placem_Collection'!A104</f>
        <v>102</v>
      </c>
      <c r="C323" s="263" t="str">
        <f>'Dry_Litterbag Placem_Collection'!B104</f>
        <v xml:space="preserve">Mwantimba
</v>
      </c>
      <c r="D323" s="263" t="s">
        <v>2460</v>
      </c>
      <c r="E323" s="263" t="s">
        <v>2660</v>
      </c>
      <c r="F323" s="263">
        <v>1</v>
      </c>
      <c r="G323" s="264" t="str">
        <f>'Dry_Litterbag Placem_Collection'!C104</f>
        <v>Wet_Ag1_T6</v>
      </c>
      <c r="H323" s="265" t="s">
        <v>2541</v>
      </c>
      <c r="I323" s="272" t="s">
        <v>298</v>
      </c>
      <c r="J323" s="263" t="str">
        <f>IF(ISBLANK('Dry_Litterbag Placem_Collection'!K104),"","R"&amp;""&amp;'Dry_Litterbag Placem_Collection'!K104)</f>
        <v>R781</v>
      </c>
      <c r="K323" s="267">
        <f>IFERROR(INDEX('Green_rooibos initial weight'!$C$5:$C$1749,MATCH(J323, 'Green_rooibos initial weight'!$A$5:$A$1749,0)),"")</f>
        <v>2.194</v>
      </c>
      <c r="L323" s="267">
        <f>IFERROR(K323-(TBIcalc!$Q$9+TBIcalc!$Q$10),"")</f>
        <v>1.9441999999999999</v>
      </c>
      <c r="M323" s="391">
        <f>AVERAGE(Ashed_controlls!$K$12:$K$14)</f>
        <v>2.2816647271287041</v>
      </c>
      <c r="N323" s="267">
        <f t="shared" ref="N323:N386" si="26">IFERROR(L323-(M323/100)*L323,"")</f>
        <v>1.8998398743751637</v>
      </c>
      <c r="O323" s="267">
        <f>IF(IFERROR(INDEX('Both teabags AfterDry'!$D$3:$D$900,MATCH(J323,'Both teabags AfterDry'!$A$3:$A$900,0)),"")="","",(IFERROR(INDEX('Both teabags AfterDry'!$D$3:$D$900,MATCH(J323,'Both teabags AfterDry'!$A$3:$A$900,0)),"")))</f>
        <v>1.8687</v>
      </c>
      <c r="P323" s="267">
        <f>IFERROR(IF(O323&gt;0,O323-(TBIcalc!$Q$9),""),"")</f>
        <v>1.7181</v>
      </c>
      <c r="Q323" s="278">
        <f>IFERROR(INDEX('Ashed teabags dry'!$K$2:$K$825,MATCH(J323,'Ashed teabags dry'!$A$2:$A$825,0)),"")</f>
        <v>3.9305301645336419</v>
      </c>
      <c r="R323" s="278">
        <f t="shared" ref="R323:R386" si="27">IFERROR(P323-(Q323/100)*P323,"")</f>
        <v>1.6505695612431475</v>
      </c>
      <c r="S323" s="268">
        <f>'Dry_Litterbag Placem_Collection'!E104</f>
        <v>42939</v>
      </c>
      <c r="T323" s="268">
        <f>IF('Dry_Litterbag Placem_Collection'!G104="","",'Dry_Litterbag Placem_Collection'!G104)</f>
        <v>43010</v>
      </c>
      <c r="U323" s="269">
        <f t="shared" si="25"/>
        <v>71</v>
      </c>
      <c r="V323" s="267">
        <f t="shared" ref="V323:V386" si="28">IFERROR(L323-P323,"")</f>
        <v>0.22609999999999997</v>
      </c>
      <c r="W323" s="267">
        <f t="shared" ref="W323:W386" si="29">IFERROR(N323-R323,"")</f>
        <v>0.2492703131320162</v>
      </c>
      <c r="X323" s="271">
        <f>IFERROR(INDEX(Rainfall_Dry!$O$2:$O$217,MATCH(B323, Rainfall_Dry!$A$2:$A$217,0)),"")</f>
        <v>137.19979645800001</v>
      </c>
      <c r="Y323" s="260">
        <v>45.96</v>
      </c>
      <c r="Z323" s="260">
        <v>14.920000000000003</v>
      </c>
      <c r="AA323" s="260">
        <v>39.119999999999997</v>
      </c>
      <c r="AB323" s="261" t="s">
        <v>2673</v>
      </c>
      <c r="AC323" s="260">
        <v>7.0374568753080302</v>
      </c>
      <c r="AD323">
        <f>IF('WetLitterbags placem_collection'!AB104="","",'WetLitterbags placem_collection'!AB104)</f>
        <v>7.7</v>
      </c>
      <c r="AE323">
        <f>IF('WetLitterbags placem_collection'!Z104="","",'WetLitterbags placem_collection'!Z104)</f>
        <v>21</v>
      </c>
      <c r="AF323" s="246" t="str">
        <f>IF('WetLitterbags placem_collection'!AA104="","",'WetLitterbags placem_collection'!AA104)</f>
        <v>G</v>
      </c>
      <c r="AG323">
        <f>IF('WetLitterbags placem_collection'!AC104="","",'WetLitterbags placem_collection'!AC104)</f>
        <v>1</v>
      </c>
      <c r="AH323">
        <f>IFERROR(AVERAGE('Dry_Litterbag Placem_Collection'!O104,'Dry_Litterbag Placem_Collection'!R104),"")</f>
        <v>7.3000000000000007</v>
      </c>
      <c r="AI323" s="271">
        <f>IFERROR(AVERAGE('Dry_Litterbag Placem_Collection'!N104,'Dry_Litterbag Placem_Collection'!Q104),"")</f>
        <v>29.05</v>
      </c>
      <c r="AJ323" s="270">
        <f>INDEX(Coordinates!$B$2:$B$197,MATCH(G323,Coordinates!$J$2:$J$197,0))</f>
        <v>-2.3691350409999998</v>
      </c>
      <c r="AK323" s="270">
        <f>INDEX(Coordinates!$C$2:$C$197,MATCH(G323,Coordinates!$J$2:$J$197,0))</f>
        <v>34.06018297</v>
      </c>
      <c r="AL323" s="270" t="str">
        <f>IF(ISNUMBER(SEARCH("C", 'Dry_Litterbag Placem_Collection'!T104)),"YES","NO")</f>
        <v>YES</v>
      </c>
      <c r="AM323" s="270" t="str">
        <f>IF(ISNUMBER(SEARCH("H", 'Dry_Litterbag Placem_Collection'!T104)),"YES","NO")</f>
        <v>YES</v>
      </c>
      <c r="AN323" s="270" t="str">
        <f>IF(ISNUMBER(SEARCH("R", 'Dry_Litterbag Placem_Collection'!T104)),"YES","NO")</f>
        <v>NO</v>
      </c>
    </row>
    <row r="324" spans="1:40" ht="15" customHeight="1">
      <c r="A324" s="262" t="s">
        <v>2659</v>
      </c>
      <c r="B324" s="263">
        <f>'Dry_Litterbag Placem_Collection'!A105</f>
        <v>103</v>
      </c>
      <c r="C324" s="263" t="str">
        <f>'Dry_Litterbag Placem_Collection'!B105</f>
        <v xml:space="preserve">Mwantimba
</v>
      </c>
      <c r="D324" s="263" t="s">
        <v>2460</v>
      </c>
      <c r="E324" s="263" t="s">
        <v>2660</v>
      </c>
      <c r="F324" s="263">
        <v>1</v>
      </c>
      <c r="G324" s="264" t="str">
        <f>'Dry_Litterbag Placem_Collection'!C105</f>
        <v>Wet_Ag1_T7</v>
      </c>
      <c r="H324" s="265" t="s">
        <v>2541</v>
      </c>
      <c r="I324" s="272" t="s">
        <v>298</v>
      </c>
      <c r="J324" s="263" t="str">
        <f>IF(ISBLANK('Dry_Litterbag Placem_Collection'!K105),"","R"&amp;""&amp;'Dry_Litterbag Placem_Collection'!K105)</f>
        <v>R772</v>
      </c>
      <c r="K324" s="267">
        <f>IFERROR(INDEX('Green_rooibos initial weight'!$C$5:$C$1749,MATCH(J324, 'Green_rooibos initial weight'!$A$5:$A$1749,0)),"")</f>
        <v>2.1909999999999998</v>
      </c>
      <c r="L324" s="267">
        <f>IFERROR(K324-(TBIcalc!$Q$9+TBIcalc!$Q$10),"")</f>
        <v>1.9411999999999998</v>
      </c>
      <c r="M324" s="391">
        <f>AVERAGE(Ashed_controlls!$K$12:$K$14)</f>
        <v>2.2816647271287041</v>
      </c>
      <c r="N324" s="267">
        <f t="shared" si="26"/>
        <v>1.8969083243169773</v>
      </c>
      <c r="O324" s="267">
        <f>IF(IFERROR(INDEX('Both teabags AfterDry'!$D$3:$D$900,MATCH(J324,'Both teabags AfterDry'!$A$3:$A$900,0)),"")="","",(IFERROR(INDEX('Both teabags AfterDry'!$D$3:$D$900,MATCH(J324,'Both teabags AfterDry'!$A$3:$A$900,0)),"")))</f>
        <v>1.5579000000000001</v>
      </c>
      <c r="P324" s="267">
        <f>IFERROR(IF(O324&gt;0,O324-(TBIcalc!$Q$9),""),"")</f>
        <v>1.4073</v>
      </c>
      <c r="Q324" s="278">
        <f>IFERROR(INDEX('Ashed teabags dry'!$K$2:$K$825,MATCH(J324,'Ashed teabags dry'!$A$2:$A$825,0)),"")</f>
        <v>79.426490669094463</v>
      </c>
      <c r="R324" s="278">
        <f t="shared" si="27"/>
        <v>0.28953099681383354</v>
      </c>
      <c r="S324" s="268">
        <f>'Dry_Litterbag Placem_Collection'!E105</f>
        <v>42939</v>
      </c>
      <c r="T324" s="268">
        <f>IF('Dry_Litterbag Placem_Collection'!G105="","",'Dry_Litterbag Placem_Collection'!G105)</f>
        <v>43010</v>
      </c>
      <c r="U324" s="269">
        <f t="shared" si="25"/>
        <v>71</v>
      </c>
      <c r="V324" s="267">
        <f t="shared" si="28"/>
        <v>0.53389999999999982</v>
      </c>
      <c r="W324" s="267">
        <f t="shared" si="29"/>
        <v>1.6073773275031438</v>
      </c>
      <c r="X324" s="271">
        <f>IFERROR(INDEX(Rainfall_Dry!$O$2:$O$217,MATCH(B324, Rainfall_Dry!$A$2:$A$217,0)),"")</f>
        <v>137.19979645800001</v>
      </c>
      <c r="Y324" s="260">
        <v>45.96</v>
      </c>
      <c r="Z324" s="260">
        <v>14.920000000000003</v>
      </c>
      <c r="AA324" s="260">
        <v>39.119999999999997</v>
      </c>
      <c r="AB324" s="261" t="s">
        <v>2673</v>
      </c>
      <c r="AC324" s="260">
        <v>8.0374568753080293</v>
      </c>
      <c r="AD324">
        <f>IF('WetLitterbags placem_collection'!AB105="","",'WetLitterbags placem_collection'!AB105)</f>
        <v>3.25</v>
      </c>
      <c r="AE324">
        <f>IF('WetLitterbags placem_collection'!Z105="","",'WetLitterbags placem_collection'!Z105)</f>
        <v>16</v>
      </c>
      <c r="AF324" s="246" t="str">
        <f>IF('WetLitterbags placem_collection'!AA105="","",'WetLitterbags placem_collection'!AA105)</f>
        <v>G</v>
      </c>
      <c r="AG324">
        <f>IF('WetLitterbags placem_collection'!AC105="","",'WetLitterbags placem_collection'!AC105)</f>
        <v>1</v>
      </c>
      <c r="AH324">
        <f>IFERROR(AVERAGE('Dry_Litterbag Placem_Collection'!O105,'Dry_Litterbag Placem_Collection'!R105),"")</f>
        <v>30.9</v>
      </c>
      <c r="AI324" s="271">
        <f>IFERROR(AVERAGE('Dry_Litterbag Placem_Collection'!N105,'Dry_Litterbag Placem_Collection'!Q105),"")</f>
        <v>28.799999999999997</v>
      </c>
      <c r="AJ324" s="270">
        <f>INDEX(Coordinates!$B$2:$B$197,MATCH(G324,Coordinates!$J$2:$J$197,0))</f>
        <v>-2.3691330289999999</v>
      </c>
      <c r="AK324" s="270">
        <f>INDEX(Coordinates!$C$2:$C$197,MATCH(G324,Coordinates!$J$2:$J$197,0))</f>
        <v>34.060233009999997</v>
      </c>
      <c r="AL324" s="270" t="str">
        <f>IF(ISNUMBER(SEARCH("C", 'Dry_Litterbag Placem_Collection'!T105)),"YES","NO")</f>
        <v>YES</v>
      </c>
      <c r="AM324" s="270" t="str">
        <f>IF(ISNUMBER(SEARCH("H", 'Dry_Litterbag Placem_Collection'!T105)),"YES","NO")</f>
        <v>YES</v>
      </c>
      <c r="AN324" s="270" t="str">
        <f>IF(ISNUMBER(SEARCH("R", 'Dry_Litterbag Placem_Collection'!T105)),"YES","NO")</f>
        <v>NO</v>
      </c>
    </row>
    <row r="325" spans="1:40" ht="15" customHeight="1">
      <c r="A325" s="262" t="s">
        <v>2659</v>
      </c>
      <c r="B325" s="263">
        <f>'Dry_Litterbag Placem_Collection'!A106</f>
        <v>104</v>
      </c>
      <c r="C325" s="263" t="str">
        <f>'Dry_Litterbag Placem_Collection'!B106</f>
        <v xml:space="preserve">Mwantimba
</v>
      </c>
      <c r="D325" s="263" t="s">
        <v>2460</v>
      </c>
      <c r="E325" s="263" t="s">
        <v>2660</v>
      </c>
      <c r="F325" s="263">
        <v>1</v>
      </c>
      <c r="G325" s="264" t="str">
        <f>'Dry_Litterbag Placem_Collection'!C106</f>
        <v>Wet_Ag1_T8</v>
      </c>
      <c r="H325" s="265" t="s">
        <v>2541</v>
      </c>
      <c r="I325" s="272" t="s">
        <v>298</v>
      </c>
      <c r="J325" s="263" t="str">
        <f>IF(ISBLANK('Dry_Litterbag Placem_Collection'!K106),"","R"&amp;""&amp;'Dry_Litterbag Placem_Collection'!K106)</f>
        <v>R744</v>
      </c>
      <c r="K325" s="267">
        <f>IFERROR(INDEX('Green_rooibos initial weight'!$C$5:$C$1749,MATCH(J325, 'Green_rooibos initial weight'!$A$5:$A$1749,0)),"")</f>
        <v>2.2280000000000002</v>
      </c>
      <c r="L325" s="267">
        <f>IFERROR(K325-(TBIcalc!$Q$9+TBIcalc!$Q$10),"")</f>
        <v>1.9782000000000002</v>
      </c>
      <c r="M325" s="391">
        <f>AVERAGE(Ashed_controlls!$K$12:$K$14)</f>
        <v>2.2816647271287041</v>
      </c>
      <c r="N325" s="267">
        <f t="shared" si="26"/>
        <v>1.9330641083679401</v>
      </c>
      <c r="O325" s="267" t="str">
        <f>IF(IFERROR(INDEX('Both teabags AfterDry'!$D$3:$D$900,MATCH(J325,'Both teabags AfterDry'!$A$3:$A$900,0)),"")="","",(IFERROR(INDEX('Both teabags AfterDry'!$D$3:$D$900,MATCH(J325,'Both teabags AfterDry'!$A$3:$A$900,0)),"")))</f>
        <v/>
      </c>
      <c r="P325" s="267" t="str">
        <f>IFERROR(IF(O325&gt;0,O325-(TBIcalc!$Q$9),""),"")</f>
        <v/>
      </c>
      <c r="Q325" s="278">
        <f>IFERROR(INDEX('Ashed teabags dry'!$K$2:$K$825,MATCH(J325,'Ashed teabags dry'!$A$2:$A$825,0)),"")</f>
        <v>84.528487229861895</v>
      </c>
      <c r="R325" s="278" t="str">
        <f t="shared" si="27"/>
        <v/>
      </c>
      <c r="S325" s="268">
        <f>'Dry_Litterbag Placem_Collection'!E106</f>
        <v>42939</v>
      </c>
      <c r="T325" s="268">
        <f>IF('Dry_Litterbag Placem_Collection'!G106="","",'Dry_Litterbag Placem_Collection'!G106)</f>
        <v>43010</v>
      </c>
      <c r="U325" s="269">
        <f t="shared" si="25"/>
        <v>71</v>
      </c>
      <c r="V325" s="267" t="str">
        <f t="shared" si="28"/>
        <v/>
      </c>
      <c r="W325" s="267" t="str">
        <f t="shared" si="29"/>
        <v/>
      </c>
      <c r="X325" s="271">
        <f>IFERROR(INDEX(Rainfall_Dry!$O$2:$O$217,MATCH(B325, Rainfall_Dry!$A$2:$A$217,0)),"")</f>
        <v>137.19979645800001</v>
      </c>
      <c r="Y325" s="260">
        <v>45.96</v>
      </c>
      <c r="Z325" s="260">
        <v>14.920000000000003</v>
      </c>
      <c r="AA325" s="260">
        <v>39.119999999999997</v>
      </c>
      <c r="AB325" s="261" t="s">
        <v>2673</v>
      </c>
      <c r="AC325" s="260">
        <v>9.0374568753080293</v>
      </c>
      <c r="AD325">
        <f>IF('WetLitterbags placem_collection'!AB106="","",'WetLitterbags placem_collection'!AB106)</f>
        <v>10.5</v>
      </c>
      <c r="AE325">
        <f>IF('WetLitterbags placem_collection'!Z106="","",'WetLitterbags placem_collection'!Z106)</f>
        <v>17</v>
      </c>
      <c r="AF325" s="246" t="str">
        <f>IF('WetLitterbags placem_collection'!AA106="","",'WetLitterbags placem_collection'!AA106)</f>
        <v>G</v>
      </c>
      <c r="AG325">
        <f>IF('WetLitterbags placem_collection'!AC106="","",'WetLitterbags placem_collection'!AC106)</f>
        <v>1</v>
      </c>
      <c r="AH325">
        <f>IFERROR(AVERAGE('Dry_Litterbag Placem_Collection'!O106,'Dry_Litterbag Placem_Collection'!R106),"")</f>
        <v>9.3000000000000007</v>
      </c>
      <c r="AI325" s="271">
        <f>IFERROR(AVERAGE('Dry_Litterbag Placem_Collection'!N106,'Dry_Litterbag Placem_Collection'!Q106),"")</f>
        <v>28.05</v>
      </c>
      <c r="AJ325" s="270">
        <f>INDEX(Coordinates!$B$2:$B$197,MATCH(G325,Coordinates!$J$2:$J$197,0))</f>
        <v>-2.3692910280000001</v>
      </c>
      <c r="AK325" s="270">
        <f>INDEX(Coordinates!$C$2:$C$197,MATCH(G325,Coordinates!$J$2:$J$197,0))</f>
        <v>34.06016202</v>
      </c>
      <c r="AL325" s="270" t="str">
        <f>IF(ISNUMBER(SEARCH("C", 'Dry_Litterbag Placem_Collection'!T106)),"YES","NO")</f>
        <v>YES</v>
      </c>
      <c r="AM325" s="270" t="str">
        <f>IF(ISNUMBER(SEARCH("H", 'Dry_Litterbag Placem_Collection'!T106)),"YES","NO")</f>
        <v>YES</v>
      </c>
      <c r="AN325" s="270" t="str">
        <f>IF(ISNUMBER(SEARCH("R", 'Dry_Litterbag Placem_Collection'!T106)),"YES","NO")</f>
        <v>NO</v>
      </c>
    </row>
    <row r="326" spans="1:40" ht="15" customHeight="1">
      <c r="A326" s="262" t="s">
        <v>2659</v>
      </c>
      <c r="B326" s="263">
        <f>'Dry_Litterbag Placem_Collection'!A107</f>
        <v>105</v>
      </c>
      <c r="C326" s="263" t="str">
        <f>'Dry_Litterbag Placem_Collection'!B107</f>
        <v xml:space="preserve">Mwantimba
</v>
      </c>
      <c r="D326" s="263" t="s">
        <v>2460</v>
      </c>
      <c r="E326" s="263" t="s">
        <v>2660</v>
      </c>
      <c r="F326" s="263">
        <v>2</v>
      </c>
      <c r="G326" s="264" t="str">
        <f>'Dry_Litterbag Placem_Collection'!C107</f>
        <v>Wet_Ag2_T1</v>
      </c>
      <c r="H326" s="265" t="s">
        <v>2541</v>
      </c>
      <c r="I326" s="272" t="s">
        <v>298</v>
      </c>
      <c r="J326" s="263" t="str">
        <f>IF(ISBLANK('Dry_Litterbag Placem_Collection'!K107),"","R"&amp;""&amp;'Dry_Litterbag Placem_Collection'!K107)</f>
        <v>R824</v>
      </c>
      <c r="K326" s="267">
        <f>IFERROR(INDEX('Green_rooibos initial weight'!$C$5:$C$1749,MATCH(J326, 'Green_rooibos initial weight'!$A$5:$A$1749,0)),"")</f>
        <v>2.173</v>
      </c>
      <c r="L326" s="267">
        <f>IFERROR(K326-(TBIcalc!$Q$9+TBIcalc!$Q$10),"")</f>
        <v>1.9232</v>
      </c>
      <c r="M326" s="391">
        <f>AVERAGE(Ashed_controlls!$K$12:$K$14)</f>
        <v>2.2816647271287041</v>
      </c>
      <c r="N326" s="267">
        <f t="shared" si="26"/>
        <v>1.8793190239678608</v>
      </c>
      <c r="O326" s="267">
        <f>IF(IFERROR(INDEX('Both teabags AfterDry'!$D$3:$D$900,MATCH(J326,'Both teabags AfterDry'!$A$3:$A$900,0)),"")="","",(IFERROR(INDEX('Both teabags AfterDry'!$D$3:$D$900,MATCH(J326,'Both teabags AfterDry'!$A$3:$A$900,0)),"")))</f>
        <v>1.7653000000000001</v>
      </c>
      <c r="P326" s="267">
        <f>IFERROR(IF(O326&gt;0,O326-(TBIcalc!$Q$9),""),"")</f>
        <v>1.6147</v>
      </c>
      <c r="Q326" s="278">
        <f>IFERROR(INDEX('Ashed teabags dry'!$K$2:$K$825,MATCH(J326,'Ashed teabags dry'!$A$2:$A$825,0)),"")</f>
        <v>83.348375451263863</v>
      </c>
      <c r="R326" s="278">
        <f t="shared" si="27"/>
        <v>0.26887378158844233</v>
      </c>
      <c r="S326" s="268">
        <f>'Dry_Litterbag Placem_Collection'!E107</f>
        <v>42939</v>
      </c>
      <c r="T326" s="268">
        <f>IF('Dry_Litterbag Placem_Collection'!G107="","",'Dry_Litterbag Placem_Collection'!G107)</f>
        <v>43010</v>
      </c>
      <c r="U326" s="269">
        <f t="shared" si="25"/>
        <v>71</v>
      </c>
      <c r="V326" s="267">
        <f t="shared" si="28"/>
        <v>0.3085</v>
      </c>
      <c r="W326" s="267">
        <f t="shared" si="29"/>
        <v>1.6104452423794184</v>
      </c>
      <c r="X326" s="271">
        <f>IFERROR(INDEX(Rainfall_Dry!$O$2:$O$217,MATCH(B326, Rainfall_Dry!$A$2:$A$217,0)),"")</f>
        <v>137.19979645800001</v>
      </c>
      <c r="Y326" s="260">
        <v>34.344660194174757</v>
      </c>
      <c r="Z326" s="260">
        <v>19.22727272727273</v>
      </c>
      <c r="AA326" s="260">
        <v>46.428067078552509</v>
      </c>
      <c r="AB326" s="261" t="s">
        <v>2670</v>
      </c>
      <c r="AC326" s="260">
        <v>1.7452932479053718</v>
      </c>
      <c r="AD326">
        <f>IF('WetLitterbags placem_collection'!AB107="","",'WetLitterbags placem_collection'!AB107)</f>
        <v>5.5</v>
      </c>
      <c r="AE326">
        <f>IF('WetLitterbags placem_collection'!Z107="","",'WetLitterbags placem_collection'!Z107)</f>
        <v>23.5</v>
      </c>
      <c r="AF326" s="246" t="str">
        <f>IF('WetLitterbags placem_collection'!AA107="","",'WetLitterbags placem_collection'!AA107)</f>
        <v>M</v>
      </c>
      <c r="AG326">
        <f>IF('WetLitterbags placem_collection'!AC107="","",'WetLitterbags placem_collection'!AC107)</f>
        <v>0</v>
      </c>
      <c r="AH326">
        <f>IFERROR(AVERAGE('Dry_Litterbag Placem_Collection'!O107,'Dry_Litterbag Placem_Collection'!R107),"")</f>
        <v>7.5500000000000007</v>
      </c>
      <c r="AI326" s="271">
        <f>IFERROR(AVERAGE('Dry_Litterbag Placem_Collection'!N107,'Dry_Litterbag Placem_Collection'!Q107),"")</f>
        <v>30.549999999999997</v>
      </c>
      <c r="AJ326" s="270">
        <f>INDEX(Coordinates!$B$2:$B$197,MATCH(G326,Coordinates!$J$2:$J$197,0))</f>
        <v>-2.3698080240000001</v>
      </c>
      <c r="AK326" s="270">
        <f>INDEX(Coordinates!$C$2:$C$197,MATCH(G326,Coordinates!$J$2:$J$197,0))</f>
        <v>34.059671010000002</v>
      </c>
      <c r="AL326" s="270" t="str">
        <f>IF(ISNUMBER(SEARCH("C", 'Dry_Litterbag Placem_Collection'!T107)),"YES","NO")</f>
        <v>YES</v>
      </c>
      <c r="AM326" s="270" t="str">
        <f>IF(ISNUMBER(SEARCH("H", 'Dry_Litterbag Placem_Collection'!T107)),"YES","NO")</f>
        <v>YES</v>
      </c>
      <c r="AN326" s="270" t="str">
        <f>IF(ISNUMBER(SEARCH("R", 'Dry_Litterbag Placem_Collection'!T107)),"YES","NO")</f>
        <v>NO</v>
      </c>
    </row>
    <row r="327" spans="1:40" ht="15" customHeight="1">
      <c r="A327" s="262" t="s">
        <v>2659</v>
      </c>
      <c r="B327" s="263">
        <f>'Dry_Litterbag Placem_Collection'!A108</f>
        <v>106</v>
      </c>
      <c r="C327" s="263" t="str">
        <f>'Dry_Litterbag Placem_Collection'!B108</f>
        <v xml:space="preserve">Mwantimba
</v>
      </c>
      <c r="D327" s="263" t="s">
        <v>2460</v>
      </c>
      <c r="E327" s="263" t="s">
        <v>2660</v>
      </c>
      <c r="F327" s="263">
        <v>2</v>
      </c>
      <c r="G327" s="264" t="str">
        <f>'Dry_Litterbag Placem_Collection'!C108</f>
        <v>Wet_Ag2_T2</v>
      </c>
      <c r="H327" s="265" t="s">
        <v>2541</v>
      </c>
      <c r="I327" s="272" t="s">
        <v>298</v>
      </c>
      <c r="J327" s="263" t="str">
        <f>IF(ISBLANK('Dry_Litterbag Placem_Collection'!K108),"","R"&amp;""&amp;'Dry_Litterbag Placem_Collection'!K108)</f>
        <v>R790</v>
      </c>
      <c r="K327" s="267">
        <f>IFERROR(INDEX('Green_rooibos initial weight'!$C$5:$C$1749,MATCH(J327, 'Green_rooibos initial weight'!$A$5:$A$1749,0)),"")</f>
        <v>2.266</v>
      </c>
      <c r="L327" s="267">
        <f>IFERROR(K327-(TBIcalc!$Q$9+TBIcalc!$Q$10),"")</f>
        <v>2.0162</v>
      </c>
      <c r="M327" s="391">
        <f>AVERAGE(Ashed_controlls!$K$12:$K$14)</f>
        <v>2.2816647271287041</v>
      </c>
      <c r="N327" s="267">
        <f t="shared" si="26"/>
        <v>1.9701970757716312</v>
      </c>
      <c r="O327" s="267">
        <f>IF(IFERROR(INDEX('Both teabags AfterDry'!$D$3:$D$900,MATCH(J327,'Both teabags AfterDry'!$A$3:$A$900,0)),"")="","",(IFERROR(INDEX('Both teabags AfterDry'!$D$3:$D$900,MATCH(J327,'Both teabags AfterDry'!$A$3:$A$900,0)),"")))</f>
        <v>2.2315</v>
      </c>
      <c r="P327" s="267">
        <f>IFERROR(IF(O327&gt;0,O327-(TBIcalc!$Q$9),""),"")</f>
        <v>2.0809000000000002</v>
      </c>
      <c r="Q327" s="278">
        <f>IFERROR(INDEX('Ashed teabags dry'!$K$2:$K$825,MATCH(J327,'Ashed teabags dry'!$A$2:$A$825,0)),"")</f>
        <v>81.485100146555695</v>
      </c>
      <c r="R327" s="278">
        <f t="shared" si="27"/>
        <v>0.38527655105032244</v>
      </c>
      <c r="S327" s="268">
        <f>'Dry_Litterbag Placem_Collection'!E108</f>
        <v>42939</v>
      </c>
      <c r="T327" s="268">
        <f>IF('Dry_Litterbag Placem_Collection'!G108="","",'Dry_Litterbag Placem_Collection'!G108)</f>
        <v>43010</v>
      </c>
      <c r="U327" s="269">
        <f t="shared" si="25"/>
        <v>71</v>
      </c>
      <c r="V327" s="267">
        <f t="shared" si="28"/>
        <v>-6.4700000000000202E-2</v>
      </c>
      <c r="W327" s="267">
        <f t="shared" si="29"/>
        <v>1.5849205247213087</v>
      </c>
      <c r="X327" s="271">
        <f>IFERROR(INDEX(Rainfall_Dry!$O$2:$O$217,MATCH(B327, Rainfall_Dry!$A$2:$A$217,0)),"")</f>
        <v>137.19979645800001</v>
      </c>
      <c r="Y327" s="260">
        <v>34.344660194174757</v>
      </c>
      <c r="Z327" s="260">
        <v>19.22727272727273</v>
      </c>
      <c r="AA327" s="260">
        <v>46.428067078552509</v>
      </c>
      <c r="AB327" s="261" t="s">
        <v>2670</v>
      </c>
      <c r="AC327" s="260">
        <v>2.7452932479053702</v>
      </c>
      <c r="AD327">
        <f>IF('WetLitterbags placem_collection'!AB108="","",'WetLitterbags placem_collection'!AB108)</f>
        <v>8.6</v>
      </c>
      <c r="AE327">
        <f>IF('WetLitterbags placem_collection'!Z108="","",'WetLitterbags placem_collection'!Z108)</f>
        <v>17</v>
      </c>
      <c r="AF327" s="246" t="str">
        <f>IF('WetLitterbags placem_collection'!AA108="","",'WetLitterbags placem_collection'!AA108)</f>
        <v>M</v>
      </c>
      <c r="AG327">
        <f>IF('WetLitterbags placem_collection'!AC108="","",'WetLitterbags placem_collection'!AC108)</f>
        <v>0</v>
      </c>
      <c r="AH327">
        <f>IFERROR(AVERAGE('Dry_Litterbag Placem_Collection'!O108,'Dry_Litterbag Placem_Collection'!R108),"")</f>
        <v>6.1</v>
      </c>
      <c r="AI327" s="271">
        <f>IFERROR(AVERAGE('Dry_Litterbag Placem_Collection'!N108,'Dry_Litterbag Placem_Collection'!Q108),"")</f>
        <v>31.3</v>
      </c>
      <c r="AJ327" s="270">
        <f>INDEX(Coordinates!$B$2:$B$197,MATCH(G327,Coordinates!$J$2:$J$197,0))</f>
        <v>-2.3697620069999998</v>
      </c>
      <c r="AK327" s="270">
        <f>INDEX(Coordinates!$C$2:$C$197,MATCH(G327,Coordinates!$J$2:$J$197,0))</f>
        <v>34.059730010000003</v>
      </c>
      <c r="AL327" s="270" t="str">
        <f>IF(ISNUMBER(SEARCH("C", 'Dry_Litterbag Placem_Collection'!T108)),"YES","NO")</f>
        <v>YES</v>
      </c>
      <c r="AM327" s="270" t="str">
        <f>IF(ISNUMBER(SEARCH("H", 'Dry_Litterbag Placem_Collection'!T108)),"YES","NO")</f>
        <v>YES</v>
      </c>
      <c r="AN327" s="270" t="str">
        <f>IF(ISNUMBER(SEARCH("R", 'Dry_Litterbag Placem_Collection'!T108)),"YES","NO")</f>
        <v>NO</v>
      </c>
    </row>
    <row r="328" spans="1:40" ht="15" customHeight="1">
      <c r="A328" s="262" t="s">
        <v>2659</v>
      </c>
      <c r="B328" s="263">
        <f>'Dry_Litterbag Placem_Collection'!A109</f>
        <v>107</v>
      </c>
      <c r="C328" s="263" t="str">
        <f>'Dry_Litterbag Placem_Collection'!B109</f>
        <v xml:space="preserve">Mwantimba
</v>
      </c>
      <c r="D328" s="263" t="s">
        <v>2460</v>
      </c>
      <c r="E328" s="263" t="s">
        <v>2660</v>
      </c>
      <c r="F328" s="263">
        <v>2</v>
      </c>
      <c r="G328" s="264" t="str">
        <f>'Dry_Litterbag Placem_Collection'!C109</f>
        <v>Wet_Ag2_T3</v>
      </c>
      <c r="H328" s="265" t="s">
        <v>2541</v>
      </c>
      <c r="I328" s="272" t="s">
        <v>298</v>
      </c>
      <c r="J328" s="263" t="str">
        <f>IF(ISBLANK('Dry_Litterbag Placem_Collection'!K109),"","R"&amp;""&amp;'Dry_Litterbag Placem_Collection'!K109)</f>
        <v>R809</v>
      </c>
      <c r="K328" s="267">
        <f>IFERROR(INDEX('Green_rooibos initial weight'!$C$5:$C$1749,MATCH(J328, 'Green_rooibos initial weight'!$A$5:$A$1749,0)),"")</f>
        <v>2.2210000000000001</v>
      </c>
      <c r="L328" s="267">
        <f>IFERROR(K328-(TBIcalc!$Q$9+TBIcalc!$Q$10),"")</f>
        <v>1.9712000000000001</v>
      </c>
      <c r="M328" s="391">
        <f>AVERAGE(Ashed_controlls!$K$12:$K$14)</f>
        <v>2.2816647271287041</v>
      </c>
      <c r="N328" s="267">
        <f t="shared" si="26"/>
        <v>1.926223824898839</v>
      </c>
      <c r="O328" s="267" t="str">
        <f>IF(IFERROR(INDEX('Both teabags AfterDry'!$D$3:$D$900,MATCH(J328,'Both teabags AfterDry'!$A$3:$A$900,0)),"")="","",(IFERROR(INDEX('Both teabags AfterDry'!$D$3:$D$900,MATCH(J328,'Both teabags AfterDry'!$A$3:$A$900,0)),"")))</f>
        <v/>
      </c>
      <c r="P328" s="267" t="str">
        <f>IFERROR(IF(O328&gt;0,O328-(TBIcalc!$Q$9),""),"")</f>
        <v/>
      </c>
      <c r="Q328" s="278">
        <f>IFERROR(INDEX('Ashed teabags dry'!$K$2:$K$825,MATCH(J328,'Ashed teabags dry'!$A$2:$A$825,0)),"")</f>
        <v>0</v>
      </c>
      <c r="R328" s="278" t="str">
        <f t="shared" si="27"/>
        <v/>
      </c>
      <c r="S328" s="268">
        <f>'Dry_Litterbag Placem_Collection'!E109</f>
        <v>42939</v>
      </c>
      <c r="T328" s="268">
        <f>IF('Dry_Litterbag Placem_Collection'!G109="","",'Dry_Litterbag Placem_Collection'!G109)</f>
        <v>43010</v>
      </c>
      <c r="U328" s="269">
        <f t="shared" si="25"/>
        <v>71</v>
      </c>
      <c r="V328" s="267" t="str">
        <f t="shared" si="28"/>
        <v/>
      </c>
      <c r="W328" s="267" t="str">
        <f t="shared" si="29"/>
        <v/>
      </c>
      <c r="X328" s="271">
        <f>IFERROR(INDEX(Rainfall_Dry!$O$2:$O$217,MATCH(B328, Rainfall_Dry!$A$2:$A$217,0)),"")</f>
        <v>137.19979645800001</v>
      </c>
      <c r="Y328" s="260">
        <v>34.344660194174757</v>
      </c>
      <c r="Z328" s="260">
        <v>19.22727272727273</v>
      </c>
      <c r="AA328" s="260">
        <v>46.428067078552509</v>
      </c>
      <c r="AB328" s="261" t="s">
        <v>2670</v>
      </c>
      <c r="AC328" s="260">
        <v>3.7452932479053702</v>
      </c>
      <c r="AD328">
        <f>IF('WetLitterbags placem_collection'!AB109="","",'WetLitterbags placem_collection'!AB109)</f>
        <v>3.85</v>
      </c>
      <c r="AE328">
        <f>IF('WetLitterbags placem_collection'!Z109="","",'WetLitterbags placem_collection'!Z109)</f>
        <v>15.5</v>
      </c>
      <c r="AF328" s="246" t="str">
        <f>IF('WetLitterbags placem_collection'!AA109="","",'WetLitterbags placem_collection'!AA109)</f>
        <v>M</v>
      </c>
      <c r="AG328">
        <f>IF('WetLitterbags placem_collection'!AC109="","",'WetLitterbags placem_collection'!AC109)</f>
        <v>0</v>
      </c>
      <c r="AH328">
        <f>IFERROR(AVERAGE('Dry_Litterbag Placem_Collection'!O109,'Dry_Litterbag Placem_Collection'!R109),"")</f>
        <v>5.3</v>
      </c>
      <c r="AI328" s="271">
        <f>IFERROR(AVERAGE('Dry_Litterbag Placem_Collection'!N109,'Dry_Litterbag Placem_Collection'!Q109),"")</f>
        <v>30.200000000000003</v>
      </c>
      <c r="AJ328" s="270">
        <f>INDEX(Coordinates!$B$2:$B$197,MATCH(G328,Coordinates!$J$2:$J$197,0))</f>
        <v>-2.3698409649999999</v>
      </c>
      <c r="AK328" s="270">
        <f>INDEX(Coordinates!$C$2:$C$197,MATCH(G328,Coordinates!$J$2:$J$197,0))</f>
        <v>34.059814000000003</v>
      </c>
      <c r="AL328" s="270" t="str">
        <f>IF(ISNUMBER(SEARCH("C", 'Dry_Litterbag Placem_Collection'!T109)),"YES","NO")</f>
        <v>YES</v>
      </c>
      <c r="AM328" s="270" t="str">
        <f>IF(ISNUMBER(SEARCH("H", 'Dry_Litterbag Placem_Collection'!T109)),"YES","NO")</f>
        <v>YES</v>
      </c>
      <c r="AN328" s="270" t="str">
        <f>IF(ISNUMBER(SEARCH("R", 'Dry_Litterbag Placem_Collection'!T109)),"YES","NO")</f>
        <v>NO</v>
      </c>
    </row>
    <row r="329" spans="1:40" ht="15" customHeight="1">
      <c r="A329" s="262" t="s">
        <v>2659</v>
      </c>
      <c r="B329" s="263">
        <f>'Dry_Litterbag Placem_Collection'!A110</f>
        <v>108</v>
      </c>
      <c r="C329" s="263" t="str">
        <f>'Dry_Litterbag Placem_Collection'!B110</f>
        <v xml:space="preserve">Mwantimba
</v>
      </c>
      <c r="D329" s="263" t="s">
        <v>2460</v>
      </c>
      <c r="E329" s="263" t="s">
        <v>2660</v>
      </c>
      <c r="F329" s="263">
        <v>2</v>
      </c>
      <c r="G329" s="264" t="str">
        <f>'Dry_Litterbag Placem_Collection'!C110</f>
        <v>Wet_Ag2_T4</v>
      </c>
      <c r="H329" s="265" t="s">
        <v>2541</v>
      </c>
      <c r="I329" s="272" t="s">
        <v>298</v>
      </c>
      <c r="J329" s="263" t="str">
        <f>IF(ISBLANK('Dry_Litterbag Placem_Collection'!K110),"","R"&amp;""&amp;'Dry_Litterbag Placem_Collection'!K110)</f>
        <v>R777</v>
      </c>
      <c r="K329" s="267">
        <f>IFERROR(INDEX('Green_rooibos initial weight'!$C$5:$C$1749,MATCH(J329, 'Green_rooibos initial weight'!$A$5:$A$1749,0)),"")</f>
        <v>2.2549999999999999</v>
      </c>
      <c r="L329" s="267">
        <f>IFERROR(K329-(TBIcalc!$Q$9+TBIcalc!$Q$10),"")</f>
        <v>2.0051999999999999</v>
      </c>
      <c r="M329" s="391">
        <f>AVERAGE(Ashed_controlls!$K$12:$K$14)</f>
        <v>2.2816647271287041</v>
      </c>
      <c r="N329" s="267">
        <f t="shared" si="26"/>
        <v>1.959448058891615</v>
      </c>
      <c r="O329" s="267">
        <f>IF(IFERROR(INDEX('Both teabags AfterDry'!$D$3:$D$900,MATCH(J329,'Both teabags AfterDry'!$A$3:$A$900,0)),"")="","",(IFERROR(INDEX('Both teabags AfterDry'!$D$3:$D$900,MATCH(J329,'Both teabags AfterDry'!$A$3:$A$900,0)),"")))</f>
        <v>1.8240000000000001</v>
      </c>
      <c r="P329" s="267">
        <f>IFERROR(IF(O329&gt;0,O329-(TBIcalc!$Q$9),""),"")</f>
        <v>1.6734</v>
      </c>
      <c r="Q329" s="278">
        <f>IFERROR(INDEX('Ashed teabags dry'!$K$2:$K$825,MATCH(J329,'Ashed teabags dry'!$A$2:$A$825,0)),"")</f>
        <v>4.6835443037977491</v>
      </c>
      <c r="R329" s="278">
        <f t="shared" si="27"/>
        <v>1.5950255696202484</v>
      </c>
      <c r="S329" s="268">
        <f>'Dry_Litterbag Placem_Collection'!E110</f>
        <v>42939</v>
      </c>
      <c r="T329" s="268">
        <f>IF('Dry_Litterbag Placem_Collection'!G110="","",'Dry_Litterbag Placem_Collection'!G110)</f>
        <v>43010</v>
      </c>
      <c r="U329" s="269">
        <f t="shared" si="25"/>
        <v>71</v>
      </c>
      <c r="V329" s="267">
        <f t="shared" si="28"/>
        <v>0.33179999999999987</v>
      </c>
      <c r="W329" s="267">
        <f t="shared" si="29"/>
        <v>0.36442248927136656</v>
      </c>
      <c r="X329" s="271">
        <f>IFERROR(INDEX(Rainfall_Dry!$O$2:$O$217,MATCH(B329, Rainfall_Dry!$A$2:$A$217,0)),"")</f>
        <v>137.19979645800001</v>
      </c>
      <c r="Y329" s="260">
        <v>34.344660194174757</v>
      </c>
      <c r="Z329" s="260">
        <v>19.22727272727273</v>
      </c>
      <c r="AA329" s="260">
        <v>46.428067078552509</v>
      </c>
      <c r="AB329" s="261" t="s">
        <v>2670</v>
      </c>
      <c r="AC329" s="260">
        <v>4.7452932479053702</v>
      </c>
      <c r="AD329">
        <f>IF('WetLitterbags placem_collection'!AB110="","",'WetLitterbags placem_collection'!AB110)</f>
        <v>9.6999999999999993</v>
      </c>
      <c r="AE329">
        <f>IF('WetLitterbags placem_collection'!Z110="","",'WetLitterbags placem_collection'!Z110)</f>
        <v>22.5</v>
      </c>
      <c r="AF329" s="246" t="str">
        <f>IF('WetLitterbags placem_collection'!AA110="","",'WetLitterbags placem_collection'!AA110)</f>
        <v>M</v>
      </c>
      <c r="AG329">
        <f>IF('WetLitterbags placem_collection'!AC110="","",'WetLitterbags placem_collection'!AC110)</f>
        <v>0</v>
      </c>
      <c r="AH329">
        <f>IFERROR(AVERAGE('Dry_Litterbag Placem_Collection'!O110,'Dry_Litterbag Placem_Collection'!R110),"")</f>
        <v>7.65</v>
      </c>
      <c r="AI329" s="271">
        <f>IFERROR(AVERAGE('Dry_Litterbag Placem_Collection'!N110,'Dry_Litterbag Placem_Collection'!Q110),"")</f>
        <v>31.8</v>
      </c>
      <c r="AJ329" s="270">
        <f>INDEX(Coordinates!$B$2:$B$197,MATCH(G329,Coordinates!$J$2:$J$197,0))</f>
        <v>-2.3698620030000002</v>
      </c>
      <c r="AK329" s="270">
        <f>INDEX(Coordinates!$C$2:$C$197,MATCH(G329,Coordinates!$J$2:$J$197,0))</f>
        <v>34.059759020000001</v>
      </c>
      <c r="AL329" s="270" t="str">
        <f>IF(ISNUMBER(SEARCH("C", 'Dry_Litterbag Placem_Collection'!T110)),"YES","NO")</f>
        <v>NO</v>
      </c>
      <c r="AM329" s="270" t="str">
        <f>IF(ISNUMBER(SEARCH("H", 'Dry_Litterbag Placem_Collection'!T110)),"YES","NO")</f>
        <v>NO</v>
      </c>
      <c r="AN329" s="270" t="str">
        <f>IF(ISNUMBER(SEARCH("R", 'Dry_Litterbag Placem_Collection'!T110)),"YES","NO")</f>
        <v>NO</v>
      </c>
    </row>
    <row r="330" spans="1:40" ht="15" customHeight="1">
      <c r="A330" s="262" t="s">
        <v>2659</v>
      </c>
      <c r="B330" s="263">
        <f>'Dry_Litterbag Placem_Collection'!A111</f>
        <v>109</v>
      </c>
      <c r="C330" s="263" t="str">
        <f>'Dry_Litterbag Placem_Collection'!B111</f>
        <v xml:space="preserve">Mwantimba
</v>
      </c>
      <c r="D330" s="263" t="s">
        <v>2460</v>
      </c>
      <c r="E330" s="263" t="s">
        <v>2660</v>
      </c>
      <c r="F330" s="263">
        <v>2</v>
      </c>
      <c r="G330" s="264" t="str">
        <f>'Dry_Litterbag Placem_Collection'!C111</f>
        <v>Wet_Ag2_T5</v>
      </c>
      <c r="H330" s="265" t="s">
        <v>2541</v>
      </c>
      <c r="I330" s="272" t="s">
        <v>298</v>
      </c>
      <c r="J330" s="263" t="str">
        <f>IF(ISBLANK('Dry_Litterbag Placem_Collection'!K111),"","R"&amp;""&amp;'Dry_Litterbag Placem_Collection'!K111)</f>
        <v>R804</v>
      </c>
      <c r="K330" s="267">
        <f>IFERROR(INDEX('Green_rooibos initial weight'!$C$5:$C$1749,MATCH(J330, 'Green_rooibos initial weight'!$A$5:$A$1749,0)),"")</f>
        <v>2.1960000000000002</v>
      </c>
      <c r="L330" s="267">
        <f>IFERROR(K330-(TBIcalc!$Q$9+TBIcalc!$Q$10),"")</f>
        <v>1.9462000000000002</v>
      </c>
      <c r="M330" s="391">
        <f>AVERAGE(Ashed_controlls!$K$12:$K$14)</f>
        <v>2.2816647271287041</v>
      </c>
      <c r="N330" s="267">
        <f t="shared" si="26"/>
        <v>1.9017942410806212</v>
      </c>
      <c r="O330" s="267">
        <f>IF(IFERROR(INDEX('Both teabags AfterDry'!$D$3:$D$900,MATCH(J330,'Both teabags AfterDry'!$A$3:$A$900,0)),"")="","",(IFERROR(INDEX('Both teabags AfterDry'!$D$3:$D$900,MATCH(J330,'Both teabags AfterDry'!$A$3:$A$900,0)),"")))</f>
        <v>1.3936999999999999</v>
      </c>
      <c r="P330" s="267">
        <f>IFERROR(IF(O330&gt;0,O330-(TBIcalc!$Q$9),""),"")</f>
        <v>1.2430999999999999</v>
      </c>
      <c r="Q330" s="278">
        <f>IFERROR(INDEX('Ashed teabags dry'!$K$2:$K$825,MATCH(J330,'Ashed teabags dry'!$A$2:$A$825,0)),"")</f>
        <v>71.520554730063893</v>
      </c>
      <c r="R330" s="278">
        <f t="shared" si="27"/>
        <v>0.35402798415057579</v>
      </c>
      <c r="S330" s="268">
        <f>'Dry_Litterbag Placem_Collection'!E111</f>
        <v>42939</v>
      </c>
      <c r="T330" s="268">
        <f>IF('Dry_Litterbag Placem_Collection'!G111="","",'Dry_Litterbag Placem_Collection'!G111)</f>
        <v>43010</v>
      </c>
      <c r="U330" s="269">
        <f t="shared" si="25"/>
        <v>71</v>
      </c>
      <c r="V330" s="267">
        <f t="shared" si="28"/>
        <v>0.70310000000000028</v>
      </c>
      <c r="W330" s="267">
        <f t="shared" si="29"/>
        <v>1.5477662569300454</v>
      </c>
      <c r="X330" s="271">
        <f>IFERROR(INDEX(Rainfall_Dry!$O$2:$O$217,MATCH(B330, Rainfall_Dry!$A$2:$A$217,0)),"")</f>
        <v>137.19979645800001</v>
      </c>
      <c r="Y330" s="260">
        <v>34.344660194174757</v>
      </c>
      <c r="Z330" s="260">
        <v>19.22727272727273</v>
      </c>
      <c r="AA330" s="260">
        <v>46.428067078552509</v>
      </c>
      <c r="AB330" s="261" t="s">
        <v>2670</v>
      </c>
      <c r="AC330" s="260">
        <v>5.7452932479053702</v>
      </c>
      <c r="AD330">
        <f>IF('WetLitterbags placem_collection'!AB111="","",'WetLitterbags placem_collection'!AB111)</f>
        <v>10.5</v>
      </c>
      <c r="AE330">
        <f>IF('WetLitterbags placem_collection'!Z111="","",'WetLitterbags placem_collection'!Z111)</f>
        <v>22.5</v>
      </c>
      <c r="AF330" s="246" t="str">
        <f>IF('WetLitterbags placem_collection'!AA111="","",'WetLitterbags placem_collection'!AA111)</f>
        <v>M</v>
      </c>
      <c r="AG330">
        <f>IF('WetLitterbags placem_collection'!AC111="","",'WetLitterbags placem_collection'!AC111)</f>
        <v>0</v>
      </c>
      <c r="AH330">
        <f>IFERROR(AVERAGE('Dry_Litterbag Placem_Collection'!O111,'Dry_Litterbag Placem_Collection'!R111),"")</f>
        <v>7.5</v>
      </c>
      <c r="AI330" s="271">
        <f>IFERROR(AVERAGE('Dry_Litterbag Placem_Collection'!N111,'Dry_Litterbag Placem_Collection'!Q111),"")</f>
        <v>30.65</v>
      </c>
      <c r="AJ330" s="270">
        <f>INDEX(Coordinates!$B$2:$B$197,MATCH(G330,Coordinates!$J$2:$J$197,0))</f>
        <v>-2.3698390370000002</v>
      </c>
      <c r="AK330" s="270">
        <f>INDEX(Coordinates!$C$2:$C$197,MATCH(G330,Coordinates!$J$2:$J$197,0))</f>
        <v>34.059714</v>
      </c>
      <c r="AL330" s="270" t="str">
        <f>IF(ISNUMBER(SEARCH("C", 'Dry_Litterbag Placem_Collection'!T111)),"YES","NO")</f>
        <v>YES</v>
      </c>
      <c r="AM330" s="270" t="str">
        <f>IF(ISNUMBER(SEARCH("H", 'Dry_Litterbag Placem_Collection'!T111)),"YES","NO")</f>
        <v>YES</v>
      </c>
      <c r="AN330" s="270" t="str">
        <f>IF(ISNUMBER(SEARCH("R", 'Dry_Litterbag Placem_Collection'!T111)),"YES","NO")</f>
        <v>NO</v>
      </c>
    </row>
    <row r="331" spans="1:40" ht="15" customHeight="1">
      <c r="A331" s="262" t="s">
        <v>2659</v>
      </c>
      <c r="B331" s="263">
        <f>'Dry_Litterbag Placem_Collection'!A112</f>
        <v>110</v>
      </c>
      <c r="C331" s="263" t="str">
        <f>'Dry_Litterbag Placem_Collection'!B112</f>
        <v xml:space="preserve">Mwantimba
</v>
      </c>
      <c r="D331" s="263" t="s">
        <v>2460</v>
      </c>
      <c r="E331" s="263" t="s">
        <v>2660</v>
      </c>
      <c r="F331" s="263">
        <v>2</v>
      </c>
      <c r="G331" s="264" t="str">
        <f>'Dry_Litterbag Placem_Collection'!C112</f>
        <v>Wet_Ag2_T6</v>
      </c>
      <c r="H331" s="265" t="s">
        <v>2541</v>
      </c>
      <c r="I331" s="272" t="s">
        <v>298</v>
      </c>
      <c r="J331" s="263" t="str">
        <f>IF(ISBLANK('Dry_Litterbag Placem_Collection'!K112),"","R"&amp;""&amp;'Dry_Litterbag Placem_Collection'!K112)</f>
        <v>R786</v>
      </c>
      <c r="K331" s="267">
        <f>IFERROR(INDEX('Green_rooibos initial weight'!$C$5:$C$1749,MATCH(J331, 'Green_rooibos initial weight'!$A$5:$A$1749,0)),"")</f>
        <v>2.177</v>
      </c>
      <c r="L331" s="267">
        <f>IFERROR(K331-(TBIcalc!$Q$9+TBIcalc!$Q$10),"")</f>
        <v>1.9272</v>
      </c>
      <c r="M331" s="391">
        <f>AVERAGE(Ashed_controlls!$K$12:$K$14)</f>
        <v>2.2816647271287041</v>
      </c>
      <c r="N331" s="267">
        <f t="shared" si="26"/>
        <v>1.8832277573787757</v>
      </c>
      <c r="O331" s="267">
        <f>IF(IFERROR(INDEX('Both teabags AfterDry'!$D$3:$D$900,MATCH(J331,'Both teabags AfterDry'!$A$3:$A$900,0)),"")="","",(IFERROR(INDEX('Both teabags AfterDry'!$D$3:$D$900,MATCH(J331,'Both teabags AfterDry'!$A$3:$A$900,0)),"")))</f>
        <v>1.7806</v>
      </c>
      <c r="P331" s="267">
        <f>IFERROR(IF(O331&gt;0,O331-(TBIcalc!$Q$9),""),"")</f>
        <v>1.63</v>
      </c>
      <c r="Q331" s="278">
        <f>IFERROR(INDEX('Ashed teabags dry'!$K$2:$K$825,MATCH(J331,'Ashed teabags dry'!$A$2:$A$825,0)),"")</f>
        <v>88.700312639571393</v>
      </c>
      <c r="R331" s="278">
        <f t="shared" si="27"/>
        <v>0.18418490397498632</v>
      </c>
      <c r="S331" s="268">
        <f>'Dry_Litterbag Placem_Collection'!E112</f>
        <v>42939</v>
      </c>
      <c r="T331" s="268">
        <f>IF('Dry_Litterbag Placem_Collection'!G112="","",'Dry_Litterbag Placem_Collection'!G112)</f>
        <v>43010</v>
      </c>
      <c r="U331" s="269">
        <f t="shared" si="25"/>
        <v>71</v>
      </c>
      <c r="V331" s="267">
        <f t="shared" si="28"/>
        <v>0.29720000000000013</v>
      </c>
      <c r="W331" s="267">
        <f t="shared" si="29"/>
        <v>1.6990428534037894</v>
      </c>
      <c r="X331" s="271">
        <f>IFERROR(INDEX(Rainfall_Dry!$O$2:$O$217,MATCH(B331, Rainfall_Dry!$A$2:$A$217,0)),"")</f>
        <v>137.19979645800001</v>
      </c>
      <c r="Y331" s="260">
        <v>34.344660194174757</v>
      </c>
      <c r="Z331" s="260">
        <v>19.22727272727273</v>
      </c>
      <c r="AA331" s="260">
        <v>46.428067078552509</v>
      </c>
      <c r="AB331" s="261" t="s">
        <v>2670</v>
      </c>
      <c r="AC331" s="260">
        <v>6.7452932479053702</v>
      </c>
      <c r="AD331">
        <f>IF('WetLitterbags placem_collection'!AB112="","",'WetLitterbags placem_collection'!AB112)</f>
        <v>5.75</v>
      </c>
      <c r="AE331">
        <f>IF('WetLitterbags placem_collection'!Z112="","",'WetLitterbags placem_collection'!Z112)</f>
        <v>22.5</v>
      </c>
      <c r="AF331" s="246" t="str">
        <f>IF('WetLitterbags placem_collection'!AA112="","",'WetLitterbags placem_collection'!AA112)</f>
        <v>M</v>
      </c>
      <c r="AG331">
        <f>IF('WetLitterbags placem_collection'!AC112="","",'WetLitterbags placem_collection'!AC112)</f>
        <v>0</v>
      </c>
      <c r="AH331">
        <f>IFERROR(AVERAGE('Dry_Litterbag Placem_Collection'!O112,'Dry_Litterbag Placem_Collection'!R112),"")</f>
        <v>7.3500000000000005</v>
      </c>
      <c r="AI331" s="271">
        <f>IFERROR(AVERAGE('Dry_Litterbag Placem_Collection'!N112,'Dry_Litterbag Placem_Collection'!Q112),"")</f>
        <v>31.150000000000002</v>
      </c>
      <c r="AJ331" s="270">
        <f>INDEX(Coordinates!$B$2:$B$197,MATCH(G331,Coordinates!$J$2:$J$197,0))</f>
        <v>-2.3697549659999999</v>
      </c>
      <c r="AK331" s="270">
        <f>INDEX(Coordinates!$C$2:$C$197,MATCH(G331,Coordinates!$J$2:$J$197,0))</f>
        <v>34.059668989999999</v>
      </c>
      <c r="AL331" s="270" t="str">
        <f>IF(ISNUMBER(SEARCH("C", 'Dry_Litterbag Placem_Collection'!T112)),"YES","NO")</f>
        <v>YES</v>
      </c>
      <c r="AM331" s="270" t="str">
        <f>IF(ISNUMBER(SEARCH("H", 'Dry_Litterbag Placem_Collection'!T112)),"YES","NO")</f>
        <v>YES</v>
      </c>
      <c r="AN331" s="270" t="str">
        <f>IF(ISNUMBER(SEARCH("R", 'Dry_Litterbag Placem_Collection'!T112)),"YES","NO")</f>
        <v>NO</v>
      </c>
    </row>
    <row r="332" spans="1:40" ht="15" customHeight="1">
      <c r="A332" s="262" t="s">
        <v>2659</v>
      </c>
      <c r="B332" s="263">
        <f>'Dry_Litterbag Placem_Collection'!A113</f>
        <v>111</v>
      </c>
      <c r="C332" s="263" t="str">
        <f>'Dry_Litterbag Placem_Collection'!B113</f>
        <v xml:space="preserve">Mwantimba
</v>
      </c>
      <c r="D332" s="263" t="s">
        <v>2460</v>
      </c>
      <c r="E332" s="263" t="s">
        <v>2660</v>
      </c>
      <c r="F332" s="263">
        <v>2</v>
      </c>
      <c r="G332" s="264" t="str">
        <f>'Dry_Litterbag Placem_Collection'!C113</f>
        <v>Wet_Ag2_T7</v>
      </c>
      <c r="H332" s="265" t="s">
        <v>2541</v>
      </c>
      <c r="I332" s="272" t="s">
        <v>298</v>
      </c>
      <c r="J332" s="263" t="str">
        <f>IF(ISBLANK('Dry_Litterbag Placem_Collection'!K113),"","R"&amp;""&amp;'Dry_Litterbag Placem_Collection'!K113)</f>
        <v>R835</v>
      </c>
      <c r="K332" s="267">
        <f>IFERROR(INDEX('Green_rooibos initial weight'!$C$5:$C$1749,MATCH(J332, 'Green_rooibos initial weight'!$A$5:$A$1749,0)),"")</f>
        <v>2.15</v>
      </c>
      <c r="L332" s="267">
        <f>IFERROR(K332-(TBIcalc!$Q$9+TBIcalc!$Q$10),"")</f>
        <v>1.9001999999999999</v>
      </c>
      <c r="M332" s="391">
        <f>AVERAGE(Ashed_controlls!$K$12:$K$14)</f>
        <v>2.2816647271287041</v>
      </c>
      <c r="N332" s="267">
        <f t="shared" si="26"/>
        <v>1.8568438068551003</v>
      </c>
      <c r="O332" s="267">
        <f>IF(IFERROR(INDEX('Both teabags AfterDry'!$D$3:$D$900,MATCH(J332,'Both teabags AfterDry'!$A$3:$A$900,0)),"")="","",(IFERROR(INDEX('Both teabags AfterDry'!$D$3:$D$900,MATCH(J332,'Both teabags AfterDry'!$A$3:$A$900,0)),"")))</f>
        <v>1.7563</v>
      </c>
      <c r="P332" s="267">
        <f>IFERROR(IF(O332&gt;0,O332-(TBIcalc!$Q$9),""),"")</f>
        <v>1.6056999999999999</v>
      </c>
      <c r="Q332" s="278">
        <f>IFERROR(INDEX('Ashed teabags dry'!$K$2:$K$825,MATCH(J332,'Ashed teabags dry'!$A$2:$A$825,0)),"")</f>
        <v>4.065040650406667</v>
      </c>
      <c r="R332" s="278">
        <f t="shared" si="27"/>
        <v>1.54042764227642</v>
      </c>
      <c r="S332" s="268">
        <f>'Dry_Litterbag Placem_Collection'!E113</f>
        <v>42939</v>
      </c>
      <c r="T332" s="268">
        <f>IF('Dry_Litterbag Placem_Collection'!G113="","",'Dry_Litterbag Placem_Collection'!G113)</f>
        <v>43010</v>
      </c>
      <c r="U332" s="269">
        <f t="shared" si="25"/>
        <v>71</v>
      </c>
      <c r="V332" s="267">
        <f t="shared" si="28"/>
        <v>0.29449999999999998</v>
      </c>
      <c r="W332" s="267">
        <f t="shared" si="29"/>
        <v>0.31641616457868027</v>
      </c>
      <c r="X332" s="271">
        <f>IFERROR(INDEX(Rainfall_Dry!$O$2:$O$217,MATCH(B332, Rainfall_Dry!$A$2:$A$217,0)),"")</f>
        <v>137.19979645800001</v>
      </c>
      <c r="Y332" s="260">
        <v>34.344660194174757</v>
      </c>
      <c r="Z332" s="260">
        <v>19.22727272727273</v>
      </c>
      <c r="AA332" s="260">
        <v>46.428067078552509</v>
      </c>
      <c r="AB332" s="261" t="s">
        <v>2670</v>
      </c>
      <c r="AC332" s="260">
        <v>7.7452932479053702</v>
      </c>
      <c r="AD332">
        <f>IF('WetLitterbags placem_collection'!AB113="","",'WetLitterbags placem_collection'!AB113)</f>
        <v>6.1</v>
      </c>
      <c r="AE332">
        <f>IF('WetLitterbags placem_collection'!Z113="","",'WetLitterbags placem_collection'!Z113)</f>
        <v>26</v>
      </c>
      <c r="AF332" s="246" t="str">
        <f>IF('WetLitterbags placem_collection'!AA113="","",'WetLitterbags placem_collection'!AA113)</f>
        <v>M</v>
      </c>
      <c r="AG332">
        <f>IF('WetLitterbags placem_collection'!AC113="","",'WetLitterbags placem_collection'!AC113)</f>
        <v>0</v>
      </c>
      <c r="AH332">
        <f>IFERROR(AVERAGE('Dry_Litterbag Placem_Collection'!O113,'Dry_Litterbag Placem_Collection'!R113),"")</f>
        <v>8.3000000000000007</v>
      </c>
      <c r="AI332" s="271">
        <f>IFERROR(AVERAGE('Dry_Litterbag Placem_Collection'!N113,'Dry_Litterbag Placem_Collection'!Q113),"")</f>
        <v>29.549999999999997</v>
      </c>
      <c r="AJ332" s="270">
        <f>INDEX(Coordinates!$B$2:$B$197,MATCH(G332,Coordinates!$J$2:$J$197,0))</f>
        <v>-2.3697330060000001</v>
      </c>
      <c r="AK332" s="270">
        <f>INDEX(Coordinates!$C$2:$C$197,MATCH(G332,Coordinates!$J$2:$J$197,0))</f>
        <v>34.059615010000002</v>
      </c>
      <c r="AL332" s="270" t="str">
        <f>IF(ISNUMBER(SEARCH("C", 'Dry_Litterbag Placem_Collection'!T113)),"YES","NO")</f>
        <v>NO</v>
      </c>
      <c r="AM332" s="270" t="str">
        <f>IF(ISNUMBER(SEARCH("H", 'Dry_Litterbag Placem_Collection'!T113)),"YES","NO")</f>
        <v>NO</v>
      </c>
      <c r="AN332" s="270" t="str">
        <f>IF(ISNUMBER(SEARCH("R", 'Dry_Litterbag Placem_Collection'!T113)),"YES","NO")</f>
        <v>NO</v>
      </c>
    </row>
    <row r="333" spans="1:40" ht="15" customHeight="1">
      <c r="A333" s="262" t="s">
        <v>2659</v>
      </c>
      <c r="B333" s="263">
        <f>'Dry_Litterbag Placem_Collection'!A114</f>
        <v>112</v>
      </c>
      <c r="C333" s="263" t="str">
        <f>'Dry_Litterbag Placem_Collection'!B114</f>
        <v xml:space="preserve">Mwantimba
</v>
      </c>
      <c r="D333" s="263" t="s">
        <v>2460</v>
      </c>
      <c r="E333" s="263" t="s">
        <v>2660</v>
      </c>
      <c r="F333" s="263">
        <v>2</v>
      </c>
      <c r="G333" s="264" t="str">
        <f>'Dry_Litterbag Placem_Collection'!C114</f>
        <v>Wet_Ag2_T8</v>
      </c>
      <c r="H333" s="265" t="s">
        <v>2541</v>
      </c>
      <c r="I333" s="272" t="s">
        <v>298</v>
      </c>
      <c r="J333" s="263" t="str">
        <f>IF(ISBLANK('Dry_Litterbag Placem_Collection'!K114),"","R"&amp;""&amp;'Dry_Litterbag Placem_Collection'!K114)</f>
        <v/>
      </c>
      <c r="K333" s="267" t="str">
        <f>IFERROR(INDEX('Green_rooibos initial weight'!$C$5:$C$1749,MATCH(J333, 'Green_rooibos initial weight'!$A$5:$A$1749,0)),"")</f>
        <v/>
      </c>
      <c r="L333" s="267" t="str">
        <f>IFERROR(K333-(TBIcalc!$Q$9+TBIcalc!$Q$10),"")</f>
        <v/>
      </c>
      <c r="M333" s="391">
        <f>AVERAGE(Ashed_controlls!$K$12:$K$14)</f>
        <v>2.2816647271287041</v>
      </c>
      <c r="N333" s="267" t="str">
        <f t="shared" si="26"/>
        <v/>
      </c>
      <c r="O333" s="267" t="str">
        <f>IF(IFERROR(INDEX('Both teabags AfterDry'!$D$3:$D$900,MATCH(J333,'Both teabags AfterDry'!$A$3:$A$900,0)),"")="","",(IFERROR(INDEX('Both teabags AfterDry'!$D$3:$D$900,MATCH(J333,'Both teabags AfterDry'!$A$3:$A$900,0)),"")))</f>
        <v/>
      </c>
      <c r="P333" s="267" t="str">
        <f>IFERROR(IF(O333&gt;0,O333-(TBIcalc!$Q$9),""),"")</f>
        <v/>
      </c>
      <c r="Q333" s="278" t="str">
        <f>IFERROR(INDEX('Ashed teabags dry'!$K$2:$K$825,MATCH(J333,'Ashed teabags dry'!$A$2:$A$825,0)),"")</f>
        <v/>
      </c>
      <c r="R333" s="278" t="str">
        <f t="shared" si="27"/>
        <v/>
      </c>
      <c r="S333" s="268">
        <f>'Dry_Litterbag Placem_Collection'!E114</f>
        <v>0</v>
      </c>
      <c r="T333" s="268" t="str">
        <f>IF('Dry_Litterbag Placem_Collection'!G114="","",'Dry_Litterbag Placem_Collection'!G114)</f>
        <v/>
      </c>
      <c r="U333" s="269" t="str">
        <f t="shared" si="25"/>
        <v/>
      </c>
      <c r="V333" s="267" t="str">
        <f t="shared" si="28"/>
        <v/>
      </c>
      <c r="W333" s="267" t="str">
        <f t="shared" si="29"/>
        <v/>
      </c>
      <c r="X333" s="271" t="str">
        <f>IFERROR(INDEX(Rainfall_Dry!$O$2:$O$217,MATCH(B333, Rainfall_Dry!$A$2:$A$217,0)),"")</f>
        <v/>
      </c>
      <c r="Y333" s="260">
        <v>34.344660194174757</v>
      </c>
      <c r="Z333" s="260">
        <v>19.22727272727273</v>
      </c>
      <c r="AA333" s="260">
        <v>46.428067078552509</v>
      </c>
      <c r="AB333" s="261" t="s">
        <v>2670</v>
      </c>
      <c r="AC333" s="260">
        <v>8.7452932479053693</v>
      </c>
      <c r="AD333">
        <f>IF('WetLitterbags placem_collection'!AB114="","",'WetLitterbags placem_collection'!AB114)</f>
        <v>11.5</v>
      </c>
      <c r="AE333">
        <f>IF('WetLitterbags placem_collection'!Z114="","",'WetLitterbags placem_collection'!Z114)</f>
        <v>15</v>
      </c>
      <c r="AF333" s="246" t="str">
        <f>IF('WetLitterbags placem_collection'!AA114="","",'WetLitterbags placem_collection'!AA114)</f>
        <v>M</v>
      </c>
      <c r="AG333">
        <f>IF('WetLitterbags placem_collection'!AC114="","",'WetLitterbags placem_collection'!AC114)</f>
        <v>0</v>
      </c>
      <c r="AH333" t="str">
        <f>IFERROR(AVERAGE('Dry_Litterbag Placem_Collection'!O114,'Dry_Litterbag Placem_Collection'!R114),"")</f>
        <v/>
      </c>
      <c r="AI333" s="271" t="str">
        <f>IFERROR(AVERAGE('Dry_Litterbag Placem_Collection'!N114,'Dry_Litterbag Placem_Collection'!Q114),"")</f>
        <v/>
      </c>
      <c r="AJ333" s="270">
        <f>INDEX(Coordinates!$B$2:$B$197,MATCH(G333,Coordinates!$J$2:$J$197,0))</f>
        <v>-2.36967098</v>
      </c>
      <c r="AK333" s="270">
        <f>INDEX(Coordinates!$C$2:$C$197,MATCH(G333,Coordinates!$J$2:$J$197,0))</f>
        <v>34.059735959999998</v>
      </c>
      <c r="AL333" s="270" t="str">
        <f>IF(ISNUMBER(SEARCH("C", 'Dry_Litterbag Placem_Collection'!T114)),"YES","NO")</f>
        <v>NO</v>
      </c>
      <c r="AM333" s="270" t="str">
        <f>IF(ISNUMBER(SEARCH("H", 'Dry_Litterbag Placem_Collection'!T114)),"YES","NO")</f>
        <v>NO</v>
      </c>
      <c r="AN333" s="270" t="str">
        <f>IF(ISNUMBER(SEARCH("R", 'Dry_Litterbag Placem_Collection'!T114)),"YES","NO")</f>
        <v>NO</v>
      </c>
    </row>
    <row r="334" spans="1:40" ht="15" customHeight="1">
      <c r="A334" s="262" t="s">
        <v>2659</v>
      </c>
      <c r="B334" s="263">
        <f>'Dry_Litterbag Placem_Collection'!A115</f>
        <v>113</v>
      </c>
      <c r="C334" s="263" t="str">
        <f>'Dry_Litterbag Placem_Collection'!B115</f>
        <v xml:space="preserve">Mwantimba
</v>
      </c>
      <c r="D334" s="263" t="s">
        <v>2460</v>
      </c>
      <c r="E334" s="263" t="s">
        <v>2660</v>
      </c>
      <c r="F334" s="263">
        <v>3</v>
      </c>
      <c r="G334" s="264" t="str">
        <f>'Dry_Litterbag Placem_Collection'!C115</f>
        <v>Wet_Ag3_T1</v>
      </c>
      <c r="H334" s="265" t="s">
        <v>2541</v>
      </c>
      <c r="I334" s="272" t="s">
        <v>298</v>
      </c>
      <c r="J334" s="263" t="str">
        <f>IF(ISBLANK('Dry_Litterbag Placem_Collection'!K115),"","R"&amp;""&amp;'Dry_Litterbag Placem_Collection'!K115)</f>
        <v>R807</v>
      </c>
      <c r="K334" s="267">
        <f>IFERROR(INDEX('Green_rooibos initial weight'!$C$5:$C$1749,MATCH(J334, 'Green_rooibos initial weight'!$A$5:$A$1749,0)),"")</f>
        <v>2.21</v>
      </c>
      <c r="L334" s="267">
        <f>IFERROR(K334-(TBIcalc!$Q$9+TBIcalc!$Q$10),"")</f>
        <v>1.9601999999999999</v>
      </c>
      <c r="M334" s="391">
        <f>AVERAGE(Ashed_controlls!$K$12:$K$14)</f>
        <v>2.2816647271287041</v>
      </c>
      <c r="N334" s="267">
        <f t="shared" si="26"/>
        <v>1.9154748080188231</v>
      </c>
      <c r="O334" s="267">
        <f>IF(IFERROR(INDEX('Both teabags AfterDry'!$D$3:$D$900,MATCH(J334,'Both teabags AfterDry'!$A$3:$A$900,0)),"")="","",(IFERROR(INDEX('Both teabags AfterDry'!$D$3:$D$900,MATCH(J334,'Both teabags AfterDry'!$A$3:$A$900,0)),"")))</f>
        <v>1.5793999999999999</v>
      </c>
      <c r="P334" s="267">
        <f>IFERROR(IF(O334&gt;0,O334-(TBIcalc!$Q$9),""),"")</f>
        <v>1.4287999999999998</v>
      </c>
      <c r="Q334" s="278">
        <f>IFERROR(INDEX('Ashed teabags dry'!$K$2:$K$825,MATCH(J334,'Ashed teabags dry'!$A$2:$A$825,0)),"")</f>
        <v>9.4054580896693931</v>
      </c>
      <c r="R334" s="278">
        <f t="shared" si="27"/>
        <v>1.2944148148148036</v>
      </c>
      <c r="S334" s="268">
        <f>'Dry_Litterbag Placem_Collection'!E115</f>
        <v>42939</v>
      </c>
      <c r="T334" s="268">
        <f>IF('Dry_Litterbag Placem_Collection'!G115="","",'Dry_Litterbag Placem_Collection'!G115)</f>
        <v>43008</v>
      </c>
      <c r="U334" s="269">
        <f t="shared" si="25"/>
        <v>69</v>
      </c>
      <c r="V334" s="267">
        <f t="shared" si="28"/>
        <v>0.53140000000000009</v>
      </c>
      <c r="W334" s="267">
        <f t="shared" si="29"/>
        <v>0.6210599932040195</v>
      </c>
      <c r="X334" s="271">
        <f>IFERROR(INDEX(Rainfall_Dry!$O$2:$O$217,MATCH(B334, Rainfall_Dry!$A$2:$A$217,0)),"")</f>
        <v>136.27214243</v>
      </c>
      <c r="Y334" s="260">
        <v>27.96</v>
      </c>
      <c r="Z334" s="260">
        <v>4.9200000000000017</v>
      </c>
      <c r="AA334" s="260">
        <v>67.12</v>
      </c>
      <c r="AB334" s="261" t="s">
        <v>2670</v>
      </c>
      <c r="AC334" s="260">
        <v>0.88610152784622953</v>
      </c>
      <c r="AD334">
        <f>IF('WetLitterbags placem_collection'!AB115="","",'WetLitterbags placem_collection'!AB115)</f>
        <v>26</v>
      </c>
      <c r="AE334">
        <f>IF('WetLitterbags placem_collection'!Z115="","",'WetLitterbags placem_collection'!Z115)</f>
        <v>88.5</v>
      </c>
      <c r="AF334" s="246" t="str">
        <f>IF('WetLitterbags placem_collection'!AA115="","",'WetLitterbags placem_collection'!AA115)</f>
        <v>G</v>
      </c>
      <c r="AG334">
        <f>IF('WetLitterbags placem_collection'!AC115="","",'WetLitterbags placem_collection'!AC115)</f>
        <v>0</v>
      </c>
      <c r="AH334">
        <f>IFERROR(AVERAGE('Dry_Litterbag Placem_Collection'!O115,'Dry_Litterbag Placem_Collection'!R115),"")</f>
        <v>6.35</v>
      </c>
      <c r="AI334" s="271">
        <f>IFERROR(AVERAGE('Dry_Litterbag Placem_Collection'!N115,'Dry_Litterbag Placem_Collection'!Q115),"")</f>
        <v>28.9</v>
      </c>
      <c r="AJ334" s="270">
        <f>INDEX(Coordinates!$B$2:$B$197,MATCH(G334,Coordinates!$J$2:$J$197,0))</f>
        <v>-2.3487199940000001</v>
      </c>
      <c r="AK334" s="270">
        <f>INDEX(Coordinates!$C$2:$C$197,MATCH(G334,Coordinates!$J$2:$J$197,0))</f>
        <v>34.051391029999998</v>
      </c>
      <c r="AL334" s="270" t="str">
        <f>IF(ISNUMBER(SEARCH("C", 'Dry_Litterbag Placem_Collection'!T115)),"YES","NO")</f>
        <v>NO</v>
      </c>
      <c r="AM334" s="270" t="str">
        <f>IF(ISNUMBER(SEARCH("H", 'Dry_Litterbag Placem_Collection'!T115)),"YES","NO")</f>
        <v>NO</v>
      </c>
      <c r="AN334" s="270" t="str">
        <f>IF(ISNUMBER(SEARCH("R", 'Dry_Litterbag Placem_Collection'!T115)),"YES","NO")</f>
        <v>NO</v>
      </c>
    </row>
    <row r="335" spans="1:40" ht="15" customHeight="1">
      <c r="A335" s="262" t="s">
        <v>2659</v>
      </c>
      <c r="B335" s="263">
        <f>'Dry_Litterbag Placem_Collection'!A116</f>
        <v>114</v>
      </c>
      <c r="C335" s="263" t="str">
        <f>'Dry_Litterbag Placem_Collection'!B116</f>
        <v xml:space="preserve">Mwantimba
</v>
      </c>
      <c r="D335" s="263" t="s">
        <v>2460</v>
      </c>
      <c r="E335" s="263" t="s">
        <v>2660</v>
      </c>
      <c r="F335" s="263">
        <v>3</v>
      </c>
      <c r="G335" s="264" t="str">
        <f>'Dry_Litterbag Placem_Collection'!C116</f>
        <v>Wet_Ag3_T2</v>
      </c>
      <c r="H335" s="265" t="s">
        <v>2541</v>
      </c>
      <c r="I335" s="272" t="s">
        <v>298</v>
      </c>
      <c r="J335" s="263" t="str">
        <f>IF(ISBLANK('Dry_Litterbag Placem_Collection'!K116),"","R"&amp;""&amp;'Dry_Litterbag Placem_Collection'!K116)</f>
        <v>R829</v>
      </c>
      <c r="K335" s="267">
        <f>IFERROR(INDEX('Green_rooibos initial weight'!$C$5:$C$1749,MATCH(J335, 'Green_rooibos initial weight'!$A$5:$A$1749,0)),"")</f>
        <v>2.1880000000000002</v>
      </c>
      <c r="L335" s="267">
        <f>IFERROR(K335-(TBIcalc!$Q$9+TBIcalc!$Q$10),"")</f>
        <v>1.9382000000000001</v>
      </c>
      <c r="M335" s="391">
        <f>AVERAGE(Ashed_controlls!$K$12:$K$14)</f>
        <v>2.2816647271287041</v>
      </c>
      <c r="N335" s="267">
        <f t="shared" si="26"/>
        <v>1.8939767742587916</v>
      </c>
      <c r="O335" s="267">
        <f>IF(IFERROR(INDEX('Both teabags AfterDry'!$D$3:$D$900,MATCH(J335,'Both teabags AfterDry'!$A$3:$A$900,0)),"")="","",(IFERROR(INDEX('Both teabags AfterDry'!$D$3:$D$900,MATCH(J335,'Both teabags AfterDry'!$A$3:$A$900,0)),"")))</f>
        <v>1.1127</v>
      </c>
      <c r="P335" s="267">
        <f>IFERROR(IF(O335&gt;0,O335-(TBIcalc!$Q$9),""),"")</f>
        <v>0.96209999999999996</v>
      </c>
      <c r="Q335" s="278">
        <f>IFERROR(INDEX('Ashed teabags dry'!$K$2:$K$825,MATCH(J335,'Ashed teabags dry'!$A$2:$A$825,0)),"")</f>
        <v>88.557650153441656</v>
      </c>
      <c r="R335" s="278">
        <f t="shared" si="27"/>
        <v>0.11008684787373779</v>
      </c>
      <c r="S335" s="268">
        <f>'Dry_Litterbag Placem_Collection'!E116</f>
        <v>42939</v>
      </c>
      <c r="T335" s="268">
        <f>IF('Dry_Litterbag Placem_Collection'!G116="","",'Dry_Litterbag Placem_Collection'!G116)</f>
        <v>43008</v>
      </c>
      <c r="U335" s="269">
        <f t="shared" si="25"/>
        <v>69</v>
      </c>
      <c r="V335" s="267">
        <f t="shared" si="28"/>
        <v>0.97610000000000019</v>
      </c>
      <c r="W335" s="267">
        <f t="shared" si="29"/>
        <v>1.7838899263850538</v>
      </c>
      <c r="X335" s="271">
        <f>IFERROR(INDEX(Rainfall_Dry!$O$2:$O$217,MATCH(B335, Rainfall_Dry!$A$2:$A$217,0)),"")</f>
        <v>136.27214243</v>
      </c>
      <c r="Y335" s="260">
        <v>27.96</v>
      </c>
      <c r="Z335" s="260">
        <v>4.9200000000000017</v>
      </c>
      <c r="AA335" s="260">
        <v>67.12</v>
      </c>
      <c r="AB335" s="261" t="s">
        <v>2670</v>
      </c>
      <c r="AC335" s="260">
        <v>1.8861015278462301</v>
      </c>
      <c r="AD335">
        <f>IF('WetLitterbags placem_collection'!AB116="","",'WetLitterbags placem_collection'!AB116)</f>
        <v>16.5</v>
      </c>
      <c r="AE335">
        <f>IF('WetLitterbags placem_collection'!Z116="","",'WetLitterbags placem_collection'!Z116)</f>
        <v>87.5</v>
      </c>
      <c r="AF335" s="246" t="str">
        <f>IF('WetLitterbags placem_collection'!AA116="","",'WetLitterbags placem_collection'!AA116)</f>
        <v>G</v>
      </c>
      <c r="AG335">
        <f>IF('WetLitterbags placem_collection'!AC116="","",'WetLitterbags placem_collection'!AC116)</f>
        <v>0</v>
      </c>
      <c r="AH335">
        <f>IFERROR(AVERAGE('Dry_Litterbag Placem_Collection'!O116,'Dry_Litterbag Placem_Collection'!R116),"")</f>
        <v>12.1</v>
      </c>
      <c r="AI335" s="271">
        <f>IFERROR(AVERAGE('Dry_Litterbag Placem_Collection'!N116,'Dry_Litterbag Placem_Collection'!Q116),"")</f>
        <v>28.1</v>
      </c>
      <c r="AJ335" s="270">
        <f>INDEX(Coordinates!$B$2:$B$197,MATCH(G335,Coordinates!$J$2:$J$197,0))</f>
        <v>-2.348716976</v>
      </c>
      <c r="AK335" s="270">
        <f>INDEX(Coordinates!$C$2:$C$197,MATCH(G335,Coordinates!$J$2:$J$197,0))</f>
        <v>34.051484989999999</v>
      </c>
      <c r="AL335" s="270" t="str">
        <f>IF(ISNUMBER(SEARCH("C", 'Dry_Litterbag Placem_Collection'!T116)),"YES","NO")</f>
        <v>NO</v>
      </c>
      <c r="AM335" s="270" t="str">
        <f>IF(ISNUMBER(SEARCH("H", 'Dry_Litterbag Placem_Collection'!T116)),"YES","NO")</f>
        <v>YES</v>
      </c>
      <c r="AN335" s="270" t="str">
        <f>IF(ISNUMBER(SEARCH("R", 'Dry_Litterbag Placem_Collection'!T116)),"YES","NO")</f>
        <v>NO</v>
      </c>
    </row>
    <row r="336" spans="1:40" ht="15" customHeight="1">
      <c r="A336" s="262" t="s">
        <v>2659</v>
      </c>
      <c r="B336" s="263">
        <f>'Dry_Litterbag Placem_Collection'!A117</f>
        <v>115</v>
      </c>
      <c r="C336" s="263" t="str">
        <f>'Dry_Litterbag Placem_Collection'!B117</f>
        <v xml:space="preserve">Mwantimba
</v>
      </c>
      <c r="D336" s="263" t="s">
        <v>2460</v>
      </c>
      <c r="E336" s="263" t="s">
        <v>2660</v>
      </c>
      <c r="F336" s="263">
        <v>3</v>
      </c>
      <c r="G336" s="264" t="str">
        <f>'Dry_Litterbag Placem_Collection'!C117</f>
        <v>Wet_Ag3_T3</v>
      </c>
      <c r="H336" s="265" t="s">
        <v>2541</v>
      </c>
      <c r="I336" s="272" t="s">
        <v>298</v>
      </c>
      <c r="J336" s="263" t="str">
        <f>IF(ISBLANK('Dry_Litterbag Placem_Collection'!K117),"","R"&amp;""&amp;'Dry_Litterbag Placem_Collection'!K117)</f>
        <v>R766</v>
      </c>
      <c r="K336" s="267">
        <f>IFERROR(INDEX('Green_rooibos initial weight'!$C$5:$C$1749,MATCH(J336, 'Green_rooibos initial weight'!$A$5:$A$1749,0)),"")</f>
        <v>2.21</v>
      </c>
      <c r="L336" s="267">
        <f>IFERROR(K336-(TBIcalc!$Q$9+TBIcalc!$Q$10),"")</f>
        <v>1.9601999999999999</v>
      </c>
      <c r="M336" s="391">
        <f>AVERAGE(Ashed_controlls!$K$12:$K$14)</f>
        <v>2.2816647271287041</v>
      </c>
      <c r="N336" s="267">
        <f t="shared" si="26"/>
        <v>1.9154748080188231</v>
      </c>
      <c r="O336" s="267">
        <f>IF(IFERROR(INDEX('Both teabags AfterDry'!$D$3:$D$900,MATCH(J336,'Both teabags AfterDry'!$A$3:$A$900,0)),"")="","",(IFERROR(INDEX('Both teabags AfterDry'!$D$3:$D$900,MATCH(J336,'Both teabags AfterDry'!$A$3:$A$900,0)),"")))</f>
        <v>1.6694</v>
      </c>
      <c r="P336" s="267">
        <f>IFERROR(IF(O336&gt;0,O336-(TBIcalc!$Q$9),""),"")</f>
        <v>1.5187999999999999</v>
      </c>
      <c r="Q336" s="278">
        <f>IFERROR(INDEX('Ashed teabags dry'!$K$2:$K$825,MATCH(J336,'Ashed teabags dry'!$A$2:$A$825,0)),"")</f>
        <v>23.045267489711783</v>
      </c>
      <c r="R336" s="278">
        <f t="shared" si="27"/>
        <v>1.1687884773662574</v>
      </c>
      <c r="S336" s="268">
        <f>'Dry_Litterbag Placem_Collection'!E117</f>
        <v>42939</v>
      </c>
      <c r="T336" s="268">
        <f>IF('Dry_Litterbag Placem_Collection'!G117="","",'Dry_Litterbag Placem_Collection'!G117)</f>
        <v>43008</v>
      </c>
      <c r="U336" s="269">
        <f t="shared" si="25"/>
        <v>69</v>
      </c>
      <c r="V336" s="267">
        <f t="shared" si="28"/>
        <v>0.44140000000000001</v>
      </c>
      <c r="W336" s="267">
        <f t="shared" si="29"/>
        <v>0.74668633065256573</v>
      </c>
      <c r="X336" s="271">
        <f>IFERROR(INDEX(Rainfall_Dry!$O$2:$O$217,MATCH(B336, Rainfall_Dry!$A$2:$A$217,0)),"")</f>
        <v>136.27214243</v>
      </c>
      <c r="Y336" s="260">
        <v>27.96</v>
      </c>
      <c r="Z336" s="260">
        <v>4.9200000000000017</v>
      </c>
      <c r="AA336" s="260">
        <v>67.12</v>
      </c>
      <c r="AB336" s="261" t="s">
        <v>2670</v>
      </c>
      <c r="AC336" s="260">
        <v>2.8861015278462299</v>
      </c>
      <c r="AD336">
        <f>IF('WetLitterbags placem_collection'!AB117="","",'WetLitterbags placem_collection'!AB117)</f>
        <v>19</v>
      </c>
      <c r="AE336">
        <f>IF('WetLitterbags placem_collection'!Z117="","",'WetLitterbags placem_collection'!Z117)</f>
        <v>79.5</v>
      </c>
      <c r="AF336" s="246" t="str">
        <f>IF('WetLitterbags placem_collection'!AA117="","",'WetLitterbags placem_collection'!AA117)</f>
        <v>G</v>
      </c>
      <c r="AG336">
        <f>IF('WetLitterbags placem_collection'!AC117="","",'WetLitterbags placem_collection'!AC117)</f>
        <v>1</v>
      </c>
      <c r="AH336">
        <f>IFERROR(AVERAGE('Dry_Litterbag Placem_Collection'!O117,'Dry_Litterbag Placem_Collection'!R117),"")</f>
        <v>6.9</v>
      </c>
      <c r="AI336" s="271">
        <f>IFERROR(AVERAGE('Dry_Litterbag Placem_Collection'!N117,'Dry_Litterbag Placem_Collection'!Q117),"")</f>
        <v>28.95</v>
      </c>
      <c r="AJ336" s="270">
        <f>INDEX(Coordinates!$B$2:$B$197,MATCH(G336,Coordinates!$J$2:$J$197,0))</f>
        <v>-2.3487800079999999</v>
      </c>
      <c r="AK336" s="270">
        <f>INDEX(Coordinates!$C$2:$C$197,MATCH(G336,Coordinates!$J$2:$J$197,0))</f>
        <v>34.051495969999998</v>
      </c>
      <c r="AL336" s="270" t="str">
        <f>IF(ISNUMBER(SEARCH("C", 'Dry_Litterbag Placem_Collection'!T117)),"YES","NO")</f>
        <v>NO</v>
      </c>
      <c r="AM336" s="270" t="str">
        <f>IF(ISNUMBER(SEARCH("H", 'Dry_Litterbag Placem_Collection'!T117)),"YES","NO")</f>
        <v>YES</v>
      </c>
      <c r="AN336" s="270" t="str">
        <f>IF(ISNUMBER(SEARCH("R", 'Dry_Litterbag Placem_Collection'!T117)),"YES","NO")</f>
        <v>YES</v>
      </c>
    </row>
    <row r="337" spans="1:40" ht="15" customHeight="1">
      <c r="A337" s="262" t="s">
        <v>2659</v>
      </c>
      <c r="B337" s="263">
        <f>'Dry_Litterbag Placem_Collection'!A118</f>
        <v>116</v>
      </c>
      <c r="C337" s="263" t="str">
        <f>'Dry_Litterbag Placem_Collection'!B118</f>
        <v xml:space="preserve">Mwantimba
</v>
      </c>
      <c r="D337" s="263" t="s">
        <v>2460</v>
      </c>
      <c r="E337" s="263" t="s">
        <v>2660</v>
      </c>
      <c r="F337" s="263">
        <v>3</v>
      </c>
      <c r="G337" s="264" t="str">
        <f>'Dry_Litterbag Placem_Collection'!C118</f>
        <v>Wet_Ag3_T4</v>
      </c>
      <c r="H337" s="265" t="s">
        <v>2541</v>
      </c>
      <c r="I337" s="272" t="s">
        <v>298</v>
      </c>
      <c r="J337" s="263" t="str">
        <f>IF(ISBLANK('Dry_Litterbag Placem_Collection'!K118),"","R"&amp;""&amp;'Dry_Litterbag Placem_Collection'!K118)</f>
        <v>R757</v>
      </c>
      <c r="K337" s="267">
        <f>IFERROR(INDEX('Green_rooibos initial weight'!$C$5:$C$1749,MATCH(J337, 'Green_rooibos initial weight'!$A$5:$A$1749,0)),"")</f>
        <v>2.2050000000000001</v>
      </c>
      <c r="L337" s="267">
        <f>IFERROR(K337-(TBIcalc!$Q$9+TBIcalc!$Q$10),"")</f>
        <v>1.9552</v>
      </c>
      <c r="M337" s="391">
        <f>AVERAGE(Ashed_controlls!$K$12:$K$14)</f>
        <v>2.2816647271287041</v>
      </c>
      <c r="N337" s="267">
        <f t="shared" si="26"/>
        <v>1.9105888912551796</v>
      </c>
      <c r="O337" s="267">
        <f>IF(IFERROR(INDEX('Both teabags AfterDry'!$D$3:$D$900,MATCH(J337,'Both teabags AfterDry'!$A$3:$A$900,0)),"")="","",(IFERROR(INDEX('Both teabags AfterDry'!$D$3:$D$900,MATCH(J337,'Both teabags AfterDry'!$A$3:$A$900,0)),"")))</f>
        <v>1.7337</v>
      </c>
      <c r="P337" s="267">
        <f>IFERROR(IF(O337&gt;0,O337-(TBIcalc!$Q$9),""),"")</f>
        <v>1.5831</v>
      </c>
      <c r="Q337" s="278">
        <f>IFERROR(INDEX('Ashed teabags dry'!$K$2:$K$825,MATCH(J337,'Ashed teabags dry'!$A$2:$A$825,0)),"")</f>
        <v>14.66357308584627</v>
      </c>
      <c r="R337" s="278">
        <f t="shared" si="27"/>
        <v>1.3509609744779676</v>
      </c>
      <c r="S337" s="268">
        <f>'Dry_Litterbag Placem_Collection'!E118</f>
        <v>42939</v>
      </c>
      <c r="T337" s="268">
        <f>IF('Dry_Litterbag Placem_Collection'!G118="","",'Dry_Litterbag Placem_Collection'!G118)</f>
        <v>43008</v>
      </c>
      <c r="U337" s="269">
        <f t="shared" si="25"/>
        <v>69</v>
      </c>
      <c r="V337" s="267">
        <f t="shared" si="28"/>
        <v>0.3721000000000001</v>
      </c>
      <c r="W337" s="267">
        <f t="shared" si="29"/>
        <v>0.55962791677721202</v>
      </c>
      <c r="X337" s="271">
        <f>IFERROR(INDEX(Rainfall_Dry!$O$2:$O$217,MATCH(B337, Rainfall_Dry!$A$2:$A$217,0)),"")</f>
        <v>136.27214243</v>
      </c>
      <c r="Y337" s="260">
        <v>27.96</v>
      </c>
      <c r="Z337" s="260">
        <v>4.9200000000000017</v>
      </c>
      <c r="AA337" s="260">
        <v>67.12</v>
      </c>
      <c r="AB337" s="261" t="s">
        <v>2670</v>
      </c>
      <c r="AC337" s="260">
        <v>3.8861015278462299</v>
      </c>
      <c r="AD337">
        <f>IF('WetLitterbags placem_collection'!AB118="","",'WetLitterbags placem_collection'!AB118)</f>
        <v>22.5</v>
      </c>
      <c r="AE337">
        <f>IF('WetLitterbags placem_collection'!Z118="","",'WetLitterbags placem_collection'!Z118)</f>
        <v>76</v>
      </c>
      <c r="AF337" s="246" t="str">
        <f>IF('WetLitterbags placem_collection'!AA118="","",'WetLitterbags placem_collection'!AA118)</f>
        <v>G</v>
      </c>
      <c r="AG337">
        <f>IF('WetLitterbags placem_collection'!AC118="","",'WetLitterbags placem_collection'!AC118)</f>
        <v>1</v>
      </c>
      <c r="AH337">
        <f>IFERROR(AVERAGE('Dry_Litterbag Placem_Collection'!O118,'Dry_Litterbag Placem_Collection'!R118),"")</f>
        <v>8.65</v>
      </c>
      <c r="AI337" s="271">
        <f>IFERROR(AVERAGE('Dry_Litterbag Placem_Collection'!N118,'Dry_Litterbag Placem_Collection'!Q118),"")</f>
        <v>29.799999999999997</v>
      </c>
      <c r="AJ337" s="270">
        <f>INDEX(Coordinates!$B$2:$B$197,MATCH(G337,Coordinates!$J$2:$J$197,0))</f>
        <v>-2.3488120270000001</v>
      </c>
      <c r="AK337" s="270">
        <f>INDEX(Coordinates!$C$2:$C$197,MATCH(G337,Coordinates!$J$2:$J$197,0))</f>
        <v>34.05146697</v>
      </c>
      <c r="AL337" s="270" t="str">
        <f>IF(ISNUMBER(SEARCH("C", 'Dry_Litterbag Placem_Collection'!T118)),"YES","NO")</f>
        <v>NO</v>
      </c>
      <c r="AM337" s="270" t="str">
        <f>IF(ISNUMBER(SEARCH("H", 'Dry_Litterbag Placem_Collection'!T118)),"YES","NO")</f>
        <v>NO</v>
      </c>
      <c r="AN337" s="270" t="str">
        <f>IF(ISNUMBER(SEARCH("R", 'Dry_Litterbag Placem_Collection'!T118)),"YES","NO")</f>
        <v>NO</v>
      </c>
    </row>
    <row r="338" spans="1:40" ht="15" customHeight="1">
      <c r="A338" s="262" t="s">
        <v>2659</v>
      </c>
      <c r="B338" s="263">
        <f>'Dry_Litterbag Placem_Collection'!A119</f>
        <v>117</v>
      </c>
      <c r="C338" s="263" t="str">
        <f>'Dry_Litterbag Placem_Collection'!B119</f>
        <v xml:space="preserve">Mwantimba
</v>
      </c>
      <c r="D338" s="263" t="s">
        <v>2460</v>
      </c>
      <c r="E338" s="263" t="s">
        <v>2660</v>
      </c>
      <c r="F338" s="263">
        <v>3</v>
      </c>
      <c r="G338" s="264" t="str">
        <f>'Dry_Litterbag Placem_Collection'!C119</f>
        <v>Wet_Ag3_T5</v>
      </c>
      <c r="H338" s="265" t="s">
        <v>2541</v>
      </c>
      <c r="I338" s="272" t="s">
        <v>298</v>
      </c>
      <c r="J338" s="263" t="str">
        <f>IF(ISBLANK('Dry_Litterbag Placem_Collection'!K119),"","R"&amp;""&amp;'Dry_Litterbag Placem_Collection'!K119)</f>
        <v>R745</v>
      </c>
      <c r="K338" s="267">
        <f>IFERROR(INDEX('Green_rooibos initial weight'!$C$5:$C$1749,MATCH(J338, 'Green_rooibos initial weight'!$A$5:$A$1749,0)),"")</f>
        <v>2.2909999999999999</v>
      </c>
      <c r="L338" s="267">
        <f>IFERROR(K338-(TBIcalc!$Q$9+TBIcalc!$Q$10),"")</f>
        <v>2.0411999999999999</v>
      </c>
      <c r="M338" s="391">
        <f>AVERAGE(Ashed_controlls!$K$12:$K$14)</f>
        <v>2.2816647271287041</v>
      </c>
      <c r="N338" s="267">
        <f t="shared" si="26"/>
        <v>1.9946266595898487</v>
      </c>
      <c r="O338" s="267" t="str">
        <f>IF(IFERROR(INDEX('Both teabags AfterDry'!$D$3:$D$900,MATCH(J338,'Both teabags AfterDry'!$A$3:$A$900,0)),"")="","",(IFERROR(INDEX('Both teabags AfterDry'!$D$3:$D$900,MATCH(J338,'Both teabags AfterDry'!$A$3:$A$900,0)),"")))</f>
        <v/>
      </c>
      <c r="P338" s="267" t="str">
        <f>IFERROR(IF(O338&gt;0,O338-(TBIcalc!$Q$9),""),"")</f>
        <v/>
      </c>
      <c r="Q338" s="278" t="str">
        <f>IFERROR(INDEX('Ashed teabags dry'!$K$2:$K$825,MATCH(J338,'Ashed teabags dry'!$A$2:$A$825,0)),"")</f>
        <v/>
      </c>
      <c r="R338" s="278" t="str">
        <f t="shared" si="27"/>
        <v/>
      </c>
      <c r="S338" s="268">
        <f>'Dry_Litterbag Placem_Collection'!E119</f>
        <v>42939</v>
      </c>
      <c r="T338" s="268">
        <f>IF('Dry_Litterbag Placem_Collection'!G119="","",'Dry_Litterbag Placem_Collection'!G119)</f>
        <v>43008</v>
      </c>
      <c r="U338" s="269">
        <f t="shared" si="25"/>
        <v>69</v>
      </c>
      <c r="V338" s="267" t="str">
        <f t="shared" si="28"/>
        <v/>
      </c>
      <c r="W338" s="267" t="str">
        <f t="shared" si="29"/>
        <v/>
      </c>
      <c r="X338" s="271">
        <f>IFERROR(INDEX(Rainfall_Dry!$O$2:$O$217,MATCH(B338, Rainfall_Dry!$A$2:$A$217,0)),"")</f>
        <v>136.27214243</v>
      </c>
      <c r="Y338" s="260">
        <v>27.96</v>
      </c>
      <c r="Z338" s="260">
        <v>4.9200000000000017</v>
      </c>
      <c r="AA338" s="260">
        <v>67.12</v>
      </c>
      <c r="AB338" s="261" t="s">
        <v>2670</v>
      </c>
      <c r="AC338" s="260">
        <v>4.8861015278462299</v>
      </c>
      <c r="AD338">
        <f>IF('WetLitterbags placem_collection'!AB119="","",'WetLitterbags placem_collection'!AB119)</f>
        <v>23.5</v>
      </c>
      <c r="AE338">
        <f>IF('WetLitterbags placem_collection'!Z119="","",'WetLitterbags placem_collection'!Z119)</f>
        <v>76</v>
      </c>
      <c r="AF338" s="246" t="str">
        <f>IF('WetLitterbags placem_collection'!AA119="","",'WetLitterbags placem_collection'!AA119)</f>
        <v>G</v>
      </c>
      <c r="AG338">
        <f>IF('WetLitterbags placem_collection'!AC119="","",'WetLitterbags placem_collection'!AC119)</f>
        <v>1</v>
      </c>
      <c r="AH338">
        <f>IFERROR(AVERAGE('Dry_Litterbag Placem_Collection'!O119,'Dry_Litterbag Placem_Collection'!R119),"")</f>
        <v>10.149999999999999</v>
      </c>
      <c r="AI338" s="271">
        <f>IFERROR(AVERAGE('Dry_Litterbag Placem_Collection'!N119,'Dry_Litterbag Placem_Collection'!Q119),"")</f>
        <v>29.05</v>
      </c>
      <c r="AJ338" s="270">
        <f>INDEX(Coordinates!$B$2:$B$197,MATCH(G338,Coordinates!$J$2:$J$197,0))</f>
        <v>-2.348814961</v>
      </c>
      <c r="AK338" s="270">
        <f>INDEX(Coordinates!$C$2:$C$197,MATCH(G338,Coordinates!$J$2:$J$197,0))</f>
        <v>34.051439979999998</v>
      </c>
      <c r="AL338" s="270" t="str">
        <f>IF(ISNUMBER(SEARCH("C", 'Dry_Litterbag Placem_Collection'!T119)),"YES","NO")</f>
        <v>NO</v>
      </c>
      <c r="AM338" s="270" t="str">
        <f>IF(ISNUMBER(SEARCH("H", 'Dry_Litterbag Placem_Collection'!T119)),"YES","NO")</f>
        <v>NO</v>
      </c>
      <c r="AN338" s="270" t="str">
        <f>IF(ISNUMBER(SEARCH("R", 'Dry_Litterbag Placem_Collection'!T119)),"YES","NO")</f>
        <v>NO</v>
      </c>
    </row>
    <row r="339" spans="1:40" ht="15" customHeight="1">
      <c r="A339" s="262" t="s">
        <v>2659</v>
      </c>
      <c r="B339" s="263">
        <f>'Dry_Litterbag Placem_Collection'!A120</f>
        <v>118</v>
      </c>
      <c r="C339" s="263" t="str">
        <f>'Dry_Litterbag Placem_Collection'!B120</f>
        <v xml:space="preserve">Mwantimba
</v>
      </c>
      <c r="D339" s="263" t="s">
        <v>2460</v>
      </c>
      <c r="E339" s="263" t="s">
        <v>2660</v>
      </c>
      <c r="F339" s="263">
        <v>3</v>
      </c>
      <c r="G339" s="264" t="str">
        <f>'Dry_Litterbag Placem_Collection'!C120</f>
        <v>Wet_Ag3_T6</v>
      </c>
      <c r="H339" s="265" t="s">
        <v>2541</v>
      </c>
      <c r="I339" s="272" t="s">
        <v>298</v>
      </c>
      <c r="J339" s="263" t="str">
        <f>IF(ISBLANK('Dry_Litterbag Placem_Collection'!K120),"","R"&amp;""&amp;'Dry_Litterbag Placem_Collection'!K120)</f>
        <v>R791</v>
      </c>
      <c r="K339" s="267">
        <f>IFERROR(INDEX('Green_rooibos initial weight'!$C$5:$C$1749,MATCH(J339, 'Green_rooibos initial weight'!$A$5:$A$1749,0)),"")</f>
        <v>2.1579999999999999</v>
      </c>
      <c r="L339" s="267">
        <f>IFERROR(K339-(TBIcalc!$Q$9+TBIcalc!$Q$10),"")</f>
        <v>1.9081999999999999</v>
      </c>
      <c r="M339" s="391">
        <f>AVERAGE(Ashed_controlls!$K$12:$K$14)</f>
        <v>2.2816647271287041</v>
      </c>
      <c r="N339" s="267">
        <f t="shared" si="26"/>
        <v>1.8646612736769299</v>
      </c>
      <c r="O339" s="267">
        <f>IF(IFERROR(INDEX('Both teabags AfterDry'!$D$3:$D$900,MATCH(J339,'Both teabags AfterDry'!$A$3:$A$900,0)),"")="","",(IFERROR(INDEX('Both teabags AfterDry'!$D$3:$D$900,MATCH(J339,'Both teabags AfterDry'!$A$3:$A$900,0)),"")))</f>
        <v>1.629</v>
      </c>
      <c r="P339" s="267">
        <f>IFERROR(IF(O339&gt;0,O339-(TBIcalc!$Q$9),""),"")</f>
        <v>1.4783999999999999</v>
      </c>
      <c r="Q339" s="278">
        <f>IFERROR(INDEX('Ashed teabags dry'!$K$2:$K$825,MATCH(J339,'Ashed teabags dry'!$A$2:$A$825,0)),"")</f>
        <v>7.1167883211671752</v>
      </c>
      <c r="R339" s="278">
        <f t="shared" si="27"/>
        <v>1.3731854014598643</v>
      </c>
      <c r="S339" s="268">
        <f>'Dry_Litterbag Placem_Collection'!E120</f>
        <v>42939</v>
      </c>
      <c r="T339" s="268">
        <f>IF('Dry_Litterbag Placem_Collection'!G120="","",'Dry_Litterbag Placem_Collection'!G120)</f>
        <v>43008</v>
      </c>
      <c r="U339" s="269">
        <f t="shared" si="25"/>
        <v>69</v>
      </c>
      <c r="V339" s="267">
        <f t="shared" si="28"/>
        <v>0.42979999999999996</v>
      </c>
      <c r="W339" s="267">
        <f t="shared" si="29"/>
        <v>0.49147587221706557</v>
      </c>
      <c r="X339" s="271">
        <f>IFERROR(INDEX(Rainfall_Dry!$O$2:$O$217,MATCH(B339, Rainfall_Dry!$A$2:$A$217,0)),"")</f>
        <v>136.27214243</v>
      </c>
      <c r="Y339" s="260">
        <v>27.96</v>
      </c>
      <c r="Z339" s="260">
        <v>4.9200000000000017</v>
      </c>
      <c r="AA339" s="260">
        <v>67.12</v>
      </c>
      <c r="AB339" s="261" t="s">
        <v>2670</v>
      </c>
      <c r="AC339" s="260">
        <v>5.8861015278462299</v>
      </c>
      <c r="AD339">
        <f>IF('WetLitterbags placem_collection'!AB120="","",'WetLitterbags placem_collection'!AB120)</f>
        <v>17.5</v>
      </c>
      <c r="AE339">
        <f>IF('WetLitterbags placem_collection'!Z120="","",'WetLitterbags placem_collection'!Z120)</f>
        <v>70.5</v>
      </c>
      <c r="AF339" s="246" t="str">
        <f>IF('WetLitterbags placem_collection'!AA120="","",'WetLitterbags placem_collection'!AA120)</f>
        <v>G</v>
      </c>
      <c r="AG339">
        <f>IF('WetLitterbags placem_collection'!AC120="","",'WetLitterbags placem_collection'!AC120)</f>
        <v>1</v>
      </c>
      <c r="AH339">
        <f>IFERROR(AVERAGE('Dry_Litterbag Placem_Collection'!O120,'Dry_Litterbag Placem_Collection'!R120),"")</f>
        <v>7.8000000000000007</v>
      </c>
      <c r="AI339" s="271">
        <f>IFERROR(AVERAGE('Dry_Litterbag Placem_Collection'!N120,'Dry_Litterbag Placem_Collection'!Q120),"")</f>
        <v>28.25</v>
      </c>
      <c r="AJ339" s="270">
        <f>INDEX(Coordinates!$B$2:$B$197,MATCH(G339,Coordinates!$J$2:$J$197,0))</f>
        <v>-2.3488729629999998</v>
      </c>
      <c r="AK339" s="270">
        <f>INDEX(Coordinates!$C$2:$C$197,MATCH(G339,Coordinates!$J$2:$J$197,0))</f>
        <v>34.051454980000003</v>
      </c>
      <c r="AL339" s="270" t="str">
        <f>IF(ISNUMBER(SEARCH("C", 'Dry_Litterbag Placem_Collection'!T120)),"YES","NO")</f>
        <v>NO</v>
      </c>
      <c r="AM339" s="270" t="str">
        <f>IF(ISNUMBER(SEARCH("H", 'Dry_Litterbag Placem_Collection'!T120)),"YES","NO")</f>
        <v>NO</v>
      </c>
      <c r="AN339" s="270" t="str">
        <f>IF(ISNUMBER(SEARCH("R", 'Dry_Litterbag Placem_Collection'!T120)),"YES","NO")</f>
        <v>NO</v>
      </c>
    </row>
    <row r="340" spans="1:40" ht="15" customHeight="1">
      <c r="A340" s="262" t="s">
        <v>2659</v>
      </c>
      <c r="B340" s="263">
        <f>'Dry_Litterbag Placem_Collection'!A121</f>
        <v>119</v>
      </c>
      <c r="C340" s="263" t="str">
        <f>'Dry_Litterbag Placem_Collection'!B121</f>
        <v xml:space="preserve">Mwantimba
</v>
      </c>
      <c r="D340" s="263" t="s">
        <v>2460</v>
      </c>
      <c r="E340" s="263" t="s">
        <v>2660</v>
      </c>
      <c r="F340" s="263">
        <v>3</v>
      </c>
      <c r="G340" s="264" t="str">
        <f>'Dry_Litterbag Placem_Collection'!C121</f>
        <v>Wet_Ag3_T7</v>
      </c>
      <c r="H340" s="265" t="s">
        <v>2541</v>
      </c>
      <c r="I340" s="272" t="s">
        <v>298</v>
      </c>
      <c r="J340" s="263" t="str">
        <f>IF(ISBLANK('Dry_Litterbag Placem_Collection'!K121),"","R"&amp;""&amp;'Dry_Litterbag Placem_Collection'!K121)</f>
        <v>R802</v>
      </c>
      <c r="K340" s="267">
        <f>IFERROR(INDEX('Green_rooibos initial weight'!$C$5:$C$1749,MATCH(J340, 'Green_rooibos initial weight'!$A$5:$A$1749,0)),"")</f>
        <v>2.25</v>
      </c>
      <c r="L340" s="267">
        <f>IFERROR(K340-(TBIcalc!$Q$9+TBIcalc!$Q$10),"")</f>
        <v>2.0002</v>
      </c>
      <c r="M340" s="391">
        <f>AVERAGE(Ashed_controlls!$K$12:$K$14)</f>
        <v>2.2816647271287041</v>
      </c>
      <c r="N340" s="267">
        <f t="shared" si="26"/>
        <v>1.9545621421279717</v>
      </c>
      <c r="O340" s="267">
        <f>IF(IFERROR(INDEX('Both teabags AfterDry'!$D$3:$D$900,MATCH(J340,'Both teabags AfterDry'!$A$3:$A$900,0)),"")="","",(IFERROR(INDEX('Both teabags AfterDry'!$D$3:$D$900,MATCH(J340,'Both teabags AfterDry'!$A$3:$A$900,0)),"")))</f>
        <v>1.6778</v>
      </c>
      <c r="P340" s="267">
        <f>IFERROR(IF(O340&gt;0,O340-(TBIcalc!$Q$9),""),"")</f>
        <v>1.5271999999999999</v>
      </c>
      <c r="Q340" s="278">
        <f>IFERROR(INDEX('Ashed teabags dry'!$K$2:$K$825,MATCH(J340,'Ashed teabags dry'!$A$2:$A$825,0)),"")</f>
        <v>9.0650213573804805</v>
      </c>
      <c r="R340" s="278">
        <f t="shared" si="27"/>
        <v>1.3887589938300853</v>
      </c>
      <c r="S340" s="268">
        <f>'Dry_Litterbag Placem_Collection'!E121</f>
        <v>42939</v>
      </c>
      <c r="T340" s="268">
        <f>IF('Dry_Litterbag Placem_Collection'!G121="","",'Dry_Litterbag Placem_Collection'!G121)</f>
        <v>43008</v>
      </c>
      <c r="U340" s="269">
        <f t="shared" si="25"/>
        <v>69</v>
      </c>
      <c r="V340" s="267">
        <f t="shared" si="28"/>
        <v>0.47300000000000009</v>
      </c>
      <c r="W340" s="267">
        <f t="shared" si="29"/>
        <v>0.56580314829788647</v>
      </c>
      <c r="X340" s="271">
        <f>IFERROR(INDEX(Rainfall_Dry!$O$2:$O$217,MATCH(B340, Rainfall_Dry!$A$2:$A$217,0)),"")</f>
        <v>136.27214243</v>
      </c>
      <c r="Y340" s="260">
        <v>27.96</v>
      </c>
      <c r="Z340" s="260">
        <v>4.9200000000000017</v>
      </c>
      <c r="AA340" s="260">
        <v>67.12</v>
      </c>
      <c r="AB340" s="261" t="s">
        <v>2670</v>
      </c>
      <c r="AC340" s="260">
        <v>6.8861015278462299</v>
      </c>
      <c r="AD340">
        <f>IF('WetLitterbags placem_collection'!AB121="","",'WetLitterbags placem_collection'!AB121)</f>
        <v>18.5</v>
      </c>
      <c r="AE340">
        <f>IF('WetLitterbags placem_collection'!Z121="","",'WetLitterbags placem_collection'!Z121)</f>
        <v>74.5</v>
      </c>
      <c r="AF340" s="246" t="str">
        <f>IF('WetLitterbags placem_collection'!AA121="","",'WetLitterbags placem_collection'!AA121)</f>
        <v>G</v>
      </c>
      <c r="AG340">
        <f>IF('WetLitterbags placem_collection'!AC121="","",'WetLitterbags placem_collection'!AC121)</f>
        <v>1</v>
      </c>
      <c r="AH340">
        <f>IFERROR(AVERAGE('Dry_Litterbag Placem_Collection'!O121,'Dry_Litterbag Placem_Collection'!R121),"")</f>
        <v>10.050000000000001</v>
      </c>
      <c r="AI340" s="271">
        <f>IFERROR(AVERAGE('Dry_Litterbag Placem_Collection'!N121,'Dry_Litterbag Placem_Collection'!Q121),"")</f>
        <v>27.95</v>
      </c>
      <c r="AJ340" s="270">
        <f>INDEX(Coordinates!$B$2:$B$197,MATCH(G340,Coordinates!$J$2:$J$197,0))</f>
        <v>-2.3488589659999999</v>
      </c>
      <c r="AK340" s="270">
        <f>INDEX(Coordinates!$C$2:$C$197,MATCH(G340,Coordinates!$J$2:$J$197,0))</f>
        <v>34.051389010000001</v>
      </c>
      <c r="AL340" s="270" t="str">
        <f>IF(ISNUMBER(SEARCH("C", 'Dry_Litterbag Placem_Collection'!T121)),"YES","NO")</f>
        <v>NO</v>
      </c>
      <c r="AM340" s="270" t="str">
        <f>IF(ISNUMBER(SEARCH("H", 'Dry_Litterbag Placem_Collection'!T121)),"YES","NO")</f>
        <v>NO</v>
      </c>
      <c r="AN340" s="270" t="str">
        <f>IF(ISNUMBER(SEARCH("R", 'Dry_Litterbag Placem_Collection'!T121)),"YES","NO")</f>
        <v>NO</v>
      </c>
    </row>
    <row r="341" spans="1:40" ht="15" customHeight="1">
      <c r="A341" s="262" t="s">
        <v>2659</v>
      </c>
      <c r="B341" s="263">
        <f>'Dry_Litterbag Placem_Collection'!A122</f>
        <v>120</v>
      </c>
      <c r="C341" s="263" t="str">
        <f>'Dry_Litterbag Placem_Collection'!B122</f>
        <v xml:space="preserve">Mwantimba
</v>
      </c>
      <c r="D341" s="263" t="s">
        <v>2460</v>
      </c>
      <c r="E341" s="263" t="s">
        <v>2660</v>
      </c>
      <c r="F341" s="263">
        <v>3</v>
      </c>
      <c r="G341" s="264" t="str">
        <f>'Dry_Litterbag Placem_Collection'!C122</f>
        <v>Wet_Ag3_T8</v>
      </c>
      <c r="H341" s="265" t="s">
        <v>2541</v>
      </c>
      <c r="I341" s="272" t="s">
        <v>298</v>
      </c>
      <c r="J341" s="263" t="str">
        <f>IF(ISBLANK('Dry_Litterbag Placem_Collection'!K122),"","R"&amp;""&amp;'Dry_Litterbag Placem_Collection'!K122)</f>
        <v/>
      </c>
      <c r="K341" s="267" t="str">
        <f>IFERROR(INDEX('Green_rooibos initial weight'!$C$5:$C$1749,MATCH(J341, 'Green_rooibos initial weight'!$A$5:$A$1749,0)),"")</f>
        <v/>
      </c>
      <c r="L341" s="267" t="str">
        <f>IFERROR(K341-(TBIcalc!$Q$9+TBIcalc!$Q$10),"")</f>
        <v/>
      </c>
      <c r="M341" s="391">
        <f>AVERAGE(Ashed_controlls!$K$12:$K$14)</f>
        <v>2.2816647271287041</v>
      </c>
      <c r="N341" s="267" t="str">
        <f t="shared" si="26"/>
        <v/>
      </c>
      <c r="O341" s="267" t="str">
        <f>IF(IFERROR(INDEX('Both teabags AfterDry'!$D$3:$D$900,MATCH(J341,'Both teabags AfterDry'!$A$3:$A$900,0)),"")="","",(IFERROR(INDEX('Both teabags AfterDry'!$D$3:$D$900,MATCH(J341,'Both teabags AfterDry'!$A$3:$A$900,0)),"")))</f>
        <v/>
      </c>
      <c r="P341" s="267" t="str">
        <f>IFERROR(IF(O341&gt;0,O341-(TBIcalc!$Q$9),""),"")</f>
        <v/>
      </c>
      <c r="Q341" s="278" t="str">
        <f>IFERROR(INDEX('Ashed teabags dry'!$K$2:$K$825,MATCH(J341,'Ashed teabags dry'!$A$2:$A$825,0)),"")</f>
        <v/>
      </c>
      <c r="R341" s="278" t="str">
        <f t="shared" si="27"/>
        <v/>
      </c>
      <c r="S341" s="268">
        <f>'Dry_Litterbag Placem_Collection'!E122</f>
        <v>0</v>
      </c>
      <c r="T341" s="268" t="str">
        <f>IF('Dry_Litterbag Placem_Collection'!G122="","",'Dry_Litterbag Placem_Collection'!G122)</f>
        <v/>
      </c>
      <c r="U341" s="269" t="str">
        <f t="shared" si="25"/>
        <v/>
      </c>
      <c r="V341" s="267" t="str">
        <f t="shared" si="28"/>
        <v/>
      </c>
      <c r="W341" s="267" t="str">
        <f t="shared" si="29"/>
        <v/>
      </c>
      <c r="X341" s="271" t="str">
        <f>IFERROR(INDEX(Rainfall_Dry!$O$2:$O$217,MATCH(B341, Rainfall_Dry!$A$2:$A$217,0)),"")</f>
        <v/>
      </c>
      <c r="Y341" s="260">
        <v>27.96</v>
      </c>
      <c r="Z341" s="260">
        <v>4.9200000000000017</v>
      </c>
      <c r="AA341" s="260">
        <v>67.12</v>
      </c>
      <c r="AB341" s="261" t="s">
        <v>2670</v>
      </c>
      <c r="AC341" s="260">
        <v>7.8861015278462299</v>
      </c>
      <c r="AD341">
        <f>IF('WetLitterbags placem_collection'!AB122="","",'WetLitterbags placem_collection'!AB122)</f>
        <v>19</v>
      </c>
      <c r="AE341">
        <f>IF('WetLitterbags placem_collection'!Z122="","",'WetLitterbags placem_collection'!Z122)</f>
        <v>98.5</v>
      </c>
      <c r="AF341" s="246" t="str">
        <f>IF('WetLitterbags placem_collection'!AA122="","",'WetLitterbags placem_collection'!AA122)</f>
        <v>G</v>
      </c>
      <c r="AG341">
        <f>IF('WetLitterbags placem_collection'!AC122="","",'WetLitterbags placem_collection'!AC122)</f>
        <v>0</v>
      </c>
      <c r="AH341" t="str">
        <f>IFERROR(AVERAGE('Dry_Litterbag Placem_Collection'!O122,'Dry_Litterbag Placem_Collection'!R122),"")</f>
        <v/>
      </c>
      <c r="AI341" s="271" t="str">
        <f>IFERROR(AVERAGE('Dry_Litterbag Placem_Collection'!N122,'Dry_Litterbag Placem_Collection'!Q122),"")</f>
        <v/>
      </c>
      <c r="AJ341" s="270">
        <f>INDEX(Coordinates!$B$2:$B$197,MATCH(G341,Coordinates!$J$2:$J$197,0))</f>
        <v>-2.3486449760000001</v>
      </c>
      <c r="AK341" s="270">
        <f>INDEX(Coordinates!$C$2:$C$197,MATCH(G341,Coordinates!$J$2:$J$197,0))</f>
        <v>34.051495969999998</v>
      </c>
      <c r="AL341" s="270" t="str">
        <f>IF(ISNUMBER(SEARCH("C", 'Dry_Litterbag Placem_Collection'!T122)),"YES","NO")</f>
        <v>NO</v>
      </c>
      <c r="AM341" s="270" t="str">
        <f>IF(ISNUMBER(SEARCH("H", 'Dry_Litterbag Placem_Collection'!T122)),"YES","NO")</f>
        <v>NO</v>
      </c>
      <c r="AN341" s="270" t="str">
        <f>IF(ISNUMBER(SEARCH("R", 'Dry_Litterbag Placem_Collection'!T122)),"YES","NO")</f>
        <v>NO</v>
      </c>
    </row>
    <row r="342" spans="1:40" ht="15" customHeight="1">
      <c r="A342" s="262" t="s">
        <v>2659</v>
      </c>
      <c r="B342" s="263">
        <f>'Dry_Litterbag Placem_Collection'!A123</f>
        <v>121</v>
      </c>
      <c r="C342" s="263" t="str">
        <f>'Dry_Litterbag Placem_Collection'!B123</f>
        <v xml:space="preserve">Mwantimba
</v>
      </c>
      <c r="D342" s="263" t="s">
        <v>2460</v>
      </c>
      <c r="E342" s="263" t="s">
        <v>2660</v>
      </c>
      <c r="F342" s="263">
        <v>4</v>
      </c>
      <c r="G342" s="264" t="str">
        <f>'Dry_Litterbag Placem_Collection'!C123</f>
        <v>Wet_Ag4_T1</v>
      </c>
      <c r="H342" s="265" t="s">
        <v>2541</v>
      </c>
      <c r="I342" s="272" t="s">
        <v>298</v>
      </c>
      <c r="J342" s="263" t="str">
        <f>IF(ISBLANK('Dry_Litterbag Placem_Collection'!K123),"","R"&amp;""&amp;'Dry_Litterbag Placem_Collection'!K123)</f>
        <v>R822</v>
      </c>
      <c r="K342" s="267">
        <f>IFERROR(INDEX('Green_rooibos initial weight'!$C$5:$C$1749,MATCH(J342, 'Green_rooibos initial weight'!$A$5:$A$1749,0)),"")</f>
        <v>2.1880000000000002</v>
      </c>
      <c r="L342" s="267">
        <f>IFERROR(K342-(TBIcalc!$Q$9+TBIcalc!$Q$10),"")</f>
        <v>1.9382000000000001</v>
      </c>
      <c r="M342" s="391">
        <f>AVERAGE(Ashed_controlls!$K$12:$K$14)</f>
        <v>2.2816647271287041</v>
      </c>
      <c r="N342" s="267">
        <f t="shared" si="26"/>
        <v>1.8939767742587916</v>
      </c>
      <c r="O342" s="267" t="str">
        <f>IF(IFERROR(INDEX('Both teabags AfterDry'!$D$3:$D$900,MATCH(J342,'Both teabags AfterDry'!$A$3:$A$900,0)),"")="","",(IFERROR(INDEX('Both teabags AfterDry'!$D$3:$D$900,MATCH(J342,'Both teabags AfterDry'!$A$3:$A$900,0)),"")))</f>
        <v/>
      </c>
      <c r="P342" s="267" t="str">
        <f>IFERROR(IF(O342&gt;0,O342-(TBIcalc!$Q$9),""),"")</f>
        <v/>
      </c>
      <c r="Q342" s="278" t="str">
        <f>IFERROR(INDEX('Ashed teabags dry'!$K$2:$K$825,MATCH(J342,'Ashed teabags dry'!$A$2:$A$825,0)),"")</f>
        <v/>
      </c>
      <c r="R342" s="278" t="str">
        <f t="shared" si="27"/>
        <v/>
      </c>
      <c r="S342" s="268">
        <f>'Dry_Litterbag Placem_Collection'!E123</f>
        <v>42939</v>
      </c>
      <c r="T342" s="268">
        <f>IF('Dry_Litterbag Placem_Collection'!G123="","",'Dry_Litterbag Placem_Collection'!G123)</f>
        <v>43008</v>
      </c>
      <c r="U342" s="269">
        <f t="shared" si="25"/>
        <v>69</v>
      </c>
      <c r="V342" s="267" t="str">
        <f t="shared" si="28"/>
        <v/>
      </c>
      <c r="W342" s="267" t="str">
        <f t="shared" si="29"/>
        <v/>
      </c>
      <c r="X342" s="271">
        <f>IFERROR(INDEX(Rainfall_Dry!$O$2:$O$217,MATCH(B342, Rainfall_Dry!$A$2:$A$217,0)),"")</f>
        <v>136.27214243</v>
      </c>
      <c r="Y342" s="260">
        <v>17.96</v>
      </c>
      <c r="Z342" s="260">
        <v>4.9199999999999982</v>
      </c>
      <c r="AA342" s="260">
        <v>77.12</v>
      </c>
      <c r="AB342" s="261" t="s">
        <v>2671</v>
      </c>
      <c r="AC342" s="260">
        <v>2.0220798422868409</v>
      </c>
      <c r="AD342">
        <f>IF('WetLitterbags placem_collection'!AB123="","",'WetLitterbags placem_collection'!AB123)</f>
        <v>9.65</v>
      </c>
      <c r="AE342">
        <f>IF('WetLitterbags placem_collection'!Z123="","",'WetLitterbags placem_collection'!Z123)</f>
        <v>63</v>
      </c>
      <c r="AF342" s="246" t="str">
        <f>IF('WetLitterbags placem_collection'!AA123="","",'WetLitterbags placem_collection'!AA123)</f>
        <v>G</v>
      </c>
      <c r="AG342">
        <f>IF('WetLitterbags placem_collection'!AC123="","",'WetLitterbags placem_collection'!AC123)</f>
        <v>0</v>
      </c>
      <c r="AH342">
        <f>IFERROR(AVERAGE('Dry_Litterbag Placem_Collection'!O123,'Dry_Litterbag Placem_Collection'!R123),"")</f>
        <v>5.5</v>
      </c>
      <c r="AI342" s="271">
        <f>IFERROR(AVERAGE('Dry_Litterbag Placem_Collection'!N123,'Dry_Litterbag Placem_Collection'!Q123),"")</f>
        <v>29.1</v>
      </c>
      <c r="AJ342" s="270">
        <f>INDEX(Coordinates!$B$2:$B$197,MATCH(G342,Coordinates!$J$2:$J$197,0))</f>
        <v>-2.3492639789999998</v>
      </c>
      <c r="AK342" s="270">
        <f>INDEX(Coordinates!$C$2:$C$197,MATCH(G342,Coordinates!$J$2:$J$197,0))</f>
        <v>34.051464029999998</v>
      </c>
      <c r="AL342" s="270" t="str">
        <f>IF(ISNUMBER(SEARCH("C", 'Dry_Litterbag Placem_Collection'!T123)),"YES","NO")</f>
        <v>NO</v>
      </c>
      <c r="AM342" s="270" t="str">
        <f>IF(ISNUMBER(SEARCH("H", 'Dry_Litterbag Placem_Collection'!T123)),"YES","NO")</f>
        <v>NO</v>
      </c>
      <c r="AN342" s="270" t="str">
        <f>IF(ISNUMBER(SEARCH("R", 'Dry_Litterbag Placem_Collection'!T123)),"YES","NO")</f>
        <v>NO</v>
      </c>
    </row>
    <row r="343" spans="1:40" ht="15" customHeight="1">
      <c r="A343" s="262" t="s">
        <v>2659</v>
      </c>
      <c r="B343" s="263">
        <f>'Dry_Litterbag Placem_Collection'!A124</f>
        <v>122</v>
      </c>
      <c r="C343" s="263" t="str">
        <f>'Dry_Litterbag Placem_Collection'!B124</f>
        <v xml:space="preserve">Mwantimba
</v>
      </c>
      <c r="D343" s="263" t="s">
        <v>2460</v>
      </c>
      <c r="E343" s="263" t="s">
        <v>2660</v>
      </c>
      <c r="F343" s="263">
        <v>4</v>
      </c>
      <c r="G343" s="264" t="str">
        <f>'Dry_Litterbag Placem_Collection'!C124</f>
        <v>Wet_Ag4_T2</v>
      </c>
      <c r="H343" s="265" t="s">
        <v>2541</v>
      </c>
      <c r="I343" s="272" t="s">
        <v>298</v>
      </c>
      <c r="J343" s="263" t="str">
        <f>IF(ISBLANK('Dry_Litterbag Placem_Collection'!K124),"","R"&amp;""&amp;'Dry_Litterbag Placem_Collection'!K124)</f>
        <v>R792</v>
      </c>
      <c r="K343" s="267">
        <f>IFERROR(INDEX('Green_rooibos initial weight'!$C$5:$C$1749,MATCH(J343, 'Green_rooibos initial weight'!$A$5:$A$1749,0)),"")</f>
        <v>2.2389999999999999</v>
      </c>
      <c r="L343" s="267">
        <f>IFERROR(K343-(TBIcalc!$Q$9+TBIcalc!$Q$10),"")</f>
        <v>1.9891999999999999</v>
      </c>
      <c r="M343" s="391">
        <f>AVERAGE(Ashed_controlls!$K$12:$K$14)</f>
        <v>2.2816647271287041</v>
      </c>
      <c r="N343" s="267">
        <f t="shared" si="26"/>
        <v>1.9438131252479556</v>
      </c>
      <c r="O343" s="267" t="str">
        <f>IF(IFERROR(INDEX('Both teabags AfterDry'!$D$3:$D$900,MATCH(J343,'Both teabags AfterDry'!$A$3:$A$900,0)),"")="","",(IFERROR(INDEX('Both teabags AfterDry'!$D$3:$D$900,MATCH(J343,'Both teabags AfterDry'!$A$3:$A$900,0)),"")))</f>
        <v/>
      </c>
      <c r="P343" s="267" t="str">
        <f>IFERROR(IF(O343&gt;0,O343-(TBIcalc!$Q$9),""),"")</f>
        <v/>
      </c>
      <c r="Q343" s="278">
        <f>IFERROR(INDEX('Ashed teabags dry'!$K$2:$K$825,MATCH(J343,'Ashed teabags dry'!$A$2:$A$825,0)),"")</f>
        <v>0</v>
      </c>
      <c r="R343" s="278" t="str">
        <f t="shared" si="27"/>
        <v/>
      </c>
      <c r="S343" s="268">
        <f>'Dry_Litterbag Placem_Collection'!E124</f>
        <v>42939</v>
      </c>
      <c r="T343" s="268">
        <f>IF('Dry_Litterbag Placem_Collection'!G124="","",'Dry_Litterbag Placem_Collection'!G124)</f>
        <v>43008</v>
      </c>
      <c r="U343" s="269">
        <f t="shared" si="25"/>
        <v>69</v>
      </c>
      <c r="V343" s="267" t="str">
        <f t="shared" si="28"/>
        <v/>
      </c>
      <c r="W343" s="267" t="str">
        <f t="shared" si="29"/>
        <v/>
      </c>
      <c r="X343" s="271">
        <f>IFERROR(INDEX(Rainfall_Dry!$O$2:$O$217,MATCH(B343, Rainfall_Dry!$A$2:$A$217,0)),"")</f>
        <v>136.27214243</v>
      </c>
      <c r="Y343" s="260">
        <v>17.96</v>
      </c>
      <c r="Z343" s="260">
        <v>4.9199999999999982</v>
      </c>
      <c r="AA343" s="260">
        <v>77.12</v>
      </c>
      <c r="AB343" s="261" t="s">
        <v>2671</v>
      </c>
      <c r="AC343" s="260">
        <v>3.02207984228684</v>
      </c>
      <c r="AD343">
        <f>IF('WetLitterbags placem_collection'!AB124="","",'WetLitterbags placem_collection'!AB124)</f>
        <v>3.1</v>
      </c>
      <c r="AE343">
        <f>IF('WetLitterbags placem_collection'!Z124="","",'WetLitterbags placem_collection'!Z124)</f>
        <v>53</v>
      </c>
      <c r="AF343" s="246" t="str">
        <f>IF('WetLitterbags placem_collection'!AA124="","",'WetLitterbags placem_collection'!AA124)</f>
        <v>G</v>
      </c>
      <c r="AG343">
        <f>IF('WetLitterbags placem_collection'!AC124="","",'WetLitterbags placem_collection'!AC124)</f>
        <v>0</v>
      </c>
      <c r="AH343">
        <f>IFERROR(AVERAGE('Dry_Litterbag Placem_Collection'!O124,'Dry_Litterbag Placem_Collection'!R124),"")</f>
        <v>9.0500000000000007</v>
      </c>
      <c r="AI343" s="271">
        <f>IFERROR(AVERAGE('Dry_Litterbag Placem_Collection'!N124,'Dry_Litterbag Placem_Collection'!Q124),"")</f>
        <v>28.55</v>
      </c>
      <c r="AJ343" s="270">
        <f>INDEX(Coordinates!$B$2:$B$197,MATCH(G343,Coordinates!$J$2:$J$197,0))</f>
        <v>-2.34923196</v>
      </c>
      <c r="AK343" s="270">
        <f>INDEX(Coordinates!$C$2:$C$197,MATCH(G343,Coordinates!$J$2:$J$197,0))</f>
        <v>34.051422039999999</v>
      </c>
      <c r="AL343" s="270" t="str">
        <f>IF(ISNUMBER(SEARCH("C", 'Dry_Litterbag Placem_Collection'!T124)),"YES","NO")</f>
        <v>YES</v>
      </c>
      <c r="AM343" s="270" t="str">
        <f>IF(ISNUMBER(SEARCH("H", 'Dry_Litterbag Placem_Collection'!T124)),"YES","NO")</f>
        <v>YES</v>
      </c>
      <c r="AN343" s="270" t="str">
        <f>IF(ISNUMBER(SEARCH("R", 'Dry_Litterbag Placem_Collection'!T124)),"YES","NO")</f>
        <v>NO</v>
      </c>
    </row>
    <row r="344" spans="1:40" ht="15" customHeight="1">
      <c r="A344" s="262" t="s">
        <v>2659</v>
      </c>
      <c r="B344" s="263">
        <f>'Dry_Litterbag Placem_Collection'!A125</f>
        <v>123</v>
      </c>
      <c r="C344" s="263" t="str">
        <f>'Dry_Litterbag Placem_Collection'!B125</f>
        <v xml:space="preserve">Mwantimba
</v>
      </c>
      <c r="D344" s="263" t="s">
        <v>2460</v>
      </c>
      <c r="E344" s="263" t="s">
        <v>2660</v>
      </c>
      <c r="F344" s="263">
        <v>4</v>
      </c>
      <c r="G344" s="264" t="str">
        <f>'Dry_Litterbag Placem_Collection'!C125</f>
        <v>Wet_Ag4_T3</v>
      </c>
      <c r="H344" s="265" t="s">
        <v>2541</v>
      </c>
      <c r="I344" s="272" t="s">
        <v>298</v>
      </c>
      <c r="J344" s="263" t="str">
        <f>IF(ISBLANK('Dry_Litterbag Placem_Collection'!K125),"","R"&amp;""&amp;'Dry_Litterbag Placem_Collection'!K125)</f>
        <v>R740</v>
      </c>
      <c r="K344" s="267">
        <f>IFERROR(INDEX('Green_rooibos initial weight'!$C$5:$C$1749,MATCH(J344, 'Green_rooibos initial weight'!$A$5:$A$1749,0)),"")</f>
        <v>2.161</v>
      </c>
      <c r="L344" s="267">
        <f>IFERROR(K344-(TBIcalc!$Q$9+TBIcalc!$Q$10),"")</f>
        <v>1.9112</v>
      </c>
      <c r="M344" s="391">
        <f>AVERAGE(Ashed_controlls!$K$12:$K$14)</f>
        <v>2.2816647271287041</v>
      </c>
      <c r="N344" s="267">
        <f t="shared" si="26"/>
        <v>1.8675928237351163</v>
      </c>
      <c r="O344" s="267">
        <f>IF(IFERROR(INDEX('Both teabags AfterDry'!$D$3:$D$900,MATCH(J344,'Both teabags AfterDry'!$A$3:$A$900,0)),"")="","",(IFERROR(INDEX('Both teabags AfterDry'!$D$3:$D$900,MATCH(J344,'Both teabags AfterDry'!$A$3:$A$900,0)),"")))</f>
        <v>1.6575</v>
      </c>
      <c r="P344" s="267">
        <f>IFERROR(IF(O344&gt;0,O344-(TBIcalc!$Q$9),""),"")</f>
        <v>1.5068999999999999</v>
      </c>
      <c r="Q344" s="278">
        <f>IFERROR(INDEX('Ashed teabags dry'!$K$2:$K$825,MATCH(J344,'Ashed teabags dry'!$A$2:$A$825,0)),"")</f>
        <v>10.523831996223592</v>
      </c>
      <c r="R344" s="278">
        <f t="shared" si="27"/>
        <v>1.3483163756489067</v>
      </c>
      <c r="S344" s="268">
        <f>'Dry_Litterbag Placem_Collection'!E125</f>
        <v>42939</v>
      </c>
      <c r="T344" s="268">
        <f>IF('Dry_Litterbag Placem_Collection'!G125="","",'Dry_Litterbag Placem_Collection'!G125)</f>
        <v>43008</v>
      </c>
      <c r="U344" s="269">
        <f t="shared" si="25"/>
        <v>69</v>
      </c>
      <c r="V344" s="267">
        <f t="shared" si="28"/>
        <v>0.4043000000000001</v>
      </c>
      <c r="W344" s="267">
        <f t="shared" si="29"/>
        <v>0.51927644808620954</v>
      </c>
      <c r="X344" s="271">
        <f>IFERROR(INDEX(Rainfall_Dry!$O$2:$O$217,MATCH(B344, Rainfall_Dry!$A$2:$A$217,0)),"")</f>
        <v>136.27214243</v>
      </c>
      <c r="Y344" s="260">
        <v>17.96</v>
      </c>
      <c r="Z344" s="260">
        <v>4.9199999999999982</v>
      </c>
      <c r="AA344" s="260">
        <v>77.12</v>
      </c>
      <c r="AB344" s="261" t="s">
        <v>2671</v>
      </c>
      <c r="AC344" s="260">
        <v>4.02207984228684</v>
      </c>
      <c r="AD344">
        <f>IF('WetLitterbags placem_collection'!AB125="","",'WetLitterbags placem_collection'!AB125)</f>
        <v>3.9</v>
      </c>
      <c r="AE344">
        <f>IF('WetLitterbags placem_collection'!Z125="","",'WetLitterbags placem_collection'!Z125)</f>
        <v>51</v>
      </c>
      <c r="AF344" s="246" t="str">
        <f>IF('WetLitterbags placem_collection'!AA125="","",'WetLitterbags placem_collection'!AA125)</f>
        <v>G</v>
      </c>
      <c r="AG344">
        <f>IF('WetLitterbags placem_collection'!AC125="","",'WetLitterbags placem_collection'!AC125)</f>
        <v>1</v>
      </c>
      <c r="AH344">
        <f>IFERROR(AVERAGE('Dry_Litterbag Placem_Collection'!O125,'Dry_Litterbag Placem_Collection'!R125),"")</f>
        <v>10.7</v>
      </c>
      <c r="AI344" s="271">
        <f>IFERROR(AVERAGE('Dry_Litterbag Placem_Collection'!N125,'Dry_Litterbag Placem_Collection'!Q125),"")</f>
        <v>27.1</v>
      </c>
      <c r="AJ344" s="270">
        <f>INDEX(Coordinates!$B$2:$B$197,MATCH(G344,Coordinates!$J$2:$J$197,0))</f>
        <v>-2.3492390009999999</v>
      </c>
      <c r="AK344" s="270">
        <f>INDEX(Coordinates!$C$2:$C$197,MATCH(G344,Coordinates!$J$2:$J$197,0))</f>
        <v>34.051304020000003</v>
      </c>
      <c r="AL344" s="270" t="str">
        <f>IF(ISNUMBER(SEARCH("C", 'Dry_Litterbag Placem_Collection'!T125)),"YES","NO")</f>
        <v>NO</v>
      </c>
      <c r="AM344" s="270" t="str">
        <f>IF(ISNUMBER(SEARCH("H", 'Dry_Litterbag Placem_Collection'!T125)),"YES","NO")</f>
        <v>NO</v>
      </c>
      <c r="AN344" s="270" t="str">
        <f>IF(ISNUMBER(SEARCH("R", 'Dry_Litterbag Placem_Collection'!T125)),"YES","NO")</f>
        <v>NO</v>
      </c>
    </row>
    <row r="345" spans="1:40" ht="15" customHeight="1">
      <c r="A345" s="262" t="s">
        <v>2659</v>
      </c>
      <c r="B345" s="263">
        <f>'Dry_Litterbag Placem_Collection'!A126</f>
        <v>124</v>
      </c>
      <c r="C345" s="263" t="str">
        <f>'Dry_Litterbag Placem_Collection'!B126</f>
        <v xml:space="preserve">Mwantimba
</v>
      </c>
      <c r="D345" s="263" t="s">
        <v>2460</v>
      </c>
      <c r="E345" s="263" t="s">
        <v>2660</v>
      </c>
      <c r="F345" s="263">
        <v>4</v>
      </c>
      <c r="G345" s="264" t="str">
        <f>'Dry_Litterbag Placem_Collection'!C126</f>
        <v>Wet_Ag4_T4</v>
      </c>
      <c r="H345" s="265" t="s">
        <v>2541</v>
      </c>
      <c r="I345" s="272" t="s">
        <v>298</v>
      </c>
      <c r="J345" s="263" t="str">
        <f>IF(ISBLANK('Dry_Litterbag Placem_Collection'!K126),"","R"&amp;""&amp;'Dry_Litterbag Placem_Collection'!K126)</f>
        <v>R797</v>
      </c>
      <c r="K345" s="267">
        <f>IFERROR(INDEX('Green_rooibos initial weight'!$C$5:$C$1749,MATCH(J345, 'Green_rooibos initial weight'!$A$5:$A$1749,0)),"")</f>
        <v>2.2130000000000001</v>
      </c>
      <c r="L345" s="267">
        <f>IFERROR(K345-(TBIcalc!$Q$9+TBIcalc!$Q$10),"")</f>
        <v>1.9632000000000001</v>
      </c>
      <c r="M345" s="391">
        <f>AVERAGE(Ashed_controlls!$K$12:$K$14)</f>
        <v>2.2816647271287041</v>
      </c>
      <c r="N345" s="267">
        <f t="shared" si="26"/>
        <v>1.9184063580770094</v>
      </c>
      <c r="O345" s="267">
        <f>IF(IFERROR(INDEX('Both teabags AfterDry'!$D$3:$D$900,MATCH(J345,'Both teabags AfterDry'!$A$3:$A$900,0)),"")="","",(IFERROR(INDEX('Both teabags AfterDry'!$D$3:$D$900,MATCH(J345,'Both teabags AfterDry'!$A$3:$A$900,0)),"")))</f>
        <v>1.5708</v>
      </c>
      <c r="P345" s="267">
        <f>IFERROR(IF(O345&gt;0,O345-(TBIcalc!$Q$9),""),"")</f>
        <v>1.4201999999999999</v>
      </c>
      <c r="Q345" s="278">
        <f>IFERROR(INDEX('Ashed teabags dry'!$K$2:$K$825,MATCH(J345,'Ashed teabags dry'!$A$2:$A$825,0)),"")</f>
        <v>3.4211742949603519</v>
      </c>
      <c r="R345" s="278">
        <f t="shared" si="27"/>
        <v>1.371612482662973</v>
      </c>
      <c r="S345" s="268">
        <f>'Dry_Litterbag Placem_Collection'!E126</f>
        <v>42939</v>
      </c>
      <c r="T345" s="268">
        <f>IF('Dry_Litterbag Placem_Collection'!G126="","",'Dry_Litterbag Placem_Collection'!G126)</f>
        <v>43008</v>
      </c>
      <c r="U345" s="269">
        <f t="shared" si="25"/>
        <v>69</v>
      </c>
      <c r="V345" s="267">
        <f t="shared" si="28"/>
        <v>0.54300000000000015</v>
      </c>
      <c r="W345" s="267">
        <f t="shared" si="29"/>
        <v>0.54679387541403646</v>
      </c>
      <c r="X345" s="271">
        <f>IFERROR(INDEX(Rainfall_Dry!$O$2:$O$217,MATCH(B345, Rainfall_Dry!$A$2:$A$217,0)),"")</f>
        <v>136.27214243</v>
      </c>
      <c r="Y345" s="260">
        <v>17.96</v>
      </c>
      <c r="Z345" s="260">
        <v>4.9199999999999982</v>
      </c>
      <c r="AA345" s="260">
        <v>77.12</v>
      </c>
      <c r="AB345" s="261" t="s">
        <v>2671</v>
      </c>
      <c r="AC345" s="260">
        <v>5.02207984228684</v>
      </c>
      <c r="AD345">
        <f>IF('WetLitterbags placem_collection'!AB126="","",'WetLitterbags placem_collection'!AB126)</f>
        <v>5.45</v>
      </c>
      <c r="AE345">
        <f>IF('WetLitterbags placem_collection'!Z126="","",'WetLitterbags placem_collection'!Z126)</f>
        <v>47</v>
      </c>
      <c r="AF345" s="246" t="str">
        <f>IF('WetLitterbags placem_collection'!AA126="","",'WetLitterbags placem_collection'!AA126)</f>
        <v>G</v>
      </c>
      <c r="AG345">
        <f>IF('WetLitterbags placem_collection'!AC126="","",'WetLitterbags placem_collection'!AC126)</f>
        <v>1</v>
      </c>
      <c r="AH345">
        <f>IFERROR(AVERAGE('Dry_Litterbag Placem_Collection'!O126,'Dry_Litterbag Placem_Collection'!R126),"")</f>
        <v>9.15</v>
      </c>
      <c r="AI345" s="271">
        <f>IFERROR(AVERAGE('Dry_Litterbag Placem_Collection'!N126,'Dry_Litterbag Placem_Collection'!Q126),"")</f>
        <v>28.05</v>
      </c>
      <c r="AJ345" s="270">
        <f>INDEX(Coordinates!$B$2:$B$197,MATCH(G345,Coordinates!$J$2:$J$197,0))</f>
        <v>-2.3492799889999998</v>
      </c>
      <c r="AK345" s="270">
        <f>INDEX(Coordinates!$C$2:$C$197,MATCH(G345,Coordinates!$J$2:$J$197,0))</f>
        <v>34.051280970000001</v>
      </c>
      <c r="AL345" s="270" t="str">
        <f>IF(ISNUMBER(SEARCH("C", 'Dry_Litterbag Placem_Collection'!T126)),"YES","NO")</f>
        <v>NO</v>
      </c>
      <c r="AM345" s="270" t="str">
        <f>IF(ISNUMBER(SEARCH("H", 'Dry_Litterbag Placem_Collection'!T126)),"YES","NO")</f>
        <v>YES</v>
      </c>
      <c r="AN345" s="270" t="str">
        <f>IF(ISNUMBER(SEARCH("R", 'Dry_Litterbag Placem_Collection'!T126)),"YES","NO")</f>
        <v>YES</v>
      </c>
    </row>
    <row r="346" spans="1:40" ht="15" customHeight="1">
      <c r="A346" s="262" t="s">
        <v>2659</v>
      </c>
      <c r="B346" s="263">
        <f>'Dry_Litterbag Placem_Collection'!A127</f>
        <v>125</v>
      </c>
      <c r="C346" s="263" t="str">
        <f>'Dry_Litterbag Placem_Collection'!B127</f>
        <v xml:space="preserve">Mwantimba
</v>
      </c>
      <c r="D346" s="263" t="s">
        <v>2460</v>
      </c>
      <c r="E346" s="263" t="s">
        <v>2660</v>
      </c>
      <c r="F346" s="263">
        <v>4</v>
      </c>
      <c r="G346" s="264" t="str">
        <f>'Dry_Litterbag Placem_Collection'!C127</f>
        <v>Wet_Ag4_T5</v>
      </c>
      <c r="H346" s="265" t="s">
        <v>2541</v>
      </c>
      <c r="I346" s="272" t="s">
        <v>298</v>
      </c>
      <c r="J346" s="263" t="str">
        <f>IF(ISBLANK('Dry_Litterbag Placem_Collection'!K127),"","R"&amp;""&amp;'Dry_Litterbag Placem_Collection'!K127)</f>
        <v>R795</v>
      </c>
      <c r="K346" s="267">
        <f>IFERROR(INDEX('Green_rooibos initial weight'!$C$5:$C$1749,MATCH(J346, 'Green_rooibos initial weight'!$A$5:$A$1749,0)),"")</f>
        <v>2.2170000000000001</v>
      </c>
      <c r="L346" s="267">
        <f>IFERROR(K346-(TBIcalc!$Q$9+TBIcalc!$Q$10),"")</f>
        <v>1.9672000000000001</v>
      </c>
      <c r="M346" s="391">
        <f>AVERAGE(Ashed_controlls!$K$12:$K$14)</f>
        <v>2.2816647271287041</v>
      </c>
      <c r="N346" s="267">
        <f t="shared" si="26"/>
        <v>1.9223150914879241</v>
      </c>
      <c r="O346" s="267">
        <f>IF(IFERROR(INDEX('Both teabags AfterDry'!$D$3:$D$900,MATCH(J346,'Both teabags AfterDry'!$A$3:$A$900,0)),"")="","",(IFERROR(INDEX('Both teabags AfterDry'!$D$3:$D$900,MATCH(J346,'Both teabags AfterDry'!$A$3:$A$900,0)),"")))</f>
        <v>0.83220000000000005</v>
      </c>
      <c r="P346" s="267">
        <f>IFERROR(IF(O346&gt;0,O346-(TBIcalc!$Q$9),""),"")</f>
        <v>0.68159999999999998</v>
      </c>
      <c r="Q346" s="278">
        <f>IFERROR(INDEX('Ashed teabags dry'!$K$2:$K$825,MATCH(J346,'Ashed teabags dry'!$A$2:$A$825,0)),"")</f>
        <v>91.950000000000998</v>
      </c>
      <c r="R346" s="278">
        <f t="shared" si="27"/>
        <v>5.4868799999993167E-2</v>
      </c>
      <c r="S346" s="268">
        <f>'Dry_Litterbag Placem_Collection'!E127</f>
        <v>42939</v>
      </c>
      <c r="T346" s="268">
        <f>IF('Dry_Litterbag Placem_Collection'!G127="","",'Dry_Litterbag Placem_Collection'!G127)</f>
        <v>43008</v>
      </c>
      <c r="U346" s="269">
        <f t="shared" si="25"/>
        <v>69</v>
      </c>
      <c r="V346" s="267">
        <f t="shared" si="28"/>
        <v>1.2856000000000001</v>
      </c>
      <c r="W346" s="267">
        <f t="shared" si="29"/>
        <v>1.8674462914879308</v>
      </c>
      <c r="X346" s="271">
        <f>IFERROR(INDEX(Rainfall_Dry!$O$2:$O$217,MATCH(B346, Rainfall_Dry!$A$2:$A$217,0)),"")</f>
        <v>136.27214243</v>
      </c>
      <c r="Y346" s="260">
        <v>17.96</v>
      </c>
      <c r="Z346" s="260">
        <v>4.9199999999999982</v>
      </c>
      <c r="AA346" s="260">
        <v>77.12</v>
      </c>
      <c r="AB346" s="261" t="s">
        <v>2671</v>
      </c>
      <c r="AC346" s="260">
        <v>6.02207984228684</v>
      </c>
      <c r="AD346">
        <f>IF('WetLitterbags placem_collection'!AB127="","",'WetLitterbags placem_collection'!AB127)</f>
        <v>9.3000000000000007</v>
      </c>
      <c r="AE346">
        <f>IF('WetLitterbags placem_collection'!Z127="","",'WetLitterbags placem_collection'!Z127)</f>
        <v>43</v>
      </c>
      <c r="AF346" s="246" t="str">
        <f>IF('WetLitterbags placem_collection'!AA127="","",'WetLitterbags placem_collection'!AA127)</f>
        <v>G</v>
      </c>
      <c r="AG346">
        <f>IF('WetLitterbags placem_collection'!AC127="","",'WetLitterbags placem_collection'!AC127)</f>
        <v>1</v>
      </c>
      <c r="AH346">
        <f>IFERROR(AVERAGE('Dry_Litterbag Placem_Collection'!O127,'Dry_Litterbag Placem_Collection'!R127),"")</f>
        <v>10.85</v>
      </c>
      <c r="AI346" s="271">
        <f>IFERROR(AVERAGE('Dry_Litterbag Placem_Collection'!N127,'Dry_Litterbag Placem_Collection'!Q127),"")</f>
        <v>28.05</v>
      </c>
      <c r="AJ346" s="270">
        <f>INDEX(Coordinates!$B$2:$B$197,MATCH(G346,Coordinates!$J$2:$J$197,0))</f>
        <v>-2.3493320400000002</v>
      </c>
      <c r="AK346" s="270">
        <f>INDEX(Coordinates!$C$2:$C$197,MATCH(G346,Coordinates!$J$2:$J$197,0))</f>
        <v>34.051321960000003</v>
      </c>
      <c r="AL346" s="270" t="str">
        <f>IF(ISNUMBER(SEARCH("C", 'Dry_Litterbag Placem_Collection'!T127)),"YES","NO")</f>
        <v>YES</v>
      </c>
      <c r="AM346" s="270" t="str">
        <f>IF(ISNUMBER(SEARCH("H", 'Dry_Litterbag Placem_Collection'!T127)),"YES","NO")</f>
        <v>YES</v>
      </c>
      <c r="AN346" s="270" t="str">
        <f>IF(ISNUMBER(SEARCH("R", 'Dry_Litterbag Placem_Collection'!T127)),"YES","NO")</f>
        <v>NO</v>
      </c>
    </row>
    <row r="347" spans="1:40" ht="15" customHeight="1">
      <c r="A347" s="262" t="s">
        <v>2659</v>
      </c>
      <c r="B347" s="263">
        <f>'Dry_Litterbag Placem_Collection'!A128</f>
        <v>126</v>
      </c>
      <c r="C347" s="263" t="str">
        <f>'Dry_Litterbag Placem_Collection'!B128</f>
        <v xml:space="preserve">Mwantimba
</v>
      </c>
      <c r="D347" s="263" t="s">
        <v>2460</v>
      </c>
      <c r="E347" s="263" t="s">
        <v>2660</v>
      </c>
      <c r="F347" s="263">
        <v>4</v>
      </c>
      <c r="G347" s="264" t="str">
        <f>'Dry_Litterbag Placem_Collection'!C128</f>
        <v>Wet_Ag4_T6</v>
      </c>
      <c r="H347" s="265" t="s">
        <v>2541</v>
      </c>
      <c r="I347" s="272" t="s">
        <v>298</v>
      </c>
      <c r="J347" s="263" t="str">
        <f>IF(ISBLANK('Dry_Litterbag Placem_Collection'!K128),"","R"&amp;""&amp;'Dry_Litterbag Placem_Collection'!K128)</f>
        <v/>
      </c>
      <c r="K347" s="267" t="str">
        <f>IFERROR(INDEX('Green_rooibos initial weight'!$C$5:$C$1749,MATCH(J347, 'Green_rooibos initial weight'!$A$5:$A$1749,0)),"")</f>
        <v/>
      </c>
      <c r="L347" s="267" t="str">
        <f>IFERROR(K347-(TBIcalc!$Q$9+TBIcalc!$Q$10),"")</f>
        <v/>
      </c>
      <c r="M347" s="391">
        <f>AVERAGE(Ashed_controlls!$K$12:$K$14)</f>
        <v>2.2816647271287041</v>
      </c>
      <c r="N347" s="267" t="str">
        <f t="shared" si="26"/>
        <v/>
      </c>
      <c r="O347" s="267" t="str">
        <f>IF(IFERROR(INDEX('Both teabags AfterDry'!$D$3:$D$900,MATCH(J347,'Both teabags AfterDry'!$A$3:$A$900,0)),"")="","",(IFERROR(INDEX('Both teabags AfterDry'!$D$3:$D$900,MATCH(J347,'Both teabags AfterDry'!$A$3:$A$900,0)),"")))</f>
        <v/>
      </c>
      <c r="P347" s="267" t="str">
        <f>IFERROR(IF(O347&gt;0,O347-(TBIcalc!$Q$9),""),"")</f>
        <v/>
      </c>
      <c r="Q347" s="278" t="str">
        <f>IFERROR(INDEX('Ashed teabags dry'!$K$2:$K$825,MATCH(J347,'Ashed teabags dry'!$A$2:$A$825,0)),"")</f>
        <v/>
      </c>
      <c r="R347" s="278" t="str">
        <f t="shared" si="27"/>
        <v/>
      </c>
      <c r="S347" s="268">
        <f>'Dry_Litterbag Placem_Collection'!E128</f>
        <v>0</v>
      </c>
      <c r="T347" s="268" t="str">
        <f>IF('Dry_Litterbag Placem_Collection'!G128="","",'Dry_Litterbag Placem_Collection'!G128)</f>
        <v/>
      </c>
      <c r="U347" s="269" t="str">
        <f t="shared" si="25"/>
        <v/>
      </c>
      <c r="V347" s="267" t="str">
        <f t="shared" si="28"/>
        <v/>
      </c>
      <c r="W347" s="267" t="str">
        <f t="shared" si="29"/>
        <v/>
      </c>
      <c r="X347" s="271" t="str">
        <f>IFERROR(INDEX(Rainfall_Dry!$O$2:$O$217,MATCH(B347, Rainfall_Dry!$A$2:$A$217,0)),"")</f>
        <v/>
      </c>
      <c r="Y347" s="260">
        <v>17.96</v>
      </c>
      <c r="Z347" s="260">
        <v>4.9199999999999982</v>
      </c>
      <c r="AA347" s="260">
        <v>77.12</v>
      </c>
      <c r="AB347" s="261" t="s">
        <v>2671</v>
      </c>
      <c r="AC347" s="260">
        <v>7.02207984228684</v>
      </c>
      <c r="AD347">
        <f>IF('WetLitterbags placem_collection'!AB128="","",'WetLitterbags placem_collection'!AB128)</f>
        <v>10.85</v>
      </c>
      <c r="AE347">
        <f>IF('WetLitterbags placem_collection'!Z128="","",'WetLitterbags placem_collection'!Z128)</f>
        <v>40</v>
      </c>
      <c r="AF347" s="246" t="str">
        <f>IF('WetLitterbags placem_collection'!AA128="","",'WetLitterbags placem_collection'!AA128)</f>
        <v>G</v>
      </c>
      <c r="AG347">
        <f>IF('WetLitterbags placem_collection'!AC128="","",'WetLitterbags placem_collection'!AC128)</f>
        <v>1</v>
      </c>
      <c r="AH347" t="str">
        <f>IFERROR(AVERAGE('Dry_Litterbag Placem_Collection'!O128,'Dry_Litterbag Placem_Collection'!R128),"")</f>
        <v/>
      </c>
      <c r="AI347" s="271" t="str">
        <f>IFERROR(AVERAGE('Dry_Litterbag Placem_Collection'!N128,'Dry_Litterbag Placem_Collection'!Q128),"")</f>
        <v/>
      </c>
      <c r="AJ347" s="270">
        <f>INDEX(Coordinates!$B$2:$B$197,MATCH(G347,Coordinates!$J$2:$J$197,0))</f>
        <v>-2.3493509829999999</v>
      </c>
      <c r="AK347" s="270">
        <f>INDEX(Coordinates!$C$2:$C$197,MATCH(G347,Coordinates!$J$2:$J$197,0))</f>
        <v>34.051332019999997</v>
      </c>
      <c r="AL347" s="270" t="str">
        <f>IF(ISNUMBER(SEARCH("C", 'Dry_Litterbag Placem_Collection'!T128)),"YES","NO")</f>
        <v>NO</v>
      </c>
      <c r="AM347" s="270" t="str">
        <f>IF(ISNUMBER(SEARCH("H", 'Dry_Litterbag Placem_Collection'!T128)),"YES","NO")</f>
        <v>NO</v>
      </c>
      <c r="AN347" s="270" t="str">
        <f>IF(ISNUMBER(SEARCH("R", 'Dry_Litterbag Placem_Collection'!T128)),"YES","NO")</f>
        <v>NO</v>
      </c>
    </row>
    <row r="348" spans="1:40" ht="15" customHeight="1">
      <c r="A348" s="262" t="s">
        <v>2659</v>
      </c>
      <c r="B348" s="263">
        <f>'Dry_Litterbag Placem_Collection'!A129</f>
        <v>127</v>
      </c>
      <c r="C348" s="263" t="str">
        <f>'Dry_Litterbag Placem_Collection'!B129</f>
        <v xml:space="preserve">Mwantimba
</v>
      </c>
      <c r="D348" s="263" t="s">
        <v>2460</v>
      </c>
      <c r="E348" s="263" t="s">
        <v>2660</v>
      </c>
      <c r="F348" s="263">
        <v>4</v>
      </c>
      <c r="G348" s="264" t="str">
        <f>'Dry_Litterbag Placem_Collection'!C129</f>
        <v>Wet_Ag4_T7</v>
      </c>
      <c r="H348" s="265" t="s">
        <v>2541</v>
      </c>
      <c r="I348" s="272" t="s">
        <v>298</v>
      </c>
      <c r="J348" s="263" t="str">
        <f>IF(ISBLANK('Dry_Litterbag Placem_Collection'!K129),"","R"&amp;""&amp;'Dry_Litterbag Placem_Collection'!K129)</f>
        <v>R751</v>
      </c>
      <c r="K348" s="267">
        <f>IFERROR(INDEX('Green_rooibos initial weight'!$C$5:$C$1749,MATCH(J348, 'Green_rooibos initial weight'!$A$5:$A$1749,0)),"")</f>
        <v>2.262</v>
      </c>
      <c r="L348" s="267">
        <f>IFERROR(K348-(TBIcalc!$Q$9+TBIcalc!$Q$10),"")</f>
        <v>2.0122</v>
      </c>
      <c r="M348" s="391">
        <f>AVERAGE(Ashed_controlls!$K$12:$K$14)</f>
        <v>2.2816647271287041</v>
      </c>
      <c r="N348" s="267">
        <f t="shared" si="26"/>
        <v>1.9662883423607163</v>
      </c>
      <c r="O348" s="267">
        <f>IF(IFERROR(INDEX('Both teabags AfterDry'!$D$3:$D$900,MATCH(J348,'Both teabags AfterDry'!$A$3:$A$900,0)),"")="","",(IFERROR(INDEX('Both teabags AfterDry'!$D$3:$D$900,MATCH(J348,'Both teabags AfterDry'!$A$3:$A$900,0)),"")))</f>
        <v>1.6394</v>
      </c>
      <c r="P348" s="267">
        <f>IFERROR(IF(O348&gt;0,O348-(TBIcalc!$Q$9),""),"")</f>
        <v>1.4887999999999999</v>
      </c>
      <c r="Q348" s="278">
        <f>IFERROR(INDEX('Ashed teabags dry'!$K$2:$K$825,MATCH(J348,'Ashed teabags dry'!$A$2:$A$825,0)),"")</f>
        <v>4.0196078431371527</v>
      </c>
      <c r="R348" s="278">
        <f t="shared" si="27"/>
        <v>1.428956078431374</v>
      </c>
      <c r="S348" s="268">
        <f>'Dry_Litterbag Placem_Collection'!E129</f>
        <v>42939</v>
      </c>
      <c r="T348" s="268">
        <f>IF('Dry_Litterbag Placem_Collection'!G129="","",'Dry_Litterbag Placem_Collection'!G129)</f>
        <v>43008</v>
      </c>
      <c r="U348" s="269">
        <f t="shared" si="25"/>
        <v>69</v>
      </c>
      <c r="V348" s="267">
        <f t="shared" si="28"/>
        <v>0.52340000000000009</v>
      </c>
      <c r="W348" s="267">
        <f t="shared" si="29"/>
        <v>0.5373322639293423</v>
      </c>
      <c r="X348" s="271">
        <f>IFERROR(INDEX(Rainfall_Dry!$O$2:$O$217,MATCH(B348, Rainfall_Dry!$A$2:$A$217,0)),"")</f>
        <v>136.27214243</v>
      </c>
      <c r="Y348" s="260">
        <v>17.96</v>
      </c>
      <c r="Z348" s="260">
        <v>4.9199999999999982</v>
      </c>
      <c r="AA348" s="260">
        <v>77.12</v>
      </c>
      <c r="AB348" s="261" t="s">
        <v>2671</v>
      </c>
      <c r="AC348" s="260">
        <v>8.0220798422868391</v>
      </c>
      <c r="AD348">
        <f>IF('WetLitterbags placem_collection'!AB129="","",'WetLitterbags placem_collection'!AB129)</f>
        <v>5.35</v>
      </c>
      <c r="AE348">
        <f>IF('WetLitterbags placem_collection'!Z129="","",'WetLitterbags placem_collection'!Z129)</f>
        <v>58</v>
      </c>
      <c r="AF348" s="246" t="str">
        <f>IF('WetLitterbags placem_collection'!AA129="","",'WetLitterbags placem_collection'!AA129)</f>
        <v>G</v>
      </c>
      <c r="AG348">
        <f>IF('WetLitterbags placem_collection'!AC129="","",'WetLitterbags placem_collection'!AC129)</f>
        <v>1</v>
      </c>
      <c r="AH348">
        <f>IFERROR(AVERAGE('Dry_Litterbag Placem_Collection'!O129,'Dry_Litterbag Placem_Collection'!R129),"")</f>
        <v>9.6999999999999993</v>
      </c>
      <c r="AI348" s="271">
        <f>IFERROR(AVERAGE('Dry_Litterbag Placem_Collection'!N129,'Dry_Litterbag Placem_Collection'!Q129),"")</f>
        <v>28.1</v>
      </c>
      <c r="AJ348" s="270">
        <f>INDEX(Coordinates!$B$2:$B$197,MATCH(G348,Coordinates!$J$2:$J$197,0))</f>
        <v>-2.3491850219999999</v>
      </c>
      <c r="AK348" s="270">
        <f>INDEX(Coordinates!$C$2:$C$197,MATCH(G348,Coordinates!$J$2:$J$197,0))</f>
        <v>34.051264959999997</v>
      </c>
      <c r="AL348" s="270" t="str">
        <f>IF(ISNUMBER(SEARCH("C", 'Dry_Litterbag Placem_Collection'!T129)),"YES","NO")</f>
        <v>NO</v>
      </c>
      <c r="AM348" s="270" t="str">
        <f>IF(ISNUMBER(SEARCH("H", 'Dry_Litterbag Placem_Collection'!T129)),"YES","NO")</f>
        <v>NO</v>
      </c>
      <c r="AN348" s="270" t="str">
        <f>IF(ISNUMBER(SEARCH("R", 'Dry_Litterbag Placem_Collection'!T129)),"YES","NO")</f>
        <v>NO</v>
      </c>
    </row>
    <row r="349" spans="1:40" ht="15" customHeight="1">
      <c r="A349" s="262" t="s">
        <v>2659</v>
      </c>
      <c r="B349" s="263">
        <f>'Dry_Litterbag Placem_Collection'!A130</f>
        <v>128</v>
      </c>
      <c r="C349" s="263" t="str">
        <f>'Dry_Litterbag Placem_Collection'!B130</f>
        <v xml:space="preserve">Mwantimba
</v>
      </c>
      <c r="D349" s="263" t="s">
        <v>2460</v>
      </c>
      <c r="E349" s="263" t="s">
        <v>2660</v>
      </c>
      <c r="F349" s="263">
        <v>4</v>
      </c>
      <c r="G349" s="264" t="str">
        <f>'Dry_Litterbag Placem_Collection'!C130</f>
        <v>Wet_Ag4_T8</v>
      </c>
      <c r="H349" s="265" t="s">
        <v>2541</v>
      </c>
      <c r="I349" s="272" t="s">
        <v>298</v>
      </c>
      <c r="J349" s="263" t="str">
        <f>IF(ISBLANK('Dry_Litterbag Placem_Collection'!K130),"","R"&amp;""&amp;'Dry_Litterbag Placem_Collection'!K130)</f>
        <v>R819</v>
      </c>
      <c r="K349" s="267">
        <f>IFERROR(INDEX('Green_rooibos initial weight'!$C$5:$C$1749,MATCH(J349, 'Green_rooibos initial weight'!$A$5:$A$1749,0)),"")</f>
        <v>2.16</v>
      </c>
      <c r="L349" s="267">
        <f>IFERROR(K349-(TBIcalc!$Q$9+TBIcalc!$Q$10),"")</f>
        <v>1.9102000000000001</v>
      </c>
      <c r="M349" s="391">
        <f>AVERAGE(Ashed_controlls!$K$12:$K$14)</f>
        <v>2.2816647271287041</v>
      </c>
      <c r="N349" s="267">
        <f t="shared" si="26"/>
        <v>1.8666156403823877</v>
      </c>
      <c r="O349" s="267">
        <f>IF(IFERROR(INDEX('Both teabags AfterDry'!$D$3:$D$900,MATCH(J349,'Both teabags AfterDry'!$A$3:$A$900,0)),"")="","",(IFERROR(INDEX('Both teabags AfterDry'!$D$3:$D$900,MATCH(J349,'Both teabags AfterDry'!$A$3:$A$900,0)),"")))</f>
        <v>2.8028</v>
      </c>
      <c r="P349" s="267">
        <f>IFERROR(IF(O349&gt;0,O349-(TBIcalc!$Q$9),""),"")</f>
        <v>2.6522000000000001</v>
      </c>
      <c r="Q349" s="278">
        <f>IFERROR(INDEX('Ashed teabags dry'!$K$2:$K$825,MATCH(J349,'Ashed teabags dry'!$A$2:$A$825,0)),"")</f>
        <v>86.93858845096193</v>
      </c>
      <c r="R349" s="278">
        <f t="shared" si="27"/>
        <v>0.3464147571035876</v>
      </c>
      <c r="S349" s="268">
        <f>'Dry_Litterbag Placem_Collection'!E130</f>
        <v>42939</v>
      </c>
      <c r="T349" s="268">
        <f>IF('Dry_Litterbag Placem_Collection'!G130="","",'Dry_Litterbag Placem_Collection'!G130)</f>
        <v>43008</v>
      </c>
      <c r="U349" s="269">
        <f t="shared" si="25"/>
        <v>69</v>
      </c>
      <c r="V349" s="267">
        <f t="shared" si="28"/>
        <v>-0.74199999999999999</v>
      </c>
      <c r="W349" s="267">
        <f t="shared" si="29"/>
        <v>1.5202008832788001</v>
      </c>
      <c r="X349" s="271">
        <f>IFERROR(INDEX(Rainfall_Dry!$O$2:$O$217,MATCH(B349, Rainfall_Dry!$A$2:$A$217,0)),"")</f>
        <v>136.27214243</v>
      </c>
      <c r="Y349" s="260">
        <v>17.96</v>
      </c>
      <c r="Z349" s="260">
        <v>4.9199999999999982</v>
      </c>
      <c r="AA349" s="260">
        <v>77.12</v>
      </c>
      <c r="AB349" s="261" t="s">
        <v>2671</v>
      </c>
      <c r="AC349" s="260">
        <v>9.0220798422868391</v>
      </c>
      <c r="AD349">
        <f>IF('WetLitterbags placem_collection'!AB130="","",'WetLitterbags placem_collection'!AB130)</f>
        <v>10.9</v>
      </c>
      <c r="AE349">
        <f>IF('WetLitterbags placem_collection'!Z130="","",'WetLitterbags placem_collection'!Z130)</f>
        <v>44</v>
      </c>
      <c r="AF349" s="246" t="str">
        <f>IF('WetLitterbags placem_collection'!AA130="","",'WetLitterbags placem_collection'!AA130)</f>
        <v>G</v>
      </c>
      <c r="AG349">
        <f>IF('WetLitterbags placem_collection'!AC130="","",'WetLitterbags placem_collection'!AC130)</f>
        <v>0</v>
      </c>
      <c r="AH349">
        <f>IFERROR(AVERAGE('Dry_Litterbag Placem_Collection'!O130,'Dry_Litterbag Placem_Collection'!R130),"")</f>
        <v>8.4499999999999993</v>
      </c>
      <c r="AI349" s="271">
        <f>IFERROR(AVERAGE('Dry_Litterbag Placem_Collection'!N130,'Dry_Litterbag Placem_Collection'!Q130),"")</f>
        <v>28.4</v>
      </c>
      <c r="AJ349" s="270">
        <f>INDEX(Coordinates!$B$2:$B$197,MATCH(G349,Coordinates!$J$2:$J$197,0))</f>
        <v>-2.3493099960000001</v>
      </c>
      <c r="AK349" s="270">
        <f>INDEX(Coordinates!$C$2:$C$197,MATCH(G349,Coordinates!$J$2:$J$197,0))</f>
        <v>34.05141802</v>
      </c>
      <c r="AL349" s="270" t="str">
        <f>IF(ISNUMBER(SEARCH("C", 'Dry_Litterbag Placem_Collection'!T130)),"YES","NO")</f>
        <v>YES</v>
      </c>
      <c r="AM349" s="270" t="str">
        <f>IF(ISNUMBER(SEARCH("H", 'Dry_Litterbag Placem_Collection'!T130)),"YES","NO")</f>
        <v>YES</v>
      </c>
      <c r="AN349" s="270" t="str">
        <f>IF(ISNUMBER(SEARCH("R", 'Dry_Litterbag Placem_Collection'!T130)),"YES","NO")</f>
        <v>NO</v>
      </c>
    </row>
    <row r="350" spans="1:40" ht="15" customHeight="1">
      <c r="A350" s="262" t="s">
        <v>2659</v>
      </c>
      <c r="B350" s="263">
        <f>'Dry_Litterbag Placem_Collection'!A131</f>
        <v>129</v>
      </c>
      <c r="C350" s="263" t="str">
        <f>'Dry_Litterbag Placem_Collection'!B131</f>
        <v xml:space="preserve">Mwantimba
</v>
      </c>
      <c r="D350" s="263" t="s">
        <v>2460</v>
      </c>
      <c r="E350" s="263" t="s">
        <v>20</v>
      </c>
      <c r="F350" s="263">
        <v>1</v>
      </c>
      <c r="G350" s="264" t="str">
        <f>'Dry_Litterbag Placem_Collection'!C131</f>
        <v>Wet_P1_T1</v>
      </c>
      <c r="H350" s="265" t="s">
        <v>2541</v>
      </c>
      <c r="I350" s="272" t="s">
        <v>298</v>
      </c>
      <c r="J350" s="263" t="str">
        <f>IF(ISBLANK('Dry_Litterbag Placem_Collection'!K131),"","R"&amp;""&amp;'Dry_Litterbag Placem_Collection'!K131)</f>
        <v>R768</v>
      </c>
      <c r="K350" s="267">
        <f>IFERROR(INDEX('Green_rooibos initial weight'!$C$5:$C$1749,MATCH(J350, 'Green_rooibos initial weight'!$A$5:$A$1749,0)),"")</f>
        <v>2.2120000000000002</v>
      </c>
      <c r="L350" s="267">
        <f>IFERROR(K350-(TBIcalc!$Q$9+TBIcalc!$Q$10),"")</f>
        <v>1.9622000000000002</v>
      </c>
      <c r="M350" s="391">
        <f>AVERAGE(Ashed_controlls!$K$12:$K$14)</f>
        <v>2.2816647271287041</v>
      </c>
      <c r="N350" s="267">
        <f t="shared" si="26"/>
        <v>1.9174291747242806</v>
      </c>
      <c r="O350" s="267">
        <f>IF(IFERROR(INDEX('Both teabags AfterDry'!$D$3:$D$900,MATCH(J350,'Both teabags AfterDry'!$A$3:$A$900,0)),"")="","",(IFERROR(INDEX('Both teabags AfterDry'!$D$3:$D$900,MATCH(J350,'Both teabags AfterDry'!$A$3:$A$900,0)),"")))</f>
        <v>0.67179999999999995</v>
      </c>
      <c r="P350" s="267">
        <f>IFERROR(IF(O350&gt;0,O350-(TBIcalc!$Q$9),""),"")</f>
        <v>0.52119999999999989</v>
      </c>
      <c r="Q350" s="278">
        <f>IFERROR(INDEX('Ashed teabags dry'!$K$2:$K$825,MATCH(J350,'Ashed teabags dry'!$A$2:$A$825,0)),"")</f>
        <v>87.766714082503427</v>
      </c>
      <c r="R350" s="278">
        <f t="shared" si="27"/>
        <v>6.3759886201992133E-2</v>
      </c>
      <c r="S350" s="268">
        <f>'Dry_Litterbag Placem_Collection'!E131</f>
        <v>42939</v>
      </c>
      <c r="T350" s="268">
        <f>IF('Dry_Litterbag Placem_Collection'!G131="","",'Dry_Litterbag Placem_Collection'!G131)</f>
        <v>43008</v>
      </c>
      <c r="U350" s="269">
        <f t="shared" si="25"/>
        <v>69</v>
      </c>
      <c r="V350" s="267">
        <f t="shared" si="28"/>
        <v>1.4410000000000003</v>
      </c>
      <c r="W350" s="267">
        <f t="shared" si="29"/>
        <v>1.8536692885222885</v>
      </c>
      <c r="X350" s="271">
        <f>IFERROR(INDEX(Rainfall_Dry!$O$2:$O$217,MATCH(B350, Rainfall_Dry!$A$2:$A$217,0)),"")</f>
        <v>136.27214243</v>
      </c>
      <c r="Y350" s="260">
        <v>31.214836424255054</v>
      </c>
      <c r="Z350" s="260">
        <v>11.377370285476141</v>
      </c>
      <c r="AA350" s="260">
        <v>57.407793290268799</v>
      </c>
      <c r="AB350" s="261" t="s">
        <v>2670</v>
      </c>
      <c r="AC350" s="260">
        <v>1.7337604731394776</v>
      </c>
      <c r="AD350">
        <f>IF('WetLitterbags placem_collection'!AB131="","",'WetLitterbags placem_collection'!AB131)</f>
        <v>2.4</v>
      </c>
      <c r="AE350">
        <f>IF('WetLitterbags placem_collection'!Z131="","",'WetLitterbags placem_collection'!Z131)</f>
        <v>2.4</v>
      </c>
      <c r="AF350" s="246" t="str">
        <f>IF('WetLitterbags placem_collection'!AA131="","",'WetLitterbags placem_collection'!AA131)</f>
        <v>O</v>
      </c>
      <c r="AG350">
        <f>IF('WetLitterbags placem_collection'!AC131="","",'WetLitterbags placem_collection'!AC131)</f>
        <v>1</v>
      </c>
      <c r="AH350">
        <f>IFERROR(AVERAGE('Dry_Litterbag Placem_Collection'!O131,'Dry_Litterbag Placem_Collection'!R131),"")</f>
        <v>11.8</v>
      </c>
      <c r="AI350" s="271">
        <f>IFERROR(AVERAGE('Dry_Litterbag Placem_Collection'!N131,'Dry_Litterbag Placem_Collection'!Q131),"")</f>
        <v>29.05</v>
      </c>
      <c r="AJ350" s="270">
        <f>INDEX(Coordinates!$B$2:$B$197,MATCH(G350,Coordinates!$J$2:$J$197,0))</f>
        <v>-2.3503360249999998</v>
      </c>
      <c r="AK350" s="270">
        <f>INDEX(Coordinates!$C$2:$C$197,MATCH(G350,Coordinates!$J$2:$J$197,0))</f>
        <v>34.049662009999999</v>
      </c>
      <c r="AL350" s="270" t="str">
        <f>IF(ISNUMBER(SEARCH("C", 'Dry_Litterbag Placem_Collection'!T131)),"YES","NO")</f>
        <v>YES</v>
      </c>
      <c r="AM350" s="270" t="str">
        <f>IF(ISNUMBER(SEARCH("H", 'Dry_Litterbag Placem_Collection'!T131)),"YES","NO")</f>
        <v>YES</v>
      </c>
      <c r="AN350" s="270" t="str">
        <f>IF(ISNUMBER(SEARCH("R", 'Dry_Litterbag Placem_Collection'!T131)),"YES","NO")</f>
        <v>NO</v>
      </c>
    </row>
    <row r="351" spans="1:40" ht="15" customHeight="1">
      <c r="A351" s="262" t="s">
        <v>2659</v>
      </c>
      <c r="B351" s="263">
        <f>'Dry_Litterbag Placem_Collection'!A132</f>
        <v>130</v>
      </c>
      <c r="C351" s="263" t="str">
        <f>'Dry_Litterbag Placem_Collection'!B132</f>
        <v xml:space="preserve">Mwantimba
</v>
      </c>
      <c r="D351" s="263" t="s">
        <v>2460</v>
      </c>
      <c r="E351" s="263" t="s">
        <v>20</v>
      </c>
      <c r="F351" s="263">
        <v>1</v>
      </c>
      <c r="G351" s="264" t="str">
        <f>'Dry_Litterbag Placem_Collection'!C132</f>
        <v>Wet_P1_T2</v>
      </c>
      <c r="H351" s="265" t="s">
        <v>2541</v>
      </c>
      <c r="I351" s="272" t="s">
        <v>298</v>
      </c>
      <c r="J351" s="263" t="str">
        <f>IF(ISBLANK('Dry_Litterbag Placem_Collection'!K132),"","R"&amp;""&amp;'Dry_Litterbag Placem_Collection'!K132)</f>
        <v>R789</v>
      </c>
      <c r="K351" s="267">
        <f>IFERROR(INDEX('Green_rooibos initial weight'!$C$5:$C$1749,MATCH(J351, 'Green_rooibos initial weight'!$A$5:$A$1749,0)),"")</f>
        <v>2.2549999999999999</v>
      </c>
      <c r="L351" s="267">
        <f>IFERROR(K351-(TBIcalc!$Q$9+TBIcalc!$Q$10),"")</f>
        <v>2.0051999999999999</v>
      </c>
      <c r="M351" s="391">
        <f>AVERAGE(Ashed_controlls!$K$12:$K$14)</f>
        <v>2.2816647271287041</v>
      </c>
      <c r="N351" s="267">
        <f t="shared" si="26"/>
        <v>1.959448058891615</v>
      </c>
      <c r="O351" s="267">
        <f>IF(IFERROR(INDEX('Both teabags AfterDry'!$D$3:$D$900,MATCH(J351,'Both teabags AfterDry'!$A$3:$A$900,0)),"")="","",(IFERROR(INDEX('Both teabags AfterDry'!$D$3:$D$900,MATCH(J351,'Both teabags AfterDry'!$A$3:$A$900,0)),"")))</f>
        <v>2.4607999999999999</v>
      </c>
      <c r="P351" s="267">
        <f>IFERROR(IF(O351&gt;0,O351-(TBIcalc!$Q$9),""),"")</f>
        <v>2.3102</v>
      </c>
      <c r="Q351" s="278">
        <f>IFERROR(INDEX('Ashed teabags dry'!$K$2:$K$825,MATCH(J351,'Ashed teabags dry'!$A$2:$A$825,0)),"")</f>
        <v>91.804831833254127</v>
      </c>
      <c r="R351" s="278">
        <f t="shared" si="27"/>
        <v>0.18932477498816302</v>
      </c>
      <c r="S351" s="268">
        <f>'Dry_Litterbag Placem_Collection'!E132</f>
        <v>42939</v>
      </c>
      <c r="T351" s="268">
        <f>IF('Dry_Litterbag Placem_Collection'!G132="","",'Dry_Litterbag Placem_Collection'!G132)</f>
        <v>43008</v>
      </c>
      <c r="U351" s="269">
        <f t="shared" si="25"/>
        <v>69</v>
      </c>
      <c r="V351" s="267">
        <f t="shared" si="28"/>
        <v>-0.30500000000000016</v>
      </c>
      <c r="W351" s="267">
        <f t="shared" si="29"/>
        <v>1.770123283903452</v>
      </c>
      <c r="X351" s="271">
        <f>IFERROR(INDEX(Rainfall_Dry!$O$2:$O$217,MATCH(B351, Rainfall_Dry!$A$2:$A$217,0)),"")</f>
        <v>136.27214243</v>
      </c>
      <c r="Y351" s="260">
        <v>31.214836424255054</v>
      </c>
      <c r="Z351" s="260">
        <v>11.377370285476141</v>
      </c>
      <c r="AA351" s="260">
        <v>57.407793290268799</v>
      </c>
      <c r="AB351" s="261" t="s">
        <v>2670</v>
      </c>
      <c r="AC351" s="260">
        <v>2.7337604731394798</v>
      </c>
      <c r="AD351">
        <f>IF('WetLitterbags placem_collection'!AB132="","",'WetLitterbags placem_collection'!AB132)</f>
        <v>2.1</v>
      </c>
      <c r="AE351">
        <f>IF('WetLitterbags placem_collection'!Z132="","",'WetLitterbags placem_collection'!Z132)</f>
        <v>3.5</v>
      </c>
      <c r="AF351" s="246" t="str">
        <f>IF('WetLitterbags placem_collection'!AA132="","",'WetLitterbags placem_collection'!AA132)</f>
        <v>O</v>
      </c>
      <c r="AG351">
        <f>IF('WetLitterbags placem_collection'!AC132="","",'WetLitterbags placem_collection'!AC132)</f>
        <v>0</v>
      </c>
      <c r="AH351">
        <f>IFERROR(AVERAGE('Dry_Litterbag Placem_Collection'!O132,'Dry_Litterbag Placem_Collection'!R132),"")</f>
        <v>8.9499999999999993</v>
      </c>
      <c r="AI351" s="271">
        <f>IFERROR(AVERAGE('Dry_Litterbag Placem_Collection'!N132,'Dry_Litterbag Placem_Collection'!Q132),"")</f>
        <v>28.55</v>
      </c>
      <c r="AJ351" s="270">
        <f>INDEX(Coordinates!$B$2:$B$197,MATCH(G351,Coordinates!$J$2:$J$197,0))</f>
        <v>-2.3503729889999998</v>
      </c>
      <c r="AK351" s="270">
        <f>INDEX(Coordinates!$C$2:$C$197,MATCH(G351,Coordinates!$J$2:$J$197,0))</f>
        <v>34.049626969999998</v>
      </c>
      <c r="AL351" s="270" t="str">
        <f>IF(ISNUMBER(SEARCH("C", 'Dry_Litterbag Placem_Collection'!T132)),"YES","NO")</f>
        <v>YES</v>
      </c>
      <c r="AM351" s="270" t="str">
        <f>IF(ISNUMBER(SEARCH("H", 'Dry_Litterbag Placem_Collection'!T132)),"YES","NO")</f>
        <v>YES</v>
      </c>
      <c r="AN351" s="270" t="str">
        <f>IF(ISNUMBER(SEARCH("R", 'Dry_Litterbag Placem_Collection'!T132)),"YES","NO")</f>
        <v>NO</v>
      </c>
    </row>
    <row r="352" spans="1:40" ht="15" customHeight="1">
      <c r="A352" s="262" t="s">
        <v>2659</v>
      </c>
      <c r="B352" s="263">
        <f>'Dry_Litterbag Placem_Collection'!A133</f>
        <v>131</v>
      </c>
      <c r="C352" s="263" t="str">
        <f>'Dry_Litterbag Placem_Collection'!B133</f>
        <v xml:space="preserve">Mwantimba
</v>
      </c>
      <c r="D352" s="263" t="s">
        <v>2460</v>
      </c>
      <c r="E352" s="263" t="s">
        <v>20</v>
      </c>
      <c r="F352" s="263">
        <v>1</v>
      </c>
      <c r="G352" s="264" t="str">
        <f>'Dry_Litterbag Placem_Collection'!C133</f>
        <v>Wet_P1_T3</v>
      </c>
      <c r="H352" s="265" t="s">
        <v>2541</v>
      </c>
      <c r="I352" s="272" t="s">
        <v>298</v>
      </c>
      <c r="J352" s="263" t="str">
        <f>IF(ISBLANK('Dry_Litterbag Placem_Collection'!K133),"","R"&amp;""&amp;'Dry_Litterbag Placem_Collection'!K133)</f>
        <v>R586</v>
      </c>
      <c r="K352" s="267">
        <f>IFERROR(INDEX('Green_rooibos initial weight'!$C$5:$C$1749,MATCH(J352, 'Green_rooibos initial weight'!$A$5:$A$1749,0)),"")</f>
        <v>2.1520000000000001</v>
      </c>
      <c r="L352" s="267">
        <f>IFERROR(K352-(TBIcalc!$Q$9+TBIcalc!$Q$10),"")</f>
        <v>1.9022000000000001</v>
      </c>
      <c r="M352" s="391">
        <f>AVERAGE(Ashed_controlls!$K$12:$K$14)</f>
        <v>2.2816647271287041</v>
      </c>
      <c r="N352" s="267">
        <f t="shared" si="26"/>
        <v>1.8587981735605579</v>
      </c>
      <c r="O352" s="267">
        <f>IF(IFERROR(INDEX('Both teabags AfterDry'!$D$3:$D$900,MATCH(J352,'Both teabags AfterDry'!$A$3:$A$900,0)),"")="","",(IFERROR(INDEX('Both teabags AfterDry'!$D$3:$D$900,MATCH(J352,'Both teabags AfterDry'!$A$3:$A$900,0)),"")))</f>
        <v>2.2069000000000001</v>
      </c>
      <c r="P352" s="267">
        <f>IFERROR(IF(O352&gt;0,O352-(TBIcalc!$Q$9),""),"")</f>
        <v>2.0563000000000002</v>
      </c>
      <c r="Q352" s="278">
        <f>IFERROR(INDEX('Ashed teabags dry'!$K$2:$K$825,MATCH(J352,'Ashed teabags dry'!$A$2:$A$825,0)),"")</f>
        <v>73.946360153256592</v>
      </c>
      <c r="R352" s="278">
        <f t="shared" si="27"/>
        <v>0.53574099616858462</v>
      </c>
      <c r="S352" s="268">
        <f>'Dry_Litterbag Placem_Collection'!E133</f>
        <v>42939</v>
      </c>
      <c r="T352" s="268">
        <f>IF('Dry_Litterbag Placem_Collection'!G133="","",'Dry_Litterbag Placem_Collection'!G133)</f>
        <v>43008</v>
      </c>
      <c r="U352" s="269">
        <f t="shared" si="25"/>
        <v>69</v>
      </c>
      <c r="V352" s="267">
        <f t="shared" si="28"/>
        <v>-0.15410000000000013</v>
      </c>
      <c r="W352" s="267">
        <f t="shared" si="29"/>
        <v>1.3230571773919733</v>
      </c>
      <c r="X352" s="271">
        <f>IFERROR(INDEX(Rainfall_Dry!$O$2:$O$217,MATCH(B352, Rainfall_Dry!$A$2:$A$217,0)),"")</f>
        <v>136.27214243</v>
      </c>
      <c r="Y352" s="260">
        <v>31.214836424255054</v>
      </c>
      <c r="Z352" s="260">
        <v>11.377370285476141</v>
      </c>
      <c r="AA352" s="260">
        <v>57.407793290268799</v>
      </c>
      <c r="AB352" s="261" t="s">
        <v>2670</v>
      </c>
      <c r="AC352" s="260">
        <v>3.7337604731394798</v>
      </c>
      <c r="AD352">
        <f>IF('WetLitterbags placem_collection'!AB133="","",'WetLitterbags placem_collection'!AB133)</f>
        <v>4.5</v>
      </c>
      <c r="AE352">
        <f>IF('WetLitterbags placem_collection'!Z133="","",'WetLitterbags placem_collection'!Z133)</f>
        <v>7.5</v>
      </c>
      <c r="AF352" s="246" t="str">
        <f>IF('WetLitterbags placem_collection'!AA133="","",'WetLitterbags placem_collection'!AA133)</f>
        <v>O</v>
      </c>
      <c r="AG352">
        <f>IF('WetLitterbags placem_collection'!AC133="","",'WetLitterbags placem_collection'!AC133)</f>
        <v>0</v>
      </c>
      <c r="AH352">
        <f>IFERROR(AVERAGE('Dry_Litterbag Placem_Collection'!O133,'Dry_Litterbag Placem_Collection'!R133),"")</f>
        <v>8.9499999999999993</v>
      </c>
      <c r="AI352" s="271">
        <f>IFERROR(AVERAGE('Dry_Litterbag Placem_Collection'!N133,'Dry_Litterbag Placem_Collection'!Q133),"")</f>
        <v>28.6</v>
      </c>
      <c r="AJ352" s="270">
        <f>INDEX(Coordinates!$B$2:$B$197,MATCH(G352,Coordinates!$J$2:$J$197,0))</f>
        <v>-2.3503259660000002</v>
      </c>
      <c r="AK352" s="270">
        <f>INDEX(Coordinates!$C$2:$C$197,MATCH(G352,Coordinates!$J$2:$J$197,0))</f>
        <v>34.049616999999998</v>
      </c>
      <c r="AL352" s="270" t="str">
        <f>IF(ISNUMBER(SEARCH("C", 'Dry_Litterbag Placem_Collection'!T133)),"YES","NO")</f>
        <v>YES</v>
      </c>
      <c r="AM352" s="270" t="str">
        <f>IF(ISNUMBER(SEARCH("H", 'Dry_Litterbag Placem_Collection'!T133)),"YES","NO")</f>
        <v>YES</v>
      </c>
      <c r="AN352" s="270" t="str">
        <f>IF(ISNUMBER(SEARCH("R", 'Dry_Litterbag Placem_Collection'!T133)),"YES","NO")</f>
        <v>NO</v>
      </c>
    </row>
    <row r="353" spans="1:40" ht="15" customHeight="1">
      <c r="A353" s="262" t="s">
        <v>2659</v>
      </c>
      <c r="B353" s="263">
        <f>'Dry_Litterbag Placem_Collection'!A134</f>
        <v>132</v>
      </c>
      <c r="C353" s="263" t="str">
        <f>'Dry_Litterbag Placem_Collection'!B134</f>
        <v xml:space="preserve">Mwantimba
</v>
      </c>
      <c r="D353" s="263" t="s">
        <v>2460</v>
      </c>
      <c r="E353" s="263" t="s">
        <v>20</v>
      </c>
      <c r="F353" s="263">
        <v>1</v>
      </c>
      <c r="G353" s="264" t="str">
        <f>'Dry_Litterbag Placem_Collection'!C134</f>
        <v>Wet_P1_T4</v>
      </c>
      <c r="H353" s="265" t="s">
        <v>2541</v>
      </c>
      <c r="I353" s="272" t="s">
        <v>298</v>
      </c>
      <c r="J353" s="263" t="str">
        <f>IF(ISBLANK('Dry_Litterbag Placem_Collection'!K134),"","R"&amp;""&amp;'Dry_Litterbag Placem_Collection'!K134)</f>
        <v/>
      </c>
      <c r="K353" s="267" t="str">
        <f>IFERROR(INDEX('Green_rooibos initial weight'!$C$5:$C$1749,MATCH(J353, 'Green_rooibos initial weight'!$A$5:$A$1749,0)),"")</f>
        <v/>
      </c>
      <c r="L353" s="267" t="str">
        <f>IFERROR(K353-(TBIcalc!$Q$9+TBIcalc!$Q$10),"")</f>
        <v/>
      </c>
      <c r="M353" s="391">
        <f>AVERAGE(Ashed_controlls!$K$12:$K$14)</f>
        <v>2.2816647271287041</v>
      </c>
      <c r="N353" s="267" t="str">
        <f t="shared" si="26"/>
        <v/>
      </c>
      <c r="O353" s="267" t="str">
        <f>IF(IFERROR(INDEX('Both teabags AfterDry'!$D$3:$D$900,MATCH(J353,'Both teabags AfterDry'!$A$3:$A$900,0)),"")="","",(IFERROR(INDEX('Both teabags AfterDry'!$D$3:$D$900,MATCH(J353,'Both teabags AfterDry'!$A$3:$A$900,0)),"")))</f>
        <v/>
      </c>
      <c r="P353" s="267" t="str">
        <f>IFERROR(IF(O353&gt;0,O353-(TBIcalc!$Q$9),""),"")</f>
        <v/>
      </c>
      <c r="Q353" s="278" t="str">
        <f>IFERROR(INDEX('Ashed teabags dry'!$K$2:$K$825,MATCH(J353,'Ashed teabags dry'!$A$2:$A$825,0)),"")</f>
        <v/>
      </c>
      <c r="R353" s="278" t="str">
        <f t="shared" si="27"/>
        <v/>
      </c>
      <c r="S353" s="268">
        <f>'Dry_Litterbag Placem_Collection'!E134</f>
        <v>0</v>
      </c>
      <c r="T353" s="268" t="str">
        <f>IF('Dry_Litterbag Placem_Collection'!G134="","",'Dry_Litterbag Placem_Collection'!G134)</f>
        <v/>
      </c>
      <c r="U353" s="269" t="str">
        <f t="shared" si="25"/>
        <v/>
      </c>
      <c r="V353" s="267" t="str">
        <f t="shared" si="28"/>
        <v/>
      </c>
      <c r="W353" s="267" t="str">
        <f t="shared" si="29"/>
        <v/>
      </c>
      <c r="X353" s="271" t="str">
        <f>IFERROR(INDEX(Rainfall_Dry!$O$2:$O$217,MATCH(B353, Rainfall_Dry!$A$2:$A$217,0)),"")</f>
        <v/>
      </c>
      <c r="Y353" s="260">
        <v>31.214836424255054</v>
      </c>
      <c r="Z353" s="260">
        <v>11.377370285476141</v>
      </c>
      <c r="AA353" s="260">
        <v>57.407793290268799</v>
      </c>
      <c r="AB353" s="261" t="s">
        <v>2670</v>
      </c>
      <c r="AC353" s="260">
        <v>4.7337604731394798</v>
      </c>
      <c r="AD353">
        <f>IF('WetLitterbags placem_collection'!AB134="","",'WetLitterbags placem_collection'!AB134)</f>
        <v>0.7</v>
      </c>
      <c r="AE353">
        <f>IF('WetLitterbags placem_collection'!Z134="","",'WetLitterbags placem_collection'!Z134)</f>
        <v>9.8000000000000007</v>
      </c>
      <c r="AF353" s="246" t="str">
        <f>IF('WetLitterbags placem_collection'!AA134="","",'WetLitterbags placem_collection'!AA134)</f>
        <v>G</v>
      </c>
      <c r="AG353">
        <f>IF('WetLitterbags placem_collection'!AC134="","",'WetLitterbags placem_collection'!AC134)</f>
        <v>1</v>
      </c>
      <c r="AH353" t="str">
        <f>IFERROR(AVERAGE('Dry_Litterbag Placem_Collection'!O134,'Dry_Litterbag Placem_Collection'!R134),"")</f>
        <v/>
      </c>
      <c r="AI353" s="271" t="str">
        <f>IFERROR(AVERAGE('Dry_Litterbag Placem_Collection'!N134,'Dry_Litterbag Placem_Collection'!Q134),"")</f>
        <v/>
      </c>
      <c r="AJ353" s="270">
        <f>INDEX(Coordinates!$B$2:$B$197,MATCH(G353,Coordinates!$J$2:$J$197,0))</f>
        <v>-2.3504800260000001</v>
      </c>
      <c r="AK353" s="270">
        <f>INDEX(Coordinates!$C$2:$C$197,MATCH(G353,Coordinates!$J$2:$J$197,0))</f>
        <v>34.049551030000003</v>
      </c>
      <c r="AL353" s="270" t="str">
        <f>IF(ISNUMBER(SEARCH("C", 'Dry_Litterbag Placem_Collection'!T134)),"YES","NO")</f>
        <v>NO</v>
      </c>
      <c r="AM353" s="270" t="str">
        <f>IF(ISNUMBER(SEARCH("H", 'Dry_Litterbag Placem_Collection'!T134)),"YES","NO")</f>
        <v>NO</v>
      </c>
      <c r="AN353" s="270" t="str">
        <f>IF(ISNUMBER(SEARCH("R", 'Dry_Litterbag Placem_Collection'!T134)),"YES","NO")</f>
        <v>NO</v>
      </c>
    </row>
    <row r="354" spans="1:40" ht="15" customHeight="1">
      <c r="A354" s="262" t="s">
        <v>2659</v>
      </c>
      <c r="B354" s="263">
        <f>'Dry_Litterbag Placem_Collection'!A135</f>
        <v>133</v>
      </c>
      <c r="C354" s="263" t="str">
        <f>'Dry_Litterbag Placem_Collection'!B135</f>
        <v xml:space="preserve">Mwantimba
</v>
      </c>
      <c r="D354" s="263" t="s">
        <v>2460</v>
      </c>
      <c r="E354" s="263" t="s">
        <v>20</v>
      </c>
      <c r="F354" s="263">
        <v>1</v>
      </c>
      <c r="G354" s="264" t="str">
        <f>'Dry_Litterbag Placem_Collection'!C135</f>
        <v>Wet_P1_T5</v>
      </c>
      <c r="H354" s="265" t="s">
        <v>2541</v>
      </c>
      <c r="I354" s="272" t="s">
        <v>298</v>
      </c>
      <c r="J354" s="263" t="str">
        <f>IF(ISBLANK('Dry_Litterbag Placem_Collection'!K135),"","R"&amp;""&amp;'Dry_Litterbag Placem_Collection'!K135)</f>
        <v>R817</v>
      </c>
      <c r="K354" s="267">
        <f>IFERROR(INDEX('Green_rooibos initial weight'!$C$5:$C$1749,MATCH(J354, 'Green_rooibos initial weight'!$A$5:$A$1749,0)),"")</f>
        <v>2.1749999999999998</v>
      </c>
      <c r="L354" s="267">
        <f>IFERROR(K354-(TBIcalc!$Q$9+TBIcalc!$Q$10),"")</f>
        <v>1.9251999999999998</v>
      </c>
      <c r="M354" s="391">
        <f>AVERAGE(Ashed_controlls!$K$12:$K$14)</f>
        <v>2.2816647271287041</v>
      </c>
      <c r="N354" s="267">
        <f t="shared" si="26"/>
        <v>1.8812733906733179</v>
      </c>
      <c r="O354" s="267" t="str">
        <f>IF(IFERROR(INDEX('Both teabags AfterDry'!$D$3:$D$900,MATCH(J354,'Both teabags AfterDry'!$A$3:$A$900,0)),"")="","",(IFERROR(INDEX('Both teabags AfterDry'!$D$3:$D$900,MATCH(J354,'Both teabags AfterDry'!$A$3:$A$900,0)),"")))</f>
        <v/>
      </c>
      <c r="P354" s="267" t="str">
        <f>IFERROR(IF(O354&gt;0,O354-(TBIcalc!$Q$9),""),"")</f>
        <v/>
      </c>
      <c r="Q354" s="278" t="str">
        <f>IFERROR(INDEX('Ashed teabags dry'!$K$2:$K$825,MATCH(J354,'Ashed teabags dry'!$A$2:$A$825,0)),"")</f>
        <v/>
      </c>
      <c r="R354" s="278" t="str">
        <f t="shared" si="27"/>
        <v/>
      </c>
      <c r="S354" s="268">
        <f>'Dry_Litterbag Placem_Collection'!E135</f>
        <v>42939</v>
      </c>
      <c r="T354" s="268">
        <f>IF('Dry_Litterbag Placem_Collection'!G135="","",'Dry_Litterbag Placem_Collection'!G135)</f>
        <v>43008</v>
      </c>
      <c r="U354" s="269">
        <f t="shared" si="25"/>
        <v>69</v>
      </c>
      <c r="V354" s="267" t="str">
        <f t="shared" si="28"/>
        <v/>
      </c>
      <c r="W354" s="267" t="str">
        <f t="shared" si="29"/>
        <v/>
      </c>
      <c r="X354" s="271">
        <f>IFERROR(INDEX(Rainfall_Dry!$O$2:$O$217,MATCH(B354, Rainfall_Dry!$A$2:$A$217,0)),"")</f>
        <v>136.27214243</v>
      </c>
      <c r="Y354" s="260">
        <v>31.214836424255054</v>
      </c>
      <c r="Z354" s="260">
        <v>11.377370285476141</v>
      </c>
      <c r="AA354" s="260">
        <v>57.407793290268799</v>
      </c>
      <c r="AB354" s="261" t="s">
        <v>2670</v>
      </c>
      <c r="AC354" s="260">
        <v>5.7337604731394798</v>
      </c>
      <c r="AD354">
        <f>IF('WetLitterbags placem_collection'!AB135="","",'WetLitterbags placem_collection'!AB135)</f>
        <v>2.2000000000000002</v>
      </c>
      <c r="AE354">
        <f>IF('WetLitterbags placem_collection'!Z135="","",'WetLitterbags placem_collection'!Z135)</f>
        <v>10</v>
      </c>
      <c r="AF354" s="246" t="str">
        <f>IF('WetLitterbags placem_collection'!AA135="","",'WetLitterbags placem_collection'!AA135)</f>
        <v>O</v>
      </c>
      <c r="AG354">
        <f>IF('WetLitterbags placem_collection'!AC135="","",'WetLitterbags placem_collection'!AC135)</f>
        <v>1</v>
      </c>
      <c r="AH354">
        <f>IFERROR(AVERAGE('Dry_Litterbag Placem_Collection'!O135,'Dry_Litterbag Placem_Collection'!R135),"")</f>
        <v>8.75</v>
      </c>
      <c r="AI354" s="271">
        <f>IFERROR(AVERAGE('Dry_Litterbag Placem_Collection'!N135,'Dry_Litterbag Placem_Collection'!Q135),"")</f>
        <v>31.3</v>
      </c>
      <c r="AJ354" s="270">
        <f>INDEX(Coordinates!$B$2:$B$197,MATCH(G354,Coordinates!$J$2:$J$197,0))</f>
        <v>-2.350474996</v>
      </c>
      <c r="AK354" s="270">
        <f>INDEX(Coordinates!$C$2:$C$197,MATCH(G354,Coordinates!$J$2:$J$197,0))</f>
        <v>34.049801979999998</v>
      </c>
      <c r="AL354" s="270" t="str">
        <f>IF(ISNUMBER(SEARCH("C", 'Dry_Litterbag Placem_Collection'!T135)),"YES","NO")</f>
        <v>YES</v>
      </c>
      <c r="AM354" s="270" t="str">
        <f>IF(ISNUMBER(SEARCH("H", 'Dry_Litterbag Placem_Collection'!T135)),"YES","NO")</f>
        <v>NO</v>
      </c>
      <c r="AN354" s="270" t="str">
        <f>IF(ISNUMBER(SEARCH("R", 'Dry_Litterbag Placem_Collection'!T135)),"YES","NO")</f>
        <v>NO</v>
      </c>
    </row>
    <row r="355" spans="1:40" ht="15" customHeight="1">
      <c r="A355" s="262" t="s">
        <v>2659</v>
      </c>
      <c r="B355" s="263">
        <f>'Dry_Litterbag Placem_Collection'!A136</f>
        <v>134</v>
      </c>
      <c r="C355" s="263" t="str">
        <f>'Dry_Litterbag Placem_Collection'!B136</f>
        <v xml:space="preserve">Mwantimba
</v>
      </c>
      <c r="D355" s="263" t="s">
        <v>2460</v>
      </c>
      <c r="E355" s="263" t="s">
        <v>20</v>
      </c>
      <c r="F355" s="263">
        <v>1</v>
      </c>
      <c r="G355" s="264" t="str">
        <f>'Dry_Litterbag Placem_Collection'!C136</f>
        <v>Wet_P1_T6</v>
      </c>
      <c r="H355" s="265" t="s">
        <v>2541</v>
      </c>
      <c r="I355" s="272" t="s">
        <v>298</v>
      </c>
      <c r="J355" s="263" t="str">
        <f>IF(ISBLANK('Dry_Litterbag Placem_Collection'!K136),"","R"&amp;""&amp;'Dry_Litterbag Placem_Collection'!K136)</f>
        <v>R837</v>
      </c>
      <c r="K355" s="267">
        <f>IFERROR(INDEX('Green_rooibos initial weight'!$C$5:$C$1749,MATCH(J355, 'Green_rooibos initial weight'!$A$5:$A$1749,0)),"")</f>
        <v>2.1909999999999998</v>
      </c>
      <c r="L355" s="267">
        <f>IFERROR(K355-(TBIcalc!$Q$9+TBIcalc!$Q$10),"")</f>
        <v>1.9411999999999998</v>
      </c>
      <c r="M355" s="391">
        <f>AVERAGE(Ashed_controlls!$K$12:$K$14)</f>
        <v>2.2816647271287041</v>
      </c>
      <c r="N355" s="267">
        <f t="shared" si="26"/>
        <v>1.8969083243169773</v>
      </c>
      <c r="O355" s="267">
        <f>IF(IFERROR(INDEX('Both teabags AfterDry'!$D$3:$D$900,MATCH(J355,'Both teabags AfterDry'!$A$3:$A$900,0)),"")="","",(IFERROR(INDEX('Both teabags AfterDry'!$D$3:$D$900,MATCH(J355,'Both teabags AfterDry'!$A$3:$A$900,0)),"")))</f>
        <v>1.7436</v>
      </c>
      <c r="P355" s="267">
        <f>IFERROR(IF(O355&gt;0,O355-(TBIcalc!$Q$9),""),"")</f>
        <v>1.593</v>
      </c>
      <c r="Q355" s="278">
        <f>IFERROR(INDEX('Ashed teabags dry'!$K$2:$K$825,MATCH(J355,'Ashed teabags dry'!$A$2:$A$825,0)),"")</f>
        <v>3.5795197100129474</v>
      </c>
      <c r="R355" s="278">
        <f t="shared" si="27"/>
        <v>1.5359782510194937</v>
      </c>
      <c r="S355" s="268">
        <f>'Dry_Litterbag Placem_Collection'!E136</f>
        <v>42939</v>
      </c>
      <c r="T355" s="268">
        <f>IF('Dry_Litterbag Placem_Collection'!G136="","",'Dry_Litterbag Placem_Collection'!G136)</f>
        <v>43008</v>
      </c>
      <c r="U355" s="269">
        <f t="shared" si="25"/>
        <v>69</v>
      </c>
      <c r="V355" s="267">
        <f t="shared" si="28"/>
        <v>0.34819999999999984</v>
      </c>
      <c r="W355" s="267">
        <f t="shared" si="29"/>
        <v>0.36093007329748361</v>
      </c>
      <c r="X355" s="271">
        <f>IFERROR(INDEX(Rainfall_Dry!$O$2:$O$217,MATCH(B355, Rainfall_Dry!$A$2:$A$217,0)),"")</f>
        <v>136.27214243</v>
      </c>
      <c r="Y355" s="260">
        <v>31.214836424255054</v>
      </c>
      <c r="Z355" s="260">
        <v>11.377370285476141</v>
      </c>
      <c r="AA355" s="260">
        <v>57.407793290268799</v>
      </c>
      <c r="AB355" s="261" t="s">
        <v>2670</v>
      </c>
      <c r="AC355" s="260">
        <v>6.7337604731394798</v>
      </c>
      <c r="AD355">
        <f>IF('WetLitterbags placem_collection'!AB136="","",'WetLitterbags placem_collection'!AB136)</f>
        <v>1.1000000000000001</v>
      </c>
      <c r="AE355">
        <f>IF('WetLitterbags placem_collection'!Z136="","",'WetLitterbags placem_collection'!Z136)</f>
        <v>15.4</v>
      </c>
      <c r="AF355" s="246" t="str">
        <f>IF('WetLitterbags placem_collection'!AA136="","",'WetLitterbags placem_collection'!AA136)</f>
        <v>O</v>
      </c>
      <c r="AG355">
        <f>IF('WetLitterbags placem_collection'!AC136="","",'WetLitterbags placem_collection'!AC136)</f>
        <v>1</v>
      </c>
      <c r="AH355">
        <f>IFERROR(AVERAGE('Dry_Litterbag Placem_Collection'!O136,'Dry_Litterbag Placem_Collection'!R136),"")</f>
        <v>6.65</v>
      </c>
      <c r="AI355" s="271">
        <f>IFERROR(AVERAGE('Dry_Litterbag Placem_Collection'!N136,'Dry_Litterbag Placem_Collection'!Q136),"")</f>
        <v>29.200000000000003</v>
      </c>
      <c r="AJ355" s="270">
        <f>INDEX(Coordinates!$B$2:$B$197,MATCH(G355,Coordinates!$J$2:$J$197,0))</f>
        <v>-2.3503559730000001</v>
      </c>
      <c r="AK355" s="270">
        <f>INDEX(Coordinates!$C$2:$C$197,MATCH(G355,Coordinates!$J$2:$J$197,0))</f>
        <v>34.049800980000001</v>
      </c>
      <c r="AL355" s="270" t="str">
        <f>IF(ISNUMBER(SEARCH("C", 'Dry_Litterbag Placem_Collection'!T136)),"YES","NO")</f>
        <v>YES</v>
      </c>
      <c r="AM355" s="270" t="str">
        <f>IF(ISNUMBER(SEARCH("H", 'Dry_Litterbag Placem_Collection'!T136)),"YES","NO")</f>
        <v>NO</v>
      </c>
      <c r="AN355" s="270" t="str">
        <f>IF(ISNUMBER(SEARCH("R", 'Dry_Litterbag Placem_Collection'!T136)),"YES","NO")</f>
        <v>NO</v>
      </c>
    </row>
    <row r="356" spans="1:40" ht="15" customHeight="1">
      <c r="A356" s="262" t="s">
        <v>2659</v>
      </c>
      <c r="B356" s="263">
        <f>'Dry_Litterbag Placem_Collection'!A137</f>
        <v>135</v>
      </c>
      <c r="C356" s="263" t="str">
        <f>'Dry_Litterbag Placem_Collection'!B137</f>
        <v xml:space="preserve">Mwantimba
</v>
      </c>
      <c r="D356" s="263" t="s">
        <v>2460</v>
      </c>
      <c r="E356" s="263" t="s">
        <v>20</v>
      </c>
      <c r="F356" s="263">
        <v>1</v>
      </c>
      <c r="G356" s="264" t="str">
        <f>'Dry_Litterbag Placem_Collection'!C137</f>
        <v>Wet_P1_T7</v>
      </c>
      <c r="H356" s="265" t="s">
        <v>2541</v>
      </c>
      <c r="I356" s="272" t="s">
        <v>298</v>
      </c>
      <c r="J356" s="263" t="str">
        <f>IF(ISBLANK('Dry_Litterbag Placem_Collection'!K137),"","R"&amp;""&amp;'Dry_Litterbag Placem_Collection'!K137)</f>
        <v>R756</v>
      </c>
      <c r="K356" s="267">
        <f>IFERROR(INDEX('Green_rooibos initial weight'!$C$5:$C$1749,MATCH(J356, 'Green_rooibos initial weight'!$A$5:$A$1749,0)),"")</f>
        <v>2.2690000000000001</v>
      </c>
      <c r="L356" s="267">
        <f>IFERROR(K356-(TBIcalc!$Q$9+TBIcalc!$Q$10),"")</f>
        <v>2.0192000000000001</v>
      </c>
      <c r="M356" s="391">
        <f>AVERAGE(Ashed_controlls!$K$12:$K$14)</f>
        <v>2.2816647271287041</v>
      </c>
      <c r="N356" s="267">
        <f t="shared" si="26"/>
        <v>1.9731286258298173</v>
      </c>
      <c r="O356" s="267">
        <f>IF(IFERROR(INDEX('Both teabags AfterDry'!$D$3:$D$900,MATCH(J356,'Both teabags AfterDry'!$A$3:$A$900,0)),"")="","",(IFERROR(INDEX('Both teabags AfterDry'!$D$3:$D$900,MATCH(J356,'Both teabags AfterDry'!$A$3:$A$900,0)),"")))</f>
        <v>2.0406</v>
      </c>
      <c r="P356" s="267">
        <f>IFERROR(IF(O356&gt;0,O356-(TBIcalc!$Q$9),""),"")</f>
        <v>1.89</v>
      </c>
      <c r="Q356" s="278">
        <f>IFERROR(INDEX('Ashed teabags dry'!$K$2:$K$825,MATCH(J356,'Ashed teabags dry'!$A$2:$A$825,0)),"")</f>
        <v>89.95546759030151</v>
      </c>
      <c r="R356" s="278">
        <f t="shared" si="27"/>
        <v>0.18984166254330148</v>
      </c>
      <c r="S356" s="268">
        <f>'Dry_Litterbag Placem_Collection'!E137</f>
        <v>42939</v>
      </c>
      <c r="T356" s="268">
        <f>IF('Dry_Litterbag Placem_Collection'!G137="","",'Dry_Litterbag Placem_Collection'!G137)</f>
        <v>43008</v>
      </c>
      <c r="U356" s="269">
        <f t="shared" si="25"/>
        <v>69</v>
      </c>
      <c r="V356" s="267">
        <f t="shared" si="28"/>
        <v>0.1292000000000002</v>
      </c>
      <c r="W356" s="267">
        <f t="shared" si="29"/>
        <v>1.7832869632865158</v>
      </c>
      <c r="X356" s="271">
        <f>IFERROR(INDEX(Rainfall_Dry!$O$2:$O$217,MATCH(B356, Rainfall_Dry!$A$2:$A$217,0)),"")</f>
        <v>136.27214243</v>
      </c>
      <c r="Y356" s="260">
        <v>31.214836424255054</v>
      </c>
      <c r="Z356" s="260">
        <v>11.377370285476141</v>
      </c>
      <c r="AA356" s="260">
        <v>57.407793290268799</v>
      </c>
      <c r="AB356" s="261" t="s">
        <v>2670</v>
      </c>
      <c r="AC356" s="260">
        <v>7.7337604731394798</v>
      </c>
      <c r="AD356">
        <f>IF('WetLitterbags placem_collection'!AB137="","",'WetLitterbags placem_collection'!AB137)</f>
        <v>2.1</v>
      </c>
      <c r="AE356">
        <f>IF('WetLitterbags placem_collection'!Z137="","",'WetLitterbags placem_collection'!Z137)</f>
        <v>5.6</v>
      </c>
      <c r="AF356" s="246" t="str">
        <f>IF('WetLitterbags placem_collection'!AA137="","",'WetLitterbags placem_collection'!AA137)</f>
        <v>O</v>
      </c>
      <c r="AG356">
        <f>IF('WetLitterbags placem_collection'!AC137="","",'WetLitterbags placem_collection'!AC137)</f>
        <v>1</v>
      </c>
      <c r="AH356">
        <f>IFERROR(AVERAGE('Dry_Litterbag Placem_Collection'!O137,'Dry_Litterbag Placem_Collection'!R137),"")</f>
        <v>8.5500000000000007</v>
      </c>
      <c r="AI356" s="271">
        <f>IFERROR(AVERAGE('Dry_Litterbag Placem_Collection'!N137,'Dry_Litterbag Placem_Collection'!Q137),"")</f>
        <v>31.35</v>
      </c>
      <c r="AJ356" s="270">
        <f>INDEX(Coordinates!$B$2:$B$197,MATCH(G356,Coordinates!$J$2:$J$197,0))</f>
        <v>-2.3503589909999998</v>
      </c>
      <c r="AK356" s="270">
        <f>INDEX(Coordinates!$C$2:$C$197,MATCH(G356,Coordinates!$J$2:$J$197,0))</f>
        <v>34.049719000000003</v>
      </c>
      <c r="AL356" s="270" t="str">
        <f>IF(ISNUMBER(SEARCH("C", 'Dry_Litterbag Placem_Collection'!T137)),"YES","NO")</f>
        <v>YES</v>
      </c>
      <c r="AM356" s="270" t="str">
        <f>IF(ISNUMBER(SEARCH("H", 'Dry_Litterbag Placem_Collection'!T137)),"YES","NO")</f>
        <v>YES</v>
      </c>
      <c r="AN356" s="270" t="str">
        <f>IF(ISNUMBER(SEARCH("R", 'Dry_Litterbag Placem_Collection'!T137)),"YES","NO")</f>
        <v>NO</v>
      </c>
    </row>
    <row r="357" spans="1:40" ht="15" customHeight="1">
      <c r="A357" s="262" t="s">
        <v>2659</v>
      </c>
      <c r="B357" s="263">
        <f>'Dry_Litterbag Placem_Collection'!A138</f>
        <v>136</v>
      </c>
      <c r="C357" s="263" t="str">
        <f>'Dry_Litterbag Placem_Collection'!B138</f>
        <v xml:space="preserve">Mwantimba
</v>
      </c>
      <c r="D357" s="263" t="s">
        <v>2460</v>
      </c>
      <c r="E357" s="263" t="s">
        <v>20</v>
      </c>
      <c r="F357" s="263">
        <v>1</v>
      </c>
      <c r="G357" s="264" t="str">
        <f>'Dry_Litterbag Placem_Collection'!C138</f>
        <v>Wet_P1_T8</v>
      </c>
      <c r="H357" s="265" t="s">
        <v>2541</v>
      </c>
      <c r="I357" s="272" t="s">
        <v>298</v>
      </c>
      <c r="J357" s="263" t="str">
        <f>IF(ISBLANK('Dry_Litterbag Placem_Collection'!K138),"","R"&amp;""&amp;'Dry_Litterbag Placem_Collection'!K138)</f>
        <v>R184</v>
      </c>
      <c r="K357" s="267">
        <f>IFERROR(INDEX('Green_rooibos initial weight'!$C$5:$C$1749,MATCH(J357, 'Green_rooibos initial weight'!$A$5:$A$1749,0)),"")</f>
        <v>2.202</v>
      </c>
      <c r="L357" s="267">
        <f>IFERROR(K357-(TBIcalc!$Q$9+TBIcalc!$Q$10),"")</f>
        <v>1.9521999999999999</v>
      </c>
      <c r="M357" s="391">
        <f>AVERAGE(Ashed_controlls!$K$12:$K$14)</f>
        <v>2.2816647271287041</v>
      </c>
      <c r="N357" s="267">
        <f t="shared" si="26"/>
        <v>1.9076573411969935</v>
      </c>
      <c r="O357" s="267">
        <f>IF(IFERROR(INDEX('Both teabags AfterDry'!$D$3:$D$900,MATCH(J357,'Both teabags AfterDry'!$A$3:$A$900,0)),"")="","",(IFERROR(INDEX('Both teabags AfterDry'!$D$3:$D$900,MATCH(J357,'Both teabags AfterDry'!$A$3:$A$900,0)),"")))</f>
        <v>1.7850999999999999</v>
      </c>
      <c r="P357" s="267">
        <f>IFERROR(IF(O357&gt;0,O357-(TBIcalc!$Q$9),""),"")</f>
        <v>1.6344999999999998</v>
      </c>
      <c r="Q357" s="278">
        <f>IFERROR(INDEX('Ashed teabags dry'!$K$2:$K$825,MATCH(J357,'Ashed teabags dry'!$A$2:$A$825,0)),"")</f>
        <v>4.4315992292882065</v>
      </c>
      <c r="R357" s="278">
        <f t="shared" si="27"/>
        <v>1.562065510597284</v>
      </c>
      <c r="S357" s="268">
        <f>'Dry_Litterbag Placem_Collection'!E138</f>
        <v>42939</v>
      </c>
      <c r="T357" s="268">
        <f>IF('Dry_Litterbag Placem_Collection'!G138="","",'Dry_Litterbag Placem_Collection'!G138)</f>
        <v>43008</v>
      </c>
      <c r="U357" s="269">
        <f t="shared" si="25"/>
        <v>69</v>
      </c>
      <c r="V357" s="267">
        <f t="shared" si="28"/>
        <v>0.31770000000000009</v>
      </c>
      <c r="W357" s="267">
        <f t="shared" si="29"/>
        <v>0.34559183059970944</v>
      </c>
      <c r="X357" s="271">
        <f>IFERROR(INDEX(Rainfall_Dry!$O$2:$O$217,MATCH(B357, Rainfall_Dry!$A$2:$A$217,0)),"")</f>
        <v>136.27214243</v>
      </c>
      <c r="Y357" s="260">
        <v>31.214836424255054</v>
      </c>
      <c r="Z357" s="260">
        <v>11.377370285476141</v>
      </c>
      <c r="AA357" s="260">
        <v>57.407793290268799</v>
      </c>
      <c r="AB357" s="261" t="s">
        <v>2670</v>
      </c>
      <c r="AC357" s="260">
        <v>8.7337604731394798</v>
      </c>
      <c r="AD357">
        <f>IF('WetLitterbags placem_collection'!AB138="","",'WetLitterbags placem_collection'!AB138)</f>
        <v>2.2999999999999998</v>
      </c>
      <c r="AE357">
        <f>IF('WetLitterbags placem_collection'!Z138="","",'WetLitterbags placem_collection'!Z138)</f>
        <v>16.3</v>
      </c>
      <c r="AF357" s="246" t="str">
        <f>IF('WetLitterbags placem_collection'!AA138="","",'WetLitterbags placem_collection'!AA138)</f>
        <v>G</v>
      </c>
      <c r="AG357">
        <f>IF('WetLitterbags placem_collection'!AC138="","",'WetLitterbags placem_collection'!AC138)</f>
        <v>1</v>
      </c>
      <c r="AH357">
        <f>IFERROR(AVERAGE('Dry_Litterbag Placem_Collection'!O138,'Dry_Litterbag Placem_Collection'!R138),"")</f>
        <v>5.9</v>
      </c>
      <c r="AI357" s="271">
        <f>IFERROR(AVERAGE('Dry_Litterbag Placem_Collection'!N138,'Dry_Litterbag Placem_Collection'!Q138),"")</f>
        <v>29.9</v>
      </c>
      <c r="AJ357" s="270">
        <f>INDEX(Coordinates!$B$2:$B$197,MATCH(G357,Coordinates!$J$2:$J$197,0))</f>
        <v>-2.3502159960000002</v>
      </c>
      <c r="AK357" s="270">
        <f>INDEX(Coordinates!$C$2:$C$197,MATCH(G357,Coordinates!$J$2:$J$197,0))</f>
        <v>34.049822020000001</v>
      </c>
      <c r="AL357" s="270" t="str">
        <f>IF(ISNUMBER(SEARCH("C", 'Dry_Litterbag Placem_Collection'!T138)),"YES","NO")</f>
        <v>NO</v>
      </c>
      <c r="AM357" s="270" t="str">
        <f>IF(ISNUMBER(SEARCH("H", 'Dry_Litterbag Placem_Collection'!T138)),"YES","NO")</f>
        <v>NO</v>
      </c>
      <c r="AN357" s="270" t="str">
        <f>IF(ISNUMBER(SEARCH("R", 'Dry_Litterbag Placem_Collection'!T138)),"YES","NO")</f>
        <v>NO</v>
      </c>
    </row>
    <row r="358" spans="1:40" ht="15" customHeight="1">
      <c r="A358" s="262" t="s">
        <v>2659</v>
      </c>
      <c r="B358" s="263">
        <f>'Dry_Litterbag Placem_Collection'!A139</f>
        <v>137</v>
      </c>
      <c r="C358" s="263" t="str">
        <f>'Dry_Litterbag Placem_Collection'!B139</f>
        <v xml:space="preserve">Mwantimba
</v>
      </c>
      <c r="D358" s="263" t="s">
        <v>2460</v>
      </c>
      <c r="E358" s="263" t="s">
        <v>20</v>
      </c>
      <c r="F358" s="263">
        <v>2</v>
      </c>
      <c r="G358" s="264" t="str">
        <f>'Dry_Litterbag Placem_Collection'!C139</f>
        <v>Wet_P2_T1</v>
      </c>
      <c r="H358" s="265" t="s">
        <v>2541</v>
      </c>
      <c r="I358" s="272" t="s">
        <v>298</v>
      </c>
      <c r="J358" s="263" t="str">
        <f>IF(ISBLANK('Dry_Litterbag Placem_Collection'!K139),"","R"&amp;""&amp;'Dry_Litterbag Placem_Collection'!K139)</f>
        <v>R746</v>
      </c>
      <c r="K358" s="267">
        <f>IFERROR(INDEX('Green_rooibos initial weight'!$C$5:$C$1749,MATCH(J358, 'Green_rooibos initial weight'!$A$5:$A$1749,0)),"")</f>
        <v>2.2290000000000001</v>
      </c>
      <c r="L358" s="267">
        <f>IFERROR(K358-(TBIcalc!$Q$9+TBIcalc!$Q$10),"")</f>
        <v>1.9792000000000001</v>
      </c>
      <c r="M358" s="391">
        <f>AVERAGE(Ashed_controlls!$K$12:$K$14)</f>
        <v>2.2816647271287041</v>
      </c>
      <c r="N358" s="267">
        <f t="shared" si="26"/>
        <v>1.9340412917206689</v>
      </c>
      <c r="O358" s="267">
        <f>IF(IFERROR(INDEX('Both teabags AfterDry'!$D$3:$D$900,MATCH(J358,'Both teabags AfterDry'!$A$3:$A$900,0)),"")="","",(IFERROR(INDEX('Both teabags AfterDry'!$D$3:$D$900,MATCH(J358,'Both teabags AfterDry'!$A$3:$A$900,0)),"")))</f>
        <v>5.0305999999999997</v>
      </c>
      <c r="P358" s="267">
        <f>IFERROR(IF(O358&gt;0,O358-(TBIcalc!$Q$9),""),"")</f>
        <v>4.88</v>
      </c>
      <c r="Q358" s="278">
        <f>IFERROR(INDEX('Ashed teabags dry'!$K$2:$K$825,MATCH(J358,'Ashed teabags dry'!$A$2:$A$825,0)),"")</f>
        <v>91.181818181818144</v>
      </c>
      <c r="R358" s="278">
        <f t="shared" si="27"/>
        <v>0.43032727272727467</v>
      </c>
      <c r="S358" s="268">
        <f>'Dry_Litterbag Placem_Collection'!E139</f>
        <v>42939</v>
      </c>
      <c r="T358" s="268">
        <f>IF('Dry_Litterbag Placem_Collection'!G139="","",'Dry_Litterbag Placem_Collection'!G139)</f>
        <v>43008</v>
      </c>
      <c r="U358" s="269">
        <f t="shared" si="25"/>
        <v>69</v>
      </c>
      <c r="V358" s="267">
        <f t="shared" si="28"/>
        <v>-2.9007999999999998</v>
      </c>
      <c r="W358" s="267">
        <f t="shared" si="29"/>
        <v>1.5037140189933942</v>
      </c>
      <c r="X358" s="271">
        <f>IFERROR(INDEX(Rainfall_Dry!$O$2:$O$217,MATCH(B358, Rainfall_Dry!$A$2:$A$217,0)),"")</f>
        <v>136.27214243</v>
      </c>
      <c r="Y358" s="260">
        <v>33.96</v>
      </c>
      <c r="Z358" s="260">
        <v>8.9200000000000017</v>
      </c>
      <c r="AA358" s="260">
        <v>57.12</v>
      </c>
      <c r="AB358" s="261" t="s">
        <v>2670</v>
      </c>
      <c r="AC358" s="260">
        <v>2.072055199605717</v>
      </c>
      <c r="AD358">
        <f>IF('WetLitterbags placem_collection'!AB139="","",'WetLitterbags placem_collection'!AB139)</f>
        <v>1.2</v>
      </c>
      <c r="AE358">
        <f>IF('WetLitterbags placem_collection'!Z139="","",'WetLitterbags placem_collection'!Z139)</f>
        <v>32.4</v>
      </c>
      <c r="AF358" s="246" t="str">
        <f>IF('WetLitterbags placem_collection'!AA139="","",'WetLitterbags placem_collection'!AA139)</f>
        <v>G</v>
      </c>
      <c r="AG358">
        <f>IF('WetLitterbags placem_collection'!AC139="","",'WetLitterbags placem_collection'!AC139)</f>
        <v>1</v>
      </c>
      <c r="AH358">
        <f>IFERROR(AVERAGE('Dry_Litterbag Placem_Collection'!O139,'Dry_Litterbag Placem_Collection'!R139),"")</f>
        <v>8.9</v>
      </c>
      <c r="AI358" s="271">
        <f>IFERROR(AVERAGE('Dry_Litterbag Placem_Collection'!N139,'Dry_Litterbag Placem_Collection'!Q139),"")</f>
        <v>27.55</v>
      </c>
      <c r="AJ358" s="270">
        <f>INDEX(Coordinates!$B$2:$B$197,MATCH(G358,Coordinates!$J$2:$J$197,0))</f>
        <v>-2.348596025</v>
      </c>
      <c r="AK358" s="270">
        <f>INDEX(Coordinates!$C$2:$C$197,MATCH(G358,Coordinates!$J$2:$J$197,0))</f>
        <v>34.050070959999999</v>
      </c>
      <c r="AL358" s="270" t="str">
        <f>IF(ISNUMBER(SEARCH("C", 'Dry_Litterbag Placem_Collection'!T139)),"YES","NO")</f>
        <v>YES</v>
      </c>
      <c r="AM358" s="270" t="str">
        <f>IF(ISNUMBER(SEARCH("H", 'Dry_Litterbag Placem_Collection'!T139)),"YES","NO")</f>
        <v>YES</v>
      </c>
      <c r="AN358" s="270" t="str">
        <f>IF(ISNUMBER(SEARCH("R", 'Dry_Litterbag Placem_Collection'!T139)),"YES","NO")</f>
        <v>NO</v>
      </c>
    </row>
    <row r="359" spans="1:40" ht="15" customHeight="1">
      <c r="A359" s="262" t="s">
        <v>2659</v>
      </c>
      <c r="B359" s="263">
        <f>'Dry_Litterbag Placem_Collection'!A140</f>
        <v>138</v>
      </c>
      <c r="C359" s="263" t="str">
        <f>'Dry_Litterbag Placem_Collection'!B140</f>
        <v xml:space="preserve">Mwantimba
</v>
      </c>
      <c r="D359" s="263" t="s">
        <v>2460</v>
      </c>
      <c r="E359" s="263" t="s">
        <v>20</v>
      </c>
      <c r="F359" s="263">
        <v>2</v>
      </c>
      <c r="G359" s="264" t="str">
        <f>'Dry_Litterbag Placem_Collection'!C140</f>
        <v>Wet_P2_T2</v>
      </c>
      <c r="H359" s="265" t="s">
        <v>2541</v>
      </c>
      <c r="I359" s="272" t="s">
        <v>298</v>
      </c>
      <c r="J359" s="263" t="str">
        <f>IF(ISBLANK('Dry_Litterbag Placem_Collection'!K140),"","R"&amp;""&amp;'Dry_Litterbag Placem_Collection'!K140)</f>
        <v>R821</v>
      </c>
      <c r="K359" s="267">
        <f>IFERROR(INDEX('Green_rooibos initial weight'!$C$5:$C$1749,MATCH(J359, 'Green_rooibos initial weight'!$A$5:$A$1749,0)),"")</f>
        <v>2.1680000000000001</v>
      </c>
      <c r="L359" s="267">
        <f>IFERROR(K359-(TBIcalc!$Q$9+TBIcalc!$Q$10),"")</f>
        <v>1.9182000000000001</v>
      </c>
      <c r="M359" s="391">
        <f>AVERAGE(Ashed_controlls!$K$12:$K$14)</f>
        <v>2.2816647271287041</v>
      </c>
      <c r="N359" s="267">
        <f t="shared" si="26"/>
        <v>1.8744331072042173</v>
      </c>
      <c r="O359" s="267">
        <f>IF(IFERROR(INDEX('Both teabags AfterDry'!$D$3:$D$900,MATCH(J359,'Both teabags AfterDry'!$A$3:$A$900,0)),"")="","",(IFERROR(INDEX('Both teabags AfterDry'!$D$3:$D$900,MATCH(J359,'Both teabags AfterDry'!$A$3:$A$900,0)),"")))</f>
        <v>0.2059</v>
      </c>
      <c r="P359" s="267">
        <f>IFERROR(IF(O359&gt;0,O359-(TBIcalc!$Q$9),""),"")</f>
        <v>5.5299999999999988E-2</v>
      </c>
      <c r="Q359" s="278">
        <f>IFERROR(INDEX('Ashed teabags dry'!$K$2:$K$825,MATCH(J359,'Ashed teabags dry'!$A$2:$A$825,0)),"")</f>
        <v>0</v>
      </c>
      <c r="R359" s="278">
        <f t="shared" si="27"/>
        <v>5.5299999999999988E-2</v>
      </c>
      <c r="S359" s="268">
        <f>'Dry_Litterbag Placem_Collection'!E140</f>
        <v>42939</v>
      </c>
      <c r="T359" s="268">
        <f>IF('Dry_Litterbag Placem_Collection'!G140="","",'Dry_Litterbag Placem_Collection'!G140)</f>
        <v>43008</v>
      </c>
      <c r="U359" s="269">
        <f t="shared" si="25"/>
        <v>69</v>
      </c>
      <c r="V359" s="267">
        <f t="shared" si="28"/>
        <v>1.8629000000000002</v>
      </c>
      <c r="W359" s="267">
        <f t="shared" si="29"/>
        <v>1.8191331072042174</v>
      </c>
      <c r="X359" s="271">
        <f>IFERROR(INDEX(Rainfall_Dry!$O$2:$O$217,MATCH(B359, Rainfall_Dry!$A$2:$A$217,0)),"")</f>
        <v>136.27214243</v>
      </c>
      <c r="Y359" s="260">
        <v>33.96</v>
      </c>
      <c r="Z359" s="260">
        <v>8.9200000000000017</v>
      </c>
      <c r="AA359" s="260">
        <v>57.12</v>
      </c>
      <c r="AB359" s="261" t="s">
        <v>2670</v>
      </c>
      <c r="AC359" s="260">
        <v>3.0720551996057202</v>
      </c>
      <c r="AD359">
        <f>IF('WetLitterbags placem_collection'!AB140="","",'WetLitterbags placem_collection'!AB140)</f>
        <v>2.8</v>
      </c>
      <c r="AE359">
        <f>IF('WetLitterbags placem_collection'!Z140="","",'WetLitterbags placem_collection'!Z140)</f>
        <v>26.4</v>
      </c>
      <c r="AF359" s="246" t="str">
        <f>IF('WetLitterbags placem_collection'!AA140="","",'WetLitterbags placem_collection'!AA140)</f>
        <v>G</v>
      </c>
      <c r="AG359">
        <f>IF('WetLitterbags placem_collection'!AC140="","",'WetLitterbags placem_collection'!AC140)</f>
        <v>1</v>
      </c>
      <c r="AH359">
        <f>IFERROR(AVERAGE('Dry_Litterbag Placem_Collection'!O140,'Dry_Litterbag Placem_Collection'!R140),"")</f>
        <v>7.05</v>
      </c>
      <c r="AI359" s="271">
        <f>IFERROR(AVERAGE('Dry_Litterbag Placem_Collection'!N140,'Dry_Litterbag Placem_Collection'!Q140),"")</f>
        <v>28.799999999999997</v>
      </c>
      <c r="AJ359" s="270">
        <f>INDEX(Coordinates!$B$2:$B$197,MATCH(G359,Coordinates!$J$2:$J$197,0))</f>
        <v>-2.3485449790000001</v>
      </c>
      <c r="AK359" s="270">
        <f>INDEX(Coordinates!$C$2:$C$197,MATCH(G359,Coordinates!$J$2:$J$197,0))</f>
        <v>34.050146980000001</v>
      </c>
      <c r="AL359" s="270" t="str">
        <f>IF(ISNUMBER(SEARCH("C", 'Dry_Litterbag Placem_Collection'!T140)),"YES","NO")</f>
        <v>YES</v>
      </c>
      <c r="AM359" s="270" t="str">
        <f>IF(ISNUMBER(SEARCH("H", 'Dry_Litterbag Placem_Collection'!T140)),"YES","NO")</f>
        <v>YES</v>
      </c>
      <c r="AN359" s="270" t="str">
        <f>IF(ISNUMBER(SEARCH("R", 'Dry_Litterbag Placem_Collection'!T140)),"YES","NO")</f>
        <v>NO</v>
      </c>
    </row>
    <row r="360" spans="1:40" ht="15" customHeight="1">
      <c r="A360" s="262" t="s">
        <v>2659</v>
      </c>
      <c r="B360" s="263">
        <f>'Dry_Litterbag Placem_Collection'!A141</f>
        <v>139</v>
      </c>
      <c r="C360" s="263" t="str">
        <f>'Dry_Litterbag Placem_Collection'!B141</f>
        <v xml:space="preserve">Mwantimba
</v>
      </c>
      <c r="D360" s="263" t="s">
        <v>2460</v>
      </c>
      <c r="E360" s="263" t="s">
        <v>20</v>
      </c>
      <c r="F360" s="263">
        <v>2</v>
      </c>
      <c r="G360" s="264" t="str">
        <f>'Dry_Litterbag Placem_Collection'!C141</f>
        <v>Wet_P2_T3</v>
      </c>
      <c r="H360" s="265" t="s">
        <v>2541</v>
      </c>
      <c r="I360" s="272" t="s">
        <v>298</v>
      </c>
      <c r="J360" s="263" t="str">
        <f>IF(ISBLANK('Dry_Litterbag Placem_Collection'!K141),"","R"&amp;""&amp;'Dry_Litterbag Placem_Collection'!K141)</f>
        <v>R813</v>
      </c>
      <c r="K360" s="267">
        <f>IFERROR(INDEX('Green_rooibos initial weight'!$C$5:$C$1749,MATCH(J360, 'Green_rooibos initial weight'!$A$5:$A$1749,0)),"")</f>
        <v>2.2309999999999999</v>
      </c>
      <c r="L360" s="267">
        <f>IFERROR(K360-(TBIcalc!$Q$9+TBIcalc!$Q$10),"")</f>
        <v>1.9811999999999999</v>
      </c>
      <c r="M360" s="391">
        <f>AVERAGE(Ashed_controlls!$K$12:$K$14)</f>
        <v>2.2816647271287041</v>
      </c>
      <c r="N360" s="267">
        <f t="shared" si="26"/>
        <v>1.935995658426126</v>
      </c>
      <c r="O360" s="267">
        <f>IF(IFERROR(INDEX('Both teabags AfterDry'!$D$3:$D$900,MATCH(J360,'Both teabags AfterDry'!$A$3:$A$900,0)),"")="","",(IFERROR(INDEX('Both teabags AfterDry'!$D$3:$D$900,MATCH(J360,'Both teabags AfterDry'!$A$3:$A$900,0)),"")))</f>
        <v>2.1772999999999998</v>
      </c>
      <c r="P360" s="267">
        <f>IFERROR(IF(O360&gt;0,O360-(TBIcalc!$Q$9),""),"")</f>
        <v>2.0266999999999999</v>
      </c>
      <c r="Q360" s="278">
        <f>IFERROR(INDEX('Ashed teabags dry'!$K$2:$K$825,MATCH(J360,'Ashed teabags dry'!$A$2:$A$825,0)),"")</f>
        <v>88.823816495851673</v>
      </c>
      <c r="R360" s="278">
        <f t="shared" si="27"/>
        <v>0.22650771107857426</v>
      </c>
      <c r="S360" s="268">
        <f>'Dry_Litterbag Placem_Collection'!E141</f>
        <v>42939</v>
      </c>
      <c r="T360" s="268">
        <f>IF('Dry_Litterbag Placem_Collection'!G141="","",'Dry_Litterbag Placem_Collection'!G141)</f>
        <v>43008</v>
      </c>
      <c r="U360" s="269">
        <f t="shared" si="25"/>
        <v>69</v>
      </c>
      <c r="V360" s="267">
        <f t="shared" si="28"/>
        <v>-4.5500000000000096E-2</v>
      </c>
      <c r="W360" s="267">
        <f t="shared" si="29"/>
        <v>1.7094879473475517</v>
      </c>
      <c r="X360" s="271">
        <f>IFERROR(INDEX(Rainfall_Dry!$O$2:$O$217,MATCH(B360, Rainfall_Dry!$A$2:$A$217,0)),"")</f>
        <v>136.27214243</v>
      </c>
      <c r="Y360" s="260">
        <v>33.96</v>
      </c>
      <c r="Z360" s="260">
        <v>8.9200000000000017</v>
      </c>
      <c r="AA360" s="260">
        <v>57.12</v>
      </c>
      <c r="AB360" s="261" t="s">
        <v>2670</v>
      </c>
      <c r="AC360" s="260">
        <v>4.0720551996057202</v>
      </c>
      <c r="AD360">
        <f>IF('WetLitterbags placem_collection'!AB141="","",'WetLitterbags placem_collection'!AB141)</f>
        <v>5.7</v>
      </c>
      <c r="AE360">
        <f>IF('WetLitterbags placem_collection'!Z141="","",'WetLitterbags placem_collection'!Z141)</f>
        <v>19.399999999999999</v>
      </c>
      <c r="AF360" s="246" t="str">
        <f>IF('WetLitterbags placem_collection'!AA141="","",'WetLitterbags placem_collection'!AA141)</f>
        <v>G</v>
      </c>
      <c r="AG360">
        <f>IF('WetLitterbags placem_collection'!AC141="","",'WetLitterbags placem_collection'!AC141)</f>
        <v>1</v>
      </c>
      <c r="AH360">
        <f>IFERROR(AVERAGE('Dry_Litterbag Placem_Collection'!O141,'Dry_Litterbag Placem_Collection'!R141),"")</f>
        <v>11.200000000000001</v>
      </c>
      <c r="AI360" s="271">
        <f>IFERROR(AVERAGE('Dry_Litterbag Placem_Collection'!N141,'Dry_Litterbag Placem_Collection'!Q141),"")</f>
        <v>28.15</v>
      </c>
      <c r="AJ360" s="270">
        <f>INDEX(Coordinates!$B$2:$B$197,MATCH(G360,Coordinates!$J$2:$J$197,0))</f>
        <v>-2.3487209990000002</v>
      </c>
      <c r="AK360" s="270">
        <f>INDEX(Coordinates!$C$2:$C$197,MATCH(G360,Coordinates!$J$2:$J$197,0))</f>
        <v>34.050128039999997</v>
      </c>
      <c r="AL360" s="270" t="str">
        <f>IF(ISNUMBER(SEARCH("C", 'Dry_Litterbag Placem_Collection'!T141)),"YES","NO")</f>
        <v>YES</v>
      </c>
      <c r="AM360" s="270" t="str">
        <f>IF(ISNUMBER(SEARCH("H", 'Dry_Litterbag Placem_Collection'!T141)),"YES","NO")</f>
        <v>YES</v>
      </c>
      <c r="AN360" s="270" t="str">
        <f>IF(ISNUMBER(SEARCH("R", 'Dry_Litterbag Placem_Collection'!T141)),"YES","NO")</f>
        <v>NO</v>
      </c>
    </row>
    <row r="361" spans="1:40" ht="15" customHeight="1">
      <c r="A361" s="262" t="s">
        <v>2659</v>
      </c>
      <c r="B361" s="263">
        <f>'Dry_Litterbag Placem_Collection'!A142</f>
        <v>140</v>
      </c>
      <c r="C361" s="263" t="str">
        <f>'Dry_Litterbag Placem_Collection'!B142</f>
        <v xml:space="preserve">Mwantimba
</v>
      </c>
      <c r="D361" s="263" t="s">
        <v>2460</v>
      </c>
      <c r="E361" s="263" t="s">
        <v>20</v>
      </c>
      <c r="F361" s="263">
        <v>2</v>
      </c>
      <c r="G361" s="264" t="str">
        <f>'Dry_Litterbag Placem_Collection'!C142</f>
        <v>Wet_P2_T4</v>
      </c>
      <c r="H361" s="265" t="s">
        <v>2541</v>
      </c>
      <c r="I361" s="272" t="s">
        <v>298</v>
      </c>
      <c r="J361" s="263" t="str">
        <f>IF(ISBLANK('Dry_Litterbag Placem_Collection'!K142),"","R"&amp;""&amp;'Dry_Litterbag Placem_Collection'!K142)</f>
        <v>R729</v>
      </c>
      <c r="K361" s="267">
        <f>IFERROR(INDEX('Green_rooibos initial weight'!$C$5:$C$1749,MATCH(J361, 'Green_rooibos initial weight'!$A$5:$A$1749,0)),"")</f>
        <v>2.1970000000000001</v>
      </c>
      <c r="L361" s="267">
        <f>IFERROR(K361-(TBIcalc!$Q$9+TBIcalc!$Q$10),"")</f>
        <v>1.9472</v>
      </c>
      <c r="M361" s="391">
        <f>AVERAGE(Ashed_controlls!$K$12:$K$14)</f>
        <v>2.2816647271287041</v>
      </c>
      <c r="N361" s="267">
        <f t="shared" si="26"/>
        <v>1.90277142443335</v>
      </c>
      <c r="O361" s="267">
        <f>IF(IFERROR(INDEX('Both teabags AfterDry'!$D$3:$D$900,MATCH(J361,'Both teabags AfterDry'!$A$3:$A$900,0)),"")="","",(IFERROR(INDEX('Both teabags AfterDry'!$D$3:$D$900,MATCH(J361,'Both teabags AfterDry'!$A$3:$A$900,0)),"")))</f>
        <v>1.7859</v>
      </c>
      <c r="P361" s="267">
        <f>IFERROR(IF(O361&gt;0,O361-(TBIcalc!$Q$9),""),"")</f>
        <v>1.6353</v>
      </c>
      <c r="Q361" s="278">
        <f>IFERROR(INDEX('Ashed teabags dry'!$K$2:$K$825,MATCH(J361,'Ashed teabags dry'!$A$2:$A$825,0)),"")</f>
        <v>7.374631268436298</v>
      </c>
      <c r="R361" s="278">
        <f t="shared" si="27"/>
        <v>1.5147026548672613</v>
      </c>
      <c r="S361" s="268">
        <f>'Dry_Litterbag Placem_Collection'!E142</f>
        <v>42939</v>
      </c>
      <c r="T361" s="268">
        <f>IF('Dry_Litterbag Placem_Collection'!G142="","",'Dry_Litterbag Placem_Collection'!G142)</f>
        <v>43008</v>
      </c>
      <c r="U361" s="269">
        <f t="shared" si="25"/>
        <v>69</v>
      </c>
      <c r="V361" s="267">
        <f t="shared" si="28"/>
        <v>0.31190000000000007</v>
      </c>
      <c r="W361" s="267">
        <f t="shared" si="29"/>
        <v>0.38806876956608871</v>
      </c>
      <c r="X361" s="271">
        <f>IFERROR(INDEX(Rainfall_Dry!$O$2:$O$217,MATCH(B361, Rainfall_Dry!$A$2:$A$217,0)),"")</f>
        <v>136.27214243</v>
      </c>
      <c r="Y361" s="260">
        <v>33.96</v>
      </c>
      <c r="Z361" s="260">
        <v>8.9200000000000017</v>
      </c>
      <c r="AA361" s="260">
        <v>57.12</v>
      </c>
      <c r="AB361" s="261" t="s">
        <v>2670</v>
      </c>
      <c r="AC361" s="260">
        <v>5.0720551996057202</v>
      </c>
      <c r="AD361">
        <f>IF('WetLitterbags placem_collection'!AB142="","",'WetLitterbags placem_collection'!AB142)</f>
        <v>1.4</v>
      </c>
      <c r="AE361">
        <f>IF('WetLitterbags placem_collection'!Z142="","",'WetLitterbags placem_collection'!Z142)</f>
        <v>33.4</v>
      </c>
      <c r="AF361" s="246" t="str">
        <f>IF('WetLitterbags placem_collection'!AA142="","",'WetLitterbags placem_collection'!AA142)</f>
        <v>G</v>
      </c>
      <c r="AG361">
        <f>IF('WetLitterbags placem_collection'!AC142="","",'WetLitterbags placem_collection'!AC142)</f>
        <v>1</v>
      </c>
      <c r="AH361">
        <f>IFERROR(AVERAGE('Dry_Litterbag Placem_Collection'!O142,'Dry_Litterbag Placem_Collection'!R142),"")</f>
        <v>7.3000000000000007</v>
      </c>
      <c r="AI361" s="271">
        <f>IFERROR(AVERAGE('Dry_Litterbag Placem_Collection'!N142,'Dry_Litterbag Placem_Collection'!Q142),"")</f>
        <v>28</v>
      </c>
      <c r="AJ361" s="270">
        <f>INDEX(Coordinates!$B$2:$B$197,MATCH(G361,Coordinates!$J$2:$J$197,0))</f>
        <v>-2.3486250270000002</v>
      </c>
      <c r="AK361" s="270">
        <f>INDEX(Coordinates!$C$2:$C$197,MATCH(G361,Coordinates!$J$2:$J$197,0))</f>
        <v>34.050070959999999</v>
      </c>
      <c r="AL361" s="270" t="str">
        <f>IF(ISNUMBER(SEARCH("C", 'Dry_Litterbag Placem_Collection'!T142)),"YES","NO")</f>
        <v>YES</v>
      </c>
      <c r="AM361" s="270" t="str">
        <f>IF(ISNUMBER(SEARCH("H", 'Dry_Litterbag Placem_Collection'!T142)),"YES","NO")</f>
        <v>YES</v>
      </c>
      <c r="AN361" s="270" t="str">
        <f>IF(ISNUMBER(SEARCH("R", 'Dry_Litterbag Placem_Collection'!T142)),"YES","NO")</f>
        <v>NO</v>
      </c>
    </row>
    <row r="362" spans="1:40" ht="15" customHeight="1">
      <c r="A362" s="262" t="s">
        <v>2659</v>
      </c>
      <c r="B362" s="263">
        <f>'Dry_Litterbag Placem_Collection'!A143</f>
        <v>141</v>
      </c>
      <c r="C362" s="263" t="str">
        <f>'Dry_Litterbag Placem_Collection'!B143</f>
        <v xml:space="preserve">Mwantimba
</v>
      </c>
      <c r="D362" s="263" t="s">
        <v>2460</v>
      </c>
      <c r="E362" s="263" t="s">
        <v>20</v>
      </c>
      <c r="F362" s="263">
        <v>2</v>
      </c>
      <c r="G362" s="264" t="str">
        <f>'Dry_Litterbag Placem_Collection'!C143</f>
        <v>Wet_P2_T5</v>
      </c>
      <c r="H362" s="265" t="s">
        <v>2541</v>
      </c>
      <c r="I362" s="272" t="s">
        <v>298</v>
      </c>
      <c r="J362" s="263" t="str">
        <f>IF(ISBLANK('Dry_Litterbag Placem_Collection'!K143),"","R"&amp;""&amp;'Dry_Litterbag Placem_Collection'!K143)</f>
        <v/>
      </c>
      <c r="K362" s="267" t="str">
        <f>IFERROR(INDEX('Green_rooibos initial weight'!$C$5:$C$1749,MATCH(J362, 'Green_rooibos initial weight'!$A$5:$A$1749,0)),"")</f>
        <v/>
      </c>
      <c r="L362" s="267" t="str">
        <f>IFERROR(K362-(TBIcalc!$Q$9+TBIcalc!$Q$10),"")</f>
        <v/>
      </c>
      <c r="M362" s="391">
        <f>AVERAGE(Ashed_controlls!$K$12:$K$14)</f>
        <v>2.2816647271287041</v>
      </c>
      <c r="N362" s="267" t="str">
        <f t="shared" si="26"/>
        <v/>
      </c>
      <c r="O362" s="267" t="str">
        <f>IF(IFERROR(INDEX('Both teabags AfterDry'!$D$3:$D$900,MATCH(J362,'Both teabags AfterDry'!$A$3:$A$900,0)),"")="","",(IFERROR(INDEX('Both teabags AfterDry'!$D$3:$D$900,MATCH(J362,'Both teabags AfterDry'!$A$3:$A$900,0)),"")))</f>
        <v/>
      </c>
      <c r="P362" s="267" t="str">
        <f>IFERROR(IF(O362&gt;0,O362-(TBIcalc!$Q$9),""),"")</f>
        <v/>
      </c>
      <c r="Q362" s="278" t="str">
        <f>IFERROR(INDEX('Ashed teabags dry'!$K$2:$K$825,MATCH(J362,'Ashed teabags dry'!$A$2:$A$825,0)),"")</f>
        <v/>
      </c>
      <c r="R362" s="278" t="str">
        <f t="shared" si="27"/>
        <v/>
      </c>
      <c r="S362" s="268">
        <f>'Dry_Litterbag Placem_Collection'!E143</f>
        <v>0</v>
      </c>
      <c r="T362" s="268" t="str">
        <f>IF('Dry_Litterbag Placem_Collection'!G143="","",'Dry_Litterbag Placem_Collection'!G143)</f>
        <v/>
      </c>
      <c r="U362" s="269" t="str">
        <f t="shared" si="25"/>
        <v/>
      </c>
      <c r="V362" s="267" t="str">
        <f t="shared" si="28"/>
        <v/>
      </c>
      <c r="W362" s="267" t="str">
        <f t="shared" si="29"/>
        <v/>
      </c>
      <c r="X362" s="271" t="str">
        <f>IFERROR(INDEX(Rainfall_Dry!$O$2:$O$217,MATCH(B362, Rainfall_Dry!$A$2:$A$217,0)),"")</f>
        <v/>
      </c>
      <c r="Y362" s="260">
        <v>33.96</v>
      </c>
      <c r="Z362" s="260">
        <v>8.9200000000000017</v>
      </c>
      <c r="AA362" s="260">
        <v>57.12</v>
      </c>
      <c r="AB362" s="261" t="s">
        <v>2670</v>
      </c>
      <c r="AC362" s="260">
        <v>6.0720551996057202</v>
      </c>
      <c r="AD362">
        <f>IF('WetLitterbags placem_collection'!AB143="","",'WetLitterbags placem_collection'!AB143)</f>
        <v>1.4</v>
      </c>
      <c r="AE362">
        <f>IF('WetLitterbags placem_collection'!Z143="","",'WetLitterbags placem_collection'!Z143)</f>
        <v>28.4</v>
      </c>
      <c r="AF362" s="246" t="str">
        <f>IF('WetLitterbags placem_collection'!AA143="","",'WetLitterbags placem_collection'!AA143)</f>
        <v>G</v>
      </c>
      <c r="AG362">
        <f>IF('WetLitterbags placem_collection'!AC143="","",'WetLitterbags placem_collection'!AC143)</f>
        <v>1</v>
      </c>
      <c r="AH362" t="str">
        <f>IFERROR(AVERAGE('Dry_Litterbag Placem_Collection'!O143,'Dry_Litterbag Placem_Collection'!R143),"")</f>
        <v/>
      </c>
      <c r="AI362" s="271" t="str">
        <f>IFERROR(AVERAGE('Dry_Litterbag Placem_Collection'!N143,'Dry_Litterbag Placem_Collection'!Q143),"")</f>
        <v/>
      </c>
      <c r="AJ362" s="270">
        <f>INDEX(Coordinates!$B$2:$B$197,MATCH(G362,Coordinates!$J$2:$J$197,0))</f>
        <v>-2.3486060000000002</v>
      </c>
      <c r="AK362" s="270">
        <f>INDEX(Coordinates!$C$2:$C$197,MATCH(G362,Coordinates!$J$2:$J$197,0))</f>
        <v>34.050010020000002</v>
      </c>
      <c r="AL362" s="270" t="str">
        <f>IF(ISNUMBER(SEARCH("C", 'Dry_Litterbag Placem_Collection'!T143)),"YES","NO")</f>
        <v>NO</v>
      </c>
      <c r="AM362" s="270" t="str">
        <f>IF(ISNUMBER(SEARCH("H", 'Dry_Litterbag Placem_Collection'!T143)),"YES","NO")</f>
        <v>NO</v>
      </c>
      <c r="AN362" s="270" t="str">
        <f>IF(ISNUMBER(SEARCH("R", 'Dry_Litterbag Placem_Collection'!T143)),"YES","NO")</f>
        <v>NO</v>
      </c>
    </row>
    <row r="363" spans="1:40" ht="15" customHeight="1">
      <c r="A363" s="262" t="s">
        <v>2659</v>
      </c>
      <c r="B363" s="263">
        <f>'Dry_Litterbag Placem_Collection'!A144</f>
        <v>142</v>
      </c>
      <c r="C363" s="263" t="str">
        <f>'Dry_Litterbag Placem_Collection'!B144</f>
        <v xml:space="preserve">Mwantimba
</v>
      </c>
      <c r="D363" s="263" t="s">
        <v>2460</v>
      </c>
      <c r="E363" s="263" t="s">
        <v>20</v>
      </c>
      <c r="F363" s="263">
        <v>2</v>
      </c>
      <c r="G363" s="264" t="str">
        <f>'Dry_Litterbag Placem_Collection'!C144</f>
        <v>Wet_P2_T6</v>
      </c>
      <c r="H363" s="265" t="s">
        <v>2541</v>
      </c>
      <c r="I363" s="272" t="s">
        <v>298</v>
      </c>
      <c r="J363" s="263" t="str">
        <f>IF(ISBLANK('Dry_Litterbag Placem_Collection'!K144),"","R"&amp;""&amp;'Dry_Litterbag Placem_Collection'!K144)</f>
        <v>R834</v>
      </c>
      <c r="K363" s="267">
        <f>IFERROR(INDEX('Green_rooibos initial weight'!$C$5:$C$1749,MATCH(J363, 'Green_rooibos initial weight'!$A$5:$A$1749,0)),"")</f>
        <v>2.1840000000000002</v>
      </c>
      <c r="L363" s="267">
        <f>IFERROR(K363-(TBIcalc!$Q$9+TBIcalc!$Q$10),"")</f>
        <v>1.9342000000000001</v>
      </c>
      <c r="M363" s="391">
        <f>AVERAGE(Ashed_controlls!$K$12:$K$14)</f>
        <v>2.2816647271287041</v>
      </c>
      <c r="N363" s="267">
        <f t="shared" si="26"/>
        <v>1.8900680408478767</v>
      </c>
      <c r="O363" s="267" t="str">
        <f>IF(IFERROR(INDEX('Both teabags AfterDry'!$D$3:$D$900,MATCH(J363,'Both teabags AfterDry'!$A$3:$A$900,0)),"")="","",(IFERROR(INDEX('Both teabags AfterDry'!$D$3:$D$900,MATCH(J363,'Both teabags AfterDry'!$A$3:$A$900,0)),"")))</f>
        <v/>
      </c>
      <c r="P363" s="267" t="str">
        <f>IFERROR(IF(O363&gt;0,O363-(TBIcalc!$Q$9),""),"")</f>
        <v/>
      </c>
      <c r="Q363" s="278" t="str">
        <f>IFERROR(INDEX('Ashed teabags dry'!$K$2:$K$825,MATCH(J363,'Ashed teabags dry'!$A$2:$A$825,0)),"")</f>
        <v/>
      </c>
      <c r="R363" s="278" t="str">
        <f t="shared" si="27"/>
        <v/>
      </c>
      <c r="S363" s="268">
        <f>'Dry_Litterbag Placem_Collection'!E144</f>
        <v>42939</v>
      </c>
      <c r="T363" s="268">
        <f>IF('Dry_Litterbag Placem_Collection'!G144="","",'Dry_Litterbag Placem_Collection'!G144)</f>
        <v>43008</v>
      </c>
      <c r="U363" s="269">
        <f t="shared" si="25"/>
        <v>69</v>
      </c>
      <c r="V363" s="267" t="str">
        <f t="shared" si="28"/>
        <v/>
      </c>
      <c r="W363" s="267" t="str">
        <f t="shared" si="29"/>
        <v/>
      </c>
      <c r="X363" s="271">
        <f>IFERROR(INDEX(Rainfall_Dry!$O$2:$O$217,MATCH(B363, Rainfall_Dry!$A$2:$A$217,0)),"")</f>
        <v>136.27214243</v>
      </c>
      <c r="Y363" s="260">
        <v>33.96</v>
      </c>
      <c r="Z363" s="260">
        <v>8.9200000000000017</v>
      </c>
      <c r="AA363" s="260">
        <v>57.12</v>
      </c>
      <c r="AB363" s="261" t="s">
        <v>2670</v>
      </c>
      <c r="AC363" s="260">
        <v>7.0720551996057202</v>
      </c>
      <c r="AD363">
        <f>IF('WetLitterbags placem_collection'!AB144="","",'WetLitterbags placem_collection'!AB144)</f>
        <v>1.7</v>
      </c>
      <c r="AE363">
        <f>IF('WetLitterbags placem_collection'!Z144="","",'WetLitterbags placem_collection'!Z144)</f>
        <v>33.799999999999997</v>
      </c>
      <c r="AF363" s="246" t="str">
        <f>IF('WetLitterbags placem_collection'!AA144="","",'WetLitterbags placem_collection'!AA144)</f>
        <v>G</v>
      </c>
      <c r="AG363">
        <f>IF('WetLitterbags placem_collection'!AC144="","",'WetLitterbags placem_collection'!AC144)</f>
        <v>1</v>
      </c>
      <c r="AH363">
        <f>IFERROR(AVERAGE('Dry_Litterbag Placem_Collection'!O144,'Dry_Litterbag Placem_Collection'!R144),"")</f>
        <v>8.4499999999999993</v>
      </c>
      <c r="AI363" s="271">
        <f>IFERROR(AVERAGE('Dry_Litterbag Placem_Collection'!N144,'Dry_Litterbag Placem_Collection'!Q144),"")</f>
        <v>28.4</v>
      </c>
      <c r="AJ363" s="270">
        <f>INDEX(Coordinates!$B$2:$B$197,MATCH(G363,Coordinates!$J$2:$J$197,0))</f>
        <v>-2.348618992</v>
      </c>
      <c r="AK363" s="270">
        <f>INDEX(Coordinates!$C$2:$C$197,MATCH(G363,Coordinates!$J$2:$J$197,0))</f>
        <v>34.049996030000003</v>
      </c>
      <c r="AL363" s="270" t="str">
        <f>IF(ISNUMBER(SEARCH("C", 'Dry_Litterbag Placem_Collection'!T144)),"YES","NO")</f>
        <v>NO</v>
      </c>
      <c r="AM363" s="270" t="str">
        <f>IF(ISNUMBER(SEARCH("H", 'Dry_Litterbag Placem_Collection'!T144)),"YES","NO")</f>
        <v>NO</v>
      </c>
      <c r="AN363" s="270" t="str">
        <f>IF(ISNUMBER(SEARCH("R", 'Dry_Litterbag Placem_Collection'!T144)),"YES","NO")</f>
        <v>NO</v>
      </c>
    </row>
    <row r="364" spans="1:40" ht="15" customHeight="1">
      <c r="A364" s="262" t="s">
        <v>2659</v>
      </c>
      <c r="B364" s="263">
        <f>'Dry_Litterbag Placem_Collection'!A145</f>
        <v>143</v>
      </c>
      <c r="C364" s="263" t="str">
        <f>'Dry_Litterbag Placem_Collection'!B145</f>
        <v xml:space="preserve">Mwantimba
</v>
      </c>
      <c r="D364" s="263" t="s">
        <v>2460</v>
      </c>
      <c r="E364" s="263" t="s">
        <v>20</v>
      </c>
      <c r="F364" s="263">
        <v>2</v>
      </c>
      <c r="G364" s="264" t="str">
        <f>'Dry_Litterbag Placem_Collection'!C145</f>
        <v>Wet_P2_T7</v>
      </c>
      <c r="H364" s="265" t="s">
        <v>2541</v>
      </c>
      <c r="I364" s="272" t="s">
        <v>298</v>
      </c>
      <c r="J364" s="263" t="str">
        <f>IF(ISBLANK('Dry_Litterbag Placem_Collection'!K145),"","R"&amp;""&amp;'Dry_Litterbag Placem_Collection'!K145)</f>
        <v>R774</v>
      </c>
      <c r="K364" s="267">
        <f>IFERROR(INDEX('Green_rooibos initial weight'!$C$5:$C$1749,MATCH(J364, 'Green_rooibos initial weight'!$A$5:$A$1749,0)),"")</f>
        <v>2.1629999999999998</v>
      </c>
      <c r="L364" s="267">
        <f>IFERROR(K364-(TBIcalc!$Q$9+TBIcalc!$Q$10),"")</f>
        <v>1.9131999999999998</v>
      </c>
      <c r="M364" s="391">
        <f>AVERAGE(Ashed_controlls!$K$12:$K$14)</f>
        <v>2.2816647271287041</v>
      </c>
      <c r="N364" s="267">
        <f t="shared" si="26"/>
        <v>1.8695471904405734</v>
      </c>
      <c r="O364" s="267">
        <f>IF(IFERROR(INDEX('Both teabags AfterDry'!$D$3:$D$900,MATCH(J364,'Both teabags AfterDry'!$A$3:$A$900,0)),"")="","",(IFERROR(INDEX('Both teabags AfterDry'!$D$3:$D$900,MATCH(J364,'Both teabags AfterDry'!$A$3:$A$900,0)),"")))</f>
        <v>1.5979000000000001</v>
      </c>
      <c r="P364" s="267">
        <f>IFERROR(IF(O364&gt;0,O364-(TBIcalc!$Q$9),""),"")</f>
        <v>1.4473</v>
      </c>
      <c r="Q364" s="278">
        <f>IFERROR(INDEX('Ashed teabags dry'!$K$2:$K$825,MATCH(J364,'Ashed teabags dry'!$A$2:$A$825,0)),"")</f>
        <v>5.2657480314956748</v>
      </c>
      <c r="R364" s="278">
        <f t="shared" si="27"/>
        <v>1.371088828740163</v>
      </c>
      <c r="S364" s="268">
        <f>'Dry_Litterbag Placem_Collection'!E145</f>
        <v>42939</v>
      </c>
      <c r="T364" s="268">
        <f>IF('Dry_Litterbag Placem_Collection'!G145="","",'Dry_Litterbag Placem_Collection'!G145)</f>
        <v>43008</v>
      </c>
      <c r="U364" s="269">
        <f t="shared" si="25"/>
        <v>69</v>
      </c>
      <c r="V364" s="267">
        <f t="shared" si="28"/>
        <v>0.46589999999999976</v>
      </c>
      <c r="W364" s="267">
        <f t="shared" si="29"/>
        <v>0.49845836170041036</v>
      </c>
      <c r="X364" s="271">
        <f>IFERROR(INDEX(Rainfall_Dry!$O$2:$O$217,MATCH(B364, Rainfall_Dry!$A$2:$A$217,0)),"")</f>
        <v>136.27214243</v>
      </c>
      <c r="Y364" s="260">
        <v>33.96</v>
      </c>
      <c r="Z364" s="260">
        <v>8.9200000000000017</v>
      </c>
      <c r="AA364" s="260">
        <v>57.12</v>
      </c>
      <c r="AB364" s="261" t="s">
        <v>2670</v>
      </c>
      <c r="AC364" s="260">
        <v>8.0720551996057193</v>
      </c>
      <c r="AD364">
        <f>IF('WetLitterbags placem_collection'!AB145="","",'WetLitterbags placem_collection'!AB145)</f>
        <v>2</v>
      </c>
      <c r="AE364">
        <f>IF('WetLitterbags placem_collection'!Z145="","",'WetLitterbags placem_collection'!Z145)</f>
        <v>23.4</v>
      </c>
      <c r="AF364" s="246" t="str">
        <f>IF('WetLitterbags placem_collection'!AA145="","",'WetLitterbags placem_collection'!AA145)</f>
        <v>G</v>
      </c>
      <c r="AG364">
        <f>IF('WetLitterbags placem_collection'!AC145="","",'WetLitterbags placem_collection'!AC145)</f>
        <v>1</v>
      </c>
      <c r="AH364">
        <f>IFERROR(AVERAGE('Dry_Litterbag Placem_Collection'!O145,'Dry_Litterbag Placem_Collection'!R145),"")</f>
        <v>12.5</v>
      </c>
      <c r="AI364" s="271">
        <f>IFERROR(AVERAGE('Dry_Litterbag Placem_Collection'!N145,'Dry_Litterbag Placem_Collection'!Q145),"")</f>
        <v>28</v>
      </c>
      <c r="AJ364" s="270">
        <f>INDEX(Coordinates!$B$2:$B$197,MATCH(G364,Coordinates!$J$2:$J$197,0))</f>
        <v>-2.3484970349999998</v>
      </c>
      <c r="AK364" s="270">
        <f>INDEX(Coordinates!$C$2:$C$197,MATCH(G364,Coordinates!$J$2:$J$197,0))</f>
        <v>34.049979010000001</v>
      </c>
      <c r="AL364" s="270" t="str">
        <f>IF(ISNUMBER(SEARCH("C", 'Dry_Litterbag Placem_Collection'!T145)),"YES","NO")</f>
        <v>NO</v>
      </c>
      <c r="AM364" s="270" t="str">
        <f>IF(ISNUMBER(SEARCH("H", 'Dry_Litterbag Placem_Collection'!T145)),"YES","NO")</f>
        <v>NO</v>
      </c>
      <c r="AN364" s="270" t="str">
        <f>IF(ISNUMBER(SEARCH("R", 'Dry_Litterbag Placem_Collection'!T145)),"YES","NO")</f>
        <v>NO</v>
      </c>
    </row>
    <row r="365" spans="1:40" ht="15" customHeight="1">
      <c r="A365" s="262" t="s">
        <v>2659</v>
      </c>
      <c r="B365" s="263">
        <f>'Dry_Litterbag Placem_Collection'!A146</f>
        <v>144</v>
      </c>
      <c r="C365" s="263" t="str">
        <f>'Dry_Litterbag Placem_Collection'!B146</f>
        <v xml:space="preserve">Mwantimba
</v>
      </c>
      <c r="D365" s="263" t="s">
        <v>2460</v>
      </c>
      <c r="E365" s="263" t="s">
        <v>20</v>
      </c>
      <c r="F365" s="263">
        <v>2</v>
      </c>
      <c r="G365" s="264" t="str">
        <f>'Dry_Litterbag Placem_Collection'!C146</f>
        <v>Wet_P2_T8</v>
      </c>
      <c r="H365" s="265" t="s">
        <v>2541</v>
      </c>
      <c r="I365" s="272" t="s">
        <v>298</v>
      </c>
      <c r="J365" s="263" t="str">
        <f>IF(ISBLANK('Dry_Litterbag Placem_Collection'!K146),"","R"&amp;""&amp;'Dry_Litterbag Placem_Collection'!K146)</f>
        <v>R779</v>
      </c>
      <c r="K365" s="267">
        <f>IFERROR(INDEX('Green_rooibos initial weight'!$C$5:$C$1749,MATCH(J365, 'Green_rooibos initial weight'!$A$5:$A$1749,0)),"")</f>
        <v>2.16</v>
      </c>
      <c r="L365" s="267">
        <f>IFERROR(K365-(TBIcalc!$Q$9+TBIcalc!$Q$10),"")</f>
        <v>1.9102000000000001</v>
      </c>
      <c r="M365" s="391">
        <f>AVERAGE(Ashed_controlls!$K$12:$K$14)</f>
        <v>2.2816647271287041</v>
      </c>
      <c r="N365" s="267">
        <f t="shared" si="26"/>
        <v>1.8666156403823877</v>
      </c>
      <c r="O365" s="267">
        <f>IF(IFERROR(INDEX('Both teabags AfterDry'!$D$3:$D$900,MATCH(J365,'Both teabags AfterDry'!$A$3:$A$900,0)),"")="","",(IFERROR(INDEX('Both teabags AfterDry'!$D$3:$D$900,MATCH(J365,'Both teabags AfterDry'!$A$3:$A$900,0)),"")))</f>
        <v>0.17680000000000001</v>
      </c>
      <c r="P365" s="267">
        <f>IFERROR(IF(O365&gt;0,O365-(TBIcalc!$Q$9),""),"")</f>
        <v>2.6200000000000001E-2</v>
      </c>
      <c r="Q365" s="278">
        <f>IFERROR(INDEX('Ashed teabags dry'!$K$2:$K$825,MATCH(J365,'Ashed teabags dry'!$A$2:$A$825,0)),"")</f>
        <v>0</v>
      </c>
      <c r="R365" s="278">
        <f t="shared" si="27"/>
        <v>2.6200000000000001E-2</v>
      </c>
      <c r="S365" s="268">
        <f>'Dry_Litterbag Placem_Collection'!E146</f>
        <v>42939</v>
      </c>
      <c r="T365" s="268">
        <f>IF('Dry_Litterbag Placem_Collection'!G146="","",'Dry_Litterbag Placem_Collection'!G146)</f>
        <v>43008</v>
      </c>
      <c r="U365" s="269">
        <f t="shared" si="25"/>
        <v>69</v>
      </c>
      <c r="V365" s="267">
        <f t="shared" si="28"/>
        <v>1.8840000000000001</v>
      </c>
      <c r="W365" s="267">
        <f t="shared" si="29"/>
        <v>1.8404156403823877</v>
      </c>
      <c r="X365" s="271">
        <f>IFERROR(INDEX(Rainfall_Dry!$O$2:$O$217,MATCH(B365, Rainfall_Dry!$A$2:$A$217,0)),"")</f>
        <v>136.27214243</v>
      </c>
      <c r="Y365" s="260">
        <v>33.96</v>
      </c>
      <c r="Z365" s="260">
        <v>8.9200000000000017</v>
      </c>
      <c r="AA365" s="260">
        <v>57.12</v>
      </c>
      <c r="AB365" s="261" t="s">
        <v>2670</v>
      </c>
      <c r="AC365" s="260">
        <v>9.0720551996057193</v>
      </c>
      <c r="AD365">
        <f>IF('WetLitterbags placem_collection'!AB146="","",'WetLitterbags placem_collection'!AB146)</f>
        <v>2.5</v>
      </c>
      <c r="AE365">
        <f>IF('WetLitterbags placem_collection'!Z146="","",'WetLitterbags placem_collection'!Z146)</f>
        <v>19.8</v>
      </c>
      <c r="AF365" s="246" t="str">
        <f>IF('WetLitterbags placem_collection'!AA146="","",'WetLitterbags placem_collection'!AA146)</f>
        <v>G</v>
      </c>
      <c r="AG365">
        <f>IF('WetLitterbags placem_collection'!AC146="","",'WetLitterbags placem_collection'!AC146)</f>
        <v>1</v>
      </c>
      <c r="AH365">
        <f>IFERROR(AVERAGE('Dry_Litterbag Placem_Collection'!O146,'Dry_Litterbag Placem_Collection'!R146),"")</f>
        <v>9.4499999999999993</v>
      </c>
      <c r="AI365" s="271">
        <f>IFERROR(AVERAGE('Dry_Litterbag Placem_Collection'!N146,'Dry_Litterbag Placem_Collection'!Q146),"")</f>
        <v>29.15</v>
      </c>
      <c r="AJ365" s="270">
        <f>INDEX(Coordinates!$B$2:$B$197,MATCH(G365,Coordinates!$J$2:$J$197,0))</f>
        <v>-2.3486560399999998</v>
      </c>
      <c r="AK365" s="270">
        <f>INDEX(Coordinates!$C$2:$C$197,MATCH(G365,Coordinates!$J$2:$J$197,0))</f>
        <v>34.049895020000001</v>
      </c>
      <c r="AL365" s="270" t="str">
        <f>IF(ISNUMBER(SEARCH("C", 'Dry_Litterbag Placem_Collection'!T146)),"YES","NO")</f>
        <v>YES</v>
      </c>
      <c r="AM365" s="270" t="str">
        <f>IF(ISNUMBER(SEARCH("H", 'Dry_Litterbag Placem_Collection'!T146)),"YES","NO")</f>
        <v>YES</v>
      </c>
      <c r="AN365" s="270" t="str">
        <f>IF(ISNUMBER(SEARCH("R", 'Dry_Litterbag Placem_Collection'!T146)),"YES","NO")</f>
        <v>NO</v>
      </c>
    </row>
    <row r="366" spans="1:40" ht="15" customHeight="1">
      <c r="A366" s="262" t="s">
        <v>2659</v>
      </c>
      <c r="B366" s="263">
        <f>'Dry_Litterbag Placem_Collection'!A147</f>
        <v>145</v>
      </c>
      <c r="C366" s="263" t="str">
        <f>'Dry_Litterbag Placem_Collection'!B147</f>
        <v xml:space="preserve">Mwantimba
</v>
      </c>
      <c r="D366" s="263" t="s">
        <v>2460</v>
      </c>
      <c r="E366" s="263" t="s">
        <v>20</v>
      </c>
      <c r="F366" s="263">
        <v>3</v>
      </c>
      <c r="G366" s="264" t="str">
        <f>'Dry_Litterbag Placem_Collection'!C147</f>
        <v>Wet_P3_T1</v>
      </c>
      <c r="H366" s="265" t="s">
        <v>2541</v>
      </c>
      <c r="I366" s="272" t="s">
        <v>298</v>
      </c>
      <c r="J366" s="263" t="str">
        <f>IF(ISBLANK('Dry_Litterbag Placem_Collection'!K147),"","R"&amp;""&amp;'Dry_Litterbag Placem_Collection'!K147)</f>
        <v>R728</v>
      </c>
      <c r="K366" s="267">
        <f>IFERROR(INDEX('Green_rooibos initial weight'!$C$5:$C$1749,MATCH(J366, 'Green_rooibos initial weight'!$A$5:$A$1749,0)),"")</f>
        <v>2.2429999999999999</v>
      </c>
      <c r="L366" s="267">
        <f>IFERROR(K366-(TBIcalc!$Q$9+TBIcalc!$Q$10),"")</f>
        <v>1.9931999999999999</v>
      </c>
      <c r="M366" s="391">
        <f>AVERAGE(Ashed_controlls!$K$12:$K$14)</f>
        <v>2.2816647271287041</v>
      </c>
      <c r="N366" s="267">
        <f t="shared" si="26"/>
        <v>1.9477218586588705</v>
      </c>
      <c r="O366" s="267">
        <f>IF(IFERROR(INDEX('Both teabags AfterDry'!$D$3:$D$900,MATCH(J366,'Both teabags AfterDry'!$A$3:$A$900,0)),"")="","",(IFERROR(INDEX('Both teabags AfterDry'!$D$3:$D$900,MATCH(J366,'Both teabags AfterDry'!$A$3:$A$900,0)),"")))</f>
        <v>1.9579</v>
      </c>
      <c r="P366" s="267">
        <f>IFERROR(IF(O366&gt;0,O366-(TBIcalc!$Q$9),""),"")</f>
        <v>1.8072999999999999</v>
      </c>
      <c r="Q366" s="278">
        <f>IFERROR(INDEX('Ashed teabags dry'!$K$2:$K$825,MATCH(J366,'Ashed teabags dry'!$A$2:$A$825,0)),"")</f>
        <v>3.1746031746032655</v>
      </c>
      <c r="R366" s="278">
        <f t="shared" si="27"/>
        <v>1.7499253968253952</v>
      </c>
      <c r="S366" s="268">
        <f>'Dry_Litterbag Placem_Collection'!E147</f>
        <v>42939</v>
      </c>
      <c r="T366" s="268">
        <f>IF('Dry_Litterbag Placem_Collection'!G147="","",'Dry_Litterbag Placem_Collection'!G147)</f>
        <v>43010</v>
      </c>
      <c r="U366" s="269">
        <f t="shared" si="25"/>
        <v>71</v>
      </c>
      <c r="V366" s="267">
        <f t="shared" si="28"/>
        <v>0.18589999999999995</v>
      </c>
      <c r="W366" s="267">
        <f t="shared" si="29"/>
        <v>0.19779646183347532</v>
      </c>
      <c r="X366" s="271">
        <f>IFERROR(INDEX(Rainfall_Dry!$O$2:$O$217,MATCH(B366, Rainfall_Dry!$A$2:$A$217,0)),"")</f>
        <v>137.19979645800001</v>
      </c>
      <c r="Y366" s="260">
        <v>39.96</v>
      </c>
      <c r="Z366" s="260">
        <v>12.920000000000002</v>
      </c>
      <c r="AA366" s="260">
        <v>47.12</v>
      </c>
      <c r="AB366" s="261" t="s">
        <v>2674</v>
      </c>
      <c r="AC366" s="260">
        <v>1.6549531789058647</v>
      </c>
      <c r="AD366">
        <f>IF('WetLitterbags placem_collection'!AB147="","",'WetLitterbags placem_collection'!AB147)</f>
        <v>3.95</v>
      </c>
      <c r="AE366">
        <f>IF('WetLitterbags placem_collection'!Z147="","",'WetLitterbags placem_collection'!Z147)</f>
        <v>13</v>
      </c>
      <c r="AF366" s="246" t="str">
        <f>IF('WetLitterbags placem_collection'!AA147="","",'WetLitterbags placem_collection'!AA147)</f>
        <v>O</v>
      </c>
      <c r="AG366">
        <f>IF('WetLitterbags placem_collection'!AC147="","",'WetLitterbags placem_collection'!AC147)</f>
        <v>0</v>
      </c>
      <c r="AH366">
        <f>IFERROR(AVERAGE('Dry_Litterbag Placem_Collection'!O147,'Dry_Litterbag Placem_Collection'!R147),"")</f>
        <v>6.35</v>
      </c>
      <c r="AI366" s="271">
        <f>IFERROR(AVERAGE('Dry_Litterbag Placem_Collection'!N147,'Dry_Litterbag Placem_Collection'!Q147),"")</f>
        <v>30</v>
      </c>
      <c r="AJ366" s="270">
        <f>INDEX(Coordinates!$B$2:$B$197,MATCH(G366,Coordinates!$J$2:$J$197,0))</f>
        <v>-2.3675269729999999</v>
      </c>
      <c r="AK366" s="270">
        <f>INDEX(Coordinates!$C$2:$C$197,MATCH(G366,Coordinates!$J$2:$J$197,0))</f>
        <v>34.06035799</v>
      </c>
      <c r="AL366" s="270" t="str">
        <f>IF(ISNUMBER(SEARCH("C", 'Dry_Litterbag Placem_Collection'!T147)),"YES","NO")</f>
        <v>NO</v>
      </c>
      <c r="AM366" s="270" t="str">
        <f>IF(ISNUMBER(SEARCH("H", 'Dry_Litterbag Placem_Collection'!T147)),"YES","NO")</f>
        <v>NO</v>
      </c>
      <c r="AN366" s="270" t="str">
        <f>IF(ISNUMBER(SEARCH("R", 'Dry_Litterbag Placem_Collection'!T147)),"YES","NO")</f>
        <v>NO</v>
      </c>
    </row>
    <row r="367" spans="1:40" ht="15" customHeight="1">
      <c r="A367" s="262" t="s">
        <v>2659</v>
      </c>
      <c r="B367" s="263">
        <f>'Dry_Litterbag Placem_Collection'!A148</f>
        <v>146</v>
      </c>
      <c r="C367" s="263" t="str">
        <f>'Dry_Litterbag Placem_Collection'!B148</f>
        <v xml:space="preserve">Mwantimba
</v>
      </c>
      <c r="D367" s="263" t="s">
        <v>2460</v>
      </c>
      <c r="E367" s="263" t="s">
        <v>20</v>
      </c>
      <c r="F367" s="263">
        <v>3</v>
      </c>
      <c r="G367" s="264" t="str">
        <f>'Dry_Litterbag Placem_Collection'!C148</f>
        <v>Wet_P3_T2</v>
      </c>
      <c r="H367" s="265" t="s">
        <v>2541</v>
      </c>
      <c r="I367" s="272" t="s">
        <v>298</v>
      </c>
      <c r="J367" s="263" t="str">
        <f>IF(ISBLANK('Dry_Litterbag Placem_Collection'!K148),"","R"&amp;""&amp;'Dry_Litterbag Placem_Collection'!K148)</f>
        <v>R13</v>
      </c>
      <c r="K367" s="267">
        <f>IFERROR(INDEX('Green_rooibos initial weight'!$C$5:$C$1749,MATCH(J367, 'Green_rooibos initial weight'!$A$5:$A$1749,0)),"")</f>
        <v>2.2490000000000001</v>
      </c>
      <c r="L367" s="267">
        <f>IFERROR(K367-(TBIcalc!$Q$9+TBIcalc!$Q$10),"")</f>
        <v>1.9992000000000001</v>
      </c>
      <c r="M367" s="391">
        <f>AVERAGE(Ashed_controlls!$K$12:$K$14)</f>
        <v>2.2816647271287041</v>
      </c>
      <c r="N367" s="267">
        <f t="shared" si="26"/>
        <v>1.953584958775243</v>
      </c>
      <c r="O367" s="267">
        <f>IF(IFERROR(INDEX('Both teabags AfterDry'!$D$3:$D$900,MATCH(J367,'Both teabags AfterDry'!$A$3:$A$900,0)),"")="","",(IFERROR(INDEX('Both teabags AfterDry'!$D$3:$D$900,MATCH(J367,'Both teabags AfterDry'!$A$3:$A$900,0)),"")))</f>
        <v>0.68400000000000005</v>
      </c>
      <c r="P367" s="267">
        <f>IFERROR(IF(O367&gt;0,O367-(TBIcalc!$Q$9),""),"")</f>
        <v>0.5334000000000001</v>
      </c>
      <c r="Q367" s="278">
        <f>IFERROR(INDEX('Ashed teabags dry'!$K$2:$K$825,MATCH(J367,'Ashed teabags dry'!$A$2:$A$825,0)),"")</f>
        <v>88.478802992518979</v>
      </c>
      <c r="R367" s="278">
        <f t="shared" si="27"/>
        <v>6.1454064837903777E-2</v>
      </c>
      <c r="S367" s="268">
        <f>'Dry_Litterbag Placem_Collection'!E148</f>
        <v>42939</v>
      </c>
      <c r="T367" s="268">
        <f>IF('Dry_Litterbag Placem_Collection'!G148="","",'Dry_Litterbag Placem_Collection'!G148)</f>
        <v>43010</v>
      </c>
      <c r="U367" s="269">
        <f t="shared" si="25"/>
        <v>71</v>
      </c>
      <c r="V367" s="267">
        <f t="shared" si="28"/>
        <v>1.4658</v>
      </c>
      <c r="W367" s="267">
        <f t="shared" si="29"/>
        <v>1.8921308939373391</v>
      </c>
      <c r="X367" s="271">
        <f>IFERROR(INDEX(Rainfall_Dry!$O$2:$O$217,MATCH(B367, Rainfall_Dry!$A$2:$A$217,0)),"")</f>
        <v>137.19979645800001</v>
      </c>
      <c r="Y367" s="260">
        <v>39.96</v>
      </c>
      <c r="Z367" s="260">
        <v>12.920000000000002</v>
      </c>
      <c r="AA367" s="260">
        <v>47.12</v>
      </c>
      <c r="AB367" s="261" t="s">
        <v>2674</v>
      </c>
      <c r="AC367" s="260">
        <v>2.6549531789058598</v>
      </c>
      <c r="AD367">
        <f>IF('WetLitterbags placem_collection'!AB148="","",'WetLitterbags placem_collection'!AB148)</f>
        <v>2.75</v>
      </c>
      <c r="AE367">
        <f>IF('WetLitterbags placem_collection'!Z148="","",'WetLitterbags placem_collection'!Z148)</f>
        <v>17.7</v>
      </c>
      <c r="AF367" s="246" t="str">
        <f>IF('WetLitterbags placem_collection'!AA148="","",'WetLitterbags placem_collection'!AA148)</f>
        <v>O</v>
      </c>
      <c r="AG367">
        <f>IF('WetLitterbags placem_collection'!AC148="","",'WetLitterbags placem_collection'!AC148)</f>
        <v>1</v>
      </c>
      <c r="AH367">
        <f>IFERROR(AVERAGE('Dry_Litterbag Placem_Collection'!O148,'Dry_Litterbag Placem_Collection'!R148),"")</f>
        <v>6.1</v>
      </c>
      <c r="AI367" s="271">
        <f>IFERROR(AVERAGE('Dry_Litterbag Placem_Collection'!N148,'Dry_Litterbag Placem_Collection'!Q148),"")</f>
        <v>31</v>
      </c>
      <c r="AJ367" s="270">
        <f>INDEX(Coordinates!$B$2:$B$197,MATCH(G367,Coordinates!$J$2:$J$197,0))</f>
        <v>-2.3675380370000001</v>
      </c>
      <c r="AK367" s="270">
        <f>INDEX(Coordinates!$C$2:$C$197,MATCH(G367,Coordinates!$J$2:$J$197,0))</f>
        <v>34.060381960000001</v>
      </c>
      <c r="AL367" s="270" t="str">
        <f>IF(ISNUMBER(SEARCH("C", 'Dry_Litterbag Placem_Collection'!T148)),"YES","NO")</f>
        <v>NO</v>
      </c>
      <c r="AM367" s="270" t="str">
        <f>IF(ISNUMBER(SEARCH("H", 'Dry_Litterbag Placem_Collection'!T148)),"YES","NO")</f>
        <v>YES</v>
      </c>
      <c r="AN367" s="270" t="str">
        <f>IF(ISNUMBER(SEARCH("R", 'Dry_Litterbag Placem_Collection'!T148)),"YES","NO")</f>
        <v>NO</v>
      </c>
    </row>
    <row r="368" spans="1:40" ht="15" customHeight="1">
      <c r="A368" s="262" t="s">
        <v>2659</v>
      </c>
      <c r="B368" s="263">
        <f>'Dry_Litterbag Placem_Collection'!A149</f>
        <v>147</v>
      </c>
      <c r="C368" s="263" t="str">
        <f>'Dry_Litterbag Placem_Collection'!B149</f>
        <v xml:space="preserve">Mwantimba
</v>
      </c>
      <c r="D368" s="263" t="s">
        <v>2460</v>
      </c>
      <c r="E368" s="263" t="s">
        <v>20</v>
      </c>
      <c r="F368" s="263">
        <v>3</v>
      </c>
      <c r="G368" s="264" t="str">
        <f>'Dry_Litterbag Placem_Collection'!C149</f>
        <v>Wet_P3_T3</v>
      </c>
      <c r="H368" s="265" t="s">
        <v>2541</v>
      </c>
      <c r="I368" s="272" t="s">
        <v>298</v>
      </c>
      <c r="J368" s="263" t="str">
        <f>IF(ISBLANK('Dry_Litterbag Placem_Collection'!K149),"","R"&amp;""&amp;'Dry_Litterbag Placem_Collection'!K149)</f>
        <v>R832</v>
      </c>
      <c r="K368" s="267">
        <f>IFERROR(INDEX('Green_rooibos initial weight'!$C$5:$C$1749,MATCH(J368, 'Green_rooibos initial weight'!$A$5:$A$1749,0)),"")</f>
        <v>2.2149999999999999</v>
      </c>
      <c r="L368" s="267">
        <f>IFERROR(K368-(TBIcalc!$Q$9+TBIcalc!$Q$10),"")</f>
        <v>1.9651999999999998</v>
      </c>
      <c r="M368" s="391">
        <f>AVERAGE(Ashed_controlls!$K$12:$K$14)</f>
        <v>2.2816647271287041</v>
      </c>
      <c r="N368" s="267">
        <f t="shared" si="26"/>
        <v>1.9203607247824666</v>
      </c>
      <c r="O368" s="267">
        <f>IF(IFERROR(INDEX('Both teabags AfterDry'!$D$3:$D$900,MATCH(J368,'Both teabags AfterDry'!$A$3:$A$900,0)),"")="","",(IFERROR(INDEX('Both teabags AfterDry'!$D$3:$D$900,MATCH(J368,'Both teabags AfterDry'!$A$3:$A$900,0)),"")))</f>
        <v>1.7279</v>
      </c>
      <c r="P368" s="267">
        <f>IFERROR(IF(O368&gt;0,O368-(TBIcalc!$Q$9),""),"")</f>
        <v>1.5772999999999999</v>
      </c>
      <c r="Q368" s="278">
        <f>IFERROR(INDEX('Ashed teabags dry'!$K$2:$K$825,MATCH(J368,'Ashed teabags dry'!$A$2:$A$825,0)),"")</f>
        <v>3.1790556334733524</v>
      </c>
      <c r="R368" s="278">
        <f t="shared" si="27"/>
        <v>1.5271567554932248</v>
      </c>
      <c r="S368" s="268">
        <f>'Dry_Litterbag Placem_Collection'!E149</f>
        <v>42939</v>
      </c>
      <c r="T368" s="268">
        <f>IF('Dry_Litterbag Placem_Collection'!G149="","",'Dry_Litterbag Placem_Collection'!G149)</f>
        <v>43010</v>
      </c>
      <c r="U368" s="269">
        <f t="shared" si="25"/>
        <v>71</v>
      </c>
      <c r="V368" s="267">
        <f t="shared" si="28"/>
        <v>0.38789999999999991</v>
      </c>
      <c r="W368" s="267">
        <f t="shared" si="29"/>
        <v>0.39320396928924173</v>
      </c>
      <c r="X368" s="271">
        <f>IFERROR(INDEX(Rainfall_Dry!$O$2:$O$217,MATCH(B368, Rainfall_Dry!$A$2:$A$217,0)),"")</f>
        <v>137.19979645800001</v>
      </c>
      <c r="Y368" s="260">
        <v>39.96</v>
      </c>
      <c r="Z368" s="260">
        <v>12.920000000000002</v>
      </c>
      <c r="AA368" s="260">
        <v>47.12</v>
      </c>
      <c r="AB368" s="261" t="s">
        <v>2674</v>
      </c>
      <c r="AC368" s="260">
        <v>3.6549531789058598</v>
      </c>
      <c r="AD368">
        <f>IF('WetLitterbags placem_collection'!AB149="","",'WetLitterbags placem_collection'!AB149)</f>
        <v>3.6</v>
      </c>
      <c r="AE368">
        <f>IF('WetLitterbags placem_collection'!Z149="","",'WetLitterbags placem_collection'!Z149)</f>
        <v>19</v>
      </c>
      <c r="AF368" s="246" t="str">
        <f>IF('WetLitterbags placem_collection'!AA149="","",'WetLitterbags placem_collection'!AA149)</f>
        <v>M</v>
      </c>
      <c r="AG368">
        <f>IF('WetLitterbags placem_collection'!AC149="","",'WetLitterbags placem_collection'!AC149)</f>
        <v>1</v>
      </c>
      <c r="AH368">
        <f>IFERROR(AVERAGE('Dry_Litterbag Placem_Collection'!O149,'Dry_Litterbag Placem_Collection'!R149),"")</f>
        <v>5.6</v>
      </c>
      <c r="AI368" s="271">
        <f>IFERROR(AVERAGE('Dry_Litterbag Placem_Collection'!N149,'Dry_Litterbag Placem_Collection'!Q149),"")</f>
        <v>29.900000000000002</v>
      </c>
      <c r="AJ368" s="270">
        <f>INDEX(Coordinates!$B$2:$B$197,MATCH(G368,Coordinates!$J$2:$J$197,0))</f>
        <v>-2.3675780180000001</v>
      </c>
      <c r="AK368" s="270">
        <f>INDEX(Coordinates!$C$2:$C$197,MATCH(G368,Coordinates!$J$2:$J$197,0))</f>
        <v>34.060323029999999</v>
      </c>
      <c r="AL368" s="270" t="str">
        <f>IF(ISNUMBER(SEARCH("C", 'Dry_Litterbag Placem_Collection'!T149)),"YES","NO")</f>
        <v>NO</v>
      </c>
      <c r="AM368" s="270" t="str">
        <f>IF(ISNUMBER(SEARCH("H", 'Dry_Litterbag Placem_Collection'!T149)),"YES","NO")</f>
        <v>YES</v>
      </c>
      <c r="AN368" s="270" t="str">
        <f>IF(ISNUMBER(SEARCH("R", 'Dry_Litterbag Placem_Collection'!T149)),"YES","NO")</f>
        <v>NO</v>
      </c>
    </row>
    <row r="369" spans="1:40" ht="15" customHeight="1">
      <c r="A369" s="262" t="s">
        <v>2659</v>
      </c>
      <c r="B369" s="263">
        <f>'Dry_Litterbag Placem_Collection'!A150</f>
        <v>148</v>
      </c>
      <c r="C369" s="263" t="str">
        <f>'Dry_Litterbag Placem_Collection'!B150</f>
        <v xml:space="preserve">Mwantimba
</v>
      </c>
      <c r="D369" s="263" t="s">
        <v>2460</v>
      </c>
      <c r="E369" s="263" t="s">
        <v>20</v>
      </c>
      <c r="F369" s="263">
        <v>3</v>
      </c>
      <c r="G369" s="264" t="str">
        <f>'Dry_Litterbag Placem_Collection'!C150</f>
        <v>Wet_P3_T4</v>
      </c>
      <c r="H369" s="265" t="s">
        <v>2541</v>
      </c>
      <c r="I369" s="272" t="s">
        <v>298</v>
      </c>
      <c r="J369" s="263" t="str">
        <f>IF(ISBLANK('Dry_Litterbag Placem_Collection'!K150),"","R"&amp;""&amp;'Dry_Litterbag Placem_Collection'!K150)</f>
        <v>R823</v>
      </c>
      <c r="K369" s="267">
        <f>IFERROR(INDEX('Green_rooibos initial weight'!$C$5:$C$1749,MATCH(J369, 'Green_rooibos initial weight'!$A$5:$A$1749,0)),"")</f>
        <v>2.214</v>
      </c>
      <c r="L369" s="267">
        <f>IFERROR(K369-(TBIcalc!$Q$9+TBIcalc!$Q$10),"")</f>
        <v>1.9641999999999999</v>
      </c>
      <c r="M369" s="391">
        <f>AVERAGE(Ashed_controlls!$K$12:$K$14)</f>
        <v>2.2816647271287041</v>
      </c>
      <c r="N369" s="267">
        <f t="shared" si="26"/>
        <v>1.919383541429738</v>
      </c>
      <c r="O369" s="267" t="str">
        <f>IF(IFERROR(INDEX('Both teabags AfterDry'!$D$3:$D$900,MATCH(J369,'Both teabags AfterDry'!$A$3:$A$900,0)),"")="","",(IFERROR(INDEX('Both teabags AfterDry'!$D$3:$D$900,MATCH(J369,'Both teabags AfterDry'!$A$3:$A$900,0)),"")))</f>
        <v/>
      </c>
      <c r="P369" s="267" t="str">
        <f>IFERROR(IF(O369&gt;0,O369-(TBIcalc!$Q$9),""),"")</f>
        <v/>
      </c>
      <c r="Q369" s="278">
        <f>IFERROR(INDEX('Ashed teabags dry'!$K$2:$K$825,MATCH(J369,'Ashed teabags dry'!$A$2:$A$825,0)),"")</f>
        <v>90.2597402597399</v>
      </c>
      <c r="R369" s="278" t="str">
        <f t="shared" si="27"/>
        <v/>
      </c>
      <c r="S369" s="268">
        <f>'Dry_Litterbag Placem_Collection'!E150</f>
        <v>42939</v>
      </c>
      <c r="T369" s="268">
        <f>IF('Dry_Litterbag Placem_Collection'!G150="","",'Dry_Litterbag Placem_Collection'!G150)</f>
        <v>43010</v>
      </c>
      <c r="U369" s="269">
        <f t="shared" si="25"/>
        <v>71</v>
      </c>
      <c r="V369" s="267" t="str">
        <f t="shared" si="28"/>
        <v/>
      </c>
      <c r="W369" s="267" t="str">
        <f t="shared" si="29"/>
        <v/>
      </c>
      <c r="X369" s="271">
        <f>IFERROR(INDEX(Rainfall_Dry!$O$2:$O$217,MATCH(B369, Rainfall_Dry!$A$2:$A$217,0)),"")</f>
        <v>137.19979645800001</v>
      </c>
      <c r="Y369" s="260">
        <v>39.96</v>
      </c>
      <c r="Z369" s="260">
        <v>12.920000000000002</v>
      </c>
      <c r="AA369" s="260">
        <v>47.12</v>
      </c>
      <c r="AB369" s="261" t="s">
        <v>2674</v>
      </c>
      <c r="AC369" s="260">
        <v>4.6549531789058696</v>
      </c>
      <c r="AD369">
        <f>IF('WetLitterbags placem_collection'!AB150="","",'WetLitterbags placem_collection'!AB150)</f>
        <v>4.9000000000000004</v>
      </c>
      <c r="AE369">
        <f>IF('WetLitterbags placem_collection'!Z150="","",'WetLitterbags placem_collection'!Z150)</f>
        <v>17.489999999999998</v>
      </c>
      <c r="AF369" s="246" t="str">
        <f>IF('WetLitterbags placem_collection'!AA150="","",'WetLitterbags placem_collection'!AA150)</f>
        <v>M</v>
      </c>
      <c r="AG369">
        <f>IF('WetLitterbags placem_collection'!AC150="","",'WetLitterbags placem_collection'!AC150)</f>
        <v>1</v>
      </c>
      <c r="AH369">
        <f>IFERROR(AVERAGE('Dry_Litterbag Placem_Collection'!O150,'Dry_Litterbag Placem_Collection'!R150),"")</f>
        <v>6.5</v>
      </c>
      <c r="AI369" s="271">
        <f>IFERROR(AVERAGE('Dry_Litterbag Placem_Collection'!N150,'Dry_Litterbag Placem_Collection'!Q150),"")</f>
        <v>31.6</v>
      </c>
      <c r="AJ369" s="270">
        <f>INDEX(Coordinates!$B$2:$B$197,MATCH(G369,Coordinates!$J$2:$J$197,0))</f>
        <v>-2.3676269689999998</v>
      </c>
      <c r="AK369" s="270">
        <f>INDEX(Coordinates!$C$2:$C$197,MATCH(G369,Coordinates!$J$2:$J$197,0))</f>
        <v>34.060310960000002</v>
      </c>
      <c r="AL369" s="270" t="str">
        <f>IF(ISNUMBER(SEARCH("C", 'Dry_Litterbag Placem_Collection'!T150)),"YES","NO")</f>
        <v>YES</v>
      </c>
      <c r="AM369" s="270" t="str">
        <f>IF(ISNUMBER(SEARCH("H", 'Dry_Litterbag Placem_Collection'!T150)),"YES","NO")</f>
        <v>YES</v>
      </c>
      <c r="AN369" s="270" t="str">
        <f>IF(ISNUMBER(SEARCH("R", 'Dry_Litterbag Placem_Collection'!T150)),"YES","NO")</f>
        <v>NO</v>
      </c>
    </row>
    <row r="370" spans="1:40" ht="15" customHeight="1">
      <c r="A370" s="262" t="s">
        <v>2659</v>
      </c>
      <c r="B370" s="263">
        <f>'Dry_Litterbag Placem_Collection'!A151</f>
        <v>149</v>
      </c>
      <c r="C370" s="263" t="str">
        <f>'Dry_Litterbag Placem_Collection'!B151</f>
        <v xml:space="preserve">Mwantimba
</v>
      </c>
      <c r="D370" s="263" t="s">
        <v>2460</v>
      </c>
      <c r="E370" s="263" t="s">
        <v>20</v>
      </c>
      <c r="F370" s="263">
        <v>3</v>
      </c>
      <c r="G370" s="264" t="str">
        <f>'Dry_Litterbag Placem_Collection'!C151</f>
        <v>Wet_P3_T5</v>
      </c>
      <c r="H370" s="265" t="s">
        <v>2541</v>
      </c>
      <c r="I370" s="272" t="s">
        <v>298</v>
      </c>
      <c r="J370" s="263" t="str">
        <f>IF(ISBLANK('Dry_Litterbag Placem_Collection'!K151),"","R"&amp;""&amp;'Dry_Litterbag Placem_Collection'!K151)</f>
        <v>R703</v>
      </c>
      <c r="K370" s="267">
        <f>IFERROR(INDEX('Green_rooibos initial weight'!$C$5:$C$1749,MATCH(J370, 'Green_rooibos initial weight'!$A$5:$A$1749,0)),"")</f>
        <v>2.1379999999999999</v>
      </c>
      <c r="L370" s="267">
        <f>IFERROR(K370-(TBIcalc!$Q$9+TBIcalc!$Q$10),"")</f>
        <v>1.8881999999999999</v>
      </c>
      <c r="M370" s="391">
        <f>AVERAGE(Ashed_controlls!$K$12:$K$14)</f>
        <v>2.2816647271287041</v>
      </c>
      <c r="N370" s="267">
        <f t="shared" si="26"/>
        <v>1.8451176066223556</v>
      </c>
      <c r="O370" s="267">
        <f>IF(IFERROR(INDEX('Both teabags AfterDry'!$D$3:$D$900,MATCH(J370,'Both teabags AfterDry'!$A$3:$A$900,0)),"")="","",(IFERROR(INDEX('Both teabags AfterDry'!$D$3:$D$900,MATCH(J370,'Both teabags AfterDry'!$A$3:$A$900,0)),"")))</f>
        <v>1.9032</v>
      </c>
      <c r="P370" s="267">
        <f>IFERROR(IF(O370&gt;0,O370-(TBIcalc!$Q$9),""),"")</f>
        <v>1.7525999999999999</v>
      </c>
      <c r="Q370" s="278">
        <f>IFERROR(INDEX('Ashed teabags dry'!$K$2:$K$825,MATCH(J370,'Ashed teabags dry'!$A$2:$A$825,0)),"")</f>
        <v>3.0988686669941248</v>
      </c>
      <c r="R370" s="278">
        <f t="shared" si="27"/>
        <v>1.698289227742261</v>
      </c>
      <c r="S370" s="268">
        <f>'Dry_Litterbag Placem_Collection'!E151</f>
        <v>42939</v>
      </c>
      <c r="T370" s="268">
        <f>IF('Dry_Litterbag Placem_Collection'!G151="","",'Dry_Litterbag Placem_Collection'!G151)</f>
        <v>43010</v>
      </c>
      <c r="U370" s="269">
        <f t="shared" si="25"/>
        <v>71</v>
      </c>
      <c r="V370" s="267">
        <f t="shared" si="28"/>
        <v>0.13559999999999994</v>
      </c>
      <c r="W370" s="267">
        <f t="shared" si="29"/>
        <v>0.14682837888009459</v>
      </c>
      <c r="X370" s="271">
        <f>IFERROR(INDEX(Rainfall_Dry!$O$2:$O$217,MATCH(B370, Rainfall_Dry!$A$2:$A$217,0)),"")</f>
        <v>137.19979645800001</v>
      </c>
      <c r="Y370" s="260">
        <v>39.96</v>
      </c>
      <c r="Z370" s="260">
        <v>12.920000000000002</v>
      </c>
      <c r="AA370" s="260">
        <v>47.12</v>
      </c>
      <c r="AB370" s="261" t="s">
        <v>2674</v>
      </c>
      <c r="AC370" s="260">
        <v>5.6549531789058696</v>
      </c>
      <c r="AD370">
        <f>IF('WetLitterbags placem_collection'!AB151="","",'WetLitterbags placem_collection'!AB151)</f>
        <v>2.8</v>
      </c>
      <c r="AE370">
        <f>IF('WetLitterbags placem_collection'!Z151="","",'WetLitterbags placem_collection'!Z151)</f>
        <v>13</v>
      </c>
      <c r="AF370" s="246" t="str">
        <f>IF('WetLitterbags placem_collection'!AA151="","",'WetLitterbags placem_collection'!AA151)</f>
        <v>M</v>
      </c>
      <c r="AG370">
        <f>IF('WetLitterbags placem_collection'!AC151="","",'WetLitterbags placem_collection'!AC151)</f>
        <v>1</v>
      </c>
      <c r="AH370">
        <f>IFERROR(AVERAGE('Dry_Litterbag Placem_Collection'!O151,'Dry_Litterbag Placem_Collection'!R151),"")</f>
        <v>6.3000000000000007</v>
      </c>
      <c r="AI370" s="271">
        <f>IFERROR(AVERAGE('Dry_Litterbag Placem_Collection'!N151,'Dry_Litterbag Placem_Collection'!Q151),"")</f>
        <v>31</v>
      </c>
      <c r="AJ370" s="270">
        <f>INDEX(Coordinates!$B$2:$B$197,MATCH(G370,Coordinates!$J$2:$J$197,0))</f>
        <v>-2.3677179960000001</v>
      </c>
      <c r="AK370" s="270">
        <f>INDEX(Coordinates!$C$2:$C$197,MATCH(G370,Coordinates!$J$2:$J$197,0))</f>
        <v>34.060324960000003</v>
      </c>
      <c r="AL370" s="270" t="str">
        <f>IF(ISNUMBER(SEARCH("C", 'Dry_Litterbag Placem_Collection'!T151)),"YES","NO")</f>
        <v>NO</v>
      </c>
      <c r="AM370" s="270" t="str">
        <f>IF(ISNUMBER(SEARCH("H", 'Dry_Litterbag Placem_Collection'!T151)),"YES","NO")</f>
        <v>NO</v>
      </c>
      <c r="AN370" s="270" t="str">
        <f>IF(ISNUMBER(SEARCH("R", 'Dry_Litterbag Placem_Collection'!T151)),"YES","NO")</f>
        <v>NO</v>
      </c>
    </row>
    <row r="371" spans="1:40" ht="15" customHeight="1">
      <c r="A371" s="262" t="s">
        <v>2659</v>
      </c>
      <c r="B371" s="263">
        <f>'Dry_Litterbag Placem_Collection'!A152</f>
        <v>150</v>
      </c>
      <c r="C371" s="263" t="str">
        <f>'Dry_Litterbag Placem_Collection'!B152</f>
        <v xml:space="preserve">Mwantimba
</v>
      </c>
      <c r="D371" s="263" t="s">
        <v>2460</v>
      </c>
      <c r="E371" s="263" t="s">
        <v>20</v>
      </c>
      <c r="F371" s="263">
        <v>3</v>
      </c>
      <c r="G371" s="264" t="str">
        <f>'Dry_Litterbag Placem_Collection'!C152</f>
        <v>Wet_P3_T6</v>
      </c>
      <c r="H371" s="265" t="s">
        <v>2541</v>
      </c>
      <c r="I371" s="272" t="s">
        <v>298</v>
      </c>
      <c r="J371" s="263" t="str">
        <f>IF(ISBLANK('Dry_Litterbag Placem_Collection'!K152),"","R"&amp;""&amp;'Dry_Litterbag Placem_Collection'!K152)</f>
        <v>R668</v>
      </c>
      <c r="K371" s="267">
        <f>IFERROR(INDEX('Green_rooibos initial weight'!$C$5:$C$1749,MATCH(J371, 'Green_rooibos initial weight'!$A$5:$A$1749,0)),"")</f>
        <v>2.1419999999999999</v>
      </c>
      <c r="L371" s="267">
        <f>IFERROR(K371-(TBIcalc!$Q$9+TBIcalc!$Q$10),"")</f>
        <v>1.8921999999999999</v>
      </c>
      <c r="M371" s="391">
        <f>AVERAGE(Ashed_controlls!$K$12:$K$14)</f>
        <v>2.2816647271287041</v>
      </c>
      <c r="N371" s="267">
        <f t="shared" si="26"/>
        <v>1.8490263400332705</v>
      </c>
      <c r="O371" s="267" t="str">
        <f>IF(IFERROR(INDEX('Both teabags AfterDry'!$D$3:$D$900,MATCH(J371,'Both teabags AfterDry'!$A$3:$A$900,0)),"")="","",(IFERROR(INDEX('Both teabags AfterDry'!$D$3:$D$900,MATCH(J371,'Both teabags AfterDry'!$A$3:$A$900,0)),"")))</f>
        <v/>
      </c>
      <c r="P371" s="267" t="str">
        <f>IFERROR(IF(O371&gt;0,O371-(TBIcalc!$Q$9),""),"")</f>
        <v/>
      </c>
      <c r="Q371" s="278" t="str">
        <f>IFERROR(INDEX('Ashed teabags dry'!$K$2:$K$825,MATCH(J371,'Ashed teabags dry'!$A$2:$A$825,0)),"")</f>
        <v/>
      </c>
      <c r="R371" s="278" t="str">
        <f t="shared" si="27"/>
        <v/>
      </c>
      <c r="S371" s="268">
        <f>'Dry_Litterbag Placem_Collection'!E152</f>
        <v>42939</v>
      </c>
      <c r="T371" s="268">
        <f>IF('Dry_Litterbag Placem_Collection'!G152="","",'Dry_Litterbag Placem_Collection'!G152)</f>
        <v>43010</v>
      </c>
      <c r="U371" s="269">
        <f t="shared" si="25"/>
        <v>71</v>
      </c>
      <c r="V371" s="267" t="str">
        <f t="shared" si="28"/>
        <v/>
      </c>
      <c r="W371" s="267" t="str">
        <f t="shared" si="29"/>
        <v/>
      </c>
      <c r="X371" s="271">
        <f>IFERROR(INDEX(Rainfall_Dry!$O$2:$O$217,MATCH(B371, Rainfall_Dry!$A$2:$A$217,0)),"")</f>
        <v>137.19979645800001</v>
      </c>
      <c r="Y371" s="260">
        <v>39.96</v>
      </c>
      <c r="Z371" s="260">
        <v>12.920000000000002</v>
      </c>
      <c r="AA371" s="260">
        <v>47.12</v>
      </c>
      <c r="AB371" s="261" t="s">
        <v>2674</v>
      </c>
      <c r="AC371" s="260">
        <v>6.6549531789058696</v>
      </c>
      <c r="AD371">
        <f>IF('WetLitterbags placem_collection'!AB152="","",'WetLitterbags placem_collection'!AB152)</f>
        <v>2.75</v>
      </c>
      <c r="AE371">
        <f>IF('WetLitterbags placem_collection'!Z152="","",'WetLitterbags placem_collection'!Z152)</f>
        <v>19</v>
      </c>
      <c r="AF371" s="246" t="str">
        <f>IF('WetLitterbags placem_collection'!AA152="","",'WetLitterbags placem_collection'!AA152)</f>
        <v>O</v>
      </c>
      <c r="AG371">
        <f>IF('WetLitterbags placem_collection'!AC152="","",'WetLitterbags placem_collection'!AC152)</f>
        <v>0</v>
      </c>
      <c r="AH371">
        <f>IFERROR(AVERAGE('Dry_Litterbag Placem_Collection'!O152,'Dry_Litterbag Placem_Collection'!R152),"")</f>
        <v>6.1999999999999993</v>
      </c>
      <c r="AI371" s="271">
        <f>IFERROR(AVERAGE('Dry_Litterbag Placem_Collection'!N152,'Dry_Litterbag Placem_Collection'!Q152),"")</f>
        <v>30.8</v>
      </c>
      <c r="AJ371" s="270">
        <f>INDEX(Coordinates!$B$2:$B$197,MATCH(G371,Coordinates!$J$2:$J$197,0))</f>
        <v>-2.3675230329999999</v>
      </c>
      <c r="AK371" s="270">
        <f>INDEX(Coordinates!$C$2:$C$197,MATCH(G371,Coordinates!$J$2:$J$197,0))</f>
        <v>34.060512969999998</v>
      </c>
      <c r="AL371" s="270" t="str">
        <f>IF(ISNUMBER(SEARCH("C", 'Dry_Litterbag Placem_Collection'!T152)),"YES","NO")</f>
        <v>NO</v>
      </c>
      <c r="AM371" s="270" t="str">
        <f>IF(ISNUMBER(SEARCH("H", 'Dry_Litterbag Placem_Collection'!T152)),"YES","NO")</f>
        <v>YES</v>
      </c>
      <c r="AN371" s="270" t="str">
        <f>IF(ISNUMBER(SEARCH("R", 'Dry_Litterbag Placem_Collection'!T152)),"YES","NO")</f>
        <v>NO</v>
      </c>
    </row>
    <row r="372" spans="1:40" ht="15" customHeight="1">
      <c r="A372" s="262" t="s">
        <v>2659</v>
      </c>
      <c r="B372" s="263">
        <f>'Dry_Litterbag Placem_Collection'!A153</f>
        <v>151</v>
      </c>
      <c r="C372" s="263" t="str">
        <f>'Dry_Litterbag Placem_Collection'!B153</f>
        <v xml:space="preserve">Mwantimba
</v>
      </c>
      <c r="D372" s="263" t="s">
        <v>2460</v>
      </c>
      <c r="E372" s="263" t="s">
        <v>20</v>
      </c>
      <c r="F372" s="263">
        <v>3</v>
      </c>
      <c r="G372" s="264" t="str">
        <f>'Dry_Litterbag Placem_Collection'!C153</f>
        <v>Wet_P3_T7</v>
      </c>
      <c r="H372" s="265" t="s">
        <v>2541</v>
      </c>
      <c r="I372" s="272" t="s">
        <v>298</v>
      </c>
      <c r="J372" s="263" t="str">
        <f>IF(ISBLANK('Dry_Litterbag Placem_Collection'!K153),"","R"&amp;""&amp;'Dry_Litterbag Placem_Collection'!K153)</f>
        <v/>
      </c>
      <c r="K372" s="267" t="str">
        <f>IFERROR(INDEX('Green_rooibos initial weight'!$C$5:$C$1749,MATCH(J372, 'Green_rooibos initial weight'!$A$5:$A$1749,0)),"")</f>
        <v/>
      </c>
      <c r="L372" s="267" t="str">
        <f>IFERROR(K372-(TBIcalc!$Q$9+TBIcalc!$Q$10),"")</f>
        <v/>
      </c>
      <c r="M372" s="391">
        <f>AVERAGE(Ashed_controlls!$K$12:$K$14)</f>
        <v>2.2816647271287041</v>
      </c>
      <c r="N372" s="267" t="str">
        <f t="shared" si="26"/>
        <v/>
      </c>
      <c r="O372" s="267" t="str">
        <f>IF(IFERROR(INDEX('Both teabags AfterDry'!$D$3:$D$900,MATCH(J372,'Both teabags AfterDry'!$A$3:$A$900,0)),"")="","",(IFERROR(INDEX('Both teabags AfterDry'!$D$3:$D$900,MATCH(J372,'Both teabags AfterDry'!$A$3:$A$900,0)),"")))</f>
        <v/>
      </c>
      <c r="P372" s="267" t="str">
        <f>IFERROR(IF(O372&gt;0,O372-(TBIcalc!$Q$9),""),"")</f>
        <v/>
      </c>
      <c r="Q372" s="278" t="str">
        <f>IFERROR(INDEX('Ashed teabags dry'!$K$2:$K$825,MATCH(J372,'Ashed teabags dry'!$A$2:$A$825,0)),"")</f>
        <v/>
      </c>
      <c r="R372" s="278" t="str">
        <f t="shared" si="27"/>
        <v/>
      </c>
      <c r="S372" s="268">
        <f>'Dry_Litterbag Placem_Collection'!E153</f>
        <v>0</v>
      </c>
      <c r="T372" s="268" t="str">
        <f>IF('Dry_Litterbag Placem_Collection'!G153="","",'Dry_Litterbag Placem_Collection'!G153)</f>
        <v/>
      </c>
      <c r="U372" s="269" t="str">
        <f t="shared" si="25"/>
        <v/>
      </c>
      <c r="V372" s="267" t="str">
        <f t="shared" si="28"/>
        <v/>
      </c>
      <c r="W372" s="267" t="str">
        <f t="shared" si="29"/>
        <v/>
      </c>
      <c r="X372" s="271" t="str">
        <f>IFERROR(INDEX(Rainfall_Dry!$O$2:$O$217,MATCH(B372, Rainfall_Dry!$A$2:$A$217,0)),"")</f>
        <v/>
      </c>
      <c r="Y372" s="260">
        <v>39.96</v>
      </c>
      <c r="Z372" s="260">
        <v>12.920000000000002</v>
      </c>
      <c r="AA372" s="260">
        <v>47.12</v>
      </c>
      <c r="AB372" s="261" t="s">
        <v>2674</v>
      </c>
      <c r="AC372" s="260">
        <v>7.6549531789058696</v>
      </c>
      <c r="AD372">
        <f>IF('WetLitterbags placem_collection'!AB153="","",'WetLitterbags placem_collection'!AB153)</f>
        <v>1.4</v>
      </c>
      <c r="AE372">
        <f>IF('WetLitterbags placem_collection'!Z153="","",'WetLitterbags placem_collection'!Z153)</f>
        <v>7.9</v>
      </c>
      <c r="AF372" s="246" t="str">
        <f>IF('WetLitterbags placem_collection'!AA153="","",'WetLitterbags placem_collection'!AA153)</f>
        <v>O</v>
      </c>
      <c r="AG372">
        <f>IF('WetLitterbags placem_collection'!AC153="","",'WetLitterbags placem_collection'!AC153)</f>
        <v>1</v>
      </c>
      <c r="AH372" t="str">
        <f>IFERROR(AVERAGE('Dry_Litterbag Placem_Collection'!O153,'Dry_Litterbag Placem_Collection'!R153),"")</f>
        <v/>
      </c>
      <c r="AI372" s="271" t="str">
        <f>IFERROR(AVERAGE('Dry_Litterbag Placem_Collection'!N153,'Dry_Litterbag Placem_Collection'!Q153),"")</f>
        <v/>
      </c>
      <c r="AJ372" s="270">
        <f>INDEX(Coordinates!$B$2:$B$197,MATCH(G372,Coordinates!$J$2:$J$197,0))</f>
        <v>-2.3673460070000001</v>
      </c>
      <c r="AK372" s="270">
        <f>INDEX(Coordinates!$C$2:$C$197,MATCH(G372,Coordinates!$J$2:$J$197,0))</f>
        <v>34.060310039999997</v>
      </c>
      <c r="AL372" s="270" t="str">
        <f>IF(ISNUMBER(SEARCH("C", 'Dry_Litterbag Placem_Collection'!T153)),"YES","NO")</f>
        <v>NO</v>
      </c>
      <c r="AM372" s="270" t="str">
        <f>IF(ISNUMBER(SEARCH("H", 'Dry_Litterbag Placem_Collection'!T153)),"YES","NO")</f>
        <v>NO</v>
      </c>
      <c r="AN372" s="270" t="str">
        <f>IF(ISNUMBER(SEARCH("R", 'Dry_Litterbag Placem_Collection'!T153)),"YES","NO")</f>
        <v>NO</v>
      </c>
    </row>
    <row r="373" spans="1:40" ht="15" customHeight="1">
      <c r="A373" s="262" t="s">
        <v>2659</v>
      </c>
      <c r="B373" s="263">
        <f>'Dry_Litterbag Placem_Collection'!A154</f>
        <v>152</v>
      </c>
      <c r="C373" s="263" t="str">
        <f>'Dry_Litterbag Placem_Collection'!B154</f>
        <v xml:space="preserve">Mwantimba
</v>
      </c>
      <c r="D373" s="263" t="s">
        <v>2460</v>
      </c>
      <c r="E373" s="263" t="s">
        <v>20</v>
      </c>
      <c r="F373" s="263">
        <v>3</v>
      </c>
      <c r="G373" s="264" t="str">
        <f>'Dry_Litterbag Placem_Collection'!C154</f>
        <v>Wet_P3_T8</v>
      </c>
      <c r="H373" s="265" t="s">
        <v>2541</v>
      </c>
      <c r="I373" s="272" t="s">
        <v>298</v>
      </c>
      <c r="J373" s="263" t="str">
        <f>IF(ISBLANK('Dry_Litterbag Placem_Collection'!K154),"","R"&amp;""&amp;'Dry_Litterbag Placem_Collection'!K154)</f>
        <v>R788</v>
      </c>
      <c r="K373" s="267">
        <f>IFERROR(INDEX('Green_rooibos initial weight'!$C$5:$C$1749,MATCH(J373, 'Green_rooibos initial weight'!$A$5:$A$1749,0)),"")</f>
        <v>2.1869999999999998</v>
      </c>
      <c r="L373" s="267">
        <f>IFERROR(K373-(TBIcalc!$Q$9+TBIcalc!$Q$10),"")</f>
        <v>1.9371999999999998</v>
      </c>
      <c r="M373" s="391">
        <f>AVERAGE(Ashed_controlls!$K$12:$K$14)</f>
        <v>2.2816647271287041</v>
      </c>
      <c r="N373" s="267">
        <f t="shared" si="26"/>
        <v>1.8929995909060626</v>
      </c>
      <c r="O373" s="267">
        <f>IF(IFERROR(INDEX('Both teabags AfterDry'!$D$3:$D$900,MATCH(J373,'Both teabags AfterDry'!$A$3:$A$900,0)),"")="","",(IFERROR(INDEX('Both teabags AfterDry'!$D$3:$D$900,MATCH(J373,'Both teabags AfterDry'!$A$3:$A$900,0)),"")))</f>
        <v>0.43190000000000001</v>
      </c>
      <c r="P373" s="267">
        <f>IFERROR(IF(O373&gt;0,O373-(TBIcalc!$Q$9),""),"")</f>
        <v>0.28129999999999999</v>
      </c>
      <c r="Q373" s="278">
        <f>IFERROR(INDEX('Ashed teabags dry'!$K$2:$K$825,MATCH(J373,'Ashed teabags dry'!$A$2:$A$825,0)),"")</f>
        <v>89.775910364145446</v>
      </c>
      <c r="R373" s="278">
        <f t="shared" si="27"/>
        <v>2.8760364145658857E-2</v>
      </c>
      <c r="S373" s="268">
        <f>'Dry_Litterbag Placem_Collection'!E154</f>
        <v>42939</v>
      </c>
      <c r="T373" s="268">
        <f>IF('Dry_Litterbag Placem_Collection'!G154="","",'Dry_Litterbag Placem_Collection'!G154)</f>
        <v>43010</v>
      </c>
      <c r="U373" s="269">
        <f t="shared" si="25"/>
        <v>71</v>
      </c>
      <c r="V373" s="267">
        <f t="shared" si="28"/>
        <v>1.6558999999999999</v>
      </c>
      <c r="W373" s="267">
        <f t="shared" si="29"/>
        <v>1.8642392267604038</v>
      </c>
      <c r="X373" s="271">
        <f>IFERROR(INDEX(Rainfall_Dry!$O$2:$O$217,MATCH(B373, Rainfall_Dry!$A$2:$A$217,0)),"")</f>
        <v>137.19979645800001</v>
      </c>
      <c r="Y373" s="260">
        <v>39.96</v>
      </c>
      <c r="Z373" s="260">
        <v>12.920000000000002</v>
      </c>
      <c r="AA373" s="260">
        <v>47.12</v>
      </c>
      <c r="AB373" s="261" t="s">
        <v>2674</v>
      </c>
      <c r="AC373" s="260">
        <v>8.6549531789058705</v>
      </c>
      <c r="AD373">
        <f>IF('WetLitterbags placem_collection'!AB154="","",'WetLitterbags placem_collection'!AB154)</f>
        <v>2.2000000000000002</v>
      </c>
      <c r="AE373">
        <f>IF('WetLitterbags placem_collection'!Z154="","",'WetLitterbags placem_collection'!Z154)</f>
        <v>15</v>
      </c>
      <c r="AF373" s="246" t="str">
        <f>IF('WetLitterbags placem_collection'!AA154="","",'WetLitterbags placem_collection'!AA154)</f>
        <v>M</v>
      </c>
      <c r="AG373">
        <f>IF('WetLitterbags placem_collection'!AC154="","",'WetLitterbags placem_collection'!AC154)</f>
        <v>0</v>
      </c>
      <c r="AH373">
        <f>IFERROR(AVERAGE('Dry_Litterbag Placem_Collection'!O154,'Dry_Litterbag Placem_Collection'!R154),"")</f>
        <v>6.4</v>
      </c>
      <c r="AI373" s="271">
        <f>IFERROR(AVERAGE('Dry_Litterbag Placem_Collection'!N154,'Dry_Litterbag Placem_Collection'!Q154),"")</f>
        <v>28.45</v>
      </c>
      <c r="AJ373" s="270">
        <f>INDEX(Coordinates!$B$2:$B$197,MATCH(G373,Coordinates!$J$2:$J$197,0))</f>
        <v>-2.367543988</v>
      </c>
      <c r="AK373" s="270">
        <f>INDEX(Coordinates!$C$2:$C$197,MATCH(G373,Coordinates!$J$2:$J$197,0))</f>
        <v>34.060168969999999</v>
      </c>
      <c r="AL373" s="270" t="str">
        <f>IF(ISNUMBER(SEARCH("C", 'Dry_Litterbag Placem_Collection'!T154)),"YES","NO")</f>
        <v>NO</v>
      </c>
      <c r="AM373" s="270" t="str">
        <f>IF(ISNUMBER(SEARCH("H", 'Dry_Litterbag Placem_Collection'!T154)),"YES","NO")</f>
        <v>YES</v>
      </c>
      <c r="AN373" s="270" t="str">
        <f>IF(ISNUMBER(SEARCH("R", 'Dry_Litterbag Placem_Collection'!T154)),"YES","NO")</f>
        <v>NO</v>
      </c>
    </row>
    <row r="374" spans="1:40" ht="15" customHeight="1">
      <c r="A374" s="262" t="s">
        <v>2659</v>
      </c>
      <c r="B374" s="263">
        <f>'Dry_Litterbag Placem_Collection'!A155</f>
        <v>153</v>
      </c>
      <c r="C374" s="263" t="str">
        <f>'Dry_Litterbag Placem_Collection'!B155</f>
        <v xml:space="preserve">Mwantimba
</v>
      </c>
      <c r="D374" s="263" t="s">
        <v>2460</v>
      </c>
      <c r="E374" s="263" t="s">
        <v>20</v>
      </c>
      <c r="F374" s="263">
        <v>4</v>
      </c>
      <c r="G374" s="264" t="str">
        <f>'Dry_Litterbag Placem_Collection'!C155</f>
        <v>Wet_P4_T1</v>
      </c>
      <c r="H374" s="265" t="s">
        <v>2541</v>
      </c>
      <c r="I374" s="272" t="s">
        <v>298</v>
      </c>
      <c r="J374" s="263" t="str">
        <f>IF(ISBLANK('Dry_Litterbag Placem_Collection'!K155),"","R"&amp;""&amp;'Dry_Litterbag Placem_Collection'!K155)</f>
        <v>R735</v>
      </c>
      <c r="K374" s="267">
        <f>IFERROR(INDEX('Green_rooibos initial weight'!$C$5:$C$1749,MATCH(J374, 'Green_rooibos initial weight'!$A$5:$A$1749,0)),"")</f>
        <v>2.12</v>
      </c>
      <c r="L374" s="267">
        <f>IFERROR(K374-(TBIcalc!$Q$9+TBIcalc!$Q$10),"")</f>
        <v>1.8702000000000001</v>
      </c>
      <c r="M374" s="391">
        <f>AVERAGE(Ashed_controlls!$K$12:$K$14)</f>
        <v>2.2816647271287041</v>
      </c>
      <c r="N374" s="267">
        <f t="shared" si="26"/>
        <v>1.827528306273239</v>
      </c>
      <c r="O374" s="267">
        <f>IF(IFERROR(INDEX('Both teabags AfterDry'!$D$3:$D$900,MATCH(J374,'Both teabags AfterDry'!$A$3:$A$900,0)),"")="","",(IFERROR(INDEX('Both teabags AfterDry'!$D$3:$D$900,MATCH(J374,'Both teabags AfterDry'!$A$3:$A$900,0)),"")))</f>
        <v>1.0566</v>
      </c>
      <c r="P374" s="267">
        <f>IFERROR(IF(O374&gt;0,O374-(TBIcalc!$Q$9),""),"")</f>
        <v>0.90599999999999992</v>
      </c>
      <c r="Q374" s="278">
        <f>IFERROR(INDEX('Ashed teabags dry'!$K$2:$K$825,MATCH(J374,'Ashed teabags dry'!$A$2:$A$825,0)),"")</f>
        <v>50.895883777238879</v>
      </c>
      <c r="R374" s="278">
        <f t="shared" si="27"/>
        <v>0.44488329297821572</v>
      </c>
      <c r="S374" s="268">
        <f>'Dry_Litterbag Placem_Collection'!E155</f>
        <v>42939</v>
      </c>
      <c r="T374" s="268">
        <f>IF('Dry_Litterbag Placem_Collection'!G155="","",'Dry_Litterbag Placem_Collection'!G155)</f>
        <v>43010</v>
      </c>
      <c r="U374" s="269">
        <f t="shared" si="25"/>
        <v>71</v>
      </c>
      <c r="V374" s="267">
        <f t="shared" si="28"/>
        <v>0.96420000000000017</v>
      </c>
      <c r="W374" s="267">
        <f t="shared" si="29"/>
        <v>1.3826450132950234</v>
      </c>
      <c r="X374" s="271">
        <f>IFERROR(INDEX(Rainfall_Dry!$O$2:$O$217,MATCH(B374, Rainfall_Dry!$A$2:$A$217,0)),"")</f>
        <v>137.19979645800001</v>
      </c>
      <c r="Y374" s="260">
        <v>27.96</v>
      </c>
      <c r="Z374" s="260">
        <v>4.9200000000000017</v>
      </c>
      <c r="AA374" s="260">
        <v>67.12</v>
      </c>
      <c r="AB374" s="261" t="s">
        <v>2670</v>
      </c>
      <c r="AC374" s="260">
        <v>1.0437161163134547</v>
      </c>
      <c r="AD374">
        <f>IF('WetLitterbags placem_collection'!AB155="","",'WetLitterbags placem_collection'!AB155)</f>
        <v>2.1</v>
      </c>
      <c r="AE374">
        <f>IF('WetLitterbags placem_collection'!Z155="","",'WetLitterbags placem_collection'!Z155)</f>
        <v>16.399999999999999</v>
      </c>
      <c r="AF374" s="246" t="str">
        <f>IF('WetLitterbags placem_collection'!AA155="","",'WetLitterbags placem_collection'!AA155)</f>
        <v>G</v>
      </c>
      <c r="AG374">
        <f>IF('WetLitterbags placem_collection'!AC155="","",'WetLitterbags placem_collection'!AC155)</f>
        <v>0</v>
      </c>
      <c r="AH374">
        <f>IFERROR(AVERAGE('Dry_Litterbag Placem_Collection'!O155,'Dry_Litterbag Placem_Collection'!R155),"")</f>
        <v>5.65</v>
      </c>
      <c r="AI374" s="271">
        <f>IFERROR(AVERAGE('Dry_Litterbag Placem_Collection'!N155,'Dry_Litterbag Placem_Collection'!Q155),"")</f>
        <v>31.65</v>
      </c>
      <c r="AJ374" s="270">
        <f>INDEX(Coordinates!$B$2:$B$197,MATCH(G374,Coordinates!$J$2:$J$197,0))</f>
        <v>-2.3676780150000001</v>
      </c>
      <c r="AK374" s="270">
        <f>INDEX(Coordinates!$C$2:$C$197,MATCH(G374,Coordinates!$J$2:$J$197,0))</f>
        <v>34.05937797</v>
      </c>
      <c r="AL374" s="270" t="str">
        <f>IF(ISNUMBER(SEARCH("C", 'Dry_Litterbag Placem_Collection'!T155)),"YES","NO")</f>
        <v>YES</v>
      </c>
      <c r="AM374" s="270" t="str">
        <f>IF(ISNUMBER(SEARCH("H", 'Dry_Litterbag Placem_Collection'!T155)),"YES","NO")</f>
        <v>YES</v>
      </c>
      <c r="AN374" s="270" t="str">
        <f>IF(ISNUMBER(SEARCH("R", 'Dry_Litterbag Placem_Collection'!T155)),"YES","NO")</f>
        <v>NO</v>
      </c>
    </row>
    <row r="375" spans="1:40" ht="15" customHeight="1">
      <c r="A375" s="262" t="s">
        <v>2659</v>
      </c>
      <c r="B375" s="263">
        <f>'Dry_Litterbag Placem_Collection'!A156</f>
        <v>154</v>
      </c>
      <c r="C375" s="263" t="str">
        <f>'Dry_Litterbag Placem_Collection'!B156</f>
        <v xml:space="preserve">Mwantimba
</v>
      </c>
      <c r="D375" s="263" t="s">
        <v>2460</v>
      </c>
      <c r="E375" s="263" t="s">
        <v>20</v>
      </c>
      <c r="F375" s="263">
        <v>4</v>
      </c>
      <c r="G375" s="264" t="str">
        <f>'Dry_Litterbag Placem_Collection'!C156</f>
        <v>Wet_P4_T2</v>
      </c>
      <c r="H375" s="265" t="s">
        <v>2541</v>
      </c>
      <c r="I375" s="272" t="s">
        <v>298</v>
      </c>
      <c r="J375" s="263" t="str">
        <f>IF(ISBLANK('Dry_Litterbag Placem_Collection'!K156),"","R"&amp;""&amp;'Dry_Litterbag Placem_Collection'!K156)</f>
        <v>R836</v>
      </c>
      <c r="K375" s="267">
        <f>IFERROR(INDEX('Green_rooibos initial weight'!$C$5:$C$1749,MATCH(J375, 'Green_rooibos initial weight'!$A$5:$A$1749,0)),"")</f>
        <v>2.2000000000000002</v>
      </c>
      <c r="L375" s="267">
        <f>IFERROR(K375-(TBIcalc!$Q$9+TBIcalc!$Q$10),"")</f>
        <v>1.9502000000000002</v>
      </c>
      <c r="M375" s="391">
        <f>AVERAGE(Ashed_controlls!$K$12:$K$14)</f>
        <v>2.2816647271287041</v>
      </c>
      <c r="N375" s="267">
        <f t="shared" si="26"/>
        <v>1.9057029744915361</v>
      </c>
      <c r="O375" s="267">
        <f>IF(IFERROR(INDEX('Both teabags AfterDry'!$D$3:$D$900,MATCH(J375,'Both teabags AfterDry'!$A$3:$A$900,0)),"")="","",(IFERROR(INDEX('Both teabags AfterDry'!$D$3:$D$900,MATCH(J375,'Both teabags AfterDry'!$A$3:$A$900,0)),"")))</f>
        <v>0.62509999999999999</v>
      </c>
      <c r="P375" s="267">
        <f>IFERROR(IF(O375&gt;0,O375-(TBIcalc!$Q$9),""),"")</f>
        <v>0.47449999999999998</v>
      </c>
      <c r="Q375" s="278">
        <f>IFERROR(INDEX('Ashed teabags dry'!$K$2:$K$825,MATCH(J375,'Ashed teabags dry'!$A$2:$A$825,0)),"")</f>
        <v>87.866927592954596</v>
      </c>
      <c r="R375" s="278">
        <f t="shared" si="27"/>
        <v>5.7571428571430439E-2</v>
      </c>
      <c r="S375" s="268">
        <f>'Dry_Litterbag Placem_Collection'!E156</f>
        <v>42939</v>
      </c>
      <c r="T375" s="268">
        <f>IF('Dry_Litterbag Placem_Collection'!G156="","",'Dry_Litterbag Placem_Collection'!G156)</f>
        <v>43010</v>
      </c>
      <c r="U375" s="269">
        <f t="shared" si="25"/>
        <v>71</v>
      </c>
      <c r="V375" s="267">
        <f t="shared" si="28"/>
        <v>1.4757000000000002</v>
      </c>
      <c r="W375" s="267">
        <f t="shared" si="29"/>
        <v>1.8481315459201058</v>
      </c>
      <c r="X375" s="271">
        <f>IFERROR(INDEX(Rainfall_Dry!$O$2:$O$217,MATCH(B375, Rainfall_Dry!$A$2:$A$217,0)),"")</f>
        <v>137.19979645800001</v>
      </c>
      <c r="Y375" s="260">
        <v>27.96</v>
      </c>
      <c r="Z375" s="260">
        <v>4.9200000000000017</v>
      </c>
      <c r="AA375" s="260">
        <v>67.12</v>
      </c>
      <c r="AB375" s="261" t="s">
        <v>2670</v>
      </c>
      <c r="AC375" s="260">
        <v>2.0437161163134498</v>
      </c>
      <c r="AD375">
        <f>IF('WetLitterbags placem_collection'!AB156="","",'WetLitterbags placem_collection'!AB156)</f>
        <v>2.15</v>
      </c>
      <c r="AE375">
        <f>IF('WetLitterbags placem_collection'!Z156="","",'WetLitterbags placem_collection'!Z156)</f>
        <v>9</v>
      </c>
      <c r="AF375" s="246" t="str">
        <f>IF('WetLitterbags placem_collection'!AA156="","",'WetLitterbags placem_collection'!AA156)</f>
        <v>G</v>
      </c>
      <c r="AG375">
        <f>IF('WetLitterbags placem_collection'!AC156="","",'WetLitterbags placem_collection'!AC156)</f>
        <v>0</v>
      </c>
      <c r="AH375">
        <f>IFERROR(AVERAGE('Dry_Litterbag Placem_Collection'!O156,'Dry_Litterbag Placem_Collection'!R156),"")</f>
        <v>4.05</v>
      </c>
      <c r="AI375" s="271">
        <f>IFERROR(AVERAGE('Dry_Litterbag Placem_Collection'!N156,'Dry_Litterbag Placem_Collection'!Q156),"")</f>
        <v>30.45</v>
      </c>
      <c r="AJ375" s="270">
        <f>INDEX(Coordinates!$B$2:$B$197,MATCH(G375,Coordinates!$J$2:$J$197,0))</f>
        <v>-2.3677299820000002</v>
      </c>
      <c r="AK375" s="270">
        <f>INDEX(Coordinates!$C$2:$C$197,MATCH(G375,Coordinates!$J$2:$J$197,0))</f>
        <v>34.059351990000003</v>
      </c>
      <c r="AL375" s="270" t="str">
        <f>IF(ISNUMBER(SEARCH("C", 'Dry_Litterbag Placem_Collection'!T156)),"YES","NO")</f>
        <v>NO</v>
      </c>
      <c r="AM375" s="270" t="str">
        <f>IF(ISNUMBER(SEARCH("H", 'Dry_Litterbag Placem_Collection'!T156)),"YES","NO")</f>
        <v>YES</v>
      </c>
      <c r="AN375" s="270" t="str">
        <f>IF(ISNUMBER(SEARCH("R", 'Dry_Litterbag Placem_Collection'!T156)),"YES","NO")</f>
        <v>NO</v>
      </c>
    </row>
    <row r="376" spans="1:40" ht="15" customHeight="1">
      <c r="A376" s="262" t="s">
        <v>2659</v>
      </c>
      <c r="B376" s="263">
        <f>'Dry_Litterbag Placem_Collection'!A157</f>
        <v>155</v>
      </c>
      <c r="C376" s="263" t="str">
        <f>'Dry_Litterbag Placem_Collection'!B157</f>
        <v xml:space="preserve">Mwantimba
</v>
      </c>
      <c r="D376" s="263" t="s">
        <v>2460</v>
      </c>
      <c r="E376" s="263" t="s">
        <v>20</v>
      </c>
      <c r="F376" s="263">
        <v>4</v>
      </c>
      <c r="G376" s="264" t="str">
        <f>'Dry_Litterbag Placem_Collection'!C157</f>
        <v>Wet_P4_T3</v>
      </c>
      <c r="H376" s="265" t="s">
        <v>2541</v>
      </c>
      <c r="I376" s="272" t="s">
        <v>298</v>
      </c>
      <c r="J376" s="263" t="str">
        <f>IF(ISBLANK('Dry_Litterbag Placem_Collection'!K157),"","R"&amp;""&amp;'Dry_Litterbag Placem_Collection'!K157)</f>
        <v>R337</v>
      </c>
      <c r="K376" s="267">
        <f>IFERROR(INDEX('Green_rooibos initial weight'!$C$5:$C$1749,MATCH(J376, 'Green_rooibos initial weight'!$A$5:$A$1749,0)),"")</f>
        <v>2.2309999999999999</v>
      </c>
      <c r="L376" s="267">
        <f>IFERROR(K376-(TBIcalc!$Q$9+TBIcalc!$Q$10),"")</f>
        <v>1.9811999999999999</v>
      </c>
      <c r="M376" s="391">
        <f>AVERAGE(Ashed_controlls!$K$12:$K$14)</f>
        <v>2.2816647271287041</v>
      </c>
      <c r="N376" s="267">
        <f t="shared" si="26"/>
        <v>1.935995658426126</v>
      </c>
      <c r="O376" s="267">
        <f>IF(IFERROR(INDEX('Both teabags AfterDry'!$D$3:$D$900,MATCH(J376,'Both teabags AfterDry'!$A$3:$A$900,0)),"")="","",(IFERROR(INDEX('Both teabags AfterDry'!$D$3:$D$900,MATCH(J376,'Both teabags AfterDry'!$A$3:$A$900,0)),"")))</f>
        <v>1.8893</v>
      </c>
      <c r="P376" s="267">
        <f>IFERROR(IF(O376&gt;0,O376-(TBIcalc!$Q$9),""),"")</f>
        <v>1.7386999999999999</v>
      </c>
      <c r="Q376" s="278">
        <f>IFERROR(INDEX('Ashed teabags dry'!$K$2:$K$825,MATCH(J376,'Ashed teabags dry'!$A$2:$A$825,0)),"")</f>
        <v>5.2232142857139205</v>
      </c>
      <c r="R376" s="278">
        <f t="shared" si="27"/>
        <v>1.647883973214292</v>
      </c>
      <c r="S376" s="268">
        <f>'Dry_Litterbag Placem_Collection'!E157</f>
        <v>42939</v>
      </c>
      <c r="T376" s="268">
        <f>IF('Dry_Litterbag Placem_Collection'!G157="","",'Dry_Litterbag Placem_Collection'!G157)</f>
        <v>43010</v>
      </c>
      <c r="U376" s="269">
        <f t="shared" si="25"/>
        <v>71</v>
      </c>
      <c r="V376" s="267">
        <f t="shared" si="28"/>
        <v>0.24249999999999994</v>
      </c>
      <c r="W376" s="267">
        <f t="shared" si="29"/>
        <v>0.28811168521183395</v>
      </c>
      <c r="X376" s="271">
        <f>IFERROR(INDEX(Rainfall_Dry!$O$2:$O$217,MATCH(B376, Rainfall_Dry!$A$2:$A$217,0)),"")</f>
        <v>137.19979645800001</v>
      </c>
      <c r="Y376" s="260">
        <v>27.96</v>
      </c>
      <c r="Z376" s="260">
        <v>4.9200000000000017</v>
      </c>
      <c r="AA376" s="260">
        <v>67.12</v>
      </c>
      <c r="AB376" s="261" t="s">
        <v>2670</v>
      </c>
      <c r="AC376" s="260">
        <v>3.0437161163134498</v>
      </c>
      <c r="AD376">
        <f>IF('WetLitterbags placem_collection'!AB157="","",'WetLitterbags placem_collection'!AB157)</f>
        <v>1.2</v>
      </c>
      <c r="AE376">
        <f>IF('WetLitterbags placem_collection'!Z157="","",'WetLitterbags placem_collection'!Z157)</f>
        <v>11</v>
      </c>
      <c r="AF376" s="246" t="str">
        <f>IF('WetLitterbags placem_collection'!AA157="","",'WetLitterbags placem_collection'!AA157)</f>
        <v>G</v>
      </c>
      <c r="AG376">
        <f>IF('WetLitterbags placem_collection'!AC157="","",'WetLitterbags placem_collection'!AC157)</f>
        <v>0</v>
      </c>
      <c r="AH376">
        <f>IFERROR(AVERAGE('Dry_Litterbag Placem_Collection'!O157,'Dry_Litterbag Placem_Collection'!R157),"")</f>
        <v>5.0999999999999996</v>
      </c>
      <c r="AI376" s="271">
        <f>IFERROR(AVERAGE('Dry_Litterbag Placem_Collection'!N157,'Dry_Litterbag Placem_Collection'!Q157),"")</f>
        <v>29.4</v>
      </c>
      <c r="AJ376" s="270">
        <f>INDEX(Coordinates!$B$2:$B$197,MATCH(G376,Coordinates!$J$2:$J$197,0))</f>
        <v>-2.3677119609999999</v>
      </c>
      <c r="AK376" s="270">
        <f>INDEX(Coordinates!$C$2:$C$197,MATCH(G376,Coordinates!$J$2:$J$197,0))</f>
        <v>34.059339000000001</v>
      </c>
      <c r="AL376" s="270" t="str">
        <f>IF(ISNUMBER(SEARCH("C", 'Dry_Litterbag Placem_Collection'!T157)),"YES","NO")</f>
        <v>YES</v>
      </c>
      <c r="AM376" s="270" t="str">
        <f>IF(ISNUMBER(SEARCH("H", 'Dry_Litterbag Placem_Collection'!T157)),"YES","NO")</f>
        <v>YES</v>
      </c>
      <c r="AN376" s="270" t="str">
        <f>IF(ISNUMBER(SEARCH("R", 'Dry_Litterbag Placem_Collection'!T157)),"YES","NO")</f>
        <v>NO</v>
      </c>
    </row>
    <row r="377" spans="1:40" ht="15" customHeight="1">
      <c r="A377" s="262" t="s">
        <v>2659</v>
      </c>
      <c r="B377" s="263">
        <f>'Dry_Litterbag Placem_Collection'!A158</f>
        <v>156</v>
      </c>
      <c r="C377" s="263" t="str">
        <f>'Dry_Litterbag Placem_Collection'!B158</f>
        <v xml:space="preserve">Mwantimba
</v>
      </c>
      <c r="D377" s="263" t="s">
        <v>2460</v>
      </c>
      <c r="E377" s="263" t="s">
        <v>20</v>
      </c>
      <c r="F377" s="263">
        <v>4</v>
      </c>
      <c r="G377" s="264" t="str">
        <f>'Dry_Litterbag Placem_Collection'!C158</f>
        <v>Wet_P4_T4</v>
      </c>
      <c r="H377" s="265" t="s">
        <v>2541</v>
      </c>
      <c r="I377" s="272" t="s">
        <v>298</v>
      </c>
      <c r="J377" s="263" t="str">
        <f>IF(ISBLANK('Dry_Litterbag Placem_Collection'!K158),"","R"&amp;""&amp;'Dry_Litterbag Placem_Collection'!K158)</f>
        <v>R118</v>
      </c>
      <c r="K377" s="267">
        <f>IFERROR(INDEX('Green_rooibos initial weight'!$C$5:$C$1749,MATCH(J377, 'Green_rooibos initial weight'!$A$5:$A$1749,0)),"")</f>
        <v>2.3330000000000002</v>
      </c>
      <c r="L377" s="267">
        <f>IFERROR(K377-(TBIcalc!$Q$9+TBIcalc!$Q$10),"")</f>
        <v>2.0832000000000002</v>
      </c>
      <c r="M377" s="391">
        <f>AVERAGE(Ashed_controlls!$K$12:$K$14)</f>
        <v>2.2816647271287041</v>
      </c>
      <c r="N377" s="267">
        <f t="shared" si="26"/>
        <v>2.035668360404455</v>
      </c>
      <c r="O377" s="267">
        <f>IF(IFERROR(INDEX('Both teabags AfterDry'!$D$3:$D$900,MATCH(J377,'Both teabags AfterDry'!$A$3:$A$900,0)),"")="","",(IFERROR(INDEX('Both teabags AfterDry'!$D$3:$D$900,MATCH(J377,'Both teabags AfterDry'!$A$3:$A$900,0)),"")))</f>
        <v>0.79290000000000005</v>
      </c>
      <c r="P377" s="267">
        <f>IFERROR(IF(O377&gt;0,O377-(TBIcalc!$Q$9),""),"")</f>
        <v>0.64230000000000009</v>
      </c>
      <c r="Q377" s="278">
        <f>IFERROR(INDEX('Ashed teabags dry'!$K$2:$K$825,MATCH(J377,'Ashed teabags dry'!$A$2:$A$825,0)),"")</f>
        <v>77.250247279920742</v>
      </c>
      <c r="R377" s="278">
        <f t="shared" si="27"/>
        <v>0.14612166172106905</v>
      </c>
      <c r="S377" s="268">
        <f>'Dry_Litterbag Placem_Collection'!E158</f>
        <v>42939</v>
      </c>
      <c r="T377" s="268">
        <f>IF('Dry_Litterbag Placem_Collection'!G158="","",'Dry_Litterbag Placem_Collection'!G158)</f>
        <v>43010</v>
      </c>
      <c r="U377" s="269">
        <f t="shared" si="25"/>
        <v>71</v>
      </c>
      <c r="V377" s="267">
        <f t="shared" si="28"/>
        <v>1.4409000000000001</v>
      </c>
      <c r="W377" s="267">
        <f t="shared" si="29"/>
        <v>1.889546698683386</v>
      </c>
      <c r="X377" s="271">
        <f>IFERROR(INDEX(Rainfall_Dry!$O$2:$O$217,MATCH(B377, Rainfall_Dry!$A$2:$A$217,0)),"")</f>
        <v>137.19979645800001</v>
      </c>
      <c r="Y377" s="260">
        <v>27.96</v>
      </c>
      <c r="Z377" s="260">
        <v>4.9200000000000017</v>
      </c>
      <c r="AA377" s="260">
        <v>67.12</v>
      </c>
      <c r="AB377" s="261" t="s">
        <v>2670</v>
      </c>
      <c r="AC377" s="260">
        <v>4.0437161163134503</v>
      </c>
      <c r="AD377">
        <f>IF('WetLitterbags placem_collection'!AB158="","",'WetLitterbags placem_collection'!AB158)</f>
        <v>1.55</v>
      </c>
      <c r="AE377">
        <f>IF('WetLitterbags placem_collection'!Z158="","",'WetLitterbags placem_collection'!Z158)</f>
        <v>9.1</v>
      </c>
      <c r="AF377" s="246" t="str">
        <f>IF('WetLitterbags placem_collection'!AA158="","",'WetLitterbags placem_collection'!AA158)</f>
        <v>O</v>
      </c>
      <c r="AG377">
        <f>IF('WetLitterbags placem_collection'!AC158="","",'WetLitterbags placem_collection'!AC158)</f>
        <v>0</v>
      </c>
      <c r="AH377">
        <f>IFERROR(AVERAGE('Dry_Litterbag Placem_Collection'!O158,'Dry_Litterbag Placem_Collection'!R158),"")</f>
        <v>4.5</v>
      </c>
      <c r="AI377" s="271">
        <f>IFERROR(AVERAGE('Dry_Litterbag Placem_Collection'!N158,'Dry_Litterbag Placem_Collection'!Q158),"")</f>
        <v>30.35</v>
      </c>
      <c r="AJ377" s="270">
        <f>INDEX(Coordinates!$B$2:$B$197,MATCH(G377,Coordinates!$J$2:$J$197,0))</f>
        <v>-2.3676950300000001</v>
      </c>
      <c r="AK377" s="270">
        <f>INDEX(Coordinates!$C$2:$C$197,MATCH(G377,Coordinates!$J$2:$J$197,0))</f>
        <v>34.059499010000003</v>
      </c>
      <c r="AL377" s="270" t="str">
        <f>IF(ISNUMBER(SEARCH("C", 'Dry_Litterbag Placem_Collection'!T158)),"YES","NO")</f>
        <v>YES</v>
      </c>
      <c r="AM377" s="270" t="str">
        <f>IF(ISNUMBER(SEARCH("H", 'Dry_Litterbag Placem_Collection'!T158)),"YES","NO")</f>
        <v>YES</v>
      </c>
      <c r="AN377" s="270" t="str">
        <f>IF(ISNUMBER(SEARCH("R", 'Dry_Litterbag Placem_Collection'!T158)),"YES","NO")</f>
        <v>NO</v>
      </c>
    </row>
    <row r="378" spans="1:40" ht="15" customHeight="1">
      <c r="A378" s="262" t="s">
        <v>2659</v>
      </c>
      <c r="B378" s="263">
        <f>'Dry_Litterbag Placem_Collection'!A159</f>
        <v>157</v>
      </c>
      <c r="C378" s="263" t="str">
        <f>'Dry_Litterbag Placem_Collection'!B159</f>
        <v xml:space="preserve">Mwantimba
</v>
      </c>
      <c r="D378" s="263" t="s">
        <v>2460</v>
      </c>
      <c r="E378" s="263" t="s">
        <v>20</v>
      </c>
      <c r="F378" s="263">
        <v>4</v>
      </c>
      <c r="G378" s="264" t="str">
        <f>'Dry_Litterbag Placem_Collection'!C159</f>
        <v>Wet_P4_T5</v>
      </c>
      <c r="H378" s="265" t="s">
        <v>2541</v>
      </c>
      <c r="I378" s="272" t="s">
        <v>298</v>
      </c>
      <c r="J378" s="263" t="str">
        <f>IF(ISBLANK('Dry_Litterbag Placem_Collection'!K159),"","R"&amp;""&amp;'Dry_Litterbag Placem_Collection'!K159)</f>
        <v>R478</v>
      </c>
      <c r="K378" s="267">
        <f>IFERROR(INDEX('Green_rooibos initial weight'!$C$5:$C$1749,MATCH(J378, 'Green_rooibos initial weight'!$A$5:$A$1749,0)),"")</f>
        <v>2.1640000000000001</v>
      </c>
      <c r="L378" s="267">
        <f>IFERROR(K378-(TBIcalc!$Q$9+TBIcalc!$Q$10),"")</f>
        <v>1.9142000000000001</v>
      </c>
      <c r="M378" s="391">
        <f>AVERAGE(Ashed_controlls!$K$12:$K$14)</f>
        <v>2.2816647271287041</v>
      </c>
      <c r="N378" s="267">
        <f t="shared" si="26"/>
        <v>1.8705243737933024</v>
      </c>
      <c r="O378" s="267" t="str">
        <f>IF(IFERROR(INDEX('Both teabags AfterDry'!$D$3:$D$900,MATCH(J378,'Both teabags AfterDry'!$A$3:$A$900,0)),"")="","",(IFERROR(INDEX('Both teabags AfterDry'!$D$3:$D$900,MATCH(J378,'Both teabags AfterDry'!$A$3:$A$900,0)),"")))</f>
        <v/>
      </c>
      <c r="P378" s="267" t="str">
        <f>IFERROR(IF(O378&gt;0,O378-(TBIcalc!$Q$9),""),"")</f>
        <v/>
      </c>
      <c r="Q378" s="278" t="str">
        <f>IFERROR(INDEX('Ashed teabags dry'!$K$2:$K$825,MATCH(J378,'Ashed teabags dry'!$A$2:$A$825,0)),"")</f>
        <v/>
      </c>
      <c r="R378" s="278" t="str">
        <f t="shared" si="27"/>
        <v/>
      </c>
      <c r="S378" s="268">
        <f>'Dry_Litterbag Placem_Collection'!E159</f>
        <v>42939</v>
      </c>
      <c r="T378" s="268">
        <f>IF('Dry_Litterbag Placem_Collection'!G159="","",'Dry_Litterbag Placem_Collection'!G159)</f>
        <v>43010</v>
      </c>
      <c r="U378" s="269">
        <f t="shared" si="25"/>
        <v>71</v>
      </c>
      <c r="V378" s="267" t="str">
        <f t="shared" si="28"/>
        <v/>
      </c>
      <c r="W378" s="267" t="str">
        <f t="shared" si="29"/>
        <v/>
      </c>
      <c r="X378" s="271">
        <f>IFERROR(INDEX(Rainfall_Dry!$O$2:$O$217,MATCH(B378, Rainfall_Dry!$A$2:$A$217,0)),"")</f>
        <v>137.19979645800001</v>
      </c>
      <c r="Y378" s="260">
        <v>27.96</v>
      </c>
      <c r="Z378" s="260">
        <v>4.9200000000000017</v>
      </c>
      <c r="AA378" s="260">
        <v>67.12</v>
      </c>
      <c r="AB378" s="261" t="s">
        <v>2670</v>
      </c>
      <c r="AC378" s="260">
        <v>5.0437161163134503</v>
      </c>
      <c r="AD378">
        <f>IF('WetLitterbags placem_collection'!AB159="","",'WetLitterbags placem_collection'!AB159)</f>
        <v>2.2999999999999998</v>
      </c>
      <c r="AE378">
        <f>IF('WetLitterbags placem_collection'!Z159="","",'WetLitterbags placem_collection'!Z159)</f>
        <v>7.7</v>
      </c>
      <c r="AF378" s="246" t="str">
        <f>IF('WetLitterbags placem_collection'!AA159="","",'WetLitterbags placem_collection'!AA159)</f>
        <v>O</v>
      </c>
      <c r="AG378">
        <f>IF('WetLitterbags placem_collection'!AC159="","",'WetLitterbags placem_collection'!AC159)</f>
        <v>0</v>
      </c>
      <c r="AH378">
        <f>IFERROR(AVERAGE('Dry_Litterbag Placem_Collection'!O159,'Dry_Litterbag Placem_Collection'!R159),"")</f>
        <v>5.65</v>
      </c>
      <c r="AI378" s="271">
        <f>IFERROR(AVERAGE('Dry_Litterbag Placem_Collection'!N159,'Dry_Litterbag Placem_Collection'!Q159),"")</f>
        <v>29.85</v>
      </c>
      <c r="AJ378" s="270">
        <f>INDEX(Coordinates!$B$2:$B$197,MATCH(G378,Coordinates!$J$2:$J$197,0))</f>
        <v>-2.3678019830000001</v>
      </c>
      <c r="AK378" s="270">
        <f>INDEX(Coordinates!$C$2:$C$197,MATCH(G378,Coordinates!$J$2:$J$197,0))</f>
        <v>34.059521969999999</v>
      </c>
      <c r="AL378" s="270" t="str">
        <f>IF(ISNUMBER(SEARCH("C", 'Dry_Litterbag Placem_Collection'!T159)),"YES","NO")</f>
        <v>YES</v>
      </c>
      <c r="AM378" s="270" t="str">
        <f>IF(ISNUMBER(SEARCH("H", 'Dry_Litterbag Placem_Collection'!T159)),"YES","NO")</f>
        <v>NO</v>
      </c>
      <c r="AN378" s="270" t="str">
        <f>IF(ISNUMBER(SEARCH("R", 'Dry_Litterbag Placem_Collection'!T159)),"YES","NO")</f>
        <v>YES</v>
      </c>
    </row>
    <row r="379" spans="1:40" ht="15" customHeight="1">
      <c r="A379" s="262" t="s">
        <v>2659</v>
      </c>
      <c r="B379" s="263">
        <f>'Dry_Litterbag Placem_Collection'!A160</f>
        <v>158</v>
      </c>
      <c r="C379" s="263" t="str">
        <f>'Dry_Litterbag Placem_Collection'!B160</f>
        <v xml:space="preserve">Mwantimba
</v>
      </c>
      <c r="D379" s="263" t="s">
        <v>2460</v>
      </c>
      <c r="E379" s="263" t="s">
        <v>20</v>
      </c>
      <c r="F379" s="263">
        <v>4</v>
      </c>
      <c r="G379" s="264" t="str">
        <f>'Dry_Litterbag Placem_Collection'!C160</f>
        <v>Wet_P4_T6</v>
      </c>
      <c r="H379" s="265" t="s">
        <v>2541</v>
      </c>
      <c r="I379" s="272" t="s">
        <v>298</v>
      </c>
      <c r="J379" s="263" t="str">
        <f>IF(ISBLANK('Dry_Litterbag Placem_Collection'!K160),"","R"&amp;""&amp;'Dry_Litterbag Placem_Collection'!K160)</f>
        <v>R773</v>
      </c>
      <c r="K379" s="267">
        <f>IFERROR(INDEX('Green_rooibos initial weight'!$C$5:$C$1749,MATCH(J379, 'Green_rooibos initial weight'!$A$5:$A$1749,0)),"")</f>
        <v>2.2320000000000002</v>
      </c>
      <c r="L379" s="267">
        <f>IFERROR(K379-(TBIcalc!$Q$9+TBIcalc!$Q$10),"")</f>
        <v>1.9822000000000002</v>
      </c>
      <c r="M379" s="391">
        <f>AVERAGE(Ashed_controlls!$K$12:$K$14)</f>
        <v>2.2816647271287041</v>
      </c>
      <c r="N379" s="267">
        <f t="shared" si="26"/>
        <v>1.936972841778855</v>
      </c>
      <c r="O379" s="267">
        <f>IF(IFERROR(INDEX('Both teabags AfterDry'!$D$3:$D$900,MATCH(J379,'Both teabags AfterDry'!$A$3:$A$900,0)),"")="","",(IFERROR(INDEX('Both teabags AfterDry'!$D$3:$D$900,MATCH(J379,'Both teabags AfterDry'!$A$3:$A$900,0)),"")))</f>
        <v>1.3551</v>
      </c>
      <c r="P379" s="267">
        <f>IFERROR(IF(O379&gt;0,O379-(TBIcalc!$Q$9),""),"")</f>
        <v>1.2044999999999999</v>
      </c>
      <c r="Q379" s="278">
        <f>IFERROR(INDEX('Ashed teabags dry'!$K$2:$K$825,MATCH(J379,'Ashed teabags dry'!$A$2:$A$825,0)),"")</f>
        <v>86.234021632251483</v>
      </c>
      <c r="R379" s="278">
        <f t="shared" si="27"/>
        <v>0.16581120943953098</v>
      </c>
      <c r="S379" s="268">
        <f>'Dry_Litterbag Placem_Collection'!E160</f>
        <v>42939</v>
      </c>
      <c r="T379" s="268">
        <f>IF('Dry_Litterbag Placem_Collection'!G160="","",'Dry_Litterbag Placem_Collection'!G160)</f>
        <v>43010</v>
      </c>
      <c r="U379" s="269">
        <f t="shared" si="25"/>
        <v>71</v>
      </c>
      <c r="V379" s="267">
        <f t="shared" si="28"/>
        <v>0.77770000000000028</v>
      </c>
      <c r="W379" s="267">
        <f t="shared" si="29"/>
        <v>1.771161632339324</v>
      </c>
      <c r="X379" s="271">
        <f>IFERROR(INDEX(Rainfall_Dry!$O$2:$O$217,MATCH(B379, Rainfall_Dry!$A$2:$A$217,0)),"")</f>
        <v>137.19979645800001</v>
      </c>
      <c r="Y379" s="260">
        <v>27.96</v>
      </c>
      <c r="Z379" s="260">
        <v>4.9200000000000017</v>
      </c>
      <c r="AA379" s="260">
        <v>67.12</v>
      </c>
      <c r="AB379" s="261" t="s">
        <v>2670</v>
      </c>
      <c r="AC379" s="260">
        <v>6.0437161163134503</v>
      </c>
      <c r="AD379">
        <f>IF('WetLitterbags placem_collection'!AB160="","",'WetLitterbags placem_collection'!AB160)</f>
        <v>1.9</v>
      </c>
      <c r="AE379">
        <f>IF('WetLitterbags placem_collection'!Z160="","",'WetLitterbags placem_collection'!Z160)</f>
        <v>4.3</v>
      </c>
      <c r="AF379" s="246" t="str">
        <f>IF('WetLitterbags placem_collection'!AA160="","",'WetLitterbags placem_collection'!AA160)</f>
        <v>O</v>
      </c>
      <c r="AG379">
        <f>IF('WetLitterbags placem_collection'!AC160="","",'WetLitterbags placem_collection'!AC160)</f>
        <v>0</v>
      </c>
      <c r="AH379">
        <f>IFERROR(AVERAGE('Dry_Litterbag Placem_Collection'!O160,'Dry_Litterbag Placem_Collection'!R160),"")</f>
        <v>5.95</v>
      </c>
      <c r="AI379" s="271">
        <f>IFERROR(AVERAGE('Dry_Litterbag Placem_Collection'!N160,'Dry_Litterbag Placem_Collection'!Q160),"")</f>
        <v>31.8</v>
      </c>
      <c r="AJ379" s="270">
        <f>INDEX(Coordinates!$B$2:$B$197,MATCH(G379,Coordinates!$J$2:$J$197,0))</f>
        <v>-2.3679270410000002</v>
      </c>
      <c r="AK379" s="270">
        <f>INDEX(Coordinates!$C$2:$C$197,MATCH(G379,Coordinates!$J$2:$J$197,0))</f>
        <v>34.059300020000002</v>
      </c>
      <c r="AL379" s="270" t="str">
        <f>IF(ISNUMBER(SEARCH("C", 'Dry_Litterbag Placem_Collection'!T160)),"YES","NO")</f>
        <v>YES</v>
      </c>
      <c r="AM379" s="270" t="str">
        <f>IF(ISNUMBER(SEARCH("H", 'Dry_Litterbag Placem_Collection'!T160)),"YES","NO")</f>
        <v>YES</v>
      </c>
      <c r="AN379" s="270" t="str">
        <f>IF(ISNUMBER(SEARCH("R", 'Dry_Litterbag Placem_Collection'!T160)),"YES","NO")</f>
        <v>NO</v>
      </c>
    </row>
    <row r="380" spans="1:40" ht="15" customHeight="1">
      <c r="A380" s="262" t="s">
        <v>2659</v>
      </c>
      <c r="B380" s="263">
        <f>'Dry_Litterbag Placem_Collection'!A161</f>
        <v>159</v>
      </c>
      <c r="C380" s="263" t="str">
        <f>'Dry_Litterbag Placem_Collection'!B161</f>
        <v xml:space="preserve">Mwantimba
</v>
      </c>
      <c r="D380" s="263" t="s">
        <v>2460</v>
      </c>
      <c r="E380" s="263" t="s">
        <v>20</v>
      </c>
      <c r="F380" s="263">
        <v>4</v>
      </c>
      <c r="G380" s="264" t="str">
        <f>'Dry_Litterbag Placem_Collection'!C161</f>
        <v>Wet_P4_T7</v>
      </c>
      <c r="H380" s="265" t="s">
        <v>2541</v>
      </c>
      <c r="I380" s="272" t="s">
        <v>298</v>
      </c>
      <c r="J380" s="263" t="str">
        <f>IF(ISBLANK('Dry_Litterbag Placem_Collection'!K161),"","R"&amp;""&amp;'Dry_Litterbag Placem_Collection'!K161)</f>
        <v/>
      </c>
      <c r="K380" s="267" t="str">
        <f>IFERROR(INDEX('Green_rooibos initial weight'!$C$5:$C$1749,MATCH(J380, 'Green_rooibos initial weight'!$A$5:$A$1749,0)),"")</f>
        <v/>
      </c>
      <c r="L380" s="267" t="str">
        <f>IFERROR(K380-(TBIcalc!$Q$9+TBIcalc!$Q$10),"")</f>
        <v/>
      </c>
      <c r="M380" s="391">
        <f>AVERAGE(Ashed_controlls!$K$12:$K$14)</f>
        <v>2.2816647271287041</v>
      </c>
      <c r="N380" s="267" t="str">
        <f t="shared" si="26"/>
        <v/>
      </c>
      <c r="O380" s="267" t="str">
        <f>IF(IFERROR(INDEX('Both teabags AfterDry'!$D$3:$D$900,MATCH(J380,'Both teabags AfterDry'!$A$3:$A$900,0)),"")="","",(IFERROR(INDEX('Both teabags AfterDry'!$D$3:$D$900,MATCH(J380,'Both teabags AfterDry'!$A$3:$A$900,0)),"")))</f>
        <v/>
      </c>
      <c r="P380" s="267" t="str">
        <f>IFERROR(IF(O380&gt;0,O380-(TBIcalc!$Q$9),""),"")</f>
        <v/>
      </c>
      <c r="Q380" s="278" t="str">
        <f>IFERROR(INDEX('Ashed teabags dry'!$K$2:$K$825,MATCH(J380,'Ashed teabags dry'!$A$2:$A$825,0)),"")</f>
        <v/>
      </c>
      <c r="R380" s="278" t="str">
        <f t="shared" si="27"/>
        <v/>
      </c>
      <c r="S380" s="268">
        <f>'Dry_Litterbag Placem_Collection'!E161</f>
        <v>0</v>
      </c>
      <c r="T380" s="268" t="str">
        <f>IF('Dry_Litterbag Placem_Collection'!G161="","",'Dry_Litterbag Placem_Collection'!G161)</f>
        <v/>
      </c>
      <c r="U380" s="269" t="str">
        <f t="shared" si="25"/>
        <v/>
      </c>
      <c r="V380" s="267" t="str">
        <f t="shared" si="28"/>
        <v/>
      </c>
      <c r="W380" s="267" t="str">
        <f t="shared" si="29"/>
        <v/>
      </c>
      <c r="X380" s="271" t="str">
        <f>IFERROR(INDEX(Rainfall_Dry!$O$2:$O$217,MATCH(B380, Rainfall_Dry!$A$2:$A$217,0)),"")</f>
        <v/>
      </c>
      <c r="Y380" s="260">
        <v>27.96</v>
      </c>
      <c r="Z380" s="260">
        <v>4.9200000000000017</v>
      </c>
      <c r="AA380" s="260">
        <v>67.12</v>
      </c>
      <c r="AB380" s="261" t="s">
        <v>2670</v>
      </c>
      <c r="AC380" s="260">
        <v>7.0437161163134503</v>
      </c>
      <c r="AD380">
        <f>IF('WetLitterbags placem_collection'!AB161="","",'WetLitterbags placem_collection'!AB161)</f>
        <v>2.65</v>
      </c>
      <c r="AE380">
        <f>IF('WetLitterbags placem_collection'!Z161="","",'WetLitterbags placem_collection'!Z161)</f>
        <v>0</v>
      </c>
      <c r="AF380" s="246" t="str">
        <f>IF('WetLitterbags placem_collection'!AA161="","",'WetLitterbags placem_collection'!AA161)</f>
        <v>G</v>
      </c>
      <c r="AG380">
        <f>IF('WetLitterbags placem_collection'!AC161="","",'WetLitterbags placem_collection'!AC161)</f>
        <v>1</v>
      </c>
      <c r="AH380" t="str">
        <f>IFERROR(AVERAGE('Dry_Litterbag Placem_Collection'!O161,'Dry_Litterbag Placem_Collection'!R161),"")</f>
        <v/>
      </c>
      <c r="AI380" s="271" t="str">
        <f>IFERROR(AVERAGE('Dry_Litterbag Placem_Collection'!N161,'Dry_Litterbag Placem_Collection'!Q161),"")</f>
        <v/>
      </c>
      <c r="AJ380" s="270">
        <f>INDEX(Coordinates!$B$2:$B$197,MATCH(G380,Coordinates!$J$2:$J$197,0))</f>
        <v>-2.3676829599999998</v>
      </c>
      <c r="AK380" s="270">
        <f>INDEX(Coordinates!$C$2:$C$197,MATCH(G380,Coordinates!$J$2:$J$197,0))</f>
        <v>34.059236990000002</v>
      </c>
      <c r="AL380" s="270" t="str">
        <f>IF(ISNUMBER(SEARCH("C", 'Dry_Litterbag Placem_Collection'!T161)),"YES","NO")</f>
        <v>NO</v>
      </c>
      <c r="AM380" s="270" t="str">
        <f>IF(ISNUMBER(SEARCH("H", 'Dry_Litterbag Placem_Collection'!T161)),"YES","NO")</f>
        <v>NO</v>
      </c>
      <c r="AN380" s="270" t="str">
        <f>IF(ISNUMBER(SEARCH("R", 'Dry_Litterbag Placem_Collection'!T161)),"YES","NO")</f>
        <v>NO</v>
      </c>
    </row>
    <row r="381" spans="1:40" ht="15" customHeight="1">
      <c r="A381" s="262" t="s">
        <v>2659</v>
      </c>
      <c r="B381" s="263">
        <f>'Dry_Litterbag Placem_Collection'!A162</f>
        <v>160</v>
      </c>
      <c r="C381" s="263" t="str">
        <f>'Dry_Litterbag Placem_Collection'!B162</f>
        <v xml:space="preserve">Mwantimba
</v>
      </c>
      <c r="D381" s="263" t="s">
        <v>2460</v>
      </c>
      <c r="E381" s="263" t="s">
        <v>20</v>
      </c>
      <c r="F381" s="263">
        <v>4</v>
      </c>
      <c r="G381" s="264" t="str">
        <f>'Dry_Litterbag Placem_Collection'!C162</f>
        <v>Wet_P4_T8</v>
      </c>
      <c r="H381" s="265" t="s">
        <v>2541</v>
      </c>
      <c r="I381" s="272" t="s">
        <v>298</v>
      </c>
      <c r="J381" s="263" t="str">
        <f>IF(ISBLANK('Dry_Litterbag Placem_Collection'!K162),"","R"&amp;""&amp;'Dry_Litterbag Placem_Collection'!K162)</f>
        <v>R401</v>
      </c>
      <c r="K381" s="267">
        <f>IFERROR(INDEX('Green_rooibos initial weight'!$C$5:$C$1749,MATCH(J381, 'Green_rooibos initial weight'!$A$5:$A$1749,0)),"")</f>
        <v>2.214</v>
      </c>
      <c r="L381" s="267">
        <f>IFERROR(K381-(TBIcalc!$Q$9+TBIcalc!$Q$10),"")</f>
        <v>1.9641999999999999</v>
      </c>
      <c r="M381" s="391">
        <f>AVERAGE(Ashed_controlls!$K$12:$K$14)</f>
        <v>2.2816647271287041</v>
      </c>
      <c r="N381" s="267">
        <f t="shared" si="26"/>
        <v>1.919383541429738</v>
      </c>
      <c r="O381" s="267">
        <f>IF(IFERROR(INDEX('Both teabags AfterDry'!$D$3:$D$900,MATCH(J381,'Both teabags AfterDry'!$A$3:$A$900,0)),"")="","",(IFERROR(INDEX('Both teabags AfterDry'!$D$3:$D$900,MATCH(J381,'Both teabags AfterDry'!$A$3:$A$900,0)),"")))</f>
        <v>1.7884</v>
      </c>
      <c r="P381" s="267">
        <f>IFERROR(IF(O381&gt;0,O381-(TBIcalc!$Q$9),""),"")</f>
        <v>1.6377999999999999</v>
      </c>
      <c r="Q381" s="278">
        <f>IFERROR(INDEX('Ashed teabags dry'!$K$2:$K$825,MATCH(J381,'Ashed teabags dry'!$A$2:$A$825,0)),"")</f>
        <v>5.077369439072041</v>
      </c>
      <c r="R381" s="278">
        <f t="shared" si="27"/>
        <v>1.554642843326878</v>
      </c>
      <c r="S381" s="268">
        <f>'Dry_Litterbag Placem_Collection'!E162</f>
        <v>42939</v>
      </c>
      <c r="T381" s="268">
        <f>IF('Dry_Litterbag Placem_Collection'!G162="","",'Dry_Litterbag Placem_Collection'!G162)</f>
        <v>43010</v>
      </c>
      <c r="U381" s="269">
        <f t="shared" si="25"/>
        <v>71</v>
      </c>
      <c r="V381" s="267">
        <f t="shared" si="28"/>
        <v>0.32640000000000002</v>
      </c>
      <c r="W381" s="267">
        <f t="shared" si="29"/>
        <v>0.36474069810286003</v>
      </c>
      <c r="X381" s="271">
        <f>IFERROR(INDEX(Rainfall_Dry!$O$2:$O$217,MATCH(B381, Rainfall_Dry!$A$2:$A$217,0)),"")</f>
        <v>137.19979645800001</v>
      </c>
      <c r="Y381" s="260">
        <v>27.96</v>
      </c>
      <c r="Z381" s="260">
        <v>4.9200000000000017</v>
      </c>
      <c r="AA381" s="260">
        <v>67.12</v>
      </c>
      <c r="AB381" s="261" t="s">
        <v>2670</v>
      </c>
      <c r="AC381" s="260">
        <v>8.0437161163134494</v>
      </c>
      <c r="AD381">
        <f>IF('WetLitterbags placem_collection'!AB162="","",'WetLitterbags placem_collection'!AB162)</f>
        <v>0.8</v>
      </c>
      <c r="AE381">
        <f>IF('WetLitterbags placem_collection'!Z162="","",'WetLitterbags placem_collection'!Z162)</f>
        <v>10.8</v>
      </c>
      <c r="AF381" s="246" t="str">
        <f>IF('WetLitterbags placem_collection'!AA162="","",'WetLitterbags placem_collection'!AA162)</f>
        <v>O</v>
      </c>
      <c r="AG381">
        <f>IF('WetLitterbags placem_collection'!AC162="","",'WetLitterbags placem_collection'!AC162)</f>
        <v>0</v>
      </c>
      <c r="AH381">
        <f>IFERROR(AVERAGE('Dry_Litterbag Placem_Collection'!O162,'Dry_Litterbag Placem_Collection'!R162),"")</f>
        <v>6.25</v>
      </c>
      <c r="AI381" s="271">
        <f>IFERROR(AVERAGE('Dry_Litterbag Placem_Collection'!N162,'Dry_Litterbag Placem_Collection'!Q162),"")</f>
        <v>29.200000000000003</v>
      </c>
      <c r="AJ381" s="270">
        <f>INDEX(Coordinates!$B$2:$B$197,MATCH(G381,Coordinates!$J$2:$J$197,0))</f>
        <v>-2.367547005</v>
      </c>
      <c r="AK381" s="270">
        <f>INDEX(Coordinates!$C$2:$C$197,MATCH(G381,Coordinates!$J$2:$J$197,0))</f>
        <v>34.059494989999997</v>
      </c>
      <c r="AL381" s="270" t="str">
        <f>IF(ISNUMBER(SEARCH("C", 'Dry_Litterbag Placem_Collection'!T162)),"YES","NO")</f>
        <v>NO</v>
      </c>
      <c r="AM381" s="270" t="str">
        <f>IF(ISNUMBER(SEARCH("H", 'Dry_Litterbag Placem_Collection'!T162)),"YES","NO")</f>
        <v>YES</v>
      </c>
      <c r="AN381" s="270" t="str">
        <f>IF(ISNUMBER(SEARCH("R", 'Dry_Litterbag Placem_Collection'!T162)),"YES","NO")</f>
        <v>NO</v>
      </c>
    </row>
    <row r="382" spans="1:40" ht="15" customHeight="1">
      <c r="A382" s="262" t="s">
        <v>2659</v>
      </c>
      <c r="B382" s="263">
        <f>'Dry_Litterbag Placem_Collection'!A163</f>
        <v>161</v>
      </c>
      <c r="C382" s="263" t="str">
        <f>'Dry_Litterbag Placem_Collection'!B163</f>
        <v>Handajega</v>
      </c>
      <c r="D382" s="263" t="s">
        <v>2460</v>
      </c>
      <c r="E382" s="263" t="s">
        <v>2661</v>
      </c>
      <c r="F382" s="263">
        <v>1</v>
      </c>
      <c r="G382" s="264" t="str">
        <f>'Dry_Litterbag Placem_Collection'!C163</f>
        <v>Wet_W1_T1</v>
      </c>
      <c r="H382" s="265" t="s">
        <v>2541</v>
      </c>
      <c r="I382" s="272" t="s">
        <v>298</v>
      </c>
      <c r="J382" s="263" t="str">
        <f>IF(ISBLANK('Dry_Litterbag Placem_Collection'!K163),"","R"&amp;""&amp;'Dry_Litterbag Placem_Collection'!K163)</f>
        <v>R673</v>
      </c>
      <c r="K382" s="267">
        <f>IFERROR(INDEX('Green_rooibos initial weight'!$C$5:$C$1749,MATCH(J382, 'Green_rooibos initial weight'!$A$5:$A$1749,0)),"")</f>
        <v>2.121</v>
      </c>
      <c r="L382" s="267">
        <f>IFERROR(K382-(TBIcalc!$Q$9+TBIcalc!$Q$10),"")</f>
        <v>1.8712</v>
      </c>
      <c r="M382" s="391">
        <f>AVERAGE(Ashed_controlls!$K$12:$K$14)</f>
        <v>2.2816647271287041</v>
      </c>
      <c r="N382" s="267">
        <f t="shared" si="26"/>
        <v>1.8285054896259676</v>
      </c>
      <c r="O382" s="267">
        <f>IF(IFERROR(INDEX('Both teabags AfterDry'!$D$3:$D$900,MATCH(J382,'Both teabags AfterDry'!$A$3:$A$900,0)),"")="","",(IFERROR(INDEX('Both teabags AfterDry'!$D$3:$D$900,MATCH(J382,'Both teabags AfterDry'!$A$3:$A$900,0)),"")))</f>
        <v>1.1623000000000001</v>
      </c>
      <c r="P382" s="267">
        <f>IFERROR(IF(O382&gt;0,O382-(TBIcalc!$Q$9),""),"")</f>
        <v>1.0117</v>
      </c>
      <c r="Q382" s="278">
        <f>IFERROR(INDEX('Ashed teabags dry'!$K$2:$K$825,MATCH(J382,'Ashed teabags dry'!$A$2:$A$825,0)),"")</f>
        <v>32.285429141716598</v>
      </c>
      <c r="R382" s="278">
        <f t="shared" si="27"/>
        <v>0.68506831337325313</v>
      </c>
      <c r="S382" s="268">
        <f>'Dry_Litterbag Placem_Collection'!E163</f>
        <v>42940</v>
      </c>
      <c r="T382" s="268">
        <f>IF('Dry_Litterbag Placem_Collection'!G163="","",'Dry_Litterbag Placem_Collection'!G163)</f>
        <v>43009</v>
      </c>
      <c r="U382" s="269">
        <f t="shared" si="25"/>
        <v>69</v>
      </c>
      <c r="V382" s="267">
        <f t="shared" si="28"/>
        <v>0.85949999999999993</v>
      </c>
      <c r="W382" s="267">
        <f t="shared" si="29"/>
        <v>1.1434371762527145</v>
      </c>
      <c r="X382" s="271">
        <f>IFERROR(INDEX(Rainfall_Dry!$O$2:$O$217,MATCH(B382, Rainfall_Dry!$A$2:$A$217,0)),"")</f>
        <v>162.634207253</v>
      </c>
      <c r="Y382" s="260">
        <v>21.96</v>
      </c>
      <c r="Z382" s="260">
        <v>4.9199999999999982</v>
      </c>
      <c r="AA382" s="260">
        <v>73.12</v>
      </c>
      <c r="AB382" s="261" t="s">
        <v>2670</v>
      </c>
      <c r="AC382" s="260">
        <v>1.2416954164613114</v>
      </c>
      <c r="AD382">
        <f>IF('WetLitterbags placem_collection'!AB163="","",'WetLitterbags placem_collection'!AB163)</f>
        <v>7.6</v>
      </c>
      <c r="AE382">
        <f>IF('WetLitterbags placem_collection'!Z163="","",'WetLitterbags placem_collection'!Z163)</f>
        <v>35.799999999999997</v>
      </c>
      <c r="AF382" s="246" t="str">
        <f>IF('WetLitterbags placem_collection'!AA163="","",'WetLitterbags placem_collection'!AA163)</f>
        <v>M</v>
      </c>
      <c r="AG382">
        <f>IF('WetLitterbags placem_collection'!AC163="","",'WetLitterbags placem_collection'!AC163)</f>
        <v>0</v>
      </c>
      <c r="AH382">
        <f>IFERROR(AVERAGE('Dry_Litterbag Placem_Collection'!O163,'Dry_Litterbag Placem_Collection'!R163),"")</f>
        <v>5.65</v>
      </c>
      <c r="AI382" s="271">
        <f>IFERROR(AVERAGE('Dry_Litterbag Placem_Collection'!N163,'Dry_Litterbag Placem_Collection'!Q163),"")</f>
        <v>31.7</v>
      </c>
      <c r="AJ382" s="270">
        <f>INDEX(Coordinates!$B$2:$B$197,MATCH(G382,Coordinates!$J$2:$J$197,0))</f>
        <v>-2.272751033</v>
      </c>
      <c r="AK382" s="270">
        <f>INDEX(Coordinates!$C$2:$C$197,MATCH(G382,Coordinates!$J$2:$J$197,0))</f>
        <v>34.023176030000002</v>
      </c>
      <c r="AL382" s="270" t="str">
        <f>IF(ISNUMBER(SEARCH("C", 'Dry_Litterbag Placem_Collection'!T163)),"YES","NO")</f>
        <v>NO</v>
      </c>
      <c r="AM382" s="270" t="str">
        <f>IF(ISNUMBER(SEARCH("H", 'Dry_Litterbag Placem_Collection'!T163)),"YES","NO")</f>
        <v>YES</v>
      </c>
      <c r="AN382" s="270" t="str">
        <f>IF(ISNUMBER(SEARCH("R", 'Dry_Litterbag Placem_Collection'!T163)),"YES","NO")</f>
        <v>NO</v>
      </c>
    </row>
    <row r="383" spans="1:40" ht="15" customHeight="1">
      <c r="A383" s="262" t="s">
        <v>2659</v>
      </c>
      <c r="B383" s="263">
        <f>'Dry_Litterbag Placem_Collection'!A164</f>
        <v>162</v>
      </c>
      <c r="C383" s="263" t="str">
        <f>'Dry_Litterbag Placem_Collection'!B164</f>
        <v>Handajega</v>
      </c>
      <c r="D383" s="263" t="s">
        <v>2460</v>
      </c>
      <c r="E383" s="263" t="s">
        <v>2661</v>
      </c>
      <c r="F383" s="263">
        <v>1</v>
      </c>
      <c r="G383" s="264" t="str">
        <f>'Dry_Litterbag Placem_Collection'!C164</f>
        <v>Wet_W1_T2</v>
      </c>
      <c r="H383" s="265" t="s">
        <v>2541</v>
      </c>
      <c r="I383" s="272" t="s">
        <v>298</v>
      </c>
      <c r="J383" s="263" t="str">
        <f>IF(ISBLANK('Dry_Litterbag Placem_Collection'!K164),"","R"&amp;""&amp;'Dry_Litterbag Placem_Collection'!K164)</f>
        <v>R814</v>
      </c>
      <c r="K383" s="267">
        <f>IFERROR(INDEX('Green_rooibos initial weight'!$C$5:$C$1749,MATCH(J383, 'Green_rooibos initial weight'!$A$5:$A$1749,0)),"")</f>
        <v>2.2210000000000001</v>
      </c>
      <c r="L383" s="267">
        <f>IFERROR(K383-(TBIcalc!$Q$9+TBIcalc!$Q$10),"")</f>
        <v>1.9712000000000001</v>
      </c>
      <c r="M383" s="391">
        <f>AVERAGE(Ashed_controlls!$K$12:$K$14)</f>
        <v>2.2816647271287041</v>
      </c>
      <c r="N383" s="267">
        <f t="shared" si="26"/>
        <v>1.926223824898839</v>
      </c>
      <c r="O383" s="267">
        <f>IF(IFERROR(INDEX('Both teabags AfterDry'!$D$3:$D$900,MATCH(J383,'Both teabags AfterDry'!$A$3:$A$900,0)),"")="","",(IFERROR(INDEX('Both teabags AfterDry'!$D$3:$D$900,MATCH(J383,'Both teabags AfterDry'!$A$3:$A$900,0)),"")))</f>
        <v>2.4714999999999998</v>
      </c>
      <c r="P383" s="267">
        <f>IFERROR(IF(O383&gt;0,O383-(TBIcalc!$Q$9),""),"")</f>
        <v>2.3209</v>
      </c>
      <c r="Q383" s="278">
        <f>IFERROR(INDEX('Ashed teabags dry'!$K$2:$K$825,MATCH(J383,'Ashed teabags dry'!$A$2:$A$825,0)),"")</f>
        <v>91.237322515213222</v>
      </c>
      <c r="R383" s="278">
        <f t="shared" si="27"/>
        <v>0.20337298174441631</v>
      </c>
      <c r="S383" s="268">
        <f>'Dry_Litterbag Placem_Collection'!E164</f>
        <v>42940</v>
      </c>
      <c r="T383" s="268">
        <f>IF('Dry_Litterbag Placem_Collection'!G164="","",'Dry_Litterbag Placem_Collection'!G164)</f>
        <v>43009</v>
      </c>
      <c r="U383" s="269">
        <f t="shared" si="25"/>
        <v>69</v>
      </c>
      <c r="V383" s="267">
        <f t="shared" si="28"/>
        <v>-0.3496999999999999</v>
      </c>
      <c r="W383" s="267">
        <f t="shared" si="29"/>
        <v>1.7228508431544227</v>
      </c>
      <c r="X383" s="271">
        <f>IFERROR(INDEX(Rainfall_Dry!$O$2:$O$217,MATCH(B383, Rainfall_Dry!$A$2:$A$217,0)),"")</f>
        <v>162.634207253</v>
      </c>
      <c r="Y383" s="260">
        <v>21.96</v>
      </c>
      <c r="Z383" s="260">
        <v>4.9199999999999982</v>
      </c>
      <c r="AA383" s="260">
        <v>73.12</v>
      </c>
      <c r="AB383" s="261" t="s">
        <v>2670</v>
      </c>
      <c r="AC383" s="260">
        <v>2.2416954164613099</v>
      </c>
      <c r="AD383">
        <f>IF('WetLitterbags placem_collection'!AB164="","",'WetLitterbags placem_collection'!AB164)</f>
        <v>4.0999999999999996</v>
      </c>
      <c r="AE383">
        <f>IF('WetLitterbags placem_collection'!Z164="","",'WetLitterbags placem_collection'!Z164)</f>
        <v>31.4</v>
      </c>
      <c r="AF383" s="246" t="str">
        <f>IF('WetLitterbags placem_collection'!AA164="","",'WetLitterbags placem_collection'!AA164)</f>
        <v>M</v>
      </c>
      <c r="AG383">
        <f>IF('WetLitterbags placem_collection'!AC164="","",'WetLitterbags placem_collection'!AC164)</f>
        <v>0</v>
      </c>
      <c r="AH383">
        <f>IFERROR(AVERAGE('Dry_Litterbag Placem_Collection'!O164,'Dry_Litterbag Placem_Collection'!R164),"")</f>
        <v>4.4499999999999993</v>
      </c>
      <c r="AI383" s="271">
        <f>IFERROR(AVERAGE('Dry_Litterbag Placem_Collection'!N164,'Dry_Litterbag Placem_Collection'!Q164),"")</f>
        <v>31.650000000000002</v>
      </c>
      <c r="AJ383" s="270">
        <f>INDEX(Coordinates!$B$2:$B$197,MATCH(G383,Coordinates!$J$2:$J$197,0))</f>
        <v>-2.2727060219999999</v>
      </c>
      <c r="AK383" s="270">
        <f>INDEX(Coordinates!$C$2:$C$197,MATCH(G383,Coordinates!$J$2:$J$197,0))</f>
        <v>34.023162030000002</v>
      </c>
      <c r="AL383" s="270" t="str">
        <f>IF(ISNUMBER(SEARCH("C", 'Dry_Litterbag Placem_Collection'!T164)),"YES","NO")</f>
        <v>YES</v>
      </c>
      <c r="AM383" s="270" t="str">
        <f>IF(ISNUMBER(SEARCH("H", 'Dry_Litterbag Placem_Collection'!T164)),"YES","NO")</f>
        <v>YES</v>
      </c>
      <c r="AN383" s="270" t="str">
        <f>IF(ISNUMBER(SEARCH("R", 'Dry_Litterbag Placem_Collection'!T164)),"YES","NO")</f>
        <v>NO</v>
      </c>
    </row>
    <row r="384" spans="1:40" ht="15" customHeight="1">
      <c r="A384" s="262" t="s">
        <v>2659</v>
      </c>
      <c r="B384" s="263">
        <f>'Dry_Litterbag Placem_Collection'!A165</f>
        <v>163</v>
      </c>
      <c r="C384" s="263" t="str">
        <f>'Dry_Litterbag Placem_Collection'!B165</f>
        <v>Handajega</v>
      </c>
      <c r="D384" s="263" t="s">
        <v>2460</v>
      </c>
      <c r="E384" s="263" t="s">
        <v>2661</v>
      </c>
      <c r="F384" s="263">
        <v>1</v>
      </c>
      <c r="G384" s="264" t="str">
        <f>'Dry_Litterbag Placem_Collection'!C165</f>
        <v>Wet_W1_T3</v>
      </c>
      <c r="H384" s="265" t="s">
        <v>2541</v>
      </c>
      <c r="I384" s="272" t="s">
        <v>298</v>
      </c>
      <c r="J384" s="263" t="str">
        <f>IF(ISBLANK('Dry_Litterbag Placem_Collection'!K165),"","R"&amp;""&amp;'Dry_Litterbag Placem_Collection'!K165)</f>
        <v>R615</v>
      </c>
      <c r="K384" s="267">
        <f>IFERROR(INDEX('Green_rooibos initial weight'!$C$5:$C$1749,MATCH(J384, 'Green_rooibos initial weight'!$A$5:$A$1749,0)),"")</f>
        <v>2.157</v>
      </c>
      <c r="L384" s="267">
        <f>IFERROR(K384-(TBIcalc!$Q$9+TBIcalc!$Q$10),"")</f>
        <v>1.9072</v>
      </c>
      <c r="M384" s="391">
        <f>AVERAGE(Ashed_controlls!$K$12:$K$14)</f>
        <v>2.2816647271287041</v>
      </c>
      <c r="N384" s="267">
        <f t="shared" si="26"/>
        <v>1.8636840903242013</v>
      </c>
      <c r="O384" s="267">
        <f>IF(IFERROR(INDEX('Both teabags AfterDry'!$D$3:$D$900,MATCH(J384,'Both teabags AfterDry'!$A$3:$A$900,0)),"")="","",(IFERROR(INDEX('Both teabags AfterDry'!$D$3:$D$900,MATCH(J384,'Both teabags AfterDry'!$A$3:$A$900,0)),"")))</f>
        <v>1.4872000000000001</v>
      </c>
      <c r="P384" s="267">
        <f>IFERROR(IF(O384&gt;0,O384-(TBIcalc!$Q$9),""),"")</f>
        <v>1.3366</v>
      </c>
      <c r="Q384" s="278">
        <f>IFERROR(INDEX('Ashed teabags dry'!$K$2:$K$825,MATCH(J384,'Ashed teabags dry'!$A$2:$A$825,0)),"")</f>
        <v>30.154767848227259</v>
      </c>
      <c r="R384" s="278">
        <f t="shared" si="27"/>
        <v>0.93355137294059443</v>
      </c>
      <c r="S384" s="268">
        <f>'Dry_Litterbag Placem_Collection'!E165</f>
        <v>42940</v>
      </c>
      <c r="T384" s="268">
        <f>IF('Dry_Litterbag Placem_Collection'!G165="","",'Dry_Litterbag Placem_Collection'!G165)</f>
        <v>43009</v>
      </c>
      <c r="U384" s="269">
        <f t="shared" si="25"/>
        <v>69</v>
      </c>
      <c r="V384" s="267">
        <f t="shared" si="28"/>
        <v>0.5706</v>
      </c>
      <c r="W384" s="267">
        <f t="shared" si="29"/>
        <v>0.93013271738360692</v>
      </c>
      <c r="X384" s="271">
        <f>IFERROR(INDEX(Rainfall_Dry!$O$2:$O$217,MATCH(B384, Rainfall_Dry!$A$2:$A$217,0)),"")</f>
        <v>162.634207253</v>
      </c>
      <c r="Y384" s="260">
        <v>21.96</v>
      </c>
      <c r="Z384" s="260">
        <v>4.9199999999999982</v>
      </c>
      <c r="AA384" s="260">
        <v>73.12</v>
      </c>
      <c r="AB384" s="261" t="s">
        <v>2670</v>
      </c>
      <c r="AC384" s="260">
        <v>3.2416954164613099</v>
      </c>
      <c r="AD384">
        <f>IF('WetLitterbags placem_collection'!AB165="","",'WetLitterbags placem_collection'!AB165)</f>
        <v>7.8</v>
      </c>
      <c r="AE384">
        <f>IF('WetLitterbags placem_collection'!Z165="","",'WetLitterbags placem_collection'!Z165)</f>
        <v>28.8</v>
      </c>
      <c r="AF384" s="246" t="str">
        <f>IF('WetLitterbags placem_collection'!AA165="","",'WetLitterbags placem_collection'!AA165)</f>
        <v>M</v>
      </c>
      <c r="AG384">
        <f>IF('WetLitterbags placem_collection'!AC165="","",'WetLitterbags placem_collection'!AC165)</f>
        <v>0</v>
      </c>
      <c r="AH384">
        <f>IFERROR(AVERAGE('Dry_Litterbag Placem_Collection'!O165,'Dry_Litterbag Placem_Collection'!R165),"")</f>
        <v>4.45</v>
      </c>
      <c r="AI384" s="271">
        <f>IFERROR(AVERAGE('Dry_Litterbag Placem_Collection'!N165,'Dry_Litterbag Placem_Collection'!Q165),"")</f>
        <v>32.75</v>
      </c>
      <c r="AJ384" s="270">
        <f>INDEX(Coordinates!$B$2:$B$197,MATCH(G384,Coordinates!$J$2:$J$197,0))</f>
        <v>-2.2726719919999998</v>
      </c>
      <c r="AK384" s="270">
        <f>INDEX(Coordinates!$C$2:$C$197,MATCH(G384,Coordinates!$J$2:$J$197,0))</f>
        <v>34.023210980000002</v>
      </c>
      <c r="AL384" s="270" t="str">
        <f>IF(ISNUMBER(SEARCH("C", 'Dry_Litterbag Placem_Collection'!T165)),"YES","NO")</f>
        <v>NO</v>
      </c>
      <c r="AM384" s="270" t="str">
        <f>IF(ISNUMBER(SEARCH("H", 'Dry_Litterbag Placem_Collection'!T165)),"YES","NO")</f>
        <v>YES</v>
      </c>
      <c r="AN384" s="270" t="str">
        <f>IF(ISNUMBER(SEARCH("R", 'Dry_Litterbag Placem_Collection'!T165)),"YES","NO")</f>
        <v>NO</v>
      </c>
    </row>
    <row r="385" spans="1:40" ht="15" customHeight="1">
      <c r="A385" s="262" t="s">
        <v>2659</v>
      </c>
      <c r="B385" s="263">
        <f>'Dry_Litterbag Placem_Collection'!A166</f>
        <v>164</v>
      </c>
      <c r="C385" s="263" t="str">
        <f>'Dry_Litterbag Placem_Collection'!B166</f>
        <v>Handajega</v>
      </c>
      <c r="D385" s="263" t="s">
        <v>2460</v>
      </c>
      <c r="E385" s="263" t="s">
        <v>2661</v>
      </c>
      <c r="F385" s="263">
        <v>1</v>
      </c>
      <c r="G385" s="264" t="str">
        <f>'Dry_Litterbag Placem_Collection'!C166</f>
        <v>Wet_W1_T4</v>
      </c>
      <c r="H385" s="265" t="s">
        <v>2541</v>
      </c>
      <c r="I385" s="272" t="s">
        <v>298</v>
      </c>
      <c r="J385" s="263" t="str">
        <f>IF(ISBLANK('Dry_Litterbag Placem_Collection'!K166),"","R"&amp;""&amp;'Dry_Litterbag Placem_Collection'!K166)</f>
        <v>R514</v>
      </c>
      <c r="K385" s="267">
        <f>IFERROR(INDEX('Green_rooibos initial weight'!$C$5:$C$1749,MATCH(J385, 'Green_rooibos initial weight'!$A$5:$A$1749,0)),"")</f>
        <v>2.1059999999999999</v>
      </c>
      <c r="L385" s="267">
        <f>IFERROR(K385-(TBIcalc!$Q$9+TBIcalc!$Q$10),"")</f>
        <v>1.8561999999999999</v>
      </c>
      <c r="M385" s="391">
        <f>AVERAGE(Ashed_controlls!$K$12:$K$14)</f>
        <v>2.2816647271287041</v>
      </c>
      <c r="N385" s="267">
        <f t="shared" si="26"/>
        <v>1.8138477393350367</v>
      </c>
      <c r="O385" s="267">
        <f>IF(IFERROR(INDEX('Both teabags AfterDry'!$D$3:$D$900,MATCH(J385,'Both teabags AfterDry'!$A$3:$A$900,0)),"")="","",(IFERROR(INDEX('Both teabags AfterDry'!$D$3:$D$900,MATCH(J385,'Both teabags AfterDry'!$A$3:$A$900,0)),"")))</f>
        <v>1.8293999999999999</v>
      </c>
      <c r="P385" s="267">
        <f>IFERROR(IF(O385&gt;0,O385-(TBIcalc!$Q$9),""),"")</f>
        <v>1.6787999999999998</v>
      </c>
      <c r="Q385" s="278">
        <f>IFERROR(INDEX('Ashed teabags dry'!$K$2:$K$825,MATCH(J385,'Ashed teabags dry'!$A$2:$A$825,0)),"")</f>
        <v>11.27856101118171</v>
      </c>
      <c r="R385" s="278">
        <f t="shared" si="27"/>
        <v>1.4894555177442814</v>
      </c>
      <c r="S385" s="268">
        <f>'Dry_Litterbag Placem_Collection'!E166</f>
        <v>42940</v>
      </c>
      <c r="T385" s="268">
        <f>IF('Dry_Litterbag Placem_Collection'!G166="","",'Dry_Litterbag Placem_Collection'!G166)</f>
        <v>43009</v>
      </c>
      <c r="U385" s="269">
        <f t="shared" si="25"/>
        <v>69</v>
      </c>
      <c r="V385" s="267">
        <f t="shared" si="28"/>
        <v>0.1774</v>
      </c>
      <c r="W385" s="267">
        <f t="shared" si="29"/>
        <v>0.32439222159075531</v>
      </c>
      <c r="X385" s="271">
        <f>IFERROR(INDEX(Rainfall_Dry!$O$2:$O$217,MATCH(B385, Rainfall_Dry!$A$2:$A$217,0)),"")</f>
        <v>162.634207253</v>
      </c>
      <c r="Y385" s="260">
        <v>21.96</v>
      </c>
      <c r="Z385" s="260">
        <v>4.9199999999999982</v>
      </c>
      <c r="AA385" s="260">
        <v>73.12</v>
      </c>
      <c r="AB385" s="261" t="s">
        <v>2670</v>
      </c>
      <c r="AC385" s="260">
        <v>4.2416954164613099</v>
      </c>
      <c r="AD385">
        <f>IF('WetLitterbags placem_collection'!AB166="","",'WetLitterbags placem_collection'!AB166)</f>
        <v>9.5</v>
      </c>
      <c r="AE385">
        <f>IF('WetLitterbags placem_collection'!Z166="","",'WetLitterbags placem_collection'!Z166)</f>
        <v>20.8</v>
      </c>
      <c r="AF385" s="246" t="str">
        <f>IF('WetLitterbags placem_collection'!AA166="","",'WetLitterbags placem_collection'!AA166)</f>
        <v>M</v>
      </c>
      <c r="AG385">
        <f>IF('WetLitterbags placem_collection'!AC166="","",'WetLitterbags placem_collection'!AC166)</f>
        <v>0</v>
      </c>
      <c r="AH385">
        <f>IFERROR(AVERAGE('Dry_Litterbag Placem_Collection'!O166,'Dry_Litterbag Placem_Collection'!R166),"")</f>
        <v>5.0500000000000007</v>
      </c>
      <c r="AI385" s="271">
        <f>IFERROR(AVERAGE('Dry_Litterbag Placem_Collection'!N166,'Dry_Litterbag Placem_Collection'!Q166),"")</f>
        <v>31.3</v>
      </c>
      <c r="AJ385" s="270">
        <f>INDEX(Coordinates!$B$2:$B$197,MATCH(G385,Coordinates!$J$2:$J$197,0))</f>
        <v>-2.2726180130000002</v>
      </c>
      <c r="AK385" s="270">
        <f>INDEX(Coordinates!$C$2:$C$197,MATCH(G385,Coordinates!$J$2:$J$197,0))</f>
        <v>34.023212999999998</v>
      </c>
      <c r="AL385" s="270" t="str">
        <f>IF(ISNUMBER(SEARCH("C", 'Dry_Litterbag Placem_Collection'!T166)),"YES","NO")</f>
        <v>NO</v>
      </c>
      <c r="AM385" s="270" t="str">
        <f>IF(ISNUMBER(SEARCH("H", 'Dry_Litterbag Placem_Collection'!T166)),"YES","NO")</f>
        <v>NO</v>
      </c>
      <c r="AN385" s="270" t="str">
        <f>IF(ISNUMBER(SEARCH("R", 'Dry_Litterbag Placem_Collection'!T166)),"YES","NO")</f>
        <v>NO</v>
      </c>
    </row>
    <row r="386" spans="1:40" ht="15" customHeight="1">
      <c r="A386" s="262" t="s">
        <v>2659</v>
      </c>
      <c r="B386" s="263">
        <f>'Dry_Litterbag Placem_Collection'!A167</f>
        <v>165</v>
      </c>
      <c r="C386" s="263" t="str">
        <f>'Dry_Litterbag Placem_Collection'!B167</f>
        <v>Handajega</v>
      </c>
      <c r="D386" s="263" t="s">
        <v>2460</v>
      </c>
      <c r="E386" s="263" t="s">
        <v>2661</v>
      </c>
      <c r="F386" s="263">
        <v>1</v>
      </c>
      <c r="G386" s="264" t="str">
        <f>'Dry_Litterbag Placem_Collection'!C167</f>
        <v>Wet_W1_T5</v>
      </c>
      <c r="H386" s="265" t="s">
        <v>2541</v>
      </c>
      <c r="I386" s="272" t="s">
        <v>298</v>
      </c>
      <c r="J386" s="263" t="str">
        <f>IF(ISBLANK('Dry_Litterbag Placem_Collection'!K167),"","R"&amp;""&amp;'Dry_Litterbag Placem_Collection'!K167)</f>
        <v>R127</v>
      </c>
      <c r="K386" s="267">
        <f>IFERROR(INDEX('Green_rooibos initial weight'!$C$5:$C$1749,MATCH(J386, 'Green_rooibos initial weight'!$A$5:$A$1749,0)),"")</f>
        <v>2.1869999999999998</v>
      </c>
      <c r="L386" s="267">
        <f>IFERROR(K386-(TBIcalc!$Q$9+TBIcalc!$Q$10),"")</f>
        <v>1.9371999999999998</v>
      </c>
      <c r="M386" s="391">
        <f>AVERAGE(Ashed_controlls!$K$12:$K$14)</f>
        <v>2.2816647271287041</v>
      </c>
      <c r="N386" s="267">
        <f t="shared" si="26"/>
        <v>1.8929995909060626</v>
      </c>
      <c r="O386" s="267">
        <f>IF(IFERROR(INDEX('Both teabags AfterDry'!$D$3:$D$900,MATCH(J386,'Both teabags AfterDry'!$A$3:$A$900,0)),"")="","",(IFERROR(INDEX('Both teabags AfterDry'!$D$3:$D$900,MATCH(J386,'Both teabags AfterDry'!$A$3:$A$900,0)),"")))</f>
        <v>1.7946</v>
      </c>
      <c r="P386" s="267">
        <f>IFERROR(IF(O386&gt;0,O386-(TBIcalc!$Q$9),""),"")</f>
        <v>1.6439999999999999</v>
      </c>
      <c r="Q386" s="278">
        <f>IFERROR(INDEX('Ashed teabags dry'!$K$2:$K$825,MATCH(J386,'Ashed teabags dry'!$A$2:$A$825,0)),"")</f>
        <v>16.392649903288074</v>
      </c>
      <c r="R386" s="278">
        <f t="shared" si="27"/>
        <v>1.3745048355899441</v>
      </c>
      <c r="S386" s="268">
        <f>'Dry_Litterbag Placem_Collection'!E167</f>
        <v>42940</v>
      </c>
      <c r="T386" s="268">
        <f>IF('Dry_Litterbag Placem_Collection'!G167="","",'Dry_Litterbag Placem_Collection'!G167)</f>
        <v>43009</v>
      </c>
      <c r="U386" s="269">
        <f t="shared" ref="U386:U449" si="30">IFERROR(T386-S386,"")</f>
        <v>69</v>
      </c>
      <c r="V386" s="267">
        <f t="shared" si="28"/>
        <v>0.29319999999999991</v>
      </c>
      <c r="W386" s="267">
        <f t="shared" si="29"/>
        <v>0.51849475531611855</v>
      </c>
      <c r="X386" s="271">
        <f>IFERROR(INDEX(Rainfall_Dry!$O$2:$O$217,MATCH(B386, Rainfall_Dry!$A$2:$A$217,0)),"")</f>
        <v>162.634207253</v>
      </c>
      <c r="Y386" s="260">
        <v>21.96</v>
      </c>
      <c r="Z386" s="260">
        <v>4.9199999999999982</v>
      </c>
      <c r="AA386" s="260">
        <v>73.12</v>
      </c>
      <c r="AB386" s="261" t="s">
        <v>2670</v>
      </c>
      <c r="AC386" s="260">
        <v>5.2416954164613099</v>
      </c>
      <c r="AD386">
        <f>IF('WetLitterbags placem_collection'!AB167="","",'WetLitterbags placem_collection'!AB167)</f>
        <v>10.4</v>
      </c>
      <c r="AE386">
        <f>IF('WetLitterbags placem_collection'!Z167="","",'WetLitterbags placem_collection'!Z167)</f>
        <v>13.8</v>
      </c>
      <c r="AF386" s="246" t="str">
        <f>IF('WetLitterbags placem_collection'!AA167="","",'WetLitterbags placem_collection'!AA167)</f>
        <v>M</v>
      </c>
      <c r="AG386">
        <f>IF('WetLitterbags placem_collection'!AC167="","",'WetLitterbags placem_collection'!AC167)</f>
        <v>0</v>
      </c>
      <c r="AH386">
        <f>IFERROR(AVERAGE('Dry_Litterbag Placem_Collection'!O167,'Dry_Litterbag Placem_Collection'!R167),"")</f>
        <v>5.3000000000000007</v>
      </c>
      <c r="AI386" s="271">
        <f>IFERROR(AVERAGE('Dry_Litterbag Placem_Collection'!N167,'Dry_Litterbag Placem_Collection'!Q167),"")</f>
        <v>32.049999999999997</v>
      </c>
      <c r="AJ386" s="270">
        <f>INDEX(Coordinates!$B$2:$B$197,MATCH(G386,Coordinates!$J$2:$J$197,0))</f>
        <v>-2.2724750170000001</v>
      </c>
      <c r="AK386" s="270">
        <f>INDEX(Coordinates!$C$2:$C$197,MATCH(G386,Coordinates!$J$2:$J$197,0))</f>
        <v>34.02334501</v>
      </c>
      <c r="AL386" s="270" t="str">
        <f>IF(ISNUMBER(SEARCH("C", 'Dry_Litterbag Placem_Collection'!T167)),"YES","NO")</f>
        <v>NO</v>
      </c>
      <c r="AM386" s="270" t="str">
        <f>IF(ISNUMBER(SEARCH("H", 'Dry_Litterbag Placem_Collection'!T167)),"YES","NO")</f>
        <v>NO</v>
      </c>
      <c r="AN386" s="270" t="str">
        <f>IF(ISNUMBER(SEARCH("R", 'Dry_Litterbag Placem_Collection'!T167)),"YES","NO")</f>
        <v>NO</v>
      </c>
    </row>
    <row r="387" spans="1:40" ht="15" customHeight="1">
      <c r="A387" s="262" t="s">
        <v>2659</v>
      </c>
      <c r="B387" s="263">
        <f>'Dry_Litterbag Placem_Collection'!A168</f>
        <v>166</v>
      </c>
      <c r="C387" s="263" t="str">
        <f>'Dry_Litterbag Placem_Collection'!B168</f>
        <v>Handajega</v>
      </c>
      <c r="D387" s="263" t="s">
        <v>2460</v>
      </c>
      <c r="E387" s="263" t="s">
        <v>2661</v>
      </c>
      <c r="F387" s="263">
        <v>1</v>
      </c>
      <c r="G387" s="264" t="str">
        <f>'Dry_Litterbag Placem_Collection'!C168</f>
        <v>Wet_W1_T6</v>
      </c>
      <c r="H387" s="265" t="s">
        <v>2541</v>
      </c>
      <c r="I387" s="272" t="s">
        <v>298</v>
      </c>
      <c r="J387" s="263" t="str">
        <f>IF(ISBLANK('Dry_Litterbag Placem_Collection'!K168),"","R"&amp;""&amp;'Dry_Litterbag Placem_Collection'!K168)</f>
        <v>R752</v>
      </c>
      <c r="K387" s="267">
        <f>IFERROR(INDEX('Green_rooibos initial weight'!$C$5:$C$1749,MATCH(J387, 'Green_rooibos initial weight'!$A$5:$A$1749,0)),"")</f>
        <v>2.1970000000000001</v>
      </c>
      <c r="L387" s="267">
        <f>IFERROR(K387-(TBIcalc!$Q$9+TBIcalc!$Q$10),"")</f>
        <v>1.9472</v>
      </c>
      <c r="M387" s="391">
        <f>AVERAGE(Ashed_controlls!$K$12:$K$14)</f>
        <v>2.2816647271287041</v>
      </c>
      <c r="N387" s="267">
        <f t="shared" ref="N387:N450" si="31">IFERROR(L387-(M387/100)*L387,"")</f>
        <v>1.90277142443335</v>
      </c>
      <c r="O387" s="267">
        <f>IF(IFERROR(INDEX('Both teabags AfterDry'!$D$3:$D$900,MATCH(J387,'Both teabags AfterDry'!$A$3:$A$900,0)),"")="","",(IFERROR(INDEX('Both teabags AfterDry'!$D$3:$D$900,MATCH(J387,'Both teabags AfterDry'!$A$3:$A$900,0)),"")))</f>
        <v>1.6897</v>
      </c>
      <c r="P387" s="267">
        <f>IFERROR(IF(O387&gt;0,O387-(TBIcalc!$Q$9),""),"")</f>
        <v>1.5390999999999999</v>
      </c>
      <c r="Q387" s="278">
        <f>IFERROR(INDEX('Ashed teabags dry'!$K$2:$K$825,MATCH(J387,'Ashed teabags dry'!$A$2:$A$825,0)),"")</f>
        <v>8.4949215143121215</v>
      </c>
      <c r="R387" s="278">
        <f t="shared" ref="R387:R450" si="32">IFERROR(P387-(Q387/100)*P387,"")</f>
        <v>1.408354662973222</v>
      </c>
      <c r="S387" s="268">
        <f>'Dry_Litterbag Placem_Collection'!E168</f>
        <v>42940</v>
      </c>
      <c r="T387" s="268">
        <f>IF('Dry_Litterbag Placem_Collection'!G168="","",'Dry_Litterbag Placem_Collection'!G168)</f>
        <v>43009</v>
      </c>
      <c r="U387" s="269">
        <f t="shared" si="30"/>
        <v>69</v>
      </c>
      <c r="V387" s="267">
        <f t="shared" ref="V387:V450" si="33">IFERROR(L387-P387,"")</f>
        <v>0.40810000000000013</v>
      </c>
      <c r="W387" s="267">
        <f t="shared" ref="W387:W450" si="34">IFERROR(N387-R387,"")</f>
        <v>0.49441676146012803</v>
      </c>
      <c r="X387" s="271">
        <f>IFERROR(INDEX(Rainfall_Dry!$O$2:$O$217,MATCH(B387, Rainfall_Dry!$A$2:$A$217,0)),"")</f>
        <v>162.634207253</v>
      </c>
      <c r="Y387" s="260">
        <v>21.96</v>
      </c>
      <c r="Z387" s="260">
        <v>4.9199999999999982</v>
      </c>
      <c r="AA387" s="260">
        <v>73.12</v>
      </c>
      <c r="AB387" s="261" t="s">
        <v>2670</v>
      </c>
      <c r="AC387" s="260">
        <v>6.2416954164613099</v>
      </c>
      <c r="AD387">
        <f>IF('WetLitterbags placem_collection'!AB168="","",'WetLitterbags placem_collection'!AB168)</f>
        <v>2.1</v>
      </c>
      <c r="AE387">
        <f>IF('WetLitterbags placem_collection'!Z168="","",'WetLitterbags placem_collection'!Z168)</f>
        <v>4.7</v>
      </c>
      <c r="AF387" s="246" t="str">
        <f>IF('WetLitterbags placem_collection'!AA168="","",'WetLitterbags placem_collection'!AA168)</f>
        <v>M</v>
      </c>
      <c r="AG387">
        <f>IF('WetLitterbags placem_collection'!AC168="","",'WetLitterbags placem_collection'!AC168)</f>
        <v>0</v>
      </c>
      <c r="AH387">
        <f>IFERROR(AVERAGE('Dry_Litterbag Placem_Collection'!O168,'Dry_Litterbag Placem_Collection'!R168),"")</f>
        <v>5.15</v>
      </c>
      <c r="AI387" s="271">
        <f>IFERROR(AVERAGE('Dry_Litterbag Placem_Collection'!N168,'Dry_Litterbag Placem_Collection'!Q168),"")</f>
        <v>33.25</v>
      </c>
      <c r="AJ387" s="270">
        <f>INDEX(Coordinates!$B$2:$B$197,MATCH(G387,Coordinates!$J$2:$J$197,0))</f>
        <v>-2.2725490289999999</v>
      </c>
      <c r="AK387" s="270">
        <f>INDEX(Coordinates!$C$2:$C$197,MATCH(G387,Coordinates!$J$2:$J$197,0))</f>
        <v>34.022886020000001</v>
      </c>
      <c r="AL387" s="270" t="str">
        <f>IF(ISNUMBER(SEARCH("C", 'Dry_Litterbag Placem_Collection'!T168)),"YES","NO")</f>
        <v>NO</v>
      </c>
      <c r="AM387" s="270" t="str">
        <f>IF(ISNUMBER(SEARCH("H", 'Dry_Litterbag Placem_Collection'!T168)),"YES","NO")</f>
        <v>NO</v>
      </c>
      <c r="AN387" s="270" t="str">
        <f>IF(ISNUMBER(SEARCH("R", 'Dry_Litterbag Placem_Collection'!T168)),"YES","NO")</f>
        <v>NO</v>
      </c>
    </row>
    <row r="388" spans="1:40" ht="15" customHeight="1">
      <c r="A388" s="262" t="s">
        <v>2659</v>
      </c>
      <c r="B388" s="263">
        <f>'Dry_Litterbag Placem_Collection'!A169</f>
        <v>167</v>
      </c>
      <c r="C388" s="263" t="str">
        <f>'Dry_Litterbag Placem_Collection'!B169</f>
        <v>Handajega</v>
      </c>
      <c r="D388" s="263" t="s">
        <v>2460</v>
      </c>
      <c r="E388" s="263" t="s">
        <v>2661</v>
      </c>
      <c r="F388" s="263">
        <v>1</v>
      </c>
      <c r="G388" s="264" t="str">
        <f>'Dry_Litterbag Placem_Collection'!C169</f>
        <v>Wet_W1_T7</v>
      </c>
      <c r="H388" s="265" t="s">
        <v>2541</v>
      </c>
      <c r="I388" s="272" t="s">
        <v>298</v>
      </c>
      <c r="J388" s="263" t="str">
        <f>IF(ISBLANK('Dry_Litterbag Placem_Collection'!K169),"","R"&amp;""&amp;'Dry_Litterbag Placem_Collection'!K169)</f>
        <v/>
      </c>
      <c r="K388" s="267" t="str">
        <f>IFERROR(INDEX('Green_rooibos initial weight'!$C$5:$C$1749,MATCH(J388, 'Green_rooibos initial weight'!$A$5:$A$1749,0)),"")</f>
        <v/>
      </c>
      <c r="L388" s="267" t="str">
        <f>IFERROR(K388-(TBIcalc!$Q$9+TBIcalc!$Q$10),"")</f>
        <v/>
      </c>
      <c r="M388" s="391">
        <f>AVERAGE(Ashed_controlls!$K$12:$K$14)</f>
        <v>2.2816647271287041</v>
      </c>
      <c r="N388" s="267" t="str">
        <f t="shared" si="31"/>
        <v/>
      </c>
      <c r="O388" s="267" t="str">
        <f>IF(IFERROR(INDEX('Both teabags AfterDry'!$D$3:$D$900,MATCH(J388,'Both teabags AfterDry'!$A$3:$A$900,0)),"")="","",(IFERROR(INDEX('Both teabags AfterDry'!$D$3:$D$900,MATCH(J388,'Both teabags AfterDry'!$A$3:$A$900,0)),"")))</f>
        <v/>
      </c>
      <c r="P388" s="267" t="str">
        <f>IFERROR(IF(O388&gt;0,O388-(TBIcalc!$Q$9),""),"")</f>
        <v/>
      </c>
      <c r="Q388" s="278" t="str">
        <f>IFERROR(INDEX('Ashed teabags dry'!$K$2:$K$825,MATCH(J388,'Ashed teabags dry'!$A$2:$A$825,0)),"")</f>
        <v/>
      </c>
      <c r="R388" s="278" t="str">
        <f t="shared" si="32"/>
        <v/>
      </c>
      <c r="S388" s="268">
        <f>'Dry_Litterbag Placem_Collection'!E169</f>
        <v>0</v>
      </c>
      <c r="T388" s="268" t="str">
        <f>IF('Dry_Litterbag Placem_Collection'!G169="","",'Dry_Litterbag Placem_Collection'!G169)</f>
        <v/>
      </c>
      <c r="U388" s="269" t="str">
        <f t="shared" si="30"/>
        <v/>
      </c>
      <c r="V388" s="267" t="str">
        <f t="shared" si="33"/>
        <v/>
      </c>
      <c r="W388" s="267" t="str">
        <f t="shared" si="34"/>
        <v/>
      </c>
      <c r="X388" s="271" t="str">
        <f>IFERROR(INDEX(Rainfall_Dry!$O$2:$O$217,MATCH(B388, Rainfall_Dry!$A$2:$A$217,0)),"")</f>
        <v/>
      </c>
      <c r="Y388" s="260">
        <v>21.96</v>
      </c>
      <c r="Z388" s="260">
        <v>4.9199999999999982</v>
      </c>
      <c r="AA388" s="260">
        <v>73.12</v>
      </c>
      <c r="AB388" s="261" t="s">
        <v>2670</v>
      </c>
      <c r="AC388" s="260">
        <v>7.2416954164613099</v>
      </c>
      <c r="AD388">
        <f>IF('WetLitterbags placem_collection'!AB169="","",'WetLitterbags placem_collection'!AB169)</f>
        <v>5.6</v>
      </c>
      <c r="AE388">
        <f>IF('WetLitterbags placem_collection'!Z169="","",'WetLitterbags placem_collection'!Z169)</f>
        <v>4.2</v>
      </c>
      <c r="AF388" s="246" t="str">
        <f>IF('WetLitterbags placem_collection'!AA169="","",'WetLitterbags placem_collection'!AA169)</f>
        <v>M</v>
      </c>
      <c r="AG388">
        <f>IF('WetLitterbags placem_collection'!AC169="","",'WetLitterbags placem_collection'!AC169)</f>
        <v>1</v>
      </c>
      <c r="AH388" t="str">
        <f>IFERROR(AVERAGE('Dry_Litterbag Placem_Collection'!O169,'Dry_Litterbag Placem_Collection'!R169),"")</f>
        <v/>
      </c>
      <c r="AI388" s="271" t="str">
        <f>IFERROR(AVERAGE('Dry_Litterbag Placem_Collection'!N169,'Dry_Litterbag Placem_Collection'!Q169),"")</f>
        <v/>
      </c>
      <c r="AJ388" s="270">
        <f>INDEX(Coordinates!$B$2:$B$197,MATCH(G388,Coordinates!$J$2:$J$197,0))</f>
        <v>-2.2729950310000002</v>
      </c>
      <c r="AK388" s="270">
        <f>INDEX(Coordinates!$C$2:$C$197,MATCH(G388,Coordinates!$J$2:$J$197,0))</f>
        <v>34.022923990000002</v>
      </c>
      <c r="AL388" s="270" t="str">
        <f>IF(ISNUMBER(SEARCH("C", 'Dry_Litterbag Placem_Collection'!T169)),"YES","NO")</f>
        <v>NO</v>
      </c>
      <c r="AM388" s="270" t="str">
        <f>IF(ISNUMBER(SEARCH("H", 'Dry_Litterbag Placem_Collection'!T169)),"YES","NO")</f>
        <v>NO</v>
      </c>
      <c r="AN388" s="270" t="str">
        <f>IF(ISNUMBER(SEARCH("R", 'Dry_Litterbag Placem_Collection'!T169)),"YES","NO")</f>
        <v>NO</v>
      </c>
    </row>
    <row r="389" spans="1:40" ht="15" customHeight="1">
      <c r="A389" s="262" t="s">
        <v>2659</v>
      </c>
      <c r="B389" s="263">
        <f>'Dry_Litterbag Placem_Collection'!A170</f>
        <v>168</v>
      </c>
      <c r="C389" s="263" t="str">
        <f>'Dry_Litterbag Placem_Collection'!B170</f>
        <v>Handajega</v>
      </c>
      <c r="D389" s="263" t="s">
        <v>2460</v>
      </c>
      <c r="E389" s="263" t="s">
        <v>2661</v>
      </c>
      <c r="F389" s="263">
        <v>1</v>
      </c>
      <c r="G389" s="264" t="str">
        <f>'Dry_Litterbag Placem_Collection'!C170</f>
        <v>Wet_W1_T8</v>
      </c>
      <c r="H389" s="265" t="s">
        <v>2541</v>
      </c>
      <c r="I389" s="272" t="s">
        <v>298</v>
      </c>
      <c r="J389" s="263" t="str">
        <f>IF(ISBLANK('Dry_Litterbag Placem_Collection'!K170),"","R"&amp;""&amp;'Dry_Litterbag Placem_Collection'!K170)</f>
        <v>R690</v>
      </c>
      <c r="K389" s="267">
        <f>IFERROR(INDEX('Green_rooibos initial weight'!$C$5:$C$1749,MATCH(J389, 'Green_rooibos initial weight'!$A$5:$A$1749,0)),"")</f>
        <v>2.141</v>
      </c>
      <c r="L389" s="267">
        <f>IFERROR(K389-(TBIcalc!$Q$9+TBIcalc!$Q$10),"")</f>
        <v>1.8912</v>
      </c>
      <c r="M389" s="391">
        <f>AVERAGE(Ashed_controlls!$K$12:$K$14)</f>
        <v>2.2816647271287041</v>
      </c>
      <c r="N389" s="267">
        <f t="shared" si="31"/>
        <v>1.8480491566805419</v>
      </c>
      <c r="O389" s="267" t="str">
        <f>IF(IFERROR(INDEX('Both teabags AfterDry'!$D$3:$D$900,MATCH(J389,'Both teabags AfterDry'!$A$3:$A$900,0)),"")="","",(IFERROR(INDEX('Both teabags AfterDry'!$D$3:$D$900,MATCH(J389,'Both teabags AfterDry'!$A$3:$A$900,0)),"")))</f>
        <v/>
      </c>
      <c r="P389" s="267" t="str">
        <f>IFERROR(IF(O389&gt;0,O389-(TBIcalc!$Q$9),""),"")</f>
        <v/>
      </c>
      <c r="Q389" s="278" t="str">
        <f>IFERROR(INDEX('Ashed teabags dry'!$K$2:$K$825,MATCH(J389,'Ashed teabags dry'!$A$2:$A$825,0)),"")</f>
        <v/>
      </c>
      <c r="R389" s="278" t="str">
        <f t="shared" si="32"/>
        <v/>
      </c>
      <c r="S389" s="268">
        <f>'Dry_Litterbag Placem_Collection'!E170</f>
        <v>42940</v>
      </c>
      <c r="T389" s="268">
        <f>IF('Dry_Litterbag Placem_Collection'!G170="","",'Dry_Litterbag Placem_Collection'!G170)</f>
        <v>43009</v>
      </c>
      <c r="U389" s="269">
        <f t="shared" si="30"/>
        <v>69</v>
      </c>
      <c r="V389" s="267" t="str">
        <f t="shared" si="33"/>
        <v/>
      </c>
      <c r="W389" s="267" t="str">
        <f t="shared" si="34"/>
        <v/>
      </c>
      <c r="X389" s="271">
        <f>IFERROR(INDEX(Rainfall_Dry!$O$2:$O$217,MATCH(B389, Rainfall_Dry!$A$2:$A$217,0)),"")</f>
        <v>162.634207253</v>
      </c>
      <c r="Y389" s="260">
        <v>21.96</v>
      </c>
      <c r="Z389" s="260">
        <v>4.9199999999999982</v>
      </c>
      <c r="AA389" s="260">
        <v>73.12</v>
      </c>
      <c r="AB389" s="261" t="s">
        <v>2670</v>
      </c>
      <c r="AC389" s="260">
        <v>8.2416954164613099</v>
      </c>
      <c r="AD389">
        <f>IF('WetLitterbags placem_collection'!AB170="","",'WetLitterbags placem_collection'!AB170)</f>
        <v>2.4</v>
      </c>
      <c r="AE389">
        <f>IF('WetLitterbags placem_collection'!Z170="","",'WetLitterbags placem_collection'!Z170)</f>
        <v>46</v>
      </c>
      <c r="AF389" s="246" t="str">
        <f>IF('WetLitterbags placem_collection'!AA170="","",'WetLitterbags placem_collection'!AA170)</f>
        <v>M</v>
      </c>
      <c r="AG389">
        <f>IF('WetLitterbags placem_collection'!AC170="","",'WetLitterbags placem_collection'!AC170)</f>
        <v>0</v>
      </c>
      <c r="AH389">
        <f>IFERROR(AVERAGE('Dry_Litterbag Placem_Collection'!O170,'Dry_Litterbag Placem_Collection'!R170),"")</f>
        <v>4.0999999999999996</v>
      </c>
      <c r="AI389" s="271">
        <f>IFERROR(AVERAGE('Dry_Litterbag Placem_Collection'!N170,'Dry_Litterbag Placem_Collection'!Q170),"")</f>
        <v>30.15</v>
      </c>
      <c r="AJ389" s="270">
        <f>INDEX(Coordinates!$B$2:$B$197,MATCH(G389,Coordinates!$J$2:$J$197,0))</f>
        <v>-2.2729129719999999</v>
      </c>
      <c r="AK389" s="270">
        <f>INDEX(Coordinates!$C$2:$C$197,MATCH(G389,Coordinates!$J$2:$J$197,0))</f>
        <v>34.023350039999997</v>
      </c>
      <c r="AL389" s="270" t="str">
        <f>IF(ISNUMBER(SEARCH("C", 'Dry_Litterbag Placem_Collection'!T170)),"YES","NO")</f>
        <v>NO</v>
      </c>
      <c r="AM389" s="270" t="str">
        <f>IF(ISNUMBER(SEARCH("H", 'Dry_Litterbag Placem_Collection'!T170)),"YES","NO")</f>
        <v>YES</v>
      </c>
      <c r="AN389" s="270" t="str">
        <f>IF(ISNUMBER(SEARCH("R", 'Dry_Litterbag Placem_Collection'!T170)),"YES","NO")</f>
        <v>NO</v>
      </c>
    </row>
    <row r="390" spans="1:40" ht="15" customHeight="1">
      <c r="A390" s="262" t="s">
        <v>2659</v>
      </c>
      <c r="B390" s="263">
        <f>'Dry_Litterbag Placem_Collection'!A171</f>
        <v>169</v>
      </c>
      <c r="C390" s="263" t="str">
        <f>'Dry_Litterbag Placem_Collection'!B171</f>
        <v>Handajega</v>
      </c>
      <c r="D390" s="263" t="s">
        <v>2460</v>
      </c>
      <c r="E390" s="263" t="s">
        <v>2661</v>
      </c>
      <c r="F390" s="263">
        <v>2</v>
      </c>
      <c r="G390" s="264" t="str">
        <f>'Dry_Litterbag Placem_Collection'!C171</f>
        <v>Wet_W2_T1</v>
      </c>
      <c r="H390" s="265" t="s">
        <v>2541</v>
      </c>
      <c r="I390" s="272" t="s">
        <v>298</v>
      </c>
      <c r="J390" s="263" t="str">
        <f>IF(ISBLANK('Dry_Litterbag Placem_Collection'!K171),"","R"&amp;""&amp;'Dry_Litterbag Placem_Collection'!K171)</f>
        <v>R684</v>
      </c>
      <c r="K390" s="267">
        <f>IFERROR(INDEX('Green_rooibos initial weight'!$C$5:$C$1749,MATCH(J390, 'Green_rooibos initial weight'!$A$5:$A$1749,0)),"")</f>
        <v>2.1139999999999999</v>
      </c>
      <c r="L390" s="267">
        <f>IFERROR(K390-(TBIcalc!$Q$9+TBIcalc!$Q$10),"")</f>
        <v>1.8641999999999999</v>
      </c>
      <c r="M390" s="391">
        <f>AVERAGE(Ashed_controlls!$K$12:$K$14)</f>
        <v>2.2816647271287041</v>
      </c>
      <c r="N390" s="267">
        <f t="shared" si="31"/>
        <v>1.8216652061568666</v>
      </c>
      <c r="O390" s="267">
        <f>IF(IFERROR(INDEX('Both teabags AfterDry'!$D$3:$D$900,MATCH(J390,'Both teabags AfterDry'!$A$3:$A$900,0)),"")="","",(IFERROR(INDEX('Both teabags AfterDry'!$D$3:$D$900,MATCH(J390,'Both teabags AfterDry'!$A$3:$A$900,0)),"")))</f>
        <v>1.8154999999999999</v>
      </c>
      <c r="P390" s="267">
        <f>IFERROR(IF(O390&gt;0,O390-(TBIcalc!$Q$9),""),"")</f>
        <v>1.6648999999999998</v>
      </c>
      <c r="Q390" s="278">
        <f>IFERROR(INDEX('Ashed teabags dry'!$K$2:$K$825,MATCH(J390,'Ashed teabags dry'!$A$2:$A$825,0)),"")</f>
        <v>11.642512077294652</v>
      </c>
      <c r="R390" s="278">
        <f t="shared" si="32"/>
        <v>1.4710638164251213</v>
      </c>
      <c r="S390" s="268">
        <f>'Dry_Litterbag Placem_Collection'!E171</f>
        <v>42940</v>
      </c>
      <c r="T390" s="268">
        <f>IF('Dry_Litterbag Placem_Collection'!G171="","",'Dry_Litterbag Placem_Collection'!G171)</f>
        <v>43009</v>
      </c>
      <c r="U390" s="269">
        <f t="shared" si="30"/>
        <v>69</v>
      </c>
      <c r="V390" s="267">
        <f t="shared" si="33"/>
        <v>0.19930000000000003</v>
      </c>
      <c r="W390" s="267">
        <f t="shared" si="34"/>
        <v>0.35060138973174526</v>
      </c>
      <c r="X390" s="271">
        <f>IFERROR(INDEX(Rainfall_Dry!$O$2:$O$217,MATCH(B390, Rainfall_Dry!$A$2:$A$217,0)),"")</f>
        <v>162.634207253</v>
      </c>
      <c r="Y390" s="260">
        <v>23.96</v>
      </c>
      <c r="Z390" s="260">
        <v>4.9199999999999982</v>
      </c>
      <c r="AA390" s="260">
        <v>71.12</v>
      </c>
      <c r="AB390" s="261" t="s">
        <v>2670</v>
      </c>
      <c r="AC390" s="260">
        <v>3.30913750616067</v>
      </c>
      <c r="AD390">
        <f>IF('WetLitterbags placem_collection'!AB171="","",'WetLitterbags placem_collection'!AB171)</f>
        <v>8.1999999999999993</v>
      </c>
      <c r="AE390">
        <f>IF('WetLitterbags placem_collection'!Z171="","",'WetLitterbags placem_collection'!Z171)</f>
        <v>11.4</v>
      </c>
      <c r="AF390" s="246" t="str">
        <f>IF('WetLitterbags placem_collection'!AA171="","",'WetLitterbags placem_collection'!AA171)</f>
        <v>O</v>
      </c>
      <c r="AG390">
        <f>IF('WetLitterbags placem_collection'!AC171="","",'WetLitterbags placem_collection'!AC171)</f>
        <v>1</v>
      </c>
      <c r="AH390">
        <f>IFERROR(AVERAGE('Dry_Litterbag Placem_Collection'!O171,'Dry_Litterbag Placem_Collection'!R171),"")</f>
        <v>6.65</v>
      </c>
      <c r="AI390" s="271">
        <f>IFERROR(AVERAGE('Dry_Litterbag Placem_Collection'!N171,'Dry_Litterbag Placem_Collection'!Q171),"")</f>
        <v>35.049999999999997</v>
      </c>
      <c r="AJ390" s="270">
        <f>INDEX(Coordinates!$B$2:$B$197,MATCH(G390,Coordinates!$J$2:$J$197,0))</f>
        <v>-2.2784290180000002</v>
      </c>
      <c r="AK390" s="270">
        <f>INDEX(Coordinates!$C$2:$C$197,MATCH(G390,Coordinates!$J$2:$J$197,0))</f>
        <v>34.024240030000001</v>
      </c>
      <c r="AL390" s="270" t="str">
        <f>IF(ISNUMBER(SEARCH("C", 'Dry_Litterbag Placem_Collection'!T171)),"YES","NO")</f>
        <v>YES</v>
      </c>
      <c r="AM390" s="270" t="str">
        <f>IF(ISNUMBER(SEARCH("H", 'Dry_Litterbag Placem_Collection'!T171)),"YES","NO")</f>
        <v>NO</v>
      </c>
      <c r="AN390" s="270" t="str">
        <f>IF(ISNUMBER(SEARCH("R", 'Dry_Litterbag Placem_Collection'!T171)),"YES","NO")</f>
        <v>NO</v>
      </c>
    </row>
    <row r="391" spans="1:40" ht="15" customHeight="1">
      <c r="A391" s="262" t="s">
        <v>2659</v>
      </c>
      <c r="B391" s="263">
        <f>'Dry_Litterbag Placem_Collection'!A172</f>
        <v>170</v>
      </c>
      <c r="C391" s="263" t="str">
        <f>'Dry_Litterbag Placem_Collection'!B172</f>
        <v>Handajega</v>
      </c>
      <c r="D391" s="263" t="s">
        <v>2460</v>
      </c>
      <c r="E391" s="263" t="s">
        <v>2661</v>
      </c>
      <c r="F391" s="263">
        <v>2</v>
      </c>
      <c r="G391" s="264" t="str">
        <f>'Dry_Litterbag Placem_Collection'!C172</f>
        <v>Wet_W2_T2</v>
      </c>
      <c r="H391" s="265" t="s">
        <v>2541</v>
      </c>
      <c r="I391" s="272" t="s">
        <v>298</v>
      </c>
      <c r="J391" s="263" t="str">
        <f>IF(ISBLANK('Dry_Litterbag Placem_Collection'!K172),"","R"&amp;""&amp;'Dry_Litterbag Placem_Collection'!K172)</f>
        <v>R694</v>
      </c>
      <c r="K391" s="267">
        <f>IFERROR(INDEX('Green_rooibos initial weight'!$C$5:$C$1749,MATCH(J391, 'Green_rooibos initial weight'!$A$5:$A$1749,0)),"")</f>
        <v>2.23</v>
      </c>
      <c r="L391" s="267">
        <f>IFERROR(K391-(TBIcalc!$Q$9+TBIcalc!$Q$10),"")</f>
        <v>1.9802</v>
      </c>
      <c r="M391" s="391">
        <f>AVERAGE(Ashed_controlls!$K$12:$K$14)</f>
        <v>2.2816647271287041</v>
      </c>
      <c r="N391" s="267">
        <f t="shared" si="31"/>
        <v>1.9350184750733974</v>
      </c>
      <c r="O391" s="267">
        <f>IF(IFERROR(INDEX('Both teabags AfterDry'!$D$3:$D$900,MATCH(J391,'Both teabags AfterDry'!$A$3:$A$900,0)),"")="","",(IFERROR(INDEX('Both teabags AfterDry'!$D$3:$D$900,MATCH(J391,'Both teabags AfterDry'!$A$3:$A$900,0)),"")))</f>
        <v>1.7605</v>
      </c>
      <c r="P391" s="267">
        <f>IFERROR(IF(O391&gt;0,O391-(TBIcalc!$Q$9),""),"")</f>
        <v>1.6098999999999999</v>
      </c>
      <c r="Q391" s="278">
        <f>IFERROR(INDEX('Ashed teabags dry'!$K$2:$K$825,MATCH(J391,'Ashed teabags dry'!$A$2:$A$825,0)),"")</f>
        <v>4.9253731343281189</v>
      </c>
      <c r="R391" s="278">
        <f t="shared" si="32"/>
        <v>1.5306064179104515</v>
      </c>
      <c r="S391" s="268">
        <f>'Dry_Litterbag Placem_Collection'!E172</f>
        <v>42940</v>
      </c>
      <c r="T391" s="268">
        <f>IF('Dry_Litterbag Placem_Collection'!G172="","",'Dry_Litterbag Placem_Collection'!G172)</f>
        <v>43009</v>
      </c>
      <c r="U391" s="269">
        <f t="shared" si="30"/>
        <v>69</v>
      </c>
      <c r="V391" s="267">
        <f t="shared" si="33"/>
        <v>0.37030000000000007</v>
      </c>
      <c r="W391" s="267">
        <f t="shared" si="34"/>
        <v>0.40441205716294593</v>
      </c>
      <c r="X391" s="271">
        <f>IFERROR(INDEX(Rainfall_Dry!$O$2:$O$217,MATCH(B391, Rainfall_Dry!$A$2:$A$217,0)),"")</f>
        <v>162.634207253</v>
      </c>
      <c r="Y391" s="260">
        <v>23.96</v>
      </c>
      <c r="Z391" s="260">
        <v>4.9199999999999982</v>
      </c>
      <c r="AA391" s="260">
        <v>71.12</v>
      </c>
      <c r="AB391" s="261" t="s">
        <v>2670</v>
      </c>
      <c r="AC391" s="260">
        <v>4.3091375061606696</v>
      </c>
      <c r="AD391">
        <f>IF('WetLitterbags placem_collection'!AB172="","",'WetLitterbags placem_collection'!AB172)</f>
        <v>7.7</v>
      </c>
      <c r="AE391">
        <f>IF('WetLitterbags placem_collection'!Z172="","",'WetLitterbags placem_collection'!Z172)</f>
        <v>15.8</v>
      </c>
      <c r="AF391" s="246" t="str">
        <f>IF('WetLitterbags placem_collection'!AA172="","",'WetLitterbags placem_collection'!AA172)</f>
        <v>O</v>
      </c>
      <c r="AG391">
        <f>IF('WetLitterbags placem_collection'!AC172="","",'WetLitterbags placem_collection'!AC172)</f>
        <v>1</v>
      </c>
      <c r="AH391">
        <f>IFERROR(AVERAGE('Dry_Litterbag Placem_Collection'!O172,'Dry_Litterbag Placem_Collection'!R172),"")</f>
        <v>6.1</v>
      </c>
      <c r="AI391" s="271">
        <f>IFERROR(AVERAGE('Dry_Litterbag Placem_Collection'!N172,'Dry_Litterbag Placem_Collection'!Q172),"")</f>
        <v>33.950000000000003</v>
      </c>
      <c r="AJ391" s="270">
        <f>INDEX(Coordinates!$B$2:$B$197,MATCH(G391,Coordinates!$J$2:$J$197,0))</f>
        <v>-2.2784629650000001</v>
      </c>
      <c r="AK391" s="270">
        <f>INDEX(Coordinates!$C$2:$C$197,MATCH(G391,Coordinates!$J$2:$J$197,0))</f>
        <v>34.024177999999999</v>
      </c>
      <c r="AL391" s="270" t="str">
        <f>IF(ISNUMBER(SEARCH("C", 'Dry_Litterbag Placem_Collection'!T172)),"YES","NO")</f>
        <v>NO</v>
      </c>
      <c r="AM391" s="270" t="str">
        <f>IF(ISNUMBER(SEARCH("H", 'Dry_Litterbag Placem_Collection'!T172)),"YES","NO")</f>
        <v>NO</v>
      </c>
      <c r="AN391" s="270" t="str">
        <f>IF(ISNUMBER(SEARCH("R", 'Dry_Litterbag Placem_Collection'!T172)),"YES","NO")</f>
        <v>YES</v>
      </c>
    </row>
    <row r="392" spans="1:40" ht="15" customHeight="1">
      <c r="A392" s="262" t="s">
        <v>2659</v>
      </c>
      <c r="B392" s="263">
        <f>'Dry_Litterbag Placem_Collection'!A173</f>
        <v>171</v>
      </c>
      <c r="C392" s="263" t="str">
        <f>'Dry_Litterbag Placem_Collection'!B173</f>
        <v>Handajega</v>
      </c>
      <c r="D392" s="263" t="s">
        <v>2460</v>
      </c>
      <c r="E392" s="263" t="s">
        <v>2661</v>
      </c>
      <c r="F392" s="263">
        <v>2</v>
      </c>
      <c r="G392" s="264" t="str">
        <f>'Dry_Litterbag Placem_Collection'!C173</f>
        <v>Wet_W2_T3</v>
      </c>
      <c r="H392" s="265" t="s">
        <v>2541</v>
      </c>
      <c r="I392" s="272" t="s">
        <v>298</v>
      </c>
      <c r="J392" s="263" t="str">
        <f>IF(ISBLANK('Dry_Litterbag Placem_Collection'!K173),"","R"&amp;""&amp;'Dry_Litterbag Placem_Collection'!K173)</f>
        <v>R655</v>
      </c>
      <c r="K392" s="267">
        <f>IFERROR(INDEX('Green_rooibos initial weight'!$C$5:$C$1749,MATCH(J392, 'Green_rooibos initial weight'!$A$5:$A$1749,0)),"")</f>
        <v>2.1779999999999999</v>
      </c>
      <c r="L392" s="267">
        <f>IFERROR(K392-(TBIcalc!$Q$9+TBIcalc!$Q$10),"")</f>
        <v>1.9281999999999999</v>
      </c>
      <c r="M392" s="391">
        <f>AVERAGE(Ashed_controlls!$K$12:$K$14)</f>
        <v>2.2816647271287041</v>
      </c>
      <c r="N392" s="267">
        <f t="shared" si="31"/>
        <v>1.8842049407315042</v>
      </c>
      <c r="O392" s="267">
        <f>IF(IFERROR(INDEX('Both teabags AfterDry'!$D$3:$D$900,MATCH(J392,'Both teabags AfterDry'!$A$3:$A$900,0)),"")="","",(IFERROR(INDEX('Both teabags AfterDry'!$D$3:$D$900,MATCH(J392,'Both teabags AfterDry'!$A$3:$A$900,0)),"")))</f>
        <v>3.7545000000000002</v>
      </c>
      <c r="P392" s="267">
        <f>IFERROR(IF(O392&gt;0,O392-(TBIcalc!$Q$9),""),"")</f>
        <v>3.6039000000000003</v>
      </c>
      <c r="Q392" s="278">
        <f>IFERROR(INDEX('Ashed teabags dry'!$K$2:$K$825,MATCH(J392,'Ashed teabags dry'!$A$2:$A$825,0)),"")</f>
        <v>89.436947417404014</v>
      </c>
      <c r="R392" s="278">
        <f t="shared" si="32"/>
        <v>0.38068185202417704</v>
      </c>
      <c r="S392" s="268">
        <f>'Dry_Litterbag Placem_Collection'!E173</f>
        <v>42940</v>
      </c>
      <c r="T392" s="268">
        <f>IF('Dry_Litterbag Placem_Collection'!G173="","",'Dry_Litterbag Placem_Collection'!G173)</f>
        <v>43009</v>
      </c>
      <c r="U392" s="269">
        <f t="shared" si="30"/>
        <v>69</v>
      </c>
      <c r="V392" s="267">
        <f t="shared" si="33"/>
        <v>-1.6757000000000004</v>
      </c>
      <c r="W392" s="267">
        <f t="shared" si="34"/>
        <v>1.5035230887073272</v>
      </c>
      <c r="X392" s="271">
        <f>IFERROR(INDEX(Rainfall_Dry!$O$2:$O$217,MATCH(B392, Rainfall_Dry!$A$2:$A$217,0)),"")</f>
        <v>162.634207253</v>
      </c>
      <c r="Y392" s="260">
        <v>23.96</v>
      </c>
      <c r="Z392" s="260">
        <v>4.9199999999999982</v>
      </c>
      <c r="AA392" s="260">
        <v>71.12</v>
      </c>
      <c r="AB392" s="261" t="s">
        <v>2670</v>
      </c>
      <c r="AC392" s="260">
        <v>5.3091375061606696</v>
      </c>
      <c r="AD392">
        <f>IF('WetLitterbags placem_collection'!AB173="","",'WetLitterbags placem_collection'!AB173)</f>
        <v>13.4</v>
      </c>
      <c r="AE392">
        <f>IF('WetLitterbags placem_collection'!Z173="","",'WetLitterbags placem_collection'!Z173)</f>
        <v>7.6</v>
      </c>
      <c r="AF392" s="246" t="str">
        <f>IF('WetLitterbags placem_collection'!AA173="","",'WetLitterbags placem_collection'!AA173)</f>
        <v>O</v>
      </c>
      <c r="AG392">
        <f>IF('WetLitterbags placem_collection'!AC173="","",'WetLitterbags placem_collection'!AC173)</f>
        <v>1</v>
      </c>
      <c r="AH392">
        <f>IFERROR(AVERAGE('Dry_Litterbag Placem_Collection'!O173,'Dry_Litterbag Placem_Collection'!R173),"")</f>
        <v>5.6</v>
      </c>
      <c r="AI392" s="271">
        <f>IFERROR(AVERAGE('Dry_Litterbag Placem_Collection'!N173,'Dry_Litterbag Placem_Collection'!Q173),"")</f>
        <v>33</v>
      </c>
      <c r="AJ392" s="270">
        <f>INDEX(Coordinates!$B$2:$B$197,MATCH(G392,Coordinates!$J$2:$J$197,0))</f>
        <v>-2.2785389889999998</v>
      </c>
      <c r="AK392" s="270">
        <f>INDEX(Coordinates!$C$2:$C$197,MATCH(G392,Coordinates!$J$2:$J$197,0))</f>
        <v>34.024371039999998</v>
      </c>
      <c r="AL392" s="270" t="str">
        <f>IF(ISNUMBER(SEARCH("C", 'Dry_Litterbag Placem_Collection'!T173)),"YES","NO")</f>
        <v>NO</v>
      </c>
      <c r="AM392" s="270" t="str">
        <f>IF(ISNUMBER(SEARCH("H", 'Dry_Litterbag Placem_Collection'!T173)),"YES","NO")</f>
        <v>YES</v>
      </c>
      <c r="AN392" s="270" t="str">
        <f>IF(ISNUMBER(SEARCH("R", 'Dry_Litterbag Placem_Collection'!T173)),"YES","NO")</f>
        <v>YES</v>
      </c>
    </row>
    <row r="393" spans="1:40" ht="15" customHeight="1">
      <c r="A393" s="262" t="s">
        <v>2659</v>
      </c>
      <c r="B393" s="263">
        <f>'Dry_Litterbag Placem_Collection'!A174</f>
        <v>172</v>
      </c>
      <c r="C393" s="263" t="str">
        <f>'Dry_Litterbag Placem_Collection'!B174</f>
        <v>Handajega</v>
      </c>
      <c r="D393" s="263" t="s">
        <v>2460</v>
      </c>
      <c r="E393" s="263" t="s">
        <v>2661</v>
      </c>
      <c r="F393" s="263">
        <v>2</v>
      </c>
      <c r="G393" s="264" t="str">
        <f>'Dry_Litterbag Placem_Collection'!C174</f>
        <v>Wet_W2_T4</v>
      </c>
      <c r="H393" s="265" t="s">
        <v>2541</v>
      </c>
      <c r="I393" s="272" t="s">
        <v>298</v>
      </c>
      <c r="J393" s="263" t="str">
        <f>IF(ISBLANK('Dry_Litterbag Placem_Collection'!K174),"","R"&amp;""&amp;'Dry_Litterbag Placem_Collection'!K174)</f>
        <v/>
      </c>
      <c r="K393" s="267" t="str">
        <f>IFERROR(INDEX('Green_rooibos initial weight'!$C$5:$C$1749,MATCH(J393, 'Green_rooibos initial weight'!$A$5:$A$1749,0)),"")</f>
        <v/>
      </c>
      <c r="L393" s="267" t="str">
        <f>IFERROR(K393-(TBIcalc!$Q$9+TBIcalc!$Q$10),"")</f>
        <v/>
      </c>
      <c r="M393" s="391">
        <f>AVERAGE(Ashed_controlls!$K$12:$K$14)</f>
        <v>2.2816647271287041</v>
      </c>
      <c r="N393" s="267" t="str">
        <f t="shared" si="31"/>
        <v/>
      </c>
      <c r="O393" s="267" t="str">
        <f>IF(IFERROR(INDEX('Both teabags AfterDry'!$D$3:$D$900,MATCH(J393,'Both teabags AfterDry'!$A$3:$A$900,0)),"")="","",(IFERROR(INDEX('Both teabags AfterDry'!$D$3:$D$900,MATCH(J393,'Both teabags AfterDry'!$A$3:$A$900,0)),"")))</f>
        <v/>
      </c>
      <c r="P393" s="267" t="str">
        <f>IFERROR(IF(O393&gt;0,O393-(TBIcalc!$Q$9),""),"")</f>
        <v/>
      </c>
      <c r="Q393" s="278" t="str">
        <f>IFERROR(INDEX('Ashed teabags dry'!$K$2:$K$825,MATCH(J393,'Ashed teabags dry'!$A$2:$A$825,0)),"")</f>
        <v/>
      </c>
      <c r="R393" s="278" t="str">
        <f t="shared" si="32"/>
        <v/>
      </c>
      <c r="S393" s="268">
        <f>'Dry_Litterbag Placem_Collection'!E174</f>
        <v>0</v>
      </c>
      <c r="T393" s="268" t="str">
        <f>IF('Dry_Litterbag Placem_Collection'!G174="","",'Dry_Litterbag Placem_Collection'!G174)</f>
        <v/>
      </c>
      <c r="U393" s="269" t="str">
        <f t="shared" si="30"/>
        <v/>
      </c>
      <c r="V393" s="267" t="str">
        <f t="shared" si="33"/>
        <v/>
      </c>
      <c r="W393" s="267" t="str">
        <f t="shared" si="34"/>
        <v/>
      </c>
      <c r="X393" s="271" t="str">
        <f>IFERROR(INDEX(Rainfall_Dry!$O$2:$O$217,MATCH(B393, Rainfall_Dry!$A$2:$A$217,0)),"")</f>
        <v/>
      </c>
      <c r="Y393" s="260">
        <v>23.96</v>
      </c>
      <c r="Z393" s="260">
        <v>4.9199999999999982</v>
      </c>
      <c r="AA393" s="260">
        <v>71.12</v>
      </c>
      <c r="AB393" s="261" t="s">
        <v>2670</v>
      </c>
      <c r="AC393" s="260">
        <v>6.3091375061606696</v>
      </c>
      <c r="AD393">
        <f>IF('WetLitterbags placem_collection'!AB174="","",'WetLitterbags placem_collection'!AB174)</f>
        <v>3.3</v>
      </c>
      <c r="AE393">
        <f>IF('WetLitterbags placem_collection'!Z174="","",'WetLitterbags placem_collection'!Z174)</f>
        <v>28.4</v>
      </c>
      <c r="AF393" s="246" t="str">
        <f>IF('WetLitterbags placem_collection'!AA174="","",'WetLitterbags placem_collection'!AA174)</f>
        <v>G</v>
      </c>
      <c r="AG393">
        <f>IF('WetLitterbags placem_collection'!AC174="","",'WetLitterbags placem_collection'!AC174)</f>
        <v>1</v>
      </c>
      <c r="AH393" t="str">
        <f>IFERROR(AVERAGE('Dry_Litterbag Placem_Collection'!O174,'Dry_Litterbag Placem_Collection'!R174),"")</f>
        <v/>
      </c>
      <c r="AI393" s="271" t="str">
        <f>IFERROR(AVERAGE('Dry_Litterbag Placem_Collection'!N174,'Dry_Litterbag Placem_Collection'!Q174),"")</f>
        <v/>
      </c>
      <c r="AJ393" s="270">
        <f>INDEX(Coordinates!$B$2:$B$197,MATCH(G393,Coordinates!$J$2:$J$197,0))</f>
        <v>-2.2781410160000002</v>
      </c>
      <c r="AK393" s="270">
        <f>INDEX(Coordinates!$C$2:$C$197,MATCH(G393,Coordinates!$J$2:$J$197,0))</f>
        <v>34.024136009999999</v>
      </c>
      <c r="AL393" s="270" t="str">
        <f>IF(ISNUMBER(SEARCH("C", 'Dry_Litterbag Placem_Collection'!T174)),"YES","NO")</f>
        <v>NO</v>
      </c>
      <c r="AM393" s="270" t="str">
        <f>IF(ISNUMBER(SEARCH("H", 'Dry_Litterbag Placem_Collection'!T174)),"YES","NO")</f>
        <v>NO</v>
      </c>
      <c r="AN393" s="270" t="str">
        <f>IF(ISNUMBER(SEARCH("R", 'Dry_Litterbag Placem_Collection'!T174)),"YES","NO")</f>
        <v>NO</v>
      </c>
    </row>
    <row r="394" spans="1:40" ht="15" customHeight="1">
      <c r="A394" s="262" t="s">
        <v>2659</v>
      </c>
      <c r="B394" s="263">
        <f>'Dry_Litterbag Placem_Collection'!A175</f>
        <v>173</v>
      </c>
      <c r="C394" s="263" t="str">
        <f>'Dry_Litterbag Placem_Collection'!B175</f>
        <v>Handajega</v>
      </c>
      <c r="D394" s="263" t="s">
        <v>2460</v>
      </c>
      <c r="E394" s="263" t="s">
        <v>2661</v>
      </c>
      <c r="F394" s="263">
        <v>2</v>
      </c>
      <c r="G394" s="264" t="str">
        <f>'Dry_Litterbag Placem_Collection'!C175</f>
        <v>Wet_W2_T5</v>
      </c>
      <c r="H394" s="265" t="s">
        <v>2541</v>
      </c>
      <c r="I394" s="272" t="s">
        <v>298</v>
      </c>
      <c r="J394" s="263" t="str">
        <f>IF(ISBLANK('Dry_Litterbag Placem_Collection'!K175),"","R"&amp;""&amp;'Dry_Litterbag Placem_Collection'!K175)</f>
        <v>R405</v>
      </c>
      <c r="K394" s="267">
        <f>IFERROR(INDEX('Green_rooibos initial weight'!$C$5:$C$1749,MATCH(J394, 'Green_rooibos initial weight'!$A$5:$A$1749,0)),"")</f>
        <v>2.2400000000000002</v>
      </c>
      <c r="L394" s="267">
        <f>IFERROR(K394-(TBIcalc!$Q$9+TBIcalc!$Q$10),"")</f>
        <v>1.9902000000000002</v>
      </c>
      <c r="M394" s="391">
        <f>AVERAGE(Ashed_controlls!$K$12:$K$14)</f>
        <v>2.2816647271287041</v>
      </c>
      <c r="N394" s="267">
        <f t="shared" si="31"/>
        <v>1.9447903086006848</v>
      </c>
      <c r="O394" s="267" t="str">
        <f>IF(IFERROR(INDEX('Both teabags AfterDry'!$D$3:$D$900,MATCH(J394,'Both teabags AfterDry'!$A$3:$A$900,0)),"")="","",(IFERROR(INDEX('Both teabags AfterDry'!$D$3:$D$900,MATCH(J394,'Both teabags AfterDry'!$A$3:$A$900,0)),"")))</f>
        <v/>
      </c>
      <c r="P394" s="267" t="str">
        <f>IFERROR(IF(O394&gt;0,O394-(TBIcalc!$Q$9),""),"")</f>
        <v/>
      </c>
      <c r="Q394" s="278" t="str">
        <f>IFERROR(INDEX('Ashed teabags dry'!$K$2:$K$825,MATCH(J394,'Ashed teabags dry'!$A$2:$A$825,0)),"")</f>
        <v/>
      </c>
      <c r="R394" s="278" t="str">
        <f t="shared" si="32"/>
        <v/>
      </c>
      <c r="S394" s="268">
        <f>'Dry_Litterbag Placem_Collection'!E175</f>
        <v>42940</v>
      </c>
      <c r="T394" s="268">
        <f>IF('Dry_Litterbag Placem_Collection'!G175="","",'Dry_Litterbag Placem_Collection'!G175)</f>
        <v>43009</v>
      </c>
      <c r="U394" s="269">
        <f t="shared" si="30"/>
        <v>69</v>
      </c>
      <c r="V394" s="267" t="str">
        <f t="shared" si="33"/>
        <v/>
      </c>
      <c r="W394" s="267" t="str">
        <f t="shared" si="34"/>
        <v/>
      </c>
      <c r="X394" s="271">
        <f>IFERROR(INDEX(Rainfall_Dry!$O$2:$O$217,MATCH(B394, Rainfall_Dry!$A$2:$A$217,0)),"")</f>
        <v>162.634207253</v>
      </c>
      <c r="Y394" s="260">
        <v>23.96</v>
      </c>
      <c r="Z394" s="260">
        <v>4.9199999999999982</v>
      </c>
      <c r="AA394" s="260">
        <v>71.12</v>
      </c>
      <c r="AB394" s="261" t="s">
        <v>2670</v>
      </c>
      <c r="AC394" s="260">
        <v>7.3091375061606696</v>
      </c>
      <c r="AD394">
        <f>IF('WetLitterbags placem_collection'!AB175="","",'WetLitterbags placem_collection'!AB175)</f>
        <v>15.4</v>
      </c>
      <c r="AE394">
        <f>IF('WetLitterbags placem_collection'!Z175="","",'WetLitterbags placem_collection'!Z175)</f>
        <v>12.4</v>
      </c>
      <c r="AF394" s="246" t="str">
        <f>IF('WetLitterbags placem_collection'!AA175="","",'WetLitterbags placem_collection'!AA175)</f>
        <v>O</v>
      </c>
      <c r="AG394">
        <f>IF('WetLitterbags placem_collection'!AC175="","",'WetLitterbags placem_collection'!AC175)</f>
        <v>0</v>
      </c>
      <c r="AH394">
        <f>IFERROR(AVERAGE('Dry_Litterbag Placem_Collection'!O175,'Dry_Litterbag Placem_Collection'!R175),"")</f>
        <v>6.3</v>
      </c>
      <c r="AI394" s="271">
        <f>IFERROR(AVERAGE('Dry_Litterbag Placem_Collection'!N175,'Dry_Litterbag Placem_Collection'!Q175),"")</f>
        <v>34.049999999999997</v>
      </c>
      <c r="AJ394" s="270">
        <f>INDEX(Coordinates!$B$2:$B$197,MATCH(G394,Coordinates!$J$2:$J$197,0))</f>
        <v>-2.27856799</v>
      </c>
      <c r="AK394" s="270">
        <f>INDEX(Coordinates!$C$2:$C$197,MATCH(G394,Coordinates!$J$2:$J$197,0))</f>
        <v>34.023969970000003</v>
      </c>
      <c r="AL394" s="270" t="str">
        <f>IF(ISNUMBER(SEARCH("C", 'Dry_Litterbag Placem_Collection'!T175)),"YES","NO")</f>
        <v>NO</v>
      </c>
      <c r="AM394" s="270" t="str">
        <f>IF(ISNUMBER(SEARCH("H", 'Dry_Litterbag Placem_Collection'!T175)),"YES","NO")</f>
        <v>YES</v>
      </c>
      <c r="AN394" s="270" t="str">
        <f>IF(ISNUMBER(SEARCH("R", 'Dry_Litterbag Placem_Collection'!T175)),"YES","NO")</f>
        <v>YES</v>
      </c>
    </row>
    <row r="395" spans="1:40" ht="15" customHeight="1">
      <c r="A395" s="262" t="s">
        <v>2659</v>
      </c>
      <c r="B395" s="263">
        <f>'Dry_Litterbag Placem_Collection'!A176</f>
        <v>174</v>
      </c>
      <c r="C395" s="263" t="str">
        <f>'Dry_Litterbag Placem_Collection'!B176</f>
        <v>Handajega</v>
      </c>
      <c r="D395" s="263" t="s">
        <v>2460</v>
      </c>
      <c r="E395" s="263" t="s">
        <v>2661</v>
      </c>
      <c r="F395" s="263">
        <v>2</v>
      </c>
      <c r="G395" s="264" t="str">
        <f>'Dry_Litterbag Placem_Collection'!C176</f>
        <v>Wet_W2_T6</v>
      </c>
      <c r="H395" s="265" t="s">
        <v>2541</v>
      </c>
      <c r="I395" s="272" t="s">
        <v>298</v>
      </c>
      <c r="J395" s="263" t="str">
        <f>IF(ISBLANK('Dry_Litterbag Placem_Collection'!K176),"","R"&amp;""&amp;'Dry_Litterbag Placem_Collection'!K176)</f>
        <v>R736</v>
      </c>
      <c r="K395" s="267">
        <f>IFERROR(INDEX('Green_rooibos initial weight'!$C$5:$C$1749,MATCH(J395, 'Green_rooibos initial weight'!$A$5:$A$1749,0)),"")</f>
        <v>2.2189999999999999</v>
      </c>
      <c r="L395" s="267">
        <f>IFERROR(K395-(TBIcalc!$Q$9+TBIcalc!$Q$10),"")</f>
        <v>1.9691999999999998</v>
      </c>
      <c r="M395" s="391">
        <f>AVERAGE(Ashed_controlls!$K$12:$K$14)</f>
        <v>2.2816647271287041</v>
      </c>
      <c r="N395" s="267">
        <f t="shared" si="31"/>
        <v>1.9242694581933815</v>
      </c>
      <c r="O395" s="267">
        <f>IF(IFERROR(INDEX('Both teabags AfterDry'!$D$3:$D$900,MATCH(J395,'Both teabags AfterDry'!$A$3:$A$900,0)),"")="","",(IFERROR(INDEX('Both teabags AfterDry'!$D$3:$D$900,MATCH(J395,'Both teabags AfterDry'!$A$3:$A$900,0)),"")))</f>
        <v>1.6238999999999999</v>
      </c>
      <c r="P395" s="267">
        <f>IFERROR(IF(O395&gt;0,O395-(TBIcalc!$Q$9),""),"")</f>
        <v>1.4732999999999998</v>
      </c>
      <c r="Q395" s="278">
        <f>IFERROR(INDEX('Ashed teabags dry'!$K$2:$K$825,MATCH(J395,'Ashed teabags dry'!$A$2:$A$825,0)),"")</f>
        <v>10.510638297872269</v>
      </c>
      <c r="R395" s="278">
        <f t="shared" si="32"/>
        <v>1.3184467659574477</v>
      </c>
      <c r="S395" s="268">
        <f>'Dry_Litterbag Placem_Collection'!E176</f>
        <v>42940</v>
      </c>
      <c r="T395" s="268">
        <f>IF('Dry_Litterbag Placem_Collection'!G176="","",'Dry_Litterbag Placem_Collection'!G176)</f>
        <v>43009</v>
      </c>
      <c r="U395" s="269">
        <f t="shared" si="30"/>
        <v>69</v>
      </c>
      <c r="V395" s="267">
        <f t="shared" si="33"/>
        <v>0.49590000000000001</v>
      </c>
      <c r="W395" s="267">
        <f t="shared" si="34"/>
        <v>0.60582269223593377</v>
      </c>
      <c r="X395" s="271">
        <f>IFERROR(INDEX(Rainfall_Dry!$O$2:$O$217,MATCH(B395, Rainfall_Dry!$A$2:$A$217,0)),"")</f>
        <v>162.634207253</v>
      </c>
      <c r="Y395" s="260">
        <v>23.96</v>
      </c>
      <c r="Z395" s="260">
        <v>4.9199999999999982</v>
      </c>
      <c r="AA395" s="260">
        <v>71.12</v>
      </c>
      <c r="AB395" s="261" t="s">
        <v>2670</v>
      </c>
      <c r="AC395" s="260">
        <v>8.3091375061606705</v>
      </c>
      <c r="AD395">
        <f>IF('WetLitterbags placem_collection'!AB176="","",'WetLitterbags placem_collection'!AB176)</f>
        <v>7.4</v>
      </c>
      <c r="AE395">
        <f>IF('WetLitterbags placem_collection'!Z176="","",'WetLitterbags placem_collection'!Z176)</f>
        <v>7.4</v>
      </c>
      <c r="AF395" s="246" t="str">
        <f>IF('WetLitterbags placem_collection'!AA176="","",'WetLitterbags placem_collection'!AA176)</f>
        <v>O</v>
      </c>
      <c r="AG395">
        <f>IF('WetLitterbags placem_collection'!AC176="","",'WetLitterbags placem_collection'!AC176)</f>
        <v>0</v>
      </c>
      <c r="AH395">
        <f>IFERROR(AVERAGE('Dry_Litterbag Placem_Collection'!O176,'Dry_Litterbag Placem_Collection'!R176),"")</f>
        <v>5.9</v>
      </c>
      <c r="AI395" s="271">
        <f>IFERROR(AVERAGE('Dry_Litterbag Placem_Collection'!N176,'Dry_Litterbag Placem_Collection'!Q176),"")</f>
        <v>33.200000000000003</v>
      </c>
      <c r="AJ395" s="270">
        <f>INDEX(Coordinates!$B$2:$B$197,MATCH(G395,Coordinates!$J$2:$J$197,0))</f>
        <v>-2.2786809780000001</v>
      </c>
      <c r="AK395" s="270">
        <f>INDEX(Coordinates!$C$2:$C$197,MATCH(G395,Coordinates!$J$2:$J$197,0))</f>
        <v>34.02434899</v>
      </c>
      <c r="AL395" s="270" t="str">
        <f>IF(ISNUMBER(SEARCH("C", 'Dry_Litterbag Placem_Collection'!T176)),"YES","NO")</f>
        <v>NO</v>
      </c>
      <c r="AM395" s="270" t="str">
        <f>IF(ISNUMBER(SEARCH("H", 'Dry_Litterbag Placem_Collection'!T176)),"YES","NO")</f>
        <v>NO</v>
      </c>
      <c r="AN395" s="270" t="str">
        <f>IF(ISNUMBER(SEARCH("R", 'Dry_Litterbag Placem_Collection'!T176)),"YES","NO")</f>
        <v>YES</v>
      </c>
    </row>
    <row r="396" spans="1:40" ht="15" customHeight="1">
      <c r="A396" s="262" t="s">
        <v>2659</v>
      </c>
      <c r="B396" s="263">
        <f>'Dry_Litterbag Placem_Collection'!A177</f>
        <v>175</v>
      </c>
      <c r="C396" s="263" t="str">
        <f>'Dry_Litterbag Placem_Collection'!B177</f>
        <v>Handajega</v>
      </c>
      <c r="D396" s="263" t="s">
        <v>2460</v>
      </c>
      <c r="E396" s="263" t="s">
        <v>2661</v>
      </c>
      <c r="F396" s="263">
        <v>2</v>
      </c>
      <c r="G396" s="264" t="str">
        <f>'Dry_Litterbag Placem_Collection'!C177</f>
        <v>Wet_W2_T7</v>
      </c>
      <c r="H396" s="265" t="s">
        <v>2541</v>
      </c>
      <c r="I396" s="272" t="s">
        <v>298</v>
      </c>
      <c r="J396" s="263" t="str">
        <f>IF(ISBLANK('Dry_Litterbag Placem_Collection'!K177),"","R"&amp;""&amp;'Dry_Litterbag Placem_Collection'!K177)</f>
        <v>R338</v>
      </c>
      <c r="K396" s="267">
        <f>IFERROR(INDEX('Green_rooibos initial weight'!$C$5:$C$1749,MATCH(J396, 'Green_rooibos initial weight'!$A$5:$A$1749,0)),"")</f>
        <v>2.1709999999999998</v>
      </c>
      <c r="L396" s="267">
        <f>IFERROR(K396-(TBIcalc!$Q$9+TBIcalc!$Q$10),"")</f>
        <v>1.9211999999999998</v>
      </c>
      <c r="M396" s="391">
        <f>AVERAGE(Ashed_controlls!$K$12:$K$14)</f>
        <v>2.2816647271287041</v>
      </c>
      <c r="N396" s="267">
        <f t="shared" si="31"/>
        <v>1.8773646572624032</v>
      </c>
      <c r="O396" s="267">
        <f>IF(IFERROR(INDEX('Both teabags AfterDry'!$D$3:$D$900,MATCH(J396,'Both teabags AfterDry'!$A$3:$A$900,0)),"")="","",(IFERROR(INDEX('Both teabags AfterDry'!$D$3:$D$900,MATCH(J396,'Both teabags AfterDry'!$A$3:$A$900,0)),"")))</f>
        <v>1.8117000000000001</v>
      </c>
      <c r="P396" s="267">
        <f>IFERROR(IF(O396&gt;0,O396-(TBIcalc!$Q$9),""),"")</f>
        <v>1.6611</v>
      </c>
      <c r="Q396" s="278">
        <f>IFERROR(INDEX('Ashed teabags dry'!$K$2:$K$825,MATCH(J396,'Ashed teabags dry'!$A$2:$A$825,0)),"")</f>
        <v>8.794946550048822</v>
      </c>
      <c r="R396" s="278">
        <f t="shared" si="32"/>
        <v>1.515007142857139</v>
      </c>
      <c r="S396" s="268">
        <f>'Dry_Litterbag Placem_Collection'!E177</f>
        <v>42940</v>
      </c>
      <c r="T396" s="268">
        <f>IF('Dry_Litterbag Placem_Collection'!G177="","",'Dry_Litterbag Placem_Collection'!G177)</f>
        <v>43009</v>
      </c>
      <c r="U396" s="269">
        <f t="shared" si="30"/>
        <v>69</v>
      </c>
      <c r="V396" s="267">
        <f t="shared" si="33"/>
        <v>0.26009999999999978</v>
      </c>
      <c r="W396" s="267">
        <f t="shared" si="34"/>
        <v>0.3623575144052642</v>
      </c>
      <c r="X396" s="271">
        <f>IFERROR(INDEX(Rainfall_Dry!$O$2:$O$217,MATCH(B396, Rainfall_Dry!$A$2:$A$217,0)),"")</f>
        <v>162.634207253</v>
      </c>
      <c r="Y396" s="260">
        <v>23.96</v>
      </c>
      <c r="Z396" s="260">
        <v>4.9199999999999982</v>
      </c>
      <c r="AA396" s="260">
        <v>71.12</v>
      </c>
      <c r="AB396" s="261" t="s">
        <v>2670</v>
      </c>
      <c r="AC396" s="260">
        <v>9.3091375061606705</v>
      </c>
      <c r="AD396">
        <f>IF('WetLitterbags placem_collection'!AB177="","",'WetLitterbags placem_collection'!AB177)</f>
        <v>15.4</v>
      </c>
      <c r="AE396">
        <f>IF('WetLitterbags placem_collection'!Z177="","",'WetLitterbags placem_collection'!Z177)</f>
        <v>9.8000000000000007</v>
      </c>
      <c r="AF396" s="246" t="str">
        <f>IF('WetLitterbags placem_collection'!AA177="","",'WetLitterbags placem_collection'!AA177)</f>
        <v>O</v>
      </c>
      <c r="AG396">
        <f>IF('WetLitterbags placem_collection'!AC177="","",'WetLitterbags placem_collection'!AC177)</f>
        <v>1</v>
      </c>
      <c r="AH396">
        <f>IFERROR(AVERAGE('Dry_Litterbag Placem_Collection'!O177,'Dry_Litterbag Placem_Collection'!R177),"")</f>
        <v>5.9499999999999993</v>
      </c>
      <c r="AI396" s="271">
        <f>IFERROR(AVERAGE('Dry_Litterbag Placem_Collection'!N177,'Dry_Litterbag Placem_Collection'!Q177),"")</f>
        <v>34.049999999999997</v>
      </c>
      <c r="AJ396" s="270">
        <f>INDEX(Coordinates!$B$2:$B$197,MATCH(G396,Coordinates!$J$2:$J$197,0))</f>
        <v>-2.2784219779999999</v>
      </c>
      <c r="AK396" s="270">
        <f>INDEX(Coordinates!$C$2:$C$197,MATCH(G396,Coordinates!$J$2:$J$197,0))</f>
        <v>34.024374979999997</v>
      </c>
      <c r="AL396" s="270" t="str">
        <f>IF(ISNUMBER(SEARCH("C", 'Dry_Litterbag Placem_Collection'!T177)),"YES","NO")</f>
        <v>NO</v>
      </c>
      <c r="AM396" s="270" t="str">
        <f>IF(ISNUMBER(SEARCH("H", 'Dry_Litterbag Placem_Collection'!T177)),"YES","NO")</f>
        <v>NO</v>
      </c>
      <c r="AN396" s="270" t="str">
        <f>IF(ISNUMBER(SEARCH("R", 'Dry_Litterbag Placem_Collection'!T177)),"YES","NO")</f>
        <v>NO</v>
      </c>
    </row>
    <row r="397" spans="1:40" ht="15" customHeight="1">
      <c r="A397" s="262" t="s">
        <v>2659</v>
      </c>
      <c r="B397" s="263">
        <f>'Dry_Litterbag Placem_Collection'!A178</f>
        <v>176</v>
      </c>
      <c r="C397" s="263" t="str">
        <f>'Dry_Litterbag Placem_Collection'!B178</f>
        <v>Handajega</v>
      </c>
      <c r="D397" s="263" t="s">
        <v>2460</v>
      </c>
      <c r="E397" s="263" t="s">
        <v>2661</v>
      </c>
      <c r="F397" s="263">
        <v>2</v>
      </c>
      <c r="G397" s="264" t="str">
        <f>'Dry_Litterbag Placem_Collection'!C178</f>
        <v>Wet_W2_T8</v>
      </c>
      <c r="H397" s="265" t="s">
        <v>2541</v>
      </c>
      <c r="I397" s="272" t="s">
        <v>298</v>
      </c>
      <c r="J397" s="263" t="str">
        <f>IF(ISBLANK('Dry_Litterbag Placem_Collection'!K178),"","R"&amp;""&amp;'Dry_Litterbag Placem_Collection'!K178)</f>
        <v>R52</v>
      </c>
      <c r="K397" s="267">
        <f>IFERROR(INDEX('Green_rooibos initial weight'!$C$5:$C$1749,MATCH(J397, 'Green_rooibos initial weight'!$A$5:$A$1749,0)),"")</f>
        <v>2.1629999999999998</v>
      </c>
      <c r="L397" s="267">
        <f>IFERROR(K397-(TBIcalc!$Q$9+TBIcalc!$Q$10),"")</f>
        <v>1.9131999999999998</v>
      </c>
      <c r="M397" s="391">
        <f>AVERAGE(Ashed_controlls!$K$12:$K$14)</f>
        <v>2.2816647271287041</v>
      </c>
      <c r="N397" s="267">
        <f t="shared" si="31"/>
        <v>1.8695471904405734</v>
      </c>
      <c r="O397" s="267" t="str">
        <f>IF(IFERROR(INDEX('Both teabags AfterDry'!$D$3:$D$900,MATCH(J397,'Both teabags AfterDry'!$A$3:$A$900,0)),"")="","",(IFERROR(INDEX('Both teabags AfterDry'!$D$3:$D$900,MATCH(J397,'Both teabags AfterDry'!$A$3:$A$900,0)),"")))</f>
        <v/>
      </c>
      <c r="P397" s="267" t="str">
        <f>IFERROR(IF(O397&gt;0,O397-(TBIcalc!$Q$9),""),"")</f>
        <v/>
      </c>
      <c r="Q397" s="278">
        <f>IFERROR(INDEX('Ashed teabags dry'!$K$2:$K$825,MATCH(J397,'Ashed teabags dry'!$A$2:$A$825,0)),"")</f>
        <v>93.555555555555571</v>
      </c>
      <c r="R397" s="278" t="str">
        <f t="shared" si="32"/>
        <v/>
      </c>
      <c r="S397" s="268">
        <f>'Dry_Litterbag Placem_Collection'!E178</f>
        <v>42940</v>
      </c>
      <c r="T397" s="268">
        <f>IF('Dry_Litterbag Placem_Collection'!G178="","",'Dry_Litterbag Placem_Collection'!G178)</f>
        <v>43009</v>
      </c>
      <c r="U397" s="269">
        <f t="shared" si="30"/>
        <v>69</v>
      </c>
      <c r="V397" s="267" t="str">
        <f t="shared" si="33"/>
        <v/>
      </c>
      <c r="W397" s="267" t="str">
        <f t="shared" si="34"/>
        <v/>
      </c>
      <c r="X397" s="271">
        <f>IFERROR(INDEX(Rainfall_Dry!$O$2:$O$217,MATCH(B397, Rainfall_Dry!$A$2:$A$217,0)),"")</f>
        <v>162.634207253</v>
      </c>
      <c r="Y397" s="260">
        <v>23.96</v>
      </c>
      <c r="Z397" s="260">
        <v>4.9199999999999982</v>
      </c>
      <c r="AA397" s="260">
        <v>71.12</v>
      </c>
      <c r="AB397" s="261" t="s">
        <v>2670</v>
      </c>
      <c r="AC397" s="260">
        <v>10.309137506160701</v>
      </c>
      <c r="AD397">
        <f>IF('WetLitterbags placem_collection'!AB178="","",'WetLitterbags placem_collection'!AB178)</f>
        <v>6.8</v>
      </c>
      <c r="AE397">
        <f>IF('WetLitterbags placem_collection'!Z178="","",'WetLitterbags placem_collection'!Z178)</f>
        <v>6.9</v>
      </c>
      <c r="AF397" s="246" t="str">
        <f>IF('WetLitterbags placem_collection'!AA178="","",'WetLitterbags placem_collection'!AA178)</f>
        <v>O</v>
      </c>
      <c r="AG397">
        <f>IF('WetLitterbags placem_collection'!AC178="","",'WetLitterbags placem_collection'!AC178)</f>
        <v>0</v>
      </c>
      <c r="AH397">
        <f>IFERROR(AVERAGE('Dry_Litterbag Placem_Collection'!O178,'Dry_Litterbag Placem_Collection'!R178),"")</f>
        <v>4.5999999999999996</v>
      </c>
      <c r="AI397" s="271">
        <f>IFERROR(AVERAGE('Dry_Litterbag Placem_Collection'!N178,'Dry_Litterbag Placem_Collection'!Q178),"")</f>
        <v>34.5</v>
      </c>
      <c r="AJ397" s="270">
        <f>INDEX(Coordinates!$B$2:$B$197,MATCH(G397,Coordinates!$J$2:$J$197,0))</f>
        <v>-2.2782909679999999</v>
      </c>
      <c r="AK397" s="270">
        <f>INDEX(Coordinates!$C$2:$C$197,MATCH(G397,Coordinates!$J$2:$J$197,0))</f>
        <v>34.024574970000003</v>
      </c>
      <c r="AL397" s="270" t="str">
        <f>IF(ISNUMBER(SEARCH("C", 'Dry_Litterbag Placem_Collection'!T178)),"YES","NO")</f>
        <v>NO</v>
      </c>
      <c r="AM397" s="270" t="str">
        <f>IF(ISNUMBER(SEARCH("H", 'Dry_Litterbag Placem_Collection'!T178)),"YES","NO")</f>
        <v>YES</v>
      </c>
      <c r="AN397" s="270" t="str">
        <f>IF(ISNUMBER(SEARCH("R", 'Dry_Litterbag Placem_Collection'!T178)),"YES","NO")</f>
        <v>YES</v>
      </c>
    </row>
    <row r="398" spans="1:40" ht="15" customHeight="1">
      <c r="A398" s="262" t="s">
        <v>2659</v>
      </c>
      <c r="B398" s="263">
        <f>'Dry_Litterbag Placem_Collection'!A179</f>
        <v>177</v>
      </c>
      <c r="C398" s="263" t="str">
        <f>'Dry_Litterbag Placem_Collection'!B179</f>
        <v>Handajega</v>
      </c>
      <c r="D398" s="263" t="s">
        <v>2460</v>
      </c>
      <c r="E398" s="263" t="s">
        <v>2661</v>
      </c>
      <c r="F398" s="263">
        <v>3</v>
      </c>
      <c r="G398" s="264" t="str">
        <f>'Dry_Litterbag Placem_Collection'!C179</f>
        <v>Wet_W3_T1</v>
      </c>
      <c r="H398" s="265" t="s">
        <v>2541</v>
      </c>
      <c r="I398" s="272" t="s">
        <v>298</v>
      </c>
      <c r="J398" s="263" t="str">
        <f>IF(ISBLANK('Dry_Litterbag Placem_Collection'!K179),"","R"&amp;""&amp;'Dry_Litterbag Placem_Collection'!K179)</f>
        <v>R750</v>
      </c>
      <c r="K398" s="267">
        <f>IFERROR(INDEX('Green_rooibos initial weight'!$C$5:$C$1749,MATCH(J398, 'Green_rooibos initial weight'!$A$5:$A$1749,0)),"")</f>
        <v>2.2029999999999998</v>
      </c>
      <c r="L398" s="267">
        <f>IFERROR(K398-(TBIcalc!$Q$9+TBIcalc!$Q$10),"")</f>
        <v>1.9531999999999998</v>
      </c>
      <c r="M398" s="391">
        <f>AVERAGE(Ashed_controlls!$K$12:$K$14)</f>
        <v>2.2816647271287041</v>
      </c>
      <c r="N398" s="267">
        <f t="shared" si="31"/>
        <v>1.908634524549722</v>
      </c>
      <c r="O398" s="267" t="str">
        <f>IF(IFERROR(INDEX('Both teabags AfterDry'!$D$3:$D$900,MATCH(J398,'Both teabags AfterDry'!$A$3:$A$900,0)),"")="","",(IFERROR(INDEX('Both teabags AfterDry'!$D$3:$D$900,MATCH(J398,'Both teabags AfterDry'!$A$3:$A$900,0)),"")))</f>
        <v/>
      </c>
      <c r="P398" s="267" t="str">
        <f>IFERROR(IF(O398&gt;0,O398-(TBIcalc!$Q$9),""),"")</f>
        <v/>
      </c>
      <c r="Q398" s="278" t="str">
        <f>IFERROR(INDEX('Ashed teabags dry'!$K$2:$K$825,MATCH(J398,'Ashed teabags dry'!$A$2:$A$825,0)),"")</f>
        <v/>
      </c>
      <c r="R398" s="278" t="str">
        <f t="shared" si="32"/>
        <v/>
      </c>
      <c r="S398" s="268">
        <f>'Dry_Litterbag Placem_Collection'!E179</f>
        <v>42940</v>
      </c>
      <c r="T398" s="268">
        <f>IF('Dry_Litterbag Placem_Collection'!G179="","",'Dry_Litterbag Placem_Collection'!G179)</f>
        <v>43009</v>
      </c>
      <c r="U398" s="269">
        <f t="shared" si="30"/>
        <v>69</v>
      </c>
      <c r="V398" s="267" t="str">
        <f t="shared" si="33"/>
        <v/>
      </c>
      <c r="W398" s="267" t="str">
        <f t="shared" si="34"/>
        <v/>
      </c>
      <c r="X398" s="271">
        <f>IFERROR(INDEX(Rainfall_Dry!$O$2:$O$217,MATCH(B398, Rainfall_Dry!$A$2:$A$217,0)),"")</f>
        <v>162.634207253</v>
      </c>
      <c r="Y398" s="260">
        <v>25.96</v>
      </c>
      <c r="Z398" s="260">
        <v>8.9200000000000017</v>
      </c>
      <c r="AA398" s="260">
        <v>65.12</v>
      </c>
      <c r="AB398" s="261" t="s">
        <v>2670</v>
      </c>
      <c r="AC398" s="260">
        <v>1.614588467225234</v>
      </c>
      <c r="AD398">
        <f>IF('WetLitterbags placem_collection'!AB179="","",'WetLitterbags placem_collection'!AB179)</f>
        <v>17.8</v>
      </c>
      <c r="AE398">
        <f>IF('WetLitterbags placem_collection'!Z179="","",'WetLitterbags placem_collection'!Z179)</f>
        <v>25.8</v>
      </c>
      <c r="AF398" s="246" t="str">
        <f>IF('WetLitterbags placem_collection'!AA179="","",'WetLitterbags placem_collection'!AA179)</f>
        <v>O</v>
      </c>
      <c r="AG398">
        <f>IF('WetLitterbags placem_collection'!AC179="","",'WetLitterbags placem_collection'!AC179)</f>
        <v>0</v>
      </c>
      <c r="AH398">
        <f>IFERROR(AVERAGE('Dry_Litterbag Placem_Collection'!O179,'Dry_Litterbag Placem_Collection'!R179),"")</f>
        <v>4.6999999999999993</v>
      </c>
      <c r="AI398" s="271">
        <f>IFERROR(AVERAGE('Dry_Litterbag Placem_Collection'!N179,'Dry_Litterbag Placem_Collection'!Q179),"")</f>
        <v>34.150000000000006</v>
      </c>
      <c r="AJ398" s="270">
        <f>INDEX(Coordinates!$B$2:$B$197,MATCH(G398,Coordinates!$J$2:$J$197,0))</f>
        <v>-2.277740026</v>
      </c>
      <c r="AK398" s="270">
        <f>INDEX(Coordinates!$C$2:$C$197,MATCH(G398,Coordinates!$J$2:$J$197,0))</f>
        <v>34.027640990000002</v>
      </c>
      <c r="AL398" s="270" t="str">
        <f>IF(ISNUMBER(SEARCH("C", 'Dry_Litterbag Placem_Collection'!T179)),"YES","NO")</f>
        <v>YES</v>
      </c>
      <c r="AM398" s="270" t="str">
        <f>IF(ISNUMBER(SEARCH("H", 'Dry_Litterbag Placem_Collection'!T179)),"YES","NO")</f>
        <v>YES</v>
      </c>
      <c r="AN398" s="270" t="str">
        <f>IF(ISNUMBER(SEARCH("R", 'Dry_Litterbag Placem_Collection'!T179)),"YES","NO")</f>
        <v>YES</v>
      </c>
    </row>
    <row r="399" spans="1:40" ht="15" customHeight="1">
      <c r="A399" s="262" t="s">
        <v>2659</v>
      </c>
      <c r="B399" s="263">
        <f>'Dry_Litterbag Placem_Collection'!A180</f>
        <v>178</v>
      </c>
      <c r="C399" s="263" t="str">
        <f>'Dry_Litterbag Placem_Collection'!B180</f>
        <v>Handajega</v>
      </c>
      <c r="D399" s="263" t="s">
        <v>2460</v>
      </c>
      <c r="E399" s="263" t="s">
        <v>2661</v>
      </c>
      <c r="F399" s="263">
        <v>3</v>
      </c>
      <c r="G399" s="264" t="str">
        <f>'Dry_Litterbag Placem_Collection'!C180</f>
        <v>Wet_W3_T2</v>
      </c>
      <c r="H399" s="265" t="s">
        <v>2541</v>
      </c>
      <c r="I399" s="272" t="s">
        <v>298</v>
      </c>
      <c r="J399" s="263" t="str">
        <f>IF(ISBLANK('Dry_Litterbag Placem_Collection'!K180),"","R"&amp;""&amp;'Dry_Litterbag Placem_Collection'!K180)</f>
        <v>R612</v>
      </c>
      <c r="K399" s="267">
        <f>IFERROR(INDEX('Green_rooibos initial weight'!$C$5:$C$1749,MATCH(J399, 'Green_rooibos initial weight'!$A$5:$A$1749,0)),"")</f>
        <v>2.11</v>
      </c>
      <c r="L399" s="267">
        <f>IFERROR(K399-(TBIcalc!$Q$9+TBIcalc!$Q$10),"")</f>
        <v>1.8601999999999999</v>
      </c>
      <c r="M399" s="391">
        <f>AVERAGE(Ashed_controlls!$K$12:$K$14)</f>
        <v>2.2816647271287041</v>
      </c>
      <c r="N399" s="267">
        <f t="shared" si="31"/>
        <v>1.8177564727459516</v>
      </c>
      <c r="O399" s="267" t="str">
        <f>IF(IFERROR(INDEX('Both teabags AfterDry'!$D$3:$D$900,MATCH(J399,'Both teabags AfterDry'!$A$3:$A$900,0)),"")="","",(IFERROR(INDEX('Both teabags AfterDry'!$D$3:$D$900,MATCH(J399,'Both teabags AfterDry'!$A$3:$A$900,0)),"")))</f>
        <v/>
      </c>
      <c r="P399" s="267" t="str">
        <f>IFERROR(IF(O399&gt;0,O399-(TBIcalc!$Q$9),""),"")</f>
        <v/>
      </c>
      <c r="Q399" s="278">
        <f>IFERROR(INDEX('Ashed teabags dry'!$K$2:$K$825,MATCH(J399,'Ashed teabags dry'!$A$2:$A$825,0)),"")</f>
        <v>94.417238001958822</v>
      </c>
      <c r="R399" s="278" t="str">
        <f t="shared" si="32"/>
        <v/>
      </c>
      <c r="S399" s="268">
        <f>'Dry_Litterbag Placem_Collection'!E180</f>
        <v>42940</v>
      </c>
      <c r="T399" s="268">
        <f>IF('Dry_Litterbag Placem_Collection'!G180="","",'Dry_Litterbag Placem_Collection'!G180)</f>
        <v>43009</v>
      </c>
      <c r="U399" s="269">
        <f t="shared" si="30"/>
        <v>69</v>
      </c>
      <c r="V399" s="267" t="str">
        <f t="shared" si="33"/>
        <v/>
      </c>
      <c r="W399" s="267" t="str">
        <f t="shared" si="34"/>
        <v/>
      </c>
      <c r="X399" s="271">
        <f>IFERROR(INDEX(Rainfall_Dry!$O$2:$O$217,MATCH(B399, Rainfall_Dry!$A$2:$A$217,0)),"")</f>
        <v>162.634207253</v>
      </c>
      <c r="Y399" s="260">
        <v>25.96</v>
      </c>
      <c r="Z399" s="260">
        <v>8.9200000000000017</v>
      </c>
      <c r="AA399" s="260">
        <v>65.12</v>
      </c>
      <c r="AB399" s="261" t="s">
        <v>2670</v>
      </c>
      <c r="AC399" s="260">
        <v>2.61458846722523</v>
      </c>
      <c r="AD399">
        <f>IF('WetLitterbags placem_collection'!AB180="","",'WetLitterbags placem_collection'!AB180)</f>
        <v>15.4</v>
      </c>
      <c r="AE399">
        <f>IF('WetLitterbags placem_collection'!Z180="","",'WetLitterbags placem_collection'!Z180)</f>
        <v>18.8</v>
      </c>
      <c r="AF399" s="246" t="str">
        <f>IF('WetLitterbags placem_collection'!AA180="","",'WetLitterbags placem_collection'!AA180)</f>
        <v>O</v>
      </c>
      <c r="AG399">
        <f>IF('WetLitterbags placem_collection'!AC180="","",'WetLitterbags placem_collection'!AC180)</f>
        <v>1</v>
      </c>
      <c r="AH399">
        <f>IFERROR(AVERAGE('Dry_Litterbag Placem_Collection'!O180,'Dry_Litterbag Placem_Collection'!R180),"")</f>
        <v>4.5</v>
      </c>
      <c r="AI399" s="271">
        <f>IFERROR(AVERAGE('Dry_Litterbag Placem_Collection'!N180,'Dry_Litterbag Placem_Collection'!Q180),"")</f>
        <v>35.799999999999997</v>
      </c>
      <c r="AJ399" s="270">
        <f>INDEX(Coordinates!$B$2:$B$197,MATCH(G399,Coordinates!$J$2:$J$197,0))</f>
        <v>-2.2777889760000001</v>
      </c>
      <c r="AK399" s="270">
        <f>INDEX(Coordinates!$C$2:$C$197,MATCH(G399,Coordinates!$J$2:$J$197,0))</f>
        <v>34.027664960000003</v>
      </c>
      <c r="AL399" s="270" t="str">
        <f>IF(ISNUMBER(SEARCH("C", 'Dry_Litterbag Placem_Collection'!T180)),"YES","NO")</f>
        <v>YES</v>
      </c>
      <c r="AM399" s="270" t="str">
        <f>IF(ISNUMBER(SEARCH("H", 'Dry_Litterbag Placem_Collection'!T180)),"YES","NO")</f>
        <v>YES</v>
      </c>
      <c r="AN399" s="270" t="str">
        <f>IF(ISNUMBER(SEARCH("R", 'Dry_Litterbag Placem_Collection'!T180)),"YES","NO")</f>
        <v>NO</v>
      </c>
    </row>
    <row r="400" spans="1:40" ht="15" customHeight="1">
      <c r="A400" s="262" t="s">
        <v>2659</v>
      </c>
      <c r="B400" s="263">
        <f>'Dry_Litterbag Placem_Collection'!A181</f>
        <v>179</v>
      </c>
      <c r="C400" s="263" t="str">
        <f>'Dry_Litterbag Placem_Collection'!B181</f>
        <v>Handajega</v>
      </c>
      <c r="D400" s="263" t="s">
        <v>2460</v>
      </c>
      <c r="E400" s="263" t="s">
        <v>2661</v>
      </c>
      <c r="F400" s="263">
        <v>3</v>
      </c>
      <c r="G400" s="264" t="str">
        <f>'Dry_Litterbag Placem_Collection'!C181</f>
        <v>Wet_W3_T3</v>
      </c>
      <c r="H400" s="265" t="s">
        <v>2541</v>
      </c>
      <c r="I400" s="272" t="s">
        <v>298</v>
      </c>
      <c r="J400" s="263" t="str">
        <f>IF(ISBLANK('Dry_Litterbag Placem_Collection'!K181),"","R"&amp;""&amp;'Dry_Litterbag Placem_Collection'!K181)</f>
        <v>R491</v>
      </c>
      <c r="K400" s="267">
        <f>IFERROR(INDEX('Green_rooibos initial weight'!$C$5:$C$1749,MATCH(J400, 'Green_rooibos initial weight'!$A$5:$A$1749,0)),"")</f>
        <v>2.2690000000000001</v>
      </c>
      <c r="L400" s="267">
        <f>IFERROR(K400-(TBIcalc!$Q$9+TBIcalc!$Q$10),"")</f>
        <v>2.0192000000000001</v>
      </c>
      <c r="M400" s="391">
        <f>AVERAGE(Ashed_controlls!$K$12:$K$14)</f>
        <v>2.2816647271287041</v>
      </c>
      <c r="N400" s="267">
        <f t="shared" si="31"/>
        <v>1.9731286258298173</v>
      </c>
      <c r="O400" s="267">
        <f>IF(IFERROR(INDEX('Both teabags AfterDry'!$D$3:$D$900,MATCH(J400,'Both teabags AfterDry'!$A$3:$A$900,0)),"")="","",(IFERROR(INDEX('Both teabags AfterDry'!$D$3:$D$900,MATCH(J400,'Both teabags AfterDry'!$A$3:$A$900,0)),"")))</f>
        <v>2.0198</v>
      </c>
      <c r="P400" s="267">
        <f>IFERROR(IF(O400&gt;0,O400-(TBIcalc!$Q$9),""),"")</f>
        <v>1.8692</v>
      </c>
      <c r="Q400" s="278">
        <f>IFERROR(INDEX('Ashed teabags dry'!$K$2:$K$825,MATCH(J400,'Ashed teabags dry'!$A$2:$A$825,0)),"")</f>
        <v>14.684287812040845</v>
      </c>
      <c r="R400" s="278">
        <f t="shared" si="32"/>
        <v>1.5947212922173324</v>
      </c>
      <c r="S400" s="268">
        <f>'Dry_Litterbag Placem_Collection'!E181</f>
        <v>42940</v>
      </c>
      <c r="T400" s="268">
        <f>IF('Dry_Litterbag Placem_Collection'!G181="","",'Dry_Litterbag Placem_Collection'!G181)</f>
        <v>43009</v>
      </c>
      <c r="U400" s="269">
        <f t="shared" si="30"/>
        <v>69</v>
      </c>
      <c r="V400" s="267">
        <f t="shared" si="33"/>
        <v>0.15000000000000013</v>
      </c>
      <c r="W400" s="267">
        <f t="shared" si="34"/>
        <v>0.37840733361248491</v>
      </c>
      <c r="X400" s="271">
        <f>IFERROR(INDEX(Rainfall_Dry!$O$2:$O$217,MATCH(B400, Rainfall_Dry!$A$2:$A$217,0)),"")</f>
        <v>162.634207253</v>
      </c>
      <c r="Y400" s="260">
        <v>25.96</v>
      </c>
      <c r="Z400" s="260">
        <v>8.9200000000000017</v>
      </c>
      <c r="AA400" s="260">
        <v>65.12</v>
      </c>
      <c r="AB400" s="261" t="s">
        <v>2670</v>
      </c>
      <c r="AC400" s="260">
        <v>3.61458846722523</v>
      </c>
      <c r="AD400">
        <f>IF('WetLitterbags placem_collection'!AB181="","",'WetLitterbags placem_collection'!AB181)</f>
        <v>11.8</v>
      </c>
      <c r="AE400">
        <f>IF('WetLitterbags placem_collection'!Z181="","",'WetLitterbags placem_collection'!Z181)</f>
        <v>15.4</v>
      </c>
      <c r="AF400" s="246" t="str">
        <f>IF('WetLitterbags placem_collection'!AA181="","",'WetLitterbags placem_collection'!AA181)</f>
        <v>O</v>
      </c>
      <c r="AG400">
        <f>IF('WetLitterbags placem_collection'!AC181="","",'WetLitterbags placem_collection'!AC181)</f>
        <v>1</v>
      </c>
      <c r="AH400">
        <f>IFERROR(AVERAGE('Dry_Litterbag Placem_Collection'!O181,'Dry_Litterbag Placem_Collection'!R181),"")</f>
        <v>5.8</v>
      </c>
      <c r="AI400" s="271">
        <f>IFERROR(AVERAGE('Dry_Litterbag Placem_Collection'!N181,'Dry_Litterbag Placem_Collection'!Q181),"")</f>
        <v>34.75</v>
      </c>
      <c r="AJ400" s="270">
        <f>INDEX(Coordinates!$B$2:$B$197,MATCH(G400,Coordinates!$J$2:$J$197,0))</f>
        <v>-2.2778579589999999</v>
      </c>
      <c r="AK400" s="270">
        <f>INDEX(Coordinates!$C$2:$C$197,MATCH(G400,Coordinates!$J$2:$J$197,0))</f>
        <v>34.027682980000002</v>
      </c>
      <c r="AL400" s="270" t="str">
        <f>IF(ISNUMBER(SEARCH("C", 'Dry_Litterbag Placem_Collection'!T181)),"YES","NO")</f>
        <v>NO</v>
      </c>
      <c r="AM400" s="270" t="str">
        <f>IF(ISNUMBER(SEARCH("H", 'Dry_Litterbag Placem_Collection'!T181)),"YES","NO")</f>
        <v>NO</v>
      </c>
      <c r="AN400" s="270" t="str">
        <f>IF(ISNUMBER(SEARCH("R", 'Dry_Litterbag Placem_Collection'!T181)),"YES","NO")</f>
        <v>YES</v>
      </c>
    </row>
    <row r="401" spans="1:40" ht="15" customHeight="1">
      <c r="A401" s="262" t="s">
        <v>2659</v>
      </c>
      <c r="B401" s="263">
        <f>'Dry_Litterbag Placem_Collection'!A182</f>
        <v>180</v>
      </c>
      <c r="C401" s="263" t="str">
        <f>'Dry_Litterbag Placem_Collection'!B182</f>
        <v>Handajega</v>
      </c>
      <c r="D401" s="263" t="s">
        <v>2460</v>
      </c>
      <c r="E401" s="263" t="s">
        <v>2661</v>
      </c>
      <c r="F401" s="263">
        <v>3</v>
      </c>
      <c r="G401" s="264" t="str">
        <f>'Dry_Litterbag Placem_Collection'!C182</f>
        <v>Wet_W3_T4</v>
      </c>
      <c r="H401" s="265" t="s">
        <v>2541</v>
      </c>
      <c r="I401" s="272" t="s">
        <v>298</v>
      </c>
      <c r="J401" s="263" t="str">
        <f>IF(ISBLANK('Dry_Litterbag Placem_Collection'!K182),"","R"&amp;""&amp;'Dry_Litterbag Placem_Collection'!K182)</f>
        <v>R325</v>
      </c>
      <c r="K401" s="267">
        <f>IFERROR(INDEX('Green_rooibos initial weight'!$C$5:$C$1749,MATCH(J401, 'Green_rooibos initial weight'!$A$5:$A$1749,0)),"")</f>
        <v>2.2069999999999999</v>
      </c>
      <c r="L401" s="267">
        <f>IFERROR(K401-(TBIcalc!$Q$9+TBIcalc!$Q$10),"")</f>
        <v>1.9571999999999998</v>
      </c>
      <c r="M401" s="391">
        <f>AVERAGE(Ashed_controlls!$K$12:$K$14)</f>
        <v>2.2816647271287041</v>
      </c>
      <c r="N401" s="267">
        <f t="shared" si="31"/>
        <v>1.9125432579606367</v>
      </c>
      <c r="O401" s="267">
        <f>IF(IFERROR(INDEX('Both teabags AfterDry'!$D$3:$D$900,MATCH(J401,'Both teabags AfterDry'!$A$3:$A$900,0)),"")="","",(IFERROR(INDEX('Both teabags AfterDry'!$D$3:$D$900,MATCH(J401,'Both teabags AfterDry'!$A$3:$A$900,0)),"")))</f>
        <v>1.6720999999999999</v>
      </c>
      <c r="P401" s="267">
        <f>IFERROR(IF(O401&gt;0,O401-(TBIcalc!$Q$9),""),"")</f>
        <v>1.5214999999999999</v>
      </c>
      <c r="Q401" s="278">
        <f>IFERROR(INDEX('Ashed teabags dry'!$K$2:$K$825,MATCH(J401,'Ashed teabags dry'!$A$2:$A$825,0)),"")</f>
        <v>6.4801178203239465</v>
      </c>
      <c r="R401" s="278">
        <f t="shared" si="32"/>
        <v>1.422905007363771</v>
      </c>
      <c r="S401" s="268">
        <f>'Dry_Litterbag Placem_Collection'!E182</f>
        <v>42940</v>
      </c>
      <c r="T401" s="268">
        <f>IF('Dry_Litterbag Placem_Collection'!G182="","",'Dry_Litterbag Placem_Collection'!G182)</f>
        <v>43009</v>
      </c>
      <c r="U401" s="269">
        <f t="shared" si="30"/>
        <v>69</v>
      </c>
      <c r="V401" s="267">
        <f t="shared" si="33"/>
        <v>0.43569999999999998</v>
      </c>
      <c r="W401" s="267">
        <f t="shared" si="34"/>
        <v>0.48963825059686572</v>
      </c>
      <c r="X401" s="271">
        <f>IFERROR(INDEX(Rainfall_Dry!$O$2:$O$217,MATCH(B401, Rainfall_Dry!$A$2:$A$217,0)),"")</f>
        <v>162.634207253</v>
      </c>
      <c r="Y401" s="260">
        <v>25.96</v>
      </c>
      <c r="Z401" s="260">
        <v>8.9200000000000017</v>
      </c>
      <c r="AA401" s="260">
        <v>65.12</v>
      </c>
      <c r="AB401" s="261" t="s">
        <v>2670</v>
      </c>
      <c r="AC401" s="260">
        <v>4.6145884672252304</v>
      </c>
      <c r="AD401">
        <f>IF('WetLitterbags placem_collection'!AB182="","",'WetLitterbags placem_collection'!AB182)</f>
        <v>8.3000000000000007</v>
      </c>
      <c r="AE401">
        <f>IF('WetLitterbags placem_collection'!Z182="","",'WetLitterbags placem_collection'!Z182)</f>
        <v>35</v>
      </c>
      <c r="AF401" s="246" t="str">
        <f>IF('WetLitterbags placem_collection'!AA182="","",'WetLitterbags placem_collection'!AA182)</f>
        <v>O</v>
      </c>
      <c r="AG401">
        <f>IF('WetLitterbags placem_collection'!AC182="","",'WetLitterbags placem_collection'!AC182)</f>
        <v>0</v>
      </c>
      <c r="AH401">
        <f>IFERROR(AVERAGE('Dry_Litterbag Placem_Collection'!O182,'Dry_Litterbag Placem_Collection'!R182),"")</f>
        <v>5.3</v>
      </c>
      <c r="AI401" s="271">
        <f>IFERROR(AVERAGE('Dry_Litterbag Placem_Collection'!N182,'Dry_Litterbag Placem_Collection'!Q182),"")</f>
        <v>31</v>
      </c>
      <c r="AJ401" s="270">
        <f>INDEX(Coordinates!$B$2:$B$197,MATCH(G401,Coordinates!$J$2:$J$197,0))</f>
        <v>-2.2780199809999999</v>
      </c>
      <c r="AK401" s="270">
        <f>INDEX(Coordinates!$C$2:$C$197,MATCH(G401,Coordinates!$J$2:$J$197,0))</f>
        <v>34.027705019999999</v>
      </c>
      <c r="AL401" s="270" t="str">
        <f>IF(ISNUMBER(SEARCH("C", 'Dry_Litterbag Placem_Collection'!T182)),"YES","NO")</f>
        <v>NO</v>
      </c>
      <c r="AM401" s="270" t="str">
        <f>IF(ISNUMBER(SEARCH("H", 'Dry_Litterbag Placem_Collection'!T182)),"YES","NO")</f>
        <v>NO</v>
      </c>
      <c r="AN401" s="270" t="str">
        <f>IF(ISNUMBER(SEARCH("R", 'Dry_Litterbag Placem_Collection'!T182)),"YES","NO")</f>
        <v>NO</v>
      </c>
    </row>
    <row r="402" spans="1:40" ht="15" customHeight="1">
      <c r="A402" s="262" t="s">
        <v>2659</v>
      </c>
      <c r="B402" s="263">
        <f>'Dry_Litterbag Placem_Collection'!A183</f>
        <v>181</v>
      </c>
      <c r="C402" s="263" t="str">
        <f>'Dry_Litterbag Placem_Collection'!B183</f>
        <v>Handajega</v>
      </c>
      <c r="D402" s="263" t="s">
        <v>2460</v>
      </c>
      <c r="E402" s="263" t="s">
        <v>2661</v>
      </c>
      <c r="F402" s="263">
        <v>3</v>
      </c>
      <c r="G402" s="264" t="str">
        <f>'Dry_Litterbag Placem_Collection'!C183</f>
        <v>Wet_W3_T5</v>
      </c>
      <c r="H402" s="265" t="s">
        <v>2541</v>
      </c>
      <c r="I402" s="272" t="s">
        <v>298</v>
      </c>
      <c r="J402" s="263" t="str">
        <f>IF(ISBLANK('Dry_Litterbag Placem_Collection'!K183),"","R"&amp;""&amp;'Dry_Litterbag Placem_Collection'!K183)</f>
        <v>R116</v>
      </c>
      <c r="K402" s="267">
        <f>IFERROR(INDEX('Green_rooibos initial weight'!$C$5:$C$1749,MATCH(J402, 'Green_rooibos initial weight'!$A$5:$A$1749,0)),"")</f>
        <v>2.2909999999999999</v>
      </c>
      <c r="L402" s="267">
        <f>IFERROR(K402-(TBIcalc!$Q$9+TBIcalc!$Q$10),"")</f>
        <v>2.0411999999999999</v>
      </c>
      <c r="M402" s="391">
        <f>AVERAGE(Ashed_controlls!$K$12:$K$14)</f>
        <v>2.2816647271287041</v>
      </c>
      <c r="N402" s="267">
        <f t="shared" si="31"/>
        <v>1.9946266595898487</v>
      </c>
      <c r="O402" s="267">
        <f>IF(IFERROR(INDEX('Both teabags AfterDry'!$D$3:$D$900,MATCH(J402,'Both teabags AfterDry'!$A$3:$A$900,0)),"")="","",(IFERROR(INDEX('Both teabags AfterDry'!$D$3:$D$900,MATCH(J402,'Both teabags AfterDry'!$A$3:$A$900,0)),"")))</f>
        <v>2.0322</v>
      </c>
      <c r="P402" s="267">
        <f>IFERROR(IF(O402&gt;0,O402-(TBIcalc!$Q$9),""),"")</f>
        <v>1.8815999999999999</v>
      </c>
      <c r="Q402" s="278">
        <f>IFERROR(INDEX('Ashed teabags dry'!$K$2:$K$825,MATCH(J402,'Ashed teabags dry'!$A$2:$A$825,0)),"")</f>
        <v>7.2674418604643565</v>
      </c>
      <c r="R402" s="278">
        <f t="shared" si="32"/>
        <v>1.7448558139535026</v>
      </c>
      <c r="S402" s="268">
        <f>'Dry_Litterbag Placem_Collection'!E183</f>
        <v>42940</v>
      </c>
      <c r="T402" s="268">
        <f>IF('Dry_Litterbag Placem_Collection'!G183="","",'Dry_Litterbag Placem_Collection'!G183)</f>
        <v>43009</v>
      </c>
      <c r="U402" s="269">
        <f t="shared" si="30"/>
        <v>69</v>
      </c>
      <c r="V402" s="267">
        <f t="shared" si="33"/>
        <v>0.15959999999999996</v>
      </c>
      <c r="W402" s="267">
        <f t="shared" si="34"/>
        <v>0.24977084563634611</v>
      </c>
      <c r="X402" s="271">
        <f>IFERROR(INDEX(Rainfall_Dry!$O$2:$O$217,MATCH(B402, Rainfall_Dry!$A$2:$A$217,0)),"")</f>
        <v>162.634207253</v>
      </c>
      <c r="Y402" s="260">
        <v>25.96</v>
      </c>
      <c r="Z402" s="260">
        <v>8.9200000000000017</v>
      </c>
      <c r="AA402" s="260">
        <v>65.12</v>
      </c>
      <c r="AB402" s="261" t="s">
        <v>2670</v>
      </c>
      <c r="AC402" s="260">
        <v>5.6145884672252304</v>
      </c>
      <c r="AD402">
        <f>IF('WetLitterbags placem_collection'!AB183="","",'WetLitterbags placem_collection'!AB183)</f>
        <v>11.4</v>
      </c>
      <c r="AE402">
        <f>IF('WetLitterbags placem_collection'!Z183="","",'WetLitterbags placem_collection'!Z183)</f>
        <v>15.8</v>
      </c>
      <c r="AF402" s="246" t="str">
        <f>IF('WetLitterbags placem_collection'!AA183="","",'WetLitterbags placem_collection'!AA183)</f>
        <v>O</v>
      </c>
      <c r="AG402">
        <f>IF('WetLitterbags placem_collection'!AC183="","",'WetLitterbags placem_collection'!AC183)</f>
        <v>1</v>
      </c>
      <c r="AH402">
        <f>IFERROR(AVERAGE('Dry_Litterbag Placem_Collection'!O183,'Dry_Litterbag Placem_Collection'!R183),"")</f>
        <v>4.3000000000000007</v>
      </c>
      <c r="AI402" s="271">
        <f>IFERROR(AVERAGE('Dry_Litterbag Placem_Collection'!N183,'Dry_Litterbag Placem_Collection'!Q183),"")</f>
        <v>35.099999999999994</v>
      </c>
      <c r="AJ402" s="270">
        <f>INDEX(Coordinates!$B$2:$B$197,MATCH(G402,Coordinates!$J$2:$J$197,0))</f>
        <v>-2.2777329850000001</v>
      </c>
      <c r="AK402" s="270">
        <f>INDEX(Coordinates!$C$2:$C$197,MATCH(G402,Coordinates!$J$2:$J$197,0))</f>
        <v>34.027422970000003</v>
      </c>
      <c r="AL402" s="270" t="str">
        <f>IF(ISNUMBER(SEARCH("C", 'Dry_Litterbag Placem_Collection'!T183)),"YES","NO")</f>
        <v>NO</v>
      </c>
      <c r="AM402" s="270" t="str">
        <f>IF(ISNUMBER(SEARCH("H", 'Dry_Litterbag Placem_Collection'!T183)),"YES","NO")</f>
        <v>NO</v>
      </c>
      <c r="AN402" s="270" t="str">
        <f>IF(ISNUMBER(SEARCH("R", 'Dry_Litterbag Placem_Collection'!T183)),"YES","NO")</f>
        <v>YES</v>
      </c>
    </row>
    <row r="403" spans="1:40" ht="15" customHeight="1">
      <c r="A403" s="262" t="s">
        <v>2659</v>
      </c>
      <c r="B403" s="263">
        <f>'Dry_Litterbag Placem_Collection'!A184</f>
        <v>182</v>
      </c>
      <c r="C403" s="263" t="str">
        <f>'Dry_Litterbag Placem_Collection'!B184</f>
        <v>Handajega</v>
      </c>
      <c r="D403" s="263" t="s">
        <v>2460</v>
      </c>
      <c r="E403" s="263" t="s">
        <v>2661</v>
      </c>
      <c r="F403" s="263">
        <v>3</v>
      </c>
      <c r="G403" s="264" t="str">
        <f>'Dry_Litterbag Placem_Collection'!C184</f>
        <v>Wet_W3_T6</v>
      </c>
      <c r="H403" s="265" t="s">
        <v>2541</v>
      </c>
      <c r="I403" s="272" t="s">
        <v>298</v>
      </c>
      <c r="J403" s="263" t="str">
        <f>IF(ISBLANK('Dry_Litterbag Placem_Collection'!K184),"","R"&amp;""&amp;'Dry_Litterbag Placem_Collection'!K184)</f>
        <v>R613</v>
      </c>
      <c r="K403" s="267">
        <f>IFERROR(INDEX('Green_rooibos initial weight'!$C$5:$C$1749,MATCH(J403, 'Green_rooibos initial weight'!$A$5:$A$1749,0)),"")</f>
        <v>2.1680000000000001</v>
      </c>
      <c r="L403" s="267">
        <f>IFERROR(K403-(TBIcalc!$Q$9+TBIcalc!$Q$10),"")</f>
        <v>1.9182000000000001</v>
      </c>
      <c r="M403" s="391">
        <f>AVERAGE(Ashed_controlls!$K$12:$K$14)</f>
        <v>2.2816647271287041</v>
      </c>
      <c r="N403" s="267">
        <f t="shared" si="31"/>
        <v>1.8744331072042173</v>
      </c>
      <c r="O403" s="267">
        <f>IF(IFERROR(INDEX('Both teabags AfterDry'!$D$3:$D$900,MATCH(J403,'Both teabags AfterDry'!$A$3:$A$900,0)),"")="","",(IFERROR(INDEX('Both teabags AfterDry'!$D$3:$D$900,MATCH(J403,'Both teabags AfterDry'!$A$3:$A$900,0)),"")))</f>
        <v>1.7827</v>
      </c>
      <c r="P403" s="267">
        <f>IFERROR(IF(O403&gt;0,O403-(TBIcalc!$Q$9),""),"")</f>
        <v>1.6320999999999999</v>
      </c>
      <c r="Q403" s="278">
        <f>IFERROR(INDEX('Ashed teabags dry'!$K$2:$K$825,MATCH(J403,'Ashed teabags dry'!$A$2:$A$825,0)),"")</f>
        <v>22.3821339950374</v>
      </c>
      <c r="R403" s="278">
        <f t="shared" si="32"/>
        <v>1.2668011910669945</v>
      </c>
      <c r="S403" s="268">
        <f>'Dry_Litterbag Placem_Collection'!E184</f>
        <v>42940</v>
      </c>
      <c r="T403" s="268">
        <f>IF('Dry_Litterbag Placem_Collection'!G184="","",'Dry_Litterbag Placem_Collection'!G184)</f>
        <v>43009</v>
      </c>
      <c r="U403" s="269">
        <f t="shared" si="30"/>
        <v>69</v>
      </c>
      <c r="V403" s="267">
        <f t="shared" si="33"/>
        <v>0.28610000000000024</v>
      </c>
      <c r="W403" s="267">
        <f t="shared" si="34"/>
        <v>0.60763191613722278</v>
      </c>
      <c r="X403" s="271">
        <f>IFERROR(INDEX(Rainfall_Dry!$O$2:$O$217,MATCH(B403, Rainfall_Dry!$A$2:$A$217,0)),"")</f>
        <v>162.634207253</v>
      </c>
      <c r="Y403" s="260">
        <v>25.96</v>
      </c>
      <c r="Z403" s="260">
        <v>8.9200000000000017</v>
      </c>
      <c r="AA403" s="260">
        <v>65.12</v>
      </c>
      <c r="AB403" s="261" t="s">
        <v>2670</v>
      </c>
      <c r="AC403" s="260">
        <v>6.6145884672252304</v>
      </c>
      <c r="AD403">
        <f>IF('WetLitterbags placem_collection'!AB184="","",'WetLitterbags placem_collection'!AB184)</f>
        <v>8.8000000000000007</v>
      </c>
      <c r="AE403">
        <f>IF('WetLitterbags placem_collection'!Z184="","",'WetLitterbags placem_collection'!Z184)</f>
        <v>15.8</v>
      </c>
      <c r="AF403" s="246" t="str">
        <f>IF('WetLitterbags placem_collection'!AA184="","",'WetLitterbags placem_collection'!AA184)</f>
        <v>O</v>
      </c>
      <c r="AG403">
        <f>IF('WetLitterbags placem_collection'!AC184="","",'WetLitterbags placem_collection'!AC184)</f>
        <v>1</v>
      </c>
      <c r="AH403">
        <f>IFERROR(AVERAGE('Dry_Litterbag Placem_Collection'!O184,'Dry_Litterbag Placem_Collection'!R184),"")</f>
        <v>6.55</v>
      </c>
      <c r="AI403" s="271">
        <f>IFERROR(AVERAGE('Dry_Litterbag Placem_Collection'!N184,'Dry_Litterbag Placem_Collection'!Q184),"")</f>
        <v>36.400000000000006</v>
      </c>
      <c r="AJ403" s="270">
        <f>INDEX(Coordinates!$B$2:$B$197,MATCH(G403,Coordinates!$J$2:$J$197,0))</f>
        <v>-2.2777009659999998</v>
      </c>
      <c r="AK403" s="270">
        <f>INDEX(Coordinates!$C$2:$C$197,MATCH(G403,Coordinates!$J$2:$J$197,0))</f>
        <v>34.027393969999999</v>
      </c>
      <c r="AL403" s="270" t="str">
        <f>IF(ISNUMBER(SEARCH("C", 'Dry_Litterbag Placem_Collection'!T184)),"YES","NO")</f>
        <v>YES</v>
      </c>
      <c r="AM403" s="270" t="str">
        <f>IF(ISNUMBER(SEARCH("H", 'Dry_Litterbag Placem_Collection'!T184)),"YES","NO")</f>
        <v>YES</v>
      </c>
      <c r="AN403" s="270" t="str">
        <f>IF(ISNUMBER(SEARCH("R", 'Dry_Litterbag Placem_Collection'!T184)),"YES","NO")</f>
        <v>YES</v>
      </c>
    </row>
    <row r="404" spans="1:40" ht="15" customHeight="1">
      <c r="A404" s="262" t="s">
        <v>2659</v>
      </c>
      <c r="B404" s="263">
        <f>'Dry_Litterbag Placem_Collection'!A185</f>
        <v>183</v>
      </c>
      <c r="C404" s="263" t="str">
        <f>'Dry_Litterbag Placem_Collection'!B185</f>
        <v>Handajega</v>
      </c>
      <c r="D404" s="263" t="s">
        <v>2460</v>
      </c>
      <c r="E404" s="263" t="s">
        <v>2661</v>
      </c>
      <c r="F404" s="263">
        <v>3</v>
      </c>
      <c r="G404" s="264" t="str">
        <f>'Dry_Litterbag Placem_Collection'!C185</f>
        <v>Wet_W3_T7</v>
      </c>
      <c r="H404" s="265" t="s">
        <v>2541</v>
      </c>
      <c r="I404" s="272" t="s">
        <v>298</v>
      </c>
      <c r="J404" s="263" t="str">
        <f>IF(ISBLANK('Dry_Litterbag Placem_Collection'!K185),"","R"&amp;""&amp;'Dry_Litterbag Placem_Collection'!K185)</f>
        <v/>
      </c>
      <c r="K404" s="267" t="str">
        <f>IFERROR(INDEX('Green_rooibos initial weight'!$C$5:$C$1749,MATCH(J404, 'Green_rooibos initial weight'!$A$5:$A$1749,0)),"")</f>
        <v/>
      </c>
      <c r="L404" s="267" t="str">
        <f>IFERROR(K404-(TBIcalc!$Q$9+TBIcalc!$Q$10),"")</f>
        <v/>
      </c>
      <c r="M404" s="391">
        <f>AVERAGE(Ashed_controlls!$K$12:$K$14)</f>
        <v>2.2816647271287041</v>
      </c>
      <c r="N404" s="267" t="str">
        <f t="shared" si="31"/>
        <v/>
      </c>
      <c r="O404" s="267" t="str">
        <f>IF(IFERROR(INDEX('Both teabags AfterDry'!$D$3:$D$900,MATCH(J404,'Both teabags AfterDry'!$A$3:$A$900,0)),"")="","",(IFERROR(INDEX('Both teabags AfterDry'!$D$3:$D$900,MATCH(J404,'Both teabags AfterDry'!$A$3:$A$900,0)),"")))</f>
        <v/>
      </c>
      <c r="P404" s="267" t="str">
        <f>IFERROR(IF(O404&gt;0,O404-(TBIcalc!$Q$9),""),"")</f>
        <v/>
      </c>
      <c r="Q404" s="278" t="str">
        <f>IFERROR(INDEX('Ashed teabags dry'!$K$2:$K$825,MATCH(J404,'Ashed teabags dry'!$A$2:$A$825,0)),"")</f>
        <v/>
      </c>
      <c r="R404" s="278" t="str">
        <f t="shared" si="32"/>
        <v/>
      </c>
      <c r="S404" s="268">
        <f>'Dry_Litterbag Placem_Collection'!E185</f>
        <v>0</v>
      </c>
      <c r="T404" s="268" t="str">
        <f>IF('Dry_Litterbag Placem_Collection'!G185="","",'Dry_Litterbag Placem_Collection'!G185)</f>
        <v/>
      </c>
      <c r="U404" s="269" t="str">
        <f t="shared" si="30"/>
        <v/>
      </c>
      <c r="V404" s="267" t="str">
        <f t="shared" si="33"/>
        <v/>
      </c>
      <c r="W404" s="267" t="str">
        <f t="shared" si="34"/>
        <v/>
      </c>
      <c r="X404" s="271" t="str">
        <f>IFERROR(INDEX(Rainfall_Dry!$O$2:$O$217,MATCH(B404, Rainfall_Dry!$A$2:$A$217,0)),"")</f>
        <v/>
      </c>
      <c r="Y404" s="260">
        <v>25.96</v>
      </c>
      <c r="Z404" s="260">
        <v>8.9200000000000017</v>
      </c>
      <c r="AA404" s="260">
        <v>65.12</v>
      </c>
      <c r="AB404" s="261" t="s">
        <v>2670</v>
      </c>
      <c r="AC404" s="260">
        <v>7.6145884672252304</v>
      </c>
      <c r="AD404">
        <f>IF('WetLitterbags placem_collection'!AB185="","",'WetLitterbags placem_collection'!AB185)</f>
        <v>11.4</v>
      </c>
      <c r="AE404">
        <f>IF('WetLitterbags placem_collection'!Z185="","",'WetLitterbags placem_collection'!Z185)</f>
        <v>35.799999999999997</v>
      </c>
      <c r="AF404" s="246" t="str">
        <f>IF('WetLitterbags placem_collection'!AA185="","",'WetLitterbags placem_collection'!AA185)</f>
        <v>G</v>
      </c>
      <c r="AG404">
        <f>IF('WetLitterbags placem_collection'!AC185="","",'WetLitterbags placem_collection'!AC185)</f>
        <v>1</v>
      </c>
      <c r="AH404" t="str">
        <f>IFERROR(AVERAGE('Dry_Litterbag Placem_Collection'!O185,'Dry_Litterbag Placem_Collection'!R185),"")</f>
        <v/>
      </c>
      <c r="AI404" s="271" t="str">
        <f>IFERROR(AVERAGE('Dry_Litterbag Placem_Collection'!N185,'Dry_Litterbag Placem_Collection'!Q185),"")</f>
        <v/>
      </c>
      <c r="AJ404" s="270">
        <f>INDEX(Coordinates!$B$2:$B$197,MATCH(G404,Coordinates!$J$2:$J$197,0))</f>
        <v>-2.2777790019999999</v>
      </c>
      <c r="AK404" s="270">
        <f>INDEX(Coordinates!$C$2:$C$197,MATCH(G404,Coordinates!$J$2:$J$197,0))</f>
        <v>34.028066029999998</v>
      </c>
      <c r="AL404" s="270" t="str">
        <f>IF(ISNUMBER(SEARCH("C", 'Dry_Litterbag Placem_Collection'!T185)),"YES","NO")</f>
        <v>NO</v>
      </c>
      <c r="AM404" s="270" t="str">
        <f>IF(ISNUMBER(SEARCH("H", 'Dry_Litterbag Placem_Collection'!T185)),"YES","NO")</f>
        <v>NO</v>
      </c>
      <c r="AN404" s="270" t="str">
        <f>IF(ISNUMBER(SEARCH("R", 'Dry_Litterbag Placem_Collection'!T185)),"YES","NO")</f>
        <v>NO</v>
      </c>
    </row>
    <row r="405" spans="1:40" ht="15" customHeight="1">
      <c r="A405" s="262" t="s">
        <v>2659</v>
      </c>
      <c r="B405" s="263">
        <f>'Dry_Litterbag Placem_Collection'!A186</f>
        <v>184</v>
      </c>
      <c r="C405" s="263" t="str">
        <f>'Dry_Litterbag Placem_Collection'!B186</f>
        <v>Handajega</v>
      </c>
      <c r="D405" s="263" t="s">
        <v>2460</v>
      </c>
      <c r="E405" s="263" t="s">
        <v>2661</v>
      </c>
      <c r="F405" s="263">
        <v>3</v>
      </c>
      <c r="G405" s="264" t="str">
        <f>'Dry_Litterbag Placem_Collection'!C186</f>
        <v>Wet_W3_T8</v>
      </c>
      <c r="H405" s="265" t="s">
        <v>2541</v>
      </c>
      <c r="I405" s="272" t="s">
        <v>298</v>
      </c>
      <c r="J405" s="263" t="str">
        <f>IF(ISBLANK('Dry_Litterbag Placem_Collection'!K186),"","R"&amp;""&amp;'Dry_Litterbag Placem_Collection'!K186)</f>
        <v>R179</v>
      </c>
      <c r="K405" s="267">
        <f>IFERROR(INDEX('Green_rooibos initial weight'!$C$5:$C$1749,MATCH(J405, 'Green_rooibos initial weight'!$A$5:$A$1749,0)),"")</f>
        <v>2.177</v>
      </c>
      <c r="L405" s="267">
        <f>IFERROR(K405-(TBIcalc!$Q$9+TBIcalc!$Q$10),"")</f>
        <v>1.9272</v>
      </c>
      <c r="M405" s="391">
        <f>AVERAGE(Ashed_controlls!$K$12:$K$14)</f>
        <v>2.2816647271287041</v>
      </c>
      <c r="N405" s="267">
        <f t="shared" si="31"/>
        <v>1.8832277573787757</v>
      </c>
      <c r="O405" s="267">
        <f>IF(IFERROR(INDEX('Both teabags AfterDry'!$D$3:$D$900,MATCH(J405,'Both teabags AfterDry'!$A$3:$A$900,0)),"")="","",(IFERROR(INDEX('Both teabags AfterDry'!$D$3:$D$900,MATCH(J405,'Both teabags AfterDry'!$A$3:$A$900,0)),"")))</f>
        <v>1.7174</v>
      </c>
      <c r="P405" s="267">
        <f>IFERROR(IF(O405&gt;0,O405-(TBIcalc!$Q$9),""),"")</f>
        <v>1.5668</v>
      </c>
      <c r="Q405" s="278">
        <f>IFERROR(INDEX('Ashed teabags dry'!$K$2:$K$825,MATCH(J405,'Ashed teabags dry'!$A$2:$A$825,0)),"")</f>
        <v>5.7032382793619867</v>
      </c>
      <c r="R405" s="278">
        <f t="shared" si="32"/>
        <v>1.4774416626389564</v>
      </c>
      <c r="S405" s="268">
        <f>'Dry_Litterbag Placem_Collection'!E186</f>
        <v>42940</v>
      </c>
      <c r="T405" s="268">
        <f>IF('Dry_Litterbag Placem_Collection'!G186="","",'Dry_Litterbag Placem_Collection'!G186)</f>
        <v>43009</v>
      </c>
      <c r="U405" s="269">
        <f t="shared" si="30"/>
        <v>69</v>
      </c>
      <c r="V405" s="267">
        <f t="shared" si="33"/>
        <v>0.36040000000000005</v>
      </c>
      <c r="W405" s="267">
        <f t="shared" si="34"/>
        <v>0.4057860947398193</v>
      </c>
      <c r="X405" s="271">
        <f>IFERROR(INDEX(Rainfall_Dry!$O$2:$O$217,MATCH(B405, Rainfall_Dry!$A$2:$A$217,0)),"")</f>
        <v>162.634207253</v>
      </c>
      <c r="Y405" s="260">
        <v>25.96</v>
      </c>
      <c r="Z405" s="260">
        <v>8.9200000000000017</v>
      </c>
      <c r="AA405" s="260">
        <v>65.12</v>
      </c>
      <c r="AB405" s="261" t="s">
        <v>2670</v>
      </c>
      <c r="AC405" s="260">
        <v>8.6145884672252304</v>
      </c>
      <c r="AD405">
        <f>IF('WetLitterbags placem_collection'!AB186="","",'WetLitterbags placem_collection'!AB186)</f>
        <v>3.7</v>
      </c>
      <c r="AE405">
        <f>IF('WetLitterbags placem_collection'!Z186="","",'WetLitterbags placem_collection'!Z186)</f>
        <v>16.399999999999999</v>
      </c>
      <c r="AF405" s="246" t="str">
        <f>IF('WetLitterbags placem_collection'!AA186="","",'WetLitterbags placem_collection'!AA186)</f>
        <v>O</v>
      </c>
      <c r="AG405">
        <f>IF('WetLitterbags placem_collection'!AC186="","",'WetLitterbags placem_collection'!AC186)</f>
        <v>0</v>
      </c>
      <c r="AH405">
        <f>IFERROR(AVERAGE('Dry_Litterbag Placem_Collection'!O186,'Dry_Litterbag Placem_Collection'!R186),"")</f>
        <v>4.3</v>
      </c>
      <c r="AI405" s="271">
        <f>IFERROR(AVERAGE('Dry_Litterbag Placem_Collection'!N186,'Dry_Litterbag Placem_Collection'!Q186),"")</f>
        <v>28.05</v>
      </c>
      <c r="AJ405" s="270">
        <f>INDEX(Coordinates!$B$2:$B$197,MATCH(G405,Coordinates!$J$2:$J$197,0))</f>
        <v>-2.2775169829999999</v>
      </c>
      <c r="AK405" s="270">
        <f>INDEX(Coordinates!$C$2:$C$197,MATCH(G405,Coordinates!$J$2:$J$197,0))</f>
        <v>34.027766970000002</v>
      </c>
      <c r="AL405" s="270" t="str">
        <f>IF(ISNUMBER(SEARCH("C", 'Dry_Litterbag Placem_Collection'!T186)),"YES","NO")</f>
        <v>NO</v>
      </c>
      <c r="AM405" s="270" t="str">
        <f>IF(ISNUMBER(SEARCH("H", 'Dry_Litterbag Placem_Collection'!T186)),"YES","NO")</f>
        <v>NO</v>
      </c>
      <c r="AN405" s="270" t="str">
        <f>IF(ISNUMBER(SEARCH("R", 'Dry_Litterbag Placem_Collection'!T186)),"YES","NO")</f>
        <v>YES</v>
      </c>
    </row>
    <row r="406" spans="1:40" ht="15" customHeight="1">
      <c r="A406" s="262" t="s">
        <v>2659</v>
      </c>
      <c r="B406" s="263">
        <f>'Dry_Litterbag Placem_Collection'!A187</f>
        <v>185</v>
      </c>
      <c r="C406" s="263" t="str">
        <f>'Dry_Litterbag Placem_Collection'!B187</f>
        <v>Handajega</v>
      </c>
      <c r="D406" s="263" t="s">
        <v>2460</v>
      </c>
      <c r="E406" s="263" t="s">
        <v>2661</v>
      </c>
      <c r="F406" s="263">
        <v>4</v>
      </c>
      <c r="G406" s="264" t="str">
        <f>'Dry_Litterbag Placem_Collection'!C187</f>
        <v>Wet_W4_T1</v>
      </c>
      <c r="H406" s="265" t="s">
        <v>2541</v>
      </c>
      <c r="I406" s="272" t="s">
        <v>298</v>
      </c>
      <c r="J406" s="263" t="str">
        <f>IF(ISBLANK('Dry_Litterbag Placem_Collection'!K187),"","R"&amp;""&amp;'Dry_Litterbag Placem_Collection'!K187)</f>
        <v>R300</v>
      </c>
      <c r="K406" s="267">
        <f>IFERROR(INDEX('Green_rooibos initial weight'!$C$5:$C$1749,MATCH(J406, 'Green_rooibos initial weight'!$A$5:$A$1749,0)),"")</f>
        <v>2.2330000000000001</v>
      </c>
      <c r="L406" s="267">
        <f>IFERROR(K406-(TBIcalc!$Q$9+TBIcalc!$Q$10),"")</f>
        <v>1.9832000000000001</v>
      </c>
      <c r="M406" s="391">
        <f>AVERAGE(Ashed_controlls!$K$12:$K$14)</f>
        <v>2.2816647271287041</v>
      </c>
      <c r="N406" s="267">
        <f t="shared" si="31"/>
        <v>1.9379500251315835</v>
      </c>
      <c r="O406" s="267" t="str">
        <f>IF(IFERROR(INDEX('Both teabags AfterDry'!$D$3:$D$900,MATCH(J406,'Both teabags AfterDry'!$A$3:$A$900,0)),"")="","",(IFERROR(INDEX('Both teabags AfterDry'!$D$3:$D$900,MATCH(J406,'Both teabags AfterDry'!$A$3:$A$900,0)),"")))</f>
        <v/>
      </c>
      <c r="P406" s="267" t="str">
        <f>IFERROR(IF(O406&gt;0,O406-(TBIcalc!$Q$9),""),"")</f>
        <v/>
      </c>
      <c r="Q406" s="278" t="str">
        <f>IFERROR(INDEX('Ashed teabags dry'!$K$2:$K$825,MATCH(J406,'Ashed teabags dry'!$A$2:$A$825,0)),"")</f>
        <v/>
      </c>
      <c r="R406" s="278" t="str">
        <f t="shared" si="32"/>
        <v/>
      </c>
      <c r="S406" s="268">
        <f>'Dry_Litterbag Placem_Collection'!E187</f>
        <v>42940</v>
      </c>
      <c r="T406" s="268">
        <f>IF('Dry_Litterbag Placem_Collection'!G187="","",'Dry_Litterbag Placem_Collection'!G187)</f>
        <v>43009</v>
      </c>
      <c r="U406" s="269">
        <f t="shared" si="30"/>
        <v>69</v>
      </c>
      <c r="V406" s="267" t="str">
        <f t="shared" si="33"/>
        <v/>
      </c>
      <c r="W406" s="267" t="str">
        <f t="shared" si="34"/>
        <v/>
      </c>
      <c r="X406" s="271">
        <f>IFERROR(INDEX(Rainfall_Dry!$O$2:$O$217,MATCH(B406, Rainfall_Dry!$A$2:$A$217,0)),"")</f>
        <v>162.634207253</v>
      </c>
      <c r="Y406" s="260">
        <v>25.96</v>
      </c>
      <c r="Z406" s="260">
        <v>8.9200000000000017</v>
      </c>
      <c r="AA406" s="260">
        <v>65.12</v>
      </c>
      <c r="AB406" s="261" t="s">
        <v>2670</v>
      </c>
      <c r="AC406" s="260">
        <v>1.6991621488417901</v>
      </c>
      <c r="AD406">
        <f>IF('WetLitterbags placem_collection'!AB187="","",'WetLitterbags placem_collection'!AB187)</f>
        <v>9.8000000000000007</v>
      </c>
      <c r="AE406">
        <f>IF('WetLitterbags placem_collection'!Z187="","",'WetLitterbags placem_collection'!Z187)</f>
        <v>29.4</v>
      </c>
      <c r="AF406" s="246" t="str">
        <f>IF('WetLitterbags placem_collection'!AA187="","",'WetLitterbags placem_collection'!AA187)</f>
        <v>O</v>
      </c>
      <c r="AG406">
        <f>IF('WetLitterbags placem_collection'!AC187="","",'WetLitterbags placem_collection'!AC187)</f>
        <v>0</v>
      </c>
      <c r="AH406">
        <f>IFERROR(AVERAGE('Dry_Litterbag Placem_Collection'!O187,'Dry_Litterbag Placem_Collection'!R187),"")</f>
        <v>4.9000000000000004</v>
      </c>
      <c r="AI406" s="271">
        <f>IFERROR(AVERAGE('Dry_Litterbag Placem_Collection'!N187,'Dry_Litterbag Placem_Collection'!Q187),"")</f>
        <v>35</v>
      </c>
      <c r="AJ406" s="270">
        <f>INDEX(Coordinates!$B$2:$B$197,MATCH(G406,Coordinates!$J$2:$J$197,0))</f>
        <v>-2.2787330300000002</v>
      </c>
      <c r="AK406" s="270">
        <f>INDEX(Coordinates!$C$2:$C$197,MATCH(G406,Coordinates!$J$2:$J$197,0))</f>
        <v>34.032136029999997</v>
      </c>
      <c r="AL406" s="270" t="str">
        <f>IF(ISNUMBER(SEARCH("C", 'Dry_Litterbag Placem_Collection'!T187)),"YES","NO")</f>
        <v>NO</v>
      </c>
      <c r="AM406" s="270" t="str">
        <f>IF(ISNUMBER(SEARCH("H", 'Dry_Litterbag Placem_Collection'!T187)),"YES","NO")</f>
        <v>YES</v>
      </c>
      <c r="AN406" s="270" t="str">
        <f>IF(ISNUMBER(SEARCH("R", 'Dry_Litterbag Placem_Collection'!T187)),"YES","NO")</f>
        <v>NO</v>
      </c>
    </row>
    <row r="407" spans="1:40" ht="15" customHeight="1">
      <c r="A407" s="262" t="s">
        <v>2659</v>
      </c>
      <c r="B407" s="263">
        <f>'Dry_Litterbag Placem_Collection'!A188</f>
        <v>186</v>
      </c>
      <c r="C407" s="263" t="str">
        <f>'Dry_Litterbag Placem_Collection'!B188</f>
        <v>Handajega</v>
      </c>
      <c r="D407" s="263" t="s">
        <v>2460</v>
      </c>
      <c r="E407" s="263" t="s">
        <v>2661</v>
      </c>
      <c r="F407" s="263">
        <v>4</v>
      </c>
      <c r="G407" s="264" t="str">
        <f>'Dry_Litterbag Placem_Collection'!C188</f>
        <v>Wet_W4_T2</v>
      </c>
      <c r="H407" s="265" t="s">
        <v>2541</v>
      </c>
      <c r="I407" s="272" t="s">
        <v>298</v>
      </c>
      <c r="J407" s="263" t="str">
        <f>IF(ISBLANK('Dry_Litterbag Placem_Collection'!K188),"","R"&amp;""&amp;'Dry_Litterbag Placem_Collection'!K188)</f>
        <v>R717</v>
      </c>
      <c r="K407" s="267">
        <f>IFERROR(INDEX('Green_rooibos initial weight'!$C$5:$C$1749,MATCH(J407, 'Green_rooibos initial weight'!$A$5:$A$1749,0)),"")</f>
        <v>2.1619999999999999</v>
      </c>
      <c r="L407" s="267">
        <f>IFERROR(K407-(TBIcalc!$Q$9+TBIcalc!$Q$10),"")</f>
        <v>1.9121999999999999</v>
      </c>
      <c r="M407" s="391">
        <f>AVERAGE(Ashed_controlls!$K$12:$K$14)</f>
        <v>2.2816647271287041</v>
      </c>
      <c r="N407" s="267">
        <f t="shared" si="31"/>
        <v>1.8685700070878448</v>
      </c>
      <c r="O407" s="267">
        <f>IF(IFERROR(INDEX('Both teabags AfterDry'!$D$3:$D$900,MATCH(J407,'Both teabags AfterDry'!$A$3:$A$900,0)),"")="","",(IFERROR(INDEX('Both teabags AfterDry'!$D$3:$D$900,MATCH(J407,'Both teabags AfterDry'!$A$3:$A$900,0)),"")))</f>
        <v>1.7592000000000001</v>
      </c>
      <c r="P407" s="267">
        <f>IFERROR(IF(O407&gt;0,O407-(TBIcalc!$Q$9),""),"")</f>
        <v>1.6086</v>
      </c>
      <c r="Q407" s="278">
        <f>IFERROR(INDEX('Ashed teabags dry'!$K$2:$K$825,MATCH(J407,'Ashed teabags dry'!$A$2:$A$825,0)),"")</f>
        <v>31.265266243282504</v>
      </c>
      <c r="R407" s="278">
        <f t="shared" si="32"/>
        <v>1.1056669272105577</v>
      </c>
      <c r="S407" s="268">
        <f>'Dry_Litterbag Placem_Collection'!E188</f>
        <v>42940</v>
      </c>
      <c r="T407" s="268">
        <f>IF('Dry_Litterbag Placem_Collection'!G188="","",'Dry_Litterbag Placem_Collection'!G188)</f>
        <v>43009</v>
      </c>
      <c r="U407" s="269">
        <f t="shared" si="30"/>
        <v>69</v>
      </c>
      <c r="V407" s="267">
        <f t="shared" si="33"/>
        <v>0.30359999999999987</v>
      </c>
      <c r="W407" s="267">
        <f t="shared" si="34"/>
        <v>0.76290307987728712</v>
      </c>
      <c r="X407" s="271">
        <f>IFERROR(INDEX(Rainfall_Dry!$O$2:$O$217,MATCH(B407, Rainfall_Dry!$A$2:$A$217,0)),"")</f>
        <v>162.634207253</v>
      </c>
      <c r="Y407" s="260">
        <v>25.96</v>
      </c>
      <c r="Z407" s="260">
        <v>8.9200000000000017</v>
      </c>
      <c r="AA407" s="260">
        <v>65.12</v>
      </c>
      <c r="AB407" s="261" t="s">
        <v>2670</v>
      </c>
      <c r="AC407" s="260">
        <v>2.6991621488417898</v>
      </c>
      <c r="AD407">
        <f>IF('WetLitterbags placem_collection'!AB188="","",'WetLitterbags placem_collection'!AB188)</f>
        <v>11.4</v>
      </c>
      <c r="AE407">
        <f>IF('WetLitterbags placem_collection'!Z188="","",'WetLitterbags placem_collection'!Z188)</f>
        <v>45.4</v>
      </c>
      <c r="AF407" s="246" t="str">
        <f>IF('WetLitterbags placem_collection'!AA188="","",'WetLitterbags placem_collection'!AA188)</f>
        <v>O</v>
      </c>
      <c r="AG407">
        <f>IF('WetLitterbags placem_collection'!AC188="","",'WetLitterbags placem_collection'!AC188)</f>
        <v>0</v>
      </c>
      <c r="AH407">
        <f>IFERROR(AVERAGE('Dry_Litterbag Placem_Collection'!O188,'Dry_Litterbag Placem_Collection'!R188),"")</f>
        <v>7.55</v>
      </c>
      <c r="AI407" s="271">
        <f>IFERROR(AVERAGE('Dry_Litterbag Placem_Collection'!N188,'Dry_Litterbag Placem_Collection'!Q188),"")</f>
        <v>35.299999999999997</v>
      </c>
      <c r="AJ407" s="270">
        <f>INDEX(Coordinates!$B$2:$B$197,MATCH(G407,Coordinates!$J$2:$J$197,0))</f>
        <v>-2.278763037</v>
      </c>
      <c r="AK407" s="270">
        <f>INDEX(Coordinates!$C$2:$C$197,MATCH(G407,Coordinates!$J$2:$J$197,0))</f>
        <v>34.031974009999999</v>
      </c>
      <c r="AL407" s="270" t="str">
        <f>IF(ISNUMBER(SEARCH("C", 'Dry_Litterbag Placem_Collection'!T188)),"YES","NO")</f>
        <v>YES</v>
      </c>
      <c r="AM407" s="270" t="str">
        <f>IF(ISNUMBER(SEARCH("H", 'Dry_Litterbag Placem_Collection'!T188)),"YES","NO")</f>
        <v>YES</v>
      </c>
      <c r="AN407" s="270" t="str">
        <f>IF(ISNUMBER(SEARCH("R", 'Dry_Litterbag Placem_Collection'!T188)),"YES","NO")</f>
        <v>NO</v>
      </c>
    </row>
    <row r="408" spans="1:40" ht="15" customHeight="1">
      <c r="A408" s="262" t="s">
        <v>2659</v>
      </c>
      <c r="B408" s="263">
        <f>'Dry_Litterbag Placem_Collection'!A189</f>
        <v>187</v>
      </c>
      <c r="C408" s="263" t="str">
        <f>'Dry_Litterbag Placem_Collection'!B189</f>
        <v>Handajega</v>
      </c>
      <c r="D408" s="263" t="s">
        <v>2460</v>
      </c>
      <c r="E408" s="263" t="s">
        <v>2661</v>
      </c>
      <c r="F408" s="263">
        <v>4</v>
      </c>
      <c r="G408" s="264" t="str">
        <f>'Dry_Litterbag Placem_Collection'!C189</f>
        <v>Wet_W4_T3</v>
      </c>
      <c r="H408" s="265" t="s">
        <v>2541</v>
      </c>
      <c r="I408" s="272" t="s">
        <v>298</v>
      </c>
      <c r="J408" s="263" t="str">
        <f>IF(ISBLANK('Dry_Litterbag Placem_Collection'!K189),"","R"&amp;""&amp;'Dry_Litterbag Placem_Collection'!K189)</f>
        <v>R759</v>
      </c>
      <c r="K408" s="267">
        <f>IFERROR(INDEX('Green_rooibos initial weight'!$C$5:$C$1749,MATCH(J408, 'Green_rooibos initial weight'!$A$5:$A$1749,0)),"")</f>
        <v>2.2469999999999999</v>
      </c>
      <c r="L408" s="267">
        <f>IFERROR(K408-(TBIcalc!$Q$9+TBIcalc!$Q$10),"")</f>
        <v>1.9971999999999999</v>
      </c>
      <c r="M408" s="391">
        <f>AVERAGE(Ashed_controlls!$K$12:$K$14)</f>
        <v>2.2816647271287041</v>
      </c>
      <c r="N408" s="267">
        <f t="shared" si="31"/>
        <v>1.9516305920697854</v>
      </c>
      <c r="O408" s="267">
        <f>IF(IFERROR(INDEX('Both teabags AfterDry'!$D$3:$D$900,MATCH(J408,'Both teabags AfterDry'!$A$3:$A$900,0)),"")="","",(IFERROR(INDEX('Both teabags AfterDry'!$D$3:$D$900,MATCH(J408,'Both teabags AfterDry'!$A$3:$A$900,0)),"")))</f>
        <v>1.7075</v>
      </c>
      <c r="P408" s="267">
        <f>IFERROR(IF(O408&gt;0,O408-(TBIcalc!$Q$9),""),"")</f>
        <v>1.5569</v>
      </c>
      <c r="Q408" s="278">
        <f>IFERROR(INDEX('Ashed teabags dry'!$K$2:$K$825,MATCH(J408,'Ashed teabags dry'!$A$2:$A$825,0)),"")</f>
        <v>9.3676814988289312</v>
      </c>
      <c r="R408" s="278">
        <f t="shared" si="32"/>
        <v>1.4110545667447323</v>
      </c>
      <c r="S408" s="268">
        <f>'Dry_Litterbag Placem_Collection'!E189</f>
        <v>42940</v>
      </c>
      <c r="T408" s="268">
        <f>IF('Dry_Litterbag Placem_Collection'!G189="","",'Dry_Litterbag Placem_Collection'!G189)</f>
        <v>43009</v>
      </c>
      <c r="U408" s="269">
        <f t="shared" si="30"/>
        <v>69</v>
      </c>
      <c r="V408" s="267">
        <f t="shared" si="33"/>
        <v>0.44029999999999991</v>
      </c>
      <c r="W408" s="267">
        <f t="shared" si="34"/>
        <v>0.54057602532505311</v>
      </c>
      <c r="X408" s="271">
        <f>IFERROR(INDEX(Rainfall_Dry!$O$2:$O$217,MATCH(B408, Rainfall_Dry!$A$2:$A$217,0)),"")</f>
        <v>162.634207253</v>
      </c>
      <c r="Y408" s="260">
        <v>25.96</v>
      </c>
      <c r="Z408" s="260">
        <v>8.9200000000000017</v>
      </c>
      <c r="AA408" s="260">
        <v>65.12</v>
      </c>
      <c r="AB408" s="261" t="s">
        <v>2670</v>
      </c>
      <c r="AC408" s="260">
        <v>3.6991621488417898</v>
      </c>
      <c r="AD408">
        <f>IF('WetLitterbags placem_collection'!AB189="","",'WetLitterbags placem_collection'!AB189)</f>
        <v>0.6</v>
      </c>
      <c r="AE408">
        <f>IF('WetLitterbags placem_collection'!Z189="","",'WetLitterbags placem_collection'!Z189)</f>
        <v>39.4</v>
      </c>
      <c r="AF408" s="246" t="str">
        <f>IF('WetLitterbags placem_collection'!AA189="","",'WetLitterbags placem_collection'!AA189)</f>
        <v>O</v>
      </c>
      <c r="AG408">
        <f>IF('WetLitterbags placem_collection'!AC189="","",'WetLitterbags placem_collection'!AC189)</f>
        <v>1</v>
      </c>
      <c r="AH408">
        <f>IFERROR(AVERAGE('Dry_Litterbag Placem_Collection'!O189,'Dry_Litterbag Placem_Collection'!R189),"")</f>
        <v>5.05</v>
      </c>
      <c r="AI408" s="271">
        <f>IFERROR(AVERAGE('Dry_Litterbag Placem_Collection'!N189,'Dry_Litterbag Placem_Collection'!Q189),"")</f>
        <v>35.150000000000006</v>
      </c>
      <c r="AJ408" s="270">
        <f>INDEX(Coordinates!$B$2:$B$197,MATCH(G408,Coordinates!$J$2:$J$197,0))</f>
        <v>-2.2785890289999999</v>
      </c>
      <c r="AK408" s="270">
        <f>INDEX(Coordinates!$C$2:$C$197,MATCH(G408,Coordinates!$J$2:$J$197,0))</f>
        <v>34.031841999999997</v>
      </c>
      <c r="AL408" s="270" t="str">
        <f>IF(ISNUMBER(SEARCH("C", 'Dry_Litterbag Placem_Collection'!T189)),"YES","NO")</f>
        <v>NO</v>
      </c>
      <c r="AM408" s="270" t="str">
        <f>IF(ISNUMBER(SEARCH("H", 'Dry_Litterbag Placem_Collection'!T189)),"YES","NO")</f>
        <v>NO</v>
      </c>
      <c r="AN408" s="270" t="str">
        <f>IF(ISNUMBER(SEARCH("R", 'Dry_Litterbag Placem_Collection'!T189)),"YES","NO")</f>
        <v>NO</v>
      </c>
    </row>
    <row r="409" spans="1:40" ht="15" customHeight="1">
      <c r="A409" s="262" t="s">
        <v>2659</v>
      </c>
      <c r="B409" s="263">
        <f>'Dry_Litterbag Placem_Collection'!A190</f>
        <v>188</v>
      </c>
      <c r="C409" s="263" t="str">
        <f>'Dry_Litterbag Placem_Collection'!B190</f>
        <v>Handajega</v>
      </c>
      <c r="D409" s="263" t="s">
        <v>2460</v>
      </c>
      <c r="E409" s="263" t="s">
        <v>2661</v>
      </c>
      <c r="F409" s="263">
        <v>4</v>
      </c>
      <c r="G409" s="264" t="str">
        <f>'Dry_Litterbag Placem_Collection'!C190</f>
        <v>Wet_W4_T4</v>
      </c>
      <c r="H409" s="265" t="s">
        <v>2541</v>
      </c>
      <c r="I409" s="272" t="s">
        <v>298</v>
      </c>
      <c r="J409" s="263" t="str">
        <f>IF(ISBLANK('Dry_Litterbag Placem_Collection'!K190),"","R"&amp;""&amp;'Dry_Litterbag Placem_Collection'!K190)</f>
        <v>R357</v>
      </c>
      <c r="K409" s="267">
        <f>IFERROR(INDEX('Green_rooibos initial weight'!$C$5:$C$1749,MATCH(J409, 'Green_rooibos initial weight'!$A$5:$A$1749,0)),"")</f>
        <v>2.2090000000000001</v>
      </c>
      <c r="L409" s="267">
        <f>IFERROR(K409-(TBIcalc!$Q$9+TBIcalc!$Q$10),"")</f>
        <v>1.9592000000000001</v>
      </c>
      <c r="M409" s="391">
        <f>AVERAGE(Ashed_controlls!$K$12:$K$14)</f>
        <v>2.2816647271287041</v>
      </c>
      <c r="N409" s="267">
        <f t="shared" si="31"/>
        <v>1.9144976246660945</v>
      </c>
      <c r="O409" s="267" t="str">
        <f>IF(IFERROR(INDEX('Both teabags AfterDry'!$D$3:$D$900,MATCH(J409,'Both teabags AfterDry'!$A$3:$A$900,0)),"")="","",(IFERROR(INDEX('Both teabags AfterDry'!$D$3:$D$900,MATCH(J409,'Both teabags AfterDry'!$A$3:$A$900,0)),"")))</f>
        <v/>
      </c>
      <c r="P409" s="267" t="str">
        <f>IFERROR(IF(O409&gt;0,O409-(TBIcalc!$Q$9),""),"")</f>
        <v/>
      </c>
      <c r="Q409" s="278">
        <f>IFERROR(INDEX('Ashed teabags dry'!$K$2:$K$825,MATCH(J409,'Ashed teabags dry'!$A$2:$A$825,0)),"")</f>
        <v>0</v>
      </c>
      <c r="R409" s="278" t="str">
        <f t="shared" si="32"/>
        <v/>
      </c>
      <c r="S409" s="268">
        <f>'Dry_Litterbag Placem_Collection'!E190</f>
        <v>42940</v>
      </c>
      <c r="T409" s="268">
        <f>IF('Dry_Litterbag Placem_Collection'!G190="","",'Dry_Litterbag Placem_Collection'!G190)</f>
        <v>43009</v>
      </c>
      <c r="U409" s="269">
        <f t="shared" si="30"/>
        <v>69</v>
      </c>
      <c r="V409" s="267" t="str">
        <f t="shared" si="33"/>
        <v/>
      </c>
      <c r="W409" s="267" t="str">
        <f t="shared" si="34"/>
        <v/>
      </c>
      <c r="X409" s="271">
        <f>IFERROR(INDEX(Rainfall_Dry!$O$2:$O$217,MATCH(B409, Rainfall_Dry!$A$2:$A$217,0)),"")</f>
        <v>162.634207253</v>
      </c>
      <c r="Y409" s="260">
        <v>25.96</v>
      </c>
      <c r="Z409" s="260">
        <v>8.9200000000000017</v>
      </c>
      <c r="AA409" s="260">
        <v>65.12</v>
      </c>
      <c r="AB409" s="261" t="s">
        <v>2670</v>
      </c>
      <c r="AC409" s="260">
        <v>4.6991621488417898</v>
      </c>
      <c r="AD409">
        <f>IF('WetLitterbags placem_collection'!AB190="","",'WetLitterbags placem_collection'!AB190)</f>
        <v>2.2999999999999998</v>
      </c>
      <c r="AE409">
        <f>IF('WetLitterbags placem_collection'!Z190="","",'WetLitterbags placem_collection'!Z190)</f>
        <v>14.4</v>
      </c>
      <c r="AF409" s="246" t="str">
        <f>IF('WetLitterbags placem_collection'!AA190="","",'WetLitterbags placem_collection'!AA190)</f>
        <v>O</v>
      </c>
      <c r="AG409">
        <f>IF('WetLitterbags placem_collection'!AC190="","",'WetLitterbags placem_collection'!AC190)</f>
        <v>0</v>
      </c>
      <c r="AH409">
        <f>IFERROR(AVERAGE('Dry_Litterbag Placem_Collection'!O190,'Dry_Litterbag Placem_Collection'!R190),"")</f>
        <v>7.35</v>
      </c>
      <c r="AI409" s="271">
        <f>IFERROR(AVERAGE('Dry_Litterbag Placem_Collection'!N190,'Dry_Litterbag Placem_Collection'!Q190),"")</f>
        <v>34.150000000000006</v>
      </c>
      <c r="AJ409" s="270">
        <f>INDEX(Coordinates!$B$2:$B$197,MATCH(G409,Coordinates!$J$2:$J$197,0))</f>
        <v>-2.278422983</v>
      </c>
      <c r="AK409" s="270">
        <f>INDEX(Coordinates!$C$2:$C$197,MATCH(G409,Coordinates!$J$2:$J$197,0))</f>
        <v>34.032261009999999</v>
      </c>
      <c r="AL409" s="270" t="str">
        <f>IF(ISNUMBER(SEARCH("C", 'Dry_Litterbag Placem_Collection'!T190)),"YES","NO")</f>
        <v>YES</v>
      </c>
      <c r="AM409" s="270" t="str">
        <f>IF(ISNUMBER(SEARCH("H", 'Dry_Litterbag Placem_Collection'!T190)),"YES","NO")</f>
        <v>YES</v>
      </c>
      <c r="AN409" s="270" t="str">
        <f>IF(ISNUMBER(SEARCH("R", 'Dry_Litterbag Placem_Collection'!T190)),"YES","NO")</f>
        <v>YES</v>
      </c>
    </row>
    <row r="410" spans="1:40" ht="15" customHeight="1">
      <c r="A410" s="262" t="s">
        <v>2659</v>
      </c>
      <c r="B410" s="263">
        <f>'Dry_Litterbag Placem_Collection'!A191</f>
        <v>189</v>
      </c>
      <c r="C410" s="263" t="str">
        <f>'Dry_Litterbag Placem_Collection'!B191</f>
        <v>Handajega</v>
      </c>
      <c r="D410" s="263" t="s">
        <v>2460</v>
      </c>
      <c r="E410" s="263" t="s">
        <v>2661</v>
      </c>
      <c r="F410" s="263">
        <v>4</v>
      </c>
      <c r="G410" s="264" t="str">
        <f>'Dry_Litterbag Placem_Collection'!C191</f>
        <v>Wet_W4_T5</v>
      </c>
      <c r="H410" s="265" t="s">
        <v>2541</v>
      </c>
      <c r="I410" s="272" t="s">
        <v>298</v>
      </c>
      <c r="J410" s="263" t="str">
        <f>IF(ISBLANK('Dry_Litterbag Placem_Collection'!K191),"","R"&amp;""&amp;'Dry_Litterbag Placem_Collection'!K191)</f>
        <v>R18</v>
      </c>
      <c r="K410" s="267">
        <f>IFERROR(INDEX('Green_rooibos initial weight'!$C$5:$C$1749,MATCH(J410, 'Green_rooibos initial weight'!$A$5:$A$1749,0)),"")</f>
        <v>2.2519999999999998</v>
      </c>
      <c r="L410" s="267">
        <f>IFERROR(K410-(TBIcalc!$Q$9+TBIcalc!$Q$10),"")</f>
        <v>2.0021999999999998</v>
      </c>
      <c r="M410" s="391">
        <f>AVERAGE(Ashed_controlls!$K$12:$K$14)</f>
        <v>2.2816647271287041</v>
      </c>
      <c r="N410" s="267">
        <f t="shared" si="31"/>
        <v>1.9565165088334289</v>
      </c>
      <c r="O410" s="267" t="str">
        <f>IF(IFERROR(INDEX('Both teabags AfterDry'!$D$3:$D$900,MATCH(J410,'Both teabags AfterDry'!$A$3:$A$900,0)),"")="","",(IFERROR(INDEX('Both teabags AfterDry'!$D$3:$D$900,MATCH(J410,'Both teabags AfterDry'!$A$3:$A$900,0)),"")))</f>
        <v/>
      </c>
      <c r="P410" s="267" t="str">
        <f>IFERROR(IF(O410&gt;0,O410-(TBIcalc!$Q$9),""),"")</f>
        <v/>
      </c>
      <c r="Q410" s="278">
        <f>IFERROR(INDEX('Ashed teabags dry'!$K$2:$K$825,MATCH(J410,'Ashed teabags dry'!$A$2:$A$825,0)),"")</f>
        <v>91.674047829938516</v>
      </c>
      <c r="R410" s="278" t="str">
        <f t="shared" si="32"/>
        <v/>
      </c>
      <c r="S410" s="268">
        <f>'Dry_Litterbag Placem_Collection'!E191</f>
        <v>42940</v>
      </c>
      <c r="T410" s="268">
        <f>IF('Dry_Litterbag Placem_Collection'!G191="","",'Dry_Litterbag Placem_Collection'!G191)</f>
        <v>43009</v>
      </c>
      <c r="U410" s="269">
        <f t="shared" si="30"/>
        <v>69</v>
      </c>
      <c r="V410" s="267" t="str">
        <f t="shared" si="33"/>
        <v/>
      </c>
      <c r="W410" s="267" t="str">
        <f t="shared" si="34"/>
        <v/>
      </c>
      <c r="X410" s="271">
        <f>IFERROR(INDEX(Rainfall_Dry!$O$2:$O$217,MATCH(B410, Rainfall_Dry!$A$2:$A$217,0)),"")</f>
        <v>162.634207253</v>
      </c>
      <c r="Y410" s="260">
        <v>25.96</v>
      </c>
      <c r="Z410" s="260">
        <v>8.9200000000000017</v>
      </c>
      <c r="AA410" s="260">
        <v>65.12</v>
      </c>
      <c r="AB410" s="261" t="s">
        <v>2670</v>
      </c>
      <c r="AC410" s="260">
        <v>5.6991621488417898</v>
      </c>
      <c r="AD410">
        <f>IF('WetLitterbags placem_collection'!AB191="","",'WetLitterbags placem_collection'!AB191)</f>
        <v>0.6</v>
      </c>
      <c r="AE410">
        <f>IF('WetLitterbags placem_collection'!Z191="","",'WetLitterbags placem_collection'!Z191)</f>
        <v>7</v>
      </c>
      <c r="AF410" s="246" t="str">
        <f>IF('WetLitterbags placem_collection'!AA191="","",'WetLitterbags placem_collection'!AA191)</f>
        <v>O</v>
      </c>
      <c r="AG410">
        <f>IF('WetLitterbags placem_collection'!AC191="","",'WetLitterbags placem_collection'!AC191)</f>
        <v>1</v>
      </c>
      <c r="AH410">
        <f>IFERROR(AVERAGE('Dry_Litterbag Placem_Collection'!O191,'Dry_Litterbag Placem_Collection'!R191),"")</f>
        <v>5.5</v>
      </c>
      <c r="AI410" s="271">
        <f>IFERROR(AVERAGE('Dry_Litterbag Placem_Collection'!N191,'Dry_Litterbag Placem_Collection'!Q191),"")</f>
        <v>33</v>
      </c>
      <c r="AJ410" s="270">
        <f>INDEX(Coordinates!$B$2:$B$197,MATCH(G410,Coordinates!$J$2:$J$197,0))</f>
        <v>-2.2787580080000001</v>
      </c>
      <c r="AK410" s="270">
        <f>INDEX(Coordinates!$C$2:$C$197,MATCH(G410,Coordinates!$J$2:$J$197,0))</f>
        <v>34.032463010000001</v>
      </c>
      <c r="AL410" s="270" t="str">
        <f>IF(ISNUMBER(SEARCH("C", 'Dry_Litterbag Placem_Collection'!T191)),"YES","NO")</f>
        <v>NO</v>
      </c>
      <c r="AM410" s="270" t="str">
        <f>IF(ISNUMBER(SEARCH("H", 'Dry_Litterbag Placem_Collection'!T191)),"YES","NO")</f>
        <v>YES</v>
      </c>
      <c r="AN410" s="270" t="str">
        <f>IF(ISNUMBER(SEARCH("R", 'Dry_Litterbag Placem_Collection'!T191)),"YES","NO")</f>
        <v>YES</v>
      </c>
    </row>
    <row r="411" spans="1:40" ht="15" customHeight="1">
      <c r="A411" s="262" t="s">
        <v>2659</v>
      </c>
      <c r="B411" s="263">
        <f>'Dry_Litterbag Placem_Collection'!A192</f>
        <v>190</v>
      </c>
      <c r="C411" s="263" t="str">
        <f>'Dry_Litterbag Placem_Collection'!B192</f>
        <v>Handajega</v>
      </c>
      <c r="D411" s="263" t="s">
        <v>2460</v>
      </c>
      <c r="E411" s="263" t="s">
        <v>2661</v>
      </c>
      <c r="F411" s="263">
        <v>4</v>
      </c>
      <c r="G411" s="264" t="str">
        <f>'Dry_Litterbag Placem_Collection'!C192</f>
        <v>Wet_W4_T6</v>
      </c>
      <c r="H411" s="265" t="s">
        <v>2541</v>
      </c>
      <c r="I411" s="272" t="s">
        <v>298</v>
      </c>
      <c r="J411" s="263" t="str">
        <f>IF(ISBLANK('Dry_Litterbag Placem_Collection'!K192),"","R"&amp;""&amp;'Dry_Litterbag Placem_Collection'!K192)</f>
        <v>R397</v>
      </c>
      <c r="K411" s="267">
        <f>IFERROR(INDEX('Green_rooibos initial weight'!$C$5:$C$1749,MATCH(J411, 'Green_rooibos initial weight'!$A$5:$A$1749,0)),"")</f>
        <v>2.1970000000000001</v>
      </c>
      <c r="L411" s="267">
        <f>IFERROR(K411-(TBIcalc!$Q$9+TBIcalc!$Q$10),"")</f>
        <v>1.9472</v>
      </c>
      <c r="M411" s="391">
        <f>AVERAGE(Ashed_controlls!$K$12:$K$14)</f>
        <v>2.2816647271287041</v>
      </c>
      <c r="N411" s="267">
        <f t="shared" si="31"/>
        <v>1.90277142443335</v>
      </c>
      <c r="O411" s="267">
        <f>IF(IFERROR(INDEX('Both teabags AfterDry'!$D$3:$D$900,MATCH(J411,'Both teabags AfterDry'!$A$3:$A$900,0)),"")="","",(IFERROR(INDEX('Both teabags AfterDry'!$D$3:$D$900,MATCH(J411,'Both teabags AfterDry'!$A$3:$A$900,0)),"")))</f>
        <v>1.7444999999999999</v>
      </c>
      <c r="P411" s="267">
        <f>IFERROR(IF(O411&gt;0,O411-(TBIcalc!$Q$9),""),"")</f>
        <v>1.5938999999999999</v>
      </c>
      <c r="Q411" s="278">
        <f>IFERROR(INDEX('Ashed teabags dry'!$K$2:$K$825,MATCH(J411,'Ashed teabags dry'!$A$2:$A$825,0)),"")</f>
        <v>11.059262715818997</v>
      </c>
      <c r="R411" s="278">
        <f t="shared" si="32"/>
        <v>1.417626411572561</v>
      </c>
      <c r="S411" s="268">
        <f>'Dry_Litterbag Placem_Collection'!E192</f>
        <v>42940</v>
      </c>
      <c r="T411" s="268">
        <f>IF('Dry_Litterbag Placem_Collection'!G192="","",'Dry_Litterbag Placem_Collection'!G192)</f>
        <v>43009</v>
      </c>
      <c r="U411" s="269">
        <f t="shared" si="30"/>
        <v>69</v>
      </c>
      <c r="V411" s="267">
        <f t="shared" si="33"/>
        <v>0.35330000000000017</v>
      </c>
      <c r="W411" s="267">
        <f t="shared" si="34"/>
        <v>0.48514501286078904</v>
      </c>
      <c r="X411" s="271">
        <f>IFERROR(INDEX(Rainfall_Dry!$O$2:$O$217,MATCH(B411, Rainfall_Dry!$A$2:$A$217,0)),"")</f>
        <v>162.634207253</v>
      </c>
      <c r="Y411" s="260">
        <v>25.96</v>
      </c>
      <c r="Z411" s="260">
        <v>8.9200000000000017</v>
      </c>
      <c r="AA411" s="260">
        <v>65.12</v>
      </c>
      <c r="AB411" s="261" t="s">
        <v>2670</v>
      </c>
      <c r="AC411" s="260">
        <v>6.6991621488417898</v>
      </c>
      <c r="AD411">
        <f>IF('WetLitterbags placem_collection'!AB192="","",'WetLitterbags placem_collection'!AB192)</f>
        <v>9.5</v>
      </c>
      <c r="AE411">
        <f>IF('WetLitterbags placem_collection'!Z192="","",'WetLitterbags placem_collection'!Z192)</f>
        <v>17.399999999999999</v>
      </c>
      <c r="AF411" s="246" t="str">
        <f>IF('WetLitterbags placem_collection'!AA192="","",'WetLitterbags placem_collection'!AA192)</f>
        <v>O</v>
      </c>
      <c r="AG411">
        <f>IF('WetLitterbags placem_collection'!AC192="","",'WetLitterbags placem_collection'!AC192)</f>
        <v>0</v>
      </c>
      <c r="AH411">
        <f>IFERROR(AVERAGE('Dry_Litterbag Placem_Collection'!O192,'Dry_Litterbag Placem_Collection'!R192),"")</f>
        <v>5.0500000000000007</v>
      </c>
      <c r="AI411" s="271">
        <f>IFERROR(AVERAGE('Dry_Litterbag Placem_Collection'!N192,'Dry_Litterbag Placem_Collection'!Q192),"")</f>
        <v>36.049999999999997</v>
      </c>
      <c r="AJ411" s="270">
        <f>INDEX(Coordinates!$B$2:$B$197,MATCH(G411,Coordinates!$J$2:$J$197,0))</f>
        <v>-2.2787559960000001</v>
      </c>
      <c r="AK411" s="270">
        <f>INDEX(Coordinates!$C$2:$C$197,MATCH(G411,Coordinates!$J$2:$J$197,0))</f>
        <v>34.032268969999997</v>
      </c>
      <c r="AL411" s="270" t="str">
        <f>IF(ISNUMBER(SEARCH("C", 'Dry_Litterbag Placem_Collection'!T192)),"YES","NO")</f>
        <v>NO</v>
      </c>
      <c r="AM411" s="270" t="str">
        <f>IF(ISNUMBER(SEARCH("H", 'Dry_Litterbag Placem_Collection'!T192)),"YES","NO")</f>
        <v>NO</v>
      </c>
      <c r="AN411" s="270" t="str">
        <f>IF(ISNUMBER(SEARCH("R", 'Dry_Litterbag Placem_Collection'!T192)),"YES","NO")</f>
        <v>NO</v>
      </c>
    </row>
    <row r="412" spans="1:40" ht="15" customHeight="1">
      <c r="A412" s="262" t="s">
        <v>2659</v>
      </c>
      <c r="B412" s="263">
        <f>'Dry_Litterbag Placem_Collection'!A193</f>
        <v>191</v>
      </c>
      <c r="C412" s="263" t="str">
        <f>'Dry_Litterbag Placem_Collection'!B193</f>
        <v>Handajega</v>
      </c>
      <c r="D412" s="263" t="s">
        <v>2460</v>
      </c>
      <c r="E412" s="263" t="s">
        <v>2661</v>
      </c>
      <c r="F412" s="263">
        <v>4</v>
      </c>
      <c r="G412" s="264" t="str">
        <f>'Dry_Litterbag Placem_Collection'!C193</f>
        <v>Wet_W4_T7</v>
      </c>
      <c r="H412" s="265" t="s">
        <v>2541</v>
      </c>
      <c r="I412" s="272" t="s">
        <v>298</v>
      </c>
      <c r="J412" s="263" t="str">
        <f>IF(ISBLANK('Dry_Litterbag Placem_Collection'!K193),"","R"&amp;""&amp;'Dry_Litterbag Placem_Collection'!K193)</f>
        <v>R715</v>
      </c>
      <c r="K412" s="267">
        <f>IFERROR(INDEX('Green_rooibos initial weight'!$C$5:$C$1749,MATCH(J412, 'Green_rooibos initial weight'!$A$5:$A$1749,0)),"")</f>
        <v>2.161</v>
      </c>
      <c r="L412" s="267">
        <f>IFERROR(K412-(TBIcalc!$Q$9+TBIcalc!$Q$10),"")</f>
        <v>1.9112</v>
      </c>
      <c r="M412" s="391">
        <f>AVERAGE(Ashed_controlls!$K$12:$K$14)</f>
        <v>2.2816647271287041</v>
      </c>
      <c r="N412" s="267">
        <f t="shared" si="31"/>
        <v>1.8675928237351163</v>
      </c>
      <c r="O412" s="267">
        <f>IF(IFERROR(INDEX('Both teabags AfterDry'!$D$3:$D$900,MATCH(J412,'Both teabags AfterDry'!$A$3:$A$900,0)),"")="","",(IFERROR(INDEX('Both teabags AfterDry'!$D$3:$D$900,MATCH(J412,'Both teabags AfterDry'!$A$3:$A$900,0)),"")))</f>
        <v>1.9014</v>
      </c>
      <c r="P412" s="267">
        <f>IFERROR(IF(O412&gt;0,O412-(TBIcalc!$Q$9),""),"")</f>
        <v>1.7507999999999999</v>
      </c>
      <c r="Q412" s="278">
        <f>IFERROR(INDEX('Ashed teabags dry'!$K$2:$K$825,MATCH(J412,'Ashed teabags dry'!$A$2:$A$825,0)),"")</f>
        <v>5.9051306873185379</v>
      </c>
      <c r="R412" s="278">
        <f t="shared" si="32"/>
        <v>1.647412971926427</v>
      </c>
      <c r="S412" s="268">
        <f>'Dry_Litterbag Placem_Collection'!E193</f>
        <v>42940</v>
      </c>
      <c r="T412" s="268">
        <f>IF('Dry_Litterbag Placem_Collection'!G193="","",'Dry_Litterbag Placem_Collection'!G193)</f>
        <v>43009</v>
      </c>
      <c r="U412" s="269">
        <f t="shared" si="30"/>
        <v>69</v>
      </c>
      <c r="V412" s="267">
        <f t="shared" si="33"/>
        <v>0.1604000000000001</v>
      </c>
      <c r="W412" s="267">
        <f t="shared" si="34"/>
        <v>0.22017985180868926</v>
      </c>
      <c r="X412" s="271">
        <f>IFERROR(INDEX(Rainfall_Dry!$O$2:$O$217,MATCH(B412, Rainfall_Dry!$A$2:$A$217,0)),"")</f>
        <v>162.634207253</v>
      </c>
      <c r="Y412" s="260">
        <v>25.96</v>
      </c>
      <c r="Z412" s="260">
        <v>8.9200000000000017</v>
      </c>
      <c r="AA412" s="260">
        <v>65.12</v>
      </c>
      <c r="AB412" s="261" t="s">
        <v>2670</v>
      </c>
      <c r="AC412" s="260">
        <v>7.6991621488417898</v>
      </c>
      <c r="AD412">
        <f>IF('WetLitterbags placem_collection'!AB193="","",'WetLitterbags placem_collection'!AB193)</f>
        <v>12.4</v>
      </c>
      <c r="AE412">
        <f>IF('WetLitterbags placem_collection'!Z193="","",'WetLitterbags placem_collection'!Z193)</f>
        <v>29.8</v>
      </c>
      <c r="AF412" s="246" t="str">
        <f>IF('WetLitterbags placem_collection'!AA193="","",'WetLitterbags placem_collection'!AA193)</f>
        <v>O</v>
      </c>
      <c r="AG412">
        <f>IF('WetLitterbags placem_collection'!AC193="","",'WetLitterbags placem_collection'!AC193)</f>
        <v>0</v>
      </c>
      <c r="AH412">
        <f>IFERROR(AVERAGE('Dry_Litterbag Placem_Collection'!O193,'Dry_Litterbag Placem_Collection'!R193),"")</f>
        <v>6.45</v>
      </c>
      <c r="AI412" s="271">
        <f>IFERROR(AVERAGE('Dry_Litterbag Placem_Collection'!N193,'Dry_Litterbag Placem_Collection'!Q193),"")</f>
        <v>36.349999999999994</v>
      </c>
      <c r="AJ412" s="270">
        <f>INDEX(Coordinates!$B$2:$B$197,MATCH(G412,Coordinates!$J$2:$J$197,0))</f>
        <v>-2.278704029</v>
      </c>
      <c r="AK412" s="270">
        <f>INDEX(Coordinates!$C$2:$C$197,MATCH(G412,Coordinates!$J$2:$J$197,0))</f>
        <v>34.032182970000001</v>
      </c>
      <c r="AL412" s="270" t="str">
        <f>IF(ISNUMBER(SEARCH("C", 'Dry_Litterbag Placem_Collection'!T193)),"YES","NO")</f>
        <v>NO</v>
      </c>
      <c r="AM412" s="270" t="str">
        <f>IF(ISNUMBER(SEARCH("H", 'Dry_Litterbag Placem_Collection'!T193)),"YES","NO")</f>
        <v>NO</v>
      </c>
      <c r="AN412" s="270" t="str">
        <f>IF(ISNUMBER(SEARCH("R", 'Dry_Litterbag Placem_Collection'!T193)),"YES","NO")</f>
        <v>NO</v>
      </c>
    </row>
    <row r="413" spans="1:40" ht="15" customHeight="1">
      <c r="A413" s="262" t="s">
        <v>2659</v>
      </c>
      <c r="B413" s="263">
        <f>'Dry_Litterbag Placem_Collection'!A194</f>
        <v>192</v>
      </c>
      <c r="C413" s="263" t="str">
        <f>'Dry_Litterbag Placem_Collection'!B194</f>
        <v>Handajega</v>
      </c>
      <c r="D413" s="263" t="s">
        <v>2460</v>
      </c>
      <c r="E413" s="263" t="s">
        <v>2661</v>
      </c>
      <c r="F413" s="263">
        <v>4</v>
      </c>
      <c r="G413" s="264" t="str">
        <f>'Dry_Litterbag Placem_Collection'!C194</f>
        <v>Wet_W4_T8</v>
      </c>
      <c r="H413" s="265" t="s">
        <v>2541</v>
      </c>
      <c r="I413" s="272" t="s">
        <v>298</v>
      </c>
      <c r="J413" s="263" t="str">
        <f>IF(ISBLANK('Dry_Litterbag Placem_Collection'!K194),"","R"&amp;""&amp;'Dry_Litterbag Placem_Collection'!K194)</f>
        <v/>
      </c>
      <c r="K413" s="267" t="str">
        <f>IFERROR(INDEX('Green_rooibos initial weight'!$C$5:$C$1749,MATCH(J413, 'Green_rooibos initial weight'!$A$5:$A$1749,0)),"")</f>
        <v/>
      </c>
      <c r="L413" s="267" t="str">
        <f>IFERROR(K413-(TBIcalc!$Q$9+TBIcalc!$Q$10),"")</f>
        <v/>
      </c>
      <c r="M413" s="391">
        <f>AVERAGE(Ashed_controlls!$K$12:$K$14)</f>
        <v>2.2816647271287041</v>
      </c>
      <c r="N413" s="267" t="str">
        <f t="shared" si="31"/>
        <v/>
      </c>
      <c r="O413" s="267" t="str">
        <f>IF(IFERROR(INDEX('Both teabags AfterDry'!$D$3:$D$900,MATCH(J413,'Both teabags AfterDry'!$A$3:$A$900,0)),"")="","",(IFERROR(INDEX('Both teabags AfterDry'!$D$3:$D$900,MATCH(J413,'Both teabags AfterDry'!$A$3:$A$900,0)),"")))</f>
        <v/>
      </c>
      <c r="P413" s="267" t="str">
        <f>IFERROR(IF(O413&gt;0,O413-(TBIcalc!$Q$9),""),"")</f>
        <v/>
      </c>
      <c r="Q413" s="278" t="str">
        <f>IFERROR(INDEX('Ashed teabags dry'!$K$2:$K$825,MATCH(J413,'Ashed teabags dry'!$A$2:$A$825,0)),"")</f>
        <v/>
      </c>
      <c r="R413" s="278" t="str">
        <f t="shared" si="32"/>
        <v/>
      </c>
      <c r="S413" s="268">
        <f>'Dry_Litterbag Placem_Collection'!E194</f>
        <v>0</v>
      </c>
      <c r="T413" s="268" t="str">
        <f>IF('Dry_Litterbag Placem_Collection'!G194="","",'Dry_Litterbag Placem_Collection'!G194)</f>
        <v/>
      </c>
      <c r="U413" s="269" t="str">
        <f t="shared" si="30"/>
        <v/>
      </c>
      <c r="V413" s="267" t="str">
        <f t="shared" si="33"/>
        <v/>
      </c>
      <c r="W413" s="267" t="str">
        <f t="shared" si="34"/>
        <v/>
      </c>
      <c r="X413" s="271" t="str">
        <f>IFERROR(INDEX(Rainfall_Dry!$O$2:$O$217,MATCH(B413, Rainfall_Dry!$A$2:$A$217,0)),"")</f>
        <v/>
      </c>
      <c r="Y413" s="260">
        <v>25.96</v>
      </c>
      <c r="Z413" s="260">
        <v>8.9200000000000017</v>
      </c>
      <c r="AA413" s="260">
        <v>65.12</v>
      </c>
      <c r="AB413" s="261" t="s">
        <v>2670</v>
      </c>
      <c r="AC413" s="260">
        <v>8.6991621488417898</v>
      </c>
      <c r="AD413">
        <f>IF('WetLitterbags placem_collection'!AB194="","",'WetLitterbags placem_collection'!AB194)</f>
        <v>3.6</v>
      </c>
      <c r="AE413">
        <f>IF('WetLitterbags placem_collection'!Z194="","",'WetLitterbags placem_collection'!Z194)</f>
        <v>37.799999999999997</v>
      </c>
      <c r="AF413" s="246" t="str">
        <f>IF('WetLitterbags placem_collection'!AA194="","",'WetLitterbags placem_collection'!AA194)</f>
        <v>O</v>
      </c>
      <c r="AG413">
        <f>IF('WetLitterbags placem_collection'!AC194="","",'WetLitterbags placem_collection'!AC194)</f>
        <v>0</v>
      </c>
      <c r="AH413" t="str">
        <f>IFERROR(AVERAGE('Dry_Litterbag Placem_Collection'!O194,'Dry_Litterbag Placem_Collection'!R194),"")</f>
        <v/>
      </c>
      <c r="AI413" s="271" t="str">
        <f>IFERROR(AVERAGE('Dry_Litterbag Placem_Collection'!N194,'Dry_Litterbag Placem_Collection'!Q194),"")</f>
        <v/>
      </c>
      <c r="AJ413" s="270">
        <f>INDEX(Coordinates!$B$2:$B$197,MATCH(G413,Coordinates!$J$2:$J$197,0))</f>
        <v>-2.2789770269999998</v>
      </c>
      <c r="AK413" s="270">
        <f>INDEX(Coordinates!$C$2:$C$197,MATCH(G413,Coordinates!$J$2:$J$197,0))</f>
        <v>34.032051039999999</v>
      </c>
      <c r="AL413" s="270" t="str">
        <f>IF(ISNUMBER(SEARCH("C", 'Dry_Litterbag Placem_Collection'!T194)),"YES","NO")</f>
        <v>NO</v>
      </c>
      <c r="AM413" s="270" t="str">
        <f>IF(ISNUMBER(SEARCH("H", 'Dry_Litterbag Placem_Collection'!T194)),"YES","NO")</f>
        <v>NO</v>
      </c>
      <c r="AN413" s="270" t="str">
        <f>IF(ISNUMBER(SEARCH("R", 'Dry_Litterbag Placem_Collection'!T194)),"YES","NO")</f>
        <v>NO</v>
      </c>
    </row>
    <row r="414" spans="1:40" ht="15" customHeight="1">
      <c r="A414" s="262" t="s">
        <v>2659</v>
      </c>
      <c r="B414" s="263">
        <f>'Dry_Litterbag Placem_Collection'!A195</f>
        <v>193</v>
      </c>
      <c r="C414" s="263" t="str">
        <f>'Dry_Litterbag Placem_Collection'!B195</f>
        <v>Makao</v>
      </c>
      <c r="D414" s="263" t="s">
        <v>2659</v>
      </c>
      <c r="E414" s="263" t="s">
        <v>2526</v>
      </c>
      <c r="F414" s="263">
        <v>4</v>
      </c>
      <c r="G414" s="264" t="str">
        <f>'Dry_Litterbag Placem_Collection'!C195</f>
        <v>Dry_Ag1_CG4</v>
      </c>
      <c r="H414" s="265" t="s">
        <v>2541</v>
      </c>
      <c r="I414" s="272" t="s">
        <v>298</v>
      </c>
      <c r="J414" s="263" t="str">
        <f>IF(ISBLANK('Dry_Litterbag Placem_Collection'!K195),"","R"&amp;""&amp;'Dry_Litterbag Placem_Collection'!K195)</f>
        <v>R695</v>
      </c>
      <c r="K414" s="267">
        <f>IFERROR(INDEX('Green_rooibos initial weight'!$C$5:$C$1749,MATCH(J414, 'Green_rooibos initial weight'!$A$5:$A$1749,0)),"")</f>
        <v>2.1789999999999998</v>
      </c>
      <c r="L414" s="267">
        <f>IFERROR(K414-(TBIcalc!$Q$9+TBIcalc!$Q$10),"")</f>
        <v>1.9291999999999998</v>
      </c>
      <c r="M414" s="391">
        <f>AVERAGE(Ashed_controlls!$K$12:$K$14)</f>
        <v>2.2816647271287041</v>
      </c>
      <c r="N414" s="267">
        <f t="shared" si="31"/>
        <v>1.8851821240842328</v>
      </c>
      <c r="O414" s="267">
        <f>IF(IFERROR(INDEX('Both teabags AfterDry'!$D$3:$D$900,MATCH(J414,'Both teabags AfterDry'!$A$3:$A$900,0)),"")="","",(IFERROR(INDEX('Both teabags AfterDry'!$D$3:$D$900,MATCH(J414,'Both teabags AfterDry'!$A$3:$A$900,0)),"")))</f>
        <v>1.42</v>
      </c>
      <c r="P414" s="267">
        <f>IFERROR(IF(O414&gt;0,O414-(TBIcalc!$Q$9),""),"")</f>
        <v>1.2693999999999999</v>
      </c>
      <c r="Q414" s="278">
        <f>IFERROR(INDEX('Ashed teabags dry'!$K$2:$K$825,MATCH(J414,'Ashed teabags dry'!$A$2:$A$825,0)),"")</f>
        <v>8.5788561525128699</v>
      </c>
      <c r="R414" s="278">
        <f t="shared" si="32"/>
        <v>1.1605000000000014</v>
      </c>
      <c r="S414" s="268">
        <f>'Dry_Litterbag Placem_Collection'!E195</f>
        <v>42942</v>
      </c>
      <c r="T414" s="268">
        <f>IF('Dry_Litterbag Placem_Collection'!G195="","",'Dry_Litterbag Placem_Collection'!G195)</f>
        <v>43004</v>
      </c>
      <c r="U414" s="269">
        <f t="shared" si="30"/>
        <v>62</v>
      </c>
      <c r="V414" s="267">
        <f t="shared" si="33"/>
        <v>0.65979999999999994</v>
      </c>
      <c r="W414" s="267">
        <f t="shared" si="34"/>
        <v>0.72468212408423138</v>
      </c>
      <c r="X414" s="271">
        <f>IFERROR(INDEX(Rainfall_Dry!$O$2:$O$217,MATCH(B414, Rainfall_Dry!$A$2:$A$217,0)),"")</f>
        <v>171.84818423999999</v>
      </c>
      <c r="Y414" s="260">
        <v>12.565665055683967</v>
      </c>
      <c r="Z414" s="260">
        <v>0.9665896196679955</v>
      </c>
      <c r="AA414" s="260">
        <v>86.467745324648035</v>
      </c>
      <c r="AB414" s="261" t="s">
        <v>2672</v>
      </c>
      <c r="AC414" s="260">
        <v>1.0225726959093147</v>
      </c>
      <c r="AD414">
        <f>IF('WetLitterbags placem_collection'!AB195="","",'WetLitterbags placem_collection'!AB195)</f>
        <v>15.2</v>
      </c>
      <c r="AE414">
        <f>IF('WetLitterbags placem_collection'!Z195="","",'WetLitterbags placem_collection'!Z195)</f>
        <v>12.2</v>
      </c>
      <c r="AF414" s="246" t="str">
        <f>IF('WetLitterbags placem_collection'!AA195="","",'WetLitterbags placem_collection'!AA195)</f>
        <v>O</v>
      </c>
      <c r="AG414">
        <f>IF('WetLitterbags placem_collection'!AC195="","",'WetLitterbags placem_collection'!AC195)</f>
        <v>1</v>
      </c>
      <c r="AH414">
        <f>IFERROR(AVERAGE('Dry_Litterbag Placem_Collection'!O195,'Dry_Litterbag Placem_Collection'!R195),"")</f>
        <v>5.0999999999999996</v>
      </c>
      <c r="AI414" s="271">
        <f>IFERROR(AVERAGE('Dry_Litterbag Placem_Collection'!N195,'Dry_Litterbag Placem_Collection'!Q195),"")</f>
        <v>28.799999999999997</v>
      </c>
      <c r="AJ414">
        <v>-2.4396949910000001</v>
      </c>
      <c r="AK414">
        <v>34.838574029999997</v>
      </c>
      <c r="AL414" s="270" t="str">
        <f>IF(ISNUMBER(SEARCH("C", 'Dry_Litterbag Placem_Collection'!T195)),"YES","NO")</f>
        <v>NO</v>
      </c>
      <c r="AM414" s="270" t="str">
        <f>IF(ISNUMBER(SEARCH("H", 'Dry_Litterbag Placem_Collection'!T195)),"YES","NO")</f>
        <v>NO</v>
      </c>
      <c r="AN414" s="270" t="str">
        <f>IF(ISNUMBER(SEARCH("R", 'Dry_Litterbag Placem_Collection'!T195)),"YES","NO")</f>
        <v>NO</v>
      </c>
    </row>
    <row r="415" spans="1:40" ht="15" customHeight="1">
      <c r="A415" s="262" t="s">
        <v>2659</v>
      </c>
      <c r="B415" s="263">
        <f>'Dry_Litterbag Placem_Collection'!A196</f>
        <v>194</v>
      </c>
      <c r="C415" s="263" t="str">
        <f>'Dry_Litterbag Placem_Collection'!B196</f>
        <v>Makao</v>
      </c>
      <c r="D415" s="263" t="s">
        <v>2659</v>
      </c>
      <c r="E415" s="263" t="s">
        <v>2526</v>
      </c>
      <c r="F415" s="263">
        <v>3</v>
      </c>
      <c r="G415" s="264" t="str">
        <f>'Dry_Litterbag Placem_Collection'!C196</f>
        <v>Dry_Ag2_CG3</v>
      </c>
      <c r="H415" s="265" t="s">
        <v>2541</v>
      </c>
      <c r="I415" s="272" t="s">
        <v>298</v>
      </c>
      <c r="J415" s="263" t="str">
        <f>IF(ISBLANK('Dry_Litterbag Placem_Collection'!K196),"","R"&amp;""&amp;'Dry_Litterbag Placem_Collection'!K196)</f>
        <v>R653</v>
      </c>
      <c r="K415" s="267">
        <f>IFERROR(INDEX('Green_rooibos initial weight'!$C$5:$C$1749,MATCH(J415, 'Green_rooibos initial weight'!$A$5:$A$1749,0)),"")</f>
        <v>2.1989999999999998</v>
      </c>
      <c r="L415" s="267">
        <f>IFERROR(K415-(TBIcalc!$Q$9+TBIcalc!$Q$10),"")</f>
        <v>1.9491999999999998</v>
      </c>
      <c r="M415" s="391">
        <f>AVERAGE(Ashed_controlls!$K$12:$K$14)</f>
        <v>2.2816647271287041</v>
      </c>
      <c r="N415" s="267">
        <f t="shared" si="31"/>
        <v>1.9047257911388071</v>
      </c>
      <c r="O415" s="267">
        <f>IF(IFERROR(INDEX('Both teabags AfterDry'!$D$3:$D$900,MATCH(J415,'Both teabags AfterDry'!$A$3:$A$900,0)),"")="","",(IFERROR(INDEX('Both teabags AfterDry'!$D$3:$D$900,MATCH(J415,'Both teabags AfterDry'!$A$3:$A$900,0)),"")))</f>
        <v>1.613</v>
      </c>
      <c r="P415" s="267">
        <f>IFERROR(IF(O415&gt;0,O415-(TBIcalc!$Q$9),""),"")</f>
        <v>1.4623999999999999</v>
      </c>
      <c r="Q415" s="278">
        <f>IFERROR(INDEX('Ashed teabags dry'!$K$2:$K$825,MATCH(J415,'Ashed teabags dry'!$A$2:$A$825,0)),"")</f>
        <v>6.2529384109078929</v>
      </c>
      <c r="R415" s="278">
        <f t="shared" si="32"/>
        <v>1.3709570286788828</v>
      </c>
      <c r="S415" s="268">
        <f>'Dry_Litterbag Placem_Collection'!E196</f>
        <v>42942</v>
      </c>
      <c r="T415" s="268">
        <f>IF('Dry_Litterbag Placem_Collection'!G196="","",'Dry_Litterbag Placem_Collection'!G196)</f>
        <v>43004</v>
      </c>
      <c r="U415" s="269">
        <f t="shared" si="30"/>
        <v>62</v>
      </c>
      <c r="V415" s="267">
        <f t="shared" si="33"/>
        <v>0.4867999999999999</v>
      </c>
      <c r="W415" s="267">
        <f t="shared" si="34"/>
        <v>0.53376876245992433</v>
      </c>
      <c r="X415" s="271">
        <f>IFERROR(INDEX(Rainfall_Dry!$O$2:$O$217,MATCH(B415, Rainfall_Dry!$A$2:$A$217,0)),"")</f>
        <v>171.84818423999999</v>
      </c>
      <c r="Y415" s="260">
        <v>21.13063730679653</v>
      </c>
      <c r="Z415" s="260">
        <v>3.0912555579081076</v>
      </c>
      <c r="AA415" s="260">
        <v>75.778107135295357</v>
      </c>
      <c r="AB415" s="261" t="s">
        <v>2670</v>
      </c>
      <c r="AC415" s="260">
        <v>0.46131099063578063</v>
      </c>
      <c r="AD415">
        <f>IF('WetLitterbags placem_collection'!AB196="","",'WetLitterbags placem_collection'!AB196)</f>
        <v>7.9</v>
      </c>
      <c r="AE415">
        <f>IF('WetLitterbags placem_collection'!Z196="","",'WetLitterbags placem_collection'!Z196)</f>
        <v>7.9</v>
      </c>
      <c r="AF415" s="246" t="str">
        <f>IF('WetLitterbags placem_collection'!AA196="","",'WetLitterbags placem_collection'!AA196)</f>
        <v>O</v>
      </c>
      <c r="AG415">
        <f>IF('WetLitterbags placem_collection'!AC196="","",'WetLitterbags placem_collection'!AC196)</f>
        <v>1</v>
      </c>
      <c r="AH415">
        <f>IFERROR(AVERAGE('Dry_Litterbag Placem_Collection'!O196,'Dry_Litterbag Placem_Collection'!R196),"")</f>
        <v>5.4</v>
      </c>
      <c r="AI415" s="271">
        <f>IFERROR(AVERAGE('Dry_Litterbag Placem_Collection'!N196,'Dry_Litterbag Placem_Collection'!Q196),"")</f>
        <v>30.849999999999998</v>
      </c>
      <c r="AJ415">
        <v>-2.4395990190000001</v>
      </c>
      <c r="AK415">
        <v>34.838418959999998</v>
      </c>
      <c r="AL415" s="270" t="str">
        <f>IF(ISNUMBER(SEARCH("C", 'Dry_Litterbag Placem_Collection'!T196)),"YES","NO")</f>
        <v>NO</v>
      </c>
      <c r="AM415" s="270" t="str">
        <f>IF(ISNUMBER(SEARCH("H", 'Dry_Litterbag Placem_Collection'!T196)),"YES","NO")</f>
        <v>NO</v>
      </c>
      <c r="AN415" s="270" t="str">
        <f>IF(ISNUMBER(SEARCH("R", 'Dry_Litterbag Placem_Collection'!T196)),"YES","NO")</f>
        <v>YES</v>
      </c>
    </row>
    <row r="416" spans="1:40" ht="15" customHeight="1">
      <c r="A416" s="262" t="s">
        <v>2659</v>
      </c>
      <c r="B416" s="263">
        <f>'Dry_Litterbag Placem_Collection'!A197</f>
        <v>195</v>
      </c>
      <c r="C416" s="263" t="str">
        <f>'Dry_Litterbag Placem_Collection'!B197</f>
        <v>Makao</v>
      </c>
      <c r="D416" s="263" t="s">
        <v>2659</v>
      </c>
      <c r="E416" s="263" t="s">
        <v>2526</v>
      </c>
      <c r="F416" s="263">
        <v>2</v>
      </c>
      <c r="G416" s="264" t="str">
        <f>'Dry_Litterbag Placem_Collection'!C197</f>
        <v>Dry_Ag3_CG2</v>
      </c>
      <c r="H416" s="265" t="s">
        <v>2541</v>
      </c>
      <c r="I416" s="272" t="s">
        <v>298</v>
      </c>
      <c r="J416" s="263" t="str">
        <f>IF(ISBLANK('Dry_Litterbag Placem_Collection'!K197),"","R"&amp;""&amp;'Dry_Litterbag Placem_Collection'!K197)</f>
        <v>R389</v>
      </c>
      <c r="K416" s="267">
        <f>IFERROR(INDEX('Green_rooibos initial weight'!$C$5:$C$1749,MATCH(J416, 'Green_rooibos initial weight'!$A$5:$A$1749,0)),"")</f>
        <v>2.2349999999999999</v>
      </c>
      <c r="L416" s="267">
        <f>IFERROR(K416-(TBIcalc!$Q$9+TBIcalc!$Q$10),"")</f>
        <v>1.9851999999999999</v>
      </c>
      <c r="M416" s="391">
        <f>AVERAGE(Ashed_controlls!$K$12:$K$14)</f>
        <v>2.2816647271287041</v>
      </c>
      <c r="N416" s="267">
        <f t="shared" si="31"/>
        <v>1.9399043918370409</v>
      </c>
      <c r="O416" s="267">
        <f>IF(IFERROR(INDEX('Both teabags AfterDry'!$D$3:$D$900,MATCH(J416,'Both teabags AfterDry'!$A$3:$A$900,0)),"")="","",(IFERROR(INDEX('Both teabags AfterDry'!$D$3:$D$900,MATCH(J416,'Both teabags AfterDry'!$A$3:$A$900,0)),"")))</f>
        <v>0.78200000000000003</v>
      </c>
      <c r="P416" s="267">
        <f>IFERROR(IF(O416&gt;0,O416-(TBIcalc!$Q$9),""),"")</f>
        <v>0.63139999999999996</v>
      </c>
      <c r="Q416" s="278">
        <f>IFERROR(INDEX('Ashed teabags dry'!$K$2:$K$825,MATCH(J416,'Ashed teabags dry'!$A$2:$A$825,0)),"")</f>
        <v>74.075764491100372</v>
      </c>
      <c r="R416" s="278">
        <f t="shared" si="32"/>
        <v>0.16368562300319223</v>
      </c>
      <c r="S416" s="268">
        <f>'Dry_Litterbag Placem_Collection'!E197</f>
        <v>42942</v>
      </c>
      <c r="T416" s="268">
        <f>IF('Dry_Litterbag Placem_Collection'!G197="","",'Dry_Litterbag Placem_Collection'!G197)</f>
        <v>43004</v>
      </c>
      <c r="U416" s="269">
        <f t="shared" si="30"/>
        <v>62</v>
      </c>
      <c r="V416" s="267">
        <f t="shared" si="33"/>
        <v>1.3537999999999999</v>
      </c>
      <c r="W416" s="267">
        <f t="shared" si="34"/>
        <v>1.7762187688338487</v>
      </c>
      <c r="X416" s="271">
        <f>IFERROR(INDEX(Rainfall_Dry!$O$2:$O$217,MATCH(B416, Rainfall_Dry!$A$2:$A$217,0)),"")</f>
        <v>171.84818423999999</v>
      </c>
      <c r="Y416" s="260">
        <v>54.080969906906262</v>
      </c>
      <c r="Z416" s="260">
        <v>21.264484651351896</v>
      </c>
      <c r="AA416" s="260">
        <v>24.654545441741845</v>
      </c>
      <c r="AB416" s="261" t="s">
        <v>2673</v>
      </c>
      <c r="AC416" s="260">
        <v>1.8433218334154755</v>
      </c>
      <c r="AD416">
        <f>IF('WetLitterbags placem_collection'!AB197="","",'WetLitterbags placem_collection'!AB197)</f>
        <v>5.13</v>
      </c>
      <c r="AE416">
        <f>IF('WetLitterbags placem_collection'!Z197="","",'WetLitterbags placem_collection'!Z197)</f>
        <v>5.13</v>
      </c>
      <c r="AF416" s="246" t="str">
        <f>IF('WetLitterbags placem_collection'!AA197="","",'WetLitterbags placem_collection'!AA197)</f>
        <v>O</v>
      </c>
      <c r="AG416">
        <f>IF('WetLitterbags placem_collection'!AC197="","",'WetLitterbags placem_collection'!AC197)</f>
        <v>1</v>
      </c>
      <c r="AH416">
        <f>IFERROR(AVERAGE('Dry_Litterbag Placem_Collection'!O197,'Dry_Litterbag Placem_Collection'!R197),"")</f>
        <v>11.4</v>
      </c>
      <c r="AI416" s="271">
        <f>IFERROR(AVERAGE('Dry_Litterbag Placem_Collection'!N197,'Dry_Litterbag Placem_Collection'!Q197),"")</f>
        <v>28.1</v>
      </c>
      <c r="AJ416">
        <v>-2.4396450349999999</v>
      </c>
      <c r="AK416">
        <v>34.83836599</v>
      </c>
      <c r="AL416" s="270" t="str">
        <f>IF(ISNUMBER(SEARCH("C", 'Dry_Litterbag Placem_Collection'!T197)),"YES","NO")</f>
        <v>NO</v>
      </c>
      <c r="AM416" s="270" t="str">
        <f>IF(ISNUMBER(SEARCH("H", 'Dry_Litterbag Placem_Collection'!T197)),"YES","NO")</f>
        <v>NO</v>
      </c>
      <c r="AN416" s="270" t="str">
        <f>IF(ISNUMBER(SEARCH("R", 'Dry_Litterbag Placem_Collection'!T197)),"YES","NO")</f>
        <v>YES</v>
      </c>
    </row>
    <row r="417" spans="1:40" ht="15" customHeight="1">
      <c r="A417" s="262" t="s">
        <v>2659</v>
      </c>
      <c r="B417" s="263">
        <f>'Dry_Litterbag Placem_Collection'!A198</f>
        <v>196</v>
      </c>
      <c r="C417" s="263" t="str">
        <f>'Dry_Litterbag Placem_Collection'!B198</f>
        <v>Makao</v>
      </c>
      <c r="D417" s="263" t="s">
        <v>2659</v>
      </c>
      <c r="E417" s="263" t="s">
        <v>2526</v>
      </c>
      <c r="F417" s="263">
        <v>1</v>
      </c>
      <c r="G417" s="264" t="str">
        <f>'Dry_Litterbag Placem_Collection'!C198</f>
        <v>Dry_Ag4_CG1</v>
      </c>
      <c r="H417" s="265" t="s">
        <v>2541</v>
      </c>
      <c r="I417" s="272" t="s">
        <v>298</v>
      </c>
      <c r="J417" s="263" t="str">
        <f>IF(ISBLANK('Dry_Litterbag Placem_Collection'!K198),"","R"&amp;""&amp;'Dry_Litterbag Placem_Collection'!K198)</f>
        <v>R455</v>
      </c>
      <c r="K417" s="267">
        <f>IFERROR(INDEX('Green_rooibos initial weight'!$C$5:$C$1749,MATCH(J417, 'Green_rooibos initial weight'!$A$5:$A$1749,0)),"")</f>
        <v>2.1850000000000001</v>
      </c>
      <c r="L417" s="267">
        <f>IFERROR(K417-(TBIcalc!$Q$9+TBIcalc!$Q$10),"")</f>
        <v>1.9352</v>
      </c>
      <c r="M417" s="391">
        <f>AVERAGE(Ashed_controlls!$K$12:$K$14)</f>
        <v>2.2816647271287041</v>
      </c>
      <c r="N417" s="267">
        <f t="shared" si="31"/>
        <v>1.8910452242006053</v>
      </c>
      <c r="O417" s="267">
        <f>IF(IFERROR(INDEX('Both teabags AfterDry'!$D$3:$D$900,MATCH(J417,'Both teabags AfterDry'!$A$3:$A$900,0)),"")="","",(IFERROR(INDEX('Both teabags AfterDry'!$D$3:$D$900,MATCH(J417,'Both teabags AfterDry'!$A$3:$A$900,0)),"")))</f>
        <v>0.19900000000000001</v>
      </c>
      <c r="P417" s="267">
        <f>IFERROR(IF(O417&gt;0,O417-(TBIcalc!$Q$9),""),"")</f>
        <v>4.8399999999999999E-2</v>
      </c>
      <c r="Q417" s="278" t="str">
        <f>IFERROR(INDEX('Ashed teabags dry'!$K$2:$K$825,MATCH(J417,'Ashed teabags dry'!$A$2:$A$825,0)),"")</f>
        <v/>
      </c>
      <c r="R417" s="278" t="str">
        <f t="shared" si="32"/>
        <v/>
      </c>
      <c r="S417" s="268">
        <f>'Dry_Litterbag Placem_Collection'!E198</f>
        <v>42942</v>
      </c>
      <c r="T417" s="268">
        <f>IF('Dry_Litterbag Placem_Collection'!G198="","",'Dry_Litterbag Placem_Collection'!G198)</f>
        <v>43004</v>
      </c>
      <c r="U417" s="269">
        <f t="shared" si="30"/>
        <v>62</v>
      </c>
      <c r="V417" s="267">
        <f t="shared" si="33"/>
        <v>1.8868</v>
      </c>
      <c r="W417" s="267" t="str">
        <f t="shared" si="34"/>
        <v/>
      </c>
      <c r="X417" s="271">
        <f>IFERROR(INDEX(Rainfall_Dry!$O$2:$O$217,MATCH(B417, Rainfall_Dry!$A$2:$A$217,0)),"")</f>
        <v>171.84818423999999</v>
      </c>
      <c r="Y417" s="260">
        <v>51.960000000000008</v>
      </c>
      <c r="Z417" s="260">
        <v>18.919999999999995</v>
      </c>
      <c r="AA417" s="260">
        <v>29.120000000000005</v>
      </c>
      <c r="AB417" s="261" t="s">
        <v>2673</v>
      </c>
      <c r="AC417" s="260">
        <v>1.85293247905372</v>
      </c>
      <c r="AD417">
        <f>IF('WetLitterbags placem_collection'!AB198="","",'WetLitterbags placem_collection'!AB198)</f>
        <v>13.8</v>
      </c>
      <c r="AE417">
        <f>IF('WetLitterbags placem_collection'!Z198="","",'WetLitterbags placem_collection'!Z198)</f>
        <v>17.399999999999999</v>
      </c>
      <c r="AF417" s="246" t="str">
        <f>IF('WetLitterbags placem_collection'!AA198="","",'WetLitterbags placem_collection'!AA198)</f>
        <v>O</v>
      </c>
      <c r="AG417">
        <f>IF('WetLitterbags placem_collection'!AC198="","",'WetLitterbags placem_collection'!AC198)</f>
        <v>1</v>
      </c>
      <c r="AH417">
        <f>IFERROR(AVERAGE('Dry_Litterbag Placem_Collection'!O198,'Dry_Litterbag Placem_Collection'!R198),"")</f>
        <v>12.45</v>
      </c>
      <c r="AI417" s="271">
        <f>IFERROR(AVERAGE('Dry_Litterbag Placem_Collection'!N198,'Dry_Litterbag Placem_Collection'!Q198),"")</f>
        <v>26.65</v>
      </c>
      <c r="AJ417">
        <v>-2.439403972</v>
      </c>
      <c r="AK417">
        <v>34.838404959999998</v>
      </c>
      <c r="AL417" s="270" t="str">
        <f>IF(ISNUMBER(SEARCH("C", 'Dry_Litterbag Placem_Collection'!T198)),"YES","NO")</f>
        <v>NO</v>
      </c>
      <c r="AM417" s="270" t="str">
        <f>IF(ISNUMBER(SEARCH("H", 'Dry_Litterbag Placem_Collection'!T198)),"YES","NO")</f>
        <v>YES</v>
      </c>
      <c r="AN417" s="270" t="str">
        <f>IF(ISNUMBER(SEARCH("R", 'Dry_Litterbag Placem_Collection'!T198)),"YES","NO")</f>
        <v>NO</v>
      </c>
    </row>
    <row r="418" spans="1:40" ht="15" customHeight="1">
      <c r="A418" s="262" t="s">
        <v>2659</v>
      </c>
      <c r="B418" s="263">
        <f>'Dry_Litterbag Placem_Collection'!A199</f>
        <v>197</v>
      </c>
      <c r="C418" s="263" t="str">
        <f>'Dry_Litterbag Placem_Collection'!B199</f>
        <v>Makao</v>
      </c>
      <c r="D418" s="263" t="s">
        <v>2659</v>
      </c>
      <c r="E418" s="263" t="s">
        <v>2526</v>
      </c>
      <c r="F418" s="263">
        <v>2</v>
      </c>
      <c r="G418" s="264" t="str">
        <f>'Dry_Litterbag Placem_Collection'!C199</f>
        <v>Dry_P1_CG2</v>
      </c>
      <c r="H418" s="265" t="s">
        <v>2541</v>
      </c>
      <c r="I418" s="272" t="s">
        <v>298</v>
      </c>
      <c r="J418" s="263" t="str">
        <f>IF(ISBLANK('Dry_Litterbag Placem_Collection'!K199),"","R"&amp;""&amp;'Dry_Litterbag Placem_Collection'!K199)</f>
        <v>R692</v>
      </c>
      <c r="K418" s="267">
        <f>IFERROR(INDEX('Green_rooibos initial weight'!$C$5:$C$1749,MATCH(J418, 'Green_rooibos initial weight'!$A$5:$A$1749,0)),"")</f>
        <v>2.1419999999999999</v>
      </c>
      <c r="L418" s="267">
        <f>IFERROR(K418-(TBIcalc!$Q$9+TBIcalc!$Q$10),"")</f>
        <v>1.8921999999999999</v>
      </c>
      <c r="M418" s="391">
        <f>AVERAGE(Ashed_controlls!$K$12:$K$14)</f>
        <v>2.2816647271287041</v>
      </c>
      <c r="N418" s="267">
        <f t="shared" si="31"/>
        <v>1.8490263400332705</v>
      </c>
      <c r="O418" s="267">
        <f>IF(IFERROR(INDEX('Both teabags AfterDry'!$D$3:$D$900,MATCH(J418,'Both teabags AfterDry'!$A$3:$A$900,0)),"")="","",(IFERROR(INDEX('Both teabags AfterDry'!$D$3:$D$900,MATCH(J418,'Both teabags AfterDry'!$A$3:$A$900,0)),"")))</f>
        <v>1.6160000000000001</v>
      </c>
      <c r="P418" s="267">
        <f>IFERROR(IF(O418&gt;0,O418-(TBIcalc!$Q$9),""),"")</f>
        <v>1.4654</v>
      </c>
      <c r="Q418" s="278">
        <f>IFERROR(INDEX('Ashed teabags dry'!$K$2:$K$825,MATCH(J418,'Ashed teabags dry'!$A$2:$A$825,0)),"")</f>
        <v>6.6166740185264974</v>
      </c>
      <c r="R418" s="278">
        <f t="shared" si="32"/>
        <v>1.3684392589325127</v>
      </c>
      <c r="S418" s="268">
        <f>'Dry_Litterbag Placem_Collection'!E199</f>
        <v>42942</v>
      </c>
      <c r="T418" s="268">
        <f>IF('Dry_Litterbag Placem_Collection'!G199="","",'Dry_Litterbag Placem_Collection'!G199)</f>
        <v>43004</v>
      </c>
      <c r="U418" s="269">
        <f t="shared" si="30"/>
        <v>62</v>
      </c>
      <c r="V418" s="267">
        <f t="shared" si="33"/>
        <v>0.42679999999999985</v>
      </c>
      <c r="W418" s="267">
        <f t="shared" si="34"/>
        <v>0.48058708110075776</v>
      </c>
      <c r="X418" s="271">
        <f>IFERROR(INDEX(Rainfall_Dry!$O$2:$O$217,MATCH(B418, Rainfall_Dry!$A$2:$A$217,0)),"")</f>
        <v>171.84818423999999</v>
      </c>
      <c r="Y418" s="260">
        <v>23.96</v>
      </c>
      <c r="Z418" s="260">
        <v>0.91999999999999804</v>
      </c>
      <c r="AA418" s="260">
        <v>75.12</v>
      </c>
      <c r="AB418" s="261" t="s">
        <v>2670</v>
      </c>
      <c r="AC418" s="260">
        <v>1.2493839329719072</v>
      </c>
      <c r="AD418">
        <f>IF('WetLitterbags placem_collection'!AB199="","",'WetLitterbags placem_collection'!AB199)</f>
        <v>5.13</v>
      </c>
      <c r="AE418">
        <f>IF('WetLitterbags placem_collection'!Z199="","",'WetLitterbags placem_collection'!Z199)</f>
        <v>5.13</v>
      </c>
      <c r="AF418" s="246" t="str">
        <f>IF('WetLitterbags placem_collection'!AA199="","",'WetLitterbags placem_collection'!AA199)</f>
        <v>O</v>
      </c>
      <c r="AG418">
        <f>IF('WetLitterbags placem_collection'!AC199="","",'WetLitterbags placem_collection'!AC199)</f>
        <v>1</v>
      </c>
      <c r="AH418">
        <f>IFERROR(AVERAGE('Dry_Litterbag Placem_Collection'!O199,'Dry_Litterbag Placem_Collection'!R199),"")</f>
        <v>6.3000000000000007</v>
      </c>
      <c r="AI418" s="271">
        <f>IFERROR(AVERAGE('Dry_Litterbag Placem_Collection'!N199,'Dry_Litterbag Placem_Collection'!Q199),"")</f>
        <v>29.05</v>
      </c>
      <c r="AJ418">
        <v>-2.4396450349999999</v>
      </c>
      <c r="AK418">
        <v>34.83836599</v>
      </c>
      <c r="AL418" s="270" t="str">
        <f>IF(ISNUMBER(SEARCH("C", 'Dry_Litterbag Placem_Collection'!T199)),"YES","NO")</f>
        <v>NO</v>
      </c>
      <c r="AM418" s="270" t="str">
        <f>IF(ISNUMBER(SEARCH("H", 'Dry_Litterbag Placem_Collection'!T199)),"YES","NO")</f>
        <v>NO</v>
      </c>
      <c r="AN418" s="270" t="str">
        <f>IF(ISNUMBER(SEARCH("R", 'Dry_Litterbag Placem_Collection'!T199)),"YES","NO")</f>
        <v>YES</v>
      </c>
    </row>
    <row r="419" spans="1:40" ht="15" customHeight="1">
      <c r="A419" s="262" t="s">
        <v>2659</v>
      </c>
      <c r="B419" s="263">
        <f>'Dry_Litterbag Placem_Collection'!A200</f>
        <v>198</v>
      </c>
      <c r="C419" s="263" t="str">
        <f>'Dry_Litterbag Placem_Collection'!B200</f>
        <v>Makao</v>
      </c>
      <c r="D419" s="263" t="s">
        <v>2659</v>
      </c>
      <c r="E419" s="263" t="s">
        <v>2526</v>
      </c>
      <c r="F419" s="263">
        <v>3</v>
      </c>
      <c r="G419" s="264" t="str">
        <f>'Dry_Litterbag Placem_Collection'!C200</f>
        <v>Dry_P2_CG3</v>
      </c>
      <c r="H419" s="265" t="s">
        <v>2541</v>
      </c>
      <c r="I419" s="272" t="s">
        <v>298</v>
      </c>
      <c r="J419" s="263" t="str">
        <f>IF(ISBLANK('Dry_Litterbag Placem_Collection'!K200),"","R"&amp;""&amp;'Dry_Litterbag Placem_Collection'!K200)</f>
        <v>R352</v>
      </c>
      <c r="K419" s="267">
        <f>IFERROR(INDEX('Green_rooibos initial weight'!$C$5:$C$1749,MATCH(J419, 'Green_rooibos initial weight'!$A$5:$A$1749,0)),"")</f>
        <v>2.2789999999999999</v>
      </c>
      <c r="L419" s="267">
        <f>IFERROR(K419-(TBIcalc!$Q$9+TBIcalc!$Q$10),"")</f>
        <v>2.0291999999999999</v>
      </c>
      <c r="M419" s="391">
        <f>AVERAGE(Ashed_controlls!$K$12:$K$14)</f>
        <v>2.2816647271287041</v>
      </c>
      <c r="N419" s="267">
        <f t="shared" si="31"/>
        <v>1.9829004593571042</v>
      </c>
      <c r="O419" s="267">
        <f>IF(IFERROR(INDEX('Both teabags AfterDry'!$D$3:$D$900,MATCH(J419,'Both teabags AfterDry'!$A$3:$A$900,0)),"")="","",(IFERROR(INDEX('Both teabags AfterDry'!$D$3:$D$900,MATCH(J419,'Both teabags AfterDry'!$A$3:$A$900,0)),"")))</f>
        <v>1.615</v>
      </c>
      <c r="P419" s="267">
        <f>IFERROR(IF(O419&gt;0,O419-(TBIcalc!$Q$9),""),"")</f>
        <v>1.4643999999999999</v>
      </c>
      <c r="Q419" s="278">
        <f>IFERROR(INDEX('Ashed teabags dry'!$K$2:$K$825,MATCH(J419,'Ashed teabags dry'!$A$2:$A$825,0)),"")</f>
        <v>5.1034482758627195</v>
      </c>
      <c r="R419" s="278">
        <f t="shared" si="32"/>
        <v>1.3896651034482663</v>
      </c>
      <c r="S419" s="268">
        <f>'Dry_Litterbag Placem_Collection'!E200</f>
        <v>42942</v>
      </c>
      <c r="T419" s="268">
        <f>IF('Dry_Litterbag Placem_Collection'!G200="","",'Dry_Litterbag Placem_Collection'!G200)</f>
        <v>43004</v>
      </c>
      <c r="U419" s="269">
        <f t="shared" si="30"/>
        <v>62</v>
      </c>
      <c r="V419" s="267">
        <f t="shared" si="33"/>
        <v>0.56479999999999997</v>
      </c>
      <c r="W419" s="267">
        <f t="shared" si="34"/>
        <v>0.59323535590883791</v>
      </c>
      <c r="X419" s="271">
        <f>IFERROR(INDEX(Rainfall_Dry!$O$2:$O$217,MATCH(B419, Rainfall_Dry!$A$2:$A$217,0)),"")</f>
        <v>171.84818423999999</v>
      </c>
      <c r="Y419" s="260">
        <v>19.96</v>
      </c>
      <c r="Z419" s="260">
        <v>4.9199999999999982</v>
      </c>
      <c r="AA419" s="260">
        <v>75.12</v>
      </c>
      <c r="AB419" s="261" t="s">
        <v>2671</v>
      </c>
      <c r="AC419" s="260">
        <v>1.641498275012321</v>
      </c>
      <c r="AD419">
        <f>IF('WetLitterbags placem_collection'!AB200="","",'WetLitterbags placem_collection'!AB200)</f>
        <v>7.9</v>
      </c>
      <c r="AE419">
        <f>IF('WetLitterbags placem_collection'!Z200="","",'WetLitterbags placem_collection'!Z200)</f>
        <v>7.9</v>
      </c>
      <c r="AF419" s="246" t="str">
        <f>IF('WetLitterbags placem_collection'!AA200="","",'WetLitterbags placem_collection'!AA200)</f>
        <v>O</v>
      </c>
      <c r="AG419">
        <f>IF('WetLitterbags placem_collection'!AC200="","",'WetLitterbags placem_collection'!AC200)</f>
        <v>1</v>
      </c>
      <c r="AH419">
        <f>IFERROR(AVERAGE('Dry_Litterbag Placem_Collection'!O200,'Dry_Litterbag Placem_Collection'!R200),"")</f>
        <v>4.8499999999999996</v>
      </c>
      <c r="AI419" s="271">
        <f>IFERROR(AVERAGE('Dry_Litterbag Placem_Collection'!N200,'Dry_Litterbag Placem_Collection'!Q200),"")</f>
        <v>30.25</v>
      </c>
      <c r="AJ419">
        <v>-2.4395990190000001</v>
      </c>
      <c r="AK419">
        <v>34.838418959999998</v>
      </c>
      <c r="AL419" s="270" t="str">
        <f>IF(ISNUMBER(SEARCH("C", 'Dry_Litterbag Placem_Collection'!T200)),"YES","NO")</f>
        <v>NO</v>
      </c>
      <c r="AM419" s="270" t="str">
        <f>IF(ISNUMBER(SEARCH("H", 'Dry_Litterbag Placem_Collection'!T200)),"YES","NO")</f>
        <v>YES</v>
      </c>
      <c r="AN419" s="270" t="str">
        <f>IF(ISNUMBER(SEARCH("R", 'Dry_Litterbag Placem_Collection'!T200)),"YES","NO")</f>
        <v>YES</v>
      </c>
    </row>
    <row r="420" spans="1:40" ht="15" customHeight="1">
      <c r="A420" s="262" t="s">
        <v>2659</v>
      </c>
      <c r="B420" s="263">
        <f>'Dry_Litterbag Placem_Collection'!A201</f>
        <v>199</v>
      </c>
      <c r="C420" s="263" t="str">
        <f>'Dry_Litterbag Placem_Collection'!B201</f>
        <v>Makao</v>
      </c>
      <c r="D420" s="263" t="s">
        <v>2659</v>
      </c>
      <c r="E420" s="263" t="s">
        <v>2526</v>
      </c>
      <c r="F420" s="263">
        <v>1</v>
      </c>
      <c r="G420" s="264" t="str">
        <f>'Dry_Litterbag Placem_Collection'!C201</f>
        <v>Dry_P3_CG1</v>
      </c>
      <c r="H420" s="265" t="s">
        <v>2541</v>
      </c>
      <c r="I420" s="272" t="s">
        <v>298</v>
      </c>
      <c r="J420" s="263" t="str">
        <f>IF(ISBLANK('Dry_Litterbag Placem_Collection'!K201),"","R"&amp;""&amp;'Dry_Litterbag Placem_Collection'!K201)</f>
        <v>R327</v>
      </c>
      <c r="K420" s="267">
        <f>IFERROR(INDEX('Green_rooibos initial weight'!$C$5:$C$1749,MATCH(J420, 'Green_rooibos initial weight'!$A$5:$A$1749,0)),"")</f>
        <v>2.2229999999999999</v>
      </c>
      <c r="L420" s="267">
        <f>IFERROR(K420-(TBIcalc!$Q$9+TBIcalc!$Q$10),"")</f>
        <v>1.9731999999999998</v>
      </c>
      <c r="M420" s="391">
        <f>AVERAGE(Ashed_controlls!$K$12:$K$14)</f>
        <v>2.2816647271287041</v>
      </c>
      <c r="N420" s="267">
        <f t="shared" si="31"/>
        <v>1.9281781916042962</v>
      </c>
      <c r="O420" s="267">
        <f>IF(IFERROR(INDEX('Both teabags AfterDry'!$D$3:$D$900,MATCH(J420,'Both teabags AfterDry'!$A$3:$A$900,0)),"")="","",(IFERROR(INDEX('Both teabags AfterDry'!$D$3:$D$900,MATCH(J420,'Both teabags AfterDry'!$A$3:$A$900,0)),"")))</f>
        <v>1.5642</v>
      </c>
      <c r="P420" s="267">
        <f>IFERROR(IF(O420&gt;0,O420-(TBIcalc!$Q$9),""),"")</f>
        <v>1.4136</v>
      </c>
      <c r="Q420" s="278">
        <f>IFERROR(INDEX('Ashed teabags dry'!$K$2:$K$825,MATCH(J420,'Ashed teabags dry'!$A$2:$A$825,0)),"")</f>
        <v>3.4327009936770145</v>
      </c>
      <c r="R420" s="278">
        <f t="shared" si="32"/>
        <v>1.3650753387533816</v>
      </c>
      <c r="S420" s="268">
        <f>'Dry_Litterbag Placem_Collection'!E201</f>
        <v>42942</v>
      </c>
      <c r="T420" s="268">
        <f>IF('Dry_Litterbag Placem_Collection'!G201="","",'Dry_Litterbag Placem_Collection'!G201)</f>
        <v>43004</v>
      </c>
      <c r="U420" s="269">
        <f t="shared" si="30"/>
        <v>62</v>
      </c>
      <c r="V420" s="267">
        <f t="shared" si="33"/>
        <v>0.55959999999999988</v>
      </c>
      <c r="W420" s="267">
        <f t="shared" si="34"/>
        <v>0.56310285285091455</v>
      </c>
      <c r="X420" s="271">
        <f>IFERROR(INDEX(Rainfall_Dry!$O$2:$O$217,MATCH(B420, Rainfall_Dry!$A$2:$A$217,0)),"")</f>
        <v>171.84818423999999</v>
      </c>
      <c r="Y420" s="260">
        <v>21.96</v>
      </c>
      <c r="Z420" s="260">
        <v>8.9199999999999982</v>
      </c>
      <c r="AA420" s="260">
        <v>69.12</v>
      </c>
      <c r="AB420" s="261" t="s">
        <v>2670</v>
      </c>
      <c r="AC420" s="260">
        <v>1.7491375061606702</v>
      </c>
      <c r="AD420">
        <f>IF('WetLitterbags placem_collection'!AB201="","",'WetLitterbags placem_collection'!AB201)</f>
        <v>13.8</v>
      </c>
      <c r="AE420">
        <f>IF('WetLitterbags placem_collection'!Z201="","",'WetLitterbags placem_collection'!Z201)</f>
        <v>17.399999999999999</v>
      </c>
      <c r="AF420" s="246" t="str">
        <f>IF('WetLitterbags placem_collection'!AA201="","",'WetLitterbags placem_collection'!AA201)</f>
        <v>O</v>
      </c>
      <c r="AG420">
        <f>IF('WetLitterbags placem_collection'!AC201="","",'WetLitterbags placem_collection'!AC201)</f>
        <v>1</v>
      </c>
      <c r="AH420">
        <f>IFERROR(AVERAGE('Dry_Litterbag Placem_Collection'!O201,'Dry_Litterbag Placem_Collection'!R201),"")</f>
        <v>6.1999999999999993</v>
      </c>
      <c r="AI420" s="271">
        <f>IFERROR(AVERAGE('Dry_Litterbag Placem_Collection'!N201,'Dry_Litterbag Placem_Collection'!Q201),"")</f>
        <v>27.200000000000003</v>
      </c>
      <c r="AJ420">
        <v>-2.439403972</v>
      </c>
      <c r="AK420">
        <v>34.838404959999998</v>
      </c>
      <c r="AL420" s="270" t="str">
        <f>IF(ISNUMBER(SEARCH("C", 'Dry_Litterbag Placem_Collection'!T201)),"YES","NO")</f>
        <v>NO</v>
      </c>
      <c r="AM420" s="270" t="str">
        <f>IF(ISNUMBER(SEARCH("H", 'Dry_Litterbag Placem_Collection'!T201)),"YES","NO")</f>
        <v>YES</v>
      </c>
      <c r="AN420" s="270" t="str">
        <f>IF(ISNUMBER(SEARCH("R", 'Dry_Litterbag Placem_Collection'!T201)),"YES","NO")</f>
        <v>NO</v>
      </c>
    </row>
    <row r="421" spans="1:40" ht="15" customHeight="1">
      <c r="A421" s="262" t="s">
        <v>2659</v>
      </c>
      <c r="B421" s="263">
        <f>'Dry_Litterbag Placem_Collection'!A202</f>
        <v>200</v>
      </c>
      <c r="C421" s="263" t="str">
        <f>'Dry_Litterbag Placem_Collection'!B202</f>
        <v>Makao</v>
      </c>
      <c r="D421" s="263" t="s">
        <v>2659</v>
      </c>
      <c r="E421" s="263" t="s">
        <v>2526</v>
      </c>
      <c r="F421" s="263">
        <v>4</v>
      </c>
      <c r="G421" s="264" t="str">
        <f>'Dry_Litterbag Placem_Collection'!C202</f>
        <v>Dry_P4_CG4</v>
      </c>
      <c r="H421" s="265" t="s">
        <v>2541</v>
      </c>
      <c r="I421" s="272" t="s">
        <v>298</v>
      </c>
      <c r="J421" s="263" t="str">
        <f>IF(ISBLANK('Dry_Litterbag Placem_Collection'!K202),"","R"&amp;""&amp;'Dry_Litterbag Placem_Collection'!K202)</f>
        <v>R75</v>
      </c>
      <c r="K421" s="267">
        <f>IFERROR(INDEX('Green_rooibos initial weight'!$C$5:$C$1749,MATCH(J421, 'Green_rooibos initial weight'!$A$5:$A$1749,0)),"")</f>
        <v>2.1819999999999999</v>
      </c>
      <c r="L421" s="267">
        <f>IFERROR(K421-(TBIcalc!$Q$9+TBIcalc!$Q$10),"")</f>
        <v>1.9321999999999999</v>
      </c>
      <c r="M421" s="391">
        <f>AVERAGE(Ashed_controlls!$K$12:$K$14)</f>
        <v>2.2816647271287041</v>
      </c>
      <c r="N421" s="267">
        <f t="shared" si="31"/>
        <v>1.8881136741424192</v>
      </c>
      <c r="O421" s="267">
        <f>IF(IFERROR(INDEX('Both teabags AfterDry'!$D$3:$D$900,MATCH(J421,'Both teabags AfterDry'!$A$3:$A$900,0)),"")="","",(IFERROR(INDEX('Both teabags AfterDry'!$D$3:$D$900,MATCH(J421,'Both teabags AfterDry'!$A$3:$A$900,0)),"")))</f>
        <v>0.1565</v>
      </c>
      <c r="P421" s="267">
        <f>IFERROR(IF(O421&gt;0,O421-(TBIcalc!$Q$9),""),"")</f>
        <v>5.8999999999999886E-3</v>
      </c>
      <c r="Q421" s="278">
        <f>IFERROR(INDEX('Ashed teabags dry'!$K$2:$K$825,MATCH(J421,'Ashed teabags dry'!$A$2:$A$825,0)),"")</f>
        <v>0</v>
      </c>
      <c r="R421" s="278">
        <f t="shared" si="32"/>
        <v>5.8999999999999886E-3</v>
      </c>
      <c r="S421" s="268">
        <f>'Dry_Litterbag Placem_Collection'!E202</f>
        <v>42942</v>
      </c>
      <c r="T421" s="268">
        <f>IF('Dry_Litterbag Placem_Collection'!G202="","",'Dry_Litterbag Placem_Collection'!G202)</f>
        <v>43004</v>
      </c>
      <c r="U421" s="269">
        <f t="shared" si="30"/>
        <v>62</v>
      </c>
      <c r="V421" s="267">
        <f t="shared" si="33"/>
        <v>1.9262999999999999</v>
      </c>
      <c r="W421" s="267">
        <f t="shared" si="34"/>
        <v>1.8822136741424191</v>
      </c>
      <c r="X421" s="271">
        <f>IFERROR(INDEX(Rainfall_Dry!$O$2:$O$217,MATCH(B421, Rainfall_Dry!$A$2:$A$217,0)),"")</f>
        <v>171.84818423999999</v>
      </c>
      <c r="Y421" s="260">
        <v>25.96</v>
      </c>
      <c r="Z421" s="260">
        <v>6.9200000000000008</v>
      </c>
      <c r="AA421" s="260">
        <v>67.12</v>
      </c>
      <c r="AB421" s="261" t="s">
        <v>2670</v>
      </c>
      <c r="AC421" s="260">
        <v>1.7568260226712666</v>
      </c>
      <c r="AD421">
        <f>IF('WetLitterbags placem_collection'!AB202="","",'WetLitterbags placem_collection'!AB202)</f>
        <v>15.2</v>
      </c>
      <c r="AE421">
        <f>IF('WetLitterbags placem_collection'!Z202="","",'WetLitterbags placem_collection'!Z202)</f>
        <v>12.2</v>
      </c>
      <c r="AF421" s="246" t="str">
        <f>IF('WetLitterbags placem_collection'!AA202="","",'WetLitterbags placem_collection'!AA202)</f>
        <v>O</v>
      </c>
      <c r="AG421">
        <f>IF('WetLitterbags placem_collection'!AC202="","",'WetLitterbags placem_collection'!AC202)</f>
        <v>1</v>
      </c>
      <c r="AH421">
        <f>IFERROR(AVERAGE('Dry_Litterbag Placem_Collection'!O202,'Dry_Litterbag Placem_Collection'!R202),"")</f>
        <v>7</v>
      </c>
      <c r="AI421" s="271">
        <f>IFERROR(AVERAGE('Dry_Litterbag Placem_Collection'!N202,'Dry_Litterbag Placem_Collection'!Q202),"")</f>
        <v>32.9</v>
      </c>
      <c r="AJ421">
        <v>-2.4396949910000001</v>
      </c>
      <c r="AK421">
        <v>34.838574029999997</v>
      </c>
      <c r="AL421" s="270" t="str">
        <f>IF(ISNUMBER(SEARCH("C", 'Dry_Litterbag Placem_Collection'!T202)),"YES","NO")</f>
        <v>NO</v>
      </c>
      <c r="AM421" s="270" t="str">
        <f>IF(ISNUMBER(SEARCH("H", 'Dry_Litterbag Placem_Collection'!T202)),"YES","NO")</f>
        <v>YES</v>
      </c>
      <c r="AN421" s="270" t="str">
        <f>IF(ISNUMBER(SEARCH("R", 'Dry_Litterbag Placem_Collection'!T202)),"YES","NO")</f>
        <v>YES</v>
      </c>
    </row>
    <row r="422" spans="1:40" ht="15" customHeight="1">
      <c r="A422" s="262" t="s">
        <v>2659</v>
      </c>
      <c r="B422" s="263">
        <f>'Dry_Litterbag Placem_Collection'!A203</f>
        <v>201</v>
      </c>
      <c r="C422" s="263" t="str">
        <f>'Dry_Litterbag Placem_Collection'!B203</f>
        <v>Maswa</v>
      </c>
      <c r="D422" s="263" t="s">
        <v>2659</v>
      </c>
      <c r="E422" s="263" t="s">
        <v>2526</v>
      </c>
      <c r="F422" s="263">
        <v>4</v>
      </c>
      <c r="G422" s="264" t="str">
        <f>'Dry_Litterbag Placem_Collection'!C203</f>
        <v>Dry_W3_CG4</v>
      </c>
      <c r="H422" s="265" t="s">
        <v>2541</v>
      </c>
      <c r="I422" s="272" t="s">
        <v>298</v>
      </c>
      <c r="J422" s="263" t="str">
        <f>IF(ISBLANK('Dry_Litterbag Placem_Collection'!K203),"","R"&amp;""&amp;'Dry_Litterbag Placem_Collection'!K203)</f>
        <v>R36</v>
      </c>
      <c r="K422" s="267">
        <f>IFERROR(INDEX('Green_rooibos initial weight'!$C$5:$C$1749,MATCH(J422, 'Green_rooibos initial weight'!$A$5:$A$1749,0)),"")</f>
        <v>2.298</v>
      </c>
      <c r="L422" s="267">
        <f>IFERROR(K422-(TBIcalc!$Q$9+TBIcalc!$Q$10),"")</f>
        <v>2.0482</v>
      </c>
      <c r="M422" s="391">
        <f>AVERAGE(Ashed_controlls!$K$12:$K$14)</f>
        <v>2.2816647271287041</v>
      </c>
      <c r="N422" s="267">
        <f t="shared" si="31"/>
        <v>2.0014669430589498</v>
      </c>
      <c r="O422" s="267">
        <f>IF(IFERROR(INDEX('Both teabags AfterDry'!$D$3:$D$900,MATCH(J422,'Both teabags AfterDry'!$A$3:$A$900,0)),"")="","",(IFERROR(INDEX('Both teabags AfterDry'!$D$3:$D$900,MATCH(J422,'Both teabags AfterDry'!$A$3:$A$900,0)),"")))</f>
        <v>1.968</v>
      </c>
      <c r="P422" s="267">
        <f>IFERROR(IF(O422&gt;0,O422-(TBIcalc!$Q$9),""),"")</f>
        <v>1.8173999999999999</v>
      </c>
      <c r="Q422" s="278">
        <f>IFERROR(INDEX('Ashed teabags dry'!$K$2:$K$825,MATCH(J422,'Ashed teabags dry'!$A$2:$A$825,0)),"")</f>
        <v>10.068426197458811</v>
      </c>
      <c r="R422" s="278">
        <f t="shared" si="32"/>
        <v>1.6344164222873836</v>
      </c>
      <c r="S422" s="268">
        <f>'Dry_Litterbag Placem_Collection'!E203</f>
        <v>42942</v>
      </c>
      <c r="T422" s="268">
        <f>IF('Dry_Litterbag Placem_Collection'!G203="","",'Dry_Litterbag Placem_Collection'!G203)</f>
        <v>43004</v>
      </c>
      <c r="U422" s="269">
        <f t="shared" si="30"/>
        <v>62</v>
      </c>
      <c r="V422" s="267">
        <f t="shared" si="33"/>
        <v>0.23080000000000012</v>
      </c>
      <c r="W422" s="267">
        <f t="shared" si="34"/>
        <v>0.36705052077156619</v>
      </c>
      <c r="X422" s="271">
        <f>IFERROR(INDEX(Rainfall_Dry!$O$2:$O$217,MATCH(B422, Rainfall_Dry!$A$2:$A$217,0)),"")</f>
        <v>171.84818423999999</v>
      </c>
      <c r="Y422" s="260">
        <v>38.691629007962128</v>
      </c>
      <c r="Z422" s="260">
        <v>26.81299763288143</v>
      </c>
      <c r="AA422" s="260">
        <v>34.495373359156439</v>
      </c>
      <c r="AB422" s="261" t="s">
        <v>2675</v>
      </c>
      <c r="AC422" s="260">
        <v>2.5483587974371611</v>
      </c>
      <c r="AD422">
        <f>IF('WetLitterbags placem_collection'!AB203="","",'WetLitterbags placem_collection'!AB203)</f>
        <v>15.2</v>
      </c>
      <c r="AE422">
        <f>IF('WetLitterbags placem_collection'!Z203="","",'WetLitterbags placem_collection'!Z203)</f>
        <v>12.2</v>
      </c>
      <c r="AF422" s="246" t="str">
        <f>IF('WetLitterbags placem_collection'!AA203="","",'WetLitterbags placem_collection'!AA203)</f>
        <v>O</v>
      </c>
      <c r="AG422">
        <f>IF('WetLitterbags placem_collection'!AC203="","",'WetLitterbags placem_collection'!AC203)</f>
        <v>1</v>
      </c>
      <c r="AH422">
        <f>IFERROR(AVERAGE('Dry_Litterbag Placem_Collection'!O203,'Dry_Litterbag Placem_Collection'!R203),"")</f>
        <v>8.9</v>
      </c>
      <c r="AI422" s="271">
        <f>IFERROR(AVERAGE('Dry_Litterbag Placem_Collection'!N203,'Dry_Litterbag Placem_Collection'!Q203),"")</f>
        <v>29.15</v>
      </c>
      <c r="AJ422">
        <v>-2.4396949910000001</v>
      </c>
      <c r="AK422">
        <v>34.838574029999997</v>
      </c>
      <c r="AL422" s="270" t="str">
        <f>IF(ISNUMBER(SEARCH("C", 'Dry_Litterbag Placem_Collection'!T203)),"YES","NO")</f>
        <v>YES</v>
      </c>
      <c r="AM422" s="270" t="str">
        <f>IF(ISNUMBER(SEARCH("H", 'Dry_Litterbag Placem_Collection'!T203)),"YES","NO")</f>
        <v>YES</v>
      </c>
      <c r="AN422" s="270" t="str">
        <f>IF(ISNUMBER(SEARCH("R", 'Dry_Litterbag Placem_Collection'!T203)),"YES","NO")</f>
        <v>YES</v>
      </c>
    </row>
    <row r="423" spans="1:40" ht="15" customHeight="1">
      <c r="A423" s="262" t="s">
        <v>2659</v>
      </c>
      <c r="B423" s="263">
        <f>'Dry_Litterbag Placem_Collection'!A204</f>
        <v>202</v>
      </c>
      <c r="C423" s="263" t="str">
        <f>'Dry_Litterbag Placem_Collection'!B204</f>
        <v>Maswa</v>
      </c>
      <c r="D423" s="263" t="s">
        <v>2659</v>
      </c>
      <c r="E423" s="263" t="s">
        <v>2526</v>
      </c>
      <c r="F423" s="263">
        <v>1</v>
      </c>
      <c r="G423" s="264" t="str">
        <f>'Dry_Litterbag Placem_Collection'!C204</f>
        <v>Dry_W2_CG1</v>
      </c>
      <c r="H423" s="265" t="s">
        <v>2541</v>
      </c>
      <c r="I423" s="272" t="s">
        <v>298</v>
      </c>
      <c r="J423" s="263" t="str">
        <f>IF(ISBLANK('Dry_Litterbag Placem_Collection'!K204),"","R"&amp;""&amp;'Dry_Litterbag Placem_Collection'!K204)</f>
        <v>R676</v>
      </c>
      <c r="K423" s="267">
        <f>IFERROR(INDEX('Green_rooibos initial weight'!$C$5:$C$1749,MATCH(J423, 'Green_rooibos initial weight'!$A$5:$A$1749,0)),"")</f>
        <v>2.1459999999999999</v>
      </c>
      <c r="L423" s="267">
        <f>IFERROR(K423-(TBIcalc!$Q$9+TBIcalc!$Q$10),"")</f>
        <v>1.8961999999999999</v>
      </c>
      <c r="M423" s="391">
        <f>AVERAGE(Ashed_controlls!$K$12:$K$14)</f>
        <v>2.2816647271287041</v>
      </c>
      <c r="N423" s="267">
        <f t="shared" si="31"/>
        <v>1.8529350734441854</v>
      </c>
      <c r="O423" s="267">
        <f>IF(IFERROR(INDEX('Both teabags AfterDry'!$D$3:$D$900,MATCH(J423,'Both teabags AfterDry'!$A$3:$A$900,0)),"")="","",(IFERROR(INDEX('Both teabags AfterDry'!$D$3:$D$900,MATCH(J423,'Both teabags AfterDry'!$A$3:$A$900,0)),"")))</f>
        <v>1.6712</v>
      </c>
      <c r="P423" s="267">
        <f>IFERROR(IF(O423&gt;0,O423-(TBIcalc!$Q$9),""),"")</f>
        <v>1.5206</v>
      </c>
      <c r="Q423" s="278">
        <f>IFERROR(INDEX('Ashed teabags dry'!$K$2:$K$825,MATCH(J423,'Ashed teabags dry'!$A$2:$A$825,0)),"")</f>
        <v>11.369253583786671</v>
      </c>
      <c r="R423" s="278">
        <f t="shared" si="32"/>
        <v>1.3477191300049398</v>
      </c>
      <c r="S423" s="268">
        <f>'Dry_Litterbag Placem_Collection'!E204</f>
        <v>42942</v>
      </c>
      <c r="T423" s="268">
        <f>IF('Dry_Litterbag Placem_Collection'!G204="","",'Dry_Litterbag Placem_Collection'!G204)</f>
        <v>43004</v>
      </c>
      <c r="U423" s="269">
        <f t="shared" si="30"/>
        <v>62</v>
      </c>
      <c r="V423" s="267">
        <f t="shared" si="33"/>
        <v>0.37559999999999993</v>
      </c>
      <c r="W423" s="267">
        <f t="shared" si="34"/>
        <v>0.50521594343924559</v>
      </c>
      <c r="X423" s="271">
        <f>IFERROR(INDEX(Rainfall_Dry!$O$2:$O$217,MATCH(B423, Rainfall_Dry!$A$2:$A$217,0)),"")</f>
        <v>171.84818423999999</v>
      </c>
      <c r="Y423" s="260">
        <v>45.272914521112256</v>
      </c>
      <c r="Z423" s="260">
        <v>23.604531410916575</v>
      </c>
      <c r="AA423" s="260">
        <v>31.122554067971166</v>
      </c>
      <c r="AB423" s="261" t="s">
        <v>2673</v>
      </c>
      <c r="AC423" s="260">
        <v>2.0547560374568752</v>
      </c>
      <c r="AD423">
        <f>IF('WetLitterbags placem_collection'!AB204="","",'WetLitterbags placem_collection'!AB204)</f>
        <v>13.8</v>
      </c>
      <c r="AE423">
        <f>IF('WetLitterbags placem_collection'!Z204="","",'WetLitterbags placem_collection'!Z204)</f>
        <v>17.399999999999999</v>
      </c>
      <c r="AF423" s="246" t="str">
        <f>IF('WetLitterbags placem_collection'!AA204="","",'WetLitterbags placem_collection'!AA204)</f>
        <v>O</v>
      </c>
      <c r="AG423">
        <f>IF('WetLitterbags placem_collection'!AC204="","",'WetLitterbags placem_collection'!AC204)</f>
        <v>1</v>
      </c>
      <c r="AH423">
        <f>IFERROR(AVERAGE('Dry_Litterbag Placem_Collection'!O204,'Dry_Litterbag Placem_Collection'!R204),"")</f>
        <v>6.3</v>
      </c>
      <c r="AI423" s="271">
        <f>IFERROR(AVERAGE('Dry_Litterbag Placem_Collection'!N204,'Dry_Litterbag Placem_Collection'!Q204),"")</f>
        <v>28.85</v>
      </c>
      <c r="AJ423">
        <v>-2.439403972</v>
      </c>
      <c r="AK423">
        <v>34.838404959999998</v>
      </c>
      <c r="AL423" s="270" t="str">
        <f>IF(ISNUMBER(SEARCH("C", 'Dry_Litterbag Placem_Collection'!T204)),"YES","NO")</f>
        <v>NO</v>
      </c>
      <c r="AM423" s="270" t="str">
        <f>IF(ISNUMBER(SEARCH("H", 'Dry_Litterbag Placem_Collection'!T204)),"YES","NO")</f>
        <v>YES</v>
      </c>
      <c r="AN423" s="270" t="str">
        <f>IF(ISNUMBER(SEARCH("R", 'Dry_Litterbag Placem_Collection'!T204)),"YES","NO")</f>
        <v>YES</v>
      </c>
    </row>
    <row r="424" spans="1:40" ht="15" customHeight="1">
      <c r="A424" s="262" t="s">
        <v>2659</v>
      </c>
      <c r="B424" s="263">
        <f>'Dry_Litterbag Placem_Collection'!A205</f>
        <v>203</v>
      </c>
      <c r="C424" s="263" t="str">
        <f>'Dry_Litterbag Placem_Collection'!B205</f>
        <v>Maswa</v>
      </c>
      <c r="D424" s="263" t="s">
        <v>2659</v>
      </c>
      <c r="E424" s="263" t="s">
        <v>2526</v>
      </c>
      <c r="F424" s="263">
        <v>2</v>
      </c>
      <c r="G424" s="264" t="str">
        <f>'Dry_Litterbag Placem_Collection'!C205</f>
        <v>Dry_W1_CG2</v>
      </c>
      <c r="H424" s="265" t="s">
        <v>2541</v>
      </c>
      <c r="I424" s="272" t="s">
        <v>298</v>
      </c>
      <c r="J424" s="263" t="str">
        <f>IF(ISBLANK('Dry_Litterbag Placem_Collection'!K205),"","R"&amp;""&amp;'Dry_Litterbag Placem_Collection'!K205)</f>
        <v>R685</v>
      </c>
      <c r="K424" s="267">
        <f>IFERROR(INDEX('Green_rooibos initial weight'!$C$5:$C$1749,MATCH(J424, 'Green_rooibos initial weight'!$A$5:$A$1749,0)),"")</f>
        <v>2.1629999999999998</v>
      </c>
      <c r="L424" s="267">
        <f>IFERROR(K424-(TBIcalc!$Q$9+TBIcalc!$Q$10),"")</f>
        <v>1.9131999999999998</v>
      </c>
      <c r="M424" s="391">
        <f>AVERAGE(Ashed_controlls!$K$12:$K$14)</f>
        <v>2.2816647271287041</v>
      </c>
      <c r="N424" s="267">
        <f t="shared" si="31"/>
        <v>1.8695471904405734</v>
      </c>
      <c r="O424" s="267">
        <f>IF(IFERROR(INDEX('Both teabags AfterDry'!$D$3:$D$900,MATCH(J424,'Both teabags AfterDry'!$A$3:$A$900,0)),"")="","",(IFERROR(INDEX('Both teabags AfterDry'!$D$3:$D$900,MATCH(J424,'Both teabags AfterDry'!$A$3:$A$900,0)),"")))</f>
        <v>1.7919</v>
      </c>
      <c r="P424" s="267">
        <f>IFERROR(IF(O424&gt;0,O424-(TBIcalc!$Q$9),""),"")</f>
        <v>1.6413</v>
      </c>
      <c r="Q424" s="278">
        <f>IFERROR(INDEX('Ashed teabags dry'!$K$2:$K$825,MATCH(J424,'Ashed teabags dry'!$A$2:$A$825,0)),"")</f>
        <v>7.1924603174607373</v>
      </c>
      <c r="R424" s="278">
        <f t="shared" si="32"/>
        <v>1.5232501488095169</v>
      </c>
      <c r="S424" s="268">
        <f>'Dry_Litterbag Placem_Collection'!E205</f>
        <v>42942</v>
      </c>
      <c r="T424" s="268">
        <f>IF('Dry_Litterbag Placem_Collection'!G205="","",'Dry_Litterbag Placem_Collection'!G205)</f>
        <v>43004</v>
      </c>
      <c r="U424" s="269">
        <f t="shared" si="30"/>
        <v>62</v>
      </c>
      <c r="V424" s="267">
        <f t="shared" si="33"/>
        <v>0.27189999999999981</v>
      </c>
      <c r="W424" s="267">
        <f t="shared" si="34"/>
        <v>0.34629704163105646</v>
      </c>
      <c r="X424" s="271">
        <f>IFERROR(INDEX(Rainfall_Dry!$O$2:$O$217,MATCH(B424, Rainfall_Dry!$A$2:$A$217,0)),"")</f>
        <v>171.84818423999999</v>
      </c>
      <c r="Y424" s="260">
        <v>47.96</v>
      </c>
      <c r="Z424" s="260">
        <v>22.919999999999995</v>
      </c>
      <c r="AA424" s="260">
        <v>29.120000000000012</v>
      </c>
      <c r="AB424" s="261" t="s">
        <v>2673</v>
      </c>
      <c r="AC424" s="260">
        <v>2.8831936914736325</v>
      </c>
      <c r="AD424">
        <f>IF('WetLitterbags placem_collection'!AB205="","",'WetLitterbags placem_collection'!AB205)</f>
        <v>5.13</v>
      </c>
      <c r="AE424">
        <f>IF('WetLitterbags placem_collection'!Z205="","",'WetLitterbags placem_collection'!Z205)</f>
        <v>5.13</v>
      </c>
      <c r="AF424" s="246" t="str">
        <f>IF('WetLitterbags placem_collection'!AA205="","",'WetLitterbags placem_collection'!AA205)</f>
        <v>O</v>
      </c>
      <c r="AG424">
        <f>IF('WetLitterbags placem_collection'!AC205="","",'WetLitterbags placem_collection'!AC205)</f>
        <v>1</v>
      </c>
      <c r="AH424">
        <f>IFERROR(AVERAGE('Dry_Litterbag Placem_Collection'!O205,'Dry_Litterbag Placem_Collection'!R205),"")</f>
        <v>10.100000000000001</v>
      </c>
      <c r="AI424" s="271">
        <f>IFERROR(AVERAGE('Dry_Litterbag Placem_Collection'!N205,'Dry_Litterbag Placem_Collection'!Q205),"")</f>
        <v>28.299999999999997</v>
      </c>
      <c r="AJ424">
        <v>-2.4396450349999999</v>
      </c>
      <c r="AK424">
        <v>34.83836599</v>
      </c>
      <c r="AL424" s="270" t="str">
        <f>IF(ISNUMBER(SEARCH("C", 'Dry_Litterbag Placem_Collection'!T205)),"YES","NO")</f>
        <v>NO</v>
      </c>
      <c r="AM424" s="270" t="str">
        <f>IF(ISNUMBER(SEARCH("H", 'Dry_Litterbag Placem_Collection'!T205)),"YES","NO")</f>
        <v>NO</v>
      </c>
      <c r="AN424" s="270" t="str">
        <f>IF(ISNUMBER(SEARCH("R", 'Dry_Litterbag Placem_Collection'!T205)),"YES","NO")</f>
        <v>YES</v>
      </c>
    </row>
    <row r="425" spans="1:40" ht="15" customHeight="1">
      <c r="A425" s="262" t="s">
        <v>2659</v>
      </c>
      <c r="B425" s="263">
        <f>'Dry_Litterbag Placem_Collection'!A206</f>
        <v>204</v>
      </c>
      <c r="C425" s="263" t="str">
        <f>'Dry_Litterbag Placem_Collection'!B206</f>
        <v>Maswa</v>
      </c>
      <c r="D425" s="263" t="s">
        <v>2659</v>
      </c>
      <c r="E425" s="263" t="s">
        <v>2526</v>
      </c>
      <c r="F425" s="263">
        <v>3</v>
      </c>
      <c r="G425" s="264" t="str">
        <f>'Dry_Litterbag Placem_Collection'!C206</f>
        <v>Dry_W4_CG3</v>
      </c>
      <c r="H425" s="265" t="s">
        <v>2541</v>
      </c>
      <c r="I425" s="272" t="s">
        <v>298</v>
      </c>
      <c r="J425" s="263" t="str">
        <f>IF(ISBLANK('Dry_Litterbag Placem_Collection'!K206),"","R"&amp;""&amp;'Dry_Litterbag Placem_Collection'!K206)</f>
        <v>R254</v>
      </c>
      <c r="K425" s="267">
        <f>IFERROR(INDEX('Green_rooibos initial weight'!$C$5:$C$1749,MATCH(J425, 'Green_rooibos initial weight'!$A$5:$A$1749,0)),"")</f>
        <v>2.266</v>
      </c>
      <c r="L425" s="267">
        <f>IFERROR(K425-(TBIcalc!$Q$9+TBIcalc!$Q$10),"")</f>
        <v>2.0162</v>
      </c>
      <c r="M425" s="391">
        <f>AVERAGE(Ashed_controlls!$K$12:$K$14)</f>
        <v>2.2816647271287041</v>
      </c>
      <c r="N425" s="267">
        <f t="shared" si="31"/>
        <v>1.9701970757716312</v>
      </c>
      <c r="O425" s="267">
        <f>IF(IFERROR(INDEX('Both teabags AfterDry'!$D$3:$D$900,MATCH(J425,'Both teabags AfterDry'!$A$3:$A$900,0)),"")="","",(IFERROR(INDEX('Both teabags AfterDry'!$D$3:$D$900,MATCH(J425,'Both teabags AfterDry'!$A$3:$A$900,0)),"")))</f>
        <v>1.8010999999999999</v>
      </c>
      <c r="P425" s="267">
        <f>IFERROR(IF(O425&gt;0,O425-(TBIcalc!$Q$9),""),"")</f>
        <v>1.6504999999999999</v>
      </c>
      <c r="Q425" s="278">
        <f>IFERROR(INDEX('Ashed teabags dry'!$K$2:$K$825,MATCH(J425,'Ashed teabags dry'!$A$2:$A$825,0)),"")</f>
        <v>6.0425953442297144</v>
      </c>
      <c r="R425" s="278">
        <f t="shared" si="32"/>
        <v>1.5507669638434884</v>
      </c>
      <c r="S425" s="268">
        <f>'Dry_Litterbag Placem_Collection'!E206</f>
        <v>42942</v>
      </c>
      <c r="T425" s="268">
        <f>IF('Dry_Litterbag Placem_Collection'!G206="","",'Dry_Litterbag Placem_Collection'!G206)</f>
        <v>43004</v>
      </c>
      <c r="U425" s="269">
        <f t="shared" si="30"/>
        <v>62</v>
      </c>
      <c r="V425" s="267">
        <f t="shared" si="33"/>
        <v>0.36570000000000014</v>
      </c>
      <c r="W425" s="267">
        <f t="shared" si="34"/>
        <v>0.41943011192814272</v>
      </c>
      <c r="X425" s="271">
        <f>IFERROR(INDEX(Rainfall_Dry!$O$2:$O$217,MATCH(B425, Rainfall_Dry!$A$2:$A$217,0)),"")</f>
        <v>171.84818423999999</v>
      </c>
      <c r="Y425" s="260">
        <v>28.145762029394</v>
      </c>
      <c r="Z425" s="260">
        <v>25.085564727199518</v>
      </c>
      <c r="AA425" s="260">
        <v>46.768673243406489</v>
      </c>
      <c r="AB425" s="261" t="s">
        <v>2670</v>
      </c>
      <c r="AC425" s="260">
        <v>2.1716214884179394</v>
      </c>
      <c r="AD425">
        <f>IF('WetLitterbags placem_collection'!AB206="","",'WetLitterbags placem_collection'!AB206)</f>
        <v>7.9</v>
      </c>
      <c r="AE425">
        <f>IF('WetLitterbags placem_collection'!Z206="","",'WetLitterbags placem_collection'!Z206)</f>
        <v>7.9</v>
      </c>
      <c r="AF425" s="246" t="str">
        <f>IF('WetLitterbags placem_collection'!AA206="","",'WetLitterbags placem_collection'!AA206)</f>
        <v>O</v>
      </c>
      <c r="AG425">
        <f>IF('WetLitterbags placem_collection'!AC206="","",'WetLitterbags placem_collection'!AC206)</f>
        <v>1</v>
      </c>
      <c r="AH425">
        <f>IFERROR(AVERAGE('Dry_Litterbag Placem_Collection'!O206,'Dry_Litterbag Placem_Collection'!R206),"")</f>
        <v>8.3500000000000014</v>
      </c>
      <c r="AI425" s="271">
        <f>IFERROR(AVERAGE('Dry_Litterbag Placem_Collection'!N206,'Dry_Litterbag Placem_Collection'!Q206),"")</f>
        <v>27.299999999999997</v>
      </c>
      <c r="AJ425">
        <v>-2.4395990190000001</v>
      </c>
      <c r="AK425">
        <v>34.838418959999998</v>
      </c>
      <c r="AL425" s="270" t="str">
        <f>IF(ISNUMBER(SEARCH("C", 'Dry_Litterbag Placem_Collection'!T206)),"YES","NO")</f>
        <v>NO</v>
      </c>
      <c r="AM425" s="270" t="str">
        <f>IF(ISNUMBER(SEARCH("H", 'Dry_Litterbag Placem_Collection'!T206)),"YES","NO")</f>
        <v>YES</v>
      </c>
      <c r="AN425" s="270" t="str">
        <f>IF(ISNUMBER(SEARCH("R", 'Dry_Litterbag Placem_Collection'!T206)),"YES","NO")</f>
        <v>YES</v>
      </c>
    </row>
    <row r="426" spans="1:40" ht="15" customHeight="1">
      <c r="A426" s="262" t="s">
        <v>2659</v>
      </c>
      <c r="B426" s="263">
        <f>'Dry_Litterbag Placem_Collection'!A207</f>
        <v>205</v>
      </c>
      <c r="C426" s="263" t="str">
        <f>'Dry_Litterbag Placem_Collection'!B207</f>
        <v xml:space="preserve">Mwantimba
</v>
      </c>
      <c r="D426" s="263" t="s">
        <v>2460</v>
      </c>
      <c r="E426" s="263" t="s">
        <v>2526</v>
      </c>
      <c r="F426" s="263">
        <v>2</v>
      </c>
      <c r="G426" s="264" t="str">
        <f>'Dry_Litterbag Placem_Collection'!C207</f>
        <v>Wet_Ag1_CG2</v>
      </c>
      <c r="H426" s="265" t="s">
        <v>2541</v>
      </c>
      <c r="I426" s="272" t="s">
        <v>298</v>
      </c>
      <c r="J426" s="263" t="str">
        <f>IF(ISBLANK('Dry_Litterbag Placem_Collection'!K207),"","R"&amp;""&amp;'Dry_Litterbag Placem_Collection'!K207)</f>
        <v>R348</v>
      </c>
      <c r="K426" s="267">
        <f>IFERROR(INDEX('Green_rooibos initial weight'!$C$5:$C$1749,MATCH(J426, 'Green_rooibos initial weight'!$A$5:$A$1749,0)),"")</f>
        <v>2.31</v>
      </c>
      <c r="L426" s="267">
        <f>IFERROR(K426-(TBIcalc!$Q$9+TBIcalc!$Q$10),"")</f>
        <v>2.0602</v>
      </c>
      <c r="M426" s="391">
        <f>AVERAGE(Ashed_controlls!$K$12:$K$14)</f>
        <v>2.2816647271287041</v>
      </c>
      <c r="N426" s="267">
        <f t="shared" si="31"/>
        <v>2.0131931432916943</v>
      </c>
      <c r="O426" s="267">
        <f>IF(IFERROR(INDEX('Both teabags AfterDry'!$D$3:$D$900,MATCH(J426,'Both teabags AfterDry'!$A$3:$A$900,0)),"")="","",(IFERROR(INDEX('Both teabags AfterDry'!$D$3:$D$900,MATCH(J426,'Both teabags AfterDry'!$A$3:$A$900,0)),"")))</f>
        <v>1.7168000000000001</v>
      </c>
      <c r="P426" s="267">
        <f>IFERROR(IF(O426&gt;0,O426-(TBIcalc!$Q$9),""),"")</f>
        <v>1.5662</v>
      </c>
      <c r="Q426" s="278">
        <f>IFERROR(INDEX('Ashed teabags dry'!$K$2:$K$825,MATCH(J426,'Ashed teabags dry'!$A$2:$A$825,0)),"")</f>
        <v>5.9891107078038743</v>
      </c>
      <c r="R426" s="278">
        <f t="shared" si="32"/>
        <v>1.4723985480943758</v>
      </c>
      <c r="S426" s="268">
        <f>'Dry_Litterbag Placem_Collection'!E207</f>
        <v>42942</v>
      </c>
      <c r="T426" s="268">
        <f>IF('Dry_Litterbag Placem_Collection'!G207="","",'Dry_Litterbag Placem_Collection'!G207)</f>
        <v>43004</v>
      </c>
      <c r="U426" s="269">
        <f t="shared" si="30"/>
        <v>62</v>
      </c>
      <c r="V426" s="267">
        <f t="shared" si="33"/>
        <v>0.49399999999999999</v>
      </c>
      <c r="W426" s="267">
        <f t="shared" si="34"/>
        <v>0.54079459519731854</v>
      </c>
      <c r="X426" s="271">
        <f>IFERROR(INDEX(Rainfall_Dry!$O$2:$O$217,MATCH(B426, Rainfall_Dry!$A$2:$A$217,0)),"")</f>
        <v>171.84818423999999</v>
      </c>
      <c r="Y426" s="260">
        <v>45.96</v>
      </c>
      <c r="Z426" s="260">
        <v>14.920000000000003</v>
      </c>
      <c r="AA426" s="260">
        <v>39.119999999999997</v>
      </c>
      <c r="AB426" s="261" t="s">
        <v>2673</v>
      </c>
      <c r="AC426" s="260">
        <v>2.0374568753080333</v>
      </c>
      <c r="AD426">
        <f>IF('WetLitterbags placem_collection'!AB207="","",'WetLitterbags placem_collection'!AB207)</f>
        <v>5.13</v>
      </c>
      <c r="AE426">
        <f>IF('WetLitterbags placem_collection'!Z207="","",'WetLitterbags placem_collection'!Z207)</f>
        <v>5.13</v>
      </c>
      <c r="AF426" s="246" t="str">
        <f>IF('WetLitterbags placem_collection'!AA207="","",'WetLitterbags placem_collection'!AA207)</f>
        <v>O</v>
      </c>
      <c r="AG426">
        <f>IF('WetLitterbags placem_collection'!AC207="","",'WetLitterbags placem_collection'!AC207)</f>
        <v>1</v>
      </c>
      <c r="AH426">
        <f>IFERROR(AVERAGE('Dry_Litterbag Placem_Collection'!O207,'Dry_Litterbag Placem_Collection'!R207),"")</f>
        <v>7.9499999999999993</v>
      </c>
      <c r="AI426" s="271">
        <f>IFERROR(AVERAGE('Dry_Litterbag Placem_Collection'!N207,'Dry_Litterbag Placem_Collection'!Q207),"")</f>
        <v>29.05</v>
      </c>
      <c r="AJ426">
        <v>-2.4396450349999999</v>
      </c>
      <c r="AK426">
        <v>34.83836599</v>
      </c>
      <c r="AL426" s="270" t="str">
        <f>IF(ISNUMBER(SEARCH("C", 'Dry_Litterbag Placem_Collection'!T207)),"YES","NO")</f>
        <v>NO</v>
      </c>
      <c r="AM426" s="270" t="str">
        <f>IF(ISNUMBER(SEARCH("H", 'Dry_Litterbag Placem_Collection'!T207)),"YES","NO")</f>
        <v>YES</v>
      </c>
      <c r="AN426" s="270" t="str">
        <f>IF(ISNUMBER(SEARCH("R", 'Dry_Litterbag Placem_Collection'!T207)),"YES","NO")</f>
        <v>YES</v>
      </c>
    </row>
    <row r="427" spans="1:40" ht="15" customHeight="1">
      <c r="A427" s="262" t="s">
        <v>2659</v>
      </c>
      <c r="B427" s="263">
        <f>'Dry_Litterbag Placem_Collection'!A208</f>
        <v>206</v>
      </c>
      <c r="C427" s="263" t="str">
        <f>'Dry_Litterbag Placem_Collection'!B208</f>
        <v xml:space="preserve">Mwantimba
</v>
      </c>
      <c r="D427" s="263" t="s">
        <v>2460</v>
      </c>
      <c r="E427" s="263" t="s">
        <v>2526</v>
      </c>
      <c r="F427" s="263">
        <v>1</v>
      </c>
      <c r="G427" s="264" t="str">
        <f>'Dry_Litterbag Placem_Collection'!C208</f>
        <v>Wet_Ag2_CG1</v>
      </c>
      <c r="H427" s="265" t="s">
        <v>2541</v>
      </c>
      <c r="I427" s="272" t="s">
        <v>298</v>
      </c>
      <c r="J427" s="263" t="str">
        <f>IF(ISBLANK('Dry_Litterbag Placem_Collection'!K208),"","R"&amp;""&amp;'Dry_Litterbag Placem_Collection'!K208)</f>
        <v>R686</v>
      </c>
      <c r="K427" s="267">
        <f>IFERROR(INDEX('Green_rooibos initial weight'!$C$5:$C$1749,MATCH(J427, 'Green_rooibos initial weight'!$A$5:$A$1749,0)),"")</f>
        <v>2.1890000000000001</v>
      </c>
      <c r="L427" s="267">
        <f>IFERROR(K427-(TBIcalc!$Q$9+TBIcalc!$Q$10),"")</f>
        <v>1.9392</v>
      </c>
      <c r="M427" s="391">
        <f>AVERAGE(Ashed_controlls!$K$12:$K$14)</f>
        <v>2.2816647271287041</v>
      </c>
      <c r="N427" s="267">
        <f t="shared" si="31"/>
        <v>1.8949539576115202</v>
      </c>
      <c r="O427" s="267">
        <f>IF(IFERROR(INDEX('Both teabags AfterDry'!$D$3:$D$900,MATCH(J427,'Both teabags AfterDry'!$A$3:$A$900,0)),"")="","",(IFERROR(INDEX('Both teabags AfterDry'!$D$3:$D$900,MATCH(J427,'Both teabags AfterDry'!$A$3:$A$900,0)),"")))</f>
        <v>3.4599000000000002</v>
      </c>
      <c r="P427" s="267">
        <f>IFERROR(IF(O427&gt;0,O427-(TBIcalc!$Q$9),""),"")</f>
        <v>3.3093000000000004</v>
      </c>
      <c r="Q427" s="278">
        <f>IFERROR(INDEX('Ashed teabags dry'!$K$2:$K$825,MATCH(J427,'Ashed teabags dry'!$A$2:$A$825,0)),"")</f>
        <v>95.258416311047142</v>
      </c>
      <c r="R427" s="278">
        <f t="shared" si="32"/>
        <v>0.1569132290185169</v>
      </c>
      <c r="S427" s="268">
        <f>'Dry_Litterbag Placem_Collection'!E208</f>
        <v>42942</v>
      </c>
      <c r="T427" s="268">
        <f>IF('Dry_Litterbag Placem_Collection'!G208="","",'Dry_Litterbag Placem_Collection'!G208)</f>
        <v>43004</v>
      </c>
      <c r="U427" s="269">
        <f t="shared" si="30"/>
        <v>62</v>
      </c>
      <c r="V427" s="267">
        <f t="shared" si="33"/>
        <v>-1.3701000000000003</v>
      </c>
      <c r="W427" s="267">
        <f t="shared" si="34"/>
        <v>1.7380407285930033</v>
      </c>
      <c r="X427" s="271">
        <f>IFERROR(INDEX(Rainfall_Dry!$O$2:$O$217,MATCH(B427, Rainfall_Dry!$A$2:$A$217,0)),"")</f>
        <v>171.84818423999999</v>
      </c>
      <c r="Y427" s="260">
        <v>34.344660194174757</v>
      </c>
      <c r="Z427" s="260">
        <v>19.22727272727273</v>
      </c>
      <c r="AA427" s="260">
        <v>46.428067078552509</v>
      </c>
      <c r="AB427" s="261" t="s">
        <v>2670</v>
      </c>
      <c r="AC427" s="260">
        <v>1.7452932479053718</v>
      </c>
      <c r="AD427">
        <f>IF('WetLitterbags placem_collection'!AB208="","",'WetLitterbags placem_collection'!AB208)</f>
        <v>13.8</v>
      </c>
      <c r="AE427">
        <f>IF('WetLitterbags placem_collection'!Z208="","",'WetLitterbags placem_collection'!Z208)</f>
        <v>17.399999999999999</v>
      </c>
      <c r="AF427" s="246" t="str">
        <f>IF('WetLitterbags placem_collection'!AA208="","",'WetLitterbags placem_collection'!AA208)</f>
        <v>O</v>
      </c>
      <c r="AG427">
        <f>IF('WetLitterbags placem_collection'!AC208="","",'WetLitterbags placem_collection'!AC208)</f>
        <v>1</v>
      </c>
      <c r="AH427">
        <f>IFERROR(AVERAGE('Dry_Litterbag Placem_Collection'!O208,'Dry_Litterbag Placem_Collection'!R208),"")</f>
        <v>6.4</v>
      </c>
      <c r="AI427" s="271">
        <f>IFERROR(AVERAGE('Dry_Litterbag Placem_Collection'!N208,'Dry_Litterbag Placem_Collection'!Q208),"")</f>
        <v>27.799999999999997</v>
      </c>
      <c r="AJ427">
        <v>-2.439403972</v>
      </c>
      <c r="AK427">
        <v>34.838404959999998</v>
      </c>
      <c r="AL427" s="270" t="str">
        <f>IF(ISNUMBER(SEARCH("C", 'Dry_Litterbag Placem_Collection'!T208)),"YES","NO")</f>
        <v>NO</v>
      </c>
      <c r="AM427" s="270" t="str">
        <f>IF(ISNUMBER(SEARCH("H", 'Dry_Litterbag Placem_Collection'!T208)),"YES","NO")</f>
        <v>YES</v>
      </c>
      <c r="AN427" s="270" t="str">
        <f>IF(ISNUMBER(SEARCH("R", 'Dry_Litterbag Placem_Collection'!T208)),"YES","NO")</f>
        <v>YES</v>
      </c>
    </row>
    <row r="428" spans="1:40" ht="15" customHeight="1">
      <c r="A428" s="262" t="s">
        <v>2659</v>
      </c>
      <c r="B428" s="263">
        <f>'Dry_Litterbag Placem_Collection'!A209</f>
        <v>207</v>
      </c>
      <c r="C428" s="263" t="str">
        <f>'Dry_Litterbag Placem_Collection'!B209</f>
        <v xml:space="preserve">Mwantimba
</v>
      </c>
      <c r="D428" s="263" t="s">
        <v>2460</v>
      </c>
      <c r="E428" s="263" t="s">
        <v>2526</v>
      </c>
      <c r="F428" s="263">
        <v>4</v>
      </c>
      <c r="G428" s="264" t="str">
        <f>'Dry_Litterbag Placem_Collection'!C209</f>
        <v>Wet_Ag3_CG4</v>
      </c>
      <c r="H428" s="265" t="s">
        <v>2541</v>
      </c>
      <c r="I428" s="272" t="s">
        <v>298</v>
      </c>
      <c r="J428" s="263" t="str">
        <f>IF(ISBLANK('Dry_Litterbag Placem_Collection'!K209),"","R"&amp;""&amp;'Dry_Litterbag Placem_Collection'!K209)</f>
        <v>R551</v>
      </c>
      <c r="K428" s="267">
        <f>IFERROR(INDEX('Green_rooibos initial weight'!$C$5:$C$1749,MATCH(J428, 'Green_rooibos initial weight'!$A$5:$A$1749,0)),"")</f>
        <v>2.1739999999999999</v>
      </c>
      <c r="L428" s="267">
        <f>IFERROR(K428-(TBIcalc!$Q$9+TBIcalc!$Q$10),"")</f>
        <v>1.9241999999999999</v>
      </c>
      <c r="M428" s="391">
        <f>AVERAGE(Ashed_controlls!$K$12:$K$14)</f>
        <v>2.2816647271287041</v>
      </c>
      <c r="N428" s="267">
        <f t="shared" si="31"/>
        <v>1.8802962073205893</v>
      </c>
      <c r="O428" s="267">
        <f>IF(IFERROR(INDEX('Both teabags AfterDry'!$D$3:$D$900,MATCH(J428,'Both teabags AfterDry'!$A$3:$A$900,0)),"")="","",(IFERROR(INDEX('Both teabags AfterDry'!$D$3:$D$900,MATCH(J428,'Both teabags AfterDry'!$A$3:$A$900,0)),"")))</f>
        <v>8.3109999999999999</v>
      </c>
      <c r="P428" s="267">
        <f>IFERROR(IF(O428&gt;0,O428-(TBIcalc!$Q$9),""),"")</f>
        <v>8.1603999999999992</v>
      </c>
      <c r="Q428" s="278">
        <f>IFERROR(INDEX('Ashed teabags dry'!$K$2:$K$825,MATCH(J428,'Ashed teabags dry'!$A$2:$A$825,0)),"")</f>
        <v>95.853767275969844</v>
      </c>
      <c r="R428" s="278">
        <f t="shared" si="32"/>
        <v>0.33834917521175623</v>
      </c>
      <c r="S428" s="268">
        <f>'Dry_Litterbag Placem_Collection'!E209</f>
        <v>42942</v>
      </c>
      <c r="T428" s="268">
        <f>IF('Dry_Litterbag Placem_Collection'!G209="","",'Dry_Litterbag Placem_Collection'!G209)</f>
        <v>43004</v>
      </c>
      <c r="U428" s="269">
        <f t="shared" si="30"/>
        <v>62</v>
      </c>
      <c r="V428" s="267">
        <f t="shared" si="33"/>
        <v>-6.2361999999999993</v>
      </c>
      <c r="W428" s="267">
        <f t="shared" si="34"/>
        <v>1.5419470321088331</v>
      </c>
      <c r="X428" s="271">
        <f>IFERROR(INDEX(Rainfall_Dry!$O$2:$O$217,MATCH(B428, Rainfall_Dry!$A$2:$A$217,0)),"")</f>
        <v>171.84818423999999</v>
      </c>
      <c r="Y428" s="260">
        <v>27.96</v>
      </c>
      <c r="Z428" s="260">
        <v>4.9200000000000017</v>
      </c>
      <c r="AA428" s="260">
        <v>67.12</v>
      </c>
      <c r="AB428" s="261" t="s">
        <v>2670</v>
      </c>
      <c r="AC428" s="260">
        <v>0.88610152784622953</v>
      </c>
      <c r="AD428">
        <f>IF('WetLitterbags placem_collection'!AB209="","",'WetLitterbags placem_collection'!AB209)</f>
        <v>15.2</v>
      </c>
      <c r="AE428">
        <f>IF('WetLitterbags placem_collection'!Z209="","",'WetLitterbags placem_collection'!Z209)</f>
        <v>12.2</v>
      </c>
      <c r="AF428" s="246" t="str">
        <f>IF('WetLitterbags placem_collection'!AA209="","",'WetLitterbags placem_collection'!AA209)</f>
        <v>O</v>
      </c>
      <c r="AG428">
        <f>IF('WetLitterbags placem_collection'!AC209="","",'WetLitterbags placem_collection'!AC209)</f>
        <v>1</v>
      </c>
      <c r="AH428">
        <f>IFERROR(AVERAGE('Dry_Litterbag Placem_Collection'!O209,'Dry_Litterbag Placem_Collection'!R209),"")</f>
        <v>4.3</v>
      </c>
      <c r="AI428" s="271">
        <f>IFERROR(AVERAGE('Dry_Litterbag Placem_Collection'!N209,'Dry_Litterbag Placem_Collection'!Q209),"")</f>
        <v>29.6</v>
      </c>
      <c r="AJ428">
        <v>-2.4396949910000001</v>
      </c>
      <c r="AK428">
        <v>34.838574029999997</v>
      </c>
      <c r="AL428" s="270" t="str">
        <f>IF(ISNUMBER(SEARCH("C", 'Dry_Litterbag Placem_Collection'!T209)),"YES","NO")</f>
        <v>NO</v>
      </c>
      <c r="AM428" s="270" t="str">
        <f>IF(ISNUMBER(SEARCH("H", 'Dry_Litterbag Placem_Collection'!T209)),"YES","NO")</f>
        <v>NO</v>
      </c>
      <c r="AN428" s="270" t="str">
        <f>IF(ISNUMBER(SEARCH("R", 'Dry_Litterbag Placem_Collection'!T209)),"YES","NO")</f>
        <v>YES</v>
      </c>
    </row>
    <row r="429" spans="1:40" ht="15" customHeight="1">
      <c r="A429" s="262" t="s">
        <v>2659</v>
      </c>
      <c r="B429" s="263">
        <f>'Dry_Litterbag Placem_Collection'!A210</f>
        <v>208</v>
      </c>
      <c r="C429" s="263" t="str">
        <f>'Dry_Litterbag Placem_Collection'!B210</f>
        <v xml:space="preserve">Mwantimba
</v>
      </c>
      <c r="D429" s="263" t="s">
        <v>2460</v>
      </c>
      <c r="E429" s="263" t="s">
        <v>2526</v>
      </c>
      <c r="F429" s="263">
        <v>3</v>
      </c>
      <c r="G429" s="264" t="str">
        <f>'Dry_Litterbag Placem_Collection'!C210</f>
        <v>Wet_Ag4_CG3</v>
      </c>
      <c r="H429" s="265" t="s">
        <v>2541</v>
      </c>
      <c r="I429" s="272" t="s">
        <v>298</v>
      </c>
      <c r="J429" s="263" t="str">
        <f>IF(ISBLANK('Dry_Litterbag Placem_Collection'!K210),"","R"&amp;""&amp;'Dry_Litterbag Placem_Collection'!K210)</f>
        <v>R516</v>
      </c>
      <c r="K429" s="267">
        <f>IFERROR(INDEX('Green_rooibos initial weight'!$C$5:$C$1749,MATCH(J429, 'Green_rooibos initial weight'!$A$5:$A$1749,0)),"")</f>
        <v>2.141</v>
      </c>
      <c r="L429" s="267">
        <f>IFERROR(K429-(TBIcalc!$Q$9+TBIcalc!$Q$10),"")</f>
        <v>1.8912</v>
      </c>
      <c r="M429" s="391">
        <f>AVERAGE(Ashed_controlls!$K$12:$K$14)</f>
        <v>2.2816647271287041</v>
      </c>
      <c r="N429" s="267">
        <f t="shared" si="31"/>
        <v>1.8480491566805419</v>
      </c>
      <c r="O429" s="267">
        <f>IF(IFERROR(INDEX('Both teabags AfterDry'!$D$3:$D$900,MATCH(J429,'Both teabags AfterDry'!$A$3:$A$900,0)),"")="","",(IFERROR(INDEX('Both teabags AfterDry'!$D$3:$D$900,MATCH(J429,'Both teabags AfterDry'!$A$3:$A$900,0)),"")))</f>
        <v>1.7749999999999999</v>
      </c>
      <c r="P429" s="267">
        <f>IFERROR(IF(O429&gt;0,O429-(TBIcalc!$Q$9),""),"")</f>
        <v>1.6243999999999998</v>
      </c>
      <c r="Q429" s="278">
        <f>IFERROR(INDEX('Ashed teabags dry'!$K$2:$K$825,MATCH(J429,'Ashed teabags dry'!$A$2:$A$825,0)),"")</f>
        <v>78.613771089831701</v>
      </c>
      <c r="R429" s="278">
        <f t="shared" si="32"/>
        <v>0.34739790241677393</v>
      </c>
      <c r="S429" s="268">
        <f>'Dry_Litterbag Placem_Collection'!E210</f>
        <v>42942</v>
      </c>
      <c r="T429" s="268">
        <f>IF('Dry_Litterbag Placem_Collection'!G210="","",'Dry_Litterbag Placem_Collection'!G210)</f>
        <v>43004</v>
      </c>
      <c r="U429" s="269">
        <f t="shared" si="30"/>
        <v>62</v>
      </c>
      <c r="V429" s="267">
        <f t="shared" si="33"/>
        <v>0.26680000000000015</v>
      </c>
      <c r="W429" s="267">
        <f t="shared" si="34"/>
        <v>1.500651254263768</v>
      </c>
      <c r="X429" s="271">
        <f>IFERROR(INDEX(Rainfall_Dry!$O$2:$O$217,MATCH(B429, Rainfall_Dry!$A$2:$A$217,0)),"")</f>
        <v>171.84818423999999</v>
      </c>
      <c r="Y429" s="260">
        <v>17.96</v>
      </c>
      <c r="Z429" s="260">
        <v>4.9199999999999982</v>
      </c>
      <c r="AA429" s="260">
        <v>77.12</v>
      </c>
      <c r="AB429" s="261" t="s">
        <v>2671</v>
      </c>
      <c r="AC429" s="260">
        <v>2.0220798422868409</v>
      </c>
      <c r="AD429">
        <f>IF('WetLitterbags placem_collection'!AB210="","",'WetLitterbags placem_collection'!AB210)</f>
        <v>7.9</v>
      </c>
      <c r="AE429">
        <f>IF('WetLitterbags placem_collection'!Z210="","",'WetLitterbags placem_collection'!Z210)</f>
        <v>7.9</v>
      </c>
      <c r="AF429" s="246" t="str">
        <f>IF('WetLitterbags placem_collection'!AA210="","",'WetLitterbags placem_collection'!AA210)</f>
        <v>O</v>
      </c>
      <c r="AG429">
        <f>IF('WetLitterbags placem_collection'!AC210="","",'WetLitterbags placem_collection'!AC210)</f>
        <v>1</v>
      </c>
      <c r="AH429">
        <f>IFERROR(AVERAGE('Dry_Litterbag Placem_Collection'!O210,'Dry_Litterbag Placem_Collection'!R210),"")</f>
        <v>6.2</v>
      </c>
      <c r="AI429" s="271">
        <f>IFERROR(AVERAGE('Dry_Litterbag Placem_Collection'!N210,'Dry_Litterbag Placem_Collection'!Q210),"")</f>
        <v>29.1</v>
      </c>
      <c r="AJ429">
        <v>-2.4395990190000001</v>
      </c>
      <c r="AK429">
        <v>34.838418959999998</v>
      </c>
      <c r="AL429" s="270" t="str">
        <f>IF(ISNUMBER(SEARCH("C", 'Dry_Litterbag Placem_Collection'!T210)),"YES","NO")</f>
        <v>YES</v>
      </c>
      <c r="AM429" s="270" t="str">
        <f>IF(ISNUMBER(SEARCH("H", 'Dry_Litterbag Placem_Collection'!T210)),"YES","NO")</f>
        <v>NO</v>
      </c>
      <c r="AN429" s="270" t="str">
        <f>IF(ISNUMBER(SEARCH("R", 'Dry_Litterbag Placem_Collection'!T210)),"YES","NO")</f>
        <v>NO</v>
      </c>
    </row>
    <row r="430" spans="1:40" ht="15" customHeight="1">
      <c r="A430" s="262" t="s">
        <v>2659</v>
      </c>
      <c r="B430" s="263">
        <f>'Dry_Litterbag Placem_Collection'!A211</f>
        <v>209</v>
      </c>
      <c r="C430" s="263" t="str">
        <f>'Dry_Litterbag Placem_Collection'!B211</f>
        <v xml:space="preserve">Mwantimba
</v>
      </c>
      <c r="D430" s="263" t="s">
        <v>2460</v>
      </c>
      <c r="E430" s="263" t="s">
        <v>2526</v>
      </c>
      <c r="F430" s="263">
        <v>2</v>
      </c>
      <c r="G430" s="264" t="str">
        <f>'Dry_Litterbag Placem_Collection'!C211</f>
        <v>Wet_P1_CG2</v>
      </c>
      <c r="H430" s="265" t="s">
        <v>2541</v>
      </c>
      <c r="I430" s="272" t="s">
        <v>298</v>
      </c>
      <c r="J430" s="263" t="str">
        <f>IF(ISBLANK('Dry_Litterbag Placem_Collection'!K211),"","R"&amp;""&amp;'Dry_Litterbag Placem_Collection'!K211)</f>
        <v>R678</v>
      </c>
      <c r="K430" s="267">
        <f>IFERROR(INDEX('Green_rooibos initial weight'!$C$5:$C$1749,MATCH(J430, 'Green_rooibos initial weight'!$A$5:$A$1749,0)),"")</f>
        <v>2.1320000000000001</v>
      </c>
      <c r="L430" s="267">
        <f>IFERROR(K430-(TBIcalc!$Q$9+TBIcalc!$Q$10),"")</f>
        <v>1.8822000000000001</v>
      </c>
      <c r="M430" s="391">
        <f>AVERAGE(Ashed_controlls!$K$12:$K$14)</f>
        <v>2.2816647271287041</v>
      </c>
      <c r="N430" s="267">
        <f t="shared" si="31"/>
        <v>1.8392545065059835</v>
      </c>
      <c r="O430" s="267">
        <f>IF(IFERROR(INDEX('Both teabags AfterDry'!$D$3:$D$900,MATCH(J430,'Both teabags AfterDry'!$A$3:$A$900,0)),"")="","",(IFERROR(INDEX('Both teabags AfterDry'!$D$3:$D$900,MATCH(J430,'Both teabags AfterDry'!$A$3:$A$900,0)),"")))</f>
        <v>1.6856</v>
      </c>
      <c r="P430" s="267">
        <f>IFERROR(IF(O430&gt;0,O430-(TBIcalc!$Q$9),""),"")</f>
        <v>1.5349999999999999</v>
      </c>
      <c r="Q430" s="278">
        <f>IFERROR(INDEX('Ashed teabags dry'!$K$2:$K$825,MATCH(J430,'Ashed teabags dry'!$A$2:$A$825,0)),"")</f>
        <v>3.8461538461540399</v>
      </c>
      <c r="R430" s="278">
        <f t="shared" si="32"/>
        <v>1.4759615384615354</v>
      </c>
      <c r="S430" s="268">
        <f>'Dry_Litterbag Placem_Collection'!E211</f>
        <v>42942</v>
      </c>
      <c r="T430" s="268">
        <f>IF('Dry_Litterbag Placem_Collection'!G211="","",'Dry_Litterbag Placem_Collection'!G211)</f>
        <v>43004</v>
      </c>
      <c r="U430" s="269">
        <f t="shared" si="30"/>
        <v>62</v>
      </c>
      <c r="V430" s="267">
        <f t="shared" si="33"/>
        <v>0.34720000000000018</v>
      </c>
      <c r="W430" s="267">
        <f t="shared" si="34"/>
        <v>0.36329296804444811</v>
      </c>
      <c r="X430" s="271">
        <f>IFERROR(INDEX(Rainfall_Dry!$O$2:$O$217,MATCH(B430, Rainfall_Dry!$A$2:$A$217,0)),"")</f>
        <v>171.84818423999999</v>
      </c>
      <c r="Y430" s="260">
        <v>31.214836424255054</v>
      </c>
      <c r="Z430" s="260">
        <v>11.377370285476141</v>
      </c>
      <c r="AA430" s="260">
        <v>57.407793290268799</v>
      </c>
      <c r="AB430" s="261" t="s">
        <v>2670</v>
      </c>
      <c r="AC430" s="260">
        <v>1.7337604731394776</v>
      </c>
      <c r="AD430">
        <f>IF('WetLitterbags placem_collection'!AB211="","",'WetLitterbags placem_collection'!AB211)</f>
        <v>5.13</v>
      </c>
      <c r="AE430">
        <f>IF('WetLitterbags placem_collection'!Z211="","",'WetLitterbags placem_collection'!Z211)</f>
        <v>5.13</v>
      </c>
      <c r="AF430" s="246" t="str">
        <f>IF('WetLitterbags placem_collection'!AA211="","",'WetLitterbags placem_collection'!AA211)</f>
        <v>O</v>
      </c>
      <c r="AG430">
        <f>IF('WetLitterbags placem_collection'!AC211="","",'WetLitterbags placem_collection'!AC211)</f>
        <v>1</v>
      </c>
      <c r="AH430">
        <f>IFERROR(AVERAGE('Dry_Litterbag Placem_Collection'!O211,'Dry_Litterbag Placem_Collection'!R211),"")</f>
        <v>8.6000000000000014</v>
      </c>
      <c r="AI430" s="271">
        <f>IFERROR(AVERAGE('Dry_Litterbag Placem_Collection'!N211,'Dry_Litterbag Placem_Collection'!Q211),"")</f>
        <v>29.6</v>
      </c>
      <c r="AJ430">
        <v>-2.4396450349999999</v>
      </c>
      <c r="AK430">
        <v>34.83836599</v>
      </c>
      <c r="AL430" s="270" t="str">
        <f>IF(ISNUMBER(SEARCH("C", 'Dry_Litterbag Placem_Collection'!T211)),"YES","NO")</f>
        <v>NO</v>
      </c>
      <c r="AM430" s="270" t="str">
        <f>IF(ISNUMBER(SEARCH("H", 'Dry_Litterbag Placem_Collection'!T211)),"YES","NO")</f>
        <v>NO</v>
      </c>
      <c r="AN430" s="270" t="str">
        <f>IF(ISNUMBER(SEARCH("R", 'Dry_Litterbag Placem_Collection'!T211)),"YES","NO")</f>
        <v>NO</v>
      </c>
    </row>
    <row r="431" spans="1:40" ht="15" customHeight="1">
      <c r="A431" s="262" t="s">
        <v>2659</v>
      </c>
      <c r="B431" s="263">
        <f>'Dry_Litterbag Placem_Collection'!A212</f>
        <v>210</v>
      </c>
      <c r="C431" s="263" t="str">
        <f>'Dry_Litterbag Placem_Collection'!B212</f>
        <v xml:space="preserve">Mwantimba
</v>
      </c>
      <c r="D431" s="263" t="s">
        <v>2460</v>
      </c>
      <c r="E431" s="263" t="s">
        <v>2526</v>
      </c>
      <c r="F431" s="263">
        <v>4</v>
      </c>
      <c r="G431" s="264" t="str">
        <f>'Dry_Litterbag Placem_Collection'!C212</f>
        <v>Wet_P2_CG4</v>
      </c>
      <c r="H431" s="265" t="s">
        <v>2541</v>
      </c>
      <c r="I431" s="272" t="s">
        <v>298</v>
      </c>
      <c r="J431" s="263" t="str">
        <f>IF(ISBLANK('Dry_Litterbag Placem_Collection'!K212),"","R"&amp;""&amp;'Dry_Litterbag Placem_Collection'!K212)</f>
        <v>R335</v>
      </c>
      <c r="K431" s="267">
        <f>IFERROR(INDEX('Green_rooibos initial weight'!$C$5:$C$1749,MATCH(J431, 'Green_rooibos initial weight'!$A$5:$A$1749,0)),"")</f>
        <v>2.1629999999999998</v>
      </c>
      <c r="L431" s="267">
        <f>IFERROR(K431-(TBIcalc!$Q$9+TBIcalc!$Q$10),"")</f>
        <v>1.9131999999999998</v>
      </c>
      <c r="M431" s="391">
        <f>AVERAGE(Ashed_controlls!$K$12:$K$14)</f>
        <v>2.2816647271287041</v>
      </c>
      <c r="N431" s="267">
        <f t="shared" si="31"/>
        <v>1.8695471904405734</v>
      </c>
      <c r="O431" s="267">
        <f>IF(IFERROR(INDEX('Both teabags AfterDry'!$D$3:$D$900,MATCH(J431,'Both teabags AfterDry'!$A$3:$A$900,0)),"")="","",(IFERROR(INDEX('Both teabags AfterDry'!$D$3:$D$900,MATCH(J431,'Both teabags AfterDry'!$A$3:$A$900,0)),"")))</f>
        <v>1.716</v>
      </c>
      <c r="P431" s="267">
        <f>IFERROR(IF(O431&gt;0,O431-(TBIcalc!$Q$9),""),"")</f>
        <v>1.5653999999999999</v>
      </c>
      <c r="Q431" s="278">
        <f>IFERROR(INDEX('Ashed teabags dry'!$K$2:$K$825,MATCH(J431,'Ashed teabags dry'!$A$2:$A$825,0)),"")</f>
        <v>89.116785265801681</v>
      </c>
      <c r="R431" s="278">
        <f t="shared" si="32"/>
        <v>0.17036584344914041</v>
      </c>
      <c r="S431" s="268">
        <f>'Dry_Litterbag Placem_Collection'!E212</f>
        <v>42942</v>
      </c>
      <c r="T431" s="268">
        <f>IF('Dry_Litterbag Placem_Collection'!G212="","",'Dry_Litterbag Placem_Collection'!G212)</f>
        <v>43004</v>
      </c>
      <c r="U431" s="269">
        <f t="shared" si="30"/>
        <v>62</v>
      </c>
      <c r="V431" s="267">
        <f t="shared" si="33"/>
        <v>0.34779999999999989</v>
      </c>
      <c r="W431" s="267">
        <f t="shared" si="34"/>
        <v>1.699181346991433</v>
      </c>
      <c r="X431" s="271">
        <f>IFERROR(INDEX(Rainfall_Dry!$O$2:$O$217,MATCH(B431, Rainfall_Dry!$A$2:$A$217,0)),"")</f>
        <v>171.84818423999999</v>
      </c>
      <c r="Y431" s="260">
        <v>33.96</v>
      </c>
      <c r="Z431" s="260">
        <v>8.9200000000000017</v>
      </c>
      <c r="AA431" s="260">
        <v>57.12</v>
      </c>
      <c r="AB431" s="261" t="s">
        <v>2670</v>
      </c>
      <c r="AC431" s="260">
        <v>2.072055199605717</v>
      </c>
      <c r="AD431">
        <f>IF('WetLitterbags placem_collection'!AB212="","",'WetLitterbags placem_collection'!AB212)</f>
        <v>15.2</v>
      </c>
      <c r="AE431">
        <f>IF('WetLitterbags placem_collection'!Z212="","",'WetLitterbags placem_collection'!Z212)</f>
        <v>12.2</v>
      </c>
      <c r="AF431" s="246" t="str">
        <f>IF('WetLitterbags placem_collection'!AA212="","",'WetLitterbags placem_collection'!AA212)</f>
        <v>O</v>
      </c>
      <c r="AG431">
        <f>IF('WetLitterbags placem_collection'!AC212="","",'WetLitterbags placem_collection'!AC212)</f>
        <v>1</v>
      </c>
      <c r="AH431">
        <f>IFERROR(AVERAGE('Dry_Litterbag Placem_Collection'!O212,'Dry_Litterbag Placem_Collection'!R212),"")</f>
        <v>6.1</v>
      </c>
      <c r="AI431" s="271">
        <f>IFERROR(AVERAGE('Dry_Litterbag Placem_Collection'!N212,'Dry_Litterbag Placem_Collection'!Q212),"")</f>
        <v>27.5</v>
      </c>
      <c r="AJ431">
        <v>-2.4396949910000001</v>
      </c>
      <c r="AK431">
        <v>34.838574029999997</v>
      </c>
      <c r="AL431" s="270" t="str">
        <f>IF(ISNUMBER(SEARCH("C", 'Dry_Litterbag Placem_Collection'!T212)),"YES","NO")</f>
        <v>YES</v>
      </c>
      <c r="AM431" s="270" t="str">
        <f>IF(ISNUMBER(SEARCH("H", 'Dry_Litterbag Placem_Collection'!T212)),"YES","NO")</f>
        <v>YES</v>
      </c>
      <c r="AN431" s="270" t="str">
        <f>IF(ISNUMBER(SEARCH("R", 'Dry_Litterbag Placem_Collection'!T212)),"YES","NO")</f>
        <v>NO</v>
      </c>
    </row>
    <row r="432" spans="1:40" ht="15" customHeight="1">
      <c r="A432" s="262" t="s">
        <v>2659</v>
      </c>
      <c r="B432" s="263">
        <f>'Dry_Litterbag Placem_Collection'!A213</f>
        <v>211</v>
      </c>
      <c r="C432" s="263" t="str">
        <f>'Dry_Litterbag Placem_Collection'!B213</f>
        <v xml:space="preserve">Mwantimba
</v>
      </c>
      <c r="D432" s="263" t="s">
        <v>2460</v>
      </c>
      <c r="E432" s="263" t="s">
        <v>2526</v>
      </c>
      <c r="F432" s="263">
        <v>1</v>
      </c>
      <c r="G432" s="264" t="str">
        <f>'Dry_Litterbag Placem_Collection'!C213</f>
        <v>Wet_P3_CG1</v>
      </c>
      <c r="H432" s="265" t="s">
        <v>2541</v>
      </c>
      <c r="I432" s="272" t="s">
        <v>298</v>
      </c>
      <c r="J432" s="263" t="str">
        <f>IF(ISBLANK('Dry_Litterbag Placem_Collection'!K213),"","R"&amp;""&amp;'Dry_Litterbag Placem_Collection'!K213)</f>
        <v>R249</v>
      </c>
      <c r="K432" s="267">
        <f>IFERROR(INDEX('Green_rooibos initial weight'!$C$5:$C$1749,MATCH(J432, 'Green_rooibos initial weight'!$A$5:$A$1749,0)),"")</f>
        <v>2.294</v>
      </c>
      <c r="L432" s="267">
        <f>IFERROR(K432-(TBIcalc!$Q$9+TBIcalc!$Q$10),"")</f>
        <v>2.0442</v>
      </c>
      <c r="M432" s="391">
        <f>AVERAGE(Ashed_controlls!$K$12:$K$14)</f>
        <v>2.2816647271287041</v>
      </c>
      <c r="N432" s="267">
        <f t="shared" si="31"/>
        <v>1.9975582096480351</v>
      </c>
      <c r="O432" s="267">
        <f>IF(IFERROR(INDEX('Both teabags AfterDry'!$D$3:$D$900,MATCH(J432,'Both teabags AfterDry'!$A$3:$A$900,0)),"")="","",(IFERROR(INDEX('Both teabags AfterDry'!$D$3:$D$900,MATCH(J432,'Both teabags AfterDry'!$A$3:$A$900,0)),"")))</f>
        <v>1.1160000000000001</v>
      </c>
      <c r="P432" s="267">
        <f>IFERROR(IF(O432&gt;0,O432-(TBIcalc!$Q$9),""),"")</f>
        <v>0.96540000000000004</v>
      </c>
      <c r="Q432" s="278">
        <f>IFERROR(INDEX('Ashed teabags dry'!$K$2:$K$825,MATCH(J432,'Ashed teabags dry'!$A$2:$A$825,0)),"")</f>
        <v>35.262904003859205</v>
      </c>
      <c r="R432" s="278">
        <f t="shared" si="32"/>
        <v>0.62497192474674323</v>
      </c>
      <c r="S432" s="268">
        <f>'Dry_Litterbag Placem_Collection'!E213</f>
        <v>42942</v>
      </c>
      <c r="T432" s="268">
        <f>IF('Dry_Litterbag Placem_Collection'!G213="","",'Dry_Litterbag Placem_Collection'!G213)</f>
        <v>43004</v>
      </c>
      <c r="U432" s="269">
        <f t="shared" si="30"/>
        <v>62</v>
      </c>
      <c r="V432" s="267">
        <f t="shared" si="33"/>
        <v>1.0788</v>
      </c>
      <c r="W432" s="267">
        <f t="shared" si="34"/>
        <v>1.372586284901292</v>
      </c>
      <c r="X432" s="271">
        <f>IFERROR(INDEX(Rainfall_Dry!$O$2:$O$217,MATCH(B432, Rainfall_Dry!$A$2:$A$217,0)),"")</f>
        <v>171.84818423999999</v>
      </c>
      <c r="Y432" s="260">
        <v>39.96</v>
      </c>
      <c r="Z432" s="260">
        <v>12.920000000000002</v>
      </c>
      <c r="AA432" s="260">
        <v>47.12</v>
      </c>
      <c r="AB432" s="261" t="s">
        <v>2674</v>
      </c>
      <c r="AC432" s="260">
        <v>1.6549531789058647</v>
      </c>
      <c r="AD432">
        <f>IF('WetLitterbags placem_collection'!AB213="","",'WetLitterbags placem_collection'!AB213)</f>
        <v>13.8</v>
      </c>
      <c r="AE432">
        <f>IF('WetLitterbags placem_collection'!Z213="","",'WetLitterbags placem_collection'!Z213)</f>
        <v>17.399999999999999</v>
      </c>
      <c r="AF432" s="246" t="str">
        <f>IF('WetLitterbags placem_collection'!AA213="","",'WetLitterbags placem_collection'!AA213)</f>
        <v>O</v>
      </c>
      <c r="AG432">
        <f>IF('WetLitterbags placem_collection'!AC213="","",'WetLitterbags placem_collection'!AC213)</f>
        <v>1</v>
      </c>
      <c r="AH432">
        <f>IFERROR(AVERAGE('Dry_Litterbag Placem_Collection'!O213,'Dry_Litterbag Placem_Collection'!R213),"")</f>
        <v>7.55</v>
      </c>
      <c r="AI432" s="271">
        <f>IFERROR(AVERAGE('Dry_Litterbag Placem_Collection'!N213,'Dry_Litterbag Placem_Collection'!Q213),"")</f>
        <v>28</v>
      </c>
      <c r="AJ432">
        <v>-2.439403972</v>
      </c>
      <c r="AK432">
        <v>34.838404959999998</v>
      </c>
      <c r="AL432" s="270" t="str">
        <f>IF(ISNUMBER(SEARCH("C", 'Dry_Litterbag Placem_Collection'!T213)),"YES","NO")</f>
        <v>YES</v>
      </c>
      <c r="AM432" s="270" t="str">
        <f>IF(ISNUMBER(SEARCH("H", 'Dry_Litterbag Placem_Collection'!T213)),"YES","NO")</f>
        <v>YES</v>
      </c>
      <c r="AN432" s="270" t="str">
        <f>IF(ISNUMBER(SEARCH("R", 'Dry_Litterbag Placem_Collection'!T213)),"YES","NO")</f>
        <v>YES</v>
      </c>
    </row>
    <row r="433" spans="1:40" ht="15" customHeight="1">
      <c r="A433" s="262" t="s">
        <v>2659</v>
      </c>
      <c r="B433" s="263">
        <f>'Dry_Litterbag Placem_Collection'!A214</f>
        <v>215</v>
      </c>
      <c r="C433" s="263" t="str">
        <f>'Dry_Litterbag Placem_Collection'!B214</f>
        <v xml:space="preserve">Mwantimba
</v>
      </c>
      <c r="D433" s="263" t="s">
        <v>2460</v>
      </c>
      <c r="E433" s="263" t="s">
        <v>2526</v>
      </c>
      <c r="F433" s="263">
        <v>3</v>
      </c>
      <c r="G433" s="264" t="str">
        <f>'Dry_Litterbag Placem_Collection'!C214</f>
        <v>Wet_W3_CG1</v>
      </c>
      <c r="H433" s="265" t="s">
        <v>2541</v>
      </c>
      <c r="I433" s="272" t="s">
        <v>298</v>
      </c>
      <c r="J433" s="263" t="str">
        <f>IF(ISBLANK('Dry_Litterbag Placem_Collection'!K214),"","R"&amp;""&amp;'Dry_Litterbag Placem_Collection'!K214)</f>
        <v>R627</v>
      </c>
      <c r="K433" s="267">
        <f>IFERROR(INDEX('Green_rooibos initial weight'!$C$5:$C$1749,MATCH(J433, 'Green_rooibos initial weight'!$A$5:$A$1749,0)),"")</f>
        <v>2.1429999999999998</v>
      </c>
      <c r="L433" s="267">
        <f>IFERROR(K433-(TBIcalc!$Q$9+TBIcalc!$Q$10),"")</f>
        <v>1.8931999999999998</v>
      </c>
      <c r="M433" s="391">
        <f>AVERAGE(Ashed_controlls!$K$12:$K$14)</f>
        <v>2.2816647271287041</v>
      </c>
      <c r="N433" s="267">
        <f t="shared" si="31"/>
        <v>1.850003523385999</v>
      </c>
      <c r="O433" s="267">
        <f>IF(IFERROR(INDEX('Both teabags AfterDry'!$D$3:$D$900,MATCH(J433,'Both teabags AfterDry'!$A$3:$A$900,0)),"")="","",(IFERROR(INDEX('Both teabags AfterDry'!$D$3:$D$900,MATCH(J433,'Both teabags AfterDry'!$A$3:$A$900,0)),"")))</f>
        <v>1.7356</v>
      </c>
      <c r="P433" s="267">
        <f>IFERROR(IF(O433&gt;0,O433-(TBIcalc!$Q$9),""),"")</f>
        <v>1.585</v>
      </c>
      <c r="Q433" s="278">
        <f>IFERROR(INDEX('Ashed teabags dry'!$K$2:$K$825,MATCH(J433,'Ashed teabags dry'!$A$2:$A$825,0)),"")</f>
        <v>5.6538839724678436</v>
      </c>
      <c r="R433" s="278">
        <f t="shared" si="32"/>
        <v>1.4953859390363846</v>
      </c>
      <c r="S433" s="268">
        <f>'Dry_Litterbag Placem_Collection'!E214</f>
        <v>42942</v>
      </c>
      <c r="T433" s="268">
        <f>IF('Dry_Litterbag Placem_Collection'!G214="","",'Dry_Litterbag Placem_Collection'!G214)</f>
        <v>43004</v>
      </c>
      <c r="U433" s="269">
        <f t="shared" si="30"/>
        <v>62</v>
      </c>
      <c r="V433" s="267">
        <f t="shared" si="33"/>
        <v>0.30819999999999981</v>
      </c>
      <c r="W433" s="267">
        <f t="shared" si="34"/>
        <v>0.35461758434961443</v>
      </c>
      <c r="X433" s="271" t="str">
        <f>IFERROR(INDEX(Rainfall_Dry!$O$2:$O$217,MATCH(B433, Rainfall_Dry!$A$2:$A$217,0)),"")</f>
        <v/>
      </c>
      <c r="Y433" s="260">
        <v>27.96</v>
      </c>
      <c r="Z433" s="260">
        <v>4.9200000000000017</v>
      </c>
      <c r="AA433" s="260">
        <v>67.12</v>
      </c>
      <c r="AB433" s="261" t="s">
        <v>2670</v>
      </c>
      <c r="AC433" s="260">
        <v>1.0437161163134547</v>
      </c>
      <c r="AD433">
        <f>IF('WetLitterbags placem_collection'!AB214="","",'WetLitterbags placem_collection'!AB214)</f>
        <v>7.9</v>
      </c>
      <c r="AE433">
        <f>IF('WetLitterbags placem_collection'!Z214="","",'WetLitterbags placem_collection'!Z214)</f>
        <v>7.9</v>
      </c>
      <c r="AF433" s="246" t="str">
        <f>IF('WetLitterbags placem_collection'!AA214="","",'WetLitterbags placem_collection'!AA214)</f>
        <v>O</v>
      </c>
      <c r="AG433">
        <f>IF('WetLitterbags placem_collection'!AC214="","",'WetLitterbags placem_collection'!AC214)</f>
        <v>1</v>
      </c>
      <c r="AH433">
        <f>IFERROR(AVERAGE('Dry_Litterbag Placem_Collection'!O214,'Dry_Litterbag Placem_Collection'!R214),"")</f>
        <v>4.3</v>
      </c>
      <c r="AI433" s="271">
        <f>IFERROR(AVERAGE('Dry_Litterbag Placem_Collection'!N214,'Dry_Litterbag Placem_Collection'!Q214),"")</f>
        <v>28.75</v>
      </c>
      <c r="AJ433">
        <v>-2.4395990190000001</v>
      </c>
      <c r="AK433">
        <v>34.838418959999998</v>
      </c>
      <c r="AL433" s="270" t="str">
        <f>IF(ISNUMBER(SEARCH("C", 'Dry_Litterbag Placem_Collection'!T214)),"YES","NO")</f>
        <v>NO</v>
      </c>
      <c r="AM433" s="270" t="str">
        <f>IF(ISNUMBER(SEARCH("H", 'Dry_Litterbag Placem_Collection'!T214)),"YES","NO")</f>
        <v>NO</v>
      </c>
      <c r="AN433" s="270" t="str">
        <f>IF(ISNUMBER(SEARCH("R", 'Dry_Litterbag Placem_Collection'!T214)),"YES","NO")</f>
        <v>YES</v>
      </c>
    </row>
    <row r="434" spans="1:40" ht="15" customHeight="1">
      <c r="A434" s="262" t="s">
        <v>2659</v>
      </c>
      <c r="B434" s="263">
        <f>'Dry_Litterbag Placem_Collection'!A215</f>
        <v>212</v>
      </c>
      <c r="C434" s="263" t="str">
        <f>'Dry_Litterbag Placem_Collection'!B215</f>
        <v xml:space="preserve">Mwantimba
</v>
      </c>
      <c r="D434" s="263" t="s">
        <v>2460</v>
      </c>
      <c r="E434" s="263" t="s">
        <v>2526</v>
      </c>
      <c r="F434" s="263">
        <v>4</v>
      </c>
      <c r="G434" s="264" t="str">
        <f>'Dry_Litterbag Placem_Collection'!C215</f>
        <v>Wet_P4_CG3</v>
      </c>
      <c r="H434" s="265" t="s">
        <v>2541</v>
      </c>
      <c r="I434" s="272" t="s">
        <v>298</v>
      </c>
      <c r="J434" s="263" t="str">
        <f>IF(ISBLANK('Dry_Litterbag Placem_Collection'!K215),"","R"&amp;""&amp;'Dry_Litterbag Placem_Collection'!K215)</f>
        <v>R803</v>
      </c>
      <c r="K434" s="267">
        <f>IFERROR(INDEX('Green_rooibos initial weight'!$C$5:$C$1749,MATCH(J434, 'Green_rooibos initial weight'!$A$5:$A$1749,0)),"")</f>
        <v>2.1930000000000001</v>
      </c>
      <c r="L434" s="267">
        <f>IFERROR(K434-(TBIcalc!$Q$9+TBIcalc!$Q$10),"")</f>
        <v>1.9432</v>
      </c>
      <c r="M434" s="391">
        <f>AVERAGE(Ashed_controlls!$K$12:$K$14)</f>
        <v>2.2816647271287041</v>
      </c>
      <c r="N434" s="267">
        <f t="shared" si="31"/>
        <v>1.8988626910224351</v>
      </c>
      <c r="O434" s="267">
        <f>IF(IFERROR(INDEX('Both teabags AfterDry'!$D$3:$D$900,MATCH(J434,'Both teabags AfterDry'!$A$3:$A$900,0)),"")="","",(IFERROR(INDEX('Both teabags AfterDry'!$D$3:$D$900,MATCH(J434,'Both teabags AfterDry'!$A$3:$A$900,0)),"")))</f>
        <v>0.78500000000000003</v>
      </c>
      <c r="P434" s="267">
        <f>IFERROR(IF(O434&gt;0,O434-(TBIcalc!$Q$9),""),"")</f>
        <v>0.63440000000000007</v>
      </c>
      <c r="Q434" s="278">
        <f>IFERROR(INDEX('Ashed teabags dry'!$K$2:$K$825,MATCH(J434,'Ashed teabags dry'!$A$2:$A$825,0)),"")</f>
        <v>11.856932876041183</v>
      </c>
      <c r="R434" s="278">
        <f t="shared" si="32"/>
        <v>0.55917961783439485</v>
      </c>
      <c r="S434" s="268">
        <f>'Dry_Litterbag Placem_Collection'!E215</f>
        <v>42942</v>
      </c>
      <c r="T434" s="268">
        <f>IF('Dry_Litterbag Placem_Collection'!G215="","",'Dry_Litterbag Placem_Collection'!G215)</f>
        <v>43004</v>
      </c>
      <c r="U434" s="269">
        <f t="shared" si="30"/>
        <v>62</v>
      </c>
      <c r="V434" s="267">
        <f t="shared" si="33"/>
        <v>1.3088</v>
      </c>
      <c r="W434" s="267">
        <f t="shared" si="34"/>
        <v>1.3396830731880403</v>
      </c>
      <c r="X434" s="271">
        <f>IFERROR(INDEX(Rainfall_Dry!$O$2:$O$217,MATCH(B434, Rainfall_Dry!$A$2:$A$217,0)),"")</f>
        <v>171.84818423999999</v>
      </c>
      <c r="Y434" s="260">
        <v>21.96</v>
      </c>
      <c r="Z434" s="260">
        <v>4.9199999999999982</v>
      </c>
      <c r="AA434" s="260">
        <v>73.12</v>
      </c>
      <c r="AB434" s="261" t="s">
        <v>2670</v>
      </c>
      <c r="AC434" s="260">
        <v>1.2416954164613114</v>
      </c>
      <c r="AD434">
        <f>IF('WetLitterbags placem_collection'!AB215="","",'WetLitterbags placem_collection'!AB215)</f>
        <v>15.2</v>
      </c>
      <c r="AE434">
        <f>IF('WetLitterbags placem_collection'!Z215="","",'WetLitterbags placem_collection'!Z215)</f>
        <v>12.2</v>
      </c>
      <c r="AF434" s="246" t="str">
        <f>IF('WetLitterbags placem_collection'!AA215="","",'WetLitterbags placem_collection'!AA215)</f>
        <v>O</v>
      </c>
      <c r="AG434">
        <f>IF('WetLitterbags placem_collection'!AC215="","",'WetLitterbags placem_collection'!AC215)</f>
        <v>1</v>
      </c>
      <c r="AH434">
        <f>IFERROR(AVERAGE('Dry_Litterbag Placem_Collection'!O215,'Dry_Litterbag Placem_Collection'!R215),"")</f>
        <v>8.1499999999999986</v>
      </c>
      <c r="AI434" s="271">
        <f>IFERROR(AVERAGE('Dry_Litterbag Placem_Collection'!N215,'Dry_Litterbag Placem_Collection'!Q215),"")</f>
        <v>28.25</v>
      </c>
      <c r="AJ434">
        <v>-2.4396949910000001</v>
      </c>
      <c r="AK434">
        <v>34.838574029999997</v>
      </c>
      <c r="AL434" s="270" t="str">
        <f>IF(ISNUMBER(SEARCH("C", 'Dry_Litterbag Placem_Collection'!T215)),"YES","NO")</f>
        <v>NO</v>
      </c>
      <c r="AM434" s="270" t="str">
        <f>IF(ISNUMBER(SEARCH("H", 'Dry_Litterbag Placem_Collection'!T215)),"YES","NO")</f>
        <v>YES</v>
      </c>
      <c r="AN434" s="270" t="str">
        <f>IF(ISNUMBER(SEARCH("R", 'Dry_Litterbag Placem_Collection'!T215)),"YES","NO")</f>
        <v>YES</v>
      </c>
    </row>
    <row r="435" spans="1:40" ht="15" customHeight="1">
      <c r="A435" s="262" t="s">
        <v>2659</v>
      </c>
      <c r="B435" s="263">
        <f>'Dry_Litterbag Placem_Collection'!A216</f>
        <v>213</v>
      </c>
      <c r="C435" s="263" t="str">
        <f>'Dry_Litterbag Placem_Collection'!B216</f>
        <v>Handajega</v>
      </c>
      <c r="D435" s="263" t="s">
        <v>2460</v>
      </c>
      <c r="E435" s="263" t="s">
        <v>2526</v>
      </c>
      <c r="F435" s="263">
        <v>3</v>
      </c>
      <c r="G435" s="264" t="str">
        <f>'Dry_Litterbag Placem_Collection'!C216</f>
        <v>Wet_W1_CG4</v>
      </c>
      <c r="H435" s="265" t="s">
        <v>2541</v>
      </c>
      <c r="I435" s="272" t="s">
        <v>298</v>
      </c>
      <c r="J435" s="263" t="str">
        <f>IF(ISBLANK('Dry_Litterbag Placem_Collection'!K216),"","R"&amp;""&amp;'Dry_Litterbag Placem_Collection'!K216)</f>
        <v>R321</v>
      </c>
      <c r="K435" s="267">
        <f>IFERROR(INDEX('Green_rooibos initial weight'!$C$5:$C$1749,MATCH(J435, 'Green_rooibos initial weight'!$A$5:$A$1749,0)),"")</f>
        <v>2.1859999999999999</v>
      </c>
      <c r="L435" s="267">
        <f>IFERROR(K435-(TBIcalc!$Q$9+TBIcalc!$Q$10),"")</f>
        <v>1.9361999999999999</v>
      </c>
      <c r="M435" s="391">
        <f>AVERAGE(Ashed_controlls!$K$12:$K$14)</f>
        <v>2.2816647271287041</v>
      </c>
      <c r="N435" s="267">
        <f t="shared" si="31"/>
        <v>1.8920224075533341</v>
      </c>
      <c r="O435" s="267">
        <f>IF(IFERROR(INDEX('Both teabags AfterDry'!$D$3:$D$900,MATCH(J435,'Both teabags AfterDry'!$A$3:$A$900,0)),"")="","",(IFERROR(INDEX('Both teabags AfterDry'!$D$3:$D$900,MATCH(J435,'Both teabags AfterDry'!$A$3:$A$900,0)),"")))</f>
        <v>1.6859999999999999</v>
      </c>
      <c r="P435" s="267">
        <f>IFERROR(IF(O435&gt;0,O435-(TBIcalc!$Q$9),""),"")</f>
        <v>1.5353999999999999</v>
      </c>
      <c r="Q435" s="278">
        <f>IFERROR(INDEX('Ashed teabags dry'!$K$2:$K$825,MATCH(J435,'Ashed teabags dry'!$A$2:$A$825,0)),"")</f>
        <v>5.7692307692305311</v>
      </c>
      <c r="R435" s="278">
        <f t="shared" si="32"/>
        <v>1.4468192307692342</v>
      </c>
      <c r="S435" s="268">
        <f>'Dry_Litterbag Placem_Collection'!E216</f>
        <v>42942</v>
      </c>
      <c r="T435" s="268">
        <f>IF('Dry_Litterbag Placem_Collection'!G216="","",'Dry_Litterbag Placem_Collection'!G216)</f>
        <v>43004</v>
      </c>
      <c r="U435" s="269">
        <f t="shared" si="30"/>
        <v>62</v>
      </c>
      <c r="V435" s="267">
        <f t="shared" si="33"/>
        <v>0.40080000000000005</v>
      </c>
      <c r="W435" s="267">
        <f t="shared" si="34"/>
        <v>0.44520317678409982</v>
      </c>
      <c r="X435" s="271">
        <f>IFERROR(INDEX(Rainfall_Dry!$O$2:$O$217,MATCH(B435, Rainfall_Dry!$A$2:$A$217,0)),"")</f>
        <v>171.84818423999999</v>
      </c>
      <c r="Y435" s="260">
        <v>23.96</v>
      </c>
      <c r="Z435" s="260">
        <v>4.9199999999999982</v>
      </c>
      <c r="AA435" s="260">
        <v>71.12</v>
      </c>
      <c r="AB435" s="261" t="s">
        <v>2670</v>
      </c>
      <c r="AC435" s="260">
        <v>3.30913750616067</v>
      </c>
      <c r="AD435">
        <f>IF('WetLitterbags placem_collection'!AB216="","",'WetLitterbags placem_collection'!AB216)</f>
        <v>7.9</v>
      </c>
      <c r="AE435">
        <f>IF('WetLitterbags placem_collection'!Z216="","",'WetLitterbags placem_collection'!Z216)</f>
        <v>7.9</v>
      </c>
      <c r="AF435" s="246" t="str">
        <f>IF('WetLitterbags placem_collection'!AA216="","",'WetLitterbags placem_collection'!AA216)</f>
        <v>O</v>
      </c>
      <c r="AG435">
        <f>IF('WetLitterbags placem_collection'!AC216="","",'WetLitterbags placem_collection'!AC216)</f>
        <v>1</v>
      </c>
      <c r="AH435">
        <f>IFERROR(AVERAGE('Dry_Litterbag Placem_Collection'!O216,'Dry_Litterbag Placem_Collection'!R216),"")</f>
        <v>4.3499999999999996</v>
      </c>
      <c r="AI435" s="271">
        <f>IFERROR(AVERAGE('Dry_Litterbag Placem_Collection'!N216,'Dry_Litterbag Placem_Collection'!Q216),"")</f>
        <v>29.1</v>
      </c>
      <c r="AJ435">
        <v>-2.4396949910000001</v>
      </c>
      <c r="AK435">
        <v>34.838574029999997</v>
      </c>
      <c r="AL435" s="270" t="str">
        <f>IF(ISNUMBER(SEARCH("C", 'Dry_Litterbag Placem_Collection'!T216)),"YES","NO")</f>
        <v>NO</v>
      </c>
      <c r="AM435" s="270" t="str">
        <f>IF(ISNUMBER(SEARCH("H", 'Dry_Litterbag Placem_Collection'!T216)),"YES","NO")</f>
        <v>NO</v>
      </c>
      <c r="AN435" s="270" t="str">
        <f>IF(ISNUMBER(SEARCH("R", 'Dry_Litterbag Placem_Collection'!T216)),"YES","NO")</f>
        <v>YES</v>
      </c>
    </row>
    <row r="436" spans="1:40" ht="15" customHeight="1">
      <c r="A436" s="262" t="s">
        <v>2659</v>
      </c>
      <c r="B436" s="263">
        <f>'Dry_Litterbag Placem_Collection'!A217</f>
        <v>214</v>
      </c>
      <c r="C436" s="263" t="str">
        <f>'Dry_Litterbag Placem_Collection'!B217</f>
        <v>Handajega</v>
      </c>
      <c r="D436" s="263" t="s">
        <v>2460</v>
      </c>
      <c r="E436" s="263" t="s">
        <v>2526</v>
      </c>
      <c r="F436" s="263">
        <v>1</v>
      </c>
      <c r="G436" s="264" t="str">
        <f>'Dry_Litterbag Placem_Collection'!C217</f>
        <v>Wet_W2_CG3</v>
      </c>
      <c r="H436" s="265" t="s">
        <v>2541</v>
      </c>
      <c r="I436" s="272" t="s">
        <v>298</v>
      </c>
      <c r="J436" s="263" t="str">
        <f>IF(ISBLANK('Dry_Litterbag Placem_Collection'!K217),"","R"&amp;""&amp;'Dry_Litterbag Placem_Collection'!K217)</f>
        <v>R677</v>
      </c>
      <c r="K436" s="267">
        <f>IFERROR(INDEX('Green_rooibos initial weight'!$C$5:$C$1749,MATCH(J436, 'Green_rooibos initial weight'!$A$5:$A$1749,0)),"")</f>
        <v>2.1240000000000001</v>
      </c>
      <c r="L436" s="267">
        <f>IFERROR(K436-(TBIcalc!$Q$9+TBIcalc!$Q$10),"")</f>
        <v>1.8742000000000001</v>
      </c>
      <c r="M436" s="391">
        <f>AVERAGE(Ashed_controlls!$K$12:$K$14)</f>
        <v>2.2816647271287041</v>
      </c>
      <c r="N436" s="267">
        <f t="shared" si="31"/>
        <v>1.8314370396841539</v>
      </c>
      <c r="O436" s="267">
        <f>IF(IFERROR(INDEX('Both teabags AfterDry'!$D$3:$D$900,MATCH(J436,'Both teabags AfterDry'!$A$3:$A$900,0)),"")="","",(IFERROR(INDEX('Both teabags AfterDry'!$D$3:$D$900,MATCH(J436,'Both teabags AfterDry'!$A$3:$A$900,0)),"")))</f>
        <v>1.7569999999999999</v>
      </c>
      <c r="P436" s="267">
        <f>IFERROR(IF(O436&gt;0,O436-(TBIcalc!$Q$9),""),"")</f>
        <v>1.6063999999999998</v>
      </c>
      <c r="Q436" s="278">
        <f>IFERROR(INDEX('Ashed teabags dry'!$K$2:$K$825,MATCH(J436,'Ashed teabags dry'!$A$2:$A$825,0)),"")</f>
        <v>10.652591170825588</v>
      </c>
      <c r="R436" s="278">
        <f t="shared" si="32"/>
        <v>1.4352767754318576</v>
      </c>
      <c r="S436" s="268">
        <f>'Dry_Litterbag Placem_Collection'!E217</f>
        <v>42942</v>
      </c>
      <c r="T436" s="268">
        <f>IF('Dry_Litterbag Placem_Collection'!G217="","",'Dry_Litterbag Placem_Collection'!G217)</f>
        <v>43004</v>
      </c>
      <c r="U436" s="269">
        <f t="shared" si="30"/>
        <v>62</v>
      </c>
      <c r="V436" s="267">
        <f t="shared" si="33"/>
        <v>0.26780000000000026</v>
      </c>
      <c r="W436" s="267">
        <f t="shared" si="34"/>
        <v>0.39616026425229633</v>
      </c>
      <c r="X436" s="271">
        <f>IFERROR(INDEX(Rainfall_Dry!$O$2:$O$217,MATCH(B436, Rainfall_Dry!$A$2:$A$217,0)),"")</f>
        <v>171.84818423999999</v>
      </c>
      <c r="Y436" s="260">
        <v>25.96</v>
      </c>
      <c r="Z436" s="260">
        <v>8.9200000000000017</v>
      </c>
      <c r="AA436" s="260">
        <v>65.12</v>
      </c>
      <c r="AB436" s="261" t="s">
        <v>2670</v>
      </c>
      <c r="AC436" s="260">
        <v>1.614588467225234</v>
      </c>
      <c r="AD436">
        <f>IF('WetLitterbags placem_collection'!AB217="","",'WetLitterbags placem_collection'!AB217)</f>
        <v>13.8</v>
      </c>
      <c r="AE436">
        <f>IF('WetLitterbags placem_collection'!Z217="","",'WetLitterbags placem_collection'!Z217)</f>
        <v>17.399999999999999</v>
      </c>
      <c r="AF436" s="246" t="str">
        <f>IF('WetLitterbags placem_collection'!AA217="","",'WetLitterbags placem_collection'!AA217)</f>
        <v>O</v>
      </c>
      <c r="AG436">
        <f>IF('WetLitterbags placem_collection'!AC217="","",'WetLitterbags placem_collection'!AC217)</f>
        <v>1</v>
      </c>
      <c r="AH436">
        <f>IFERROR(AVERAGE('Dry_Litterbag Placem_Collection'!O217,'Dry_Litterbag Placem_Collection'!R217),"")</f>
        <v>6.3</v>
      </c>
      <c r="AI436" s="271">
        <f>IFERROR(AVERAGE('Dry_Litterbag Placem_Collection'!N217,'Dry_Litterbag Placem_Collection'!Q217),"")</f>
        <v>29.8</v>
      </c>
      <c r="AJ436">
        <v>-2.439403972</v>
      </c>
      <c r="AK436">
        <v>34.838404959999998</v>
      </c>
      <c r="AL436" s="270" t="str">
        <f>IF(ISNUMBER(SEARCH("C", 'Dry_Litterbag Placem_Collection'!T217)),"YES","NO")</f>
        <v>NO</v>
      </c>
      <c r="AM436" s="270" t="str">
        <f>IF(ISNUMBER(SEARCH("H", 'Dry_Litterbag Placem_Collection'!T217)),"YES","NO")</f>
        <v>YES</v>
      </c>
      <c r="AN436" s="270" t="str">
        <f>IF(ISNUMBER(SEARCH("R", 'Dry_Litterbag Placem_Collection'!T217)),"YES","NO")</f>
        <v>YES</v>
      </c>
    </row>
    <row r="437" spans="1:40" ht="15" customHeight="1">
      <c r="A437" s="262" t="s">
        <v>2659</v>
      </c>
      <c r="B437" s="263">
        <f>'Dry_Litterbag Placem_Collection'!A218</f>
        <v>216</v>
      </c>
      <c r="C437" s="263" t="str">
        <f>'Dry_Litterbag Placem_Collection'!B218</f>
        <v>Handajega</v>
      </c>
      <c r="D437" s="263" t="s">
        <v>2460</v>
      </c>
      <c r="E437" s="263" t="s">
        <v>2526</v>
      </c>
      <c r="F437" s="263">
        <v>2</v>
      </c>
      <c r="G437" s="264" t="str">
        <f>'Dry_Litterbag Placem_Collection'!C218</f>
        <v>Wet_W4_CG2</v>
      </c>
      <c r="H437" s="265" t="s">
        <v>2541</v>
      </c>
      <c r="I437" s="272" t="s">
        <v>298</v>
      </c>
      <c r="J437" s="263" t="str">
        <f>IF(ISBLANK('Dry_Litterbag Placem_Collection'!K218),"","R"&amp;""&amp;'Dry_Litterbag Placem_Collection'!K218)</f>
        <v>R379</v>
      </c>
      <c r="K437" s="267">
        <f>IFERROR(INDEX('Green_rooibos initial weight'!$C$5:$C$1749,MATCH(J437, 'Green_rooibos initial weight'!$A$5:$A$1749,0)),"")</f>
        <v>2.246</v>
      </c>
      <c r="L437" s="267">
        <f>IFERROR(K437-(TBIcalc!$Q$9+TBIcalc!$Q$10),"")</f>
        <v>1.9962</v>
      </c>
      <c r="M437" s="391">
        <f>AVERAGE(Ashed_controlls!$K$12:$K$14)</f>
        <v>2.2816647271287041</v>
      </c>
      <c r="N437" s="267">
        <f t="shared" si="31"/>
        <v>1.9506534087170568</v>
      </c>
      <c r="O437" s="267">
        <f>IF(IFERROR(INDEX('Both teabags AfterDry'!$D$3:$D$900,MATCH(J437,'Both teabags AfterDry'!$A$3:$A$900,0)),"")="","",(IFERROR(INDEX('Both teabags AfterDry'!$D$3:$D$900,MATCH(J437,'Both teabags AfterDry'!$A$3:$A$900,0)),"")))</f>
        <v>1.736</v>
      </c>
      <c r="P437" s="267">
        <f>IFERROR(IF(O437&gt;0,O437-(TBIcalc!$Q$9),""),"")</f>
        <v>1.5853999999999999</v>
      </c>
      <c r="Q437" s="278">
        <f>IFERROR(INDEX('Ashed teabags dry'!$K$2:$K$825,MATCH(J437,'Ashed teabags dry'!$A$2:$A$825,0)),"")</f>
        <v>4.8247610377782575</v>
      </c>
      <c r="R437" s="278">
        <f t="shared" si="32"/>
        <v>1.5089082385070633</v>
      </c>
      <c r="S437" s="268">
        <f>'Dry_Litterbag Placem_Collection'!E218</f>
        <v>42942</v>
      </c>
      <c r="T437" s="268">
        <f>IF('Dry_Litterbag Placem_Collection'!G218="","",'Dry_Litterbag Placem_Collection'!G218)</f>
        <v>43004</v>
      </c>
      <c r="U437" s="269">
        <f t="shared" si="30"/>
        <v>62</v>
      </c>
      <c r="V437" s="267">
        <f t="shared" si="33"/>
        <v>0.41080000000000005</v>
      </c>
      <c r="W437" s="267">
        <f t="shared" si="34"/>
        <v>0.44174517020999349</v>
      </c>
      <c r="X437" s="271">
        <f>IFERROR(INDEX(Rainfall_Dry!$O$2:$O$217,MATCH(B437, Rainfall_Dry!$A$2:$A$217,0)),"")</f>
        <v>171.84818423999999</v>
      </c>
      <c r="Y437" s="260">
        <v>25.96</v>
      </c>
      <c r="Z437" s="260">
        <v>8.9200000000000017</v>
      </c>
      <c r="AA437" s="260">
        <v>65.12</v>
      </c>
      <c r="AB437" s="261" t="s">
        <v>2670</v>
      </c>
      <c r="AC437" s="260">
        <v>1.6991621488417901</v>
      </c>
      <c r="AD437">
        <f>IF('WetLitterbags placem_collection'!AB218="","",'WetLitterbags placem_collection'!AB218)</f>
        <v>5.13</v>
      </c>
      <c r="AE437">
        <f>IF('WetLitterbags placem_collection'!Z218="","",'WetLitterbags placem_collection'!Z218)</f>
        <v>5.13</v>
      </c>
      <c r="AF437" s="246" t="str">
        <f>IF('WetLitterbags placem_collection'!AA218="","",'WetLitterbags placem_collection'!AA218)</f>
        <v>O</v>
      </c>
      <c r="AG437">
        <f>IF('WetLitterbags placem_collection'!AC218="","",'WetLitterbags placem_collection'!AC218)</f>
        <v>1</v>
      </c>
      <c r="AH437">
        <f>IFERROR(AVERAGE('Dry_Litterbag Placem_Collection'!O218,'Dry_Litterbag Placem_Collection'!R218),"")</f>
        <v>7.0500000000000007</v>
      </c>
      <c r="AI437" s="271">
        <f>IFERROR(AVERAGE('Dry_Litterbag Placem_Collection'!N218,'Dry_Litterbag Placem_Collection'!Q218),"")</f>
        <v>29.85</v>
      </c>
      <c r="AJ437">
        <v>-2.4396450349999999</v>
      </c>
      <c r="AK437">
        <v>34.83836599</v>
      </c>
      <c r="AL437" s="270" t="str">
        <f>IF(ISNUMBER(SEARCH("C", 'Dry_Litterbag Placem_Collection'!T218)),"YES","NO")</f>
        <v>NO</v>
      </c>
      <c r="AM437" s="270" t="str">
        <f>IF(ISNUMBER(SEARCH("H", 'Dry_Litterbag Placem_Collection'!T218)),"YES","NO")</f>
        <v>NO</v>
      </c>
      <c r="AN437" s="270" t="str">
        <f>IF(ISNUMBER(SEARCH("R", 'Dry_Litterbag Placem_Collection'!T218)),"YES","NO")</f>
        <v>NO</v>
      </c>
    </row>
    <row r="438" spans="1:40" ht="15" customHeight="1">
      <c r="A438" s="262" t="s">
        <v>2659</v>
      </c>
      <c r="B438" s="263">
        <f>'Dry_Litterbag Placem_Collection'!A219</f>
        <v>217</v>
      </c>
      <c r="C438" s="263" t="str">
        <f>'Dry_Litterbag Placem_Collection'!B219</f>
        <v>Seronera</v>
      </c>
      <c r="D438" s="263" t="s">
        <v>2662</v>
      </c>
      <c r="E438" s="263" t="s">
        <v>2526</v>
      </c>
      <c r="F438" s="263">
        <v>1</v>
      </c>
      <c r="G438" s="264" t="str">
        <f>'Dry_Litterbag Placem_Collection'!C219</f>
        <v>Local1_CG1</v>
      </c>
      <c r="H438" s="265" t="s">
        <v>2541</v>
      </c>
      <c r="I438" s="272" t="s">
        <v>298</v>
      </c>
      <c r="J438" s="263" t="str">
        <f>IF(ISBLANK('Dry_Litterbag Placem_Collection'!K219),"","R"&amp;""&amp;'Dry_Litterbag Placem_Collection'!K219)</f>
        <v>R771</v>
      </c>
      <c r="K438" s="267">
        <f>IFERROR(INDEX('Green_rooibos initial weight'!$C$5:$C$1749,MATCH(J438, 'Green_rooibos initial weight'!$A$5:$A$1749,0)),"")</f>
        <v>2.2309999999999999</v>
      </c>
      <c r="L438" s="267">
        <f>IFERROR(K438-(TBIcalc!$Q$9+TBIcalc!$Q$10),"")</f>
        <v>1.9811999999999999</v>
      </c>
      <c r="M438" s="391">
        <f>AVERAGE(Ashed_controlls!$K$12:$K$14)</f>
        <v>2.2816647271287041</v>
      </c>
      <c r="N438" s="267">
        <f t="shared" si="31"/>
        <v>1.935995658426126</v>
      </c>
      <c r="O438" s="267">
        <f>IF(IFERROR(INDEX('Both teabags AfterDry'!$D$3:$D$900,MATCH(J438,'Both teabags AfterDry'!$A$3:$A$900,0)),"")="","",(IFERROR(INDEX('Both teabags AfterDry'!$D$3:$D$900,MATCH(J438,'Both teabags AfterDry'!$A$3:$A$900,0)),"")))</f>
        <v>1.0895999999999999</v>
      </c>
      <c r="P438" s="267">
        <f>IFERROR(IF(O438&gt;0,O438-(TBIcalc!$Q$9),""),"")</f>
        <v>0.93899999999999983</v>
      </c>
      <c r="Q438" s="278">
        <f>IFERROR(INDEX('Ashed teabags dry'!$K$2:$K$825,MATCH(J438,'Ashed teabags dry'!$A$2:$A$825,0)),"")</f>
        <v>85.664182376150734</v>
      </c>
      <c r="R438" s="278">
        <f t="shared" si="32"/>
        <v>0.13461332748794463</v>
      </c>
      <c r="S438" s="268">
        <f>'Dry_Litterbag Placem_Collection'!E219</f>
        <v>42942</v>
      </c>
      <c r="T438" s="268">
        <f>IF('Dry_Litterbag Placem_Collection'!G219="","",'Dry_Litterbag Placem_Collection'!G219)</f>
        <v>43004</v>
      </c>
      <c r="U438" s="269">
        <f t="shared" si="30"/>
        <v>62</v>
      </c>
      <c r="V438" s="267">
        <f t="shared" si="33"/>
        <v>1.0422</v>
      </c>
      <c r="W438" s="267">
        <f t="shared" si="34"/>
        <v>1.8013823309381813</v>
      </c>
      <c r="X438" s="271">
        <f>IFERROR(INDEX(Rainfall_Dry!$O$2:$O$217,MATCH(B438, Rainfall_Dry!$A$2:$A$217,0)),"")</f>
        <v>171.84818423999999</v>
      </c>
      <c r="Y438" s="260">
        <v>29.076539101497506</v>
      </c>
      <c r="Z438" s="260">
        <v>7.1963394342762079</v>
      </c>
      <c r="AA438" s="260">
        <v>63.727121464226286</v>
      </c>
      <c r="AB438" s="260" t="s">
        <v>2670</v>
      </c>
      <c r="AC438" s="260">
        <v>1.0994578610152781</v>
      </c>
      <c r="AD438">
        <f>IF('WetLitterbags placem_collection'!AB219="","",'WetLitterbags placem_collection'!AB219)</f>
        <v>13.8</v>
      </c>
      <c r="AE438">
        <f>IF('WetLitterbags placem_collection'!Z219="","",'WetLitterbags placem_collection'!Z219)</f>
        <v>17.399999999999999</v>
      </c>
      <c r="AF438" s="246" t="str">
        <f>IF('WetLitterbags placem_collection'!AA219="","",'WetLitterbags placem_collection'!AA219)</f>
        <v>O</v>
      </c>
      <c r="AG438">
        <f>IF('WetLitterbags placem_collection'!AC219="","",'WetLitterbags placem_collection'!AC219)</f>
        <v>1</v>
      </c>
      <c r="AH438">
        <f>IFERROR(AVERAGE('Dry_Litterbag Placem_Collection'!O219,'Dry_Litterbag Placem_Collection'!R219),"")</f>
        <v>7.1999999999999993</v>
      </c>
      <c r="AI438" s="271">
        <f>IFERROR(AVERAGE('Dry_Litterbag Placem_Collection'!N219,'Dry_Litterbag Placem_Collection'!Q219),"")</f>
        <v>31.25</v>
      </c>
      <c r="AJ438">
        <v>-2.439403972</v>
      </c>
      <c r="AK438">
        <v>34.838404959999998</v>
      </c>
      <c r="AL438" s="270" t="str">
        <f>IF(ISNUMBER(SEARCH("C", 'Dry_Litterbag Placem_Collection'!T219)),"YES","NO")</f>
        <v>NO</v>
      </c>
      <c r="AM438" s="270" t="str">
        <f>IF(ISNUMBER(SEARCH("H", 'Dry_Litterbag Placem_Collection'!T219)),"YES","NO")</f>
        <v>YES</v>
      </c>
      <c r="AN438" s="270" t="str">
        <f>IF(ISNUMBER(SEARCH("R", 'Dry_Litterbag Placem_Collection'!T219)),"YES","NO")</f>
        <v>YES</v>
      </c>
    </row>
    <row r="439" spans="1:40" ht="15" customHeight="1">
      <c r="A439" s="262" t="s">
        <v>2659</v>
      </c>
      <c r="B439" s="263">
        <f>'Dry_Litterbag Placem_Collection'!A220</f>
        <v>218</v>
      </c>
      <c r="C439" s="263" t="str">
        <f>'Dry_Litterbag Placem_Collection'!B220</f>
        <v>Seronera</v>
      </c>
      <c r="D439" s="263" t="s">
        <v>2662</v>
      </c>
      <c r="E439" s="263" t="s">
        <v>2526</v>
      </c>
      <c r="F439" s="263">
        <v>2</v>
      </c>
      <c r="G439" s="264" t="str">
        <f>'Dry_Litterbag Placem_Collection'!C220</f>
        <v>Local2_CG2</v>
      </c>
      <c r="H439" s="265" t="s">
        <v>2541</v>
      </c>
      <c r="I439" s="272" t="s">
        <v>298</v>
      </c>
      <c r="J439" s="263" t="str">
        <f>IF(ISBLANK('Dry_Litterbag Placem_Collection'!K220),"","R"&amp;""&amp;'Dry_Litterbag Placem_Collection'!K220)</f>
        <v>R680</v>
      </c>
      <c r="K439" s="267">
        <f>IFERROR(INDEX('Green_rooibos initial weight'!$C$5:$C$1749,MATCH(J439, 'Green_rooibos initial weight'!$A$5:$A$1749,0)),"")</f>
        <v>2.1080000000000001</v>
      </c>
      <c r="L439" s="267">
        <f>IFERROR(K439-(TBIcalc!$Q$9+TBIcalc!$Q$10),"")</f>
        <v>1.8582000000000001</v>
      </c>
      <c r="M439" s="391">
        <f>AVERAGE(Ashed_controlls!$K$12:$K$14)</f>
        <v>2.2816647271287041</v>
      </c>
      <c r="N439" s="267">
        <f t="shared" si="31"/>
        <v>1.8158021060404945</v>
      </c>
      <c r="O439" s="267">
        <f>IF(IFERROR(INDEX('Both teabags AfterDry'!$D$3:$D$900,MATCH(J439,'Both teabags AfterDry'!$A$3:$A$900,0)),"")="","",(IFERROR(INDEX('Both teabags AfterDry'!$D$3:$D$900,MATCH(J439,'Both teabags AfterDry'!$A$3:$A$900,0)),"")))</f>
        <v>0.17100000000000001</v>
      </c>
      <c r="P439" s="267">
        <f>IFERROR(IF(O439&gt;0,O439-(TBIcalc!$Q$9),""),"")</f>
        <v>2.0400000000000001E-2</v>
      </c>
      <c r="Q439" s="278">
        <f>IFERROR(INDEX('Ashed teabags dry'!$K$2:$K$825,MATCH(J439,'Ashed teabags dry'!$A$2:$A$825,0)),"")</f>
        <v>0</v>
      </c>
      <c r="R439" s="278">
        <f t="shared" si="32"/>
        <v>2.0400000000000001E-2</v>
      </c>
      <c r="S439" s="268">
        <f>'Dry_Litterbag Placem_Collection'!E220</f>
        <v>42942</v>
      </c>
      <c r="T439" s="268">
        <f>IF('Dry_Litterbag Placem_Collection'!G220="","",'Dry_Litterbag Placem_Collection'!G220)</f>
        <v>43004</v>
      </c>
      <c r="U439" s="269">
        <f t="shared" si="30"/>
        <v>62</v>
      </c>
      <c r="V439" s="267">
        <f t="shared" si="33"/>
        <v>1.8378000000000001</v>
      </c>
      <c r="W439" s="267">
        <f t="shared" si="34"/>
        <v>1.7954021060404945</v>
      </c>
      <c r="X439" s="271">
        <f>IFERROR(INDEX(Rainfall_Dry!$O$2:$O$217,MATCH(B439, Rainfall_Dry!$A$2:$A$217,0)),"")</f>
        <v>171.84818423999999</v>
      </c>
      <c r="Y439" s="260">
        <v>21.072635135135137</v>
      </c>
      <c r="Z439" s="260">
        <v>7.3057432432432412</v>
      </c>
      <c r="AA439" s="260">
        <v>71.621621621621614</v>
      </c>
      <c r="AB439" s="260" t="s">
        <v>2670</v>
      </c>
      <c r="AC439" s="260">
        <v>1.4512074913750617</v>
      </c>
      <c r="AD439">
        <f>IF('WetLitterbags placem_collection'!AB220="","",'WetLitterbags placem_collection'!AB220)</f>
        <v>5.13</v>
      </c>
      <c r="AE439">
        <f>IF('WetLitterbags placem_collection'!Z220="","",'WetLitterbags placem_collection'!Z220)</f>
        <v>5.13</v>
      </c>
      <c r="AF439" s="246" t="str">
        <f>IF('WetLitterbags placem_collection'!AA220="","",'WetLitterbags placem_collection'!AA220)</f>
        <v>O</v>
      </c>
      <c r="AG439">
        <f>IF('WetLitterbags placem_collection'!AC220="","",'WetLitterbags placem_collection'!AC220)</f>
        <v>1</v>
      </c>
      <c r="AH439">
        <f>IFERROR(AVERAGE('Dry_Litterbag Placem_Collection'!O220,'Dry_Litterbag Placem_Collection'!R220),"")</f>
        <v>6.45</v>
      </c>
      <c r="AI439" s="271">
        <f>IFERROR(AVERAGE('Dry_Litterbag Placem_Collection'!N220,'Dry_Litterbag Placem_Collection'!Q220),"")</f>
        <v>29.15</v>
      </c>
      <c r="AJ439">
        <v>-2.4396450349999999</v>
      </c>
      <c r="AK439">
        <v>34.83836599</v>
      </c>
      <c r="AL439" s="270" t="str">
        <f>IF(ISNUMBER(SEARCH("C", 'Dry_Litterbag Placem_Collection'!T220)),"YES","NO")</f>
        <v>NO</v>
      </c>
      <c r="AM439" s="270" t="str">
        <f>IF(ISNUMBER(SEARCH("H", 'Dry_Litterbag Placem_Collection'!T220)),"YES","NO")</f>
        <v>YES</v>
      </c>
      <c r="AN439" s="270" t="str">
        <f>IF(ISNUMBER(SEARCH("R", 'Dry_Litterbag Placem_Collection'!T220)),"YES","NO")</f>
        <v>YES</v>
      </c>
    </row>
    <row r="440" spans="1:40" ht="15" customHeight="1">
      <c r="A440" s="262" t="s">
        <v>2659</v>
      </c>
      <c r="B440" s="263">
        <f>'Dry_Litterbag Placem_Collection'!A221</f>
        <v>219</v>
      </c>
      <c r="C440" s="263" t="str">
        <f>'Dry_Litterbag Placem_Collection'!B221</f>
        <v>Seronera</v>
      </c>
      <c r="D440" s="263" t="s">
        <v>2662</v>
      </c>
      <c r="E440" s="263" t="s">
        <v>2526</v>
      </c>
      <c r="F440" s="263">
        <v>3</v>
      </c>
      <c r="G440" s="264" t="str">
        <f>'Dry_Litterbag Placem_Collection'!C221</f>
        <v>Local3_CG3</v>
      </c>
      <c r="H440" s="265" t="s">
        <v>2541</v>
      </c>
      <c r="I440" s="272" t="s">
        <v>298</v>
      </c>
      <c r="J440" s="263" t="str">
        <f>IF(ISBLANK('Dry_Litterbag Placem_Collection'!K221),"","R"&amp;""&amp;'Dry_Litterbag Placem_Collection'!K221)</f>
        <v>R178</v>
      </c>
      <c r="K440" s="267">
        <f>IFERROR(INDEX('Green_rooibos initial weight'!$C$5:$C$1749,MATCH(J440, 'Green_rooibos initial weight'!$A$5:$A$1749,0)),"")</f>
        <v>2.222</v>
      </c>
      <c r="L440" s="267">
        <f>IFERROR(K440-(TBIcalc!$Q$9+TBIcalc!$Q$10),"")</f>
        <v>1.9722</v>
      </c>
      <c r="M440" s="391">
        <f>AVERAGE(Ashed_controlls!$K$12:$K$14)</f>
        <v>2.2816647271287041</v>
      </c>
      <c r="N440" s="267">
        <f t="shared" si="31"/>
        <v>1.9272010082515676</v>
      </c>
      <c r="O440" s="267">
        <f>IF(IFERROR(INDEX('Both teabags AfterDry'!$D$3:$D$900,MATCH(J440,'Both teabags AfterDry'!$A$3:$A$900,0)),"")="","",(IFERROR(INDEX('Both teabags AfterDry'!$D$3:$D$900,MATCH(J440,'Both teabags AfterDry'!$A$3:$A$900,0)),"")))</f>
        <v>1.8229</v>
      </c>
      <c r="P440" s="267">
        <f>IFERROR(IF(O440&gt;0,O440-(TBIcalc!$Q$9),""),"")</f>
        <v>1.6722999999999999</v>
      </c>
      <c r="Q440" s="278">
        <f>IFERROR(INDEX('Ashed teabags dry'!$K$2:$K$825,MATCH(J440,'Ashed teabags dry'!$A$2:$A$825,0)),"")</f>
        <v>19.137332672284675</v>
      </c>
      <c r="R440" s="278">
        <f t="shared" si="32"/>
        <v>1.3522663857213832</v>
      </c>
      <c r="S440" s="268">
        <f>'Dry_Litterbag Placem_Collection'!E221</f>
        <v>42942</v>
      </c>
      <c r="T440" s="268">
        <f>IF('Dry_Litterbag Placem_Collection'!G221="","",'Dry_Litterbag Placem_Collection'!G221)</f>
        <v>43004</v>
      </c>
      <c r="U440" s="269">
        <f t="shared" si="30"/>
        <v>62</v>
      </c>
      <c r="V440" s="267">
        <f t="shared" si="33"/>
        <v>0.29990000000000006</v>
      </c>
      <c r="W440" s="267">
        <f t="shared" si="34"/>
        <v>0.57493462253018435</v>
      </c>
      <c r="X440" s="271">
        <f>IFERROR(INDEX(Rainfall_Dry!$O$2:$O$217,MATCH(B440, Rainfall_Dry!$A$2:$A$217,0)),"")</f>
        <v>171.84818423999999</v>
      </c>
      <c r="Y440" s="260">
        <v>21.96</v>
      </c>
      <c r="Z440" s="260">
        <v>4.9199999999999982</v>
      </c>
      <c r="AA440" s="260">
        <v>73.12</v>
      </c>
      <c r="AB440" s="260" t="s">
        <v>2670</v>
      </c>
      <c r="AC440" s="260">
        <v>1.4012321340561851</v>
      </c>
      <c r="AD440">
        <f>IF('WetLitterbags placem_collection'!AB221="","",'WetLitterbags placem_collection'!AB221)</f>
        <v>7.9</v>
      </c>
      <c r="AE440">
        <f>IF('WetLitterbags placem_collection'!Z221="","",'WetLitterbags placem_collection'!Z221)</f>
        <v>7.9</v>
      </c>
      <c r="AF440" s="246" t="str">
        <f>IF('WetLitterbags placem_collection'!AA221="","",'WetLitterbags placem_collection'!AA221)</f>
        <v>O</v>
      </c>
      <c r="AG440">
        <f>IF('WetLitterbags placem_collection'!AC221="","",'WetLitterbags placem_collection'!AC221)</f>
        <v>1</v>
      </c>
      <c r="AH440">
        <f>IFERROR(AVERAGE('Dry_Litterbag Placem_Collection'!O221,'Dry_Litterbag Placem_Collection'!R221),"")</f>
        <v>5.75</v>
      </c>
      <c r="AI440" s="271">
        <f>IFERROR(AVERAGE('Dry_Litterbag Placem_Collection'!N221,'Dry_Litterbag Placem_Collection'!Q221),"")</f>
        <v>32.75</v>
      </c>
      <c r="AJ440">
        <v>-2.4395990190000001</v>
      </c>
      <c r="AK440">
        <v>34.838418959999998</v>
      </c>
      <c r="AL440" s="270" t="str">
        <f>IF(ISNUMBER(SEARCH("C", 'Dry_Litterbag Placem_Collection'!T221)),"YES","NO")</f>
        <v>NO</v>
      </c>
      <c r="AM440" s="270" t="str">
        <f>IF(ISNUMBER(SEARCH("H", 'Dry_Litterbag Placem_Collection'!T221)),"YES","NO")</f>
        <v>NO</v>
      </c>
      <c r="AN440" s="270" t="str">
        <f>IF(ISNUMBER(SEARCH("R", 'Dry_Litterbag Placem_Collection'!T221)),"YES","NO")</f>
        <v>YES</v>
      </c>
    </row>
    <row r="441" spans="1:40" ht="15" customHeight="1">
      <c r="A441" s="262" t="s">
        <v>2659</v>
      </c>
      <c r="B441" s="263">
        <f>'Dry_Litterbag Placem_Collection'!A222</f>
        <v>220</v>
      </c>
      <c r="C441" s="263" t="str">
        <f>'Dry_Litterbag Placem_Collection'!B222</f>
        <v>Seronera</v>
      </c>
      <c r="D441" s="263" t="s">
        <v>2662</v>
      </c>
      <c r="E441" s="263" t="s">
        <v>2526</v>
      </c>
      <c r="F441" s="263">
        <v>4</v>
      </c>
      <c r="G441" s="264" t="str">
        <f>'Dry_Litterbag Placem_Collection'!C222</f>
        <v>Local4_CG4</v>
      </c>
      <c r="H441" s="265" t="s">
        <v>2541</v>
      </c>
      <c r="I441" s="272" t="s">
        <v>298</v>
      </c>
      <c r="J441" s="263" t="str">
        <f>IF(ISBLANK('Dry_Litterbag Placem_Collection'!K222),"","R"&amp;""&amp;'Dry_Litterbag Placem_Collection'!K222)</f>
        <v>R194</v>
      </c>
      <c r="K441" s="267">
        <f>IFERROR(INDEX('Green_rooibos initial weight'!$C$5:$C$1749,MATCH(J441, 'Green_rooibos initial weight'!$A$5:$A$1749,0)),"")</f>
        <v>2.149</v>
      </c>
      <c r="L441" s="267">
        <f>IFERROR(K441-(TBIcalc!$Q$9+TBIcalc!$Q$10),"")</f>
        <v>1.8992</v>
      </c>
      <c r="M441" s="391">
        <f>AVERAGE(Ashed_controlls!$K$12:$K$14)</f>
        <v>2.2816647271287041</v>
      </c>
      <c r="N441" s="267">
        <f t="shared" si="31"/>
        <v>1.8558666235023717</v>
      </c>
      <c r="O441" s="267" t="str">
        <f>IF(IFERROR(INDEX('Both teabags AfterDry'!$D$3:$D$900,MATCH(J441,'Both teabags AfterDry'!$A$3:$A$900,0)),"")="","",(IFERROR(INDEX('Both teabags AfterDry'!$D$3:$D$900,MATCH(J441,'Both teabags AfterDry'!$A$3:$A$900,0)),"")))</f>
        <v/>
      </c>
      <c r="P441" s="267" t="str">
        <f>IFERROR(IF(O441&gt;0,O441-(TBIcalc!$Q$9),""),"")</f>
        <v/>
      </c>
      <c r="Q441" s="278" t="str">
        <f>IFERROR(INDEX('Ashed teabags dry'!$K$2:$K$825,MATCH(J441,'Ashed teabags dry'!$A$2:$A$825,0)),"")</f>
        <v/>
      </c>
      <c r="R441" s="278" t="str">
        <f t="shared" si="32"/>
        <v/>
      </c>
      <c r="S441" s="268">
        <f>'Dry_Litterbag Placem_Collection'!E222</f>
        <v>42942</v>
      </c>
      <c r="T441" s="268">
        <f>IF('Dry_Litterbag Placem_Collection'!G222="","",'Dry_Litterbag Placem_Collection'!G222)</f>
        <v>43004</v>
      </c>
      <c r="U441" s="269">
        <f t="shared" si="30"/>
        <v>62</v>
      </c>
      <c r="V441" s="267" t="str">
        <f t="shared" si="33"/>
        <v/>
      </c>
      <c r="W441" s="267" t="str">
        <f t="shared" si="34"/>
        <v/>
      </c>
      <c r="X441" s="271">
        <f>IFERROR(INDEX(Rainfall_Dry!$O$2:$O$217,MATCH(B441, Rainfall_Dry!$A$2:$A$217,0)),"")</f>
        <v>171.84818423999999</v>
      </c>
      <c r="Y441" s="260">
        <v>15.960000000000003</v>
      </c>
      <c r="Z441" s="260">
        <v>6.9199999999999982</v>
      </c>
      <c r="AA441" s="260">
        <v>77.11999999999999</v>
      </c>
      <c r="AB441" s="260" t="s">
        <v>2671</v>
      </c>
      <c r="AC441" s="260">
        <v>0.60547067520946207</v>
      </c>
      <c r="AD441">
        <f>IF('WetLitterbags placem_collection'!AB222="","",'WetLitterbags placem_collection'!AB222)</f>
        <v>15.2</v>
      </c>
      <c r="AE441">
        <f>IF('WetLitterbags placem_collection'!Z222="","",'WetLitterbags placem_collection'!Z222)</f>
        <v>12.2</v>
      </c>
      <c r="AF441" s="246" t="str">
        <f>IF('WetLitterbags placem_collection'!AA222="","",'WetLitterbags placem_collection'!AA222)</f>
        <v>O</v>
      </c>
      <c r="AG441">
        <f>IF('WetLitterbags placem_collection'!AC222="","",'WetLitterbags placem_collection'!AC222)</f>
        <v>1</v>
      </c>
      <c r="AH441">
        <f>IFERROR(AVERAGE('Dry_Litterbag Placem_Collection'!O222,'Dry_Litterbag Placem_Collection'!R222),"")</f>
        <v>5.3</v>
      </c>
      <c r="AI441" s="271">
        <f>IFERROR(AVERAGE('Dry_Litterbag Placem_Collection'!N222,'Dry_Litterbag Placem_Collection'!Q222),"")</f>
        <v>33.65</v>
      </c>
      <c r="AJ441">
        <v>-2.4396949910000001</v>
      </c>
      <c r="AK441">
        <v>34.838574029999997</v>
      </c>
      <c r="AL441" s="270" t="str">
        <f>IF(ISNUMBER(SEARCH("C", 'Dry_Litterbag Placem_Collection'!T222)),"YES","NO")</f>
        <v>YES</v>
      </c>
      <c r="AM441" s="270" t="str">
        <f>IF(ISNUMBER(SEARCH("H", 'Dry_Litterbag Placem_Collection'!T222)),"YES","NO")</f>
        <v>YES</v>
      </c>
      <c r="AN441" s="270" t="str">
        <f>IF(ISNUMBER(SEARCH("R", 'Dry_Litterbag Placem_Collection'!T222)),"YES","NO")</f>
        <v>YES</v>
      </c>
    </row>
    <row r="442" spans="1:40" ht="15" customHeight="1">
      <c r="A442" s="262" t="s">
        <v>2659</v>
      </c>
      <c r="B442" s="263">
        <f>'Dry_Litterbag Placem_Collection'!A3</f>
        <v>1</v>
      </c>
      <c r="C442" s="263" t="str">
        <f>'Dry_Litterbag Placem_Collection'!B3</f>
        <v>Makao</v>
      </c>
      <c r="D442" s="263" t="s">
        <v>2659</v>
      </c>
      <c r="E442" s="263" t="s">
        <v>2660</v>
      </c>
      <c r="F442" s="263">
        <v>1</v>
      </c>
      <c r="G442" s="264" t="str">
        <f>'Dry_Litterbag Placem_Collection'!C3</f>
        <v>Dry_Ag1_T1</v>
      </c>
      <c r="H442" s="273" t="s">
        <v>3651</v>
      </c>
      <c r="I442" s="266" t="s">
        <v>1147</v>
      </c>
      <c r="J442" s="263" t="str">
        <f>IF(ISBLANK('Dry_Litterbag Placem_Collection'!L3),"","G"&amp;""&amp;'Dry_Litterbag Placem_Collection'!L3)</f>
        <v>G377</v>
      </c>
      <c r="K442" s="267">
        <f>IFERROR(INDEX('Green_rooibos initial weight'!$C$5:$C$1749,MATCH(J442, 'Green_rooibos initial weight'!$A$5:$A$1749,0)),"")</f>
        <v>2.1030000000000002</v>
      </c>
      <c r="L442" s="267">
        <f>IFERROR(K442-(TBIcalc!$Q$9+TBIcalc!$Q$10),"")</f>
        <v>1.8532000000000002</v>
      </c>
      <c r="M442" s="391">
        <f>AVERAGE(Ashed_controlls!$K$2:$K$11)</f>
        <v>5.5147656768714146</v>
      </c>
      <c r="N442" s="267">
        <f t="shared" si="31"/>
        <v>1.7510003624762192</v>
      </c>
      <c r="O442" s="267">
        <f>IF(IFERROR(INDEX('Both teabags AfterDry'!$D$3:$D$900,MATCH(J442,'Both teabags AfterDry'!$A$3:$A$900,0)),"")="","",(IFERROR(INDEX('Both teabags AfterDry'!$D$3:$D$900,MATCH(J442,'Both teabags AfterDry'!$A$3:$A$900,0)),"")))</f>
        <v>1.3894</v>
      </c>
      <c r="P442" s="267">
        <f>IFERROR(IF(O442&gt;0,O442-(TBIcalc!$Q$9),""),"")</f>
        <v>1.2387999999999999</v>
      </c>
      <c r="Q442" s="278">
        <f>IFERROR(INDEX('Ashed teabags dry'!$K$2:$K$825,MATCH(J442,'Ashed teabags dry'!$A$2:$A$825,0)),"")</f>
        <v>16.862567811935126</v>
      </c>
      <c r="R442" s="278">
        <f t="shared" si="32"/>
        <v>1.0299065099457476</v>
      </c>
      <c r="S442" s="268">
        <f>'Dry_Litterbag Placem_Collection'!E3</f>
        <v>42938</v>
      </c>
      <c r="T442" s="268">
        <f>IF('Dry_Litterbag Placem_Collection'!G3="","",'Dry_Litterbag Placem_Collection'!G3)</f>
        <v>43007</v>
      </c>
      <c r="U442" s="269">
        <f t="shared" si="30"/>
        <v>69</v>
      </c>
      <c r="V442" s="267">
        <f t="shared" si="33"/>
        <v>0.61440000000000028</v>
      </c>
      <c r="W442" s="267">
        <f t="shared" si="34"/>
        <v>0.72109385253047154</v>
      </c>
      <c r="X442" s="271">
        <f>IFERROR(INDEX(Rainfall_Dry!$O$2:$O$217,MATCH(B442, Rainfall_Dry!$A$2:$A$217,0)),"")</f>
        <v>6.900000125</v>
      </c>
      <c r="Y442" s="260">
        <v>12.565665055683967</v>
      </c>
      <c r="Z442" s="260">
        <v>0.9665896196679955</v>
      </c>
      <c r="AA442" s="260">
        <v>86.467745324648035</v>
      </c>
      <c r="AB442" s="261" t="s">
        <v>2672</v>
      </c>
      <c r="AC442" s="260">
        <v>1.0225726959093147</v>
      </c>
      <c r="AD442">
        <f>IF('WetLitterbags placem_collection'!AB3="","",'WetLitterbags placem_collection'!AB3)</f>
        <v>26.4</v>
      </c>
      <c r="AE442">
        <f>IF('WetLitterbags placem_collection'!Z3="","",'WetLitterbags placem_collection'!Z3)</f>
        <v>41</v>
      </c>
      <c r="AF442" s="246" t="str">
        <f>IF('WetLitterbags placem_collection'!AA3="","",'WetLitterbags placem_collection'!AA3)</f>
        <v>M</v>
      </c>
      <c r="AG442">
        <f>IF('WetLitterbags placem_collection'!AC3="","",'WetLitterbags placem_collection'!AC3)</f>
        <v>1</v>
      </c>
      <c r="AH442">
        <f>IFERROR(AVERAGE('Dry_Litterbag Placem_Collection'!O3,'Dry_Litterbag Placem_Collection'!R3),"")</f>
        <v>3.8</v>
      </c>
      <c r="AI442" s="271">
        <f>IFERROR(AVERAGE('Dry_Litterbag Placem_Collection'!N3,'Dry_Litterbag Placem_Collection'!Q3),"")</f>
        <v>26.9</v>
      </c>
      <c r="AJ442" s="270">
        <f>INDEX(Coordinates!$B$2:$B$197,MATCH(G442,Coordinates!$J$2:$J$197,0))</f>
        <v>-3.3978609999999998</v>
      </c>
      <c r="AK442" s="270">
        <f>INDEX(Coordinates!$C$2:$C$197,MATCH(G442,Coordinates!$J$2:$J$197,0))</f>
        <v>34.837608000000003</v>
      </c>
      <c r="AL442" s="270" t="str">
        <f>IF(ISNUMBER(SEARCH("C", 'Dry_Litterbag Placem_Collection'!U3)),"YES","NO")</f>
        <v>NO</v>
      </c>
      <c r="AM442" s="270" t="str">
        <f>IF(ISNUMBER(SEARCH("H", 'Dry_Litterbag Placem_Collection'!U3)),"YES","NO")</f>
        <v>NO</v>
      </c>
      <c r="AN442" s="270" t="str">
        <f>IF(ISNUMBER(SEARCH("R", 'Dry_Litterbag Placem_Collection'!U3)),"YES","NO")</f>
        <v>YES</v>
      </c>
    </row>
    <row r="443" spans="1:40" ht="15" customHeight="1">
      <c r="A443" s="262" t="s">
        <v>2659</v>
      </c>
      <c r="B443" s="263">
        <f>'Dry_Litterbag Placem_Collection'!A4</f>
        <v>2</v>
      </c>
      <c r="C443" s="263" t="str">
        <f>'Dry_Litterbag Placem_Collection'!B4</f>
        <v>Makao</v>
      </c>
      <c r="D443" s="263" t="s">
        <v>2659</v>
      </c>
      <c r="E443" s="263" t="s">
        <v>2660</v>
      </c>
      <c r="F443" s="263">
        <v>1</v>
      </c>
      <c r="G443" s="264" t="str">
        <f>'Dry_Litterbag Placem_Collection'!C4</f>
        <v>Dry_Ag1_T2</v>
      </c>
      <c r="H443" s="273" t="s">
        <v>3651</v>
      </c>
      <c r="I443" s="266" t="s">
        <v>1147</v>
      </c>
      <c r="J443" s="263" t="str">
        <f>IF(ISBLANK('Dry_Litterbag Placem_Collection'!L4),"","G"&amp;""&amp;'Dry_Litterbag Placem_Collection'!L4)</f>
        <v/>
      </c>
      <c r="K443" s="267" t="str">
        <f>IFERROR(INDEX('Green_rooibos initial weight'!$C$5:$C$1749,MATCH(J443, 'Green_rooibos initial weight'!$A$5:$A$1749,0)),"")</f>
        <v/>
      </c>
      <c r="L443" s="267" t="str">
        <f>IFERROR(K443-(TBIcalc!$Q$9+TBIcalc!$Q$10),"")</f>
        <v/>
      </c>
      <c r="M443" s="391">
        <f>AVERAGE(Ashed_controlls!$K$2:$K$11)</f>
        <v>5.5147656768714146</v>
      </c>
      <c r="N443" s="267" t="str">
        <f t="shared" si="31"/>
        <v/>
      </c>
      <c r="O443" s="267" t="str">
        <f>IF(IFERROR(INDEX('Both teabags AfterDry'!$D$3:$D$900,MATCH(J443,'Both teabags AfterDry'!$A$3:$A$900,0)),"")="","",(IFERROR(INDEX('Both teabags AfterDry'!$D$3:$D$900,MATCH(J443,'Both teabags AfterDry'!$A$3:$A$900,0)),"")))</f>
        <v/>
      </c>
      <c r="P443" s="267" t="str">
        <f>IFERROR(IF(O443&gt;0,O443-(TBIcalc!$Q$9),""),"")</f>
        <v/>
      </c>
      <c r="Q443" s="278" t="str">
        <f>IFERROR(INDEX('Ashed teabags dry'!$K$2:$K$825,MATCH(J443,'Ashed teabags dry'!$A$2:$A$825,0)),"")</f>
        <v/>
      </c>
      <c r="R443" s="278" t="str">
        <f t="shared" si="32"/>
        <v/>
      </c>
      <c r="S443" s="268">
        <f>'Dry_Litterbag Placem_Collection'!E4</f>
        <v>0</v>
      </c>
      <c r="T443" s="268" t="str">
        <f>IF('Dry_Litterbag Placem_Collection'!G4="","",'Dry_Litterbag Placem_Collection'!G4)</f>
        <v/>
      </c>
      <c r="U443" s="269" t="str">
        <f t="shared" si="30"/>
        <v/>
      </c>
      <c r="V443" s="267" t="str">
        <f t="shared" si="33"/>
        <v/>
      </c>
      <c r="W443" s="267" t="str">
        <f t="shared" si="34"/>
        <v/>
      </c>
      <c r="X443" s="271" t="str">
        <f>IFERROR(INDEX(Rainfall_Dry!$O$2:$O$217,MATCH(B443, Rainfall_Dry!$A$2:$A$217,0)),"")</f>
        <v/>
      </c>
      <c r="Y443" s="260">
        <v>12.565665055683967</v>
      </c>
      <c r="Z443" s="260">
        <v>0.9665896196679955</v>
      </c>
      <c r="AA443" s="260">
        <v>86.467745324648035</v>
      </c>
      <c r="AB443" s="261" t="s">
        <v>2672</v>
      </c>
      <c r="AC443" s="260">
        <v>2.02257269590931</v>
      </c>
      <c r="AD443">
        <f>IF('WetLitterbags placem_collection'!AB4="","",'WetLitterbags placem_collection'!AB4)</f>
        <v>22.4</v>
      </c>
      <c r="AE443">
        <f>IF('WetLitterbags placem_collection'!Z4="","",'WetLitterbags placem_collection'!Z4)</f>
        <v>39.799999999999997</v>
      </c>
      <c r="AF443" s="246" t="str">
        <f>IF('WetLitterbags placem_collection'!AA4="","",'WetLitterbags placem_collection'!AA4)</f>
        <v>M</v>
      </c>
      <c r="AG443">
        <f>IF('WetLitterbags placem_collection'!AC4="","",'WetLitterbags placem_collection'!AC4)</f>
        <v>1</v>
      </c>
      <c r="AH443" t="str">
        <f>IFERROR(AVERAGE('Dry_Litterbag Placem_Collection'!O4,'Dry_Litterbag Placem_Collection'!R4),"")</f>
        <v/>
      </c>
      <c r="AI443" s="271" t="str">
        <f>IFERROR(AVERAGE('Dry_Litterbag Placem_Collection'!N4,'Dry_Litterbag Placem_Collection'!Q4),"")</f>
        <v/>
      </c>
      <c r="AJ443" s="270">
        <f>INDEX(Coordinates!$B$2:$B$197,MATCH(G443,Coordinates!$J$2:$J$197,0))</f>
        <v>-3.397879042</v>
      </c>
      <c r="AK443" s="270">
        <f>INDEX(Coordinates!$C$2:$C$197,MATCH(G443,Coordinates!$J$2:$J$197,0))</f>
        <v>34.837536010000001</v>
      </c>
      <c r="AL443" s="270" t="str">
        <f>IF(ISNUMBER(SEARCH("C", 'Dry_Litterbag Placem_Collection'!U4)),"YES","NO")</f>
        <v>NO</v>
      </c>
      <c r="AM443" s="270" t="str">
        <f>IF(ISNUMBER(SEARCH("H", 'Dry_Litterbag Placem_Collection'!U4)),"YES","NO")</f>
        <v>NO</v>
      </c>
      <c r="AN443" s="270" t="str">
        <f>IF(ISNUMBER(SEARCH("R", 'Dry_Litterbag Placem_Collection'!U4)),"YES","NO")</f>
        <v>NO</v>
      </c>
    </row>
    <row r="444" spans="1:40" ht="15" customHeight="1">
      <c r="A444" s="262" t="s">
        <v>2659</v>
      </c>
      <c r="B444" s="263">
        <f>'Dry_Litterbag Placem_Collection'!A5</f>
        <v>3</v>
      </c>
      <c r="C444" s="263" t="str">
        <f>'Dry_Litterbag Placem_Collection'!B5</f>
        <v>Makao</v>
      </c>
      <c r="D444" s="263" t="s">
        <v>2659</v>
      </c>
      <c r="E444" s="263" t="s">
        <v>2660</v>
      </c>
      <c r="F444" s="263">
        <v>1</v>
      </c>
      <c r="G444" s="264" t="str">
        <f>'Dry_Litterbag Placem_Collection'!C5</f>
        <v>Dry_Ag1_T3</v>
      </c>
      <c r="H444" s="273" t="s">
        <v>3651</v>
      </c>
      <c r="I444" s="266" t="s">
        <v>1147</v>
      </c>
      <c r="J444" s="263" t="str">
        <f>IF(ISBLANK('Dry_Litterbag Placem_Collection'!L5),"","G"&amp;""&amp;'Dry_Litterbag Placem_Collection'!L5)</f>
        <v>G44</v>
      </c>
      <c r="K444" s="267">
        <f>IFERROR(INDEX('Green_rooibos initial weight'!$C$5:$C$1749,MATCH(J444, 'Green_rooibos initial weight'!$A$5:$A$1749,0)),"")</f>
        <v>2.0680000000000001</v>
      </c>
      <c r="L444" s="267">
        <f>IFERROR(K444-(TBIcalc!$Q$9+TBIcalc!$Q$10),"")</f>
        <v>1.8182</v>
      </c>
      <c r="M444" s="391">
        <f>AVERAGE(Ashed_controlls!$K$2:$K$11)</f>
        <v>5.5147656768714146</v>
      </c>
      <c r="N444" s="267">
        <f t="shared" si="31"/>
        <v>1.7179305304631241</v>
      </c>
      <c r="O444" s="267">
        <f>IF(IFERROR(INDEX('Both teabags AfterDry'!$D$3:$D$900,MATCH(J444,'Both teabags AfterDry'!$A$3:$A$900,0)),"")="","",(IFERROR(INDEX('Both teabags AfterDry'!$D$3:$D$900,MATCH(J444,'Both teabags AfterDry'!$A$3:$A$900,0)),"")))</f>
        <v>1.5553999999999999</v>
      </c>
      <c r="P444" s="267">
        <f>IFERROR(IF(O444&gt;0,O444-(TBIcalc!$Q$9),""),"")</f>
        <v>1.4047999999999998</v>
      </c>
      <c r="Q444" s="278">
        <f>IFERROR(INDEX('Ashed teabags dry'!$K$2:$K$825,MATCH(J444,'Ashed teabags dry'!$A$2:$A$825,0)),"")</f>
        <v>10.622710622710303</v>
      </c>
      <c r="R444" s="278">
        <f t="shared" si="32"/>
        <v>1.2555721611721655</v>
      </c>
      <c r="S444" s="268">
        <f>'Dry_Litterbag Placem_Collection'!E5</f>
        <v>42938</v>
      </c>
      <c r="T444" s="268">
        <f>IF('Dry_Litterbag Placem_Collection'!G5="","",'Dry_Litterbag Placem_Collection'!G5)</f>
        <v>43007</v>
      </c>
      <c r="U444" s="269">
        <f t="shared" si="30"/>
        <v>69</v>
      </c>
      <c r="V444" s="267">
        <f t="shared" si="33"/>
        <v>0.41340000000000021</v>
      </c>
      <c r="W444" s="267">
        <f t="shared" si="34"/>
        <v>0.46235836929095853</v>
      </c>
      <c r="X444" s="271">
        <f>IFERROR(INDEX(Rainfall_Dry!$O$2:$O$217,MATCH(B444, Rainfall_Dry!$A$2:$A$217,0)),"")</f>
        <v>6.900000125</v>
      </c>
      <c r="Y444" s="260">
        <v>12.565665055683967</v>
      </c>
      <c r="Z444" s="260">
        <v>0.9665896196679955</v>
      </c>
      <c r="AA444" s="260">
        <v>86.467745324648035</v>
      </c>
      <c r="AB444" s="261" t="s">
        <v>2672</v>
      </c>
      <c r="AC444" s="260">
        <v>3.02257269590931</v>
      </c>
      <c r="AD444" t="str">
        <f>IF('WetLitterbags placem_collection'!AB5="","",'WetLitterbags placem_collection'!AB5)</f>
        <v/>
      </c>
      <c r="AE444" t="str">
        <f>IF('WetLitterbags placem_collection'!Z5="","",'WetLitterbags placem_collection'!Z5)</f>
        <v/>
      </c>
      <c r="AF444" s="246" t="str">
        <f>IF('WetLitterbags placem_collection'!AA5="","",'WetLitterbags placem_collection'!AA5)</f>
        <v/>
      </c>
      <c r="AG444" t="str">
        <f>IF('WetLitterbags placem_collection'!AC5="","",'WetLitterbags placem_collection'!AC5)</f>
        <v/>
      </c>
      <c r="AH444">
        <f>IFERROR(AVERAGE('Dry_Litterbag Placem_Collection'!O5,'Dry_Litterbag Placem_Collection'!R5),"")</f>
        <v>3.3</v>
      </c>
      <c r="AI444" s="271">
        <f>IFERROR(AVERAGE('Dry_Litterbag Placem_Collection'!N5,'Dry_Litterbag Placem_Collection'!Q5),"")</f>
        <v>25</v>
      </c>
      <c r="AJ444" s="270">
        <f>INDEX(Coordinates!$B$2:$B$197,MATCH(G444,Coordinates!$J$2:$J$197,0))</f>
        <v>-3.3978739999999998</v>
      </c>
      <c r="AK444" s="270">
        <f>INDEX(Coordinates!$C$2:$C$197,MATCH(G444,Coordinates!$J$2:$J$197,0))</f>
        <v>34.837578999999998</v>
      </c>
      <c r="AL444" s="270" t="str">
        <f>IF(ISNUMBER(SEARCH("C", 'Dry_Litterbag Placem_Collection'!U5)),"YES","NO")</f>
        <v>NO</v>
      </c>
      <c r="AM444" s="270" t="str">
        <f>IF(ISNUMBER(SEARCH("H", 'Dry_Litterbag Placem_Collection'!U5)),"YES","NO")</f>
        <v>NO</v>
      </c>
      <c r="AN444" s="270" t="str">
        <f>IF(ISNUMBER(SEARCH("R", 'Dry_Litterbag Placem_Collection'!U5)),"YES","NO")</f>
        <v>YES</v>
      </c>
    </row>
    <row r="445" spans="1:40" ht="15" customHeight="1">
      <c r="A445" s="262" t="s">
        <v>2659</v>
      </c>
      <c r="B445" s="263">
        <f>'Dry_Litterbag Placem_Collection'!A6</f>
        <v>4</v>
      </c>
      <c r="C445" s="263" t="str">
        <f>'Dry_Litterbag Placem_Collection'!B6</f>
        <v>Makao</v>
      </c>
      <c r="D445" s="263" t="s">
        <v>2659</v>
      </c>
      <c r="E445" s="263" t="s">
        <v>2660</v>
      </c>
      <c r="F445" s="263">
        <v>1</v>
      </c>
      <c r="G445" s="264" t="str">
        <f>'Dry_Litterbag Placem_Collection'!C6</f>
        <v>Dry_Ag1_T4</v>
      </c>
      <c r="H445" s="273" t="s">
        <v>3651</v>
      </c>
      <c r="I445" s="266" t="s">
        <v>1147</v>
      </c>
      <c r="J445" s="263" t="str">
        <f>IF(ISBLANK('Dry_Litterbag Placem_Collection'!L6),"","G"&amp;""&amp;'Dry_Litterbag Placem_Collection'!L6)</f>
        <v>G357</v>
      </c>
      <c r="K445" s="267">
        <f>IFERROR(INDEX('Green_rooibos initial weight'!$C$5:$C$1749,MATCH(J445, 'Green_rooibos initial weight'!$A$5:$A$1749,0)),"")</f>
        <v>1.996</v>
      </c>
      <c r="L445" s="267">
        <f>IFERROR(K445-(TBIcalc!$Q$9+TBIcalc!$Q$10),"")</f>
        <v>1.7462</v>
      </c>
      <c r="M445" s="391">
        <f>AVERAGE(Ashed_controlls!$K$2:$K$11)</f>
        <v>5.5147656768714146</v>
      </c>
      <c r="N445" s="267">
        <f t="shared" si="31"/>
        <v>1.6499011617504713</v>
      </c>
      <c r="O445" s="267">
        <f>IF(IFERROR(INDEX('Both teabags AfterDry'!$D$3:$D$900,MATCH(J445,'Both teabags AfterDry'!$A$3:$A$900,0)),"")="","",(IFERROR(INDEX('Both teabags AfterDry'!$D$3:$D$900,MATCH(J445,'Both teabags AfterDry'!$A$3:$A$900,0)),"")))</f>
        <v>1.6417999999999999</v>
      </c>
      <c r="P445" s="267">
        <f>IFERROR(IF(O445&gt;0,O445-(TBIcalc!$Q$9),""),"")</f>
        <v>1.4911999999999999</v>
      </c>
      <c r="Q445" s="278">
        <f>IFERROR(INDEX('Ashed teabags dry'!$K$2:$K$825,MATCH(J445,'Ashed teabags dry'!$A$2:$A$825,0)),"")</f>
        <v>6.3956144358153066</v>
      </c>
      <c r="R445" s="278">
        <f t="shared" si="32"/>
        <v>1.3958285975331219</v>
      </c>
      <c r="S445" s="268">
        <f>'Dry_Litterbag Placem_Collection'!E6</f>
        <v>42938</v>
      </c>
      <c r="T445" s="268">
        <f>IF('Dry_Litterbag Placem_Collection'!G6="","",'Dry_Litterbag Placem_Collection'!G6)</f>
        <v>43007</v>
      </c>
      <c r="U445" s="269">
        <f t="shared" si="30"/>
        <v>69</v>
      </c>
      <c r="V445" s="267">
        <f t="shared" si="33"/>
        <v>0.25500000000000012</v>
      </c>
      <c r="W445" s="267">
        <f t="shared" si="34"/>
        <v>0.25407256421734936</v>
      </c>
      <c r="X445" s="271">
        <f>IFERROR(INDEX(Rainfall_Dry!$O$2:$O$217,MATCH(B445, Rainfall_Dry!$A$2:$A$217,0)),"")</f>
        <v>6.900000125</v>
      </c>
      <c r="Y445" s="260">
        <v>12.565665055683967</v>
      </c>
      <c r="Z445" s="260">
        <v>0.9665896196679955</v>
      </c>
      <c r="AA445" s="260">
        <v>86.467745324648035</v>
      </c>
      <c r="AB445" s="261" t="s">
        <v>2672</v>
      </c>
      <c r="AC445" s="260">
        <v>4.02257269590931</v>
      </c>
      <c r="AD445" t="str">
        <f>IF('WetLitterbags placem_collection'!AB6="","",'WetLitterbags placem_collection'!AB6)</f>
        <v/>
      </c>
      <c r="AE445" t="str">
        <f>IF('WetLitterbags placem_collection'!Z6="","",'WetLitterbags placem_collection'!Z6)</f>
        <v/>
      </c>
      <c r="AF445" s="246" t="str">
        <f>IF('WetLitterbags placem_collection'!AA6="","",'WetLitterbags placem_collection'!AA6)</f>
        <v/>
      </c>
      <c r="AG445" t="str">
        <f>IF('WetLitterbags placem_collection'!AC6="","",'WetLitterbags placem_collection'!AC6)</f>
        <v/>
      </c>
      <c r="AH445">
        <f>IFERROR(AVERAGE('Dry_Litterbag Placem_Collection'!O6,'Dry_Litterbag Placem_Collection'!R6),"")</f>
        <v>2.25</v>
      </c>
      <c r="AI445" s="271">
        <f>IFERROR(AVERAGE('Dry_Litterbag Placem_Collection'!N6,'Dry_Litterbag Placem_Collection'!Q6),"")</f>
        <v>27.35</v>
      </c>
      <c r="AJ445" s="270">
        <f>INDEX(Coordinates!$B$2:$B$197,MATCH(G445,Coordinates!$J$2:$J$197,0))</f>
        <v>-3.3977780399999999</v>
      </c>
      <c r="AK445" s="270">
        <f>INDEX(Coordinates!$C$2:$C$197,MATCH(G445,Coordinates!$J$2:$J$197,0))</f>
        <v>34.83751204</v>
      </c>
      <c r="AL445" s="270" t="str">
        <f>IF(ISNUMBER(SEARCH("C", 'Dry_Litterbag Placem_Collection'!U6)),"YES","NO")</f>
        <v>NO</v>
      </c>
      <c r="AM445" s="270" t="str">
        <f>IF(ISNUMBER(SEARCH("H", 'Dry_Litterbag Placem_Collection'!U6)),"YES","NO")</f>
        <v>NO</v>
      </c>
      <c r="AN445" s="270" t="str">
        <f>IF(ISNUMBER(SEARCH("R", 'Dry_Litterbag Placem_Collection'!U6)),"YES","NO")</f>
        <v>NO</v>
      </c>
    </row>
    <row r="446" spans="1:40" ht="15" customHeight="1">
      <c r="A446" s="262" t="s">
        <v>2659</v>
      </c>
      <c r="B446" s="263">
        <f>'Dry_Litterbag Placem_Collection'!A7</f>
        <v>5</v>
      </c>
      <c r="C446" s="263" t="str">
        <f>'Dry_Litterbag Placem_Collection'!B7</f>
        <v>Makao</v>
      </c>
      <c r="D446" s="263" t="s">
        <v>2659</v>
      </c>
      <c r="E446" s="263" t="s">
        <v>2660</v>
      </c>
      <c r="F446" s="263">
        <v>1</v>
      </c>
      <c r="G446" s="264" t="str">
        <f>'Dry_Litterbag Placem_Collection'!C7</f>
        <v>Dry_Ag1_T5</v>
      </c>
      <c r="H446" s="273" t="s">
        <v>3651</v>
      </c>
      <c r="I446" s="266" t="s">
        <v>1147</v>
      </c>
      <c r="J446" s="263" t="str">
        <f>IF(ISBLANK('Dry_Litterbag Placem_Collection'!L7),"","G"&amp;""&amp;'Dry_Litterbag Placem_Collection'!L7)</f>
        <v>G734</v>
      </c>
      <c r="K446" s="267">
        <f>IFERROR(INDEX('Green_rooibos initial weight'!$C$5:$C$1749,MATCH(J446, 'Green_rooibos initial weight'!$A$5:$A$1749,0)),"")</f>
        <v>1.9870000000000001</v>
      </c>
      <c r="L446" s="267">
        <f>IFERROR(K446-(TBIcalc!$Q$9+TBIcalc!$Q$10),"")</f>
        <v>1.7372000000000001</v>
      </c>
      <c r="M446" s="391">
        <f>AVERAGE(Ashed_controlls!$K$2:$K$11)</f>
        <v>5.5147656768714146</v>
      </c>
      <c r="N446" s="267">
        <f t="shared" si="31"/>
        <v>1.64139749066139</v>
      </c>
      <c r="O446" s="267" t="str">
        <f>IF(IFERROR(INDEX('Both teabags AfterDry'!$D$3:$D$900,MATCH(J446,'Both teabags AfterDry'!$A$3:$A$900,0)),"")="","",(IFERROR(INDEX('Both teabags AfterDry'!$D$3:$D$900,MATCH(J446,'Both teabags AfterDry'!$A$3:$A$900,0)),"")))</f>
        <v/>
      </c>
      <c r="P446" s="267" t="str">
        <f>IFERROR(IF(O446&gt;0,O446-(TBIcalc!$Q$9),""),"")</f>
        <v/>
      </c>
      <c r="Q446" s="278" t="str">
        <f>IFERROR(INDEX('Ashed teabags dry'!$K$2:$K$825,MATCH(J446,'Ashed teabags dry'!$A$2:$A$825,0)),"")</f>
        <v/>
      </c>
      <c r="R446" s="278" t="str">
        <f t="shared" si="32"/>
        <v/>
      </c>
      <c r="S446" s="268">
        <f>'Dry_Litterbag Placem_Collection'!E7</f>
        <v>42938</v>
      </c>
      <c r="T446" s="268" t="str">
        <f>IF('Dry_Litterbag Placem_Collection'!G7="","",'Dry_Litterbag Placem_Collection'!G7)</f>
        <v/>
      </c>
      <c r="U446" s="269" t="str">
        <f t="shared" si="30"/>
        <v/>
      </c>
      <c r="V446" s="267" t="str">
        <f t="shared" si="33"/>
        <v/>
      </c>
      <c r="W446" s="267" t="str">
        <f t="shared" si="34"/>
        <v/>
      </c>
      <c r="X446" s="271" t="str">
        <f>IFERROR(INDEX(Rainfall_Dry!$O$2:$O$217,MATCH(B446, Rainfall_Dry!$A$2:$A$217,0)),"")</f>
        <v/>
      </c>
      <c r="Y446" s="260">
        <v>12.565665055683967</v>
      </c>
      <c r="Z446" s="260">
        <v>0.9665896196679955</v>
      </c>
      <c r="AA446" s="260">
        <v>86.467745324648035</v>
      </c>
      <c r="AB446" s="261" t="s">
        <v>2672</v>
      </c>
      <c r="AC446" s="260">
        <v>5.02257269590931</v>
      </c>
      <c r="AD446">
        <f>IF('WetLitterbags placem_collection'!AB7="","",'WetLitterbags placem_collection'!AB7)</f>
        <v>28.4</v>
      </c>
      <c r="AE446">
        <f>IF('WetLitterbags placem_collection'!Z7="","",'WetLitterbags placem_collection'!Z7)</f>
        <v>36.4</v>
      </c>
      <c r="AF446" s="246" t="str">
        <f>IF('WetLitterbags placem_collection'!AA7="","",'WetLitterbags placem_collection'!AA7)</f>
        <v>M</v>
      </c>
      <c r="AG446">
        <f>IF('WetLitterbags placem_collection'!AC7="","",'WetLitterbags placem_collection'!AC7)</f>
        <v>1</v>
      </c>
      <c r="AH446">
        <f>IFERROR(AVERAGE('Dry_Litterbag Placem_Collection'!O7,'Dry_Litterbag Placem_Collection'!R7),"")</f>
        <v>3.2</v>
      </c>
      <c r="AI446" s="271">
        <f>IFERROR(AVERAGE('Dry_Litterbag Placem_Collection'!N7,'Dry_Litterbag Placem_Collection'!Q7),"")</f>
        <v>26.7</v>
      </c>
      <c r="AJ446" s="270">
        <f>INDEX(Coordinates!$B$2:$B$197,MATCH(G446,Coordinates!$J$2:$J$197,0))</f>
        <v>-3.3978020120000001</v>
      </c>
      <c r="AK446" s="270">
        <f>INDEX(Coordinates!$C$2:$C$197,MATCH(G446,Coordinates!$J$2:$J$197,0))</f>
        <v>34.83751204</v>
      </c>
      <c r="AL446" s="270" t="str">
        <f>IF(ISNUMBER(SEARCH("C", 'Dry_Litterbag Placem_Collection'!U7)),"YES","NO")</f>
        <v>NO</v>
      </c>
      <c r="AM446" s="270" t="str">
        <f>IF(ISNUMBER(SEARCH("H", 'Dry_Litterbag Placem_Collection'!U7)),"YES","NO")</f>
        <v>NO</v>
      </c>
      <c r="AN446" s="270" t="str">
        <f>IF(ISNUMBER(SEARCH("R", 'Dry_Litterbag Placem_Collection'!U7)),"YES","NO")</f>
        <v>NO</v>
      </c>
    </row>
    <row r="447" spans="1:40" ht="15" customHeight="1">
      <c r="A447" s="262" t="s">
        <v>2659</v>
      </c>
      <c r="B447" s="263">
        <f>'Dry_Litterbag Placem_Collection'!A8</f>
        <v>6</v>
      </c>
      <c r="C447" s="263" t="str">
        <f>'Dry_Litterbag Placem_Collection'!B8</f>
        <v>Makao</v>
      </c>
      <c r="D447" s="263" t="s">
        <v>2659</v>
      </c>
      <c r="E447" s="263" t="s">
        <v>2660</v>
      </c>
      <c r="F447" s="263">
        <v>1</v>
      </c>
      <c r="G447" s="264" t="str">
        <f>'Dry_Litterbag Placem_Collection'!C8</f>
        <v>Dry_Ag1_T6</v>
      </c>
      <c r="H447" s="273" t="s">
        <v>3651</v>
      </c>
      <c r="I447" s="266" t="s">
        <v>1147</v>
      </c>
      <c r="J447" s="263" t="str">
        <f>IF(ISBLANK('Dry_Litterbag Placem_Collection'!L8),"","G"&amp;""&amp;'Dry_Litterbag Placem_Collection'!L8)</f>
        <v>G164</v>
      </c>
      <c r="K447" s="267">
        <f>IFERROR(INDEX('Green_rooibos initial weight'!$C$5:$C$1749,MATCH(J447, 'Green_rooibos initial weight'!$A$5:$A$1749,0)),"")</f>
        <v>1.994</v>
      </c>
      <c r="L447" s="267">
        <f>IFERROR(K447-(TBIcalc!$Q$9+TBIcalc!$Q$10),"")</f>
        <v>1.7442</v>
      </c>
      <c r="M447" s="391">
        <f>AVERAGE(Ashed_controlls!$K$2:$K$11)</f>
        <v>5.5147656768714146</v>
      </c>
      <c r="N447" s="267">
        <f t="shared" si="31"/>
        <v>1.6480114570640088</v>
      </c>
      <c r="O447" s="267" t="str">
        <f>IF(IFERROR(INDEX('Both teabags AfterDry'!$D$3:$D$900,MATCH(J447,'Both teabags AfterDry'!$A$3:$A$900,0)),"")="","",(IFERROR(INDEX('Both teabags AfterDry'!$D$3:$D$900,MATCH(J447,'Both teabags AfterDry'!$A$3:$A$900,0)),"")))</f>
        <v/>
      </c>
      <c r="P447" s="267" t="str">
        <f>IFERROR(IF(O447&gt;0,O447-(TBIcalc!$Q$9),""),"")</f>
        <v/>
      </c>
      <c r="Q447" s="278" t="str">
        <f>IFERROR(INDEX('Ashed teabags dry'!$K$2:$K$825,MATCH(J447,'Ashed teabags dry'!$A$2:$A$825,0)),"")</f>
        <v/>
      </c>
      <c r="R447" s="278" t="str">
        <f t="shared" si="32"/>
        <v/>
      </c>
      <c r="S447" s="268">
        <f>'Dry_Litterbag Placem_Collection'!E8</f>
        <v>42938</v>
      </c>
      <c r="T447" s="268">
        <f>IF('Dry_Litterbag Placem_Collection'!G8="","",'Dry_Litterbag Placem_Collection'!G8)</f>
        <v>43007</v>
      </c>
      <c r="U447" s="269">
        <f t="shared" si="30"/>
        <v>69</v>
      </c>
      <c r="V447" s="267" t="str">
        <f t="shared" si="33"/>
        <v/>
      </c>
      <c r="W447" s="267" t="str">
        <f t="shared" si="34"/>
        <v/>
      </c>
      <c r="X447" s="271">
        <f>IFERROR(INDEX(Rainfall_Dry!$O$2:$O$217,MATCH(B447, Rainfall_Dry!$A$2:$A$217,0)),"")</f>
        <v>6.900000125</v>
      </c>
      <c r="Y447" s="260">
        <v>12.565665055683967</v>
      </c>
      <c r="Z447" s="260">
        <v>0.9665896196679955</v>
      </c>
      <c r="AA447" s="260">
        <v>86.467745324648035</v>
      </c>
      <c r="AB447" s="261" t="s">
        <v>2672</v>
      </c>
      <c r="AC447" s="260">
        <v>6.02257269590931</v>
      </c>
      <c r="AD447">
        <f>IF('WetLitterbags placem_collection'!AB8="","",'WetLitterbags placem_collection'!AB8)</f>
        <v>32.4</v>
      </c>
      <c r="AE447">
        <f>IF('WetLitterbags placem_collection'!Z8="","",'WetLitterbags placem_collection'!Z8)</f>
        <v>31</v>
      </c>
      <c r="AF447" s="246" t="str">
        <f>IF('WetLitterbags placem_collection'!AA8="","",'WetLitterbags placem_collection'!AA8)</f>
        <v>M</v>
      </c>
      <c r="AG447">
        <f>IF('WetLitterbags placem_collection'!AC8="","",'WetLitterbags placem_collection'!AC8)</f>
        <v>1</v>
      </c>
      <c r="AH447">
        <f>IFERROR(AVERAGE('Dry_Litterbag Placem_Collection'!O8,'Dry_Litterbag Placem_Collection'!R8),"")</f>
        <v>5.35</v>
      </c>
      <c r="AI447" s="271">
        <f>IFERROR(AVERAGE('Dry_Litterbag Placem_Collection'!N8,'Dry_Litterbag Placem_Collection'!Q8),"")</f>
        <v>26.6</v>
      </c>
      <c r="AJ447" s="270">
        <f>INDEX(Coordinates!$B$2:$B$197,MATCH(G447,Coordinates!$J$2:$J$197,0))</f>
        <v>-3.3977389800000002</v>
      </c>
      <c r="AK447" s="270">
        <f>INDEX(Coordinates!$C$2:$C$197,MATCH(G447,Coordinates!$J$2:$J$197,0))</f>
        <v>34.837501979999999</v>
      </c>
      <c r="AL447" s="270" t="str">
        <f>IF(ISNUMBER(SEARCH("C", 'Dry_Litterbag Placem_Collection'!U8)),"YES","NO")</f>
        <v>NO</v>
      </c>
      <c r="AM447" s="270" t="str">
        <f>IF(ISNUMBER(SEARCH("H", 'Dry_Litterbag Placem_Collection'!U8)),"YES","NO")</f>
        <v>NO</v>
      </c>
      <c r="AN447" s="270" t="str">
        <f>IF(ISNUMBER(SEARCH("R", 'Dry_Litterbag Placem_Collection'!U8)),"YES","NO")</f>
        <v>NO</v>
      </c>
    </row>
    <row r="448" spans="1:40" ht="15" customHeight="1">
      <c r="A448" s="262" t="s">
        <v>2659</v>
      </c>
      <c r="B448" s="263">
        <f>'Dry_Litterbag Placem_Collection'!A9</f>
        <v>7</v>
      </c>
      <c r="C448" s="263" t="str">
        <f>'Dry_Litterbag Placem_Collection'!B9</f>
        <v>Makao</v>
      </c>
      <c r="D448" s="263" t="s">
        <v>2659</v>
      </c>
      <c r="E448" s="263" t="s">
        <v>2660</v>
      </c>
      <c r="F448" s="263">
        <v>1</v>
      </c>
      <c r="G448" s="264" t="str">
        <f>'Dry_Litterbag Placem_Collection'!C9</f>
        <v>Dry_Ag1_T7</v>
      </c>
      <c r="H448" s="273" t="s">
        <v>3651</v>
      </c>
      <c r="I448" s="266" t="s">
        <v>1147</v>
      </c>
      <c r="J448" s="263" t="str">
        <f>IF(ISBLANK('Dry_Litterbag Placem_Collection'!L9),"","G"&amp;""&amp;'Dry_Litterbag Placem_Collection'!L9)</f>
        <v>G776</v>
      </c>
      <c r="K448" s="267">
        <f>IFERROR(INDEX('Green_rooibos initial weight'!$C$5:$C$1749,MATCH(J448, 'Green_rooibos initial weight'!$A$5:$A$1749,0)),"")</f>
        <v>1.9790000000000001</v>
      </c>
      <c r="L448" s="267">
        <f>IFERROR(K448-(TBIcalc!$Q$9+TBIcalc!$Q$10),"")</f>
        <v>1.7292000000000001</v>
      </c>
      <c r="M448" s="391">
        <f>AVERAGE(Ashed_controlls!$K$2:$K$11)</f>
        <v>5.5147656768714146</v>
      </c>
      <c r="N448" s="267">
        <f t="shared" si="31"/>
        <v>1.6338386719155396</v>
      </c>
      <c r="O448" s="267">
        <f>IF(IFERROR(INDEX('Both teabags AfterDry'!$D$3:$D$900,MATCH(J448,'Both teabags AfterDry'!$A$3:$A$900,0)),"")="","",(IFERROR(INDEX('Both teabags AfterDry'!$D$3:$D$900,MATCH(J448,'Both teabags AfterDry'!$A$3:$A$900,0)),"")))</f>
        <v>1.8093999999999999</v>
      </c>
      <c r="P448" s="267">
        <f>IFERROR(IF(O448&gt;0,O448-(TBIcalc!$Q$9),""),"")</f>
        <v>1.6587999999999998</v>
      </c>
      <c r="Q448" s="278">
        <f>IFERROR(INDEX('Ashed teabags dry'!$K$2:$K$825,MATCH(J448,'Ashed teabags dry'!$A$2:$A$825,0)),"")</f>
        <v>5.924510272335799</v>
      </c>
      <c r="R448" s="278">
        <f t="shared" si="32"/>
        <v>1.5605242236024937</v>
      </c>
      <c r="S448" s="268">
        <f>'Dry_Litterbag Placem_Collection'!E9</f>
        <v>42938</v>
      </c>
      <c r="T448" s="268">
        <f>IF('Dry_Litterbag Placem_Collection'!G9="","",'Dry_Litterbag Placem_Collection'!G9)</f>
        <v>43007</v>
      </c>
      <c r="U448" s="269">
        <f t="shared" si="30"/>
        <v>69</v>
      </c>
      <c r="V448" s="267">
        <f t="shared" si="33"/>
        <v>7.040000000000024E-2</v>
      </c>
      <c r="W448" s="267">
        <f t="shared" si="34"/>
        <v>7.3314448313045899E-2</v>
      </c>
      <c r="X448" s="271">
        <f>IFERROR(INDEX(Rainfall_Dry!$O$2:$O$217,MATCH(B448, Rainfall_Dry!$A$2:$A$217,0)),"")</f>
        <v>6.900000125</v>
      </c>
      <c r="Y448" s="260">
        <v>12.565665055683967</v>
      </c>
      <c r="Z448" s="260">
        <v>0.9665896196679955</v>
      </c>
      <c r="AA448" s="260">
        <v>86.467745324648035</v>
      </c>
      <c r="AB448" s="261" t="s">
        <v>2672</v>
      </c>
      <c r="AC448" s="260">
        <v>7.02257269590931</v>
      </c>
      <c r="AD448">
        <f>IF('WetLitterbags placem_collection'!AB9="","",'WetLitterbags placem_collection'!AB9)</f>
        <v>36</v>
      </c>
      <c r="AE448">
        <f>IF('WetLitterbags placem_collection'!Z9="","",'WetLitterbags placem_collection'!Z9)</f>
        <v>43.4</v>
      </c>
      <c r="AF448" s="246" t="str">
        <f>IF('WetLitterbags placem_collection'!AA9="","",'WetLitterbags placem_collection'!AA9)</f>
        <v>M</v>
      </c>
      <c r="AG448">
        <f>IF('WetLitterbags placem_collection'!AC9="","",'WetLitterbags placem_collection'!AC9)</f>
        <v>1</v>
      </c>
      <c r="AH448">
        <f>IFERROR(AVERAGE('Dry_Litterbag Placem_Collection'!O9,'Dry_Litterbag Placem_Collection'!R9),"")</f>
        <v>2.95</v>
      </c>
      <c r="AI448" s="271">
        <f>IFERROR(AVERAGE('Dry_Litterbag Placem_Collection'!N9,'Dry_Litterbag Placem_Collection'!Q9),"")</f>
        <v>24.75</v>
      </c>
      <c r="AJ448" s="270">
        <f>INDEX(Coordinates!$B$2:$B$197,MATCH(G448,Coordinates!$J$2:$J$197,0))</f>
        <v>-3.3977630360000002</v>
      </c>
      <c r="AK448" s="270">
        <f>INDEX(Coordinates!$C$2:$C$197,MATCH(G448,Coordinates!$J$2:$J$197,0))</f>
        <v>34.837600969999997</v>
      </c>
      <c r="AL448" s="270" t="str">
        <f>IF(ISNUMBER(SEARCH("C", 'Dry_Litterbag Placem_Collection'!U9)),"YES","NO")</f>
        <v>NO</v>
      </c>
      <c r="AM448" s="270" t="str">
        <f>IF(ISNUMBER(SEARCH("H", 'Dry_Litterbag Placem_Collection'!U9)),"YES","NO")</f>
        <v>NO</v>
      </c>
      <c r="AN448" s="270" t="str">
        <f>IF(ISNUMBER(SEARCH("R", 'Dry_Litterbag Placem_Collection'!U9)),"YES","NO")</f>
        <v>NO</v>
      </c>
    </row>
    <row r="449" spans="1:40" ht="15" customHeight="1">
      <c r="A449" s="262" t="s">
        <v>2659</v>
      </c>
      <c r="B449" s="263">
        <f>'Dry_Litterbag Placem_Collection'!A10</f>
        <v>8</v>
      </c>
      <c r="C449" s="263" t="str">
        <f>'Dry_Litterbag Placem_Collection'!B10</f>
        <v>Makao</v>
      </c>
      <c r="D449" s="263" t="s">
        <v>2659</v>
      </c>
      <c r="E449" s="263" t="s">
        <v>2660</v>
      </c>
      <c r="F449" s="263">
        <v>1</v>
      </c>
      <c r="G449" s="264" t="str">
        <f>'Dry_Litterbag Placem_Collection'!C10</f>
        <v>Dry_Ag1_T8</v>
      </c>
      <c r="H449" s="273" t="s">
        <v>3651</v>
      </c>
      <c r="I449" s="266" t="s">
        <v>1147</v>
      </c>
      <c r="J449" s="263" t="str">
        <f>IF(ISBLANK('Dry_Litterbag Placem_Collection'!L10),"","G"&amp;""&amp;'Dry_Litterbag Placem_Collection'!L10)</f>
        <v>G23</v>
      </c>
      <c r="K449" s="267">
        <f>IFERROR(INDEX('Green_rooibos initial weight'!$C$5:$C$1749,MATCH(J449, 'Green_rooibos initial weight'!$A$5:$A$1749,0)),"")</f>
        <v>2.0750000000000002</v>
      </c>
      <c r="L449" s="267">
        <f>IFERROR(K449-(TBIcalc!$Q$9+TBIcalc!$Q$10),"")</f>
        <v>1.8252000000000002</v>
      </c>
      <c r="M449" s="391">
        <f>AVERAGE(Ashed_controlls!$K$2:$K$11)</f>
        <v>5.5147656768714146</v>
      </c>
      <c r="N449" s="267">
        <f t="shared" si="31"/>
        <v>1.7245444968657431</v>
      </c>
      <c r="O449" s="267">
        <f>IF(IFERROR(INDEX('Both teabags AfterDry'!$D$3:$D$900,MATCH(J449,'Both teabags AfterDry'!$A$3:$A$900,0)),"")="","",(IFERROR(INDEX('Both teabags AfterDry'!$D$3:$D$900,MATCH(J449,'Both teabags AfterDry'!$A$3:$A$900,0)),"")))</f>
        <v>0.94159999999999999</v>
      </c>
      <c r="P449" s="267">
        <f>IFERROR(IF(O449&gt;0,O449-(TBIcalc!$Q$9),""),"")</f>
        <v>0.79099999999999993</v>
      </c>
      <c r="Q449" s="278">
        <f>IFERROR(INDEX('Ashed teabags dry'!$K$2:$K$825,MATCH(J449,'Ashed teabags dry'!$A$2:$A$825,0)),"")</f>
        <v>19.020979020979762</v>
      </c>
      <c r="R449" s="278">
        <f t="shared" si="32"/>
        <v>0.64054405594405006</v>
      </c>
      <c r="S449" s="268">
        <f>'Dry_Litterbag Placem_Collection'!E10</f>
        <v>42938</v>
      </c>
      <c r="T449" s="268">
        <f>IF('Dry_Litterbag Placem_Collection'!G10="","",'Dry_Litterbag Placem_Collection'!G10)</f>
        <v>43007</v>
      </c>
      <c r="U449" s="269">
        <f t="shared" si="30"/>
        <v>69</v>
      </c>
      <c r="V449" s="267">
        <f t="shared" si="33"/>
        <v>1.0342000000000002</v>
      </c>
      <c r="W449" s="267">
        <f t="shared" si="34"/>
        <v>1.084000440921693</v>
      </c>
      <c r="X449" s="271">
        <f>IFERROR(INDEX(Rainfall_Dry!$O$2:$O$217,MATCH(B449, Rainfall_Dry!$A$2:$A$217,0)),"")</f>
        <v>6.900000125</v>
      </c>
      <c r="Y449" s="260">
        <v>12.565665055683967</v>
      </c>
      <c r="Z449" s="260">
        <v>0.9665896196679955</v>
      </c>
      <c r="AA449" s="260">
        <v>86.467745324648035</v>
      </c>
      <c r="AB449" s="261" t="s">
        <v>2672</v>
      </c>
      <c r="AC449" s="260">
        <v>8.0225726959093109</v>
      </c>
      <c r="AD449">
        <f>IF('WetLitterbags placem_collection'!AB10="","",'WetLitterbags placem_collection'!AB10)</f>
        <v>36</v>
      </c>
      <c r="AE449">
        <f>IF('WetLitterbags placem_collection'!Z10="","",'WetLitterbags placem_collection'!Z10)</f>
        <v>38.4</v>
      </c>
      <c r="AF449" s="246" t="str">
        <f>IF('WetLitterbags placem_collection'!AA10="","",'WetLitterbags placem_collection'!AA10)</f>
        <v>M</v>
      </c>
      <c r="AG449" t="str">
        <f>IF('WetLitterbags placem_collection'!AC10="","",'WetLitterbags placem_collection'!AC10)</f>
        <v/>
      </c>
      <c r="AH449">
        <f>IFERROR(AVERAGE('Dry_Litterbag Placem_Collection'!O10,'Dry_Litterbag Placem_Collection'!R10),"")</f>
        <v>2.5999999999999996</v>
      </c>
      <c r="AI449" s="271">
        <f>IFERROR(AVERAGE('Dry_Litterbag Placem_Collection'!N10,'Dry_Litterbag Placem_Collection'!Q10),"")</f>
        <v>26</v>
      </c>
      <c r="AJ449" s="270">
        <f>INDEX(Coordinates!$B$2:$B$197,MATCH(G449,Coordinates!$J$2:$J$197,0))</f>
        <v>-3.3977320230000001</v>
      </c>
      <c r="AK449" s="270">
        <f>INDEX(Coordinates!$C$2:$C$197,MATCH(G449,Coordinates!$J$2:$J$197,0))</f>
        <v>34.837561989999998</v>
      </c>
      <c r="AL449" s="270" t="str">
        <f>IF(ISNUMBER(SEARCH("C", 'Dry_Litterbag Placem_Collection'!U10)),"YES","NO")</f>
        <v>NO</v>
      </c>
      <c r="AM449" s="270" t="str">
        <f>IF(ISNUMBER(SEARCH("H", 'Dry_Litterbag Placem_Collection'!U10)),"YES","NO")</f>
        <v>NO</v>
      </c>
      <c r="AN449" s="270" t="str">
        <f>IF(ISNUMBER(SEARCH("R", 'Dry_Litterbag Placem_Collection'!U10)),"YES","NO")</f>
        <v>YES</v>
      </c>
    </row>
    <row r="450" spans="1:40" ht="15" customHeight="1">
      <c r="A450" s="262" t="s">
        <v>2659</v>
      </c>
      <c r="B450" s="263">
        <f>'Dry_Litterbag Placem_Collection'!A11</f>
        <v>9</v>
      </c>
      <c r="C450" s="263" t="str">
        <f>'Dry_Litterbag Placem_Collection'!B11</f>
        <v>Makao</v>
      </c>
      <c r="D450" s="263" t="s">
        <v>2659</v>
      </c>
      <c r="E450" s="263" t="s">
        <v>2660</v>
      </c>
      <c r="F450" s="263">
        <v>2</v>
      </c>
      <c r="G450" s="264" t="str">
        <f>'Dry_Litterbag Placem_Collection'!C11</f>
        <v>Dry_Ag2_T1</v>
      </c>
      <c r="H450" s="273" t="s">
        <v>3651</v>
      </c>
      <c r="I450" s="266" t="s">
        <v>1147</v>
      </c>
      <c r="J450" s="263" t="str">
        <f>IF(ISBLANK('Dry_Litterbag Placem_Collection'!L11),"","G"&amp;""&amp;'Dry_Litterbag Placem_Collection'!L11)</f>
        <v>G570</v>
      </c>
      <c r="K450" s="267">
        <f>IFERROR(INDEX('Green_rooibos initial weight'!$C$5:$C$1749,MATCH(J450, 'Green_rooibos initial weight'!$A$5:$A$1749,0)),"")</f>
        <v>2.1040000000000001</v>
      </c>
      <c r="L450" s="267">
        <f>IFERROR(K450-(TBIcalc!$Q$9+TBIcalc!$Q$10),"")</f>
        <v>1.8542000000000001</v>
      </c>
      <c r="M450" s="391">
        <f>AVERAGE(Ashed_controlls!$K$2:$K$11)</f>
        <v>5.5147656768714146</v>
      </c>
      <c r="N450" s="267">
        <f t="shared" si="31"/>
        <v>1.7519452148194503</v>
      </c>
      <c r="O450" s="267">
        <f>IF(IFERROR(INDEX('Both teabags AfterDry'!$D$3:$D$900,MATCH(J450,'Both teabags AfterDry'!$A$3:$A$900,0)),"")="","",(IFERROR(INDEX('Both teabags AfterDry'!$D$3:$D$900,MATCH(J450,'Both teabags AfterDry'!$A$3:$A$900,0)),"")))</f>
        <v>1.9100999999999999</v>
      </c>
      <c r="P450" s="267">
        <f>IFERROR(IF(O450&gt;0,O450-(TBIcalc!$Q$9),""),"")</f>
        <v>1.7594999999999998</v>
      </c>
      <c r="Q450" s="278">
        <f>IFERROR(INDEX('Ashed teabags dry'!$K$2:$K$825,MATCH(J450,'Ashed teabags dry'!$A$2:$A$825,0)),"")</f>
        <v>5.923344947734277</v>
      </c>
      <c r="R450" s="278">
        <f t="shared" si="32"/>
        <v>1.6552787456446152</v>
      </c>
      <c r="S450" s="268">
        <f>'Dry_Litterbag Placem_Collection'!E11</f>
        <v>42938</v>
      </c>
      <c r="T450" s="268">
        <f>IF('Dry_Litterbag Placem_Collection'!G11="","",'Dry_Litterbag Placem_Collection'!G11)</f>
        <v>43007</v>
      </c>
      <c r="U450" s="269">
        <f t="shared" ref="U450:U513" si="35">IFERROR(T450-S450,"")</f>
        <v>69</v>
      </c>
      <c r="V450" s="267">
        <f t="shared" si="33"/>
        <v>9.4700000000000228E-2</v>
      </c>
      <c r="W450" s="267">
        <f t="shared" si="34"/>
        <v>9.6666469174835123E-2</v>
      </c>
      <c r="X450" s="271">
        <f>IFERROR(INDEX(Rainfall_Dry!$O$2:$O$217,MATCH(B450, Rainfall_Dry!$A$2:$A$217,0)),"")</f>
        <v>6.900000125</v>
      </c>
      <c r="Y450" s="260">
        <v>21.13063730679653</v>
      </c>
      <c r="Z450" s="260">
        <v>3.0912555579081076</v>
      </c>
      <c r="AA450" s="260">
        <v>75.778107135295357</v>
      </c>
      <c r="AB450" s="261" t="s">
        <v>2670</v>
      </c>
      <c r="AC450" s="260">
        <v>0.46131099063578063</v>
      </c>
      <c r="AD450">
        <f>IF('WetLitterbags placem_collection'!AB11="","",'WetLitterbags placem_collection'!AB11)</f>
        <v>10.8</v>
      </c>
      <c r="AE450">
        <f>IF('WetLitterbags placem_collection'!Z11="","",'WetLitterbags placem_collection'!Z11)</f>
        <v>28.4</v>
      </c>
      <c r="AF450" s="246" t="str">
        <f>IF('WetLitterbags placem_collection'!AA11="","",'WetLitterbags placem_collection'!AA11)</f>
        <v>M</v>
      </c>
      <c r="AG450">
        <f>IF('WetLitterbags placem_collection'!AC11="","",'WetLitterbags placem_collection'!AC11)</f>
        <v>0</v>
      </c>
      <c r="AH450">
        <f>IFERROR(AVERAGE('Dry_Litterbag Placem_Collection'!O11,'Dry_Litterbag Placem_Collection'!R11),"")</f>
        <v>3.3</v>
      </c>
      <c r="AI450" s="271">
        <f>IFERROR(AVERAGE('Dry_Litterbag Placem_Collection'!N11,'Dry_Litterbag Placem_Collection'!Q11),"")</f>
        <v>26.15</v>
      </c>
      <c r="AJ450" s="270">
        <f>INDEX(Coordinates!$B$2:$B$197,MATCH(G450,Coordinates!$J$2:$J$197,0))</f>
        <v>-3.3978290019999999</v>
      </c>
      <c r="AK450" s="270">
        <f>INDEX(Coordinates!$C$2:$C$197,MATCH(G450,Coordinates!$J$2:$J$197,0))</f>
        <v>34.837011969999999</v>
      </c>
      <c r="AL450" s="270" t="str">
        <f>IF(ISNUMBER(SEARCH("C", 'Dry_Litterbag Placem_Collection'!U11)),"YES","NO")</f>
        <v>NO</v>
      </c>
      <c r="AM450" s="270" t="str">
        <f>IF(ISNUMBER(SEARCH("H", 'Dry_Litterbag Placem_Collection'!U11)),"YES","NO")</f>
        <v>NO</v>
      </c>
      <c r="AN450" s="270" t="str">
        <f>IF(ISNUMBER(SEARCH("R", 'Dry_Litterbag Placem_Collection'!U11)),"YES","NO")</f>
        <v>NO</v>
      </c>
    </row>
    <row r="451" spans="1:40" ht="15" customHeight="1">
      <c r="A451" s="262" t="s">
        <v>2659</v>
      </c>
      <c r="B451" s="263">
        <f>'Dry_Litterbag Placem_Collection'!A12</f>
        <v>10</v>
      </c>
      <c r="C451" s="263" t="str">
        <f>'Dry_Litterbag Placem_Collection'!B12</f>
        <v>Makao</v>
      </c>
      <c r="D451" s="263" t="s">
        <v>2659</v>
      </c>
      <c r="E451" s="263" t="s">
        <v>2660</v>
      </c>
      <c r="F451" s="263">
        <v>2</v>
      </c>
      <c r="G451" s="264" t="str">
        <f>'Dry_Litterbag Placem_Collection'!C12</f>
        <v>Dry_Ag2_T2</v>
      </c>
      <c r="H451" s="273" t="s">
        <v>3651</v>
      </c>
      <c r="I451" s="266" t="s">
        <v>1147</v>
      </c>
      <c r="J451" s="263" t="str">
        <f>IF(ISBLANK('Dry_Litterbag Placem_Collection'!L12),"","G"&amp;""&amp;'Dry_Litterbag Placem_Collection'!L12)</f>
        <v>G642</v>
      </c>
      <c r="K451" s="267">
        <f>IFERROR(INDEX('Green_rooibos initial weight'!$C$5:$C$1749,MATCH(J451, 'Green_rooibos initial weight'!$A$5:$A$1749,0)),"")</f>
        <v>2.1269999999999998</v>
      </c>
      <c r="L451" s="267">
        <f>IFERROR(K451-(TBIcalc!$Q$9+TBIcalc!$Q$10),"")</f>
        <v>1.8771999999999998</v>
      </c>
      <c r="M451" s="391">
        <f>AVERAGE(Ashed_controlls!$K$2:$K$11)</f>
        <v>5.5147656768714146</v>
      </c>
      <c r="N451" s="267">
        <f t="shared" ref="N451:N514" si="36">IFERROR(L451-(M451/100)*L451,"")</f>
        <v>1.7736768187137695</v>
      </c>
      <c r="O451" s="267" t="str">
        <f>IF(IFERROR(INDEX('Both teabags AfterDry'!$D$3:$D$900,MATCH(J451,'Both teabags AfterDry'!$A$3:$A$900,0)),"")="","",(IFERROR(INDEX('Both teabags AfterDry'!$D$3:$D$900,MATCH(J451,'Both teabags AfterDry'!$A$3:$A$900,0)),"")))</f>
        <v/>
      </c>
      <c r="P451" s="267" t="str">
        <f>IFERROR(IF(O451&gt;0,O451-(TBIcalc!$Q$9),""),"")</f>
        <v/>
      </c>
      <c r="Q451" s="278" t="str">
        <f>IFERROR(INDEX('Ashed teabags dry'!$K$2:$K$825,MATCH(J451,'Ashed teabags dry'!$A$2:$A$825,0)),"")</f>
        <v/>
      </c>
      <c r="R451" s="278" t="str">
        <f t="shared" ref="R451:R514" si="37">IFERROR(P451-(Q451/100)*P451,"")</f>
        <v/>
      </c>
      <c r="S451" s="268">
        <f>'Dry_Litterbag Placem_Collection'!E12</f>
        <v>42938</v>
      </c>
      <c r="T451" s="268" t="str">
        <f>IF('Dry_Litterbag Placem_Collection'!G12="","",'Dry_Litterbag Placem_Collection'!G12)</f>
        <v/>
      </c>
      <c r="U451" s="269" t="str">
        <f t="shared" si="35"/>
        <v/>
      </c>
      <c r="V451" s="267" t="str">
        <f t="shared" ref="V451:V514" si="38">IFERROR(L451-P451,"")</f>
        <v/>
      </c>
      <c r="W451" s="267" t="str">
        <f t="shared" ref="W451:W514" si="39">IFERROR(N451-R451,"")</f>
        <v/>
      </c>
      <c r="X451" s="271" t="str">
        <f>IFERROR(INDEX(Rainfall_Dry!$O$2:$O$217,MATCH(B451, Rainfall_Dry!$A$2:$A$217,0)),"")</f>
        <v/>
      </c>
      <c r="Y451" s="260">
        <v>21.13063730679653</v>
      </c>
      <c r="Z451" s="260">
        <v>3.0912555579081076</v>
      </c>
      <c r="AA451" s="260">
        <v>75.778107135295357</v>
      </c>
      <c r="AB451" s="261" t="s">
        <v>2670</v>
      </c>
      <c r="AC451" s="260">
        <v>1.46131099063578</v>
      </c>
      <c r="AD451">
        <f>IF('WetLitterbags placem_collection'!AB12="","",'WetLitterbags placem_collection'!AB12)</f>
        <v>16.8</v>
      </c>
      <c r="AE451">
        <f>IF('WetLitterbags placem_collection'!Z12="","",'WetLitterbags placem_collection'!Z12)</f>
        <v>30</v>
      </c>
      <c r="AF451" s="246" t="str">
        <f>IF('WetLitterbags placem_collection'!AA12="","",'WetLitterbags placem_collection'!AA12)</f>
        <v>M</v>
      </c>
      <c r="AG451">
        <f>IF('WetLitterbags placem_collection'!AC12="","",'WetLitterbags placem_collection'!AC12)</f>
        <v>0</v>
      </c>
      <c r="AH451">
        <f>IFERROR(AVERAGE('Dry_Litterbag Placem_Collection'!O12,'Dry_Litterbag Placem_Collection'!R12),"")</f>
        <v>1.5</v>
      </c>
      <c r="AI451" s="271">
        <f>IFERROR(AVERAGE('Dry_Litterbag Placem_Collection'!N12,'Dry_Litterbag Placem_Collection'!Q12),"")</f>
        <v>26.1</v>
      </c>
      <c r="AJ451" s="270">
        <f>INDEX(Coordinates!$B$2:$B$197,MATCH(G451,Coordinates!$J$2:$J$197,0))</f>
        <v>-3.3978119869999999</v>
      </c>
      <c r="AK451" s="270">
        <f>INDEX(Coordinates!$C$2:$C$197,MATCH(G451,Coordinates!$J$2:$J$197,0))</f>
        <v>34.836968980000002</v>
      </c>
      <c r="AL451" s="270" t="str">
        <f>IF(ISNUMBER(SEARCH("C", 'Dry_Litterbag Placem_Collection'!U12)),"YES","NO")</f>
        <v>NO</v>
      </c>
      <c r="AM451" s="270" t="str">
        <f>IF(ISNUMBER(SEARCH("H", 'Dry_Litterbag Placem_Collection'!U12)),"YES","NO")</f>
        <v>NO</v>
      </c>
      <c r="AN451" s="270" t="str">
        <f>IF(ISNUMBER(SEARCH("R", 'Dry_Litterbag Placem_Collection'!U12)),"YES","NO")</f>
        <v>NO</v>
      </c>
    </row>
    <row r="452" spans="1:40" ht="15" customHeight="1">
      <c r="A452" s="262" t="s">
        <v>2659</v>
      </c>
      <c r="B452" s="263">
        <f>'Dry_Litterbag Placem_Collection'!A13</f>
        <v>11</v>
      </c>
      <c r="C452" s="263" t="str">
        <f>'Dry_Litterbag Placem_Collection'!B13</f>
        <v>Makao</v>
      </c>
      <c r="D452" s="263" t="s">
        <v>2659</v>
      </c>
      <c r="E452" s="263" t="s">
        <v>2660</v>
      </c>
      <c r="F452" s="263">
        <v>2</v>
      </c>
      <c r="G452" s="264" t="str">
        <f>'Dry_Litterbag Placem_Collection'!C13</f>
        <v>Dry_Ag2_T3</v>
      </c>
      <c r="H452" s="273" t="s">
        <v>3651</v>
      </c>
      <c r="I452" s="266" t="s">
        <v>1147</v>
      </c>
      <c r="J452" s="263" t="str">
        <f>IF(ISBLANK('Dry_Litterbag Placem_Collection'!L13),"","G"&amp;""&amp;'Dry_Litterbag Placem_Collection'!L13)</f>
        <v>G663</v>
      </c>
      <c r="K452" s="267">
        <f>IFERROR(INDEX('Green_rooibos initial weight'!$C$5:$C$1749,MATCH(J452, 'Green_rooibos initial weight'!$A$5:$A$1749,0)),"")</f>
        <v>2.0760000000000001</v>
      </c>
      <c r="L452" s="267">
        <f>IFERROR(K452-(TBIcalc!$Q$9+TBIcalc!$Q$10),"")</f>
        <v>1.8262</v>
      </c>
      <c r="M452" s="391">
        <f>AVERAGE(Ashed_controlls!$K$2:$K$11)</f>
        <v>5.5147656768714146</v>
      </c>
      <c r="N452" s="267">
        <f t="shared" si="36"/>
        <v>1.7254893492089742</v>
      </c>
      <c r="O452" s="267">
        <f>IF(IFERROR(INDEX('Both teabags AfterDry'!$D$3:$D$900,MATCH(J452,'Both teabags AfterDry'!$A$3:$A$900,0)),"")="","",(IFERROR(INDEX('Both teabags AfterDry'!$D$3:$D$900,MATCH(J452,'Both teabags AfterDry'!$A$3:$A$900,0)),"")))</f>
        <v>1.6718</v>
      </c>
      <c r="P452" s="267">
        <f>IFERROR(IF(O452&gt;0,O452-(TBIcalc!$Q$9),""),"")</f>
        <v>1.5211999999999999</v>
      </c>
      <c r="Q452" s="278">
        <f>IFERROR(INDEX('Ashed teabags dry'!$K$2:$K$825,MATCH(J452,'Ashed teabags dry'!$A$2:$A$825,0)),"")</f>
        <v>7.9058031959628696</v>
      </c>
      <c r="R452" s="278">
        <f t="shared" si="37"/>
        <v>1.4009369217830128</v>
      </c>
      <c r="S452" s="268">
        <f>'Dry_Litterbag Placem_Collection'!E13</f>
        <v>42938</v>
      </c>
      <c r="T452" s="268">
        <f>IF('Dry_Litterbag Placem_Collection'!G13="","",'Dry_Litterbag Placem_Collection'!G13)</f>
        <v>43007</v>
      </c>
      <c r="U452" s="269">
        <f t="shared" si="35"/>
        <v>69</v>
      </c>
      <c r="V452" s="267">
        <f t="shared" si="38"/>
        <v>0.30500000000000016</v>
      </c>
      <c r="W452" s="267">
        <f t="shared" si="39"/>
        <v>0.32455242742596146</v>
      </c>
      <c r="X452" s="271">
        <f>IFERROR(INDEX(Rainfall_Dry!$O$2:$O$217,MATCH(B452, Rainfall_Dry!$A$2:$A$217,0)),"")</f>
        <v>6.900000125</v>
      </c>
      <c r="Y452" s="260">
        <v>21.13063730679653</v>
      </c>
      <c r="Z452" s="260">
        <v>3.0912555579081076</v>
      </c>
      <c r="AA452" s="260">
        <v>75.778107135295357</v>
      </c>
      <c r="AB452" s="261" t="s">
        <v>2670</v>
      </c>
      <c r="AC452" s="260">
        <v>2.4613109906357802</v>
      </c>
      <c r="AD452">
        <f>IF('WetLitterbags placem_collection'!AB13="","",'WetLitterbags placem_collection'!AB13)</f>
        <v>11.4</v>
      </c>
      <c r="AE452">
        <f>IF('WetLitterbags placem_collection'!Z13="","",'WetLitterbags placem_collection'!Z13)</f>
        <v>24.4</v>
      </c>
      <c r="AF452" s="246" t="str">
        <f>IF('WetLitterbags placem_collection'!AA13="","",'WetLitterbags placem_collection'!AA13)</f>
        <v>M</v>
      </c>
      <c r="AG452">
        <f>IF('WetLitterbags placem_collection'!AC13="","",'WetLitterbags placem_collection'!AC13)</f>
        <v>0</v>
      </c>
      <c r="AH452">
        <f>IFERROR(AVERAGE('Dry_Litterbag Placem_Collection'!O13,'Dry_Litterbag Placem_Collection'!R13),"")</f>
        <v>5.3</v>
      </c>
      <c r="AI452" s="271">
        <f>IFERROR(AVERAGE('Dry_Litterbag Placem_Collection'!N13,'Dry_Litterbag Placem_Collection'!Q13),"")</f>
        <v>26.450000000000003</v>
      </c>
      <c r="AJ452" s="270">
        <f>INDEX(Coordinates!$B$2:$B$197,MATCH(G452,Coordinates!$J$2:$J$197,0))</f>
        <v>-3.3977929599999999</v>
      </c>
      <c r="AK452" s="270">
        <f>INDEX(Coordinates!$C$2:$C$197,MATCH(G452,Coordinates!$J$2:$J$197,0))</f>
        <v>34.837102999999999</v>
      </c>
      <c r="AL452" s="270" t="str">
        <f>IF(ISNUMBER(SEARCH("C", 'Dry_Litterbag Placem_Collection'!U13)),"YES","NO")</f>
        <v>NO</v>
      </c>
      <c r="AM452" s="270" t="str">
        <f>IF(ISNUMBER(SEARCH("H", 'Dry_Litterbag Placem_Collection'!U13)),"YES","NO")</f>
        <v>NO</v>
      </c>
      <c r="AN452" s="270" t="str">
        <f>IF(ISNUMBER(SEARCH("R", 'Dry_Litterbag Placem_Collection'!U13)),"YES","NO")</f>
        <v>NO</v>
      </c>
    </row>
    <row r="453" spans="1:40" ht="15" customHeight="1">
      <c r="A453" s="262" t="s">
        <v>2659</v>
      </c>
      <c r="B453" s="263">
        <f>'Dry_Litterbag Placem_Collection'!A14</f>
        <v>12</v>
      </c>
      <c r="C453" s="263" t="str">
        <f>'Dry_Litterbag Placem_Collection'!B14</f>
        <v>Makao</v>
      </c>
      <c r="D453" s="263" t="s">
        <v>2659</v>
      </c>
      <c r="E453" s="263" t="s">
        <v>2660</v>
      </c>
      <c r="F453" s="263">
        <v>2</v>
      </c>
      <c r="G453" s="264" t="str">
        <f>'Dry_Litterbag Placem_Collection'!C14</f>
        <v>Dry_Ag2_T4</v>
      </c>
      <c r="H453" s="273" t="s">
        <v>3651</v>
      </c>
      <c r="I453" s="266" t="s">
        <v>1147</v>
      </c>
      <c r="J453" s="263" t="str">
        <f>IF(ISBLANK('Dry_Litterbag Placem_Collection'!L14),"","G"&amp;""&amp;'Dry_Litterbag Placem_Collection'!L14)</f>
        <v/>
      </c>
      <c r="K453" s="267" t="str">
        <f>IFERROR(INDEX('Green_rooibos initial weight'!$C$5:$C$1749,MATCH(J453, 'Green_rooibos initial weight'!$A$5:$A$1749,0)),"")</f>
        <v/>
      </c>
      <c r="L453" s="267" t="str">
        <f>IFERROR(K453-(TBIcalc!$Q$9+TBIcalc!$Q$10),"")</f>
        <v/>
      </c>
      <c r="M453" s="391">
        <f>AVERAGE(Ashed_controlls!$K$2:$K$11)</f>
        <v>5.5147656768714146</v>
      </c>
      <c r="N453" s="267" t="str">
        <f t="shared" si="36"/>
        <v/>
      </c>
      <c r="O453" s="267" t="str">
        <f>IF(IFERROR(INDEX('Both teabags AfterDry'!$D$3:$D$900,MATCH(J453,'Both teabags AfterDry'!$A$3:$A$900,0)),"")="","",(IFERROR(INDEX('Both teabags AfterDry'!$D$3:$D$900,MATCH(J453,'Both teabags AfterDry'!$A$3:$A$900,0)),"")))</f>
        <v/>
      </c>
      <c r="P453" s="267" t="str">
        <f>IFERROR(IF(O453&gt;0,O453-(TBIcalc!$Q$9),""),"")</f>
        <v/>
      </c>
      <c r="Q453" s="278" t="str">
        <f>IFERROR(INDEX('Ashed teabags dry'!$K$2:$K$825,MATCH(J453,'Ashed teabags dry'!$A$2:$A$825,0)),"")</f>
        <v/>
      </c>
      <c r="R453" s="278" t="str">
        <f t="shared" si="37"/>
        <v/>
      </c>
      <c r="S453" s="268">
        <f>'Dry_Litterbag Placem_Collection'!E14</f>
        <v>0</v>
      </c>
      <c r="T453" s="268" t="str">
        <f>IF('Dry_Litterbag Placem_Collection'!G14="","",'Dry_Litterbag Placem_Collection'!G14)</f>
        <v/>
      </c>
      <c r="U453" s="269" t="str">
        <f t="shared" si="35"/>
        <v/>
      </c>
      <c r="V453" s="267" t="str">
        <f t="shared" si="38"/>
        <v/>
      </c>
      <c r="W453" s="267" t="str">
        <f t="shared" si="39"/>
        <v/>
      </c>
      <c r="X453" s="271" t="str">
        <f>IFERROR(INDEX(Rainfall_Dry!$O$2:$O$217,MATCH(B453, Rainfall_Dry!$A$2:$A$217,0)),"")</f>
        <v/>
      </c>
      <c r="Y453" s="260">
        <v>21.13063730679653</v>
      </c>
      <c r="Z453" s="260">
        <v>3.0912555579081076</v>
      </c>
      <c r="AA453" s="260">
        <v>75.778107135295357</v>
      </c>
      <c r="AB453" s="261" t="s">
        <v>2670</v>
      </c>
      <c r="AC453" s="260">
        <v>3.4613109906357802</v>
      </c>
      <c r="AD453" t="str">
        <f>IF('WetLitterbags placem_collection'!AB14="","",'WetLitterbags placem_collection'!AB14)</f>
        <v/>
      </c>
      <c r="AE453" t="str">
        <f>IF('WetLitterbags placem_collection'!Z14="","",'WetLitterbags placem_collection'!Z14)</f>
        <v/>
      </c>
      <c r="AF453" s="246" t="str">
        <f>IF('WetLitterbags placem_collection'!AA14="","",'WetLitterbags placem_collection'!AA14)</f>
        <v/>
      </c>
      <c r="AG453" t="str">
        <f>IF('WetLitterbags placem_collection'!AC14="","",'WetLitterbags placem_collection'!AC14)</f>
        <v/>
      </c>
      <c r="AH453" t="str">
        <f>IFERROR(AVERAGE('Dry_Litterbag Placem_Collection'!O14,'Dry_Litterbag Placem_Collection'!R14),"")</f>
        <v/>
      </c>
      <c r="AI453" s="271" t="str">
        <f>IFERROR(AVERAGE('Dry_Litterbag Placem_Collection'!N14,'Dry_Litterbag Placem_Collection'!Q14),"")</f>
        <v/>
      </c>
      <c r="AJ453" s="270">
        <f>INDEX(Coordinates!$B$2:$B$197,MATCH(G453,Coordinates!$J$2:$J$197,0))</f>
        <v>-3.3979050260000001</v>
      </c>
      <c r="AK453" s="270">
        <f>INDEX(Coordinates!$C$2:$C$197,MATCH(G453,Coordinates!$J$2:$J$197,0))</f>
        <v>34.837123030000001</v>
      </c>
      <c r="AL453" s="270" t="str">
        <f>IF(ISNUMBER(SEARCH("C", 'Dry_Litterbag Placem_Collection'!U14)),"YES","NO")</f>
        <v>NO</v>
      </c>
      <c r="AM453" s="270" t="str">
        <f>IF(ISNUMBER(SEARCH("H", 'Dry_Litterbag Placem_Collection'!U14)),"YES","NO")</f>
        <v>NO</v>
      </c>
      <c r="AN453" s="270" t="str">
        <f>IF(ISNUMBER(SEARCH("R", 'Dry_Litterbag Placem_Collection'!U14)),"YES","NO")</f>
        <v>NO</v>
      </c>
    </row>
    <row r="454" spans="1:40" ht="15" customHeight="1">
      <c r="A454" s="262" t="s">
        <v>2659</v>
      </c>
      <c r="B454" s="263">
        <f>'Dry_Litterbag Placem_Collection'!A15</f>
        <v>13</v>
      </c>
      <c r="C454" s="263" t="str">
        <f>'Dry_Litterbag Placem_Collection'!B15</f>
        <v>Makao</v>
      </c>
      <c r="D454" s="263" t="s">
        <v>2659</v>
      </c>
      <c r="E454" s="263" t="s">
        <v>2660</v>
      </c>
      <c r="F454" s="263">
        <v>2</v>
      </c>
      <c r="G454" s="264" t="str">
        <f>'Dry_Litterbag Placem_Collection'!C15</f>
        <v>Dry_Ag2_T5</v>
      </c>
      <c r="H454" s="273" t="s">
        <v>3651</v>
      </c>
      <c r="I454" s="266" t="s">
        <v>1147</v>
      </c>
      <c r="J454" s="263" t="str">
        <f>IF(ISBLANK('Dry_Litterbag Placem_Collection'!L15),"","G"&amp;""&amp;'Dry_Litterbag Placem_Collection'!L15)</f>
        <v>G874</v>
      </c>
      <c r="K454" s="267">
        <f>IFERROR(INDEX('Green_rooibos initial weight'!$C$5:$C$1749,MATCH(J454, 'Green_rooibos initial weight'!$A$5:$A$1749,0)),"")</f>
        <v>2.032</v>
      </c>
      <c r="L454" s="267">
        <f>IFERROR(K454-(TBIcalc!$Q$9+TBIcalc!$Q$10),"")</f>
        <v>1.7822</v>
      </c>
      <c r="M454" s="391">
        <f>AVERAGE(Ashed_controlls!$K$2:$K$11)</f>
        <v>5.5147656768714146</v>
      </c>
      <c r="N454" s="267">
        <f t="shared" si="36"/>
        <v>1.6839158461067976</v>
      </c>
      <c r="O454" s="267">
        <f>IF(IFERROR(INDEX('Both teabags AfterDry'!$D$3:$D$900,MATCH(J454,'Both teabags AfterDry'!$A$3:$A$900,0)),"")="","",(IFERROR(INDEX('Both teabags AfterDry'!$D$3:$D$900,MATCH(J454,'Both teabags AfterDry'!$A$3:$A$900,0)),"")))</f>
        <v>1.361</v>
      </c>
      <c r="P454" s="267">
        <f>IFERROR(IF(O454&gt;0,O454-(TBIcalc!$Q$9),""),"")</f>
        <v>1.2103999999999999</v>
      </c>
      <c r="Q454" s="278">
        <f>IFERROR(INDEX('Ashed teabags dry'!$K$2:$K$825,MATCH(J454,'Ashed teabags dry'!$A$2:$A$825,0)),"")</f>
        <v>9.2644320297957403</v>
      </c>
      <c r="R454" s="278">
        <f t="shared" si="37"/>
        <v>1.0982633147113523</v>
      </c>
      <c r="S454" s="268">
        <f>'Dry_Litterbag Placem_Collection'!E15</f>
        <v>42938</v>
      </c>
      <c r="T454" s="268">
        <f>IF('Dry_Litterbag Placem_Collection'!G15="","",'Dry_Litterbag Placem_Collection'!G15)</f>
        <v>43007</v>
      </c>
      <c r="U454" s="269">
        <f t="shared" si="35"/>
        <v>69</v>
      </c>
      <c r="V454" s="267">
        <f t="shared" si="38"/>
        <v>0.57180000000000009</v>
      </c>
      <c r="W454" s="267">
        <f t="shared" si="39"/>
        <v>0.58565253139544526</v>
      </c>
      <c r="X454" s="271">
        <f>IFERROR(INDEX(Rainfall_Dry!$O$2:$O$217,MATCH(B454, Rainfall_Dry!$A$2:$A$217,0)),"")</f>
        <v>6.900000125</v>
      </c>
      <c r="Y454" s="260">
        <v>21.13063730679653</v>
      </c>
      <c r="Z454" s="260">
        <v>3.0912555579081076</v>
      </c>
      <c r="AA454" s="260">
        <v>75.778107135295357</v>
      </c>
      <c r="AB454" s="261" t="s">
        <v>2670</v>
      </c>
      <c r="AC454" s="260">
        <v>4.4613109906357797</v>
      </c>
      <c r="AD454">
        <f>IF('WetLitterbags placem_collection'!AB15="","",'WetLitterbags placem_collection'!AB15)</f>
        <v>11.4</v>
      </c>
      <c r="AE454">
        <f>IF('WetLitterbags placem_collection'!Z15="","",'WetLitterbags placem_collection'!Z15)</f>
        <v>31</v>
      </c>
      <c r="AF454" s="246" t="str">
        <f>IF('WetLitterbags placem_collection'!AA15="","",'WetLitterbags placem_collection'!AA15)</f>
        <v>M</v>
      </c>
      <c r="AG454">
        <f>IF('WetLitterbags placem_collection'!AC15="","",'WetLitterbags placem_collection'!AC15)</f>
        <v>0</v>
      </c>
      <c r="AH454">
        <f>IFERROR(AVERAGE('Dry_Litterbag Placem_Collection'!O15,'Dry_Litterbag Placem_Collection'!R15),"")</f>
        <v>4.8</v>
      </c>
      <c r="AI454" s="271">
        <f>IFERROR(AVERAGE('Dry_Litterbag Placem_Collection'!N15,'Dry_Litterbag Placem_Collection'!Q15),"")</f>
        <v>26.1</v>
      </c>
      <c r="AJ454" s="270">
        <f>INDEX(Coordinates!$B$2:$B$197,MATCH(G454,Coordinates!$J$2:$J$197,0))</f>
        <v>-3.3979040199999999</v>
      </c>
      <c r="AK454" s="270">
        <f>INDEX(Coordinates!$C$2:$C$197,MATCH(G454,Coordinates!$J$2:$J$197,0))</f>
        <v>34.837027980000002</v>
      </c>
      <c r="AL454" s="270" t="str">
        <f>IF(ISNUMBER(SEARCH("C", 'Dry_Litterbag Placem_Collection'!U15)),"YES","NO")</f>
        <v>NO</v>
      </c>
      <c r="AM454" s="270" t="str">
        <f>IF(ISNUMBER(SEARCH("H", 'Dry_Litterbag Placem_Collection'!U15)),"YES","NO")</f>
        <v>NO</v>
      </c>
      <c r="AN454" s="270" t="str">
        <f>IF(ISNUMBER(SEARCH("R", 'Dry_Litterbag Placem_Collection'!U15)),"YES","NO")</f>
        <v>NO</v>
      </c>
    </row>
    <row r="455" spans="1:40" ht="15" customHeight="1">
      <c r="A455" s="262" t="s">
        <v>2659</v>
      </c>
      <c r="B455" s="263">
        <f>'Dry_Litterbag Placem_Collection'!A16</f>
        <v>14</v>
      </c>
      <c r="C455" s="263" t="str">
        <f>'Dry_Litterbag Placem_Collection'!B16</f>
        <v>Makao</v>
      </c>
      <c r="D455" s="263" t="s">
        <v>2659</v>
      </c>
      <c r="E455" s="263" t="s">
        <v>2660</v>
      </c>
      <c r="F455" s="263">
        <v>2</v>
      </c>
      <c r="G455" s="264" t="str">
        <f>'Dry_Litterbag Placem_Collection'!C16</f>
        <v>Dry_Ag2_T6</v>
      </c>
      <c r="H455" s="273" t="s">
        <v>3651</v>
      </c>
      <c r="I455" s="266" t="s">
        <v>1147</v>
      </c>
      <c r="J455" s="263" t="str">
        <f>IF(ISBLANK('Dry_Litterbag Placem_Collection'!L16),"","G"&amp;""&amp;'Dry_Litterbag Placem_Collection'!L16)</f>
        <v>G219</v>
      </c>
      <c r="K455" s="267">
        <f>IFERROR(INDEX('Green_rooibos initial weight'!$C$5:$C$1749,MATCH(J455, 'Green_rooibos initial weight'!$A$5:$A$1749,0)),"")</f>
        <v>2.0110000000000001</v>
      </c>
      <c r="L455" s="267">
        <f>IFERROR(K455-(TBIcalc!$Q$9+TBIcalc!$Q$10),"")</f>
        <v>1.7612000000000001</v>
      </c>
      <c r="M455" s="391">
        <f>AVERAGE(Ashed_controlls!$K$2:$K$11)</f>
        <v>5.5147656768714146</v>
      </c>
      <c r="N455" s="267">
        <f t="shared" si="36"/>
        <v>1.6640739468989407</v>
      </c>
      <c r="O455" s="267">
        <f>IF(IFERROR(INDEX('Both teabags AfterDry'!$D$3:$D$900,MATCH(J455,'Both teabags AfterDry'!$A$3:$A$900,0)),"")="","",(IFERROR(INDEX('Both teabags AfterDry'!$D$3:$D$900,MATCH(J455,'Both teabags AfterDry'!$A$3:$A$900,0)),"")))</f>
        <v>0.76939999999999997</v>
      </c>
      <c r="P455" s="267">
        <f>IFERROR(IF(O455&gt;0,O455-(TBIcalc!$Q$9),""),"")</f>
        <v>0.61880000000000002</v>
      </c>
      <c r="Q455" s="278">
        <f>IFERROR(INDEX('Ashed teabags dry'!$K$2:$K$825,MATCH(J455,'Ashed teabags dry'!$A$2:$A$825,0)),"")</f>
        <v>15.956439393940133</v>
      </c>
      <c r="R455" s="278">
        <f t="shared" si="37"/>
        <v>0.52006155303029844</v>
      </c>
      <c r="S455" s="268">
        <f>'Dry_Litterbag Placem_Collection'!E16</f>
        <v>42938</v>
      </c>
      <c r="T455" s="268">
        <f>IF('Dry_Litterbag Placem_Collection'!G16="","",'Dry_Litterbag Placem_Collection'!G16)</f>
        <v>43007</v>
      </c>
      <c r="U455" s="269">
        <f t="shared" si="35"/>
        <v>69</v>
      </c>
      <c r="V455" s="267">
        <f t="shared" si="38"/>
        <v>1.1424000000000001</v>
      </c>
      <c r="W455" s="267">
        <f t="shared" si="39"/>
        <v>1.1440123938686422</v>
      </c>
      <c r="X455" s="271">
        <f>IFERROR(INDEX(Rainfall_Dry!$O$2:$O$217,MATCH(B455, Rainfall_Dry!$A$2:$A$217,0)),"")</f>
        <v>6.900000125</v>
      </c>
      <c r="Y455" s="260">
        <v>21.13063730679653</v>
      </c>
      <c r="Z455" s="260">
        <v>3.0912555579081076</v>
      </c>
      <c r="AA455" s="260">
        <v>75.778107135295357</v>
      </c>
      <c r="AB455" s="261" t="s">
        <v>2670</v>
      </c>
      <c r="AC455" s="260">
        <v>5.4613109906357797</v>
      </c>
      <c r="AD455">
        <f>IF('WetLitterbags placem_collection'!AB16="","",'WetLitterbags placem_collection'!AB16)</f>
        <v>28.4</v>
      </c>
      <c r="AE455">
        <f>IF('WetLitterbags placem_collection'!Z16="","",'WetLitterbags placem_collection'!Z16)</f>
        <v>42.4</v>
      </c>
      <c r="AF455" s="246" t="str">
        <f>IF('WetLitterbags placem_collection'!AA16="","",'WetLitterbags placem_collection'!AA16)</f>
        <v>M</v>
      </c>
      <c r="AG455">
        <f>IF('WetLitterbags placem_collection'!AC16="","",'WetLitterbags placem_collection'!AC16)</f>
        <v>0</v>
      </c>
      <c r="AH455">
        <f>IFERROR(AVERAGE('Dry_Litterbag Placem_Collection'!O16,'Dry_Litterbag Placem_Collection'!R16),"")</f>
        <v>3.4</v>
      </c>
      <c r="AI455" s="271">
        <f>IFERROR(AVERAGE('Dry_Litterbag Placem_Collection'!N16,'Dry_Litterbag Placem_Collection'!Q16),"")</f>
        <v>25.55</v>
      </c>
      <c r="AJ455" s="270">
        <f>INDEX(Coordinates!$B$2:$B$197,MATCH(G455,Coordinates!$J$2:$J$197,0))</f>
        <v>-3.397854986</v>
      </c>
      <c r="AK455" s="270">
        <f>INDEX(Coordinates!$C$2:$C$197,MATCH(G455,Coordinates!$J$2:$J$197,0))</f>
        <v>34.836874010000002</v>
      </c>
      <c r="AL455" s="270" t="str">
        <f>IF(ISNUMBER(SEARCH("C", 'Dry_Litterbag Placem_Collection'!U16)),"YES","NO")</f>
        <v>NO</v>
      </c>
      <c r="AM455" s="270" t="str">
        <f>IF(ISNUMBER(SEARCH("H", 'Dry_Litterbag Placem_Collection'!U16)),"YES","NO")</f>
        <v>NO</v>
      </c>
      <c r="AN455" s="270" t="str">
        <f>IF(ISNUMBER(SEARCH("R", 'Dry_Litterbag Placem_Collection'!U16)),"YES","NO")</f>
        <v>YES</v>
      </c>
    </row>
    <row r="456" spans="1:40" ht="15" customHeight="1">
      <c r="A456" s="262" t="s">
        <v>2659</v>
      </c>
      <c r="B456" s="263">
        <f>'Dry_Litterbag Placem_Collection'!A17</f>
        <v>15</v>
      </c>
      <c r="C456" s="263" t="str">
        <f>'Dry_Litterbag Placem_Collection'!B17</f>
        <v>Makao</v>
      </c>
      <c r="D456" s="263" t="s">
        <v>2659</v>
      </c>
      <c r="E456" s="263" t="s">
        <v>2660</v>
      </c>
      <c r="F456" s="263">
        <v>2</v>
      </c>
      <c r="G456" s="264" t="str">
        <f>'Dry_Litterbag Placem_Collection'!C17</f>
        <v>Dry_Ag2_T7</v>
      </c>
      <c r="H456" s="273" t="s">
        <v>3651</v>
      </c>
      <c r="I456" s="266" t="s">
        <v>1147</v>
      </c>
      <c r="J456" s="263" t="str">
        <f>IF(ISBLANK('Dry_Litterbag Placem_Collection'!L17),"","G"&amp;""&amp;'Dry_Litterbag Placem_Collection'!L17)</f>
        <v>G630</v>
      </c>
      <c r="K456" s="267">
        <f>IFERROR(INDEX('Green_rooibos initial weight'!$C$5:$C$1749,MATCH(J456, 'Green_rooibos initial weight'!$A$5:$A$1749,0)),"")</f>
        <v>2.12</v>
      </c>
      <c r="L456" s="267">
        <f>IFERROR(K456-(TBIcalc!$Q$9+TBIcalc!$Q$10),"")</f>
        <v>1.8702000000000001</v>
      </c>
      <c r="M456" s="391">
        <f>AVERAGE(Ashed_controlls!$K$2:$K$11)</f>
        <v>5.5147656768714146</v>
      </c>
      <c r="N456" s="267">
        <f t="shared" si="36"/>
        <v>1.7670628523111509</v>
      </c>
      <c r="O456" s="267">
        <f>IF(IFERROR(INDEX('Both teabags AfterDry'!$D$3:$D$900,MATCH(J456,'Both teabags AfterDry'!$A$3:$A$900,0)),"")="","",(IFERROR(INDEX('Both teabags AfterDry'!$D$3:$D$900,MATCH(J456,'Both teabags AfterDry'!$A$3:$A$900,0)),"")))</f>
        <v>1.8631</v>
      </c>
      <c r="P456" s="267">
        <f>IFERROR(IF(O456&gt;0,O456-(TBIcalc!$Q$9),""),"")</f>
        <v>1.7124999999999999</v>
      </c>
      <c r="Q456" s="278">
        <f>IFERROR(INDEX('Ashed teabags dry'!$K$2:$K$825,MATCH(J456,'Ashed teabags dry'!$A$2:$A$825,0)),"")</f>
        <v>6.134371957156727</v>
      </c>
      <c r="R456" s="278">
        <f t="shared" si="37"/>
        <v>1.607448880233691</v>
      </c>
      <c r="S456" s="268">
        <f>'Dry_Litterbag Placem_Collection'!E17</f>
        <v>42938</v>
      </c>
      <c r="T456" s="268">
        <f>IF('Dry_Litterbag Placem_Collection'!G17="","",'Dry_Litterbag Placem_Collection'!G17)</f>
        <v>43007</v>
      </c>
      <c r="U456" s="269">
        <f t="shared" si="35"/>
        <v>69</v>
      </c>
      <c r="V456" s="267">
        <f t="shared" si="38"/>
        <v>0.15770000000000017</v>
      </c>
      <c r="W456" s="267">
        <f t="shared" si="39"/>
        <v>0.15961397207745986</v>
      </c>
      <c r="X456" s="271">
        <f>IFERROR(INDEX(Rainfall_Dry!$O$2:$O$217,MATCH(B456, Rainfall_Dry!$A$2:$A$217,0)),"")</f>
        <v>6.900000125</v>
      </c>
      <c r="Y456" s="260">
        <v>21.13063730679653</v>
      </c>
      <c r="Z456" s="260">
        <v>3.0912555579081076</v>
      </c>
      <c r="AA456" s="260">
        <v>75.778107135295357</v>
      </c>
      <c r="AB456" s="261" t="s">
        <v>2670</v>
      </c>
      <c r="AC456" s="260">
        <v>6.4613109906357797</v>
      </c>
      <c r="AD456">
        <f>IF('WetLitterbags placem_collection'!AB17="","",'WetLitterbags placem_collection'!AB17)</f>
        <v>15.8</v>
      </c>
      <c r="AE456">
        <f>IF('WetLitterbags placem_collection'!Z17="","",'WetLitterbags placem_collection'!Z17)</f>
        <v>30.4</v>
      </c>
      <c r="AF456" s="246" t="str">
        <f>IF('WetLitterbags placem_collection'!AA17="","",'WetLitterbags placem_collection'!AA17)</f>
        <v>M</v>
      </c>
      <c r="AG456">
        <f>IF('WetLitterbags placem_collection'!AC17="","",'WetLitterbags placem_collection'!AC17)</f>
        <v>0</v>
      </c>
      <c r="AH456">
        <f>IFERROR(AVERAGE('Dry_Litterbag Placem_Collection'!O17,'Dry_Litterbag Placem_Collection'!R17),"")</f>
        <v>3.0999999999999996</v>
      </c>
      <c r="AI456" s="271">
        <f>IFERROR(AVERAGE('Dry_Litterbag Placem_Collection'!N17,'Dry_Litterbag Placem_Collection'!Q17),"")</f>
        <v>28</v>
      </c>
      <c r="AJ456" s="270">
        <f>INDEX(Coordinates!$B$2:$B$197,MATCH(G456,Coordinates!$J$2:$J$197,0))</f>
        <v>-3.3978060349999999</v>
      </c>
      <c r="AK456" s="270">
        <f>INDEX(Coordinates!$C$2:$C$197,MATCH(G456,Coordinates!$J$2:$J$197,0))</f>
        <v>34.837023960000003</v>
      </c>
      <c r="AL456" s="270" t="str">
        <f>IF(ISNUMBER(SEARCH("C", 'Dry_Litterbag Placem_Collection'!U17)),"YES","NO")</f>
        <v>NO</v>
      </c>
      <c r="AM456" s="270" t="str">
        <f>IF(ISNUMBER(SEARCH("H", 'Dry_Litterbag Placem_Collection'!U17)),"YES","NO")</f>
        <v>NO</v>
      </c>
      <c r="AN456" s="270" t="str">
        <f>IF(ISNUMBER(SEARCH("R", 'Dry_Litterbag Placem_Collection'!U17)),"YES","NO")</f>
        <v>NO</v>
      </c>
    </row>
    <row r="457" spans="1:40" ht="15" customHeight="1">
      <c r="A457" s="262" t="s">
        <v>2659</v>
      </c>
      <c r="B457" s="263">
        <f>'Dry_Litterbag Placem_Collection'!A18</f>
        <v>16</v>
      </c>
      <c r="C457" s="263" t="str">
        <f>'Dry_Litterbag Placem_Collection'!B18</f>
        <v>Makao</v>
      </c>
      <c r="D457" s="263" t="s">
        <v>2659</v>
      </c>
      <c r="E457" s="263" t="s">
        <v>2660</v>
      </c>
      <c r="F457" s="263">
        <v>2</v>
      </c>
      <c r="G457" s="264" t="str">
        <f>'Dry_Litterbag Placem_Collection'!C18</f>
        <v>Dry_Ag2_T8</v>
      </c>
      <c r="H457" s="273" t="s">
        <v>3651</v>
      </c>
      <c r="I457" s="266" t="s">
        <v>1147</v>
      </c>
      <c r="J457" s="263" t="str">
        <f>IF(ISBLANK('Dry_Litterbag Placem_Collection'!L18),"","G"&amp;""&amp;'Dry_Litterbag Placem_Collection'!L18)</f>
        <v>G662</v>
      </c>
      <c r="K457" s="267">
        <f>IFERROR(INDEX('Green_rooibos initial weight'!$C$5:$C$1749,MATCH(J457, 'Green_rooibos initial weight'!$A$5:$A$1749,0)),"")</f>
        <v>2.1349999999999998</v>
      </c>
      <c r="L457" s="267">
        <f>IFERROR(K457-(TBIcalc!$Q$9+TBIcalc!$Q$10),"")</f>
        <v>1.8851999999999998</v>
      </c>
      <c r="M457" s="391">
        <f>AVERAGE(Ashed_controlls!$K$2:$K$11)</f>
        <v>5.5147656768714146</v>
      </c>
      <c r="N457" s="267">
        <f t="shared" si="36"/>
        <v>1.7812356374596199</v>
      </c>
      <c r="O457" s="267" t="str">
        <f>IF(IFERROR(INDEX('Both teabags AfterDry'!$D$3:$D$900,MATCH(J457,'Both teabags AfterDry'!$A$3:$A$900,0)),"")="","",(IFERROR(INDEX('Both teabags AfterDry'!$D$3:$D$900,MATCH(J457,'Both teabags AfterDry'!$A$3:$A$900,0)),"")))</f>
        <v/>
      </c>
      <c r="P457" s="267" t="str">
        <f>IFERROR(IF(O457&gt;0,O457-(TBIcalc!$Q$9),""),"")</f>
        <v/>
      </c>
      <c r="Q457" s="278" t="str">
        <f>IFERROR(INDEX('Ashed teabags dry'!$K$2:$K$825,MATCH(J457,'Ashed teabags dry'!$A$2:$A$825,0)),"")</f>
        <v/>
      </c>
      <c r="R457" s="278" t="str">
        <f t="shared" si="37"/>
        <v/>
      </c>
      <c r="S457" s="268">
        <f>'Dry_Litterbag Placem_Collection'!E18</f>
        <v>42938</v>
      </c>
      <c r="T457" s="268">
        <f>IF('Dry_Litterbag Placem_Collection'!G18="","",'Dry_Litterbag Placem_Collection'!G18)</f>
        <v>43007</v>
      </c>
      <c r="U457" s="269">
        <f t="shared" si="35"/>
        <v>69</v>
      </c>
      <c r="V457" s="267" t="str">
        <f t="shared" si="38"/>
        <v/>
      </c>
      <c r="W457" s="267" t="str">
        <f t="shared" si="39"/>
        <v/>
      </c>
      <c r="X457" s="271">
        <f>IFERROR(INDEX(Rainfall_Dry!$O$2:$O$217,MATCH(B457, Rainfall_Dry!$A$2:$A$217,0)),"")</f>
        <v>6.900000125</v>
      </c>
      <c r="Y457" s="260">
        <v>21.13063730679653</v>
      </c>
      <c r="Z457" s="260">
        <v>3.0912555579081076</v>
      </c>
      <c r="AA457" s="260">
        <v>75.778107135295357</v>
      </c>
      <c r="AB457" s="261" t="s">
        <v>2670</v>
      </c>
      <c r="AC457" s="260">
        <v>7.4613109906357797</v>
      </c>
      <c r="AD457">
        <f>IF('WetLitterbags placem_collection'!AB18="","",'WetLitterbags placem_collection'!AB18)</f>
        <v>8</v>
      </c>
      <c r="AE457">
        <f>IF('WetLitterbags placem_collection'!Z18="","",'WetLitterbags placem_collection'!Z18)</f>
        <v>12.4</v>
      </c>
      <c r="AF457" s="246" t="str">
        <f>IF('WetLitterbags placem_collection'!AA18="","",'WetLitterbags placem_collection'!AA18)</f>
        <v>M</v>
      </c>
      <c r="AG457">
        <f>IF('WetLitterbags placem_collection'!AC18="","",'WetLitterbags placem_collection'!AC18)</f>
        <v>0</v>
      </c>
      <c r="AH457">
        <f>IFERROR(AVERAGE('Dry_Litterbag Placem_Collection'!O18,'Dry_Litterbag Placem_Collection'!R18),"")</f>
        <v>9.1999999999999993</v>
      </c>
      <c r="AI457" s="271">
        <f>IFERROR(AVERAGE('Dry_Litterbag Placem_Collection'!N18,'Dry_Litterbag Placem_Collection'!Q18),"")</f>
        <v>27.049999999999997</v>
      </c>
      <c r="AJ457" s="270">
        <f>INDEX(Coordinates!$B$2:$B$197,MATCH(G457,Coordinates!$J$2:$J$197,0))</f>
        <v>-3.3977669760000002</v>
      </c>
      <c r="AK457" s="270">
        <f>INDEX(Coordinates!$C$2:$C$197,MATCH(G457,Coordinates!$J$2:$J$197,0))</f>
        <v>34.837181039999997</v>
      </c>
      <c r="AL457" s="270" t="str">
        <f>IF(ISNUMBER(SEARCH("C", 'Dry_Litterbag Placem_Collection'!U18)),"YES","NO")</f>
        <v>NO</v>
      </c>
      <c r="AM457" s="270" t="str">
        <f>IF(ISNUMBER(SEARCH("H", 'Dry_Litterbag Placem_Collection'!U18)),"YES","NO")</f>
        <v>NO</v>
      </c>
      <c r="AN457" s="270" t="str">
        <f>IF(ISNUMBER(SEARCH("R", 'Dry_Litterbag Placem_Collection'!U18)),"YES","NO")</f>
        <v>YES</v>
      </c>
    </row>
    <row r="458" spans="1:40" ht="15" customHeight="1">
      <c r="A458" s="262" t="s">
        <v>2659</v>
      </c>
      <c r="B458" s="263">
        <f>'Dry_Litterbag Placem_Collection'!A19</f>
        <v>17</v>
      </c>
      <c r="C458" s="263" t="str">
        <f>'Dry_Litterbag Placem_Collection'!B19</f>
        <v>Makao</v>
      </c>
      <c r="D458" s="263" t="s">
        <v>2659</v>
      </c>
      <c r="E458" s="263" t="s">
        <v>2660</v>
      </c>
      <c r="F458" s="263">
        <v>3</v>
      </c>
      <c r="G458" s="264" t="str">
        <f>'Dry_Litterbag Placem_Collection'!C19</f>
        <v>Dry_Ag3_T1</v>
      </c>
      <c r="H458" s="273" t="s">
        <v>3651</v>
      </c>
      <c r="I458" s="266" t="s">
        <v>1147</v>
      </c>
      <c r="J458" s="263" t="str">
        <f>IF(ISBLANK('Dry_Litterbag Placem_Collection'!L19),"","G"&amp;""&amp;'Dry_Litterbag Placem_Collection'!L19)</f>
        <v>G349</v>
      </c>
      <c r="K458" s="267">
        <f>IFERROR(INDEX('Green_rooibos initial weight'!$C$5:$C$1749,MATCH(J458, 'Green_rooibos initial weight'!$A$5:$A$1749,0)),"")</f>
        <v>1.9450000000000001</v>
      </c>
      <c r="L458" s="267">
        <f>IFERROR(K458-(TBIcalc!$Q$9+TBIcalc!$Q$10),"")</f>
        <v>1.6952</v>
      </c>
      <c r="M458" s="391">
        <f>AVERAGE(Ashed_controlls!$K$2:$K$11)</f>
        <v>5.5147656768714146</v>
      </c>
      <c r="N458" s="267">
        <f t="shared" si="36"/>
        <v>1.6017136922456758</v>
      </c>
      <c r="O458" s="267">
        <f>IF(IFERROR(INDEX('Both teabags AfterDry'!$D$3:$D$900,MATCH(J458,'Both teabags AfterDry'!$A$3:$A$900,0)),"")="","",(IFERROR(INDEX('Both teabags AfterDry'!$D$3:$D$900,MATCH(J458,'Both teabags AfterDry'!$A$3:$A$900,0)),"")))</f>
        <v>1.7968</v>
      </c>
      <c r="P458" s="267">
        <f>IFERROR(IF(O458&gt;0,O458-(TBIcalc!$Q$9),""),"")</f>
        <v>1.6461999999999999</v>
      </c>
      <c r="Q458" s="278">
        <f>IFERROR(INDEX('Ashed teabags dry'!$K$2:$K$825,MATCH(J458,'Ashed teabags dry'!$A$2:$A$825,0)),"")</f>
        <v>5.923344947734277</v>
      </c>
      <c r="R458" s="278">
        <f t="shared" si="37"/>
        <v>1.5486898954703983</v>
      </c>
      <c r="S458" s="268">
        <f>'Dry_Litterbag Placem_Collection'!E19</f>
        <v>42936</v>
      </c>
      <c r="T458" s="268">
        <f>IF('Dry_Litterbag Placem_Collection'!G19="","",'Dry_Litterbag Placem_Collection'!G19)</f>
        <v>43007</v>
      </c>
      <c r="U458" s="269">
        <f t="shared" si="35"/>
        <v>71</v>
      </c>
      <c r="V458" s="267">
        <f t="shared" si="38"/>
        <v>4.9000000000000155E-2</v>
      </c>
      <c r="W458" s="267">
        <f t="shared" si="39"/>
        <v>5.3023796775277576E-2</v>
      </c>
      <c r="X458" s="271">
        <f>IFERROR(INDEX(Rainfall_Dry!$O$2:$O$217,MATCH(B458, Rainfall_Dry!$A$2:$A$217,0)),"")</f>
        <v>6.900000125</v>
      </c>
      <c r="Y458" s="260">
        <v>54.080969906906262</v>
      </c>
      <c r="Z458" s="260">
        <v>21.264484651351896</v>
      </c>
      <c r="AA458" s="260">
        <v>24.654545441741845</v>
      </c>
      <c r="AB458" s="261" t="s">
        <v>2673</v>
      </c>
      <c r="AC458" s="260">
        <v>1.8433218334154755</v>
      </c>
      <c r="AD458" t="str">
        <f>IF('WetLitterbags placem_collection'!AB19="","",'WetLitterbags placem_collection'!AB19)</f>
        <v/>
      </c>
      <c r="AE458" t="str">
        <f>IF('WetLitterbags placem_collection'!Z19="","",'WetLitterbags placem_collection'!Z19)</f>
        <v/>
      </c>
      <c r="AF458" s="246" t="str">
        <f>IF('WetLitterbags placem_collection'!AA19="","",'WetLitterbags placem_collection'!AA19)</f>
        <v/>
      </c>
      <c r="AG458" t="str">
        <f>IF('WetLitterbags placem_collection'!AC19="","",'WetLitterbags placem_collection'!AC19)</f>
        <v/>
      </c>
      <c r="AH458">
        <f>IFERROR(AVERAGE('Dry_Litterbag Placem_Collection'!O19,'Dry_Litterbag Placem_Collection'!R19),"")</f>
        <v>12.9</v>
      </c>
      <c r="AI458" s="271">
        <f>IFERROR(AVERAGE('Dry_Litterbag Placem_Collection'!N19,'Dry_Litterbag Placem_Collection'!Q19),"")</f>
        <v>26.2</v>
      </c>
      <c r="AJ458" s="270">
        <f>INDEX(Coordinates!$B$2:$B$197,MATCH(G458,Coordinates!$J$2:$J$197,0))</f>
        <v>-3.3854090330000002</v>
      </c>
      <c r="AK458" s="270">
        <f>INDEX(Coordinates!$C$2:$C$197,MATCH(G458,Coordinates!$J$2:$J$197,0))</f>
        <v>34.818901029999999</v>
      </c>
      <c r="AL458" s="270" t="str">
        <f>IF(ISNUMBER(SEARCH("C", 'Dry_Litterbag Placem_Collection'!U19)),"YES","NO")</f>
        <v>NO</v>
      </c>
      <c r="AM458" s="270" t="str">
        <f>IF(ISNUMBER(SEARCH("H", 'Dry_Litterbag Placem_Collection'!U19)),"YES","NO")</f>
        <v>NO</v>
      </c>
      <c r="AN458" s="270" t="str">
        <f>IF(ISNUMBER(SEARCH("R", 'Dry_Litterbag Placem_Collection'!U19)),"YES","NO")</f>
        <v>NO</v>
      </c>
    </row>
    <row r="459" spans="1:40" ht="15" customHeight="1">
      <c r="A459" s="262" t="s">
        <v>2659</v>
      </c>
      <c r="B459" s="263">
        <f>'Dry_Litterbag Placem_Collection'!A20</f>
        <v>18</v>
      </c>
      <c r="C459" s="263" t="str">
        <f>'Dry_Litterbag Placem_Collection'!B20</f>
        <v>Makao</v>
      </c>
      <c r="D459" s="263" t="s">
        <v>2659</v>
      </c>
      <c r="E459" s="263" t="s">
        <v>2660</v>
      </c>
      <c r="F459" s="263">
        <v>3</v>
      </c>
      <c r="G459" s="264" t="str">
        <f>'Dry_Litterbag Placem_Collection'!C20</f>
        <v>Dry_Ag3_T2</v>
      </c>
      <c r="H459" s="273" t="s">
        <v>3651</v>
      </c>
      <c r="I459" s="266" t="s">
        <v>1147</v>
      </c>
      <c r="J459" s="263" t="str">
        <f>IF(ISBLANK('Dry_Litterbag Placem_Collection'!L20),"","G"&amp;""&amp;'Dry_Litterbag Placem_Collection'!L20)</f>
        <v>G113</v>
      </c>
      <c r="K459" s="267">
        <f>IFERROR(INDEX('Green_rooibos initial weight'!$C$5:$C$1749,MATCH(J459, 'Green_rooibos initial weight'!$A$5:$A$1749,0)),"")</f>
        <v>2.0539999999999998</v>
      </c>
      <c r="L459" s="267">
        <f>IFERROR(K459-(TBIcalc!$Q$9+TBIcalc!$Q$10),"")</f>
        <v>1.8041999999999998</v>
      </c>
      <c r="M459" s="391">
        <f>AVERAGE(Ashed_controlls!$K$2:$K$11)</f>
        <v>5.5147656768714146</v>
      </c>
      <c r="N459" s="267">
        <f t="shared" si="36"/>
        <v>1.7047025976578858</v>
      </c>
      <c r="O459" s="267">
        <f>IF(IFERROR(INDEX('Both teabags AfterDry'!$D$3:$D$900,MATCH(J459,'Both teabags AfterDry'!$A$3:$A$900,0)),"")="","",(IFERROR(INDEX('Both teabags AfterDry'!$D$3:$D$900,MATCH(J459,'Both teabags AfterDry'!$A$3:$A$900,0)),"")))</f>
        <v>1.8204</v>
      </c>
      <c r="P459" s="267">
        <f>IFERROR(IF(O459&gt;0,O459-(TBIcalc!$Q$9),""),"")</f>
        <v>1.6698</v>
      </c>
      <c r="Q459" s="278">
        <f>IFERROR(INDEX('Ashed teabags dry'!$K$2:$K$825,MATCH(J459,'Ashed teabags dry'!$A$2:$A$825,0)),"")</f>
        <v>6.7017711823853698</v>
      </c>
      <c r="R459" s="278">
        <f t="shared" si="37"/>
        <v>1.557893824796529</v>
      </c>
      <c r="S459" s="268">
        <f>'Dry_Litterbag Placem_Collection'!E20</f>
        <v>42936</v>
      </c>
      <c r="T459" s="268">
        <f>IF('Dry_Litterbag Placem_Collection'!G20="","",'Dry_Litterbag Placem_Collection'!G20)</f>
        <v>43007</v>
      </c>
      <c r="U459" s="269">
        <f t="shared" si="35"/>
        <v>71</v>
      </c>
      <c r="V459" s="267">
        <f t="shared" si="38"/>
        <v>0.13439999999999985</v>
      </c>
      <c r="W459" s="267">
        <f t="shared" si="39"/>
        <v>0.14680877286135674</v>
      </c>
      <c r="X459" s="271">
        <f>IFERROR(INDEX(Rainfall_Dry!$O$2:$O$217,MATCH(B459, Rainfall_Dry!$A$2:$A$217,0)),"")</f>
        <v>6.900000125</v>
      </c>
      <c r="Y459" s="260">
        <v>54.080969906906262</v>
      </c>
      <c r="Z459" s="260">
        <v>21.264484651351896</v>
      </c>
      <c r="AA459" s="260">
        <v>24.654545441741845</v>
      </c>
      <c r="AB459" s="261" t="s">
        <v>2673</v>
      </c>
      <c r="AC459" s="260">
        <v>2.8433218334154802</v>
      </c>
      <c r="AD459" t="str">
        <f>IF('WetLitterbags placem_collection'!AB20="","",'WetLitterbags placem_collection'!AB20)</f>
        <v/>
      </c>
      <c r="AE459" t="str">
        <f>IF('WetLitterbags placem_collection'!Z20="","",'WetLitterbags placem_collection'!Z20)</f>
        <v/>
      </c>
      <c r="AF459" s="246" t="str">
        <f>IF('WetLitterbags placem_collection'!AA20="","",'WetLitterbags placem_collection'!AA20)</f>
        <v/>
      </c>
      <c r="AG459" t="str">
        <f>IF('WetLitterbags placem_collection'!AC20="","",'WetLitterbags placem_collection'!AC20)</f>
        <v/>
      </c>
      <c r="AH459">
        <f>IFERROR(AVERAGE('Dry_Litterbag Placem_Collection'!O20,'Dry_Litterbag Placem_Collection'!R20),"")</f>
        <v>11.15</v>
      </c>
      <c r="AI459" s="271">
        <f>IFERROR(AVERAGE('Dry_Litterbag Placem_Collection'!N20,'Dry_Litterbag Placem_Collection'!Q20),"")</f>
        <v>26.1</v>
      </c>
      <c r="AJ459" s="270">
        <f>INDEX(Coordinates!$B$2:$B$197,MATCH(G459,Coordinates!$J$2:$J$197,0))</f>
        <v>-3.385375002</v>
      </c>
      <c r="AK459" s="270">
        <f>INDEX(Coordinates!$C$2:$C$197,MATCH(G459,Coordinates!$J$2:$J$197,0))</f>
        <v>34.818939999999998</v>
      </c>
      <c r="AL459" s="270" t="str">
        <f>IF(ISNUMBER(SEARCH("C", 'Dry_Litterbag Placem_Collection'!U20)),"YES","NO")</f>
        <v>NO</v>
      </c>
      <c r="AM459" s="270" t="str">
        <f>IF(ISNUMBER(SEARCH("H", 'Dry_Litterbag Placem_Collection'!U20)),"YES","NO")</f>
        <v>NO</v>
      </c>
      <c r="AN459" s="270" t="str">
        <f>IF(ISNUMBER(SEARCH("R", 'Dry_Litterbag Placem_Collection'!U20)),"YES","NO")</f>
        <v>NO</v>
      </c>
    </row>
    <row r="460" spans="1:40" ht="15" customHeight="1">
      <c r="A460" s="262" t="s">
        <v>2659</v>
      </c>
      <c r="B460" s="263">
        <f>'Dry_Litterbag Placem_Collection'!A21</f>
        <v>19</v>
      </c>
      <c r="C460" s="263" t="str">
        <f>'Dry_Litterbag Placem_Collection'!B21</f>
        <v>Makao</v>
      </c>
      <c r="D460" s="263" t="s">
        <v>2659</v>
      </c>
      <c r="E460" s="263" t="s">
        <v>2660</v>
      </c>
      <c r="F460" s="263">
        <v>3</v>
      </c>
      <c r="G460" s="264" t="str">
        <f>'Dry_Litterbag Placem_Collection'!C21</f>
        <v>Dry_Ag3_T3</v>
      </c>
      <c r="H460" s="273" t="s">
        <v>3651</v>
      </c>
      <c r="I460" s="266" t="s">
        <v>1147</v>
      </c>
      <c r="J460" s="263" t="str">
        <f>IF(ISBLANK('Dry_Litterbag Placem_Collection'!L21),"","G"&amp;""&amp;'Dry_Litterbag Placem_Collection'!L21)</f>
        <v>G394</v>
      </c>
      <c r="K460" s="267">
        <f>IFERROR(INDEX('Green_rooibos initial weight'!$C$5:$C$1749,MATCH(J460, 'Green_rooibos initial weight'!$A$5:$A$1749,0)),"")</f>
        <v>2.056</v>
      </c>
      <c r="L460" s="267">
        <f>IFERROR(K460-(TBIcalc!$Q$9+TBIcalc!$Q$10),"")</f>
        <v>1.8062</v>
      </c>
      <c r="M460" s="391">
        <f>AVERAGE(Ashed_controlls!$K$2:$K$11)</f>
        <v>5.5147656768714146</v>
      </c>
      <c r="N460" s="267">
        <f t="shared" si="36"/>
        <v>1.7065923023443486</v>
      </c>
      <c r="O460" s="267">
        <f>IF(IFERROR(INDEX('Both teabags AfterDry'!$D$3:$D$900,MATCH(J460,'Both teabags AfterDry'!$A$3:$A$900,0)),"")="","",(IFERROR(INDEX('Both teabags AfterDry'!$D$3:$D$900,MATCH(J460,'Both teabags AfterDry'!$A$3:$A$900,0)),"")))</f>
        <v>1.8532999999999999</v>
      </c>
      <c r="P460" s="267">
        <f>IFERROR(IF(O460&gt;0,O460-(TBIcalc!$Q$9),""),"")</f>
        <v>1.7026999999999999</v>
      </c>
      <c r="Q460" s="278">
        <f>IFERROR(INDEX('Ashed teabags dry'!$K$2:$K$825,MATCH(J460,'Ashed teabags dry'!$A$2:$A$825,0)),"")</f>
        <v>6.2286689419790493</v>
      </c>
      <c r="R460" s="278">
        <f t="shared" si="37"/>
        <v>1.5966444539249227</v>
      </c>
      <c r="S460" s="268">
        <f>'Dry_Litterbag Placem_Collection'!E21</f>
        <v>42936</v>
      </c>
      <c r="T460" s="268">
        <f>IF('Dry_Litterbag Placem_Collection'!G21="","",'Dry_Litterbag Placem_Collection'!G21)</f>
        <v>43007</v>
      </c>
      <c r="U460" s="269">
        <f t="shared" si="35"/>
        <v>71</v>
      </c>
      <c r="V460" s="267">
        <f t="shared" si="38"/>
        <v>0.10350000000000015</v>
      </c>
      <c r="W460" s="267">
        <f t="shared" si="39"/>
        <v>0.10994784841942584</v>
      </c>
      <c r="X460" s="271">
        <f>IFERROR(INDEX(Rainfall_Dry!$O$2:$O$217,MATCH(B460, Rainfall_Dry!$A$2:$A$217,0)),"")</f>
        <v>6.900000125</v>
      </c>
      <c r="Y460" s="260">
        <v>54.080969906906262</v>
      </c>
      <c r="Z460" s="260">
        <v>21.264484651351896</v>
      </c>
      <c r="AA460" s="260">
        <v>24.654545441741845</v>
      </c>
      <c r="AB460" s="261" t="s">
        <v>2673</v>
      </c>
      <c r="AC460" s="260">
        <v>3.8433218334154802</v>
      </c>
      <c r="AD460" t="str">
        <f>IF('WetLitterbags placem_collection'!AB21="","",'WetLitterbags placem_collection'!AB21)</f>
        <v/>
      </c>
      <c r="AE460" t="str">
        <f>IF('WetLitterbags placem_collection'!Z21="","",'WetLitterbags placem_collection'!Z21)</f>
        <v/>
      </c>
      <c r="AF460" s="246" t="str">
        <f>IF('WetLitterbags placem_collection'!AA21="","",'WetLitterbags placem_collection'!AA21)</f>
        <v/>
      </c>
      <c r="AG460" t="str">
        <f>IF('WetLitterbags placem_collection'!AC21="","",'WetLitterbags placem_collection'!AC21)</f>
        <v/>
      </c>
      <c r="AH460">
        <f>IFERROR(AVERAGE('Dry_Litterbag Placem_Collection'!O21,'Dry_Litterbag Placem_Collection'!R21),"")</f>
        <v>15.75</v>
      </c>
      <c r="AI460" s="271">
        <f>IFERROR(AVERAGE('Dry_Litterbag Placem_Collection'!N21,'Dry_Litterbag Placem_Collection'!Q21),"")</f>
        <v>25.700000000000003</v>
      </c>
      <c r="AJ460" s="270">
        <f>INDEX(Coordinates!$B$2:$B$197,MATCH(G460,Coordinates!$J$2:$J$197,0))</f>
        <v>-3.3853589930000001</v>
      </c>
      <c r="AK460" s="270">
        <f>INDEX(Coordinates!$C$2:$C$197,MATCH(G460,Coordinates!$J$2:$J$197,0))</f>
        <v>34.818991969999999</v>
      </c>
      <c r="AL460" s="270" t="str">
        <f>IF(ISNUMBER(SEARCH("C", 'Dry_Litterbag Placem_Collection'!U21)),"YES","NO")</f>
        <v>NO</v>
      </c>
      <c r="AM460" s="270" t="str">
        <f>IF(ISNUMBER(SEARCH("H", 'Dry_Litterbag Placem_Collection'!U21)),"YES","NO")</f>
        <v>NO</v>
      </c>
      <c r="AN460" s="270" t="str">
        <f>IF(ISNUMBER(SEARCH("R", 'Dry_Litterbag Placem_Collection'!U21)),"YES","NO")</f>
        <v>NO</v>
      </c>
    </row>
    <row r="461" spans="1:40" ht="15" customHeight="1">
      <c r="A461" s="262" t="s">
        <v>2659</v>
      </c>
      <c r="B461" s="263">
        <f>'Dry_Litterbag Placem_Collection'!A22</f>
        <v>20</v>
      </c>
      <c r="C461" s="263" t="str">
        <f>'Dry_Litterbag Placem_Collection'!B22</f>
        <v>Makao</v>
      </c>
      <c r="D461" s="263" t="s">
        <v>2659</v>
      </c>
      <c r="E461" s="263" t="s">
        <v>2660</v>
      </c>
      <c r="F461" s="263">
        <v>3</v>
      </c>
      <c r="G461" s="264" t="str">
        <f>'Dry_Litterbag Placem_Collection'!C22</f>
        <v>Dry_Ag3_T4</v>
      </c>
      <c r="H461" s="273" t="s">
        <v>3651</v>
      </c>
      <c r="I461" s="266" t="s">
        <v>1147</v>
      </c>
      <c r="J461" s="263" t="str">
        <f>IF(ISBLANK('Dry_Litterbag Placem_Collection'!L22),"","G"&amp;""&amp;'Dry_Litterbag Placem_Collection'!L22)</f>
        <v>G79</v>
      </c>
      <c r="K461" s="267">
        <f>IFERROR(INDEX('Green_rooibos initial weight'!$C$5:$C$1749,MATCH(J461, 'Green_rooibos initial weight'!$A$5:$A$1749,0)),"")</f>
        <v>2.1120000000000001</v>
      </c>
      <c r="L461" s="267">
        <f>IFERROR(K461-(TBIcalc!$Q$9+TBIcalc!$Q$10),"")</f>
        <v>1.8622000000000001</v>
      </c>
      <c r="M461" s="391">
        <f>AVERAGE(Ashed_controlls!$K$2:$K$11)</f>
        <v>5.5147656768714146</v>
      </c>
      <c r="N461" s="267">
        <f t="shared" si="36"/>
        <v>1.7595040335653005</v>
      </c>
      <c r="O461" s="267">
        <f>IF(IFERROR(INDEX('Both teabags AfterDry'!$D$3:$D$900,MATCH(J461,'Both teabags AfterDry'!$A$3:$A$900,0)),"")="","",(IFERROR(INDEX('Both teabags AfterDry'!$D$3:$D$900,MATCH(J461,'Both teabags AfterDry'!$A$3:$A$900,0)),"")))</f>
        <v>1.8559000000000001</v>
      </c>
      <c r="P461" s="267">
        <f>IFERROR(IF(O461&gt;0,O461-(TBIcalc!$Q$9),""),"")</f>
        <v>1.7053</v>
      </c>
      <c r="Q461" s="278">
        <f>IFERROR(INDEX('Ashed teabags dry'!$K$2:$K$825,MATCH(J461,'Ashed teabags dry'!$A$2:$A$825,0)),"")</f>
        <v>6.4935064935060867</v>
      </c>
      <c r="R461" s="278">
        <f t="shared" si="37"/>
        <v>1.5945662337662407</v>
      </c>
      <c r="S461" s="268">
        <f>'Dry_Litterbag Placem_Collection'!E22</f>
        <v>42936</v>
      </c>
      <c r="T461" s="268">
        <f>IF('Dry_Litterbag Placem_Collection'!G22="","",'Dry_Litterbag Placem_Collection'!G22)</f>
        <v>43007</v>
      </c>
      <c r="U461" s="269">
        <f t="shared" si="35"/>
        <v>71</v>
      </c>
      <c r="V461" s="267">
        <f t="shared" si="38"/>
        <v>0.15690000000000004</v>
      </c>
      <c r="W461" s="267">
        <f t="shared" si="39"/>
        <v>0.16493779979905976</v>
      </c>
      <c r="X461" s="271">
        <f>IFERROR(INDEX(Rainfall_Dry!$O$2:$O$217,MATCH(B461, Rainfall_Dry!$A$2:$A$217,0)),"")</f>
        <v>6.900000125</v>
      </c>
      <c r="Y461" s="260">
        <v>54.080969906906262</v>
      </c>
      <c r="Z461" s="260">
        <v>21.264484651351896</v>
      </c>
      <c r="AA461" s="260">
        <v>24.654545441741845</v>
      </c>
      <c r="AB461" s="261" t="s">
        <v>2673</v>
      </c>
      <c r="AC461" s="260">
        <v>4.8433218334154802</v>
      </c>
      <c r="AD461" t="str">
        <f>IF('WetLitterbags placem_collection'!AB22="","",'WetLitterbags placem_collection'!AB22)</f>
        <v/>
      </c>
      <c r="AE461" t="str">
        <f>IF('WetLitterbags placem_collection'!Z22="","",'WetLitterbags placem_collection'!Z22)</f>
        <v/>
      </c>
      <c r="AF461" s="246" t="str">
        <f>IF('WetLitterbags placem_collection'!AA22="","",'WetLitterbags placem_collection'!AA22)</f>
        <v/>
      </c>
      <c r="AG461" t="str">
        <f>IF('WetLitterbags placem_collection'!AC22="","",'WetLitterbags placem_collection'!AC22)</f>
        <v/>
      </c>
      <c r="AH461">
        <f>IFERROR(AVERAGE('Dry_Litterbag Placem_Collection'!O22,'Dry_Litterbag Placem_Collection'!R22),"")</f>
        <v>16</v>
      </c>
      <c r="AI461" s="271">
        <f>IFERROR(AVERAGE('Dry_Litterbag Placem_Collection'!N22,'Dry_Litterbag Placem_Collection'!Q22),"")</f>
        <v>26.3</v>
      </c>
      <c r="AJ461" s="270">
        <f>INDEX(Coordinates!$B$2:$B$197,MATCH(G461,Coordinates!$J$2:$J$197,0))</f>
        <v>-3.3853969629999998</v>
      </c>
      <c r="AK461" s="270">
        <f>INDEX(Coordinates!$C$2:$C$197,MATCH(G461,Coordinates!$J$2:$J$197,0))</f>
        <v>34.818977969999999</v>
      </c>
      <c r="AL461" s="270" t="str">
        <f>IF(ISNUMBER(SEARCH("C", 'Dry_Litterbag Placem_Collection'!U22)),"YES","NO")</f>
        <v>NO</v>
      </c>
      <c r="AM461" s="270" t="str">
        <f>IF(ISNUMBER(SEARCH("H", 'Dry_Litterbag Placem_Collection'!U22)),"YES","NO")</f>
        <v>NO</v>
      </c>
      <c r="AN461" s="270" t="str">
        <f>IF(ISNUMBER(SEARCH("R", 'Dry_Litterbag Placem_Collection'!U22)),"YES","NO")</f>
        <v>NO</v>
      </c>
    </row>
    <row r="462" spans="1:40" ht="15" customHeight="1">
      <c r="A462" s="262" t="s">
        <v>2659</v>
      </c>
      <c r="B462" s="263">
        <f>'Dry_Litterbag Placem_Collection'!A23</f>
        <v>21</v>
      </c>
      <c r="C462" s="263" t="str">
        <f>'Dry_Litterbag Placem_Collection'!B23</f>
        <v>Makao</v>
      </c>
      <c r="D462" s="263" t="s">
        <v>2659</v>
      </c>
      <c r="E462" s="263" t="s">
        <v>2660</v>
      </c>
      <c r="F462" s="263">
        <v>3</v>
      </c>
      <c r="G462" s="264" t="str">
        <f>'Dry_Litterbag Placem_Collection'!C23</f>
        <v>Dry_Ag3_T5</v>
      </c>
      <c r="H462" s="273" t="s">
        <v>3651</v>
      </c>
      <c r="I462" s="266" t="s">
        <v>1147</v>
      </c>
      <c r="J462" s="263" t="str">
        <f>IF(ISBLANK('Dry_Litterbag Placem_Collection'!L23),"","G"&amp;""&amp;'Dry_Litterbag Placem_Collection'!L23)</f>
        <v>G488</v>
      </c>
      <c r="K462" s="267">
        <f>IFERROR(INDEX('Green_rooibos initial weight'!$C$5:$C$1749,MATCH(J462, 'Green_rooibos initial weight'!$A$5:$A$1749,0)),"")</f>
        <v>1.9910000000000001</v>
      </c>
      <c r="L462" s="267">
        <f>IFERROR(K462-(TBIcalc!$Q$9+TBIcalc!$Q$10),"")</f>
        <v>1.7412000000000001</v>
      </c>
      <c r="M462" s="391">
        <f>AVERAGE(Ashed_controlls!$K$2:$K$11)</f>
        <v>5.5147656768714146</v>
      </c>
      <c r="N462" s="267">
        <f t="shared" si="36"/>
        <v>1.645176900034315</v>
      </c>
      <c r="O462" s="267" t="str">
        <f>IF(IFERROR(INDEX('Both teabags AfterDry'!$D$3:$D$900,MATCH(J462,'Both teabags AfterDry'!$A$3:$A$900,0)),"")="","",(IFERROR(INDEX('Both teabags AfterDry'!$D$3:$D$900,MATCH(J462,'Both teabags AfterDry'!$A$3:$A$900,0)),"")))</f>
        <v/>
      </c>
      <c r="P462" s="267" t="str">
        <f>IFERROR(IF(O462&gt;0,O462-(TBIcalc!$Q$9),""),"")</f>
        <v/>
      </c>
      <c r="Q462" s="278" t="str">
        <f>IFERROR(INDEX('Ashed teabags dry'!$K$2:$K$825,MATCH(J462,'Ashed teabags dry'!$A$2:$A$825,0)),"")</f>
        <v/>
      </c>
      <c r="R462" s="278" t="str">
        <f t="shared" si="37"/>
        <v/>
      </c>
      <c r="S462" s="268">
        <f>'Dry_Litterbag Placem_Collection'!E23</f>
        <v>42936</v>
      </c>
      <c r="T462" s="268">
        <f>IF('Dry_Litterbag Placem_Collection'!G23="","",'Dry_Litterbag Placem_Collection'!G23)</f>
        <v>43007</v>
      </c>
      <c r="U462" s="269">
        <f t="shared" si="35"/>
        <v>71</v>
      </c>
      <c r="V462" s="267" t="str">
        <f t="shared" si="38"/>
        <v/>
      </c>
      <c r="W462" s="267" t="str">
        <f t="shared" si="39"/>
        <v/>
      </c>
      <c r="X462" s="271">
        <f>IFERROR(INDEX(Rainfall_Dry!$O$2:$O$217,MATCH(B462, Rainfall_Dry!$A$2:$A$217,0)),"")</f>
        <v>6.900000125</v>
      </c>
      <c r="Y462" s="260">
        <v>54.080969906906262</v>
      </c>
      <c r="Z462" s="260">
        <v>21.264484651351896</v>
      </c>
      <c r="AA462" s="260">
        <v>24.654545441741845</v>
      </c>
      <c r="AB462" s="261" t="s">
        <v>2673</v>
      </c>
      <c r="AC462" s="260">
        <v>5.8433218334154802</v>
      </c>
      <c r="AD462" t="str">
        <f>IF('WetLitterbags placem_collection'!AB23="","",'WetLitterbags placem_collection'!AB23)</f>
        <v/>
      </c>
      <c r="AE462" t="str">
        <f>IF('WetLitterbags placem_collection'!Z23="","",'WetLitterbags placem_collection'!Z23)</f>
        <v/>
      </c>
      <c r="AF462" s="246" t="str">
        <f>IF('WetLitterbags placem_collection'!AA23="","",'WetLitterbags placem_collection'!AA23)</f>
        <v/>
      </c>
      <c r="AG462" t="str">
        <f>IF('WetLitterbags placem_collection'!AC23="","",'WetLitterbags placem_collection'!AC23)</f>
        <v/>
      </c>
      <c r="AH462">
        <f>IFERROR(AVERAGE('Dry_Litterbag Placem_Collection'!O23,'Dry_Litterbag Placem_Collection'!R23),"")</f>
        <v>13.2</v>
      </c>
      <c r="AI462" s="271">
        <f>IFERROR(AVERAGE('Dry_Litterbag Placem_Collection'!N23,'Dry_Litterbag Placem_Collection'!Q23),"")</f>
        <v>26.1</v>
      </c>
      <c r="AJ462" s="270">
        <f>INDEX(Coordinates!$B$2:$B$197,MATCH(G462,Coordinates!$J$2:$J$197,0))</f>
        <v>-3.3854019919999998</v>
      </c>
      <c r="AK462" s="270">
        <f>INDEX(Coordinates!$C$2:$C$197,MATCH(G462,Coordinates!$J$2:$J$197,0))</f>
        <v>34.81894604</v>
      </c>
      <c r="AL462" s="270" t="str">
        <f>IF(ISNUMBER(SEARCH("C", 'Dry_Litterbag Placem_Collection'!U23)),"YES","NO")</f>
        <v>NO</v>
      </c>
      <c r="AM462" s="270" t="str">
        <f>IF(ISNUMBER(SEARCH("H", 'Dry_Litterbag Placem_Collection'!U23)),"YES","NO")</f>
        <v>NO</v>
      </c>
      <c r="AN462" s="270" t="str">
        <f>IF(ISNUMBER(SEARCH("R", 'Dry_Litterbag Placem_Collection'!U23)),"YES","NO")</f>
        <v>NO</v>
      </c>
    </row>
    <row r="463" spans="1:40" ht="15" customHeight="1">
      <c r="A463" s="262" t="s">
        <v>2659</v>
      </c>
      <c r="B463" s="263">
        <f>'Dry_Litterbag Placem_Collection'!A24</f>
        <v>22</v>
      </c>
      <c r="C463" s="263" t="str">
        <f>'Dry_Litterbag Placem_Collection'!B24</f>
        <v>Makao</v>
      </c>
      <c r="D463" s="263" t="s">
        <v>2659</v>
      </c>
      <c r="E463" s="263" t="s">
        <v>2660</v>
      </c>
      <c r="F463" s="263">
        <v>3</v>
      </c>
      <c r="G463" s="264" t="str">
        <f>'Dry_Litterbag Placem_Collection'!C24</f>
        <v>Dry_Ag3_T6</v>
      </c>
      <c r="H463" s="273" t="s">
        <v>3651</v>
      </c>
      <c r="I463" s="266" t="s">
        <v>1147</v>
      </c>
      <c r="J463" s="263" t="str">
        <f>IF(ISBLANK('Dry_Litterbag Placem_Collection'!L24),"","G"&amp;""&amp;'Dry_Litterbag Placem_Collection'!L24)</f>
        <v>G750</v>
      </c>
      <c r="K463" s="267">
        <f>IFERROR(INDEX('Green_rooibos initial weight'!$C$5:$C$1749,MATCH(J463, 'Green_rooibos initial weight'!$A$5:$A$1749,0)),"")</f>
        <v>1.966</v>
      </c>
      <c r="L463" s="267">
        <f>IFERROR(K463-(TBIcalc!$Q$9+TBIcalc!$Q$10),"")</f>
        <v>1.7161999999999999</v>
      </c>
      <c r="M463" s="391">
        <f>AVERAGE(Ashed_controlls!$K$2:$K$11)</f>
        <v>5.5147656768714146</v>
      </c>
      <c r="N463" s="267">
        <f t="shared" si="36"/>
        <v>1.6215555914535327</v>
      </c>
      <c r="O463" s="267">
        <f>IF(IFERROR(INDEX('Both teabags AfterDry'!$D$3:$D$900,MATCH(J463,'Both teabags AfterDry'!$A$3:$A$900,0)),"")="","",(IFERROR(INDEX('Both teabags AfterDry'!$D$3:$D$900,MATCH(J463,'Both teabags AfterDry'!$A$3:$A$900,0)),"")))</f>
        <v>1.3833</v>
      </c>
      <c r="P463" s="267">
        <f>IFERROR(IF(O463&gt;0,O463-(TBIcalc!$Q$9),""),"")</f>
        <v>1.2326999999999999</v>
      </c>
      <c r="Q463" s="278">
        <f>IFERROR(INDEX('Ashed teabags dry'!$K$2:$K$825,MATCH(J463,'Ashed teabags dry'!$A$2:$A$825,0)),"")</f>
        <v>8.0118694362018044</v>
      </c>
      <c r="R463" s="278">
        <f t="shared" si="37"/>
        <v>1.1339376854599403</v>
      </c>
      <c r="S463" s="268">
        <f>'Dry_Litterbag Placem_Collection'!E24</f>
        <v>42936</v>
      </c>
      <c r="T463" s="268">
        <f>IF('Dry_Litterbag Placem_Collection'!G24="","",'Dry_Litterbag Placem_Collection'!G24)</f>
        <v>43007</v>
      </c>
      <c r="U463" s="269">
        <f t="shared" si="35"/>
        <v>71</v>
      </c>
      <c r="V463" s="267">
        <f t="shared" si="38"/>
        <v>0.48350000000000004</v>
      </c>
      <c r="W463" s="267">
        <f t="shared" si="39"/>
        <v>0.48761790599359234</v>
      </c>
      <c r="X463" s="271">
        <f>IFERROR(INDEX(Rainfall_Dry!$O$2:$O$217,MATCH(B463, Rainfall_Dry!$A$2:$A$217,0)),"")</f>
        <v>6.900000125</v>
      </c>
      <c r="Y463" s="260">
        <v>54.080969906906262</v>
      </c>
      <c r="Z463" s="260">
        <v>21.264484651351896</v>
      </c>
      <c r="AA463" s="260">
        <v>24.654545441741845</v>
      </c>
      <c r="AB463" s="261" t="s">
        <v>2673</v>
      </c>
      <c r="AC463" s="260">
        <v>6.8433218334154802</v>
      </c>
      <c r="AD463" t="str">
        <f>IF('WetLitterbags placem_collection'!AB24="","",'WetLitterbags placem_collection'!AB24)</f>
        <v/>
      </c>
      <c r="AE463" t="str">
        <f>IF('WetLitterbags placem_collection'!Z24="","",'WetLitterbags placem_collection'!Z24)</f>
        <v/>
      </c>
      <c r="AF463" s="246" t="str">
        <f>IF('WetLitterbags placem_collection'!AA24="","",'WetLitterbags placem_collection'!AA24)</f>
        <v/>
      </c>
      <c r="AG463" t="str">
        <f>IF('WetLitterbags placem_collection'!AC24="","",'WetLitterbags placem_collection'!AC24)</f>
        <v/>
      </c>
      <c r="AH463">
        <f>IFERROR(AVERAGE('Dry_Litterbag Placem_Collection'!O24,'Dry_Litterbag Placem_Collection'!R24),"")</f>
        <v>19.05</v>
      </c>
      <c r="AI463" s="271">
        <f>IFERROR(AVERAGE('Dry_Litterbag Placem_Collection'!N24,'Dry_Litterbag Placem_Collection'!Q24),"")</f>
        <v>25.75</v>
      </c>
      <c r="AJ463" s="270">
        <f>INDEX(Coordinates!$B$2:$B$197,MATCH(G463,Coordinates!$J$2:$J$197,0))</f>
        <v>-3.3854470029999999</v>
      </c>
      <c r="AK463" s="270">
        <f>INDEX(Coordinates!$C$2:$C$197,MATCH(G463,Coordinates!$J$2:$J$197,0))</f>
        <v>34.818946959999998</v>
      </c>
      <c r="AL463" s="270" t="str">
        <f>IF(ISNUMBER(SEARCH("C", 'Dry_Litterbag Placem_Collection'!U24)),"YES","NO")</f>
        <v>NO</v>
      </c>
      <c r="AM463" s="270" t="str">
        <f>IF(ISNUMBER(SEARCH("H", 'Dry_Litterbag Placem_Collection'!U24)),"YES","NO")</f>
        <v>NO</v>
      </c>
      <c r="AN463" s="270" t="str">
        <f>IF(ISNUMBER(SEARCH("R", 'Dry_Litterbag Placem_Collection'!U24)),"YES","NO")</f>
        <v>NO</v>
      </c>
    </row>
    <row r="464" spans="1:40" ht="15" customHeight="1">
      <c r="A464" s="262" t="s">
        <v>2659</v>
      </c>
      <c r="B464" s="263">
        <f>'Dry_Litterbag Placem_Collection'!A25</f>
        <v>23</v>
      </c>
      <c r="C464" s="263" t="str">
        <f>'Dry_Litterbag Placem_Collection'!B25</f>
        <v>Makao</v>
      </c>
      <c r="D464" s="263" t="s">
        <v>2659</v>
      </c>
      <c r="E464" s="263" t="s">
        <v>2660</v>
      </c>
      <c r="F464" s="263">
        <v>3</v>
      </c>
      <c r="G464" s="264" t="str">
        <f>'Dry_Litterbag Placem_Collection'!C25</f>
        <v>Dry_Ag3_T7</v>
      </c>
      <c r="H464" s="273" t="s">
        <v>3651</v>
      </c>
      <c r="I464" s="266" t="s">
        <v>1147</v>
      </c>
      <c r="J464" s="263" t="str">
        <f>IF(ISBLANK('Dry_Litterbag Placem_Collection'!L25),"","G"&amp;""&amp;'Dry_Litterbag Placem_Collection'!L25)</f>
        <v/>
      </c>
      <c r="K464" s="267" t="str">
        <f>IFERROR(INDEX('Green_rooibos initial weight'!$C$5:$C$1749,MATCH(J464, 'Green_rooibos initial weight'!$A$5:$A$1749,0)),"")</f>
        <v/>
      </c>
      <c r="L464" s="267" t="str">
        <f>IFERROR(K464-(TBIcalc!$Q$9+TBIcalc!$Q$10),"")</f>
        <v/>
      </c>
      <c r="M464" s="391">
        <f>AVERAGE(Ashed_controlls!$K$2:$K$11)</f>
        <v>5.5147656768714146</v>
      </c>
      <c r="N464" s="267" t="str">
        <f t="shared" si="36"/>
        <v/>
      </c>
      <c r="O464" s="267" t="str">
        <f>IF(IFERROR(INDEX('Both teabags AfterDry'!$D$3:$D$900,MATCH(J464,'Both teabags AfterDry'!$A$3:$A$900,0)),"")="","",(IFERROR(INDEX('Both teabags AfterDry'!$D$3:$D$900,MATCH(J464,'Both teabags AfterDry'!$A$3:$A$900,0)),"")))</f>
        <v/>
      </c>
      <c r="P464" s="267" t="str">
        <f>IFERROR(IF(O464&gt;0,O464-(TBIcalc!$Q$9),""),"")</f>
        <v/>
      </c>
      <c r="Q464" s="278" t="str">
        <f>IFERROR(INDEX('Ashed teabags dry'!$K$2:$K$825,MATCH(J464,'Ashed teabags dry'!$A$2:$A$825,0)),"")</f>
        <v/>
      </c>
      <c r="R464" s="278" t="str">
        <f t="shared" si="37"/>
        <v/>
      </c>
      <c r="S464" s="268">
        <f>'Dry_Litterbag Placem_Collection'!E25</f>
        <v>0</v>
      </c>
      <c r="T464" s="268" t="str">
        <f>IF('Dry_Litterbag Placem_Collection'!G25="","",'Dry_Litterbag Placem_Collection'!G25)</f>
        <v/>
      </c>
      <c r="U464" s="269" t="str">
        <f t="shared" si="35"/>
        <v/>
      </c>
      <c r="V464" s="267" t="str">
        <f t="shared" si="38"/>
        <v/>
      </c>
      <c r="W464" s="267" t="str">
        <f t="shared" si="39"/>
        <v/>
      </c>
      <c r="X464" s="271" t="str">
        <f>IFERROR(INDEX(Rainfall_Dry!$O$2:$O$217,MATCH(B464, Rainfall_Dry!$A$2:$A$217,0)),"")</f>
        <v/>
      </c>
      <c r="Y464" s="260">
        <v>54.080969906906262</v>
      </c>
      <c r="Z464" s="260">
        <v>21.264484651351896</v>
      </c>
      <c r="AA464" s="260">
        <v>24.654545441741845</v>
      </c>
      <c r="AB464" s="261" t="s">
        <v>2673</v>
      </c>
      <c r="AC464" s="260">
        <v>7.8433218334154802</v>
      </c>
      <c r="AD464" t="str">
        <f>IF('WetLitterbags placem_collection'!AB25="","",'WetLitterbags placem_collection'!AB25)</f>
        <v/>
      </c>
      <c r="AE464" t="str">
        <f>IF('WetLitterbags placem_collection'!Z25="","",'WetLitterbags placem_collection'!Z25)</f>
        <v/>
      </c>
      <c r="AF464" s="246" t="str">
        <f>IF('WetLitterbags placem_collection'!AA25="","",'WetLitterbags placem_collection'!AA25)</f>
        <v/>
      </c>
      <c r="AG464" t="str">
        <f>IF('WetLitterbags placem_collection'!AC25="","",'WetLitterbags placem_collection'!AC25)</f>
        <v/>
      </c>
      <c r="AH464" t="str">
        <f>IFERROR(AVERAGE('Dry_Litterbag Placem_Collection'!O25,'Dry_Litterbag Placem_Collection'!R25),"")</f>
        <v/>
      </c>
      <c r="AI464" s="271" t="str">
        <f>IFERROR(AVERAGE('Dry_Litterbag Placem_Collection'!N25,'Dry_Litterbag Placem_Collection'!Q25),"")</f>
        <v/>
      </c>
      <c r="AJ464" s="270">
        <f>INDEX(Coordinates!$B$2:$B$197,MATCH(G464,Coordinates!$J$2:$J$197,0))</f>
        <v>-3.3854200130000001</v>
      </c>
      <c r="AK464" s="270">
        <f>INDEX(Coordinates!$C$2:$C$197,MATCH(G464,Coordinates!$J$2:$J$197,0))</f>
        <v>34.818856019999998</v>
      </c>
      <c r="AL464" s="270" t="str">
        <f>IF(ISNUMBER(SEARCH("C", 'Dry_Litterbag Placem_Collection'!U25)),"YES","NO")</f>
        <v>NO</v>
      </c>
      <c r="AM464" s="270" t="str">
        <f>IF(ISNUMBER(SEARCH("H", 'Dry_Litterbag Placem_Collection'!U25)),"YES","NO")</f>
        <v>NO</v>
      </c>
      <c r="AN464" s="270" t="str">
        <f>IF(ISNUMBER(SEARCH("R", 'Dry_Litterbag Placem_Collection'!U25)),"YES","NO")</f>
        <v>NO</v>
      </c>
    </row>
    <row r="465" spans="1:40" ht="15" customHeight="1">
      <c r="A465" s="262" t="s">
        <v>2659</v>
      </c>
      <c r="B465" s="263">
        <f>'Dry_Litterbag Placem_Collection'!A26</f>
        <v>24</v>
      </c>
      <c r="C465" s="263" t="str">
        <f>'Dry_Litterbag Placem_Collection'!B26</f>
        <v>Makao</v>
      </c>
      <c r="D465" s="263" t="s">
        <v>2659</v>
      </c>
      <c r="E465" s="263" t="s">
        <v>2660</v>
      </c>
      <c r="F465" s="263">
        <v>3</v>
      </c>
      <c r="G465" s="264" t="str">
        <f>'Dry_Litterbag Placem_Collection'!C26</f>
        <v>Dry_Ag3_T8</v>
      </c>
      <c r="H465" s="273" t="s">
        <v>3651</v>
      </c>
      <c r="I465" s="266" t="s">
        <v>1147</v>
      </c>
      <c r="J465" s="263" t="str">
        <f>IF(ISBLANK('Dry_Litterbag Placem_Collection'!L26),"","G"&amp;""&amp;'Dry_Litterbag Placem_Collection'!L26)</f>
        <v>G562</v>
      </c>
      <c r="K465" s="267">
        <f>IFERROR(INDEX('Green_rooibos initial weight'!$C$5:$C$1749,MATCH(J465, 'Green_rooibos initial weight'!$A$5:$A$1749,0)),"")</f>
        <v>2.1419999999999999</v>
      </c>
      <c r="L465" s="267">
        <f>IFERROR(K465-(TBIcalc!$Q$9+TBIcalc!$Q$10),"")</f>
        <v>1.8921999999999999</v>
      </c>
      <c r="M465" s="391">
        <f>AVERAGE(Ashed_controlls!$K$2:$K$11)</f>
        <v>5.5147656768714146</v>
      </c>
      <c r="N465" s="267">
        <f t="shared" si="36"/>
        <v>1.7878496038622389</v>
      </c>
      <c r="O465" s="267">
        <f>IF(IFERROR(INDEX('Both teabags AfterDry'!$D$3:$D$900,MATCH(J465,'Both teabags AfterDry'!$A$3:$A$900,0)),"")="","",(IFERROR(INDEX('Both teabags AfterDry'!$D$3:$D$900,MATCH(J465,'Both teabags AfterDry'!$A$3:$A$900,0)),"")))</f>
        <v>1.8862000000000001</v>
      </c>
      <c r="P465" s="267">
        <f>IFERROR(IF(O465&gt;0,O465-(TBIcalc!$Q$9),""),"")</f>
        <v>1.7356</v>
      </c>
      <c r="Q465" s="278">
        <f>IFERROR(INDEX('Ashed teabags dry'!$K$2:$K$825,MATCH(J465,'Ashed teabags dry'!$A$2:$A$825,0)),"")</f>
        <v>6.1334641805691774</v>
      </c>
      <c r="R465" s="278">
        <f t="shared" si="37"/>
        <v>1.6291475956820414</v>
      </c>
      <c r="S465" s="268">
        <f>'Dry_Litterbag Placem_Collection'!E26</f>
        <v>42936</v>
      </c>
      <c r="T465" s="268">
        <f>IF('Dry_Litterbag Placem_Collection'!G26="","",'Dry_Litterbag Placem_Collection'!G26)</f>
        <v>43007</v>
      </c>
      <c r="U465" s="269">
        <f t="shared" si="35"/>
        <v>71</v>
      </c>
      <c r="V465" s="267">
        <f t="shared" si="38"/>
        <v>0.15659999999999985</v>
      </c>
      <c r="W465" s="267">
        <f t="shared" si="39"/>
        <v>0.15870200818019753</v>
      </c>
      <c r="X465" s="271">
        <f>IFERROR(INDEX(Rainfall_Dry!$O$2:$O$217,MATCH(B465, Rainfall_Dry!$A$2:$A$217,0)),"")</f>
        <v>6.900000125</v>
      </c>
      <c r="Y465" s="260">
        <v>54.080969906906262</v>
      </c>
      <c r="Z465" s="260">
        <v>21.264484651351896</v>
      </c>
      <c r="AA465" s="260">
        <v>24.654545441741845</v>
      </c>
      <c r="AB465" s="261" t="s">
        <v>2673</v>
      </c>
      <c r="AC465" s="260">
        <v>8.8433218334154695</v>
      </c>
      <c r="AD465" t="str">
        <f>IF('WetLitterbags placem_collection'!AB26="","",'WetLitterbags placem_collection'!AB26)</f>
        <v/>
      </c>
      <c r="AE465" t="str">
        <f>IF('WetLitterbags placem_collection'!Z26="","",'WetLitterbags placem_collection'!Z26)</f>
        <v/>
      </c>
      <c r="AF465" s="246" t="str">
        <f>IF('WetLitterbags placem_collection'!AA26="","",'WetLitterbags placem_collection'!AA26)</f>
        <v/>
      </c>
      <c r="AG465" t="str">
        <f>IF('WetLitterbags placem_collection'!AC26="","",'WetLitterbags placem_collection'!AC26)</f>
        <v/>
      </c>
      <c r="AH465">
        <f>IFERROR(AVERAGE('Dry_Litterbag Placem_Collection'!O26,'Dry_Litterbag Placem_Collection'!R26),"")</f>
        <v>15.6</v>
      </c>
      <c r="AI465" s="271">
        <f>IFERROR(AVERAGE('Dry_Litterbag Placem_Collection'!N26,'Dry_Litterbag Placem_Collection'!Q26),"")</f>
        <v>25.5</v>
      </c>
      <c r="AJ465" s="270">
        <f>INDEX(Coordinates!$B$2:$B$197,MATCH(G465,Coordinates!$J$2:$J$197,0))</f>
        <v>-3.3853829649999998</v>
      </c>
      <c r="AK465" s="270">
        <f>INDEX(Coordinates!$C$2:$C$197,MATCH(G465,Coordinates!$J$2:$J$197,0))</f>
        <v>34.818877980000003</v>
      </c>
      <c r="AL465" s="270" t="str">
        <f>IF(ISNUMBER(SEARCH("C", 'Dry_Litterbag Placem_Collection'!U26)),"YES","NO")</f>
        <v>NO</v>
      </c>
      <c r="AM465" s="270" t="str">
        <f>IF(ISNUMBER(SEARCH("H", 'Dry_Litterbag Placem_Collection'!U26)),"YES","NO")</f>
        <v>NO</v>
      </c>
      <c r="AN465" s="270" t="str">
        <f>IF(ISNUMBER(SEARCH("R", 'Dry_Litterbag Placem_Collection'!U26)),"YES","NO")</f>
        <v>NO</v>
      </c>
    </row>
    <row r="466" spans="1:40" ht="15" customHeight="1">
      <c r="A466" s="262" t="s">
        <v>2659</v>
      </c>
      <c r="B466" s="263">
        <f>'Dry_Litterbag Placem_Collection'!A27</f>
        <v>25</v>
      </c>
      <c r="C466" s="263" t="str">
        <f>'Dry_Litterbag Placem_Collection'!B27</f>
        <v>Makao</v>
      </c>
      <c r="D466" s="263" t="s">
        <v>2659</v>
      </c>
      <c r="E466" s="263" t="s">
        <v>2660</v>
      </c>
      <c r="F466" s="263">
        <v>4</v>
      </c>
      <c r="G466" s="264" t="str">
        <f>'Dry_Litterbag Placem_Collection'!C27</f>
        <v>Dry_Ag4_T1</v>
      </c>
      <c r="H466" s="273" t="s">
        <v>3651</v>
      </c>
      <c r="I466" s="266" t="s">
        <v>1147</v>
      </c>
      <c r="J466" s="263" t="str">
        <f>IF(ISBLANK('Dry_Litterbag Placem_Collection'!L27),"","G"&amp;""&amp;'Dry_Litterbag Placem_Collection'!L27)</f>
        <v>G156</v>
      </c>
      <c r="K466" s="267">
        <f>IFERROR(INDEX('Green_rooibos initial weight'!$C$5:$C$1749,MATCH(J466, 'Green_rooibos initial weight'!$A$5:$A$1749,0)),"")</f>
        <v>1.944</v>
      </c>
      <c r="L466" s="267">
        <f>IFERROR(K466-(TBIcalc!$Q$9+TBIcalc!$Q$10),"")</f>
        <v>1.6941999999999999</v>
      </c>
      <c r="M466" s="391">
        <f>AVERAGE(Ashed_controlls!$K$2:$K$11)</f>
        <v>5.5147656768714146</v>
      </c>
      <c r="N466" s="267">
        <f t="shared" si="36"/>
        <v>1.6007688399024445</v>
      </c>
      <c r="O466" s="267">
        <f>IF(IFERROR(INDEX('Both teabags AfterDry'!$D$3:$D$900,MATCH(J466,'Both teabags AfterDry'!$A$3:$A$900,0)),"")="","",(IFERROR(INDEX('Both teabags AfterDry'!$D$3:$D$900,MATCH(J466,'Both teabags AfterDry'!$A$3:$A$900,0)),"")))</f>
        <v>1.8079000000000001</v>
      </c>
      <c r="P466" s="267">
        <f>IFERROR(IF(O466&gt;0,O466-(TBIcalc!$Q$9),""),"")</f>
        <v>1.6573</v>
      </c>
      <c r="Q466" s="278">
        <f>IFERROR(INDEX('Ashed teabags dry'!$K$2:$K$825,MATCH(J466,'Ashed teabags dry'!$A$2:$A$825,0)),"")</f>
        <v>5.9562587249876717</v>
      </c>
      <c r="R466" s="278">
        <f t="shared" si="37"/>
        <v>1.5585869241507793</v>
      </c>
      <c r="S466" s="268">
        <f>'Dry_Litterbag Placem_Collection'!E27</f>
        <v>42936</v>
      </c>
      <c r="T466" s="268">
        <f>IF('Dry_Litterbag Placem_Collection'!G27="","",'Dry_Litterbag Placem_Collection'!G27)</f>
        <v>43007</v>
      </c>
      <c r="U466" s="269">
        <f t="shared" si="35"/>
        <v>71</v>
      </c>
      <c r="V466" s="267">
        <f t="shared" si="38"/>
        <v>3.6899999999999933E-2</v>
      </c>
      <c r="W466" s="267">
        <f t="shared" si="39"/>
        <v>4.2181915751665189E-2</v>
      </c>
      <c r="X466" s="271">
        <f>IFERROR(INDEX(Rainfall_Dry!$O$2:$O$217,MATCH(B466, Rainfall_Dry!$A$2:$A$217,0)),"")</f>
        <v>6.900000125</v>
      </c>
      <c r="Y466" s="260">
        <v>51.960000000000008</v>
      </c>
      <c r="Z466" s="260">
        <v>18.919999999999995</v>
      </c>
      <c r="AA466" s="260">
        <v>29.120000000000005</v>
      </c>
      <c r="AB466" s="261" t="s">
        <v>2673</v>
      </c>
      <c r="AC466" s="260">
        <v>1.85293247905372</v>
      </c>
      <c r="AD466" t="str">
        <f>IF('WetLitterbags placem_collection'!AB27="","",'WetLitterbags placem_collection'!AB27)</f>
        <v/>
      </c>
      <c r="AE466" t="str">
        <f>IF('WetLitterbags placem_collection'!Z27="","",'WetLitterbags placem_collection'!Z27)</f>
        <v/>
      </c>
      <c r="AF466" s="246" t="str">
        <f>IF('WetLitterbags placem_collection'!AA27="","",'WetLitterbags placem_collection'!AA27)</f>
        <v/>
      </c>
      <c r="AG466" t="str">
        <f>IF('WetLitterbags placem_collection'!AC27="","",'WetLitterbags placem_collection'!AC27)</f>
        <v/>
      </c>
      <c r="AH466">
        <f>IFERROR(AVERAGE('Dry_Litterbag Placem_Collection'!O27,'Dry_Litterbag Placem_Collection'!R27),"")</f>
        <v>9.85</v>
      </c>
      <c r="AI466" s="271">
        <f>IFERROR(AVERAGE('Dry_Litterbag Placem_Collection'!N27,'Dry_Litterbag Placem_Collection'!Q27),"")</f>
        <v>25.4</v>
      </c>
      <c r="AJ466" s="270">
        <f>INDEX(Coordinates!$B$2:$B$197,MATCH(G466,Coordinates!$J$2:$J$197,0))</f>
        <v>-3.3849129919999998</v>
      </c>
      <c r="AK466" s="270">
        <f>INDEX(Coordinates!$C$2:$C$197,MATCH(G466,Coordinates!$J$2:$J$197,0))</f>
        <v>34.818899020000003</v>
      </c>
      <c r="AL466" s="270" t="str">
        <f>IF(ISNUMBER(SEARCH("C", 'Dry_Litterbag Placem_Collection'!U27)),"YES","NO")</f>
        <v>NO</v>
      </c>
      <c r="AM466" s="270" t="str">
        <f>IF(ISNUMBER(SEARCH("H", 'Dry_Litterbag Placem_Collection'!U27)),"YES","NO")</f>
        <v>NO</v>
      </c>
      <c r="AN466" s="270" t="str">
        <f>IF(ISNUMBER(SEARCH("R", 'Dry_Litterbag Placem_Collection'!U27)),"YES","NO")</f>
        <v>NO</v>
      </c>
    </row>
    <row r="467" spans="1:40" ht="15" customHeight="1">
      <c r="A467" s="262" t="s">
        <v>2659</v>
      </c>
      <c r="B467" s="263">
        <f>'Dry_Litterbag Placem_Collection'!A28</f>
        <v>26</v>
      </c>
      <c r="C467" s="263" t="str">
        <f>'Dry_Litterbag Placem_Collection'!B28</f>
        <v>Makao</v>
      </c>
      <c r="D467" s="263" t="s">
        <v>2659</v>
      </c>
      <c r="E467" s="263" t="s">
        <v>2660</v>
      </c>
      <c r="F467" s="263">
        <v>4</v>
      </c>
      <c r="G467" s="264" t="str">
        <f>'Dry_Litterbag Placem_Collection'!C28</f>
        <v>Dry_Ag4_T2</v>
      </c>
      <c r="H467" s="273" t="s">
        <v>3651</v>
      </c>
      <c r="I467" s="266" t="s">
        <v>1147</v>
      </c>
      <c r="J467" s="263" t="str">
        <f>IF(ISBLANK('Dry_Litterbag Placem_Collection'!L28),"","G"&amp;""&amp;'Dry_Litterbag Placem_Collection'!L28)</f>
        <v>G555</v>
      </c>
      <c r="K467" s="267">
        <f>IFERROR(INDEX('Green_rooibos initial weight'!$C$5:$C$1749,MATCH(J467, 'Green_rooibos initial weight'!$A$5:$A$1749,0)),"")</f>
        <v>2.1469999999999998</v>
      </c>
      <c r="L467" s="267">
        <f>IFERROR(K467-(TBIcalc!$Q$9+TBIcalc!$Q$10),"")</f>
        <v>1.8971999999999998</v>
      </c>
      <c r="M467" s="391">
        <f>AVERAGE(Ashed_controlls!$K$2:$K$11)</f>
        <v>5.5147656768714146</v>
      </c>
      <c r="N467" s="267">
        <f t="shared" si="36"/>
        <v>1.7925738655783954</v>
      </c>
      <c r="O467" s="267">
        <f>IF(IFERROR(INDEX('Both teabags AfterDry'!$D$3:$D$900,MATCH(J467,'Both teabags AfterDry'!$A$3:$A$900,0)),"")="","",(IFERROR(INDEX('Both teabags AfterDry'!$D$3:$D$900,MATCH(J467,'Both teabags AfterDry'!$A$3:$A$900,0)),"")))</f>
        <v>2.0030000000000001</v>
      </c>
      <c r="P467" s="267">
        <f>IFERROR(IF(O467&gt;0,O467-(TBIcalc!$Q$9),""),"")</f>
        <v>1.8524</v>
      </c>
      <c r="Q467" s="278">
        <f>IFERROR(INDEX('Ashed teabags dry'!$K$2:$K$825,MATCH(J467,'Ashed teabags dry'!$A$2:$A$825,0)),"")</f>
        <v>6.0509554140126784</v>
      </c>
      <c r="R467" s="278">
        <f t="shared" si="37"/>
        <v>1.7403121019108292</v>
      </c>
      <c r="S467" s="268">
        <f>'Dry_Litterbag Placem_Collection'!E28</f>
        <v>42936</v>
      </c>
      <c r="T467" s="268">
        <f>IF('Dry_Litterbag Placem_Collection'!G28="","",'Dry_Litterbag Placem_Collection'!G28)</f>
        <v>43007</v>
      </c>
      <c r="U467" s="269">
        <f t="shared" si="35"/>
        <v>71</v>
      </c>
      <c r="V467" s="267">
        <f t="shared" si="38"/>
        <v>4.4799999999999729E-2</v>
      </c>
      <c r="W467" s="267">
        <f t="shared" si="39"/>
        <v>5.2261763667566186E-2</v>
      </c>
      <c r="X467" s="271">
        <f>IFERROR(INDEX(Rainfall_Dry!$O$2:$O$217,MATCH(B467, Rainfall_Dry!$A$2:$A$217,0)),"")</f>
        <v>6.900000125</v>
      </c>
      <c r="Y467" s="260">
        <v>51.960000000000008</v>
      </c>
      <c r="Z467" s="260">
        <v>18.919999999999995</v>
      </c>
      <c r="AA467" s="260">
        <v>29.120000000000005</v>
      </c>
      <c r="AB467" s="261" t="s">
        <v>2673</v>
      </c>
      <c r="AC467" s="260">
        <v>2.8529324790537198</v>
      </c>
      <c r="AD467" t="str">
        <f>IF('WetLitterbags placem_collection'!AB28="","",'WetLitterbags placem_collection'!AB28)</f>
        <v/>
      </c>
      <c r="AE467" t="str">
        <f>IF('WetLitterbags placem_collection'!Z28="","",'WetLitterbags placem_collection'!Z28)</f>
        <v/>
      </c>
      <c r="AF467" s="246" t="str">
        <f>IF('WetLitterbags placem_collection'!AA28="","",'WetLitterbags placem_collection'!AA28)</f>
        <v/>
      </c>
      <c r="AG467" t="str">
        <f>IF('WetLitterbags placem_collection'!AC28="","",'WetLitterbags placem_collection'!AC28)</f>
        <v/>
      </c>
      <c r="AH467">
        <f>IFERROR(AVERAGE('Dry_Litterbag Placem_Collection'!O28,'Dry_Litterbag Placem_Collection'!R28),"")</f>
        <v>8.1</v>
      </c>
      <c r="AI467" s="271">
        <f>IFERROR(AVERAGE('Dry_Litterbag Placem_Collection'!N28,'Dry_Litterbag Placem_Collection'!Q28),"")</f>
        <v>25.85</v>
      </c>
      <c r="AJ467" s="270">
        <f>INDEX(Coordinates!$B$2:$B$197,MATCH(G467,Coordinates!$J$2:$J$197,0))</f>
        <v>-3.3849689999999999</v>
      </c>
      <c r="AK467" s="270">
        <f>INDEX(Coordinates!$C$2:$C$197,MATCH(G467,Coordinates!$J$2:$J$197,0))</f>
        <v>34.818908</v>
      </c>
      <c r="AL467" s="270" t="str">
        <f>IF(ISNUMBER(SEARCH("C", 'Dry_Litterbag Placem_Collection'!U28)),"YES","NO")</f>
        <v>NO</v>
      </c>
      <c r="AM467" s="270" t="str">
        <f>IF(ISNUMBER(SEARCH("H", 'Dry_Litterbag Placem_Collection'!U28)),"YES","NO")</f>
        <v>NO</v>
      </c>
      <c r="AN467" s="270" t="str">
        <f>IF(ISNUMBER(SEARCH("R", 'Dry_Litterbag Placem_Collection'!U28)),"YES","NO")</f>
        <v>NO</v>
      </c>
    </row>
    <row r="468" spans="1:40" ht="15" customHeight="1">
      <c r="A468" s="262" t="s">
        <v>2659</v>
      </c>
      <c r="B468" s="263">
        <f>'Dry_Litterbag Placem_Collection'!A29</f>
        <v>27</v>
      </c>
      <c r="C468" s="263" t="str">
        <f>'Dry_Litterbag Placem_Collection'!B29</f>
        <v>Makao</v>
      </c>
      <c r="D468" s="263" t="s">
        <v>2659</v>
      </c>
      <c r="E468" s="263" t="s">
        <v>2660</v>
      </c>
      <c r="F468" s="263">
        <v>4</v>
      </c>
      <c r="G468" s="264" t="str">
        <f>'Dry_Litterbag Placem_Collection'!C29</f>
        <v>Dry_Ag4_T3</v>
      </c>
      <c r="H468" s="273" t="s">
        <v>3651</v>
      </c>
      <c r="I468" s="266" t="s">
        <v>1147</v>
      </c>
      <c r="J468" s="263" t="str">
        <f>IF(ISBLANK('Dry_Litterbag Placem_Collection'!L29),"","G"&amp;""&amp;'Dry_Litterbag Placem_Collection'!L29)</f>
        <v>G378</v>
      </c>
      <c r="K468" s="267">
        <f>IFERROR(INDEX('Green_rooibos initial weight'!$C$5:$C$1749,MATCH(J468, 'Green_rooibos initial weight'!$A$5:$A$1749,0)),"")</f>
        <v>2.0830000000000002</v>
      </c>
      <c r="L468" s="267">
        <f>IFERROR(K468-(TBIcalc!$Q$9+TBIcalc!$Q$10),"")</f>
        <v>1.8332000000000002</v>
      </c>
      <c r="M468" s="391">
        <f>AVERAGE(Ashed_controlls!$K$2:$K$11)</f>
        <v>5.5147656768714146</v>
      </c>
      <c r="N468" s="267">
        <f t="shared" si="36"/>
        <v>1.7321033156115935</v>
      </c>
      <c r="O468" s="267" t="str">
        <f>IF(IFERROR(INDEX('Both teabags AfterDry'!$D$3:$D$900,MATCH(J468,'Both teabags AfterDry'!$A$3:$A$900,0)),"")="","",(IFERROR(INDEX('Both teabags AfterDry'!$D$3:$D$900,MATCH(J468,'Both teabags AfterDry'!$A$3:$A$900,0)),"")))</f>
        <v/>
      </c>
      <c r="P468" s="267" t="str">
        <f>IFERROR(IF(O468&gt;0,O468-(TBIcalc!$Q$9),""),"")</f>
        <v/>
      </c>
      <c r="Q468" s="278" t="str">
        <f>IFERROR(INDEX('Ashed teabags dry'!$K$2:$K$825,MATCH(J468,'Ashed teabags dry'!$A$2:$A$825,0)),"")</f>
        <v/>
      </c>
      <c r="R468" s="278" t="str">
        <f t="shared" si="37"/>
        <v/>
      </c>
      <c r="S468" s="268">
        <f>'Dry_Litterbag Placem_Collection'!E29</f>
        <v>42936</v>
      </c>
      <c r="T468" s="268">
        <f>IF('Dry_Litterbag Placem_Collection'!G29="","",'Dry_Litterbag Placem_Collection'!G29)</f>
        <v>43007</v>
      </c>
      <c r="U468" s="269">
        <f t="shared" si="35"/>
        <v>71</v>
      </c>
      <c r="V468" s="267" t="str">
        <f t="shared" si="38"/>
        <v/>
      </c>
      <c r="W468" s="267" t="str">
        <f t="shared" si="39"/>
        <v/>
      </c>
      <c r="X468" s="271">
        <f>IFERROR(INDEX(Rainfall_Dry!$O$2:$O$217,MATCH(B468, Rainfall_Dry!$A$2:$A$217,0)),"")</f>
        <v>6.900000125</v>
      </c>
      <c r="Y468" s="260">
        <v>51.960000000000008</v>
      </c>
      <c r="Z468" s="260">
        <v>18.919999999999995</v>
      </c>
      <c r="AA468" s="260">
        <v>29.120000000000005</v>
      </c>
      <c r="AB468" s="261" t="s">
        <v>2673</v>
      </c>
      <c r="AC468" s="260">
        <v>3.8529324790537198</v>
      </c>
      <c r="AD468" t="str">
        <f>IF('WetLitterbags placem_collection'!AB29="","",'WetLitterbags placem_collection'!AB29)</f>
        <v/>
      </c>
      <c r="AE468" t="str">
        <f>IF('WetLitterbags placem_collection'!Z29="","",'WetLitterbags placem_collection'!Z29)</f>
        <v/>
      </c>
      <c r="AF468" s="246" t="str">
        <f>IF('WetLitterbags placem_collection'!AA29="","",'WetLitterbags placem_collection'!AA29)</f>
        <v/>
      </c>
      <c r="AG468" t="str">
        <f>IF('WetLitterbags placem_collection'!AC29="","",'WetLitterbags placem_collection'!AC29)</f>
        <v/>
      </c>
      <c r="AH468">
        <f>IFERROR(AVERAGE('Dry_Litterbag Placem_Collection'!O29,'Dry_Litterbag Placem_Collection'!R29),"")</f>
        <v>14.1</v>
      </c>
      <c r="AI468" s="271">
        <f>IFERROR(AVERAGE('Dry_Litterbag Placem_Collection'!N29,'Dry_Litterbag Placem_Collection'!Q29),"")</f>
        <v>26.15</v>
      </c>
      <c r="AJ468" s="270">
        <f>INDEX(Coordinates!$B$2:$B$197,MATCH(G468,Coordinates!$J$2:$J$197,0))</f>
        <v>-3.3849350359999999</v>
      </c>
      <c r="AK468" s="270">
        <f>INDEX(Coordinates!$C$2:$C$197,MATCH(G468,Coordinates!$J$2:$J$197,0))</f>
        <v>34.818943019999999</v>
      </c>
      <c r="AL468" s="270" t="str">
        <f>IF(ISNUMBER(SEARCH("C", 'Dry_Litterbag Placem_Collection'!U29)),"YES","NO")</f>
        <v>NO</v>
      </c>
      <c r="AM468" s="270" t="str">
        <f>IF(ISNUMBER(SEARCH("H", 'Dry_Litterbag Placem_Collection'!U29)),"YES","NO")</f>
        <v>NO</v>
      </c>
      <c r="AN468" s="270" t="str">
        <f>IF(ISNUMBER(SEARCH("R", 'Dry_Litterbag Placem_Collection'!U29)),"YES","NO")</f>
        <v>NO</v>
      </c>
    </row>
    <row r="469" spans="1:40" ht="15" customHeight="1">
      <c r="A469" s="262" t="s">
        <v>2659</v>
      </c>
      <c r="B469" s="263">
        <f>'Dry_Litterbag Placem_Collection'!A30</f>
        <v>28</v>
      </c>
      <c r="C469" s="263" t="str">
        <f>'Dry_Litterbag Placem_Collection'!B30</f>
        <v>Makao</v>
      </c>
      <c r="D469" s="263" t="s">
        <v>2659</v>
      </c>
      <c r="E469" s="263" t="s">
        <v>2660</v>
      </c>
      <c r="F469" s="263">
        <v>4</v>
      </c>
      <c r="G469" s="264" t="str">
        <f>'Dry_Litterbag Placem_Collection'!C30</f>
        <v>Dry_Ag4_T4</v>
      </c>
      <c r="H469" s="273" t="s">
        <v>3651</v>
      </c>
      <c r="I469" s="266" t="s">
        <v>1147</v>
      </c>
      <c r="J469" s="263" t="str">
        <f>IF(ISBLANK('Dry_Litterbag Placem_Collection'!L30),"","G"&amp;""&amp;'Dry_Litterbag Placem_Collection'!L30)</f>
        <v>G46</v>
      </c>
      <c r="K469" s="267">
        <f>IFERROR(INDEX('Green_rooibos initial weight'!$C$5:$C$1749,MATCH(J469, 'Green_rooibos initial weight'!$A$5:$A$1749,0)),"")</f>
        <v>1.895</v>
      </c>
      <c r="L469" s="267">
        <f>IFERROR(K469-(TBIcalc!$Q$9+TBIcalc!$Q$10),"")</f>
        <v>1.6452</v>
      </c>
      <c r="M469" s="391">
        <f>AVERAGE(Ashed_controlls!$K$2:$K$11)</f>
        <v>5.5147656768714146</v>
      </c>
      <c r="N469" s="267">
        <f t="shared" si="36"/>
        <v>1.5544710750841115</v>
      </c>
      <c r="O469" s="267">
        <f>IF(IFERROR(INDEX('Both teabags AfterDry'!$D$3:$D$900,MATCH(J469,'Both teabags AfterDry'!$A$3:$A$900,0)),"")="","",(IFERROR(INDEX('Both teabags AfterDry'!$D$3:$D$900,MATCH(J469,'Both teabags AfterDry'!$A$3:$A$900,0)),"")))</f>
        <v>1.5884</v>
      </c>
      <c r="P469" s="267">
        <f>IFERROR(IF(O469&gt;0,O469-(TBIcalc!$Q$9),""),"")</f>
        <v>1.4378</v>
      </c>
      <c r="Q469" s="278">
        <f>IFERROR(INDEX('Ashed teabags dry'!$K$2:$K$825,MATCH(J469,'Ashed teabags dry'!$A$2:$A$825,0)),"")</f>
        <v>6.5978456014354894</v>
      </c>
      <c r="R469" s="278">
        <f t="shared" si="37"/>
        <v>1.3429361759425604</v>
      </c>
      <c r="S469" s="268">
        <f>'Dry_Litterbag Placem_Collection'!E30</f>
        <v>42936</v>
      </c>
      <c r="T469" s="268">
        <f>IF('Dry_Litterbag Placem_Collection'!G30="","",'Dry_Litterbag Placem_Collection'!G30)</f>
        <v>43007</v>
      </c>
      <c r="U469" s="269">
        <f t="shared" si="35"/>
        <v>71</v>
      </c>
      <c r="V469" s="267">
        <f t="shared" si="38"/>
        <v>0.20740000000000003</v>
      </c>
      <c r="W469" s="267">
        <f t="shared" si="39"/>
        <v>0.2115348991415511</v>
      </c>
      <c r="X469" s="271">
        <f>IFERROR(INDEX(Rainfall_Dry!$O$2:$O$217,MATCH(B469, Rainfall_Dry!$A$2:$A$217,0)),"")</f>
        <v>6.900000125</v>
      </c>
      <c r="Y469" s="260">
        <v>51.960000000000008</v>
      </c>
      <c r="Z469" s="260">
        <v>18.919999999999995</v>
      </c>
      <c r="AA469" s="260">
        <v>29.120000000000005</v>
      </c>
      <c r="AB469" s="261" t="s">
        <v>2673</v>
      </c>
      <c r="AC469" s="260">
        <v>4.8529324790537203</v>
      </c>
      <c r="AD469" t="str">
        <f>IF('WetLitterbags placem_collection'!AB30="","",'WetLitterbags placem_collection'!AB30)</f>
        <v/>
      </c>
      <c r="AE469" t="str">
        <f>IF('WetLitterbags placem_collection'!Z30="","",'WetLitterbags placem_collection'!Z30)</f>
        <v/>
      </c>
      <c r="AF469" s="246" t="str">
        <f>IF('WetLitterbags placem_collection'!AA30="","",'WetLitterbags placem_collection'!AA30)</f>
        <v/>
      </c>
      <c r="AG469" t="str">
        <f>IF('WetLitterbags placem_collection'!AC30="","",'WetLitterbags placem_collection'!AC30)</f>
        <v/>
      </c>
      <c r="AH469">
        <f>IFERROR(AVERAGE('Dry_Litterbag Placem_Collection'!O30,'Dry_Litterbag Placem_Collection'!R30),"")</f>
        <v>9.1000000000000014</v>
      </c>
      <c r="AI469" s="271">
        <f>IFERROR(AVERAGE('Dry_Litterbag Placem_Collection'!N30,'Dry_Litterbag Placem_Collection'!Q30),"")</f>
        <v>25.700000000000003</v>
      </c>
      <c r="AJ469" s="270">
        <f>INDEX(Coordinates!$B$2:$B$197,MATCH(G469,Coordinates!$J$2:$J$197,0))</f>
        <v>-3.3850070369999998</v>
      </c>
      <c r="AK469" s="270">
        <f>INDEX(Coordinates!$C$2:$C$197,MATCH(G469,Coordinates!$J$2:$J$197,0))</f>
        <v>34.818888960000002</v>
      </c>
      <c r="AL469" s="270" t="str">
        <f>IF(ISNUMBER(SEARCH("C", 'Dry_Litterbag Placem_Collection'!U30)),"YES","NO")</f>
        <v>NO</v>
      </c>
      <c r="AM469" s="270" t="str">
        <f>IF(ISNUMBER(SEARCH("H", 'Dry_Litterbag Placem_Collection'!U30)),"YES","NO")</f>
        <v>NO</v>
      </c>
      <c r="AN469" s="270" t="str">
        <f>IF(ISNUMBER(SEARCH("R", 'Dry_Litterbag Placem_Collection'!U30)),"YES","NO")</f>
        <v>NO</v>
      </c>
    </row>
    <row r="470" spans="1:40" ht="15" customHeight="1">
      <c r="A470" s="262" t="s">
        <v>2659</v>
      </c>
      <c r="B470" s="263">
        <f>'Dry_Litterbag Placem_Collection'!A31</f>
        <v>29</v>
      </c>
      <c r="C470" s="263" t="str">
        <f>'Dry_Litterbag Placem_Collection'!B31</f>
        <v>Makao</v>
      </c>
      <c r="D470" s="263" t="s">
        <v>2659</v>
      </c>
      <c r="E470" s="263" t="s">
        <v>2660</v>
      </c>
      <c r="F470" s="263">
        <v>4</v>
      </c>
      <c r="G470" s="264" t="str">
        <f>'Dry_Litterbag Placem_Collection'!C31</f>
        <v>Dry_Ag4_T5</v>
      </c>
      <c r="H470" s="273" t="s">
        <v>3651</v>
      </c>
      <c r="I470" s="266" t="s">
        <v>1147</v>
      </c>
      <c r="J470" s="263" t="str">
        <f>IF(ISBLANK('Dry_Litterbag Placem_Collection'!L31),"","G"&amp;""&amp;'Dry_Litterbag Placem_Collection'!L31)</f>
        <v>G397</v>
      </c>
      <c r="K470" s="267">
        <f>IFERROR(INDEX('Green_rooibos initial weight'!$C$5:$C$1749,MATCH(J470, 'Green_rooibos initial weight'!$A$5:$A$1749,0)),"")</f>
        <v>1.968</v>
      </c>
      <c r="L470" s="267">
        <f>IFERROR(K470-(TBIcalc!$Q$9+TBIcalc!$Q$10),"")</f>
        <v>1.7181999999999999</v>
      </c>
      <c r="M470" s="391">
        <f>AVERAGE(Ashed_controlls!$K$2:$K$11)</f>
        <v>5.5147656768714146</v>
      </c>
      <c r="N470" s="267">
        <f t="shared" si="36"/>
        <v>1.6234452961399952</v>
      </c>
      <c r="O470" s="267">
        <f>IF(IFERROR(INDEX('Both teabags AfterDry'!$D$3:$D$900,MATCH(J470,'Both teabags AfterDry'!$A$3:$A$900,0)),"")="","",(IFERROR(INDEX('Both teabags AfterDry'!$D$3:$D$900,MATCH(J470,'Both teabags AfterDry'!$A$3:$A$900,0)),"")))</f>
        <v>1.7436</v>
      </c>
      <c r="P470" s="267">
        <f>IFERROR(IF(O470&gt;0,O470-(TBIcalc!$Q$9),""),"")</f>
        <v>1.593</v>
      </c>
      <c r="Q470" s="278">
        <f>IFERROR(INDEX('Ashed teabags dry'!$K$2:$K$825,MATCH(J470,'Ashed teabags dry'!$A$2:$A$825,0)),"")</f>
        <v>6.4090019569471499</v>
      </c>
      <c r="R470" s="278">
        <f t="shared" si="37"/>
        <v>1.4909045988258318</v>
      </c>
      <c r="S470" s="268">
        <f>'Dry_Litterbag Placem_Collection'!E31</f>
        <v>42936</v>
      </c>
      <c r="T470" s="268">
        <f>IF('Dry_Litterbag Placem_Collection'!G31="","",'Dry_Litterbag Placem_Collection'!G31)</f>
        <v>43007</v>
      </c>
      <c r="U470" s="269">
        <f t="shared" si="35"/>
        <v>71</v>
      </c>
      <c r="V470" s="267">
        <f t="shared" si="38"/>
        <v>0.12519999999999998</v>
      </c>
      <c r="W470" s="267">
        <f t="shared" si="39"/>
        <v>0.1325406973141634</v>
      </c>
      <c r="X470" s="271">
        <f>IFERROR(INDEX(Rainfall_Dry!$O$2:$O$217,MATCH(B470, Rainfall_Dry!$A$2:$A$217,0)),"")</f>
        <v>6.900000125</v>
      </c>
      <c r="Y470" s="260">
        <v>51.960000000000008</v>
      </c>
      <c r="Z470" s="260">
        <v>18.919999999999995</v>
      </c>
      <c r="AA470" s="260">
        <v>29.120000000000005</v>
      </c>
      <c r="AB470" s="261" t="s">
        <v>2673</v>
      </c>
      <c r="AC470" s="260">
        <v>5.8529324790537203</v>
      </c>
      <c r="AD470" t="str">
        <f>IF('WetLitterbags placem_collection'!AB31="","",'WetLitterbags placem_collection'!AB31)</f>
        <v/>
      </c>
      <c r="AE470" t="str">
        <f>IF('WetLitterbags placem_collection'!Z31="","",'WetLitterbags placem_collection'!Z31)</f>
        <v/>
      </c>
      <c r="AF470" s="246" t="str">
        <f>IF('WetLitterbags placem_collection'!AA31="","",'WetLitterbags placem_collection'!AA31)</f>
        <v/>
      </c>
      <c r="AG470" t="str">
        <f>IF('WetLitterbags placem_collection'!AC31="","",'WetLitterbags placem_collection'!AC31)</f>
        <v/>
      </c>
      <c r="AH470">
        <f>IFERROR(AVERAGE('Dry_Litterbag Placem_Collection'!O31,'Dry_Litterbag Placem_Collection'!R31),"")</f>
        <v>15.15</v>
      </c>
      <c r="AI470" s="271">
        <f>IFERROR(AVERAGE('Dry_Litterbag Placem_Collection'!N31,'Dry_Litterbag Placem_Collection'!Q31),"")</f>
        <v>25.65</v>
      </c>
      <c r="AJ470" s="270">
        <f>INDEX(Coordinates!$B$2:$B$197,MATCH(G470,Coordinates!$J$2:$J$197,0))</f>
        <v>-3.3849480280000002</v>
      </c>
      <c r="AK470" s="270">
        <f>INDEX(Coordinates!$C$2:$C$197,MATCH(G470,Coordinates!$J$2:$J$197,0))</f>
        <v>34.818854010000003</v>
      </c>
      <c r="AL470" s="270" t="str">
        <f>IF(ISNUMBER(SEARCH("C", 'Dry_Litterbag Placem_Collection'!U31)),"YES","NO")</f>
        <v>NO</v>
      </c>
      <c r="AM470" s="270" t="str">
        <f>IF(ISNUMBER(SEARCH("H", 'Dry_Litterbag Placem_Collection'!U31)),"YES","NO")</f>
        <v>NO</v>
      </c>
      <c r="AN470" s="270" t="str">
        <f>IF(ISNUMBER(SEARCH("R", 'Dry_Litterbag Placem_Collection'!U31)),"YES","NO")</f>
        <v>NO</v>
      </c>
    </row>
    <row r="471" spans="1:40" ht="15" customHeight="1">
      <c r="A471" s="262" t="s">
        <v>2659</v>
      </c>
      <c r="B471" s="263">
        <f>'Dry_Litterbag Placem_Collection'!A32</f>
        <v>30</v>
      </c>
      <c r="C471" s="263" t="str">
        <f>'Dry_Litterbag Placem_Collection'!B32</f>
        <v>Makao</v>
      </c>
      <c r="D471" s="263" t="s">
        <v>2659</v>
      </c>
      <c r="E471" s="263" t="s">
        <v>2660</v>
      </c>
      <c r="F471" s="263">
        <v>4</v>
      </c>
      <c r="G471" s="264" t="str">
        <f>'Dry_Litterbag Placem_Collection'!C32</f>
        <v>Dry_Ag4_T6</v>
      </c>
      <c r="H471" s="273" t="s">
        <v>3651</v>
      </c>
      <c r="I471" s="266" t="s">
        <v>1147</v>
      </c>
      <c r="J471" s="263" t="str">
        <f>IF(ISBLANK('Dry_Litterbag Placem_Collection'!L32),"","G"&amp;""&amp;'Dry_Litterbag Placem_Collection'!L32)</f>
        <v>G166</v>
      </c>
      <c r="K471" s="267">
        <f>IFERROR(INDEX('Green_rooibos initial weight'!$C$5:$C$1749,MATCH(J471, 'Green_rooibos initial weight'!$A$5:$A$1749,0)),"")</f>
        <v>2.032</v>
      </c>
      <c r="L471" s="267">
        <f>IFERROR(K471-(TBIcalc!$Q$9+TBIcalc!$Q$10),"")</f>
        <v>1.7822</v>
      </c>
      <c r="M471" s="391">
        <f>AVERAGE(Ashed_controlls!$K$2:$K$11)</f>
        <v>5.5147656768714146</v>
      </c>
      <c r="N471" s="267">
        <f t="shared" si="36"/>
        <v>1.6839158461067976</v>
      </c>
      <c r="O471" s="267">
        <f>IF(IFERROR(INDEX('Both teabags AfterDry'!$D$3:$D$900,MATCH(J471,'Both teabags AfterDry'!$A$3:$A$900,0)),"")="","",(IFERROR(INDEX('Both teabags AfterDry'!$D$3:$D$900,MATCH(J471,'Both teabags AfterDry'!$A$3:$A$900,0)),"")))</f>
        <v>1.8809</v>
      </c>
      <c r="P471" s="267">
        <f>IFERROR(IF(O471&gt;0,O471-(TBIcalc!$Q$9),""),"")</f>
        <v>1.7302999999999999</v>
      </c>
      <c r="Q471" s="278">
        <f>IFERROR(INDEX('Ashed teabags dry'!$K$2:$K$825,MATCH(J471,'Ashed teabags dry'!$A$2:$A$825,0)),"")</f>
        <v>5.730937348227001</v>
      </c>
      <c r="R471" s="278">
        <f t="shared" si="37"/>
        <v>1.6311375910636281</v>
      </c>
      <c r="S471" s="268">
        <f>'Dry_Litterbag Placem_Collection'!E32</f>
        <v>42936</v>
      </c>
      <c r="T471" s="268">
        <f>IF('Dry_Litterbag Placem_Collection'!G32="","",'Dry_Litterbag Placem_Collection'!G32)</f>
        <v>43007</v>
      </c>
      <c r="U471" s="269">
        <f t="shared" si="35"/>
        <v>71</v>
      </c>
      <c r="V471" s="267">
        <f t="shared" si="38"/>
        <v>5.1900000000000057E-2</v>
      </c>
      <c r="W471" s="267">
        <f t="shared" si="39"/>
        <v>5.2778255043169464E-2</v>
      </c>
      <c r="X471" s="271">
        <f>IFERROR(INDEX(Rainfall_Dry!$O$2:$O$217,MATCH(B471, Rainfall_Dry!$A$2:$A$217,0)),"")</f>
        <v>6.900000125</v>
      </c>
      <c r="Y471" s="260">
        <v>51.960000000000008</v>
      </c>
      <c r="Z471" s="260">
        <v>18.919999999999995</v>
      </c>
      <c r="AA471" s="260">
        <v>29.120000000000005</v>
      </c>
      <c r="AB471" s="261" t="s">
        <v>2673</v>
      </c>
      <c r="AC471" s="260">
        <v>6.8529324790537203</v>
      </c>
      <c r="AD471" t="str">
        <f>IF('WetLitterbags placem_collection'!AB32="","",'WetLitterbags placem_collection'!AB32)</f>
        <v/>
      </c>
      <c r="AE471" t="str">
        <f>IF('WetLitterbags placem_collection'!Z32="","",'WetLitterbags placem_collection'!Z32)</f>
        <v/>
      </c>
      <c r="AF471" s="246" t="str">
        <f>IF('WetLitterbags placem_collection'!AA32="","",'WetLitterbags placem_collection'!AA32)</f>
        <v/>
      </c>
      <c r="AG471" t="str">
        <f>IF('WetLitterbags placem_collection'!AC32="","",'WetLitterbags placem_collection'!AC32)</f>
        <v/>
      </c>
      <c r="AH471">
        <f>IFERROR(AVERAGE('Dry_Litterbag Placem_Collection'!O32,'Dry_Litterbag Placem_Collection'!R32),"")</f>
        <v>9.3000000000000007</v>
      </c>
      <c r="AI471" s="271">
        <f>IFERROR(AVERAGE('Dry_Litterbag Placem_Collection'!N32,'Dry_Litterbag Placem_Collection'!Q32),"")</f>
        <v>24</v>
      </c>
      <c r="AJ471" s="270">
        <f>INDEX(Coordinates!$B$2:$B$197,MATCH(G471,Coordinates!$J$2:$J$197,0))</f>
        <v>-3.38496496</v>
      </c>
      <c r="AK471" s="270">
        <f>INDEX(Coordinates!$C$2:$C$197,MATCH(G471,Coordinates!$J$2:$J$197,0))</f>
        <v>34.818790970000002</v>
      </c>
      <c r="AL471" s="270" t="str">
        <f>IF(ISNUMBER(SEARCH("C", 'Dry_Litterbag Placem_Collection'!U32)),"YES","NO")</f>
        <v>NO</v>
      </c>
      <c r="AM471" s="270" t="str">
        <f>IF(ISNUMBER(SEARCH("H", 'Dry_Litterbag Placem_Collection'!U32)),"YES","NO")</f>
        <v>NO</v>
      </c>
      <c r="AN471" s="270" t="str">
        <f>IF(ISNUMBER(SEARCH("R", 'Dry_Litterbag Placem_Collection'!U32)),"YES","NO")</f>
        <v>NO</v>
      </c>
    </row>
    <row r="472" spans="1:40" ht="15" customHeight="1">
      <c r="A472" s="262" t="s">
        <v>2659</v>
      </c>
      <c r="B472" s="263">
        <f>'Dry_Litterbag Placem_Collection'!A33</f>
        <v>31</v>
      </c>
      <c r="C472" s="263" t="str">
        <f>'Dry_Litterbag Placem_Collection'!B33</f>
        <v>Makao</v>
      </c>
      <c r="D472" s="263" t="s">
        <v>2659</v>
      </c>
      <c r="E472" s="263" t="s">
        <v>2660</v>
      </c>
      <c r="F472" s="263">
        <v>4</v>
      </c>
      <c r="G472" s="264" t="str">
        <f>'Dry_Litterbag Placem_Collection'!C33</f>
        <v>Dry_Ag4_T7</v>
      </c>
      <c r="H472" s="273" t="s">
        <v>3651</v>
      </c>
      <c r="I472" s="266" t="s">
        <v>1147</v>
      </c>
      <c r="J472" s="263" t="str">
        <f>IF(ISBLANK('Dry_Litterbag Placem_Collection'!L33),"","G"&amp;""&amp;'Dry_Litterbag Placem_Collection'!L33)</f>
        <v/>
      </c>
      <c r="K472" s="267" t="str">
        <f>IFERROR(INDEX('Green_rooibos initial weight'!$C$5:$C$1749,MATCH(J472, 'Green_rooibos initial weight'!$A$5:$A$1749,0)),"")</f>
        <v/>
      </c>
      <c r="L472" s="267" t="str">
        <f>IFERROR(K472-(TBIcalc!$Q$9+TBIcalc!$Q$10),"")</f>
        <v/>
      </c>
      <c r="M472" s="391">
        <f>AVERAGE(Ashed_controlls!$K$2:$K$11)</f>
        <v>5.5147656768714146</v>
      </c>
      <c r="N472" s="267" t="str">
        <f t="shared" si="36"/>
        <v/>
      </c>
      <c r="O472" s="267" t="str">
        <f>IF(IFERROR(INDEX('Both teabags AfterDry'!$D$3:$D$900,MATCH(J472,'Both teabags AfterDry'!$A$3:$A$900,0)),"")="","",(IFERROR(INDEX('Both teabags AfterDry'!$D$3:$D$900,MATCH(J472,'Both teabags AfterDry'!$A$3:$A$900,0)),"")))</f>
        <v/>
      </c>
      <c r="P472" s="267" t="str">
        <f>IFERROR(IF(O472&gt;0,O472-(TBIcalc!$Q$9),""),"")</f>
        <v/>
      </c>
      <c r="Q472" s="278" t="str">
        <f>IFERROR(INDEX('Ashed teabags dry'!$K$2:$K$825,MATCH(J472,'Ashed teabags dry'!$A$2:$A$825,0)),"")</f>
        <v/>
      </c>
      <c r="R472" s="278" t="str">
        <f t="shared" si="37"/>
        <v/>
      </c>
      <c r="S472" s="268">
        <f>'Dry_Litterbag Placem_Collection'!E33</f>
        <v>0</v>
      </c>
      <c r="T472" s="268" t="str">
        <f>IF('Dry_Litterbag Placem_Collection'!G33="","",'Dry_Litterbag Placem_Collection'!G33)</f>
        <v/>
      </c>
      <c r="U472" s="269" t="str">
        <f t="shared" si="35"/>
        <v/>
      </c>
      <c r="V472" s="267" t="str">
        <f t="shared" si="38"/>
        <v/>
      </c>
      <c r="W472" s="267" t="str">
        <f t="shared" si="39"/>
        <v/>
      </c>
      <c r="X472" s="271" t="str">
        <f>IFERROR(INDEX(Rainfall_Dry!$O$2:$O$217,MATCH(B472, Rainfall_Dry!$A$2:$A$217,0)),"")</f>
        <v/>
      </c>
      <c r="Y472" s="260">
        <v>51.960000000000008</v>
      </c>
      <c r="Z472" s="260">
        <v>18.919999999999995</v>
      </c>
      <c r="AA472" s="260">
        <v>29.120000000000005</v>
      </c>
      <c r="AB472" s="261" t="s">
        <v>2673</v>
      </c>
      <c r="AC472" s="260">
        <v>7.8529324790537203</v>
      </c>
      <c r="AD472" t="str">
        <f>IF('WetLitterbags placem_collection'!AB33="","",'WetLitterbags placem_collection'!AB33)</f>
        <v/>
      </c>
      <c r="AE472" t="str">
        <f>IF('WetLitterbags placem_collection'!Z33="","",'WetLitterbags placem_collection'!Z33)</f>
        <v/>
      </c>
      <c r="AF472" s="246" t="str">
        <f>IF('WetLitterbags placem_collection'!AA33="","",'WetLitterbags placem_collection'!AA33)</f>
        <v/>
      </c>
      <c r="AG472" t="str">
        <f>IF('WetLitterbags placem_collection'!AC33="","",'WetLitterbags placem_collection'!AC33)</f>
        <v/>
      </c>
      <c r="AH472" t="str">
        <f>IFERROR(AVERAGE('Dry_Litterbag Placem_Collection'!O33,'Dry_Litterbag Placem_Collection'!R33),"")</f>
        <v/>
      </c>
      <c r="AI472" s="271" t="str">
        <f>IFERROR(AVERAGE('Dry_Litterbag Placem_Collection'!N33,'Dry_Litterbag Placem_Collection'!Q33),"")</f>
        <v/>
      </c>
      <c r="AJ472" s="270">
        <f>INDEX(Coordinates!$B$2:$B$197,MATCH(G472,Coordinates!$J$2:$J$197,0))</f>
        <v>-3.3848409909999999</v>
      </c>
      <c r="AK472" s="270">
        <f>INDEX(Coordinates!$C$2:$C$197,MATCH(G472,Coordinates!$J$2:$J$197,0))</f>
        <v>34.818838999999997</v>
      </c>
      <c r="AL472" s="270" t="str">
        <f>IF(ISNUMBER(SEARCH("C", 'Dry_Litterbag Placem_Collection'!U33)),"YES","NO")</f>
        <v>NO</v>
      </c>
      <c r="AM472" s="270" t="str">
        <f>IF(ISNUMBER(SEARCH("H", 'Dry_Litterbag Placem_Collection'!U33)),"YES","NO")</f>
        <v>NO</v>
      </c>
      <c r="AN472" s="270" t="str">
        <f>IF(ISNUMBER(SEARCH("R", 'Dry_Litterbag Placem_Collection'!U33)),"YES","NO")</f>
        <v>NO</v>
      </c>
    </row>
    <row r="473" spans="1:40" ht="15" customHeight="1">
      <c r="A473" s="262" t="s">
        <v>2659</v>
      </c>
      <c r="B473" s="263">
        <f>'Dry_Litterbag Placem_Collection'!A34</f>
        <v>32</v>
      </c>
      <c r="C473" s="263" t="str">
        <f>'Dry_Litterbag Placem_Collection'!B34</f>
        <v>Makao</v>
      </c>
      <c r="D473" s="263" t="s">
        <v>2659</v>
      </c>
      <c r="E473" s="263" t="s">
        <v>2660</v>
      </c>
      <c r="F473" s="263">
        <v>4</v>
      </c>
      <c r="G473" s="264" t="str">
        <f>'Dry_Litterbag Placem_Collection'!C34</f>
        <v>Dry_Ag4_T8</v>
      </c>
      <c r="H473" s="273" t="s">
        <v>3651</v>
      </c>
      <c r="I473" s="266" t="s">
        <v>1147</v>
      </c>
      <c r="J473" s="263" t="str">
        <f>IF(ISBLANK('Dry_Litterbag Placem_Collection'!L34),"","G"&amp;""&amp;'Dry_Litterbag Placem_Collection'!L34)</f>
        <v>G293</v>
      </c>
      <c r="K473" s="267">
        <f>IFERROR(INDEX('Green_rooibos initial weight'!$C$5:$C$1749,MATCH(J473, 'Green_rooibos initial weight'!$A$5:$A$1749,0)),"")</f>
        <v>2.0699999999999998</v>
      </c>
      <c r="L473" s="267">
        <f>IFERROR(K473-(TBIcalc!$Q$9+TBIcalc!$Q$10),"")</f>
        <v>1.8201999999999998</v>
      </c>
      <c r="M473" s="391">
        <f>AVERAGE(Ashed_controlls!$K$2:$K$11)</f>
        <v>5.5147656768714146</v>
      </c>
      <c r="N473" s="267">
        <f t="shared" si="36"/>
        <v>1.7198202351495864</v>
      </c>
      <c r="O473" s="267">
        <f>IF(IFERROR(INDEX('Both teabags AfterDry'!$D$3:$D$900,MATCH(J473,'Both teabags AfterDry'!$A$3:$A$900,0)),"")="","",(IFERROR(INDEX('Both teabags AfterDry'!$D$3:$D$900,MATCH(J473,'Both teabags AfterDry'!$A$3:$A$900,0)),"")))</f>
        <v>1.8129</v>
      </c>
      <c r="P473" s="267">
        <f>IFERROR(IF(O473&gt;0,O473-(TBIcalc!$Q$9),""),"")</f>
        <v>1.6622999999999999</v>
      </c>
      <c r="Q473" s="278">
        <f>IFERROR(INDEX('Ashed teabags dry'!$K$2:$K$825,MATCH(J473,'Ashed teabags dry'!$A$2:$A$825,0)),"")</f>
        <v>6.7003792667513089</v>
      </c>
      <c r="R473" s="278">
        <f t="shared" si="37"/>
        <v>1.5509195954487929</v>
      </c>
      <c r="S473" s="268">
        <f>'Dry_Litterbag Placem_Collection'!E34</f>
        <v>42936</v>
      </c>
      <c r="T473" s="268">
        <f>IF('Dry_Litterbag Placem_Collection'!G34="","",'Dry_Litterbag Placem_Collection'!G34)</f>
        <v>43007</v>
      </c>
      <c r="U473" s="269">
        <f t="shared" si="35"/>
        <v>71</v>
      </c>
      <c r="V473" s="267">
        <f t="shared" si="38"/>
        <v>0.15789999999999993</v>
      </c>
      <c r="W473" s="267">
        <f t="shared" si="39"/>
        <v>0.1689006397007935</v>
      </c>
      <c r="X473" s="271">
        <f>IFERROR(INDEX(Rainfall_Dry!$O$2:$O$217,MATCH(B473, Rainfall_Dry!$A$2:$A$217,0)),"")</f>
        <v>6.900000125</v>
      </c>
      <c r="Y473" s="260">
        <v>51.960000000000008</v>
      </c>
      <c r="Z473" s="260">
        <v>18.919999999999995</v>
      </c>
      <c r="AA473" s="260">
        <v>29.120000000000005</v>
      </c>
      <c r="AB473" s="261" t="s">
        <v>2673</v>
      </c>
      <c r="AC473" s="260">
        <v>8.8529324790537203</v>
      </c>
      <c r="AD473" t="str">
        <f>IF('WetLitterbags placem_collection'!AB34="","",'WetLitterbags placem_collection'!AB34)</f>
        <v/>
      </c>
      <c r="AE473" t="str">
        <f>IF('WetLitterbags placem_collection'!Z34="","",'WetLitterbags placem_collection'!Z34)</f>
        <v/>
      </c>
      <c r="AF473" s="246" t="str">
        <f>IF('WetLitterbags placem_collection'!AA34="","",'WetLitterbags placem_collection'!AA34)</f>
        <v/>
      </c>
      <c r="AG473" t="str">
        <f>IF('WetLitterbags placem_collection'!AC34="","",'WetLitterbags placem_collection'!AC34)</f>
        <v/>
      </c>
      <c r="AH473">
        <f>IFERROR(AVERAGE('Dry_Litterbag Placem_Collection'!O34,'Dry_Litterbag Placem_Collection'!R34),"")</f>
        <v>11.850000000000001</v>
      </c>
      <c r="AI473" s="271">
        <f>IFERROR(AVERAGE('Dry_Litterbag Placem_Collection'!N34,'Dry_Litterbag Placem_Collection'!Q34),"")</f>
        <v>25.45</v>
      </c>
      <c r="AJ473" s="270">
        <f>INDEX(Coordinates!$B$2:$B$197,MATCH(G473,Coordinates!$J$2:$J$197,0))</f>
        <v>-3.3849010060000002</v>
      </c>
      <c r="AK473" s="270">
        <f>INDEX(Coordinates!$C$2:$C$197,MATCH(G473,Coordinates!$J$2:$J$197,0))</f>
        <v>34.818979990000003</v>
      </c>
      <c r="AL473" s="270" t="str">
        <f>IF(ISNUMBER(SEARCH("C", 'Dry_Litterbag Placem_Collection'!U34)),"YES","NO")</f>
        <v>NO</v>
      </c>
      <c r="AM473" s="270" t="str">
        <f>IF(ISNUMBER(SEARCH("H", 'Dry_Litterbag Placem_Collection'!U34)),"YES","NO")</f>
        <v>NO</v>
      </c>
      <c r="AN473" s="270" t="str">
        <f>IF(ISNUMBER(SEARCH("R", 'Dry_Litterbag Placem_Collection'!U34)),"YES","NO")</f>
        <v>NO</v>
      </c>
    </row>
    <row r="474" spans="1:40" ht="15" customHeight="1">
      <c r="A474" s="262" t="s">
        <v>2659</v>
      </c>
      <c r="B474" s="263">
        <f>'Dry_Litterbag Placem_Collection'!A35</f>
        <v>33</v>
      </c>
      <c r="C474" s="263" t="str">
        <f>'Dry_Litterbag Placem_Collection'!B35</f>
        <v>Makao</v>
      </c>
      <c r="D474" s="263" t="s">
        <v>2659</v>
      </c>
      <c r="E474" s="263" t="s">
        <v>20</v>
      </c>
      <c r="F474" s="263">
        <v>1</v>
      </c>
      <c r="G474" s="264" t="str">
        <f>'Dry_Litterbag Placem_Collection'!C35</f>
        <v>Dry_P1_T1</v>
      </c>
      <c r="H474" s="273" t="s">
        <v>3651</v>
      </c>
      <c r="I474" s="266" t="s">
        <v>1147</v>
      </c>
      <c r="J474" s="263" t="str">
        <f>IF(ISBLANK('Dry_Litterbag Placem_Collection'!L35),"","G"&amp;""&amp;'Dry_Litterbag Placem_Collection'!L35)</f>
        <v>G139</v>
      </c>
      <c r="K474" s="267">
        <f>IFERROR(INDEX('Green_rooibos initial weight'!$C$5:$C$1749,MATCH(J474, 'Green_rooibos initial weight'!$A$5:$A$1749,0)),"")</f>
        <v>2.0059999999999998</v>
      </c>
      <c r="L474" s="267">
        <f>IFERROR(K474-(TBIcalc!$Q$9+TBIcalc!$Q$10),"")</f>
        <v>1.7561999999999998</v>
      </c>
      <c r="M474" s="391">
        <f>AVERAGE(Ashed_controlls!$K$2:$K$11)</f>
        <v>5.5147656768714146</v>
      </c>
      <c r="N474" s="267">
        <f t="shared" si="36"/>
        <v>1.659349685182784</v>
      </c>
      <c r="O474" s="267">
        <f>IF(IFERROR(INDEX('Both teabags AfterDry'!$D$3:$D$900,MATCH(J474,'Both teabags AfterDry'!$A$3:$A$900,0)),"")="","",(IFERROR(INDEX('Both teabags AfterDry'!$D$3:$D$900,MATCH(J474,'Both teabags AfterDry'!$A$3:$A$900,0)),"")))</f>
        <v>1.8048</v>
      </c>
      <c r="P474" s="267">
        <f>IFERROR(IF(O474&gt;0,O474-(TBIcalc!$Q$9),""),"")</f>
        <v>1.6541999999999999</v>
      </c>
      <c r="Q474" s="278">
        <f>IFERROR(INDEX('Ashed teabags dry'!$K$2:$K$825,MATCH(J474,'Ashed teabags dry'!$A$2:$A$825,0)),"")</f>
        <v>6.3172671970048668</v>
      </c>
      <c r="R474" s="278">
        <f t="shared" si="37"/>
        <v>1.5496997660271454</v>
      </c>
      <c r="S474" s="268">
        <f>'Dry_Litterbag Placem_Collection'!E35</f>
        <v>42938</v>
      </c>
      <c r="T474" s="268">
        <f>IF('Dry_Litterbag Placem_Collection'!G35="","",'Dry_Litterbag Placem_Collection'!G35)</f>
        <v>43005</v>
      </c>
      <c r="U474" s="269">
        <f t="shared" si="35"/>
        <v>67</v>
      </c>
      <c r="V474" s="267">
        <f t="shared" si="38"/>
        <v>0.10199999999999987</v>
      </c>
      <c r="W474" s="267">
        <f t="shared" si="39"/>
        <v>0.1096499191556386</v>
      </c>
      <c r="X474" s="271">
        <f>IFERROR(INDEX(Rainfall_Dry!$O$2:$O$217,MATCH(B474, Rainfall_Dry!$A$2:$A$217,0)),"")</f>
        <v>6.5250000359999998</v>
      </c>
      <c r="Y474" s="260">
        <v>23.96</v>
      </c>
      <c r="Z474" s="260">
        <v>0.91999999999999804</v>
      </c>
      <c r="AA474" s="260">
        <v>75.12</v>
      </c>
      <c r="AB474" s="261" t="s">
        <v>2670</v>
      </c>
      <c r="AC474" s="260">
        <v>1.2493839329719072</v>
      </c>
      <c r="AD474">
        <f>IF('WetLitterbags placem_collection'!AB35="","",'WetLitterbags placem_collection'!AB35)</f>
        <v>9.5</v>
      </c>
      <c r="AE474">
        <f>IF('WetLitterbags placem_collection'!Z35="","",'WetLitterbags placem_collection'!Z35)</f>
        <v>17.2</v>
      </c>
      <c r="AF474" s="246" t="str">
        <f>IF('WetLitterbags placem_collection'!AA35="","",'WetLitterbags placem_collection'!AA35)</f>
        <v>G</v>
      </c>
      <c r="AG474">
        <f>IF('WetLitterbags placem_collection'!AC35="","",'WetLitterbags placem_collection'!AC35)</f>
        <v>0</v>
      </c>
      <c r="AH474">
        <f>IFERROR(AVERAGE('Dry_Litterbag Placem_Collection'!O35,'Dry_Litterbag Placem_Collection'!R35),"")</f>
        <v>1.65</v>
      </c>
      <c r="AI474" s="271">
        <f>IFERROR(AVERAGE('Dry_Litterbag Placem_Collection'!N35,'Dry_Litterbag Placem_Collection'!Q35),"")</f>
        <v>26.15</v>
      </c>
      <c r="AJ474" s="270">
        <f>INDEX(Coordinates!$B$2:$B$197,MATCH(G474,Coordinates!$J$2:$J$197,0))</f>
        <v>-3.4092039989999998</v>
      </c>
      <c r="AK474" s="270">
        <f>INDEX(Coordinates!$C$2:$C$197,MATCH(G474,Coordinates!$J$2:$J$197,0))</f>
        <v>34.852751009999999</v>
      </c>
      <c r="AL474" s="270" t="str">
        <f>IF(ISNUMBER(SEARCH("C", 'Dry_Litterbag Placem_Collection'!U35)),"YES","NO")</f>
        <v>NO</v>
      </c>
      <c r="AM474" s="270" t="str">
        <f>IF(ISNUMBER(SEARCH("H", 'Dry_Litterbag Placem_Collection'!U35)),"YES","NO")</f>
        <v>NO</v>
      </c>
      <c r="AN474" s="270" t="str">
        <f>IF(ISNUMBER(SEARCH("R", 'Dry_Litterbag Placem_Collection'!U35)),"YES","NO")</f>
        <v>NO</v>
      </c>
    </row>
    <row r="475" spans="1:40" ht="15" customHeight="1">
      <c r="A475" s="262" t="s">
        <v>2659</v>
      </c>
      <c r="B475" s="263">
        <f>'Dry_Litterbag Placem_Collection'!A36</f>
        <v>34</v>
      </c>
      <c r="C475" s="263" t="str">
        <f>'Dry_Litterbag Placem_Collection'!B36</f>
        <v>Makao</v>
      </c>
      <c r="D475" s="263" t="s">
        <v>2659</v>
      </c>
      <c r="E475" s="263" t="s">
        <v>20</v>
      </c>
      <c r="F475" s="263">
        <v>1</v>
      </c>
      <c r="G475" s="264" t="str">
        <f>'Dry_Litterbag Placem_Collection'!C36</f>
        <v>Dry_P1_T2</v>
      </c>
      <c r="H475" s="273" t="s">
        <v>3651</v>
      </c>
      <c r="I475" s="266" t="s">
        <v>1147</v>
      </c>
      <c r="J475" s="263" t="str">
        <f>IF(ISBLANK('Dry_Litterbag Placem_Collection'!L36),"","G"&amp;""&amp;'Dry_Litterbag Placem_Collection'!L36)</f>
        <v>G487</v>
      </c>
      <c r="K475" s="267">
        <f>IFERROR(INDEX('Green_rooibos initial weight'!$C$5:$C$1749,MATCH(J475, 'Green_rooibos initial weight'!$A$5:$A$1749,0)),"")</f>
        <v>1.9259999999999999</v>
      </c>
      <c r="L475" s="267">
        <f>IFERROR(K475-(TBIcalc!$Q$9+TBIcalc!$Q$10),"")</f>
        <v>1.6761999999999999</v>
      </c>
      <c r="M475" s="391">
        <f>AVERAGE(Ashed_controlls!$K$2:$K$11)</f>
        <v>5.5147656768714146</v>
      </c>
      <c r="N475" s="267">
        <f t="shared" si="36"/>
        <v>1.5837614977242813</v>
      </c>
      <c r="O475" s="267" t="str">
        <f>IF(IFERROR(INDEX('Both teabags AfterDry'!$D$3:$D$900,MATCH(J475,'Both teabags AfterDry'!$A$3:$A$900,0)),"")="","",(IFERROR(INDEX('Both teabags AfterDry'!$D$3:$D$900,MATCH(J475,'Both teabags AfterDry'!$A$3:$A$900,0)),"")))</f>
        <v/>
      </c>
      <c r="P475" s="267" t="str">
        <f>IFERROR(IF(O475&gt;0,O475-(TBIcalc!$Q$9),""),"")</f>
        <v/>
      </c>
      <c r="Q475" s="278" t="str">
        <f>IFERROR(INDEX('Ashed teabags dry'!$K$2:$K$825,MATCH(J475,'Ashed teabags dry'!$A$2:$A$825,0)),"")</f>
        <v/>
      </c>
      <c r="R475" s="278" t="str">
        <f t="shared" si="37"/>
        <v/>
      </c>
      <c r="S475" s="268">
        <f>'Dry_Litterbag Placem_Collection'!E36</f>
        <v>42938</v>
      </c>
      <c r="T475" s="268">
        <f>IF('Dry_Litterbag Placem_Collection'!G36="","",'Dry_Litterbag Placem_Collection'!G36)</f>
        <v>43005</v>
      </c>
      <c r="U475" s="269">
        <f t="shared" si="35"/>
        <v>67</v>
      </c>
      <c r="V475" s="267" t="str">
        <f t="shared" si="38"/>
        <v/>
      </c>
      <c r="W475" s="267" t="str">
        <f t="shared" si="39"/>
        <v/>
      </c>
      <c r="X475" s="271">
        <f>IFERROR(INDEX(Rainfall_Dry!$O$2:$O$217,MATCH(B475, Rainfall_Dry!$A$2:$A$217,0)),"")</f>
        <v>6.5250000359999998</v>
      </c>
      <c r="Y475" s="260">
        <v>23.96</v>
      </c>
      <c r="Z475" s="260">
        <v>0.91999999999999804</v>
      </c>
      <c r="AA475" s="260">
        <v>75.12</v>
      </c>
      <c r="AB475" s="261" t="s">
        <v>2670</v>
      </c>
      <c r="AC475" s="260">
        <v>1.2493839329719072</v>
      </c>
      <c r="AD475">
        <f>IF('WetLitterbags placem_collection'!AB36="","",'WetLitterbags placem_collection'!AB36)</f>
        <v>6.5</v>
      </c>
      <c r="AE475">
        <f>IF('WetLitterbags placem_collection'!Z36="","",'WetLitterbags placem_collection'!Z36)</f>
        <v>14.2</v>
      </c>
      <c r="AF475" s="246" t="str">
        <f>IF('WetLitterbags placem_collection'!AA36="","",'WetLitterbags placem_collection'!AA36)</f>
        <v>G</v>
      </c>
      <c r="AG475">
        <f>IF('WetLitterbags placem_collection'!AC36="","",'WetLitterbags placem_collection'!AC36)</f>
        <v>0</v>
      </c>
      <c r="AH475">
        <f>IFERROR(AVERAGE('Dry_Litterbag Placem_Collection'!O36,'Dry_Litterbag Placem_Collection'!R36),"")</f>
        <v>3.25</v>
      </c>
      <c r="AI475" s="271">
        <f>IFERROR(AVERAGE('Dry_Litterbag Placem_Collection'!N36,'Dry_Litterbag Placem_Collection'!Q36),"")</f>
        <v>26.9</v>
      </c>
      <c r="AJ475" s="270">
        <f>INDEX(Coordinates!$B$2:$B$197,MATCH(G475,Coordinates!$J$2:$J$197,0))</f>
        <v>-3.4092350119999999</v>
      </c>
      <c r="AK475" s="270">
        <f>INDEX(Coordinates!$C$2:$C$197,MATCH(G475,Coordinates!$J$2:$J$197,0))</f>
        <v>34.852782019999999</v>
      </c>
      <c r="AL475" s="270" t="str">
        <f>IF(ISNUMBER(SEARCH("C", 'Dry_Litterbag Placem_Collection'!U36)),"YES","NO")</f>
        <v>NO</v>
      </c>
      <c r="AM475" s="270" t="str">
        <f>IF(ISNUMBER(SEARCH("H", 'Dry_Litterbag Placem_Collection'!U36)),"YES","NO")</f>
        <v>NO</v>
      </c>
      <c r="AN475" s="270" t="str">
        <f>IF(ISNUMBER(SEARCH("R", 'Dry_Litterbag Placem_Collection'!U36)),"YES","NO")</f>
        <v>NO</v>
      </c>
    </row>
    <row r="476" spans="1:40" ht="15" customHeight="1">
      <c r="A476" s="262" t="s">
        <v>2659</v>
      </c>
      <c r="B476" s="263">
        <f>'Dry_Litterbag Placem_Collection'!A37</f>
        <v>35</v>
      </c>
      <c r="C476" s="263" t="str">
        <f>'Dry_Litterbag Placem_Collection'!B37</f>
        <v>Makao</v>
      </c>
      <c r="D476" s="263" t="s">
        <v>2659</v>
      </c>
      <c r="E476" s="263" t="s">
        <v>20</v>
      </c>
      <c r="F476" s="263">
        <v>1</v>
      </c>
      <c r="G476" s="264" t="str">
        <f>'Dry_Litterbag Placem_Collection'!C37</f>
        <v>Dry_P1_T3</v>
      </c>
      <c r="H476" s="273" t="s">
        <v>3651</v>
      </c>
      <c r="I476" s="266" t="s">
        <v>1147</v>
      </c>
      <c r="J476" s="263" t="str">
        <f>IF(ISBLANK('Dry_Litterbag Placem_Collection'!L37),"","G"&amp;""&amp;'Dry_Litterbag Placem_Collection'!L37)</f>
        <v>G717</v>
      </c>
      <c r="K476" s="267">
        <f>IFERROR(INDEX('Green_rooibos initial weight'!$C$5:$C$1749,MATCH(J476, 'Green_rooibos initial weight'!$A$5:$A$1749,0)),"")</f>
        <v>1.944</v>
      </c>
      <c r="L476" s="267">
        <f>IFERROR(K476-(TBIcalc!$Q$9+TBIcalc!$Q$10),"")</f>
        <v>1.6941999999999999</v>
      </c>
      <c r="M476" s="391">
        <f>AVERAGE(Ashed_controlls!$K$2:$K$11)</f>
        <v>5.5147656768714146</v>
      </c>
      <c r="N476" s="267">
        <f t="shared" si="36"/>
        <v>1.6007688399024445</v>
      </c>
      <c r="O476" s="267">
        <f>IF(IFERROR(INDEX('Both teabags AfterDry'!$D$3:$D$900,MATCH(J476,'Both teabags AfterDry'!$A$3:$A$900,0)),"")="","",(IFERROR(INDEX('Both teabags AfterDry'!$D$3:$D$900,MATCH(J476,'Both teabags AfterDry'!$A$3:$A$900,0)),"")))</f>
        <v>1.8165</v>
      </c>
      <c r="P476" s="267">
        <f>IFERROR(IF(O476&gt;0,O476-(TBIcalc!$Q$9),""),"")</f>
        <v>1.6658999999999999</v>
      </c>
      <c r="Q476" s="278">
        <f>IFERROR(INDEX('Ashed teabags dry'!$K$2:$K$825,MATCH(J476,'Ashed teabags dry'!$A$2:$A$825,0)),"")</f>
        <v>5.65371024735001</v>
      </c>
      <c r="R476" s="278">
        <f t="shared" si="37"/>
        <v>1.5717148409893962</v>
      </c>
      <c r="S476" s="268">
        <f>'Dry_Litterbag Placem_Collection'!E37</f>
        <v>42938</v>
      </c>
      <c r="T476" s="268">
        <f>IF('Dry_Litterbag Placem_Collection'!G37="","",'Dry_Litterbag Placem_Collection'!G37)</f>
        <v>43005</v>
      </c>
      <c r="U476" s="269">
        <f t="shared" si="35"/>
        <v>67</v>
      </c>
      <c r="V476" s="267">
        <f t="shared" si="38"/>
        <v>2.8299999999999992E-2</v>
      </c>
      <c r="W476" s="267">
        <f t="shared" si="39"/>
        <v>2.9053998913048273E-2</v>
      </c>
      <c r="X476" s="271">
        <f>IFERROR(INDEX(Rainfall_Dry!$O$2:$O$217,MATCH(B476, Rainfall_Dry!$A$2:$A$217,0)),"")</f>
        <v>6.5250000359999998</v>
      </c>
      <c r="Y476" s="260">
        <v>23.96</v>
      </c>
      <c r="Z476" s="260">
        <v>0.91999999999999804</v>
      </c>
      <c r="AA476" s="260">
        <v>75.12</v>
      </c>
      <c r="AB476" s="261" t="s">
        <v>2670</v>
      </c>
      <c r="AC476" s="260">
        <v>1.2493839329719072</v>
      </c>
      <c r="AD476">
        <f>IF('WetLitterbags placem_collection'!AB37="","",'WetLitterbags placem_collection'!AB37)</f>
        <v>0.7</v>
      </c>
      <c r="AE476">
        <f>IF('WetLitterbags placem_collection'!Z37="","",'WetLitterbags placem_collection'!Z37)</f>
        <v>10.6</v>
      </c>
      <c r="AF476" s="246" t="str">
        <f>IF('WetLitterbags placem_collection'!AA37="","",'WetLitterbags placem_collection'!AA37)</f>
        <v>G</v>
      </c>
      <c r="AG476">
        <f>IF('WetLitterbags placem_collection'!AC37="","",'WetLitterbags placem_collection'!AC37)</f>
        <v>0</v>
      </c>
      <c r="AH476">
        <f>IFERROR(AVERAGE('Dry_Litterbag Placem_Collection'!O37,'Dry_Litterbag Placem_Collection'!R37),"")</f>
        <v>3.35</v>
      </c>
      <c r="AI476" s="271">
        <f>IFERROR(AVERAGE('Dry_Litterbag Placem_Collection'!N37,'Dry_Litterbag Placem_Collection'!Q37),"")</f>
        <v>26.95</v>
      </c>
      <c r="AJ476" s="270">
        <f>INDEX(Coordinates!$B$2:$B$197,MATCH(G476,Coordinates!$J$2:$J$197,0))</f>
        <v>-3.409177009</v>
      </c>
      <c r="AK476" s="270">
        <f>INDEX(Coordinates!$C$2:$C$197,MATCH(G476,Coordinates!$J$2:$J$197,0))</f>
        <v>34.852818990000003</v>
      </c>
      <c r="AL476" s="270" t="str">
        <f>IF(ISNUMBER(SEARCH("C", 'Dry_Litterbag Placem_Collection'!U37)),"YES","NO")</f>
        <v>NO</v>
      </c>
      <c r="AM476" s="270" t="str">
        <f>IF(ISNUMBER(SEARCH("H", 'Dry_Litterbag Placem_Collection'!U37)),"YES","NO")</f>
        <v>NO</v>
      </c>
      <c r="AN476" s="270" t="str">
        <f>IF(ISNUMBER(SEARCH("R", 'Dry_Litterbag Placem_Collection'!U37)),"YES","NO")</f>
        <v>NO</v>
      </c>
    </row>
    <row r="477" spans="1:40" ht="15" customHeight="1">
      <c r="A477" s="262" t="s">
        <v>2659</v>
      </c>
      <c r="B477" s="263">
        <f>'Dry_Litterbag Placem_Collection'!A38</f>
        <v>36</v>
      </c>
      <c r="C477" s="263" t="str">
        <f>'Dry_Litterbag Placem_Collection'!B38</f>
        <v>Makao</v>
      </c>
      <c r="D477" s="263" t="s">
        <v>2659</v>
      </c>
      <c r="E477" s="263" t="s">
        <v>20</v>
      </c>
      <c r="F477" s="263">
        <v>1</v>
      </c>
      <c r="G477" s="264" t="str">
        <f>'Dry_Litterbag Placem_Collection'!C38</f>
        <v>Dry_P1_T4</v>
      </c>
      <c r="H477" s="273" t="s">
        <v>3651</v>
      </c>
      <c r="I477" s="266" t="s">
        <v>1147</v>
      </c>
      <c r="J477" s="263" t="str">
        <f>IF(ISBLANK('Dry_Litterbag Placem_Collection'!L38),"","G"&amp;""&amp;'Dry_Litterbag Placem_Collection'!L38)</f>
        <v>G767</v>
      </c>
      <c r="K477" s="267">
        <f>IFERROR(INDEX('Green_rooibos initial weight'!$C$5:$C$1749,MATCH(J477, 'Green_rooibos initial weight'!$A$5:$A$1749,0)),"")</f>
        <v>1.8879999999999999</v>
      </c>
      <c r="L477" s="267">
        <f>IFERROR(K477-(TBIcalc!$Q$9+TBIcalc!$Q$10),"")</f>
        <v>1.6381999999999999</v>
      </c>
      <c r="M477" s="391">
        <f>AVERAGE(Ashed_controlls!$K$2:$K$11)</f>
        <v>5.5147656768714146</v>
      </c>
      <c r="N477" s="267">
        <f t="shared" si="36"/>
        <v>1.5478571086814923</v>
      </c>
      <c r="O477" s="267">
        <f>IF(IFERROR(INDEX('Both teabags AfterDry'!$D$3:$D$900,MATCH(J477,'Both teabags AfterDry'!$A$3:$A$900,0)),"")="","",(IFERROR(INDEX('Both teabags AfterDry'!$D$3:$D$900,MATCH(J477,'Both teabags AfterDry'!$A$3:$A$900,0)),"")))</f>
        <v>1.4665999999999999</v>
      </c>
      <c r="P477" s="267">
        <f>IFERROR(IF(O477&gt;0,O477-(TBIcalc!$Q$9),""),"")</f>
        <v>1.3159999999999998</v>
      </c>
      <c r="Q477" s="278">
        <f>IFERROR(INDEX('Ashed teabags dry'!$K$2:$K$825,MATCH(J477,'Ashed teabags dry'!$A$2:$A$825,0)),"")</f>
        <v>8.3333333333337372</v>
      </c>
      <c r="R477" s="278">
        <f t="shared" si="37"/>
        <v>1.2063333333333279</v>
      </c>
      <c r="S477" s="268">
        <f>'Dry_Litterbag Placem_Collection'!E38</f>
        <v>42938</v>
      </c>
      <c r="T477" s="268">
        <f>IF('Dry_Litterbag Placem_Collection'!G38="","",'Dry_Litterbag Placem_Collection'!G38)</f>
        <v>43005</v>
      </c>
      <c r="U477" s="269">
        <f t="shared" si="35"/>
        <v>67</v>
      </c>
      <c r="V477" s="267">
        <f t="shared" si="38"/>
        <v>0.32220000000000004</v>
      </c>
      <c r="W477" s="267">
        <f t="shared" si="39"/>
        <v>0.34152377534816436</v>
      </c>
      <c r="X477" s="271">
        <f>IFERROR(INDEX(Rainfall_Dry!$O$2:$O$217,MATCH(B477, Rainfall_Dry!$A$2:$A$217,0)),"")</f>
        <v>6.5250000359999998</v>
      </c>
      <c r="Y477" s="260">
        <v>23.96</v>
      </c>
      <c r="Z477" s="260">
        <v>0.91999999999999804</v>
      </c>
      <c r="AA477" s="260">
        <v>75.12</v>
      </c>
      <c r="AB477" s="261" t="s">
        <v>2670</v>
      </c>
      <c r="AC477" s="260">
        <v>1.2493839329719072</v>
      </c>
      <c r="AD477">
        <f>IF('WetLitterbags placem_collection'!AB38="","",'WetLitterbags placem_collection'!AB38)</f>
        <v>3.3</v>
      </c>
      <c r="AE477">
        <f>IF('WetLitterbags placem_collection'!Z38="","",'WetLitterbags placem_collection'!Z38)</f>
        <v>4.9000000000000004</v>
      </c>
      <c r="AF477" s="246" t="str">
        <f>IF('WetLitterbags placem_collection'!AA38="","",'WetLitterbags placem_collection'!AA38)</f>
        <v>G</v>
      </c>
      <c r="AG477">
        <f>IF('WetLitterbags placem_collection'!AC38="","",'WetLitterbags placem_collection'!AC38)</f>
        <v>1</v>
      </c>
      <c r="AH477">
        <f>IFERROR(AVERAGE('Dry_Litterbag Placem_Collection'!O38,'Dry_Litterbag Placem_Collection'!R38),"")</f>
        <v>3</v>
      </c>
      <c r="AI477" s="271">
        <f>IFERROR(AVERAGE('Dry_Litterbag Placem_Collection'!N38,'Dry_Litterbag Placem_Collection'!Q38),"")</f>
        <v>25.85</v>
      </c>
      <c r="AJ477" s="270">
        <f>INDEX(Coordinates!$B$2:$B$197,MATCH(G477,Coordinates!$J$2:$J$197,0))</f>
        <v>-3.40917198</v>
      </c>
      <c r="AK477" s="270">
        <f>INDEX(Coordinates!$C$2:$C$197,MATCH(G477,Coordinates!$J$2:$J$197,0))</f>
        <v>34.852960979999999</v>
      </c>
      <c r="AL477" s="270" t="str">
        <f>IF(ISNUMBER(SEARCH("C", 'Dry_Litterbag Placem_Collection'!U38)),"YES","NO")</f>
        <v>NO</v>
      </c>
      <c r="AM477" s="270" t="str">
        <f>IF(ISNUMBER(SEARCH("H", 'Dry_Litterbag Placem_Collection'!U38)),"YES","NO")</f>
        <v>NO</v>
      </c>
      <c r="AN477" s="270" t="str">
        <f>IF(ISNUMBER(SEARCH("R", 'Dry_Litterbag Placem_Collection'!U38)),"YES","NO")</f>
        <v>YES</v>
      </c>
    </row>
    <row r="478" spans="1:40" ht="15" customHeight="1">
      <c r="A478" s="262" t="s">
        <v>2659</v>
      </c>
      <c r="B478" s="263">
        <f>'Dry_Litterbag Placem_Collection'!A39</f>
        <v>37</v>
      </c>
      <c r="C478" s="263" t="str">
        <f>'Dry_Litterbag Placem_Collection'!B39</f>
        <v>Makao</v>
      </c>
      <c r="D478" s="263" t="s">
        <v>2659</v>
      </c>
      <c r="E478" s="263" t="s">
        <v>20</v>
      </c>
      <c r="F478" s="263">
        <v>1</v>
      </c>
      <c r="G478" s="264" t="str">
        <f>'Dry_Litterbag Placem_Collection'!C39</f>
        <v>Dry_P1_T5</v>
      </c>
      <c r="H478" s="273" t="s">
        <v>3651</v>
      </c>
      <c r="I478" s="266" t="s">
        <v>1147</v>
      </c>
      <c r="J478" s="263" t="str">
        <f>IF(ISBLANK('Dry_Litterbag Placem_Collection'!L39),"","G"&amp;""&amp;'Dry_Litterbag Placem_Collection'!L39)</f>
        <v>G473</v>
      </c>
      <c r="K478" s="267">
        <f>IFERROR(INDEX('Green_rooibos initial weight'!$C$5:$C$1749,MATCH(J478, 'Green_rooibos initial weight'!$A$5:$A$1749,0)),"")</f>
        <v>2.077</v>
      </c>
      <c r="L478" s="267">
        <f>IFERROR(K478-(TBIcalc!$Q$9+TBIcalc!$Q$10),"")</f>
        <v>1.8271999999999999</v>
      </c>
      <c r="M478" s="391">
        <f>AVERAGE(Ashed_controlls!$K$2:$K$11)</f>
        <v>5.5147656768714146</v>
      </c>
      <c r="N478" s="267">
        <f t="shared" si="36"/>
        <v>1.7264342015522054</v>
      </c>
      <c r="O478" s="267">
        <f>IF(IFERROR(INDEX('Both teabags AfterDry'!$D$3:$D$900,MATCH(J478,'Both teabags AfterDry'!$A$3:$A$900,0)),"")="","",(IFERROR(INDEX('Both teabags AfterDry'!$D$3:$D$900,MATCH(J478,'Both teabags AfterDry'!$A$3:$A$900,0)),"")))</f>
        <v>1.8992</v>
      </c>
      <c r="P478" s="267">
        <f>IFERROR(IF(O478&gt;0,O478-(TBIcalc!$Q$9),""),"")</f>
        <v>1.7485999999999999</v>
      </c>
      <c r="Q478" s="278">
        <f>IFERROR(INDEX('Ashed teabags dry'!$K$2:$K$825,MATCH(J478,'Ashed teabags dry'!$A$2:$A$825,0)),"")</f>
        <v>6.7924528301884193</v>
      </c>
      <c r="R478" s="278">
        <f t="shared" si="37"/>
        <v>1.6298271698113251</v>
      </c>
      <c r="S478" s="268">
        <f>'Dry_Litterbag Placem_Collection'!E39</f>
        <v>42938</v>
      </c>
      <c r="T478" s="268">
        <f>IF('Dry_Litterbag Placem_Collection'!G39="","",'Dry_Litterbag Placem_Collection'!G39)</f>
        <v>43005</v>
      </c>
      <c r="U478" s="269">
        <f t="shared" si="35"/>
        <v>67</v>
      </c>
      <c r="V478" s="267">
        <f t="shared" si="38"/>
        <v>7.8600000000000003E-2</v>
      </c>
      <c r="W478" s="267">
        <f t="shared" si="39"/>
        <v>9.6607031740880256E-2</v>
      </c>
      <c r="X478" s="271">
        <f>IFERROR(INDEX(Rainfall_Dry!$O$2:$O$217,MATCH(B478, Rainfall_Dry!$A$2:$A$217,0)),"")</f>
        <v>6.5250000359999998</v>
      </c>
      <c r="Y478" s="260">
        <v>23.96</v>
      </c>
      <c r="Z478" s="260">
        <v>0.91999999999999804</v>
      </c>
      <c r="AA478" s="260">
        <v>75.12</v>
      </c>
      <c r="AB478" s="261" t="s">
        <v>2670</v>
      </c>
      <c r="AC478" s="260">
        <v>1.2493839329719072</v>
      </c>
      <c r="AD478">
        <f>IF('WetLitterbags placem_collection'!AB39="","",'WetLitterbags placem_collection'!AB39)</f>
        <v>8.3000000000000007</v>
      </c>
      <c r="AE478">
        <f>IF('WetLitterbags placem_collection'!Z39="","",'WetLitterbags placem_collection'!Z39)</f>
        <v>27.8</v>
      </c>
      <c r="AF478" s="246" t="str">
        <f>IF('WetLitterbags placem_collection'!AA39="","",'WetLitterbags placem_collection'!AA39)</f>
        <v>G</v>
      </c>
      <c r="AG478">
        <f>IF('WetLitterbags placem_collection'!AC39="","",'WetLitterbags placem_collection'!AC39)</f>
        <v>0</v>
      </c>
      <c r="AH478">
        <f>IFERROR(AVERAGE('Dry_Litterbag Placem_Collection'!O39,'Dry_Litterbag Placem_Collection'!R39),"")</f>
        <v>4.25</v>
      </c>
      <c r="AI478" s="271">
        <f>IFERROR(AVERAGE('Dry_Litterbag Placem_Collection'!N39,'Dry_Litterbag Placem_Collection'!Q39),"")</f>
        <v>26.1</v>
      </c>
      <c r="AJ478" s="270">
        <f>INDEX(Coordinates!$B$2:$B$197,MATCH(G478,Coordinates!$J$2:$J$197,0))</f>
        <v>-3.4090709779999999</v>
      </c>
      <c r="AK478" s="270">
        <f>INDEX(Coordinates!$C$2:$C$197,MATCH(G478,Coordinates!$J$2:$J$197,0))</f>
        <v>34.852712029999999</v>
      </c>
      <c r="AL478" s="270" t="str">
        <f>IF(ISNUMBER(SEARCH("C", 'Dry_Litterbag Placem_Collection'!U39)),"YES","NO")</f>
        <v>NO</v>
      </c>
      <c r="AM478" s="270" t="str">
        <f>IF(ISNUMBER(SEARCH("H", 'Dry_Litterbag Placem_Collection'!U39)),"YES","NO")</f>
        <v>NO</v>
      </c>
      <c r="AN478" s="270" t="str">
        <f>IF(ISNUMBER(SEARCH("R", 'Dry_Litterbag Placem_Collection'!U39)),"YES","NO")</f>
        <v>NO</v>
      </c>
    </row>
    <row r="479" spans="1:40" ht="15" customHeight="1">
      <c r="A479" s="262" t="s">
        <v>2659</v>
      </c>
      <c r="B479" s="263">
        <f>'Dry_Litterbag Placem_Collection'!A40</f>
        <v>38</v>
      </c>
      <c r="C479" s="263" t="str">
        <f>'Dry_Litterbag Placem_Collection'!B40</f>
        <v>Makao</v>
      </c>
      <c r="D479" s="263" t="s">
        <v>2659</v>
      </c>
      <c r="E479" s="263" t="s">
        <v>20</v>
      </c>
      <c r="F479" s="263">
        <v>1</v>
      </c>
      <c r="G479" s="264" t="str">
        <f>'Dry_Litterbag Placem_Collection'!C40</f>
        <v>Dry_P1_T6</v>
      </c>
      <c r="H479" s="273" t="s">
        <v>3651</v>
      </c>
      <c r="I479" s="266" t="s">
        <v>1147</v>
      </c>
      <c r="J479" s="263" t="str">
        <f>IF(ISBLANK('Dry_Litterbag Placem_Collection'!L40),"","G"&amp;""&amp;'Dry_Litterbag Placem_Collection'!L40)</f>
        <v>G111</v>
      </c>
      <c r="K479" s="267">
        <f>IFERROR(INDEX('Green_rooibos initial weight'!$C$5:$C$1749,MATCH(J479, 'Green_rooibos initial weight'!$A$5:$A$1749,0)),"")</f>
        <v>2.0750000000000002</v>
      </c>
      <c r="L479" s="267">
        <f>IFERROR(K479-(TBIcalc!$Q$9+TBIcalc!$Q$10),"")</f>
        <v>1.8252000000000002</v>
      </c>
      <c r="M479" s="391">
        <f>AVERAGE(Ashed_controlls!$K$2:$K$11)</f>
        <v>5.5147656768714146</v>
      </c>
      <c r="N479" s="267">
        <f t="shared" si="36"/>
        <v>1.7245444968657431</v>
      </c>
      <c r="O479" s="267">
        <f>IF(IFERROR(INDEX('Both teabags AfterDry'!$D$3:$D$900,MATCH(J479,'Both teabags AfterDry'!$A$3:$A$900,0)),"")="","",(IFERROR(INDEX('Both teabags AfterDry'!$D$3:$D$900,MATCH(J479,'Both teabags AfterDry'!$A$3:$A$900,0)),"")))</f>
        <v>1.8357000000000001</v>
      </c>
      <c r="P479" s="267">
        <f>IFERROR(IF(O479&gt;0,O479-(TBIcalc!$Q$9),""),"")</f>
        <v>1.6851</v>
      </c>
      <c r="Q479" s="278">
        <f>IFERROR(INDEX('Ashed teabags dry'!$K$2:$K$825,MATCH(J479,'Ashed teabags dry'!$A$2:$A$825,0)),"")</f>
        <v>6.2317429406042981</v>
      </c>
      <c r="R479" s="278">
        <f t="shared" si="37"/>
        <v>1.580088899707877</v>
      </c>
      <c r="S479" s="268">
        <f>'Dry_Litterbag Placem_Collection'!E40</f>
        <v>42938</v>
      </c>
      <c r="T479" s="268">
        <f>IF('Dry_Litterbag Placem_Collection'!G40="","",'Dry_Litterbag Placem_Collection'!G40)</f>
        <v>43005</v>
      </c>
      <c r="U479" s="269">
        <f t="shared" si="35"/>
        <v>67</v>
      </c>
      <c r="V479" s="267">
        <f t="shared" si="38"/>
        <v>0.14010000000000011</v>
      </c>
      <c r="W479" s="267">
        <f t="shared" si="39"/>
        <v>0.14445559715786604</v>
      </c>
      <c r="X479" s="271">
        <f>IFERROR(INDEX(Rainfall_Dry!$O$2:$O$217,MATCH(B479, Rainfall_Dry!$A$2:$A$217,0)),"")</f>
        <v>6.5250000359999998</v>
      </c>
      <c r="Y479" s="260">
        <v>23.96</v>
      </c>
      <c r="Z479" s="260">
        <v>0.91999999999999804</v>
      </c>
      <c r="AA479" s="260">
        <v>75.12</v>
      </c>
      <c r="AB479" s="261" t="s">
        <v>2670</v>
      </c>
      <c r="AC479" s="260">
        <v>1.2493839329719072</v>
      </c>
      <c r="AD479">
        <f>IF('WetLitterbags placem_collection'!AB40="","",'WetLitterbags placem_collection'!AB40)</f>
        <v>2</v>
      </c>
      <c r="AE479">
        <f>IF('WetLitterbags placem_collection'!Z40="","",'WetLitterbags placem_collection'!Z40)</f>
        <v>20.399999999999999</v>
      </c>
      <c r="AF479" s="246" t="str">
        <f>IF('WetLitterbags placem_collection'!AA40="","",'WetLitterbags placem_collection'!AA40)</f>
        <v>O</v>
      </c>
      <c r="AG479">
        <f>IF('WetLitterbags placem_collection'!AC40="","",'WetLitterbags placem_collection'!AC40)</f>
        <v>0</v>
      </c>
      <c r="AH479">
        <f>IFERROR(AVERAGE('Dry_Litterbag Placem_Collection'!O40,'Dry_Litterbag Placem_Collection'!R40),"")</f>
        <v>2.85</v>
      </c>
      <c r="AI479" s="271">
        <f>IFERROR(AVERAGE('Dry_Litterbag Placem_Collection'!N40,'Dry_Litterbag Placem_Collection'!Q40),"")</f>
        <v>26.7</v>
      </c>
      <c r="AJ479" s="270">
        <f>INDEX(Coordinates!$B$2:$B$197,MATCH(G479,Coordinates!$J$2:$J$197,0))</f>
        <v>-3.409280023</v>
      </c>
      <c r="AK479" s="270">
        <f>INDEX(Coordinates!$C$2:$C$197,MATCH(G479,Coordinates!$J$2:$J$197,0))</f>
        <v>34.852612960000002</v>
      </c>
      <c r="AL479" s="270" t="str">
        <f>IF(ISNUMBER(SEARCH("C", 'Dry_Litterbag Placem_Collection'!U40)),"YES","NO")</f>
        <v>NO</v>
      </c>
      <c r="AM479" s="270" t="str">
        <f>IF(ISNUMBER(SEARCH("H", 'Dry_Litterbag Placem_Collection'!U40)),"YES","NO")</f>
        <v>NO</v>
      </c>
      <c r="AN479" s="270" t="str">
        <f>IF(ISNUMBER(SEARCH("R", 'Dry_Litterbag Placem_Collection'!U40)),"YES","NO")</f>
        <v>NO</v>
      </c>
    </row>
    <row r="480" spans="1:40" ht="15" customHeight="1">
      <c r="A480" s="262" t="s">
        <v>2659</v>
      </c>
      <c r="B480" s="263">
        <f>'Dry_Litterbag Placem_Collection'!A41</f>
        <v>39</v>
      </c>
      <c r="C480" s="263" t="str">
        <f>'Dry_Litterbag Placem_Collection'!B41</f>
        <v>Makao</v>
      </c>
      <c r="D480" s="263" t="s">
        <v>2659</v>
      </c>
      <c r="E480" s="263" t="s">
        <v>20</v>
      </c>
      <c r="F480" s="263">
        <v>1</v>
      </c>
      <c r="G480" s="264" t="str">
        <f>'Dry_Litterbag Placem_Collection'!C41</f>
        <v>Dry_P1_T7</v>
      </c>
      <c r="H480" s="273" t="s">
        <v>3651</v>
      </c>
      <c r="I480" s="266" t="s">
        <v>1147</v>
      </c>
      <c r="J480" s="263" t="str">
        <f>IF(ISBLANK('Dry_Litterbag Placem_Collection'!L41),"","G"&amp;""&amp;'Dry_Litterbag Placem_Collection'!L41)</f>
        <v/>
      </c>
      <c r="K480" s="267" t="str">
        <f>IFERROR(INDEX('Green_rooibos initial weight'!$C$5:$C$1749,MATCH(J480, 'Green_rooibos initial weight'!$A$5:$A$1749,0)),"")</f>
        <v/>
      </c>
      <c r="L480" s="267" t="str">
        <f>IFERROR(K480-(TBIcalc!$Q$9+TBIcalc!$Q$10),"")</f>
        <v/>
      </c>
      <c r="M480" s="391">
        <f>AVERAGE(Ashed_controlls!$K$2:$K$11)</f>
        <v>5.5147656768714146</v>
      </c>
      <c r="N480" s="267" t="str">
        <f t="shared" si="36"/>
        <v/>
      </c>
      <c r="O480" s="267" t="str">
        <f>IF(IFERROR(INDEX('Both teabags AfterDry'!$D$3:$D$900,MATCH(J480,'Both teabags AfterDry'!$A$3:$A$900,0)),"")="","",(IFERROR(INDEX('Both teabags AfterDry'!$D$3:$D$900,MATCH(J480,'Both teabags AfterDry'!$A$3:$A$900,0)),"")))</f>
        <v/>
      </c>
      <c r="P480" s="267" t="str">
        <f>IFERROR(IF(O480&gt;0,O480-(TBIcalc!$Q$9),""),"")</f>
        <v/>
      </c>
      <c r="Q480" s="278" t="str">
        <f>IFERROR(INDEX('Ashed teabags dry'!$K$2:$K$825,MATCH(J480,'Ashed teabags dry'!$A$2:$A$825,0)),"")</f>
        <v/>
      </c>
      <c r="R480" s="278" t="str">
        <f t="shared" si="37"/>
        <v/>
      </c>
      <c r="S480" s="268">
        <f>'Dry_Litterbag Placem_Collection'!E41</f>
        <v>42938</v>
      </c>
      <c r="T480" s="268" t="str">
        <f>IF('Dry_Litterbag Placem_Collection'!G41="","",'Dry_Litterbag Placem_Collection'!G41)</f>
        <v/>
      </c>
      <c r="U480" s="269" t="str">
        <f t="shared" si="35"/>
        <v/>
      </c>
      <c r="V480" s="267" t="str">
        <f t="shared" si="38"/>
        <v/>
      </c>
      <c r="W480" s="267" t="str">
        <f t="shared" si="39"/>
        <v/>
      </c>
      <c r="X480" s="271" t="str">
        <f>IFERROR(INDEX(Rainfall_Dry!$O$2:$O$217,MATCH(B480, Rainfall_Dry!$A$2:$A$217,0)),"")</f>
        <v/>
      </c>
      <c r="Y480" s="260">
        <v>23.96</v>
      </c>
      <c r="Z480" s="260">
        <v>0.91999999999999804</v>
      </c>
      <c r="AA480" s="260">
        <v>75.12</v>
      </c>
      <c r="AB480" s="261" t="s">
        <v>2670</v>
      </c>
      <c r="AC480" s="260">
        <v>1.2493839329719072</v>
      </c>
      <c r="AD480">
        <f>IF('WetLitterbags placem_collection'!AB41="","",'WetLitterbags placem_collection'!AB41)</f>
        <v>2.4</v>
      </c>
      <c r="AE480">
        <f>IF('WetLitterbags placem_collection'!Z41="","",'WetLitterbags placem_collection'!Z41)</f>
        <v>18</v>
      </c>
      <c r="AF480" s="246" t="str">
        <f>IF('WetLitterbags placem_collection'!AA41="","",'WetLitterbags placem_collection'!AA41)</f>
        <v>G</v>
      </c>
      <c r="AG480">
        <f>IF('WetLitterbags placem_collection'!AC41="","",'WetLitterbags placem_collection'!AC41)</f>
        <v>1</v>
      </c>
      <c r="AH480" t="str">
        <f>IFERROR(AVERAGE('Dry_Litterbag Placem_Collection'!O41,'Dry_Litterbag Placem_Collection'!R41),"")</f>
        <v/>
      </c>
      <c r="AI480" s="271" t="str">
        <f>IFERROR(AVERAGE('Dry_Litterbag Placem_Collection'!N41,'Dry_Litterbag Placem_Collection'!Q41),"")</f>
        <v/>
      </c>
      <c r="AJ480" s="270">
        <f>INDEX(Coordinates!$B$2:$B$197,MATCH(G480,Coordinates!$J$2:$J$197,0))</f>
        <v>-3.4093859700000002</v>
      </c>
      <c r="AK480" s="270">
        <f>INDEX(Coordinates!$C$2:$C$197,MATCH(G480,Coordinates!$J$2:$J$197,0))</f>
        <v>34.852855030000001</v>
      </c>
      <c r="AL480" s="270" t="str">
        <f>IF(ISNUMBER(SEARCH("C", 'Dry_Litterbag Placem_Collection'!U41)),"YES","NO")</f>
        <v>NO</v>
      </c>
      <c r="AM480" s="270" t="str">
        <f>IF(ISNUMBER(SEARCH("H", 'Dry_Litterbag Placem_Collection'!U41)),"YES","NO")</f>
        <v>NO</v>
      </c>
      <c r="AN480" s="270" t="str">
        <f>IF(ISNUMBER(SEARCH("R", 'Dry_Litterbag Placem_Collection'!U41)),"YES","NO")</f>
        <v>NO</v>
      </c>
    </row>
    <row r="481" spans="1:40" ht="15" customHeight="1">
      <c r="A481" s="262" t="s">
        <v>2659</v>
      </c>
      <c r="B481" s="263">
        <f>'Dry_Litterbag Placem_Collection'!A42</f>
        <v>40</v>
      </c>
      <c r="C481" s="263" t="str">
        <f>'Dry_Litterbag Placem_Collection'!B42</f>
        <v>Makao</v>
      </c>
      <c r="D481" s="263" t="s">
        <v>2659</v>
      </c>
      <c r="E481" s="263" t="s">
        <v>20</v>
      </c>
      <c r="F481" s="263">
        <v>1</v>
      </c>
      <c r="G481" s="264" t="str">
        <f>'Dry_Litterbag Placem_Collection'!C42</f>
        <v>Dry_P1_T8</v>
      </c>
      <c r="H481" s="273" t="s">
        <v>3651</v>
      </c>
      <c r="I481" s="266" t="s">
        <v>1147</v>
      </c>
      <c r="J481" s="263" t="str">
        <f>IF(ISBLANK('Dry_Litterbag Placem_Collection'!L42),"","G"&amp;""&amp;'Dry_Litterbag Placem_Collection'!L42)</f>
        <v>G646</v>
      </c>
      <c r="K481" s="267">
        <f>IFERROR(INDEX('Green_rooibos initial weight'!$C$5:$C$1749,MATCH(J481, 'Green_rooibos initial weight'!$A$5:$A$1749,0)),"")</f>
        <v>2.1629999999999998</v>
      </c>
      <c r="L481" s="267">
        <f>IFERROR(K481-(TBIcalc!$Q$9+TBIcalc!$Q$10),"")</f>
        <v>1.9131999999999998</v>
      </c>
      <c r="M481" s="391">
        <f>AVERAGE(Ashed_controlls!$K$2:$K$11)</f>
        <v>5.5147656768714146</v>
      </c>
      <c r="N481" s="267">
        <f t="shared" si="36"/>
        <v>1.807691503070096</v>
      </c>
      <c r="O481" s="267">
        <f>IF(IFERROR(INDEX('Both teabags AfterDry'!$D$3:$D$900,MATCH(J481,'Both teabags AfterDry'!$A$3:$A$900,0)),"")="","",(IFERROR(INDEX('Both teabags AfterDry'!$D$3:$D$900,MATCH(J481,'Both teabags AfterDry'!$A$3:$A$900,0)),"")))</f>
        <v>1.9007000000000001</v>
      </c>
      <c r="P481" s="267">
        <f>IFERROR(IF(O481&gt;0,O481-(TBIcalc!$Q$9),""),"")</f>
        <v>1.7501</v>
      </c>
      <c r="Q481" s="278">
        <f>IFERROR(INDEX('Ashed teabags dry'!$K$2:$K$825,MATCH(J481,'Ashed teabags dry'!$A$2:$A$825,0)),"")</f>
        <v>6.7672833495611799</v>
      </c>
      <c r="R481" s="278">
        <f t="shared" si="37"/>
        <v>1.6316657740993297</v>
      </c>
      <c r="S481" s="268">
        <f>'Dry_Litterbag Placem_Collection'!E42</f>
        <v>42938</v>
      </c>
      <c r="T481" s="268">
        <f>IF('Dry_Litterbag Placem_Collection'!G42="","",'Dry_Litterbag Placem_Collection'!G42)</f>
        <v>43005</v>
      </c>
      <c r="U481" s="269">
        <f t="shared" si="35"/>
        <v>67</v>
      </c>
      <c r="V481" s="267">
        <f t="shared" si="38"/>
        <v>0.1630999999999998</v>
      </c>
      <c r="W481" s="267">
        <f t="shared" si="39"/>
        <v>0.17602572897076629</v>
      </c>
      <c r="X481" s="271">
        <f>IFERROR(INDEX(Rainfall_Dry!$O$2:$O$217,MATCH(B481, Rainfall_Dry!$A$2:$A$217,0)),"")</f>
        <v>6.5250000359999998</v>
      </c>
      <c r="Y481" s="260">
        <v>23.96</v>
      </c>
      <c r="Z481" s="260">
        <v>0.91999999999999804</v>
      </c>
      <c r="AA481" s="260">
        <v>75.12</v>
      </c>
      <c r="AB481" s="261" t="s">
        <v>2670</v>
      </c>
      <c r="AC481" s="260">
        <v>1.2493839329719072</v>
      </c>
      <c r="AD481">
        <f>IF('WetLitterbags placem_collection'!AB42="","",'WetLitterbags placem_collection'!AB42)</f>
        <v>8.6999999999999993</v>
      </c>
      <c r="AE481">
        <f>IF('WetLitterbags placem_collection'!Z42="","",'WetLitterbags placem_collection'!Z42)</f>
        <v>19.3</v>
      </c>
      <c r="AF481" s="246" t="str">
        <f>IF('WetLitterbags placem_collection'!AA42="","",'WetLitterbags placem_collection'!AA42)</f>
        <v>G</v>
      </c>
      <c r="AG481">
        <f>IF('WetLitterbags placem_collection'!AC42="","",'WetLitterbags placem_collection'!AC42)</f>
        <v>0</v>
      </c>
      <c r="AH481">
        <f>IFERROR(AVERAGE('Dry_Litterbag Placem_Collection'!O42,'Dry_Litterbag Placem_Collection'!R42),"")</f>
        <v>4.5999999999999996</v>
      </c>
      <c r="AI481" s="271">
        <f>IFERROR(AVERAGE('Dry_Litterbag Placem_Collection'!N42,'Dry_Litterbag Placem_Collection'!Q42),"")</f>
        <v>26.2</v>
      </c>
      <c r="AJ481" s="270">
        <f>INDEX(Coordinates!$B$2:$B$197,MATCH(G481,Coordinates!$J$2:$J$197,0))</f>
        <v>-3.4091539590000002</v>
      </c>
      <c r="AK481" s="270">
        <f>INDEX(Coordinates!$C$2:$C$197,MATCH(G481,Coordinates!$J$2:$J$197,0))</f>
        <v>34.852755029999997</v>
      </c>
      <c r="AL481" s="270" t="str">
        <f>IF(ISNUMBER(SEARCH("C", 'Dry_Litterbag Placem_Collection'!U42)),"YES","NO")</f>
        <v>NO</v>
      </c>
      <c r="AM481" s="270" t="str">
        <f>IF(ISNUMBER(SEARCH("H", 'Dry_Litterbag Placem_Collection'!U42)),"YES","NO")</f>
        <v>NO</v>
      </c>
      <c r="AN481" s="270" t="str">
        <f>IF(ISNUMBER(SEARCH("R", 'Dry_Litterbag Placem_Collection'!U42)),"YES","NO")</f>
        <v>NO</v>
      </c>
    </row>
    <row r="482" spans="1:40" ht="15" customHeight="1">
      <c r="A482" s="262" t="s">
        <v>2659</v>
      </c>
      <c r="B482" s="263">
        <f>'Dry_Litterbag Placem_Collection'!A43</f>
        <v>41</v>
      </c>
      <c r="C482" s="263" t="str">
        <f>'Dry_Litterbag Placem_Collection'!B43</f>
        <v>Makao</v>
      </c>
      <c r="D482" s="263" t="s">
        <v>2659</v>
      </c>
      <c r="E482" s="263" t="s">
        <v>20</v>
      </c>
      <c r="F482" s="263">
        <v>2</v>
      </c>
      <c r="G482" s="264" t="str">
        <f>'Dry_Litterbag Placem_Collection'!C43</f>
        <v>Dry_P2_T1</v>
      </c>
      <c r="H482" s="273" t="s">
        <v>3651</v>
      </c>
      <c r="I482" s="266" t="s">
        <v>1147</v>
      </c>
      <c r="J482" s="263" t="str">
        <f>IF(ISBLANK('Dry_Litterbag Placem_Collection'!L43),"","G"&amp;""&amp;'Dry_Litterbag Placem_Collection'!L43)</f>
        <v>G43</v>
      </c>
      <c r="K482" s="267">
        <f>IFERROR(INDEX('Green_rooibos initial weight'!$C$5:$C$1749,MATCH(J482, 'Green_rooibos initial weight'!$A$5:$A$1749,0)),"")</f>
        <v>1.9650000000000001</v>
      </c>
      <c r="L482" s="267">
        <f>IFERROR(K482-(TBIcalc!$Q$9+TBIcalc!$Q$10),"")</f>
        <v>1.7152000000000001</v>
      </c>
      <c r="M482" s="391">
        <f>AVERAGE(Ashed_controlls!$K$2:$K$11)</f>
        <v>5.5147656768714146</v>
      </c>
      <c r="N482" s="267">
        <f t="shared" si="36"/>
        <v>1.6206107391103015</v>
      </c>
      <c r="O482" s="267">
        <f>IF(IFERROR(INDEX('Both teabags AfterDry'!$D$3:$D$900,MATCH(J482,'Both teabags AfterDry'!$A$3:$A$900,0)),"")="","",(IFERROR(INDEX('Both teabags AfterDry'!$D$3:$D$900,MATCH(J482,'Both teabags AfterDry'!$A$3:$A$900,0)),"")))</f>
        <v>1.7821</v>
      </c>
      <c r="P482" s="267">
        <f>IFERROR(IF(O482&gt;0,O482-(TBIcalc!$Q$9),""),"")</f>
        <v>1.6315</v>
      </c>
      <c r="Q482" s="278">
        <f>IFERROR(INDEX('Ashed teabags dry'!$K$2:$K$825,MATCH(J482,'Ashed teabags dry'!$A$2:$A$825,0)),"")</f>
        <v>4.8097944905995158</v>
      </c>
      <c r="R482" s="278">
        <f t="shared" si="37"/>
        <v>1.5530282028858688</v>
      </c>
      <c r="S482" s="268">
        <f>'Dry_Litterbag Placem_Collection'!E43</f>
        <v>42938</v>
      </c>
      <c r="T482" s="268">
        <f>IF('Dry_Litterbag Placem_Collection'!G43="","",'Dry_Litterbag Placem_Collection'!G43)</f>
        <v>43005</v>
      </c>
      <c r="U482" s="269">
        <f t="shared" si="35"/>
        <v>67</v>
      </c>
      <c r="V482" s="267">
        <f t="shared" si="38"/>
        <v>8.3700000000000108E-2</v>
      </c>
      <c r="W482" s="267">
        <f t="shared" si="39"/>
        <v>6.7582536224432666E-2</v>
      </c>
      <c r="X482" s="271">
        <f>IFERROR(INDEX(Rainfall_Dry!$O$2:$O$217,MATCH(B482, Rainfall_Dry!$A$2:$A$217,0)),"")</f>
        <v>6.5250000359999998</v>
      </c>
      <c r="Y482" s="260">
        <v>19.96</v>
      </c>
      <c r="Z482" s="260">
        <v>4.9199999999999982</v>
      </c>
      <c r="AA482" s="260">
        <v>75.12</v>
      </c>
      <c r="AB482" s="261" t="s">
        <v>2671</v>
      </c>
      <c r="AC482" s="260">
        <v>1.641498275012321</v>
      </c>
      <c r="AD482">
        <f>IF('WetLitterbags placem_collection'!AB43="","",'WetLitterbags placem_collection'!AB43)</f>
        <v>4</v>
      </c>
      <c r="AE482">
        <f>IF('WetLitterbags placem_collection'!Z43="","",'WetLitterbags placem_collection'!Z43)</f>
        <v>19.100000000000001</v>
      </c>
      <c r="AF482" s="246" t="str">
        <f>IF('WetLitterbags placem_collection'!AA43="","",'WetLitterbags placem_collection'!AA43)</f>
        <v>G</v>
      </c>
      <c r="AG482">
        <f>IF('WetLitterbags placem_collection'!AC43="","",'WetLitterbags placem_collection'!AC43)</f>
        <v>0</v>
      </c>
      <c r="AH482">
        <f>IFERROR(AVERAGE('Dry_Litterbag Placem_Collection'!O43,'Dry_Litterbag Placem_Collection'!R43),"")</f>
        <v>4.6500000000000004</v>
      </c>
      <c r="AI482" s="271">
        <f>IFERROR(AVERAGE('Dry_Litterbag Placem_Collection'!N43,'Dry_Litterbag Placem_Collection'!Q43),"")</f>
        <v>27.85</v>
      </c>
      <c r="AJ482" s="270">
        <f>INDEX(Coordinates!$B$2:$B$197,MATCH(G482,Coordinates!$J$2:$J$197,0))</f>
        <v>-3.4083420040000001</v>
      </c>
      <c r="AK482" s="270">
        <f>INDEX(Coordinates!$C$2:$C$197,MATCH(G482,Coordinates!$J$2:$J$197,0))</f>
        <v>34.850283040000001</v>
      </c>
      <c r="AL482" s="270" t="str">
        <f>IF(ISNUMBER(SEARCH("C", 'Dry_Litterbag Placem_Collection'!U43)),"YES","NO")</f>
        <v>NO</v>
      </c>
      <c r="AM482" s="270" t="str">
        <f>IF(ISNUMBER(SEARCH("H", 'Dry_Litterbag Placem_Collection'!U43)),"YES","NO")</f>
        <v>NO</v>
      </c>
      <c r="AN482" s="270" t="str">
        <f>IF(ISNUMBER(SEARCH("R", 'Dry_Litterbag Placem_Collection'!U43)),"YES","NO")</f>
        <v>NO</v>
      </c>
    </row>
    <row r="483" spans="1:40" ht="15" customHeight="1">
      <c r="A483" s="262" t="s">
        <v>2659</v>
      </c>
      <c r="B483" s="263">
        <f>'Dry_Litterbag Placem_Collection'!A44</f>
        <v>42</v>
      </c>
      <c r="C483" s="263" t="str">
        <f>'Dry_Litterbag Placem_Collection'!B44</f>
        <v>Makao</v>
      </c>
      <c r="D483" s="263" t="s">
        <v>2659</v>
      </c>
      <c r="E483" s="263" t="s">
        <v>20</v>
      </c>
      <c r="F483" s="263">
        <v>2</v>
      </c>
      <c r="G483" s="264" t="str">
        <f>'Dry_Litterbag Placem_Collection'!C44</f>
        <v>Dry_P2_T2</v>
      </c>
      <c r="H483" s="273" t="s">
        <v>3651</v>
      </c>
      <c r="I483" s="266" t="s">
        <v>1147</v>
      </c>
      <c r="J483" s="263" t="str">
        <f>IF(ISBLANK('Dry_Litterbag Placem_Collection'!L44),"","G"&amp;""&amp;'Dry_Litterbag Placem_Collection'!L44)</f>
        <v>G268</v>
      </c>
      <c r="K483" s="267">
        <f>IFERROR(INDEX('Green_rooibos initial weight'!$C$5:$C$1749,MATCH(J483, 'Green_rooibos initial weight'!$A$5:$A$1749,0)),"")</f>
        <v>2.1389999999999998</v>
      </c>
      <c r="L483" s="267">
        <f>IFERROR(K483-(TBIcalc!$Q$9+TBIcalc!$Q$10),"")</f>
        <v>1.8891999999999998</v>
      </c>
      <c r="M483" s="391">
        <f>AVERAGE(Ashed_controlls!$K$2:$K$11)</f>
        <v>5.5147656768714146</v>
      </c>
      <c r="N483" s="267">
        <f t="shared" si="36"/>
        <v>1.785015046832545</v>
      </c>
      <c r="O483" s="267">
        <f>IF(IFERROR(INDEX('Both teabags AfterDry'!$D$3:$D$900,MATCH(J483,'Both teabags AfterDry'!$A$3:$A$900,0)),"")="","",(IFERROR(INDEX('Both teabags AfterDry'!$D$3:$D$900,MATCH(J483,'Both teabags AfterDry'!$A$3:$A$900,0)),"")))</f>
        <v>1.7633000000000001</v>
      </c>
      <c r="P483" s="267">
        <f>IFERROR(IF(O483&gt;0,O483-(TBIcalc!$Q$9),""),"")</f>
        <v>1.6127</v>
      </c>
      <c r="Q483" s="278">
        <f>IFERROR(INDEX('Ashed teabags dry'!$K$2:$K$825,MATCH(J483,'Ashed teabags dry'!$A$2:$A$825,0)),"")</f>
        <v>9.3972472710013903</v>
      </c>
      <c r="R483" s="278">
        <f t="shared" si="37"/>
        <v>1.4611505932605606</v>
      </c>
      <c r="S483" s="268">
        <f>'Dry_Litterbag Placem_Collection'!E44</f>
        <v>42938</v>
      </c>
      <c r="T483" s="268">
        <f>IF('Dry_Litterbag Placem_Collection'!G44="","",'Dry_Litterbag Placem_Collection'!G44)</f>
        <v>43005</v>
      </c>
      <c r="U483" s="269">
        <f t="shared" si="35"/>
        <v>67</v>
      </c>
      <c r="V483" s="267">
        <f t="shared" si="38"/>
        <v>0.27649999999999975</v>
      </c>
      <c r="W483" s="267">
        <f t="shared" si="39"/>
        <v>0.32386445357198435</v>
      </c>
      <c r="X483" s="271">
        <f>IFERROR(INDEX(Rainfall_Dry!$O$2:$O$217,MATCH(B483, Rainfall_Dry!$A$2:$A$217,0)),"")</f>
        <v>6.5250000359999998</v>
      </c>
      <c r="Y483" s="260">
        <v>19.96</v>
      </c>
      <c r="Z483" s="260">
        <v>4.9199999999999982</v>
      </c>
      <c r="AA483" s="260">
        <v>75.12</v>
      </c>
      <c r="AB483" s="261" t="s">
        <v>2671</v>
      </c>
      <c r="AC483" s="260">
        <v>1.641498275012321</v>
      </c>
      <c r="AD483">
        <f>IF('WetLitterbags placem_collection'!AB44="","",'WetLitterbags placem_collection'!AB44)</f>
        <v>5.9</v>
      </c>
      <c r="AE483">
        <f>IF('WetLitterbags placem_collection'!Z44="","",'WetLitterbags placem_collection'!Z44)</f>
        <v>12.7</v>
      </c>
      <c r="AF483" s="246" t="str">
        <f>IF('WetLitterbags placem_collection'!AA44="","",'WetLitterbags placem_collection'!AA44)</f>
        <v>G</v>
      </c>
      <c r="AG483">
        <f>IF('WetLitterbags placem_collection'!AC44="","",'WetLitterbags placem_collection'!AC44)</f>
        <v>0</v>
      </c>
      <c r="AH483">
        <f>IFERROR(AVERAGE('Dry_Litterbag Placem_Collection'!O44,'Dry_Litterbag Placem_Collection'!R44),"")</f>
        <v>5.1999999999999993</v>
      </c>
      <c r="AI483" s="271">
        <f>IFERROR(AVERAGE('Dry_Litterbag Placem_Collection'!N44,'Dry_Litterbag Placem_Collection'!Q44),"")</f>
        <v>27.15</v>
      </c>
      <c r="AJ483" s="270">
        <f>INDEX(Coordinates!$B$2:$B$197,MATCH(G483,Coordinates!$J$2:$J$197,0))</f>
        <v>-3.4084079690000002</v>
      </c>
      <c r="AK483" s="270">
        <f>INDEX(Coordinates!$C$2:$C$197,MATCH(G483,Coordinates!$J$2:$J$197,0))</f>
        <v>34.850295029999998</v>
      </c>
      <c r="AL483" s="270" t="str">
        <f>IF(ISNUMBER(SEARCH("C", 'Dry_Litterbag Placem_Collection'!U44)),"YES","NO")</f>
        <v>NO</v>
      </c>
      <c r="AM483" s="270" t="str">
        <f>IF(ISNUMBER(SEARCH("H", 'Dry_Litterbag Placem_Collection'!U44)),"YES","NO")</f>
        <v>NO</v>
      </c>
      <c r="AN483" s="270" t="str">
        <f>IF(ISNUMBER(SEARCH("R", 'Dry_Litterbag Placem_Collection'!U44)),"YES","NO")</f>
        <v>YES</v>
      </c>
    </row>
    <row r="484" spans="1:40" ht="15" customHeight="1">
      <c r="A484" s="262" t="s">
        <v>2659</v>
      </c>
      <c r="B484" s="263">
        <f>'Dry_Litterbag Placem_Collection'!A45</f>
        <v>43</v>
      </c>
      <c r="C484" s="263" t="str">
        <f>'Dry_Litterbag Placem_Collection'!B45</f>
        <v>Makao</v>
      </c>
      <c r="D484" s="263" t="s">
        <v>2659</v>
      </c>
      <c r="E484" s="263" t="s">
        <v>20</v>
      </c>
      <c r="F484" s="263">
        <v>2</v>
      </c>
      <c r="G484" s="264" t="str">
        <f>'Dry_Litterbag Placem_Collection'!C45</f>
        <v>Dry_P2_T3</v>
      </c>
      <c r="H484" s="273" t="s">
        <v>3651</v>
      </c>
      <c r="I484" s="266" t="s">
        <v>1147</v>
      </c>
      <c r="J484" s="263" t="str">
        <f>IF(ISBLANK('Dry_Litterbag Placem_Collection'!L45),"","G"&amp;""&amp;'Dry_Litterbag Placem_Collection'!L45)</f>
        <v>G300</v>
      </c>
      <c r="K484" s="267">
        <f>IFERROR(INDEX('Green_rooibos initial weight'!$C$5:$C$1749,MATCH(J484, 'Green_rooibos initial weight'!$A$5:$A$1749,0)),"")</f>
        <v>2.052</v>
      </c>
      <c r="L484" s="267">
        <f>IFERROR(K484-(TBIcalc!$Q$9+TBIcalc!$Q$10),"")</f>
        <v>1.8022</v>
      </c>
      <c r="M484" s="391">
        <f>AVERAGE(Ashed_controlls!$K$2:$K$11)</f>
        <v>5.5147656768714146</v>
      </c>
      <c r="N484" s="267">
        <f t="shared" si="36"/>
        <v>1.7028128929714235</v>
      </c>
      <c r="O484" s="267">
        <f>IF(IFERROR(INDEX('Both teabags AfterDry'!$D$3:$D$900,MATCH(J484,'Both teabags AfterDry'!$A$3:$A$900,0)),"")="","",(IFERROR(INDEX('Both teabags AfterDry'!$D$3:$D$900,MATCH(J484,'Both teabags AfterDry'!$A$3:$A$900,0)),"")))</f>
        <v>1.8340000000000001</v>
      </c>
      <c r="P484" s="267">
        <f>IFERROR(IF(O484&gt;0,O484-(TBIcalc!$Q$9),""),"")</f>
        <v>1.6834</v>
      </c>
      <c r="Q484" s="278">
        <f>IFERROR(INDEX('Ashed teabags dry'!$K$2:$K$825,MATCH(J484,'Ashed teabags dry'!$A$2:$A$825,0)),"")</f>
        <v>6.2999529854254668</v>
      </c>
      <c r="R484" s="278">
        <f t="shared" si="37"/>
        <v>1.5773465914433478</v>
      </c>
      <c r="S484" s="268">
        <f>'Dry_Litterbag Placem_Collection'!E45</f>
        <v>42938</v>
      </c>
      <c r="T484" s="268">
        <f>IF('Dry_Litterbag Placem_Collection'!G45="","",'Dry_Litterbag Placem_Collection'!G45)</f>
        <v>43005</v>
      </c>
      <c r="U484" s="269">
        <f t="shared" si="35"/>
        <v>67</v>
      </c>
      <c r="V484" s="267">
        <f t="shared" si="38"/>
        <v>0.11880000000000002</v>
      </c>
      <c r="W484" s="267">
        <f t="shared" si="39"/>
        <v>0.1254663015280757</v>
      </c>
      <c r="X484" s="271">
        <f>IFERROR(INDEX(Rainfall_Dry!$O$2:$O$217,MATCH(B484, Rainfall_Dry!$A$2:$A$217,0)),"")</f>
        <v>6.5250000359999998</v>
      </c>
      <c r="Y484" s="260">
        <v>19.96</v>
      </c>
      <c r="Z484" s="260">
        <v>4.9199999999999982</v>
      </c>
      <c r="AA484" s="260">
        <v>75.12</v>
      </c>
      <c r="AB484" s="261" t="s">
        <v>2671</v>
      </c>
      <c r="AC484" s="260">
        <v>1.641498275012321</v>
      </c>
      <c r="AD484">
        <f>IF('WetLitterbags placem_collection'!AB45="","",'WetLitterbags placem_collection'!AB45)</f>
        <v>5</v>
      </c>
      <c r="AE484">
        <f>IF('WetLitterbags placem_collection'!Z45="","",'WetLitterbags placem_collection'!Z45)</f>
        <v>26.3</v>
      </c>
      <c r="AF484" s="246" t="str">
        <f>IF('WetLitterbags placem_collection'!AA45="","",'WetLitterbags placem_collection'!AA45)</f>
        <v>G</v>
      </c>
      <c r="AG484">
        <f>IF('WetLitterbags placem_collection'!AC45="","",'WetLitterbags placem_collection'!AC45)</f>
        <v>0</v>
      </c>
      <c r="AH484">
        <f>IFERROR(AVERAGE('Dry_Litterbag Placem_Collection'!O45,'Dry_Litterbag Placem_Collection'!R45),"")</f>
        <v>2.4500000000000002</v>
      </c>
      <c r="AI484" s="271">
        <f>IFERROR(AVERAGE('Dry_Litterbag Placem_Collection'!N45,'Dry_Litterbag Placem_Collection'!Q45),"")</f>
        <v>26.1</v>
      </c>
      <c r="AJ484" s="270">
        <f>INDEX(Coordinates!$B$2:$B$197,MATCH(G484,Coordinates!$J$2:$J$197,0))</f>
        <v>-3.4082369789999998</v>
      </c>
      <c r="AK484" s="270">
        <f>INDEX(Coordinates!$C$2:$C$197,MATCH(G484,Coordinates!$J$2:$J$197,0))</f>
        <v>34.850189999999998</v>
      </c>
      <c r="AL484" s="270" t="str">
        <f>IF(ISNUMBER(SEARCH("C", 'Dry_Litterbag Placem_Collection'!U45)),"YES","NO")</f>
        <v>NO</v>
      </c>
      <c r="AM484" s="270" t="str">
        <f>IF(ISNUMBER(SEARCH("H", 'Dry_Litterbag Placem_Collection'!U45)),"YES","NO")</f>
        <v>NO</v>
      </c>
      <c r="AN484" s="270" t="str">
        <f>IF(ISNUMBER(SEARCH("R", 'Dry_Litterbag Placem_Collection'!U45)),"YES","NO")</f>
        <v>NO</v>
      </c>
    </row>
    <row r="485" spans="1:40" ht="15" customHeight="1">
      <c r="A485" s="262" t="s">
        <v>2659</v>
      </c>
      <c r="B485" s="263">
        <f>'Dry_Litterbag Placem_Collection'!A46</f>
        <v>44</v>
      </c>
      <c r="C485" s="263" t="str">
        <f>'Dry_Litterbag Placem_Collection'!B46</f>
        <v>Makao</v>
      </c>
      <c r="D485" s="263" t="s">
        <v>2659</v>
      </c>
      <c r="E485" s="263" t="s">
        <v>20</v>
      </c>
      <c r="F485" s="263">
        <v>2</v>
      </c>
      <c r="G485" s="264" t="str">
        <f>'Dry_Litterbag Placem_Collection'!C46</f>
        <v>Dry_P2_T4</v>
      </c>
      <c r="H485" s="273" t="s">
        <v>3651</v>
      </c>
      <c r="I485" s="266" t="s">
        <v>1147</v>
      </c>
      <c r="J485" s="263" t="str">
        <f>IF(ISBLANK('Dry_Litterbag Placem_Collection'!L46),"","G"&amp;""&amp;'Dry_Litterbag Placem_Collection'!L46)</f>
        <v>G823</v>
      </c>
      <c r="K485" s="267">
        <f>IFERROR(INDEX('Green_rooibos initial weight'!$C$5:$C$1749,MATCH(J485, 'Green_rooibos initial weight'!$A$5:$A$1749,0)),"")</f>
        <v>1.9630000000000001</v>
      </c>
      <c r="L485" s="267">
        <f>IFERROR(K485-(TBIcalc!$Q$9+TBIcalc!$Q$10),"")</f>
        <v>1.7132000000000001</v>
      </c>
      <c r="M485" s="391">
        <f>AVERAGE(Ashed_controlls!$K$2:$K$11)</f>
        <v>5.5147656768714146</v>
      </c>
      <c r="N485" s="267">
        <f t="shared" si="36"/>
        <v>1.618721034423839</v>
      </c>
      <c r="O485" s="267">
        <f>IF(IFERROR(INDEX('Both teabags AfterDry'!$D$3:$D$900,MATCH(J485,'Both teabags AfterDry'!$A$3:$A$900,0)),"")="","",(IFERROR(INDEX('Both teabags AfterDry'!$D$3:$D$900,MATCH(J485,'Both teabags AfterDry'!$A$3:$A$900,0)),"")))</f>
        <v>1.8245</v>
      </c>
      <c r="P485" s="267">
        <f>IFERROR(IF(O485&gt;0,O485-(TBIcalc!$Q$9),""),"")</f>
        <v>1.6738999999999999</v>
      </c>
      <c r="Q485" s="278">
        <f>IFERROR(INDEX('Ashed teabags dry'!$K$2:$K$825,MATCH(J485,'Ashed teabags dry'!$A$2:$A$825,0)),"")</f>
        <v>6.7021748779403518</v>
      </c>
      <c r="R485" s="278">
        <f t="shared" si="37"/>
        <v>1.5617122947181563</v>
      </c>
      <c r="S485" s="268">
        <f>'Dry_Litterbag Placem_Collection'!E46</f>
        <v>42938</v>
      </c>
      <c r="T485" s="268">
        <f>IF('Dry_Litterbag Placem_Collection'!G46="","",'Dry_Litterbag Placem_Collection'!G46)</f>
        <v>43005</v>
      </c>
      <c r="U485" s="269">
        <f t="shared" si="35"/>
        <v>67</v>
      </c>
      <c r="V485" s="267">
        <f t="shared" si="38"/>
        <v>3.9300000000000113E-2</v>
      </c>
      <c r="W485" s="267">
        <f t="shared" si="39"/>
        <v>5.7008739705682654E-2</v>
      </c>
      <c r="X485" s="271">
        <f>IFERROR(INDEX(Rainfall_Dry!$O$2:$O$217,MATCH(B485, Rainfall_Dry!$A$2:$A$217,0)),"")</f>
        <v>6.5250000359999998</v>
      </c>
      <c r="Y485" s="260">
        <v>19.96</v>
      </c>
      <c r="Z485" s="260">
        <v>4.9199999999999982</v>
      </c>
      <c r="AA485" s="260">
        <v>75.12</v>
      </c>
      <c r="AB485" s="261" t="s">
        <v>2671</v>
      </c>
      <c r="AC485" s="260">
        <v>1.641498275012321</v>
      </c>
      <c r="AD485">
        <f>IF('WetLitterbags placem_collection'!AB46="","",'WetLitterbags placem_collection'!AB46)</f>
        <v>2.6</v>
      </c>
      <c r="AE485">
        <f>IF('WetLitterbags placem_collection'!Z46="","",'WetLitterbags placem_collection'!Z46)</f>
        <v>39.200000000000003</v>
      </c>
      <c r="AF485" s="246" t="str">
        <f>IF('WetLitterbags placem_collection'!AA46="","",'WetLitterbags placem_collection'!AA46)</f>
        <v>G</v>
      </c>
      <c r="AG485">
        <f>IF('WetLitterbags placem_collection'!AC46="","",'WetLitterbags placem_collection'!AC46)</f>
        <v>0</v>
      </c>
      <c r="AH485">
        <f>IFERROR(AVERAGE('Dry_Litterbag Placem_Collection'!O46,'Dry_Litterbag Placem_Collection'!R46),"")</f>
        <v>3.8499999999999996</v>
      </c>
      <c r="AI485" s="271">
        <f>IFERROR(AVERAGE('Dry_Litterbag Placem_Collection'!N46,'Dry_Litterbag Placem_Collection'!Q46),"")</f>
        <v>26.5</v>
      </c>
      <c r="AJ485" s="270">
        <f>INDEX(Coordinates!$B$2:$B$197,MATCH(G485,Coordinates!$J$2:$J$197,0))</f>
        <v>-3.4081529920000002</v>
      </c>
      <c r="AK485" s="270">
        <f>INDEX(Coordinates!$C$2:$C$197,MATCH(G485,Coordinates!$J$2:$J$197,0))</f>
        <v>34.850168959999998</v>
      </c>
      <c r="AL485" s="270" t="str">
        <f>IF(ISNUMBER(SEARCH("C", 'Dry_Litterbag Placem_Collection'!U46)),"YES","NO")</f>
        <v>NO</v>
      </c>
      <c r="AM485" s="270" t="str">
        <f>IF(ISNUMBER(SEARCH("H", 'Dry_Litterbag Placem_Collection'!U46)),"YES","NO")</f>
        <v>NO</v>
      </c>
      <c r="AN485" s="270" t="str">
        <f>IF(ISNUMBER(SEARCH("R", 'Dry_Litterbag Placem_Collection'!U46)),"YES","NO")</f>
        <v>NO</v>
      </c>
    </row>
    <row r="486" spans="1:40" ht="15" customHeight="1">
      <c r="A486" s="262" t="s">
        <v>2659</v>
      </c>
      <c r="B486" s="263">
        <f>'Dry_Litterbag Placem_Collection'!A47</f>
        <v>45</v>
      </c>
      <c r="C486" s="263" t="str">
        <f>'Dry_Litterbag Placem_Collection'!B47</f>
        <v>Makao</v>
      </c>
      <c r="D486" s="263" t="s">
        <v>2659</v>
      </c>
      <c r="E486" s="263" t="s">
        <v>20</v>
      </c>
      <c r="F486" s="263">
        <v>2</v>
      </c>
      <c r="G486" s="264" t="str">
        <f>'Dry_Litterbag Placem_Collection'!C47</f>
        <v>Dry_P2_T5</v>
      </c>
      <c r="H486" s="273" t="s">
        <v>3651</v>
      </c>
      <c r="I486" s="266" t="s">
        <v>1147</v>
      </c>
      <c r="J486" s="263" t="str">
        <f>IF(ISBLANK('Dry_Litterbag Placem_Collection'!L47),"","G"&amp;""&amp;'Dry_Litterbag Placem_Collection'!L47)</f>
        <v>G354</v>
      </c>
      <c r="K486" s="267">
        <f>IFERROR(INDEX('Green_rooibos initial weight'!$C$5:$C$1749,MATCH(J486, 'Green_rooibos initial weight'!$A$5:$A$1749,0)),"")</f>
        <v>1.835</v>
      </c>
      <c r="L486" s="267">
        <f>IFERROR(K486-(TBIcalc!$Q$9+TBIcalc!$Q$10),"")</f>
        <v>1.5851999999999999</v>
      </c>
      <c r="M486" s="391">
        <f>AVERAGE(Ashed_controlls!$K$2:$K$11)</f>
        <v>5.5147656768714146</v>
      </c>
      <c r="N486" s="267">
        <f t="shared" si="36"/>
        <v>1.4977799344902343</v>
      </c>
      <c r="O486" s="267" t="str">
        <f>IF(IFERROR(INDEX('Both teabags AfterDry'!$D$3:$D$900,MATCH(J486,'Both teabags AfterDry'!$A$3:$A$900,0)),"")="","",(IFERROR(INDEX('Both teabags AfterDry'!$D$3:$D$900,MATCH(J486,'Both teabags AfterDry'!$A$3:$A$900,0)),"")))</f>
        <v/>
      </c>
      <c r="P486" s="267" t="str">
        <f>IFERROR(IF(O486&gt;0,O486-(TBIcalc!$Q$9),""),"")</f>
        <v/>
      </c>
      <c r="Q486" s="278" t="str">
        <f>IFERROR(INDEX('Ashed teabags dry'!$K$2:$K$825,MATCH(J486,'Ashed teabags dry'!$A$2:$A$825,0)),"")</f>
        <v/>
      </c>
      <c r="R486" s="278" t="str">
        <f t="shared" si="37"/>
        <v/>
      </c>
      <c r="S486" s="268">
        <f>'Dry_Litterbag Placem_Collection'!E47</f>
        <v>42938</v>
      </c>
      <c r="T486" s="268">
        <f>IF('Dry_Litterbag Placem_Collection'!G47="","",'Dry_Litterbag Placem_Collection'!G47)</f>
        <v>43005</v>
      </c>
      <c r="U486" s="269">
        <f t="shared" si="35"/>
        <v>67</v>
      </c>
      <c r="V486" s="267" t="str">
        <f t="shared" si="38"/>
        <v/>
      </c>
      <c r="W486" s="267" t="str">
        <f t="shared" si="39"/>
        <v/>
      </c>
      <c r="X486" s="271">
        <f>IFERROR(INDEX(Rainfall_Dry!$O$2:$O$217,MATCH(B486, Rainfall_Dry!$A$2:$A$217,0)),"")</f>
        <v>6.5250000359999998</v>
      </c>
      <c r="Y486" s="260">
        <v>19.96</v>
      </c>
      <c r="Z486" s="260">
        <v>4.9199999999999982</v>
      </c>
      <c r="AA486" s="260">
        <v>75.12</v>
      </c>
      <c r="AB486" s="261" t="s">
        <v>2671</v>
      </c>
      <c r="AC486" s="260">
        <v>1.641498275012321</v>
      </c>
      <c r="AD486">
        <f>IF('WetLitterbags placem_collection'!AB47="","",'WetLitterbags placem_collection'!AB47)</f>
        <v>2.2999999999999998</v>
      </c>
      <c r="AE486">
        <f>IF('WetLitterbags placem_collection'!Z47="","",'WetLitterbags placem_collection'!Z47)</f>
        <v>9.3000000000000007</v>
      </c>
      <c r="AF486" s="246" t="str">
        <f>IF('WetLitterbags placem_collection'!AA47="","",'WetLitterbags placem_collection'!AA47)</f>
        <v>O</v>
      </c>
      <c r="AG486">
        <f>IF('WetLitterbags placem_collection'!AC47="","",'WetLitterbags placem_collection'!AC47)</f>
        <v>0</v>
      </c>
      <c r="AH486">
        <f>IFERROR(AVERAGE('Dry_Litterbag Placem_Collection'!O47,'Dry_Litterbag Placem_Collection'!R47),"")</f>
        <v>4.0999999999999996</v>
      </c>
      <c r="AI486" s="271">
        <f>IFERROR(AVERAGE('Dry_Litterbag Placem_Collection'!N47,'Dry_Litterbag Placem_Collection'!Q47),"")</f>
        <v>27.25</v>
      </c>
      <c r="AJ486" s="270">
        <f>INDEX(Coordinates!$B$2:$B$197,MATCH(G486,Coordinates!$J$2:$J$197,0))</f>
        <v>-3.4081789759999999</v>
      </c>
      <c r="AK486" s="270">
        <f>INDEX(Coordinates!$C$2:$C$197,MATCH(G486,Coordinates!$J$2:$J$197,0))</f>
        <v>34.850516980000002</v>
      </c>
      <c r="AL486" s="270" t="str">
        <f>IF(ISNUMBER(SEARCH("C", 'Dry_Litterbag Placem_Collection'!U47)),"YES","NO")</f>
        <v>NO</v>
      </c>
      <c r="AM486" s="270" t="str">
        <f>IF(ISNUMBER(SEARCH("H", 'Dry_Litterbag Placem_Collection'!U47)),"YES","NO")</f>
        <v>NO</v>
      </c>
      <c r="AN486" s="270" t="str">
        <f>IF(ISNUMBER(SEARCH("R", 'Dry_Litterbag Placem_Collection'!U47)),"YES","NO")</f>
        <v>NO</v>
      </c>
    </row>
    <row r="487" spans="1:40" ht="15" customHeight="1">
      <c r="A487" s="262" t="s">
        <v>2659</v>
      </c>
      <c r="B487" s="263">
        <f>'Dry_Litterbag Placem_Collection'!A48</f>
        <v>46</v>
      </c>
      <c r="C487" s="263" t="str">
        <f>'Dry_Litterbag Placem_Collection'!B48</f>
        <v>Makao</v>
      </c>
      <c r="D487" s="263" t="s">
        <v>2659</v>
      </c>
      <c r="E487" s="263" t="s">
        <v>20</v>
      </c>
      <c r="F487" s="263">
        <v>2</v>
      </c>
      <c r="G487" s="264" t="str">
        <f>'Dry_Litterbag Placem_Collection'!C48</f>
        <v>Dry_P2_T6</v>
      </c>
      <c r="H487" s="273" t="s">
        <v>3651</v>
      </c>
      <c r="I487" s="266" t="s">
        <v>1147</v>
      </c>
      <c r="J487" s="263" t="str">
        <f>IF(ISBLANK('Dry_Litterbag Placem_Collection'!L48),"","G"&amp;""&amp;'Dry_Litterbag Placem_Collection'!L48)</f>
        <v/>
      </c>
      <c r="K487" s="267" t="str">
        <f>IFERROR(INDEX('Green_rooibos initial weight'!$C$5:$C$1749,MATCH(J487, 'Green_rooibos initial weight'!$A$5:$A$1749,0)),"")</f>
        <v/>
      </c>
      <c r="L487" s="267" t="str">
        <f>IFERROR(K487-(TBIcalc!$Q$9+TBIcalc!$Q$10),"")</f>
        <v/>
      </c>
      <c r="M487" s="391">
        <f>AVERAGE(Ashed_controlls!$K$2:$K$11)</f>
        <v>5.5147656768714146</v>
      </c>
      <c r="N487" s="267" t="str">
        <f t="shared" si="36"/>
        <v/>
      </c>
      <c r="O487" s="267" t="str">
        <f>IF(IFERROR(INDEX('Both teabags AfterDry'!$D$3:$D$900,MATCH(J487,'Both teabags AfterDry'!$A$3:$A$900,0)),"")="","",(IFERROR(INDEX('Both teabags AfterDry'!$D$3:$D$900,MATCH(J487,'Both teabags AfterDry'!$A$3:$A$900,0)),"")))</f>
        <v/>
      </c>
      <c r="P487" s="267" t="str">
        <f>IFERROR(IF(O487&gt;0,O487-(TBIcalc!$Q$9),""),"")</f>
        <v/>
      </c>
      <c r="Q487" s="278" t="str">
        <f>IFERROR(INDEX('Ashed teabags dry'!$K$2:$K$825,MATCH(J487,'Ashed teabags dry'!$A$2:$A$825,0)),"")</f>
        <v/>
      </c>
      <c r="R487" s="278" t="str">
        <f t="shared" si="37"/>
        <v/>
      </c>
      <c r="S487" s="268">
        <f>'Dry_Litterbag Placem_Collection'!E48</f>
        <v>0</v>
      </c>
      <c r="T487" s="268" t="str">
        <f>IF('Dry_Litterbag Placem_Collection'!G48="","",'Dry_Litterbag Placem_Collection'!G48)</f>
        <v/>
      </c>
      <c r="U487" s="269" t="str">
        <f t="shared" si="35"/>
        <v/>
      </c>
      <c r="V487" s="267" t="str">
        <f t="shared" si="38"/>
        <v/>
      </c>
      <c r="W487" s="267" t="str">
        <f t="shared" si="39"/>
        <v/>
      </c>
      <c r="X487" s="271" t="str">
        <f>IFERROR(INDEX(Rainfall_Dry!$O$2:$O$217,MATCH(B487, Rainfall_Dry!$A$2:$A$217,0)),"")</f>
        <v/>
      </c>
      <c r="Y487" s="260">
        <v>19.96</v>
      </c>
      <c r="Z487" s="260">
        <v>4.9199999999999982</v>
      </c>
      <c r="AA487" s="260">
        <v>75.12</v>
      </c>
      <c r="AB487" s="261" t="s">
        <v>2671</v>
      </c>
      <c r="AC487" s="260">
        <v>1.641498275012321</v>
      </c>
      <c r="AD487" t="str">
        <f>IF('WetLitterbags placem_collection'!AB48="","",'WetLitterbags placem_collection'!AB48)</f>
        <v/>
      </c>
      <c r="AE487" t="str">
        <f>IF('WetLitterbags placem_collection'!Z48="","",'WetLitterbags placem_collection'!Z48)</f>
        <v/>
      </c>
      <c r="AF487" s="246" t="str">
        <f>IF('WetLitterbags placem_collection'!AA48="","",'WetLitterbags placem_collection'!AA48)</f>
        <v/>
      </c>
      <c r="AG487" t="str">
        <f>IF('WetLitterbags placem_collection'!AC48="","",'WetLitterbags placem_collection'!AC48)</f>
        <v/>
      </c>
      <c r="AH487" t="str">
        <f>IFERROR(AVERAGE('Dry_Litterbag Placem_Collection'!O48,'Dry_Litterbag Placem_Collection'!R48),"")</f>
        <v/>
      </c>
      <c r="AI487" s="271" t="str">
        <f>IFERROR(AVERAGE('Dry_Litterbag Placem_Collection'!N48,'Dry_Litterbag Placem_Collection'!Q48),"")</f>
        <v/>
      </c>
      <c r="AJ487" s="270">
        <f>INDEX(Coordinates!$B$2:$B$197,MATCH(G487,Coordinates!$J$2:$J$197,0))</f>
        <v>-3.4084730130000001</v>
      </c>
      <c r="AK487" s="270">
        <f>INDEX(Coordinates!$C$2:$C$197,MATCH(G487,Coordinates!$J$2:$J$197,0))</f>
        <v>34.850401980000001</v>
      </c>
      <c r="AL487" s="270" t="str">
        <f>IF(ISNUMBER(SEARCH("C", 'Dry_Litterbag Placem_Collection'!U48)),"YES","NO")</f>
        <v>NO</v>
      </c>
      <c r="AM487" s="270" t="str">
        <f>IF(ISNUMBER(SEARCH("H", 'Dry_Litterbag Placem_Collection'!U48)),"YES","NO")</f>
        <v>NO</v>
      </c>
      <c r="AN487" s="270" t="str">
        <f>IF(ISNUMBER(SEARCH("R", 'Dry_Litterbag Placem_Collection'!U48)),"YES","NO")</f>
        <v>NO</v>
      </c>
    </row>
    <row r="488" spans="1:40" ht="15" customHeight="1">
      <c r="A488" s="262" t="s">
        <v>2659</v>
      </c>
      <c r="B488" s="263">
        <f>'Dry_Litterbag Placem_Collection'!A49</f>
        <v>47</v>
      </c>
      <c r="C488" s="263" t="str">
        <f>'Dry_Litterbag Placem_Collection'!B49</f>
        <v>Makao</v>
      </c>
      <c r="D488" s="263" t="s">
        <v>2659</v>
      </c>
      <c r="E488" s="263" t="s">
        <v>20</v>
      </c>
      <c r="F488" s="263">
        <v>2</v>
      </c>
      <c r="G488" s="264" t="str">
        <f>'Dry_Litterbag Placem_Collection'!C49</f>
        <v>Dry_P2_T7</v>
      </c>
      <c r="H488" s="273" t="s">
        <v>3651</v>
      </c>
      <c r="I488" s="266" t="s">
        <v>1147</v>
      </c>
      <c r="J488" s="263" t="str">
        <f>IF(ISBLANK('Dry_Litterbag Placem_Collection'!L49),"","G"&amp;""&amp;'Dry_Litterbag Placem_Collection'!L49)</f>
        <v>G659</v>
      </c>
      <c r="K488" s="267">
        <f>IFERROR(INDEX('Green_rooibos initial weight'!$C$5:$C$1749,MATCH(J488, 'Green_rooibos initial weight'!$A$5:$A$1749,0)),"")</f>
        <v>2.0529999999999999</v>
      </c>
      <c r="L488" s="267">
        <f>IFERROR(K488-(TBIcalc!$Q$9+TBIcalc!$Q$10),"")</f>
        <v>1.8031999999999999</v>
      </c>
      <c r="M488" s="391">
        <f>AVERAGE(Ashed_controlls!$K$2:$K$11)</f>
        <v>5.5147656768714146</v>
      </c>
      <c r="N488" s="267">
        <f t="shared" si="36"/>
        <v>1.7037577453146546</v>
      </c>
      <c r="O488" s="267">
        <f>IF(IFERROR(INDEX('Both teabags AfterDry'!$D$3:$D$900,MATCH(J488,'Both teabags AfterDry'!$A$3:$A$900,0)),"")="","",(IFERROR(INDEX('Both teabags AfterDry'!$D$3:$D$900,MATCH(J488,'Both teabags AfterDry'!$A$3:$A$900,0)),"")))</f>
        <v>1.8913</v>
      </c>
      <c r="P488" s="267">
        <f>IFERROR(IF(O488&gt;0,O488-(TBIcalc!$Q$9),""),"")</f>
        <v>1.7406999999999999</v>
      </c>
      <c r="Q488" s="278">
        <f>IFERROR(INDEX('Ashed teabags dry'!$K$2:$K$825,MATCH(J488,'Ashed teabags dry'!$A$2:$A$825,0)),"")</f>
        <v>5.8849557522116545</v>
      </c>
      <c r="R488" s="278">
        <f t="shared" si="37"/>
        <v>1.6382605752212516</v>
      </c>
      <c r="S488" s="268">
        <f>'Dry_Litterbag Placem_Collection'!E49</f>
        <v>42938</v>
      </c>
      <c r="T488" s="268">
        <f>IF('Dry_Litterbag Placem_Collection'!G49="","",'Dry_Litterbag Placem_Collection'!G49)</f>
        <v>43005</v>
      </c>
      <c r="U488" s="269">
        <f t="shared" si="35"/>
        <v>67</v>
      </c>
      <c r="V488" s="267">
        <f t="shared" si="38"/>
        <v>6.25E-2</v>
      </c>
      <c r="W488" s="267">
        <f t="shared" si="39"/>
        <v>6.5497170093403057E-2</v>
      </c>
      <c r="X488" s="271">
        <f>IFERROR(INDEX(Rainfall_Dry!$O$2:$O$217,MATCH(B488, Rainfall_Dry!$A$2:$A$217,0)),"")</f>
        <v>6.5250000359999998</v>
      </c>
      <c r="Y488" s="260">
        <v>19.96</v>
      </c>
      <c r="Z488" s="260">
        <v>4.9199999999999982</v>
      </c>
      <c r="AA488" s="260">
        <v>75.12</v>
      </c>
      <c r="AB488" s="261" t="s">
        <v>2671</v>
      </c>
      <c r="AC488" s="260">
        <v>1.641498275012321</v>
      </c>
      <c r="AD488">
        <f>IF('WetLitterbags placem_collection'!AB49="","",'WetLitterbags placem_collection'!AB49)</f>
        <v>5.2</v>
      </c>
      <c r="AE488">
        <f>IF('WetLitterbags placem_collection'!Z49="","",'WetLitterbags placem_collection'!Z49)</f>
        <v>5.2</v>
      </c>
      <c r="AF488" s="246" t="str">
        <f>IF('WetLitterbags placem_collection'!AA49="","",'WetLitterbags placem_collection'!AA49)</f>
        <v>G</v>
      </c>
      <c r="AG488">
        <f>IF('WetLitterbags placem_collection'!AC49="","",'WetLitterbags placem_collection'!AC49)</f>
        <v>0</v>
      </c>
      <c r="AH488">
        <f>IFERROR(AVERAGE('Dry_Litterbag Placem_Collection'!O49,'Dry_Litterbag Placem_Collection'!R49),"")</f>
        <v>5.35</v>
      </c>
      <c r="AI488" s="271">
        <f>IFERROR(AVERAGE('Dry_Litterbag Placem_Collection'!N49,'Dry_Litterbag Placem_Collection'!Q49),"")</f>
        <v>26.4</v>
      </c>
      <c r="AJ488" s="270">
        <f>INDEX(Coordinates!$B$2:$B$197,MATCH(G488,Coordinates!$J$2:$J$197,0))</f>
        <v>-3.4084819820000001</v>
      </c>
      <c r="AK488" s="270">
        <f>INDEX(Coordinates!$C$2:$C$197,MATCH(G488,Coordinates!$J$2:$J$197,0))</f>
        <v>34.850024040000001</v>
      </c>
      <c r="AL488" s="270" t="str">
        <f>IF(ISNUMBER(SEARCH("C", 'Dry_Litterbag Placem_Collection'!U49)),"YES","NO")</f>
        <v>NO</v>
      </c>
      <c r="AM488" s="270" t="str">
        <f>IF(ISNUMBER(SEARCH("H", 'Dry_Litterbag Placem_Collection'!U49)),"YES","NO")</f>
        <v>NO</v>
      </c>
      <c r="AN488" s="270" t="str">
        <f>IF(ISNUMBER(SEARCH("R", 'Dry_Litterbag Placem_Collection'!U49)),"YES","NO")</f>
        <v>NO</v>
      </c>
    </row>
    <row r="489" spans="1:40" ht="15" customHeight="1">
      <c r="A489" s="262" t="s">
        <v>2659</v>
      </c>
      <c r="B489" s="263">
        <f>'Dry_Litterbag Placem_Collection'!A50</f>
        <v>48</v>
      </c>
      <c r="C489" s="263" t="str">
        <f>'Dry_Litterbag Placem_Collection'!B50</f>
        <v>Makao</v>
      </c>
      <c r="D489" s="263" t="s">
        <v>2659</v>
      </c>
      <c r="E489" s="263" t="s">
        <v>20</v>
      </c>
      <c r="F489" s="263">
        <v>2</v>
      </c>
      <c r="G489" s="264" t="str">
        <f>'Dry_Litterbag Placem_Collection'!C50</f>
        <v>Dry_P2_T8</v>
      </c>
      <c r="H489" s="273" t="s">
        <v>3651</v>
      </c>
      <c r="I489" s="266" t="s">
        <v>1147</v>
      </c>
      <c r="J489" s="263" t="str">
        <f>IF(ISBLANK('Dry_Litterbag Placem_Collection'!L50),"","G"&amp;""&amp;'Dry_Litterbag Placem_Collection'!L50)</f>
        <v>G267</v>
      </c>
      <c r="K489" s="267">
        <f>IFERROR(INDEX('Green_rooibos initial weight'!$C$5:$C$1749,MATCH(J489, 'Green_rooibos initial weight'!$A$5:$A$1749,0)),"")</f>
        <v>2.069</v>
      </c>
      <c r="L489" s="267">
        <f>IFERROR(K489-(TBIcalc!$Q$9+TBIcalc!$Q$10),"")</f>
        <v>1.8191999999999999</v>
      </c>
      <c r="M489" s="391">
        <f>AVERAGE(Ashed_controlls!$K$2:$K$11)</f>
        <v>5.5147656768714146</v>
      </c>
      <c r="N489" s="267">
        <f t="shared" si="36"/>
        <v>1.7188753828063552</v>
      </c>
      <c r="O489" s="267">
        <f>IF(IFERROR(INDEX('Both teabags AfterDry'!$D$3:$D$900,MATCH(J489,'Both teabags AfterDry'!$A$3:$A$900,0)),"")="","",(IFERROR(INDEX('Both teabags AfterDry'!$D$3:$D$900,MATCH(J489,'Both teabags AfterDry'!$A$3:$A$900,0)),"")))</f>
        <v>1.8248</v>
      </c>
      <c r="P489" s="267">
        <f>IFERROR(IF(O489&gt;0,O489-(TBIcalc!$Q$9),""),"")</f>
        <v>1.6741999999999999</v>
      </c>
      <c r="Q489" s="278">
        <f>IFERROR(INDEX('Ashed teabags dry'!$K$2:$K$825,MATCH(J489,'Ashed teabags dry'!$A$2:$A$825,0)),"")</f>
        <v>5.78791719476098</v>
      </c>
      <c r="R489" s="278">
        <f t="shared" si="37"/>
        <v>1.5772986903253117</v>
      </c>
      <c r="S489" s="268">
        <f>'Dry_Litterbag Placem_Collection'!E50</f>
        <v>42938</v>
      </c>
      <c r="T489" s="268">
        <f>IF('Dry_Litterbag Placem_Collection'!G50="","",'Dry_Litterbag Placem_Collection'!G50)</f>
        <v>43005</v>
      </c>
      <c r="U489" s="269">
        <f t="shared" si="35"/>
        <v>67</v>
      </c>
      <c r="V489" s="267">
        <f t="shared" si="38"/>
        <v>0.14500000000000002</v>
      </c>
      <c r="W489" s="267">
        <f t="shared" si="39"/>
        <v>0.14157669248104354</v>
      </c>
      <c r="X489" s="271">
        <f>IFERROR(INDEX(Rainfall_Dry!$O$2:$O$217,MATCH(B489, Rainfall_Dry!$A$2:$A$217,0)),"")</f>
        <v>6.5250000359999998</v>
      </c>
      <c r="Y489" s="260">
        <v>19.96</v>
      </c>
      <c r="Z489" s="260">
        <v>4.9199999999999982</v>
      </c>
      <c r="AA489" s="260">
        <v>75.12</v>
      </c>
      <c r="AB489" s="261" t="s">
        <v>2671</v>
      </c>
      <c r="AC489" s="260">
        <v>1.641498275012321</v>
      </c>
      <c r="AD489">
        <f>IF('WetLitterbags placem_collection'!AB50="","",'WetLitterbags placem_collection'!AB50)</f>
        <v>7.3</v>
      </c>
      <c r="AE489">
        <f>IF('WetLitterbags placem_collection'!Z50="","",'WetLitterbags placem_collection'!Z50)</f>
        <v>27.2</v>
      </c>
      <c r="AF489" s="246" t="str">
        <f>IF('WetLitterbags placem_collection'!AA50="","",'WetLitterbags placem_collection'!AA50)</f>
        <v>M</v>
      </c>
      <c r="AG489">
        <f>IF('WetLitterbags placem_collection'!AC50="","",'WetLitterbags placem_collection'!AC50)</f>
        <v>0</v>
      </c>
      <c r="AH489">
        <f>IFERROR(AVERAGE('Dry_Litterbag Placem_Collection'!O50,'Dry_Litterbag Placem_Collection'!R50),"")</f>
        <v>3.95</v>
      </c>
      <c r="AI489" s="271">
        <f>IFERROR(AVERAGE('Dry_Litterbag Placem_Collection'!N50,'Dry_Litterbag Placem_Collection'!Q50),"")</f>
        <v>25.950000000000003</v>
      </c>
      <c r="AJ489" s="270">
        <f>INDEX(Coordinates!$B$2:$B$197,MATCH(G489,Coordinates!$J$2:$J$197,0))</f>
        <v>-3.4081990090000001</v>
      </c>
      <c r="AK489" s="270">
        <f>INDEX(Coordinates!$C$2:$C$197,MATCH(G489,Coordinates!$J$2:$J$197,0))</f>
        <v>34.850254960000001</v>
      </c>
      <c r="AL489" s="270" t="str">
        <f>IF(ISNUMBER(SEARCH("C", 'Dry_Litterbag Placem_Collection'!U50)),"YES","NO")</f>
        <v>NO</v>
      </c>
      <c r="AM489" s="270" t="str">
        <f>IF(ISNUMBER(SEARCH("H", 'Dry_Litterbag Placem_Collection'!U50)),"YES","NO")</f>
        <v>NO</v>
      </c>
      <c r="AN489" s="270" t="str">
        <f>IF(ISNUMBER(SEARCH("R", 'Dry_Litterbag Placem_Collection'!U50)),"YES","NO")</f>
        <v>NO</v>
      </c>
    </row>
    <row r="490" spans="1:40" ht="15" customHeight="1">
      <c r="A490" s="262" t="s">
        <v>2659</v>
      </c>
      <c r="B490" s="263">
        <f>'Dry_Litterbag Placem_Collection'!A51</f>
        <v>49</v>
      </c>
      <c r="C490" s="263" t="str">
        <f>'Dry_Litterbag Placem_Collection'!B51</f>
        <v>Makao</v>
      </c>
      <c r="D490" s="263" t="s">
        <v>2659</v>
      </c>
      <c r="E490" s="263" t="s">
        <v>20</v>
      </c>
      <c r="F490" s="263">
        <v>3</v>
      </c>
      <c r="G490" s="264" t="str">
        <f>'Dry_Litterbag Placem_Collection'!C51</f>
        <v>Dry_P3_T1</v>
      </c>
      <c r="H490" s="273" t="s">
        <v>3651</v>
      </c>
      <c r="I490" s="266" t="s">
        <v>1147</v>
      </c>
      <c r="J490" s="263" t="str">
        <f>IF(ISBLANK('Dry_Litterbag Placem_Collection'!L51),"","G"&amp;""&amp;'Dry_Litterbag Placem_Collection'!L51)</f>
        <v>G812</v>
      </c>
      <c r="K490" s="267">
        <f>IFERROR(INDEX('Green_rooibos initial weight'!$C$5:$C$1749,MATCH(J490, 'Green_rooibos initial weight'!$A$5:$A$1749,0)),"")</f>
        <v>2.0169999999999999</v>
      </c>
      <c r="L490" s="267">
        <f>IFERROR(K490-(TBIcalc!$Q$9+TBIcalc!$Q$10),"")</f>
        <v>1.7671999999999999</v>
      </c>
      <c r="M490" s="391">
        <f>AVERAGE(Ashed_controlls!$K$2:$K$11)</f>
        <v>5.5147656768714146</v>
      </c>
      <c r="N490" s="267">
        <f t="shared" si="36"/>
        <v>1.6697430609583281</v>
      </c>
      <c r="O490" s="267" t="str">
        <f>IF(IFERROR(INDEX('Both teabags AfterDry'!$D$3:$D$900,MATCH(J490,'Both teabags AfterDry'!$A$3:$A$900,0)),"")="","",(IFERROR(INDEX('Both teabags AfterDry'!$D$3:$D$900,MATCH(J490,'Both teabags AfterDry'!$A$3:$A$900,0)),"")))</f>
        <v/>
      </c>
      <c r="P490" s="267" t="str">
        <f>IFERROR(IF(O490&gt;0,O490-(TBIcalc!$Q$9),""),"")</f>
        <v/>
      </c>
      <c r="Q490" s="278" t="str">
        <f>IFERROR(INDEX('Ashed teabags dry'!$K$2:$K$825,MATCH(J490,'Ashed teabags dry'!$A$2:$A$825,0)),"")</f>
        <v/>
      </c>
      <c r="R490" s="278" t="str">
        <f t="shared" si="37"/>
        <v/>
      </c>
      <c r="S490" s="268">
        <f>'Dry_Litterbag Placem_Collection'!E51</f>
        <v>42938</v>
      </c>
      <c r="T490" s="268">
        <f>IF('Dry_Litterbag Placem_Collection'!G51="","",'Dry_Litterbag Placem_Collection'!G51)</f>
        <v>43005</v>
      </c>
      <c r="U490" s="269">
        <f t="shared" si="35"/>
        <v>67</v>
      </c>
      <c r="V490" s="267" t="str">
        <f t="shared" si="38"/>
        <v/>
      </c>
      <c r="W490" s="267" t="str">
        <f t="shared" si="39"/>
        <v/>
      </c>
      <c r="X490" s="271">
        <f>IFERROR(INDEX(Rainfall_Dry!$O$2:$O$217,MATCH(B490, Rainfall_Dry!$A$2:$A$217,0)),"")</f>
        <v>6.5250000359999998</v>
      </c>
      <c r="Y490" s="260">
        <v>21.96</v>
      </c>
      <c r="Z490" s="260">
        <v>8.9199999999999982</v>
      </c>
      <c r="AA490" s="260">
        <v>69.12</v>
      </c>
      <c r="AB490" s="261" t="s">
        <v>2670</v>
      </c>
      <c r="AC490" s="260">
        <v>1.7491375061606702</v>
      </c>
      <c r="AD490">
        <f>IF('WetLitterbags placem_collection'!AB51="","",'WetLitterbags placem_collection'!AB51)</f>
        <v>10.4</v>
      </c>
      <c r="AE490">
        <f>IF('WetLitterbags placem_collection'!Z51="","",'WetLitterbags placem_collection'!Z51)</f>
        <v>36</v>
      </c>
      <c r="AF490" s="246" t="str">
        <f>IF('WetLitterbags placem_collection'!AA51="","",'WetLitterbags placem_collection'!AA51)</f>
        <v>M</v>
      </c>
      <c r="AG490">
        <f>IF('WetLitterbags placem_collection'!AC51="","",'WetLitterbags placem_collection'!AC51)</f>
        <v>1</v>
      </c>
      <c r="AH490">
        <f>IFERROR(AVERAGE('Dry_Litterbag Placem_Collection'!O51,'Dry_Litterbag Placem_Collection'!R51),"")</f>
        <v>7.05</v>
      </c>
      <c r="AI490" s="271">
        <f>IFERROR(AVERAGE('Dry_Litterbag Placem_Collection'!N51,'Dry_Litterbag Placem_Collection'!Q51),"")</f>
        <v>31.5</v>
      </c>
      <c r="AJ490" s="270">
        <f>INDEX(Coordinates!$B$2:$B$197,MATCH(G490,Coordinates!$J$2:$J$197,0))</f>
        <v>-3.406225992</v>
      </c>
      <c r="AK490" s="270">
        <f>INDEX(Coordinates!$C$2:$C$197,MATCH(G490,Coordinates!$J$2:$J$197,0))</f>
        <v>34.85055998</v>
      </c>
      <c r="AL490" s="270" t="str">
        <f>IF(ISNUMBER(SEARCH("C", 'Dry_Litterbag Placem_Collection'!U51)),"YES","NO")</f>
        <v>NO</v>
      </c>
      <c r="AM490" s="270" t="str">
        <f>IF(ISNUMBER(SEARCH("H", 'Dry_Litterbag Placem_Collection'!U51)),"YES","NO")</f>
        <v>NO</v>
      </c>
      <c r="AN490" s="270" t="str">
        <f>IF(ISNUMBER(SEARCH("R", 'Dry_Litterbag Placem_Collection'!U51)),"YES","NO")</f>
        <v>NO</v>
      </c>
    </row>
    <row r="491" spans="1:40" ht="15" customHeight="1">
      <c r="A491" s="262" t="s">
        <v>2659</v>
      </c>
      <c r="B491" s="263">
        <f>'Dry_Litterbag Placem_Collection'!A52</f>
        <v>50</v>
      </c>
      <c r="C491" s="263" t="str">
        <f>'Dry_Litterbag Placem_Collection'!B52</f>
        <v>Makao</v>
      </c>
      <c r="D491" s="263" t="s">
        <v>2659</v>
      </c>
      <c r="E491" s="263" t="s">
        <v>20</v>
      </c>
      <c r="F491" s="263">
        <v>3</v>
      </c>
      <c r="G491" s="264" t="str">
        <f>'Dry_Litterbag Placem_Collection'!C52</f>
        <v>Dry_P3_T2</v>
      </c>
      <c r="H491" s="273" t="s">
        <v>3651</v>
      </c>
      <c r="I491" s="266" t="s">
        <v>1147</v>
      </c>
      <c r="J491" s="263" t="str">
        <f>IF(ISBLANK('Dry_Litterbag Placem_Collection'!L52),"","G"&amp;""&amp;'Dry_Litterbag Placem_Collection'!L52)</f>
        <v>G212</v>
      </c>
      <c r="K491" s="267">
        <f>IFERROR(INDEX('Green_rooibos initial weight'!$C$5:$C$1749,MATCH(J491, 'Green_rooibos initial weight'!$A$5:$A$1749,0)),"")</f>
        <v>1.9570000000000001</v>
      </c>
      <c r="L491" s="267">
        <f>IFERROR(K491-(TBIcalc!$Q$9+TBIcalc!$Q$10),"")</f>
        <v>1.7072000000000001</v>
      </c>
      <c r="M491" s="391">
        <f>AVERAGE(Ashed_controlls!$K$2:$K$11)</f>
        <v>5.5147656768714146</v>
      </c>
      <c r="N491" s="267">
        <f t="shared" si="36"/>
        <v>1.6130519203644513</v>
      </c>
      <c r="O491" s="267" t="str">
        <f>IF(IFERROR(INDEX('Both teabags AfterDry'!$D$3:$D$900,MATCH(J491,'Both teabags AfterDry'!$A$3:$A$900,0)),"")="","",(IFERROR(INDEX('Both teabags AfterDry'!$D$3:$D$900,MATCH(J491,'Both teabags AfterDry'!$A$3:$A$900,0)),"")))</f>
        <v/>
      </c>
      <c r="P491" s="267" t="str">
        <f>IFERROR(IF(O491&gt;0,O491-(TBIcalc!$Q$9),""),"")</f>
        <v/>
      </c>
      <c r="Q491" s="278" t="str">
        <f>IFERROR(INDEX('Ashed teabags dry'!$K$2:$K$825,MATCH(J491,'Ashed teabags dry'!$A$2:$A$825,0)),"")</f>
        <v/>
      </c>
      <c r="R491" s="278" t="str">
        <f t="shared" si="37"/>
        <v/>
      </c>
      <c r="S491" s="268">
        <f>'Dry_Litterbag Placem_Collection'!E52</f>
        <v>42938</v>
      </c>
      <c r="T491" s="268" t="str">
        <f>IF('Dry_Litterbag Placem_Collection'!G52="","",'Dry_Litterbag Placem_Collection'!G52)</f>
        <v/>
      </c>
      <c r="U491" s="269" t="str">
        <f t="shared" si="35"/>
        <v/>
      </c>
      <c r="V491" s="267" t="str">
        <f t="shared" si="38"/>
        <v/>
      </c>
      <c r="W491" s="267" t="str">
        <f t="shared" si="39"/>
        <v/>
      </c>
      <c r="X491" s="271" t="str">
        <f>IFERROR(INDEX(Rainfall_Dry!$O$2:$O$217,MATCH(B491, Rainfall_Dry!$A$2:$A$217,0)),"")</f>
        <v/>
      </c>
      <c r="Y491" s="260">
        <v>21.96</v>
      </c>
      <c r="Z491" s="260">
        <v>8.9199999999999982</v>
      </c>
      <c r="AA491" s="260">
        <v>69.12</v>
      </c>
      <c r="AB491" s="261" t="s">
        <v>2670</v>
      </c>
      <c r="AC491" s="260">
        <v>1.7491375061606702</v>
      </c>
      <c r="AD491">
        <f>IF('WetLitterbags placem_collection'!AB52="","",'WetLitterbags placem_collection'!AB52)</f>
        <v>10</v>
      </c>
      <c r="AE491">
        <f>IF('WetLitterbags placem_collection'!Z52="","",'WetLitterbags placem_collection'!Z52)</f>
        <v>22.5</v>
      </c>
      <c r="AF491" s="246" t="str">
        <f>IF('WetLitterbags placem_collection'!AA52="","",'WetLitterbags placem_collection'!AA52)</f>
        <v>M</v>
      </c>
      <c r="AG491">
        <f>IF('WetLitterbags placem_collection'!AC52="","",'WetLitterbags placem_collection'!AC52)</f>
        <v>1</v>
      </c>
      <c r="AH491">
        <f>IFERROR(AVERAGE('Dry_Litterbag Placem_Collection'!O52,'Dry_Litterbag Placem_Collection'!R52),"")</f>
        <v>6.4</v>
      </c>
      <c r="AI491" s="271">
        <f>IFERROR(AVERAGE('Dry_Litterbag Placem_Collection'!N52,'Dry_Litterbag Placem_Collection'!Q52),"")</f>
        <v>27.6</v>
      </c>
      <c r="AJ491" s="270">
        <f>INDEX(Coordinates!$B$2:$B$197,MATCH(G491,Coordinates!$J$2:$J$197,0))</f>
        <v>-3.4062630399999998</v>
      </c>
      <c r="AK491" s="270">
        <f>INDEX(Coordinates!$C$2:$C$197,MATCH(G491,Coordinates!$J$2:$J$197,0))</f>
        <v>34.850566010000001</v>
      </c>
      <c r="AL491" s="270" t="str">
        <f>IF(ISNUMBER(SEARCH("C", 'Dry_Litterbag Placem_Collection'!U52)),"YES","NO")</f>
        <v>NO</v>
      </c>
      <c r="AM491" s="270" t="str">
        <f>IF(ISNUMBER(SEARCH("H", 'Dry_Litterbag Placem_Collection'!U52)),"YES","NO")</f>
        <v>NO</v>
      </c>
      <c r="AN491" s="270" t="str">
        <f>IF(ISNUMBER(SEARCH("R", 'Dry_Litterbag Placem_Collection'!U52)),"YES","NO")</f>
        <v>NO</v>
      </c>
    </row>
    <row r="492" spans="1:40" ht="15" customHeight="1">
      <c r="A492" s="262" t="s">
        <v>2659</v>
      </c>
      <c r="B492" s="263">
        <f>'Dry_Litterbag Placem_Collection'!A53</f>
        <v>51</v>
      </c>
      <c r="C492" s="263" t="str">
        <f>'Dry_Litterbag Placem_Collection'!B53</f>
        <v>Makao</v>
      </c>
      <c r="D492" s="263" t="s">
        <v>2659</v>
      </c>
      <c r="E492" s="263" t="s">
        <v>20</v>
      </c>
      <c r="F492" s="263">
        <v>3</v>
      </c>
      <c r="G492" s="264" t="str">
        <f>'Dry_Litterbag Placem_Collection'!C53</f>
        <v>Dry_P3_T3</v>
      </c>
      <c r="H492" s="273" t="s">
        <v>3651</v>
      </c>
      <c r="I492" s="266" t="s">
        <v>1147</v>
      </c>
      <c r="J492" s="263" t="str">
        <f>IF(ISBLANK('Dry_Litterbag Placem_Collection'!L53),"","G"&amp;""&amp;'Dry_Litterbag Placem_Collection'!L53)</f>
        <v>G598</v>
      </c>
      <c r="K492" s="267">
        <f>IFERROR(INDEX('Green_rooibos initial weight'!$C$5:$C$1749,MATCH(J492, 'Green_rooibos initial weight'!$A$5:$A$1749,0)),"")</f>
        <v>2.1680000000000001</v>
      </c>
      <c r="L492" s="267">
        <f>IFERROR(K492-(TBIcalc!$Q$9+TBIcalc!$Q$10),"")</f>
        <v>1.9182000000000001</v>
      </c>
      <c r="M492" s="391">
        <f>AVERAGE(Ashed_controlls!$K$2:$K$11)</f>
        <v>5.5147656768714146</v>
      </c>
      <c r="N492" s="267">
        <f t="shared" si="36"/>
        <v>1.8124157647862527</v>
      </c>
      <c r="O492" s="267">
        <f>IF(IFERROR(INDEX('Both teabags AfterDry'!$D$3:$D$900,MATCH(J492,'Both teabags AfterDry'!$A$3:$A$900,0)),"")="","",(IFERROR(INDEX('Both teabags AfterDry'!$D$3:$D$900,MATCH(J492,'Both teabags AfterDry'!$A$3:$A$900,0)),"")))</f>
        <v>1.9169</v>
      </c>
      <c r="P492" s="267">
        <f>IFERROR(IF(O492&gt;0,O492-(TBIcalc!$Q$9),""),"")</f>
        <v>1.7663</v>
      </c>
      <c r="Q492" s="278">
        <f>IFERROR(INDEX('Ashed teabags dry'!$K$2:$K$825,MATCH(J492,'Ashed teabags dry'!$A$2:$A$825,0)),"")</f>
        <v>6.1355764473040955</v>
      </c>
      <c r="R492" s="278">
        <f t="shared" si="37"/>
        <v>1.6579273132112677</v>
      </c>
      <c r="S492" s="268">
        <f>'Dry_Litterbag Placem_Collection'!E53</f>
        <v>42938</v>
      </c>
      <c r="T492" s="268">
        <f>IF('Dry_Litterbag Placem_Collection'!G53="","",'Dry_Litterbag Placem_Collection'!G53)</f>
        <v>43005</v>
      </c>
      <c r="U492" s="269">
        <f t="shared" si="35"/>
        <v>67</v>
      </c>
      <c r="V492" s="267">
        <f t="shared" si="38"/>
        <v>0.15190000000000015</v>
      </c>
      <c r="W492" s="267">
        <f t="shared" si="39"/>
        <v>0.15448845157498492</v>
      </c>
      <c r="X492" s="271">
        <f>IFERROR(INDEX(Rainfall_Dry!$O$2:$O$217,MATCH(B492, Rainfall_Dry!$A$2:$A$217,0)),"")</f>
        <v>6.5250000359999998</v>
      </c>
      <c r="Y492" s="260">
        <v>21.96</v>
      </c>
      <c r="Z492" s="260">
        <v>8.9199999999999982</v>
      </c>
      <c r="AA492" s="260">
        <v>69.12</v>
      </c>
      <c r="AB492" s="261" t="s">
        <v>2670</v>
      </c>
      <c r="AC492" s="260">
        <v>1.7491375061606702</v>
      </c>
      <c r="AD492">
        <f>IF('WetLitterbags placem_collection'!AB53="","",'WetLitterbags placem_collection'!AB53)</f>
        <v>3</v>
      </c>
      <c r="AE492">
        <f>IF('WetLitterbags placem_collection'!Z53="","",'WetLitterbags placem_collection'!Z53)</f>
        <v>18</v>
      </c>
      <c r="AF492" s="246" t="str">
        <f>IF('WetLitterbags placem_collection'!AA53="","",'WetLitterbags placem_collection'!AA53)</f>
        <v>O</v>
      </c>
      <c r="AG492">
        <f>IF('WetLitterbags placem_collection'!AC53="","",'WetLitterbags placem_collection'!AC53)</f>
        <v>0</v>
      </c>
      <c r="AH492">
        <f>IFERROR(AVERAGE('Dry_Litterbag Placem_Collection'!O53,'Dry_Litterbag Placem_Collection'!R53),"")</f>
        <v>2.4500000000000002</v>
      </c>
      <c r="AI492" s="271">
        <f>IFERROR(AVERAGE('Dry_Litterbag Placem_Collection'!N53,'Dry_Litterbag Placem_Collection'!Q53),"")</f>
        <v>34.450000000000003</v>
      </c>
      <c r="AJ492" s="270">
        <f>INDEX(Coordinates!$B$2:$B$197,MATCH(G492,Coordinates!$J$2:$J$197,0))</f>
        <v>-3.4063920379999999</v>
      </c>
      <c r="AK492" s="270">
        <f>INDEX(Coordinates!$C$2:$C$197,MATCH(G492,Coordinates!$J$2:$J$197,0))</f>
        <v>34.850696020000001</v>
      </c>
      <c r="AL492" s="270" t="str">
        <f>IF(ISNUMBER(SEARCH("C", 'Dry_Litterbag Placem_Collection'!U53)),"YES","NO")</f>
        <v>NO</v>
      </c>
      <c r="AM492" s="270" t="str">
        <f>IF(ISNUMBER(SEARCH("H", 'Dry_Litterbag Placem_Collection'!U53)),"YES","NO")</f>
        <v>NO</v>
      </c>
      <c r="AN492" s="270" t="str">
        <f>IF(ISNUMBER(SEARCH("R", 'Dry_Litterbag Placem_Collection'!U53)),"YES","NO")</f>
        <v>NO</v>
      </c>
    </row>
    <row r="493" spans="1:40" ht="15" customHeight="1">
      <c r="A493" s="262" t="s">
        <v>2659</v>
      </c>
      <c r="B493" s="263">
        <f>'Dry_Litterbag Placem_Collection'!A54</f>
        <v>52</v>
      </c>
      <c r="C493" s="263" t="str">
        <f>'Dry_Litterbag Placem_Collection'!B54</f>
        <v>Makao</v>
      </c>
      <c r="D493" s="263" t="s">
        <v>2659</v>
      </c>
      <c r="E493" s="263" t="s">
        <v>20</v>
      </c>
      <c r="F493" s="263">
        <v>3</v>
      </c>
      <c r="G493" s="264" t="str">
        <f>'Dry_Litterbag Placem_Collection'!C54</f>
        <v>Dry_P3_T4</v>
      </c>
      <c r="H493" s="273" t="s">
        <v>3651</v>
      </c>
      <c r="I493" s="266" t="s">
        <v>1147</v>
      </c>
      <c r="J493" s="263" t="str">
        <f>IF(ISBLANK('Dry_Litterbag Placem_Collection'!L54),"","G"&amp;""&amp;'Dry_Litterbag Placem_Collection'!L54)</f>
        <v>G848</v>
      </c>
      <c r="K493" s="267">
        <f>IFERROR(INDEX('Green_rooibos initial weight'!$C$5:$C$1749,MATCH(J493, 'Green_rooibos initial weight'!$A$5:$A$1749,0)),"")</f>
        <v>2.0110000000000001</v>
      </c>
      <c r="L493" s="267">
        <f>IFERROR(K493-(TBIcalc!$Q$9+TBIcalc!$Q$10),"")</f>
        <v>1.7612000000000001</v>
      </c>
      <c r="M493" s="391">
        <f>AVERAGE(Ashed_controlls!$K$2:$K$11)</f>
        <v>5.5147656768714146</v>
      </c>
      <c r="N493" s="267">
        <f t="shared" si="36"/>
        <v>1.6640739468989407</v>
      </c>
      <c r="O493" s="267">
        <f>IF(IFERROR(INDEX('Both teabags AfterDry'!$D$3:$D$900,MATCH(J493,'Both teabags AfterDry'!$A$3:$A$900,0)),"")="","",(IFERROR(INDEX('Both teabags AfterDry'!$D$3:$D$900,MATCH(J493,'Both teabags AfterDry'!$A$3:$A$900,0)),"")))</f>
        <v>1.8361000000000001</v>
      </c>
      <c r="P493" s="267">
        <f>IFERROR(IF(O493&gt;0,O493-(TBIcalc!$Q$9),""),"")</f>
        <v>1.6855</v>
      </c>
      <c r="Q493" s="278">
        <f>IFERROR(INDEX('Ashed teabags dry'!$K$2:$K$825,MATCH(J493,'Ashed teabags dry'!$A$2:$A$825,0)),"")</f>
        <v>5.7409879839785489</v>
      </c>
      <c r="R493" s="278">
        <f t="shared" si="37"/>
        <v>1.5887356475300416</v>
      </c>
      <c r="S493" s="268">
        <f>'Dry_Litterbag Placem_Collection'!E54</f>
        <v>42938</v>
      </c>
      <c r="T493" s="268">
        <f>IF('Dry_Litterbag Placem_Collection'!G54="","",'Dry_Litterbag Placem_Collection'!G54)</f>
        <v>43005</v>
      </c>
      <c r="U493" s="269">
        <f t="shared" si="35"/>
        <v>67</v>
      </c>
      <c r="V493" s="267">
        <f t="shared" si="38"/>
        <v>7.5700000000000101E-2</v>
      </c>
      <c r="W493" s="267">
        <f t="shared" si="39"/>
        <v>7.5338299368899131E-2</v>
      </c>
      <c r="X493" s="271">
        <f>IFERROR(INDEX(Rainfall_Dry!$O$2:$O$217,MATCH(B493, Rainfall_Dry!$A$2:$A$217,0)),"")</f>
        <v>6.5250000359999998</v>
      </c>
      <c r="Y493" s="260">
        <v>21.96</v>
      </c>
      <c r="Z493" s="260">
        <v>8.9199999999999982</v>
      </c>
      <c r="AA493" s="260">
        <v>69.12</v>
      </c>
      <c r="AB493" s="261" t="s">
        <v>2670</v>
      </c>
      <c r="AC493" s="260">
        <v>1.7491375061606702</v>
      </c>
      <c r="AD493">
        <f>IF('WetLitterbags placem_collection'!AB54="","",'WetLitterbags placem_collection'!AB54)</f>
        <v>13.4</v>
      </c>
      <c r="AE493">
        <f>IF('WetLitterbags placem_collection'!Z54="","",'WetLitterbags placem_collection'!Z54)</f>
        <v>67</v>
      </c>
      <c r="AF493" s="246" t="str">
        <f>IF('WetLitterbags placem_collection'!AA54="","",'WetLitterbags placem_collection'!AA54)</f>
        <v>M</v>
      </c>
      <c r="AG493">
        <f>IF('WetLitterbags placem_collection'!AC54="","",'WetLitterbags placem_collection'!AC54)</f>
        <v>1</v>
      </c>
      <c r="AH493">
        <f>IFERROR(AVERAGE('Dry_Litterbag Placem_Collection'!O54,'Dry_Litterbag Placem_Collection'!R54),"")</f>
        <v>5.75</v>
      </c>
      <c r="AI493" s="271">
        <f>IFERROR(AVERAGE('Dry_Litterbag Placem_Collection'!N54,'Dry_Litterbag Placem_Collection'!Q54),"")</f>
        <v>30.75</v>
      </c>
      <c r="AJ493" s="270">
        <f>INDEX(Coordinates!$B$2:$B$197,MATCH(G493,Coordinates!$J$2:$J$197,0))</f>
        <v>-3.4061569999999999</v>
      </c>
      <c r="AK493" s="270">
        <f>INDEX(Coordinates!$C$2:$C$197,MATCH(G493,Coordinates!$J$2:$J$197,0))</f>
        <v>34.850738999999997</v>
      </c>
      <c r="AL493" s="270" t="str">
        <f>IF(ISNUMBER(SEARCH("C", 'Dry_Litterbag Placem_Collection'!U54)),"YES","NO")</f>
        <v>NO</v>
      </c>
      <c r="AM493" s="270" t="str">
        <f>IF(ISNUMBER(SEARCH("H", 'Dry_Litterbag Placem_Collection'!U54)),"YES","NO")</f>
        <v>NO</v>
      </c>
      <c r="AN493" s="270" t="str">
        <f>IF(ISNUMBER(SEARCH("R", 'Dry_Litterbag Placem_Collection'!U54)),"YES","NO")</f>
        <v>NO</v>
      </c>
    </row>
    <row r="494" spans="1:40" ht="15" customHeight="1">
      <c r="A494" s="262" t="s">
        <v>2659</v>
      </c>
      <c r="B494" s="263">
        <f>'Dry_Litterbag Placem_Collection'!A55</f>
        <v>53</v>
      </c>
      <c r="C494" s="263" t="str">
        <f>'Dry_Litterbag Placem_Collection'!B55</f>
        <v>Makao</v>
      </c>
      <c r="D494" s="263" t="s">
        <v>2659</v>
      </c>
      <c r="E494" s="263" t="s">
        <v>20</v>
      </c>
      <c r="F494" s="263">
        <v>3</v>
      </c>
      <c r="G494" s="264" t="str">
        <f>'Dry_Litterbag Placem_Collection'!C55</f>
        <v>Dry_P3_T5</v>
      </c>
      <c r="H494" s="273" t="s">
        <v>3651</v>
      </c>
      <c r="I494" s="266" t="s">
        <v>1147</v>
      </c>
      <c r="J494" s="263" t="str">
        <f>IF(ISBLANK('Dry_Litterbag Placem_Collection'!L55),"","G"&amp;""&amp;'Dry_Litterbag Placem_Collection'!L55)</f>
        <v>G759</v>
      </c>
      <c r="K494" s="267">
        <f>IFERROR(INDEX('Green_rooibos initial weight'!$C$5:$C$1749,MATCH(J494, 'Green_rooibos initial weight'!$A$5:$A$1749,0)),"")</f>
        <v>2.0539999999999998</v>
      </c>
      <c r="L494" s="267">
        <f>IFERROR(K494-(TBIcalc!$Q$9+TBIcalc!$Q$10),"")</f>
        <v>1.8041999999999998</v>
      </c>
      <c r="M494" s="391">
        <f>AVERAGE(Ashed_controlls!$K$2:$K$11)</f>
        <v>5.5147656768714146</v>
      </c>
      <c r="N494" s="267">
        <f t="shared" si="36"/>
        <v>1.7047025976578858</v>
      </c>
      <c r="O494" s="267">
        <f>IF(IFERROR(INDEX('Both teabags AfterDry'!$D$3:$D$900,MATCH(J494,'Both teabags AfterDry'!$A$3:$A$900,0)),"")="","",(IFERROR(INDEX('Both teabags AfterDry'!$D$3:$D$900,MATCH(J494,'Both teabags AfterDry'!$A$3:$A$900,0)),"")))</f>
        <v>1.8980999999999999</v>
      </c>
      <c r="P494" s="267">
        <f>IFERROR(IF(O494&gt;0,O494-(TBIcalc!$Q$9),""),"")</f>
        <v>1.7474999999999998</v>
      </c>
      <c r="Q494" s="278">
        <f>IFERROR(INDEX('Ashed teabags dry'!$K$2:$K$825,MATCH(J494,'Ashed teabags dry'!$A$2:$A$825,0)),"")</f>
        <v>5.7571359458148255</v>
      </c>
      <c r="R494" s="278">
        <f t="shared" si="37"/>
        <v>1.6468940493468858</v>
      </c>
      <c r="S494" s="268">
        <f>'Dry_Litterbag Placem_Collection'!E55</f>
        <v>42938</v>
      </c>
      <c r="T494" s="268">
        <f>IF('Dry_Litterbag Placem_Collection'!G55="","",'Dry_Litterbag Placem_Collection'!G55)</f>
        <v>43005</v>
      </c>
      <c r="U494" s="269">
        <f t="shared" si="35"/>
        <v>67</v>
      </c>
      <c r="V494" s="267">
        <f t="shared" si="38"/>
        <v>5.6699999999999973E-2</v>
      </c>
      <c r="W494" s="267">
        <f t="shared" si="39"/>
        <v>5.7808548311000019E-2</v>
      </c>
      <c r="X494" s="271">
        <f>IFERROR(INDEX(Rainfall_Dry!$O$2:$O$217,MATCH(B494, Rainfall_Dry!$A$2:$A$217,0)),"")</f>
        <v>6.5250000359999998</v>
      </c>
      <c r="Y494" s="260">
        <v>21.96</v>
      </c>
      <c r="Z494" s="260">
        <v>8.9199999999999982</v>
      </c>
      <c r="AA494" s="260">
        <v>69.12</v>
      </c>
      <c r="AB494" s="261" t="s">
        <v>2670</v>
      </c>
      <c r="AC494" s="260">
        <v>1.7491375061606702</v>
      </c>
      <c r="AD494" t="str">
        <f>IF('WetLitterbags placem_collection'!AB55="","",'WetLitterbags placem_collection'!AB55)</f>
        <v/>
      </c>
      <c r="AE494" t="str">
        <f>IF('WetLitterbags placem_collection'!Z55="","",'WetLitterbags placem_collection'!Z55)</f>
        <v/>
      </c>
      <c r="AF494" s="246" t="str">
        <f>IF('WetLitterbags placem_collection'!AA55="","",'WetLitterbags placem_collection'!AA55)</f>
        <v/>
      </c>
      <c r="AG494" t="str">
        <f>IF('WetLitterbags placem_collection'!AC55="","",'WetLitterbags placem_collection'!AC55)</f>
        <v/>
      </c>
      <c r="AH494">
        <f>IFERROR(AVERAGE('Dry_Litterbag Placem_Collection'!O55,'Dry_Litterbag Placem_Collection'!R55),"")</f>
        <v>6.5</v>
      </c>
      <c r="AI494" s="271">
        <f>IFERROR(AVERAGE('Dry_Litterbag Placem_Collection'!N55,'Dry_Litterbag Placem_Collection'!Q55),"")</f>
        <v>30.4</v>
      </c>
      <c r="AJ494" s="270">
        <f>INDEX(Coordinates!$B$2:$B$197,MATCH(G494,Coordinates!$J$2:$J$197,0))</f>
        <v>-3.4061140000000001</v>
      </c>
      <c r="AK494" s="270">
        <f>INDEX(Coordinates!$C$2:$C$197,MATCH(G494,Coordinates!$J$2:$J$197,0))</f>
        <v>34.850596000000003</v>
      </c>
      <c r="AL494" s="270" t="str">
        <f>IF(ISNUMBER(SEARCH("C", 'Dry_Litterbag Placem_Collection'!U55)),"YES","NO")</f>
        <v>NO</v>
      </c>
      <c r="AM494" s="270" t="str">
        <f>IF(ISNUMBER(SEARCH("H", 'Dry_Litterbag Placem_Collection'!U55)),"YES","NO")</f>
        <v>NO</v>
      </c>
      <c r="AN494" s="270" t="str">
        <f>IF(ISNUMBER(SEARCH("R", 'Dry_Litterbag Placem_Collection'!U55)),"YES","NO")</f>
        <v>NO</v>
      </c>
    </row>
    <row r="495" spans="1:40" ht="15" customHeight="1">
      <c r="A495" s="262" t="s">
        <v>2659</v>
      </c>
      <c r="B495" s="263">
        <f>'Dry_Litterbag Placem_Collection'!A56</f>
        <v>54</v>
      </c>
      <c r="C495" s="263" t="str">
        <f>'Dry_Litterbag Placem_Collection'!B56</f>
        <v>Makao</v>
      </c>
      <c r="D495" s="263" t="s">
        <v>2659</v>
      </c>
      <c r="E495" s="263" t="s">
        <v>20</v>
      </c>
      <c r="F495" s="263">
        <v>3</v>
      </c>
      <c r="G495" s="264" t="str">
        <f>'Dry_Litterbag Placem_Collection'!C56</f>
        <v>Dry_P3_T6</v>
      </c>
      <c r="H495" s="273" t="s">
        <v>3651</v>
      </c>
      <c r="I495" s="266" t="s">
        <v>1147</v>
      </c>
      <c r="J495" s="263" t="str">
        <f>IF(ISBLANK('Dry_Litterbag Placem_Collection'!L56),"","G"&amp;""&amp;'Dry_Litterbag Placem_Collection'!L56)</f>
        <v/>
      </c>
      <c r="K495" s="267" t="str">
        <f>IFERROR(INDEX('Green_rooibos initial weight'!$C$5:$C$1749,MATCH(J495, 'Green_rooibos initial weight'!$A$5:$A$1749,0)),"")</f>
        <v/>
      </c>
      <c r="L495" s="267" t="str">
        <f>IFERROR(K495-(TBIcalc!$Q$9+TBIcalc!$Q$10),"")</f>
        <v/>
      </c>
      <c r="M495" s="391">
        <f>AVERAGE(Ashed_controlls!$K$2:$K$11)</f>
        <v>5.5147656768714146</v>
      </c>
      <c r="N495" s="267" t="str">
        <f t="shared" si="36"/>
        <v/>
      </c>
      <c r="O495" s="267" t="str">
        <f>IF(IFERROR(INDEX('Both teabags AfterDry'!$D$3:$D$900,MATCH(J495,'Both teabags AfterDry'!$A$3:$A$900,0)),"")="","",(IFERROR(INDEX('Both teabags AfterDry'!$D$3:$D$900,MATCH(J495,'Both teabags AfterDry'!$A$3:$A$900,0)),"")))</f>
        <v/>
      </c>
      <c r="P495" s="267" t="str">
        <f>IFERROR(IF(O495&gt;0,O495-(TBIcalc!$Q$9),""),"")</f>
        <v/>
      </c>
      <c r="Q495" s="278" t="str">
        <f>IFERROR(INDEX('Ashed teabags dry'!$K$2:$K$825,MATCH(J495,'Ashed teabags dry'!$A$2:$A$825,0)),"")</f>
        <v/>
      </c>
      <c r="R495" s="278" t="str">
        <f t="shared" si="37"/>
        <v/>
      </c>
      <c r="S495" s="268">
        <f>'Dry_Litterbag Placem_Collection'!E56</f>
        <v>0</v>
      </c>
      <c r="T495" s="268" t="str">
        <f>IF('Dry_Litterbag Placem_Collection'!G56="","",'Dry_Litterbag Placem_Collection'!G56)</f>
        <v/>
      </c>
      <c r="U495" s="269" t="str">
        <f t="shared" si="35"/>
        <v/>
      </c>
      <c r="V495" s="267" t="str">
        <f t="shared" si="38"/>
        <v/>
      </c>
      <c r="W495" s="267" t="str">
        <f t="shared" si="39"/>
        <v/>
      </c>
      <c r="X495" s="271" t="str">
        <f>IFERROR(INDEX(Rainfall_Dry!$O$2:$O$217,MATCH(B495, Rainfall_Dry!$A$2:$A$217,0)),"")</f>
        <v/>
      </c>
      <c r="Y495" s="260">
        <v>21.96</v>
      </c>
      <c r="Z495" s="260">
        <v>8.9199999999999982</v>
      </c>
      <c r="AA495" s="260">
        <v>69.12</v>
      </c>
      <c r="AB495" s="261" t="s">
        <v>2670</v>
      </c>
      <c r="AC495" s="260">
        <v>1.7491375061606702</v>
      </c>
      <c r="AD495" t="str">
        <f>IF('WetLitterbags placem_collection'!AB56="","",'WetLitterbags placem_collection'!AB56)</f>
        <v/>
      </c>
      <c r="AE495" t="str">
        <f>IF('WetLitterbags placem_collection'!Z56="","",'WetLitterbags placem_collection'!Z56)</f>
        <v/>
      </c>
      <c r="AF495" s="246" t="str">
        <f>IF('WetLitterbags placem_collection'!AA56="","",'WetLitterbags placem_collection'!AA56)</f>
        <v/>
      </c>
      <c r="AG495" t="str">
        <f>IF('WetLitterbags placem_collection'!AC56="","",'WetLitterbags placem_collection'!AC56)</f>
        <v/>
      </c>
      <c r="AH495" t="str">
        <f>IFERROR(AVERAGE('Dry_Litterbag Placem_Collection'!O56,'Dry_Litterbag Placem_Collection'!R56),"")</f>
        <v/>
      </c>
      <c r="AI495" s="271" t="str">
        <f>IFERROR(AVERAGE('Dry_Litterbag Placem_Collection'!N56,'Dry_Litterbag Placem_Collection'!Q56),"")</f>
        <v/>
      </c>
      <c r="AJ495" s="270">
        <f>INDEX(Coordinates!$B$2:$B$197,MATCH(G495,Coordinates!$J$2:$J$197,0))</f>
        <v>-3.406058019</v>
      </c>
      <c r="AK495" s="270">
        <f>INDEX(Coordinates!$C$2:$C$197,MATCH(G495,Coordinates!$J$2:$J$197,0))</f>
        <v>34.850466019999999</v>
      </c>
      <c r="AL495" s="270" t="str">
        <f>IF(ISNUMBER(SEARCH("C", 'Dry_Litterbag Placem_Collection'!U56)),"YES","NO")</f>
        <v>NO</v>
      </c>
      <c r="AM495" s="270" t="str">
        <f>IF(ISNUMBER(SEARCH("H", 'Dry_Litterbag Placem_Collection'!U56)),"YES","NO")</f>
        <v>NO</v>
      </c>
      <c r="AN495" s="270" t="str">
        <f>IF(ISNUMBER(SEARCH("R", 'Dry_Litterbag Placem_Collection'!U56)),"YES","NO")</f>
        <v>NO</v>
      </c>
    </row>
    <row r="496" spans="1:40" ht="15" customHeight="1">
      <c r="A496" s="262" t="s">
        <v>2659</v>
      </c>
      <c r="B496" s="263">
        <f>'Dry_Litterbag Placem_Collection'!A57</f>
        <v>55</v>
      </c>
      <c r="C496" s="263" t="str">
        <f>'Dry_Litterbag Placem_Collection'!B57</f>
        <v>Makao</v>
      </c>
      <c r="D496" s="263" t="s">
        <v>2659</v>
      </c>
      <c r="E496" s="263" t="s">
        <v>20</v>
      </c>
      <c r="F496" s="263">
        <v>3</v>
      </c>
      <c r="G496" s="264" t="str">
        <f>'Dry_Litterbag Placem_Collection'!C57</f>
        <v>Dry_P3_T7</v>
      </c>
      <c r="H496" s="273" t="s">
        <v>3651</v>
      </c>
      <c r="I496" s="266" t="s">
        <v>1147</v>
      </c>
      <c r="J496" s="263" t="str">
        <f>IF(ISBLANK('Dry_Litterbag Placem_Collection'!L57),"","G"&amp;""&amp;'Dry_Litterbag Placem_Collection'!L57)</f>
        <v>G260</v>
      </c>
      <c r="K496" s="267">
        <f>IFERROR(INDEX('Green_rooibos initial weight'!$C$5:$C$1749,MATCH(J496, 'Green_rooibos initial weight'!$A$5:$A$1749,0)),"")</f>
        <v>2.1560000000000001</v>
      </c>
      <c r="L496" s="267">
        <f>IFERROR(K496-(TBIcalc!$Q$9+TBIcalc!$Q$10),"")</f>
        <v>1.9062000000000001</v>
      </c>
      <c r="M496" s="391">
        <f>AVERAGE(Ashed_controlls!$K$2:$K$11)</f>
        <v>5.5147656768714146</v>
      </c>
      <c r="N496" s="267">
        <f t="shared" si="36"/>
        <v>1.8010775366674772</v>
      </c>
      <c r="O496" s="267">
        <f>IF(IFERROR(INDEX('Both teabags AfterDry'!$D$3:$D$900,MATCH(J496,'Both teabags AfterDry'!$A$3:$A$900,0)),"")="","",(IFERROR(INDEX('Both teabags AfterDry'!$D$3:$D$900,MATCH(J496,'Both teabags AfterDry'!$A$3:$A$900,0)),"")))</f>
        <v>1.9074</v>
      </c>
      <c r="P496" s="267">
        <f>IFERROR(IF(O496&gt;0,O496-(TBIcalc!$Q$9),""),"")</f>
        <v>1.7567999999999999</v>
      </c>
      <c r="Q496" s="278">
        <f>IFERROR(INDEX('Ashed teabags dry'!$K$2:$K$825,MATCH(J496,'Ashed teabags dry'!$A$2:$A$825,0)),"")</f>
        <v>8.8734232274901057</v>
      </c>
      <c r="R496" s="278">
        <f t="shared" si="37"/>
        <v>1.6009117007394538</v>
      </c>
      <c r="S496" s="268">
        <f>'Dry_Litterbag Placem_Collection'!E57</f>
        <v>42938</v>
      </c>
      <c r="T496" s="268">
        <f>IF('Dry_Litterbag Placem_Collection'!G57="","",'Dry_Litterbag Placem_Collection'!G57)</f>
        <v>43005</v>
      </c>
      <c r="U496" s="269">
        <f t="shared" si="35"/>
        <v>67</v>
      </c>
      <c r="V496" s="267">
        <f t="shared" si="38"/>
        <v>0.1494000000000002</v>
      </c>
      <c r="W496" s="267">
        <f t="shared" si="39"/>
        <v>0.20016583592802339</v>
      </c>
      <c r="X496" s="271">
        <f>IFERROR(INDEX(Rainfall_Dry!$O$2:$O$217,MATCH(B496, Rainfall_Dry!$A$2:$A$217,0)),"")</f>
        <v>6.5250000359999998</v>
      </c>
      <c r="Y496" s="260">
        <v>21.96</v>
      </c>
      <c r="Z496" s="260">
        <v>8.9199999999999982</v>
      </c>
      <c r="AA496" s="260">
        <v>69.12</v>
      </c>
      <c r="AB496" s="261" t="s">
        <v>2670</v>
      </c>
      <c r="AC496" s="260">
        <v>1.7491375061606702</v>
      </c>
      <c r="AD496">
        <f>IF('WetLitterbags placem_collection'!AB57="","",'WetLitterbags placem_collection'!AB57)</f>
        <v>15.8</v>
      </c>
      <c r="AE496">
        <f>IF('WetLitterbags placem_collection'!Z57="","",'WetLitterbags placem_collection'!Z57)</f>
        <v>45</v>
      </c>
      <c r="AF496" s="246" t="str">
        <f>IF('WetLitterbags placem_collection'!AA57="","",'WetLitterbags placem_collection'!AA57)</f>
        <v>M</v>
      </c>
      <c r="AG496">
        <f>IF('WetLitterbags placem_collection'!AC57="","",'WetLitterbags placem_collection'!AC57)</f>
        <v>1</v>
      </c>
      <c r="AH496">
        <f>IFERROR(AVERAGE('Dry_Litterbag Placem_Collection'!O57,'Dry_Litterbag Placem_Collection'!R57),"")</f>
        <v>4.8</v>
      </c>
      <c r="AI496" s="271">
        <f>IFERROR(AVERAGE('Dry_Litterbag Placem_Collection'!N57,'Dry_Litterbag Placem_Collection'!Q57),"")</f>
        <v>31.9</v>
      </c>
      <c r="AJ496" s="270">
        <f>INDEX(Coordinates!$B$2:$B$197,MATCH(G496,Coordinates!$J$2:$J$197,0))</f>
        <v>-3.4061389879999999</v>
      </c>
      <c r="AK496" s="270">
        <f>INDEX(Coordinates!$C$2:$C$197,MATCH(G496,Coordinates!$J$2:$J$197,0))</f>
        <v>34.850574979999998</v>
      </c>
      <c r="AL496" s="270" t="str">
        <f>IF(ISNUMBER(SEARCH("C", 'Dry_Litterbag Placem_Collection'!U57)),"YES","NO")</f>
        <v>NO</v>
      </c>
      <c r="AM496" s="270" t="str">
        <f>IF(ISNUMBER(SEARCH("H", 'Dry_Litterbag Placem_Collection'!U57)),"YES","NO")</f>
        <v>NO</v>
      </c>
      <c r="AN496" s="270" t="str">
        <f>IF(ISNUMBER(SEARCH("R", 'Dry_Litterbag Placem_Collection'!U57)),"YES","NO")</f>
        <v>NO</v>
      </c>
    </row>
    <row r="497" spans="1:40" ht="15" customHeight="1">
      <c r="A497" s="262" t="s">
        <v>2659</v>
      </c>
      <c r="B497" s="263">
        <f>'Dry_Litterbag Placem_Collection'!A58</f>
        <v>56</v>
      </c>
      <c r="C497" s="263" t="str">
        <f>'Dry_Litterbag Placem_Collection'!B58</f>
        <v>Makao</v>
      </c>
      <c r="D497" s="263" t="s">
        <v>2659</v>
      </c>
      <c r="E497" s="263" t="s">
        <v>20</v>
      </c>
      <c r="F497" s="263">
        <v>3</v>
      </c>
      <c r="G497" s="264" t="str">
        <f>'Dry_Litterbag Placem_Collection'!C58</f>
        <v>Dry_P3_T8</v>
      </c>
      <c r="H497" s="273" t="s">
        <v>3651</v>
      </c>
      <c r="I497" s="266" t="s">
        <v>1147</v>
      </c>
      <c r="J497" s="263" t="str">
        <f>IF(ISBLANK('Dry_Litterbag Placem_Collection'!L58),"","G"&amp;""&amp;'Dry_Litterbag Placem_Collection'!L58)</f>
        <v>G493</v>
      </c>
      <c r="K497" s="267">
        <f>IFERROR(INDEX('Green_rooibos initial weight'!$C$5:$C$1749,MATCH(J497, 'Green_rooibos initial weight'!$A$5:$A$1749,0)),"")</f>
        <v>2.0510000000000002</v>
      </c>
      <c r="L497" s="267">
        <f>IFERROR(K497-(TBIcalc!$Q$9+TBIcalc!$Q$10),"")</f>
        <v>1.8012000000000001</v>
      </c>
      <c r="M497" s="391">
        <f>AVERAGE(Ashed_controlls!$K$2:$K$11)</f>
        <v>5.5147656768714146</v>
      </c>
      <c r="N497" s="267">
        <f t="shared" si="36"/>
        <v>1.7018680406281923</v>
      </c>
      <c r="O497" s="267" t="str">
        <f>IF(IFERROR(INDEX('Both teabags AfterDry'!$D$3:$D$900,MATCH(J497,'Both teabags AfterDry'!$A$3:$A$900,0)),"")="","",(IFERROR(INDEX('Both teabags AfterDry'!$D$3:$D$900,MATCH(J497,'Both teabags AfterDry'!$A$3:$A$900,0)),"")))</f>
        <v/>
      </c>
      <c r="P497" s="267" t="str">
        <f>IFERROR(IF(O497&gt;0,O497-(TBIcalc!$Q$9),""),"")</f>
        <v/>
      </c>
      <c r="Q497" s="278">
        <f>IFERROR(INDEX('Ashed teabags dry'!$K$2:$K$825,MATCH(J497,'Ashed teabags dry'!$A$2:$A$825,0)),"")</f>
        <v>6.380316930776055</v>
      </c>
      <c r="R497" s="278" t="str">
        <f t="shared" si="37"/>
        <v/>
      </c>
      <c r="S497" s="268">
        <f>'Dry_Litterbag Placem_Collection'!E58</f>
        <v>42938</v>
      </c>
      <c r="T497" s="268">
        <f>IF('Dry_Litterbag Placem_Collection'!G58="","",'Dry_Litterbag Placem_Collection'!G58)</f>
        <v>43005</v>
      </c>
      <c r="U497" s="269">
        <f t="shared" si="35"/>
        <v>67</v>
      </c>
      <c r="V497" s="267" t="str">
        <f t="shared" si="38"/>
        <v/>
      </c>
      <c r="W497" s="267" t="str">
        <f t="shared" si="39"/>
        <v/>
      </c>
      <c r="X497" s="271">
        <f>IFERROR(INDEX(Rainfall_Dry!$O$2:$O$217,MATCH(B497, Rainfall_Dry!$A$2:$A$217,0)),"")</f>
        <v>6.5250000359999998</v>
      </c>
      <c r="Y497" s="260">
        <v>21.96</v>
      </c>
      <c r="Z497" s="260">
        <v>8.9199999999999982</v>
      </c>
      <c r="AA497" s="260">
        <v>69.12</v>
      </c>
      <c r="AB497" s="261" t="s">
        <v>2670</v>
      </c>
      <c r="AC497" s="260">
        <v>1.7491375061606702</v>
      </c>
      <c r="AD497">
        <f>IF('WetLitterbags placem_collection'!AB58="","",'WetLitterbags placem_collection'!AB58)</f>
        <v>15.4</v>
      </c>
      <c r="AE497">
        <f>IF('WetLitterbags placem_collection'!Z58="","",'WetLitterbags placem_collection'!Z58)</f>
        <v>30.8</v>
      </c>
      <c r="AF497" s="246" t="str">
        <f>IF('WetLitterbags placem_collection'!AA58="","",'WetLitterbags placem_collection'!AA58)</f>
        <v>M</v>
      </c>
      <c r="AG497">
        <f>IF('WetLitterbags placem_collection'!AC58="","",'WetLitterbags placem_collection'!AC58)</f>
        <v>0</v>
      </c>
      <c r="AH497">
        <f>IFERROR(AVERAGE('Dry_Litterbag Placem_Collection'!O58,'Dry_Litterbag Placem_Collection'!R58),"")</f>
        <v>8.3000000000000007</v>
      </c>
      <c r="AI497" s="271">
        <f>IFERROR(AVERAGE('Dry_Litterbag Placem_Collection'!N58,'Dry_Litterbag Placem_Collection'!Q58),"")</f>
        <v>30.049999999999997</v>
      </c>
      <c r="AJ497" s="270">
        <f>INDEX(Coordinates!$B$2:$B$197,MATCH(G497,Coordinates!$J$2:$J$197,0))</f>
        <v>-3.4062900300000001</v>
      </c>
      <c r="AK497" s="270">
        <f>INDEX(Coordinates!$C$2:$C$197,MATCH(G497,Coordinates!$J$2:$J$197,0))</f>
        <v>34.850441959999998</v>
      </c>
      <c r="AL497" s="270" t="str">
        <f>IF(ISNUMBER(SEARCH("C", 'Dry_Litterbag Placem_Collection'!U58)),"YES","NO")</f>
        <v>NO</v>
      </c>
      <c r="AM497" s="270" t="str">
        <f>IF(ISNUMBER(SEARCH("H", 'Dry_Litterbag Placem_Collection'!U58)),"YES","NO")</f>
        <v>NO</v>
      </c>
      <c r="AN497" s="270" t="str">
        <f>IF(ISNUMBER(SEARCH("R", 'Dry_Litterbag Placem_Collection'!U58)),"YES","NO")</f>
        <v>NO</v>
      </c>
    </row>
    <row r="498" spans="1:40" ht="15" customHeight="1">
      <c r="A498" s="262" t="s">
        <v>2659</v>
      </c>
      <c r="B498" s="263">
        <f>'Dry_Litterbag Placem_Collection'!A59</f>
        <v>57</v>
      </c>
      <c r="C498" s="263" t="str">
        <f>'Dry_Litterbag Placem_Collection'!B59</f>
        <v>Makao</v>
      </c>
      <c r="D498" s="263" t="s">
        <v>2659</v>
      </c>
      <c r="E498" s="263" t="s">
        <v>20</v>
      </c>
      <c r="F498" s="263">
        <v>4</v>
      </c>
      <c r="G498" s="264" t="str">
        <f>'Dry_Litterbag Placem_Collection'!C59</f>
        <v>Dry_P4_T1</v>
      </c>
      <c r="H498" s="273" t="s">
        <v>3651</v>
      </c>
      <c r="I498" s="266" t="s">
        <v>1147</v>
      </c>
      <c r="J498" s="263" t="str">
        <f>IF(ISBLANK('Dry_Litterbag Placem_Collection'!L59),"","G"&amp;""&amp;'Dry_Litterbag Placem_Collection'!L59)</f>
        <v>G342</v>
      </c>
      <c r="K498" s="267">
        <f>IFERROR(INDEX('Green_rooibos initial weight'!$C$5:$C$1749,MATCH(J498, 'Green_rooibos initial weight'!$A$5:$A$1749,0)),"")</f>
        <v>1.9039999999999999</v>
      </c>
      <c r="L498" s="267">
        <f>IFERROR(K498-(TBIcalc!$Q$9+TBIcalc!$Q$10),"")</f>
        <v>1.6541999999999999</v>
      </c>
      <c r="M498" s="391">
        <f>AVERAGE(Ashed_controlls!$K$2:$K$11)</f>
        <v>5.5147656768714146</v>
      </c>
      <c r="N498" s="267">
        <f t="shared" si="36"/>
        <v>1.5629747461731929</v>
      </c>
      <c r="O498" s="267">
        <f>IF(IFERROR(INDEX('Both teabags AfterDry'!$D$3:$D$900,MATCH(J498,'Both teabags AfterDry'!$A$3:$A$900,0)),"")="","",(IFERROR(INDEX('Both teabags AfterDry'!$D$3:$D$900,MATCH(J498,'Both teabags AfterDry'!$A$3:$A$900,0)),"")))</f>
        <v>1.7556</v>
      </c>
      <c r="P498" s="267">
        <f>IFERROR(IF(O498&gt;0,O498-(TBIcalc!$Q$9),""),"")</f>
        <v>1.605</v>
      </c>
      <c r="Q498" s="278">
        <f>IFERROR(INDEX('Ashed teabags dry'!$K$2:$K$825,MATCH(J498,'Ashed teabags dry'!$A$2:$A$825,0)),"")</f>
        <v>5.6726094003237382</v>
      </c>
      <c r="R498" s="278">
        <f t="shared" si="37"/>
        <v>1.5139546191248039</v>
      </c>
      <c r="S498" s="268">
        <f>'Dry_Litterbag Placem_Collection'!E59</f>
        <v>42938</v>
      </c>
      <c r="T498" s="268">
        <f>IF('Dry_Litterbag Placem_Collection'!G59="","",'Dry_Litterbag Placem_Collection'!G59)</f>
        <v>43005</v>
      </c>
      <c r="U498" s="269">
        <f t="shared" si="35"/>
        <v>67</v>
      </c>
      <c r="V498" s="267">
        <f t="shared" si="38"/>
        <v>4.919999999999991E-2</v>
      </c>
      <c r="W498" s="267">
        <f t="shared" si="39"/>
        <v>4.9020127048388984E-2</v>
      </c>
      <c r="X498" s="271">
        <f>IFERROR(INDEX(Rainfall_Dry!$O$2:$O$217,MATCH(B498, Rainfall_Dry!$A$2:$A$217,0)),"")</f>
        <v>6.5250000359999998</v>
      </c>
      <c r="Y498" s="260">
        <v>25.96</v>
      </c>
      <c r="Z498" s="260">
        <v>6.9200000000000008</v>
      </c>
      <c r="AA498" s="260">
        <v>67.12</v>
      </c>
      <c r="AB498" s="261" t="s">
        <v>2670</v>
      </c>
      <c r="AC498" s="260">
        <v>1.7568260226712666</v>
      </c>
      <c r="AD498">
        <f>IF('WetLitterbags placem_collection'!AB59="","",'WetLitterbags placem_collection'!AB59)</f>
        <v>3.3</v>
      </c>
      <c r="AE498">
        <f>IF('WetLitterbags placem_collection'!Z59="","",'WetLitterbags placem_collection'!Z59)</f>
        <v>28.4</v>
      </c>
      <c r="AF498" s="246" t="str">
        <f>IF('WetLitterbags placem_collection'!AA59="","",'WetLitterbags placem_collection'!AA59)</f>
        <v>O</v>
      </c>
      <c r="AG498">
        <f>IF('WetLitterbags placem_collection'!AC59="","",'WetLitterbags placem_collection'!AC59)</f>
        <v>1</v>
      </c>
      <c r="AH498">
        <f>IFERROR(AVERAGE('Dry_Litterbag Placem_Collection'!O59,'Dry_Litterbag Placem_Collection'!R59),"")</f>
        <v>3.95</v>
      </c>
      <c r="AI498" s="271">
        <f>IFERROR(AVERAGE('Dry_Litterbag Placem_Collection'!N59,'Dry_Litterbag Placem_Collection'!Q59),"")</f>
        <v>33.25</v>
      </c>
      <c r="AJ498" s="270">
        <f>INDEX(Coordinates!$B$2:$B$197,MATCH(G498,Coordinates!$J$2:$J$197,0))</f>
        <v>-3.4064239729999999</v>
      </c>
      <c r="AK498" s="270">
        <f>INDEX(Coordinates!$C$2:$C$197,MATCH(G498,Coordinates!$J$2:$J$197,0))</f>
        <v>34.851213010000002</v>
      </c>
      <c r="AL498" s="270" t="str">
        <f>IF(ISNUMBER(SEARCH("C", 'Dry_Litterbag Placem_Collection'!U59)),"YES","NO")</f>
        <v>NO</v>
      </c>
      <c r="AM498" s="270" t="str">
        <f>IF(ISNUMBER(SEARCH("H", 'Dry_Litterbag Placem_Collection'!U59)),"YES","NO")</f>
        <v>NO</v>
      </c>
      <c r="AN498" s="270" t="str">
        <f>IF(ISNUMBER(SEARCH("R", 'Dry_Litterbag Placem_Collection'!U59)),"YES","NO")</f>
        <v>NO</v>
      </c>
    </row>
    <row r="499" spans="1:40" ht="15" customHeight="1">
      <c r="A499" s="262" t="s">
        <v>2659</v>
      </c>
      <c r="B499" s="263">
        <f>'Dry_Litterbag Placem_Collection'!A60</f>
        <v>58</v>
      </c>
      <c r="C499" s="263" t="str">
        <f>'Dry_Litterbag Placem_Collection'!B60</f>
        <v>Makao</v>
      </c>
      <c r="D499" s="263" t="s">
        <v>2659</v>
      </c>
      <c r="E499" s="263" t="s">
        <v>20</v>
      </c>
      <c r="F499" s="263">
        <v>4</v>
      </c>
      <c r="G499" s="264" t="str">
        <f>'Dry_Litterbag Placem_Collection'!C60</f>
        <v>Dry_P4_T2</v>
      </c>
      <c r="H499" s="273" t="s">
        <v>3651</v>
      </c>
      <c r="I499" s="266" t="s">
        <v>1147</v>
      </c>
      <c r="J499" s="263" t="str">
        <f>IF(ISBLANK('Dry_Litterbag Placem_Collection'!L60),"","G"&amp;""&amp;'Dry_Litterbag Placem_Collection'!L60)</f>
        <v>G735</v>
      </c>
      <c r="K499" s="267">
        <f>IFERROR(INDEX('Green_rooibos initial weight'!$C$5:$C$1749,MATCH(J499, 'Green_rooibos initial weight'!$A$5:$A$1749,0)),"")</f>
        <v>2.0950000000000002</v>
      </c>
      <c r="L499" s="267">
        <f>IFERROR(K499-(TBIcalc!$Q$9+TBIcalc!$Q$10),"")</f>
        <v>1.8452000000000002</v>
      </c>
      <c r="M499" s="391">
        <f>AVERAGE(Ashed_controlls!$K$2:$K$11)</f>
        <v>5.5147656768714146</v>
      </c>
      <c r="N499" s="267">
        <f t="shared" si="36"/>
        <v>1.7434415437303687</v>
      </c>
      <c r="O499" s="267">
        <f>IF(IFERROR(INDEX('Both teabags AfterDry'!$D$3:$D$900,MATCH(J499,'Both teabags AfterDry'!$A$3:$A$900,0)),"")="","",(IFERROR(INDEX('Both teabags AfterDry'!$D$3:$D$900,MATCH(J499,'Both teabags AfterDry'!$A$3:$A$900,0)),"")))</f>
        <v>1.9036</v>
      </c>
      <c r="P499" s="267">
        <f>IFERROR(IF(O499&gt;0,O499-(TBIcalc!$Q$9),""),"")</f>
        <v>1.7529999999999999</v>
      </c>
      <c r="Q499" s="278">
        <f>IFERROR(INDEX('Ashed teabags dry'!$K$2:$K$825,MATCH(J499,'Ashed teabags dry'!$A$2:$A$825,0)),"")</f>
        <v>6.5088757396447594</v>
      </c>
      <c r="R499" s="278">
        <f t="shared" si="37"/>
        <v>1.6388994082840274</v>
      </c>
      <c r="S499" s="268">
        <f>'Dry_Litterbag Placem_Collection'!E60</f>
        <v>42938</v>
      </c>
      <c r="T499" s="268">
        <f>IF('Dry_Litterbag Placem_Collection'!G60="","",'Dry_Litterbag Placem_Collection'!G60)</f>
        <v>43005</v>
      </c>
      <c r="U499" s="269">
        <f t="shared" si="35"/>
        <v>67</v>
      </c>
      <c r="V499" s="267">
        <f t="shared" si="38"/>
        <v>9.2200000000000282E-2</v>
      </c>
      <c r="W499" s="267">
        <f t="shared" si="39"/>
        <v>0.10454213544634139</v>
      </c>
      <c r="X499" s="271">
        <f>IFERROR(INDEX(Rainfall_Dry!$O$2:$O$217,MATCH(B499, Rainfall_Dry!$A$2:$A$217,0)),"")</f>
        <v>6.5250000359999998</v>
      </c>
      <c r="Y499" s="260">
        <v>25.96</v>
      </c>
      <c r="Z499" s="260">
        <v>6.9200000000000008</v>
      </c>
      <c r="AA499" s="260">
        <v>67.12</v>
      </c>
      <c r="AB499" s="261" t="s">
        <v>2670</v>
      </c>
      <c r="AC499" s="260">
        <v>1.7568260226712666</v>
      </c>
      <c r="AD499">
        <f>IF('WetLitterbags placem_collection'!AB60="","",'WetLitterbags placem_collection'!AB60)</f>
        <v>1.4</v>
      </c>
      <c r="AE499">
        <f>IF('WetLitterbags placem_collection'!Z60="","",'WetLitterbags placem_collection'!Z60)</f>
        <v>54.4</v>
      </c>
      <c r="AF499" s="246" t="str">
        <f>IF('WetLitterbags placem_collection'!AA60="","",'WetLitterbags placem_collection'!AA60)</f>
        <v>O</v>
      </c>
      <c r="AG499">
        <f>IF('WetLitterbags placem_collection'!AC60="","",'WetLitterbags placem_collection'!AC60)</f>
        <v>0</v>
      </c>
      <c r="AH499">
        <f>IFERROR(AVERAGE('Dry_Litterbag Placem_Collection'!O60,'Dry_Litterbag Placem_Collection'!R60),"")</f>
        <v>5.7</v>
      </c>
      <c r="AI499" s="271">
        <f>IFERROR(AVERAGE('Dry_Litterbag Placem_Collection'!N60,'Dry_Litterbag Placem_Collection'!Q60),"")</f>
        <v>32.35</v>
      </c>
      <c r="AJ499" s="270">
        <f>INDEX(Coordinates!$B$2:$B$197,MATCH(G499,Coordinates!$J$2:$J$197,0))</f>
        <v>-3.4065020079999999</v>
      </c>
      <c r="AK499" s="270">
        <f>INDEX(Coordinates!$C$2:$C$197,MATCH(G499,Coordinates!$J$2:$J$197,0))</f>
        <v>34.851056020000001</v>
      </c>
      <c r="AL499" s="270" t="str">
        <f>IF(ISNUMBER(SEARCH("C", 'Dry_Litterbag Placem_Collection'!U60)),"YES","NO")</f>
        <v>NO</v>
      </c>
      <c r="AM499" s="270" t="str">
        <f>IF(ISNUMBER(SEARCH("H", 'Dry_Litterbag Placem_Collection'!U60)),"YES","NO")</f>
        <v>NO</v>
      </c>
      <c r="AN499" s="270" t="str">
        <f>IF(ISNUMBER(SEARCH("R", 'Dry_Litterbag Placem_Collection'!U60)),"YES","NO")</f>
        <v>NO</v>
      </c>
    </row>
    <row r="500" spans="1:40" ht="15" customHeight="1">
      <c r="A500" s="262" t="s">
        <v>2659</v>
      </c>
      <c r="B500" s="263">
        <f>'Dry_Litterbag Placem_Collection'!A61</f>
        <v>59</v>
      </c>
      <c r="C500" s="263" t="str">
        <f>'Dry_Litterbag Placem_Collection'!B61</f>
        <v>Makao</v>
      </c>
      <c r="D500" s="263" t="s">
        <v>2659</v>
      </c>
      <c r="E500" s="263" t="s">
        <v>20</v>
      </c>
      <c r="F500" s="263">
        <v>4</v>
      </c>
      <c r="G500" s="264" t="str">
        <f>'Dry_Litterbag Placem_Collection'!C61</f>
        <v>Dry_P4_T3</v>
      </c>
      <c r="H500" s="273" t="s">
        <v>3651</v>
      </c>
      <c r="I500" s="266" t="s">
        <v>1147</v>
      </c>
      <c r="J500" s="263" t="str">
        <f>IF(ISBLANK('Dry_Litterbag Placem_Collection'!L61),"","G"&amp;""&amp;'Dry_Litterbag Placem_Collection'!L61)</f>
        <v>G558</v>
      </c>
      <c r="K500" s="267">
        <f>IFERROR(INDEX('Green_rooibos initial weight'!$C$5:$C$1749,MATCH(J500, 'Green_rooibos initial weight'!$A$5:$A$1749,0)),"")</f>
        <v>2.1789999999999998</v>
      </c>
      <c r="L500" s="267">
        <f>IFERROR(K500-(TBIcalc!$Q$9+TBIcalc!$Q$10),"")</f>
        <v>1.9291999999999998</v>
      </c>
      <c r="M500" s="391">
        <f>AVERAGE(Ashed_controlls!$K$2:$K$11)</f>
        <v>5.5147656768714146</v>
      </c>
      <c r="N500" s="267">
        <f t="shared" si="36"/>
        <v>1.8228091405617965</v>
      </c>
      <c r="O500" s="267">
        <f>IF(IFERROR(INDEX('Both teabags AfterDry'!$D$3:$D$900,MATCH(J500,'Both teabags AfterDry'!$A$3:$A$900,0)),"")="","",(IFERROR(INDEX('Both teabags AfterDry'!$D$3:$D$900,MATCH(J500,'Both teabags AfterDry'!$A$3:$A$900,0)),"")))</f>
        <v>1.9415</v>
      </c>
      <c r="P500" s="267">
        <f>IFERROR(IF(O500&gt;0,O500-(TBIcalc!$Q$9),""),"")</f>
        <v>1.7908999999999999</v>
      </c>
      <c r="Q500" s="278">
        <f>IFERROR(INDEX('Ashed teabags dry'!$K$2:$K$825,MATCH(J500,'Ashed teabags dry'!$A$2:$A$825,0)),"")</f>
        <v>5.6511056511055608</v>
      </c>
      <c r="R500" s="278">
        <f t="shared" si="37"/>
        <v>1.6896943488943506</v>
      </c>
      <c r="S500" s="268">
        <f>'Dry_Litterbag Placem_Collection'!E61</f>
        <v>42938</v>
      </c>
      <c r="T500" s="268">
        <f>IF('Dry_Litterbag Placem_Collection'!G61="","",'Dry_Litterbag Placem_Collection'!G61)</f>
        <v>43005</v>
      </c>
      <c r="U500" s="269">
        <f t="shared" si="35"/>
        <v>67</v>
      </c>
      <c r="V500" s="267">
        <f t="shared" si="38"/>
        <v>0.13829999999999987</v>
      </c>
      <c r="W500" s="267">
        <f t="shared" si="39"/>
        <v>0.133114791667446</v>
      </c>
      <c r="X500" s="271">
        <f>IFERROR(INDEX(Rainfall_Dry!$O$2:$O$217,MATCH(B500, Rainfall_Dry!$A$2:$A$217,0)),"")</f>
        <v>6.5250000359999998</v>
      </c>
      <c r="Y500" s="260">
        <v>25.96</v>
      </c>
      <c r="Z500" s="260">
        <v>6.9200000000000008</v>
      </c>
      <c r="AA500" s="260">
        <v>67.12</v>
      </c>
      <c r="AB500" s="261" t="s">
        <v>2670</v>
      </c>
      <c r="AC500" s="260">
        <v>1.7568260226712666</v>
      </c>
      <c r="AD500">
        <f>IF('WetLitterbags placem_collection'!AB61="","",'WetLitterbags placem_collection'!AB61)</f>
        <v>3.3</v>
      </c>
      <c r="AE500">
        <f>IF('WetLitterbags placem_collection'!Z61="","",'WetLitterbags placem_collection'!Z61)</f>
        <v>46</v>
      </c>
      <c r="AF500" s="246" t="str">
        <f>IF('WetLitterbags placem_collection'!AA61="","",'WetLitterbags placem_collection'!AA61)</f>
        <v>O</v>
      </c>
      <c r="AG500">
        <f>IF('WetLitterbags placem_collection'!AC61="","",'WetLitterbags placem_collection'!AC61)</f>
        <v>0</v>
      </c>
      <c r="AH500">
        <f>IFERROR(AVERAGE('Dry_Litterbag Placem_Collection'!O61,'Dry_Litterbag Placem_Collection'!R61),"")</f>
        <v>7.6999999999999993</v>
      </c>
      <c r="AI500" s="271">
        <f>IFERROR(AVERAGE('Dry_Litterbag Placem_Collection'!N61,'Dry_Litterbag Placem_Collection'!Q61),"")</f>
        <v>31.8</v>
      </c>
      <c r="AJ500" s="270">
        <f>INDEX(Coordinates!$B$2:$B$197,MATCH(G500,Coordinates!$J$2:$J$197,0))</f>
        <v>-3.4062359670000002</v>
      </c>
      <c r="AK500" s="270">
        <f>INDEX(Coordinates!$C$2:$C$197,MATCH(G500,Coordinates!$J$2:$J$197,0))</f>
        <v>34.851107990000003</v>
      </c>
      <c r="AL500" s="270" t="str">
        <f>IF(ISNUMBER(SEARCH("C", 'Dry_Litterbag Placem_Collection'!U61)),"YES","NO")</f>
        <v>NO</v>
      </c>
      <c r="AM500" s="270" t="str">
        <f>IF(ISNUMBER(SEARCH("H", 'Dry_Litterbag Placem_Collection'!U61)),"YES","NO")</f>
        <v>NO</v>
      </c>
      <c r="AN500" s="270" t="str">
        <f>IF(ISNUMBER(SEARCH("R", 'Dry_Litterbag Placem_Collection'!U61)),"YES","NO")</f>
        <v>NO</v>
      </c>
    </row>
    <row r="501" spans="1:40" ht="15" customHeight="1">
      <c r="A501" s="262" t="s">
        <v>2659</v>
      </c>
      <c r="B501" s="263">
        <f>'Dry_Litterbag Placem_Collection'!A62</f>
        <v>60</v>
      </c>
      <c r="C501" s="263" t="str">
        <f>'Dry_Litterbag Placem_Collection'!B62</f>
        <v>Makao</v>
      </c>
      <c r="D501" s="263" t="s">
        <v>2659</v>
      </c>
      <c r="E501" s="263" t="s">
        <v>20</v>
      </c>
      <c r="F501" s="263">
        <v>4</v>
      </c>
      <c r="G501" s="264" t="str">
        <f>'Dry_Litterbag Placem_Collection'!C62</f>
        <v>Dry_P4_T4</v>
      </c>
      <c r="H501" s="273" t="s">
        <v>3651</v>
      </c>
      <c r="I501" s="266" t="s">
        <v>1147</v>
      </c>
      <c r="J501" s="263" t="str">
        <f>IF(ISBLANK('Dry_Litterbag Placem_Collection'!L62),"","G"&amp;""&amp;'Dry_Litterbag Placem_Collection'!L62)</f>
        <v>G751</v>
      </c>
      <c r="K501" s="267">
        <f>IFERROR(INDEX('Green_rooibos initial weight'!$C$5:$C$1749,MATCH(J501, 'Green_rooibos initial weight'!$A$5:$A$1749,0)),"")</f>
        <v>2.0750000000000002</v>
      </c>
      <c r="L501" s="267">
        <f>IFERROR(K501-(TBIcalc!$Q$9+TBIcalc!$Q$10),"")</f>
        <v>1.8252000000000002</v>
      </c>
      <c r="M501" s="391">
        <f>AVERAGE(Ashed_controlls!$K$2:$K$11)</f>
        <v>5.5147656768714146</v>
      </c>
      <c r="N501" s="267">
        <f t="shared" si="36"/>
        <v>1.7245444968657431</v>
      </c>
      <c r="O501" s="267" t="str">
        <f>IF(IFERROR(INDEX('Both teabags AfterDry'!$D$3:$D$900,MATCH(J501,'Both teabags AfterDry'!$A$3:$A$900,0)),"")="","",(IFERROR(INDEX('Both teabags AfterDry'!$D$3:$D$900,MATCH(J501,'Both teabags AfterDry'!$A$3:$A$900,0)),"")))</f>
        <v/>
      </c>
      <c r="P501" s="267" t="str">
        <f>IFERROR(IF(O501&gt;0,O501-(TBIcalc!$Q$9),""),"")</f>
        <v/>
      </c>
      <c r="Q501" s="278" t="str">
        <f>IFERROR(INDEX('Ashed teabags dry'!$K$2:$K$825,MATCH(J501,'Ashed teabags dry'!$A$2:$A$825,0)),"")</f>
        <v/>
      </c>
      <c r="R501" s="278" t="str">
        <f t="shared" si="37"/>
        <v/>
      </c>
      <c r="S501" s="268">
        <f>'Dry_Litterbag Placem_Collection'!E62</f>
        <v>42938</v>
      </c>
      <c r="T501" s="268">
        <f>IF('Dry_Litterbag Placem_Collection'!G62="","",'Dry_Litterbag Placem_Collection'!G62)</f>
        <v>43005</v>
      </c>
      <c r="U501" s="269">
        <f t="shared" si="35"/>
        <v>67</v>
      </c>
      <c r="V501" s="267" t="str">
        <f t="shared" si="38"/>
        <v/>
      </c>
      <c r="W501" s="267" t="str">
        <f t="shared" si="39"/>
        <v/>
      </c>
      <c r="X501" s="271">
        <f>IFERROR(INDEX(Rainfall_Dry!$O$2:$O$217,MATCH(B501, Rainfall_Dry!$A$2:$A$217,0)),"")</f>
        <v>6.5250000359999998</v>
      </c>
      <c r="Y501" s="260">
        <v>25.96</v>
      </c>
      <c r="Z501" s="260">
        <v>6.9200000000000008</v>
      </c>
      <c r="AA501" s="260">
        <v>67.12</v>
      </c>
      <c r="AB501" s="261" t="s">
        <v>2670</v>
      </c>
      <c r="AC501" s="260">
        <v>1.7568260226712666</v>
      </c>
      <c r="AD501">
        <f>IF('WetLitterbags placem_collection'!AB62="","",'WetLitterbags placem_collection'!AB62)</f>
        <v>2.4</v>
      </c>
      <c r="AE501">
        <f>IF('WetLitterbags placem_collection'!Z62="","",'WetLitterbags placem_collection'!Z62)</f>
        <v>10.199999999999999</v>
      </c>
      <c r="AF501" s="246" t="str">
        <f>IF('WetLitterbags placem_collection'!AA62="","",'WetLitterbags placem_collection'!AA62)</f>
        <v>O</v>
      </c>
      <c r="AG501">
        <f>IF('WetLitterbags placem_collection'!AC62="","",'WetLitterbags placem_collection'!AC62)</f>
        <v>0</v>
      </c>
      <c r="AH501">
        <f>IFERROR(AVERAGE('Dry_Litterbag Placem_Collection'!O62,'Dry_Litterbag Placem_Collection'!R62),"")</f>
        <v>5.65</v>
      </c>
      <c r="AI501" s="271">
        <f>IFERROR(AVERAGE('Dry_Litterbag Placem_Collection'!N62,'Dry_Litterbag Placem_Collection'!Q62),"")</f>
        <v>32.650000000000006</v>
      </c>
      <c r="AJ501" s="270">
        <f>INDEX(Coordinates!$B$2:$B$197,MATCH(G501,Coordinates!$J$2:$J$197,0))</f>
        <v>-3.406281983</v>
      </c>
      <c r="AK501" s="270">
        <f>INDEX(Coordinates!$C$2:$C$197,MATCH(G501,Coordinates!$J$2:$J$197,0))</f>
        <v>34.85137898</v>
      </c>
      <c r="AL501" s="270" t="str">
        <f>IF(ISNUMBER(SEARCH("C", 'Dry_Litterbag Placem_Collection'!U62)),"YES","NO")</f>
        <v>NO</v>
      </c>
      <c r="AM501" s="270" t="str">
        <f>IF(ISNUMBER(SEARCH("H", 'Dry_Litterbag Placem_Collection'!U62)),"YES","NO")</f>
        <v>NO</v>
      </c>
      <c r="AN501" s="270" t="str">
        <f>IF(ISNUMBER(SEARCH("R", 'Dry_Litterbag Placem_Collection'!U62)),"YES","NO")</f>
        <v>NO</v>
      </c>
    </row>
    <row r="502" spans="1:40" ht="15" customHeight="1">
      <c r="A502" s="262" t="s">
        <v>2659</v>
      </c>
      <c r="B502" s="263">
        <f>'Dry_Litterbag Placem_Collection'!A63</f>
        <v>61</v>
      </c>
      <c r="C502" s="263" t="str">
        <f>'Dry_Litterbag Placem_Collection'!B63</f>
        <v>Makao</v>
      </c>
      <c r="D502" s="263" t="s">
        <v>2659</v>
      </c>
      <c r="E502" s="263" t="s">
        <v>20</v>
      </c>
      <c r="F502" s="263">
        <v>4</v>
      </c>
      <c r="G502" s="264" t="str">
        <f>'Dry_Litterbag Placem_Collection'!C63</f>
        <v>Dry_P4_T5</v>
      </c>
      <c r="H502" s="273" t="s">
        <v>3651</v>
      </c>
      <c r="I502" s="266" t="s">
        <v>1147</v>
      </c>
      <c r="J502" s="263" t="str">
        <f>IF(ISBLANK('Dry_Litterbag Placem_Collection'!L63),"","G"&amp;""&amp;'Dry_Litterbag Placem_Collection'!L63)</f>
        <v>G748</v>
      </c>
      <c r="K502" s="267">
        <f>IFERROR(INDEX('Green_rooibos initial weight'!$C$5:$C$1749,MATCH(J502, 'Green_rooibos initial weight'!$A$5:$A$1749,0)),"")</f>
        <v>2.081</v>
      </c>
      <c r="L502" s="267">
        <f>IFERROR(K502-(TBIcalc!$Q$9+TBIcalc!$Q$10),"")</f>
        <v>1.8311999999999999</v>
      </c>
      <c r="M502" s="391">
        <f>AVERAGE(Ashed_controlls!$K$2:$K$11)</f>
        <v>5.5147656768714146</v>
      </c>
      <c r="N502" s="267">
        <f t="shared" si="36"/>
        <v>1.7302136109251305</v>
      </c>
      <c r="O502" s="267" t="str">
        <f>IF(IFERROR(INDEX('Both teabags AfterDry'!$D$3:$D$900,MATCH(J502,'Both teabags AfterDry'!$A$3:$A$900,0)),"")="","",(IFERROR(INDEX('Both teabags AfterDry'!$D$3:$D$900,MATCH(J502,'Both teabags AfterDry'!$A$3:$A$900,0)),"")))</f>
        <v/>
      </c>
      <c r="P502" s="267" t="str">
        <f>IFERROR(IF(O502&gt;0,O502-(TBIcalc!$Q$9),""),"")</f>
        <v/>
      </c>
      <c r="Q502" s="278" t="str">
        <f>IFERROR(INDEX('Ashed teabags dry'!$K$2:$K$825,MATCH(J502,'Ashed teabags dry'!$A$2:$A$825,0)),"")</f>
        <v/>
      </c>
      <c r="R502" s="278" t="str">
        <f t="shared" si="37"/>
        <v/>
      </c>
      <c r="S502" s="268">
        <f>'Dry_Litterbag Placem_Collection'!E63</f>
        <v>42938</v>
      </c>
      <c r="T502" s="268">
        <f>IF('Dry_Litterbag Placem_Collection'!G63="","",'Dry_Litterbag Placem_Collection'!G63)</f>
        <v>43005</v>
      </c>
      <c r="U502" s="269">
        <f t="shared" si="35"/>
        <v>67</v>
      </c>
      <c r="V502" s="267" t="str">
        <f t="shared" si="38"/>
        <v/>
      </c>
      <c r="W502" s="267" t="str">
        <f t="shared" si="39"/>
        <v/>
      </c>
      <c r="X502" s="271">
        <f>IFERROR(INDEX(Rainfall_Dry!$O$2:$O$217,MATCH(B502, Rainfall_Dry!$A$2:$A$217,0)),"")</f>
        <v>6.5250000359999998</v>
      </c>
      <c r="Y502" s="260">
        <v>25.96</v>
      </c>
      <c r="Z502" s="260">
        <v>6.9200000000000008</v>
      </c>
      <c r="AA502" s="260">
        <v>67.12</v>
      </c>
      <c r="AB502" s="261" t="s">
        <v>2670</v>
      </c>
      <c r="AC502" s="260">
        <v>1.7568260226712666</v>
      </c>
      <c r="AD502">
        <f>IF('WetLitterbags placem_collection'!AB63="","",'WetLitterbags placem_collection'!AB63)</f>
        <v>5.6</v>
      </c>
      <c r="AE502">
        <f>IF('WetLitterbags placem_collection'!Z63="","",'WetLitterbags placem_collection'!Z63)</f>
        <v>34.200000000000003</v>
      </c>
      <c r="AF502" s="246" t="str">
        <f>IF('WetLitterbags placem_collection'!AA63="","",'WetLitterbags placem_collection'!AA63)</f>
        <v>O</v>
      </c>
      <c r="AG502">
        <f>IF('WetLitterbags placem_collection'!AC63="","",'WetLitterbags placem_collection'!AC63)</f>
        <v>0</v>
      </c>
      <c r="AH502">
        <f>IFERROR(AVERAGE('Dry_Litterbag Placem_Collection'!O63,'Dry_Litterbag Placem_Collection'!R63),"")</f>
        <v>4.5</v>
      </c>
      <c r="AI502" s="271">
        <f>IFERROR(AVERAGE('Dry_Litterbag Placem_Collection'!N63,'Dry_Litterbag Placem_Collection'!Q63),"")</f>
        <v>34</v>
      </c>
      <c r="AJ502" s="270">
        <f>INDEX(Coordinates!$B$2:$B$197,MATCH(G502,Coordinates!$J$2:$J$197,0))</f>
        <v>-3.406569986</v>
      </c>
      <c r="AK502" s="270">
        <f>INDEX(Coordinates!$C$2:$C$197,MATCH(G502,Coordinates!$J$2:$J$197,0))</f>
        <v>34.851323989999997</v>
      </c>
      <c r="AL502" s="270" t="str">
        <f>IF(ISNUMBER(SEARCH("C", 'Dry_Litterbag Placem_Collection'!U63)),"YES","NO")</f>
        <v>NO</v>
      </c>
      <c r="AM502" s="270" t="str">
        <f>IF(ISNUMBER(SEARCH("H", 'Dry_Litterbag Placem_Collection'!U63)),"YES","NO")</f>
        <v>NO</v>
      </c>
      <c r="AN502" s="270" t="str">
        <f>IF(ISNUMBER(SEARCH("R", 'Dry_Litterbag Placem_Collection'!U63)),"YES","NO")</f>
        <v>NO</v>
      </c>
    </row>
    <row r="503" spans="1:40" ht="15" customHeight="1">
      <c r="A503" s="262" t="s">
        <v>2659</v>
      </c>
      <c r="B503" s="263">
        <f>'Dry_Litterbag Placem_Collection'!A64</f>
        <v>62</v>
      </c>
      <c r="C503" s="263" t="str">
        <f>'Dry_Litterbag Placem_Collection'!B64</f>
        <v>Makao</v>
      </c>
      <c r="D503" s="263" t="s">
        <v>2659</v>
      </c>
      <c r="E503" s="263" t="s">
        <v>20</v>
      </c>
      <c r="F503" s="263">
        <v>4</v>
      </c>
      <c r="G503" s="264" t="str">
        <f>'Dry_Litterbag Placem_Collection'!C64</f>
        <v>Dry_P4_T6</v>
      </c>
      <c r="H503" s="273" t="s">
        <v>3651</v>
      </c>
      <c r="I503" s="266" t="s">
        <v>1147</v>
      </c>
      <c r="J503" s="263" t="str">
        <f>IF(ISBLANK('Dry_Litterbag Placem_Collection'!L64),"","G"&amp;""&amp;'Dry_Litterbag Placem_Collection'!L64)</f>
        <v/>
      </c>
      <c r="K503" s="267" t="str">
        <f>IFERROR(INDEX('Green_rooibos initial weight'!$C$5:$C$1749,MATCH(J503, 'Green_rooibos initial weight'!$A$5:$A$1749,0)),"")</f>
        <v/>
      </c>
      <c r="L503" s="267" t="str">
        <f>IFERROR(K503-(TBIcalc!$Q$9+TBIcalc!$Q$10),"")</f>
        <v/>
      </c>
      <c r="M503" s="391">
        <f>AVERAGE(Ashed_controlls!$K$2:$K$11)</f>
        <v>5.5147656768714146</v>
      </c>
      <c r="N503" s="267" t="str">
        <f t="shared" si="36"/>
        <v/>
      </c>
      <c r="O503" s="267" t="str">
        <f>IF(IFERROR(INDEX('Both teabags AfterDry'!$D$3:$D$900,MATCH(J503,'Both teabags AfterDry'!$A$3:$A$900,0)),"")="","",(IFERROR(INDEX('Both teabags AfterDry'!$D$3:$D$900,MATCH(J503,'Both teabags AfterDry'!$A$3:$A$900,0)),"")))</f>
        <v/>
      </c>
      <c r="P503" s="267" t="str">
        <f>IFERROR(IF(O503&gt;0,O503-(TBIcalc!$Q$9),""),"")</f>
        <v/>
      </c>
      <c r="Q503" s="278" t="str">
        <f>IFERROR(INDEX('Ashed teabags dry'!$K$2:$K$825,MATCH(J503,'Ashed teabags dry'!$A$2:$A$825,0)),"")</f>
        <v/>
      </c>
      <c r="R503" s="278" t="str">
        <f t="shared" si="37"/>
        <v/>
      </c>
      <c r="S503" s="268">
        <f>'Dry_Litterbag Placem_Collection'!E64</f>
        <v>0</v>
      </c>
      <c r="T503" s="268" t="str">
        <f>IF('Dry_Litterbag Placem_Collection'!G64="","",'Dry_Litterbag Placem_Collection'!G64)</f>
        <v/>
      </c>
      <c r="U503" s="269" t="str">
        <f t="shared" si="35"/>
        <v/>
      </c>
      <c r="V503" s="267" t="str">
        <f t="shared" si="38"/>
        <v/>
      </c>
      <c r="W503" s="267" t="str">
        <f t="shared" si="39"/>
        <v/>
      </c>
      <c r="X503" s="271" t="str">
        <f>IFERROR(INDEX(Rainfall_Dry!$O$2:$O$217,MATCH(B503, Rainfall_Dry!$A$2:$A$217,0)),"")</f>
        <v/>
      </c>
      <c r="Y503" s="260">
        <v>25.96</v>
      </c>
      <c r="Z503" s="260">
        <v>6.9200000000000008</v>
      </c>
      <c r="AA503" s="260">
        <v>67.12</v>
      </c>
      <c r="AB503" s="261" t="s">
        <v>2670</v>
      </c>
      <c r="AC503" s="260">
        <v>1.7568260226712666</v>
      </c>
      <c r="AD503">
        <f>IF('WetLitterbags placem_collection'!AB64="","",'WetLitterbags placem_collection'!AB64)</f>
        <v>4.2</v>
      </c>
      <c r="AE503">
        <f>IF('WetLitterbags placem_collection'!Z64="","",'WetLitterbags placem_collection'!Z64)</f>
        <v>40.4</v>
      </c>
      <c r="AF503" s="246" t="str">
        <f>IF('WetLitterbags placem_collection'!AA64="","",'WetLitterbags placem_collection'!AA64)</f>
        <v>O</v>
      </c>
      <c r="AG503">
        <f>IF('WetLitterbags placem_collection'!AC64="","",'WetLitterbags placem_collection'!AC64)</f>
        <v>0</v>
      </c>
      <c r="AH503" t="str">
        <f>IFERROR(AVERAGE('Dry_Litterbag Placem_Collection'!O64,'Dry_Litterbag Placem_Collection'!R64),"")</f>
        <v/>
      </c>
      <c r="AI503" s="271" t="str">
        <f>IFERROR(AVERAGE('Dry_Litterbag Placem_Collection'!N64,'Dry_Litterbag Placem_Collection'!Q64),"")</f>
        <v/>
      </c>
      <c r="AJ503" s="270">
        <f>INDEX(Coordinates!$B$2:$B$197,MATCH(G503,Coordinates!$J$2:$J$197,0))</f>
        <v>-3.4065180179999999</v>
      </c>
      <c r="AK503" s="270">
        <f>INDEX(Coordinates!$C$2:$C$197,MATCH(G503,Coordinates!$J$2:$J$197,0))</f>
        <v>34.85121402</v>
      </c>
      <c r="AL503" s="270" t="str">
        <f>IF(ISNUMBER(SEARCH("C", 'Dry_Litterbag Placem_Collection'!U64)),"YES","NO")</f>
        <v>NO</v>
      </c>
      <c r="AM503" s="270" t="str">
        <f>IF(ISNUMBER(SEARCH("H", 'Dry_Litterbag Placem_Collection'!U64)),"YES","NO")</f>
        <v>NO</v>
      </c>
      <c r="AN503" s="270" t="str">
        <f>IF(ISNUMBER(SEARCH("R", 'Dry_Litterbag Placem_Collection'!U64)),"YES","NO")</f>
        <v>NO</v>
      </c>
    </row>
    <row r="504" spans="1:40" ht="15" customHeight="1">
      <c r="A504" s="262" t="s">
        <v>2659</v>
      </c>
      <c r="B504" s="263">
        <f>'Dry_Litterbag Placem_Collection'!A65</f>
        <v>63</v>
      </c>
      <c r="C504" s="263" t="str">
        <f>'Dry_Litterbag Placem_Collection'!B65</f>
        <v>Makao</v>
      </c>
      <c r="D504" s="263" t="s">
        <v>2659</v>
      </c>
      <c r="E504" s="263" t="s">
        <v>20</v>
      </c>
      <c r="F504" s="263">
        <v>4</v>
      </c>
      <c r="G504" s="264" t="str">
        <f>'Dry_Litterbag Placem_Collection'!C65</f>
        <v>Dry_P4_T7</v>
      </c>
      <c r="H504" s="273" t="s">
        <v>3651</v>
      </c>
      <c r="I504" s="266" t="s">
        <v>1147</v>
      </c>
      <c r="J504" s="263" t="str">
        <f>IF(ISBLANK('Dry_Litterbag Placem_Collection'!L65),"","G"&amp;""&amp;'Dry_Litterbag Placem_Collection'!L65)</f>
        <v>G629</v>
      </c>
      <c r="K504" s="267">
        <f>IFERROR(INDEX('Green_rooibos initial weight'!$C$5:$C$1749,MATCH(J504, 'Green_rooibos initial weight'!$A$5:$A$1749,0)),"")</f>
        <v>1.978</v>
      </c>
      <c r="L504" s="267">
        <f>IFERROR(K504-(TBIcalc!$Q$9+TBIcalc!$Q$10),"")</f>
        <v>1.7282</v>
      </c>
      <c r="M504" s="391">
        <f>AVERAGE(Ashed_controlls!$K$2:$K$11)</f>
        <v>5.5147656768714146</v>
      </c>
      <c r="N504" s="267">
        <f t="shared" si="36"/>
        <v>1.6328938195723082</v>
      </c>
      <c r="O504" s="267">
        <f>IF(IFERROR(INDEX('Both teabags AfterDry'!$D$3:$D$900,MATCH(J504,'Both teabags AfterDry'!$A$3:$A$900,0)),"")="","",(IFERROR(INDEX('Both teabags AfterDry'!$D$3:$D$900,MATCH(J504,'Both teabags AfterDry'!$A$3:$A$900,0)),"")))</f>
        <v>1.8411</v>
      </c>
      <c r="P504" s="267">
        <f>IFERROR(IF(O504&gt;0,O504-(TBIcalc!$Q$9),""),"")</f>
        <v>1.6904999999999999</v>
      </c>
      <c r="Q504" s="278">
        <f>IFERROR(INDEX('Ashed teabags dry'!$K$2:$K$825,MATCH(J504,'Ashed teabags dry'!$A$2:$A$825,0)),"")</f>
        <v>5.6801195814651884</v>
      </c>
      <c r="R504" s="278">
        <f t="shared" si="37"/>
        <v>1.5944775784753309</v>
      </c>
      <c r="S504" s="268">
        <f>'Dry_Litterbag Placem_Collection'!E65</f>
        <v>42938</v>
      </c>
      <c r="T504" s="268">
        <f>IF('Dry_Litterbag Placem_Collection'!G65="","",'Dry_Litterbag Placem_Collection'!G65)</f>
        <v>43005</v>
      </c>
      <c r="U504" s="269">
        <f t="shared" si="35"/>
        <v>67</v>
      </c>
      <c r="V504" s="267">
        <f t="shared" si="38"/>
        <v>3.7700000000000067E-2</v>
      </c>
      <c r="W504" s="267">
        <f t="shared" si="39"/>
        <v>3.8416241096977277E-2</v>
      </c>
      <c r="X504" s="271">
        <f>IFERROR(INDEX(Rainfall_Dry!$O$2:$O$217,MATCH(B504, Rainfall_Dry!$A$2:$A$217,0)),"")</f>
        <v>6.5250000359999998</v>
      </c>
      <c r="Y504" s="260">
        <v>25.96</v>
      </c>
      <c r="Z504" s="260">
        <v>6.9200000000000008</v>
      </c>
      <c r="AA504" s="260">
        <v>67.12</v>
      </c>
      <c r="AB504" s="261" t="s">
        <v>2670</v>
      </c>
      <c r="AC504" s="260">
        <v>1.7568260226712666</v>
      </c>
      <c r="AD504">
        <f>IF('WetLitterbags placem_collection'!AB65="","",'WetLitterbags placem_collection'!AB65)</f>
        <v>4.9000000000000004</v>
      </c>
      <c r="AE504">
        <f>IF('WetLitterbags placem_collection'!Z65="","",'WetLitterbags placem_collection'!Z65)</f>
        <v>45</v>
      </c>
      <c r="AF504" s="246" t="str">
        <f>IF('WetLitterbags placem_collection'!AA65="","",'WetLitterbags placem_collection'!AA65)</f>
        <v>O</v>
      </c>
      <c r="AG504">
        <f>IF('WetLitterbags placem_collection'!AC65="","",'WetLitterbags placem_collection'!AC65)</f>
        <v>0</v>
      </c>
      <c r="AH504">
        <f>IFERROR(AVERAGE('Dry_Litterbag Placem_Collection'!O65,'Dry_Litterbag Placem_Collection'!R65),"")</f>
        <v>4.75</v>
      </c>
      <c r="AI504" s="271">
        <f>IFERROR(AVERAGE('Dry_Litterbag Placem_Collection'!N65,'Dry_Litterbag Placem_Collection'!Q65),"")</f>
        <v>31.3</v>
      </c>
      <c r="AJ504" s="270">
        <f>INDEX(Coordinates!$B$2:$B$197,MATCH(G504,Coordinates!$J$2:$J$197,0))</f>
        <v>-3.406334035</v>
      </c>
      <c r="AK504" s="270">
        <f>INDEX(Coordinates!$C$2:$C$197,MATCH(G504,Coordinates!$J$2:$J$197,0))</f>
        <v>34.851172030000001</v>
      </c>
      <c r="AL504" s="270" t="str">
        <f>IF(ISNUMBER(SEARCH("C", 'Dry_Litterbag Placem_Collection'!U65)),"YES","NO")</f>
        <v>NO</v>
      </c>
      <c r="AM504" s="270" t="str">
        <f>IF(ISNUMBER(SEARCH("H", 'Dry_Litterbag Placem_Collection'!U65)),"YES","NO")</f>
        <v>NO</v>
      </c>
      <c r="AN504" s="270" t="str">
        <f>IF(ISNUMBER(SEARCH("R", 'Dry_Litterbag Placem_Collection'!U65)),"YES","NO")</f>
        <v>NO</v>
      </c>
    </row>
    <row r="505" spans="1:40" ht="15" customHeight="1">
      <c r="A505" s="262" t="s">
        <v>2659</v>
      </c>
      <c r="B505" s="263">
        <f>'Dry_Litterbag Placem_Collection'!A66</f>
        <v>64</v>
      </c>
      <c r="C505" s="263" t="str">
        <f>'Dry_Litterbag Placem_Collection'!B66</f>
        <v>Makao</v>
      </c>
      <c r="D505" s="263" t="s">
        <v>2659</v>
      </c>
      <c r="E505" s="263" t="s">
        <v>20</v>
      </c>
      <c r="F505" s="263">
        <v>4</v>
      </c>
      <c r="G505" s="264" t="str">
        <f>'Dry_Litterbag Placem_Collection'!C66</f>
        <v>Dry_P4_T8</v>
      </c>
      <c r="H505" s="273" t="s">
        <v>3651</v>
      </c>
      <c r="I505" s="266" t="s">
        <v>1147</v>
      </c>
      <c r="J505" s="263" t="str">
        <f>IF(ISBLANK('Dry_Litterbag Placem_Collection'!L66),"","G"&amp;""&amp;'Dry_Litterbag Placem_Collection'!L66)</f>
        <v>G84</v>
      </c>
      <c r="K505" s="267">
        <f>IFERROR(INDEX('Green_rooibos initial weight'!$C$5:$C$1749,MATCH(J505, 'Green_rooibos initial weight'!$A$5:$A$1749,0)),"")</f>
        <v>2.1259999999999999</v>
      </c>
      <c r="L505" s="267">
        <f>IFERROR(K505-(TBIcalc!$Q$9+TBIcalc!$Q$10),"")</f>
        <v>1.8761999999999999</v>
      </c>
      <c r="M505" s="391">
        <f>AVERAGE(Ashed_controlls!$K$2:$K$11)</f>
        <v>5.5147656768714146</v>
      </c>
      <c r="N505" s="267">
        <f t="shared" si="36"/>
        <v>1.7727319663705383</v>
      </c>
      <c r="O505" s="267">
        <f>IF(IFERROR(INDEX('Both teabags AfterDry'!$D$3:$D$900,MATCH(J505,'Both teabags AfterDry'!$A$3:$A$900,0)),"")="","",(IFERROR(INDEX('Both teabags AfterDry'!$D$3:$D$900,MATCH(J505,'Both teabags AfterDry'!$A$3:$A$900,0)),"")))</f>
        <v>1.9314</v>
      </c>
      <c r="P505" s="267">
        <f>IFERROR(IF(O505&gt;0,O505-(TBIcalc!$Q$9),""),"")</f>
        <v>1.7807999999999999</v>
      </c>
      <c r="Q505" s="278">
        <f>IFERROR(INDEX('Ashed teabags dry'!$K$2:$K$825,MATCH(J505,'Ashed teabags dry'!$A$2:$A$825,0)),"")</f>
        <v>5.2683407188580818</v>
      </c>
      <c r="R505" s="278">
        <f t="shared" si="37"/>
        <v>1.6869813884785752</v>
      </c>
      <c r="S505" s="268">
        <f>'Dry_Litterbag Placem_Collection'!E66</f>
        <v>42938</v>
      </c>
      <c r="T505" s="268">
        <f>IF('Dry_Litterbag Placem_Collection'!G66="","",'Dry_Litterbag Placem_Collection'!G66)</f>
        <v>43005</v>
      </c>
      <c r="U505" s="269">
        <f t="shared" si="35"/>
        <v>67</v>
      </c>
      <c r="V505" s="267">
        <f t="shared" si="38"/>
        <v>9.5399999999999929E-2</v>
      </c>
      <c r="W505" s="267">
        <f t="shared" si="39"/>
        <v>8.5750577891963164E-2</v>
      </c>
      <c r="X505" s="271">
        <f>IFERROR(INDEX(Rainfall_Dry!$O$2:$O$217,MATCH(B505, Rainfall_Dry!$A$2:$A$217,0)),"")</f>
        <v>6.5250000359999998</v>
      </c>
      <c r="Y505" s="260">
        <v>25.96</v>
      </c>
      <c r="Z505" s="260">
        <v>6.9200000000000008</v>
      </c>
      <c r="AA505" s="260">
        <v>67.12</v>
      </c>
      <c r="AB505" s="261" t="s">
        <v>2670</v>
      </c>
      <c r="AC505" s="260">
        <v>1.7568260226712666</v>
      </c>
      <c r="AD505">
        <f>IF('WetLitterbags placem_collection'!AB66="","",'WetLitterbags placem_collection'!AB66)</f>
        <v>3</v>
      </c>
      <c r="AE505">
        <f>IF('WetLitterbags placem_collection'!Z66="","",'WetLitterbags placem_collection'!Z66)</f>
        <v>22.8</v>
      </c>
      <c r="AF505" s="246" t="str">
        <f>IF('WetLitterbags placem_collection'!AA66="","",'WetLitterbags placem_collection'!AA66)</f>
        <v>O</v>
      </c>
      <c r="AG505">
        <f>IF('WetLitterbags placem_collection'!AC66="","",'WetLitterbags placem_collection'!AC66)</f>
        <v>1</v>
      </c>
      <c r="AH505">
        <f>IFERROR(AVERAGE('Dry_Litterbag Placem_Collection'!O66,'Dry_Litterbag Placem_Collection'!R66),"")</f>
        <v>5.55</v>
      </c>
      <c r="AI505" s="271">
        <f>IFERROR(AVERAGE('Dry_Litterbag Placem_Collection'!N66,'Dry_Litterbag Placem_Collection'!Q66),"")</f>
        <v>31.5</v>
      </c>
      <c r="AJ505" s="270">
        <f>INDEX(Coordinates!$B$2:$B$197,MATCH(G505,Coordinates!$J$2:$J$197,0))</f>
        <v>-3.4063409920000001</v>
      </c>
      <c r="AK505" s="270">
        <f>INDEX(Coordinates!$C$2:$C$197,MATCH(G505,Coordinates!$J$2:$J$197,0))</f>
        <v>34.85126004</v>
      </c>
      <c r="AL505" s="270" t="str">
        <f>IF(ISNUMBER(SEARCH("C", 'Dry_Litterbag Placem_Collection'!U66)),"YES","NO")</f>
        <v>NO</v>
      </c>
      <c r="AM505" s="270" t="str">
        <f>IF(ISNUMBER(SEARCH("H", 'Dry_Litterbag Placem_Collection'!U66)),"YES","NO")</f>
        <v>NO</v>
      </c>
      <c r="AN505" s="270" t="str">
        <f>IF(ISNUMBER(SEARCH("R", 'Dry_Litterbag Placem_Collection'!U66)),"YES","NO")</f>
        <v>NO</v>
      </c>
    </row>
    <row r="506" spans="1:40" ht="15" customHeight="1">
      <c r="A506" s="262" t="s">
        <v>2659</v>
      </c>
      <c r="B506" s="263">
        <f>'Dry_Litterbag Placem_Collection'!A67</f>
        <v>65</v>
      </c>
      <c r="C506" s="263" t="str">
        <f>'Dry_Litterbag Placem_Collection'!B67</f>
        <v>Maswa</v>
      </c>
      <c r="D506" s="263" t="s">
        <v>2659</v>
      </c>
      <c r="E506" s="263" t="s">
        <v>2661</v>
      </c>
      <c r="F506" s="263">
        <v>1</v>
      </c>
      <c r="G506" s="264" t="str">
        <f>'Dry_Litterbag Placem_Collection'!C67</f>
        <v>Dry_W1_T1</v>
      </c>
      <c r="H506" s="273" t="s">
        <v>3651</v>
      </c>
      <c r="I506" s="266" t="s">
        <v>1147</v>
      </c>
      <c r="J506" s="263" t="str">
        <f>IF(ISBLANK('Dry_Litterbag Placem_Collection'!L67),"","G"&amp;""&amp;'Dry_Litterbag Placem_Collection'!L67)</f>
        <v>G586</v>
      </c>
      <c r="K506" s="267">
        <f>IFERROR(INDEX('Green_rooibos initial weight'!$C$5:$C$1749,MATCH(J506, 'Green_rooibos initial weight'!$A$5:$A$1749,0)),"")</f>
        <v>1.9590000000000001</v>
      </c>
      <c r="L506" s="267">
        <f>IFERROR(K506-(TBIcalc!$Q$9+TBIcalc!$Q$10),"")</f>
        <v>1.7092000000000001</v>
      </c>
      <c r="M506" s="391">
        <f>AVERAGE(Ashed_controlls!$K$2:$K$11)</f>
        <v>5.5147656768714146</v>
      </c>
      <c r="N506" s="267">
        <f t="shared" si="36"/>
        <v>1.6149416250509139</v>
      </c>
      <c r="O506" s="267" t="str">
        <f>IF(IFERROR(INDEX('Both teabags AfterDry'!$D$3:$D$900,MATCH(J506,'Both teabags AfterDry'!$A$3:$A$900,0)),"")="","",(IFERROR(INDEX('Both teabags AfterDry'!$D$3:$D$900,MATCH(J506,'Both teabags AfterDry'!$A$3:$A$900,0)),"")))</f>
        <v/>
      </c>
      <c r="P506" s="267" t="str">
        <f>IFERROR(IF(O506&gt;0,O506-(TBIcalc!$Q$9),""),"")</f>
        <v/>
      </c>
      <c r="Q506" s="278" t="str">
        <f>IFERROR(INDEX('Ashed teabags dry'!$K$2:$K$825,MATCH(J506,'Ashed teabags dry'!$A$2:$A$825,0)),"")</f>
        <v/>
      </c>
      <c r="R506" s="278" t="str">
        <f t="shared" si="37"/>
        <v/>
      </c>
      <c r="S506" s="268">
        <f>'Dry_Litterbag Placem_Collection'!E67</f>
        <v>42937</v>
      </c>
      <c r="T506" s="268">
        <f>IF('Dry_Litterbag Placem_Collection'!G67="","",'Dry_Litterbag Placem_Collection'!G67)</f>
        <v>43005</v>
      </c>
      <c r="U506" s="269">
        <f t="shared" si="35"/>
        <v>68</v>
      </c>
      <c r="V506" s="267" t="str">
        <f t="shared" si="38"/>
        <v/>
      </c>
      <c r="W506" s="267" t="str">
        <f t="shared" si="39"/>
        <v/>
      </c>
      <c r="X506" s="271">
        <f>IFERROR(INDEX(Rainfall_Dry!$O$2:$O$217,MATCH(B506, Rainfall_Dry!$A$2:$A$217,0)),"")</f>
        <v>6.900000125</v>
      </c>
      <c r="Y506" s="260">
        <v>47.96</v>
      </c>
      <c r="Z506" s="260">
        <v>22.919999999999995</v>
      </c>
      <c r="AA506" s="260">
        <v>29.120000000000012</v>
      </c>
      <c r="AB506" s="261" t="s">
        <v>2673</v>
      </c>
      <c r="AC506" s="260">
        <v>2.8831936914736325</v>
      </c>
      <c r="AD506">
        <f>IF('WetLitterbags placem_collection'!AB67="","",'WetLitterbags placem_collection'!AB67)</f>
        <v>13.8</v>
      </c>
      <c r="AE506">
        <f>IF('WetLitterbags placem_collection'!Z67="","",'WetLitterbags placem_collection'!Z67)</f>
        <v>13.8</v>
      </c>
      <c r="AF506" s="246" t="str">
        <f>IF('WetLitterbags placem_collection'!AA67="","",'WetLitterbags placem_collection'!AA67)</f>
        <v>O</v>
      </c>
      <c r="AG506">
        <f>IF('WetLitterbags placem_collection'!AC67="","",'WetLitterbags placem_collection'!AC67)</f>
        <v>1</v>
      </c>
      <c r="AH506">
        <f>IFERROR(AVERAGE('Dry_Litterbag Placem_Collection'!O67,'Dry_Litterbag Placem_Collection'!R67),"")</f>
        <v>10.65</v>
      </c>
      <c r="AI506" s="271">
        <f>IFERROR(AVERAGE('Dry_Litterbag Placem_Collection'!N67,'Dry_Litterbag Placem_Collection'!Q67),"")</f>
        <v>28</v>
      </c>
      <c r="AJ506" s="270">
        <f>INDEX(Coordinates!$B$2:$B$197,MATCH(G506,Coordinates!$J$2:$J$197,0))</f>
        <v>-3.2993960379999998</v>
      </c>
      <c r="AK506" s="270">
        <f>INDEX(Coordinates!$C$2:$C$197,MATCH(G506,Coordinates!$J$2:$J$197,0))</f>
        <v>34.848240959999998</v>
      </c>
      <c r="AL506" s="270" t="str">
        <f>IF(ISNUMBER(SEARCH("C", 'Dry_Litterbag Placem_Collection'!U67)),"YES","NO")</f>
        <v>NO</v>
      </c>
      <c r="AM506" s="270" t="str">
        <f>IF(ISNUMBER(SEARCH("H", 'Dry_Litterbag Placem_Collection'!U67)),"YES","NO")</f>
        <v>NO</v>
      </c>
      <c r="AN506" s="270" t="str">
        <f>IF(ISNUMBER(SEARCH("R", 'Dry_Litterbag Placem_Collection'!U67)),"YES","NO")</f>
        <v>NO</v>
      </c>
    </row>
    <row r="507" spans="1:40" ht="15" customHeight="1">
      <c r="A507" s="262" t="s">
        <v>2659</v>
      </c>
      <c r="B507" s="263">
        <f>'Dry_Litterbag Placem_Collection'!A68</f>
        <v>66</v>
      </c>
      <c r="C507" s="263" t="str">
        <f>'Dry_Litterbag Placem_Collection'!B68</f>
        <v>Maswa</v>
      </c>
      <c r="D507" s="263" t="s">
        <v>2659</v>
      </c>
      <c r="E507" s="263" t="s">
        <v>2661</v>
      </c>
      <c r="F507" s="263">
        <v>1</v>
      </c>
      <c r="G507" s="264" t="str">
        <f>'Dry_Litterbag Placem_Collection'!C68</f>
        <v>Dry_W1_T2</v>
      </c>
      <c r="H507" s="273" t="s">
        <v>3651</v>
      </c>
      <c r="I507" s="266" t="s">
        <v>1147</v>
      </c>
      <c r="J507" s="263" t="str">
        <f>IF(ISBLANK('Dry_Litterbag Placem_Collection'!L68),"","G"&amp;""&amp;'Dry_Litterbag Placem_Collection'!L68)</f>
        <v>G851</v>
      </c>
      <c r="K507" s="267">
        <f>IFERROR(INDEX('Green_rooibos initial weight'!$C$5:$C$1749,MATCH(J507, 'Green_rooibos initial weight'!$A$5:$A$1749,0)),"")</f>
        <v>1.9930000000000001</v>
      </c>
      <c r="L507" s="267">
        <f>IFERROR(K507-(TBIcalc!$Q$9+TBIcalc!$Q$10),"")</f>
        <v>1.7432000000000001</v>
      </c>
      <c r="M507" s="391">
        <f>AVERAGE(Ashed_controlls!$K$2:$K$11)</f>
        <v>5.5147656768714146</v>
      </c>
      <c r="N507" s="267">
        <f t="shared" si="36"/>
        <v>1.6470666047207776</v>
      </c>
      <c r="O507" s="267">
        <f>IF(IFERROR(INDEX('Both teabags AfterDry'!$D$3:$D$900,MATCH(J507,'Both teabags AfterDry'!$A$3:$A$900,0)),"")="","",(IFERROR(INDEX('Both teabags AfterDry'!$D$3:$D$900,MATCH(J507,'Both teabags AfterDry'!$A$3:$A$900,0)),"")))</f>
        <v>1.8367</v>
      </c>
      <c r="P507" s="267">
        <f>IFERROR(IF(O507&gt;0,O507-(TBIcalc!$Q$9),""),"")</f>
        <v>1.6860999999999999</v>
      </c>
      <c r="Q507" s="278">
        <f>IFERROR(INDEX('Ashed teabags dry'!$K$2:$K$825,MATCH(J507,'Ashed teabags dry'!$A$2:$A$825,0)),"")</f>
        <v>6.3484251968505419</v>
      </c>
      <c r="R507" s="278">
        <f t="shared" si="37"/>
        <v>1.5790592027559029</v>
      </c>
      <c r="S507" s="268">
        <f>'Dry_Litterbag Placem_Collection'!E68</f>
        <v>42937</v>
      </c>
      <c r="T507" s="268">
        <f>IF('Dry_Litterbag Placem_Collection'!G68="","",'Dry_Litterbag Placem_Collection'!G68)</f>
        <v>43005</v>
      </c>
      <c r="U507" s="269">
        <f t="shared" si="35"/>
        <v>68</v>
      </c>
      <c r="V507" s="267">
        <f t="shared" si="38"/>
        <v>5.7100000000000151E-2</v>
      </c>
      <c r="W507" s="267">
        <f t="shared" si="39"/>
        <v>6.8007401964874648E-2</v>
      </c>
      <c r="X507" s="271">
        <f>IFERROR(INDEX(Rainfall_Dry!$O$2:$O$217,MATCH(B507, Rainfall_Dry!$A$2:$A$217,0)),"")</f>
        <v>6.900000125</v>
      </c>
      <c r="Y507" s="260">
        <v>47.96</v>
      </c>
      <c r="Z507" s="260">
        <v>22.919999999999995</v>
      </c>
      <c r="AA507" s="260">
        <v>29.120000000000012</v>
      </c>
      <c r="AB507" s="261" t="s">
        <v>2673</v>
      </c>
      <c r="AC507" s="260">
        <v>3.8831936914736298</v>
      </c>
      <c r="AD507">
        <f>IF('WetLitterbags placem_collection'!AB68="","",'WetLitterbags placem_collection'!AB68)</f>
        <v>8</v>
      </c>
      <c r="AE507">
        <f>IF('WetLitterbags placem_collection'!Z68="","",'WetLitterbags placem_collection'!Z68)</f>
        <v>19.8</v>
      </c>
      <c r="AF507" s="246" t="str">
        <f>IF('WetLitterbags placem_collection'!AA68="","",'WetLitterbags placem_collection'!AA68)</f>
        <v>O</v>
      </c>
      <c r="AG507">
        <f>IF('WetLitterbags placem_collection'!AC68="","",'WetLitterbags placem_collection'!AC68)</f>
        <v>1</v>
      </c>
      <c r="AH507">
        <f>IFERROR(AVERAGE('Dry_Litterbag Placem_Collection'!O68,'Dry_Litterbag Placem_Collection'!R68),"")</f>
        <v>10.100000000000001</v>
      </c>
      <c r="AI507" s="271">
        <f>IFERROR(AVERAGE('Dry_Litterbag Placem_Collection'!N68,'Dry_Litterbag Placem_Collection'!Q68),"")</f>
        <v>23.6</v>
      </c>
      <c r="AJ507" s="270">
        <f>INDEX(Coordinates!$B$2:$B$197,MATCH(G507,Coordinates!$J$2:$J$197,0))</f>
        <v>-3.2993090340000002</v>
      </c>
      <c r="AK507" s="270">
        <f>INDEX(Coordinates!$C$2:$C$197,MATCH(G507,Coordinates!$J$2:$J$197,0))</f>
        <v>34.848404989999999</v>
      </c>
      <c r="AL507" s="270" t="str">
        <f>IF(ISNUMBER(SEARCH("C", 'Dry_Litterbag Placem_Collection'!U68)),"YES","NO")</f>
        <v>NO</v>
      </c>
      <c r="AM507" s="270" t="str">
        <f>IF(ISNUMBER(SEARCH("H", 'Dry_Litterbag Placem_Collection'!U68)),"YES","NO")</f>
        <v>NO</v>
      </c>
      <c r="AN507" s="270" t="str">
        <f>IF(ISNUMBER(SEARCH("R", 'Dry_Litterbag Placem_Collection'!U68)),"YES","NO")</f>
        <v>NO</v>
      </c>
    </row>
    <row r="508" spans="1:40" ht="15" customHeight="1">
      <c r="A508" s="262" t="s">
        <v>2659</v>
      </c>
      <c r="B508" s="263">
        <f>'Dry_Litterbag Placem_Collection'!A69</f>
        <v>67</v>
      </c>
      <c r="C508" s="263" t="str">
        <f>'Dry_Litterbag Placem_Collection'!B69</f>
        <v>Maswa</v>
      </c>
      <c r="D508" s="263" t="s">
        <v>2659</v>
      </c>
      <c r="E508" s="263" t="s">
        <v>2661</v>
      </c>
      <c r="F508" s="263">
        <v>1</v>
      </c>
      <c r="G508" s="264" t="str">
        <f>'Dry_Litterbag Placem_Collection'!C69</f>
        <v>Dry_W1_T3</v>
      </c>
      <c r="H508" s="273" t="s">
        <v>3651</v>
      </c>
      <c r="I508" s="266" t="s">
        <v>1147</v>
      </c>
      <c r="J508" s="263" t="str">
        <f>IF(ISBLANK('Dry_Litterbag Placem_Collection'!L69),"","G"&amp;""&amp;'Dry_Litterbag Placem_Collection'!L69)</f>
        <v/>
      </c>
      <c r="K508" s="267" t="str">
        <f>IFERROR(INDEX('Green_rooibos initial weight'!$C$5:$C$1749,MATCH(J508, 'Green_rooibos initial weight'!$A$5:$A$1749,0)),"")</f>
        <v/>
      </c>
      <c r="L508" s="267" t="str">
        <f>IFERROR(K508-(TBIcalc!$Q$9+TBIcalc!$Q$10),"")</f>
        <v/>
      </c>
      <c r="M508" s="391">
        <f>AVERAGE(Ashed_controlls!$K$2:$K$11)</f>
        <v>5.5147656768714146</v>
      </c>
      <c r="N508" s="267" t="str">
        <f t="shared" si="36"/>
        <v/>
      </c>
      <c r="O508" s="267" t="str">
        <f>IF(IFERROR(INDEX('Both teabags AfterDry'!$D$3:$D$900,MATCH(J508,'Both teabags AfterDry'!$A$3:$A$900,0)),"")="","",(IFERROR(INDEX('Both teabags AfterDry'!$D$3:$D$900,MATCH(J508,'Both teabags AfterDry'!$A$3:$A$900,0)),"")))</f>
        <v/>
      </c>
      <c r="P508" s="267" t="str">
        <f>IFERROR(IF(O508&gt;0,O508-(TBIcalc!$Q$9),""),"")</f>
        <v/>
      </c>
      <c r="Q508" s="278" t="str">
        <f>IFERROR(INDEX('Ashed teabags dry'!$K$2:$K$825,MATCH(J508,'Ashed teabags dry'!$A$2:$A$825,0)),"")</f>
        <v/>
      </c>
      <c r="R508" s="278" t="str">
        <f t="shared" si="37"/>
        <v/>
      </c>
      <c r="S508" s="268">
        <f>'Dry_Litterbag Placem_Collection'!E69</f>
        <v>0</v>
      </c>
      <c r="T508" s="268" t="str">
        <f>IF('Dry_Litterbag Placem_Collection'!G69="","",'Dry_Litterbag Placem_Collection'!G69)</f>
        <v/>
      </c>
      <c r="U508" s="269" t="str">
        <f t="shared" si="35"/>
        <v/>
      </c>
      <c r="V508" s="267" t="str">
        <f t="shared" si="38"/>
        <v/>
      </c>
      <c r="W508" s="267" t="str">
        <f t="shared" si="39"/>
        <v/>
      </c>
      <c r="X508" s="271" t="str">
        <f>IFERROR(INDEX(Rainfall_Dry!$O$2:$O$217,MATCH(B508, Rainfall_Dry!$A$2:$A$217,0)),"")</f>
        <v/>
      </c>
      <c r="Y508" s="260">
        <v>47.96</v>
      </c>
      <c r="Z508" s="260">
        <v>22.919999999999995</v>
      </c>
      <c r="AA508" s="260">
        <v>29.120000000000012</v>
      </c>
      <c r="AB508" s="261" t="s">
        <v>2673</v>
      </c>
      <c r="AC508" s="260">
        <v>4.8831936914736298</v>
      </c>
      <c r="AD508">
        <f>IF('WetLitterbags placem_collection'!AB69="","",'WetLitterbags placem_collection'!AB69)</f>
        <v>5.5</v>
      </c>
      <c r="AE508">
        <f>IF('WetLitterbags placem_collection'!Z69="","",'WetLitterbags placem_collection'!Z69)</f>
        <v>5.5</v>
      </c>
      <c r="AF508" s="246" t="str">
        <f>IF('WetLitterbags placem_collection'!AA69="","",'WetLitterbags placem_collection'!AA69)</f>
        <v>O</v>
      </c>
      <c r="AG508">
        <f>IF('WetLitterbags placem_collection'!AC69="","",'WetLitterbags placem_collection'!AC69)</f>
        <v>1</v>
      </c>
      <c r="AH508" t="str">
        <f>IFERROR(AVERAGE('Dry_Litterbag Placem_Collection'!O69,'Dry_Litterbag Placem_Collection'!R69),"")</f>
        <v/>
      </c>
      <c r="AI508" s="271" t="str">
        <f>IFERROR(AVERAGE('Dry_Litterbag Placem_Collection'!N69,'Dry_Litterbag Placem_Collection'!Q69),"")</f>
        <v/>
      </c>
      <c r="AJ508" s="270">
        <f>INDEX(Coordinates!$B$2:$B$197,MATCH(G508,Coordinates!$J$2:$J$197,0))</f>
        <v>-3.299434008</v>
      </c>
      <c r="AK508" s="270">
        <f>INDEX(Coordinates!$C$2:$C$197,MATCH(G508,Coordinates!$J$2:$J$197,0))</f>
        <v>34.848514960000003</v>
      </c>
      <c r="AL508" s="270" t="str">
        <f>IF(ISNUMBER(SEARCH("C", 'Dry_Litterbag Placem_Collection'!U69)),"YES","NO")</f>
        <v>NO</v>
      </c>
      <c r="AM508" s="270" t="str">
        <f>IF(ISNUMBER(SEARCH("H", 'Dry_Litterbag Placem_Collection'!U69)),"YES","NO")</f>
        <v>NO</v>
      </c>
      <c r="AN508" s="270" t="str">
        <f>IF(ISNUMBER(SEARCH("R", 'Dry_Litterbag Placem_Collection'!U69)),"YES","NO")</f>
        <v>NO</v>
      </c>
    </row>
    <row r="509" spans="1:40" ht="15" customHeight="1">
      <c r="A509" s="262" t="s">
        <v>2659</v>
      </c>
      <c r="B509" s="263">
        <f>'Dry_Litterbag Placem_Collection'!A70</f>
        <v>68</v>
      </c>
      <c r="C509" s="263" t="str">
        <f>'Dry_Litterbag Placem_Collection'!B70</f>
        <v>Maswa</v>
      </c>
      <c r="D509" s="263" t="s">
        <v>2659</v>
      </c>
      <c r="E509" s="263" t="s">
        <v>2661</v>
      </c>
      <c r="F509" s="263">
        <v>1</v>
      </c>
      <c r="G509" s="264" t="str">
        <f>'Dry_Litterbag Placem_Collection'!C70</f>
        <v>Dry_W1_T4</v>
      </c>
      <c r="H509" s="273" t="s">
        <v>3651</v>
      </c>
      <c r="I509" s="266" t="s">
        <v>1147</v>
      </c>
      <c r="J509" s="263" t="str">
        <f>IF(ISBLANK('Dry_Litterbag Placem_Collection'!L70),"","G"&amp;""&amp;'Dry_Litterbag Placem_Collection'!L70)</f>
        <v>G467</v>
      </c>
      <c r="K509" s="267">
        <f>IFERROR(INDEX('Green_rooibos initial weight'!$C$5:$C$1749,MATCH(J509, 'Green_rooibos initial weight'!$A$5:$A$1749,0)),"")</f>
        <v>2.0259999999999998</v>
      </c>
      <c r="L509" s="267">
        <f>IFERROR(K509-(TBIcalc!$Q$9+TBIcalc!$Q$10),"")</f>
        <v>1.7761999999999998</v>
      </c>
      <c r="M509" s="391">
        <f>AVERAGE(Ashed_controlls!$K$2:$K$11)</f>
        <v>5.5147656768714146</v>
      </c>
      <c r="N509" s="267">
        <f t="shared" si="36"/>
        <v>1.6782467320474097</v>
      </c>
      <c r="O509" s="267">
        <f>IF(IFERROR(INDEX('Both teabags AfterDry'!$D$3:$D$900,MATCH(J509,'Both teabags AfterDry'!$A$3:$A$900,0)),"")="","",(IFERROR(INDEX('Both teabags AfterDry'!$D$3:$D$900,MATCH(J509,'Both teabags AfterDry'!$A$3:$A$900,0)),"")))</f>
        <v>1.8359000000000001</v>
      </c>
      <c r="P509" s="267">
        <f>IFERROR(IF(O509&gt;0,O509-(TBIcalc!$Q$9),""),"")</f>
        <v>1.6853</v>
      </c>
      <c r="Q509" s="278">
        <f>IFERROR(INDEX('Ashed teabags dry'!$K$2:$K$825,MATCH(J509,'Ashed teabags dry'!$A$2:$A$825,0)),"")</f>
        <v>5.6516237874314612</v>
      </c>
      <c r="R509" s="278">
        <f t="shared" si="37"/>
        <v>1.5900531843104175</v>
      </c>
      <c r="S509" s="268">
        <f>'Dry_Litterbag Placem_Collection'!E70</f>
        <v>42937</v>
      </c>
      <c r="T509" s="268">
        <f>IF('Dry_Litterbag Placem_Collection'!G70="","",'Dry_Litterbag Placem_Collection'!G70)</f>
        <v>43005</v>
      </c>
      <c r="U509" s="269">
        <f t="shared" si="35"/>
        <v>68</v>
      </c>
      <c r="V509" s="267">
        <f t="shared" si="38"/>
        <v>9.0899999999999759E-2</v>
      </c>
      <c r="W509" s="267">
        <f t="shared" si="39"/>
        <v>8.8193547736992173E-2</v>
      </c>
      <c r="X509" s="271">
        <f>IFERROR(INDEX(Rainfall_Dry!$O$2:$O$217,MATCH(B509, Rainfall_Dry!$A$2:$A$217,0)),"")</f>
        <v>6.900000125</v>
      </c>
      <c r="Y509" s="260">
        <v>47.96</v>
      </c>
      <c r="Z509" s="260">
        <v>22.919999999999995</v>
      </c>
      <c r="AA509" s="260">
        <v>29.120000000000012</v>
      </c>
      <c r="AB509" s="261" t="s">
        <v>2673</v>
      </c>
      <c r="AC509" s="260">
        <v>5.8831936914736298</v>
      </c>
      <c r="AD509">
        <f>IF('WetLitterbags placem_collection'!AB70="","",'WetLitterbags placem_collection'!AB70)</f>
        <v>9.6999999999999993</v>
      </c>
      <c r="AE509">
        <f>IF('WetLitterbags placem_collection'!Z70="","",'WetLitterbags placem_collection'!Z70)</f>
        <v>23.4</v>
      </c>
      <c r="AF509" s="246" t="str">
        <f>IF('WetLitterbags placem_collection'!AA70="","",'WetLitterbags placem_collection'!AA70)</f>
        <v>O</v>
      </c>
      <c r="AG509">
        <f>IF('WetLitterbags placem_collection'!AC70="","",'WetLitterbags placem_collection'!AC70)</f>
        <v>1</v>
      </c>
      <c r="AH509">
        <f>IFERROR(AVERAGE('Dry_Litterbag Placem_Collection'!O70,'Dry_Litterbag Placem_Collection'!R70),"")</f>
        <v>7.75</v>
      </c>
      <c r="AI509" s="271">
        <f>IFERROR(AVERAGE('Dry_Litterbag Placem_Collection'!N70,'Dry_Litterbag Placem_Collection'!Q70),"")</f>
        <v>26.85</v>
      </c>
      <c r="AJ509" s="270">
        <f>INDEX(Coordinates!$B$2:$B$197,MATCH(G509,Coordinates!$J$2:$J$197,0))</f>
        <v>-3.2991180099999999</v>
      </c>
      <c r="AK509" s="270">
        <f>INDEX(Coordinates!$C$2:$C$197,MATCH(G509,Coordinates!$J$2:$J$197,0))</f>
        <v>34.84824699</v>
      </c>
      <c r="AL509" s="270" t="str">
        <f>IF(ISNUMBER(SEARCH("C", 'Dry_Litterbag Placem_Collection'!U70)),"YES","NO")</f>
        <v>NO</v>
      </c>
      <c r="AM509" s="270" t="str">
        <f>IF(ISNUMBER(SEARCH("H", 'Dry_Litterbag Placem_Collection'!U70)),"YES","NO")</f>
        <v>NO</v>
      </c>
      <c r="AN509" s="270" t="str">
        <f>IF(ISNUMBER(SEARCH("R", 'Dry_Litterbag Placem_Collection'!U70)),"YES","NO")</f>
        <v>NO</v>
      </c>
    </row>
    <row r="510" spans="1:40" ht="15" customHeight="1">
      <c r="A510" s="262" t="s">
        <v>2659</v>
      </c>
      <c r="B510" s="263">
        <f>'Dry_Litterbag Placem_Collection'!A71</f>
        <v>69</v>
      </c>
      <c r="C510" s="263" t="str">
        <f>'Dry_Litterbag Placem_Collection'!B71</f>
        <v>Maswa</v>
      </c>
      <c r="D510" s="263" t="s">
        <v>2659</v>
      </c>
      <c r="E510" s="263" t="s">
        <v>2661</v>
      </c>
      <c r="F510" s="263">
        <v>1</v>
      </c>
      <c r="G510" s="264" t="str">
        <f>'Dry_Litterbag Placem_Collection'!C71</f>
        <v>Dry_W1_T5</v>
      </c>
      <c r="H510" s="273" t="s">
        <v>3651</v>
      </c>
      <c r="I510" s="266" t="s">
        <v>1147</v>
      </c>
      <c r="J510" s="263" t="str">
        <f>IF(ISBLANK('Dry_Litterbag Placem_Collection'!L71),"","G"&amp;""&amp;'Dry_Litterbag Placem_Collection'!L71)</f>
        <v>G766</v>
      </c>
      <c r="K510" s="267">
        <f>IFERROR(INDEX('Green_rooibos initial weight'!$C$5:$C$1749,MATCH(J510, 'Green_rooibos initial weight'!$A$5:$A$1749,0)),"")</f>
        <v>2.0409999999999999</v>
      </c>
      <c r="L510" s="267">
        <f>IFERROR(K510-(TBIcalc!$Q$9+TBIcalc!$Q$10),"")</f>
        <v>1.7911999999999999</v>
      </c>
      <c r="M510" s="391">
        <f>AVERAGE(Ashed_controlls!$K$2:$K$11)</f>
        <v>5.5147656768714146</v>
      </c>
      <c r="N510" s="267">
        <f t="shared" si="36"/>
        <v>1.6924195171958791</v>
      </c>
      <c r="O510" s="267">
        <f>IF(IFERROR(INDEX('Both teabags AfterDry'!$D$3:$D$900,MATCH(J510,'Both teabags AfterDry'!$A$3:$A$900,0)),"")="","",(IFERROR(INDEX('Both teabags AfterDry'!$D$3:$D$900,MATCH(J510,'Both teabags AfterDry'!$A$3:$A$900,0)),"")))</f>
        <v>1.8654999999999999</v>
      </c>
      <c r="P510" s="267">
        <f>IFERROR(IF(O510&gt;0,O510-(TBIcalc!$Q$9),""),"")</f>
        <v>1.7148999999999999</v>
      </c>
      <c r="Q510" s="278">
        <f>IFERROR(INDEX('Ashed teabags dry'!$K$2:$K$825,MATCH(J510,'Ashed teabags dry'!$A$2:$A$825,0)),"")</f>
        <v>6.0009837678305544</v>
      </c>
      <c r="R510" s="278">
        <f t="shared" si="37"/>
        <v>1.6119891293654738</v>
      </c>
      <c r="S510" s="268">
        <f>'Dry_Litterbag Placem_Collection'!E71</f>
        <v>42937</v>
      </c>
      <c r="T510" s="268">
        <f>IF('Dry_Litterbag Placem_Collection'!G71="","",'Dry_Litterbag Placem_Collection'!G71)</f>
        <v>43006</v>
      </c>
      <c r="U510" s="269">
        <f t="shared" si="35"/>
        <v>69</v>
      </c>
      <c r="V510" s="267">
        <f t="shared" si="38"/>
        <v>7.6300000000000034E-2</v>
      </c>
      <c r="W510" s="267">
        <f t="shared" si="39"/>
        <v>8.0430387830405348E-2</v>
      </c>
      <c r="X510" s="271">
        <f>IFERROR(INDEX(Rainfall_Dry!$O$2:$O$217,MATCH(B510, Rainfall_Dry!$A$2:$A$217,0)),"")</f>
        <v>6.900000125</v>
      </c>
      <c r="Y510" s="260">
        <v>47.96</v>
      </c>
      <c r="Z510" s="260">
        <v>22.919999999999995</v>
      </c>
      <c r="AA510" s="260">
        <v>29.120000000000012</v>
      </c>
      <c r="AB510" s="261" t="s">
        <v>2673</v>
      </c>
      <c r="AC510" s="260">
        <v>6.8831936914736298</v>
      </c>
      <c r="AD510">
        <f>IF('WetLitterbags placem_collection'!AB71="","",'WetLitterbags placem_collection'!AB71)</f>
        <v>14.4</v>
      </c>
      <c r="AE510">
        <f>IF('WetLitterbags placem_collection'!Z71="","",'WetLitterbags placem_collection'!Z71)</f>
        <v>24.4</v>
      </c>
      <c r="AF510" s="246" t="str">
        <f>IF('WetLitterbags placem_collection'!AA71="","",'WetLitterbags placem_collection'!AA71)</f>
        <v>O</v>
      </c>
      <c r="AG510">
        <f>IF('WetLitterbags placem_collection'!AC71="","",'WetLitterbags placem_collection'!AC71)</f>
        <v>1</v>
      </c>
      <c r="AH510">
        <f>IFERROR(AVERAGE('Dry_Litterbag Placem_Collection'!O71,'Dry_Litterbag Placem_Collection'!R71),"")</f>
        <v>7.95</v>
      </c>
      <c r="AI510" s="271">
        <f>IFERROR(AVERAGE('Dry_Litterbag Placem_Collection'!N71,'Dry_Litterbag Placem_Collection'!Q71),"")</f>
        <v>26.55</v>
      </c>
      <c r="AJ510" s="270">
        <f>INDEX(Coordinates!$B$2:$B$197,MATCH(G510,Coordinates!$J$2:$J$197,0))</f>
        <v>-3.2993180030000002</v>
      </c>
      <c r="AK510" s="270">
        <f>INDEX(Coordinates!$C$2:$C$197,MATCH(G510,Coordinates!$J$2:$J$197,0))</f>
        <v>34.848235010000003</v>
      </c>
      <c r="AL510" s="270" t="str">
        <f>IF(ISNUMBER(SEARCH("C", 'Dry_Litterbag Placem_Collection'!U71)),"YES","NO")</f>
        <v>NO</v>
      </c>
      <c r="AM510" s="270" t="str">
        <f>IF(ISNUMBER(SEARCH("H", 'Dry_Litterbag Placem_Collection'!U71)),"YES","NO")</f>
        <v>NO</v>
      </c>
      <c r="AN510" s="270" t="str">
        <f>IF(ISNUMBER(SEARCH("R", 'Dry_Litterbag Placem_Collection'!U71)),"YES","NO")</f>
        <v>NO</v>
      </c>
    </row>
    <row r="511" spans="1:40" ht="15" customHeight="1">
      <c r="A511" s="262" t="s">
        <v>2659</v>
      </c>
      <c r="B511" s="263">
        <f>'Dry_Litterbag Placem_Collection'!A72</f>
        <v>70</v>
      </c>
      <c r="C511" s="263" t="str">
        <f>'Dry_Litterbag Placem_Collection'!B72</f>
        <v>Maswa</v>
      </c>
      <c r="D511" s="263" t="s">
        <v>2659</v>
      </c>
      <c r="E511" s="263" t="s">
        <v>2661</v>
      </c>
      <c r="F511" s="263">
        <v>1</v>
      </c>
      <c r="G511" s="264" t="str">
        <f>'Dry_Litterbag Placem_Collection'!C72</f>
        <v>Dry_W1_T6</v>
      </c>
      <c r="H511" s="273" t="s">
        <v>3651</v>
      </c>
      <c r="I511" s="266" t="s">
        <v>1147</v>
      </c>
      <c r="J511" s="263" t="str">
        <f>IF(ISBLANK('Dry_Litterbag Placem_Collection'!L72),"","G"&amp;""&amp;'Dry_Litterbag Placem_Collection'!L72)</f>
        <v>G430</v>
      </c>
      <c r="K511" s="267">
        <f>IFERROR(INDEX('Green_rooibos initial weight'!$C$5:$C$1749,MATCH(J511, 'Green_rooibos initial weight'!$A$5:$A$1749,0)),"")</f>
        <v>2.09</v>
      </c>
      <c r="L511" s="267">
        <f>IFERROR(K511-(TBIcalc!$Q$9+TBIcalc!$Q$10),"")</f>
        <v>1.8401999999999998</v>
      </c>
      <c r="M511" s="391">
        <f>AVERAGE(Ashed_controlls!$K$2:$K$11)</f>
        <v>5.5147656768714146</v>
      </c>
      <c r="N511" s="267">
        <f t="shared" si="36"/>
        <v>1.7387172820142121</v>
      </c>
      <c r="O511" s="267">
        <f>IF(IFERROR(INDEX('Both teabags AfterDry'!$D$3:$D$900,MATCH(J511,'Both teabags AfterDry'!$A$3:$A$900,0)),"")="","",(IFERROR(INDEX('Both teabags AfterDry'!$D$3:$D$900,MATCH(J511,'Both teabags AfterDry'!$A$3:$A$900,0)),"")))</f>
        <v>1.8875999999999999</v>
      </c>
      <c r="P511" s="267">
        <f>IFERROR(IF(O511&gt;0,O511-(TBIcalc!$Q$9),""),"")</f>
        <v>1.7369999999999999</v>
      </c>
      <c r="Q511" s="278">
        <f>IFERROR(INDEX('Ashed teabags dry'!$K$2:$K$825,MATCH(J511,'Ashed teabags dry'!$A$2:$A$825,0)),"")</f>
        <v>5.6997022543597504</v>
      </c>
      <c r="R511" s="278">
        <f t="shared" si="37"/>
        <v>1.637996171841771</v>
      </c>
      <c r="S511" s="268">
        <f>'Dry_Litterbag Placem_Collection'!E72</f>
        <v>42937</v>
      </c>
      <c r="T511" s="268">
        <f>IF('Dry_Litterbag Placem_Collection'!G72="","",'Dry_Litterbag Placem_Collection'!G72)</f>
        <v>43006</v>
      </c>
      <c r="U511" s="269">
        <f t="shared" si="35"/>
        <v>69</v>
      </c>
      <c r="V511" s="267">
        <f t="shared" si="38"/>
        <v>0.10319999999999996</v>
      </c>
      <c r="W511" s="267">
        <f t="shared" si="39"/>
        <v>0.10072111017244101</v>
      </c>
      <c r="X511" s="271">
        <f>IFERROR(INDEX(Rainfall_Dry!$O$2:$O$217,MATCH(B511, Rainfall_Dry!$A$2:$A$217,0)),"")</f>
        <v>6.900000125</v>
      </c>
      <c r="Y511" s="260">
        <v>47.96</v>
      </c>
      <c r="Z511" s="260">
        <v>22.919999999999995</v>
      </c>
      <c r="AA511" s="260">
        <v>29.120000000000012</v>
      </c>
      <c r="AB511" s="261" t="s">
        <v>2673</v>
      </c>
      <c r="AC511" s="260">
        <v>7.8831936914736298</v>
      </c>
      <c r="AD511">
        <f>IF('WetLitterbags placem_collection'!AB72="","",'WetLitterbags placem_collection'!AB72)</f>
        <v>15</v>
      </c>
      <c r="AE511">
        <f>IF('WetLitterbags placem_collection'!Z72="","",'WetLitterbags placem_collection'!Z72)</f>
        <v>28</v>
      </c>
      <c r="AF511" s="246" t="str">
        <f>IF('WetLitterbags placem_collection'!AA72="","",'WetLitterbags placem_collection'!AA72)</f>
        <v>O</v>
      </c>
      <c r="AG511">
        <f>IF('WetLitterbags placem_collection'!AC72="","",'WetLitterbags placem_collection'!AC72)</f>
        <v>0</v>
      </c>
      <c r="AH511">
        <f>IFERROR(AVERAGE('Dry_Litterbag Placem_Collection'!O72,'Dry_Litterbag Placem_Collection'!R72),"")</f>
        <v>8.8000000000000007</v>
      </c>
      <c r="AI511" s="271">
        <f>IFERROR(AVERAGE('Dry_Litterbag Placem_Collection'!N72,'Dry_Litterbag Placem_Collection'!Q72),"")</f>
        <v>27.200000000000003</v>
      </c>
      <c r="AJ511" s="270">
        <f>INDEX(Coordinates!$B$2:$B$197,MATCH(G511,Coordinates!$J$2:$J$197,0))</f>
        <v>-3.299381034</v>
      </c>
      <c r="AK511" s="270">
        <f>INDEX(Coordinates!$C$2:$C$197,MATCH(G511,Coordinates!$J$2:$J$197,0))</f>
        <v>34.848312040000003</v>
      </c>
      <c r="AL511" s="270" t="str">
        <f>IF(ISNUMBER(SEARCH("C", 'Dry_Litterbag Placem_Collection'!U72)),"YES","NO")</f>
        <v>NO</v>
      </c>
      <c r="AM511" s="270" t="str">
        <f>IF(ISNUMBER(SEARCH("H", 'Dry_Litterbag Placem_Collection'!U72)),"YES","NO")</f>
        <v>NO</v>
      </c>
      <c r="AN511" s="270" t="str">
        <f>IF(ISNUMBER(SEARCH("R", 'Dry_Litterbag Placem_Collection'!U72)),"YES","NO")</f>
        <v>NO</v>
      </c>
    </row>
    <row r="512" spans="1:40" ht="15" customHeight="1">
      <c r="A512" s="262" t="s">
        <v>2659</v>
      </c>
      <c r="B512" s="263">
        <f>'Dry_Litterbag Placem_Collection'!A73</f>
        <v>71</v>
      </c>
      <c r="C512" s="263" t="str">
        <f>'Dry_Litterbag Placem_Collection'!B73</f>
        <v>Maswa</v>
      </c>
      <c r="D512" s="263" t="s">
        <v>2659</v>
      </c>
      <c r="E512" s="263" t="s">
        <v>2661</v>
      </c>
      <c r="F512" s="263">
        <v>1</v>
      </c>
      <c r="G512" s="264" t="str">
        <f>'Dry_Litterbag Placem_Collection'!C73</f>
        <v>Dry_W1_T7</v>
      </c>
      <c r="H512" s="273" t="s">
        <v>3651</v>
      </c>
      <c r="I512" s="266" t="s">
        <v>1147</v>
      </c>
      <c r="J512" s="263" t="str">
        <f>IF(ISBLANK('Dry_Litterbag Placem_Collection'!L73),"","G"&amp;""&amp;'Dry_Litterbag Placem_Collection'!L73)</f>
        <v>G174</v>
      </c>
      <c r="K512" s="267">
        <f>IFERROR(INDEX('Green_rooibos initial weight'!$C$5:$C$1749,MATCH(J512, 'Green_rooibos initial weight'!$A$5:$A$1749,0)),"")</f>
        <v>2.0649999999999999</v>
      </c>
      <c r="L512" s="267">
        <f>IFERROR(K512-(TBIcalc!$Q$9+TBIcalc!$Q$10),"")</f>
        <v>1.8151999999999999</v>
      </c>
      <c r="M512" s="391">
        <f>AVERAGE(Ashed_controlls!$K$2:$K$11)</f>
        <v>5.5147656768714146</v>
      </c>
      <c r="N512" s="267">
        <f t="shared" si="36"/>
        <v>1.7150959734334301</v>
      </c>
      <c r="O512" s="267">
        <f>IF(IFERROR(INDEX('Both teabags AfterDry'!$D$3:$D$900,MATCH(J512,'Both teabags AfterDry'!$A$3:$A$900,0)),"")="","",(IFERROR(INDEX('Both teabags AfterDry'!$D$3:$D$900,MATCH(J512,'Both teabags AfterDry'!$A$3:$A$900,0)),"")))</f>
        <v>1.8838999999999999</v>
      </c>
      <c r="P512" s="267">
        <f>IFERROR(IF(O512&gt;0,O512-(TBIcalc!$Q$9),""),"")</f>
        <v>1.7332999999999998</v>
      </c>
      <c r="Q512" s="278">
        <f>IFERROR(INDEX('Ashed teabags dry'!$K$2:$K$825,MATCH(J512,'Ashed teabags dry'!$A$2:$A$825,0)),"")</f>
        <v>5.4401582591501034</v>
      </c>
      <c r="R512" s="278">
        <f t="shared" si="37"/>
        <v>1.6390057368941511</v>
      </c>
      <c r="S512" s="268">
        <f>'Dry_Litterbag Placem_Collection'!E73</f>
        <v>42937</v>
      </c>
      <c r="T512" s="268">
        <f>IF('Dry_Litterbag Placem_Collection'!G73="","",'Dry_Litterbag Placem_Collection'!G73)</f>
        <v>43006</v>
      </c>
      <c r="U512" s="269">
        <f t="shared" si="35"/>
        <v>69</v>
      </c>
      <c r="V512" s="267">
        <f t="shared" si="38"/>
        <v>8.1900000000000084E-2</v>
      </c>
      <c r="W512" s="267">
        <f t="shared" si="39"/>
        <v>7.6090236539279044E-2</v>
      </c>
      <c r="X512" s="271">
        <f>IFERROR(INDEX(Rainfall_Dry!$O$2:$O$217,MATCH(B512, Rainfall_Dry!$A$2:$A$217,0)),"")</f>
        <v>6.900000125</v>
      </c>
      <c r="Y512" s="260">
        <v>47.96</v>
      </c>
      <c r="Z512" s="260">
        <v>22.919999999999995</v>
      </c>
      <c r="AA512" s="260">
        <v>29.120000000000012</v>
      </c>
      <c r="AB512" s="261" t="s">
        <v>2673</v>
      </c>
      <c r="AC512" s="260">
        <v>8.8831936914736307</v>
      </c>
      <c r="AD512">
        <f>IF('WetLitterbags placem_collection'!AB73="","",'WetLitterbags placem_collection'!AB73)</f>
        <v>15.5</v>
      </c>
      <c r="AE512">
        <f>IF('WetLitterbags placem_collection'!Z73="","",'WetLitterbags placem_collection'!Z73)</f>
        <v>32</v>
      </c>
      <c r="AF512" s="246" t="str">
        <f>IF('WetLitterbags placem_collection'!AA73="","",'WetLitterbags placem_collection'!AA73)</f>
        <v>O</v>
      </c>
      <c r="AG512">
        <f>IF('WetLitterbags placem_collection'!AC73="","",'WetLitterbags placem_collection'!AC73)</f>
        <v>1</v>
      </c>
      <c r="AH512">
        <f>IFERROR(AVERAGE('Dry_Litterbag Placem_Collection'!O73,'Dry_Litterbag Placem_Collection'!R73),"")</f>
        <v>9.9499999999999993</v>
      </c>
      <c r="AI512" s="271">
        <f>IFERROR(AVERAGE('Dry_Litterbag Placem_Collection'!N73,'Dry_Litterbag Placem_Collection'!Q73),"")</f>
        <v>27.6</v>
      </c>
      <c r="AJ512" s="270">
        <f>INDEX(Coordinates!$B$2:$B$197,MATCH(G512,Coordinates!$J$2:$J$197,0))</f>
        <v>-3.2992429849999998</v>
      </c>
      <c r="AK512" s="270">
        <f>INDEX(Coordinates!$C$2:$C$197,MATCH(G512,Coordinates!$J$2:$J$197,0))</f>
        <v>34.847900989999999</v>
      </c>
      <c r="AL512" s="270" t="str">
        <f>IF(ISNUMBER(SEARCH("C", 'Dry_Litterbag Placem_Collection'!U73)),"YES","NO")</f>
        <v>NO</v>
      </c>
      <c r="AM512" s="270" t="str">
        <f>IF(ISNUMBER(SEARCH("H", 'Dry_Litterbag Placem_Collection'!U73)),"YES","NO")</f>
        <v>NO</v>
      </c>
      <c r="AN512" s="270" t="str">
        <f>IF(ISNUMBER(SEARCH("R", 'Dry_Litterbag Placem_Collection'!U73)),"YES","NO")</f>
        <v>NO</v>
      </c>
    </row>
    <row r="513" spans="1:40" ht="15" customHeight="1">
      <c r="A513" s="262" t="s">
        <v>2659</v>
      </c>
      <c r="B513" s="263">
        <f>'Dry_Litterbag Placem_Collection'!A74</f>
        <v>72</v>
      </c>
      <c r="C513" s="263" t="str">
        <f>'Dry_Litterbag Placem_Collection'!B74</f>
        <v>Maswa</v>
      </c>
      <c r="D513" s="263" t="s">
        <v>2659</v>
      </c>
      <c r="E513" s="263" t="s">
        <v>2661</v>
      </c>
      <c r="F513" s="263">
        <v>1</v>
      </c>
      <c r="G513" s="264" t="str">
        <f>'Dry_Litterbag Placem_Collection'!C74</f>
        <v>Dry_W1_T8</v>
      </c>
      <c r="H513" s="273" t="s">
        <v>3651</v>
      </c>
      <c r="I513" s="266" t="s">
        <v>1147</v>
      </c>
      <c r="J513" s="263" t="str">
        <f>IF(ISBLANK('Dry_Litterbag Placem_Collection'!L74),"","G"&amp;""&amp;'Dry_Litterbag Placem_Collection'!L74)</f>
        <v>G714</v>
      </c>
      <c r="K513" s="267">
        <f>IFERROR(INDEX('Green_rooibos initial weight'!$C$5:$C$1749,MATCH(J513, 'Green_rooibos initial weight'!$A$5:$A$1749,0)),"")</f>
        <v>2.0459999999999998</v>
      </c>
      <c r="L513" s="267">
        <f>IFERROR(K513-(TBIcalc!$Q$9+TBIcalc!$Q$10),"")</f>
        <v>1.7961999999999998</v>
      </c>
      <c r="M513" s="391">
        <f>AVERAGE(Ashed_controlls!$K$2:$K$11)</f>
        <v>5.5147656768714146</v>
      </c>
      <c r="N513" s="267">
        <f t="shared" si="36"/>
        <v>1.6971437789120354</v>
      </c>
      <c r="O513" s="267">
        <f>IF(IFERROR(INDEX('Both teabags AfterDry'!$D$3:$D$900,MATCH(J513,'Both teabags AfterDry'!$A$3:$A$900,0)),"")="","",(IFERROR(INDEX('Both teabags AfterDry'!$D$3:$D$900,MATCH(J513,'Both teabags AfterDry'!$A$3:$A$900,0)),"")))</f>
        <v>1.8528</v>
      </c>
      <c r="P513" s="267">
        <f>IFERROR(IF(O513&gt;0,O513-(TBIcalc!$Q$9),""),"")</f>
        <v>1.7021999999999999</v>
      </c>
      <c r="Q513" s="278">
        <f>IFERROR(INDEX('Ashed teabags dry'!$K$2:$K$825,MATCH(J513,'Ashed teabags dry'!$A$2:$A$825,0)),"")</f>
        <v>5.4821341164956561</v>
      </c>
      <c r="R513" s="278">
        <f t="shared" si="37"/>
        <v>1.6088831130690109</v>
      </c>
      <c r="S513" s="268">
        <f>'Dry_Litterbag Placem_Collection'!E74</f>
        <v>42937</v>
      </c>
      <c r="T513" s="268">
        <f>IF('Dry_Litterbag Placem_Collection'!G74="","",'Dry_Litterbag Placem_Collection'!G74)</f>
        <v>43006</v>
      </c>
      <c r="U513" s="269">
        <f t="shared" si="35"/>
        <v>69</v>
      </c>
      <c r="V513" s="267">
        <f t="shared" si="38"/>
        <v>9.3999999999999861E-2</v>
      </c>
      <c r="W513" s="267">
        <f t="shared" si="39"/>
        <v>8.8260665843024499E-2</v>
      </c>
      <c r="X513" s="271">
        <f>IFERROR(INDEX(Rainfall_Dry!$O$2:$O$217,MATCH(B513, Rainfall_Dry!$A$2:$A$217,0)),"")</f>
        <v>6.900000125</v>
      </c>
      <c r="Y513" s="260">
        <v>47.96</v>
      </c>
      <c r="Z513" s="260">
        <v>22.919999999999995</v>
      </c>
      <c r="AA513" s="260">
        <v>29.120000000000012</v>
      </c>
      <c r="AB513" s="261" t="s">
        <v>2673</v>
      </c>
      <c r="AC513" s="260">
        <v>9.8831936914736307</v>
      </c>
      <c r="AD513">
        <f>IF('WetLitterbags placem_collection'!AB74="","",'WetLitterbags placem_collection'!AB74)</f>
        <v>2.6</v>
      </c>
      <c r="AE513">
        <f>IF('WetLitterbags placem_collection'!Z74="","",'WetLitterbags placem_collection'!Z74)</f>
        <v>44</v>
      </c>
      <c r="AF513" s="246" t="str">
        <f>IF('WetLitterbags placem_collection'!AA74="","",'WetLitterbags placem_collection'!AA74)</f>
        <v>O</v>
      </c>
      <c r="AG513">
        <f>IF('WetLitterbags placem_collection'!AC74="","",'WetLitterbags placem_collection'!AC74)</f>
        <v>1</v>
      </c>
      <c r="AH513">
        <f>IFERROR(AVERAGE('Dry_Litterbag Placem_Collection'!O74,'Dry_Litterbag Placem_Collection'!R74),"")</f>
        <v>9.5</v>
      </c>
      <c r="AI513" s="271">
        <f>IFERROR(AVERAGE('Dry_Litterbag Placem_Collection'!N74,'Dry_Litterbag Placem_Collection'!Q74),"")</f>
        <v>26.35</v>
      </c>
      <c r="AJ513" s="270">
        <f>INDEX(Coordinates!$B$2:$B$197,MATCH(G513,Coordinates!$J$2:$J$197,0))</f>
        <v>-3.2996540329999999</v>
      </c>
      <c r="AK513" s="270">
        <f>INDEX(Coordinates!$C$2:$C$197,MATCH(G513,Coordinates!$J$2:$J$197,0))</f>
        <v>34.848151020000003</v>
      </c>
      <c r="AL513" s="270" t="str">
        <f>IF(ISNUMBER(SEARCH("C", 'Dry_Litterbag Placem_Collection'!U74)),"YES","NO")</f>
        <v>NO</v>
      </c>
      <c r="AM513" s="270" t="str">
        <f>IF(ISNUMBER(SEARCH("H", 'Dry_Litterbag Placem_Collection'!U74)),"YES","NO")</f>
        <v>NO</v>
      </c>
      <c r="AN513" s="270" t="str">
        <f>IF(ISNUMBER(SEARCH("R", 'Dry_Litterbag Placem_Collection'!U74)),"YES","NO")</f>
        <v>NO</v>
      </c>
    </row>
    <row r="514" spans="1:40" ht="15" customHeight="1">
      <c r="A514" s="262" t="s">
        <v>2659</v>
      </c>
      <c r="B514" s="263">
        <f>'Dry_Litterbag Placem_Collection'!A75</f>
        <v>73</v>
      </c>
      <c r="C514" s="263" t="str">
        <f>'Dry_Litterbag Placem_Collection'!B75</f>
        <v>Maswa</v>
      </c>
      <c r="D514" s="263" t="s">
        <v>2659</v>
      </c>
      <c r="E514" s="263" t="s">
        <v>2661</v>
      </c>
      <c r="F514" s="263">
        <v>2</v>
      </c>
      <c r="G514" s="264" t="str">
        <f>'Dry_Litterbag Placem_Collection'!C75</f>
        <v>Dry_W2_T1</v>
      </c>
      <c r="H514" s="273" t="s">
        <v>3651</v>
      </c>
      <c r="I514" s="266" t="s">
        <v>1147</v>
      </c>
      <c r="J514" s="263" t="str">
        <f>IF(ISBLANK('Dry_Litterbag Placem_Collection'!L75),"","G"&amp;""&amp;'Dry_Litterbag Placem_Collection'!L75)</f>
        <v>G726</v>
      </c>
      <c r="K514" s="267">
        <f>IFERROR(INDEX('Green_rooibos initial weight'!$C$5:$C$1749,MATCH(J514, 'Green_rooibos initial weight'!$A$5:$A$1749,0)),"")</f>
        <v>1.9950000000000001</v>
      </c>
      <c r="L514" s="267">
        <f>IFERROR(K514-(TBIcalc!$Q$9+TBIcalc!$Q$10),"")</f>
        <v>1.7452000000000001</v>
      </c>
      <c r="M514" s="391">
        <f>AVERAGE(Ashed_controlls!$K$2:$K$11)</f>
        <v>5.5147656768714146</v>
      </c>
      <c r="N514" s="267">
        <f t="shared" si="36"/>
        <v>1.6489563094072401</v>
      </c>
      <c r="O514" s="267" t="str">
        <f>IF(IFERROR(INDEX('Both teabags AfterDry'!$D$3:$D$900,MATCH(J514,'Both teabags AfterDry'!$A$3:$A$900,0)),"")="","",(IFERROR(INDEX('Both teabags AfterDry'!$D$3:$D$900,MATCH(J514,'Both teabags AfterDry'!$A$3:$A$900,0)),"")))</f>
        <v/>
      </c>
      <c r="P514" s="267" t="str">
        <f>IFERROR(IF(O514&gt;0,O514-(TBIcalc!$Q$9),""),"")</f>
        <v/>
      </c>
      <c r="Q514" s="278" t="str">
        <f>IFERROR(INDEX('Ashed teabags dry'!$K$2:$K$825,MATCH(J514,'Ashed teabags dry'!$A$2:$A$825,0)),"")</f>
        <v/>
      </c>
      <c r="R514" s="278" t="str">
        <f t="shared" si="37"/>
        <v/>
      </c>
      <c r="S514" s="268">
        <f>'Dry_Litterbag Placem_Collection'!E75</f>
        <v>42937</v>
      </c>
      <c r="T514" s="268">
        <f>IF('Dry_Litterbag Placem_Collection'!G75="","",'Dry_Litterbag Placem_Collection'!G75)</f>
        <v>43006</v>
      </c>
      <c r="U514" s="269">
        <f t="shared" ref="U514:U577" si="40">IFERROR(T514-S514,"")</f>
        <v>69</v>
      </c>
      <c r="V514" s="267" t="str">
        <f t="shared" si="38"/>
        <v/>
      </c>
      <c r="W514" s="267" t="str">
        <f t="shared" si="39"/>
        <v/>
      </c>
      <c r="X514" s="271">
        <f>IFERROR(INDEX(Rainfall_Dry!$O$2:$O$217,MATCH(B514, Rainfall_Dry!$A$2:$A$217,0)),"")</f>
        <v>6.900000125</v>
      </c>
      <c r="Y514" s="260">
        <v>45.272914521112256</v>
      </c>
      <c r="Z514" s="260">
        <v>23.604531410916575</v>
      </c>
      <c r="AA514" s="260">
        <v>31.122554067971166</v>
      </c>
      <c r="AB514" s="261" t="s">
        <v>2673</v>
      </c>
      <c r="AC514" s="260">
        <v>2.0547560374568752</v>
      </c>
      <c r="AD514">
        <f>IF('WetLitterbags placem_collection'!AB75="","",'WetLitterbags placem_collection'!AB75)</f>
        <v>9.1</v>
      </c>
      <c r="AE514">
        <f>IF('WetLitterbags placem_collection'!Z75="","",'WetLitterbags placem_collection'!Z75)</f>
        <v>10</v>
      </c>
      <c r="AF514" s="246" t="str">
        <f>IF('WetLitterbags placem_collection'!AA75="","",'WetLitterbags placem_collection'!AA75)</f>
        <v>M</v>
      </c>
      <c r="AG514">
        <f>IF('WetLitterbags placem_collection'!AC75="","",'WetLitterbags placem_collection'!AC75)</f>
        <v>1</v>
      </c>
      <c r="AH514">
        <f>IFERROR(AVERAGE('Dry_Litterbag Placem_Collection'!O75,'Dry_Litterbag Placem_Collection'!R75),"")</f>
        <v>9.5500000000000007</v>
      </c>
      <c r="AI514" s="271">
        <f>IFERROR(AVERAGE('Dry_Litterbag Placem_Collection'!N75,'Dry_Litterbag Placem_Collection'!Q75),"")</f>
        <v>28.35</v>
      </c>
      <c r="AJ514" s="270">
        <f>INDEX(Coordinates!$B$2:$B$197,MATCH(G514,Coordinates!$J$2:$J$197,0))</f>
        <v>-3.3025860229999999</v>
      </c>
      <c r="AK514" s="270">
        <f>INDEX(Coordinates!$C$2:$C$197,MATCH(G514,Coordinates!$J$2:$J$197,0))</f>
        <v>34.848048009999999</v>
      </c>
      <c r="AL514" s="270" t="str">
        <f>IF(ISNUMBER(SEARCH("C", 'Dry_Litterbag Placem_Collection'!U75)),"YES","NO")</f>
        <v>NO</v>
      </c>
      <c r="AM514" s="270" t="str">
        <f>IF(ISNUMBER(SEARCH("H", 'Dry_Litterbag Placem_Collection'!U75)),"YES","NO")</f>
        <v>NO</v>
      </c>
      <c r="AN514" s="270" t="str">
        <f>IF(ISNUMBER(SEARCH("R", 'Dry_Litterbag Placem_Collection'!U75)),"YES","NO")</f>
        <v>NO</v>
      </c>
    </row>
    <row r="515" spans="1:40" ht="15" customHeight="1">
      <c r="A515" s="262" t="s">
        <v>2659</v>
      </c>
      <c r="B515" s="263">
        <f>'Dry_Litterbag Placem_Collection'!A76</f>
        <v>74</v>
      </c>
      <c r="C515" s="263" t="str">
        <f>'Dry_Litterbag Placem_Collection'!B76</f>
        <v>Maswa</v>
      </c>
      <c r="D515" s="263" t="s">
        <v>2659</v>
      </c>
      <c r="E515" s="263" t="s">
        <v>2661</v>
      </c>
      <c r="F515" s="263">
        <v>2</v>
      </c>
      <c r="G515" s="264" t="str">
        <f>'Dry_Litterbag Placem_Collection'!C76</f>
        <v>Dry_W2_T2</v>
      </c>
      <c r="H515" s="273" t="s">
        <v>3651</v>
      </c>
      <c r="I515" s="266" t="s">
        <v>1147</v>
      </c>
      <c r="J515" s="263" t="str">
        <f>IF(ISBLANK('Dry_Litterbag Placem_Collection'!L76),"","G"&amp;""&amp;'Dry_Litterbag Placem_Collection'!L76)</f>
        <v>G866</v>
      </c>
      <c r="K515" s="267">
        <f>IFERROR(INDEX('Green_rooibos initial weight'!$C$5:$C$1749,MATCH(J515, 'Green_rooibos initial weight'!$A$5:$A$1749,0)),"")</f>
        <v>2.0310000000000001</v>
      </c>
      <c r="L515" s="267">
        <f>IFERROR(K515-(TBIcalc!$Q$9+TBIcalc!$Q$10),"")</f>
        <v>1.7812000000000001</v>
      </c>
      <c r="M515" s="391">
        <f>AVERAGE(Ashed_controlls!$K$2:$K$11)</f>
        <v>5.5147656768714146</v>
      </c>
      <c r="N515" s="267">
        <f t="shared" ref="N515:N578" si="41">IFERROR(L515-(M515/100)*L515,"")</f>
        <v>1.6829709937635664</v>
      </c>
      <c r="O515" s="267">
        <f>IF(IFERROR(INDEX('Both teabags AfterDry'!$D$3:$D$900,MATCH(J515,'Both teabags AfterDry'!$A$3:$A$900,0)),"")="","",(IFERROR(INDEX('Both teabags AfterDry'!$D$3:$D$900,MATCH(J515,'Both teabags AfterDry'!$A$3:$A$900,0)),"")))</f>
        <v>1.8541000000000001</v>
      </c>
      <c r="P515" s="267">
        <f>IFERROR(IF(O515&gt;0,O515-(TBIcalc!$Q$9),""),"")</f>
        <v>1.7035</v>
      </c>
      <c r="Q515" s="278">
        <f>IFERROR(INDEX('Ashed teabags dry'!$K$2:$K$825,MATCH(J515,'Ashed teabags dry'!$A$2:$A$825,0)),"")</f>
        <v>5.5854973052423755</v>
      </c>
      <c r="R515" s="278">
        <f t="shared" ref="R515:R578" si="42">IFERROR(P515-(Q515/100)*P515,"")</f>
        <v>1.6083510534051961</v>
      </c>
      <c r="S515" s="268">
        <f>'Dry_Litterbag Placem_Collection'!E76</f>
        <v>42937</v>
      </c>
      <c r="T515" s="268">
        <f>IF('Dry_Litterbag Placem_Collection'!G76="","",'Dry_Litterbag Placem_Collection'!G76)</f>
        <v>43006</v>
      </c>
      <c r="U515" s="269">
        <f t="shared" si="40"/>
        <v>69</v>
      </c>
      <c r="V515" s="267">
        <f t="shared" ref="V515:V578" si="43">IFERROR(L515-P515,"")</f>
        <v>7.7700000000000102E-2</v>
      </c>
      <c r="W515" s="267">
        <f t="shared" ref="W515:W578" si="44">IFERROR(N515-R515,"")</f>
        <v>7.4619940358370274E-2</v>
      </c>
      <c r="X515" s="271">
        <f>IFERROR(INDEX(Rainfall_Dry!$O$2:$O$217,MATCH(B515, Rainfall_Dry!$A$2:$A$217,0)),"")</f>
        <v>6.900000125</v>
      </c>
      <c r="Y515" s="260">
        <v>45.272914521112256</v>
      </c>
      <c r="Z515" s="260">
        <v>23.604531410916575</v>
      </c>
      <c r="AA515" s="260">
        <v>31.122554067971166</v>
      </c>
      <c r="AB515" s="261" t="s">
        <v>2673</v>
      </c>
      <c r="AC515" s="260">
        <v>3.0547560374568801</v>
      </c>
      <c r="AD515">
        <f>IF('WetLitterbags placem_collection'!AB76="","",'WetLitterbags placem_collection'!AB76)</f>
        <v>7.7</v>
      </c>
      <c r="AE515">
        <f>IF('WetLitterbags placem_collection'!Z76="","",'WetLitterbags placem_collection'!Z76)</f>
        <v>9.4</v>
      </c>
      <c r="AF515" s="246" t="str">
        <f>IF('WetLitterbags placem_collection'!AA76="","",'WetLitterbags placem_collection'!AA76)</f>
        <v>M</v>
      </c>
      <c r="AG515">
        <f>IF('WetLitterbags placem_collection'!AC76="","",'WetLitterbags placem_collection'!AC76)</f>
        <v>1</v>
      </c>
      <c r="AH515">
        <f>IFERROR(AVERAGE('Dry_Litterbag Placem_Collection'!O76,'Dry_Litterbag Placem_Collection'!R76),"")</f>
        <v>10.8</v>
      </c>
      <c r="AI515" s="271">
        <f>IFERROR(AVERAGE('Dry_Litterbag Placem_Collection'!N76,'Dry_Litterbag Placem_Collection'!Q76),"")</f>
        <v>28.1</v>
      </c>
      <c r="AJ515" s="270">
        <f>INDEX(Coordinates!$B$2:$B$197,MATCH(G515,Coordinates!$J$2:$J$197,0))</f>
        <v>-3.3025779759999998</v>
      </c>
      <c r="AK515" s="270">
        <f>INDEX(Coordinates!$C$2:$C$197,MATCH(G515,Coordinates!$J$2:$J$197,0))</f>
        <v>34.848041969999997</v>
      </c>
      <c r="AL515" s="270" t="str">
        <f>IF(ISNUMBER(SEARCH("C", 'Dry_Litterbag Placem_Collection'!U76)),"YES","NO")</f>
        <v>NO</v>
      </c>
      <c r="AM515" s="270" t="str">
        <f>IF(ISNUMBER(SEARCH("H", 'Dry_Litterbag Placem_Collection'!U76)),"YES","NO")</f>
        <v>NO</v>
      </c>
      <c r="AN515" s="270" t="str">
        <f>IF(ISNUMBER(SEARCH("R", 'Dry_Litterbag Placem_Collection'!U76)),"YES","NO")</f>
        <v>NO</v>
      </c>
    </row>
    <row r="516" spans="1:40" ht="15" customHeight="1">
      <c r="A516" s="262" t="s">
        <v>2659</v>
      </c>
      <c r="B516" s="263">
        <f>'Dry_Litterbag Placem_Collection'!A77</f>
        <v>75</v>
      </c>
      <c r="C516" s="263" t="str">
        <f>'Dry_Litterbag Placem_Collection'!B77</f>
        <v>Maswa</v>
      </c>
      <c r="D516" s="263" t="s">
        <v>2659</v>
      </c>
      <c r="E516" s="263" t="s">
        <v>2661</v>
      </c>
      <c r="F516" s="263">
        <v>2</v>
      </c>
      <c r="G516" s="264" t="str">
        <f>'Dry_Litterbag Placem_Collection'!C77</f>
        <v>Dry_W2_T3</v>
      </c>
      <c r="H516" s="273" t="s">
        <v>3651</v>
      </c>
      <c r="I516" s="266" t="s">
        <v>1147</v>
      </c>
      <c r="J516" s="263" t="str">
        <f>IF(ISBLANK('Dry_Litterbag Placem_Collection'!L77),"","G"&amp;""&amp;'Dry_Litterbag Placem_Collection'!L77)</f>
        <v>G705</v>
      </c>
      <c r="K516" s="267">
        <f>IFERROR(INDEX('Green_rooibos initial weight'!$C$5:$C$1749,MATCH(J516, 'Green_rooibos initial weight'!$A$5:$A$1749,0)),"")</f>
        <v>1.9830000000000001</v>
      </c>
      <c r="L516" s="267">
        <f>IFERROR(K516-(TBIcalc!$Q$9+TBIcalc!$Q$10),"")</f>
        <v>1.7332000000000001</v>
      </c>
      <c r="M516" s="391">
        <f>AVERAGE(Ashed_controlls!$K$2:$K$11)</f>
        <v>5.5147656768714146</v>
      </c>
      <c r="N516" s="267">
        <f t="shared" si="41"/>
        <v>1.6376180812884646</v>
      </c>
      <c r="O516" s="267">
        <f>IF(IFERROR(INDEX('Both teabags AfterDry'!$D$3:$D$900,MATCH(J516,'Both teabags AfterDry'!$A$3:$A$900,0)),"")="","",(IFERROR(INDEX('Both teabags AfterDry'!$D$3:$D$900,MATCH(J516,'Both teabags AfterDry'!$A$3:$A$900,0)),"")))</f>
        <v>1.8152999999999999</v>
      </c>
      <c r="P516" s="267">
        <f>IFERROR(IF(O516&gt;0,O516-(TBIcalc!$Q$9),""),"")</f>
        <v>1.6646999999999998</v>
      </c>
      <c r="Q516" s="278">
        <f>IFERROR(INDEX('Ashed teabags dry'!$K$2:$K$825,MATCH(J516,'Ashed teabags dry'!$A$2:$A$825,0)),"")</f>
        <v>5.8558558558565581</v>
      </c>
      <c r="R516" s="278">
        <f t="shared" si="42"/>
        <v>1.5672175675675557</v>
      </c>
      <c r="S516" s="268">
        <f>'Dry_Litterbag Placem_Collection'!E77</f>
        <v>42937</v>
      </c>
      <c r="T516" s="268">
        <f>IF('Dry_Litterbag Placem_Collection'!G77="","",'Dry_Litterbag Placem_Collection'!G77)</f>
        <v>43006</v>
      </c>
      <c r="U516" s="269">
        <f t="shared" si="40"/>
        <v>69</v>
      </c>
      <c r="V516" s="267">
        <f t="shared" si="43"/>
        <v>6.8500000000000227E-2</v>
      </c>
      <c r="W516" s="267">
        <f t="shared" si="44"/>
        <v>7.0400513720908942E-2</v>
      </c>
      <c r="X516" s="271">
        <f>IFERROR(INDEX(Rainfall_Dry!$O$2:$O$217,MATCH(B516, Rainfall_Dry!$A$2:$A$217,0)),"")</f>
        <v>6.900000125</v>
      </c>
      <c r="Y516" s="260">
        <v>45.272914521112256</v>
      </c>
      <c r="Z516" s="260">
        <v>23.604531410916575</v>
      </c>
      <c r="AA516" s="260">
        <v>31.122554067971166</v>
      </c>
      <c r="AB516" s="261" t="s">
        <v>2673</v>
      </c>
      <c r="AC516" s="260">
        <v>4.0547560374568796</v>
      </c>
      <c r="AD516">
        <f>IF('WetLitterbags placem_collection'!AB77="","",'WetLitterbags placem_collection'!AB77)</f>
        <v>6.1</v>
      </c>
      <c r="AE516">
        <f>IF('WetLitterbags placem_collection'!Z77="","",'WetLitterbags placem_collection'!Z77)</f>
        <v>13.8</v>
      </c>
      <c r="AF516" s="246" t="str">
        <f>IF('WetLitterbags placem_collection'!AA77="","",'WetLitterbags placem_collection'!AA77)</f>
        <v>O</v>
      </c>
      <c r="AG516">
        <f>IF('WetLitterbags placem_collection'!AC77="","",'WetLitterbags placem_collection'!AC77)</f>
        <v>0</v>
      </c>
      <c r="AH516">
        <f>IFERROR(AVERAGE('Dry_Litterbag Placem_Collection'!O77,'Dry_Litterbag Placem_Collection'!R77),"")</f>
        <v>12.3</v>
      </c>
      <c r="AI516" s="271">
        <f>IFERROR(AVERAGE('Dry_Litterbag Placem_Collection'!N77,'Dry_Litterbag Placem_Collection'!Q77),"")</f>
        <v>27.200000000000003</v>
      </c>
      <c r="AJ516" s="270">
        <f>INDEX(Coordinates!$B$2:$B$197,MATCH(G516,Coordinates!$J$2:$J$197,0))</f>
        <v>-3.302687025</v>
      </c>
      <c r="AK516" s="270">
        <f>INDEX(Coordinates!$C$2:$C$197,MATCH(G516,Coordinates!$J$2:$J$197,0))</f>
        <v>34.847926970000003</v>
      </c>
      <c r="AL516" s="270" t="str">
        <f>IF(ISNUMBER(SEARCH("C", 'Dry_Litterbag Placem_Collection'!U77)),"YES","NO")</f>
        <v>NO</v>
      </c>
      <c r="AM516" s="270" t="str">
        <f>IF(ISNUMBER(SEARCH("H", 'Dry_Litterbag Placem_Collection'!U77)),"YES","NO")</f>
        <v>NO</v>
      </c>
      <c r="AN516" s="270" t="str">
        <f>IF(ISNUMBER(SEARCH("R", 'Dry_Litterbag Placem_Collection'!U77)),"YES","NO")</f>
        <v>NO</v>
      </c>
    </row>
    <row r="517" spans="1:40" ht="15" customHeight="1">
      <c r="A517" s="262" t="s">
        <v>2659</v>
      </c>
      <c r="B517" s="263">
        <f>'Dry_Litterbag Placem_Collection'!A78</f>
        <v>76</v>
      </c>
      <c r="C517" s="263" t="str">
        <f>'Dry_Litterbag Placem_Collection'!B78</f>
        <v>Maswa</v>
      </c>
      <c r="D517" s="263" t="s">
        <v>2659</v>
      </c>
      <c r="E517" s="263" t="s">
        <v>2661</v>
      </c>
      <c r="F517" s="263">
        <v>2</v>
      </c>
      <c r="G517" s="264" t="str">
        <f>'Dry_Litterbag Placem_Collection'!C78</f>
        <v>Dry_W2_T4</v>
      </c>
      <c r="H517" s="273" t="s">
        <v>3651</v>
      </c>
      <c r="I517" s="266" t="s">
        <v>1147</v>
      </c>
      <c r="J517" s="263" t="str">
        <f>IF(ISBLANK('Dry_Litterbag Placem_Collection'!L78),"","G"&amp;""&amp;'Dry_Litterbag Placem_Collection'!L78)</f>
        <v>G601</v>
      </c>
      <c r="K517" s="267">
        <f>IFERROR(INDEX('Green_rooibos initial weight'!$C$5:$C$1749,MATCH(J517, 'Green_rooibos initial weight'!$A$5:$A$1749,0)),"")</f>
        <v>2.0099999999999998</v>
      </c>
      <c r="L517" s="267">
        <f>IFERROR(K517-(TBIcalc!$Q$9+TBIcalc!$Q$10),"")</f>
        <v>1.7601999999999998</v>
      </c>
      <c r="M517" s="391">
        <f>AVERAGE(Ashed_controlls!$K$2:$K$11)</f>
        <v>5.5147656768714146</v>
      </c>
      <c r="N517" s="267">
        <f t="shared" si="41"/>
        <v>1.6631290945557091</v>
      </c>
      <c r="O517" s="267">
        <f>IF(IFERROR(INDEX('Both teabags AfterDry'!$D$3:$D$900,MATCH(J517,'Both teabags AfterDry'!$A$3:$A$900,0)),"")="","",(IFERROR(INDEX('Both teabags AfterDry'!$D$3:$D$900,MATCH(J517,'Both teabags AfterDry'!$A$3:$A$900,0)),"")))</f>
        <v>1.8379000000000001</v>
      </c>
      <c r="P517" s="267">
        <f>IFERROR(IF(O517&gt;0,O517-(TBIcalc!$Q$9),""),"")</f>
        <v>1.6873</v>
      </c>
      <c r="Q517" s="278">
        <f>IFERROR(INDEX('Ashed teabags dry'!$K$2:$K$825,MATCH(J517,'Ashed teabags dry'!$A$2:$A$825,0)),"")</f>
        <v>5.9833251593918666</v>
      </c>
      <c r="R517" s="278">
        <f t="shared" si="42"/>
        <v>1.586343354585581</v>
      </c>
      <c r="S517" s="268">
        <f>'Dry_Litterbag Placem_Collection'!E78</f>
        <v>42937</v>
      </c>
      <c r="T517" s="268">
        <f>IF('Dry_Litterbag Placem_Collection'!G78="","",'Dry_Litterbag Placem_Collection'!G78)</f>
        <v>43006</v>
      </c>
      <c r="U517" s="269">
        <f t="shared" si="40"/>
        <v>69</v>
      </c>
      <c r="V517" s="267">
        <f t="shared" si="43"/>
        <v>7.2899999999999743E-2</v>
      </c>
      <c r="W517" s="267">
        <f t="shared" si="44"/>
        <v>7.6785739970128164E-2</v>
      </c>
      <c r="X517" s="271">
        <f>IFERROR(INDEX(Rainfall_Dry!$O$2:$O$217,MATCH(B517, Rainfall_Dry!$A$2:$A$217,0)),"")</f>
        <v>6.900000125</v>
      </c>
      <c r="Y517" s="260">
        <v>45.272914521112256</v>
      </c>
      <c r="Z517" s="260">
        <v>23.604531410916575</v>
      </c>
      <c r="AA517" s="260">
        <v>31.122554067971166</v>
      </c>
      <c r="AB517" s="261" t="s">
        <v>2673</v>
      </c>
      <c r="AC517" s="260">
        <v>5.0547560374568796</v>
      </c>
      <c r="AD517">
        <f>IF('WetLitterbags placem_collection'!AB78="","",'WetLitterbags placem_collection'!AB78)</f>
        <v>6.7</v>
      </c>
      <c r="AE517">
        <f>IF('WetLitterbags placem_collection'!Z78="","",'WetLitterbags placem_collection'!Z78)</f>
        <v>19.3</v>
      </c>
      <c r="AF517" s="246" t="str">
        <f>IF('WetLitterbags placem_collection'!AA78="","",'WetLitterbags placem_collection'!AA78)</f>
        <v>M</v>
      </c>
      <c r="AG517">
        <f>IF('WetLitterbags placem_collection'!AC78="","",'WetLitterbags placem_collection'!AC78)</f>
        <v>1</v>
      </c>
      <c r="AH517">
        <f>IFERROR(AVERAGE('Dry_Litterbag Placem_Collection'!O78,'Dry_Litterbag Placem_Collection'!R78),"")</f>
        <v>11.1</v>
      </c>
      <c r="AI517" s="271">
        <f>IFERROR(AVERAGE('Dry_Litterbag Placem_Collection'!N78,'Dry_Litterbag Placem_Collection'!Q78),"")</f>
        <v>27.75</v>
      </c>
      <c r="AJ517" s="270">
        <f>INDEX(Coordinates!$B$2:$B$197,MATCH(G517,Coordinates!$J$2:$J$197,0))</f>
        <v>-3.3024560190000001</v>
      </c>
      <c r="AK517" s="270">
        <f>INDEX(Coordinates!$C$2:$C$197,MATCH(G517,Coordinates!$J$2:$J$197,0))</f>
        <v>34.847871990000002</v>
      </c>
      <c r="AL517" s="270" t="str">
        <f>IF(ISNUMBER(SEARCH("C", 'Dry_Litterbag Placem_Collection'!U78)),"YES","NO")</f>
        <v>NO</v>
      </c>
      <c r="AM517" s="270" t="str">
        <f>IF(ISNUMBER(SEARCH("H", 'Dry_Litterbag Placem_Collection'!U78)),"YES","NO")</f>
        <v>NO</v>
      </c>
      <c r="AN517" s="270" t="str">
        <f>IF(ISNUMBER(SEARCH("R", 'Dry_Litterbag Placem_Collection'!U78)),"YES","NO")</f>
        <v>NO</v>
      </c>
    </row>
    <row r="518" spans="1:40" ht="15" customHeight="1">
      <c r="A518" s="262" t="s">
        <v>2659</v>
      </c>
      <c r="B518" s="263">
        <f>'Dry_Litterbag Placem_Collection'!A79</f>
        <v>77</v>
      </c>
      <c r="C518" s="263" t="str">
        <f>'Dry_Litterbag Placem_Collection'!B79</f>
        <v>Maswa</v>
      </c>
      <c r="D518" s="263" t="s">
        <v>2659</v>
      </c>
      <c r="E518" s="263" t="s">
        <v>2661</v>
      </c>
      <c r="F518" s="263">
        <v>2</v>
      </c>
      <c r="G518" s="264" t="str">
        <f>'Dry_Litterbag Placem_Collection'!C79</f>
        <v>Dry_W2_T5</v>
      </c>
      <c r="H518" s="273" t="s">
        <v>3651</v>
      </c>
      <c r="I518" s="266" t="s">
        <v>1147</v>
      </c>
      <c r="J518" s="263" t="str">
        <f>IF(ISBLANK('Dry_Litterbag Placem_Collection'!L79),"","G"&amp;""&amp;'Dry_Litterbag Placem_Collection'!L79)</f>
        <v/>
      </c>
      <c r="K518" s="267" t="str">
        <f>IFERROR(INDEX('Green_rooibos initial weight'!$C$5:$C$1749,MATCH(J518, 'Green_rooibos initial weight'!$A$5:$A$1749,0)),"")</f>
        <v/>
      </c>
      <c r="L518" s="267" t="str">
        <f>IFERROR(K518-(TBIcalc!$Q$9+TBIcalc!$Q$10),"")</f>
        <v/>
      </c>
      <c r="M518" s="391">
        <f>AVERAGE(Ashed_controlls!$K$2:$K$11)</f>
        <v>5.5147656768714146</v>
      </c>
      <c r="N518" s="267" t="str">
        <f t="shared" si="41"/>
        <v/>
      </c>
      <c r="O518" s="267" t="str">
        <f>IF(IFERROR(INDEX('Both teabags AfterDry'!$D$3:$D$900,MATCH(J518,'Both teabags AfterDry'!$A$3:$A$900,0)),"")="","",(IFERROR(INDEX('Both teabags AfterDry'!$D$3:$D$900,MATCH(J518,'Both teabags AfterDry'!$A$3:$A$900,0)),"")))</f>
        <v/>
      </c>
      <c r="P518" s="267" t="str">
        <f>IFERROR(IF(O518&gt;0,O518-(TBIcalc!$Q$9),""),"")</f>
        <v/>
      </c>
      <c r="Q518" s="278" t="str">
        <f>IFERROR(INDEX('Ashed teabags dry'!$K$2:$K$825,MATCH(J518,'Ashed teabags dry'!$A$2:$A$825,0)),"")</f>
        <v/>
      </c>
      <c r="R518" s="278" t="str">
        <f t="shared" si="42"/>
        <v/>
      </c>
      <c r="S518" s="268">
        <f>'Dry_Litterbag Placem_Collection'!E79</f>
        <v>0</v>
      </c>
      <c r="T518" s="268" t="str">
        <f>IF('Dry_Litterbag Placem_Collection'!G79="","",'Dry_Litterbag Placem_Collection'!G79)</f>
        <v/>
      </c>
      <c r="U518" s="269" t="str">
        <f t="shared" si="40"/>
        <v/>
      </c>
      <c r="V518" s="267" t="str">
        <f t="shared" si="43"/>
        <v/>
      </c>
      <c r="W518" s="267" t="str">
        <f t="shared" si="44"/>
        <v/>
      </c>
      <c r="X518" s="271" t="str">
        <f>IFERROR(INDEX(Rainfall_Dry!$O$2:$O$217,MATCH(B518, Rainfall_Dry!$A$2:$A$217,0)),"")</f>
        <v/>
      </c>
      <c r="Y518" s="260">
        <v>45.272914521112256</v>
      </c>
      <c r="Z518" s="260">
        <v>23.604531410916575</v>
      </c>
      <c r="AA518" s="260">
        <v>31.122554067971166</v>
      </c>
      <c r="AB518" s="261" t="s">
        <v>2673</v>
      </c>
      <c r="AC518" s="260">
        <v>6.0547560374568796</v>
      </c>
      <c r="AD518">
        <f>IF('WetLitterbags placem_collection'!AB79="","",'WetLitterbags placem_collection'!AB79)</f>
        <v>3.1</v>
      </c>
      <c r="AE518">
        <f>IF('WetLitterbags placem_collection'!Z79="","",'WetLitterbags placem_collection'!Z79)</f>
        <v>9.8000000000000007</v>
      </c>
      <c r="AF518" s="246" t="str">
        <f>IF('WetLitterbags placem_collection'!AA79="","",'WetLitterbags placem_collection'!AA79)</f>
        <v>O</v>
      </c>
      <c r="AG518">
        <f>IF('WetLitterbags placem_collection'!AC79="","",'WetLitterbags placem_collection'!AC79)</f>
        <v>1</v>
      </c>
      <c r="AH518" t="str">
        <f>IFERROR(AVERAGE('Dry_Litterbag Placem_Collection'!O79,'Dry_Litterbag Placem_Collection'!R79),"")</f>
        <v/>
      </c>
      <c r="AI518" s="271" t="str">
        <f>IFERROR(AVERAGE('Dry_Litterbag Placem_Collection'!N79,'Dry_Litterbag Placem_Collection'!Q79),"")</f>
        <v/>
      </c>
      <c r="AJ518" s="270">
        <f>INDEX(Coordinates!$B$2:$B$197,MATCH(G518,Coordinates!$J$2:$J$197,0))</f>
        <v>-3.3023280279999998</v>
      </c>
      <c r="AK518" s="270">
        <f>INDEX(Coordinates!$C$2:$C$197,MATCH(G518,Coordinates!$J$2:$J$197,0))</f>
        <v>34.848223019999999</v>
      </c>
      <c r="AL518" s="270" t="str">
        <f>IF(ISNUMBER(SEARCH("C", 'Dry_Litterbag Placem_Collection'!U79)),"YES","NO")</f>
        <v>NO</v>
      </c>
      <c r="AM518" s="270" t="str">
        <f>IF(ISNUMBER(SEARCH("H", 'Dry_Litterbag Placem_Collection'!U79)),"YES","NO")</f>
        <v>NO</v>
      </c>
      <c r="AN518" s="270" t="str">
        <f>IF(ISNUMBER(SEARCH("R", 'Dry_Litterbag Placem_Collection'!U79)),"YES","NO")</f>
        <v>NO</v>
      </c>
    </row>
    <row r="519" spans="1:40" ht="15" customHeight="1">
      <c r="A519" s="262" t="s">
        <v>2659</v>
      </c>
      <c r="B519" s="263">
        <f>'Dry_Litterbag Placem_Collection'!A80</f>
        <v>78</v>
      </c>
      <c r="C519" s="263" t="str">
        <f>'Dry_Litterbag Placem_Collection'!B80</f>
        <v>Maswa</v>
      </c>
      <c r="D519" s="263" t="s">
        <v>2659</v>
      </c>
      <c r="E519" s="263" t="s">
        <v>2661</v>
      </c>
      <c r="F519" s="263">
        <v>2</v>
      </c>
      <c r="G519" s="264" t="str">
        <f>'Dry_Litterbag Placem_Collection'!C80</f>
        <v>Dry_W2_T6</v>
      </c>
      <c r="H519" s="273" t="s">
        <v>3651</v>
      </c>
      <c r="I519" s="266" t="s">
        <v>1147</v>
      </c>
      <c r="J519" s="263" t="str">
        <f>IF(ISBLANK('Dry_Litterbag Placem_Collection'!L80),"","G"&amp;""&amp;'Dry_Litterbag Placem_Collection'!L80)</f>
        <v>G157</v>
      </c>
      <c r="K519" s="267">
        <f>IFERROR(INDEX('Green_rooibos initial weight'!$C$5:$C$1749,MATCH(J519, 'Green_rooibos initial weight'!$A$5:$A$1749,0)),"")</f>
        <v>1.994</v>
      </c>
      <c r="L519" s="267">
        <f>IFERROR(K519-(TBIcalc!$Q$9+TBIcalc!$Q$10),"")</f>
        <v>1.7442</v>
      </c>
      <c r="M519" s="391">
        <f>AVERAGE(Ashed_controlls!$K$2:$K$11)</f>
        <v>5.5147656768714146</v>
      </c>
      <c r="N519" s="267">
        <f t="shared" si="41"/>
        <v>1.6480114570640088</v>
      </c>
      <c r="O519" s="267">
        <f>IF(IFERROR(INDEX('Both teabags AfterDry'!$D$3:$D$900,MATCH(J519,'Both teabags AfterDry'!$A$3:$A$900,0)),"")="","",(IFERROR(INDEX('Both teabags AfterDry'!$D$3:$D$900,MATCH(J519,'Both teabags AfterDry'!$A$3:$A$900,0)),"")))</f>
        <v>1.8103</v>
      </c>
      <c r="P519" s="267">
        <f>IFERROR(IF(O519&gt;0,O519-(TBIcalc!$Q$9),""),"")</f>
        <v>1.6597</v>
      </c>
      <c r="Q519" s="278">
        <f>IFERROR(INDEX('Ashed teabags dry'!$K$2:$K$825,MATCH(J519,'Ashed teabags dry'!$A$2:$A$825,0)),"")</f>
        <v>6.3027295285366076</v>
      </c>
      <c r="R519" s="278">
        <f t="shared" si="42"/>
        <v>1.5550935980148779</v>
      </c>
      <c r="S519" s="268">
        <f>'Dry_Litterbag Placem_Collection'!E80</f>
        <v>42937</v>
      </c>
      <c r="T519" s="268">
        <f>IF('Dry_Litterbag Placem_Collection'!G80="","",'Dry_Litterbag Placem_Collection'!G80)</f>
        <v>43006</v>
      </c>
      <c r="U519" s="269">
        <f t="shared" si="40"/>
        <v>69</v>
      </c>
      <c r="V519" s="267">
        <f t="shared" si="43"/>
        <v>8.450000000000002E-2</v>
      </c>
      <c r="W519" s="267">
        <f t="shared" si="44"/>
        <v>9.2917859049130858E-2</v>
      </c>
      <c r="X519" s="271">
        <f>IFERROR(INDEX(Rainfall_Dry!$O$2:$O$217,MATCH(B519, Rainfall_Dry!$A$2:$A$217,0)),"")</f>
        <v>6.900000125</v>
      </c>
      <c r="Y519" s="260">
        <v>45.272914521112256</v>
      </c>
      <c r="Z519" s="260">
        <v>23.604531410916575</v>
      </c>
      <c r="AA519" s="260">
        <v>31.122554067971166</v>
      </c>
      <c r="AB519" s="261" t="s">
        <v>2673</v>
      </c>
      <c r="AC519" s="260">
        <v>7.0547560374568796</v>
      </c>
      <c r="AD519">
        <f>IF('WetLitterbags placem_collection'!AB80="","",'WetLitterbags placem_collection'!AB80)</f>
        <v>10.4</v>
      </c>
      <c r="AE519">
        <f>IF('WetLitterbags placem_collection'!Z80="","",'WetLitterbags placem_collection'!Z80)</f>
        <v>15.4</v>
      </c>
      <c r="AF519" s="246" t="str">
        <f>IF('WetLitterbags placem_collection'!AA80="","",'WetLitterbags placem_collection'!AA80)</f>
        <v>M</v>
      </c>
      <c r="AG519">
        <f>IF('WetLitterbags placem_collection'!AC80="","",'WetLitterbags placem_collection'!AC80)</f>
        <v>1</v>
      </c>
      <c r="AH519">
        <f>IFERROR(AVERAGE('Dry_Litterbag Placem_Collection'!O80,'Dry_Litterbag Placem_Collection'!R80),"")</f>
        <v>11.149999999999999</v>
      </c>
      <c r="AI519" s="271">
        <f>IFERROR(AVERAGE('Dry_Litterbag Placem_Collection'!N80,'Dry_Litterbag Placem_Collection'!Q80),"")</f>
        <v>28.35</v>
      </c>
      <c r="AJ519" s="270">
        <f>INDEX(Coordinates!$B$2:$B$197,MATCH(G519,Coordinates!$J$2:$J$197,0))</f>
        <v>-3.3025680020000001</v>
      </c>
      <c r="AK519" s="270">
        <f>INDEX(Coordinates!$C$2:$C$197,MATCH(G519,Coordinates!$J$2:$J$197,0))</f>
        <v>34.848167029999999</v>
      </c>
      <c r="AL519" s="270" t="str">
        <f>IF(ISNUMBER(SEARCH("C", 'Dry_Litterbag Placem_Collection'!U80)),"YES","NO")</f>
        <v>NO</v>
      </c>
      <c r="AM519" s="270" t="str">
        <f>IF(ISNUMBER(SEARCH("H", 'Dry_Litterbag Placem_Collection'!U80)),"YES","NO")</f>
        <v>NO</v>
      </c>
      <c r="AN519" s="270" t="str">
        <f>IF(ISNUMBER(SEARCH("R", 'Dry_Litterbag Placem_Collection'!U80)),"YES","NO")</f>
        <v>NO</v>
      </c>
    </row>
    <row r="520" spans="1:40" ht="15" customHeight="1">
      <c r="A520" s="262" t="s">
        <v>2659</v>
      </c>
      <c r="B520" s="263">
        <f>'Dry_Litterbag Placem_Collection'!A81</f>
        <v>79</v>
      </c>
      <c r="C520" s="263" t="str">
        <f>'Dry_Litterbag Placem_Collection'!B81</f>
        <v>Maswa</v>
      </c>
      <c r="D520" s="263" t="s">
        <v>2659</v>
      </c>
      <c r="E520" s="263" t="s">
        <v>2661</v>
      </c>
      <c r="F520" s="263">
        <v>2</v>
      </c>
      <c r="G520" s="264" t="str">
        <f>'Dry_Litterbag Placem_Collection'!C81</f>
        <v>Dry_W2_T7</v>
      </c>
      <c r="H520" s="273" t="s">
        <v>3651</v>
      </c>
      <c r="I520" s="266" t="s">
        <v>1147</v>
      </c>
      <c r="J520" s="263" t="str">
        <f>IF(ISBLANK('Dry_Litterbag Placem_Collection'!L81),"","G"&amp;""&amp;'Dry_Litterbag Placem_Collection'!L81)</f>
        <v>G226</v>
      </c>
      <c r="K520" s="267">
        <f>IFERROR(INDEX('Green_rooibos initial weight'!$C$5:$C$1749,MATCH(J520, 'Green_rooibos initial weight'!$A$5:$A$1749,0)),"")</f>
        <v>1.929</v>
      </c>
      <c r="L520" s="267">
        <f>IFERROR(K520-(TBIcalc!$Q$9+TBIcalc!$Q$10),"")</f>
        <v>1.6792</v>
      </c>
      <c r="M520" s="391">
        <f>AVERAGE(Ashed_controlls!$K$2:$K$11)</f>
        <v>5.5147656768714146</v>
      </c>
      <c r="N520" s="267">
        <f t="shared" si="41"/>
        <v>1.5865960547539752</v>
      </c>
      <c r="O520" s="267">
        <f>IF(IFERROR(INDEX('Both teabags AfterDry'!$D$3:$D$900,MATCH(J520,'Both teabags AfterDry'!$A$3:$A$900,0)),"")="","",(IFERROR(INDEX('Both teabags AfterDry'!$D$3:$D$900,MATCH(J520,'Both teabags AfterDry'!$A$3:$A$900,0)),"")))</f>
        <v>1.7826</v>
      </c>
      <c r="P520" s="267">
        <f>IFERROR(IF(O520&gt;0,O520-(TBIcalc!$Q$9),""),"")</f>
        <v>1.6319999999999999</v>
      </c>
      <c r="Q520" s="278">
        <f>IFERROR(INDEX('Ashed teabags dry'!$K$2:$K$825,MATCH(J520,'Ashed teabags dry'!$A$2:$A$825,0)),"")</f>
        <v>5.6047197640117146</v>
      </c>
      <c r="R520" s="278">
        <f t="shared" si="42"/>
        <v>1.5405309734513288</v>
      </c>
      <c r="S520" s="268">
        <f>'Dry_Litterbag Placem_Collection'!E81</f>
        <v>42937</v>
      </c>
      <c r="T520" s="268">
        <f>IF('Dry_Litterbag Placem_Collection'!G81="","",'Dry_Litterbag Placem_Collection'!G81)</f>
        <v>43006</v>
      </c>
      <c r="U520" s="269">
        <f t="shared" si="40"/>
        <v>69</v>
      </c>
      <c r="V520" s="267">
        <f t="shared" si="43"/>
        <v>4.7200000000000131E-2</v>
      </c>
      <c r="W520" s="267">
        <f t="shared" si="44"/>
        <v>4.6065081302646416E-2</v>
      </c>
      <c r="X520" s="271">
        <f>IFERROR(INDEX(Rainfall_Dry!$O$2:$O$217,MATCH(B520, Rainfall_Dry!$A$2:$A$217,0)),"")</f>
        <v>6.900000125</v>
      </c>
      <c r="Y520" s="260">
        <v>45.272914521112256</v>
      </c>
      <c r="Z520" s="260">
        <v>23.604531410916575</v>
      </c>
      <c r="AA520" s="260">
        <v>31.122554067971166</v>
      </c>
      <c r="AB520" s="261" t="s">
        <v>2673</v>
      </c>
      <c r="AC520" s="260">
        <v>8.0547560374568796</v>
      </c>
      <c r="AD520">
        <f>IF('WetLitterbags placem_collection'!AB81="","",'WetLitterbags placem_collection'!AB81)</f>
        <v>3</v>
      </c>
      <c r="AE520">
        <f>IF('WetLitterbags placem_collection'!Z81="","",'WetLitterbags placem_collection'!Z81)</f>
        <v>5</v>
      </c>
      <c r="AF520" s="246" t="str">
        <f>IF('WetLitterbags placem_collection'!AA81="","",'WetLitterbags placem_collection'!AA81)</f>
        <v>G</v>
      </c>
      <c r="AG520">
        <f>IF('WetLitterbags placem_collection'!AC81="","",'WetLitterbags placem_collection'!AC81)</f>
        <v>1</v>
      </c>
      <c r="AH520">
        <f>IFERROR(AVERAGE('Dry_Litterbag Placem_Collection'!O81,'Dry_Litterbag Placem_Collection'!R81),"")</f>
        <v>9.1999999999999993</v>
      </c>
      <c r="AI520" s="271">
        <f>IFERROR(AVERAGE('Dry_Litterbag Placem_Collection'!N81,'Dry_Litterbag Placem_Collection'!Q81),"")</f>
        <v>26.25</v>
      </c>
      <c r="AJ520" s="270">
        <f>INDEX(Coordinates!$B$2:$B$197,MATCH(G520,Coordinates!$J$2:$J$197,0))</f>
        <v>-3.3026270100000001</v>
      </c>
      <c r="AK520" s="270">
        <f>INDEX(Coordinates!$C$2:$C$197,MATCH(G520,Coordinates!$J$2:$J$197,0))</f>
        <v>34.84840801</v>
      </c>
      <c r="AL520" s="270" t="str">
        <f>IF(ISNUMBER(SEARCH("C", 'Dry_Litterbag Placem_Collection'!U81)),"YES","NO")</f>
        <v>NO</v>
      </c>
      <c r="AM520" s="270" t="str">
        <f>IF(ISNUMBER(SEARCH("H", 'Dry_Litterbag Placem_Collection'!U81)),"YES","NO")</f>
        <v>NO</v>
      </c>
      <c r="AN520" s="270" t="str">
        <f>IF(ISNUMBER(SEARCH("R", 'Dry_Litterbag Placem_Collection'!U81)),"YES","NO")</f>
        <v>NO</v>
      </c>
    </row>
    <row r="521" spans="1:40" ht="15" customHeight="1">
      <c r="A521" s="262" t="s">
        <v>2659</v>
      </c>
      <c r="B521" s="263">
        <f>'Dry_Litterbag Placem_Collection'!A82</f>
        <v>80</v>
      </c>
      <c r="C521" s="263" t="str">
        <f>'Dry_Litterbag Placem_Collection'!B82</f>
        <v>Maswa</v>
      </c>
      <c r="D521" s="263" t="s">
        <v>2659</v>
      </c>
      <c r="E521" s="263" t="s">
        <v>2661</v>
      </c>
      <c r="F521" s="263">
        <v>2</v>
      </c>
      <c r="G521" s="264" t="str">
        <f>'Dry_Litterbag Placem_Collection'!C82</f>
        <v>Dry_W2_T8</v>
      </c>
      <c r="H521" s="273" t="s">
        <v>3651</v>
      </c>
      <c r="I521" s="266" t="s">
        <v>1147</v>
      </c>
      <c r="J521" s="263" t="str">
        <f>IF(ISBLANK('Dry_Litterbag Placem_Collection'!L82),"","G"&amp;""&amp;'Dry_Litterbag Placem_Collection'!L82)</f>
        <v>G855</v>
      </c>
      <c r="K521" s="267">
        <f>IFERROR(INDEX('Green_rooibos initial weight'!$C$5:$C$1749,MATCH(J521, 'Green_rooibos initial weight'!$A$5:$A$1749,0)),"")</f>
        <v>1.9570000000000001</v>
      </c>
      <c r="L521" s="267">
        <f>IFERROR(K521-(TBIcalc!$Q$9+TBIcalc!$Q$10),"")</f>
        <v>1.7072000000000001</v>
      </c>
      <c r="M521" s="391">
        <f>AVERAGE(Ashed_controlls!$K$2:$K$11)</f>
        <v>5.5147656768714146</v>
      </c>
      <c r="N521" s="267">
        <f t="shared" si="41"/>
        <v>1.6130519203644513</v>
      </c>
      <c r="O521" s="267">
        <f>IF(IFERROR(INDEX('Both teabags AfterDry'!$D$3:$D$900,MATCH(J521,'Both teabags AfterDry'!$A$3:$A$900,0)),"")="","",(IFERROR(INDEX('Both teabags AfterDry'!$D$3:$D$900,MATCH(J521,'Both teabags AfterDry'!$A$3:$A$900,0)),"")))</f>
        <v>1.7664</v>
      </c>
      <c r="P521" s="267">
        <f>IFERROR(IF(O521&gt;0,O521-(TBIcalc!$Q$9),""),"")</f>
        <v>1.6157999999999999</v>
      </c>
      <c r="Q521" s="278">
        <f>IFERROR(INDEX('Ashed teabags dry'!$K$2:$K$825,MATCH(J521,'Ashed teabags dry'!$A$2:$A$825,0)),"")</f>
        <v>6.0306475531388282</v>
      </c>
      <c r="R521" s="278">
        <f t="shared" si="42"/>
        <v>1.5183567968363827</v>
      </c>
      <c r="S521" s="268">
        <f>'Dry_Litterbag Placem_Collection'!E82</f>
        <v>42937</v>
      </c>
      <c r="T521" s="268">
        <f>IF('Dry_Litterbag Placem_Collection'!G82="","",'Dry_Litterbag Placem_Collection'!G82)</f>
        <v>43006</v>
      </c>
      <c r="U521" s="269">
        <f t="shared" si="40"/>
        <v>69</v>
      </c>
      <c r="V521" s="267">
        <f t="shared" si="43"/>
        <v>9.1400000000000148E-2</v>
      </c>
      <c r="W521" s="267">
        <f t="shared" si="44"/>
        <v>9.4695123528068637E-2</v>
      </c>
      <c r="X521" s="271">
        <f>IFERROR(INDEX(Rainfall_Dry!$O$2:$O$217,MATCH(B521, Rainfall_Dry!$A$2:$A$217,0)),"")</f>
        <v>6.900000125</v>
      </c>
      <c r="Y521" s="260">
        <v>45.272914521112256</v>
      </c>
      <c r="Z521" s="260">
        <v>23.604531410916575</v>
      </c>
      <c r="AA521" s="260">
        <v>31.122554067971166</v>
      </c>
      <c r="AB521" s="261" t="s">
        <v>2673</v>
      </c>
      <c r="AC521" s="260">
        <v>9.0547560374568796</v>
      </c>
      <c r="AD521">
        <f>IF('WetLitterbags placem_collection'!AB82="","",'WetLitterbags placem_collection'!AB82)</f>
        <v>2.7</v>
      </c>
      <c r="AE521">
        <f>IF('WetLitterbags placem_collection'!Z82="","",'WetLitterbags placem_collection'!Z82)</f>
        <v>12.4</v>
      </c>
      <c r="AF521" s="246" t="str">
        <f>IF('WetLitterbags placem_collection'!AA82="","",'WetLitterbags placem_collection'!AA82)</f>
        <v>O</v>
      </c>
      <c r="AG521">
        <f>IF('WetLitterbags placem_collection'!AC82="","",'WetLitterbags placem_collection'!AC82)</f>
        <v>1</v>
      </c>
      <c r="AH521">
        <f>IFERROR(AVERAGE('Dry_Litterbag Placem_Collection'!O82,'Dry_Litterbag Placem_Collection'!R82),"")</f>
        <v>11.75</v>
      </c>
      <c r="AI521" s="271">
        <f>IFERROR(AVERAGE('Dry_Litterbag Placem_Collection'!N82,'Dry_Litterbag Placem_Collection'!Q82),"")</f>
        <v>27.7</v>
      </c>
      <c r="AJ521" s="270">
        <f>INDEX(Coordinates!$B$2:$B$197,MATCH(G521,Coordinates!$J$2:$J$197,0))</f>
        <v>-3.3028539920000002</v>
      </c>
      <c r="AK521" s="270">
        <f>INDEX(Coordinates!$C$2:$C$197,MATCH(G521,Coordinates!$J$2:$J$197,0))</f>
        <v>34.847988999999998</v>
      </c>
      <c r="AL521" s="270" t="str">
        <f>IF(ISNUMBER(SEARCH("C", 'Dry_Litterbag Placem_Collection'!U82)),"YES","NO")</f>
        <v>NO</v>
      </c>
      <c r="AM521" s="270" t="str">
        <f>IF(ISNUMBER(SEARCH("H", 'Dry_Litterbag Placem_Collection'!U82)),"YES","NO")</f>
        <v>NO</v>
      </c>
      <c r="AN521" s="270" t="str">
        <f>IF(ISNUMBER(SEARCH("R", 'Dry_Litterbag Placem_Collection'!U82)),"YES","NO")</f>
        <v>NO</v>
      </c>
    </row>
    <row r="522" spans="1:40" ht="15" customHeight="1">
      <c r="A522" s="262" t="s">
        <v>2659</v>
      </c>
      <c r="B522" s="263">
        <f>'Dry_Litterbag Placem_Collection'!A83</f>
        <v>81</v>
      </c>
      <c r="C522" s="263" t="str">
        <f>'Dry_Litterbag Placem_Collection'!B83</f>
        <v>Maswa</v>
      </c>
      <c r="D522" s="263" t="s">
        <v>2659</v>
      </c>
      <c r="E522" s="263" t="s">
        <v>2661</v>
      </c>
      <c r="F522" s="263">
        <v>3</v>
      </c>
      <c r="G522" s="264" t="str">
        <f>'Dry_Litterbag Placem_Collection'!C83</f>
        <v>Dry_W3_T1</v>
      </c>
      <c r="H522" s="273" t="s">
        <v>3651</v>
      </c>
      <c r="I522" s="266" t="s">
        <v>1147</v>
      </c>
      <c r="J522" s="263" t="str">
        <f>IF(ISBLANK('Dry_Litterbag Placem_Collection'!L83),"","G"&amp;""&amp;'Dry_Litterbag Placem_Collection'!L83)</f>
        <v>G413</v>
      </c>
      <c r="K522" s="267">
        <f>IFERROR(INDEX('Green_rooibos initial weight'!$C$5:$C$1749,MATCH(J522, 'Green_rooibos initial weight'!$A$5:$A$1749,0)),"")</f>
        <v>2.1589999999999998</v>
      </c>
      <c r="L522" s="267">
        <f>IFERROR(K522-(TBIcalc!$Q$9+TBIcalc!$Q$10),"")</f>
        <v>1.9091999999999998</v>
      </c>
      <c r="M522" s="391">
        <f>AVERAGE(Ashed_controlls!$K$2:$K$11)</f>
        <v>5.5147656768714146</v>
      </c>
      <c r="N522" s="267">
        <f t="shared" si="41"/>
        <v>1.8039120936971709</v>
      </c>
      <c r="O522" s="267">
        <f>IF(IFERROR(INDEX('Both teabags AfterDry'!$D$3:$D$900,MATCH(J522,'Both teabags AfterDry'!$A$3:$A$900,0)),"")="","",(IFERROR(INDEX('Both teabags AfterDry'!$D$3:$D$900,MATCH(J522,'Both teabags AfterDry'!$A$3:$A$900,0)),"")))</f>
        <v>1.9466000000000001</v>
      </c>
      <c r="P522" s="267">
        <f>IFERROR(IF(O522&gt;0,O522-(TBIcalc!$Q$9),""),"")</f>
        <v>1.796</v>
      </c>
      <c r="Q522" s="278">
        <f>IFERROR(INDEX('Ashed teabags dry'!$K$2:$K$825,MATCH(J522,'Ashed teabags dry'!$A$2:$A$825,0)),"")</f>
        <v>5.3246753246752787</v>
      </c>
      <c r="R522" s="278">
        <f t="shared" si="42"/>
        <v>1.7003688311688321</v>
      </c>
      <c r="S522" s="268">
        <f>'Dry_Litterbag Placem_Collection'!E83</f>
        <v>42937</v>
      </c>
      <c r="T522" s="268">
        <f>IF('Dry_Litterbag Placem_Collection'!G83="","",'Dry_Litterbag Placem_Collection'!G83)</f>
        <v>43006</v>
      </c>
      <c r="U522" s="269">
        <f t="shared" si="40"/>
        <v>69</v>
      </c>
      <c r="V522" s="267">
        <f t="shared" si="43"/>
        <v>0.11319999999999975</v>
      </c>
      <c r="W522" s="267">
        <f t="shared" si="44"/>
        <v>0.10354326252833879</v>
      </c>
      <c r="X522" s="271">
        <f>IFERROR(INDEX(Rainfall_Dry!$O$2:$O$217,MATCH(B522, Rainfall_Dry!$A$2:$A$217,0)),"")</f>
        <v>12.563016860999999</v>
      </c>
      <c r="Y522" s="260">
        <v>38.691629007962128</v>
      </c>
      <c r="Z522" s="260">
        <v>26.81299763288143</v>
      </c>
      <c r="AA522" s="260">
        <v>34.495373359156439</v>
      </c>
      <c r="AB522" s="261" t="s">
        <v>2675</v>
      </c>
      <c r="AC522" s="260">
        <v>2.5483587974371611</v>
      </c>
      <c r="AD522">
        <f>IF('WetLitterbags placem_collection'!AB83="","",'WetLitterbags placem_collection'!AB83)</f>
        <v>6.2</v>
      </c>
      <c r="AE522">
        <f>IF('WetLitterbags placem_collection'!Z83="","",'WetLitterbags placem_collection'!Z83)</f>
        <v>13.3</v>
      </c>
      <c r="AF522" s="246" t="str">
        <f>IF('WetLitterbags placem_collection'!AA83="","",'WetLitterbags placem_collection'!AA83)</f>
        <v>O</v>
      </c>
      <c r="AG522">
        <f>IF('WetLitterbags placem_collection'!AC83="","",'WetLitterbags placem_collection'!AC83)</f>
        <v>0</v>
      </c>
      <c r="AH522">
        <f>IFERROR(AVERAGE('Dry_Litterbag Placem_Collection'!O83,'Dry_Litterbag Placem_Collection'!R83),"")</f>
        <v>11.850000000000001</v>
      </c>
      <c r="AI522" s="271">
        <f>IFERROR(AVERAGE('Dry_Litterbag Placem_Collection'!N83,'Dry_Litterbag Placem_Collection'!Q83),"")</f>
        <v>26.35</v>
      </c>
      <c r="AJ522" s="270">
        <f>INDEX(Coordinates!$B$2:$B$197,MATCH(G522,Coordinates!$J$2:$J$197,0))</f>
        <v>-3.2957159630000001</v>
      </c>
      <c r="AK522" s="270">
        <f>INDEX(Coordinates!$C$2:$C$197,MATCH(G522,Coordinates!$J$2:$J$197,0))</f>
        <v>34.852460999999998</v>
      </c>
      <c r="AL522" s="270" t="str">
        <f>IF(ISNUMBER(SEARCH("C", 'Dry_Litterbag Placem_Collection'!U83)),"YES","NO")</f>
        <v>NO</v>
      </c>
      <c r="AM522" s="270" t="str">
        <f>IF(ISNUMBER(SEARCH("H", 'Dry_Litterbag Placem_Collection'!U83)),"YES","NO")</f>
        <v>NO</v>
      </c>
      <c r="AN522" s="270" t="str">
        <f>IF(ISNUMBER(SEARCH("R", 'Dry_Litterbag Placem_Collection'!U83)),"YES","NO")</f>
        <v>NO</v>
      </c>
    </row>
    <row r="523" spans="1:40" ht="15" customHeight="1">
      <c r="A523" s="262" t="s">
        <v>2659</v>
      </c>
      <c r="B523" s="263">
        <f>'Dry_Litterbag Placem_Collection'!A84</f>
        <v>82</v>
      </c>
      <c r="C523" s="263" t="str">
        <f>'Dry_Litterbag Placem_Collection'!B84</f>
        <v>Maswa</v>
      </c>
      <c r="D523" s="263" t="s">
        <v>2659</v>
      </c>
      <c r="E523" s="263" t="s">
        <v>2661</v>
      </c>
      <c r="F523" s="263">
        <v>3</v>
      </c>
      <c r="G523" s="264" t="str">
        <f>'Dry_Litterbag Placem_Collection'!C84</f>
        <v>Dry_W3_T2</v>
      </c>
      <c r="H523" s="273" t="s">
        <v>3651</v>
      </c>
      <c r="I523" s="266" t="s">
        <v>1147</v>
      </c>
      <c r="J523" s="263" t="str">
        <f>IF(ISBLANK('Dry_Litterbag Placem_Collection'!L84),"","G"&amp;""&amp;'Dry_Litterbag Placem_Collection'!L84)</f>
        <v>G370</v>
      </c>
      <c r="K523" s="267">
        <f>IFERROR(INDEX('Green_rooibos initial weight'!$C$5:$C$1749,MATCH(J523, 'Green_rooibos initial weight'!$A$5:$A$1749,0)),"")</f>
        <v>2.0619999999999998</v>
      </c>
      <c r="L523" s="267">
        <f>IFERROR(K523-(TBIcalc!$Q$9+TBIcalc!$Q$10),"")</f>
        <v>1.8121999999999998</v>
      </c>
      <c r="M523" s="391">
        <f>AVERAGE(Ashed_controlls!$K$2:$K$11)</f>
        <v>5.5147656768714146</v>
      </c>
      <c r="N523" s="267">
        <f t="shared" si="41"/>
        <v>1.712261416403736</v>
      </c>
      <c r="O523" s="267">
        <f>IF(IFERROR(INDEX('Both teabags AfterDry'!$D$3:$D$900,MATCH(J523,'Both teabags AfterDry'!$A$3:$A$900,0)),"")="","",(IFERROR(INDEX('Both teabags AfterDry'!$D$3:$D$900,MATCH(J523,'Both teabags AfterDry'!$A$3:$A$900,0)),"")))</f>
        <v>1.8433999999999999</v>
      </c>
      <c r="P523" s="267">
        <f>IFERROR(IF(O523&gt;0,O523-(TBIcalc!$Q$9),""),"")</f>
        <v>1.6927999999999999</v>
      </c>
      <c r="Q523" s="278">
        <f>IFERROR(INDEX('Ashed teabags dry'!$K$2:$K$825,MATCH(J523,'Ashed teabags dry'!$A$2:$A$825,0)),"")</f>
        <v>5.4829185997469585</v>
      </c>
      <c r="R523" s="278">
        <f t="shared" si="42"/>
        <v>1.5999851539434833</v>
      </c>
      <c r="S523" s="268">
        <f>'Dry_Litterbag Placem_Collection'!E84</f>
        <v>42937</v>
      </c>
      <c r="T523" s="268">
        <f>IF('Dry_Litterbag Placem_Collection'!G84="","",'Dry_Litterbag Placem_Collection'!G84)</f>
        <v>43006</v>
      </c>
      <c r="U523" s="269">
        <f t="shared" si="40"/>
        <v>69</v>
      </c>
      <c r="V523" s="267">
        <f t="shared" si="43"/>
        <v>0.11939999999999995</v>
      </c>
      <c r="W523" s="267">
        <f t="shared" si="44"/>
        <v>0.11227626246025268</v>
      </c>
      <c r="X523" s="271">
        <f>IFERROR(INDEX(Rainfall_Dry!$O$2:$O$217,MATCH(B523, Rainfall_Dry!$A$2:$A$217,0)),"")</f>
        <v>12.563016860999999</v>
      </c>
      <c r="Y523" s="260">
        <v>38.691629007962128</v>
      </c>
      <c r="Z523" s="260">
        <v>26.81299763288143</v>
      </c>
      <c r="AA523" s="260">
        <v>34.495373359156439</v>
      </c>
      <c r="AB523" s="261" t="s">
        <v>2675</v>
      </c>
      <c r="AC523" s="260">
        <v>3.5483587974371602</v>
      </c>
      <c r="AD523">
        <f>IF('WetLitterbags placem_collection'!AB84="","",'WetLitterbags placem_collection'!AB84)</f>
        <v>2.4</v>
      </c>
      <c r="AE523">
        <f>IF('WetLitterbags placem_collection'!Z84="","",'WetLitterbags placem_collection'!Z84)</f>
        <v>16.600000000000001</v>
      </c>
      <c r="AF523" s="246" t="str">
        <f>IF('WetLitterbags placem_collection'!AA84="","",'WetLitterbags placem_collection'!AA84)</f>
        <v>O</v>
      </c>
      <c r="AG523" t="str">
        <f>IF('WetLitterbags placem_collection'!AC84="","",'WetLitterbags placem_collection'!AC84)</f>
        <v/>
      </c>
      <c r="AH523">
        <f>IFERROR(AVERAGE('Dry_Litterbag Placem_Collection'!O84,'Dry_Litterbag Placem_Collection'!R84),"")</f>
        <v>9.9499999999999993</v>
      </c>
      <c r="AI523" s="271">
        <f>IFERROR(AVERAGE('Dry_Litterbag Placem_Collection'!N84,'Dry_Litterbag Placem_Collection'!Q84),"")</f>
        <v>25.5</v>
      </c>
      <c r="AJ523" s="270">
        <f>INDEX(Coordinates!$B$2:$B$197,MATCH(G523,Coordinates!$J$2:$J$197,0))</f>
        <v>-3.2957230040000001</v>
      </c>
      <c r="AK523" s="270">
        <f>INDEX(Coordinates!$C$2:$C$197,MATCH(G523,Coordinates!$J$2:$J$197,0))</f>
        <v>34.852416990000002</v>
      </c>
      <c r="AL523" s="270" t="str">
        <f>IF(ISNUMBER(SEARCH("C", 'Dry_Litterbag Placem_Collection'!U84)),"YES","NO")</f>
        <v>NO</v>
      </c>
      <c r="AM523" s="270" t="str">
        <f>IF(ISNUMBER(SEARCH("H", 'Dry_Litterbag Placem_Collection'!U84)),"YES","NO")</f>
        <v>NO</v>
      </c>
      <c r="AN523" s="270" t="str">
        <f>IF(ISNUMBER(SEARCH("R", 'Dry_Litterbag Placem_Collection'!U84)),"YES","NO")</f>
        <v>NO</v>
      </c>
    </row>
    <row r="524" spans="1:40" ht="15" customHeight="1">
      <c r="A524" s="262" t="s">
        <v>2659</v>
      </c>
      <c r="B524" s="263">
        <f>'Dry_Litterbag Placem_Collection'!A85</f>
        <v>83</v>
      </c>
      <c r="C524" s="263" t="str">
        <f>'Dry_Litterbag Placem_Collection'!B85</f>
        <v>Maswa</v>
      </c>
      <c r="D524" s="263" t="s">
        <v>2659</v>
      </c>
      <c r="E524" s="263" t="s">
        <v>2661</v>
      </c>
      <c r="F524" s="263">
        <v>3</v>
      </c>
      <c r="G524" s="264" t="str">
        <f>'Dry_Litterbag Placem_Collection'!C85</f>
        <v>Dry_W3_T3</v>
      </c>
      <c r="H524" s="273" t="s">
        <v>3651</v>
      </c>
      <c r="I524" s="266" t="s">
        <v>1147</v>
      </c>
      <c r="J524" s="263" t="str">
        <f>IF(ISBLANK('Dry_Litterbag Placem_Collection'!L85),"","G"&amp;""&amp;'Dry_Litterbag Placem_Collection'!L85)</f>
        <v>G879</v>
      </c>
      <c r="K524" s="267">
        <f>IFERROR(INDEX('Green_rooibos initial weight'!$C$5:$C$1749,MATCH(J524, 'Green_rooibos initial weight'!$A$5:$A$1749,0)),"")</f>
        <v>2.09</v>
      </c>
      <c r="L524" s="267">
        <f>IFERROR(K524-(TBIcalc!$Q$9+TBIcalc!$Q$10),"")</f>
        <v>1.8401999999999998</v>
      </c>
      <c r="M524" s="391">
        <f>AVERAGE(Ashed_controlls!$K$2:$K$11)</f>
        <v>5.5147656768714146</v>
      </c>
      <c r="N524" s="267">
        <f t="shared" si="41"/>
        <v>1.7387172820142121</v>
      </c>
      <c r="O524" s="267">
        <f>IF(IFERROR(INDEX('Both teabags AfterDry'!$D$3:$D$900,MATCH(J524,'Both teabags AfterDry'!$A$3:$A$900,0)),"")="","",(IFERROR(INDEX('Both teabags AfterDry'!$D$3:$D$900,MATCH(J524,'Both teabags AfterDry'!$A$3:$A$900,0)),"")))</f>
        <v>1.8814</v>
      </c>
      <c r="P524" s="267">
        <f>IFERROR(IF(O524&gt;0,O524-(TBIcalc!$Q$9),""),"")</f>
        <v>1.7307999999999999</v>
      </c>
      <c r="Q524" s="278">
        <f>IFERROR(INDEX('Ashed teabags dry'!$K$2:$K$825,MATCH(J524,'Ashed teabags dry'!$A$2:$A$825,0)),"")</f>
        <v>6.0018903591673709</v>
      </c>
      <c r="R524" s="278">
        <f t="shared" si="42"/>
        <v>1.6269192816635309</v>
      </c>
      <c r="S524" s="268">
        <f>'Dry_Litterbag Placem_Collection'!E85</f>
        <v>42937</v>
      </c>
      <c r="T524" s="268">
        <f>IF('Dry_Litterbag Placem_Collection'!G85="","",'Dry_Litterbag Placem_Collection'!G85)</f>
        <v>43006</v>
      </c>
      <c r="U524" s="269">
        <f t="shared" si="40"/>
        <v>69</v>
      </c>
      <c r="V524" s="267">
        <f t="shared" si="43"/>
        <v>0.10939999999999994</v>
      </c>
      <c r="W524" s="267">
        <f t="shared" si="44"/>
        <v>0.1117980003506811</v>
      </c>
      <c r="X524" s="271">
        <f>IFERROR(INDEX(Rainfall_Dry!$O$2:$O$217,MATCH(B524, Rainfall_Dry!$A$2:$A$217,0)),"")</f>
        <v>12.563016860999999</v>
      </c>
      <c r="Y524" s="260">
        <v>38.691629007962128</v>
      </c>
      <c r="Z524" s="260">
        <v>26.81299763288143</v>
      </c>
      <c r="AA524" s="260">
        <v>34.495373359156439</v>
      </c>
      <c r="AB524" s="261" t="s">
        <v>2675</v>
      </c>
      <c r="AC524" s="260">
        <v>4.5483587974371602</v>
      </c>
      <c r="AD524">
        <f>IF('WetLitterbags placem_collection'!AB85="","",'WetLitterbags placem_collection'!AB85)</f>
        <v>6.4</v>
      </c>
      <c r="AE524">
        <f>IF('WetLitterbags placem_collection'!Z85="","",'WetLitterbags placem_collection'!Z85)</f>
        <v>42</v>
      </c>
      <c r="AF524" s="246" t="str">
        <f>IF('WetLitterbags placem_collection'!AA85="","",'WetLitterbags placem_collection'!AA85)</f>
        <v>M</v>
      </c>
      <c r="AG524">
        <f>IF('WetLitterbags placem_collection'!AC85="","",'WetLitterbags placem_collection'!AC85)</f>
        <v>1</v>
      </c>
      <c r="AH524">
        <f>IFERROR(AVERAGE('Dry_Litterbag Placem_Collection'!O85,'Dry_Litterbag Placem_Collection'!R85),"")</f>
        <v>10.050000000000001</v>
      </c>
      <c r="AI524" s="271">
        <f>IFERROR(AVERAGE('Dry_Litterbag Placem_Collection'!N85,'Dry_Litterbag Placem_Collection'!Q85),"")</f>
        <v>26.05</v>
      </c>
      <c r="AJ524" s="270">
        <f>INDEX(Coordinates!$B$2:$B$197,MATCH(G524,Coordinates!$J$2:$J$197,0))</f>
        <v>-3.2957430369999998</v>
      </c>
      <c r="AK524" s="270">
        <f>INDEX(Coordinates!$C$2:$C$197,MATCH(G524,Coordinates!$J$2:$J$197,0))</f>
        <v>34.852309030000001</v>
      </c>
      <c r="AL524" s="270" t="str">
        <f>IF(ISNUMBER(SEARCH("C", 'Dry_Litterbag Placem_Collection'!U85)),"YES","NO")</f>
        <v>NO</v>
      </c>
      <c r="AM524" s="270" t="str">
        <f>IF(ISNUMBER(SEARCH("H", 'Dry_Litterbag Placem_Collection'!U85)),"YES","NO")</f>
        <v>NO</v>
      </c>
      <c r="AN524" s="270" t="str">
        <f>IF(ISNUMBER(SEARCH("R", 'Dry_Litterbag Placem_Collection'!U85)),"YES","NO")</f>
        <v>NO</v>
      </c>
    </row>
    <row r="525" spans="1:40" ht="15" customHeight="1">
      <c r="A525" s="262" t="s">
        <v>2659</v>
      </c>
      <c r="B525" s="263">
        <f>'Dry_Litterbag Placem_Collection'!A86</f>
        <v>84</v>
      </c>
      <c r="C525" s="263" t="str">
        <f>'Dry_Litterbag Placem_Collection'!B86</f>
        <v>Maswa</v>
      </c>
      <c r="D525" s="263" t="s">
        <v>2659</v>
      </c>
      <c r="E525" s="263" t="s">
        <v>2661</v>
      </c>
      <c r="F525" s="263">
        <v>3</v>
      </c>
      <c r="G525" s="264" t="str">
        <f>'Dry_Litterbag Placem_Collection'!C86</f>
        <v>Dry_W3_T4</v>
      </c>
      <c r="H525" s="273" t="s">
        <v>3651</v>
      </c>
      <c r="I525" s="266" t="s">
        <v>1147</v>
      </c>
      <c r="J525" s="263" t="str">
        <f>IF(ISBLANK('Dry_Litterbag Placem_Collection'!L86),"","G"&amp;""&amp;'Dry_Litterbag Placem_Collection'!L86)</f>
        <v>G854</v>
      </c>
      <c r="K525" s="267">
        <f>IFERROR(INDEX('Green_rooibos initial weight'!$C$5:$C$1749,MATCH(J525, 'Green_rooibos initial weight'!$A$5:$A$1749,0)),"")</f>
        <v>1.998</v>
      </c>
      <c r="L525" s="267">
        <f>IFERROR(K525-(TBIcalc!$Q$9+TBIcalc!$Q$10),"")</f>
        <v>1.7482</v>
      </c>
      <c r="M525" s="391">
        <f>AVERAGE(Ashed_controlls!$K$2:$K$11)</f>
        <v>5.5147656768714146</v>
      </c>
      <c r="N525" s="267">
        <f t="shared" si="41"/>
        <v>1.6517908664369338</v>
      </c>
      <c r="O525" s="267">
        <f>IF(IFERROR(INDEX('Both teabags AfterDry'!$D$3:$D$900,MATCH(J525,'Both teabags AfterDry'!$A$3:$A$900,0)),"")="","",(IFERROR(INDEX('Both teabags AfterDry'!$D$3:$D$900,MATCH(J525,'Both teabags AfterDry'!$A$3:$A$900,0)),"")))</f>
        <v>1.8062</v>
      </c>
      <c r="P525" s="267">
        <f>IFERROR(IF(O525&gt;0,O525-(TBIcalc!$Q$9),""),"")</f>
        <v>1.6556</v>
      </c>
      <c r="Q525" s="278">
        <f>IFERROR(INDEX('Ashed teabags dry'!$K$2:$K$825,MATCH(J525,'Ashed teabags dry'!$A$2:$A$825,0)),"")</f>
        <v>6.7607003891055024</v>
      </c>
      <c r="R525" s="278">
        <f t="shared" si="42"/>
        <v>1.5436698443579693</v>
      </c>
      <c r="S525" s="268">
        <f>'Dry_Litterbag Placem_Collection'!E86</f>
        <v>42937</v>
      </c>
      <c r="T525" s="268">
        <f>IF('Dry_Litterbag Placem_Collection'!G86="","",'Dry_Litterbag Placem_Collection'!G86)</f>
        <v>43006</v>
      </c>
      <c r="U525" s="269">
        <f t="shared" si="40"/>
        <v>69</v>
      </c>
      <c r="V525" s="267">
        <f t="shared" si="43"/>
        <v>9.2600000000000016E-2</v>
      </c>
      <c r="W525" s="267">
        <f t="shared" si="44"/>
        <v>0.10812102207896457</v>
      </c>
      <c r="X525" s="271">
        <f>IFERROR(INDEX(Rainfall_Dry!$O$2:$O$217,MATCH(B525, Rainfall_Dry!$A$2:$A$217,0)),"")</f>
        <v>12.563016860999999</v>
      </c>
      <c r="Y525" s="260">
        <v>38.691629007962128</v>
      </c>
      <c r="Z525" s="260">
        <v>26.81299763288143</v>
      </c>
      <c r="AA525" s="260">
        <v>34.495373359156439</v>
      </c>
      <c r="AB525" s="261" t="s">
        <v>2675</v>
      </c>
      <c r="AC525" s="260">
        <v>5.5483587974371602</v>
      </c>
      <c r="AD525">
        <f>IF('WetLitterbags placem_collection'!AB86="","",'WetLitterbags placem_collection'!AB86)</f>
        <v>5.5</v>
      </c>
      <c r="AE525">
        <f>IF('WetLitterbags placem_collection'!Z86="","",'WetLitterbags placem_collection'!Z86)</f>
        <v>55.8</v>
      </c>
      <c r="AF525" s="246" t="str">
        <f>IF('WetLitterbags placem_collection'!AA86="","",'WetLitterbags placem_collection'!AA86)</f>
        <v>M</v>
      </c>
      <c r="AG525">
        <f>IF('WetLitterbags placem_collection'!AC86="","",'WetLitterbags placem_collection'!AC86)</f>
        <v>1</v>
      </c>
      <c r="AH525">
        <f>IFERROR(AVERAGE('Dry_Litterbag Placem_Collection'!O86,'Dry_Litterbag Placem_Collection'!R86),"")</f>
        <v>10.15</v>
      </c>
      <c r="AI525" s="271">
        <f>IFERROR(AVERAGE('Dry_Litterbag Placem_Collection'!N86,'Dry_Litterbag Placem_Collection'!Q86),"")</f>
        <v>26.549999999999997</v>
      </c>
      <c r="AJ525" s="270">
        <f>INDEX(Coordinates!$B$2:$B$197,MATCH(G525,Coordinates!$J$2:$J$197,0))</f>
        <v>-3.295795005</v>
      </c>
      <c r="AK525" s="270">
        <f>INDEX(Coordinates!$C$2:$C$197,MATCH(G525,Coordinates!$J$2:$J$197,0))</f>
        <v>34.85232001</v>
      </c>
      <c r="AL525" s="270" t="str">
        <f>IF(ISNUMBER(SEARCH("C", 'Dry_Litterbag Placem_Collection'!U86)),"YES","NO")</f>
        <v>NO</v>
      </c>
      <c r="AM525" s="270" t="str">
        <f>IF(ISNUMBER(SEARCH("H", 'Dry_Litterbag Placem_Collection'!U86)),"YES","NO")</f>
        <v>NO</v>
      </c>
      <c r="AN525" s="270" t="str">
        <f>IF(ISNUMBER(SEARCH("R", 'Dry_Litterbag Placem_Collection'!U86)),"YES","NO")</f>
        <v>NO</v>
      </c>
    </row>
    <row r="526" spans="1:40" ht="15" customHeight="1">
      <c r="A526" s="262" t="s">
        <v>2659</v>
      </c>
      <c r="B526" s="263">
        <f>'Dry_Litterbag Placem_Collection'!A87</f>
        <v>85</v>
      </c>
      <c r="C526" s="263" t="str">
        <f>'Dry_Litterbag Placem_Collection'!B87</f>
        <v>Maswa</v>
      </c>
      <c r="D526" s="263" t="s">
        <v>2659</v>
      </c>
      <c r="E526" s="263" t="s">
        <v>2661</v>
      </c>
      <c r="F526" s="263">
        <v>3</v>
      </c>
      <c r="G526" s="264" t="str">
        <f>'Dry_Litterbag Placem_Collection'!C87</f>
        <v>Dry_W3_T5</v>
      </c>
      <c r="H526" s="273" t="s">
        <v>3651</v>
      </c>
      <c r="I526" s="266" t="s">
        <v>1147</v>
      </c>
      <c r="J526" s="263" t="str">
        <f>IF(ISBLANK('Dry_Litterbag Placem_Collection'!L87),"","G"&amp;""&amp;'Dry_Litterbag Placem_Collection'!L87)</f>
        <v/>
      </c>
      <c r="K526" s="267" t="str">
        <f>IFERROR(INDEX('Green_rooibos initial weight'!$C$5:$C$1749,MATCH(J526, 'Green_rooibos initial weight'!$A$5:$A$1749,0)),"")</f>
        <v/>
      </c>
      <c r="L526" s="267" t="str">
        <f>IFERROR(K526-(TBIcalc!$Q$9+TBIcalc!$Q$10),"")</f>
        <v/>
      </c>
      <c r="M526" s="391">
        <f>AVERAGE(Ashed_controlls!$K$2:$K$11)</f>
        <v>5.5147656768714146</v>
      </c>
      <c r="N526" s="267" t="str">
        <f t="shared" si="41"/>
        <v/>
      </c>
      <c r="O526" s="267" t="str">
        <f>IF(IFERROR(INDEX('Both teabags AfterDry'!$D$3:$D$900,MATCH(J526,'Both teabags AfterDry'!$A$3:$A$900,0)),"")="","",(IFERROR(INDEX('Both teabags AfterDry'!$D$3:$D$900,MATCH(J526,'Both teabags AfterDry'!$A$3:$A$900,0)),"")))</f>
        <v/>
      </c>
      <c r="P526" s="267" t="str">
        <f>IFERROR(IF(O526&gt;0,O526-(TBIcalc!$Q$9),""),"")</f>
        <v/>
      </c>
      <c r="Q526" s="278" t="str">
        <f>IFERROR(INDEX('Ashed teabags dry'!$K$2:$K$825,MATCH(J526,'Ashed teabags dry'!$A$2:$A$825,0)),"")</f>
        <v/>
      </c>
      <c r="R526" s="278" t="str">
        <f t="shared" si="42"/>
        <v/>
      </c>
      <c r="S526" s="268">
        <f>'Dry_Litterbag Placem_Collection'!E87</f>
        <v>0</v>
      </c>
      <c r="T526" s="268" t="str">
        <f>IF('Dry_Litterbag Placem_Collection'!G87="","",'Dry_Litterbag Placem_Collection'!G87)</f>
        <v/>
      </c>
      <c r="U526" s="269" t="str">
        <f t="shared" si="40"/>
        <v/>
      </c>
      <c r="V526" s="267" t="str">
        <f t="shared" si="43"/>
        <v/>
      </c>
      <c r="W526" s="267" t="str">
        <f t="shared" si="44"/>
        <v/>
      </c>
      <c r="X526" s="271" t="str">
        <f>IFERROR(INDEX(Rainfall_Dry!$O$2:$O$217,MATCH(B526, Rainfall_Dry!$A$2:$A$217,0)),"")</f>
        <v/>
      </c>
      <c r="Y526" s="260">
        <v>38.691629007962128</v>
      </c>
      <c r="Z526" s="260">
        <v>26.81299763288143</v>
      </c>
      <c r="AA526" s="260">
        <v>34.495373359156439</v>
      </c>
      <c r="AB526" s="261" t="s">
        <v>2675</v>
      </c>
      <c r="AC526" s="260">
        <v>6.5483587974371602</v>
      </c>
      <c r="AD526">
        <f>IF('WetLitterbags placem_collection'!AB87="","",'WetLitterbags placem_collection'!AB87)</f>
        <v>8.6</v>
      </c>
      <c r="AE526">
        <f>IF('WetLitterbags placem_collection'!Z87="","",'WetLitterbags placem_collection'!Z87)</f>
        <v>3.8</v>
      </c>
      <c r="AF526" s="246" t="str">
        <f>IF('WetLitterbags placem_collection'!AA87="","",'WetLitterbags placem_collection'!AA87)</f>
        <v>O</v>
      </c>
      <c r="AG526">
        <f>IF('WetLitterbags placem_collection'!AC87="","",'WetLitterbags placem_collection'!AC87)</f>
        <v>0</v>
      </c>
      <c r="AH526" t="str">
        <f>IFERROR(AVERAGE('Dry_Litterbag Placem_Collection'!O87,'Dry_Litterbag Placem_Collection'!R87),"")</f>
        <v/>
      </c>
      <c r="AI526" s="271" t="str">
        <f>IFERROR(AVERAGE('Dry_Litterbag Placem_Collection'!N87,'Dry_Litterbag Placem_Collection'!Q87),"")</f>
        <v/>
      </c>
      <c r="AJ526" s="270">
        <f>INDEX(Coordinates!$B$2:$B$197,MATCH(G526,Coordinates!$J$2:$J$197,0))</f>
        <v>-3.2957100119999998</v>
      </c>
      <c r="AK526" s="270">
        <f>INDEX(Coordinates!$C$2:$C$197,MATCH(G526,Coordinates!$J$2:$J$197,0))</f>
        <v>34.852283970000002</v>
      </c>
      <c r="AL526" s="270" t="str">
        <f>IF(ISNUMBER(SEARCH("C", 'Dry_Litterbag Placem_Collection'!U87)),"YES","NO")</f>
        <v>NO</v>
      </c>
      <c r="AM526" s="270" t="str">
        <f>IF(ISNUMBER(SEARCH("H", 'Dry_Litterbag Placem_Collection'!U87)),"YES","NO")</f>
        <v>NO</v>
      </c>
      <c r="AN526" s="270" t="str">
        <f>IF(ISNUMBER(SEARCH("R", 'Dry_Litterbag Placem_Collection'!U87)),"YES","NO")</f>
        <v>NO</v>
      </c>
    </row>
    <row r="527" spans="1:40" ht="15" customHeight="1">
      <c r="A527" s="262" t="s">
        <v>2659</v>
      </c>
      <c r="B527" s="263">
        <f>'Dry_Litterbag Placem_Collection'!A88</f>
        <v>86</v>
      </c>
      <c r="C527" s="263" t="str">
        <f>'Dry_Litterbag Placem_Collection'!B88</f>
        <v>Maswa</v>
      </c>
      <c r="D527" s="263" t="s">
        <v>2659</v>
      </c>
      <c r="E527" s="263" t="s">
        <v>2661</v>
      </c>
      <c r="F527" s="263">
        <v>3</v>
      </c>
      <c r="G527" s="264" t="str">
        <f>'Dry_Litterbag Placem_Collection'!C88</f>
        <v>Dry_W3_T6</v>
      </c>
      <c r="H527" s="273" t="s">
        <v>3651</v>
      </c>
      <c r="I527" s="266" t="s">
        <v>1147</v>
      </c>
      <c r="J527" s="263" t="str">
        <f>IF(ISBLANK('Dry_Litterbag Placem_Collection'!L88),"","G"&amp;""&amp;'Dry_Litterbag Placem_Collection'!L88)</f>
        <v>G788</v>
      </c>
      <c r="K527" s="267">
        <f>IFERROR(INDEX('Green_rooibos initial weight'!$C$5:$C$1749,MATCH(J527, 'Green_rooibos initial weight'!$A$5:$A$1749,0)),"")</f>
        <v>2.0699999999999998</v>
      </c>
      <c r="L527" s="267">
        <f>IFERROR(K527-(TBIcalc!$Q$9+TBIcalc!$Q$10),"")</f>
        <v>1.8201999999999998</v>
      </c>
      <c r="M527" s="391">
        <f>AVERAGE(Ashed_controlls!$K$2:$K$11)</f>
        <v>5.5147656768714146</v>
      </c>
      <c r="N527" s="267">
        <f t="shared" si="41"/>
        <v>1.7198202351495864</v>
      </c>
      <c r="O527" s="267" t="str">
        <f>IF(IFERROR(INDEX('Both teabags AfterDry'!$D$3:$D$900,MATCH(J527,'Both teabags AfterDry'!$A$3:$A$900,0)),"")="","",(IFERROR(INDEX('Both teabags AfterDry'!$D$3:$D$900,MATCH(J527,'Both teabags AfterDry'!$A$3:$A$900,0)),"")))</f>
        <v/>
      </c>
      <c r="P527" s="267" t="str">
        <f>IFERROR(IF(O527&gt;0,O527-(TBIcalc!$Q$9),""),"")</f>
        <v/>
      </c>
      <c r="Q527" s="278" t="str">
        <f>IFERROR(INDEX('Ashed teabags dry'!$K$2:$K$825,MATCH(J527,'Ashed teabags dry'!$A$2:$A$825,0)),"")</f>
        <v/>
      </c>
      <c r="R527" s="278" t="str">
        <f t="shared" si="42"/>
        <v/>
      </c>
      <c r="S527" s="268">
        <f>'Dry_Litterbag Placem_Collection'!E88</f>
        <v>42937</v>
      </c>
      <c r="T527" s="268">
        <f>IF('Dry_Litterbag Placem_Collection'!G88="","",'Dry_Litterbag Placem_Collection'!G88)</f>
        <v>43006</v>
      </c>
      <c r="U527" s="269">
        <f t="shared" si="40"/>
        <v>69</v>
      </c>
      <c r="V527" s="267" t="str">
        <f t="shared" si="43"/>
        <v/>
      </c>
      <c r="W527" s="267" t="str">
        <f t="shared" si="44"/>
        <v/>
      </c>
      <c r="X527" s="271">
        <f>IFERROR(INDEX(Rainfall_Dry!$O$2:$O$217,MATCH(B527, Rainfall_Dry!$A$2:$A$217,0)),"")</f>
        <v>12.563016860999999</v>
      </c>
      <c r="Y527" s="260">
        <v>38.691629007962128</v>
      </c>
      <c r="Z527" s="260">
        <v>26.81299763288143</v>
      </c>
      <c r="AA527" s="260">
        <v>34.495373359156439</v>
      </c>
      <c r="AB527" s="261" t="s">
        <v>2675</v>
      </c>
      <c r="AC527" s="260">
        <v>7.5483587974371602</v>
      </c>
      <c r="AD527">
        <f>IF('WetLitterbags placem_collection'!AB88="","",'WetLitterbags placem_collection'!AB88)</f>
        <v>3.7</v>
      </c>
      <c r="AE527">
        <f>IF('WetLitterbags placem_collection'!Z88="","",'WetLitterbags placem_collection'!Z88)</f>
        <v>7.5</v>
      </c>
      <c r="AF527" s="246" t="str">
        <f>IF('WetLitterbags placem_collection'!AA88="","",'WetLitterbags placem_collection'!AA88)</f>
        <v>O</v>
      </c>
      <c r="AG527">
        <f>IF('WetLitterbags placem_collection'!AC88="","",'WetLitterbags placem_collection'!AC88)</f>
        <v>0</v>
      </c>
      <c r="AH527">
        <f>IFERROR(AVERAGE('Dry_Litterbag Placem_Collection'!O88,'Dry_Litterbag Placem_Collection'!R88),"")</f>
        <v>11.75</v>
      </c>
      <c r="AI527" s="271">
        <f>IFERROR(AVERAGE('Dry_Litterbag Placem_Collection'!N88,'Dry_Litterbag Placem_Collection'!Q88),"")</f>
        <v>26.9</v>
      </c>
      <c r="AJ527" s="270">
        <f>INDEX(Coordinates!$B$2:$B$197,MATCH(G527,Coordinates!$J$2:$J$197,0))</f>
        <v>-3.2956140399999998</v>
      </c>
      <c r="AK527" s="270">
        <f>INDEX(Coordinates!$C$2:$C$197,MATCH(G527,Coordinates!$J$2:$J$197,0))</f>
        <v>34.852137030000002</v>
      </c>
      <c r="AL527" s="270" t="str">
        <f>IF(ISNUMBER(SEARCH("C", 'Dry_Litterbag Placem_Collection'!U88)),"YES","NO")</f>
        <v>NO</v>
      </c>
      <c r="AM527" s="270" t="str">
        <f>IF(ISNUMBER(SEARCH("H", 'Dry_Litterbag Placem_Collection'!U88)),"YES","NO")</f>
        <v>NO</v>
      </c>
      <c r="AN527" s="270" t="str">
        <f>IF(ISNUMBER(SEARCH("R", 'Dry_Litterbag Placem_Collection'!U88)),"YES","NO")</f>
        <v>NO</v>
      </c>
    </row>
    <row r="528" spans="1:40" ht="15" customHeight="1">
      <c r="A528" s="262" t="s">
        <v>2659</v>
      </c>
      <c r="B528" s="263">
        <f>'Dry_Litterbag Placem_Collection'!A89</f>
        <v>87</v>
      </c>
      <c r="C528" s="263" t="str">
        <f>'Dry_Litterbag Placem_Collection'!B89</f>
        <v>Maswa</v>
      </c>
      <c r="D528" s="263" t="s">
        <v>2659</v>
      </c>
      <c r="E528" s="263" t="s">
        <v>2661</v>
      </c>
      <c r="F528" s="263">
        <v>3</v>
      </c>
      <c r="G528" s="264" t="str">
        <f>'Dry_Litterbag Placem_Collection'!C89</f>
        <v>Dry_W3_T7</v>
      </c>
      <c r="H528" s="273" t="s">
        <v>3651</v>
      </c>
      <c r="I528" s="266" t="s">
        <v>1147</v>
      </c>
      <c r="J528" s="263" t="str">
        <f>IF(ISBLANK('Dry_Litterbag Placem_Collection'!L89),"","G"&amp;""&amp;'Dry_Litterbag Placem_Collection'!L89)</f>
        <v>G91</v>
      </c>
      <c r="K528" s="267">
        <f>IFERROR(INDEX('Green_rooibos initial weight'!$C$5:$C$1749,MATCH(J528, 'Green_rooibos initial weight'!$A$5:$A$1749,0)),"")</f>
        <v>2.044</v>
      </c>
      <c r="L528" s="267">
        <f>IFERROR(K528-(TBIcalc!$Q$9+TBIcalc!$Q$10),"")</f>
        <v>1.7942</v>
      </c>
      <c r="M528" s="391">
        <f>AVERAGE(Ashed_controlls!$K$2:$K$11)</f>
        <v>5.5147656768714146</v>
      </c>
      <c r="N528" s="267">
        <f t="shared" si="41"/>
        <v>1.6952540742255731</v>
      </c>
      <c r="O528" s="267">
        <f>IF(IFERROR(INDEX('Both teabags AfterDry'!$D$3:$D$900,MATCH(J528,'Both teabags AfterDry'!$A$3:$A$900,0)),"")="","",(IFERROR(INDEX('Both teabags AfterDry'!$D$3:$D$900,MATCH(J528,'Both teabags AfterDry'!$A$3:$A$900,0)),"")))</f>
        <v>1.8609</v>
      </c>
      <c r="P528" s="267">
        <f>IFERROR(IF(O528&gt;0,O528-(TBIcalc!$Q$9),""),"")</f>
        <v>1.7102999999999999</v>
      </c>
      <c r="Q528" s="278">
        <f>IFERROR(INDEX('Ashed teabags dry'!$K$2:$K$825,MATCH(J528,'Ashed teabags dry'!$A$2:$A$825,0)),"")</f>
        <v>5.6727613689638741</v>
      </c>
      <c r="R528" s="278">
        <f t="shared" si="42"/>
        <v>1.6132787623066107</v>
      </c>
      <c r="S528" s="268">
        <f>'Dry_Litterbag Placem_Collection'!E89</f>
        <v>42937</v>
      </c>
      <c r="T528" s="268">
        <f>IF('Dry_Litterbag Placem_Collection'!G89="","",'Dry_Litterbag Placem_Collection'!G89)</f>
        <v>43006</v>
      </c>
      <c r="U528" s="269">
        <f t="shared" si="40"/>
        <v>69</v>
      </c>
      <c r="V528" s="267">
        <f t="shared" si="43"/>
        <v>8.3900000000000086E-2</v>
      </c>
      <c r="W528" s="267">
        <f t="shared" si="44"/>
        <v>8.1975311918962346E-2</v>
      </c>
      <c r="X528" s="271">
        <f>IFERROR(INDEX(Rainfall_Dry!$O$2:$O$217,MATCH(B528, Rainfall_Dry!$A$2:$A$217,0)),"")</f>
        <v>12.563016860999999</v>
      </c>
      <c r="Y528" s="260">
        <v>38.691629007962128</v>
      </c>
      <c r="Z528" s="260">
        <v>26.81299763288143</v>
      </c>
      <c r="AA528" s="260">
        <v>34.495373359156439</v>
      </c>
      <c r="AB528" s="261" t="s">
        <v>2675</v>
      </c>
      <c r="AC528" s="260">
        <v>8.5483587974371602</v>
      </c>
      <c r="AD528">
        <f>IF('WetLitterbags placem_collection'!AB89="","",'WetLitterbags placem_collection'!AB89)</f>
        <v>7.5</v>
      </c>
      <c r="AE528">
        <f>IF('WetLitterbags placem_collection'!Z89="","",'WetLitterbags placem_collection'!Z89)</f>
        <v>12.6</v>
      </c>
      <c r="AF528" s="246" t="str">
        <f>IF('WetLitterbags placem_collection'!AA89="","",'WetLitterbags placem_collection'!AA89)</f>
        <v>O</v>
      </c>
      <c r="AG528">
        <f>IF('WetLitterbags placem_collection'!AC89="","",'WetLitterbags placem_collection'!AC89)</f>
        <v>1</v>
      </c>
      <c r="AH528">
        <f>IFERROR(AVERAGE('Dry_Litterbag Placem_Collection'!O89,'Dry_Litterbag Placem_Collection'!R89),"")</f>
        <v>10.65</v>
      </c>
      <c r="AI528" s="271">
        <f>IFERROR(AVERAGE('Dry_Litterbag Placem_Collection'!N89,'Dry_Litterbag Placem_Collection'!Q89),"")</f>
        <v>24.3</v>
      </c>
      <c r="AJ528" s="270">
        <f>INDEX(Coordinates!$B$2:$B$197,MATCH(G528,Coordinates!$J$2:$J$197,0))</f>
        <v>-3.295904975</v>
      </c>
      <c r="AK528" s="270">
        <f>INDEX(Coordinates!$C$2:$C$197,MATCH(G528,Coordinates!$J$2:$J$197,0))</f>
        <v>34.852136029999997</v>
      </c>
      <c r="AL528" s="270" t="str">
        <f>IF(ISNUMBER(SEARCH("C", 'Dry_Litterbag Placem_Collection'!U89)),"YES","NO")</f>
        <v>NO</v>
      </c>
      <c r="AM528" s="270" t="str">
        <f>IF(ISNUMBER(SEARCH("H", 'Dry_Litterbag Placem_Collection'!U89)),"YES","NO")</f>
        <v>NO</v>
      </c>
      <c r="AN528" s="270" t="str">
        <f>IF(ISNUMBER(SEARCH("R", 'Dry_Litterbag Placem_Collection'!U89)),"YES","NO")</f>
        <v>NO</v>
      </c>
    </row>
    <row r="529" spans="1:40" ht="15" customHeight="1">
      <c r="A529" s="262" t="s">
        <v>2659</v>
      </c>
      <c r="B529" s="263">
        <f>'Dry_Litterbag Placem_Collection'!A90</f>
        <v>88</v>
      </c>
      <c r="C529" s="263" t="str">
        <f>'Dry_Litterbag Placem_Collection'!B90</f>
        <v>Maswa</v>
      </c>
      <c r="D529" s="263" t="s">
        <v>2659</v>
      </c>
      <c r="E529" s="263" t="s">
        <v>2661</v>
      </c>
      <c r="F529" s="263">
        <v>3</v>
      </c>
      <c r="G529" s="264" t="str">
        <f>'Dry_Litterbag Placem_Collection'!C90</f>
        <v>Dry_W3_T8</v>
      </c>
      <c r="H529" s="273" t="s">
        <v>3651</v>
      </c>
      <c r="I529" s="266" t="s">
        <v>1147</v>
      </c>
      <c r="J529" s="263" t="str">
        <f>IF(ISBLANK('Dry_Litterbag Placem_Collection'!L90),"","G"&amp;""&amp;'Dry_Litterbag Placem_Collection'!L90)</f>
        <v>G364</v>
      </c>
      <c r="K529" s="267">
        <f>IFERROR(INDEX('Green_rooibos initial weight'!$C$5:$C$1749,MATCH(J529, 'Green_rooibos initial weight'!$A$5:$A$1749,0)),"")</f>
        <v>2.0569999999999999</v>
      </c>
      <c r="L529" s="267">
        <f>IFERROR(K529-(TBIcalc!$Q$9+TBIcalc!$Q$10),"")</f>
        <v>1.8071999999999999</v>
      </c>
      <c r="M529" s="391">
        <f>AVERAGE(Ashed_controlls!$K$2:$K$11)</f>
        <v>5.5147656768714146</v>
      </c>
      <c r="N529" s="267">
        <f t="shared" si="41"/>
        <v>1.7075371546875797</v>
      </c>
      <c r="O529" s="267">
        <f>IF(IFERROR(INDEX('Both teabags AfterDry'!$D$3:$D$900,MATCH(J529,'Both teabags AfterDry'!$A$3:$A$900,0)),"")="","",(IFERROR(INDEX('Both teabags AfterDry'!$D$3:$D$900,MATCH(J529,'Both teabags AfterDry'!$A$3:$A$900,0)),"")))</f>
        <v>1.8589</v>
      </c>
      <c r="P529" s="267">
        <f>IFERROR(IF(O529&gt;0,O529-(TBIcalc!$Q$9),""),"")</f>
        <v>1.7082999999999999</v>
      </c>
      <c r="Q529" s="278">
        <f>IFERROR(INDEX('Ashed teabags dry'!$K$2:$K$825,MATCH(J529,'Ashed teabags dry'!$A$2:$A$825,0)),"")</f>
        <v>6.3441350981288833</v>
      </c>
      <c r="R529" s="278">
        <f t="shared" si="42"/>
        <v>1.5999231401186642</v>
      </c>
      <c r="S529" s="268">
        <f>'Dry_Litterbag Placem_Collection'!E90</f>
        <v>42937</v>
      </c>
      <c r="T529" s="268">
        <f>IF('Dry_Litterbag Placem_Collection'!G90="","",'Dry_Litterbag Placem_Collection'!G90)</f>
        <v>43006</v>
      </c>
      <c r="U529" s="269">
        <f t="shared" si="40"/>
        <v>69</v>
      </c>
      <c r="V529" s="267">
        <f t="shared" si="43"/>
        <v>9.8899999999999988E-2</v>
      </c>
      <c r="W529" s="267">
        <f t="shared" si="44"/>
        <v>0.10761401456891551</v>
      </c>
      <c r="X529" s="271">
        <f>IFERROR(INDEX(Rainfall_Dry!$O$2:$O$217,MATCH(B529, Rainfall_Dry!$A$2:$A$217,0)),"")</f>
        <v>12.563016860999999</v>
      </c>
      <c r="Y529" s="260">
        <v>38.691629007962128</v>
      </c>
      <c r="Z529" s="260">
        <v>26.81299763288143</v>
      </c>
      <c r="AA529" s="260">
        <v>34.495373359156439</v>
      </c>
      <c r="AB529" s="261" t="s">
        <v>2675</v>
      </c>
      <c r="AC529" s="260">
        <v>9.5483587974371602</v>
      </c>
      <c r="AD529" t="str">
        <f>IF('WetLitterbags placem_collection'!AB90="","",'WetLitterbags placem_collection'!AB90)</f>
        <v/>
      </c>
      <c r="AE529" t="str">
        <f>IF('WetLitterbags placem_collection'!Z90="","",'WetLitterbags placem_collection'!Z90)</f>
        <v/>
      </c>
      <c r="AF529" s="246" t="str">
        <f>IF('WetLitterbags placem_collection'!AA90="","",'WetLitterbags placem_collection'!AA90)</f>
        <v/>
      </c>
      <c r="AG529" t="str">
        <f>IF('WetLitterbags placem_collection'!AC90="","",'WetLitterbags placem_collection'!AC90)</f>
        <v/>
      </c>
      <c r="AH529">
        <f>IFERROR(AVERAGE('Dry_Litterbag Placem_Collection'!O90,'Dry_Litterbag Placem_Collection'!R90),"")</f>
        <v>11.7</v>
      </c>
      <c r="AI529" s="271">
        <f>IFERROR(AVERAGE('Dry_Litterbag Placem_Collection'!N90,'Dry_Litterbag Placem_Collection'!Q90),"")</f>
        <v>26.049999999999997</v>
      </c>
      <c r="AJ529" s="270">
        <f>INDEX(Coordinates!$B$2:$B$197,MATCH(G529,Coordinates!$J$2:$J$197,0))</f>
        <v>-3.2959530039999998</v>
      </c>
      <c r="AK529" s="270">
        <f>INDEX(Coordinates!$C$2:$C$197,MATCH(G529,Coordinates!$J$2:$J$197,0))</f>
        <v>34.85242504</v>
      </c>
      <c r="AL529" s="270" t="str">
        <f>IF(ISNUMBER(SEARCH("C", 'Dry_Litterbag Placem_Collection'!U90)),"YES","NO")</f>
        <v>NO</v>
      </c>
      <c r="AM529" s="270" t="str">
        <f>IF(ISNUMBER(SEARCH("H", 'Dry_Litterbag Placem_Collection'!U90)),"YES","NO")</f>
        <v>NO</v>
      </c>
      <c r="AN529" s="270" t="str">
        <f>IF(ISNUMBER(SEARCH("R", 'Dry_Litterbag Placem_Collection'!U90)),"YES","NO")</f>
        <v>NO</v>
      </c>
    </row>
    <row r="530" spans="1:40" ht="15" customHeight="1">
      <c r="A530" s="262" t="s">
        <v>2659</v>
      </c>
      <c r="B530" s="263">
        <f>'Dry_Litterbag Placem_Collection'!A91</f>
        <v>89</v>
      </c>
      <c r="C530" s="263" t="str">
        <f>'Dry_Litterbag Placem_Collection'!B91</f>
        <v>Maswa</v>
      </c>
      <c r="D530" s="263" t="s">
        <v>2659</v>
      </c>
      <c r="E530" s="263" t="s">
        <v>2661</v>
      </c>
      <c r="F530" s="263">
        <v>4</v>
      </c>
      <c r="G530" s="264" t="str">
        <f>'Dry_Litterbag Placem_Collection'!C91</f>
        <v>Dry_W4_T1</v>
      </c>
      <c r="H530" s="273" t="s">
        <v>3651</v>
      </c>
      <c r="I530" s="266" t="s">
        <v>1147</v>
      </c>
      <c r="J530" s="263" t="str">
        <f>IF(ISBLANK('Dry_Litterbag Placem_Collection'!L91),"","G"&amp;""&amp;'Dry_Litterbag Placem_Collection'!L91)</f>
        <v>G862</v>
      </c>
      <c r="K530" s="267">
        <f>IFERROR(INDEX('Green_rooibos initial weight'!$C$5:$C$1749,MATCH(J530, 'Green_rooibos initial weight'!$A$5:$A$1749,0)),"")</f>
        <v>1.996</v>
      </c>
      <c r="L530" s="267">
        <f>IFERROR(K530-(TBIcalc!$Q$9+TBIcalc!$Q$10),"")</f>
        <v>1.7462</v>
      </c>
      <c r="M530" s="391">
        <f>AVERAGE(Ashed_controlls!$K$2:$K$11)</f>
        <v>5.5147656768714146</v>
      </c>
      <c r="N530" s="267">
        <f t="shared" si="41"/>
        <v>1.6499011617504713</v>
      </c>
      <c r="O530" s="267">
        <f>IF(IFERROR(INDEX('Both teabags AfterDry'!$D$3:$D$900,MATCH(J530,'Both teabags AfterDry'!$A$3:$A$900,0)),"")="","",(IFERROR(INDEX('Both teabags AfterDry'!$D$3:$D$900,MATCH(J530,'Both teabags AfterDry'!$A$3:$A$900,0)),"")))</f>
        <v>1.8160000000000001</v>
      </c>
      <c r="P530" s="267">
        <f>IFERROR(IF(O530&gt;0,O530-(TBIcalc!$Q$9),""),"")</f>
        <v>1.6654</v>
      </c>
      <c r="Q530" s="278">
        <f>IFERROR(INDEX('Ashed teabags dry'!$K$2:$K$825,MATCH(J530,'Ashed teabags dry'!$A$2:$A$825,0)),"")</f>
        <v>6.0205580029367782</v>
      </c>
      <c r="R530" s="278">
        <f t="shared" si="42"/>
        <v>1.565133627019091</v>
      </c>
      <c r="S530" s="268">
        <f>'Dry_Litterbag Placem_Collection'!E91</f>
        <v>42937</v>
      </c>
      <c r="T530" s="268">
        <f>IF('Dry_Litterbag Placem_Collection'!G91="","",'Dry_Litterbag Placem_Collection'!G91)</f>
        <v>43006</v>
      </c>
      <c r="U530" s="269">
        <f t="shared" si="40"/>
        <v>69</v>
      </c>
      <c r="V530" s="267">
        <f t="shared" si="43"/>
        <v>8.0799999999999983E-2</v>
      </c>
      <c r="W530" s="267">
        <f t="shared" si="44"/>
        <v>8.4767534731380323E-2</v>
      </c>
      <c r="X530" s="271">
        <f>IFERROR(INDEX(Rainfall_Dry!$O$2:$O$217,MATCH(B530, Rainfall_Dry!$A$2:$A$217,0)),"")</f>
        <v>12.563016860999999</v>
      </c>
      <c r="Y530" s="260">
        <v>28.145762029394</v>
      </c>
      <c r="Z530" s="260">
        <v>25.085564727199518</v>
      </c>
      <c r="AA530" s="260">
        <v>46.768673243406489</v>
      </c>
      <c r="AB530" s="261" t="s">
        <v>2670</v>
      </c>
      <c r="AC530" s="260">
        <v>2.1716214884179394</v>
      </c>
      <c r="AD530">
        <f>IF('WetLitterbags placem_collection'!AB91="","",'WetLitterbags placem_collection'!AB91)</f>
        <v>7.3</v>
      </c>
      <c r="AE530">
        <f>IF('WetLitterbags placem_collection'!Z91="","",'WetLitterbags placem_collection'!Z91)</f>
        <v>35.799999999999997</v>
      </c>
      <c r="AF530" s="246" t="str">
        <f>IF('WetLitterbags placem_collection'!AA91="","",'WetLitterbags placem_collection'!AA91)</f>
        <v>O</v>
      </c>
      <c r="AG530">
        <f>IF('WetLitterbags placem_collection'!AC91="","",'WetLitterbags placem_collection'!AC91)</f>
        <v>0</v>
      </c>
      <c r="AH530">
        <f>IFERROR(AVERAGE('Dry_Litterbag Placem_Collection'!O91,'Dry_Litterbag Placem_Collection'!R91),"")</f>
        <v>10.5</v>
      </c>
      <c r="AI530" s="271">
        <f>IFERROR(AVERAGE('Dry_Litterbag Placem_Collection'!N91,'Dry_Litterbag Placem_Collection'!Q91),"")</f>
        <v>26.6</v>
      </c>
      <c r="AJ530" s="270">
        <f>INDEX(Coordinates!$B$2:$B$197,MATCH(G530,Coordinates!$J$2:$J$197,0))</f>
        <v>-3.2966709980000002</v>
      </c>
      <c r="AK530" s="270">
        <f>INDEX(Coordinates!$C$2:$C$197,MATCH(G530,Coordinates!$J$2:$J$197,0))</f>
        <v>34.854407019999996</v>
      </c>
      <c r="AL530" s="270" t="str">
        <f>IF(ISNUMBER(SEARCH("C", 'Dry_Litterbag Placem_Collection'!U91)),"YES","NO")</f>
        <v>NO</v>
      </c>
      <c r="AM530" s="270" t="str">
        <f>IF(ISNUMBER(SEARCH("H", 'Dry_Litterbag Placem_Collection'!U91)),"YES","NO")</f>
        <v>NO</v>
      </c>
      <c r="AN530" s="270" t="str">
        <f>IF(ISNUMBER(SEARCH("R", 'Dry_Litterbag Placem_Collection'!U91)),"YES","NO")</f>
        <v>NO</v>
      </c>
    </row>
    <row r="531" spans="1:40" ht="15" customHeight="1">
      <c r="A531" s="262" t="s">
        <v>2659</v>
      </c>
      <c r="B531" s="263">
        <f>'Dry_Litterbag Placem_Collection'!A92</f>
        <v>90</v>
      </c>
      <c r="C531" s="263" t="str">
        <f>'Dry_Litterbag Placem_Collection'!B92</f>
        <v>Maswa</v>
      </c>
      <c r="D531" s="263" t="s">
        <v>2659</v>
      </c>
      <c r="E531" s="263" t="s">
        <v>2661</v>
      </c>
      <c r="F531" s="263">
        <v>4</v>
      </c>
      <c r="G531" s="264" t="str">
        <f>'Dry_Litterbag Placem_Collection'!C92</f>
        <v>Dry_W4_T2</v>
      </c>
      <c r="H531" s="273" t="s">
        <v>3651</v>
      </c>
      <c r="I531" s="266" t="s">
        <v>1147</v>
      </c>
      <c r="J531" s="263" t="str">
        <f>IF(ISBLANK('Dry_Litterbag Placem_Collection'!L92),"","G"&amp;""&amp;'Dry_Litterbag Placem_Collection'!L92)</f>
        <v>G330</v>
      </c>
      <c r="K531" s="267">
        <f>IFERROR(INDEX('Green_rooibos initial weight'!$C$5:$C$1749,MATCH(J531, 'Green_rooibos initial weight'!$A$5:$A$1749,0)),"")</f>
        <v>2.1379999999999999</v>
      </c>
      <c r="L531" s="267">
        <f>IFERROR(K531-(TBIcalc!$Q$9+TBIcalc!$Q$10),"")</f>
        <v>1.8881999999999999</v>
      </c>
      <c r="M531" s="391">
        <f>AVERAGE(Ashed_controlls!$K$2:$K$11)</f>
        <v>5.5147656768714146</v>
      </c>
      <c r="N531" s="267">
        <f t="shared" si="41"/>
        <v>1.7840701944893138</v>
      </c>
      <c r="O531" s="267" t="str">
        <f>IF(IFERROR(INDEX('Both teabags AfterDry'!$D$3:$D$900,MATCH(J531,'Both teabags AfterDry'!$A$3:$A$900,0)),"")="","",(IFERROR(INDEX('Both teabags AfterDry'!$D$3:$D$900,MATCH(J531,'Both teabags AfterDry'!$A$3:$A$900,0)),"")))</f>
        <v/>
      </c>
      <c r="P531" s="267" t="str">
        <f>IFERROR(IF(O531&gt;0,O531-(TBIcalc!$Q$9),""),"")</f>
        <v/>
      </c>
      <c r="Q531" s="278" t="str">
        <f>IFERROR(INDEX('Ashed teabags dry'!$K$2:$K$825,MATCH(J531,'Ashed teabags dry'!$A$2:$A$825,0)),"")</f>
        <v/>
      </c>
      <c r="R531" s="278" t="str">
        <f t="shared" si="42"/>
        <v/>
      </c>
      <c r="S531" s="268">
        <f>'Dry_Litterbag Placem_Collection'!E92</f>
        <v>42937</v>
      </c>
      <c r="T531" s="268">
        <f>IF('Dry_Litterbag Placem_Collection'!G92="","",'Dry_Litterbag Placem_Collection'!G92)</f>
        <v>43006</v>
      </c>
      <c r="U531" s="269">
        <f t="shared" si="40"/>
        <v>69</v>
      </c>
      <c r="V531" s="267" t="str">
        <f t="shared" si="43"/>
        <v/>
      </c>
      <c r="W531" s="267" t="str">
        <f t="shared" si="44"/>
        <v/>
      </c>
      <c r="X531" s="271">
        <f>IFERROR(INDEX(Rainfall_Dry!$O$2:$O$217,MATCH(B531, Rainfall_Dry!$A$2:$A$217,0)),"")</f>
        <v>12.563016860999999</v>
      </c>
      <c r="Y531" s="260">
        <v>28.145762029394</v>
      </c>
      <c r="Z531" s="260">
        <v>25.085564727199518</v>
      </c>
      <c r="AA531" s="260">
        <v>46.768673243406489</v>
      </c>
      <c r="AB531" s="261" t="s">
        <v>2670</v>
      </c>
      <c r="AC531" s="260">
        <v>3.1716214884179399</v>
      </c>
      <c r="AD531">
        <f>IF('WetLitterbags placem_collection'!AB92="","",'WetLitterbags placem_collection'!AB92)</f>
        <v>7.7</v>
      </c>
      <c r="AE531">
        <f>IF('WetLitterbags placem_collection'!Z92="","",'WetLitterbags placem_collection'!Z92)</f>
        <v>30.4</v>
      </c>
      <c r="AF531" s="246" t="str">
        <f>IF('WetLitterbags placem_collection'!AA92="","",'WetLitterbags placem_collection'!AA92)</f>
        <v>O</v>
      </c>
      <c r="AG531">
        <f>IF('WetLitterbags placem_collection'!AC92="","",'WetLitterbags placem_collection'!AC92)</f>
        <v>0</v>
      </c>
      <c r="AH531">
        <f>IFERROR(AVERAGE('Dry_Litterbag Placem_Collection'!O92,'Dry_Litterbag Placem_Collection'!R92),"")</f>
        <v>9.85</v>
      </c>
      <c r="AI531" s="271">
        <f>IFERROR(AVERAGE('Dry_Litterbag Placem_Collection'!N92,'Dry_Litterbag Placem_Collection'!Q92),"")</f>
        <v>26.45</v>
      </c>
      <c r="AJ531" s="270">
        <f>INDEX(Coordinates!$B$2:$B$197,MATCH(G531,Coordinates!$J$2:$J$197,0))</f>
        <v>-3.2966860009999999</v>
      </c>
      <c r="AK531" s="270">
        <f>INDEX(Coordinates!$C$2:$C$197,MATCH(G531,Coordinates!$J$2:$J$197,0))</f>
        <v>34.854371989999997</v>
      </c>
      <c r="AL531" s="270" t="str">
        <f>IF(ISNUMBER(SEARCH("C", 'Dry_Litterbag Placem_Collection'!U92)),"YES","NO")</f>
        <v>NO</v>
      </c>
      <c r="AM531" s="270" t="str">
        <f>IF(ISNUMBER(SEARCH("H", 'Dry_Litterbag Placem_Collection'!U92)),"YES","NO")</f>
        <v>NO</v>
      </c>
      <c r="AN531" s="270" t="str">
        <f>IF(ISNUMBER(SEARCH("R", 'Dry_Litterbag Placem_Collection'!U92)),"YES","NO")</f>
        <v>NO</v>
      </c>
    </row>
    <row r="532" spans="1:40" ht="15" customHeight="1">
      <c r="A532" s="262" t="s">
        <v>2659</v>
      </c>
      <c r="B532" s="263">
        <f>'Dry_Litterbag Placem_Collection'!A93</f>
        <v>91</v>
      </c>
      <c r="C532" s="263" t="str">
        <f>'Dry_Litterbag Placem_Collection'!B93</f>
        <v>Maswa</v>
      </c>
      <c r="D532" s="263" t="s">
        <v>2659</v>
      </c>
      <c r="E532" s="263" t="s">
        <v>2661</v>
      </c>
      <c r="F532" s="263">
        <v>4</v>
      </c>
      <c r="G532" s="264" t="str">
        <f>'Dry_Litterbag Placem_Collection'!C93</f>
        <v>Dry_W4_T3</v>
      </c>
      <c r="H532" s="273" t="s">
        <v>3651</v>
      </c>
      <c r="I532" s="266" t="s">
        <v>1147</v>
      </c>
      <c r="J532" s="263" t="str">
        <f>IF(ISBLANK('Dry_Litterbag Placem_Collection'!L93),"","G"&amp;""&amp;'Dry_Litterbag Placem_Collection'!L93)</f>
        <v>G596</v>
      </c>
      <c r="K532" s="267">
        <f>IFERROR(INDEX('Green_rooibos initial weight'!$C$5:$C$1749,MATCH(J532, 'Green_rooibos initial weight'!$A$5:$A$1749,0)),"")</f>
        <v>2.0179999999999998</v>
      </c>
      <c r="L532" s="267">
        <f>IFERROR(K532-(TBIcalc!$Q$9+TBIcalc!$Q$10),"")</f>
        <v>1.7681999999999998</v>
      </c>
      <c r="M532" s="391">
        <f>AVERAGE(Ashed_controlls!$K$2:$K$11)</f>
        <v>5.5147656768714146</v>
      </c>
      <c r="N532" s="267">
        <f t="shared" si="41"/>
        <v>1.6706879133015595</v>
      </c>
      <c r="O532" s="267">
        <f>IF(IFERROR(INDEX('Both teabags AfterDry'!$D$3:$D$900,MATCH(J532,'Both teabags AfterDry'!$A$3:$A$900,0)),"")="","",(IFERROR(INDEX('Both teabags AfterDry'!$D$3:$D$900,MATCH(J532,'Both teabags AfterDry'!$A$3:$A$900,0)),"")))</f>
        <v>1.8642000000000001</v>
      </c>
      <c r="P532" s="267">
        <f>IFERROR(IF(O532&gt;0,O532-(TBIcalc!$Q$9),""),"")</f>
        <v>1.7136</v>
      </c>
      <c r="Q532" s="278">
        <f>IFERROR(INDEX('Ashed teabags dry'!$K$2:$K$825,MATCH(J532,'Ashed teabags dry'!$A$2:$A$825,0)),"")</f>
        <v>5.1882845188279267</v>
      </c>
      <c r="R532" s="278">
        <f t="shared" si="42"/>
        <v>1.6246935564853646</v>
      </c>
      <c r="S532" s="268">
        <f>'Dry_Litterbag Placem_Collection'!E93</f>
        <v>42937</v>
      </c>
      <c r="T532" s="268">
        <f>IF('Dry_Litterbag Placem_Collection'!G93="","",'Dry_Litterbag Placem_Collection'!G93)</f>
        <v>43006</v>
      </c>
      <c r="U532" s="269">
        <f t="shared" si="40"/>
        <v>69</v>
      </c>
      <c r="V532" s="267">
        <f t="shared" si="43"/>
        <v>5.459999999999976E-2</v>
      </c>
      <c r="W532" s="267">
        <f t="shared" si="44"/>
        <v>4.5994356816194903E-2</v>
      </c>
      <c r="X532" s="271">
        <f>IFERROR(INDEX(Rainfall_Dry!$O$2:$O$217,MATCH(B532, Rainfall_Dry!$A$2:$A$217,0)),"")</f>
        <v>12.563016860999999</v>
      </c>
      <c r="Y532" s="260">
        <v>28.145762029394</v>
      </c>
      <c r="Z532" s="260">
        <v>25.085564727199518</v>
      </c>
      <c r="AA532" s="260">
        <v>46.768673243406489</v>
      </c>
      <c r="AB532" s="261" t="s">
        <v>2670</v>
      </c>
      <c r="AC532" s="260">
        <v>4.1716214884179399</v>
      </c>
      <c r="AD532">
        <f>IF('WetLitterbags placem_collection'!AB93="","",'WetLitterbags placem_collection'!AB93)</f>
        <v>6.1</v>
      </c>
      <c r="AE532">
        <f>IF('WetLitterbags placem_collection'!Z93="","",'WetLitterbags placem_collection'!Z93)</f>
        <v>39.4</v>
      </c>
      <c r="AF532" s="246" t="str">
        <f>IF('WetLitterbags placem_collection'!AA93="","",'WetLitterbags placem_collection'!AA93)</f>
        <v>O</v>
      </c>
      <c r="AG532">
        <f>IF('WetLitterbags placem_collection'!AC93="","",'WetLitterbags placem_collection'!AC93)</f>
        <v>1</v>
      </c>
      <c r="AH532">
        <f>IFERROR(AVERAGE('Dry_Litterbag Placem_Collection'!O93,'Dry_Litterbag Placem_Collection'!R93),"")</f>
        <v>10.95</v>
      </c>
      <c r="AI532" s="271">
        <f>IFERROR(AVERAGE('Dry_Litterbag Placem_Collection'!N93,'Dry_Litterbag Placem_Collection'!Q93),"")</f>
        <v>25.95</v>
      </c>
      <c r="AJ532" s="270">
        <f>INDEX(Coordinates!$B$2:$B$197,MATCH(G532,Coordinates!$J$2:$J$197,0))</f>
        <v>-3.2966180239999998</v>
      </c>
      <c r="AK532" s="270">
        <f>INDEX(Coordinates!$C$2:$C$197,MATCH(G532,Coordinates!$J$2:$J$197,0))</f>
        <v>34.854464020000002</v>
      </c>
      <c r="AL532" s="270" t="str">
        <f>IF(ISNUMBER(SEARCH("C", 'Dry_Litterbag Placem_Collection'!U93)),"YES","NO")</f>
        <v>NO</v>
      </c>
      <c r="AM532" s="270" t="str">
        <f>IF(ISNUMBER(SEARCH("H", 'Dry_Litterbag Placem_Collection'!U93)),"YES","NO")</f>
        <v>NO</v>
      </c>
      <c r="AN532" s="270" t="str">
        <f>IF(ISNUMBER(SEARCH("R", 'Dry_Litterbag Placem_Collection'!U93)),"YES","NO")</f>
        <v>NO</v>
      </c>
    </row>
    <row r="533" spans="1:40" ht="15" customHeight="1">
      <c r="A533" s="262" t="s">
        <v>2659</v>
      </c>
      <c r="B533" s="263">
        <f>'Dry_Litterbag Placem_Collection'!A94</f>
        <v>92</v>
      </c>
      <c r="C533" s="263" t="str">
        <f>'Dry_Litterbag Placem_Collection'!B94</f>
        <v>Maswa</v>
      </c>
      <c r="D533" s="263" t="s">
        <v>2659</v>
      </c>
      <c r="E533" s="263" t="s">
        <v>2661</v>
      </c>
      <c r="F533" s="263">
        <v>4</v>
      </c>
      <c r="G533" s="264" t="str">
        <f>'Dry_Litterbag Placem_Collection'!C94</f>
        <v>Dry_W4_T4</v>
      </c>
      <c r="H533" s="273" t="s">
        <v>3651</v>
      </c>
      <c r="I533" s="266" t="s">
        <v>1147</v>
      </c>
      <c r="J533" s="263" t="str">
        <f>IF(ISBLANK('Dry_Litterbag Placem_Collection'!L94),"","G"&amp;""&amp;'Dry_Litterbag Placem_Collection'!L94)</f>
        <v>G380</v>
      </c>
      <c r="K533" s="267">
        <f>IFERROR(INDEX('Green_rooibos initial weight'!$C$5:$C$1749,MATCH(J533, 'Green_rooibos initial weight'!$A$5:$A$1749,0)),"")</f>
        <v>2.0619999999999998</v>
      </c>
      <c r="L533" s="267">
        <f>IFERROR(K533-(TBIcalc!$Q$9+TBIcalc!$Q$10),"")</f>
        <v>1.8121999999999998</v>
      </c>
      <c r="M533" s="391">
        <f>AVERAGE(Ashed_controlls!$K$2:$K$11)</f>
        <v>5.5147656768714146</v>
      </c>
      <c r="N533" s="267">
        <f t="shared" si="41"/>
        <v>1.712261416403736</v>
      </c>
      <c r="O533" s="267">
        <f>IF(IFERROR(INDEX('Both teabags AfterDry'!$D$3:$D$900,MATCH(J533,'Both teabags AfterDry'!$A$3:$A$900,0)),"")="","",(IFERROR(INDEX('Both teabags AfterDry'!$D$3:$D$900,MATCH(J533,'Both teabags AfterDry'!$A$3:$A$900,0)),"")))</f>
        <v>1.8685</v>
      </c>
      <c r="P533" s="267">
        <f>IFERROR(IF(O533&gt;0,O533-(TBIcalc!$Q$9),""),"")</f>
        <v>1.7179</v>
      </c>
      <c r="Q533" s="278">
        <f>IFERROR(INDEX('Ashed teabags dry'!$K$2:$K$825,MATCH(J533,'Ashed teabags dry'!$A$2:$A$825,0)),"")</f>
        <v>5.9040590405909334</v>
      </c>
      <c r="R533" s="278">
        <f t="shared" si="42"/>
        <v>1.6164741697416884</v>
      </c>
      <c r="S533" s="268">
        <f>'Dry_Litterbag Placem_Collection'!E94</f>
        <v>42937</v>
      </c>
      <c r="T533" s="268">
        <f>IF('Dry_Litterbag Placem_Collection'!G94="","",'Dry_Litterbag Placem_Collection'!G94)</f>
        <v>43006</v>
      </c>
      <c r="U533" s="269">
        <f t="shared" si="40"/>
        <v>69</v>
      </c>
      <c r="V533" s="267">
        <f t="shared" si="43"/>
        <v>9.4299999999999828E-2</v>
      </c>
      <c r="W533" s="267">
        <f t="shared" si="44"/>
        <v>9.578724666204752E-2</v>
      </c>
      <c r="X533" s="271">
        <f>IFERROR(INDEX(Rainfall_Dry!$O$2:$O$217,MATCH(B533, Rainfall_Dry!$A$2:$A$217,0)),"")</f>
        <v>12.563016860999999</v>
      </c>
      <c r="Y533" s="260">
        <v>28.145762029394</v>
      </c>
      <c r="Z533" s="260">
        <v>25.085564727199518</v>
      </c>
      <c r="AA533" s="260">
        <v>46.768673243406489</v>
      </c>
      <c r="AB533" s="261" t="s">
        <v>2670</v>
      </c>
      <c r="AC533" s="260">
        <v>5.1716214884179399</v>
      </c>
      <c r="AD533">
        <f>IF('WetLitterbags placem_collection'!AB94="","",'WetLitterbags placem_collection'!AB94)</f>
        <v>7.7</v>
      </c>
      <c r="AE533">
        <f>IF('WetLitterbags placem_collection'!Z94="","",'WetLitterbags placem_collection'!Z94)</f>
        <v>24.8</v>
      </c>
      <c r="AF533" s="246" t="str">
        <f>IF('WetLitterbags placem_collection'!AA94="","",'WetLitterbags placem_collection'!AA94)</f>
        <v>O</v>
      </c>
      <c r="AG533">
        <f>IF('WetLitterbags placem_collection'!AC94="","",'WetLitterbags placem_collection'!AC94)</f>
        <v>1</v>
      </c>
      <c r="AH533">
        <f>IFERROR(AVERAGE('Dry_Litterbag Placem_Collection'!O94,'Dry_Litterbag Placem_Collection'!R94),"")</f>
        <v>10.25</v>
      </c>
      <c r="AI533" s="271">
        <f>IFERROR(AVERAGE('Dry_Litterbag Placem_Collection'!N94,'Dry_Litterbag Placem_Collection'!Q94),"")</f>
        <v>26</v>
      </c>
      <c r="AJ533" s="270">
        <f>INDEX(Coordinates!$B$2:$B$197,MATCH(G533,Coordinates!$J$2:$J$197,0))</f>
        <v>-3.2965539860000002</v>
      </c>
      <c r="AK533" s="270">
        <f>INDEX(Coordinates!$C$2:$C$197,MATCH(G533,Coordinates!$J$2:$J$197,0))</f>
        <v>34.854455969999997</v>
      </c>
      <c r="AL533" s="270" t="str">
        <f>IF(ISNUMBER(SEARCH("C", 'Dry_Litterbag Placem_Collection'!U94)),"YES","NO")</f>
        <v>NO</v>
      </c>
      <c r="AM533" s="270" t="str">
        <f>IF(ISNUMBER(SEARCH("H", 'Dry_Litterbag Placem_Collection'!U94)),"YES","NO")</f>
        <v>NO</v>
      </c>
      <c r="AN533" s="270" t="str">
        <f>IF(ISNUMBER(SEARCH("R", 'Dry_Litterbag Placem_Collection'!U94)),"YES","NO")</f>
        <v>NO</v>
      </c>
    </row>
    <row r="534" spans="1:40" ht="15" customHeight="1">
      <c r="A534" s="262" t="s">
        <v>2659</v>
      </c>
      <c r="B534" s="263">
        <f>'Dry_Litterbag Placem_Collection'!A95</f>
        <v>93</v>
      </c>
      <c r="C534" s="263" t="str">
        <f>'Dry_Litterbag Placem_Collection'!B95</f>
        <v>Maswa</v>
      </c>
      <c r="D534" s="263" t="s">
        <v>2659</v>
      </c>
      <c r="E534" s="263" t="s">
        <v>2661</v>
      </c>
      <c r="F534" s="263">
        <v>4</v>
      </c>
      <c r="G534" s="264" t="str">
        <f>'Dry_Litterbag Placem_Collection'!C95</f>
        <v>Dry_W4_T5</v>
      </c>
      <c r="H534" s="273" t="s">
        <v>3651</v>
      </c>
      <c r="I534" s="266" t="s">
        <v>1147</v>
      </c>
      <c r="J534" s="263" t="str">
        <f>IF(ISBLANK('Dry_Litterbag Placem_Collection'!L95),"","G"&amp;""&amp;'Dry_Litterbag Placem_Collection'!L95)</f>
        <v>G872</v>
      </c>
      <c r="K534" s="267">
        <f>IFERROR(INDEX('Green_rooibos initial weight'!$C$5:$C$1749,MATCH(J534, 'Green_rooibos initial weight'!$A$5:$A$1749,0)),"")</f>
        <v>2.008</v>
      </c>
      <c r="L534" s="267">
        <f>IFERROR(K534-(TBIcalc!$Q$9+TBIcalc!$Q$10),"")</f>
        <v>1.7582</v>
      </c>
      <c r="M534" s="391">
        <f>AVERAGE(Ashed_controlls!$K$2:$K$11)</f>
        <v>5.5147656768714146</v>
      </c>
      <c r="N534" s="267">
        <f t="shared" si="41"/>
        <v>1.6612393898692468</v>
      </c>
      <c r="O534" s="267">
        <f>IF(IFERROR(INDEX('Both teabags AfterDry'!$D$3:$D$900,MATCH(J534,'Both teabags AfterDry'!$A$3:$A$900,0)),"")="","",(IFERROR(INDEX('Both teabags AfterDry'!$D$3:$D$900,MATCH(J534,'Both teabags AfterDry'!$A$3:$A$900,0)),"")))</f>
        <v>1.8389</v>
      </c>
      <c r="P534" s="267">
        <f>IFERROR(IF(O534&gt;0,O534-(TBIcalc!$Q$9),""),"")</f>
        <v>1.6882999999999999</v>
      </c>
      <c r="Q534" s="278">
        <f>IFERROR(INDEX('Ashed teabags dry'!$K$2:$K$825,MATCH(J534,'Ashed teabags dry'!$A$2:$A$825,0)),"")</f>
        <v>5.7008144020571656</v>
      </c>
      <c r="R534" s="278">
        <f t="shared" si="42"/>
        <v>1.5920531504500688</v>
      </c>
      <c r="S534" s="268">
        <f>'Dry_Litterbag Placem_Collection'!E95</f>
        <v>42937</v>
      </c>
      <c r="T534" s="268">
        <f>IF('Dry_Litterbag Placem_Collection'!G95="","",'Dry_Litterbag Placem_Collection'!G95)</f>
        <v>43006</v>
      </c>
      <c r="U534" s="269">
        <f t="shared" si="40"/>
        <v>69</v>
      </c>
      <c r="V534" s="267">
        <f t="shared" si="43"/>
        <v>6.9900000000000073E-2</v>
      </c>
      <c r="W534" s="267">
        <f t="shared" si="44"/>
        <v>6.9186239419178008E-2</v>
      </c>
      <c r="X534" s="271">
        <f>IFERROR(INDEX(Rainfall_Dry!$O$2:$O$217,MATCH(B534, Rainfall_Dry!$A$2:$A$217,0)),"")</f>
        <v>12.563016860999999</v>
      </c>
      <c r="Y534" s="260">
        <v>28.145762029394</v>
      </c>
      <c r="Z534" s="260">
        <v>25.085564727199518</v>
      </c>
      <c r="AA534" s="260">
        <v>46.768673243406489</v>
      </c>
      <c r="AB534" s="261" t="s">
        <v>2670</v>
      </c>
      <c r="AC534" s="260">
        <v>6.1716214884179399</v>
      </c>
      <c r="AD534">
        <f>IF('WetLitterbags placem_collection'!AB95="","",'WetLitterbags placem_collection'!AB95)</f>
        <v>6.6</v>
      </c>
      <c r="AE534">
        <f>IF('WetLitterbags placem_collection'!Z95="","",'WetLitterbags placem_collection'!Z95)</f>
        <v>40</v>
      </c>
      <c r="AF534" s="246" t="str">
        <f>IF('WetLitterbags placem_collection'!AA95="","",'WetLitterbags placem_collection'!AA95)</f>
        <v>O</v>
      </c>
      <c r="AG534">
        <f>IF('WetLitterbags placem_collection'!AC95="","",'WetLitterbags placem_collection'!AC95)</f>
        <v>1</v>
      </c>
      <c r="AH534">
        <f>IFERROR(AVERAGE('Dry_Litterbag Placem_Collection'!O95,'Dry_Litterbag Placem_Collection'!R95),"")</f>
        <v>10.45</v>
      </c>
      <c r="AI534" s="271">
        <f>IFERROR(AVERAGE('Dry_Litterbag Placem_Collection'!N95,'Dry_Litterbag Placem_Collection'!Q95),"")</f>
        <v>26.4</v>
      </c>
      <c r="AJ534" s="270">
        <f>INDEX(Coordinates!$B$2:$B$197,MATCH(G534,Coordinates!$J$2:$J$197,0))</f>
        <v>-3.2964789680000002</v>
      </c>
      <c r="AK534" s="270">
        <f>INDEX(Coordinates!$C$2:$C$197,MATCH(G534,Coordinates!$J$2:$J$197,0))</f>
        <v>34.854331000000002</v>
      </c>
      <c r="AL534" s="270" t="str">
        <f>IF(ISNUMBER(SEARCH("C", 'Dry_Litterbag Placem_Collection'!U95)),"YES","NO")</f>
        <v>NO</v>
      </c>
      <c r="AM534" s="270" t="str">
        <f>IF(ISNUMBER(SEARCH("H", 'Dry_Litterbag Placem_Collection'!U95)),"YES","NO")</f>
        <v>NO</v>
      </c>
      <c r="AN534" s="270" t="str">
        <f>IF(ISNUMBER(SEARCH("R", 'Dry_Litterbag Placem_Collection'!U95)),"YES","NO")</f>
        <v>NO</v>
      </c>
    </row>
    <row r="535" spans="1:40" ht="15" customHeight="1">
      <c r="A535" s="262" t="s">
        <v>2659</v>
      </c>
      <c r="B535" s="263">
        <f>'Dry_Litterbag Placem_Collection'!A96</f>
        <v>94</v>
      </c>
      <c r="C535" s="263" t="str">
        <f>'Dry_Litterbag Placem_Collection'!B96</f>
        <v>Maswa</v>
      </c>
      <c r="D535" s="263" t="s">
        <v>2659</v>
      </c>
      <c r="E535" s="263" t="s">
        <v>2661</v>
      </c>
      <c r="F535" s="263">
        <v>4</v>
      </c>
      <c r="G535" s="264" t="str">
        <f>'Dry_Litterbag Placem_Collection'!C96</f>
        <v>Dry_W4_T6</v>
      </c>
      <c r="H535" s="273" t="s">
        <v>3651</v>
      </c>
      <c r="I535" s="266" t="s">
        <v>1147</v>
      </c>
      <c r="J535" s="263" t="str">
        <f>IF(ISBLANK('Dry_Litterbag Placem_Collection'!L96),"","G"&amp;""&amp;'Dry_Litterbag Placem_Collection'!L96)</f>
        <v/>
      </c>
      <c r="K535" s="267" t="str">
        <f>IFERROR(INDEX('Green_rooibos initial weight'!$C$5:$C$1749,MATCH(J535, 'Green_rooibos initial weight'!$A$5:$A$1749,0)),"")</f>
        <v/>
      </c>
      <c r="L535" s="267" t="str">
        <f>IFERROR(K535-(TBIcalc!$Q$9+TBIcalc!$Q$10),"")</f>
        <v/>
      </c>
      <c r="M535" s="391">
        <f>AVERAGE(Ashed_controlls!$K$2:$K$11)</f>
        <v>5.5147656768714146</v>
      </c>
      <c r="N535" s="267" t="str">
        <f t="shared" si="41"/>
        <v/>
      </c>
      <c r="O535" s="267" t="str">
        <f>IF(IFERROR(INDEX('Both teabags AfterDry'!$D$3:$D$900,MATCH(J535,'Both teabags AfterDry'!$A$3:$A$900,0)),"")="","",(IFERROR(INDEX('Both teabags AfterDry'!$D$3:$D$900,MATCH(J535,'Both teabags AfterDry'!$A$3:$A$900,0)),"")))</f>
        <v/>
      </c>
      <c r="P535" s="267" t="str">
        <f>IFERROR(IF(O535&gt;0,O535-(TBIcalc!$Q$9),""),"")</f>
        <v/>
      </c>
      <c r="Q535" s="278" t="str">
        <f>IFERROR(INDEX('Ashed teabags dry'!$K$2:$K$825,MATCH(J535,'Ashed teabags dry'!$A$2:$A$825,0)),"")</f>
        <v/>
      </c>
      <c r="R535" s="278" t="str">
        <f t="shared" si="42"/>
        <v/>
      </c>
      <c r="S535" s="268">
        <f>'Dry_Litterbag Placem_Collection'!E96</f>
        <v>0</v>
      </c>
      <c r="T535" s="268" t="str">
        <f>IF('Dry_Litterbag Placem_Collection'!G96="","",'Dry_Litterbag Placem_Collection'!G96)</f>
        <v/>
      </c>
      <c r="U535" s="269" t="str">
        <f t="shared" si="40"/>
        <v/>
      </c>
      <c r="V535" s="267" t="str">
        <f t="shared" si="43"/>
        <v/>
      </c>
      <c r="W535" s="267" t="str">
        <f t="shared" si="44"/>
        <v/>
      </c>
      <c r="X535" s="271" t="str">
        <f>IFERROR(INDEX(Rainfall_Dry!$O$2:$O$217,MATCH(B535, Rainfall_Dry!$A$2:$A$217,0)),"")</f>
        <v/>
      </c>
      <c r="Y535" s="260">
        <v>28.145762029394</v>
      </c>
      <c r="Z535" s="260">
        <v>25.085564727199518</v>
      </c>
      <c r="AA535" s="260">
        <v>46.768673243406489</v>
      </c>
      <c r="AB535" s="261" t="s">
        <v>2670</v>
      </c>
      <c r="AC535" s="260">
        <v>7.1716214884179399</v>
      </c>
      <c r="AD535" t="str">
        <f>IF('WetLitterbags placem_collection'!AB96="","",'WetLitterbags placem_collection'!AB96)</f>
        <v/>
      </c>
      <c r="AE535" t="str">
        <f>IF('WetLitterbags placem_collection'!Z96="","",'WetLitterbags placem_collection'!Z96)</f>
        <v/>
      </c>
      <c r="AF535" s="246" t="str">
        <f>IF('WetLitterbags placem_collection'!AA96="","",'WetLitterbags placem_collection'!AA96)</f>
        <v/>
      </c>
      <c r="AG535" t="str">
        <f>IF('WetLitterbags placem_collection'!AC96="","",'WetLitterbags placem_collection'!AC96)</f>
        <v/>
      </c>
      <c r="AH535" t="str">
        <f>IFERROR(AVERAGE('Dry_Litterbag Placem_Collection'!O96,'Dry_Litterbag Placem_Collection'!R96),"")</f>
        <v/>
      </c>
      <c r="AI535" s="271" t="str">
        <f>IFERROR(AVERAGE('Dry_Litterbag Placem_Collection'!N96,'Dry_Litterbag Placem_Collection'!Q96),"")</f>
        <v/>
      </c>
      <c r="AJ535" s="270">
        <f>INDEX(Coordinates!$B$2:$B$197,MATCH(G535,Coordinates!$J$2:$J$197,0))</f>
        <v>-3.2964649700000002</v>
      </c>
      <c r="AK535" s="270">
        <f>INDEX(Coordinates!$C$2:$C$197,MATCH(G535,Coordinates!$J$2:$J$197,0))</f>
        <v>34.854340970000003</v>
      </c>
      <c r="AL535" s="270" t="str">
        <f>IF(ISNUMBER(SEARCH("C", 'Dry_Litterbag Placem_Collection'!U96)),"YES","NO")</f>
        <v>NO</v>
      </c>
      <c r="AM535" s="270" t="str">
        <f>IF(ISNUMBER(SEARCH("H", 'Dry_Litterbag Placem_Collection'!U96)),"YES","NO")</f>
        <v>NO</v>
      </c>
      <c r="AN535" s="270" t="str">
        <f>IF(ISNUMBER(SEARCH("R", 'Dry_Litterbag Placem_Collection'!U96)),"YES","NO")</f>
        <v>NO</v>
      </c>
    </row>
    <row r="536" spans="1:40" ht="15" customHeight="1">
      <c r="A536" s="262" t="s">
        <v>2659</v>
      </c>
      <c r="B536" s="263">
        <f>'Dry_Litterbag Placem_Collection'!A97</f>
        <v>95</v>
      </c>
      <c r="C536" s="263" t="str">
        <f>'Dry_Litterbag Placem_Collection'!B97</f>
        <v>Maswa</v>
      </c>
      <c r="D536" s="263" t="s">
        <v>2659</v>
      </c>
      <c r="E536" s="263" t="s">
        <v>2661</v>
      </c>
      <c r="F536" s="263">
        <v>4</v>
      </c>
      <c r="G536" s="264" t="str">
        <f>'Dry_Litterbag Placem_Collection'!C97</f>
        <v>Dry_W4_T7</v>
      </c>
      <c r="H536" s="273" t="s">
        <v>3651</v>
      </c>
      <c r="I536" s="266" t="s">
        <v>1147</v>
      </c>
      <c r="J536" s="263" t="str">
        <f>IF(ISBLANK('Dry_Litterbag Placem_Collection'!L97),"","G"&amp;""&amp;'Dry_Litterbag Placem_Collection'!L97)</f>
        <v>G844</v>
      </c>
      <c r="K536" s="267">
        <f>IFERROR(INDEX('Green_rooibos initial weight'!$C$5:$C$1749,MATCH(J536, 'Green_rooibos initial weight'!$A$5:$A$1749,0)),"")</f>
        <v>1.95</v>
      </c>
      <c r="L536" s="267">
        <f>IFERROR(K536-(TBIcalc!$Q$9+TBIcalc!$Q$10),"")</f>
        <v>1.7001999999999999</v>
      </c>
      <c r="M536" s="391">
        <f>AVERAGE(Ashed_controlls!$K$2:$K$11)</f>
        <v>5.5147656768714146</v>
      </c>
      <c r="N536" s="267">
        <f t="shared" si="41"/>
        <v>1.6064379539618321</v>
      </c>
      <c r="O536" s="267">
        <f>IF(IFERROR(INDEX('Both teabags AfterDry'!$D$3:$D$900,MATCH(J536,'Both teabags AfterDry'!$A$3:$A$900,0)),"")="","",(IFERROR(INDEX('Both teabags AfterDry'!$D$3:$D$900,MATCH(J536,'Both teabags AfterDry'!$A$3:$A$900,0)),"")))</f>
        <v>1.7751999999999999</v>
      </c>
      <c r="P536" s="267">
        <f>IFERROR(IF(O536&gt;0,O536-(TBIcalc!$Q$9),""),"")</f>
        <v>1.6245999999999998</v>
      </c>
      <c r="Q536" s="278">
        <f>IFERROR(INDEX('Ashed teabags dry'!$K$2:$K$825,MATCH(J536,'Ashed teabags dry'!$A$2:$A$825,0)),"")</f>
        <v>6.2158130283436162</v>
      </c>
      <c r="R536" s="278">
        <f t="shared" si="42"/>
        <v>1.5236179015415294</v>
      </c>
      <c r="S536" s="268">
        <f>'Dry_Litterbag Placem_Collection'!E97</f>
        <v>42937</v>
      </c>
      <c r="T536" s="268">
        <f>IF('Dry_Litterbag Placem_Collection'!G97="","",'Dry_Litterbag Placem_Collection'!G97)</f>
        <v>43006</v>
      </c>
      <c r="U536" s="269">
        <f t="shared" si="40"/>
        <v>69</v>
      </c>
      <c r="V536" s="267">
        <f t="shared" si="43"/>
        <v>7.5600000000000112E-2</v>
      </c>
      <c r="W536" s="267">
        <f t="shared" si="44"/>
        <v>8.2820052420302659E-2</v>
      </c>
      <c r="X536" s="271">
        <f>IFERROR(INDEX(Rainfall_Dry!$O$2:$O$217,MATCH(B536, Rainfall_Dry!$A$2:$A$217,0)),"")</f>
        <v>12.563016860999999</v>
      </c>
      <c r="Y536" s="260">
        <v>28.145762029394</v>
      </c>
      <c r="Z536" s="260">
        <v>25.085564727199518</v>
      </c>
      <c r="AA536" s="260">
        <v>46.768673243406489</v>
      </c>
      <c r="AB536" s="261" t="s">
        <v>2670</v>
      </c>
      <c r="AC536" s="260">
        <v>8.1716214884179408</v>
      </c>
      <c r="AD536">
        <f>IF('WetLitterbags placem_collection'!AB97="","",'WetLitterbags placem_collection'!AB97)</f>
        <v>5.4</v>
      </c>
      <c r="AE536">
        <f>IF('WetLitterbags placem_collection'!Z97="","",'WetLitterbags placem_collection'!Z97)</f>
        <v>15.2</v>
      </c>
      <c r="AF536" s="246" t="str">
        <f>IF('WetLitterbags placem_collection'!AA97="","",'WetLitterbags placem_collection'!AA97)</f>
        <v>O</v>
      </c>
      <c r="AG536">
        <f>IF('WetLitterbags placem_collection'!AC97="","",'WetLitterbags placem_collection'!AC97)</f>
        <v>0</v>
      </c>
      <c r="AH536">
        <f>IFERROR(AVERAGE('Dry_Litterbag Placem_Collection'!O97,'Dry_Litterbag Placem_Collection'!R97),"")</f>
        <v>8.75</v>
      </c>
      <c r="AI536" s="271">
        <f>IFERROR(AVERAGE('Dry_Litterbag Placem_Collection'!N97,'Dry_Litterbag Placem_Collection'!Q97),"")</f>
        <v>27.35</v>
      </c>
      <c r="AJ536" s="270">
        <f>INDEX(Coordinates!$B$2:$B$197,MATCH(G536,Coordinates!$J$2:$J$197,0))</f>
        <v>-3.296725983</v>
      </c>
      <c r="AK536" s="270">
        <f>INDEX(Coordinates!$C$2:$C$197,MATCH(G536,Coordinates!$J$2:$J$197,0))</f>
        <v>34.854216000000001</v>
      </c>
      <c r="AL536" s="270" t="str">
        <f>IF(ISNUMBER(SEARCH("C", 'Dry_Litterbag Placem_Collection'!U97)),"YES","NO")</f>
        <v>NO</v>
      </c>
      <c r="AM536" s="270" t="str">
        <f>IF(ISNUMBER(SEARCH("H", 'Dry_Litterbag Placem_Collection'!U97)),"YES","NO")</f>
        <v>NO</v>
      </c>
      <c r="AN536" s="270" t="str">
        <f>IF(ISNUMBER(SEARCH("R", 'Dry_Litterbag Placem_Collection'!U97)),"YES","NO")</f>
        <v>NO</v>
      </c>
    </row>
    <row r="537" spans="1:40" ht="15" customHeight="1">
      <c r="A537" s="262" t="s">
        <v>2659</v>
      </c>
      <c r="B537" s="263">
        <f>'Dry_Litterbag Placem_Collection'!A98</f>
        <v>96</v>
      </c>
      <c r="C537" s="263" t="str">
        <f>'Dry_Litterbag Placem_Collection'!B98</f>
        <v>Maswa</v>
      </c>
      <c r="D537" s="263" t="s">
        <v>2659</v>
      </c>
      <c r="E537" s="263" t="s">
        <v>2661</v>
      </c>
      <c r="F537" s="263">
        <v>4</v>
      </c>
      <c r="G537" s="264" t="str">
        <f>'Dry_Litterbag Placem_Collection'!C98</f>
        <v>Dry_W4_T8</v>
      </c>
      <c r="H537" s="273" t="s">
        <v>3651</v>
      </c>
      <c r="I537" s="266" t="s">
        <v>1147</v>
      </c>
      <c r="J537" s="263" t="str">
        <f>IF(ISBLANK('Dry_Litterbag Placem_Collection'!L98),"","G"&amp;""&amp;'Dry_Litterbag Placem_Collection'!L98)</f>
        <v>G372</v>
      </c>
      <c r="K537" s="267">
        <f>IFERROR(INDEX('Green_rooibos initial weight'!$C$5:$C$1749,MATCH(J537, 'Green_rooibos initial weight'!$A$5:$A$1749,0)),"")</f>
        <v>2.1539999999999999</v>
      </c>
      <c r="L537" s="267">
        <f>IFERROR(K537-(TBIcalc!$Q$9+TBIcalc!$Q$10),"")</f>
        <v>1.9041999999999999</v>
      </c>
      <c r="M537" s="391">
        <f>AVERAGE(Ashed_controlls!$K$2:$K$11)</f>
        <v>5.5147656768714146</v>
      </c>
      <c r="N537" s="267">
        <f t="shared" si="41"/>
        <v>1.7991878319810144</v>
      </c>
      <c r="O537" s="267">
        <f>IF(IFERROR(INDEX('Both teabags AfterDry'!$D$3:$D$900,MATCH(J537,'Both teabags AfterDry'!$A$3:$A$900,0)),"")="","",(IFERROR(INDEX('Both teabags AfterDry'!$D$3:$D$900,MATCH(J537,'Both teabags AfterDry'!$A$3:$A$900,0)),"")))</f>
        <v>1.9605999999999999</v>
      </c>
      <c r="P537" s="267">
        <f>IFERROR(IF(O537&gt;0,O537-(TBIcalc!$Q$9),""),"")</f>
        <v>1.8099999999999998</v>
      </c>
      <c r="Q537" s="278">
        <f>IFERROR(INDEX('Ashed teabags dry'!$K$2:$K$825,MATCH(J537,'Ashed teabags dry'!$A$2:$A$825,0)),"")</f>
        <v>5.7128906249998721</v>
      </c>
      <c r="R537" s="278">
        <f t="shared" si="42"/>
        <v>1.7065966796875021</v>
      </c>
      <c r="S537" s="268">
        <f>'Dry_Litterbag Placem_Collection'!E98</f>
        <v>42937</v>
      </c>
      <c r="T537" s="268">
        <f>IF('Dry_Litterbag Placem_Collection'!G98="","",'Dry_Litterbag Placem_Collection'!G98)</f>
        <v>43006</v>
      </c>
      <c r="U537" s="269">
        <f t="shared" si="40"/>
        <v>69</v>
      </c>
      <c r="V537" s="267">
        <f t="shared" si="43"/>
        <v>9.4200000000000061E-2</v>
      </c>
      <c r="W537" s="267">
        <f t="shared" si="44"/>
        <v>9.2591152293512335E-2</v>
      </c>
      <c r="X537" s="271">
        <f>IFERROR(INDEX(Rainfall_Dry!$O$2:$O$217,MATCH(B537, Rainfall_Dry!$A$2:$A$217,0)),"")</f>
        <v>12.563016860999999</v>
      </c>
      <c r="Y537" s="260">
        <v>28.145762029394</v>
      </c>
      <c r="Z537" s="260">
        <v>25.085564727199518</v>
      </c>
      <c r="AA537" s="260">
        <v>46.768673243406489</v>
      </c>
      <c r="AB537" s="261" t="s">
        <v>2670</v>
      </c>
      <c r="AC537" s="260">
        <v>9.1716214884179408</v>
      </c>
      <c r="AD537">
        <f>IF('WetLitterbags placem_collection'!AB98="","",'WetLitterbags placem_collection'!AB98)</f>
        <v>4</v>
      </c>
      <c r="AE537">
        <f>IF('WetLitterbags placem_collection'!Z98="","",'WetLitterbags placem_collection'!Z98)</f>
        <v>34.4</v>
      </c>
      <c r="AF537" s="246" t="str">
        <f>IF('WetLitterbags placem_collection'!AA98="","",'WetLitterbags placem_collection'!AA98)</f>
        <v>O</v>
      </c>
      <c r="AG537">
        <f>IF('WetLitterbags placem_collection'!AC98="","",'WetLitterbags placem_collection'!AC98)</f>
        <v>0</v>
      </c>
      <c r="AH537">
        <f>IFERROR(AVERAGE('Dry_Litterbag Placem_Collection'!O98,'Dry_Litterbag Placem_Collection'!R98),"")</f>
        <v>5.0999999999999996</v>
      </c>
      <c r="AI537" s="271">
        <f>IFERROR(AVERAGE('Dry_Litterbag Placem_Collection'!N98,'Dry_Litterbag Placem_Collection'!Q98),"")</f>
        <v>25.950000000000003</v>
      </c>
      <c r="AJ537" s="270">
        <f>INDEX(Coordinates!$B$2:$B$197,MATCH(G537,Coordinates!$J$2:$J$197,0))</f>
        <v>-3.2968360369999998</v>
      </c>
      <c r="AK537" s="270">
        <f>INDEX(Coordinates!$C$2:$C$197,MATCH(G537,Coordinates!$J$2:$J$197,0))</f>
        <v>34.854462009999999</v>
      </c>
      <c r="AL537" s="270" t="str">
        <f>IF(ISNUMBER(SEARCH("C", 'Dry_Litterbag Placem_Collection'!U98)),"YES","NO")</f>
        <v>NO</v>
      </c>
      <c r="AM537" s="270" t="str">
        <f>IF(ISNUMBER(SEARCH("H", 'Dry_Litterbag Placem_Collection'!U98)),"YES","NO")</f>
        <v>NO</v>
      </c>
      <c r="AN537" s="270" t="str">
        <f>IF(ISNUMBER(SEARCH("R", 'Dry_Litterbag Placem_Collection'!U98)),"YES","NO")</f>
        <v>NO</v>
      </c>
    </row>
    <row r="538" spans="1:40" ht="15" customHeight="1">
      <c r="A538" s="262" t="s">
        <v>2659</v>
      </c>
      <c r="B538" s="263">
        <f>'Dry_Litterbag Placem_Collection'!A99</f>
        <v>97</v>
      </c>
      <c r="C538" s="263" t="str">
        <f>'Dry_Litterbag Placem_Collection'!B99</f>
        <v xml:space="preserve">Mwantimba
</v>
      </c>
      <c r="D538" s="263" t="s">
        <v>2460</v>
      </c>
      <c r="E538" s="263" t="s">
        <v>2660</v>
      </c>
      <c r="F538" s="263">
        <v>1</v>
      </c>
      <c r="G538" s="264" t="str">
        <f>'Dry_Litterbag Placem_Collection'!C99</f>
        <v>Wet_Ag1_T1</v>
      </c>
      <c r="H538" s="273" t="s">
        <v>3651</v>
      </c>
      <c r="I538" s="266" t="s">
        <v>1147</v>
      </c>
      <c r="J538" s="263" t="str">
        <f>IF(ISBLANK('Dry_Litterbag Placem_Collection'!L99),"","G"&amp;""&amp;'Dry_Litterbag Placem_Collection'!L99)</f>
        <v>G3</v>
      </c>
      <c r="K538" s="267">
        <f>IFERROR(INDEX('Green_rooibos initial weight'!$C$5:$C$1749,MATCH(J538, 'Green_rooibos initial weight'!$A$5:$A$1749,0)),"")</f>
        <v>2.0470000000000002</v>
      </c>
      <c r="L538" s="267">
        <f>IFERROR(K538-(TBIcalc!$Q$9+TBIcalc!$Q$10),"")</f>
        <v>1.7972000000000001</v>
      </c>
      <c r="M538" s="391">
        <f>AVERAGE(Ashed_controlls!$K$2:$K$11)</f>
        <v>5.5147656768714146</v>
      </c>
      <c r="N538" s="267">
        <f t="shared" si="41"/>
        <v>1.698088631255267</v>
      </c>
      <c r="O538" s="267" t="str">
        <f>IF(IFERROR(INDEX('Both teabags AfterDry'!$D$3:$D$900,MATCH(J538,'Both teabags AfterDry'!$A$3:$A$900,0)),"")="","",(IFERROR(INDEX('Both teabags AfterDry'!$D$3:$D$900,MATCH(J538,'Both teabags AfterDry'!$A$3:$A$900,0)),"")))</f>
        <v/>
      </c>
      <c r="P538" s="267" t="str">
        <f>IFERROR(IF(O538&gt;0,O538-(TBIcalc!$Q$9),""),"")</f>
        <v/>
      </c>
      <c r="Q538" s="278" t="str">
        <f>IFERROR(INDEX('Ashed teabags dry'!$K$2:$K$825,MATCH(J538,'Ashed teabags dry'!$A$2:$A$825,0)),"")</f>
        <v/>
      </c>
      <c r="R538" s="278" t="str">
        <f t="shared" si="42"/>
        <v/>
      </c>
      <c r="S538" s="268">
        <f>'Dry_Litterbag Placem_Collection'!E99</f>
        <v>42939</v>
      </c>
      <c r="T538" s="268">
        <f>IF('Dry_Litterbag Placem_Collection'!G99="","",'Dry_Litterbag Placem_Collection'!G99)</f>
        <v>43010</v>
      </c>
      <c r="U538" s="269">
        <f t="shared" si="40"/>
        <v>71</v>
      </c>
      <c r="V538" s="267" t="str">
        <f t="shared" si="43"/>
        <v/>
      </c>
      <c r="W538" s="267" t="str">
        <f t="shared" si="44"/>
        <v/>
      </c>
      <c r="X538" s="271">
        <f>IFERROR(INDEX(Rainfall_Dry!$O$2:$O$217,MATCH(B538, Rainfall_Dry!$A$2:$A$217,0)),"")</f>
        <v>137.19979645800001</v>
      </c>
      <c r="Y538" s="260">
        <v>45.96</v>
      </c>
      <c r="Z538" s="260">
        <v>14.920000000000003</v>
      </c>
      <c r="AA538" s="260">
        <v>39.119999999999997</v>
      </c>
      <c r="AB538" s="261" t="s">
        <v>2673</v>
      </c>
      <c r="AC538" s="260">
        <v>2.0374568753080333</v>
      </c>
      <c r="AD538">
        <f>IF('WetLitterbags placem_collection'!AB99="","",'WetLitterbags placem_collection'!AB99)</f>
        <v>2.4</v>
      </c>
      <c r="AE538">
        <f>IF('WetLitterbags placem_collection'!Z99="","",'WetLitterbags placem_collection'!Z99)</f>
        <v>8.9</v>
      </c>
      <c r="AF538" s="246" t="str">
        <f>IF('WetLitterbags placem_collection'!AA99="","",'WetLitterbags placem_collection'!AA99)</f>
        <v>G</v>
      </c>
      <c r="AG538">
        <f>IF('WetLitterbags placem_collection'!AC99="","",'WetLitterbags placem_collection'!AC99)</f>
        <v>1</v>
      </c>
      <c r="AH538">
        <f>IFERROR(AVERAGE('Dry_Litterbag Placem_Collection'!O99,'Dry_Litterbag Placem_Collection'!R99),"")</f>
        <v>6.6</v>
      </c>
      <c r="AI538" s="271">
        <f>IFERROR(AVERAGE('Dry_Litterbag Placem_Collection'!N99,'Dry_Litterbag Placem_Collection'!Q99),"")</f>
        <v>28.5</v>
      </c>
      <c r="AJ538" s="270">
        <f>INDEX(Coordinates!$B$2:$B$197,MATCH(G538,Coordinates!$J$2:$J$197,0))</f>
        <v>-2.3691620310000001</v>
      </c>
      <c r="AK538" s="270">
        <f>INDEX(Coordinates!$C$2:$C$197,MATCH(G538,Coordinates!$J$2:$J$197,0))</f>
        <v>34.06028104</v>
      </c>
      <c r="AL538" s="270" t="str">
        <f>IF(ISNUMBER(SEARCH("C", 'Dry_Litterbag Placem_Collection'!U99)),"YES","NO")</f>
        <v>NO</v>
      </c>
      <c r="AM538" s="270" t="str">
        <f>IF(ISNUMBER(SEARCH("H", 'Dry_Litterbag Placem_Collection'!U99)),"YES","NO")</f>
        <v>NO</v>
      </c>
      <c r="AN538" s="270" t="str">
        <f>IF(ISNUMBER(SEARCH("R", 'Dry_Litterbag Placem_Collection'!U99)),"YES","NO")</f>
        <v>NO</v>
      </c>
    </row>
    <row r="539" spans="1:40" ht="15" customHeight="1">
      <c r="A539" s="262" t="s">
        <v>2659</v>
      </c>
      <c r="B539" s="263">
        <f>'Dry_Litterbag Placem_Collection'!A100</f>
        <v>98</v>
      </c>
      <c r="C539" s="263" t="str">
        <f>'Dry_Litterbag Placem_Collection'!B100</f>
        <v xml:space="preserve">Mwantimba
</v>
      </c>
      <c r="D539" s="263" t="s">
        <v>2460</v>
      </c>
      <c r="E539" s="263" t="s">
        <v>2660</v>
      </c>
      <c r="F539" s="263">
        <v>1</v>
      </c>
      <c r="G539" s="264" t="str">
        <f>'Dry_Litterbag Placem_Collection'!C100</f>
        <v>Wet_Ag1_T2</v>
      </c>
      <c r="H539" s="273" t="s">
        <v>3651</v>
      </c>
      <c r="I539" s="266" t="s">
        <v>1147</v>
      </c>
      <c r="J539" s="263" t="str">
        <f>IF(ISBLANK('Dry_Litterbag Placem_Collection'!L100),"","G"&amp;""&amp;'Dry_Litterbag Placem_Collection'!L100)</f>
        <v>G25</v>
      </c>
      <c r="K539" s="267">
        <f>IFERROR(INDEX('Green_rooibos initial weight'!$C$5:$C$1749,MATCH(J539, 'Green_rooibos initial weight'!$A$5:$A$1749,0)),"")</f>
        <v>2.0230000000000001</v>
      </c>
      <c r="L539" s="267">
        <f>IFERROR(K539-(TBIcalc!$Q$9+TBIcalc!$Q$10),"")</f>
        <v>1.7732000000000001</v>
      </c>
      <c r="M539" s="391">
        <f>AVERAGE(Ashed_controlls!$K$2:$K$11)</f>
        <v>5.5147656768714146</v>
      </c>
      <c r="N539" s="267">
        <f t="shared" si="41"/>
        <v>1.6754121750177162</v>
      </c>
      <c r="O539" s="267">
        <f>IF(IFERROR(INDEX('Both teabags AfterDry'!$D$3:$D$900,MATCH(J539,'Both teabags AfterDry'!$A$3:$A$900,0)),"")="","",(IFERROR(INDEX('Both teabags AfterDry'!$D$3:$D$900,MATCH(J539,'Both teabags AfterDry'!$A$3:$A$900,0)),"")))</f>
        <v>0.995</v>
      </c>
      <c r="P539" s="267">
        <f>IFERROR(IF(O539&gt;0,O539-(TBIcalc!$Q$9),""),"")</f>
        <v>0.84440000000000004</v>
      </c>
      <c r="Q539" s="278">
        <f>IFERROR(INDEX('Ashed teabags dry'!$K$2:$K$825,MATCH(J539,'Ashed teabags dry'!$A$2:$A$825,0)),"")</f>
        <v>21.132793907663359</v>
      </c>
      <c r="R539" s="278">
        <f t="shared" si="42"/>
        <v>0.66595468824369064</v>
      </c>
      <c r="S539" s="268">
        <f>'Dry_Litterbag Placem_Collection'!E100</f>
        <v>42939</v>
      </c>
      <c r="T539" s="268">
        <f>IF('Dry_Litterbag Placem_Collection'!G100="","",'Dry_Litterbag Placem_Collection'!G100)</f>
        <v>43010</v>
      </c>
      <c r="U539" s="269">
        <f t="shared" si="40"/>
        <v>71</v>
      </c>
      <c r="V539" s="267">
        <f t="shared" si="43"/>
        <v>0.92880000000000007</v>
      </c>
      <c r="W539" s="267">
        <f t="shared" si="44"/>
        <v>1.0094574867740256</v>
      </c>
      <c r="X539" s="271">
        <f>IFERROR(INDEX(Rainfall_Dry!$O$2:$O$217,MATCH(B539, Rainfall_Dry!$A$2:$A$217,0)),"")</f>
        <v>137.19979645800001</v>
      </c>
      <c r="Y539" s="260">
        <v>45.96</v>
      </c>
      <c r="Z539" s="260">
        <v>14.920000000000003</v>
      </c>
      <c r="AA539" s="260">
        <v>39.119999999999997</v>
      </c>
      <c r="AB539" s="261" t="s">
        <v>2673</v>
      </c>
      <c r="AC539" s="260">
        <v>3.0374568753080302</v>
      </c>
      <c r="AD539">
        <f>IF('WetLitterbags placem_collection'!AB100="","",'WetLitterbags placem_collection'!AB100)</f>
        <v>7.8</v>
      </c>
      <c r="AE539">
        <f>IF('WetLitterbags placem_collection'!Z100="","",'WetLitterbags placem_collection'!Z100)</f>
        <v>4.45</v>
      </c>
      <c r="AF539" s="246" t="str">
        <f>IF('WetLitterbags placem_collection'!AA100="","",'WetLitterbags placem_collection'!AA100)</f>
        <v>G</v>
      </c>
      <c r="AG539">
        <f>IF('WetLitterbags placem_collection'!AC100="","",'WetLitterbags placem_collection'!AC100)</f>
        <v>1</v>
      </c>
      <c r="AH539">
        <f>IFERROR(AVERAGE('Dry_Litterbag Placem_Collection'!O100,'Dry_Litterbag Placem_Collection'!R100),"")</f>
        <v>7.25</v>
      </c>
      <c r="AI539" s="271">
        <f>IFERROR(AVERAGE('Dry_Litterbag Placem_Collection'!N100,'Dry_Litterbag Placem_Collection'!Q100),"")</f>
        <v>29.3</v>
      </c>
      <c r="AJ539" s="270">
        <f>INDEX(Coordinates!$B$2:$B$197,MATCH(G539,Coordinates!$J$2:$J$197,0))</f>
        <v>-2.3692249790000002</v>
      </c>
      <c r="AK539" s="270">
        <f>INDEX(Coordinates!$C$2:$C$197,MATCH(G539,Coordinates!$J$2:$J$197,0))</f>
        <v>34.060285989999997</v>
      </c>
      <c r="AL539" s="270" t="str">
        <f>IF(ISNUMBER(SEARCH("C", 'Dry_Litterbag Placem_Collection'!U100)),"YES","NO")</f>
        <v>NO</v>
      </c>
      <c r="AM539" s="270" t="str">
        <f>IF(ISNUMBER(SEARCH("H", 'Dry_Litterbag Placem_Collection'!U100)),"YES","NO")</f>
        <v>NO</v>
      </c>
      <c r="AN539" s="270" t="str">
        <f>IF(ISNUMBER(SEARCH("R", 'Dry_Litterbag Placem_Collection'!U100)),"YES","NO")</f>
        <v>NO</v>
      </c>
    </row>
    <row r="540" spans="1:40" ht="15" customHeight="1">
      <c r="A540" s="262" t="s">
        <v>2659</v>
      </c>
      <c r="B540" s="263">
        <f>'Dry_Litterbag Placem_Collection'!A101</f>
        <v>99</v>
      </c>
      <c r="C540" s="263" t="str">
        <f>'Dry_Litterbag Placem_Collection'!B101</f>
        <v xml:space="preserve">Mwantimba
</v>
      </c>
      <c r="D540" s="263" t="s">
        <v>2460</v>
      </c>
      <c r="E540" s="263" t="s">
        <v>2660</v>
      </c>
      <c r="F540" s="263">
        <v>1</v>
      </c>
      <c r="G540" s="264" t="str">
        <f>'Dry_Litterbag Placem_Collection'!C101</f>
        <v>Wet_Ag1_T3</v>
      </c>
      <c r="H540" s="273" t="s">
        <v>3651</v>
      </c>
      <c r="I540" s="266" t="s">
        <v>1147</v>
      </c>
      <c r="J540" s="263" t="str">
        <f>IF(ISBLANK('Dry_Litterbag Placem_Collection'!L101),"","G"&amp;""&amp;'Dry_Litterbag Placem_Collection'!L101)</f>
        <v/>
      </c>
      <c r="K540" s="267" t="str">
        <f>IFERROR(INDEX('Green_rooibos initial weight'!$C$5:$C$1749,MATCH(J540, 'Green_rooibos initial weight'!$A$5:$A$1749,0)),"")</f>
        <v/>
      </c>
      <c r="L540" s="267" t="str">
        <f>IFERROR(K540-(TBIcalc!$Q$9+TBIcalc!$Q$10),"")</f>
        <v/>
      </c>
      <c r="M540" s="391">
        <f>AVERAGE(Ashed_controlls!$K$2:$K$11)</f>
        <v>5.5147656768714146</v>
      </c>
      <c r="N540" s="267" t="str">
        <f t="shared" si="41"/>
        <v/>
      </c>
      <c r="O540" s="267" t="str">
        <f>IF(IFERROR(INDEX('Both teabags AfterDry'!$D$3:$D$900,MATCH(J540,'Both teabags AfterDry'!$A$3:$A$900,0)),"")="","",(IFERROR(INDEX('Both teabags AfterDry'!$D$3:$D$900,MATCH(J540,'Both teabags AfterDry'!$A$3:$A$900,0)),"")))</f>
        <v/>
      </c>
      <c r="P540" s="267" t="str">
        <f>IFERROR(IF(O540&gt;0,O540-(TBIcalc!$Q$9),""),"")</f>
        <v/>
      </c>
      <c r="Q540" s="278" t="str">
        <f>IFERROR(INDEX('Ashed teabags dry'!$K$2:$K$825,MATCH(J540,'Ashed teabags dry'!$A$2:$A$825,0)),"")</f>
        <v/>
      </c>
      <c r="R540" s="278" t="str">
        <f t="shared" si="42"/>
        <v/>
      </c>
      <c r="S540" s="268">
        <f>'Dry_Litterbag Placem_Collection'!E101</f>
        <v>0</v>
      </c>
      <c r="T540" s="268" t="str">
        <f>IF('Dry_Litterbag Placem_Collection'!G101="","",'Dry_Litterbag Placem_Collection'!G101)</f>
        <v/>
      </c>
      <c r="U540" s="269" t="str">
        <f t="shared" si="40"/>
        <v/>
      </c>
      <c r="V540" s="267" t="str">
        <f t="shared" si="43"/>
        <v/>
      </c>
      <c r="W540" s="267" t="str">
        <f t="shared" si="44"/>
        <v/>
      </c>
      <c r="X540" s="271" t="str">
        <f>IFERROR(INDEX(Rainfall_Dry!$O$2:$O$217,MATCH(B540, Rainfall_Dry!$A$2:$A$217,0)),"")</f>
        <v/>
      </c>
      <c r="Y540" s="260">
        <v>45.96</v>
      </c>
      <c r="Z540" s="260">
        <v>14.920000000000003</v>
      </c>
      <c r="AA540" s="260">
        <v>39.119999999999997</v>
      </c>
      <c r="AB540" s="261" t="s">
        <v>2673</v>
      </c>
      <c r="AC540" s="260">
        <v>4.0374568753080302</v>
      </c>
      <c r="AD540">
        <f>IF('WetLitterbags placem_collection'!AB101="","",'WetLitterbags placem_collection'!AB101)</f>
        <v>5.0999999999999996</v>
      </c>
      <c r="AE540">
        <f>IF('WetLitterbags placem_collection'!Z101="","",'WetLitterbags placem_collection'!Z101)</f>
        <v>2.2999999999999998</v>
      </c>
      <c r="AF540" s="246" t="str">
        <f>IF('WetLitterbags placem_collection'!AA101="","",'WetLitterbags placem_collection'!AA101)</f>
        <v>G</v>
      </c>
      <c r="AG540">
        <f>IF('WetLitterbags placem_collection'!AC101="","",'WetLitterbags placem_collection'!AC101)</f>
        <v>0</v>
      </c>
      <c r="AH540" t="str">
        <f>IFERROR(AVERAGE('Dry_Litterbag Placem_Collection'!O101,'Dry_Litterbag Placem_Collection'!R101),"")</f>
        <v/>
      </c>
      <c r="AI540" s="271" t="str">
        <f>IFERROR(AVERAGE('Dry_Litterbag Placem_Collection'!N101,'Dry_Litterbag Placem_Collection'!Q101),"")</f>
        <v/>
      </c>
      <c r="AJ540" s="270">
        <f>INDEX(Coordinates!$B$2:$B$197,MATCH(G540,Coordinates!$J$2:$J$197,0))</f>
        <v>-2.369284993</v>
      </c>
      <c r="AK540" s="270">
        <f>INDEX(Coordinates!$C$2:$C$197,MATCH(G540,Coordinates!$J$2:$J$197,0))</f>
        <v>34.06028104</v>
      </c>
      <c r="AL540" s="270" t="str">
        <f>IF(ISNUMBER(SEARCH("C", 'Dry_Litterbag Placem_Collection'!U101)),"YES","NO")</f>
        <v>NO</v>
      </c>
      <c r="AM540" s="270" t="str">
        <f>IF(ISNUMBER(SEARCH("H", 'Dry_Litterbag Placem_Collection'!U101)),"YES","NO")</f>
        <v>NO</v>
      </c>
      <c r="AN540" s="270" t="str">
        <f>IF(ISNUMBER(SEARCH("R", 'Dry_Litterbag Placem_Collection'!U101)),"YES","NO")</f>
        <v>NO</v>
      </c>
    </row>
    <row r="541" spans="1:40" ht="15" customHeight="1">
      <c r="A541" s="262" t="s">
        <v>2659</v>
      </c>
      <c r="B541" s="263">
        <f>'Dry_Litterbag Placem_Collection'!A102</f>
        <v>100</v>
      </c>
      <c r="C541" s="263" t="str">
        <f>'Dry_Litterbag Placem_Collection'!B102</f>
        <v xml:space="preserve">Mwantimba
</v>
      </c>
      <c r="D541" s="263" t="s">
        <v>2460</v>
      </c>
      <c r="E541" s="263" t="s">
        <v>2660</v>
      </c>
      <c r="F541" s="263">
        <v>1</v>
      </c>
      <c r="G541" s="264" t="str">
        <f>'Dry_Litterbag Placem_Collection'!C102</f>
        <v>Wet_Ag1_T4</v>
      </c>
      <c r="H541" s="273" t="s">
        <v>3651</v>
      </c>
      <c r="I541" s="266" t="s">
        <v>1147</v>
      </c>
      <c r="J541" s="263" t="str">
        <f>IF(ISBLANK('Dry_Litterbag Placem_Collection'!L102),"","G"&amp;""&amp;'Dry_Litterbag Placem_Collection'!L102)</f>
        <v>G187</v>
      </c>
      <c r="K541" s="267">
        <f>IFERROR(INDEX('Green_rooibos initial weight'!$C$5:$C$1749,MATCH(J541, 'Green_rooibos initial weight'!$A$5:$A$1749,0)),"")</f>
        <v>1.996</v>
      </c>
      <c r="L541" s="267">
        <f>IFERROR(K541-(TBIcalc!$Q$9+TBIcalc!$Q$10),"")</f>
        <v>1.7462</v>
      </c>
      <c r="M541" s="391">
        <f>AVERAGE(Ashed_controlls!$K$2:$K$11)</f>
        <v>5.5147656768714146</v>
      </c>
      <c r="N541" s="267">
        <f t="shared" si="41"/>
        <v>1.6499011617504713</v>
      </c>
      <c r="O541" s="267">
        <f>IF(IFERROR(INDEX('Both teabags AfterDry'!$D$3:$D$900,MATCH(J541,'Both teabags AfterDry'!$A$3:$A$900,0)),"")="","",(IFERROR(INDEX('Both teabags AfterDry'!$D$3:$D$900,MATCH(J541,'Both teabags AfterDry'!$A$3:$A$900,0)),"")))</f>
        <v>1.1655</v>
      </c>
      <c r="P541" s="267">
        <f>IFERROR(IF(O541&gt;0,O541-(TBIcalc!$Q$9),""),"")</f>
        <v>1.0148999999999999</v>
      </c>
      <c r="Q541" s="278">
        <f>IFERROR(INDEX('Ashed teabags dry'!$K$2:$K$825,MATCH(J541,'Ashed teabags dry'!$A$2:$A$825,0)),"")</f>
        <v>10.999039385206627</v>
      </c>
      <c r="R541" s="278">
        <f t="shared" si="42"/>
        <v>0.90327074927953788</v>
      </c>
      <c r="S541" s="268">
        <f>'Dry_Litterbag Placem_Collection'!E102</f>
        <v>42939</v>
      </c>
      <c r="T541" s="268">
        <f>IF('Dry_Litterbag Placem_Collection'!G102="","",'Dry_Litterbag Placem_Collection'!G102)</f>
        <v>43010</v>
      </c>
      <c r="U541" s="269">
        <f t="shared" si="40"/>
        <v>71</v>
      </c>
      <c r="V541" s="267">
        <f t="shared" si="43"/>
        <v>0.73130000000000006</v>
      </c>
      <c r="W541" s="267">
        <f t="shared" si="44"/>
        <v>0.74663041247093342</v>
      </c>
      <c r="X541" s="271">
        <f>IFERROR(INDEX(Rainfall_Dry!$O$2:$O$217,MATCH(B541, Rainfall_Dry!$A$2:$A$217,0)),"")</f>
        <v>137.19979645800001</v>
      </c>
      <c r="Y541" s="260">
        <v>45.96</v>
      </c>
      <c r="Z541" s="260">
        <v>14.920000000000003</v>
      </c>
      <c r="AA541" s="260">
        <v>39.119999999999997</v>
      </c>
      <c r="AB541" s="261" t="s">
        <v>2673</v>
      </c>
      <c r="AC541" s="260">
        <v>5.0374568753080302</v>
      </c>
      <c r="AD541">
        <f>IF('WetLitterbags placem_collection'!AB102="","",'WetLitterbags placem_collection'!AB102)</f>
        <v>1.6</v>
      </c>
      <c r="AE541">
        <f>IF('WetLitterbags placem_collection'!Z102="","",'WetLitterbags placem_collection'!Z102)</f>
        <v>15</v>
      </c>
      <c r="AF541" s="246" t="str">
        <f>IF('WetLitterbags placem_collection'!AA102="","",'WetLitterbags placem_collection'!AA102)</f>
        <v>G</v>
      </c>
      <c r="AG541">
        <f>IF('WetLitterbags placem_collection'!AC102="","",'WetLitterbags placem_collection'!AC102)</f>
        <v>1</v>
      </c>
      <c r="AH541">
        <f>IFERROR(AVERAGE('Dry_Litterbag Placem_Collection'!O102,'Dry_Litterbag Placem_Collection'!R102),"")</f>
        <v>6.75</v>
      </c>
      <c r="AI541" s="271">
        <f>IFERROR(AVERAGE('Dry_Litterbag Placem_Collection'!N102,'Dry_Litterbag Placem_Collection'!Q102),"")</f>
        <v>29.1</v>
      </c>
      <c r="AJ541" s="270">
        <f>INDEX(Coordinates!$B$2:$B$197,MATCH(G541,Coordinates!$J$2:$J$197,0))</f>
        <v>-2.3691989950000001</v>
      </c>
      <c r="AK541" s="270">
        <f>INDEX(Coordinates!$C$2:$C$197,MATCH(G541,Coordinates!$J$2:$J$197,0))</f>
        <v>34.060208029999998</v>
      </c>
      <c r="AL541" s="270" t="str">
        <f>IF(ISNUMBER(SEARCH("C", 'Dry_Litterbag Placem_Collection'!U102)),"YES","NO")</f>
        <v>NO</v>
      </c>
      <c r="AM541" s="270" t="str">
        <f>IF(ISNUMBER(SEARCH("H", 'Dry_Litterbag Placem_Collection'!U102)),"YES","NO")</f>
        <v>NO</v>
      </c>
      <c r="AN541" s="270" t="str">
        <f>IF(ISNUMBER(SEARCH("R", 'Dry_Litterbag Placem_Collection'!U102)),"YES","NO")</f>
        <v>NO</v>
      </c>
    </row>
    <row r="542" spans="1:40" ht="15" customHeight="1">
      <c r="A542" s="262" t="s">
        <v>2659</v>
      </c>
      <c r="B542" s="263">
        <f>'Dry_Litterbag Placem_Collection'!A103</f>
        <v>101</v>
      </c>
      <c r="C542" s="263" t="str">
        <f>'Dry_Litterbag Placem_Collection'!B103</f>
        <v xml:space="preserve">Mwantimba
</v>
      </c>
      <c r="D542" s="263" t="s">
        <v>2460</v>
      </c>
      <c r="E542" s="263" t="s">
        <v>2660</v>
      </c>
      <c r="F542" s="263">
        <v>1</v>
      </c>
      <c r="G542" s="264" t="str">
        <f>'Dry_Litterbag Placem_Collection'!C103</f>
        <v>Wet_Ag1_T5</v>
      </c>
      <c r="H542" s="273" t="s">
        <v>3651</v>
      </c>
      <c r="I542" s="266" t="s">
        <v>1147</v>
      </c>
      <c r="J542" s="263" t="str">
        <f>IF(ISBLANK('Dry_Litterbag Placem_Collection'!L103),"","G"&amp;""&amp;'Dry_Litterbag Placem_Collection'!L103)</f>
        <v>G398</v>
      </c>
      <c r="K542" s="267">
        <f>IFERROR(INDEX('Green_rooibos initial weight'!$C$5:$C$1749,MATCH(J542, 'Green_rooibos initial weight'!$A$5:$A$1749,0)),"")</f>
        <v>1.9870000000000001</v>
      </c>
      <c r="L542" s="267">
        <f>IFERROR(K542-(TBIcalc!$Q$9+TBIcalc!$Q$10),"")</f>
        <v>1.7372000000000001</v>
      </c>
      <c r="M542" s="391">
        <f>AVERAGE(Ashed_controlls!$K$2:$K$11)</f>
        <v>5.5147656768714146</v>
      </c>
      <c r="N542" s="267">
        <f t="shared" si="41"/>
        <v>1.64139749066139</v>
      </c>
      <c r="O542" s="267">
        <f>IF(IFERROR(INDEX('Both teabags AfterDry'!$D$3:$D$900,MATCH(J542,'Both teabags AfterDry'!$A$3:$A$900,0)),"")="","",(IFERROR(INDEX('Both teabags AfterDry'!$D$3:$D$900,MATCH(J542,'Both teabags AfterDry'!$A$3:$A$900,0)),"")))</f>
        <v>1.0217000000000001</v>
      </c>
      <c r="P542" s="267">
        <f>IFERROR(IF(O542&gt;0,O542-(TBIcalc!$Q$9),""),"")</f>
        <v>0.87109999999999999</v>
      </c>
      <c r="Q542" s="278">
        <f>IFERROR(INDEX('Ashed teabags dry'!$K$2:$K$825,MATCH(J542,'Ashed teabags dry'!$A$2:$A$825,0)),"")</f>
        <v>14.119832791454268</v>
      </c>
      <c r="R542" s="278">
        <f t="shared" si="42"/>
        <v>0.74810213655364188</v>
      </c>
      <c r="S542" s="268">
        <f>'Dry_Litterbag Placem_Collection'!E103</f>
        <v>42939</v>
      </c>
      <c r="T542" s="268">
        <f>IF('Dry_Litterbag Placem_Collection'!G103="","",'Dry_Litterbag Placem_Collection'!G103)</f>
        <v>43010</v>
      </c>
      <c r="U542" s="269">
        <f t="shared" si="40"/>
        <v>71</v>
      </c>
      <c r="V542" s="267">
        <f t="shared" si="43"/>
        <v>0.86610000000000009</v>
      </c>
      <c r="W542" s="267">
        <f t="shared" si="44"/>
        <v>0.89329535410774807</v>
      </c>
      <c r="X542" s="271">
        <f>IFERROR(INDEX(Rainfall_Dry!$O$2:$O$217,MATCH(B542, Rainfall_Dry!$A$2:$A$217,0)),"")</f>
        <v>137.19979645800001</v>
      </c>
      <c r="Y542" s="260">
        <v>45.96</v>
      </c>
      <c r="Z542" s="260">
        <v>14.920000000000003</v>
      </c>
      <c r="AA542" s="260">
        <v>39.119999999999997</v>
      </c>
      <c r="AB542" s="261" t="s">
        <v>2673</v>
      </c>
      <c r="AC542" s="260">
        <v>6.0374568753080302</v>
      </c>
      <c r="AD542">
        <f>IF('WetLitterbags placem_collection'!AB103="","",'WetLitterbags placem_collection'!AB103)</f>
        <v>4.3499999999999996</v>
      </c>
      <c r="AE542">
        <f>IF('WetLitterbags placem_collection'!Z103="","",'WetLitterbags placem_collection'!Z103)</f>
        <v>17</v>
      </c>
      <c r="AF542" s="246" t="str">
        <f>IF('WetLitterbags placem_collection'!AA103="","",'WetLitterbags placem_collection'!AA103)</f>
        <v>G</v>
      </c>
      <c r="AG542">
        <f>IF('WetLitterbags placem_collection'!AC103="","",'WetLitterbags placem_collection'!AC103)</f>
        <v>1</v>
      </c>
      <c r="AH542">
        <f>IFERROR(AVERAGE('Dry_Litterbag Placem_Collection'!O103,'Dry_Litterbag Placem_Collection'!R103),"")</f>
        <v>7.75</v>
      </c>
      <c r="AI542" s="271">
        <f>IFERROR(AVERAGE('Dry_Litterbag Placem_Collection'!N103,'Dry_Litterbag Placem_Collection'!Q103),"")</f>
        <v>29.549999999999997</v>
      </c>
      <c r="AJ542" s="270">
        <f>INDEX(Coordinates!$B$2:$B$197,MATCH(G542,Coordinates!$J$2:$J$197,0))</f>
        <v>-2.3691900260000001</v>
      </c>
      <c r="AK542" s="270">
        <f>INDEX(Coordinates!$C$2:$C$197,MATCH(G542,Coordinates!$J$2:$J$197,0))</f>
        <v>34.060177019999998</v>
      </c>
      <c r="AL542" s="270" t="str">
        <f>IF(ISNUMBER(SEARCH("C", 'Dry_Litterbag Placem_Collection'!U103)),"YES","NO")</f>
        <v>NO</v>
      </c>
      <c r="AM542" s="270" t="str">
        <f>IF(ISNUMBER(SEARCH("H", 'Dry_Litterbag Placem_Collection'!U103)),"YES","NO")</f>
        <v>NO</v>
      </c>
      <c r="AN542" s="270" t="str">
        <f>IF(ISNUMBER(SEARCH("R", 'Dry_Litterbag Placem_Collection'!U103)),"YES","NO")</f>
        <v>NO</v>
      </c>
    </row>
    <row r="543" spans="1:40" ht="15" customHeight="1">
      <c r="A543" s="262" t="s">
        <v>2659</v>
      </c>
      <c r="B543" s="263">
        <f>'Dry_Litterbag Placem_Collection'!A104</f>
        <v>102</v>
      </c>
      <c r="C543" s="263" t="str">
        <f>'Dry_Litterbag Placem_Collection'!B104</f>
        <v xml:space="preserve">Mwantimba
</v>
      </c>
      <c r="D543" s="263" t="s">
        <v>2460</v>
      </c>
      <c r="E543" s="263" t="s">
        <v>2660</v>
      </c>
      <c r="F543" s="263">
        <v>1</v>
      </c>
      <c r="G543" s="264" t="str">
        <f>'Dry_Litterbag Placem_Collection'!C104</f>
        <v>Wet_Ag1_T6</v>
      </c>
      <c r="H543" s="273" t="s">
        <v>3651</v>
      </c>
      <c r="I543" s="266" t="s">
        <v>1147</v>
      </c>
      <c r="J543" s="263" t="str">
        <f>IF(ISBLANK('Dry_Litterbag Placem_Collection'!L104),"","G"&amp;""&amp;'Dry_Litterbag Placem_Collection'!L104)</f>
        <v>G120</v>
      </c>
      <c r="K543" s="267">
        <f>IFERROR(INDEX('Green_rooibos initial weight'!$C$5:$C$1749,MATCH(J543, 'Green_rooibos initial weight'!$A$5:$A$1749,0)),"")</f>
        <v>2.0449999999999999</v>
      </c>
      <c r="L543" s="267">
        <f>IFERROR(K543-(TBIcalc!$Q$9+TBIcalc!$Q$10),"")</f>
        <v>1.7951999999999999</v>
      </c>
      <c r="M543" s="391">
        <f>AVERAGE(Ashed_controlls!$K$2:$K$11)</f>
        <v>5.5147656768714146</v>
      </c>
      <c r="N543" s="267">
        <f t="shared" si="41"/>
        <v>1.6961989265688042</v>
      </c>
      <c r="O543" s="267">
        <f>IF(IFERROR(INDEX('Both teabags AfterDry'!$D$3:$D$900,MATCH(J543,'Both teabags AfterDry'!$A$3:$A$900,0)),"")="","",(IFERROR(INDEX('Both teabags AfterDry'!$D$3:$D$900,MATCH(J543,'Both teabags AfterDry'!$A$3:$A$900,0)),"")))</f>
        <v>1.0569999999999999</v>
      </c>
      <c r="P543" s="267">
        <f>IFERROR(IF(O543&gt;0,O543-(TBIcalc!$Q$9),""),"")</f>
        <v>0.90639999999999987</v>
      </c>
      <c r="Q543" s="278">
        <f>IFERROR(INDEX('Ashed teabags dry'!$K$2:$K$825,MATCH(J543,'Ashed teabags dry'!$A$2:$A$825,0)),"")</f>
        <v>10.580708661416786</v>
      </c>
      <c r="R543" s="278">
        <f t="shared" si="42"/>
        <v>0.81049645669291814</v>
      </c>
      <c r="S543" s="268">
        <f>'Dry_Litterbag Placem_Collection'!E104</f>
        <v>42939</v>
      </c>
      <c r="T543" s="268">
        <f>IF('Dry_Litterbag Placem_Collection'!G104="","",'Dry_Litterbag Placem_Collection'!G104)</f>
        <v>43010</v>
      </c>
      <c r="U543" s="269">
        <f t="shared" si="40"/>
        <v>71</v>
      </c>
      <c r="V543" s="267">
        <f t="shared" si="43"/>
        <v>0.88880000000000003</v>
      </c>
      <c r="W543" s="267">
        <f t="shared" si="44"/>
        <v>0.88570246987588608</v>
      </c>
      <c r="X543" s="271">
        <f>IFERROR(INDEX(Rainfall_Dry!$O$2:$O$217,MATCH(B543, Rainfall_Dry!$A$2:$A$217,0)),"")</f>
        <v>137.19979645800001</v>
      </c>
      <c r="Y543" s="260">
        <v>45.96</v>
      </c>
      <c r="Z543" s="260">
        <v>14.920000000000003</v>
      </c>
      <c r="AA543" s="260">
        <v>39.119999999999997</v>
      </c>
      <c r="AB543" s="261" t="s">
        <v>2673</v>
      </c>
      <c r="AC543" s="260">
        <v>7.0374568753080302</v>
      </c>
      <c r="AD543">
        <f>IF('WetLitterbags placem_collection'!AB104="","",'WetLitterbags placem_collection'!AB104)</f>
        <v>7.7</v>
      </c>
      <c r="AE543">
        <f>IF('WetLitterbags placem_collection'!Z104="","",'WetLitterbags placem_collection'!Z104)</f>
        <v>21</v>
      </c>
      <c r="AF543" s="246" t="str">
        <f>IF('WetLitterbags placem_collection'!AA104="","",'WetLitterbags placem_collection'!AA104)</f>
        <v>G</v>
      </c>
      <c r="AG543">
        <f>IF('WetLitterbags placem_collection'!AC104="","",'WetLitterbags placem_collection'!AC104)</f>
        <v>1</v>
      </c>
      <c r="AH543">
        <f>IFERROR(AVERAGE('Dry_Litterbag Placem_Collection'!O104,'Dry_Litterbag Placem_Collection'!R104),"")</f>
        <v>7.3000000000000007</v>
      </c>
      <c r="AI543" s="271">
        <f>IFERROR(AVERAGE('Dry_Litterbag Placem_Collection'!N104,'Dry_Litterbag Placem_Collection'!Q104),"")</f>
        <v>29.05</v>
      </c>
      <c r="AJ543" s="270">
        <f>INDEX(Coordinates!$B$2:$B$197,MATCH(G543,Coordinates!$J$2:$J$197,0))</f>
        <v>-2.3691350409999998</v>
      </c>
      <c r="AK543" s="270">
        <f>INDEX(Coordinates!$C$2:$C$197,MATCH(G543,Coordinates!$J$2:$J$197,0))</f>
        <v>34.06018297</v>
      </c>
      <c r="AL543" s="270" t="str">
        <f>IF(ISNUMBER(SEARCH("C", 'Dry_Litterbag Placem_Collection'!U104)),"YES","NO")</f>
        <v>NO</v>
      </c>
      <c r="AM543" s="270" t="str">
        <f>IF(ISNUMBER(SEARCH("H", 'Dry_Litterbag Placem_Collection'!U104)),"YES","NO")</f>
        <v>NO</v>
      </c>
      <c r="AN543" s="270" t="str">
        <f>IF(ISNUMBER(SEARCH("R", 'Dry_Litterbag Placem_Collection'!U104)),"YES","NO")</f>
        <v>NO</v>
      </c>
    </row>
    <row r="544" spans="1:40" ht="15" customHeight="1">
      <c r="A544" s="262" t="s">
        <v>2659</v>
      </c>
      <c r="B544" s="263">
        <f>'Dry_Litterbag Placem_Collection'!A105</f>
        <v>103</v>
      </c>
      <c r="C544" s="263" t="str">
        <f>'Dry_Litterbag Placem_Collection'!B105</f>
        <v xml:space="preserve">Mwantimba
</v>
      </c>
      <c r="D544" s="263" t="s">
        <v>2460</v>
      </c>
      <c r="E544" s="263" t="s">
        <v>2660</v>
      </c>
      <c r="F544" s="263">
        <v>1</v>
      </c>
      <c r="G544" s="264" t="str">
        <f>'Dry_Litterbag Placem_Collection'!C105</f>
        <v>Wet_Ag1_T7</v>
      </c>
      <c r="H544" s="273" t="s">
        <v>3651</v>
      </c>
      <c r="I544" s="266" t="s">
        <v>1147</v>
      </c>
      <c r="J544" s="263" t="str">
        <f>IF(ISBLANK('Dry_Litterbag Placem_Collection'!L105),"","G"&amp;""&amp;'Dry_Litterbag Placem_Collection'!L105)</f>
        <v>G145</v>
      </c>
      <c r="K544" s="267">
        <f>IFERROR(INDEX('Green_rooibos initial weight'!$C$5:$C$1749,MATCH(J544, 'Green_rooibos initial weight'!$A$5:$A$1749,0)),"")</f>
        <v>2.044</v>
      </c>
      <c r="L544" s="267">
        <f>IFERROR(K544-(TBIcalc!$Q$9+TBIcalc!$Q$10),"")</f>
        <v>1.7942</v>
      </c>
      <c r="M544" s="391">
        <f>AVERAGE(Ashed_controlls!$K$2:$K$11)</f>
        <v>5.5147656768714146</v>
      </c>
      <c r="N544" s="267">
        <f t="shared" si="41"/>
        <v>1.6952540742255731</v>
      </c>
      <c r="O544" s="267">
        <f>IF(IFERROR(INDEX('Both teabags AfterDry'!$D$3:$D$900,MATCH(J544,'Both teabags AfterDry'!$A$3:$A$900,0)),"")="","",(IFERROR(INDEX('Both teabags AfterDry'!$D$3:$D$900,MATCH(J544,'Both teabags AfterDry'!$A$3:$A$900,0)),"")))</f>
        <v>1.0654999999999999</v>
      </c>
      <c r="P544" s="267">
        <f>IFERROR(IF(O544&gt;0,O544-(TBIcalc!$Q$9),""),"")</f>
        <v>0.91489999999999982</v>
      </c>
      <c r="Q544" s="278">
        <f>IFERROR(INDEX('Ashed teabags dry'!$K$2:$K$825,MATCH(J544,'Ashed teabags dry'!$A$2:$A$825,0)),"")</f>
        <v>11.406672678088214</v>
      </c>
      <c r="R544" s="278">
        <f t="shared" si="42"/>
        <v>0.81054035166817084</v>
      </c>
      <c r="S544" s="268">
        <f>'Dry_Litterbag Placem_Collection'!E105</f>
        <v>42939</v>
      </c>
      <c r="T544" s="268">
        <f>IF('Dry_Litterbag Placem_Collection'!G105="","",'Dry_Litterbag Placem_Collection'!G105)</f>
        <v>43010</v>
      </c>
      <c r="U544" s="269">
        <f t="shared" si="40"/>
        <v>71</v>
      </c>
      <c r="V544" s="267">
        <f t="shared" si="43"/>
        <v>0.87930000000000019</v>
      </c>
      <c r="W544" s="267">
        <f t="shared" si="44"/>
        <v>0.88471372255740222</v>
      </c>
      <c r="X544" s="271">
        <f>IFERROR(INDEX(Rainfall_Dry!$O$2:$O$217,MATCH(B544, Rainfall_Dry!$A$2:$A$217,0)),"")</f>
        <v>137.19979645800001</v>
      </c>
      <c r="Y544" s="260">
        <v>45.96</v>
      </c>
      <c r="Z544" s="260">
        <v>14.920000000000003</v>
      </c>
      <c r="AA544" s="260">
        <v>39.119999999999997</v>
      </c>
      <c r="AB544" s="261" t="s">
        <v>2673</v>
      </c>
      <c r="AC544" s="260">
        <v>8.0374568753080293</v>
      </c>
      <c r="AD544">
        <f>IF('WetLitterbags placem_collection'!AB105="","",'WetLitterbags placem_collection'!AB105)</f>
        <v>3.25</v>
      </c>
      <c r="AE544">
        <f>IF('WetLitterbags placem_collection'!Z105="","",'WetLitterbags placem_collection'!Z105)</f>
        <v>16</v>
      </c>
      <c r="AF544" s="246" t="str">
        <f>IF('WetLitterbags placem_collection'!AA105="","",'WetLitterbags placem_collection'!AA105)</f>
        <v>G</v>
      </c>
      <c r="AG544">
        <f>IF('WetLitterbags placem_collection'!AC105="","",'WetLitterbags placem_collection'!AC105)</f>
        <v>1</v>
      </c>
      <c r="AH544">
        <f>IFERROR(AVERAGE('Dry_Litterbag Placem_Collection'!O105,'Dry_Litterbag Placem_Collection'!R105),"")</f>
        <v>30.9</v>
      </c>
      <c r="AI544" s="271">
        <f>IFERROR(AVERAGE('Dry_Litterbag Placem_Collection'!N105,'Dry_Litterbag Placem_Collection'!Q105),"")</f>
        <v>28.799999999999997</v>
      </c>
      <c r="AJ544" s="270">
        <f>INDEX(Coordinates!$B$2:$B$197,MATCH(G544,Coordinates!$J$2:$J$197,0))</f>
        <v>-2.3691330289999999</v>
      </c>
      <c r="AK544" s="270">
        <f>INDEX(Coordinates!$C$2:$C$197,MATCH(G544,Coordinates!$J$2:$J$197,0))</f>
        <v>34.060233009999997</v>
      </c>
      <c r="AL544" s="270" t="str">
        <f>IF(ISNUMBER(SEARCH("C", 'Dry_Litterbag Placem_Collection'!U105)),"YES","NO")</f>
        <v>NO</v>
      </c>
      <c r="AM544" s="270" t="str">
        <f>IF(ISNUMBER(SEARCH("H", 'Dry_Litterbag Placem_Collection'!U105)),"YES","NO")</f>
        <v>NO</v>
      </c>
      <c r="AN544" s="270" t="str">
        <f>IF(ISNUMBER(SEARCH("R", 'Dry_Litterbag Placem_Collection'!U105)),"YES","NO")</f>
        <v>NO</v>
      </c>
    </row>
    <row r="545" spans="1:40" ht="15" customHeight="1">
      <c r="A545" s="262" t="s">
        <v>2659</v>
      </c>
      <c r="B545" s="263">
        <f>'Dry_Litterbag Placem_Collection'!A106</f>
        <v>104</v>
      </c>
      <c r="C545" s="263" t="str">
        <f>'Dry_Litterbag Placem_Collection'!B106</f>
        <v xml:space="preserve">Mwantimba
</v>
      </c>
      <c r="D545" s="263" t="s">
        <v>2460</v>
      </c>
      <c r="E545" s="263" t="s">
        <v>2660</v>
      </c>
      <c r="F545" s="263">
        <v>1</v>
      </c>
      <c r="G545" s="264" t="str">
        <f>'Dry_Litterbag Placem_Collection'!C106</f>
        <v>Wet_Ag1_T8</v>
      </c>
      <c r="H545" s="273" t="s">
        <v>3651</v>
      </c>
      <c r="I545" s="266" t="s">
        <v>1147</v>
      </c>
      <c r="J545" s="263" t="str">
        <f>IF(ISBLANK('Dry_Litterbag Placem_Collection'!L106),"","G"&amp;""&amp;'Dry_Litterbag Placem_Collection'!L106)</f>
        <v>G76</v>
      </c>
      <c r="K545" s="267">
        <f>IFERROR(INDEX('Green_rooibos initial weight'!$C$5:$C$1749,MATCH(J545, 'Green_rooibos initial weight'!$A$5:$A$1749,0)),"")</f>
        <v>2.0129999999999999</v>
      </c>
      <c r="L545" s="267">
        <f>IFERROR(K545-(TBIcalc!$Q$9+TBIcalc!$Q$10),"")</f>
        <v>1.7631999999999999</v>
      </c>
      <c r="M545" s="391">
        <f>AVERAGE(Ashed_controlls!$K$2:$K$11)</f>
        <v>5.5147656768714146</v>
      </c>
      <c r="N545" s="267">
        <f t="shared" si="41"/>
        <v>1.665963651585403</v>
      </c>
      <c r="O545" s="267">
        <f>IF(IFERROR(INDEX('Both teabags AfterDry'!$D$3:$D$900,MATCH(J545,'Both teabags AfterDry'!$A$3:$A$900,0)),"")="","",(IFERROR(INDEX('Both teabags AfterDry'!$D$3:$D$900,MATCH(J545,'Both teabags AfterDry'!$A$3:$A$900,0)),"")))</f>
        <v>1.2876000000000001</v>
      </c>
      <c r="P545" s="267">
        <f>IFERROR(IF(O545&gt;0,O545-(TBIcalc!$Q$9),""),"")</f>
        <v>1.137</v>
      </c>
      <c r="Q545" s="278">
        <f>IFERROR(INDEX('Ashed teabags dry'!$K$2:$K$825,MATCH(J545,'Ashed teabags dry'!$A$2:$A$825,0)),"")</f>
        <v>9.59232613908814</v>
      </c>
      <c r="R545" s="278">
        <f t="shared" si="42"/>
        <v>1.0279352517985678</v>
      </c>
      <c r="S545" s="268">
        <f>'Dry_Litterbag Placem_Collection'!E106</f>
        <v>42939</v>
      </c>
      <c r="T545" s="268">
        <f>IF('Dry_Litterbag Placem_Collection'!G106="","",'Dry_Litterbag Placem_Collection'!G106)</f>
        <v>43010</v>
      </c>
      <c r="U545" s="269">
        <f t="shared" si="40"/>
        <v>71</v>
      </c>
      <c r="V545" s="267">
        <f t="shared" si="43"/>
        <v>0.62619999999999987</v>
      </c>
      <c r="W545" s="267">
        <f t="shared" si="44"/>
        <v>0.63802839978683523</v>
      </c>
      <c r="X545" s="271">
        <f>IFERROR(INDEX(Rainfall_Dry!$O$2:$O$217,MATCH(B545, Rainfall_Dry!$A$2:$A$217,0)),"")</f>
        <v>137.19979645800001</v>
      </c>
      <c r="Y545" s="260">
        <v>45.96</v>
      </c>
      <c r="Z545" s="260">
        <v>14.920000000000003</v>
      </c>
      <c r="AA545" s="260">
        <v>39.119999999999997</v>
      </c>
      <c r="AB545" s="261" t="s">
        <v>2673</v>
      </c>
      <c r="AC545" s="260">
        <v>9.0374568753080293</v>
      </c>
      <c r="AD545">
        <f>IF('WetLitterbags placem_collection'!AB106="","",'WetLitterbags placem_collection'!AB106)</f>
        <v>10.5</v>
      </c>
      <c r="AE545">
        <f>IF('WetLitterbags placem_collection'!Z106="","",'WetLitterbags placem_collection'!Z106)</f>
        <v>17</v>
      </c>
      <c r="AF545" s="246" t="str">
        <f>IF('WetLitterbags placem_collection'!AA106="","",'WetLitterbags placem_collection'!AA106)</f>
        <v>G</v>
      </c>
      <c r="AG545">
        <f>IF('WetLitterbags placem_collection'!AC106="","",'WetLitterbags placem_collection'!AC106)</f>
        <v>1</v>
      </c>
      <c r="AH545">
        <f>IFERROR(AVERAGE('Dry_Litterbag Placem_Collection'!O106,'Dry_Litterbag Placem_Collection'!R106),"")</f>
        <v>9.3000000000000007</v>
      </c>
      <c r="AI545" s="271">
        <f>IFERROR(AVERAGE('Dry_Litterbag Placem_Collection'!N106,'Dry_Litterbag Placem_Collection'!Q106),"")</f>
        <v>28.05</v>
      </c>
      <c r="AJ545" s="270">
        <f>INDEX(Coordinates!$B$2:$B$197,MATCH(G545,Coordinates!$J$2:$J$197,0))</f>
        <v>-2.3692910280000001</v>
      </c>
      <c r="AK545" s="270">
        <f>INDEX(Coordinates!$C$2:$C$197,MATCH(G545,Coordinates!$J$2:$J$197,0))</f>
        <v>34.06016202</v>
      </c>
      <c r="AL545" s="270" t="str">
        <f>IF(ISNUMBER(SEARCH("C", 'Dry_Litterbag Placem_Collection'!U106)),"YES","NO")</f>
        <v>NO</v>
      </c>
      <c r="AM545" s="270" t="str">
        <f>IF(ISNUMBER(SEARCH("H", 'Dry_Litterbag Placem_Collection'!U106)),"YES","NO")</f>
        <v>NO</v>
      </c>
      <c r="AN545" s="270" t="str">
        <f>IF(ISNUMBER(SEARCH("R", 'Dry_Litterbag Placem_Collection'!U106)),"YES","NO")</f>
        <v>NO</v>
      </c>
    </row>
    <row r="546" spans="1:40" ht="15" customHeight="1">
      <c r="A546" s="262" t="s">
        <v>2659</v>
      </c>
      <c r="B546" s="263">
        <f>'Dry_Litterbag Placem_Collection'!A107</f>
        <v>105</v>
      </c>
      <c r="C546" s="263" t="str">
        <f>'Dry_Litterbag Placem_Collection'!B107</f>
        <v xml:space="preserve">Mwantimba
</v>
      </c>
      <c r="D546" s="263" t="s">
        <v>2460</v>
      </c>
      <c r="E546" s="263" t="s">
        <v>2660</v>
      </c>
      <c r="F546" s="263">
        <v>2</v>
      </c>
      <c r="G546" s="264" t="str">
        <f>'Dry_Litterbag Placem_Collection'!C107</f>
        <v>Wet_Ag2_T1</v>
      </c>
      <c r="H546" s="273" t="s">
        <v>3651</v>
      </c>
      <c r="I546" s="266" t="s">
        <v>1147</v>
      </c>
      <c r="J546" s="263" t="str">
        <f>IF(ISBLANK('Dry_Litterbag Placem_Collection'!L107),"","G"&amp;""&amp;'Dry_Litterbag Placem_Collection'!L107)</f>
        <v>G57</v>
      </c>
      <c r="K546" s="267">
        <f>IFERROR(INDEX('Green_rooibos initial weight'!$C$5:$C$1749,MATCH(J546, 'Green_rooibos initial weight'!$A$5:$A$1749,0)),"")</f>
        <v>2.077</v>
      </c>
      <c r="L546" s="267">
        <f>IFERROR(K546-(TBIcalc!$Q$9+TBIcalc!$Q$10),"")</f>
        <v>1.8271999999999999</v>
      </c>
      <c r="M546" s="391">
        <f>AVERAGE(Ashed_controlls!$K$2:$K$11)</f>
        <v>5.5147656768714146</v>
      </c>
      <c r="N546" s="267">
        <f t="shared" si="41"/>
        <v>1.7264342015522054</v>
      </c>
      <c r="O546" s="267">
        <f>IF(IFERROR(INDEX('Both teabags AfterDry'!$D$3:$D$900,MATCH(J546,'Both teabags AfterDry'!$A$3:$A$900,0)),"")="","",(IFERROR(INDEX('Both teabags AfterDry'!$D$3:$D$900,MATCH(J546,'Both teabags AfterDry'!$A$3:$A$900,0)),"")))</f>
        <v>1.0114000000000001</v>
      </c>
      <c r="P546" s="267">
        <f>IFERROR(IF(O546&gt;0,O546-(TBIcalc!$Q$9),""),"")</f>
        <v>0.86080000000000001</v>
      </c>
      <c r="Q546" s="278">
        <f>IFERROR(INDEX('Ashed teabags dry'!$K$2:$K$825,MATCH(J546,'Ashed teabags dry'!$A$2:$A$825,0)),"")</f>
        <v>24.439461883408928</v>
      </c>
      <c r="R546" s="278">
        <f t="shared" si="42"/>
        <v>0.65042511210761589</v>
      </c>
      <c r="S546" s="268">
        <f>'Dry_Litterbag Placem_Collection'!E107</f>
        <v>42939</v>
      </c>
      <c r="T546" s="268">
        <f>IF('Dry_Litterbag Placem_Collection'!G107="","",'Dry_Litterbag Placem_Collection'!G107)</f>
        <v>43010</v>
      </c>
      <c r="U546" s="269">
        <f t="shared" si="40"/>
        <v>71</v>
      </c>
      <c r="V546" s="267">
        <f t="shared" si="43"/>
        <v>0.96639999999999993</v>
      </c>
      <c r="W546" s="267">
        <f t="shared" si="44"/>
        <v>1.0760090894445895</v>
      </c>
      <c r="X546" s="271">
        <f>IFERROR(INDEX(Rainfall_Dry!$O$2:$O$217,MATCH(B546, Rainfall_Dry!$A$2:$A$217,0)),"")</f>
        <v>137.19979645800001</v>
      </c>
      <c r="Y546" s="260">
        <v>34.344660194174757</v>
      </c>
      <c r="Z546" s="260">
        <v>19.22727272727273</v>
      </c>
      <c r="AA546" s="260">
        <v>46.428067078552509</v>
      </c>
      <c r="AB546" s="261" t="s">
        <v>2670</v>
      </c>
      <c r="AC546" s="260">
        <v>1.7452932479053718</v>
      </c>
      <c r="AD546">
        <f>IF('WetLitterbags placem_collection'!AB107="","",'WetLitterbags placem_collection'!AB107)</f>
        <v>5.5</v>
      </c>
      <c r="AE546">
        <f>IF('WetLitterbags placem_collection'!Z107="","",'WetLitterbags placem_collection'!Z107)</f>
        <v>23.5</v>
      </c>
      <c r="AF546" s="246" t="str">
        <f>IF('WetLitterbags placem_collection'!AA107="","",'WetLitterbags placem_collection'!AA107)</f>
        <v>M</v>
      </c>
      <c r="AG546">
        <f>IF('WetLitterbags placem_collection'!AC107="","",'WetLitterbags placem_collection'!AC107)</f>
        <v>0</v>
      </c>
      <c r="AH546">
        <f>IFERROR(AVERAGE('Dry_Litterbag Placem_Collection'!O107,'Dry_Litterbag Placem_Collection'!R107),"")</f>
        <v>7.5500000000000007</v>
      </c>
      <c r="AI546" s="271">
        <f>IFERROR(AVERAGE('Dry_Litterbag Placem_Collection'!N107,'Dry_Litterbag Placem_Collection'!Q107),"")</f>
        <v>30.549999999999997</v>
      </c>
      <c r="AJ546" s="270">
        <f>INDEX(Coordinates!$B$2:$B$197,MATCH(G546,Coordinates!$J$2:$J$197,0))</f>
        <v>-2.3698080240000001</v>
      </c>
      <c r="AK546" s="270">
        <f>INDEX(Coordinates!$C$2:$C$197,MATCH(G546,Coordinates!$J$2:$J$197,0))</f>
        <v>34.059671010000002</v>
      </c>
      <c r="AL546" s="270" t="str">
        <f>IF(ISNUMBER(SEARCH("C", 'Dry_Litterbag Placem_Collection'!U107)),"YES","NO")</f>
        <v>NO</v>
      </c>
      <c r="AM546" s="270" t="str">
        <f>IF(ISNUMBER(SEARCH("H", 'Dry_Litterbag Placem_Collection'!U107)),"YES","NO")</f>
        <v>NO</v>
      </c>
      <c r="AN546" s="270" t="str">
        <f>IF(ISNUMBER(SEARCH("R", 'Dry_Litterbag Placem_Collection'!U107)),"YES","NO")</f>
        <v>NO</v>
      </c>
    </row>
    <row r="547" spans="1:40" ht="15" customHeight="1">
      <c r="A547" s="262" t="s">
        <v>2659</v>
      </c>
      <c r="B547" s="263">
        <f>'Dry_Litterbag Placem_Collection'!A108</f>
        <v>106</v>
      </c>
      <c r="C547" s="263" t="str">
        <f>'Dry_Litterbag Placem_Collection'!B108</f>
        <v xml:space="preserve">Mwantimba
</v>
      </c>
      <c r="D547" s="263" t="s">
        <v>2460</v>
      </c>
      <c r="E547" s="263" t="s">
        <v>2660</v>
      </c>
      <c r="F547" s="263">
        <v>2</v>
      </c>
      <c r="G547" s="264" t="str">
        <f>'Dry_Litterbag Placem_Collection'!C108</f>
        <v>Wet_Ag2_T2</v>
      </c>
      <c r="H547" s="273" t="s">
        <v>3651</v>
      </c>
      <c r="I547" s="266" t="s">
        <v>1147</v>
      </c>
      <c r="J547" s="263" t="str">
        <f>IF(ISBLANK('Dry_Litterbag Placem_Collection'!L108),"","G"&amp;""&amp;'Dry_Litterbag Placem_Collection'!L108)</f>
        <v>G167</v>
      </c>
      <c r="K547" s="267">
        <f>IFERROR(INDEX('Green_rooibos initial weight'!$C$5:$C$1749,MATCH(J547, 'Green_rooibos initial weight'!$A$5:$A$1749,0)),"")</f>
        <v>1.996</v>
      </c>
      <c r="L547" s="267">
        <f>IFERROR(K547-(TBIcalc!$Q$9+TBIcalc!$Q$10),"")</f>
        <v>1.7462</v>
      </c>
      <c r="M547" s="391">
        <f>AVERAGE(Ashed_controlls!$K$2:$K$11)</f>
        <v>5.5147656768714146</v>
      </c>
      <c r="N547" s="267">
        <f t="shared" si="41"/>
        <v>1.6499011617504713</v>
      </c>
      <c r="O547" s="267">
        <f>IF(IFERROR(INDEX('Both teabags AfterDry'!$D$3:$D$900,MATCH(J547,'Both teabags AfterDry'!$A$3:$A$900,0)),"")="","",(IFERROR(INDEX('Both teabags AfterDry'!$D$3:$D$900,MATCH(J547,'Both teabags AfterDry'!$A$3:$A$900,0)),"")))</f>
        <v>0.98309999999999997</v>
      </c>
      <c r="P547" s="267">
        <f>IFERROR(IF(O547&gt;0,O547-(TBIcalc!$Q$9),""),"")</f>
        <v>0.83250000000000002</v>
      </c>
      <c r="Q547" s="278">
        <f>IFERROR(INDEX('Ashed teabags dry'!$K$2:$K$825,MATCH(J547,'Ashed teabags dry'!$A$2:$A$825,0)),"")</f>
        <v>18.432769367765196</v>
      </c>
      <c r="R547" s="278">
        <f t="shared" si="42"/>
        <v>0.67904719501335475</v>
      </c>
      <c r="S547" s="268">
        <f>'Dry_Litterbag Placem_Collection'!E108</f>
        <v>42939</v>
      </c>
      <c r="T547" s="268">
        <f>IF('Dry_Litterbag Placem_Collection'!G108="","",'Dry_Litterbag Placem_Collection'!G108)</f>
        <v>43010</v>
      </c>
      <c r="U547" s="269">
        <f t="shared" si="40"/>
        <v>71</v>
      </c>
      <c r="V547" s="267">
        <f t="shared" si="43"/>
        <v>0.91369999999999996</v>
      </c>
      <c r="W547" s="267">
        <f t="shared" si="44"/>
        <v>0.97085396673711655</v>
      </c>
      <c r="X547" s="271">
        <f>IFERROR(INDEX(Rainfall_Dry!$O$2:$O$217,MATCH(B547, Rainfall_Dry!$A$2:$A$217,0)),"")</f>
        <v>137.19979645800001</v>
      </c>
      <c r="Y547" s="260">
        <v>34.344660194174757</v>
      </c>
      <c r="Z547" s="260">
        <v>19.22727272727273</v>
      </c>
      <c r="AA547" s="260">
        <v>46.428067078552509</v>
      </c>
      <c r="AB547" s="261" t="s">
        <v>2670</v>
      </c>
      <c r="AC547" s="260">
        <v>2.7452932479053702</v>
      </c>
      <c r="AD547">
        <f>IF('WetLitterbags placem_collection'!AB108="","",'WetLitterbags placem_collection'!AB108)</f>
        <v>8.6</v>
      </c>
      <c r="AE547">
        <f>IF('WetLitterbags placem_collection'!Z108="","",'WetLitterbags placem_collection'!Z108)</f>
        <v>17</v>
      </c>
      <c r="AF547" s="246" t="str">
        <f>IF('WetLitterbags placem_collection'!AA108="","",'WetLitterbags placem_collection'!AA108)</f>
        <v>M</v>
      </c>
      <c r="AG547">
        <f>IF('WetLitterbags placem_collection'!AC108="","",'WetLitterbags placem_collection'!AC108)</f>
        <v>0</v>
      </c>
      <c r="AH547">
        <f>IFERROR(AVERAGE('Dry_Litterbag Placem_Collection'!O108,'Dry_Litterbag Placem_Collection'!R108),"")</f>
        <v>6.1</v>
      </c>
      <c r="AI547" s="271">
        <f>IFERROR(AVERAGE('Dry_Litterbag Placem_Collection'!N108,'Dry_Litterbag Placem_Collection'!Q108),"")</f>
        <v>31.3</v>
      </c>
      <c r="AJ547" s="270">
        <f>INDEX(Coordinates!$B$2:$B$197,MATCH(G547,Coordinates!$J$2:$J$197,0))</f>
        <v>-2.3697620069999998</v>
      </c>
      <c r="AK547" s="270">
        <f>INDEX(Coordinates!$C$2:$C$197,MATCH(G547,Coordinates!$J$2:$J$197,0))</f>
        <v>34.059730010000003</v>
      </c>
      <c r="AL547" s="270" t="str">
        <f>IF(ISNUMBER(SEARCH("C", 'Dry_Litterbag Placem_Collection'!U108)),"YES","NO")</f>
        <v>NO</v>
      </c>
      <c r="AM547" s="270" t="str">
        <f>IF(ISNUMBER(SEARCH("H", 'Dry_Litterbag Placem_Collection'!U108)),"YES","NO")</f>
        <v>NO</v>
      </c>
      <c r="AN547" s="270" t="str">
        <f>IF(ISNUMBER(SEARCH("R", 'Dry_Litterbag Placem_Collection'!U108)),"YES","NO")</f>
        <v>NO</v>
      </c>
    </row>
    <row r="548" spans="1:40" ht="15" customHeight="1">
      <c r="A548" s="262" t="s">
        <v>2659</v>
      </c>
      <c r="B548" s="263">
        <f>'Dry_Litterbag Placem_Collection'!A109</f>
        <v>107</v>
      </c>
      <c r="C548" s="263" t="str">
        <f>'Dry_Litterbag Placem_Collection'!B109</f>
        <v xml:space="preserve">Mwantimba
</v>
      </c>
      <c r="D548" s="263" t="s">
        <v>2460</v>
      </c>
      <c r="E548" s="263" t="s">
        <v>2660</v>
      </c>
      <c r="F548" s="263">
        <v>2</v>
      </c>
      <c r="G548" s="264" t="str">
        <f>'Dry_Litterbag Placem_Collection'!C109</f>
        <v>Wet_Ag2_T3</v>
      </c>
      <c r="H548" s="273" t="s">
        <v>3651</v>
      </c>
      <c r="I548" s="266" t="s">
        <v>1147</v>
      </c>
      <c r="J548" s="263" t="str">
        <f>IF(ISBLANK('Dry_Litterbag Placem_Collection'!L109),"","G"&amp;""&amp;'Dry_Litterbag Placem_Collection'!L109)</f>
        <v>G208</v>
      </c>
      <c r="K548" s="267">
        <f>IFERROR(INDEX('Green_rooibos initial weight'!$C$5:$C$1749,MATCH(J548, 'Green_rooibos initial weight'!$A$5:$A$1749,0)),"")</f>
        <v>2.0019999999999998</v>
      </c>
      <c r="L548" s="267">
        <f>IFERROR(K548-(TBIcalc!$Q$9+TBIcalc!$Q$10),"")</f>
        <v>1.7521999999999998</v>
      </c>
      <c r="M548" s="391">
        <f>AVERAGE(Ashed_controlls!$K$2:$K$11)</f>
        <v>5.5147656768714146</v>
      </c>
      <c r="N548" s="267">
        <f t="shared" si="41"/>
        <v>1.6555702758098589</v>
      </c>
      <c r="O548" s="267" t="str">
        <f>IF(IFERROR(INDEX('Both teabags AfterDry'!$D$3:$D$900,MATCH(J548,'Both teabags AfterDry'!$A$3:$A$900,0)),"")="","",(IFERROR(INDEX('Both teabags AfterDry'!$D$3:$D$900,MATCH(J548,'Both teabags AfterDry'!$A$3:$A$900,0)),"")))</f>
        <v/>
      </c>
      <c r="P548" s="267" t="str">
        <f>IFERROR(IF(O548&gt;0,O548-(TBIcalc!$Q$9),""),"")</f>
        <v/>
      </c>
      <c r="Q548" s="278" t="str">
        <f>IFERROR(INDEX('Ashed teabags dry'!$K$2:$K$825,MATCH(J548,'Ashed teabags dry'!$A$2:$A$825,0)),"")</f>
        <v/>
      </c>
      <c r="R548" s="278" t="str">
        <f t="shared" si="42"/>
        <v/>
      </c>
      <c r="S548" s="268">
        <f>'Dry_Litterbag Placem_Collection'!E109</f>
        <v>42939</v>
      </c>
      <c r="T548" s="268">
        <f>IF('Dry_Litterbag Placem_Collection'!G109="","",'Dry_Litterbag Placem_Collection'!G109)</f>
        <v>43010</v>
      </c>
      <c r="U548" s="269">
        <f t="shared" si="40"/>
        <v>71</v>
      </c>
      <c r="V548" s="267" t="str">
        <f t="shared" si="43"/>
        <v/>
      </c>
      <c r="W548" s="267" t="str">
        <f t="shared" si="44"/>
        <v/>
      </c>
      <c r="X548" s="271">
        <f>IFERROR(INDEX(Rainfall_Dry!$O$2:$O$217,MATCH(B548, Rainfall_Dry!$A$2:$A$217,0)),"")</f>
        <v>137.19979645800001</v>
      </c>
      <c r="Y548" s="260">
        <v>34.344660194174757</v>
      </c>
      <c r="Z548" s="260">
        <v>19.22727272727273</v>
      </c>
      <c r="AA548" s="260">
        <v>46.428067078552509</v>
      </c>
      <c r="AB548" s="261" t="s">
        <v>2670</v>
      </c>
      <c r="AC548" s="260">
        <v>3.7452932479053702</v>
      </c>
      <c r="AD548">
        <f>IF('WetLitterbags placem_collection'!AB109="","",'WetLitterbags placem_collection'!AB109)</f>
        <v>3.85</v>
      </c>
      <c r="AE548">
        <f>IF('WetLitterbags placem_collection'!Z109="","",'WetLitterbags placem_collection'!Z109)</f>
        <v>15.5</v>
      </c>
      <c r="AF548" s="246" t="str">
        <f>IF('WetLitterbags placem_collection'!AA109="","",'WetLitterbags placem_collection'!AA109)</f>
        <v>M</v>
      </c>
      <c r="AG548">
        <f>IF('WetLitterbags placem_collection'!AC109="","",'WetLitterbags placem_collection'!AC109)</f>
        <v>0</v>
      </c>
      <c r="AH548">
        <f>IFERROR(AVERAGE('Dry_Litterbag Placem_Collection'!O109,'Dry_Litterbag Placem_Collection'!R109),"")</f>
        <v>5.3</v>
      </c>
      <c r="AI548" s="271">
        <f>IFERROR(AVERAGE('Dry_Litterbag Placem_Collection'!N109,'Dry_Litterbag Placem_Collection'!Q109),"")</f>
        <v>30.200000000000003</v>
      </c>
      <c r="AJ548" s="270">
        <f>INDEX(Coordinates!$B$2:$B$197,MATCH(G548,Coordinates!$J$2:$J$197,0))</f>
        <v>-2.3698409649999999</v>
      </c>
      <c r="AK548" s="270">
        <f>INDEX(Coordinates!$C$2:$C$197,MATCH(G548,Coordinates!$J$2:$J$197,0))</f>
        <v>34.059814000000003</v>
      </c>
      <c r="AL548" s="270" t="str">
        <f>IF(ISNUMBER(SEARCH("C", 'Dry_Litterbag Placem_Collection'!U109)),"YES","NO")</f>
        <v>NO</v>
      </c>
      <c r="AM548" s="270" t="str">
        <f>IF(ISNUMBER(SEARCH("H", 'Dry_Litterbag Placem_Collection'!U109)),"YES","NO")</f>
        <v>NO</v>
      </c>
      <c r="AN548" s="270" t="str">
        <f>IF(ISNUMBER(SEARCH("R", 'Dry_Litterbag Placem_Collection'!U109)),"YES","NO")</f>
        <v>NO</v>
      </c>
    </row>
    <row r="549" spans="1:40" ht="15" customHeight="1">
      <c r="A549" s="262" t="s">
        <v>2659</v>
      </c>
      <c r="B549" s="263">
        <f>'Dry_Litterbag Placem_Collection'!A110</f>
        <v>108</v>
      </c>
      <c r="C549" s="263" t="str">
        <f>'Dry_Litterbag Placem_Collection'!B110</f>
        <v xml:space="preserve">Mwantimba
</v>
      </c>
      <c r="D549" s="263" t="s">
        <v>2460</v>
      </c>
      <c r="E549" s="263" t="s">
        <v>2660</v>
      </c>
      <c r="F549" s="263">
        <v>2</v>
      </c>
      <c r="G549" s="264" t="str">
        <f>'Dry_Litterbag Placem_Collection'!C110</f>
        <v>Wet_Ag2_T4</v>
      </c>
      <c r="H549" s="273" t="s">
        <v>3651</v>
      </c>
      <c r="I549" s="266" t="s">
        <v>1147</v>
      </c>
      <c r="J549" s="263" t="str">
        <f>IF(ISBLANK('Dry_Litterbag Placem_Collection'!L110),"","G"&amp;""&amp;'Dry_Litterbag Placem_Collection'!L110)</f>
        <v>G62</v>
      </c>
      <c r="K549" s="267">
        <f>IFERROR(INDEX('Green_rooibos initial weight'!$C$5:$C$1749,MATCH(J549, 'Green_rooibos initial weight'!$A$5:$A$1749,0)),"")</f>
        <v>2.0819999999999999</v>
      </c>
      <c r="L549" s="267">
        <f>IFERROR(K549-(TBIcalc!$Q$9+TBIcalc!$Q$10),"")</f>
        <v>1.8321999999999998</v>
      </c>
      <c r="M549" s="391">
        <f>AVERAGE(Ashed_controlls!$K$2:$K$11)</f>
        <v>5.5147656768714146</v>
      </c>
      <c r="N549" s="267">
        <f t="shared" si="41"/>
        <v>1.7311584632683619</v>
      </c>
      <c r="O549" s="267">
        <f>IF(IFERROR(INDEX('Both teabags AfterDry'!$D$3:$D$900,MATCH(J549,'Both teabags AfterDry'!$A$3:$A$900,0)),"")="","",(IFERROR(INDEX('Both teabags AfterDry'!$D$3:$D$900,MATCH(J549,'Both teabags AfterDry'!$A$3:$A$900,0)),"")))</f>
        <v>1.0947</v>
      </c>
      <c r="P549" s="267">
        <f>IFERROR(IF(O549&gt;0,O549-(TBIcalc!$Q$9),""),"")</f>
        <v>0.94409999999999994</v>
      </c>
      <c r="Q549" s="278">
        <f>IFERROR(INDEX('Ashed teabags dry'!$K$2:$K$825,MATCH(J549,'Ashed teabags dry'!$A$2:$A$825,0)),"")</f>
        <v>18.630647414997014</v>
      </c>
      <c r="R549" s="278">
        <f t="shared" si="42"/>
        <v>0.76820805775501311</v>
      </c>
      <c r="S549" s="268">
        <f>'Dry_Litterbag Placem_Collection'!E110</f>
        <v>42939</v>
      </c>
      <c r="T549" s="268">
        <f>IF('Dry_Litterbag Placem_Collection'!G110="","",'Dry_Litterbag Placem_Collection'!G110)</f>
        <v>43010</v>
      </c>
      <c r="U549" s="269">
        <f t="shared" si="40"/>
        <v>71</v>
      </c>
      <c r="V549" s="267">
        <f t="shared" si="43"/>
        <v>0.88809999999999989</v>
      </c>
      <c r="W549" s="267">
        <f t="shared" si="44"/>
        <v>0.96295040551334876</v>
      </c>
      <c r="X549" s="271">
        <f>IFERROR(INDEX(Rainfall_Dry!$O$2:$O$217,MATCH(B549, Rainfall_Dry!$A$2:$A$217,0)),"")</f>
        <v>137.19979645800001</v>
      </c>
      <c r="Y549" s="260">
        <v>34.344660194174757</v>
      </c>
      <c r="Z549" s="260">
        <v>19.22727272727273</v>
      </c>
      <c r="AA549" s="260">
        <v>46.428067078552509</v>
      </c>
      <c r="AB549" s="261" t="s">
        <v>2670</v>
      </c>
      <c r="AC549" s="260">
        <v>4.7452932479053702</v>
      </c>
      <c r="AD549">
        <f>IF('WetLitterbags placem_collection'!AB110="","",'WetLitterbags placem_collection'!AB110)</f>
        <v>9.6999999999999993</v>
      </c>
      <c r="AE549">
        <f>IF('WetLitterbags placem_collection'!Z110="","",'WetLitterbags placem_collection'!Z110)</f>
        <v>22.5</v>
      </c>
      <c r="AF549" s="246" t="str">
        <f>IF('WetLitterbags placem_collection'!AA110="","",'WetLitterbags placem_collection'!AA110)</f>
        <v>M</v>
      </c>
      <c r="AG549">
        <f>IF('WetLitterbags placem_collection'!AC110="","",'WetLitterbags placem_collection'!AC110)</f>
        <v>0</v>
      </c>
      <c r="AH549">
        <f>IFERROR(AVERAGE('Dry_Litterbag Placem_Collection'!O110,'Dry_Litterbag Placem_Collection'!R110),"")</f>
        <v>7.65</v>
      </c>
      <c r="AI549" s="271">
        <f>IFERROR(AVERAGE('Dry_Litterbag Placem_Collection'!N110,'Dry_Litterbag Placem_Collection'!Q110),"")</f>
        <v>31.8</v>
      </c>
      <c r="AJ549" s="270">
        <f>INDEX(Coordinates!$B$2:$B$197,MATCH(G549,Coordinates!$J$2:$J$197,0))</f>
        <v>-2.3698620030000002</v>
      </c>
      <c r="AK549" s="270">
        <f>INDEX(Coordinates!$C$2:$C$197,MATCH(G549,Coordinates!$J$2:$J$197,0))</f>
        <v>34.059759020000001</v>
      </c>
      <c r="AL549" s="270" t="str">
        <f>IF(ISNUMBER(SEARCH("C", 'Dry_Litterbag Placem_Collection'!U110)),"YES","NO")</f>
        <v>NO</v>
      </c>
      <c r="AM549" s="270" t="str">
        <f>IF(ISNUMBER(SEARCH("H", 'Dry_Litterbag Placem_Collection'!U110)),"YES","NO")</f>
        <v>NO</v>
      </c>
      <c r="AN549" s="270" t="str">
        <f>IF(ISNUMBER(SEARCH("R", 'Dry_Litterbag Placem_Collection'!U110)),"YES","NO")</f>
        <v>NO</v>
      </c>
    </row>
    <row r="550" spans="1:40" ht="15" customHeight="1">
      <c r="A550" s="262" t="s">
        <v>2659</v>
      </c>
      <c r="B550" s="263">
        <f>'Dry_Litterbag Placem_Collection'!A111</f>
        <v>109</v>
      </c>
      <c r="C550" s="263" t="str">
        <f>'Dry_Litterbag Placem_Collection'!B111</f>
        <v xml:space="preserve">Mwantimba
</v>
      </c>
      <c r="D550" s="263" t="s">
        <v>2460</v>
      </c>
      <c r="E550" s="263" t="s">
        <v>2660</v>
      </c>
      <c r="F550" s="263">
        <v>2</v>
      </c>
      <c r="G550" s="264" t="str">
        <f>'Dry_Litterbag Placem_Collection'!C111</f>
        <v>Wet_Ag2_T5</v>
      </c>
      <c r="H550" s="273" t="s">
        <v>3651</v>
      </c>
      <c r="I550" s="266" t="s">
        <v>1147</v>
      </c>
      <c r="J550" s="263" t="str">
        <f>IF(ISBLANK('Dry_Litterbag Placem_Collection'!L111),"","G"&amp;""&amp;'Dry_Litterbag Placem_Collection'!L111)</f>
        <v>G102</v>
      </c>
      <c r="K550" s="267">
        <f>IFERROR(INDEX('Green_rooibos initial weight'!$C$5:$C$1749,MATCH(J550, 'Green_rooibos initial weight'!$A$5:$A$1749,0)),"")</f>
        <v>2.0920000000000001</v>
      </c>
      <c r="L550" s="267">
        <f>IFERROR(K550-(TBIcalc!$Q$9+TBIcalc!$Q$10),"")</f>
        <v>1.8422000000000001</v>
      </c>
      <c r="M550" s="391">
        <f>AVERAGE(Ashed_controlls!$K$2:$K$11)</f>
        <v>5.5147656768714146</v>
      </c>
      <c r="N550" s="267">
        <f t="shared" si="41"/>
        <v>1.7406069867006748</v>
      </c>
      <c r="O550" s="267">
        <f>IF(IFERROR(INDEX('Both teabags AfterDry'!$D$3:$D$900,MATCH(J550,'Both teabags AfterDry'!$A$3:$A$900,0)),"")="","",(IFERROR(INDEX('Both teabags AfterDry'!$D$3:$D$900,MATCH(J550,'Both teabags AfterDry'!$A$3:$A$900,0)),"")))</f>
        <v>1.0327999999999999</v>
      </c>
      <c r="P550" s="267">
        <f>IFERROR(IF(O550&gt;0,O550-(TBIcalc!$Q$9),""),"")</f>
        <v>0.88219999999999987</v>
      </c>
      <c r="Q550" s="278">
        <f>IFERROR(INDEX('Ashed teabags dry'!$K$2:$K$825,MATCH(J550,'Ashed teabags dry'!$A$2:$A$825,0)),"")</f>
        <v>18.731117824773449</v>
      </c>
      <c r="R550" s="278">
        <f t="shared" si="42"/>
        <v>0.71695407854984849</v>
      </c>
      <c r="S550" s="268">
        <f>'Dry_Litterbag Placem_Collection'!E111</f>
        <v>42939</v>
      </c>
      <c r="T550" s="268">
        <f>IF('Dry_Litterbag Placem_Collection'!G111="","",'Dry_Litterbag Placem_Collection'!G111)</f>
        <v>43010</v>
      </c>
      <c r="U550" s="269">
        <f t="shared" si="40"/>
        <v>71</v>
      </c>
      <c r="V550" s="267">
        <f t="shared" si="43"/>
        <v>0.96000000000000019</v>
      </c>
      <c r="W550" s="267">
        <f t="shared" si="44"/>
        <v>1.0236529081508263</v>
      </c>
      <c r="X550" s="271">
        <f>IFERROR(INDEX(Rainfall_Dry!$O$2:$O$217,MATCH(B550, Rainfall_Dry!$A$2:$A$217,0)),"")</f>
        <v>137.19979645800001</v>
      </c>
      <c r="Y550" s="260">
        <v>34.344660194174757</v>
      </c>
      <c r="Z550" s="260">
        <v>19.22727272727273</v>
      </c>
      <c r="AA550" s="260">
        <v>46.428067078552509</v>
      </c>
      <c r="AB550" s="261" t="s">
        <v>2670</v>
      </c>
      <c r="AC550" s="260">
        <v>5.7452932479053702</v>
      </c>
      <c r="AD550">
        <f>IF('WetLitterbags placem_collection'!AB111="","",'WetLitterbags placem_collection'!AB111)</f>
        <v>10.5</v>
      </c>
      <c r="AE550">
        <f>IF('WetLitterbags placem_collection'!Z111="","",'WetLitterbags placem_collection'!Z111)</f>
        <v>22.5</v>
      </c>
      <c r="AF550" s="246" t="str">
        <f>IF('WetLitterbags placem_collection'!AA111="","",'WetLitterbags placem_collection'!AA111)</f>
        <v>M</v>
      </c>
      <c r="AG550">
        <f>IF('WetLitterbags placem_collection'!AC111="","",'WetLitterbags placem_collection'!AC111)</f>
        <v>0</v>
      </c>
      <c r="AH550">
        <f>IFERROR(AVERAGE('Dry_Litterbag Placem_Collection'!O111,'Dry_Litterbag Placem_Collection'!R111),"")</f>
        <v>7.5</v>
      </c>
      <c r="AI550" s="271">
        <f>IFERROR(AVERAGE('Dry_Litterbag Placem_Collection'!N111,'Dry_Litterbag Placem_Collection'!Q111),"")</f>
        <v>30.65</v>
      </c>
      <c r="AJ550" s="270">
        <f>INDEX(Coordinates!$B$2:$B$197,MATCH(G550,Coordinates!$J$2:$J$197,0))</f>
        <v>-2.3698390370000002</v>
      </c>
      <c r="AK550" s="270">
        <f>INDEX(Coordinates!$C$2:$C$197,MATCH(G550,Coordinates!$J$2:$J$197,0))</f>
        <v>34.059714</v>
      </c>
      <c r="AL550" s="270" t="str">
        <f>IF(ISNUMBER(SEARCH("C", 'Dry_Litterbag Placem_Collection'!U111)),"YES","NO")</f>
        <v>NO</v>
      </c>
      <c r="AM550" s="270" t="str">
        <f>IF(ISNUMBER(SEARCH("H", 'Dry_Litterbag Placem_Collection'!U111)),"YES","NO")</f>
        <v>NO</v>
      </c>
      <c r="AN550" s="270" t="str">
        <f>IF(ISNUMBER(SEARCH("R", 'Dry_Litterbag Placem_Collection'!U111)),"YES","NO")</f>
        <v>NO</v>
      </c>
    </row>
    <row r="551" spans="1:40" ht="15" customHeight="1">
      <c r="A551" s="262" t="s">
        <v>2659</v>
      </c>
      <c r="B551" s="263">
        <f>'Dry_Litterbag Placem_Collection'!A112</f>
        <v>110</v>
      </c>
      <c r="C551" s="263" t="str">
        <f>'Dry_Litterbag Placem_Collection'!B112</f>
        <v xml:space="preserve">Mwantimba
</v>
      </c>
      <c r="D551" s="263" t="s">
        <v>2460</v>
      </c>
      <c r="E551" s="263" t="s">
        <v>2660</v>
      </c>
      <c r="F551" s="263">
        <v>2</v>
      </c>
      <c r="G551" s="264" t="str">
        <f>'Dry_Litterbag Placem_Collection'!C112</f>
        <v>Wet_Ag2_T6</v>
      </c>
      <c r="H551" s="273" t="s">
        <v>3651</v>
      </c>
      <c r="I551" s="266" t="s">
        <v>1147</v>
      </c>
      <c r="J551" s="263" t="str">
        <f>IF(ISBLANK('Dry_Litterbag Placem_Collection'!L112),"","G"&amp;""&amp;'Dry_Litterbag Placem_Collection'!L112)</f>
        <v>G265</v>
      </c>
      <c r="K551" s="267">
        <f>IFERROR(INDEX('Green_rooibos initial weight'!$C$5:$C$1749,MATCH(J551, 'Green_rooibos initial weight'!$A$5:$A$1749,0)),"")</f>
        <v>1.9790000000000001</v>
      </c>
      <c r="L551" s="267">
        <f>IFERROR(K551-(TBIcalc!$Q$9+TBIcalc!$Q$10),"")</f>
        <v>1.7292000000000001</v>
      </c>
      <c r="M551" s="391">
        <f>AVERAGE(Ashed_controlls!$K$2:$K$11)</f>
        <v>5.5147656768714146</v>
      </c>
      <c r="N551" s="267">
        <f t="shared" si="41"/>
        <v>1.6338386719155396</v>
      </c>
      <c r="O551" s="267">
        <f>IF(IFERROR(INDEX('Both teabags AfterDry'!$D$3:$D$900,MATCH(J551,'Both teabags AfterDry'!$A$3:$A$900,0)),"")="","",(IFERROR(INDEX('Both teabags AfterDry'!$D$3:$D$900,MATCH(J551,'Both teabags AfterDry'!$A$3:$A$900,0)),"")))</f>
        <v>0.93579999999999997</v>
      </c>
      <c r="P551" s="267">
        <f>IFERROR(IF(O551&gt;0,O551-(TBIcalc!$Q$9),""),"")</f>
        <v>0.7851999999999999</v>
      </c>
      <c r="Q551" s="278">
        <f>IFERROR(INDEX('Ashed teabags dry'!$K$2:$K$825,MATCH(J551,'Ashed teabags dry'!$A$2:$A$825,0)),"")</f>
        <v>14.665354330708222</v>
      </c>
      <c r="R551" s="278">
        <f t="shared" si="42"/>
        <v>0.67004763779527898</v>
      </c>
      <c r="S551" s="268">
        <f>'Dry_Litterbag Placem_Collection'!E112</f>
        <v>42939</v>
      </c>
      <c r="T551" s="268">
        <f>IF('Dry_Litterbag Placem_Collection'!G112="","",'Dry_Litterbag Placem_Collection'!G112)</f>
        <v>43010</v>
      </c>
      <c r="U551" s="269">
        <f t="shared" si="40"/>
        <v>71</v>
      </c>
      <c r="V551" s="267">
        <f t="shared" si="43"/>
        <v>0.94400000000000017</v>
      </c>
      <c r="W551" s="267">
        <f t="shared" si="44"/>
        <v>0.96379103412026057</v>
      </c>
      <c r="X551" s="271">
        <f>IFERROR(INDEX(Rainfall_Dry!$O$2:$O$217,MATCH(B551, Rainfall_Dry!$A$2:$A$217,0)),"")</f>
        <v>137.19979645800001</v>
      </c>
      <c r="Y551" s="260">
        <v>34.344660194174757</v>
      </c>
      <c r="Z551" s="260">
        <v>19.22727272727273</v>
      </c>
      <c r="AA551" s="260">
        <v>46.428067078552509</v>
      </c>
      <c r="AB551" s="261" t="s">
        <v>2670</v>
      </c>
      <c r="AC551" s="260">
        <v>6.7452932479053702</v>
      </c>
      <c r="AD551">
        <f>IF('WetLitterbags placem_collection'!AB112="","",'WetLitterbags placem_collection'!AB112)</f>
        <v>5.75</v>
      </c>
      <c r="AE551">
        <f>IF('WetLitterbags placem_collection'!Z112="","",'WetLitterbags placem_collection'!Z112)</f>
        <v>22.5</v>
      </c>
      <c r="AF551" s="246" t="str">
        <f>IF('WetLitterbags placem_collection'!AA112="","",'WetLitterbags placem_collection'!AA112)</f>
        <v>M</v>
      </c>
      <c r="AG551">
        <f>IF('WetLitterbags placem_collection'!AC112="","",'WetLitterbags placem_collection'!AC112)</f>
        <v>0</v>
      </c>
      <c r="AH551">
        <f>IFERROR(AVERAGE('Dry_Litterbag Placem_Collection'!O112,'Dry_Litterbag Placem_Collection'!R112),"")</f>
        <v>7.3500000000000005</v>
      </c>
      <c r="AI551" s="271">
        <f>IFERROR(AVERAGE('Dry_Litterbag Placem_Collection'!N112,'Dry_Litterbag Placem_Collection'!Q112),"")</f>
        <v>31.150000000000002</v>
      </c>
      <c r="AJ551" s="270">
        <f>INDEX(Coordinates!$B$2:$B$197,MATCH(G551,Coordinates!$J$2:$J$197,0))</f>
        <v>-2.3697549659999999</v>
      </c>
      <c r="AK551" s="270">
        <f>INDEX(Coordinates!$C$2:$C$197,MATCH(G551,Coordinates!$J$2:$J$197,0))</f>
        <v>34.059668989999999</v>
      </c>
      <c r="AL551" s="270" t="str">
        <f>IF(ISNUMBER(SEARCH("C", 'Dry_Litterbag Placem_Collection'!U112)),"YES","NO")</f>
        <v>NO</v>
      </c>
      <c r="AM551" s="270" t="str">
        <f>IF(ISNUMBER(SEARCH("H", 'Dry_Litterbag Placem_Collection'!U112)),"YES","NO")</f>
        <v>NO</v>
      </c>
      <c r="AN551" s="270" t="str">
        <f>IF(ISNUMBER(SEARCH("R", 'Dry_Litterbag Placem_Collection'!U112)),"YES","NO")</f>
        <v>NO</v>
      </c>
    </row>
    <row r="552" spans="1:40" ht="15" customHeight="1">
      <c r="A552" s="262" t="s">
        <v>2659</v>
      </c>
      <c r="B552" s="263">
        <f>'Dry_Litterbag Placem_Collection'!A113</f>
        <v>111</v>
      </c>
      <c r="C552" s="263" t="str">
        <f>'Dry_Litterbag Placem_Collection'!B113</f>
        <v xml:space="preserve">Mwantimba
</v>
      </c>
      <c r="D552" s="263" t="s">
        <v>2460</v>
      </c>
      <c r="E552" s="263" t="s">
        <v>2660</v>
      </c>
      <c r="F552" s="263">
        <v>2</v>
      </c>
      <c r="G552" s="264" t="str">
        <f>'Dry_Litterbag Placem_Collection'!C113</f>
        <v>Wet_Ag2_T7</v>
      </c>
      <c r="H552" s="273" t="s">
        <v>3651</v>
      </c>
      <c r="I552" s="266" t="s">
        <v>1147</v>
      </c>
      <c r="J552" s="263" t="str">
        <f>IF(ISBLANK('Dry_Litterbag Placem_Collection'!L113),"","G"&amp;""&amp;'Dry_Litterbag Placem_Collection'!L113)</f>
        <v>G455</v>
      </c>
      <c r="K552" s="267">
        <f>IFERROR(INDEX('Green_rooibos initial weight'!$C$5:$C$1749,MATCH(J552, 'Green_rooibos initial weight'!$A$5:$A$1749,0)),"")</f>
        <v>2.0299999999999998</v>
      </c>
      <c r="L552" s="267">
        <f>IFERROR(K552-(TBIcalc!$Q$9+TBIcalc!$Q$10),"")</f>
        <v>1.7801999999999998</v>
      </c>
      <c r="M552" s="391">
        <f>AVERAGE(Ashed_controlls!$K$2:$K$11)</f>
        <v>5.5147656768714146</v>
      </c>
      <c r="N552" s="267">
        <f t="shared" si="41"/>
        <v>1.6820261414203348</v>
      </c>
      <c r="O552" s="267">
        <f>IF(IFERROR(INDEX('Both teabags AfterDry'!$D$3:$D$900,MATCH(J552,'Both teabags AfterDry'!$A$3:$A$900,0)),"")="","",(IFERROR(INDEX('Both teabags AfterDry'!$D$3:$D$900,MATCH(J552,'Both teabags AfterDry'!$A$3:$A$900,0)),"")))</f>
        <v>0.92169999999999996</v>
      </c>
      <c r="P552" s="267">
        <f>IFERROR(IF(O552&gt;0,O552-(TBIcalc!$Q$9),""),"")</f>
        <v>0.7710999999999999</v>
      </c>
      <c r="Q552" s="278">
        <f>IFERROR(INDEX('Ashed teabags dry'!$K$2:$K$825,MATCH(J552,'Ashed teabags dry'!$A$2:$A$825,0)),"")</f>
        <v>17.328170377541223</v>
      </c>
      <c r="R552" s="278">
        <f t="shared" si="42"/>
        <v>0.63748247821877957</v>
      </c>
      <c r="S552" s="268">
        <f>'Dry_Litterbag Placem_Collection'!E113</f>
        <v>42939</v>
      </c>
      <c r="T552" s="268">
        <f>IF('Dry_Litterbag Placem_Collection'!G113="","",'Dry_Litterbag Placem_Collection'!G113)</f>
        <v>43010</v>
      </c>
      <c r="U552" s="269">
        <f t="shared" si="40"/>
        <v>71</v>
      </c>
      <c r="V552" s="267">
        <f t="shared" si="43"/>
        <v>1.0090999999999999</v>
      </c>
      <c r="W552" s="267">
        <f t="shared" si="44"/>
        <v>1.0445436632015552</v>
      </c>
      <c r="X552" s="271">
        <f>IFERROR(INDEX(Rainfall_Dry!$O$2:$O$217,MATCH(B552, Rainfall_Dry!$A$2:$A$217,0)),"")</f>
        <v>137.19979645800001</v>
      </c>
      <c r="Y552" s="260">
        <v>34.344660194174757</v>
      </c>
      <c r="Z552" s="260">
        <v>19.22727272727273</v>
      </c>
      <c r="AA552" s="260">
        <v>46.428067078552509</v>
      </c>
      <c r="AB552" s="261" t="s">
        <v>2670</v>
      </c>
      <c r="AC552" s="260">
        <v>7.7452932479053702</v>
      </c>
      <c r="AD552">
        <f>IF('WetLitterbags placem_collection'!AB113="","",'WetLitterbags placem_collection'!AB113)</f>
        <v>6.1</v>
      </c>
      <c r="AE552">
        <f>IF('WetLitterbags placem_collection'!Z113="","",'WetLitterbags placem_collection'!Z113)</f>
        <v>26</v>
      </c>
      <c r="AF552" s="246" t="str">
        <f>IF('WetLitterbags placem_collection'!AA113="","",'WetLitterbags placem_collection'!AA113)</f>
        <v>M</v>
      </c>
      <c r="AG552">
        <f>IF('WetLitterbags placem_collection'!AC113="","",'WetLitterbags placem_collection'!AC113)</f>
        <v>0</v>
      </c>
      <c r="AH552">
        <f>IFERROR(AVERAGE('Dry_Litterbag Placem_Collection'!O113,'Dry_Litterbag Placem_Collection'!R113),"")</f>
        <v>8.3000000000000007</v>
      </c>
      <c r="AI552" s="271">
        <f>IFERROR(AVERAGE('Dry_Litterbag Placem_Collection'!N113,'Dry_Litterbag Placem_Collection'!Q113),"")</f>
        <v>29.549999999999997</v>
      </c>
      <c r="AJ552" s="270">
        <f>INDEX(Coordinates!$B$2:$B$197,MATCH(G552,Coordinates!$J$2:$J$197,0))</f>
        <v>-2.3697330060000001</v>
      </c>
      <c r="AK552" s="270">
        <f>INDEX(Coordinates!$C$2:$C$197,MATCH(G552,Coordinates!$J$2:$J$197,0))</f>
        <v>34.059615010000002</v>
      </c>
      <c r="AL552" s="270" t="str">
        <f>IF(ISNUMBER(SEARCH("C", 'Dry_Litterbag Placem_Collection'!U113)),"YES","NO")</f>
        <v>NO</v>
      </c>
      <c r="AM552" s="270" t="str">
        <f>IF(ISNUMBER(SEARCH("H", 'Dry_Litterbag Placem_Collection'!U113)),"YES","NO")</f>
        <v>NO</v>
      </c>
      <c r="AN552" s="270" t="str">
        <f>IF(ISNUMBER(SEARCH("R", 'Dry_Litterbag Placem_Collection'!U113)),"YES","NO")</f>
        <v>NO</v>
      </c>
    </row>
    <row r="553" spans="1:40" ht="15" customHeight="1">
      <c r="A553" s="262" t="s">
        <v>2659</v>
      </c>
      <c r="B553" s="263">
        <f>'Dry_Litterbag Placem_Collection'!A114</f>
        <v>112</v>
      </c>
      <c r="C553" s="263" t="str">
        <f>'Dry_Litterbag Placem_Collection'!B114</f>
        <v xml:space="preserve">Mwantimba
</v>
      </c>
      <c r="D553" s="263" t="s">
        <v>2460</v>
      </c>
      <c r="E553" s="263" t="s">
        <v>2660</v>
      </c>
      <c r="F553" s="263">
        <v>2</v>
      </c>
      <c r="G553" s="264" t="str">
        <f>'Dry_Litterbag Placem_Collection'!C114</f>
        <v>Wet_Ag2_T8</v>
      </c>
      <c r="H553" s="273" t="s">
        <v>3651</v>
      </c>
      <c r="I553" s="266" t="s">
        <v>1147</v>
      </c>
      <c r="J553" s="263" t="str">
        <f>IF(ISBLANK('Dry_Litterbag Placem_Collection'!L114),"","G"&amp;""&amp;'Dry_Litterbag Placem_Collection'!L114)</f>
        <v/>
      </c>
      <c r="K553" s="267" t="str">
        <f>IFERROR(INDEX('Green_rooibos initial weight'!$C$5:$C$1749,MATCH(J553, 'Green_rooibos initial weight'!$A$5:$A$1749,0)),"")</f>
        <v/>
      </c>
      <c r="L553" s="267" t="str">
        <f>IFERROR(K553-(TBIcalc!$Q$9+TBIcalc!$Q$10),"")</f>
        <v/>
      </c>
      <c r="M553" s="391">
        <f>AVERAGE(Ashed_controlls!$K$2:$K$11)</f>
        <v>5.5147656768714146</v>
      </c>
      <c r="N553" s="267" t="str">
        <f t="shared" si="41"/>
        <v/>
      </c>
      <c r="O553" s="267" t="str">
        <f>IF(IFERROR(INDEX('Both teabags AfterDry'!$D$3:$D$900,MATCH(J553,'Both teabags AfterDry'!$A$3:$A$900,0)),"")="","",(IFERROR(INDEX('Both teabags AfterDry'!$D$3:$D$900,MATCH(J553,'Both teabags AfterDry'!$A$3:$A$900,0)),"")))</f>
        <v/>
      </c>
      <c r="P553" s="267" t="str">
        <f>IFERROR(IF(O553&gt;0,O553-(TBIcalc!$Q$9),""),"")</f>
        <v/>
      </c>
      <c r="Q553" s="278" t="str">
        <f>IFERROR(INDEX('Ashed teabags dry'!$K$2:$K$825,MATCH(J553,'Ashed teabags dry'!$A$2:$A$825,0)),"")</f>
        <v/>
      </c>
      <c r="R553" s="278" t="str">
        <f t="shared" si="42"/>
        <v/>
      </c>
      <c r="S553" s="268">
        <f>'Dry_Litterbag Placem_Collection'!E114</f>
        <v>0</v>
      </c>
      <c r="T553" s="268" t="str">
        <f>IF('Dry_Litterbag Placem_Collection'!G114="","",'Dry_Litterbag Placem_Collection'!G114)</f>
        <v/>
      </c>
      <c r="U553" s="269" t="str">
        <f t="shared" si="40"/>
        <v/>
      </c>
      <c r="V553" s="267" t="str">
        <f t="shared" si="43"/>
        <v/>
      </c>
      <c r="W553" s="267" t="str">
        <f t="shared" si="44"/>
        <v/>
      </c>
      <c r="X553" s="271" t="str">
        <f>IFERROR(INDEX(Rainfall_Dry!$O$2:$O$217,MATCH(B553, Rainfall_Dry!$A$2:$A$217,0)),"")</f>
        <v/>
      </c>
      <c r="Y553" s="260">
        <v>34.344660194174757</v>
      </c>
      <c r="Z553" s="260">
        <v>19.22727272727273</v>
      </c>
      <c r="AA553" s="260">
        <v>46.428067078552509</v>
      </c>
      <c r="AB553" s="261" t="s">
        <v>2670</v>
      </c>
      <c r="AC553" s="260">
        <v>8.7452932479053693</v>
      </c>
      <c r="AD553">
        <f>IF('WetLitterbags placem_collection'!AB114="","",'WetLitterbags placem_collection'!AB114)</f>
        <v>11.5</v>
      </c>
      <c r="AE553">
        <f>IF('WetLitterbags placem_collection'!Z114="","",'WetLitterbags placem_collection'!Z114)</f>
        <v>15</v>
      </c>
      <c r="AF553" s="246" t="str">
        <f>IF('WetLitterbags placem_collection'!AA114="","",'WetLitterbags placem_collection'!AA114)</f>
        <v>M</v>
      </c>
      <c r="AG553">
        <f>IF('WetLitterbags placem_collection'!AC114="","",'WetLitterbags placem_collection'!AC114)</f>
        <v>0</v>
      </c>
      <c r="AH553" t="str">
        <f>IFERROR(AVERAGE('Dry_Litterbag Placem_Collection'!O114,'Dry_Litterbag Placem_Collection'!R114),"")</f>
        <v/>
      </c>
      <c r="AI553" s="271" t="str">
        <f>IFERROR(AVERAGE('Dry_Litterbag Placem_Collection'!N114,'Dry_Litterbag Placem_Collection'!Q114),"")</f>
        <v/>
      </c>
      <c r="AJ553" s="270">
        <f>INDEX(Coordinates!$B$2:$B$197,MATCH(G553,Coordinates!$J$2:$J$197,0))</f>
        <v>-2.36967098</v>
      </c>
      <c r="AK553" s="270">
        <f>INDEX(Coordinates!$C$2:$C$197,MATCH(G553,Coordinates!$J$2:$J$197,0))</f>
        <v>34.059735959999998</v>
      </c>
      <c r="AL553" s="270" t="str">
        <f>IF(ISNUMBER(SEARCH("C", 'Dry_Litterbag Placem_Collection'!U114)),"YES","NO")</f>
        <v>NO</v>
      </c>
      <c r="AM553" s="270" t="str">
        <f>IF(ISNUMBER(SEARCH("H", 'Dry_Litterbag Placem_Collection'!U114)),"YES","NO")</f>
        <v>NO</v>
      </c>
      <c r="AN553" s="270" t="str">
        <f>IF(ISNUMBER(SEARCH("R", 'Dry_Litterbag Placem_Collection'!U114)),"YES","NO")</f>
        <v>NO</v>
      </c>
    </row>
    <row r="554" spans="1:40" ht="15" customHeight="1">
      <c r="A554" s="262" t="s">
        <v>2659</v>
      </c>
      <c r="B554" s="263">
        <f>'Dry_Litterbag Placem_Collection'!A115</f>
        <v>113</v>
      </c>
      <c r="C554" s="263" t="str">
        <f>'Dry_Litterbag Placem_Collection'!B115</f>
        <v xml:space="preserve">Mwantimba
</v>
      </c>
      <c r="D554" s="263" t="s">
        <v>2460</v>
      </c>
      <c r="E554" s="263" t="s">
        <v>2660</v>
      </c>
      <c r="F554" s="263">
        <v>3</v>
      </c>
      <c r="G554" s="264" t="str">
        <f>'Dry_Litterbag Placem_Collection'!C115</f>
        <v>Wet_Ag3_T1</v>
      </c>
      <c r="H554" s="273" t="s">
        <v>3651</v>
      </c>
      <c r="I554" s="266" t="s">
        <v>1147</v>
      </c>
      <c r="J554" s="263" t="str">
        <f>IF(ISBLANK('Dry_Litterbag Placem_Collection'!L115),"","G"&amp;""&amp;'Dry_Litterbag Placem_Collection'!L115)</f>
        <v>G490</v>
      </c>
      <c r="K554" s="267">
        <f>IFERROR(INDEX('Green_rooibos initial weight'!$C$5:$C$1749,MATCH(J554, 'Green_rooibos initial weight'!$A$5:$A$1749,0)),"")</f>
        <v>1.881</v>
      </c>
      <c r="L554" s="267">
        <f>IFERROR(K554-(TBIcalc!$Q$9+TBIcalc!$Q$10),"")</f>
        <v>1.6312</v>
      </c>
      <c r="M554" s="391">
        <f>AVERAGE(Ashed_controlls!$K$2:$K$11)</f>
        <v>5.5147656768714146</v>
      </c>
      <c r="N554" s="267">
        <f t="shared" si="41"/>
        <v>1.5412431422788735</v>
      </c>
      <c r="O554" s="267">
        <f>IF(IFERROR(INDEX('Both teabags AfterDry'!$D$3:$D$900,MATCH(J554,'Both teabags AfterDry'!$A$3:$A$900,0)),"")="","",(IFERROR(INDEX('Both teabags AfterDry'!$D$3:$D$900,MATCH(J554,'Both teabags AfterDry'!$A$3:$A$900,0)),"")))</f>
        <v>0.72760000000000002</v>
      </c>
      <c r="P554" s="267">
        <f>IFERROR(IF(O554&gt;0,O554-(TBIcalc!$Q$9),""),"")</f>
        <v>0.57699999999999996</v>
      </c>
      <c r="Q554" s="278">
        <f>IFERROR(INDEX('Ashed teabags dry'!$K$2:$K$825,MATCH(J554,'Ashed teabags dry'!$A$2:$A$825,0)),"")</f>
        <v>23.173681664247997</v>
      </c>
      <c r="R554" s="278">
        <f t="shared" si="42"/>
        <v>0.44328785679728899</v>
      </c>
      <c r="S554" s="268">
        <f>'Dry_Litterbag Placem_Collection'!E115</f>
        <v>42939</v>
      </c>
      <c r="T554" s="268">
        <f>IF('Dry_Litterbag Placem_Collection'!G115="","",'Dry_Litterbag Placem_Collection'!G115)</f>
        <v>43008</v>
      </c>
      <c r="U554" s="269">
        <f t="shared" si="40"/>
        <v>69</v>
      </c>
      <c r="V554" s="267">
        <f t="shared" si="43"/>
        <v>1.0542</v>
      </c>
      <c r="W554" s="267">
        <f t="shared" si="44"/>
        <v>1.0979552854815844</v>
      </c>
      <c r="X554" s="271">
        <f>IFERROR(INDEX(Rainfall_Dry!$O$2:$O$217,MATCH(B554, Rainfall_Dry!$A$2:$A$217,0)),"")</f>
        <v>136.27214243</v>
      </c>
      <c r="Y554" s="260">
        <v>27.96</v>
      </c>
      <c r="Z554" s="260">
        <v>4.9200000000000017</v>
      </c>
      <c r="AA554" s="260">
        <v>67.12</v>
      </c>
      <c r="AB554" s="261" t="s">
        <v>2670</v>
      </c>
      <c r="AC554" s="260">
        <v>0.88610152784622953</v>
      </c>
      <c r="AD554">
        <f>IF('WetLitterbags placem_collection'!AB115="","",'WetLitterbags placem_collection'!AB115)</f>
        <v>26</v>
      </c>
      <c r="AE554">
        <f>IF('WetLitterbags placem_collection'!Z115="","",'WetLitterbags placem_collection'!Z115)</f>
        <v>88.5</v>
      </c>
      <c r="AF554" s="246" t="str">
        <f>IF('WetLitterbags placem_collection'!AA115="","",'WetLitterbags placem_collection'!AA115)</f>
        <v>G</v>
      </c>
      <c r="AG554">
        <f>IF('WetLitterbags placem_collection'!AC115="","",'WetLitterbags placem_collection'!AC115)</f>
        <v>0</v>
      </c>
      <c r="AH554">
        <f>IFERROR(AVERAGE('Dry_Litterbag Placem_Collection'!O115,'Dry_Litterbag Placem_Collection'!R115),"")</f>
        <v>6.35</v>
      </c>
      <c r="AI554" s="271">
        <f>IFERROR(AVERAGE('Dry_Litterbag Placem_Collection'!N115,'Dry_Litterbag Placem_Collection'!Q115),"")</f>
        <v>28.9</v>
      </c>
      <c r="AJ554" s="270">
        <f>INDEX(Coordinates!$B$2:$B$197,MATCH(G554,Coordinates!$J$2:$J$197,0))</f>
        <v>-2.3487199940000001</v>
      </c>
      <c r="AK554" s="270">
        <f>INDEX(Coordinates!$C$2:$C$197,MATCH(G554,Coordinates!$J$2:$J$197,0))</f>
        <v>34.051391029999998</v>
      </c>
      <c r="AL554" s="270" t="str">
        <f>IF(ISNUMBER(SEARCH("C", 'Dry_Litterbag Placem_Collection'!U115)),"YES","NO")</f>
        <v>NO</v>
      </c>
      <c r="AM554" s="270" t="str">
        <f>IF(ISNUMBER(SEARCH("H", 'Dry_Litterbag Placem_Collection'!U115)),"YES","NO")</f>
        <v>NO</v>
      </c>
      <c r="AN554" s="270" t="str">
        <f>IF(ISNUMBER(SEARCH("R", 'Dry_Litterbag Placem_Collection'!U115)),"YES","NO")</f>
        <v>NO</v>
      </c>
    </row>
    <row r="555" spans="1:40" ht="15" customHeight="1">
      <c r="A555" s="262" t="s">
        <v>2659</v>
      </c>
      <c r="B555" s="263">
        <f>'Dry_Litterbag Placem_Collection'!A116</f>
        <v>114</v>
      </c>
      <c r="C555" s="263" t="str">
        <f>'Dry_Litterbag Placem_Collection'!B116</f>
        <v xml:space="preserve">Mwantimba
</v>
      </c>
      <c r="D555" s="263" t="s">
        <v>2460</v>
      </c>
      <c r="E555" s="263" t="s">
        <v>2660</v>
      </c>
      <c r="F555" s="263">
        <v>3</v>
      </c>
      <c r="G555" s="264" t="str">
        <f>'Dry_Litterbag Placem_Collection'!C116</f>
        <v>Wet_Ag3_T2</v>
      </c>
      <c r="H555" s="273" t="s">
        <v>3651</v>
      </c>
      <c r="I555" s="266" t="s">
        <v>1147</v>
      </c>
      <c r="J555" s="263" t="str">
        <f>IF(ISBLANK('Dry_Litterbag Placem_Collection'!L116),"","G"&amp;""&amp;'Dry_Litterbag Placem_Collection'!L116)</f>
        <v>G650</v>
      </c>
      <c r="K555" s="267">
        <f>IFERROR(INDEX('Green_rooibos initial weight'!$C$5:$C$1749,MATCH(J555, 'Green_rooibos initial weight'!$A$5:$A$1749,0)),"")</f>
        <v>2.0270000000000001</v>
      </c>
      <c r="L555" s="267">
        <f>IFERROR(K555-(TBIcalc!$Q$9+TBIcalc!$Q$10),"")</f>
        <v>1.7772000000000001</v>
      </c>
      <c r="M555" s="391">
        <f>AVERAGE(Ashed_controlls!$K$2:$K$11)</f>
        <v>5.5147656768714146</v>
      </c>
      <c r="N555" s="267">
        <f t="shared" si="41"/>
        <v>1.6791915843906413</v>
      </c>
      <c r="O555" s="267">
        <f>IF(IFERROR(INDEX('Both teabags AfterDry'!$D$3:$D$900,MATCH(J555,'Both teabags AfterDry'!$A$3:$A$900,0)),"")="","",(IFERROR(INDEX('Both teabags AfterDry'!$D$3:$D$900,MATCH(J555,'Both teabags AfterDry'!$A$3:$A$900,0)),"")))</f>
        <v>0.86890000000000001</v>
      </c>
      <c r="P555" s="267">
        <f>IFERROR(IF(O555&gt;0,O555-(TBIcalc!$Q$9),""),"")</f>
        <v>0.71829999999999994</v>
      </c>
      <c r="Q555" s="278">
        <f>IFERROR(INDEX('Ashed teabags dry'!$K$2:$K$825,MATCH(J555,'Ashed teabags dry'!$A$2:$A$825,0)),"")</f>
        <v>22.395326192794663</v>
      </c>
      <c r="R555" s="278">
        <f t="shared" si="42"/>
        <v>0.55743437195715595</v>
      </c>
      <c r="S555" s="268">
        <f>'Dry_Litterbag Placem_Collection'!E116</f>
        <v>42939</v>
      </c>
      <c r="T555" s="268">
        <f>IF('Dry_Litterbag Placem_Collection'!G116="","",'Dry_Litterbag Placem_Collection'!G116)</f>
        <v>43008</v>
      </c>
      <c r="U555" s="269">
        <f t="shared" si="40"/>
        <v>69</v>
      </c>
      <c r="V555" s="267">
        <f t="shared" si="43"/>
        <v>1.0589000000000002</v>
      </c>
      <c r="W555" s="267">
        <f t="shared" si="44"/>
        <v>1.1217572124334854</v>
      </c>
      <c r="X555" s="271">
        <f>IFERROR(INDEX(Rainfall_Dry!$O$2:$O$217,MATCH(B555, Rainfall_Dry!$A$2:$A$217,0)),"")</f>
        <v>136.27214243</v>
      </c>
      <c r="Y555" s="260">
        <v>27.96</v>
      </c>
      <c r="Z555" s="260">
        <v>4.9200000000000017</v>
      </c>
      <c r="AA555" s="260">
        <v>67.12</v>
      </c>
      <c r="AB555" s="261" t="s">
        <v>2670</v>
      </c>
      <c r="AC555" s="260">
        <v>1.8861015278462301</v>
      </c>
      <c r="AD555">
        <f>IF('WetLitterbags placem_collection'!AB116="","",'WetLitterbags placem_collection'!AB116)</f>
        <v>16.5</v>
      </c>
      <c r="AE555">
        <f>IF('WetLitterbags placem_collection'!Z116="","",'WetLitterbags placem_collection'!Z116)</f>
        <v>87.5</v>
      </c>
      <c r="AF555" s="246" t="str">
        <f>IF('WetLitterbags placem_collection'!AA116="","",'WetLitterbags placem_collection'!AA116)</f>
        <v>G</v>
      </c>
      <c r="AG555">
        <f>IF('WetLitterbags placem_collection'!AC116="","",'WetLitterbags placem_collection'!AC116)</f>
        <v>0</v>
      </c>
      <c r="AH555">
        <f>IFERROR(AVERAGE('Dry_Litterbag Placem_Collection'!O116,'Dry_Litterbag Placem_Collection'!R116),"")</f>
        <v>12.1</v>
      </c>
      <c r="AI555" s="271">
        <f>IFERROR(AVERAGE('Dry_Litterbag Placem_Collection'!N116,'Dry_Litterbag Placem_Collection'!Q116),"")</f>
        <v>28.1</v>
      </c>
      <c r="AJ555" s="270">
        <f>INDEX(Coordinates!$B$2:$B$197,MATCH(G555,Coordinates!$J$2:$J$197,0))</f>
        <v>-2.348716976</v>
      </c>
      <c r="AK555" s="270">
        <f>INDEX(Coordinates!$C$2:$C$197,MATCH(G555,Coordinates!$J$2:$J$197,0))</f>
        <v>34.051484989999999</v>
      </c>
      <c r="AL555" s="270" t="str">
        <f>IF(ISNUMBER(SEARCH("C", 'Dry_Litterbag Placem_Collection'!U116)),"YES","NO")</f>
        <v>NO</v>
      </c>
      <c r="AM555" s="270" t="str">
        <f>IF(ISNUMBER(SEARCH("H", 'Dry_Litterbag Placem_Collection'!U116)),"YES","NO")</f>
        <v>NO</v>
      </c>
      <c r="AN555" s="270" t="str">
        <f>IF(ISNUMBER(SEARCH("R", 'Dry_Litterbag Placem_Collection'!U116)),"YES","NO")</f>
        <v>NO</v>
      </c>
    </row>
    <row r="556" spans="1:40" ht="15" customHeight="1">
      <c r="A556" s="262" t="s">
        <v>2659</v>
      </c>
      <c r="B556" s="263">
        <f>'Dry_Litterbag Placem_Collection'!A117</f>
        <v>115</v>
      </c>
      <c r="C556" s="263" t="str">
        <f>'Dry_Litterbag Placem_Collection'!B117</f>
        <v xml:space="preserve">Mwantimba
</v>
      </c>
      <c r="D556" s="263" t="s">
        <v>2460</v>
      </c>
      <c r="E556" s="263" t="s">
        <v>2660</v>
      </c>
      <c r="F556" s="263">
        <v>3</v>
      </c>
      <c r="G556" s="264" t="str">
        <f>'Dry_Litterbag Placem_Collection'!C117</f>
        <v>Wet_Ag3_T3</v>
      </c>
      <c r="H556" s="273" t="s">
        <v>3651</v>
      </c>
      <c r="I556" s="266" t="s">
        <v>1147</v>
      </c>
      <c r="J556" s="263" t="str">
        <f>IF(ISBLANK('Dry_Litterbag Placem_Collection'!L117),"","G"&amp;""&amp;'Dry_Litterbag Placem_Collection'!L117)</f>
        <v>G873</v>
      </c>
      <c r="K556" s="267">
        <f>IFERROR(INDEX('Green_rooibos initial weight'!$C$5:$C$1749,MATCH(J556, 'Green_rooibos initial weight'!$A$5:$A$1749,0)),"")</f>
        <v>2.0089999999999999</v>
      </c>
      <c r="L556" s="267">
        <f>IFERROR(K556-(TBIcalc!$Q$9+TBIcalc!$Q$10),"")</f>
        <v>1.7591999999999999</v>
      </c>
      <c r="M556" s="391">
        <f>AVERAGE(Ashed_controlls!$K$2:$K$11)</f>
        <v>5.5147656768714146</v>
      </c>
      <c r="N556" s="267">
        <f t="shared" si="41"/>
        <v>1.662184242212478</v>
      </c>
      <c r="O556" s="267">
        <f>IF(IFERROR(INDEX('Both teabags AfterDry'!$D$3:$D$900,MATCH(J556,'Both teabags AfterDry'!$A$3:$A$900,0)),"")="","",(IFERROR(INDEX('Both teabags AfterDry'!$D$3:$D$900,MATCH(J556,'Both teabags AfterDry'!$A$3:$A$900,0)),"")))</f>
        <v>0.68469999999999998</v>
      </c>
      <c r="P556" s="267">
        <f>IFERROR(IF(O556&gt;0,O556-(TBIcalc!$Q$9),""),"")</f>
        <v>0.53410000000000002</v>
      </c>
      <c r="Q556" s="278">
        <f>IFERROR(INDEX('Ashed teabags dry'!$K$2:$K$825,MATCH(J556,'Ashed teabags dry'!$A$2:$A$825,0)),"")</f>
        <v>14.840499306518451</v>
      </c>
      <c r="R556" s="278">
        <f t="shared" si="42"/>
        <v>0.45483689320388498</v>
      </c>
      <c r="S556" s="268">
        <f>'Dry_Litterbag Placem_Collection'!E117</f>
        <v>42939</v>
      </c>
      <c r="T556" s="268">
        <f>IF('Dry_Litterbag Placem_Collection'!G117="","",'Dry_Litterbag Placem_Collection'!G117)</f>
        <v>43008</v>
      </c>
      <c r="U556" s="269">
        <f t="shared" si="40"/>
        <v>69</v>
      </c>
      <c r="V556" s="267">
        <f t="shared" si="43"/>
        <v>1.2250999999999999</v>
      </c>
      <c r="W556" s="267">
        <f t="shared" si="44"/>
        <v>1.2073473490085931</v>
      </c>
      <c r="X556" s="271">
        <f>IFERROR(INDEX(Rainfall_Dry!$O$2:$O$217,MATCH(B556, Rainfall_Dry!$A$2:$A$217,0)),"")</f>
        <v>136.27214243</v>
      </c>
      <c r="Y556" s="260">
        <v>27.96</v>
      </c>
      <c r="Z556" s="260">
        <v>4.9200000000000017</v>
      </c>
      <c r="AA556" s="260">
        <v>67.12</v>
      </c>
      <c r="AB556" s="261" t="s">
        <v>2670</v>
      </c>
      <c r="AC556" s="260">
        <v>2.8861015278462299</v>
      </c>
      <c r="AD556">
        <f>IF('WetLitterbags placem_collection'!AB117="","",'WetLitterbags placem_collection'!AB117)</f>
        <v>19</v>
      </c>
      <c r="AE556">
        <f>IF('WetLitterbags placem_collection'!Z117="","",'WetLitterbags placem_collection'!Z117)</f>
        <v>79.5</v>
      </c>
      <c r="AF556" s="246" t="str">
        <f>IF('WetLitterbags placem_collection'!AA117="","",'WetLitterbags placem_collection'!AA117)</f>
        <v>G</v>
      </c>
      <c r="AG556">
        <f>IF('WetLitterbags placem_collection'!AC117="","",'WetLitterbags placem_collection'!AC117)</f>
        <v>1</v>
      </c>
      <c r="AH556">
        <f>IFERROR(AVERAGE('Dry_Litterbag Placem_Collection'!O117,'Dry_Litterbag Placem_Collection'!R117),"")</f>
        <v>6.9</v>
      </c>
      <c r="AI556" s="271">
        <f>IFERROR(AVERAGE('Dry_Litterbag Placem_Collection'!N117,'Dry_Litterbag Placem_Collection'!Q117),"")</f>
        <v>28.95</v>
      </c>
      <c r="AJ556" s="270">
        <f>INDEX(Coordinates!$B$2:$B$197,MATCH(G556,Coordinates!$J$2:$J$197,0))</f>
        <v>-2.3487800079999999</v>
      </c>
      <c r="AK556" s="270">
        <f>INDEX(Coordinates!$C$2:$C$197,MATCH(G556,Coordinates!$J$2:$J$197,0))</f>
        <v>34.051495969999998</v>
      </c>
      <c r="AL556" s="270" t="str">
        <f>IF(ISNUMBER(SEARCH("C", 'Dry_Litterbag Placem_Collection'!U117)),"YES","NO")</f>
        <v>NO</v>
      </c>
      <c r="AM556" s="270" t="str">
        <f>IF(ISNUMBER(SEARCH("H", 'Dry_Litterbag Placem_Collection'!U117)),"YES","NO")</f>
        <v>NO</v>
      </c>
      <c r="AN556" s="270" t="str">
        <f>IF(ISNUMBER(SEARCH("R", 'Dry_Litterbag Placem_Collection'!U117)),"YES","NO")</f>
        <v>NO</v>
      </c>
    </row>
    <row r="557" spans="1:40" ht="15" customHeight="1">
      <c r="A557" s="262" t="s">
        <v>2659</v>
      </c>
      <c r="B557" s="263">
        <f>'Dry_Litterbag Placem_Collection'!A118</f>
        <v>116</v>
      </c>
      <c r="C557" s="263" t="str">
        <f>'Dry_Litterbag Placem_Collection'!B118</f>
        <v xml:space="preserve">Mwantimba
</v>
      </c>
      <c r="D557" s="263" t="s">
        <v>2460</v>
      </c>
      <c r="E557" s="263" t="s">
        <v>2660</v>
      </c>
      <c r="F557" s="263">
        <v>3</v>
      </c>
      <c r="G557" s="264" t="str">
        <f>'Dry_Litterbag Placem_Collection'!C118</f>
        <v>Wet_Ag3_T4</v>
      </c>
      <c r="H557" s="273" t="s">
        <v>3651</v>
      </c>
      <c r="I557" s="266" t="s">
        <v>1147</v>
      </c>
      <c r="J557" s="263" t="str">
        <f>IF(ISBLANK('Dry_Litterbag Placem_Collection'!L118),"","G"&amp;""&amp;'Dry_Litterbag Placem_Collection'!L118)</f>
        <v>G206</v>
      </c>
      <c r="K557" s="267">
        <f>IFERROR(INDEX('Green_rooibos initial weight'!$C$5:$C$1749,MATCH(J557, 'Green_rooibos initial weight'!$A$5:$A$1749,0)),"")</f>
        <v>2.0249999999999999</v>
      </c>
      <c r="L557" s="267">
        <f>IFERROR(K557-(TBIcalc!$Q$9+TBIcalc!$Q$10),"")</f>
        <v>1.7751999999999999</v>
      </c>
      <c r="M557" s="391">
        <f>AVERAGE(Ashed_controlls!$K$2:$K$11)</f>
        <v>5.5147656768714146</v>
      </c>
      <c r="N557" s="267">
        <f t="shared" si="41"/>
        <v>1.6773018797041785</v>
      </c>
      <c r="O557" s="267">
        <f>IF(IFERROR(INDEX('Both teabags AfterDry'!$D$3:$D$900,MATCH(J557,'Both teabags AfterDry'!$A$3:$A$900,0)),"")="","",(IFERROR(INDEX('Both teabags AfterDry'!$D$3:$D$900,MATCH(J557,'Both teabags AfterDry'!$A$3:$A$900,0)),"")))</f>
        <v>0.75260000000000005</v>
      </c>
      <c r="P557" s="267">
        <f>IFERROR(IF(O557&gt;0,O557-(TBIcalc!$Q$9),""),"")</f>
        <v>0.60200000000000009</v>
      </c>
      <c r="Q557" s="278">
        <f>IFERROR(INDEX('Ashed teabags dry'!$K$2:$K$825,MATCH(J557,'Ashed teabags dry'!$A$2:$A$825,0)),"")</f>
        <v>20.407259849490842</v>
      </c>
      <c r="R557" s="278">
        <f t="shared" si="42"/>
        <v>0.47914829570606521</v>
      </c>
      <c r="S557" s="268">
        <f>'Dry_Litterbag Placem_Collection'!E118</f>
        <v>42939</v>
      </c>
      <c r="T557" s="268">
        <f>IF('Dry_Litterbag Placem_Collection'!G118="","",'Dry_Litterbag Placem_Collection'!G118)</f>
        <v>43008</v>
      </c>
      <c r="U557" s="269">
        <f t="shared" si="40"/>
        <v>69</v>
      </c>
      <c r="V557" s="267">
        <f t="shared" si="43"/>
        <v>1.1731999999999998</v>
      </c>
      <c r="W557" s="267">
        <f t="shared" si="44"/>
        <v>1.1981535839981134</v>
      </c>
      <c r="X557" s="271">
        <f>IFERROR(INDEX(Rainfall_Dry!$O$2:$O$217,MATCH(B557, Rainfall_Dry!$A$2:$A$217,0)),"")</f>
        <v>136.27214243</v>
      </c>
      <c r="Y557" s="260">
        <v>27.96</v>
      </c>
      <c r="Z557" s="260">
        <v>4.9200000000000017</v>
      </c>
      <c r="AA557" s="260">
        <v>67.12</v>
      </c>
      <c r="AB557" s="261" t="s">
        <v>2670</v>
      </c>
      <c r="AC557" s="260">
        <v>3.8861015278462299</v>
      </c>
      <c r="AD557">
        <f>IF('WetLitterbags placem_collection'!AB118="","",'WetLitterbags placem_collection'!AB118)</f>
        <v>22.5</v>
      </c>
      <c r="AE557">
        <f>IF('WetLitterbags placem_collection'!Z118="","",'WetLitterbags placem_collection'!Z118)</f>
        <v>76</v>
      </c>
      <c r="AF557" s="246" t="str">
        <f>IF('WetLitterbags placem_collection'!AA118="","",'WetLitterbags placem_collection'!AA118)</f>
        <v>G</v>
      </c>
      <c r="AG557">
        <f>IF('WetLitterbags placem_collection'!AC118="","",'WetLitterbags placem_collection'!AC118)</f>
        <v>1</v>
      </c>
      <c r="AH557">
        <f>IFERROR(AVERAGE('Dry_Litterbag Placem_Collection'!O118,'Dry_Litterbag Placem_Collection'!R118),"")</f>
        <v>8.65</v>
      </c>
      <c r="AI557" s="271">
        <f>IFERROR(AVERAGE('Dry_Litterbag Placem_Collection'!N118,'Dry_Litterbag Placem_Collection'!Q118),"")</f>
        <v>29.799999999999997</v>
      </c>
      <c r="AJ557" s="270">
        <f>INDEX(Coordinates!$B$2:$B$197,MATCH(G557,Coordinates!$J$2:$J$197,0))</f>
        <v>-2.3488120270000001</v>
      </c>
      <c r="AK557" s="270">
        <f>INDEX(Coordinates!$C$2:$C$197,MATCH(G557,Coordinates!$J$2:$J$197,0))</f>
        <v>34.05146697</v>
      </c>
      <c r="AL557" s="270" t="str">
        <f>IF(ISNUMBER(SEARCH("C", 'Dry_Litterbag Placem_Collection'!U118)),"YES","NO")</f>
        <v>NO</v>
      </c>
      <c r="AM557" s="270" t="str">
        <f>IF(ISNUMBER(SEARCH("H", 'Dry_Litterbag Placem_Collection'!U118)),"YES","NO")</f>
        <v>NO</v>
      </c>
      <c r="AN557" s="270" t="str">
        <f>IF(ISNUMBER(SEARCH("R", 'Dry_Litterbag Placem_Collection'!U118)),"YES","NO")</f>
        <v>NO</v>
      </c>
    </row>
    <row r="558" spans="1:40" ht="15" customHeight="1">
      <c r="A558" s="262" t="s">
        <v>2659</v>
      </c>
      <c r="B558" s="263">
        <f>'Dry_Litterbag Placem_Collection'!A119</f>
        <v>117</v>
      </c>
      <c r="C558" s="263" t="str">
        <f>'Dry_Litterbag Placem_Collection'!B119</f>
        <v xml:space="preserve">Mwantimba
</v>
      </c>
      <c r="D558" s="263" t="s">
        <v>2460</v>
      </c>
      <c r="E558" s="263" t="s">
        <v>2660</v>
      </c>
      <c r="F558" s="263">
        <v>3</v>
      </c>
      <c r="G558" s="264" t="str">
        <f>'Dry_Litterbag Placem_Collection'!C119</f>
        <v>Wet_Ag3_T5</v>
      </c>
      <c r="H558" s="273" t="s">
        <v>3651</v>
      </c>
      <c r="I558" s="266" t="s">
        <v>1147</v>
      </c>
      <c r="J558" s="263" t="str">
        <f>IF(ISBLANK('Dry_Litterbag Placem_Collection'!L119),"","G"&amp;""&amp;'Dry_Litterbag Placem_Collection'!L119)</f>
        <v>G163</v>
      </c>
      <c r="K558" s="267">
        <f>IFERROR(INDEX('Green_rooibos initial weight'!$C$5:$C$1749,MATCH(J558, 'Green_rooibos initial weight'!$A$5:$A$1749,0)),"")</f>
        <v>2.04</v>
      </c>
      <c r="L558" s="267">
        <f>IFERROR(K558-(TBIcalc!$Q$9+TBIcalc!$Q$10),"")</f>
        <v>1.7902</v>
      </c>
      <c r="M558" s="391">
        <f>AVERAGE(Ashed_controlls!$K$2:$K$11)</f>
        <v>5.5147656768714146</v>
      </c>
      <c r="N558" s="267">
        <f t="shared" si="41"/>
        <v>1.691474664852648</v>
      </c>
      <c r="O558" s="267" t="str">
        <f>IF(IFERROR(INDEX('Both teabags AfterDry'!$D$3:$D$900,MATCH(J558,'Both teabags AfterDry'!$A$3:$A$900,0)),"")="","",(IFERROR(INDEX('Both teabags AfterDry'!$D$3:$D$900,MATCH(J558,'Both teabags AfterDry'!$A$3:$A$900,0)),"")))</f>
        <v/>
      </c>
      <c r="P558" s="267" t="str">
        <f>IFERROR(IF(O558&gt;0,O558-(TBIcalc!$Q$9),""),"")</f>
        <v/>
      </c>
      <c r="Q558" s="278" t="str">
        <f>IFERROR(INDEX('Ashed teabags dry'!$K$2:$K$825,MATCH(J558,'Ashed teabags dry'!$A$2:$A$825,0)),"")</f>
        <v/>
      </c>
      <c r="R558" s="278" t="str">
        <f t="shared" si="42"/>
        <v/>
      </c>
      <c r="S558" s="268">
        <f>'Dry_Litterbag Placem_Collection'!E119</f>
        <v>42939</v>
      </c>
      <c r="T558" s="268">
        <f>IF('Dry_Litterbag Placem_Collection'!G119="","",'Dry_Litterbag Placem_Collection'!G119)</f>
        <v>43008</v>
      </c>
      <c r="U558" s="269">
        <f t="shared" si="40"/>
        <v>69</v>
      </c>
      <c r="V558" s="267" t="str">
        <f t="shared" si="43"/>
        <v/>
      </c>
      <c r="W558" s="267" t="str">
        <f t="shared" si="44"/>
        <v/>
      </c>
      <c r="X558" s="271">
        <f>IFERROR(INDEX(Rainfall_Dry!$O$2:$O$217,MATCH(B558, Rainfall_Dry!$A$2:$A$217,0)),"")</f>
        <v>136.27214243</v>
      </c>
      <c r="Y558" s="260">
        <v>27.96</v>
      </c>
      <c r="Z558" s="260">
        <v>4.9200000000000017</v>
      </c>
      <c r="AA558" s="260">
        <v>67.12</v>
      </c>
      <c r="AB558" s="261" t="s">
        <v>2670</v>
      </c>
      <c r="AC558" s="260">
        <v>4.8861015278462299</v>
      </c>
      <c r="AD558">
        <f>IF('WetLitterbags placem_collection'!AB119="","",'WetLitterbags placem_collection'!AB119)</f>
        <v>23.5</v>
      </c>
      <c r="AE558">
        <f>IF('WetLitterbags placem_collection'!Z119="","",'WetLitterbags placem_collection'!Z119)</f>
        <v>76</v>
      </c>
      <c r="AF558" s="246" t="str">
        <f>IF('WetLitterbags placem_collection'!AA119="","",'WetLitterbags placem_collection'!AA119)</f>
        <v>G</v>
      </c>
      <c r="AG558">
        <f>IF('WetLitterbags placem_collection'!AC119="","",'WetLitterbags placem_collection'!AC119)</f>
        <v>1</v>
      </c>
      <c r="AH558">
        <f>IFERROR(AVERAGE('Dry_Litterbag Placem_Collection'!O119,'Dry_Litterbag Placem_Collection'!R119),"")</f>
        <v>10.149999999999999</v>
      </c>
      <c r="AI558" s="271">
        <f>IFERROR(AVERAGE('Dry_Litterbag Placem_Collection'!N119,'Dry_Litterbag Placem_Collection'!Q119),"")</f>
        <v>29.05</v>
      </c>
      <c r="AJ558" s="270">
        <f>INDEX(Coordinates!$B$2:$B$197,MATCH(G558,Coordinates!$J$2:$J$197,0))</f>
        <v>-2.348814961</v>
      </c>
      <c r="AK558" s="270">
        <f>INDEX(Coordinates!$C$2:$C$197,MATCH(G558,Coordinates!$J$2:$J$197,0))</f>
        <v>34.051439979999998</v>
      </c>
      <c r="AL558" s="270" t="str">
        <f>IF(ISNUMBER(SEARCH("C", 'Dry_Litterbag Placem_Collection'!U119)),"YES","NO")</f>
        <v>NO</v>
      </c>
      <c r="AM558" s="270" t="str">
        <f>IF(ISNUMBER(SEARCH("H", 'Dry_Litterbag Placem_Collection'!U119)),"YES","NO")</f>
        <v>NO</v>
      </c>
      <c r="AN558" s="270" t="str">
        <f>IF(ISNUMBER(SEARCH("R", 'Dry_Litterbag Placem_Collection'!U119)),"YES","NO")</f>
        <v>NO</v>
      </c>
    </row>
    <row r="559" spans="1:40" ht="15" customHeight="1">
      <c r="A559" s="262" t="s">
        <v>2659</v>
      </c>
      <c r="B559" s="263">
        <f>'Dry_Litterbag Placem_Collection'!A120</f>
        <v>118</v>
      </c>
      <c r="C559" s="263" t="str">
        <f>'Dry_Litterbag Placem_Collection'!B120</f>
        <v xml:space="preserve">Mwantimba
</v>
      </c>
      <c r="D559" s="263" t="s">
        <v>2460</v>
      </c>
      <c r="E559" s="263" t="s">
        <v>2660</v>
      </c>
      <c r="F559" s="263">
        <v>3</v>
      </c>
      <c r="G559" s="264" t="str">
        <f>'Dry_Litterbag Placem_Collection'!C120</f>
        <v>Wet_Ag3_T6</v>
      </c>
      <c r="H559" s="273" t="s">
        <v>3651</v>
      </c>
      <c r="I559" s="266" t="s">
        <v>1147</v>
      </c>
      <c r="J559" s="263" t="str">
        <f>IF(ISBLANK('Dry_Litterbag Placem_Collection'!L120),"","G"&amp;""&amp;'Dry_Litterbag Placem_Collection'!L120)</f>
        <v>G83</v>
      </c>
      <c r="K559" s="267">
        <f>IFERROR(INDEX('Green_rooibos initial weight'!$C$5:$C$1749,MATCH(J559, 'Green_rooibos initial weight'!$A$5:$A$1749,0)),"")</f>
        <v>2.0209999999999999</v>
      </c>
      <c r="L559" s="267">
        <f>IFERROR(K559-(TBIcalc!$Q$9+TBIcalc!$Q$10),"")</f>
        <v>1.7711999999999999</v>
      </c>
      <c r="M559" s="391">
        <f>AVERAGE(Ashed_controlls!$K$2:$K$11)</f>
        <v>5.5147656768714146</v>
      </c>
      <c r="N559" s="267">
        <f t="shared" si="41"/>
        <v>1.6735224703312535</v>
      </c>
      <c r="O559" s="267">
        <f>IF(IFERROR(INDEX('Both teabags AfterDry'!$D$3:$D$900,MATCH(J559,'Both teabags AfterDry'!$A$3:$A$900,0)),"")="","",(IFERROR(INDEX('Both teabags AfterDry'!$D$3:$D$900,MATCH(J559,'Both teabags AfterDry'!$A$3:$A$900,0)),"")))</f>
        <v>0.81779999999999997</v>
      </c>
      <c r="P559" s="267">
        <f>IFERROR(IF(O559&gt;0,O559-(TBIcalc!$Q$9),""),"")</f>
        <v>0.66720000000000002</v>
      </c>
      <c r="Q559" s="278">
        <f>IFERROR(INDEX('Ashed teabags dry'!$K$2:$K$825,MATCH(J559,'Ashed teabags dry'!$A$2:$A$825,0)),"")</f>
        <v>31.832094446874049</v>
      </c>
      <c r="R559" s="278">
        <f t="shared" si="42"/>
        <v>0.45481626585045637</v>
      </c>
      <c r="S559" s="268">
        <f>'Dry_Litterbag Placem_Collection'!E120</f>
        <v>42939</v>
      </c>
      <c r="T559" s="268">
        <f>IF('Dry_Litterbag Placem_Collection'!G120="","",'Dry_Litterbag Placem_Collection'!G120)</f>
        <v>43008</v>
      </c>
      <c r="U559" s="269">
        <f t="shared" si="40"/>
        <v>69</v>
      </c>
      <c r="V559" s="267">
        <f t="shared" si="43"/>
        <v>1.1039999999999999</v>
      </c>
      <c r="W559" s="267">
        <f t="shared" si="44"/>
        <v>1.218706204480797</v>
      </c>
      <c r="X559" s="271">
        <f>IFERROR(INDEX(Rainfall_Dry!$O$2:$O$217,MATCH(B559, Rainfall_Dry!$A$2:$A$217,0)),"")</f>
        <v>136.27214243</v>
      </c>
      <c r="Y559" s="260">
        <v>27.96</v>
      </c>
      <c r="Z559" s="260">
        <v>4.9200000000000017</v>
      </c>
      <c r="AA559" s="260">
        <v>67.12</v>
      </c>
      <c r="AB559" s="261" t="s">
        <v>2670</v>
      </c>
      <c r="AC559" s="260">
        <v>5.8861015278462299</v>
      </c>
      <c r="AD559">
        <f>IF('WetLitterbags placem_collection'!AB120="","",'WetLitterbags placem_collection'!AB120)</f>
        <v>17.5</v>
      </c>
      <c r="AE559">
        <f>IF('WetLitterbags placem_collection'!Z120="","",'WetLitterbags placem_collection'!Z120)</f>
        <v>70.5</v>
      </c>
      <c r="AF559" s="246" t="str">
        <f>IF('WetLitterbags placem_collection'!AA120="","",'WetLitterbags placem_collection'!AA120)</f>
        <v>G</v>
      </c>
      <c r="AG559">
        <f>IF('WetLitterbags placem_collection'!AC120="","",'WetLitterbags placem_collection'!AC120)</f>
        <v>1</v>
      </c>
      <c r="AH559">
        <f>IFERROR(AVERAGE('Dry_Litterbag Placem_Collection'!O120,'Dry_Litterbag Placem_Collection'!R120),"")</f>
        <v>7.8000000000000007</v>
      </c>
      <c r="AI559" s="271">
        <f>IFERROR(AVERAGE('Dry_Litterbag Placem_Collection'!N120,'Dry_Litterbag Placem_Collection'!Q120),"")</f>
        <v>28.25</v>
      </c>
      <c r="AJ559" s="270">
        <f>INDEX(Coordinates!$B$2:$B$197,MATCH(G559,Coordinates!$J$2:$J$197,0))</f>
        <v>-2.3488729629999998</v>
      </c>
      <c r="AK559" s="270">
        <f>INDEX(Coordinates!$C$2:$C$197,MATCH(G559,Coordinates!$J$2:$J$197,0))</f>
        <v>34.051454980000003</v>
      </c>
      <c r="AL559" s="270" t="str">
        <f>IF(ISNUMBER(SEARCH("C", 'Dry_Litterbag Placem_Collection'!U120)),"YES","NO")</f>
        <v>NO</v>
      </c>
      <c r="AM559" s="270" t="str">
        <f>IF(ISNUMBER(SEARCH("H", 'Dry_Litterbag Placem_Collection'!U120)),"YES","NO")</f>
        <v>NO</v>
      </c>
      <c r="AN559" s="270" t="str">
        <f>IF(ISNUMBER(SEARCH("R", 'Dry_Litterbag Placem_Collection'!U120)),"YES","NO")</f>
        <v>YES</v>
      </c>
    </row>
    <row r="560" spans="1:40" ht="15" customHeight="1">
      <c r="A560" s="262" t="s">
        <v>2659</v>
      </c>
      <c r="B560" s="263">
        <f>'Dry_Litterbag Placem_Collection'!A121</f>
        <v>119</v>
      </c>
      <c r="C560" s="263" t="str">
        <f>'Dry_Litterbag Placem_Collection'!B121</f>
        <v xml:space="preserve">Mwantimba
</v>
      </c>
      <c r="D560" s="263" t="s">
        <v>2460</v>
      </c>
      <c r="E560" s="263" t="s">
        <v>2660</v>
      </c>
      <c r="F560" s="263">
        <v>3</v>
      </c>
      <c r="G560" s="264" t="str">
        <f>'Dry_Litterbag Placem_Collection'!C121</f>
        <v>Wet_Ag3_T7</v>
      </c>
      <c r="H560" s="273" t="s">
        <v>3651</v>
      </c>
      <c r="I560" s="266" t="s">
        <v>1147</v>
      </c>
      <c r="J560" s="263" t="str">
        <f>IF(ISBLANK('Dry_Litterbag Placem_Collection'!L121),"","G"&amp;""&amp;'Dry_Litterbag Placem_Collection'!L121)</f>
        <v>G159</v>
      </c>
      <c r="K560" s="267">
        <f>IFERROR(INDEX('Green_rooibos initial weight'!$C$5:$C$1749,MATCH(J560, 'Green_rooibos initial weight'!$A$5:$A$1749,0)),"")</f>
        <v>2.1419999999999999</v>
      </c>
      <c r="L560" s="267">
        <f>IFERROR(K560-(TBIcalc!$Q$9+TBIcalc!$Q$10),"")</f>
        <v>1.8921999999999999</v>
      </c>
      <c r="M560" s="391">
        <f>AVERAGE(Ashed_controlls!$K$2:$K$11)</f>
        <v>5.5147656768714146</v>
      </c>
      <c r="N560" s="267">
        <f t="shared" si="41"/>
        <v>1.7878496038622389</v>
      </c>
      <c r="O560" s="267">
        <f>IF(IFERROR(INDEX('Both teabags AfterDry'!$D$3:$D$900,MATCH(J560,'Both teabags AfterDry'!$A$3:$A$900,0)),"")="","",(IFERROR(INDEX('Both teabags AfterDry'!$D$3:$D$900,MATCH(J560,'Both teabags AfterDry'!$A$3:$A$900,0)),"")))</f>
        <v>0.76990000000000003</v>
      </c>
      <c r="P560" s="267">
        <f>IFERROR(IF(O560&gt;0,O560-(TBIcalc!$Q$9),""),"")</f>
        <v>0.61929999999999996</v>
      </c>
      <c r="Q560" s="278">
        <f>IFERROR(INDEX('Ashed teabags dry'!$K$2:$K$825,MATCH(J560,'Ashed teabags dry'!$A$2:$A$825,0)),"")</f>
        <v>17.673992673993002</v>
      </c>
      <c r="R560" s="278">
        <f t="shared" si="42"/>
        <v>0.50984496336996132</v>
      </c>
      <c r="S560" s="268">
        <f>'Dry_Litterbag Placem_Collection'!E121</f>
        <v>42939</v>
      </c>
      <c r="T560" s="268">
        <f>IF('Dry_Litterbag Placem_Collection'!G121="","",'Dry_Litterbag Placem_Collection'!G121)</f>
        <v>43008</v>
      </c>
      <c r="U560" s="269">
        <f t="shared" si="40"/>
        <v>69</v>
      </c>
      <c r="V560" s="267">
        <f t="shared" si="43"/>
        <v>1.2728999999999999</v>
      </c>
      <c r="W560" s="267">
        <f t="shared" si="44"/>
        <v>1.2780046404922776</v>
      </c>
      <c r="X560" s="271">
        <f>IFERROR(INDEX(Rainfall_Dry!$O$2:$O$217,MATCH(B560, Rainfall_Dry!$A$2:$A$217,0)),"")</f>
        <v>136.27214243</v>
      </c>
      <c r="Y560" s="260">
        <v>27.96</v>
      </c>
      <c r="Z560" s="260">
        <v>4.9200000000000017</v>
      </c>
      <c r="AA560" s="260">
        <v>67.12</v>
      </c>
      <c r="AB560" s="261" t="s">
        <v>2670</v>
      </c>
      <c r="AC560" s="260">
        <v>6.8861015278462299</v>
      </c>
      <c r="AD560">
        <f>IF('WetLitterbags placem_collection'!AB121="","",'WetLitterbags placem_collection'!AB121)</f>
        <v>18.5</v>
      </c>
      <c r="AE560">
        <f>IF('WetLitterbags placem_collection'!Z121="","",'WetLitterbags placem_collection'!Z121)</f>
        <v>74.5</v>
      </c>
      <c r="AF560" s="246" t="str">
        <f>IF('WetLitterbags placem_collection'!AA121="","",'WetLitterbags placem_collection'!AA121)</f>
        <v>G</v>
      </c>
      <c r="AG560">
        <f>IF('WetLitterbags placem_collection'!AC121="","",'WetLitterbags placem_collection'!AC121)</f>
        <v>1</v>
      </c>
      <c r="AH560">
        <f>IFERROR(AVERAGE('Dry_Litterbag Placem_Collection'!O121,'Dry_Litterbag Placem_Collection'!R121),"")</f>
        <v>10.050000000000001</v>
      </c>
      <c r="AI560" s="271">
        <f>IFERROR(AVERAGE('Dry_Litterbag Placem_Collection'!N121,'Dry_Litterbag Placem_Collection'!Q121),"")</f>
        <v>27.95</v>
      </c>
      <c r="AJ560" s="270">
        <f>INDEX(Coordinates!$B$2:$B$197,MATCH(G560,Coordinates!$J$2:$J$197,0))</f>
        <v>-2.3488589659999999</v>
      </c>
      <c r="AK560" s="270">
        <f>INDEX(Coordinates!$C$2:$C$197,MATCH(G560,Coordinates!$J$2:$J$197,0))</f>
        <v>34.051389010000001</v>
      </c>
      <c r="AL560" s="270" t="str">
        <f>IF(ISNUMBER(SEARCH("C", 'Dry_Litterbag Placem_Collection'!U121)),"YES","NO")</f>
        <v>NO</v>
      </c>
      <c r="AM560" s="270" t="str">
        <f>IF(ISNUMBER(SEARCH("H", 'Dry_Litterbag Placem_Collection'!U121)),"YES","NO")</f>
        <v>NO</v>
      </c>
      <c r="AN560" s="270" t="str">
        <f>IF(ISNUMBER(SEARCH("R", 'Dry_Litterbag Placem_Collection'!U121)),"YES","NO")</f>
        <v>YES</v>
      </c>
    </row>
    <row r="561" spans="1:40" ht="15" customHeight="1">
      <c r="A561" s="262" t="s">
        <v>2659</v>
      </c>
      <c r="B561" s="263">
        <f>'Dry_Litterbag Placem_Collection'!A122</f>
        <v>120</v>
      </c>
      <c r="C561" s="263" t="str">
        <f>'Dry_Litterbag Placem_Collection'!B122</f>
        <v xml:space="preserve">Mwantimba
</v>
      </c>
      <c r="D561" s="263" t="s">
        <v>2460</v>
      </c>
      <c r="E561" s="263" t="s">
        <v>2660</v>
      </c>
      <c r="F561" s="263">
        <v>3</v>
      </c>
      <c r="G561" s="264" t="str">
        <f>'Dry_Litterbag Placem_Collection'!C122</f>
        <v>Wet_Ag3_T8</v>
      </c>
      <c r="H561" s="273" t="s">
        <v>3651</v>
      </c>
      <c r="I561" s="266" t="s">
        <v>1147</v>
      </c>
      <c r="J561" s="263" t="str">
        <f>IF(ISBLANK('Dry_Litterbag Placem_Collection'!L122),"","G"&amp;""&amp;'Dry_Litterbag Placem_Collection'!L122)</f>
        <v/>
      </c>
      <c r="K561" s="267" t="str">
        <f>IFERROR(INDEX('Green_rooibos initial weight'!$C$5:$C$1749,MATCH(J561, 'Green_rooibos initial weight'!$A$5:$A$1749,0)),"")</f>
        <v/>
      </c>
      <c r="L561" s="267" t="str">
        <f>IFERROR(K561-(TBIcalc!$Q$9+TBIcalc!$Q$10),"")</f>
        <v/>
      </c>
      <c r="M561" s="391">
        <f>AVERAGE(Ashed_controlls!$K$2:$K$11)</f>
        <v>5.5147656768714146</v>
      </c>
      <c r="N561" s="267" t="str">
        <f t="shared" si="41"/>
        <v/>
      </c>
      <c r="O561" s="267" t="str">
        <f>IF(IFERROR(INDEX('Both teabags AfterDry'!$D$3:$D$900,MATCH(J561,'Both teabags AfterDry'!$A$3:$A$900,0)),"")="","",(IFERROR(INDEX('Both teabags AfterDry'!$D$3:$D$900,MATCH(J561,'Both teabags AfterDry'!$A$3:$A$900,0)),"")))</f>
        <v/>
      </c>
      <c r="P561" s="267" t="str">
        <f>IFERROR(IF(O561&gt;0,O561-(TBIcalc!$Q$9),""),"")</f>
        <v/>
      </c>
      <c r="Q561" s="278" t="str">
        <f>IFERROR(INDEX('Ashed teabags dry'!$K$2:$K$825,MATCH(J561,'Ashed teabags dry'!$A$2:$A$825,0)),"")</f>
        <v/>
      </c>
      <c r="R561" s="278" t="str">
        <f t="shared" si="42"/>
        <v/>
      </c>
      <c r="S561" s="268">
        <f>'Dry_Litterbag Placem_Collection'!E122</f>
        <v>0</v>
      </c>
      <c r="T561" s="268" t="str">
        <f>IF('Dry_Litterbag Placem_Collection'!G122="","",'Dry_Litterbag Placem_Collection'!G122)</f>
        <v/>
      </c>
      <c r="U561" s="269" t="str">
        <f t="shared" si="40"/>
        <v/>
      </c>
      <c r="V561" s="267" t="str">
        <f t="shared" si="43"/>
        <v/>
      </c>
      <c r="W561" s="267" t="str">
        <f t="shared" si="44"/>
        <v/>
      </c>
      <c r="X561" s="271" t="str">
        <f>IFERROR(INDEX(Rainfall_Dry!$O$2:$O$217,MATCH(B561, Rainfall_Dry!$A$2:$A$217,0)),"")</f>
        <v/>
      </c>
      <c r="Y561" s="260">
        <v>27.96</v>
      </c>
      <c r="Z561" s="260">
        <v>4.9200000000000017</v>
      </c>
      <c r="AA561" s="260">
        <v>67.12</v>
      </c>
      <c r="AB561" s="261" t="s">
        <v>2670</v>
      </c>
      <c r="AC561" s="260">
        <v>7.8861015278462299</v>
      </c>
      <c r="AD561">
        <f>IF('WetLitterbags placem_collection'!AB122="","",'WetLitterbags placem_collection'!AB122)</f>
        <v>19</v>
      </c>
      <c r="AE561">
        <f>IF('WetLitterbags placem_collection'!Z122="","",'WetLitterbags placem_collection'!Z122)</f>
        <v>98.5</v>
      </c>
      <c r="AF561" s="246" t="str">
        <f>IF('WetLitterbags placem_collection'!AA122="","",'WetLitterbags placem_collection'!AA122)</f>
        <v>G</v>
      </c>
      <c r="AG561">
        <f>IF('WetLitterbags placem_collection'!AC122="","",'WetLitterbags placem_collection'!AC122)</f>
        <v>0</v>
      </c>
      <c r="AH561" t="str">
        <f>IFERROR(AVERAGE('Dry_Litterbag Placem_Collection'!O122,'Dry_Litterbag Placem_Collection'!R122),"")</f>
        <v/>
      </c>
      <c r="AI561" s="271" t="str">
        <f>IFERROR(AVERAGE('Dry_Litterbag Placem_Collection'!N122,'Dry_Litterbag Placem_Collection'!Q122),"")</f>
        <v/>
      </c>
      <c r="AJ561" s="270">
        <f>INDEX(Coordinates!$B$2:$B$197,MATCH(G561,Coordinates!$J$2:$J$197,0))</f>
        <v>-2.3486449760000001</v>
      </c>
      <c r="AK561" s="270">
        <f>INDEX(Coordinates!$C$2:$C$197,MATCH(G561,Coordinates!$J$2:$J$197,0))</f>
        <v>34.051495969999998</v>
      </c>
      <c r="AL561" s="270" t="str">
        <f>IF(ISNUMBER(SEARCH("C", 'Dry_Litterbag Placem_Collection'!U122)),"YES","NO")</f>
        <v>NO</v>
      </c>
      <c r="AM561" s="270" t="str">
        <f>IF(ISNUMBER(SEARCH("H", 'Dry_Litterbag Placem_Collection'!U122)),"YES","NO")</f>
        <v>NO</v>
      </c>
      <c r="AN561" s="270" t="str">
        <f>IF(ISNUMBER(SEARCH("R", 'Dry_Litterbag Placem_Collection'!U122)),"YES","NO")</f>
        <v>NO</v>
      </c>
    </row>
    <row r="562" spans="1:40" ht="15" customHeight="1">
      <c r="A562" s="262" t="s">
        <v>2659</v>
      </c>
      <c r="B562" s="263">
        <f>'Dry_Litterbag Placem_Collection'!A123</f>
        <v>121</v>
      </c>
      <c r="C562" s="263" t="str">
        <f>'Dry_Litterbag Placem_Collection'!B123</f>
        <v xml:space="preserve">Mwantimba
</v>
      </c>
      <c r="D562" s="263" t="s">
        <v>2460</v>
      </c>
      <c r="E562" s="263" t="s">
        <v>2660</v>
      </c>
      <c r="F562" s="263">
        <v>4</v>
      </c>
      <c r="G562" s="264" t="str">
        <f>'Dry_Litterbag Placem_Collection'!C123</f>
        <v>Wet_Ag4_T1</v>
      </c>
      <c r="H562" s="273" t="s">
        <v>3651</v>
      </c>
      <c r="I562" s="266" t="s">
        <v>1147</v>
      </c>
      <c r="J562" s="263" t="str">
        <f>IF(ISBLANK('Dry_Litterbag Placem_Collection'!L123),"","G"&amp;""&amp;'Dry_Litterbag Placem_Collection'!L123)</f>
        <v>G16</v>
      </c>
      <c r="K562" s="267">
        <f>IFERROR(INDEX('Green_rooibos initial weight'!$C$5:$C$1749,MATCH(J562, 'Green_rooibos initial weight'!$A$5:$A$1749,0)),"")</f>
        <v>1.9410000000000001</v>
      </c>
      <c r="L562" s="267">
        <f>IFERROR(K562-(TBIcalc!$Q$9+TBIcalc!$Q$10),"")</f>
        <v>1.6912</v>
      </c>
      <c r="M562" s="391">
        <f>AVERAGE(Ashed_controlls!$K$2:$K$11)</f>
        <v>5.5147656768714146</v>
      </c>
      <c r="N562" s="267">
        <f t="shared" si="41"/>
        <v>1.5979342828727507</v>
      </c>
      <c r="O562" s="267" t="str">
        <f>IF(IFERROR(INDEX('Both teabags AfterDry'!$D$3:$D$900,MATCH(J562,'Both teabags AfterDry'!$A$3:$A$900,0)),"")="","",(IFERROR(INDEX('Both teabags AfterDry'!$D$3:$D$900,MATCH(J562,'Both teabags AfterDry'!$A$3:$A$900,0)),"")))</f>
        <v/>
      </c>
      <c r="P562" s="267" t="str">
        <f>IFERROR(IF(O562&gt;0,O562-(TBIcalc!$Q$9),""),"")</f>
        <v/>
      </c>
      <c r="Q562" s="278">
        <f>IFERROR(INDEX('Ashed teabags dry'!$K$2:$K$825,MATCH(J562,'Ashed teabags dry'!$A$2:$A$825,0)),"")</f>
        <v>12.463485881207744</v>
      </c>
      <c r="R562" s="278" t="str">
        <f t="shared" si="42"/>
        <v/>
      </c>
      <c r="S562" s="268">
        <f>'Dry_Litterbag Placem_Collection'!E123</f>
        <v>42939</v>
      </c>
      <c r="T562" s="268">
        <f>IF('Dry_Litterbag Placem_Collection'!G123="","",'Dry_Litterbag Placem_Collection'!G123)</f>
        <v>43008</v>
      </c>
      <c r="U562" s="269">
        <f t="shared" si="40"/>
        <v>69</v>
      </c>
      <c r="V562" s="267" t="str">
        <f t="shared" si="43"/>
        <v/>
      </c>
      <c r="W562" s="267" t="str">
        <f t="shared" si="44"/>
        <v/>
      </c>
      <c r="X562" s="271">
        <f>IFERROR(INDEX(Rainfall_Dry!$O$2:$O$217,MATCH(B562, Rainfall_Dry!$A$2:$A$217,0)),"")</f>
        <v>136.27214243</v>
      </c>
      <c r="Y562" s="260">
        <v>17.96</v>
      </c>
      <c r="Z562" s="260">
        <v>4.9199999999999982</v>
      </c>
      <c r="AA562" s="260">
        <v>77.12</v>
      </c>
      <c r="AB562" s="261" t="s">
        <v>2671</v>
      </c>
      <c r="AC562" s="260">
        <v>2.0220798422868409</v>
      </c>
      <c r="AD562">
        <f>IF('WetLitterbags placem_collection'!AB123="","",'WetLitterbags placem_collection'!AB123)</f>
        <v>9.65</v>
      </c>
      <c r="AE562">
        <f>IF('WetLitterbags placem_collection'!Z123="","",'WetLitterbags placem_collection'!Z123)</f>
        <v>63</v>
      </c>
      <c r="AF562" s="246" t="str">
        <f>IF('WetLitterbags placem_collection'!AA123="","",'WetLitterbags placem_collection'!AA123)</f>
        <v>G</v>
      </c>
      <c r="AG562">
        <f>IF('WetLitterbags placem_collection'!AC123="","",'WetLitterbags placem_collection'!AC123)</f>
        <v>0</v>
      </c>
      <c r="AH562">
        <f>IFERROR(AVERAGE('Dry_Litterbag Placem_Collection'!O123,'Dry_Litterbag Placem_Collection'!R123),"")</f>
        <v>5.5</v>
      </c>
      <c r="AI562" s="271">
        <f>IFERROR(AVERAGE('Dry_Litterbag Placem_Collection'!N123,'Dry_Litterbag Placem_Collection'!Q123),"")</f>
        <v>29.1</v>
      </c>
      <c r="AJ562" s="270">
        <f>INDEX(Coordinates!$B$2:$B$197,MATCH(G562,Coordinates!$J$2:$J$197,0))</f>
        <v>-2.3492639789999998</v>
      </c>
      <c r="AK562" s="270">
        <f>INDEX(Coordinates!$C$2:$C$197,MATCH(G562,Coordinates!$J$2:$J$197,0))</f>
        <v>34.051464029999998</v>
      </c>
      <c r="AL562" s="270" t="str">
        <f>IF(ISNUMBER(SEARCH("C", 'Dry_Litterbag Placem_Collection'!U123)),"YES","NO")</f>
        <v>NO</v>
      </c>
      <c r="AM562" s="270" t="str">
        <f>IF(ISNUMBER(SEARCH("H", 'Dry_Litterbag Placem_Collection'!U123)),"YES","NO")</f>
        <v>NO</v>
      </c>
      <c r="AN562" s="270" t="str">
        <f>IF(ISNUMBER(SEARCH("R", 'Dry_Litterbag Placem_Collection'!U123)),"YES","NO")</f>
        <v>NO</v>
      </c>
    </row>
    <row r="563" spans="1:40" ht="15" customHeight="1">
      <c r="A563" s="262" t="s">
        <v>2659</v>
      </c>
      <c r="B563" s="263">
        <f>'Dry_Litterbag Placem_Collection'!A124</f>
        <v>122</v>
      </c>
      <c r="C563" s="263" t="str">
        <f>'Dry_Litterbag Placem_Collection'!B124</f>
        <v xml:space="preserve">Mwantimba
</v>
      </c>
      <c r="D563" s="263" t="s">
        <v>2460</v>
      </c>
      <c r="E563" s="263" t="s">
        <v>2660</v>
      </c>
      <c r="F563" s="263">
        <v>4</v>
      </c>
      <c r="G563" s="264" t="str">
        <f>'Dry_Litterbag Placem_Collection'!C124</f>
        <v>Wet_Ag4_T2</v>
      </c>
      <c r="H563" s="273" t="s">
        <v>3651</v>
      </c>
      <c r="I563" s="266" t="s">
        <v>1147</v>
      </c>
      <c r="J563" s="263" t="str">
        <f>IF(ISBLANK('Dry_Litterbag Placem_Collection'!L124),"","G"&amp;""&amp;'Dry_Litterbag Placem_Collection'!L124)</f>
        <v>G109</v>
      </c>
      <c r="K563" s="267">
        <f>IFERROR(INDEX('Green_rooibos initial weight'!$C$5:$C$1749,MATCH(J563, 'Green_rooibos initial weight'!$A$5:$A$1749,0)),"")</f>
        <v>1.992</v>
      </c>
      <c r="L563" s="267">
        <f>IFERROR(K563-(TBIcalc!$Q$9+TBIcalc!$Q$10),"")</f>
        <v>1.7422</v>
      </c>
      <c r="M563" s="391">
        <f>AVERAGE(Ashed_controlls!$K$2:$K$11)</f>
        <v>5.5147656768714146</v>
      </c>
      <c r="N563" s="267">
        <f t="shared" si="41"/>
        <v>1.6461217523775462</v>
      </c>
      <c r="O563" s="267">
        <f>IF(IFERROR(INDEX('Both teabags AfterDry'!$D$3:$D$900,MATCH(J563,'Both teabags AfterDry'!$A$3:$A$900,0)),"")="","",(IFERROR(INDEX('Both teabags AfterDry'!$D$3:$D$900,MATCH(J563,'Both teabags AfterDry'!$A$3:$A$900,0)),"")))</f>
        <v>0.67359999999999998</v>
      </c>
      <c r="P563" s="267">
        <f>IFERROR(IF(O563&gt;0,O563-(TBIcalc!$Q$9),""),"")</f>
        <v>0.52299999999999991</v>
      </c>
      <c r="Q563" s="278">
        <f>IFERROR(INDEX('Ashed teabags dry'!$K$2:$K$825,MATCH(J563,'Ashed teabags dry'!$A$2:$A$825,0)),"")</f>
        <v>17.174515235456546</v>
      </c>
      <c r="R563" s="278">
        <f t="shared" si="42"/>
        <v>0.4331772853185622</v>
      </c>
      <c r="S563" s="268">
        <f>'Dry_Litterbag Placem_Collection'!E124</f>
        <v>42939</v>
      </c>
      <c r="T563" s="268">
        <f>IF('Dry_Litterbag Placem_Collection'!G124="","",'Dry_Litterbag Placem_Collection'!G124)</f>
        <v>43008</v>
      </c>
      <c r="U563" s="269">
        <f t="shared" si="40"/>
        <v>69</v>
      </c>
      <c r="V563" s="267">
        <f t="shared" si="43"/>
        <v>1.2192000000000001</v>
      </c>
      <c r="W563" s="267">
        <f t="shared" si="44"/>
        <v>1.212944467058984</v>
      </c>
      <c r="X563" s="271">
        <f>IFERROR(INDEX(Rainfall_Dry!$O$2:$O$217,MATCH(B563, Rainfall_Dry!$A$2:$A$217,0)),"")</f>
        <v>136.27214243</v>
      </c>
      <c r="Y563" s="260">
        <v>17.96</v>
      </c>
      <c r="Z563" s="260">
        <v>4.9199999999999982</v>
      </c>
      <c r="AA563" s="260">
        <v>77.12</v>
      </c>
      <c r="AB563" s="261" t="s">
        <v>2671</v>
      </c>
      <c r="AC563" s="260">
        <v>3.02207984228684</v>
      </c>
      <c r="AD563">
        <f>IF('WetLitterbags placem_collection'!AB124="","",'WetLitterbags placem_collection'!AB124)</f>
        <v>3.1</v>
      </c>
      <c r="AE563">
        <f>IF('WetLitterbags placem_collection'!Z124="","",'WetLitterbags placem_collection'!Z124)</f>
        <v>53</v>
      </c>
      <c r="AF563" s="246" t="str">
        <f>IF('WetLitterbags placem_collection'!AA124="","",'WetLitterbags placem_collection'!AA124)</f>
        <v>G</v>
      </c>
      <c r="AG563">
        <f>IF('WetLitterbags placem_collection'!AC124="","",'WetLitterbags placem_collection'!AC124)</f>
        <v>0</v>
      </c>
      <c r="AH563">
        <f>IFERROR(AVERAGE('Dry_Litterbag Placem_Collection'!O124,'Dry_Litterbag Placem_Collection'!R124),"")</f>
        <v>9.0500000000000007</v>
      </c>
      <c r="AI563" s="271">
        <f>IFERROR(AVERAGE('Dry_Litterbag Placem_Collection'!N124,'Dry_Litterbag Placem_Collection'!Q124),"")</f>
        <v>28.55</v>
      </c>
      <c r="AJ563" s="270">
        <f>INDEX(Coordinates!$B$2:$B$197,MATCH(G563,Coordinates!$J$2:$J$197,0))</f>
        <v>-2.34923196</v>
      </c>
      <c r="AK563" s="270">
        <f>INDEX(Coordinates!$C$2:$C$197,MATCH(G563,Coordinates!$J$2:$J$197,0))</f>
        <v>34.051422039999999</v>
      </c>
      <c r="AL563" s="270" t="str">
        <f>IF(ISNUMBER(SEARCH("C", 'Dry_Litterbag Placem_Collection'!U124)),"YES","NO")</f>
        <v>NO</v>
      </c>
      <c r="AM563" s="270" t="str">
        <f>IF(ISNUMBER(SEARCH("H", 'Dry_Litterbag Placem_Collection'!U124)),"YES","NO")</f>
        <v>NO</v>
      </c>
      <c r="AN563" s="270" t="str">
        <f>IF(ISNUMBER(SEARCH("R", 'Dry_Litterbag Placem_Collection'!U124)),"YES","NO")</f>
        <v>NO</v>
      </c>
    </row>
    <row r="564" spans="1:40" ht="15" customHeight="1">
      <c r="A564" s="262" t="s">
        <v>2659</v>
      </c>
      <c r="B564" s="263">
        <f>'Dry_Litterbag Placem_Collection'!A125</f>
        <v>123</v>
      </c>
      <c r="C564" s="263" t="str">
        <f>'Dry_Litterbag Placem_Collection'!B125</f>
        <v xml:space="preserve">Mwantimba
</v>
      </c>
      <c r="D564" s="263" t="s">
        <v>2460</v>
      </c>
      <c r="E564" s="263" t="s">
        <v>2660</v>
      </c>
      <c r="F564" s="263">
        <v>4</v>
      </c>
      <c r="G564" s="264" t="str">
        <f>'Dry_Litterbag Placem_Collection'!C125</f>
        <v>Wet_Ag4_T3</v>
      </c>
      <c r="H564" s="273" t="s">
        <v>3651</v>
      </c>
      <c r="I564" s="266" t="s">
        <v>1147</v>
      </c>
      <c r="J564" s="263" t="str">
        <f>IF(ISBLANK('Dry_Litterbag Placem_Collection'!L125),"","G"&amp;""&amp;'Dry_Litterbag Placem_Collection'!L125)</f>
        <v>G344</v>
      </c>
      <c r="K564" s="267">
        <f>IFERROR(INDEX('Green_rooibos initial weight'!$C$5:$C$1749,MATCH(J564, 'Green_rooibos initial weight'!$A$5:$A$1749,0)),"")</f>
        <v>1.93</v>
      </c>
      <c r="L564" s="267">
        <f>IFERROR(K564-(TBIcalc!$Q$9+TBIcalc!$Q$10),"")</f>
        <v>1.6801999999999999</v>
      </c>
      <c r="M564" s="391">
        <f>AVERAGE(Ashed_controlls!$K$2:$K$11)</f>
        <v>5.5147656768714146</v>
      </c>
      <c r="N564" s="267">
        <f t="shared" si="41"/>
        <v>1.5875409070972064</v>
      </c>
      <c r="O564" s="267">
        <f>IF(IFERROR(INDEX('Both teabags AfterDry'!$D$3:$D$900,MATCH(J564,'Both teabags AfterDry'!$A$3:$A$900,0)),"")="","",(IFERROR(INDEX('Both teabags AfterDry'!$D$3:$D$900,MATCH(J564,'Both teabags AfterDry'!$A$3:$A$900,0)),"")))</f>
        <v>0.78580000000000005</v>
      </c>
      <c r="P564" s="267">
        <f>IFERROR(IF(O564&gt;0,O564-(TBIcalc!$Q$9),""),"")</f>
        <v>0.63519999999999999</v>
      </c>
      <c r="Q564" s="278">
        <f>IFERROR(INDEX('Ashed teabags dry'!$K$2:$K$825,MATCH(J564,'Ashed teabags dry'!$A$2:$A$825,0)),"")</f>
        <v>19.618781961877247</v>
      </c>
      <c r="R564" s="278">
        <f t="shared" si="42"/>
        <v>0.51058149697815569</v>
      </c>
      <c r="S564" s="268">
        <f>'Dry_Litterbag Placem_Collection'!E125</f>
        <v>42939</v>
      </c>
      <c r="T564" s="268">
        <f>IF('Dry_Litterbag Placem_Collection'!G125="","",'Dry_Litterbag Placem_Collection'!G125)</f>
        <v>43008</v>
      </c>
      <c r="U564" s="269">
        <f t="shared" si="40"/>
        <v>69</v>
      </c>
      <c r="V564" s="267">
        <f t="shared" si="43"/>
        <v>1.0449999999999999</v>
      </c>
      <c r="W564" s="267">
        <f t="shared" si="44"/>
        <v>1.0769594101190507</v>
      </c>
      <c r="X564" s="271">
        <f>IFERROR(INDEX(Rainfall_Dry!$O$2:$O$217,MATCH(B564, Rainfall_Dry!$A$2:$A$217,0)),"")</f>
        <v>136.27214243</v>
      </c>
      <c r="Y564" s="260">
        <v>17.96</v>
      </c>
      <c r="Z564" s="260">
        <v>4.9199999999999982</v>
      </c>
      <c r="AA564" s="260">
        <v>77.12</v>
      </c>
      <c r="AB564" s="261" t="s">
        <v>2671</v>
      </c>
      <c r="AC564" s="260">
        <v>4.02207984228684</v>
      </c>
      <c r="AD564">
        <f>IF('WetLitterbags placem_collection'!AB125="","",'WetLitterbags placem_collection'!AB125)</f>
        <v>3.9</v>
      </c>
      <c r="AE564">
        <f>IF('WetLitterbags placem_collection'!Z125="","",'WetLitterbags placem_collection'!Z125)</f>
        <v>51</v>
      </c>
      <c r="AF564" s="246" t="str">
        <f>IF('WetLitterbags placem_collection'!AA125="","",'WetLitterbags placem_collection'!AA125)</f>
        <v>G</v>
      </c>
      <c r="AG564">
        <f>IF('WetLitterbags placem_collection'!AC125="","",'WetLitterbags placem_collection'!AC125)</f>
        <v>1</v>
      </c>
      <c r="AH564">
        <f>IFERROR(AVERAGE('Dry_Litterbag Placem_Collection'!O125,'Dry_Litterbag Placem_Collection'!R125),"")</f>
        <v>10.7</v>
      </c>
      <c r="AI564" s="271">
        <f>IFERROR(AVERAGE('Dry_Litterbag Placem_Collection'!N125,'Dry_Litterbag Placem_Collection'!Q125),"")</f>
        <v>27.1</v>
      </c>
      <c r="AJ564" s="270">
        <f>INDEX(Coordinates!$B$2:$B$197,MATCH(G564,Coordinates!$J$2:$J$197,0))</f>
        <v>-2.3492390009999999</v>
      </c>
      <c r="AK564" s="270">
        <f>INDEX(Coordinates!$C$2:$C$197,MATCH(G564,Coordinates!$J$2:$J$197,0))</f>
        <v>34.051304020000003</v>
      </c>
      <c r="AL564" s="270" t="str">
        <f>IF(ISNUMBER(SEARCH("C", 'Dry_Litterbag Placem_Collection'!U125)),"YES","NO")</f>
        <v>NO</v>
      </c>
      <c r="AM564" s="270" t="str">
        <f>IF(ISNUMBER(SEARCH("H", 'Dry_Litterbag Placem_Collection'!U125)),"YES","NO")</f>
        <v>NO</v>
      </c>
      <c r="AN564" s="270" t="str">
        <f>IF(ISNUMBER(SEARCH("R", 'Dry_Litterbag Placem_Collection'!U125)),"YES","NO")</f>
        <v>NO</v>
      </c>
    </row>
    <row r="565" spans="1:40" ht="15" customHeight="1">
      <c r="A565" s="262" t="s">
        <v>2659</v>
      </c>
      <c r="B565" s="263">
        <f>'Dry_Litterbag Placem_Collection'!A126</f>
        <v>124</v>
      </c>
      <c r="C565" s="263" t="str">
        <f>'Dry_Litterbag Placem_Collection'!B126</f>
        <v xml:space="preserve">Mwantimba
</v>
      </c>
      <c r="D565" s="263" t="s">
        <v>2460</v>
      </c>
      <c r="E565" s="263" t="s">
        <v>2660</v>
      </c>
      <c r="F565" s="263">
        <v>4</v>
      </c>
      <c r="G565" s="264" t="str">
        <f>'Dry_Litterbag Placem_Collection'!C126</f>
        <v>Wet_Ag4_T4</v>
      </c>
      <c r="H565" s="273" t="s">
        <v>3651</v>
      </c>
      <c r="I565" s="266" t="s">
        <v>1147</v>
      </c>
      <c r="J565" s="263" t="str">
        <f>IF(ISBLANK('Dry_Litterbag Placem_Collection'!L126),"","G"&amp;""&amp;'Dry_Litterbag Placem_Collection'!L126)</f>
        <v>G221</v>
      </c>
      <c r="K565" s="267">
        <f>IFERROR(INDEX('Green_rooibos initial weight'!$C$5:$C$1749,MATCH(J565, 'Green_rooibos initial weight'!$A$5:$A$1749,0)),"")</f>
        <v>2.004</v>
      </c>
      <c r="L565" s="267">
        <f>IFERROR(K565-(TBIcalc!$Q$9+TBIcalc!$Q$10),"")</f>
        <v>1.7542</v>
      </c>
      <c r="M565" s="391">
        <f>AVERAGE(Ashed_controlls!$K$2:$K$11)</f>
        <v>5.5147656768714146</v>
      </c>
      <c r="N565" s="267">
        <f t="shared" si="41"/>
        <v>1.6574599804963217</v>
      </c>
      <c r="O565" s="267">
        <f>IF(IFERROR(INDEX('Both teabags AfterDry'!$D$3:$D$900,MATCH(J565,'Both teabags AfterDry'!$A$3:$A$900,0)),"")="","",(IFERROR(INDEX('Both teabags AfterDry'!$D$3:$D$900,MATCH(J565,'Both teabags AfterDry'!$A$3:$A$900,0)),"")))</f>
        <v>0.66700000000000004</v>
      </c>
      <c r="P565" s="267">
        <f>IFERROR(IF(O565&gt;0,O565-(TBIcalc!$Q$9),""),"")</f>
        <v>0.51639999999999997</v>
      </c>
      <c r="Q565" s="278">
        <f>IFERROR(INDEX('Ashed teabags dry'!$K$2:$K$825,MATCH(J565,'Ashed teabags dry'!$A$2:$A$825,0)),"")</f>
        <v>19.375305026842138</v>
      </c>
      <c r="R565" s="278">
        <f t="shared" si="42"/>
        <v>0.41634592484138716</v>
      </c>
      <c r="S565" s="268">
        <f>'Dry_Litterbag Placem_Collection'!E126</f>
        <v>42939</v>
      </c>
      <c r="T565" s="268">
        <f>IF('Dry_Litterbag Placem_Collection'!G126="","",'Dry_Litterbag Placem_Collection'!G126)</f>
        <v>43008</v>
      </c>
      <c r="U565" s="269">
        <f t="shared" si="40"/>
        <v>69</v>
      </c>
      <c r="V565" s="267">
        <f t="shared" si="43"/>
        <v>1.2378</v>
      </c>
      <c r="W565" s="267">
        <f t="shared" si="44"/>
        <v>1.2411140556549345</v>
      </c>
      <c r="X565" s="271">
        <f>IFERROR(INDEX(Rainfall_Dry!$O$2:$O$217,MATCH(B565, Rainfall_Dry!$A$2:$A$217,0)),"")</f>
        <v>136.27214243</v>
      </c>
      <c r="Y565" s="260">
        <v>17.96</v>
      </c>
      <c r="Z565" s="260">
        <v>4.9199999999999982</v>
      </c>
      <c r="AA565" s="260">
        <v>77.12</v>
      </c>
      <c r="AB565" s="261" t="s">
        <v>2671</v>
      </c>
      <c r="AC565" s="260">
        <v>5.02207984228684</v>
      </c>
      <c r="AD565">
        <f>IF('WetLitterbags placem_collection'!AB126="","",'WetLitterbags placem_collection'!AB126)</f>
        <v>5.45</v>
      </c>
      <c r="AE565">
        <f>IF('WetLitterbags placem_collection'!Z126="","",'WetLitterbags placem_collection'!Z126)</f>
        <v>47</v>
      </c>
      <c r="AF565" s="246" t="str">
        <f>IF('WetLitterbags placem_collection'!AA126="","",'WetLitterbags placem_collection'!AA126)</f>
        <v>G</v>
      </c>
      <c r="AG565">
        <f>IF('WetLitterbags placem_collection'!AC126="","",'WetLitterbags placem_collection'!AC126)</f>
        <v>1</v>
      </c>
      <c r="AH565">
        <f>IFERROR(AVERAGE('Dry_Litterbag Placem_Collection'!O126,'Dry_Litterbag Placem_Collection'!R126),"")</f>
        <v>9.15</v>
      </c>
      <c r="AI565" s="271">
        <f>IFERROR(AVERAGE('Dry_Litterbag Placem_Collection'!N126,'Dry_Litterbag Placem_Collection'!Q126),"")</f>
        <v>28.05</v>
      </c>
      <c r="AJ565" s="270">
        <f>INDEX(Coordinates!$B$2:$B$197,MATCH(G565,Coordinates!$J$2:$J$197,0))</f>
        <v>-2.3492799889999998</v>
      </c>
      <c r="AK565" s="270">
        <f>INDEX(Coordinates!$C$2:$C$197,MATCH(G565,Coordinates!$J$2:$J$197,0))</f>
        <v>34.051280970000001</v>
      </c>
      <c r="AL565" s="270" t="str">
        <f>IF(ISNUMBER(SEARCH("C", 'Dry_Litterbag Placem_Collection'!U126)),"YES","NO")</f>
        <v>NO</v>
      </c>
      <c r="AM565" s="270" t="str">
        <f>IF(ISNUMBER(SEARCH("H", 'Dry_Litterbag Placem_Collection'!U126)),"YES","NO")</f>
        <v>NO</v>
      </c>
      <c r="AN565" s="270" t="str">
        <f>IF(ISNUMBER(SEARCH("R", 'Dry_Litterbag Placem_Collection'!U126)),"YES","NO")</f>
        <v>NO</v>
      </c>
    </row>
    <row r="566" spans="1:40" ht="15" customHeight="1">
      <c r="A566" s="262" t="s">
        <v>2659</v>
      </c>
      <c r="B566" s="263">
        <f>'Dry_Litterbag Placem_Collection'!A127</f>
        <v>125</v>
      </c>
      <c r="C566" s="263" t="str">
        <f>'Dry_Litterbag Placem_Collection'!B127</f>
        <v xml:space="preserve">Mwantimba
</v>
      </c>
      <c r="D566" s="263" t="s">
        <v>2460</v>
      </c>
      <c r="E566" s="263" t="s">
        <v>2660</v>
      </c>
      <c r="F566" s="263">
        <v>4</v>
      </c>
      <c r="G566" s="264" t="str">
        <f>'Dry_Litterbag Placem_Collection'!C127</f>
        <v>Wet_Ag4_T5</v>
      </c>
      <c r="H566" s="273" t="s">
        <v>3651</v>
      </c>
      <c r="I566" s="266" t="s">
        <v>1147</v>
      </c>
      <c r="J566" s="263" t="str">
        <f>IF(ISBLANK('Dry_Litterbag Placem_Collection'!L127),"","G"&amp;""&amp;'Dry_Litterbag Placem_Collection'!L127)</f>
        <v>G757</v>
      </c>
      <c r="K566" s="267">
        <f>IFERROR(INDEX('Green_rooibos initial weight'!$C$5:$C$1749,MATCH(J566, 'Green_rooibos initial weight'!$A$5:$A$1749,0)),"")</f>
        <v>2.0670000000000002</v>
      </c>
      <c r="L566" s="267">
        <f>IFERROR(K566-(TBIcalc!$Q$9+TBIcalc!$Q$10),"")</f>
        <v>1.8172000000000001</v>
      </c>
      <c r="M566" s="391">
        <f>AVERAGE(Ashed_controlls!$K$2:$K$11)</f>
        <v>5.5147656768714146</v>
      </c>
      <c r="N566" s="267">
        <f t="shared" si="41"/>
        <v>1.7169856781198929</v>
      </c>
      <c r="O566" s="267">
        <f>IF(IFERROR(INDEX('Both teabags AfterDry'!$D$3:$D$900,MATCH(J566,'Both teabags AfterDry'!$A$3:$A$900,0)),"")="","",(IFERROR(INDEX('Both teabags AfterDry'!$D$3:$D$900,MATCH(J566,'Both teabags AfterDry'!$A$3:$A$900,0)),"")))</f>
        <v>0.92230000000000001</v>
      </c>
      <c r="P566" s="267">
        <f>IFERROR(IF(O566&gt;0,O566-(TBIcalc!$Q$9),""),"")</f>
        <v>0.77170000000000005</v>
      </c>
      <c r="Q566" s="278">
        <f>IFERROR(INDEX('Ashed teabags dry'!$K$2:$K$825,MATCH(J566,'Ashed teabags dry'!$A$2:$A$825,0)),"")</f>
        <v>20.954254795868039</v>
      </c>
      <c r="R566" s="278">
        <f t="shared" si="42"/>
        <v>0.60999601574028639</v>
      </c>
      <c r="S566" s="268">
        <f>'Dry_Litterbag Placem_Collection'!E127</f>
        <v>42939</v>
      </c>
      <c r="T566" s="268">
        <f>IF('Dry_Litterbag Placem_Collection'!G127="","",'Dry_Litterbag Placem_Collection'!G127)</f>
        <v>43008</v>
      </c>
      <c r="U566" s="269">
        <f t="shared" si="40"/>
        <v>69</v>
      </c>
      <c r="V566" s="267">
        <f t="shared" si="43"/>
        <v>1.0455000000000001</v>
      </c>
      <c r="W566" s="267">
        <f t="shared" si="44"/>
        <v>1.1069896623796065</v>
      </c>
      <c r="X566" s="271">
        <f>IFERROR(INDEX(Rainfall_Dry!$O$2:$O$217,MATCH(B566, Rainfall_Dry!$A$2:$A$217,0)),"")</f>
        <v>136.27214243</v>
      </c>
      <c r="Y566" s="260">
        <v>17.96</v>
      </c>
      <c r="Z566" s="260">
        <v>4.9199999999999982</v>
      </c>
      <c r="AA566" s="260">
        <v>77.12</v>
      </c>
      <c r="AB566" s="261" t="s">
        <v>2671</v>
      </c>
      <c r="AC566" s="260">
        <v>6.02207984228684</v>
      </c>
      <c r="AD566">
        <f>IF('WetLitterbags placem_collection'!AB127="","",'WetLitterbags placem_collection'!AB127)</f>
        <v>9.3000000000000007</v>
      </c>
      <c r="AE566">
        <f>IF('WetLitterbags placem_collection'!Z127="","",'WetLitterbags placem_collection'!Z127)</f>
        <v>43</v>
      </c>
      <c r="AF566" s="246" t="str">
        <f>IF('WetLitterbags placem_collection'!AA127="","",'WetLitterbags placem_collection'!AA127)</f>
        <v>G</v>
      </c>
      <c r="AG566">
        <f>IF('WetLitterbags placem_collection'!AC127="","",'WetLitterbags placem_collection'!AC127)</f>
        <v>1</v>
      </c>
      <c r="AH566">
        <f>IFERROR(AVERAGE('Dry_Litterbag Placem_Collection'!O127,'Dry_Litterbag Placem_Collection'!R127),"")</f>
        <v>10.85</v>
      </c>
      <c r="AI566" s="271">
        <f>IFERROR(AVERAGE('Dry_Litterbag Placem_Collection'!N127,'Dry_Litterbag Placem_Collection'!Q127),"")</f>
        <v>28.05</v>
      </c>
      <c r="AJ566" s="270">
        <f>INDEX(Coordinates!$B$2:$B$197,MATCH(G566,Coordinates!$J$2:$J$197,0))</f>
        <v>-2.3493320400000002</v>
      </c>
      <c r="AK566" s="270">
        <f>INDEX(Coordinates!$C$2:$C$197,MATCH(G566,Coordinates!$J$2:$J$197,0))</f>
        <v>34.051321960000003</v>
      </c>
      <c r="AL566" s="270" t="str">
        <f>IF(ISNUMBER(SEARCH("C", 'Dry_Litterbag Placem_Collection'!U127)),"YES","NO")</f>
        <v>NO</v>
      </c>
      <c r="AM566" s="270" t="str">
        <f>IF(ISNUMBER(SEARCH("H", 'Dry_Litterbag Placem_Collection'!U127)),"YES","NO")</f>
        <v>NO</v>
      </c>
      <c r="AN566" s="270" t="str">
        <f>IF(ISNUMBER(SEARCH("R", 'Dry_Litterbag Placem_Collection'!U127)),"YES","NO")</f>
        <v>NO</v>
      </c>
    </row>
    <row r="567" spans="1:40" ht="15" customHeight="1">
      <c r="A567" s="262" t="s">
        <v>2659</v>
      </c>
      <c r="B567" s="263">
        <f>'Dry_Litterbag Placem_Collection'!A128</f>
        <v>126</v>
      </c>
      <c r="C567" s="263" t="str">
        <f>'Dry_Litterbag Placem_Collection'!B128</f>
        <v xml:space="preserve">Mwantimba
</v>
      </c>
      <c r="D567" s="263" t="s">
        <v>2460</v>
      </c>
      <c r="E567" s="263" t="s">
        <v>2660</v>
      </c>
      <c r="F567" s="263">
        <v>4</v>
      </c>
      <c r="G567" s="264" t="str">
        <f>'Dry_Litterbag Placem_Collection'!C128</f>
        <v>Wet_Ag4_T6</v>
      </c>
      <c r="H567" s="273" t="s">
        <v>3651</v>
      </c>
      <c r="I567" s="266" t="s">
        <v>1147</v>
      </c>
      <c r="J567" s="263" t="str">
        <f>IF(ISBLANK('Dry_Litterbag Placem_Collection'!L128),"","G"&amp;""&amp;'Dry_Litterbag Placem_Collection'!L128)</f>
        <v/>
      </c>
      <c r="K567" s="267" t="str">
        <f>IFERROR(INDEX('Green_rooibos initial weight'!$C$5:$C$1749,MATCH(J567, 'Green_rooibos initial weight'!$A$5:$A$1749,0)),"")</f>
        <v/>
      </c>
      <c r="L567" s="267" t="str">
        <f>IFERROR(K567-(TBIcalc!$Q$9+TBIcalc!$Q$10),"")</f>
        <v/>
      </c>
      <c r="M567" s="391">
        <f>AVERAGE(Ashed_controlls!$K$2:$K$11)</f>
        <v>5.5147656768714146</v>
      </c>
      <c r="N567" s="267" t="str">
        <f t="shared" si="41"/>
        <v/>
      </c>
      <c r="O567" s="267" t="str">
        <f>IF(IFERROR(INDEX('Both teabags AfterDry'!$D$3:$D$900,MATCH(J567,'Both teabags AfterDry'!$A$3:$A$900,0)),"")="","",(IFERROR(INDEX('Both teabags AfterDry'!$D$3:$D$900,MATCH(J567,'Both teabags AfterDry'!$A$3:$A$900,0)),"")))</f>
        <v/>
      </c>
      <c r="P567" s="267" t="str">
        <f>IFERROR(IF(O567&gt;0,O567-(TBIcalc!$Q$9),""),"")</f>
        <v/>
      </c>
      <c r="Q567" s="278" t="str">
        <f>IFERROR(INDEX('Ashed teabags dry'!$K$2:$K$825,MATCH(J567,'Ashed teabags dry'!$A$2:$A$825,0)),"")</f>
        <v/>
      </c>
      <c r="R567" s="278" t="str">
        <f t="shared" si="42"/>
        <v/>
      </c>
      <c r="S567" s="268">
        <f>'Dry_Litterbag Placem_Collection'!E128</f>
        <v>0</v>
      </c>
      <c r="T567" s="268" t="str">
        <f>IF('Dry_Litterbag Placem_Collection'!G128="","",'Dry_Litterbag Placem_Collection'!G128)</f>
        <v/>
      </c>
      <c r="U567" s="269" t="str">
        <f t="shared" si="40"/>
        <v/>
      </c>
      <c r="V567" s="267" t="str">
        <f t="shared" si="43"/>
        <v/>
      </c>
      <c r="W567" s="267" t="str">
        <f t="shared" si="44"/>
        <v/>
      </c>
      <c r="X567" s="271" t="str">
        <f>IFERROR(INDEX(Rainfall_Dry!$O$2:$O$217,MATCH(B567, Rainfall_Dry!$A$2:$A$217,0)),"")</f>
        <v/>
      </c>
      <c r="Y567" s="260">
        <v>17.96</v>
      </c>
      <c r="Z567" s="260">
        <v>4.9199999999999982</v>
      </c>
      <c r="AA567" s="260">
        <v>77.12</v>
      </c>
      <c r="AB567" s="261" t="s">
        <v>2671</v>
      </c>
      <c r="AC567" s="260">
        <v>7.02207984228684</v>
      </c>
      <c r="AD567">
        <f>IF('WetLitterbags placem_collection'!AB128="","",'WetLitterbags placem_collection'!AB128)</f>
        <v>10.85</v>
      </c>
      <c r="AE567">
        <f>IF('WetLitterbags placem_collection'!Z128="","",'WetLitterbags placem_collection'!Z128)</f>
        <v>40</v>
      </c>
      <c r="AF567" s="246" t="str">
        <f>IF('WetLitterbags placem_collection'!AA128="","",'WetLitterbags placem_collection'!AA128)</f>
        <v>G</v>
      </c>
      <c r="AG567">
        <f>IF('WetLitterbags placem_collection'!AC128="","",'WetLitterbags placem_collection'!AC128)</f>
        <v>1</v>
      </c>
      <c r="AH567" t="str">
        <f>IFERROR(AVERAGE('Dry_Litterbag Placem_Collection'!O128,'Dry_Litterbag Placem_Collection'!R128),"")</f>
        <v/>
      </c>
      <c r="AI567" s="271" t="str">
        <f>IFERROR(AVERAGE('Dry_Litterbag Placem_Collection'!N128,'Dry_Litterbag Placem_Collection'!Q128),"")</f>
        <v/>
      </c>
      <c r="AJ567" s="270">
        <f>INDEX(Coordinates!$B$2:$B$197,MATCH(G567,Coordinates!$J$2:$J$197,0))</f>
        <v>-2.3493509829999999</v>
      </c>
      <c r="AK567" s="270">
        <f>INDEX(Coordinates!$C$2:$C$197,MATCH(G567,Coordinates!$J$2:$J$197,0))</f>
        <v>34.051332019999997</v>
      </c>
      <c r="AL567" s="270" t="str">
        <f>IF(ISNUMBER(SEARCH("C", 'Dry_Litterbag Placem_Collection'!U128)),"YES","NO")</f>
        <v>NO</v>
      </c>
      <c r="AM567" s="270" t="str">
        <f>IF(ISNUMBER(SEARCH("H", 'Dry_Litterbag Placem_Collection'!U128)),"YES","NO")</f>
        <v>NO</v>
      </c>
      <c r="AN567" s="270" t="str">
        <f>IF(ISNUMBER(SEARCH("R", 'Dry_Litterbag Placem_Collection'!U128)),"YES","NO")</f>
        <v>NO</v>
      </c>
    </row>
    <row r="568" spans="1:40" ht="15" customHeight="1">
      <c r="A568" s="262" t="s">
        <v>2659</v>
      </c>
      <c r="B568" s="263">
        <f>'Dry_Litterbag Placem_Collection'!A129</f>
        <v>127</v>
      </c>
      <c r="C568" s="263" t="str">
        <f>'Dry_Litterbag Placem_Collection'!B129</f>
        <v xml:space="preserve">Mwantimba
</v>
      </c>
      <c r="D568" s="263" t="s">
        <v>2460</v>
      </c>
      <c r="E568" s="263" t="s">
        <v>2660</v>
      </c>
      <c r="F568" s="263">
        <v>4</v>
      </c>
      <c r="G568" s="264" t="str">
        <f>'Dry_Litterbag Placem_Collection'!C129</f>
        <v>Wet_Ag4_T7</v>
      </c>
      <c r="H568" s="273" t="s">
        <v>3651</v>
      </c>
      <c r="I568" s="266" t="s">
        <v>1147</v>
      </c>
      <c r="J568" s="263" t="str">
        <f>IF(ISBLANK('Dry_Litterbag Placem_Collection'!L129),"","G"&amp;""&amp;'Dry_Litterbag Placem_Collection'!L129)</f>
        <v>G96</v>
      </c>
      <c r="K568" s="267">
        <f>IFERROR(INDEX('Green_rooibos initial weight'!$C$5:$C$1749,MATCH(J568, 'Green_rooibos initial weight'!$A$5:$A$1749,0)),"")</f>
        <v>2.2349999999999999</v>
      </c>
      <c r="L568" s="267">
        <f>IFERROR(K568-(TBIcalc!$Q$9+TBIcalc!$Q$10),"")</f>
        <v>1.9851999999999999</v>
      </c>
      <c r="M568" s="391">
        <f>AVERAGE(Ashed_controlls!$K$2:$K$11)</f>
        <v>5.5147656768714146</v>
      </c>
      <c r="N568" s="267">
        <f t="shared" si="41"/>
        <v>1.8757208717827485</v>
      </c>
      <c r="O568" s="267">
        <f>IF(IFERROR(INDEX('Both teabags AfterDry'!$D$3:$D$900,MATCH(J568,'Both teabags AfterDry'!$A$3:$A$900,0)),"")="","",(IFERROR(INDEX('Both teabags AfterDry'!$D$3:$D$900,MATCH(J568,'Both teabags AfterDry'!$A$3:$A$900,0)),"")))</f>
        <v>0.77790000000000004</v>
      </c>
      <c r="P568" s="267">
        <f>IFERROR(IF(O568&gt;0,O568-(TBIcalc!$Q$9),""),"")</f>
        <v>0.62729999999999997</v>
      </c>
      <c r="Q568" s="278">
        <f>IFERROR(INDEX('Ashed teabags dry'!$K$2:$K$825,MATCH(J568,'Ashed teabags dry'!$A$2:$A$825,0)),"")</f>
        <v>15.120274914089208</v>
      </c>
      <c r="R568" s="278">
        <f t="shared" si="42"/>
        <v>0.53245051546391842</v>
      </c>
      <c r="S568" s="268">
        <f>'Dry_Litterbag Placem_Collection'!E129</f>
        <v>42939</v>
      </c>
      <c r="T568" s="268">
        <f>IF('Dry_Litterbag Placem_Collection'!G129="","",'Dry_Litterbag Placem_Collection'!G129)</f>
        <v>43008</v>
      </c>
      <c r="U568" s="269">
        <f t="shared" si="40"/>
        <v>69</v>
      </c>
      <c r="V568" s="267">
        <f t="shared" si="43"/>
        <v>1.3578999999999999</v>
      </c>
      <c r="W568" s="267">
        <f t="shared" si="44"/>
        <v>1.34327035631883</v>
      </c>
      <c r="X568" s="271">
        <f>IFERROR(INDEX(Rainfall_Dry!$O$2:$O$217,MATCH(B568, Rainfall_Dry!$A$2:$A$217,0)),"")</f>
        <v>136.27214243</v>
      </c>
      <c r="Y568" s="260">
        <v>17.96</v>
      </c>
      <c r="Z568" s="260">
        <v>4.9199999999999982</v>
      </c>
      <c r="AA568" s="260">
        <v>77.12</v>
      </c>
      <c r="AB568" s="261" t="s">
        <v>2671</v>
      </c>
      <c r="AC568" s="260">
        <v>8.0220798422868391</v>
      </c>
      <c r="AD568">
        <f>IF('WetLitterbags placem_collection'!AB129="","",'WetLitterbags placem_collection'!AB129)</f>
        <v>5.35</v>
      </c>
      <c r="AE568">
        <f>IF('WetLitterbags placem_collection'!Z129="","",'WetLitterbags placem_collection'!Z129)</f>
        <v>58</v>
      </c>
      <c r="AF568" s="246" t="str">
        <f>IF('WetLitterbags placem_collection'!AA129="","",'WetLitterbags placem_collection'!AA129)</f>
        <v>G</v>
      </c>
      <c r="AG568">
        <f>IF('WetLitterbags placem_collection'!AC129="","",'WetLitterbags placem_collection'!AC129)</f>
        <v>1</v>
      </c>
      <c r="AH568">
        <f>IFERROR(AVERAGE('Dry_Litterbag Placem_Collection'!O129,'Dry_Litterbag Placem_Collection'!R129),"")</f>
        <v>9.6999999999999993</v>
      </c>
      <c r="AI568" s="271">
        <f>IFERROR(AVERAGE('Dry_Litterbag Placem_Collection'!N129,'Dry_Litterbag Placem_Collection'!Q129),"")</f>
        <v>28.1</v>
      </c>
      <c r="AJ568" s="270">
        <f>INDEX(Coordinates!$B$2:$B$197,MATCH(G568,Coordinates!$J$2:$J$197,0))</f>
        <v>-2.3491850219999999</v>
      </c>
      <c r="AK568" s="270">
        <f>INDEX(Coordinates!$C$2:$C$197,MATCH(G568,Coordinates!$J$2:$J$197,0))</f>
        <v>34.051264959999997</v>
      </c>
      <c r="AL568" s="270" t="str">
        <f>IF(ISNUMBER(SEARCH("C", 'Dry_Litterbag Placem_Collection'!U129)),"YES","NO")</f>
        <v>NO</v>
      </c>
      <c r="AM568" s="270" t="str">
        <f>IF(ISNUMBER(SEARCH("H", 'Dry_Litterbag Placem_Collection'!U129)),"YES","NO")</f>
        <v>NO</v>
      </c>
      <c r="AN568" s="270" t="str">
        <f>IF(ISNUMBER(SEARCH("R", 'Dry_Litterbag Placem_Collection'!U129)),"YES","NO")</f>
        <v>YES</v>
      </c>
    </row>
    <row r="569" spans="1:40" ht="15" customHeight="1">
      <c r="A569" s="262" t="s">
        <v>2659</v>
      </c>
      <c r="B569" s="263">
        <f>'Dry_Litterbag Placem_Collection'!A130</f>
        <v>128</v>
      </c>
      <c r="C569" s="263" t="str">
        <f>'Dry_Litterbag Placem_Collection'!B130</f>
        <v xml:space="preserve">Mwantimba
</v>
      </c>
      <c r="D569" s="263" t="s">
        <v>2460</v>
      </c>
      <c r="E569" s="263" t="s">
        <v>2660</v>
      </c>
      <c r="F569" s="263">
        <v>4</v>
      </c>
      <c r="G569" s="264" t="str">
        <f>'Dry_Litterbag Placem_Collection'!C130</f>
        <v>Wet_Ag4_T8</v>
      </c>
      <c r="H569" s="273" t="s">
        <v>3651</v>
      </c>
      <c r="I569" s="266" t="s">
        <v>1147</v>
      </c>
      <c r="J569" s="263" t="str">
        <f>IF(ISBLANK('Dry_Litterbag Placem_Collection'!L130),"","G"&amp;""&amp;'Dry_Litterbag Placem_Collection'!L130)</f>
        <v>G134</v>
      </c>
      <c r="K569" s="267">
        <f>IFERROR(INDEX('Green_rooibos initial weight'!$C$5:$C$1749,MATCH(J569, 'Green_rooibos initial weight'!$A$5:$A$1749,0)),"")</f>
        <v>2.0089999999999999</v>
      </c>
      <c r="L569" s="267">
        <f>IFERROR(K569-(TBIcalc!$Q$9+TBIcalc!$Q$10),"")</f>
        <v>1.7591999999999999</v>
      </c>
      <c r="M569" s="391">
        <f>AVERAGE(Ashed_controlls!$K$2:$K$11)</f>
        <v>5.5147656768714146</v>
      </c>
      <c r="N569" s="267">
        <f t="shared" si="41"/>
        <v>1.662184242212478</v>
      </c>
      <c r="O569" s="267">
        <f>IF(IFERROR(INDEX('Both teabags AfterDry'!$D$3:$D$900,MATCH(J569,'Both teabags AfterDry'!$A$3:$A$900,0)),"")="","",(IFERROR(INDEX('Both teabags AfterDry'!$D$3:$D$900,MATCH(J569,'Both teabags AfterDry'!$A$3:$A$900,0)),"")))</f>
        <v>0.82289999999999996</v>
      </c>
      <c r="P569" s="267">
        <f>IFERROR(IF(O569&gt;0,O569-(TBIcalc!$Q$9),""),"")</f>
        <v>0.6722999999999999</v>
      </c>
      <c r="Q569" s="278">
        <f>IFERROR(INDEX('Ashed teabags dry'!$K$2:$K$825,MATCH(J569,'Ashed teabags dry'!$A$2:$A$825,0)),"")</f>
        <v>18.432510885341248</v>
      </c>
      <c r="R569" s="278">
        <f t="shared" si="42"/>
        <v>0.54837822931785074</v>
      </c>
      <c r="S569" s="268">
        <f>'Dry_Litterbag Placem_Collection'!E130</f>
        <v>42939</v>
      </c>
      <c r="T569" s="268">
        <f>IF('Dry_Litterbag Placem_Collection'!G130="","",'Dry_Litterbag Placem_Collection'!G130)</f>
        <v>43008</v>
      </c>
      <c r="U569" s="269">
        <f t="shared" si="40"/>
        <v>69</v>
      </c>
      <c r="V569" s="267">
        <f t="shared" si="43"/>
        <v>1.0869</v>
      </c>
      <c r="W569" s="267">
        <f t="shared" si="44"/>
        <v>1.1138060128946272</v>
      </c>
      <c r="X569" s="271">
        <f>IFERROR(INDEX(Rainfall_Dry!$O$2:$O$217,MATCH(B569, Rainfall_Dry!$A$2:$A$217,0)),"")</f>
        <v>136.27214243</v>
      </c>
      <c r="Y569" s="260">
        <v>17.96</v>
      </c>
      <c r="Z569" s="260">
        <v>4.9199999999999982</v>
      </c>
      <c r="AA569" s="260">
        <v>77.12</v>
      </c>
      <c r="AB569" s="261" t="s">
        <v>2671</v>
      </c>
      <c r="AC569" s="260">
        <v>9.0220798422868391</v>
      </c>
      <c r="AD569">
        <f>IF('WetLitterbags placem_collection'!AB130="","",'WetLitterbags placem_collection'!AB130)</f>
        <v>10.9</v>
      </c>
      <c r="AE569">
        <f>IF('WetLitterbags placem_collection'!Z130="","",'WetLitterbags placem_collection'!Z130)</f>
        <v>44</v>
      </c>
      <c r="AF569" s="246" t="str">
        <f>IF('WetLitterbags placem_collection'!AA130="","",'WetLitterbags placem_collection'!AA130)</f>
        <v>G</v>
      </c>
      <c r="AG569">
        <f>IF('WetLitterbags placem_collection'!AC130="","",'WetLitterbags placem_collection'!AC130)</f>
        <v>0</v>
      </c>
      <c r="AH569">
        <f>IFERROR(AVERAGE('Dry_Litterbag Placem_Collection'!O130,'Dry_Litterbag Placem_Collection'!R130),"")</f>
        <v>8.4499999999999993</v>
      </c>
      <c r="AI569" s="271">
        <f>IFERROR(AVERAGE('Dry_Litterbag Placem_Collection'!N130,'Dry_Litterbag Placem_Collection'!Q130),"")</f>
        <v>28.4</v>
      </c>
      <c r="AJ569" s="270">
        <f>INDEX(Coordinates!$B$2:$B$197,MATCH(G569,Coordinates!$J$2:$J$197,0))</f>
        <v>-2.3493099960000001</v>
      </c>
      <c r="AK569" s="270">
        <f>INDEX(Coordinates!$C$2:$C$197,MATCH(G569,Coordinates!$J$2:$J$197,0))</f>
        <v>34.05141802</v>
      </c>
      <c r="AL569" s="270" t="str">
        <f>IF(ISNUMBER(SEARCH("C", 'Dry_Litterbag Placem_Collection'!U130)),"YES","NO")</f>
        <v>NO</v>
      </c>
      <c r="AM569" s="270" t="str">
        <f>IF(ISNUMBER(SEARCH("H", 'Dry_Litterbag Placem_Collection'!U130)),"YES","NO")</f>
        <v>NO</v>
      </c>
      <c r="AN569" s="270" t="str">
        <f>IF(ISNUMBER(SEARCH("R", 'Dry_Litterbag Placem_Collection'!U130)),"YES","NO")</f>
        <v>NO</v>
      </c>
    </row>
    <row r="570" spans="1:40" ht="15" customHeight="1">
      <c r="A570" s="262" t="s">
        <v>2659</v>
      </c>
      <c r="B570" s="263">
        <f>'Dry_Litterbag Placem_Collection'!A131</f>
        <v>129</v>
      </c>
      <c r="C570" s="263" t="str">
        <f>'Dry_Litterbag Placem_Collection'!B131</f>
        <v xml:space="preserve">Mwantimba
</v>
      </c>
      <c r="D570" s="263" t="s">
        <v>2460</v>
      </c>
      <c r="E570" s="263" t="s">
        <v>20</v>
      </c>
      <c r="F570" s="263">
        <v>1</v>
      </c>
      <c r="G570" s="264" t="str">
        <f>'Dry_Litterbag Placem_Collection'!C131</f>
        <v>Wet_P1_T1</v>
      </c>
      <c r="H570" s="273" t="s">
        <v>3651</v>
      </c>
      <c r="I570" s="266" t="s">
        <v>1147</v>
      </c>
      <c r="J570" s="263" t="str">
        <f>IF(ISBLANK('Dry_Litterbag Placem_Collection'!L131),"","G"&amp;""&amp;'Dry_Litterbag Placem_Collection'!L131)</f>
        <v>G671</v>
      </c>
      <c r="K570" s="267">
        <f>IFERROR(INDEX('Green_rooibos initial weight'!$C$5:$C$1749,MATCH(J570, 'Green_rooibos initial weight'!$A$5:$A$1749,0)),"")</f>
        <v>2.0510000000000002</v>
      </c>
      <c r="L570" s="267">
        <f>IFERROR(K570-(TBIcalc!$Q$9+TBIcalc!$Q$10),"")</f>
        <v>1.8012000000000001</v>
      </c>
      <c r="M570" s="391">
        <f>AVERAGE(Ashed_controlls!$K$2:$K$11)</f>
        <v>5.5147656768714146</v>
      </c>
      <c r="N570" s="267">
        <f t="shared" si="41"/>
        <v>1.7018680406281923</v>
      </c>
      <c r="O570" s="267">
        <f>IF(IFERROR(INDEX('Both teabags AfterDry'!$D$3:$D$900,MATCH(J570,'Both teabags AfterDry'!$A$3:$A$900,0)),"")="","",(IFERROR(INDEX('Both teabags AfterDry'!$D$3:$D$900,MATCH(J570,'Both teabags AfterDry'!$A$3:$A$900,0)),"")))</f>
        <v>0.68540000000000001</v>
      </c>
      <c r="P570" s="267">
        <f>IFERROR(IF(O570&gt;0,O570-(TBIcalc!$Q$9),""),"")</f>
        <v>0.53479999999999994</v>
      </c>
      <c r="Q570" s="278">
        <f>IFERROR(INDEX('Ashed teabags dry'!$K$2:$K$825,MATCH(J570,'Ashed teabags dry'!$A$2:$A$825,0)),"")</f>
        <v>15.942028985507489</v>
      </c>
      <c r="R570" s="278">
        <f t="shared" si="42"/>
        <v>0.44954202898550588</v>
      </c>
      <c r="S570" s="268">
        <f>'Dry_Litterbag Placem_Collection'!E131</f>
        <v>42939</v>
      </c>
      <c r="T570" s="268">
        <f>IF('Dry_Litterbag Placem_Collection'!G131="","",'Dry_Litterbag Placem_Collection'!G131)</f>
        <v>43008</v>
      </c>
      <c r="U570" s="269">
        <f t="shared" si="40"/>
        <v>69</v>
      </c>
      <c r="V570" s="267">
        <f t="shared" si="43"/>
        <v>1.2664000000000002</v>
      </c>
      <c r="W570" s="267">
        <f t="shared" si="44"/>
        <v>1.2523260116426864</v>
      </c>
      <c r="X570" s="271">
        <f>IFERROR(INDEX(Rainfall_Dry!$O$2:$O$217,MATCH(B570, Rainfall_Dry!$A$2:$A$217,0)),"")</f>
        <v>136.27214243</v>
      </c>
      <c r="Y570" s="260">
        <v>31.214836424255054</v>
      </c>
      <c r="Z570" s="260">
        <v>11.377370285476141</v>
      </c>
      <c r="AA570" s="260">
        <v>57.407793290268799</v>
      </c>
      <c r="AB570" s="261" t="s">
        <v>2670</v>
      </c>
      <c r="AC570" s="260">
        <v>1.7337604731394776</v>
      </c>
      <c r="AD570">
        <f>IF('WetLitterbags placem_collection'!AB131="","",'WetLitterbags placem_collection'!AB131)</f>
        <v>2.4</v>
      </c>
      <c r="AE570">
        <f>IF('WetLitterbags placem_collection'!Z131="","",'WetLitterbags placem_collection'!Z131)</f>
        <v>2.4</v>
      </c>
      <c r="AF570" s="246" t="str">
        <f>IF('WetLitterbags placem_collection'!AA131="","",'WetLitterbags placem_collection'!AA131)</f>
        <v>O</v>
      </c>
      <c r="AG570">
        <f>IF('WetLitterbags placem_collection'!AC131="","",'WetLitterbags placem_collection'!AC131)</f>
        <v>1</v>
      </c>
      <c r="AH570">
        <f>IFERROR(AVERAGE('Dry_Litterbag Placem_Collection'!O131,'Dry_Litterbag Placem_Collection'!R131),"")</f>
        <v>11.8</v>
      </c>
      <c r="AI570" s="271">
        <f>IFERROR(AVERAGE('Dry_Litterbag Placem_Collection'!N131,'Dry_Litterbag Placem_Collection'!Q131),"")</f>
        <v>29.05</v>
      </c>
      <c r="AJ570" s="270">
        <f>INDEX(Coordinates!$B$2:$B$197,MATCH(G570,Coordinates!$J$2:$J$197,0))</f>
        <v>-2.3503360249999998</v>
      </c>
      <c r="AK570" s="270">
        <f>INDEX(Coordinates!$C$2:$C$197,MATCH(G570,Coordinates!$J$2:$J$197,0))</f>
        <v>34.049662009999999</v>
      </c>
      <c r="AL570" s="270" t="str">
        <f>IF(ISNUMBER(SEARCH("C", 'Dry_Litterbag Placem_Collection'!U131)),"YES","NO")</f>
        <v>NO</v>
      </c>
      <c r="AM570" s="270" t="str">
        <f>IF(ISNUMBER(SEARCH("H", 'Dry_Litterbag Placem_Collection'!U131)),"YES","NO")</f>
        <v>NO</v>
      </c>
      <c r="AN570" s="270" t="str">
        <f>IF(ISNUMBER(SEARCH("R", 'Dry_Litterbag Placem_Collection'!U131)),"YES","NO")</f>
        <v>NO</v>
      </c>
    </row>
    <row r="571" spans="1:40" ht="15" customHeight="1">
      <c r="A571" s="262" t="s">
        <v>2659</v>
      </c>
      <c r="B571" s="263">
        <f>'Dry_Litterbag Placem_Collection'!A132</f>
        <v>130</v>
      </c>
      <c r="C571" s="263" t="str">
        <f>'Dry_Litterbag Placem_Collection'!B132</f>
        <v xml:space="preserve">Mwantimba
</v>
      </c>
      <c r="D571" s="263" t="s">
        <v>2460</v>
      </c>
      <c r="E571" s="263" t="s">
        <v>20</v>
      </c>
      <c r="F571" s="263">
        <v>1</v>
      </c>
      <c r="G571" s="264" t="str">
        <f>'Dry_Litterbag Placem_Collection'!C132</f>
        <v>Wet_P1_T2</v>
      </c>
      <c r="H571" s="273" t="s">
        <v>3651</v>
      </c>
      <c r="I571" s="266" t="s">
        <v>1147</v>
      </c>
      <c r="J571" s="263" t="str">
        <f>IF(ISBLANK('Dry_Litterbag Placem_Collection'!L132),"","G"&amp;""&amp;'Dry_Litterbag Placem_Collection'!L132)</f>
        <v>G400</v>
      </c>
      <c r="K571" s="267">
        <f>IFERROR(INDEX('Green_rooibos initial weight'!$C$5:$C$1749,MATCH(J571, 'Green_rooibos initial weight'!$A$5:$A$1749,0)),"")</f>
        <v>2.0089999999999999</v>
      </c>
      <c r="L571" s="267">
        <f>IFERROR(K571-(TBIcalc!$Q$9+TBIcalc!$Q$10),"")</f>
        <v>1.7591999999999999</v>
      </c>
      <c r="M571" s="391">
        <f>AVERAGE(Ashed_controlls!$K$2:$K$11)</f>
        <v>5.5147656768714146</v>
      </c>
      <c r="N571" s="267">
        <f t="shared" si="41"/>
        <v>1.662184242212478</v>
      </c>
      <c r="O571" s="267">
        <f>IF(IFERROR(INDEX('Both teabags AfterDry'!$D$3:$D$900,MATCH(J571,'Both teabags AfterDry'!$A$3:$A$900,0)),"")="","",(IFERROR(INDEX('Both teabags AfterDry'!$D$3:$D$900,MATCH(J571,'Both teabags AfterDry'!$A$3:$A$900,0)),"")))</f>
        <v>0.86</v>
      </c>
      <c r="P571" s="267">
        <f>IFERROR(IF(O571&gt;0,O571-(TBIcalc!$Q$9),""),"")</f>
        <v>0.70940000000000003</v>
      </c>
      <c r="Q571" s="278">
        <f>IFERROR(INDEX('Ashed teabags dry'!$K$2:$K$825,MATCH(J571,'Ashed teabags dry'!$A$2:$A$825,0)),"")</f>
        <v>23.389830508474194</v>
      </c>
      <c r="R571" s="278">
        <f t="shared" si="42"/>
        <v>0.54347254237288412</v>
      </c>
      <c r="S571" s="268">
        <f>'Dry_Litterbag Placem_Collection'!E132</f>
        <v>42939</v>
      </c>
      <c r="T571" s="268">
        <f>IF('Dry_Litterbag Placem_Collection'!G132="","",'Dry_Litterbag Placem_Collection'!G132)</f>
        <v>43008</v>
      </c>
      <c r="U571" s="269">
        <f t="shared" si="40"/>
        <v>69</v>
      </c>
      <c r="V571" s="267">
        <f t="shared" si="43"/>
        <v>1.0497999999999998</v>
      </c>
      <c r="W571" s="267">
        <f t="shared" si="44"/>
        <v>1.1187116998395938</v>
      </c>
      <c r="X571" s="271">
        <f>IFERROR(INDEX(Rainfall_Dry!$O$2:$O$217,MATCH(B571, Rainfall_Dry!$A$2:$A$217,0)),"")</f>
        <v>136.27214243</v>
      </c>
      <c r="Y571" s="260">
        <v>31.214836424255054</v>
      </c>
      <c r="Z571" s="260">
        <v>11.377370285476141</v>
      </c>
      <c r="AA571" s="260">
        <v>57.407793290268799</v>
      </c>
      <c r="AB571" s="261" t="s">
        <v>2670</v>
      </c>
      <c r="AC571" s="260">
        <v>2.7337604731394798</v>
      </c>
      <c r="AD571">
        <f>IF('WetLitterbags placem_collection'!AB132="","",'WetLitterbags placem_collection'!AB132)</f>
        <v>2.1</v>
      </c>
      <c r="AE571">
        <f>IF('WetLitterbags placem_collection'!Z132="","",'WetLitterbags placem_collection'!Z132)</f>
        <v>3.5</v>
      </c>
      <c r="AF571" s="246" t="str">
        <f>IF('WetLitterbags placem_collection'!AA132="","",'WetLitterbags placem_collection'!AA132)</f>
        <v>O</v>
      </c>
      <c r="AG571">
        <f>IF('WetLitterbags placem_collection'!AC132="","",'WetLitterbags placem_collection'!AC132)</f>
        <v>0</v>
      </c>
      <c r="AH571">
        <f>IFERROR(AVERAGE('Dry_Litterbag Placem_Collection'!O132,'Dry_Litterbag Placem_Collection'!R132),"")</f>
        <v>8.9499999999999993</v>
      </c>
      <c r="AI571" s="271">
        <f>IFERROR(AVERAGE('Dry_Litterbag Placem_Collection'!N132,'Dry_Litterbag Placem_Collection'!Q132),"")</f>
        <v>28.55</v>
      </c>
      <c r="AJ571" s="270">
        <f>INDEX(Coordinates!$B$2:$B$197,MATCH(G571,Coordinates!$J$2:$J$197,0))</f>
        <v>-2.3503729889999998</v>
      </c>
      <c r="AK571" s="270">
        <f>INDEX(Coordinates!$C$2:$C$197,MATCH(G571,Coordinates!$J$2:$J$197,0))</f>
        <v>34.049626969999998</v>
      </c>
      <c r="AL571" s="270" t="str">
        <f>IF(ISNUMBER(SEARCH("C", 'Dry_Litterbag Placem_Collection'!U132)),"YES","NO")</f>
        <v>NO</v>
      </c>
      <c r="AM571" s="270" t="str">
        <f>IF(ISNUMBER(SEARCH("H", 'Dry_Litterbag Placem_Collection'!U132)),"YES","NO")</f>
        <v>NO</v>
      </c>
      <c r="AN571" s="270" t="str">
        <f>IF(ISNUMBER(SEARCH("R", 'Dry_Litterbag Placem_Collection'!U132)),"YES","NO")</f>
        <v>YES</v>
      </c>
    </row>
    <row r="572" spans="1:40" ht="15" customHeight="1">
      <c r="A572" s="262" t="s">
        <v>2659</v>
      </c>
      <c r="B572" s="263">
        <f>'Dry_Litterbag Placem_Collection'!A133</f>
        <v>131</v>
      </c>
      <c r="C572" s="263" t="str">
        <f>'Dry_Litterbag Placem_Collection'!B133</f>
        <v xml:space="preserve">Mwantimba
</v>
      </c>
      <c r="D572" s="263" t="s">
        <v>2460</v>
      </c>
      <c r="E572" s="263" t="s">
        <v>20</v>
      </c>
      <c r="F572" s="263">
        <v>1</v>
      </c>
      <c r="G572" s="264" t="str">
        <f>'Dry_Litterbag Placem_Collection'!C133</f>
        <v>Wet_P1_T3</v>
      </c>
      <c r="H572" s="273" t="s">
        <v>3651</v>
      </c>
      <c r="I572" s="266" t="s">
        <v>1147</v>
      </c>
      <c r="J572" s="263" t="str">
        <f>IF(ISBLANK('Dry_Litterbag Placem_Collection'!L133),"","G"&amp;""&amp;'Dry_Litterbag Placem_Collection'!L133)</f>
        <v>G48</v>
      </c>
      <c r="K572" s="267">
        <f>IFERROR(INDEX('Green_rooibos initial weight'!$C$5:$C$1749,MATCH(J572, 'Green_rooibos initial weight'!$A$5:$A$1749,0)),"")</f>
        <v>2.0590000000000002</v>
      </c>
      <c r="L572" s="267">
        <f>IFERROR(K572-(TBIcalc!$Q$9+TBIcalc!$Q$10),"")</f>
        <v>1.8092000000000001</v>
      </c>
      <c r="M572" s="391">
        <f>AVERAGE(Ashed_controlls!$K$2:$K$11)</f>
        <v>5.5147656768714146</v>
      </c>
      <c r="N572" s="267">
        <f t="shared" si="41"/>
        <v>1.7094268593740425</v>
      </c>
      <c r="O572" s="267">
        <f>IF(IFERROR(INDEX('Both teabags AfterDry'!$D$3:$D$900,MATCH(J572,'Both teabags AfterDry'!$A$3:$A$900,0)),"")="","",(IFERROR(INDEX('Both teabags AfterDry'!$D$3:$D$900,MATCH(J572,'Both teabags AfterDry'!$A$3:$A$900,0)),"")))</f>
        <v>0.84750000000000003</v>
      </c>
      <c r="P572" s="267">
        <f>IFERROR(IF(O572&gt;0,O572-(TBIcalc!$Q$9),""),"")</f>
        <v>0.69690000000000007</v>
      </c>
      <c r="Q572" s="278">
        <f>IFERROR(INDEX('Ashed teabags dry'!$K$2:$K$825,MATCH(J572,'Ashed teabags dry'!$A$2:$A$825,0)),"")</f>
        <v>16.880037932669509</v>
      </c>
      <c r="R572" s="278">
        <f t="shared" si="42"/>
        <v>0.57926301564722626</v>
      </c>
      <c r="S572" s="268">
        <f>'Dry_Litterbag Placem_Collection'!E133</f>
        <v>42939</v>
      </c>
      <c r="T572" s="268">
        <f>IF('Dry_Litterbag Placem_Collection'!G133="","",'Dry_Litterbag Placem_Collection'!G133)</f>
        <v>43008</v>
      </c>
      <c r="U572" s="269">
        <f t="shared" si="40"/>
        <v>69</v>
      </c>
      <c r="V572" s="267">
        <f t="shared" si="43"/>
        <v>1.1123000000000001</v>
      </c>
      <c r="W572" s="267">
        <f t="shared" si="44"/>
        <v>1.1301638437268162</v>
      </c>
      <c r="X572" s="271">
        <f>IFERROR(INDEX(Rainfall_Dry!$O$2:$O$217,MATCH(B572, Rainfall_Dry!$A$2:$A$217,0)),"")</f>
        <v>136.27214243</v>
      </c>
      <c r="Y572" s="260">
        <v>31.214836424255054</v>
      </c>
      <c r="Z572" s="260">
        <v>11.377370285476141</v>
      </c>
      <c r="AA572" s="260">
        <v>57.407793290268799</v>
      </c>
      <c r="AB572" s="261" t="s">
        <v>2670</v>
      </c>
      <c r="AC572" s="260">
        <v>3.7337604731394798</v>
      </c>
      <c r="AD572">
        <f>IF('WetLitterbags placem_collection'!AB133="","",'WetLitterbags placem_collection'!AB133)</f>
        <v>4.5</v>
      </c>
      <c r="AE572">
        <f>IF('WetLitterbags placem_collection'!Z133="","",'WetLitterbags placem_collection'!Z133)</f>
        <v>7.5</v>
      </c>
      <c r="AF572" s="246" t="str">
        <f>IF('WetLitterbags placem_collection'!AA133="","",'WetLitterbags placem_collection'!AA133)</f>
        <v>O</v>
      </c>
      <c r="AG572">
        <f>IF('WetLitterbags placem_collection'!AC133="","",'WetLitterbags placem_collection'!AC133)</f>
        <v>0</v>
      </c>
      <c r="AH572">
        <f>IFERROR(AVERAGE('Dry_Litterbag Placem_Collection'!O133,'Dry_Litterbag Placem_Collection'!R133),"")</f>
        <v>8.9499999999999993</v>
      </c>
      <c r="AI572" s="271">
        <f>IFERROR(AVERAGE('Dry_Litterbag Placem_Collection'!N133,'Dry_Litterbag Placem_Collection'!Q133),"")</f>
        <v>28.6</v>
      </c>
      <c r="AJ572" s="270">
        <f>INDEX(Coordinates!$B$2:$B$197,MATCH(G572,Coordinates!$J$2:$J$197,0))</f>
        <v>-2.3503259660000002</v>
      </c>
      <c r="AK572" s="270">
        <f>INDEX(Coordinates!$C$2:$C$197,MATCH(G572,Coordinates!$J$2:$J$197,0))</f>
        <v>34.049616999999998</v>
      </c>
      <c r="AL572" s="270" t="str">
        <f>IF(ISNUMBER(SEARCH("C", 'Dry_Litterbag Placem_Collection'!U133)),"YES","NO")</f>
        <v>NO</v>
      </c>
      <c r="AM572" s="270" t="str">
        <f>IF(ISNUMBER(SEARCH("H", 'Dry_Litterbag Placem_Collection'!U133)),"YES","NO")</f>
        <v>NO</v>
      </c>
      <c r="AN572" s="270" t="str">
        <f>IF(ISNUMBER(SEARCH("R", 'Dry_Litterbag Placem_Collection'!U133)),"YES","NO")</f>
        <v>YES</v>
      </c>
    </row>
    <row r="573" spans="1:40" ht="15" customHeight="1">
      <c r="A573" s="262" t="s">
        <v>2659</v>
      </c>
      <c r="B573" s="263">
        <f>'Dry_Litterbag Placem_Collection'!A134</f>
        <v>132</v>
      </c>
      <c r="C573" s="263" t="str">
        <f>'Dry_Litterbag Placem_Collection'!B134</f>
        <v xml:space="preserve">Mwantimba
</v>
      </c>
      <c r="D573" s="263" t="s">
        <v>2460</v>
      </c>
      <c r="E573" s="263" t="s">
        <v>20</v>
      </c>
      <c r="F573" s="263">
        <v>1</v>
      </c>
      <c r="G573" s="264" t="str">
        <f>'Dry_Litterbag Placem_Collection'!C134</f>
        <v>Wet_P1_T4</v>
      </c>
      <c r="H573" s="273" t="s">
        <v>3651</v>
      </c>
      <c r="I573" s="266" t="s">
        <v>1147</v>
      </c>
      <c r="J573" s="263" t="str">
        <f>IF(ISBLANK('Dry_Litterbag Placem_Collection'!L134),"","G"&amp;""&amp;'Dry_Litterbag Placem_Collection'!L134)</f>
        <v/>
      </c>
      <c r="K573" s="267" t="str">
        <f>IFERROR(INDEX('Green_rooibos initial weight'!$C$5:$C$1749,MATCH(J573, 'Green_rooibos initial weight'!$A$5:$A$1749,0)),"")</f>
        <v/>
      </c>
      <c r="L573" s="267" t="str">
        <f>IFERROR(K573-(TBIcalc!$Q$9+TBIcalc!$Q$10),"")</f>
        <v/>
      </c>
      <c r="M573" s="391">
        <f>AVERAGE(Ashed_controlls!$K$2:$K$11)</f>
        <v>5.5147656768714146</v>
      </c>
      <c r="N573" s="267" t="str">
        <f t="shared" si="41"/>
        <v/>
      </c>
      <c r="O573" s="267" t="str">
        <f>IF(IFERROR(INDEX('Both teabags AfterDry'!$D$3:$D$900,MATCH(J573,'Both teabags AfterDry'!$A$3:$A$900,0)),"")="","",(IFERROR(INDEX('Both teabags AfterDry'!$D$3:$D$900,MATCH(J573,'Both teabags AfterDry'!$A$3:$A$900,0)),"")))</f>
        <v/>
      </c>
      <c r="P573" s="267" t="str">
        <f>IFERROR(IF(O573&gt;0,O573-(TBIcalc!$Q$9),""),"")</f>
        <v/>
      </c>
      <c r="Q573" s="278" t="str">
        <f>IFERROR(INDEX('Ashed teabags dry'!$K$2:$K$825,MATCH(J573,'Ashed teabags dry'!$A$2:$A$825,0)),"")</f>
        <v/>
      </c>
      <c r="R573" s="278" t="str">
        <f t="shared" si="42"/>
        <v/>
      </c>
      <c r="S573" s="268">
        <f>'Dry_Litterbag Placem_Collection'!E134</f>
        <v>0</v>
      </c>
      <c r="T573" s="268" t="str">
        <f>IF('Dry_Litterbag Placem_Collection'!G134="","",'Dry_Litterbag Placem_Collection'!G134)</f>
        <v/>
      </c>
      <c r="U573" s="269" t="str">
        <f t="shared" si="40"/>
        <v/>
      </c>
      <c r="V573" s="267" t="str">
        <f t="shared" si="43"/>
        <v/>
      </c>
      <c r="W573" s="267" t="str">
        <f t="shared" si="44"/>
        <v/>
      </c>
      <c r="X573" s="271" t="str">
        <f>IFERROR(INDEX(Rainfall_Dry!$O$2:$O$217,MATCH(B573, Rainfall_Dry!$A$2:$A$217,0)),"")</f>
        <v/>
      </c>
      <c r="Y573" s="260">
        <v>31.214836424255054</v>
      </c>
      <c r="Z573" s="260">
        <v>11.377370285476141</v>
      </c>
      <c r="AA573" s="260">
        <v>57.407793290268799</v>
      </c>
      <c r="AB573" s="261" t="s">
        <v>2670</v>
      </c>
      <c r="AC573" s="260">
        <v>4.7337604731394798</v>
      </c>
      <c r="AD573">
        <f>IF('WetLitterbags placem_collection'!AB134="","",'WetLitterbags placem_collection'!AB134)</f>
        <v>0.7</v>
      </c>
      <c r="AE573">
        <f>IF('WetLitterbags placem_collection'!Z134="","",'WetLitterbags placem_collection'!Z134)</f>
        <v>9.8000000000000007</v>
      </c>
      <c r="AF573" s="246" t="str">
        <f>IF('WetLitterbags placem_collection'!AA134="","",'WetLitterbags placem_collection'!AA134)</f>
        <v>G</v>
      </c>
      <c r="AG573">
        <f>IF('WetLitterbags placem_collection'!AC134="","",'WetLitterbags placem_collection'!AC134)</f>
        <v>1</v>
      </c>
      <c r="AH573" t="str">
        <f>IFERROR(AVERAGE('Dry_Litterbag Placem_Collection'!O134,'Dry_Litterbag Placem_Collection'!R134),"")</f>
        <v/>
      </c>
      <c r="AI573" s="271" t="str">
        <f>IFERROR(AVERAGE('Dry_Litterbag Placem_Collection'!N134,'Dry_Litterbag Placem_Collection'!Q134),"")</f>
        <v/>
      </c>
      <c r="AJ573" s="270">
        <f>INDEX(Coordinates!$B$2:$B$197,MATCH(G573,Coordinates!$J$2:$J$197,0))</f>
        <v>-2.3504800260000001</v>
      </c>
      <c r="AK573" s="270">
        <f>INDEX(Coordinates!$C$2:$C$197,MATCH(G573,Coordinates!$J$2:$J$197,0))</f>
        <v>34.049551030000003</v>
      </c>
      <c r="AL573" s="270" t="str">
        <f>IF(ISNUMBER(SEARCH("C", 'Dry_Litterbag Placem_Collection'!U134)),"YES","NO")</f>
        <v>NO</v>
      </c>
      <c r="AM573" s="270" t="str">
        <f>IF(ISNUMBER(SEARCH("H", 'Dry_Litterbag Placem_Collection'!U134)),"YES","NO")</f>
        <v>NO</v>
      </c>
      <c r="AN573" s="270" t="str">
        <f>IF(ISNUMBER(SEARCH("R", 'Dry_Litterbag Placem_Collection'!U134)),"YES","NO")</f>
        <v>NO</v>
      </c>
    </row>
    <row r="574" spans="1:40" ht="15" customHeight="1">
      <c r="A574" s="262" t="s">
        <v>2659</v>
      </c>
      <c r="B574" s="263">
        <f>'Dry_Litterbag Placem_Collection'!A135</f>
        <v>133</v>
      </c>
      <c r="C574" s="263" t="str">
        <f>'Dry_Litterbag Placem_Collection'!B135</f>
        <v xml:space="preserve">Mwantimba
</v>
      </c>
      <c r="D574" s="263" t="s">
        <v>2460</v>
      </c>
      <c r="E574" s="263" t="s">
        <v>20</v>
      </c>
      <c r="F574" s="263">
        <v>1</v>
      </c>
      <c r="G574" s="264" t="str">
        <f>'Dry_Litterbag Placem_Collection'!C135</f>
        <v>Wet_P1_T5</v>
      </c>
      <c r="H574" s="273" t="s">
        <v>3651</v>
      </c>
      <c r="I574" s="266" t="s">
        <v>1147</v>
      </c>
      <c r="J574" s="263" t="str">
        <f>IF(ISBLANK('Dry_Litterbag Placem_Collection'!L135),"","G"&amp;""&amp;'Dry_Litterbag Placem_Collection'!L135)</f>
        <v>G210</v>
      </c>
      <c r="K574" s="267">
        <f>IFERROR(INDEX('Green_rooibos initial weight'!$C$5:$C$1749,MATCH(J574, 'Green_rooibos initial weight'!$A$5:$A$1749,0)),"")</f>
        <v>1.923</v>
      </c>
      <c r="L574" s="267">
        <f>IFERROR(K574-(TBIcalc!$Q$9+TBIcalc!$Q$10),"")</f>
        <v>1.6732</v>
      </c>
      <c r="M574" s="391">
        <f>AVERAGE(Ashed_controlls!$K$2:$K$11)</f>
        <v>5.5147656768714146</v>
      </c>
      <c r="N574" s="267">
        <f t="shared" si="41"/>
        <v>1.5809269406945876</v>
      </c>
      <c r="O574" s="267" t="str">
        <f>IF(IFERROR(INDEX('Both teabags AfterDry'!$D$3:$D$900,MATCH(J574,'Both teabags AfterDry'!$A$3:$A$900,0)),"")="","",(IFERROR(INDEX('Both teabags AfterDry'!$D$3:$D$900,MATCH(J574,'Both teabags AfterDry'!$A$3:$A$900,0)),"")))</f>
        <v/>
      </c>
      <c r="P574" s="267" t="str">
        <f>IFERROR(IF(O574&gt;0,O574-(TBIcalc!$Q$9),""),"")</f>
        <v/>
      </c>
      <c r="Q574" s="278" t="str">
        <f>IFERROR(INDEX('Ashed teabags dry'!$K$2:$K$825,MATCH(J574,'Ashed teabags dry'!$A$2:$A$825,0)),"")</f>
        <v/>
      </c>
      <c r="R574" s="278" t="str">
        <f t="shared" si="42"/>
        <v/>
      </c>
      <c r="S574" s="268">
        <f>'Dry_Litterbag Placem_Collection'!E135</f>
        <v>42939</v>
      </c>
      <c r="T574" s="268">
        <f>IF('Dry_Litterbag Placem_Collection'!G135="","",'Dry_Litterbag Placem_Collection'!G135)</f>
        <v>43008</v>
      </c>
      <c r="U574" s="269">
        <f t="shared" si="40"/>
        <v>69</v>
      </c>
      <c r="V574" s="267" t="str">
        <f t="shared" si="43"/>
        <v/>
      </c>
      <c r="W574" s="267" t="str">
        <f t="shared" si="44"/>
        <v/>
      </c>
      <c r="X574" s="271">
        <f>IFERROR(INDEX(Rainfall_Dry!$O$2:$O$217,MATCH(B574, Rainfall_Dry!$A$2:$A$217,0)),"")</f>
        <v>136.27214243</v>
      </c>
      <c r="Y574" s="260">
        <v>31.214836424255054</v>
      </c>
      <c r="Z574" s="260">
        <v>11.377370285476141</v>
      </c>
      <c r="AA574" s="260">
        <v>57.407793290268799</v>
      </c>
      <c r="AB574" s="261" t="s">
        <v>2670</v>
      </c>
      <c r="AC574" s="260">
        <v>5.7337604731394798</v>
      </c>
      <c r="AD574">
        <f>IF('WetLitterbags placem_collection'!AB135="","",'WetLitterbags placem_collection'!AB135)</f>
        <v>2.2000000000000002</v>
      </c>
      <c r="AE574">
        <f>IF('WetLitterbags placem_collection'!Z135="","",'WetLitterbags placem_collection'!Z135)</f>
        <v>10</v>
      </c>
      <c r="AF574" s="246" t="str">
        <f>IF('WetLitterbags placem_collection'!AA135="","",'WetLitterbags placem_collection'!AA135)</f>
        <v>O</v>
      </c>
      <c r="AG574">
        <f>IF('WetLitterbags placem_collection'!AC135="","",'WetLitterbags placem_collection'!AC135)</f>
        <v>1</v>
      </c>
      <c r="AH574">
        <f>IFERROR(AVERAGE('Dry_Litterbag Placem_Collection'!O135,'Dry_Litterbag Placem_Collection'!R135),"")</f>
        <v>8.75</v>
      </c>
      <c r="AI574" s="271">
        <f>IFERROR(AVERAGE('Dry_Litterbag Placem_Collection'!N135,'Dry_Litterbag Placem_Collection'!Q135),"")</f>
        <v>31.3</v>
      </c>
      <c r="AJ574" s="270">
        <f>INDEX(Coordinates!$B$2:$B$197,MATCH(G574,Coordinates!$J$2:$J$197,0))</f>
        <v>-2.350474996</v>
      </c>
      <c r="AK574" s="270">
        <f>INDEX(Coordinates!$C$2:$C$197,MATCH(G574,Coordinates!$J$2:$J$197,0))</f>
        <v>34.049801979999998</v>
      </c>
      <c r="AL574" s="270" t="str">
        <f>IF(ISNUMBER(SEARCH("C", 'Dry_Litterbag Placem_Collection'!U135)),"YES","NO")</f>
        <v>NO</v>
      </c>
      <c r="AM574" s="270" t="str">
        <f>IF(ISNUMBER(SEARCH("H", 'Dry_Litterbag Placem_Collection'!U135)),"YES","NO")</f>
        <v>NO</v>
      </c>
      <c r="AN574" s="270" t="str">
        <f>IF(ISNUMBER(SEARCH("R", 'Dry_Litterbag Placem_Collection'!U135)),"YES","NO")</f>
        <v>YES</v>
      </c>
    </row>
    <row r="575" spans="1:40" ht="15" customHeight="1">
      <c r="A575" s="262" t="s">
        <v>2659</v>
      </c>
      <c r="B575" s="263">
        <f>'Dry_Litterbag Placem_Collection'!A136</f>
        <v>134</v>
      </c>
      <c r="C575" s="263" t="str">
        <f>'Dry_Litterbag Placem_Collection'!B136</f>
        <v xml:space="preserve">Mwantimba
</v>
      </c>
      <c r="D575" s="263" t="s">
        <v>2460</v>
      </c>
      <c r="E575" s="263" t="s">
        <v>20</v>
      </c>
      <c r="F575" s="263">
        <v>1</v>
      </c>
      <c r="G575" s="264" t="str">
        <f>'Dry_Litterbag Placem_Collection'!C136</f>
        <v>Wet_P1_T6</v>
      </c>
      <c r="H575" s="273" t="s">
        <v>3651</v>
      </c>
      <c r="I575" s="266" t="s">
        <v>1147</v>
      </c>
      <c r="J575" s="263" t="str">
        <f>IF(ISBLANK('Dry_Litterbag Placem_Collection'!L136),"","G"&amp;""&amp;'Dry_Litterbag Placem_Collection'!L136)</f>
        <v>G40</v>
      </c>
      <c r="K575" s="267">
        <f>IFERROR(INDEX('Green_rooibos initial weight'!$C$5:$C$1749,MATCH(J575, 'Green_rooibos initial weight'!$A$5:$A$1749,0)),"")</f>
        <v>2.0369999999999999</v>
      </c>
      <c r="L575" s="267">
        <f>IFERROR(K575-(TBIcalc!$Q$9+TBIcalc!$Q$10),"")</f>
        <v>1.7871999999999999</v>
      </c>
      <c r="M575" s="391">
        <f>AVERAGE(Ashed_controlls!$K$2:$K$11)</f>
        <v>5.5147656768714146</v>
      </c>
      <c r="N575" s="267">
        <f t="shared" si="41"/>
        <v>1.688640107822954</v>
      </c>
      <c r="O575" s="267">
        <f>IF(IFERROR(INDEX('Both teabags AfterDry'!$D$3:$D$900,MATCH(J575,'Both teabags AfterDry'!$A$3:$A$900,0)),"")="","",(IFERROR(INDEX('Both teabags AfterDry'!$D$3:$D$900,MATCH(J575,'Both teabags AfterDry'!$A$3:$A$900,0)),"")))</f>
        <v>0.68400000000000005</v>
      </c>
      <c r="P575" s="267">
        <f>IFERROR(IF(O575&gt;0,O575-(TBIcalc!$Q$9),""),"")</f>
        <v>0.5334000000000001</v>
      </c>
      <c r="Q575" s="278">
        <f>IFERROR(INDEX('Ashed teabags dry'!$K$2:$K$825,MATCH(J575,'Ashed teabags dry'!$A$2:$A$825,0)),"")</f>
        <v>16.995073891625683</v>
      </c>
      <c r="R575" s="278">
        <f t="shared" si="42"/>
        <v>0.44274827586206866</v>
      </c>
      <c r="S575" s="268">
        <f>'Dry_Litterbag Placem_Collection'!E136</f>
        <v>42939</v>
      </c>
      <c r="T575" s="268">
        <f>IF('Dry_Litterbag Placem_Collection'!G136="","",'Dry_Litterbag Placem_Collection'!G136)</f>
        <v>43008</v>
      </c>
      <c r="U575" s="269">
        <f t="shared" si="40"/>
        <v>69</v>
      </c>
      <c r="V575" s="267">
        <f t="shared" si="43"/>
        <v>1.2537999999999998</v>
      </c>
      <c r="W575" s="267">
        <f t="shared" si="44"/>
        <v>1.2458918319608854</v>
      </c>
      <c r="X575" s="271">
        <f>IFERROR(INDEX(Rainfall_Dry!$O$2:$O$217,MATCH(B575, Rainfall_Dry!$A$2:$A$217,0)),"")</f>
        <v>136.27214243</v>
      </c>
      <c r="Y575" s="260">
        <v>31.214836424255054</v>
      </c>
      <c r="Z575" s="260">
        <v>11.377370285476141</v>
      </c>
      <c r="AA575" s="260">
        <v>57.407793290268799</v>
      </c>
      <c r="AB575" s="261" t="s">
        <v>2670</v>
      </c>
      <c r="AC575" s="260">
        <v>6.7337604731394798</v>
      </c>
      <c r="AD575">
        <f>IF('WetLitterbags placem_collection'!AB136="","",'WetLitterbags placem_collection'!AB136)</f>
        <v>1.1000000000000001</v>
      </c>
      <c r="AE575">
        <f>IF('WetLitterbags placem_collection'!Z136="","",'WetLitterbags placem_collection'!Z136)</f>
        <v>15.4</v>
      </c>
      <c r="AF575" s="246" t="str">
        <f>IF('WetLitterbags placem_collection'!AA136="","",'WetLitterbags placem_collection'!AA136)</f>
        <v>O</v>
      </c>
      <c r="AG575">
        <f>IF('WetLitterbags placem_collection'!AC136="","",'WetLitterbags placem_collection'!AC136)</f>
        <v>1</v>
      </c>
      <c r="AH575">
        <f>IFERROR(AVERAGE('Dry_Litterbag Placem_Collection'!O136,'Dry_Litterbag Placem_Collection'!R136),"")</f>
        <v>6.65</v>
      </c>
      <c r="AI575" s="271">
        <f>IFERROR(AVERAGE('Dry_Litterbag Placem_Collection'!N136,'Dry_Litterbag Placem_Collection'!Q136),"")</f>
        <v>29.200000000000003</v>
      </c>
      <c r="AJ575" s="270">
        <f>INDEX(Coordinates!$B$2:$B$197,MATCH(G575,Coordinates!$J$2:$J$197,0))</f>
        <v>-2.3503559730000001</v>
      </c>
      <c r="AK575" s="270">
        <f>INDEX(Coordinates!$C$2:$C$197,MATCH(G575,Coordinates!$J$2:$J$197,0))</f>
        <v>34.049800980000001</v>
      </c>
      <c r="AL575" s="270" t="str">
        <f>IF(ISNUMBER(SEARCH("C", 'Dry_Litterbag Placem_Collection'!U136)),"YES","NO")</f>
        <v>NO</v>
      </c>
      <c r="AM575" s="270" t="str">
        <f>IF(ISNUMBER(SEARCH("H", 'Dry_Litterbag Placem_Collection'!U136)),"YES","NO")</f>
        <v>NO</v>
      </c>
      <c r="AN575" s="270" t="str">
        <f>IF(ISNUMBER(SEARCH("R", 'Dry_Litterbag Placem_Collection'!U136)),"YES","NO")</f>
        <v>YES</v>
      </c>
    </row>
    <row r="576" spans="1:40" ht="15" customHeight="1">
      <c r="A576" s="262" t="s">
        <v>2659</v>
      </c>
      <c r="B576" s="263">
        <f>'Dry_Litterbag Placem_Collection'!A137</f>
        <v>135</v>
      </c>
      <c r="C576" s="263" t="str">
        <f>'Dry_Litterbag Placem_Collection'!B137</f>
        <v xml:space="preserve">Mwantimba
</v>
      </c>
      <c r="D576" s="263" t="s">
        <v>2460</v>
      </c>
      <c r="E576" s="263" t="s">
        <v>20</v>
      </c>
      <c r="F576" s="263">
        <v>1</v>
      </c>
      <c r="G576" s="264" t="str">
        <f>'Dry_Litterbag Placem_Collection'!C137</f>
        <v>Wet_P1_T7</v>
      </c>
      <c r="H576" s="273" t="s">
        <v>3651</v>
      </c>
      <c r="I576" s="266" t="s">
        <v>1147</v>
      </c>
      <c r="J576" s="263" t="str">
        <f>IF(ISBLANK('Dry_Litterbag Placem_Collection'!L137),"","G"&amp;""&amp;'Dry_Litterbag Placem_Collection'!L137)</f>
        <v>G517</v>
      </c>
      <c r="K576" s="267">
        <f>IFERROR(INDEX('Green_rooibos initial weight'!$C$5:$C$1749,MATCH(J576, 'Green_rooibos initial weight'!$A$5:$A$1749,0)),"")</f>
        <v>2.069</v>
      </c>
      <c r="L576" s="267">
        <f>IFERROR(K576-(TBIcalc!$Q$9+TBIcalc!$Q$10),"")</f>
        <v>1.8191999999999999</v>
      </c>
      <c r="M576" s="391">
        <f>AVERAGE(Ashed_controlls!$K$2:$K$11)</f>
        <v>5.5147656768714146</v>
      </c>
      <c r="N576" s="267">
        <f t="shared" si="41"/>
        <v>1.7188753828063552</v>
      </c>
      <c r="O576" s="267">
        <f>IF(IFERROR(INDEX('Both teabags AfterDry'!$D$3:$D$900,MATCH(J576,'Both teabags AfterDry'!$A$3:$A$900,0)),"")="","",(IFERROR(INDEX('Both teabags AfterDry'!$D$3:$D$900,MATCH(J576,'Both teabags AfterDry'!$A$3:$A$900,0)),"")))</f>
        <v>0.7097</v>
      </c>
      <c r="P576" s="267">
        <f>IFERROR(IF(O576&gt;0,O576-(TBIcalc!$Q$9),""),"")</f>
        <v>0.55909999999999993</v>
      </c>
      <c r="Q576" s="278">
        <f>IFERROR(INDEX('Ashed teabags dry'!$K$2:$K$825,MATCH(J576,'Ashed teabags dry'!$A$2:$A$825,0)),"")</f>
        <v>18.257464512971215</v>
      </c>
      <c r="R576" s="278">
        <f t="shared" si="42"/>
        <v>0.45702251590797788</v>
      </c>
      <c r="S576" s="268">
        <f>'Dry_Litterbag Placem_Collection'!E137</f>
        <v>42939</v>
      </c>
      <c r="T576" s="268">
        <f>IF('Dry_Litterbag Placem_Collection'!G137="","",'Dry_Litterbag Placem_Collection'!G137)</f>
        <v>43008</v>
      </c>
      <c r="U576" s="269">
        <f t="shared" si="40"/>
        <v>69</v>
      </c>
      <c r="V576" s="267">
        <f t="shared" si="43"/>
        <v>1.2601</v>
      </c>
      <c r="W576" s="267">
        <f t="shared" si="44"/>
        <v>1.2618528668983773</v>
      </c>
      <c r="X576" s="271">
        <f>IFERROR(INDEX(Rainfall_Dry!$O$2:$O$217,MATCH(B576, Rainfall_Dry!$A$2:$A$217,0)),"")</f>
        <v>136.27214243</v>
      </c>
      <c r="Y576" s="260">
        <v>31.214836424255054</v>
      </c>
      <c r="Z576" s="260">
        <v>11.377370285476141</v>
      </c>
      <c r="AA576" s="260">
        <v>57.407793290268799</v>
      </c>
      <c r="AB576" s="261" t="s">
        <v>2670</v>
      </c>
      <c r="AC576" s="260">
        <v>7.7337604731394798</v>
      </c>
      <c r="AD576">
        <f>IF('WetLitterbags placem_collection'!AB137="","",'WetLitterbags placem_collection'!AB137)</f>
        <v>2.1</v>
      </c>
      <c r="AE576">
        <f>IF('WetLitterbags placem_collection'!Z137="","",'WetLitterbags placem_collection'!Z137)</f>
        <v>5.6</v>
      </c>
      <c r="AF576" s="246" t="str">
        <f>IF('WetLitterbags placem_collection'!AA137="","",'WetLitterbags placem_collection'!AA137)</f>
        <v>O</v>
      </c>
      <c r="AG576">
        <f>IF('WetLitterbags placem_collection'!AC137="","",'WetLitterbags placem_collection'!AC137)</f>
        <v>1</v>
      </c>
      <c r="AH576">
        <f>IFERROR(AVERAGE('Dry_Litterbag Placem_Collection'!O137,'Dry_Litterbag Placem_Collection'!R137),"")</f>
        <v>8.5500000000000007</v>
      </c>
      <c r="AI576" s="271">
        <f>IFERROR(AVERAGE('Dry_Litterbag Placem_Collection'!N137,'Dry_Litterbag Placem_Collection'!Q137),"")</f>
        <v>31.35</v>
      </c>
      <c r="AJ576" s="270">
        <f>INDEX(Coordinates!$B$2:$B$197,MATCH(G576,Coordinates!$J$2:$J$197,0))</f>
        <v>-2.3503589909999998</v>
      </c>
      <c r="AK576" s="270">
        <f>INDEX(Coordinates!$C$2:$C$197,MATCH(G576,Coordinates!$J$2:$J$197,0))</f>
        <v>34.049719000000003</v>
      </c>
      <c r="AL576" s="270" t="str">
        <f>IF(ISNUMBER(SEARCH("C", 'Dry_Litterbag Placem_Collection'!U137)),"YES","NO")</f>
        <v>NO</v>
      </c>
      <c r="AM576" s="270" t="str">
        <f>IF(ISNUMBER(SEARCH("H", 'Dry_Litterbag Placem_Collection'!U137)),"YES","NO")</f>
        <v>NO</v>
      </c>
      <c r="AN576" s="270" t="str">
        <f>IF(ISNUMBER(SEARCH("R", 'Dry_Litterbag Placem_Collection'!U137)),"YES","NO")</f>
        <v>NO</v>
      </c>
    </row>
    <row r="577" spans="1:40" ht="15" customHeight="1">
      <c r="A577" s="262" t="s">
        <v>2659</v>
      </c>
      <c r="B577" s="263">
        <f>'Dry_Litterbag Placem_Collection'!A138</f>
        <v>136</v>
      </c>
      <c r="C577" s="263" t="str">
        <f>'Dry_Litterbag Placem_Collection'!B138</f>
        <v xml:space="preserve">Mwantimba
</v>
      </c>
      <c r="D577" s="263" t="s">
        <v>2460</v>
      </c>
      <c r="E577" s="263" t="s">
        <v>20</v>
      </c>
      <c r="F577" s="263">
        <v>1</v>
      </c>
      <c r="G577" s="264" t="str">
        <f>'Dry_Litterbag Placem_Collection'!C138</f>
        <v>Wet_P1_T8</v>
      </c>
      <c r="H577" s="273" t="s">
        <v>3651</v>
      </c>
      <c r="I577" s="266" t="s">
        <v>1147</v>
      </c>
      <c r="J577" s="263" t="str">
        <f>IF(ISBLANK('Dry_Litterbag Placem_Collection'!L138),"","G"&amp;""&amp;'Dry_Litterbag Placem_Collection'!L138)</f>
        <v>G67</v>
      </c>
      <c r="K577" s="267">
        <f>IFERROR(INDEX('Green_rooibos initial weight'!$C$5:$C$1749,MATCH(J577, 'Green_rooibos initial weight'!$A$5:$A$1749,0)),"")</f>
        <v>1.984</v>
      </c>
      <c r="L577" s="267">
        <f>IFERROR(K577-(TBIcalc!$Q$9+TBIcalc!$Q$10),"")</f>
        <v>1.7342</v>
      </c>
      <c r="M577" s="391">
        <f>AVERAGE(Ashed_controlls!$K$2:$K$11)</f>
        <v>5.5147656768714146</v>
      </c>
      <c r="N577" s="267">
        <f t="shared" si="41"/>
        <v>1.6385629336316958</v>
      </c>
      <c r="O577" s="267">
        <f>IF(IFERROR(INDEX('Both teabags AfterDry'!$D$3:$D$900,MATCH(J577,'Both teabags AfterDry'!$A$3:$A$900,0)),"")="","",(IFERROR(INDEX('Both teabags AfterDry'!$D$3:$D$900,MATCH(J577,'Both teabags AfterDry'!$A$3:$A$900,0)),"")))</f>
        <v>0.77739999999999998</v>
      </c>
      <c r="P577" s="267">
        <f>IFERROR(IF(O577&gt;0,O577-(TBIcalc!$Q$9),""),"")</f>
        <v>0.62680000000000002</v>
      </c>
      <c r="Q577" s="278">
        <f>IFERROR(INDEX('Ashed teabags dry'!$K$2:$K$825,MATCH(J577,'Ashed teabags dry'!$A$2:$A$825,0)),"")</f>
        <v>23.004251299007908</v>
      </c>
      <c r="R577" s="278">
        <f t="shared" si="42"/>
        <v>0.48260935285781847</v>
      </c>
      <c r="S577" s="268">
        <f>'Dry_Litterbag Placem_Collection'!E138</f>
        <v>42939</v>
      </c>
      <c r="T577" s="268">
        <f>IF('Dry_Litterbag Placem_Collection'!G138="","",'Dry_Litterbag Placem_Collection'!G138)</f>
        <v>43008</v>
      </c>
      <c r="U577" s="269">
        <f t="shared" si="40"/>
        <v>69</v>
      </c>
      <c r="V577" s="267">
        <f t="shared" si="43"/>
        <v>1.1073999999999999</v>
      </c>
      <c r="W577" s="267">
        <f t="shared" si="44"/>
        <v>1.1559535807738772</v>
      </c>
      <c r="X577" s="271">
        <f>IFERROR(INDEX(Rainfall_Dry!$O$2:$O$217,MATCH(B577, Rainfall_Dry!$A$2:$A$217,0)),"")</f>
        <v>136.27214243</v>
      </c>
      <c r="Y577" s="260">
        <v>31.214836424255054</v>
      </c>
      <c r="Z577" s="260">
        <v>11.377370285476141</v>
      </c>
      <c r="AA577" s="260">
        <v>57.407793290268799</v>
      </c>
      <c r="AB577" s="261" t="s">
        <v>2670</v>
      </c>
      <c r="AC577" s="260">
        <v>8.7337604731394798</v>
      </c>
      <c r="AD577">
        <f>IF('WetLitterbags placem_collection'!AB138="","",'WetLitterbags placem_collection'!AB138)</f>
        <v>2.2999999999999998</v>
      </c>
      <c r="AE577">
        <f>IF('WetLitterbags placem_collection'!Z138="","",'WetLitterbags placem_collection'!Z138)</f>
        <v>16.3</v>
      </c>
      <c r="AF577" s="246" t="str">
        <f>IF('WetLitterbags placem_collection'!AA138="","",'WetLitterbags placem_collection'!AA138)</f>
        <v>G</v>
      </c>
      <c r="AG577">
        <f>IF('WetLitterbags placem_collection'!AC138="","",'WetLitterbags placem_collection'!AC138)</f>
        <v>1</v>
      </c>
      <c r="AH577">
        <f>IFERROR(AVERAGE('Dry_Litterbag Placem_Collection'!O138,'Dry_Litterbag Placem_Collection'!R138),"")</f>
        <v>5.9</v>
      </c>
      <c r="AI577" s="271">
        <f>IFERROR(AVERAGE('Dry_Litterbag Placem_Collection'!N138,'Dry_Litterbag Placem_Collection'!Q138),"")</f>
        <v>29.9</v>
      </c>
      <c r="AJ577" s="270">
        <f>INDEX(Coordinates!$B$2:$B$197,MATCH(G577,Coordinates!$J$2:$J$197,0))</f>
        <v>-2.3502159960000002</v>
      </c>
      <c r="AK577" s="270">
        <f>INDEX(Coordinates!$C$2:$C$197,MATCH(G577,Coordinates!$J$2:$J$197,0))</f>
        <v>34.049822020000001</v>
      </c>
      <c r="AL577" s="270" t="str">
        <f>IF(ISNUMBER(SEARCH("C", 'Dry_Litterbag Placem_Collection'!U138)),"YES","NO")</f>
        <v>NO</v>
      </c>
      <c r="AM577" s="270" t="str">
        <f>IF(ISNUMBER(SEARCH("H", 'Dry_Litterbag Placem_Collection'!U138)),"YES","NO")</f>
        <v>NO</v>
      </c>
      <c r="AN577" s="270" t="str">
        <f>IF(ISNUMBER(SEARCH("R", 'Dry_Litterbag Placem_Collection'!U138)),"YES","NO")</f>
        <v>YES</v>
      </c>
    </row>
    <row r="578" spans="1:40" ht="15" customHeight="1">
      <c r="A578" s="262" t="s">
        <v>2659</v>
      </c>
      <c r="B578" s="263">
        <f>'Dry_Litterbag Placem_Collection'!A139</f>
        <v>137</v>
      </c>
      <c r="C578" s="263" t="str">
        <f>'Dry_Litterbag Placem_Collection'!B139</f>
        <v xml:space="preserve">Mwantimba
</v>
      </c>
      <c r="D578" s="263" t="s">
        <v>2460</v>
      </c>
      <c r="E578" s="263" t="s">
        <v>20</v>
      </c>
      <c r="F578" s="263">
        <v>2</v>
      </c>
      <c r="G578" s="264" t="str">
        <f>'Dry_Litterbag Placem_Collection'!C139</f>
        <v>Wet_P2_T1</v>
      </c>
      <c r="H578" s="273" t="s">
        <v>3651</v>
      </c>
      <c r="I578" s="266" t="s">
        <v>1147</v>
      </c>
      <c r="J578" s="263" t="str">
        <f>IF(ISBLANK('Dry_Litterbag Placem_Collection'!L139),"","G"&amp;""&amp;'Dry_Litterbag Placem_Collection'!L139)</f>
        <v>G335</v>
      </c>
      <c r="K578" s="267">
        <f>IFERROR(INDEX('Green_rooibos initial weight'!$C$5:$C$1749,MATCH(J578, 'Green_rooibos initial weight'!$A$5:$A$1749,0)),"")</f>
        <v>1.956</v>
      </c>
      <c r="L578" s="267">
        <f>IFERROR(K578-(TBIcalc!$Q$9+TBIcalc!$Q$10),"")</f>
        <v>1.7061999999999999</v>
      </c>
      <c r="M578" s="391">
        <f>AVERAGE(Ashed_controlls!$K$2:$K$11)</f>
        <v>5.5147656768714146</v>
      </c>
      <c r="N578" s="267">
        <f t="shared" si="41"/>
        <v>1.6121070680212199</v>
      </c>
      <c r="O578" s="267">
        <f>IF(IFERROR(INDEX('Both teabags AfterDry'!$D$3:$D$900,MATCH(J578,'Both teabags AfterDry'!$A$3:$A$900,0)),"")="","",(IFERROR(INDEX('Both teabags AfterDry'!$D$3:$D$900,MATCH(J578,'Both teabags AfterDry'!$A$3:$A$900,0)),"")))</f>
        <v>0.85829999999999995</v>
      </c>
      <c r="P578" s="267">
        <f>IFERROR(IF(O578&gt;0,O578-(TBIcalc!$Q$9),""),"")</f>
        <v>0.7077</v>
      </c>
      <c r="Q578" s="278">
        <f>IFERROR(INDEX('Ashed teabags dry'!$K$2:$K$825,MATCH(J578,'Ashed teabags dry'!$A$2:$A$825,0)),"")</f>
        <v>28.521997034107514</v>
      </c>
      <c r="R578" s="278">
        <f t="shared" si="42"/>
        <v>0.50584982698962111</v>
      </c>
      <c r="S578" s="268">
        <f>'Dry_Litterbag Placem_Collection'!E139</f>
        <v>42939</v>
      </c>
      <c r="T578" s="268">
        <f>IF('Dry_Litterbag Placem_Collection'!G139="","",'Dry_Litterbag Placem_Collection'!G139)</f>
        <v>43008</v>
      </c>
      <c r="U578" s="269">
        <f t="shared" ref="U578:U641" si="45">IFERROR(T578-S578,"")</f>
        <v>69</v>
      </c>
      <c r="V578" s="267">
        <f t="shared" si="43"/>
        <v>0.99849999999999994</v>
      </c>
      <c r="W578" s="267">
        <f t="shared" si="44"/>
        <v>1.1062572410315989</v>
      </c>
      <c r="X578" s="271">
        <f>IFERROR(INDEX(Rainfall_Dry!$O$2:$O$217,MATCH(B578, Rainfall_Dry!$A$2:$A$217,0)),"")</f>
        <v>136.27214243</v>
      </c>
      <c r="Y578" s="260">
        <v>33.96</v>
      </c>
      <c r="Z578" s="260">
        <v>8.9200000000000017</v>
      </c>
      <c r="AA578" s="260">
        <v>57.12</v>
      </c>
      <c r="AB578" s="261" t="s">
        <v>2670</v>
      </c>
      <c r="AC578" s="260">
        <v>2.072055199605717</v>
      </c>
      <c r="AD578">
        <f>IF('WetLitterbags placem_collection'!AB139="","",'WetLitterbags placem_collection'!AB139)</f>
        <v>1.2</v>
      </c>
      <c r="AE578">
        <f>IF('WetLitterbags placem_collection'!Z139="","",'WetLitterbags placem_collection'!Z139)</f>
        <v>32.4</v>
      </c>
      <c r="AF578" s="246" t="str">
        <f>IF('WetLitterbags placem_collection'!AA139="","",'WetLitterbags placem_collection'!AA139)</f>
        <v>G</v>
      </c>
      <c r="AG578">
        <f>IF('WetLitterbags placem_collection'!AC139="","",'WetLitterbags placem_collection'!AC139)</f>
        <v>1</v>
      </c>
      <c r="AH578">
        <f>IFERROR(AVERAGE('Dry_Litterbag Placem_Collection'!O139,'Dry_Litterbag Placem_Collection'!R139),"")</f>
        <v>8.9</v>
      </c>
      <c r="AI578" s="271">
        <f>IFERROR(AVERAGE('Dry_Litterbag Placem_Collection'!N139,'Dry_Litterbag Placem_Collection'!Q139),"")</f>
        <v>27.55</v>
      </c>
      <c r="AJ578" s="270">
        <f>INDEX(Coordinates!$B$2:$B$197,MATCH(G578,Coordinates!$J$2:$J$197,0))</f>
        <v>-2.348596025</v>
      </c>
      <c r="AK578" s="270">
        <f>INDEX(Coordinates!$C$2:$C$197,MATCH(G578,Coordinates!$J$2:$J$197,0))</f>
        <v>34.050070959999999</v>
      </c>
      <c r="AL578" s="270" t="str">
        <f>IF(ISNUMBER(SEARCH("C", 'Dry_Litterbag Placem_Collection'!U139)),"YES","NO")</f>
        <v>NO</v>
      </c>
      <c r="AM578" s="270" t="str">
        <f>IF(ISNUMBER(SEARCH("H", 'Dry_Litterbag Placem_Collection'!U139)),"YES","NO")</f>
        <v>NO</v>
      </c>
      <c r="AN578" s="270" t="str">
        <f>IF(ISNUMBER(SEARCH("R", 'Dry_Litterbag Placem_Collection'!U139)),"YES","NO")</f>
        <v>NO</v>
      </c>
    </row>
    <row r="579" spans="1:40" ht="15" customHeight="1">
      <c r="A579" s="262" t="s">
        <v>2659</v>
      </c>
      <c r="B579" s="263">
        <f>'Dry_Litterbag Placem_Collection'!A140</f>
        <v>138</v>
      </c>
      <c r="C579" s="263" t="str">
        <f>'Dry_Litterbag Placem_Collection'!B140</f>
        <v xml:space="preserve">Mwantimba
</v>
      </c>
      <c r="D579" s="263" t="s">
        <v>2460</v>
      </c>
      <c r="E579" s="263" t="s">
        <v>20</v>
      </c>
      <c r="F579" s="263">
        <v>2</v>
      </c>
      <c r="G579" s="264" t="str">
        <f>'Dry_Litterbag Placem_Collection'!C140</f>
        <v>Wet_P2_T2</v>
      </c>
      <c r="H579" s="273" t="s">
        <v>3651</v>
      </c>
      <c r="I579" s="266" t="s">
        <v>1147</v>
      </c>
      <c r="J579" s="263" t="str">
        <f>IF(ISBLANK('Dry_Litterbag Placem_Collection'!L140),"","G"&amp;""&amp;'Dry_Litterbag Placem_Collection'!L140)</f>
        <v>G484</v>
      </c>
      <c r="K579" s="267">
        <f>IFERROR(INDEX('Green_rooibos initial weight'!$C$5:$C$1749,MATCH(J579, 'Green_rooibos initial weight'!$A$5:$A$1749,0)),"")</f>
        <v>2.0009999999999999</v>
      </c>
      <c r="L579" s="267">
        <f>IFERROR(K579-(TBIcalc!$Q$9+TBIcalc!$Q$10),"")</f>
        <v>1.7511999999999999</v>
      </c>
      <c r="M579" s="391">
        <f>AVERAGE(Ashed_controlls!$K$2:$K$11)</f>
        <v>5.5147656768714146</v>
      </c>
      <c r="N579" s="267">
        <f t="shared" ref="N579:N642" si="46">IFERROR(L579-(M579/100)*L579,"")</f>
        <v>1.6546254234666278</v>
      </c>
      <c r="O579" s="267">
        <f>IF(IFERROR(INDEX('Both teabags AfterDry'!$D$3:$D$900,MATCH(J579,'Both teabags AfterDry'!$A$3:$A$900,0)),"")="","",(IFERROR(INDEX('Both teabags AfterDry'!$D$3:$D$900,MATCH(J579,'Both teabags AfterDry'!$A$3:$A$900,0)),"")))</f>
        <v>0.66439999999999999</v>
      </c>
      <c r="P579" s="267">
        <f>IFERROR(IF(O579&gt;0,O579-(TBIcalc!$Q$9),""),"")</f>
        <v>0.51380000000000003</v>
      </c>
      <c r="Q579" s="278">
        <f>IFERROR(INDEX('Ashed teabags dry'!$K$2:$K$825,MATCH(J579,'Ashed teabags dry'!$A$2:$A$825,0)),"")</f>
        <v>17.053529133112047</v>
      </c>
      <c r="R579" s="278">
        <f t="shared" ref="R579:R642" si="47">IFERROR(P579-(Q579/100)*P579,"")</f>
        <v>0.42617896731407034</v>
      </c>
      <c r="S579" s="268">
        <f>'Dry_Litterbag Placem_Collection'!E140</f>
        <v>42939</v>
      </c>
      <c r="T579" s="268">
        <f>IF('Dry_Litterbag Placem_Collection'!G140="","",'Dry_Litterbag Placem_Collection'!G140)</f>
        <v>43008</v>
      </c>
      <c r="U579" s="269">
        <f t="shared" si="45"/>
        <v>69</v>
      </c>
      <c r="V579" s="267">
        <f t="shared" ref="V579:V642" si="48">IFERROR(L579-P579,"")</f>
        <v>1.2373999999999998</v>
      </c>
      <c r="W579" s="267">
        <f t="shared" ref="W579:W642" si="49">IFERROR(N579-R579,"")</f>
        <v>1.2284464561525574</v>
      </c>
      <c r="X579" s="271">
        <f>IFERROR(INDEX(Rainfall_Dry!$O$2:$O$217,MATCH(B579, Rainfall_Dry!$A$2:$A$217,0)),"")</f>
        <v>136.27214243</v>
      </c>
      <c r="Y579" s="260">
        <v>33.96</v>
      </c>
      <c r="Z579" s="260">
        <v>8.9200000000000017</v>
      </c>
      <c r="AA579" s="260">
        <v>57.12</v>
      </c>
      <c r="AB579" s="261" t="s">
        <v>2670</v>
      </c>
      <c r="AC579" s="260">
        <v>3.0720551996057202</v>
      </c>
      <c r="AD579">
        <f>IF('WetLitterbags placem_collection'!AB140="","",'WetLitterbags placem_collection'!AB140)</f>
        <v>2.8</v>
      </c>
      <c r="AE579">
        <f>IF('WetLitterbags placem_collection'!Z140="","",'WetLitterbags placem_collection'!Z140)</f>
        <v>26.4</v>
      </c>
      <c r="AF579" s="246" t="str">
        <f>IF('WetLitterbags placem_collection'!AA140="","",'WetLitterbags placem_collection'!AA140)</f>
        <v>G</v>
      </c>
      <c r="AG579">
        <f>IF('WetLitterbags placem_collection'!AC140="","",'WetLitterbags placem_collection'!AC140)</f>
        <v>1</v>
      </c>
      <c r="AH579">
        <f>IFERROR(AVERAGE('Dry_Litterbag Placem_Collection'!O140,'Dry_Litterbag Placem_Collection'!R140),"")</f>
        <v>7.05</v>
      </c>
      <c r="AI579" s="271">
        <f>IFERROR(AVERAGE('Dry_Litterbag Placem_Collection'!N140,'Dry_Litterbag Placem_Collection'!Q140),"")</f>
        <v>28.799999999999997</v>
      </c>
      <c r="AJ579" s="270">
        <f>INDEX(Coordinates!$B$2:$B$197,MATCH(G579,Coordinates!$J$2:$J$197,0))</f>
        <v>-2.3485449790000001</v>
      </c>
      <c r="AK579" s="270">
        <f>INDEX(Coordinates!$C$2:$C$197,MATCH(G579,Coordinates!$J$2:$J$197,0))</f>
        <v>34.050146980000001</v>
      </c>
      <c r="AL579" s="270" t="str">
        <f>IF(ISNUMBER(SEARCH("C", 'Dry_Litterbag Placem_Collection'!U140)),"YES","NO")</f>
        <v>NO</v>
      </c>
      <c r="AM579" s="270" t="str">
        <f>IF(ISNUMBER(SEARCH("H", 'Dry_Litterbag Placem_Collection'!U140)),"YES","NO")</f>
        <v>NO</v>
      </c>
      <c r="AN579" s="270" t="str">
        <f>IF(ISNUMBER(SEARCH("R", 'Dry_Litterbag Placem_Collection'!U140)),"YES","NO")</f>
        <v>NO</v>
      </c>
    </row>
    <row r="580" spans="1:40" ht="15" customHeight="1">
      <c r="A580" s="262" t="s">
        <v>2659</v>
      </c>
      <c r="B580" s="263">
        <f>'Dry_Litterbag Placem_Collection'!A141</f>
        <v>139</v>
      </c>
      <c r="C580" s="263" t="str">
        <f>'Dry_Litterbag Placem_Collection'!B141</f>
        <v xml:space="preserve">Mwantimba
</v>
      </c>
      <c r="D580" s="263" t="s">
        <v>2460</v>
      </c>
      <c r="E580" s="263" t="s">
        <v>20</v>
      </c>
      <c r="F580" s="263">
        <v>2</v>
      </c>
      <c r="G580" s="264" t="str">
        <f>'Dry_Litterbag Placem_Collection'!C141</f>
        <v>Wet_P2_T3</v>
      </c>
      <c r="H580" s="273" t="s">
        <v>3651</v>
      </c>
      <c r="I580" s="266" t="s">
        <v>1147</v>
      </c>
      <c r="J580" s="263" t="str">
        <f>IF(ISBLANK('Dry_Litterbag Placem_Collection'!L141),"","G"&amp;""&amp;'Dry_Litterbag Placem_Collection'!L141)</f>
        <v>G868</v>
      </c>
      <c r="K580" s="267">
        <f>IFERROR(INDEX('Green_rooibos initial weight'!$C$5:$C$1749,MATCH(J580, 'Green_rooibos initial weight'!$A$5:$A$1749,0)),"")</f>
        <v>1.95</v>
      </c>
      <c r="L580" s="267">
        <f>IFERROR(K580-(TBIcalc!$Q$9+TBIcalc!$Q$10),"")</f>
        <v>1.7001999999999999</v>
      </c>
      <c r="M580" s="391">
        <f>AVERAGE(Ashed_controlls!$K$2:$K$11)</f>
        <v>5.5147656768714146</v>
      </c>
      <c r="N580" s="267">
        <f t="shared" si="46"/>
        <v>1.6064379539618321</v>
      </c>
      <c r="O580" s="267">
        <f>IF(IFERROR(INDEX('Both teabags AfterDry'!$D$3:$D$900,MATCH(J580,'Both teabags AfterDry'!$A$3:$A$900,0)),"")="","",(IFERROR(INDEX('Both teabags AfterDry'!$D$3:$D$900,MATCH(J580,'Both teabags AfterDry'!$A$3:$A$900,0)),"")))</f>
        <v>0.71699999999999997</v>
      </c>
      <c r="P580" s="267">
        <f>IFERROR(IF(O580&gt;0,O580-(TBIcalc!$Q$9),""),"")</f>
        <v>0.56640000000000001</v>
      </c>
      <c r="Q580" s="278">
        <f>IFERROR(INDEX('Ashed teabags dry'!$K$2:$K$825,MATCH(J580,'Ashed teabags dry'!$A$2:$A$825,0)),"")</f>
        <v>21.365853658537009</v>
      </c>
      <c r="R580" s="278">
        <f t="shared" si="47"/>
        <v>0.44538380487804641</v>
      </c>
      <c r="S580" s="268">
        <f>'Dry_Litterbag Placem_Collection'!E141</f>
        <v>42939</v>
      </c>
      <c r="T580" s="268">
        <f>IF('Dry_Litterbag Placem_Collection'!G141="","",'Dry_Litterbag Placem_Collection'!G141)</f>
        <v>43008</v>
      </c>
      <c r="U580" s="269">
        <f t="shared" si="45"/>
        <v>69</v>
      </c>
      <c r="V580" s="267">
        <f t="shared" si="48"/>
        <v>1.1337999999999999</v>
      </c>
      <c r="W580" s="267">
        <f t="shared" si="49"/>
        <v>1.1610541490837858</v>
      </c>
      <c r="X580" s="271">
        <f>IFERROR(INDEX(Rainfall_Dry!$O$2:$O$217,MATCH(B580, Rainfall_Dry!$A$2:$A$217,0)),"")</f>
        <v>136.27214243</v>
      </c>
      <c r="Y580" s="260">
        <v>33.96</v>
      </c>
      <c r="Z580" s="260">
        <v>8.9200000000000017</v>
      </c>
      <c r="AA580" s="260">
        <v>57.12</v>
      </c>
      <c r="AB580" s="261" t="s">
        <v>2670</v>
      </c>
      <c r="AC580" s="260">
        <v>4.0720551996057202</v>
      </c>
      <c r="AD580">
        <f>IF('WetLitterbags placem_collection'!AB141="","",'WetLitterbags placem_collection'!AB141)</f>
        <v>5.7</v>
      </c>
      <c r="AE580">
        <f>IF('WetLitterbags placem_collection'!Z141="","",'WetLitterbags placem_collection'!Z141)</f>
        <v>19.399999999999999</v>
      </c>
      <c r="AF580" s="246" t="str">
        <f>IF('WetLitterbags placem_collection'!AA141="","",'WetLitterbags placem_collection'!AA141)</f>
        <v>G</v>
      </c>
      <c r="AG580">
        <f>IF('WetLitterbags placem_collection'!AC141="","",'WetLitterbags placem_collection'!AC141)</f>
        <v>1</v>
      </c>
      <c r="AH580">
        <f>IFERROR(AVERAGE('Dry_Litterbag Placem_Collection'!O141,'Dry_Litterbag Placem_Collection'!R141),"")</f>
        <v>11.200000000000001</v>
      </c>
      <c r="AI580" s="271">
        <f>IFERROR(AVERAGE('Dry_Litterbag Placem_Collection'!N141,'Dry_Litterbag Placem_Collection'!Q141),"")</f>
        <v>28.15</v>
      </c>
      <c r="AJ580" s="270">
        <f>INDEX(Coordinates!$B$2:$B$197,MATCH(G580,Coordinates!$J$2:$J$197,0))</f>
        <v>-2.3487209990000002</v>
      </c>
      <c r="AK580" s="270">
        <f>INDEX(Coordinates!$C$2:$C$197,MATCH(G580,Coordinates!$J$2:$J$197,0))</f>
        <v>34.050128039999997</v>
      </c>
      <c r="AL580" s="270" t="str">
        <f>IF(ISNUMBER(SEARCH("C", 'Dry_Litterbag Placem_Collection'!U141)),"YES","NO")</f>
        <v>NO</v>
      </c>
      <c r="AM580" s="270" t="str">
        <f>IF(ISNUMBER(SEARCH("H", 'Dry_Litterbag Placem_Collection'!U141)),"YES","NO")</f>
        <v>NO</v>
      </c>
      <c r="AN580" s="270" t="str">
        <f>IF(ISNUMBER(SEARCH("R", 'Dry_Litterbag Placem_Collection'!U141)),"YES","NO")</f>
        <v>NO</v>
      </c>
    </row>
    <row r="581" spans="1:40" ht="15" customHeight="1">
      <c r="A581" s="262" t="s">
        <v>2659</v>
      </c>
      <c r="B581" s="263">
        <f>'Dry_Litterbag Placem_Collection'!A142</f>
        <v>140</v>
      </c>
      <c r="C581" s="263" t="str">
        <f>'Dry_Litterbag Placem_Collection'!B142</f>
        <v xml:space="preserve">Mwantimba
</v>
      </c>
      <c r="D581" s="263" t="s">
        <v>2460</v>
      </c>
      <c r="E581" s="263" t="s">
        <v>20</v>
      </c>
      <c r="F581" s="263">
        <v>2</v>
      </c>
      <c r="G581" s="264" t="str">
        <f>'Dry_Litterbag Placem_Collection'!C142</f>
        <v>Wet_P2_T4</v>
      </c>
      <c r="H581" s="273" t="s">
        <v>3651</v>
      </c>
      <c r="I581" s="266" t="s">
        <v>1147</v>
      </c>
      <c r="J581" s="263" t="str">
        <f>IF(ISBLANK('Dry_Litterbag Placem_Collection'!L142),"","G"&amp;""&amp;'Dry_Litterbag Placem_Collection'!L142)</f>
        <v>G792</v>
      </c>
      <c r="K581" s="267">
        <f>IFERROR(INDEX('Green_rooibos initial weight'!$C$5:$C$1749,MATCH(J581, 'Green_rooibos initial weight'!$A$5:$A$1749,0)),"")</f>
        <v>2.0550000000000002</v>
      </c>
      <c r="L581" s="267">
        <f>IFERROR(K581-(TBIcalc!$Q$9+TBIcalc!$Q$10),"")</f>
        <v>1.8052000000000001</v>
      </c>
      <c r="M581" s="391">
        <f>AVERAGE(Ashed_controlls!$K$2:$K$11)</f>
        <v>5.5147656768714146</v>
      </c>
      <c r="N581" s="267">
        <f t="shared" si="46"/>
        <v>1.7056474500011174</v>
      </c>
      <c r="O581" s="267">
        <f>IF(IFERROR(INDEX('Both teabags AfterDry'!$D$3:$D$900,MATCH(J581,'Both teabags AfterDry'!$A$3:$A$900,0)),"")="","",(IFERROR(INDEX('Both teabags AfterDry'!$D$3:$D$900,MATCH(J581,'Both teabags AfterDry'!$A$3:$A$900,0)),"")))</f>
        <v>0.87409999999999999</v>
      </c>
      <c r="P581" s="267">
        <f>IFERROR(IF(O581&gt;0,O581-(TBIcalc!$Q$9),""),"")</f>
        <v>0.72350000000000003</v>
      </c>
      <c r="Q581" s="278">
        <f>IFERROR(INDEX('Ashed teabags dry'!$K$2:$K$825,MATCH(J581,'Ashed teabags dry'!$A$2:$A$825,0)),"")</f>
        <v>15.89673913043449</v>
      </c>
      <c r="R581" s="278">
        <f t="shared" si="47"/>
        <v>0.60848709239130649</v>
      </c>
      <c r="S581" s="268">
        <f>'Dry_Litterbag Placem_Collection'!E142</f>
        <v>42939</v>
      </c>
      <c r="T581" s="268">
        <f>IF('Dry_Litterbag Placem_Collection'!G142="","",'Dry_Litterbag Placem_Collection'!G142)</f>
        <v>43008</v>
      </c>
      <c r="U581" s="269">
        <f t="shared" si="45"/>
        <v>69</v>
      </c>
      <c r="V581" s="267">
        <f t="shared" si="48"/>
        <v>1.0817000000000001</v>
      </c>
      <c r="W581" s="267">
        <f t="shared" si="49"/>
        <v>1.0971603576098108</v>
      </c>
      <c r="X581" s="271">
        <f>IFERROR(INDEX(Rainfall_Dry!$O$2:$O$217,MATCH(B581, Rainfall_Dry!$A$2:$A$217,0)),"")</f>
        <v>136.27214243</v>
      </c>
      <c r="Y581" s="260">
        <v>33.96</v>
      </c>
      <c r="Z581" s="260">
        <v>8.9200000000000017</v>
      </c>
      <c r="AA581" s="260">
        <v>57.12</v>
      </c>
      <c r="AB581" s="261" t="s">
        <v>2670</v>
      </c>
      <c r="AC581" s="260">
        <v>5.0720551996057202</v>
      </c>
      <c r="AD581">
        <f>IF('WetLitterbags placem_collection'!AB142="","",'WetLitterbags placem_collection'!AB142)</f>
        <v>1.4</v>
      </c>
      <c r="AE581">
        <f>IF('WetLitterbags placem_collection'!Z142="","",'WetLitterbags placem_collection'!Z142)</f>
        <v>33.4</v>
      </c>
      <c r="AF581" s="246" t="str">
        <f>IF('WetLitterbags placem_collection'!AA142="","",'WetLitterbags placem_collection'!AA142)</f>
        <v>G</v>
      </c>
      <c r="AG581">
        <f>IF('WetLitterbags placem_collection'!AC142="","",'WetLitterbags placem_collection'!AC142)</f>
        <v>1</v>
      </c>
      <c r="AH581">
        <f>IFERROR(AVERAGE('Dry_Litterbag Placem_Collection'!O142,'Dry_Litterbag Placem_Collection'!R142),"")</f>
        <v>7.3000000000000007</v>
      </c>
      <c r="AI581" s="271">
        <f>IFERROR(AVERAGE('Dry_Litterbag Placem_Collection'!N142,'Dry_Litterbag Placem_Collection'!Q142),"")</f>
        <v>28</v>
      </c>
      <c r="AJ581" s="270">
        <f>INDEX(Coordinates!$B$2:$B$197,MATCH(G581,Coordinates!$J$2:$J$197,0))</f>
        <v>-2.3486250270000002</v>
      </c>
      <c r="AK581" s="270">
        <f>INDEX(Coordinates!$C$2:$C$197,MATCH(G581,Coordinates!$J$2:$J$197,0))</f>
        <v>34.050070959999999</v>
      </c>
      <c r="AL581" s="270" t="str">
        <f>IF(ISNUMBER(SEARCH("C", 'Dry_Litterbag Placem_Collection'!U142)),"YES","NO")</f>
        <v>NO</v>
      </c>
      <c r="AM581" s="270" t="str">
        <f>IF(ISNUMBER(SEARCH("H", 'Dry_Litterbag Placem_Collection'!U142)),"YES","NO")</f>
        <v>NO</v>
      </c>
      <c r="AN581" s="270" t="str">
        <f>IF(ISNUMBER(SEARCH("R", 'Dry_Litterbag Placem_Collection'!U142)),"YES","NO")</f>
        <v>NO</v>
      </c>
    </row>
    <row r="582" spans="1:40" ht="15" customHeight="1">
      <c r="A582" s="262" t="s">
        <v>2659</v>
      </c>
      <c r="B582" s="263">
        <f>'Dry_Litterbag Placem_Collection'!A143</f>
        <v>141</v>
      </c>
      <c r="C582" s="263" t="str">
        <f>'Dry_Litterbag Placem_Collection'!B143</f>
        <v xml:space="preserve">Mwantimba
</v>
      </c>
      <c r="D582" s="263" t="s">
        <v>2460</v>
      </c>
      <c r="E582" s="263" t="s">
        <v>20</v>
      </c>
      <c r="F582" s="263">
        <v>2</v>
      </c>
      <c r="G582" s="264" t="str">
        <f>'Dry_Litterbag Placem_Collection'!C143</f>
        <v>Wet_P2_T5</v>
      </c>
      <c r="H582" s="273" t="s">
        <v>3651</v>
      </c>
      <c r="I582" s="266" t="s">
        <v>1147</v>
      </c>
      <c r="J582" s="263" t="str">
        <f>IF(ISBLANK('Dry_Litterbag Placem_Collection'!L143),"","G"&amp;""&amp;'Dry_Litterbag Placem_Collection'!L143)</f>
        <v/>
      </c>
      <c r="K582" s="267" t="str">
        <f>IFERROR(INDEX('Green_rooibos initial weight'!$C$5:$C$1749,MATCH(J582, 'Green_rooibos initial weight'!$A$5:$A$1749,0)),"")</f>
        <v/>
      </c>
      <c r="L582" s="267" t="str">
        <f>IFERROR(K582-(TBIcalc!$Q$9+TBIcalc!$Q$10),"")</f>
        <v/>
      </c>
      <c r="M582" s="391">
        <f>AVERAGE(Ashed_controlls!$K$2:$K$11)</f>
        <v>5.5147656768714146</v>
      </c>
      <c r="N582" s="267" t="str">
        <f t="shared" si="46"/>
        <v/>
      </c>
      <c r="O582" s="267" t="str">
        <f>IF(IFERROR(INDEX('Both teabags AfterDry'!$D$3:$D$900,MATCH(J582,'Both teabags AfterDry'!$A$3:$A$900,0)),"")="","",(IFERROR(INDEX('Both teabags AfterDry'!$D$3:$D$900,MATCH(J582,'Both teabags AfterDry'!$A$3:$A$900,0)),"")))</f>
        <v/>
      </c>
      <c r="P582" s="267" t="str">
        <f>IFERROR(IF(O582&gt;0,O582-(TBIcalc!$Q$9),""),"")</f>
        <v/>
      </c>
      <c r="Q582" s="278" t="str">
        <f>IFERROR(INDEX('Ashed teabags dry'!$K$2:$K$825,MATCH(J582,'Ashed teabags dry'!$A$2:$A$825,0)),"")</f>
        <v/>
      </c>
      <c r="R582" s="278" t="str">
        <f t="shared" si="47"/>
        <v/>
      </c>
      <c r="S582" s="268">
        <f>'Dry_Litterbag Placem_Collection'!E143</f>
        <v>0</v>
      </c>
      <c r="T582" s="268" t="str">
        <f>IF('Dry_Litterbag Placem_Collection'!G143="","",'Dry_Litterbag Placem_Collection'!G143)</f>
        <v/>
      </c>
      <c r="U582" s="269" t="str">
        <f t="shared" si="45"/>
        <v/>
      </c>
      <c r="V582" s="267" t="str">
        <f t="shared" si="48"/>
        <v/>
      </c>
      <c r="W582" s="267" t="str">
        <f t="shared" si="49"/>
        <v/>
      </c>
      <c r="X582" s="271" t="str">
        <f>IFERROR(INDEX(Rainfall_Dry!$O$2:$O$217,MATCH(B582, Rainfall_Dry!$A$2:$A$217,0)),"")</f>
        <v/>
      </c>
      <c r="Y582" s="260">
        <v>33.96</v>
      </c>
      <c r="Z582" s="260">
        <v>8.9200000000000017</v>
      </c>
      <c r="AA582" s="260">
        <v>57.12</v>
      </c>
      <c r="AB582" s="261" t="s">
        <v>2670</v>
      </c>
      <c r="AC582" s="260">
        <v>6.0720551996057202</v>
      </c>
      <c r="AD582">
        <f>IF('WetLitterbags placem_collection'!AB143="","",'WetLitterbags placem_collection'!AB143)</f>
        <v>1.4</v>
      </c>
      <c r="AE582">
        <f>IF('WetLitterbags placem_collection'!Z143="","",'WetLitterbags placem_collection'!Z143)</f>
        <v>28.4</v>
      </c>
      <c r="AF582" s="246" t="str">
        <f>IF('WetLitterbags placem_collection'!AA143="","",'WetLitterbags placem_collection'!AA143)</f>
        <v>G</v>
      </c>
      <c r="AG582">
        <f>IF('WetLitterbags placem_collection'!AC143="","",'WetLitterbags placem_collection'!AC143)</f>
        <v>1</v>
      </c>
      <c r="AH582" t="str">
        <f>IFERROR(AVERAGE('Dry_Litterbag Placem_Collection'!O143,'Dry_Litterbag Placem_Collection'!R143),"")</f>
        <v/>
      </c>
      <c r="AI582" s="271" t="str">
        <f>IFERROR(AVERAGE('Dry_Litterbag Placem_Collection'!N143,'Dry_Litterbag Placem_Collection'!Q143),"")</f>
        <v/>
      </c>
      <c r="AJ582" s="270">
        <f>INDEX(Coordinates!$B$2:$B$197,MATCH(G582,Coordinates!$J$2:$J$197,0))</f>
        <v>-2.3486060000000002</v>
      </c>
      <c r="AK582" s="270">
        <f>INDEX(Coordinates!$C$2:$C$197,MATCH(G582,Coordinates!$J$2:$J$197,0))</f>
        <v>34.050010020000002</v>
      </c>
      <c r="AL582" s="270" t="str">
        <f>IF(ISNUMBER(SEARCH("C", 'Dry_Litterbag Placem_Collection'!U143)),"YES","NO")</f>
        <v>NO</v>
      </c>
      <c r="AM582" s="270" t="str">
        <f>IF(ISNUMBER(SEARCH("H", 'Dry_Litterbag Placem_Collection'!U143)),"YES","NO")</f>
        <v>NO</v>
      </c>
      <c r="AN582" s="270" t="str">
        <f>IF(ISNUMBER(SEARCH("R", 'Dry_Litterbag Placem_Collection'!U143)),"YES","NO")</f>
        <v>NO</v>
      </c>
    </row>
    <row r="583" spans="1:40" ht="15" customHeight="1">
      <c r="A583" s="262" t="s">
        <v>2659</v>
      </c>
      <c r="B583" s="263">
        <f>'Dry_Litterbag Placem_Collection'!A144</f>
        <v>142</v>
      </c>
      <c r="C583" s="263" t="str">
        <f>'Dry_Litterbag Placem_Collection'!B144</f>
        <v xml:space="preserve">Mwantimba
</v>
      </c>
      <c r="D583" s="263" t="s">
        <v>2460</v>
      </c>
      <c r="E583" s="263" t="s">
        <v>20</v>
      </c>
      <c r="F583" s="263">
        <v>2</v>
      </c>
      <c r="G583" s="264" t="str">
        <f>'Dry_Litterbag Placem_Collection'!C144</f>
        <v>Wet_P2_T6</v>
      </c>
      <c r="H583" s="273" t="s">
        <v>3651</v>
      </c>
      <c r="I583" s="266" t="s">
        <v>1147</v>
      </c>
      <c r="J583" s="263" t="str">
        <f>IF(ISBLANK('Dry_Litterbag Placem_Collection'!L144),"","G"&amp;""&amp;'Dry_Litterbag Placem_Collection'!L144)</f>
        <v>G711</v>
      </c>
      <c r="K583" s="267">
        <f>IFERROR(INDEX('Green_rooibos initial weight'!$C$5:$C$1749,MATCH(J583, 'Green_rooibos initial weight'!$A$5:$A$1749,0)),"")</f>
        <v>2.1070000000000002</v>
      </c>
      <c r="L583" s="267">
        <f>IFERROR(K583-(TBIcalc!$Q$9+TBIcalc!$Q$10),"")</f>
        <v>1.8572000000000002</v>
      </c>
      <c r="M583" s="391">
        <f>AVERAGE(Ashed_controlls!$K$2:$K$11)</f>
        <v>5.5147656768714146</v>
      </c>
      <c r="N583" s="267">
        <f t="shared" si="46"/>
        <v>1.7547797718491442</v>
      </c>
      <c r="O583" s="267" t="str">
        <f>IF(IFERROR(INDEX('Both teabags AfterDry'!$D$3:$D$900,MATCH(J583,'Both teabags AfterDry'!$A$3:$A$900,0)),"")="","",(IFERROR(INDEX('Both teabags AfterDry'!$D$3:$D$900,MATCH(J583,'Both teabags AfterDry'!$A$3:$A$900,0)),"")))</f>
        <v/>
      </c>
      <c r="P583" s="267" t="str">
        <f>IFERROR(IF(O583&gt;0,O583-(TBIcalc!$Q$9),""),"")</f>
        <v/>
      </c>
      <c r="Q583" s="278" t="str">
        <f>IFERROR(INDEX('Ashed teabags dry'!$K$2:$K$825,MATCH(J583,'Ashed teabags dry'!$A$2:$A$825,0)),"")</f>
        <v/>
      </c>
      <c r="R583" s="278" t="str">
        <f t="shared" si="47"/>
        <v/>
      </c>
      <c r="S583" s="268">
        <f>'Dry_Litterbag Placem_Collection'!E144</f>
        <v>42939</v>
      </c>
      <c r="T583" s="268">
        <f>IF('Dry_Litterbag Placem_Collection'!G144="","",'Dry_Litterbag Placem_Collection'!G144)</f>
        <v>43008</v>
      </c>
      <c r="U583" s="269">
        <f t="shared" si="45"/>
        <v>69</v>
      </c>
      <c r="V583" s="267" t="str">
        <f t="shared" si="48"/>
        <v/>
      </c>
      <c r="W583" s="267" t="str">
        <f t="shared" si="49"/>
        <v/>
      </c>
      <c r="X583" s="271">
        <f>IFERROR(INDEX(Rainfall_Dry!$O$2:$O$217,MATCH(B583, Rainfall_Dry!$A$2:$A$217,0)),"")</f>
        <v>136.27214243</v>
      </c>
      <c r="Y583" s="260">
        <v>33.96</v>
      </c>
      <c r="Z583" s="260">
        <v>8.9200000000000017</v>
      </c>
      <c r="AA583" s="260">
        <v>57.12</v>
      </c>
      <c r="AB583" s="261" t="s">
        <v>2670</v>
      </c>
      <c r="AC583" s="260">
        <v>7.0720551996057202</v>
      </c>
      <c r="AD583">
        <f>IF('WetLitterbags placem_collection'!AB144="","",'WetLitterbags placem_collection'!AB144)</f>
        <v>1.7</v>
      </c>
      <c r="AE583">
        <f>IF('WetLitterbags placem_collection'!Z144="","",'WetLitterbags placem_collection'!Z144)</f>
        <v>33.799999999999997</v>
      </c>
      <c r="AF583" s="246" t="str">
        <f>IF('WetLitterbags placem_collection'!AA144="","",'WetLitterbags placem_collection'!AA144)</f>
        <v>G</v>
      </c>
      <c r="AG583">
        <f>IF('WetLitterbags placem_collection'!AC144="","",'WetLitterbags placem_collection'!AC144)</f>
        <v>1</v>
      </c>
      <c r="AH583">
        <f>IFERROR(AVERAGE('Dry_Litterbag Placem_Collection'!O144,'Dry_Litterbag Placem_Collection'!R144),"")</f>
        <v>8.4499999999999993</v>
      </c>
      <c r="AI583" s="271">
        <f>IFERROR(AVERAGE('Dry_Litterbag Placem_Collection'!N144,'Dry_Litterbag Placem_Collection'!Q144),"")</f>
        <v>28.4</v>
      </c>
      <c r="AJ583" s="270">
        <f>INDEX(Coordinates!$B$2:$B$197,MATCH(G583,Coordinates!$J$2:$J$197,0))</f>
        <v>-2.348618992</v>
      </c>
      <c r="AK583" s="270">
        <f>INDEX(Coordinates!$C$2:$C$197,MATCH(G583,Coordinates!$J$2:$J$197,0))</f>
        <v>34.049996030000003</v>
      </c>
      <c r="AL583" s="270" t="str">
        <f>IF(ISNUMBER(SEARCH("C", 'Dry_Litterbag Placem_Collection'!U144)),"YES","NO")</f>
        <v>NO</v>
      </c>
      <c r="AM583" s="270" t="str">
        <f>IF(ISNUMBER(SEARCH("H", 'Dry_Litterbag Placem_Collection'!U144)),"YES","NO")</f>
        <v>NO</v>
      </c>
      <c r="AN583" s="270" t="str">
        <f>IF(ISNUMBER(SEARCH("R", 'Dry_Litterbag Placem_Collection'!U144)),"YES","NO")</f>
        <v>YES</v>
      </c>
    </row>
    <row r="584" spans="1:40" ht="15" customHeight="1">
      <c r="A584" s="262" t="s">
        <v>2659</v>
      </c>
      <c r="B584" s="263">
        <f>'Dry_Litterbag Placem_Collection'!A145</f>
        <v>143</v>
      </c>
      <c r="C584" s="263" t="str">
        <f>'Dry_Litterbag Placem_Collection'!B145</f>
        <v xml:space="preserve">Mwantimba
</v>
      </c>
      <c r="D584" s="263" t="s">
        <v>2460</v>
      </c>
      <c r="E584" s="263" t="s">
        <v>20</v>
      </c>
      <c r="F584" s="263">
        <v>2</v>
      </c>
      <c r="G584" s="264" t="str">
        <f>'Dry_Litterbag Placem_Collection'!C145</f>
        <v>Wet_P2_T7</v>
      </c>
      <c r="H584" s="273" t="s">
        <v>3651</v>
      </c>
      <c r="I584" s="266" t="s">
        <v>1147</v>
      </c>
      <c r="J584" s="263" t="str">
        <f>IF(ISBLANK('Dry_Litterbag Placem_Collection'!L145),"","G"&amp;""&amp;'Dry_Litterbag Placem_Collection'!L145)</f>
        <v>G205</v>
      </c>
      <c r="K584" s="267">
        <f>IFERROR(INDEX('Green_rooibos initial weight'!$C$5:$C$1749,MATCH(J584, 'Green_rooibos initial weight'!$A$5:$A$1749,0)),"")</f>
        <v>2.1240000000000001</v>
      </c>
      <c r="L584" s="267">
        <f>IFERROR(K584-(TBIcalc!$Q$9+TBIcalc!$Q$10),"")</f>
        <v>1.8742000000000001</v>
      </c>
      <c r="M584" s="391">
        <f>AVERAGE(Ashed_controlls!$K$2:$K$11)</f>
        <v>5.5147656768714146</v>
      </c>
      <c r="N584" s="267">
        <f t="shared" si="46"/>
        <v>1.770842261684076</v>
      </c>
      <c r="O584" s="267">
        <f>IF(IFERROR(INDEX('Both teabags AfterDry'!$D$3:$D$900,MATCH(J584,'Both teabags AfterDry'!$A$3:$A$900,0)),"")="","",(IFERROR(INDEX('Both teabags AfterDry'!$D$3:$D$900,MATCH(J584,'Both teabags AfterDry'!$A$3:$A$900,0)),"")))</f>
        <v>0.82040000000000002</v>
      </c>
      <c r="P584" s="267">
        <f>IFERROR(IF(O584&gt;0,O584-(TBIcalc!$Q$9),""),"")</f>
        <v>0.66979999999999995</v>
      </c>
      <c r="Q584" s="278">
        <f>IFERROR(INDEX('Ashed teabags dry'!$K$2:$K$825,MATCH(J584,'Ashed teabags dry'!$A$2:$A$825,0)),"")</f>
        <v>18.392504930966592</v>
      </c>
      <c r="R584" s="278">
        <f t="shared" si="47"/>
        <v>0.54660700197238576</v>
      </c>
      <c r="S584" s="268">
        <f>'Dry_Litterbag Placem_Collection'!E145</f>
        <v>42939</v>
      </c>
      <c r="T584" s="268">
        <f>IF('Dry_Litterbag Placem_Collection'!G145="","",'Dry_Litterbag Placem_Collection'!G145)</f>
        <v>43008</v>
      </c>
      <c r="U584" s="269">
        <f t="shared" si="45"/>
        <v>69</v>
      </c>
      <c r="V584" s="267">
        <f t="shared" si="48"/>
        <v>1.2044000000000001</v>
      </c>
      <c r="W584" s="267">
        <f t="shared" si="49"/>
        <v>1.2242352597116901</v>
      </c>
      <c r="X584" s="271">
        <f>IFERROR(INDEX(Rainfall_Dry!$O$2:$O$217,MATCH(B584, Rainfall_Dry!$A$2:$A$217,0)),"")</f>
        <v>136.27214243</v>
      </c>
      <c r="Y584" s="260">
        <v>33.96</v>
      </c>
      <c r="Z584" s="260">
        <v>8.9200000000000017</v>
      </c>
      <c r="AA584" s="260">
        <v>57.12</v>
      </c>
      <c r="AB584" s="261" t="s">
        <v>2670</v>
      </c>
      <c r="AC584" s="260">
        <v>8.0720551996057193</v>
      </c>
      <c r="AD584">
        <f>IF('WetLitterbags placem_collection'!AB145="","",'WetLitterbags placem_collection'!AB145)</f>
        <v>2</v>
      </c>
      <c r="AE584">
        <f>IF('WetLitterbags placem_collection'!Z145="","",'WetLitterbags placem_collection'!Z145)</f>
        <v>23.4</v>
      </c>
      <c r="AF584" s="246" t="str">
        <f>IF('WetLitterbags placem_collection'!AA145="","",'WetLitterbags placem_collection'!AA145)</f>
        <v>G</v>
      </c>
      <c r="AG584">
        <f>IF('WetLitterbags placem_collection'!AC145="","",'WetLitterbags placem_collection'!AC145)</f>
        <v>1</v>
      </c>
      <c r="AH584">
        <f>IFERROR(AVERAGE('Dry_Litterbag Placem_Collection'!O145,'Dry_Litterbag Placem_Collection'!R145),"")</f>
        <v>12.5</v>
      </c>
      <c r="AI584" s="271">
        <f>IFERROR(AVERAGE('Dry_Litterbag Placem_Collection'!N145,'Dry_Litterbag Placem_Collection'!Q145),"")</f>
        <v>28</v>
      </c>
      <c r="AJ584" s="270">
        <f>INDEX(Coordinates!$B$2:$B$197,MATCH(G584,Coordinates!$J$2:$J$197,0))</f>
        <v>-2.3484970349999998</v>
      </c>
      <c r="AK584" s="270">
        <f>INDEX(Coordinates!$C$2:$C$197,MATCH(G584,Coordinates!$J$2:$J$197,0))</f>
        <v>34.049979010000001</v>
      </c>
      <c r="AL584" s="270" t="str">
        <f>IF(ISNUMBER(SEARCH("C", 'Dry_Litterbag Placem_Collection'!U145)),"YES","NO")</f>
        <v>NO</v>
      </c>
      <c r="AM584" s="270" t="str">
        <f>IF(ISNUMBER(SEARCH("H", 'Dry_Litterbag Placem_Collection'!U145)),"YES","NO")</f>
        <v>NO</v>
      </c>
      <c r="AN584" s="270" t="str">
        <f>IF(ISNUMBER(SEARCH("R", 'Dry_Litterbag Placem_Collection'!U145)),"YES","NO")</f>
        <v>YES</v>
      </c>
    </row>
    <row r="585" spans="1:40" ht="15" customHeight="1">
      <c r="A585" s="262" t="s">
        <v>2659</v>
      </c>
      <c r="B585" s="263">
        <f>'Dry_Litterbag Placem_Collection'!A146</f>
        <v>144</v>
      </c>
      <c r="C585" s="263" t="str">
        <f>'Dry_Litterbag Placem_Collection'!B146</f>
        <v xml:space="preserve">Mwantimba
</v>
      </c>
      <c r="D585" s="263" t="s">
        <v>2460</v>
      </c>
      <c r="E585" s="263" t="s">
        <v>20</v>
      </c>
      <c r="F585" s="263">
        <v>2</v>
      </c>
      <c r="G585" s="264" t="str">
        <f>'Dry_Litterbag Placem_Collection'!C146</f>
        <v>Wet_P2_T8</v>
      </c>
      <c r="H585" s="273" t="s">
        <v>3651</v>
      </c>
      <c r="I585" s="266" t="s">
        <v>1147</v>
      </c>
      <c r="J585" s="263" t="str">
        <f>IF(ISBLANK('Dry_Litterbag Placem_Collection'!L146),"","G"&amp;""&amp;'Dry_Litterbag Placem_Collection'!L146)</f>
        <v>G384</v>
      </c>
      <c r="K585" s="267">
        <f>IFERROR(INDEX('Green_rooibos initial weight'!$C$5:$C$1749,MATCH(J585, 'Green_rooibos initial weight'!$A$5:$A$1749,0)),"")</f>
        <v>2.0499999999999998</v>
      </c>
      <c r="L585" s="267">
        <f>IFERROR(K585-(TBIcalc!$Q$9+TBIcalc!$Q$10),"")</f>
        <v>1.8001999999999998</v>
      </c>
      <c r="M585" s="391">
        <f>AVERAGE(Ashed_controlls!$K$2:$K$11)</f>
        <v>5.5147656768714146</v>
      </c>
      <c r="N585" s="267">
        <f t="shared" si="46"/>
        <v>1.7009231882849607</v>
      </c>
      <c r="O585" s="267">
        <f>IF(IFERROR(INDEX('Both teabags AfterDry'!$D$3:$D$900,MATCH(J585,'Both teabags AfterDry'!$A$3:$A$900,0)),"")="","",(IFERROR(INDEX('Both teabags AfterDry'!$D$3:$D$900,MATCH(J585,'Both teabags AfterDry'!$A$3:$A$900,0)),"")))</f>
        <v>0.73660000000000003</v>
      </c>
      <c r="P585" s="267">
        <f>IFERROR(IF(O585&gt;0,O585-(TBIcalc!$Q$9),""),"")</f>
        <v>0.58600000000000008</v>
      </c>
      <c r="Q585" s="278">
        <f>IFERROR(INDEX('Ashed teabags dry'!$K$2:$K$825,MATCH(J585,'Ashed teabags dry'!$A$2:$A$825,0)),"")</f>
        <v>16.379310344827655</v>
      </c>
      <c r="R585" s="278">
        <f t="shared" si="47"/>
        <v>0.49001724137931002</v>
      </c>
      <c r="S585" s="268">
        <f>'Dry_Litterbag Placem_Collection'!E146</f>
        <v>42939</v>
      </c>
      <c r="T585" s="268">
        <f>IF('Dry_Litterbag Placem_Collection'!G146="","",'Dry_Litterbag Placem_Collection'!G146)</f>
        <v>43008</v>
      </c>
      <c r="U585" s="269">
        <f t="shared" si="45"/>
        <v>69</v>
      </c>
      <c r="V585" s="267">
        <f t="shared" si="48"/>
        <v>1.2141999999999997</v>
      </c>
      <c r="W585" s="267">
        <f t="shared" si="49"/>
        <v>1.2109059469056507</v>
      </c>
      <c r="X585" s="271">
        <f>IFERROR(INDEX(Rainfall_Dry!$O$2:$O$217,MATCH(B585, Rainfall_Dry!$A$2:$A$217,0)),"")</f>
        <v>136.27214243</v>
      </c>
      <c r="Y585" s="260">
        <v>33.96</v>
      </c>
      <c r="Z585" s="260">
        <v>8.9200000000000017</v>
      </c>
      <c r="AA585" s="260">
        <v>57.12</v>
      </c>
      <c r="AB585" s="261" t="s">
        <v>2670</v>
      </c>
      <c r="AC585" s="260">
        <v>9.0720551996057193</v>
      </c>
      <c r="AD585">
        <f>IF('WetLitterbags placem_collection'!AB146="","",'WetLitterbags placem_collection'!AB146)</f>
        <v>2.5</v>
      </c>
      <c r="AE585">
        <f>IF('WetLitterbags placem_collection'!Z146="","",'WetLitterbags placem_collection'!Z146)</f>
        <v>19.8</v>
      </c>
      <c r="AF585" s="246" t="str">
        <f>IF('WetLitterbags placem_collection'!AA146="","",'WetLitterbags placem_collection'!AA146)</f>
        <v>G</v>
      </c>
      <c r="AG585">
        <f>IF('WetLitterbags placem_collection'!AC146="","",'WetLitterbags placem_collection'!AC146)</f>
        <v>1</v>
      </c>
      <c r="AH585">
        <f>IFERROR(AVERAGE('Dry_Litterbag Placem_Collection'!O146,'Dry_Litterbag Placem_Collection'!R146),"")</f>
        <v>9.4499999999999993</v>
      </c>
      <c r="AI585" s="271">
        <f>IFERROR(AVERAGE('Dry_Litterbag Placem_Collection'!N146,'Dry_Litterbag Placem_Collection'!Q146),"")</f>
        <v>29.15</v>
      </c>
      <c r="AJ585" s="270">
        <f>INDEX(Coordinates!$B$2:$B$197,MATCH(G585,Coordinates!$J$2:$J$197,0))</f>
        <v>-2.3486560399999998</v>
      </c>
      <c r="AK585" s="270">
        <f>INDEX(Coordinates!$C$2:$C$197,MATCH(G585,Coordinates!$J$2:$J$197,0))</f>
        <v>34.049895020000001</v>
      </c>
      <c r="AL585" s="270" t="str">
        <f>IF(ISNUMBER(SEARCH("C", 'Dry_Litterbag Placem_Collection'!U146)),"YES","NO")</f>
        <v>NO</v>
      </c>
      <c r="AM585" s="270" t="str">
        <f>IF(ISNUMBER(SEARCH("H", 'Dry_Litterbag Placem_Collection'!U146)),"YES","NO")</f>
        <v>NO</v>
      </c>
      <c r="AN585" s="270" t="str">
        <f>IF(ISNUMBER(SEARCH("R", 'Dry_Litterbag Placem_Collection'!U146)),"YES","NO")</f>
        <v>NO</v>
      </c>
    </row>
    <row r="586" spans="1:40" ht="15" customHeight="1">
      <c r="A586" s="262" t="s">
        <v>2659</v>
      </c>
      <c r="B586" s="263">
        <f>'Dry_Litterbag Placem_Collection'!A147</f>
        <v>145</v>
      </c>
      <c r="C586" s="263" t="str">
        <f>'Dry_Litterbag Placem_Collection'!B147</f>
        <v xml:space="preserve">Mwantimba
</v>
      </c>
      <c r="D586" s="263" t="s">
        <v>2460</v>
      </c>
      <c r="E586" s="263" t="s">
        <v>20</v>
      </c>
      <c r="F586" s="263">
        <v>3</v>
      </c>
      <c r="G586" s="264" t="str">
        <f>'Dry_Litterbag Placem_Collection'!C147</f>
        <v>Wet_P3_T1</v>
      </c>
      <c r="H586" s="273" t="s">
        <v>3651</v>
      </c>
      <c r="I586" s="266" t="s">
        <v>1147</v>
      </c>
      <c r="J586" s="263" t="str">
        <f>IF(ISBLANK('Dry_Litterbag Placem_Collection'!L147),"","G"&amp;""&amp;'Dry_Litterbag Placem_Collection'!L147)</f>
        <v>G72</v>
      </c>
      <c r="K586" s="267">
        <f>IFERROR(INDEX('Green_rooibos initial weight'!$C$5:$C$1749,MATCH(J586, 'Green_rooibos initial weight'!$A$5:$A$1749,0)),"")</f>
        <v>2.0190000000000001</v>
      </c>
      <c r="L586" s="267">
        <f>IFERROR(K586-(TBIcalc!$Q$9+TBIcalc!$Q$10),"")</f>
        <v>1.7692000000000001</v>
      </c>
      <c r="M586" s="391">
        <f>AVERAGE(Ashed_controlls!$K$2:$K$11)</f>
        <v>5.5147656768714146</v>
      </c>
      <c r="N586" s="267">
        <f t="shared" si="46"/>
        <v>1.6716327656447911</v>
      </c>
      <c r="O586" s="267">
        <f>IF(IFERROR(INDEX('Both teabags AfterDry'!$D$3:$D$900,MATCH(J586,'Both teabags AfterDry'!$A$3:$A$900,0)),"")="","",(IFERROR(INDEX('Both teabags AfterDry'!$D$3:$D$900,MATCH(J586,'Both teabags AfterDry'!$A$3:$A$900,0)),"")))</f>
        <v>1.7161999999999999</v>
      </c>
      <c r="P586" s="267">
        <f>IFERROR(IF(O586&gt;0,O586-(TBIcalc!$Q$9),""),"")</f>
        <v>1.5655999999999999</v>
      </c>
      <c r="Q586" s="278">
        <f>IFERROR(INDEX('Ashed teabags dry'!$K$2:$K$825,MATCH(J586,'Ashed teabags dry'!$A$2:$A$825,0)),"")</f>
        <v>10.842779694431051</v>
      </c>
      <c r="R586" s="278">
        <f t="shared" si="47"/>
        <v>1.3958454411039873</v>
      </c>
      <c r="S586" s="268">
        <f>'Dry_Litterbag Placem_Collection'!E147</f>
        <v>42939</v>
      </c>
      <c r="T586" s="268">
        <f>IF('Dry_Litterbag Placem_Collection'!G147="","",'Dry_Litterbag Placem_Collection'!G147)</f>
        <v>43010</v>
      </c>
      <c r="U586" s="269">
        <f t="shared" si="45"/>
        <v>71</v>
      </c>
      <c r="V586" s="267">
        <f t="shared" si="48"/>
        <v>0.20360000000000023</v>
      </c>
      <c r="W586" s="267">
        <f t="shared" si="49"/>
        <v>0.27578732454080379</v>
      </c>
      <c r="X586" s="271">
        <f>IFERROR(INDEX(Rainfall_Dry!$O$2:$O$217,MATCH(B586, Rainfall_Dry!$A$2:$A$217,0)),"")</f>
        <v>137.19979645800001</v>
      </c>
      <c r="Y586" s="260">
        <v>39.96</v>
      </c>
      <c r="Z586" s="260">
        <v>12.920000000000002</v>
      </c>
      <c r="AA586" s="260">
        <v>47.12</v>
      </c>
      <c r="AB586" s="261" t="s">
        <v>2674</v>
      </c>
      <c r="AC586" s="260">
        <v>1.6549531789058647</v>
      </c>
      <c r="AD586">
        <f>IF('WetLitterbags placem_collection'!AB147="","",'WetLitterbags placem_collection'!AB147)</f>
        <v>3.95</v>
      </c>
      <c r="AE586">
        <f>IF('WetLitterbags placem_collection'!Z147="","",'WetLitterbags placem_collection'!Z147)</f>
        <v>13</v>
      </c>
      <c r="AF586" s="246" t="str">
        <f>IF('WetLitterbags placem_collection'!AA147="","",'WetLitterbags placem_collection'!AA147)</f>
        <v>O</v>
      </c>
      <c r="AG586">
        <f>IF('WetLitterbags placem_collection'!AC147="","",'WetLitterbags placem_collection'!AC147)</f>
        <v>0</v>
      </c>
      <c r="AH586">
        <f>IFERROR(AVERAGE('Dry_Litterbag Placem_Collection'!O147,'Dry_Litterbag Placem_Collection'!R147),"")</f>
        <v>6.35</v>
      </c>
      <c r="AI586" s="271">
        <f>IFERROR(AVERAGE('Dry_Litterbag Placem_Collection'!N147,'Dry_Litterbag Placem_Collection'!Q147),"")</f>
        <v>30</v>
      </c>
      <c r="AJ586" s="270">
        <f>INDEX(Coordinates!$B$2:$B$197,MATCH(G586,Coordinates!$J$2:$J$197,0))</f>
        <v>-2.3675269729999999</v>
      </c>
      <c r="AK586" s="270">
        <f>INDEX(Coordinates!$C$2:$C$197,MATCH(G586,Coordinates!$J$2:$J$197,0))</f>
        <v>34.06035799</v>
      </c>
      <c r="AL586" s="270" t="str">
        <f>IF(ISNUMBER(SEARCH("C", 'Dry_Litterbag Placem_Collection'!U147)),"YES","NO")</f>
        <v>NO</v>
      </c>
      <c r="AM586" s="270" t="str">
        <f>IF(ISNUMBER(SEARCH("H", 'Dry_Litterbag Placem_Collection'!U147)),"YES","NO")</f>
        <v>NO</v>
      </c>
      <c r="AN586" s="270" t="str">
        <f>IF(ISNUMBER(SEARCH("R", 'Dry_Litterbag Placem_Collection'!U147)),"YES","NO")</f>
        <v>NO</v>
      </c>
    </row>
    <row r="587" spans="1:40" ht="15" customHeight="1">
      <c r="A587" s="262" t="s">
        <v>2659</v>
      </c>
      <c r="B587" s="263">
        <f>'Dry_Litterbag Placem_Collection'!A148</f>
        <v>146</v>
      </c>
      <c r="C587" s="263" t="str">
        <f>'Dry_Litterbag Placem_Collection'!B148</f>
        <v xml:space="preserve">Mwantimba
</v>
      </c>
      <c r="D587" s="263" t="s">
        <v>2460</v>
      </c>
      <c r="E587" s="263" t="s">
        <v>20</v>
      </c>
      <c r="F587" s="263">
        <v>3</v>
      </c>
      <c r="G587" s="264" t="str">
        <f>'Dry_Litterbag Placem_Collection'!C148</f>
        <v>Wet_P3_T2</v>
      </c>
      <c r="H587" s="273" t="s">
        <v>3651</v>
      </c>
      <c r="I587" s="266" t="s">
        <v>1147</v>
      </c>
      <c r="J587" s="263" t="str">
        <f>IF(ISBLANK('Dry_Litterbag Placem_Collection'!L148),"","G"&amp;""&amp;'Dry_Litterbag Placem_Collection'!L148)</f>
        <v>G336</v>
      </c>
      <c r="K587" s="267">
        <f>IFERROR(INDEX('Green_rooibos initial weight'!$C$5:$C$1749,MATCH(J587, 'Green_rooibos initial weight'!$A$5:$A$1749,0)),"")</f>
        <v>1.9950000000000001</v>
      </c>
      <c r="L587" s="267">
        <f>IFERROR(K587-(TBIcalc!$Q$9+TBIcalc!$Q$10),"")</f>
        <v>1.7452000000000001</v>
      </c>
      <c r="M587" s="391">
        <f>AVERAGE(Ashed_controlls!$K$2:$K$11)</f>
        <v>5.5147656768714146</v>
      </c>
      <c r="N587" s="267">
        <f t="shared" si="46"/>
        <v>1.6489563094072401</v>
      </c>
      <c r="O587" s="267">
        <f>IF(IFERROR(INDEX('Both teabags AfterDry'!$D$3:$D$900,MATCH(J587,'Both teabags AfterDry'!$A$3:$A$900,0)),"")="","",(IFERROR(INDEX('Both teabags AfterDry'!$D$3:$D$900,MATCH(J587,'Both teabags AfterDry'!$A$3:$A$900,0)),"")))</f>
        <v>1.6466000000000001</v>
      </c>
      <c r="P587" s="267">
        <f>IFERROR(IF(O587&gt;0,O587-(TBIcalc!$Q$9),""),"")</f>
        <v>1.496</v>
      </c>
      <c r="Q587" s="278">
        <f>IFERROR(INDEX('Ashed teabags dry'!$K$2:$K$825,MATCH(J587,'Ashed teabags dry'!$A$2:$A$825,0)),"")</f>
        <v>9.7110374230223258</v>
      </c>
      <c r="R587" s="278">
        <f t="shared" si="47"/>
        <v>1.350722880151586</v>
      </c>
      <c r="S587" s="268">
        <f>'Dry_Litterbag Placem_Collection'!E148</f>
        <v>42939</v>
      </c>
      <c r="T587" s="268">
        <f>IF('Dry_Litterbag Placem_Collection'!G148="","",'Dry_Litterbag Placem_Collection'!G148)</f>
        <v>43010</v>
      </c>
      <c r="U587" s="269">
        <f t="shared" si="45"/>
        <v>71</v>
      </c>
      <c r="V587" s="267">
        <f t="shared" si="48"/>
        <v>0.24920000000000009</v>
      </c>
      <c r="W587" s="267">
        <f t="shared" si="49"/>
        <v>0.2982334292556541</v>
      </c>
      <c r="X587" s="271">
        <f>IFERROR(INDEX(Rainfall_Dry!$O$2:$O$217,MATCH(B587, Rainfall_Dry!$A$2:$A$217,0)),"")</f>
        <v>137.19979645800001</v>
      </c>
      <c r="Y587" s="260">
        <v>39.96</v>
      </c>
      <c r="Z587" s="260">
        <v>12.920000000000002</v>
      </c>
      <c r="AA587" s="260">
        <v>47.12</v>
      </c>
      <c r="AB587" s="261" t="s">
        <v>2674</v>
      </c>
      <c r="AC587" s="260">
        <v>2.6549531789058598</v>
      </c>
      <c r="AD587">
        <f>IF('WetLitterbags placem_collection'!AB148="","",'WetLitterbags placem_collection'!AB148)</f>
        <v>2.75</v>
      </c>
      <c r="AE587">
        <f>IF('WetLitterbags placem_collection'!Z148="","",'WetLitterbags placem_collection'!Z148)</f>
        <v>17.7</v>
      </c>
      <c r="AF587" s="246" t="str">
        <f>IF('WetLitterbags placem_collection'!AA148="","",'WetLitterbags placem_collection'!AA148)</f>
        <v>O</v>
      </c>
      <c r="AG587">
        <f>IF('WetLitterbags placem_collection'!AC148="","",'WetLitterbags placem_collection'!AC148)</f>
        <v>1</v>
      </c>
      <c r="AH587">
        <f>IFERROR(AVERAGE('Dry_Litterbag Placem_Collection'!O148,'Dry_Litterbag Placem_Collection'!R148),"")</f>
        <v>6.1</v>
      </c>
      <c r="AI587" s="271">
        <f>IFERROR(AVERAGE('Dry_Litterbag Placem_Collection'!N148,'Dry_Litterbag Placem_Collection'!Q148),"")</f>
        <v>31</v>
      </c>
      <c r="AJ587" s="270">
        <f>INDEX(Coordinates!$B$2:$B$197,MATCH(G587,Coordinates!$J$2:$J$197,0))</f>
        <v>-2.3675380370000001</v>
      </c>
      <c r="AK587" s="270">
        <f>INDEX(Coordinates!$C$2:$C$197,MATCH(G587,Coordinates!$J$2:$J$197,0))</f>
        <v>34.060381960000001</v>
      </c>
      <c r="AL587" s="270" t="str">
        <f>IF(ISNUMBER(SEARCH("C", 'Dry_Litterbag Placem_Collection'!U148)),"YES","NO")</f>
        <v>NO</v>
      </c>
      <c r="AM587" s="270" t="str">
        <f>IF(ISNUMBER(SEARCH("H", 'Dry_Litterbag Placem_Collection'!U148)),"YES","NO")</f>
        <v>NO</v>
      </c>
      <c r="AN587" s="270" t="str">
        <f>IF(ISNUMBER(SEARCH("R", 'Dry_Litterbag Placem_Collection'!U148)),"YES","NO")</f>
        <v>NO</v>
      </c>
    </row>
    <row r="588" spans="1:40" ht="15" customHeight="1">
      <c r="A588" s="262" t="s">
        <v>2659</v>
      </c>
      <c r="B588" s="263">
        <f>'Dry_Litterbag Placem_Collection'!A149</f>
        <v>147</v>
      </c>
      <c r="C588" s="263" t="str">
        <f>'Dry_Litterbag Placem_Collection'!B149</f>
        <v xml:space="preserve">Mwantimba
</v>
      </c>
      <c r="D588" s="263" t="s">
        <v>2460</v>
      </c>
      <c r="E588" s="263" t="s">
        <v>20</v>
      </c>
      <c r="F588" s="263">
        <v>3</v>
      </c>
      <c r="G588" s="264" t="str">
        <f>'Dry_Litterbag Placem_Collection'!C149</f>
        <v>Wet_P3_T3</v>
      </c>
      <c r="H588" s="273" t="s">
        <v>3651</v>
      </c>
      <c r="I588" s="266" t="s">
        <v>1147</v>
      </c>
      <c r="J588" s="263" t="str">
        <f>IF(ISBLANK('Dry_Litterbag Placem_Collection'!L149),"","G"&amp;""&amp;'Dry_Litterbag Placem_Collection'!L149)</f>
        <v>G303</v>
      </c>
      <c r="K588" s="267">
        <f>IFERROR(INDEX('Green_rooibos initial weight'!$C$5:$C$1749,MATCH(J588, 'Green_rooibos initial weight'!$A$5:$A$1749,0)),"")</f>
        <v>1.9850000000000001</v>
      </c>
      <c r="L588" s="267">
        <f>IFERROR(K588-(TBIcalc!$Q$9+TBIcalc!$Q$10),"")</f>
        <v>1.7352000000000001</v>
      </c>
      <c r="M588" s="391">
        <f>AVERAGE(Ashed_controlls!$K$2:$K$11)</f>
        <v>5.5147656768714146</v>
      </c>
      <c r="N588" s="267">
        <f t="shared" si="46"/>
        <v>1.6395077859749272</v>
      </c>
      <c r="O588" s="267">
        <f>IF(IFERROR(INDEX('Both teabags AfterDry'!$D$3:$D$900,MATCH(J588,'Both teabags AfterDry'!$A$3:$A$900,0)),"")="","",(IFERROR(INDEX('Both teabags AfterDry'!$D$3:$D$900,MATCH(J588,'Both teabags AfterDry'!$A$3:$A$900,0)),"")))</f>
        <v>1.6654</v>
      </c>
      <c r="P588" s="267">
        <f>IFERROR(IF(O588&gt;0,O588-(TBIcalc!$Q$9),""),"")</f>
        <v>1.5147999999999999</v>
      </c>
      <c r="Q588" s="278">
        <f>IFERROR(INDEX('Ashed teabags dry'!$K$2:$K$825,MATCH(J588,'Ashed teabags dry'!$A$2:$A$825,0)),"")</f>
        <v>8.1562036579344408</v>
      </c>
      <c r="R588" s="278">
        <f t="shared" si="47"/>
        <v>1.391249826989609</v>
      </c>
      <c r="S588" s="268">
        <f>'Dry_Litterbag Placem_Collection'!E149</f>
        <v>42939</v>
      </c>
      <c r="T588" s="268">
        <f>IF('Dry_Litterbag Placem_Collection'!G149="","",'Dry_Litterbag Placem_Collection'!G149)</f>
        <v>43010</v>
      </c>
      <c r="U588" s="269">
        <f t="shared" si="45"/>
        <v>71</v>
      </c>
      <c r="V588" s="267">
        <f t="shared" si="48"/>
        <v>0.22040000000000015</v>
      </c>
      <c r="W588" s="267">
        <f t="shared" si="49"/>
        <v>0.24825795898531822</v>
      </c>
      <c r="X588" s="271">
        <f>IFERROR(INDEX(Rainfall_Dry!$O$2:$O$217,MATCH(B588, Rainfall_Dry!$A$2:$A$217,0)),"")</f>
        <v>137.19979645800001</v>
      </c>
      <c r="Y588" s="260">
        <v>39.96</v>
      </c>
      <c r="Z588" s="260">
        <v>12.920000000000002</v>
      </c>
      <c r="AA588" s="260">
        <v>47.12</v>
      </c>
      <c r="AB588" s="261" t="s">
        <v>2674</v>
      </c>
      <c r="AC588" s="260">
        <v>3.6549531789058598</v>
      </c>
      <c r="AD588">
        <f>IF('WetLitterbags placem_collection'!AB149="","",'WetLitterbags placem_collection'!AB149)</f>
        <v>3.6</v>
      </c>
      <c r="AE588">
        <f>IF('WetLitterbags placem_collection'!Z149="","",'WetLitterbags placem_collection'!Z149)</f>
        <v>19</v>
      </c>
      <c r="AF588" s="246" t="str">
        <f>IF('WetLitterbags placem_collection'!AA149="","",'WetLitterbags placem_collection'!AA149)</f>
        <v>M</v>
      </c>
      <c r="AG588">
        <f>IF('WetLitterbags placem_collection'!AC149="","",'WetLitterbags placem_collection'!AC149)</f>
        <v>1</v>
      </c>
      <c r="AH588">
        <f>IFERROR(AVERAGE('Dry_Litterbag Placem_Collection'!O149,'Dry_Litterbag Placem_Collection'!R149),"")</f>
        <v>5.6</v>
      </c>
      <c r="AI588" s="271">
        <f>IFERROR(AVERAGE('Dry_Litterbag Placem_Collection'!N149,'Dry_Litterbag Placem_Collection'!Q149),"")</f>
        <v>29.900000000000002</v>
      </c>
      <c r="AJ588" s="270">
        <f>INDEX(Coordinates!$B$2:$B$197,MATCH(G588,Coordinates!$J$2:$J$197,0))</f>
        <v>-2.3675780180000001</v>
      </c>
      <c r="AK588" s="270">
        <f>INDEX(Coordinates!$C$2:$C$197,MATCH(G588,Coordinates!$J$2:$J$197,0))</f>
        <v>34.060323029999999</v>
      </c>
      <c r="AL588" s="270" t="str">
        <f>IF(ISNUMBER(SEARCH("C", 'Dry_Litterbag Placem_Collection'!U149)),"YES","NO")</f>
        <v>NO</v>
      </c>
      <c r="AM588" s="270" t="str">
        <f>IF(ISNUMBER(SEARCH("H", 'Dry_Litterbag Placem_Collection'!U149)),"YES","NO")</f>
        <v>NO</v>
      </c>
      <c r="AN588" s="270" t="str">
        <f>IF(ISNUMBER(SEARCH("R", 'Dry_Litterbag Placem_Collection'!U149)),"YES","NO")</f>
        <v>NO</v>
      </c>
    </row>
    <row r="589" spans="1:40" ht="15" customHeight="1">
      <c r="A589" s="262" t="s">
        <v>2659</v>
      </c>
      <c r="B589" s="263">
        <f>'Dry_Litterbag Placem_Collection'!A150</f>
        <v>148</v>
      </c>
      <c r="C589" s="263" t="str">
        <f>'Dry_Litterbag Placem_Collection'!B150</f>
        <v xml:space="preserve">Mwantimba
</v>
      </c>
      <c r="D589" s="263" t="s">
        <v>2460</v>
      </c>
      <c r="E589" s="263" t="s">
        <v>20</v>
      </c>
      <c r="F589" s="263">
        <v>3</v>
      </c>
      <c r="G589" s="264" t="str">
        <f>'Dry_Litterbag Placem_Collection'!C150</f>
        <v>Wet_P3_T4</v>
      </c>
      <c r="H589" s="273" t="s">
        <v>3651</v>
      </c>
      <c r="I589" s="266" t="s">
        <v>1147</v>
      </c>
      <c r="J589" s="263" t="str">
        <f>IF(ISBLANK('Dry_Litterbag Placem_Collection'!L150),"","G"&amp;""&amp;'Dry_Litterbag Placem_Collection'!L150)</f>
        <v>G161</v>
      </c>
      <c r="K589" s="267">
        <f>IFERROR(INDEX('Green_rooibos initial weight'!$C$5:$C$1749,MATCH(J589, 'Green_rooibos initial weight'!$A$5:$A$1749,0)),"")</f>
        <v>2.0979999999999999</v>
      </c>
      <c r="L589" s="267">
        <f>IFERROR(K589-(TBIcalc!$Q$9+TBIcalc!$Q$10),"")</f>
        <v>1.8481999999999998</v>
      </c>
      <c r="M589" s="391">
        <f>AVERAGE(Ashed_controlls!$K$2:$K$11)</f>
        <v>5.5147656768714146</v>
      </c>
      <c r="N589" s="267">
        <f t="shared" si="46"/>
        <v>1.7462761007600625</v>
      </c>
      <c r="O589" s="267">
        <f>IF(IFERROR(INDEX('Both teabags AfterDry'!$D$3:$D$900,MATCH(J589,'Both teabags AfterDry'!$A$3:$A$900,0)),"")="","",(IFERROR(INDEX('Both teabags AfterDry'!$D$3:$D$900,MATCH(J589,'Both teabags AfterDry'!$A$3:$A$900,0)),"")))</f>
        <v>1.7174</v>
      </c>
      <c r="P589" s="267">
        <f>IFERROR(IF(O589&gt;0,O589-(TBIcalc!$Q$9),""),"")</f>
        <v>1.5668</v>
      </c>
      <c r="Q589" s="278">
        <f>IFERROR(INDEX('Ashed teabags dry'!$K$2:$K$825,MATCH(J589,'Ashed teabags dry'!$A$2:$A$825,0)),"")</f>
        <v>9.0731707317073607</v>
      </c>
      <c r="R589" s="278">
        <f t="shared" si="47"/>
        <v>1.4246415609756091</v>
      </c>
      <c r="S589" s="268">
        <f>'Dry_Litterbag Placem_Collection'!E150</f>
        <v>42939</v>
      </c>
      <c r="T589" s="268">
        <f>IF('Dry_Litterbag Placem_Collection'!G150="","",'Dry_Litterbag Placem_Collection'!G150)</f>
        <v>43010</v>
      </c>
      <c r="U589" s="269">
        <f t="shared" si="45"/>
        <v>71</v>
      </c>
      <c r="V589" s="267">
        <f t="shared" si="48"/>
        <v>0.28139999999999987</v>
      </c>
      <c r="W589" s="267">
        <f t="shared" si="49"/>
        <v>0.32163453978445333</v>
      </c>
      <c r="X589" s="271">
        <f>IFERROR(INDEX(Rainfall_Dry!$O$2:$O$217,MATCH(B589, Rainfall_Dry!$A$2:$A$217,0)),"")</f>
        <v>137.19979645800001</v>
      </c>
      <c r="Y589" s="260">
        <v>39.96</v>
      </c>
      <c r="Z589" s="260">
        <v>12.920000000000002</v>
      </c>
      <c r="AA589" s="260">
        <v>47.12</v>
      </c>
      <c r="AB589" s="261" t="s">
        <v>2674</v>
      </c>
      <c r="AC589" s="260">
        <v>4.6549531789058696</v>
      </c>
      <c r="AD589">
        <f>IF('WetLitterbags placem_collection'!AB150="","",'WetLitterbags placem_collection'!AB150)</f>
        <v>4.9000000000000004</v>
      </c>
      <c r="AE589">
        <f>IF('WetLitterbags placem_collection'!Z150="","",'WetLitterbags placem_collection'!Z150)</f>
        <v>17.489999999999998</v>
      </c>
      <c r="AF589" s="246" t="str">
        <f>IF('WetLitterbags placem_collection'!AA150="","",'WetLitterbags placem_collection'!AA150)</f>
        <v>M</v>
      </c>
      <c r="AG589">
        <f>IF('WetLitterbags placem_collection'!AC150="","",'WetLitterbags placem_collection'!AC150)</f>
        <v>1</v>
      </c>
      <c r="AH589">
        <f>IFERROR(AVERAGE('Dry_Litterbag Placem_Collection'!O150,'Dry_Litterbag Placem_Collection'!R150),"")</f>
        <v>6.5</v>
      </c>
      <c r="AI589" s="271">
        <f>IFERROR(AVERAGE('Dry_Litterbag Placem_Collection'!N150,'Dry_Litterbag Placem_Collection'!Q150),"")</f>
        <v>31.6</v>
      </c>
      <c r="AJ589" s="270">
        <f>INDEX(Coordinates!$B$2:$B$197,MATCH(G589,Coordinates!$J$2:$J$197,0))</f>
        <v>-2.3676269689999998</v>
      </c>
      <c r="AK589" s="270">
        <f>INDEX(Coordinates!$C$2:$C$197,MATCH(G589,Coordinates!$J$2:$J$197,0))</f>
        <v>34.060310960000002</v>
      </c>
      <c r="AL589" s="270" t="str">
        <f>IF(ISNUMBER(SEARCH("C", 'Dry_Litterbag Placem_Collection'!U150)),"YES","NO")</f>
        <v>YES</v>
      </c>
      <c r="AM589" s="270" t="str">
        <f>IF(ISNUMBER(SEARCH("H", 'Dry_Litterbag Placem_Collection'!U150)),"YES","NO")</f>
        <v>NO</v>
      </c>
      <c r="AN589" s="270" t="str">
        <f>IF(ISNUMBER(SEARCH("R", 'Dry_Litterbag Placem_Collection'!U150)),"YES","NO")</f>
        <v>NO</v>
      </c>
    </row>
    <row r="590" spans="1:40" ht="15" customHeight="1">
      <c r="A590" s="262" t="s">
        <v>2659</v>
      </c>
      <c r="B590" s="263">
        <f>'Dry_Litterbag Placem_Collection'!A151</f>
        <v>149</v>
      </c>
      <c r="C590" s="263" t="str">
        <f>'Dry_Litterbag Placem_Collection'!B151</f>
        <v xml:space="preserve">Mwantimba
</v>
      </c>
      <c r="D590" s="263" t="s">
        <v>2460</v>
      </c>
      <c r="E590" s="263" t="s">
        <v>20</v>
      </c>
      <c r="F590" s="263">
        <v>3</v>
      </c>
      <c r="G590" s="264" t="str">
        <f>'Dry_Litterbag Placem_Collection'!C151</f>
        <v>Wet_P3_T5</v>
      </c>
      <c r="H590" s="273" t="s">
        <v>3651</v>
      </c>
      <c r="I590" s="266" t="s">
        <v>1147</v>
      </c>
      <c r="J590" s="263" t="str">
        <f>IF(ISBLANK('Dry_Litterbag Placem_Collection'!L151),"","G"&amp;""&amp;'Dry_Litterbag Placem_Collection'!L151)</f>
        <v>G464</v>
      </c>
      <c r="K590" s="267">
        <f>IFERROR(INDEX('Green_rooibos initial weight'!$C$5:$C$1749,MATCH(J590, 'Green_rooibos initial weight'!$A$5:$A$1749,0)),"")</f>
        <v>1.964</v>
      </c>
      <c r="L590" s="267">
        <f>IFERROR(K590-(TBIcalc!$Q$9+TBIcalc!$Q$10),"")</f>
        <v>1.7141999999999999</v>
      </c>
      <c r="M590" s="391">
        <f>AVERAGE(Ashed_controlls!$K$2:$K$11)</f>
        <v>5.5147656768714146</v>
      </c>
      <c r="N590" s="267">
        <f t="shared" si="46"/>
        <v>1.6196658867670701</v>
      </c>
      <c r="O590" s="267">
        <f>IF(IFERROR(INDEX('Both teabags AfterDry'!$D$3:$D$900,MATCH(J590,'Both teabags AfterDry'!$A$3:$A$900,0)),"")="","",(IFERROR(INDEX('Both teabags AfterDry'!$D$3:$D$900,MATCH(J590,'Both teabags AfterDry'!$A$3:$A$900,0)),"")))</f>
        <v>1.571</v>
      </c>
      <c r="P590" s="267">
        <f>IFERROR(IF(O590&gt;0,O590-(TBIcalc!$Q$9),""),"")</f>
        <v>1.4203999999999999</v>
      </c>
      <c r="Q590" s="278">
        <f>IFERROR(INDEX('Ashed teabags dry'!$K$2:$K$825,MATCH(J590,'Ashed teabags dry'!$A$2:$A$825,0)),"")</f>
        <v>7.6546506453042547</v>
      </c>
      <c r="R590" s="278">
        <f t="shared" si="47"/>
        <v>1.3116733422340983</v>
      </c>
      <c r="S590" s="268">
        <f>'Dry_Litterbag Placem_Collection'!E151</f>
        <v>42939</v>
      </c>
      <c r="T590" s="268">
        <f>IF('Dry_Litterbag Placem_Collection'!G151="","",'Dry_Litterbag Placem_Collection'!G151)</f>
        <v>43010</v>
      </c>
      <c r="U590" s="269">
        <f t="shared" si="45"/>
        <v>71</v>
      </c>
      <c r="V590" s="267">
        <f t="shared" si="48"/>
        <v>0.29380000000000006</v>
      </c>
      <c r="W590" s="267">
        <f t="shared" si="49"/>
        <v>0.30799254453297187</v>
      </c>
      <c r="X590" s="271">
        <f>IFERROR(INDEX(Rainfall_Dry!$O$2:$O$217,MATCH(B590, Rainfall_Dry!$A$2:$A$217,0)),"")</f>
        <v>137.19979645800001</v>
      </c>
      <c r="Y590" s="260">
        <v>39.96</v>
      </c>
      <c r="Z590" s="260">
        <v>12.920000000000002</v>
      </c>
      <c r="AA590" s="260">
        <v>47.12</v>
      </c>
      <c r="AB590" s="261" t="s">
        <v>2674</v>
      </c>
      <c r="AC590" s="260">
        <v>5.6549531789058696</v>
      </c>
      <c r="AD590">
        <f>IF('WetLitterbags placem_collection'!AB151="","",'WetLitterbags placem_collection'!AB151)</f>
        <v>2.8</v>
      </c>
      <c r="AE590">
        <f>IF('WetLitterbags placem_collection'!Z151="","",'WetLitterbags placem_collection'!Z151)</f>
        <v>13</v>
      </c>
      <c r="AF590" s="246" t="str">
        <f>IF('WetLitterbags placem_collection'!AA151="","",'WetLitterbags placem_collection'!AA151)</f>
        <v>M</v>
      </c>
      <c r="AG590">
        <f>IF('WetLitterbags placem_collection'!AC151="","",'WetLitterbags placem_collection'!AC151)</f>
        <v>1</v>
      </c>
      <c r="AH590">
        <f>IFERROR(AVERAGE('Dry_Litterbag Placem_Collection'!O151,'Dry_Litterbag Placem_Collection'!R151),"")</f>
        <v>6.3000000000000007</v>
      </c>
      <c r="AI590" s="271">
        <f>IFERROR(AVERAGE('Dry_Litterbag Placem_Collection'!N151,'Dry_Litterbag Placem_Collection'!Q151),"")</f>
        <v>31</v>
      </c>
      <c r="AJ590" s="270">
        <f>INDEX(Coordinates!$B$2:$B$197,MATCH(G590,Coordinates!$J$2:$J$197,0))</f>
        <v>-2.3677179960000001</v>
      </c>
      <c r="AK590" s="270">
        <f>INDEX(Coordinates!$C$2:$C$197,MATCH(G590,Coordinates!$J$2:$J$197,0))</f>
        <v>34.060324960000003</v>
      </c>
      <c r="AL590" s="270" t="str">
        <f>IF(ISNUMBER(SEARCH("C", 'Dry_Litterbag Placem_Collection'!U151)),"YES","NO")</f>
        <v>NO</v>
      </c>
      <c r="AM590" s="270" t="str">
        <f>IF(ISNUMBER(SEARCH("H", 'Dry_Litterbag Placem_Collection'!U151)),"YES","NO")</f>
        <v>NO</v>
      </c>
      <c r="AN590" s="270" t="str">
        <f>IF(ISNUMBER(SEARCH("R", 'Dry_Litterbag Placem_Collection'!U151)),"YES","NO")</f>
        <v>NO</v>
      </c>
    </row>
    <row r="591" spans="1:40" ht="15" customHeight="1">
      <c r="A591" s="262" t="s">
        <v>2659</v>
      </c>
      <c r="B591" s="263">
        <f>'Dry_Litterbag Placem_Collection'!A152</f>
        <v>150</v>
      </c>
      <c r="C591" s="263" t="str">
        <f>'Dry_Litterbag Placem_Collection'!B152</f>
        <v xml:space="preserve">Mwantimba
</v>
      </c>
      <c r="D591" s="263" t="s">
        <v>2460</v>
      </c>
      <c r="E591" s="263" t="s">
        <v>20</v>
      </c>
      <c r="F591" s="263">
        <v>3</v>
      </c>
      <c r="G591" s="264" t="str">
        <f>'Dry_Litterbag Placem_Collection'!C152</f>
        <v>Wet_P3_T6</v>
      </c>
      <c r="H591" s="273" t="s">
        <v>3651</v>
      </c>
      <c r="I591" s="266" t="s">
        <v>1147</v>
      </c>
      <c r="J591" s="263" t="str">
        <f>IF(ISBLANK('Dry_Litterbag Placem_Collection'!L152),"","G"&amp;""&amp;'Dry_Litterbag Placem_Collection'!L152)</f>
        <v>G843</v>
      </c>
      <c r="K591" s="267">
        <f>IFERROR(INDEX('Green_rooibos initial weight'!$C$5:$C$1749,MATCH(J591, 'Green_rooibos initial weight'!$A$5:$A$1749,0)),"")</f>
        <v>1.964</v>
      </c>
      <c r="L591" s="267">
        <f>IFERROR(K591-(TBIcalc!$Q$9+TBIcalc!$Q$10),"")</f>
        <v>1.7141999999999999</v>
      </c>
      <c r="M591" s="391">
        <f>AVERAGE(Ashed_controlls!$K$2:$K$11)</f>
        <v>5.5147656768714146</v>
      </c>
      <c r="N591" s="267">
        <f t="shared" si="46"/>
        <v>1.6196658867670701</v>
      </c>
      <c r="O591" s="267" t="str">
        <f>IF(IFERROR(INDEX('Both teabags AfterDry'!$D$3:$D$900,MATCH(J591,'Both teabags AfterDry'!$A$3:$A$900,0)),"")="","",(IFERROR(INDEX('Both teabags AfterDry'!$D$3:$D$900,MATCH(J591,'Both teabags AfterDry'!$A$3:$A$900,0)),"")))</f>
        <v/>
      </c>
      <c r="P591" s="267" t="str">
        <f>IFERROR(IF(O591&gt;0,O591-(TBIcalc!$Q$9),""),"")</f>
        <v/>
      </c>
      <c r="Q591" s="278" t="str">
        <f>IFERROR(INDEX('Ashed teabags dry'!$K$2:$K$825,MATCH(J591,'Ashed teabags dry'!$A$2:$A$825,0)),"")</f>
        <v/>
      </c>
      <c r="R591" s="278" t="str">
        <f t="shared" si="47"/>
        <v/>
      </c>
      <c r="S591" s="268">
        <f>'Dry_Litterbag Placem_Collection'!E152</f>
        <v>42939</v>
      </c>
      <c r="T591" s="268">
        <f>IF('Dry_Litterbag Placem_Collection'!G152="","",'Dry_Litterbag Placem_Collection'!G152)</f>
        <v>43010</v>
      </c>
      <c r="U591" s="269">
        <f t="shared" si="45"/>
        <v>71</v>
      </c>
      <c r="V591" s="267" t="str">
        <f t="shared" si="48"/>
        <v/>
      </c>
      <c r="W591" s="267" t="str">
        <f t="shared" si="49"/>
        <v/>
      </c>
      <c r="X591" s="271">
        <f>IFERROR(INDEX(Rainfall_Dry!$O$2:$O$217,MATCH(B591, Rainfall_Dry!$A$2:$A$217,0)),"")</f>
        <v>137.19979645800001</v>
      </c>
      <c r="Y591" s="260">
        <v>39.96</v>
      </c>
      <c r="Z591" s="260">
        <v>12.920000000000002</v>
      </c>
      <c r="AA591" s="260">
        <v>47.12</v>
      </c>
      <c r="AB591" s="261" t="s">
        <v>2674</v>
      </c>
      <c r="AC591" s="260">
        <v>6.6549531789058696</v>
      </c>
      <c r="AD591">
        <f>IF('WetLitterbags placem_collection'!AB152="","",'WetLitterbags placem_collection'!AB152)</f>
        <v>2.75</v>
      </c>
      <c r="AE591">
        <f>IF('WetLitterbags placem_collection'!Z152="","",'WetLitterbags placem_collection'!Z152)</f>
        <v>19</v>
      </c>
      <c r="AF591" s="246" t="str">
        <f>IF('WetLitterbags placem_collection'!AA152="","",'WetLitterbags placem_collection'!AA152)</f>
        <v>O</v>
      </c>
      <c r="AG591">
        <f>IF('WetLitterbags placem_collection'!AC152="","",'WetLitterbags placem_collection'!AC152)</f>
        <v>0</v>
      </c>
      <c r="AH591">
        <f>IFERROR(AVERAGE('Dry_Litterbag Placem_Collection'!O152,'Dry_Litterbag Placem_Collection'!R152),"")</f>
        <v>6.1999999999999993</v>
      </c>
      <c r="AI591" s="271">
        <f>IFERROR(AVERAGE('Dry_Litterbag Placem_Collection'!N152,'Dry_Litterbag Placem_Collection'!Q152),"")</f>
        <v>30.8</v>
      </c>
      <c r="AJ591" s="270">
        <f>INDEX(Coordinates!$B$2:$B$197,MATCH(G591,Coordinates!$J$2:$J$197,0))</f>
        <v>-2.3675230329999999</v>
      </c>
      <c r="AK591" s="270">
        <f>INDEX(Coordinates!$C$2:$C$197,MATCH(G591,Coordinates!$J$2:$J$197,0))</f>
        <v>34.060512969999998</v>
      </c>
      <c r="AL591" s="270" t="str">
        <f>IF(ISNUMBER(SEARCH("C", 'Dry_Litterbag Placem_Collection'!U152)),"YES","NO")</f>
        <v>NO</v>
      </c>
      <c r="AM591" s="270" t="str">
        <f>IF(ISNUMBER(SEARCH("H", 'Dry_Litterbag Placem_Collection'!U152)),"YES","NO")</f>
        <v>NO</v>
      </c>
      <c r="AN591" s="270" t="str">
        <f>IF(ISNUMBER(SEARCH("R", 'Dry_Litterbag Placem_Collection'!U152)),"YES","NO")</f>
        <v>NO</v>
      </c>
    </row>
    <row r="592" spans="1:40" ht="15" customHeight="1">
      <c r="A592" s="262" t="s">
        <v>2659</v>
      </c>
      <c r="B592" s="263">
        <f>'Dry_Litterbag Placem_Collection'!A153</f>
        <v>151</v>
      </c>
      <c r="C592" s="263" t="str">
        <f>'Dry_Litterbag Placem_Collection'!B153</f>
        <v xml:space="preserve">Mwantimba
</v>
      </c>
      <c r="D592" s="263" t="s">
        <v>2460</v>
      </c>
      <c r="E592" s="263" t="s">
        <v>20</v>
      </c>
      <c r="F592" s="263">
        <v>3</v>
      </c>
      <c r="G592" s="264" t="str">
        <f>'Dry_Litterbag Placem_Collection'!C153</f>
        <v>Wet_P3_T7</v>
      </c>
      <c r="H592" s="273" t="s">
        <v>3651</v>
      </c>
      <c r="I592" s="266" t="s">
        <v>1147</v>
      </c>
      <c r="J592" s="263" t="str">
        <f>IF(ISBLANK('Dry_Litterbag Placem_Collection'!L153),"","G"&amp;""&amp;'Dry_Litterbag Placem_Collection'!L153)</f>
        <v/>
      </c>
      <c r="K592" s="267" t="str">
        <f>IFERROR(INDEX('Green_rooibos initial weight'!$C$5:$C$1749,MATCH(J592, 'Green_rooibos initial weight'!$A$5:$A$1749,0)),"")</f>
        <v/>
      </c>
      <c r="L592" s="267" t="str">
        <f>IFERROR(K592-(TBIcalc!$Q$9+TBIcalc!$Q$10),"")</f>
        <v/>
      </c>
      <c r="M592" s="391">
        <f>AVERAGE(Ashed_controlls!$K$2:$K$11)</f>
        <v>5.5147656768714146</v>
      </c>
      <c r="N592" s="267" t="str">
        <f t="shared" si="46"/>
        <v/>
      </c>
      <c r="O592" s="267" t="str">
        <f>IF(IFERROR(INDEX('Both teabags AfterDry'!$D$3:$D$900,MATCH(J592,'Both teabags AfterDry'!$A$3:$A$900,0)),"")="","",(IFERROR(INDEX('Both teabags AfterDry'!$D$3:$D$900,MATCH(J592,'Both teabags AfterDry'!$A$3:$A$900,0)),"")))</f>
        <v/>
      </c>
      <c r="P592" s="267" t="str">
        <f>IFERROR(IF(O592&gt;0,O592-(TBIcalc!$Q$9),""),"")</f>
        <v/>
      </c>
      <c r="Q592" s="278" t="str">
        <f>IFERROR(INDEX('Ashed teabags dry'!$K$2:$K$825,MATCH(J592,'Ashed teabags dry'!$A$2:$A$825,0)),"")</f>
        <v/>
      </c>
      <c r="R592" s="278" t="str">
        <f t="shared" si="47"/>
        <v/>
      </c>
      <c r="S592" s="268">
        <f>'Dry_Litterbag Placem_Collection'!E153</f>
        <v>0</v>
      </c>
      <c r="T592" s="268" t="str">
        <f>IF('Dry_Litterbag Placem_Collection'!G153="","",'Dry_Litterbag Placem_Collection'!G153)</f>
        <v/>
      </c>
      <c r="U592" s="269" t="str">
        <f t="shared" si="45"/>
        <v/>
      </c>
      <c r="V592" s="267" t="str">
        <f t="shared" si="48"/>
        <v/>
      </c>
      <c r="W592" s="267" t="str">
        <f t="shared" si="49"/>
        <v/>
      </c>
      <c r="X592" s="271" t="str">
        <f>IFERROR(INDEX(Rainfall_Dry!$O$2:$O$217,MATCH(B592, Rainfall_Dry!$A$2:$A$217,0)),"")</f>
        <v/>
      </c>
      <c r="Y592" s="260">
        <v>39.96</v>
      </c>
      <c r="Z592" s="260">
        <v>12.920000000000002</v>
      </c>
      <c r="AA592" s="260">
        <v>47.12</v>
      </c>
      <c r="AB592" s="261" t="s">
        <v>2674</v>
      </c>
      <c r="AC592" s="260">
        <v>7.6549531789058696</v>
      </c>
      <c r="AD592">
        <f>IF('WetLitterbags placem_collection'!AB153="","",'WetLitterbags placem_collection'!AB153)</f>
        <v>1.4</v>
      </c>
      <c r="AE592">
        <f>IF('WetLitterbags placem_collection'!Z153="","",'WetLitterbags placem_collection'!Z153)</f>
        <v>7.9</v>
      </c>
      <c r="AF592" s="246" t="str">
        <f>IF('WetLitterbags placem_collection'!AA153="","",'WetLitterbags placem_collection'!AA153)</f>
        <v>O</v>
      </c>
      <c r="AG592">
        <f>IF('WetLitterbags placem_collection'!AC153="","",'WetLitterbags placem_collection'!AC153)</f>
        <v>1</v>
      </c>
      <c r="AH592" t="str">
        <f>IFERROR(AVERAGE('Dry_Litterbag Placem_Collection'!O153,'Dry_Litterbag Placem_Collection'!R153),"")</f>
        <v/>
      </c>
      <c r="AI592" s="271" t="str">
        <f>IFERROR(AVERAGE('Dry_Litterbag Placem_Collection'!N153,'Dry_Litterbag Placem_Collection'!Q153),"")</f>
        <v/>
      </c>
      <c r="AJ592" s="270">
        <f>INDEX(Coordinates!$B$2:$B$197,MATCH(G592,Coordinates!$J$2:$J$197,0))</f>
        <v>-2.3673460070000001</v>
      </c>
      <c r="AK592" s="270">
        <f>INDEX(Coordinates!$C$2:$C$197,MATCH(G592,Coordinates!$J$2:$J$197,0))</f>
        <v>34.060310039999997</v>
      </c>
      <c r="AL592" s="270" t="str">
        <f>IF(ISNUMBER(SEARCH("C", 'Dry_Litterbag Placem_Collection'!U153)),"YES","NO")</f>
        <v>NO</v>
      </c>
      <c r="AM592" s="270" t="str">
        <f>IF(ISNUMBER(SEARCH("H", 'Dry_Litterbag Placem_Collection'!U153)),"YES","NO")</f>
        <v>NO</v>
      </c>
      <c r="AN592" s="270" t="str">
        <f>IF(ISNUMBER(SEARCH("R", 'Dry_Litterbag Placem_Collection'!U153)),"YES","NO")</f>
        <v>NO</v>
      </c>
    </row>
    <row r="593" spans="1:40" ht="15" customHeight="1">
      <c r="A593" s="262" t="s">
        <v>2659</v>
      </c>
      <c r="B593" s="263">
        <f>'Dry_Litterbag Placem_Collection'!A154</f>
        <v>152</v>
      </c>
      <c r="C593" s="263" t="str">
        <f>'Dry_Litterbag Placem_Collection'!B154</f>
        <v xml:space="preserve">Mwantimba
</v>
      </c>
      <c r="D593" s="263" t="s">
        <v>2460</v>
      </c>
      <c r="E593" s="263" t="s">
        <v>20</v>
      </c>
      <c r="F593" s="263">
        <v>3</v>
      </c>
      <c r="G593" s="264" t="str">
        <f>'Dry_Litterbag Placem_Collection'!C154</f>
        <v>Wet_P3_T8</v>
      </c>
      <c r="H593" s="273" t="s">
        <v>3651</v>
      </c>
      <c r="I593" s="266" t="s">
        <v>1147</v>
      </c>
      <c r="J593" s="263" t="str">
        <f>IF(ISBLANK('Dry_Litterbag Placem_Collection'!L154),"","G"&amp;""&amp;'Dry_Litterbag Placem_Collection'!L154)</f>
        <v>G617</v>
      </c>
      <c r="K593" s="267">
        <f>IFERROR(INDEX('Green_rooibos initial weight'!$C$5:$C$1749,MATCH(J593, 'Green_rooibos initial weight'!$A$5:$A$1749,0)),"")</f>
        <v>2.0880000000000001</v>
      </c>
      <c r="L593" s="267">
        <f>IFERROR(K593-(TBIcalc!$Q$9+TBIcalc!$Q$10),"")</f>
        <v>1.8382000000000001</v>
      </c>
      <c r="M593" s="391">
        <f>AVERAGE(Ashed_controlls!$K$2:$K$11)</f>
        <v>5.5147656768714146</v>
      </c>
      <c r="N593" s="267">
        <f t="shared" si="46"/>
        <v>1.7368275773277497</v>
      </c>
      <c r="O593" s="267">
        <f>IF(IFERROR(INDEX('Both teabags AfterDry'!$D$3:$D$900,MATCH(J593,'Both teabags AfterDry'!$A$3:$A$900,0)),"")="","",(IFERROR(INDEX('Both teabags AfterDry'!$D$3:$D$900,MATCH(J593,'Both teabags AfterDry'!$A$3:$A$900,0)),"")))</f>
        <v>1.3632</v>
      </c>
      <c r="P593" s="267">
        <f>IFERROR(IF(O593&gt;0,O593-(TBIcalc!$Q$9),""),"")</f>
        <v>1.2125999999999999</v>
      </c>
      <c r="Q593" s="278" t="str">
        <f>IFERROR(INDEX('Ashed teabags dry'!$K$2:$K$825,MATCH(J593,'Ashed teabags dry'!$A$2:$A$825,0)),"")</f>
        <v/>
      </c>
      <c r="R593" s="278" t="str">
        <f t="shared" si="47"/>
        <v/>
      </c>
      <c r="S593" s="268">
        <f>'Dry_Litterbag Placem_Collection'!E154</f>
        <v>42939</v>
      </c>
      <c r="T593" s="268">
        <f>IF('Dry_Litterbag Placem_Collection'!G154="","",'Dry_Litterbag Placem_Collection'!G154)</f>
        <v>43010</v>
      </c>
      <c r="U593" s="269">
        <f t="shared" si="45"/>
        <v>71</v>
      </c>
      <c r="V593" s="267">
        <f t="shared" si="48"/>
        <v>0.62560000000000016</v>
      </c>
      <c r="W593" s="267" t="str">
        <f t="shared" si="49"/>
        <v/>
      </c>
      <c r="X593" s="271">
        <f>IFERROR(INDEX(Rainfall_Dry!$O$2:$O$217,MATCH(B593, Rainfall_Dry!$A$2:$A$217,0)),"")</f>
        <v>137.19979645800001</v>
      </c>
      <c r="Y593" s="260">
        <v>39.96</v>
      </c>
      <c r="Z593" s="260">
        <v>12.920000000000002</v>
      </c>
      <c r="AA593" s="260">
        <v>47.12</v>
      </c>
      <c r="AB593" s="261" t="s">
        <v>2674</v>
      </c>
      <c r="AC593" s="260">
        <v>8.6549531789058705</v>
      </c>
      <c r="AD593">
        <f>IF('WetLitterbags placem_collection'!AB154="","",'WetLitterbags placem_collection'!AB154)</f>
        <v>2.2000000000000002</v>
      </c>
      <c r="AE593">
        <f>IF('WetLitterbags placem_collection'!Z154="","",'WetLitterbags placem_collection'!Z154)</f>
        <v>15</v>
      </c>
      <c r="AF593" s="246" t="str">
        <f>IF('WetLitterbags placem_collection'!AA154="","",'WetLitterbags placem_collection'!AA154)</f>
        <v>M</v>
      </c>
      <c r="AG593">
        <f>IF('WetLitterbags placem_collection'!AC154="","",'WetLitterbags placem_collection'!AC154)</f>
        <v>0</v>
      </c>
      <c r="AH593">
        <f>IFERROR(AVERAGE('Dry_Litterbag Placem_Collection'!O154,'Dry_Litterbag Placem_Collection'!R154),"")</f>
        <v>6.4</v>
      </c>
      <c r="AI593" s="271">
        <f>IFERROR(AVERAGE('Dry_Litterbag Placem_Collection'!N154,'Dry_Litterbag Placem_Collection'!Q154),"")</f>
        <v>28.45</v>
      </c>
      <c r="AJ593" s="270">
        <f>INDEX(Coordinates!$B$2:$B$197,MATCH(G593,Coordinates!$J$2:$J$197,0))</f>
        <v>-2.367543988</v>
      </c>
      <c r="AK593" s="270">
        <f>INDEX(Coordinates!$C$2:$C$197,MATCH(G593,Coordinates!$J$2:$J$197,0))</f>
        <v>34.060168969999999</v>
      </c>
      <c r="AL593" s="270" t="str">
        <f>IF(ISNUMBER(SEARCH("C", 'Dry_Litterbag Placem_Collection'!U154)),"YES","NO")</f>
        <v>NO</v>
      </c>
      <c r="AM593" s="270" t="str">
        <f>IF(ISNUMBER(SEARCH("H", 'Dry_Litterbag Placem_Collection'!U154)),"YES","NO")</f>
        <v>NO</v>
      </c>
      <c r="AN593" s="270" t="str">
        <f>IF(ISNUMBER(SEARCH("R", 'Dry_Litterbag Placem_Collection'!U154)),"YES","NO")</f>
        <v>NO</v>
      </c>
    </row>
    <row r="594" spans="1:40" ht="15" customHeight="1">
      <c r="A594" s="262" t="s">
        <v>2659</v>
      </c>
      <c r="B594" s="263">
        <f>'Dry_Litterbag Placem_Collection'!A155</f>
        <v>153</v>
      </c>
      <c r="C594" s="263" t="str">
        <f>'Dry_Litterbag Placem_Collection'!B155</f>
        <v xml:space="preserve">Mwantimba
</v>
      </c>
      <c r="D594" s="263" t="s">
        <v>2460</v>
      </c>
      <c r="E594" s="263" t="s">
        <v>20</v>
      </c>
      <c r="F594" s="263">
        <v>4</v>
      </c>
      <c r="G594" s="264" t="str">
        <f>'Dry_Litterbag Placem_Collection'!C155</f>
        <v>Wet_P4_T1</v>
      </c>
      <c r="H594" s="273" t="s">
        <v>3651</v>
      </c>
      <c r="I594" s="266" t="s">
        <v>1147</v>
      </c>
      <c r="J594" s="263" t="str">
        <f>IF(ISBLANK('Dry_Litterbag Placem_Collection'!L155),"","G"&amp;""&amp;'Dry_Litterbag Placem_Collection'!L155)</f>
        <v>G19</v>
      </c>
      <c r="K594" s="267">
        <f>IFERROR(INDEX('Green_rooibos initial weight'!$C$5:$C$1749,MATCH(J594, 'Green_rooibos initial weight'!$A$5:$A$1749,0)),"")</f>
        <v>2.0659999999999998</v>
      </c>
      <c r="L594" s="267">
        <f>IFERROR(K594-(TBIcalc!$Q$9+TBIcalc!$Q$10),"")</f>
        <v>1.8161999999999998</v>
      </c>
      <c r="M594" s="391">
        <f>AVERAGE(Ashed_controlls!$K$2:$K$11)</f>
        <v>5.5147656768714146</v>
      </c>
      <c r="N594" s="267">
        <f t="shared" si="46"/>
        <v>1.7160408257766613</v>
      </c>
      <c r="O594" s="267">
        <f>IF(IFERROR(INDEX('Both teabags AfterDry'!$D$3:$D$900,MATCH(J594,'Both teabags AfterDry'!$A$3:$A$900,0)),"")="","",(IFERROR(INDEX('Both teabags AfterDry'!$D$3:$D$900,MATCH(J594,'Both teabags AfterDry'!$A$3:$A$900,0)),"")))</f>
        <v>1.0404</v>
      </c>
      <c r="P594" s="267">
        <f>IFERROR(IF(O594&gt;0,O594-(TBIcalc!$Q$9),""),"")</f>
        <v>0.88979999999999992</v>
      </c>
      <c r="Q594" s="278" t="str">
        <f>IFERROR(INDEX('Ashed teabags dry'!$K$2:$K$825,MATCH(J594,'Ashed teabags dry'!$A$2:$A$825,0)),"")</f>
        <v/>
      </c>
      <c r="R594" s="278" t="str">
        <f t="shared" si="47"/>
        <v/>
      </c>
      <c r="S594" s="268">
        <f>'Dry_Litterbag Placem_Collection'!E155</f>
        <v>42939</v>
      </c>
      <c r="T594" s="268">
        <f>IF('Dry_Litterbag Placem_Collection'!G155="","",'Dry_Litterbag Placem_Collection'!G155)</f>
        <v>43010</v>
      </c>
      <c r="U594" s="269">
        <f t="shared" si="45"/>
        <v>71</v>
      </c>
      <c r="V594" s="267">
        <f t="shared" si="48"/>
        <v>0.92639999999999989</v>
      </c>
      <c r="W594" s="267" t="str">
        <f t="shared" si="49"/>
        <v/>
      </c>
      <c r="X594" s="271">
        <f>IFERROR(INDEX(Rainfall_Dry!$O$2:$O$217,MATCH(B594, Rainfall_Dry!$A$2:$A$217,0)),"")</f>
        <v>137.19979645800001</v>
      </c>
      <c r="Y594" s="260">
        <v>27.96</v>
      </c>
      <c r="Z594" s="260">
        <v>4.9200000000000017</v>
      </c>
      <c r="AA594" s="260">
        <v>67.12</v>
      </c>
      <c r="AB594" s="261" t="s">
        <v>2670</v>
      </c>
      <c r="AC594" s="260">
        <v>1.0437161163134547</v>
      </c>
      <c r="AD594">
        <f>IF('WetLitterbags placem_collection'!AB155="","",'WetLitterbags placem_collection'!AB155)</f>
        <v>2.1</v>
      </c>
      <c r="AE594">
        <f>IF('WetLitterbags placem_collection'!Z155="","",'WetLitterbags placem_collection'!Z155)</f>
        <v>16.399999999999999</v>
      </c>
      <c r="AF594" s="246" t="str">
        <f>IF('WetLitterbags placem_collection'!AA155="","",'WetLitterbags placem_collection'!AA155)</f>
        <v>G</v>
      </c>
      <c r="AG594">
        <f>IF('WetLitterbags placem_collection'!AC155="","",'WetLitterbags placem_collection'!AC155)</f>
        <v>0</v>
      </c>
      <c r="AH594">
        <f>IFERROR(AVERAGE('Dry_Litterbag Placem_Collection'!O155,'Dry_Litterbag Placem_Collection'!R155),"")</f>
        <v>5.65</v>
      </c>
      <c r="AI594" s="271">
        <f>IFERROR(AVERAGE('Dry_Litterbag Placem_Collection'!N155,'Dry_Litterbag Placem_Collection'!Q155),"")</f>
        <v>31.65</v>
      </c>
      <c r="AJ594" s="270">
        <f>INDEX(Coordinates!$B$2:$B$197,MATCH(G594,Coordinates!$J$2:$J$197,0))</f>
        <v>-2.3676780150000001</v>
      </c>
      <c r="AK594" s="270">
        <f>INDEX(Coordinates!$C$2:$C$197,MATCH(G594,Coordinates!$J$2:$J$197,0))</f>
        <v>34.05937797</v>
      </c>
      <c r="AL594" s="270" t="str">
        <f>IF(ISNUMBER(SEARCH("C", 'Dry_Litterbag Placem_Collection'!U155)),"YES","NO")</f>
        <v>NO</v>
      </c>
      <c r="AM594" s="270" t="str">
        <f>IF(ISNUMBER(SEARCH("H", 'Dry_Litterbag Placem_Collection'!U155)),"YES","NO")</f>
        <v>NO</v>
      </c>
      <c r="AN594" s="270" t="str">
        <f>IF(ISNUMBER(SEARCH("R", 'Dry_Litterbag Placem_Collection'!U155)),"YES","NO")</f>
        <v>NO</v>
      </c>
    </row>
    <row r="595" spans="1:40" ht="15" customHeight="1">
      <c r="A595" s="262" t="s">
        <v>2659</v>
      </c>
      <c r="B595" s="263">
        <f>'Dry_Litterbag Placem_Collection'!A156</f>
        <v>154</v>
      </c>
      <c r="C595" s="263" t="str">
        <f>'Dry_Litterbag Placem_Collection'!B156</f>
        <v xml:space="preserve">Mwantimba
</v>
      </c>
      <c r="D595" s="263" t="s">
        <v>2460</v>
      </c>
      <c r="E595" s="263" t="s">
        <v>20</v>
      </c>
      <c r="F595" s="263">
        <v>4</v>
      </c>
      <c r="G595" s="264" t="str">
        <f>'Dry_Litterbag Placem_Collection'!C156</f>
        <v>Wet_P4_T2</v>
      </c>
      <c r="H595" s="273" t="s">
        <v>3651</v>
      </c>
      <c r="I595" s="266" t="s">
        <v>1147</v>
      </c>
      <c r="J595" s="263" t="str">
        <f>IF(ISBLANK('Dry_Litterbag Placem_Collection'!L156),"","G"&amp;""&amp;'Dry_Litterbag Placem_Collection'!L156)</f>
        <v>G275</v>
      </c>
      <c r="K595" s="267">
        <f>IFERROR(INDEX('Green_rooibos initial weight'!$C$5:$C$1749,MATCH(J595, 'Green_rooibos initial weight'!$A$5:$A$1749,0)),"")</f>
        <v>2.097</v>
      </c>
      <c r="L595" s="267">
        <f>IFERROR(K595-(TBIcalc!$Q$9+TBIcalc!$Q$10),"")</f>
        <v>1.8472</v>
      </c>
      <c r="M595" s="391">
        <f>AVERAGE(Ashed_controlls!$K$2:$K$11)</f>
        <v>5.5147656768714146</v>
      </c>
      <c r="N595" s="267">
        <f t="shared" si="46"/>
        <v>1.7453312484168313</v>
      </c>
      <c r="O595" s="267">
        <f>IF(IFERROR(INDEX('Both teabags AfterDry'!$D$3:$D$900,MATCH(J595,'Both teabags AfterDry'!$A$3:$A$900,0)),"")="","",(IFERROR(INDEX('Both teabags AfterDry'!$D$3:$D$900,MATCH(J595,'Both teabags AfterDry'!$A$3:$A$900,0)),"")))</f>
        <v>1.2171000000000001</v>
      </c>
      <c r="P595" s="267">
        <f>IFERROR(IF(O595&gt;0,O595-(TBIcalc!$Q$9),""),"")</f>
        <v>1.0665</v>
      </c>
      <c r="Q595" s="278">
        <f>IFERROR(INDEX('Ashed teabags dry'!$K$2:$K$825,MATCH(J595,'Ashed teabags dry'!$A$2:$A$825,0)),"")</f>
        <v>17.669902912621797</v>
      </c>
      <c r="R595" s="278">
        <f t="shared" si="47"/>
        <v>0.87805048543688857</v>
      </c>
      <c r="S595" s="268">
        <f>'Dry_Litterbag Placem_Collection'!E156</f>
        <v>42939</v>
      </c>
      <c r="T595" s="268">
        <f>IF('Dry_Litterbag Placem_Collection'!G156="","",'Dry_Litterbag Placem_Collection'!G156)</f>
        <v>43010</v>
      </c>
      <c r="U595" s="269">
        <f t="shared" si="45"/>
        <v>71</v>
      </c>
      <c r="V595" s="267">
        <f t="shared" si="48"/>
        <v>0.78069999999999995</v>
      </c>
      <c r="W595" s="267">
        <f t="shared" si="49"/>
        <v>0.86728076297994272</v>
      </c>
      <c r="X595" s="271">
        <f>IFERROR(INDEX(Rainfall_Dry!$O$2:$O$217,MATCH(B595, Rainfall_Dry!$A$2:$A$217,0)),"")</f>
        <v>137.19979645800001</v>
      </c>
      <c r="Y595" s="260">
        <v>27.96</v>
      </c>
      <c r="Z595" s="260">
        <v>4.9200000000000017</v>
      </c>
      <c r="AA595" s="260">
        <v>67.12</v>
      </c>
      <c r="AB595" s="261" t="s">
        <v>2670</v>
      </c>
      <c r="AC595" s="260">
        <v>2.0437161163134498</v>
      </c>
      <c r="AD595">
        <f>IF('WetLitterbags placem_collection'!AB156="","",'WetLitterbags placem_collection'!AB156)</f>
        <v>2.15</v>
      </c>
      <c r="AE595">
        <f>IF('WetLitterbags placem_collection'!Z156="","",'WetLitterbags placem_collection'!Z156)</f>
        <v>9</v>
      </c>
      <c r="AF595" s="246" t="str">
        <f>IF('WetLitterbags placem_collection'!AA156="","",'WetLitterbags placem_collection'!AA156)</f>
        <v>G</v>
      </c>
      <c r="AG595">
        <f>IF('WetLitterbags placem_collection'!AC156="","",'WetLitterbags placem_collection'!AC156)</f>
        <v>0</v>
      </c>
      <c r="AH595">
        <f>IFERROR(AVERAGE('Dry_Litterbag Placem_Collection'!O156,'Dry_Litterbag Placem_Collection'!R156),"")</f>
        <v>4.05</v>
      </c>
      <c r="AI595" s="271">
        <f>IFERROR(AVERAGE('Dry_Litterbag Placem_Collection'!N156,'Dry_Litterbag Placem_Collection'!Q156),"")</f>
        <v>30.45</v>
      </c>
      <c r="AJ595" s="270">
        <f>INDEX(Coordinates!$B$2:$B$197,MATCH(G595,Coordinates!$J$2:$J$197,0))</f>
        <v>-2.3677299820000002</v>
      </c>
      <c r="AK595" s="270">
        <f>INDEX(Coordinates!$C$2:$C$197,MATCH(G595,Coordinates!$J$2:$J$197,0))</f>
        <v>34.059351990000003</v>
      </c>
      <c r="AL595" s="270" t="str">
        <f>IF(ISNUMBER(SEARCH("C", 'Dry_Litterbag Placem_Collection'!U156)),"YES","NO")</f>
        <v>NO</v>
      </c>
      <c r="AM595" s="270" t="str">
        <f>IF(ISNUMBER(SEARCH("H", 'Dry_Litterbag Placem_Collection'!U156)),"YES","NO")</f>
        <v>NO</v>
      </c>
      <c r="AN595" s="270" t="str">
        <f>IF(ISNUMBER(SEARCH("R", 'Dry_Litterbag Placem_Collection'!U156)),"YES","NO")</f>
        <v>NO</v>
      </c>
    </row>
    <row r="596" spans="1:40" ht="15" customHeight="1">
      <c r="A596" s="262" t="s">
        <v>2659</v>
      </c>
      <c r="B596" s="263">
        <f>'Dry_Litterbag Placem_Collection'!A157</f>
        <v>155</v>
      </c>
      <c r="C596" s="263" t="str">
        <f>'Dry_Litterbag Placem_Collection'!B157</f>
        <v xml:space="preserve">Mwantimba
</v>
      </c>
      <c r="D596" s="263" t="s">
        <v>2460</v>
      </c>
      <c r="E596" s="263" t="s">
        <v>20</v>
      </c>
      <c r="F596" s="263">
        <v>4</v>
      </c>
      <c r="G596" s="264" t="str">
        <f>'Dry_Litterbag Placem_Collection'!C157</f>
        <v>Wet_P4_T3</v>
      </c>
      <c r="H596" s="273" t="s">
        <v>3651</v>
      </c>
      <c r="I596" s="266" t="s">
        <v>1147</v>
      </c>
      <c r="J596" s="263" t="str">
        <f>IF(ISBLANK('Dry_Litterbag Placem_Collection'!L157),"","G"&amp;""&amp;'Dry_Litterbag Placem_Collection'!L157)</f>
        <v>G289</v>
      </c>
      <c r="K596" s="267">
        <f>IFERROR(INDEX('Green_rooibos initial weight'!$C$5:$C$1749,MATCH(J596, 'Green_rooibos initial weight'!$A$5:$A$1749,0)),"")</f>
        <v>2.093</v>
      </c>
      <c r="L596" s="267">
        <f>IFERROR(K596-(TBIcalc!$Q$9+TBIcalc!$Q$10),"")</f>
        <v>1.8431999999999999</v>
      </c>
      <c r="M596" s="391">
        <f>AVERAGE(Ashed_controlls!$K$2:$K$11)</f>
        <v>5.5147656768714146</v>
      </c>
      <c r="N596" s="267">
        <f t="shared" si="46"/>
        <v>1.741551839043906</v>
      </c>
      <c r="O596" s="267">
        <f>IF(IFERROR(INDEX('Both teabags AfterDry'!$D$3:$D$900,MATCH(J596,'Both teabags AfterDry'!$A$3:$A$900,0)),"")="","",(IFERROR(INDEX('Both teabags AfterDry'!$D$3:$D$900,MATCH(J596,'Both teabags AfterDry'!$A$3:$A$900,0)),"")))</f>
        <v>1.2491000000000001</v>
      </c>
      <c r="P596" s="267">
        <f>IFERROR(IF(O596&gt;0,O596-(TBIcalc!$Q$9),""),"")</f>
        <v>1.0985</v>
      </c>
      <c r="Q596" s="278">
        <f>IFERROR(INDEX('Ashed teabags dry'!$K$2:$K$825,MATCH(J596,'Ashed teabags dry'!$A$2:$A$825,0)),"")</f>
        <v>10.862152946907919</v>
      </c>
      <c r="R596" s="278">
        <f t="shared" si="47"/>
        <v>0.97917924987821658</v>
      </c>
      <c r="S596" s="268">
        <f>'Dry_Litterbag Placem_Collection'!E157</f>
        <v>42939</v>
      </c>
      <c r="T596" s="268">
        <f>IF('Dry_Litterbag Placem_Collection'!G157="","",'Dry_Litterbag Placem_Collection'!G157)</f>
        <v>43010</v>
      </c>
      <c r="U596" s="269">
        <f t="shared" si="45"/>
        <v>71</v>
      </c>
      <c r="V596" s="267">
        <f t="shared" si="48"/>
        <v>0.74469999999999992</v>
      </c>
      <c r="W596" s="267">
        <f t="shared" si="49"/>
        <v>0.7623725891656894</v>
      </c>
      <c r="X596" s="271">
        <f>IFERROR(INDEX(Rainfall_Dry!$O$2:$O$217,MATCH(B596, Rainfall_Dry!$A$2:$A$217,0)),"")</f>
        <v>137.19979645800001</v>
      </c>
      <c r="Y596" s="260">
        <v>27.96</v>
      </c>
      <c r="Z596" s="260">
        <v>4.9200000000000017</v>
      </c>
      <c r="AA596" s="260">
        <v>67.12</v>
      </c>
      <c r="AB596" s="261" t="s">
        <v>2670</v>
      </c>
      <c r="AC596" s="260">
        <v>3.0437161163134498</v>
      </c>
      <c r="AD596">
        <f>IF('WetLitterbags placem_collection'!AB157="","",'WetLitterbags placem_collection'!AB157)</f>
        <v>1.2</v>
      </c>
      <c r="AE596">
        <f>IF('WetLitterbags placem_collection'!Z157="","",'WetLitterbags placem_collection'!Z157)</f>
        <v>11</v>
      </c>
      <c r="AF596" s="246" t="str">
        <f>IF('WetLitterbags placem_collection'!AA157="","",'WetLitterbags placem_collection'!AA157)</f>
        <v>G</v>
      </c>
      <c r="AG596">
        <f>IF('WetLitterbags placem_collection'!AC157="","",'WetLitterbags placem_collection'!AC157)</f>
        <v>0</v>
      </c>
      <c r="AH596">
        <f>IFERROR(AVERAGE('Dry_Litterbag Placem_Collection'!O157,'Dry_Litterbag Placem_Collection'!R157),"")</f>
        <v>5.0999999999999996</v>
      </c>
      <c r="AI596" s="271">
        <f>IFERROR(AVERAGE('Dry_Litterbag Placem_Collection'!N157,'Dry_Litterbag Placem_Collection'!Q157),"")</f>
        <v>29.4</v>
      </c>
      <c r="AJ596" s="270">
        <f>INDEX(Coordinates!$B$2:$B$197,MATCH(G596,Coordinates!$J$2:$J$197,0))</f>
        <v>-2.3677119609999999</v>
      </c>
      <c r="AK596" s="270">
        <f>INDEX(Coordinates!$C$2:$C$197,MATCH(G596,Coordinates!$J$2:$J$197,0))</f>
        <v>34.059339000000001</v>
      </c>
      <c r="AL596" s="270" t="str">
        <f>IF(ISNUMBER(SEARCH("C", 'Dry_Litterbag Placem_Collection'!U157)),"YES","NO")</f>
        <v>NO</v>
      </c>
      <c r="AM596" s="270" t="str">
        <f>IF(ISNUMBER(SEARCH("H", 'Dry_Litterbag Placem_Collection'!U157)),"YES","NO")</f>
        <v>NO</v>
      </c>
      <c r="AN596" s="270" t="str">
        <f>IF(ISNUMBER(SEARCH("R", 'Dry_Litterbag Placem_Collection'!U157)),"YES","NO")</f>
        <v>NO</v>
      </c>
    </row>
    <row r="597" spans="1:40" ht="15" customHeight="1">
      <c r="A597" s="262" t="s">
        <v>2659</v>
      </c>
      <c r="B597" s="263">
        <f>'Dry_Litterbag Placem_Collection'!A158</f>
        <v>156</v>
      </c>
      <c r="C597" s="263" t="str">
        <f>'Dry_Litterbag Placem_Collection'!B158</f>
        <v xml:space="preserve">Mwantimba
</v>
      </c>
      <c r="D597" s="263" t="s">
        <v>2460</v>
      </c>
      <c r="E597" s="263" t="s">
        <v>20</v>
      </c>
      <c r="F597" s="263">
        <v>4</v>
      </c>
      <c r="G597" s="264" t="str">
        <f>'Dry_Litterbag Placem_Collection'!C158</f>
        <v>Wet_P4_T4</v>
      </c>
      <c r="H597" s="273" t="s">
        <v>3651</v>
      </c>
      <c r="I597" s="266" t="s">
        <v>1147</v>
      </c>
      <c r="J597" s="263" t="str">
        <f>IF(ISBLANK('Dry_Litterbag Placem_Collection'!L158),"","G"&amp;""&amp;'Dry_Litterbag Placem_Collection'!L158)</f>
        <v>G65</v>
      </c>
      <c r="K597" s="267">
        <f>IFERROR(INDEX('Green_rooibos initial weight'!$C$5:$C$1749,MATCH(J597, 'Green_rooibos initial weight'!$A$5:$A$1749,0)),"")</f>
        <v>2.0750000000000002</v>
      </c>
      <c r="L597" s="267">
        <f>IFERROR(K597-(TBIcalc!$Q$9+TBIcalc!$Q$10),"")</f>
        <v>1.8252000000000002</v>
      </c>
      <c r="M597" s="391">
        <f>AVERAGE(Ashed_controlls!$K$2:$K$11)</f>
        <v>5.5147656768714146</v>
      </c>
      <c r="N597" s="267">
        <f t="shared" si="46"/>
        <v>1.7245444968657431</v>
      </c>
      <c r="O597" s="267">
        <f>IF(IFERROR(INDEX('Both teabags AfterDry'!$D$3:$D$900,MATCH(J597,'Both teabags AfterDry'!$A$3:$A$900,0)),"")="","",(IFERROR(INDEX('Both teabags AfterDry'!$D$3:$D$900,MATCH(J597,'Both teabags AfterDry'!$A$3:$A$900,0)),"")))</f>
        <v>1.0561</v>
      </c>
      <c r="P597" s="267">
        <f>IFERROR(IF(O597&gt;0,O597-(TBIcalc!$Q$9),""),"")</f>
        <v>0.90549999999999997</v>
      </c>
      <c r="Q597" s="278">
        <f>IFERROR(INDEX('Ashed teabags dry'!$K$2:$K$825,MATCH(J597,'Ashed teabags dry'!$A$2:$A$825,0)),"")</f>
        <v>16.530514175876895</v>
      </c>
      <c r="R597" s="278">
        <f t="shared" si="47"/>
        <v>0.75581619413743473</v>
      </c>
      <c r="S597" s="268">
        <f>'Dry_Litterbag Placem_Collection'!E158</f>
        <v>42939</v>
      </c>
      <c r="T597" s="268">
        <f>IF('Dry_Litterbag Placem_Collection'!G158="","",'Dry_Litterbag Placem_Collection'!G158)</f>
        <v>43010</v>
      </c>
      <c r="U597" s="269">
        <f t="shared" si="45"/>
        <v>71</v>
      </c>
      <c r="V597" s="267">
        <f t="shared" si="48"/>
        <v>0.91970000000000018</v>
      </c>
      <c r="W597" s="267">
        <f t="shared" si="49"/>
        <v>0.96872830272830834</v>
      </c>
      <c r="X597" s="271">
        <f>IFERROR(INDEX(Rainfall_Dry!$O$2:$O$217,MATCH(B597, Rainfall_Dry!$A$2:$A$217,0)),"")</f>
        <v>137.19979645800001</v>
      </c>
      <c r="Y597" s="260">
        <v>27.96</v>
      </c>
      <c r="Z597" s="260">
        <v>4.9200000000000017</v>
      </c>
      <c r="AA597" s="260">
        <v>67.12</v>
      </c>
      <c r="AB597" s="261" t="s">
        <v>2670</v>
      </c>
      <c r="AC597" s="260">
        <v>4.0437161163134503</v>
      </c>
      <c r="AD597">
        <f>IF('WetLitterbags placem_collection'!AB158="","",'WetLitterbags placem_collection'!AB158)</f>
        <v>1.55</v>
      </c>
      <c r="AE597">
        <f>IF('WetLitterbags placem_collection'!Z158="","",'WetLitterbags placem_collection'!Z158)</f>
        <v>9.1</v>
      </c>
      <c r="AF597" s="246" t="str">
        <f>IF('WetLitterbags placem_collection'!AA158="","",'WetLitterbags placem_collection'!AA158)</f>
        <v>O</v>
      </c>
      <c r="AG597">
        <f>IF('WetLitterbags placem_collection'!AC158="","",'WetLitterbags placem_collection'!AC158)</f>
        <v>0</v>
      </c>
      <c r="AH597">
        <f>IFERROR(AVERAGE('Dry_Litterbag Placem_Collection'!O158,'Dry_Litterbag Placem_Collection'!R158),"")</f>
        <v>4.5</v>
      </c>
      <c r="AI597" s="271">
        <f>IFERROR(AVERAGE('Dry_Litterbag Placem_Collection'!N158,'Dry_Litterbag Placem_Collection'!Q158),"")</f>
        <v>30.35</v>
      </c>
      <c r="AJ597" s="270">
        <f>INDEX(Coordinates!$B$2:$B$197,MATCH(G597,Coordinates!$J$2:$J$197,0))</f>
        <v>-2.3676950300000001</v>
      </c>
      <c r="AK597" s="270">
        <f>INDEX(Coordinates!$C$2:$C$197,MATCH(G597,Coordinates!$J$2:$J$197,0))</f>
        <v>34.059499010000003</v>
      </c>
      <c r="AL597" s="270" t="str">
        <f>IF(ISNUMBER(SEARCH("C", 'Dry_Litterbag Placem_Collection'!U158)),"YES","NO")</f>
        <v>NO</v>
      </c>
      <c r="AM597" s="270" t="str">
        <f>IF(ISNUMBER(SEARCH("H", 'Dry_Litterbag Placem_Collection'!U158)),"YES","NO")</f>
        <v>NO</v>
      </c>
      <c r="AN597" s="270" t="str">
        <f>IF(ISNUMBER(SEARCH("R", 'Dry_Litterbag Placem_Collection'!U158)),"YES","NO")</f>
        <v>NO</v>
      </c>
    </row>
    <row r="598" spans="1:40" ht="15" customHeight="1">
      <c r="A598" s="262" t="s">
        <v>2659</v>
      </c>
      <c r="B598" s="263">
        <f>'Dry_Litterbag Placem_Collection'!A159</f>
        <v>157</v>
      </c>
      <c r="C598" s="263" t="str">
        <f>'Dry_Litterbag Placem_Collection'!B159</f>
        <v xml:space="preserve">Mwantimba
</v>
      </c>
      <c r="D598" s="263" t="s">
        <v>2460</v>
      </c>
      <c r="E598" s="263" t="s">
        <v>20</v>
      </c>
      <c r="F598" s="263">
        <v>4</v>
      </c>
      <c r="G598" s="264" t="str">
        <f>'Dry_Litterbag Placem_Collection'!C159</f>
        <v>Wet_P4_T5</v>
      </c>
      <c r="H598" s="273" t="s">
        <v>3651</v>
      </c>
      <c r="I598" s="266" t="s">
        <v>1147</v>
      </c>
      <c r="J598" s="263" t="str">
        <f>IF(ISBLANK('Dry_Litterbag Placem_Collection'!L159),"","G"&amp;""&amp;'Dry_Litterbag Placem_Collection'!L159)</f>
        <v>G33</v>
      </c>
      <c r="K598" s="267">
        <f>IFERROR(INDEX('Green_rooibos initial weight'!$C$5:$C$1749,MATCH(J598, 'Green_rooibos initial weight'!$A$5:$A$1749,0)),"")</f>
        <v>2.0579999999999998</v>
      </c>
      <c r="L598" s="267">
        <f>IFERROR(K598-(TBIcalc!$Q$9+TBIcalc!$Q$10),"")</f>
        <v>1.8081999999999998</v>
      </c>
      <c r="M598" s="391">
        <f>AVERAGE(Ashed_controlls!$K$2:$K$11)</f>
        <v>5.5147656768714146</v>
      </c>
      <c r="N598" s="267">
        <f t="shared" si="46"/>
        <v>1.7084820070308109</v>
      </c>
      <c r="O598" s="267" t="str">
        <f>IF(IFERROR(INDEX('Both teabags AfterDry'!$D$3:$D$900,MATCH(J598,'Both teabags AfterDry'!$A$3:$A$900,0)),"")="","",(IFERROR(INDEX('Both teabags AfterDry'!$D$3:$D$900,MATCH(J598,'Both teabags AfterDry'!$A$3:$A$900,0)),"")))</f>
        <v/>
      </c>
      <c r="P598" s="267" t="str">
        <f>IFERROR(IF(O598&gt;0,O598-(TBIcalc!$Q$9),""),"")</f>
        <v/>
      </c>
      <c r="Q598" s="278" t="str">
        <f>IFERROR(INDEX('Ashed teabags dry'!$K$2:$K$825,MATCH(J598,'Ashed teabags dry'!$A$2:$A$825,0)),"")</f>
        <v/>
      </c>
      <c r="R598" s="278" t="str">
        <f t="shared" si="47"/>
        <v/>
      </c>
      <c r="S598" s="268">
        <f>'Dry_Litterbag Placem_Collection'!E159</f>
        <v>42939</v>
      </c>
      <c r="T598" s="268">
        <f>IF('Dry_Litterbag Placem_Collection'!G159="","",'Dry_Litterbag Placem_Collection'!G159)</f>
        <v>43010</v>
      </c>
      <c r="U598" s="269">
        <f t="shared" si="45"/>
        <v>71</v>
      </c>
      <c r="V598" s="267" t="str">
        <f t="shared" si="48"/>
        <v/>
      </c>
      <c r="W598" s="267" t="str">
        <f t="shared" si="49"/>
        <v/>
      </c>
      <c r="X598" s="271">
        <f>IFERROR(INDEX(Rainfall_Dry!$O$2:$O$217,MATCH(B598, Rainfall_Dry!$A$2:$A$217,0)),"")</f>
        <v>137.19979645800001</v>
      </c>
      <c r="Y598" s="260">
        <v>27.96</v>
      </c>
      <c r="Z598" s="260">
        <v>4.9200000000000017</v>
      </c>
      <c r="AA598" s="260">
        <v>67.12</v>
      </c>
      <c r="AB598" s="261" t="s">
        <v>2670</v>
      </c>
      <c r="AC598" s="260">
        <v>5.0437161163134503</v>
      </c>
      <c r="AD598">
        <f>IF('WetLitterbags placem_collection'!AB159="","",'WetLitterbags placem_collection'!AB159)</f>
        <v>2.2999999999999998</v>
      </c>
      <c r="AE598">
        <f>IF('WetLitterbags placem_collection'!Z159="","",'WetLitterbags placem_collection'!Z159)</f>
        <v>7.7</v>
      </c>
      <c r="AF598" s="246" t="str">
        <f>IF('WetLitterbags placem_collection'!AA159="","",'WetLitterbags placem_collection'!AA159)</f>
        <v>O</v>
      </c>
      <c r="AG598">
        <f>IF('WetLitterbags placem_collection'!AC159="","",'WetLitterbags placem_collection'!AC159)</f>
        <v>0</v>
      </c>
      <c r="AH598">
        <f>IFERROR(AVERAGE('Dry_Litterbag Placem_Collection'!O159,'Dry_Litterbag Placem_Collection'!R159),"")</f>
        <v>5.65</v>
      </c>
      <c r="AI598" s="271">
        <f>IFERROR(AVERAGE('Dry_Litterbag Placem_Collection'!N159,'Dry_Litterbag Placem_Collection'!Q159),"")</f>
        <v>29.85</v>
      </c>
      <c r="AJ598" s="270">
        <f>INDEX(Coordinates!$B$2:$B$197,MATCH(G598,Coordinates!$J$2:$J$197,0))</f>
        <v>-2.3678019830000001</v>
      </c>
      <c r="AK598" s="270">
        <f>INDEX(Coordinates!$C$2:$C$197,MATCH(G598,Coordinates!$J$2:$J$197,0))</f>
        <v>34.059521969999999</v>
      </c>
      <c r="AL598" s="270" t="str">
        <f>IF(ISNUMBER(SEARCH("C", 'Dry_Litterbag Placem_Collection'!U159)),"YES","NO")</f>
        <v>NO</v>
      </c>
      <c r="AM598" s="270" t="str">
        <f>IF(ISNUMBER(SEARCH("H", 'Dry_Litterbag Placem_Collection'!U159)),"YES","NO")</f>
        <v>NO</v>
      </c>
      <c r="AN598" s="270" t="str">
        <f>IF(ISNUMBER(SEARCH("R", 'Dry_Litterbag Placem_Collection'!U159)),"YES","NO")</f>
        <v>NO</v>
      </c>
    </row>
    <row r="599" spans="1:40" ht="15" customHeight="1">
      <c r="A599" s="262" t="s">
        <v>2659</v>
      </c>
      <c r="B599" s="263">
        <f>'Dry_Litterbag Placem_Collection'!A160</f>
        <v>158</v>
      </c>
      <c r="C599" s="263" t="str">
        <f>'Dry_Litterbag Placem_Collection'!B160</f>
        <v xml:space="preserve">Mwantimba
</v>
      </c>
      <c r="D599" s="263" t="s">
        <v>2460</v>
      </c>
      <c r="E599" s="263" t="s">
        <v>20</v>
      </c>
      <c r="F599" s="263">
        <v>4</v>
      </c>
      <c r="G599" s="264" t="str">
        <f>'Dry_Litterbag Placem_Collection'!C160</f>
        <v>Wet_P4_T6</v>
      </c>
      <c r="H599" s="273" t="s">
        <v>3651</v>
      </c>
      <c r="I599" s="266" t="s">
        <v>1147</v>
      </c>
      <c r="J599" s="263" t="str">
        <f>IF(ISBLANK('Dry_Litterbag Placem_Collection'!L160),"","G"&amp;""&amp;'Dry_Litterbag Placem_Collection'!L160)</f>
        <v>G153</v>
      </c>
      <c r="K599" s="267">
        <f>IFERROR(INDEX('Green_rooibos initial weight'!$C$5:$C$1749,MATCH(J599, 'Green_rooibos initial weight'!$A$5:$A$1749,0)),"")</f>
        <v>2.0529999999999999</v>
      </c>
      <c r="L599" s="267">
        <f>IFERROR(K599-(TBIcalc!$Q$9+TBIcalc!$Q$10),"")</f>
        <v>1.8031999999999999</v>
      </c>
      <c r="M599" s="391">
        <f>AVERAGE(Ashed_controlls!$K$2:$K$11)</f>
        <v>5.5147656768714146</v>
      </c>
      <c r="N599" s="267">
        <f t="shared" si="46"/>
        <v>1.7037577453146546</v>
      </c>
      <c r="O599" s="267">
        <f>IF(IFERROR(INDEX('Both teabags AfterDry'!$D$3:$D$900,MATCH(J599,'Both teabags AfterDry'!$A$3:$A$900,0)),"")="","",(IFERROR(INDEX('Both teabags AfterDry'!$D$3:$D$900,MATCH(J599,'Both teabags AfterDry'!$A$3:$A$900,0)),"")))</f>
        <v>0.87609999999999999</v>
      </c>
      <c r="P599" s="267">
        <f>IFERROR(IF(O599&gt;0,O599-(TBIcalc!$Q$9),""),"")</f>
        <v>0.72550000000000003</v>
      </c>
      <c r="Q599" s="278">
        <f>IFERROR(INDEX('Ashed teabags dry'!$K$2:$K$825,MATCH(J599,'Ashed teabags dry'!$A$2:$A$825,0)),"")</f>
        <v>71.165940977261897</v>
      </c>
      <c r="R599" s="278">
        <f t="shared" si="47"/>
        <v>0.20919109820996495</v>
      </c>
      <c r="S599" s="268">
        <f>'Dry_Litterbag Placem_Collection'!E160</f>
        <v>42939</v>
      </c>
      <c r="T599" s="268">
        <f>IF('Dry_Litterbag Placem_Collection'!G160="","",'Dry_Litterbag Placem_Collection'!G160)</f>
        <v>43010</v>
      </c>
      <c r="U599" s="269">
        <f t="shared" si="45"/>
        <v>71</v>
      </c>
      <c r="V599" s="267">
        <f t="shared" si="48"/>
        <v>1.0776999999999999</v>
      </c>
      <c r="W599" s="267">
        <f t="shared" si="49"/>
        <v>1.4945666471046897</v>
      </c>
      <c r="X599" s="271">
        <f>IFERROR(INDEX(Rainfall_Dry!$O$2:$O$217,MATCH(B599, Rainfall_Dry!$A$2:$A$217,0)),"")</f>
        <v>137.19979645800001</v>
      </c>
      <c r="Y599" s="260">
        <v>27.96</v>
      </c>
      <c r="Z599" s="260">
        <v>4.9200000000000017</v>
      </c>
      <c r="AA599" s="260">
        <v>67.12</v>
      </c>
      <c r="AB599" s="261" t="s">
        <v>2670</v>
      </c>
      <c r="AC599" s="260">
        <v>6.0437161163134503</v>
      </c>
      <c r="AD599">
        <f>IF('WetLitterbags placem_collection'!AB160="","",'WetLitterbags placem_collection'!AB160)</f>
        <v>1.9</v>
      </c>
      <c r="AE599">
        <f>IF('WetLitterbags placem_collection'!Z160="","",'WetLitterbags placem_collection'!Z160)</f>
        <v>4.3</v>
      </c>
      <c r="AF599" s="246" t="str">
        <f>IF('WetLitterbags placem_collection'!AA160="","",'WetLitterbags placem_collection'!AA160)</f>
        <v>O</v>
      </c>
      <c r="AG599">
        <f>IF('WetLitterbags placem_collection'!AC160="","",'WetLitterbags placem_collection'!AC160)</f>
        <v>0</v>
      </c>
      <c r="AH599">
        <f>IFERROR(AVERAGE('Dry_Litterbag Placem_Collection'!O160,'Dry_Litterbag Placem_Collection'!R160),"")</f>
        <v>5.95</v>
      </c>
      <c r="AI599" s="271">
        <f>IFERROR(AVERAGE('Dry_Litterbag Placem_Collection'!N160,'Dry_Litterbag Placem_Collection'!Q160),"")</f>
        <v>31.8</v>
      </c>
      <c r="AJ599" s="270">
        <f>INDEX(Coordinates!$B$2:$B$197,MATCH(G599,Coordinates!$J$2:$J$197,0))</f>
        <v>-2.3679270410000002</v>
      </c>
      <c r="AK599" s="270">
        <f>INDEX(Coordinates!$C$2:$C$197,MATCH(G599,Coordinates!$J$2:$J$197,0))</f>
        <v>34.059300020000002</v>
      </c>
      <c r="AL599" s="270" t="str">
        <f>IF(ISNUMBER(SEARCH("C", 'Dry_Litterbag Placem_Collection'!U160)),"YES","NO")</f>
        <v>NO</v>
      </c>
      <c r="AM599" s="270" t="str">
        <f>IF(ISNUMBER(SEARCH("H", 'Dry_Litterbag Placem_Collection'!U160)),"YES","NO")</f>
        <v>NO</v>
      </c>
      <c r="AN599" s="270" t="str">
        <f>IF(ISNUMBER(SEARCH("R", 'Dry_Litterbag Placem_Collection'!U160)),"YES","NO")</f>
        <v>NO</v>
      </c>
    </row>
    <row r="600" spans="1:40" ht="15" customHeight="1">
      <c r="A600" s="262" t="s">
        <v>2659</v>
      </c>
      <c r="B600" s="263">
        <f>'Dry_Litterbag Placem_Collection'!A161</f>
        <v>159</v>
      </c>
      <c r="C600" s="263" t="str">
        <f>'Dry_Litterbag Placem_Collection'!B161</f>
        <v xml:space="preserve">Mwantimba
</v>
      </c>
      <c r="D600" s="263" t="s">
        <v>2460</v>
      </c>
      <c r="E600" s="263" t="s">
        <v>20</v>
      </c>
      <c r="F600" s="263">
        <v>4</v>
      </c>
      <c r="G600" s="264" t="str">
        <f>'Dry_Litterbag Placem_Collection'!C161</f>
        <v>Wet_P4_T7</v>
      </c>
      <c r="H600" s="273" t="s">
        <v>3651</v>
      </c>
      <c r="I600" s="266" t="s">
        <v>1147</v>
      </c>
      <c r="J600" s="263" t="str">
        <f>IF(ISBLANK('Dry_Litterbag Placem_Collection'!L161),"","G"&amp;""&amp;'Dry_Litterbag Placem_Collection'!L161)</f>
        <v/>
      </c>
      <c r="K600" s="267" t="str">
        <f>IFERROR(INDEX('Green_rooibos initial weight'!$C$5:$C$1749,MATCH(J600, 'Green_rooibos initial weight'!$A$5:$A$1749,0)),"")</f>
        <v/>
      </c>
      <c r="L600" s="267" t="str">
        <f>IFERROR(K600-(TBIcalc!$Q$9+TBIcalc!$Q$10),"")</f>
        <v/>
      </c>
      <c r="M600" s="391">
        <f>AVERAGE(Ashed_controlls!$K$2:$K$11)</f>
        <v>5.5147656768714146</v>
      </c>
      <c r="N600" s="267" t="str">
        <f t="shared" si="46"/>
        <v/>
      </c>
      <c r="O600" s="267" t="str">
        <f>IF(IFERROR(INDEX('Both teabags AfterDry'!$D$3:$D$900,MATCH(J600,'Both teabags AfterDry'!$A$3:$A$900,0)),"")="","",(IFERROR(INDEX('Both teabags AfterDry'!$D$3:$D$900,MATCH(J600,'Both teabags AfterDry'!$A$3:$A$900,0)),"")))</f>
        <v/>
      </c>
      <c r="P600" s="267" t="str">
        <f>IFERROR(IF(O600&gt;0,O600-(TBIcalc!$Q$9),""),"")</f>
        <v/>
      </c>
      <c r="Q600" s="278" t="str">
        <f>IFERROR(INDEX('Ashed teabags dry'!$K$2:$K$825,MATCH(J600,'Ashed teabags dry'!$A$2:$A$825,0)),"")</f>
        <v/>
      </c>
      <c r="R600" s="278" t="str">
        <f t="shared" si="47"/>
        <v/>
      </c>
      <c r="S600" s="268">
        <f>'Dry_Litterbag Placem_Collection'!E161</f>
        <v>0</v>
      </c>
      <c r="T600" s="268" t="str">
        <f>IF('Dry_Litterbag Placem_Collection'!G161="","",'Dry_Litterbag Placem_Collection'!G161)</f>
        <v/>
      </c>
      <c r="U600" s="269" t="str">
        <f t="shared" si="45"/>
        <v/>
      </c>
      <c r="V600" s="267" t="str">
        <f t="shared" si="48"/>
        <v/>
      </c>
      <c r="W600" s="267" t="str">
        <f t="shared" si="49"/>
        <v/>
      </c>
      <c r="X600" s="271" t="str">
        <f>IFERROR(INDEX(Rainfall_Dry!$O$2:$O$217,MATCH(B600, Rainfall_Dry!$A$2:$A$217,0)),"")</f>
        <v/>
      </c>
      <c r="Y600" s="260">
        <v>27.96</v>
      </c>
      <c r="Z600" s="260">
        <v>4.9200000000000017</v>
      </c>
      <c r="AA600" s="260">
        <v>67.12</v>
      </c>
      <c r="AB600" s="261" t="s">
        <v>2670</v>
      </c>
      <c r="AC600" s="260">
        <v>7.0437161163134503</v>
      </c>
      <c r="AD600">
        <f>IF('WetLitterbags placem_collection'!AB161="","",'WetLitterbags placem_collection'!AB161)</f>
        <v>2.65</v>
      </c>
      <c r="AE600">
        <f>IF('WetLitterbags placem_collection'!Z161="","",'WetLitterbags placem_collection'!Z161)</f>
        <v>0</v>
      </c>
      <c r="AF600" s="246" t="str">
        <f>IF('WetLitterbags placem_collection'!AA161="","",'WetLitterbags placem_collection'!AA161)</f>
        <v>G</v>
      </c>
      <c r="AG600">
        <f>IF('WetLitterbags placem_collection'!AC161="","",'WetLitterbags placem_collection'!AC161)</f>
        <v>1</v>
      </c>
      <c r="AH600" t="str">
        <f>IFERROR(AVERAGE('Dry_Litterbag Placem_Collection'!O161,'Dry_Litterbag Placem_Collection'!R161),"")</f>
        <v/>
      </c>
      <c r="AI600" s="271" t="str">
        <f>IFERROR(AVERAGE('Dry_Litterbag Placem_Collection'!N161,'Dry_Litterbag Placem_Collection'!Q161),"")</f>
        <v/>
      </c>
      <c r="AJ600" s="270">
        <f>INDEX(Coordinates!$B$2:$B$197,MATCH(G600,Coordinates!$J$2:$J$197,0))</f>
        <v>-2.3676829599999998</v>
      </c>
      <c r="AK600" s="270">
        <f>INDEX(Coordinates!$C$2:$C$197,MATCH(G600,Coordinates!$J$2:$J$197,0))</f>
        <v>34.059236990000002</v>
      </c>
      <c r="AL600" s="270" t="str">
        <f>IF(ISNUMBER(SEARCH("C", 'Dry_Litterbag Placem_Collection'!U161)),"YES","NO")</f>
        <v>NO</v>
      </c>
      <c r="AM600" s="270" t="str">
        <f>IF(ISNUMBER(SEARCH("H", 'Dry_Litterbag Placem_Collection'!U161)),"YES","NO")</f>
        <v>NO</v>
      </c>
      <c r="AN600" s="270" t="str">
        <f>IF(ISNUMBER(SEARCH("R", 'Dry_Litterbag Placem_Collection'!U161)),"YES","NO")</f>
        <v>NO</v>
      </c>
    </row>
    <row r="601" spans="1:40" ht="15" customHeight="1">
      <c r="A601" s="262" t="s">
        <v>2659</v>
      </c>
      <c r="B601" s="263">
        <f>'Dry_Litterbag Placem_Collection'!A162</f>
        <v>160</v>
      </c>
      <c r="C601" s="263" t="str">
        <f>'Dry_Litterbag Placem_Collection'!B162</f>
        <v xml:space="preserve">Mwantimba
</v>
      </c>
      <c r="D601" s="263" t="s">
        <v>2460</v>
      </c>
      <c r="E601" s="263" t="s">
        <v>20</v>
      </c>
      <c r="F601" s="263">
        <v>4</v>
      </c>
      <c r="G601" s="264" t="str">
        <f>'Dry_Litterbag Placem_Collection'!C162</f>
        <v>Wet_P4_T8</v>
      </c>
      <c r="H601" s="273" t="s">
        <v>3651</v>
      </c>
      <c r="I601" s="266" t="s">
        <v>1147</v>
      </c>
      <c r="J601" s="263" t="str">
        <f>IF(ISBLANK('Dry_Litterbag Placem_Collection'!L162),"","G"&amp;""&amp;'Dry_Litterbag Placem_Collection'!L162)</f>
        <v>G175</v>
      </c>
      <c r="K601" s="267">
        <f>IFERROR(INDEX('Green_rooibos initial weight'!$C$5:$C$1749,MATCH(J601, 'Green_rooibos initial weight'!$A$5:$A$1749,0)),"")</f>
        <v>1.9930000000000001</v>
      </c>
      <c r="L601" s="267">
        <f>IFERROR(K601-(TBIcalc!$Q$9+TBIcalc!$Q$10),"")</f>
        <v>1.7432000000000001</v>
      </c>
      <c r="M601" s="391">
        <f>AVERAGE(Ashed_controlls!$K$2:$K$11)</f>
        <v>5.5147656768714146</v>
      </c>
      <c r="N601" s="267">
        <f t="shared" si="46"/>
        <v>1.6470666047207776</v>
      </c>
      <c r="O601" s="267">
        <f>IF(IFERROR(INDEX('Both teabags AfterDry'!$D$3:$D$900,MATCH(J601,'Both teabags AfterDry'!$A$3:$A$900,0)),"")="","",(IFERROR(INDEX('Both teabags AfterDry'!$D$3:$D$900,MATCH(J601,'Both teabags AfterDry'!$A$3:$A$900,0)),"")))</f>
        <v>1.2042999999999999</v>
      </c>
      <c r="P601" s="267">
        <f>IFERROR(IF(O601&gt;0,O601-(TBIcalc!$Q$9),""),"")</f>
        <v>1.0536999999999999</v>
      </c>
      <c r="Q601" s="278">
        <f>IFERROR(INDEX('Ashed teabags dry'!$K$2:$K$825,MATCH(J601,'Ashed teabags dry'!$A$2:$A$825,0)),"")</f>
        <v>22.557651991613749</v>
      </c>
      <c r="R601" s="278">
        <f t="shared" si="47"/>
        <v>0.81601002096436581</v>
      </c>
      <c r="S601" s="268">
        <f>'Dry_Litterbag Placem_Collection'!E162</f>
        <v>42939</v>
      </c>
      <c r="T601" s="268">
        <f>IF('Dry_Litterbag Placem_Collection'!G162="","",'Dry_Litterbag Placem_Collection'!G162)</f>
        <v>43010</v>
      </c>
      <c r="U601" s="269">
        <f t="shared" si="45"/>
        <v>71</v>
      </c>
      <c r="V601" s="267">
        <f t="shared" si="48"/>
        <v>0.68950000000000022</v>
      </c>
      <c r="W601" s="267">
        <f t="shared" si="49"/>
        <v>0.83105658375641178</v>
      </c>
      <c r="X601" s="271">
        <f>IFERROR(INDEX(Rainfall_Dry!$O$2:$O$217,MATCH(B601, Rainfall_Dry!$A$2:$A$217,0)),"")</f>
        <v>137.19979645800001</v>
      </c>
      <c r="Y601" s="260">
        <v>27.96</v>
      </c>
      <c r="Z601" s="260">
        <v>4.9200000000000017</v>
      </c>
      <c r="AA601" s="260">
        <v>67.12</v>
      </c>
      <c r="AB601" s="261" t="s">
        <v>2670</v>
      </c>
      <c r="AC601" s="260">
        <v>8.0437161163134494</v>
      </c>
      <c r="AD601">
        <f>IF('WetLitterbags placem_collection'!AB162="","",'WetLitterbags placem_collection'!AB162)</f>
        <v>0.8</v>
      </c>
      <c r="AE601">
        <f>IF('WetLitterbags placem_collection'!Z162="","",'WetLitterbags placem_collection'!Z162)</f>
        <v>10.8</v>
      </c>
      <c r="AF601" s="246" t="str">
        <f>IF('WetLitterbags placem_collection'!AA162="","",'WetLitterbags placem_collection'!AA162)</f>
        <v>O</v>
      </c>
      <c r="AG601">
        <f>IF('WetLitterbags placem_collection'!AC162="","",'WetLitterbags placem_collection'!AC162)</f>
        <v>0</v>
      </c>
      <c r="AH601">
        <f>IFERROR(AVERAGE('Dry_Litterbag Placem_Collection'!O162,'Dry_Litterbag Placem_Collection'!R162),"")</f>
        <v>6.25</v>
      </c>
      <c r="AI601" s="271">
        <f>IFERROR(AVERAGE('Dry_Litterbag Placem_Collection'!N162,'Dry_Litterbag Placem_Collection'!Q162),"")</f>
        <v>29.200000000000003</v>
      </c>
      <c r="AJ601" s="270">
        <f>INDEX(Coordinates!$B$2:$B$197,MATCH(G601,Coordinates!$J$2:$J$197,0))</f>
        <v>-2.367547005</v>
      </c>
      <c r="AK601" s="270">
        <f>INDEX(Coordinates!$C$2:$C$197,MATCH(G601,Coordinates!$J$2:$J$197,0))</f>
        <v>34.059494989999997</v>
      </c>
      <c r="AL601" s="270" t="str">
        <f>IF(ISNUMBER(SEARCH("C", 'Dry_Litterbag Placem_Collection'!U162)),"YES","NO")</f>
        <v>NO</v>
      </c>
      <c r="AM601" s="270" t="str">
        <f>IF(ISNUMBER(SEARCH("H", 'Dry_Litterbag Placem_Collection'!U162)),"YES","NO")</f>
        <v>NO</v>
      </c>
      <c r="AN601" s="270" t="str">
        <f>IF(ISNUMBER(SEARCH("R", 'Dry_Litterbag Placem_Collection'!U162)),"YES","NO")</f>
        <v>NO</v>
      </c>
    </row>
    <row r="602" spans="1:40" ht="15" customHeight="1">
      <c r="A602" s="262" t="s">
        <v>2659</v>
      </c>
      <c r="B602" s="263">
        <f>'Dry_Litterbag Placem_Collection'!A163</f>
        <v>161</v>
      </c>
      <c r="C602" s="263" t="str">
        <f>'Dry_Litterbag Placem_Collection'!B163</f>
        <v>Handajega</v>
      </c>
      <c r="D602" s="263" t="s">
        <v>2460</v>
      </c>
      <c r="E602" s="263" t="s">
        <v>2661</v>
      </c>
      <c r="F602" s="263">
        <v>1</v>
      </c>
      <c r="G602" s="264" t="str">
        <f>'Dry_Litterbag Placem_Collection'!C163</f>
        <v>Wet_W1_T1</v>
      </c>
      <c r="H602" s="273" t="s">
        <v>3651</v>
      </c>
      <c r="I602" s="266" t="s">
        <v>1147</v>
      </c>
      <c r="J602" s="263" t="str">
        <f>IF(ISBLANK('Dry_Litterbag Placem_Collection'!L163),"","G"&amp;""&amp;'Dry_Litterbag Placem_Collection'!L163)</f>
        <v>G207</v>
      </c>
      <c r="K602" s="267">
        <f>IFERROR(INDEX('Green_rooibos initial weight'!$C$5:$C$1749,MATCH(J602, 'Green_rooibos initial weight'!$A$5:$A$1749,0)),"")</f>
        <v>2.1539999999999999</v>
      </c>
      <c r="L602" s="267">
        <f>IFERROR(K602-(TBIcalc!$Q$9+TBIcalc!$Q$10),"")</f>
        <v>1.9041999999999999</v>
      </c>
      <c r="M602" s="391">
        <f>AVERAGE(Ashed_controlls!$K$2:$K$11)</f>
        <v>5.5147656768714146</v>
      </c>
      <c r="N602" s="267">
        <f t="shared" si="46"/>
        <v>1.7991878319810144</v>
      </c>
      <c r="O602" s="267">
        <f>IF(IFERROR(INDEX('Both teabags AfterDry'!$D$3:$D$900,MATCH(J602,'Both teabags AfterDry'!$A$3:$A$900,0)),"")="","",(IFERROR(INDEX('Both teabags AfterDry'!$D$3:$D$900,MATCH(J602,'Both teabags AfterDry'!$A$3:$A$900,0)),"")))</f>
        <v>0.76570000000000005</v>
      </c>
      <c r="P602" s="267">
        <f>IFERROR(IF(O602&gt;0,O602-(TBIcalc!$Q$9),""),"")</f>
        <v>0.61509999999999998</v>
      </c>
      <c r="Q602" s="278">
        <f>IFERROR(INDEX('Ashed teabags dry'!$K$2:$K$825,MATCH(J602,'Ashed teabags dry'!$A$2:$A$825,0)),"")</f>
        <v>21.881091617933993</v>
      </c>
      <c r="R602" s="278">
        <f t="shared" si="47"/>
        <v>0.48050940545808796</v>
      </c>
      <c r="S602" s="268">
        <f>'Dry_Litterbag Placem_Collection'!E163</f>
        <v>42940</v>
      </c>
      <c r="T602" s="268">
        <f>IF('Dry_Litterbag Placem_Collection'!G163="","",'Dry_Litterbag Placem_Collection'!G163)</f>
        <v>43009</v>
      </c>
      <c r="U602" s="269">
        <f t="shared" si="45"/>
        <v>69</v>
      </c>
      <c r="V602" s="267">
        <f t="shared" si="48"/>
        <v>1.2890999999999999</v>
      </c>
      <c r="W602" s="267">
        <f t="shared" si="49"/>
        <v>1.3186784265229266</v>
      </c>
      <c r="X602" s="271">
        <f>IFERROR(INDEX(Rainfall_Dry!$O$2:$O$217,MATCH(B602, Rainfall_Dry!$A$2:$A$217,0)),"")</f>
        <v>162.634207253</v>
      </c>
      <c r="Y602" s="260">
        <v>21.96</v>
      </c>
      <c r="Z602" s="260">
        <v>4.9199999999999982</v>
      </c>
      <c r="AA602" s="260">
        <v>73.12</v>
      </c>
      <c r="AB602" s="261" t="s">
        <v>2670</v>
      </c>
      <c r="AC602" s="260">
        <v>1.2416954164613114</v>
      </c>
      <c r="AD602">
        <f>IF('WetLitterbags placem_collection'!AB163="","",'WetLitterbags placem_collection'!AB163)</f>
        <v>7.6</v>
      </c>
      <c r="AE602">
        <f>IF('WetLitterbags placem_collection'!Z163="","",'WetLitterbags placem_collection'!Z163)</f>
        <v>35.799999999999997</v>
      </c>
      <c r="AF602" s="246" t="str">
        <f>IF('WetLitterbags placem_collection'!AA163="","",'WetLitterbags placem_collection'!AA163)</f>
        <v>M</v>
      </c>
      <c r="AG602">
        <f>IF('WetLitterbags placem_collection'!AC163="","",'WetLitterbags placem_collection'!AC163)</f>
        <v>0</v>
      </c>
      <c r="AH602">
        <f>IFERROR(AVERAGE('Dry_Litterbag Placem_Collection'!O163,'Dry_Litterbag Placem_Collection'!R163),"")</f>
        <v>5.65</v>
      </c>
      <c r="AI602" s="271">
        <f>IFERROR(AVERAGE('Dry_Litterbag Placem_Collection'!N163,'Dry_Litterbag Placem_Collection'!Q163),"")</f>
        <v>31.7</v>
      </c>
      <c r="AJ602" s="270">
        <f>INDEX(Coordinates!$B$2:$B$197,MATCH(G602,Coordinates!$J$2:$J$197,0))</f>
        <v>-2.272751033</v>
      </c>
      <c r="AK602" s="270">
        <f>INDEX(Coordinates!$C$2:$C$197,MATCH(G602,Coordinates!$J$2:$J$197,0))</f>
        <v>34.023176030000002</v>
      </c>
      <c r="AL602" s="270" t="str">
        <f>IF(ISNUMBER(SEARCH("C", 'Dry_Litterbag Placem_Collection'!U163)),"YES","NO")</f>
        <v>NO</v>
      </c>
      <c r="AM602" s="270" t="str">
        <f>IF(ISNUMBER(SEARCH("H", 'Dry_Litterbag Placem_Collection'!U163)),"YES","NO")</f>
        <v>NO</v>
      </c>
      <c r="AN602" s="270" t="str">
        <f>IF(ISNUMBER(SEARCH("R", 'Dry_Litterbag Placem_Collection'!U163)),"YES","NO")</f>
        <v>NO</v>
      </c>
    </row>
    <row r="603" spans="1:40" ht="15" customHeight="1">
      <c r="A603" s="262" t="s">
        <v>2659</v>
      </c>
      <c r="B603" s="263">
        <f>'Dry_Litterbag Placem_Collection'!A164</f>
        <v>162</v>
      </c>
      <c r="C603" s="263" t="str">
        <f>'Dry_Litterbag Placem_Collection'!B164</f>
        <v>Handajega</v>
      </c>
      <c r="D603" s="263" t="s">
        <v>2460</v>
      </c>
      <c r="E603" s="263" t="s">
        <v>2661</v>
      </c>
      <c r="F603" s="263">
        <v>1</v>
      </c>
      <c r="G603" s="264" t="str">
        <f>'Dry_Litterbag Placem_Collection'!C164</f>
        <v>Wet_W1_T2</v>
      </c>
      <c r="H603" s="273" t="s">
        <v>3651</v>
      </c>
      <c r="I603" s="266" t="s">
        <v>1147</v>
      </c>
      <c r="J603" s="263" t="str">
        <f>IF(ISBLANK('Dry_Litterbag Placem_Collection'!L164),"","G"&amp;""&amp;'Dry_Litterbag Placem_Collection'!L164)</f>
        <v>G580</v>
      </c>
      <c r="K603" s="267">
        <f>IFERROR(INDEX('Green_rooibos initial weight'!$C$5:$C$1749,MATCH(J603, 'Green_rooibos initial weight'!$A$5:$A$1749,0)),"")</f>
        <v>2.1440000000000001</v>
      </c>
      <c r="L603" s="267">
        <f>IFERROR(K603-(TBIcalc!$Q$9+TBIcalc!$Q$10),"")</f>
        <v>1.8942000000000001</v>
      </c>
      <c r="M603" s="391">
        <f>AVERAGE(Ashed_controlls!$K$2:$K$11)</f>
        <v>5.5147656768714146</v>
      </c>
      <c r="N603" s="267">
        <f t="shared" si="46"/>
        <v>1.7897393085487017</v>
      </c>
      <c r="O603" s="267">
        <f>IF(IFERROR(INDEX('Both teabags AfterDry'!$D$3:$D$900,MATCH(J603,'Both teabags AfterDry'!$A$3:$A$900,0)),"")="","",(IFERROR(INDEX('Both teabags AfterDry'!$D$3:$D$900,MATCH(J603,'Both teabags AfterDry'!$A$3:$A$900,0)),"")))</f>
        <v>0.84409999999999996</v>
      </c>
      <c r="P603" s="267">
        <f>IFERROR(IF(O603&gt;0,O603-(TBIcalc!$Q$9),""),"")</f>
        <v>0.69350000000000001</v>
      </c>
      <c r="Q603" s="278">
        <f>IFERROR(INDEX('Ashed teabags dry'!$K$2:$K$825,MATCH(J603,'Ashed teabags dry'!$A$2:$A$825,0)),"")</f>
        <v>19.492789656887485</v>
      </c>
      <c r="R603" s="278">
        <f t="shared" si="47"/>
        <v>0.5583175037294853</v>
      </c>
      <c r="S603" s="268">
        <f>'Dry_Litterbag Placem_Collection'!E164</f>
        <v>42940</v>
      </c>
      <c r="T603" s="268">
        <f>IF('Dry_Litterbag Placem_Collection'!G164="","",'Dry_Litterbag Placem_Collection'!G164)</f>
        <v>43009</v>
      </c>
      <c r="U603" s="269">
        <f t="shared" si="45"/>
        <v>69</v>
      </c>
      <c r="V603" s="267">
        <f t="shared" si="48"/>
        <v>1.2007000000000001</v>
      </c>
      <c r="W603" s="267">
        <f t="shared" si="49"/>
        <v>1.2314218048192163</v>
      </c>
      <c r="X603" s="271">
        <f>IFERROR(INDEX(Rainfall_Dry!$O$2:$O$217,MATCH(B603, Rainfall_Dry!$A$2:$A$217,0)),"")</f>
        <v>162.634207253</v>
      </c>
      <c r="Y603" s="260">
        <v>21.96</v>
      </c>
      <c r="Z603" s="260">
        <v>4.9199999999999982</v>
      </c>
      <c r="AA603" s="260">
        <v>73.12</v>
      </c>
      <c r="AB603" s="261" t="s">
        <v>2670</v>
      </c>
      <c r="AC603" s="260">
        <v>2.2416954164613099</v>
      </c>
      <c r="AD603">
        <f>IF('WetLitterbags placem_collection'!AB164="","",'WetLitterbags placem_collection'!AB164)</f>
        <v>4.0999999999999996</v>
      </c>
      <c r="AE603">
        <f>IF('WetLitterbags placem_collection'!Z164="","",'WetLitterbags placem_collection'!Z164)</f>
        <v>31.4</v>
      </c>
      <c r="AF603" s="246" t="str">
        <f>IF('WetLitterbags placem_collection'!AA164="","",'WetLitterbags placem_collection'!AA164)</f>
        <v>M</v>
      </c>
      <c r="AG603">
        <f>IF('WetLitterbags placem_collection'!AC164="","",'WetLitterbags placem_collection'!AC164)</f>
        <v>0</v>
      </c>
      <c r="AH603">
        <f>IFERROR(AVERAGE('Dry_Litterbag Placem_Collection'!O164,'Dry_Litterbag Placem_Collection'!R164),"")</f>
        <v>4.4499999999999993</v>
      </c>
      <c r="AI603" s="271">
        <f>IFERROR(AVERAGE('Dry_Litterbag Placem_Collection'!N164,'Dry_Litterbag Placem_Collection'!Q164),"")</f>
        <v>31.650000000000002</v>
      </c>
      <c r="AJ603" s="270">
        <f>INDEX(Coordinates!$B$2:$B$197,MATCH(G603,Coordinates!$J$2:$J$197,0))</f>
        <v>-2.2727060219999999</v>
      </c>
      <c r="AK603" s="270">
        <f>INDEX(Coordinates!$C$2:$C$197,MATCH(G603,Coordinates!$J$2:$J$197,0))</f>
        <v>34.023162030000002</v>
      </c>
      <c r="AL603" s="270" t="str">
        <f>IF(ISNUMBER(SEARCH("C", 'Dry_Litterbag Placem_Collection'!U164)),"YES","NO")</f>
        <v>NO</v>
      </c>
      <c r="AM603" s="270" t="str">
        <f>IF(ISNUMBER(SEARCH("H", 'Dry_Litterbag Placem_Collection'!U164)),"YES","NO")</f>
        <v>NO</v>
      </c>
      <c r="AN603" s="270" t="str">
        <f>IF(ISNUMBER(SEARCH("R", 'Dry_Litterbag Placem_Collection'!U164)),"YES","NO")</f>
        <v>NO</v>
      </c>
    </row>
    <row r="604" spans="1:40" ht="15" customHeight="1">
      <c r="A604" s="262" t="s">
        <v>2659</v>
      </c>
      <c r="B604" s="263">
        <f>'Dry_Litterbag Placem_Collection'!A165</f>
        <v>163</v>
      </c>
      <c r="C604" s="263" t="str">
        <f>'Dry_Litterbag Placem_Collection'!B165</f>
        <v>Handajega</v>
      </c>
      <c r="D604" s="263" t="s">
        <v>2460</v>
      </c>
      <c r="E604" s="263" t="s">
        <v>2661</v>
      </c>
      <c r="F604" s="263">
        <v>1</v>
      </c>
      <c r="G604" s="264" t="str">
        <f>'Dry_Litterbag Placem_Collection'!C165</f>
        <v>Wet_W1_T3</v>
      </c>
      <c r="H604" s="273" t="s">
        <v>3651</v>
      </c>
      <c r="I604" s="266" t="s">
        <v>1147</v>
      </c>
      <c r="J604" s="263" t="str">
        <f>IF(ISBLANK('Dry_Litterbag Placem_Collection'!L165),"","G"&amp;""&amp;'Dry_Litterbag Placem_Collection'!L165)</f>
        <v>G722</v>
      </c>
      <c r="K604" s="267">
        <f>IFERROR(INDEX('Green_rooibos initial weight'!$C$5:$C$1749,MATCH(J604, 'Green_rooibos initial weight'!$A$5:$A$1749,0)),"")</f>
        <v>2.0790000000000002</v>
      </c>
      <c r="L604" s="267">
        <f>IFERROR(K604-(TBIcalc!$Q$9+TBIcalc!$Q$10),"")</f>
        <v>1.8292000000000002</v>
      </c>
      <c r="M604" s="391">
        <f>AVERAGE(Ashed_controlls!$K$2:$K$11)</f>
        <v>5.5147656768714146</v>
      </c>
      <c r="N604" s="267">
        <f t="shared" si="46"/>
        <v>1.7283239062386682</v>
      </c>
      <c r="O604" s="267">
        <f>IF(IFERROR(INDEX('Both teabags AfterDry'!$D$3:$D$900,MATCH(J604,'Both teabags AfterDry'!$A$3:$A$900,0)),"")="","",(IFERROR(INDEX('Both teabags AfterDry'!$D$3:$D$900,MATCH(J604,'Both teabags AfterDry'!$A$3:$A$900,0)),"")))</f>
        <v>0.86109999999999998</v>
      </c>
      <c r="P604" s="267">
        <f>IFERROR(IF(O604&gt;0,O604-(TBIcalc!$Q$9),""),"")</f>
        <v>0.71049999999999991</v>
      </c>
      <c r="Q604" s="278">
        <f>IFERROR(INDEX('Ashed teabags dry'!$K$2:$K$825,MATCH(J604,'Ashed teabags dry'!$A$2:$A$825,0)),"")</f>
        <v>29.172785119922423</v>
      </c>
      <c r="R604" s="278">
        <f t="shared" si="47"/>
        <v>0.50322736172295113</v>
      </c>
      <c r="S604" s="268">
        <f>'Dry_Litterbag Placem_Collection'!E165</f>
        <v>42940</v>
      </c>
      <c r="T604" s="268">
        <f>IF('Dry_Litterbag Placem_Collection'!G165="","",'Dry_Litterbag Placem_Collection'!G165)</f>
        <v>43009</v>
      </c>
      <c r="U604" s="269">
        <f t="shared" si="45"/>
        <v>69</v>
      </c>
      <c r="V604" s="267">
        <f t="shared" si="48"/>
        <v>1.1187000000000002</v>
      </c>
      <c r="W604" s="267">
        <f t="shared" si="49"/>
        <v>1.2250965445157171</v>
      </c>
      <c r="X604" s="271">
        <f>IFERROR(INDEX(Rainfall_Dry!$O$2:$O$217,MATCH(B604, Rainfall_Dry!$A$2:$A$217,0)),"")</f>
        <v>162.634207253</v>
      </c>
      <c r="Y604" s="260">
        <v>21.96</v>
      </c>
      <c r="Z604" s="260">
        <v>4.9199999999999982</v>
      </c>
      <c r="AA604" s="260">
        <v>73.12</v>
      </c>
      <c r="AB604" s="261" t="s">
        <v>2670</v>
      </c>
      <c r="AC604" s="260">
        <v>3.2416954164613099</v>
      </c>
      <c r="AD604">
        <f>IF('WetLitterbags placem_collection'!AB165="","",'WetLitterbags placem_collection'!AB165)</f>
        <v>7.8</v>
      </c>
      <c r="AE604">
        <f>IF('WetLitterbags placem_collection'!Z165="","",'WetLitterbags placem_collection'!Z165)</f>
        <v>28.8</v>
      </c>
      <c r="AF604" s="246" t="str">
        <f>IF('WetLitterbags placem_collection'!AA165="","",'WetLitterbags placem_collection'!AA165)</f>
        <v>M</v>
      </c>
      <c r="AG604">
        <f>IF('WetLitterbags placem_collection'!AC165="","",'WetLitterbags placem_collection'!AC165)</f>
        <v>0</v>
      </c>
      <c r="AH604">
        <f>IFERROR(AVERAGE('Dry_Litterbag Placem_Collection'!O165,'Dry_Litterbag Placem_Collection'!R165),"")</f>
        <v>4.45</v>
      </c>
      <c r="AI604" s="271">
        <f>IFERROR(AVERAGE('Dry_Litterbag Placem_Collection'!N165,'Dry_Litterbag Placem_Collection'!Q165),"")</f>
        <v>32.75</v>
      </c>
      <c r="AJ604" s="270">
        <f>INDEX(Coordinates!$B$2:$B$197,MATCH(G604,Coordinates!$J$2:$J$197,0))</f>
        <v>-2.2726719919999998</v>
      </c>
      <c r="AK604" s="270">
        <f>INDEX(Coordinates!$C$2:$C$197,MATCH(G604,Coordinates!$J$2:$J$197,0))</f>
        <v>34.023210980000002</v>
      </c>
      <c r="AL604" s="270" t="str">
        <f>IF(ISNUMBER(SEARCH("C", 'Dry_Litterbag Placem_Collection'!U165)),"YES","NO")</f>
        <v>NO</v>
      </c>
      <c r="AM604" s="270" t="str">
        <f>IF(ISNUMBER(SEARCH("H", 'Dry_Litterbag Placem_Collection'!U165)),"YES","NO")</f>
        <v>NO</v>
      </c>
      <c r="AN604" s="270" t="str">
        <f>IF(ISNUMBER(SEARCH("R", 'Dry_Litterbag Placem_Collection'!U165)),"YES","NO")</f>
        <v>NO</v>
      </c>
    </row>
    <row r="605" spans="1:40" ht="15" customHeight="1">
      <c r="A605" s="262" t="s">
        <v>2659</v>
      </c>
      <c r="B605" s="263">
        <f>'Dry_Litterbag Placem_Collection'!A166</f>
        <v>164</v>
      </c>
      <c r="C605" s="263" t="str">
        <f>'Dry_Litterbag Placem_Collection'!B166</f>
        <v>Handajega</v>
      </c>
      <c r="D605" s="263" t="s">
        <v>2460</v>
      </c>
      <c r="E605" s="263" t="s">
        <v>2661</v>
      </c>
      <c r="F605" s="263">
        <v>1</v>
      </c>
      <c r="G605" s="264" t="str">
        <f>'Dry_Litterbag Placem_Collection'!C166</f>
        <v>Wet_W1_T4</v>
      </c>
      <c r="H605" s="273" t="s">
        <v>3651</v>
      </c>
      <c r="I605" s="266" t="s">
        <v>1147</v>
      </c>
      <c r="J605" s="263" t="str">
        <f>IF(ISBLANK('Dry_Litterbag Placem_Collection'!L166),"","G"&amp;""&amp;'Dry_Litterbag Placem_Collection'!L166)</f>
        <v>G239</v>
      </c>
      <c r="K605" s="267">
        <f>IFERROR(INDEX('Green_rooibos initial weight'!$C$5:$C$1749,MATCH(J605, 'Green_rooibos initial weight'!$A$5:$A$1749,0)),"")</f>
        <v>2.1019999999999999</v>
      </c>
      <c r="L605" s="267">
        <f>IFERROR(K605-(TBIcalc!$Q$9+TBIcalc!$Q$10),"")</f>
        <v>1.8521999999999998</v>
      </c>
      <c r="M605" s="391">
        <f>AVERAGE(Ashed_controlls!$K$2:$K$11)</f>
        <v>5.5147656768714146</v>
      </c>
      <c r="N605" s="267">
        <f t="shared" si="46"/>
        <v>1.7500555101329875</v>
      </c>
      <c r="O605" s="267">
        <f>IF(IFERROR(INDEX('Both teabags AfterDry'!$D$3:$D$900,MATCH(J605,'Both teabags AfterDry'!$A$3:$A$900,0)),"")="","",(IFERROR(INDEX('Both teabags AfterDry'!$D$3:$D$900,MATCH(J605,'Both teabags AfterDry'!$A$3:$A$900,0)),"")))</f>
        <v>0.73950000000000005</v>
      </c>
      <c r="P605" s="267">
        <f>IFERROR(IF(O605&gt;0,O605-(TBIcalc!$Q$9),""),"")</f>
        <v>0.58889999999999998</v>
      </c>
      <c r="Q605" s="278">
        <f>IFERROR(INDEX('Ashed teabags dry'!$K$2:$K$825,MATCH(J605,'Ashed teabags dry'!$A$2:$A$825,0)),"")</f>
        <v>17.516081147946309</v>
      </c>
      <c r="R605" s="278">
        <f t="shared" si="47"/>
        <v>0.48574779811974417</v>
      </c>
      <c r="S605" s="268">
        <f>'Dry_Litterbag Placem_Collection'!E166</f>
        <v>42940</v>
      </c>
      <c r="T605" s="268">
        <f>IF('Dry_Litterbag Placem_Collection'!G166="","",'Dry_Litterbag Placem_Collection'!G166)</f>
        <v>43009</v>
      </c>
      <c r="U605" s="269">
        <f t="shared" si="45"/>
        <v>69</v>
      </c>
      <c r="V605" s="267">
        <f t="shared" si="48"/>
        <v>1.2632999999999999</v>
      </c>
      <c r="W605" s="267">
        <f t="shared" si="49"/>
        <v>1.2643077120132433</v>
      </c>
      <c r="X605" s="271">
        <f>IFERROR(INDEX(Rainfall_Dry!$O$2:$O$217,MATCH(B605, Rainfall_Dry!$A$2:$A$217,0)),"")</f>
        <v>162.634207253</v>
      </c>
      <c r="Y605" s="260">
        <v>21.96</v>
      </c>
      <c r="Z605" s="260">
        <v>4.9199999999999982</v>
      </c>
      <c r="AA605" s="260">
        <v>73.12</v>
      </c>
      <c r="AB605" s="261" t="s">
        <v>2670</v>
      </c>
      <c r="AC605" s="260">
        <v>4.2416954164613099</v>
      </c>
      <c r="AD605">
        <f>IF('WetLitterbags placem_collection'!AB166="","",'WetLitterbags placem_collection'!AB166)</f>
        <v>9.5</v>
      </c>
      <c r="AE605">
        <f>IF('WetLitterbags placem_collection'!Z166="","",'WetLitterbags placem_collection'!Z166)</f>
        <v>20.8</v>
      </c>
      <c r="AF605" s="246" t="str">
        <f>IF('WetLitterbags placem_collection'!AA166="","",'WetLitterbags placem_collection'!AA166)</f>
        <v>M</v>
      </c>
      <c r="AG605">
        <f>IF('WetLitterbags placem_collection'!AC166="","",'WetLitterbags placem_collection'!AC166)</f>
        <v>0</v>
      </c>
      <c r="AH605">
        <f>IFERROR(AVERAGE('Dry_Litterbag Placem_Collection'!O166,'Dry_Litterbag Placem_Collection'!R166),"")</f>
        <v>5.0500000000000007</v>
      </c>
      <c r="AI605" s="271">
        <f>IFERROR(AVERAGE('Dry_Litterbag Placem_Collection'!N166,'Dry_Litterbag Placem_Collection'!Q166),"")</f>
        <v>31.3</v>
      </c>
      <c r="AJ605" s="270">
        <f>INDEX(Coordinates!$B$2:$B$197,MATCH(G605,Coordinates!$J$2:$J$197,0))</f>
        <v>-2.2726180130000002</v>
      </c>
      <c r="AK605" s="270">
        <f>INDEX(Coordinates!$C$2:$C$197,MATCH(G605,Coordinates!$J$2:$J$197,0))</f>
        <v>34.023212999999998</v>
      </c>
      <c r="AL605" s="270" t="str">
        <f>IF(ISNUMBER(SEARCH("C", 'Dry_Litterbag Placem_Collection'!U166)),"YES","NO")</f>
        <v>NO</v>
      </c>
      <c r="AM605" s="270" t="str">
        <f>IF(ISNUMBER(SEARCH("H", 'Dry_Litterbag Placem_Collection'!U166)),"YES","NO")</f>
        <v>NO</v>
      </c>
      <c r="AN605" s="270" t="str">
        <f>IF(ISNUMBER(SEARCH("R", 'Dry_Litterbag Placem_Collection'!U166)),"YES","NO")</f>
        <v>YES</v>
      </c>
    </row>
    <row r="606" spans="1:40" ht="15" customHeight="1">
      <c r="A606" s="262" t="s">
        <v>2659</v>
      </c>
      <c r="B606" s="263">
        <f>'Dry_Litterbag Placem_Collection'!A167</f>
        <v>165</v>
      </c>
      <c r="C606" s="263" t="str">
        <f>'Dry_Litterbag Placem_Collection'!B167</f>
        <v>Handajega</v>
      </c>
      <c r="D606" s="263" t="s">
        <v>2460</v>
      </c>
      <c r="E606" s="263" t="s">
        <v>2661</v>
      </c>
      <c r="F606" s="263">
        <v>1</v>
      </c>
      <c r="G606" s="264" t="str">
        <f>'Dry_Litterbag Placem_Collection'!C167</f>
        <v>Wet_W1_T5</v>
      </c>
      <c r="H606" s="273" t="s">
        <v>3651</v>
      </c>
      <c r="I606" s="266" t="s">
        <v>1147</v>
      </c>
      <c r="J606" s="263" t="str">
        <f>IF(ISBLANK('Dry_Litterbag Placem_Collection'!L167),"","G"&amp;""&amp;'Dry_Litterbag Placem_Collection'!L167)</f>
        <v>G343</v>
      </c>
      <c r="K606" s="267">
        <f>IFERROR(INDEX('Green_rooibos initial weight'!$C$5:$C$1749,MATCH(J606, 'Green_rooibos initial weight'!$A$5:$A$1749,0)),"")</f>
        <v>1.8340000000000001</v>
      </c>
      <c r="L606" s="267">
        <f>IFERROR(K606-(TBIcalc!$Q$9+TBIcalc!$Q$10),"")</f>
        <v>1.5842000000000001</v>
      </c>
      <c r="M606" s="391">
        <f>AVERAGE(Ashed_controlls!$K$2:$K$11)</f>
        <v>5.5147656768714146</v>
      </c>
      <c r="N606" s="267">
        <f t="shared" si="46"/>
        <v>1.4968350821470031</v>
      </c>
      <c r="O606" s="267">
        <f>IF(IFERROR(INDEX('Both teabags AfterDry'!$D$3:$D$900,MATCH(J606,'Both teabags AfterDry'!$A$3:$A$900,0)),"")="","",(IFERROR(INDEX('Both teabags AfterDry'!$D$3:$D$900,MATCH(J606,'Both teabags AfterDry'!$A$3:$A$900,0)),"")))</f>
        <v>0.68059999999999998</v>
      </c>
      <c r="P606" s="267">
        <f>IFERROR(IF(O606&gt;0,O606-(TBIcalc!$Q$9),""),"")</f>
        <v>0.53</v>
      </c>
      <c r="Q606" s="278">
        <f>IFERROR(INDEX('Ashed teabags dry'!$K$2:$K$825,MATCH(J606,'Ashed teabags dry'!$A$2:$A$825,0)),"")</f>
        <v>16.867469879518342</v>
      </c>
      <c r="R606" s="278">
        <f t="shared" si="47"/>
        <v>0.44060240963855279</v>
      </c>
      <c r="S606" s="268">
        <f>'Dry_Litterbag Placem_Collection'!E167</f>
        <v>42940</v>
      </c>
      <c r="T606" s="268">
        <f>IF('Dry_Litterbag Placem_Collection'!G167="","",'Dry_Litterbag Placem_Collection'!G167)</f>
        <v>43009</v>
      </c>
      <c r="U606" s="269">
        <f t="shared" si="45"/>
        <v>69</v>
      </c>
      <c r="V606" s="267">
        <f t="shared" si="48"/>
        <v>1.0542</v>
      </c>
      <c r="W606" s="267">
        <f t="shared" si="49"/>
        <v>1.0562326725084503</v>
      </c>
      <c r="X606" s="271">
        <f>IFERROR(INDEX(Rainfall_Dry!$O$2:$O$217,MATCH(B606, Rainfall_Dry!$A$2:$A$217,0)),"")</f>
        <v>162.634207253</v>
      </c>
      <c r="Y606" s="260">
        <v>21.96</v>
      </c>
      <c r="Z606" s="260">
        <v>4.9199999999999982</v>
      </c>
      <c r="AA606" s="260">
        <v>73.12</v>
      </c>
      <c r="AB606" s="261" t="s">
        <v>2670</v>
      </c>
      <c r="AC606" s="260">
        <v>5.2416954164613099</v>
      </c>
      <c r="AD606">
        <f>IF('WetLitterbags placem_collection'!AB167="","",'WetLitterbags placem_collection'!AB167)</f>
        <v>10.4</v>
      </c>
      <c r="AE606">
        <f>IF('WetLitterbags placem_collection'!Z167="","",'WetLitterbags placem_collection'!Z167)</f>
        <v>13.8</v>
      </c>
      <c r="AF606" s="246" t="str">
        <f>IF('WetLitterbags placem_collection'!AA167="","",'WetLitterbags placem_collection'!AA167)</f>
        <v>M</v>
      </c>
      <c r="AG606">
        <f>IF('WetLitterbags placem_collection'!AC167="","",'WetLitterbags placem_collection'!AC167)</f>
        <v>0</v>
      </c>
      <c r="AH606">
        <f>IFERROR(AVERAGE('Dry_Litterbag Placem_Collection'!O167,'Dry_Litterbag Placem_Collection'!R167),"")</f>
        <v>5.3000000000000007</v>
      </c>
      <c r="AI606" s="271">
        <f>IFERROR(AVERAGE('Dry_Litterbag Placem_Collection'!N167,'Dry_Litterbag Placem_Collection'!Q167),"")</f>
        <v>32.049999999999997</v>
      </c>
      <c r="AJ606" s="270">
        <f>INDEX(Coordinates!$B$2:$B$197,MATCH(G606,Coordinates!$J$2:$J$197,0))</f>
        <v>-2.2724750170000001</v>
      </c>
      <c r="AK606" s="270">
        <f>INDEX(Coordinates!$C$2:$C$197,MATCH(G606,Coordinates!$J$2:$J$197,0))</f>
        <v>34.02334501</v>
      </c>
      <c r="AL606" s="270" t="str">
        <f>IF(ISNUMBER(SEARCH("C", 'Dry_Litterbag Placem_Collection'!U167)),"YES","NO")</f>
        <v>NO</v>
      </c>
      <c r="AM606" s="270" t="str">
        <f>IF(ISNUMBER(SEARCH("H", 'Dry_Litterbag Placem_Collection'!U167)),"YES","NO")</f>
        <v>NO</v>
      </c>
      <c r="AN606" s="270" t="str">
        <f>IF(ISNUMBER(SEARCH("R", 'Dry_Litterbag Placem_Collection'!U167)),"YES","NO")</f>
        <v>NO</v>
      </c>
    </row>
    <row r="607" spans="1:40" ht="15" customHeight="1">
      <c r="A607" s="262" t="s">
        <v>2659</v>
      </c>
      <c r="B607" s="263">
        <f>'Dry_Litterbag Placem_Collection'!A168</f>
        <v>166</v>
      </c>
      <c r="C607" s="263" t="str">
        <f>'Dry_Litterbag Placem_Collection'!B168</f>
        <v>Handajega</v>
      </c>
      <c r="D607" s="263" t="s">
        <v>2460</v>
      </c>
      <c r="E607" s="263" t="s">
        <v>2661</v>
      </c>
      <c r="F607" s="263">
        <v>1</v>
      </c>
      <c r="G607" s="264" t="str">
        <f>'Dry_Litterbag Placem_Collection'!C168</f>
        <v>Wet_W1_T6</v>
      </c>
      <c r="H607" s="273" t="s">
        <v>3651</v>
      </c>
      <c r="I607" s="266" t="s">
        <v>1147</v>
      </c>
      <c r="J607" s="263" t="str">
        <f>IF(ISBLANK('Dry_Litterbag Placem_Collection'!L168),"","G"&amp;""&amp;'Dry_Litterbag Placem_Collection'!L168)</f>
        <v>G409</v>
      </c>
      <c r="K607" s="267">
        <f>IFERROR(INDEX('Green_rooibos initial weight'!$C$5:$C$1749,MATCH(J607, 'Green_rooibos initial weight'!$A$5:$A$1749,0)),"")</f>
        <v>1.968</v>
      </c>
      <c r="L607" s="267">
        <f>IFERROR(K607-(TBIcalc!$Q$9+TBIcalc!$Q$10),"")</f>
        <v>1.7181999999999999</v>
      </c>
      <c r="M607" s="391">
        <f>AVERAGE(Ashed_controlls!$K$2:$K$11)</f>
        <v>5.5147656768714146</v>
      </c>
      <c r="N607" s="267">
        <f t="shared" si="46"/>
        <v>1.6234452961399952</v>
      </c>
      <c r="O607" s="267">
        <f>IF(IFERROR(INDEX('Both teabags AfterDry'!$D$3:$D$900,MATCH(J607,'Both teabags AfterDry'!$A$3:$A$900,0)),"")="","",(IFERROR(INDEX('Both teabags AfterDry'!$D$3:$D$900,MATCH(J607,'Both teabags AfterDry'!$A$3:$A$900,0)),"")))</f>
        <v>0.77039999999999997</v>
      </c>
      <c r="P607" s="267">
        <f>IFERROR(IF(O607&gt;0,O607-(TBIcalc!$Q$9),""),"")</f>
        <v>0.61979999999999991</v>
      </c>
      <c r="Q607" s="278">
        <f>IFERROR(INDEX('Ashed teabags dry'!$K$2:$K$825,MATCH(J607,'Ashed teabags dry'!$A$2:$A$825,0)),"")</f>
        <v>23.019571295433156</v>
      </c>
      <c r="R607" s="278">
        <f t="shared" si="47"/>
        <v>0.47712469711090522</v>
      </c>
      <c r="S607" s="268">
        <f>'Dry_Litterbag Placem_Collection'!E168</f>
        <v>42940</v>
      </c>
      <c r="T607" s="268">
        <f>IF('Dry_Litterbag Placem_Collection'!G168="","",'Dry_Litterbag Placem_Collection'!G168)</f>
        <v>43009</v>
      </c>
      <c r="U607" s="269">
        <f t="shared" si="45"/>
        <v>69</v>
      </c>
      <c r="V607" s="267">
        <f t="shared" si="48"/>
        <v>1.0984</v>
      </c>
      <c r="W607" s="267">
        <f t="shared" si="49"/>
        <v>1.1463205990290901</v>
      </c>
      <c r="X607" s="271">
        <f>IFERROR(INDEX(Rainfall_Dry!$O$2:$O$217,MATCH(B607, Rainfall_Dry!$A$2:$A$217,0)),"")</f>
        <v>162.634207253</v>
      </c>
      <c r="Y607" s="260">
        <v>21.96</v>
      </c>
      <c r="Z607" s="260">
        <v>4.9199999999999982</v>
      </c>
      <c r="AA607" s="260">
        <v>73.12</v>
      </c>
      <c r="AB607" s="261" t="s">
        <v>2670</v>
      </c>
      <c r="AC607" s="260">
        <v>6.2416954164613099</v>
      </c>
      <c r="AD607">
        <f>IF('WetLitterbags placem_collection'!AB168="","",'WetLitterbags placem_collection'!AB168)</f>
        <v>2.1</v>
      </c>
      <c r="AE607">
        <f>IF('WetLitterbags placem_collection'!Z168="","",'WetLitterbags placem_collection'!Z168)</f>
        <v>4.7</v>
      </c>
      <c r="AF607" s="246" t="str">
        <f>IF('WetLitterbags placem_collection'!AA168="","",'WetLitterbags placem_collection'!AA168)</f>
        <v>M</v>
      </c>
      <c r="AG607">
        <f>IF('WetLitterbags placem_collection'!AC168="","",'WetLitterbags placem_collection'!AC168)</f>
        <v>0</v>
      </c>
      <c r="AH607">
        <f>IFERROR(AVERAGE('Dry_Litterbag Placem_Collection'!O168,'Dry_Litterbag Placem_Collection'!R168),"")</f>
        <v>5.15</v>
      </c>
      <c r="AI607" s="271">
        <f>IFERROR(AVERAGE('Dry_Litterbag Placem_Collection'!N168,'Dry_Litterbag Placem_Collection'!Q168),"")</f>
        <v>33.25</v>
      </c>
      <c r="AJ607" s="270">
        <f>INDEX(Coordinates!$B$2:$B$197,MATCH(G607,Coordinates!$J$2:$J$197,0))</f>
        <v>-2.2725490289999999</v>
      </c>
      <c r="AK607" s="270">
        <f>INDEX(Coordinates!$C$2:$C$197,MATCH(G607,Coordinates!$J$2:$J$197,0))</f>
        <v>34.022886020000001</v>
      </c>
      <c r="AL607" s="270" t="str">
        <f>IF(ISNUMBER(SEARCH("C", 'Dry_Litterbag Placem_Collection'!U168)),"YES","NO")</f>
        <v>NO</v>
      </c>
      <c r="AM607" s="270" t="str">
        <f>IF(ISNUMBER(SEARCH("H", 'Dry_Litterbag Placem_Collection'!U168)),"YES","NO")</f>
        <v>NO</v>
      </c>
      <c r="AN607" s="270" t="str">
        <f>IF(ISNUMBER(SEARCH("R", 'Dry_Litterbag Placem_Collection'!U168)),"YES","NO")</f>
        <v>NO</v>
      </c>
    </row>
    <row r="608" spans="1:40" ht="15" customHeight="1">
      <c r="A608" s="262" t="s">
        <v>2659</v>
      </c>
      <c r="B608" s="263">
        <f>'Dry_Litterbag Placem_Collection'!A169</f>
        <v>167</v>
      </c>
      <c r="C608" s="263" t="str">
        <f>'Dry_Litterbag Placem_Collection'!B169</f>
        <v>Handajega</v>
      </c>
      <c r="D608" s="263" t="s">
        <v>2460</v>
      </c>
      <c r="E608" s="263" t="s">
        <v>2661</v>
      </c>
      <c r="F608" s="263">
        <v>1</v>
      </c>
      <c r="G608" s="264" t="str">
        <f>'Dry_Litterbag Placem_Collection'!C169</f>
        <v>Wet_W1_T7</v>
      </c>
      <c r="H608" s="273" t="s">
        <v>3651</v>
      </c>
      <c r="I608" s="266" t="s">
        <v>1147</v>
      </c>
      <c r="J608" s="263" t="str">
        <f>IF(ISBLANK('Dry_Litterbag Placem_Collection'!L169),"","G"&amp;""&amp;'Dry_Litterbag Placem_Collection'!L169)</f>
        <v/>
      </c>
      <c r="K608" s="267" t="str">
        <f>IFERROR(INDEX('Green_rooibos initial weight'!$C$5:$C$1749,MATCH(J608, 'Green_rooibos initial weight'!$A$5:$A$1749,0)),"")</f>
        <v/>
      </c>
      <c r="L608" s="267" t="str">
        <f>IFERROR(K608-(TBIcalc!$Q$9+TBIcalc!$Q$10),"")</f>
        <v/>
      </c>
      <c r="M608" s="391">
        <f>AVERAGE(Ashed_controlls!$K$2:$K$11)</f>
        <v>5.5147656768714146</v>
      </c>
      <c r="N608" s="267" t="str">
        <f t="shared" si="46"/>
        <v/>
      </c>
      <c r="O608" s="267" t="str">
        <f>IF(IFERROR(INDEX('Both teabags AfterDry'!$D$3:$D$900,MATCH(J608,'Both teabags AfterDry'!$A$3:$A$900,0)),"")="","",(IFERROR(INDEX('Both teabags AfterDry'!$D$3:$D$900,MATCH(J608,'Both teabags AfterDry'!$A$3:$A$900,0)),"")))</f>
        <v/>
      </c>
      <c r="P608" s="267" t="str">
        <f>IFERROR(IF(O608&gt;0,O608-(TBIcalc!$Q$9),""),"")</f>
        <v/>
      </c>
      <c r="Q608" s="278" t="str">
        <f>IFERROR(INDEX('Ashed teabags dry'!$K$2:$K$825,MATCH(J608,'Ashed teabags dry'!$A$2:$A$825,0)),"")</f>
        <v/>
      </c>
      <c r="R608" s="278" t="str">
        <f t="shared" si="47"/>
        <v/>
      </c>
      <c r="S608" s="268">
        <f>'Dry_Litterbag Placem_Collection'!E169</f>
        <v>0</v>
      </c>
      <c r="T608" s="268" t="str">
        <f>IF('Dry_Litterbag Placem_Collection'!G169="","",'Dry_Litterbag Placem_Collection'!G169)</f>
        <v/>
      </c>
      <c r="U608" s="269" t="str">
        <f t="shared" si="45"/>
        <v/>
      </c>
      <c r="V608" s="267" t="str">
        <f t="shared" si="48"/>
        <v/>
      </c>
      <c r="W608" s="267" t="str">
        <f t="shared" si="49"/>
        <v/>
      </c>
      <c r="X608" s="271" t="str">
        <f>IFERROR(INDEX(Rainfall_Dry!$O$2:$O$217,MATCH(B608, Rainfall_Dry!$A$2:$A$217,0)),"")</f>
        <v/>
      </c>
      <c r="Y608" s="260">
        <v>21.96</v>
      </c>
      <c r="Z608" s="260">
        <v>4.9199999999999982</v>
      </c>
      <c r="AA608" s="260">
        <v>73.12</v>
      </c>
      <c r="AB608" s="261" t="s">
        <v>2670</v>
      </c>
      <c r="AC608" s="260">
        <v>7.2416954164613099</v>
      </c>
      <c r="AD608">
        <f>IF('WetLitterbags placem_collection'!AB169="","",'WetLitterbags placem_collection'!AB169)</f>
        <v>5.6</v>
      </c>
      <c r="AE608">
        <f>IF('WetLitterbags placem_collection'!Z169="","",'WetLitterbags placem_collection'!Z169)</f>
        <v>4.2</v>
      </c>
      <c r="AF608" s="246" t="str">
        <f>IF('WetLitterbags placem_collection'!AA169="","",'WetLitterbags placem_collection'!AA169)</f>
        <v>M</v>
      </c>
      <c r="AG608">
        <f>IF('WetLitterbags placem_collection'!AC169="","",'WetLitterbags placem_collection'!AC169)</f>
        <v>1</v>
      </c>
      <c r="AH608" t="str">
        <f>IFERROR(AVERAGE('Dry_Litterbag Placem_Collection'!O169,'Dry_Litterbag Placem_Collection'!R169),"")</f>
        <v/>
      </c>
      <c r="AI608" s="271" t="str">
        <f>IFERROR(AVERAGE('Dry_Litterbag Placem_Collection'!N169,'Dry_Litterbag Placem_Collection'!Q169),"")</f>
        <v/>
      </c>
      <c r="AJ608" s="270">
        <f>INDEX(Coordinates!$B$2:$B$197,MATCH(G608,Coordinates!$J$2:$J$197,0))</f>
        <v>-2.2729950310000002</v>
      </c>
      <c r="AK608" s="270">
        <f>INDEX(Coordinates!$C$2:$C$197,MATCH(G608,Coordinates!$J$2:$J$197,0))</f>
        <v>34.022923990000002</v>
      </c>
      <c r="AL608" s="270" t="str">
        <f>IF(ISNUMBER(SEARCH("C", 'Dry_Litterbag Placem_Collection'!U169)),"YES","NO")</f>
        <v>NO</v>
      </c>
      <c r="AM608" s="270" t="str">
        <f>IF(ISNUMBER(SEARCH("H", 'Dry_Litterbag Placem_Collection'!U169)),"YES","NO")</f>
        <v>NO</v>
      </c>
      <c r="AN608" s="270" t="str">
        <f>IF(ISNUMBER(SEARCH("R", 'Dry_Litterbag Placem_Collection'!U169)),"YES","NO")</f>
        <v>NO</v>
      </c>
    </row>
    <row r="609" spans="1:40" ht="15" customHeight="1">
      <c r="A609" s="262" t="s">
        <v>2659</v>
      </c>
      <c r="B609" s="263">
        <f>'Dry_Litterbag Placem_Collection'!A170</f>
        <v>168</v>
      </c>
      <c r="C609" s="263" t="str">
        <f>'Dry_Litterbag Placem_Collection'!B170</f>
        <v>Handajega</v>
      </c>
      <c r="D609" s="263" t="s">
        <v>2460</v>
      </c>
      <c r="E609" s="263" t="s">
        <v>2661</v>
      </c>
      <c r="F609" s="263">
        <v>1</v>
      </c>
      <c r="G609" s="264" t="str">
        <f>'Dry_Litterbag Placem_Collection'!C170</f>
        <v>Wet_W1_T8</v>
      </c>
      <c r="H609" s="273" t="s">
        <v>3651</v>
      </c>
      <c r="I609" s="266" t="s">
        <v>1147</v>
      </c>
      <c r="J609" s="263" t="str">
        <f>IF(ISBLANK('Dry_Litterbag Placem_Collection'!L170),"","G"&amp;""&amp;'Dry_Litterbag Placem_Collection'!L170)</f>
        <v>G304</v>
      </c>
      <c r="K609" s="267">
        <f>IFERROR(INDEX('Green_rooibos initial weight'!$C$5:$C$1749,MATCH(J609, 'Green_rooibos initial weight'!$A$5:$A$1749,0)),"")</f>
        <v>1.9490000000000001</v>
      </c>
      <c r="L609" s="267">
        <f>IFERROR(K609-(TBIcalc!$Q$9+TBIcalc!$Q$10),"")</f>
        <v>1.6992</v>
      </c>
      <c r="M609" s="391">
        <f>AVERAGE(Ashed_controlls!$K$2:$K$11)</f>
        <v>5.5147656768714146</v>
      </c>
      <c r="N609" s="267">
        <f t="shared" si="46"/>
        <v>1.6054931016186009</v>
      </c>
      <c r="O609" s="267" t="str">
        <f>IF(IFERROR(INDEX('Both teabags AfterDry'!$D$3:$D$900,MATCH(J609,'Both teabags AfterDry'!$A$3:$A$900,0)),"")="","",(IFERROR(INDEX('Both teabags AfterDry'!$D$3:$D$900,MATCH(J609,'Both teabags AfterDry'!$A$3:$A$900,0)),"")))</f>
        <v/>
      </c>
      <c r="P609" s="267" t="str">
        <f>IFERROR(IF(O609&gt;0,O609-(TBIcalc!$Q$9),""),"")</f>
        <v/>
      </c>
      <c r="Q609" s="278" t="str">
        <f>IFERROR(INDEX('Ashed teabags dry'!$K$2:$K$825,MATCH(J609,'Ashed teabags dry'!$A$2:$A$825,0)),"")</f>
        <v/>
      </c>
      <c r="R609" s="278" t="str">
        <f t="shared" si="47"/>
        <v/>
      </c>
      <c r="S609" s="268">
        <f>'Dry_Litterbag Placem_Collection'!E170</f>
        <v>42940</v>
      </c>
      <c r="T609" s="268">
        <f>IF('Dry_Litterbag Placem_Collection'!G170="","",'Dry_Litterbag Placem_Collection'!G170)</f>
        <v>43009</v>
      </c>
      <c r="U609" s="269">
        <f t="shared" si="45"/>
        <v>69</v>
      </c>
      <c r="V609" s="267" t="str">
        <f t="shared" si="48"/>
        <v/>
      </c>
      <c r="W609" s="267" t="str">
        <f t="shared" si="49"/>
        <v/>
      </c>
      <c r="X609" s="271">
        <f>IFERROR(INDEX(Rainfall_Dry!$O$2:$O$217,MATCH(B609, Rainfall_Dry!$A$2:$A$217,0)),"")</f>
        <v>162.634207253</v>
      </c>
      <c r="Y609" s="260">
        <v>21.96</v>
      </c>
      <c r="Z609" s="260">
        <v>4.9199999999999982</v>
      </c>
      <c r="AA609" s="260">
        <v>73.12</v>
      </c>
      <c r="AB609" s="261" t="s">
        <v>2670</v>
      </c>
      <c r="AC609" s="260">
        <v>8.2416954164613099</v>
      </c>
      <c r="AD609">
        <f>IF('WetLitterbags placem_collection'!AB170="","",'WetLitterbags placem_collection'!AB170)</f>
        <v>2.4</v>
      </c>
      <c r="AE609">
        <f>IF('WetLitterbags placem_collection'!Z170="","",'WetLitterbags placem_collection'!Z170)</f>
        <v>46</v>
      </c>
      <c r="AF609" s="246" t="str">
        <f>IF('WetLitterbags placem_collection'!AA170="","",'WetLitterbags placem_collection'!AA170)</f>
        <v>M</v>
      </c>
      <c r="AG609">
        <f>IF('WetLitterbags placem_collection'!AC170="","",'WetLitterbags placem_collection'!AC170)</f>
        <v>0</v>
      </c>
      <c r="AH609">
        <f>IFERROR(AVERAGE('Dry_Litterbag Placem_Collection'!O170,'Dry_Litterbag Placem_Collection'!R170),"")</f>
        <v>4.0999999999999996</v>
      </c>
      <c r="AI609" s="271">
        <f>IFERROR(AVERAGE('Dry_Litterbag Placem_Collection'!N170,'Dry_Litterbag Placem_Collection'!Q170),"")</f>
        <v>30.15</v>
      </c>
      <c r="AJ609" s="270">
        <f>INDEX(Coordinates!$B$2:$B$197,MATCH(G609,Coordinates!$J$2:$J$197,0))</f>
        <v>-2.2729129719999999</v>
      </c>
      <c r="AK609" s="270">
        <f>INDEX(Coordinates!$C$2:$C$197,MATCH(G609,Coordinates!$J$2:$J$197,0))</f>
        <v>34.023350039999997</v>
      </c>
      <c r="AL609" s="270" t="str">
        <f>IF(ISNUMBER(SEARCH("C", 'Dry_Litterbag Placem_Collection'!U170)),"YES","NO")</f>
        <v>NO</v>
      </c>
      <c r="AM609" s="270" t="str">
        <f>IF(ISNUMBER(SEARCH("H", 'Dry_Litterbag Placem_Collection'!U170)),"YES","NO")</f>
        <v>NO</v>
      </c>
      <c r="AN609" s="270" t="str">
        <f>IF(ISNUMBER(SEARCH("R", 'Dry_Litterbag Placem_Collection'!U170)),"YES","NO")</f>
        <v>NO</v>
      </c>
    </row>
    <row r="610" spans="1:40" ht="15" customHeight="1">
      <c r="A610" s="262" t="s">
        <v>2659</v>
      </c>
      <c r="B610" s="263">
        <f>'Dry_Litterbag Placem_Collection'!A171</f>
        <v>169</v>
      </c>
      <c r="C610" s="263" t="str">
        <f>'Dry_Litterbag Placem_Collection'!B171</f>
        <v>Handajega</v>
      </c>
      <c r="D610" s="263" t="s">
        <v>2460</v>
      </c>
      <c r="E610" s="263" t="s">
        <v>2661</v>
      </c>
      <c r="F610" s="263">
        <v>2</v>
      </c>
      <c r="G610" s="264" t="str">
        <f>'Dry_Litterbag Placem_Collection'!C171</f>
        <v>Wet_W2_T1</v>
      </c>
      <c r="H610" s="273" t="s">
        <v>3651</v>
      </c>
      <c r="I610" s="266" t="s">
        <v>1147</v>
      </c>
      <c r="J610" s="263" t="str">
        <f>IF(ISBLANK('Dry_Litterbag Placem_Collection'!L171),"","G"&amp;""&amp;'Dry_Litterbag Placem_Collection'!L171)</f>
        <v>G135</v>
      </c>
      <c r="K610" s="267">
        <f>IFERROR(INDEX('Green_rooibos initial weight'!$C$5:$C$1749,MATCH(J610, 'Green_rooibos initial weight'!$A$5:$A$1749,0)),"")</f>
        <v>2.0049999999999999</v>
      </c>
      <c r="L610" s="267">
        <f>IFERROR(K610-(TBIcalc!$Q$9+TBIcalc!$Q$10),"")</f>
        <v>1.7551999999999999</v>
      </c>
      <c r="M610" s="391">
        <f>AVERAGE(Ashed_controlls!$K$2:$K$11)</f>
        <v>5.5147656768714146</v>
      </c>
      <c r="N610" s="267">
        <f t="shared" si="46"/>
        <v>1.6584048328395529</v>
      </c>
      <c r="O610" s="267">
        <f>IF(IFERROR(INDEX('Both teabags AfterDry'!$D$3:$D$900,MATCH(J610,'Both teabags AfterDry'!$A$3:$A$900,0)),"")="","",(IFERROR(INDEX('Both teabags AfterDry'!$D$3:$D$900,MATCH(J610,'Both teabags AfterDry'!$A$3:$A$900,0)),"")))</f>
        <v>0.78129999999999999</v>
      </c>
      <c r="P610" s="267">
        <f>IFERROR(IF(O610&gt;0,O610-(TBIcalc!$Q$9),""),"")</f>
        <v>0.63070000000000004</v>
      </c>
      <c r="Q610" s="278">
        <f>IFERROR(INDEX('Ashed teabags dry'!$K$2:$K$825,MATCH(J610,'Ashed teabags dry'!$A$2:$A$825,0)),"")</f>
        <v>21.873514027579272</v>
      </c>
      <c r="R610" s="278">
        <f t="shared" si="47"/>
        <v>0.49274374702805757</v>
      </c>
      <c r="S610" s="268">
        <f>'Dry_Litterbag Placem_Collection'!E171</f>
        <v>42940</v>
      </c>
      <c r="T610" s="268">
        <f>IF('Dry_Litterbag Placem_Collection'!G171="","",'Dry_Litterbag Placem_Collection'!G171)</f>
        <v>43009</v>
      </c>
      <c r="U610" s="269">
        <f t="shared" si="45"/>
        <v>69</v>
      </c>
      <c r="V610" s="267">
        <f t="shared" si="48"/>
        <v>1.1244999999999998</v>
      </c>
      <c r="W610" s="267">
        <f t="shared" si="49"/>
        <v>1.1656610858114953</v>
      </c>
      <c r="X610" s="271">
        <f>IFERROR(INDEX(Rainfall_Dry!$O$2:$O$217,MATCH(B610, Rainfall_Dry!$A$2:$A$217,0)),"")</f>
        <v>162.634207253</v>
      </c>
      <c r="Y610" s="260">
        <v>23.96</v>
      </c>
      <c r="Z610" s="260">
        <v>4.9199999999999982</v>
      </c>
      <c r="AA610" s="260">
        <v>71.12</v>
      </c>
      <c r="AB610" s="261" t="s">
        <v>2670</v>
      </c>
      <c r="AC610" s="260">
        <v>3.30913750616067</v>
      </c>
      <c r="AD610">
        <f>IF('WetLitterbags placem_collection'!AB171="","",'WetLitterbags placem_collection'!AB171)</f>
        <v>8.1999999999999993</v>
      </c>
      <c r="AE610">
        <f>IF('WetLitterbags placem_collection'!Z171="","",'WetLitterbags placem_collection'!Z171)</f>
        <v>11.4</v>
      </c>
      <c r="AF610" s="246" t="str">
        <f>IF('WetLitterbags placem_collection'!AA171="","",'WetLitterbags placem_collection'!AA171)</f>
        <v>O</v>
      </c>
      <c r="AG610">
        <f>IF('WetLitterbags placem_collection'!AC171="","",'WetLitterbags placem_collection'!AC171)</f>
        <v>1</v>
      </c>
      <c r="AH610">
        <f>IFERROR(AVERAGE('Dry_Litterbag Placem_Collection'!O171,'Dry_Litterbag Placem_Collection'!R171),"")</f>
        <v>6.65</v>
      </c>
      <c r="AI610" s="271">
        <f>IFERROR(AVERAGE('Dry_Litterbag Placem_Collection'!N171,'Dry_Litterbag Placem_Collection'!Q171),"")</f>
        <v>35.049999999999997</v>
      </c>
      <c r="AJ610" s="270">
        <f>INDEX(Coordinates!$B$2:$B$197,MATCH(G610,Coordinates!$J$2:$J$197,0))</f>
        <v>-2.2784290180000002</v>
      </c>
      <c r="AK610" s="270">
        <f>INDEX(Coordinates!$C$2:$C$197,MATCH(G610,Coordinates!$J$2:$J$197,0))</f>
        <v>34.024240030000001</v>
      </c>
      <c r="AL610" s="270" t="str">
        <f>IF(ISNUMBER(SEARCH("C", 'Dry_Litterbag Placem_Collection'!U171)),"YES","NO")</f>
        <v>NO</v>
      </c>
      <c r="AM610" s="270" t="str">
        <f>IF(ISNUMBER(SEARCH("H", 'Dry_Litterbag Placem_Collection'!U171)),"YES","NO")</f>
        <v>NO</v>
      </c>
      <c r="AN610" s="270" t="str">
        <f>IF(ISNUMBER(SEARCH("R", 'Dry_Litterbag Placem_Collection'!U171)),"YES","NO")</f>
        <v>YES</v>
      </c>
    </row>
    <row r="611" spans="1:40" ht="15" customHeight="1">
      <c r="A611" s="262" t="s">
        <v>2659</v>
      </c>
      <c r="B611" s="263">
        <f>'Dry_Litterbag Placem_Collection'!A172</f>
        <v>170</v>
      </c>
      <c r="C611" s="263" t="str">
        <f>'Dry_Litterbag Placem_Collection'!B172</f>
        <v>Handajega</v>
      </c>
      <c r="D611" s="263" t="s">
        <v>2460</v>
      </c>
      <c r="E611" s="263" t="s">
        <v>2661</v>
      </c>
      <c r="F611" s="263">
        <v>2</v>
      </c>
      <c r="G611" s="264" t="str">
        <f>'Dry_Litterbag Placem_Collection'!C172</f>
        <v>Wet_W2_T2</v>
      </c>
      <c r="H611" s="273" t="s">
        <v>3651</v>
      </c>
      <c r="I611" s="266" t="s">
        <v>1147</v>
      </c>
      <c r="J611" s="263" t="str">
        <f>IF(ISBLANK('Dry_Litterbag Placem_Collection'!L172),"","G"&amp;""&amp;'Dry_Litterbag Placem_Collection'!L172)</f>
        <v>G515</v>
      </c>
      <c r="K611" s="267">
        <f>IFERROR(INDEX('Green_rooibos initial weight'!$C$5:$C$1749,MATCH(J611, 'Green_rooibos initial weight'!$A$5:$A$1749,0)),"")</f>
        <v>1.9890000000000001</v>
      </c>
      <c r="L611" s="267">
        <f>IFERROR(K611-(TBIcalc!$Q$9+TBIcalc!$Q$10),"")</f>
        <v>1.7392000000000001</v>
      </c>
      <c r="M611" s="391">
        <f>AVERAGE(Ashed_controlls!$K$2:$K$11)</f>
        <v>5.5147656768714146</v>
      </c>
      <c r="N611" s="267">
        <f t="shared" si="46"/>
        <v>1.6432871953478525</v>
      </c>
      <c r="O611" s="267">
        <f>IF(IFERROR(INDEX('Both teabags AfterDry'!$D$3:$D$900,MATCH(J611,'Both teabags AfterDry'!$A$3:$A$900,0)),"")="","",(IFERROR(INDEX('Both teabags AfterDry'!$D$3:$D$900,MATCH(J611,'Both teabags AfterDry'!$A$3:$A$900,0)),"")))</f>
        <v>0.77959999999999996</v>
      </c>
      <c r="P611" s="267">
        <f>IFERROR(IF(O611&gt;0,O611-(TBIcalc!$Q$9),""),"")</f>
        <v>0.629</v>
      </c>
      <c r="Q611" s="278">
        <f>IFERROR(INDEX('Ashed teabags dry'!$K$2:$K$825,MATCH(J611,'Ashed teabags dry'!$A$2:$A$825,0)),"")</f>
        <v>24.595469255663417</v>
      </c>
      <c r="R611" s="278">
        <f t="shared" si="47"/>
        <v>0.47429449838187709</v>
      </c>
      <c r="S611" s="268">
        <f>'Dry_Litterbag Placem_Collection'!E172</f>
        <v>42940</v>
      </c>
      <c r="T611" s="268">
        <f>IF('Dry_Litterbag Placem_Collection'!G172="","",'Dry_Litterbag Placem_Collection'!G172)</f>
        <v>43009</v>
      </c>
      <c r="U611" s="269">
        <f t="shared" si="45"/>
        <v>69</v>
      </c>
      <c r="V611" s="267">
        <f t="shared" si="48"/>
        <v>1.1102000000000001</v>
      </c>
      <c r="W611" s="267">
        <f t="shared" si="49"/>
        <v>1.1689926969659754</v>
      </c>
      <c r="X611" s="271">
        <f>IFERROR(INDEX(Rainfall_Dry!$O$2:$O$217,MATCH(B611, Rainfall_Dry!$A$2:$A$217,0)),"")</f>
        <v>162.634207253</v>
      </c>
      <c r="Y611" s="260">
        <v>23.96</v>
      </c>
      <c r="Z611" s="260">
        <v>4.9199999999999982</v>
      </c>
      <c r="AA611" s="260">
        <v>71.12</v>
      </c>
      <c r="AB611" s="261" t="s">
        <v>2670</v>
      </c>
      <c r="AC611" s="260">
        <v>4.3091375061606696</v>
      </c>
      <c r="AD611">
        <f>IF('WetLitterbags placem_collection'!AB172="","",'WetLitterbags placem_collection'!AB172)</f>
        <v>7.7</v>
      </c>
      <c r="AE611">
        <f>IF('WetLitterbags placem_collection'!Z172="","",'WetLitterbags placem_collection'!Z172)</f>
        <v>15.8</v>
      </c>
      <c r="AF611" s="246" t="str">
        <f>IF('WetLitterbags placem_collection'!AA172="","",'WetLitterbags placem_collection'!AA172)</f>
        <v>O</v>
      </c>
      <c r="AG611">
        <f>IF('WetLitterbags placem_collection'!AC172="","",'WetLitterbags placem_collection'!AC172)</f>
        <v>1</v>
      </c>
      <c r="AH611">
        <f>IFERROR(AVERAGE('Dry_Litterbag Placem_Collection'!O172,'Dry_Litterbag Placem_Collection'!R172),"")</f>
        <v>6.1</v>
      </c>
      <c r="AI611" s="271">
        <f>IFERROR(AVERAGE('Dry_Litterbag Placem_Collection'!N172,'Dry_Litterbag Placem_Collection'!Q172),"")</f>
        <v>33.950000000000003</v>
      </c>
      <c r="AJ611" s="270">
        <f>INDEX(Coordinates!$B$2:$B$197,MATCH(G611,Coordinates!$J$2:$J$197,0))</f>
        <v>-2.2784629650000001</v>
      </c>
      <c r="AK611" s="270">
        <f>INDEX(Coordinates!$C$2:$C$197,MATCH(G611,Coordinates!$J$2:$J$197,0))</f>
        <v>34.024177999999999</v>
      </c>
      <c r="AL611" s="270" t="str">
        <f>IF(ISNUMBER(SEARCH("C", 'Dry_Litterbag Placem_Collection'!U172)),"YES","NO")</f>
        <v>NO</v>
      </c>
      <c r="AM611" s="270" t="str">
        <f>IF(ISNUMBER(SEARCH("H", 'Dry_Litterbag Placem_Collection'!U172)),"YES","NO")</f>
        <v>NO</v>
      </c>
      <c r="AN611" s="270" t="str">
        <f>IF(ISNUMBER(SEARCH("R", 'Dry_Litterbag Placem_Collection'!U172)),"YES","NO")</f>
        <v>YES</v>
      </c>
    </row>
    <row r="612" spans="1:40" ht="15" customHeight="1">
      <c r="A612" s="262" t="s">
        <v>2659</v>
      </c>
      <c r="B612" s="263">
        <f>'Dry_Litterbag Placem_Collection'!A173</f>
        <v>171</v>
      </c>
      <c r="C612" s="263" t="str">
        <f>'Dry_Litterbag Placem_Collection'!B173</f>
        <v>Handajega</v>
      </c>
      <c r="D612" s="263" t="s">
        <v>2460</v>
      </c>
      <c r="E612" s="263" t="s">
        <v>2661</v>
      </c>
      <c r="F612" s="263">
        <v>2</v>
      </c>
      <c r="G612" s="264" t="str">
        <f>'Dry_Litterbag Placem_Collection'!C173</f>
        <v>Wet_W2_T3</v>
      </c>
      <c r="H612" s="273" t="s">
        <v>3651</v>
      </c>
      <c r="I612" s="266" t="s">
        <v>1147</v>
      </c>
      <c r="J612" s="263" t="str">
        <f>IF(ISBLANK('Dry_Litterbag Placem_Collection'!L173),"","G"&amp;""&amp;'Dry_Litterbag Placem_Collection'!L173)</f>
        <v>G348</v>
      </c>
      <c r="K612" s="267">
        <f>IFERROR(INDEX('Green_rooibos initial weight'!$C$5:$C$1749,MATCH(J612, 'Green_rooibos initial weight'!$A$5:$A$1749,0)),"")</f>
        <v>2.0139999999999998</v>
      </c>
      <c r="L612" s="267">
        <f>IFERROR(K612-(TBIcalc!$Q$9+TBIcalc!$Q$10),"")</f>
        <v>1.7641999999999998</v>
      </c>
      <c r="M612" s="391">
        <f>AVERAGE(Ashed_controlls!$K$2:$K$11)</f>
        <v>5.5147656768714146</v>
      </c>
      <c r="N612" s="267">
        <f t="shared" si="46"/>
        <v>1.6669085039286342</v>
      </c>
      <c r="O612" s="267">
        <f>IF(IFERROR(INDEX('Both teabags AfterDry'!$D$3:$D$900,MATCH(J612,'Both teabags AfterDry'!$A$3:$A$900,0)),"")="","",(IFERROR(INDEX('Both teabags AfterDry'!$D$3:$D$900,MATCH(J612,'Both teabags AfterDry'!$A$3:$A$900,0)),"")))</f>
        <v>0.69310000000000005</v>
      </c>
      <c r="P612" s="267">
        <f>IFERROR(IF(O612&gt;0,O612-(TBIcalc!$Q$9),""),"")</f>
        <v>0.54249999999999998</v>
      </c>
      <c r="Q612" s="278">
        <f>IFERROR(INDEX('Ashed teabags dry'!$K$2:$K$825,MATCH(J612,'Ashed teabags dry'!$A$2:$A$825,0)),"")</f>
        <v>19.412878787879041</v>
      </c>
      <c r="R612" s="278">
        <f t="shared" si="47"/>
        <v>0.4371851325757562</v>
      </c>
      <c r="S612" s="268">
        <f>'Dry_Litterbag Placem_Collection'!E173</f>
        <v>42940</v>
      </c>
      <c r="T612" s="268">
        <f>IF('Dry_Litterbag Placem_Collection'!G173="","",'Dry_Litterbag Placem_Collection'!G173)</f>
        <v>43009</v>
      </c>
      <c r="U612" s="269">
        <f t="shared" si="45"/>
        <v>69</v>
      </c>
      <c r="V612" s="267">
        <f t="shared" si="48"/>
        <v>1.2216999999999998</v>
      </c>
      <c r="W612" s="267">
        <f t="shared" si="49"/>
        <v>1.2297233713528781</v>
      </c>
      <c r="X612" s="271">
        <f>IFERROR(INDEX(Rainfall_Dry!$O$2:$O$217,MATCH(B612, Rainfall_Dry!$A$2:$A$217,0)),"")</f>
        <v>162.634207253</v>
      </c>
      <c r="Y612" s="260">
        <v>23.96</v>
      </c>
      <c r="Z612" s="260">
        <v>4.9199999999999982</v>
      </c>
      <c r="AA612" s="260">
        <v>71.12</v>
      </c>
      <c r="AB612" s="261" t="s">
        <v>2670</v>
      </c>
      <c r="AC612" s="260">
        <v>5.3091375061606696</v>
      </c>
      <c r="AD612">
        <f>IF('WetLitterbags placem_collection'!AB173="","",'WetLitterbags placem_collection'!AB173)</f>
        <v>13.4</v>
      </c>
      <c r="AE612">
        <f>IF('WetLitterbags placem_collection'!Z173="","",'WetLitterbags placem_collection'!Z173)</f>
        <v>7.6</v>
      </c>
      <c r="AF612" s="246" t="str">
        <f>IF('WetLitterbags placem_collection'!AA173="","",'WetLitterbags placem_collection'!AA173)</f>
        <v>O</v>
      </c>
      <c r="AG612">
        <f>IF('WetLitterbags placem_collection'!AC173="","",'WetLitterbags placem_collection'!AC173)</f>
        <v>1</v>
      </c>
      <c r="AH612">
        <f>IFERROR(AVERAGE('Dry_Litterbag Placem_Collection'!O173,'Dry_Litterbag Placem_Collection'!R173),"")</f>
        <v>5.6</v>
      </c>
      <c r="AI612" s="271">
        <f>IFERROR(AVERAGE('Dry_Litterbag Placem_Collection'!N173,'Dry_Litterbag Placem_Collection'!Q173),"")</f>
        <v>33</v>
      </c>
      <c r="AJ612" s="270">
        <f>INDEX(Coordinates!$B$2:$B$197,MATCH(G612,Coordinates!$J$2:$J$197,0))</f>
        <v>-2.2785389889999998</v>
      </c>
      <c r="AK612" s="270">
        <f>INDEX(Coordinates!$C$2:$C$197,MATCH(G612,Coordinates!$J$2:$J$197,0))</f>
        <v>34.024371039999998</v>
      </c>
      <c r="AL612" s="270" t="str">
        <f>IF(ISNUMBER(SEARCH("C", 'Dry_Litterbag Placem_Collection'!U173)),"YES","NO")</f>
        <v>NO</v>
      </c>
      <c r="AM612" s="270" t="str">
        <f>IF(ISNUMBER(SEARCH("H", 'Dry_Litterbag Placem_Collection'!U173)),"YES","NO")</f>
        <v>NO</v>
      </c>
      <c r="AN612" s="270" t="str">
        <f>IF(ISNUMBER(SEARCH("R", 'Dry_Litterbag Placem_Collection'!U173)),"YES","NO")</f>
        <v>YES</v>
      </c>
    </row>
    <row r="613" spans="1:40" ht="15" customHeight="1">
      <c r="A613" s="262" t="s">
        <v>2659</v>
      </c>
      <c r="B613" s="263">
        <f>'Dry_Litterbag Placem_Collection'!A174</f>
        <v>172</v>
      </c>
      <c r="C613" s="263" t="str">
        <f>'Dry_Litterbag Placem_Collection'!B174</f>
        <v>Handajega</v>
      </c>
      <c r="D613" s="263" t="s">
        <v>2460</v>
      </c>
      <c r="E613" s="263" t="s">
        <v>2661</v>
      </c>
      <c r="F613" s="263">
        <v>2</v>
      </c>
      <c r="G613" s="264" t="str">
        <f>'Dry_Litterbag Placem_Collection'!C174</f>
        <v>Wet_W2_T4</v>
      </c>
      <c r="H613" s="273" t="s">
        <v>3651</v>
      </c>
      <c r="I613" s="266" t="s">
        <v>1147</v>
      </c>
      <c r="J613" s="263" t="str">
        <f>IF(ISBLANK('Dry_Litterbag Placem_Collection'!L174),"","G"&amp;""&amp;'Dry_Litterbag Placem_Collection'!L174)</f>
        <v/>
      </c>
      <c r="K613" s="267" t="str">
        <f>IFERROR(INDEX('Green_rooibos initial weight'!$C$5:$C$1749,MATCH(J613, 'Green_rooibos initial weight'!$A$5:$A$1749,0)),"")</f>
        <v/>
      </c>
      <c r="L613" s="267" t="str">
        <f>IFERROR(K613-(TBIcalc!$Q$9+TBIcalc!$Q$10),"")</f>
        <v/>
      </c>
      <c r="M613" s="391">
        <f>AVERAGE(Ashed_controlls!$K$2:$K$11)</f>
        <v>5.5147656768714146</v>
      </c>
      <c r="N613" s="267" t="str">
        <f t="shared" si="46"/>
        <v/>
      </c>
      <c r="O613" s="267" t="str">
        <f>IF(IFERROR(INDEX('Both teabags AfterDry'!$D$3:$D$900,MATCH(J613,'Both teabags AfterDry'!$A$3:$A$900,0)),"")="","",(IFERROR(INDEX('Both teabags AfterDry'!$D$3:$D$900,MATCH(J613,'Both teabags AfterDry'!$A$3:$A$900,0)),"")))</f>
        <v/>
      </c>
      <c r="P613" s="267" t="str">
        <f>IFERROR(IF(O613&gt;0,O613-(TBIcalc!$Q$9),""),"")</f>
        <v/>
      </c>
      <c r="Q613" s="278" t="str">
        <f>IFERROR(INDEX('Ashed teabags dry'!$K$2:$K$825,MATCH(J613,'Ashed teabags dry'!$A$2:$A$825,0)),"")</f>
        <v/>
      </c>
      <c r="R613" s="278" t="str">
        <f t="shared" si="47"/>
        <v/>
      </c>
      <c r="S613" s="268">
        <f>'Dry_Litterbag Placem_Collection'!E174</f>
        <v>0</v>
      </c>
      <c r="T613" s="268" t="str">
        <f>IF('Dry_Litterbag Placem_Collection'!G174="","",'Dry_Litterbag Placem_Collection'!G174)</f>
        <v/>
      </c>
      <c r="U613" s="269" t="str">
        <f t="shared" si="45"/>
        <v/>
      </c>
      <c r="V613" s="267" t="str">
        <f t="shared" si="48"/>
        <v/>
      </c>
      <c r="W613" s="267" t="str">
        <f t="shared" si="49"/>
        <v/>
      </c>
      <c r="X613" s="271" t="str">
        <f>IFERROR(INDEX(Rainfall_Dry!$O$2:$O$217,MATCH(B613, Rainfall_Dry!$A$2:$A$217,0)),"")</f>
        <v/>
      </c>
      <c r="Y613" s="260">
        <v>23.96</v>
      </c>
      <c r="Z613" s="260">
        <v>4.9199999999999982</v>
      </c>
      <c r="AA613" s="260">
        <v>71.12</v>
      </c>
      <c r="AB613" s="261" t="s">
        <v>2670</v>
      </c>
      <c r="AC613" s="260">
        <v>6.3091375061606696</v>
      </c>
      <c r="AD613">
        <f>IF('WetLitterbags placem_collection'!AB174="","",'WetLitterbags placem_collection'!AB174)</f>
        <v>3.3</v>
      </c>
      <c r="AE613">
        <f>IF('WetLitterbags placem_collection'!Z174="","",'WetLitterbags placem_collection'!Z174)</f>
        <v>28.4</v>
      </c>
      <c r="AF613" s="246" t="str">
        <f>IF('WetLitterbags placem_collection'!AA174="","",'WetLitterbags placem_collection'!AA174)</f>
        <v>G</v>
      </c>
      <c r="AG613">
        <f>IF('WetLitterbags placem_collection'!AC174="","",'WetLitterbags placem_collection'!AC174)</f>
        <v>1</v>
      </c>
      <c r="AH613" t="str">
        <f>IFERROR(AVERAGE('Dry_Litterbag Placem_Collection'!O174,'Dry_Litterbag Placem_Collection'!R174),"")</f>
        <v/>
      </c>
      <c r="AI613" s="271" t="str">
        <f>IFERROR(AVERAGE('Dry_Litterbag Placem_Collection'!N174,'Dry_Litterbag Placem_Collection'!Q174),"")</f>
        <v/>
      </c>
      <c r="AJ613" s="270">
        <f>INDEX(Coordinates!$B$2:$B$197,MATCH(G613,Coordinates!$J$2:$J$197,0))</f>
        <v>-2.2781410160000002</v>
      </c>
      <c r="AK613" s="270">
        <f>INDEX(Coordinates!$C$2:$C$197,MATCH(G613,Coordinates!$J$2:$J$197,0))</f>
        <v>34.024136009999999</v>
      </c>
      <c r="AL613" s="270" t="str">
        <f>IF(ISNUMBER(SEARCH("C", 'Dry_Litterbag Placem_Collection'!U174)),"YES","NO")</f>
        <v>NO</v>
      </c>
      <c r="AM613" s="270" t="str">
        <f>IF(ISNUMBER(SEARCH("H", 'Dry_Litterbag Placem_Collection'!U174)),"YES","NO")</f>
        <v>NO</v>
      </c>
      <c r="AN613" s="270" t="str">
        <f>IF(ISNUMBER(SEARCH("R", 'Dry_Litterbag Placem_Collection'!U174)),"YES","NO")</f>
        <v>NO</v>
      </c>
    </row>
    <row r="614" spans="1:40" ht="15" customHeight="1">
      <c r="A614" s="262" t="s">
        <v>2659</v>
      </c>
      <c r="B614" s="263">
        <f>'Dry_Litterbag Placem_Collection'!A175</f>
        <v>173</v>
      </c>
      <c r="C614" s="263" t="str">
        <f>'Dry_Litterbag Placem_Collection'!B175</f>
        <v>Handajega</v>
      </c>
      <c r="D614" s="263" t="s">
        <v>2460</v>
      </c>
      <c r="E614" s="263" t="s">
        <v>2661</v>
      </c>
      <c r="F614" s="263">
        <v>2</v>
      </c>
      <c r="G614" s="264" t="str">
        <f>'Dry_Litterbag Placem_Collection'!C175</f>
        <v>Wet_W2_T5</v>
      </c>
      <c r="H614" s="273" t="s">
        <v>3651</v>
      </c>
      <c r="I614" s="266" t="s">
        <v>1147</v>
      </c>
      <c r="J614" s="263" t="str">
        <f>IF(ISBLANK('Dry_Litterbag Placem_Collection'!L175),"","G"&amp;""&amp;'Dry_Litterbag Placem_Collection'!L175)</f>
        <v>G307</v>
      </c>
      <c r="K614" s="267">
        <f>IFERROR(INDEX('Green_rooibos initial weight'!$C$5:$C$1749,MATCH(J614, 'Green_rooibos initial weight'!$A$5:$A$1749,0)),"")</f>
        <v>1.9810000000000001</v>
      </c>
      <c r="L614" s="267">
        <f>IFERROR(K614-(TBIcalc!$Q$9+TBIcalc!$Q$10),"")</f>
        <v>1.7312000000000001</v>
      </c>
      <c r="M614" s="391">
        <f>AVERAGE(Ashed_controlls!$K$2:$K$11)</f>
        <v>5.5147656768714146</v>
      </c>
      <c r="N614" s="267">
        <f t="shared" si="46"/>
        <v>1.6357283766020021</v>
      </c>
      <c r="O614" s="267" t="str">
        <f>IF(IFERROR(INDEX('Both teabags AfterDry'!$D$3:$D$900,MATCH(J614,'Both teabags AfterDry'!$A$3:$A$900,0)),"")="","",(IFERROR(INDEX('Both teabags AfterDry'!$D$3:$D$900,MATCH(J614,'Both teabags AfterDry'!$A$3:$A$900,0)),"")))</f>
        <v/>
      </c>
      <c r="P614" s="267" t="str">
        <f>IFERROR(IF(O614&gt;0,O614-(TBIcalc!$Q$9),""),"")</f>
        <v/>
      </c>
      <c r="Q614" s="278" t="str">
        <f>IFERROR(INDEX('Ashed teabags dry'!$K$2:$K$825,MATCH(J614,'Ashed teabags dry'!$A$2:$A$825,0)),"")</f>
        <v/>
      </c>
      <c r="R614" s="278" t="str">
        <f t="shared" si="47"/>
        <v/>
      </c>
      <c r="S614" s="268">
        <f>'Dry_Litterbag Placem_Collection'!E175</f>
        <v>42940</v>
      </c>
      <c r="T614" s="268">
        <f>IF('Dry_Litterbag Placem_Collection'!G175="","",'Dry_Litterbag Placem_Collection'!G175)</f>
        <v>43009</v>
      </c>
      <c r="U614" s="269">
        <f t="shared" si="45"/>
        <v>69</v>
      </c>
      <c r="V614" s="267" t="str">
        <f t="shared" si="48"/>
        <v/>
      </c>
      <c r="W614" s="267" t="str">
        <f t="shared" si="49"/>
        <v/>
      </c>
      <c r="X614" s="271">
        <f>IFERROR(INDEX(Rainfall_Dry!$O$2:$O$217,MATCH(B614, Rainfall_Dry!$A$2:$A$217,0)),"")</f>
        <v>162.634207253</v>
      </c>
      <c r="Y614" s="260">
        <v>23.96</v>
      </c>
      <c r="Z614" s="260">
        <v>4.9199999999999982</v>
      </c>
      <c r="AA614" s="260">
        <v>71.12</v>
      </c>
      <c r="AB614" s="261" t="s">
        <v>2670</v>
      </c>
      <c r="AC614" s="260">
        <v>7.3091375061606696</v>
      </c>
      <c r="AD614">
        <f>IF('WetLitterbags placem_collection'!AB175="","",'WetLitterbags placem_collection'!AB175)</f>
        <v>15.4</v>
      </c>
      <c r="AE614">
        <f>IF('WetLitterbags placem_collection'!Z175="","",'WetLitterbags placem_collection'!Z175)</f>
        <v>12.4</v>
      </c>
      <c r="AF614" s="246" t="str">
        <f>IF('WetLitterbags placem_collection'!AA175="","",'WetLitterbags placem_collection'!AA175)</f>
        <v>O</v>
      </c>
      <c r="AG614">
        <f>IF('WetLitterbags placem_collection'!AC175="","",'WetLitterbags placem_collection'!AC175)</f>
        <v>0</v>
      </c>
      <c r="AH614">
        <f>IFERROR(AVERAGE('Dry_Litterbag Placem_Collection'!O175,'Dry_Litterbag Placem_Collection'!R175),"")</f>
        <v>6.3</v>
      </c>
      <c r="AI614" s="271">
        <f>IFERROR(AVERAGE('Dry_Litterbag Placem_Collection'!N175,'Dry_Litterbag Placem_Collection'!Q175),"")</f>
        <v>34.049999999999997</v>
      </c>
      <c r="AJ614" s="270">
        <f>INDEX(Coordinates!$B$2:$B$197,MATCH(G614,Coordinates!$J$2:$J$197,0))</f>
        <v>-2.27856799</v>
      </c>
      <c r="AK614" s="270">
        <f>INDEX(Coordinates!$C$2:$C$197,MATCH(G614,Coordinates!$J$2:$J$197,0))</f>
        <v>34.023969970000003</v>
      </c>
      <c r="AL614" s="270" t="str">
        <f>IF(ISNUMBER(SEARCH("C", 'Dry_Litterbag Placem_Collection'!U175)),"YES","NO")</f>
        <v>NO</v>
      </c>
      <c r="AM614" s="270" t="str">
        <f>IF(ISNUMBER(SEARCH("H", 'Dry_Litterbag Placem_Collection'!U175)),"YES","NO")</f>
        <v>NO</v>
      </c>
      <c r="AN614" s="270" t="str">
        <f>IF(ISNUMBER(SEARCH("R", 'Dry_Litterbag Placem_Collection'!U175)),"YES","NO")</f>
        <v>NO</v>
      </c>
    </row>
    <row r="615" spans="1:40" ht="15" customHeight="1">
      <c r="A615" s="262" t="s">
        <v>2659</v>
      </c>
      <c r="B615" s="263">
        <f>'Dry_Litterbag Placem_Collection'!A176</f>
        <v>174</v>
      </c>
      <c r="C615" s="263" t="str">
        <f>'Dry_Litterbag Placem_Collection'!B176</f>
        <v>Handajega</v>
      </c>
      <c r="D615" s="263" t="s">
        <v>2460</v>
      </c>
      <c r="E615" s="263" t="s">
        <v>2661</v>
      </c>
      <c r="F615" s="263">
        <v>2</v>
      </c>
      <c r="G615" s="264" t="str">
        <f>'Dry_Litterbag Placem_Collection'!C176</f>
        <v>Wet_W2_T6</v>
      </c>
      <c r="H615" s="273" t="s">
        <v>3651</v>
      </c>
      <c r="I615" s="266" t="s">
        <v>1147</v>
      </c>
      <c r="J615" s="263" t="str">
        <f>IF(ISBLANK('Dry_Litterbag Placem_Collection'!L176),"","G"&amp;""&amp;'Dry_Litterbag Placem_Collection'!L176)</f>
        <v>G155</v>
      </c>
      <c r="K615" s="267">
        <f>IFERROR(INDEX('Green_rooibos initial weight'!$C$5:$C$1749,MATCH(J615, 'Green_rooibos initial weight'!$A$5:$A$1749,0)),"")</f>
        <v>2.0379999999999998</v>
      </c>
      <c r="L615" s="267">
        <f>IFERROR(K615-(TBIcalc!$Q$9+TBIcalc!$Q$10),"")</f>
        <v>1.7881999999999998</v>
      </c>
      <c r="M615" s="391">
        <f>AVERAGE(Ashed_controlls!$K$2:$K$11)</f>
        <v>5.5147656768714146</v>
      </c>
      <c r="N615" s="267">
        <f t="shared" si="46"/>
        <v>1.6895849601661852</v>
      </c>
      <c r="O615" s="267">
        <f>IF(IFERROR(INDEX('Both teabags AfterDry'!$D$3:$D$900,MATCH(J615,'Both teabags AfterDry'!$A$3:$A$900,0)),"")="","",(IFERROR(INDEX('Both teabags AfterDry'!$D$3:$D$900,MATCH(J615,'Both teabags AfterDry'!$A$3:$A$900,0)),"")))</f>
        <v>0.78239999999999998</v>
      </c>
      <c r="P615" s="267">
        <f>IFERROR(IF(O615&gt;0,O615-(TBIcalc!$Q$9),""),"")</f>
        <v>0.63179999999999992</v>
      </c>
      <c r="Q615" s="278">
        <f>IFERROR(INDEX('Ashed teabags dry'!$K$2:$K$825,MATCH(J615,'Ashed teabags dry'!$A$2:$A$825,0)),"")</f>
        <v>23.40527577937609</v>
      </c>
      <c r="R615" s="278">
        <f t="shared" si="47"/>
        <v>0.48392546762590183</v>
      </c>
      <c r="S615" s="268">
        <f>'Dry_Litterbag Placem_Collection'!E176</f>
        <v>42940</v>
      </c>
      <c r="T615" s="268">
        <f>IF('Dry_Litterbag Placem_Collection'!G176="","",'Dry_Litterbag Placem_Collection'!G176)</f>
        <v>43009</v>
      </c>
      <c r="U615" s="269">
        <f t="shared" si="45"/>
        <v>69</v>
      </c>
      <c r="V615" s="267">
        <f t="shared" si="48"/>
        <v>1.1563999999999999</v>
      </c>
      <c r="W615" s="267">
        <f t="shared" si="49"/>
        <v>1.2056594925402835</v>
      </c>
      <c r="X615" s="271">
        <f>IFERROR(INDEX(Rainfall_Dry!$O$2:$O$217,MATCH(B615, Rainfall_Dry!$A$2:$A$217,0)),"")</f>
        <v>162.634207253</v>
      </c>
      <c r="Y615" s="260">
        <v>23.96</v>
      </c>
      <c r="Z615" s="260">
        <v>4.9199999999999982</v>
      </c>
      <c r="AA615" s="260">
        <v>71.12</v>
      </c>
      <c r="AB615" s="261" t="s">
        <v>2670</v>
      </c>
      <c r="AC615" s="260">
        <v>8.3091375061606705</v>
      </c>
      <c r="AD615">
        <f>IF('WetLitterbags placem_collection'!AB176="","",'WetLitterbags placem_collection'!AB176)</f>
        <v>7.4</v>
      </c>
      <c r="AE615">
        <f>IF('WetLitterbags placem_collection'!Z176="","",'WetLitterbags placem_collection'!Z176)</f>
        <v>7.4</v>
      </c>
      <c r="AF615" s="246" t="str">
        <f>IF('WetLitterbags placem_collection'!AA176="","",'WetLitterbags placem_collection'!AA176)</f>
        <v>O</v>
      </c>
      <c r="AG615">
        <f>IF('WetLitterbags placem_collection'!AC176="","",'WetLitterbags placem_collection'!AC176)</f>
        <v>0</v>
      </c>
      <c r="AH615">
        <f>IFERROR(AVERAGE('Dry_Litterbag Placem_Collection'!O176,'Dry_Litterbag Placem_Collection'!R176),"")</f>
        <v>5.9</v>
      </c>
      <c r="AI615" s="271">
        <f>IFERROR(AVERAGE('Dry_Litterbag Placem_Collection'!N176,'Dry_Litterbag Placem_Collection'!Q176),"")</f>
        <v>33.200000000000003</v>
      </c>
      <c r="AJ615" s="270">
        <f>INDEX(Coordinates!$B$2:$B$197,MATCH(G615,Coordinates!$J$2:$J$197,0))</f>
        <v>-2.2786809780000001</v>
      </c>
      <c r="AK615" s="270">
        <f>INDEX(Coordinates!$C$2:$C$197,MATCH(G615,Coordinates!$J$2:$J$197,0))</f>
        <v>34.02434899</v>
      </c>
      <c r="AL615" s="270" t="str">
        <f>IF(ISNUMBER(SEARCH("C", 'Dry_Litterbag Placem_Collection'!U176)),"YES","NO")</f>
        <v>NO</v>
      </c>
      <c r="AM615" s="270" t="str">
        <f>IF(ISNUMBER(SEARCH("H", 'Dry_Litterbag Placem_Collection'!U176)),"YES","NO")</f>
        <v>NO</v>
      </c>
      <c r="AN615" s="270" t="str">
        <f>IF(ISNUMBER(SEARCH("R", 'Dry_Litterbag Placem_Collection'!U176)),"YES","NO")</f>
        <v>NO</v>
      </c>
    </row>
    <row r="616" spans="1:40" ht="15" customHeight="1">
      <c r="A616" s="262" t="s">
        <v>2659</v>
      </c>
      <c r="B616" s="263">
        <f>'Dry_Litterbag Placem_Collection'!A177</f>
        <v>175</v>
      </c>
      <c r="C616" s="263" t="str">
        <f>'Dry_Litterbag Placem_Collection'!B177</f>
        <v>Handajega</v>
      </c>
      <c r="D616" s="263" t="s">
        <v>2460</v>
      </c>
      <c r="E616" s="263" t="s">
        <v>2661</v>
      </c>
      <c r="F616" s="263">
        <v>2</v>
      </c>
      <c r="G616" s="264" t="str">
        <f>'Dry_Litterbag Placem_Collection'!C177</f>
        <v>Wet_W2_T7</v>
      </c>
      <c r="H616" s="273" t="s">
        <v>3651</v>
      </c>
      <c r="I616" s="266" t="s">
        <v>1147</v>
      </c>
      <c r="J616" s="263" t="str">
        <f>IF(ISBLANK('Dry_Litterbag Placem_Collection'!L177),"","G"&amp;""&amp;'Dry_Litterbag Placem_Collection'!L177)</f>
        <v>G719</v>
      </c>
      <c r="K616" s="267">
        <f>IFERROR(INDEX('Green_rooibos initial weight'!$C$5:$C$1749,MATCH(J616, 'Green_rooibos initial weight'!$A$5:$A$1749,0)),"")</f>
        <v>2.02</v>
      </c>
      <c r="L616" s="267">
        <f>IFERROR(K616-(TBIcalc!$Q$9+TBIcalc!$Q$10),"")</f>
        <v>1.7702</v>
      </c>
      <c r="M616" s="391">
        <f>AVERAGE(Ashed_controlls!$K$2:$K$11)</f>
        <v>5.5147656768714146</v>
      </c>
      <c r="N616" s="267">
        <f t="shared" si="46"/>
        <v>1.6725776179880223</v>
      </c>
      <c r="O616" s="267">
        <f>IF(IFERROR(INDEX('Both teabags AfterDry'!$D$3:$D$900,MATCH(J616,'Both teabags AfterDry'!$A$3:$A$900,0)),"")="","",(IFERROR(INDEX('Both teabags AfterDry'!$D$3:$D$900,MATCH(J616,'Both teabags AfterDry'!$A$3:$A$900,0)),"")))</f>
        <v>0.80269999999999997</v>
      </c>
      <c r="P616" s="267">
        <f>IFERROR(IF(O616&gt;0,O616-(TBIcalc!$Q$9),""),"")</f>
        <v>0.6520999999999999</v>
      </c>
      <c r="Q616" s="278">
        <f>IFERROR(INDEX('Ashed teabags dry'!$K$2:$K$825,MATCH(J616,'Ashed teabags dry'!$A$2:$A$825,0)),"")</f>
        <v>20.371275036638856</v>
      </c>
      <c r="R616" s="278">
        <f t="shared" si="47"/>
        <v>0.51925891548607794</v>
      </c>
      <c r="S616" s="268">
        <f>'Dry_Litterbag Placem_Collection'!E177</f>
        <v>42940</v>
      </c>
      <c r="T616" s="268">
        <f>IF('Dry_Litterbag Placem_Collection'!G177="","",'Dry_Litterbag Placem_Collection'!G177)</f>
        <v>43009</v>
      </c>
      <c r="U616" s="269">
        <f t="shared" si="45"/>
        <v>69</v>
      </c>
      <c r="V616" s="267">
        <f t="shared" si="48"/>
        <v>1.1181000000000001</v>
      </c>
      <c r="W616" s="267">
        <f t="shared" si="49"/>
        <v>1.1533187025019442</v>
      </c>
      <c r="X616" s="271">
        <f>IFERROR(INDEX(Rainfall_Dry!$O$2:$O$217,MATCH(B616, Rainfall_Dry!$A$2:$A$217,0)),"")</f>
        <v>162.634207253</v>
      </c>
      <c r="Y616" s="260">
        <v>23.96</v>
      </c>
      <c r="Z616" s="260">
        <v>4.9199999999999982</v>
      </c>
      <c r="AA616" s="260">
        <v>71.12</v>
      </c>
      <c r="AB616" s="261" t="s">
        <v>2670</v>
      </c>
      <c r="AC616" s="260">
        <v>9.3091375061606705</v>
      </c>
      <c r="AD616">
        <f>IF('WetLitterbags placem_collection'!AB177="","",'WetLitterbags placem_collection'!AB177)</f>
        <v>15.4</v>
      </c>
      <c r="AE616">
        <f>IF('WetLitterbags placem_collection'!Z177="","",'WetLitterbags placem_collection'!Z177)</f>
        <v>9.8000000000000007</v>
      </c>
      <c r="AF616" s="246" t="str">
        <f>IF('WetLitterbags placem_collection'!AA177="","",'WetLitterbags placem_collection'!AA177)</f>
        <v>O</v>
      </c>
      <c r="AG616">
        <f>IF('WetLitterbags placem_collection'!AC177="","",'WetLitterbags placem_collection'!AC177)</f>
        <v>1</v>
      </c>
      <c r="AH616">
        <f>IFERROR(AVERAGE('Dry_Litterbag Placem_Collection'!O177,'Dry_Litterbag Placem_Collection'!R177),"")</f>
        <v>5.9499999999999993</v>
      </c>
      <c r="AI616" s="271">
        <f>IFERROR(AVERAGE('Dry_Litterbag Placem_Collection'!N177,'Dry_Litterbag Placem_Collection'!Q177),"")</f>
        <v>34.049999999999997</v>
      </c>
      <c r="AJ616" s="270">
        <f>INDEX(Coordinates!$B$2:$B$197,MATCH(G616,Coordinates!$J$2:$J$197,0))</f>
        <v>-2.2784219779999999</v>
      </c>
      <c r="AK616" s="270">
        <f>INDEX(Coordinates!$C$2:$C$197,MATCH(G616,Coordinates!$J$2:$J$197,0))</f>
        <v>34.024374979999997</v>
      </c>
      <c r="AL616" s="270" t="str">
        <f>IF(ISNUMBER(SEARCH("C", 'Dry_Litterbag Placem_Collection'!U177)),"YES","NO")</f>
        <v>NO</v>
      </c>
      <c r="AM616" s="270" t="str">
        <f>IF(ISNUMBER(SEARCH("H", 'Dry_Litterbag Placem_Collection'!U177)),"YES","NO")</f>
        <v>NO</v>
      </c>
      <c r="AN616" s="270" t="str">
        <f>IF(ISNUMBER(SEARCH("R", 'Dry_Litterbag Placem_Collection'!U177)),"YES","NO")</f>
        <v>NO</v>
      </c>
    </row>
    <row r="617" spans="1:40" ht="15" customHeight="1">
      <c r="A617" s="262" t="s">
        <v>2659</v>
      </c>
      <c r="B617" s="263">
        <f>'Dry_Litterbag Placem_Collection'!A178</f>
        <v>176</v>
      </c>
      <c r="C617" s="263" t="str">
        <f>'Dry_Litterbag Placem_Collection'!B178</f>
        <v>Handajega</v>
      </c>
      <c r="D617" s="263" t="s">
        <v>2460</v>
      </c>
      <c r="E617" s="263" t="s">
        <v>2661</v>
      </c>
      <c r="F617" s="263">
        <v>2</v>
      </c>
      <c r="G617" s="264" t="str">
        <f>'Dry_Litterbag Placem_Collection'!C178</f>
        <v>Wet_W2_T8</v>
      </c>
      <c r="H617" s="273" t="s">
        <v>3651</v>
      </c>
      <c r="I617" s="266" t="s">
        <v>1147</v>
      </c>
      <c r="J617" s="263" t="str">
        <f>IF(ISBLANK('Dry_Litterbag Placem_Collection'!L178),"","G"&amp;""&amp;'Dry_Litterbag Placem_Collection'!L178)</f>
        <v>G323</v>
      </c>
      <c r="K617" s="267">
        <f>IFERROR(INDEX('Green_rooibos initial weight'!$C$5:$C$1749,MATCH(J617, 'Green_rooibos initial weight'!$A$5:$A$1749,0)),"")</f>
        <v>1.97</v>
      </c>
      <c r="L617" s="267">
        <f>IFERROR(K617-(TBIcalc!$Q$9+TBIcalc!$Q$10),"")</f>
        <v>1.7202</v>
      </c>
      <c r="M617" s="391">
        <f>AVERAGE(Ashed_controlls!$K$2:$K$11)</f>
        <v>5.5147656768714146</v>
      </c>
      <c r="N617" s="267">
        <f t="shared" si="46"/>
        <v>1.6253350008264578</v>
      </c>
      <c r="O617" s="267">
        <f>IF(IFERROR(INDEX('Both teabags AfterDry'!$D$3:$D$900,MATCH(J617,'Both teabags AfterDry'!$A$3:$A$900,0)),"")="","",(IFERROR(INDEX('Both teabags AfterDry'!$D$3:$D$900,MATCH(J617,'Both teabags AfterDry'!$A$3:$A$900,0)),"")))</f>
        <v>0.74829999999999997</v>
      </c>
      <c r="P617" s="267">
        <f>IFERROR(IF(O617&gt;0,O617-(TBIcalc!$Q$9),""),"")</f>
        <v>0.5976999999999999</v>
      </c>
      <c r="Q617" s="278">
        <f>IFERROR(INDEX('Ashed teabags dry'!$K$2:$K$825,MATCH(J617,'Ashed teabags dry'!$A$2:$A$825,0)),"")</f>
        <v>19.55361475012176</v>
      </c>
      <c r="R617" s="278">
        <f t="shared" si="47"/>
        <v>0.48082804463852213</v>
      </c>
      <c r="S617" s="268">
        <f>'Dry_Litterbag Placem_Collection'!E178</f>
        <v>42940</v>
      </c>
      <c r="T617" s="268">
        <f>IF('Dry_Litterbag Placem_Collection'!G178="","",'Dry_Litterbag Placem_Collection'!G178)</f>
        <v>43009</v>
      </c>
      <c r="U617" s="269">
        <f t="shared" si="45"/>
        <v>69</v>
      </c>
      <c r="V617" s="267">
        <f t="shared" si="48"/>
        <v>1.1225000000000001</v>
      </c>
      <c r="W617" s="267">
        <f t="shared" si="49"/>
        <v>1.1445069561879357</v>
      </c>
      <c r="X617" s="271">
        <f>IFERROR(INDEX(Rainfall_Dry!$O$2:$O$217,MATCH(B617, Rainfall_Dry!$A$2:$A$217,0)),"")</f>
        <v>162.634207253</v>
      </c>
      <c r="Y617" s="260">
        <v>23.96</v>
      </c>
      <c r="Z617" s="260">
        <v>4.9199999999999982</v>
      </c>
      <c r="AA617" s="260">
        <v>71.12</v>
      </c>
      <c r="AB617" s="261" t="s">
        <v>2670</v>
      </c>
      <c r="AC617" s="260">
        <v>10.309137506160701</v>
      </c>
      <c r="AD617">
        <f>IF('WetLitterbags placem_collection'!AB178="","",'WetLitterbags placem_collection'!AB178)</f>
        <v>6.8</v>
      </c>
      <c r="AE617">
        <f>IF('WetLitterbags placem_collection'!Z178="","",'WetLitterbags placem_collection'!Z178)</f>
        <v>6.9</v>
      </c>
      <c r="AF617" s="246" t="str">
        <f>IF('WetLitterbags placem_collection'!AA178="","",'WetLitterbags placem_collection'!AA178)</f>
        <v>O</v>
      </c>
      <c r="AG617">
        <f>IF('WetLitterbags placem_collection'!AC178="","",'WetLitterbags placem_collection'!AC178)</f>
        <v>0</v>
      </c>
      <c r="AH617">
        <f>IFERROR(AVERAGE('Dry_Litterbag Placem_Collection'!O178,'Dry_Litterbag Placem_Collection'!R178),"")</f>
        <v>4.5999999999999996</v>
      </c>
      <c r="AI617" s="271">
        <f>IFERROR(AVERAGE('Dry_Litterbag Placem_Collection'!N178,'Dry_Litterbag Placem_Collection'!Q178),"")</f>
        <v>34.5</v>
      </c>
      <c r="AJ617" s="270">
        <f>INDEX(Coordinates!$B$2:$B$197,MATCH(G617,Coordinates!$J$2:$J$197,0))</f>
        <v>-2.2782909679999999</v>
      </c>
      <c r="AK617" s="270">
        <f>INDEX(Coordinates!$C$2:$C$197,MATCH(G617,Coordinates!$J$2:$J$197,0))</f>
        <v>34.024574970000003</v>
      </c>
      <c r="AL617" s="270" t="str">
        <f>IF(ISNUMBER(SEARCH("C", 'Dry_Litterbag Placem_Collection'!U178)),"YES","NO")</f>
        <v>NO</v>
      </c>
      <c r="AM617" s="270" t="str">
        <f>IF(ISNUMBER(SEARCH("H", 'Dry_Litterbag Placem_Collection'!U178)),"YES","NO")</f>
        <v>NO</v>
      </c>
      <c r="AN617" s="270" t="str">
        <f>IF(ISNUMBER(SEARCH("R", 'Dry_Litterbag Placem_Collection'!U178)),"YES","NO")</f>
        <v>YES</v>
      </c>
    </row>
    <row r="618" spans="1:40" ht="15" customHeight="1">
      <c r="A618" s="262" t="s">
        <v>2659</v>
      </c>
      <c r="B618" s="263">
        <f>'Dry_Litterbag Placem_Collection'!A179</f>
        <v>177</v>
      </c>
      <c r="C618" s="263" t="str">
        <f>'Dry_Litterbag Placem_Collection'!B179</f>
        <v>Handajega</v>
      </c>
      <c r="D618" s="263" t="s">
        <v>2460</v>
      </c>
      <c r="E618" s="263" t="s">
        <v>2661</v>
      </c>
      <c r="F618" s="263">
        <v>3</v>
      </c>
      <c r="G618" s="264" t="str">
        <f>'Dry_Litterbag Placem_Collection'!C179</f>
        <v>Wet_W3_T1</v>
      </c>
      <c r="H618" s="273" t="s">
        <v>3651</v>
      </c>
      <c r="I618" s="266" t="s">
        <v>1147</v>
      </c>
      <c r="J618" s="263" t="str">
        <f>IF(ISBLANK('Dry_Litterbag Placem_Collection'!L179),"","G"&amp;""&amp;'Dry_Litterbag Placem_Collection'!L179)</f>
        <v>G14</v>
      </c>
      <c r="K618" s="267">
        <f>IFERROR(INDEX('Green_rooibos initial weight'!$C$5:$C$1749,MATCH(J618, 'Green_rooibos initial weight'!$A$5:$A$1749,0)),"")</f>
        <v>2.0750000000000002</v>
      </c>
      <c r="L618" s="267">
        <f>IFERROR(K618-(TBIcalc!$Q$9+TBIcalc!$Q$10),"")</f>
        <v>1.8252000000000002</v>
      </c>
      <c r="M618" s="391">
        <f>AVERAGE(Ashed_controlls!$K$2:$K$11)</f>
        <v>5.5147656768714146</v>
      </c>
      <c r="N618" s="267">
        <f t="shared" si="46"/>
        <v>1.7245444968657431</v>
      </c>
      <c r="O618" s="267" t="str">
        <f>IF(IFERROR(INDEX('Both teabags AfterDry'!$D$3:$D$900,MATCH(J618,'Both teabags AfterDry'!$A$3:$A$900,0)),"")="","",(IFERROR(INDEX('Both teabags AfterDry'!$D$3:$D$900,MATCH(J618,'Both teabags AfterDry'!$A$3:$A$900,0)),"")))</f>
        <v/>
      </c>
      <c r="P618" s="267" t="str">
        <f>IFERROR(IF(O618&gt;0,O618-(TBIcalc!$Q$9),""),"")</f>
        <v/>
      </c>
      <c r="Q618" s="278" t="str">
        <f>IFERROR(INDEX('Ashed teabags dry'!$K$2:$K$825,MATCH(J618,'Ashed teabags dry'!$A$2:$A$825,0)),"")</f>
        <v/>
      </c>
      <c r="R618" s="278" t="str">
        <f t="shared" si="47"/>
        <v/>
      </c>
      <c r="S618" s="268">
        <f>'Dry_Litterbag Placem_Collection'!E179</f>
        <v>42940</v>
      </c>
      <c r="T618" s="268">
        <f>IF('Dry_Litterbag Placem_Collection'!G179="","",'Dry_Litterbag Placem_Collection'!G179)</f>
        <v>43009</v>
      </c>
      <c r="U618" s="269">
        <f t="shared" si="45"/>
        <v>69</v>
      </c>
      <c r="V618" s="267" t="str">
        <f t="shared" si="48"/>
        <v/>
      </c>
      <c r="W618" s="267" t="str">
        <f t="shared" si="49"/>
        <v/>
      </c>
      <c r="X618" s="271">
        <f>IFERROR(INDEX(Rainfall_Dry!$O$2:$O$217,MATCH(B618, Rainfall_Dry!$A$2:$A$217,0)),"")</f>
        <v>162.634207253</v>
      </c>
      <c r="Y618" s="260">
        <v>25.96</v>
      </c>
      <c r="Z618" s="260">
        <v>8.9200000000000017</v>
      </c>
      <c r="AA618" s="260">
        <v>65.12</v>
      </c>
      <c r="AB618" s="261" t="s">
        <v>2670</v>
      </c>
      <c r="AC618" s="260">
        <v>1.614588467225234</v>
      </c>
      <c r="AD618">
        <f>IF('WetLitterbags placem_collection'!AB179="","",'WetLitterbags placem_collection'!AB179)</f>
        <v>17.8</v>
      </c>
      <c r="AE618">
        <f>IF('WetLitterbags placem_collection'!Z179="","",'WetLitterbags placem_collection'!Z179)</f>
        <v>25.8</v>
      </c>
      <c r="AF618" s="246" t="str">
        <f>IF('WetLitterbags placem_collection'!AA179="","",'WetLitterbags placem_collection'!AA179)</f>
        <v>O</v>
      </c>
      <c r="AG618">
        <f>IF('WetLitterbags placem_collection'!AC179="","",'WetLitterbags placem_collection'!AC179)</f>
        <v>0</v>
      </c>
      <c r="AH618">
        <f>IFERROR(AVERAGE('Dry_Litterbag Placem_Collection'!O179,'Dry_Litterbag Placem_Collection'!R179),"")</f>
        <v>4.6999999999999993</v>
      </c>
      <c r="AI618" s="271">
        <f>IFERROR(AVERAGE('Dry_Litterbag Placem_Collection'!N179,'Dry_Litterbag Placem_Collection'!Q179),"")</f>
        <v>34.150000000000006</v>
      </c>
      <c r="AJ618" s="270">
        <f>INDEX(Coordinates!$B$2:$B$197,MATCH(G618,Coordinates!$J$2:$J$197,0))</f>
        <v>-2.277740026</v>
      </c>
      <c r="AK618" s="270">
        <f>INDEX(Coordinates!$C$2:$C$197,MATCH(G618,Coordinates!$J$2:$J$197,0))</f>
        <v>34.027640990000002</v>
      </c>
      <c r="AL618" s="270" t="str">
        <f>IF(ISNUMBER(SEARCH("C", 'Dry_Litterbag Placem_Collection'!U179)),"YES","NO")</f>
        <v>NO</v>
      </c>
      <c r="AM618" s="270" t="str">
        <f>IF(ISNUMBER(SEARCH("H", 'Dry_Litterbag Placem_Collection'!U179)),"YES","NO")</f>
        <v>NO</v>
      </c>
      <c r="AN618" s="270" t="str">
        <f>IF(ISNUMBER(SEARCH("R", 'Dry_Litterbag Placem_Collection'!U179)),"YES","NO")</f>
        <v>NO</v>
      </c>
    </row>
    <row r="619" spans="1:40" ht="15" customHeight="1">
      <c r="A619" s="262" t="s">
        <v>2659</v>
      </c>
      <c r="B619" s="263">
        <f>'Dry_Litterbag Placem_Collection'!A180</f>
        <v>178</v>
      </c>
      <c r="C619" s="263" t="str">
        <f>'Dry_Litterbag Placem_Collection'!B180</f>
        <v>Handajega</v>
      </c>
      <c r="D619" s="263" t="s">
        <v>2460</v>
      </c>
      <c r="E619" s="263" t="s">
        <v>2661</v>
      </c>
      <c r="F619" s="263">
        <v>3</v>
      </c>
      <c r="G619" s="264" t="str">
        <f>'Dry_Litterbag Placem_Collection'!C180</f>
        <v>Wet_W3_T2</v>
      </c>
      <c r="H619" s="273" t="s">
        <v>3651</v>
      </c>
      <c r="I619" s="266" t="s">
        <v>1147</v>
      </c>
      <c r="J619" s="263" t="str">
        <f>IF(ISBLANK('Dry_Litterbag Placem_Collection'!L180),"","G"&amp;""&amp;'Dry_Litterbag Placem_Collection'!L180)</f>
        <v>G410</v>
      </c>
      <c r="K619" s="267">
        <f>IFERROR(INDEX('Green_rooibos initial weight'!$C$5:$C$1749,MATCH(J619, 'Green_rooibos initial weight'!$A$5:$A$1749,0)),"")</f>
        <v>2.1110000000000002</v>
      </c>
      <c r="L619" s="267">
        <f>IFERROR(K619-(TBIcalc!$Q$9+TBIcalc!$Q$10),"")</f>
        <v>1.8612000000000002</v>
      </c>
      <c r="M619" s="391">
        <f>AVERAGE(Ashed_controlls!$K$2:$K$11)</f>
        <v>5.5147656768714146</v>
      </c>
      <c r="N619" s="267">
        <f t="shared" si="46"/>
        <v>1.7585591812220693</v>
      </c>
      <c r="O619" s="267">
        <f>IF(IFERROR(INDEX('Both teabags AfterDry'!$D$3:$D$900,MATCH(J619,'Both teabags AfterDry'!$A$3:$A$900,0)),"")="","",(IFERROR(INDEX('Both teabags AfterDry'!$D$3:$D$900,MATCH(J619,'Both teabags AfterDry'!$A$3:$A$900,0)),"")))</f>
        <v>0.71050000000000002</v>
      </c>
      <c r="P619" s="267">
        <f>IFERROR(IF(O619&gt;0,O619-(TBIcalc!$Q$9),""),"")</f>
        <v>0.55990000000000006</v>
      </c>
      <c r="Q619" s="278">
        <f>IFERROR(INDEX('Ashed teabags dry'!$K$2:$K$825,MATCH(J619,'Ashed teabags dry'!$A$2:$A$825,0)),"")</f>
        <v>18.892185954499759</v>
      </c>
      <c r="R619" s="278">
        <f t="shared" si="47"/>
        <v>0.45412265084075587</v>
      </c>
      <c r="S619" s="268">
        <f>'Dry_Litterbag Placem_Collection'!E180</f>
        <v>42940</v>
      </c>
      <c r="T619" s="268">
        <f>IF('Dry_Litterbag Placem_Collection'!G180="","",'Dry_Litterbag Placem_Collection'!G180)</f>
        <v>43009</v>
      </c>
      <c r="U619" s="269">
        <f t="shared" si="45"/>
        <v>69</v>
      </c>
      <c r="V619" s="267">
        <f t="shared" si="48"/>
        <v>1.3013000000000001</v>
      </c>
      <c r="W619" s="267">
        <f t="shared" si="49"/>
        <v>1.3044365303813135</v>
      </c>
      <c r="X619" s="271">
        <f>IFERROR(INDEX(Rainfall_Dry!$O$2:$O$217,MATCH(B619, Rainfall_Dry!$A$2:$A$217,0)),"")</f>
        <v>162.634207253</v>
      </c>
      <c r="Y619" s="260">
        <v>25.96</v>
      </c>
      <c r="Z619" s="260">
        <v>8.9200000000000017</v>
      </c>
      <c r="AA619" s="260">
        <v>65.12</v>
      </c>
      <c r="AB619" s="261" t="s">
        <v>2670</v>
      </c>
      <c r="AC619" s="260">
        <v>2.61458846722523</v>
      </c>
      <c r="AD619">
        <f>IF('WetLitterbags placem_collection'!AB180="","",'WetLitterbags placem_collection'!AB180)</f>
        <v>15.4</v>
      </c>
      <c r="AE619">
        <f>IF('WetLitterbags placem_collection'!Z180="","",'WetLitterbags placem_collection'!Z180)</f>
        <v>18.8</v>
      </c>
      <c r="AF619" s="246" t="str">
        <f>IF('WetLitterbags placem_collection'!AA180="","",'WetLitterbags placem_collection'!AA180)</f>
        <v>O</v>
      </c>
      <c r="AG619">
        <f>IF('WetLitterbags placem_collection'!AC180="","",'WetLitterbags placem_collection'!AC180)</f>
        <v>1</v>
      </c>
      <c r="AH619">
        <f>IFERROR(AVERAGE('Dry_Litterbag Placem_Collection'!O180,'Dry_Litterbag Placem_Collection'!R180),"")</f>
        <v>4.5</v>
      </c>
      <c r="AI619" s="271">
        <f>IFERROR(AVERAGE('Dry_Litterbag Placem_Collection'!N180,'Dry_Litterbag Placem_Collection'!Q180),"")</f>
        <v>35.799999999999997</v>
      </c>
      <c r="AJ619" s="270">
        <f>INDEX(Coordinates!$B$2:$B$197,MATCH(G619,Coordinates!$J$2:$J$197,0))</f>
        <v>-2.2777889760000001</v>
      </c>
      <c r="AK619" s="270">
        <f>INDEX(Coordinates!$C$2:$C$197,MATCH(G619,Coordinates!$J$2:$J$197,0))</f>
        <v>34.027664960000003</v>
      </c>
      <c r="AL619" s="270" t="str">
        <f>IF(ISNUMBER(SEARCH("C", 'Dry_Litterbag Placem_Collection'!U180)),"YES","NO")</f>
        <v>NO</v>
      </c>
      <c r="AM619" s="270" t="str">
        <f>IF(ISNUMBER(SEARCH("H", 'Dry_Litterbag Placem_Collection'!U180)),"YES","NO")</f>
        <v>NO</v>
      </c>
      <c r="AN619" s="270" t="str">
        <f>IF(ISNUMBER(SEARCH("R", 'Dry_Litterbag Placem_Collection'!U180)),"YES","NO")</f>
        <v>NO</v>
      </c>
    </row>
    <row r="620" spans="1:40" ht="15" customHeight="1">
      <c r="A620" s="262" t="s">
        <v>2659</v>
      </c>
      <c r="B620" s="263">
        <f>'Dry_Litterbag Placem_Collection'!A181</f>
        <v>179</v>
      </c>
      <c r="C620" s="263" t="str">
        <f>'Dry_Litterbag Placem_Collection'!B181</f>
        <v>Handajega</v>
      </c>
      <c r="D620" s="263" t="s">
        <v>2460</v>
      </c>
      <c r="E620" s="263" t="s">
        <v>2661</v>
      </c>
      <c r="F620" s="263">
        <v>3</v>
      </c>
      <c r="G620" s="264" t="str">
        <f>'Dry_Litterbag Placem_Collection'!C181</f>
        <v>Wet_W3_T3</v>
      </c>
      <c r="H620" s="273" t="s">
        <v>3651</v>
      </c>
      <c r="I620" s="266" t="s">
        <v>1147</v>
      </c>
      <c r="J620" s="263" t="str">
        <f>IF(ISBLANK('Dry_Litterbag Placem_Collection'!L181),"","G"&amp;""&amp;'Dry_Litterbag Placem_Collection'!L181)</f>
        <v>G78</v>
      </c>
      <c r="K620" s="267">
        <f>IFERROR(INDEX('Green_rooibos initial weight'!$C$5:$C$1749,MATCH(J620, 'Green_rooibos initial weight'!$A$5:$A$1749,0)),"")</f>
        <v>2.0379999999999998</v>
      </c>
      <c r="L620" s="267">
        <f>IFERROR(K620-(TBIcalc!$Q$9+TBIcalc!$Q$10),"")</f>
        <v>1.7881999999999998</v>
      </c>
      <c r="M620" s="391">
        <f>AVERAGE(Ashed_controlls!$K$2:$K$11)</f>
        <v>5.5147656768714146</v>
      </c>
      <c r="N620" s="267">
        <f t="shared" si="46"/>
        <v>1.6895849601661852</v>
      </c>
      <c r="O620" s="267">
        <f>IF(IFERROR(INDEX('Both teabags AfterDry'!$D$3:$D$900,MATCH(J620,'Both teabags AfterDry'!$A$3:$A$900,0)),"")="","",(IFERROR(INDEX('Both teabags AfterDry'!$D$3:$D$900,MATCH(J620,'Both teabags AfterDry'!$A$3:$A$900,0)),"")))</f>
        <v>0.871</v>
      </c>
      <c r="P620" s="267">
        <f>IFERROR(IF(O620&gt;0,O620-(TBIcalc!$Q$9),""),"")</f>
        <v>0.72039999999999993</v>
      </c>
      <c r="Q620" s="278">
        <f>IFERROR(INDEX('Ashed teabags dry'!$K$2:$K$825,MATCH(J620,'Ashed teabags dry'!$A$2:$A$825,0)),"")</f>
        <v>31.412103746397996</v>
      </c>
      <c r="R620" s="278">
        <f t="shared" si="47"/>
        <v>0.49410720461094881</v>
      </c>
      <c r="S620" s="268">
        <f>'Dry_Litterbag Placem_Collection'!E181</f>
        <v>42940</v>
      </c>
      <c r="T620" s="268">
        <f>IF('Dry_Litterbag Placem_Collection'!G181="","",'Dry_Litterbag Placem_Collection'!G181)</f>
        <v>43009</v>
      </c>
      <c r="U620" s="269">
        <f t="shared" si="45"/>
        <v>69</v>
      </c>
      <c r="V620" s="267">
        <f t="shared" si="48"/>
        <v>1.0677999999999999</v>
      </c>
      <c r="W620" s="267">
        <f t="shared" si="49"/>
        <v>1.1954777555552365</v>
      </c>
      <c r="X620" s="271">
        <f>IFERROR(INDEX(Rainfall_Dry!$O$2:$O$217,MATCH(B620, Rainfall_Dry!$A$2:$A$217,0)),"")</f>
        <v>162.634207253</v>
      </c>
      <c r="Y620" s="260">
        <v>25.96</v>
      </c>
      <c r="Z620" s="260">
        <v>8.9200000000000017</v>
      </c>
      <c r="AA620" s="260">
        <v>65.12</v>
      </c>
      <c r="AB620" s="261" t="s">
        <v>2670</v>
      </c>
      <c r="AC620" s="260">
        <v>3.61458846722523</v>
      </c>
      <c r="AD620">
        <f>IF('WetLitterbags placem_collection'!AB181="","",'WetLitterbags placem_collection'!AB181)</f>
        <v>11.8</v>
      </c>
      <c r="AE620">
        <f>IF('WetLitterbags placem_collection'!Z181="","",'WetLitterbags placem_collection'!Z181)</f>
        <v>15.4</v>
      </c>
      <c r="AF620" s="246" t="str">
        <f>IF('WetLitterbags placem_collection'!AA181="","",'WetLitterbags placem_collection'!AA181)</f>
        <v>O</v>
      </c>
      <c r="AG620">
        <f>IF('WetLitterbags placem_collection'!AC181="","",'WetLitterbags placem_collection'!AC181)</f>
        <v>1</v>
      </c>
      <c r="AH620">
        <f>IFERROR(AVERAGE('Dry_Litterbag Placem_Collection'!O181,'Dry_Litterbag Placem_Collection'!R181),"")</f>
        <v>5.8</v>
      </c>
      <c r="AI620" s="271">
        <f>IFERROR(AVERAGE('Dry_Litterbag Placem_Collection'!N181,'Dry_Litterbag Placem_Collection'!Q181),"")</f>
        <v>34.75</v>
      </c>
      <c r="AJ620" s="270">
        <f>INDEX(Coordinates!$B$2:$B$197,MATCH(G620,Coordinates!$J$2:$J$197,0))</f>
        <v>-2.2778579589999999</v>
      </c>
      <c r="AK620" s="270">
        <f>INDEX(Coordinates!$C$2:$C$197,MATCH(G620,Coordinates!$J$2:$J$197,0))</f>
        <v>34.027682980000002</v>
      </c>
      <c r="AL620" s="270" t="str">
        <f>IF(ISNUMBER(SEARCH("C", 'Dry_Litterbag Placem_Collection'!U181)),"YES","NO")</f>
        <v>NO</v>
      </c>
      <c r="AM620" s="270" t="str">
        <f>IF(ISNUMBER(SEARCH("H", 'Dry_Litterbag Placem_Collection'!U181)),"YES","NO")</f>
        <v>NO</v>
      </c>
      <c r="AN620" s="270" t="str">
        <f>IF(ISNUMBER(SEARCH("R", 'Dry_Litterbag Placem_Collection'!U181)),"YES","NO")</f>
        <v>YES</v>
      </c>
    </row>
    <row r="621" spans="1:40" ht="15" customHeight="1">
      <c r="A621" s="262" t="s">
        <v>2659</v>
      </c>
      <c r="B621" s="263">
        <f>'Dry_Litterbag Placem_Collection'!A182</f>
        <v>180</v>
      </c>
      <c r="C621" s="263" t="str">
        <f>'Dry_Litterbag Placem_Collection'!B182</f>
        <v>Handajega</v>
      </c>
      <c r="D621" s="263" t="s">
        <v>2460</v>
      </c>
      <c r="E621" s="263" t="s">
        <v>2661</v>
      </c>
      <c r="F621" s="263">
        <v>3</v>
      </c>
      <c r="G621" s="264" t="str">
        <f>'Dry_Litterbag Placem_Collection'!C182</f>
        <v>Wet_W3_T4</v>
      </c>
      <c r="H621" s="273" t="s">
        <v>3651</v>
      </c>
      <c r="I621" s="266" t="s">
        <v>1147</v>
      </c>
      <c r="J621" s="263" t="str">
        <f>IF(ISBLANK('Dry_Litterbag Placem_Collection'!L182),"","G"&amp;""&amp;'Dry_Litterbag Placem_Collection'!L182)</f>
        <v>G422</v>
      </c>
      <c r="K621" s="267">
        <f>IFERROR(INDEX('Green_rooibos initial weight'!$C$5:$C$1749,MATCH(J621, 'Green_rooibos initial weight'!$A$5:$A$1749,0)),"")</f>
        <v>2.0049999999999999</v>
      </c>
      <c r="L621" s="267">
        <f>IFERROR(K621-(TBIcalc!$Q$9+TBIcalc!$Q$10),"")</f>
        <v>1.7551999999999999</v>
      </c>
      <c r="M621" s="391">
        <f>AVERAGE(Ashed_controlls!$K$2:$K$11)</f>
        <v>5.5147656768714146</v>
      </c>
      <c r="N621" s="267">
        <f t="shared" si="46"/>
        <v>1.6584048328395529</v>
      </c>
      <c r="O621" s="267">
        <f>IF(IFERROR(INDEX('Both teabags AfterDry'!$D$3:$D$900,MATCH(J621,'Both teabags AfterDry'!$A$3:$A$900,0)),"")="","",(IFERROR(INDEX('Both teabags AfterDry'!$D$3:$D$900,MATCH(J621,'Both teabags AfterDry'!$A$3:$A$900,0)),"")))</f>
        <v>0.751</v>
      </c>
      <c r="P621" s="267">
        <f>IFERROR(IF(O621&gt;0,O621-(TBIcalc!$Q$9),""),"")</f>
        <v>0.60040000000000004</v>
      </c>
      <c r="Q621" s="278">
        <f>IFERROR(INDEX('Ashed teabags dry'!$K$2:$K$825,MATCH(J621,'Ashed teabags dry'!$A$2:$A$825,0)),"")</f>
        <v>20.896226415094358</v>
      </c>
      <c r="R621" s="278">
        <f t="shared" si="47"/>
        <v>0.4749390566037735</v>
      </c>
      <c r="S621" s="268">
        <f>'Dry_Litterbag Placem_Collection'!E182</f>
        <v>42940</v>
      </c>
      <c r="T621" s="268">
        <f>IF('Dry_Litterbag Placem_Collection'!G182="","",'Dry_Litterbag Placem_Collection'!G182)</f>
        <v>43009</v>
      </c>
      <c r="U621" s="269">
        <f t="shared" si="45"/>
        <v>69</v>
      </c>
      <c r="V621" s="267">
        <f t="shared" si="48"/>
        <v>1.1547999999999998</v>
      </c>
      <c r="W621" s="267">
        <f t="shared" si="49"/>
        <v>1.1834657762357794</v>
      </c>
      <c r="X621" s="271">
        <f>IFERROR(INDEX(Rainfall_Dry!$O$2:$O$217,MATCH(B621, Rainfall_Dry!$A$2:$A$217,0)),"")</f>
        <v>162.634207253</v>
      </c>
      <c r="Y621" s="260">
        <v>25.96</v>
      </c>
      <c r="Z621" s="260">
        <v>8.9200000000000017</v>
      </c>
      <c r="AA621" s="260">
        <v>65.12</v>
      </c>
      <c r="AB621" s="261" t="s">
        <v>2670</v>
      </c>
      <c r="AC621" s="260">
        <v>4.6145884672252304</v>
      </c>
      <c r="AD621">
        <f>IF('WetLitterbags placem_collection'!AB182="","",'WetLitterbags placem_collection'!AB182)</f>
        <v>8.3000000000000007</v>
      </c>
      <c r="AE621">
        <f>IF('WetLitterbags placem_collection'!Z182="","",'WetLitterbags placem_collection'!Z182)</f>
        <v>35</v>
      </c>
      <c r="AF621" s="246" t="str">
        <f>IF('WetLitterbags placem_collection'!AA182="","",'WetLitterbags placem_collection'!AA182)</f>
        <v>O</v>
      </c>
      <c r="AG621">
        <f>IF('WetLitterbags placem_collection'!AC182="","",'WetLitterbags placem_collection'!AC182)</f>
        <v>0</v>
      </c>
      <c r="AH621">
        <f>IFERROR(AVERAGE('Dry_Litterbag Placem_Collection'!O182,'Dry_Litterbag Placem_Collection'!R182),"")</f>
        <v>5.3</v>
      </c>
      <c r="AI621" s="271">
        <f>IFERROR(AVERAGE('Dry_Litterbag Placem_Collection'!N182,'Dry_Litterbag Placem_Collection'!Q182),"")</f>
        <v>31</v>
      </c>
      <c r="AJ621" s="270">
        <f>INDEX(Coordinates!$B$2:$B$197,MATCH(G621,Coordinates!$J$2:$J$197,0))</f>
        <v>-2.2780199809999999</v>
      </c>
      <c r="AK621" s="270">
        <f>INDEX(Coordinates!$C$2:$C$197,MATCH(G621,Coordinates!$J$2:$J$197,0))</f>
        <v>34.027705019999999</v>
      </c>
      <c r="AL621" s="270" t="str">
        <f>IF(ISNUMBER(SEARCH("C", 'Dry_Litterbag Placem_Collection'!U182)),"YES","NO")</f>
        <v>NO</v>
      </c>
      <c r="AM621" s="270" t="str">
        <f>IF(ISNUMBER(SEARCH("H", 'Dry_Litterbag Placem_Collection'!U182)),"YES","NO")</f>
        <v>NO</v>
      </c>
      <c r="AN621" s="270" t="str">
        <f>IF(ISNUMBER(SEARCH("R", 'Dry_Litterbag Placem_Collection'!U182)),"YES","NO")</f>
        <v>YES</v>
      </c>
    </row>
    <row r="622" spans="1:40" ht="15" customHeight="1">
      <c r="A622" s="262" t="s">
        <v>2659</v>
      </c>
      <c r="B622" s="263">
        <f>'Dry_Litterbag Placem_Collection'!A183</f>
        <v>181</v>
      </c>
      <c r="C622" s="263" t="str">
        <f>'Dry_Litterbag Placem_Collection'!B183</f>
        <v>Handajega</v>
      </c>
      <c r="D622" s="263" t="s">
        <v>2460</v>
      </c>
      <c r="E622" s="263" t="s">
        <v>2661</v>
      </c>
      <c r="F622" s="263">
        <v>3</v>
      </c>
      <c r="G622" s="264" t="str">
        <f>'Dry_Litterbag Placem_Collection'!C183</f>
        <v>Wet_W3_T5</v>
      </c>
      <c r="H622" s="273" t="s">
        <v>3651</v>
      </c>
      <c r="I622" s="266" t="s">
        <v>1147</v>
      </c>
      <c r="J622" s="263" t="str">
        <f>IF(ISBLANK('Dry_Litterbag Placem_Collection'!L183),"","G"&amp;""&amp;'Dry_Litterbag Placem_Collection'!L183)</f>
        <v>G870</v>
      </c>
      <c r="K622" s="267">
        <f>IFERROR(INDEX('Green_rooibos initial weight'!$C$5:$C$1749,MATCH(J622, 'Green_rooibos initial weight'!$A$5:$A$1749,0)),"")</f>
        <v>1.972</v>
      </c>
      <c r="L622" s="267">
        <f>IFERROR(K622-(TBIcalc!$Q$9+TBIcalc!$Q$10),"")</f>
        <v>1.7222</v>
      </c>
      <c r="M622" s="391">
        <f>AVERAGE(Ashed_controlls!$K$2:$K$11)</f>
        <v>5.5147656768714146</v>
      </c>
      <c r="N622" s="267">
        <f t="shared" si="46"/>
        <v>1.6272247055129205</v>
      </c>
      <c r="O622" s="267">
        <f>IF(IFERROR(INDEX('Both teabags AfterDry'!$D$3:$D$900,MATCH(J622,'Both teabags AfterDry'!$A$3:$A$900,0)),"")="","",(IFERROR(INDEX('Both teabags AfterDry'!$D$3:$D$900,MATCH(J622,'Both teabags AfterDry'!$A$3:$A$900,0)),"")))</f>
        <v>0.75219999999999998</v>
      </c>
      <c r="P622" s="267">
        <f>IFERROR(IF(O622&gt;0,O622-(TBIcalc!$Q$9),""),"")</f>
        <v>0.60159999999999991</v>
      </c>
      <c r="Q622" s="278">
        <f>IFERROR(INDEX('Ashed teabags dry'!$K$2:$K$825,MATCH(J622,'Ashed teabags dry'!$A$2:$A$825,0)),"")</f>
        <v>17.470472440944899</v>
      </c>
      <c r="R622" s="278">
        <f t="shared" si="47"/>
        <v>0.49649763779527545</v>
      </c>
      <c r="S622" s="268">
        <f>'Dry_Litterbag Placem_Collection'!E183</f>
        <v>42940</v>
      </c>
      <c r="T622" s="268">
        <f>IF('Dry_Litterbag Placem_Collection'!G183="","",'Dry_Litterbag Placem_Collection'!G183)</f>
        <v>43009</v>
      </c>
      <c r="U622" s="269">
        <f t="shared" si="45"/>
        <v>69</v>
      </c>
      <c r="V622" s="267">
        <f t="shared" si="48"/>
        <v>1.1206</v>
      </c>
      <c r="W622" s="267">
        <f t="shared" si="49"/>
        <v>1.1307270677176451</v>
      </c>
      <c r="X622" s="271">
        <f>IFERROR(INDEX(Rainfall_Dry!$O$2:$O$217,MATCH(B622, Rainfall_Dry!$A$2:$A$217,0)),"")</f>
        <v>162.634207253</v>
      </c>
      <c r="Y622" s="260">
        <v>25.96</v>
      </c>
      <c r="Z622" s="260">
        <v>8.9200000000000017</v>
      </c>
      <c r="AA622" s="260">
        <v>65.12</v>
      </c>
      <c r="AB622" s="261" t="s">
        <v>2670</v>
      </c>
      <c r="AC622" s="260">
        <v>5.6145884672252304</v>
      </c>
      <c r="AD622">
        <f>IF('WetLitterbags placem_collection'!AB183="","",'WetLitterbags placem_collection'!AB183)</f>
        <v>11.4</v>
      </c>
      <c r="AE622">
        <f>IF('WetLitterbags placem_collection'!Z183="","",'WetLitterbags placem_collection'!Z183)</f>
        <v>15.8</v>
      </c>
      <c r="AF622" s="246" t="str">
        <f>IF('WetLitterbags placem_collection'!AA183="","",'WetLitterbags placem_collection'!AA183)</f>
        <v>O</v>
      </c>
      <c r="AG622">
        <f>IF('WetLitterbags placem_collection'!AC183="","",'WetLitterbags placem_collection'!AC183)</f>
        <v>1</v>
      </c>
      <c r="AH622">
        <f>IFERROR(AVERAGE('Dry_Litterbag Placem_Collection'!O183,'Dry_Litterbag Placem_Collection'!R183),"")</f>
        <v>4.3000000000000007</v>
      </c>
      <c r="AI622" s="271">
        <f>IFERROR(AVERAGE('Dry_Litterbag Placem_Collection'!N183,'Dry_Litterbag Placem_Collection'!Q183),"")</f>
        <v>35.099999999999994</v>
      </c>
      <c r="AJ622" s="270">
        <f>INDEX(Coordinates!$B$2:$B$197,MATCH(G622,Coordinates!$J$2:$J$197,0))</f>
        <v>-2.2777329850000001</v>
      </c>
      <c r="AK622" s="270">
        <f>INDEX(Coordinates!$C$2:$C$197,MATCH(G622,Coordinates!$J$2:$J$197,0))</f>
        <v>34.027422970000003</v>
      </c>
      <c r="AL622" s="270" t="str">
        <f>IF(ISNUMBER(SEARCH("C", 'Dry_Litterbag Placem_Collection'!U183)),"YES","NO")</f>
        <v>NO</v>
      </c>
      <c r="AM622" s="270" t="str">
        <f>IF(ISNUMBER(SEARCH("H", 'Dry_Litterbag Placem_Collection'!U183)),"YES","NO")</f>
        <v>NO</v>
      </c>
      <c r="AN622" s="270" t="str">
        <f>IF(ISNUMBER(SEARCH("R", 'Dry_Litterbag Placem_Collection'!U183)),"YES","NO")</f>
        <v>NO</v>
      </c>
    </row>
    <row r="623" spans="1:40" ht="15" customHeight="1">
      <c r="A623" s="262" t="s">
        <v>2659</v>
      </c>
      <c r="B623" s="263">
        <f>'Dry_Litterbag Placem_Collection'!A184</f>
        <v>182</v>
      </c>
      <c r="C623" s="263" t="str">
        <f>'Dry_Litterbag Placem_Collection'!B184</f>
        <v>Handajega</v>
      </c>
      <c r="D623" s="263" t="s">
        <v>2460</v>
      </c>
      <c r="E623" s="263" t="s">
        <v>2661</v>
      </c>
      <c r="F623" s="263">
        <v>3</v>
      </c>
      <c r="G623" s="264" t="str">
        <f>'Dry_Litterbag Placem_Collection'!C184</f>
        <v>Wet_W3_T6</v>
      </c>
      <c r="H623" s="273" t="s">
        <v>3651</v>
      </c>
      <c r="I623" s="266" t="s">
        <v>1147</v>
      </c>
      <c r="J623" s="263" t="str">
        <f>IF(ISBLANK('Dry_Litterbag Placem_Collection'!L184),"","G"&amp;""&amp;'Dry_Litterbag Placem_Collection'!L184)</f>
        <v>G136</v>
      </c>
      <c r="K623" s="267">
        <f>IFERROR(INDEX('Green_rooibos initial weight'!$C$5:$C$1749,MATCH(J623, 'Green_rooibos initial weight'!$A$5:$A$1749,0)),"")</f>
        <v>1.9430000000000001</v>
      </c>
      <c r="L623" s="267">
        <f>IFERROR(K623-(TBIcalc!$Q$9+TBIcalc!$Q$10),"")</f>
        <v>1.6932</v>
      </c>
      <c r="M623" s="391">
        <f>AVERAGE(Ashed_controlls!$K$2:$K$11)</f>
        <v>5.5147656768714146</v>
      </c>
      <c r="N623" s="267">
        <f t="shared" si="46"/>
        <v>1.5998239875592133</v>
      </c>
      <c r="O623" s="267">
        <f>IF(IFERROR(INDEX('Both teabags AfterDry'!$D$3:$D$900,MATCH(J623,'Both teabags AfterDry'!$A$3:$A$900,0)),"")="","",(IFERROR(INDEX('Both teabags AfterDry'!$D$3:$D$900,MATCH(J623,'Both teabags AfterDry'!$A$3:$A$900,0)),"")))</f>
        <v>0.71589999999999998</v>
      </c>
      <c r="P623" s="267">
        <f>IFERROR(IF(O623&gt;0,O623-(TBIcalc!$Q$9),""),"")</f>
        <v>0.56529999999999991</v>
      </c>
      <c r="Q623" s="278">
        <f>IFERROR(INDEX('Ashed teabags dry'!$K$2:$K$825,MATCH(J623,'Ashed teabags dry'!$A$2:$A$825,0)),"")</f>
        <v>14.444983034415532</v>
      </c>
      <c r="R623" s="278">
        <f t="shared" si="47"/>
        <v>0.48364251090644894</v>
      </c>
      <c r="S623" s="268">
        <f>'Dry_Litterbag Placem_Collection'!E184</f>
        <v>42940</v>
      </c>
      <c r="T623" s="268">
        <f>IF('Dry_Litterbag Placem_Collection'!G184="","",'Dry_Litterbag Placem_Collection'!G184)</f>
        <v>43009</v>
      </c>
      <c r="U623" s="269">
        <f t="shared" si="45"/>
        <v>69</v>
      </c>
      <c r="V623" s="267">
        <f t="shared" si="48"/>
        <v>1.1279000000000001</v>
      </c>
      <c r="W623" s="267">
        <f t="shared" si="49"/>
        <v>1.1161814766527645</v>
      </c>
      <c r="X623" s="271">
        <f>IFERROR(INDEX(Rainfall_Dry!$O$2:$O$217,MATCH(B623, Rainfall_Dry!$A$2:$A$217,0)),"")</f>
        <v>162.634207253</v>
      </c>
      <c r="Y623" s="260">
        <v>25.96</v>
      </c>
      <c r="Z623" s="260">
        <v>8.9200000000000017</v>
      </c>
      <c r="AA623" s="260">
        <v>65.12</v>
      </c>
      <c r="AB623" s="261" t="s">
        <v>2670</v>
      </c>
      <c r="AC623" s="260">
        <v>6.6145884672252304</v>
      </c>
      <c r="AD623">
        <f>IF('WetLitterbags placem_collection'!AB184="","",'WetLitterbags placem_collection'!AB184)</f>
        <v>8.8000000000000007</v>
      </c>
      <c r="AE623">
        <f>IF('WetLitterbags placem_collection'!Z184="","",'WetLitterbags placem_collection'!Z184)</f>
        <v>15.8</v>
      </c>
      <c r="AF623" s="246" t="str">
        <f>IF('WetLitterbags placem_collection'!AA184="","",'WetLitterbags placem_collection'!AA184)</f>
        <v>O</v>
      </c>
      <c r="AG623">
        <f>IF('WetLitterbags placem_collection'!AC184="","",'WetLitterbags placem_collection'!AC184)</f>
        <v>1</v>
      </c>
      <c r="AH623">
        <f>IFERROR(AVERAGE('Dry_Litterbag Placem_Collection'!O184,'Dry_Litterbag Placem_Collection'!R184),"")</f>
        <v>6.55</v>
      </c>
      <c r="AI623" s="271">
        <f>IFERROR(AVERAGE('Dry_Litterbag Placem_Collection'!N184,'Dry_Litterbag Placem_Collection'!Q184),"")</f>
        <v>36.400000000000006</v>
      </c>
      <c r="AJ623" s="270">
        <f>INDEX(Coordinates!$B$2:$B$197,MATCH(G623,Coordinates!$J$2:$J$197,0))</f>
        <v>-2.2777009659999998</v>
      </c>
      <c r="AK623" s="270">
        <f>INDEX(Coordinates!$C$2:$C$197,MATCH(G623,Coordinates!$J$2:$J$197,0))</f>
        <v>34.027393969999999</v>
      </c>
      <c r="AL623" s="270" t="str">
        <f>IF(ISNUMBER(SEARCH("C", 'Dry_Litterbag Placem_Collection'!U184)),"YES","NO")</f>
        <v>NO</v>
      </c>
      <c r="AM623" s="270" t="str">
        <f>IF(ISNUMBER(SEARCH("H", 'Dry_Litterbag Placem_Collection'!U184)),"YES","NO")</f>
        <v>NO</v>
      </c>
      <c r="AN623" s="270" t="str">
        <f>IF(ISNUMBER(SEARCH("R", 'Dry_Litterbag Placem_Collection'!U184)),"YES","NO")</f>
        <v>YES</v>
      </c>
    </row>
    <row r="624" spans="1:40" ht="15" customHeight="1">
      <c r="A624" s="262" t="s">
        <v>2659</v>
      </c>
      <c r="B624" s="263">
        <f>'Dry_Litterbag Placem_Collection'!A185</f>
        <v>183</v>
      </c>
      <c r="C624" s="263" t="str">
        <f>'Dry_Litterbag Placem_Collection'!B185</f>
        <v>Handajega</v>
      </c>
      <c r="D624" s="263" t="s">
        <v>2460</v>
      </c>
      <c r="E624" s="263" t="s">
        <v>2661</v>
      </c>
      <c r="F624" s="263">
        <v>3</v>
      </c>
      <c r="G624" s="264" t="str">
        <f>'Dry_Litterbag Placem_Collection'!C185</f>
        <v>Wet_W3_T7</v>
      </c>
      <c r="H624" s="273" t="s">
        <v>3651</v>
      </c>
      <c r="I624" s="266" t="s">
        <v>1147</v>
      </c>
      <c r="J624" s="263" t="str">
        <f>IF(ISBLANK('Dry_Litterbag Placem_Collection'!L185),"","G"&amp;""&amp;'Dry_Litterbag Placem_Collection'!L185)</f>
        <v/>
      </c>
      <c r="K624" s="267" t="str">
        <f>IFERROR(INDEX('Green_rooibos initial weight'!$C$5:$C$1749,MATCH(J624, 'Green_rooibos initial weight'!$A$5:$A$1749,0)),"")</f>
        <v/>
      </c>
      <c r="L624" s="267" t="str">
        <f>IFERROR(K624-(TBIcalc!$Q$9+TBIcalc!$Q$10),"")</f>
        <v/>
      </c>
      <c r="M624" s="391">
        <f>AVERAGE(Ashed_controlls!$K$2:$K$11)</f>
        <v>5.5147656768714146</v>
      </c>
      <c r="N624" s="267" t="str">
        <f t="shared" si="46"/>
        <v/>
      </c>
      <c r="O624" s="267" t="str">
        <f>IF(IFERROR(INDEX('Both teabags AfterDry'!$D$3:$D$900,MATCH(J624,'Both teabags AfterDry'!$A$3:$A$900,0)),"")="","",(IFERROR(INDEX('Both teabags AfterDry'!$D$3:$D$900,MATCH(J624,'Both teabags AfterDry'!$A$3:$A$900,0)),"")))</f>
        <v/>
      </c>
      <c r="P624" s="267" t="str">
        <f>IFERROR(IF(O624&gt;0,O624-(TBIcalc!$Q$9),""),"")</f>
        <v/>
      </c>
      <c r="Q624" s="278" t="str">
        <f>IFERROR(INDEX('Ashed teabags dry'!$K$2:$K$825,MATCH(J624,'Ashed teabags dry'!$A$2:$A$825,0)),"")</f>
        <v/>
      </c>
      <c r="R624" s="278" t="str">
        <f t="shared" si="47"/>
        <v/>
      </c>
      <c r="S624" s="268">
        <f>'Dry_Litterbag Placem_Collection'!E185</f>
        <v>0</v>
      </c>
      <c r="T624" s="268" t="str">
        <f>IF('Dry_Litterbag Placem_Collection'!G185="","",'Dry_Litterbag Placem_Collection'!G185)</f>
        <v/>
      </c>
      <c r="U624" s="269" t="str">
        <f t="shared" si="45"/>
        <v/>
      </c>
      <c r="V624" s="267" t="str">
        <f t="shared" si="48"/>
        <v/>
      </c>
      <c r="W624" s="267" t="str">
        <f t="shared" si="49"/>
        <v/>
      </c>
      <c r="X624" s="271" t="str">
        <f>IFERROR(INDEX(Rainfall_Dry!$O$2:$O$217,MATCH(B624, Rainfall_Dry!$A$2:$A$217,0)),"")</f>
        <v/>
      </c>
      <c r="Y624" s="260">
        <v>25.96</v>
      </c>
      <c r="Z624" s="260">
        <v>8.9200000000000017</v>
      </c>
      <c r="AA624" s="260">
        <v>65.12</v>
      </c>
      <c r="AB624" s="261" t="s">
        <v>2670</v>
      </c>
      <c r="AC624" s="260">
        <v>7.6145884672252304</v>
      </c>
      <c r="AD624">
        <f>IF('WetLitterbags placem_collection'!AB185="","",'WetLitterbags placem_collection'!AB185)</f>
        <v>11.4</v>
      </c>
      <c r="AE624">
        <f>IF('WetLitterbags placem_collection'!Z185="","",'WetLitterbags placem_collection'!Z185)</f>
        <v>35.799999999999997</v>
      </c>
      <c r="AF624" s="246" t="str">
        <f>IF('WetLitterbags placem_collection'!AA185="","",'WetLitterbags placem_collection'!AA185)</f>
        <v>G</v>
      </c>
      <c r="AG624">
        <f>IF('WetLitterbags placem_collection'!AC185="","",'WetLitterbags placem_collection'!AC185)</f>
        <v>1</v>
      </c>
      <c r="AH624" t="str">
        <f>IFERROR(AVERAGE('Dry_Litterbag Placem_Collection'!O185,'Dry_Litterbag Placem_Collection'!R185),"")</f>
        <v/>
      </c>
      <c r="AI624" s="271" t="str">
        <f>IFERROR(AVERAGE('Dry_Litterbag Placem_Collection'!N185,'Dry_Litterbag Placem_Collection'!Q185),"")</f>
        <v/>
      </c>
      <c r="AJ624" s="270">
        <f>INDEX(Coordinates!$B$2:$B$197,MATCH(G624,Coordinates!$J$2:$J$197,0))</f>
        <v>-2.2777790019999999</v>
      </c>
      <c r="AK624" s="270">
        <f>INDEX(Coordinates!$C$2:$C$197,MATCH(G624,Coordinates!$J$2:$J$197,0))</f>
        <v>34.028066029999998</v>
      </c>
      <c r="AL624" s="270" t="str">
        <f>IF(ISNUMBER(SEARCH("C", 'Dry_Litterbag Placem_Collection'!U185)),"YES","NO")</f>
        <v>NO</v>
      </c>
      <c r="AM624" s="270" t="str">
        <f>IF(ISNUMBER(SEARCH("H", 'Dry_Litterbag Placem_Collection'!U185)),"YES","NO")</f>
        <v>NO</v>
      </c>
      <c r="AN624" s="270" t="str">
        <f>IF(ISNUMBER(SEARCH("R", 'Dry_Litterbag Placem_Collection'!U185)),"YES","NO")</f>
        <v>NO</v>
      </c>
    </row>
    <row r="625" spans="1:40" ht="15" customHeight="1">
      <c r="A625" s="262" t="s">
        <v>2659</v>
      </c>
      <c r="B625" s="263">
        <f>'Dry_Litterbag Placem_Collection'!A186</f>
        <v>184</v>
      </c>
      <c r="C625" s="263" t="str">
        <f>'Dry_Litterbag Placem_Collection'!B186</f>
        <v>Handajega</v>
      </c>
      <c r="D625" s="263" t="s">
        <v>2460</v>
      </c>
      <c r="E625" s="263" t="s">
        <v>2661</v>
      </c>
      <c r="F625" s="263">
        <v>3</v>
      </c>
      <c r="G625" s="264" t="str">
        <f>'Dry_Litterbag Placem_Collection'!C186</f>
        <v>Wet_W3_T8</v>
      </c>
      <c r="H625" s="273" t="s">
        <v>3651</v>
      </c>
      <c r="I625" s="266" t="s">
        <v>1147</v>
      </c>
      <c r="J625" s="263" t="str">
        <f>IF(ISBLANK('Dry_Litterbag Placem_Collection'!L186),"","G"&amp;""&amp;'Dry_Litterbag Placem_Collection'!L186)</f>
        <v>G266</v>
      </c>
      <c r="K625" s="267">
        <f>IFERROR(INDEX('Green_rooibos initial weight'!$C$5:$C$1749,MATCH(J625, 'Green_rooibos initial weight'!$A$5:$A$1749,0)),"")</f>
        <v>1.9570000000000001</v>
      </c>
      <c r="L625" s="267">
        <f>IFERROR(K625-(TBIcalc!$Q$9+TBIcalc!$Q$10),"")</f>
        <v>1.7072000000000001</v>
      </c>
      <c r="M625" s="391">
        <f>AVERAGE(Ashed_controlls!$K$2:$K$11)</f>
        <v>5.5147656768714146</v>
      </c>
      <c r="N625" s="267">
        <f t="shared" si="46"/>
        <v>1.6130519203644513</v>
      </c>
      <c r="O625" s="267">
        <f>IF(IFERROR(INDEX('Both teabags AfterDry'!$D$3:$D$900,MATCH(J625,'Both teabags AfterDry'!$A$3:$A$900,0)),"")="","",(IFERROR(INDEX('Both teabags AfterDry'!$D$3:$D$900,MATCH(J625,'Both teabags AfterDry'!$A$3:$A$900,0)),"")))</f>
        <v>0.69879999999999998</v>
      </c>
      <c r="P625" s="267">
        <f>IFERROR(IF(O625&gt;0,O625-(TBIcalc!$Q$9),""),"")</f>
        <v>0.54820000000000002</v>
      </c>
      <c r="Q625" s="278">
        <f>IFERROR(INDEX('Ashed teabags dry'!$K$2:$K$825,MATCH(J625,'Ashed teabags dry'!$A$2:$A$825,0)),"")</f>
        <v>29.369282619161797</v>
      </c>
      <c r="R625" s="278">
        <f t="shared" si="47"/>
        <v>0.38719759268175502</v>
      </c>
      <c r="S625" s="268">
        <f>'Dry_Litterbag Placem_Collection'!E186</f>
        <v>42940</v>
      </c>
      <c r="T625" s="268">
        <f>IF('Dry_Litterbag Placem_Collection'!G186="","",'Dry_Litterbag Placem_Collection'!G186)</f>
        <v>43009</v>
      </c>
      <c r="U625" s="269">
        <f t="shared" si="45"/>
        <v>69</v>
      </c>
      <c r="V625" s="267">
        <f t="shared" si="48"/>
        <v>1.159</v>
      </c>
      <c r="W625" s="267">
        <f t="shared" si="49"/>
        <v>1.2258543276826963</v>
      </c>
      <c r="X625" s="271">
        <f>IFERROR(INDEX(Rainfall_Dry!$O$2:$O$217,MATCH(B625, Rainfall_Dry!$A$2:$A$217,0)),"")</f>
        <v>162.634207253</v>
      </c>
      <c r="Y625" s="260">
        <v>25.96</v>
      </c>
      <c r="Z625" s="260">
        <v>8.9200000000000017</v>
      </c>
      <c r="AA625" s="260">
        <v>65.12</v>
      </c>
      <c r="AB625" s="261" t="s">
        <v>2670</v>
      </c>
      <c r="AC625" s="260">
        <v>8.6145884672252304</v>
      </c>
      <c r="AD625">
        <f>IF('WetLitterbags placem_collection'!AB186="","",'WetLitterbags placem_collection'!AB186)</f>
        <v>3.7</v>
      </c>
      <c r="AE625">
        <f>IF('WetLitterbags placem_collection'!Z186="","",'WetLitterbags placem_collection'!Z186)</f>
        <v>16.399999999999999</v>
      </c>
      <c r="AF625" s="246" t="str">
        <f>IF('WetLitterbags placem_collection'!AA186="","",'WetLitterbags placem_collection'!AA186)</f>
        <v>O</v>
      </c>
      <c r="AG625">
        <f>IF('WetLitterbags placem_collection'!AC186="","",'WetLitterbags placem_collection'!AC186)</f>
        <v>0</v>
      </c>
      <c r="AH625">
        <f>IFERROR(AVERAGE('Dry_Litterbag Placem_Collection'!O186,'Dry_Litterbag Placem_Collection'!R186),"")</f>
        <v>4.3</v>
      </c>
      <c r="AI625" s="271">
        <f>IFERROR(AVERAGE('Dry_Litterbag Placem_Collection'!N186,'Dry_Litterbag Placem_Collection'!Q186),"")</f>
        <v>28.05</v>
      </c>
      <c r="AJ625" s="270">
        <f>INDEX(Coordinates!$B$2:$B$197,MATCH(G625,Coordinates!$J$2:$J$197,0))</f>
        <v>-2.2775169829999999</v>
      </c>
      <c r="AK625" s="270">
        <f>INDEX(Coordinates!$C$2:$C$197,MATCH(G625,Coordinates!$J$2:$J$197,0))</f>
        <v>34.027766970000002</v>
      </c>
      <c r="AL625" s="270" t="str">
        <f>IF(ISNUMBER(SEARCH("C", 'Dry_Litterbag Placem_Collection'!U186)),"YES","NO")</f>
        <v>NO</v>
      </c>
      <c r="AM625" s="270" t="str">
        <f>IF(ISNUMBER(SEARCH("H", 'Dry_Litterbag Placem_Collection'!U186)),"YES","NO")</f>
        <v>NO</v>
      </c>
      <c r="AN625" s="270" t="str">
        <f>IF(ISNUMBER(SEARCH("R", 'Dry_Litterbag Placem_Collection'!U186)),"YES","NO")</f>
        <v>YES</v>
      </c>
    </row>
    <row r="626" spans="1:40" ht="15" customHeight="1">
      <c r="A626" s="262" t="s">
        <v>2659</v>
      </c>
      <c r="B626" s="263">
        <f>'Dry_Litterbag Placem_Collection'!A187</f>
        <v>185</v>
      </c>
      <c r="C626" s="263" t="str">
        <f>'Dry_Litterbag Placem_Collection'!B187</f>
        <v>Handajega</v>
      </c>
      <c r="D626" s="263" t="s">
        <v>2460</v>
      </c>
      <c r="E626" s="263" t="s">
        <v>2661</v>
      </c>
      <c r="F626" s="263">
        <v>4</v>
      </c>
      <c r="G626" s="264" t="str">
        <f>'Dry_Litterbag Placem_Collection'!C187</f>
        <v>Wet_W4_T1</v>
      </c>
      <c r="H626" s="273" t="s">
        <v>3651</v>
      </c>
      <c r="I626" s="266" t="s">
        <v>1147</v>
      </c>
      <c r="J626" s="263" t="str">
        <f>IF(ISBLANK('Dry_Litterbag Placem_Collection'!L187),"","G"&amp;""&amp;'Dry_Litterbag Placem_Collection'!L187)</f>
        <v>G165</v>
      </c>
      <c r="K626" s="267">
        <f>IFERROR(INDEX('Green_rooibos initial weight'!$C$5:$C$1749,MATCH(J626, 'Green_rooibos initial weight'!$A$5:$A$1749,0)),"")</f>
        <v>2.0089999999999999</v>
      </c>
      <c r="L626" s="267">
        <f>IFERROR(K626-(TBIcalc!$Q$9+TBIcalc!$Q$10),"")</f>
        <v>1.7591999999999999</v>
      </c>
      <c r="M626" s="391">
        <f>AVERAGE(Ashed_controlls!$K$2:$K$11)</f>
        <v>5.5147656768714146</v>
      </c>
      <c r="N626" s="267">
        <f t="shared" si="46"/>
        <v>1.662184242212478</v>
      </c>
      <c r="O626" s="267" t="str">
        <f>IF(IFERROR(INDEX('Both teabags AfterDry'!$D$3:$D$900,MATCH(J626,'Both teabags AfterDry'!$A$3:$A$900,0)),"")="","",(IFERROR(INDEX('Both teabags AfterDry'!$D$3:$D$900,MATCH(J626,'Both teabags AfterDry'!$A$3:$A$900,0)),"")))</f>
        <v/>
      </c>
      <c r="P626" s="267" t="str">
        <f>IFERROR(IF(O626&gt;0,O626-(TBIcalc!$Q$9),""),"")</f>
        <v/>
      </c>
      <c r="Q626" s="278" t="str">
        <f>IFERROR(INDEX('Ashed teabags dry'!$K$2:$K$825,MATCH(J626,'Ashed teabags dry'!$A$2:$A$825,0)),"")</f>
        <v/>
      </c>
      <c r="R626" s="278" t="str">
        <f t="shared" si="47"/>
        <v/>
      </c>
      <c r="S626" s="268">
        <f>'Dry_Litterbag Placem_Collection'!E187</f>
        <v>42940</v>
      </c>
      <c r="T626" s="268">
        <f>IF('Dry_Litterbag Placem_Collection'!G187="","",'Dry_Litterbag Placem_Collection'!G187)</f>
        <v>43009</v>
      </c>
      <c r="U626" s="269">
        <f t="shared" si="45"/>
        <v>69</v>
      </c>
      <c r="V626" s="267" t="str">
        <f t="shared" si="48"/>
        <v/>
      </c>
      <c r="W626" s="267" t="str">
        <f t="shared" si="49"/>
        <v/>
      </c>
      <c r="X626" s="271">
        <f>IFERROR(INDEX(Rainfall_Dry!$O$2:$O$217,MATCH(B626, Rainfall_Dry!$A$2:$A$217,0)),"")</f>
        <v>162.634207253</v>
      </c>
      <c r="Y626" s="260">
        <v>25.96</v>
      </c>
      <c r="Z626" s="260">
        <v>8.9200000000000017</v>
      </c>
      <c r="AA626" s="260">
        <v>65.12</v>
      </c>
      <c r="AB626" s="261" t="s">
        <v>2670</v>
      </c>
      <c r="AC626" s="260">
        <v>1.6991621488417901</v>
      </c>
      <c r="AD626">
        <f>IF('WetLitterbags placem_collection'!AB187="","",'WetLitterbags placem_collection'!AB187)</f>
        <v>9.8000000000000007</v>
      </c>
      <c r="AE626">
        <f>IF('WetLitterbags placem_collection'!Z187="","",'WetLitterbags placem_collection'!Z187)</f>
        <v>29.4</v>
      </c>
      <c r="AF626" s="246" t="str">
        <f>IF('WetLitterbags placem_collection'!AA187="","",'WetLitterbags placem_collection'!AA187)</f>
        <v>O</v>
      </c>
      <c r="AG626">
        <f>IF('WetLitterbags placem_collection'!AC187="","",'WetLitterbags placem_collection'!AC187)</f>
        <v>0</v>
      </c>
      <c r="AH626">
        <f>IFERROR(AVERAGE('Dry_Litterbag Placem_Collection'!O187,'Dry_Litterbag Placem_Collection'!R187),"")</f>
        <v>4.9000000000000004</v>
      </c>
      <c r="AI626" s="271">
        <f>IFERROR(AVERAGE('Dry_Litterbag Placem_Collection'!N187,'Dry_Litterbag Placem_Collection'!Q187),"")</f>
        <v>35</v>
      </c>
      <c r="AJ626" s="270">
        <f>INDEX(Coordinates!$B$2:$B$197,MATCH(G626,Coordinates!$J$2:$J$197,0))</f>
        <v>-2.2787330300000002</v>
      </c>
      <c r="AK626" s="270">
        <f>INDEX(Coordinates!$C$2:$C$197,MATCH(G626,Coordinates!$J$2:$J$197,0))</f>
        <v>34.032136029999997</v>
      </c>
      <c r="AL626" s="270" t="str">
        <f>IF(ISNUMBER(SEARCH("C", 'Dry_Litterbag Placem_Collection'!U187)),"YES","NO")</f>
        <v>NO</v>
      </c>
      <c r="AM626" s="270" t="str">
        <f>IF(ISNUMBER(SEARCH("H", 'Dry_Litterbag Placem_Collection'!U187)),"YES","NO")</f>
        <v>NO</v>
      </c>
      <c r="AN626" s="270" t="str">
        <f>IF(ISNUMBER(SEARCH("R", 'Dry_Litterbag Placem_Collection'!U187)),"YES","NO")</f>
        <v>YES</v>
      </c>
    </row>
    <row r="627" spans="1:40" ht="15" customHeight="1">
      <c r="A627" s="262" t="s">
        <v>2659</v>
      </c>
      <c r="B627" s="263">
        <f>'Dry_Litterbag Placem_Collection'!A188</f>
        <v>186</v>
      </c>
      <c r="C627" s="263" t="str">
        <f>'Dry_Litterbag Placem_Collection'!B188</f>
        <v>Handajega</v>
      </c>
      <c r="D627" s="263" t="s">
        <v>2460</v>
      </c>
      <c r="E627" s="263" t="s">
        <v>2661</v>
      </c>
      <c r="F627" s="263">
        <v>4</v>
      </c>
      <c r="G627" s="264" t="str">
        <f>'Dry_Litterbag Placem_Collection'!C188</f>
        <v>Wet_W4_T2</v>
      </c>
      <c r="H627" s="273" t="s">
        <v>3651</v>
      </c>
      <c r="I627" s="266" t="s">
        <v>1147</v>
      </c>
      <c r="J627" s="263" t="str">
        <f>IF(ISBLANK('Dry_Litterbag Placem_Collection'!L188),"","G"&amp;""&amp;'Dry_Litterbag Placem_Collection'!L188)</f>
        <v>G22</v>
      </c>
      <c r="K627" s="267">
        <f>IFERROR(INDEX('Green_rooibos initial weight'!$C$5:$C$1749,MATCH(J627, 'Green_rooibos initial weight'!$A$5:$A$1749,0)),"")</f>
        <v>2.1</v>
      </c>
      <c r="L627" s="267">
        <f>IFERROR(K627-(TBIcalc!$Q$9+TBIcalc!$Q$10),"")</f>
        <v>1.8502000000000001</v>
      </c>
      <c r="M627" s="391">
        <f>AVERAGE(Ashed_controlls!$K$2:$K$11)</f>
        <v>5.5147656768714146</v>
      </c>
      <c r="N627" s="267">
        <f t="shared" si="46"/>
        <v>1.7481658054465252</v>
      </c>
      <c r="O627" s="267">
        <f>IF(IFERROR(INDEX('Both teabags AfterDry'!$D$3:$D$900,MATCH(J627,'Both teabags AfterDry'!$A$3:$A$900,0)),"")="","",(IFERROR(INDEX('Both teabags AfterDry'!$D$3:$D$900,MATCH(J627,'Both teabags AfterDry'!$A$3:$A$900,0)),"")))</f>
        <v>0.7238</v>
      </c>
      <c r="P627" s="267">
        <f>IFERROR(IF(O627&gt;0,O627-(TBIcalc!$Q$9),""),"")</f>
        <v>0.57319999999999993</v>
      </c>
      <c r="Q627" s="278">
        <f>IFERROR(INDEX('Ashed teabags dry'!$K$2:$K$825,MATCH(J627,'Ashed teabags dry'!$A$2:$A$825,0)),"")</f>
        <v>19.430172816441186</v>
      </c>
      <c r="R627" s="278">
        <f t="shared" si="47"/>
        <v>0.46182624941615907</v>
      </c>
      <c r="S627" s="268">
        <f>'Dry_Litterbag Placem_Collection'!E188</f>
        <v>42940</v>
      </c>
      <c r="T627" s="268">
        <f>IF('Dry_Litterbag Placem_Collection'!G188="","",'Dry_Litterbag Placem_Collection'!G188)</f>
        <v>43009</v>
      </c>
      <c r="U627" s="269">
        <f t="shared" si="45"/>
        <v>69</v>
      </c>
      <c r="V627" s="267">
        <f t="shared" si="48"/>
        <v>1.2770000000000001</v>
      </c>
      <c r="W627" s="267">
        <f t="shared" si="49"/>
        <v>1.2863395560303661</v>
      </c>
      <c r="X627" s="271">
        <f>IFERROR(INDEX(Rainfall_Dry!$O$2:$O$217,MATCH(B627, Rainfall_Dry!$A$2:$A$217,0)),"")</f>
        <v>162.634207253</v>
      </c>
      <c r="Y627" s="260">
        <v>25.96</v>
      </c>
      <c r="Z627" s="260">
        <v>8.9200000000000017</v>
      </c>
      <c r="AA627" s="260">
        <v>65.12</v>
      </c>
      <c r="AB627" s="261" t="s">
        <v>2670</v>
      </c>
      <c r="AC627" s="260">
        <v>2.6991621488417898</v>
      </c>
      <c r="AD627">
        <f>IF('WetLitterbags placem_collection'!AB188="","",'WetLitterbags placem_collection'!AB188)</f>
        <v>11.4</v>
      </c>
      <c r="AE627">
        <f>IF('WetLitterbags placem_collection'!Z188="","",'WetLitterbags placem_collection'!Z188)</f>
        <v>45.4</v>
      </c>
      <c r="AF627" s="246" t="str">
        <f>IF('WetLitterbags placem_collection'!AA188="","",'WetLitterbags placem_collection'!AA188)</f>
        <v>O</v>
      </c>
      <c r="AG627">
        <f>IF('WetLitterbags placem_collection'!AC188="","",'WetLitterbags placem_collection'!AC188)</f>
        <v>0</v>
      </c>
      <c r="AH627">
        <f>IFERROR(AVERAGE('Dry_Litterbag Placem_Collection'!O188,'Dry_Litterbag Placem_Collection'!R188),"")</f>
        <v>7.55</v>
      </c>
      <c r="AI627" s="271">
        <f>IFERROR(AVERAGE('Dry_Litterbag Placem_Collection'!N188,'Dry_Litterbag Placem_Collection'!Q188),"")</f>
        <v>35.299999999999997</v>
      </c>
      <c r="AJ627" s="270">
        <f>INDEX(Coordinates!$B$2:$B$197,MATCH(G627,Coordinates!$J$2:$J$197,0))</f>
        <v>-2.278763037</v>
      </c>
      <c r="AK627" s="270">
        <f>INDEX(Coordinates!$C$2:$C$197,MATCH(G627,Coordinates!$J$2:$J$197,0))</f>
        <v>34.031974009999999</v>
      </c>
      <c r="AL627" s="270" t="str">
        <f>IF(ISNUMBER(SEARCH("C", 'Dry_Litterbag Placem_Collection'!U188)),"YES","NO")</f>
        <v>NO</v>
      </c>
      <c r="AM627" s="270" t="str">
        <f>IF(ISNUMBER(SEARCH("H", 'Dry_Litterbag Placem_Collection'!U188)),"YES","NO")</f>
        <v>NO</v>
      </c>
      <c r="AN627" s="270" t="str">
        <f>IF(ISNUMBER(SEARCH("R", 'Dry_Litterbag Placem_Collection'!U188)),"YES","NO")</f>
        <v>NO</v>
      </c>
    </row>
    <row r="628" spans="1:40" ht="15" customHeight="1">
      <c r="A628" s="262" t="s">
        <v>2659</v>
      </c>
      <c r="B628" s="263">
        <f>'Dry_Litterbag Placem_Collection'!A189</f>
        <v>187</v>
      </c>
      <c r="C628" s="263" t="str">
        <f>'Dry_Litterbag Placem_Collection'!B189</f>
        <v>Handajega</v>
      </c>
      <c r="D628" s="263" t="s">
        <v>2460</v>
      </c>
      <c r="E628" s="263" t="s">
        <v>2661</v>
      </c>
      <c r="F628" s="263">
        <v>4</v>
      </c>
      <c r="G628" s="264" t="str">
        <f>'Dry_Litterbag Placem_Collection'!C189</f>
        <v>Wet_W4_T3</v>
      </c>
      <c r="H628" s="273" t="s">
        <v>3651</v>
      </c>
      <c r="I628" s="266" t="s">
        <v>1147</v>
      </c>
      <c r="J628" s="263" t="str">
        <f>IF(ISBLANK('Dry_Litterbag Placem_Collection'!L189),"","G"&amp;""&amp;'Dry_Litterbag Placem_Collection'!L189)</f>
        <v>G371</v>
      </c>
      <c r="K628" s="267">
        <f>IFERROR(INDEX('Green_rooibos initial weight'!$C$5:$C$1749,MATCH(J628, 'Green_rooibos initial weight'!$A$5:$A$1749,0)),"")</f>
        <v>2.06</v>
      </c>
      <c r="L628" s="267">
        <f>IFERROR(K628-(TBIcalc!$Q$9+TBIcalc!$Q$10),"")</f>
        <v>1.8102</v>
      </c>
      <c r="M628" s="391">
        <f>AVERAGE(Ashed_controlls!$K$2:$K$11)</f>
        <v>5.5147656768714146</v>
      </c>
      <c r="N628" s="267">
        <f t="shared" si="46"/>
        <v>1.7103717117172736</v>
      </c>
      <c r="O628" s="267">
        <f>IF(IFERROR(INDEX('Both teabags AfterDry'!$D$3:$D$900,MATCH(J628,'Both teabags AfterDry'!$A$3:$A$900,0)),"")="","",(IFERROR(INDEX('Both teabags AfterDry'!$D$3:$D$900,MATCH(J628,'Both teabags AfterDry'!$A$3:$A$900,0)),"")))</f>
        <v>0.81369999999999998</v>
      </c>
      <c r="P628" s="267">
        <f>IFERROR(IF(O628&gt;0,O628-(TBIcalc!$Q$9),""),"")</f>
        <v>0.66310000000000002</v>
      </c>
      <c r="Q628" s="278">
        <f>IFERROR(INDEX('Ashed teabags dry'!$K$2:$K$825,MATCH(J628,'Ashed teabags dry'!$A$2:$A$825,0)),"")</f>
        <v>24.951361867703799</v>
      </c>
      <c r="R628" s="278">
        <f t="shared" si="47"/>
        <v>0.49764751945525609</v>
      </c>
      <c r="S628" s="268">
        <f>'Dry_Litterbag Placem_Collection'!E189</f>
        <v>42940</v>
      </c>
      <c r="T628" s="268">
        <f>IF('Dry_Litterbag Placem_Collection'!G189="","",'Dry_Litterbag Placem_Collection'!G189)</f>
        <v>43009</v>
      </c>
      <c r="U628" s="269">
        <f t="shared" si="45"/>
        <v>69</v>
      </c>
      <c r="V628" s="267">
        <f t="shared" si="48"/>
        <v>1.1471</v>
      </c>
      <c r="W628" s="267">
        <f t="shared" si="49"/>
        <v>1.2127241922620176</v>
      </c>
      <c r="X628" s="271">
        <f>IFERROR(INDEX(Rainfall_Dry!$O$2:$O$217,MATCH(B628, Rainfall_Dry!$A$2:$A$217,0)),"")</f>
        <v>162.634207253</v>
      </c>
      <c r="Y628" s="260">
        <v>25.96</v>
      </c>
      <c r="Z628" s="260">
        <v>8.9200000000000017</v>
      </c>
      <c r="AA628" s="260">
        <v>65.12</v>
      </c>
      <c r="AB628" s="261" t="s">
        <v>2670</v>
      </c>
      <c r="AC628" s="260">
        <v>3.6991621488417898</v>
      </c>
      <c r="AD628">
        <f>IF('WetLitterbags placem_collection'!AB189="","",'WetLitterbags placem_collection'!AB189)</f>
        <v>0.6</v>
      </c>
      <c r="AE628">
        <f>IF('WetLitterbags placem_collection'!Z189="","",'WetLitterbags placem_collection'!Z189)</f>
        <v>39.4</v>
      </c>
      <c r="AF628" s="246" t="str">
        <f>IF('WetLitterbags placem_collection'!AA189="","",'WetLitterbags placem_collection'!AA189)</f>
        <v>O</v>
      </c>
      <c r="AG628">
        <f>IF('WetLitterbags placem_collection'!AC189="","",'WetLitterbags placem_collection'!AC189)</f>
        <v>1</v>
      </c>
      <c r="AH628">
        <f>IFERROR(AVERAGE('Dry_Litterbag Placem_Collection'!O189,'Dry_Litterbag Placem_Collection'!R189),"")</f>
        <v>5.05</v>
      </c>
      <c r="AI628" s="271">
        <f>IFERROR(AVERAGE('Dry_Litterbag Placem_Collection'!N189,'Dry_Litterbag Placem_Collection'!Q189),"")</f>
        <v>35.150000000000006</v>
      </c>
      <c r="AJ628" s="270">
        <f>INDEX(Coordinates!$B$2:$B$197,MATCH(G628,Coordinates!$J$2:$J$197,0))</f>
        <v>-2.2785890289999999</v>
      </c>
      <c r="AK628" s="270">
        <f>INDEX(Coordinates!$C$2:$C$197,MATCH(G628,Coordinates!$J$2:$J$197,0))</f>
        <v>34.031841999999997</v>
      </c>
      <c r="AL628" s="270" t="str">
        <f>IF(ISNUMBER(SEARCH("C", 'Dry_Litterbag Placem_Collection'!U189)),"YES","NO")</f>
        <v>NO</v>
      </c>
      <c r="AM628" s="270" t="str">
        <f>IF(ISNUMBER(SEARCH("H", 'Dry_Litterbag Placem_Collection'!U189)),"YES","NO")</f>
        <v>NO</v>
      </c>
      <c r="AN628" s="270" t="str">
        <f>IF(ISNUMBER(SEARCH("R", 'Dry_Litterbag Placem_Collection'!U189)),"YES","NO")</f>
        <v>NO</v>
      </c>
    </row>
    <row r="629" spans="1:40" ht="15" customHeight="1">
      <c r="A629" s="262" t="s">
        <v>2659</v>
      </c>
      <c r="B629" s="263">
        <f>'Dry_Litterbag Placem_Collection'!A190</f>
        <v>188</v>
      </c>
      <c r="C629" s="263" t="str">
        <f>'Dry_Litterbag Placem_Collection'!B190</f>
        <v>Handajega</v>
      </c>
      <c r="D629" s="263" t="s">
        <v>2460</v>
      </c>
      <c r="E629" s="263" t="s">
        <v>2661</v>
      </c>
      <c r="F629" s="263">
        <v>4</v>
      </c>
      <c r="G629" s="264" t="str">
        <f>'Dry_Litterbag Placem_Collection'!C190</f>
        <v>Wet_W4_T4</v>
      </c>
      <c r="H629" s="273" t="s">
        <v>3651</v>
      </c>
      <c r="I629" s="266" t="s">
        <v>1147</v>
      </c>
      <c r="J629" s="263" t="str">
        <f>IF(ISBLANK('Dry_Litterbag Placem_Collection'!L190),"","G"&amp;""&amp;'Dry_Litterbag Placem_Collection'!L190)</f>
        <v>G185</v>
      </c>
      <c r="K629" s="267">
        <f>IFERROR(INDEX('Green_rooibos initial weight'!$C$5:$C$1749,MATCH(J629, 'Green_rooibos initial weight'!$A$5:$A$1749,0)),"")</f>
        <v>2.13</v>
      </c>
      <c r="L629" s="267">
        <f>IFERROR(K629-(TBIcalc!$Q$9+TBIcalc!$Q$10),"")</f>
        <v>1.8801999999999999</v>
      </c>
      <c r="M629" s="391">
        <f>AVERAGE(Ashed_controlls!$K$2:$K$11)</f>
        <v>5.5147656768714146</v>
      </c>
      <c r="N629" s="267">
        <f t="shared" si="46"/>
        <v>1.7765113757434636</v>
      </c>
      <c r="O629" s="267">
        <f>IF(IFERROR(INDEX('Both teabags AfterDry'!$D$3:$D$900,MATCH(J629,'Both teabags AfterDry'!$A$3:$A$900,0)),"")="","",(IFERROR(INDEX('Both teabags AfterDry'!$D$3:$D$900,MATCH(J629,'Both teabags AfterDry'!$A$3:$A$900,0)),"")))</f>
        <v>0.74670000000000003</v>
      </c>
      <c r="P629" s="267">
        <f>IFERROR(IF(O629&gt;0,O629-(TBIcalc!$Q$9),""),"")</f>
        <v>0.59610000000000007</v>
      </c>
      <c r="Q629" s="278">
        <f>IFERROR(INDEX('Ashed teabags dry'!$K$2:$K$825,MATCH(J629,'Ashed teabags dry'!$A$2:$A$825,0)),"")</f>
        <v>22.108345534406503</v>
      </c>
      <c r="R629" s="278">
        <f t="shared" si="47"/>
        <v>0.46431215226940292</v>
      </c>
      <c r="S629" s="268">
        <f>'Dry_Litterbag Placem_Collection'!E190</f>
        <v>42940</v>
      </c>
      <c r="T629" s="268">
        <f>IF('Dry_Litterbag Placem_Collection'!G190="","",'Dry_Litterbag Placem_Collection'!G190)</f>
        <v>43009</v>
      </c>
      <c r="U629" s="269">
        <f t="shared" si="45"/>
        <v>69</v>
      </c>
      <c r="V629" s="267">
        <f t="shared" si="48"/>
        <v>1.2840999999999998</v>
      </c>
      <c r="W629" s="267">
        <f t="shared" si="49"/>
        <v>1.3121992234740607</v>
      </c>
      <c r="X629" s="271">
        <f>IFERROR(INDEX(Rainfall_Dry!$O$2:$O$217,MATCH(B629, Rainfall_Dry!$A$2:$A$217,0)),"")</f>
        <v>162.634207253</v>
      </c>
      <c r="Y629" s="260">
        <v>25.96</v>
      </c>
      <c r="Z629" s="260">
        <v>8.9200000000000017</v>
      </c>
      <c r="AA629" s="260">
        <v>65.12</v>
      </c>
      <c r="AB629" s="261" t="s">
        <v>2670</v>
      </c>
      <c r="AC629" s="260">
        <v>4.6991621488417898</v>
      </c>
      <c r="AD629">
        <f>IF('WetLitterbags placem_collection'!AB190="","",'WetLitterbags placem_collection'!AB190)</f>
        <v>2.2999999999999998</v>
      </c>
      <c r="AE629">
        <f>IF('WetLitterbags placem_collection'!Z190="","",'WetLitterbags placem_collection'!Z190)</f>
        <v>14.4</v>
      </c>
      <c r="AF629" s="246" t="str">
        <f>IF('WetLitterbags placem_collection'!AA190="","",'WetLitterbags placem_collection'!AA190)</f>
        <v>O</v>
      </c>
      <c r="AG629">
        <f>IF('WetLitterbags placem_collection'!AC190="","",'WetLitterbags placem_collection'!AC190)</f>
        <v>0</v>
      </c>
      <c r="AH629">
        <f>IFERROR(AVERAGE('Dry_Litterbag Placem_Collection'!O190,'Dry_Litterbag Placem_Collection'!R190),"")</f>
        <v>7.35</v>
      </c>
      <c r="AI629" s="271">
        <f>IFERROR(AVERAGE('Dry_Litterbag Placem_Collection'!N190,'Dry_Litterbag Placem_Collection'!Q190),"")</f>
        <v>34.150000000000006</v>
      </c>
      <c r="AJ629" s="270">
        <f>INDEX(Coordinates!$B$2:$B$197,MATCH(G629,Coordinates!$J$2:$J$197,0))</f>
        <v>-2.278422983</v>
      </c>
      <c r="AK629" s="270">
        <f>INDEX(Coordinates!$C$2:$C$197,MATCH(G629,Coordinates!$J$2:$J$197,0))</f>
        <v>34.032261009999999</v>
      </c>
      <c r="AL629" s="270" t="str">
        <f>IF(ISNUMBER(SEARCH("C", 'Dry_Litterbag Placem_Collection'!U190)),"YES","NO")</f>
        <v>NO</v>
      </c>
      <c r="AM629" s="270" t="str">
        <f>IF(ISNUMBER(SEARCH("H", 'Dry_Litterbag Placem_Collection'!U190)),"YES","NO")</f>
        <v>NO</v>
      </c>
      <c r="AN629" s="270" t="str">
        <f>IF(ISNUMBER(SEARCH("R", 'Dry_Litterbag Placem_Collection'!U190)),"YES","NO")</f>
        <v>NO</v>
      </c>
    </row>
    <row r="630" spans="1:40" ht="15" customHeight="1">
      <c r="A630" s="262" t="s">
        <v>2659</v>
      </c>
      <c r="B630" s="263">
        <f>'Dry_Litterbag Placem_Collection'!A191</f>
        <v>189</v>
      </c>
      <c r="C630" s="263" t="str">
        <f>'Dry_Litterbag Placem_Collection'!B191</f>
        <v>Handajega</v>
      </c>
      <c r="D630" s="263" t="s">
        <v>2460</v>
      </c>
      <c r="E630" s="263" t="s">
        <v>2661</v>
      </c>
      <c r="F630" s="263">
        <v>4</v>
      </c>
      <c r="G630" s="264" t="str">
        <f>'Dry_Litterbag Placem_Collection'!C191</f>
        <v>Wet_W4_T5</v>
      </c>
      <c r="H630" s="273" t="s">
        <v>3651</v>
      </c>
      <c r="I630" s="266" t="s">
        <v>1147</v>
      </c>
      <c r="J630" s="263" t="str">
        <f>IF(ISBLANK('Dry_Litterbag Placem_Collection'!L191),"","G"&amp;""&amp;'Dry_Litterbag Placem_Collection'!L191)</f>
        <v>G301</v>
      </c>
      <c r="K630" s="267">
        <f>IFERROR(INDEX('Green_rooibos initial weight'!$C$5:$C$1749,MATCH(J630, 'Green_rooibos initial weight'!$A$5:$A$1749,0)),"")</f>
        <v>1.9379999999999999</v>
      </c>
      <c r="L630" s="267">
        <f>IFERROR(K630-(TBIcalc!$Q$9+TBIcalc!$Q$10),"")</f>
        <v>1.6881999999999999</v>
      </c>
      <c r="M630" s="391">
        <f>AVERAGE(Ashed_controlls!$K$2:$K$11)</f>
        <v>5.5147656768714146</v>
      </c>
      <c r="N630" s="267">
        <f t="shared" si="46"/>
        <v>1.5950997258430566</v>
      </c>
      <c r="O630" s="267">
        <f>IF(IFERROR(INDEX('Both teabags AfterDry'!$D$3:$D$900,MATCH(J630,'Both teabags AfterDry'!$A$3:$A$900,0)),"")="","",(IFERROR(INDEX('Both teabags AfterDry'!$D$3:$D$900,MATCH(J630,'Both teabags AfterDry'!$A$3:$A$900,0)),"")))</f>
        <v>0.66849999999999998</v>
      </c>
      <c r="P630" s="267">
        <f>IFERROR(IF(O630&gt;0,O630-(TBIcalc!$Q$9),""),"")</f>
        <v>0.51790000000000003</v>
      </c>
      <c r="Q630" s="278">
        <f>IFERROR(INDEX('Ashed teabags dry'!$K$2:$K$825,MATCH(J630,'Ashed teabags dry'!$A$2:$A$825,0)),"")</f>
        <v>15.626326963906347</v>
      </c>
      <c r="R630" s="278">
        <f t="shared" si="47"/>
        <v>0.43697125265392905</v>
      </c>
      <c r="S630" s="268">
        <f>'Dry_Litterbag Placem_Collection'!E191</f>
        <v>42940</v>
      </c>
      <c r="T630" s="268">
        <f>IF('Dry_Litterbag Placem_Collection'!G191="","",'Dry_Litterbag Placem_Collection'!G191)</f>
        <v>43009</v>
      </c>
      <c r="U630" s="269">
        <f t="shared" si="45"/>
        <v>69</v>
      </c>
      <c r="V630" s="267">
        <f t="shared" si="48"/>
        <v>1.1702999999999999</v>
      </c>
      <c r="W630" s="267">
        <f t="shared" si="49"/>
        <v>1.1581284731891275</v>
      </c>
      <c r="X630" s="271">
        <f>IFERROR(INDEX(Rainfall_Dry!$O$2:$O$217,MATCH(B630, Rainfall_Dry!$A$2:$A$217,0)),"")</f>
        <v>162.634207253</v>
      </c>
      <c r="Y630" s="260">
        <v>25.96</v>
      </c>
      <c r="Z630" s="260">
        <v>8.9200000000000017</v>
      </c>
      <c r="AA630" s="260">
        <v>65.12</v>
      </c>
      <c r="AB630" s="261" t="s">
        <v>2670</v>
      </c>
      <c r="AC630" s="260">
        <v>5.6991621488417898</v>
      </c>
      <c r="AD630">
        <f>IF('WetLitterbags placem_collection'!AB191="","",'WetLitterbags placem_collection'!AB191)</f>
        <v>0.6</v>
      </c>
      <c r="AE630">
        <f>IF('WetLitterbags placem_collection'!Z191="","",'WetLitterbags placem_collection'!Z191)</f>
        <v>7</v>
      </c>
      <c r="AF630" s="246" t="str">
        <f>IF('WetLitterbags placem_collection'!AA191="","",'WetLitterbags placem_collection'!AA191)</f>
        <v>O</v>
      </c>
      <c r="AG630">
        <f>IF('WetLitterbags placem_collection'!AC191="","",'WetLitterbags placem_collection'!AC191)</f>
        <v>1</v>
      </c>
      <c r="AH630">
        <f>IFERROR(AVERAGE('Dry_Litterbag Placem_Collection'!O191,'Dry_Litterbag Placem_Collection'!R191),"")</f>
        <v>5.5</v>
      </c>
      <c r="AI630" s="271">
        <f>IFERROR(AVERAGE('Dry_Litterbag Placem_Collection'!N191,'Dry_Litterbag Placem_Collection'!Q191),"")</f>
        <v>33</v>
      </c>
      <c r="AJ630" s="270">
        <f>INDEX(Coordinates!$B$2:$B$197,MATCH(G630,Coordinates!$J$2:$J$197,0))</f>
        <v>-2.2787580080000001</v>
      </c>
      <c r="AK630" s="270">
        <f>INDEX(Coordinates!$C$2:$C$197,MATCH(G630,Coordinates!$J$2:$J$197,0))</f>
        <v>34.032463010000001</v>
      </c>
      <c r="AL630" s="270" t="str">
        <f>IF(ISNUMBER(SEARCH("C", 'Dry_Litterbag Placem_Collection'!U191)),"YES","NO")</f>
        <v>NO</v>
      </c>
      <c r="AM630" s="270" t="str">
        <f>IF(ISNUMBER(SEARCH("H", 'Dry_Litterbag Placem_Collection'!U191)),"YES","NO")</f>
        <v>NO</v>
      </c>
      <c r="AN630" s="270" t="str">
        <f>IF(ISNUMBER(SEARCH("R", 'Dry_Litterbag Placem_Collection'!U191)),"YES","NO")</f>
        <v>YES</v>
      </c>
    </row>
    <row r="631" spans="1:40" ht="15" customHeight="1">
      <c r="A631" s="262" t="s">
        <v>2659</v>
      </c>
      <c r="B631" s="263">
        <f>'Dry_Litterbag Placem_Collection'!A192</f>
        <v>190</v>
      </c>
      <c r="C631" s="263" t="str">
        <f>'Dry_Litterbag Placem_Collection'!B192</f>
        <v>Handajega</v>
      </c>
      <c r="D631" s="263" t="s">
        <v>2460</v>
      </c>
      <c r="E631" s="263" t="s">
        <v>2661</v>
      </c>
      <c r="F631" s="263">
        <v>4</v>
      </c>
      <c r="G631" s="264" t="str">
        <f>'Dry_Litterbag Placem_Collection'!C192</f>
        <v>Wet_W4_T6</v>
      </c>
      <c r="H631" s="273" t="s">
        <v>3651</v>
      </c>
      <c r="I631" s="266" t="s">
        <v>1147</v>
      </c>
      <c r="J631" s="263" t="str">
        <f>IF(ISBLANK('Dry_Litterbag Placem_Collection'!L192),"","G"&amp;""&amp;'Dry_Litterbag Placem_Collection'!L192)</f>
        <v>G466</v>
      </c>
      <c r="K631" s="267">
        <f>IFERROR(INDEX('Green_rooibos initial weight'!$C$5:$C$1749,MATCH(J631, 'Green_rooibos initial weight'!$A$5:$A$1749,0)),"")</f>
        <v>1.9319999999999999</v>
      </c>
      <c r="L631" s="267">
        <f>IFERROR(K631-(TBIcalc!$Q$9+TBIcalc!$Q$10),"")</f>
        <v>1.6821999999999999</v>
      </c>
      <c r="M631" s="391">
        <f>AVERAGE(Ashed_controlls!$K$2:$K$11)</f>
        <v>5.5147656768714146</v>
      </c>
      <c r="N631" s="267">
        <f t="shared" si="46"/>
        <v>1.589430611783669</v>
      </c>
      <c r="O631" s="267">
        <f>IF(IFERROR(INDEX('Both teabags AfterDry'!$D$3:$D$900,MATCH(J631,'Both teabags AfterDry'!$A$3:$A$900,0)),"")="","",(IFERROR(INDEX('Both teabags AfterDry'!$D$3:$D$900,MATCH(J631,'Both teabags AfterDry'!$A$3:$A$900,0)),"")))</f>
        <v>0.81599999999999995</v>
      </c>
      <c r="P631" s="267">
        <f>IFERROR(IF(O631&gt;0,O631-(TBIcalc!$Q$9),""),"")</f>
        <v>0.66539999999999999</v>
      </c>
      <c r="Q631" s="278">
        <f>IFERROR(INDEX('Ashed teabags dry'!$K$2:$K$825,MATCH(J631,'Ashed teabags dry'!$A$2:$A$825,0)),"")</f>
        <v>24.385447394296765</v>
      </c>
      <c r="R631" s="278">
        <f t="shared" si="47"/>
        <v>0.50313923303834929</v>
      </c>
      <c r="S631" s="268">
        <f>'Dry_Litterbag Placem_Collection'!E192</f>
        <v>42940</v>
      </c>
      <c r="T631" s="268">
        <f>IF('Dry_Litterbag Placem_Collection'!G192="","",'Dry_Litterbag Placem_Collection'!G192)</f>
        <v>43009</v>
      </c>
      <c r="U631" s="269">
        <f t="shared" si="45"/>
        <v>69</v>
      </c>
      <c r="V631" s="267">
        <f t="shared" si="48"/>
        <v>1.0167999999999999</v>
      </c>
      <c r="W631" s="267">
        <f t="shared" si="49"/>
        <v>1.0862913787453197</v>
      </c>
      <c r="X631" s="271">
        <f>IFERROR(INDEX(Rainfall_Dry!$O$2:$O$217,MATCH(B631, Rainfall_Dry!$A$2:$A$217,0)),"")</f>
        <v>162.634207253</v>
      </c>
      <c r="Y631" s="260">
        <v>25.96</v>
      </c>
      <c r="Z631" s="260">
        <v>8.9200000000000017</v>
      </c>
      <c r="AA631" s="260">
        <v>65.12</v>
      </c>
      <c r="AB631" s="261" t="s">
        <v>2670</v>
      </c>
      <c r="AC631" s="260">
        <v>6.6991621488417898</v>
      </c>
      <c r="AD631">
        <f>IF('WetLitterbags placem_collection'!AB192="","",'WetLitterbags placem_collection'!AB192)</f>
        <v>9.5</v>
      </c>
      <c r="AE631">
        <f>IF('WetLitterbags placem_collection'!Z192="","",'WetLitterbags placem_collection'!Z192)</f>
        <v>17.399999999999999</v>
      </c>
      <c r="AF631" s="246" t="str">
        <f>IF('WetLitterbags placem_collection'!AA192="","",'WetLitterbags placem_collection'!AA192)</f>
        <v>O</v>
      </c>
      <c r="AG631">
        <f>IF('WetLitterbags placem_collection'!AC192="","",'WetLitterbags placem_collection'!AC192)</f>
        <v>0</v>
      </c>
      <c r="AH631">
        <f>IFERROR(AVERAGE('Dry_Litterbag Placem_Collection'!O192,'Dry_Litterbag Placem_Collection'!R192),"")</f>
        <v>5.0500000000000007</v>
      </c>
      <c r="AI631" s="271">
        <f>IFERROR(AVERAGE('Dry_Litterbag Placem_Collection'!N192,'Dry_Litterbag Placem_Collection'!Q192),"")</f>
        <v>36.049999999999997</v>
      </c>
      <c r="AJ631" s="270">
        <f>INDEX(Coordinates!$B$2:$B$197,MATCH(G631,Coordinates!$J$2:$J$197,0))</f>
        <v>-2.2787559960000001</v>
      </c>
      <c r="AK631" s="270">
        <f>INDEX(Coordinates!$C$2:$C$197,MATCH(G631,Coordinates!$J$2:$J$197,0))</f>
        <v>34.032268969999997</v>
      </c>
      <c r="AL631" s="270" t="str">
        <f>IF(ISNUMBER(SEARCH("C", 'Dry_Litterbag Placem_Collection'!U192)),"YES","NO")</f>
        <v>NO</v>
      </c>
      <c r="AM631" s="270" t="str">
        <f>IF(ISNUMBER(SEARCH("H", 'Dry_Litterbag Placem_Collection'!U192)),"YES","NO")</f>
        <v>NO</v>
      </c>
      <c r="AN631" s="270" t="str">
        <f>IF(ISNUMBER(SEARCH("R", 'Dry_Litterbag Placem_Collection'!U192)),"YES","NO")</f>
        <v>NO</v>
      </c>
    </row>
    <row r="632" spans="1:40" ht="15" customHeight="1">
      <c r="A632" s="262" t="s">
        <v>2659</v>
      </c>
      <c r="B632" s="263">
        <f>'Dry_Litterbag Placem_Collection'!A193</f>
        <v>191</v>
      </c>
      <c r="C632" s="263" t="str">
        <f>'Dry_Litterbag Placem_Collection'!B193</f>
        <v>Handajega</v>
      </c>
      <c r="D632" s="263" t="s">
        <v>2460</v>
      </c>
      <c r="E632" s="263" t="s">
        <v>2661</v>
      </c>
      <c r="F632" s="263">
        <v>4</v>
      </c>
      <c r="G632" s="264" t="str">
        <f>'Dry_Litterbag Placem_Collection'!C193</f>
        <v>Wet_W4_T7</v>
      </c>
      <c r="H632" s="273" t="s">
        <v>3651</v>
      </c>
      <c r="I632" s="266" t="s">
        <v>1147</v>
      </c>
      <c r="J632" s="263" t="str">
        <f>IF(ISBLANK('Dry_Litterbag Placem_Collection'!L193),"","G"&amp;""&amp;'Dry_Litterbag Placem_Collection'!L193)</f>
        <v>G32</v>
      </c>
      <c r="K632" s="267">
        <f>IFERROR(INDEX('Green_rooibos initial weight'!$C$5:$C$1749,MATCH(J632, 'Green_rooibos initial weight'!$A$5:$A$1749,0)),"")</f>
        <v>2.0510000000000002</v>
      </c>
      <c r="L632" s="267">
        <f>IFERROR(K632-(TBIcalc!$Q$9+TBIcalc!$Q$10),"")</f>
        <v>1.8012000000000001</v>
      </c>
      <c r="M632" s="391">
        <f>AVERAGE(Ashed_controlls!$K$2:$K$11)</f>
        <v>5.5147656768714146</v>
      </c>
      <c r="N632" s="267">
        <f t="shared" si="46"/>
        <v>1.7018680406281923</v>
      </c>
      <c r="O632" s="267">
        <f>IF(IFERROR(INDEX('Both teabags AfterDry'!$D$3:$D$900,MATCH(J632,'Both teabags AfterDry'!$A$3:$A$900,0)),"")="","",(IFERROR(INDEX('Both teabags AfterDry'!$D$3:$D$900,MATCH(J632,'Both teabags AfterDry'!$A$3:$A$900,0)),"")))</f>
        <v>0.77580000000000005</v>
      </c>
      <c r="P632" s="267">
        <f>IFERROR(IF(O632&gt;0,O632-(TBIcalc!$Q$9),""),"")</f>
        <v>0.62519999999999998</v>
      </c>
      <c r="Q632" s="278">
        <f>IFERROR(INDEX('Ashed teabags dry'!$K$2:$K$825,MATCH(J632,'Ashed teabags dry'!$A$2:$A$825,0)),"")</f>
        <v>25.871121718377726</v>
      </c>
      <c r="R632" s="278">
        <f t="shared" si="47"/>
        <v>0.46345374701670244</v>
      </c>
      <c r="S632" s="268">
        <f>'Dry_Litterbag Placem_Collection'!E193</f>
        <v>42940</v>
      </c>
      <c r="T632" s="268">
        <f>IF('Dry_Litterbag Placem_Collection'!G193="","",'Dry_Litterbag Placem_Collection'!G193)</f>
        <v>43009</v>
      </c>
      <c r="U632" s="269">
        <f t="shared" si="45"/>
        <v>69</v>
      </c>
      <c r="V632" s="267">
        <f t="shared" si="48"/>
        <v>1.1760000000000002</v>
      </c>
      <c r="W632" s="267">
        <f t="shared" si="49"/>
        <v>1.2384142936114899</v>
      </c>
      <c r="X632" s="271">
        <f>IFERROR(INDEX(Rainfall_Dry!$O$2:$O$217,MATCH(B632, Rainfall_Dry!$A$2:$A$217,0)),"")</f>
        <v>162.634207253</v>
      </c>
      <c r="Y632" s="260">
        <v>25.96</v>
      </c>
      <c r="Z632" s="260">
        <v>8.9200000000000017</v>
      </c>
      <c r="AA632" s="260">
        <v>65.12</v>
      </c>
      <c r="AB632" s="261" t="s">
        <v>2670</v>
      </c>
      <c r="AC632" s="260">
        <v>7.6991621488417898</v>
      </c>
      <c r="AD632">
        <f>IF('WetLitterbags placem_collection'!AB193="","",'WetLitterbags placem_collection'!AB193)</f>
        <v>12.4</v>
      </c>
      <c r="AE632">
        <f>IF('WetLitterbags placem_collection'!Z193="","",'WetLitterbags placem_collection'!Z193)</f>
        <v>29.8</v>
      </c>
      <c r="AF632" s="246" t="str">
        <f>IF('WetLitterbags placem_collection'!AA193="","",'WetLitterbags placem_collection'!AA193)</f>
        <v>O</v>
      </c>
      <c r="AG632">
        <f>IF('WetLitterbags placem_collection'!AC193="","",'WetLitterbags placem_collection'!AC193)</f>
        <v>0</v>
      </c>
      <c r="AH632">
        <f>IFERROR(AVERAGE('Dry_Litterbag Placem_Collection'!O193,'Dry_Litterbag Placem_Collection'!R193),"")</f>
        <v>6.45</v>
      </c>
      <c r="AI632" s="271">
        <f>IFERROR(AVERAGE('Dry_Litterbag Placem_Collection'!N193,'Dry_Litterbag Placem_Collection'!Q193),"")</f>
        <v>36.349999999999994</v>
      </c>
      <c r="AJ632" s="270">
        <f>INDEX(Coordinates!$B$2:$B$197,MATCH(G632,Coordinates!$J$2:$J$197,0))</f>
        <v>-2.278704029</v>
      </c>
      <c r="AK632" s="270">
        <f>INDEX(Coordinates!$C$2:$C$197,MATCH(G632,Coordinates!$J$2:$J$197,0))</f>
        <v>34.032182970000001</v>
      </c>
      <c r="AL632" s="270" t="str">
        <f>IF(ISNUMBER(SEARCH("C", 'Dry_Litterbag Placem_Collection'!U193)),"YES","NO")</f>
        <v>NO</v>
      </c>
      <c r="AM632" s="270" t="str">
        <f>IF(ISNUMBER(SEARCH("H", 'Dry_Litterbag Placem_Collection'!U193)),"YES","NO")</f>
        <v>NO</v>
      </c>
      <c r="AN632" s="270" t="str">
        <f>IF(ISNUMBER(SEARCH("R", 'Dry_Litterbag Placem_Collection'!U193)),"YES","NO")</f>
        <v>NO</v>
      </c>
    </row>
    <row r="633" spans="1:40" ht="15" customHeight="1">
      <c r="A633" s="262" t="s">
        <v>2659</v>
      </c>
      <c r="B633" s="263">
        <f>'Dry_Litterbag Placem_Collection'!A194</f>
        <v>192</v>
      </c>
      <c r="C633" s="263" t="str">
        <f>'Dry_Litterbag Placem_Collection'!B194</f>
        <v>Handajega</v>
      </c>
      <c r="D633" s="263" t="s">
        <v>2460</v>
      </c>
      <c r="E633" s="263" t="s">
        <v>2661</v>
      </c>
      <c r="F633" s="263">
        <v>4</v>
      </c>
      <c r="G633" s="264" t="str">
        <f>'Dry_Litterbag Placem_Collection'!C194</f>
        <v>Wet_W4_T8</v>
      </c>
      <c r="H633" s="273" t="s">
        <v>3651</v>
      </c>
      <c r="I633" s="266" t="s">
        <v>1147</v>
      </c>
      <c r="J633" s="263" t="str">
        <f>IF(ISBLANK('Dry_Litterbag Placem_Collection'!L194),"","G"&amp;""&amp;'Dry_Litterbag Placem_Collection'!L194)</f>
        <v/>
      </c>
      <c r="K633" s="267" t="str">
        <f>IFERROR(INDEX('Green_rooibos initial weight'!$C$5:$C$1749,MATCH(J633, 'Green_rooibos initial weight'!$A$5:$A$1749,0)),"")</f>
        <v/>
      </c>
      <c r="L633" s="267" t="str">
        <f>IFERROR(K633-(TBIcalc!$Q$9+TBIcalc!$Q$10),"")</f>
        <v/>
      </c>
      <c r="M633" s="391">
        <f>AVERAGE(Ashed_controlls!$K$2:$K$11)</f>
        <v>5.5147656768714146</v>
      </c>
      <c r="N633" s="267" t="str">
        <f t="shared" si="46"/>
        <v/>
      </c>
      <c r="O633" s="267" t="str">
        <f>IF(IFERROR(INDEX('Both teabags AfterDry'!$D$3:$D$900,MATCH(J633,'Both teabags AfterDry'!$A$3:$A$900,0)),"")="","",(IFERROR(INDEX('Both teabags AfterDry'!$D$3:$D$900,MATCH(J633,'Both teabags AfterDry'!$A$3:$A$900,0)),"")))</f>
        <v/>
      </c>
      <c r="P633" s="267" t="str">
        <f>IFERROR(IF(O633&gt;0,O633-(TBIcalc!$Q$9),""),"")</f>
        <v/>
      </c>
      <c r="Q633" s="278" t="str">
        <f>IFERROR(INDEX('Ashed teabags dry'!$K$2:$K$825,MATCH(J633,'Ashed teabags dry'!$A$2:$A$825,0)),"")</f>
        <v/>
      </c>
      <c r="R633" s="278" t="str">
        <f t="shared" si="47"/>
        <v/>
      </c>
      <c r="S633" s="268">
        <f>'Dry_Litterbag Placem_Collection'!E194</f>
        <v>0</v>
      </c>
      <c r="T633" s="268" t="str">
        <f>IF('Dry_Litterbag Placem_Collection'!G194="","",'Dry_Litterbag Placem_Collection'!G194)</f>
        <v/>
      </c>
      <c r="U633" s="269" t="str">
        <f t="shared" si="45"/>
        <v/>
      </c>
      <c r="V633" s="267" t="str">
        <f t="shared" si="48"/>
        <v/>
      </c>
      <c r="W633" s="267" t="str">
        <f t="shared" si="49"/>
        <v/>
      </c>
      <c r="X633" s="271" t="str">
        <f>IFERROR(INDEX(Rainfall_Dry!$O$2:$O$217,MATCH(B633, Rainfall_Dry!$A$2:$A$217,0)),"")</f>
        <v/>
      </c>
      <c r="Y633" s="260">
        <v>25.96</v>
      </c>
      <c r="Z633" s="260">
        <v>8.9200000000000017</v>
      </c>
      <c r="AA633" s="260">
        <v>65.12</v>
      </c>
      <c r="AB633" s="261" t="s">
        <v>2670</v>
      </c>
      <c r="AC633" s="260">
        <v>8.6991621488417898</v>
      </c>
      <c r="AD633">
        <f>IF('WetLitterbags placem_collection'!AB194="","",'WetLitterbags placem_collection'!AB194)</f>
        <v>3.6</v>
      </c>
      <c r="AE633">
        <f>IF('WetLitterbags placem_collection'!Z194="","",'WetLitterbags placem_collection'!Z194)</f>
        <v>37.799999999999997</v>
      </c>
      <c r="AF633" s="246" t="str">
        <f>IF('WetLitterbags placem_collection'!AA194="","",'WetLitterbags placem_collection'!AA194)</f>
        <v>O</v>
      </c>
      <c r="AG633">
        <f>IF('WetLitterbags placem_collection'!AC194="","",'WetLitterbags placem_collection'!AC194)</f>
        <v>0</v>
      </c>
      <c r="AH633" t="str">
        <f>IFERROR(AVERAGE('Dry_Litterbag Placem_Collection'!O194,'Dry_Litterbag Placem_Collection'!R194),"")</f>
        <v/>
      </c>
      <c r="AI633" s="271" t="str">
        <f>IFERROR(AVERAGE('Dry_Litterbag Placem_Collection'!N194,'Dry_Litterbag Placem_Collection'!Q194),"")</f>
        <v/>
      </c>
      <c r="AJ633" s="270">
        <f>INDEX(Coordinates!$B$2:$B$197,MATCH(G633,Coordinates!$J$2:$J$197,0))</f>
        <v>-2.2789770269999998</v>
      </c>
      <c r="AK633" s="270">
        <f>INDEX(Coordinates!$C$2:$C$197,MATCH(G633,Coordinates!$J$2:$J$197,0))</f>
        <v>34.032051039999999</v>
      </c>
      <c r="AL633" s="270" t="str">
        <f>IF(ISNUMBER(SEARCH("C", 'Dry_Litterbag Placem_Collection'!U194)),"YES","NO")</f>
        <v>NO</v>
      </c>
      <c r="AM633" s="270" t="str">
        <f>IF(ISNUMBER(SEARCH("H", 'Dry_Litterbag Placem_Collection'!U194)),"YES","NO")</f>
        <v>NO</v>
      </c>
      <c r="AN633" s="270" t="str">
        <f>IF(ISNUMBER(SEARCH("R", 'Dry_Litterbag Placem_Collection'!U194)),"YES","NO")</f>
        <v>NO</v>
      </c>
    </row>
    <row r="634" spans="1:40" ht="15" customHeight="1">
      <c r="A634" s="262" t="s">
        <v>2659</v>
      </c>
      <c r="B634" s="263">
        <f>'Dry_Litterbag Placem_Collection'!A195</f>
        <v>193</v>
      </c>
      <c r="C634" s="263" t="str">
        <f>'Dry_Litterbag Placem_Collection'!B195</f>
        <v>Makao</v>
      </c>
      <c r="D634" s="263" t="s">
        <v>2659</v>
      </c>
      <c r="E634" s="263" t="s">
        <v>2526</v>
      </c>
      <c r="F634" s="263">
        <v>4</v>
      </c>
      <c r="G634" s="264" t="str">
        <f>'Dry_Litterbag Placem_Collection'!C195</f>
        <v>Dry_Ag1_CG4</v>
      </c>
      <c r="H634" s="273" t="s">
        <v>3651</v>
      </c>
      <c r="I634" s="266" t="s">
        <v>1147</v>
      </c>
      <c r="J634" s="263" t="str">
        <f>IF(ISBLANK('Dry_Litterbag Placem_Collection'!L195),"","G"&amp;""&amp;'Dry_Litterbag Placem_Collection'!L195)</f>
        <v>G45</v>
      </c>
      <c r="K634" s="267">
        <f>IFERROR(INDEX('Green_rooibos initial weight'!$C$5:$C$1749,MATCH(J634, 'Green_rooibos initial weight'!$A$5:$A$1749,0)),"")</f>
        <v>2.0779999999999998</v>
      </c>
      <c r="L634" s="267">
        <f>IFERROR(K634-(TBIcalc!$Q$9+TBIcalc!$Q$10),"")</f>
        <v>1.8281999999999998</v>
      </c>
      <c r="M634" s="391">
        <f>AVERAGE(Ashed_controlls!$K$2:$K$11)</f>
        <v>5.5147656768714146</v>
      </c>
      <c r="N634" s="267">
        <f t="shared" si="46"/>
        <v>1.7273790538954366</v>
      </c>
      <c r="O634" s="267">
        <f>IF(IFERROR(INDEX('Both teabags AfterDry'!$D$3:$D$900,MATCH(J634,'Both teabags AfterDry'!$A$3:$A$900,0)),"")="","",(IFERROR(INDEX('Both teabags AfterDry'!$D$3:$D$900,MATCH(J634,'Both teabags AfterDry'!$A$3:$A$900,0)),"")))</f>
        <v>0.82699999999999996</v>
      </c>
      <c r="P634" s="267">
        <f>IFERROR(IF(O634&gt;0,O634-(TBIcalc!$Q$9),""),"")</f>
        <v>0.67639999999999989</v>
      </c>
      <c r="Q634" s="278">
        <f>IFERROR(INDEX('Ashed teabags dry'!$K$2:$K$825,MATCH(J634,'Ashed teabags dry'!$A$2:$A$825,0)),"")</f>
        <v>13.455953533397516</v>
      </c>
      <c r="R634" s="278">
        <f t="shared" si="47"/>
        <v>0.58538393030009916</v>
      </c>
      <c r="S634" s="268">
        <f>'Dry_Litterbag Placem_Collection'!E195</f>
        <v>42942</v>
      </c>
      <c r="T634" s="268">
        <f>IF('Dry_Litterbag Placem_Collection'!G195="","",'Dry_Litterbag Placem_Collection'!G195)</f>
        <v>43004</v>
      </c>
      <c r="U634" s="269">
        <f t="shared" si="45"/>
        <v>62</v>
      </c>
      <c r="V634" s="267">
        <f t="shared" si="48"/>
        <v>1.1517999999999999</v>
      </c>
      <c r="W634" s="267">
        <f t="shared" si="49"/>
        <v>1.1419951235953374</v>
      </c>
      <c r="X634" s="271">
        <f>IFERROR(INDEX(Rainfall_Dry!$O$2:$O$217,MATCH(B634, Rainfall_Dry!$A$2:$A$217,0)),"")</f>
        <v>171.84818423999999</v>
      </c>
      <c r="Y634" s="260">
        <v>12.565665055683967</v>
      </c>
      <c r="Z634" s="260">
        <v>0.9665896196679955</v>
      </c>
      <c r="AA634" s="260">
        <v>86.467745324648035</v>
      </c>
      <c r="AB634" s="261" t="s">
        <v>2672</v>
      </c>
      <c r="AC634" s="260">
        <v>1.0225726959093147</v>
      </c>
      <c r="AD634">
        <f>IF('WetLitterbags placem_collection'!AB195="","",'WetLitterbags placem_collection'!AB195)</f>
        <v>15.2</v>
      </c>
      <c r="AE634">
        <f>IF('WetLitterbags placem_collection'!Z195="","",'WetLitterbags placem_collection'!Z195)</f>
        <v>12.2</v>
      </c>
      <c r="AF634" s="246" t="str">
        <f>IF('WetLitterbags placem_collection'!AA195="","",'WetLitterbags placem_collection'!AA195)</f>
        <v>O</v>
      </c>
      <c r="AG634">
        <f>IF('WetLitterbags placem_collection'!AC195="","",'WetLitterbags placem_collection'!AC195)</f>
        <v>1</v>
      </c>
      <c r="AH634">
        <f>IFERROR(AVERAGE('Dry_Litterbag Placem_Collection'!O195,'Dry_Litterbag Placem_Collection'!R195),"")</f>
        <v>5.0999999999999996</v>
      </c>
      <c r="AI634" s="271">
        <f>IFERROR(AVERAGE('Dry_Litterbag Placem_Collection'!N195,'Dry_Litterbag Placem_Collection'!Q195),"")</f>
        <v>28.799999999999997</v>
      </c>
      <c r="AJ634">
        <v>-2.4396949910000001</v>
      </c>
      <c r="AK634">
        <v>34.838574029999997</v>
      </c>
      <c r="AL634" s="270" t="str">
        <f>IF(ISNUMBER(SEARCH("C", 'Dry_Litterbag Placem_Collection'!U195)),"YES","NO")</f>
        <v>NO</v>
      </c>
      <c r="AM634" s="270" t="str">
        <f>IF(ISNUMBER(SEARCH("H", 'Dry_Litterbag Placem_Collection'!U195)),"YES","NO")</f>
        <v>NO</v>
      </c>
      <c r="AN634" s="270" t="str">
        <f>IF(ISNUMBER(SEARCH("R", 'Dry_Litterbag Placem_Collection'!U195)),"YES","NO")</f>
        <v>YES</v>
      </c>
    </row>
    <row r="635" spans="1:40" ht="15" customHeight="1">
      <c r="A635" s="262" t="s">
        <v>2659</v>
      </c>
      <c r="B635" s="263">
        <f>'Dry_Litterbag Placem_Collection'!A196</f>
        <v>194</v>
      </c>
      <c r="C635" s="263" t="str">
        <f>'Dry_Litterbag Placem_Collection'!B196</f>
        <v>Makao</v>
      </c>
      <c r="D635" s="263" t="s">
        <v>2659</v>
      </c>
      <c r="E635" s="263" t="s">
        <v>2526</v>
      </c>
      <c r="F635" s="263">
        <v>3</v>
      </c>
      <c r="G635" s="264" t="str">
        <f>'Dry_Litterbag Placem_Collection'!C196</f>
        <v>Dry_Ag2_CG3</v>
      </c>
      <c r="H635" s="273" t="s">
        <v>3651</v>
      </c>
      <c r="I635" s="266" t="s">
        <v>1147</v>
      </c>
      <c r="J635" s="263" t="str">
        <f>IF(ISBLANK('Dry_Litterbag Placem_Collection'!L196),"","G"&amp;""&amp;'Dry_Litterbag Placem_Collection'!L196)</f>
        <v>G90</v>
      </c>
      <c r="K635" s="267">
        <f>IFERROR(INDEX('Green_rooibos initial weight'!$C$5:$C$1749,MATCH(J635, 'Green_rooibos initial weight'!$A$5:$A$1749,0)),"")</f>
        <v>2.0409999999999999</v>
      </c>
      <c r="L635" s="267">
        <f>IFERROR(K635-(TBIcalc!$Q$9+TBIcalc!$Q$10),"")</f>
        <v>1.7911999999999999</v>
      </c>
      <c r="M635" s="391">
        <f>AVERAGE(Ashed_controlls!$K$2:$K$11)</f>
        <v>5.5147656768714146</v>
      </c>
      <c r="N635" s="267">
        <f t="shared" si="46"/>
        <v>1.6924195171958791</v>
      </c>
      <c r="O635" s="267">
        <f>IF(IFERROR(INDEX('Both teabags AfterDry'!$D$3:$D$900,MATCH(J635,'Both teabags AfterDry'!$A$3:$A$900,0)),"")="","",(IFERROR(INDEX('Both teabags AfterDry'!$D$3:$D$900,MATCH(J635,'Both teabags AfterDry'!$A$3:$A$900,0)),"")))</f>
        <v>0.74199999999999999</v>
      </c>
      <c r="P635" s="267">
        <f>IFERROR(IF(O635&gt;0,O635-(TBIcalc!$Q$9),""),"")</f>
        <v>0.59139999999999993</v>
      </c>
      <c r="Q635" s="278">
        <f>IFERROR(INDEX('Ashed teabags dry'!$K$2:$K$825,MATCH(J635,'Ashed teabags dry'!$A$2:$A$825,0)),"")</f>
        <v>15.52150271873475</v>
      </c>
      <c r="R635" s="278">
        <f t="shared" si="47"/>
        <v>0.49960583292140259</v>
      </c>
      <c r="S635" s="268">
        <f>'Dry_Litterbag Placem_Collection'!E196</f>
        <v>42942</v>
      </c>
      <c r="T635" s="268">
        <f>IF('Dry_Litterbag Placem_Collection'!G196="","",'Dry_Litterbag Placem_Collection'!G196)</f>
        <v>43004</v>
      </c>
      <c r="U635" s="269">
        <f t="shared" si="45"/>
        <v>62</v>
      </c>
      <c r="V635" s="267">
        <f t="shared" si="48"/>
        <v>1.1998</v>
      </c>
      <c r="W635" s="267">
        <f t="shared" si="49"/>
        <v>1.1928136842744765</v>
      </c>
      <c r="X635" s="271">
        <f>IFERROR(INDEX(Rainfall_Dry!$O$2:$O$217,MATCH(B635, Rainfall_Dry!$A$2:$A$217,0)),"")</f>
        <v>171.84818423999999</v>
      </c>
      <c r="Y635" s="260">
        <v>21.13063730679653</v>
      </c>
      <c r="Z635" s="260">
        <v>3.0912555579081076</v>
      </c>
      <c r="AA635" s="260">
        <v>75.778107135295357</v>
      </c>
      <c r="AB635" s="261" t="s">
        <v>2670</v>
      </c>
      <c r="AC635" s="260">
        <v>0.46131099063578063</v>
      </c>
      <c r="AD635">
        <f>IF('WetLitterbags placem_collection'!AB196="","",'WetLitterbags placem_collection'!AB196)</f>
        <v>7.9</v>
      </c>
      <c r="AE635">
        <f>IF('WetLitterbags placem_collection'!Z196="","",'WetLitterbags placem_collection'!Z196)</f>
        <v>7.9</v>
      </c>
      <c r="AF635" s="246" t="str">
        <f>IF('WetLitterbags placem_collection'!AA196="","",'WetLitterbags placem_collection'!AA196)</f>
        <v>O</v>
      </c>
      <c r="AG635">
        <f>IF('WetLitterbags placem_collection'!AC196="","",'WetLitterbags placem_collection'!AC196)</f>
        <v>1</v>
      </c>
      <c r="AH635">
        <f>IFERROR(AVERAGE('Dry_Litterbag Placem_Collection'!O196,'Dry_Litterbag Placem_Collection'!R196),"")</f>
        <v>5.4</v>
      </c>
      <c r="AI635" s="271">
        <f>IFERROR(AVERAGE('Dry_Litterbag Placem_Collection'!N196,'Dry_Litterbag Placem_Collection'!Q196),"")</f>
        <v>30.849999999999998</v>
      </c>
      <c r="AJ635">
        <v>-2.4395990190000001</v>
      </c>
      <c r="AK635">
        <v>34.838418959999998</v>
      </c>
      <c r="AL635" s="270" t="str">
        <f>IF(ISNUMBER(SEARCH("C", 'Dry_Litterbag Placem_Collection'!U196)),"YES","NO")</f>
        <v>NO</v>
      </c>
      <c r="AM635" s="270" t="str">
        <f>IF(ISNUMBER(SEARCH("H", 'Dry_Litterbag Placem_Collection'!U196)),"YES","NO")</f>
        <v>NO</v>
      </c>
      <c r="AN635" s="270" t="str">
        <f>IF(ISNUMBER(SEARCH("R", 'Dry_Litterbag Placem_Collection'!U196)),"YES","NO")</f>
        <v>YES</v>
      </c>
    </row>
    <row r="636" spans="1:40" ht="15" customHeight="1">
      <c r="A636" s="262" t="s">
        <v>2659</v>
      </c>
      <c r="B636" s="263">
        <f>'Dry_Litterbag Placem_Collection'!A197</f>
        <v>195</v>
      </c>
      <c r="C636" s="263" t="str">
        <f>'Dry_Litterbag Placem_Collection'!B197</f>
        <v>Makao</v>
      </c>
      <c r="D636" s="263" t="s">
        <v>2659</v>
      </c>
      <c r="E636" s="263" t="s">
        <v>2526</v>
      </c>
      <c r="F636" s="263">
        <v>2</v>
      </c>
      <c r="G636" s="264" t="str">
        <f>'Dry_Litterbag Placem_Collection'!C197</f>
        <v>Dry_Ag3_CG2</v>
      </c>
      <c r="H636" s="273" t="s">
        <v>3651</v>
      </c>
      <c r="I636" s="266" t="s">
        <v>1147</v>
      </c>
      <c r="J636" s="263" t="str">
        <f>IF(ISBLANK('Dry_Litterbag Placem_Collection'!L197),"","G"&amp;""&amp;'Dry_Litterbag Placem_Collection'!L197)</f>
        <v>G338</v>
      </c>
      <c r="K636" s="267">
        <f>IFERROR(INDEX('Green_rooibos initial weight'!$C$5:$C$1749,MATCH(J636, 'Green_rooibos initial weight'!$A$5:$A$1749,0)),"")</f>
        <v>1.946</v>
      </c>
      <c r="L636" s="267">
        <f>IFERROR(K636-(TBIcalc!$Q$9+TBIcalc!$Q$10),"")</f>
        <v>1.6961999999999999</v>
      </c>
      <c r="M636" s="391">
        <f>AVERAGE(Ashed_controlls!$K$2:$K$11)</f>
        <v>5.5147656768714146</v>
      </c>
      <c r="N636" s="267">
        <f t="shared" si="46"/>
        <v>1.602658544588907</v>
      </c>
      <c r="O636" s="267">
        <f>IF(IFERROR(INDEX('Both teabags AfterDry'!$D$3:$D$900,MATCH(J636,'Both teabags AfterDry'!$A$3:$A$900,0)),"")="","",(IFERROR(INDEX('Both teabags AfterDry'!$D$3:$D$900,MATCH(J636,'Both teabags AfterDry'!$A$3:$A$900,0)),"")))</f>
        <v>0.83299999999999996</v>
      </c>
      <c r="P636" s="267">
        <f>IFERROR(IF(O636&gt;0,O636-(TBIcalc!$Q$9),""),"")</f>
        <v>0.6823999999999999</v>
      </c>
      <c r="Q636" s="278">
        <f>IFERROR(INDEX('Ashed teabags dry'!$K$2:$K$825,MATCH(J636,'Ashed teabags dry'!$A$2:$A$825,0)),"")</f>
        <v>16.185258964144143</v>
      </c>
      <c r="R636" s="278">
        <f t="shared" si="47"/>
        <v>0.57195179282868025</v>
      </c>
      <c r="S636" s="268">
        <f>'Dry_Litterbag Placem_Collection'!E197</f>
        <v>42942</v>
      </c>
      <c r="T636" s="268">
        <f>IF('Dry_Litterbag Placem_Collection'!G197="","",'Dry_Litterbag Placem_Collection'!G197)</f>
        <v>43004</v>
      </c>
      <c r="U636" s="269">
        <f t="shared" si="45"/>
        <v>62</v>
      </c>
      <c r="V636" s="267">
        <f t="shared" si="48"/>
        <v>1.0138</v>
      </c>
      <c r="W636" s="267">
        <f t="shared" si="49"/>
        <v>1.0307067517602269</v>
      </c>
      <c r="X636" s="271">
        <f>IFERROR(INDEX(Rainfall_Dry!$O$2:$O$217,MATCH(B636, Rainfall_Dry!$A$2:$A$217,0)),"")</f>
        <v>171.84818423999999</v>
      </c>
      <c r="Y636" s="260">
        <v>54.080969906906262</v>
      </c>
      <c r="Z636" s="260">
        <v>21.264484651351896</v>
      </c>
      <c r="AA636" s="260">
        <v>24.654545441741845</v>
      </c>
      <c r="AB636" s="261" t="s">
        <v>2673</v>
      </c>
      <c r="AC636" s="260">
        <v>1.8433218334154755</v>
      </c>
      <c r="AD636">
        <f>IF('WetLitterbags placem_collection'!AB197="","",'WetLitterbags placem_collection'!AB197)</f>
        <v>5.13</v>
      </c>
      <c r="AE636">
        <f>IF('WetLitterbags placem_collection'!Z197="","",'WetLitterbags placem_collection'!Z197)</f>
        <v>5.13</v>
      </c>
      <c r="AF636" s="246" t="str">
        <f>IF('WetLitterbags placem_collection'!AA197="","",'WetLitterbags placem_collection'!AA197)</f>
        <v>O</v>
      </c>
      <c r="AG636">
        <f>IF('WetLitterbags placem_collection'!AC197="","",'WetLitterbags placem_collection'!AC197)</f>
        <v>1</v>
      </c>
      <c r="AH636">
        <f>IFERROR(AVERAGE('Dry_Litterbag Placem_Collection'!O197,'Dry_Litterbag Placem_Collection'!R197),"")</f>
        <v>11.4</v>
      </c>
      <c r="AI636" s="271">
        <f>IFERROR(AVERAGE('Dry_Litterbag Placem_Collection'!N197,'Dry_Litterbag Placem_Collection'!Q197),"")</f>
        <v>28.1</v>
      </c>
      <c r="AJ636">
        <v>-2.4396450349999999</v>
      </c>
      <c r="AK636">
        <v>34.83836599</v>
      </c>
      <c r="AL636" s="270" t="str">
        <f>IF(ISNUMBER(SEARCH("C", 'Dry_Litterbag Placem_Collection'!U197)),"YES","NO")</f>
        <v>NO</v>
      </c>
      <c r="AM636" s="270" t="str">
        <f>IF(ISNUMBER(SEARCH("H", 'Dry_Litterbag Placem_Collection'!U197)),"YES","NO")</f>
        <v>NO</v>
      </c>
      <c r="AN636" s="270" t="str">
        <f>IF(ISNUMBER(SEARCH("R", 'Dry_Litterbag Placem_Collection'!U197)),"YES","NO")</f>
        <v>YES</v>
      </c>
    </row>
    <row r="637" spans="1:40" ht="15" customHeight="1">
      <c r="A637" s="262" t="s">
        <v>2659</v>
      </c>
      <c r="B637" s="263">
        <f>'Dry_Litterbag Placem_Collection'!A198</f>
        <v>196</v>
      </c>
      <c r="C637" s="263" t="str">
        <f>'Dry_Litterbag Placem_Collection'!B198</f>
        <v>Makao</v>
      </c>
      <c r="D637" s="263" t="s">
        <v>2659</v>
      </c>
      <c r="E637" s="263" t="s">
        <v>2526</v>
      </c>
      <c r="F637" s="263">
        <v>1</v>
      </c>
      <c r="G637" s="264" t="str">
        <f>'Dry_Litterbag Placem_Collection'!C198</f>
        <v>Dry_Ag4_CG1</v>
      </c>
      <c r="H637" s="273" t="s">
        <v>3651</v>
      </c>
      <c r="I637" s="266" t="s">
        <v>1147</v>
      </c>
      <c r="J637" s="263" t="str">
        <f>IF(ISBLANK('Dry_Litterbag Placem_Collection'!L198),"","G"&amp;""&amp;'Dry_Litterbag Placem_Collection'!L198)</f>
        <v>G243</v>
      </c>
      <c r="K637" s="267">
        <f>IFERROR(INDEX('Green_rooibos initial weight'!$C$5:$C$1749,MATCH(J637, 'Green_rooibos initial weight'!$A$5:$A$1749,0)),"")</f>
        <v>2.13</v>
      </c>
      <c r="L637" s="267">
        <f>IFERROR(K637-(TBIcalc!$Q$9+TBIcalc!$Q$10),"")</f>
        <v>1.8801999999999999</v>
      </c>
      <c r="M637" s="391">
        <f>AVERAGE(Ashed_controlls!$K$2:$K$11)</f>
        <v>5.5147656768714146</v>
      </c>
      <c r="N637" s="267">
        <f t="shared" si="46"/>
        <v>1.7765113757434636</v>
      </c>
      <c r="O637" s="267">
        <f>IF(IFERROR(INDEX('Both teabags AfterDry'!$D$3:$D$900,MATCH(J637,'Both teabags AfterDry'!$A$3:$A$900,0)),"")="","",(IFERROR(INDEX('Both teabags AfterDry'!$D$3:$D$900,MATCH(J637,'Both teabags AfterDry'!$A$3:$A$900,0)),"")))</f>
        <v>1.04</v>
      </c>
      <c r="P637" s="267">
        <f>IFERROR(IF(O637&gt;0,O637-(TBIcalc!$Q$9),""),"")</f>
        <v>0.88939999999999997</v>
      </c>
      <c r="Q637" s="278">
        <f>IFERROR(INDEX('Ashed teabags dry'!$K$2:$K$825,MATCH(J637,'Ashed teabags dry'!$A$2:$A$825,0)),"")</f>
        <v>17.944173681878588</v>
      </c>
      <c r="R637" s="278">
        <f t="shared" si="47"/>
        <v>0.72980451927337175</v>
      </c>
      <c r="S637" s="268">
        <f>'Dry_Litterbag Placem_Collection'!E198</f>
        <v>42942</v>
      </c>
      <c r="T637" s="268">
        <f>IF('Dry_Litterbag Placem_Collection'!G198="","",'Dry_Litterbag Placem_Collection'!G198)</f>
        <v>43004</v>
      </c>
      <c r="U637" s="269">
        <f t="shared" si="45"/>
        <v>62</v>
      </c>
      <c r="V637" s="267">
        <f t="shared" si="48"/>
        <v>0.9907999999999999</v>
      </c>
      <c r="W637" s="267">
        <f t="shared" si="49"/>
        <v>1.0467068564700919</v>
      </c>
      <c r="X637" s="271">
        <f>IFERROR(INDEX(Rainfall_Dry!$O$2:$O$217,MATCH(B637, Rainfall_Dry!$A$2:$A$217,0)),"")</f>
        <v>171.84818423999999</v>
      </c>
      <c r="Y637" s="260">
        <v>51.960000000000008</v>
      </c>
      <c r="Z637" s="260">
        <v>18.919999999999995</v>
      </c>
      <c r="AA637" s="260">
        <v>29.120000000000005</v>
      </c>
      <c r="AB637" s="261" t="s">
        <v>2673</v>
      </c>
      <c r="AC637" s="260">
        <v>1.85293247905372</v>
      </c>
      <c r="AD637">
        <f>IF('WetLitterbags placem_collection'!AB198="","",'WetLitterbags placem_collection'!AB198)</f>
        <v>13.8</v>
      </c>
      <c r="AE637">
        <f>IF('WetLitterbags placem_collection'!Z198="","",'WetLitterbags placem_collection'!Z198)</f>
        <v>17.399999999999999</v>
      </c>
      <c r="AF637" s="246" t="str">
        <f>IF('WetLitterbags placem_collection'!AA198="","",'WetLitterbags placem_collection'!AA198)</f>
        <v>O</v>
      </c>
      <c r="AG637">
        <f>IF('WetLitterbags placem_collection'!AC198="","",'WetLitterbags placem_collection'!AC198)</f>
        <v>1</v>
      </c>
      <c r="AH637">
        <f>IFERROR(AVERAGE('Dry_Litterbag Placem_Collection'!O198,'Dry_Litterbag Placem_Collection'!R198),"")</f>
        <v>12.45</v>
      </c>
      <c r="AI637" s="271">
        <f>IFERROR(AVERAGE('Dry_Litterbag Placem_Collection'!N198,'Dry_Litterbag Placem_Collection'!Q198),"")</f>
        <v>26.65</v>
      </c>
      <c r="AJ637">
        <v>-2.439403972</v>
      </c>
      <c r="AK637">
        <v>34.838404959999998</v>
      </c>
      <c r="AL637" s="270" t="str">
        <f>IF(ISNUMBER(SEARCH("C", 'Dry_Litterbag Placem_Collection'!U198)),"YES","NO")</f>
        <v>NO</v>
      </c>
      <c r="AM637" s="270" t="str">
        <f>IF(ISNUMBER(SEARCH("H", 'Dry_Litterbag Placem_Collection'!U198)),"YES","NO")</f>
        <v>NO</v>
      </c>
      <c r="AN637" s="270" t="str">
        <f>IF(ISNUMBER(SEARCH("R", 'Dry_Litterbag Placem_Collection'!U198)),"YES","NO")</f>
        <v>YES</v>
      </c>
    </row>
    <row r="638" spans="1:40" ht="15" customHeight="1">
      <c r="A638" s="262" t="s">
        <v>2659</v>
      </c>
      <c r="B638" s="263">
        <f>'Dry_Litterbag Placem_Collection'!A199</f>
        <v>197</v>
      </c>
      <c r="C638" s="263" t="str">
        <f>'Dry_Litterbag Placem_Collection'!B199</f>
        <v>Makao</v>
      </c>
      <c r="D638" s="263" t="s">
        <v>2659</v>
      </c>
      <c r="E638" s="263" t="s">
        <v>2526</v>
      </c>
      <c r="F638" s="263">
        <v>2</v>
      </c>
      <c r="G638" s="264" t="str">
        <f>'Dry_Litterbag Placem_Collection'!C199</f>
        <v>Dry_P1_CG2</v>
      </c>
      <c r="H638" s="273" t="s">
        <v>3651</v>
      </c>
      <c r="I638" s="266" t="s">
        <v>1147</v>
      </c>
      <c r="J638" s="263" t="str">
        <f>IF(ISBLANK('Dry_Litterbag Placem_Collection'!L199),"","G"&amp;""&amp;'Dry_Litterbag Placem_Collection'!L199)</f>
        <v>G254</v>
      </c>
      <c r="K638" s="267">
        <f>IFERROR(INDEX('Green_rooibos initial weight'!$C$5:$C$1749,MATCH(J638, 'Green_rooibos initial weight'!$A$5:$A$1749,0)),"")</f>
        <v>1.917</v>
      </c>
      <c r="L638" s="267">
        <f>IFERROR(K638-(TBIcalc!$Q$9+TBIcalc!$Q$10),"")</f>
        <v>1.6672</v>
      </c>
      <c r="M638" s="391">
        <f>AVERAGE(Ashed_controlls!$K$2:$K$11)</f>
        <v>5.5147656768714146</v>
      </c>
      <c r="N638" s="267">
        <f t="shared" si="46"/>
        <v>1.5752578266351998</v>
      </c>
      <c r="O638" s="267">
        <f>IF(IFERROR(INDEX('Both teabags AfterDry'!$D$3:$D$900,MATCH(J638,'Both teabags AfterDry'!$A$3:$A$900,0)),"")="","",(IFERROR(INDEX('Both teabags AfterDry'!$D$3:$D$900,MATCH(J638,'Both teabags AfterDry'!$A$3:$A$900,0)),"")))</f>
        <v>0.82399999999999995</v>
      </c>
      <c r="P638" s="267">
        <f>IFERROR(IF(O638&gt;0,O638-(TBIcalc!$Q$9),""),"")</f>
        <v>0.6734</v>
      </c>
      <c r="Q638" s="278">
        <f>IFERROR(INDEX('Ashed teabags dry'!$K$2:$K$825,MATCH(J638,'Ashed teabags dry'!$A$2:$A$825,0)),"")</f>
        <v>25.135802469135722</v>
      </c>
      <c r="R638" s="278">
        <f t="shared" si="47"/>
        <v>0.50413550617284009</v>
      </c>
      <c r="S638" s="268">
        <f>'Dry_Litterbag Placem_Collection'!E199</f>
        <v>42942</v>
      </c>
      <c r="T638" s="268">
        <f>IF('Dry_Litterbag Placem_Collection'!G199="","",'Dry_Litterbag Placem_Collection'!G199)</f>
        <v>43004</v>
      </c>
      <c r="U638" s="269">
        <f t="shared" si="45"/>
        <v>62</v>
      </c>
      <c r="V638" s="267">
        <f t="shared" si="48"/>
        <v>0.99380000000000002</v>
      </c>
      <c r="W638" s="267">
        <f t="shared" si="49"/>
        <v>1.0711223204623597</v>
      </c>
      <c r="X638" s="271">
        <f>IFERROR(INDEX(Rainfall_Dry!$O$2:$O$217,MATCH(B638, Rainfall_Dry!$A$2:$A$217,0)),"")</f>
        <v>171.84818423999999</v>
      </c>
      <c r="Y638" s="260">
        <v>23.96</v>
      </c>
      <c r="Z638" s="260">
        <v>0.91999999999999804</v>
      </c>
      <c r="AA638" s="260">
        <v>75.12</v>
      </c>
      <c r="AB638" s="261" t="s">
        <v>2670</v>
      </c>
      <c r="AC638" s="260">
        <v>1.2493839329719072</v>
      </c>
      <c r="AD638">
        <f>IF('WetLitterbags placem_collection'!AB199="","",'WetLitterbags placem_collection'!AB199)</f>
        <v>5.13</v>
      </c>
      <c r="AE638">
        <f>IF('WetLitterbags placem_collection'!Z199="","",'WetLitterbags placem_collection'!Z199)</f>
        <v>5.13</v>
      </c>
      <c r="AF638" s="246" t="str">
        <f>IF('WetLitterbags placem_collection'!AA199="","",'WetLitterbags placem_collection'!AA199)</f>
        <v>O</v>
      </c>
      <c r="AG638">
        <f>IF('WetLitterbags placem_collection'!AC199="","",'WetLitterbags placem_collection'!AC199)</f>
        <v>1</v>
      </c>
      <c r="AH638">
        <f>IFERROR(AVERAGE('Dry_Litterbag Placem_Collection'!O199,'Dry_Litterbag Placem_Collection'!R199),"")</f>
        <v>6.3000000000000007</v>
      </c>
      <c r="AI638" s="271">
        <f>IFERROR(AVERAGE('Dry_Litterbag Placem_Collection'!N199,'Dry_Litterbag Placem_Collection'!Q199),"")</f>
        <v>29.05</v>
      </c>
      <c r="AJ638">
        <v>-2.4396450349999999</v>
      </c>
      <c r="AK638">
        <v>34.83836599</v>
      </c>
      <c r="AL638" s="270" t="str">
        <f>IF(ISNUMBER(SEARCH("C", 'Dry_Litterbag Placem_Collection'!U199)),"YES","NO")</f>
        <v>NO</v>
      </c>
      <c r="AM638" s="270" t="str">
        <f>IF(ISNUMBER(SEARCH("H", 'Dry_Litterbag Placem_Collection'!U199)),"YES","NO")</f>
        <v>NO</v>
      </c>
      <c r="AN638" s="270" t="str">
        <f>IF(ISNUMBER(SEARCH("R", 'Dry_Litterbag Placem_Collection'!U199)),"YES","NO")</f>
        <v>YES</v>
      </c>
    </row>
    <row r="639" spans="1:40" ht="15" customHeight="1">
      <c r="A639" s="262" t="s">
        <v>2659</v>
      </c>
      <c r="B639" s="263">
        <f>'Dry_Litterbag Placem_Collection'!A200</f>
        <v>198</v>
      </c>
      <c r="C639" s="263" t="str">
        <f>'Dry_Litterbag Placem_Collection'!B200</f>
        <v>Makao</v>
      </c>
      <c r="D639" s="263" t="s">
        <v>2659</v>
      </c>
      <c r="E639" s="263" t="s">
        <v>2526</v>
      </c>
      <c r="F639" s="263">
        <v>3</v>
      </c>
      <c r="G639" s="264" t="str">
        <f>'Dry_Litterbag Placem_Collection'!C200</f>
        <v>Dry_P2_CG3</v>
      </c>
      <c r="H639" s="273" t="s">
        <v>3651</v>
      </c>
      <c r="I639" s="266" t="s">
        <v>1147</v>
      </c>
      <c r="J639" s="263" t="str">
        <f>IF(ISBLANK('Dry_Litterbag Placem_Collection'!L200),"","G"&amp;""&amp;'Dry_Litterbag Placem_Collection'!L200)</f>
        <v>G780</v>
      </c>
      <c r="K639" s="267">
        <f>IFERROR(INDEX('Green_rooibos initial weight'!$C$5:$C$1749,MATCH(J639, 'Green_rooibos initial weight'!$A$5:$A$1749,0)),"")</f>
        <v>1.962</v>
      </c>
      <c r="L639" s="267">
        <f>IFERROR(K639-(TBIcalc!$Q$9+TBIcalc!$Q$10),"")</f>
        <v>1.7121999999999999</v>
      </c>
      <c r="M639" s="391">
        <f>AVERAGE(Ashed_controlls!$K$2:$K$11)</f>
        <v>5.5147656768714146</v>
      </c>
      <c r="N639" s="267">
        <f t="shared" si="46"/>
        <v>1.6177761820806076</v>
      </c>
      <c r="O639" s="267">
        <f>IF(IFERROR(INDEX('Both teabags AfterDry'!$D$3:$D$900,MATCH(J639,'Both teabags AfterDry'!$A$3:$A$900,0)),"")="","",(IFERROR(INDEX('Both teabags AfterDry'!$D$3:$D$900,MATCH(J639,'Both teabags AfterDry'!$A$3:$A$900,0)),"")))</f>
        <v>0.69899999999999995</v>
      </c>
      <c r="P639" s="267">
        <f>IFERROR(IF(O639&gt;0,O639-(TBIcalc!$Q$9),""),"")</f>
        <v>0.5484</v>
      </c>
      <c r="Q639" s="278">
        <f>IFERROR(INDEX('Ashed teabags dry'!$K$2:$K$825,MATCH(J639,'Ashed teabags dry'!$A$2:$A$825,0)),"")</f>
        <v>13.974854932302094</v>
      </c>
      <c r="R639" s="278">
        <f t="shared" si="47"/>
        <v>0.47176189555125531</v>
      </c>
      <c r="S639" s="268">
        <f>'Dry_Litterbag Placem_Collection'!E200</f>
        <v>42942</v>
      </c>
      <c r="T639" s="268">
        <f>IF('Dry_Litterbag Placem_Collection'!G200="","",'Dry_Litterbag Placem_Collection'!G200)</f>
        <v>43004</v>
      </c>
      <c r="U639" s="269">
        <f t="shared" si="45"/>
        <v>62</v>
      </c>
      <c r="V639" s="267">
        <f t="shared" si="48"/>
        <v>1.1637999999999999</v>
      </c>
      <c r="W639" s="267">
        <f t="shared" si="49"/>
        <v>1.1460142865293523</v>
      </c>
      <c r="X639" s="271">
        <f>IFERROR(INDEX(Rainfall_Dry!$O$2:$O$217,MATCH(B639, Rainfall_Dry!$A$2:$A$217,0)),"")</f>
        <v>171.84818423999999</v>
      </c>
      <c r="Y639" s="260">
        <v>19.96</v>
      </c>
      <c r="Z639" s="260">
        <v>4.9199999999999982</v>
      </c>
      <c r="AA639" s="260">
        <v>75.12</v>
      </c>
      <c r="AB639" s="261" t="s">
        <v>2671</v>
      </c>
      <c r="AC639" s="260">
        <v>1.641498275012321</v>
      </c>
      <c r="AD639">
        <f>IF('WetLitterbags placem_collection'!AB200="","",'WetLitterbags placem_collection'!AB200)</f>
        <v>7.9</v>
      </c>
      <c r="AE639">
        <f>IF('WetLitterbags placem_collection'!Z200="","",'WetLitterbags placem_collection'!Z200)</f>
        <v>7.9</v>
      </c>
      <c r="AF639" s="246" t="str">
        <f>IF('WetLitterbags placem_collection'!AA200="","",'WetLitterbags placem_collection'!AA200)</f>
        <v>O</v>
      </c>
      <c r="AG639">
        <f>IF('WetLitterbags placem_collection'!AC200="","",'WetLitterbags placem_collection'!AC200)</f>
        <v>1</v>
      </c>
      <c r="AH639">
        <f>IFERROR(AVERAGE('Dry_Litterbag Placem_Collection'!O200,'Dry_Litterbag Placem_Collection'!R200),"")</f>
        <v>4.8499999999999996</v>
      </c>
      <c r="AI639" s="271">
        <f>IFERROR(AVERAGE('Dry_Litterbag Placem_Collection'!N200,'Dry_Litterbag Placem_Collection'!Q200),"")</f>
        <v>30.25</v>
      </c>
      <c r="AJ639">
        <v>-2.4395990190000001</v>
      </c>
      <c r="AK639">
        <v>34.838418959999998</v>
      </c>
      <c r="AL639" s="270" t="str">
        <f>IF(ISNUMBER(SEARCH("C", 'Dry_Litterbag Placem_Collection'!U200)),"YES","NO")</f>
        <v>NO</v>
      </c>
      <c r="AM639" s="270" t="str">
        <f>IF(ISNUMBER(SEARCH("H", 'Dry_Litterbag Placem_Collection'!U200)),"YES","NO")</f>
        <v>NO</v>
      </c>
      <c r="AN639" s="270" t="str">
        <f>IF(ISNUMBER(SEARCH("R", 'Dry_Litterbag Placem_Collection'!U200)),"YES","NO")</f>
        <v>YES</v>
      </c>
    </row>
    <row r="640" spans="1:40" ht="15" customHeight="1">
      <c r="A640" s="262" t="s">
        <v>2659</v>
      </c>
      <c r="B640" s="263">
        <f>'Dry_Litterbag Placem_Collection'!A201</f>
        <v>199</v>
      </c>
      <c r="C640" s="263" t="str">
        <f>'Dry_Litterbag Placem_Collection'!B201</f>
        <v>Makao</v>
      </c>
      <c r="D640" s="263" t="s">
        <v>2659</v>
      </c>
      <c r="E640" s="263" t="s">
        <v>2526</v>
      </c>
      <c r="F640" s="263">
        <v>1</v>
      </c>
      <c r="G640" s="264" t="str">
        <f>'Dry_Litterbag Placem_Collection'!C201</f>
        <v>Dry_P3_CG1</v>
      </c>
      <c r="H640" s="273" t="s">
        <v>3651</v>
      </c>
      <c r="I640" s="266" t="s">
        <v>1147</v>
      </c>
      <c r="J640" s="263" t="str">
        <f>IF(ISBLANK('Dry_Litterbag Placem_Collection'!L201),"","G"&amp;""&amp;'Dry_Litterbag Placem_Collection'!L201)</f>
        <v>G182</v>
      </c>
      <c r="K640" s="267">
        <f>IFERROR(INDEX('Green_rooibos initial weight'!$C$5:$C$1749,MATCH(J640, 'Green_rooibos initial weight'!$A$5:$A$1749,0)),"")</f>
        <v>1.8919999999999999</v>
      </c>
      <c r="L640" s="267">
        <f>IFERROR(K640-(TBIcalc!$Q$9+TBIcalc!$Q$10),"")</f>
        <v>1.6421999999999999</v>
      </c>
      <c r="M640" s="391">
        <f>AVERAGE(Ashed_controlls!$K$2:$K$11)</f>
        <v>5.5147656768714146</v>
      </c>
      <c r="N640" s="267">
        <f t="shared" si="46"/>
        <v>1.5516365180544176</v>
      </c>
      <c r="O640" s="267">
        <f>IF(IFERROR(INDEX('Both teabags AfterDry'!$D$3:$D$900,MATCH(J640,'Both teabags AfterDry'!$A$3:$A$900,0)),"")="","",(IFERROR(INDEX('Both teabags AfterDry'!$D$3:$D$900,MATCH(J640,'Both teabags AfterDry'!$A$3:$A$900,0)),"")))</f>
        <v>0.62490000000000001</v>
      </c>
      <c r="P640" s="267">
        <f>IFERROR(IF(O640&gt;0,O640-(TBIcalc!$Q$9),""),"")</f>
        <v>0.4743</v>
      </c>
      <c r="Q640" s="278">
        <f>IFERROR(INDEX('Ashed teabags dry'!$K$2:$K$825,MATCH(J640,'Ashed teabags dry'!$A$2:$A$825,0)),"")</f>
        <v>15.096201282683586</v>
      </c>
      <c r="R640" s="278">
        <f t="shared" si="47"/>
        <v>0.40269871731623175</v>
      </c>
      <c r="S640" s="268">
        <f>'Dry_Litterbag Placem_Collection'!E201</f>
        <v>42942</v>
      </c>
      <c r="T640" s="268">
        <f>IF('Dry_Litterbag Placem_Collection'!G201="","",'Dry_Litterbag Placem_Collection'!G201)</f>
        <v>43004</v>
      </c>
      <c r="U640" s="269">
        <f t="shared" si="45"/>
        <v>62</v>
      </c>
      <c r="V640" s="267">
        <f t="shared" si="48"/>
        <v>1.1678999999999999</v>
      </c>
      <c r="W640" s="267">
        <f t="shared" si="49"/>
        <v>1.1489378007381859</v>
      </c>
      <c r="X640" s="271">
        <f>IFERROR(INDEX(Rainfall_Dry!$O$2:$O$217,MATCH(B640, Rainfall_Dry!$A$2:$A$217,0)),"")</f>
        <v>171.84818423999999</v>
      </c>
      <c r="Y640" s="260">
        <v>21.96</v>
      </c>
      <c r="Z640" s="260">
        <v>8.9199999999999982</v>
      </c>
      <c r="AA640" s="260">
        <v>69.12</v>
      </c>
      <c r="AB640" s="261" t="s">
        <v>2670</v>
      </c>
      <c r="AC640" s="260">
        <v>1.7491375061606702</v>
      </c>
      <c r="AD640">
        <f>IF('WetLitterbags placem_collection'!AB201="","",'WetLitterbags placem_collection'!AB201)</f>
        <v>13.8</v>
      </c>
      <c r="AE640">
        <f>IF('WetLitterbags placem_collection'!Z201="","",'WetLitterbags placem_collection'!Z201)</f>
        <v>17.399999999999999</v>
      </c>
      <c r="AF640" s="246" t="str">
        <f>IF('WetLitterbags placem_collection'!AA201="","",'WetLitterbags placem_collection'!AA201)</f>
        <v>O</v>
      </c>
      <c r="AG640">
        <f>IF('WetLitterbags placem_collection'!AC201="","",'WetLitterbags placem_collection'!AC201)</f>
        <v>1</v>
      </c>
      <c r="AH640">
        <f>IFERROR(AVERAGE('Dry_Litterbag Placem_Collection'!O201,'Dry_Litterbag Placem_Collection'!R201),"")</f>
        <v>6.1999999999999993</v>
      </c>
      <c r="AI640" s="271">
        <f>IFERROR(AVERAGE('Dry_Litterbag Placem_Collection'!N201,'Dry_Litterbag Placem_Collection'!Q201),"")</f>
        <v>27.200000000000003</v>
      </c>
      <c r="AJ640">
        <v>-2.439403972</v>
      </c>
      <c r="AK640">
        <v>34.838404959999998</v>
      </c>
      <c r="AL640" s="270" t="str">
        <f>IF(ISNUMBER(SEARCH("C", 'Dry_Litterbag Placem_Collection'!U201)),"YES","NO")</f>
        <v>NO</v>
      </c>
      <c r="AM640" s="270" t="str">
        <f>IF(ISNUMBER(SEARCH("H", 'Dry_Litterbag Placem_Collection'!U201)),"YES","NO")</f>
        <v>NO</v>
      </c>
      <c r="AN640" s="270" t="str">
        <f>IF(ISNUMBER(SEARCH("R", 'Dry_Litterbag Placem_Collection'!U201)),"YES","NO")</f>
        <v>YES</v>
      </c>
    </row>
    <row r="641" spans="1:40" ht="15" customHeight="1">
      <c r="A641" s="262" t="s">
        <v>2659</v>
      </c>
      <c r="B641" s="263">
        <f>'Dry_Litterbag Placem_Collection'!A202</f>
        <v>200</v>
      </c>
      <c r="C641" s="263" t="str">
        <f>'Dry_Litterbag Placem_Collection'!B202</f>
        <v>Makao</v>
      </c>
      <c r="D641" s="263" t="s">
        <v>2659</v>
      </c>
      <c r="E641" s="263" t="s">
        <v>2526</v>
      </c>
      <c r="F641" s="263">
        <v>4</v>
      </c>
      <c r="G641" s="264" t="str">
        <f>'Dry_Litterbag Placem_Collection'!C202</f>
        <v>Dry_P4_CG4</v>
      </c>
      <c r="H641" s="273" t="s">
        <v>3651</v>
      </c>
      <c r="I641" s="266" t="s">
        <v>1147</v>
      </c>
      <c r="J641" s="263" t="str">
        <f>IF(ISBLANK('Dry_Litterbag Placem_Collection'!L202),"","G"&amp;""&amp;'Dry_Litterbag Placem_Collection'!L202)</f>
        <v>G186</v>
      </c>
      <c r="K641" s="267">
        <f>IFERROR(INDEX('Green_rooibos initial weight'!$C$5:$C$1749,MATCH(J641, 'Green_rooibos initial weight'!$A$5:$A$1749,0)),"")</f>
        <v>2.0419999999999998</v>
      </c>
      <c r="L641" s="267">
        <f>IFERROR(K641-(TBIcalc!$Q$9+TBIcalc!$Q$10),"")</f>
        <v>1.7921999999999998</v>
      </c>
      <c r="M641" s="391">
        <f>AVERAGE(Ashed_controlls!$K$2:$K$11)</f>
        <v>5.5147656768714146</v>
      </c>
      <c r="N641" s="267">
        <f t="shared" si="46"/>
        <v>1.6933643695391103</v>
      </c>
      <c r="O641" s="267">
        <f>IF(IFERROR(INDEX('Both teabags AfterDry'!$D$3:$D$900,MATCH(J641,'Both teabags AfterDry'!$A$3:$A$900,0)),"")="","",(IFERROR(INDEX('Both teabags AfterDry'!$D$3:$D$900,MATCH(J641,'Both teabags AfterDry'!$A$3:$A$900,0)),"")))</f>
        <v>0.6643</v>
      </c>
      <c r="P641" s="267">
        <f>IFERROR(IF(O641&gt;0,O641-(TBIcalc!$Q$9),""),"")</f>
        <v>0.51370000000000005</v>
      </c>
      <c r="Q641" s="278">
        <f>IFERROR(INDEX('Ashed teabags dry'!$K$2:$K$825,MATCH(J641,'Ashed teabags dry'!$A$2:$A$825,0)),"")</f>
        <v>12.606837606837463</v>
      </c>
      <c r="R641" s="278">
        <f t="shared" si="47"/>
        <v>0.44893867521367603</v>
      </c>
      <c r="S641" s="268">
        <f>'Dry_Litterbag Placem_Collection'!E202</f>
        <v>42942</v>
      </c>
      <c r="T641" s="268">
        <f>IF('Dry_Litterbag Placem_Collection'!G202="","",'Dry_Litterbag Placem_Collection'!G202)</f>
        <v>43004</v>
      </c>
      <c r="U641" s="269">
        <f t="shared" si="45"/>
        <v>62</v>
      </c>
      <c r="V641" s="267">
        <f t="shared" si="48"/>
        <v>1.2784999999999997</v>
      </c>
      <c r="W641" s="267">
        <f t="shared" si="49"/>
        <v>1.2444256943254342</v>
      </c>
      <c r="X641" s="271">
        <f>IFERROR(INDEX(Rainfall_Dry!$O$2:$O$217,MATCH(B641, Rainfall_Dry!$A$2:$A$217,0)),"")</f>
        <v>171.84818423999999</v>
      </c>
      <c r="Y641" s="260">
        <v>25.96</v>
      </c>
      <c r="Z641" s="260">
        <v>6.9200000000000008</v>
      </c>
      <c r="AA641" s="260">
        <v>67.12</v>
      </c>
      <c r="AB641" s="261" t="s">
        <v>2670</v>
      </c>
      <c r="AC641" s="260">
        <v>1.7568260226712666</v>
      </c>
      <c r="AD641">
        <f>IF('WetLitterbags placem_collection'!AB202="","",'WetLitterbags placem_collection'!AB202)</f>
        <v>15.2</v>
      </c>
      <c r="AE641">
        <f>IF('WetLitterbags placem_collection'!Z202="","",'WetLitterbags placem_collection'!Z202)</f>
        <v>12.2</v>
      </c>
      <c r="AF641" s="246" t="str">
        <f>IF('WetLitterbags placem_collection'!AA202="","",'WetLitterbags placem_collection'!AA202)</f>
        <v>O</v>
      </c>
      <c r="AG641">
        <f>IF('WetLitterbags placem_collection'!AC202="","",'WetLitterbags placem_collection'!AC202)</f>
        <v>1</v>
      </c>
      <c r="AH641">
        <f>IFERROR(AVERAGE('Dry_Litterbag Placem_Collection'!O202,'Dry_Litterbag Placem_Collection'!R202),"")</f>
        <v>7</v>
      </c>
      <c r="AI641" s="271">
        <f>IFERROR(AVERAGE('Dry_Litterbag Placem_Collection'!N202,'Dry_Litterbag Placem_Collection'!Q202),"")</f>
        <v>32.9</v>
      </c>
      <c r="AJ641">
        <v>-2.4396949910000001</v>
      </c>
      <c r="AK641">
        <v>34.838574029999997</v>
      </c>
      <c r="AL641" s="270" t="str">
        <f>IF(ISNUMBER(SEARCH("C", 'Dry_Litterbag Placem_Collection'!U202)),"YES","NO")</f>
        <v>NO</v>
      </c>
      <c r="AM641" s="270" t="str">
        <f>IF(ISNUMBER(SEARCH("H", 'Dry_Litterbag Placem_Collection'!U202)),"YES","NO")</f>
        <v>NO</v>
      </c>
      <c r="AN641" s="270" t="str">
        <f>IF(ISNUMBER(SEARCH("R", 'Dry_Litterbag Placem_Collection'!U202)),"YES","NO")</f>
        <v>YES</v>
      </c>
    </row>
    <row r="642" spans="1:40" ht="15" customHeight="1">
      <c r="A642" s="262" t="s">
        <v>2659</v>
      </c>
      <c r="B642" s="263">
        <f>'Dry_Litterbag Placem_Collection'!A203</f>
        <v>201</v>
      </c>
      <c r="C642" s="263" t="str">
        <f>'Dry_Litterbag Placem_Collection'!B203</f>
        <v>Maswa</v>
      </c>
      <c r="D642" s="263" t="s">
        <v>2659</v>
      </c>
      <c r="E642" s="263" t="s">
        <v>2526</v>
      </c>
      <c r="F642" s="263">
        <v>4</v>
      </c>
      <c r="G642" s="264" t="str">
        <f>'Dry_Litterbag Placem_Collection'!C203</f>
        <v>Dry_W3_CG4</v>
      </c>
      <c r="H642" s="273" t="s">
        <v>3651</v>
      </c>
      <c r="I642" s="266" t="s">
        <v>1147</v>
      </c>
      <c r="J642" s="263" t="str">
        <f>IF(ISBLANK('Dry_Litterbag Placem_Collection'!L203),"","G"&amp;""&amp;'Dry_Litterbag Placem_Collection'!L203)</f>
        <v>G315</v>
      </c>
      <c r="K642" s="267">
        <f>IFERROR(INDEX('Green_rooibos initial weight'!$C$5:$C$1749,MATCH(J642, 'Green_rooibos initial weight'!$A$5:$A$1749,0)),"")</f>
        <v>2.0960000000000001</v>
      </c>
      <c r="L642" s="267">
        <f>IFERROR(K642-(TBIcalc!$Q$9+TBIcalc!$Q$10),"")</f>
        <v>1.8462000000000001</v>
      </c>
      <c r="M642" s="391">
        <f>AVERAGE(Ashed_controlls!$K$2:$K$11)</f>
        <v>5.5147656768714146</v>
      </c>
      <c r="N642" s="267">
        <f t="shared" si="46"/>
        <v>1.7443863960735999</v>
      </c>
      <c r="O642" s="267">
        <f>IF(IFERROR(INDEX('Both teabags AfterDry'!$D$3:$D$900,MATCH(J642,'Both teabags AfterDry'!$A$3:$A$900,0)),"")="","",(IFERROR(INDEX('Both teabags AfterDry'!$D$3:$D$900,MATCH(J642,'Both teabags AfterDry'!$A$3:$A$900,0)),"")))</f>
        <v>0.84</v>
      </c>
      <c r="P642" s="267">
        <f>IFERROR(IF(O642&gt;0,O642-(TBIcalc!$Q$9),""),"")</f>
        <v>0.68940000000000001</v>
      </c>
      <c r="Q642" s="278">
        <f>IFERROR(INDEX('Ashed teabags dry'!$K$2:$K$825,MATCH(J642,'Ashed teabags dry'!$A$2:$A$825,0)),"")</f>
        <v>16.658642272508086</v>
      </c>
      <c r="R642" s="278">
        <f t="shared" si="47"/>
        <v>0.57455532017332922</v>
      </c>
      <c r="S642" s="268">
        <f>'Dry_Litterbag Placem_Collection'!E203</f>
        <v>42942</v>
      </c>
      <c r="T642" s="268">
        <f>IF('Dry_Litterbag Placem_Collection'!G203="","",'Dry_Litterbag Placem_Collection'!G203)</f>
        <v>43004</v>
      </c>
      <c r="U642" s="269">
        <f t="shared" ref="U642:U705" si="50">IFERROR(T642-S642,"")</f>
        <v>62</v>
      </c>
      <c r="V642" s="267">
        <f t="shared" si="48"/>
        <v>1.1568000000000001</v>
      </c>
      <c r="W642" s="267">
        <f t="shared" si="49"/>
        <v>1.1698310759002708</v>
      </c>
      <c r="X642" s="271">
        <f>IFERROR(INDEX(Rainfall_Dry!$O$2:$O$217,MATCH(B642, Rainfall_Dry!$A$2:$A$217,0)),"")</f>
        <v>171.84818423999999</v>
      </c>
      <c r="Y642" s="260">
        <v>38.691629007962128</v>
      </c>
      <c r="Z642" s="260">
        <v>26.81299763288143</v>
      </c>
      <c r="AA642" s="260">
        <v>34.495373359156439</v>
      </c>
      <c r="AB642" s="261" t="s">
        <v>2675</v>
      </c>
      <c r="AC642" s="260">
        <v>2.5483587974371611</v>
      </c>
      <c r="AD642">
        <f>IF('WetLitterbags placem_collection'!AB203="","",'WetLitterbags placem_collection'!AB203)</f>
        <v>15.2</v>
      </c>
      <c r="AE642">
        <f>IF('WetLitterbags placem_collection'!Z203="","",'WetLitterbags placem_collection'!Z203)</f>
        <v>12.2</v>
      </c>
      <c r="AF642" s="246" t="str">
        <f>IF('WetLitterbags placem_collection'!AA203="","",'WetLitterbags placem_collection'!AA203)</f>
        <v>O</v>
      </c>
      <c r="AG642">
        <f>IF('WetLitterbags placem_collection'!AC203="","",'WetLitterbags placem_collection'!AC203)</f>
        <v>1</v>
      </c>
      <c r="AH642">
        <f>IFERROR(AVERAGE('Dry_Litterbag Placem_Collection'!O203,'Dry_Litterbag Placem_Collection'!R203),"")</f>
        <v>8.9</v>
      </c>
      <c r="AI642" s="271">
        <f>IFERROR(AVERAGE('Dry_Litterbag Placem_Collection'!N203,'Dry_Litterbag Placem_Collection'!Q203),"")</f>
        <v>29.15</v>
      </c>
      <c r="AJ642">
        <v>-2.4396949910000001</v>
      </c>
      <c r="AK642">
        <v>34.838574029999997</v>
      </c>
      <c r="AL642" s="270" t="str">
        <f>IF(ISNUMBER(SEARCH("C", 'Dry_Litterbag Placem_Collection'!U203)),"YES","NO")</f>
        <v>NO</v>
      </c>
      <c r="AM642" s="270" t="str">
        <f>IF(ISNUMBER(SEARCH("H", 'Dry_Litterbag Placem_Collection'!U203)),"YES","NO")</f>
        <v>NO</v>
      </c>
      <c r="AN642" s="270" t="str">
        <f>IF(ISNUMBER(SEARCH("R", 'Dry_Litterbag Placem_Collection'!U203)),"YES","NO")</f>
        <v>YES</v>
      </c>
    </row>
    <row r="643" spans="1:40" ht="15" customHeight="1">
      <c r="A643" s="262" t="s">
        <v>2659</v>
      </c>
      <c r="B643" s="263">
        <f>'Dry_Litterbag Placem_Collection'!A204</f>
        <v>202</v>
      </c>
      <c r="C643" s="263" t="str">
        <f>'Dry_Litterbag Placem_Collection'!B204</f>
        <v>Maswa</v>
      </c>
      <c r="D643" s="263" t="s">
        <v>2659</v>
      </c>
      <c r="E643" s="263" t="s">
        <v>2526</v>
      </c>
      <c r="F643" s="263">
        <v>1</v>
      </c>
      <c r="G643" s="264" t="str">
        <f>'Dry_Litterbag Placem_Collection'!C204</f>
        <v>Dry_W2_CG1</v>
      </c>
      <c r="H643" s="273" t="s">
        <v>3651</v>
      </c>
      <c r="I643" s="266" t="s">
        <v>1147</v>
      </c>
      <c r="J643" s="263" t="str">
        <f>IF(ISBLANK('Dry_Litterbag Placem_Collection'!L204),"","G"&amp;""&amp;'Dry_Litterbag Placem_Collection'!L204)</f>
        <v>G147</v>
      </c>
      <c r="K643" s="267">
        <f>IFERROR(INDEX('Green_rooibos initial weight'!$C$5:$C$1749,MATCH(J643, 'Green_rooibos initial weight'!$A$5:$A$1749,0)),"")</f>
        <v>2.0369999999999999</v>
      </c>
      <c r="L643" s="267">
        <f>IFERROR(K643-(TBIcalc!$Q$9+TBIcalc!$Q$10),"")</f>
        <v>1.7871999999999999</v>
      </c>
      <c r="M643" s="391">
        <f>AVERAGE(Ashed_controlls!$K$2:$K$11)</f>
        <v>5.5147656768714146</v>
      </c>
      <c r="N643" s="267">
        <f t="shared" ref="N643:N706" si="51">IFERROR(L643-(M643/100)*L643,"")</f>
        <v>1.688640107822954</v>
      </c>
      <c r="O643" s="267">
        <f>IF(IFERROR(INDEX('Both teabags AfterDry'!$D$3:$D$900,MATCH(J643,'Both teabags AfterDry'!$A$3:$A$900,0)),"")="","",(IFERROR(INDEX('Both teabags AfterDry'!$D$3:$D$900,MATCH(J643,'Both teabags AfterDry'!$A$3:$A$900,0)),"")))</f>
        <v>0.71709999999999996</v>
      </c>
      <c r="P643" s="267">
        <f>IFERROR(IF(O643&gt;0,O643-(TBIcalc!$Q$9),""),"")</f>
        <v>0.5665</v>
      </c>
      <c r="Q643" s="278">
        <f>IFERROR(INDEX('Ashed teabags dry'!$K$2:$K$825,MATCH(J643,'Ashed teabags dry'!$A$2:$A$825,0)),"")</f>
        <v>19.843214110729726</v>
      </c>
      <c r="R643" s="278">
        <f t="shared" ref="R643:R706" si="52">IFERROR(P643-(Q643/100)*P643,"")</f>
        <v>0.45408819206271611</v>
      </c>
      <c r="S643" s="268">
        <f>'Dry_Litterbag Placem_Collection'!E204</f>
        <v>42942</v>
      </c>
      <c r="T643" s="268">
        <f>IF('Dry_Litterbag Placem_Collection'!G204="","",'Dry_Litterbag Placem_Collection'!G204)</f>
        <v>43004</v>
      </c>
      <c r="U643" s="269">
        <f t="shared" si="50"/>
        <v>62</v>
      </c>
      <c r="V643" s="267">
        <f t="shared" ref="V643:V706" si="53">IFERROR(L643-P643,"")</f>
        <v>1.2206999999999999</v>
      </c>
      <c r="W643" s="267">
        <f t="shared" ref="W643:W706" si="54">IFERROR(N643-R643,"")</f>
        <v>1.234551915760238</v>
      </c>
      <c r="X643" s="271">
        <f>IFERROR(INDEX(Rainfall_Dry!$O$2:$O$217,MATCH(B643, Rainfall_Dry!$A$2:$A$217,0)),"")</f>
        <v>171.84818423999999</v>
      </c>
      <c r="Y643" s="260">
        <v>45.272914521112256</v>
      </c>
      <c r="Z643" s="260">
        <v>23.604531410916575</v>
      </c>
      <c r="AA643" s="260">
        <v>31.122554067971166</v>
      </c>
      <c r="AB643" s="261" t="s">
        <v>2673</v>
      </c>
      <c r="AC643" s="260">
        <v>2.0547560374568752</v>
      </c>
      <c r="AD643">
        <f>IF('WetLitterbags placem_collection'!AB204="","",'WetLitterbags placem_collection'!AB204)</f>
        <v>13.8</v>
      </c>
      <c r="AE643">
        <f>IF('WetLitterbags placem_collection'!Z204="","",'WetLitterbags placem_collection'!Z204)</f>
        <v>17.399999999999999</v>
      </c>
      <c r="AF643" s="246" t="str">
        <f>IF('WetLitterbags placem_collection'!AA204="","",'WetLitterbags placem_collection'!AA204)</f>
        <v>O</v>
      </c>
      <c r="AG643">
        <f>IF('WetLitterbags placem_collection'!AC204="","",'WetLitterbags placem_collection'!AC204)</f>
        <v>1</v>
      </c>
      <c r="AH643">
        <f>IFERROR(AVERAGE('Dry_Litterbag Placem_Collection'!O204,'Dry_Litterbag Placem_Collection'!R204),"")</f>
        <v>6.3</v>
      </c>
      <c r="AI643" s="271">
        <f>IFERROR(AVERAGE('Dry_Litterbag Placem_Collection'!N204,'Dry_Litterbag Placem_Collection'!Q204),"")</f>
        <v>28.85</v>
      </c>
      <c r="AJ643">
        <v>-2.439403972</v>
      </c>
      <c r="AK643">
        <v>34.838404959999998</v>
      </c>
      <c r="AL643" s="270" t="str">
        <f>IF(ISNUMBER(SEARCH("C", 'Dry_Litterbag Placem_Collection'!U204)),"YES","NO")</f>
        <v>NO</v>
      </c>
      <c r="AM643" s="270" t="str">
        <f>IF(ISNUMBER(SEARCH("H", 'Dry_Litterbag Placem_Collection'!U204)),"YES","NO")</f>
        <v>NO</v>
      </c>
      <c r="AN643" s="270" t="str">
        <f>IF(ISNUMBER(SEARCH("R", 'Dry_Litterbag Placem_Collection'!U204)),"YES","NO")</f>
        <v>YES</v>
      </c>
    </row>
    <row r="644" spans="1:40" ht="15" customHeight="1">
      <c r="A644" s="262" t="s">
        <v>2659</v>
      </c>
      <c r="B644" s="263">
        <f>'Dry_Litterbag Placem_Collection'!A205</f>
        <v>203</v>
      </c>
      <c r="C644" s="263" t="str">
        <f>'Dry_Litterbag Placem_Collection'!B205</f>
        <v>Maswa</v>
      </c>
      <c r="D644" s="263" t="s">
        <v>2659</v>
      </c>
      <c r="E644" s="263" t="s">
        <v>2526</v>
      </c>
      <c r="F644" s="263">
        <v>2</v>
      </c>
      <c r="G644" s="264" t="str">
        <f>'Dry_Litterbag Placem_Collection'!C205</f>
        <v>Dry_W1_CG2</v>
      </c>
      <c r="H644" s="273" t="s">
        <v>3651</v>
      </c>
      <c r="I644" s="266" t="s">
        <v>1147</v>
      </c>
      <c r="J644" s="263" t="str">
        <f>IF(ISBLANK('Dry_Litterbag Placem_Collection'!L205),"","G"&amp;""&amp;'Dry_Litterbag Placem_Collection'!L205)</f>
        <v>G168</v>
      </c>
      <c r="K644" s="267">
        <f>IFERROR(INDEX('Green_rooibos initial weight'!$C$5:$C$1749,MATCH(J644, 'Green_rooibos initial weight'!$A$5:$A$1749,0)),"")</f>
        <v>2.0499999999999998</v>
      </c>
      <c r="L644" s="267">
        <f>IFERROR(K644-(TBIcalc!$Q$9+TBIcalc!$Q$10),"")</f>
        <v>1.8001999999999998</v>
      </c>
      <c r="M644" s="391">
        <f>AVERAGE(Ashed_controlls!$K$2:$K$11)</f>
        <v>5.5147656768714146</v>
      </c>
      <c r="N644" s="267">
        <f t="shared" si="51"/>
        <v>1.7009231882849607</v>
      </c>
      <c r="O644" s="267">
        <f>IF(IFERROR(INDEX('Both teabags AfterDry'!$D$3:$D$900,MATCH(J644,'Both teabags AfterDry'!$A$3:$A$900,0)),"")="","",(IFERROR(INDEX('Both teabags AfterDry'!$D$3:$D$900,MATCH(J644,'Both teabags AfterDry'!$A$3:$A$900,0)),"")))</f>
        <v>0.72609999999999997</v>
      </c>
      <c r="P644" s="267">
        <f>IFERROR(IF(O644&gt;0,O644-(TBIcalc!$Q$9),""),"")</f>
        <v>0.5754999999999999</v>
      </c>
      <c r="Q644" s="278">
        <f>IFERROR(INDEX('Ashed teabags dry'!$K$2:$K$825,MATCH(J644,'Ashed teabags dry'!$A$2:$A$825,0)),"")</f>
        <v>14.424477901894273</v>
      </c>
      <c r="R644" s="278">
        <f t="shared" si="52"/>
        <v>0.4924871296745984</v>
      </c>
      <c r="S644" s="268">
        <f>'Dry_Litterbag Placem_Collection'!E205</f>
        <v>42942</v>
      </c>
      <c r="T644" s="268">
        <f>IF('Dry_Litterbag Placem_Collection'!G205="","",'Dry_Litterbag Placem_Collection'!G205)</f>
        <v>43004</v>
      </c>
      <c r="U644" s="269">
        <f t="shared" si="50"/>
        <v>62</v>
      </c>
      <c r="V644" s="267">
        <f t="shared" si="53"/>
        <v>1.2246999999999999</v>
      </c>
      <c r="W644" s="267">
        <f t="shared" si="54"/>
        <v>1.2084360586103622</v>
      </c>
      <c r="X644" s="271">
        <f>IFERROR(INDEX(Rainfall_Dry!$O$2:$O$217,MATCH(B644, Rainfall_Dry!$A$2:$A$217,0)),"")</f>
        <v>171.84818423999999</v>
      </c>
      <c r="Y644" s="260">
        <v>47.96</v>
      </c>
      <c r="Z644" s="260">
        <v>22.919999999999995</v>
      </c>
      <c r="AA644" s="260">
        <v>29.120000000000012</v>
      </c>
      <c r="AB644" s="261" t="s">
        <v>2673</v>
      </c>
      <c r="AC644" s="260">
        <v>2.8831936914736325</v>
      </c>
      <c r="AD644">
        <f>IF('WetLitterbags placem_collection'!AB205="","",'WetLitterbags placem_collection'!AB205)</f>
        <v>5.13</v>
      </c>
      <c r="AE644">
        <f>IF('WetLitterbags placem_collection'!Z205="","",'WetLitterbags placem_collection'!Z205)</f>
        <v>5.13</v>
      </c>
      <c r="AF644" s="246" t="str">
        <f>IF('WetLitterbags placem_collection'!AA205="","",'WetLitterbags placem_collection'!AA205)</f>
        <v>O</v>
      </c>
      <c r="AG644">
        <f>IF('WetLitterbags placem_collection'!AC205="","",'WetLitterbags placem_collection'!AC205)</f>
        <v>1</v>
      </c>
      <c r="AH644">
        <f>IFERROR(AVERAGE('Dry_Litterbag Placem_Collection'!O205,'Dry_Litterbag Placem_Collection'!R205),"")</f>
        <v>10.100000000000001</v>
      </c>
      <c r="AI644" s="271">
        <f>IFERROR(AVERAGE('Dry_Litterbag Placem_Collection'!N205,'Dry_Litterbag Placem_Collection'!Q205),"")</f>
        <v>28.299999999999997</v>
      </c>
      <c r="AJ644">
        <v>-2.4396450349999999</v>
      </c>
      <c r="AK644">
        <v>34.83836599</v>
      </c>
      <c r="AL644" s="270" t="str">
        <f>IF(ISNUMBER(SEARCH("C", 'Dry_Litterbag Placem_Collection'!U205)),"YES","NO")</f>
        <v>NO</v>
      </c>
      <c r="AM644" s="270" t="str">
        <f>IF(ISNUMBER(SEARCH("H", 'Dry_Litterbag Placem_Collection'!U205)),"YES","NO")</f>
        <v>NO</v>
      </c>
      <c r="AN644" s="270" t="str">
        <f>IF(ISNUMBER(SEARCH("R", 'Dry_Litterbag Placem_Collection'!U205)),"YES","NO")</f>
        <v>YES</v>
      </c>
    </row>
    <row r="645" spans="1:40" ht="15" customHeight="1">
      <c r="A645" s="262" t="s">
        <v>2659</v>
      </c>
      <c r="B645" s="263">
        <f>'Dry_Litterbag Placem_Collection'!A206</f>
        <v>204</v>
      </c>
      <c r="C645" s="263" t="str">
        <f>'Dry_Litterbag Placem_Collection'!B206</f>
        <v>Maswa</v>
      </c>
      <c r="D645" s="263" t="s">
        <v>2659</v>
      </c>
      <c r="E645" s="263" t="s">
        <v>2526</v>
      </c>
      <c r="F645" s="263">
        <v>3</v>
      </c>
      <c r="G645" s="264" t="str">
        <f>'Dry_Litterbag Placem_Collection'!C206</f>
        <v>Dry_W4_CG3</v>
      </c>
      <c r="H645" s="273" t="s">
        <v>3651</v>
      </c>
      <c r="I645" s="266" t="s">
        <v>1147</v>
      </c>
      <c r="J645" s="263" t="str">
        <f>IF(ISBLANK('Dry_Litterbag Placem_Collection'!L206),"","G"&amp;""&amp;'Dry_Litterbag Placem_Collection'!L206)</f>
        <v>G672</v>
      </c>
      <c r="K645" s="267">
        <f>IFERROR(INDEX('Green_rooibos initial weight'!$C$5:$C$1749,MATCH(J645, 'Green_rooibos initial weight'!$A$5:$A$1749,0)),"")</f>
        <v>2.0350000000000001</v>
      </c>
      <c r="L645" s="267">
        <f>IFERROR(K645-(TBIcalc!$Q$9+TBIcalc!$Q$10),"")</f>
        <v>1.7852000000000001</v>
      </c>
      <c r="M645" s="391">
        <f>AVERAGE(Ashed_controlls!$K$2:$K$11)</f>
        <v>5.5147656768714146</v>
      </c>
      <c r="N645" s="267">
        <f t="shared" si="51"/>
        <v>1.6867504031364917</v>
      </c>
      <c r="O645" s="267">
        <f>IF(IFERROR(INDEX('Both teabags AfterDry'!$D$3:$D$900,MATCH(J645,'Both teabags AfterDry'!$A$3:$A$900,0)),"")="","",(IFERROR(INDEX('Both teabags AfterDry'!$D$3:$D$900,MATCH(J645,'Both teabags AfterDry'!$A$3:$A$900,0)),"")))</f>
        <v>0.75690000000000002</v>
      </c>
      <c r="P645" s="267">
        <f>IFERROR(IF(O645&gt;0,O645-(TBIcalc!$Q$9),""),"")</f>
        <v>0.60630000000000006</v>
      </c>
      <c r="Q645" s="278">
        <f>IFERROR(INDEX('Ashed teabags dry'!$K$2:$K$825,MATCH(J645,'Ashed teabags dry'!$A$2:$A$825,0)),"")</f>
        <v>21.599219892735228</v>
      </c>
      <c r="R645" s="278">
        <f t="shared" si="52"/>
        <v>0.47534392979034634</v>
      </c>
      <c r="S645" s="268">
        <f>'Dry_Litterbag Placem_Collection'!E206</f>
        <v>42942</v>
      </c>
      <c r="T645" s="268">
        <f>IF('Dry_Litterbag Placem_Collection'!G206="","",'Dry_Litterbag Placem_Collection'!G206)</f>
        <v>43004</v>
      </c>
      <c r="U645" s="269">
        <f t="shared" si="50"/>
        <v>62</v>
      </c>
      <c r="V645" s="267">
        <f t="shared" si="53"/>
        <v>1.1789000000000001</v>
      </c>
      <c r="W645" s="267">
        <f t="shared" si="54"/>
        <v>1.2114064733461454</v>
      </c>
      <c r="X645" s="271">
        <f>IFERROR(INDEX(Rainfall_Dry!$O$2:$O$217,MATCH(B645, Rainfall_Dry!$A$2:$A$217,0)),"")</f>
        <v>171.84818423999999</v>
      </c>
      <c r="Y645" s="260">
        <v>28.145762029394</v>
      </c>
      <c r="Z645" s="260">
        <v>25.085564727199518</v>
      </c>
      <c r="AA645" s="260">
        <v>46.768673243406489</v>
      </c>
      <c r="AB645" s="261" t="s">
        <v>2670</v>
      </c>
      <c r="AC645" s="260">
        <v>2.1716214884179394</v>
      </c>
      <c r="AD645">
        <f>IF('WetLitterbags placem_collection'!AB206="","",'WetLitterbags placem_collection'!AB206)</f>
        <v>7.9</v>
      </c>
      <c r="AE645">
        <f>IF('WetLitterbags placem_collection'!Z206="","",'WetLitterbags placem_collection'!Z206)</f>
        <v>7.9</v>
      </c>
      <c r="AF645" s="246" t="str">
        <f>IF('WetLitterbags placem_collection'!AA206="","",'WetLitterbags placem_collection'!AA206)</f>
        <v>O</v>
      </c>
      <c r="AG645">
        <f>IF('WetLitterbags placem_collection'!AC206="","",'WetLitterbags placem_collection'!AC206)</f>
        <v>1</v>
      </c>
      <c r="AH645">
        <f>IFERROR(AVERAGE('Dry_Litterbag Placem_Collection'!O206,'Dry_Litterbag Placem_Collection'!R206),"")</f>
        <v>8.3500000000000014</v>
      </c>
      <c r="AI645" s="271">
        <f>IFERROR(AVERAGE('Dry_Litterbag Placem_Collection'!N206,'Dry_Litterbag Placem_Collection'!Q206),"")</f>
        <v>27.299999999999997</v>
      </c>
      <c r="AJ645">
        <v>-2.4395990190000001</v>
      </c>
      <c r="AK645">
        <v>34.838418959999998</v>
      </c>
      <c r="AL645" s="270" t="str">
        <f>IF(ISNUMBER(SEARCH("C", 'Dry_Litterbag Placem_Collection'!U206)),"YES","NO")</f>
        <v>NO</v>
      </c>
      <c r="AM645" s="270" t="str">
        <f>IF(ISNUMBER(SEARCH("H", 'Dry_Litterbag Placem_Collection'!U206)),"YES","NO")</f>
        <v>NO</v>
      </c>
      <c r="AN645" s="270" t="str">
        <f>IF(ISNUMBER(SEARCH("R", 'Dry_Litterbag Placem_Collection'!U206)),"YES","NO")</f>
        <v>NO</v>
      </c>
    </row>
    <row r="646" spans="1:40" ht="15" customHeight="1">
      <c r="A646" s="262" t="s">
        <v>2659</v>
      </c>
      <c r="B646" s="263">
        <f>'Dry_Litterbag Placem_Collection'!A207</f>
        <v>205</v>
      </c>
      <c r="C646" s="263" t="str">
        <f>'Dry_Litterbag Placem_Collection'!B207</f>
        <v xml:space="preserve">Mwantimba
</v>
      </c>
      <c r="D646" s="263" t="s">
        <v>2460</v>
      </c>
      <c r="E646" s="263" t="s">
        <v>2526</v>
      </c>
      <c r="F646" s="263">
        <v>2</v>
      </c>
      <c r="G646" s="264" t="str">
        <f>'Dry_Litterbag Placem_Collection'!C207</f>
        <v>Wet_Ag1_CG2</v>
      </c>
      <c r="H646" s="273" t="s">
        <v>3651</v>
      </c>
      <c r="I646" s="266" t="s">
        <v>1147</v>
      </c>
      <c r="J646" s="263" t="str">
        <f>IF(ISBLANK('Dry_Litterbag Placem_Collection'!L207),"","G"&amp;""&amp;'Dry_Litterbag Placem_Collection'!L207)</f>
        <v>G173</v>
      </c>
      <c r="K646" s="267">
        <f>IFERROR(INDEX('Green_rooibos initial weight'!$C$5:$C$1749,MATCH(J646, 'Green_rooibos initial weight'!$A$5:$A$1749,0)),"")</f>
        <v>2.1419999999999999</v>
      </c>
      <c r="L646" s="267">
        <f>IFERROR(K646-(TBIcalc!$Q$9+TBIcalc!$Q$10),"")</f>
        <v>1.8921999999999999</v>
      </c>
      <c r="M646" s="391">
        <f>AVERAGE(Ashed_controlls!$K$2:$K$11)</f>
        <v>5.5147656768714146</v>
      </c>
      <c r="N646" s="267">
        <f t="shared" si="51"/>
        <v>1.7878496038622389</v>
      </c>
      <c r="O646" s="267">
        <f>IF(IFERROR(INDEX('Both teabags AfterDry'!$D$3:$D$900,MATCH(J646,'Both teabags AfterDry'!$A$3:$A$900,0)),"")="","",(IFERROR(INDEX('Both teabags AfterDry'!$D$3:$D$900,MATCH(J646,'Both teabags AfterDry'!$A$3:$A$900,0)),"")))</f>
        <v>0.79190000000000005</v>
      </c>
      <c r="P646" s="267">
        <f>IFERROR(IF(O646&gt;0,O646-(TBIcalc!$Q$9),""),"")</f>
        <v>0.64129999999999998</v>
      </c>
      <c r="Q646" s="278">
        <f>IFERROR(INDEX('Ashed teabags dry'!$K$2:$K$825,MATCH(J646,'Ashed teabags dry'!$A$2:$A$825,0)),"")</f>
        <v>18.018433179723015</v>
      </c>
      <c r="R646" s="278">
        <f t="shared" si="52"/>
        <v>0.52574778801843625</v>
      </c>
      <c r="S646" s="268">
        <f>'Dry_Litterbag Placem_Collection'!E207</f>
        <v>42942</v>
      </c>
      <c r="T646" s="268">
        <f>IF('Dry_Litterbag Placem_Collection'!G207="","",'Dry_Litterbag Placem_Collection'!G207)</f>
        <v>43004</v>
      </c>
      <c r="U646" s="269">
        <f t="shared" si="50"/>
        <v>62</v>
      </c>
      <c r="V646" s="267">
        <f t="shared" si="53"/>
        <v>1.2508999999999999</v>
      </c>
      <c r="W646" s="267">
        <f t="shared" si="54"/>
        <v>1.2621018158438027</v>
      </c>
      <c r="X646" s="271">
        <f>IFERROR(INDEX(Rainfall_Dry!$O$2:$O$217,MATCH(B646, Rainfall_Dry!$A$2:$A$217,0)),"")</f>
        <v>171.84818423999999</v>
      </c>
      <c r="Y646" s="260">
        <v>45.96</v>
      </c>
      <c r="Z646" s="260">
        <v>14.920000000000003</v>
      </c>
      <c r="AA646" s="260">
        <v>39.119999999999997</v>
      </c>
      <c r="AB646" s="261" t="s">
        <v>2673</v>
      </c>
      <c r="AC646" s="260">
        <v>2.0374568753080333</v>
      </c>
      <c r="AD646">
        <f>IF('WetLitterbags placem_collection'!AB207="","",'WetLitterbags placem_collection'!AB207)</f>
        <v>5.13</v>
      </c>
      <c r="AE646">
        <f>IF('WetLitterbags placem_collection'!Z207="","",'WetLitterbags placem_collection'!Z207)</f>
        <v>5.13</v>
      </c>
      <c r="AF646" s="246" t="str">
        <f>IF('WetLitterbags placem_collection'!AA207="","",'WetLitterbags placem_collection'!AA207)</f>
        <v>O</v>
      </c>
      <c r="AG646">
        <f>IF('WetLitterbags placem_collection'!AC207="","",'WetLitterbags placem_collection'!AC207)</f>
        <v>1</v>
      </c>
      <c r="AH646">
        <f>IFERROR(AVERAGE('Dry_Litterbag Placem_Collection'!O207,'Dry_Litterbag Placem_Collection'!R207),"")</f>
        <v>7.9499999999999993</v>
      </c>
      <c r="AI646" s="271">
        <f>IFERROR(AVERAGE('Dry_Litterbag Placem_Collection'!N207,'Dry_Litterbag Placem_Collection'!Q207),"")</f>
        <v>29.05</v>
      </c>
      <c r="AJ646">
        <v>-2.4396450349999999</v>
      </c>
      <c r="AK646">
        <v>34.83836599</v>
      </c>
      <c r="AL646" s="270" t="str">
        <f>IF(ISNUMBER(SEARCH("C", 'Dry_Litterbag Placem_Collection'!U207)),"YES","NO")</f>
        <v>NO</v>
      </c>
      <c r="AM646" s="270" t="str">
        <f>IF(ISNUMBER(SEARCH("H", 'Dry_Litterbag Placem_Collection'!U207)),"YES","NO")</f>
        <v>NO</v>
      </c>
      <c r="AN646" s="270" t="str">
        <f>IF(ISNUMBER(SEARCH("R", 'Dry_Litterbag Placem_Collection'!U207)),"YES","NO")</f>
        <v>YES</v>
      </c>
    </row>
    <row r="647" spans="1:40" ht="15" customHeight="1">
      <c r="A647" s="262" t="s">
        <v>2659</v>
      </c>
      <c r="B647" s="263">
        <f>'Dry_Litterbag Placem_Collection'!A208</f>
        <v>206</v>
      </c>
      <c r="C647" s="263" t="str">
        <f>'Dry_Litterbag Placem_Collection'!B208</f>
        <v xml:space="preserve">Mwantimba
</v>
      </c>
      <c r="D647" s="263" t="s">
        <v>2460</v>
      </c>
      <c r="E647" s="263" t="s">
        <v>2526</v>
      </c>
      <c r="F647" s="263">
        <v>1</v>
      </c>
      <c r="G647" s="264" t="str">
        <f>'Dry_Litterbag Placem_Collection'!C208</f>
        <v>Wet_Ag2_CG1</v>
      </c>
      <c r="H647" s="273" t="s">
        <v>3651</v>
      </c>
      <c r="I647" s="266" t="s">
        <v>1147</v>
      </c>
      <c r="J647" s="263" t="str">
        <f>IF(ISBLANK('Dry_Litterbag Placem_Collection'!L208),"","G"&amp;""&amp;'Dry_Litterbag Placem_Collection'!L208)</f>
        <v>G262</v>
      </c>
      <c r="K647" s="267">
        <f>IFERROR(INDEX('Green_rooibos initial weight'!$C$5:$C$1749,MATCH(J647, 'Green_rooibos initial weight'!$A$5:$A$1749,0)),"")</f>
        <v>2.012</v>
      </c>
      <c r="L647" s="267">
        <f>IFERROR(K647-(TBIcalc!$Q$9+TBIcalc!$Q$10),"")</f>
        <v>1.7622</v>
      </c>
      <c r="M647" s="391">
        <f>AVERAGE(Ashed_controlls!$K$2:$K$11)</f>
        <v>5.5147656768714146</v>
      </c>
      <c r="N647" s="267">
        <f t="shared" si="51"/>
        <v>1.6650187992421719</v>
      </c>
      <c r="O647" s="267">
        <f>IF(IFERROR(INDEX('Both teabags AfterDry'!$D$3:$D$900,MATCH(J647,'Both teabags AfterDry'!$A$3:$A$900,0)),"")="","",(IFERROR(INDEX('Both teabags AfterDry'!$D$3:$D$900,MATCH(J647,'Both teabags AfterDry'!$A$3:$A$900,0)),"")))</f>
        <v>0.59640000000000004</v>
      </c>
      <c r="P647" s="267">
        <f>IFERROR(IF(O647&gt;0,O647-(TBIcalc!$Q$9),""),"")</f>
        <v>0.44580000000000003</v>
      </c>
      <c r="Q647" s="278">
        <f>IFERROR(INDEX('Ashed teabags dry'!$K$2:$K$825,MATCH(J647,'Ashed teabags dry'!$A$2:$A$825,0)),"")</f>
        <v>18.61042183622844</v>
      </c>
      <c r="R647" s="278">
        <f t="shared" si="52"/>
        <v>0.36283473945409361</v>
      </c>
      <c r="S647" s="268">
        <f>'Dry_Litterbag Placem_Collection'!E208</f>
        <v>42942</v>
      </c>
      <c r="T647" s="268">
        <f>IF('Dry_Litterbag Placem_Collection'!G208="","",'Dry_Litterbag Placem_Collection'!G208)</f>
        <v>43004</v>
      </c>
      <c r="U647" s="269">
        <f t="shared" si="50"/>
        <v>62</v>
      </c>
      <c r="V647" s="267">
        <f t="shared" si="53"/>
        <v>1.3164</v>
      </c>
      <c r="W647" s="267">
        <f t="shared" si="54"/>
        <v>1.3021840597880783</v>
      </c>
      <c r="X647" s="271">
        <f>IFERROR(INDEX(Rainfall_Dry!$O$2:$O$217,MATCH(B647, Rainfall_Dry!$A$2:$A$217,0)),"")</f>
        <v>171.84818423999999</v>
      </c>
      <c r="Y647" s="260">
        <v>34.344660194174757</v>
      </c>
      <c r="Z647" s="260">
        <v>19.22727272727273</v>
      </c>
      <c r="AA647" s="260">
        <v>46.428067078552509</v>
      </c>
      <c r="AB647" s="261" t="s">
        <v>2670</v>
      </c>
      <c r="AC647" s="260">
        <v>1.7452932479053718</v>
      </c>
      <c r="AD647">
        <f>IF('WetLitterbags placem_collection'!AB208="","",'WetLitterbags placem_collection'!AB208)</f>
        <v>13.8</v>
      </c>
      <c r="AE647">
        <f>IF('WetLitterbags placem_collection'!Z208="","",'WetLitterbags placem_collection'!Z208)</f>
        <v>17.399999999999999</v>
      </c>
      <c r="AF647" s="246" t="str">
        <f>IF('WetLitterbags placem_collection'!AA208="","",'WetLitterbags placem_collection'!AA208)</f>
        <v>O</v>
      </c>
      <c r="AG647">
        <f>IF('WetLitterbags placem_collection'!AC208="","",'WetLitterbags placem_collection'!AC208)</f>
        <v>1</v>
      </c>
      <c r="AH647">
        <f>IFERROR(AVERAGE('Dry_Litterbag Placem_Collection'!O208,'Dry_Litterbag Placem_Collection'!R208),"")</f>
        <v>6.4</v>
      </c>
      <c r="AI647" s="271">
        <f>IFERROR(AVERAGE('Dry_Litterbag Placem_Collection'!N208,'Dry_Litterbag Placem_Collection'!Q208),"")</f>
        <v>27.799999999999997</v>
      </c>
      <c r="AJ647">
        <v>-2.439403972</v>
      </c>
      <c r="AK647">
        <v>34.838404959999998</v>
      </c>
      <c r="AL647" s="270" t="str">
        <f>IF(ISNUMBER(SEARCH("C", 'Dry_Litterbag Placem_Collection'!U208)),"YES","NO")</f>
        <v>NO</v>
      </c>
      <c r="AM647" s="270" t="str">
        <f>IF(ISNUMBER(SEARCH("H", 'Dry_Litterbag Placem_Collection'!U208)),"YES","NO")</f>
        <v>NO</v>
      </c>
      <c r="AN647" s="270" t="str">
        <f>IF(ISNUMBER(SEARCH("R", 'Dry_Litterbag Placem_Collection'!U208)),"YES","NO")</f>
        <v>YES</v>
      </c>
    </row>
    <row r="648" spans="1:40" ht="15" customHeight="1">
      <c r="A648" s="262" t="s">
        <v>2659</v>
      </c>
      <c r="B648" s="263">
        <f>'Dry_Litterbag Placem_Collection'!A209</f>
        <v>207</v>
      </c>
      <c r="C648" s="263" t="str">
        <f>'Dry_Litterbag Placem_Collection'!B209</f>
        <v xml:space="preserve">Mwantimba
</v>
      </c>
      <c r="D648" s="263" t="s">
        <v>2460</v>
      </c>
      <c r="E648" s="263" t="s">
        <v>2526</v>
      </c>
      <c r="F648" s="263">
        <v>4</v>
      </c>
      <c r="G648" s="264" t="str">
        <f>'Dry_Litterbag Placem_Collection'!C209</f>
        <v>Wet_Ag3_CG4</v>
      </c>
      <c r="H648" s="273" t="s">
        <v>3651</v>
      </c>
      <c r="I648" s="266" t="s">
        <v>1147</v>
      </c>
      <c r="J648" s="263" t="str">
        <f>IF(ISBLANK('Dry_Litterbag Placem_Collection'!L209),"","G"&amp;""&amp;'Dry_Litterbag Placem_Collection'!L209)</f>
        <v>G230</v>
      </c>
      <c r="K648" s="267">
        <f>IFERROR(INDEX('Green_rooibos initial weight'!$C$5:$C$1749,MATCH(J648, 'Green_rooibos initial weight'!$A$5:$A$1749,0)),"")</f>
        <v>2.0030000000000001</v>
      </c>
      <c r="L648" s="267">
        <f>IFERROR(K648-(TBIcalc!$Q$9+TBIcalc!$Q$10),"")</f>
        <v>1.7532000000000001</v>
      </c>
      <c r="M648" s="391">
        <f>AVERAGE(Ashed_controlls!$K$2:$K$11)</f>
        <v>5.5147656768714146</v>
      </c>
      <c r="N648" s="267">
        <f t="shared" si="51"/>
        <v>1.6565151281530905</v>
      </c>
      <c r="O648" s="267">
        <f>IF(IFERROR(INDEX('Both teabags AfterDry'!$D$3:$D$900,MATCH(J648,'Both teabags AfterDry'!$A$3:$A$900,0)),"")="","",(IFERROR(INDEX('Both teabags AfterDry'!$D$3:$D$900,MATCH(J648,'Both teabags AfterDry'!$A$3:$A$900,0)),"")))</f>
        <v>0.73299999999999998</v>
      </c>
      <c r="P648" s="267">
        <f>IFERROR(IF(O648&gt;0,O648-(TBIcalc!$Q$9),""),"")</f>
        <v>0.58240000000000003</v>
      </c>
      <c r="Q648" s="278">
        <f>IFERROR(INDEX('Ashed teabags dry'!$K$2:$K$825,MATCH(J648,'Ashed teabags dry'!$A$2:$A$825,0)),"")</f>
        <v>20.488997555012073</v>
      </c>
      <c r="R648" s="278">
        <f t="shared" si="52"/>
        <v>0.46307207823960972</v>
      </c>
      <c r="S648" s="268">
        <f>'Dry_Litterbag Placem_Collection'!E209</f>
        <v>42942</v>
      </c>
      <c r="T648" s="268">
        <f>IF('Dry_Litterbag Placem_Collection'!G209="","",'Dry_Litterbag Placem_Collection'!G209)</f>
        <v>43004</v>
      </c>
      <c r="U648" s="269">
        <f t="shared" si="50"/>
        <v>62</v>
      </c>
      <c r="V648" s="267">
        <f t="shared" si="53"/>
        <v>1.1708000000000001</v>
      </c>
      <c r="W648" s="267">
        <f t="shared" si="54"/>
        <v>1.1934430499134807</v>
      </c>
      <c r="X648" s="271">
        <f>IFERROR(INDEX(Rainfall_Dry!$O$2:$O$217,MATCH(B648, Rainfall_Dry!$A$2:$A$217,0)),"")</f>
        <v>171.84818423999999</v>
      </c>
      <c r="Y648" s="260">
        <v>27.96</v>
      </c>
      <c r="Z648" s="260">
        <v>4.9200000000000017</v>
      </c>
      <c r="AA648" s="260">
        <v>67.12</v>
      </c>
      <c r="AB648" s="261" t="s">
        <v>2670</v>
      </c>
      <c r="AC648" s="260">
        <v>0.88610152784622953</v>
      </c>
      <c r="AD648">
        <f>IF('WetLitterbags placem_collection'!AB209="","",'WetLitterbags placem_collection'!AB209)</f>
        <v>15.2</v>
      </c>
      <c r="AE648">
        <f>IF('WetLitterbags placem_collection'!Z209="","",'WetLitterbags placem_collection'!Z209)</f>
        <v>12.2</v>
      </c>
      <c r="AF648" s="246" t="str">
        <f>IF('WetLitterbags placem_collection'!AA209="","",'WetLitterbags placem_collection'!AA209)</f>
        <v>O</v>
      </c>
      <c r="AG648">
        <f>IF('WetLitterbags placem_collection'!AC209="","",'WetLitterbags placem_collection'!AC209)</f>
        <v>1</v>
      </c>
      <c r="AH648">
        <f>IFERROR(AVERAGE('Dry_Litterbag Placem_Collection'!O209,'Dry_Litterbag Placem_Collection'!R209),"")</f>
        <v>4.3</v>
      </c>
      <c r="AI648" s="271">
        <f>IFERROR(AVERAGE('Dry_Litterbag Placem_Collection'!N209,'Dry_Litterbag Placem_Collection'!Q209),"")</f>
        <v>29.6</v>
      </c>
      <c r="AJ648">
        <v>-2.4396949910000001</v>
      </c>
      <c r="AK648">
        <v>34.838574029999997</v>
      </c>
      <c r="AL648" s="270" t="str">
        <f>IF(ISNUMBER(SEARCH("C", 'Dry_Litterbag Placem_Collection'!U209)),"YES","NO")</f>
        <v>NO</v>
      </c>
      <c r="AM648" s="270" t="str">
        <f>IF(ISNUMBER(SEARCH("H", 'Dry_Litterbag Placem_Collection'!U209)),"YES","NO")</f>
        <v>NO</v>
      </c>
      <c r="AN648" s="270" t="str">
        <f>IF(ISNUMBER(SEARCH("R", 'Dry_Litterbag Placem_Collection'!U209)),"YES","NO")</f>
        <v>NO</v>
      </c>
    </row>
    <row r="649" spans="1:40" ht="15" customHeight="1">
      <c r="A649" s="262" t="s">
        <v>2659</v>
      </c>
      <c r="B649" s="263">
        <f>'Dry_Litterbag Placem_Collection'!A210</f>
        <v>208</v>
      </c>
      <c r="C649" s="263" t="str">
        <f>'Dry_Litterbag Placem_Collection'!B210</f>
        <v xml:space="preserve">Mwantimba
</v>
      </c>
      <c r="D649" s="263" t="s">
        <v>2460</v>
      </c>
      <c r="E649" s="263" t="s">
        <v>2526</v>
      </c>
      <c r="F649" s="263">
        <v>3</v>
      </c>
      <c r="G649" s="264" t="str">
        <f>'Dry_Litterbag Placem_Collection'!C210</f>
        <v>Wet_Ag4_CG3</v>
      </c>
      <c r="H649" s="273" t="s">
        <v>3651</v>
      </c>
      <c r="I649" s="266" t="s">
        <v>1147</v>
      </c>
      <c r="J649" s="263" t="str">
        <f>IF(ISBLANK('Dry_Litterbag Placem_Collection'!L210),"","G"&amp;""&amp;'Dry_Litterbag Placem_Collection'!L210)</f>
        <v>G140</v>
      </c>
      <c r="K649" s="267">
        <f>IFERROR(INDEX('Green_rooibos initial weight'!$C$5:$C$1749,MATCH(J649, 'Green_rooibos initial weight'!$A$5:$A$1749,0)),"")</f>
        <v>2.0590000000000002</v>
      </c>
      <c r="L649" s="267">
        <f>IFERROR(K649-(TBIcalc!$Q$9+TBIcalc!$Q$10),"")</f>
        <v>1.8092000000000001</v>
      </c>
      <c r="M649" s="391">
        <f>AVERAGE(Ashed_controlls!$K$2:$K$11)</f>
        <v>5.5147656768714146</v>
      </c>
      <c r="N649" s="267">
        <f t="shared" si="51"/>
        <v>1.7094268593740425</v>
      </c>
      <c r="O649" s="267">
        <f>IF(IFERROR(INDEX('Both teabags AfterDry'!$D$3:$D$900,MATCH(J649,'Both teabags AfterDry'!$A$3:$A$900,0)),"")="","",(IFERROR(INDEX('Both teabags AfterDry'!$D$3:$D$900,MATCH(J649,'Both teabags AfterDry'!$A$3:$A$900,0)),"")))</f>
        <v>0.74199999999999999</v>
      </c>
      <c r="P649" s="267">
        <f>IFERROR(IF(O649&gt;0,O649-(TBIcalc!$Q$9),""),"")</f>
        <v>0.59139999999999993</v>
      </c>
      <c r="Q649" s="278">
        <f>IFERROR(INDEX('Ashed teabags dry'!$K$2:$K$825,MATCH(J649,'Ashed teabags dry'!$A$2:$A$825,0)),"")</f>
        <v>20.585365853658182</v>
      </c>
      <c r="R649" s="278">
        <f t="shared" si="52"/>
        <v>0.46965814634146547</v>
      </c>
      <c r="S649" s="268">
        <f>'Dry_Litterbag Placem_Collection'!E210</f>
        <v>42942</v>
      </c>
      <c r="T649" s="268">
        <f>IF('Dry_Litterbag Placem_Collection'!G210="","",'Dry_Litterbag Placem_Collection'!G210)</f>
        <v>43004</v>
      </c>
      <c r="U649" s="269">
        <f t="shared" si="50"/>
        <v>62</v>
      </c>
      <c r="V649" s="267">
        <f t="shared" si="53"/>
        <v>1.2178000000000002</v>
      </c>
      <c r="W649" s="267">
        <f t="shared" si="54"/>
        <v>1.239768713032577</v>
      </c>
      <c r="X649" s="271">
        <f>IFERROR(INDEX(Rainfall_Dry!$O$2:$O$217,MATCH(B649, Rainfall_Dry!$A$2:$A$217,0)),"")</f>
        <v>171.84818423999999</v>
      </c>
      <c r="Y649" s="260">
        <v>17.96</v>
      </c>
      <c r="Z649" s="260">
        <v>4.9199999999999982</v>
      </c>
      <c r="AA649" s="260">
        <v>77.12</v>
      </c>
      <c r="AB649" s="261" t="s">
        <v>2671</v>
      </c>
      <c r="AC649" s="260">
        <v>2.0220798422868409</v>
      </c>
      <c r="AD649">
        <f>IF('WetLitterbags placem_collection'!AB210="","",'WetLitterbags placem_collection'!AB210)</f>
        <v>7.9</v>
      </c>
      <c r="AE649">
        <f>IF('WetLitterbags placem_collection'!Z210="","",'WetLitterbags placem_collection'!Z210)</f>
        <v>7.9</v>
      </c>
      <c r="AF649" s="246" t="str">
        <f>IF('WetLitterbags placem_collection'!AA210="","",'WetLitterbags placem_collection'!AA210)</f>
        <v>O</v>
      </c>
      <c r="AG649">
        <f>IF('WetLitterbags placem_collection'!AC210="","",'WetLitterbags placem_collection'!AC210)</f>
        <v>1</v>
      </c>
      <c r="AH649">
        <f>IFERROR(AVERAGE('Dry_Litterbag Placem_Collection'!O210,'Dry_Litterbag Placem_Collection'!R210),"")</f>
        <v>6.2</v>
      </c>
      <c r="AI649" s="271">
        <f>IFERROR(AVERAGE('Dry_Litterbag Placem_Collection'!N210,'Dry_Litterbag Placem_Collection'!Q210),"")</f>
        <v>29.1</v>
      </c>
      <c r="AJ649">
        <v>-2.4395990190000001</v>
      </c>
      <c r="AK649">
        <v>34.838418959999998</v>
      </c>
      <c r="AL649" s="270" t="str">
        <f>IF(ISNUMBER(SEARCH("C", 'Dry_Litterbag Placem_Collection'!U210)),"YES","NO")</f>
        <v>NO</v>
      </c>
      <c r="AM649" s="270" t="str">
        <f>IF(ISNUMBER(SEARCH("H", 'Dry_Litterbag Placem_Collection'!U210)),"YES","NO")</f>
        <v>NO</v>
      </c>
      <c r="AN649" s="270" t="str">
        <f>IF(ISNUMBER(SEARCH("R", 'Dry_Litterbag Placem_Collection'!U210)),"YES","NO")</f>
        <v>YES</v>
      </c>
    </row>
    <row r="650" spans="1:40" ht="15" customHeight="1">
      <c r="A650" s="262" t="s">
        <v>2659</v>
      </c>
      <c r="B650" s="263">
        <f>'Dry_Litterbag Placem_Collection'!A211</f>
        <v>209</v>
      </c>
      <c r="C650" s="263" t="str">
        <f>'Dry_Litterbag Placem_Collection'!B211</f>
        <v xml:space="preserve">Mwantimba
</v>
      </c>
      <c r="D650" s="263" t="s">
        <v>2460</v>
      </c>
      <c r="E650" s="263" t="s">
        <v>2526</v>
      </c>
      <c r="F650" s="263">
        <v>2</v>
      </c>
      <c r="G650" s="264" t="str">
        <f>'Dry_Litterbag Placem_Collection'!C211</f>
        <v>Wet_P1_CG2</v>
      </c>
      <c r="H650" s="273" t="s">
        <v>3651</v>
      </c>
      <c r="I650" s="266" t="s">
        <v>1147</v>
      </c>
      <c r="J650" s="263" t="str">
        <f>IF(ISBLANK('Dry_Litterbag Placem_Collection'!L211),"","G"&amp;""&amp;'Dry_Litterbag Placem_Collection'!L211)</f>
        <v>G92</v>
      </c>
      <c r="K650" s="267">
        <f>IFERROR(INDEX('Green_rooibos initial weight'!$C$5:$C$1749,MATCH(J650, 'Green_rooibos initial weight'!$A$5:$A$1749,0)),"")</f>
        <v>2.1930000000000001</v>
      </c>
      <c r="L650" s="267">
        <f>IFERROR(K650-(TBIcalc!$Q$9+TBIcalc!$Q$10),"")</f>
        <v>1.9432</v>
      </c>
      <c r="M650" s="391">
        <f>AVERAGE(Ashed_controlls!$K$2:$K$11)</f>
        <v>5.5147656768714146</v>
      </c>
      <c r="N650" s="267">
        <f t="shared" si="51"/>
        <v>1.8360370733670348</v>
      </c>
      <c r="O650" s="267">
        <f>IF(IFERROR(INDEX('Both teabags AfterDry'!$D$3:$D$900,MATCH(J650,'Both teabags AfterDry'!$A$3:$A$900,0)),"")="","",(IFERROR(INDEX('Both teabags AfterDry'!$D$3:$D$900,MATCH(J650,'Both teabags AfterDry'!$A$3:$A$900,0)),"")))</f>
        <v>0.73619999999999997</v>
      </c>
      <c r="P650" s="267">
        <f>IFERROR(IF(O650&gt;0,O650-(TBIcalc!$Q$9),""),"")</f>
        <v>0.5855999999999999</v>
      </c>
      <c r="Q650" s="278">
        <f>IFERROR(INDEX('Ashed teabags dry'!$K$2:$K$825,MATCH(J650,'Ashed teabags dry'!$A$2:$A$825,0)),"")</f>
        <v>17.387081107333806</v>
      </c>
      <c r="R650" s="278">
        <f t="shared" si="52"/>
        <v>0.48378125303545316</v>
      </c>
      <c r="S650" s="268">
        <f>'Dry_Litterbag Placem_Collection'!E211</f>
        <v>42942</v>
      </c>
      <c r="T650" s="268">
        <f>IF('Dry_Litterbag Placem_Collection'!G211="","",'Dry_Litterbag Placem_Collection'!G211)</f>
        <v>43004</v>
      </c>
      <c r="U650" s="269">
        <f t="shared" si="50"/>
        <v>62</v>
      </c>
      <c r="V650" s="267">
        <f t="shared" si="53"/>
        <v>1.3576000000000001</v>
      </c>
      <c r="W650" s="267">
        <f t="shared" si="54"/>
        <v>1.3522558203315818</v>
      </c>
      <c r="X650" s="271">
        <f>IFERROR(INDEX(Rainfall_Dry!$O$2:$O$217,MATCH(B650, Rainfall_Dry!$A$2:$A$217,0)),"")</f>
        <v>171.84818423999999</v>
      </c>
      <c r="Y650" s="260">
        <v>31.214836424255054</v>
      </c>
      <c r="Z650" s="260">
        <v>11.377370285476141</v>
      </c>
      <c r="AA650" s="260">
        <v>57.407793290268799</v>
      </c>
      <c r="AB650" s="261" t="s">
        <v>2670</v>
      </c>
      <c r="AC650" s="260">
        <v>1.7337604731394776</v>
      </c>
      <c r="AD650">
        <f>IF('WetLitterbags placem_collection'!AB211="","",'WetLitterbags placem_collection'!AB211)</f>
        <v>5.13</v>
      </c>
      <c r="AE650">
        <f>IF('WetLitterbags placem_collection'!Z211="","",'WetLitterbags placem_collection'!Z211)</f>
        <v>5.13</v>
      </c>
      <c r="AF650" s="246" t="str">
        <f>IF('WetLitterbags placem_collection'!AA211="","",'WetLitterbags placem_collection'!AA211)</f>
        <v>O</v>
      </c>
      <c r="AG650">
        <f>IF('WetLitterbags placem_collection'!AC211="","",'WetLitterbags placem_collection'!AC211)</f>
        <v>1</v>
      </c>
      <c r="AH650">
        <f>IFERROR(AVERAGE('Dry_Litterbag Placem_Collection'!O211,'Dry_Litterbag Placem_Collection'!R211),"")</f>
        <v>8.6000000000000014</v>
      </c>
      <c r="AI650" s="271">
        <f>IFERROR(AVERAGE('Dry_Litterbag Placem_Collection'!N211,'Dry_Litterbag Placem_Collection'!Q211),"")</f>
        <v>29.6</v>
      </c>
      <c r="AJ650">
        <v>-2.4396450349999999</v>
      </c>
      <c r="AK650">
        <v>34.83836599</v>
      </c>
      <c r="AL650" s="270" t="str">
        <f>IF(ISNUMBER(SEARCH("C", 'Dry_Litterbag Placem_Collection'!U211)),"YES","NO")</f>
        <v>NO</v>
      </c>
      <c r="AM650" s="270" t="str">
        <f>IF(ISNUMBER(SEARCH("H", 'Dry_Litterbag Placem_Collection'!U211)),"YES","NO")</f>
        <v>NO</v>
      </c>
      <c r="AN650" s="270" t="str">
        <f>IF(ISNUMBER(SEARCH("R", 'Dry_Litterbag Placem_Collection'!U211)),"YES","NO")</f>
        <v>YES</v>
      </c>
    </row>
    <row r="651" spans="1:40" ht="15" customHeight="1">
      <c r="A651" s="262" t="s">
        <v>2659</v>
      </c>
      <c r="B651" s="263">
        <f>'Dry_Litterbag Placem_Collection'!A212</f>
        <v>210</v>
      </c>
      <c r="C651" s="263" t="str">
        <f>'Dry_Litterbag Placem_Collection'!B212</f>
        <v xml:space="preserve">Mwantimba
</v>
      </c>
      <c r="D651" s="263" t="s">
        <v>2460</v>
      </c>
      <c r="E651" s="263" t="s">
        <v>2526</v>
      </c>
      <c r="F651" s="263">
        <v>4</v>
      </c>
      <c r="G651" s="264" t="str">
        <f>'Dry_Litterbag Placem_Collection'!C212</f>
        <v>Wet_P2_CG4</v>
      </c>
      <c r="H651" s="273" t="s">
        <v>3651</v>
      </c>
      <c r="I651" s="266" t="s">
        <v>1147</v>
      </c>
      <c r="J651" s="263" t="str">
        <f>IF(ISBLANK('Dry_Litterbag Placem_Collection'!L212),"","G"&amp;""&amp;'Dry_Litterbag Placem_Collection'!L212)</f>
        <v>G36</v>
      </c>
      <c r="K651" s="267">
        <f>IFERROR(INDEX('Green_rooibos initial weight'!$C$5:$C$1749,MATCH(J651, 'Green_rooibos initial weight'!$A$5:$A$1749,0)),"")</f>
        <v>2.1429999999999998</v>
      </c>
      <c r="L651" s="267">
        <f>IFERROR(K651-(TBIcalc!$Q$9+TBIcalc!$Q$10),"")</f>
        <v>1.8931999999999998</v>
      </c>
      <c r="M651" s="391">
        <f>AVERAGE(Ashed_controlls!$K$2:$K$11)</f>
        <v>5.5147656768714146</v>
      </c>
      <c r="N651" s="267">
        <f t="shared" si="51"/>
        <v>1.7887944562054701</v>
      </c>
      <c r="O651" s="267">
        <f>IF(IFERROR(INDEX('Both teabags AfterDry'!$D$3:$D$900,MATCH(J651,'Both teabags AfterDry'!$A$3:$A$900,0)),"")="","",(IFERROR(INDEX('Both teabags AfterDry'!$D$3:$D$900,MATCH(J651,'Both teabags AfterDry'!$A$3:$A$900,0)),"")))</f>
        <v>0.84599999999999997</v>
      </c>
      <c r="P651" s="267">
        <f>IFERROR(IF(O651&gt;0,O651-(TBIcalc!$Q$9),""),"")</f>
        <v>0.69540000000000002</v>
      </c>
      <c r="Q651" s="278">
        <f>IFERROR(INDEX('Ashed teabags dry'!$K$2:$K$825,MATCH(J651,'Ashed teabags dry'!$A$2:$A$825,0)),"")</f>
        <v>19.173412867490324</v>
      </c>
      <c r="R651" s="278">
        <f t="shared" si="52"/>
        <v>0.5620680869194723</v>
      </c>
      <c r="S651" s="268">
        <f>'Dry_Litterbag Placem_Collection'!E212</f>
        <v>42942</v>
      </c>
      <c r="T651" s="268">
        <f>IF('Dry_Litterbag Placem_Collection'!G212="","",'Dry_Litterbag Placem_Collection'!G212)</f>
        <v>43004</v>
      </c>
      <c r="U651" s="269">
        <f t="shared" si="50"/>
        <v>62</v>
      </c>
      <c r="V651" s="267">
        <f t="shared" si="53"/>
        <v>1.1977999999999998</v>
      </c>
      <c r="W651" s="267">
        <f t="shared" si="54"/>
        <v>1.2267263692859978</v>
      </c>
      <c r="X651" s="271">
        <f>IFERROR(INDEX(Rainfall_Dry!$O$2:$O$217,MATCH(B651, Rainfall_Dry!$A$2:$A$217,0)),"")</f>
        <v>171.84818423999999</v>
      </c>
      <c r="Y651" s="260">
        <v>33.96</v>
      </c>
      <c r="Z651" s="260">
        <v>8.9200000000000017</v>
      </c>
      <c r="AA651" s="260">
        <v>57.12</v>
      </c>
      <c r="AB651" s="261" t="s">
        <v>2670</v>
      </c>
      <c r="AC651" s="260">
        <v>2.072055199605717</v>
      </c>
      <c r="AD651">
        <f>IF('WetLitterbags placem_collection'!AB212="","",'WetLitterbags placem_collection'!AB212)</f>
        <v>15.2</v>
      </c>
      <c r="AE651">
        <f>IF('WetLitterbags placem_collection'!Z212="","",'WetLitterbags placem_collection'!Z212)</f>
        <v>12.2</v>
      </c>
      <c r="AF651" s="246" t="str">
        <f>IF('WetLitterbags placem_collection'!AA212="","",'WetLitterbags placem_collection'!AA212)</f>
        <v>O</v>
      </c>
      <c r="AG651">
        <f>IF('WetLitterbags placem_collection'!AC212="","",'WetLitterbags placem_collection'!AC212)</f>
        <v>1</v>
      </c>
      <c r="AH651">
        <f>IFERROR(AVERAGE('Dry_Litterbag Placem_Collection'!O212,'Dry_Litterbag Placem_Collection'!R212),"")</f>
        <v>6.1</v>
      </c>
      <c r="AI651" s="271">
        <f>IFERROR(AVERAGE('Dry_Litterbag Placem_Collection'!N212,'Dry_Litterbag Placem_Collection'!Q212),"")</f>
        <v>27.5</v>
      </c>
      <c r="AJ651">
        <v>-2.4396949910000001</v>
      </c>
      <c r="AK651">
        <v>34.838574029999997</v>
      </c>
      <c r="AL651" s="270" t="str">
        <f>IF(ISNUMBER(SEARCH("C", 'Dry_Litterbag Placem_Collection'!U212)),"YES","NO")</f>
        <v>NO</v>
      </c>
      <c r="AM651" s="270" t="str">
        <f>IF(ISNUMBER(SEARCH("H", 'Dry_Litterbag Placem_Collection'!U212)),"YES","NO")</f>
        <v>NO</v>
      </c>
      <c r="AN651" s="270" t="str">
        <f>IF(ISNUMBER(SEARCH("R", 'Dry_Litterbag Placem_Collection'!U212)),"YES","NO")</f>
        <v>NO</v>
      </c>
    </row>
    <row r="652" spans="1:40" ht="15" customHeight="1">
      <c r="A652" s="262" t="s">
        <v>2659</v>
      </c>
      <c r="B652" s="263">
        <f>'Dry_Litterbag Placem_Collection'!A213</f>
        <v>211</v>
      </c>
      <c r="C652" s="263" t="str">
        <f>'Dry_Litterbag Placem_Collection'!B213</f>
        <v xml:space="preserve">Mwantimba
</v>
      </c>
      <c r="D652" s="263" t="s">
        <v>2460</v>
      </c>
      <c r="E652" s="263" t="s">
        <v>2526</v>
      </c>
      <c r="F652" s="263">
        <v>1</v>
      </c>
      <c r="G652" s="264" t="str">
        <f>'Dry_Litterbag Placem_Collection'!C213</f>
        <v>Wet_P3_CG1</v>
      </c>
      <c r="H652" s="273" t="s">
        <v>3651</v>
      </c>
      <c r="I652" s="266" t="s">
        <v>1147</v>
      </c>
      <c r="J652" s="263" t="str">
        <f>IF(ISBLANK('Dry_Litterbag Placem_Collection'!L213),"","G"&amp;""&amp;'Dry_Litterbag Placem_Collection'!L213)</f>
        <v>G434</v>
      </c>
      <c r="K652" s="267">
        <f>IFERROR(INDEX('Green_rooibos initial weight'!$C$5:$C$1749,MATCH(J652, 'Green_rooibos initial weight'!$A$5:$A$1749,0)),"")</f>
        <v>2.0339999999999998</v>
      </c>
      <c r="L652" s="267">
        <f>IFERROR(K652-(TBIcalc!$Q$9+TBIcalc!$Q$10),"")</f>
        <v>1.7841999999999998</v>
      </c>
      <c r="M652" s="391">
        <f>AVERAGE(Ashed_controlls!$K$2:$K$11)</f>
        <v>5.5147656768714146</v>
      </c>
      <c r="N652" s="267">
        <f t="shared" si="51"/>
        <v>1.6858055507932601</v>
      </c>
      <c r="O652" s="267">
        <f>IF(IFERROR(INDEX('Both teabags AfterDry'!$D$3:$D$900,MATCH(J652,'Both teabags AfterDry'!$A$3:$A$900,0)),"")="","",(IFERROR(INDEX('Both teabags AfterDry'!$D$3:$D$900,MATCH(J652,'Both teabags AfterDry'!$A$3:$A$900,0)),"")))</f>
        <v>0.74099999999999999</v>
      </c>
      <c r="P652" s="267">
        <f>IFERROR(IF(O652&gt;0,O652-(TBIcalc!$Q$9),""),"")</f>
        <v>0.59040000000000004</v>
      </c>
      <c r="Q652" s="278">
        <f>IFERROR(INDEX('Ashed teabags dry'!$K$2:$K$825,MATCH(J652,'Ashed teabags dry'!$A$2:$A$825,0)),"")</f>
        <v>15.012106537530052</v>
      </c>
      <c r="R652" s="278">
        <f t="shared" si="52"/>
        <v>0.50176852300242258</v>
      </c>
      <c r="S652" s="268">
        <f>'Dry_Litterbag Placem_Collection'!E213</f>
        <v>42942</v>
      </c>
      <c r="T652" s="268">
        <f>IF('Dry_Litterbag Placem_Collection'!G213="","",'Dry_Litterbag Placem_Collection'!G213)</f>
        <v>43004</v>
      </c>
      <c r="U652" s="269">
        <f t="shared" si="50"/>
        <v>62</v>
      </c>
      <c r="V652" s="267">
        <f t="shared" si="53"/>
        <v>1.1937999999999998</v>
      </c>
      <c r="W652" s="267">
        <f t="shared" si="54"/>
        <v>1.1840370277908376</v>
      </c>
      <c r="X652" s="271">
        <f>IFERROR(INDEX(Rainfall_Dry!$O$2:$O$217,MATCH(B652, Rainfall_Dry!$A$2:$A$217,0)),"")</f>
        <v>171.84818423999999</v>
      </c>
      <c r="Y652" s="260">
        <v>39.96</v>
      </c>
      <c r="Z652" s="260">
        <v>12.920000000000002</v>
      </c>
      <c r="AA652" s="260">
        <v>47.12</v>
      </c>
      <c r="AB652" s="261" t="s">
        <v>2674</v>
      </c>
      <c r="AC652" s="260">
        <v>1.6549531789058647</v>
      </c>
      <c r="AD652">
        <f>IF('WetLitterbags placem_collection'!AB213="","",'WetLitterbags placem_collection'!AB213)</f>
        <v>13.8</v>
      </c>
      <c r="AE652">
        <f>IF('WetLitterbags placem_collection'!Z213="","",'WetLitterbags placem_collection'!Z213)</f>
        <v>17.399999999999999</v>
      </c>
      <c r="AF652" s="246" t="str">
        <f>IF('WetLitterbags placem_collection'!AA213="","",'WetLitterbags placem_collection'!AA213)</f>
        <v>O</v>
      </c>
      <c r="AG652">
        <f>IF('WetLitterbags placem_collection'!AC213="","",'WetLitterbags placem_collection'!AC213)</f>
        <v>1</v>
      </c>
      <c r="AH652">
        <f>IFERROR(AVERAGE('Dry_Litterbag Placem_Collection'!O213,'Dry_Litterbag Placem_Collection'!R213),"")</f>
        <v>7.55</v>
      </c>
      <c r="AI652" s="271">
        <f>IFERROR(AVERAGE('Dry_Litterbag Placem_Collection'!N213,'Dry_Litterbag Placem_Collection'!Q213),"")</f>
        <v>28</v>
      </c>
      <c r="AJ652">
        <v>-2.439403972</v>
      </c>
      <c r="AK652">
        <v>34.838404959999998</v>
      </c>
      <c r="AL652" s="270" t="str">
        <f>IF(ISNUMBER(SEARCH("C", 'Dry_Litterbag Placem_Collection'!U213)),"YES","NO")</f>
        <v>NO</v>
      </c>
      <c r="AM652" s="270" t="str">
        <f>IF(ISNUMBER(SEARCH("H", 'Dry_Litterbag Placem_Collection'!U213)),"YES","NO")</f>
        <v>NO</v>
      </c>
      <c r="AN652" s="270" t="str">
        <f>IF(ISNUMBER(SEARCH("R", 'Dry_Litterbag Placem_Collection'!U213)),"YES","NO")</f>
        <v>YES</v>
      </c>
    </row>
    <row r="653" spans="1:40" ht="15" customHeight="1">
      <c r="A653" s="262" t="s">
        <v>2659</v>
      </c>
      <c r="B653" s="263">
        <f>'Dry_Litterbag Placem_Collection'!A214</f>
        <v>215</v>
      </c>
      <c r="C653" s="263" t="str">
        <f>'Dry_Litterbag Placem_Collection'!B214</f>
        <v xml:space="preserve">Mwantimba
</v>
      </c>
      <c r="D653" s="263" t="s">
        <v>2460</v>
      </c>
      <c r="E653" s="263" t="s">
        <v>2526</v>
      </c>
      <c r="F653" s="263">
        <v>3</v>
      </c>
      <c r="G653" s="264" t="str">
        <f>'Dry_Litterbag Placem_Collection'!C214</f>
        <v>Wet_W3_CG1</v>
      </c>
      <c r="H653" s="273" t="s">
        <v>3651</v>
      </c>
      <c r="I653" s="266" t="s">
        <v>1147</v>
      </c>
      <c r="J653" s="263" t="str">
        <f>IF(ISBLANK('Dry_Litterbag Placem_Collection'!L214),"","G"&amp;""&amp;'Dry_Litterbag Placem_Collection'!L214)</f>
        <v>G56</v>
      </c>
      <c r="K653" s="267">
        <f>IFERROR(INDEX('Green_rooibos initial weight'!$C$5:$C$1749,MATCH(J653, 'Green_rooibos initial weight'!$A$5:$A$1749,0)),"")</f>
        <v>2.02</v>
      </c>
      <c r="L653" s="267">
        <f>IFERROR(K653-(TBIcalc!$Q$9+TBIcalc!$Q$10),"")</f>
        <v>1.7702</v>
      </c>
      <c r="M653" s="391">
        <f>AVERAGE(Ashed_controlls!$K$2:$K$11)</f>
        <v>5.5147656768714146</v>
      </c>
      <c r="N653" s="267">
        <f t="shared" si="51"/>
        <v>1.6725776179880223</v>
      </c>
      <c r="O653" s="267">
        <f>IF(IFERROR(INDEX('Both teabags AfterDry'!$D$3:$D$900,MATCH(J653,'Both teabags AfterDry'!$A$3:$A$900,0)),"")="","",(IFERROR(INDEX('Both teabags AfterDry'!$D$3:$D$900,MATCH(J653,'Both teabags AfterDry'!$A$3:$A$900,0)),"")))</f>
        <v>0.7238</v>
      </c>
      <c r="P653" s="267">
        <f>IFERROR(IF(O653&gt;0,O653-(TBIcalc!$Q$9),""),"")</f>
        <v>0.57319999999999993</v>
      </c>
      <c r="Q653" s="278">
        <f>IFERROR(INDEX('Ashed teabags dry'!$K$2:$K$825,MATCH(J653,'Ashed teabags dry'!$A$2:$A$825,0)),"")</f>
        <v>20.311027332705713</v>
      </c>
      <c r="R653" s="278">
        <f t="shared" si="52"/>
        <v>0.4567771913289308</v>
      </c>
      <c r="S653" s="268">
        <f>'Dry_Litterbag Placem_Collection'!E214</f>
        <v>42942</v>
      </c>
      <c r="T653" s="268">
        <f>IF('Dry_Litterbag Placem_Collection'!G214="","",'Dry_Litterbag Placem_Collection'!G214)</f>
        <v>43004</v>
      </c>
      <c r="U653" s="269">
        <f t="shared" si="50"/>
        <v>62</v>
      </c>
      <c r="V653" s="267">
        <f t="shared" si="53"/>
        <v>1.1970000000000001</v>
      </c>
      <c r="W653" s="267">
        <f t="shared" si="54"/>
        <v>1.2158004266590914</v>
      </c>
      <c r="X653" s="271" t="str">
        <f>IFERROR(INDEX(Rainfall_Dry!$O$2:$O$217,MATCH(B653, Rainfall_Dry!$A$2:$A$217,0)),"")</f>
        <v/>
      </c>
      <c r="Y653" s="260">
        <v>27.96</v>
      </c>
      <c r="Z653" s="260">
        <v>4.9200000000000017</v>
      </c>
      <c r="AA653" s="260">
        <v>67.12</v>
      </c>
      <c r="AB653" s="261" t="s">
        <v>2670</v>
      </c>
      <c r="AC653" s="260">
        <v>1.0437161163134547</v>
      </c>
      <c r="AD653">
        <f>IF('WetLitterbags placem_collection'!AB214="","",'WetLitterbags placem_collection'!AB214)</f>
        <v>7.9</v>
      </c>
      <c r="AE653">
        <f>IF('WetLitterbags placem_collection'!Z214="","",'WetLitterbags placem_collection'!Z214)</f>
        <v>7.9</v>
      </c>
      <c r="AF653" s="246" t="str">
        <f>IF('WetLitterbags placem_collection'!AA214="","",'WetLitterbags placem_collection'!AA214)</f>
        <v>O</v>
      </c>
      <c r="AG653">
        <f>IF('WetLitterbags placem_collection'!AC214="","",'WetLitterbags placem_collection'!AC214)</f>
        <v>1</v>
      </c>
      <c r="AH653">
        <f>IFERROR(AVERAGE('Dry_Litterbag Placem_Collection'!O214,'Dry_Litterbag Placem_Collection'!R214),"")</f>
        <v>4.3</v>
      </c>
      <c r="AI653" s="271">
        <f>IFERROR(AVERAGE('Dry_Litterbag Placem_Collection'!N214,'Dry_Litterbag Placem_Collection'!Q214),"")</f>
        <v>28.75</v>
      </c>
      <c r="AJ653">
        <v>-2.4395990190000001</v>
      </c>
      <c r="AK653">
        <v>34.838418959999998</v>
      </c>
      <c r="AL653" s="270" t="str">
        <f>IF(ISNUMBER(SEARCH("C", 'Dry_Litterbag Placem_Collection'!U214)),"YES","NO")</f>
        <v>NO</v>
      </c>
      <c r="AM653" s="270" t="str">
        <f>IF(ISNUMBER(SEARCH("H", 'Dry_Litterbag Placem_Collection'!U214)),"YES","NO")</f>
        <v>NO</v>
      </c>
      <c r="AN653" s="270" t="str">
        <f>IF(ISNUMBER(SEARCH("R", 'Dry_Litterbag Placem_Collection'!U214)),"YES","NO")</f>
        <v>YES</v>
      </c>
    </row>
    <row r="654" spans="1:40" ht="15" customHeight="1">
      <c r="A654" s="262" t="s">
        <v>2659</v>
      </c>
      <c r="B654" s="263">
        <f>'Dry_Litterbag Placem_Collection'!A215</f>
        <v>212</v>
      </c>
      <c r="C654" s="263" t="str">
        <f>'Dry_Litterbag Placem_Collection'!B215</f>
        <v xml:space="preserve">Mwantimba
</v>
      </c>
      <c r="D654" s="263" t="s">
        <v>2460</v>
      </c>
      <c r="E654" s="263" t="s">
        <v>2526</v>
      </c>
      <c r="F654" s="263">
        <v>4</v>
      </c>
      <c r="G654" s="264" t="str">
        <f>'Dry_Litterbag Placem_Collection'!C215</f>
        <v>Wet_P4_CG3</v>
      </c>
      <c r="H654" s="273" t="s">
        <v>3651</v>
      </c>
      <c r="I654" s="266" t="s">
        <v>1147</v>
      </c>
      <c r="J654" s="263" t="str">
        <f>IF(ISBLANK('Dry_Litterbag Placem_Collection'!L215),"","G"&amp;""&amp;'Dry_Litterbag Placem_Collection'!L215)</f>
        <v>G363</v>
      </c>
      <c r="K654" s="267">
        <f>IFERROR(INDEX('Green_rooibos initial weight'!$C$5:$C$1749,MATCH(J654, 'Green_rooibos initial weight'!$A$5:$A$1749,0)),"")</f>
        <v>2.02</v>
      </c>
      <c r="L654" s="267">
        <f>IFERROR(K654-(TBIcalc!$Q$9+TBIcalc!$Q$10),"")</f>
        <v>1.7702</v>
      </c>
      <c r="M654" s="391">
        <f>AVERAGE(Ashed_controlls!$K$2:$K$11)</f>
        <v>5.5147656768714146</v>
      </c>
      <c r="N654" s="267">
        <f t="shared" si="51"/>
        <v>1.6725776179880223</v>
      </c>
      <c r="O654" s="267">
        <f>IF(IFERROR(INDEX('Both teabags AfterDry'!$D$3:$D$900,MATCH(J654,'Both teabags AfterDry'!$A$3:$A$900,0)),"")="","",(IFERROR(INDEX('Both teabags AfterDry'!$D$3:$D$900,MATCH(J654,'Both teabags AfterDry'!$A$3:$A$900,0)),"")))</f>
        <v>0.753</v>
      </c>
      <c r="P654" s="267">
        <f>IFERROR(IF(O654&gt;0,O654-(TBIcalc!$Q$9),""),"")</f>
        <v>0.60240000000000005</v>
      </c>
      <c r="Q654" s="278">
        <f>IFERROR(INDEX('Ashed teabags dry'!$K$2:$K$825,MATCH(J654,'Ashed teabags dry'!$A$2:$A$825,0)),"")</f>
        <v>15.347950428979985</v>
      </c>
      <c r="R654" s="278">
        <f t="shared" si="52"/>
        <v>0.50994394661582465</v>
      </c>
      <c r="S654" s="268">
        <f>'Dry_Litterbag Placem_Collection'!E215</f>
        <v>42942</v>
      </c>
      <c r="T654" s="268">
        <f>IF('Dry_Litterbag Placem_Collection'!G215="","",'Dry_Litterbag Placem_Collection'!G215)</f>
        <v>43004</v>
      </c>
      <c r="U654" s="269">
        <f t="shared" si="50"/>
        <v>62</v>
      </c>
      <c r="V654" s="267">
        <f t="shared" si="53"/>
        <v>1.1677999999999999</v>
      </c>
      <c r="W654" s="267">
        <f t="shared" si="54"/>
        <v>1.1626336713721976</v>
      </c>
      <c r="X654" s="271">
        <f>IFERROR(INDEX(Rainfall_Dry!$O$2:$O$217,MATCH(B654, Rainfall_Dry!$A$2:$A$217,0)),"")</f>
        <v>171.84818423999999</v>
      </c>
      <c r="Y654" s="260">
        <v>21.96</v>
      </c>
      <c r="Z654" s="260">
        <v>4.9199999999999982</v>
      </c>
      <c r="AA654" s="260">
        <v>73.12</v>
      </c>
      <c r="AB654" s="261" t="s">
        <v>2670</v>
      </c>
      <c r="AC654" s="260">
        <v>1.2416954164613114</v>
      </c>
      <c r="AD654">
        <f>IF('WetLitterbags placem_collection'!AB215="","",'WetLitterbags placem_collection'!AB215)</f>
        <v>15.2</v>
      </c>
      <c r="AE654">
        <f>IF('WetLitterbags placem_collection'!Z215="","",'WetLitterbags placem_collection'!Z215)</f>
        <v>12.2</v>
      </c>
      <c r="AF654" s="246" t="str">
        <f>IF('WetLitterbags placem_collection'!AA215="","",'WetLitterbags placem_collection'!AA215)</f>
        <v>O</v>
      </c>
      <c r="AG654">
        <f>IF('WetLitterbags placem_collection'!AC215="","",'WetLitterbags placem_collection'!AC215)</f>
        <v>1</v>
      </c>
      <c r="AH654">
        <f>IFERROR(AVERAGE('Dry_Litterbag Placem_Collection'!O215,'Dry_Litterbag Placem_Collection'!R215),"")</f>
        <v>8.1499999999999986</v>
      </c>
      <c r="AI654" s="271">
        <f>IFERROR(AVERAGE('Dry_Litterbag Placem_Collection'!N215,'Dry_Litterbag Placem_Collection'!Q215),"")</f>
        <v>28.25</v>
      </c>
      <c r="AJ654">
        <v>-2.4396949910000001</v>
      </c>
      <c r="AK654">
        <v>34.838574029999997</v>
      </c>
      <c r="AL654" s="270" t="str">
        <f>IF(ISNUMBER(SEARCH("C", 'Dry_Litterbag Placem_Collection'!U215)),"YES","NO")</f>
        <v>NO</v>
      </c>
      <c r="AM654" s="270" t="str">
        <f>IF(ISNUMBER(SEARCH("H", 'Dry_Litterbag Placem_Collection'!U215)),"YES","NO")</f>
        <v>NO</v>
      </c>
      <c r="AN654" s="270" t="str">
        <f>IF(ISNUMBER(SEARCH("R", 'Dry_Litterbag Placem_Collection'!U215)),"YES","NO")</f>
        <v>YES</v>
      </c>
    </row>
    <row r="655" spans="1:40" ht="15" customHeight="1">
      <c r="A655" s="262" t="s">
        <v>2659</v>
      </c>
      <c r="B655" s="263">
        <f>'Dry_Litterbag Placem_Collection'!A216</f>
        <v>213</v>
      </c>
      <c r="C655" s="263" t="str">
        <f>'Dry_Litterbag Placem_Collection'!B216</f>
        <v>Handajega</v>
      </c>
      <c r="D655" s="263" t="s">
        <v>2460</v>
      </c>
      <c r="E655" s="263" t="s">
        <v>2526</v>
      </c>
      <c r="F655" s="263">
        <v>3</v>
      </c>
      <c r="G655" s="264" t="str">
        <f>'Dry_Litterbag Placem_Collection'!C216</f>
        <v>Wet_W1_CG4</v>
      </c>
      <c r="H655" s="273" t="s">
        <v>3651</v>
      </c>
      <c r="I655" s="266" t="s">
        <v>1147</v>
      </c>
      <c r="J655" s="263" t="str">
        <f>IF(ISBLANK('Dry_Litterbag Placem_Collection'!L216),"","G"&amp;""&amp;'Dry_Litterbag Placem_Collection'!L216)</f>
        <v>G5</v>
      </c>
      <c r="K655" s="267">
        <f>IFERROR(INDEX('Green_rooibos initial weight'!$C$5:$C$1749,MATCH(J655, 'Green_rooibos initial weight'!$A$5:$A$1749,0)),"")</f>
        <v>2.0139999999999998</v>
      </c>
      <c r="L655" s="267">
        <f>IFERROR(K655-(TBIcalc!$Q$9+TBIcalc!$Q$10),"")</f>
        <v>1.7641999999999998</v>
      </c>
      <c r="M655" s="391">
        <f>AVERAGE(Ashed_controlls!$K$2:$K$11)</f>
        <v>5.5147656768714146</v>
      </c>
      <c r="N655" s="267">
        <f t="shared" si="51"/>
        <v>1.6669085039286342</v>
      </c>
      <c r="O655" s="267">
        <f>IF(IFERROR(INDEX('Both teabags AfterDry'!$D$3:$D$900,MATCH(J655,'Both teabags AfterDry'!$A$3:$A$900,0)),"")="","",(IFERROR(INDEX('Both teabags AfterDry'!$D$3:$D$900,MATCH(J655,'Both teabags AfterDry'!$A$3:$A$900,0)),"")))</f>
        <v>0.67</v>
      </c>
      <c r="P655" s="267">
        <f>IFERROR(IF(O655&gt;0,O655-(TBIcalc!$Q$9),""),"")</f>
        <v>0.51940000000000008</v>
      </c>
      <c r="Q655" s="278">
        <f>IFERROR(INDEX('Ashed teabags dry'!$K$2:$K$825,MATCH(J655,'Ashed teabags dry'!$A$2:$A$825,0)),"")</f>
        <v>14.037698412698299</v>
      </c>
      <c r="R655" s="278">
        <f t="shared" si="52"/>
        <v>0.4464881944444451</v>
      </c>
      <c r="S655" s="268">
        <f>'Dry_Litterbag Placem_Collection'!E216</f>
        <v>42942</v>
      </c>
      <c r="T655" s="268">
        <f>IF('Dry_Litterbag Placem_Collection'!G216="","",'Dry_Litterbag Placem_Collection'!G216)</f>
        <v>43004</v>
      </c>
      <c r="U655" s="269">
        <f t="shared" si="50"/>
        <v>62</v>
      </c>
      <c r="V655" s="267">
        <f t="shared" si="53"/>
        <v>1.2447999999999997</v>
      </c>
      <c r="W655" s="267">
        <f t="shared" si="54"/>
        <v>1.2204203094841892</v>
      </c>
      <c r="X655" s="271">
        <f>IFERROR(INDEX(Rainfall_Dry!$O$2:$O$217,MATCH(B655, Rainfall_Dry!$A$2:$A$217,0)),"")</f>
        <v>171.84818423999999</v>
      </c>
      <c r="Y655" s="260">
        <v>23.96</v>
      </c>
      <c r="Z655" s="260">
        <v>4.9199999999999982</v>
      </c>
      <c r="AA655" s="260">
        <v>71.12</v>
      </c>
      <c r="AB655" s="261" t="s">
        <v>2670</v>
      </c>
      <c r="AC655" s="260">
        <v>3.30913750616067</v>
      </c>
      <c r="AD655">
        <f>IF('WetLitterbags placem_collection'!AB216="","",'WetLitterbags placem_collection'!AB216)</f>
        <v>7.9</v>
      </c>
      <c r="AE655">
        <f>IF('WetLitterbags placem_collection'!Z216="","",'WetLitterbags placem_collection'!Z216)</f>
        <v>7.9</v>
      </c>
      <c r="AF655" s="246" t="str">
        <f>IF('WetLitterbags placem_collection'!AA216="","",'WetLitterbags placem_collection'!AA216)</f>
        <v>O</v>
      </c>
      <c r="AG655">
        <f>IF('WetLitterbags placem_collection'!AC216="","",'WetLitterbags placem_collection'!AC216)</f>
        <v>1</v>
      </c>
      <c r="AH655">
        <f>IFERROR(AVERAGE('Dry_Litterbag Placem_Collection'!O216,'Dry_Litterbag Placem_Collection'!R216),"")</f>
        <v>4.3499999999999996</v>
      </c>
      <c r="AI655" s="271">
        <f>IFERROR(AVERAGE('Dry_Litterbag Placem_Collection'!N216,'Dry_Litterbag Placem_Collection'!Q216),"")</f>
        <v>29.1</v>
      </c>
      <c r="AJ655">
        <v>-2.4396949910000001</v>
      </c>
      <c r="AK655">
        <v>34.838574029999997</v>
      </c>
      <c r="AL655" s="270" t="str">
        <f>IF(ISNUMBER(SEARCH("C", 'Dry_Litterbag Placem_Collection'!U216)),"YES","NO")</f>
        <v>NO</v>
      </c>
      <c r="AM655" s="270" t="str">
        <f>IF(ISNUMBER(SEARCH("H", 'Dry_Litterbag Placem_Collection'!U216)),"YES","NO")</f>
        <v>NO</v>
      </c>
      <c r="AN655" s="270" t="str">
        <f>IF(ISNUMBER(SEARCH("R", 'Dry_Litterbag Placem_Collection'!U216)),"YES","NO")</f>
        <v>NO</v>
      </c>
    </row>
    <row r="656" spans="1:40" ht="15" customHeight="1">
      <c r="A656" s="262" t="s">
        <v>2659</v>
      </c>
      <c r="B656" s="263">
        <f>'Dry_Litterbag Placem_Collection'!A217</f>
        <v>214</v>
      </c>
      <c r="C656" s="263" t="str">
        <f>'Dry_Litterbag Placem_Collection'!B217</f>
        <v>Handajega</v>
      </c>
      <c r="D656" s="263" t="s">
        <v>2460</v>
      </c>
      <c r="E656" s="263" t="s">
        <v>2526</v>
      </c>
      <c r="F656" s="263">
        <v>1</v>
      </c>
      <c r="G656" s="264" t="str">
        <f>'Dry_Litterbag Placem_Collection'!C217</f>
        <v>Wet_W2_CG3</v>
      </c>
      <c r="H656" s="273" t="s">
        <v>3651</v>
      </c>
      <c r="I656" s="266" t="s">
        <v>1147</v>
      </c>
      <c r="J656" s="263" t="str">
        <f>IF(ISBLANK('Dry_Litterbag Placem_Collection'!L217),"","G"&amp;""&amp;'Dry_Litterbag Placem_Collection'!L217)</f>
        <v>G771</v>
      </c>
      <c r="K656" s="267">
        <f>IFERROR(INDEX('Green_rooibos initial weight'!$C$5:$C$1749,MATCH(J656, 'Green_rooibos initial weight'!$A$5:$A$1749,0)),"")</f>
        <v>1.9910000000000001</v>
      </c>
      <c r="L656" s="267">
        <f>IFERROR(K656-(TBIcalc!$Q$9+TBIcalc!$Q$10),"")</f>
        <v>1.7412000000000001</v>
      </c>
      <c r="M656" s="391">
        <f>AVERAGE(Ashed_controlls!$K$2:$K$11)</f>
        <v>5.5147656768714146</v>
      </c>
      <c r="N656" s="267">
        <f t="shared" si="51"/>
        <v>1.645176900034315</v>
      </c>
      <c r="O656" s="267">
        <f>IF(IFERROR(INDEX('Both teabags AfterDry'!$D$3:$D$900,MATCH(J656,'Both teabags AfterDry'!$A$3:$A$900,0)),"")="","",(IFERROR(INDEX('Both teabags AfterDry'!$D$3:$D$900,MATCH(J656,'Both teabags AfterDry'!$A$3:$A$900,0)),"")))</f>
        <v>0.65300000000000002</v>
      </c>
      <c r="P656" s="267">
        <f>IFERROR(IF(O656&gt;0,O656-(TBIcalc!$Q$9),""),"")</f>
        <v>0.50239999999999996</v>
      </c>
      <c r="Q656" s="278">
        <f>IFERROR(INDEX('Ashed teabags dry'!$K$2:$K$825,MATCH(J656,'Ashed teabags dry'!$A$2:$A$825,0)),"")</f>
        <v>13.496637848223109</v>
      </c>
      <c r="R656" s="278">
        <f t="shared" si="52"/>
        <v>0.43459289145052704</v>
      </c>
      <c r="S656" s="268">
        <f>'Dry_Litterbag Placem_Collection'!E217</f>
        <v>42942</v>
      </c>
      <c r="T656" s="268">
        <f>IF('Dry_Litterbag Placem_Collection'!G217="","",'Dry_Litterbag Placem_Collection'!G217)</f>
        <v>43004</v>
      </c>
      <c r="U656" s="269">
        <f t="shared" si="50"/>
        <v>62</v>
      </c>
      <c r="V656" s="267">
        <f t="shared" si="53"/>
        <v>1.2388000000000001</v>
      </c>
      <c r="W656" s="267">
        <f t="shared" si="54"/>
        <v>1.210584008583788</v>
      </c>
      <c r="X656" s="271">
        <f>IFERROR(INDEX(Rainfall_Dry!$O$2:$O$217,MATCH(B656, Rainfall_Dry!$A$2:$A$217,0)),"")</f>
        <v>171.84818423999999</v>
      </c>
      <c r="Y656" s="260">
        <v>25.96</v>
      </c>
      <c r="Z656" s="260">
        <v>8.9200000000000017</v>
      </c>
      <c r="AA656" s="260">
        <v>65.12</v>
      </c>
      <c r="AB656" s="261" t="s">
        <v>2670</v>
      </c>
      <c r="AC656" s="260">
        <v>1.614588467225234</v>
      </c>
      <c r="AD656">
        <f>IF('WetLitterbags placem_collection'!AB217="","",'WetLitterbags placem_collection'!AB217)</f>
        <v>13.8</v>
      </c>
      <c r="AE656">
        <f>IF('WetLitterbags placem_collection'!Z217="","",'WetLitterbags placem_collection'!Z217)</f>
        <v>17.399999999999999</v>
      </c>
      <c r="AF656" s="246" t="str">
        <f>IF('WetLitterbags placem_collection'!AA217="","",'WetLitterbags placem_collection'!AA217)</f>
        <v>O</v>
      </c>
      <c r="AG656">
        <f>IF('WetLitterbags placem_collection'!AC217="","",'WetLitterbags placem_collection'!AC217)</f>
        <v>1</v>
      </c>
      <c r="AH656">
        <f>IFERROR(AVERAGE('Dry_Litterbag Placem_Collection'!O217,'Dry_Litterbag Placem_Collection'!R217),"")</f>
        <v>6.3</v>
      </c>
      <c r="AI656" s="271">
        <f>IFERROR(AVERAGE('Dry_Litterbag Placem_Collection'!N217,'Dry_Litterbag Placem_Collection'!Q217),"")</f>
        <v>29.8</v>
      </c>
      <c r="AJ656">
        <v>-2.439403972</v>
      </c>
      <c r="AK656">
        <v>34.838404959999998</v>
      </c>
      <c r="AL656" s="270" t="str">
        <f>IF(ISNUMBER(SEARCH("C", 'Dry_Litterbag Placem_Collection'!U217)),"YES","NO")</f>
        <v>NO</v>
      </c>
      <c r="AM656" s="270" t="str">
        <f>IF(ISNUMBER(SEARCH("H", 'Dry_Litterbag Placem_Collection'!U217)),"YES","NO")</f>
        <v>NO</v>
      </c>
      <c r="AN656" s="270" t="str">
        <f>IF(ISNUMBER(SEARCH("R", 'Dry_Litterbag Placem_Collection'!U217)),"YES","NO")</f>
        <v>YES</v>
      </c>
    </row>
    <row r="657" spans="1:40" ht="15" customHeight="1">
      <c r="A657" s="262" t="s">
        <v>2659</v>
      </c>
      <c r="B657" s="263">
        <f>'Dry_Litterbag Placem_Collection'!A218</f>
        <v>216</v>
      </c>
      <c r="C657" s="263" t="str">
        <f>'Dry_Litterbag Placem_Collection'!B218</f>
        <v>Handajega</v>
      </c>
      <c r="D657" s="263" t="s">
        <v>2460</v>
      </c>
      <c r="E657" s="263" t="s">
        <v>2526</v>
      </c>
      <c r="F657" s="263">
        <v>2</v>
      </c>
      <c r="G657" s="264" t="str">
        <f>'Dry_Litterbag Placem_Collection'!C218</f>
        <v>Wet_W4_CG2</v>
      </c>
      <c r="H657" s="273" t="s">
        <v>3651</v>
      </c>
      <c r="I657" s="266" t="s">
        <v>1147</v>
      </c>
      <c r="J657" s="263" t="str">
        <f>IF(ISBLANK('Dry_Litterbag Placem_Collection'!L218),"","G"&amp;""&amp;'Dry_Litterbag Placem_Collection'!L218)</f>
        <v>G361</v>
      </c>
      <c r="K657" s="267">
        <f>IFERROR(INDEX('Green_rooibos initial weight'!$C$5:$C$1749,MATCH(J657, 'Green_rooibos initial weight'!$A$5:$A$1749,0)),"")</f>
        <v>2.0590000000000002</v>
      </c>
      <c r="L657" s="267">
        <f>IFERROR(K657-(TBIcalc!$Q$9+TBIcalc!$Q$10),"")</f>
        <v>1.8092000000000001</v>
      </c>
      <c r="M657" s="391">
        <f>AVERAGE(Ashed_controlls!$K$2:$K$11)</f>
        <v>5.5147656768714146</v>
      </c>
      <c r="N657" s="267">
        <f t="shared" si="51"/>
        <v>1.7094268593740425</v>
      </c>
      <c r="O657" s="267">
        <f>IF(IFERROR(INDEX('Both teabags AfterDry'!$D$3:$D$900,MATCH(J657,'Both teabags AfterDry'!$A$3:$A$900,0)),"")="","",(IFERROR(INDEX('Both teabags AfterDry'!$D$3:$D$900,MATCH(J657,'Both teabags AfterDry'!$A$3:$A$900,0)),"")))</f>
        <v>0.73499999999999999</v>
      </c>
      <c r="P657" s="267">
        <f>IFERROR(IF(O657&gt;0,O657-(TBIcalc!$Q$9),""),"")</f>
        <v>0.58440000000000003</v>
      </c>
      <c r="Q657" s="278">
        <f>IFERROR(INDEX('Ashed teabags dry'!$K$2:$K$825,MATCH(J657,'Ashed teabags dry'!$A$2:$A$825,0)),"")</f>
        <v>12.954939341420824</v>
      </c>
      <c r="R657" s="278">
        <f t="shared" si="52"/>
        <v>0.50869133448873671</v>
      </c>
      <c r="S657" s="268">
        <f>'Dry_Litterbag Placem_Collection'!E218</f>
        <v>42942</v>
      </c>
      <c r="T657" s="268">
        <f>IF('Dry_Litterbag Placem_Collection'!G218="","",'Dry_Litterbag Placem_Collection'!G218)</f>
        <v>43004</v>
      </c>
      <c r="U657" s="269">
        <f t="shared" si="50"/>
        <v>62</v>
      </c>
      <c r="V657" s="267">
        <f t="shared" si="53"/>
        <v>1.2248000000000001</v>
      </c>
      <c r="W657" s="267">
        <f t="shared" si="54"/>
        <v>1.2007355248853058</v>
      </c>
      <c r="X657" s="271">
        <f>IFERROR(INDEX(Rainfall_Dry!$O$2:$O$217,MATCH(B657, Rainfall_Dry!$A$2:$A$217,0)),"")</f>
        <v>171.84818423999999</v>
      </c>
      <c r="Y657" s="260">
        <v>25.96</v>
      </c>
      <c r="Z657" s="260">
        <v>8.9200000000000017</v>
      </c>
      <c r="AA657" s="260">
        <v>65.12</v>
      </c>
      <c r="AB657" s="261" t="s">
        <v>2670</v>
      </c>
      <c r="AC657" s="260">
        <v>1.6991621488417901</v>
      </c>
      <c r="AD657">
        <f>IF('WetLitterbags placem_collection'!AB218="","",'WetLitterbags placem_collection'!AB218)</f>
        <v>5.13</v>
      </c>
      <c r="AE657">
        <f>IF('WetLitterbags placem_collection'!Z218="","",'WetLitterbags placem_collection'!Z218)</f>
        <v>5.13</v>
      </c>
      <c r="AF657" s="246" t="str">
        <f>IF('WetLitterbags placem_collection'!AA218="","",'WetLitterbags placem_collection'!AA218)</f>
        <v>O</v>
      </c>
      <c r="AG657">
        <f>IF('WetLitterbags placem_collection'!AC218="","",'WetLitterbags placem_collection'!AC218)</f>
        <v>1</v>
      </c>
      <c r="AH657">
        <f>IFERROR(AVERAGE('Dry_Litterbag Placem_Collection'!O218,'Dry_Litterbag Placem_Collection'!R218),"")</f>
        <v>7.0500000000000007</v>
      </c>
      <c r="AI657" s="271">
        <f>IFERROR(AVERAGE('Dry_Litterbag Placem_Collection'!N218,'Dry_Litterbag Placem_Collection'!Q218),"")</f>
        <v>29.85</v>
      </c>
      <c r="AJ657">
        <v>-2.4396450349999999</v>
      </c>
      <c r="AK657">
        <v>34.83836599</v>
      </c>
      <c r="AL657" s="270" t="str">
        <f>IF(ISNUMBER(SEARCH("C", 'Dry_Litterbag Placem_Collection'!U218)),"YES","NO")</f>
        <v>NO</v>
      </c>
      <c r="AM657" s="270" t="str">
        <f>IF(ISNUMBER(SEARCH("H", 'Dry_Litterbag Placem_Collection'!U218)),"YES","NO")</f>
        <v>NO</v>
      </c>
      <c r="AN657" s="270" t="str">
        <f>IF(ISNUMBER(SEARCH("R", 'Dry_Litterbag Placem_Collection'!U218)),"YES","NO")</f>
        <v>NO</v>
      </c>
    </row>
    <row r="658" spans="1:40" ht="15" customHeight="1">
      <c r="A658" s="262" t="s">
        <v>2659</v>
      </c>
      <c r="B658" s="263">
        <f>'Dry_Litterbag Placem_Collection'!A219</f>
        <v>217</v>
      </c>
      <c r="C658" s="263" t="str">
        <f>'Dry_Litterbag Placem_Collection'!B219</f>
        <v>Seronera</v>
      </c>
      <c r="D658" s="263" t="s">
        <v>2662</v>
      </c>
      <c r="E658" s="263" t="s">
        <v>2526</v>
      </c>
      <c r="F658" s="263">
        <v>1</v>
      </c>
      <c r="G658" s="264" t="str">
        <f>'Dry_Litterbag Placem_Collection'!C219</f>
        <v>Local1_CG1</v>
      </c>
      <c r="H658" s="273" t="s">
        <v>3651</v>
      </c>
      <c r="I658" s="266" t="s">
        <v>1147</v>
      </c>
      <c r="J658" s="263" t="str">
        <f>IF(ISBLANK('Dry_Litterbag Placem_Collection'!L219),"","G"&amp;""&amp;'Dry_Litterbag Placem_Collection'!L219)</f>
        <v>G204</v>
      </c>
      <c r="K658" s="267">
        <f>IFERROR(INDEX('Green_rooibos initial weight'!$C$5:$C$1749,MATCH(J658, 'Green_rooibos initial weight'!$A$5:$A$1749,0)),"")</f>
        <v>2.1970000000000001</v>
      </c>
      <c r="L658" s="267">
        <f>IFERROR(K658-(TBIcalc!$Q$9+TBIcalc!$Q$10),"")</f>
        <v>1.9472</v>
      </c>
      <c r="M658" s="391">
        <f>AVERAGE(Ashed_controlls!$K$2:$K$11)</f>
        <v>5.5147656768714146</v>
      </c>
      <c r="N658" s="267">
        <f t="shared" si="51"/>
        <v>1.8398164827399599</v>
      </c>
      <c r="O658" s="267">
        <f>IF(IFERROR(INDEX('Both teabags AfterDry'!$D$3:$D$900,MATCH(J658,'Both teabags AfterDry'!$A$3:$A$900,0)),"")="","",(IFERROR(INDEX('Both teabags AfterDry'!$D$3:$D$900,MATCH(J658,'Both teabags AfterDry'!$A$3:$A$900,0)),"")))</f>
        <v>0.80579999999999996</v>
      </c>
      <c r="P658" s="267">
        <f>IFERROR(IF(O658&gt;0,O658-(TBIcalc!$Q$9),""),"")</f>
        <v>0.6552</v>
      </c>
      <c r="Q658" s="278">
        <f>IFERROR(INDEX('Ashed teabags dry'!$K$2:$K$825,MATCH(J658,'Ashed teabags dry'!$A$2:$A$825,0)),"")</f>
        <v>19.368932038835744</v>
      </c>
      <c r="R658" s="278">
        <f t="shared" si="52"/>
        <v>0.52829475728154818</v>
      </c>
      <c r="S658" s="268">
        <f>'Dry_Litterbag Placem_Collection'!E219</f>
        <v>42942</v>
      </c>
      <c r="T658" s="268">
        <f>IF('Dry_Litterbag Placem_Collection'!G219="","",'Dry_Litterbag Placem_Collection'!G219)</f>
        <v>43004</v>
      </c>
      <c r="U658" s="269">
        <f t="shared" si="50"/>
        <v>62</v>
      </c>
      <c r="V658" s="267">
        <f t="shared" si="53"/>
        <v>1.292</v>
      </c>
      <c r="W658" s="267">
        <f t="shared" si="54"/>
        <v>1.3115217254584117</v>
      </c>
      <c r="X658" s="271">
        <f>IFERROR(INDEX(Rainfall_Dry!$O$2:$O$217,MATCH(B658, Rainfall_Dry!$A$2:$A$217,0)),"")</f>
        <v>171.84818423999999</v>
      </c>
      <c r="Y658" s="260">
        <v>29.076539101497506</v>
      </c>
      <c r="Z658" s="260">
        <v>7.1963394342762079</v>
      </c>
      <c r="AA658" s="260">
        <v>63.727121464226286</v>
      </c>
      <c r="AB658" s="260" t="s">
        <v>2670</v>
      </c>
      <c r="AC658" s="260">
        <v>1.0994578610152781</v>
      </c>
      <c r="AD658">
        <f>IF('WetLitterbags placem_collection'!AB219="","",'WetLitterbags placem_collection'!AB219)</f>
        <v>13.8</v>
      </c>
      <c r="AE658">
        <f>IF('WetLitterbags placem_collection'!Z219="","",'WetLitterbags placem_collection'!Z219)</f>
        <v>17.399999999999999</v>
      </c>
      <c r="AF658" s="246" t="str">
        <f>IF('WetLitterbags placem_collection'!AA219="","",'WetLitterbags placem_collection'!AA219)</f>
        <v>O</v>
      </c>
      <c r="AG658">
        <f>IF('WetLitterbags placem_collection'!AC219="","",'WetLitterbags placem_collection'!AC219)</f>
        <v>1</v>
      </c>
      <c r="AH658">
        <f>IFERROR(AVERAGE('Dry_Litterbag Placem_Collection'!O219,'Dry_Litterbag Placem_Collection'!R219),"")</f>
        <v>7.1999999999999993</v>
      </c>
      <c r="AI658" s="271">
        <f>IFERROR(AVERAGE('Dry_Litterbag Placem_Collection'!N219,'Dry_Litterbag Placem_Collection'!Q219),"")</f>
        <v>31.25</v>
      </c>
      <c r="AJ658">
        <v>-2.439403972</v>
      </c>
      <c r="AK658">
        <v>34.838404959999998</v>
      </c>
      <c r="AL658" s="270" t="str">
        <f>IF(ISNUMBER(SEARCH("C", 'Dry_Litterbag Placem_Collection'!U219)),"YES","NO")</f>
        <v>NO</v>
      </c>
      <c r="AM658" s="270" t="str">
        <f>IF(ISNUMBER(SEARCH("H", 'Dry_Litterbag Placem_Collection'!U219)),"YES","NO")</f>
        <v>NO</v>
      </c>
      <c r="AN658" s="270" t="str">
        <f>IF(ISNUMBER(SEARCH("R", 'Dry_Litterbag Placem_Collection'!U219)),"YES","NO")</f>
        <v>YES</v>
      </c>
    </row>
    <row r="659" spans="1:40" ht="15" customHeight="1">
      <c r="A659" s="262" t="s">
        <v>2659</v>
      </c>
      <c r="B659" s="263">
        <f>'Dry_Litterbag Placem_Collection'!A220</f>
        <v>218</v>
      </c>
      <c r="C659" s="263" t="str">
        <f>'Dry_Litterbag Placem_Collection'!B220</f>
        <v>Seronera</v>
      </c>
      <c r="D659" s="263" t="s">
        <v>2662</v>
      </c>
      <c r="E659" s="263" t="s">
        <v>2526</v>
      </c>
      <c r="F659" s="263">
        <v>2</v>
      </c>
      <c r="G659" s="264" t="str">
        <f>'Dry_Litterbag Placem_Collection'!C220</f>
        <v>Local2_CG2</v>
      </c>
      <c r="H659" s="273" t="s">
        <v>3651</v>
      </c>
      <c r="I659" s="266" t="s">
        <v>1147</v>
      </c>
      <c r="J659" s="263" t="str">
        <f>IF(ISBLANK('Dry_Litterbag Placem_Collection'!L220),"","G"&amp;""&amp;'Dry_Litterbag Placem_Collection'!L220)</f>
        <v>G170</v>
      </c>
      <c r="K659" s="267">
        <f>IFERROR(INDEX('Green_rooibos initial weight'!$C$5:$C$1749,MATCH(J659, 'Green_rooibos initial weight'!$A$5:$A$1749,0)),"")</f>
        <v>2.0390000000000001</v>
      </c>
      <c r="L659" s="267">
        <f>IFERROR(K659-(TBIcalc!$Q$9+TBIcalc!$Q$10),"")</f>
        <v>1.7892000000000001</v>
      </c>
      <c r="M659" s="391">
        <f>AVERAGE(Ashed_controlls!$K$2:$K$11)</f>
        <v>5.5147656768714146</v>
      </c>
      <c r="N659" s="267">
        <f t="shared" si="51"/>
        <v>1.6905298125094168</v>
      </c>
      <c r="O659" s="267">
        <f>IF(IFERROR(INDEX('Both teabags AfterDry'!$D$3:$D$900,MATCH(J659,'Both teabags AfterDry'!$A$3:$A$900,0)),"")="","",(IFERROR(INDEX('Both teabags AfterDry'!$D$3:$D$900,MATCH(J659,'Both teabags AfterDry'!$A$3:$A$900,0)),"")))</f>
        <v>0.66100000000000003</v>
      </c>
      <c r="P659" s="267">
        <f>IFERROR(IF(O659&gt;0,O659-(TBIcalc!$Q$9),""),"")</f>
        <v>0.51039999999999996</v>
      </c>
      <c r="Q659" s="278">
        <f>IFERROR(INDEX('Ashed teabags dry'!$K$2:$K$825,MATCH(J659,'Ashed teabags dry'!$A$2:$A$825,0)),"")</f>
        <v>23.022929340196391</v>
      </c>
      <c r="R659" s="278">
        <f t="shared" si="52"/>
        <v>0.39289096864763762</v>
      </c>
      <c r="S659" s="268">
        <f>'Dry_Litterbag Placem_Collection'!E220</f>
        <v>42942</v>
      </c>
      <c r="T659" s="268">
        <f>IF('Dry_Litterbag Placem_Collection'!G220="","",'Dry_Litterbag Placem_Collection'!G220)</f>
        <v>43004</v>
      </c>
      <c r="U659" s="269">
        <f t="shared" si="50"/>
        <v>62</v>
      </c>
      <c r="V659" s="267">
        <f t="shared" si="53"/>
        <v>1.2788000000000002</v>
      </c>
      <c r="W659" s="267">
        <f t="shared" si="54"/>
        <v>1.2976388438617792</v>
      </c>
      <c r="X659" s="271">
        <f>IFERROR(INDEX(Rainfall_Dry!$O$2:$O$217,MATCH(B659, Rainfall_Dry!$A$2:$A$217,0)),"")</f>
        <v>171.84818423999999</v>
      </c>
      <c r="Y659" s="260">
        <v>21.072635135135137</v>
      </c>
      <c r="Z659" s="260">
        <v>7.3057432432432412</v>
      </c>
      <c r="AA659" s="260">
        <v>71.621621621621614</v>
      </c>
      <c r="AB659" s="260" t="s">
        <v>2670</v>
      </c>
      <c r="AC659" s="260">
        <v>1.4512074913750617</v>
      </c>
      <c r="AD659">
        <f>IF('WetLitterbags placem_collection'!AB220="","",'WetLitterbags placem_collection'!AB220)</f>
        <v>5.13</v>
      </c>
      <c r="AE659">
        <f>IF('WetLitterbags placem_collection'!Z220="","",'WetLitterbags placem_collection'!Z220)</f>
        <v>5.13</v>
      </c>
      <c r="AF659" s="246" t="str">
        <f>IF('WetLitterbags placem_collection'!AA220="","",'WetLitterbags placem_collection'!AA220)</f>
        <v>O</v>
      </c>
      <c r="AG659">
        <f>IF('WetLitterbags placem_collection'!AC220="","",'WetLitterbags placem_collection'!AC220)</f>
        <v>1</v>
      </c>
      <c r="AH659">
        <f>IFERROR(AVERAGE('Dry_Litterbag Placem_Collection'!O220,'Dry_Litterbag Placem_Collection'!R220),"")</f>
        <v>6.45</v>
      </c>
      <c r="AI659" s="271">
        <f>IFERROR(AVERAGE('Dry_Litterbag Placem_Collection'!N220,'Dry_Litterbag Placem_Collection'!Q220),"")</f>
        <v>29.15</v>
      </c>
      <c r="AJ659">
        <v>-2.4396450349999999</v>
      </c>
      <c r="AK659">
        <v>34.83836599</v>
      </c>
      <c r="AL659" s="270" t="str">
        <f>IF(ISNUMBER(SEARCH("C", 'Dry_Litterbag Placem_Collection'!U220)),"YES","NO")</f>
        <v>NO</v>
      </c>
      <c r="AM659" s="270" t="str">
        <f>IF(ISNUMBER(SEARCH("H", 'Dry_Litterbag Placem_Collection'!U220)),"YES","NO")</f>
        <v>NO</v>
      </c>
      <c r="AN659" s="270" t="str">
        <f>IF(ISNUMBER(SEARCH("R", 'Dry_Litterbag Placem_Collection'!U220)),"YES","NO")</f>
        <v>YES</v>
      </c>
    </row>
    <row r="660" spans="1:40" ht="15" customHeight="1">
      <c r="A660" s="262" t="s">
        <v>2659</v>
      </c>
      <c r="B660" s="263">
        <f>'Dry_Litterbag Placem_Collection'!A221</f>
        <v>219</v>
      </c>
      <c r="C660" s="263" t="str">
        <f>'Dry_Litterbag Placem_Collection'!B221</f>
        <v>Seronera</v>
      </c>
      <c r="D660" s="263" t="s">
        <v>2662</v>
      </c>
      <c r="E660" s="263" t="s">
        <v>2526</v>
      </c>
      <c r="F660" s="263">
        <v>3</v>
      </c>
      <c r="G660" s="264" t="str">
        <f>'Dry_Litterbag Placem_Collection'!C221</f>
        <v>Local3_CG3</v>
      </c>
      <c r="H660" s="273" t="s">
        <v>3651</v>
      </c>
      <c r="I660" s="266" t="s">
        <v>1147</v>
      </c>
      <c r="J660" s="263" t="str">
        <f>IF(ISBLANK('Dry_Litterbag Placem_Collection'!L221),"","G"&amp;""&amp;'Dry_Litterbag Placem_Collection'!L221)</f>
        <v>G123</v>
      </c>
      <c r="K660" s="267">
        <f>IFERROR(INDEX('Green_rooibos initial weight'!$C$5:$C$1749,MATCH(J660, 'Green_rooibos initial weight'!$A$5:$A$1749,0)),"")</f>
        <v>2.133</v>
      </c>
      <c r="L660" s="267">
        <f>IFERROR(K660-(TBIcalc!$Q$9+TBIcalc!$Q$10),"")</f>
        <v>1.8832</v>
      </c>
      <c r="M660" s="391">
        <f>AVERAGE(Ashed_controlls!$K$2:$K$11)</f>
        <v>5.5147656768714146</v>
      </c>
      <c r="N660" s="267">
        <f t="shared" si="51"/>
        <v>1.7793459327731576</v>
      </c>
      <c r="O660" s="267">
        <f>IF(IFERROR(INDEX('Both teabags AfterDry'!$D$3:$D$900,MATCH(J660,'Both teabags AfterDry'!$A$3:$A$900,0)),"")="","",(IFERROR(INDEX('Both teabags AfterDry'!$D$3:$D$900,MATCH(J660,'Both teabags AfterDry'!$A$3:$A$900,0)),"")))</f>
        <v>0.82250000000000001</v>
      </c>
      <c r="P660" s="267">
        <f>IFERROR(IF(O660&gt;0,O660-(TBIcalc!$Q$9),""),"")</f>
        <v>0.67189999999999994</v>
      </c>
      <c r="Q660" s="278">
        <f>IFERROR(INDEX('Ashed teabags dry'!$K$2:$K$825,MATCH(J660,'Ashed teabags dry'!$A$2:$A$825,0)),"")</f>
        <v>24.6799116997799</v>
      </c>
      <c r="R660" s="278">
        <f t="shared" si="52"/>
        <v>0.5060756732891788</v>
      </c>
      <c r="S660" s="268">
        <f>'Dry_Litterbag Placem_Collection'!E221</f>
        <v>42942</v>
      </c>
      <c r="T660" s="268">
        <f>IF('Dry_Litterbag Placem_Collection'!G221="","",'Dry_Litterbag Placem_Collection'!G221)</f>
        <v>43004</v>
      </c>
      <c r="U660" s="269">
        <f t="shared" si="50"/>
        <v>62</v>
      </c>
      <c r="V660" s="267">
        <f t="shared" si="53"/>
        <v>1.2113</v>
      </c>
      <c r="W660" s="267">
        <f t="shared" si="54"/>
        <v>1.2732702594839789</v>
      </c>
      <c r="X660" s="271">
        <f>IFERROR(INDEX(Rainfall_Dry!$O$2:$O$217,MATCH(B660, Rainfall_Dry!$A$2:$A$217,0)),"")</f>
        <v>171.84818423999999</v>
      </c>
      <c r="Y660" s="260">
        <v>21.96</v>
      </c>
      <c r="Z660" s="260">
        <v>4.9199999999999982</v>
      </c>
      <c r="AA660" s="260">
        <v>73.12</v>
      </c>
      <c r="AB660" s="260" t="s">
        <v>2670</v>
      </c>
      <c r="AC660" s="260">
        <v>1.4012321340561851</v>
      </c>
      <c r="AD660">
        <f>IF('WetLitterbags placem_collection'!AB221="","",'WetLitterbags placem_collection'!AB221)</f>
        <v>7.9</v>
      </c>
      <c r="AE660">
        <f>IF('WetLitterbags placem_collection'!Z221="","",'WetLitterbags placem_collection'!Z221)</f>
        <v>7.9</v>
      </c>
      <c r="AF660" s="246" t="str">
        <f>IF('WetLitterbags placem_collection'!AA221="","",'WetLitterbags placem_collection'!AA221)</f>
        <v>O</v>
      </c>
      <c r="AG660">
        <f>IF('WetLitterbags placem_collection'!AC221="","",'WetLitterbags placem_collection'!AC221)</f>
        <v>1</v>
      </c>
      <c r="AH660">
        <f>IFERROR(AVERAGE('Dry_Litterbag Placem_Collection'!O221,'Dry_Litterbag Placem_Collection'!R221),"")</f>
        <v>5.75</v>
      </c>
      <c r="AI660" s="271">
        <f>IFERROR(AVERAGE('Dry_Litterbag Placem_Collection'!N221,'Dry_Litterbag Placem_Collection'!Q221),"")</f>
        <v>32.75</v>
      </c>
      <c r="AJ660">
        <v>-2.4395990190000001</v>
      </c>
      <c r="AK660">
        <v>34.838418959999998</v>
      </c>
      <c r="AL660" s="270" t="str">
        <f>IF(ISNUMBER(SEARCH("C", 'Dry_Litterbag Placem_Collection'!U221)),"YES","NO")</f>
        <v>NO</v>
      </c>
      <c r="AM660" s="270" t="str">
        <f>IF(ISNUMBER(SEARCH("H", 'Dry_Litterbag Placem_Collection'!U221)),"YES","NO")</f>
        <v>NO</v>
      </c>
      <c r="AN660" s="270" t="str">
        <f>IF(ISNUMBER(SEARCH("R", 'Dry_Litterbag Placem_Collection'!U221)),"YES","NO")</f>
        <v>YES</v>
      </c>
    </row>
    <row r="661" spans="1:40" ht="15" customHeight="1">
      <c r="A661" s="262" t="s">
        <v>2659</v>
      </c>
      <c r="B661" s="263">
        <f>'Dry_Litterbag Placem_Collection'!A222</f>
        <v>220</v>
      </c>
      <c r="C661" s="263" t="str">
        <f>'Dry_Litterbag Placem_Collection'!B222</f>
        <v>Seronera</v>
      </c>
      <c r="D661" s="263" t="s">
        <v>2662</v>
      </c>
      <c r="E661" s="263" t="s">
        <v>2526</v>
      </c>
      <c r="F661" s="263">
        <v>4</v>
      </c>
      <c r="G661" s="264" t="str">
        <f>'Dry_Litterbag Placem_Collection'!C222</f>
        <v>Local4_CG4</v>
      </c>
      <c r="H661" s="273" t="s">
        <v>3651</v>
      </c>
      <c r="I661" s="266" t="s">
        <v>1147</v>
      </c>
      <c r="J661" s="263" t="str">
        <f>IF(ISBLANK('Dry_Litterbag Placem_Collection'!L222),"","G"&amp;""&amp;'Dry_Litterbag Placem_Collection'!L222)</f>
        <v>G53</v>
      </c>
      <c r="K661" s="267">
        <f>IFERROR(INDEX('Green_rooibos initial weight'!$C$5:$C$1749,MATCH(J661, 'Green_rooibos initial weight'!$A$5:$A$1749,0)),"")</f>
        <v>1.907</v>
      </c>
      <c r="L661" s="267">
        <f>IFERROR(K661-(TBIcalc!$Q$9+TBIcalc!$Q$10),"")</f>
        <v>1.6572</v>
      </c>
      <c r="M661" s="391">
        <f>AVERAGE(Ashed_controlls!$K$2:$K$11)</f>
        <v>5.5147656768714146</v>
      </c>
      <c r="N661" s="267">
        <f t="shared" si="51"/>
        <v>1.565809303202887</v>
      </c>
      <c r="O661" s="267" t="str">
        <f>IF(IFERROR(INDEX('Both teabags AfterDry'!$D$3:$D$900,MATCH(J661,'Both teabags AfterDry'!$A$3:$A$900,0)),"")="","",(IFERROR(INDEX('Both teabags AfterDry'!$D$3:$D$900,MATCH(J661,'Both teabags AfterDry'!$A$3:$A$900,0)),"")))</f>
        <v/>
      </c>
      <c r="P661" s="267" t="str">
        <f>IFERROR(IF(O661&gt;0,O661-(TBIcalc!$Q$9),""),"")</f>
        <v/>
      </c>
      <c r="Q661" s="278" t="str">
        <f>IFERROR(INDEX('Ashed teabags dry'!$K$2:$K$825,MATCH(J661,'Ashed teabags dry'!$A$2:$A$825,0)),"")</f>
        <v/>
      </c>
      <c r="R661" s="278" t="str">
        <f t="shared" si="52"/>
        <v/>
      </c>
      <c r="S661" s="268">
        <f>'Dry_Litterbag Placem_Collection'!E222</f>
        <v>42942</v>
      </c>
      <c r="T661" s="268">
        <f>IF('Dry_Litterbag Placem_Collection'!G222="","",'Dry_Litterbag Placem_Collection'!G222)</f>
        <v>43004</v>
      </c>
      <c r="U661" s="269">
        <f t="shared" si="50"/>
        <v>62</v>
      </c>
      <c r="V661" s="267" t="str">
        <f t="shared" si="53"/>
        <v/>
      </c>
      <c r="W661" s="267" t="str">
        <f t="shared" si="54"/>
        <v/>
      </c>
      <c r="X661" s="271">
        <f>IFERROR(INDEX(Rainfall_Dry!$O$2:$O$217,MATCH(B661, Rainfall_Dry!$A$2:$A$217,0)),"")</f>
        <v>171.84818423999999</v>
      </c>
      <c r="Y661" s="260">
        <v>15.960000000000003</v>
      </c>
      <c r="Z661" s="260">
        <v>6.9199999999999982</v>
      </c>
      <c r="AA661" s="260">
        <v>77.11999999999999</v>
      </c>
      <c r="AB661" s="260" t="s">
        <v>2671</v>
      </c>
      <c r="AC661" s="260">
        <v>0.60547067520946207</v>
      </c>
      <c r="AD661">
        <f>IF('WetLitterbags placem_collection'!AB222="","",'WetLitterbags placem_collection'!AB222)</f>
        <v>15.2</v>
      </c>
      <c r="AE661">
        <f>IF('WetLitterbags placem_collection'!Z222="","",'WetLitterbags placem_collection'!Z222)</f>
        <v>12.2</v>
      </c>
      <c r="AF661" s="246" t="str">
        <f>IF('WetLitterbags placem_collection'!AA222="","",'WetLitterbags placem_collection'!AA222)</f>
        <v>O</v>
      </c>
      <c r="AG661">
        <f>IF('WetLitterbags placem_collection'!AC222="","",'WetLitterbags placem_collection'!AC222)</f>
        <v>1</v>
      </c>
      <c r="AH661">
        <f>IFERROR(AVERAGE('Dry_Litterbag Placem_Collection'!O222,'Dry_Litterbag Placem_Collection'!R222),"")</f>
        <v>5.3</v>
      </c>
      <c r="AI661" s="271">
        <f>IFERROR(AVERAGE('Dry_Litterbag Placem_Collection'!N222,'Dry_Litterbag Placem_Collection'!Q222),"")</f>
        <v>33.65</v>
      </c>
      <c r="AJ661">
        <v>-2.4396949910000001</v>
      </c>
      <c r="AK661">
        <v>34.838574029999997</v>
      </c>
      <c r="AL661" s="270" t="str">
        <f>IF(ISNUMBER(SEARCH("C", 'Dry_Litterbag Placem_Collection'!U222)),"YES","NO")</f>
        <v>NO</v>
      </c>
      <c r="AM661" s="270" t="str">
        <f>IF(ISNUMBER(SEARCH("H", 'Dry_Litterbag Placem_Collection'!U222)),"YES","NO")</f>
        <v>NO</v>
      </c>
      <c r="AN661" s="270" t="str">
        <f>IF(ISNUMBER(SEARCH("R", 'Dry_Litterbag Placem_Collection'!U222)),"YES","NO")</f>
        <v>YES</v>
      </c>
    </row>
    <row r="662" spans="1:40" ht="15" customHeight="1">
      <c r="A662" s="262" t="s">
        <v>2659</v>
      </c>
      <c r="B662" s="263">
        <f>'Dry_Litterbag Placem_Collection'!A3</f>
        <v>1</v>
      </c>
      <c r="C662" s="263" t="str">
        <f>'Dry_Litterbag Placem_Collection'!B3</f>
        <v>Makao</v>
      </c>
      <c r="D662" s="263" t="s">
        <v>2659</v>
      </c>
      <c r="E662" s="263" t="s">
        <v>2660</v>
      </c>
      <c r="F662" s="263">
        <v>1</v>
      </c>
      <c r="G662" s="264" t="str">
        <f>'Dry_Litterbag Placem_Collection'!C3</f>
        <v>Dry_Ag1_T1</v>
      </c>
      <c r="H662" s="273" t="s">
        <v>3651</v>
      </c>
      <c r="I662" s="274" t="s">
        <v>298</v>
      </c>
      <c r="J662" s="263" t="str">
        <f>IF(ISBLANK('Dry_Litterbag Placem_Collection'!M3),"","R"&amp;""&amp;'Dry_Litterbag Placem_Collection'!M3)</f>
        <v>R204</v>
      </c>
      <c r="K662" s="267">
        <f>IFERROR(INDEX('Green_rooibos initial weight'!$C$5:$C$1749,MATCH(J662, 'Green_rooibos initial weight'!$A$5:$A$1749,0)),"")</f>
        <v>2.2290000000000001</v>
      </c>
      <c r="L662" s="267">
        <f>IFERROR(K662-(TBIcalc!$Q$9+TBIcalc!$Q$10),"")</f>
        <v>1.9792000000000001</v>
      </c>
      <c r="M662" s="391">
        <f>AVERAGE(Ashed_controlls!$K$12:$K$14)</f>
        <v>2.2816647271287041</v>
      </c>
      <c r="N662" s="267">
        <f t="shared" si="51"/>
        <v>1.9340412917206689</v>
      </c>
      <c r="O662" s="267">
        <f>IF(IFERROR(INDEX('Both teabags AfterDry'!$D$3:$D$900,MATCH(J662,'Both teabags AfterDry'!$A$3:$A$900,0)),"")="","",(IFERROR(INDEX('Both teabags AfterDry'!$D$3:$D$900,MATCH(J662,'Both teabags AfterDry'!$A$3:$A$900,0)),"")))</f>
        <v>1.8874</v>
      </c>
      <c r="P662" s="267">
        <f>IFERROR(IF(O662&gt;0,O662-(TBIcalc!$Q$9),""),"")</f>
        <v>1.7367999999999999</v>
      </c>
      <c r="Q662" s="278">
        <f>IFERROR(INDEX('Ashed teabags dry'!$K$2:$K$825,MATCH(J662,'Ashed teabags dry'!$A$2:$A$825,0)),"")</f>
        <v>2.3391812865495751</v>
      </c>
      <c r="R662" s="278">
        <f t="shared" si="52"/>
        <v>1.6961730994152069</v>
      </c>
      <c r="S662" s="268">
        <f>'Dry_Litterbag Placem_Collection'!E3</f>
        <v>42938</v>
      </c>
      <c r="T662" s="268">
        <f>IF('Dry_Litterbag Placem_Collection'!G3="","",'Dry_Litterbag Placem_Collection'!G3)</f>
        <v>43007</v>
      </c>
      <c r="U662" s="269">
        <f t="shared" si="50"/>
        <v>69</v>
      </c>
      <c r="V662" s="267">
        <f t="shared" si="53"/>
        <v>0.24240000000000017</v>
      </c>
      <c r="W662" s="267">
        <f t="shared" si="54"/>
        <v>0.23786819230546197</v>
      </c>
      <c r="X662" s="271">
        <f>IFERROR(INDEX(Rainfall_Dry!$O$2:$O$217,MATCH(B662, Rainfall_Dry!$A$2:$A$217,0)),"")</f>
        <v>6.900000125</v>
      </c>
      <c r="Y662" s="260">
        <v>12.565665055683967</v>
      </c>
      <c r="Z662" s="260">
        <v>0.9665896196679955</v>
      </c>
      <c r="AA662" s="260">
        <v>86.467745324648035</v>
      </c>
      <c r="AB662" s="261" t="s">
        <v>2672</v>
      </c>
      <c r="AC662" s="260">
        <v>1.0225726959093147</v>
      </c>
      <c r="AD662">
        <f>IF('WetLitterbags placem_collection'!AB3="","",'WetLitterbags placem_collection'!AB3)</f>
        <v>26.4</v>
      </c>
      <c r="AE662">
        <f>IF('WetLitterbags placem_collection'!Z3="","",'WetLitterbags placem_collection'!Z3)</f>
        <v>41</v>
      </c>
      <c r="AF662" s="246" t="str">
        <f>IF('WetLitterbags placem_collection'!AA3="","",'WetLitterbags placem_collection'!AA3)</f>
        <v>M</v>
      </c>
      <c r="AG662">
        <f>IF('WetLitterbags placem_collection'!AC3="","",'WetLitterbags placem_collection'!AC3)</f>
        <v>1</v>
      </c>
      <c r="AH662">
        <f>IFERROR(AVERAGE('Dry_Litterbag Placem_Collection'!O3,'Dry_Litterbag Placem_Collection'!R3),"")</f>
        <v>3.8</v>
      </c>
      <c r="AI662" s="271">
        <f>IFERROR(AVERAGE('Dry_Litterbag Placem_Collection'!N3,'Dry_Litterbag Placem_Collection'!Q3),"")</f>
        <v>26.9</v>
      </c>
      <c r="AJ662" s="270">
        <f>INDEX(Coordinates!$B$2:$B$197,MATCH(G662,Coordinates!$J$2:$J$197,0))</f>
        <v>-3.3978609999999998</v>
      </c>
      <c r="AK662" s="270">
        <f>INDEX(Coordinates!$C$2:$C$197,MATCH(G662,Coordinates!$J$2:$J$197,0))</f>
        <v>34.837608000000003</v>
      </c>
      <c r="AL662" s="270" t="str">
        <f>IF(ISNUMBER(SEARCH("C", 'Dry_Litterbag Placem_Collection'!V3)),"YES","NO")</f>
        <v>NO</v>
      </c>
      <c r="AM662" s="270" t="str">
        <f>IF(ISNUMBER(SEARCH("H", 'Dry_Litterbag Placem_Collection'!V3)),"YES","NO")</f>
        <v>NO</v>
      </c>
      <c r="AN662" s="270" t="str">
        <f>IF(ISNUMBER(SEARCH("R", 'Dry_Litterbag Placem_Collection'!V3)),"YES","NO")</f>
        <v>NO</v>
      </c>
    </row>
    <row r="663" spans="1:40" ht="15" customHeight="1">
      <c r="A663" s="262" t="s">
        <v>2659</v>
      </c>
      <c r="B663" s="263">
        <f>'Dry_Litterbag Placem_Collection'!A4</f>
        <v>2</v>
      </c>
      <c r="C663" s="263" t="str">
        <f>'Dry_Litterbag Placem_Collection'!B4</f>
        <v>Makao</v>
      </c>
      <c r="D663" s="263" t="s">
        <v>2659</v>
      </c>
      <c r="E663" s="263" t="s">
        <v>2660</v>
      </c>
      <c r="F663" s="263">
        <v>1</v>
      </c>
      <c r="G663" s="264" t="str">
        <f>'Dry_Litterbag Placem_Collection'!C4</f>
        <v>Dry_Ag1_T2</v>
      </c>
      <c r="H663" s="273" t="s">
        <v>3651</v>
      </c>
      <c r="I663" s="274" t="s">
        <v>298</v>
      </c>
      <c r="J663" s="263" t="str">
        <f>IF(ISBLANK('Dry_Litterbag Placem_Collection'!M4),"","R"&amp;""&amp;'Dry_Litterbag Placem_Collection'!M4)</f>
        <v/>
      </c>
      <c r="K663" s="267" t="str">
        <f>IFERROR(INDEX('Green_rooibos initial weight'!$C$5:$C$1749,MATCH(J663, 'Green_rooibos initial weight'!$A$5:$A$1749,0)),"")</f>
        <v/>
      </c>
      <c r="L663" s="267" t="str">
        <f>IFERROR(K663-(TBIcalc!$Q$9+TBIcalc!$Q$10),"")</f>
        <v/>
      </c>
      <c r="M663" s="391">
        <f>AVERAGE(Ashed_controlls!$K$12:$K$14)</f>
        <v>2.2816647271287041</v>
      </c>
      <c r="N663" s="267" t="str">
        <f t="shared" si="51"/>
        <v/>
      </c>
      <c r="O663" s="267" t="str">
        <f>IF(IFERROR(INDEX('Both teabags AfterDry'!$D$3:$D$900,MATCH(J663,'Both teabags AfterDry'!$A$3:$A$900,0)),"")="","",(IFERROR(INDEX('Both teabags AfterDry'!$D$3:$D$900,MATCH(J663,'Both teabags AfterDry'!$A$3:$A$900,0)),"")))</f>
        <v/>
      </c>
      <c r="P663" s="267" t="str">
        <f>IFERROR(IF(O663&gt;0,O663-(TBIcalc!$Q$9),""),"")</f>
        <v/>
      </c>
      <c r="Q663" s="278" t="str">
        <f>IFERROR(INDEX('Ashed teabags dry'!$K$2:$K$825,MATCH(J663,'Ashed teabags dry'!$A$2:$A$825,0)),"")</f>
        <v/>
      </c>
      <c r="R663" s="278" t="str">
        <f t="shared" si="52"/>
        <v/>
      </c>
      <c r="S663" s="268">
        <f>'Dry_Litterbag Placem_Collection'!E4</f>
        <v>0</v>
      </c>
      <c r="T663" s="268" t="str">
        <f>IF('Dry_Litterbag Placem_Collection'!G4="","",'Dry_Litterbag Placem_Collection'!G4)</f>
        <v/>
      </c>
      <c r="U663" s="269" t="str">
        <f t="shared" si="50"/>
        <v/>
      </c>
      <c r="V663" s="267" t="str">
        <f t="shared" si="53"/>
        <v/>
      </c>
      <c r="W663" s="267" t="str">
        <f t="shared" si="54"/>
        <v/>
      </c>
      <c r="X663" s="271" t="str">
        <f>IFERROR(INDEX(Rainfall_Dry!$O$2:$O$217,MATCH(B663, Rainfall_Dry!$A$2:$A$217,0)),"")</f>
        <v/>
      </c>
      <c r="Y663" s="260">
        <v>12.565665055683967</v>
      </c>
      <c r="Z663" s="260">
        <v>0.9665896196679955</v>
      </c>
      <c r="AA663" s="260">
        <v>86.467745324648035</v>
      </c>
      <c r="AB663" s="261" t="s">
        <v>2672</v>
      </c>
      <c r="AC663" s="260">
        <v>2.02257269590931</v>
      </c>
      <c r="AD663">
        <f>IF('WetLitterbags placem_collection'!AB4="","",'WetLitterbags placem_collection'!AB4)</f>
        <v>22.4</v>
      </c>
      <c r="AE663">
        <f>IF('WetLitterbags placem_collection'!Z4="","",'WetLitterbags placem_collection'!Z4)</f>
        <v>39.799999999999997</v>
      </c>
      <c r="AF663" s="246" t="str">
        <f>IF('WetLitterbags placem_collection'!AA4="","",'WetLitterbags placem_collection'!AA4)</f>
        <v>M</v>
      </c>
      <c r="AG663">
        <f>IF('WetLitterbags placem_collection'!AC4="","",'WetLitterbags placem_collection'!AC4)</f>
        <v>1</v>
      </c>
      <c r="AH663" t="str">
        <f>IFERROR(AVERAGE('Dry_Litterbag Placem_Collection'!O4,'Dry_Litterbag Placem_Collection'!R4),"")</f>
        <v/>
      </c>
      <c r="AI663" s="271" t="str">
        <f>IFERROR(AVERAGE('Dry_Litterbag Placem_Collection'!N4,'Dry_Litterbag Placem_Collection'!Q4),"")</f>
        <v/>
      </c>
      <c r="AJ663" s="270">
        <f>INDEX(Coordinates!$B$2:$B$197,MATCH(G663,Coordinates!$J$2:$J$197,0))</f>
        <v>-3.397879042</v>
      </c>
      <c r="AK663" s="270">
        <f>INDEX(Coordinates!$C$2:$C$197,MATCH(G663,Coordinates!$J$2:$J$197,0))</f>
        <v>34.837536010000001</v>
      </c>
      <c r="AL663" s="270" t="str">
        <f>IF(ISNUMBER(SEARCH("C", 'Dry_Litterbag Placem_Collection'!V4)),"YES","NO")</f>
        <v>NO</v>
      </c>
      <c r="AM663" s="270" t="str">
        <f>IF(ISNUMBER(SEARCH("H", 'Dry_Litterbag Placem_Collection'!V4)),"YES","NO")</f>
        <v>NO</v>
      </c>
      <c r="AN663" s="270" t="str">
        <f>IF(ISNUMBER(SEARCH("R", 'Dry_Litterbag Placem_Collection'!V4)),"YES","NO")</f>
        <v>NO</v>
      </c>
    </row>
    <row r="664" spans="1:40" ht="15" customHeight="1">
      <c r="A664" s="262" t="s">
        <v>2659</v>
      </c>
      <c r="B664" s="263">
        <f>'Dry_Litterbag Placem_Collection'!A5</f>
        <v>3</v>
      </c>
      <c r="C664" s="263" t="str">
        <f>'Dry_Litterbag Placem_Collection'!B5</f>
        <v>Makao</v>
      </c>
      <c r="D664" s="263" t="s">
        <v>2659</v>
      </c>
      <c r="E664" s="263" t="s">
        <v>2660</v>
      </c>
      <c r="F664" s="263">
        <v>1</v>
      </c>
      <c r="G664" s="264" t="str">
        <f>'Dry_Litterbag Placem_Collection'!C5</f>
        <v>Dry_Ag1_T3</v>
      </c>
      <c r="H664" s="273" t="s">
        <v>3651</v>
      </c>
      <c r="I664" s="274" t="s">
        <v>298</v>
      </c>
      <c r="J664" s="263" t="str">
        <f>IF(ISBLANK('Dry_Litterbag Placem_Collection'!M5),"","R"&amp;""&amp;'Dry_Litterbag Placem_Collection'!M5)</f>
        <v>R283</v>
      </c>
      <c r="K664" s="267">
        <f>IFERROR(INDEX('Green_rooibos initial weight'!$C$5:$C$1749,MATCH(J664, 'Green_rooibos initial weight'!$A$5:$A$1749,0)),"")</f>
        <v>2.21</v>
      </c>
      <c r="L664" s="267">
        <f>IFERROR(K664-(TBIcalc!$Q$9+TBIcalc!$Q$10),"")</f>
        <v>1.9601999999999999</v>
      </c>
      <c r="M664" s="391">
        <f>AVERAGE(Ashed_controlls!$K$12:$K$14)</f>
        <v>2.2816647271287041</v>
      </c>
      <c r="N664" s="267">
        <f t="shared" si="51"/>
        <v>1.9154748080188231</v>
      </c>
      <c r="O664" s="267">
        <f>IF(IFERROR(INDEX('Both teabags AfterDry'!$D$3:$D$900,MATCH(J664,'Both teabags AfterDry'!$A$3:$A$900,0)),"")="","",(IFERROR(INDEX('Both teabags AfterDry'!$D$3:$D$900,MATCH(J664,'Both teabags AfterDry'!$A$3:$A$900,0)),"")))</f>
        <v>1.9180999999999999</v>
      </c>
      <c r="P664" s="267">
        <f>IFERROR(IF(O664&gt;0,O664-(TBIcalc!$Q$9),""),"")</f>
        <v>1.7674999999999998</v>
      </c>
      <c r="Q664" s="278">
        <f>IFERROR(INDEX('Ashed teabags dry'!$K$2:$K$825,MATCH(J664,'Ashed teabags dry'!$A$2:$A$825,0)),"")</f>
        <v>2.5675077467904308</v>
      </c>
      <c r="R664" s="278">
        <f t="shared" si="52"/>
        <v>1.7221193005754789</v>
      </c>
      <c r="S664" s="268">
        <f>'Dry_Litterbag Placem_Collection'!E5</f>
        <v>42938</v>
      </c>
      <c r="T664" s="268">
        <f>IF('Dry_Litterbag Placem_Collection'!G5="","",'Dry_Litterbag Placem_Collection'!G5)</f>
        <v>43007</v>
      </c>
      <c r="U664" s="269">
        <f t="shared" si="50"/>
        <v>69</v>
      </c>
      <c r="V664" s="267">
        <f t="shared" si="53"/>
        <v>0.19270000000000009</v>
      </c>
      <c r="W664" s="267">
        <f t="shared" si="54"/>
        <v>0.19335550744334418</v>
      </c>
      <c r="X664" s="271">
        <f>IFERROR(INDEX(Rainfall_Dry!$O$2:$O$217,MATCH(B664, Rainfall_Dry!$A$2:$A$217,0)),"")</f>
        <v>6.900000125</v>
      </c>
      <c r="Y664" s="260">
        <v>12.565665055683967</v>
      </c>
      <c r="Z664" s="260">
        <v>0.9665896196679955</v>
      </c>
      <c r="AA664" s="260">
        <v>86.467745324648035</v>
      </c>
      <c r="AB664" s="261" t="s">
        <v>2672</v>
      </c>
      <c r="AC664" s="260">
        <v>3.02257269590931</v>
      </c>
      <c r="AD664" t="str">
        <f>IF('WetLitterbags placem_collection'!AB5="","",'WetLitterbags placem_collection'!AB5)</f>
        <v/>
      </c>
      <c r="AE664" t="str">
        <f>IF('WetLitterbags placem_collection'!Z5="","",'WetLitterbags placem_collection'!Z5)</f>
        <v/>
      </c>
      <c r="AF664" s="246" t="str">
        <f>IF('WetLitterbags placem_collection'!AA5="","",'WetLitterbags placem_collection'!AA5)</f>
        <v/>
      </c>
      <c r="AG664" t="str">
        <f>IF('WetLitterbags placem_collection'!AC5="","",'WetLitterbags placem_collection'!AC5)</f>
        <v/>
      </c>
      <c r="AH664">
        <f>IFERROR(AVERAGE('Dry_Litterbag Placem_Collection'!O5,'Dry_Litterbag Placem_Collection'!R5),"")</f>
        <v>3.3</v>
      </c>
      <c r="AI664" s="271">
        <f>IFERROR(AVERAGE('Dry_Litterbag Placem_Collection'!N5,'Dry_Litterbag Placem_Collection'!Q5),"")</f>
        <v>25</v>
      </c>
      <c r="AJ664" s="270">
        <f>INDEX(Coordinates!$B$2:$B$197,MATCH(G664,Coordinates!$J$2:$J$197,0))</f>
        <v>-3.3978739999999998</v>
      </c>
      <c r="AK664" s="270">
        <f>INDEX(Coordinates!$C$2:$C$197,MATCH(G664,Coordinates!$J$2:$J$197,0))</f>
        <v>34.837578999999998</v>
      </c>
      <c r="AL664" s="270" t="str">
        <f>IF(ISNUMBER(SEARCH("C", 'Dry_Litterbag Placem_Collection'!V5)),"YES","NO")</f>
        <v>NO</v>
      </c>
      <c r="AM664" s="270" t="str">
        <f>IF(ISNUMBER(SEARCH("H", 'Dry_Litterbag Placem_Collection'!V5)),"YES","NO")</f>
        <v>NO</v>
      </c>
      <c r="AN664" s="270" t="str">
        <f>IF(ISNUMBER(SEARCH("R", 'Dry_Litterbag Placem_Collection'!V5)),"YES","NO")</f>
        <v>NO</v>
      </c>
    </row>
    <row r="665" spans="1:40" ht="15" customHeight="1">
      <c r="A665" s="262" t="s">
        <v>2659</v>
      </c>
      <c r="B665" s="263">
        <f>'Dry_Litterbag Placem_Collection'!A6</f>
        <v>4</v>
      </c>
      <c r="C665" s="263" t="str">
        <f>'Dry_Litterbag Placem_Collection'!B6</f>
        <v>Makao</v>
      </c>
      <c r="D665" s="263" t="s">
        <v>2659</v>
      </c>
      <c r="E665" s="263" t="s">
        <v>2660</v>
      </c>
      <c r="F665" s="263">
        <v>1</v>
      </c>
      <c r="G665" s="264" t="str">
        <f>'Dry_Litterbag Placem_Collection'!C6</f>
        <v>Dry_Ag1_T4</v>
      </c>
      <c r="H665" s="273" t="s">
        <v>3651</v>
      </c>
      <c r="I665" s="274" t="s">
        <v>298</v>
      </c>
      <c r="J665" s="263" t="str">
        <f>IF(ISBLANK('Dry_Litterbag Placem_Collection'!M6),"","R"&amp;""&amp;'Dry_Litterbag Placem_Collection'!M6)</f>
        <v>R298</v>
      </c>
      <c r="K665" s="267">
        <f>IFERROR(INDEX('Green_rooibos initial weight'!$C$5:$C$1749,MATCH(J665, 'Green_rooibos initial weight'!$A$5:$A$1749,0)),"")</f>
        <v>2.2229999999999999</v>
      </c>
      <c r="L665" s="267">
        <f>IFERROR(K665-(TBIcalc!$Q$9+TBIcalc!$Q$10),"")</f>
        <v>1.9731999999999998</v>
      </c>
      <c r="M665" s="391">
        <f>AVERAGE(Ashed_controlls!$K$12:$K$14)</f>
        <v>2.2816647271287041</v>
      </c>
      <c r="N665" s="267">
        <f t="shared" si="51"/>
        <v>1.9281781916042962</v>
      </c>
      <c r="O665" s="267">
        <f>IF(IFERROR(INDEX('Both teabags AfterDry'!$D$3:$D$900,MATCH(J665,'Both teabags AfterDry'!$A$3:$A$900,0)),"")="","",(IFERROR(INDEX('Both teabags AfterDry'!$D$3:$D$900,MATCH(J665,'Both teabags AfterDry'!$A$3:$A$900,0)),"")))</f>
        <v>1.9487000000000001</v>
      </c>
      <c r="P665" s="267">
        <f>IFERROR(IF(O665&gt;0,O665-(TBIcalc!$Q$9),""),"")</f>
        <v>1.7981</v>
      </c>
      <c r="Q665" s="278">
        <f>IFERROR(INDEX('Ashed teabags dry'!$K$2:$K$825,MATCH(J665,'Ashed teabags dry'!$A$2:$A$825,0)),"")</f>
        <v>2.1226415094341604</v>
      </c>
      <c r="R665" s="278">
        <f t="shared" si="52"/>
        <v>1.7599327830188645</v>
      </c>
      <c r="S665" s="268">
        <f>'Dry_Litterbag Placem_Collection'!E6</f>
        <v>42938</v>
      </c>
      <c r="T665" s="268">
        <f>IF('Dry_Litterbag Placem_Collection'!G6="","",'Dry_Litterbag Placem_Collection'!G6)</f>
        <v>43007</v>
      </c>
      <c r="U665" s="269">
        <f t="shared" si="50"/>
        <v>69</v>
      </c>
      <c r="V665" s="267">
        <f t="shared" si="53"/>
        <v>0.17509999999999981</v>
      </c>
      <c r="W665" s="267">
        <f t="shared" si="54"/>
        <v>0.16824540858543169</v>
      </c>
      <c r="X665" s="271">
        <f>IFERROR(INDEX(Rainfall_Dry!$O$2:$O$217,MATCH(B665, Rainfall_Dry!$A$2:$A$217,0)),"")</f>
        <v>6.900000125</v>
      </c>
      <c r="Y665" s="260">
        <v>12.565665055683967</v>
      </c>
      <c r="Z665" s="260">
        <v>0.9665896196679955</v>
      </c>
      <c r="AA665" s="260">
        <v>86.467745324648035</v>
      </c>
      <c r="AB665" s="261" t="s">
        <v>2672</v>
      </c>
      <c r="AC665" s="260">
        <v>4.02257269590931</v>
      </c>
      <c r="AD665" t="str">
        <f>IF('WetLitterbags placem_collection'!AB6="","",'WetLitterbags placem_collection'!AB6)</f>
        <v/>
      </c>
      <c r="AE665" t="str">
        <f>IF('WetLitterbags placem_collection'!Z6="","",'WetLitterbags placem_collection'!Z6)</f>
        <v/>
      </c>
      <c r="AF665" s="246" t="str">
        <f>IF('WetLitterbags placem_collection'!AA6="","",'WetLitterbags placem_collection'!AA6)</f>
        <v/>
      </c>
      <c r="AG665" t="str">
        <f>IF('WetLitterbags placem_collection'!AC6="","",'WetLitterbags placem_collection'!AC6)</f>
        <v/>
      </c>
      <c r="AH665">
        <f>IFERROR(AVERAGE('Dry_Litterbag Placem_Collection'!O6,'Dry_Litterbag Placem_Collection'!R6),"")</f>
        <v>2.25</v>
      </c>
      <c r="AI665" s="271">
        <f>IFERROR(AVERAGE('Dry_Litterbag Placem_Collection'!N6,'Dry_Litterbag Placem_Collection'!Q6),"")</f>
        <v>27.35</v>
      </c>
      <c r="AJ665" s="270">
        <f>INDEX(Coordinates!$B$2:$B$197,MATCH(G665,Coordinates!$J$2:$J$197,0))</f>
        <v>-3.3977780399999999</v>
      </c>
      <c r="AK665" s="270">
        <f>INDEX(Coordinates!$C$2:$C$197,MATCH(G665,Coordinates!$J$2:$J$197,0))</f>
        <v>34.83751204</v>
      </c>
      <c r="AL665" s="270" t="str">
        <f>IF(ISNUMBER(SEARCH("C", 'Dry_Litterbag Placem_Collection'!V6)),"YES","NO")</f>
        <v>NO</v>
      </c>
      <c r="AM665" s="270" t="str">
        <f>IF(ISNUMBER(SEARCH("H", 'Dry_Litterbag Placem_Collection'!V6)),"YES","NO")</f>
        <v>NO</v>
      </c>
      <c r="AN665" s="270" t="str">
        <f>IF(ISNUMBER(SEARCH("R", 'Dry_Litterbag Placem_Collection'!V6)),"YES","NO")</f>
        <v>NO</v>
      </c>
    </row>
    <row r="666" spans="1:40" ht="15" customHeight="1">
      <c r="A666" s="262" t="s">
        <v>2659</v>
      </c>
      <c r="B666" s="263">
        <f>'Dry_Litterbag Placem_Collection'!A7</f>
        <v>5</v>
      </c>
      <c r="C666" s="263" t="str">
        <f>'Dry_Litterbag Placem_Collection'!B7</f>
        <v>Makao</v>
      </c>
      <c r="D666" s="263" t="s">
        <v>2659</v>
      </c>
      <c r="E666" s="263" t="s">
        <v>2660</v>
      </c>
      <c r="F666" s="263">
        <v>1</v>
      </c>
      <c r="G666" s="264" t="str">
        <f>'Dry_Litterbag Placem_Collection'!C7</f>
        <v>Dry_Ag1_T5</v>
      </c>
      <c r="H666" s="273" t="s">
        <v>3651</v>
      </c>
      <c r="I666" s="274" t="s">
        <v>298</v>
      </c>
      <c r="J666" s="263" t="str">
        <f>IF(ISBLANK('Dry_Litterbag Placem_Collection'!M7),"","R"&amp;""&amp;'Dry_Litterbag Placem_Collection'!M7)</f>
        <v>R226</v>
      </c>
      <c r="K666" s="267">
        <f>IFERROR(INDEX('Green_rooibos initial weight'!$C$5:$C$1749,MATCH(J666, 'Green_rooibos initial weight'!$A$5:$A$1749,0)),"")</f>
        <v>2.2410000000000001</v>
      </c>
      <c r="L666" s="267">
        <f>IFERROR(K666-(TBIcalc!$Q$9+TBIcalc!$Q$10),"")</f>
        <v>1.9912000000000001</v>
      </c>
      <c r="M666" s="391">
        <f>AVERAGE(Ashed_controlls!$K$12:$K$14)</f>
        <v>2.2816647271287041</v>
      </c>
      <c r="N666" s="267">
        <f t="shared" si="51"/>
        <v>1.9457674919534134</v>
      </c>
      <c r="O666" s="267" t="str">
        <f>IF(IFERROR(INDEX('Both teabags AfterDry'!$D$3:$D$900,MATCH(J666,'Both teabags AfterDry'!$A$3:$A$900,0)),"")="","",(IFERROR(INDEX('Both teabags AfterDry'!$D$3:$D$900,MATCH(J666,'Both teabags AfterDry'!$A$3:$A$900,0)),"")))</f>
        <v/>
      </c>
      <c r="P666" s="267" t="str">
        <f>IFERROR(IF(O666&gt;0,O666-(TBIcalc!$Q$9),""),"")</f>
        <v/>
      </c>
      <c r="Q666" s="278" t="str">
        <f>IFERROR(INDEX('Ashed teabags dry'!$K$2:$K$825,MATCH(J666,'Ashed teabags dry'!$A$2:$A$825,0)),"")</f>
        <v/>
      </c>
      <c r="R666" s="278" t="str">
        <f t="shared" si="52"/>
        <v/>
      </c>
      <c r="S666" s="268">
        <f>'Dry_Litterbag Placem_Collection'!E7</f>
        <v>42938</v>
      </c>
      <c r="T666" s="268" t="str">
        <f>IF('Dry_Litterbag Placem_Collection'!G7="","",'Dry_Litterbag Placem_Collection'!G7)</f>
        <v/>
      </c>
      <c r="U666" s="269" t="str">
        <f t="shared" si="50"/>
        <v/>
      </c>
      <c r="V666" s="267" t="str">
        <f t="shared" si="53"/>
        <v/>
      </c>
      <c r="W666" s="267" t="str">
        <f t="shared" si="54"/>
        <v/>
      </c>
      <c r="X666" s="271" t="str">
        <f>IFERROR(INDEX(Rainfall_Dry!$O$2:$O$217,MATCH(B666, Rainfall_Dry!$A$2:$A$217,0)),"")</f>
        <v/>
      </c>
      <c r="Y666" s="260">
        <v>12.565665055683967</v>
      </c>
      <c r="Z666" s="260">
        <v>0.9665896196679955</v>
      </c>
      <c r="AA666" s="260">
        <v>86.467745324648035</v>
      </c>
      <c r="AB666" s="261" t="s">
        <v>2672</v>
      </c>
      <c r="AC666" s="260">
        <v>5.02257269590931</v>
      </c>
      <c r="AD666">
        <f>IF('WetLitterbags placem_collection'!AB7="","",'WetLitterbags placem_collection'!AB7)</f>
        <v>28.4</v>
      </c>
      <c r="AE666">
        <f>IF('WetLitterbags placem_collection'!Z7="","",'WetLitterbags placem_collection'!Z7)</f>
        <v>36.4</v>
      </c>
      <c r="AF666" s="246" t="str">
        <f>IF('WetLitterbags placem_collection'!AA7="","",'WetLitterbags placem_collection'!AA7)</f>
        <v>M</v>
      </c>
      <c r="AG666">
        <f>IF('WetLitterbags placem_collection'!AC7="","",'WetLitterbags placem_collection'!AC7)</f>
        <v>1</v>
      </c>
      <c r="AH666">
        <f>IFERROR(AVERAGE('Dry_Litterbag Placem_Collection'!O7,'Dry_Litterbag Placem_Collection'!R7),"")</f>
        <v>3.2</v>
      </c>
      <c r="AI666" s="271">
        <f>IFERROR(AVERAGE('Dry_Litterbag Placem_Collection'!N7,'Dry_Litterbag Placem_Collection'!Q7),"")</f>
        <v>26.7</v>
      </c>
      <c r="AJ666" s="270">
        <f>INDEX(Coordinates!$B$2:$B$197,MATCH(G666,Coordinates!$J$2:$J$197,0))</f>
        <v>-3.3978020120000001</v>
      </c>
      <c r="AK666" s="270">
        <f>INDEX(Coordinates!$C$2:$C$197,MATCH(G666,Coordinates!$J$2:$J$197,0))</f>
        <v>34.83751204</v>
      </c>
      <c r="AL666" s="270" t="str">
        <f>IF(ISNUMBER(SEARCH("C", 'Dry_Litterbag Placem_Collection'!V7)),"YES","NO")</f>
        <v>NO</v>
      </c>
      <c r="AM666" s="270" t="str">
        <f>IF(ISNUMBER(SEARCH("H", 'Dry_Litterbag Placem_Collection'!V7)),"YES","NO")</f>
        <v>NO</v>
      </c>
      <c r="AN666" s="270" t="str">
        <f>IF(ISNUMBER(SEARCH("R", 'Dry_Litterbag Placem_Collection'!V7)),"YES","NO")</f>
        <v>NO</v>
      </c>
    </row>
    <row r="667" spans="1:40" ht="15" customHeight="1">
      <c r="A667" s="262" t="s">
        <v>2659</v>
      </c>
      <c r="B667" s="263">
        <f>'Dry_Litterbag Placem_Collection'!A8</f>
        <v>6</v>
      </c>
      <c r="C667" s="263" t="str">
        <f>'Dry_Litterbag Placem_Collection'!B8</f>
        <v>Makao</v>
      </c>
      <c r="D667" s="263" t="s">
        <v>2659</v>
      </c>
      <c r="E667" s="263" t="s">
        <v>2660</v>
      </c>
      <c r="F667" s="263">
        <v>1</v>
      </c>
      <c r="G667" s="264" t="str">
        <f>'Dry_Litterbag Placem_Collection'!C8</f>
        <v>Dry_Ag1_T6</v>
      </c>
      <c r="H667" s="273" t="s">
        <v>3651</v>
      </c>
      <c r="I667" s="274" t="s">
        <v>298</v>
      </c>
      <c r="J667" s="263" t="str">
        <f>IF(ISBLANK('Dry_Litterbag Placem_Collection'!M8),"","R"&amp;""&amp;'Dry_Litterbag Placem_Collection'!M8)</f>
        <v>R286</v>
      </c>
      <c r="K667" s="267">
        <f>IFERROR(INDEX('Green_rooibos initial weight'!$C$5:$C$1749,MATCH(J667, 'Green_rooibos initial weight'!$A$5:$A$1749,0)),"")</f>
        <v>2.2160000000000002</v>
      </c>
      <c r="L667" s="267">
        <f>IFERROR(K667-(TBIcalc!$Q$9+TBIcalc!$Q$10),"")</f>
        <v>1.9662000000000002</v>
      </c>
      <c r="M667" s="391">
        <f>AVERAGE(Ashed_controlls!$K$12:$K$14)</f>
        <v>2.2816647271287041</v>
      </c>
      <c r="N667" s="267">
        <f t="shared" si="51"/>
        <v>1.9213379081351956</v>
      </c>
      <c r="O667" s="267" t="str">
        <f>IF(IFERROR(INDEX('Both teabags AfterDry'!$D$3:$D$900,MATCH(J667,'Both teabags AfterDry'!$A$3:$A$900,0)),"")="","",(IFERROR(INDEX('Both teabags AfterDry'!$D$3:$D$900,MATCH(J667,'Both teabags AfterDry'!$A$3:$A$900,0)),"")))</f>
        <v/>
      </c>
      <c r="P667" s="267" t="str">
        <f>IFERROR(IF(O667&gt;0,O667-(TBIcalc!$Q$9),""),"")</f>
        <v/>
      </c>
      <c r="Q667" s="278" t="str">
        <f>IFERROR(INDEX('Ashed teabags dry'!$K$2:$K$825,MATCH(J667,'Ashed teabags dry'!$A$2:$A$825,0)),"")</f>
        <v/>
      </c>
      <c r="R667" s="278" t="str">
        <f t="shared" si="52"/>
        <v/>
      </c>
      <c r="S667" s="268">
        <f>'Dry_Litterbag Placem_Collection'!E8</f>
        <v>42938</v>
      </c>
      <c r="T667" s="268">
        <f>IF('Dry_Litterbag Placem_Collection'!G8="","",'Dry_Litterbag Placem_Collection'!G8)</f>
        <v>43007</v>
      </c>
      <c r="U667" s="269">
        <f t="shared" si="50"/>
        <v>69</v>
      </c>
      <c r="V667" s="267" t="str">
        <f t="shared" si="53"/>
        <v/>
      </c>
      <c r="W667" s="267" t="str">
        <f t="shared" si="54"/>
        <v/>
      </c>
      <c r="X667" s="271">
        <f>IFERROR(INDEX(Rainfall_Dry!$O$2:$O$217,MATCH(B667, Rainfall_Dry!$A$2:$A$217,0)),"")</f>
        <v>6.900000125</v>
      </c>
      <c r="Y667" s="260">
        <v>12.565665055683967</v>
      </c>
      <c r="Z667" s="260">
        <v>0.9665896196679955</v>
      </c>
      <c r="AA667" s="260">
        <v>86.467745324648035</v>
      </c>
      <c r="AB667" s="261" t="s">
        <v>2672</v>
      </c>
      <c r="AC667" s="260">
        <v>6.02257269590931</v>
      </c>
      <c r="AD667">
        <f>IF('WetLitterbags placem_collection'!AB8="","",'WetLitterbags placem_collection'!AB8)</f>
        <v>32.4</v>
      </c>
      <c r="AE667">
        <f>IF('WetLitterbags placem_collection'!Z8="","",'WetLitterbags placem_collection'!Z8)</f>
        <v>31</v>
      </c>
      <c r="AF667" s="246" t="str">
        <f>IF('WetLitterbags placem_collection'!AA8="","",'WetLitterbags placem_collection'!AA8)</f>
        <v>M</v>
      </c>
      <c r="AG667">
        <f>IF('WetLitterbags placem_collection'!AC8="","",'WetLitterbags placem_collection'!AC8)</f>
        <v>1</v>
      </c>
      <c r="AH667">
        <f>IFERROR(AVERAGE('Dry_Litterbag Placem_Collection'!O8,'Dry_Litterbag Placem_Collection'!R8),"")</f>
        <v>5.35</v>
      </c>
      <c r="AI667" s="271">
        <f>IFERROR(AVERAGE('Dry_Litterbag Placem_Collection'!N8,'Dry_Litterbag Placem_Collection'!Q8),"")</f>
        <v>26.6</v>
      </c>
      <c r="AJ667" s="270">
        <f>INDEX(Coordinates!$B$2:$B$197,MATCH(G667,Coordinates!$J$2:$J$197,0))</f>
        <v>-3.3977389800000002</v>
      </c>
      <c r="AK667" s="270">
        <f>INDEX(Coordinates!$C$2:$C$197,MATCH(G667,Coordinates!$J$2:$J$197,0))</f>
        <v>34.837501979999999</v>
      </c>
      <c r="AL667" s="270" t="str">
        <f>IF(ISNUMBER(SEARCH("C", 'Dry_Litterbag Placem_Collection'!V8)),"YES","NO")</f>
        <v>NO</v>
      </c>
      <c r="AM667" s="270" t="str">
        <f>IF(ISNUMBER(SEARCH("H", 'Dry_Litterbag Placem_Collection'!V8)),"YES","NO")</f>
        <v>NO</v>
      </c>
      <c r="AN667" s="270" t="str">
        <f>IF(ISNUMBER(SEARCH("R", 'Dry_Litterbag Placem_Collection'!V8)),"YES","NO")</f>
        <v>NO</v>
      </c>
    </row>
    <row r="668" spans="1:40" ht="15" customHeight="1">
      <c r="A668" s="262" t="s">
        <v>2659</v>
      </c>
      <c r="B668" s="263">
        <f>'Dry_Litterbag Placem_Collection'!A9</f>
        <v>7</v>
      </c>
      <c r="C668" s="263" t="str">
        <f>'Dry_Litterbag Placem_Collection'!B9</f>
        <v>Makao</v>
      </c>
      <c r="D668" s="263" t="s">
        <v>2659</v>
      </c>
      <c r="E668" s="263" t="s">
        <v>2660</v>
      </c>
      <c r="F668" s="263">
        <v>1</v>
      </c>
      <c r="G668" s="264" t="str">
        <f>'Dry_Litterbag Placem_Collection'!C9</f>
        <v>Dry_Ag1_T7</v>
      </c>
      <c r="H668" s="273" t="s">
        <v>3651</v>
      </c>
      <c r="I668" s="274" t="s">
        <v>298</v>
      </c>
      <c r="J668" s="263" t="str">
        <f>IF(ISBLANK('Dry_Litterbag Placem_Collection'!M9),"","R"&amp;""&amp;'Dry_Litterbag Placem_Collection'!M9)</f>
        <v>R210</v>
      </c>
      <c r="K668" s="267">
        <f>IFERROR(INDEX('Green_rooibos initial weight'!$C$5:$C$1749,MATCH(J668, 'Green_rooibos initial weight'!$A$5:$A$1749,0)),"")</f>
        <v>2.2429999999999999</v>
      </c>
      <c r="L668" s="267">
        <f>IFERROR(K668-(TBIcalc!$Q$9+TBIcalc!$Q$10),"")</f>
        <v>1.9931999999999999</v>
      </c>
      <c r="M668" s="391">
        <f>AVERAGE(Ashed_controlls!$K$12:$K$14)</f>
        <v>2.2816647271287041</v>
      </c>
      <c r="N668" s="267">
        <f t="shared" si="51"/>
        <v>1.9477218586588705</v>
      </c>
      <c r="O668" s="267">
        <f>IF(IFERROR(INDEX('Both teabags AfterDry'!$D$3:$D$900,MATCH(J668,'Both teabags AfterDry'!$A$3:$A$900,0)),"")="","",(IFERROR(INDEX('Both teabags AfterDry'!$D$3:$D$900,MATCH(J668,'Both teabags AfterDry'!$A$3:$A$900,0)),"")))</f>
        <v>2.0261</v>
      </c>
      <c r="P668" s="267">
        <f>IFERROR(IF(O668&gt;0,O668-(TBIcalc!$Q$9),""),"")</f>
        <v>1.8754999999999999</v>
      </c>
      <c r="Q668" s="278">
        <f>IFERROR(INDEX('Ashed teabags dry'!$K$2:$K$825,MATCH(J668,'Ashed teabags dry'!$A$2:$A$825,0)),"")</f>
        <v>3.0331753554506005</v>
      </c>
      <c r="R668" s="278">
        <f t="shared" si="52"/>
        <v>1.8186127962085239</v>
      </c>
      <c r="S668" s="268">
        <f>'Dry_Litterbag Placem_Collection'!E9</f>
        <v>42938</v>
      </c>
      <c r="T668" s="268">
        <f>IF('Dry_Litterbag Placem_Collection'!G9="","",'Dry_Litterbag Placem_Collection'!G9)</f>
        <v>43007</v>
      </c>
      <c r="U668" s="269">
        <f t="shared" si="50"/>
        <v>69</v>
      </c>
      <c r="V668" s="267">
        <f t="shared" si="53"/>
        <v>0.11769999999999992</v>
      </c>
      <c r="W668" s="267">
        <f t="shared" si="54"/>
        <v>0.12910906245034659</v>
      </c>
      <c r="X668" s="271">
        <f>IFERROR(INDEX(Rainfall_Dry!$O$2:$O$217,MATCH(B668, Rainfall_Dry!$A$2:$A$217,0)),"")</f>
        <v>6.900000125</v>
      </c>
      <c r="Y668" s="260">
        <v>12.565665055683967</v>
      </c>
      <c r="Z668" s="260">
        <v>0.9665896196679955</v>
      </c>
      <c r="AA668" s="260">
        <v>86.467745324648035</v>
      </c>
      <c r="AB668" s="261" t="s">
        <v>2672</v>
      </c>
      <c r="AC668" s="260">
        <v>7.02257269590931</v>
      </c>
      <c r="AD668">
        <f>IF('WetLitterbags placem_collection'!AB9="","",'WetLitterbags placem_collection'!AB9)</f>
        <v>36</v>
      </c>
      <c r="AE668">
        <f>IF('WetLitterbags placem_collection'!Z9="","",'WetLitterbags placem_collection'!Z9)</f>
        <v>43.4</v>
      </c>
      <c r="AF668" s="246" t="str">
        <f>IF('WetLitterbags placem_collection'!AA9="","",'WetLitterbags placem_collection'!AA9)</f>
        <v>M</v>
      </c>
      <c r="AG668">
        <f>IF('WetLitterbags placem_collection'!AC9="","",'WetLitterbags placem_collection'!AC9)</f>
        <v>1</v>
      </c>
      <c r="AH668">
        <f>IFERROR(AVERAGE('Dry_Litterbag Placem_Collection'!O9,'Dry_Litterbag Placem_Collection'!R9),"")</f>
        <v>2.95</v>
      </c>
      <c r="AI668" s="271">
        <f>IFERROR(AVERAGE('Dry_Litterbag Placem_Collection'!N9,'Dry_Litterbag Placem_Collection'!Q9),"")</f>
        <v>24.75</v>
      </c>
      <c r="AJ668" s="270">
        <f>INDEX(Coordinates!$B$2:$B$197,MATCH(G668,Coordinates!$J$2:$J$197,0))</f>
        <v>-3.3977630360000002</v>
      </c>
      <c r="AK668" s="270">
        <f>INDEX(Coordinates!$C$2:$C$197,MATCH(G668,Coordinates!$J$2:$J$197,0))</f>
        <v>34.837600969999997</v>
      </c>
      <c r="AL668" s="270" t="str">
        <f>IF(ISNUMBER(SEARCH("C", 'Dry_Litterbag Placem_Collection'!V9)),"YES","NO")</f>
        <v>NO</v>
      </c>
      <c r="AM668" s="270" t="str">
        <f>IF(ISNUMBER(SEARCH("H", 'Dry_Litterbag Placem_Collection'!V9)),"YES","NO")</f>
        <v>NO</v>
      </c>
      <c r="AN668" s="270" t="str">
        <f>IF(ISNUMBER(SEARCH("R", 'Dry_Litterbag Placem_Collection'!V9)),"YES","NO")</f>
        <v>NO</v>
      </c>
    </row>
    <row r="669" spans="1:40" ht="15" customHeight="1">
      <c r="A669" s="262" t="s">
        <v>2659</v>
      </c>
      <c r="B669" s="263">
        <f>'Dry_Litterbag Placem_Collection'!A10</f>
        <v>8</v>
      </c>
      <c r="C669" s="263" t="str">
        <f>'Dry_Litterbag Placem_Collection'!B10</f>
        <v>Makao</v>
      </c>
      <c r="D669" s="263" t="s">
        <v>2659</v>
      </c>
      <c r="E669" s="263" t="s">
        <v>2660</v>
      </c>
      <c r="F669" s="263">
        <v>1</v>
      </c>
      <c r="G669" s="264" t="str">
        <f>'Dry_Litterbag Placem_Collection'!C10</f>
        <v>Dry_Ag1_T8</v>
      </c>
      <c r="H669" s="273" t="s">
        <v>3651</v>
      </c>
      <c r="I669" s="274" t="s">
        <v>298</v>
      </c>
      <c r="J669" s="263" t="str">
        <f>IF(ISBLANK('Dry_Litterbag Placem_Collection'!M10),"","R"&amp;""&amp;'Dry_Litterbag Placem_Collection'!M10)</f>
        <v>R213</v>
      </c>
      <c r="K669" s="267">
        <f>IFERROR(INDEX('Green_rooibos initial weight'!$C$5:$C$1749,MATCH(J669, 'Green_rooibos initial weight'!$A$5:$A$1749,0)),"")</f>
        <v>2.254</v>
      </c>
      <c r="L669" s="267">
        <f>IFERROR(K669-(TBIcalc!$Q$9+TBIcalc!$Q$10),"")</f>
        <v>2.0042</v>
      </c>
      <c r="M669" s="391">
        <f>AVERAGE(Ashed_controlls!$K$12:$K$14)</f>
        <v>2.2816647271287041</v>
      </c>
      <c r="N669" s="267">
        <f t="shared" si="51"/>
        <v>1.9584708755388864</v>
      </c>
      <c r="O669" s="267">
        <f>IF(IFERROR(INDEX('Both teabags AfterDry'!$D$3:$D$900,MATCH(J669,'Both teabags AfterDry'!$A$3:$A$900,0)),"")="","",(IFERROR(INDEX('Both teabags AfterDry'!$D$3:$D$900,MATCH(J669,'Both teabags AfterDry'!$A$3:$A$900,0)),"")))</f>
        <v>1.7698</v>
      </c>
      <c r="P669" s="267">
        <f>IFERROR(IF(O669&gt;0,O669-(TBIcalc!$Q$9),""),"")</f>
        <v>1.6192</v>
      </c>
      <c r="Q669" s="278">
        <f>IFERROR(INDEX('Ashed teabags dry'!$K$2:$K$825,MATCH(J669,'Ashed teabags dry'!$A$2:$A$825,0)),"")</f>
        <v>2.3334747560458351</v>
      </c>
      <c r="R669" s="278">
        <f t="shared" si="52"/>
        <v>1.5814163767501057</v>
      </c>
      <c r="S669" s="268">
        <f>'Dry_Litterbag Placem_Collection'!E10</f>
        <v>42938</v>
      </c>
      <c r="T669" s="268">
        <f>IF('Dry_Litterbag Placem_Collection'!G10="","",'Dry_Litterbag Placem_Collection'!G10)</f>
        <v>43007</v>
      </c>
      <c r="U669" s="269">
        <f t="shared" si="50"/>
        <v>69</v>
      </c>
      <c r="V669" s="267">
        <f t="shared" si="53"/>
        <v>0.38500000000000001</v>
      </c>
      <c r="W669" s="267">
        <f t="shared" si="54"/>
        <v>0.37705449878878072</v>
      </c>
      <c r="X669" s="271">
        <f>IFERROR(INDEX(Rainfall_Dry!$O$2:$O$217,MATCH(B669, Rainfall_Dry!$A$2:$A$217,0)),"")</f>
        <v>6.900000125</v>
      </c>
      <c r="Y669" s="260">
        <v>12.565665055683967</v>
      </c>
      <c r="Z669" s="260">
        <v>0.9665896196679955</v>
      </c>
      <c r="AA669" s="260">
        <v>86.467745324648035</v>
      </c>
      <c r="AB669" s="261" t="s">
        <v>2672</v>
      </c>
      <c r="AC669" s="260">
        <v>8.0225726959093109</v>
      </c>
      <c r="AD669">
        <f>IF('WetLitterbags placem_collection'!AB10="","",'WetLitterbags placem_collection'!AB10)</f>
        <v>36</v>
      </c>
      <c r="AE669">
        <f>IF('WetLitterbags placem_collection'!Z10="","",'WetLitterbags placem_collection'!Z10)</f>
        <v>38.4</v>
      </c>
      <c r="AF669" s="246" t="str">
        <f>IF('WetLitterbags placem_collection'!AA10="","",'WetLitterbags placem_collection'!AA10)</f>
        <v>M</v>
      </c>
      <c r="AG669" t="str">
        <f>IF('WetLitterbags placem_collection'!AC10="","",'WetLitterbags placem_collection'!AC10)</f>
        <v/>
      </c>
      <c r="AH669">
        <f>IFERROR(AVERAGE('Dry_Litterbag Placem_Collection'!O10,'Dry_Litterbag Placem_Collection'!R10),"")</f>
        <v>2.5999999999999996</v>
      </c>
      <c r="AI669" s="271">
        <f>IFERROR(AVERAGE('Dry_Litterbag Placem_Collection'!N10,'Dry_Litterbag Placem_Collection'!Q10),"")</f>
        <v>26</v>
      </c>
      <c r="AJ669" s="270">
        <f>INDEX(Coordinates!$B$2:$B$197,MATCH(G669,Coordinates!$J$2:$J$197,0))</f>
        <v>-3.3977320230000001</v>
      </c>
      <c r="AK669" s="270">
        <f>INDEX(Coordinates!$C$2:$C$197,MATCH(G669,Coordinates!$J$2:$J$197,0))</f>
        <v>34.837561989999998</v>
      </c>
      <c r="AL669" s="270" t="str">
        <f>IF(ISNUMBER(SEARCH("C", 'Dry_Litterbag Placem_Collection'!V10)),"YES","NO")</f>
        <v>NO</v>
      </c>
      <c r="AM669" s="270" t="str">
        <f>IF(ISNUMBER(SEARCH("H", 'Dry_Litterbag Placem_Collection'!V10)),"YES","NO")</f>
        <v>NO</v>
      </c>
      <c r="AN669" s="270" t="str">
        <f>IF(ISNUMBER(SEARCH("R", 'Dry_Litterbag Placem_Collection'!V10)),"YES","NO")</f>
        <v>NO</v>
      </c>
    </row>
    <row r="670" spans="1:40" ht="15" customHeight="1">
      <c r="A670" s="262" t="s">
        <v>2659</v>
      </c>
      <c r="B670" s="263">
        <f>'Dry_Litterbag Placem_Collection'!A11</f>
        <v>9</v>
      </c>
      <c r="C670" s="263" t="str">
        <f>'Dry_Litterbag Placem_Collection'!B11</f>
        <v>Makao</v>
      </c>
      <c r="D670" s="263" t="s">
        <v>2659</v>
      </c>
      <c r="E670" s="263" t="s">
        <v>2660</v>
      </c>
      <c r="F670" s="263">
        <v>2</v>
      </c>
      <c r="G670" s="264" t="str">
        <f>'Dry_Litterbag Placem_Collection'!C11</f>
        <v>Dry_Ag2_T1</v>
      </c>
      <c r="H670" s="273" t="s">
        <v>3651</v>
      </c>
      <c r="I670" s="274" t="s">
        <v>298</v>
      </c>
      <c r="J670" s="263" t="str">
        <f>IF(ISBLANK('Dry_Litterbag Placem_Collection'!M11),"","R"&amp;""&amp;'Dry_Litterbag Placem_Collection'!M11)</f>
        <v>R704</v>
      </c>
      <c r="K670" s="267">
        <f>IFERROR(INDEX('Green_rooibos initial weight'!$C$5:$C$1749,MATCH(J670, 'Green_rooibos initial weight'!$A$5:$A$1749,0)),"")</f>
        <v>2.1480000000000001</v>
      </c>
      <c r="L670" s="267">
        <f>IFERROR(K670-(TBIcalc!$Q$9+TBIcalc!$Q$10),"")</f>
        <v>1.8982000000000001</v>
      </c>
      <c r="M670" s="391">
        <f>AVERAGE(Ashed_controlls!$K$12:$K$14)</f>
        <v>2.2816647271287041</v>
      </c>
      <c r="N670" s="267">
        <f t="shared" si="51"/>
        <v>1.854889440149643</v>
      </c>
      <c r="O670" s="267">
        <f>IF(IFERROR(INDEX('Both teabags AfterDry'!$D$3:$D$900,MATCH(J670,'Both teabags AfterDry'!$A$3:$A$900,0)),"")="","",(IFERROR(INDEX('Both teabags AfterDry'!$D$3:$D$900,MATCH(J670,'Both teabags AfterDry'!$A$3:$A$900,0)),"")))</f>
        <v>1.9311</v>
      </c>
      <c r="P670" s="267">
        <f>IFERROR(IF(O670&gt;0,O670-(TBIcalc!$Q$9),""),"")</f>
        <v>1.7805</v>
      </c>
      <c r="Q670" s="278">
        <f>IFERROR(INDEX('Ashed teabags dry'!$K$2:$K$825,MATCH(J670,'Ashed teabags dry'!$A$2:$A$825,0)),"")</f>
        <v>2.4847632442568237</v>
      </c>
      <c r="R670" s="278">
        <f t="shared" si="52"/>
        <v>1.7362587904360072</v>
      </c>
      <c r="S670" s="268">
        <f>'Dry_Litterbag Placem_Collection'!E11</f>
        <v>42938</v>
      </c>
      <c r="T670" s="268">
        <f>IF('Dry_Litterbag Placem_Collection'!G11="","",'Dry_Litterbag Placem_Collection'!G11)</f>
        <v>43007</v>
      </c>
      <c r="U670" s="269">
        <f t="shared" si="50"/>
        <v>69</v>
      </c>
      <c r="V670" s="267">
        <f t="shared" si="53"/>
        <v>0.11770000000000014</v>
      </c>
      <c r="W670" s="267">
        <f t="shared" si="54"/>
        <v>0.11863064971363579</v>
      </c>
      <c r="X670" s="271">
        <f>IFERROR(INDEX(Rainfall_Dry!$O$2:$O$217,MATCH(B670, Rainfall_Dry!$A$2:$A$217,0)),"")</f>
        <v>6.900000125</v>
      </c>
      <c r="Y670" s="260">
        <v>21.13063730679653</v>
      </c>
      <c r="Z670" s="260">
        <v>3.0912555579081076</v>
      </c>
      <c r="AA670" s="260">
        <v>75.778107135295357</v>
      </c>
      <c r="AB670" s="261" t="s">
        <v>2670</v>
      </c>
      <c r="AC670" s="260">
        <v>0.46131099063578063</v>
      </c>
      <c r="AD670">
        <f>IF('WetLitterbags placem_collection'!AB11="","",'WetLitterbags placem_collection'!AB11)</f>
        <v>10.8</v>
      </c>
      <c r="AE670">
        <f>IF('WetLitterbags placem_collection'!Z11="","",'WetLitterbags placem_collection'!Z11)</f>
        <v>28.4</v>
      </c>
      <c r="AF670" s="246" t="str">
        <f>IF('WetLitterbags placem_collection'!AA11="","",'WetLitterbags placem_collection'!AA11)</f>
        <v>M</v>
      </c>
      <c r="AG670">
        <f>IF('WetLitterbags placem_collection'!AC11="","",'WetLitterbags placem_collection'!AC11)</f>
        <v>0</v>
      </c>
      <c r="AH670">
        <f>IFERROR(AVERAGE('Dry_Litterbag Placem_Collection'!O11,'Dry_Litterbag Placem_Collection'!R11),"")</f>
        <v>3.3</v>
      </c>
      <c r="AI670" s="271">
        <f>IFERROR(AVERAGE('Dry_Litterbag Placem_Collection'!N11,'Dry_Litterbag Placem_Collection'!Q11),"")</f>
        <v>26.15</v>
      </c>
      <c r="AJ670" s="270">
        <f>INDEX(Coordinates!$B$2:$B$197,MATCH(G670,Coordinates!$J$2:$J$197,0))</f>
        <v>-3.3978290019999999</v>
      </c>
      <c r="AK670" s="270">
        <f>INDEX(Coordinates!$C$2:$C$197,MATCH(G670,Coordinates!$J$2:$J$197,0))</f>
        <v>34.837011969999999</v>
      </c>
      <c r="AL670" s="270" t="str">
        <f>IF(ISNUMBER(SEARCH("C", 'Dry_Litterbag Placem_Collection'!V11)),"YES","NO")</f>
        <v>NO</v>
      </c>
      <c r="AM670" s="270" t="str">
        <f>IF(ISNUMBER(SEARCH("H", 'Dry_Litterbag Placem_Collection'!V11)),"YES","NO")</f>
        <v>NO</v>
      </c>
      <c r="AN670" s="270" t="str">
        <f>IF(ISNUMBER(SEARCH("R", 'Dry_Litterbag Placem_Collection'!V11)),"YES","NO")</f>
        <v>NO</v>
      </c>
    </row>
    <row r="671" spans="1:40" ht="15" customHeight="1">
      <c r="A671" s="262" t="s">
        <v>2659</v>
      </c>
      <c r="B671" s="263">
        <f>'Dry_Litterbag Placem_Collection'!A12</f>
        <v>10</v>
      </c>
      <c r="C671" s="263" t="str">
        <f>'Dry_Litterbag Placem_Collection'!B12</f>
        <v>Makao</v>
      </c>
      <c r="D671" s="263" t="s">
        <v>2659</v>
      </c>
      <c r="E671" s="263" t="s">
        <v>2660</v>
      </c>
      <c r="F671" s="263">
        <v>2</v>
      </c>
      <c r="G671" s="264" t="str">
        <f>'Dry_Litterbag Placem_Collection'!C12</f>
        <v>Dry_Ag2_T2</v>
      </c>
      <c r="H671" s="273" t="s">
        <v>3651</v>
      </c>
      <c r="I671" s="274" t="s">
        <v>298</v>
      </c>
      <c r="J671" s="263" t="str">
        <f>IF(ISBLANK('Dry_Litterbag Placem_Collection'!M12),"","R"&amp;""&amp;'Dry_Litterbag Placem_Collection'!M12)</f>
        <v>R355</v>
      </c>
      <c r="K671" s="267">
        <f>IFERROR(INDEX('Green_rooibos initial weight'!$C$5:$C$1749,MATCH(J671, 'Green_rooibos initial weight'!$A$5:$A$1749,0)),"")</f>
        <v>2.1850000000000001</v>
      </c>
      <c r="L671" s="267">
        <f>IFERROR(K671-(TBIcalc!$Q$9+TBIcalc!$Q$10),"")</f>
        <v>1.9352</v>
      </c>
      <c r="M671" s="391">
        <f>AVERAGE(Ashed_controlls!$K$12:$K$14)</f>
        <v>2.2816647271287041</v>
      </c>
      <c r="N671" s="267">
        <f t="shared" si="51"/>
        <v>1.8910452242006053</v>
      </c>
      <c r="O671" s="267" t="str">
        <f>IF(IFERROR(INDEX('Both teabags AfterDry'!$D$3:$D$900,MATCH(J671,'Both teabags AfterDry'!$A$3:$A$900,0)),"")="","",(IFERROR(INDEX('Both teabags AfterDry'!$D$3:$D$900,MATCH(J671,'Both teabags AfterDry'!$A$3:$A$900,0)),"")))</f>
        <v/>
      </c>
      <c r="P671" s="267" t="str">
        <f>IFERROR(IF(O671&gt;0,O671-(TBIcalc!$Q$9),""),"")</f>
        <v/>
      </c>
      <c r="Q671" s="278" t="str">
        <f>IFERROR(INDEX('Ashed teabags dry'!$K$2:$K$825,MATCH(J671,'Ashed teabags dry'!$A$2:$A$825,0)),"")</f>
        <v/>
      </c>
      <c r="R671" s="278" t="str">
        <f t="shared" si="52"/>
        <v/>
      </c>
      <c r="S671" s="268">
        <f>'Dry_Litterbag Placem_Collection'!E12</f>
        <v>42938</v>
      </c>
      <c r="T671" s="268" t="str">
        <f>IF('Dry_Litterbag Placem_Collection'!G12="","",'Dry_Litterbag Placem_Collection'!G12)</f>
        <v/>
      </c>
      <c r="U671" s="269" t="str">
        <f t="shared" si="50"/>
        <v/>
      </c>
      <c r="V671" s="267" t="str">
        <f t="shared" si="53"/>
        <v/>
      </c>
      <c r="W671" s="267" t="str">
        <f t="shared" si="54"/>
        <v/>
      </c>
      <c r="X671" s="271" t="str">
        <f>IFERROR(INDEX(Rainfall_Dry!$O$2:$O$217,MATCH(B671, Rainfall_Dry!$A$2:$A$217,0)),"")</f>
        <v/>
      </c>
      <c r="Y671" s="260">
        <v>21.13063730679653</v>
      </c>
      <c r="Z671" s="260">
        <v>3.0912555579081076</v>
      </c>
      <c r="AA671" s="260">
        <v>75.778107135295357</v>
      </c>
      <c r="AB671" s="261" t="s">
        <v>2670</v>
      </c>
      <c r="AC671" s="260">
        <v>1.46131099063578</v>
      </c>
      <c r="AD671">
        <f>IF('WetLitterbags placem_collection'!AB12="","",'WetLitterbags placem_collection'!AB12)</f>
        <v>16.8</v>
      </c>
      <c r="AE671">
        <f>IF('WetLitterbags placem_collection'!Z12="","",'WetLitterbags placem_collection'!Z12)</f>
        <v>30</v>
      </c>
      <c r="AF671" s="246" t="str">
        <f>IF('WetLitterbags placem_collection'!AA12="","",'WetLitterbags placem_collection'!AA12)</f>
        <v>M</v>
      </c>
      <c r="AG671">
        <f>IF('WetLitterbags placem_collection'!AC12="","",'WetLitterbags placem_collection'!AC12)</f>
        <v>0</v>
      </c>
      <c r="AH671">
        <f>IFERROR(AVERAGE('Dry_Litterbag Placem_Collection'!O12,'Dry_Litterbag Placem_Collection'!R12),"")</f>
        <v>1.5</v>
      </c>
      <c r="AI671" s="271">
        <f>IFERROR(AVERAGE('Dry_Litterbag Placem_Collection'!N12,'Dry_Litterbag Placem_Collection'!Q12),"")</f>
        <v>26.1</v>
      </c>
      <c r="AJ671" s="270">
        <f>INDEX(Coordinates!$B$2:$B$197,MATCH(G671,Coordinates!$J$2:$J$197,0))</f>
        <v>-3.3978119869999999</v>
      </c>
      <c r="AK671" s="270">
        <f>INDEX(Coordinates!$C$2:$C$197,MATCH(G671,Coordinates!$J$2:$J$197,0))</f>
        <v>34.836968980000002</v>
      </c>
      <c r="AL671" s="270" t="str">
        <f>IF(ISNUMBER(SEARCH("C", 'Dry_Litterbag Placem_Collection'!V12)),"YES","NO")</f>
        <v>NO</v>
      </c>
      <c r="AM671" s="270" t="str">
        <f>IF(ISNUMBER(SEARCH("H", 'Dry_Litterbag Placem_Collection'!V12)),"YES","NO")</f>
        <v>NO</v>
      </c>
      <c r="AN671" s="270" t="str">
        <f>IF(ISNUMBER(SEARCH("R", 'Dry_Litterbag Placem_Collection'!V12)),"YES","NO")</f>
        <v>NO</v>
      </c>
    </row>
    <row r="672" spans="1:40" ht="15" customHeight="1">
      <c r="A672" s="262" t="s">
        <v>2659</v>
      </c>
      <c r="B672" s="263">
        <f>'Dry_Litterbag Placem_Collection'!A13</f>
        <v>11</v>
      </c>
      <c r="C672" s="263" t="str">
        <f>'Dry_Litterbag Placem_Collection'!B13</f>
        <v>Makao</v>
      </c>
      <c r="D672" s="263" t="s">
        <v>2659</v>
      </c>
      <c r="E672" s="263" t="s">
        <v>2660</v>
      </c>
      <c r="F672" s="263">
        <v>2</v>
      </c>
      <c r="G672" s="264" t="str">
        <f>'Dry_Litterbag Placem_Collection'!C13</f>
        <v>Dry_Ag2_T3</v>
      </c>
      <c r="H672" s="273" t="s">
        <v>3651</v>
      </c>
      <c r="I672" s="274" t="s">
        <v>298</v>
      </c>
      <c r="J672" s="263" t="str">
        <f>IF(ISBLANK('Dry_Litterbag Placem_Collection'!M13),"","R"&amp;""&amp;'Dry_Litterbag Placem_Collection'!M13)</f>
        <v>R616</v>
      </c>
      <c r="K672" s="267">
        <f>IFERROR(INDEX('Green_rooibos initial weight'!$C$5:$C$1749,MATCH(J672, 'Green_rooibos initial weight'!$A$5:$A$1749,0)),"")</f>
        <v>2.1739999999999999</v>
      </c>
      <c r="L672" s="267">
        <f>IFERROR(K672-(TBIcalc!$Q$9+TBIcalc!$Q$10),"")</f>
        <v>1.9241999999999999</v>
      </c>
      <c r="M672" s="391">
        <f>AVERAGE(Ashed_controlls!$K$12:$K$14)</f>
        <v>2.2816647271287041</v>
      </c>
      <c r="N672" s="267">
        <f t="shared" si="51"/>
        <v>1.8802962073205893</v>
      </c>
      <c r="O672" s="267">
        <f>IF(IFERROR(INDEX('Both teabags AfterDry'!$D$3:$D$900,MATCH(J672,'Both teabags AfterDry'!$A$3:$A$900,0)),"")="","",(IFERROR(INDEX('Both teabags AfterDry'!$D$3:$D$900,MATCH(J672,'Both teabags AfterDry'!$A$3:$A$900,0)),"")))</f>
        <v>1.9423999999999999</v>
      </c>
      <c r="P672" s="267">
        <f>IFERROR(IF(O672&gt;0,O672-(TBIcalc!$Q$9),""),"")</f>
        <v>1.7917999999999998</v>
      </c>
      <c r="Q672" s="278">
        <f>IFERROR(INDEX('Ashed teabags dry'!$K$2:$K$825,MATCH(J672,'Ashed teabags dry'!$A$2:$A$825,0)),"")</f>
        <v>2.5878906250002163</v>
      </c>
      <c r="R672" s="278">
        <f t="shared" si="52"/>
        <v>1.745430175781246</v>
      </c>
      <c r="S672" s="268">
        <f>'Dry_Litterbag Placem_Collection'!E13</f>
        <v>42938</v>
      </c>
      <c r="T672" s="268">
        <f>IF('Dry_Litterbag Placem_Collection'!G13="","",'Dry_Litterbag Placem_Collection'!G13)</f>
        <v>43007</v>
      </c>
      <c r="U672" s="269">
        <f t="shared" si="50"/>
        <v>69</v>
      </c>
      <c r="V672" s="267">
        <f t="shared" si="53"/>
        <v>0.13240000000000007</v>
      </c>
      <c r="W672" s="267">
        <f t="shared" si="54"/>
        <v>0.13486603153934329</v>
      </c>
      <c r="X672" s="271">
        <f>IFERROR(INDEX(Rainfall_Dry!$O$2:$O$217,MATCH(B672, Rainfall_Dry!$A$2:$A$217,0)),"")</f>
        <v>6.900000125</v>
      </c>
      <c r="Y672" s="260">
        <v>21.13063730679653</v>
      </c>
      <c r="Z672" s="260">
        <v>3.0912555579081076</v>
      </c>
      <c r="AA672" s="260">
        <v>75.778107135295357</v>
      </c>
      <c r="AB672" s="261" t="s">
        <v>2670</v>
      </c>
      <c r="AC672" s="260">
        <v>2.4613109906357802</v>
      </c>
      <c r="AD672">
        <f>IF('WetLitterbags placem_collection'!AB13="","",'WetLitterbags placem_collection'!AB13)</f>
        <v>11.4</v>
      </c>
      <c r="AE672">
        <f>IF('WetLitterbags placem_collection'!Z13="","",'WetLitterbags placem_collection'!Z13)</f>
        <v>24.4</v>
      </c>
      <c r="AF672" s="246" t="str">
        <f>IF('WetLitterbags placem_collection'!AA13="","",'WetLitterbags placem_collection'!AA13)</f>
        <v>M</v>
      </c>
      <c r="AG672">
        <f>IF('WetLitterbags placem_collection'!AC13="","",'WetLitterbags placem_collection'!AC13)</f>
        <v>0</v>
      </c>
      <c r="AH672">
        <f>IFERROR(AVERAGE('Dry_Litterbag Placem_Collection'!O13,'Dry_Litterbag Placem_Collection'!R13),"")</f>
        <v>5.3</v>
      </c>
      <c r="AI672" s="271">
        <f>IFERROR(AVERAGE('Dry_Litterbag Placem_Collection'!N13,'Dry_Litterbag Placem_Collection'!Q13),"")</f>
        <v>26.450000000000003</v>
      </c>
      <c r="AJ672" s="270">
        <f>INDEX(Coordinates!$B$2:$B$197,MATCH(G672,Coordinates!$J$2:$J$197,0))</f>
        <v>-3.3977929599999999</v>
      </c>
      <c r="AK672" s="270">
        <f>INDEX(Coordinates!$C$2:$C$197,MATCH(G672,Coordinates!$J$2:$J$197,0))</f>
        <v>34.837102999999999</v>
      </c>
      <c r="AL672" s="270" t="str">
        <f>IF(ISNUMBER(SEARCH("C", 'Dry_Litterbag Placem_Collection'!V13)),"YES","NO")</f>
        <v>NO</v>
      </c>
      <c r="AM672" s="270" t="str">
        <f>IF(ISNUMBER(SEARCH("H", 'Dry_Litterbag Placem_Collection'!V13)),"YES","NO")</f>
        <v>NO</v>
      </c>
      <c r="AN672" s="270" t="str">
        <f>IF(ISNUMBER(SEARCH("R", 'Dry_Litterbag Placem_Collection'!V13)),"YES","NO")</f>
        <v>NO</v>
      </c>
    </row>
    <row r="673" spans="1:40" ht="15" customHeight="1">
      <c r="A673" s="262" t="s">
        <v>2659</v>
      </c>
      <c r="B673" s="263">
        <f>'Dry_Litterbag Placem_Collection'!A14</f>
        <v>12</v>
      </c>
      <c r="C673" s="263" t="str">
        <f>'Dry_Litterbag Placem_Collection'!B14</f>
        <v>Makao</v>
      </c>
      <c r="D673" s="263" t="s">
        <v>2659</v>
      </c>
      <c r="E673" s="263" t="s">
        <v>2660</v>
      </c>
      <c r="F673" s="263">
        <v>2</v>
      </c>
      <c r="G673" s="264" t="str">
        <f>'Dry_Litterbag Placem_Collection'!C14</f>
        <v>Dry_Ag2_T4</v>
      </c>
      <c r="H673" s="273" t="s">
        <v>3651</v>
      </c>
      <c r="I673" s="274" t="s">
        <v>298</v>
      </c>
      <c r="J673" s="263" t="str">
        <f>IF(ISBLANK('Dry_Litterbag Placem_Collection'!M14),"","R"&amp;""&amp;'Dry_Litterbag Placem_Collection'!M14)</f>
        <v/>
      </c>
      <c r="K673" s="267" t="str">
        <f>IFERROR(INDEX('Green_rooibos initial weight'!$C$5:$C$1749,MATCH(J673, 'Green_rooibos initial weight'!$A$5:$A$1749,0)),"")</f>
        <v/>
      </c>
      <c r="L673" s="267" t="str">
        <f>IFERROR(K673-(TBIcalc!$Q$9+TBIcalc!$Q$10),"")</f>
        <v/>
      </c>
      <c r="M673" s="391">
        <f>AVERAGE(Ashed_controlls!$K$12:$K$14)</f>
        <v>2.2816647271287041</v>
      </c>
      <c r="N673" s="267" t="str">
        <f t="shared" si="51"/>
        <v/>
      </c>
      <c r="O673" s="267" t="str">
        <f>IF(IFERROR(INDEX('Both teabags AfterDry'!$D$3:$D$900,MATCH(J673,'Both teabags AfterDry'!$A$3:$A$900,0)),"")="","",(IFERROR(INDEX('Both teabags AfterDry'!$D$3:$D$900,MATCH(J673,'Both teabags AfterDry'!$A$3:$A$900,0)),"")))</f>
        <v/>
      </c>
      <c r="P673" s="267" t="str">
        <f>IFERROR(IF(O673&gt;0,O673-(TBIcalc!$Q$9),""),"")</f>
        <v/>
      </c>
      <c r="Q673" s="278" t="str">
        <f>IFERROR(INDEX('Ashed teabags dry'!$K$2:$K$825,MATCH(J673,'Ashed teabags dry'!$A$2:$A$825,0)),"")</f>
        <v/>
      </c>
      <c r="R673" s="278" t="str">
        <f t="shared" si="52"/>
        <v/>
      </c>
      <c r="S673" s="268">
        <f>'Dry_Litterbag Placem_Collection'!E14</f>
        <v>0</v>
      </c>
      <c r="T673" s="268" t="str">
        <f>IF('Dry_Litterbag Placem_Collection'!G14="","",'Dry_Litterbag Placem_Collection'!G14)</f>
        <v/>
      </c>
      <c r="U673" s="269" t="str">
        <f t="shared" si="50"/>
        <v/>
      </c>
      <c r="V673" s="267" t="str">
        <f t="shared" si="53"/>
        <v/>
      </c>
      <c r="W673" s="267" t="str">
        <f t="shared" si="54"/>
        <v/>
      </c>
      <c r="X673" s="271" t="str">
        <f>IFERROR(INDEX(Rainfall_Dry!$O$2:$O$217,MATCH(B673, Rainfall_Dry!$A$2:$A$217,0)),"")</f>
        <v/>
      </c>
      <c r="Y673" s="260">
        <v>21.13063730679653</v>
      </c>
      <c r="Z673" s="260">
        <v>3.0912555579081076</v>
      </c>
      <c r="AA673" s="260">
        <v>75.778107135295357</v>
      </c>
      <c r="AB673" s="261" t="s">
        <v>2670</v>
      </c>
      <c r="AC673" s="260">
        <v>3.4613109906357802</v>
      </c>
      <c r="AD673" t="str">
        <f>IF('WetLitterbags placem_collection'!AB14="","",'WetLitterbags placem_collection'!AB14)</f>
        <v/>
      </c>
      <c r="AE673" t="str">
        <f>IF('WetLitterbags placem_collection'!Z14="","",'WetLitterbags placem_collection'!Z14)</f>
        <v/>
      </c>
      <c r="AF673" s="246" t="str">
        <f>IF('WetLitterbags placem_collection'!AA14="","",'WetLitterbags placem_collection'!AA14)</f>
        <v/>
      </c>
      <c r="AG673" t="str">
        <f>IF('WetLitterbags placem_collection'!AC14="","",'WetLitterbags placem_collection'!AC14)</f>
        <v/>
      </c>
      <c r="AH673" t="str">
        <f>IFERROR(AVERAGE('Dry_Litterbag Placem_Collection'!O14,'Dry_Litterbag Placem_Collection'!R14),"")</f>
        <v/>
      </c>
      <c r="AI673" s="271" t="str">
        <f>IFERROR(AVERAGE('Dry_Litterbag Placem_Collection'!N14,'Dry_Litterbag Placem_Collection'!Q14),"")</f>
        <v/>
      </c>
      <c r="AJ673" s="270">
        <f>INDEX(Coordinates!$B$2:$B$197,MATCH(G673,Coordinates!$J$2:$J$197,0))</f>
        <v>-3.3979050260000001</v>
      </c>
      <c r="AK673" s="270">
        <f>INDEX(Coordinates!$C$2:$C$197,MATCH(G673,Coordinates!$J$2:$J$197,0))</f>
        <v>34.837123030000001</v>
      </c>
      <c r="AL673" s="270" t="str">
        <f>IF(ISNUMBER(SEARCH("C", 'Dry_Litterbag Placem_Collection'!V14)),"YES","NO")</f>
        <v>NO</v>
      </c>
      <c r="AM673" s="270" t="str">
        <f>IF(ISNUMBER(SEARCH("H", 'Dry_Litterbag Placem_Collection'!V14)),"YES","NO")</f>
        <v>NO</v>
      </c>
      <c r="AN673" s="270" t="str">
        <f>IF(ISNUMBER(SEARCH("R", 'Dry_Litterbag Placem_Collection'!V14)),"YES","NO")</f>
        <v>NO</v>
      </c>
    </row>
    <row r="674" spans="1:40" ht="15" customHeight="1">
      <c r="A674" s="262" t="s">
        <v>2659</v>
      </c>
      <c r="B674" s="263">
        <f>'Dry_Litterbag Placem_Collection'!A15</f>
        <v>13</v>
      </c>
      <c r="C674" s="263" t="str">
        <f>'Dry_Litterbag Placem_Collection'!B15</f>
        <v>Makao</v>
      </c>
      <c r="D674" s="263" t="s">
        <v>2659</v>
      </c>
      <c r="E674" s="263" t="s">
        <v>2660</v>
      </c>
      <c r="F674" s="263">
        <v>2</v>
      </c>
      <c r="G674" s="264" t="str">
        <f>'Dry_Litterbag Placem_Collection'!C15</f>
        <v>Dry_Ag2_T5</v>
      </c>
      <c r="H674" s="273" t="s">
        <v>3651</v>
      </c>
      <c r="I674" s="274" t="s">
        <v>298</v>
      </c>
      <c r="J674" s="263" t="str">
        <f>IF(ISBLANK('Dry_Litterbag Placem_Collection'!M15),"","R"&amp;""&amp;'Dry_Litterbag Placem_Collection'!M15)</f>
        <v>R603</v>
      </c>
      <c r="K674" s="267">
        <f>IFERROR(INDEX('Green_rooibos initial weight'!$C$5:$C$1749,MATCH(J674, 'Green_rooibos initial weight'!$A$5:$A$1749,0)),"")</f>
        <v>2.1440000000000001</v>
      </c>
      <c r="L674" s="267">
        <f>IFERROR(K674-(TBIcalc!$Q$9+TBIcalc!$Q$10),"")</f>
        <v>1.8942000000000001</v>
      </c>
      <c r="M674" s="391">
        <f>AVERAGE(Ashed_controlls!$K$12:$K$14)</f>
        <v>2.2816647271287041</v>
      </c>
      <c r="N674" s="267">
        <f t="shared" si="51"/>
        <v>1.8509807067387283</v>
      </c>
      <c r="O674" s="267">
        <f>IF(IFERROR(INDEX('Both teabags AfterDry'!$D$3:$D$900,MATCH(J674,'Both teabags AfterDry'!$A$3:$A$900,0)),"")="","",(IFERROR(INDEX('Both teabags AfterDry'!$D$3:$D$900,MATCH(J674,'Both teabags AfterDry'!$A$3:$A$900,0)),"")))</f>
        <v>1.9094</v>
      </c>
      <c r="P674" s="267">
        <f>IFERROR(IF(O674&gt;0,O674-(TBIcalc!$Q$9),""),"")</f>
        <v>1.7587999999999999</v>
      </c>
      <c r="Q674" s="278">
        <f>IFERROR(INDEX('Ashed teabags dry'!$K$2:$K$825,MATCH(J674,'Ashed teabags dry'!$A$2:$A$825,0)),"")</f>
        <v>3.2763532763534955</v>
      </c>
      <c r="R674" s="278">
        <f t="shared" si="52"/>
        <v>1.7011754985754945</v>
      </c>
      <c r="S674" s="268">
        <f>'Dry_Litterbag Placem_Collection'!E15</f>
        <v>42938</v>
      </c>
      <c r="T674" s="268">
        <f>IF('Dry_Litterbag Placem_Collection'!G15="","",'Dry_Litterbag Placem_Collection'!G15)</f>
        <v>43007</v>
      </c>
      <c r="U674" s="269">
        <f t="shared" si="50"/>
        <v>69</v>
      </c>
      <c r="V674" s="267">
        <f t="shared" si="53"/>
        <v>0.13540000000000019</v>
      </c>
      <c r="W674" s="267">
        <f t="shared" si="54"/>
        <v>0.14980520816323373</v>
      </c>
      <c r="X674" s="271">
        <f>IFERROR(INDEX(Rainfall_Dry!$O$2:$O$217,MATCH(B674, Rainfall_Dry!$A$2:$A$217,0)),"")</f>
        <v>6.900000125</v>
      </c>
      <c r="Y674" s="260">
        <v>21.13063730679653</v>
      </c>
      <c r="Z674" s="260">
        <v>3.0912555579081076</v>
      </c>
      <c r="AA674" s="260">
        <v>75.778107135295357</v>
      </c>
      <c r="AB674" s="261" t="s">
        <v>2670</v>
      </c>
      <c r="AC674" s="260">
        <v>4.4613109906357797</v>
      </c>
      <c r="AD674">
        <f>IF('WetLitterbags placem_collection'!AB15="","",'WetLitterbags placem_collection'!AB15)</f>
        <v>11.4</v>
      </c>
      <c r="AE674">
        <f>IF('WetLitterbags placem_collection'!Z15="","",'WetLitterbags placem_collection'!Z15)</f>
        <v>31</v>
      </c>
      <c r="AF674" s="246" t="str">
        <f>IF('WetLitterbags placem_collection'!AA15="","",'WetLitterbags placem_collection'!AA15)</f>
        <v>M</v>
      </c>
      <c r="AG674">
        <f>IF('WetLitterbags placem_collection'!AC15="","",'WetLitterbags placem_collection'!AC15)</f>
        <v>0</v>
      </c>
      <c r="AH674">
        <f>IFERROR(AVERAGE('Dry_Litterbag Placem_Collection'!O15,'Dry_Litterbag Placem_Collection'!R15),"")</f>
        <v>4.8</v>
      </c>
      <c r="AI674" s="271">
        <f>IFERROR(AVERAGE('Dry_Litterbag Placem_Collection'!N15,'Dry_Litterbag Placem_Collection'!Q15),"")</f>
        <v>26.1</v>
      </c>
      <c r="AJ674" s="270">
        <f>INDEX(Coordinates!$B$2:$B$197,MATCH(G674,Coordinates!$J$2:$J$197,0))</f>
        <v>-3.3979040199999999</v>
      </c>
      <c r="AK674" s="270">
        <f>INDEX(Coordinates!$C$2:$C$197,MATCH(G674,Coordinates!$J$2:$J$197,0))</f>
        <v>34.837027980000002</v>
      </c>
      <c r="AL674" s="270" t="str">
        <f>IF(ISNUMBER(SEARCH("C", 'Dry_Litterbag Placem_Collection'!V15)),"YES","NO")</f>
        <v>NO</v>
      </c>
      <c r="AM674" s="270" t="str">
        <f>IF(ISNUMBER(SEARCH("H", 'Dry_Litterbag Placem_Collection'!V15)),"YES","NO")</f>
        <v>NO</v>
      </c>
      <c r="AN674" s="270" t="str">
        <f>IF(ISNUMBER(SEARCH("R", 'Dry_Litterbag Placem_Collection'!V15)),"YES","NO")</f>
        <v>NO</v>
      </c>
    </row>
    <row r="675" spans="1:40" ht="15" customHeight="1">
      <c r="A675" s="262" t="s">
        <v>2659</v>
      </c>
      <c r="B675" s="263">
        <f>'Dry_Litterbag Placem_Collection'!A16</f>
        <v>14</v>
      </c>
      <c r="C675" s="263" t="str">
        <f>'Dry_Litterbag Placem_Collection'!B16</f>
        <v>Makao</v>
      </c>
      <c r="D675" s="263" t="s">
        <v>2659</v>
      </c>
      <c r="E675" s="263" t="s">
        <v>2660</v>
      </c>
      <c r="F675" s="263">
        <v>2</v>
      </c>
      <c r="G675" s="264" t="str">
        <f>'Dry_Litterbag Placem_Collection'!C16</f>
        <v>Dry_Ag2_T6</v>
      </c>
      <c r="H675" s="273" t="s">
        <v>3651</v>
      </c>
      <c r="I675" s="274" t="s">
        <v>298</v>
      </c>
      <c r="J675" s="263" t="str">
        <f>IF(ISBLANK('Dry_Litterbag Placem_Collection'!M16),"","R"&amp;""&amp;'Dry_Litterbag Placem_Collection'!M16)</f>
        <v>R652</v>
      </c>
      <c r="K675" s="267">
        <f>IFERROR(INDEX('Green_rooibos initial weight'!$C$5:$C$1749,MATCH(J675, 'Green_rooibos initial weight'!$A$5:$A$1749,0)),"")</f>
        <v>2.2090000000000001</v>
      </c>
      <c r="L675" s="267">
        <f>IFERROR(K675-(TBIcalc!$Q$9+TBIcalc!$Q$10),"")</f>
        <v>1.9592000000000001</v>
      </c>
      <c r="M675" s="391">
        <f>AVERAGE(Ashed_controlls!$K$12:$K$14)</f>
        <v>2.2816647271287041</v>
      </c>
      <c r="N675" s="267">
        <f t="shared" si="51"/>
        <v>1.9144976246660945</v>
      </c>
      <c r="O675" s="267">
        <f>IF(IFERROR(INDEX('Both teabags AfterDry'!$D$3:$D$900,MATCH(J675,'Both teabags AfterDry'!$A$3:$A$900,0)),"")="","",(IFERROR(INDEX('Both teabags AfterDry'!$D$3:$D$900,MATCH(J675,'Both teabags AfterDry'!$A$3:$A$900,0)),"")))</f>
        <v>1.9245000000000001</v>
      </c>
      <c r="P675" s="267">
        <f>IFERROR(IF(O675&gt;0,O675-(TBIcalc!$Q$9),""),"")</f>
        <v>1.7739</v>
      </c>
      <c r="Q675" s="278">
        <f>IFERROR(INDEX('Ashed teabags dry'!$K$2:$K$825,MATCH(J675,'Ashed teabags dry'!$A$2:$A$825,0)),"")</f>
        <v>2.5664115263402163</v>
      </c>
      <c r="R675" s="278">
        <f t="shared" si="52"/>
        <v>1.7283744259342508</v>
      </c>
      <c r="S675" s="268">
        <f>'Dry_Litterbag Placem_Collection'!E16</f>
        <v>42938</v>
      </c>
      <c r="T675" s="268">
        <f>IF('Dry_Litterbag Placem_Collection'!G16="","",'Dry_Litterbag Placem_Collection'!G16)</f>
        <v>43007</v>
      </c>
      <c r="U675" s="269">
        <f t="shared" si="50"/>
        <v>69</v>
      </c>
      <c r="V675" s="267">
        <f t="shared" si="53"/>
        <v>0.18530000000000002</v>
      </c>
      <c r="W675" s="267">
        <f t="shared" si="54"/>
        <v>0.18612319873184369</v>
      </c>
      <c r="X675" s="271">
        <f>IFERROR(INDEX(Rainfall_Dry!$O$2:$O$217,MATCH(B675, Rainfall_Dry!$A$2:$A$217,0)),"")</f>
        <v>6.900000125</v>
      </c>
      <c r="Y675" s="260">
        <v>21.13063730679653</v>
      </c>
      <c r="Z675" s="260">
        <v>3.0912555579081076</v>
      </c>
      <c r="AA675" s="260">
        <v>75.778107135295357</v>
      </c>
      <c r="AB675" s="261" t="s">
        <v>2670</v>
      </c>
      <c r="AC675" s="260">
        <v>5.4613109906357797</v>
      </c>
      <c r="AD675">
        <f>IF('WetLitterbags placem_collection'!AB16="","",'WetLitterbags placem_collection'!AB16)</f>
        <v>28.4</v>
      </c>
      <c r="AE675">
        <f>IF('WetLitterbags placem_collection'!Z16="","",'WetLitterbags placem_collection'!Z16)</f>
        <v>42.4</v>
      </c>
      <c r="AF675" s="246" t="str">
        <f>IF('WetLitterbags placem_collection'!AA16="","",'WetLitterbags placem_collection'!AA16)</f>
        <v>M</v>
      </c>
      <c r="AG675">
        <f>IF('WetLitterbags placem_collection'!AC16="","",'WetLitterbags placem_collection'!AC16)</f>
        <v>0</v>
      </c>
      <c r="AH675">
        <f>IFERROR(AVERAGE('Dry_Litterbag Placem_Collection'!O16,'Dry_Litterbag Placem_Collection'!R16),"")</f>
        <v>3.4</v>
      </c>
      <c r="AI675" s="271">
        <f>IFERROR(AVERAGE('Dry_Litterbag Placem_Collection'!N16,'Dry_Litterbag Placem_Collection'!Q16),"")</f>
        <v>25.55</v>
      </c>
      <c r="AJ675" s="270">
        <f>INDEX(Coordinates!$B$2:$B$197,MATCH(G675,Coordinates!$J$2:$J$197,0))</f>
        <v>-3.397854986</v>
      </c>
      <c r="AK675" s="270">
        <f>INDEX(Coordinates!$C$2:$C$197,MATCH(G675,Coordinates!$J$2:$J$197,0))</f>
        <v>34.836874010000002</v>
      </c>
      <c r="AL675" s="270" t="str">
        <f>IF(ISNUMBER(SEARCH("C", 'Dry_Litterbag Placem_Collection'!V16)),"YES","NO")</f>
        <v>NO</v>
      </c>
      <c r="AM675" s="270" t="str">
        <f>IF(ISNUMBER(SEARCH("H", 'Dry_Litterbag Placem_Collection'!V16)),"YES","NO")</f>
        <v>NO</v>
      </c>
      <c r="AN675" s="270" t="str">
        <f>IF(ISNUMBER(SEARCH("R", 'Dry_Litterbag Placem_Collection'!V16)),"YES","NO")</f>
        <v>NO</v>
      </c>
    </row>
    <row r="676" spans="1:40" ht="15" customHeight="1">
      <c r="A676" s="262" t="s">
        <v>2659</v>
      </c>
      <c r="B676" s="263">
        <f>'Dry_Litterbag Placem_Collection'!A17</f>
        <v>15</v>
      </c>
      <c r="C676" s="263" t="str">
        <f>'Dry_Litterbag Placem_Collection'!B17</f>
        <v>Makao</v>
      </c>
      <c r="D676" s="263" t="s">
        <v>2659</v>
      </c>
      <c r="E676" s="263" t="s">
        <v>2660</v>
      </c>
      <c r="F676" s="263">
        <v>2</v>
      </c>
      <c r="G676" s="264" t="str">
        <f>'Dry_Litterbag Placem_Collection'!C17</f>
        <v>Dry_Ag2_T7</v>
      </c>
      <c r="H676" s="273" t="s">
        <v>3651</v>
      </c>
      <c r="I676" s="274" t="s">
        <v>298</v>
      </c>
      <c r="J676" s="263" t="str">
        <f>IF(ISBLANK('Dry_Litterbag Placem_Collection'!M17),"","R"&amp;""&amp;'Dry_Litterbag Placem_Collection'!M17)</f>
        <v>R304</v>
      </c>
      <c r="K676" s="267">
        <f>IFERROR(INDEX('Green_rooibos initial weight'!$C$5:$C$1749,MATCH(J676, 'Green_rooibos initial weight'!$A$5:$A$1749,0)),"")</f>
        <v>2.1930000000000001</v>
      </c>
      <c r="L676" s="267">
        <f>IFERROR(K676-(TBIcalc!$Q$9+TBIcalc!$Q$10),"")</f>
        <v>1.9432</v>
      </c>
      <c r="M676" s="391">
        <f>AVERAGE(Ashed_controlls!$K$12:$K$14)</f>
        <v>2.2816647271287041</v>
      </c>
      <c r="N676" s="267">
        <f t="shared" si="51"/>
        <v>1.8988626910224351</v>
      </c>
      <c r="O676" s="267">
        <f>IF(IFERROR(INDEX('Both teabags AfterDry'!$D$3:$D$900,MATCH(J676,'Both teabags AfterDry'!$A$3:$A$900,0)),"")="","",(IFERROR(INDEX('Both teabags AfterDry'!$D$3:$D$900,MATCH(J676,'Both teabags AfterDry'!$A$3:$A$900,0)),"")))</f>
        <v>1.8989</v>
      </c>
      <c r="P676" s="267">
        <f>IFERROR(IF(O676&gt;0,O676-(TBIcalc!$Q$9),""),"")</f>
        <v>1.7483</v>
      </c>
      <c r="Q676" s="278">
        <f>IFERROR(INDEX('Ashed teabags dry'!$K$2:$K$825,MATCH(J676,'Ashed teabags dry'!$A$2:$A$825,0)),"")</f>
        <v>3.0414746543770974</v>
      </c>
      <c r="R676" s="278">
        <f t="shared" si="52"/>
        <v>1.6951258986175253</v>
      </c>
      <c r="S676" s="268">
        <f>'Dry_Litterbag Placem_Collection'!E17</f>
        <v>42938</v>
      </c>
      <c r="T676" s="268">
        <f>IF('Dry_Litterbag Placem_Collection'!G17="","",'Dry_Litterbag Placem_Collection'!G17)</f>
        <v>43007</v>
      </c>
      <c r="U676" s="269">
        <f t="shared" si="50"/>
        <v>69</v>
      </c>
      <c r="V676" s="267">
        <f t="shared" si="53"/>
        <v>0.19490000000000007</v>
      </c>
      <c r="W676" s="267">
        <f t="shared" si="54"/>
        <v>0.20373679240490983</v>
      </c>
      <c r="X676" s="271">
        <f>IFERROR(INDEX(Rainfall_Dry!$O$2:$O$217,MATCH(B676, Rainfall_Dry!$A$2:$A$217,0)),"")</f>
        <v>6.900000125</v>
      </c>
      <c r="Y676" s="260">
        <v>21.13063730679653</v>
      </c>
      <c r="Z676" s="260">
        <v>3.0912555579081076</v>
      </c>
      <c r="AA676" s="260">
        <v>75.778107135295357</v>
      </c>
      <c r="AB676" s="261" t="s">
        <v>2670</v>
      </c>
      <c r="AC676" s="260">
        <v>6.4613109906357797</v>
      </c>
      <c r="AD676">
        <f>IF('WetLitterbags placem_collection'!AB17="","",'WetLitterbags placem_collection'!AB17)</f>
        <v>15.8</v>
      </c>
      <c r="AE676">
        <f>IF('WetLitterbags placem_collection'!Z17="","",'WetLitterbags placem_collection'!Z17)</f>
        <v>30.4</v>
      </c>
      <c r="AF676" s="246" t="str">
        <f>IF('WetLitterbags placem_collection'!AA17="","",'WetLitterbags placem_collection'!AA17)</f>
        <v>M</v>
      </c>
      <c r="AG676">
        <f>IF('WetLitterbags placem_collection'!AC17="","",'WetLitterbags placem_collection'!AC17)</f>
        <v>0</v>
      </c>
      <c r="AH676">
        <f>IFERROR(AVERAGE('Dry_Litterbag Placem_Collection'!O17,'Dry_Litterbag Placem_Collection'!R17),"")</f>
        <v>3.0999999999999996</v>
      </c>
      <c r="AI676" s="271">
        <f>IFERROR(AVERAGE('Dry_Litterbag Placem_Collection'!N17,'Dry_Litterbag Placem_Collection'!Q17),"")</f>
        <v>28</v>
      </c>
      <c r="AJ676" s="270">
        <f>INDEX(Coordinates!$B$2:$B$197,MATCH(G676,Coordinates!$J$2:$J$197,0))</f>
        <v>-3.3978060349999999</v>
      </c>
      <c r="AK676" s="270">
        <f>INDEX(Coordinates!$C$2:$C$197,MATCH(G676,Coordinates!$J$2:$J$197,0))</f>
        <v>34.837023960000003</v>
      </c>
      <c r="AL676" s="270" t="str">
        <f>IF(ISNUMBER(SEARCH("C", 'Dry_Litterbag Placem_Collection'!V17)),"YES","NO")</f>
        <v>NO</v>
      </c>
      <c r="AM676" s="270" t="str">
        <f>IF(ISNUMBER(SEARCH("H", 'Dry_Litterbag Placem_Collection'!V17)),"YES","NO")</f>
        <v>NO</v>
      </c>
      <c r="AN676" s="270" t="str">
        <f>IF(ISNUMBER(SEARCH("R", 'Dry_Litterbag Placem_Collection'!V17)),"YES","NO")</f>
        <v>NO</v>
      </c>
    </row>
    <row r="677" spans="1:40" ht="15" customHeight="1">
      <c r="A677" s="262" t="s">
        <v>2659</v>
      </c>
      <c r="B677" s="263">
        <f>'Dry_Litterbag Placem_Collection'!A18</f>
        <v>16</v>
      </c>
      <c r="C677" s="263" t="str">
        <f>'Dry_Litterbag Placem_Collection'!B18</f>
        <v>Makao</v>
      </c>
      <c r="D677" s="263" t="s">
        <v>2659</v>
      </c>
      <c r="E677" s="263" t="s">
        <v>2660</v>
      </c>
      <c r="F677" s="263">
        <v>2</v>
      </c>
      <c r="G677" s="264" t="str">
        <f>'Dry_Litterbag Placem_Collection'!C18</f>
        <v>Dry_Ag2_T8</v>
      </c>
      <c r="H677" s="273" t="s">
        <v>3651</v>
      </c>
      <c r="I677" s="274" t="s">
        <v>298</v>
      </c>
      <c r="J677" s="263" t="str">
        <f>IF(ISBLANK('Dry_Litterbag Placem_Collection'!M18),"","R"&amp;""&amp;'Dry_Litterbag Placem_Collection'!M18)</f>
        <v>R687</v>
      </c>
      <c r="K677" s="267">
        <f>IFERROR(INDEX('Green_rooibos initial weight'!$C$5:$C$1749,MATCH(J677, 'Green_rooibos initial weight'!$A$5:$A$1749,0)),"")</f>
        <v>2.2029999999999998</v>
      </c>
      <c r="L677" s="267">
        <f>IFERROR(K677-(TBIcalc!$Q$9+TBIcalc!$Q$10),"")</f>
        <v>1.9531999999999998</v>
      </c>
      <c r="M677" s="391">
        <f>AVERAGE(Ashed_controlls!$K$12:$K$14)</f>
        <v>2.2816647271287041</v>
      </c>
      <c r="N677" s="267">
        <f t="shared" si="51"/>
        <v>1.908634524549722</v>
      </c>
      <c r="O677" s="267" t="str">
        <f>IF(IFERROR(INDEX('Both teabags AfterDry'!$D$3:$D$900,MATCH(J677,'Both teabags AfterDry'!$A$3:$A$900,0)),"")="","",(IFERROR(INDEX('Both teabags AfterDry'!$D$3:$D$900,MATCH(J677,'Both teabags AfterDry'!$A$3:$A$900,0)),"")))</f>
        <v/>
      </c>
      <c r="P677" s="267" t="str">
        <f>IFERROR(IF(O677&gt;0,O677-(TBIcalc!$Q$9),""),"")</f>
        <v/>
      </c>
      <c r="Q677" s="278" t="str">
        <f>IFERROR(INDEX('Ashed teabags dry'!$K$2:$K$825,MATCH(J677,'Ashed teabags dry'!$A$2:$A$825,0)),"")</f>
        <v/>
      </c>
      <c r="R677" s="278" t="str">
        <f t="shared" si="52"/>
        <v/>
      </c>
      <c r="S677" s="268">
        <f>'Dry_Litterbag Placem_Collection'!E18</f>
        <v>42938</v>
      </c>
      <c r="T677" s="268">
        <f>IF('Dry_Litterbag Placem_Collection'!G18="","",'Dry_Litterbag Placem_Collection'!G18)</f>
        <v>43007</v>
      </c>
      <c r="U677" s="269">
        <f t="shared" si="50"/>
        <v>69</v>
      </c>
      <c r="V677" s="267" t="str">
        <f t="shared" si="53"/>
        <v/>
      </c>
      <c r="W677" s="267" t="str">
        <f t="shared" si="54"/>
        <v/>
      </c>
      <c r="X677" s="271">
        <f>IFERROR(INDEX(Rainfall_Dry!$O$2:$O$217,MATCH(B677, Rainfall_Dry!$A$2:$A$217,0)),"")</f>
        <v>6.900000125</v>
      </c>
      <c r="Y677" s="260">
        <v>21.13063730679653</v>
      </c>
      <c r="Z677" s="260">
        <v>3.0912555579081076</v>
      </c>
      <c r="AA677" s="260">
        <v>75.778107135295357</v>
      </c>
      <c r="AB677" s="261" t="s">
        <v>2670</v>
      </c>
      <c r="AC677" s="260">
        <v>7.4613109906357797</v>
      </c>
      <c r="AD677">
        <f>IF('WetLitterbags placem_collection'!AB18="","",'WetLitterbags placem_collection'!AB18)</f>
        <v>8</v>
      </c>
      <c r="AE677">
        <f>IF('WetLitterbags placem_collection'!Z18="","",'WetLitterbags placem_collection'!Z18)</f>
        <v>12.4</v>
      </c>
      <c r="AF677" s="246" t="str">
        <f>IF('WetLitterbags placem_collection'!AA18="","",'WetLitterbags placem_collection'!AA18)</f>
        <v>M</v>
      </c>
      <c r="AG677">
        <f>IF('WetLitterbags placem_collection'!AC18="","",'WetLitterbags placem_collection'!AC18)</f>
        <v>0</v>
      </c>
      <c r="AH677">
        <f>IFERROR(AVERAGE('Dry_Litterbag Placem_Collection'!O18,'Dry_Litterbag Placem_Collection'!R18),"")</f>
        <v>9.1999999999999993</v>
      </c>
      <c r="AI677" s="271">
        <f>IFERROR(AVERAGE('Dry_Litterbag Placem_Collection'!N18,'Dry_Litterbag Placem_Collection'!Q18),"")</f>
        <v>27.049999999999997</v>
      </c>
      <c r="AJ677" s="270">
        <f>INDEX(Coordinates!$B$2:$B$197,MATCH(G677,Coordinates!$J$2:$J$197,0))</f>
        <v>-3.3977669760000002</v>
      </c>
      <c r="AK677" s="270">
        <f>INDEX(Coordinates!$C$2:$C$197,MATCH(G677,Coordinates!$J$2:$J$197,0))</f>
        <v>34.837181039999997</v>
      </c>
      <c r="AL677" s="270" t="str">
        <f>IF(ISNUMBER(SEARCH("C", 'Dry_Litterbag Placem_Collection'!V18)),"YES","NO")</f>
        <v>NO</v>
      </c>
      <c r="AM677" s="270" t="str">
        <f>IF(ISNUMBER(SEARCH("H", 'Dry_Litterbag Placem_Collection'!V18)),"YES","NO")</f>
        <v>NO</v>
      </c>
      <c r="AN677" s="270" t="str">
        <f>IF(ISNUMBER(SEARCH("R", 'Dry_Litterbag Placem_Collection'!V18)),"YES","NO")</f>
        <v>NO</v>
      </c>
    </row>
    <row r="678" spans="1:40" ht="15" customHeight="1">
      <c r="A678" s="262" t="s">
        <v>2659</v>
      </c>
      <c r="B678" s="263">
        <f>'Dry_Litterbag Placem_Collection'!A19</f>
        <v>17</v>
      </c>
      <c r="C678" s="263" t="str">
        <f>'Dry_Litterbag Placem_Collection'!B19</f>
        <v>Makao</v>
      </c>
      <c r="D678" s="263" t="s">
        <v>2659</v>
      </c>
      <c r="E678" s="263" t="s">
        <v>2660</v>
      </c>
      <c r="F678" s="263">
        <v>3</v>
      </c>
      <c r="G678" s="264" t="str">
        <f>'Dry_Litterbag Placem_Collection'!C19</f>
        <v>Dry_Ag3_T1</v>
      </c>
      <c r="H678" s="273" t="s">
        <v>3651</v>
      </c>
      <c r="I678" s="274" t="s">
        <v>298</v>
      </c>
      <c r="J678" s="263" t="str">
        <f>IF(ISBLANK('Dry_Litterbag Placem_Collection'!M19),"","R"&amp;""&amp;'Dry_Litterbag Placem_Collection'!M19)</f>
        <v>R407</v>
      </c>
      <c r="K678" s="267">
        <f>IFERROR(INDEX('Green_rooibos initial weight'!$C$5:$C$1749,MATCH(J678, 'Green_rooibos initial weight'!$A$5:$A$1749,0)),"")</f>
        <v>2.1859999999999999</v>
      </c>
      <c r="L678" s="267">
        <f>IFERROR(K678-(TBIcalc!$Q$9+TBIcalc!$Q$10),"")</f>
        <v>1.9361999999999999</v>
      </c>
      <c r="M678" s="391">
        <f>AVERAGE(Ashed_controlls!$K$12:$K$14)</f>
        <v>2.2816647271287041</v>
      </c>
      <c r="N678" s="267">
        <f t="shared" si="51"/>
        <v>1.8920224075533341</v>
      </c>
      <c r="O678" s="267">
        <f>IF(IFERROR(INDEX('Both teabags AfterDry'!$D$3:$D$900,MATCH(J678,'Both teabags AfterDry'!$A$3:$A$900,0)),"")="","",(IFERROR(INDEX('Both teabags AfterDry'!$D$3:$D$900,MATCH(J678,'Both teabags AfterDry'!$A$3:$A$900,0)),"")))</f>
        <v>2.0062000000000002</v>
      </c>
      <c r="P678" s="267">
        <f>IFERROR(IF(O678&gt;0,O678-(TBIcalc!$Q$9),""),"")</f>
        <v>1.8556000000000001</v>
      </c>
      <c r="Q678" s="278">
        <f>IFERROR(INDEX('Ashed teabags dry'!$K$2:$K$825,MATCH(J678,'Ashed teabags dry'!$A$2:$A$825,0)),"")</f>
        <v>2.9004329004331213</v>
      </c>
      <c r="R678" s="278">
        <f t="shared" si="52"/>
        <v>1.8017795670995631</v>
      </c>
      <c r="S678" s="268">
        <f>'Dry_Litterbag Placem_Collection'!E19</f>
        <v>42936</v>
      </c>
      <c r="T678" s="268">
        <f>IF('Dry_Litterbag Placem_Collection'!G19="","",'Dry_Litterbag Placem_Collection'!G19)</f>
        <v>43007</v>
      </c>
      <c r="U678" s="269">
        <f t="shared" si="50"/>
        <v>71</v>
      </c>
      <c r="V678" s="267">
        <f t="shared" si="53"/>
        <v>8.0599999999999783E-2</v>
      </c>
      <c r="W678" s="267">
        <f t="shared" si="54"/>
        <v>9.0242840453770956E-2</v>
      </c>
      <c r="X678" s="271">
        <f>IFERROR(INDEX(Rainfall_Dry!$O$2:$O$217,MATCH(B678, Rainfall_Dry!$A$2:$A$217,0)),"")</f>
        <v>6.900000125</v>
      </c>
      <c r="Y678" s="260">
        <v>54.080969906906262</v>
      </c>
      <c r="Z678" s="260">
        <v>21.264484651351896</v>
      </c>
      <c r="AA678" s="260">
        <v>24.654545441741845</v>
      </c>
      <c r="AB678" s="261" t="s">
        <v>2673</v>
      </c>
      <c r="AC678" s="260">
        <v>1.8433218334154755</v>
      </c>
      <c r="AD678" t="str">
        <f>IF('WetLitterbags placem_collection'!AB19="","",'WetLitterbags placem_collection'!AB19)</f>
        <v/>
      </c>
      <c r="AE678" t="str">
        <f>IF('WetLitterbags placem_collection'!Z19="","",'WetLitterbags placem_collection'!Z19)</f>
        <v/>
      </c>
      <c r="AF678" s="246" t="str">
        <f>IF('WetLitterbags placem_collection'!AA19="","",'WetLitterbags placem_collection'!AA19)</f>
        <v/>
      </c>
      <c r="AG678" t="str">
        <f>IF('WetLitterbags placem_collection'!AC19="","",'WetLitterbags placem_collection'!AC19)</f>
        <v/>
      </c>
      <c r="AH678">
        <f>IFERROR(AVERAGE('Dry_Litterbag Placem_Collection'!O19,'Dry_Litterbag Placem_Collection'!R19),"")</f>
        <v>12.9</v>
      </c>
      <c r="AI678" s="271">
        <f>IFERROR(AVERAGE('Dry_Litterbag Placem_Collection'!N19,'Dry_Litterbag Placem_Collection'!Q19),"")</f>
        <v>26.2</v>
      </c>
      <c r="AJ678" s="270">
        <f>INDEX(Coordinates!$B$2:$B$197,MATCH(G678,Coordinates!$J$2:$J$197,0))</f>
        <v>-3.3854090330000002</v>
      </c>
      <c r="AK678" s="270">
        <f>INDEX(Coordinates!$C$2:$C$197,MATCH(G678,Coordinates!$J$2:$J$197,0))</f>
        <v>34.818901029999999</v>
      </c>
      <c r="AL678" s="270" t="str">
        <f>IF(ISNUMBER(SEARCH("C", 'Dry_Litterbag Placem_Collection'!V19)),"YES","NO")</f>
        <v>NO</v>
      </c>
      <c r="AM678" s="270" t="str">
        <f>IF(ISNUMBER(SEARCH("H", 'Dry_Litterbag Placem_Collection'!V19)),"YES","NO")</f>
        <v>NO</v>
      </c>
      <c r="AN678" s="270" t="str">
        <f>IF(ISNUMBER(SEARCH("R", 'Dry_Litterbag Placem_Collection'!V19)),"YES","NO")</f>
        <v>NO</v>
      </c>
    </row>
    <row r="679" spans="1:40" ht="15" customHeight="1">
      <c r="A679" s="262" t="s">
        <v>2659</v>
      </c>
      <c r="B679" s="263">
        <f>'Dry_Litterbag Placem_Collection'!A20</f>
        <v>18</v>
      </c>
      <c r="C679" s="263" t="str">
        <f>'Dry_Litterbag Placem_Collection'!B20</f>
        <v>Makao</v>
      </c>
      <c r="D679" s="263" t="s">
        <v>2659</v>
      </c>
      <c r="E679" s="263" t="s">
        <v>2660</v>
      </c>
      <c r="F679" s="263">
        <v>3</v>
      </c>
      <c r="G679" s="264" t="str">
        <f>'Dry_Litterbag Placem_Collection'!C20</f>
        <v>Dry_Ag3_T2</v>
      </c>
      <c r="H679" s="273" t="s">
        <v>3651</v>
      </c>
      <c r="I679" s="274" t="s">
        <v>298</v>
      </c>
      <c r="J679" s="263" t="str">
        <f>IF(ISBLANK('Dry_Litterbag Placem_Collection'!M20),"","R"&amp;""&amp;'Dry_Litterbag Placem_Collection'!M20)</f>
        <v>R361</v>
      </c>
      <c r="K679" s="267">
        <f>IFERROR(INDEX('Green_rooibos initial weight'!$C$5:$C$1749,MATCH(J679, 'Green_rooibos initial weight'!$A$5:$A$1749,0)),"")</f>
        <v>2.2210000000000001</v>
      </c>
      <c r="L679" s="267">
        <f>IFERROR(K679-(TBIcalc!$Q$9+TBIcalc!$Q$10),"")</f>
        <v>1.9712000000000001</v>
      </c>
      <c r="M679" s="391">
        <f>AVERAGE(Ashed_controlls!$K$12:$K$14)</f>
        <v>2.2816647271287041</v>
      </c>
      <c r="N679" s="267">
        <f t="shared" si="51"/>
        <v>1.926223824898839</v>
      </c>
      <c r="O679" s="267">
        <f>IF(IFERROR(INDEX('Both teabags AfterDry'!$D$3:$D$900,MATCH(J679,'Both teabags AfterDry'!$A$3:$A$900,0)),"")="","",(IFERROR(INDEX('Both teabags AfterDry'!$D$3:$D$900,MATCH(J679,'Both teabags AfterDry'!$A$3:$A$900,0)),"")))</f>
        <v>2.0156999999999998</v>
      </c>
      <c r="P679" s="267">
        <f>IFERROR(IF(O679&gt;0,O679-(TBIcalc!$Q$9),""),"")</f>
        <v>1.8650999999999998</v>
      </c>
      <c r="Q679" s="278">
        <f>IFERROR(INDEX('Ashed teabags dry'!$K$2:$K$825,MATCH(J679,'Ashed teabags dry'!$A$2:$A$825,0)),"")</f>
        <v>2.3668639053252516</v>
      </c>
      <c r="R679" s="278">
        <f t="shared" si="52"/>
        <v>1.8209556213017786</v>
      </c>
      <c r="S679" s="268">
        <f>'Dry_Litterbag Placem_Collection'!E20</f>
        <v>42936</v>
      </c>
      <c r="T679" s="268">
        <f>IF('Dry_Litterbag Placem_Collection'!G20="","",'Dry_Litterbag Placem_Collection'!G20)</f>
        <v>43007</v>
      </c>
      <c r="U679" s="269">
        <f t="shared" si="50"/>
        <v>71</v>
      </c>
      <c r="V679" s="267">
        <f t="shared" si="53"/>
        <v>0.10610000000000031</v>
      </c>
      <c r="W679" s="267">
        <f t="shared" si="54"/>
        <v>0.10526820359706046</v>
      </c>
      <c r="X679" s="271">
        <f>IFERROR(INDEX(Rainfall_Dry!$O$2:$O$217,MATCH(B679, Rainfall_Dry!$A$2:$A$217,0)),"")</f>
        <v>6.900000125</v>
      </c>
      <c r="Y679" s="260">
        <v>54.080969906906262</v>
      </c>
      <c r="Z679" s="260">
        <v>21.264484651351896</v>
      </c>
      <c r="AA679" s="260">
        <v>24.654545441741845</v>
      </c>
      <c r="AB679" s="261" t="s">
        <v>2673</v>
      </c>
      <c r="AC679" s="260">
        <v>2.8433218334154802</v>
      </c>
      <c r="AD679" t="str">
        <f>IF('WetLitterbags placem_collection'!AB20="","",'WetLitterbags placem_collection'!AB20)</f>
        <v/>
      </c>
      <c r="AE679" t="str">
        <f>IF('WetLitterbags placem_collection'!Z20="","",'WetLitterbags placem_collection'!Z20)</f>
        <v/>
      </c>
      <c r="AF679" s="246" t="str">
        <f>IF('WetLitterbags placem_collection'!AA20="","",'WetLitterbags placem_collection'!AA20)</f>
        <v/>
      </c>
      <c r="AG679" t="str">
        <f>IF('WetLitterbags placem_collection'!AC20="","",'WetLitterbags placem_collection'!AC20)</f>
        <v/>
      </c>
      <c r="AH679">
        <f>IFERROR(AVERAGE('Dry_Litterbag Placem_Collection'!O20,'Dry_Litterbag Placem_Collection'!R20),"")</f>
        <v>11.15</v>
      </c>
      <c r="AI679" s="271">
        <f>IFERROR(AVERAGE('Dry_Litterbag Placem_Collection'!N20,'Dry_Litterbag Placem_Collection'!Q20),"")</f>
        <v>26.1</v>
      </c>
      <c r="AJ679" s="270">
        <f>INDEX(Coordinates!$B$2:$B$197,MATCH(G679,Coordinates!$J$2:$J$197,0))</f>
        <v>-3.385375002</v>
      </c>
      <c r="AK679" s="270">
        <f>INDEX(Coordinates!$C$2:$C$197,MATCH(G679,Coordinates!$J$2:$J$197,0))</f>
        <v>34.818939999999998</v>
      </c>
      <c r="AL679" s="270" t="str">
        <f>IF(ISNUMBER(SEARCH("C", 'Dry_Litterbag Placem_Collection'!V20)),"YES","NO")</f>
        <v>NO</v>
      </c>
      <c r="AM679" s="270" t="str">
        <f>IF(ISNUMBER(SEARCH("H", 'Dry_Litterbag Placem_Collection'!V20)),"YES","NO")</f>
        <v>NO</v>
      </c>
      <c r="AN679" s="270" t="str">
        <f>IF(ISNUMBER(SEARCH("R", 'Dry_Litterbag Placem_Collection'!V20)),"YES","NO")</f>
        <v>NO</v>
      </c>
    </row>
    <row r="680" spans="1:40" ht="15" customHeight="1">
      <c r="A680" s="262" t="s">
        <v>2659</v>
      </c>
      <c r="B680" s="263">
        <f>'Dry_Litterbag Placem_Collection'!A21</f>
        <v>19</v>
      </c>
      <c r="C680" s="263" t="str">
        <f>'Dry_Litterbag Placem_Collection'!B21</f>
        <v>Makao</v>
      </c>
      <c r="D680" s="263" t="s">
        <v>2659</v>
      </c>
      <c r="E680" s="263" t="s">
        <v>2660</v>
      </c>
      <c r="F680" s="263">
        <v>3</v>
      </c>
      <c r="G680" s="264" t="str">
        <f>'Dry_Litterbag Placem_Collection'!C21</f>
        <v>Dry_Ag3_T3</v>
      </c>
      <c r="H680" s="273" t="s">
        <v>3651</v>
      </c>
      <c r="I680" s="274" t="s">
        <v>298</v>
      </c>
      <c r="J680" s="263" t="str">
        <f>IF(ISBLANK('Dry_Litterbag Placem_Collection'!M21),"","R"&amp;""&amp;'Dry_Litterbag Placem_Collection'!M21)</f>
        <v>R280</v>
      </c>
      <c r="K680" s="267">
        <f>IFERROR(INDEX('Green_rooibos initial weight'!$C$5:$C$1749,MATCH(J680, 'Green_rooibos initial weight'!$A$5:$A$1749,0)),"")</f>
        <v>2.11</v>
      </c>
      <c r="L680" s="267">
        <f>IFERROR(K680-(TBIcalc!$Q$9+TBIcalc!$Q$10),"")</f>
        <v>1.8601999999999999</v>
      </c>
      <c r="M680" s="391">
        <f>AVERAGE(Ashed_controlls!$K$12:$K$14)</f>
        <v>2.2816647271287041</v>
      </c>
      <c r="N680" s="267">
        <f t="shared" si="51"/>
        <v>1.8177564727459516</v>
      </c>
      <c r="O680" s="267">
        <f>IF(IFERROR(INDEX('Both teabags AfterDry'!$D$3:$D$900,MATCH(J680,'Both teabags AfterDry'!$A$3:$A$900,0)),"")="","",(IFERROR(INDEX('Both teabags AfterDry'!$D$3:$D$900,MATCH(J680,'Both teabags AfterDry'!$A$3:$A$900,0)),"")))</f>
        <v>1.9007000000000001</v>
      </c>
      <c r="P680" s="267">
        <f>IFERROR(IF(O680&gt;0,O680-(TBIcalc!$Q$9),""),"")</f>
        <v>1.7501</v>
      </c>
      <c r="Q680" s="278">
        <f>IFERROR(INDEX('Ashed teabags dry'!$K$2:$K$825,MATCH(J680,'Ashed teabags dry'!$A$2:$A$825,0)),"")</f>
        <v>2.6531596719727872</v>
      </c>
      <c r="R680" s="278">
        <f t="shared" si="52"/>
        <v>1.7036670525808042</v>
      </c>
      <c r="S680" s="268">
        <f>'Dry_Litterbag Placem_Collection'!E21</f>
        <v>42936</v>
      </c>
      <c r="T680" s="268">
        <f>IF('Dry_Litterbag Placem_Collection'!G21="","",'Dry_Litterbag Placem_Collection'!G21)</f>
        <v>43007</v>
      </c>
      <c r="U680" s="269">
        <f t="shared" si="50"/>
        <v>71</v>
      </c>
      <c r="V680" s="267">
        <f t="shared" si="53"/>
        <v>0.11009999999999986</v>
      </c>
      <c r="W680" s="267">
        <f t="shared" si="54"/>
        <v>0.11408942016514745</v>
      </c>
      <c r="X680" s="271">
        <f>IFERROR(INDEX(Rainfall_Dry!$O$2:$O$217,MATCH(B680, Rainfall_Dry!$A$2:$A$217,0)),"")</f>
        <v>6.900000125</v>
      </c>
      <c r="Y680" s="260">
        <v>54.080969906906262</v>
      </c>
      <c r="Z680" s="260">
        <v>21.264484651351896</v>
      </c>
      <c r="AA680" s="260">
        <v>24.654545441741845</v>
      </c>
      <c r="AB680" s="261" t="s">
        <v>2673</v>
      </c>
      <c r="AC680" s="260">
        <v>3.8433218334154802</v>
      </c>
      <c r="AD680" t="str">
        <f>IF('WetLitterbags placem_collection'!AB21="","",'WetLitterbags placem_collection'!AB21)</f>
        <v/>
      </c>
      <c r="AE680" t="str">
        <f>IF('WetLitterbags placem_collection'!Z21="","",'WetLitterbags placem_collection'!Z21)</f>
        <v/>
      </c>
      <c r="AF680" s="246" t="str">
        <f>IF('WetLitterbags placem_collection'!AA21="","",'WetLitterbags placem_collection'!AA21)</f>
        <v/>
      </c>
      <c r="AG680" t="str">
        <f>IF('WetLitterbags placem_collection'!AC21="","",'WetLitterbags placem_collection'!AC21)</f>
        <v/>
      </c>
      <c r="AH680">
        <f>IFERROR(AVERAGE('Dry_Litterbag Placem_Collection'!O21,'Dry_Litterbag Placem_Collection'!R21),"")</f>
        <v>15.75</v>
      </c>
      <c r="AI680" s="271">
        <f>IFERROR(AVERAGE('Dry_Litterbag Placem_Collection'!N21,'Dry_Litterbag Placem_Collection'!Q21),"")</f>
        <v>25.700000000000003</v>
      </c>
      <c r="AJ680" s="270">
        <f>INDEX(Coordinates!$B$2:$B$197,MATCH(G680,Coordinates!$J$2:$J$197,0))</f>
        <v>-3.3853589930000001</v>
      </c>
      <c r="AK680" s="270">
        <f>INDEX(Coordinates!$C$2:$C$197,MATCH(G680,Coordinates!$J$2:$J$197,0))</f>
        <v>34.818991969999999</v>
      </c>
      <c r="AL680" s="270" t="str">
        <f>IF(ISNUMBER(SEARCH("C", 'Dry_Litterbag Placem_Collection'!V21)),"YES","NO")</f>
        <v>NO</v>
      </c>
      <c r="AM680" s="270" t="str">
        <f>IF(ISNUMBER(SEARCH("H", 'Dry_Litterbag Placem_Collection'!V21)),"YES","NO")</f>
        <v>NO</v>
      </c>
      <c r="AN680" s="270" t="str">
        <f>IF(ISNUMBER(SEARCH("R", 'Dry_Litterbag Placem_Collection'!V21)),"YES","NO")</f>
        <v>NO</v>
      </c>
    </row>
    <row r="681" spans="1:40" ht="15" customHeight="1">
      <c r="A681" s="262" t="s">
        <v>2659</v>
      </c>
      <c r="B681" s="263">
        <f>'Dry_Litterbag Placem_Collection'!A22</f>
        <v>20</v>
      </c>
      <c r="C681" s="263" t="str">
        <f>'Dry_Litterbag Placem_Collection'!B22</f>
        <v>Makao</v>
      </c>
      <c r="D681" s="263" t="s">
        <v>2659</v>
      </c>
      <c r="E681" s="263" t="s">
        <v>2660</v>
      </c>
      <c r="F681" s="263">
        <v>3</v>
      </c>
      <c r="G681" s="264" t="str">
        <f>'Dry_Litterbag Placem_Collection'!C22</f>
        <v>Dry_Ag3_T4</v>
      </c>
      <c r="H681" s="273" t="s">
        <v>3651</v>
      </c>
      <c r="I681" s="274" t="s">
        <v>298</v>
      </c>
      <c r="J681" s="263" t="str">
        <f>IF(ISBLANK('Dry_Litterbag Placem_Collection'!M22),"","R"&amp;""&amp;'Dry_Litterbag Placem_Collection'!M22)</f>
        <v>R320</v>
      </c>
      <c r="K681" s="267">
        <f>IFERROR(INDEX('Green_rooibos initial weight'!$C$5:$C$1749,MATCH(J681, 'Green_rooibos initial weight'!$A$5:$A$1749,0)),"")</f>
        <v>2.1459999999999999</v>
      </c>
      <c r="L681" s="267">
        <f>IFERROR(K681-(TBIcalc!$Q$9+TBIcalc!$Q$10),"")</f>
        <v>1.8961999999999999</v>
      </c>
      <c r="M681" s="391">
        <f>AVERAGE(Ashed_controlls!$K$12:$K$14)</f>
        <v>2.2816647271287041</v>
      </c>
      <c r="N681" s="267">
        <f t="shared" si="51"/>
        <v>1.8529350734441854</v>
      </c>
      <c r="O681" s="267">
        <f>IF(IFERROR(INDEX('Both teabags AfterDry'!$D$3:$D$900,MATCH(J681,'Both teabags AfterDry'!$A$3:$A$900,0)),"")="","",(IFERROR(INDEX('Both teabags AfterDry'!$D$3:$D$900,MATCH(J681,'Both teabags AfterDry'!$A$3:$A$900,0)),"")))</f>
        <v>1.9332</v>
      </c>
      <c r="P681" s="267">
        <f>IFERROR(IF(O681&gt;0,O681-(TBIcalc!$Q$9),""),"")</f>
        <v>1.7826</v>
      </c>
      <c r="Q681" s="278">
        <f>IFERROR(INDEX('Ashed teabags dry'!$K$2:$K$825,MATCH(J681,'Ashed teabags dry'!$A$2:$A$825,0)),"")</f>
        <v>2.2439024390243194</v>
      </c>
      <c r="R681" s="278">
        <f t="shared" si="52"/>
        <v>1.7426001951219525</v>
      </c>
      <c r="S681" s="268">
        <f>'Dry_Litterbag Placem_Collection'!E22</f>
        <v>42936</v>
      </c>
      <c r="T681" s="268">
        <f>IF('Dry_Litterbag Placem_Collection'!G22="","",'Dry_Litterbag Placem_Collection'!G22)</f>
        <v>43007</v>
      </c>
      <c r="U681" s="269">
        <f t="shared" si="50"/>
        <v>71</v>
      </c>
      <c r="V681" s="267">
        <f t="shared" si="53"/>
        <v>0.11359999999999992</v>
      </c>
      <c r="W681" s="267">
        <f t="shared" si="54"/>
        <v>0.11033487832223288</v>
      </c>
      <c r="X681" s="271">
        <f>IFERROR(INDEX(Rainfall_Dry!$O$2:$O$217,MATCH(B681, Rainfall_Dry!$A$2:$A$217,0)),"")</f>
        <v>6.900000125</v>
      </c>
      <c r="Y681" s="260">
        <v>54.080969906906262</v>
      </c>
      <c r="Z681" s="260">
        <v>21.264484651351896</v>
      </c>
      <c r="AA681" s="260">
        <v>24.654545441741845</v>
      </c>
      <c r="AB681" s="261" t="s">
        <v>2673</v>
      </c>
      <c r="AC681" s="260">
        <v>4.8433218334154802</v>
      </c>
      <c r="AD681" t="str">
        <f>IF('WetLitterbags placem_collection'!AB22="","",'WetLitterbags placem_collection'!AB22)</f>
        <v/>
      </c>
      <c r="AE681" t="str">
        <f>IF('WetLitterbags placem_collection'!Z22="","",'WetLitterbags placem_collection'!Z22)</f>
        <v/>
      </c>
      <c r="AF681" s="246" t="str">
        <f>IF('WetLitterbags placem_collection'!AA22="","",'WetLitterbags placem_collection'!AA22)</f>
        <v/>
      </c>
      <c r="AG681" t="str">
        <f>IF('WetLitterbags placem_collection'!AC22="","",'WetLitterbags placem_collection'!AC22)</f>
        <v/>
      </c>
      <c r="AH681">
        <f>IFERROR(AVERAGE('Dry_Litterbag Placem_Collection'!O22,'Dry_Litterbag Placem_Collection'!R22),"")</f>
        <v>16</v>
      </c>
      <c r="AI681" s="271">
        <f>IFERROR(AVERAGE('Dry_Litterbag Placem_Collection'!N22,'Dry_Litterbag Placem_Collection'!Q22),"")</f>
        <v>26.3</v>
      </c>
      <c r="AJ681" s="270">
        <f>INDEX(Coordinates!$B$2:$B$197,MATCH(G681,Coordinates!$J$2:$J$197,0))</f>
        <v>-3.3853969629999998</v>
      </c>
      <c r="AK681" s="270">
        <f>INDEX(Coordinates!$C$2:$C$197,MATCH(G681,Coordinates!$J$2:$J$197,0))</f>
        <v>34.818977969999999</v>
      </c>
      <c r="AL681" s="270" t="str">
        <f>IF(ISNUMBER(SEARCH("C", 'Dry_Litterbag Placem_Collection'!V22)),"YES","NO")</f>
        <v>NO</v>
      </c>
      <c r="AM681" s="270" t="str">
        <f>IF(ISNUMBER(SEARCH("H", 'Dry_Litterbag Placem_Collection'!V22)),"YES","NO")</f>
        <v>NO</v>
      </c>
      <c r="AN681" s="270" t="str">
        <f>IF(ISNUMBER(SEARCH("R", 'Dry_Litterbag Placem_Collection'!V22)),"YES","NO")</f>
        <v>NO</v>
      </c>
    </row>
    <row r="682" spans="1:40" ht="15" customHeight="1">
      <c r="A682" s="262" t="s">
        <v>2659</v>
      </c>
      <c r="B682" s="263">
        <f>'Dry_Litterbag Placem_Collection'!A23</f>
        <v>21</v>
      </c>
      <c r="C682" s="263" t="str">
        <f>'Dry_Litterbag Placem_Collection'!B23</f>
        <v>Makao</v>
      </c>
      <c r="D682" s="263" t="s">
        <v>2659</v>
      </c>
      <c r="E682" s="263" t="s">
        <v>2660</v>
      </c>
      <c r="F682" s="263">
        <v>3</v>
      </c>
      <c r="G682" s="264" t="str">
        <f>'Dry_Litterbag Placem_Collection'!C23</f>
        <v>Dry_Ag3_T5</v>
      </c>
      <c r="H682" s="273" t="s">
        <v>3651</v>
      </c>
      <c r="I682" s="274" t="s">
        <v>298</v>
      </c>
      <c r="J682" s="263" t="str">
        <f>IF(ISBLANK('Dry_Litterbag Placem_Collection'!M23),"","R"&amp;""&amp;'Dry_Litterbag Placem_Collection'!M23)</f>
        <v>R209</v>
      </c>
      <c r="K682" s="267">
        <f>IFERROR(INDEX('Green_rooibos initial weight'!$C$5:$C$1749,MATCH(J682, 'Green_rooibos initial weight'!$A$5:$A$1749,0)),"")</f>
        <v>2.2069999999999999</v>
      </c>
      <c r="L682" s="267">
        <f>IFERROR(K682-(TBIcalc!$Q$9+TBIcalc!$Q$10),"")</f>
        <v>1.9571999999999998</v>
      </c>
      <c r="M682" s="391">
        <f>AVERAGE(Ashed_controlls!$K$12:$K$14)</f>
        <v>2.2816647271287041</v>
      </c>
      <c r="N682" s="267">
        <f t="shared" si="51"/>
        <v>1.9125432579606367</v>
      </c>
      <c r="O682" s="267" t="str">
        <f>IF(IFERROR(INDEX('Both teabags AfterDry'!$D$3:$D$900,MATCH(J682,'Both teabags AfterDry'!$A$3:$A$900,0)),"")="","",(IFERROR(INDEX('Both teabags AfterDry'!$D$3:$D$900,MATCH(J682,'Both teabags AfterDry'!$A$3:$A$900,0)),"")))</f>
        <v/>
      </c>
      <c r="P682" s="267" t="str">
        <f>IFERROR(IF(O682&gt;0,O682-(TBIcalc!$Q$9),""),"")</f>
        <v/>
      </c>
      <c r="Q682" s="278" t="str">
        <f>IFERROR(INDEX('Ashed teabags dry'!$K$2:$K$825,MATCH(J682,'Ashed teabags dry'!$A$2:$A$825,0)),"")</f>
        <v/>
      </c>
      <c r="R682" s="278" t="str">
        <f t="shared" si="52"/>
        <v/>
      </c>
      <c r="S682" s="268">
        <f>'Dry_Litterbag Placem_Collection'!E23</f>
        <v>42936</v>
      </c>
      <c r="T682" s="268">
        <f>IF('Dry_Litterbag Placem_Collection'!G23="","",'Dry_Litterbag Placem_Collection'!G23)</f>
        <v>43007</v>
      </c>
      <c r="U682" s="269">
        <f t="shared" si="50"/>
        <v>71</v>
      </c>
      <c r="V682" s="267" t="str">
        <f t="shared" si="53"/>
        <v/>
      </c>
      <c r="W682" s="267" t="str">
        <f t="shared" si="54"/>
        <v/>
      </c>
      <c r="X682" s="271">
        <f>IFERROR(INDEX(Rainfall_Dry!$O$2:$O$217,MATCH(B682, Rainfall_Dry!$A$2:$A$217,0)),"")</f>
        <v>6.900000125</v>
      </c>
      <c r="Y682" s="260">
        <v>54.080969906906262</v>
      </c>
      <c r="Z682" s="260">
        <v>21.264484651351896</v>
      </c>
      <c r="AA682" s="260">
        <v>24.654545441741845</v>
      </c>
      <c r="AB682" s="261" t="s">
        <v>2673</v>
      </c>
      <c r="AC682" s="260">
        <v>5.8433218334154802</v>
      </c>
      <c r="AD682" t="str">
        <f>IF('WetLitterbags placem_collection'!AB23="","",'WetLitterbags placem_collection'!AB23)</f>
        <v/>
      </c>
      <c r="AE682" t="str">
        <f>IF('WetLitterbags placem_collection'!Z23="","",'WetLitterbags placem_collection'!Z23)</f>
        <v/>
      </c>
      <c r="AF682" s="246" t="str">
        <f>IF('WetLitterbags placem_collection'!AA23="","",'WetLitterbags placem_collection'!AA23)</f>
        <v/>
      </c>
      <c r="AG682" t="str">
        <f>IF('WetLitterbags placem_collection'!AC23="","",'WetLitterbags placem_collection'!AC23)</f>
        <v/>
      </c>
      <c r="AH682">
        <f>IFERROR(AVERAGE('Dry_Litterbag Placem_Collection'!O23,'Dry_Litterbag Placem_Collection'!R23),"")</f>
        <v>13.2</v>
      </c>
      <c r="AI682" s="271">
        <f>IFERROR(AVERAGE('Dry_Litterbag Placem_Collection'!N23,'Dry_Litterbag Placem_Collection'!Q23),"")</f>
        <v>26.1</v>
      </c>
      <c r="AJ682" s="270">
        <f>INDEX(Coordinates!$B$2:$B$197,MATCH(G682,Coordinates!$J$2:$J$197,0))</f>
        <v>-3.3854019919999998</v>
      </c>
      <c r="AK682" s="270">
        <f>INDEX(Coordinates!$C$2:$C$197,MATCH(G682,Coordinates!$J$2:$J$197,0))</f>
        <v>34.81894604</v>
      </c>
      <c r="AL682" s="270" t="str">
        <f>IF(ISNUMBER(SEARCH("C", 'Dry_Litterbag Placem_Collection'!V23)),"YES","NO")</f>
        <v>NO</v>
      </c>
      <c r="AM682" s="270" t="str">
        <f>IF(ISNUMBER(SEARCH("H", 'Dry_Litterbag Placem_Collection'!V23)),"YES","NO")</f>
        <v>NO</v>
      </c>
      <c r="AN682" s="270" t="str">
        <f>IF(ISNUMBER(SEARCH("R", 'Dry_Litterbag Placem_Collection'!V23)),"YES","NO")</f>
        <v>NO</v>
      </c>
    </row>
    <row r="683" spans="1:40" ht="15" customHeight="1">
      <c r="A683" s="262" t="s">
        <v>2659</v>
      </c>
      <c r="B683" s="263">
        <f>'Dry_Litterbag Placem_Collection'!A24</f>
        <v>22</v>
      </c>
      <c r="C683" s="263" t="str">
        <f>'Dry_Litterbag Placem_Collection'!B24</f>
        <v>Makao</v>
      </c>
      <c r="D683" s="263" t="s">
        <v>2659</v>
      </c>
      <c r="E683" s="263" t="s">
        <v>2660</v>
      </c>
      <c r="F683" s="263">
        <v>3</v>
      </c>
      <c r="G683" s="264" t="str">
        <f>'Dry_Litterbag Placem_Collection'!C24</f>
        <v>Dry_Ag3_T6</v>
      </c>
      <c r="H683" s="273" t="s">
        <v>3651</v>
      </c>
      <c r="I683" s="274" t="s">
        <v>298</v>
      </c>
      <c r="J683" s="263" t="str">
        <f>IF(ISBLANK('Dry_Litterbag Placem_Collection'!M24),"","R"&amp;""&amp;'Dry_Litterbag Placem_Collection'!M24)</f>
        <v>R646</v>
      </c>
      <c r="K683" s="267">
        <f>IFERROR(INDEX('Green_rooibos initial weight'!$C$5:$C$1749,MATCH(J683, 'Green_rooibos initial weight'!$A$5:$A$1749,0)),"")</f>
        <v>2.1480000000000001</v>
      </c>
      <c r="L683" s="267">
        <f>IFERROR(K683-(TBIcalc!$Q$9+TBIcalc!$Q$10),"")</f>
        <v>1.8982000000000001</v>
      </c>
      <c r="M683" s="391">
        <f>AVERAGE(Ashed_controlls!$K$12:$K$14)</f>
        <v>2.2816647271287041</v>
      </c>
      <c r="N683" s="267">
        <f t="shared" si="51"/>
        <v>1.854889440149643</v>
      </c>
      <c r="O683" s="267">
        <f>IF(IFERROR(INDEX('Both teabags AfterDry'!$D$3:$D$900,MATCH(J683,'Both teabags AfterDry'!$A$3:$A$900,0)),"")="","",(IFERROR(INDEX('Both teabags AfterDry'!$D$3:$D$900,MATCH(J683,'Both teabags AfterDry'!$A$3:$A$900,0)),"")))</f>
        <v>1.8704000000000001</v>
      </c>
      <c r="P683" s="267">
        <f>IFERROR(IF(O683&gt;0,O683-(TBIcalc!$Q$9),""),"")</f>
        <v>1.7198</v>
      </c>
      <c r="Q683" s="278">
        <f>IFERROR(INDEX('Ashed teabags dry'!$K$2:$K$825,MATCH(J683,'Ashed teabags dry'!$A$2:$A$825,0)),"")</f>
        <v>2.497502497502583</v>
      </c>
      <c r="R683" s="278">
        <f t="shared" si="52"/>
        <v>1.6768479520479507</v>
      </c>
      <c r="S683" s="268">
        <f>'Dry_Litterbag Placem_Collection'!E24</f>
        <v>42936</v>
      </c>
      <c r="T683" s="268">
        <f>IF('Dry_Litterbag Placem_Collection'!G24="","",'Dry_Litterbag Placem_Collection'!G24)</f>
        <v>43007</v>
      </c>
      <c r="U683" s="269">
        <f t="shared" si="50"/>
        <v>71</v>
      </c>
      <c r="V683" s="267">
        <f t="shared" si="53"/>
        <v>0.17840000000000011</v>
      </c>
      <c r="W683" s="267">
        <f t="shared" si="54"/>
        <v>0.17804148810169229</v>
      </c>
      <c r="X683" s="271">
        <f>IFERROR(INDEX(Rainfall_Dry!$O$2:$O$217,MATCH(B683, Rainfall_Dry!$A$2:$A$217,0)),"")</f>
        <v>6.900000125</v>
      </c>
      <c r="Y683" s="260">
        <v>54.080969906906262</v>
      </c>
      <c r="Z683" s="260">
        <v>21.264484651351896</v>
      </c>
      <c r="AA683" s="260">
        <v>24.654545441741845</v>
      </c>
      <c r="AB683" s="261" t="s">
        <v>2673</v>
      </c>
      <c r="AC683" s="260">
        <v>6.8433218334154802</v>
      </c>
      <c r="AD683" t="str">
        <f>IF('WetLitterbags placem_collection'!AB24="","",'WetLitterbags placem_collection'!AB24)</f>
        <v/>
      </c>
      <c r="AE683" t="str">
        <f>IF('WetLitterbags placem_collection'!Z24="","",'WetLitterbags placem_collection'!Z24)</f>
        <v/>
      </c>
      <c r="AF683" s="246" t="str">
        <f>IF('WetLitterbags placem_collection'!AA24="","",'WetLitterbags placem_collection'!AA24)</f>
        <v/>
      </c>
      <c r="AG683" t="str">
        <f>IF('WetLitterbags placem_collection'!AC24="","",'WetLitterbags placem_collection'!AC24)</f>
        <v/>
      </c>
      <c r="AH683">
        <f>IFERROR(AVERAGE('Dry_Litterbag Placem_Collection'!O24,'Dry_Litterbag Placem_Collection'!R24),"")</f>
        <v>19.05</v>
      </c>
      <c r="AI683" s="271">
        <f>IFERROR(AVERAGE('Dry_Litterbag Placem_Collection'!N24,'Dry_Litterbag Placem_Collection'!Q24),"")</f>
        <v>25.75</v>
      </c>
      <c r="AJ683" s="270">
        <f>INDEX(Coordinates!$B$2:$B$197,MATCH(G683,Coordinates!$J$2:$J$197,0))</f>
        <v>-3.3854470029999999</v>
      </c>
      <c r="AK683" s="270">
        <f>INDEX(Coordinates!$C$2:$C$197,MATCH(G683,Coordinates!$J$2:$J$197,0))</f>
        <v>34.818946959999998</v>
      </c>
      <c r="AL683" s="270" t="str">
        <f>IF(ISNUMBER(SEARCH("C", 'Dry_Litterbag Placem_Collection'!V24)),"YES","NO")</f>
        <v>NO</v>
      </c>
      <c r="AM683" s="270" t="str">
        <f>IF(ISNUMBER(SEARCH("H", 'Dry_Litterbag Placem_Collection'!V24)),"YES","NO")</f>
        <v>NO</v>
      </c>
      <c r="AN683" s="270" t="str">
        <f>IF(ISNUMBER(SEARCH("R", 'Dry_Litterbag Placem_Collection'!V24)),"YES","NO")</f>
        <v>NO</v>
      </c>
    </row>
    <row r="684" spans="1:40" ht="15" customHeight="1">
      <c r="A684" s="262" t="s">
        <v>2659</v>
      </c>
      <c r="B684" s="263">
        <f>'Dry_Litterbag Placem_Collection'!A25</f>
        <v>23</v>
      </c>
      <c r="C684" s="263" t="str">
        <f>'Dry_Litterbag Placem_Collection'!B25</f>
        <v>Makao</v>
      </c>
      <c r="D684" s="263" t="s">
        <v>2659</v>
      </c>
      <c r="E684" s="263" t="s">
        <v>2660</v>
      </c>
      <c r="F684" s="263">
        <v>3</v>
      </c>
      <c r="G684" s="264" t="str">
        <f>'Dry_Litterbag Placem_Collection'!C25</f>
        <v>Dry_Ag3_T7</v>
      </c>
      <c r="H684" s="273" t="s">
        <v>3651</v>
      </c>
      <c r="I684" s="274" t="s">
        <v>298</v>
      </c>
      <c r="J684" s="263" t="str">
        <f>IF(ISBLANK('Dry_Litterbag Placem_Collection'!M25),"","R"&amp;""&amp;'Dry_Litterbag Placem_Collection'!M25)</f>
        <v/>
      </c>
      <c r="K684" s="267" t="str">
        <f>IFERROR(INDEX('Green_rooibos initial weight'!$C$5:$C$1749,MATCH(J684, 'Green_rooibos initial weight'!$A$5:$A$1749,0)),"")</f>
        <v/>
      </c>
      <c r="L684" s="267" t="str">
        <f>IFERROR(K684-(TBIcalc!$Q$9+TBIcalc!$Q$10),"")</f>
        <v/>
      </c>
      <c r="M684" s="391">
        <f>AVERAGE(Ashed_controlls!$K$12:$K$14)</f>
        <v>2.2816647271287041</v>
      </c>
      <c r="N684" s="267" t="str">
        <f t="shared" si="51"/>
        <v/>
      </c>
      <c r="O684" s="267" t="str">
        <f>IF(IFERROR(INDEX('Both teabags AfterDry'!$D$3:$D$900,MATCH(J684,'Both teabags AfterDry'!$A$3:$A$900,0)),"")="","",(IFERROR(INDEX('Both teabags AfterDry'!$D$3:$D$900,MATCH(J684,'Both teabags AfterDry'!$A$3:$A$900,0)),"")))</f>
        <v/>
      </c>
      <c r="P684" s="267" t="str">
        <f>IFERROR(IF(O684&gt;0,O684-(TBIcalc!$Q$9),""),"")</f>
        <v/>
      </c>
      <c r="Q684" s="278" t="str">
        <f>IFERROR(INDEX('Ashed teabags dry'!$K$2:$K$825,MATCH(J684,'Ashed teabags dry'!$A$2:$A$825,0)),"")</f>
        <v/>
      </c>
      <c r="R684" s="278" t="str">
        <f t="shared" si="52"/>
        <v/>
      </c>
      <c r="S684" s="268">
        <f>'Dry_Litterbag Placem_Collection'!E25</f>
        <v>0</v>
      </c>
      <c r="T684" s="268" t="str">
        <f>IF('Dry_Litterbag Placem_Collection'!G25="","",'Dry_Litterbag Placem_Collection'!G25)</f>
        <v/>
      </c>
      <c r="U684" s="269" t="str">
        <f t="shared" si="50"/>
        <v/>
      </c>
      <c r="V684" s="267" t="str">
        <f t="shared" si="53"/>
        <v/>
      </c>
      <c r="W684" s="267" t="str">
        <f t="shared" si="54"/>
        <v/>
      </c>
      <c r="X684" s="271" t="str">
        <f>IFERROR(INDEX(Rainfall_Dry!$O$2:$O$217,MATCH(B684, Rainfall_Dry!$A$2:$A$217,0)),"")</f>
        <v/>
      </c>
      <c r="Y684" s="260">
        <v>54.080969906906262</v>
      </c>
      <c r="Z684" s="260">
        <v>21.264484651351896</v>
      </c>
      <c r="AA684" s="260">
        <v>24.654545441741845</v>
      </c>
      <c r="AB684" s="261" t="s">
        <v>2673</v>
      </c>
      <c r="AC684" s="260">
        <v>7.8433218334154802</v>
      </c>
      <c r="AD684" t="str">
        <f>IF('WetLitterbags placem_collection'!AB25="","",'WetLitterbags placem_collection'!AB25)</f>
        <v/>
      </c>
      <c r="AE684" t="str">
        <f>IF('WetLitterbags placem_collection'!Z25="","",'WetLitterbags placem_collection'!Z25)</f>
        <v/>
      </c>
      <c r="AF684" s="246" t="str">
        <f>IF('WetLitterbags placem_collection'!AA25="","",'WetLitterbags placem_collection'!AA25)</f>
        <v/>
      </c>
      <c r="AG684" t="str">
        <f>IF('WetLitterbags placem_collection'!AC25="","",'WetLitterbags placem_collection'!AC25)</f>
        <v/>
      </c>
      <c r="AH684" t="str">
        <f>IFERROR(AVERAGE('Dry_Litterbag Placem_Collection'!O25,'Dry_Litterbag Placem_Collection'!R25),"")</f>
        <v/>
      </c>
      <c r="AI684" s="271" t="str">
        <f>IFERROR(AVERAGE('Dry_Litterbag Placem_Collection'!N25,'Dry_Litterbag Placem_Collection'!Q25),"")</f>
        <v/>
      </c>
      <c r="AJ684" s="270">
        <f>INDEX(Coordinates!$B$2:$B$197,MATCH(G684,Coordinates!$J$2:$J$197,0))</f>
        <v>-3.3854200130000001</v>
      </c>
      <c r="AK684" s="270">
        <f>INDEX(Coordinates!$C$2:$C$197,MATCH(G684,Coordinates!$J$2:$J$197,0))</f>
        <v>34.818856019999998</v>
      </c>
      <c r="AL684" s="270" t="str">
        <f>IF(ISNUMBER(SEARCH("C", 'Dry_Litterbag Placem_Collection'!V25)),"YES","NO")</f>
        <v>NO</v>
      </c>
      <c r="AM684" s="270" t="str">
        <f>IF(ISNUMBER(SEARCH("H", 'Dry_Litterbag Placem_Collection'!V25)),"YES","NO")</f>
        <v>NO</v>
      </c>
      <c r="AN684" s="270" t="str">
        <f>IF(ISNUMBER(SEARCH("R", 'Dry_Litterbag Placem_Collection'!V25)),"YES","NO")</f>
        <v>NO</v>
      </c>
    </row>
    <row r="685" spans="1:40" ht="15" customHeight="1">
      <c r="A685" s="262" t="s">
        <v>2659</v>
      </c>
      <c r="B685" s="263">
        <f>'Dry_Litterbag Placem_Collection'!A26</f>
        <v>24</v>
      </c>
      <c r="C685" s="263" t="str">
        <f>'Dry_Litterbag Placem_Collection'!B26</f>
        <v>Makao</v>
      </c>
      <c r="D685" s="263" t="s">
        <v>2659</v>
      </c>
      <c r="E685" s="263" t="s">
        <v>2660</v>
      </c>
      <c r="F685" s="263">
        <v>3</v>
      </c>
      <c r="G685" s="264" t="str">
        <f>'Dry_Litterbag Placem_Collection'!C26</f>
        <v>Dry_Ag3_T8</v>
      </c>
      <c r="H685" s="273" t="s">
        <v>3651</v>
      </c>
      <c r="I685" s="274" t="s">
        <v>298</v>
      </c>
      <c r="J685" s="263" t="str">
        <f>IF(ISBLANK('Dry_Litterbag Placem_Collection'!M26),"","R"&amp;""&amp;'Dry_Litterbag Placem_Collection'!M26)</f>
        <v>R650</v>
      </c>
      <c r="K685" s="267">
        <f>IFERROR(INDEX('Green_rooibos initial weight'!$C$5:$C$1749,MATCH(J685, 'Green_rooibos initial weight'!$A$5:$A$1749,0)),"")</f>
        <v>2.169</v>
      </c>
      <c r="L685" s="267">
        <f>IFERROR(K685-(TBIcalc!$Q$9+TBIcalc!$Q$10),"")</f>
        <v>1.9192</v>
      </c>
      <c r="M685" s="391">
        <f>AVERAGE(Ashed_controlls!$K$12:$K$14)</f>
        <v>2.2816647271287041</v>
      </c>
      <c r="N685" s="267">
        <f t="shared" si="51"/>
        <v>1.8754102905569459</v>
      </c>
      <c r="O685" s="267">
        <f>IF(IFERROR(INDEX('Both teabags AfterDry'!$D$3:$D$900,MATCH(J685,'Both teabags AfterDry'!$A$3:$A$900,0)),"")="","",(IFERROR(INDEX('Both teabags AfterDry'!$D$3:$D$900,MATCH(J685,'Both teabags AfterDry'!$A$3:$A$900,0)),"")))</f>
        <v>1.9756</v>
      </c>
      <c r="P685" s="267">
        <f>IFERROR(IF(O685&gt;0,O685-(TBIcalc!$Q$9),""),"")</f>
        <v>1.825</v>
      </c>
      <c r="Q685" s="278">
        <f>IFERROR(INDEX('Ashed teabags dry'!$K$2:$K$825,MATCH(J685,'Ashed teabags dry'!$A$2:$A$825,0)),"")</f>
        <v>3.4467713787080392</v>
      </c>
      <c r="R685" s="278">
        <f t="shared" si="52"/>
        <v>1.7620964223385782</v>
      </c>
      <c r="S685" s="268">
        <f>'Dry_Litterbag Placem_Collection'!E26</f>
        <v>42936</v>
      </c>
      <c r="T685" s="268">
        <f>IF('Dry_Litterbag Placem_Collection'!G26="","",'Dry_Litterbag Placem_Collection'!G26)</f>
        <v>43007</v>
      </c>
      <c r="U685" s="269">
        <f t="shared" si="50"/>
        <v>71</v>
      </c>
      <c r="V685" s="267">
        <f t="shared" si="53"/>
        <v>9.4200000000000061E-2</v>
      </c>
      <c r="W685" s="267">
        <f t="shared" si="54"/>
        <v>0.11331386821836764</v>
      </c>
      <c r="X685" s="271">
        <f>IFERROR(INDEX(Rainfall_Dry!$O$2:$O$217,MATCH(B685, Rainfall_Dry!$A$2:$A$217,0)),"")</f>
        <v>6.900000125</v>
      </c>
      <c r="Y685" s="260">
        <v>54.080969906906262</v>
      </c>
      <c r="Z685" s="260">
        <v>21.264484651351896</v>
      </c>
      <c r="AA685" s="260">
        <v>24.654545441741845</v>
      </c>
      <c r="AB685" s="261" t="s">
        <v>2673</v>
      </c>
      <c r="AC685" s="260">
        <v>8.8433218334154695</v>
      </c>
      <c r="AD685" t="str">
        <f>IF('WetLitterbags placem_collection'!AB26="","",'WetLitterbags placem_collection'!AB26)</f>
        <v/>
      </c>
      <c r="AE685" t="str">
        <f>IF('WetLitterbags placem_collection'!Z26="","",'WetLitterbags placem_collection'!Z26)</f>
        <v/>
      </c>
      <c r="AF685" s="246" t="str">
        <f>IF('WetLitterbags placem_collection'!AA26="","",'WetLitterbags placem_collection'!AA26)</f>
        <v/>
      </c>
      <c r="AG685" t="str">
        <f>IF('WetLitterbags placem_collection'!AC26="","",'WetLitterbags placem_collection'!AC26)</f>
        <v/>
      </c>
      <c r="AH685">
        <f>IFERROR(AVERAGE('Dry_Litterbag Placem_Collection'!O26,'Dry_Litterbag Placem_Collection'!R26),"")</f>
        <v>15.6</v>
      </c>
      <c r="AI685" s="271">
        <f>IFERROR(AVERAGE('Dry_Litterbag Placem_Collection'!N26,'Dry_Litterbag Placem_Collection'!Q26),"")</f>
        <v>25.5</v>
      </c>
      <c r="AJ685" s="270">
        <f>INDEX(Coordinates!$B$2:$B$197,MATCH(G685,Coordinates!$J$2:$J$197,0))</f>
        <v>-3.3853829649999998</v>
      </c>
      <c r="AK685" s="270">
        <f>INDEX(Coordinates!$C$2:$C$197,MATCH(G685,Coordinates!$J$2:$J$197,0))</f>
        <v>34.818877980000003</v>
      </c>
      <c r="AL685" s="270" t="str">
        <f>IF(ISNUMBER(SEARCH("C", 'Dry_Litterbag Placem_Collection'!V26)),"YES","NO")</f>
        <v>NO</v>
      </c>
      <c r="AM685" s="270" t="str">
        <f>IF(ISNUMBER(SEARCH("H", 'Dry_Litterbag Placem_Collection'!V26)),"YES","NO")</f>
        <v>NO</v>
      </c>
      <c r="AN685" s="270" t="str">
        <f>IF(ISNUMBER(SEARCH("R", 'Dry_Litterbag Placem_Collection'!V26)),"YES","NO")</f>
        <v>NO</v>
      </c>
    </row>
    <row r="686" spans="1:40" ht="15" customHeight="1">
      <c r="A686" s="262" t="s">
        <v>2659</v>
      </c>
      <c r="B686" s="263">
        <f>'Dry_Litterbag Placem_Collection'!A27</f>
        <v>25</v>
      </c>
      <c r="C686" s="263" t="str">
        <f>'Dry_Litterbag Placem_Collection'!B27</f>
        <v>Makao</v>
      </c>
      <c r="D686" s="263" t="s">
        <v>2659</v>
      </c>
      <c r="E686" s="263" t="s">
        <v>2660</v>
      </c>
      <c r="F686" s="263">
        <v>4</v>
      </c>
      <c r="G686" s="264" t="str">
        <f>'Dry_Litterbag Placem_Collection'!C27</f>
        <v>Dry_Ag4_T1</v>
      </c>
      <c r="H686" s="273" t="s">
        <v>3651</v>
      </c>
      <c r="I686" s="274" t="s">
        <v>298</v>
      </c>
      <c r="J686" s="263" t="str">
        <f>IF(ISBLANK('Dry_Litterbag Placem_Collection'!M27),"","R"&amp;""&amp;'Dry_Litterbag Placem_Collection'!M27)</f>
        <v>R230</v>
      </c>
      <c r="K686" s="267">
        <f>IFERROR(INDEX('Green_rooibos initial weight'!$C$5:$C$1749,MATCH(J686, 'Green_rooibos initial weight'!$A$5:$A$1749,0)),"")</f>
        <v>2.2589999999999999</v>
      </c>
      <c r="L686" s="267">
        <f>IFERROR(K686-(TBIcalc!$Q$9+TBIcalc!$Q$10),"")</f>
        <v>2.0091999999999999</v>
      </c>
      <c r="M686" s="391">
        <f>AVERAGE(Ashed_controlls!$K$12:$K$14)</f>
        <v>2.2816647271287041</v>
      </c>
      <c r="N686" s="267">
        <f t="shared" si="51"/>
        <v>1.9633567923025299</v>
      </c>
      <c r="O686" s="267">
        <f>IF(IFERROR(INDEX('Both teabags AfterDry'!$D$3:$D$900,MATCH(J686,'Both teabags AfterDry'!$A$3:$A$900,0)),"")="","",(IFERROR(INDEX('Both teabags AfterDry'!$D$3:$D$900,MATCH(J686,'Both teabags AfterDry'!$A$3:$A$900,0)),"")))</f>
        <v>2.0360999999999998</v>
      </c>
      <c r="P686" s="267">
        <f>IFERROR(IF(O686&gt;0,O686-(TBIcalc!$Q$9),""),"")</f>
        <v>1.8854999999999997</v>
      </c>
      <c r="Q686" s="278">
        <f>IFERROR(INDEX('Ashed teabags dry'!$K$2:$K$825,MATCH(J686,'Ashed teabags dry'!$A$2:$A$825,0)),"")</f>
        <v>3.0508474576268232</v>
      </c>
      <c r="R686" s="278">
        <f t="shared" si="52"/>
        <v>1.827976271186446</v>
      </c>
      <c r="S686" s="268">
        <f>'Dry_Litterbag Placem_Collection'!E27</f>
        <v>42936</v>
      </c>
      <c r="T686" s="268">
        <f>IF('Dry_Litterbag Placem_Collection'!G27="","",'Dry_Litterbag Placem_Collection'!G27)</f>
        <v>43007</v>
      </c>
      <c r="U686" s="269">
        <f t="shared" si="50"/>
        <v>71</v>
      </c>
      <c r="V686" s="267">
        <f t="shared" si="53"/>
        <v>0.12370000000000014</v>
      </c>
      <c r="W686" s="267">
        <f t="shared" si="54"/>
        <v>0.1353805211160839</v>
      </c>
      <c r="X686" s="271">
        <f>IFERROR(INDEX(Rainfall_Dry!$O$2:$O$217,MATCH(B686, Rainfall_Dry!$A$2:$A$217,0)),"")</f>
        <v>6.900000125</v>
      </c>
      <c r="Y686" s="260">
        <v>51.960000000000008</v>
      </c>
      <c r="Z686" s="260">
        <v>18.919999999999995</v>
      </c>
      <c r="AA686" s="260">
        <v>29.120000000000005</v>
      </c>
      <c r="AB686" s="261" t="s">
        <v>2673</v>
      </c>
      <c r="AC686" s="260">
        <v>1.85293247905372</v>
      </c>
      <c r="AD686" t="str">
        <f>IF('WetLitterbags placem_collection'!AB27="","",'WetLitterbags placem_collection'!AB27)</f>
        <v/>
      </c>
      <c r="AE686" t="str">
        <f>IF('WetLitterbags placem_collection'!Z27="","",'WetLitterbags placem_collection'!Z27)</f>
        <v/>
      </c>
      <c r="AF686" s="246" t="str">
        <f>IF('WetLitterbags placem_collection'!AA27="","",'WetLitterbags placem_collection'!AA27)</f>
        <v/>
      </c>
      <c r="AG686" t="str">
        <f>IF('WetLitterbags placem_collection'!AC27="","",'WetLitterbags placem_collection'!AC27)</f>
        <v/>
      </c>
      <c r="AH686">
        <f>IFERROR(AVERAGE('Dry_Litterbag Placem_Collection'!O27,'Dry_Litterbag Placem_Collection'!R27),"")</f>
        <v>9.85</v>
      </c>
      <c r="AI686" s="271">
        <f>IFERROR(AVERAGE('Dry_Litterbag Placem_Collection'!N27,'Dry_Litterbag Placem_Collection'!Q27),"")</f>
        <v>25.4</v>
      </c>
      <c r="AJ686" s="270">
        <f>INDEX(Coordinates!$B$2:$B$197,MATCH(G686,Coordinates!$J$2:$J$197,0))</f>
        <v>-3.3849129919999998</v>
      </c>
      <c r="AK686" s="270">
        <f>INDEX(Coordinates!$C$2:$C$197,MATCH(G686,Coordinates!$J$2:$J$197,0))</f>
        <v>34.818899020000003</v>
      </c>
      <c r="AL686" s="270" t="str">
        <f>IF(ISNUMBER(SEARCH("C", 'Dry_Litterbag Placem_Collection'!V27)),"YES","NO")</f>
        <v>NO</v>
      </c>
      <c r="AM686" s="270" t="str">
        <f>IF(ISNUMBER(SEARCH("H", 'Dry_Litterbag Placem_Collection'!V27)),"YES","NO")</f>
        <v>NO</v>
      </c>
      <c r="AN686" s="270" t="str">
        <f>IF(ISNUMBER(SEARCH("R", 'Dry_Litterbag Placem_Collection'!V27)),"YES","NO")</f>
        <v>NO</v>
      </c>
    </row>
    <row r="687" spans="1:40" ht="15" customHeight="1">
      <c r="A687" s="262" t="s">
        <v>2659</v>
      </c>
      <c r="B687" s="263">
        <f>'Dry_Litterbag Placem_Collection'!A28</f>
        <v>26</v>
      </c>
      <c r="C687" s="263" t="str">
        <f>'Dry_Litterbag Placem_Collection'!B28</f>
        <v>Makao</v>
      </c>
      <c r="D687" s="263" t="s">
        <v>2659</v>
      </c>
      <c r="E687" s="263" t="s">
        <v>2660</v>
      </c>
      <c r="F687" s="263">
        <v>4</v>
      </c>
      <c r="G687" s="264" t="str">
        <f>'Dry_Litterbag Placem_Collection'!C28</f>
        <v>Dry_Ag4_T2</v>
      </c>
      <c r="H687" s="273" t="s">
        <v>3651</v>
      </c>
      <c r="I687" s="274" t="s">
        <v>298</v>
      </c>
      <c r="J687" s="263" t="str">
        <f>IF(ISBLANK('Dry_Litterbag Placem_Collection'!M28),"","R"&amp;""&amp;'Dry_Litterbag Placem_Collection'!M28)</f>
        <v>R642</v>
      </c>
      <c r="K687" s="267">
        <f>IFERROR(INDEX('Green_rooibos initial weight'!$C$5:$C$1749,MATCH(J687, 'Green_rooibos initial weight'!$A$5:$A$1749,0)),"")</f>
        <v>2.14</v>
      </c>
      <c r="L687" s="267">
        <f>IFERROR(K687-(TBIcalc!$Q$9+TBIcalc!$Q$10),"")</f>
        <v>1.8902000000000001</v>
      </c>
      <c r="M687" s="391">
        <f>AVERAGE(Ashed_controlls!$K$12:$K$14)</f>
        <v>2.2816647271287041</v>
      </c>
      <c r="N687" s="267">
        <f t="shared" si="51"/>
        <v>1.8470719733278134</v>
      </c>
      <c r="O687" s="267">
        <f>IF(IFERROR(INDEX('Both teabags AfterDry'!$D$3:$D$900,MATCH(J687,'Both teabags AfterDry'!$A$3:$A$900,0)),"")="","",(IFERROR(INDEX('Both teabags AfterDry'!$D$3:$D$900,MATCH(J687,'Both teabags AfterDry'!$A$3:$A$900,0)),"")))</f>
        <v>1.9686999999999999</v>
      </c>
      <c r="P687" s="267">
        <f>IFERROR(IF(O687&gt;0,O687-(TBIcalc!$Q$9),""),"")</f>
        <v>1.8180999999999998</v>
      </c>
      <c r="Q687" s="278">
        <f>IFERROR(INDEX('Ashed teabags dry'!$K$2:$K$825,MATCH(J687,'Ashed teabags dry'!$A$2:$A$825,0)),"")</f>
        <v>2.1136683889149204</v>
      </c>
      <c r="R687" s="278">
        <f t="shared" si="52"/>
        <v>1.7796713950211376</v>
      </c>
      <c r="S687" s="268">
        <f>'Dry_Litterbag Placem_Collection'!E28</f>
        <v>42936</v>
      </c>
      <c r="T687" s="268">
        <f>IF('Dry_Litterbag Placem_Collection'!G28="","",'Dry_Litterbag Placem_Collection'!G28)</f>
        <v>43007</v>
      </c>
      <c r="U687" s="269">
        <f t="shared" si="50"/>
        <v>71</v>
      </c>
      <c r="V687" s="267">
        <f t="shared" si="53"/>
        <v>7.2100000000000275E-2</v>
      </c>
      <c r="W687" s="267">
        <f t="shared" si="54"/>
        <v>6.7400578306675785E-2</v>
      </c>
      <c r="X687" s="271">
        <f>IFERROR(INDEX(Rainfall_Dry!$O$2:$O$217,MATCH(B687, Rainfall_Dry!$A$2:$A$217,0)),"")</f>
        <v>6.900000125</v>
      </c>
      <c r="Y687" s="260">
        <v>51.960000000000008</v>
      </c>
      <c r="Z687" s="260">
        <v>18.919999999999995</v>
      </c>
      <c r="AA687" s="260">
        <v>29.120000000000005</v>
      </c>
      <c r="AB687" s="261" t="s">
        <v>2673</v>
      </c>
      <c r="AC687" s="260">
        <v>2.8529324790537198</v>
      </c>
      <c r="AD687" t="str">
        <f>IF('WetLitterbags placem_collection'!AB28="","",'WetLitterbags placem_collection'!AB28)</f>
        <v/>
      </c>
      <c r="AE687" t="str">
        <f>IF('WetLitterbags placem_collection'!Z28="","",'WetLitterbags placem_collection'!Z28)</f>
        <v/>
      </c>
      <c r="AF687" s="246" t="str">
        <f>IF('WetLitterbags placem_collection'!AA28="","",'WetLitterbags placem_collection'!AA28)</f>
        <v/>
      </c>
      <c r="AG687" t="str">
        <f>IF('WetLitterbags placem_collection'!AC28="","",'WetLitterbags placem_collection'!AC28)</f>
        <v/>
      </c>
      <c r="AH687">
        <f>IFERROR(AVERAGE('Dry_Litterbag Placem_Collection'!O28,'Dry_Litterbag Placem_Collection'!R28),"")</f>
        <v>8.1</v>
      </c>
      <c r="AI687" s="271">
        <f>IFERROR(AVERAGE('Dry_Litterbag Placem_Collection'!N28,'Dry_Litterbag Placem_Collection'!Q28),"")</f>
        <v>25.85</v>
      </c>
      <c r="AJ687" s="270">
        <f>INDEX(Coordinates!$B$2:$B$197,MATCH(G687,Coordinates!$J$2:$J$197,0))</f>
        <v>-3.3849689999999999</v>
      </c>
      <c r="AK687" s="270">
        <f>INDEX(Coordinates!$C$2:$C$197,MATCH(G687,Coordinates!$J$2:$J$197,0))</f>
        <v>34.818908</v>
      </c>
      <c r="AL687" s="270" t="str">
        <f>IF(ISNUMBER(SEARCH("C", 'Dry_Litterbag Placem_Collection'!V28)),"YES","NO")</f>
        <v>NO</v>
      </c>
      <c r="AM687" s="270" t="str">
        <f>IF(ISNUMBER(SEARCH("H", 'Dry_Litterbag Placem_Collection'!V28)),"YES","NO")</f>
        <v>NO</v>
      </c>
      <c r="AN687" s="270" t="str">
        <f>IF(ISNUMBER(SEARCH("R", 'Dry_Litterbag Placem_Collection'!V28)),"YES","NO")</f>
        <v>NO</v>
      </c>
    </row>
    <row r="688" spans="1:40" ht="15" customHeight="1">
      <c r="A688" s="262" t="s">
        <v>2659</v>
      </c>
      <c r="B688" s="263">
        <f>'Dry_Litterbag Placem_Collection'!A29</f>
        <v>27</v>
      </c>
      <c r="C688" s="263" t="str">
        <f>'Dry_Litterbag Placem_Collection'!B29</f>
        <v>Makao</v>
      </c>
      <c r="D688" s="263" t="s">
        <v>2659</v>
      </c>
      <c r="E688" s="263" t="s">
        <v>2660</v>
      </c>
      <c r="F688" s="263">
        <v>4</v>
      </c>
      <c r="G688" s="264" t="str">
        <f>'Dry_Litterbag Placem_Collection'!C29</f>
        <v>Dry_Ag4_T3</v>
      </c>
      <c r="H688" s="273" t="s">
        <v>3651</v>
      </c>
      <c r="I688" s="274" t="s">
        <v>298</v>
      </c>
      <c r="J688" s="263" t="str">
        <f>IF(ISBLANK('Dry_Litterbag Placem_Collection'!M29),"","R"&amp;""&amp;'Dry_Litterbag Placem_Collection'!M29)</f>
        <v>R199</v>
      </c>
      <c r="K688" s="267">
        <f>IFERROR(INDEX('Green_rooibos initial weight'!$C$5:$C$1749,MATCH(J688, 'Green_rooibos initial weight'!$A$5:$A$1749,0)),"")</f>
        <v>2.1850000000000001</v>
      </c>
      <c r="L688" s="267">
        <f>IFERROR(K688-(TBIcalc!$Q$9+TBIcalc!$Q$10),"")</f>
        <v>1.9352</v>
      </c>
      <c r="M688" s="391">
        <f>AVERAGE(Ashed_controlls!$K$12:$K$14)</f>
        <v>2.2816647271287041</v>
      </c>
      <c r="N688" s="267">
        <f t="shared" si="51"/>
        <v>1.8910452242006053</v>
      </c>
      <c r="O688" s="267" t="str">
        <f>IF(IFERROR(INDEX('Both teabags AfterDry'!$D$3:$D$900,MATCH(J688,'Both teabags AfterDry'!$A$3:$A$900,0)),"")="","",(IFERROR(INDEX('Both teabags AfterDry'!$D$3:$D$900,MATCH(J688,'Both teabags AfterDry'!$A$3:$A$900,0)),"")))</f>
        <v/>
      </c>
      <c r="P688" s="267" t="str">
        <f>IFERROR(IF(O688&gt;0,O688-(TBIcalc!$Q$9),""),"")</f>
        <v/>
      </c>
      <c r="Q688" s="278" t="str">
        <f>IFERROR(INDEX('Ashed teabags dry'!$K$2:$K$825,MATCH(J688,'Ashed teabags dry'!$A$2:$A$825,0)),"")</f>
        <v/>
      </c>
      <c r="R688" s="278" t="str">
        <f t="shared" si="52"/>
        <v/>
      </c>
      <c r="S688" s="268">
        <f>'Dry_Litterbag Placem_Collection'!E29</f>
        <v>42936</v>
      </c>
      <c r="T688" s="268">
        <f>IF('Dry_Litterbag Placem_Collection'!G29="","",'Dry_Litterbag Placem_Collection'!G29)</f>
        <v>43007</v>
      </c>
      <c r="U688" s="269">
        <f t="shared" si="50"/>
        <v>71</v>
      </c>
      <c r="V688" s="267" t="str">
        <f t="shared" si="53"/>
        <v/>
      </c>
      <c r="W688" s="267" t="str">
        <f t="shared" si="54"/>
        <v/>
      </c>
      <c r="X688" s="271">
        <f>IFERROR(INDEX(Rainfall_Dry!$O$2:$O$217,MATCH(B688, Rainfall_Dry!$A$2:$A$217,0)),"")</f>
        <v>6.900000125</v>
      </c>
      <c r="Y688" s="260">
        <v>51.960000000000008</v>
      </c>
      <c r="Z688" s="260">
        <v>18.919999999999995</v>
      </c>
      <c r="AA688" s="260">
        <v>29.120000000000005</v>
      </c>
      <c r="AB688" s="261" t="s">
        <v>2673</v>
      </c>
      <c r="AC688" s="260">
        <v>3.8529324790537198</v>
      </c>
      <c r="AD688" t="str">
        <f>IF('WetLitterbags placem_collection'!AB29="","",'WetLitterbags placem_collection'!AB29)</f>
        <v/>
      </c>
      <c r="AE688" t="str">
        <f>IF('WetLitterbags placem_collection'!Z29="","",'WetLitterbags placem_collection'!Z29)</f>
        <v/>
      </c>
      <c r="AF688" s="246" t="str">
        <f>IF('WetLitterbags placem_collection'!AA29="","",'WetLitterbags placem_collection'!AA29)</f>
        <v/>
      </c>
      <c r="AG688" t="str">
        <f>IF('WetLitterbags placem_collection'!AC29="","",'WetLitterbags placem_collection'!AC29)</f>
        <v/>
      </c>
      <c r="AH688">
        <f>IFERROR(AVERAGE('Dry_Litterbag Placem_Collection'!O29,'Dry_Litterbag Placem_Collection'!R29),"")</f>
        <v>14.1</v>
      </c>
      <c r="AI688" s="271">
        <f>IFERROR(AVERAGE('Dry_Litterbag Placem_Collection'!N29,'Dry_Litterbag Placem_Collection'!Q29),"")</f>
        <v>26.15</v>
      </c>
      <c r="AJ688" s="270">
        <f>INDEX(Coordinates!$B$2:$B$197,MATCH(G688,Coordinates!$J$2:$J$197,0))</f>
        <v>-3.3849350359999999</v>
      </c>
      <c r="AK688" s="270">
        <f>INDEX(Coordinates!$C$2:$C$197,MATCH(G688,Coordinates!$J$2:$J$197,0))</f>
        <v>34.818943019999999</v>
      </c>
      <c r="AL688" s="270" t="str">
        <f>IF(ISNUMBER(SEARCH("C", 'Dry_Litterbag Placem_Collection'!V29)),"YES","NO")</f>
        <v>NO</v>
      </c>
      <c r="AM688" s="270" t="str">
        <f>IF(ISNUMBER(SEARCH("H", 'Dry_Litterbag Placem_Collection'!V29)),"YES","NO")</f>
        <v>NO</v>
      </c>
      <c r="AN688" s="270" t="str">
        <f>IF(ISNUMBER(SEARCH("R", 'Dry_Litterbag Placem_Collection'!V29)),"YES","NO")</f>
        <v>NO</v>
      </c>
    </row>
    <row r="689" spans="1:40" ht="15" customHeight="1">
      <c r="A689" s="262" t="s">
        <v>2659</v>
      </c>
      <c r="B689" s="263">
        <f>'Dry_Litterbag Placem_Collection'!A30</f>
        <v>28</v>
      </c>
      <c r="C689" s="263" t="str">
        <f>'Dry_Litterbag Placem_Collection'!B30</f>
        <v>Makao</v>
      </c>
      <c r="D689" s="263" t="s">
        <v>2659</v>
      </c>
      <c r="E689" s="263" t="s">
        <v>2660</v>
      </c>
      <c r="F689" s="263">
        <v>4</v>
      </c>
      <c r="G689" s="264" t="str">
        <f>'Dry_Litterbag Placem_Collection'!C30</f>
        <v>Dry_Ag4_T4</v>
      </c>
      <c r="H689" s="273" t="s">
        <v>3651</v>
      </c>
      <c r="I689" s="274" t="s">
        <v>298</v>
      </c>
      <c r="J689" s="263" t="str">
        <f>IF(ISBLANK('Dry_Litterbag Placem_Collection'!M30),"","R"&amp;""&amp;'Dry_Litterbag Placem_Collection'!M30)</f>
        <v>R162</v>
      </c>
      <c r="K689" s="267">
        <f>IFERROR(INDEX('Green_rooibos initial weight'!$C$5:$C$1749,MATCH(J689, 'Green_rooibos initial weight'!$A$5:$A$1749,0)),"")</f>
        <v>2.242</v>
      </c>
      <c r="L689" s="267">
        <f>IFERROR(K689-(TBIcalc!$Q$9+TBIcalc!$Q$10),"")</f>
        <v>1.9922</v>
      </c>
      <c r="M689" s="391">
        <f>AVERAGE(Ashed_controlls!$K$12:$K$14)</f>
        <v>2.2816647271287041</v>
      </c>
      <c r="N689" s="267">
        <f t="shared" si="51"/>
        <v>1.9467446753061419</v>
      </c>
      <c r="O689" s="267">
        <f>IF(IFERROR(INDEX('Both teabags AfterDry'!$D$3:$D$900,MATCH(J689,'Both teabags AfterDry'!$A$3:$A$900,0)),"")="","",(IFERROR(INDEX('Both teabags AfterDry'!$D$3:$D$900,MATCH(J689,'Both teabags AfterDry'!$A$3:$A$900,0)),"")))</f>
        <v>1.964</v>
      </c>
      <c r="P689" s="267">
        <f>IFERROR(IF(O689&gt;0,O689-(TBIcalc!$Q$9),""),"")</f>
        <v>1.8133999999999999</v>
      </c>
      <c r="Q689" s="278">
        <f>IFERROR(INDEX('Ashed teabags dry'!$K$2:$K$825,MATCH(J689,'Ashed teabags dry'!$A$2:$A$825,0)),"")</f>
        <v>3.596059113301163</v>
      </c>
      <c r="R689" s="278">
        <f t="shared" si="52"/>
        <v>1.7481890640393967</v>
      </c>
      <c r="S689" s="268">
        <f>'Dry_Litterbag Placem_Collection'!E30</f>
        <v>42936</v>
      </c>
      <c r="T689" s="268">
        <f>IF('Dry_Litterbag Placem_Collection'!G30="","",'Dry_Litterbag Placem_Collection'!G30)</f>
        <v>43007</v>
      </c>
      <c r="U689" s="269">
        <f t="shared" si="50"/>
        <v>71</v>
      </c>
      <c r="V689" s="267">
        <f t="shared" si="53"/>
        <v>0.17880000000000007</v>
      </c>
      <c r="W689" s="267">
        <f t="shared" si="54"/>
        <v>0.19855561126674526</v>
      </c>
      <c r="X689" s="271">
        <f>IFERROR(INDEX(Rainfall_Dry!$O$2:$O$217,MATCH(B689, Rainfall_Dry!$A$2:$A$217,0)),"")</f>
        <v>6.900000125</v>
      </c>
      <c r="Y689" s="260">
        <v>51.960000000000008</v>
      </c>
      <c r="Z689" s="260">
        <v>18.919999999999995</v>
      </c>
      <c r="AA689" s="260">
        <v>29.120000000000005</v>
      </c>
      <c r="AB689" s="261" t="s">
        <v>2673</v>
      </c>
      <c r="AC689" s="260">
        <v>4.8529324790537203</v>
      </c>
      <c r="AD689" t="str">
        <f>IF('WetLitterbags placem_collection'!AB30="","",'WetLitterbags placem_collection'!AB30)</f>
        <v/>
      </c>
      <c r="AE689" t="str">
        <f>IF('WetLitterbags placem_collection'!Z30="","",'WetLitterbags placem_collection'!Z30)</f>
        <v/>
      </c>
      <c r="AF689" s="246" t="str">
        <f>IF('WetLitterbags placem_collection'!AA30="","",'WetLitterbags placem_collection'!AA30)</f>
        <v/>
      </c>
      <c r="AG689" t="str">
        <f>IF('WetLitterbags placem_collection'!AC30="","",'WetLitterbags placem_collection'!AC30)</f>
        <v/>
      </c>
      <c r="AH689">
        <f>IFERROR(AVERAGE('Dry_Litterbag Placem_Collection'!O30,'Dry_Litterbag Placem_Collection'!R30),"")</f>
        <v>9.1000000000000014</v>
      </c>
      <c r="AI689" s="271">
        <f>IFERROR(AVERAGE('Dry_Litterbag Placem_Collection'!N30,'Dry_Litterbag Placem_Collection'!Q30),"")</f>
        <v>25.700000000000003</v>
      </c>
      <c r="AJ689" s="270">
        <f>INDEX(Coordinates!$B$2:$B$197,MATCH(G689,Coordinates!$J$2:$J$197,0))</f>
        <v>-3.3850070369999998</v>
      </c>
      <c r="AK689" s="270">
        <f>INDEX(Coordinates!$C$2:$C$197,MATCH(G689,Coordinates!$J$2:$J$197,0))</f>
        <v>34.818888960000002</v>
      </c>
      <c r="AL689" s="270" t="str">
        <f>IF(ISNUMBER(SEARCH("C", 'Dry_Litterbag Placem_Collection'!V30)),"YES","NO")</f>
        <v>NO</v>
      </c>
      <c r="AM689" s="270" t="str">
        <f>IF(ISNUMBER(SEARCH("H", 'Dry_Litterbag Placem_Collection'!V30)),"YES","NO")</f>
        <v>NO</v>
      </c>
      <c r="AN689" s="270" t="str">
        <f>IF(ISNUMBER(SEARCH("R", 'Dry_Litterbag Placem_Collection'!V30)),"YES","NO")</f>
        <v>NO</v>
      </c>
    </row>
    <row r="690" spans="1:40" ht="15" customHeight="1">
      <c r="A690" s="262" t="s">
        <v>2659</v>
      </c>
      <c r="B690" s="263">
        <f>'Dry_Litterbag Placem_Collection'!A31</f>
        <v>29</v>
      </c>
      <c r="C690" s="263" t="str">
        <f>'Dry_Litterbag Placem_Collection'!B31</f>
        <v>Makao</v>
      </c>
      <c r="D690" s="263" t="s">
        <v>2659</v>
      </c>
      <c r="E690" s="263" t="s">
        <v>2660</v>
      </c>
      <c r="F690" s="263">
        <v>4</v>
      </c>
      <c r="G690" s="264" t="str">
        <f>'Dry_Litterbag Placem_Collection'!C31</f>
        <v>Dry_Ag4_T5</v>
      </c>
      <c r="H690" s="273" t="s">
        <v>3651</v>
      </c>
      <c r="I690" s="274" t="s">
        <v>298</v>
      </c>
      <c r="J690" s="263" t="str">
        <f>IF(ISBLANK('Dry_Litterbag Placem_Collection'!M31),"","R"&amp;""&amp;'Dry_Litterbag Placem_Collection'!M31)</f>
        <v>R163</v>
      </c>
      <c r="K690" s="267">
        <f>IFERROR(INDEX('Green_rooibos initial weight'!$C$5:$C$1749,MATCH(J690, 'Green_rooibos initial weight'!$A$5:$A$1749,0)),"")</f>
        <v>2.23</v>
      </c>
      <c r="L690" s="267">
        <f>IFERROR(K690-(TBIcalc!$Q$9+TBIcalc!$Q$10),"")</f>
        <v>1.9802</v>
      </c>
      <c r="M690" s="391">
        <f>AVERAGE(Ashed_controlls!$K$12:$K$14)</f>
        <v>2.2816647271287041</v>
      </c>
      <c r="N690" s="267">
        <f t="shared" si="51"/>
        <v>1.9350184750733974</v>
      </c>
      <c r="O690" s="267">
        <f>IF(IFERROR(INDEX('Both teabags AfterDry'!$D$3:$D$900,MATCH(J690,'Both teabags AfterDry'!$A$3:$A$900,0)),"")="","",(IFERROR(INDEX('Both teabags AfterDry'!$D$3:$D$900,MATCH(J690,'Both teabags AfterDry'!$A$3:$A$900,0)),"")))</f>
        <v>1.9955000000000001</v>
      </c>
      <c r="P690" s="267">
        <f>IFERROR(IF(O690&gt;0,O690-(TBIcalc!$Q$9),""),"")</f>
        <v>1.8449</v>
      </c>
      <c r="Q690" s="278">
        <f>IFERROR(INDEX('Ashed teabags dry'!$K$2:$K$825,MATCH(J690,'Ashed teabags dry'!$A$2:$A$825,0)),"")</f>
        <v>2.8292682926832247</v>
      </c>
      <c r="R690" s="278">
        <f t="shared" si="52"/>
        <v>1.7927028292682872</v>
      </c>
      <c r="S690" s="268">
        <f>'Dry_Litterbag Placem_Collection'!E31</f>
        <v>42936</v>
      </c>
      <c r="T690" s="268">
        <f>IF('Dry_Litterbag Placem_Collection'!G31="","",'Dry_Litterbag Placem_Collection'!G31)</f>
        <v>43007</v>
      </c>
      <c r="U690" s="269">
        <f t="shared" si="50"/>
        <v>71</v>
      </c>
      <c r="V690" s="267">
        <f t="shared" si="53"/>
        <v>0.13529999999999998</v>
      </c>
      <c r="W690" s="267">
        <f t="shared" si="54"/>
        <v>0.14231564580511025</v>
      </c>
      <c r="X690" s="271">
        <f>IFERROR(INDEX(Rainfall_Dry!$O$2:$O$217,MATCH(B690, Rainfall_Dry!$A$2:$A$217,0)),"")</f>
        <v>6.900000125</v>
      </c>
      <c r="Y690" s="260">
        <v>51.960000000000008</v>
      </c>
      <c r="Z690" s="260">
        <v>18.919999999999995</v>
      </c>
      <c r="AA690" s="260">
        <v>29.120000000000005</v>
      </c>
      <c r="AB690" s="261" t="s">
        <v>2673</v>
      </c>
      <c r="AC690" s="260">
        <v>5.8529324790537203</v>
      </c>
      <c r="AD690" t="str">
        <f>IF('WetLitterbags placem_collection'!AB31="","",'WetLitterbags placem_collection'!AB31)</f>
        <v/>
      </c>
      <c r="AE690" t="str">
        <f>IF('WetLitterbags placem_collection'!Z31="","",'WetLitterbags placem_collection'!Z31)</f>
        <v/>
      </c>
      <c r="AF690" s="246" t="str">
        <f>IF('WetLitterbags placem_collection'!AA31="","",'WetLitterbags placem_collection'!AA31)</f>
        <v/>
      </c>
      <c r="AG690" t="str">
        <f>IF('WetLitterbags placem_collection'!AC31="","",'WetLitterbags placem_collection'!AC31)</f>
        <v/>
      </c>
      <c r="AH690">
        <f>IFERROR(AVERAGE('Dry_Litterbag Placem_Collection'!O31,'Dry_Litterbag Placem_Collection'!R31),"")</f>
        <v>15.15</v>
      </c>
      <c r="AI690" s="271">
        <f>IFERROR(AVERAGE('Dry_Litterbag Placem_Collection'!N31,'Dry_Litterbag Placem_Collection'!Q31),"")</f>
        <v>25.65</v>
      </c>
      <c r="AJ690" s="270">
        <f>INDEX(Coordinates!$B$2:$B$197,MATCH(G690,Coordinates!$J$2:$J$197,0))</f>
        <v>-3.3849480280000002</v>
      </c>
      <c r="AK690" s="270">
        <f>INDEX(Coordinates!$C$2:$C$197,MATCH(G690,Coordinates!$J$2:$J$197,0))</f>
        <v>34.818854010000003</v>
      </c>
      <c r="AL690" s="270" t="str">
        <f>IF(ISNUMBER(SEARCH("C", 'Dry_Litterbag Placem_Collection'!V31)),"YES","NO")</f>
        <v>NO</v>
      </c>
      <c r="AM690" s="270" t="str">
        <f>IF(ISNUMBER(SEARCH("H", 'Dry_Litterbag Placem_Collection'!V31)),"YES","NO")</f>
        <v>NO</v>
      </c>
      <c r="AN690" s="270" t="str">
        <f>IF(ISNUMBER(SEARCH("R", 'Dry_Litterbag Placem_Collection'!V31)),"YES","NO")</f>
        <v>NO</v>
      </c>
    </row>
    <row r="691" spans="1:40" ht="15" customHeight="1">
      <c r="A691" s="262" t="s">
        <v>2659</v>
      </c>
      <c r="B691" s="263">
        <f>'Dry_Litterbag Placem_Collection'!A32</f>
        <v>30</v>
      </c>
      <c r="C691" s="263" t="str">
        <f>'Dry_Litterbag Placem_Collection'!B32</f>
        <v>Makao</v>
      </c>
      <c r="D691" s="263" t="s">
        <v>2659</v>
      </c>
      <c r="E691" s="263" t="s">
        <v>2660</v>
      </c>
      <c r="F691" s="263">
        <v>4</v>
      </c>
      <c r="G691" s="264" t="str">
        <f>'Dry_Litterbag Placem_Collection'!C32</f>
        <v>Dry_Ag4_T6</v>
      </c>
      <c r="H691" s="273" t="s">
        <v>3651</v>
      </c>
      <c r="I691" s="274" t="s">
        <v>298</v>
      </c>
      <c r="J691" s="263" t="str">
        <f>IF(ISBLANK('Dry_Litterbag Placem_Collection'!M32),"","R"&amp;""&amp;'Dry_Litterbag Placem_Collection'!M32)</f>
        <v>R345</v>
      </c>
      <c r="K691" s="267">
        <f>IFERROR(INDEX('Green_rooibos initial weight'!$C$5:$C$1749,MATCH(J691, 'Green_rooibos initial weight'!$A$5:$A$1749,0)),"")</f>
        <v>2.2599999999999998</v>
      </c>
      <c r="L691" s="267">
        <f>IFERROR(K691-(TBIcalc!$Q$9+TBIcalc!$Q$10),"")</f>
        <v>2.0101999999999998</v>
      </c>
      <c r="M691" s="391">
        <f>AVERAGE(Ashed_controlls!$K$12:$K$14)</f>
        <v>2.2816647271287041</v>
      </c>
      <c r="N691" s="267">
        <f t="shared" si="51"/>
        <v>1.9643339756552585</v>
      </c>
      <c r="O691" s="267">
        <f>IF(IFERROR(INDEX('Both teabags AfterDry'!$D$3:$D$900,MATCH(J691,'Both teabags AfterDry'!$A$3:$A$900,0)),"")="","",(IFERROR(INDEX('Both teabags AfterDry'!$D$3:$D$900,MATCH(J691,'Both teabags AfterDry'!$A$3:$A$900,0)),"")))</f>
        <v>2.0409000000000002</v>
      </c>
      <c r="P691" s="267">
        <f>IFERROR(IF(O691&gt;0,O691-(TBIcalc!$Q$9),""),"")</f>
        <v>1.8903000000000001</v>
      </c>
      <c r="Q691" s="278">
        <f>IFERROR(INDEX('Ashed teabags dry'!$K$2:$K$825,MATCH(J691,'Ashed teabags dry'!$A$2:$A$825,0)),"")</f>
        <v>2.2449975597850815</v>
      </c>
      <c r="R691" s="278">
        <f t="shared" si="52"/>
        <v>1.8478628111273827</v>
      </c>
      <c r="S691" s="268">
        <f>'Dry_Litterbag Placem_Collection'!E32</f>
        <v>42936</v>
      </c>
      <c r="T691" s="268">
        <f>IF('Dry_Litterbag Placem_Collection'!G32="","",'Dry_Litterbag Placem_Collection'!G32)</f>
        <v>43007</v>
      </c>
      <c r="U691" s="269">
        <f t="shared" si="50"/>
        <v>71</v>
      </c>
      <c r="V691" s="267">
        <f t="shared" si="53"/>
        <v>0.11989999999999967</v>
      </c>
      <c r="W691" s="267">
        <f t="shared" si="54"/>
        <v>0.11647116452787576</v>
      </c>
      <c r="X691" s="271">
        <f>IFERROR(INDEX(Rainfall_Dry!$O$2:$O$217,MATCH(B691, Rainfall_Dry!$A$2:$A$217,0)),"")</f>
        <v>6.900000125</v>
      </c>
      <c r="Y691" s="260">
        <v>51.960000000000008</v>
      </c>
      <c r="Z691" s="260">
        <v>18.919999999999995</v>
      </c>
      <c r="AA691" s="260">
        <v>29.120000000000005</v>
      </c>
      <c r="AB691" s="261" t="s">
        <v>2673</v>
      </c>
      <c r="AC691" s="260">
        <v>6.8529324790537203</v>
      </c>
      <c r="AD691" t="str">
        <f>IF('WetLitterbags placem_collection'!AB32="","",'WetLitterbags placem_collection'!AB32)</f>
        <v/>
      </c>
      <c r="AE691" t="str">
        <f>IF('WetLitterbags placem_collection'!Z32="","",'WetLitterbags placem_collection'!Z32)</f>
        <v/>
      </c>
      <c r="AF691" s="246" t="str">
        <f>IF('WetLitterbags placem_collection'!AA32="","",'WetLitterbags placem_collection'!AA32)</f>
        <v/>
      </c>
      <c r="AG691" t="str">
        <f>IF('WetLitterbags placem_collection'!AC32="","",'WetLitterbags placem_collection'!AC32)</f>
        <v/>
      </c>
      <c r="AH691">
        <f>IFERROR(AVERAGE('Dry_Litterbag Placem_Collection'!O32,'Dry_Litterbag Placem_Collection'!R32),"")</f>
        <v>9.3000000000000007</v>
      </c>
      <c r="AI691" s="271">
        <f>IFERROR(AVERAGE('Dry_Litterbag Placem_Collection'!N32,'Dry_Litterbag Placem_Collection'!Q32),"")</f>
        <v>24</v>
      </c>
      <c r="AJ691" s="270">
        <f>INDEX(Coordinates!$B$2:$B$197,MATCH(G691,Coordinates!$J$2:$J$197,0))</f>
        <v>-3.38496496</v>
      </c>
      <c r="AK691" s="270">
        <f>INDEX(Coordinates!$C$2:$C$197,MATCH(G691,Coordinates!$J$2:$J$197,0))</f>
        <v>34.818790970000002</v>
      </c>
      <c r="AL691" s="270" t="str">
        <f>IF(ISNUMBER(SEARCH("C", 'Dry_Litterbag Placem_Collection'!V32)),"YES","NO")</f>
        <v>NO</v>
      </c>
      <c r="AM691" s="270" t="str">
        <f>IF(ISNUMBER(SEARCH("H", 'Dry_Litterbag Placem_Collection'!V32)),"YES","NO")</f>
        <v>NO</v>
      </c>
      <c r="AN691" s="270" t="str">
        <f>IF(ISNUMBER(SEARCH("R", 'Dry_Litterbag Placem_Collection'!V32)),"YES","NO")</f>
        <v>NO</v>
      </c>
    </row>
    <row r="692" spans="1:40" ht="15" customHeight="1">
      <c r="A692" s="262" t="s">
        <v>2659</v>
      </c>
      <c r="B692" s="263">
        <f>'Dry_Litterbag Placem_Collection'!A33</f>
        <v>31</v>
      </c>
      <c r="C692" s="263" t="str">
        <f>'Dry_Litterbag Placem_Collection'!B33</f>
        <v>Makao</v>
      </c>
      <c r="D692" s="263" t="s">
        <v>2659</v>
      </c>
      <c r="E692" s="263" t="s">
        <v>2660</v>
      </c>
      <c r="F692" s="263">
        <v>4</v>
      </c>
      <c r="G692" s="264" t="str">
        <f>'Dry_Litterbag Placem_Collection'!C33</f>
        <v>Dry_Ag4_T7</v>
      </c>
      <c r="H692" s="273" t="s">
        <v>3651</v>
      </c>
      <c r="I692" s="274" t="s">
        <v>298</v>
      </c>
      <c r="J692" s="263" t="str">
        <f>IF(ISBLANK('Dry_Litterbag Placem_Collection'!M33),"","R"&amp;""&amp;'Dry_Litterbag Placem_Collection'!M33)</f>
        <v/>
      </c>
      <c r="K692" s="267" t="str">
        <f>IFERROR(INDEX('Green_rooibos initial weight'!$C$5:$C$1749,MATCH(J692, 'Green_rooibos initial weight'!$A$5:$A$1749,0)),"")</f>
        <v/>
      </c>
      <c r="L692" s="267" t="str">
        <f>IFERROR(K692-(TBIcalc!$Q$9+TBIcalc!$Q$10),"")</f>
        <v/>
      </c>
      <c r="M692" s="391">
        <f>AVERAGE(Ashed_controlls!$K$12:$K$14)</f>
        <v>2.2816647271287041</v>
      </c>
      <c r="N692" s="267" t="str">
        <f t="shared" si="51"/>
        <v/>
      </c>
      <c r="O692" s="267" t="str">
        <f>IF(IFERROR(INDEX('Both teabags AfterDry'!$D$3:$D$900,MATCH(J692,'Both teabags AfterDry'!$A$3:$A$900,0)),"")="","",(IFERROR(INDEX('Both teabags AfterDry'!$D$3:$D$900,MATCH(J692,'Both teabags AfterDry'!$A$3:$A$900,0)),"")))</f>
        <v/>
      </c>
      <c r="P692" s="267" t="str">
        <f>IFERROR(IF(O692&gt;0,O692-(TBIcalc!$Q$9),""),"")</f>
        <v/>
      </c>
      <c r="Q692" s="278" t="str">
        <f>IFERROR(INDEX('Ashed teabags dry'!$K$2:$K$825,MATCH(J692,'Ashed teabags dry'!$A$2:$A$825,0)),"")</f>
        <v/>
      </c>
      <c r="R692" s="278" t="str">
        <f t="shared" si="52"/>
        <v/>
      </c>
      <c r="S692" s="268">
        <f>'Dry_Litterbag Placem_Collection'!E33</f>
        <v>0</v>
      </c>
      <c r="T692" s="268" t="str">
        <f>IF('Dry_Litterbag Placem_Collection'!G33="","",'Dry_Litterbag Placem_Collection'!G33)</f>
        <v/>
      </c>
      <c r="U692" s="269" t="str">
        <f t="shared" si="50"/>
        <v/>
      </c>
      <c r="V692" s="267" t="str">
        <f t="shared" si="53"/>
        <v/>
      </c>
      <c r="W692" s="267" t="str">
        <f t="shared" si="54"/>
        <v/>
      </c>
      <c r="X692" s="271" t="str">
        <f>IFERROR(INDEX(Rainfall_Dry!$O$2:$O$217,MATCH(B692, Rainfall_Dry!$A$2:$A$217,0)),"")</f>
        <v/>
      </c>
      <c r="Y692" s="260">
        <v>51.960000000000008</v>
      </c>
      <c r="Z692" s="260">
        <v>18.919999999999995</v>
      </c>
      <c r="AA692" s="260">
        <v>29.120000000000005</v>
      </c>
      <c r="AB692" s="261" t="s">
        <v>2673</v>
      </c>
      <c r="AC692" s="260">
        <v>7.8529324790537203</v>
      </c>
      <c r="AD692" t="str">
        <f>IF('WetLitterbags placem_collection'!AB33="","",'WetLitterbags placem_collection'!AB33)</f>
        <v/>
      </c>
      <c r="AE692" t="str">
        <f>IF('WetLitterbags placem_collection'!Z33="","",'WetLitterbags placem_collection'!Z33)</f>
        <v/>
      </c>
      <c r="AF692" s="246" t="str">
        <f>IF('WetLitterbags placem_collection'!AA33="","",'WetLitterbags placem_collection'!AA33)</f>
        <v/>
      </c>
      <c r="AG692" t="str">
        <f>IF('WetLitterbags placem_collection'!AC33="","",'WetLitterbags placem_collection'!AC33)</f>
        <v/>
      </c>
      <c r="AH692" t="str">
        <f>IFERROR(AVERAGE('Dry_Litterbag Placem_Collection'!O33,'Dry_Litterbag Placem_Collection'!R33),"")</f>
        <v/>
      </c>
      <c r="AI692" s="271" t="str">
        <f>IFERROR(AVERAGE('Dry_Litterbag Placem_Collection'!N33,'Dry_Litterbag Placem_Collection'!Q33),"")</f>
        <v/>
      </c>
      <c r="AJ692" s="270">
        <f>INDEX(Coordinates!$B$2:$B$197,MATCH(G692,Coordinates!$J$2:$J$197,0))</f>
        <v>-3.3848409909999999</v>
      </c>
      <c r="AK692" s="270">
        <f>INDEX(Coordinates!$C$2:$C$197,MATCH(G692,Coordinates!$J$2:$J$197,0))</f>
        <v>34.818838999999997</v>
      </c>
      <c r="AL692" s="270" t="str">
        <f>IF(ISNUMBER(SEARCH("C", 'Dry_Litterbag Placem_Collection'!V33)),"YES","NO")</f>
        <v>NO</v>
      </c>
      <c r="AM692" s="270" t="str">
        <f>IF(ISNUMBER(SEARCH("H", 'Dry_Litterbag Placem_Collection'!V33)),"YES","NO")</f>
        <v>NO</v>
      </c>
      <c r="AN692" s="270" t="str">
        <f>IF(ISNUMBER(SEARCH("R", 'Dry_Litterbag Placem_Collection'!V33)),"YES","NO")</f>
        <v>NO</v>
      </c>
    </row>
    <row r="693" spans="1:40" ht="15" customHeight="1">
      <c r="A693" s="262" t="s">
        <v>2659</v>
      </c>
      <c r="B693" s="263">
        <f>'Dry_Litterbag Placem_Collection'!A34</f>
        <v>32</v>
      </c>
      <c r="C693" s="263" t="str">
        <f>'Dry_Litterbag Placem_Collection'!B34</f>
        <v>Makao</v>
      </c>
      <c r="D693" s="263" t="s">
        <v>2659</v>
      </c>
      <c r="E693" s="263" t="s">
        <v>2660</v>
      </c>
      <c r="F693" s="263">
        <v>4</v>
      </c>
      <c r="G693" s="264" t="str">
        <f>'Dry_Litterbag Placem_Collection'!C34</f>
        <v>Dry_Ag4_T8</v>
      </c>
      <c r="H693" s="273" t="s">
        <v>3651</v>
      </c>
      <c r="I693" s="274" t="s">
        <v>298</v>
      </c>
      <c r="J693" s="263" t="str">
        <f>IF(ISBLANK('Dry_Litterbag Placem_Collection'!M34),"","R"&amp;""&amp;'Dry_Litterbag Placem_Collection'!M34)</f>
        <v>R660</v>
      </c>
      <c r="K693" s="267">
        <f>IFERROR(INDEX('Green_rooibos initial weight'!$C$5:$C$1749,MATCH(J693, 'Green_rooibos initial weight'!$A$5:$A$1749,0)),"")</f>
        <v>2.2080000000000002</v>
      </c>
      <c r="L693" s="267">
        <f>IFERROR(K693-(TBIcalc!$Q$9+TBIcalc!$Q$10),"")</f>
        <v>1.9582000000000002</v>
      </c>
      <c r="M693" s="391">
        <f>AVERAGE(Ashed_controlls!$K$12:$K$14)</f>
        <v>2.2816647271287041</v>
      </c>
      <c r="N693" s="267">
        <f t="shared" si="51"/>
        <v>1.913520441313366</v>
      </c>
      <c r="O693" s="267">
        <f>IF(IFERROR(INDEX('Both teabags AfterDry'!$D$3:$D$900,MATCH(J693,'Both teabags AfterDry'!$A$3:$A$900,0)),"")="","",(IFERROR(INDEX('Both teabags AfterDry'!$D$3:$D$900,MATCH(J693,'Both teabags AfterDry'!$A$3:$A$900,0)),"")))</f>
        <v>2.0331000000000001</v>
      </c>
      <c r="P693" s="267">
        <f>IFERROR(IF(O693&gt;0,O693-(TBIcalc!$Q$9),""),"")</f>
        <v>1.8825000000000001</v>
      </c>
      <c r="Q693" s="278">
        <f>IFERROR(INDEX('Ashed teabags dry'!$K$2:$K$825,MATCH(J693,'Ashed teabags dry'!$A$2:$A$825,0)),"")</f>
        <v>2.8682547399117464</v>
      </c>
      <c r="R693" s="278">
        <f t="shared" si="52"/>
        <v>1.8285051045211613</v>
      </c>
      <c r="S693" s="268">
        <f>'Dry_Litterbag Placem_Collection'!E34</f>
        <v>42936</v>
      </c>
      <c r="T693" s="268">
        <f>IF('Dry_Litterbag Placem_Collection'!G34="","",'Dry_Litterbag Placem_Collection'!G34)</f>
        <v>43007</v>
      </c>
      <c r="U693" s="269">
        <f t="shared" si="50"/>
        <v>71</v>
      </c>
      <c r="V693" s="267">
        <f t="shared" si="53"/>
        <v>7.5700000000000101E-2</v>
      </c>
      <c r="W693" s="267">
        <f t="shared" si="54"/>
        <v>8.5015336792204632E-2</v>
      </c>
      <c r="X693" s="271">
        <f>IFERROR(INDEX(Rainfall_Dry!$O$2:$O$217,MATCH(B693, Rainfall_Dry!$A$2:$A$217,0)),"")</f>
        <v>6.900000125</v>
      </c>
      <c r="Y693" s="260">
        <v>51.960000000000008</v>
      </c>
      <c r="Z693" s="260">
        <v>18.919999999999995</v>
      </c>
      <c r="AA693" s="260">
        <v>29.120000000000005</v>
      </c>
      <c r="AB693" s="261" t="s">
        <v>2673</v>
      </c>
      <c r="AC693" s="260">
        <v>8.8529324790537203</v>
      </c>
      <c r="AD693" t="str">
        <f>IF('WetLitterbags placem_collection'!AB34="","",'WetLitterbags placem_collection'!AB34)</f>
        <v/>
      </c>
      <c r="AE693" t="str">
        <f>IF('WetLitterbags placem_collection'!Z34="","",'WetLitterbags placem_collection'!Z34)</f>
        <v/>
      </c>
      <c r="AF693" s="246" t="str">
        <f>IF('WetLitterbags placem_collection'!AA34="","",'WetLitterbags placem_collection'!AA34)</f>
        <v/>
      </c>
      <c r="AG693" t="str">
        <f>IF('WetLitterbags placem_collection'!AC34="","",'WetLitterbags placem_collection'!AC34)</f>
        <v/>
      </c>
      <c r="AH693">
        <f>IFERROR(AVERAGE('Dry_Litterbag Placem_Collection'!O34,'Dry_Litterbag Placem_Collection'!R34),"")</f>
        <v>11.850000000000001</v>
      </c>
      <c r="AI693" s="271">
        <f>IFERROR(AVERAGE('Dry_Litterbag Placem_Collection'!N34,'Dry_Litterbag Placem_Collection'!Q34),"")</f>
        <v>25.45</v>
      </c>
      <c r="AJ693" s="270">
        <f>INDEX(Coordinates!$B$2:$B$197,MATCH(G693,Coordinates!$J$2:$J$197,0))</f>
        <v>-3.3849010060000002</v>
      </c>
      <c r="AK693" s="270">
        <f>INDEX(Coordinates!$C$2:$C$197,MATCH(G693,Coordinates!$J$2:$J$197,0))</f>
        <v>34.818979990000003</v>
      </c>
      <c r="AL693" s="270" t="str">
        <f>IF(ISNUMBER(SEARCH("C", 'Dry_Litterbag Placem_Collection'!V34)),"YES","NO")</f>
        <v>NO</v>
      </c>
      <c r="AM693" s="270" t="str">
        <f>IF(ISNUMBER(SEARCH("H", 'Dry_Litterbag Placem_Collection'!V34)),"YES","NO")</f>
        <v>NO</v>
      </c>
      <c r="AN693" s="270" t="str">
        <f>IF(ISNUMBER(SEARCH("R", 'Dry_Litterbag Placem_Collection'!V34)),"YES","NO")</f>
        <v>NO</v>
      </c>
    </row>
    <row r="694" spans="1:40" ht="15" customHeight="1">
      <c r="A694" s="262" t="s">
        <v>2659</v>
      </c>
      <c r="B694" s="263">
        <f>'Dry_Litterbag Placem_Collection'!A35</f>
        <v>33</v>
      </c>
      <c r="C694" s="263" t="str">
        <f>'Dry_Litterbag Placem_Collection'!B35</f>
        <v>Makao</v>
      </c>
      <c r="D694" s="263" t="s">
        <v>2659</v>
      </c>
      <c r="E694" s="263" t="s">
        <v>20</v>
      </c>
      <c r="F694" s="263">
        <v>1</v>
      </c>
      <c r="G694" s="264" t="str">
        <f>'Dry_Litterbag Placem_Collection'!C35</f>
        <v>Dry_P1_T1</v>
      </c>
      <c r="H694" s="273" t="s">
        <v>3651</v>
      </c>
      <c r="I694" s="274" t="s">
        <v>298</v>
      </c>
      <c r="J694" s="263" t="str">
        <f>IF(ISBLANK('Dry_Litterbag Placem_Collection'!M35),"","R"&amp;""&amp;'Dry_Litterbag Placem_Collection'!M35)</f>
        <v>R712</v>
      </c>
      <c r="K694" s="267">
        <f>IFERROR(INDEX('Green_rooibos initial weight'!$C$5:$C$1749,MATCH(J694, 'Green_rooibos initial weight'!$A$5:$A$1749,0)),"")</f>
        <v>2.161</v>
      </c>
      <c r="L694" s="267">
        <f>IFERROR(K694-(TBIcalc!$Q$9+TBIcalc!$Q$10),"")</f>
        <v>1.9112</v>
      </c>
      <c r="M694" s="391">
        <f>AVERAGE(Ashed_controlls!$K$12:$K$14)</f>
        <v>2.2816647271287041</v>
      </c>
      <c r="N694" s="267">
        <f t="shared" si="51"/>
        <v>1.8675928237351163</v>
      </c>
      <c r="O694" s="267">
        <f>IF(IFERROR(INDEX('Both teabags AfterDry'!$D$3:$D$900,MATCH(J694,'Both teabags AfterDry'!$A$3:$A$900,0)),"")="","",(IFERROR(INDEX('Both teabags AfterDry'!$D$3:$D$900,MATCH(J694,'Both teabags AfterDry'!$A$3:$A$900,0)),"")))</f>
        <v>1.9524999999999999</v>
      </c>
      <c r="P694" s="267">
        <f>IFERROR(IF(O694&gt;0,O694-(TBIcalc!$Q$9),""),"")</f>
        <v>1.8018999999999998</v>
      </c>
      <c r="Q694" s="278">
        <f>IFERROR(INDEX('Ashed teabags dry'!$K$2:$K$825,MATCH(J694,'Ashed teabags dry'!$A$2:$A$825,0)),"")</f>
        <v>2.162162162162347</v>
      </c>
      <c r="R694" s="278">
        <f t="shared" si="52"/>
        <v>1.7629399999999964</v>
      </c>
      <c r="S694" s="268">
        <f>'Dry_Litterbag Placem_Collection'!E35</f>
        <v>42938</v>
      </c>
      <c r="T694" s="268">
        <f>IF('Dry_Litterbag Placem_Collection'!G35="","",'Dry_Litterbag Placem_Collection'!G35)</f>
        <v>43005</v>
      </c>
      <c r="U694" s="269">
        <f t="shared" si="50"/>
        <v>67</v>
      </c>
      <c r="V694" s="267">
        <f t="shared" si="53"/>
        <v>0.10930000000000017</v>
      </c>
      <c r="W694" s="267">
        <f t="shared" si="54"/>
        <v>0.10465282373511986</v>
      </c>
      <c r="X694" s="271">
        <f>IFERROR(INDEX(Rainfall_Dry!$O$2:$O$217,MATCH(B694, Rainfall_Dry!$A$2:$A$217,0)),"")</f>
        <v>6.5250000359999998</v>
      </c>
      <c r="Y694" s="260">
        <v>23.96</v>
      </c>
      <c r="Z694" s="260">
        <v>0.91999999999999804</v>
      </c>
      <c r="AA694" s="260">
        <v>75.12</v>
      </c>
      <c r="AB694" s="261" t="s">
        <v>2670</v>
      </c>
      <c r="AC694" s="260">
        <v>1.2493839329719072</v>
      </c>
      <c r="AD694">
        <f>IF('WetLitterbags placem_collection'!AB35="","",'WetLitterbags placem_collection'!AB35)</f>
        <v>9.5</v>
      </c>
      <c r="AE694">
        <f>IF('WetLitterbags placem_collection'!Z35="","",'WetLitterbags placem_collection'!Z35)</f>
        <v>17.2</v>
      </c>
      <c r="AF694" s="246" t="str">
        <f>IF('WetLitterbags placem_collection'!AA35="","",'WetLitterbags placem_collection'!AA35)</f>
        <v>G</v>
      </c>
      <c r="AG694">
        <f>IF('WetLitterbags placem_collection'!AC35="","",'WetLitterbags placem_collection'!AC35)</f>
        <v>0</v>
      </c>
      <c r="AH694">
        <f>IFERROR(AVERAGE('Dry_Litterbag Placem_Collection'!O35,'Dry_Litterbag Placem_Collection'!R35),"")</f>
        <v>1.65</v>
      </c>
      <c r="AI694" s="271">
        <f>IFERROR(AVERAGE('Dry_Litterbag Placem_Collection'!N35,'Dry_Litterbag Placem_Collection'!Q35),"")</f>
        <v>26.15</v>
      </c>
      <c r="AJ694" s="270">
        <f>INDEX(Coordinates!$B$2:$B$197,MATCH(G694,Coordinates!$J$2:$J$197,0))</f>
        <v>-3.4092039989999998</v>
      </c>
      <c r="AK694" s="270">
        <f>INDEX(Coordinates!$C$2:$C$197,MATCH(G694,Coordinates!$J$2:$J$197,0))</f>
        <v>34.852751009999999</v>
      </c>
      <c r="AL694" s="270" t="str">
        <f>IF(ISNUMBER(SEARCH("C", 'Dry_Litterbag Placem_Collection'!V35)),"YES","NO")</f>
        <v>NO</v>
      </c>
      <c r="AM694" s="270" t="str">
        <f>IF(ISNUMBER(SEARCH("H", 'Dry_Litterbag Placem_Collection'!V35)),"YES","NO")</f>
        <v>NO</v>
      </c>
      <c r="AN694" s="270" t="str">
        <f>IF(ISNUMBER(SEARCH("R", 'Dry_Litterbag Placem_Collection'!V35)),"YES","NO")</f>
        <v>NO</v>
      </c>
    </row>
    <row r="695" spans="1:40" ht="15" customHeight="1">
      <c r="A695" s="262" t="s">
        <v>2659</v>
      </c>
      <c r="B695" s="263">
        <f>'Dry_Litterbag Placem_Collection'!A36</f>
        <v>34</v>
      </c>
      <c r="C695" s="263" t="str">
        <f>'Dry_Litterbag Placem_Collection'!B36</f>
        <v>Makao</v>
      </c>
      <c r="D695" s="263" t="s">
        <v>2659</v>
      </c>
      <c r="E695" s="263" t="s">
        <v>20</v>
      </c>
      <c r="F695" s="263">
        <v>1</v>
      </c>
      <c r="G695" s="264" t="str">
        <f>'Dry_Litterbag Placem_Collection'!C36</f>
        <v>Dry_P1_T2</v>
      </c>
      <c r="H695" s="273" t="s">
        <v>3651</v>
      </c>
      <c r="I695" s="274" t="s">
        <v>298</v>
      </c>
      <c r="J695" s="263" t="str">
        <f>IF(ISBLANK('Dry_Litterbag Placem_Collection'!M36),"","R"&amp;""&amp;'Dry_Litterbag Placem_Collection'!M36)</f>
        <v>R324</v>
      </c>
      <c r="K695" s="267">
        <f>IFERROR(INDEX('Green_rooibos initial weight'!$C$5:$C$1749,MATCH(J695, 'Green_rooibos initial weight'!$A$5:$A$1749,0)),"")</f>
        <v>2.2410000000000001</v>
      </c>
      <c r="L695" s="267">
        <f>IFERROR(K695-(TBIcalc!$Q$9+TBIcalc!$Q$10),"")</f>
        <v>1.9912000000000001</v>
      </c>
      <c r="M695" s="391">
        <f>AVERAGE(Ashed_controlls!$K$12:$K$14)</f>
        <v>2.2816647271287041</v>
      </c>
      <c r="N695" s="267">
        <f t="shared" si="51"/>
        <v>1.9457674919534134</v>
      </c>
      <c r="O695" s="267" t="str">
        <f>IF(IFERROR(INDEX('Both teabags AfterDry'!$D$3:$D$900,MATCH(J695,'Both teabags AfterDry'!$A$3:$A$900,0)),"")="","",(IFERROR(INDEX('Both teabags AfterDry'!$D$3:$D$900,MATCH(J695,'Both teabags AfterDry'!$A$3:$A$900,0)),"")))</f>
        <v/>
      </c>
      <c r="P695" s="267" t="str">
        <f>IFERROR(IF(O695&gt;0,O695-(TBIcalc!$Q$9),""),"")</f>
        <v/>
      </c>
      <c r="Q695" s="278" t="str">
        <f>IFERROR(INDEX('Ashed teabags dry'!$K$2:$K$825,MATCH(J695,'Ashed teabags dry'!$A$2:$A$825,0)),"")</f>
        <v/>
      </c>
      <c r="R695" s="278" t="str">
        <f t="shared" si="52"/>
        <v/>
      </c>
      <c r="S695" s="268">
        <f>'Dry_Litterbag Placem_Collection'!E36</f>
        <v>42938</v>
      </c>
      <c r="T695" s="268">
        <f>IF('Dry_Litterbag Placem_Collection'!G36="","",'Dry_Litterbag Placem_Collection'!G36)</f>
        <v>43005</v>
      </c>
      <c r="U695" s="269">
        <f t="shared" si="50"/>
        <v>67</v>
      </c>
      <c r="V695" s="267" t="str">
        <f t="shared" si="53"/>
        <v/>
      </c>
      <c r="W695" s="267" t="str">
        <f t="shared" si="54"/>
        <v/>
      </c>
      <c r="X695" s="271">
        <f>IFERROR(INDEX(Rainfall_Dry!$O$2:$O$217,MATCH(B695, Rainfall_Dry!$A$2:$A$217,0)),"")</f>
        <v>6.5250000359999998</v>
      </c>
      <c r="Y695" s="260">
        <v>23.96</v>
      </c>
      <c r="Z695" s="260">
        <v>0.91999999999999804</v>
      </c>
      <c r="AA695" s="260">
        <v>75.12</v>
      </c>
      <c r="AB695" s="261" t="s">
        <v>2670</v>
      </c>
      <c r="AC695" s="260">
        <v>1.2493839329719072</v>
      </c>
      <c r="AD695">
        <f>IF('WetLitterbags placem_collection'!AB36="","",'WetLitterbags placem_collection'!AB36)</f>
        <v>6.5</v>
      </c>
      <c r="AE695">
        <f>IF('WetLitterbags placem_collection'!Z36="","",'WetLitterbags placem_collection'!Z36)</f>
        <v>14.2</v>
      </c>
      <c r="AF695" s="246" t="str">
        <f>IF('WetLitterbags placem_collection'!AA36="","",'WetLitterbags placem_collection'!AA36)</f>
        <v>G</v>
      </c>
      <c r="AG695">
        <f>IF('WetLitterbags placem_collection'!AC36="","",'WetLitterbags placem_collection'!AC36)</f>
        <v>0</v>
      </c>
      <c r="AH695">
        <f>IFERROR(AVERAGE('Dry_Litterbag Placem_Collection'!O36,'Dry_Litterbag Placem_Collection'!R36),"")</f>
        <v>3.25</v>
      </c>
      <c r="AI695" s="271">
        <f>IFERROR(AVERAGE('Dry_Litterbag Placem_Collection'!N36,'Dry_Litterbag Placem_Collection'!Q36),"")</f>
        <v>26.9</v>
      </c>
      <c r="AJ695" s="270">
        <f>INDEX(Coordinates!$B$2:$B$197,MATCH(G695,Coordinates!$J$2:$J$197,0))</f>
        <v>-3.4092350119999999</v>
      </c>
      <c r="AK695" s="270">
        <f>INDEX(Coordinates!$C$2:$C$197,MATCH(G695,Coordinates!$J$2:$J$197,0))</f>
        <v>34.852782019999999</v>
      </c>
      <c r="AL695" s="270" t="str">
        <f>IF(ISNUMBER(SEARCH("C", 'Dry_Litterbag Placem_Collection'!V36)),"YES","NO")</f>
        <v>NO</v>
      </c>
      <c r="AM695" s="270" t="str">
        <f>IF(ISNUMBER(SEARCH("H", 'Dry_Litterbag Placem_Collection'!V36)),"YES","NO")</f>
        <v>NO</v>
      </c>
      <c r="AN695" s="270" t="str">
        <f>IF(ISNUMBER(SEARCH("R", 'Dry_Litterbag Placem_Collection'!V36)),"YES","NO")</f>
        <v>NO</v>
      </c>
    </row>
    <row r="696" spans="1:40" ht="15" customHeight="1">
      <c r="A696" s="262" t="s">
        <v>2659</v>
      </c>
      <c r="B696" s="263">
        <f>'Dry_Litterbag Placem_Collection'!A37</f>
        <v>35</v>
      </c>
      <c r="C696" s="263" t="str">
        <f>'Dry_Litterbag Placem_Collection'!B37</f>
        <v>Makao</v>
      </c>
      <c r="D696" s="263" t="s">
        <v>2659</v>
      </c>
      <c r="E696" s="263" t="s">
        <v>20</v>
      </c>
      <c r="F696" s="263">
        <v>1</v>
      </c>
      <c r="G696" s="264" t="str">
        <f>'Dry_Litterbag Placem_Collection'!C37</f>
        <v>Dry_P1_T3</v>
      </c>
      <c r="H696" s="273" t="s">
        <v>3651</v>
      </c>
      <c r="I696" s="274" t="s">
        <v>298</v>
      </c>
      <c r="J696" s="263" t="str">
        <f>IF(ISBLANK('Dry_Litterbag Placem_Collection'!M37),"","R"&amp;""&amp;'Dry_Litterbag Placem_Collection'!M37)</f>
        <v>R108</v>
      </c>
      <c r="K696" s="267">
        <f>IFERROR(INDEX('Green_rooibos initial weight'!$C$5:$C$1749,MATCH(J696, 'Green_rooibos initial weight'!$A$5:$A$1749,0)),"")</f>
        <v>2.1680000000000001</v>
      </c>
      <c r="L696" s="267">
        <f>IFERROR(K696-(TBIcalc!$Q$9+TBIcalc!$Q$10),"")</f>
        <v>1.9182000000000001</v>
      </c>
      <c r="M696" s="391">
        <f>AVERAGE(Ashed_controlls!$K$12:$K$14)</f>
        <v>2.2816647271287041</v>
      </c>
      <c r="N696" s="267">
        <f t="shared" si="51"/>
        <v>1.8744331072042173</v>
      </c>
      <c r="O696" s="267">
        <f>IF(IFERROR(INDEX('Both teabags AfterDry'!$D$3:$D$900,MATCH(J696,'Both teabags AfterDry'!$A$3:$A$900,0)),"")="","",(IFERROR(INDEX('Both teabags AfterDry'!$D$3:$D$900,MATCH(J696,'Both teabags AfterDry'!$A$3:$A$900,0)),"")))</f>
        <v>1.9638</v>
      </c>
      <c r="P696" s="267">
        <f>IFERROR(IF(O696&gt;0,O696-(TBIcalc!$Q$9),""),"")</f>
        <v>1.8131999999999999</v>
      </c>
      <c r="Q696" s="278">
        <f>IFERROR(INDEX('Ashed teabags dry'!$K$2:$K$825,MATCH(J696,'Ashed teabags dry'!$A$2:$A$825,0)),"")</f>
        <v>2.5853658536585367</v>
      </c>
      <c r="R696" s="278">
        <f t="shared" si="52"/>
        <v>1.7663221463414633</v>
      </c>
      <c r="S696" s="268">
        <f>'Dry_Litterbag Placem_Collection'!E37</f>
        <v>42938</v>
      </c>
      <c r="T696" s="268">
        <f>IF('Dry_Litterbag Placem_Collection'!G37="","",'Dry_Litterbag Placem_Collection'!G37)</f>
        <v>43005</v>
      </c>
      <c r="U696" s="269">
        <f t="shared" si="50"/>
        <v>67</v>
      </c>
      <c r="V696" s="267">
        <f t="shared" si="53"/>
        <v>0.1050000000000002</v>
      </c>
      <c r="W696" s="267">
        <f t="shared" si="54"/>
        <v>0.10811096086275396</v>
      </c>
      <c r="X696" s="271">
        <f>IFERROR(INDEX(Rainfall_Dry!$O$2:$O$217,MATCH(B696, Rainfall_Dry!$A$2:$A$217,0)),"")</f>
        <v>6.5250000359999998</v>
      </c>
      <c r="Y696" s="260">
        <v>23.96</v>
      </c>
      <c r="Z696" s="260">
        <v>0.91999999999999804</v>
      </c>
      <c r="AA696" s="260">
        <v>75.12</v>
      </c>
      <c r="AB696" s="261" t="s">
        <v>2670</v>
      </c>
      <c r="AC696" s="260">
        <v>1.2493839329719072</v>
      </c>
      <c r="AD696">
        <f>IF('WetLitterbags placem_collection'!AB37="","",'WetLitterbags placem_collection'!AB37)</f>
        <v>0.7</v>
      </c>
      <c r="AE696">
        <f>IF('WetLitterbags placem_collection'!Z37="","",'WetLitterbags placem_collection'!Z37)</f>
        <v>10.6</v>
      </c>
      <c r="AF696" s="246" t="str">
        <f>IF('WetLitterbags placem_collection'!AA37="","",'WetLitterbags placem_collection'!AA37)</f>
        <v>G</v>
      </c>
      <c r="AG696">
        <f>IF('WetLitterbags placem_collection'!AC37="","",'WetLitterbags placem_collection'!AC37)</f>
        <v>0</v>
      </c>
      <c r="AH696">
        <f>IFERROR(AVERAGE('Dry_Litterbag Placem_Collection'!O37,'Dry_Litterbag Placem_Collection'!R37),"")</f>
        <v>3.35</v>
      </c>
      <c r="AI696" s="271">
        <f>IFERROR(AVERAGE('Dry_Litterbag Placem_Collection'!N37,'Dry_Litterbag Placem_Collection'!Q37),"")</f>
        <v>26.95</v>
      </c>
      <c r="AJ696" s="270">
        <f>INDEX(Coordinates!$B$2:$B$197,MATCH(G696,Coordinates!$J$2:$J$197,0))</f>
        <v>-3.409177009</v>
      </c>
      <c r="AK696" s="270">
        <f>INDEX(Coordinates!$C$2:$C$197,MATCH(G696,Coordinates!$J$2:$J$197,0))</f>
        <v>34.852818990000003</v>
      </c>
      <c r="AL696" s="270" t="str">
        <f>IF(ISNUMBER(SEARCH("C", 'Dry_Litterbag Placem_Collection'!V37)),"YES","NO")</f>
        <v>NO</v>
      </c>
      <c r="AM696" s="270" t="str">
        <f>IF(ISNUMBER(SEARCH("H", 'Dry_Litterbag Placem_Collection'!V37)),"YES","NO")</f>
        <v>NO</v>
      </c>
      <c r="AN696" s="270" t="str">
        <f>IF(ISNUMBER(SEARCH("R", 'Dry_Litterbag Placem_Collection'!V37)),"YES","NO")</f>
        <v>NO</v>
      </c>
    </row>
    <row r="697" spans="1:40" ht="15" customHeight="1">
      <c r="A697" s="262" t="s">
        <v>2659</v>
      </c>
      <c r="B697" s="263">
        <f>'Dry_Litterbag Placem_Collection'!A38</f>
        <v>36</v>
      </c>
      <c r="C697" s="263" t="str">
        <f>'Dry_Litterbag Placem_Collection'!B38</f>
        <v>Makao</v>
      </c>
      <c r="D697" s="263" t="s">
        <v>2659</v>
      </c>
      <c r="E697" s="263" t="s">
        <v>20</v>
      </c>
      <c r="F697" s="263">
        <v>1</v>
      </c>
      <c r="G697" s="264" t="str">
        <f>'Dry_Litterbag Placem_Collection'!C38</f>
        <v>Dry_P1_T4</v>
      </c>
      <c r="H697" s="273" t="s">
        <v>3651</v>
      </c>
      <c r="I697" s="274" t="s">
        <v>298</v>
      </c>
      <c r="J697" s="263" t="str">
        <f>IF(ISBLANK('Dry_Litterbag Placem_Collection'!M38),"","R"&amp;""&amp;'Dry_Litterbag Placem_Collection'!M38)</f>
        <v>R152</v>
      </c>
      <c r="K697" s="267">
        <f>IFERROR(INDEX('Green_rooibos initial weight'!$C$5:$C$1749,MATCH(J697, 'Green_rooibos initial weight'!$A$5:$A$1749,0)),"")</f>
        <v>2.1800000000000002</v>
      </c>
      <c r="L697" s="267">
        <f>IFERROR(K697-(TBIcalc!$Q$9+TBIcalc!$Q$10),"")</f>
        <v>1.9302000000000001</v>
      </c>
      <c r="M697" s="391">
        <f>AVERAGE(Ashed_controlls!$K$12:$K$14)</f>
        <v>2.2816647271287041</v>
      </c>
      <c r="N697" s="267">
        <f t="shared" si="51"/>
        <v>1.8861593074369618</v>
      </c>
      <c r="O697" s="267" t="str">
        <f>IF(IFERROR(INDEX('Both teabags AfterDry'!$D$3:$D$900,MATCH(J697,'Both teabags AfterDry'!$A$3:$A$900,0)),"")="","",(IFERROR(INDEX('Both teabags AfterDry'!$D$3:$D$900,MATCH(J697,'Both teabags AfterDry'!$A$3:$A$900,0)),"")))</f>
        <v/>
      </c>
      <c r="P697" s="267" t="str">
        <f>IFERROR(IF(O697&gt;0,O697-(TBIcalc!$Q$9),""),"")</f>
        <v/>
      </c>
      <c r="Q697" s="278" t="str">
        <f>IFERROR(INDEX('Ashed teabags dry'!$K$2:$K$825,MATCH(J697,'Ashed teabags dry'!$A$2:$A$825,0)),"")</f>
        <v/>
      </c>
      <c r="R697" s="278" t="str">
        <f t="shared" si="52"/>
        <v/>
      </c>
      <c r="S697" s="268">
        <f>'Dry_Litterbag Placem_Collection'!E38</f>
        <v>42938</v>
      </c>
      <c r="T697" s="268">
        <f>IF('Dry_Litterbag Placem_Collection'!G38="","",'Dry_Litterbag Placem_Collection'!G38)</f>
        <v>43005</v>
      </c>
      <c r="U697" s="269">
        <f t="shared" si="50"/>
        <v>67</v>
      </c>
      <c r="V697" s="267" t="str">
        <f t="shared" si="53"/>
        <v/>
      </c>
      <c r="W697" s="267" t="str">
        <f t="shared" si="54"/>
        <v/>
      </c>
      <c r="X697" s="271">
        <f>IFERROR(INDEX(Rainfall_Dry!$O$2:$O$217,MATCH(B697, Rainfall_Dry!$A$2:$A$217,0)),"")</f>
        <v>6.5250000359999998</v>
      </c>
      <c r="Y697" s="260">
        <v>23.96</v>
      </c>
      <c r="Z697" s="260">
        <v>0.91999999999999804</v>
      </c>
      <c r="AA697" s="260">
        <v>75.12</v>
      </c>
      <c r="AB697" s="261" t="s">
        <v>2670</v>
      </c>
      <c r="AC697" s="260">
        <v>1.2493839329719072</v>
      </c>
      <c r="AD697">
        <f>IF('WetLitterbags placem_collection'!AB38="","",'WetLitterbags placem_collection'!AB38)</f>
        <v>3.3</v>
      </c>
      <c r="AE697">
        <f>IF('WetLitterbags placem_collection'!Z38="","",'WetLitterbags placem_collection'!Z38)</f>
        <v>4.9000000000000004</v>
      </c>
      <c r="AF697" s="246" t="str">
        <f>IF('WetLitterbags placem_collection'!AA38="","",'WetLitterbags placem_collection'!AA38)</f>
        <v>G</v>
      </c>
      <c r="AG697">
        <f>IF('WetLitterbags placem_collection'!AC38="","",'WetLitterbags placem_collection'!AC38)</f>
        <v>1</v>
      </c>
      <c r="AH697">
        <f>IFERROR(AVERAGE('Dry_Litterbag Placem_Collection'!O38,'Dry_Litterbag Placem_Collection'!R38),"")</f>
        <v>3</v>
      </c>
      <c r="AI697" s="271">
        <f>IFERROR(AVERAGE('Dry_Litterbag Placem_Collection'!N38,'Dry_Litterbag Placem_Collection'!Q38),"")</f>
        <v>25.85</v>
      </c>
      <c r="AJ697" s="270">
        <f>INDEX(Coordinates!$B$2:$B$197,MATCH(G697,Coordinates!$J$2:$J$197,0))</f>
        <v>-3.40917198</v>
      </c>
      <c r="AK697" s="270">
        <f>INDEX(Coordinates!$C$2:$C$197,MATCH(G697,Coordinates!$J$2:$J$197,0))</f>
        <v>34.852960979999999</v>
      </c>
      <c r="AL697" s="270" t="str">
        <f>IF(ISNUMBER(SEARCH("C", 'Dry_Litterbag Placem_Collection'!V38)),"YES","NO")</f>
        <v>NO</v>
      </c>
      <c r="AM697" s="270" t="str">
        <f>IF(ISNUMBER(SEARCH("H", 'Dry_Litterbag Placem_Collection'!V38)),"YES","NO")</f>
        <v>NO</v>
      </c>
      <c r="AN697" s="270" t="str">
        <f>IF(ISNUMBER(SEARCH("R", 'Dry_Litterbag Placem_Collection'!V38)),"YES","NO")</f>
        <v>NO</v>
      </c>
    </row>
    <row r="698" spans="1:40" ht="15" customHeight="1">
      <c r="A698" s="262" t="s">
        <v>2659</v>
      </c>
      <c r="B698" s="263">
        <f>'Dry_Litterbag Placem_Collection'!A39</f>
        <v>37</v>
      </c>
      <c r="C698" s="263" t="str">
        <f>'Dry_Litterbag Placem_Collection'!B39</f>
        <v>Makao</v>
      </c>
      <c r="D698" s="263" t="s">
        <v>2659</v>
      </c>
      <c r="E698" s="263" t="s">
        <v>20</v>
      </c>
      <c r="F698" s="263">
        <v>1</v>
      </c>
      <c r="G698" s="264" t="str">
        <f>'Dry_Litterbag Placem_Collection'!C39</f>
        <v>Dry_P1_T5</v>
      </c>
      <c r="H698" s="273" t="s">
        <v>3651</v>
      </c>
      <c r="I698" s="274" t="s">
        <v>298</v>
      </c>
      <c r="J698" s="263" t="str">
        <f>IF(ISBLANK('Dry_Litterbag Placem_Collection'!M39),"","R"&amp;""&amp;'Dry_Litterbag Placem_Collection'!M39)</f>
        <v>R681</v>
      </c>
      <c r="K698" s="267">
        <f>IFERROR(INDEX('Green_rooibos initial weight'!$C$5:$C$1749,MATCH(J698, 'Green_rooibos initial weight'!$A$5:$A$1749,0)),"")</f>
        <v>2.1859999999999999</v>
      </c>
      <c r="L698" s="267">
        <f>IFERROR(K698-(TBIcalc!$Q$9+TBIcalc!$Q$10),"")</f>
        <v>1.9361999999999999</v>
      </c>
      <c r="M698" s="391">
        <f>AVERAGE(Ashed_controlls!$K$12:$K$14)</f>
        <v>2.2816647271287041</v>
      </c>
      <c r="N698" s="267">
        <f t="shared" si="51"/>
        <v>1.8920224075533341</v>
      </c>
      <c r="O698" s="267">
        <f>IF(IFERROR(INDEX('Both teabags AfterDry'!$D$3:$D$900,MATCH(J698,'Both teabags AfterDry'!$A$3:$A$900,0)),"")="","",(IFERROR(INDEX('Both teabags AfterDry'!$D$3:$D$900,MATCH(J698,'Both teabags AfterDry'!$A$3:$A$900,0)),"")))</f>
        <v>1.9663999999999999</v>
      </c>
      <c r="P698" s="267">
        <f>IFERROR(IF(O698&gt;0,O698-(TBIcalc!$Q$9),""),"")</f>
        <v>1.8157999999999999</v>
      </c>
      <c r="Q698" s="278">
        <f>IFERROR(INDEX('Ashed teabags dry'!$K$2:$K$825,MATCH(J698,'Ashed teabags dry'!$A$2:$A$825,0)),"")</f>
        <v>4.1249999999999165</v>
      </c>
      <c r="R698" s="278">
        <f t="shared" si="52"/>
        <v>1.7408982500000014</v>
      </c>
      <c r="S698" s="268">
        <f>'Dry_Litterbag Placem_Collection'!E39</f>
        <v>42938</v>
      </c>
      <c r="T698" s="268">
        <f>IF('Dry_Litterbag Placem_Collection'!G39="","",'Dry_Litterbag Placem_Collection'!G39)</f>
        <v>43005</v>
      </c>
      <c r="U698" s="269">
        <f t="shared" si="50"/>
        <v>67</v>
      </c>
      <c r="V698" s="267">
        <f t="shared" si="53"/>
        <v>0.12040000000000006</v>
      </c>
      <c r="W698" s="267">
        <f t="shared" si="54"/>
        <v>0.15112415755333264</v>
      </c>
      <c r="X698" s="271">
        <f>IFERROR(INDEX(Rainfall_Dry!$O$2:$O$217,MATCH(B698, Rainfall_Dry!$A$2:$A$217,0)),"")</f>
        <v>6.5250000359999998</v>
      </c>
      <c r="Y698" s="260">
        <v>23.96</v>
      </c>
      <c r="Z698" s="260">
        <v>0.91999999999999804</v>
      </c>
      <c r="AA698" s="260">
        <v>75.12</v>
      </c>
      <c r="AB698" s="261" t="s">
        <v>2670</v>
      </c>
      <c r="AC698" s="260">
        <v>1.2493839329719072</v>
      </c>
      <c r="AD698">
        <f>IF('WetLitterbags placem_collection'!AB39="","",'WetLitterbags placem_collection'!AB39)</f>
        <v>8.3000000000000007</v>
      </c>
      <c r="AE698">
        <f>IF('WetLitterbags placem_collection'!Z39="","",'WetLitterbags placem_collection'!Z39)</f>
        <v>27.8</v>
      </c>
      <c r="AF698" s="246" t="str">
        <f>IF('WetLitterbags placem_collection'!AA39="","",'WetLitterbags placem_collection'!AA39)</f>
        <v>G</v>
      </c>
      <c r="AG698">
        <f>IF('WetLitterbags placem_collection'!AC39="","",'WetLitterbags placem_collection'!AC39)</f>
        <v>0</v>
      </c>
      <c r="AH698">
        <f>IFERROR(AVERAGE('Dry_Litterbag Placem_Collection'!O39,'Dry_Litterbag Placem_Collection'!R39),"")</f>
        <v>4.25</v>
      </c>
      <c r="AI698" s="271">
        <f>IFERROR(AVERAGE('Dry_Litterbag Placem_Collection'!N39,'Dry_Litterbag Placem_Collection'!Q39),"")</f>
        <v>26.1</v>
      </c>
      <c r="AJ698" s="270">
        <f>INDEX(Coordinates!$B$2:$B$197,MATCH(G698,Coordinates!$J$2:$J$197,0))</f>
        <v>-3.4090709779999999</v>
      </c>
      <c r="AK698" s="270">
        <f>INDEX(Coordinates!$C$2:$C$197,MATCH(G698,Coordinates!$J$2:$J$197,0))</f>
        <v>34.852712029999999</v>
      </c>
      <c r="AL698" s="270" t="str">
        <f>IF(ISNUMBER(SEARCH("C", 'Dry_Litterbag Placem_Collection'!V39)),"YES","NO")</f>
        <v>NO</v>
      </c>
      <c r="AM698" s="270" t="str">
        <f>IF(ISNUMBER(SEARCH("H", 'Dry_Litterbag Placem_Collection'!V39)),"YES","NO")</f>
        <v>NO</v>
      </c>
      <c r="AN698" s="270" t="str">
        <f>IF(ISNUMBER(SEARCH("R", 'Dry_Litterbag Placem_Collection'!V39)),"YES","NO")</f>
        <v>NO</v>
      </c>
    </row>
    <row r="699" spans="1:40" ht="15" customHeight="1">
      <c r="A699" s="262" t="s">
        <v>2659</v>
      </c>
      <c r="B699" s="263">
        <f>'Dry_Litterbag Placem_Collection'!A40</f>
        <v>38</v>
      </c>
      <c r="C699" s="263" t="str">
        <f>'Dry_Litterbag Placem_Collection'!B40</f>
        <v>Makao</v>
      </c>
      <c r="D699" s="263" t="s">
        <v>2659</v>
      </c>
      <c r="E699" s="263" t="s">
        <v>20</v>
      </c>
      <c r="F699" s="263">
        <v>1</v>
      </c>
      <c r="G699" s="264" t="str">
        <f>'Dry_Litterbag Placem_Collection'!C40</f>
        <v>Dry_P1_T6</v>
      </c>
      <c r="H699" s="273" t="s">
        <v>3651</v>
      </c>
      <c r="I699" s="274" t="s">
        <v>298</v>
      </c>
      <c r="J699" s="263" t="str">
        <f>IF(ISBLANK('Dry_Litterbag Placem_Collection'!M40),"","R"&amp;""&amp;'Dry_Litterbag Placem_Collection'!M40)</f>
        <v>R260</v>
      </c>
      <c r="K699" s="267">
        <f>IFERROR(INDEX('Green_rooibos initial weight'!$C$5:$C$1749,MATCH(J699, 'Green_rooibos initial weight'!$A$5:$A$1749,0)),"")</f>
        <v>2.1779999999999999</v>
      </c>
      <c r="L699" s="267">
        <f>IFERROR(K699-(TBIcalc!$Q$9+TBIcalc!$Q$10),"")</f>
        <v>1.9281999999999999</v>
      </c>
      <c r="M699" s="391">
        <f>AVERAGE(Ashed_controlls!$K$12:$K$14)</f>
        <v>2.2816647271287041</v>
      </c>
      <c r="N699" s="267">
        <f t="shared" si="51"/>
        <v>1.8842049407315042</v>
      </c>
      <c r="O699" s="267">
        <f>IF(IFERROR(INDEX('Both teabags AfterDry'!$D$3:$D$900,MATCH(J699,'Both teabags AfterDry'!$A$3:$A$900,0)),"")="","",(IFERROR(INDEX('Both teabags AfterDry'!$D$3:$D$900,MATCH(J699,'Both teabags AfterDry'!$A$3:$A$900,0)),"")))</f>
        <v>1.8734</v>
      </c>
      <c r="P699" s="267">
        <f>IFERROR(IF(O699&gt;0,O699-(TBIcalc!$Q$9),""),"")</f>
        <v>1.7227999999999999</v>
      </c>
      <c r="Q699" s="278">
        <f>IFERROR(INDEX('Ashed teabags dry'!$K$2:$K$825,MATCH(J699,'Ashed teabags dry'!$A$2:$A$825,0)),"")</f>
        <v>3.7144036318613898</v>
      </c>
      <c r="R699" s="278">
        <f t="shared" si="52"/>
        <v>1.6588082542302918</v>
      </c>
      <c r="S699" s="268">
        <f>'Dry_Litterbag Placem_Collection'!E40</f>
        <v>42938</v>
      </c>
      <c r="T699" s="268">
        <f>IF('Dry_Litterbag Placem_Collection'!G40="","",'Dry_Litterbag Placem_Collection'!G40)</f>
        <v>43005</v>
      </c>
      <c r="U699" s="269">
        <f t="shared" si="50"/>
        <v>67</v>
      </c>
      <c r="V699" s="267">
        <f t="shared" si="53"/>
        <v>0.20540000000000003</v>
      </c>
      <c r="W699" s="267">
        <f t="shared" si="54"/>
        <v>0.22539668650121247</v>
      </c>
      <c r="X699" s="271">
        <f>IFERROR(INDEX(Rainfall_Dry!$O$2:$O$217,MATCH(B699, Rainfall_Dry!$A$2:$A$217,0)),"")</f>
        <v>6.5250000359999998</v>
      </c>
      <c r="Y699" s="260">
        <v>23.96</v>
      </c>
      <c r="Z699" s="260">
        <v>0.91999999999999804</v>
      </c>
      <c r="AA699" s="260">
        <v>75.12</v>
      </c>
      <c r="AB699" s="261" t="s">
        <v>2670</v>
      </c>
      <c r="AC699" s="260">
        <v>1.2493839329719072</v>
      </c>
      <c r="AD699">
        <f>IF('WetLitterbags placem_collection'!AB40="","",'WetLitterbags placem_collection'!AB40)</f>
        <v>2</v>
      </c>
      <c r="AE699">
        <f>IF('WetLitterbags placem_collection'!Z40="","",'WetLitterbags placem_collection'!Z40)</f>
        <v>20.399999999999999</v>
      </c>
      <c r="AF699" s="246" t="str">
        <f>IF('WetLitterbags placem_collection'!AA40="","",'WetLitterbags placem_collection'!AA40)</f>
        <v>O</v>
      </c>
      <c r="AG699">
        <f>IF('WetLitterbags placem_collection'!AC40="","",'WetLitterbags placem_collection'!AC40)</f>
        <v>0</v>
      </c>
      <c r="AH699">
        <f>IFERROR(AVERAGE('Dry_Litterbag Placem_Collection'!O40,'Dry_Litterbag Placem_Collection'!R40),"")</f>
        <v>2.85</v>
      </c>
      <c r="AI699" s="271">
        <f>IFERROR(AVERAGE('Dry_Litterbag Placem_Collection'!N40,'Dry_Litterbag Placem_Collection'!Q40),"")</f>
        <v>26.7</v>
      </c>
      <c r="AJ699" s="270">
        <f>INDEX(Coordinates!$B$2:$B$197,MATCH(G699,Coordinates!$J$2:$J$197,0))</f>
        <v>-3.409280023</v>
      </c>
      <c r="AK699" s="270">
        <f>INDEX(Coordinates!$C$2:$C$197,MATCH(G699,Coordinates!$J$2:$J$197,0))</f>
        <v>34.852612960000002</v>
      </c>
      <c r="AL699" s="270" t="str">
        <f>IF(ISNUMBER(SEARCH("C", 'Dry_Litterbag Placem_Collection'!V40)),"YES","NO")</f>
        <v>NO</v>
      </c>
      <c r="AM699" s="270" t="str">
        <f>IF(ISNUMBER(SEARCH("H", 'Dry_Litterbag Placem_Collection'!V40)),"YES","NO")</f>
        <v>NO</v>
      </c>
      <c r="AN699" s="270" t="str">
        <f>IF(ISNUMBER(SEARCH("R", 'Dry_Litterbag Placem_Collection'!V40)),"YES","NO")</f>
        <v>NO</v>
      </c>
    </row>
    <row r="700" spans="1:40" ht="15" customHeight="1">
      <c r="A700" s="262" t="s">
        <v>2659</v>
      </c>
      <c r="B700" s="263">
        <f>'Dry_Litterbag Placem_Collection'!A41</f>
        <v>39</v>
      </c>
      <c r="C700" s="263" t="str">
        <f>'Dry_Litterbag Placem_Collection'!B41</f>
        <v>Makao</v>
      </c>
      <c r="D700" s="263" t="s">
        <v>2659</v>
      </c>
      <c r="E700" s="263" t="s">
        <v>20</v>
      </c>
      <c r="F700" s="263">
        <v>1</v>
      </c>
      <c r="G700" s="264" t="str">
        <f>'Dry_Litterbag Placem_Collection'!C41</f>
        <v>Dry_P1_T7</v>
      </c>
      <c r="H700" s="273" t="s">
        <v>3651</v>
      </c>
      <c r="I700" s="274" t="s">
        <v>298</v>
      </c>
      <c r="J700" s="263" t="str">
        <f>IF(ISBLANK('Dry_Litterbag Placem_Collection'!M41),"","R"&amp;""&amp;'Dry_Litterbag Placem_Collection'!M41)</f>
        <v/>
      </c>
      <c r="K700" s="267" t="str">
        <f>IFERROR(INDEX('Green_rooibos initial weight'!$C$5:$C$1749,MATCH(J700, 'Green_rooibos initial weight'!$A$5:$A$1749,0)),"")</f>
        <v/>
      </c>
      <c r="L700" s="267" t="str">
        <f>IFERROR(K700-(TBIcalc!$Q$9+TBIcalc!$Q$10),"")</f>
        <v/>
      </c>
      <c r="M700" s="391">
        <f>AVERAGE(Ashed_controlls!$K$12:$K$14)</f>
        <v>2.2816647271287041</v>
      </c>
      <c r="N700" s="267" t="str">
        <f t="shared" si="51"/>
        <v/>
      </c>
      <c r="O700" s="267" t="str">
        <f>IF(IFERROR(INDEX('Both teabags AfterDry'!$D$3:$D$900,MATCH(J700,'Both teabags AfterDry'!$A$3:$A$900,0)),"")="","",(IFERROR(INDEX('Both teabags AfterDry'!$D$3:$D$900,MATCH(J700,'Both teabags AfterDry'!$A$3:$A$900,0)),"")))</f>
        <v/>
      </c>
      <c r="P700" s="267" t="str">
        <f>IFERROR(IF(O700&gt;0,O700-(TBIcalc!$Q$9),""),"")</f>
        <v/>
      </c>
      <c r="Q700" s="278" t="str">
        <f>IFERROR(INDEX('Ashed teabags dry'!$K$2:$K$825,MATCH(J700,'Ashed teabags dry'!$A$2:$A$825,0)),"")</f>
        <v/>
      </c>
      <c r="R700" s="278" t="str">
        <f t="shared" si="52"/>
        <v/>
      </c>
      <c r="S700" s="268">
        <f>'Dry_Litterbag Placem_Collection'!E41</f>
        <v>42938</v>
      </c>
      <c r="T700" s="268" t="str">
        <f>IF('Dry_Litterbag Placem_Collection'!G41="","",'Dry_Litterbag Placem_Collection'!G41)</f>
        <v/>
      </c>
      <c r="U700" s="269" t="str">
        <f t="shared" si="50"/>
        <v/>
      </c>
      <c r="V700" s="267" t="str">
        <f t="shared" si="53"/>
        <v/>
      </c>
      <c r="W700" s="267" t="str">
        <f t="shared" si="54"/>
        <v/>
      </c>
      <c r="X700" s="271" t="str">
        <f>IFERROR(INDEX(Rainfall_Dry!$O$2:$O$217,MATCH(B700, Rainfall_Dry!$A$2:$A$217,0)),"")</f>
        <v/>
      </c>
      <c r="Y700" s="260">
        <v>23.96</v>
      </c>
      <c r="Z700" s="260">
        <v>0.91999999999999804</v>
      </c>
      <c r="AA700" s="260">
        <v>75.12</v>
      </c>
      <c r="AB700" s="261" t="s">
        <v>2670</v>
      </c>
      <c r="AC700" s="260">
        <v>1.2493839329719072</v>
      </c>
      <c r="AD700">
        <f>IF('WetLitterbags placem_collection'!AB41="","",'WetLitterbags placem_collection'!AB41)</f>
        <v>2.4</v>
      </c>
      <c r="AE700">
        <f>IF('WetLitterbags placem_collection'!Z41="","",'WetLitterbags placem_collection'!Z41)</f>
        <v>18</v>
      </c>
      <c r="AF700" s="246" t="str">
        <f>IF('WetLitterbags placem_collection'!AA41="","",'WetLitterbags placem_collection'!AA41)</f>
        <v>G</v>
      </c>
      <c r="AG700">
        <f>IF('WetLitterbags placem_collection'!AC41="","",'WetLitterbags placem_collection'!AC41)</f>
        <v>1</v>
      </c>
      <c r="AH700" t="str">
        <f>IFERROR(AVERAGE('Dry_Litterbag Placem_Collection'!O41,'Dry_Litterbag Placem_Collection'!R41),"")</f>
        <v/>
      </c>
      <c r="AI700" s="271" t="str">
        <f>IFERROR(AVERAGE('Dry_Litterbag Placem_Collection'!N41,'Dry_Litterbag Placem_Collection'!Q41),"")</f>
        <v/>
      </c>
      <c r="AJ700" s="270">
        <f>INDEX(Coordinates!$B$2:$B$197,MATCH(G700,Coordinates!$J$2:$J$197,0))</f>
        <v>-3.4093859700000002</v>
      </c>
      <c r="AK700" s="270">
        <f>INDEX(Coordinates!$C$2:$C$197,MATCH(G700,Coordinates!$J$2:$J$197,0))</f>
        <v>34.852855030000001</v>
      </c>
      <c r="AL700" s="270" t="str">
        <f>IF(ISNUMBER(SEARCH("C", 'Dry_Litterbag Placem_Collection'!V41)),"YES","NO")</f>
        <v>NO</v>
      </c>
      <c r="AM700" s="270" t="str">
        <f>IF(ISNUMBER(SEARCH("H", 'Dry_Litterbag Placem_Collection'!V41)),"YES","NO")</f>
        <v>NO</v>
      </c>
      <c r="AN700" s="270" t="str">
        <f>IF(ISNUMBER(SEARCH("R", 'Dry_Litterbag Placem_Collection'!V41)),"YES","NO")</f>
        <v>NO</v>
      </c>
    </row>
    <row r="701" spans="1:40" ht="15" customHeight="1">
      <c r="A701" s="262" t="s">
        <v>2659</v>
      </c>
      <c r="B701" s="263">
        <f>'Dry_Litterbag Placem_Collection'!A42</f>
        <v>40</v>
      </c>
      <c r="C701" s="263" t="str">
        <f>'Dry_Litterbag Placem_Collection'!B42</f>
        <v>Makao</v>
      </c>
      <c r="D701" s="263" t="s">
        <v>2659</v>
      </c>
      <c r="E701" s="263" t="s">
        <v>20</v>
      </c>
      <c r="F701" s="263">
        <v>1</v>
      </c>
      <c r="G701" s="264" t="str">
        <f>'Dry_Litterbag Placem_Collection'!C42</f>
        <v>Dry_P1_T8</v>
      </c>
      <c r="H701" s="273" t="s">
        <v>3651</v>
      </c>
      <c r="I701" s="274" t="s">
        <v>298</v>
      </c>
      <c r="J701" s="263" t="str">
        <f>IF(ISBLANK('Dry_Litterbag Placem_Collection'!M42),"","R"&amp;""&amp;'Dry_Litterbag Placem_Collection'!M42)</f>
        <v>R402</v>
      </c>
      <c r="K701" s="267">
        <f>IFERROR(INDEX('Green_rooibos initial weight'!$C$5:$C$1749,MATCH(J701, 'Green_rooibos initial weight'!$A$5:$A$1749,0)),"")</f>
        <v>2.1459999999999999</v>
      </c>
      <c r="L701" s="267">
        <f>IFERROR(K701-(TBIcalc!$Q$9+TBIcalc!$Q$10),"")</f>
        <v>1.8961999999999999</v>
      </c>
      <c r="M701" s="391">
        <f>AVERAGE(Ashed_controlls!$K$12:$K$14)</f>
        <v>2.2816647271287041</v>
      </c>
      <c r="N701" s="267">
        <f t="shared" si="51"/>
        <v>1.8529350734441854</v>
      </c>
      <c r="O701" s="267">
        <f>IF(IFERROR(INDEX('Both teabags AfterDry'!$D$3:$D$900,MATCH(J701,'Both teabags AfterDry'!$A$3:$A$900,0)),"")="","",(IFERROR(INDEX('Both teabags AfterDry'!$D$3:$D$900,MATCH(J701,'Both teabags AfterDry'!$A$3:$A$900,0)),"")))</f>
        <v>1.9192</v>
      </c>
      <c r="P701" s="267">
        <f>IFERROR(IF(O701&gt;0,O701-(TBIcalc!$Q$9),""),"")</f>
        <v>1.7685999999999999</v>
      </c>
      <c r="Q701" s="278">
        <f>IFERROR(INDEX('Ashed teabags dry'!$K$2:$K$825,MATCH(J701,'Ashed teabags dry'!$A$2:$A$825,0)),"")</f>
        <v>3.0697674418608112</v>
      </c>
      <c r="R701" s="278">
        <f t="shared" si="52"/>
        <v>1.7143080930232497</v>
      </c>
      <c r="S701" s="268">
        <f>'Dry_Litterbag Placem_Collection'!E42</f>
        <v>42938</v>
      </c>
      <c r="T701" s="268">
        <f>IF('Dry_Litterbag Placem_Collection'!G42="","",'Dry_Litterbag Placem_Collection'!G42)</f>
        <v>43005</v>
      </c>
      <c r="U701" s="269">
        <f t="shared" si="50"/>
        <v>67</v>
      </c>
      <c r="V701" s="267">
        <f t="shared" si="53"/>
        <v>0.12759999999999994</v>
      </c>
      <c r="W701" s="267">
        <f t="shared" si="54"/>
        <v>0.13862698042093569</v>
      </c>
      <c r="X701" s="271">
        <f>IFERROR(INDEX(Rainfall_Dry!$O$2:$O$217,MATCH(B701, Rainfall_Dry!$A$2:$A$217,0)),"")</f>
        <v>6.5250000359999998</v>
      </c>
      <c r="Y701" s="260">
        <v>23.96</v>
      </c>
      <c r="Z701" s="260">
        <v>0.91999999999999804</v>
      </c>
      <c r="AA701" s="260">
        <v>75.12</v>
      </c>
      <c r="AB701" s="261" t="s">
        <v>2670</v>
      </c>
      <c r="AC701" s="260">
        <v>1.2493839329719072</v>
      </c>
      <c r="AD701">
        <f>IF('WetLitterbags placem_collection'!AB42="","",'WetLitterbags placem_collection'!AB42)</f>
        <v>8.6999999999999993</v>
      </c>
      <c r="AE701">
        <f>IF('WetLitterbags placem_collection'!Z42="","",'WetLitterbags placem_collection'!Z42)</f>
        <v>19.3</v>
      </c>
      <c r="AF701" s="246" t="str">
        <f>IF('WetLitterbags placem_collection'!AA42="","",'WetLitterbags placem_collection'!AA42)</f>
        <v>G</v>
      </c>
      <c r="AG701">
        <f>IF('WetLitterbags placem_collection'!AC42="","",'WetLitterbags placem_collection'!AC42)</f>
        <v>0</v>
      </c>
      <c r="AH701">
        <f>IFERROR(AVERAGE('Dry_Litterbag Placem_Collection'!O42,'Dry_Litterbag Placem_Collection'!R42),"")</f>
        <v>4.5999999999999996</v>
      </c>
      <c r="AI701" s="271">
        <f>IFERROR(AVERAGE('Dry_Litterbag Placem_Collection'!N42,'Dry_Litterbag Placem_Collection'!Q42),"")</f>
        <v>26.2</v>
      </c>
      <c r="AJ701" s="270">
        <f>INDEX(Coordinates!$B$2:$B$197,MATCH(G701,Coordinates!$J$2:$J$197,0))</f>
        <v>-3.4091539590000002</v>
      </c>
      <c r="AK701" s="270">
        <f>INDEX(Coordinates!$C$2:$C$197,MATCH(G701,Coordinates!$J$2:$J$197,0))</f>
        <v>34.852755029999997</v>
      </c>
      <c r="AL701" s="270" t="str">
        <f>IF(ISNUMBER(SEARCH("C", 'Dry_Litterbag Placem_Collection'!V42)),"YES","NO")</f>
        <v>NO</v>
      </c>
      <c r="AM701" s="270" t="str">
        <f>IF(ISNUMBER(SEARCH("H", 'Dry_Litterbag Placem_Collection'!V42)),"YES","NO")</f>
        <v>NO</v>
      </c>
      <c r="AN701" s="270" t="str">
        <f>IF(ISNUMBER(SEARCH("R", 'Dry_Litterbag Placem_Collection'!V42)),"YES","NO")</f>
        <v>NO</v>
      </c>
    </row>
    <row r="702" spans="1:40" ht="15" customHeight="1">
      <c r="A702" s="262" t="s">
        <v>2659</v>
      </c>
      <c r="B702" s="263">
        <f>'Dry_Litterbag Placem_Collection'!A43</f>
        <v>41</v>
      </c>
      <c r="C702" s="263" t="str">
        <f>'Dry_Litterbag Placem_Collection'!B43</f>
        <v>Makao</v>
      </c>
      <c r="D702" s="263" t="s">
        <v>2659</v>
      </c>
      <c r="E702" s="263" t="s">
        <v>20</v>
      </c>
      <c r="F702" s="263">
        <v>2</v>
      </c>
      <c r="G702" s="264" t="str">
        <f>'Dry_Litterbag Placem_Collection'!C43</f>
        <v>Dry_P2_T1</v>
      </c>
      <c r="H702" s="273" t="s">
        <v>3651</v>
      </c>
      <c r="I702" s="274" t="s">
        <v>298</v>
      </c>
      <c r="J702" s="263" t="str">
        <f>IF(ISBLANK('Dry_Litterbag Placem_Collection'!M43),"","R"&amp;""&amp;'Dry_Litterbag Placem_Collection'!M43)</f>
        <v>R648</v>
      </c>
      <c r="K702" s="267">
        <f>IFERROR(INDEX('Green_rooibos initial weight'!$C$5:$C$1749,MATCH(J702, 'Green_rooibos initial weight'!$A$5:$A$1749,0)),"")</f>
        <v>2.1920000000000002</v>
      </c>
      <c r="L702" s="267">
        <f>IFERROR(K702-(TBIcalc!$Q$9+TBIcalc!$Q$10),"")</f>
        <v>1.9422000000000001</v>
      </c>
      <c r="M702" s="391">
        <f>AVERAGE(Ashed_controlls!$K$12:$K$14)</f>
        <v>2.2816647271287041</v>
      </c>
      <c r="N702" s="267">
        <f t="shared" si="51"/>
        <v>1.8978855076697065</v>
      </c>
      <c r="O702" s="267">
        <f>IF(IFERROR(INDEX('Both teabags AfterDry'!$D$3:$D$900,MATCH(J702,'Both teabags AfterDry'!$A$3:$A$900,0)),"")="","",(IFERROR(INDEX('Both teabags AfterDry'!$D$3:$D$900,MATCH(J702,'Both teabags AfterDry'!$A$3:$A$900,0)),"")))</f>
        <v>1.9649000000000001</v>
      </c>
      <c r="P702" s="267">
        <f>IFERROR(IF(O702&gt;0,O702-(TBIcalc!$Q$9),""),"")</f>
        <v>1.8143</v>
      </c>
      <c r="Q702" s="278">
        <f>IFERROR(INDEX('Ashed teabags dry'!$K$2:$K$825,MATCH(J702,'Ashed teabags dry'!$A$2:$A$825,0)),"")</f>
        <v>3.1295137217131312</v>
      </c>
      <c r="R702" s="278">
        <f t="shared" si="52"/>
        <v>1.7575212325469587</v>
      </c>
      <c r="S702" s="268">
        <f>'Dry_Litterbag Placem_Collection'!E43</f>
        <v>42938</v>
      </c>
      <c r="T702" s="268">
        <f>IF('Dry_Litterbag Placem_Collection'!G43="","",'Dry_Litterbag Placem_Collection'!G43)</f>
        <v>43005</v>
      </c>
      <c r="U702" s="269">
        <f t="shared" si="50"/>
        <v>67</v>
      </c>
      <c r="V702" s="267">
        <f t="shared" si="53"/>
        <v>0.12790000000000012</v>
      </c>
      <c r="W702" s="267">
        <f t="shared" si="54"/>
        <v>0.14036427512274785</v>
      </c>
      <c r="X702" s="271">
        <f>IFERROR(INDEX(Rainfall_Dry!$O$2:$O$217,MATCH(B702, Rainfall_Dry!$A$2:$A$217,0)),"")</f>
        <v>6.5250000359999998</v>
      </c>
      <c r="Y702" s="260">
        <v>19.96</v>
      </c>
      <c r="Z702" s="260">
        <v>4.9199999999999982</v>
      </c>
      <c r="AA702" s="260">
        <v>75.12</v>
      </c>
      <c r="AB702" s="261" t="s">
        <v>2671</v>
      </c>
      <c r="AC702" s="260">
        <v>1.641498275012321</v>
      </c>
      <c r="AD702">
        <f>IF('WetLitterbags placem_collection'!AB43="","",'WetLitterbags placem_collection'!AB43)</f>
        <v>4</v>
      </c>
      <c r="AE702">
        <f>IF('WetLitterbags placem_collection'!Z43="","",'WetLitterbags placem_collection'!Z43)</f>
        <v>19.100000000000001</v>
      </c>
      <c r="AF702" s="246" t="str">
        <f>IF('WetLitterbags placem_collection'!AA43="","",'WetLitterbags placem_collection'!AA43)</f>
        <v>G</v>
      </c>
      <c r="AG702">
        <f>IF('WetLitterbags placem_collection'!AC43="","",'WetLitterbags placem_collection'!AC43)</f>
        <v>0</v>
      </c>
      <c r="AH702">
        <f>IFERROR(AVERAGE('Dry_Litterbag Placem_Collection'!O43,'Dry_Litterbag Placem_Collection'!R43),"")</f>
        <v>4.6500000000000004</v>
      </c>
      <c r="AI702" s="271">
        <f>IFERROR(AVERAGE('Dry_Litterbag Placem_Collection'!N43,'Dry_Litterbag Placem_Collection'!Q43),"")</f>
        <v>27.85</v>
      </c>
      <c r="AJ702" s="270">
        <f>INDEX(Coordinates!$B$2:$B$197,MATCH(G702,Coordinates!$J$2:$J$197,0))</f>
        <v>-3.4083420040000001</v>
      </c>
      <c r="AK702" s="270">
        <f>INDEX(Coordinates!$C$2:$C$197,MATCH(G702,Coordinates!$J$2:$J$197,0))</f>
        <v>34.850283040000001</v>
      </c>
      <c r="AL702" s="270" t="str">
        <f>IF(ISNUMBER(SEARCH("C", 'Dry_Litterbag Placem_Collection'!V43)),"YES","NO")</f>
        <v>NO</v>
      </c>
      <c r="AM702" s="270" t="str">
        <f>IF(ISNUMBER(SEARCH("H", 'Dry_Litterbag Placem_Collection'!V43)),"YES","NO")</f>
        <v>NO</v>
      </c>
      <c r="AN702" s="270" t="str">
        <f>IF(ISNUMBER(SEARCH("R", 'Dry_Litterbag Placem_Collection'!V43)),"YES","NO")</f>
        <v>NO</v>
      </c>
    </row>
    <row r="703" spans="1:40" ht="15" customHeight="1">
      <c r="A703" s="262" t="s">
        <v>2659</v>
      </c>
      <c r="B703" s="263">
        <f>'Dry_Litterbag Placem_Collection'!A44</f>
        <v>42</v>
      </c>
      <c r="C703" s="263" t="str">
        <f>'Dry_Litterbag Placem_Collection'!B44</f>
        <v>Makao</v>
      </c>
      <c r="D703" s="263" t="s">
        <v>2659</v>
      </c>
      <c r="E703" s="263" t="s">
        <v>20</v>
      </c>
      <c r="F703" s="263">
        <v>2</v>
      </c>
      <c r="G703" s="264" t="str">
        <f>'Dry_Litterbag Placem_Collection'!C44</f>
        <v>Dry_P2_T2</v>
      </c>
      <c r="H703" s="273" t="s">
        <v>3651</v>
      </c>
      <c r="I703" s="274" t="s">
        <v>298</v>
      </c>
      <c r="J703" s="263" t="str">
        <f>IF(ISBLANK('Dry_Litterbag Placem_Collection'!M44),"","R"&amp;""&amp;'Dry_Litterbag Placem_Collection'!M44)</f>
        <v>R257</v>
      </c>
      <c r="K703" s="267">
        <f>IFERROR(INDEX('Green_rooibos initial weight'!$C$5:$C$1749,MATCH(J703, 'Green_rooibos initial weight'!$A$5:$A$1749,0)),"")</f>
        <v>2.222</v>
      </c>
      <c r="L703" s="267">
        <f>IFERROR(K703-(TBIcalc!$Q$9+TBIcalc!$Q$10),"")</f>
        <v>1.9722</v>
      </c>
      <c r="M703" s="391">
        <f>AVERAGE(Ashed_controlls!$K$12:$K$14)</f>
        <v>2.2816647271287041</v>
      </c>
      <c r="N703" s="267">
        <f t="shared" si="51"/>
        <v>1.9272010082515676</v>
      </c>
      <c r="O703" s="267">
        <f>IF(IFERROR(INDEX('Both teabags AfterDry'!$D$3:$D$900,MATCH(J703,'Both teabags AfterDry'!$A$3:$A$900,0)),"")="","",(IFERROR(INDEX('Both teabags AfterDry'!$D$3:$D$900,MATCH(J703,'Both teabags AfterDry'!$A$3:$A$900,0)),"")))</f>
        <v>1.956</v>
      </c>
      <c r="P703" s="267">
        <f>IFERROR(IF(O703&gt;0,O703-(TBIcalc!$Q$9),""),"")</f>
        <v>1.8053999999999999</v>
      </c>
      <c r="Q703" s="278">
        <f>IFERROR(INDEX('Ashed teabags dry'!$K$2:$K$825,MATCH(J703,'Ashed teabags dry'!$A$2:$A$825,0)),"")</f>
        <v>2.8571428571426241</v>
      </c>
      <c r="R703" s="278">
        <f t="shared" si="52"/>
        <v>1.753817142857147</v>
      </c>
      <c r="S703" s="268">
        <f>'Dry_Litterbag Placem_Collection'!E44</f>
        <v>42938</v>
      </c>
      <c r="T703" s="268">
        <f>IF('Dry_Litterbag Placem_Collection'!G44="","",'Dry_Litterbag Placem_Collection'!G44)</f>
        <v>43005</v>
      </c>
      <c r="U703" s="269">
        <f t="shared" si="50"/>
        <v>67</v>
      </c>
      <c r="V703" s="267">
        <f t="shared" si="53"/>
        <v>0.16680000000000006</v>
      </c>
      <c r="W703" s="267">
        <f t="shared" si="54"/>
        <v>0.17338386539442063</v>
      </c>
      <c r="X703" s="271">
        <f>IFERROR(INDEX(Rainfall_Dry!$O$2:$O$217,MATCH(B703, Rainfall_Dry!$A$2:$A$217,0)),"")</f>
        <v>6.5250000359999998</v>
      </c>
      <c r="Y703" s="260">
        <v>19.96</v>
      </c>
      <c r="Z703" s="260">
        <v>4.9199999999999982</v>
      </c>
      <c r="AA703" s="260">
        <v>75.12</v>
      </c>
      <c r="AB703" s="261" t="s">
        <v>2671</v>
      </c>
      <c r="AC703" s="260">
        <v>1.641498275012321</v>
      </c>
      <c r="AD703">
        <f>IF('WetLitterbags placem_collection'!AB44="","",'WetLitterbags placem_collection'!AB44)</f>
        <v>5.9</v>
      </c>
      <c r="AE703">
        <f>IF('WetLitterbags placem_collection'!Z44="","",'WetLitterbags placem_collection'!Z44)</f>
        <v>12.7</v>
      </c>
      <c r="AF703" s="246" t="str">
        <f>IF('WetLitterbags placem_collection'!AA44="","",'WetLitterbags placem_collection'!AA44)</f>
        <v>G</v>
      </c>
      <c r="AG703">
        <f>IF('WetLitterbags placem_collection'!AC44="","",'WetLitterbags placem_collection'!AC44)</f>
        <v>0</v>
      </c>
      <c r="AH703">
        <f>IFERROR(AVERAGE('Dry_Litterbag Placem_Collection'!O44,'Dry_Litterbag Placem_Collection'!R44),"")</f>
        <v>5.1999999999999993</v>
      </c>
      <c r="AI703" s="271">
        <f>IFERROR(AVERAGE('Dry_Litterbag Placem_Collection'!N44,'Dry_Litterbag Placem_Collection'!Q44),"")</f>
        <v>27.15</v>
      </c>
      <c r="AJ703" s="270">
        <f>INDEX(Coordinates!$B$2:$B$197,MATCH(G703,Coordinates!$J$2:$J$197,0))</f>
        <v>-3.4084079690000002</v>
      </c>
      <c r="AK703" s="270">
        <f>INDEX(Coordinates!$C$2:$C$197,MATCH(G703,Coordinates!$J$2:$J$197,0))</f>
        <v>34.850295029999998</v>
      </c>
      <c r="AL703" s="270" t="str">
        <f>IF(ISNUMBER(SEARCH("C", 'Dry_Litterbag Placem_Collection'!V44)),"YES","NO")</f>
        <v>NO</v>
      </c>
      <c r="AM703" s="270" t="str">
        <f>IF(ISNUMBER(SEARCH("H", 'Dry_Litterbag Placem_Collection'!V44)),"YES","NO")</f>
        <v>NO</v>
      </c>
      <c r="AN703" s="270" t="str">
        <f>IF(ISNUMBER(SEARCH("R", 'Dry_Litterbag Placem_Collection'!V44)),"YES","NO")</f>
        <v>NO</v>
      </c>
    </row>
    <row r="704" spans="1:40" ht="15" customHeight="1">
      <c r="A704" s="262" t="s">
        <v>2659</v>
      </c>
      <c r="B704" s="263">
        <f>'Dry_Litterbag Placem_Collection'!A45</f>
        <v>43</v>
      </c>
      <c r="C704" s="263" t="str">
        <f>'Dry_Litterbag Placem_Collection'!B45</f>
        <v>Makao</v>
      </c>
      <c r="D704" s="263" t="s">
        <v>2659</v>
      </c>
      <c r="E704" s="263" t="s">
        <v>20</v>
      </c>
      <c r="F704" s="263">
        <v>2</v>
      </c>
      <c r="G704" s="264" t="str">
        <f>'Dry_Litterbag Placem_Collection'!C45</f>
        <v>Dry_P2_T3</v>
      </c>
      <c r="H704" s="273" t="s">
        <v>3651</v>
      </c>
      <c r="I704" s="274" t="s">
        <v>298</v>
      </c>
      <c r="J704" s="263" t="str">
        <f>IF(ISBLANK('Dry_Litterbag Placem_Collection'!M45),"","R"&amp;""&amp;'Dry_Litterbag Placem_Collection'!M45)</f>
        <v>R691</v>
      </c>
      <c r="K704" s="267">
        <f>IFERROR(INDEX('Green_rooibos initial weight'!$C$5:$C$1749,MATCH(J704, 'Green_rooibos initial weight'!$A$5:$A$1749,0)),"")</f>
        <v>2.1859999999999999</v>
      </c>
      <c r="L704" s="267">
        <f>IFERROR(K704-(TBIcalc!$Q$9+TBIcalc!$Q$10),"")</f>
        <v>1.9361999999999999</v>
      </c>
      <c r="M704" s="391">
        <f>AVERAGE(Ashed_controlls!$K$12:$K$14)</f>
        <v>2.2816647271287041</v>
      </c>
      <c r="N704" s="267">
        <f t="shared" si="51"/>
        <v>1.8920224075533341</v>
      </c>
      <c r="O704" s="267">
        <f>IF(IFERROR(INDEX('Both teabags AfterDry'!$D$3:$D$900,MATCH(J704,'Both teabags AfterDry'!$A$3:$A$900,0)),"")="","",(IFERROR(INDEX('Both teabags AfterDry'!$D$3:$D$900,MATCH(J704,'Both teabags AfterDry'!$A$3:$A$900,0)),"")))</f>
        <v>1.9609000000000001</v>
      </c>
      <c r="P704" s="267">
        <f>IFERROR(IF(O704&gt;0,O704-(TBIcalc!$Q$9),""),"")</f>
        <v>1.8103</v>
      </c>
      <c r="Q704" s="278">
        <f>IFERROR(INDEX('Ashed teabags dry'!$K$2:$K$825,MATCH(J704,'Ashed teabags dry'!$A$2:$A$825,0)),"")</f>
        <v>3.8599640933580917</v>
      </c>
      <c r="R704" s="278">
        <f t="shared" si="52"/>
        <v>1.7404230700179384</v>
      </c>
      <c r="S704" s="268">
        <f>'Dry_Litterbag Placem_Collection'!E45</f>
        <v>42938</v>
      </c>
      <c r="T704" s="268">
        <f>IF('Dry_Litterbag Placem_Collection'!G45="","",'Dry_Litterbag Placem_Collection'!G45)</f>
        <v>43005</v>
      </c>
      <c r="U704" s="269">
        <f t="shared" si="50"/>
        <v>67</v>
      </c>
      <c r="V704" s="267">
        <f t="shared" si="53"/>
        <v>0.1258999999999999</v>
      </c>
      <c r="W704" s="267">
        <f t="shared" si="54"/>
        <v>0.15159933753539567</v>
      </c>
      <c r="X704" s="271">
        <f>IFERROR(INDEX(Rainfall_Dry!$O$2:$O$217,MATCH(B704, Rainfall_Dry!$A$2:$A$217,0)),"")</f>
        <v>6.5250000359999998</v>
      </c>
      <c r="Y704" s="260">
        <v>19.96</v>
      </c>
      <c r="Z704" s="260">
        <v>4.9199999999999982</v>
      </c>
      <c r="AA704" s="260">
        <v>75.12</v>
      </c>
      <c r="AB704" s="261" t="s">
        <v>2671</v>
      </c>
      <c r="AC704" s="260">
        <v>1.641498275012321</v>
      </c>
      <c r="AD704">
        <f>IF('WetLitterbags placem_collection'!AB45="","",'WetLitterbags placem_collection'!AB45)</f>
        <v>5</v>
      </c>
      <c r="AE704">
        <f>IF('WetLitterbags placem_collection'!Z45="","",'WetLitterbags placem_collection'!Z45)</f>
        <v>26.3</v>
      </c>
      <c r="AF704" s="246" t="str">
        <f>IF('WetLitterbags placem_collection'!AA45="","",'WetLitterbags placem_collection'!AA45)</f>
        <v>G</v>
      </c>
      <c r="AG704">
        <f>IF('WetLitterbags placem_collection'!AC45="","",'WetLitterbags placem_collection'!AC45)</f>
        <v>0</v>
      </c>
      <c r="AH704">
        <f>IFERROR(AVERAGE('Dry_Litterbag Placem_Collection'!O45,'Dry_Litterbag Placem_Collection'!R45),"")</f>
        <v>2.4500000000000002</v>
      </c>
      <c r="AI704" s="271">
        <f>IFERROR(AVERAGE('Dry_Litterbag Placem_Collection'!N45,'Dry_Litterbag Placem_Collection'!Q45),"")</f>
        <v>26.1</v>
      </c>
      <c r="AJ704" s="270">
        <f>INDEX(Coordinates!$B$2:$B$197,MATCH(G704,Coordinates!$J$2:$J$197,0))</f>
        <v>-3.4082369789999998</v>
      </c>
      <c r="AK704" s="270">
        <f>INDEX(Coordinates!$C$2:$C$197,MATCH(G704,Coordinates!$J$2:$J$197,0))</f>
        <v>34.850189999999998</v>
      </c>
      <c r="AL704" s="270" t="str">
        <f>IF(ISNUMBER(SEARCH("C", 'Dry_Litterbag Placem_Collection'!V45)),"YES","NO")</f>
        <v>NO</v>
      </c>
      <c r="AM704" s="270" t="str">
        <f>IF(ISNUMBER(SEARCH("H", 'Dry_Litterbag Placem_Collection'!V45)),"YES","NO")</f>
        <v>NO</v>
      </c>
      <c r="AN704" s="270" t="str">
        <f>IF(ISNUMBER(SEARCH("R", 'Dry_Litterbag Placem_Collection'!V45)),"YES","NO")</f>
        <v>NO</v>
      </c>
    </row>
    <row r="705" spans="1:40" ht="15" customHeight="1">
      <c r="A705" s="262" t="s">
        <v>2659</v>
      </c>
      <c r="B705" s="263">
        <f>'Dry_Litterbag Placem_Collection'!A46</f>
        <v>44</v>
      </c>
      <c r="C705" s="263" t="str">
        <f>'Dry_Litterbag Placem_Collection'!B46</f>
        <v>Makao</v>
      </c>
      <c r="D705" s="263" t="s">
        <v>2659</v>
      </c>
      <c r="E705" s="263" t="s">
        <v>20</v>
      </c>
      <c r="F705" s="263">
        <v>2</v>
      </c>
      <c r="G705" s="264" t="str">
        <f>'Dry_Litterbag Placem_Collection'!C46</f>
        <v>Dry_P2_T4</v>
      </c>
      <c r="H705" s="273" t="s">
        <v>3651</v>
      </c>
      <c r="I705" s="274" t="s">
        <v>298</v>
      </c>
      <c r="J705" s="263" t="str">
        <f>IF(ISBLANK('Dry_Litterbag Placem_Collection'!M46),"","R"&amp;""&amp;'Dry_Litterbag Placem_Collection'!M46)</f>
        <v>R716</v>
      </c>
      <c r="K705" s="267">
        <f>IFERROR(INDEX('Green_rooibos initial weight'!$C$5:$C$1749,MATCH(J705, 'Green_rooibos initial weight'!$A$5:$A$1749,0)),"")</f>
        <v>2.2280000000000002</v>
      </c>
      <c r="L705" s="267">
        <f>IFERROR(K705-(TBIcalc!$Q$9+TBIcalc!$Q$10),"")</f>
        <v>1.9782000000000002</v>
      </c>
      <c r="M705" s="391">
        <f>AVERAGE(Ashed_controlls!$K$12:$K$14)</f>
        <v>2.2816647271287041</v>
      </c>
      <c r="N705" s="267">
        <f t="shared" si="51"/>
        <v>1.9330641083679401</v>
      </c>
      <c r="O705" s="267">
        <f>IF(IFERROR(INDEX('Both teabags AfterDry'!$D$3:$D$900,MATCH(J705,'Both teabags AfterDry'!$A$3:$A$900,0)),"")="","",(IFERROR(INDEX('Both teabags AfterDry'!$D$3:$D$900,MATCH(J705,'Both teabags AfterDry'!$A$3:$A$900,0)),"")))</f>
        <v>1.9879</v>
      </c>
      <c r="P705" s="267">
        <f>IFERROR(IF(O705&gt;0,O705-(TBIcalc!$Q$9),""),"")</f>
        <v>1.8372999999999999</v>
      </c>
      <c r="Q705" s="278">
        <f>IFERROR(INDEX('Ashed teabags dry'!$K$2:$K$825,MATCH(J705,'Ashed teabags dry'!$A$2:$A$825,0)),"")</f>
        <v>2.9353233830845578</v>
      </c>
      <c r="R705" s="278">
        <f t="shared" si="52"/>
        <v>1.7833693034825873</v>
      </c>
      <c r="S705" s="268">
        <f>'Dry_Litterbag Placem_Collection'!E46</f>
        <v>42938</v>
      </c>
      <c r="T705" s="268">
        <f>IF('Dry_Litterbag Placem_Collection'!G46="","",'Dry_Litterbag Placem_Collection'!G46)</f>
        <v>43005</v>
      </c>
      <c r="U705" s="269">
        <f t="shared" si="50"/>
        <v>67</v>
      </c>
      <c r="V705" s="267">
        <f t="shared" si="53"/>
        <v>0.14090000000000025</v>
      </c>
      <c r="W705" s="267">
        <f t="shared" si="54"/>
        <v>0.14969480488535281</v>
      </c>
      <c r="X705" s="271">
        <f>IFERROR(INDEX(Rainfall_Dry!$O$2:$O$217,MATCH(B705, Rainfall_Dry!$A$2:$A$217,0)),"")</f>
        <v>6.5250000359999998</v>
      </c>
      <c r="Y705" s="260">
        <v>19.96</v>
      </c>
      <c r="Z705" s="260">
        <v>4.9199999999999982</v>
      </c>
      <c r="AA705" s="260">
        <v>75.12</v>
      </c>
      <c r="AB705" s="261" t="s">
        <v>2671</v>
      </c>
      <c r="AC705" s="260">
        <v>1.641498275012321</v>
      </c>
      <c r="AD705">
        <f>IF('WetLitterbags placem_collection'!AB46="","",'WetLitterbags placem_collection'!AB46)</f>
        <v>2.6</v>
      </c>
      <c r="AE705">
        <f>IF('WetLitterbags placem_collection'!Z46="","",'WetLitterbags placem_collection'!Z46)</f>
        <v>39.200000000000003</v>
      </c>
      <c r="AF705" s="246" t="str">
        <f>IF('WetLitterbags placem_collection'!AA46="","",'WetLitterbags placem_collection'!AA46)</f>
        <v>G</v>
      </c>
      <c r="AG705">
        <f>IF('WetLitterbags placem_collection'!AC46="","",'WetLitterbags placem_collection'!AC46)</f>
        <v>0</v>
      </c>
      <c r="AH705">
        <f>IFERROR(AVERAGE('Dry_Litterbag Placem_Collection'!O46,'Dry_Litterbag Placem_Collection'!R46),"")</f>
        <v>3.8499999999999996</v>
      </c>
      <c r="AI705" s="271">
        <f>IFERROR(AVERAGE('Dry_Litterbag Placem_Collection'!N46,'Dry_Litterbag Placem_Collection'!Q46),"")</f>
        <v>26.5</v>
      </c>
      <c r="AJ705" s="270">
        <f>INDEX(Coordinates!$B$2:$B$197,MATCH(G705,Coordinates!$J$2:$J$197,0))</f>
        <v>-3.4081529920000002</v>
      </c>
      <c r="AK705" s="270">
        <f>INDEX(Coordinates!$C$2:$C$197,MATCH(G705,Coordinates!$J$2:$J$197,0))</f>
        <v>34.850168959999998</v>
      </c>
      <c r="AL705" s="270" t="str">
        <f>IF(ISNUMBER(SEARCH("C", 'Dry_Litterbag Placem_Collection'!V46)),"YES","NO")</f>
        <v>NO</v>
      </c>
      <c r="AM705" s="270" t="str">
        <f>IF(ISNUMBER(SEARCH("H", 'Dry_Litterbag Placem_Collection'!V46)),"YES","NO")</f>
        <v>NO</v>
      </c>
      <c r="AN705" s="270" t="str">
        <f>IF(ISNUMBER(SEARCH("R", 'Dry_Litterbag Placem_Collection'!V46)),"YES","NO")</f>
        <v>NO</v>
      </c>
    </row>
    <row r="706" spans="1:40" ht="15" customHeight="1">
      <c r="A706" s="262" t="s">
        <v>2659</v>
      </c>
      <c r="B706" s="263">
        <f>'Dry_Litterbag Placem_Collection'!A47</f>
        <v>45</v>
      </c>
      <c r="C706" s="263" t="str">
        <f>'Dry_Litterbag Placem_Collection'!B47</f>
        <v>Makao</v>
      </c>
      <c r="D706" s="263" t="s">
        <v>2659</v>
      </c>
      <c r="E706" s="263" t="s">
        <v>20</v>
      </c>
      <c r="F706" s="263">
        <v>2</v>
      </c>
      <c r="G706" s="264" t="str">
        <f>'Dry_Litterbag Placem_Collection'!C47</f>
        <v>Dry_P2_T5</v>
      </c>
      <c r="H706" s="273" t="s">
        <v>3651</v>
      </c>
      <c r="I706" s="274" t="s">
        <v>298</v>
      </c>
      <c r="J706" s="263" t="str">
        <f>IF(ISBLANK('Dry_Litterbag Placem_Collection'!M47),"","R"&amp;""&amp;'Dry_Litterbag Placem_Collection'!M47)</f>
        <v>R631</v>
      </c>
      <c r="K706" s="267">
        <f>IFERROR(INDEX('Green_rooibos initial weight'!$C$5:$C$1749,MATCH(J706, 'Green_rooibos initial weight'!$A$5:$A$1749,0)),"")</f>
        <v>2.133</v>
      </c>
      <c r="L706" s="267">
        <f>IFERROR(K706-(TBIcalc!$Q$9+TBIcalc!$Q$10),"")</f>
        <v>1.8832</v>
      </c>
      <c r="M706" s="391">
        <f>AVERAGE(Ashed_controlls!$K$12:$K$14)</f>
        <v>2.2816647271287041</v>
      </c>
      <c r="N706" s="267">
        <f t="shared" si="51"/>
        <v>1.8402316898587123</v>
      </c>
      <c r="O706" s="267" t="str">
        <f>IF(IFERROR(INDEX('Both teabags AfterDry'!$D$3:$D$900,MATCH(J706,'Both teabags AfterDry'!$A$3:$A$900,0)),"")="","",(IFERROR(INDEX('Both teabags AfterDry'!$D$3:$D$900,MATCH(J706,'Both teabags AfterDry'!$A$3:$A$900,0)),"")))</f>
        <v/>
      </c>
      <c r="P706" s="267" t="str">
        <f>IFERROR(IF(O706&gt;0,O706-(TBIcalc!$Q$9),""),"")</f>
        <v/>
      </c>
      <c r="Q706" s="278" t="str">
        <f>IFERROR(INDEX('Ashed teabags dry'!$K$2:$K$825,MATCH(J706,'Ashed teabags dry'!$A$2:$A$825,0)),"")</f>
        <v/>
      </c>
      <c r="R706" s="278" t="str">
        <f t="shared" si="52"/>
        <v/>
      </c>
      <c r="S706" s="268">
        <f>'Dry_Litterbag Placem_Collection'!E47</f>
        <v>42938</v>
      </c>
      <c r="T706" s="268">
        <f>IF('Dry_Litterbag Placem_Collection'!G47="","",'Dry_Litterbag Placem_Collection'!G47)</f>
        <v>43005</v>
      </c>
      <c r="U706" s="269">
        <f t="shared" ref="U706:U769" si="55">IFERROR(T706-S706,"")</f>
        <v>67</v>
      </c>
      <c r="V706" s="267" t="str">
        <f t="shared" si="53"/>
        <v/>
      </c>
      <c r="W706" s="267" t="str">
        <f t="shared" si="54"/>
        <v/>
      </c>
      <c r="X706" s="271">
        <f>IFERROR(INDEX(Rainfall_Dry!$O$2:$O$217,MATCH(B706, Rainfall_Dry!$A$2:$A$217,0)),"")</f>
        <v>6.5250000359999998</v>
      </c>
      <c r="Y706" s="260">
        <v>19.96</v>
      </c>
      <c r="Z706" s="260">
        <v>4.9199999999999982</v>
      </c>
      <c r="AA706" s="260">
        <v>75.12</v>
      </c>
      <c r="AB706" s="261" t="s">
        <v>2671</v>
      </c>
      <c r="AC706" s="260">
        <v>1.641498275012321</v>
      </c>
      <c r="AD706">
        <f>IF('WetLitterbags placem_collection'!AB47="","",'WetLitterbags placem_collection'!AB47)</f>
        <v>2.2999999999999998</v>
      </c>
      <c r="AE706">
        <f>IF('WetLitterbags placem_collection'!Z47="","",'WetLitterbags placem_collection'!Z47)</f>
        <v>9.3000000000000007</v>
      </c>
      <c r="AF706" s="246" t="str">
        <f>IF('WetLitterbags placem_collection'!AA47="","",'WetLitterbags placem_collection'!AA47)</f>
        <v>O</v>
      </c>
      <c r="AG706">
        <f>IF('WetLitterbags placem_collection'!AC47="","",'WetLitterbags placem_collection'!AC47)</f>
        <v>0</v>
      </c>
      <c r="AH706">
        <f>IFERROR(AVERAGE('Dry_Litterbag Placem_Collection'!O47,'Dry_Litterbag Placem_Collection'!R47),"")</f>
        <v>4.0999999999999996</v>
      </c>
      <c r="AI706" s="271">
        <f>IFERROR(AVERAGE('Dry_Litterbag Placem_Collection'!N47,'Dry_Litterbag Placem_Collection'!Q47),"")</f>
        <v>27.25</v>
      </c>
      <c r="AJ706" s="270">
        <f>INDEX(Coordinates!$B$2:$B$197,MATCH(G706,Coordinates!$J$2:$J$197,0))</f>
        <v>-3.4081789759999999</v>
      </c>
      <c r="AK706" s="270">
        <f>INDEX(Coordinates!$C$2:$C$197,MATCH(G706,Coordinates!$J$2:$J$197,0))</f>
        <v>34.850516980000002</v>
      </c>
      <c r="AL706" s="270" t="str">
        <f>IF(ISNUMBER(SEARCH("C", 'Dry_Litterbag Placem_Collection'!V47)),"YES","NO")</f>
        <v>NO</v>
      </c>
      <c r="AM706" s="270" t="str">
        <f>IF(ISNUMBER(SEARCH("H", 'Dry_Litterbag Placem_Collection'!V47)),"YES","NO")</f>
        <v>NO</v>
      </c>
      <c r="AN706" s="270" t="str">
        <f>IF(ISNUMBER(SEARCH("R", 'Dry_Litterbag Placem_Collection'!V47)),"YES","NO")</f>
        <v>NO</v>
      </c>
    </row>
    <row r="707" spans="1:40" ht="15" customHeight="1">
      <c r="A707" s="262" t="s">
        <v>2659</v>
      </c>
      <c r="B707" s="263">
        <f>'Dry_Litterbag Placem_Collection'!A48</f>
        <v>46</v>
      </c>
      <c r="C707" s="263" t="str">
        <f>'Dry_Litterbag Placem_Collection'!B48</f>
        <v>Makao</v>
      </c>
      <c r="D707" s="263" t="s">
        <v>2659</v>
      </c>
      <c r="E707" s="263" t="s">
        <v>20</v>
      </c>
      <c r="F707" s="263">
        <v>2</v>
      </c>
      <c r="G707" s="264" t="str">
        <f>'Dry_Litterbag Placem_Collection'!C48</f>
        <v>Dry_P2_T6</v>
      </c>
      <c r="H707" s="273" t="s">
        <v>3651</v>
      </c>
      <c r="I707" s="274" t="s">
        <v>298</v>
      </c>
      <c r="J707" s="263" t="str">
        <f>IF(ISBLANK('Dry_Litterbag Placem_Collection'!M48),"","R"&amp;""&amp;'Dry_Litterbag Placem_Collection'!M48)</f>
        <v/>
      </c>
      <c r="K707" s="267" t="str">
        <f>IFERROR(INDEX('Green_rooibos initial weight'!$C$5:$C$1749,MATCH(J707, 'Green_rooibos initial weight'!$A$5:$A$1749,0)),"")</f>
        <v/>
      </c>
      <c r="L707" s="267" t="str">
        <f>IFERROR(K707-(TBIcalc!$Q$9+TBIcalc!$Q$10),"")</f>
        <v/>
      </c>
      <c r="M707" s="391">
        <f>AVERAGE(Ashed_controlls!$K$12:$K$14)</f>
        <v>2.2816647271287041</v>
      </c>
      <c r="N707" s="267" t="str">
        <f t="shared" ref="N707:N770" si="56">IFERROR(L707-(M707/100)*L707,"")</f>
        <v/>
      </c>
      <c r="O707" s="267" t="str">
        <f>IF(IFERROR(INDEX('Both teabags AfterDry'!$D$3:$D$900,MATCH(J707,'Both teabags AfterDry'!$A$3:$A$900,0)),"")="","",(IFERROR(INDEX('Both teabags AfterDry'!$D$3:$D$900,MATCH(J707,'Both teabags AfterDry'!$A$3:$A$900,0)),"")))</f>
        <v/>
      </c>
      <c r="P707" s="267" t="str">
        <f>IFERROR(IF(O707&gt;0,O707-(TBIcalc!$Q$9),""),"")</f>
        <v/>
      </c>
      <c r="Q707" s="278" t="str">
        <f>IFERROR(INDEX('Ashed teabags dry'!$K$2:$K$825,MATCH(J707,'Ashed teabags dry'!$A$2:$A$825,0)),"")</f>
        <v/>
      </c>
      <c r="R707" s="278" t="str">
        <f t="shared" ref="R707:R770" si="57">IFERROR(P707-(Q707/100)*P707,"")</f>
        <v/>
      </c>
      <c r="S707" s="268">
        <f>'Dry_Litterbag Placem_Collection'!E48</f>
        <v>0</v>
      </c>
      <c r="T707" s="268" t="str">
        <f>IF('Dry_Litterbag Placem_Collection'!G48="","",'Dry_Litterbag Placem_Collection'!G48)</f>
        <v/>
      </c>
      <c r="U707" s="269" t="str">
        <f t="shared" si="55"/>
        <v/>
      </c>
      <c r="V707" s="267" t="str">
        <f t="shared" ref="V707:V770" si="58">IFERROR(L707-P707,"")</f>
        <v/>
      </c>
      <c r="W707" s="267" t="str">
        <f t="shared" ref="W707:W770" si="59">IFERROR(N707-R707,"")</f>
        <v/>
      </c>
      <c r="X707" s="271" t="str">
        <f>IFERROR(INDEX(Rainfall_Dry!$O$2:$O$217,MATCH(B707, Rainfall_Dry!$A$2:$A$217,0)),"")</f>
        <v/>
      </c>
      <c r="Y707" s="260">
        <v>19.96</v>
      </c>
      <c r="Z707" s="260">
        <v>4.9199999999999982</v>
      </c>
      <c r="AA707" s="260">
        <v>75.12</v>
      </c>
      <c r="AB707" s="261" t="s">
        <v>2671</v>
      </c>
      <c r="AC707" s="260">
        <v>1.641498275012321</v>
      </c>
      <c r="AD707" t="str">
        <f>IF('WetLitterbags placem_collection'!AB48="","",'WetLitterbags placem_collection'!AB48)</f>
        <v/>
      </c>
      <c r="AE707" t="str">
        <f>IF('WetLitterbags placem_collection'!Z48="","",'WetLitterbags placem_collection'!Z48)</f>
        <v/>
      </c>
      <c r="AF707" s="246" t="str">
        <f>IF('WetLitterbags placem_collection'!AA48="","",'WetLitterbags placem_collection'!AA48)</f>
        <v/>
      </c>
      <c r="AG707" t="str">
        <f>IF('WetLitterbags placem_collection'!AC48="","",'WetLitterbags placem_collection'!AC48)</f>
        <v/>
      </c>
      <c r="AH707" t="str">
        <f>IFERROR(AVERAGE('Dry_Litterbag Placem_Collection'!O48,'Dry_Litterbag Placem_Collection'!R48),"")</f>
        <v/>
      </c>
      <c r="AI707" s="271" t="str">
        <f>IFERROR(AVERAGE('Dry_Litterbag Placem_Collection'!N48,'Dry_Litterbag Placem_Collection'!Q48),"")</f>
        <v/>
      </c>
      <c r="AJ707" s="270">
        <f>INDEX(Coordinates!$B$2:$B$197,MATCH(G707,Coordinates!$J$2:$J$197,0))</f>
        <v>-3.4084730130000001</v>
      </c>
      <c r="AK707" s="270">
        <f>INDEX(Coordinates!$C$2:$C$197,MATCH(G707,Coordinates!$J$2:$J$197,0))</f>
        <v>34.850401980000001</v>
      </c>
      <c r="AL707" s="270" t="str">
        <f>IF(ISNUMBER(SEARCH("C", 'Dry_Litterbag Placem_Collection'!V48)),"YES","NO")</f>
        <v>NO</v>
      </c>
      <c r="AM707" s="270" t="str">
        <f>IF(ISNUMBER(SEARCH("H", 'Dry_Litterbag Placem_Collection'!V48)),"YES","NO")</f>
        <v>NO</v>
      </c>
      <c r="AN707" s="270" t="str">
        <f>IF(ISNUMBER(SEARCH("R", 'Dry_Litterbag Placem_Collection'!V48)),"YES","NO")</f>
        <v>NO</v>
      </c>
    </row>
    <row r="708" spans="1:40" ht="15" customHeight="1">
      <c r="A708" s="262" t="s">
        <v>2659</v>
      </c>
      <c r="B708" s="263">
        <f>'Dry_Litterbag Placem_Collection'!A49</f>
        <v>47</v>
      </c>
      <c r="C708" s="263" t="str">
        <f>'Dry_Litterbag Placem_Collection'!B49</f>
        <v>Makao</v>
      </c>
      <c r="D708" s="263" t="s">
        <v>2659</v>
      </c>
      <c r="E708" s="263" t="s">
        <v>20</v>
      </c>
      <c r="F708" s="263">
        <v>2</v>
      </c>
      <c r="G708" s="264" t="str">
        <f>'Dry_Litterbag Placem_Collection'!C49</f>
        <v>Dry_P2_T7</v>
      </c>
      <c r="H708" s="273" t="s">
        <v>3651</v>
      </c>
      <c r="I708" s="274" t="s">
        <v>298</v>
      </c>
      <c r="J708" s="263" t="str">
        <f>IF(ISBLANK('Dry_Litterbag Placem_Collection'!M49),"","R"&amp;""&amp;'Dry_Litterbag Placem_Collection'!M49)</f>
        <v>R606</v>
      </c>
      <c r="K708" s="267">
        <f>IFERROR(INDEX('Green_rooibos initial weight'!$C$5:$C$1749,MATCH(J708, 'Green_rooibos initial weight'!$A$5:$A$1749,0)),"")</f>
        <v>2.15</v>
      </c>
      <c r="L708" s="267">
        <f>IFERROR(K708-(TBIcalc!$Q$9+TBIcalc!$Q$10),"")</f>
        <v>1.9001999999999999</v>
      </c>
      <c r="M708" s="391">
        <f>AVERAGE(Ashed_controlls!$K$12:$K$14)</f>
        <v>2.2816647271287041</v>
      </c>
      <c r="N708" s="267">
        <f t="shared" si="56"/>
        <v>1.8568438068551003</v>
      </c>
      <c r="O708" s="267">
        <f>IF(IFERROR(INDEX('Both teabags AfterDry'!$D$3:$D$900,MATCH(J708,'Both teabags AfterDry'!$A$3:$A$900,0)),"")="","",(IFERROR(INDEX('Both teabags AfterDry'!$D$3:$D$900,MATCH(J708,'Both teabags AfterDry'!$A$3:$A$900,0)),"")))</f>
        <v>1.9615</v>
      </c>
      <c r="P708" s="267">
        <f>IFERROR(IF(O708&gt;0,O708-(TBIcalc!$Q$9),""),"")</f>
        <v>1.8109</v>
      </c>
      <c r="Q708" s="278">
        <f>IFERROR(INDEX('Ashed teabags dry'!$K$2:$K$825,MATCH(J708,'Ashed teabags dry'!$A$2:$A$825,0)),"")</f>
        <v>1.9589106545621751</v>
      </c>
      <c r="R708" s="278">
        <f t="shared" si="57"/>
        <v>1.7754260869565335</v>
      </c>
      <c r="S708" s="268">
        <f>'Dry_Litterbag Placem_Collection'!E49</f>
        <v>42938</v>
      </c>
      <c r="T708" s="268">
        <f>IF('Dry_Litterbag Placem_Collection'!G49="","",'Dry_Litterbag Placem_Collection'!G49)</f>
        <v>43005</v>
      </c>
      <c r="U708" s="269">
        <f t="shared" si="55"/>
        <v>67</v>
      </c>
      <c r="V708" s="267">
        <f t="shared" si="58"/>
        <v>8.9299999999999935E-2</v>
      </c>
      <c r="W708" s="267">
        <f t="shared" si="59"/>
        <v>8.1417719898566832E-2</v>
      </c>
      <c r="X708" s="271">
        <f>IFERROR(INDEX(Rainfall_Dry!$O$2:$O$217,MATCH(B708, Rainfall_Dry!$A$2:$A$217,0)),"")</f>
        <v>6.5250000359999998</v>
      </c>
      <c r="Y708" s="260">
        <v>19.96</v>
      </c>
      <c r="Z708" s="260">
        <v>4.9199999999999982</v>
      </c>
      <c r="AA708" s="260">
        <v>75.12</v>
      </c>
      <c r="AB708" s="261" t="s">
        <v>2671</v>
      </c>
      <c r="AC708" s="260">
        <v>1.641498275012321</v>
      </c>
      <c r="AD708">
        <f>IF('WetLitterbags placem_collection'!AB49="","",'WetLitterbags placem_collection'!AB49)</f>
        <v>5.2</v>
      </c>
      <c r="AE708">
        <f>IF('WetLitterbags placem_collection'!Z49="","",'WetLitterbags placem_collection'!Z49)</f>
        <v>5.2</v>
      </c>
      <c r="AF708" s="246" t="str">
        <f>IF('WetLitterbags placem_collection'!AA49="","",'WetLitterbags placem_collection'!AA49)</f>
        <v>G</v>
      </c>
      <c r="AG708">
        <f>IF('WetLitterbags placem_collection'!AC49="","",'WetLitterbags placem_collection'!AC49)</f>
        <v>0</v>
      </c>
      <c r="AH708">
        <f>IFERROR(AVERAGE('Dry_Litterbag Placem_Collection'!O49,'Dry_Litterbag Placem_Collection'!R49),"")</f>
        <v>5.35</v>
      </c>
      <c r="AI708" s="271">
        <f>IFERROR(AVERAGE('Dry_Litterbag Placem_Collection'!N49,'Dry_Litterbag Placem_Collection'!Q49),"")</f>
        <v>26.4</v>
      </c>
      <c r="AJ708" s="270">
        <f>INDEX(Coordinates!$B$2:$B$197,MATCH(G708,Coordinates!$J$2:$J$197,0))</f>
        <v>-3.4084819820000001</v>
      </c>
      <c r="AK708" s="270">
        <f>INDEX(Coordinates!$C$2:$C$197,MATCH(G708,Coordinates!$J$2:$J$197,0))</f>
        <v>34.850024040000001</v>
      </c>
      <c r="AL708" s="270" t="str">
        <f>IF(ISNUMBER(SEARCH("C", 'Dry_Litterbag Placem_Collection'!V49)),"YES","NO")</f>
        <v>NO</v>
      </c>
      <c r="AM708" s="270" t="str">
        <f>IF(ISNUMBER(SEARCH("H", 'Dry_Litterbag Placem_Collection'!V49)),"YES","NO")</f>
        <v>NO</v>
      </c>
      <c r="AN708" s="270" t="str">
        <f>IF(ISNUMBER(SEARCH("R", 'Dry_Litterbag Placem_Collection'!V49)),"YES","NO")</f>
        <v>NO</v>
      </c>
    </row>
    <row r="709" spans="1:40" ht="15" customHeight="1">
      <c r="A709" s="262" t="s">
        <v>2659</v>
      </c>
      <c r="B709" s="263">
        <f>'Dry_Litterbag Placem_Collection'!A50</f>
        <v>48</v>
      </c>
      <c r="C709" s="263" t="str">
        <f>'Dry_Litterbag Placem_Collection'!B50</f>
        <v>Makao</v>
      </c>
      <c r="D709" s="263" t="s">
        <v>2659</v>
      </c>
      <c r="E709" s="263" t="s">
        <v>20</v>
      </c>
      <c r="F709" s="263">
        <v>2</v>
      </c>
      <c r="G709" s="264" t="str">
        <f>'Dry_Litterbag Placem_Collection'!C50</f>
        <v>Dry_P2_T8</v>
      </c>
      <c r="H709" s="273" t="s">
        <v>3651</v>
      </c>
      <c r="I709" s="274" t="s">
        <v>298</v>
      </c>
      <c r="J709" s="263" t="str">
        <f>IF(ISBLANK('Dry_Litterbag Placem_Collection'!M50),"","R"&amp;""&amp;'Dry_Litterbag Placem_Collection'!M50)</f>
        <v>R221</v>
      </c>
      <c r="K709" s="267">
        <f>IFERROR(INDEX('Green_rooibos initial weight'!$C$5:$C$1749,MATCH(J709, 'Green_rooibos initial weight'!$A$5:$A$1749,0)),"")</f>
        <v>2.2210000000000001</v>
      </c>
      <c r="L709" s="267">
        <f>IFERROR(K709-(TBIcalc!$Q$9+TBIcalc!$Q$10),"")</f>
        <v>1.9712000000000001</v>
      </c>
      <c r="M709" s="391">
        <f>AVERAGE(Ashed_controlls!$K$12:$K$14)</f>
        <v>2.2816647271287041</v>
      </c>
      <c r="N709" s="267">
        <f t="shared" si="56"/>
        <v>1.926223824898839</v>
      </c>
      <c r="O709" s="267">
        <f>IF(IFERROR(INDEX('Both teabags AfterDry'!$D$3:$D$900,MATCH(J709,'Both teabags AfterDry'!$A$3:$A$900,0)),"")="","",(IFERROR(INDEX('Both teabags AfterDry'!$D$3:$D$900,MATCH(J709,'Both teabags AfterDry'!$A$3:$A$900,0)),"")))</f>
        <v>1.8791</v>
      </c>
      <c r="P709" s="267">
        <f>IFERROR(IF(O709&gt;0,O709-(TBIcalc!$Q$9),""),"")</f>
        <v>1.7284999999999999</v>
      </c>
      <c r="Q709" s="278">
        <f>IFERROR(INDEX('Ashed teabags dry'!$K$2:$K$825,MATCH(J709,'Ashed teabags dry'!$A$2:$A$825,0)),"")</f>
        <v>2.6198934280645174</v>
      </c>
      <c r="R709" s="278">
        <f t="shared" si="57"/>
        <v>1.6832151420959047</v>
      </c>
      <c r="S709" s="268">
        <f>'Dry_Litterbag Placem_Collection'!E50</f>
        <v>42938</v>
      </c>
      <c r="T709" s="268">
        <f>IF('Dry_Litterbag Placem_Collection'!G50="","",'Dry_Litterbag Placem_Collection'!G50)</f>
        <v>43005</v>
      </c>
      <c r="U709" s="269">
        <f t="shared" si="55"/>
        <v>67</v>
      </c>
      <c r="V709" s="267">
        <f t="shared" si="58"/>
        <v>0.24270000000000014</v>
      </c>
      <c r="W709" s="267">
        <f t="shared" si="59"/>
        <v>0.24300868280293431</v>
      </c>
      <c r="X709" s="271">
        <f>IFERROR(INDEX(Rainfall_Dry!$O$2:$O$217,MATCH(B709, Rainfall_Dry!$A$2:$A$217,0)),"")</f>
        <v>6.5250000359999998</v>
      </c>
      <c r="Y709" s="260">
        <v>19.96</v>
      </c>
      <c r="Z709" s="260">
        <v>4.9199999999999982</v>
      </c>
      <c r="AA709" s="260">
        <v>75.12</v>
      </c>
      <c r="AB709" s="261" t="s">
        <v>2671</v>
      </c>
      <c r="AC709" s="260">
        <v>1.641498275012321</v>
      </c>
      <c r="AD709">
        <f>IF('WetLitterbags placem_collection'!AB50="","",'WetLitterbags placem_collection'!AB50)</f>
        <v>7.3</v>
      </c>
      <c r="AE709">
        <f>IF('WetLitterbags placem_collection'!Z50="","",'WetLitterbags placem_collection'!Z50)</f>
        <v>27.2</v>
      </c>
      <c r="AF709" s="246" t="str">
        <f>IF('WetLitterbags placem_collection'!AA50="","",'WetLitterbags placem_collection'!AA50)</f>
        <v>M</v>
      </c>
      <c r="AG709">
        <f>IF('WetLitterbags placem_collection'!AC50="","",'WetLitterbags placem_collection'!AC50)</f>
        <v>0</v>
      </c>
      <c r="AH709">
        <f>IFERROR(AVERAGE('Dry_Litterbag Placem_Collection'!O50,'Dry_Litterbag Placem_Collection'!R50),"")</f>
        <v>3.95</v>
      </c>
      <c r="AI709" s="271">
        <f>IFERROR(AVERAGE('Dry_Litterbag Placem_Collection'!N50,'Dry_Litterbag Placem_Collection'!Q50),"")</f>
        <v>25.950000000000003</v>
      </c>
      <c r="AJ709" s="270">
        <f>INDEX(Coordinates!$B$2:$B$197,MATCH(G709,Coordinates!$J$2:$J$197,0))</f>
        <v>-3.4081990090000001</v>
      </c>
      <c r="AK709" s="270">
        <f>INDEX(Coordinates!$C$2:$C$197,MATCH(G709,Coordinates!$J$2:$J$197,0))</f>
        <v>34.850254960000001</v>
      </c>
      <c r="AL709" s="270" t="str">
        <f>IF(ISNUMBER(SEARCH("C", 'Dry_Litterbag Placem_Collection'!V50)),"YES","NO")</f>
        <v>NO</v>
      </c>
      <c r="AM709" s="270" t="str">
        <f>IF(ISNUMBER(SEARCH("H", 'Dry_Litterbag Placem_Collection'!V50)),"YES","NO")</f>
        <v>NO</v>
      </c>
      <c r="AN709" s="270" t="str">
        <f>IF(ISNUMBER(SEARCH("R", 'Dry_Litterbag Placem_Collection'!V50)),"YES","NO")</f>
        <v>NO</v>
      </c>
    </row>
    <row r="710" spans="1:40" ht="15" customHeight="1">
      <c r="A710" s="262" t="s">
        <v>2659</v>
      </c>
      <c r="B710" s="263">
        <f>'Dry_Litterbag Placem_Collection'!A51</f>
        <v>49</v>
      </c>
      <c r="C710" s="263" t="str">
        <f>'Dry_Litterbag Placem_Collection'!B51</f>
        <v>Makao</v>
      </c>
      <c r="D710" s="263" t="s">
        <v>2659</v>
      </c>
      <c r="E710" s="263" t="s">
        <v>20</v>
      </c>
      <c r="F710" s="263">
        <v>3</v>
      </c>
      <c r="G710" s="264" t="str">
        <f>'Dry_Litterbag Placem_Collection'!C51</f>
        <v>Dry_P3_T1</v>
      </c>
      <c r="H710" s="273" t="s">
        <v>3651</v>
      </c>
      <c r="I710" s="274" t="s">
        <v>298</v>
      </c>
      <c r="J710" s="263" t="str">
        <f>IF(ISBLANK('Dry_Litterbag Placem_Collection'!M51),"","R"&amp;""&amp;'Dry_Litterbag Placem_Collection'!M51)</f>
        <v>R308</v>
      </c>
      <c r="K710" s="267">
        <f>IFERROR(INDEX('Green_rooibos initial weight'!$C$5:$C$1749,MATCH(J710, 'Green_rooibos initial weight'!$A$5:$A$1749,0)),"")</f>
        <v>2.173</v>
      </c>
      <c r="L710" s="267">
        <f>IFERROR(K710-(TBIcalc!$Q$9+TBIcalc!$Q$10),"")</f>
        <v>1.9232</v>
      </c>
      <c r="M710" s="391">
        <f>AVERAGE(Ashed_controlls!$K$12:$K$14)</f>
        <v>2.2816647271287041</v>
      </c>
      <c r="N710" s="267">
        <f t="shared" si="56"/>
        <v>1.8793190239678608</v>
      </c>
      <c r="O710" s="267" t="str">
        <f>IF(IFERROR(INDEX('Both teabags AfterDry'!$D$3:$D$900,MATCH(J710,'Both teabags AfterDry'!$A$3:$A$900,0)),"")="","",(IFERROR(INDEX('Both teabags AfterDry'!$D$3:$D$900,MATCH(J710,'Both teabags AfterDry'!$A$3:$A$900,0)),"")))</f>
        <v/>
      </c>
      <c r="P710" s="267" t="str">
        <f>IFERROR(IF(O710&gt;0,O710-(TBIcalc!$Q$9),""),"")</f>
        <v/>
      </c>
      <c r="Q710" s="278" t="str">
        <f>IFERROR(INDEX('Ashed teabags dry'!$K$2:$K$825,MATCH(J710,'Ashed teabags dry'!$A$2:$A$825,0)),"")</f>
        <v/>
      </c>
      <c r="R710" s="278" t="str">
        <f t="shared" si="57"/>
        <v/>
      </c>
      <c r="S710" s="268">
        <f>'Dry_Litterbag Placem_Collection'!E51</f>
        <v>42938</v>
      </c>
      <c r="T710" s="268">
        <f>IF('Dry_Litterbag Placem_Collection'!G51="","",'Dry_Litterbag Placem_Collection'!G51)</f>
        <v>43005</v>
      </c>
      <c r="U710" s="269">
        <f t="shared" si="55"/>
        <v>67</v>
      </c>
      <c r="V710" s="267" t="str">
        <f t="shared" si="58"/>
        <v/>
      </c>
      <c r="W710" s="267" t="str">
        <f t="shared" si="59"/>
        <v/>
      </c>
      <c r="X710" s="271">
        <f>IFERROR(INDEX(Rainfall_Dry!$O$2:$O$217,MATCH(B710, Rainfall_Dry!$A$2:$A$217,0)),"")</f>
        <v>6.5250000359999998</v>
      </c>
      <c r="Y710" s="260">
        <v>21.96</v>
      </c>
      <c r="Z710" s="260">
        <v>8.9199999999999982</v>
      </c>
      <c r="AA710" s="260">
        <v>69.12</v>
      </c>
      <c r="AB710" s="261" t="s">
        <v>2670</v>
      </c>
      <c r="AC710" s="260">
        <v>1.7491375061606702</v>
      </c>
      <c r="AD710">
        <f>IF('WetLitterbags placem_collection'!AB51="","",'WetLitterbags placem_collection'!AB51)</f>
        <v>10.4</v>
      </c>
      <c r="AE710">
        <f>IF('WetLitterbags placem_collection'!Z51="","",'WetLitterbags placem_collection'!Z51)</f>
        <v>36</v>
      </c>
      <c r="AF710" s="246" t="str">
        <f>IF('WetLitterbags placem_collection'!AA51="","",'WetLitterbags placem_collection'!AA51)</f>
        <v>M</v>
      </c>
      <c r="AG710">
        <f>IF('WetLitterbags placem_collection'!AC51="","",'WetLitterbags placem_collection'!AC51)</f>
        <v>1</v>
      </c>
      <c r="AH710">
        <f>IFERROR(AVERAGE('Dry_Litterbag Placem_Collection'!O51,'Dry_Litterbag Placem_Collection'!R51),"")</f>
        <v>7.05</v>
      </c>
      <c r="AI710" s="271">
        <f>IFERROR(AVERAGE('Dry_Litterbag Placem_Collection'!N51,'Dry_Litterbag Placem_Collection'!Q51),"")</f>
        <v>31.5</v>
      </c>
      <c r="AJ710" s="270">
        <f>INDEX(Coordinates!$B$2:$B$197,MATCH(G710,Coordinates!$J$2:$J$197,0))</f>
        <v>-3.406225992</v>
      </c>
      <c r="AK710" s="270">
        <f>INDEX(Coordinates!$C$2:$C$197,MATCH(G710,Coordinates!$J$2:$J$197,0))</f>
        <v>34.85055998</v>
      </c>
      <c r="AL710" s="270" t="str">
        <f>IF(ISNUMBER(SEARCH("C", 'Dry_Litterbag Placem_Collection'!V51)),"YES","NO")</f>
        <v>NO</v>
      </c>
      <c r="AM710" s="270" t="str">
        <f>IF(ISNUMBER(SEARCH("H", 'Dry_Litterbag Placem_Collection'!V51)),"YES","NO")</f>
        <v>NO</v>
      </c>
      <c r="AN710" s="270" t="str">
        <f>IF(ISNUMBER(SEARCH("R", 'Dry_Litterbag Placem_Collection'!V51)),"YES","NO")</f>
        <v>NO</v>
      </c>
    </row>
    <row r="711" spans="1:40" ht="15" customHeight="1">
      <c r="A711" s="262" t="s">
        <v>2659</v>
      </c>
      <c r="B711" s="263">
        <f>'Dry_Litterbag Placem_Collection'!A52</f>
        <v>50</v>
      </c>
      <c r="C711" s="263" t="str">
        <f>'Dry_Litterbag Placem_Collection'!B52</f>
        <v>Makao</v>
      </c>
      <c r="D711" s="263" t="s">
        <v>2659</v>
      </c>
      <c r="E711" s="263" t="s">
        <v>20</v>
      </c>
      <c r="F711" s="263">
        <v>3</v>
      </c>
      <c r="G711" s="264" t="str">
        <f>'Dry_Litterbag Placem_Collection'!C52</f>
        <v>Dry_P3_T2</v>
      </c>
      <c r="H711" s="273" t="s">
        <v>3651</v>
      </c>
      <c r="I711" s="274" t="s">
        <v>298</v>
      </c>
      <c r="J711" s="263" t="str">
        <f>IF(ISBLANK('Dry_Litterbag Placem_Collection'!M52),"","R"&amp;""&amp;'Dry_Litterbag Placem_Collection'!M52)</f>
        <v>R644</v>
      </c>
      <c r="K711" s="267">
        <f>IFERROR(INDEX('Green_rooibos initial weight'!$C$5:$C$1749,MATCH(J711, 'Green_rooibos initial weight'!$A$5:$A$1749,0)),"")</f>
        <v>2.2240000000000002</v>
      </c>
      <c r="L711" s="267">
        <f>IFERROR(K711-(TBIcalc!$Q$9+TBIcalc!$Q$10),"")</f>
        <v>1.9742000000000002</v>
      </c>
      <c r="M711" s="391">
        <f>AVERAGE(Ashed_controlls!$K$12:$K$14)</f>
        <v>2.2816647271287041</v>
      </c>
      <c r="N711" s="267">
        <f t="shared" si="56"/>
        <v>1.9291553749570254</v>
      </c>
      <c r="O711" s="267" t="str">
        <f>IF(IFERROR(INDEX('Both teabags AfterDry'!$D$3:$D$900,MATCH(J711,'Both teabags AfterDry'!$A$3:$A$900,0)),"")="","",(IFERROR(INDEX('Both teabags AfterDry'!$D$3:$D$900,MATCH(J711,'Both teabags AfterDry'!$A$3:$A$900,0)),"")))</f>
        <v/>
      </c>
      <c r="P711" s="267" t="str">
        <f>IFERROR(IF(O711&gt;0,O711-(TBIcalc!$Q$9),""),"")</f>
        <v/>
      </c>
      <c r="Q711" s="278" t="str">
        <f>IFERROR(INDEX('Ashed teabags dry'!$K$2:$K$825,MATCH(J711,'Ashed teabags dry'!$A$2:$A$825,0)),"")</f>
        <v/>
      </c>
      <c r="R711" s="278" t="str">
        <f t="shared" si="57"/>
        <v/>
      </c>
      <c r="S711" s="268">
        <f>'Dry_Litterbag Placem_Collection'!E52</f>
        <v>42938</v>
      </c>
      <c r="T711" s="268" t="str">
        <f>IF('Dry_Litterbag Placem_Collection'!G52="","",'Dry_Litterbag Placem_Collection'!G52)</f>
        <v/>
      </c>
      <c r="U711" s="269" t="str">
        <f t="shared" si="55"/>
        <v/>
      </c>
      <c r="V711" s="267" t="str">
        <f t="shared" si="58"/>
        <v/>
      </c>
      <c r="W711" s="267" t="str">
        <f t="shared" si="59"/>
        <v/>
      </c>
      <c r="X711" s="271" t="str">
        <f>IFERROR(INDEX(Rainfall_Dry!$O$2:$O$217,MATCH(B711, Rainfall_Dry!$A$2:$A$217,0)),"")</f>
        <v/>
      </c>
      <c r="Y711" s="260">
        <v>21.96</v>
      </c>
      <c r="Z711" s="260">
        <v>8.9199999999999982</v>
      </c>
      <c r="AA711" s="260">
        <v>69.12</v>
      </c>
      <c r="AB711" s="261" t="s">
        <v>2670</v>
      </c>
      <c r="AC711" s="260">
        <v>1.7491375061606702</v>
      </c>
      <c r="AD711">
        <f>IF('WetLitterbags placem_collection'!AB52="","",'WetLitterbags placem_collection'!AB52)</f>
        <v>10</v>
      </c>
      <c r="AE711">
        <f>IF('WetLitterbags placem_collection'!Z52="","",'WetLitterbags placem_collection'!Z52)</f>
        <v>22.5</v>
      </c>
      <c r="AF711" s="246" t="str">
        <f>IF('WetLitterbags placem_collection'!AA52="","",'WetLitterbags placem_collection'!AA52)</f>
        <v>M</v>
      </c>
      <c r="AG711">
        <f>IF('WetLitterbags placem_collection'!AC52="","",'WetLitterbags placem_collection'!AC52)</f>
        <v>1</v>
      </c>
      <c r="AH711">
        <f>IFERROR(AVERAGE('Dry_Litterbag Placem_Collection'!O52,'Dry_Litterbag Placem_Collection'!R52),"")</f>
        <v>6.4</v>
      </c>
      <c r="AI711" s="271">
        <f>IFERROR(AVERAGE('Dry_Litterbag Placem_Collection'!N52,'Dry_Litterbag Placem_Collection'!Q52),"")</f>
        <v>27.6</v>
      </c>
      <c r="AJ711" s="270">
        <f>INDEX(Coordinates!$B$2:$B$197,MATCH(G711,Coordinates!$J$2:$J$197,0))</f>
        <v>-3.4062630399999998</v>
      </c>
      <c r="AK711" s="270">
        <f>INDEX(Coordinates!$C$2:$C$197,MATCH(G711,Coordinates!$J$2:$J$197,0))</f>
        <v>34.850566010000001</v>
      </c>
      <c r="AL711" s="270" t="str">
        <f>IF(ISNUMBER(SEARCH("C", 'Dry_Litterbag Placem_Collection'!V52)),"YES","NO")</f>
        <v>NO</v>
      </c>
      <c r="AM711" s="270" t="str">
        <f>IF(ISNUMBER(SEARCH("H", 'Dry_Litterbag Placem_Collection'!V52)),"YES","NO")</f>
        <v>NO</v>
      </c>
      <c r="AN711" s="270" t="str">
        <f>IF(ISNUMBER(SEARCH("R", 'Dry_Litterbag Placem_Collection'!V52)),"YES","NO")</f>
        <v>NO</v>
      </c>
    </row>
    <row r="712" spans="1:40" ht="15" customHeight="1">
      <c r="A712" s="262" t="s">
        <v>2659</v>
      </c>
      <c r="B712" s="263">
        <f>'Dry_Litterbag Placem_Collection'!A53</f>
        <v>51</v>
      </c>
      <c r="C712" s="263" t="str">
        <f>'Dry_Litterbag Placem_Collection'!B53</f>
        <v>Makao</v>
      </c>
      <c r="D712" s="263" t="s">
        <v>2659</v>
      </c>
      <c r="E712" s="263" t="s">
        <v>20</v>
      </c>
      <c r="F712" s="263">
        <v>3</v>
      </c>
      <c r="G712" s="264" t="str">
        <f>'Dry_Litterbag Placem_Collection'!C53</f>
        <v>Dry_P3_T3</v>
      </c>
      <c r="H712" s="273" t="s">
        <v>3651</v>
      </c>
      <c r="I712" s="274" t="s">
        <v>298</v>
      </c>
      <c r="J712" s="263" t="str">
        <f>IF(ISBLANK('Dry_Litterbag Placem_Collection'!M53),"","R"&amp;""&amp;'Dry_Litterbag Placem_Collection'!M53)</f>
        <v>R242</v>
      </c>
      <c r="K712" s="267">
        <f>IFERROR(INDEX('Green_rooibos initial weight'!$C$5:$C$1749,MATCH(J712, 'Green_rooibos initial weight'!$A$5:$A$1749,0)),"")</f>
        <v>2.194</v>
      </c>
      <c r="L712" s="267">
        <f>IFERROR(K712-(TBIcalc!$Q$9+TBIcalc!$Q$10),"")</f>
        <v>1.9441999999999999</v>
      </c>
      <c r="M712" s="391">
        <f>AVERAGE(Ashed_controlls!$K$12:$K$14)</f>
        <v>2.2816647271287041</v>
      </c>
      <c r="N712" s="267">
        <f t="shared" si="56"/>
        <v>1.8998398743751637</v>
      </c>
      <c r="O712" s="267">
        <f>IF(IFERROR(INDEX('Both teabags AfterDry'!$D$3:$D$900,MATCH(J712,'Both teabags AfterDry'!$A$3:$A$900,0)),"")="","",(IFERROR(INDEX('Both teabags AfterDry'!$D$3:$D$900,MATCH(J712,'Both teabags AfterDry'!$A$3:$A$900,0)),"")))</f>
        <v>1.9262999999999999</v>
      </c>
      <c r="P712" s="267">
        <f>IFERROR(IF(O712&gt;0,O712-(TBIcalc!$Q$9),""),"")</f>
        <v>1.7756999999999998</v>
      </c>
      <c r="Q712" s="278">
        <f>IFERROR(INDEX('Ashed teabags dry'!$K$2:$K$825,MATCH(J712,'Ashed teabags dry'!$A$2:$A$825,0)),"")</f>
        <v>3.7440758293834344</v>
      </c>
      <c r="R712" s="278">
        <f t="shared" si="57"/>
        <v>1.7092164454976382</v>
      </c>
      <c r="S712" s="268">
        <f>'Dry_Litterbag Placem_Collection'!E53</f>
        <v>42938</v>
      </c>
      <c r="T712" s="268">
        <f>IF('Dry_Litterbag Placem_Collection'!G53="","",'Dry_Litterbag Placem_Collection'!G53)</f>
        <v>43005</v>
      </c>
      <c r="U712" s="269">
        <f t="shared" si="55"/>
        <v>67</v>
      </c>
      <c r="V712" s="267">
        <f t="shared" si="58"/>
        <v>0.16850000000000009</v>
      </c>
      <c r="W712" s="267">
        <f t="shared" si="59"/>
        <v>0.19062342887752548</v>
      </c>
      <c r="X712" s="271">
        <f>IFERROR(INDEX(Rainfall_Dry!$O$2:$O$217,MATCH(B712, Rainfall_Dry!$A$2:$A$217,0)),"")</f>
        <v>6.5250000359999998</v>
      </c>
      <c r="Y712" s="260">
        <v>21.96</v>
      </c>
      <c r="Z712" s="260">
        <v>8.9199999999999982</v>
      </c>
      <c r="AA712" s="260">
        <v>69.12</v>
      </c>
      <c r="AB712" s="261" t="s">
        <v>2670</v>
      </c>
      <c r="AC712" s="260">
        <v>1.7491375061606702</v>
      </c>
      <c r="AD712">
        <f>IF('WetLitterbags placem_collection'!AB53="","",'WetLitterbags placem_collection'!AB53)</f>
        <v>3</v>
      </c>
      <c r="AE712">
        <f>IF('WetLitterbags placem_collection'!Z53="","",'WetLitterbags placem_collection'!Z53)</f>
        <v>18</v>
      </c>
      <c r="AF712" s="246" t="str">
        <f>IF('WetLitterbags placem_collection'!AA53="","",'WetLitterbags placem_collection'!AA53)</f>
        <v>O</v>
      </c>
      <c r="AG712">
        <f>IF('WetLitterbags placem_collection'!AC53="","",'WetLitterbags placem_collection'!AC53)</f>
        <v>0</v>
      </c>
      <c r="AH712">
        <f>IFERROR(AVERAGE('Dry_Litterbag Placem_Collection'!O53,'Dry_Litterbag Placem_Collection'!R53),"")</f>
        <v>2.4500000000000002</v>
      </c>
      <c r="AI712" s="271">
        <f>IFERROR(AVERAGE('Dry_Litterbag Placem_Collection'!N53,'Dry_Litterbag Placem_Collection'!Q53),"")</f>
        <v>34.450000000000003</v>
      </c>
      <c r="AJ712" s="270">
        <f>INDEX(Coordinates!$B$2:$B$197,MATCH(G712,Coordinates!$J$2:$J$197,0))</f>
        <v>-3.4063920379999999</v>
      </c>
      <c r="AK712" s="270">
        <f>INDEX(Coordinates!$C$2:$C$197,MATCH(G712,Coordinates!$J$2:$J$197,0))</f>
        <v>34.850696020000001</v>
      </c>
      <c r="AL712" s="270" t="str">
        <f>IF(ISNUMBER(SEARCH("C", 'Dry_Litterbag Placem_Collection'!V53)),"YES","NO")</f>
        <v>NO</v>
      </c>
      <c r="AM712" s="270" t="str">
        <f>IF(ISNUMBER(SEARCH("H", 'Dry_Litterbag Placem_Collection'!V53)),"YES","NO")</f>
        <v>NO</v>
      </c>
      <c r="AN712" s="270" t="str">
        <f>IF(ISNUMBER(SEARCH("R", 'Dry_Litterbag Placem_Collection'!V53)),"YES","NO")</f>
        <v>NO</v>
      </c>
    </row>
    <row r="713" spans="1:40" ht="15" customHeight="1">
      <c r="A713" s="262" t="s">
        <v>2659</v>
      </c>
      <c r="B713" s="263">
        <f>'Dry_Litterbag Placem_Collection'!A54</f>
        <v>52</v>
      </c>
      <c r="C713" s="263" t="str">
        <f>'Dry_Litterbag Placem_Collection'!B54</f>
        <v>Makao</v>
      </c>
      <c r="D713" s="263" t="s">
        <v>2659</v>
      </c>
      <c r="E713" s="263" t="s">
        <v>20</v>
      </c>
      <c r="F713" s="263">
        <v>3</v>
      </c>
      <c r="G713" s="264" t="str">
        <f>'Dry_Litterbag Placem_Collection'!C54</f>
        <v>Dry_P3_T4</v>
      </c>
      <c r="H713" s="273" t="s">
        <v>3651</v>
      </c>
      <c r="I713" s="274" t="s">
        <v>298</v>
      </c>
      <c r="J713" s="263" t="str">
        <f>IF(ISBLANK('Dry_Litterbag Placem_Collection'!M54),"","R"&amp;""&amp;'Dry_Litterbag Placem_Collection'!M54)</f>
        <v>R648</v>
      </c>
      <c r="K713" s="267">
        <f>IFERROR(INDEX('Green_rooibos initial weight'!$C$5:$C$1749,MATCH(J713, 'Green_rooibos initial weight'!$A$5:$A$1749,0)),"")</f>
        <v>2.1920000000000002</v>
      </c>
      <c r="L713" s="267">
        <f>IFERROR(K713-(TBIcalc!$Q$9+TBIcalc!$Q$10),"")</f>
        <v>1.9422000000000001</v>
      </c>
      <c r="M713" s="391">
        <f>AVERAGE(Ashed_controlls!$K$12:$K$14)</f>
        <v>2.2816647271287041</v>
      </c>
      <c r="N713" s="267">
        <f t="shared" si="56"/>
        <v>1.8978855076697065</v>
      </c>
      <c r="O713" s="267">
        <f>IF(IFERROR(INDEX('Both teabags AfterDry'!$D$3:$D$900,MATCH(J713,'Both teabags AfterDry'!$A$3:$A$900,0)),"")="","",(IFERROR(INDEX('Both teabags AfterDry'!$D$3:$D$900,MATCH(J713,'Both teabags AfterDry'!$A$3:$A$900,0)),"")))</f>
        <v>1.9649000000000001</v>
      </c>
      <c r="P713" s="267">
        <f>IFERROR(IF(O713&gt;0,O713-(TBIcalc!$Q$9),""),"")</f>
        <v>1.8143</v>
      </c>
      <c r="Q713" s="278">
        <f>IFERROR(INDEX('Ashed teabags dry'!$K$2:$K$825,MATCH(J713,'Ashed teabags dry'!$A$2:$A$825,0)),"")</f>
        <v>3.1295137217131312</v>
      </c>
      <c r="R713" s="278">
        <f t="shared" si="57"/>
        <v>1.7575212325469587</v>
      </c>
      <c r="S713" s="268">
        <f>'Dry_Litterbag Placem_Collection'!E54</f>
        <v>42938</v>
      </c>
      <c r="T713" s="268">
        <f>IF('Dry_Litterbag Placem_Collection'!G54="","",'Dry_Litterbag Placem_Collection'!G54)</f>
        <v>43005</v>
      </c>
      <c r="U713" s="269">
        <f t="shared" si="55"/>
        <v>67</v>
      </c>
      <c r="V713" s="267">
        <f t="shared" si="58"/>
        <v>0.12790000000000012</v>
      </c>
      <c r="W713" s="267">
        <f t="shared" si="59"/>
        <v>0.14036427512274785</v>
      </c>
      <c r="X713" s="271">
        <f>IFERROR(INDEX(Rainfall_Dry!$O$2:$O$217,MATCH(B713, Rainfall_Dry!$A$2:$A$217,0)),"")</f>
        <v>6.5250000359999998</v>
      </c>
      <c r="Y713" s="260">
        <v>21.96</v>
      </c>
      <c r="Z713" s="260">
        <v>8.9199999999999982</v>
      </c>
      <c r="AA713" s="260">
        <v>69.12</v>
      </c>
      <c r="AB713" s="261" t="s">
        <v>2670</v>
      </c>
      <c r="AC713" s="260">
        <v>1.7491375061606702</v>
      </c>
      <c r="AD713">
        <f>IF('WetLitterbags placem_collection'!AB54="","",'WetLitterbags placem_collection'!AB54)</f>
        <v>13.4</v>
      </c>
      <c r="AE713">
        <f>IF('WetLitterbags placem_collection'!Z54="","",'WetLitterbags placem_collection'!Z54)</f>
        <v>67</v>
      </c>
      <c r="AF713" s="246" t="str">
        <f>IF('WetLitterbags placem_collection'!AA54="","",'WetLitterbags placem_collection'!AA54)</f>
        <v>M</v>
      </c>
      <c r="AG713">
        <f>IF('WetLitterbags placem_collection'!AC54="","",'WetLitterbags placem_collection'!AC54)</f>
        <v>1</v>
      </c>
      <c r="AH713">
        <f>IFERROR(AVERAGE('Dry_Litterbag Placem_Collection'!O54,'Dry_Litterbag Placem_Collection'!R54),"")</f>
        <v>5.75</v>
      </c>
      <c r="AI713" s="271">
        <f>IFERROR(AVERAGE('Dry_Litterbag Placem_Collection'!N54,'Dry_Litterbag Placem_Collection'!Q54),"")</f>
        <v>30.75</v>
      </c>
      <c r="AJ713" s="270">
        <f>INDEX(Coordinates!$B$2:$B$197,MATCH(G713,Coordinates!$J$2:$J$197,0))</f>
        <v>-3.4061569999999999</v>
      </c>
      <c r="AK713" s="270">
        <f>INDEX(Coordinates!$C$2:$C$197,MATCH(G713,Coordinates!$J$2:$J$197,0))</f>
        <v>34.850738999999997</v>
      </c>
      <c r="AL713" s="270" t="str">
        <f>IF(ISNUMBER(SEARCH("C", 'Dry_Litterbag Placem_Collection'!V54)),"YES","NO")</f>
        <v>NO</v>
      </c>
      <c r="AM713" s="270" t="str">
        <f>IF(ISNUMBER(SEARCH("H", 'Dry_Litterbag Placem_Collection'!V54)),"YES","NO")</f>
        <v>NO</v>
      </c>
      <c r="AN713" s="270" t="str">
        <f>IF(ISNUMBER(SEARCH("R", 'Dry_Litterbag Placem_Collection'!V54)),"YES","NO")</f>
        <v>NO</v>
      </c>
    </row>
    <row r="714" spans="1:40" ht="15" customHeight="1">
      <c r="A714" s="262" t="s">
        <v>2659</v>
      </c>
      <c r="B714" s="263">
        <f>'Dry_Litterbag Placem_Collection'!A55</f>
        <v>53</v>
      </c>
      <c r="C714" s="263" t="str">
        <f>'Dry_Litterbag Placem_Collection'!B55</f>
        <v>Makao</v>
      </c>
      <c r="D714" s="263" t="s">
        <v>2659</v>
      </c>
      <c r="E714" s="263" t="s">
        <v>20</v>
      </c>
      <c r="F714" s="263">
        <v>3</v>
      </c>
      <c r="G714" s="264" t="str">
        <f>'Dry_Litterbag Placem_Collection'!C55</f>
        <v>Dry_P3_T5</v>
      </c>
      <c r="H714" s="273" t="s">
        <v>3651</v>
      </c>
      <c r="I714" s="274" t="s">
        <v>298</v>
      </c>
      <c r="J714" s="263" t="str">
        <f>IF(ISBLANK('Dry_Litterbag Placem_Collection'!M55),"","R"&amp;""&amp;'Dry_Litterbag Placem_Collection'!M55)</f>
        <v>R140</v>
      </c>
      <c r="K714" s="267">
        <f>IFERROR(INDEX('Green_rooibos initial weight'!$C$5:$C$1749,MATCH(J714, 'Green_rooibos initial weight'!$A$5:$A$1749,0)),"")</f>
        <v>2.1930000000000001</v>
      </c>
      <c r="L714" s="267">
        <f>IFERROR(K714-(TBIcalc!$Q$9+TBIcalc!$Q$10),"")</f>
        <v>1.9432</v>
      </c>
      <c r="M714" s="391">
        <f>AVERAGE(Ashed_controlls!$K$12:$K$14)</f>
        <v>2.2816647271287041</v>
      </c>
      <c r="N714" s="267">
        <f t="shared" si="56"/>
        <v>1.8988626910224351</v>
      </c>
      <c r="O714" s="267">
        <f>IF(IFERROR(INDEX('Both teabags AfterDry'!$D$3:$D$900,MATCH(J714,'Both teabags AfterDry'!$A$3:$A$900,0)),"")="","",(IFERROR(INDEX('Both teabags AfterDry'!$D$3:$D$900,MATCH(J714,'Both teabags AfterDry'!$A$3:$A$900,0)),"")))</f>
        <v>1.9561999999999999</v>
      </c>
      <c r="P714" s="267">
        <f>IFERROR(IF(O714&gt;0,O714-(TBIcalc!$Q$9),""),"")</f>
        <v>1.8055999999999999</v>
      </c>
      <c r="Q714" s="278">
        <f>IFERROR(INDEX('Ashed teabags dry'!$K$2:$K$825,MATCH(J714,'Ashed teabags dry'!$A$2:$A$825,0)),"")</f>
        <v>3.1146767343080963</v>
      </c>
      <c r="R714" s="278">
        <f t="shared" si="57"/>
        <v>1.749361396885333</v>
      </c>
      <c r="S714" s="268">
        <f>'Dry_Litterbag Placem_Collection'!E55</f>
        <v>42938</v>
      </c>
      <c r="T714" s="268">
        <f>IF('Dry_Litterbag Placem_Collection'!G55="","",'Dry_Litterbag Placem_Collection'!G55)</f>
        <v>43005</v>
      </c>
      <c r="U714" s="269">
        <f t="shared" si="55"/>
        <v>67</v>
      </c>
      <c r="V714" s="267">
        <f t="shared" si="58"/>
        <v>0.13760000000000017</v>
      </c>
      <c r="W714" s="267">
        <f t="shared" si="59"/>
        <v>0.14950129413710211</v>
      </c>
      <c r="X714" s="271">
        <f>IFERROR(INDEX(Rainfall_Dry!$O$2:$O$217,MATCH(B714, Rainfall_Dry!$A$2:$A$217,0)),"")</f>
        <v>6.5250000359999998</v>
      </c>
      <c r="Y714" s="260">
        <v>21.96</v>
      </c>
      <c r="Z714" s="260">
        <v>8.9199999999999982</v>
      </c>
      <c r="AA714" s="260">
        <v>69.12</v>
      </c>
      <c r="AB714" s="261" t="s">
        <v>2670</v>
      </c>
      <c r="AC714" s="260">
        <v>1.7491375061606702</v>
      </c>
      <c r="AD714" t="str">
        <f>IF('WetLitterbags placem_collection'!AB55="","",'WetLitterbags placem_collection'!AB55)</f>
        <v/>
      </c>
      <c r="AE714" t="str">
        <f>IF('WetLitterbags placem_collection'!Z55="","",'WetLitterbags placem_collection'!Z55)</f>
        <v/>
      </c>
      <c r="AF714" s="246" t="str">
        <f>IF('WetLitterbags placem_collection'!AA55="","",'WetLitterbags placem_collection'!AA55)</f>
        <v/>
      </c>
      <c r="AG714" t="str">
        <f>IF('WetLitterbags placem_collection'!AC55="","",'WetLitterbags placem_collection'!AC55)</f>
        <v/>
      </c>
      <c r="AH714">
        <f>IFERROR(AVERAGE('Dry_Litterbag Placem_Collection'!O55,'Dry_Litterbag Placem_Collection'!R55),"")</f>
        <v>6.5</v>
      </c>
      <c r="AI714" s="271">
        <f>IFERROR(AVERAGE('Dry_Litterbag Placem_Collection'!N55,'Dry_Litterbag Placem_Collection'!Q55),"")</f>
        <v>30.4</v>
      </c>
      <c r="AJ714" s="270">
        <f>INDEX(Coordinates!$B$2:$B$197,MATCH(G714,Coordinates!$J$2:$J$197,0))</f>
        <v>-3.4061140000000001</v>
      </c>
      <c r="AK714" s="270">
        <f>INDEX(Coordinates!$C$2:$C$197,MATCH(G714,Coordinates!$J$2:$J$197,0))</f>
        <v>34.850596000000003</v>
      </c>
      <c r="AL714" s="270" t="str">
        <f>IF(ISNUMBER(SEARCH("C", 'Dry_Litterbag Placem_Collection'!V55)),"YES","NO")</f>
        <v>NO</v>
      </c>
      <c r="AM714" s="270" t="str">
        <f>IF(ISNUMBER(SEARCH("H", 'Dry_Litterbag Placem_Collection'!V55)),"YES","NO")</f>
        <v>NO</v>
      </c>
      <c r="AN714" s="270" t="str">
        <f>IF(ISNUMBER(SEARCH("R", 'Dry_Litterbag Placem_Collection'!V55)),"YES","NO")</f>
        <v>NO</v>
      </c>
    </row>
    <row r="715" spans="1:40" ht="15" customHeight="1">
      <c r="A715" s="262" t="s">
        <v>2659</v>
      </c>
      <c r="B715" s="263">
        <f>'Dry_Litterbag Placem_Collection'!A56</f>
        <v>54</v>
      </c>
      <c r="C715" s="263" t="str">
        <f>'Dry_Litterbag Placem_Collection'!B56</f>
        <v>Makao</v>
      </c>
      <c r="D715" s="263" t="s">
        <v>2659</v>
      </c>
      <c r="E715" s="263" t="s">
        <v>20</v>
      </c>
      <c r="F715" s="263">
        <v>3</v>
      </c>
      <c r="G715" s="264" t="str">
        <f>'Dry_Litterbag Placem_Collection'!C56</f>
        <v>Dry_P3_T6</v>
      </c>
      <c r="H715" s="273" t="s">
        <v>3651</v>
      </c>
      <c r="I715" s="274" t="s">
        <v>298</v>
      </c>
      <c r="J715" s="263" t="str">
        <f>IF(ISBLANK('Dry_Litterbag Placem_Collection'!M56),"","R"&amp;""&amp;'Dry_Litterbag Placem_Collection'!M56)</f>
        <v/>
      </c>
      <c r="K715" s="267" t="str">
        <f>IFERROR(INDEX('Green_rooibos initial weight'!$C$5:$C$1749,MATCH(J715, 'Green_rooibos initial weight'!$A$5:$A$1749,0)),"")</f>
        <v/>
      </c>
      <c r="L715" s="267" t="str">
        <f>IFERROR(K715-(TBIcalc!$Q$9+TBIcalc!$Q$10),"")</f>
        <v/>
      </c>
      <c r="M715" s="391">
        <f>AVERAGE(Ashed_controlls!$K$12:$K$14)</f>
        <v>2.2816647271287041</v>
      </c>
      <c r="N715" s="267" t="str">
        <f t="shared" si="56"/>
        <v/>
      </c>
      <c r="O715" s="267" t="str">
        <f>IF(IFERROR(INDEX('Both teabags AfterDry'!$D$3:$D$900,MATCH(J715,'Both teabags AfterDry'!$A$3:$A$900,0)),"")="","",(IFERROR(INDEX('Both teabags AfterDry'!$D$3:$D$900,MATCH(J715,'Both teabags AfterDry'!$A$3:$A$900,0)),"")))</f>
        <v/>
      </c>
      <c r="P715" s="267" t="str">
        <f>IFERROR(IF(O715&gt;0,O715-(TBIcalc!$Q$9),""),"")</f>
        <v/>
      </c>
      <c r="Q715" s="278" t="str">
        <f>IFERROR(INDEX('Ashed teabags dry'!$K$2:$K$825,MATCH(J715,'Ashed teabags dry'!$A$2:$A$825,0)),"")</f>
        <v/>
      </c>
      <c r="R715" s="278" t="str">
        <f t="shared" si="57"/>
        <v/>
      </c>
      <c r="S715" s="268">
        <f>'Dry_Litterbag Placem_Collection'!E56</f>
        <v>0</v>
      </c>
      <c r="T715" s="268" t="str">
        <f>IF('Dry_Litterbag Placem_Collection'!G56="","",'Dry_Litterbag Placem_Collection'!G56)</f>
        <v/>
      </c>
      <c r="U715" s="269" t="str">
        <f t="shared" si="55"/>
        <v/>
      </c>
      <c r="V715" s="267" t="str">
        <f t="shared" si="58"/>
        <v/>
      </c>
      <c r="W715" s="267" t="str">
        <f t="shared" si="59"/>
        <v/>
      </c>
      <c r="X715" s="271" t="str">
        <f>IFERROR(INDEX(Rainfall_Dry!$O$2:$O$217,MATCH(B715, Rainfall_Dry!$A$2:$A$217,0)),"")</f>
        <v/>
      </c>
      <c r="Y715" s="260">
        <v>21.96</v>
      </c>
      <c r="Z715" s="260">
        <v>8.9199999999999982</v>
      </c>
      <c r="AA715" s="260">
        <v>69.12</v>
      </c>
      <c r="AB715" s="261" t="s">
        <v>2670</v>
      </c>
      <c r="AC715" s="260">
        <v>1.7491375061606702</v>
      </c>
      <c r="AD715" t="str">
        <f>IF('WetLitterbags placem_collection'!AB56="","",'WetLitterbags placem_collection'!AB56)</f>
        <v/>
      </c>
      <c r="AE715" t="str">
        <f>IF('WetLitterbags placem_collection'!Z56="","",'WetLitterbags placem_collection'!Z56)</f>
        <v/>
      </c>
      <c r="AF715" s="246" t="str">
        <f>IF('WetLitterbags placem_collection'!AA56="","",'WetLitterbags placem_collection'!AA56)</f>
        <v/>
      </c>
      <c r="AG715" t="str">
        <f>IF('WetLitterbags placem_collection'!AC56="","",'WetLitterbags placem_collection'!AC56)</f>
        <v/>
      </c>
      <c r="AH715" t="str">
        <f>IFERROR(AVERAGE('Dry_Litterbag Placem_Collection'!O56,'Dry_Litterbag Placem_Collection'!R56),"")</f>
        <v/>
      </c>
      <c r="AI715" s="271" t="str">
        <f>IFERROR(AVERAGE('Dry_Litterbag Placem_Collection'!N56,'Dry_Litterbag Placem_Collection'!Q56),"")</f>
        <v/>
      </c>
      <c r="AJ715" s="270">
        <f>INDEX(Coordinates!$B$2:$B$197,MATCH(G715,Coordinates!$J$2:$J$197,0))</f>
        <v>-3.406058019</v>
      </c>
      <c r="AK715" s="270">
        <f>INDEX(Coordinates!$C$2:$C$197,MATCH(G715,Coordinates!$J$2:$J$197,0))</f>
        <v>34.850466019999999</v>
      </c>
      <c r="AL715" s="270" t="str">
        <f>IF(ISNUMBER(SEARCH("C", 'Dry_Litterbag Placem_Collection'!V56)),"YES","NO")</f>
        <v>NO</v>
      </c>
      <c r="AM715" s="270" t="str">
        <f>IF(ISNUMBER(SEARCH("H", 'Dry_Litterbag Placem_Collection'!V56)),"YES","NO")</f>
        <v>NO</v>
      </c>
      <c r="AN715" s="270" t="str">
        <f>IF(ISNUMBER(SEARCH("R", 'Dry_Litterbag Placem_Collection'!V56)),"YES","NO")</f>
        <v>NO</v>
      </c>
    </row>
    <row r="716" spans="1:40" ht="15" customHeight="1">
      <c r="A716" s="262" t="s">
        <v>2659</v>
      </c>
      <c r="B716" s="263">
        <f>'Dry_Litterbag Placem_Collection'!A57</f>
        <v>55</v>
      </c>
      <c r="C716" s="263" t="str">
        <f>'Dry_Litterbag Placem_Collection'!B57</f>
        <v>Makao</v>
      </c>
      <c r="D716" s="263" t="s">
        <v>2659</v>
      </c>
      <c r="E716" s="263" t="s">
        <v>20</v>
      </c>
      <c r="F716" s="263">
        <v>3</v>
      </c>
      <c r="G716" s="264" t="str">
        <f>'Dry_Litterbag Placem_Collection'!C57</f>
        <v>Dry_P3_T7</v>
      </c>
      <c r="H716" s="273" t="s">
        <v>3651</v>
      </c>
      <c r="I716" s="274" t="s">
        <v>298</v>
      </c>
      <c r="J716" s="263" t="str">
        <f>IF(ISBLANK('Dry_Litterbag Placem_Collection'!M57),"","R"&amp;""&amp;'Dry_Litterbag Placem_Collection'!M57)</f>
        <v>R192</v>
      </c>
      <c r="K716" s="267">
        <f>IFERROR(INDEX('Green_rooibos initial weight'!$C$5:$C$1749,MATCH(J716, 'Green_rooibos initial weight'!$A$5:$A$1749,0)),"")</f>
        <v>2.1970000000000001</v>
      </c>
      <c r="L716" s="267">
        <f>IFERROR(K716-(TBIcalc!$Q$9+TBIcalc!$Q$10),"")</f>
        <v>1.9472</v>
      </c>
      <c r="M716" s="391">
        <f>AVERAGE(Ashed_controlls!$K$12:$K$14)</f>
        <v>2.2816647271287041</v>
      </c>
      <c r="N716" s="267">
        <f t="shared" si="56"/>
        <v>1.90277142443335</v>
      </c>
      <c r="O716" s="267">
        <f>IF(IFERROR(INDEX('Both teabags AfterDry'!$D$3:$D$900,MATCH(J716,'Both teabags AfterDry'!$A$3:$A$900,0)),"")="","",(IFERROR(INDEX('Both teabags AfterDry'!$D$3:$D$900,MATCH(J716,'Both teabags AfterDry'!$A$3:$A$900,0)),"")))</f>
        <v>1.9886999999999999</v>
      </c>
      <c r="P716" s="267">
        <f>IFERROR(IF(O716&gt;0,O716-(TBIcalc!$Q$9),""),"")</f>
        <v>1.8380999999999998</v>
      </c>
      <c r="Q716" s="278">
        <f>IFERROR(INDEX('Ashed teabags dry'!$K$2:$K$825,MATCH(J716,'Ashed teabags dry'!$A$2:$A$825,0)),"")</f>
        <v>3.4583536288358885</v>
      </c>
      <c r="R716" s="278">
        <f t="shared" si="57"/>
        <v>1.7745320019483675</v>
      </c>
      <c r="S716" s="268">
        <f>'Dry_Litterbag Placem_Collection'!E57</f>
        <v>42938</v>
      </c>
      <c r="T716" s="268">
        <f>IF('Dry_Litterbag Placem_Collection'!G57="","",'Dry_Litterbag Placem_Collection'!G57)</f>
        <v>43005</v>
      </c>
      <c r="U716" s="269">
        <f t="shared" si="55"/>
        <v>67</v>
      </c>
      <c r="V716" s="267">
        <f t="shared" si="58"/>
        <v>0.1091000000000002</v>
      </c>
      <c r="W716" s="267">
        <f t="shared" si="59"/>
        <v>0.12823942248498255</v>
      </c>
      <c r="X716" s="271">
        <f>IFERROR(INDEX(Rainfall_Dry!$O$2:$O$217,MATCH(B716, Rainfall_Dry!$A$2:$A$217,0)),"")</f>
        <v>6.5250000359999998</v>
      </c>
      <c r="Y716" s="260">
        <v>21.96</v>
      </c>
      <c r="Z716" s="260">
        <v>8.9199999999999982</v>
      </c>
      <c r="AA716" s="260">
        <v>69.12</v>
      </c>
      <c r="AB716" s="261" t="s">
        <v>2670</v>
      </c>
      <c r="AC716" s="260">
        <v>1.7491375061606702</v>
      </c>
      <c r="AD716">
        <f>IF('WetLitterbags placem_collection'!AB57="","",'WetLitterbags placem_collection'!AB57)</f>
        <v>15.8</v>
      </c>
      <c r="AE716">
        <f>IF('WetLitterbags placem_collection'!Z57="","",'WetLitterbags placem_collection'!Z57)</f>
        <v>45</v>
      </c>
      <c r="AF716" s="246" t="str">
        <f>IF('WetLitterbags placem_collection'!AA57="","",'WetLitterbags placem_collection'!AA57)</f>
        <v>M</v>
      </c>
      <c r="AG716">
        <f>IF('WetLitterbags placem_collection'!AC57="","",'WetLitterbags placem_collection'!AC57)</f>
        <v>1</v>
      </c>
      <c r="AH716">
        <f>IFERROR(AVERAGE('Dry_Litterbag Placem_Collection'!O57,'Dry_Litterbag Placem_Collection'!R57),"")</f>
        <v>4.8</v>
      </c>
      <c r="AI716" s="271">
        <f>IFERROR(AVERAGE('Dry_Litterbag Placem_Collection'!N57,'Dry_Litterbag Placem_Collection'!Q57),"")</f>
        <v>31.9</v>
      </c>
      <c r="AJ716" s="270">
        <f>INDEX(Coordinates!$B$2:$B$197,MATCH(G716,Coordinates!$J$2:$J$197,0))</f>
        <v>-3.4061389879999999</v>
      </c>
      <c r="AK716" s="270">
        <f>INDEX(Coordinates!$C$2:$C$197,MATCH(G716,Coordinates!$J$2:$J$197,0))</f>
        <v>34.850574979999998</v>
      </c>
      <c r="AL716" s="270" t="str">
        <f>IF(ISNUMBER(SEARCH("C", 'Dry_Litterbag Placem_Collection'!V57)),"YES","NO")</f>
        <v>NO</v>
      </c>
      <c r="AM716" s="270" t="str">
        <f>IF(ISNUMBER(SEARCH("H", 'Dry_Litterbag Placem_Collection'!V57)),"YES","NO")</f>
        <v>NO</v>
      </c>
      <c r="AN716" s="270" t="str">
        <f>IF(ISNUMBER(SEARCH("R", 'Dry_Litterbag Placem_Collection'!V57)),"YES","NO")</f>
        <v>NO</v>
      </c>
    </row>
    <row r="717" spans="1:40" ht="15" customHeight="1">
      <c r="A717" s="262" t="s">
        <v>2659</v>
      </c>
      <c r="B717" s="263">
        <f>'Dry_Litterbag Placem_Collection'!A58</f>
        <v>56</v>
      </c>
      <c r="C717" s="263" t="str">
        <f>'Dry_Litterbag Placem_Collection'!B58</f>
        <v>Makao</v>
      </c>
      <c r="D717" s="263" t="s">
        <v>2659</v>
      </c>
      <c r="E717" s="263" t="s">
        <v>20</v>
      </c>
      <c r="F717" s="263">
        <v>3</v>
      </c>
      <c r="G717" s="264" t="str">
        <f>'Dry_Litterbag Placem_Collection'!C58</f>
        <v>Dry_P3_T8</v>
      </c>
      <c r="H717" s="273" t="s">
        <v>3651</v>
      </c>
      <c r="I717" s="274" t="s">
        <v>298</v>
      </c>
      <c r="J717" s="263" t="str">
        <f>IF(ISBLANK('Dry_Litterbag Placem_Collection'!M58),"","R"&amp;""&amp;'Dry_Litterbag Placem_Collection'!M58)</f>
        <v>R227</v>
      </c>
      <c r="K717" s="267">
        <f>IFERROR(INDEX('Green_rooibos initial weight'!$C$5:$C$1749,MATCH(J717, 'Green_rooibos initial weight'!$A$5:$A$1749,0)),"")</f>
        <v>2.254</v>
      </c>
      <c r="L717" s="267">
        <f>IFERROR(K717-(TBIcalc!$Q$9+TBIcalc!$Q$10),"")</f>
        <v>2.0042</v>
      </c>
      <c r="M717" s="391">
        <f>AVERAGE(Ashed_controlls!$K$12:$K$14)</f>
        <v>2.2816647271287041</v>
      </c>
      <c r="N717" s="267">
        <f t="shared" si="56"/>
        <v>1.9584708755388864</v>
      </c>
      <c r="O717" s="267">
        <f>IF(IFERROR(INDEX('Both teabags AfterDry'!$D$3:$D$900,MATCH(J717,'Both teabags AfterDry'!$A$3:$A$900,0)),"")="","",(IFERROR(INDEX('Both teabags AfterDry'!$D$3:$D$900,MATCH(J717,'Both teabags AfterDry'!$A$3:$A$900,0)),"")))</f>
        <v>2.0263</v>
      </c>
      <c r="P717" s="267">
        <f>IFERROR(IF(O717&gt;0,O717-(TBIcalc!$Q$9),""),"")</f>
        <v>1.8756999999999999</v>
      </c>
      <c r="Q717" s="278">
        <f>IFERROR(INDEX('Ashed teabags dry'!$K$2:$K$825,MATCH(J717,'Ashed teabags dry'!$A$2:$A$825,0)),"")</f>
        <v>3.7500000000005613</v>
      </c>
      <c r="R717" s="278">
        <f t="shared" si="57"/>
        <v>1.8053612499999894</v>
      </c>
      <c r="S717" s="268">
        <f>'Dry_Litterbag Placem_Collection'!E58</f>
        <v>42938</v>
      </c>
      <c r="T717" s="268">
        <f>IF('Dry_Litterbag Placem_Collection'!G58="","",'Dry_Litterbag Placem_Collection'!G58)</f>
        <v>43005</v>
      </c>
      <c r="U717" s="269">
        <f t="shared" si="55"/>
        <v>67</v>
      </c>
      <c r="V717" s="267">
        <f t="shared" si="58"/>
        <v>0.12850000000000006</v>
      </c>
      <c r="W717" s="267">
        <f t="shared" si="59"/>
        <v>0.15310962553889707</v>
      </c>
      <c r="X717" s="271">
        <f>IFERROR(INDEX(Rainfall_Dry!$O$2:$O$217,MATCH(B717, Rainfall_Dry!$A$2:$A$217,0)),"")</f>
        <v>6.5250000359999998</v>
      </c>
      <c r="Y717" s="260">
        <v>21.96</v>
      </c>
      <c r="Z717" s="260">
        <v>8.9199999999999982</v>
      </c>
      <c r="AA717" s="260">
        <v>69.12</v>
      </c>
      <c r="AB717" s="261" t="s">
        <v>2670</v>
      </c>
      <c r="AC717" s="260">
        <v>1.7491375061606702</v>
      </c>
      <c r="AD717">
        <f>IF('WetLitterbags placem_collection'!AB58="","",'WetLitterbags placem_collection'!AB58)</f>
        <v>15.4</v>
      </c>
      <c r="AE717">
        <f>IF('WetLitterbags placem_collection'!Z58="","",'WetLitterbags placem_collection'!Z58)</f>
        <v>30.8</v>
      </c>
      <c r="AF717" s="246" t="str">
        <f>IF('WetLitterbags placem_collection'!AA58="","",'WetLitterbags placem_collection'!AA58)</f>
        <v>M</v>
      </c>
      <c r="AG717">
        <f>IF('WetLitterbags placem_collection'!AC58="","",'WetLitterbags placem_collection'!AC58)</f>
        <v>0</v>
      </c>
      <c r="AH717">
        <f>IFERROR(AVERAGE('Dry_Litterbag Placem_Collection'!O58,'Dry_Litterbag Placem_Collection'!R58),"")</f>
        <v>8.3000000000000007</v>
      </c>
      <c r="AI717" s="271">
        <f>IFERROR(AVERAGE('Dry_Litterbag Placem_Collection'!N58,'Dry_Litterbag Placem_Collection'!Q58),"")</f>
        <v>30.049999999999997</v>
      </c>
      <c r="AJ717" s="270">
        <f>INDEX(Coordinates!$B$2:$B$197,MATCH(G717,Coordinates!$J$2:$J$197,0))</f>
        <v>-3.4062900300000001</v>
      </c>
      <c r="AK717" s="270">
        <f>INDEX(Coordinates!$C$2:$C$197,MATCH(G717,Coordinates!$J$2:$J$197,0))</f>
        <v>34.850441959999998</v>
      </c>
      <c r="AL717" s="270" t="str">
        <f>IF(ISNUMBER(SEARCH("C", 'Dry_Litterbag Placem_Collection'!V58)),"YES","NO")</f>
        <v>NO</v>
      </c>
      <c r="AM717" s="270" t="str">
        <f>IF(ISNUMBER(SEARCH("H", 'Dry_Litterbag Placem_Collection'!V58)),"YES","NO")</f>
        <v>NO</v>
      </c>
      <c r="AN717" s="270" t="str">
        <f>IF(ISNUMBER(SEARCH("R", 'Dry_Litterbag Placem_Collection'!V58)),"YES","NO")</f>
        <v>NO</v>
      </c>
    </row>
    <row r="718" spans="1:40" ht="15" customHeight="1">
      <c r="A718" s="262" t="s">
        <v>2659</v>
      </c>
      <c r="B718" s="263">
        <f>'Dry_Litterbag Placem_Collection'!A59</f>
        <v>57</v>
      </c>
      <c r="C718" s="263" t="str">
        <f>'Dry_Litterbag Placem_Collection'!B59</f>
        <v>Makao</v>
      </c>
      <c r="D718" s="263" t="s">
        <v>2659</v>
      </c>
      <c r="E718" s="263" t="s">
        <v>20</v>
      </c>
      <c r="F718" s="263">
        <v>4</v>
      </c>
      <c r="G718" s="264" t="str">
        <f>'Dry_Litterbag Placem_Collection'!C59</f>
        <v>Dry_P4_T1</v>
      </c>
      <c r="H718" s="273" t="s">
        <v>3651</v>
      </c>
      <c r="I718" s="274" t="s">
        <v>298</v>
      </c>
      <c r="J718" s="263" t="str">
        <f>IF(ISBLANK('Dry_Litterbag Placem_Collection'!M59),"","R"&amp;""&amp;'Dry_Litterbag Placem_Collection'!M59)</f>
        <v>R416</v>
      </c>
      <c r="K718" s="267">
        <f>IFERROR(INDEX('Green_rooibos initial weight'!$C$5:$C$1749,MATCH(J718, 'Green_rooibos initial weight'!$A$5:$A$1749,0)),"")</f>
        <v>2.2469999999999999</v>
      </c>
      <c r="L718" s="267">
        <f>IFERROR(K718-(TBIcalc!$Q$9+TBIcalc!$Q$10),"")</f>
        <v>1.9971999999999999</v>
      </c>
      <c r="M718" s="391">
        <f>AVERAGE(Ashed_controlls!$K$12:$K$14)</f>
        <v>2.2816647271287041</v>
      </c>
      <c r="N718" s="267">
        <f t="shared" si="56"/>
        <v>1.9516305920697854</v>
      </c>
      <c r="O718" s="267">
        <f>IF(IFERROR(INDEX('Both teabags AfterDry'!$D$3:$D$900,MATCH(J718,'Both teabags AfterDry'!$A$3:$A$900,0)),"")="","",(IFERROR(INDEX('Both teabags AfterDry'!$D$3:$D$900,MATCH(J718,'Both teabags AfterDry'!$A$3:$A$900,0)),"")))</f>
        <v>2.0192999999999999</v>
      </c>
      <c r="P718" s="267">
        <f>IFERROR(IF(O718&gt;0,O718-(TBIcalc!$Q$9),""),"")</f>
        <v>1.8686999999999998</v>
      </c>
      <c r="Q718" s="278">
        <f>IFERROR(INDEX('Ashed teabags dry'!$K$2:$K$825,MATCH(J718,'Ashed teabags dry'!$A$2:$A$825,0)),"")</f>
        <v>1.8527315914489777</v>
      </c>
      <c r="R718" s="278">
        <f t="shared" si="57"/>
        <v>1.8340780047505927</v>
      </c>
      <c r="S718" s="268">
        <f>'Dry_Litterbag Placem_Collection'!E59</f>
        <v>42938</v>
      </c>
      <c r="T718" s="268">
        <f>IF('Dry_Litterbag Placem_Collection'!G59="","",'Dry_Litterbag Placem_Collection'!G59)</f>
        <v>43005</v>
      </c>
      <c r="U718" s="269">
        <f t="shared" si="55"/>
        <v>67</v>
      </c>
      <c r="V718" s="267">
        <f t="shared" si="58"/>
        <v>0.12850000000000006</v>
      </c>
      <c r="W718" s="267">
        <f t="shared" si="59"/>
        <v>0.11755258731919271</v>
      </c>
      <c r="X718" s="271">
        <f>IFERROR(INDEX(Rainfall_Dry!$O$2:$O$217,MATCH(B718, Rainfall_Dry!$A$2:$A$217,0)),"")</f>
        <v>6.5250000359999998</v>
      </c>
      <c r="Y718" s="260">
        <v>25.96</v>
      </c>
      <c r="Z718" s="260">
        <v>6.9200000000000008</v>
      </c>
      <c r="AA718" s="260">
        <v>67.12</v>
      </c>
      <c r="AB718" s="261" t="s">
        <v>2670</v>
      </c>
      <c r="AC718" s="260">
        <v>1.7568260226712666</v>
      </c>
      <c r="AD718">
        <f>IF('WetLitterbags placem_collection'!AB59="","",'WetLitterbags placem_collection'!AB59)</f>
        <v>3.3</v>
      </c>
      <c r="AE718">
        <f>IF('WetLitterbags placem_collection'!Z59="","",'WetLitterbags placem_collection'!Z59)</f>
        <v>28.4</v>
      </c>
      <c r="AF718" s="246" t="str">
        <f>IF('WetLitterbags placem_collection'!AA59="","",'WetLitterbags placem_collection'!AA59)</f>
        <v>O</v>
      </c>
      <c r="AG718">
        <f>IF('WetLitterbags placem_collection'!AC59="","",'WetLitterbags placem_collection'!AC59)</f>
        <v>1</v>
      </c>
      <c r="AH718">
        <f>IFERROR(AVERAGE('Dry_Litterbag Placem_Collection'!O59,'Dry_Litterbag Placem_Collection'!R59),"")</f>
        <v>3.95</v>
      </c>
      <c r="AI718" s="271">
        <f>IFERROR(AVERAGE('Dry_Litterbag Placem_Collection'!N59,'Dry_Litterbag Placem_Collection'!Q59),"")</f>
        <v>33.25</v>
      </c>
      <c r="AJ718" s="270">
        <f>INDEX(Coordinates!$B$2:$B$197,MATCH(G718,Coordinates!$J$2:$J$197,0))</f>
        <v>-3.4064239729999999</v>
      </c>
      <c r="AK718" s="270">
        <f>INDEX(Coordinates!$C$2:$C$197,MATCH(G718,Coordinates!$J$2:$J$197,0))</f>
        <v>34.851213010000002</v>
      </c>
      <c r="AL718" s="270" t="str">
        <f>IF(ISNUMBER(SEARCH("C", 'Dry_Litterbag Placem_Collection'!V59)),"YES","NO")</f>
        <v>NO</v>
      </c>
      <c r="AM718" s="270" t="str">
        <f>IF(ISNUMBER(SEARCH("H", 'Dry_Litterbag Placem_Collection'!V59)),"YES","NO")</f>
        <v>NO</v>
      </c>
      <c r="AN718" s="270" t="str">
        <f>IF(ISNUMBER(SEARCH("R", 'Dry_Litterbag Placem_Collection'!V59)),"YES","NO")</f>
        <v>NO</v>
      </c>
    </row>
    <row r="719" spans="1:40" ht="15" customHeight="1">
      <c r="A719" s="262" t="s">
        <v>2659</v>
      </c>
      <c r="B719" s="263">
        <f>'Dry_Litterbag Placem_Collection'!A60</f>
        <v>58</v>
      </c>
      <c r="C719" s="263" t="str">
        <f>'Dry_Litterbag Placem_Collection'!B60</f>
        <v>Makao</v>
      </c>
      <c r="D719" s="263" t="s">
        <v>2659</v>
      </c>
      <c r="E719" s="263" t="s">
        <v>20</v>
      </c>
      <c r="F719" s="263">
        <v>4</v>
      </c>
      <c r="G719" s="264" t="str">
        <f>'Dry_Litterbag Placem_Collection'!C60</f>
        <v>Dry_P4_T2</v>
      </c>
      <c r="H719" s="273" t="s">
        <v>3651</v>
      </c>
      <c r="I719" s="274" t="s">
        <v>298</v>
      </c>
      <c r="J719" s="263" t="str">
        <f>IF(ISBLANK('Dry_Litterbag Placem_Collection'!M60),"","R"&amp;""&amp;'Dry_Litterbag Placem_Collection'!M60)</f>
        <v>R689</v>
      </c>
      <c r="K719" s="267">
        <f>IFERROR(INDEX('Green_rooibos initial weight'!$C$5:$C$1749,MATCH(J719, 'Green_rooibos initial weight'!$A$5:$A$1749,0)),"")</f>
        <v>2.11</v>
      </c>
      <c r="L719" s="267">
        <f>IFERROR(K719-(TBIcalc!$Q$9+TBIcalc!$Q$10),"")</f>
        <v>1.8601999999999999</v>
      </c>
      <c r="M719" s="391">
        <f>AVERAGE(Ashed_controlls!$K$12:$K$14)</f>
        <v>2.2816647271287041</v>
      </c>
      <c r="N719" s="267">
        <f t="shared" si="56"/>
        <v>1.8177564727459516</v>
      </c>
      <c r="O719" s="267">
        <f>IF(IFERROR(INDEX('Both teabags AfterDry'!$D$3:$D$900,MATCH(J719,'Both teabags AfterDry'!$A$3:$A$900,0)),"")="","",(IFERROR(INDEX('Both teabags AfterDry'!$D$3:$D$900,MATCH(J719,'Both teabags AfterDry'!$A$3:$A$900,0)),"")))</f>
        <v>1.9226000000000001</v>
      </c>
      <c r="P719" s="267">
        <f>IFERROR(IF(O719&gt;0,O719-(TBIcalc!$Q$9),""),"")</f>
        <v>1.772</v>
      </c>
      <c r="Q719" s="278">
        <f>IFERROR(INDEX('Ashed teabags dry'!$K$2:$K$825,MATCH(J719,'Ashed teabags dry'!$A$2:$A$825,0)),"")</f>
        <v>2.075098814229281</v>
      </c>
      <c r="R719" s="278">
        <f t="shared" si="57"/>
        <v>1.7352292490118573</v>
      </c>
      <c r="S719" s="268">
        <f>'Dry_Litterbag Placem_Collection'!E60</f>
        <v>42938</v>
      </c>
      <c r="T719" s="268">
        <f>IF('Dry_Litterbag Placem_Collection'!G60="","",'Dry_Litterbag Placem_Collection'!G60)</f>
        <v>43005</v>
      </c>
      <c r="U719" s="269">
        <f t="shared" si="55"/>
        <v>67</v>
      </c>
      <c r="V719" s="267">
        <f t="shared" si="58"/>
        <v>8.8199999999999834E-2</v>
      </c>
      <c r="W719" s="267">
        <f t="shared" si="59"/>
        <v>8.2527223734094379E-2</v>
      </c>
      <c r="X719" s="271">
        <f>IFERROR(INDEX(Rainfall_Dry!$O$2:$O$217,MATCH(B719, Rainfall_Dry!$A$2:$A$217,0)),"")</f>
        <v>6.5250000359999998</v>
      </c>
      <c r="Y719" s="260">
        <v>25.96</v>
      </c>
      <c r="Z719" s="260">
        <v>6.9200000000000008</v>
      </c>
      <c r="AA719" s="260">
        <v>67.12</v>
      </c>
      <c r="AB719" s="261" t="s">
        <v>2670</v>
      </c>
      <c r="AC719" s="260">
        <v>1.7568260226712666</v>
      </c>
      <c r="AD719">
        <f>IF('WetLitterbags placem_collection'!AB60="","",'WetLitterbags placem_collection'!AB60)</f>
        <v>1.4</v>
      </c>
      <c r="AE719">
        <f>IF('WetLitterbags placem_collection'!Z60="","",'WetLitterbags placem_collection'!Z60)</f>
        <v>54.4</v>
      </c>
      <c r="AF719" s="246" t="str">
        <f>IF('WetLitterbags placem_collection'!AA60="","",'WetLitterbags placem_collection'!AA60)</f>
        <v>O</v>
      </c>
      <c r="AG719">
        <f>IF('WetLitterbags placem_collection'!AC60="","",'WetLitterbags placem_collection'!AC60)</f>
        <v>0</v>
      </c>
      <c r="AH719">
        <f>IFERROR(AVERAGE('Dry_Litterbag Placem_Collection'!O60,'Dry_Litterbag Placem_Collection'!R60),"")</f>
        <v>5.7</v>
      </c>
      <c r="AI719" s="271">
        <f>IFERROR(AVERAGE('Dry_Litterbag Placem_Collection'!N60,'Dry_Litterbag Placem_Collection'!Q60),"")</f>
        <v>32.35</v>
      </c>
      <c r="AJ719" s="270">
        <f>INDEX(Coordinates!$B$2:$B$197,MATCH(G719,Coordinates!$J$2:$J$197,0))</f>
        <v>-3.4065020079999999</v>
      </c>
      <c r="AK719" s="270">
        <f>INDEX(Coordinates!$C$2:$C$197,MATCH(G719,Coordinates!$J$2:$J$197,0))</f>
        <v>34.851056020000001</v>
      </c>
      <c r="AL719" s="270" t="str">
        <f>IF(ISNUMBER(SEARCH("C", 'Dry_Litterbag Placem_Collection'!V60)),"YES","NO")</f>
        <v>NO</v>
      </c>
      <c r="AM719" s="270" t="str">
        <f>IF(ISNUMBER(SEARCH("H", 'Dry_Litterbag Placem_Collection'!V60)),"YES","NO")</f>
        <v>NO</v>
      </c>
      <c r="AN719" s="270" t="str">
        <f>IF(ISNUMBER(SEARCH("R", 'Dry_Litterbag Placem_Collection'!V60)),"YES","NO")</f>
        <v>NO</v>
      </c>
    </row>
    <row r="720" spans="1:40" ht="15" customHeight="1">
      <c r="A720" s="262" t="s">
        <v>2659</v>
      </c>
      <c r="B720" s="263">
        <f>'Dry_Litterbag Placem_Collection'!A61</f>
        <v>59</v>
      </c>
      <c r="C720" s="263" t="str">
        <f>'Dry_Litterbag Placem_Collection'!B61</f>
        <v>Makao</v>
      </c>
      <c r="D720" s="263" t="s">
        <v>2659</v>
      </c>
      <c r="E720" s="263" t="s">
        <v>20</v>
      </c>
      <c r="F720" s="263">
        <v>4</v>
      </c>
      <c r="G720" s="264" t="str">
        <f>'Dry_Litterbag Placem_Collection'!C61</f>
        <v>Dry_P4_T3</v>
      </c>
      <c r="H720" s="273" t="s">
        <v>3651</v>
      </c>
      <c r="I720" s="274" t="s">
        <v>298</v>
      </c>
      <c r="J720" s="263" t="str">
        <f>IF(ISBLANK('Dry_Litterbag Placem_Collection'!M61),"","R"&amp;""&amp;'Dry_Litterbag Placem_Collection'!M61)</f>
        <v>R231</v>
      </c>
      <c r="K720" s="267">
        <f>IFERROR(INDEX('Green_rooibos initial weight'!$C$5:$C$1749,MATCH(J720, 'Green_rooibos initial weight'!$A$5:$A$1749,0)),"")</f>
        <v>2.1230000000000002</v>
      </c>
      <c r="L720" s="267">
        <f>IFERROR(K720-(TBIcalc!$Q$9+TBIcalc!$Q$10),"")</f>
        <v>1.8732000000000002</v>
      </c>
      <c r="M720" s="391">
        <f>AVERAGE(Ashed_controlls!$K$12:$K$14)</f>
        <v>2.2816647271287041</v>
      </c>
      <c r="N720" s="267">
        <f t="shared" si="56"/>
        <v>1.8304598563314254</v>
      </c>
      <c r="O720" s="267" t="str">
        <f>IF(IFERROR(INDEX('Both teabags AfterDry'!$D$3:$D$900,MATCH(J720,'Both teabags AfterDry'!$A$3:$A$900,0)),"")="","",(IFERROR(INDEX('Both teabags AfterDry'!$D$3:$D$900,MATCH(J720,'Both teabags AfterDry'!$A$3:$A$900,0)),"")))</f>
        <v/>
      </c>
      <c r="P720" s="267" t="str">
        <f>IFERROR(IF(O720&gt;0,O720-(TBIcalc!$Q$9),""),"")</f>
        <v/>
      </c>
      <c r="Q720" s="278">
        <f>IFERROR(INDEX('Ashed teabags dry'!$K$2:$K$825,MATCH(J720,'Ashed teabags dry'!$A$2:$A$825,0)),"")</f>
        <v>2.4205748865354395</v>
      </c>
      <c r="R720" s="278" t="str">
        <f t="shared" si="57"/>
        <v/>
      </c>
      <c r="S720" s="268">
        <f>'Dry_Litterbag Placem_Collection'!E61</f>
        <v>42938</v>
      </c>
      <c r="T720" s="268">
        <f>IF('Dry_Litterbag Placem_Collection'!G61="","",'Dry_Litterbag Placem_Collection'!G61)</f>
        <v>43005</v>
      </c>
      <c r="U720" s="269">
        <f t="shared" si="55"/>
        <v>67</v>
      </c>
      <c r="V720" s="267" t="str">
        <f t="shared" si="58"/>
        <v/>
      </c>
      <c r="W720" s="267" t="str">
        <f t="shared" si="59"/>
        <v/>
      </c>
      <c r="X720" s="271">
        <f>IFERROR(INDEX(Rainfall_Dry!$O$2:$O$217,MATCH(B720, Rainfall_Dry!$A$2:$A$217,0)),"")</f>
        <v>6.5250000359999998</v>
      </c>
      <c r="Y720" s="260">
        <v>25.96</v>
      </c>
      <c r="Z720" s="260">
        <v>6.9200000000000008</v>
      </c>
      <c r="AA720" s="260">
        <v>67.12</v>
      </c>
      <c r="AB720" s="261" t="s">
        <v>2670</v>
      </c>
      <c r="AC720" s="260">
        <v>1.7568260226712666</v>
      </c>
      <c r="AD720">
        <f>IF('WetLitterbags placem_collection'!AB61="","",'WetLitterbags placem_collection'!AB61)</f>
        <v>3.3</v>
      </c>
      <c r="AE720">
        <f>IF('WetLitterbags placem_collection'!Z61="","",'WetLitterbags placem_collection'!Z61)</f>
        <v>46</v>
      </c>
      <c r="AF720" s="246" t="str">
        <f>IF('WetLitterbags placem_collection'!AA61="","",'WetLitterbags placem_collection'!AA61)</f>
        <v>O</v>
      </c>
      <c r="AG720">
        <f>IF('WetLitterbags placem_collection'!AC61="","",'WetLitterbags placem_collection'!AC61)</f>
        <v>0</v>
      </c>
      <c r="AH720">
        <f>IFERROR(AVERAGE('Dry_Litterbag Placem_Collection'!O61,'Dry_Litterbag Placem_Collection'!R61),"")</f>
        <v>7.6999999999999993</v>
      </c>
      <c r="AI720" s="271">
        <f>IFERROR(AVERAGE('Dry_Litterbag Placem_Collection'!N61,'Dry_Litterbag Placem_Collection'!Q61),"")</f>
        <v>31.8</v>
      </c>
      <c r="AJ720" s="270">
        <f>INDEX(Coordinates!$B$2:$B$197,MATCH(G720,Coordinates!$J$2:$J$197,0))</f>
        <v>-3.4062359670000002</v>
      </c>
      <c r="AK720" s="270">
        <f>INDEX(Coordinates!$C$2:$C$197,MATCH(G720,Coordinates!$J$2:$J$197,0))</f>
        <v>34.851107990000003</v>
      </c>
      <c r="AL720" s="270" t="str">
        <f>IF(ISNUMBER(SEARCH("C", 'Dry_Litterbag Placem_Collection'!V61)),"YES","NO")</f>
        <v>NO</v>
      </c>
      <c r="AM720" s="270" t="str">
        <f>IF(ISNUMBER(SEARCH("H", 'Dry_Litterbag Placem_Collection'!V61)),"YES","NO")</f>
        <v>NO</v>
      </c>
      <c r="AN720" s="270" t="str">
        <f>IF(ISNUMBER(SEARCH("R", 'Dry_Litterbag Placem_Collection'!V61)),"YES","NO")</f>
        <v>NO</v>
      </c>
    </row>
    <row r="721" spans="1:40" ht="15" customHeight="1">
      <c r="A721" s="262" t="s">
        <v>2659</v>
      </c>
      <c r="B721" s="263">
        <f>'Dry_Litterbag Placem_Collection'!A62</f>
        <v>60</v>
      </c>
      <c r="C721" s="263" t="str">
        <f>'Dry_Litterbag Placem_Collection'!B62</f>
        <v>Makao</v>
      </c>
      <c r="D721" s="263" t="s">
        <v>2659</v>
      </c>
      <c r="E721" s="263" t="s">
        <v>20</v>
      </c>
      <c r="F721" s="263">
        <v>4</v>
      </c>
      <c r="G721" s="264" t="str">
        <f>'Dry_Litterbag Placem_Collection'!C62</f>
        <v>Dry_P4_T4</v>
      </c>
      <c r="H721" s="273" t="s">
        <v>3651</v>
      </c>
      <c r="I721" s="274" t="s">
        <v>298</v>
      </c>
      <c r="J721" s="263" t="str">
        <f>IF(ISBLANK('Dry_Litterbag Placem_Collection'!M62),"","R"&amp;""&amp;'Dry_Litterbag Placem_Collection'!M62)</f>
        <v>R297</v>
      </c>
      <c r="K721" s="267">
        <f>IFERROR(INDEX('Green_rooibos initial weight'!$C$5:$C$1749,MATCH(J721, 'Green_rooibos initial weight'!$A$5:$A$1749,0)),"")</f>
        <v>2.1800000000000002</v>
      </c>
      <c r="L721" s="267">
        <f>IFERROR(K721-(TBIcalc!$Q$9+TBIcalc!$Q$10),"")</f>
        <v>1.9302000000000001</v>
      </c>
      <c r="M721" s="391">
        <f>AVERAGE(Ashed_controlls!$K$12:$K$14)</f>
        <v>2.2816647271287041</v>
      </c>
      <c r="N721" s="267">
        <f t="shared" si="56"/>
        <v>1.8861593074369618</v>
      </c>
      <c r="O721" s="267">
        <f>IF(IFERROR(INDEX('Both teabags AfterDry'!$D$3:$D$900,MATCH(J721,'Both teabags AfterDry'!$A$3:$A$900,0)),"")="","",(IFERROR(INDEX('Both teabags AfterDry'!$D$3:$D$900,MATCH(J721,'Both teabags AfterDry'!$A$3:$A$900,0)),"")))</f>
        <v>1.9569000000000001</v>
      </c>
      <c r="P721" s="267">
        <f>IFERROR(IF(O721&gt;0,O721-(TBIcalc!$Q$9),""),"")</f>
        <v>1.8063</v>
      </c>
      <c r="Q721" s="278">
        <f>IFERROR(INDEX('Ashed teabags dry'!$K$2:$K$825,MATCH(J721,'Ashed teabags dry'!$A$2:$A$825,0)),"")</f>
        <v>2.1921641791054141</v>
      </c>
      <c r="R721" s="278">
        <f t="shared" si="57"/>
        <v>1.766702938432819</v>
      </c>
      <c r="S721" s="268">
        <f>'Dry_Litterbag Placem_Collection'!E62</f>
        <v>42938</v>
      </c>
      <c r="T721" s="268">
        <f>IF('Dry_Litterbag Placem_Collection'!G62="","",'Dry_Litterbag Placem_Collection'!G62)</f>
        <v>43005</v>
      </c>
      <c r="U721" s="269">
        <f t="shared" si="55"/>
        <v>67</v>
      </c>
      <c r="V721" s="267">
        <f t="shared" si="58"/>
        <v>0.12390000000000012</v>
      </c>
      <c r="W721" s="267">
        <f t="shared" si="59"/>
        <v>0.1194563690041428</v>
      </c>
      <c r="X721" s="271">
        <f>IFERROR(INDEX(Rainfall_Dry!$O$2:$O$217,MATCH(B721, Rainfall_Dry!$A$2:$A$217,0)),"")</f>
        <v>6.5250000359999998</v>
      </c>
      <c r="Y721" s="260">
        <v>25.96</v>
      </c>
      <c r="Z721" s="260">
        <v>6.9200000000000008</v>
      </c>
      <c r="AA721" s="260">
        <v>67.12</v>
      </c>
      <c r="AB721" s="261" t="s">
        <v>2670</v>
      </c>
      <c r="AC721" s="260">
        <v>1.7568260226712666</v>
      </c>
      <c r="AD721">
        <f>IF('WetLitterbags placem_collection'!AB62="","",'WetLitterbags placem_collection'!AB62)</f>
        <v>2.4</v>
      </c>
      <c r="AE721">
        <f>IF('WetLitterbags placem_collection'!Z62="","",'WetLitterbags placem_collection'!Z62)</f>
        <v>10.199999999999999</v>
      </c>
      <c r="AF721" s="246" t="str">
        <f>IF('WetLitterbags placem_collection'!AA62="","",'WetLitterbags placem_collection'!AA62)</f>
        <v>O</v>
      </c>
      <c r="AG721">
        <f>IF('WetLitterbags placem_collection'!AC62="","",'WetLitterbags placem_collection'!AC62)</f>
        <v>0</v>
      </c>
      <c r="AH721">
        <f>IFERROR(AVERAGE('Dry_Litterbag Placem_Collection'!O62,'Dry_Litterbag Placem_Collection'!R62),"")</f>
        <v>5.65</v>
      </c>
      <c r="AI721" s="271">
        <f>IFERROR(AVERAGE('Dry_Litterbag Placem_Collection'!N62,'Dry_Litterbag Placem_Collection'!Q62),"")</f>
        <v>32.650000000000006</v>
      </c>
      <c r="AJ721" s="270">
        <f>INDEX(Coordinates!$B$2:$B$197,MATCH(G721,Coordinates!$J$2:$J$197,0))</f>
        <v>-3.406281983</v>
      </c>
      <c r="AK721" s="270">
        <f>INDEX(Coordinates!$C$2:$C$197,MATCH(G721,Coordinates!$J$2:$J$197,0))</f>
        <v>34.85137898</v>
      </c>
      <c r="AL721" s="270" t="str">
        <f>IF(ISNUMBER(SEARCH("C", 'Dry_Litterbag Placem_Collection'!V62)),"YES","NO")</f>
        <v>NO</v>
      </c>
      <c r="AM721" s="270" t="str">
        <f>IF(ISNUMBER(SEARCH("H", 'Dry_Litterbag Placem_Collection'!V62)),"YES","NO")</f>
        <v>NO</v>
      </c>
      <c r="AN721" s="270" t="str">
        <f>IF(ISNUMBER(SEARCH("R", 'Dry_Litterbag Placem_Collection'!V62)),"YES","NO")</f>
        <v>NO</v>
      </c>
    </row>
    <row r="722" spans="1:40" ht="15" customHeight="1">
      <c r="A722" s="262" t="s">
        <v>2659</v>
      </c>
      <c r="B722" s="263">
        <f>'Dry_Litterbag Placem_Collection'!A63</f>
        <v>61</v>
      </c>
      <c r="C722" s="263" t="str">
        <f>'Dry_Litterbag Placem_Collection'!B63</f>
        <v>Makao</v>
      </c>
      <c r="D722" s="263" t="s">
        <v>2659</v>
      </c>
      <c r="E722" s="263" t="s">
        <v>20</v>
      </c>
      <c r="F722" s="263">
        <v>4</v>
      </c>
      <c r="G722" s="264" t="str">
        <f>'Dry_Litterbag Placem_Collection'!C63</f>
        <v>Dry_P4_T5</v>
      </c>
      <c r="H722" s="273" t="s">
        <v>3651</v>
      </c>
      <c r="I722" s="274" t="s">
        <v>298</v>
      </c>
      <c r="J722" s="263" t="str">
        <f>IF(ISBLANK('Dry_Litterbag Placem_Collection'!M63),"","R"&amp;""&amp;'Dry_Litterbag Placem_Collection'!M63)</f>
        <v>R200</v>
      </c>
      <c r="K722" s="267">
        <f>IFERROR(INDEX('Green_rooibos initial weight'!$C$5:$C$1749,MATCH(J722, 'Green_rooibos initial weight'!$A$5:$A$1749,0)),"")</f>
        <v>2.242</v>
      </c>
      <c r="L722" s="267">
        <f>IFERROR(K722-(TBIcalc!$Q$9+TBIcalc!$Q$10),"")</f>
        <v>1.9922</v>
      </c>
      <c r="M722" s="391">
        <f>AVERAGE(Ashed_controlls!$K$12:$K$14)</f>
        <v>2.2816647271287041</v>
      </c>
      <c r="N722" s="267">
        <f t="shared" si="56"/>
        <v>1.9467446753061419</v>
      </c>
      <c r="O722" s="267" t="str">
        <f>IF(IFERROR(INDEX('Both teabags AfterDry'!$D$3:$D$900,MATCH(J722,'Both teabags AfterDry'!$A$3:$A$900,0)),"")="","",(IFERROR(INDEX('Both teabags AfterDry'!$D$3:$D$900,MATCH(J722,'Both teabags AfterDry'!$A$3:$A$900,0)),"")))</f>
        <v/>
      </c>
      <c r="P722" s="267" t="str">
        <f>IFERROR(IF(O722&gt;0,O722-(TBIcalc!$Q$9),""),"")</f>
        <v/>
      </c>
      <c r="Q722" s="278" t="str">
        <f>IFERROR(INDEX('Ashed teabags dry'!$K$2:$K$825,MATCH(J722,'Ashed teabags dry'!$A$2:$A$825,0)),"")</f>
        <v/>
      </c>
      <c r="R722" s="278" t="str">
        <f t="shared" si="57"/>
        <v/>
      </c>
      <c r="S722" s="268">
        <f>'Dry_Litterbag Placem_Collection'!E63</f>
        <v>42938</v>
      </c>
      <c r="T722" s="268">
        <f>IF('Dry_Litterbag Placem_Collection'!G63="","",'Dry_Litterbag Placem_Collection'!G63)</f>
        <v>43005</v>
      </c>
      <c r="U722" s="269">
        <f t="shared" si="55"/>
        <v>67</v>
      </c>
      <c r="V722" s="267" t="str">
        <f t="shared" si="58"/>
        <v/>
      </c>
      <c r="W722" s="267" t="str">
        <f t="shared" si="59"/>
        <v/>
      </c>
      <c r="X722" s="271">
        <f>IFERROR(INDEX(Rainfall_Dry!$O$2:$O$217,MATCH(B722, Rainfall_Dry!$A$2:$A$217,0)),"")</f>
        <v>6.5250000359999998</v>
      </c>
      <c r="Y722" s="260">
        <v>25.96</v>
      </c>
      <c r="Z722" s="260">
        <v>6.9200000000000008</v>
      </c>
      <c r="AA722" s="260">
        <v>67.12</v>
      </c>
      <c r="AB722" s="261" t="s">
        <v>2670</v>
      </c>
      <c r="AC722" s="260">
        <v>1.7568260226712666</v>
      </c>
      <c r="AD722">
        <f>IF('WetLitterbags placem_collection'!AB63="","",'WetLitterbags placem_collection'!AB63)</f>
        <v>5.6</v>
      </c>
      <c r="AE722">
        <f>IF('WetLitterbags placem_collection'!Z63="","",'WetLitterbags placem_collection'!Z63)</f>
        <v>34.200000000000003</v>
      </c>
      <c r="AF722" s="246" t="str">
        <f>IF('WetLitterbags placem_collection'!AA63="","",'WetLitterbags placem_collection'!AA63)</f>
        <v>O</v>
      </c>
      <c r="AG722">
        <f>IF('WetLitterbags placem_collection'!AC63="","",'WetLitterbags placem_collection'!AC63)</f>
        <v>0</v>
      </c>
      <c r="AH722">
        <f>IFERROR(AVERAGE('Dry_Litterbag Placem_Collection'!O63,'Dry_Litterbag Placem_Collection'!R63),"")</f>
        <v>4.5</v>
      </c>
      <c r="AI722" s="271">
        <f>IFERROR(AVERAGE('Dry_Litterbag Placem_Collection'!N63,'Dry_Litterbag Placem_Collection'!Q63),"")</f>
        <v>34</v>
      </c>
      <c r="AJ722" s="270">
        <f>INDEX(Coordinates!$B$2:$B$197,MATCH(G722,Coordinates!$J$2:$J$197,0))</f>
        <v>-3.406569986</v>
      </c>
      <c r="AK722" s="270">
        <f>INDEX(Coordinates!$C$2:$C$197,MATCH(G722,Coordinates!$J$2:$J$197,0))</f>
        <v>34.851323989999997</v>
      </c>
      <c r="AL722" s="270" t="str">
        <f>IF(ISNUMBER(SEARCH("C", 'Dry_Litterbag Placem_Collection'!V63)),"YES","NO")</f>
        <v>NO</v>
      </c>
      <c r="AM722" s="270" t="str">
        <f>IF(ISNUMBER(SEARCH("H", 'Dry_Litterbag Placem_Collection'!V63)),"YES","NO")</f>
        <v>NO</v>
      </c>
      <c r="AN722" s="270" t="str">
        <f>IF(ISNUMBER(SEARCH("R", 'Dry_Litterbag Placem_Collection'!V63)),"YES","NO")</f>
        <v>NO</v>
      </c>
    </row>
    <row r="723" spans="1:40" ht="15" customHeight="1">
      <c r="A723" s="262" t="s">
        <v>2659</v>
      </c>
      <c r="B723" s="263">
        <f>'Dry_Litterbag Placem_Collection'!A64</f>
        <v>62</v>
      </c>
      <c r="C723" s="263" t="str">
        <f>'Dry_Litterbag Placem_Collection'!B64</f>
        <v>Makao</v>
      </c>
      <c r="D723" s="263" t="s">
        <v>2659</v>
      </c>
      <c r="E723" s="263" t="s">
        <v>20</v>
      </c>
      <c r="F723" s="263">
        <v>4</v>
      </c>
      <c r="G723" s="264" t="str">
        <f>'Dry_Litterbag Placem_Collection'!C64</f>
        <v>Dry_P4_T6</v>
      </c>
      <c r="H723" s="273" t="s">
        <v>3651</v>
      </c>
      <c r="I723" s="274" t="s">
        <v>298</v>
      </c>
      <c r="J723" s="263" t="str">
        <f>IF(ISBLANK('Dry_Litterbag Placem_Collection'!M64),"","R"&amp;""&amp;'Dry_Litterbag Placem_Collection'!M64)</f>
        <v/>
      </c>
      <c r="K723" s="267" t="str">
        <f>IFERROR(INDEX('Green_rooibos initial weight'!$C$5:$C$1749,MATCH(J723, 'Green_rooibos initial weight'!$A$5:$A$1749,0)),"")</f>
        <v/>
      </c>
      <c r="L723" s="267" t="str">
        <f>IFERROR(K723-(TBIcalc!$Q$9+TBIcalc!$Q$10),"")</f>
        <v/>
      </c>
      <c r="M723" s="391">
        <f>AVERAGE(Ashed_controlls!$K$12:$K$14)</f>
        <v>2.2816647271287041</v>
      </c>
      <c r="N723" s="267" t="str">
        <f t="shared" si="56"/>
        <v/>
      </c>
      <c r="O723" s="267" t="str">
        <f>IF(IFERROR(INDEX('Both teabags AfterDry'!$D$3:$D$900,MATCH(J723,'Both teabags AfterDry'!$A$3:$A$900,0)),"")="","",(IFERROR(INDEX('Both teabags AfterDry'!$D$3:$D$900,MATCH(J723,'Both teabags AfterDry'!$A$3:$A$900,0)),"")))</f>
        <v/>
      </c>
      <c r="P723" s="267" t="str">
        <f>IFERROR(IF(O723&gt;0,O723-(TBIcalc!$Q$9),""),"")</f>
        <v/>
      </c>
      <c r="Q723" s="278" t="str">
        <f>IFERROR(INDEX('Ashed teabags dry'!$K$2:$K$825,MATCH(J723,'Ashed teabags dry'!$A$2:$A$825,0)),"")</f>
        <v/>
      </c>
      <c r="R723" s="278" t="str">
        <f t="shared" si="57"/>
        <v/>
      </c>
      <c r="S723" s="268">
        <f>'Dry_Litterbag Placem_Collection'!E64</f>
        <v>0</v>
      </c>
      <c r="T723" s="268" t="str">
        <f>IF('Dry_Litterbag Placem_Collection'!G64="","",'Dry_Litterbag Placem_Collection'!G64)</f>
        <v/>
      </c>
      <c r="U723" s="269" t="str">
        <f t="shared" si="55"/>
        <v/>
      </c>
      <c r="V723" s="267" t="str">
        <f t="shared" si="58"/>
        <v/>
      </c>
      <c r="W723" s="267" t="str">
        <f t="shared" si="59"/>
        <v/>
      </c>
      <c r="X723" s="271" t="str">
        <f>IFERROR(INDEX(Rainfall_Dry!$O$2:$O$217,MATCH(B723, Rainfall_Dry!$A$2:$A$217,0)),"")</f>
        <v/>
      </c>
      <c r="Y723" s="260">
        <v>25.96</v>
      </c>
      <c r="Z723" s="260">
        <v>6.9200000000000008</v>
      </c>
      <c r="AA723" s="260">
        <v>67.12</v>
      </c>
      <c r="AB723" s="261" t="s">
        <v>2670</v>
      </c>
      <c r="AC723" s="260">
        <v>1.7568260226712666</v>
      </c>
      <c r="AD723">
        <f>IF('WetLitterbags placem_collection'!AB64="","",'WetLitterbags placem_collection'!AB64)</f>
        <v>4.2</v>
      </c>
      <c r="AE723">
        <f>IF('WetLitterbags placem_collection'!Z64="","",'WetLitterbags placem_collection'!Z64)</f>
        <v>40.4</v>
      </c>
      <c r="AF723" s="246" t="str">
        <f>IF('WetLitterbags placem_collection'!AA64="","",'WetLitterbags placem_collection'!AA64)</f>
        <v>O</v>
      </c>
      <c r="AG723">
        <f>IF('WetLitterbags placem_collection'!AC64="","",'WetLitterbags placem_collection'!AC64)</f>
        <v>0</v>
      </c>
      <c r="AH723" t="str">
        <f>IFERROR(AVERAGE('Dry_Litterbag Placem_Collection'!O64,'Dry_Litterbag Placem_Collection'!R64),"")</f>
        <v/>
      </c>
      <c r="AI723" s="271" t="str">
        <f>IFERROR(AVERAGE('Dry_Litterbag Placem_Collection'!N64,'Dry_Litterbag Placem_Collection'!Q64),"")</f>
        <v/>
      </c>
      <c r="AJ723" s="270">
        <f>INDEX(Coordinates!$B$2:$B$197,MATCH(G723,Coordinates!$J$2:$J$197,0))</f>
        <v>-3.4065180179999999</v>
      </c>
      <c r="AK723" s="270">
        <f>INDEX(Coordinates!$C$2:$C$197,MATCH(G723,Coordinates!$J$2:$J$197,0))</f>
        <v>34.85121402</v>
      </c>
      <c r="AL723" s="270" t="str">
        <f>IF(ISNUMBER(SEARCH("C", 'Dry_Litterbag Placem_Collection'!V64)),"YES","NO")</f>
        <v>NO</v>
      </c>
      <c r="AM723" s="270" t="str">
        <f>IF(ISNUMBER(SEARCH("H", 'Dry_Litterbag Placem_Collection'!V64)),"YES","NO")</f>
        <v>NO</v>
      </c>
      <c r="AN723" s="270" t="str">
        <f>IF(ISNUMBER(SEARCH("R", 'Dry_Litterbag Placem_Collection'!V64)),"YES","NO")</f>
        <v>NO</v>
      </c>
    </row>
    <row r="724" spans="1:40" ht="15" customHeight="1">
      <c r="A724" s="262" t="s">
        <v>2659</v>
      </c>
      <c r="B724" s="263">
        <f>'Dry_Litterbag Placem_Collection'!A65</f>
        <v>63</v>
      </c>
      <c r="C724" s="263" t="str">
        <f>'Dry_Litterbag Placem_Collection'!B65</f>
        <v>Makao</v>
      </c>
      <c r="D724" s="263" t="s">
        <v>2659</v>
      </c>
      <c r="E724" s="263" t="s">
        <v>20</v>
      </c>
      <c r="F724" s="263">
        <v>4</v>
      </c>
      <c r="G724" s="264" t="str">
        <f>'Dry_Litterbag Placem_Collection'!C65</f>
        <v>Dry_P4_T7</v>
      </c>
      <c r="H724" s="273" t="s">
        <v>3651</v>
      </c>
      <c r="I724" s="274" t="s">
        <v>298</v>
      </c>
      <c r="J724" s="263" t="str">
        <f>IF(ISBLANK('Dry_Litterbag Placem_Collection'!M65),"","R"&amp;""&amp;'Dry_Litterbag Placem_Collection'!M65)</f>
        <v>R713</v>
      </c>
      <c r="K724" s="267">
        <f>IFERROR(INDEX('Green_rooibos initial weight'!$C$5:$C$1749,MATCH(J724, 'Green_rooibos initial weight'!$A$5:$A$1749,0)),"")</f>
        <v>2.1619999999999999</v>
      </c>
      <c r="L724" s="267">
        <f>IFERROR(K724-(TBIcalc!$Q$9+TBIcalc!$Q$10),"")</f>
        <v>1.9121999999999999</v>
      </c>
      <c r="M724" s="391">
        <f>AVERAGE(Ashed_controlls!$K$12:$K$14)</f>
        <v>2.2816647271287041</v>
      </c>
      <c r="N724" s="267">
        <f t="shared" si="56"/>
        <v>1.8685700070878448</v>
      </c>
      <c r="O724" s="267">
        <f>IF(IFERROR(INDEX('Both teabags AfterDry'!$D$3:$D$900,MATCH(J724,'Both teabags AfterDry'!$A$3:$A$900,0)),"")="","",(IFERROR(INDEX('Both teabags AfterDry'!$D$3:$D$900,MATCH(J724,'Both teabags AfterDry'!$A$3:$A$900,0)),"")))</f>
        <v>1.9921</v>
      </c>
      <c r="P724" s="267">
        <f>IFERROR(IF(O724&gt;0,O724-(TBIcalc!$Q$9),""),"")</f>
        <v>1.8414999999999999</v>
      </c>
      <c r="Q724" s="278">
        <f>IFERROR(INDEX('Ashed teabags dry'!$K$2:$K$825,MATCH(J724,'Ashed teabags dry'!$A$2:$A$825,0)),"")</f>
        <v>2.4745269286755853</v>
      </c>
      <c r="R724" s="278">
        <f t="shared" si="57"/>
        <v>1.7959315866084391</v>
      </c>
      <c r="S724" s="268">
        <f>'Dry_Litterbag Placem_Collection'!E65</f>
        <v>42938</v>
      </c>
      <c r="T724" s="268">
        <f>IF('Dry_Litterbag Placem_Collection'!G65="","",'Dry_Litterbag Placem_Collection'!G65)</f>
        <v>43005</v>
      </c>
      <c r="U724" s="269">
        <f t="shared" si="55"/>
        <v>67</v>
      </c>
      <c r="V724" s="267">
        <f t="shared" si="58"/>
        <v>7.0699999999999985E-2</v>
      </c>
      <c r="W724" s="267">
        <f t="shared" si="59"/>
        <v>7.2638420479405719E-2</v>
      </c>
      <c r="X724" s="271">
        <f>IFERROR(INDEX(Rainfall_Dry!$O$2:$O$217,MATCH(B724, Rainfall_Dry!$A$2:$A$217,0)),"")</f>
        <v>6.5250000359999998</v>
      </c>
      <c r="Y724" s="260">
        <v>25.96</v>
      </c>
      <c r="Z724" s="260">
        <v>6.9200000000000008</v>
      </c>
      <c r="AA724" s="260">
        <v>67.12</v>
      </c>
      <c r="AB724" s="261" t="s">
        <v>2670</v>
      </c>
      <c r="AC724" s="260">
        <v>1.7568260226712666</v>
      </c>
      <c r="AD724">
        <f>IF('WetLitterbags placem_collection'!AB65="","",'WetLitterbags placem_collection'!AB65)</f>
        <v>4.9000000000000004</v>
      </c>
      <c r="AE724">
        <f>IF('WetLitterbags placem_collection'!Z65="","",'WetLitterbags placem_collection'!Z65)</f>
        <v>45</v>
      </c>
      <c r="AF724" s="246" t="str">
        <f>IF('WetLitterbags placem_collection'!AA65="","",'WetLitterbags placem_collection'!AA65)</f>
        <v>O</v>
      </c>
      <c r="AG724">
        <f>IF('WetLitterbags placem_collection'!AC65="","",'WetLitterbags placem_collection'!AC65)</f>
        <v>0</v>
      </c>
      <c r="AH724">
        <f>IFERROR(AVERAGE('Dry_Litterbag Placem_Collection'!O65,'Dry_Litterbag Placem_Collection'!R65),"")</f>
        <v>4.75</v>
      </c>
      <c r="AI724" s="271">
        <f>IFERROR(AVERAGE('Dry_Litterbag Placem_Collection'!N65,'Dry_Litterbag Placem_Collection'!Q65),"")</f>
        <v>31.3</v>
      </c>
      <c r="AJ724" s="270">
        <f>INDEX(Coordinates!$B$2:$B$197,MATCH(G724,Coordinates!$J$2:$J$197,0))</f>
        <v>-3.406334035</v>
      </c>
      <c r="AK724" s="270">
        <f>INDEX(Coordinates!$C$2:$C$197,MATCH(G724,Coordinates!$J$2:$J$197,0))</f>
        <v>34.851172030000001</v>
      </c>
      <c r="AL724" s="270" t="str">
        <f>IF(ISNUMBER(SEARCH("C", 'Dry_Litterbag Placem_Collection'!V65)),"YES","NO")</f>
        <v>NO</v>
      </c>
      <c r="AM724" s="270" t="str">
        <f>IF(ISNUMBER(SEARCH("H", 'Dry_Litterbag Placem_Collection'!V65)),"YES","NO")</f>
        <v>NO</v>
      </c>
      <c r="AN724" s="270" t="str">
        <f>IF(ISNUMBER(SEARCH("R", 'Dry_Litterbag Placem_Collection'!V65)),"YES","NO")</f>
        <v>NO</v>
      </c>
    </row>
    <row r="725" spans="1:40" ht="15" customHeight="1">
      <c r="A725" s="262" t="s">
        <v>2659</v>
      </c>
      <c r="B725" s="263">
        <f>'Dry_Litterbag Placem_Collection'!A66</f>
        <v>64</v>
      </c>
      <c r="C725" s="263" t="str">
        <f>'Dry_Litterbag Placem_Collection'!B66</f>
        <v>Makao</v>
      </c>
      <c r="D725" s="263" t="s">
        <v>2659</v>
      </c>
      <c r="E725" s="263" t="s">
        <v>20</v>
      </c>
      <c r="F725" s="263">
        <v>4</v>
      </c>
      <c r="G725" s="264" t="str">
        <f>'Dry_Litterbag Placem_Collection'!C66</f>
        <v>Dry_P4_T8</v>
      </c>
      <c r="H725" s="273" t="s">
        <v>3651</v>
      </c>
      <c r="I725" s="274" t="s">
        <v>298</v>
      </c>
      <c r="J725" s="263" t="str">
        <f>IF(ISBLANK('Dry_Litterbag Placem_Collection'!M66),"","R"&amp;""&amp;'Dry_Litterbag Placem_Collection'!M66)</f>
        <v>R237</v>
      </c>
      <c r="K725" s="267">
        <f>IFERROR(INDEX('Green_rooibos initial weight'!$C$5:$C$1749,MATCH(J725, 'Green_rooibos initial weight'!$A$5:$A$1749,0)),"")</f>
        <v>2.1989999999999998</v>
      </c>
      <c r="L725" s="267">
        <f>IFERROR(K725-(TBIcalc!$Q$9+TBIcalc!$Q$10),"")</f>
        <v>1.9491999999999998</v>
      </c>
      <c r="M725" s="391">
        <f>AVERAGE(Ashed_controlls!$K$12:$K$14)</f>
        <v>2.2816647271287041</v>
      </c>
      <c r="N725" s="267">
        <f t="shared" si="56"/>
        <v>1.9047257911388071</v>
      </c>
      <c r="O725" s="267">
        <f>IF(IFERROR(INDEX('Both teabags AfterDry'!$D$3:$D$900,MATCH(J725,'Both teabags AfterDry'!$A$3:$A$900,0)),"")="","",(IFERROR(INDEX('Both teabags AfterDry'!$D$3:$D$900,MATCH(J725,'Both teabags AfterDry'!$A$3:$A$900,0)),"")))</f>
        <v>1.9715</v>
      </c>
      <c r="P725" s="267">
        <f>IFERROR(IF(O725&gt;0,O725-(TBIcalc!$Q$9),""),"")</f>
        <v>1.8209</v>
      </c>
      <c r="Q725" s="278">
        <f>IFERROR(INDEX('Ashed teabags dry'!$K$2:$K$825,MATCH(J725,'Ashed teabags dry'!$A$2:$A$825,0)),"")</f>
        <v>2.2650602409639138</v>
      </c>
      <c r="R725" s="278">
        <f t="shared" si="57"/>
        <v>1.7796555180722882</v>
      </c>
      <c r="S725" s="268">
        <f>'Dry_Litterbag Placem_Collection'!E66</f>
        <v>42938</v>
      </c>
      <c r="T725" s="268">
        <f>IF('Dry_Litterbag Placem_Collection'!G66="","",'Dry_Litterbag Placem_Collection'!G66)</f>
        <v>43005</v>
      </c>
      <c r="U725" s="269">
        <f t="shared" si="55"/>
        <v>67</v>
      </c>
      <c r="V725" s="267">
        <f t="shared" si="58"/>
        <v>0.12829999999999986</v>
      </c>
      <c r="W725" s="267">
        <f t="shared" si="59"/>
        <v>0.12507027306651897</v>
      </c>
      <c r="X725" s="271">
        <f>IFERROR(INDEX(Rainfall_Dry!$O$2:$O$217,MATCH(B725, Rainfall_Dry!$A$2:$A$217,0)),"")</f>
        <v>6.5250000359999998</v>
      </c>
      <c r="Y725" s="260">
        <v>25.96</v>
      </c>
      <c r="Z725" s="260">
        <v>6.9200000000000008</v>
      </c>
      <c r="AA725" s="260">
        <v>67.12</v>
      </c>
      <c r="AB725" s="261" t="s">
        <v>2670</v>
      </c>
      <c r="AC725" s="260">
        <v>1.7568260226712666</v>
      </c>
      <c r="AD725">
        <f>IF('WetLitterbags placem_collection'!AB66="","",'WetLitterbags placem_collection'!AB66)</f>
        <v>3</v>
      </c>
      <c r="AE725">
        <f>IF('WetLitterbags placem_collection'!Z66="","",'WetLitterbags placem_collection'!Z66)</f>
        <v>22.8</v>
      </c>
      <c r="AF725" s="246" t="str">
        <f>IF('WetLitterbags placem_collection'!AA66="","",'WetLitterbags placem_collection'!AA66)</f>
        <v>O</v>
      </c>
      <c r="AG725">
        <f>IF('WetLitterbags placem_collection'!AC66="","",'WetLitterbags placem_collection'!AC66)</f>
        <v>1</v>
      </c>
      <c r="AH725">
        <f>IFERROR(AVERAGE('Dry_Litterbag Placem_Collection'!O66,'Dry_Litterbag Placem_Collection'!R66),"")</f>
        <v>5.55</v>
      </c>
      <c r="AI725" s="271">
        <f>IFERROR(AVERAGE('Dry_Litterbag Placem_Collection'!N66,'Dry_Litterbag Placem_Collection'!Q66),"")</f>
        <v>31.5</v>
      </c>
      <c r="AJ725" s="270">
        <f>INDEX(Coordinates!$B$2:$B$197,MATCH(G725,Coordinates!$J$2:$J$197,0))</f>
        <v>-3.4063409920000001</v>
      </c>
      <c r="AK725" s="270">
        <f>INDEX(Coordinates!$C$2:$C$197,MATCH(G725,Coordinates!$J$2:$J$197,0))</f>
        <v>34.85126004</v>
      </c>
      <c r="AL725" s="270" t="str">
        <f>IF(ISNUMBER(SEARCH("C", 'Dry_Litterbag Placem_Collection'!V66)),"YES","NO")</f>
        <v>NO</v>
      </c>
      <c r="AM725" s="270" t="str">
        <f>IF(ISNUMBER(SEARCH("H", 'Dry_Litterbag Placem_Collection'!V66)),"YES","NO")</f>
        <v>NO</v>
      </c>
      <c r="AN725" s="270" t="str">
        <f>IF(ISNUMBER(SEARCH("R", 'Dry_Litterbag Placem_Collection'!V66)),"YES","NO")</f>
        <v>NO</v>
      </c>
    </row>
    <row r="726" spans="1:40" ht="15" customHeight="1">
      <c r="A726" s="262" t="s">
        <v>2659</v>
      </c>
      <c r="B726" s="263">
        <f>'Dry_Litterbag Placem_Collection'!A67</f>
        <v>65</v>
      </c>
      <c r="C726" s="263" t="str">
        <f>'Dry_Litterbag Placem_Collection'!B67</f>
        <v>Maswa</v>
      </c>
      <c r="D726" s="263" t="s">
        <v>2659</v>
      </c>
      <c r="E726" s="263" t="s">
        <v>2661</v>
      </c>
      <c r="F726" s="263">
        <v>1</v>
      </c>
      <c r="G726" s="264" t="str">
        <f>'Dry_Litterbag Placem_Collection'!C67</f>
        <v>Dry_W1_T1</v>
      </c>
      <c r="H726" s="273" t="s">
        <v>3651</v>
      </c>
      <c r="I726" s="274" t="s">
        <v>298</v>
      </c>
      <c r="J726" s="263" t="str">
        <f>IF(ISBLANK('Dry_Litterbag Placem_Collection'!M67),"","R"&amp;""&amp;'Dry_Litterbag Placem_Collection'!M67)</f>
        <v>R654</v>
      </c>
      <c r="K726" s="267">
        <f>IFERROR(INDEX('Green_rooibos initial weight'!$C$5:$C$1749,MATCH(J726, 'Green_rooibos initial weight'!$A$5:$A$1749,0)),"")</f>
        <v>2.2040000000000002</v>
      </c>
      <c r="L726" s="267">
        <f>IFERROR(K726-(TBIcalc!$Q$9+TBIcalc!$Q$10),"")</f>
        <v>1.9542000000000002</v>
      </c>
      <c r="M726" s="391">
        <f>AVERAGE(Ashed_controlls!$K$12:$K$14)</f>
        <v>2.2816647271287041</v>
      </c>
      <c r="N726" s="267">
        <f t="shared" si="56"/>
        <v>1.909611707902451</v>
      </c>
      <c r="O726" s="267" t="str">
        <f>IF(IFERROR(INDEX('Both teabags AfterDry'!$D$3:$D$900,MATCH(J726,'Both teabags AfterDry'!$A$3:$A$900,0)),"")="","",(IFERROR(INDEX('Both teabags AfterDry'!$D$3:$D$900,MATCH(J726,'Both teabags AfterDry'!$A$3:$A$900,0)),"")))</f>
        <v/>
      </c>
      <c r="P726" s="267" t="str">
        <f>IFERROR(IF(O726&gt;0,O726-(TBIcalc!$Q$9),""),"")</f>
        <v/>
      </c>
      <c r="Q726" s="278" t="str">
        <f>IFERROR(INDEX('Ashed teabags dry'!$K$2:$K$825,MATCH(J726,'Ashed teabags dry'!$A$2:$A$825,0)),"")</f>
        <v/>
      </c>
      <c r="R726" s="278" t="str">
        <f t="shared" si="57"/>
        <v/>
      </c>
      <c r="S726" s="268">
        <f>'Dry_Litterbag Placem_Collection'!E67</f>
        <v>42937</v>
      </c>
      <c r="T726" s="268">
        <f>IF('Dry_Litterbag Placem_Collection'!G67="","",'Dry_Litterbag Placem_Collection'!G67)</f>
        <v>43005</v>
      </c>
      <c r="U726" s="269">
        <f t="shared" si="55"/>
        <v>68</v>
      </c>
      <c r="V726" s="267" t="str">
        <f t="shared" si="58"/>
        <v/>
      </c>
      <c r="W726" s="267" t="str">
        <f t="shared" si="59"/>
        <v/>
      </c>
      <c r="X726" s="271">
        <f>IFERROR(INDEX(Rainfall_Dry!$O$2:$O$217,MATCH(B726, Rainfall_Dry!$A$2:$A$217,0)),"")</f>
        <v>6.900000125</v>
      </c>
      <c r="Y726" s="260">
        <v>47.96</v>
      </c>
      <c r="Z726" s="260">
        <v>22.919999999999995</v>
      </c>
      <c r="AA726" s="260">
        <v>29.120000000000012</v>
      </c>
      <c r="AB726" s="261" t="s">
        <v>2673</v>
      </c>
      <c r="AC726" s="260">
        <v>2.8831936914736325</v>
      </c>
      <c r="AD726">
        <f>IF('WetLitterbags placem_collection'!AB67="","",'WetLitterbags placem_collection'!AB67)</f>
        <v>13.8</v>
      </c>
      <c r="AE726">
        <f>IF('WetLitterbags placem_collection'!Z67="","",'WetLitterbags placem_collection'!Z67)</f>
        <v>13.8</v>
      </c>
      <c r="AF726" s="246" t="str">
        <f>IF('WetLitterbags placem_collection'!AA67="","",'WetLitterbags placem_collection'!AA67)</f>
        <v>O</v>
      </c>
      <c r="AG726">
        <f>IF('WetLitterbags placem_collection'!AC67="","",'WetLitterbags placem_collection'!AC67)</f>
        <v>1</v>
      </c>
      <c r="AH726">
        <f>IFERROR(AVERAGE('Dry_Litterbag Placem_Collection'!O67,'Dry_Litterbag Placem_Collection'!R67),"")</f>
        <v>10.65</v>
      </c>
      <c r="AI726" s="271">
        <f>IFERROR(AVERAGE('Dry_Litterbag Placem_Collection'!N67,'Dry_Litterbag Placem_Collection'!Q67),"")</f>
        <v>28</v>
      </c>
      <c r="AJ726" s="270">
        <f>INDEX(Coordinates!$B$2:$B$197,MATCH(G726,Coordinates!$J$2:$J$197,0))</f>
        <v>-3.2993960379999998</v>
      </c>
      <c r="AK726" s="270">
        <f>INDEX(Coordinates!$C$2:$C$197,MATCH(G726,Coordinates!$J$2:$J$197,0))</f>
        <v>34.848240959999998</v>
      </c>
      <c r="AL726" s="270" t="str">
        <f>IF(ISNUMBER(SEARCH("C", 'Dry_Litterbag Placem_Collection'!V67)),"YES","NO")</f>
        <v>NO</v>
      </c>
      <c r="AM726" s="270" t="str">
        <f>IF(ISNUMBER(SEARCH("H", 'Dry_Litterbag Placem_Collection'!V67)),"YES","NO")</f>
        <v>NO</v>
      </c>
      <c r="AN726" s="270" t="str">
        <f>IF(ISNUMBER(SEARCH("R", 'Dry_Litterbag Placem_Collection'!V67)),"YES","NO")</f>
        <v>NO</v>
      </c>
    </row>
    <row r="727" spans="1:40" ht="15" customHeight="1">
      <c r="A727" s="262" t="s">
        <v>2659</v>
      </c>
      <c r="B727" s="263">
        <f>'Dry_Litterbag Placem_Collection'!A68</f>
        <v>66</v>
      </c>
      <c r="C727" s="263" t="str">
        <f>'Dry_Litterbag Placem_Collection'!B68</f>
        <v>Maswa</v>
      </c>
      <c r="D727" s="263" t="s">
        <v>2659</v>
      </c>
      <c r="E727" s="263" t="s">
        <v>2661</v>
      </c>
      <c r="F727" s="263">
        <v>1</v>
      </c>
      <c r="G727" s="264" t="str">
        <f>'Dry_Litterbag Placem_Collection'!C68</f>
        <v>Dry_W1_T2</v>
      </c>
      <c r="H727" s="273" t="s">
        <v>3651</v>
      </c>
      <c r="I727" s="274" t="s">
        <v>298</v>
      </c>
      <c r="J727" s="263" t="str">
        <f>IF(ISBLANK('Dry_Litterbag Placem_Collection'!M68),"","R"&amp;""&amp;'Dry_Litterbag Placem_Collection'!M68)</f>
        <v>R634</v>
      </c>
      <c r="K727" s="267">
        <f>IFERROR(INDEX('Green_rooibos initial weight'!$C$5:$C$1749,MATCH(J727, 'Green_rooibos initial weight'!$A$5:$A$1749,0)),"")</f>
        <v>2.0979999999999999</v>
      </c>
      <c r="L727" s="267">
        <f>IFERROR(K727-(TBIcalc!$Q$9+TBIcalc!$Q$10),"")</f>
        <v>1.8481999999999998</v>
      </c>
      <c r="M727" s="391">
        <f>AVERAGE(Ashed_controlls!$K$12:$K$14)</f>
        <v>2.2816647271287041</v>
      </c>
      <c r="N727" s="267">
        <f t="shared" si="56"/>
        <v>1.8060302725132071</v>
      </c>
      <c r="O727" s="267">
        <f>IF(IFERROR(INDEX('Both teabags AfterDry'!$D$3:$D$900,MATCH(J727,'Both teabags AfterDry'!$A$3:$A$900,0)),"")="","",(IFERROR(INDEX('Both teabags AfterDry'!$D$3:$D$900,MATCH(J727,'Both teabags AfterDry'!$A$3:$A$900,0)),"")))</f>
        <v>1.9177</v>
      </c>
      <c r="P727" s="267">
        <f>IFERROR(IF(O727&gt;0,O727-(TBIcalc!$Q$9),""),"")</f>
        <v>1.7670999999999999</v>
      </c>
      <c r="Q727" s="278">
        <f>IFERROR(INDEX('Ashed teabags dry'!$K$2:$K$825,MATCH(J727,'Ashed teabags dry'!$A$2:$A$825,0)),"")</f>
        <v>2.2058823529412819</v>
      </c>
      <c r="R727" s="278">
        <f t="shared" si="57"/>
        <v>1.7281198529411745</v>
      </c>
      <c r="S727" s="268">
        <f>'Dry_Litterbag Placem_Collection'!E68</f>
        <v>42937</v>
      </c>
      <c r="T727" s="268">
        <f>IF('Dry_Litterbag Placem_Collection'!G68="","",'Dry_Litterbag Placem_Collection'!G68)</f>
        <v>43005</v>
      </c>
      <c r="U727" s="269">
        <f t="shared" si="55"/>
        <v>68</v>
      </c>
      <c r="V727" s="267">
        <f t="shared" si="58"/>
        <v>8.109999999999995E-2</v>
      </c>
      <c r="W727" s="267">
        <f t="shared" si="59"/>
        <v>7.7910419572032596E-2</v>
      </c>
      <c r="X727" s="271">
        <f>IFERROR(INDEX(Rainfall_Dry!$O$2:$O$217,MATCH(B727, Rainfall_Dry!$A$2:$A$217,0)),"")</f>
        <v>6.900000125</v>
      </c>
      <c r="Y727" s="260">
        <v>47.96</v>
      </c>
      <c r="Z727" s="260">
        <v>22.919999999999995</v>
      </c>
      <c r="AA727" s="260">
        <v>29.120000000000012</v>
      </c>
      <c r="AB727" s="261" t="s">
        <v>2673</v>
      </c>
      <c r="AC727" s="260">
        <v>3.8831936914736298</v>
      </c>
      <c r="AD727">
        <f>IF('WetLitterbags placem_collection'!AB68="","",'WetLitterbags placem_collection'!AB68)</f>
        <v>8</v>
      </c>
      <c r="AE727">
        <f>IF('WetLitterbags placem_collection'!Z68="","",'WetLitterbags placem_collection'!Z68)</f>
        <v>19.8</v>
      </c>
      <c r="AF727" s="246" t="str">
        <f>IF('WetLitterbags placem_collection'!AA68="","",'WetLitterbags placem_collection'!AA68)</f>
        <v>O</v>
      </c>
      <c r="AG727">
        <f>IF('WetLitterbags placem_collection'!AC68="","",'WetLitterbags placem_collection'!AC68)</f>
        <v>1</v>
      </c>
      <c r="AH727">
        <f>IFERROR(AVERAGE('Dry_Litterbag Placem_Collection'!O68,'Dry_Litterbag Placem_Collection'!R68),"")</f>
        <v>10.100000000000001</v>
      </c>
      <c r="AI727" s="271">
        <f>IFERROR(AVERAGE('Dry_Litterbag Placem_Collection'!N68,'Dry_Litterbag Placem_Collection'!Q68),"")</f>
        <v>23.6</v>
      </c>
      <c r="AJ727" s="270">
        <f>INDEX(Coordinates!$B$2:$B$197,MATCH(G727,Coordinates!$J$2:$J$197,0))</f>
        <v>-3.2993090340000002</v>
      </c>
      <c r="AK727" s="270">
        <f>INDEX(Coordinates!$C$2:$C$197,MATCH(G727,Coordinates!$J$2:$J$197,0))</f>
        <v>34.848404989999999</v>
      </c>
      <c r="AL727" s="270" t="str">
        <f>IF(ISNUMBER(SEARCH("C", 'Dry_Litterbag Placem_Collection'!V68)),"YES","NO")</f>
        <v>NO</v>
      </c>
      <c r="AM727" s="270" t="str">
        <f>IF(ISNUMBER(SEARCH("H", 'Dry_Litterbag Placem_Collection'!V68)),"YES","NO")</f>
        <v>NO</v>
      </c>
      <c r="AN727" s="270" t="str">
        <f>IF(ISNUMBER(SEARCH("R", 'Dry_Litterbag Placem_Collection'!V68)),"YES","NO")</f>
        <v>NO</v>
      </c>
    </row>
    <row r="728" spans="1:40" ht="15" customHeight="1">
      <c r="A728" s="262" t="s">
        <v>2659</v>
      </c>
      <c r="B728" s="263">
        <f>'Dry_Litterbag Placem_Collection'!A69</f>
        <v>67</v>
      </c>
      <c r="C728" s="263" t="str">
        <f>'Dry_Litterbag Placem_Collection'!B69</f>
        <v>Maswa</v>
      </c>
      <c r="D728" s="263" t="s">
        <v>2659</v>
      </c>
      <c r="E728" s="263" t="s">
        <v>2661</v>
      </c>
      <c r="F728" s="263">
        <v>1</v>
      </c>
      <c r="G728" s="264" t="str">
        <f>'Dry_Litterbag Placem_Collection'!C69</f>
        <v>Dry_W1_T3</v>
      </c>
      <c r="H728" s="273" t="s">
        <v>3651</v>
      </c>
      <c r="I728" s="274" t="s">
        <v>298</v>
      </c>
      <c r="J728" s="263" t="str">
        <f>IF(ISBLANK('Dry_Litterbag Placem_Collection'!M69),"","R"&amp;""&amp;'Dry_Litterbag Placem_Collection'!M69)</f>
        <v/>
      </c>
      <c r="K728" s="267" t="str">
        <f>IFERROR(INDEX('Green_rooibos initial weight'!$C$5:$C$1749,MATCH(J728, 'Green_rooibos initial weight'!$A$5:$A$1749,0)),"")</f>
        <v/>
      </c>
      <c r="L728" s="267" t="str">
        <f>IFERROR(K728-(TBIcalc!$Q$9+TBIcalc!$Q$10),"")</f>
        <v/>
      </c>
      <c r="M728" s="391">
        <f>AVERAGE(Ashed_controlls!$K$12:$K$14)</f>
        <v>2.2816647271287041</v>
      </c>
      <c r="N728" s="267" t="str">
        <f t="shared" si="56"/>
        <v/>
      </c>
      <c r="O728" s="267" t="str">
        <f>IF(IFERROR(INDEX('Both teabags AfterDry'!$D$3:$D$900,MATCH(J728,'Both teabags AfterDry'!$A$3:$A$900,0)),"")="","",(IFERROR(INDEX('Both teabags AfterDry'!$D$3:$D$900,MATCH(J728,'Both teabags AfterDry'!$A$3:$A$900,0)),"")))</f>
        <v/>
      </c>
      <c r="P728" s="267" t="str">
        <f>IFERROR(IF(O728&gt;0,O728-(TBIcalc!$Q$9),""),"")</f>
        <v/>
      </c>
      <c r="Q728" s="278" t="str">
        <f>IFERROR(INDEX('Ashed teabags dry'!$K$2:$K$825,MATCH(J728,'Ashed teabags dry'!$A$2:$A$825,0)),"")</f>
        <v/>
      </c>
      <c r="R728" s="278" t="str">
        <f t="shared" si="57"/>
        <v/>
      </c>
      <c r="S728" s="268">
        <f>'Dry_Litterbag Placem_Collection'!E69</f>
        <v>0</v>
      </c>
      <c r="T728" s="268" t="str">
        <f>IF('Dry_Litterbag Placem_Collection'!G69="","",'Dry_Litterbag Placem_Collection'!G69)</f>
        <v/>
      </c>
      <c r="U728" s="269" t="str">
        <f t="shared" si="55"/>
        <v/>
      </c>
      <c r="V728" s="267" t="str">
        <f t="shared" si="58"/>
        <v/>
      </c>
      <c r="W728" s="267" t="str">
        <f t="shared" si="59"/>
        <v/>
      </c>
      <c r="X728" s="271" t="str">
        <f>IFERROR(INDEX(Rainfall_Dry!$O$2:$O$217,MATCH(B728, Rainfall_Dry!$A$2:$A$217,0)),"")</f>
        <v/>
      </c>
      <c r="Y728" s="260">
        <v>47.96</v>
      </c>
      <c r="Z728" s="260">
        <v>22.919999999999995</v>
      </c>
      <c r="AA728" s="260">
        <v>29.120000000000012</v>
      </c>
      <c r="AB728" s="261" t="s">
        <v>2673</v>
      </c>
      <c r="AC728" s="260">
        <v>4.8831936914736298</v>
      </c>
      <c r="AD728">
        <f>IF('WetLitterbags placem_collection'!AB69="","",'WetLitterbags placem_collection'!AB69)</f>
        <v>5.5</v>
      </c>
      <c r="AE728">
        <f>IF('WetLitterbags placem_collection'!Z69="","",'WetLitterbags placem_collection'!Z69)</f>
        <v>5.5</v>
      </c>
      <c r="AF728" s="246" t="str">
        <f>IF('WetLitterbags placem_collection'!AA69="","",'WetLitterbags placem_collection'!AA69)</f>
        <v>O</v>
      </c>
      <c r="AG728">
        <f>IF('WetLitterbags placem_collection'!AC69="","",'WetLitterbags placem_collection'!AC69)</f>
        <v>1</v>
      </c>
      <c r="AH728" t="str">
        <f>IFERROR(AVERAGE('Dry_Litterbag Placem_Collection'!O69,'Dry_Litterbag Placem_Collection'!R69),"")</f>
        <v/>
      </c>
      <c r="AI728" s="271" t="str">
        <f>IFERROR(AVERAGE('Dry_Litterbag Placem_Collection'!N69,'Dry_Litterbag Placem_Collection'!Q69),"")</f>
        <v/>
      </c>
      <c r="AJ728" s="270">
        <f>INDEX(Coordinates!$B$2:$B$197,MATCH(G728,Coordinates!$J$2:$J$197,0))</f>
        <v>-3.299434008</v>
      </c>
      <c r="AK728" s="270">
        <f>INDEX(Coordinates!$C$2:$C$197,MATCH(G728,Coordinates!$J$2:$J$197,0))</f>
        <v>34.848514960000003</v>
      </c>
      <c r="AL728" s="270" t="str">
        <f>IF(ISNUMBER(SEARCH("C", 'Dry_Litterbag Placem_Collection'!V69)),"YES","NO")</f>
        <v>NO</v>
      </c>
      <c r="AM728" s="270" t="str">
        <f>IF(ISNUMBER(SEARCH("H", 'Dry_Litterbag Placem_Collection'!V69)),"YES","NO")</f>
        <v>NO</v>
      </c>
      <c r="AN728" s="270" t="str">
        <f>IF(ISNUMBER(SEARCH("R", 'Dry_Litterbag Placem_Collection'!V69)),"YES","NO")</f>
        <v>NO</v>
      </c>
    </row>
    <row r="729" spans="1:40" ht="15" customHeight="1">
      <c r="A729" s="262" t="s">
        <v>2659</v>
      </c>
      <c r="B729" s="263">
        <f>'Dry_Litterbag Placem_Collection'!A70</f>
        <v>68</v>
      </c>
      <c r="C729" s="263" t="str">
        <f>'Dry_Litterbag Placem_Collection'!B70</f>
        <v>Maswa</v>
      </c>
      <c r="D729" s="263" t="s">
        <v>2659</v>
      </c>
      <c r="E729" s="263" t="s">
        <v>2661</v>
      </c>
      <c r="F729" s="263">
        <v>1</v>
      </c>
      <c r="G729" s="264" t="str">
        <f>'Dry_Litterbag Placem_Collection'!C70</f>
        <v>Dry_W1_T4</v>
      </c>
      <c r="H729" s="273" t="s">
        <v>3651</v>
      </c>
      <c r="I729" s="274" t="s">
        <v>298</v>
      </c>
      <c r="J729" s="263" t="str">
        <f>IF(ISBLANK('Dry_Litterbag Placem_Collection'!M70),"","R"&amp;""&amp;'Dry_Litterbag Placem_Collection'!M70)</f>
        <v>R201</v>
      </c>
      <c r="K729" s="267">
        <f>IFERROR(INDEX('Green_rooibos initial weight'!$C$5:$C$1749,MATCH(J729, 'Green_rooibos initial weight'!$A$5:$A$1749,0)),"")</f>
        <v>2.2349999999999999</v>
      </c>
      <c r="L729" s="267">
        <f>IFERROR(K729-(TBIcalc!$Q$9+TBIcalc!$Q$10),"")</f>
        <v>1.9851999999999999</v>
      </c>
      <c r="M729" s="391">
        <f>AVERAGE(Ashed_controlls!$K$12:$K$14)</f>
        <v>2.2816647271287041</v>
      </c>
      <c r="N729" s="267">
        <f t="shared" si="56"/>
        <v>1.9399043918370409</v>
      </c>
      <c r="O729" s="267">
        <f>IF(IFERROR(INDEX('Both teabags AfterDry'!$D$3:$D$900,MATCH(J729,'Both teabags AfterDry'!$A$3:$A$900,0)),"")="","",(IFERROR(INDEX('Both teabags AfterDry'!$D$3:$D$900,MATCH(J729,'Both teabags AfterDry'!$A$3:$A$900,0)),"")))</f>
        <v>2.0015000000000001</v>
      </c>
      <c r="P729" s="267">
        <f>IFERROR(IF(O729&gt;0,O729-(TBIcalc!$Q$9),""),"")</f>
        <v>1.8509</v>
      </c>
      <c r="Q729" s="278">
        <f>IFERROR(INDEX('Ashed teabags dry'!$K$2:$K$825,MATCH(J729,'Ashed teabags dry'!$A$2:$A$825,0)),"")</f>
        <v>3.2690695725061474</v>
      </c>
      <c r="R729" s="278">
        <f t="shared" si="57"/>
        <v>1.7903927912824837</v>
      </c>
      <c r="S729" s="268">
        <f>'Dry_Litterbag Placem_Collection'!E70</f>
        <v>42937</v>
      </c>
      <c r="T729" s="268">
        <f>IF('Dry_Litterbag Placem_Collection'!G70="","",'Dry_Litterbag Placem_Collection'!G70)</f>
        <v>43005</v>
      </c>
      <c r="U729" s="269">
        <f t="shared" si="55"/>
        <v>68</v>
      </c>
      <c r="V729" s="267">
        <f t="shared" si="58"/>
        <v>0.13429999999999986</v>
      </c>
      <c r="W729" s="267">
        <f t="shared" si="59"/>
        <v>0.14951160055455714</v>
      </c>
      <c r="X729" s="271">
        <f>IFERROR(INDEX(Rainfall_Dry!$O$2:$O$217,MATCH(B729, Rainfall_Dry!$A$2:$A$217,0)),"")</f>
        <v>6.900000125</v>
      </c>
      <c r="Y729" s="260">
        <v>47.96</v>
      </c>
      <c r="Z729" s="260">
        <v>22.919999999999995</v>
      </c>
      <c r="AA729" s="260">
        <v>29.120000000000012</v>
      </c>
      <c r="AB729" s="261" t="s">
        <v>2673</v>
      </c>
      <c r="AC729" s="260">
        <v>5.8831936914736298</v>
      </c>
      <c r="AD729">
        <f>IF('WetLitterbags placem_collection'!AB70="","",'WetLitterbags placem_collection'!AB70)</f>
        <v>9.6999999999999993</v>
      </c>
      <c r="AE729">
        <f>IF('WetLitterbags placem_collection'!Z70="","",'WetLitterbags placem_collection'!Z70)</f>
        <v>23.4</v>
      </c>
      <c r="AF729" s="246" t="str">
        <f>IF('WetLitterbags placem_collection'!AA70="","",'WetLitterbags placem_collection'!AA70)</f>
        <v>O</v>
      </c>
      <c r="AG729">
        <f>IF('WetLitterbags placem_collection'!AC70="","",'WetLitterbags placem_collection'!AC70)</f>
        <v>1</v>
      </c>
      <c r="AH729">
        <f>IFERROR(AVERAGE('Dry_Litterbag Placem_Collection'!O70,'Dry_Litterbag Placem_Collection'!R70),"")</f>
        <v>7.75</v>
      </c>
      <c r="AI729" s="271">
        <f>IFERROR(AVERAGE('Dry_Litterbag Placem_Collection'!N70,'Dry_Litterbag Placem_Collection'!Q70),"")</f>
        <v>26.85</v>
      </c>
      <c r="AJ729" s="270">
        <f>INDEX(Coordinates!$B$2:$B$197,MATCH(G729,Coordinates!$J$2:$J$197,0))</f>
        <v>-3.2991180099999999</v>
      </c>
      <c r="AK729" s="270">
        <f>INDEX(Coordinates!$C$2:$C$197,MATCH(G729,Coordinates!$J$2:$J$197,0))</f>
        <v>34.84824699</v>
      </c>
      <c r="AL729" s="270" t="str">
        <f>IF(ISNUMBER(SEARCH("C", 'Dry_Litterbag Placem_Collection'!V70)),"YES","NO")</f>
        <v>NO</v>
      </c>
      <c r="AM729" s="270" t="str">
        <f>IF(ISNUMBER(SEARCH("H", 'Dry_Litterbag Placem_Collection'!V70)),"YES","NO")</f>
        <v>NO</v>
      </c>
      <c r="AN729" s="270" t="str">
        <f>IF(ISNUMBER(SEARCH("R", 'Dry_Litterbag Placem_Collection'!V70)),"YES","NO")</f>
        <v>NO</v>
      </c>
    </row>
    <row r="730" spans="1:40" ht="15" customHeight="1">
      <c r="A730" s="262" t="s">
        <v>2659</v>
      </c>
      <c r="B730" s="263">
        <f>'Dry_Litterbag Placem_Collection'!A71</f>
        <v>69</v>
      </c>
      <c r="C730" s="263" t="str">
        <f>'Dry_Litterbag Placem_Collection'!B71</f>
        <v>Maswa</v>
      </c>
      <c r="D730" s="263" t="s">
        <v>2659</v>
      </c>
      <c r="E730" s="263" t="s">
        <v>2661</v>
      </c>
      <c r="F730" s="263">
        <v>1</v>
      </c>
      <c r="G730" s="264" t="str">
        <f>'Dry_Litterbag Placem_Collection'!C71</f>
        <v>Dry_W1_T5</v>
      </c>
      <c r="H730" s="273" t="s">
        <v>3651</v>
      </c>
      <c r="I730" s="274" t="s">
        <v>298</v>
      </c>
      <c r="J730" s="263" t="str">
        <f>IF(ISBLANK('Dry_Litterbag Placem_Collection'!M71),"","R"&amp;""&amp;'Dry_Litterbag Placem_Collection'!M71)</f>
        <v>R174</v>
      </c>
      <c r="K730" s="267">
        <f>IFERROR(INDEX('Green_rooibos initial weight'!$C$5:$C$1749,MATCH(J730, 'Green_rooibos initial weight'!$A$5:$A$1749,0)),"")</f>
        <v>2.2410000000000001</v>
      </c>
      <c r="L730" s="267">
        <f>IFERROR(K730-(TBIcalc!$Q$9+TBIcalc!$Q$10),"")</f>
        <v>1.9912000000000001</v>
      </c>
      <c r="M730" s="391">
        <f>AVERAGE(Ashed_controlls!$K$12:$K$14)</f>
        <v>2.2816647271287041</v>
      </c>
      <c r="N730" s="267">
        <f t="shared" si="56"/>
        <v>1.9457674919534134</v>
      </c>
      <c r="O730" s="267">
        <f>IF(IFERROR(INDEX('Both teabags AfterDry'!$D$3:$D$900,MATCH(J730,'Both teabags AfterDry'!$A$3:$A$900,0)),"")="","",(IFERROR(INDEX('Both teabags AfterDry'!$D$3:$D$900,MATCH(J730,'Both teabags AfterDry'!$A$3:$A$900,0)),"")))</f>
        <v>1.9946999999999999</v>
      </c>
      <c r="P730" s="267">
        <f>IFERROR(IF(O730&gt;0,O730-(TBIcalc!$Q$9),""),"")</f>
        <v>1.8440999999999999</v>
      </c>
      <c r="Q730" s="278">
        <f>IFERROR(INDEX('Ashed teabags dry'!$K$2:$K$825,MATCH(J730,'Ashed teabags dry'!$A$2:$A$825,0)),"")</f>
        <v>2.7638190954781701</v>
      </c>
      <c r="R730" s="278">
        <f t="shared" si="57"/>
        <v>1.793132412060287</v>
      </c>
      <c r="S730" s="268">
        <f>'Dry_Litterbag Placem_Collection'!E71</f>
        <v>42937</v>
      </c>
      <c r="T730" s="268">
        <f>IF('Dry_Litterbag Placem_Collection'!G71="","",'Dry_Litterbag Placem_Collection'!G71)</f>
        <v>43006</v>
      </c>
      <c r="U730" s="269">
        <f t="shared" si="55"/>
        <v>69</v>
      </c>
      <c r="V730" s="267">
        <f t="shared" si="58"/>
        <v>0.14710000000000023</v>
      </c>
      <c r="W730" s="267">
        <f t="shared" si="59"/>
        <v>0.15263507989312641</v>
      </c>
      <c r="X730" s="271">
        <f>IFERROR(INDEX(Rainfall_Dry!$O$2:$O$217,MATCH(B730, Rainfall_Dry!$A$2:$A$217,0)),"")</f>
        <v>6.900000125</v>
      </c>
      <c r="Y730" s="260">
        <v>47.96</v>
      </c>
      <c r="Z730" s="260">
        <v>22.919999999999995</v>
      </c>
      <c r="AA730" s="260">
        <v>29.120000000000012</v>
      </c>
      <c r="AB730" s="261" t="s">
        <v>2673</v>
      </c>
      <c r="AC730" s="260">
        <v>6.8831936914736298</v>
      </c>
      <c r="AD730">
        <f>IF('WetLitterbags placem_collection'!AB71="","",'WetLitterbags placem_collection'!AB71)</f>
        <v>14.4</v>
      </c>
      <c r="AE730">
        <f>IF('WetLitterbags placem_collection'!Z71="","",'WetLitterbags placem_collection'!Z71)</f>
        <v>24.4</v>
      </c>
      <c r="AF730" s="246" t="str">
        <f>IF('WetLitterbags placem_collection'!AA71="","",'WetLitterbags placem_collection'!AA71)</f>
        <v>O</v>
      </c>
      <c r="AG730">
        <f>IF('WetLitterbags placem_collection'!AC71="","",'WetLitterbags placem_collection'!AC71)</f>
        <v>1</v>
      </c>
      <c r="AH730">
        <f>IFERROR(AVERAGE('Dry_Litterbag Placem_Collection'!O71,'Dry_Litterbag Placem_Collection'!R71),"")</f>
        <v>7.95</v>
      </c>
      <c r="AI730" s="271">
        <f>IFERROR(AVERAGE('Dry_Litterbag Placem_Collection'!N71,'Dry_Litterbag Placem_Collection'!Q71),"")</f>
        <v>26.55</v>
      </c>
      <c r="AJ730" s="270">
        <f>INDEX(Coordinates!$B$2:$B$197,MATCH(G730,Coordinates!$J$2:$J$197,0))</f>
        <v>-3.2993180030000002</v>
      </c>
      <c r="AK730" s="270">
        <f>INDEX(Coordinates!$C$2:$C$197,MATCH(G730,Coordinates!$J$2:$J$197,0))</f>
        <v>34.848235010000003</v>
      </c>
      <c r="AL730" s="270" t="str">
        <f>IF(ISNUMBER(SEARCH("C", 'Dry_Litterbag Placem_Collection'!V71)),"YES","NO")</f>
        <v>NO</v>
      </c>
      <c r="AM730" s="270" t="str">
        <f>IF(ISNUMBER(SEARCH("H", 'Dry_Litterbag Placem_Collection'!V71)),"YES","NO")</f>
        <v>NO</v>
      </c>
      <c r="AN730" s="270" t="str">
        <f>IF(ISNUMBER(SEARCH("R", 'Dry_Litterbag Placem_Collection'!V71)),"YES","NO")</f>
        <v>NO</v>
      </c>
    </row>
    <row r="731" spans="1:40" ht="15" customHeight="1">
      <c r="A731" s="262" t="s">
        <v>2659</v>
      </c>
      <c r="B731" s="263">
        <f>'Dry_Litterbag Placem_Collection'!A72</f>
        <v>70</v>
      </c>
      <c r="C731" s="263" t="str">
        <f>'Dry_Litterbag Placem_Collection'!B72</f>
        <v>Maswa</v>
      </c>
      <c r="D731" s="263" t="s">
        <v>2659</v>
      </c>
      <c r="E731" s="263" t="s">
        <v>2661</v>
      </c>
      <c r="F731" s="263">
        <v>1</v>
      </c>
      <c r="G731" s="264" t="str">
        <f>'Dry_Litterbag Placem_Collection'!C72</f>
        <v>Dry_W1_T6</v>
      </c>
      <c r="H731" s="273" t="s">
        <v>3651</v>
      </c>
      <c r="I731" s="274" t="s">
        <v>298</v>
      </c>
      <c r="J731" s="263" t="str">
        <f>IF(ISBLANK('Dry_Litterbag Placem_Collection'!M72),"","R"&amp;""&amp;'Dry_Litterbag Placem_Collection'!M72)</f>
        <v>R261</v>
      </c>
      <c r="K731" s="267">
        <f>IFERROR(INDEX('Green_rooibos initial weight'!$C$5:$C$1749,MATCH(J731, 'Green_rooibos initial weight'!$A$5:$A$1749,0)),"")</f>
        <v>2.2080000000000002</v>
      </c>
      <c r="L731" s="267">
        <f>IFERROR(K731-(TBIcalc!$Q$9+TBIcalc!$Q$10),"")</f>
        <v>1.9582000000000002</v>
      </c>
      <c r="M731" s="391">
        <f>AVERAGE(Ashed_controlls!$K$12:$K$14)</f>
        <v>2.2816647271287041</v>
      </c>
      <c r="N731" s="267">
        <f t="shared" si="56"/>
        <v>1.913520441313366</v>
      </c>
      <c r="O731" s="267">
        <f>IF(IFERROR(INDEX('Both teabags AfterDry'!$D$3:$D$900,MATCH(J731,'Both teabags AfterDry'!$A$3:$A$900,0)),"")="","",(IFERROR(INDEX('Both teabags AfterDry'!$D$3:$D$900,MATCH(J731,'Both teabags AfterDry'!$A$3:$A$900,0)),"")))</f>
        <v>1.9642999999999999</v>
      </c>
      <c r="P731" s="267">
        <f>IFERROR(IF(O731&gt;0,O731-(TBIcalc!$Q$9),""),"")</f>
        <v>1.8136999999999999</v>
      </c>
      <c r="Q731" s="278">
        <f>IFERROR(INDEX('Ashed teabags dry'!$K$2:$K$825,MATCH(J731,'Ashed teabags dry'!$A$2:$A$825,0)),"")</f>
        <v>3.9428289797936209</v>
      </c>
      <c r="R731" s="278">
        <f t="shared" si="57"/>
        <v>1.7421889107934829</v>
      </c>
      <c r="S731" s="268">
        <f>'Dry_Litterbag Placem_Collection'!E72</f>
        <v>42937</v>
      </c>
      <c r="T731" s="268">
        <f>IF('Dry_Litterbag Placem_Collection'!G72="","",'Dry_Litterbag Placem_Collection'!G72)</f>
        <v>43006</v>
      </c>
      <c r="U731" s="269">
        <f t="shared" si="55"/>
        <v>69</v>
      </c>
      <c r="V731" s="267">
        <f t="shared" si="58"/>
        <v>0.14450000000000029</v>
      </c>
      <c r="W731" s="267">
        <f t="shared" si="59"/>
        <v>0.17133153051988304</v>
      </c>
      <c r="X731" s="271">
        <f>IFERROR(INDEX(Rainfall_Dry!$O$2:$O$217,MATCH(B731, Rainfall_Dry!$A$2:$A$217,0)),"")</f>
        <v>6.900000125</v>
      </c>
      <c r="Y731" s="260">
        <v>47.96</v>
      </c>
      <c r="Z731" s="260">
        <v>22.919999999999995</v>
      </c>
      <c r="AA731" s="260">
        <v>29.120000000000012</v>
      </c>
      <c r="AB731" s="261" t="s">
        <v>2673</v>
      </c>
      <c r="AC731" s="260">
        <v>7.8831936914736298</v>
      </c>
      <c r="AD731">
        <f>IF('WetLitterbags placem_collection'!AB72="","",'WetLitterbags placem_collection'!AB72)</f>
        <v>15</v>
      </c>
      <c r="AE731">
        <f>IF('WetLitterbags placem_collection'!Z72="","",'WetLitterbags placem_collection'!Z72)</f>
        <v>28</v>
      </c>
      <c r="AF731" s="246" t="str">
        <f>IF('WetLitterbags placem_collection'!AA72="","",'WetLitterbags placem_collection'!AA72)</f>
        <v>O</v>
      </c>
      <c r="AG731">
        <f>IF('WetLitterbags placem_collection'!AC72="","",'WetLitterbags placem_collection'!AC72)</f>
        <v>0</v>
      </c>
      <c r="AH731">
        <f>IFERROR(AVERAGE('Dry_Litterbag Placem_Collection'!O72,'Dry_Litterbag Placem_Collection'!R72),"")</f>
        <v>8.8000000000000007</v>
      </c>
      <c r="AI731" s="271">
        <f>IFERROR(AVERAGE('Dry_Litterbag Placem_Collection'!N72,'Dry_Litterbag Placem_Collection'!Q72),"")</f>
        <v>27.200000000000003</v>
      </c>
      <c r="AJ731" s="270">
        <f>INDEX(Coordinates!$B$2:$B$197,MATCH(G731,Coordinates!$J$2:$J$197,0))</f>
        <v>-3.299381034</v>
      </c>
      <c r="AK731" s="270">
        <f>INDEX(Coordinates!$C$2:$C$197,MATCH(G731,Coordinates!$J$2:$J$197,0))</f>
        <v>34.848312040000003</v>
      </c>
      <c r="AL731" s="270" t="str">
        <f>IF(ISNUMBER(SEARCH("C", 'Dry_Litterbag Placem_Collection'!V72)),"YES","NO")</f>
        <v>NO</v>
      </c>
      <c r="AM731" s="270" t="str">
        <f>IF(ISNUMBER(SEARCH("H", 'Dry_Litterbag Placem_Collection'!V72)),"YES","NO")</f>
        <v>NO</v>
      </c>
      <c r="AN731" s="270" t="str">
        <f>IF(ISNUMBER(SEARCH("R", 'Dry_Litterbag Placem_Collection'!V72)),"YES","NO")</f>
        <v>NO</v>
      </c>
    </row>
    <row r="732" spans="1:40" ht="15" customHeight="1">
      <c r="A732" s="262" t="s">
        <v>2659</v>
      </c>
      <c r="B732" s="263">
        <f>'Dry_Litterbag Placem_Collection'!A73</f>
        <v>71</v>
      </c>
      <c r="C732" s="263" t="str">
        <f>'Dry_Litterbag Placem_Collection'!B73</f>
        <v>Maswa</v>
      </c>
      <c r="D732" s="263" t="s">
        <v>2659</v>
      </c>
      <c r="E732" s="263" t="s">
        <v>2661</v>
      </c>
      <c r="F732" s="263">
        <v>1</v>
      </c>
      <c r="G732" s="264" t="str">
        <f>'Dry_Litterbag Placem_Collection'!C73</f>
        <v>Dry_W1_T7</v>
      </c>
      <c r="H732" s="273" t="s">
        <v>3651</v>
      </c>
      <c r="I732" s="274" t="s">
        <v>298</v>
      </c>
      <c r="J732" s="263" t="str">
        <f>IF(ISBLANK('Dry_Litterbag Placem_Collection'!M73),"","R"&amp;""&amp;'Dry_Litterbag Placem_Collection'!M73)</f>
        <v>R203</v>
      </c>
      <c r="K732" s="267">
        <f>IFERROR(INDEX('Green_rooibos initial weight'!$C$5:$C$1749,MATCH(J732, 'Green_rooibos initial weight'!$A$5:$A$1749,0)),"")</f>
        <v>2.2839999999999998</v>
      </c>
      <c r="L732" s="267">
        <f>IFERROR(K732-(TBIcalc!$Q$9+TBIcalc!$Q$10),"")</f>
        <v>2.0341999999999998</v>
      </c>
      <c r="M732" s="391">
        <f>AVERAGE(Ashed_controlls!$K$12:$K$14)</f>
        <v>2.2816647271287041</v>
      </c>
      <c r="N732" s="267">
        <f t="shared" si="56"/>
        <v>1.9877863761207477</v>
      </c>
      <c r="O732" s="267">
        <f>IF(IFERROR(INDEX('Both teabags AfterDry'!$D$3:$D$900,MATCH(J732,'Both teabags AfterDry'!$A$3:$A$900,0)),"")="","",(IFERROR(INDEX('Both teabags AfterDry'!$D$3:$D$900,MATCH(J732,'Both teabags AfterDry'!$A$3:$A$900,0)),"")))</f>
        <v>2.0466000000000002</v>
      </c>
      <c r="P732" s="267">
        <f>IFERROR(IF(O732&gt;0,O732-(TBIcalc!$Q$9),""),"")</f>
        <v>1.8960000000000001</v>
      </c>
      <c r="Q732" s="278">
        <f>IFERROR(INDEX('Ashed teabags dry'!$K$2:$K$825,MATCH(J732,'Ashed teabags dry'!$A$2:$A$825,0)),"")</f>
        <v>3.3625730994153482</v>
      </c>
      <c r="R732" s="278">
        <f t="shared" si="57"/>
        <v>1.8322456140350851</v>
      </c>
      <c r="S732" s="268">
        <f>'Dry_Litterbag Placem_Collection'!E73</f>
        <v>42937</v>
      </c>
      <c r="T732" s="268">
        <f>IF('Dry_Litterbag Placem_Collection'!G73="","",'Dry_Litterbag Placem_Collection'!G73)</f>
        <v>43006</v>
      </c>
      <c r="U732" s="269">
        <f t="shared" si="55"/>
        <v>69</v>
      </c>
      <c r="V732" s="267">
        <f t="shared" si="58"/>
        <v>0.13819999999999966</v>
      </c>
      <c r="W732" s="267">
        <f t="shared" si="59"/>
        <v>0.15554076208566259</v>
      </c>
      <c r="X732" s="271">
        <f>IFERROR(INDEX(Rainfall_Dry!$O$2:$O$217,MATCH(B732, Rainfall_Dry!$A$2:$A$217,0)),"")</f>
        <v>6.900000125</v>
      </c>
      <c r="Y732" s="260">
        <v>47.96</v>
      </c>
      <c r="Z732" s="260">
        <v>22.919999999999995</v>
      </c>
      <c r="AA732" s="260">
        <v>29.120000000000012</v>
      </c>
      <c r="AB732" s="261" t="s">
        <v>2673</v>
      </c>
      <c r="AC732" s="260">
        <v>8.8831936914736307</v>
      </c>
      <c r="AD732">
        <f>IF('WetLitterbags placem_collection'!AB73="","",'WetLitterbags placem_collection'!AB73)</f>
        <v>15.5</v>
      </c>
      <c r="AE732">
        <f>IF('WetLitterbags placem_collection'!Z73="","",'WetLitterbags placem_collection'!Z73)</f>
        <v>32</v>
      </c>
      <c r="AF732" s="246" t="str">
        <f>IF('WetLitterbags placem_collection'!AA73="","",'WetLitterbags placem_collection'!AA73)</f>
        <v>O</v>
      </c>
      <c r="AG732">
        <f>IF('WetLitterbags placem_collection'!AC73="","",'WetLitterbags placem_collection'!AC73)</f>
        <v>1</v>
      </c>
      <c r="AH732">
        <f>IFERROR(AVERAGE('Dry_Litterbag Placem_Collection'!O73,'Dry_Litterbag Placem_Collection'!R73),"")</f>
        <v>9.9499999999999993</v>
      </c>
      <c r="AI732" s="271">
        <f>IFERROR(AVERAGE('Dry_Litterbag Placem_Collection'!N73,'Dry_Litterbag Placem_Collection'!Q73),"")</f>
        <v>27.6</v>
      </c>
      <c r="AJ732" s="270">
        <f>INDEX(Coordinates!$B$2:$B$197,MATCH(G732,Coordinates!$J$2:$J$197,0))</f>
        <v>-3.2992429849999998</v>
      </c>
      <c r="AK732" s="270">
        <f>INDEX(Coordinates!$C$2:$C$197,MATCH(G732,Coordinates!$J$2:$J$197,0))</f>
        <v>34.847900989999999</v>
      </c>
      <c r="AL732" s="270" t="str">
        <f>IF(ISNUMBER(SEARCH("C", 'Dry_Litterbag Placem_Collection'!V73)),"YES","NO")</f>
        <v>NO</v>
      </c>
      <c r="AM732" s="270" t="str">
        <f>IF(ISNUMBER(SEARCH("H", 'Dry_Litterbag Placem_Collection'!V73)),"YES","NO")</f>
        <v>NO</v>
      </c>
      <c r="AN732" s="270" t="str">
        <f>IF(ISNUMBER(SEARCH("R", 'Dry_Litterbag Placem_Collection'!V73)),"YES","NO")</f>
        <v>NO</v>
      </c>
    </row>
    <row r="733" spans="1:40" ht="15" customHeight="1">
      <c r="A733" s="262" t="s">
        <v>2659</v>
      </c>
      <c r="B733" s="263">
        <f>'Dry_Litterbag Placem_Collection'!A74</f>
        <v>72</v>
      </c>
      <c r="C733" s="263" t="str">
        <f>'Dry_Litterbag Placem_Collection'!B74</f>
        <v>Maswa</v>
      </c>
      <c r="D733" s="263" t="s">
        <v>2659</v>
      </c>
      <c r="E733" s="263" t="s">
        <v>2661</v>
      </c>
      <c r="F733" s="263">
        <v>1</v>
      </c>
      <c r="G733" s="264" t="str">
        <f>'Dry_Litterbag Placem_Collection'!C74</f>
        <v>Dry_W1_T8</v>
      </c>
      <c r="H733" s="273" t="s">
        <v>3651</v>
      </c>
      <c r="I733" s="274" t="s">
        <v>298</v>
      </c>
      <c r="J733" s="263" t="str">
        <f>IF(ISBLANK('Dry_Litterbag Placem_Collection'!M74),"","R"&amp;""&amp;'Dry_Litterbag Placem_Collection'!M74)</f>
        <v>R191</v>
      </c>
      <c r="K733" s="267">
        <f>IFERROR(INDEX('Green_rooibos initial weight'!$C$5:$C$1749,MATCH(J733, 'Green_rooibos initial weight'!$A$5:$A$1749,0)),"")</f>
        <v>2.1789999999999998</v>
      </c>
      <c r="L733" s="267">
        <f>IFERROR(K733-(TBIcalc!$Q$9+TBIcalc!$Q$10),"")</f>
        <v>1.9291999999999998</v>
      </c>
      <c r="M733" s="391">
        <f>AVERAGE(Ashed_controlls!$K$12:$K$14)</f>
        <v>2.2816647271287041</v>
      </c>
      <c r="N733" s="267">
        <f t="shared" si="56"/>
        <v>1.8851821240842328</v>
      </c>
      <c r="O733" s="267">
        <f>IF(IFERROR(INDEX('Both teabags AfterDry'!$D$3:$D$900,MATCH(J733,'Both teabags AfterDry'!$A$3:$A$900,0)),"")="","",(IFERROR(INDEX('Both teabags AfterDry'!$D$3:$D$900,MATCH(J733,'Both teabags AfterDry'!$A$3:$A$900,0)),"")))</f>
        <v>1.9675</v>
      </c>
      <c r="P733" s="267">
        <f>IFERROR(IF(O733&gt;0,O733-(TBIcalc!$Q$9),""),"")</f>
        <v>1.8169</v>
      </c>
      <c r="Q733" s="278">
        <f>IFERROR(INDEX('Ashed teabags dry'!$K$2:$K$825,MATCH(J733,'Ashed teabags dry'!$A$2:$A$825,0)),"")</f>
        <v>1.8121125417263937</v>
      </c>
      <c r="R733" s="278">
        <f t="shared" si="57"/>
        <v>1.783975727229373</v>
      </c>
      <c r="S733" s="268">
        <f>'Dry_Litterbag Placem_Collection'!E74</f>
        <v>42937</v>
      </c>
      <c r="T733" s="268">
        <f>IF('Dry_Litterbag Placem_Collection'!G74="","",'Dry_Litterbag Placem_Collection'!G74)</f>
        <v>43006</v>
      </c>
      <c r="U733" s="269">
        <f t="shared" si="55"/>
        <v>69</v>
      </c>
      <c r="V733" s="267">
        <f t="shared" si="58"/>
        <v>0.11229999999999984</v>
      </c>
      <c r="W733" s="267">
        <f t="shared" si="59"/>
        <v>0.10120639685485977</v>
      </c>
      <c r="X733" s="271">
        <f>IFERROR(INDEX(Rainfall_Dry!$O$2:$O$217,MATCH(B733, Rainfall_Dry!$A$2:$A$217,0)),"")</f>
        <v>6.900000125</v>
      </c>
      <c r="Y733" s="260">
        <v>47.96</v>
      </c>
      <c r="Z733" s="260">
        <v>22.919999999999995</v>
      </c>
      <c r="AA733" s="260">
        <v>29.120000000000012</v>
      </c>
      <c r="AB733" s="261" t="s">
        <v>2673</v>
      </c>
      <c r="AC733" s="260">
        <v>9.8831936914736307</v>
      </c>
      <c r="AD733">
        <f>IF('WetLitterbags placem_collection'!AB74="","",'WetLitterbags placem_collection'!AB74)</f>
        <v>2.6</v>
      </c>
      <c r="AE733">
        <f>IF('WetLitterbags placem_collection'!Z74="","",'WetLitterbags placem_collection'!Z74)</f>
        <v>44</v>
      </c>
      <c r="AF733" s="246" t="str">
        <f>IF('WetLitterbags placem_collection'!AA74="","",'WetLitterbags placem_collection'!AA74)</f>
        <v>O</v>
      </c>
      <c r="AG733">
        <f>IF('WetLitterbags placem_collection'!AC74="","",'WetLitterbags placem_collection'!AC74)</f>
        <v>1</v>
      </c>
      <c r="AH733">
        <f>IFERROR(AVERAGE('Dry_Litterbag Placem_Collection'!O74,'Dry_Litterbag Placem_Collection'!R74),"")</f>
        <v>9.5</v>
      </c>
      <c r="AI733" s="271">
        <f>IFERROR(AVERAGE('Dry_Litterbag Placem_Collection'!N74,'Dry_Litterbag Placem_Collection'!Q74),"")</f>
        <v>26.35</v>
      </c>
      <c r="AJ733" s="270">
        <f>INDEX(Coordinates!$B$2:$B$197,MATCH(G733,Coordinates!$J$2:$J$197,0))</f>
        <v>-3.2996540329999999</v>
      </c>
      <c r="AK733" s="270">
        <f>INDEX(Coordinates!$C$2:$C$197,MATCH(G733,Coordinates!$J$2:$J$197,0))</f>
        <v>34.848151020000003</v>
      </c>
      <c r="AL733" s="270" t="str">
        <f>IF(ISNUMBER(SEARCH("C", 'Dry_Litterbag Placem_Collection'!V74)),"YES","NO")</f>
        <v>NO</v>
      </c>
      <c r="AM733" s="270" t="str">
        <f>IF(ISNUMBER(SEARCH("H", 'Dry_Litterbag Placem_Collection'!V74)),"YES","NO")</f>
        <v>NO</v>
      </c>
      <c r="AN733" s="270" t="str">
        <f>IF(ISNUMBER(SEARCH("R", 'Dry_Litterbag Placem_Collection'!V74)),"YES","NO")</f>
        <v>NO</v>
      </c>
    </row>
    <row r="734" spans="1:40" ht="15" customHeight="1">
      <c r="A734" s="262" t="s">
        <v>2659</v>
      </c>
      <c r="B734" s="263">
        <f>'Dry_Litterbag Placem_Collection'!A75</f>
        <v>73</v>
      </c>
      <c r="C734" s="263" t="str">
        <f>'Dry_Litterbag Placem_Collection'!B75</f>
        <v>Maswa</v>
      </c>
      <c r="D734" s="263" t="s">
        <v>2659</v>
      </c>
      <c r="E734" s="263" t="s">
        <v>2661</v>
      </c>
      <c r="F734" s="263">
        <v>2</v>
      </c>
      <c r="G734" s="264" t="str">
        <f>'Dry_Litterbag Placem_Collection'!C75</f>
        <v>Dry_W2_T1</v>
      </c>
      <c r="H734" s="273" t="s">
        <v>3651</v>
      </c>
      <c r="I734" s="274" t="s">
        <v>298</v>
      </c>
      <c r="J734" s="263" t="str">
        <f>IF(ISBLANK('Dry_Litterbag Placem_Collection'!M75),"","R"&amp;""&amp;'Dry_Litterbag Placem_Collection'!M75)</f>
        <v>R160</v>
      </c>
      <c r="K734" s="267">
        <f>IFERROR(INDEX('Green_rooibos initial weight'!$C$5:$C$1749,MATCH(J734, 'Green_rooibos initial weight'!$A$5:$A$1749,0)),"")</f>
        <v>2.1880000000000002</v>
      </c>
      <c r="L734" s="267">
        <f>IFERROR(K734-(TBIcalc!$Q$9+TBIcalc!$Q$10),"")</f>
        <v>1.9382000000000001</v>
      </c>
      <c r="M734" s="391">
        <f>AVERAGE(Ashed_controlls!$K$12:$K$14)</f>
        <v>2.2816647271287041</v>
      </c>
      <c r="N734" s="267">
        <f t="shared" si="56"/>
        <v>1.8939767742587916</v>
      </c>
      <c r="O734" s="267" t="str">
        <f>IF(IFERROR(INDEX('Both teabags AfterDry'!$D$3:$D$900,MATCH(J734,'Both teabags AfterDry'!$A$3:$A$900,0)),"")="","",(IFERROR(INDEX('Both teabags AfterDry'!$D$3:$D$900,MATCH(J734,'Both teabags AfterDry'!$A$3:$A$900,0)),"")))</f>
        <v/>
      </c>
      <c r="P734" s="267" t="str">
        <f>IFERROR(IF(O734&gt;0,O734-(TBIcalc!$Q$9),""),"")</f>
        <v/>
      </c>
      <c r="Q734" s="278" t="str">
        <f>IFERROR(INDEX('Ashed teabags dry'!$K$2:$K$825,MATCH(J734,'Ashed teabags dry'!$A$2:$A$825,0)),"")</f>
        <v/>
      </c>
      <c r="R734" s="278" t="str">
        <f t="shared" si="57"/>
        <v/>
      </c>
      <c r="S734" s="268">
        <f>'Dry_Litterbag Placem_Collection'!E75</f>
        <v>42937</v>
      </c>
      <c r="T734" s="268">
        <f>IF('Dry_Litterbag Placem_Collection'!G75="","",'Dry_Litterbag Placem_Collection'!G75)</f>
        <v>43006</v>
      </c>
      <c r="U734" s="269">
        <f t="shared" si="55"/>
        <v>69</v>
      </c>
      <c r="V734" s="267" t="str">
        <f t="shared" si="58"/>
        <v/>
      </c>
      <c r="W734" s="267" t="str">
        <f t="shared" si="59"/>
        <v/>
      </c>
      <c r="X734" s="271">
        <f>IFERROR(INDEX(Rainfall_Dry!$O$2:$O$217,MATCH(B734, Rainfall_Dry!$A$2:$A$217,0)),"")</f>
        <v>6.900000125</v>
      </c>
      <c r="Y734" s="260">
        <v>45.272914521112256</v>
      </c>
      <c r="Z734" s="260">
        <v>23.604531410916575</v>
      </c>
      <c r="AA734" s="260">
        <v>31.122554067971166</v>
      </c>
      <c r="AB734" s="261" t="s">
        <v>2673</v>
      </c>
      <c r="AC734" s="260">
        <v>2.0547560374568752</v>
      </c>
      <c r="AD734">
        <f>IF('WetLitterbags placem_collection'!AB75="","",'WetLitterbags placem_collection'!AB75)</f>
        <v>9.1</v>
      </c>
      <c r="AE734">
        <f>IF('WetLitterbags placem_collection'!Z75="","",'WetLitterbags placem_collection'!Z75)</f>
        <v>10</v>
      </c>
      <c r="AF734" s="246" t="str">
        <f>IF('WetLitterbags placem_collection'!AA75="","",'WetLitterbags placem_collection'!AA75)</f>
        <v>M</v>
      </c>
      <c r="AG734">
        <f>IF('WetLitterbags placem_collection'!AC75="","",'WetLitterbags placem_collection'!AC75)</f>
        <v>1</v>
      </c>
      <c r="AH734">
        <f>IFERROR(AVERAGE('Dry_Litterbag Placem_Collection'!O75,'Dry_Litterbag Placem_Collection'!R75),"")</f>
        <v>9.5500000000000007</v>
      </c>
      <c r="AI734" s="271">
        <f>IFERROR(AVERAGE('Dry_Litterbag Placem_Collection'!N75,'Dry_Litterbag Placem_Collection'!Q75),"")</f>
        <v>28.35</v>
      </c>
      <c r="AJ734" s="270">
        <f>INDEX(Coordinates!$B$2:$B$197,MATCH(G734,Coordinates!$J$2:$J$197,0))</f>
        <v>-3.3025860229999999</v>
      </c>
      <c r="AK734" s="270">
        <f>INDEX(Coordinates!$C$2:$C$197,MATCH(G734,Coordinates!$J$2:$J$197,0))</f>
        <v>34.848048009999999</v>
      </c>
      <c r="AL734" s="270" t="str">
        <f>IF(ISNUMBER(SEARCH("C", 'Dry_Litterbag Placem_Collection'!V75)),"YES","NO")</f>
        <v>NO</v>
      </c>
      <c r="AM734" s="270" t="str">
        <f>IF(ISNUMBER(SEARCH("H", 'Dry_Litterbag Placem_Collection'!V75)),"YES","NO")</f>
        <v>NO</v>
      </c>
      <c r="AN734" s="270" t="str">
        <f>IF(ISNUMBER(SEARCH("R", 'Dry_Litterbag Placem_Collection'!V75)),"YES","NO")</f>
        <v>NO</v>
      </c>
    </row>
    <row r="735" spans="1:40" ht="15" customHeight="1">
      <c r="A735" s="262" t="s">
        <v>2659</v>
      </c>
      <c r="B735" s="263">
        <f>'Dry_Litterbag Placem_Collection'!A76</f>
        <v>74</v>
      </c>
      <c r="C735" s="263" t="str">
        <f>'Dry_Litterbag Placem_Collection'!B76</f>
        <v>Maswa</v>
      </c>
      <c r="D735" s="263" t="s">
        <v>2659</v>
      </c>
      <c r="E735" s="263" t="s">
        <v>2661</v>
      </c>
      <c r="F735" s="263">
        <v>2</v>
      </c>
      <c r="G735" s="264" t="str">
        <f>'Dry_Litterbag Placem_Collection'!C76</f>
        <v>Dry_W2_T2</v>
      </c>
      <c r="H735" s="273" t="s">
        <v>3651</v>
      </c>
      <c r="I735" s="274" t="s">
        <v>298</v>
      </c>
      <c r="J735" s="263" t="str">
        <f>IF(ISBLANK('Dry_Litterbag Placem_Collection'!M76),"","R"&amp;""&amp;'Dry_Litterbag Placem_Collection'!M76)</f>
        <v>R275</v>
      </c>
      <c r="K735" s="267">
        <f>IFERROR(INDEX('Green_rooibos initial weight'!$C$5:$C$1749,MATCH(J735, 'Green_rooibos initial weight'!$A$5:$A$1749,0)),"")</f>
        <v>0.22900000000000001</v>
      </c>
      <c r="L735" s="267">
        <f>IFERROR(K735-(TBIcalc!$Q$9+TBIcalc!$Q$10),"")</f>
        <v>-2.0800000000000013E-2</v>
      </c>
      <c r="M735" s="391">
        <f>AVERAGE(Ashed_controlls!$K$12:$K$14)</f>
        <v>2.2816647271287041</v>
      </c>
      <c r="N735" s="267">
        <f t="shared" si="56"/>
        <v>-2.0325413736757243E-2</v>
      </c>
      <c r="O735" s="267">
        <f>IF(IFERROR(INDEX('Both teabags AfterDry'!$D$3:$D$900,MATCH(J735,'Both teabags AfterDry'!$A$3:$A$900,0)),"")="","",(IFERROR(INDEX('Both teabags AfterDry'!$D$3:$D$900,MATCH(J735,'Both teabags AfterDry'!$A$3:$A$900,0)),"")))</f>
        <v>1.9981</v>
      </c>
      <c r="P735" s="267">
        <f>IFERROR(IF(O735&gt;0,O735-(TBIcalc!$Q$9),""),"")</f>
        <v>1.8474999999999999</v>
      </c>
      <c r="Q735" s="278">
        <f>IFERROR(INDEX('Ashed teabags dry'!$K$2:$K$825,MATCH(J735,'Ashed teabags dry'!$A$2:$A$825,0)),"")</f>
        <v>2.3587223587229587</v>
      </c>
      <c r="R735" s="278">
        <f t="shared" si="57"/>
        <v>1.8039226044225933</v>
      </c>
      <c r="S735" s="268">
        <f>'Dry_Litterbag Placem_Collection'!E76</f>
        <v>42937</v>
      </c>
      <c r="T735" s="268">
        <f>IF('Dry_Litterbag Placem_Collection'!G76="","",'Dry_Litterbag Placem_Collection'!G76)</f>
        <v>43006</v>
      </c>
      <c r="U735" s="269">
        <f t="shared" si="55"/>
        <v>69</v>
      </c>
      <c r="V735" s="267">
        <f t="shared" si="58"/>
        <v>-1.8682999999999998</v>
      </c>
      <c r="W735" s="267">
        <f t="shared" si="59"/>
        <v>-1.8242480181593506</v>
      </c>
      <c r="X735" s="271">
        <f>IFERROR(INDEX(Rainfall_Dry!$O$2:$O$217,MATCH(B735, Rainfall_Dry!$A$2:$A$217,0)),"")</f>
        <v>6.900000125</v>
      </c>
      <c r="Y735" s="260">
        <v>45.272914521112256</v>
      </c>
      <c r="Z735" s="260">
        <v>23.604531410916575</v>
      </c>
      <c r="AA735" s="260">
        <v>31.122554067971166</v>
      </c>
      <c r="AB735" s="261" t="s">
        <v>2673</v>
      </c>
      <c r="AC735" s="260">
        <v>3.0547560374568801</v>
      </c>
      <c r="AD735">
        <f>IF('WetLitterbags placem_collection'!AB76="","",'WetLitterbags placem_collection'!AB76)</f>
        <v>7.7</v>
      </c>
      <c r="AE735">
        <f>IF('WetLitterbags placem_collection'!Z76="","",'WetLitterbags placem_collection'!Z76)</f>
        <v>9.4</v>
      </c>
      <c r="AF735" s="246" t="str">
        <f>IF('WetLitterbags placem_collection'!AA76="","",'WetLitterbags placem_collection'!AA76)</f>
        <v>M</v>
      </c>
      <c r="AG735">
        <f>IF('WetLitterbags placem_collection'!AC76="","",'WetLitterbags placem_collection'!AC76)</f>
        <v>1</v>
      </c>
      <c r="AH735">
        <f>IFERROR(AVERAGE('Dry_Litterbag Placem_Collection'!O76,'Dry_Litterbag Placem_Collection'!R76),"")</f>
        <v>10.8</v>
      </c>
      <c r="AI735" s="271">
        <f>IFERROR(AVERAGE('Dry_Litterbag Placem_Collection'!N76,'Dry_Litterbag Placem_Collection'!Q76),"")</f>
        <v>28.1</v>
      </c>
      <c r="AJ735" s="270">
        <f>INDEX(Coordinates!$B$2:$B$197,MATCH(G735,Coordinates!$J$2:$J$197,0))</f>
        <v>-3.3025779759999998</v>
      </c>
      <c r="AK735" s="270">
        <f>INDEX(Coordinates!$C$2:$C$197,MATCH(G735,Coordinates!$J$2:$J$197,0))</f>
        <v>34.848041969999997</v>
      </c>
      <c r="AL735" s="270" t="str">
        <f>IF(ISNUMBER(SEARCH("C", 'Dry_Litterbag Placem_Collection'!V76)),"YES","NO")</f>
        <v>NO</v>
      </c>
      <c r="AM735" s="270" t="str">
        <f>IF(ISNUMBER(SEARCH("H", 'Dry_Litterbag Placem_Collection'!V76)),"YES","NO")</f>
        <v>NO</v>
      </c>
      <c r="AN735" s="270" t="str">
        <f>IF(ISNUMBER(SEARCH("R", 'Dry_Litterbag Placem_Collection'!V76)),"YES","NO")</f>
        <v>NO</v>
      </c>
    </row>
    <row r="736" spans="1:40" ht="15" customHeight="1">
      <c r="A736" s="262" t="s">
        <v>2659</v>
      </c>
      <c r="B736" s="263">
        <f>'Dry_Litterbag Placem_Collection'!A77</f>
        <v>75</v>
      </c>
      <c r="C736" s="263" t="str">
        <f>'Dry_Litterbag Placem_Collection'!B77</f>
        <v>Maswa</v>
      </c>
      <c r="D736" s="263" t="s">
        <v>2659</v>
      </c>
      <c r="E736" s="263" t="s">
        <v>2661</v>
      </c>
      <c r="F736" s="263">
        <v>2</v>
      </c>
      <c r="G736" s="264" t="str">
        <f>'Dry_Litterbag Placem_Collection'!C77</f>
        <v>Dry_W2_T3</v>
      </c>
      <c r="H736" s="273" t="s">
        <v>3651</v>
      </c>
      <c r="I736" s="274" t="s">
        <v>298</v>
      </c>
      <c r="J736" s="263" t="str">
        <f>IF(ISBLANK('Dry_Litterbag Placem_Collection'!M77),"","R"&amp;""&amp;'Dry_Litterbag Placem_Collection'!M77)</f>
        <v>R657</v>
      </c>
      <c r="K736" s="267">
        <f>IFERROR(INDEX('Green_rooibos initial weight'!$C$5:$C$1749,MATCH(J736, 'Green_rooibos initial weight'!$A$5:$A$1749,0)),"")</f>
        <v>2.2509999999999999</v>
      </c>
      <c r="L736" s="267">
        <f>IFERROR(K736-(TBIcalc!$Q$9+TBIcalc!$Q$10),"")</f>
        <v>2.0011999999999999</v>
      </c>
      <c r="M736" s="391">
        <f>AVERAGE(Ashed_controlls!$K$12:$K$14)</f>
        <v>2.2816647271287041</v>
      </c>
      <c r="N736" s="267">
        <f t="shared" si="56"/>
        <v>1.9555393254807003</v>
      </c>
      <c r="O736" s="267">
        <f>IF(IFERROR(INDEX('Both teabags AfterDry'!$D$3:$D$900,MATCH(J736,'Both teabags AfterDry'!$A$3:$A$900,0)),"")="","",(IFERROR(INDEX('Both teabags AfterDry'!$D$3:$D$900,MATCH(J736,'Both teabags AfterDry'!$A$3:$A$900,0)),"")))</f>
        <v>2.0581999999999998</v>
      </c>
      <c r="P736" s="267">
        <f>IFERROR(IF(O736&gt;0,O736-(TBIcalc!$Q$9),""),"")</f>
        <v>1.9075999999999997</v>
      </c>
      <c r="Q736" s="278">
        <f>IFERROR(INDEX('Ashed teabags dry'!$K$2:$K$825,MATCH(J736,'Ashed teabags dry'!$A$2:$A$825,0)),"")</f>
        <v>2.5461807289067337</v>
      </c>
      <c r="R736" s="278">
        <f t="shared" si="57"/>
        <v>1.8590290564153749</v>
      </c>
      <c r="S736" s="268">
        <f>'Dry_Litterbag Placem_Collection'!E77</f>
        <v>42937</v>
      </c>
      <c r="T736" s="268">
        <f>IF('Dry_Litterbag Placem_Collection'!G77="","",'Dry_Litterbag Placem_Collection'!G77)</f>
        <v>43006</v>
      </c>
      <c r="U736" s="269">
        <f t="shared" si="55"/>
        <v>69</v>
      </c>
      <c r="V736" s="267">
        <f t="shared" si="58"/>
        <v>9.3600000000000128E-2</v>
      </c>
      <c r="W736" s="267">
        <f t="shared" si="59"/>
        <v>9.6510269065325449E-2</v>
      </c>
      <c r="X736" s="271">
        <f>IFERROR(INDEX(Rainfall_Dry!$O$2:$O$217,MATCH(B736, Rainfall_Dry!$A$2:$A$217,0)),"")</f>
        <v>6.900000125</v>
      </c>
      <c r="Y736" s="260">
        <v>45.272914521112256</v>
      </c>
      <c r="Z736" s="260">
        <v>23.604531410916575</v>
      </c>
      <c r="AA736" s="260">
        <v>31.122554067971166</v>
      </c>
      <c r="AB736" s="261" t="s">
        <v>2673</v>
      </c>
      <c r="AC736" s="260">
        <v>4.0547560374568796</v>
      </c>
      <c r="AD736">
        <f>IF('WetLitterbags placem_collection'!AB77="","",'WetLitterbags placem_collection'!AB77)</f>
        <v>6.1</v>
      </c>
      <c r="AE736">
        <f>IF('WetLitterbags placem_collection'!Z77="","",'WetLitterbags placem_collection'!Z77)</f>
        <v>13.8</v>
      </c>
      <c r="AF736" s="246" t="str">
        <f>IF('WetLitterbags placem_collection'!AA77="","",'WetLitterbags placem_collection'!AA77)</f>
        <v>O</v>
      </c>
      <c r="AG736">
        <f>IF('WetLitterbags placem_collection'!AC77="","",'WetLitterbags placem_collection'!AC77)</f>
        <v>0</v>
      </c>
      <c r="AH736">
        <f>IFERROR(AVERAGE('Dry_Litterbag Placem_Collection'!O77,'Dry_Litterbag Placem_Collection'!R77),"")</f>
        <v>12.3</v>
      </c>
      <c r="AI736" s="271">
        <f>IFERROR(AVERAGE('Dry_Litterbag Placem_Collection'!N77,'Dry_Litterbag Placem_Collection'!Q77),"")</f>
        <v>27.200000000000003</v>
      </c>
      <c r="AJ736" s="270">
        <f>INDEX(Coordinates!$B$2:$B$197,MATCH(G736,Coordinates!$J$2:$J$197,0))</f>
        <v>-3.302687025</v>
      </c>
      <c r="AK736" s="270">
        <f>INDEX(Coordinates!$C$2:$C$197,MATCH(G736,Coordinates!$J$2:$J$197,0))</f>
        <v>34.847926970000003</v>
      </c>
      <c r="AL736" s="270" t="str">
        <f>IF(ISNUMBER(SEARCH("C", 'Dry_Litterbag Placem_Collection'!V77)),"YES","NO")</f>
        <v>NO</v>
      </c>
      <c r="AM736" s="270" t="str">
        <f>IF(ISNUMBER(SEARCH("H", 'Dry_Litterbag Placem_Collection'!V77)),"YES","NO")</f>
        <v>NO</v>
      </c>
      <c r="AN736" s="270" t="str">
        <f>IF(ISNUMBER(SEARCH("R", 'Dry_Litterbag Placem_Collection'!V77)),"YES","NO")</f>
        <v>NO</v>
      </c>
    </row>
    <row r="737" spans="1:40" ht="15" customHeight="1">
      <c r="A737" s="262" t="s">
        <v>2659</v>
      </c>
      <c r="B737" s="263">
        <f>'Dry_Litterbag Placem_Collection'!A78</f>
        <v>76</v>
      </c>
      <c r="C737" s="263" t="str">
        <f>'Dry_Litterbag Placem_Collection'!B78</f>
        <v>Maswa</v>
      </c>
      <c r="D737" s="263" t="s">
        <v>2659</v>
      </c>
      <c r="E737" s="263" t="s">
        <v>2661</v>
      </c>
      <c r="F737" s="263">
        <v>2</v>
      </c>
      <c r="G737" s="264" t="str">
        <f>'Dry_Litterbag Placem_Collection'!C78</f>
        <v>Dry_W2_T4</v>
      </c>
      <c r="H737" s="273" t="s">
        <v>3651</v>
      </c>
      <c r="I737" s="274" t="s">
        <v>298</v>
      </c>
      <c r="J737" s="263" t="str">
        <f>IF(ISBLANK('Dry_Litterbag Placem_Collection'!M78),"","R"&amp;""&amp;'Dry_Litterbag Placem_Collection'!M78)</f>
        <v>R306</v>
      </c>
      <c r="K737" s="267">
        <f>IFERROR(INDEX('Green_rooibos initial weight'!$C$5:$C$1749,MATCH(J737, 'Green_rooibos initial weight'!$A$5:$A$1749,0)),"")</f>
        <v>2.2440000000000002</v>
      </c>
      <c r="L737" s="267">
        <f>IFERROR(K737-(TBIcalc!$Q$9+TBIcalc!$Q$10),"")</f>
        <v>1.9942000000000002</v>
      </c>
      <c r="M737" s="391">
        <f>AVERAGE(Ashed_controlls!$K$12:$K$14)</f>
        <v>2.2816647271287041</v>
      </c>
      <c r="N737" s="267">
        <f t="shared" si="56"/>
        <v>1.9486990420115995</v>
      </c>
      <c r="O737" s="267">
        <f>IF(IFERROR(INDEX('Both teabags AfterDry'!$D$3:$D$900,MATCH(J737,'Both teabags AfterDry'!$A$3:$A$900,0)),"")="","",(IFERROR(INDEX('Both teabags AfterDry'!$D$3:$D$900,MATCH(J737,'Both teabags AfterDry'!$A$3:$A$900,0)),"")))</f>
        <v>2.0337999999999998</v>
      </c>
      <c r="P737" s="267">
        <f>IFERROR(IF(O737&gt;0,O737-(TBIcalc!$Q$9),""),"")</f>
        <v>1.8831999999999998</v>
      </c>
      <c r="Q737" s="278">
        <f>IFERROR(INDEX('Ashed teabags dry'!$K$2:$K$825,MATCH(J737,'Ashed teabags dry'!$A$2:$A$825,0)),"")</f>
        <v>3.2818532818523578</v>
      </c>
      <c r="R737" s="278">
        <f t="shared" si="57"/>
        <v>1.8213961389961562</v>
      </c>
      <c r="S737" s="268">
        <f>'Dry_Litterbag Placem_Collection'!E78</f>
        <v>42937</v>
      </c>
      <c r="T737" s="268">
        <f>IF('Dry_Litterbag Placem_Collection'!G78="","",'Dry_Litterbag Placem_Collection'!G78)</f>
        <v>43006</v>
      </c>
      <c r="U737" s="269">
        <f t="shared" si="55"/>
        <v>69</v>
      </c>
      <c r="V737" s="267">
        <f t="shared" si="58"/>
        <v>0.11100000000000043</v>
      </c>
      <c r="W737" s="267">
        <f t="shared" si="59"/>
        <v>0.12730290301544334</v>
      </c>
      <c r="X737" s="271">
        <f>IFERROR(INDEX(Rainfall_Dry!$O$2:$O$217,MATCH(B737, Rainfall_Dry!$A$2:$A$217,0)),"")</f>
        <v>6.900000125</v>
      </c>
      <c r="Y737" s="260">
        <v>45.272914521112256</v>
      </c>
      <c r="Z737" s="260">
        <v>23.604531410916575</v>
      </c>
      <c r="AA737" s="260">
        <v>31.122554067971166</v>
      </c>
      <c r="AB737" s="261" t="s">
        <v>2673</v>
      </c>
      <c r="AC737" s="260">
        <v>5.0547560374568796</v>
      </c>
      <c r="AD737">
        <f>IF('WetLitterbags placem_collection'!AB78="","",'WetLitterbags placem_collection'!AB78)</f>
        <v>6.7</v>
      </c>
      <c r="AE737">
        <f>IF('WetLitterbags placem_collection'!Z78="","",'WetLitterbags placem_collection'!Z78)</f>
        <v>19.3</v>
      </c>
      <c r="AF737" s="246" t="str">
        <f>IF('WetLitterbags placem_collection'!AA78="","",'WetLitterbags placem_collection'!AA78)</f>
        <v>M</v>
      </c>
      <c r="AG737">
        <f>IF('WetLitterbags placem_collection'!AC78="","",'WetLitterbags placem_collection'!AC78)</f>
        <v>1</v>
      </c>
      <c r="AH737">
        <f>IFERROR(AVERAGE('Dry_Litterbag Placem_Collection'!O78,'Dry_Litterbag Placem_Collection'!R78),"")</f>
        <v>11.1</v>
      </c>
      <c r="AI737" s="271">
        <f>IFERROR(AVERAGE('Dry_Litterbag Placem_Collection'!N78,'Dry_Litterbag Placem_Collection'!Q78),"")</f>
        <v>27.75</v>
      </c>
      <c r="AJ737" s="270">
        <f>INDEX(Coordinates!$B$2:$B$197,MATCH(G737,Coordinates!$J$2:$J$197,0))</f>
        <v>-3.3024560190000001</v>
      </c>
      <c r="AK737" s="270">
        <f>INDEX(Coordinates!$C$2:$C$197,MATCH(G737,Coordinates!$J$2:$J$197,0))</f>
        <v>34.847871990000002</v>
      </c>
      <c r="AL737" s="270" t="str">
        <f>IF(ISNUMBER(SEARCH("C", 'Dry_Litterbag Placem_Collection'!V78)),"YES","NO")</f>
        <v>NO</v>
      </c>
      <c r="AM737" s="270" t="str">
        <f>IF(ISNUMBER(SEARCH("H", 'Dry_Litterbag Placem_Collection'!V78)),"YES","NO")</f>
        <v>NO</v>
      </c>
      <c r="AN737" s="270" t="str">
        <f>IF(ISNUMBER(SEARCH("R", 'Dry_Litterbag Placem_Collection'!V78)),"YES","NO")</f>
        <v>NO</v>
      </c>
    </row>
    <row r="738" spans="1:40" ht="15" customHeight="1">
      <c r="A738" s="262" t="s">
        <v>2659</v>
      </c>
      <c r="B738" s="263">
        <f>'Dry_Litterbag Placem_Collection'!A79</f>
        <v>77</v>
      </c>
      <c r="C738" s="263" t="str">
        <f>'Dry_Litterbag Placem_Collection'!B79</f>
        <v>Maswa</v>
      </c>
      <c r="D738" s="263" t="s">
        <v>2659</v>
      </c>
      <c r="E738" s="263" t="s">
        <v>2661</v>
      </c>
      <c r="F738" s="263">
        <v>2</v>
      </c>
      <c r="G738" s="264" t="str">
        <f>'Dry_Litterbag Placem_Collection'!C79</f>
        <v>Dry_W2_T5</v>
      </c>
      <c r="H738" s="273" t="s">
        <v>3651</v>
      </c>
      <c r="I738" s="274" t="s">
        <v>298</v>
      </c>
      <c r="J738" s="263" t="str">
        <f>IF(ISBLANK('Dry_Litterbag Placem_Collection'!M79),"","R"&amp;""&amp;'Dry_Litterbag Placem_Collection'!M79)</f>
        <v/>
      </c>
      <c r="K738" s="267" t="str">
        <f>IFERROR(INDEX('Green_rooibos initial weight'!$C$5:$C$1749,MATCH(J738, 'Green_rooibos initial weight'!$A$5:$A$1749,0)),"")</f>
        <v/>
      </c>
      <c r="L738" s="267" t="str">
        <f>IFERROR(K738-(TBIcalc!$Q$9+TBIcalc!$Q$10),"")</f>
        <v/>
      </c>
      <c r="M738" s="391">
        <f>AVERAGE(Ashed_controlls!$K$12:$K$14)</f>
        <v>2.2816647271287041</v>
      </c>
      <c r="N738" s="267" t="str">
        <f t="shared" si="56"/>
        <v/>
      </c>
      <c r="O738" s="267" t="str">
        <f>IF(IFERROR(INDEX('Both teabags AfterDry'!$D$3:$D$900,MATCH(J738,'Both teabags AfterDry'!$A$3:$A$900,0)),"")="","",(IFERROR(INDEX('Both teabags AfterDry'!$D$3:$D$900,MATCH(J738,'Both teabags AfterDry'!$A$3:$A$900,0)),"")))</f>
        <v/>
      </c>
      <c r="P738" s="267" t="str">
        <f>IFERROR(IF(O738&gt;0,O738-(TBIcalc!$Q$9),""),"")</f>
        <v/>
      </c>
      <c r="Q738" s="278" t="str">
        <f>IFERROR(INDEX('Ashed teabags dry'!$K$2:$K$825,MATCH(J738,'Ashed teabags dry'!$A$2:$A$825,0)),"")</f>
        <v/>
      </c>
      <c r="R738" s="278" t="str">
        <f t="shared" si="57"/>
        <v/>
      </c>
      <c r="S738" s="268">
        <f>'Dry_Litterbag Placem_Collection'!E79</f>
        <v>0</v>
      </c>
      <c r="T738" s="268" t="str">
        <f>IF('Dry_Litterbag Placem_Collection'!G79="","",'Dry_Litterbag Placem_Collection'!G79)</f>
        <v/>
      </c>
      <c r="U738" s="269" t="str">
        <f t="shared" si="55"/>
        <v/>
      </c>
      <c r="V738" s="267" t="str">
        <f t="shared" si="58"/>
        <v/>
      </c>
      <c r="W738" s="267" t="str">
        <f t="shared" si="59"/>
        <v/>
      </c>
      <c r="X738" s="271" t="str">
        <f>IFERROR(INDEX(Rainfall_Dry!$O$2:$O$217,MATCH(B738, Rainfall_Dry!$A$2:$A$217,0)),"")</f>
        <v/>
      </c>
      <c r="Y738" s="260">
        <v>45.272914521112256</v>
      </c>
      <c r="Z738" s="260">
        <v>23.604531410916575</v>
      </c>
      <c r="AA738" s="260">
        <v>31.122554067971166</v>
      </c>
      <c r="AB738" s="261" t="s">
        <v>2673</v>
      </c>
      <c r="AC738" s="260">
        <v>6.0547560374568796</v>
      </c>
      <c r="AD738">
        <f>IF('WetLitterbags placem_collection'!AB79="","",'WetLitterbags placem_collection'!AB79)</f>
        <v>3.1</v>
      </c>
      <c r="AE738">
        <f>IF('WetLitterbags placem_collection'!Z79="","",'WetLitterbags placem_collection'!Z79)</f>
        <v>9.8000000000000007</v>
      </c>
      <c r="AF738" s="246" t="str">
        <f>IF('WetLitterbags placem_collection'!AA79="","",'WetLitterbags placem_collection'!AA79)</f>
        <v>O</v>
      </c>
      <c r="AG738">
        <f>IF('WetLitterbags placem_collection'!AC79="","",'WetLitterbags placem_collection'!AC79)</f>
        <v>1</v>
      </c>
      <c r="AH738" t="str">
        <f>IFERROR(AVERAGE('Dry_Litterbag Placem_Collection'!O79,'Dry_Litterbag Placem_Collection'!R79),"")</f>
        <v/>
      </c>
      <c r="AI738" s="271" t="str">
        <f>IFERROR(AVERAGE('Dry_Litterbag Placem_Collection'!N79,'Dry_Litterbag Placem_Collection'!Q79),"")</f>
        <v/>
      </c>
      <c r="AJ738" s="270">
        <f>INDEX(Coordinates!$B$2:$B$197,MATCH(G738,Coordinates!$J$2:$J$197,0))</f>
        <v>-3.3023280279999998</v>
      </c>
      <c r="AK738" s="270">
        <f>INDEX(Coordinates!$C$2:$C$197,MATCH(G738,Coordinates!$J$2:$J$197,0))</f>
        <v>34.848223019999999</v>
      </c>
      <c r="AL738" s="270" t="str">
        <f>IF(ISNUMBER(SEARCH("C", 'Dry_Litterbag Placem_Collection'!V79)),"YES","NO")</f>
        <v>NO</v>
      </c>
      <c r="AM738" s="270" t="str">
        <f>IF(ISNUMBER(SEARCH("H", 'Dry_Litterbag Placem_Collection'!V79)),"YES","NO")</f>
        <v>NO</v>
      </c>
      <c r="AN738" s="270" t="str">
        <f>IF(ISNUMBER(SEARCH("R", 'Dry_Litterbag Placem_Collection'!V79)),"YES","NO")</f>
        <v>NO</v>
      </c>
    </row>
    <row r="739" spans="1:40" ht="15" customHeight="1">
      <c r="A739" s="262" t="s">
        <v>2659</v>
      </c>
      <c r="B739" s="263">
        <f>'Dry_Litterbag Placem_Collection'!A80</f>
        <v>78</v>
      </c>
      <c r="C739" s="263" t="str">
        <f>'Dry_Litterbag Placem_Collection'!B80</f>
        <v>Maswa</v>
      </c>
      <c r="D739" s="263" t="s">
        <v>2659</v>
      </c>
      <c r="E739" s="263" t="s">
        <v>2661</v>
      </c>
      <c r="F739" s="263">
        <v>2</v>
      </c>
      <c r="G739" s="264" t="str">
        <f>'Dry_Litterbag Placem_Collection'!C80</f>
        <v>Dry_W2_T6</v>
      </c>
      <c r="H739" s="273" t="s">
        <v>3651</v>
      </c>
      <c r="I739" s="274" t="s">
        <v>298</v>
      </c>
      <c r="J739" s="263" t="str">
        <f>IF(ISBLANK('Dry_Litterbag Placem_Collection'!M80),"","R"&amp;""&amp;'Dry_Litterbag Placem_Collection'!M80)</f>
        <v>R377</v>
      </c>
      <c r="K739" s="267">
        <f>IFERROR(INDEX('Green_rooibos initial weight'!$C$5:$C$1749,MATCH(J739, 'Green_rooibos initial weight'!$A$5:$A$1749,0)),"")</f>
        <v>2.2309999999999999</v>
      </c>
      <c r="L739" s="267">
        <f>IFERROR(K739-(TBIcalc!$Q$9+TBIcalc!$Q$10),"")</f>
        <v>1.9811999999999999</v>
      </c>
      <c r="M739" s="391">
        <f>AVERAGE(Ashed_controlls!$K$12:$K$14)</f>
        <v>2.2816647271287041</v>
      </c>
      <c r="N739" s="267">
        <f t="shared" si="56"/>
        <v>1.935995658426126</v>
      </c>
      <c r="O739" s="267">
        <f>IF(IFERROR(INDEX('Both teabags AfterDry'!$D$3:$D$900,MATCH(J739,'Both teabags AfterDry'!$A$3:$A$900,0)),"")="","",(IFERROR(INDEX('Both teabags AfterDry'!$D$3:$D$900,MATCH(J739,'Both teabags AfterDry'!$A$3:$A$900,0)),"")))</f>
        <v>1.9925999999999999</v>
      </c>
      <c r="P739" s="267">
        <f>IFERROR(IF(O739&gt;0,O739-(TBIcalc!$Q$9),""),"")</f>
        <v>1.8419999999999999</v>
      </c>
      <c r="Q739" s="278">
        <f>IFERROR(INDEX('Ashed teabags dry'!$K$2:$K$825,MATCH(J739,'Ashed teabags dry'!$A$2:$A$825,0)),"")</f>
        <v>2.2244191794369352</v>
      </c>
      <c r="R739" s="278">
        <f t="shared" si="57"/>
        <v>1.8010261987147715</v>
      </c>
      <c r="S739" s="268">
        <f>'Dry_Litterbag Placem_Collection'!E80</f>
        <v>42937</v>
      </c>
      <c r="T739" s="268">
        <f>IF('Dry_Litterbag Placem_Collection'!G80="","",'Dry_Litterbag Placem_Collection'!G80)</f>
        <v>43006</v>
      </c>
      <c r="U739" s="269">
        <f t="shared" si="55"/>
        <v>69</v>
      </c>
      <c r="V739" s="267">
        <f t="shared" si="58"/>
        <v>0.13919999999999999</v>
      </c>
      <c r="W739" s="267">
        <f t="shared" si="59"/>
        <v>0.13496945971135443</v>
      </c>
      <c r="X739" s="271">
        <f>IFERROR(INDEX(Rainfall_Dry!$O$2:$O$217,MATCH(B739, Rainfall_Dry!$A$2:$A$217,0)),"")</f>
        <v>6.900000125</v>
      </c>
      <c r="Y739" s="260">
        <v>45.272914521112256</v>
      </c>
      <c r="Z739" s="260">
        <v>23.604531410916575</v>
      </c>
      <c r="AA739" s="260">
        <v>31.122554067971166</v>
      </c>
      <c r="AB739" s="261" t="s">
        <v>2673</v>
      </c>
      <c r="AC739" s="260">
        <v>7.0547560374568796</v>
      </c>
      <c r="AD739">
        <f>IF('WetLitterbags placem_collection'!AB80="","",'WetLitterbags placem_collection'!AB80)</f>
        <v>10.4</v>
      </c>
      <c r="AE739">
        <f>IF('WetLitterbags placem_collection'!Z80="","",'WetLitterbags placem_collection'!Z80)</f>
        <v>15.4</v>
      </c>
      <c r="AF739" s="246" t="str">
        <f>IF('WetLitterbags placem_collection'!AA80="","",'WetLitterbags placem_collection'!AA80)</f>
        <v>M</v>
      </c>
      <c r="AG739">
        <f>IF('WetLitterbags placem_collection'!AC80="","",'WetLitterbags placem_collection'!AC80)</f>
        <v>1</v>
      </c>
      <c r="AH739">
        <f>IFERROR(AVERAGE('Dry_Litterbag Placem_Collection'!O80,'Dry_Litterbag Placem_Collection'!R80),"")</f>
        <v>11.149999999999999</v>
      </c>
      <c r="AI739" s="271">
        <f>IFERROR(AVERAGE('Dry_Litterbag Placem_Collection'!N80,'Dry_Litterbag Placem_Collection'!Q80),"")</f>
        <v>28.35</v>
      </c>
      <c r="AJ739" s="270">
        <f>INDEX(Coordinates!$B$2:$B$197,MATCH(G739,Coordinates!$J$2:$J$197,0))</f>
        <v>-3.3025680020000001</v>
      </c>
      <c r="AK739" s="270">
        <f>INDEX(Coordinates!$C$2:$C$197,MATCH(G739,Coordinates!$J$2:$J$197,0))</f>
        <v>34.848167029999999</v>
      </c>
      <c r="AL739" s="270" t="str">
        <f>IF(ISNUMBER(SEARCH("C", 'Dry_Litterbag Placem_Collection'!V80)),"YES","NO")</f>
        <v>NO</v>
      </c>
      <c r="AM739" s="270" t="str">
        <f>IF(ISNUMBER(SEARCH("H", 'Dry_Litterbag Placem_Collection'!V80)),"YES","NO")</f>
        <v>NO</v>
      </c>
      <c r="AN739" s="270" t="str">
        <f>IF(ISNUMBER(SEARCH("R", 'Dry_Litterbag Placem_Collection'!V80)),"YES","NO")</f>
        <v>NO</v>
      </c>
    </row>
    <row r="740" spans="1:40" ht="15" customHeight="1">
      <c r="A740" s="262" t="s">
        <v>2659</v>
      </c>
      <c r="B740" s="263">
        <f>'Dry_Litterbag Placem_Collection'!A81</f>
        <v>79</v>
      </c>
      <c r="C740" s="263" t="str">
        <f>'Dry_Litterbag Placem_Collection'!B81</f>
        <v>Maswa</v>
      </c>
      <c r="D740" s="263" t="s">
        <v>2659</v>
      </c>
      <c r="E740" s="263" t="s">
        <v>2661</v>
      </c>
      <c r="F740" s="263">
        <v>2</v>
      </c>
      <c r="G740" s="264" t="str">
        <f>'Dry_Litterbag Placem_Collection'!C81</f>
        <v>Dry_W2_T7</v>
      </c>
      <c r="H740" s="273" t="s">
        <v>3651</v>
      </c>
      <c r="I740" s="274" t="s">
        <v>298</v>
      </c>
      <c r="J740" s="263" t="str">
        <f>IF(ISBLANK('Dry_Litterbag Placem_Collection'!M81),"","R"&amp;""&amp;'Dry_Litterbag Placem_Collection'!M81)</f>
        <v>R61</v>
      </c>
      <c r="K740" s="267">
        <f>IFERROR(INDEX('Green_rooibos initial weight'!$C$5:$C$1749,MATCH(J740, 'Green_rooibos initial weight'!$A$5:$A$1749,0)),"")</f>
        <v>2.2450000000000001</v>
      </c>
      <c r="L740" s="267">
        <f>IFERROR(K740-(TBIcalc!$Q$9+TBIcalc!$Q$10),"")</f>
        <v>1.9952000000000001</v>
      </c>
      <c r="M740" s="391">
        <f>AVERAGE(Ashed_controlls!$K$12:$K$14)</f>
        <v>2.2816647271287041</v>
      </c>
      <c r="N740" s="267">
        <f t="shared" si="56"/>
        <v>1.9496762253643283</v>
      </c>
      <c r="O740" s="267">
        <f>IF(IFERROR(INDEX('Both teabags AfterDry'!$D$3:$D$900,MATCH(J740,'Both teabags AfterDry'!$A$3:$A$900,0)),"")="","",(IFERROR(INDEX('Both teabags AfterDry'!$D$3:$D$900,MATCH(J740,'Both teabags AfterDry'!$A$3:$A$900,0)),"")))</f>
        <v>1.9782999999999999</v>
      </c>
      <c r="P740" s="267">
        <f>IFERROR(IF(O740&gt;0,O740-(TBIcalc!$Q$9),""),"")</f>
        <v>1.8276999999999999</v>
      </c>
      <c r="Q740" s="278">
        <f>IFERROR(INDEX('Ashed teabags dry'!$K$2:$K$825,MATCH(J740,'Ashed teabags dry'!$A$2:$A$825,0)),"")</f>
        <v>2.8766455387618852</v>
      </c>
      <c r="R740" s="278">
        <f t="shared" si="57"/>
        <v>1.7751235494880488</v>
      </c>
      <c r="S740" s="268">
        <f>'Dry_Litterbag Placem_Collection'!E81</f>
        <v>42937</v>
      </c>
      <c r="T740" s="268">
        <f>IF('Dry_Litterbag Placem_Collection'!G81="","",'Dry_Litterbag Placem_Collection'!G81)</f>
        <v>43006</v>
      </c>
      <c r="U740" s="269">
        <f t="shared" si="55"/>
        <v>69</v>
      </c>
      <c r="V740" s="267">
        <f t="shared" si="58"/>
        <v>0.1675000000000002</v>
      </c>
      <c r="W740" s="267">
        <f t="shared" si="59"/>
        <v>0.17455267587627943</v>
      </c>
      <c r="X740" s="271">
        <f>IFERROR(INDEX(Rainfall_Dry!$O$2:$O$217,MATCH(B740, Rainfall_Dry!$A$2:$A$217,0)),"")</f>
        <v>6.900000125</v>
      </c>
      <c r="Y740" s="260">
        <v>45.272914521112256</v>
      </c>
      <c r="Z740" s="260">
        <v>23.604531410916575</v>
      </c>
      <c r="AA740" s="260">
        <v>31.122554067971166</v>
      </c>
      <c r="AB740" s="261" t="s">
        <v>2673</v>
      </c>
      <c r="AC740" s="260">
        <v>8.0547560374568796</v>
      </c>
      <c r="AD740">
        <f>IF('WetLitterbags placem_collection'!AB81="","",'WetLitterbags placem_collection'!AB81)</f>
        <v>3</v>
      </c>
      <c r="AE740">
        <f>IF('WetLitterbags placem_collection'!Z81="","",'WetLitterbags placem_collection'!Z81)</f>
        <v>5</v>
      </c>
      <c r="AF740" s="246" t="str">
        <f>IF('WetLitterbags placem_collection'!AA81="","",'WetLitterbags placem_collection'!AA81)</f>
        <v>G</v>
      </c>
      <c r="AG740">
        <f>IF('WetLitterbags placem_collection'!AC81="","",'WetLitterbags placem_collection'!AC81)</f>
        <v>1</v>
      </c>
      <c r="AH740">
        <f>IFERROR(AVERAGE('Dry_Litterbag Placem_Collection'!O81,'Dry_Litterbag Placem_Collection'!R81),"")</f>
        <v>9.1999999999999993</v>
      </c>
      <c r="AI740" s="271">
        <f>IFERROR(AVERAGE('Dry_Litterbag Placem_Collection'!N81,'Dry_Litterbag Placem_Collection'!Q81),"")</f>
        <v>26.25</v>
      </c>
      <c r="AJ740" s="270">
        <f>INDEX(Coordinates!$B$2:$B$197,MATCH(G740,Coordinates!$J$2:$J$197,0))</f>
        <v>-3.3026270100000001</v>
      </c>
      <c r="AK740" s="270">
        <f>INDEX(Coordinates!$C$2:$C$197,MATCH(G740,Coordinates!$J$2:$J$197,0))</f>
        <v>34.84840801</v>
      </c>
      <c r="AL740" s="270" t="str">
        <f>IF(ISNUMBER(SEARCH("C", 'Dry_Litterbag Placem_Collection'!V81)),"YES","NO")</f>
        <v>NO</v>
      </c>
      <c r="AM740" s="270" t="str">
        <f>IF(ISNUMBER(SEARCH("H", 'Dry_Litterbag Placem_Collection'!V81)),"YES","NO")</f>
        <v>NO</v>
      </c>
      <c r="AN740" s="270" t="str">
        <f>IF(ISNUMBER(SEARCH("R", 'Dry_Litterbag Placem_Collection'!V81)),"YES","NO")</f>
        <v>NO</v>
      </c>
    </row>
    <row r="741" spans="1:40" ht="15" customHeight="1">
      <c r="A741" s="262" t="s">
        <v>2659</v>
      </c>
      <c r="B741" s="263">
        <f>'Dry_Litterbag Placem_Collection'!A82</f>
        <v>80</v>
      </c>
      <c r="C741" s="263" t="str">
        <f>'Dry_Litterbag Placem_Collection'!B82</f>
        <v>Maswa</v>
      </c>
      <c r="D741" s="263" t="s">
        <v>2659</v>
      </c>
      <c r="E741" s="263" t="s">
        <v>2661</v>
      </c>
      <c r="F741" s="263">
        <v>2</v>
      </c>
      <c r="G741" s="264" t="str">
        <f>'Dry_Litterbag Placem_Collection'!C82</f>
        <v>Dry_W2_T8</v>
      </c>
      <c r="H741" s="273" t="s">
        <v>3651</v>
      </c>
      <c r="I741" s="274" t="s">
        <v>298</v>
      </c>
      <c r="J741" s="263" t="str">
        <f>IF(ISBLANK('Dry_Litterbag Placem_Collection'!M82),"","R"&amp;""&amp;'Dry_Litterbag Placem_Collection'!M82)</f>
        <v>R620</v>
      </c>
      <c r="K741" s="267">
        <f>IFERROR(INDEX('Green_rooibos initial weight'!$C$5:$C$1749,MATCH(J741, 'Green_rooibos initial weight'!$A$5:$A$1749,0)),"")</f>
        <v>2.1800000000000002</v>
      </c>
      <c r="L741" s="267">
        <f>IFERROR(K741-(TBIcalc!$Q$9+TBIcalc!$Q$10),"")</f>
        <v>1.9302000000000001</v>
      </c>
      <c r="M741" s="391">
        <f>AVERAGE(Ashed_controlls!$K$12:$K$14)</f>
        <v>2.2816647271287041</v>
      </c>
      <c r="N741" s="267">
        <f t="shared" si="56"/>
        <v>1.8861593074369618</v>
      </c>
      <c r="O741" s="267">
        <f>IF(IFERROR(INDEX('Both teabags AfterDry'!$D$3:$D$900,MATCH(J741,'Both teabags AfterDry'!$A$3:$A$900,0)),"")="","",(IFERROR(INDEX('Both teabags AfterDry'!$D$3:$D$900,MATCH(J741,'Both teabags AfterDry'!$A$3:$A$900,0)),"")))</f>
        <v>2.0047999999999999</v>
      </c>
      <c r="P741" s="267">
        <f>IFERROR(IF(O741&gt;0,O741-(TBIcalc!$Q$9),""),"")</f>
        <v>1.8541999999999998</v>
      </c>
      <c r="Q741" s="278">
        <f>IFERROR(INDEX('Ashed teabags dry'!$K$2:$K$825,MATCH(J741,'Ashed teabags dry'!$A$2:$A$825,0)),"")</f>
        <v>3.2972440944880175</v>
      </c>
      <c r="R741" s="278">
        <f t="shared" si="57"/>
        <v>1.7930625000000031</v>
      </c>
      <c r="S741" s="268">
        <f>'Dry_Litterbag Placem_Collection'!E82</f>
        <v>42937</v>
      </c>
      <c r="T741" s="268">
        <f>IF('Dry_Litterbag Placem_Collection'!G82="","",'Dry_Litterbag Placem_Collection'!G82)</f>
        <v>43006</v>
      </c>
      <c r="U741" s="269">
        <f t="shared" si="55"/>
        <v>69</v>
      </c>
      <c r="V741" s="267">
        <f t="shared" si="58"/>
        <v>7.600000000000029E-2</v>
      </c>
      <c r="W741" s="267">
        <f t="shared" si="59"/>
        <v>9.3096807436958695E-2</v>
      </c>
      <c r="X741" s="271">
        <f>IFERROR(INDEX(Rainfall_Dry!$O$2:$O$217,MATCH(B741, Rainfall_Dry!$A$2:$A$217,0)),"")</f>
        <v>6.900000125</v>
      </c>
      <c r="Y741" s="260">
        <v>45.272914521112256</v>
      </c>
      <c r="Z741" s="260">
        <v>23.604531410916575</v>
      </c>
      <c r="AA741" s="260">
        <v>31.122554067971166</v>
      </c>
      <c r="AB741" s="261" t="s">
        <v>2673</v>
      </c>
      <c r="AC741" s="260">
        <v>9.0547560374568796</v>
      </c>
      <c r="AD741">
        <f>IF('WetLitterbags placem_collection'!AB82="","",'WetLitterbags placem_collection'!AB82)</f>
        <v>2.7</v>
      </c>
      <c r="AE741">
        <f>IF('WetLitterbags placem_collection'!Z82="","",'WetLitterbags placem_collection'!Z82)</f>
        <v>12.4</v>
      </c>
      <c r="AF741" s="246" t="str">
        <f>IF('WetLitterbags placem_collection'!AA82="","",'WetLitterbags placem_collection'!AA82)</f>
        <v>O</v>
      </c>
      <c r="AG741">
        <f>IF('WetLitterbags placem_collection'!AC82="","",'WetLitterbags placem_collection'!AC82)</f>
        <v>1</v>
      </c>
      <c r="AH741">
        <f>IFERROR(AVERAGE('Dry_Litterbag Placem_Collection'!O82,'Dry_Litterbag Placem_Collection'!R82),"")</f>
        <v>11.75</v>
      </c>
      <c r="AI741" s="271">
        <f>IFERROR(AVERAGE('Dry_Litterbag Placem_Collection'!N82,'Dry_Litterbag Placem_Collection'!Q82),"")</f>
        <v>27.7</v>
      </c>
      <c r="AJ741" s="270">
        <f>INDEX(Coordinates!$B$2:$B$197,MATCH(G741,Coordinates!$J$2:$J$197,0))</f>
        <v>-3.3028539920000002</v>
      </c>
      <c r="AK741" s="270">
        <f>INDEX(Coordinates!$C$2:$C$197,MATCH(G741,Coordinates!$J$2:$J$197,0))</f>
        <v>34.847988999999998</v>
      </c>
      <c r="AL741" s="270" t="str">
        <f>IF(ISNUMBER(SEARCH("C", 'Dry_Litterbag Placem_Collection'!V82)),"YES","NO")</f>
        <v>NO</v>
      </c>
      <c r="AM741" s="270" t="str">
        <f>IF(ISNUMBER(SEARCH("H", 'Dry_Litterbag Placem_Collection'!V82)),"YES","NO")</f>
        <v>NO</v>
      </c>
      <c r="AN741" s="270" t="str">
        <f>IF(ISNUMBER(SEARCH("R", 'Dry_Litterbag Placem_Collection'!V82)),"YES","NO")</f>
        <v>NO</v>
      </c>
    </row>
    <row r="742" spans="1:40" ht="15" customHeight="1">
      <c r="A742" s="262" t="s">
        <v>2659</v>
      </c>
      <c r="B742" s="263">
        <f>'Dry_Litterbag Placem_Collection'!A83</f>
        <v>81</v>
      </c>
      <c r="C742" s="263" t="str">
        <f>'Dry_Litterbag Placem_Collection'!B83</f>
        <v>Maswa</v>
      </c>
      <c r="D742" s="263" t="s">
        <v>2659</v>
      </c>
      <c r="E742" s="263" t="s">
        <v>2661</v>
      </c>
      <c r="F742" s="263">
        <v>3</v>
      </c>
      <c r="G742" s="264" t="str">
        <f>'Dry_Litterbag Placem_Collection'!C83</f>
        <v>Dry_W3_T1</v>
      </c>
      <c r="H742" s="273" t="s">
        <v>3651</v>
      </c>
      <c r="I742" s="274" t="s">
        <v>298</v>
      </c>
      <c r="J742" s="263" t="str">
        <f>IF(ISBLANK('Dry_Litterbag Placem_Collection'!M83),"","R"&amp;""&amp;'Dry_Litterbag Placem_Collection'!M83)</f>
        <v>R366</v>
      </c>
      <c r="K742" s="267">
        <f>IFERROR(INDEX('Green_rooibos initial weight'!$C$5:$C$1749,MATCH(J742, 'Green_rooibos initial weight'!$A$5:$A$1749,0)),"")</f>
        <v>2.2330000000000001</v>
      </c>
      <c r="L742" s="267">
        <f>IFERROR(K742-(TBIcalc!$Q$9+TBIcalc!$Q$10),"")</f>
        <v>1.9832000000000001</v>
      </c>
      <c r="M742" s="391">
        <f>AVERAGE(Ashed_controlls!$K$12:$K$14)</f>
        <v>2.2816647271287041</v>
      </c>
      <c r="N742" s="267">
        <f t="shared" si="56"/>
        <v>1.9379500251315835</v>
      </c>
      <c r="O742" s="267">
        <f>IF(IFERROR(INDEX('Both teabags AfterDry'!$D$3:$D$900,MATCH(J742,'Both teabags AfterDry'!$A$3:$A$900,0)),"")="","",(IFERROR(INDEX('Both teabags AfterDry'!$D$3:$D$900,MATCH(J742,'Both teabags AfterDry'!$A$3:$A$900,0)),"")))</f>
        <v>1.9832000000000001</v>
      </c>
      <c r="P742" s="267">
        <f>IFERROR(IF(O742&gt;0,O742-(TBIcalc!$Q$9),""),"")</f>
        <v>1.8326</v>
      </c>
      <c r="Q742" s="278">
        <f>IFERROR(INDEX('Ashed teabags dry'!$K$2:$K$825,MATCH(J742,'Ashed teabags dry'!$A$2:$A$825,0)),"")</f>
        <v>3.3302497687320054</v>
      </c>
      <c r="R742" s="278">
        <f t="shared" si="57"/>
        <v>1.7715698427382174</v>
      </c>
      <c r="S742" s="268">
        <f>'Dry_Litterbag Placem_Collection'!E83</f>
        <v>42937</v>
      </c>
      <c r="T742" s="268">
        <f>IF('Dry_Litterbag Placem_Collection'!G83="","",'Dry_Litterbag Placem_Collection'!G83)</f>
        <v>43006</v>
      </c>
      <c r="U742" s="269">
        <f t="shared" si="55"/>
        <v>69</v>
      </c>
      <c r="V742" s="267">
        <f t="shared" si="58"/>
        <v>0.15060000000000007</v>
      </c>
      <c r="W742" s="267">
        <f t="shared" si="59"/>
        <v>0.16638018239336616</v>
      </c>
      <c r="X742" s="271">
        <f>IFERROR(INDEX(Rainfall_Dry!$O$2:$O$217,MATCH(B742, Rainfall_Dry!$A$2:$A$217,0)),"")</f>
        <v>12.563016860999999</v>
      </c>
      <c r="Y742" s="260">
        <v>38.691629007962128</v>
      </c>
      <c r="Z742" s="260">
        <v>26.81299763288143</v>
      </c>
      <c r="AA742" s="260">
        <v>34.495373359156439</v>
      </c>
      <c r="AB742" s="261" t="s">
        <v>2675</v>
      </c>
      <c r="AC742" s="260">
        <v>2.5483587974371611</v>
      </c>
      <c r="AD742">
        <f>IF('WetLitterbags placem_collection'!AB83="","",'WetLitterbags placem_collection'!AB83)</f>
        <v>6.2</v>
      </c>
      <c r="AE742">
        <f>IF('WetLitterbags placem_collection'!Z83="","",'WetLitterbags placem_collection'!Z83)</f>
        <v>13.3</v>
      </c>
      <c r="AF742" s="246" t="str">
        <f>IF('WetLitterbags placem_collection'!AA83="","",'WetLitterbags placem_collection'!AA83)</f>
        <v>O</v>
      </c>
      <c r="AG742">
        <f>IF('WetLitterbags placem_collection'!AC83="","",'WetLitterbags placem_collection'!AC83)</f>
        <v>0</v>
      </c>
      <c r="AH742">
        <f>IFERROR(AVERAGE('Dry_Litterbag Placem_Collection'!O83,'Dry_Litterbag Placem_Collection'!R83),"")</f>
        <v>11.850000000000001</v>
      </c>
      <c r="AI742" s="271">
        <f>IFERROR(AVERAGE('Dry_Litterbag Placem_Collection'!N83,'Dry_Litterbag Placem_Collection'!Q83),"")</f>
        <v>26.35</v>
      </c>
      <c r="AJ742" s="270">
        <f>INDEX(Coordinates!$B$2:$B$197,MATCH(G742,Coordinates!$J$2:$J$197,0))</f>
        <v>-3.2957159630000001</v>
      </c>
      <c r="AK742" s="270">
        <f>INDEX(Coordinates!$C$2:$C$197,MATCH(G742,Coordinates!$J$2:$J$197,0))</f>
        <v>34.852460999999998</v>
      </c>
      <c r="AL742" s="270" t="str">
        <f>IF(ISNUMBER(SEARCH("C", 'Dry_Litterbag Placem_Collection'!V83)),"YES","NO")</f>
        <v>NO</v>
      </c>
      <c r="AM742" s="270" t="str">
        <f>IF(ISNUMBER(SEARCH("H", 'Dry_Litterbag Placem_Collection'!V83)),"YES","NO")</f>
        <v>NO</v>
      </c>
      <c r="AN742" s="270" t="str">
        <f>IF(ISNUMBER(SEARCH("R", 'Dry_Litterbag Placem_Collection'!V83)),"YES","NO")</f>
        <v>NO</v>
      </c>
    </row>
    <row r="743" spans="1:40" ht="15" customHeight="1">
      <c r="A743" s="262" t="s">
        <v>2659</v>
      </c>
      <c r="B743" s="263">
        <f>'Dry_Litterbag Placem_Collection'!A84</f>
        <v>82</v>
      </c>
      <c r="C743" s="263" t="str">
        <f>'Dry_Litterbag Placem_Collection'!B84</f>
        <v>Maswa</v>
      </c>
      <c r="D743" s="263" t="s">
        <v>2659</v>
      </c>
      <c r="E743" s="263" t="s">
        <v>2661</v>
      </c>
      <c r="F743" s="263">
        <v>3</v>
      </c>
      <c r="G743" s="264" t="str">
        <f>'Dry_Litterbag Placem_Collection'!C84</f>
        <v>Dry_W3_T2</v>
      </c>
      <c r="H743" s="273" t="s">
        <v>3651</v>
      </c>
      <c r="I743" s="274" t="s">
        <v>298</v>
      </c>
      <c r="J743" s="263" t="str">
        <f>IF(ISBLANK('Dry_Litterbag Placem_Collection'!M84),"","R"&amp;""&amp;'Dry_Litterbag Placem_Collection'!M84)</f>
        <v>R610</v>
      </c>
      <c r="K743" s="267">
        <f>IFERROR(INDEX('Green_rooibos initial weight'!$C$5:$C$1749,MATCH(J743, 'Green_rooibos initial weight'!$A$5:$A$1749,0)),"")</f>
        <v>2.1230000000000002</v>
      </c>
      <c r="L743" s="267">
        <f>IFERROR(K743-(TBIcalc!$Q$9+TBIcalc!$Q$10),"")</f>
        <v>1.8732000000000002</v>
      </c>
      <c r="M743" s="391">
        <f>AVERAGE(Ashed_controlls!$K$12:$K$14)</f>
        <v>2.2816647271287041</v>
      </c>
      <c r="N743" s="267">
        <f t="shared" si="56"/>
        <v>1.8304598563314254</v>
      </c>
      <c r="O743" s="267">
        <f>IF(IFERROR(INDEX('Both teabags AfterDry'!$D$3:$D$900,MATCH(J743,'Both teabags AfterDry'!$A$3:$A$900,0)),"")="","",(IFERROR(INDEX('Both teabags AfterDry'!$D$3:$D$900,MATCH(J743,'Both teabags AfterDry'!$A$3:$A$900,0)),"")))</f>
        <v>1.9097999999999999</v>
      </c>
      <c r="P743" s="267">
        <f>IFERROR(IF(O743&gt;0,O743-(TBIcalc!$Q$9),""),"")</f>
        <v>1.7591999999999999</v>
      </c>
      <c r="Q743" s="278">
        <f>IFERROR(INDEX('Ashed teabags dry'!$K$2:$K$825,MATCH(J743,'Ashed teabags dry'!$A$2:$A$825,0)),"")</f>
        <v>2.8992628992631118</v>
      </c>
      <c r="R743" s="278">
        <f t="shared" si="57"/>
        <v>1.7081961670761632</v>
      </c>
      <c r="S743" s="268">
        <f>'Dry_Litterbag Placem_Collection'!E84</f>
        <v>42937</v>
      </c>
      <c r="T743" s="268">
        <f>IF('Dry_Litterbag Placem_Collection'!G84="","",'Dry_Litterbag Placem_Collection'!G84)</f>
        <v>43006</v>
      </c>
      <c r="U743" s="269">
        <f t="shared" si="55"/>
        <v>69</v>
      </c>
      <c r="V743" s="267">
        <f t="shared" si="58"/>
        <v>0.11400000000000032</v>
      </c>
      <c r="W743" s="267">
        <f t="shared" si="59"/>
        <v>0.12226368925526221</v>
      </c>
      <c r="X743" s="271">
        <f>IFERROR(INDEX(Rainfall_Dry!$O$2:$O$217,MATCH(B743, Rainfall_Dry!$A$2:$A$217,0)),"")</f>
        <v>12.563016860999999</v>
      </c>
      <c r="Y743" s="260">
        <v>38.691629007962128</v>
      </c>
      <c r="Z743" s="260">
        <v>26.81299763288143</v>
      </c>
      <c r="AA743" s="260">
        <v>34.495373359156439</v>
      </c>
      <c r="AB743" s="261" t="s">
        <v>2675</v>
      </c>
      <c r="AC743" s="260">
        <v>3.5483587974371602</v>
      </c>
      <c r="AD743">
        <f>IF('WetLitterbags placem_collection'!AB84="","",'WetLitterbags placem_collection'!AB84)</f>
        <v>2.4</v>
      </c>
      <c r="AE743">
        <f>IF('WetLitterbags placem_collection'!Z84="","",'WetLitterbags placem_collection'!Z84)</f>
        <v>16.600000000000001</v>
      </c>
      <c r="AF743" s="246" t="str">
        <f>IF('WetLitterbags placem_collection'!AA84="","",'WetLitterbags placem_collection'!AA84)</f>
        <v>O</v>
      </c>
      <c r="AG743" t="str">
        <f>IF('WetLitterbags placem_collection'!AC84="","",'WetLitterbags placem_collection'!AC84)</f>
        <v/>
      </c>
      <c r="AH743">
        <f>IFERROR(AVERAGE('Dry_Litterbag Placem_Collection'!O84,'Dry_Litterbag Placem_Collection'!R84),"")</f>
        <v>9.9499999999999993</v>
      </c>
      <c r="AI743" s="271">
        <f>IFERROR(AVERAGE('Dry_Litterbag Placem_Collection'!N84,'Dry_Litterbag Placem_Collection'!Q84),"")</f>
        <v>25.5</v>
      </c>
      <c r="AJ743" s="270">
        <f>INDEX(Coordinates!$B$2:$B$197,MATCH(G743,Coordinates!$J$2:$J$197,0))</f>
        <v>-3.2957230040000001</v>
      </c>
      <c r="AK743" s="270">
        <f>INDEX(Coordinates!$C$2:$C$197,MATCH(G743,Coordinates!$J$2:$J$197,0))</f>
        <v>34.852416990000002</v>
      </c>
      <c r="AL743" s="270" t="str">
        <f>IF(ISNUMBER(SEARCH("C", 'Dry_Litterbag Placem_Collection'!V84)),"YES","NO")</f>
        <v>NO</v>
      </c>
      <c r="AM743" s="270" t="str">
        <f>IF(ISNUMBER(SEARCH("H", 'Dry_Litterbag Placem_Collection'!V84)),"YES","NO")</f>
        <v>NO</v>
      </c>
      <c r="AN743" s="270" t="str">
        <f>IF(ISNUMBER(SEARCH("R", 'Dry_Litterbag Placem_Collection'!V84)),"YES","NO")</f>
        <v>NO</v>
      </c>
    </row>
    <row r="744" spans="1:40" ht="15" customHeight="1">
      <c r="A744" s="262" t="s">
        <v>2659</v>
      </c>
      <c r="B744" s="263">
        <f>'Dry_Litterbag Placem_Collection'!A85</f>
        <v>83</v>
      </c>
      <c r="C744" s="263" t="str">
        <f>'Dry_Litterbag Placem_Collection'!B85</f>
        <v>Maswa</v>
      </c>
      <c r="D744" s="263" t="s">
        <v>2659</v>
      </c>
      <c r="E744" s="263" t="s">
        <v>2661</v>
      </c>
      <c r="F744" s="263">
        <v>3</v>
      </c>
      <c r="G744" s="264" t="str">
        <f>'Dry_Litterbag Placem_Collection'!C85</f>
        <v>Dry_W3_T3</v>
      </c>
      <c r="H744" s="273" t="s">
        <v>3651</v>
      </c>
      <c r="I744" s="274" t="s">
        <v>298</v>
      </c>
      <c r="J744" s="263" t="str">
        <f>IF(ISBLANK('Dry_Litterbag Placem_Collection'!M85),"","R"&amp;""&amp;'Dry_Litterbag Placem_Collection'!M85)</f>
        <v>R614</v>
      </c>
      <c r="K744" s="267">
        <f>IFERROR(INDEX('Green_rooibos initial weight'!$C$5:$C$1749,MATCH(J744, 'Green_rooibos initial weight'!$A$5:$A$1749,0)),"")</f>
        <v>2.1459999999999999</v>
      </c>
      <c r="L744" s="267">
        <f>IFERROR(K744-(TBIcalc!$Q$9+TBIcalc!$Q$10),"")</f>
        <v>1.8961999999999999</v>
      </c>
      <c r="M744" s="391">
        <f>AVERAGE(Ashed_controlls!$K$12:$K$14)</f>
        <v>2.2816647271287041</v>
      </c>
      <c r="N744" s="267">
        <f t="shared" si="56"/>
        <v>1.8529350734441854</v>
      </c>
      <c r="O744" s="267">
        <f>IF(IFERROR(INDEX('Both teabags AfterDry'!$D$3:$D$900,MATCH(J744,'Both teabags AfterDry'!$A$3:$A$900,0)),"")="","",(IFERROR(INDEX('Both teabags AfterDry'!$D$3:$D$900,MATCH(J744,'Both teabags AfterDry'!$A$3:$A$900,0)),"")))</f>
        <v>1.9262999999999999</v>
      </c>
      <c r="P744" s="267">
        <f>IFERROR(IF(O744&gt;0,O744-(TBIcalc!$Q$9),""),"")</f>
        <v>1.7756999999999998</v>
      </c>
      <c r="Q744" s="278">
        <f>IFERROR(INDEX('Ashed teabags dry'!$K$2:$K$825,MATCH(J744,'Ashed teabags dry'!$A$2:$A$825,0)),"")</f>
        <v>2.629063097514555</v>
      </c>
      <c r="R744" s="278">
        <f t="shared" si="57"/>
        <v>1.729015726577434</v>
      </c>
      <c r="S744" s="268">
        <f>'Dry_Litterbag Placem_Collection'!E85</f>
        <v>42937</v>
      </c>
      <c r="T744" s="268">
        <f>IF('Dry_Litterbag Placem_Collection'!G85="","",'Dry_Litterbag Placem_Collection'!G85)</f>
        <v>43006</v>
      </c>
      <c r="U744" s="269">
        <f t="shared" si="55"/>
        <v>69</v>
      </c>
      <c r="V744" s="267">
        <f t="shared" si="58"/>
        <v>0.12050000000000005</v>
      </c>
      <c r="W744" s="267">
        <f t="shared" si="59"/>
        <v>0.12391934686675143</v>
      </c>
      <c r="X744" s="271">
        <f>IFERROR(INDEX(Rainfall_Dry!$O$2:$O$217,MATCH(B744, Rainfall_Dry!$A$2:$A$217,0)),"")</f>
        <v>12.563016860999999</v>
      </c>
      <c r="Y744" s="260">
        <v>38.691629007962128</v>
      </c>
      <c r="Z744" s="260">
        <v>26.81299763288143</v>
      </c>
      <c r="AA744" s="260">
        <v>34.495373359156439</v>
      </c>
      <c r="AB744" s="261" t="s">
        <v>2675</v>
      </c>
      <c r="AC744" s="260">
        <v>4.5483587974371602</v>
      </c>
      <c r="AD744">
        <f>IF('WetLitterbags placem_collection'!AB85="","",'WetLitterbags placem_collection'!AB85)</f>
        <v>6.4</v>
      </c>
      <c r="AE744">
        <f>IF('WetLitterbags placem_collection'!Z85="","",'WetLitterbags placem_collection'!Z85)</f>
        <v>42</v>
      </c>
      <c r="AF744" s="246" t="str">
        <f>IF('WetLitterbags placem_collection'!AA85="","",'WetLitterbags placem_collection'!AA85)</f>
        <v>M</v>
      </c>
      <c r="AG744">
        <f>IF('WetLitterbags placem_collection'!AC85="","",'WetLitterbags placem_collection'!AC85)</f>
        <v>1</v>
      </c>
      <c r="AH744">
        <f>IFERROR(AVERAGE('Dry_Litterbag Placem_Collection'!O85,'Dry_Litterbag Placem_Collection'!R85),"")</f>
        <v>10.050000000000001</v>
      </c>
      <c r="AI744" s="271">
        <f>IFERROR(AVERAGE('Dry_Litterbag Placem_Collection'!N85,'Dry_Litterbag Placem_Collection'!Q85),"")</f>
        <v>26.05</v>
      </c>
      <c r="AJ744" s="270">
        <f>INDEX(Coordinates!$B$2:$B$197,MATCH(G744,Coordinates!$J$2:$J$197,0))</f>
        <v>-3.2957430369999998</v>
      </c>
      <c r="AK744" s="270">
        <f>INDEX(Coordinates!$C$2:$C$197,MATCH(G744,Coordinates!$J$2:$J$197,0))</f>
        <v>34.852309030000001</v>
      </c>
      <c r="AL744" s="270" t="str">
        <f>IF(ISNUMBER(SEARCH("C", 'Dry_Litterbag Placem_Collection'!V85)),"YES","NO")</f>
        <v>NO</v>
      </c>
      <c r="AM744" s="270" t="str">
        <f>IF(ISNUMBER(SEARCH("H", 'Dry_Litterbag Placem_Collection'!V85)),"YES","NO")</f>
        <v>NO</v>
      </c>
      <c r="AN744" s="270" t="str">
        <f>IF(ISNUMBER(SEARCH("R", 'Dry_Litterbag Placem_Collection'!V85)),"YES","NO")</f>
        <v>NO</v>
      </c>
    </row>
    <row r="745" spans="1:40" ht="15" customHeight="1">
      <c r="A745" s="262" t="s">
        <v>2659</v>
      </c>
      <c r="B745" s="263">
        <f>'Dry_Litterbag Placem_Collection'!A86</f>
        <v>84</v>
      </c>
      <c r="C745" s="263" t="str">
        <f>'Dry_Litterbag Placem_Collection'!B86</f>
        <v>Maswa</v>
      </c>
      <c r="D745" s="263" t="s">
        <v>2659</v>
      </c>
      <c r="E745" s="263" t="s">
        <v>2661</v>
      </c>
      <c r="F745" s="263">
        <v>3</v>
      </c>
      <c r="G745" s="264" t="str">
        <f>'Dry_Litterbag Placem_Collection'!C86</f>
        <v>Dry_W3_T4</v>
      </c>
      <c r="H745" s="273" t="s">
        <v>3651</v>
      </c>
      <c r="I745" s="274" t="s">
        <v>298</v>
      </c>
      <c r="J745" s="263" t="str">
        <f>IF(ISBLANK('Dry_Litterbag Placem_Collection'!M86),"","R"&amp;""&amp;'Dry_Litterbag Placem_Collection'!M86)</f>
        <v>R720</v>
      </c>
      <c r="K745" s="267">
        <f>IFERROR(INDEX('Green_rooibos initial weight'!$C$5:$C$1749,MATCH(J745, 'Green_rooibos initial weight'!$A$5:$A$1749,0)),"")</f>
        <v>2.2080000000000002</v>
      </c>
      <c r="L745" s="267">
        <f>IFERROR(K745-(TBIcalc!$Q$9+TBIcalc!$Q$10),"")</f>
        <v>1.9582000000000002</v>
      </c>
      <c r="M745" s="391">
        <f>AVERAGE(Ashed_controlls!$K$12:$K$14)</f>
        <v>2.2816647271287041</v>
      </c>
      <c r="N745" s="267">
        <f t="shared" si="56"/>
        <v>1.913520441313366</v>
      </c>
      <c r="O745" s="267">
        <f>IF(IFERROR(INDEX('Both teabags AfterDry'!$D$3:$D$900,MATCH(J745,'Both teabags AfterDry'!$A$3:$A$900,0)),"")="","",(IFERROR(INDEX('Both teabags AfterDry'!$D$3:$D$900,MATCH(J745,'Both teabags AfterDry'!$A$3:$A$900,0)),"")))</f>
        <v>1.9978</v>
      </c>
      <c r="P745" s="267">
        <f>IFERROR(IF(O745&gt;0,O745-(TBIcalc!$Q$9),""),"")</f>
        <v>1.8472</v>
      </c>
      <c r="Q745" s="278">
        <f>IFERROR(INDEX('Ashed teabags dry'!$K$2:$K$825,MATCH(J745,'Ashed teabags dry'!$A$2:$A$825,0)),"")</f>
        <v>2.5841053144808623</v>
      </c>
      <c r="R745" s="278">
        <f t="shared" si="57"/>
        <v>1.7994664066309094</v>
      </c>
      <c r="S745" s="268">
        <f>'Dry_Litterbag Placem_Collection'!E86</f>
        <v>42937</v>
      </c>
      <c r="T745" s="268">
        <f>IF('Dry_Litterbag Placem_Collection'!G86="","",'Dry_Litterbag Placem_Collection'!G86)</f>
        <v>43006</v>
      </c>
      <c r="U745" s="269">
        <f t="shared" si="55"/>
        <v>69</v>
      </c>
      <c r="V745" s="267">
        <f t="shared" si="58"/>
        <v>0.11100000000000021</v>
      </c>
      <c r="W745" s="267">
        <f t="shared" si="59"/>
        <v>0.11405403468245656</v>
      </c>
      <c r="X745" s="271">
        <f>IFERROR(INDEX(Rainfall_Dry!$O$2:$O$217,MATCH(B745, Rainfall_Dry!$A$2:$A$217,0)),"")</f>
        <v>12.563016860999999</v>
      </c>
      <c r="Y745" s="260">
        <v>38.691629007962128</v>
      </c>
      <c r="Z745" s="260">
        <v>26.81299763288143</v>
      </c>
      <c r="AA745" s="260">
        <v>34.495373359156439</v>
      </c>
      <c r="AB745" s="261" t="s">
        <v>2675</v>
      </c>
      <c r="AC745" s="260">
        <v>5.5483587974371602</v>
      </c>
      <c r="AD745">
        <f>IF('WetLitterbags placem_collection'!AB86="","",'WetLitterbags placem_collection'!AB86)</f>
        <v>5.5</v>
      </c>
      <c r="AE745">
        <f>IF('WetLitterbags placem_collection'!Z86="","",'WetLitterbags placem_collection'!Z86)</f>
        <v>55.8</v>
      </c>
      <c r="AF745" s="246" t="str">
        <f>IF('WetLitterbags placem_collection'!AA86="","",'WetLitterbags placem_collection'!AA86)</f>
        <v>M</v>
      </c>
      <c r="AG745">
        <f>IF('WetLitterbags placem_collection'!AC86="","",'WetLitterbags placem_collection'!AC86)</f>
        <v>1</v>
      </c>
      <c r="AH745">
        <f>IFERROR(AVERAGE('Dry_Litterbag Placem_Collection'!O86,'Dry_Litterbag Placem_Collection'!R86),"")</f>
        <v>10.15</v>
      </c>
      <c r="AI745" s="271">
        <f>IFERROR(AVERAGE('Dry_Litterbag Placem_Collection'!N86,'Dry_Litterbag Placem_Collection'!Q86),"")</f>
        <v>26.549999999999997</v>
      </c>
      <c r="AJ745" s="270">
        <f>INDEX(Coordinates!$B$2:$B$197,MATCH(G745,Coordinates!$J$2:$J$197,0))</f>
        <v>-3.295795005</v>
      </c>
      <c r="AK745" s="270">
        <f>INDEX(Coordinates!$C$2:$C$197,MATCH(G745,Coordinates!$J$2:$J$197,0))</f>
        <v>34.85232001</v>
      </c>
      <c r="AL745" s="270" t="str">
        <f>IF(ISNUMBER(SEARCH("C", 'Dry_Litterbag Placem_Collection'!V86)),"YES","NO")</f>
        <v>NO</v>
      </c>
      <c r="AM745" s="270" t="str">
        <f>IF(ISNUMBER(SEARCH("H", 'Dry_Litterbag Placem_Collection'!V86)),"YES","NO")</f>
        <v>NO</v>
      </c>
      <c r="AN745" s="270" t="str">
        <f>IF(ISNUMBER(SEARCH("R", 'Dry_Litterbag Placem_Collection'!V86)),"YES","NO")</f>
        <v>NO</v>
      </c>
    </row>
    <row r="746" spans="1:40" ht="15" customHeight="1">
      <c r="A746" s="262" t="s">
        <v>2659</v>
      </c>
      <c r="B746" s="263">
        <f>'Dry_Litterbag Placem_Collection'!A87</f>
        <v>85</v>
      </c>
      <c r="C746" s="263" t="str">
        <f>'Dry_Litterbag Placem_Collection'!B87</f>
        <v>Maswa</v>
      </c>
      <c r="D746" s="263" t="s">
        <v>2659</v>
      </c>
      <c r="E746" s="263" t="s">
        <v>2661</v>
      </c>
      <c r="F746" s="263">
        <v>3</v>
      </c>
      <c r="G746" s="264" t="str">
        <f>'Dry_Litterbag Placem_Collection'!C87</f>
        <v>Dry_W3_T5</v>
      </c>
      <c r="H746" s="273" t="s">
        <v>3651</v>
      </c>
      <c r="I746" s="274" t="s">
        <v>298</v>
      </c>
      <c r="J746" s="263" t="str">
        <f>IF(ISBLANK('Dry_Litterbag Placem_Collection'!M87),"","R"&amp;""&amp;'Dry_Litterbag Placem_Collection'!M87)</f>
        <v/>
      </c>
      <c r="K746" s="267" t="str">
        <f>IFERROR(INDEX('Green_rooibos initial weight'!$C$5:$C$1749,MATCH(J746, 'Green_rooibos initial weight'!$A$5:$A$1749,0)),"")</f>
        <v/>
      </c>
      <c r="L746" s="267" t="str">
        <f>IFERROR(K746-(TBIcalc!$Q$9+TBIcalc!$Q$10),"")</f>
        <v/>
      </c>
      <c r="M746" s="391">
        <f>AVERAGE(Ashed_controlls!$K$12:$K$14)</f>
        <v>2.2816647271287041</v>
      </c>
      <c r="N746" s="267" t="str">
        <f t="shared" si="56"/>
        <v/>
      </c>
      <c r="O746" s="267" t="str">
        <f>IF(IFERROR(INDEX('Both teabags AfterDry'!$D$3:$D$900,MATCH(J746,'Both teabags AfterDry'!$A$3:$A$900,0)),"")="","",(IFERROR(INDEX('Both teabags AfterDry'!$D$3:$D$900,MATCH(J746,'Both teabags AfterDry'!$A$3:$A$900,0)),"")))</f>
        <v/>
      </c>
      <c r="P746" s="267" t="str">
        <f>IFERROR(IF(O746&gt;0,O746-(TBIcalc!$Q$9),""),"")</f>
        <v/>
      </c>
      <c r="Q746" s="278" t="str">
        <f>IFERROR(INDEX('Ashed teabags dry'!$K$2:$K$825,MATCH(J746,'Ashed teabags dry'!$A$2:$A$825,0)),"")</f>
        <v/>
      </c>
      <c r="R746" s="278" t="str">
        <f t="shared" si="57"/>
        <v/>
      </c>
      <c r="S746" s="268">
        <f>'Dry_Litterbag Placem_Collection'!E87</f>
        <v>0</v>
      </c>
      <c r="T746" s="268" t="str">
        <f>IF('Dry_Litterbag Placem_Collection'!G87="","",'Dry_Litterbag Placem_Collection'!G87)</f>
        <v/>
      </c>
      <c r="U746" s="269" t="str">
        <f t="shared" si="55"/>
        <v/>
      </c>
      <c r="V746" s="267" t="str">
        <f t="shared" si="58"/>
        <v/>
      </c>
      <c r="W746" s="267" t="str">
        <f t="shared" si="59"/>
        <v/>
      </c>
      <c r="X746" s="271" t="str">
        <f>IFERROR(INDEX(Rainfall_Dry!$O$2:$O$217,MATCH(B746, Rainfall_Dry!$A$2:$A$217,0)),"")</f>
        <v/>
      </c>
      <c r="Y746" s="260">
        <v>38.691629007962128</v>
      </c>
      <c r="Z746" s="260">
        <v>26.81299763288143</v>
      </c>
      <c r="AA746" s="260">
        <v>34.495373359156439</v>
      </c>
      <c r="AB746" s="261" t="s">
        <v>2675</v>
      </c>
      <c r="AC746" s="260">
        <v>6.5483587974371602</v>
      </c>
      <c r="AD746">
        <f>IF('WetLitterbags placem_collection'!AB87="","",'WetLitterbags placem_collection'!AB87)</f>
        <v>8.6</v>
      </c>
      <c r="AE746">
        <f>IF('WetLitterbags placem_collection'!Z87="","",'WetLitterbags placem_collection'!Z87)</f>
        <v>3.8</v>
      </c>
      <c r="AF746" s="246" t="str">
        <f>IF('WetLitterbags placem_collection'!AA87="","",'WetLitterbags placem_collection'!AA87)</f>
        <v>O</v>
      </c>
      <c r="AG746">
        <f>IF('WetLitterbags placem_collection'!AC87="","",'WetLitterbags placem_collection'!AC87)</f>
        <v>0</v>
      </c>
      <c r="AH746" t="str">
        <f>IFERROR(AVERAGE('Dry_Litterbag Placem_Collection'!O87,'Dry_Litterbag Placem_Collection'!R87),"")</f>
        <v/>
      </c>
      <c r="AI746" s="271" t="str">
        <f>IFERROR(AVERAGE('Dry_Litterbag Placem_Collection'!N87,'Dry_Litterbag Placem_Collection'!Q87),"")</f>
        <v/>
      </c>
      <c r="AJ746" s="270">
        <f>INDEX(Coordinates!$B$2:$B$197,MATCH(G746,Coordinates!$J$2:$J$197,0))</f>
        <v>-3.2957100119999998</v>
      </c>
      <c r="AK746" s="270">
        <f>INDEX(Coordinates!$C$2:$C$197,MATCH(G746,Coordinates!$J$2:$J$197,0))</f>
        <v>34.852283970000002</v>
      </c>
      <c r="AL746" s="270" t="str">
        <f>IF(ISNUMBER(SEARCH("C", 'Dry_Litterbag Placem_Collection'!V87)),"YES","NO")</f>
        <v>NO</v>
      </c>
      <c r="AM746" s="270" t="str">
        <f>IF(ISNUMBER(SEARCH("H", 'Dry_Litterbag Placem_Collection'!V87)),"YES","NO")</f>
        <v>NO</v>
      </c>
      <c r="AN746" s="270" t="str">
        <f>IF(ISNUMBER(SEARCH("R", 'Dry_Litterbag Placem_Collection'!V87)),"YES","NO")</f>
        <v>NO</v>
      </c>
    </row>
    <row r="747" spans="1:40" ht="15" customHeight="1">
      <c r="A747" s="262" t="s">
        <v>2659</v>
      </c>
      <c r="B747" s="263">
        <f>'Dry_Litterbag Placem_Collection'!A88</f>
        <v>86</v>
      </c>
      <c r="C747" s="263" t="str">
        <f>'Dry_Litterbag Placem_Collection'!B88</f>
        <v>Maswa</v>
      </c>
      <c r="D747" s="263" t="s">
        <v>2659</v>
      </c>
      <c r="E747" s="263" t="s">
        <v>2661</v>
      </c>
      <c r="F747" s="263">
        <v>3</v>
      </c>
      <c r="G747" s="264" t="str">
        <f>'Dry_Litterbag Placem_Collection'!C88</f>
        <v>Dry_W3_T6</v>
      </c>
      <c r="H747" s="273" t="s">
        <v>3651</v>
      </c>
      <c r="I747" s="274" t="s">
        <v>298</v>
      </c>
      <c r="J747" s="263" t="str">
        <f>IF(ISBLANK('Dry_Litterbag Placem_Collection'!M88),"","R"&amp;""&amp;'Dry_Litterbag Placem_Collection'!M88)</f>
        <v>R643</v>
      </c>
      <c r="K747" s="267">
        <f>IFERROR(INDEX('Green_rooibos initial weight'!$C$5:$C$1749,MATCH(J747, 'Green_rooibos initial weight'!$A$5:$A$1749,0)),"")</f>
        <v>2.1930000000000001</v>
      </c>
      <c r="L747" s="267">
        <f>IFERROR(K747-(TBIcalc!$Q$9+TBIcalc!$Q$10),"")</f>
        <v>1.9432</v>
      </c>
      <c r="M747" s="391">
        <f>AVERAGE(Ashed_controlls!$K$12:$K$14)</f>
        <v>2.2816647271287041</v>
      </c>
      <c r="N747" s="267">
        <f t="shared" si="56"/>
        <v>1.8988626910224351</v>
      </c>
      <c r="O747" s="267" t="str">
        <f>IF(IFERROR(INDEX('Both teabags AfterDry'!$D$3:$D$900,MATCH(J747,'Both teabags AfterDry'!$A$3:$A$900,0)),"")="","",(IFERROR(INDEX('Both teabags AfterDry'!$D$3:$D$900,MATCH(J747,'Both teabags AfterDry'!$A$3:$A$900,0)),"")))</f>
        <v/>
      </c>
      <c r="P747" s="267" t="str">
        <f>IFERROR(IF(O747&gt;0,O747-(TBIcalc!$Q$9),""),"")</f>
        <v/>
      </c>
      <c r="Q747" s="278" t="str">
        <f>IFERROR(INDEX('Ashed teabags dry'!$K$2:$K$825,MATCH(J747,'Ashed teabags dry'!$A$2:$A$825,0)),"")</f>
        <v/>
      </c>
      <c r="R747" s="278" t="str">
        <f t="shared" si="57"/>
        <v/>
      </c>
      <c r="S747" s="268">
        <f>'Dry_Litterbag Placem_Collection'!E88</f>
        <v>42937</v>
      </c>
      <c r="T747" s="268">
        <f>IF('Dry_Litterbag Placem_Collection'!G88="","",'Dry_Litterbag Placem_Collection'!G88)</f>
        <v>43006</v>
      </c>
      <c r="U747" s="269">
        <f t="shared" si="55"/>
        <v>69</v>
      </c>
      <c r="V747" s="267" t="str">
        <f t="shared" si="58"/>
        <v/>
      </c>
      <c r="W747" s="267" t="str">
        <f t="shared" si="59"/>
        <v/>
      </c>
      <c r="X747" s="271">
        <f>IFERROR(INDEX(Rainfall_Dry!$O$2:$O$217,MATCH(B747, Rainfall_Dry!$A$2:$A$217,0)),"")</f>
        <v>12.563016860999999</v>
      </c>
      <c r="Y747" s="260">
        <v>38.691629007962128</v>
      </c>
      <c r="Z747" s="260">
        <v>26.81299763288143</v>
      </c>
      <c r="AA747" s="260">
        <v>34.495373359156439</v>
      </c>
      <c r="AB747" s="261" t="s">
        <v>2675</v>
      </c>
      <c r="AC747" s="260">
        <v>7.5483587974371602</v>
      </c>
      <c r="AD747">
        <f>IF('WetLitterbags placem_collection'!AB88="","",'WetLitterbags placem_collection'!AB88)</f>
        <v>3.7</v>
      </c>
      <c r="AE747">
        <f>IF('WetLitterbags placem_collection'!Z88="","",'WetLitterbags placem_collection'!Z88)</f>
        <v>7.5</v>
      </c>
      <c r="AF747" s="246" t="str">
        <f>IF('WetLitterbags placem_collection'!AA88="","",'WetLitterbags placem_collection'!AA88)</f>
        <v>O</v>
      </c>
      <c r="AG747">
        <f>IF('WetLitterbags placem_collection'!AC88="","",'WetLitterbags placem_collection'!AC88)</f>
        <v>0</v>
      </c>
      <c r="AH747">
        <f>IFERROR(AVERAGE('Dry_Litterbag Placem_Collection'!O88,'Dry_Litterbag Placem_Collection'!R88),"")</f>
        <v>11.75</v>
      </c>
      <c r="AI747" s="271">
        <f>IFERROR(AVERAGE('Dry_Litterbag Placem_Collection'!N88,'Dry_Litterbag Placem_Collection'!Q88),"")</f>
        <v>26.9</v>
      </c>
      <c r="AJ747" s="270">
        <f>INDEX(Coordinates!$B$2:$B$197,MATCH(G747,Coordinates!$J$2:$J$197,0))</f>
        <v>-3.2956140399999998</v>
      </c>
      <c r="AK747" s="270">
        <f>INDEX(Coordinates!$C$2:$C$197,MATCH(G747,Coordinates!$J$2:$J$197,0))</f>
        <v>34.852137030000002</v>
      </c>
      <c r="AL747" s="270" t="str">
        <f>IF(ISNUMBER(SEARCH("C", 'Dry_Litterbag Placem_Collection'!V88)),"YES","NO")</f>
        <v>NO</v>
      </c>
      <c r="AM747" s="270" t="str">
        <f>IF(ISNUMBER(SEARCH("H", 'Dry_Litterbag Placem_Collection'!V88)),"YES","NO")</f>
        <v>NO</v>
      </c>
      <c r="AN747" s="270" t="str">
        <f>IF(ISNUMBER(SEARCH("R", 'Dry_Litterbag Placem_Collection'!V88)),"YES","NO")</f>
        <v>NO</v>
      </c>
    </row>
    <row r="748" spans="1:40" ht="15" customHeight="1">
      <c r="A748" s="262" t="s">
        <v>2659</v>
      </c>
      <c r="B748" s="263">
        <f>'Dry_Litterbag Placem_Collection'!A89</f>
        <v>87</v>
      </c>
      <c r="C748" s="263" t="str">
        <f>'Dry_Litterbag Placem_Collection'!B89</f>
        <v>Maswa</v>
      </c>
      <c r="D748" s="263" t="s">
        <v>2659</v>
      </c>
      <c r="E748" s="263" t="s">
        <v>2661</v>
      </c>
      <c r="F748" s="263">
        <v>3</v>
      </c>
      <c r="G748" s="264" t="str">
        <f>'Dry_Litterbag Placem_Collection'!C89</f>
        <v>Dry_W3_T7</v>
      </c>
      <c r="H748" s="273" t="s">
        <v>3651</v>
      </c>
      <c r="I748" s="274" t="s">
        <v>298</v>
      </c>
      <c r="J748" s="263" t="str">
        <f>IF(ISBLANK('Dry_Litterbag Placem_Collection'!M89),"","R"&amp;""&amp;'Dry_Litterbag Placem_Collection'!M89)</f>
        <v>R277</v>
      </c>
      <c r="K748" s="267">
        <f>IFERROR(INDEX('Green_rooibos initial weight'!$C$5:$C$1749,MATCH(J748, 'Green_rooibos initial weight'!$A$5:$A$1749,0)),"")</f>
        <v>2.1949999999999998</v>
      </c>
      <c r="L748" s="267">
        <f>IFERROR(K748-(TBIcalc!$Q$9+TBIcalc!$Q$10),"")</f>
        <v>1.9451999999999998</v>
      </c>
      <c r="M748" s="391">
        <f>AVERAGE(Ashed_controlls!$K$12:$K$14)</f>
        <v>2.2816647271287041</v>
      </c>
      <c r="N748" s="267">
        <f t="shared" si="56"/>
        <v>1.9008170577278922</v>
      </c>
      <c r="O748" s="267">
        <f>IF(IFERROR(INDEX('Both teabags AfterDry'!$D$3:$D$900,MATCH(J748,'Both teabags AfterDry'!$A$3:$A$900,0)),"")="","",(IFERROR(INDEX('Both teabags AfterDry'!$D$3:$D$900,MATCH(J748,'Both teabags AfterDry'!$A$3:$A$900,0)),"")))</f>
        <v>1.9473</v>
      </c>
      <c r="P748" s="267">
        <f>IFERROR(IF(O748&gt;0,O748-(TBIcalc!$Q$9),""),"")</f>
        <v>1.7967</v>
      </c>
      <c r="Q748" s="278">
        <f>IFERROR(INDEX('Ashed teabags dry'!$K$2:$K$825,MATCH(J748,'Ashed teabags dry'!$A$2:$A$825,0)),"")</f>
        <v>2.1385402138541729</v>
      </c>
      <c r="R748" s="278">
        <f t="shared" si="57"/>
        <v>1.758276847977682</v>
      </c>
      <c r="S748" s="268">
        <f>'Dry_Litterbag Placem_Collection'!E89</f>
        <v>42937</v>
      </c>
      <c r="T748" s="268">
        <f>IF('Dry_Litterbag Placem_Collection'!G89="","",'Dry_Litterbag Placem_Collection'!G89)</f>
        <v>43006</v>
      </c>
      <c r="U748" s="269">
        <f t="shared" si="55"/>
        <v>69</v>
      </c>
      <c r="V748" s="267">
        <f t="shared" si="58"/>
        <v>0.14849999999999985</v>
      </c>
      <c r="W748" s="267">
        <f t="shared" si="59"/>
        <v>0.1425402097502102</v>
      </c>
      <c r="X748" s="271">
        <f>IFERROR(INDEX(Rainfall_Dry!$O$2:$O$217,MATCH(B748, Rainfall_Dry!$A$2:$A$217,0)),"")</f>
        <v>12.563016860999999</v>
      </c>
      <c r="Y748" s="260">
        <v>38.691629007962128</v>
      </c>
      <c r="Z748" s="260">
        <v>26.81299763288143</v>
      </c>
      <c r="AA748" s="260">
        <v>34.495373359156439</v>
      </c>
      <c r="AB748" s="261" t="s">
        <v>2675</v>
      </c>
      <c r="AC748" s="260">
        <v>8.5483587974371602</v>
      </c>
      <c r="AD748">
        <f>IF('WetLitterbags placem_collection'!AB89="","",'WetLitterbags placem_collection'!AB89)</f>
        <v>7.5</v>
      </c>
      <c r="AE748">
        <f>IF('WetLitterbags placem_collection'!Z89="","",'WetLitterbags placem_collection'!Z89)</f>
        <v>12.6</v>
      </c>
      <c r="AF748" s="246" t="str">
        <f>IF('WetLitterbags placem_collection'!AA89="","",'WetLitterbags placem_collection'!AA89)</f>
        <v>O</v>
      </c>
      <c r="AG748">
        <f>IF('WetLitterbags placem_collection'!AC89="","",'WetLitterbags placem_collection'!AC89)</f>
        <v>1</v>
      </c>
      <c r="AH748">
        <f>IFERROR(AVERAGE('Dry_Litterbag Placem_Collection'!O89,'Dry_Litterbag Placem_Collection'!R89),"")</f>
        <v>10.65</v>
      </c>
      <c r="AI748" s="271">
        <f>IFERROR(AVERAGE('Dry_Litterbag Placem_Collection'!N89,'Dry_Litterbag Placem_Collection'!Q89),"")</f>
        <v>24.3</v>
      </c>
      <c r="AJ748" s="270">
        <f>INDEX(Coordinates!$B$2:$B$197,MATCH(G748,Coordinates!$J$2:$J$197,0))</f>
        <v>-3.295904975</v>
      </c>
      <c r="AK748" s="270">
        <f>INDEX(Coordinates!$C$2:$C$197,MATCH(G748,Coordinates!$J$2:$J$197,0))</f>
        <v>34.852136029999997</v>
      </c>
      <c r="AL748" s="270" t="str">
        <f>IF(ISNUMBER(SEARCH("C", 'Dry_Litterbag Placem_Collection'!V89)),"YES","NO")</f>
        <v>NO</v>
      </c>
      <c r="AM748" s="270" t="str">
        <f>IF(ISNUMBER(SEARCH("H", 'Dry_Litterbag Placem_Collection'!V89)),"YES","NO")</f>
        <v>NO</v>
      </c>
      <c r="AN748" s="270" t="str">
        <f>IF(ISNUMBER(SEARCH("R", 'Dry_Litterbag Placem_Collection'!V89)),"YES","NO")</f>
        <v>NO</v>
      </c>
    </row>
    <row r="749" spans="1:40" ht="15" customHeight="1">
      <c r="A749" s="262" t="s">
        <v>2659</v>
      </c>
      <c r="B749" s="263">
        <f>'Dry_Litterbag Placem_Collection'!A90</f>
        <v>88</v>
      </c>
      <c r="C749" s="263" t="str">
        <f>'Dry_Litterbag Placem_Collection'!B90</f>
        <v>Maswa</v>
      </c>
      <c r="D749" s="263" t="s">
        <v>2659</v>
      </c>
      <c r="E749" s="263" t="s">
        <v>2661</v>
      </c>
      <c r="F749" s="263">
        <v>3</v>
      </c>
      <c r="G749" s="264" t="str">
        <f>'Dry_Litterbag Placem_Collection'!C90</f>
        <v>Dry_W3_T8</v>
      </c>
      <c r="H749" s="273" t="s">
        <v>3651</v>
      </c>
      <c r="I749" s="274" t="s">
        <v>298</v>
      </c>
      <c r="J749" s="263" t="str">
        <f>IF(ISBLANK('Dry_Litterbag Placem_Collection'!M90),"","R"&amp;""&amp;'Dry_Litterbag Placem_Collection'!M90)</f>
        <v>R197</v>
      </c>
      <c r="K749" s="267">
        <f>IFERROR(INDEX('Green_rooibos initial weight'!$C$5:$C$1749,MATCH(J749, 'Green_rooibos initial weight'!$A$5:$A$1749,0)),"")</f>
        <v>2.2330000000000001</v>
      </c>
      <c r="L749" s="267">
        <f>IFERROR(K749-(TBIcalc!$Q$9+TBIcalc!$Q$10),"")</f>
        <v>1.9832000000000001</v>
      </c>
      <c r="M749" s="391">
        <f>AVERAGE(Ashed_controlls!$K$12:$K$14)</f>
        <v>2.2816647271287041</v>
      </c>
      <c r="N749" s="267">
        <f t="shared" si="56"/>
        <v>1.9379500251315835</v>
      </c>
      <c r="O749" s="267">
        <f>IF(IFERROR(INDEX('Both teabags AfterDry'!$D$3:$D$900,MATCH(J749,'Both teabags AfterDry'!$A$3:$A$900,0)),"")="","",(IFERROR(INDEX('Both teabags AfterDry'!$D$3:$D$900,MATCH(J749,'Both teabags AfterDry'!$A$3:$A$900,0)),"")))</f>
        <v>1.9945999999999999</v>
      </c>
      <c r="P749" s="267">
        <f>IFERROR(IF(O749&gt;0,O749-(TBIcalc!$Q$9),""),"")</f>
        <v>1.8439999999999999</v>
      </c>
      <c r="Q749" s="278">
        <f>IFERROR(INDEX('Ashed teabags dry'!$K$2:$K$825,MATCH(J749,'Ashed teabags dry'!$A$2:$A$825,0)),"")</f>
        <v>1.9186843307443828</v>
      </c>
      <c r="R749" s="278">
        <f t="shared" si="57"/>
        <v>1.8086194609410735</v>
      </c>
      <c r="S749" s="268">
        <f>'Dry_Litterbag Placem_Collection'!E90</f>
        <v>42937</v>
      </c>
      <c r="T749" s="268">
        <f>IF('Dry_Litterbag Placem_Collection'!G90="","",'Dry_Litterbag Placem_Collection'!G90)</f>
        <v>43006</v>
      </c>
      <c r="U749" s="269">
        <f t="shared" si="55"/>
        <v>69</v>
      </c>
      <c r="V749" s="267">
        <f t="shared" si="58"/>
        <v>0.13920000000000021</v>
      </c>
      <c r="W749" s="267">
        <f t="shared" si="59"/>
        <v>0.12933056419051003</v>
      </c>
      <c r="X749" s="271">
        <f>IFERROR(INDEX(Rainfall_Dry!$O$2:$O$217,MATCH(B749, Rainfall_Dry!$A$2:$A$217,0)),"")</f>
        <v>12.563016860999999</v>
      </c>
      <c r="Y749" s="260">
        <v>38.691629007962128</v>
      </c>
      <c r="Z749" s="260">
        <v>26.81299763288143</v>
      </c>
      <c r="AA749" s="260">
        <v>34.495373359156439</v>
      </c>
      <c r="AB749" s="261" t="s">
        <v>2675</v>
      </c>
      <c r="AC749" s="260">
        <v>9.5483587974371602</v>
      </c>
      <c r="AD749" t="str">
        <f>IF('WetLitterbags placem_collection'!AB90="","",'WetLitterbags placem_collection'!AB90)</f>
        <v/>
      </c>
      <c r="AE749" t="str">
        <f>IF('WetLitterbags placem_collection'!Z90="","",'WetLitterbags placem_collection'!Z90)</f>
        <v/>
      </c>
      <c r="AF749" s="246" t="str">
        <f>IF('WetLitterbags placem_collection'!AA90="","",'WetLitterbags placem_collection'!AA90)</f>
        <v/>
      </c>
      <c r="AG749" t="str">
        <f>IF('WetLitterbags placem_collection'!AC90="","",'WetLitterbags placem_collection'!AC90)</f>
        <v/>
      </c>
      <c r="AH749">
        <f>IFERROR(AVERAGE('Dry_Litterbag Placem_Collection'!O90,'Dry_Litterbag Placem_Collection'!R90),"")</f>
        <v>11.7</v>
      </c>
      <c r="AI749" s="271">
        <f>IFERROR(AVERAGE('Dry_Litterbag Placem_Collection'!N90,'Dry_Litterbag Placem_Collection'!Q90),"")</f>
        <v>26.049999999999997</v>
      </c>
      <c r="AJ749" s="270">
        <f>INDEX(Coordinates!$B$2:$B$197,MATCH(G749,Coordinates!$J$2:$J$197,0))</f>
        <v>-3.2959530039999998</v>
      </c>
      <c r="AK749" s="270">
        <f>INDEX(Coordinates!$C$2:$C$197,MATCH(G749,Coordinates!$J$2:$J$197,0))</f>
        <v>34.85242504</v>
      </c>
      <c r="AL749" s="270" t="str">
        <f>IF(ISNUMBER(SEARCH("C", 'Dry_Litterbag Placem_Collection'!V90)),"YES","NO")</f>
        <v>NO</v>
      </c>
      <c r="AM749" s="270" t="str">
        <f>IF(ISNUMBER(SEARCH("H", 'Dry_Litterbag Placem_Collection'!V90)),"YES","NO")</f>
        <v>NO</v>
      </c>
      <c r="AN749" s="270" t="str">
        <f>IF(ISNUMBER(SEARCH("R", 'Dry_Litterbag Placem_Collection'!V90)),"YES","NO")</f>
        <v>NO</v>
      </c>
    </row>
    <row r="750" spans="1:40" ht="15" customHeight="1">
      <c r="A750" s="262" t="s">
        <v>2659</v>
      </c>
      <c r="B750" s="263">
        <f>'Dry_Litterbag Placem_Collection'!A91</f>
        <v>89</v>
      </c>
      <c r="C750" s="263" t="str">
        <f>'Dry_Litterbag Placem_Collection'!B91</f>
        <v>Maswa</v>
      </c>
      <c r="D750" s="263" t="s">
        <v>2659</v>
      </c>
      <c r="E750" s="263" t="s">
        <v>2661</v>
      </c>
      <c r="F750" s="263">
        <v>4</v>
      </c>
      <c r="G750" s="264" t="str">
        <f>'Dry_Litterbag Placem_Collection'!C91</f>
        <v>Dry_W4_T1</v>
      </c>
      <c r="H750" s="273" t="s">
        <v>3651</v>
      </c>
      <c r="I750" s="274" t="s">
        <v>298</v>
      </c>
      <c r="J750" s="263" t="str">
        <f>IF(ISBLANK('Dry_Litterbag Placem_Collection'!M91),"","R"&amp;""&amp;'Dry_Litterbag Placem_Collection'!M91)</f>
        <v>R841</v>
      </c>
      <c r="K750" s="267">
        <f>IFERROR(INDEX('Green_rooibos initial weight'!$C$5:$C$1749,MATCH(J750, 'Green_rooibos initial weight'!$A$5:$A$1749,0)),"")</f>
        <v>2.13</v>
      </c>
      <c r="L750" s="267">
        <f>IFERROR(K750-(TBIcalc!$Q$9+TBIcalc!$Q$10),"")</f>
        <v>1.8801999999999999</v>
      </c>
      <c r="M750" s="391">
        <f>AVERAGE(Ashed_controlls!$K$12:$K$14)</f>
        <v>2.2816647271287041</v>
      </c>
      <c r="N750" s="267">
        <f t="shared" si="56"/>
        <v>1.837300139800526</v>
      </c>
      <c r="O750" s="267">
        <f>IF(IFERROR(INDEX('Both teabags AfterDry'!$D$3:$D$900,MATCH(J750,'Both teabags AfterDry'!$A$3:$A$900,0)),"")="","",(IFERROR(INDEX('Both teabags AfterDry'!$D$3:$D$900,MATCH(J750,'Both teabags AfterDry'!$A$3:$A$900,0)),"")))</f>
        <v>1.9592000000000001</v>
      </c>
      <c r="P750" s="267">
        <f>IFERROR(IF(O750&gt;0,O750-(TBIcalc!$Q$9),""),"")</f>
        <v>1.8086</v>
      </c>
      <c r="Q750" s="278" t="str">
        <f>IFERROR(INDEX('Ashed teabags dry'!$K$2:$K$825,MATCH(J750,'Ashed teabags dry'!$A$2:$A$825,0)),"")</f>
        <v/>
      </c>
      <c r="R750" s="278" t="str">
        <f t="shared" si="57"/>
        <v/>
      </c>
      <c r="S750" s="268">
        <f>'Dry_Litterbag Placem_Collection'!E91</f>
        <v>42937</v>
      </c>
      <c r="T750" s="268">
        <f>IF('Dry_Litterbag Placem_Collection'!G91="","",'Dry_Litterbag Placem_Collection'!G91)</f>
        <v>43006</v>
      </c>
      <c r="U750" s="269">
        <f t="shared" si="55"/>
        <v>69</v>
      </c>
      <c r="V750" s="267">
        <f t="shared" si="58"/>
        <v>7.1599999999999886E-2</v>
      </c>
      <c r="W750" s="267" t="str">
        <f t="shared" si="59"/>
        <v/>
      </c>
      <c r="X750" s="271">
        <f>IFERROR(INDEX(Rainfall_Dry!$O$2:$O$217,MATCH(B750, Rainfall_Dry!$A$2:$A$217,0)),"")</f>
        <v>12.563016860999999</v>
      </c>
      <c r="Y750" s="260">
        <v>28.145762029394</v>
      </c>
      <c r="Z750" s="260">
        <v>25.085564727199518</v>
      </c>
      <c r="AA750" s="260">
        <v>46.768673243406489</v>
      </c>
      <c r="AB750" s="261" t="s">
        <v>2670</v>
      </c>
      <c r="AC750" s="260">
        <v>2.1716214884179394</v>
      </c>
      <c r="AD750">
        <f>IF('WetLitterbags placem_collection'!AB91="","",'WetLitterbags placem_collection'!AB91)</f>
        <v>7.3</v>
      </c>
      <c r="AE750">
        <f>IF('WetLitterbags placem_collection'!Z91="","",'WetLitterbags placem_collection'!Z91)</f>
        <v>35.799999999999997</v>
      </c>
      <c r="AF750" s="246" t="str">
        <f>IF('WetLitterbags placem_collection'!AA91="","",'WetLitterbags placem_collection'!AA91)</f>
        <v>O</v>
      </c>
      <c r="AG750">
        <f>IF('WetLitterbags placem_collection'!AC91="","",'WetLitterbags placem_collection'!AC91)</f>
        <v>0</v>
      </c>
      <c r="AH750">
        <f>IFERROR(AVERAGE('Dry_Litterbag Placem_Collection'!O91,'Dry_Litterbag Placem_Collection'!R91),"")</f>
        <v>10.5</v>
      </c>
      <c r="AI750" s="271">
        <f>IFERROR(AVERAGE('Dry_Litterbag Placem_Collection'!N91,'Dry_Litterbag Placem_Collection'!Q91),"")</f>
        <v>26.6</v>
      </c>
      <c r="AJ750" s="270">
        <f>INDEX(Coordinates!$B$2:$B$197,MATCH(G750,Coordinates!$J$2:$J$197,0))</f>
        <v>-3.2966709980000002</v>
      </c>
      <c r="AK750" s="270">
        <f>INDEX(Coordinates!$C$2:$C$197,MATCH(G750,Coordinates!$J$2:$J$197,0))</f>
        <v>34.854407019999996</v>
      </c>
      <c r="AL750" s="270" t="str">
        <f>IF(ISNUMBER(SEARCH("C", 'Dry_Litterbag Placem_Collection'!V91)),"YES","NO")</f>
        <v>NO</v>
      </c>
      <c r="AM750" s="270" t="str">
        <f>IF(ISNUMBER(SEARCH("H", 'Dry_Litterbag Placem_Collection'!V91)),"YES","NO")</f>
        <v>NO</v>
      </c>
      <c r="AN750" s="270" t="str">
        <f>IF(ISNUMBER(SEARCH("R", 'Dry_Litterbag Placem_Collection'!V91)),"YES","NO")</f>
        <v>NO</v>
      </c>
    </row>
    <row r="751" spans="1:40" ht="15" customHeight="1">
      <c r="A751" s="262" t="s">
        <v>2659</v>
      </c>
      <c r="B751" s="263">
        <f>'Dry_Litterbag Placem_Collection'!A92</f>
        <v>90</v>
      </c>
      <c r="C751" s="263" t="str">
        <f>'Dry_Litterbag Placem_Collection'!B92</f>
        <v>Maswa</v>
      </c>
      <c r="D751" s="263" t="s">
        <v>2659</v>
      </c>
      <c r="E751" s="263" t="s">
        <v>2661</v>
      </c>
      <c r="F751" s="263">
        <v>4</v>
      </c>
      <c r="G751" s="264" t="str">
        <f>'Dry_Litterbag Placem_Collection'!C92</f>
        <v>Dry_W4_T2</v>
      </c>
      <c r="H751" s="273" t="s">
        <v>3651</v>
      </c>
      <c r="I751" s="274" t="s">
        <v>298</v>
      </c>
      <c r="J751" s="263" t="str">
        <f>IF(ISBLANK('Dry_Litterbag Placem_Collection'!M92),"","R"&amp;""&amp;'Dry_Litterbag Placem_Collection'!M92)</f>
        <v>R220</v>
      </c>
      <c r="K751" s="267">
        <f>IFERROR(INDEX('Green_rooibos initial weight'!$C$5:$C$1749,MATCH(J751, 'Green_rooibos initial weight'!$A$5:$A$1749,0)),"")</f>
        <v>2.2269999999999999</v>
      </c>
      <c r="L751" s="267">
        <f>IFERROR(K751-(TBIcalc!$Q$9+TBIcalc!$Q$10),"")</f>
        <v>1.9771999999999998</v>
      </c>
      <c r="M751" s="391">
        <f>AVERAGE(Ashed_controlls!$K$12:$K$14)</f>
        <v>2.2816647271287041</v>
      </c>
      <c r="N751" s="267">
        <f t="shared" si="56"/>
        <v>1.9320869250152111</v>
      </c>
      <c r="O751" s="267" t="str">
        <f>IF(IFERROR(INDEX('Both teabags AfterDry'!$D$3:$D$900,MATCH(J751,'Both teabags AfterDry'!$A$3:$A$900,0)),"")="","",(IFERROR(INDEX('Both teabags AfterDry'!$D$3:$D$900,MATCH(J751,'Both teabags AfterDry'!$A$3:$A$900,0)),"")))</f>
        <v/>
      </c>
      <c r="P751" s="267" t="str">
        <f>IFERROR(IF(O751&gt;0,O751-(TBIcalc!$Q$9),""),"")</f>
        <v/>
      </c>
      <c r="Q751" s="278" t="str">
        <f>IFERROR(INDEX('Ashed teabags dry'!$K$2:$K$825,MATCH(J751,'Ashed teabags dry'!$A$2:$A$825,0)),"")</f>
        <v/>
      </c>
      <c r="R751" s="278" t="str">
        <f t="shared" si="57"/>
        <v/>
      </c>
      <c r="S751" s="268">
        <f>'Dry_Litterbag Placem_Collection'!E92</f>
        <v>42937</v>
      </c>
      <c r="T751" s="268">
        <f>IF('Dry_Litterbag Placem_Collection'!G92="","",'Dry_Litterbag Placem_Collection'!G92)</f>
        <v>43006</v>
      </c>
      <c r="U751" s="269">
        <f t="shared" si="55"/>
        <v>69</v>
      </c>
      <c r="V751" s="267" t="str">
        <f t="shared" si="58"/>
        <v/>
      </c>
      <c r="W751" s="267" t="str">
        <f t="shared" si="59"/>
        <v/>
      </c>
      <c r="X751" s="271">
        <f>IFERROR(INDEX(Rainfall_Dry!$O$2:$O$217,MATCH(B751, Rainfall_Dry!$A$2:$A$217,0)),"")</f>
        <v>12.563016860999999</v>
      </c>
      <c r="Y751" s="260">
        <v>28.145762029394</v>
      </c>
      <c r="Z751" s="260">
        <v>25.085564727199518</v>
      </c>
      <c r="AA751" s="260">
        <v>46.768673243406489</v>
      </c>
      <c r="AB751" s="261" t="s">
        <v>2670</v>
      </c>
      <c r="AC751" s="260">
        <v>3.1716214884179399</v>
      </c>
      <c r="AD751">
        <f>IF('WetLitterbags placem_collection'!AB92="","",'WetLitterbags placem_collection'!AB92)</f>
        <v>7.7</v>
      </c>
      <c r="AE751">
        <f>IF('WetLitterbags placem_collection'!Z92="","",'WetLitterbags placem_collection'!Z92)</f>
        <v>30.4</v>
      </c>
      <c r="AF751" s="246" t="str">
        <f>IF('WetLitterbags placem_collection'!AA92="","",'WetLitterbags placem_collection'!AA92)</f>
        <v>O</v>
      </c>
      <c r="AG751">
        <f>IF('WetLitterbags placem_collection'!AC92="","",'WetLitterbags placem_collection'!AC92)</f>
        <v>0</v>
      </c>
      <c r="AH751">
        <f>IFERROR(AVERAGE('Dry_Litterbag Placem_Collection'!O92,'Dry_Litterbag Placem_Collection'!R92),"")</f>
        <v>9.85</v>
      </c>
      <c r="AI751" s="271">
        <f>IFERROR(AVERAGE('Dry_Litterbag Placem_Collection'!N92,'Dry_Litterbag Placem_Collection'!Q92),"")</f>
        <v>26.45</v>
      </c>
      <c r="AJ751" s="270">
        <f>INDEX(Coordinates!$B$2:$B$197,MATCH(G751,Coordinates!$J$2:$J$197,0))</f>
        <v>-3.2966860009999999</v>
      </c>
      <c r="AK751" s="270">
        <f>INDEX(Coordinates!$C$2:$C$197,MATCH(G751,Coordinates!$J$2:$J$197,0))</f>
        <v>34.854371989999997</v>
      </c>
      <c r="AL751" s="270" t="str">
        <f>IF(ISNUMBER(SEARCH("C", 'Dry_Litterbag Placem_Collection'!V92)),"YES","NO")</f>
        <v>NO</v>
      </c>
      <c r="AM751" s="270" t="str">
        <f>IF(ISNUMBER(SEARCH("H", 'Dry_Litterbag Placem_Collection'!V92)),"YES","NO")</f>
        <v>NO</v>
      </c>
      <c r="AN751" s="270" t="str">
        <f>IF(ISNUMBER(SEARCH("R", 'Dry_Litterbag Placem_Collection'!V92)),"YES","NO")</f>
        <v>NO</v>
      </c>
    </row>
    <row r="752" spans="1:40" ht="15" customHeight="1">
      <c r="A752" s="262" t="s">
        <v>2659</v>
      </c>
      <c r="B752" s="263">
        <f>'Dry_Litterbag Placem_Collection'!A93</f>
        <v>91</v>
      </c>
      <c r="C752" s="263" t="str">
        <f>'Dry_Litterbag Placem_Collection'!B93</f>
        <v>Maswa</v>
      </c>
      <c r="D752" s="263" t="s">
        <v>2659</v>
      </c>
      <c r="E752" s="263" t="s">
        <v>2661</v>
      </c>
      <c r="F752" s="263">
        <v>4</v>
      </c>
      <c r="G752" s="264" t="str">
        <f>'Dry_Litterbag Placem_Collection'!C93</f>
        <v>Dry_W4_T3</v>
      </c>
      <c r="H752" s="273" t="s">
        <v>3651</v>
      </c>
      <c r="I752" s="274" t="s">
        <v>298</v>
      </c>
      <c r="J752" s="263" t="str">
        <f>IF(ISBLANK('Dry_Litterbag Placem_Collection'!M93),"","R"&amp;""&amp;'Dry_Litterbag Placem_Collection'!M93)</f>
        <v>R659</v>
      </c>
      <c r="K752" s="267">
        <f>IFERROR(INDEX('Green_rooibos initial weight'!$C$5:$C$1749,MATCH(J752, 'Green_rooibos initial weight'!$A$5:$A$1749,0)),"")</f>
        <v>2.2349999999999999</v>
      </c>
      <c r="L752" s="267">
        <f>IFERROR(K752-(TBIcalc!$Q$9+TBIcalc!$Q$10),"")</f>
        <v>1.9851999999999999</v>
      </c>
      <c r="M752" s="391">
        <f>AVERAGE(Ashed_controlls!$K$12:$K$14)</f>
        <v>2.2816647271287041</v>
      </c>
      <c r="N752" s="267">
        <f t="shared" si="56"/>
        <v>1.9399043918370409</v>
      </c>
      <c r="O752" s="267">
        <f>IF(IFERROR(INDEX('Both teabags AfterDry'!$D$3:$D$900,MATCH(J752,'Both teabags AfterDry'!$A$3:$A$900,0)),"")="","",(IFERROR(INDEX('Both teabags AfterDry'!$D$3:$D$900,MATCH(J752,'Both teabags AfterDry'!$A$3:$A$900,0)),"")))</f>
        <v>2.0495999999999999</v>
      </c>
      <c r="P752" s="267">
        <f>IFERROR(IF(O752&gt;0,O752-(TBIcalc!$Q$9),""),"")</f>
        <v>1.8989999999999998</v>
      </c>
      <c r="Q752" s="278">
        <f>IFERROR(INDEX('Ashed teabags dry'!$K$2:$K$825,MATCH(J752,'Ashed teabags dry'!$A$2:$A$825,0)),"")</f>
        <v>4.1826717883060072</v>
      </c>
      <c r="R752" s="278">
        <f t="shared" si="57"/>
        <v>1.8195710627400687</v>
      </c>
      <c r="S752" s="268">
        <f>'Dry_Litterbag Placem_Collection'!E93</f>
        <v>42937</v>
      </c>
      <c r="T752" s="268">
        <f>IF('Dry_Litterbag Placem_Collection'!G93="","",'Dry_Litterbag Placem_Collection'!G93)</f>
        <v>43006</v>
      </c>
      <c r="U752" s="269">
        <f t="shared" si="55"/>
        <v>69</v>
      </c>
      <c r="V752" s="267">
        <f t="shared" si="58"/>
        <v>8.6200000000000054E-2</v>
      </c>
      <c r="W752" s="267">
        <f t="shared" si="59"/>
        <v>0.12033332909697214</v>
      </c>
      <c r="X752" s="271">
        <f>IFERROR(INDEX(Rainfall_Dry!$O$2:$O$217,MATCH(B752, Rainfall_Dry!$A$2:$A$217,0)),"")</f>
        <v>12.563016860999999</v>
      </c>
      <c r="Y752" s="260">
        <v>28.145762029394</v>
      </c>
      <c r="Z752" s="260">
        <v>25.085564727199518</v>
      </c>
      <c r="AA752" s="260">
        <v>46.768673243406489</v>
      </c>
      <c r="AB752" s="261" t="s">
        <v>2670</v>
      </c>
      <c r="AC752" s="260">
        <v>4.1716214884179399</v>
      </c>
      <c r="AD752">
        <f>IF('WetLitterbags placem_collection'!AB93="","",'WetLitterbags placem_collection'!AB93)</f>
        <v>6.1</v>
      </c>
      <c r="AE752">
        <f>IF('WetLitterbags placem_collection'!Z93="","",'WetLitterbags placem_collection'!Z93)</f>
        <v>39.4</v>
      </c>
      <c r="AF752" s="246" t="str">
        <f>IF('WetLitterbags placem_collection'!AA93="","",'WetLitterbags placem_collection'!AA93)</f>
        <v>O</v>
      </c>
      <c r="AG752">
        <f>IF('WetLitterbags placem_collection'!AC93="","",'WetLitterbags placem_collection'!AC93)</f>
        <v>1</v>
      </c>
      <c r="AH752">
        <f>IFERROR(AVERAGE('Dry_Litterbag Placem_Collection'!O93,'Dry_Litterbag Placem_Collection'!R93),"")</f>
        <v>10.95</v>
      </c>
      <c r="AI752" s="271">
        <f>IFERROR(AVERAGE('Dry_Litterbag Placem_Collection'!N93,'Dry_Litterbag Placem_Collection'!Q93),"")</f>
        <v>25.95</v>
      </c>
      <c r="AJ752" s="270">
        <f>INDEX(Coordinates!$B$2:$B$197,MATCH(G752,Coordinates!$J$2:$J$197,0))</f>
        <v>-3.2966180239999998</v>
      </c>
      <c r="AK752" s="270">
        <f>INDEX(Coordinates!$C$2:$C$197,MATCH(G752,Coordinates!$J$2:$J$197,0))</f>
        <v>34.854464020000002</v>
      </c>
      <c r="AL752" s="270" t="str">
        <f>IF(ISNUMBER(SEARCH("C", 'Dry_Litterbag Placem_Collection'!V93)),"YES","NO")</f>
        <v>NO</v>
      </c>
      <c r="AM752" s="270" t="str">
        <f>IF(ISNUMBER(SEARCH("H", 'Dry_Litterbag Placem_Collection'!V93)),"YES","NO")</f>
        <v>NO</v>
      </c>
      <c r="AN752" s="270" t="str">
        <f>IF(ISNUMBER(SEARCH("R", 'Dry_Litterbag Placem_Collection'!V93)),"YES","NO")</f>
        <v>NO</v>
      </c>
    </row>
    <row r="753" spans="1:40" ht="15" customHeight="1">
      <c r="A753" s="262" t="s">
        <v>2659</v>
      </c>
      <c r="B753" s="263">
        <f>'Dry_Litterbag Placem_Collection'!A94</f>
        <v>92</v>
      </c>
      <c r="C753" s="263" t="str">
        <f>'Dry_Litterbag Placem_Collection'!B94</f>
        <v>Maswa</v>
      </c>
      <c r="D753" s="263" t="s">
        <v>2659</v>
      </c>
      <c r="E753" s="263" t="s">
        <v>2661</v>
      </c>
      <c r="F753" s="263">
        <v>4</v>
      </c>
      <c r="G753" s="264" t="str">
        <f>'Dry_Litterbag Placem_Collection'!C94</f>
        <v>Dry_W4_T4</v>
      </c>
      <c r="H753" s="273" t="s">
        <v>3651</v>
      </c>
      <c r="I753" s="274" t="s">
        <v>298</v>
      </c>
      <c r="J753" s="263" t="str">
        <f>IF(ISBLANK('Dry_Litterbag Placem_Collection'!M94),"","R"&amp;""&amp;'Dry_Litterbag Placem_Collection'!M94)</f>
        <v>R619</v>
      </c>
      <c r="K753" s="267">
        <f>IFERROR(INDEX('Green_rooibos initial weight'!$C$5:$C$1749,MATCH(J753, 'Green_rooibos initial weight'!$A$5:$A$1749,0)),"")</f>
        <v>2.1480000000000001</v>
      </c>
      <c r="L753" s="267">
        <f>IFERROR(K753-(TBIcalc!$Q$9+TBIcalc!$Q$10),"")</f>
        <v>1.8982000000000001</v>
      </c>
      <c r="M753" s="391">
        <f>AVERAGE(Ashed_controlls!$K$12:$K$14)</f>
        <v>2.2816647271287041</v>
      </c>
      <c r="N753" s="267">
        <f t="shared" si="56"/>
        <v>1.854889440149643</v>
      </c>
      <c r="O753" s="267">
        <f>IF(IFERROR(INDEX('Both teabags AfterDry'!$D$3:$D$900,MATCH(J753,'Both teabags AfterDry'!$A$3:$A$900,0)),"")="","",(IFERROR(INDEX('Both teabags AfterDry'!$D$3:$D$900,MATCH(J753,'Both teabags AfterDry'!$A$3:$A$900,0)),"")))</f>
        <v>1.9713000000000001</v>
      </c>
      <c r="P753" s="267">
        <f>IFERROR(IF(O753&gt;0,O753-(TBIcalc!$Q$9),""),"")</f>
        <v>1.8207</v>
      </c>
      <c r="Q753" s="278">
        <f>IFERROR(INDEX('Ashed teabags dry'!$K$2:$K$825,MATCH(J753,'Ashed teabags dry'!$A$2:$A$825,0)),"")</f>
        <v>3.4364261168385459</v>
      </c>
      <c r="R753" s="278">
        <f t="shared" si="57"/>
        <v>1.7581329896907205</v>
      </c>
      <c r="S753" s="268">
        <f>'Dry_Litterbag Placem_Collection'!E94</f>
        <v>42937</v>
      </c>
      <c r="T753" s="268">
        <f>IF('Dry_Litterbag Placem_Collection'!G94="","",'Dry_Litterbag Placem_Collection'!G94)</f>
        <v>43006</v>
      </c>
      <c r="U753" s="269">
        <f t="shared" si="55"/>
        <v>69</v>
      </c>
      <c r="V753" s="267">
        <f t="shared" si="58"/>
        <v>7.7500000000000124E-2</v>
      </c>
      <c r="W753" s="267">
        <f t="shared" si="59"/>
        <v>9.6756450458922449E-2</v>
      </c>
      <c r="X753" s="271">
        <f>IFERROR(INDEX(Rainfall_Dry!$O$2:$O$217,MATCH(B753, Rainfall_Dry!$A$2:$A$217,0)),"")</f>
        <v>12.563016860999999</v>
      </c>
      <c r="Y753" s="260">
        <v>28.145762029394</v>
      </c>
      <c r="Z753" s="260">
        <v>25.085564727199518</v>
      </c>
      <c r="AA753" s="260">
        <v>46.768673243406489</v>
      </c>
      <c r="AB753" s="261" t="s">
        <v>2670</v>
      </c>
      <c r="AC753" s="260">
        <v>5.1716214884179399</v>
      </c>
      <c r="AD753">
        <f>IF('WetLitterbags placem_collection'!AB94="","",'WetLitterbags placem_collection'!AB94)</f>
        <v>7.7</v>
      </c>
      <c r="AE753">
        <f>IF('WetLitterbags placem_collection'!Z94="","",'WetLitterbags placem_collection'!Z94)</f>
        <v>24.8</v>
      </c>
      <c r="AF753" s="246" t="str">
        <f>IF('WetLitterbags placem_collection'!AA94="","",'WetLitterbags placem_collection'!AA94)</f>
        <v>O</v>
      </c>
      <c r="AG753">
        <f>IF('WetLitterbags placem_collection'!AC94="","",'WetLitterbags placem_collection'!AC94)</f>
        <v>1</v>
      </c>
      <c r="AH753">
        <f>IFERROR(AVERAGE('Dry_Litterbag Placem_Collection'!O94,'Dry_Litterbag Placem_Collection'!R94),"")</f>
        <v>10.25</v>
      </c>
      <c r="AI753" s="271">
        <f>IFERROR(AVERAGE('Dry_Litterbag Placem_Collection'!N94,'Dry_Litterbag Placem_Collection'!Q94),"")</f>
        <v>26</v>
      </c>
      <c r="AJ753" s="270">
        <f>INDEX(Coordinates!$B$2:$B$197,MATCH(G753,Coordinates!$J$2:$J$197,0))</f>
        <v>-3.2965539860000002</v>
      </c>
      <c r="AK753" s="270">
        <f>INDEX(Coordinates!$C$2:$C$197,MATCH(G753,Coordinates!$J$2:$J$197,0))</f>
        <v>34.854455969999997</v>
      </c>
      <c r="AL753" s="270" t="str">
        <f>IF(ISNUMBER(SEARCH("C", 'Dry_Litterbag Placem_Collection'!V94)),"YES","NO")</f>
        <v>NO</v>
      </c>
      <c r="AM753" s="270" t="str">
        <f>IF(ISNUMBER(SEARCH("H", 'Dry_Litterbag Placem_Collection'!V94)),"YES","NO")</f>
        <v>NO</v>
      </c>
      <c r="AN753" s="270" t="str">
        <f>IF(ISNUMBER(SEARCH("R", 'Dry_Litterbag Placem_Collection'!V94)),"YES","NO")</f>
        <v>NO</v>
      </c>
    </row>
    <row r="754" spans="1:40" ht="15" customHeight="1">
      <c r="A754" s="262" t="s">
        <v>2659</v>
      </c>
      <c r="B754" s="263">
        <f>'Dry_Litterbag Placem_Collection'!A95</f>
        <v>93</v>
      </c>
      <c r="C754" s="263" t="str">
        <f>'Dry_Litterbag Placem_Collection'!B95</f>
        <v>Maswa</v>
      </c>
      <c r="D754" s="263" t="s">
        <v>2659</v>
      </c>
      <c r="E754" s="263" t="s">
        <v>2661</v>
      </c>
      <c r="F754" s="263">
        <v>4</v>
      </c>
      <c r="G754" s="264" t="str">
        <f>'Dry_Litterbag Placem_Collection'!C95</f>
        <v>Dry_W4_T5</v>
      </c>
      <c r="H754" s="273" t="s">
        <v>3651</v>
      </c>
      <c r="I754" s="274" t="s">
        <v>298</v>
      </c>
      <c r="J754" s="263" t="str">
        <f>IF(ISBLANK('Dry_Litterbag Placem_Collection'!M95),"","R"&amp;""&amp;'Dry_Litterbag Placem_Collection'!M95)</f>
        <v>R106</v>
      </c>
      <c r="K754" s="267">
        <f>IFERROR(INDEX('Green_rooibos initial weight'!$C$5:$C$1749,MATCH(J754, 'Green_rooibos initial weight'!$A$5:$A$1749,0)),"")</f>
        <v>2.2330000000000001</v>
      </c>
      <c r="L754" s="267">
        <f>IFERROR(K754-(TBIcalc!$Q$9+TBIcalc!$Q$10),"")</f>
        <v>1.9832000000000001</v>
      </c>
      <c r="M754" s="391">
        <f>AVERAGE(Ashed_controlls!$K$12:$K$14)</f>
        <v>2.2816647271287041</v>
      </c>
      <c r="N754" s="267">
        <f t="shared" si="56"/>
        <v>1.9379500251315835</v>
      </c>
      <c r="O754" s="267">
        <f>IF(IFERROR(INDEX('Both teabags AfterDry'!$D$3:$D$900,MATCH(J754,'Both teabags AfterDry'!$A$3:$A$900,0)),"")="","",(IFERROR(INDEX('Both teabags AfterDry'!$D$3:$D$900,MATCH(J754,'Both teabags AfterDry'!$A$3:$A$900,0)),"")))</f>
        <v>2.0352999999999999</v>
      </c>
      <c r="P754" s="267">
        <f>IFERROR(IF(O754&gt;0,O754-(TBIcalc!$Q$9),""),"")</f>
        <v>1.8846999999999998</v>
      </c>
      <c r="Q754" s="278">
        <f>IFERROR(INDEX('Ashed teabags dry'!$K$2:$K$825,MATCH(J754,'Ashed teabags dry'!$A$2:$A$825,0)),"")</f>
        <v>2.5896414342635063</v>
      </c>
      <c r="R754" s="278">
        <f t="shared" si="57"/>
        <v>1.8358930278884356</v>
      </c>
      <c r="S754" s="268">
        <f>'Dry_Litterbag Placem_Collection'!E95</f>
        <v>42937</v>
      </c>
      <c r="T754" s="268">
        <f>IF('Dry_Litterbag Placem_Collection'!G95="","",'Dry_Litterbag Placem_Collection'!G95)</f>
        <v>43006</v>
      </c>
      <c r="U754" s="269">
        <f t="shared" si="55"/>
        <v>69</v>
      </c>
      <c r="V754" s="267">
        <f t="shared" si="58"/>
        <v>9.8500000000000254E-2</v>
      </c>
      <c r="W754" s="267">
        <f t="shared" si="59"/>
        <v>0.10205699724314798</v>
      </c>
      <c r="X754" s="271">
        <f>IFERROR(INDEX(Rainfall_Dry!$O$2:$O$217,MATCH(B754, Rainfall_Dry!$A$2:$A$217,0)),"")</f>
        <v>12.563016860999999</v>
      </c>
      <c r="Y754" s="260">
        <v>28.145762029394</v>
      </c>
      <c r="Z754" s="260">
        <v>25.085564727199518</v>
      </c>
      <c r="AA754" s="260">
        <v>46.768673243406489</v>
      </c>
      <c r="AB754" s="261" t="s">
        <v>2670</v>
      </c>
      <c r="AC754" s="260">
        <v>6.1716214884179399</v>
      </c>
      <c r="AD754">
        <f>IF('WetLitterbags placem_collection'!AB95="","",'WetLitterbags placem_collection'!AB95)</f>
        <v>6.6</v>
      </c>
      <c r="AE754">
        <f>IF('WetLitterbags placem_collection'!Z95="","",'WetLitterbags placem_collection'!Z95)</f>
        <v>40</v>
      </c>
      <c r="AF754" s="246" t="str">
        <f>IF('WetLitterbags placem_collection'!AA95="","",'WetLitterbags placem_collection'!AA95)</f>
        <v>O</v>
      </c>
      <c r="AG754">
        <f>IF('WetLitterbags placem_collection'!AC95="","",'WetLitterbags placem_collection'!AC95)</f>
        <v>1</v>
      </c>
      <c r="AH754">
        <f>IFERROR(AVERAGE('Dry_Litterbag Placem_Collection'!O95,'Dry_Litterbag Placem_Collection'!R95),"")</f>
        <v>10.45</v>
      </c>
      <c r="AI754" s="271">
        <f>IFERROR(AVERAGE('Dry_Litterbag Placem_Collection'!N95,'Dry_Litterbag Placem_Collection'!Q95),"")</f>
        <v>26.4</v>
      </c>
      <c r="AJ754" s="270">
        <f>INDEX(Coordinates!$B$2:$B$197,MATCH(G754,Coordinates!$J$2:$J$197,0))</f>
        <v>-3.2964789680000002</v>
      </c>
      <c r="AK754" s="270">
        <f>INDEX(Coordinates!$C$2:$C$197,MATCH(G754,Coordinates!$J$2:$J$197,0))</f>
        <v>34.854331000000002</v>
      </c>
      <c r="AL754" s="270" t="str">
        <f>IF(ISNUMBER(SEARCH("C", 'Dry_Litterbag Placem_Collection'!V95)),"YES","NO")</f>
        <v>NO</v>
      </c>
      <c r="AM754" s="270" t="str">
        <f>IF(ISNUMBER(SEARCH("H", 'Dry_Litterbag Placem_Collection'!V95)),"YES","NO")</f>
        <v>NO</v>
      </c>
      <c r="AN754" s="270" t="str">
        <f>IF(ISNUMBER(SEARCH("R", 'Dry_Litterbag Placem_Collection'!V95)),"YES","NO")</f>
        <v>NO</v>
      </c>
    </row>
    <row r="755" spans="1:40" ht="15" customHeight="1">
      <c r="A755" s="262" t="s">
        <v>2659</v>
      </c>
      <c r="B755" s="263">
        <f>'Dry_Litterbag Placem_Collection'!A96</f>
        <v>94</v>
      </c>
      <c r="C755" s="263" t="str">
        <f>'Dry_Litterbag Placem_Collection'!B96</f>
        <v>Maswa</v>
      </c>
      <c r="D755" s="263" t="s">
        <v>2659</v>
      </c>
      <c r="E755" s="263" t="s">
        <v>2661</v>
      </c>
      <c r="F755" s="263">
        <v>4</v>
      </c>
      <c r="G755" s="264" t="str">
        <f>'Dry_Litterbag Placem_Collection'!C96</f>
        <v>Dry_W4_T6</v>
      </c>
      <c r="H755" s="273" t="s">
        <v>3651</v>
      </c>
      <c r="I755" s="274" t="s">
        <v>298</v>
      </c>
      <c r="J755" s="263" t="str">
        <f>IF(ISBLANK('Dry_Litterbag Placem_Collection'!M96),"","R"&amp;""&amp;'Dry_Litterbag Placem_Collection'!M96)</f>
        <v/>
      </c>
      <c r="K755" s="267" t="str">
        <f>IFERROR(INDEX('Green_rooibos initial weight'!$C$5:$C$1749,MATCH(J755, 'Green_rooibos initial weight'!$A$5:$A$1749,0)),"")</f>
        <v/>
      </c>
      <c r="L755" s="267" t="str">
        <f>IFERROR(K755-(TBIcalc!$Q$9+TBIcalc!$Q$10),"")</f>
        <v/>
      </c>
      <c r="M755" s="391">
        <f>AVERAGE(Ashed_controlls!$K$12:$K$14)</f>
        <v>2.2816647271287041</v>
      </c>
      <c r="N755" s="267" t="str">
        <f t="shared" si="56"/>
        <v/>
      </c>
      <c r="O755" s="267" t="str">
        <f>IF(IFERROR(INDEX('Both teabags AfterDry'!$D$3:$D$900,MATCH(J755,'Both teabags AfterDry'!$A$3:$A$900,0)),"")="","",(IFERROR(INDEX('Both teabags AfterDry'!$D$3:$D$900,MATCH(J755,'Both teabags AfterDry'!$A$3:$A$900,0)),"")))</f>
        <v/>
      </c>
      <c r="P755" s="267" t="str">
        <f>IFERROR(IF(O755&gt;0,O755-(TBIcalc!$Q$9),""),"")</f>
        <v/>
      </c>
      <c r="Q755" s="278" t="str">
        <f>IFERROR(INDEX('Ashed teabags dry'!$K$2:$K$825,MATCH(J755,'Ashed teabags dry'!$A$2:$A$825,0)),"")</f>
        <v/>
      </c>
      <c r="R755" s="278" t="str">
        <f t="shared" si="57"/>
        <v/>
      </c>
      <c r="S755" s="268">
        <f>'Dry_Litterbag Placem_Collection'!E96</f>
        <v>0</v>
      </c>
      <c r="T755" s="268" t="str">
        <f>IF('Dry_Litterbag Placem_Collection'!G96="","",'Dry_Litterbag Placem_Collection'!G96)</f>
        <v/>
      </c>
      <c r="U755" s="269" t="str">
        <f t="shared" si="55"/>
        <v/>
      </c>
      <c r="V755" s="267" t="str">
        <f t="shared" si="58"/>
        <v/>
      </c>
      <c r="W755" s="267" t="str">
        <f t="shared" si="59"/>
        <v/>
      </c>
      <c r="X755" s="271" t="str">
        <f>IFERROR(INDEX(Rainfall_Dry!$O$2:$O$217,MATCH(B755, Rainfall_Dry!$A$2:$A$217,0)),"")</f>
        <v/>
      </c>
      <c r="Y755" s="260">
        <v>28.145762029394</v>
      </c>
      <c r="Z755" s="260">
        <v>25.085564727199518</v>
      </c>
      <c r="AA755" s="260">
        <v>46.768673243406489</v>
      </c>
      <c r="AB755" s="261" t="s">
        <v>2670</v>
      </c>
      <c r="AC755" s="260">
        <v>7.1716214884179399</v>
      </c>
      <c r="AD755" t="str">
        <f>IF('WetLitterbags placem_collection'!AB96="","",'WetLitterbags placem_collection'!AB96)</f>
        <v/>
      </c>
      <c r="AE755" t="str">
        <f>IF('WetLitterbags placem_collection'!Z96="","",'WetLitterbags placem_collection'!Z96)</f>
        <v/>
      </c>
      <c r="AF755" s="246" t="str">
        <f>IF('WetLitterbags placem_collection'!AA96="","",'WetLitterbags placem_collection'!AA96)</f>
        <v/>
      </c>
      <c r="AG755" t="str">
        <f>IF('WetLitterbags placem_collection'!AC96="","",'WetLitterbags placem_collection'!AC96)</f>
        <v/>
      </c>
      <c r="AH755" t="str">
        <f>IFERROR(AVERAGE('Dry_Litterbag Placem_Collection'!O96,'Dry_Litterbag Placem_Collection'!R96),"")</f>
        <v/>
      </c>
      <c r="AI755" s="271" t="str">
        <f>IFERROR(AVERAGE('Dry_Litterbag Placem_Collection'!N96,'Dry_Litterbag Placem_Collection'!Q96),"")</f>
        <v/>
      </c>
      <c r="AJ755" s="270">
        <f>INDEX(Coordinates!$B$2:$B$197,MATCH(G755,Coordinates!$J$2:$J$197,0))</f>
        <v>-3.2964649700000002</v>
      </c>
      <c r="AK755" s="270">
        <f>INDEX(Coordinates!$C$2:$C$197,MATCH(G755,Coordinates!$J$2:$J$197,0))</f>
        <v>34.854340970000003</v>
      </c>
      <c r="AL755" s="270" t="str">
        <f>IF(ISNUMBER(SEARCH("C", 'Dry_Litterbag Placem_Collection'!V96)),"YES","NO")</f>
        <v>NO</v>
      </c>
      <c r="AM755" s="270" t="str">
        <f>IF(ISNUMBER(SEARCH("H", 'Dry_Litterbag Placem_Collection'!V96)),"YES","NO")</f>
        <v>NO</v>
      </c>
      <c r="AN755" s="270" t="str">
        <f>IF(ISNUMBER(SEARCH("R", 'Dry_Litterbag Placem_Collection'!V96)),"YES","NO")</f>
        <v>NO</v>
      </c>
    </row>
    <row r="756" spans="1:40" ht="15" customHeight="1">
      <c r="A756" s="262" t="s">
        <v>2659</v>
      </c>
      <c r="B756" s="263">
        <f>'Dry_Litterbag Placem_Collection'!A97</f>
        <v>95</v>
      </c>
      <c r="C756" s="263" t="str">
        <f>'Dry_Litterbag Placem_Collection'!B97</f>
        <v>Maswa</v>
      </c>
      <c r="D756" s="263" t="s">
        <v>2659</v>
      </c>
      <c r="E756" s="263" t="s">
        <v>2661</v>
      </c>
      <c r="F756" s="263">
        <v>4</v>
      </c>
      <c r="G756" s="264" t="str">
        <f>'Dry_Litterbag Placem_Collection'!C97</f>
        <v>Dry_W4_T7</v>
      </c>
      <c r="H756" s="273" t="s">
        <v>3651</v>
      </c>
      <c r="I756" s="274" t="s">
        <v>298</v>
      </c>
      <c r="J756" s="263" t="str">
        <f>IF(ISBLANK('Dry_Litterbag Placem_Collection'!M97),"","R"&amp;""&amp;'Dry_Litterbag Placem_Collection'!M97)</f>
        <v>R233</v>
      </c>
      <c r="K756" s="267">
        <f>IFERROR(INDEX('Green_rooibos initial weight'!$C$5:$C$1749,MATCH(J756, 'Green_rooibos initial weight'!$A$5:$A$1749,0)),"")</f>
        <v>2.1749999999999998</v>
      </c>
      <c r="L756" s="267">
        <f>IFERROR(K756-(TBIcalc!$Q$9+TBIcalc!$Q$10),"")</f>
        <v>1.9251999999999998</v>
      </c>
      <c r="M756" s="391">
        <f>AVERAGE(Ashed_controlls!$K$12:$K$14)</f>
        <v>2.2816647271287041</v>
      </c>
      <c r="N756" s="267">
        <f t="shared" si="56"/>
        <v>1.8812733906733179</v>
      </c>
      <c r="O756" s="267">
        <f>IF(IFERROR(INDEX('Both teabags AfterDry'!$D$3:$D$900,MATCH(J756,'Both teabags AfterDry'!$A$3:$A$900,0)),"")="","",(IFERROR(INDEX('Both teabags AfterDry'!$D$3:$D$900,MATCH(J756,'Both teabags AfterDry'!$A$3:$A$900,0)),"")))</f>
        <v>1.9479</v>
      </c>
      <c r="P756" s="267">
        <f>IFERROR(IF(O756&gt;0,O756-(TBIcalc!$Q$9),""),"")</f>
        <v>1.7972999999999999</v>
      </c>
      <c r="Q756" s="278">
        <f>IFERROR(INDEX('Ashed teabags dry'!$K$2:$K$825,MATCH(J756,'Ashed teabags dry'!$A$2:$A$825,0)),"")</f>
        <v>2.2635814889335339</v>
      </c>
      <c r="R756" s="278">
        <f t="shared" si="57"/>
        <v>1.7566166498993976</v>
      </c>
      <c r="S756" s="268">
        <f>'Dry_Litterbag Placem_Collection'!E97</f>
        <v>42937</v>
      </c>
      <c r="T756" s="268">
        <f>IF('Dry_Litterbag Placem_Collection'!G97="","",'Dry_Litterbag Placem_Collection'!G97)</f>
        <v>43006</v>
      </c>
      <c r="U756" s="269">
        <f t="shared" si="55"/>
        <v>69</v>
      </c>
      <c r="V756" s="267">
        <f t="shared" si="58"/>
        <v>0.1278999999999999</v>
      </c>
      <c r="W756" s="267">
        <f t="shared" si="59"/>
        <v>0.1246567407739203</v>
      </c>
      <c r="X756" s="271">
        <f>IFERROR(INDEX(Rainfall_Dry!$O$2:$O$217,MATCH(B756, Rainfall_Dry!$A$2:$A$217,0)),"")</f>
        <v>12.563016860999999</v>
      </c>
      <c r="Y756" s="260">
        <v>28.145762029394</v>
      </c>
      <c r="Z756" s="260">
        <v>25.085564727199518</v>
      </c>
      <c r="AA756" s="260">
        <v>46.768673243406489</v>
      </c>
      <c r="AB756" s="261" t="s">
        <v>2670</v>
      </c>
      <c r="AC756" s="260">
        <v>8.1716214884179408</v>
      </c>
      <c r="AD756">
        <f>IF('WetLitterbags placem_collection'!AB97="","",'WetLitterbags placem_collection'!AB97)</f>
        <v>5.4</v>
      </c>
      <c r="AE756">
        <f>IF('WetLitterbags placem_collection'!Z97="","",'WetLitterbags placem_collection'!Z97)</f>
        <v>15.2</v>
      </c>
      <c r="AF756" s="246" t="str">
        <f>IF('WetLitterbags placem_collection'!AA97="","",'WetLitterbags placem_collection'!AA97)</f>
        <v>O</v>
      </c>
      <c r="AG756">
        <f>IF('WetLitterbags placem_collection'!AC97="","",'WetLitterbags placem_collection'!AC97)</f>
        <v>0</v>
      </c>
      <c r="AH756">
        <f>IFERROR(AVERAGE('Dry_Litterbag Placem_Collection'!O97,'Dry_Litterbag Placem_Collection'!R97),"")</f>
        <v>8.75</v>
      </c>
      <c r="AI756" s="271">
        <f>IFERROR(AVERAGE('Dry_Litterbag Placem_Collection'!N97,'Dry_Litterbag Placem_Collection'!Q97),"")</f>
        <v>27.35</v>
      </c>
      <c r="AJ756" s="270">
        <f>INDEX(Coordinates!$B$2:$B$197,MATCH(G756,Coordinates!$J$2:$J$197,0))</f>
        <v>-3.296725983</v>
      </c>
      <c r="AK756" s="270">
        <f>INDEX(Coordinates!$C$2:$C$197,MATCH(G756,Coordinates!$J$2:$J$197,0))</f>
        <v>34.854216000000001</v>
      </c>
      <c r="AL756" s="270" t="str">
        <f>IF(ISNUMBER(SEARCH("C", 'Dry_Litterbag Placem_Collection'!V97)),"YES","NO")</f>
        <v>NO</v>
      </c>
      <c r="AM756" s="270" t="str">
        <f>IF(ISNUMBER(SEARCH("H", 'Dry_Litterbag Placem_Collection'!V97)),"YES","NO")</f>
        <v>NO</v>
      </c>
      <c r="AN756" s="270" t="str">
        <f>IF(ISNUMBER(SEARCH("R", 'Dry_Litterbag Placem_Collection'!V97)),"YES","NO")</f>
        <v>NO</v>
      </c>
    </row>
    <row r="757" spans="1:40" ht="15" customHeight="1">
      <c r="A757" s="262" t="s">
        <v>2659</v>
      </c>
      <c r="B757" s="263">
        <f>'Dry_Litterbag Placem_Collection'!A98</f>
        <v>96</v>
      </c>
      <c r="C757" s="263" t="str">
        <f>'Dry_Litterbag Placem_Collection'!B98</f>
        <v>Maswa</v>
      </c>
      <c r="D757" s="263" t="s">
        <v>2659</v>
      </c>
      <c r="E757" s="263" t="s">
        <v>2661</v>
      </c>
      <c r="F757" s="263">
        <v>4</v>
      </c>
      <c r="G757" s="264" t="str">
        <f>'Dry_Litterbag Placem_Collection'!C98</f>
        <v>Dry_W4_T8</v>
      </c>
      <c r="H757" s="273" t="s">
        <v>3651</v>
      </c>
      <c r="I757" s="274" t="s">
        <v>298</v>
      </c>
      <c r="J757" s="263" t="str">
        <f>IF(ISBLANK('Dry_Litterbag Placem_Collection'!M98),"","R"&amp;""&amp;'Dry_Litterbag Placem_Collection'!M98)</f>
        <v>R698</v>
      </c>
      <c r="K757" s="267">
        <f>IFERROR(INDEX('Green_rooibos initial weight'!$C$5:$C$1749,MATCH(J757, 'Green_rooibos initial weight'!$A$5:$A$1749,0)),"")</f>
        <v>2.1779999999999999</v>
      </c>
      <c r="L757" s="267">
        <f>IFERROR(K757-(TBIcalc!$Q$9+TBIcalc!$Q$10),"")</f>
        <v>1.9281999999999999</v>
      </c>
      <c r="M757" s="391">
        <f>AVERAGE(Ashed_controlls!$K$12:$K$14)</f>
        <v>2.2816647271287041</v>
      </c>
      <c r="N757" s="267">
        <f t="shared" si="56"/>
        <v>1.8842049407315042</v>
      </c>
      <c r="O757" s="267">
        <f>IF(IFERROR(INDEX('Both teabags AfterDry'!$D$3:$D$900,MATCH(J757,'Both teabags AfterDry'!$A$3:$A$900,0)),"")="","",(IFERROR(INDEX('Both teabags AfterDry'!$D$3:$D$900,MATCH(J757,'Both teabags AfterDry'!$A$3:$A$900,0)),"")))</f>
        <v>2.0065</v>
      </c>
      <c r="P757" s="267">
        <f>IFERROR(IF(O757&gt;0,O757-(TBIcalc!$Q$9),""),"")</f>
        <v>1.8558999999999999</v>
      </c>
      <c r="Q757" s="278">
        <f>IFERROR(INDEX('Ashed teabags dry'!$K$2:$K$825,MATCH(J757,'Ashed teabags dry'!$A$2:$A$825,0)),"")</f>
        <v>3.4017008504250739</v>
      </c>
      <c r="R757" s="278">
        <f t="shared" si="57"/>
        <v>1.792767833916961</v>
      </c>
      <c r="S757" s="268">
        <f>'Dry_Litterbag Placem_Collection'!E98</f>
        <v>42937</v>
      </c>
      <c r="T757" s="268">
        <f>IF('Dry_Litterbag Placem_Collection'!G98="","",'Dry_Litterbag Placem_Collection'!G98)</f>
        <v>43006</v>
      </c>
      <c r="U757" s="269">
        <f t="shared" si="55"/>
        <v>69</v>
      </c>
      <c r="V757" s="267">
        <f t="shared" si="58"/>
        <v>7.2300000000000031E-2</v>
      </c>
      <c r="W757" s="267">
        <f t="shared" si="59"/>
        <v>9.1437106814543201E-2</v>
      </c>
      <c r="X757" s="271">
        <f>IFERROR(INDEX(Rainfall_Dry!$O$2:$O$217,MATCH(B757, Rainfall_Dry!$A$2:$A$217,0)),"")</f>
        <v>12.563016860999999</v>
      </c>
      <c r="Y757" s="260">
        <v>28.145762029394</v>
      </c>
      <c r="Z757" s="260">
        <v>25.085564727199518</v>
      </c>
      <c r="AA757" s="260">
        <v>46.768673243406489</v>
      </c>
      <c r="AB757" s="261" t="s">
        <v>2670</v>
      </c>
      <c r="AC757" s="260">
        <v>9.1716214884179408</v>
      </c>
      <c r="AD757">
        <f>IF('WetLitterbags placem_collection'!AB98="","",'WetLitterbags placem_collection'!AB98)</f>
        <v>4</v>
      </c>
      <c r="AE757">
        <f>IF('WetLitterbags placem_collection'!Z98="","",'WetLitterbags placem_collection'!Z98)</f>
        <v>34.4</v>
      </c>
      <c r="AF757" s="246" t="str">
        <f>IF('WetLitterbags placem_collection'!AA98="","",'WetLitterbags placem_collection'!AA98)</f>
        <v>O</v>
      </c>
      <c r="AG757">
        <f>IF('WetLitterbags placem_collection'!AC98="","",'WetLitterbags placem_collection'!AC98)</f>
        <v>0</v>
      </c>
      <c r="AH757">
        <f>IFERROR(AVERAGE('Dry_Litterbag Placem_Collection'!O98,'Dry_Litterbag Placem_Collection'!R98),"")</f>
        <v>5.0999999999999996</v>
      </c>
      <c r="AI757" s="271">
        <f>IFERROR(AVERAGE('Dry_Litterbag Placem_Collection'!N98,'Dry_Litterbag Placem_Collection'!Q98),"")</f>
        <v>25.950000000000003</v>
      </c>
      <c r="AJ757" s="270">
        <f>INDEX(Coordinates!$B$2:$B$197,MATCH(G757,Coordinates!$J$2:$J$197,0))</f>
        <v>-3.2968360369999998</v>
      </c>
      <c r="AK757" s="270">
        <f>INDEX(Coordinates!$C$2:$C$197,MATCH(G757,Coordinates!$J$2:$J$197,0))</f>
        <v>34.854462009999999</v>
      </c>
      <c r="AL757" s="270" t="str">
        <f>IF(ISNUMBER(SEARCH("C", 'Dry_Litterbag Placem_Collection'!V98)),"YES","NO")</f>
        <v>NO</v>
      </c>
      <c r="AM757" s="270" t="str">
        <f>IF(ISNUMBER(SEARCH("H", 'Dry_Litterbag Placem_Collection'!V98)),"YES","NO")</f>
        <v>NO</v>
      </c>
      <c r="AN757" s="270" t="str">
        <f>IF(ISNUMBER(SEARCH("R", 'Dry_Litterbag Placem_Collection'!V98)),"YES","NO")</f>
        <v>NO</v>
      </c>
    </row>
    <row r="758" spans="1:40" ht="15" customHeight="1">
      <c r="A758" s="262" t="s">
        <v>2659</v>
      </c>
      <c r="B758" s="263">
        <f>'Dry_Litterbag Placem_Collection'!A99</f>
        <v>97</v>
      </c>
      <c r="C758" s="263" t="str">
        <f>'Dry_Litterbag Placem_Collection'!B99</f>
        <v xml:space="preserve">Mwantimba
</v>
      </c>
      <c r="D758" s="263" t="s">
        <v>2460</v>
      </c>
      <c r="E758" s="263" t="s">
        <v>2660</v>
      </c>
      <c r="F758" s="263">
        <v>1</v>
      </c>
      <c r="G758" s="264" t="str">
        <f>'Dry_Litterbag Placem_Collection'!C99</f>
        <v>Wet_Ag1_T1</v>
      </c>
      <c r="H758" s="273" t="s">
        <v>3651</v>
      </c>
      <c r="I758" s="274" t="s">
        <v>298</v>
      </c>
      <c r="J758" s="263" t="str">
        <f>IF(ISBLANK('Dry_Litterbag Placem_Collection'!M99),"","R"&amp;""&amp;'Dry_Litterbag Placem_Collection'!M99)</f>
        <v>R47</v>
      </c>
      <c r="K758" s="267">
        <f>IFERROR(INDEX('Green_rooibos initial weight'!$C$5:$C$1749,MATCH(J758, 'Green_rooibos initial weight'!$A$5:$A$1749,0)),"")</f>
        <v>2.1850000000000001</v>
      </c>
      <c r="L758" s="267">
        <f>IFERROR(K758-(TBIcalc!$Q$9+TBIcalc!$Q$10),"")</f>
        <v>1.9352</v>
      </c>
      <c r="M758" s="391">
        <f>AVERAGE(Ashed_controlls!$K$12:$K$14)</f>
        <v>2.2816647271287041</v>
      </c>
      <c r="N758" s="267">
        <f t="shared" si="56"/>
        <v>1.8910452242006053</v>
      </c>
      <c r="O758" s="267" t="str">
        <f>IF(IFERROR(INDEX('Both teabags AfterDry'!$D$3:$D$900,MATCH(J758,'Both teabags AfterDry'!$A$3:$A$900,0)),"")="","",(IFERROR(INDEX('Both teabags AfterDry'!$D$3:$D$900,MATCH(J758,'Both teabags AfterDry'!$A$3:$A$900,0)),"")))</f>
        <v/>
      </c>
      <c r="P758" s="267" t="str">
        <f>IFERROR(IF(O758&gt;0,O758-(TBIcalc!$Q$9),""),"")</f>
        <v/>
      </c>
      <c r="Q758" s="278" t="str">
        <f>IFERROR(INDEX('Ashed teabags dry'!$K$2:$K$825,MATCH(J758,'Ashed teabags dry'!$A$2:$A$825,0)),"")</f>
        <v/>
      </c>
      <c r="R758" s="278" t="str">
        <f t="shared" si="57"/>
        <v/>
      </c>
      <c r="S758" s="268">
        <f>'Dry_Litterbag Placem_Collection'!E99</f>
        <v>42939</v>
      </c>
      <c r="T758" s="268">
        <f>IF('Dry_Litterbag Placem_Collection'!G99="","",'Dry_Litterbag Placem_Collection'!G99)</f>
        <v>43010</v>
      </c>
      <c r="U758" s="269">
        <f t="shared" si="55"/>
        <v>71</v>
      </c>
      <c r="V758" s="267" t="str">
        <f t="shared" si="58"/>
        <v/>
      </c>
      <c r="W758" s="267" t="str">
        <f t="shared" si="59"/>
        <v/>
      </c>
      <c r="X758" s="271">
        <f>IFERROR(INDEX(Rainfall_Dry!$O$2:$O$217,MATCH(B758, Rainfall_Dry!$A$2:$A$217,0)),"")</f>
        <v>137.19979645800001</v>
      </c>
      <c r="Y758" s="260">
        <v>45.96</v>
      </c>
      <c r="Z758" s="260">
        <v>14.920000000000003</v>
      </c>
      <c r="AA758" s="260">
        <v>39.119999999999997</v>
      </c>
      <c r="AB758" s="261" t="s">
        <v>2673</v>
      </c>
      <c r="AC758" s="260">
        <v>2.0374568753080333</v>
      </c>
      <c r="AD758">
        <f>IF('WetLitterbags placem_collection'!AB99="","",'WetLitterbags placem_collection'!AB99)</f>
        <v>2.4</v>
      </c>
      <c r="AE758">
        <f>IF('WetLitterbags placem_collection'!Z99="","",'WetLitterbags placem_collection'!Z99)</f>
        <v>8.9</v>
      </c>
      <c r="AF758" s="246" t="str">
        <f>IF('WetLitterbags placem_collection'!AA99="","",'WetLitterbags placem_collection'!AA99)</f>
        <v>G</v>
      </c>
      <c r="AG758">
        <f>IF('WetLitterbags placem_collection'!AC99="","",'WetLitterbags placem_collection'!AC99)</f>
        <v>1</v>
      </c>
      <c r="AH758">
        <f>IFERROR(AVERAGE('Dry_Litterbag Placem_Collection'!O99,'Dry_Litterbag Placem_Collection'!R99),"")</f>
        <v>6.6</v>
      </c>
      <c r="AI758" s="271">
        <f>IFERROR(AVERAGE('Dry_Litterbag Placem_Collection'!N99,'Dry_Litterbag Placem_Collection'!Q99),"")</f>
        <v>28.5</v>
      </c>
      <c r="AJ758" s="270">
        <f>INDEX(Coordinates!$B$2:$B$197,MATCH(G758,Coordinates!$J$2:$J$197,0))</f>
        <v>-2.3691620310000001</v>
      </c>
      <c r="AK758" s="270">
        <f>INDEX(Coordinates!$C$2:$C$197,MATCH(G758,Coordinates!$J$2:$J$197,0))</f>
        <v>34.06028104</v>
      </c>
      <c r="AL758" s="270" t="str">
        <f>IF(ISNUMBER(SEARCH("C", 'Dry_Litterbag Placem_Collection'!V99)),"YES","NO")</f>
        <v>NO</v>
      </c>
      <c r="AM758" s="270" t="str">
        <f>IF(ISNUMBER(SEARCH("H", 'Dry_Litterbag Placem_Collection'!V99)),"YES","NO")</f>
        <v>NO</v>
      </c>
      <c r="AN758" s="270" t="str">
        <f>IF(ISNUMBER(SEARCH("R", 'Dry_Litterbag Placem_Collection'!V99)),"YES","NO")</f>
        <v>NO</v>
      </c>
    </row>
    <row r="759" spans="1:40" ht="15" customHeight="1">
      <c r="A759" s="262" t="s">
        <v>2659</v>
      </c>
      <c r="B759" s="263">
        <f>'Dry_Litterbag Placem_Collection'!A100</f>
        <v>98</v>
      </c>
      <c r="C759" s="263" t="str">
        <f>'Dry_Litterbag Placem_Collection'!B100</f>
        <v xml:space="preserve">Mwantimba
</v>
      </c>
      <c r="D759" s="263" t="s">
        <v>2460</v>
      </c>
      <c r="E759" s="263" t="s">
        <v>2660</v>
      </c>
      <c r="F759" s="263">
        <v>1</v>
      </c>
      <c r="G759" s="264" t="str">
        <f>'Dry_Litterbag Placem_Collection'!C100</f>
        <v>Wet_Ag1_T2</v>
      </c>
      <c r="H759" s="273" t="s">
        <v>3651</v>
      </c>
      <c r="I759" s="274" t="s">
        <v>298</v>
      </c>
      <c r="J759" s="263" t="str">
        <f>IF(ISBLANK('Dry_Litterbag Placem_Collection'!M100),"","R"&amp;""&amp;'Dry_Litterbag Placem_Collection'!M100)</f>
        <v>R707</v>
      </c>
      <c r="K759" s="267">
        <f>IFERROR(INDEX('Green_rooibos initial weight'!$C$5:$C$1749,MATCH(J759, 'Green_rooibos initial weight'!$A$5:$A$1749,0)),"")</f>
        <v>2.145</v>
      </c>
      <c r="L759" s="267">
        <f>IFERROR(K759-(TBIcalc!$Q$9+TBIcalc!$Q$10),"")</f>
        <v>1.8952</v>
      </c>
      <c r="M759" s="391">
        <f>AVERAGE(Ashed_controlls!$K$12:$K$14)</f>
        <v>2.2816647271287041</v>
      </c>
      <c r="N759" s="267">
        <f t="shared" si="56"/>
        <v>1.8519578900914568</v>
      </c>
      <c r="O759" s="267">
        <f>IF(IFERROR(INDEX('Both teabags AfterDry'!$D$3:$D$900,MATCH(J759,'Both teabags AfterDry'!$A$3:$A$900,0)),"")="","",(IFERROR(INDEX('Both teabags AfterDry'!$D$3:$D$900,MATCH(J759,'Both teabags AfterDry'!$A$3:$A$900,0)),"")))</f>
        <v>1.8146</v>
      </c>
      <c r="P759" s="267">
        <f>IFERROR(IF(O759&gt;0,O759-(TBIcalc!$Q$9),""),"")</f>
        <v>1.6639999999999999</v>
      </c>
      <c r="Q759" s="278">
        <f>IFERROR(INDEX('Ashed teabags dry'!$K$2:$K$825,MATCH(J759,'Ashed teabags dry'!$A$2:$A$825,0)),"")</f>
        <v>4.2060491493383303</v>
      </c>
      <c r="R759" s="278">
        <f t="shared" si="57"/>
        <v>1.5940113421550102</v>
      </c>
      <c r="S759" s="268">
        <f>'Dry_Litterbag Placem_Collection'!E100</f>
        <v>42939</v>
      </c>
      <c r="T759" s="268">
        <f>IF('Dry_Litterbag Placem_Collection'!G100="","",'Dry_Litterbag Placem_Collection'!G100)</f>
        <v>43010</v>
      </c>
      <c r="U759" s="269">
        <f t="shared" si="55"/>
        <v>71</v>
      </c>
      <c r="V759" s="267">
        <f t="shared" si="58"/>
        <v>0.23120000000000007</v>
      </c>
      <c r="W759" s="267">
        <f t="shared" si="59"/>
        <v>0.25794654793644667</v>
      </c>
      <c r="X759" s="271">
        <f>IFERROR(INDEX(Rainfall_Dry!$O$2:$O$217,MATCH(B759, Rainfall_Dry!$A$2:$A$217,0)),"")</f>
        <v>137.19979645800001</v>
      </c>
      <c r="Y759" s="260">
        <v>45.96</v>
      </c>
      <c r="Z759" s="260">
        <v>14.920000000000003</v>
      </c>
      <c r="AA759" s="260">
        <v>39.119999999999997</v>
      </c>
      <c r="AB759" s="261" t="s">
        <v>2673</v>
      </c>
      <c r="AC759" s="260">
        <v>3.0374568753080302</v>
      </c>
      <c r="AD759">
        <f>IF('WetLitterbags placem_collection'!AB100="","",'WetLitterbags placem_collection'!AB100)</f>
        <v>7.8</v>
      </c>
      <c r="AE759">
        <f>IF('WetLitterbags placem_collection'!Z100="","",'WetLitterbags placem_collection'!Z100)</f>
        <v>4.45</v>
      </c>
      <c r="AF759" s="246" t="str">
        <f>IF('WetLitterbags placem_collection'!AA100="","",'WetLitterbags placem_collection'!AA100)</f>
        <v>G</v>
      </c>
      <c r="AG759">
        <f>IF('WetLitterbags placem_collection'!AC100="","",'WetLitterbags placem_collection'!AC100)</f>
        <v>1</v>
      </c>
      <c r="AH759">
        <f>IFERROR(AVERAGE('Dry_Litterbag Placem_Collection'!O100,'Dry_Litterbag Placem_Collection'!R100),"")</f>
        <v>7.25</v>
      </c>
      <c r="AI759" s="271">
        <f>IFERROR(AVERAGE('Dry_Litterbag Placem_Collection'!N100,'Dry_Litterbag Placem_Collection'!Q100),"")</f>
        <v>29.3</v>
      </c>
      <c r="AJ759" s="270">
        <f>INDEX(Coordinates!$B$2:$B$197,MATCH(G759,Coordinates!$J$2:$J$197,0))</f>
        <v>-2.3692249790000002</v>
      </c>
      <c r="AK759" s="270">
        <f>INDEX(Coordinates!$C$2:$C$197,MATCH(G759,Coordinates!$J$2:$J$197,0))</f>
        <v>34.060285989999997</v>
      </c>
      <c r="AL759" s="270" t="str">
        <f>IF(ISNUMBER(SEARCH("C", 'Dry_Litterbag Placem_Collection'!V100)),"YES","NO")</f>
        <v>NO</v>
      </c>
      <c r="AM759" s="270" t="str">
        <f>IF(ISNUMBER(SEARCH("H", 'Dry_Litterbag Placem_Collection'!V100)),"YES","NO")</f>
        <v>NO</v>
      </c>
      <c r="AN759" s="270" t="str">
        <f>IF(ISNUMBER(SEARCH("R", 'Dry_Litterbag Placem_Collection'!V100)),"YES","NO")</f>
        <v>NO</v>
      </c>
    </row>
    <row r="760" spans="1:40" ht="15" customHeight="1">
      <c r="A760" s="262" t="s">
        <v>2659</v>
      </c>
      <c r="B760" s="263">
        <f>'Dry_Litterbag Placem_Collection'!A101</f>
        <v>99</v>
      </c>
      <c r="C760" s="263" t="str">
        <f>'Dry_Litterbag Placem_Collection'!B101</f>
        <v xml:space="preserve">Mwantimba
</v>
      </c>
      <c r="D760" s="263" t="s">
        <v>2460</v>
      </c>
      <c r="E760" s="263" t="s">
        <v>2660</v>
      </c>
      <c r="F760" s="263">
        <v>1</v>
      </c>
      <c r="G760" s="264" t="str">
        <f>'Dry_Litterbag Placem_Collection'!C101</f>
        <v>Wet_Ag1_T3</v>
      </c>
      <c r="H760" s="273" t="s">
        <v>3651</v>
      </c>
      <c r="I760" s="274" t="s">
        <v>298</v>
      </c>
      <c r="J760" s="263" t="str">
        <f>IF(ISBLANK('Dry_Litterbag Placem_Collection'!M101),"","R"&amp;""&amp;'Dry_Litterbag Placem_Collection'!M101)</f>
        <v/>
      </c>
      <c r="K760" s="267" t="str">
        <f>IFERROR(INDEX('Green_rooibos initial weight'!$C$5:$C$1749,MATCH(J760, 'Green_rooibos initial weight'!$A$5:$A$1749,0)),"")</f>
        <v/>
      </c>
      <c r="L760" s="267" t="str">
        <f>IFERROR(K760-(TBIcalc!$Q$9+TBIcalc!$Q$10),"")</f>
        <v/>
      </c>
      <c r="M760" s="391">
        <f>AVERAGE(Ashed_controlls!$K$12:$K$14)</f>
        <v>2.2816647271287041</v>
      </c>
      <c r="N760" s="267" t="str">
        <f t="shared" si="56"/>
        <v/>
      </c>
      <c r="O760" s="267" t="str">
        <f>IF(IFERROR(INDEX('Both teabags AfterDry'!$D$3:$D$900,MATCH(J760,'Both teabags AfterDry'!$A$3:$A$900,0)),"")="","",(IFERROR(INDEX('Both teabags AfterDry'!$D$3:$D$900,MATCH(J760,'Both teabags AfterDry'!$A$3:$A$900,0)),"")))</f>
        <v/>
      </c>
      <c r="P760" s="267" t="str">
        <f>IFERROR(IF(O760&gt;0,O760-(TBIcalc!$Q$9),""),"")</f>
        <v/>
      </c>
      <c r="Q760" s="278" t="str">
        <f>IFERROR(INDEX('Ashed teabags dry'!$K$2:$K$825,MATCH(J760,'Ashed teabags dry'!$A$2:$A$825,0)),"")</f>
        <v/>
      </c>
      <c r="R760" s="278" t="str">
        <f t="shared" si="57"/>
        <v/>
      </c>
      <c r="S760" s="268">
        <f>'Dry_Litterbag Placem_Collection'!E101</f>
        <v>0</v>
      </c>
      <c r="T760" s="268" t="str">
        <f>IF('Dry_Litterbag Placem_Collection'!G101="","",'Dry_Litterbag Placem_Collection'!G101)</f>
        <v/>
      </c>
      <c r="U760" s="269" t="str">
        <f t="shared" si="55"/>
        <v/>
      </c>
      <c r="V760" s="267" t="str">
        <f t="shared" si="58"/>
        <v/>
      </c>
      <c r="W760" s="267" t="str">
        <f t="shared" si="59"/>
        <v/>
      </c>
      <c r="X760" s="271" t="str">
        <f>IFERROR(INDEX(Rainfall_Dry!$O$2:$O$217,MATCH(B760, Rainfall_Dry!$A$2:$A$217,0)),"")</f>
        <v/>
      </c>
      <c r="Y760" s="260">
        <v>45.96</v>
      </c>
      <c r="Z760" s="260">
        <v>14.920000000000003</v>
      </c>
      <c r="AA760" s="260">
        <v>39.119999999999997</v>
      </c>
      <c r="AB760" s="261" t="s">
        <v>2673</v>
      </c>
      <c r="AC760" s="260">
        <v>4.0374568753080302</v>
      </c>
      <c r="AD760">
        <f>IF('WetLitterbags placem_collection'!AB101="","",'WetLitterbags placem_collection'!AB101)</f>
        <v>5.0999999999999996</v>
      </c>
      <c r="AE760">
        <f>IF('WetLitterbags placem_collection'!Z101="","",'WetLitterbags placem_collection'!Z101)</f>
        <v>2.2999999999999998</v>
      </c>
      <c r="AF760" s="246" t="str">
        <f>IF('WetLitterbags placem_collection'!AA101="","",'WetLitterbags placem_collection'!AA101)</f>
        <v>G</v>
      </c>
      <c r="AG760">
        <f>IF('WetLitterbags placem_collection'!AC101="","",'WetLitterbags placem_collection'!AC101)</f>
        <v>0</v>
      </c>
      <c r="AH760" t="str">
        <f>IFERROR(AVERAGE('Dry_Litterbag Placem_Collection'!O101,'Dry_Litterbag Placem_Collection'!R101),"")</f>
        <v/>
      </c>
      <c r="AI760" s="271" t="str">
        <f>IFERROR(AVERAGE('Dry_Litterbag Placem_Collection'!N101,'Dry_Litterbag Placem_Collection'!Q101),"")</f>
        <v/>
      </c>
      <c r="AJ760" s="270">
        <f>INDEX(Coordinates!$B$2:$B$197,MATCH(G760,Coordinates!$J$2:$J$197,0))</f>
        <v>-2.369284993</v>
      </c>
      <c r="AK760" s="270">
        <f>INDEX(Coordinates!$C$2:$C$197,MATCH(G760,Coordinates!$J$2:$J$197,0))</f>
        <v>34.06028104</v>
      </c>
      <c r="AL760" s="270" t="str">
        <f>IF(ISNUMBER(SEARCH("C", 'Dry_Litterbag Placem_Collection'!V101)),"YES","NO")</f>
        <v>NO</v>
      </c>
      <c r="AM760" s="270" t="str">
        <f>IF(ISNUMBER(SEARCH("H", 'Dry_Litterbag Placem_Collection'!V101)),"YES","NO")</f>
        <v>NO</v>
      </c>
      <c r="AN760" s="270" t="str">
        <f>IF(ISNUMBER(SEARCH("R", 'Dry_Litterbag Placem_Collection'!V101)),"YES","NO")</f>
        <v>NO</v>
      </c>
    </row>
    <row r="761" spans="1:40" ht="15" customHeight="1">
      <c r="A761" s="262" t="s">
        <v>2659</v>
      </c>
      <c r="B761" s="263">
        <f>'Dry_Litterbag Placem_Collection'!A102</f>
        <v>100</v>
      </c>
      <c r="C761" s="263" t="str">
        <f>'Dry_Litterbag Placem_Collection'!B102</f>
        <v xml:space="preserve">Mwantimba
</v>
      </c>
      <c r="D761" s="263" t="s">
        <v>2460</v>
      </c>
      <c r="E761" s="263" t="s">
        <v>2660</v>
      </c>
      <c r="F761" s="263">
        <v>1</v>
      </c>
      <c r="G761" s="264" t="str">
        <f>'Dry_Litterbag Placem_Collection'!C102</f>
        <v>Wet_Ag1_T4</v>
      </c>
      <c r="H761" s="273" t="s">
        <v>3651</v>
      </c>
      <c r="I761" s="274" t="s">
        <v>298</v>
      </c>
      <c r="J761" s="263" t="str">
        <f>IF(ISBLANK('Dry_Litterbag Placem_Collection'!M102),"","R"&amp;""&amp;'Dry_Litterbag Placem_Collection'!M102)</f>
        <v>R641</v>
      </c>
      <c r="K761" s="267">
        <f>IFERROR(INDEX('Green_rooibos initial weight'!$C$5:$C$1749,MATCH(J761, 'Green_rooibos initial weight'!$A$5:$A$1749,0)),"")</f>
        <v>2.1459999999999999</v>
      </c>
      <c r="L761" s="267">
        <f>IFERROR(K761-(TBIcalc!$Q$9+TBIcalc!$Q$10),"")</f>
        <v>1.8961999999999999</v>
      </c>
      <c r="M761" s="391">
        <f>AVERAGE(Ashed_controlls!$K$12:$K$14)</f>
        <v>2.2816647271287041</v>
      </c>
      <c r="N761" s="267">
        <f t="shared" si="56"/>
        <v>1.8529350734441854</v>
      </c>
      <c r="O761" s="267">
        <f>IF(IFERROR(INDEX('Both teabags AfterDry'!$D$3:$D$900,MATCH(J761,'Both teabags AfterDry'!$A$3:$A$900,0)),"")="","",(IFERROR(INDEX('Both teabags AfterDry'!$D$3:$D$900,MATCH(J761,'Both teabags AfterDry'!$A$3:$A$900,0)),"")))</f>
        <v>1.9777</v>
      </c>
      <c r="P761" s="267">
        <f>IFERROR(IF(O761&gt;0,O761-(TBIcalc!$Q$9),""),"")</f>
        <v>1.8270999999999999</v>
      </c>
      <c r="Q761" s="278">
        <f>IFERROR(INDEX('Ashed teabags dry'!$K$2:$K$825,MATCH(J761,'Ashed teabags dry'!$A$2:$A$825,0)),"")</f>
        <v>3.7708830548921735</v>
      </c>
      <c r="R761" s="278">
        <f t="shared" si="57"/>
        <v>1.758202195704065</v>
      </c>
      <c r="S761" s="268">
        <f>'Dry_Litterbag Placem_Collection'!E102</f>
        <v>42939</v>
      </c>
      <c r="T761" s="268">
        <f>IF('Dry_Litterbag Placem_Collection'!G102="","",'Dry_Litterbag Placem_Collection'!G102)</f>
        <v>43010</v>
      </c>
      <c r="U761" s="269">
        <f t="shared" si="55"/>
        <v>71</v>
      </c>
      <c r="V761" s="267">
        <f t="shared" si="58"/>
        <v>6.9099999999999939E-2</v>
      </c>
      <c r="W761" s="267">
        <f t="shared" si="59"/>
        <v>9.4732877740120403E-2</v>
      </c>
      <c r="X761" s="271">
        <f>IFERROR(INDEX(Rainfall_Dry!$O$2:$O$217,MATCH(B761, Rainfall_Dry!$A$2:$A$217,0)),"")</f>
        <v>137.19979645800001</v>
      </c>
      <c r="Y761" s="260">
        <v>45.96</v>
      </c>
      <c r="Z761" s="260">
        <v>14.920000000000003</v>
      </c>
      <c r="AA761" s="260">
        <v>39.119999999999997</v>
      </c>
      <c r="AB761" s="261" t="s">
        <v>2673</v>
      </c>
      <c r="AC761" s="260">
        <v>5.0374568753080302</v>
      </c>
      <c r="AD761">
        <f>IF('WetLitterbags placem_collection'!AB102="","",'WetLitterbags placem_collection'!AB102)</f>
        <v>1.6</v>
      </c>
      <c r="AE761">
        <f>IF('WetLitterbags placem_collection'!Z102="","",'WetLitterbags placem_collection'!Z102)</f>
        <v>15</v>
      </c>
      <c r="AF761" s="246" t="str">
        <f>IF('WetLitterbags placem_collection'!AA102="","",'WetLitterbags placem_collection'!AA102)</f>
        <v>G</v>
      </c>
      <c r="AG761">
        <f>IF('WetLitterbags placem_collection'!AC102="","",'WetLitterbags placem_collection'!AC102)</f>
        <v>1</v>
      </c>
      <c r="AH761">
        <f>IFERROR(AVERAGE('Dry_Litterbag Placem_Collection'!O102,'Dry_Litterbag Placem_Collection'!R102),"")</f>
        <v>6.75</v>
      </c>
      <c r="AI761" s="271">
        <f>IFERROR(AVERAGE('Dry_Litterbag Placem_Collection'!N102,'Dry_Litterbag Placem_Collection'!Q102),"")</f>
        <v>29.1</v>
      </c>
      <c r="AJ761" s="270">
        <f>INDEX(Coordinates!$B$2:$B$197,MATCH(G761,Coordinates!$J$2:$J$197,0))</f>
        <v>-2.3691989950000001</v>
      </c>
      <c r="AK761" s="270">
        <f>INDEX(Coordinates!$C$2:$C$197,MATCH(G761,Coordinates!$J$2:$J$197,0))</f>
        <v>34.060208029999998</v>
      </c>
      <c r="AL761" s="270" t="str">
        <f>IF(ISNUMBER(SEARCH("C", 'Dry_Litterbag Placem_Collection'!V102)),"YES","NO")</f>
        <v>NO</v>
      </c>
      <c r="AM761" s="270" t="str">
        <f>IF(ISNUMBER(SEARCH("H", 'Dry_Litterbag Placem_Collection'!V102)),"YES","NO")</f>
        <v>NO</v>
      </c>
      <c r="AN761" s="270" t="str">
        <f>IF(ISNUMBER(SEARCH("R", 'Dry_Litterbag Placem_Collection'!V102)),"YES","NO")</f>
        <v>NO</v>
      </c>
    </row>
    <row r="762" spans="1:40" ht="15" customHeight="1">
      <c r="A762" s="262" t="s">
        <v>2659</v>
      </c>
      <c r="B762" s="263">
        <f>'Dry_Litterbag Placem_Collection'!A103</f>
        <v>101</v>
      </c>
      <c r="C762" s="263" t="str">
        <f>'Dry_Litterbag Placem_Collection'!B103</f>
        <v xml:space="preserve">Mwantimba
</v>
      </c>
      <c r="D762" s="263" t="s">
        <v>2460</v>
      </c>
      <c r="E762" s="263" t="s">
        <v>2660</v>
      </c>
      <c r="F762" s="263">
        <v>1</v>
      </c>
      <c r="G762" s="264" t="str">
        <f>'Dry_Litterbag Placem_Collection'!C103</f>
        <v>Wet_Ag1_T5</v>
      </c>
      <c r="H762" s="273" t="s">
        <v>3651</v>
      </c>
      <c r="I762" s="274" t="s">
        <v>298</v>
      </c>
      <c r="J762" s="263" t="str">
        <f>IF(ISBLANK('Dry_Litterbag Placem_Collection'!M103),"","R"&amp;""&amp;'Dry_Litterbag Placem_Collection'!M103)</f>
        <v>R245</v>
      </c>
      <c r="K762" s="267">
        <f>IFERROR(INDEX('Green_rooibos initial weight'!$C$5:$C$1749,MATCH(J762, 'Green_rooibos initial weight'!$A$5:$A$1749,0)),"")</f>
        <v>2.258</v>
      </c>
      <c r="L762" s="267">
        <f>IFERROR(K762-(TBIcalc!$Q$9+TBIcalc!$Q$10),"")</f>
        <v>2.0082</v>
      </c>
      <c r="M762" s="391">
        <f>AVERAGE(Ashed_controlls!$K$12:$K$14)</f>
        <v>2.2816647271287041</v>
      </c>
      <c r="N762" s="267">
        <f t="shared" si="56"/>
        <v>1.9623796089498013</v>
      </c>
      <c r="O762" s="267">
        <f>IF(IFERROR(INDEX('Both teabags AfterDry'!$D$3:$D$900,MATCH(J762,'Both teabags AfterDry'!$A$3:$A$900,0)),"")="","",(IFERROR(INDEX('Both teabags AfterDry'!$D$3:$D$900,MATCH(J762,'Both teabags AfterDry'!$A$3:$A$900,0)),"")))</f>
        <v>1.8418000000000001</v>
      </c>
      <c r="P762" s="267">
        <f>IFERROR(IF(O762&gt;0,O762-(TBIcalc!$Q$9),""),"")</f>
        <v>1.6912</v>
      </c>
      <c r="Q762" s="278">
        <f>IFERROR(INDEX('Ashed teabags dry'!$K$2:$K$825,MATCH(J762,'Ashed teabags dry'!$A$2:$A$825,0)),"")</f>
        <v>3.2786885245898914</v>
      </c>
      <c r="R762" s="278">
        <f t="shared" si="57"/>
        <v>1.6357508196721358</v>
      </c>
      <c r="S762" s="268">
        <f>'Dry_Litterbag Placem_Collection'!E103</f>
        <v>42939</v>
      </c>
      <c r="T762" s="268">
        <f>IF('Dry_Litterbag Placem_Collection'!G103="","",'Dry_Litterbag Placem_Collection'!G103)</f>
        <v>43010</v>
      </c>
      <c r="U762" s="269">
        <f t="shared" si="55"/>
        <v>71</v>
      </c>
      <c r="V762" s="267">
        <f t="shared" si="58"/>
        <v>0.31699999999999995</v>
      </c>
      <c r="W762" s="267">
        <f t="shared" si="59"/>
        <v>0.32662878927766559</v>
      </c>
      <c r="X762" s="271">
        <f>IFERROR(INDEX(Rainfall_Dry!$O$2:$O$217,MATCH(B762, Rainfall_Dry!$A$2:$A$217,0)),"")</f>
        <v>137.19979645800001</v>
      </c>
      <c r="Y762" s="260">
        <v>45.96</v>
      </c>
      <c r="Z762" s="260">
        <v>14.920000000000003</v>
      </c>
      <c r="AA762" s="260">
        <v>39.119999999999997</v>
      </c>
      <c r="AB762" s="261" t="s">
        <v>2673</v>
      </c>
      <c r="AC762" s="260">
        <v>6.0374568753080302</v>
      </c>
      <c r="AD762">
        <f>IF('WetLitterbags placem_collection'!AB103="","",'WetLitterbags placem_collection'!AB103)</f>
        <v>4.3499999999999996</v>
      </c>
      <c r="AE762">
        <f>IF('WetLitterbags placem_collection'!Z103="","",'WetLitterbags placem_collection'!Z103)</f>
        <v>17</v>
      </c>
      <c r="AF762" s="246" t="str">
        <f>IF('WetLitterbags placem_collection'!AA103="","",'WetLitterbags placem_collection'!AA103)</f>
        <v>G</v>
      </c>
      <c r="AG762">
        <f>IF('WetLitterbags placem_collection'!AC103="","",'WetLitterbags placem_collection'!AC103)</f>
        <v>1</v>
      </c>
      <c r="AH762">
        <f>IFERROR(AVERAGE('Dry_Litterbag Placem_Collection'!O103,'Dry_Litterbag Placem_Collection'!R103),"")</f>
        <v>7.75</v>
      </c>
      <c r="AI762" s="271">
        <f>IFERROR(AVERAGE('Dry_Litterbag Placem_Collection'!N103,'Dry_Litterbag Placem_Collection'!Q103),"")</f>
        <v>29.549999999999997</v>
      </c>
      <c r="AJ762" s="270">
        <f>INDEX(Coordinates!$B$2:$B$197,MATCH(G762,Coordinates!$J$2:$J$197,0))</f>
        <v>-2.3691900260000001</v>
      </c>
      <c r="AK762" s="270">
        <f>INDEX(Coordinates!$C$2:$C$197,MATCH(G762,Coordinates!$J$2:$J$197,0))</f>
        <v>34.060177019999998</v>
      </c>
      <c r="AL762" s="270" t="str">
        <f>IF(ISNUMBER(SEARCH("C", 'Dry_Litterbag Placem_Collection'!V103)),"YES","NO")</f>
        <v>NO</v>
      </c>
      <c r="AM762" s="270" t="str">
        <f>IF(ISNUMBER(SEARCH("H", 'Dry_Litterbag Placem_Collection'!V103)),"YES","NO")</f>
        <v>NO</v>
      </c>
      <c r="AN762" s="270" t="str">
        <f>IF(ISNUMBER(SEARCH("R", 'Dry_Litterbag Placem_Collection'!V103)),"YES","NO")</f>
        <v>NO</v>
      </c>
    </row>
    <row r="763" spans="1:40" ht="15" customHeight="1">
      <c r="A763" s="262" t="s">
        <v>2659</v>
      </c>
      <c r="B763" s="263">
        <f>'Dry_Litterbag Placem_Collection'!A104</f>
        <v>102</v>
      </c>
      <c r="C763" s="263" t="str">
        <f>'Dry_Litterbag Placem_Collection'!B104</f>
        <v xml:space="preserve">Mwantimba
</v>
      </c>
      <c r="D763" s="263" t="s">
        <v>2460</v>
      </c>
      <c r="E763" s="263" t="s">
        <v>2660</v>
      </c>
      <c r="F763" s="263">
        <v>1</v>
      </c>
      <c r="G763" s="264" t="str">
        <f>'Dry_Litterbag Placem_Collection'!C104</f>
        <v>Wet_Ag1_T6</v>
      </c>
      <c r="H763" s="273" t="s">
        <v>3651</v>
      </c>
      <c r="I763" s="274" t="s">
        <v>298</v>
      </c>
      <c r="J763" s="263" t="str">
        <f>IF(ISBLANK('Dry_Litterbag Placem_Collection'!M104),"","R"&amp;""&amp;'Dry_Litterbag Placem_Collection'!M104)</f>
        <v>R714</v>
      </c>
      <c r="K763" s="267">
        <f>IFERROR(INDEX('Green_rooibos initial weight'!$C$5:$C$1749,MATCH(J763, 'Green_rooibos initial weight'!$A$5:$A$1749,0)),"")</f>
        <v>2.1560000000000001</v>
      </c>
      <c r="L763" s="267">
        <f>IFERROR(K763-(TBIcalc!$Q$9+TBIcalc!$Q$10),"")</f>
        <v>1.9062000000000001</v>
      </c>
      <c r="M763" s="391">
        <f>AVERAGE(Ashed_controlls!$K$12:$K$14)</f>
        <v>2.2816647271287041</v>
      </c>
      <c r="N763" s="267">
        <f t="shared" si="56"/>
        <v>1.8627069069714728</v>
      </c>
      <c r="O763" s="267">
        <f>IF(IFERROR(INDEX('Both teabags AfterDry'!$D$3:$D$900,MATCH(J763,'Both teabags AfterDry'!$A$3:$A$900,0)),"")="","",(IFERROR(INDEX('Both teabags AfterDry'!$D$3:$D$900,MATCH(J763,'Both teabags AfterDry'!$A$3:$A$900,0)),"")))</f>
        <v>1.8105</v>
      </c>
      <c r="P763" s="267">
        <f>IFERROR(IF(O763&gt;0,O763-(TBIcalc!$Q$9),""),"")</f>
        <v>1.6598999999999999</v>
      </c>
      <c r="Q763" s="278">
        <f>IFERROR(INDEX('Ashed teabags dry'!$K$2:$K$825,MATCH(J763,'Ashed teabags dry'!$A$2:$A$825,0)),"")</f>
        <v>4.3863535666823292</v>
      </c>
      <c r="R763" s="278">
        <f t="shared" si="57"/>
        <v>1.5870909171466399</v>
      </c>
      <c r="S763" s="268">
        <f>'Dry_Litterbag Placem_Collection'!E104</f>
        <v>42939</v>
      </c>
      <c r="T763" s="268">
        <f>IF('Dry_Litterbag Placem_Collection'!G104="","",'Dry_Litterbag Placem_Collection'!G104)</f>
        <v>43010</v>
      </c>
      <c r="U763" s="269">
        <f t="shared" si="55"/>
        <v>71</v>
      </c>
      <c r="V763" s="267">
        <f t="shared" si="58"/>
        <v>0.24630000000000019</v>
      </c>
      <c r="W763" s="267">
        <f t="shared" si="59"/>
        <v>0.27561598982483293</v>
      </c>
      <c r="X763" s="271">
        <f>IFERROR(INDEX(Rainfall_Dry!$O$2:$O$217,MATCH(B763, Rainfall_Dry!$A$2:$A$217,0)),"")</f>
        <v>137.19979645800001</v>
      </c>
      <c r="Y763" s="260">
        <v>45.96</v>
      </c>
      <c r="Z763" s="260">
        <v>14.920000000000003</v>
      </c>
      <c r="AA763" s="260">
        <v>39.119999999999997</v>
      </c>
      <c r="AB763" s="261" t="s">
        <v>2673</v>
      </c>
      <c r="AC763" s="260">
        <v>7.0374568753080302</v>
      </c>
      <c r="AD763">
        <f>IF('WetLitterbags placem_collection'!AB104="","",'WetLitterbags placem_collection'!AB104)</f>
        <v>7.7</v>
      </c>
      <c r="AE763">
        <f>IF('WetLitterbags placem_collection'!Z104="","",'WetLitterbags placem_collection'!Z104)</f>
        <v>21</v>
      </c>
      <c r="AF763" s="246" t="str">
        <f>IF('WetLitterbags placem_collection'!AA104="","",'WetLitterbags placem_collection'!AA104)</f>
        <v>G</v>
      </c>
      <c r="AG763">
        <f>IF('WetLitterbags placem_collection'!AC104="","",'WetLitterbags placem_collection'!AC104)</f>
        <v>1</v>
      </c>
      <c r="AH763">
        <f>IFERROR(AVERAGE('Dry_Litterbag Placem_Collection'!O104,'Dry_Litterbag Placem_Collection'!R104),"")</f>
        <v>7.3000000000000007</v>
      </c>
      <c r="AI763" s="271">
        <f>IFERROR(AVERAGE('Dry_Litterbag Placem_Collection'!N104,'Dry_Litterbag Placem_Collection'!Q104),"")</f>
        <v>29.05</v>
      </c>
      <c r="AJ763" s="270">
        <f>INDEX(Coordinates!$B$2:$B$197,MATCH(G763,Coordinates!$J$2:$J$197,0))</f>
        <v>-2.3691350409999998</v>
      </c>
      <c r="AK763" s="270">
        <f>INDEX(Coordinates!$C$2:$C$197,MATCH(G763,Coordinates!$J$2:$J$197,0))</f>
        <v>34.06018297</v>
      </c>
      <c r="AL763" s="270" t="str">
        <f>IF(ISNUMBER(SEARCH("C", 'Dry_Litterbag Placem_Collection'!V104)),"YES","NO")</f>
        <v>NO</v>
      </c>
      <c r="AM763" s="270" t="str">
        <f>IF(ISNUMBER(SEARCH("H", 'Dry_Litterbag Placem_Collection'!V104)),"YES","NO")</f>
        <v>NO</v>
      </c>
      <c r="AN763" s="270" t="str">
        <f>IF(ISNUMBER(SEARCH("R", 'Dry_Litterbag Placem_Collection'!V104)),"YES","NO")</f>
        <v>NO</v>
      </c>
    </row>
    <row r="764" spans="1:40" ht="15" customHeight="1">
      <c r="A764" s="262" t="s">
        <v>2659</v>
      </c>
      <c r="B764" s="263">
        <f>'Dry_Litterbag Placem_Collection'!A105</f>
        <v>103</v>
      </c>
      <c r="C764" s="263" t="str">
        <f>'Dry_Litterbag Placem_Collection'!B105</f>
        <v xml:space="preserve">Mwantimba
</v>
      </c>
      <c r="D764" s="263" t="s">
        <v>2460</v>
      </c>
      <c r="E764" s="263" t="s">
        <v>2660</v>
      </c>
      <c r="F764" s="263">
        <v>1</v>
      </c>
      <c r="G764" s="264" t="str">
        <f>'Dry_Litterbag Placem_Collection'!C105</f>
        <v>Wet_Ag1_T7</v>
      </c>
      <c r="H764" s="273" t="s">
        <v>3651</v>
      </c>
      <c r="I764" s="274" t="s">
        <v>298</v>
      </c>
      <c r="J764" s="263" t="str">
        <f>IF(ISBLANK('Dry_Litterbag Placem_Collection'!M105),"","R"&amp;""&amp;'Dry_Litterbag Placem_Collection'!M105)</f>
        <v>R701</v>
      </c>
      <c r="K764" s="267">
        <f>IFERROR(INDEX('Green_rooibos initial weight'!$C$5:$C$1749,MATCH(J764, 'Green_rooibos initial weight'!$A$5:$A$1749,0)),"")</f>
        <v>2.1549999999999998</v>
      </c>
      <c r="L764" s="267">
        <f>IFERROR(K764-(TBIcalc!$Q$9+TBIcalc!$Q$10),"")</f>
        <v>1.9051999999999998</v>
      </c>
      <c r="M764" s="391">
        <f>AVERAGE(Ashed_controlls!$K$12:$K$14)</f>
        <v>2.2816647271287041</v>
      </c>
      <c r="N764" s="267">
        <f t="shared" si="56"/>
        <v>1.8617297236187438</v>
      </c>
      <c r="O764" s="267">
        <f>IF(IFERROR(INDEX('Both teabags AfterDry'!$D$3:$D$900,MATCH(J764,'Both teabags AfterDry'!$A$3:$A$900,0)),"")="","",(IFERROR(INDEX('Both teabags AfterDry'!$D$3:$D$900,MATCH(J764,'Both teabags AfterDry'!$A$3:$A$900,0)),"")))</f>
        <v>1.8272999999999999</v>
      </c>
      <c r="P764" s="267">
        <f>IFERROR(IF(O764&gt;0,O764-(TBIcalc!$Q$9),""),"")</f>
        <v>1.6766999999999999</v>
      </c>
      <c r="Q764" s="278">
        <f>IFERROR(INDEX('Ashed teabags dry'!$K$2:$K$825,MATCH(J764,'Ashed teabags dry'!$A$2:$A$825,0)),"")</f>
        <v>4.2152466367706989</v>
      </c>
      <c r="R764" s="278">
        <f t="shared" si="57"/>
        <v>1.6060229596412656</v>
      </c>
      <c r="S764" s="268">
        <f>'Dry_Litterbag Placem_Collection'!E105</f>
        <v>42939</v>
      </c>
      <c r="T764" s="268">
        <f>IF('Dry_Litterbag Placem_Collection'!G105="","",'Dry_Litterbag Placem_Collection'!G105)</f>
        <v>43010</v>
      </c>
      <c r="U764" s="269">
        <f t="shared" si="55"/>
        <v>71</v>
      </c>
      <c r="V764" s="267">
        <f t="shared" si="58"/>
        <v>0.22849999999999993</v>
      </c>
      <c r="W764" s="267">
        <f t="shared" si="59"/>
        <v>0.25570676397747816</v>
      </c>
      <c r="X764" s="271">
        <f>IFERROR(INDEX(Rainfall_Dry!$O$2:$O$217,MATCH(B764, Rainfall_Dry!$A$2:$A$217,0)),"")</f>
        <v>137.19979645800001</v>
      </c>
      <c r="Y764" s="260">
        <v>45.96</v>
      </c>
      <c r="Z764" s="260">
        <v>14.920000000000003</v>
      </c>
      <c r="AA764" s="260">
        <v>39.119999999999997</v>
      </c>
      <c r="AB764" s="261" t="s">
        <v>2673</v>
      </c>
      <c r="AC764" s="260">
        <v>8.0374568753080293</v>
      </c>
      <c r="AD764">
        <f>IF('WetLitterbags placem_collection'!AB105="","",'WetLitterbags placem_collection'!AB105)</f>
        <v>3.25</v>
      </c>
      <c r="AE764">
        <f>IF('WetLitterbags placem_collection'!Z105="","",'WetLitterbags placem_collection'!Z105)</f>
        <v>16</v>
      </c>
      <c r="AF764" s="246" t="str">
        <f>IF('WetLitterbags placem_collection'!AA105="","",'WetLitterbags placem_collection'!AA105)</f>
        <v>G</v>
      </c>
      <c r="AG764">
        <f>IF('WetLitterbags placem_collection'!AC105="","",'WetLitterbags placem_collection'!AC105)</f>
        <v>1</v>
      </c>
      <c r="AH764">
        <f>IFERROR(AVERAGE('Dry_Litterbag Placem_Collection'!O105,'Dry_Litterbag Placem_Collection'!R105),"")</f>
        <v>30.9</v>
      </c>
      <c r="AI764" s="271">
        <f>IFERROR(AVERAGE('Dry_Litterbag Placem_Collection'!N105,'Dry_Litterbag Placem_Collection'!Q105),"")</f>
        <v>28.799999999999997</v>
      </c>
      <c r="AJ764" s="270">
        <f>INDEX(Coordinates!$B$2:$B$197,MATCH(G764,Coordinates!$J$2:$J$197,0))</f>
        <v>-2.3691330289999999</v>
      </c>
      <c r="AK764" s="270">
        <f>INDEX(Coordinates!$C$2:$C$197,MATCH(G764,Coordinates!$J$2:$J$197,0))</f>
        <v>34.060233009999997</v>
      </c>
      <c r="AL764" s="270" t="str">
        <f>IF(ISNUMBER(SEARCH("C", 'Dry_Litterbag Placem_Collection'!V105)),"YES","NO")</f>
        <v>NO</v>
      </c>
      <c r="AM764" s="270" t="str">
        <f>IF(ISNUMBER(SEARCH("H", 'Dry_Litterbag Placem_Collection'!V105)),"YES","NO")</f>
        <v>NO</v>
      </c>
      <c r="AN764" s="270" t="str">
        <f>IF(ISNUMBER(SEARCH("R", 'Dry_Litterbag Placem_Collection'!V105)),"YES","NO")</f>
        <v>NO</v>
      </c>
    </row>
    <row r="765" spans="1:40" ht="15" customHeight="1">
      <c r="A765" s="262" t="s">
        <v>2659</v>
      </c>
      <c r="B765" s="263">
        <f>'Dry_Litterbag Placem_Collection'!A106</f>
        <v>104</v>
      </c>
      <c r="C765" s="263" t="str">
        <f>'Dry_Litterbag Placem_Collection'!B106</f>
        <v xml:space="preserve">Mwantimba
</v>
      </c>
      <c r="D765" s="263" t="s">
        <v>2460</v>
      </c>
      <c r="E765" s="263" t="s">
        <v>2660</v>
      </c>
      <c r="F765" s="263">
        <v>1</v>
      </c>
      <c r="G765" s="264" t="str">
        <f>'Dry_Litterbag Placem_Collection'!C106</f>
        <v>Wet_Ag1_T8</v>
      </c>
      <c r="H765" s="273" t="s">
        <v>3651</v>
      </c>
      <c r="I765" s="274" t="s">
        <v>298</v>
      </c>
      <c r="J765" s="263" t="str">
        <f>IF(ISBLANK('Dry_Litterbag Placem_Collection'!M106),"","R"&amp;""&amp;'Dry_Litterbag Placem_Collection'!M106)</f>
        <v>R365</v>
      </c>
      <c r="K765" s="267">
        <f>IFERROR(INDEX('Green_rooibos initial weight'!$C$5:$C$1749,MATCH(J765, 'Green_rooibos initial weight'!$A$5:$A$1749,0)),"")</f>
        <v>2.2130000000000001</v>
      </c>
      <c r="L765" s="267">
        <f>IFERROR(K765-(TBIcalc!$Q$9+TBIcalc!$Q$10),"")</f>
        <v>1.9632000000000001</v>
      </c>
      <c r="M765" s="391">
        <f>AVERAGE(Ashed_controlls!$K$12:$K$14)</f>
        <v>2.2816647271287041</v>
      </c>
      <c r="N765" s="267">
        <f t="shared" si="56"/>
        <v>1.9184063580770094</v>
      </c>
      <c r="O765" s="267">
        <f>IF(IFERROR(INDEX('Both teabags AfterDry'!$D$3:$D$900,MATCH(J765,'Both teabags AfterDry'!$A$3:$A$900,0)),"")="","",(IFERROR(INDEX('Both teabags AfterDry'!$D$3:$D$900,MATCH(J765,'Both teabags AfterDry'!$A$3:$A$900,0)),"")))</f>
        <v>1.9468000000000001</v>
      </c>
      <c r="P765" s="267">
        <f>IFERROR(IF(O765&gt;0,O765-(TBIcalc!$Q$9),""),"")</f>
        <v>1.7962</v>
      </c>
      <c r="Q765" s="278">
        <f>IFERROR(INDEX('Ashed teabags dry'!$K$2:$K$825,MATCH(J765,'Ashed teabags dry'!$A$2:$A$825,0)),"")</f>
        <v>3.5681186283600224</v>
      </c>
      <c r="R765" s="278">
        <f t="shared" si="57"/>
        <v>1.7321094531973973</v>
      </c>
      <c r="S765" s="268">
        <f>'Dry_Litterbag Placem_Collection'!E106</f>
        <v>42939</v>
      </c>
      <c r="T765" s="268">
        <f>IF('Dry_Litterbag Placem_Collection'!G106="","",'Dry_Litterbag Placem_Collection'!G106)</f>
        <v>43010</v>
      </c>
      <c r="U765" s="269">
        <f t="shared" si="55"/>
        <v>71</v>
      </c>
      <c r="V765" s="267">
        <f t="shared" si="58"/>
        <v>0.16700000000000004</v>
      </c>
      <c r="W765" s="267">
        <f t="shared" si="59"/>
        <v>0.18629690487961215</v>
      </c>
      <c r="X765" s="271">
        <f>IFERROR(INDEX(Rainfall_Dry!$O$2:$O$217,MATCH(B765, Rainfall_Dry!$A$2:$A$217,0)),"")</f>
        <v>137.19979645800001</v>
      </c>
      <c r="Y765" s="260">
        <v>45.96</v>
      </c>
      <c r="Z765" s="260">
        <v>14.920000000000003</v>
      </c>
      <c r="AA765" s="260">
        <v>39.119999999999997</v>
      </c>
      <c r="AB765" s="261" t="s">
        <v>2673</v>
      </c>
      <c r="AC765" s="260">
        <v>9.0374568753080293</v>
      </c>
      <c r="AD765">
        <f>IF('WetLitterbags placem_collection'!AB106="","",'WetLitterbags placem_collection'!AB106)</f>
        <v>10.5</v>
      </c>
      <c r="AE765">
        <f>IF('WetLitterbags placem_collection'!Z106="","",'WetLitterbags placem_collection'!Z106)</f>
        <v>17</v>
      </c>
      <c r="AF765" s="246" t="str">
        <f>IF('WetLitterbags placem_collection'!AA106="","",'WetLitterbags placem_collection'!AA106)</f>
        <v>G</v>
      </c>
      <c r="AG765">
        <f>IF('WetLitterbags placem_collection'!AC106="","",'WetLitterbags placem_collection'!AC106)</f>
        <v>1</v>
      </c>
      <c r="AH765">
        <f>IFERROR(AVERAGE('Dry_Litterbag Placem_Collection'!O106,'Dry_Litterbag Placem_Collection'!R106),"")</f>
        <v>9.3000000000000007</v>
      </c>
      <c r="AI765" s="271">
        <f>IFERROR(AVERAGE('Dry_Litterbag Placem_Collection'!N106,'Dry_Litterbag Placem_Collection'!Q106),"")</f>
        <v>28.05</v>
      </c>
      <c r="AJ765" s="270">
        <f>INDEX(Coordinates!$B$2:$B$197,MATCH(G765,Coordinates!$J$2:$J$197,0))</f>
        <v>-2.3692910280000001</v>
      </c>
      <c r="AK765" s="270">
        <f>INDEX(Coordinates!$C$2:$C$197,MATCH(G765,Coordinates!$J$2:$J$197,0))</f>
        <v>34.06016202</v>
      </c>
      <c r="AL765" s="270" t="str">
        <f>IF(ISNUMBER(SEARCH("C", 'Dry_Litterbag Placem_Collection'!V106)),"YES","NO")</f>
        <v>NO</v>
      </c>
      <c r="AM765" s="270" t="str">
        <f>IF(ISNUMBER(SEARCH("H", 'Dry_Litterbag Placem_Collection'!V106)),"YES","NO")</f>
        <v>NO</v>
      </c>
      <c r="AN765" s="270" t="str">
        <f>IF(ISNUMBER(SEARCH("R", 'Dry_Litterbag Placem_Collection'!V106)),"YES","NO")</f>
        <v>NO</v>
      </c>
    </row>
    <row r="766" spans="1:40" ht="15" customHeight="1">
      <c r="A766" s="262" t="s">
        <v>2659</v>
      </c>
      <c r="B766" s="263">
        <f>'Dry_Litterbag Placem_Collection'!A107</f>
        <v>105</v>
      </c>
      <c r="C766" s="263" t="str">
        <f>'Dry_Litterbag Placem_Collection'!B107</f>
        <v xml:space="preserve">Mwantimba
</v>
      </c>
      <c r="D766" s="263" t="s">
        <v>2460</v>
      </c>
      <c r="E766" s="263" t="s">
        <v>2660</v>
      </c>
      <c r="F766" s="263">
        <v>2</v>
      </c>
      <c r="G766" s="264" t="str">
        <f>'Dry_Litterbag Placem_Collection'!C107</f>
        <v>Wet_Ag2_T1</v>
      </c>
      <c r="H766" s="273" t="s">
        <v>3651</v>
      </c>
      <c r="I766" s="274" t="s">
        <v>298</v>
      </c>
      <c r="J766" s="263" t="str">
        <f>IF(ISBLANK('Dry_Litterbag Placem_Collection'!M107),"","R"&amp;""&amp;'Dry_Litterbag Placem_Collection'!M107)</f>
        <v>R212</v>
      </c>
      <c r="K766" s="267">
        <f>IFERROR(INDEX('Green_rooibos initial weight'!$C$5:$C$1749,MATCH(J766, 'Green_rooibos initial weight'!$A$5:$A$1749,0)),"")</f>
        <v>2.2519999999999998</v>
      </c>
      <c r="L766" s="267">
        <f>IFERROR(K766-(TBIcalc!$Q$9+TBIcalc!$Q$10),"")</f>
        <v>2.0021999999999998</v>
      </c>
      <c r="M766" s="391">
        <f>AVERAGE(Ashed_controlls!$K$12:$K$14)</f>
        <v>2.2816647271287041</v>
      </c>
      <c r="N766" s="267">
        <f t="shared" si="56"/>
        <v>1.9565165088334289</v>
      </c>
      <c r="O766" s="267">
        <f>IF(IFERROR(INDEX('Both teabags AfterDry'!$D$3:$D$900,MATCH(J766,'Both teabags AfterDry'!$A$3:$A$900,0)),"")="","",(IFERROR(INDEX('Both teabags AfterDry'!$D$3:$D$900,MATCH(J766,'Both teabags AfterDry'!$A$3:$A$900,0)),"")))</f>
        <v>1.9135</v>
      </c>
      <c r="P766" s="267">
        <f>IFERROR(IF(O766&gt;0,O766-(TBIcalc!$Q$9),""),"")</f>
        <v>1.7628999999999999</v>
      </c>
      <c r="Q766" s="278">
        <f>IFERROR(INDEX('Ashed teabags dry'!$K$2:$K$825,MATCH(J766,'Ashed teabags dry'!$A$2:$A$825,0)),"")</f>
        <v>7.1020019065774402</v>
      </c>
      <c r="R766" s="278">
        <f t="shared" si="57"/>
        <v>1.6376988083889463</v>
      </c>
      <c r="S766" s="268">
        <f>'Dry_Litterbag Placem_Collection'!E107</f>
        <v>42939</v>
      </c>
      <c r="T766" s="268">
        <f>IF('Dry_Litterbag Placem_Collection'!G107="","",'Dry_Litterbag Placem_Collection'!G107)</f>
        <v>43010</v>
      </c>
      <c r="U766" s="269">
        <f t="shared" si="55"/>
        <v>71</v>
      </c>
      <c r="V766" s="267">
        <f t="shared" si="58"/>
        <v>0.23929999999999985</v>
      </c>
      <c r="W766" s="267">
        <f t="shared" si="59"/>
        <v>0.31881770044448254</v>
      </c>
      <c r="X766" s="271">
        <f>IFERROR(INDEX(Rainfall_Dry!$O$2:$O$217,MATCH(B766, Rainfall_Dry!$A$2:$A$217,0)),"")</f>
        <v>137.19979645800001</v>
      </c>
      <c r="Y766" s="260">
        <v>34.344660194174757</v>
      </c>
      <c r="Z766" s="260">
        <v>19.22727272727273</v>
      </c>
      <c r="AA766" s="260">
        <v>46.428067078552509</v>
      </c>
      <c r="AB766" s="261" t="s">
        <v>2670</v>
      </c>
      <c r="AC766" s="260">
        <v>1.7452932479053718</v>
      </c>
      <c r="AD766">
        <f>IF('WetLitterbags placem_collection'!AB107="","",'WetLitterbags placem_collection'!AB107)</f>
        <v>5.5</v>
      </c>
      <c r="AE766">
        <f>IF('WetLitterbags placem_collection'!Z107="","",'WetLitterbags placem_collection'!Z107)</f>
        <v>23.5</v>
      </c>
      <c r="AF766" s="246" t="str">
        <f>IF('WetLitterbags placem_collection'!AA107="","",'WetLitterbags placem_collection'!AA107)</f>
        <v>M</v>
      </c>
      <c r="AG766">
        <f>IF('WetLitterbags placem_collection'!AC107="","",'WetLitterbags placem_collection'!AC107)</f>
        <v>0</v>
      </c>
      <c r="AH766">
        <f>IFERROR(AVERAGE('Dry_Litterbag Placem_Collection'!O107,'Dry_Litterbag Placem_Collection'!R107),"")</f>
        <v>7.5500000000000007</v>
      </c>
      <c r="AI766" s="271">
        <f>IFERROR(AVERAGE('Dry_Litterbag Placem_Collection'!N107,'Dry_Litterbag Placem_Collection'!Q107),"")</f>
        <v>30.549999999999997</v>
      </c>
      <c r="AJ766" s="270">
        <f>INDEX(Coordinates!$B$2:$B$197,MATCH(G766,Coordinates!$J$2:$J$197,0))</f>
        <v>-2.3698080240000001</v>
      </c>
      <c r="AK766" s="270">
        <f>INDEX(Coordinates!$C$2:$C$197,MATCH(G766,Coordinates!$J$2:$J$197,0))</f>
        <v>34.059671010000002</v>
      </c>
      <c r="AL766" s="270" t="str">
        <f>IF(ISNUMBER(SEARCH("C", 'Dry_Litterbag Placem_Collection'!V107)),"YES","NO")</f>
        <v>NO</v>
      </c>
      <c r="AM766" s="270" t="str">
        <f>IF(ISNUMBER(SEARCH("H", 'Dry_Litterbag Placem_Collection'!V107)),"YES","NO")</f>
        <v>NO</v>
      </c>
      <c r="AN766" s="270" t="str">
        <f>IF(ISNUMBER(SEARCH("R", 'Dry_Litterbag Placem_Collection'!V107)),"YES","NO")</f>
        <v>NO</v>
      </c>
    </row>
    <row r="767" spans="1:40" ht="15" customHeight="1">
      <c r="A767" s="262" t="s">
        <v>2659</v>
      </c>
      <c r="B767" s="263">
        <f>'Dry_Litterbag Placem_Collection'!A108</f>
        <v>106</v>
      </c>
      <c r="C767" s="263" t="str">
        <f>'Dry_Litterbag Placem_Collection'!B108</f>
        <v xml:space="preserve">Mwantimba
</v>
      </c>
      <c r="D767" s="263" t="s">
        <v>2460</v>
      </c>
      <c r="E767" s="263" t="s">
        <v>2660</v>
      </c>
      <c r="F767" s="263">
        <v>2</v>
      </c>
      <c r="G767" s="264" t="str">
        <f>'Dry_Litterbag Placem_Collection'!C108</f>
        <v>Wet_Ag2_T2</v>
      </c>
      <c r="H767" s="273" t="s">
        <v>3651</v>
      </c>
      <c r="I767" s="274" t="s">
        <v>298</v>
      </c>
      <c r="J767" s="263" t="str">
        <f>IF(ISBLANK('Dry_Litterbag Placem_Collection'!M108),"","R"&amp;""&amp;'Dry_Litterbag Placem_Collection'!M108)</f>
        <v>R66</v>
      </c>
      <c r="K767" s="267">
        <f>IFERROR(INDEX('Green_rooibos initial weight'!$C$5:$C$1749,MATCH(J767, 'Green_rooibos initial weight'!$A$5:$A$1749,0)),"")</f>
        <v>2.1120000000000001</v>
      </c>
      <c r="L767" s="267">
        <f>IFERROR(K767-(TBIcalc!$Q$9+TBIcalc!$Q$10),"")</f>
        <v>1.8622000000000001</v>
      </c>
      <c r="M767" s="391">
        <f>AVERAGE(Ashed_controlls!$K$12:$K$14)</f>
        <v>2.2816647271287041</v>
      </c>
      <c r="N767" s="267">
        <f t="shared" si="56"/>
        <v>1.8197108394514094</v>
      </c>
      <c r="O767" s="267">
        <f>IF(IFERROR(INDEX('Both teabags AfterDry'!$D$3:$D$900,MATCH(J767,'Both teabags AfterDry'!$A$3:$A$900,0)),"")="","",(IFERROR(INDEX('Both teabags AfterDry'!$D$3:$D$900,MATCH(J767,'Both teabags AfterDry'!$A$3:$A$900,0)),"")))</f>
        <v>1.7972999999999999</v>
      </c>
      <c r="P767" s="267">
        <f>IFERROR(IF(O767&gt;0,O767-(TBIcalc!$Q$9),""),"")</f>
        <v>1.6466999999999998</v>
      </c>
      <c r="Q767" s="278">
        <f>IFERROR(INDEX('Ashed teabags dry'!$K$2:$K$825,MATCH(J767,'Ashed teabags dry'!$A$2:$A$825,0)),"")</f>
        <v>2.6819923371648411</v>
      </c>
      <c r="R767" s="278">
        <f t="shared" si="57"/>
        <v>1.6025356321839064</v>
      </c>
      <c r="S767" s="268">
        <f>'Dry_Litterbag Placem_Collection'!E108</f>
        <v>42939</v>
      </c>
      <c r="T767" s="268">
        <f>IF('Dry_Litterbag Placem_Collection'!G108="","",'Dry_Litterbag Placem_Collection'!G108)</f>
        <v>43010</v>
      </c>
      <c r="U767" s="269">
        <f t="shared" si="55"/>
        <v>71</v>
      </c>
      <c r="V767" s="267">
        <f t="shared" si="58"/>
        <v>0.21550000000000025</v>
      </c>
      <c r="W767" s="267">
        <f t="shared" si="59"/>
        <v>0.21717520726750306</v>
      </c>
      <c r="X767" s="271">
        <f>IFERROR(INDEX(Rainfall_Dry!$O$2:$O$217,MATCH(B767, Rainfall_Dry!$A$2:$A$217,0)),"")</f>
        <v>137.19979645800001</v>
      </c>
      <c r="Y767" s="260">
        <v>34.344660194174757</v>
      </c>
      <c r="Z767" s="260">
        <v>19.22727272727273</v>
      </c>
      <c r="AA767" s="260">
        <v>46.428067078552509</v>
      </c>
      <c r="AB767" s="261" t="s">
        <v>2670</v>
      </c>
      <c r="AC767" s="260">
        <v>2.7452932479053702</v>
      </c>
      <c r="AD767">
        <f>IF('WetLitterbags placem_collection'!AB108="","",'WetLitterbags placem_collection'!AB108)</f>
        <v>8.6</v>
      </c>
      <c r="AE767">
        <f>IF('WetLitterbags placem_collection'!Z108="","",'WetLitterbags placem_collection'!Z108)</f>
        <v>17</v>
      </c>
      <c r="AF767" s="246" t="str">
        <f>IF('WetLitterbags placem_collection'!AA108="","",'WetLitterbags placem_collection'!AA108)</f>
        <v>M</v>
      </c>
      <c r="AG767">
        <f>IF('WetLitterbags placem_collection'!AC108="","",'WetLitterbags placem_collection'!AC108)</f>
        <v>0</v>
      </c>
      <c r="AH767">
        <f>IFERROR(AVERAGE('Dry_Litterbag Placem_Collection'!O108,'Dry_Litterbag Placem_Collection'!R108),"")</f>
        <v>6.1</v>
      </c>
      <c r="AI767" s="271">
        <f>IFERROR(AVERAGE('Dry_Litterbag Placem_Collection'!N108,'Dry_Litterbag Placem_Collection'!Q108),"")</f>
        <v>31.3</v>
      </c>
      <c r="AJ767" s="270">
        <f>INDEX(Coordinates!$B$2:$B$197,MATCH(G767,Coordinates!$J$2:$J$197,0))</f>
        <v>-2.3697620069999998</v>
      </c>
      <c r="AK767" s="270">
        <f>INDEX(Coordinates!$C$2:$C$197,MATCH(G767,Coordinates!$J$2:$J$197,0))</f>
        <v>34.059730010000003</v>
      </c>
      <c r="AL767" s="270" t="str">
        <f>IF(ISNUMBER(SEARCH("C", 'Dry_Litterbag Placem_Collection'!V108)),"YES","NO")</f>
        <v>NO</v>
      </c>
      <c r="AM767" s="270" t="str">
        <f>IF(ISNUMBER(SEARCH("H", 'Dry_Litterbag Placem_Collection'!V108)),"YES","NO")</f>
        <v>NO</v>
      </c>
      <c r="AN767" s="270" t="str">
        <f>IF(ISNUMBER(SEARCH("R", 'Dry_Litterbag Placem_Collection'!V108)),"YES","NO")</f>
        <v>NO</v>
      </c>
    </row>
    <row r="768" spans="1:40" ht="15" customHeight="1">
      <c r="A768" s="262" t="s">
        <v>2659</v>
      </c>
      <c r="B768" s="263">
        <f>'Dry_Litterbag Placem_Collection'!A109</f>
        <v>107</v>
      </c>
      <c r="C768" s="263" t="str">
        <f>'Dry_Litterbag Placem_Collection'!B109</f>
        <v xml:space="preserve">Mwantimba
</v>
      </c>
      <c r="D768" s="263" t="s">
        <v>2460</v>
      </c>
      <c r="E768" s="263" t="s">
        <v>2660</v>
      </c>
      <c r="F768" s="263">
        <v>2</v>
      </c>
      <c r="G768" s="264" t="str">
        <f>'Dry_Litterbag Placem_Collection'!C109</f>
        <v>Wet_Ag2_T3</v>
      </c>
      <c r="H768" s="273" t="s">
        <v>3651</v>
      </c>
      <c r="I768" s="274" t="s">
        <v>298</v>
      </c>
      <c r="J768" s="263" t="str">
        <f>IF(ISBLANK('Dry_Litterbag Placem_Collection'!M109),"","R"&amp;""&amp;'Dry_Litterbag Placem_Collection'!M109)</f>
        <v>R347</v>
      </c>
      <c r="K768" s="267">
        <f>IFERROR(INDEX('Green_rooibos initial weight'!$C$5:$C$1749,MATCH(J768, 'Green_rooibos initial weight'!$A$5:$A$1749,0)),"")</f>
        <v>2.2400000000000002</v>
      </c>
      <c r="L768" s="267">
        <f>IFERROR(K768-(TBIcalc!$Q$9+TBIcalc!$Q$10),"")</f>
        <v>1.9902000000000002</v>
      </c>
      <c r="M768" s="391">
        <f>AVERAGE(Ashed_controlls!$K$12:$K$14)</f>
        <v>2.2816647271287041</v>
      </c>
      <c r="N768" s="267">
        <f t="shared" si="56"/>
        <v>1.9447903086006848</v>
      </c>
      <c r="O768" s="267" t="str">
        <f>IF(IFERROR(INDEX('Both teabags AfterDry'!$D$3:$D$900,MATCH(J768,'Both teabags AfterDry'!$A$3:$A$900,0)),"")="","",(IFERROR(INDEX('Both teabags AfterDry'!$D$3:$D$900,MATCH(J768,'Both teabags AfterDry'!$A$3:$A$900,0)),"")))</f>
        <v/>
      </c>
      <c r="P768" s="267" t="str">
        <f>IFERROR(IF(O768&gt;0,O768-(TBIcalc!$Q$9),""),"")</f>
        <v/>
      </c>
      <c r="Q768" s="278" t="str">
        <f>IFERROR(INDEX('Ashed teabags dry'!$K$2:$K$825,MATCH(J768,'Ashed teabags dry'!$A$2:$A$825,0)),"")</f>
        <v/>
      </c>
      <c r="R768" s="278" t="str">
        <f t="shared" si="57"/>
        <v/>
      </c>
      <c r="S768" s="268">
        <f>'Dry_Litterbag Placem_Collection'!E109</f>
        <v>42939</v>
      </c>
      <c r="T768" s="268">
        <f>IF('Dry_Litterbag Placem_Collection'!G109="","",'Dry_Litterbag Placem_Collection'!G109)</f>
        <v>43010</v>
      </c>
      <c r="U768" s="269">
        <f t="shared" si="55"/>
        <v>71</v>
      </c>
      <c r="V768" s="267" t="str">
        <f t="shared" si="58"/>
        <v/>
      </c>
      <c r="W768" s="267" t="str">
        <f t="shared" si="59"/>
        <v/>
      </c>
      <c r="X768" s="271">
        <f>IFERROR(INDEX(Rainfall_Dry!$O$2:$O$217,MATCH(B768, Rainfall_Dry!$A$2:$A$217,0)),"")</f>
        <v>137.19979645800001</v>
      </c>
      <c r="Y768" s="260">
        <v>34.344660194174757</v>
      </c>
      <c r="Z768" s="260">
        <v>19.22727272727273</v>
      </c>
      <c r="AA768" s="260">
        <v>46.428067078552509</v>
      </c>
      <c r="AB768" s="261" t="s">
        <v>2670</v>
      </c>
      <c r="AC768" s="260">
        <v>3.7452932479053702</v>
      </c>
      <c r="AD768">
        <f>IF('WetLitterbags placem_collection'!AB109="","",'WetLitterbags placem_collection'!AB109)</f>
        <v>3.85</v>
      </c>
      <c r="AE768">
        <f>IF('WetLitterbags placem_collection'!Z109="","",'WetLitterbags placem_collection'!Z109)</f>
        <v>15.5</v>
      </c>
      <c r="AF768" s="246" t="str">
        <f>IF('WetLitterbags placem_collection'!AA109="","",'WetLitterbags placem_collection'!AA109)</f>
        <v>M</v>
      </c>
      <c r="AG768">
        <f>IF('WetLitterbags placem_collection'!AC109="","",'WetLitterbags placem_collection'!AC109)</f>
        <v>0</v>
      </c>
      <c r="AH768">
        <f>IFERROR(AVERAGE('Dry_Litterbag Placem_Collection'!O109,'Dry_Litterbag Placem_Collection'!R109),"")</f>
        <v>5.3</v>
      </c>
      <c r="AI768" s="271">
        <f>IFERROR(AVERAGE('Dry_Litterbag Placem_Collection'!N109,'Dry_Litterbag Placem_Collection'!Q109),"")</f>
        <v>30.200000000000003</v>
      </c>
      <c r="AJ768" s="270">
        <f>INDEX(Coordinates!$B$2:$B$197,MATCH(G768,Coordinates!$J$2:$J$197,0))</f>
        <v>-2.3698409649999999</v>
      </c>
      <c r="AK768" s="270">
        <f>INDEX(Coordinates!$C$2:$C$197,MATCH(G768,Coordinates!$J$2:$J$197,0))</f>
        <v>34.059814000000003</v>
      </c>
      <c r="AL768" s="270" t="str">
        <f>IF(ISNUMBER(SEARCH("C", 'Dry_Litterbag Placem_Collection'!V109)),"YES","NO")</f>
        <v>NO</v>
      </c>
      <c r="AM768" s="270" t="str">
        <f>IF(ISNUMBER(SEARCH("H", 'Dry_Litterbag Placem_Collection'!V109)),"YES","NO")</f>
        <v>NO</v>
      </c>
      <c r="AN768" s="270" t="str">
        <f>IF(ISNUMBER(SEARCH("R", 'Dry_Litterbag Placem_Collection'!V109)),"YES","NO")</f>
        <v>NO</v>
      </c>
    </row>
    <row r="769" spans="1:40" ht="15" customHeight="1">
      <c r="A769" s="262" t="s">
        <v>2659</v>
      </c>
      <c r="B769" s="263">
        <f>'Dry_Litterbag Placem_Collection'!A110</f>
        <v>108</v>
      </c>
      <c r="C769" s="263" t="str">
        <f>'Dry_Litterbag Placem_Collection'!B110</f>
        <v xml:space="preserve">Mwantimba
</v>
      </c>
      <c r="D769" s="263" t="s">
        <v>2460</v>
      </c>
      <c r="E769" s="263" t="s">
        <v>2660</v>
      </c>
      <c r="F769" s="263">
        <v>2</v>
      </c>
      <c r="G769" s="264" t="str">
        <f>'Dry_Litterbag Placem_Collection'!C110</f>
        <v>Wet_Ag2_T4</v>
      </c>
      <c r="H769" s="273" t="s">
        <v>3651</v>
      </c>
      <c r="I769" s="274" t="s">
        <v>298</v>
      </c>
      <c r="J769" s="263" t="str">
        <f>IF(ISBLANK('Dry_Litterbag Placem_Collection'!M110),"","R"&amp;""&amp;'Dry_Litterbag Placem_Collection'!M110)</f>
        <v>R206</v>
      </c>
      <c r="K769" s="267">
        <f>IFERROR(INDEX('Green_rooibos initial weight'!$C$5:$C$1749,MATCH(J769, 'Green_rooibos initial weight'!$A$5:$A$1749,0)),"")</f>
        <v>2.2549999999999999</v>
      </c>
      <c r="L769" s="267">
        <f>IFERROR(K769-(TBIcalc!$Q$9+TBIcalc!$Q$10),"")</f>
        <v>2.0051999999999999</v>
      </c>
      <c r="M769" s="391">
        <f>AVERAGE(Ashed_controlls!$K$12:$K$14)</f>
        <v>2.2816647271287041</v>
      </c>
      <c r="N769" s="267">
        <f t="shared" si="56"/>
        <v>1.959448058891615</v>
      </c>
      <c r="O769" s="267">
        <f>IF(IFERROR(INDEX('Both teabags AfterDry'!$D$3:$D$900,MATCH(J769,'Both teabags AfterDry'!$A$3:$A$900,0)),"")="","",(IFERROR(INDEX('Both teabags AfterDry'!$D$3:$D$900,MATCH(J769,'Both teabags AfterDry'!$A$3:$A$900,0)),"")))</f>
        <v>1.9655</v>
      </c>
      <c r="P769" s="267">
        <f>IFERROR(IF(O769&gt;0,O769-(TBIcalc!$Q$9),""),"")</f>
        <v>1.8149</v>
      </c>
      <c r="Q769" s="278">
        <f>IFERROR(INDEX('Ashed teabags dry'!$K$2:$K$825,MATCH(J769,'Ashed teabags dry'!$A$2:$A$825,0)),"")</f>
        <v>4.1293532338306944</v>
      </c>
      <c r="R769" s="278">
        <f t="shared" si="57"/>
        <v>1.7399563681592067</v>
      </c>
      <c r="S769" s="268">
        <f>'Dry_Litterbag Placem_Collection'!E110</f>
        <v>42939</v>
      </c>
      <c r="T769" s="268">
        <f>IF('Dry_Litterbag Placem_Collection'!G110="","",'Dry_Litterbag Placem_Collection'!G110)</f>
        <v>43010</v>
      </c>
      <c r="U769" s="269">
        <f t="shared" si="55"/>
        <v>71</v>
      </c>
      <c r="V769" s="267">
        <f t="shared" si="58"/>
        <v>0.19029999999999991</v>
      </c>
      <c r="W769" s="267">
        <f t="shared" si="59"/>
        <v>0.21949169073240826</v>
      </c>
      <c r="X769" s="271">
        <f>IFERROR(INDEX(Rainfall_Dry!$O$2:$O$217,MATCH(B769, Rainfall_Dry!$A$2:$A$217,0)),"")</f>
        <v>137.19979645800001</v>
      </c>
      <c r="Y769" s="260">
        <v>34.344660194174757</v>
      </c>
      <c r="Z769" s="260">
        <v>19.22727272727273</v>
      </c>
      <c r="AA769" s="260">
        <v>46.428067078552509</v>
      </c>
      <c r="AB769" s="261" t="s">
        <v>2670</v>
      </c>
      <c r="AC769" s="260">
        <v>4.7452932479053702</v>
      </c>
      <c r="AD769">
        <f>IF('WetLitterbags placem_collection'!AB110="","",'WetLitterbags placem_collection'!AB110)</f>
        <v>9.6999999999999993</v>
      </c>
      <c r="AE769">
        <f>IF('WetLitterbags placem_collection'!Z110="","",'WetLitterbags placem_collection'!Z110)</f>
        <v>22.5</v>
      </c>
      <c r="AF769" s="246" t="str">
        <f>IF('WetLitterbags placem_collection'!AA110="","",'WetLitterbags placem_collection'!AA110)</f>
        <v>M</v>
      </c>
      <c r="AG769">
        <f>IF('WetLitterbags placem_collection'!AC110="","",'WetLitterbags placem_collection'!AC110)</f>
        <v>0</v>
      </c>
      <c r="AH769">
        <f>IFERROR(AVERAGE('Dry_Litterbag Placem_Collection'!O110,'Dry_Litterbag Placem_Collection'!R110),"")</f>
        <v>7.65</v>
      </c>
      <c r="AI769" s="271">
        <f>IFERROR(AVERAGE('Dry_Litterbag Placem_Collection'!N110,'Dry_Litterbag Placem_Collection'!Q110),"")</f>
        <v>31.8</v>
      </c>
      <c r="AJ769" s="270">
        <f>INDEX(Coordinates!$B$2:$B$197,MATCH(G769,Coordinates!$J$2:$J$197,0))</f>
        <v>-2.3698620030000002</v>
      </c>
      <c r="AK769" s="270">
        <f>INDEX(Coordinates!$C$2:$C$197,MATCH(G769,Coordinates!$J$2:$J$197,0))</f>
        <v>34.059759020000001</v>
      </c>
      <c r="AL769" s="270" t="str">
        <f>IF(ISNUMBER(SEARCH("C", 'Dry_Litterbag Placem_Collection'!V110)),"YES","NO")</f>
        <v>NO</v>
      </c>
      <c r="AM769" s="270" t="str">
        <f>IF(ISNUMBER(SEARCH("H", 'Dry_Litterbag Placem_Collection'!V110)),"YES","NO")</f>
        <v>NO</v>
      </c>
      <c r="AN769" s="270" t="str">
        <f>IF(ISNUMBER(SEARCH("R", 'Dry_Litterbag Placem_Collection'!V110)),"YES","NO")</f>
        <v>NO</v>
      </c>
    </row>
    <row r="770" spans="1:40" ht="15" customHeight="1">
      <c r="A770" s="262" t="s">
        <v>2659</v>
      </c>
      <c r="B770" s="263">
        <f>'Dry_Litterbag Placem_Collection'!A111</f>
        <v>109</v>
      </c>
      <c r="C770" s="263" t="str">
        <f>'Dry_Litterbag Placem_Collection'!B111</f>
        <v xml:space="preserve">Mwantimba
</v>
      </c>
      <c r="D770" s="263" t="s">
        <v>2460</v>
      </c>
      <c r="E770" s="263" t="s">
        <v>2660</v>
      </c>
      <c r="F770" s="263">
        <v>2</v>
      </c>
      <c r="G770" s="264" t="str">
        <f>'Dry_Litterbag Placem_Collection'!C111</f>
        <v>Wet_Ag2_T5</v>
      </c>
      <c r="H770" s="273" t="s">
        <v>3651</v>
      </c>
      <c r="I770" s="274" t="s">
        <v>298</v>
      </c>
      <c r="J770" s="263" t="str">
        <f>IF(ISBLANK('Dry_Litterbag Placem_Collection'!M111),"","R"&amp;""&amp;'Dry_Litterbag Placem_Collection'!M111)</f>
        <v>R299</v>
      </c>
      <c r="K770" s="267">
        <f>IFERROR(INDEX('Green_rooibos initial weight'!$C$5:$C$1749,MATCH(J770, 'Green_rooibos initial weight'!$A$5:$A$1749,0)),"")</f>
        <v>2.2919999999999998</v>
      </c>
      <c r="L770" s="267">
        <f>IFERROR(K770-(TBIcalc!$Q$9+TBIcalc!$Q$10),"")</f>
        <v>2.0421999999999998</v>
      </c>
      <c r="M770" s="391">
        <f>AVERAGE(Ashed_controlls!$K$12:$K$14)</f>
        <v>2.2816647271287041</v>
      </c>
      <c r="N770" s="267">
        <f t="shared" si="56"/>
        <v>1.9956038429425773</v>
      </c>
      <c r="O770" s="267">
        <f>IF(IFERROR(INDEX('Both teabags AfterDry'!$D$3:$D$900,MATCH(J770,'Both teabags AfterDry'!$A$3:$A$900,0)),"")="","",(IFERROR(INDEX('Both teabags AfterDry'!$D$3:$D$900,MATCH(J770,'Both teabags AfterDry'!$A$3:$A$900,0)),"")))</f>
        <v>1.8811</v>
      </c>
      <c r="P770" s="267">
        <f>IFERROR(IF(O770&gt;0,O770-(TBIcalc!$Q$9),""),"")</f>
        <v>1.7304999999999999</v>
      </c>
      <c r="Q770" s="278">
        <f>IFERROR(INDEX('Ashed teabags dry'!$K$2:$K$825,MATCH(J770,'Ashed teabags dry'!$A$2:$A$825,0)),"")</f>
        <v>6.3173359451526663</v>
      </c>
      <c r="R770" s="278">
        <f t="shared" si="57"/>
        <v>1.6211785014691331</v>
      </c>
      <c r="S770" s="268">
        <f>'Dry_Litterbag Placem_Collection'!E111</f>
        <v>42939</v>
      </c>
      <c r="T770" s="268">
        <f>IF('Dry_Litterbag Placem_Collection'!G111="","",'Dry_Litterbag Placem_Collection'!G111)</f>
        <v>43010</v>
      </c>
      <c r="U770" s="269">
        <f t="shared" ref="U770:U833" si="60">IFERROR(T770-S770,"")</f>
        <v>71</v>
      </c>
      <c r="V770" s="267">
        <f t="shared" si="58"/>
        <v>0.31169999999999987</v>
      </c>
      <c r="W770" s="267">
        <f t="shared" si="59"/>
        <v>0.3744253414734442</v>
      </c>
      <c r="X770" s="271">
        <f>IFERROR(INDEX(Rainfall_Dry!$O$2:$O$217,MATCH(B770, Rainfall_Dry!$A$2:$A$217,0)),"")</f>
        <v>137.19979645800001</v>
      </c>
      <c r="Y770" s="260">
        <v>34.344660194174757</v>
      </c>
      <c r="Z770" s="260">
        <v>19.22727272727273</v>
      </c>
      <c r="AA770" s="260">
        <v>46.428067078552509</v>
      </c>
      <c r="AB770" s="261" t="s">
        <v>2670</v>
      </c>
      <c r="AC770" s="260">
        <v>5.7452932479053702</v>
      </c>
      <c r="AD770">
        <f>IF('WetLitterbags placem_collection'!AB111="","",'WetLitterbags placem_collection'!AB111)</f>
        <v>10.5</v>
      </c>
      <c r="AE770">
        <f>IF('WetLitterbags placem_collection'!Z111="","",'WetLitterbags placem_collection'!Z111)</f>
        <v>22.5</v>
      </c>
      <c r="AF770" s="246" t="str">
        <f>IF('WetLitterbags placem_collection'!AA111="","",'WetLitterbags placem_collection'!AA111)</f>
        <v>M</v>
      </c>
      <c r="AG770">
        <f>IF('WetLitterbags placem_collection'!AC111="","",'WetLitterbags placem_collection'!AC111)</f>
        <v>0</v>
      </c>
      <c r="AH770">
        <f>IFERROR(AVERAGE('Dry_Litterbag Placem_Collection'!O111,'Dry_Litterbag Placem_Collection'!R111),"")</f>
        <v>7.5</v>
      </c>
      <c r="AI770" s="271">
        <f>IFERROR(AVERAGE('Dry_Litterbag Placem_Collection'!N111,'Dry_Litterbag Placem_Collection'!Q111),"")</f>
        <v>30.65</v>
      </c>
      <c r="AJ770" s="270">
        <f>INDEX(Coordinates!$B$2:$B$197,MATCH(G770,Coordinates!$J$2:$J$197,0))</f>
        <v>-2.3698390370000002</v>
      </c>
      <c r="AK770" s="270">
        <f>INDEX(Coordinates!$C$2:$C$197,MATCH(G770,Coordinates!$J$2:$J$197,0))</f>
        <v>34.059714</v>
      </c>
      <c r="AL770" s="270" t="str">
        <f>IF(ISNUMBER(SEARCH("C", 'Dry_Litterbag Placem_Collection'!V111)),"YES","NO")</f>
        <v>NO</v>
      </c>
      <c r="AM770" s="270" t="str">
        <f>IF(ISNUMBER(SEARCH("H", 'Dry_Litterbag Placem_Collection'!V111)),"YES","NO")</f>
        <v>NO</v>
      </c>
      <c r="AN770" s="270" t="str">
        <f>IF(ISNUMBER(SEARCH("R", 'Dry_Litterbag Placem_Collection'!V111)),"YES","NO")</f>
        <v>NO</v>
      </c>
    </row>
    <row r="771" spans="1:40" ht="15" customHeight="1">
      <c r="A771" s="262" t="s">
        <v>2659</v>
      </c>
      <c r="B771" s="263">
        <f>'Dry_Litterbag Placem_Collection'!A112</f>
        <v>110</v>
      </c>
      <c r="C771" s="263" t="str">
        <f>'Dry_Litterbag Placem_Collection'!B112</f>
        <v xml:space="preserve">Mwantimba
</v>
      </c>
      <c r="D771" s="263" t="s">
        <v>2460</v>
      </c>
      <c r="E771" s="263" t="s">
        <v>2660</v>
      </c>
      <c r="F771" s="263">
        <v>2</v>
      </c>
      <c r="G771" s="264" t="str">
        <f>'Dry_Litterbag Placem_Collection'!C112</f>
        <v>Wet_Ag2_T6</v>
      </c>
      <c r="H771" s="273" t="s">
        <v>3651</v>
      </c>
      <c r="I771" s="274" t="s">
        <v>298</v>
      </c>
      <c r="J771" s="263" t="str">
        <f>IF(ISBLANK('Dry_Litterbag Placem_Collection'!M112),"","R"&amp;""&amp;'Dry_Litterbag Placem_Collection'!M112)</f>
        <v>R636</v>
      </c>
      <c r="K771" s="267">
        <f>IFERROR(INDEX('Green_rooibos initial weight'!$C$5:$C$1749,MATCH(J771, 'Green_rooibos initial weight'!$A$5:$A$1749,0)),"")</f>
        <v>2.1080000000000001</v>
      </c>
      <c r="L771" s="267">
        <f>IFERROR(K771-(TBIcalc!$Q$9+TBIcalc!$Q$10),"")</f>
        <v>1.8582000000000001</v>
      </c>
      <c r="M771" s="391">
        <f>AVERAGE(Ashed_controlls!$K$12:$K$14)</f>
        <v>2.2816647271287041</v>
      </c>
      <c r="N771" s="267">
        <f t="shared" ref="N771:N834" si="61">IFERROR(L771-(M771/100)*L771,"")</f>
        <v>1.8158021060404945</v>
      </c>
      <c r="O771" s="267">
        <f>IF(IFERROR(INDEX('Both teabags AfterDry'!$D$3:$D$900,MATCH(J771,'Both teabags AfterDry'!$A$3:$A$900,0)),"")="","",(IFERROR(INDEX('Both teabags AfterDry'!$D$3:$D$900,MATCH(J771,'Both teabags AfterDry'!$A$3:$A$900,0)),"")))</f>
        <v>1.8521000000000001</v>
      </c>
      <c r="P771" s="267">
        <f>IFERROR(IF(O771&gt;0,O771-(TBIcalc!$Q$9),""),"")</f>
        <v>1.7015</v>
      </c>
      <c r="Q771" s="278">
        <f>IFERROR(INDEX('Ashed teabags dry'!$K$2:$K$825,MATCH(J771,'Ashed teabags dry'!$A$2:$A$825,0)),"")</f>
        <v>3.9122137404573722</v>
      </c>
      <c r="R771" s="278">
        <f t="shared" ref="R771:R834" si="62">IFERROR(P771-(Q771/100)*P771,"")</f>
        <v>1.6349336832061179</v>
      </c>
      <c r="S771" s="268">
        <f>'Dry_Litterbag Placem_Collection'!E112</f>
        <v>42939</v>
      </c>
      <c r="T771" s="268">
        <f>IF('Dry_Litterbag Placem_Collection'!G112="","",'Dry_Litterbag Placem_Collection'!G112)</f>
        <v>43010</v>
      </c>
      <c r="U771" s="269">
        <f t="shared" si="60"/>
        <v>71</v>
      </c>
      <c r="V771" s="267">
        <f t="shared" ref="V771:V834" si="63">IFERROR(L771-P771,"")</f>
        <v>0.15670000000000006</v>
      </c>
      <c r="W771" s="267">
        <f t="shared" ref="W771:W834" si="64">IFERROR(N771-R771,"")</f>
        <v>0.18086842283437665</v>
      </c>
      <c r="X771" s="271">
        <f>IFERROR(INDEX(Rainfall_Dry!$O$2:$O$217,MATCH(B771, Rainfall_Dry!$A$2:$A$217,0)),"")</f>
        <v>137.19979645800001</v>
      </c>
      <c r="Y771" s="260">
        <v>34.344660194174757</v>
      </c>
      <c r="Z771" s="260">
        <v>19.22727272727273</v>
      </c>
      <c r="AA771" s="260">
        <v>46.428067078552509</v>
      </c>
      <c r="AB771" s="261" t="s">
        <v>2670</v>
      </c>
      <c r="AC771" s="260">
        <v>6.7452932479053702</v>
      </c>
      <c r="AD771">
        <f>IF('WetLitterbags placem_collection'!AB112="","",'WetLitterbags placem_collection'!AB112)</f>
        <v>5.75</v>
      </c>
      <c r="AE771">
        <f>IF('WetLitterbags placem_collection'!Z112="","",'WetLitterbags placem_collection'!Z112)</f>
        <v>22.5</v>
      </c>
      <c r="AF771" s="246" t="str">
        <f>IF('WetLitterbags placem_collection'!AA112="","",'WetLitterbags placem_collection'!AA112)</f>
        <v>M</v>
      </c>
      <c r="AG771">
        <f>IF('WetLitterbags placem_collection'!AC112="","",'WetLitterbags placem_collection'!AC112)</f>
        <v>0</v>
      </c>
      <c r="AH771">
        <f>IFERROR(AVERAGE('Dry_Litterbag Placem_Collection'!O112,'Dry_Litterbag Placem_Collection'!R112),"")</f>
        <v>7.3500000000000005</v>
      </c>
      <c r="AI771" s="271">
        <f>IFERROR(AVERAGE('Dry_Litterbag Placem_Collection'!N112,'Dry_Litterbag Placem_Collection'!Q112),"")</f>
        <v>31.150000000000002</v>
      </c>
      <c r="AJ771" s="270">
        <f>INDEX(Coordinates!$B$2:$B$197,MATCH(G771,Coordinates!$J$2:$J$197,0))</f>
        <v>-2.3697549659999999</v>
      </c>
      <c r="AK771" s="270">
        <f>INDEX(Coordinates!$C$2:$C$197,MATCH(G771,Coordinates!$J$2:$J$197,0))</f>
        <v>34.059668989999999</v>
      </c>
      <c r="AL771" s="270" t="str">
        <f>IF(ISNUMBER(SEARCH("C", 'Dry_Litterbag Placem_Collection'!V112)),"YES","NO")</f>
        <v>NO</v>
      </c>
      <c r="AM771" s="270" t="str">
        <f>IF(ISNUMBER(SEARCH("H", 'Dry_Litterbag Placem_Collection'!V112)),"YES","NO")</f>
        <v>NO</v>
      </c>
      <c r="AN771" s="270" t="str">
        <f>IF(ISNUMBER(SEARCH("R", 'Dry_Litterbag Placem_Collection'!V112)),"YES","NO")</f>
        <v>NO</v>
      </c>
    </row>
    <row r="772" spans="1:40" ht="15" customHeight="1">
      <c r="A772" s="262" t="s">
        <v>2659</v>
      </c>
      <c r="B772" s="263">
        <f>'Dry_Litterbag Placem_Collection'!A113</f>
        <v>111</v>
      </c>
      <c r="C772" s="263" t="str">
        <f>'Dry_Litterbag Placem_Collection'!B113</f>
        <v xml:space="preserve">Mwantimba
</v>
      </c>
      <c r="D772" s="263" t="s">
        <v>2460</v>
      </c>
      <c r="E772" s="263" t="s">
        <v>2660</v>
      </c>
      <c r="F772" s="263">
        <v>2</v>
      </c>
      <c r="G772" s="264" t="str">
        <f>'Dry_Litterbag Placem_Collection'!C113</f>
        <v>Wet_Ag2_T7</v>
      </c>
      <c r="H772" s="273" t="s">
        <v>3651</v>
      </c>
      <c r="I772" s="274" t="s">
        <v>298</v>
      </c>
      <c r="J772" s="263" t="str">
        <f>IF(ISBLANK('Dry_Litterbag Placem_Collection'!M113),"","R"&amp;""&amp;'Dry_Litterbag Placem_Collection'!M113)</f>
        <v>R239</v>
      </c>
      <c r="K772" s="267">
        <f>IFERROR(INDEX('Green_rooibos initial weight'!$C$5:$C$1749,MATCH(J772, 'Green_rooibos initial weight'!$A$5:$A$1749,0)),"")</f>
        <v>2.2189999999999999</v>
      </c>
      <c r="L772" s="267">
        <f>IFERROR(K772-(TBIcalc!$Q$9+TBIcalc!$Q$10),"")</f>
        <v>1.9691999999999998</v>
      </c>
      <c r="M772" s="391">
        <f>AVERAGE(Ashed_controlls!$K$12:$K$14)</f>
        <v>2.2816647271287041</v>
      </c>
      <c r="N772" s="267">
        <f t="shared" si="61"/>
        <v>1.9242694581933815</v>
      </c>
      <c r="O772" s="267">
        <f>IF(IFERROR(INDEX('Both teabags AfterDry'!$D$3:$D$900,MATCH(J772,'Both teabags AfterDry'!$A$3:$A$900,0)),"")="","",(IFERROR(INDEX('Both teabags AfterDry'!$D$3:$D$900,MATCH(J772,'Both teabags AfterDry'!$A$3:$A$900,0)),"")))</f>
        <v>1.8743000000000001</v>
      </c>
      <c r="P772" s="267">
        <f>IFERROR(IF(O772&gt;0,O772-(TBIcalc!$Q$9),""),"")</f>
        <v>1.7237</v>
      </c>
      <c r="Q772" s="278">
        <f>IFERROR(INDEX('Ashed teabags dry'!$K$2:$K$825,MATCH(J772,'Ashed teabags dry'!$A$2:$A$825,0)),"")</f>
        <v>2.9234338747099509</v>
      </c>
      <c r="R772" s="278">
        <f t="shared" si="62"/>
        <v>1.6733087703016245</v>
      </c>
      <c r="S772" s="268">
        <f>'Dry_Litterbag Placem_Collection'!E113</f>
        <v>42939</v>
      </c>
      <c r="T772" s="268">
        <f>IF('Dry_Litterbag Placem_Collection'!G113="","",'Dry_Litterbag Placem_Collection'!G113)</f>
        <v>43010</v>
      </c>
      <c r="U772" s="269">
        <f t="shared" si="60"/>
        <v>71</v>
      </c>
      <c r="V772" s="267">
        <f t="shared" si="63"/>
        <v>0.24549999999999983</v>
      </c>
      <c r="W772" s="267">
        <f t="shared" si="64"/>
        <v>0.25096068789175696</v>
      </c>
      <c r="X772" s="271">
        <f>IFERROR(INDEX(Rainfall_Dry!$O$2:$O$217,MATCH(B772, Rainfall_Dry!$A$2:$A$217,0)),"")</f>
        <v>137.19979645800001</v>
      </c>
      <c r="Y772" s="260">
        <v>34.344660194174757</v>
      </c>
      <c r="Z772" s="260">
        <v>19.22727272727273</v>
      </c>
      <c r="AA772" s="260">
        <v>46.428067078552509</v>
      </c>
      <c r="AB772" s="261" t="s">
        <v>2670</v>
      </c>
      <c r="AC772" s="260">
        <v>7.7452932479053702</v>
      </c>
      <c r="AD772">
        <f>IF('WetLitterbags placem_collection'!AB113="","",'WetLitterbags placem_collection'!AB113)</f>
        <v>6.1</v>
      </c>
      <c r="AE772">
        <f>IF('WetLitterbags placem_collection'!Z113="","",'WetLitterbags placem_collection'!Z113)</f>
        <v>26</v>
      </c>
      <c r="AF772" s="246" t="str">
        <f>IF('WetLitterbags placem_collection'!AA113="","",'WetLitterbags placem_collection'!AA113)</f>
        <v>M</v>
      </c>
      <c r="AG772">
        <f>IF('WetLitterbags placem_collection'!AC113="","",'WetLitterbags placem_collection'!AC113)</f>
        <v>0</v>
      </c>
      <c r="AH772">
        <f>IFERROR(AVERAGE('Dry_Litterbag Placem_Collection'!O113,'Dry_Litterbag Placem_Collection'!R113),"")</f>
        <v>8.3000000000000007</v>
      </c>
      <c r="AI772" s="271">
        <f>IFERROR(AVERAGE('Dry_Litterbag Placem_Collection'!N113,'Dry_Litterbag Placem_Collection'!Q113),"")</f>
        <v>29.549999999999997</v>
      </c>
      <c r="AJ772" s="270">
        <f>INDEX(Coordinates!$B$2:$B$197,MATCH(G772,Coordinates!$J$2:$J$197,0))</f>
        <v>-2.3697330060000001</v>
      </c>
      <c r="AK772" s="270">
        <f>INDEX(Coordinates!$C$2:$C$197,MATCH(G772,Coordinates!$J$2:$J$197,0))</f>
        <v>34.059615010000002</v>
      </c>
      <c r="AL772" s="270" t="str">
        <f>IF(ISNUMBER(SEARCH("C", 'Dry_Litterbag Placem_Collection'!V113)),"YES","NO")</f>
        <v>NO</v>
      </c>
      <c r="AM772" s="270" t="str">
        <f>IF(ISNUMBER(SEARCH("H", 'Dry_Litterbag Placem_Collection'!V113)),"YES","NO")</f>
        <v>NO</v>
      </c>
      <c r="AN772" s="270" t="str">
        <f>IF(ISNUMBER(SEARCH("R", 'Dry_Litterbag Placem_Collection'!V113)),"YES","NO")</f>
        <v>NO</v>
      </c>
    </row>
    <row r="773" spans="1:40" ht="15" customHeight="1">
      <c r="A773" s="262" t="s">
        <v>2659</v>
      </c>
      <c r="B773" s="263">
        <f>'Dry_Litterbag Placem_Collection'!A114</f>
        <v>112</v>
      </c>
      <c r="C773" s="263" t="str">
        <f>'Dry_Litterbag Placem_Collection'!B114</f>
        <v xml:space="preserve">Mwantimba
</v>
      </c>
      <c r="D773" s="263" t="s">
        <v>2460</v>
      </c>
      <c r="E773" s="263" t="s">
        <v>2660</v>
      </c>
      <c r="F773" s="263">
        <v>2</v>
      </c>
      <c r="G773" s="264" t="str">
        <f>'Dry_Litterbag Placem_Collection'!C114</f>
        <v>Wet_Ag2_T8</v>
      </c>
      <c r="H773" s="273" t="s">
        <v>3651</v>
      </c>
      <c r="I773" s="274" t="s">
        <v>298</v>
      </c>
      <c r="J773" s="263" t="str">
        <f>IF(ISBLANK('Dry_Litterbag Placem_Collection'!M114),"","R"&amp;""&amp;'Dry_Litterbag Placem_Collection'!M114)</f>
        <v/>
      </c>
      <c r="K773" s="267" t="str">
        <f>IFERROR(INDEX('Green_rooibos initial weight'!$C$5:$C$1749,MATCH(J773, 'Green_rooibos initial weight'!$A$5:$A$1749,0)),"")</f>
        <v/>
      </c>
      <c r="L773" s="267" t="str">
        <f>IFERROR(K773-(TBIcalc!$Q$9+TBIcalc!$Q$10),"")</f>
        <v/>
      </c>
      <c r="M773" s="391">
        <f>AVERAGE(Ashed_controlls!$K$12:$K$14)</f>
        <v>2.2816647271287041</v>
      </c>
      <c r="N773" s="267" t="str">
        <f t="shared" si="61"/>
        <v/>
      </c>
      <c r="O773" s="267" t="str">
        <f>IF(IFERROR(INDEX('Both teabags AfterDry'!$D$3:$D$900,MATCH(J773,'Both teabags AfterDry'!$A$3:$A$900,0)),"")="","",(IFERROR(INDEX('Both teabags AfterDry'!$D$3:$D$900,MATCH(J773,'Both teabags AfterDry'!$A$3:$A$900,0)),"")))</f>
        <v/>
      </c>
      <c r="P773" s="267" t="str">
        <f>IFERROR(IF(O773&gt;0,O773-(TBIcalc!$Q$9),""),"")</f>
        <v/>
      </c>
      <c r="Q773" s="278" t="str">
        <f>IFERROR(INDEX('Ashed teabags dry'!$K$2:$K$825,MATCH(J773,'Ashed teabags dry'!$A$2:$A$825,0)),"")</f>
        <v/>
      </c>
      <c r="R773" s="278" t="str">
        <f t="shared" si="62"/>
        <v/>
      </c>
      <c r="S773" s="268">
        <f>'Dry_Litterbag Placem_Collection'!E114</f>
        <v>0</v>
      </c>
      <c r="T773" s="268" t="str">
        <f>IF('Dry_Litterbag Placem_Collection'!G114="","",'Dry_Litterbag Placem_Collection'!G114)</f>
        <v/>
      </c>
      <c r="U773" s="269" t="str">
        <f t="shared" si="60"/>
        <v/>
      </c>
      <c r="V773" s="267" t="str">
        <f t="shared" si="63"/>
        <v/>
      </c>
      <c r="W773" s="267" t="str">
        <f t="shared" si="64"/>
        <v/>
      </c>
      <c r="X773" s="271" t="str">
        <f>IFERROR(INDEX(Rainfall_Dry!$O$2:$O$217,MATCH(B773, Rainfall_Dry!$A$2:$A$217,0)),"")</f>
        <v/>
      </c>
      <c r="Y773" s="260">
        <v>34.344660194174757</v>
      </c>
      <c r="Z773" s="260">
        <v>19.22727272727273</v>
      </c>
      <c r="AA773" s="260">
        <v>46.428067078552509</v>
      </c>
      <c r="AB773" s="261" t="s">
        <v>2670</v>
      </c>
      <c r="AC773" s="260">
        <v>8.7452932479053693</v>
      </c>
      <c r="AD773">
        <f>IF('WetLitterbags placem_collection'!AB114="","",'WetLitterbags placem_collection'!AB114)</f>
        <v>11.5</v>
      </c>
      <c r="AE773">
        <f>IF('WetLitterbags placem_collection'!Z114="","",'WetLitterbags placem_collection'!Z114)</f>
        <v>15</v>
      </c>
      <c r="AF773" s="246" t="str">
        <f>IF('WetLitterbags placem_collection'!AA114="","",'WetLitterbags placem_collection'!AA114)</f>
        <v>M</v>
      </c>
      <c r="AG773">
        <f>IF('WetLitterbags placem_collection'!AC114="","",'WetLitterbags placem_collection'!AC114)</f>
        <v>0</v>
      </c>
      <c r="AH773" t="str">
        <f>IFERROR(AVERAGE('Dry_Litterbag Placem_Collection'!O114,'Dry_Litterbag Placem_Collection'!R114),"")</f>
        <v/>
      </c>
      <c r="AI773" s="271" t="str">
        <f>IFERROR(AVERAGE('Dry_Litterbag Placem_Collection'!N114,'Dry_Litterbag Placem_Collection'!Q114),"")</f>
        <v/>
      </c>
      <c r="AJ773" s="270">
        <f>INDEX(Coordinates!$B$2:$B$197,MATCH(G773,Coordinates!$J$2:$J$197,0))</f>
        <v>-2.36967098</v>
      </c>
      <c r="AK773" s="270">
        <f>INDEX(Coordinates!$C$2:$C$197,MATCH(G773,Coordinates!$J$2:$J$197,0))</f>
        <v>34.059735959999998</v>
      </c>
      <c r="AL773" s="270" t="str">
        <f>IF(ISNUMBER(SEARCH("C", 'Dry_Litterbag Placem_Collection'!V114)),"YES","NO")</f>
        <v>NO</v>
      </c>
      <c r="AM773" s="270" t="str">
        <f>IF(ISNUMBER(SEARCH("H", 'Dry_Litterbag Placem_Collection'!V114)),"YES","NO")</f>
        <v>NO</v>
      </c>
      <c r="AN773" s="270" t="str">
        <f>IF(ISNUMBER(SEARCH("R", 'Dry_Litterbag Placem_Collection'!V114)),"YES","NO")</f>
        <v>NO</v>
      </c>
    </row>
    <row r="774" spans="1:40" ht="15" customHeight="1">
      <c r="A774" s="262" t="s">
        <v>2659</v>
      </c>
      <c r="B774" s="263">
        <f>'Dry_Litterbag Placem_Collection'!A115</f>
        <v>113</v>
      </c>
      <c r="C774" s="263" t="str">
        <f>'Dry_Litterbag Placem_Collection'!B115</f>
        <v xml:space="preserve">Mwantimba
</v>
      </c>
      <c r="D774" s="263" t="s">
        <v>2460</v>
      </c>
      <c r="E774" s="263" t="s">
        <v>2660</v>
      </c>
      <c r="F774" s="263">
        <v>3</v>
      </c>
      <c r="G774" s="264" t="str">
        <f>'Dry_Litterbag Placem_Collection'!C115</f>
        <v>Wet_Ag3_T1</v>
      </c>
      <c r="H774" s="273" t="s">
        <v>3651</v>
      </c>
      <c r="I774" s="274" t="s">
        <v>298</v>
      </c>
      <c r="J774" s="263" t="str">
        <f>IF(ISBLANK('Dry_Litterbag Placem_Collection'!M115),"","R"&amp;""&amp;'Dry_Litterbag Placem_Collection'!M115)</f>
        <v>R313</v>
      </c>
      <c r="K774" s="267">
        <f>IFERROR(INDEX('Green_rooibos initial weight'!$C$5:$C$1749,MATCH(J774, 'Green_rooibos initial weight'!$A$5:$A$1749,0)),"")</f>
        <v>2.2450000000000001</v>
      </c>
      <c r="L774" s="267">
        <f>IFERROR(K774-(TBIcalc!$Q$9+TBIcalc!$Q$10),"")</f>
        <v>1.9952000000000001</v>
      </c>
      <c r="M774" s="391">
        <f>AVERAGE(Ashed_controlls!$K$12:$K$14)</f>
        <v>2.2816647271287041</v>
      </c>
      <c r="N774" s="267">
        <f t="shared" si="61"/>
        <v>1.9496762253643283</v>
      </c>
      <c r="O774" s="267">
        <f>IF(IFERROR(INDEX('Both teabags AfterDry'!$D$3:$D$900,MATCH(J774,'Both teabags AfterDry'!$A$3:$A$900,0)),"")="","",(IFERROR(INDEX('Both teabags AfterDry'!$D$3:$D$900,MATCH(J774,'Both teabags AfterDry'!$A$3:$A$900,0)),"")))</f>
        <v>1.6048</v>
      </c>
      <c r="P774" s="267">
        <f>IFERROR(IF(O774&gt;0,O774-(TBIcalc!$Q$9),""),"")</f>
        <v>1.4541999999999999</v>
      </c>
      <c r="Q774" s="278">
        <f>IFERROR(INDEX('Ashed teabags dry'!$K$2:$K$825,MATCH(J774,'Ashed teabags dry'!$A$2:$A$825,0)),"")</f>
        <v>8.9047619047618891</v>
      </c>
      <c r="R774" s="278">
        <f t="shared" si="62"/>
        <v>1.3247069523809525</v>
      </c>
      <c r="S774" s="268">
        <f>'Dry_Litterbag Placem_Collection'!E115</f>
        <v>42939</v>
      </c>
      <c r="T774" s="268">
        <f>IF('Dry_Litterbag Placem_Collection'!G115="","",'Dry_Litterbag Placem_Collection'!G115)</f>
        <v>43008</v>
      </c>
      <c r="U774" s="269">
        <f t="shared" si="60"/>
        <v>69</v>
      </c>
      <c r="V774" s="267">
        <f t="shared" si="63"/>
        <v>0.54100000000000015</v>
      </c>
      <c r="W774" s="267">
        <f t="shared" si="64"/>
        <v>0.62496927298337579</v>
      </c>
      <c r="X774" s="271">
        <f>IFERROR(INDEX(Rainfall_Dry!$O$2:$O$217,MATCH(B774, Rainfall_Dry!$A$2:$A$217,0)),"")</f>
        <v>136.27214243</v>
      </c>
      <c r="Y774" s="260">
        <v>27.96</v>
      </c>
      <c r="Z774" s="260">
        <v>4.9200000000000017</v>
      </c>
      <c r="AA774" s="260">
        <v>67.12</v>
      </c>
      <c r="AB774" s="261" t="s">
        <v>2670</v>
      </c>
      <c r="AC774" s="260">
        <v>0.88610152784622953</v>
      </c>
      <c r="AD774">
        <f>IF('WetLitterbags placem_collection'!AB115="","",'WetLitterbags placem_collection'!AB115)</f>
        <v>26</v>
      </c>
      <c r="AE774">
        <f>IF('WetLitterbags placem_collection'!Z115="","",'WetLitterbags placem_collection'!Z115)</f>
        <v>88.5</v>
      </c>
      <c r="AF774" s="246" t="str">
        <f>IF('WetLitterbags placem_collection'!AA115="","",'WetLitterbags placem_collection'!AA115)</f>
        <v>G</v>
      </c>
      <c r="AG774">
        <f>IF('WetLitterbags placem_collection'!AC115="","",'WetLitterbags placem_collection'!AC115)</f>
        <v>0</v>
      </c>
      <c r="AH774">
        <f>IFERROR(AVERAGE('Dry_Litterbag Placem_Collection'!O115,'Dry_Litterbag Placem_Collection'!R115),"")</f>
        <v>6.35</v>
      </c>
      <c r="AI774" s="271">
        <f>IFERROR(AVERAGE('Dry_Litterbag Placem_Collection'!N115,'Dry_Litterbag Placem_Collection'!Q115),"")</f>
        <v>28.9</v>
      </c>
      <c r="AJ774" s="270">
        <f>INDEX(Coordinates!$B$2:$B$197,MATCH(G774,Coordinates!$J$2:$J$197,0))</f>
        <v>-2.3487199940000001</v>
      </c>
      <c r="AK774" s="270">
        <f>INDEX(Coordinates!$C$2:$C$197,MATCH(G774,Coordinates!$J$2:$J$197,0))</f>
        <v>34.051391029999998</v>
      </c>
      <c r="AL774" s="270" t="str">
        <f>IF(ISNUMBER(SEARCH("C", 'Dry_Litterbag Placem_Collection'!V115)),"YES","NO")</f>
        <v>NO</v>
      </c>
      <c r="AM774" s="270" t="str">
        <f>IF(ISNUMBER(SEARCH("H", 'Dry_Litterbag Placem_Collection'!V115)),"YES","NO")</f>
        <v>NO</v>
      </c>
      <c r="AN774" s="270" t="str">
        <f>IF(ISNUMBER(SEARCH("R", 'Dry_Litterbag Placem_Collection'!V115)),"YES","NO")</f>
        <v>NO</v>
      </c>
    </row>
    <row r="775" spans="1:40" ht="15" customHeight="1">
      <c r="A775" s="262" t="s">
        <v>2659</v>
      </c>
      <c r="B775" s="263">
        <f>'Dry_Litterbag Placem_Collection'!A116</f>
        <v>114</v>
      </c>
      <c r="C775" s="263" t="str">
        <f>'Dry_Litterbag Placem_Collection'!B116</f>
        <v xml:space="preserve">Mwantimba
</v>
      </c>
      <c r="D775" s="263" t="s">
        <v>2460</v>
      </c>
      <c r="E775" s="263" t="s">
        <v>2660</v>
      </c>
      <c r="F775" s="263">
        <v>3</v>
      </c>
      <c r="G775" s="264" t="str">
        <f>'Dry_Litterbag Placem_Collection'!C116</f>
        <v>Wet_Ag3_T2</v>
      </c>
      <c r="H775" s="273" t="s">
        <v>3651</v>
      </c>
      <c r="I775" s="274" t="s">
        <v>298</v>
      </c>
      <c r="J775" s="263" t="str">
        <f>IF(ISBLANK('Dry_Litterbag Placem_Collection'!M116),"","R"&amp;""&amp;'Dry_Litterbag Placem_Collection'!M116)</f>
        <v>R247</v>
      </c>
      <c r="K775" s="267">
        <f>IFERROR(INDEX('Green_rooibos initial weight'!$C$5:$C$1749,MATCH(J775, 'Green_rooibos initial weight'!$A$5:$A$1749,0)),"")</f>
        <v>2.2330000000000001</v>
      </c>
      <c r="L775" s="267">
        <f>IFERROR(K775-(TBIcalc!$Q$9+TBIcalc!$Q$10),"")</f>
        <v>1.9832000000000001</v>
      </c>
      <c r="M775" s="391">
        <f>AVERAGE(Ashed_controlls!$K$12:$K$14)</f>
        <v>2.2816647271287041</v>
      </c>
      <c r="N775" s="267">
        <f t="shared" si="61"/>
        <v>1.9379500251315835</v>
      </c>
      <c r="O775" s="267">
        <f>IF(IFERROR(INDEX('Both teabags AfterDry'!$D$3:$D$900,MATCH(J775,'Both teabags AfterDry'!$A$3:$A$900,0)),"")="","",(IFERROR(INDEX('Both teabags AfterDry'!$D$3:$D$900,MATCH(J775,'Both teabags AfterDry'!$A$3:$A$900,0)),"")))</f>
        <v>1.7551000000000001</v>
      </c>
      <c r="P775" s="267">
        <f>IFERROR(IF(O775&gt;0,O775-(TBIcalc!$Q$9),""),"")</f>
        <v>1.6045</v>
      </c>
      <c r="Q775" s="278">
        <f>IFERROR(INDEX('Ashed teabags dry'!$K$2:$K$825,MATCH(J775,'Ashed teabags dry'!$A$2:$A$825,0)),"")</f>
        <v>8.2853345148423898</v>
      </c>
      <c r="R775" s="278">
        <f t="shared" si="62"/>
        <v>1.471561807709354</v>
      </c>
      <c r="S775" s="268">
        <f>'Dry_Litterbag Placem_Collection'!E116</f>
        <v>42939</v>
      </c>
      <c r="T775" s="268">
        <f>IF('Dry_Litterbag Placem_Collection'!G116="","",'Dry_Litterbag Placem_Collection'!G116)</f>
        <v>43008</v>
      </c>
      <c r="U775" s="269">
        <f t="shared" si="60"/>
        <v>69</v>
      </c>
      <c r="V775" s="267">
        <f t="shared" si="63"/>
        <v>0.37870000000000004</v>
      </c>
      <c r="W775" s="267">
        <f t="shared" si="64"/>
        <v>0.46638821742222958</v>
      </c>
      <c r="X775" s="271">
        <f>IFERROR(INDEX(Rainfall_Dry!$O$2:$O$217,MATCH(B775, Rainfall_Dry!$A$2:$A$217,0)),"")</f>
        <v>136.27214243</v>
      </c>
      <c r="Y775" s="260">
        <v>27.96</v>
      </c>
      <c r="Z775" s="260">
        <v>4.9200000000000017</v>
      </c>
      <c r="AA775" s="260">
        <v>67.12</v>
      </c>
      <c r="AB775" s="261" t="s">
        <v>2670</v>
      </c>
      <c r="AC775" s="260">
        <v>1.8861015278462301</v>
      </c>
      <c r="AD775">
        <f>IF('WetLitterbags placem_collection'!AB116="","",'WetLitterbags placem_collection'!AB116)</f>
        <v>16.5</v>
      </c>
      <c r="AE775">
        <f>IF('WetLitterbags placem_collection'!Z116="","",'WetLitterbags placem_collection'!Z116)</f>
        <v>87.5</v>
      </c>
      <c r="AF775" s="246" t="str">
        <f>IF('WetLitterbags placem_collection'!AA116="","",'WetLitterbags placem_collection'!AA116)</f>
        <v>G</v>
      </c>
      <c r="AG775">
        <f>IF('WetLitterbags placem_collection'!AC116="","",'WetLitterbags placem_collection'!AC116)</f>
        <v>0</v>
      </c>
      <c r="AH775">
        <f>IFERROR(AVERAGE('Dry_Litterbag Placem_Collection'!O116,'Dry_Litterbag Placem_Collection'!R116),"")</f>
        <v>12.1</v>
      </c>
      <c r="AI775" s="271">
        <f>IFERROR(AVERAGE('Dry_Litterbag Placem_Collection'!N116,'Dry_Litterbag Placem_Collection'!Q116),"")</f>
        <v>28.1</v>
      </c>
      <c r="AJ775" s="270">
        <f>INDEX(Coordinates!$B$2:$B$197,MATCH(G775,Coordinates!$J$2:$J$197,0))</f>
        <v>-2.348716976</v>
      </c>
      <c r="AK775" s="270">
        <f>INDEX(Coordinates!$C$2:$C$197,MATCH(G775,Coordinates!$J$2:$J$197,0))</f>
        <v>34.051484989999999</v>
      </c>
      <c r="AL775" s="270" t="str">
        <f>IF(ISNUMBER(SEARCH("C", 'Dry_Litterbag Placem_Collection'!V116)),"YES","NO")</f>
        <v>NO</v>
      </c>
      <c r="AM775" s="270" t="str">
        <f>IF(ISNUMBER(SEARCH("H", 'Dry_Litterbag Placem_Collection'!V116)),"YES","NO")</f>
        <v>NO</v>
      </c>
      <c r="AN775" s="270" t="str">
        <f>IF(ISNUMBER(SEARCH("R", 'Dry_Litterbag Placem_Collection'!V116)),"YES","NO")</f>
        <v>NO</v>
      </c>
    </row>
    <row r="776" spans="1:40" ht="15" customHeight="1">
      <c r="A776" s="262" t="s">
        <v>2659</v>
      </c>
      <c r="B776" s="263">
        <f>'Dry_Litterbag Placem_Collection'!A117</f>
        <v>115</v>
      </c>
      <c r="C776" s="263" t="str">
        <f>'Dry_Litterbag Placem_Collection'!B117</f>
        <v xml:space="preserve">Mwantimba
</v>
      </c>
      <c r="D776" s="263" t="s">
        <v>2460</v>
      </c>
      <c r="E776" s="263" t="s">
        <v>2660</v>
      </c>
      <c r="F776" s="263">
        <v>3</v>
      </c>
      <c r="G776" s="264" t="str">
        <f>'Dry_Litterbag Placem_Collection'!C117</f>
        <v>Wet_Ag3_T3</v>
      </c>
      <c r="H776" s="273" t="s">
        <v>3651</v>
      </c>
      <c r="I776" s="274" t="s">
        <v>298</v>
      </c>
      <c r="J776" s="263" t="str">
        <f>IF(ISBLANK('Dry_Litterbag Placem_Collection'!M117),"","R"&amp;""&amp;'Dry_Litterbag Placem_Collection'!M117)</f>
        <v>R671</v>
      </c>
      <c r="K776" s="267">
        <f>IFERROR(INDEX('Green_rooibos initial weight'!$C$5:$C$1749,MATCH(J776, 'Green_rooibos initial weight'!$A$5:$A$1749,0)),"")</f>
        <v>2.202</v>
      </c>
      <c r="L776" s="267">
        <f>IFERROR(K776-(TBIcalc!$Q$9+TBIcalc!$Q$10),"")</f>
        <v>1.9521999999999999</v>
      </c>
      <c r="M776" s="391">
        <f>AVERAGE(Ashed_controlls!$K$12:$K$14)</f>
        <v>2.2816647271287041</v>
      </c>
      <c r="N776" s="267">
        <f t="shared" si="61"/>
        <v>1.9076573411969935</v>
      </c>
      <c r="O776" s="267">
        <f>IF(IFERROR(INDEX('Both teabags AfterDry'!$D$3:$D$900,MATCH(J776,'Both teabags AfterDry'!$A$3:$A$900,0)),"")="","",(IFERROR(INDEX('Both teabags AfterDry'!$D$3:$D$900,MATCH(J776,'Both teabags AfterDry'!$A$3:$A$900,0)),"")))</f>
        <v>1.6099000000000001</v>
      </c>
      <c r="P776" s="267">
        <f>IFERROR(IF(O776&gt;0,O776-(TBIcalc!$Q$9),""),"")</f>
        <v>1.4593</v>
      </c>
      <c r="Q776" s="278">
        <f>IFERROR(INDEX('Ashed teabags dry'!$K$2:$K$825,MATCH(J776,'Ashed teabags dry'!$A$2:$A$825,0)),"")</f>
        <v>9.1992373689235691</v>
      </c>
      <c r="R776" s="278">
        <f t="shared" si="62"/>
        <v>1.3250555290752983</v>
      </c>
      <c r="S776" s="268">
        <f>'Dry_Litterbag Placem_Collection'!E117</f>
        <v>42939</v>
      </c>
      <c r="T776" s="268">
        <f>IF('Dry_Litterbag Placem_Collection'!G117="","",'Dry_Litterbag Placem_Collection'!G117)</f>
        <v>43008</v>
      </c>
      <c r="U776" s="269">
        <f t="shared" si="60"/>
        <v>69</v>
      </c>
      <c r="V776" s="267">
        <f t="shared" si="63"/>
        <v>0.49289999999999989</v>
      </c>
      <c r="W776" s="267">
        <f t="shared" si="64"/>
        <v>0.58260181212169515</v>
      </c>
      <c r="X776" s="271">
        <f>IFERROR(INDEX(Rainfall_Dry!$O$2:$O$217,MATCH(B776, Rainfall_Dry!$A$2:$A$217,0)),"")</f>
        <v>136.27214243</v>
      </c>
      <c r="Y776" s="260">
        <v>27.96</v>
      </c>
      <c r="Z776" s="260">
        <v>4.9200000000000017</v>
      </c>
      <c r="AA776" s="260">
        <v>67.12</v>
      </c>
      <c r="AB776" s="261" t="s">
        <v>2670</v>
      </c>
      <c r="AC776" s="260">
        <v>2.8861015278462299</v>
      </c>
      <c r="AD776">
        <f>IF('WetLitterbags placem_collection'!AB117="","",'WetLitterbags placem_collection'!AB117)</f>
        <v>19</v>
      </c>
      <c r="AE776">
        <f>IF('WetLitterbags placem_collection'!Z117="","",'WetLitterbags placem_collection'!Z117)</f>
        <v>79.5</v>
      </c>
      <c r="AF776" s="246" t="str">
        <f>IF('WetLitterbags placem_collection'!AA117="","",'WetLitterbags placem_collection'!AA117)</f>
        <v>G</v>
      </c>
      <c r="AG776">
        <f>IF('WetLitterbags placem_collection'!AC117="","",'WetLitterbags placem_collection'!AC117)</f>
        <v>1</v>
      </c>
      <c r="AH776">
        <f>IFERROR(AVERAGE('Dry_Litterbag Placem_Collection'!O117,'Dry_Litterbag Placem_Collection'!R117),"")</f>
        <v>6.9</v>
      </c>
      <c r="AI776" s="271">
        <f>IFERROR(AVERAGE('Dry_Litterbag Placem_Collection'!N117,'Dry_Litterbag Placem_Collection'!Q117),"")</f>
        <v>28.95</v>
      </c>
      <c r="AJ776" s="270">
        <f>INDEX(Coordinates!$B$2:$B$197,MATCH(G776,Coordinates!$J$2:$J$197,0))</f>
        <v>-2.3487800079999999</v>
      </c>
      <c r="AK776" s="270">
        <f>INDEX(Coordinates!$C$2:$C$197,MATCH(G776,Coordinates!$J$2:$J$197,0))</f>
        <v>34.051495969999998</v>
      </c>
      <c r="AL776" s="270" t="str">
        <f>IF(ISNUMBER(SEARCH("C", 'Dry_Litterbag Placem_Collection'!V117)),"YES","NO")</f>
        <v>NO</v>
      </c>
      <c r="AM776" s="270" t="str">
        <f>IF(ISNUMBER(SEARCH("H", 'Dry_Litterbag Placem_Collection'!V117)),"YES","NO")</f>
        <v>NO</v>
      </c>
      <c r="AN776" s="270" t="str">
        <f>IF(ISNUMBER(SEARCH("R", 'Dry_Litterbag Placem_Collection'!V117)),"YES","NO")</f>
        <v>NO</v>
      </c>
    </row>
    <row r="777" spans="1:40" ht="15" customHeight="1">
      <c r="A777" s="262" t="s">
        <v>2659</v>
      </c>
      <c r="B777" s="263">
        <f>'Dry_Litterbag Placem_Collection'!A118</f>
        <v>116</v>
      </c>
      <c r="C777" s="263" t="str">
        <f>'Dry_Litterbag Placem_Collection'!B118</f>
        <v xml:space="preserve">Mwantimba
</v>
      </c>
      <c r="D777" s="263" t="s">
        <v>2460</v>
      </c>
      <c r="E777" s="263" t="s">
        <v>2660</v>
      </c>
      <c r="F777" s="263">
        <v>3</v>
      </c>
      <c r="G777" s="264" t="str">
        <f>'Dry_Litterbag Placem_Collection'!C118</f>
        <v>Wet_Ag3_T4</v>
      </c>
      <c r="H777" s="273" t="s">
        <v>3651</v>
      </c>
      <c r="I777" s="274" t="s">
        <v>298</v>
      </c>
      <c r="J777" s="263" t="str">
        <f>IF(ISBLANK('Dry_Litterbag Placem_Collection'!M118),"","R"&amp;""&amp;'Dry_Litterbag Placem_Collection'!M118)</f>
        <v>R638</v>
      </c>
      <c r="K777" s="267">
        <f>IFERROR(INDEX('Green_rooibos initial weight'!$C$5:$C$1749,MATCH(J777, 'Green_rooibos initial weight'!$A$5:$A$1749,0)),"")</f>
        <v>2.1659999999999999</v>
      </c>
      <c r="L777" s="267">
        <f>IFERROR(K777-(TBIcalc!$Q$9+TBIcalc!$Q$10),"")</f>
        <v>1.9161999999999999</v>
      </c>
      <c r="M777" s="391">
        <f>AVERAGE(Ashed_controlls!$K$12:$K$14)</f>
        <v>2.2816647271287041</v>
      </c>
      <c r="N777" s="267">
        <f t="shared" si="61"/>
        <v>1.8724787404987597</v>
      </c>
      <c r="O777" s="267">
        <f>IF(IFERROR(INDEX('Both teabags AfterDry'!$D$3:$D$900,MATCH(J777,'Both teabags AfterDry'!$A$3:$A$900,0)),"")="","",(IFERROR(INDEX('Both teabags AfterDry'!$D$3:$D$900,MATCH(J777,'Both teabags AfterDry'!$A$3:$A$900,0)),"")))</f>
        <v>1.5814999999999999</v>
      </c>
      <c r="P777" s="267">
        <f>IFERROR(IF(O777&gt;0,O777-(TBIcalc!$Q$9),""),"")</f>
        <v>1.4308999999999998</v>
      </c>
      <c r="Q777" s="278">
        <f>IFERROR(INDEX('Ashed teabags dry'!$K$2:$K$825,MATCH(J777,'Ashed teabags dry'!$A$2:$A$825,0)),"")</f>
        <v>7.3855913004079357</v>
      </c>
      <c r="R777" s="278">
        <f t="shared" si="62"/>
        <v>1.3252195740824626</v>
      </c>
      <c r="S777" s="268">
        <f>'Dry_Litterbag Placem_Collection'!E118</f>
        <v>42939</v>
      </c>
      <c r="T777" s="268">
        <f>IF('Dry_Litterbag Placem_Collection'!G118="","",'Dry_Litterbag Placem_Collection'!G118)</f>
        <v>43008</v>
      </c>
      <c r="U777" s="269">
        <f t="shared" si="60"/>
        <v>69</v>
      </c>
      <c r="V777" s="267">
        <f t="shared" si="63"/>
        <v>0.48530000000000006</v>
      </c>
      <c r="W777" s="267">
        <f t="shared" si="64"/>
        <v>0.54725916641629713</v>
      </c>
      <c r="X777" s="271">
        <f>IFERROR(INDEX(Rainfall_Dry!$O$2:$O$217,MATCH(B777, Rainfall_Dry!$A$2:$A$217,0)),"")</f>
        <v>136.27214243</v>
      </c>
      <c r="Y777" s="260">
        <v>27.96</v>
      </c>
      <c r="Z777" s="260">
        <v>4.9200000000000017</v>
      </c>
      <c r="AA777" s="260">
        <v>67.12</v>
      </c>
      <c r="AB777" s="261" t="s">
        <v>2670</v>
      </c>
      <c r="AC777" s="260">
        <v>3.8861015278462299</v>
      </c>
      <c r="AD777">
        <f>IF('WetLitterbags placem_collection'!AB118="","",'WetLitterbags placem_collection'!AB118)</f>
        <v>22.5</v>
      </c>
      <c r="AE777">
        <f>IF('WetLitterbags placem_collection'!Z118="","",'WetLitterbags placem_collection'!Z118)</f>
        <v>76</v>
      </c>
      <c r="AF777" s="246" t="str">
        <f>IF('WetLitterbags placem_collection'!AA118="","",'WetLitterbags placem_collection'!AA118)</f>
        <v>G</v>
      </c>
      <c r="AG777">
        <f>IF('WetLitterbags placem_collection'!AC118="","",'WetLitterbags placem_collection'!AC118)</f>
        <v>1</v>
      </c>
      <c r="AH777">
        <f>IFERROR(AVERAGE('Dry_Litterbag Placem_Collection'!O118,'Dry_Litterbag Placem_Collection'!R118),"")</f>
        <v>8.65</v>
      </c>
      <c r="AI777" s="271">
        <f>IFERROR(AVERAGE('Dry_Litterbag Placem_Collection'!N118,'Dry_Litterbag Placem_Collection'!Q118),"")</f>
        <v>29.799999999999997</v>
      </c>
      <c r="AJ777" s="270">
        <f>INDEX(Coordinates!$B$2:$B$197,MATCH(G777,Coordinates!$J$2:$J$197,0))</f>
        <v>-2.3488120270000001</v>
      </c>
      <c r="AK777" s="270">
        <f>INDEX(Coordinates!$C$2:$C$197,MATCH(G777,Coordinates!$J$2:$J$197,0))</f>
        <v>34.05146697</v>
      </c>
      <c r="AL777" s="270" t="str">
        <f>IF(ISNUMBER(SEARCH("C", 'Dry_Litterbag Placem_Collection'!V118)),"YES","NO")</f>
        <v>NO</v>
      </c>
      <c r="AM777" s="270" t="str">
        <f>IF(ISNUMBER(SEARCH("H", 'Dry_Litterbag Placem_Collection'!V118)),"YES","NO")</f>
        <v>NO</v>
      </c>
      <c r="AN777" s="270" t="str">
        <f>IF(ISNUMBER(SEARCH("R", 'Dry_Litterbag Placem_Collection'!V118)),"YES","NO")</f>
        <v>NO</v>
      </c>
    </row>
    <row r="778" spans="1:40" ht="15" customHeight="1">
      <c r="A778" s="262" t="s">
        <v>2659</v>
      </c>
      <c r="B778" s="263">
        <f>'Dry_Litterbag Placem_Collection'!A119</f>
        <v>117</v>
      </c>
      <c r="C778" s="263" t="str">
        <f>'Dry_Litterbag Placem_Collection'!B119</f>
        <v xml:space="preserve">Mwantimba
</v>
      </c>
      <c r="D778" s="263" t="s">
        <v>2460</v>
      </c>
      <c r="E778" s="263" t="s">
        <v>2660</v>
      </c>
      <c r="F778" s="263">
        <v>3</v>
      </c>
      <c r="G778" s="264" t="str">
        <f>'Dry_Litterbag Placem_Collection'!C119</f>
        <v>Wet_Ag3_T5</v>
      </c>
      <c r="H778" s="273" t="s">
        <v>3651</v>
      </c>
      <c r="I778" s="274" t="s">
        <v>298</v>
      </c>
      <c r="J778" s="263" t="str">
        <f>IF(ISBLANK('Dry_Litterbag Placem_Collection'!M119),"","R"&amp;""&amp;'Dry_Litterbag Placem_Collection'!M119)</f>
        <v>R719</v>
      </c>
      <c r="K778" s="267">
        <f>IFERROR(INDEX('Green_rooibos initial weight'!$C$5:$C$1749,MATCH(J778, 'Green_rooibos initial weight'!$A$5:$A$1749,0)),"")</f>
        <v>2.2050000000000001</v>
      </c>
      <c r="L778" s="267">
        <f>IFERROR(K778-(TBIcalc!$Q$9+TBIcalc!$Q$10),"")</f>
        <v>1.9552</v>
      </c>
      <c r="M778" s="391">
        <f>AVERAGE(Ashed_controlls!$K$12:$K$14)</f>
        <v>2.2816647271287041</v>
      </c>
      <c r="N778" s="267">
        <f t="shared" si="61"/>
        <v>1.9105888912551796</v>
      </c>
      <c r="O778" s="267" t="str">
        <f>IF(IFERROR(INDEX('Both teabags AfterDry'!$D$3:$D$900,MATCH(J778,'Both teabags AfterDry'!$A$3:$A$900,0)),"")="","",(IFERROR(INDEX('Both teabags AfterDry'!$D$3:$D$900,MATCH(J778,'Both teabags AfterDry'!$A$3:$A$900,0)),"")))</f>
        <v/>
      </c>
      <c r="P778" s="267" t="str">
        <f>IFERROR(IF(O778&gt;0,O778-(TBIcalc!$Q$9),""),"")</f>
        <v/>
      </c>
      <c r="Q778" s="278" t="str">
        <f>IFERROR(INDEX('Ashed teabags dry'!$K$2:$K$825,MATCH(J778,'Ashed teabags dry'!$A$2:$A$825,0)),"")</f>
        <v/>
      </c>
      <c r="R778" s="278" t="str">
        <f t="shared" si="62"/>
        <v/>
      </c>
      <c r="S778" s="268">
        <f>'Dry_Litterbag Placem_Collection'!E119</f>
        <v>42939</v>
      </c>
      <c r="T778" s="268">
        <f>IF('Dry_Litterbag Placem_Collection'!G119="","",'Dry_Litterbag Placem_Collection'!G119)</f>
        <v>43008</v>
      </c>
      <c r="U778" s="269">
        <f t="shared" si="60"/>
        <v>69</v>
      </c>
      <c r="V778" s="267" t="str">
        <f t="shared" si="63"/>
        <v/>
      </c>
      <c r="W778" s="267" t="str">
        <f t="shared" si="64"/>
        <v/>
      </c>
      <c r="X778" s="271">
        <f>IFERROR(INDEX(Rainfall_Dry!$O$2:$O$217,MATCH(B778, Rainfall_Dry!$A$2:$A$217,0)),"")</f>
        <v>136.27214243</v>
      </c>
      <c r="Y778" s="260">
        <v>27.96</v>
      </c>
      <c r="Z778" s="260">
        <v>4.9200000000000017</v>
      </c>
      <c r="AA778" s="260">
        <v>67.12</v>
      </c>
      <c r="AB778" s="261" t="s">
        <v>2670</v>
      </c>
      <c r="AC778" s="260">
        <v>4.8861015278462299</v>
      </c>
      <c r="AD778">
        <f>IF('WetLitterbags placem_collection'!AB119="","",'WetLitterbags placem_collection'!AB119)</f>
        <v>23.5</v>
      </c>
      <c r="AE778">
        <f>IF('WetLitterbags placem_collection'!Z119="","",'WetLitterbags placem_collection'!Z119)</f>
        <v>76</v>
      </c>
      <c r="AF778" s="246" t="str">
        <f>IF('WetLitterbags placem_collection'!AA119="","",'WetLitterbags placem_collection'!AA119)</f>
        <v>G</v>
      </c>
      <c r="AG778">
        <f>IF('WetLitterbags placem_collection'!AC119="","",'WetLitterbags placem_collection'!AC119)</f>
        <v>1</v>
      </c>
      <c r="AH778">
        <f>IFERROR(AVERAGE('Dry_Litterbag Placem_Collection'!O119,'Dry_Litterbag Placem_Collection'!R119),"")</f>
        <v>10.149999999999999</v>
      </c>
      <c r="AI778" s="271">
        <f>IFERROR(AVERAGE('Dry_Litterbag Placem_Collection'!N119,'Dry_Litterbag Placem_Collection'!Q119),"")</f>
        <v>29.05</v>
      </c>
      <c r="AJ778" s="270">
        <f>INDEX(Coordinates!$B$2:$B$197,MATCH(G778,Coordinates!$J$2:$J$197,0))</f>
        <v>-2.348814961</v>
      </c>
      <c r="AK778" s="270">
        <f>INDEX(Coordinates!$C$2:$C$197,MATCH(G778,Coordinates!$J$2:$J$197,0))</f>
        <v>34.051439979999998</v>
      </c>
      <c r="AL778" s="270" t="str">
        <f>IF(ISNUMBER(SEARCH("C", 'Dry_Litterbag Placem_Collection'!V119)),"YES","NO")</f>
        <v>NO</v>
      </c>
      <c r="AM778" s="270" t="str">
        <f>IF(ISNUMBER(SEARCH("H", 'Dry_Litterbag Placem_Collection'!V119)),"YES","NO")</f>
        <v>NO</v>
      </c>
      <c r="AN778" s="270" t="str">
        <f>IF(ISNUMBER(SEARCH("R", 'Dry_Litterbag Placem_Collection'!V119)),"YES","NO")</f>
        <v>NO</v>
      </c>
    </row>
    <row r="779" spans="1:40" ht="15" customHeight="1">
      <c r="A779" s="262" t="s">
        <v>2659</v>
      </c>
      <c r="B779" s="263">
        <f>'Dry_Litterbag Placem_Collection'!A120</f>
        <v>118</v>
      </c>
      <c r="C779" s="263" t="str">
        <f>'Dry_Litterbag Placem_Collection'!B120</f>
        <v xml:space="preserve">Mwantimba
</v>
      </c>
      <c r="D779" s="263" t="s">
        <v>2460</v>
      </c>
      <c r="E779" s="263" t="s">
        <v>2660</v>
      </c>
      <c r="F779" s="263">
        <v>3</v>
      </c>
      <c r="G779" s="264" t="str">
        <f>'Dry_Litterbag Placem_Collection'!C120</f>
        <v>Wet_Ag3_T6</v>
      </c>
      <c r="H779" s="273" t="s">
        <v>3651</v>
      </c>
      <c r="I779" s="274" t="s">
        <v>298</v>
      </c>
      <c r="J779" s="263" t="str">
        <f>IF(ISBLANK('Dry_Litterbag Placem_Collection'!M120),"","R"&amp;""&amp;'Dry_Litterbag Placem_Collection'!M120)</f>
        <v>R173</v>
      </c>
      <c r="K779" s="267">
        <f>IFERROR(INDEX('Green_rooibos initial weight'!$C$5:$C$1749,MATCH(J779, 'Green_rooibos initial weight'!$A$5:$A$1749,0)),"")</f>
        <v>2.2040000000000002</v>
      </c>
      <c r="L779" s="267">
        <f>IFERROR(K779-(TBIcalc!$Q$9+TBIcalc!$Q$10),"")</f>
        <v>1.9542000000000002</v>
      </c>
      <c r="M779" s="391">
        <f>AVERAGE(Ashed_controlls!$K$12:$K$14)</f>
        <v>2.2816647271287041</v>
      </c>
      <c r="N779" s="267">
        <f t="shared" si="61"/>
        <v>1.909611707902451</v>
      </c>
      <c r="O779" s="267">
        <f>IF(IFERROR(INDEX('Both teabags AfterDry'!$D$3:$D$900,MATCH(J779,'Both teabags AfterDry'!$A$3:$A$900,0)),"")="","",(IFERROR(INDEX('Both teabags AfterDry'!$D$3:$D$900,MATCH(J779,'Both teabags AfterDry'!$A$3:$A$900,0)),"")))</f>
        <v>1.5261</v>
      </c>
      <c r="P779" s="267">
        <f>IFERROR(IF(O779&gt;0,O779-(TBIcalc!$Q$9),""),"")</f>
        <v>1.3754999999999999</v>
      </c>
      <c r="Q779" s="278">
        <f>IFERROR(INDEX('Ashed teabags dry'!$K$2:$K$825,MATCH(J779,'Ashed teabags dry'!$A$2:$A$825,0)),"")</f>
        <v>8.9977728285078307</v>
      </c>
      <c r="R779" s="278">
        <f t="shared" si="62"/>
        <v>1.2517356347438748</v>
      </c>
      <c r="S779" s="268">
        <f>'Dry_Litterbag Placem_Collection'!E120</f>
        <v>42939</v>
      </c>
      <c r="T779" s="268">
        <f>IF('Dry_Litterbag Placem_Collection'!G120="","",'Dry_Litterbag Placem_Collection'!G120)</f>
        <v>43008</v>
      </c>
      <c r="U779" s="269">
        <f t="shared" si="60"/>
        <v>69</v>
      </c>
      <c r="V779" s="267">
        <f t="shared" si="63"/>
        <v>0.57870000000000021</v>
      </c>
      <c r="W779" s="267">
        <f t="shared" si="64"/>
        <v>0.65787607315857621</v>
      </c>
      <c r="X779" s="271">
        <f>IFERROR(INDEX(Rainfall_Dry!$O$2:$O$217,MATCH(B779, Rainfall_Dry!$A$2:$A$217,0)),"")</f>
        <v>136.27214243</v>
      </c>
      <c r="Y779" s="260">
        <v>27.96</v>
      </c>
      <c r="Z779" s="260">
        <v>4.9200000000000017</v>
      </c>
      <c r="AA779" s="260">
        <v>67.12</v>
      </c>
      <c r="AB779" s="261" t="s">
        <v>2670</v>
      </c>
      <c r="AC779" s="260">
        <v>5.8861015278462299</v>
      </c>
      <c r="AD779">
        <f>IF('WetLitterbags placem_collection'!AB120="","",'WetLitterbags placem_collection'!AB120)</f>
        <v>17.5</v>
      </c>
      <c r="AE779">
        <f>IF('WetLitterbags placem_collection'!Z120="","",'WetLitterbags placem_collection'!Z120)</f>
        <v>70.5</v>
      </c>
      <c r="AF779" s="246" t="str">
        <f>IF('WetLitterbags placem_collection'!AA120="","",'WetLitterbags placem_collection'!AA120)</f>
        <v>G</v>
      </c>
      <c r="AG779">
        <f>IF('WetLitterbags placem_collection'!AC120="","",'WetLitterbags placem_collection'!AC120)</f>
        <v>1</v>
      </c>
      <c r="AH779">
        <f>IFERROR(AVERAGE('Dry_Litterbag Placem_Collection'!O120,'Dry_Litterbag Placem_Collection'!R120),"")</f>
        <v>7.8000000000000007</v>
      </c>
      <c r="AI779" s="271">
        <f>IFERROR(AVERAGE('Dry_Litterbag Placem_Collection'!N120,'Dry_Litterbag Placem_Collection'!Q120),"")</f>
        <v>28.25</v>
      </c>
      <c r="AJ779" s="270">
        <f>INDEX(Coordinates!$B$2:$B$197,MATCH(G779,Coordinates!$J$2:$J$197,0))</f>
        <v>-2.3488729629999998</v>
      </c>
      <c r="AK779" s="270">
        <f>INDEX(Coordinates!$C$2:$C$197,MATCH(G779,Coordinates!$J$2:$J$197,0))</f>
        <v>34.051454980000003</v>
      </c>
      <c r="AL779" s="270" t="str">
        <f>IF(ISNUMBER(SEARCH("C", 'Dry_Litterbag Placem_Collection'!V120)),"YES","NO")</f>
        <v>NO</v>
      </c>
      <c r="AM779" s="270" t="str">
        <f>IF(ISNUMBER(SEARCH("H", 'Dry_Litterbag Placem_Collection'!V120)),"YES","NO")</f>
        <v>NO</v>
      </c>
      <c r="AN779" s="270" t="str">
        <f>IF(ISNUMBER(SEARCH("R", 'Dry_Litterbag Placem_Collection'!V120)),"YES","NO")</f>
        <v>NO</v>
      </c>
    </row>
    <row r="780" spans="1:40" ht="15" customHeight="1">
      <c r="A780" s="262" t="s">
        <v>2659</v>
      </c>
      <c r="B780" s="263">
        <f>'Dry_Litterbag Placem_Collection'!A121</f>
        <v>119</v>
      </c>
      <c r="C780" s="263" t="str">
        <f>'Dry_Litterbag Placem_Collection'!B121</f>
        <v xml:space="preserve">Mwantimba
</v>
      </c>
      <c r="D780" s="263" t="s">
        <v>2460</v>
      </c>
      <c r="E780" s="263" t="s">
        <v>2660</v>
      </c>
      <c r="F780" s="263">
        <v>3</v>
      </c>
      <c r="G780" s="264" t="str">
        <f>'Dry_Litterbag Placem_Collection'!C121</f>
        <v>Wet_Ag3_T7</v>
      </c>
      <c r="H780" s="273" t="s">
        <v>3651</v>
      </c>
      <c r="I780" s="274" t="s">
        <v>298</v>
      </c>
      <c r="J780" s="263" t="str">
        <f>IF(ISBLANK('Dry_Litterbag Placem_Collection'!M121),"","R"&amp;""&amp;'Dry_Litterbag Placem_Collection'!M121)</f>
        <v>R373</v>
      </c>
      <c r="K780" s="267">
        <f>IFERROR(INDEX('Green_rooibos initial weight'!$C$5:$C$1749,MATCH(J780, 'Green_rooibos initial weight'!$A$5:$A$1749,0)),"")</f>
        <v>2.226</v>
      </c>
      <c r="L780" s="267">
        <f>IFERROR(K780-(TBIcalc!$Q$9+TBIcalc!$Q$10),"")</f>
        <v>1.9762</v>
      </c>
      <c r="M780" s="391">
        <f>AVERAGE(Ashed_controlls!$K$12:$K$14)</f>
        <v>2.2816647271287041</v>
      </c>
      <c r="N780" s="267">
        <f t="shared" si="61"/>
        <v>1.9311097416624825</v>
      </c>
      <c r="O780" s="267">
        <f>IF(IFERROR(INDEX('Both teabags AfterDry'!$D$3:$D$900,MATCH(J780,'Both teabags AfterDry'!$A$3:$A$900,0)),"")="","",(IFERROR(INDEX('Both teabags AfterDry'!$D$3:$D$900,MATCH(J780,'Both teabags AfterDry'!$A$3:$A$900,0)),"")))</f>
        <v>1.5419</v>
      </c>
      <c r="P780" s="267">
        <f>IFERROR(IF(O780&gt;0,O780-(TBIcalc!$Q$9),""),"")</f>
        <v>1.3913</v>
      </c>
      <c r="Q780" s="278">
        <f>IFERROR(INDEX('Ashed teabags dry'!$K$2:$K$825,MATCH(J780,'Ashed teabags dry'!$A$2:$A$825,0)),"")</f>
        <v>6.2859884836854203</v>
      </c>
      <c r="R780" s="278">
        <f t="shared" si="62"/>
        <v>1.3038430422264846</v>
      </c>
      <c r="S780" s="268">
        <f>'Dry_Litterbag Placem_Collection'!E121</f>
        <v>42939</v>
      </c>
      <c r="T780" s="268">
        <f>IF('Dry_Litterbag Placem_Collection'!G121="","",'Dry_Litterbag Placem_Collection'!G121)</f>
        <v>43008</v>
      </c>
      <c r="U780" s="269">
        <f t="shared" si="60"/>
        <v>69</v>
      </c>
      <c r="V780" s="267">
        <f t="shared" si="63"/>
        <v>0.58489999999999998</v>
      </c>
      <c r="W780" s="267">
        <f t="shared" si="64"/>
        <v>0.62726669943599789</v>
      </c>
      <c r="X780" s="271">
        <f>IFERROR(INDEX(Rainfall_Dry!$O$2:$O$217,MATCH(B780, Rainfall_Dry!$A$2:$A$217,0)),"")</f>
        <v>136.27214243</v>
      </c>
      <c r="Y780" s="260">
        <v>27.96</v>
      </c>
      <c r="Z780" s="260">
        <v>4.9200000000000017</v>
      </c>
      <c r="AA780" s="260">
        <v>67.12</v>
      </c>
      <c r="AB780" s="261" t="s">
        <v>2670</v>
      </c>
      <c r="AC780" s="260">
        <v>6.8861015278462299</v>
      </c>
      <c r="AD780">
        <f>IF('WetLitterbags placem_collection'!AB121="","",'WetLitterbags placem_collection'!AB121)</f>
        <v>18.5</v>
      </c>
      <c r="AE780">
        <f>IF('WetLitterbags placem_collection'!Z121="","",'WetLitterbags placem_collection'!Z121)</f>
        <v>74.5</v>
      </c>
      <c r="AF780" s="246" t="str">
        <f>IF('WetLitterbags placem_collection'!AA121="","",'WetLitterbags placem_collection'!AA121)</f>
        <v>G</v>
      </c>
      <c r="AG780">
        <f>IF('WetLitterbags placem_collection'!AC121="","",'WetLitterbags placem_collection'!AC121)</f>
        <v>1</v>
      </c>
      <c r="AH780">
        <f>IFERROR(AVERAGE('Dry_Litterbag Placem_Collection'!O121,'Dry_Litterbag Placem_Collection'!R121),"")</f>
        <v>10.050000000000001</v>
      </c>
      <c r="AI780" s="271">
        <f>IFERROR(AVERAGE('Dry_Litterbag Placem_Collection'!N121,'Dry_Litterbag Placem_Collection'!Q121),"")</f>
        <v>27.95</v>
      </c>
      <c r="AJ780" s="270">
        <f>INDEX(Coordinates!$B$2:$B$197,MATCH(G780,Coordinates!$J$2:$J$197,0))</f>
        <v>-2.3488589659999999</v>
      </c>
      <c r="AK780" s="270">
        <f>INDEX(Coordinates!$C$2:$C$197,MATCH(G780,Coordinates!$J$2:$J$197,0))</f>
        <v>34.051389010000001</v>
      </c>
      <c r="AL780" s="270" t="str">
        <f>IF(ISNUMBER(SEARCH("C", 'Dry_Litterbag Placem_Collection'!V121)),"YES","NO")</f>
        <v>NO</v>
      </c>
      <c r="AM780" s="270" t="str">
        <f>IF(ISNUMBER(SEARCH("H", 'Dry_Litterbag Placem_Collection'!V121)),"YES","NO")</f>
        <v>NO</v>
      </c>
      <c r="AN780" s="270" t="str">
        <f>IF(ISNUMBER(SEARCH("R", 'Dry_Litterbag Placem_Collection'!V121)),"YES","NO")</f>
        <v>NO</v>
      </c>
    </row>
    <row r="781" spans="1:40" ht="15" customHeight="1">
      <c r="A781" s="262" t="s">
        <v>2659</v>
      </c>
      <c r="B781" s="263">
        <f>'Dry_Litterbag Placem_Collection'!A122</f>
        <v>120</v>
      </c>
      <c r="C781" s="263" t="str">
        <f>'Dry_Litterbag Placem_Collection'!B122</f>
        <v xml:space="preserve">Mwantimba
</v>
      </c>
      <c r="D781" s="263" t="s">
        <v>2460</v>
      </c>
      <c r="E781" s="263" t="s">
        <v>2660</v>
      </c>
      <c r="F781" s="263">
        <v>3</v>
      </c>
      <c r="G781" s="264" t="str">
        <f>'Dry_Litterbag Placem_Collection'!C122</f>
        <v>Wet_Ag3_T8</v>
      </c>
      <c r="H781" s="273" t="s">
        <v>3651</v>
      </c>
      <c r="I781" s="274" t="s">
        <v>298</v>
      </c>
      <c r="J781" s="263" t="str">
        <f>IF(ISBLANK('Dry_Litterbag Placem_Collection'!M122),"","R"&amp;""&amp;'Dry_Litterbag Placem_Collection'!M122)</f>
        <v/>
      </c>
      <c r="K781" s="267" t="str">
        <f>IFERROR(INDEX('Green_rooibos initial weight'!$C$5:$C$1749,MATCH(J781, 'Green_rooibos initial weight'!$A$5:$A$1749,0)),"")</f>
        <v/>
      </c>
      <c r="L781" s="267" t="str">
        <f>IFERROR(K781-(TBIcalc!$Q$9+TBIcalc!$Q$10),"")</f>
        <v/>
      </c>
      <c r="M781" s="391">
        <f>AVERAGE(Ashed_controlls!$K$12:$K$14)</f>
        <v>2.2816647271287041</v>
      </c>
      <c r="N781" s="267" t="str">
        <f t="shared" si="61"/>
        <v/>
      </c>
      <c r="O781" s="267" t="str">
        <f>IF(IFERROR(INDEX('Both teabags AfterDry'!$D$3:$D$900,MATCH(J781,'Both teabags AfterDry'!$A$3:$A$900,0)),"")="","",(IFERROR(INDEX('Both teabags AfterDry'!$D$3:$D$900,MATCH(J781,'Both teabags AfterDry'!$A$3:$A$900,0)),"")))</f>
        <v/>
      </c>
      <c r="P781" s="267" t="str">
        <f>IFERROR(IF(O781&gt;0,O781-(TBIcalc!$Q$9),""),"")</f>
        <v/>
      </c>
      <c r="Q781" s="278" t="str">
        <f>IFERROR(INDEX('Ashed teabags dry'!$K$2:$K$825,MATCH(J781,'Ashed teabags dry'!$A$2:$A$825,0)),"")</f>
        <v/>
      </c>
      <c r="R781" s="278" t="str">
        <f t="shared" si="62"/>
        <v/>
      </c>
      <c r="S781" s="268">
        <f>'Dry_Litterbag Placem_Collection'!E122</f>
        <v>0</v>
      </c>
      <c r="T781" s="268" t="str">
        <f>IF('Dry_Litterbag Placem_Collection'!G122="","",'Dry_Litterbag Placem_Collection'!G122)</f>
        <v/>
      </c>
      <c r="U781" s="269" t="str">
        <f t="shared" si="60"/>
        <v/>
      </c>
      <c r="V781" s="267" t="str">
        <f t="shared" si="63"/>
        <v/>
      </c>
      <c r="W781" s="267" t="str">
        <f t="shared" si="64"/>
        <v/>
      </c>
      <c r="X781" s="271" t="str">
        <f>IFERROR(INDEX(Rainfall_Dry!$O$2:$O$217,MATCH(B781, Rainfall_Dry!$A$2:$A$217,0)),"")</f>
        <v/>
      </c>
      <c r="Y781" s="260">
        <v>27.96</v>
      </c>
      <c r="Z781" s="260">
        <v>4.9200000000000017</v>
      </c>
      <c r="AA781" s="260">
        <v>67.12</v>
      </c>
      <c r="AB781" s="261" t="s">
        <v>2670</v>
      </c>
      <c r="AC781" s="260">
        <v>7.8861015278462299</v>
      </c>
      <c r="AD781">
        <f>IF('WetLitterbags placem_collection'!AB122="","",'WetLitterbags placem_collection'!AB122)</f>
        <v>19</v>
      </c>
      <c r="AE781">
        <f>IF('WetLitterbags placem_collection'!Z122="","",'WetLitterbags placem_collection'!Z122)</f>
        <v>98.5</v>
      </c>
      <c r="AF781" s="246" t="str">
        <f>IF('WetLitterbags placem_collection'!AA122="","",'WetLitterbags placem_collection'!AA122)</f>
        <v>G</v>
      </c>
      <c r="AG781">
        <f>IF('WetLitterbags placem_collection'!AC122="","",'WetLitterbags placem_collection'!AC122)</f>
        <v>0</v>
      </c>
      <c r="AH781" t="str">
        <f>IFERROR(AVERAGE('Dry_Litterbag Placem_Collection'!O122,'Dry_Litterbag Placem_Collection'!R122),"")</f>
        <v/>
      </c>
      <c r="AI781" s="271" t="str">
        <f>IFERROR(AVERAGE('Dry_Litterbag Placem_Collection'!N122,'Dry_Litterbag Placem_Collection'!Q122),"")</f>
        <v/>
      </c>
      <c r="AJ781" s="270">
        <f>INDEX(Coordinates!$B$2:$B$197,MATCH(G781,Coordinates!$J$2:$J$197,0))</f>
        <v>-2.3486449760000001</v>
      </c>
      <c r="AK781" s="270">
        <f>INDEX(Coordinates!$C$2:$C$197,MATCH(G781,Coordinates!$J$2:$J$197,0))</f>
        <v>34.051495969999998</v>
      </c>
      <c r="AL781" s="270" t="str">
        <f>IF(ISNUMBER(SEARCH("C", 'Dry_Litterbag Placem_Collection'!V122)),"YES","NO")</f>
        <v>NO</v>
      </c>
      <c r="AM781" s="270" t="str">
        <f>IF(ISNUMBER(SEARCH("H", 'Dry_Litterbag Placem_Collection'!V122)),"YES","NO")</f>
        <v>NO</v>
      </c>
      <c r="AN781" s="270" t="str">
        <f>IF(ISNUMBER(SEARCH("R", 'Dry_Litterbag Placem_Collection'!V122)),"YES","NO")</f>
        <v>NO</v>
      </c>
    </row>
    <row r="782" spans="1:40" ht="15" customHeight="1">
      <c r="A782" s="262" t="s">
        <v>2659</v>
      </c>
      <c r="B782" s="263">
        <f>'Dry_Litterbag Placem_Collection'!A123</f>
        <v>121</v>
      </c>
      <c r="C782" s="263" t="str">
        <f>'Dry_Litterbag Placem_Collection'!B123</f>
        <v xml:space="preserve">Mwantimba
</v>
      </c>
      <c r="D782" s="263" t="s">
        <v>2460</v>
      </c>
      <c r="E782" s="263" t="s">
        <v>2660</v>
      </c>
      <c r="F782" s="263">
        <v>4</v>
      </c>
      <c r="G782" s="264" t="str">
        <f>'Dry_Litterbag Placem_Collection'!C123</f>
        <v>Wet_Ag4_T1</v>
      </c>
      <c r="H782" s="273" t="s">
        <v>3651</v>
      </c>
      <c r="I782" s="274" t="s">
        <v>298</v>
      </c>
      <c r="J782" s="263" t="str">
        <f>IF(ISBLANK('Dry_Litterbag Placem_Collection'!M123),"","R"&amp;""&amp;'Dry_Litterbag Placem_Collection'!M123)</f>
        <v>R374</v>
      </c>
      <c r="K782" s="267">
        <f>IFERROR(INDEX('Green_rooibos initial weight'!$C$5:$C$1749,MATCH(J782, 'Green_rooibos initial weight'!$A$5:$A$1749,0)),"")</f>
        <v>2.2090000000000001</v>
      </c>
      <c r="L782" s="267">
        <f>IFERROR(K782-(TBIcalc!$Q$9+TBIcalc!$Q$10),"")</f>
        <v>1.9592000000000001</v>
      </c>
      <c r="M782" s="391">
        <f>AVERAGE(Ashed_controlls!$K$12:$K$14)</f>
        <v>2.2816647271287041</v>
      </c>
      <c r="N782" s="267">
        <f t="shared" si="61"/>
        <v>1.9144976246660945</v>
      </c>
      <c r="O782" s="267" t="str">
        <f>IF(IFERROR(INDEX('Both teabags AfterDry'!$D$3:$D$900,MATCH(J782,'Both teabags AfterDry'!$A$3:$A$900,0)),"")="","",(IFERROR(INDEX('Both teabags AfterDry'!$D$3:$D$900,MATCH(J782,'Both teabags AfterDry'!$A$3:$A$900,0)),"")))</f>
        <v/>
      </c>
      <c r="P782" s="267" t="str">
        <f>IFERROR(IF(O782&gt;0,O782-(TBIcalc!$Q$9),""),"")</f>
        <v/>
      </c>
      <c r="Q782" s="278" t="str">
        <f>IFERROR(INDEX('Ashed teabags dry'!$K$2:$K$825,MATCH(J782,'Ashed teabags dry'!$A$2:$A$825,0)),"")</f>
        <v/>
      </c>
      <c r="R782" s="278" t="str">
        <f t="shared" si="62"/>
        <v/>
      </c>
      <c r="S782" s="268">
        <f>'Dry_Litterbag Placem_Collection'!E123</f>
        <v>42939</v>
      </c>
      <c r="T782" s="268">
        <f>IF('Dry_Litterbag Placem_Collection'!G123="","",'Dry_Litterbag Placem_Collection'!G123)</f>
        <v>43008</v>
      </c>
      <c r="U782" s="269">
        <f t="shared" si="60"/>
        <v>69</v>
      </c>
      <c r="V782" s="267" t="str">
        <f t="shared" si="63"/>
        <v/>
      </c>
      <c r="W782" s="267" t="str">
        <f t="shared" si="64"/>
        <v/>
      </c>
      <c r="X782" s="271">
        <f>IFERROR(INDEX(Rainfall_Dry!$O$2:$O$217,MATCH(B782, Rainfall_Dry!$A$2:$A$217,0)),"")</f>
        <v>136.27214243</v>
      </c>
      <c r="Y782" s="260">
        <v>17.96</v>
      </c>
      <c r="Z782" s="260">
        <v>4.9199999999999982</v>
      </c>
      <c r="AA782" s="260">
        <v>77.12</v>
      </c>
      <c r="AB782" s="261" t="s">
        <v>2671</v>
      </c>
      <c r="AC782" s="260">
        <v>2.0220798422868409</v>
      </c>
      <c r="AD782">
        <f>IF('WetLitterbags placem_collection'!AB123="","",'WetLitterbags placem_collection'!AB123)</f>
        <v>9.65</v>
      </c>
      <c r="AE782">
        <f>IF('WetLitterbags placem_collection'!Z123="","",'WetLitterbags placem_collection'!Z123)</f>
        <v>63</v>
      </c>
      <c r="AF782" s="246" t="str">
        <f>IF('WetLitterbags placem_collection'!AA123="","",'WetLitterbags placem_collection'!AA123)</f>
        <v>G</v>
      </c>
      <c r="AG782">
        <f>IF('WetLitterbags placem_collection'!AC123="","",'WetLitterbags placem_collection'!AC123)</f>
        <v>0</v>
      </c>
      <c r="AH782">
        <f>IFERROR(AVERAGE('Dry_Litterbag Placem_Collection'!O123,'Dry_Litterbag Placem_Collection'!R123),"")</f>
        <v>5.5</v>
      </c>
      <c r="AI782" s="271">
        <f>IFERROR(AVERAGE('Dry_Litterbag Placem_Collection'!N123,'Dry_Litterbag Placem_Collection'!Q123),"")</f>
        <v>29.1</v>
      </c>
      <c r="AJ782" s="270">
        <f>INDEX(Coordinates!$B$2:$B$197,MATCH(G782,Coordinates!$J$2:$J$197,0))</f>
        <v>-2.3492639789999998</v>
      </c>
      <c r="AK782" s="270">
        <f>INDEX(Coordinates!$C$2:$C$197,MATCH(G782,Coordinates!$J$2:$J$197,0))</f>
        <v>34.051464029999998</v>
      </c>
      <c r="AL782" s="270" t="str">
        <f>IF(ISNUMBER(SEARCH("C", 'Dry_Litterbag Placem_Collection'!V123)),"YES","NO")</f>
        <v>NO</v>
      </c>
      <c r="AM782" s="270" t="str">
        <f>IF(ISNUMBER(SEARCH("H", 'Dry_Litterbag Placem_Collection'!V123)),"YES","NO")</f>
        <v>NO</v>
      </c>
      <c r="AN782" s="270" t="str">
        <f>IF(ISNUMBER(SEARCH("R", 'Dry_Litterbag Placem_Collection'!V123)),"YES","NO")</f>
        <v>NO</v>
      </c>
    </row>
    <row r="783" spans="1:40" ht="15" customHeight="1">
      <c r="A783" s="262" t="s">
        <v>2659</v>
      </c>
      <c r="B783" s="263">
        <f>'Dry_Litterbag Placem_Collection'!A124</f>
        <v>122</v>
      </c>
      <c r="C783" s="263" t="str">
        <f>'Dry_Litterbag Placem_Collection'!B124</f>
        <v xml:space="preserve">Mwantimba
</v>
      </c>
      <c r="D783" s="263" t="s">
        <v>2460</v>
      </c>
      <c r="E783" s="263" t="s">
        <v>2660</v>
      </c>
      <c r="F783" s="263">
        <v>4</v>
      </c>
      <c r="G783" s="264" t="str">
        <f>'Dry_Litterbag Placem_Collection'!C124</f>
        <v>Wet_Ag4_T2</v>
      </c>
      <c r="H783" s="273" t="s">
        <v>3651</v>
      </c>
      <c r="I783" s="274" t="s">
        <v>298</v>
      </c>
      <c r="J783" s="263" t="str">
        <f>IF(ISBLANK('Dry_Litterbag Placem_Collection'!M124),"","R"&amp;""&amp;'Dry_Litterbag Placem_Collection'!M124)</f>
        <v>R388</v>
      </c>
      <c r="K783" s="267">
        <f>IFERROR(INDEX('Green_rooibos initial weight'!$C$5:$C$1749,MATCH(J783, 'Green_rooibos initial weight'!$A$5:$A$1749,0)),"")</f>
        <v>2.2349999999999999</v>
      </c>
      <c r="L783" s="267">
        <f>IFERROR(K783-(TBIcalc!$Q$9+TBIcalc!$Q$10),"")</f>
        <v>1.9851999999999999</v>
      </c>
      <c r="M783" s="391">
        <f>AVERAGE(Ashed_controlls!$K$12:$K$14)</f>
        <v>2.2816647271287041</v>
      </c>
      <c r="N783" s="267">
        <f t="shared" si="61"/>
        <v>1.9399043918370409</v>
      </c>
      <c r="O783" s="267">
        <f>IF(IFERROR(INDEX('Both teabags AfterDry'!$D$3:$D$900,MATCH(J783,'Both teabags AfterDry'!$A$3:$A$900,0)),"")="","",(IFERROR(INDEX('Both teabags AfterDry'!$D$3:$D$900,MATCH(J783,'Both teabags AfterDry'!$A$3:$A$900,0)),"")))</f>
        <v>1.4536</v>
      </c>
      <c r="P783" s="267">
        <f>IFERROR(IF(O783&gt;0,O783-(TBIcalc!$Q$9),""),"")</f>
        <v>1.3029999999999999</v>
      </c>
      <c r="Q783" s="278">
        <f>IFERROR(INDEX('Ashed teabags dry'!$K$2:$K$825,MATCH(J783,'Ashed teabags dry'!$A$2:$A$825,0)),"")</f>
        <v>14.899853444064959</v>
      </c>
      <c r="R783" s="278">
        <f t="shared" si="62"/>
        <v>1.1088549096238336</v>
      </c>
      <c r="S783" s="268">
        <f>'Dry_Litterbag Placem_Collection'!E124</f>
        <v>42939</v>
      </c>
      <c r="T783" s="268">
        <f>IF('Dry_Litterbag Placem_Collection'!G124="","",'Dry_Litterbag Placem_Collection'!G124)</f>
        <v>43008</v>
      </c>
      <c r="U783" s="269">
        <f t="shared" si="60"/>
        <v>69</v>
      </c>
      <c r="V783" s="267">
        <f t="shared" si="63"/>
        <v>0.68219999999999992</v>
      </c>
      <c r="W783" s="267">
        <f t="shared" si="64"/>
        <v>0.83104948221320729</v>
      </c>
      <c r="X783" s="271">
        <f>IFERROR(INDEX(Rainfall_Dry!$O$2:$O$217,MATCH(B783, Rainfall_Dry!$A$2:$A$217,0)),"")</f>
        <v>136.27214243</v>
      </c>
      <c r="Y783" s="260">
        <v>17.96</v>
      </c>
      <c r="Z783" s="260">
        <v>4.9199999999999982</v>
      </c>
      <c r="AA783" s="260">
        <v>77.12</v>
      </c>
      <c r="AB783" s="261" t="s">
        <v>2671</v>
      </c>
      <c r="AC783" s="260">
        <v>3.02207984228684</v>
      </c>
      <c r="AD783">
        <f>IF('WetLitterbags placem_collection'!AB124="","",'WetLitterbags placem_collection'!AB124)</f>
        <v>3.1</v>
      </c>
      <c r="AE783">
        <f>IF('WetLitterbags placem_collection'!Z124="","",'WetLitterbags placem_collection'!Z124)</f>
        <v>53</v>
      </c>
      <c r="AF783" s="246" t="str">
        <f>IF('WetLitterbags placem_collection'!AA124="","",'WetLitterbags placem_collection'!AA124)</f>
        <v>G</v>
      </c>
      <c r="AG783">
        <f>IF('WetLitterbags placem_collection'!AC124="","",'WetLitterbags placem_collection'!AC124)</f>
        <v>0</v>
      </c>
      <c r="AH783">
        <f>IFERROR(AVERAGE('Dry_Litterbag Placem_Collection'!O124,'Dry_Litterbag Placem_Collection'!R124),"")</f>
        <v>9.0500000000000007</v>
      </c>
      <c r="AI783" s="271">
        <f>IFERROR(AVERAGE('Dry_Litterbag Placem_Collection'!N124,'Dry_Litterbag Placem_Collection'!Q124),"")</f>
        <v>28.55</v>
      </c>
      <c r="AJ783" s="270">
        <f>INDEX(Coordinates!$B$2:$B$197,MATCH(G783,Coordinates!$J$2:$J$197,0))</f>
        <v>-2.34923196</v>
      </c>
      <c r="AK783" s="270">
        <f>INDEX(Coordinates!$C$2:$C$197,MATCH(G783,Coordinates!$J$2:$J$197,0))</f>
        <v>34.051422039999999</v>
      </c>
      <c r="AL783" s="270" t="str">
        <f>IF(ISNUMBER(SEARCH("C", 'Dry_Litterbag Placem_Collection'!V124)),"YES","NO")</f>
        <v>NO</v>
      </c>
      <c r="AM783" s="270" t="str">
        <f>IF(ISNUMBER(SEARCH("H", 'Dry_Litterbag Placem_Collection'!V124)),"YES","NO")</f>
        <v>NO</v>
      </c>
      <c r="AN783" s="270" t="str">
        <f>IF(ISNUMBER(SEARCH("R", 'Dry_Litterbag Placem_Collection'!V124)),"YES","NO")</f>
        <v>NO</v>
      </c>
    </row>
    <row r="784" spans="1:40" ht="15" customHeight="1">
      <c r="A784" s="262" t="s">
        <v>2659</v>
      </c>
      <c r="B784" s="263">
        <f>'Dry_Litterbag Placem_Collection'!A125</f>
        <v>123</v>
      </c>
      <c r="C784" s="263" t="str">
        <f>'Dry_Litterbag Placem_Collection'!B125</f>
        <v xml:space="preserve">Mwantimba
</v>
      </c>
      <c r="D784" s="263" t="s">
        <v>2460</v>
      </c>
      <c r="E784" s="263" t="s">
        <v>2660</v>
      </c>
      <c r="F784" s="263">
        <v>4</v>
      </c>
      <c r="G784" s="264" t="str">
        <f>'Dry_Litterbag Placem_Collection'!C125</f>
        <v>Wet_Ag4_T3</v>
      </c>
      <c r="H784" s="273" t="s">
        <v>3651</v>
      </c>
      <c r="I784" s="274" t="s">
        <v>298</v>
      </c>
      <c r="J784" s="263" t="str">
        <f>IF(ISBLANK('Dry_Litterbag Placem_Collection'!M125),"","R"&amp;""&amp;'Dry_Litterbag Placem_Collection'!M125)</f>
        <v>R281</v>
      </c>
      <c r="K784" s="267">
        <f>IFERROR(INDEX('Green_rooibos initial weight'!$C$5:$C$1749,MATCH(J784, 'Green_rooibos initial weight'!$A$5:$A$1749,0)),"")</f>
        <v>2.17</v>
      </c>
      <c r="L784" s="267">
        <f>IFERROR(K784-(TBIcalc!$Q$9+TBIcalc!$Q$10),"")</f>
        <v>1.9201999999999999</v>
      </c>
      <c r="M784" s="391">
        <f>AVERAGE(Ashed_controlls!$K$12:$K$14)</f>
        <v>2.2816647271287041</v>
      </c>
      <c r="N784" s="267">
        <f t="shared" si="61"/>
        <v>1.8763874739096746</v>
      </c>
      <c r="O784" s="267">
        <f>IF(IFERROR(INDEX('Both teabags AfterDry'!$D$3:$D$900,MATCH(J784,'Both teabags AfterDry'!$A$3:$A$900,0)),"")="","",(IFERROR(INDEX('Both teabags AfterDry'!$D$3:$D$900,MATCH(J784,'Both teabags AfterDry'!$A$3:$A$900,0)),"")))</f>
        <v>1.7361</v>
      </c>
      <c r="P784" s="267">
        <f>IFERROR(IF(O784&gt;0,O784-(TBIcalc!$Q$9),""),"")</f>
        <v>1.5854999999999999</v>
      </c>
      <c r="Q784" s="278">
        <f>IFERROR(INDEX('Ashed teabags dry'!$K$2:$K$825,MATCH(J784,'Ashed teabags dry'!$A$2:$A$825,0)),"")</f>
        <v>4.862385321101006</v>
      </c>
      <c r="R784" s="278">
        <f t="shared" si="62"/>
        <v>1.5084068807339435</v>
      </c>
      <c r="S784" s="268">
        <f>'Dry_Litterbag Placem_Collection'!E125</f>
        <v>42939</v>
      </c>
      <c r="T784" s="268">
        <f>IF('Dry_Litterbag Placem_Collection'!G125="","",'Dry_Litterbag Placem_Collection'!G125)</f>
        <v>43008</v>
      </c>
      <c r="U784" s="269">
        <f t="shared" si="60"/>
        <v>69</v>
      </c>
      <c r="V784" s="267">
        <f t="shared" si="63"/>
        <v>0.3347</v>
      </c>
      <c r="W784" s="267">
        <f t="shared" si="64"/>
        <v>0.36798059317573117</v>
      </c>
      <c r="X784" s="271">
        <f>IFERROR(INDEX(Rainfall_Dry!$O$2:$O$217,MATCH(B784, Rainfall_Dry!$A$2:$A$217,0)),"")</f>
        <v>136.27214243</v>
      </c>
      <c r="Y784" s="260">
        <v>17.96</v>
      </c>
      <c r="Z784" s="260">
        <v>4.9199999999999982</v>
      </c>
      <c r="AA784" s="260">
        <v>77.12</v>
      </c>
      <c r="AB784" s="261" t="s">
        <v>2671</v>
      </c>
      <c r="AC784" s="260">
        <v>4.02207984228684</v>
      </c>
      <c r="AD784">
        <f>IF('WetLitterbags placem_collection'!AB125="","",'WetLitterbags placem_collection'!AB125)</f>
        <v>3.9</v>
      </c>
      <c r="AE784">
        <f>IF('WetLitterbags placem_collection'!Z125="","",'WetLitterbags placem_collection'!Z125)</f>
        <v>51</v>
      </c>
      <c r="AF784" s="246" t="str">
        <f>IF('WetLitterbags placem_collection'!AA125="","",'WetLitterbags placem_collection'!AA125)</f>
        <v>G</v>
      </c>
      <c r="AG784">
        <f>IF('WetLitterbags placem_collection'!AC125="","",'WetLitterbags placem_collection'!AC125)</f>
        <v>1</v>
      </c>
      <c r="AH784">
        <f>IFERROR(AVERAGE('Dry_Litterbag Placem_Collection'!O125,'Dry_Litterbag Placem_Collection'!R125),"")</f>
        <v>10.7</v>
      </c>
      <c r="AI784" s="271">
        <f>IFERROR(AVERAGE('Dry_Litterbag Placem_Collection'!N125,'Dry_Litterbag Placem_Collection'!Q125),"")</f>
        <v>27.1</v>
      </c>
      <c r="AJ784" s="270">
        <f>INDEX(Coordinates!$B$2:$B$197,MATCH(G784,Coordinates!$J$2:$J$197,0))</f>
        <v>-2.3492390009999999</v>
      </c>
      <c r="AK784" s="270">
        <f>INDEX(Coordinates!$C$2:$C$197,MATCH(G784,Coordinates!$J$2:$J$197,0))</f>
        <v>34.051304020000003</v>
      </c>
      <c r="AL784" s="270" t="str">
        <f>IF(ISNUMBER(SEARCH("C", 'Dry_Litterbag Placem_Collection'!V125)),"YES","NO")</f>
        <v>NO</v>
      </c>
      <c r="AM784" s="270" t="str">
        <f>IF(ISNUMBER(SEARCH("H", 'Dry_Litterbag Placem_Collection'!V125)),"YES","NO")</f>
        <v>NO</v>
      </c>
      <c r="AN784" s="270" t="str">
        <f>IF(ISNUMBER(SEARCH("R", 'Dry_Litterbag Placem_Collection'!V125)),"YES","NO")</f>
        <v>NO</v>
      </c>
    </row>
    <row r="785" spans="1:40" ht="15" customHeight="1">
      <c r="A785" s="262" t="s">
        <v>2659</v>
      </c>
      <c r="B785" s="263">
        <f>'Dry_Litterbag Placem_Collection'!A126</f>
        <v>124</v>
      </c>
      <c r="C785" s="263" t="str">
        <f>'Dry_Litterbag Placem_Collection'!B126</f>
        <v xml:space="preserve">Mwantimba
</v>
      </c>
      <c r="D785" s="263" t="s">
        <v>2460</v>
      </c>
      <c r="E785" s="263" t="s">
        <v>2660</v>
      </c>
      <c r="F785" s="263">
        <v>4</v>
      </c>
      <c r="G785" s="264" t="str">
        <f>'Dry_Litterbag Placem_Collection'!C126</f>
        <v>Wet_Ag4_T4</v>
      </c>
      <c r="H785" s="273" t="s">
        <v>3651</v>
      </c>
      <c r="I785" s="274" t="s">
        <v>298</v>
      </c>
      <c r="J785" s="263" t="str">
        <f>IF(ISBLANK('Dry_Litterbag Placem_Collection'!M126),"","R"&amp;""&amp;'Dry_Litterbag Placem_Collection'!M126)</f>
        <v>R443</v>
      </c>
      <c r="K785" s="267">
        <f>IFERROR(INDEX('Green_rooibos initial weight'!$C$5:$C$1749,MATCH(J785, 'Green_rooibos initial weight'!$A$5:$A$1749,0)),"")</f>
        <v>2.2149999999999999</v>
      </c>
      <c r="L785" s="267">
        <f>IFERROR(K785-(TBIcalc!$Q$9+TBIcalc!$Q$10),"")</f>
        <v>1.9651999999999998</v>
      </c>
      <c r="M785" s="391">
        <f>AVERAGE(Ashed_controlls!$K$12:$K$14)</f>
        <v>2.2816647271287041</v>
      </c>
      <c r="N785" s="267">
        <f t="shared" si="61"/>
        <v>1.9203607247824666</v>
      </c>
      <c r="O785" s="267">
        <f>IF(IFERROR(INDEX('Both teabags AfterDry'!$D$3:$D$900,MATCH(J785,'Both teabags AfterDry'!$A$3:$A$900,0)),"")="","",(IFERROR(INDEX('Both teabags AfterDry'!$D$3:$D$900,MATCH(J785,'Both teabags AfterDry'!$A$3:$A$900,0)),"")))</f>
        <v>1.5766</v>
      </c>
      <c r="P785" s="267">
        <f>IFERROR(IF(O785&gt;0,O785-(TBIcalc!$Q$9),""),"")</f>
        <v>1.4259999999999999</v>
      </c>
      <c r="Q785" s="278">
        <f>IFERROR(INDEX('Ashed teabags dry'!$K$2:$K$825,MATCH(J785,'Ashed teabags dry'!$A$2:$A$825,0)),"")</f>
        <v>9.9950024987499955</v>
      </c>
      <c r="R785" s="278">
        <f t="shared" si="62"/>
        <v>1.283471264367825</v>
      </c>
      <c r="S785" s="268">
        <f>'Dry_Litterbag Placem_Collection'!E126</f>
        <v>42939</v>
      </c>
      <c r="T785" s="268">
        <f>IF('Dry_Litterbag Placem_Collection'!G126="","",'Dry_Litterbag Placem_Collection'!G126)</f>
        <v>43008</v>
      </c>
      <c r="U785" s="269">
        <f t="shared" si="60"/>
        <v>69</v>
      </c>
      <c r="V785" s="267">
        <f t="shared" si="63"/>
        <v>0.5391999999999999</v>
      </c>
      <c r="W785" s="267">
        <f t="shared" si="64"/>
        <v>0.63688946041464156</v>
      </c>
      <c r="X785" s="271">
        <f>IFERROR(INDEX(Rainfall_Dry!$O$2:$O$217,MATCH(B785, Rainfall_Dry!$A$2:$A$217,0)),"")</f>
        <v>136.27214243</v>
      </c>
      <c r="Y785" s="260">
        <v>17.96</v>
      </c>
      <c r="Z785" s="260">
        <v>4.9199999999999982</v>
      </c>
      <c r="AA785" s="260">
        <v>77.12</v>
      </c>
      <c r="AB785" s="261" t="s">
        <v>2671</v>
      </c>
      <c r="AC785" s="260">
        <v>5.02207984228684</v>
      </c>
      <c r="AD785">
        <f>IF('WetLitterbags placem_collection'!AB126="","",'WetLitterbags placem_collection'!AB126)</f>
        <v>5.45</v>
      </c>
      <c r="AE785">
        <f>IF('WetLitterbags placem_collection'!Z126="","",'WetLitterbags placem_collection'!Z126)</f>
        <v>47</v>
      </c>
      <c r="AF785" s="246" t="str">
        <f>IF('WetLitterbags placem_collection'!AA126="","",'WetLitterbags placem_collection'!AA126)</f>
        <v>G</v>
      </c>
      <c r="AG785">
        <f>IF('WetLitterbags placem_collection'!AC126="","",'WetLitterbags placem_collection'!AC126)</f>
        <v>1</v>
      </c>
      <c r="AH785">
        <f>IFERROR(AVERAGE('Dry_Litterbag Placem_Collection'!O126,'Dry_Litterbag Placem_Collection'!R126),"")</f>
        <v>9.15</v>
      </c>
      <c r="AI785" s="271">
        <f>IFERROR(AVERAGE('Dry_Litterbag Placem_Collection'!N126,'Dry_Litterbag Placem_Collection'!Q126),"")</f>
        <v>28.05</v>
      </c>
      <c r="AJ785" s="270">
        <f>INDEX(Coordinates!$B$2:$B$197,MATCH(G785,Coordinates!$J$2:$J$197,0))</f>
        <v>-2.3492799889999998</v>
      </c>
      <c r="AK785" s="270">
        <f>INDEX(Coordinates!$C$2:$C$197,MATCH(G785,Coordinates!$J$2:$J$197,0))</f>
        <v>34.051280970000001</v>
      </c>
      <c r="AL785" s="270" t="str">
        <f>IF(ISNUMBER(SEARCH("C", 'Dry_Litterbag Placem_Collection'!V126)),"YES","NO")</f>
        <v>NO</v>
      </c>
      <c r="AM785" s="270" t="str">
        <f>IF(ISNUMBER(SEARCH("H", 'Dry_Litterbag Placem_Collection'!V126)),"YES","NO")</f>
        <v>NO</v>
      </c>
      <c r="AN785" s="270" t="str">
        <f>IF(ISNUMBER(SEARCH("R", 'Dry_Litterbag Placem_Collection'!V126)),"YES","NO")</f>
        <v>NO</v>
      </c>
    </row>
    <row r="786" spans="1:40" ht="15" customHeight="1">
      <c r="A786" s="262" t="s">
        <v>2659</v>
      </c>
      <c r="B786" s="263">
        <f>'Dry_Litterbag Placem_Collection'!A127</f>
        <v>125</v>
      </c>
      <c r="C786" s="263" t="str">
        <f>'Dry_Litterbag Placem_Collection'!B127</f>
        <v xml:space="preserve">Mwantimba
</v>
      </c>
      <c r="D786" s="263" t="s">
        <v>2460</v>
      </c>
      <c r="E786" s="263" t="s">
        <v>2660</v>
      </c>
      <c r="F786" s="263">
        <v>4</v>
      </c>
      <c r="G786" s="264" t="str">
        <f>'Dry_Litterbag Placem_Collection'!C127</f>
        <v>Wet_Ag4_T5</v>
      </c>
      <c r="H786" s="273" t="s">
        <v>3651</v>
      </c>
      <c r="I786" s="274" t="s">
        <v>298</v>
      </c>
      <c r="J786" s="263" t="str">
        <f>IF(ISBLANK('Dry_Litterbag Placem_Collection'!M127),"","R"&amp;""&amp;'Dry_Litterbag Placem_Collection'!M127)</f>
        <v>R180</v>
      </c>
      <c r="K786" s="267">
        <f>IFERROR(INDEX('Green_rooibos initial weight'!$C$5:$C$1749,MATCH(J786, 'Green_rooibos initial weight'!$A$5:$A$1749,0)),"")</f>
        <v>2.2010000000000001</v>
      </c>
      <c r="L786" s="267">
        <f>IFERROR(K786-(TBIcalc!$Q$9+TBIcalc!$Q$10),"")</f>
        <v>1.9512</v>
      </c>
      <c r="M786" s="391">
        <f>AVERAGE(Ashed_controlls!$K$12:$K$14)</f>
        <v>2.2816647271287041</v>
      </c>
      <c r="N786" s="267">
        <f t="shared" si="61"/>
        <v>1.9066801578442647</v>
      </c>
      <c r="O786" s="267">
        <f>IF(IFERROR(INDEX('Both teabags AfterDry'!$D$3:$D$900,MATCH(J786,'Both teabags AfterDry'!$A$3:$A$900,0)),"")="","",(IFERROR(INDEX('Both teabags AfterDry'!$D$3:$D$900,MATCH(J786,'Both teabags AfterDry'!$A$3:$A$900,0)),"")))</f>
        <v>1.595</v>
      </c>
      <c r="P786" s="267">
        <f>IFERROR(IF(O786&gt;0,O786-(TBIcalc!$Q$9),""),"")</f>
        <v>1.4443999999999999</v>
      </c>
      <c r="Q786" s="278">
        <f>IFERROR(INDEX('Ashed teabags dry'!$K$2:$K$825,MATCH(J786,'Ashed teabags dry'!$A$2:$A$825,0)),"")</f>
        <v>2.6202953787519343</v>
      </c>
      <c r="R786" s="278">
        <f t="shared" si="62"/>
        <v>1.406552453549307</v>
      </c>
      <c r="S786" s="268">
        <f>'Dry_Litterbag Placem_Collection'!E127</f>
        <v>42939</v>
      </c>
      <c r="T786" s="268">
        <f>IF('Dry_Litterbag Placem_Collection'!G127="","",'Dry_Litterbag Placem_Collection'!G127)</f>
        <v>43008</v>
      </c>
      <c r="U786" s="269">
        <f t="shared" si="60"/>
        <v>69</v>
      </c>
      <c r="V786" s="267">
        <f t="shared" si="63"/>
        <v>0.50680000000000014</v>
      </c>
      <c r="W786" s="267">
        <f t="shared" si="64"/>
        <v>0.50012770429495768</v>
      </c>
      <c r="X786" s="271">
        <f>IFERROR(INDEX(Rainfall_Dry!$O$2:$O$217,MATCH(B786, Rainfall_Dry!$A$2:$A$217,0)),"")</f>
        <v>136.27214243</v>
      </c>
      <c r="Y786" s="260">
        <v>17.96</v>
      </c>
      <c r="Z786" s="260">
        <v>4.9199999999999982</v>
      </c>
      <c r="AA786" s="260">
        <v>77.12</v>
      </c>
      <c r="AB786" s="261" t="s">
        <v>2671</v>
      </c>
      <c r="AC786" s="260">
        <v>6.02207984228684</v>
      </c>
      <c r="AD786">
        <f>IF('WetLitterbags placem_collection'!AB127="","",'WetLitterbags placem_collection'!AB127)</f>
        <v>9.3000000000000007</v>
      </c>
      <c r="AE786">
        <f>IF('WetLitterbags placem_collection'!Z127="","",'WetLitterbags placem_collection'!Z127)</f>
        <v>43</v>
      </c>
      <c r="AF786" s="246" t="str">
        <f>IF('WetLitterbags placem_collection'!AA127="","",'WetLitterbags placem_collection'!AA127)</f>
        <v>G</v>
      </c>
      <c r="AG786">
        <f>IF('WetLitterbags placem_collection'!AC127="","",'WetLitterbags placem_collection'!AC127)</f>
        <v>1</v>
      </c>
      <c r="AH786">
        <f>IFERROR(AVERAGE('Dry_Litterbag Placem_Collection'!O127,'Dry_Litterbag Placem_Collection'!R127),"")</f>
        <v>10.85</v>
      </c>
      <c r="AI786" s="271">
        <f>IFERROR(AVERAGE('Dry_Litterbag Placem_Collection'!N127,'Dry_Litterbag Placem_Collection'!Q127),"")</f>
        <v>28.05</v>
      </c>
      <c r="AJ786" s="270">
        <f>INDEX(Coordinates!$B$2:$B$197,MATCH(G786,Coordinates!$J$2:$J$197,0))</f>
        <v>-2.3493320400000002</v>
      </c>
      <c r="AK786" s="270">
        <f>INDEX(Coordinates!$C$2:$C$197,MATCH(G786,Coordinates!$J$2:$J$197,0))</f>
        <v>34.051321960000003</v>
      </c>
      <c r="AL786" s="270" t="str">
        <f>IF(ISNUMBER(SEARCH("C", 'Dry_Litterbag Placem_Collection'!V127)),"YES","NO")</f>
        <v>NO</v>
      </c>
      <c r="AM786" s="270" t="str">
        <f>IF(ISNUMBER(SEARCH("H", 'Dry_Litterbag Placem_Collection'!V127)),"YES","NO")</f>
        <v>NO</v>
      </c>
      <c r="AN786" s="270" t="str">
        <f>IF(ISNUMBER(SEARCH("R", 'Dry_Litterbag Placem_Collection'!V127)),"YES","NO")</f>
        <v>NO</v>
      </c>
    </row>
    <row r="787" spans="1:40" ht="15" customHeight="1">
      <c r="A787" s="262" t="s">
        <v>2659</v>
      </c>
      <c r="B787" s="263">
        <f>'Dry_Litterbag Placem_Collection'!A128</f>
        <v>126</v>
      </c>
      <c r="C787" s="263" t="str">
        <f>'Dry_Litterbag Placem_Collection'!B128</f>
        <v xml:space="preserve">Mwantimba
</v>
      </c>
      <c r="D787" s="263" t="s">
        <v>2460</v>
      </c>
      <c r="E787" s="263" t="s">
        <v>2660</v>
      </c>
      <c r="F787" s="263">
        <v>4</v>
      </c>
      <c r="G787" s="264" t="str">
        <f>'Dry_Litterbag Placem_Collection'!C128</f>
        <v>Wet_Ag4_T6</v>
      </c>
      <c r="H787" s="273" t="s">
        <v>3651</v>
      </c>
      <c r="I787" s="274" t="s">
        <v>298</v>
      </c>
      <c r="J787" s="263" t="str">
        <f>IF(ISBLANK('Dry_Litterbag Placem_Collection'!M128),"","R"&amp;""&amp;'Dry_Litterbag Placem_Collection'!M128)</f>
        <v/>
      </c>
      <c r="K787" s="267" t="str">
        <f>IFERROR(INDEX('Green_rooibos initial weight'!$C$5:$C$1749,MATCH(J787, 'Green_rooibos initial weight'!$A$5:$A$1749,0)),"")</f>
        <v/>
      </c>
      <c r="L787" s="267" t="str">
        <f>IFERROR(K787-(TBIcalc!$Q$9+TBIcalc!$Q$10),"")</f>
        <v/>
      </c>
      <c r="M787" s="391">
        <f>AVERAGE(Ashed_controlls!$K$12:$K$14)</f>
        <v>2.2816647271287041</v>
      </c>
      <c r="N787" s="267" t="str">
        <f t="shared" si="61"/>
        <v/>
      </c>
      <c r="O787" s="267" t="str">
        <f>IF(IFERROR(INDEX('Both teabags AfterDry'!$D$3:$D$900,MATCH(J787,'Both teabags AfterDry'!$A$3:$A$900,0)),"")="","",(IFERROR(INDEX('Both teabags AfterDry'!$D$3:$D$900,MATCH(J787,'Both teabags AfterDry'!$A$3:$A$900,0)),"")))</f>
        <v/>
      </c>
      <c r="P787" s="267" t="str">
        <f>IFERROR(IF(O787&gt;0,O787-(TBIcalc!$Q$9),""),"")</f>
        <v/>
      </c>
      <c r="Q787" s="278" t="str">
        <f>IFERROR(INDEX('Ashed teabags dry'!$K$2:$K$825,MATCH(J787,'Ashed teabags dry'!$A$2:$A$825,0)),"")</f>
        <v/>
      </c>
      <c r="R787" s="278" t="str">
        <f t="shared" si="62"/>
        <v/>
      </c>
      <c r="S787" s="268">
        <f>'Dry_Litterbag Placem_Collection'!E128</f>
        <v>0</v>
      </c>
      <c r="T787" s="268" t="str">
        <f>IF('Dry_Litterbag Placem_Collection'!G128="","",'Dry_Litterbag Placem_Collection'!G128)</f>
        <v/>
      </c>
      <c r="U787" s="269" t="str">
        <f t="shared" si="60"/>
        <v/>
      </c>
      <c r="V787" s="267" t="str">
        <f t="shared" si="63"/>
        <v/>
      </c>
      <c r="W787" s="267" t="str">
        <f t="shared" si="64"/>
        <v/>
      </c>
      <c r="X787" s="271" t="str">
        <f>IFERROR(INDEX(Rainfall_Dry!$O$2:$O$217,MATCH(B787, Rainfall_Dry!$A$2:$A$217,0)),"")</f>
        <v/>
      </c>
      <c r="Y787" s="260">
        <v>17.96</v>
      </c>
      <c r="Z787" s="260">
        <v>4.9199999999999982</v>
      </c>
      <c r="AA787" s="260">
        <v>77.12</v>
      </c>
      <c r="AB787" s="261" t="s">
        <v>2671</v>
      </c>
      <c r="AC787" s="260">
        <v>7.02207984228684</v>
      </c>
      <c r="AD787">
        <f>IF('WetLitterbags placem_collection'!AB128="","",'WetLitterbags placem_collection'!AB128)</f>
        <v>10.85</v>
      </c>
      <c r="AE787">
        <f>IF('WetLitterbags placem_collection'!Z128="","",'WetLitterbags placem_collection'!Z128)</f>
        <v>40</v>
      </c>
      <c r="AF787" s="246" t="str">
        <f>IF('WetLitterbags placem_collection'!AA128="","",'WetLitterbags placem_collection'!AA128)</f>
        <v>G</v>
      </c>
      <c r="AG787">
        <f>IF('WetLitterbags placem_collection'!AC128="","",'WetLitterbags placem_collection'!AC128)</f>
        <v>1</v>
      </c>
      <c r="AH787" t="str">
        <f>IFERROR(AVERAGE('Dry_Litterbag Placem_Collection'!O128,'Dry_Litterbag Placem_Collection'!R128),"")</f>
        <v/>
      </c>
      <c r="AI787" s="271" t="str">
        <f>IFERROR(AVERAGE('Dry_Litterbag Placem_Collection'!N128,'Dry_Litterbag Placem_Collection'!Q128),"")</f>
        <v/>
      </c>
      <c r="AJ787" s="270">
        <f>INDEX(Coordinates!$B$2:$B$197,MATCH(G787,Coordinates!$J$2:$J$197,0))</f>
        <v>-2.3493509829999999</v>
      </c>
      <c r="AK787" s="270">
        <f>INDEX(Coordinates!$C$2:$C$197,MATCH(G787,Coordinates!$J$2:$J$197,0))</f>
        <v>34.051332019999997</v>
      </c>
      <c r="AL787" s="270" t="str">
        <f>IF(ISNUMBER(SEARCH("C", 'Dry_Litterbag Placem_Collection'!V128)),"YES","NO")</f>
        <v>NO</v>
      </c>
      <c r="AM787" s="270" t="str">
        <f>IF(ISNUMBER(SEARCH("H", 'Dry_Litterbag Placem_Collection'!V128)),"YES","NO")</f>
        <v>NO</v>
      </c>
      <c r="AN787" s="270" t="str">
        <f>IF(ISNUMBER(SEARCH("R", 'Dry_Litterbag Placem_Collection'!V128)),"YES","NO")</f>
        <v>NO</v>
      </c>
    </row>
    <row r="788" spans="1:40" ht="15" customHeight="1">
      <c r="A788" s="262" t="s">
        <v>2659</v>
      </c>
      <c r="B788" s="263">
        <f>'Dry_Litterbag Placem_Collection'!A129</f>
        <v>127</v>
      </c>
      <c r="C788" s="263" t="str">
        <f>'Dry_Litterbag Placem_Collection'!B129</f>
        <v xml:space="preserve">Mwantimba
</v>
      </c>
      <c r="D788" s="263" t="s">
        <v>2460</v>
      </c>
      <c r="E788" s="263" t="s">
        <v>2660</v>
      </c>
      <c r="F788" s="263">
        <v>4</v>
      </c>
      <c r="G788" s="264" t="str">
        <f>'Dry_Litterbag Placem_Collection'!C129</f>
        <v>Wet_Ag4_T7</v>
      </c>
      <c r="H788" s="273" t="s">
        <v>3651</v>
      </c>
      <c r="I788" s="274" t="s">
        <v>298</v>
      </c>
      <c r="J788" s="263" t="str">
        <f>IF(ISBLANK('Dry_Litterbag Placem_Collection'!M129),"","R"&amp;""&amp;'Dry_Litterbag Placem_Collection'!M129)</f>
        <v>R229</v>
      </c>
      <c r="K788" s="267">
        <f>IFERROR(INDEX('Green_rooibos initial weight'!$C$5:$C$1749,MATCH(J788, 'Green_rooibos initial weight'!$A$5:$A$1749,0)),"")</f>
        <v>2.2530000000000001</v>
      </c>
      <c r="L788" s="267">
        <f>IFERROR(K788-(TBIcalc!$Q$9+TBIcalc!$Q$10),"")</f>
        <v>2.0032000000000001</v>
      </c>
      <c r="M788" s="391">
        <f>AVERAGE(Ashed_controlls!$K$12:$K$14)</f>
        <v>2.2816647271287041</v>
      </c>
      <c r="N788" s="267">
        <f t="shared" si="61"/>
        <v>1.9574936921861579</v>
      </c>
      <c r="O788" s="267">
        <f>IF(IFERROR(INDEX('Both teabags AfterDry'!$D$3:$D$900,MATCH(J788,'Both teabags AfterDry'!$A$3:$A$900,0)),"")="","",(IFERROR(INDEX('Both teabags AfterDry'!$D$3:$D$900,MATCH(J788,'Both teabags AfterDry'!$A$3:$A$900,0)),"")))</f>
        <v>1.5876999999999999</v>
      </c>
      <c r="P788" s="267">
        <f>IFERROR(IF(O788&gt;0,O788-(TBIcalc!$Q$9),""),"")</f>
        <v>1.4370999999999998</v>
      </c>
      <c r="Q788" s="278">
        <f>IFERROR(INDEX('Ashed teabags dry'!$K$2:$K$825,MATCH(J788,'Ashed teabags dry'!$A$2:$A$825,0)),"")</f>
        <v>6.6340160284944094</v>
      </c>
      <c r="R788" s="278">
        <f t="shared" si="62"/>
        <v>1.3417625556545068</v>
      </c>
      <c r="S788" s="268">
        <f>'Dry_Litterbag Placem_Collection'!E129</f>
        <v>42939</v>
      </c>
      <c r="T788" s="268">
        <f>IF('Dry_Litterbag Placem_Collection'!G129="","",'Dry_Litterbag Placem_Collection'!G129)</f>
        <v>43008</v>
      </c>
      <c r="U788" s="269">
        <f t="shared" si="60"/>
        <v>69</v>
      </c>
      <c r="V788" s="267">
        <f t="shared" si="63"/>
        <v>0.56610000000000027</v>
      </c>
      <c r="W788" s="267">
        <f t="shared" si="64"/>
        <v>0.61573113653165112</v>
      </c>
      <c r="X788" s="271">
        <f>IFERROR(INDEX(Rainfall_Dry!$O$2:$O$217,MATCH(B788, Rainfall_Dry!$A$2:$A$217,0)),"")</f>
        <v>136.27214243</v>
      </c>
      <c r="Y788" s="260">
        <v>17.96</v>
      </c>
      <c r="Z788" s="260">
        <v>4.9199999999999982</v>
      </c>
      <c r="AA788" s="260">
        <v>77.12</v>
      </c>
      <c r="AB788" s="261" t="s">
        <v>2671</v>
      </c>
      <c r="AC788" s="260">
        <v>8.0220798422868391</v>
      </c>
      <c r="AD788">
        <f>IF('WetLitterbags placem_collection'!AB129="","",'WetLitterbags placem_collection'!AB129)</f>
        <v>5.35</v>
      </c>
      <c r="AE788">
        <f>IF('WetLitterbags placem_collection'!Z129="","",'WetLitterbags placem_collection'!Z129)</f>
        <v>58</v>
      </c>
      <c r="AF788" s="246" t="str">
        <f>IF('WetLitterbags placem_collection'!AA129="","",'WetLitterbags placem_collection'!AA129)</f>
        <v>G</v>
      </c>
      <c r="AG788">
        <f>IF('WetLitterbags placem_collection'!AC129="","",'WetLitterbags placem_collection'!AC129)</f>
        <v>1</v>
      </c>
      <c r="AH788">
        <f>IFERROR(AVERAGE('Dry_Litterbag Placem_Collection'!O129,'Dry_Litterbag Placem_Collection'!R129),"")</f>
        <v>9.6999999999999993</v>
      </c>
      <c r="AI788" s="271">
        <f>IFERROR(AVERAGE('Dry_Litterbag Placem_Collection'!N129,'Dry_Litterbag Placem_Collection'!Q129),"")</f>
        <v>28.1</v>
      </c>
      <c r="AJ788" s="270">
        <f>INDEX(Coordinates!$B$2:$B$197,MATCH(G788,Coordinates!$J$2:$J$197,0))</f>
        <v>-2.3491850219999999</v>
      </c>
      <c r="AK788" s="270">
        <f>INDEX(Coordinates!$C$2:$C$197,MATCH(G788,Coordinates!$J$2:$J$197,0))</f>
        <v>34.051264959999997</v>
      </c>
      <c r="AL788" s="270" t="str">
        <f>IF(ISNUMBER(SEARCH("C", 'Dry_Litterbag Placem_Collection'!V129)),"YES","NO")</f>
        <v>NO</v>
      </c>
      <c r="AM788" s="270" t="str">
        <f>IF(ISNUMBER(SEARCH("H", 'Dry_Litterbag Placem_Collection'!V129)),"YES","NO")</f>
        <v>NO</v>
      </c>
      <c r="AN788" s="270" t="str">
        <f>IF(ISNUMBER(SEARCH("R", 'Dry_Litterbag Placem_Collection'!V129)),"YES","NO")</f>
        <v>NO</v>
      </c>
    </row>
    <row r="789" spans="1:40" ht="15" customHeight="1">
      <c r="A789" s="262" t="s">
        <v>2659</v>
      </c>
      <c r="B789" s="263">
        <f>'Dry_Litterbag Placem_Collection'!A130</f>
        <v>128</v>
      </c>
      <c r="C789" s="263" t="str">
        <f>'Dry_Litterbag Placem_Collection'!B130</f>
        <v xml:space="preserve">Mwantimba
</v>
      </c>
      <c r="D789" s="263" t="s">
        <v>2460</v>
      </c>
      <c r="E789" s="263" t="s">
        <v>2660</v>
      </c>
      <c r="F789" s="263">
        <v>4</v>
      </c>
      <c r="G789" s="264" t="str">
        <f>'Dry_Litterbag Placem_Collection'!C130</f>
        <v>Wet_Ag4_T8</v>
      </c>
      <c r="H789" s="273" t="s">
        <v>3651</v>
      </c>
      <c r="I789" s="274" t="s">
        <v>298</v>
      </c>
      <c r="J789" s="263" t="str">
        <f>IF(ISBLANK('Dry_Litterbag Placem_Collection'!M130),"","R"&amp;""&amp;'Dry_Litterbag Placem_Collection'!M130)</f>
        <v>R272</v>
      </c>
      <c r="K789" s="267">
        <f>IFERROR(INDEX('Green_rooibos initial weight'!$C$5:$C$1749,MATCH(J789, 'Green_rooibos initial weight'!$A$5:$A$1749,0)),"")</f>
        <v>2.2999999999999998</v>
      </c>
      <c r="L789" s="267">
        <f>IFERROR(K789-(TBIcalc!$Q$9+TBIcalc!$Q$10),"")</f>
        <v>2.0501999999999998</v>
      </c>
      <c r="M789" s="391">
        <f>AVERAGE(Ashed_controlls!$K$12:$K$14)</f>
        <v>2.2816647271287041</v>
      </c>
      <c r="N789" s="267">
        <f t="shared" si="61"/>
        <v>2.0034213097644069</v>
      </c>
      <c r="O789" s="267">
        <f>IF(IFERROR(INDEX('Both teabags AfterDry'!$D$3:$D$900,MATCH(J789,'Both teabags AfterDry'!$A$3:$A$900,0)),"")="","",(IFERROR(INDEX('Both teabags AfterDry'!$D$3:$D$900,MATCH(J789,'Both teabags AfterDry'!$A$3:$A$900,0)),"")))</f>
        <v>1.6163000000000001</v>
      </c>
      <c r="P789" s="267">
        <f>IFERROR(IF(O789&gt;0,O789-(TBIcalc!$Q$9),""),"")</f>
        <v>1.4657</v>
      </c>
      <c r="Q789" s="278">
        <f>IFERROR(INDEX('Ashed teabags dry'!$K$2:$K$825,MATCH(J789,'Ashed teabags dry'!$A$2:$A$825,0)),"")</f>
        <v>8.0924855491328049</v>
      </c>
      <c r="R789" s="278">
        <f t="shared" si="62"/>
        <v>1.3470884393063605</v>
      </c>
      <c r="S789" s="268">
        <f>'Dry_Litterbag Placem_Collection'!E130</f>
        <v>42939</v>
      </c>
      <c r="T789" s="268">
        <f>IF('Dry_Litterbag Placem_Collection'!G130="","",'Dry_Litterbag Placem_Collection'!G130)</f>
        <v>43008</v>
      </c>
      <c r="U789" s="269">
        <f t="shared" si="60"/>
        <v>69</v>
      </c>
      <c r="V789" s="267">
        <f t="shared" si="63"/>
        <v>0.5844999999999998</v>
      </c>
      <c r="W789" s="267">
        <f t="shared" si="64"/>
        <v>0.65633287045804645</v>
      </c>
      <c r="X789" s="271">
        <f>IFERROR(INDEX(Rainfall_Dry!$O$2:$O$217,MATCH(B789, Rainfall_Dry!$A$2:$A$217,0)),"")</f>
        <v>136.27214243</v>
      </c>
      <c r="Y789" s="260">
        <v>17.96</v>
      </c>
      <c r="Z789" s="260">
        <v>4.9199999999999982</v>
      </c>
      <c r="AA789" s="260">
        <v>77.12</v>
      </c>
      <c r="AB789" s="261" t="s">
        <v>2671</v>
      </c>
      <c r="AC789" s="260">
        <v>9.0220798422868391</v>
      </c>
      <c r="AD789">
        <f>IF('WetLitterbags placem_collection'!AB130="","",'WetLitterbags placem_collection'!AB130)</f>
        <v>10.9</v>
      </c>
      <c r="AE789">
        <f>IF('WetLitterbags placem_collection'!Z130="","",'WetLitterbags placem_collection'!Z130)</f>
        <v>44</v>
      </c>
      <c r="AF789" s="246" t="str">
        <f>IF('WetLitterbags placem_collection'!AA130="","",'WetLitterbags placem_collection'!AA130)</f>
        <v>G</v>
      </c>
      <c r="AG789">
        <f>IF('WetLitterbags placem_collection'!AC130="","",'WetLitterbags placem_collection'!AC130)</f>
        <v>0</v>
      </c>
      <c r="AH789">
        <f>IFERROR(AVERAGE('Dry_Litterbag Placem_Collection'!O130,'Dry_Litterbag Placem_Collection'!R130),"")</f>
        <v>8.4499999999999993</v>
      </c>
      <c r="AI789" s="271">
        <f>IFERROR(AVERAGE('Dry_Litterbag Placem_Collection'!N130,'Dry_Litterbag Placem_Collection'!Q130),"")</f>
        <v>28.4</v>
      </c>
      <c r="AJ789" s="270">
        <f>INDEX(Coordinates!$B$2:$B$197,MATCH(G789,Coordinates!$J$2:$J$197,0))</f>
        <v>-2.3493099960000001</v>
      </c>
      <c r="AK789" s="270">
        <f>INDEX(Coordinates!$C$2:$C$197,MATCH(G789,Coordinates!$J$2:$J$197,0))</f>
        <v>34.05141802</v>
      </c>
      <c r="AL789" s="270" t="str">
        <f>IF(ISNUMBER(SEARCH("C", 'Dry_Litterbag Placem_Collection'!V130)),"YES","NO")</f>
        <v>NO</v>
      </c>
      <c r="AM789" s="270" t="str">
        <f>IF(ISNUMBER(SEARCH("H", 'Dry_Litterbag Placem_Collection'!V130)),"YES","NO")</f>
        <v>NO</v>
      </c>
      <c r="AN789" s="270" t="str">
        <f>IF(ISNUMBER(SEARCH("R", 'Dry_Litterbag Placem_Collection'!V130)),"YES","NO")</f>
        <v>NO</v>
      </c>
    </row>
    <row r="790" spans="1:40" ht="15" customHeight="1">
      <c r="A790" s="262" t="s">
        <v>2659</v>
      </c>
      <c r="B790" s="263">
        <f>'Dry_Litterbag Placem_Collection'!A131</f>
        <v>129</v>
      </c>
      <c r="C790" s="263" t="str">
        <f>'Dry_Litterbag Placem_Collection'!B131</f>
        <v xml:space="preserve">Mwantimba
</v>
      </c>
      <c r="D790" s="263" t="s">
        <v>2460</v>
      </c>
      <c r="E790" s="263" t="s">
        <v>20</v>
      </c>
      <c r="F790" s="263">
        <v>1</v>
      </c>
      <c r="G790" s="264" t="str">
        <f>'Dry_Litterbag Placem_Collection'!C131</f>
        <v>Wet_P1_T1</v>
      </c>
      <c r="H790" s="273" t="s">
        <v>3651</v>
      </c>
      <c r="I790" s="274" t="s">
        <v>298</v>
      </c>
      <c r="J790" s="263" t="str">
        <f>IF(ISBLANK('Dry_Litterbag Placem_Collection'!M131),"","R"&amp;""&amp;'Dry_Litterbag Placem_Collection'!M131)</f>
        <v>R207</v>
      </c>
      <c r="K790" s="267">
        <f>IFERROR(INDEX('Green_rooibos initial weight'!$C$5:$C$1749,MATCH(J790, 'Green_rooibos initial weight'!$A$5:$A$1749,0)),"")</f>
        <v>2.1800000000000002</v>
      </c>
      <c r="L790" s="267">
        <f>IFERROR(K790-(TBIcalc!$Q$9+TBIcalc!$Q$10),"")</f>
        <v>1.9302000000000001</v>
      </c>
      <c r="M790" s="391">
        <f>AVERAGE(Ashed_controlls!$K$12:$K$14)</f>
        <v>2.2816647271287041</v>
      </c>
      <c r="N790" s="267">
        <f t="shared" si="61"/>
        <v>1.8861593074369618</v>
      </c>
      <c r="O790" s="267">
        <f>IF(IFERROR(INDEX('Both teabags AfterDry'!$D$3:$D$900,MATCH(J790,'Both teabags AfterDry'!$A$3:$A$900,0)),"")="","",(IFERROR(INDEX('Both teabags AfterDry'!$D$3:$D$900,MATCH(J790,'Both teabags AfterDry'!$A$3:$A$900,0)),"")))</f>
        <v>1.6962999999999999</v>
      </c>
      <c r="P790" s="267">
        <f>IFERROR(IF(O790&gt;0,O790-(TBIcalc!$Q$9),""),"")</f>
        <v>1.5456999999999999</v>
      </c>
      <c r="Q790" s="278">
        <f>IFERROR(INDEX('Ashed teabags dry'!$K$2:$K$825,MATCH(J790,'Ashed teabags dry'!$A$2:$A$825,0)),"")</f>
        <v>6.3134657836639967</v>
      </c>
      <c r="R790" s="278">
        <f t="shared" si="62"/>
        <v>1.4481127593819054</v>
      </c>
      <c r="S790" s="268">
        <f>'Dry_Litterbag Placem_Collection'!E131</f>
        <v>42939</v>
      </c>
      <c r="T790" s="268">
        <f>IF('Dry_Litterbag Placem_Collection'!G131="","",'Dry_Litterbag Placem_Collection'!G131)</f>
        <v>43008</v>
      </c>
      <c r="U790" s="269">
        <f t="shared" si="60"/>
        <v>69</v>
      </c>
      <c r="V790" s="267">
        <f t="shared" si="63"/>
        <v>0.38450000000000029</v>
      </c>
      <c r="W790" s="267">
        <f t="shared" si="64"/>
        <v>0.43804654805505638</v>
      </c>
      <c r="X790" s="271">
        <f>IFERROR(INDEX(Rainfall_Dry!$O$2:$O$217,MATCH(B790, Rainfall_Dry!$A$2:$A$217,0)),"")</f>
        <v>136.27214243</v>
      </c>
      <c r="Y790" s="260">
        <v>31.214836424255054</v>
      </c>
      <c r="Z790" s="260">
        <v>11.377370285476141</v>
      </c>
      <c r="AA790" s="260">
        <v>57.407793290268799</v>
      </c>
      <c r="AB790" s="261" t="s">
        <v>2670</v>
      </c>
      <c r="AC790" s="260">
        <v>1.7337604731394776</v>
      </c>
      <c r="AD790">
        <f>IF('WetLitterbags placem_collection'!AB131="","",'WetLitterbags placem_collection'!AB131)</f>
        <v>2.4</v>
      </c>
      <c r="AE790">
        <f>IF('WetLitterbags placem_collection'!Z131="","",'WetLitterbags placem_collection'!Z131)</f>
        <v>2.4</v>
      </c>
      <c r="AF790" s="246" t="str">
        <f>IF('WetLitterbags placem_collection'!AA131="","",'WetLitterbags placem_collection'!AA131)</f>
        <v>O</v>
      </c>
      <c r="AG790">
        <f>IF('WetLitterbags placem_collection'!AC131="","",'WetLitterbags placem_collection'!AC131)</f>
        <v>1</v>
      </c>
      <c r="AH790">
        <f>IFERROR(AVERAGE('Dry_Litterbag Placem_Collection'!O131,'Dry_Litterbag Placem_Collection'!R131),"")</f>
        <v>11.8</v>
      </c>
      <c r="AI790" s="271">
        <f>IFERROR(AVERAGE('Dry_Litterbag Placem_Collection'!N131,'Dry_Litterbag Placem_Collection'!Q131),"")</f>
        <v>29.05</v>
      </c>
      <c r="AJ790" s="270">
        <f>INDEX(Coordinates!$B$2:$B$197,MATCH(G790,Coordinates!$J$2:$J$197,0))</f>
        <v>-2.3503360249999998</v>
      </c>
      <c r="AK790" s="270">
        <f>INDEX(Coordinates!$C$2:$C$197,MATCH(G790,Coordinates!$J$2:$J$197,0))</f>
        <v>34.049662009999999</v>
      </c>
      <c r="AL790" s="270" t="str">
        <f>IF(ISNUMBER(SEARCH("C", 'Dry_Litterbag Placem_Collection'!V131)),"YES","NO")</f>
        <v>NO</v>
      </c>
      <c r="AM790" s="270" t="str">
        <f>IF(ISNUMBER(SEARCH("H", 'Dry_Litterbag Placem_Collection'!V131)),"YES","NO")</f>
        <v>NO</v>
      </c>
      <c r="AN790" s="270" t="str">
        <f>IF(ISNUMBER(SEARCH("R", 'Dry_Litterbag Placem_Collection'!V131)),"YES","NO")</f>
        <v>NO</v>
      </c>
    </row>
    <row r="791" spans="1:40" ht="15" customHeight="1">
      <c r="A791" s="262" t="s">
        <v>2659</v>
      </c>
      <c r="B791" s="263">
        <f>'Dry_Litterbag Placem_Collection'!A132</f>
        <v>130</v>
      </c>
      <c r="C791" s="263" t="str">
        <f>'Dry_Litterbag Placem_Collection'!B132</f>
        <v xml:space="preserve">Mwantimba
</v>
      </c>
      <c r="D791" s="263" t="s">
        <v>2460</v>
      </c>
      <c r="E791" s="263" t="s">
        <v>20</v>
      </c>
      <c r="F791" s="263">
        <v>1</v>
      </c>
      <c r="G791" s="264" t="str">
        <f>'Dry_Litterbag Placem_Collection'!C132</f>
        <v>Wet_P1_T2</v>
      </c>
      <c r="H791" s="273" t="s">
        <v>3651</v>
      </c>
      <c r="I791" s="274" t="s">
        <v>298</v>
      </c>
      <c r="J791" s="263" t="str">
        <f>IF(ISBLANK('Dry_Litterbag Placem_Collection'!M132),"","R"&amp;""&amp;'Dry_Litterbag Placem_Collection'!M132)</f>
        <v>R193</v>
      </c>
      <c r="K791" s="267">
        <f>IFERROR(INDEX('Green_rooibos initial weight'!$C$5:$C$1749,MATCH(J791, 'Green_rooibos initial weight'!$A$5:$A$1749,0)),"")</f>
        <v>2.198</v>
      </c>
      <c r="L791" s="267">
        <f>IFERROR(K791-(TBIcalc!$Q$9+TBIcalc!$Q$10),"")</f>
        <v>1.9481999999999999</v>
      </c>
      <c r="M791" s="391">
        <f>AVERAGE(Ashed_controlls!$K$12:$K$14)</f>
        <v>2.2816647271287041</v>
      </c>
      <c r="N791" s="267">
        <f t="shared" si="61"/>
        <v>1.9037486077860786</v>
      </c>
      <c r="O791" s="267">
        <f>IF(IFERROR(INDEX('Both teabags AfterDry'!$D$3:$D$900,MATCH(J791,'Both teabags AfterDry'!$A$3:$A$900,0)),"")="","",(IFERROR(INDEX('Both teabags AfterDry'!$D$3:$D$900,MATCH(J791,'Both teabags AfterDry'!$A$3:$A$900,0)),"")))</f>
        <v>1.7978000000000001</v>
      </c>
      <c r="P791" s="267">
        <f>IFERROR(IF(O791&gt;0,O791-(TBIcalc!$Q$9),""),"")</f>
        <v>1.6472</v>
      </c>
      <c r="Q791" s="278">
        <f>IFERROR(INDEX('Ashed teabags dry'!$K$2:$K$825,MATCH(J791,'Ashed teabags dry'!$A$2:$A$825,0)),"")</f>
        <v>7.9980610761027835</v>
      </c>
      <c r="R791" s="278">
        <f t="shared" si="62"/>
        <v>1.515455937954435</v>
      </c>
      <c r="S791" s="268">
        <f>'Dry_Litterbag Placem_Collection'!E132</f>
        <v>42939</v>
      </c>
      <c r="T791" s="268">
        <f>IF('Dry_Litterbag Placem_Collection'!G132="","",'Dry_Litterbag Placem_Collection'!G132)</f>
        <v>43008</v>
      </c>
      <c r="U791" s="269">
        <f t="shared" si="60"/>
        <v>69</v>
      </c>
      <c r="V791" s="267">
        <f t="shared" si="63"/>
        <v>0.30099999999999993</v>
      </c>
      <c r="W791" s="267">
        <f t="shared" si="64"/>
        <v>0.38829266983164357</v>
      </c>
      <c r="X791" s="271">
        <f>IFERROR(INDEX(Rainfall_Dry!$O$2:$O$217,MATCH(B791, Rainfall_Dry!$A$2:$A$217,0)),"")</f>
        <v>136.27214243</v>
      </c>
      <c r="Y791" s="260">
        <v>31.214836424255054</v>
      </c>
      <c r="Z791" s="260">
        <v>11.377370285476141</v>
      </c>
      <c r="AA791" s="260">
        <v>57.407793290268799</v>
      </c>
      <c r="AB791" s="261" t="s">
        <v>2670</v>
      </c>
      <c r="AC791" s="260">
        <v>2.7337604731394798</v>
      </c>
      <c r="AD791">
        <f>IF('WetLitterbags placem_collection'!AB132="","",'WetLitterbags placem_collection'!AB132)</f>
        <v>2.1</v>
      </c>
      <c r="AE791">
        <f>IF('WetLitterbags placem_collection'!Z132="","",'WetLitterbags placem_collection'!Z132)</f>
        <v>3.5</v>
      </c>
      <c r="AF791" s="246" t="str">
        <f>IF('WetLitterbags placem_collection'!AA132="","",'WetLitterbags placem_collection'!AA132)</f>
        <v>O</v>
      </c>
      <c r="AG791">
        <f>IF('WetLitterbags placem_collection'!AC132="","",'WetLitterbags placem_collection'!AC132)</f>
        <v>0</v>
      </c>
      <c r="AH791">
        <f>IFERROR(AVERAGE('Dry_Litterbag Placem_Collection'!O132,'Dry_Litterbag Placem_Collection'!R132),"")</f>
        <v>8.9499999999999993</v>
      </c>
      <c r="AI791" s="271">
        <f>IFERROR(AVERAGE('Dry_Litterbag Placem_Collection'!N132,'Dry_Litterbag Placem_Collection'!Q132),"")</f>
        <v>28.55</v>
      </c>
      <c r="AJ791" s="270">
        <f>INDEX(Coordinates!$B$2:$B$197,MATCH(G791,Coordinates!$J$2:$J$197,0))</f>
        <v>-2.3503729889999998</v>
      </c>
      <c r="AK791" s="270">
        <f>INDEX(Coordinates!$C$2:$C$197,MATCH(G791,Coordinates!$J$2:$J$197,0))</f>
        <v>34.049626969999998</v>
      </c>
      <c r="AL791" s="270" t="str">
        <f>IF(ISNUMBER(SEARCH("C", 'Dry_Litterbag Placem_Collection'!V132)),"YES","NO")</f>
        <v>NO</v>
      </c>
      <c r="AM791" s="270" t="str">
        <f>IF(ISNUMBER(SEARCH("H", 'Dry_Litterbag Placem_Collection'!V132)),"YES","NO")</f>
        <v>NO</v>
      </c>
      <c r="AN791" s="270" t="str">
        <f>IF(ISNUMBER(SEARCH("R", 'Dry_Litterbag Placem_Collection'!V132)),"YES","NO")</f>
        <v>NO</v>
      </c>
    </row>
    <row r="792" spans="1:40" ht="15" customHeight="1">
      <c r="A792" s="262" t="s">
        <v>2659</v>
      </c>
      <c r="B792" s="263">
        <f>'Dry_Litterbag Placem_Collection'!A133</f>
        <v>131</v>
      </c>
      <c r="C792" s="263" t="str">
        <f>'Dry_Litterbag Placem_Collection'!B133</f>
        <v xml:space="preserve">Mwantimba
</v>
      </c>
      <c r="D792" s="263" t="s">
        <v>2460</v>
      </c>
      <c r="E792" s="263" t="s">
        <v>20</v>
      </c>
      <c r="F792" s="263">
        <v>1</v>
      </c>
      <c r="G792" s="264" t="str">
        <f>'Dry_Litterbag Placem_Collection'!C133</f>
        <v>Wet_P1_T3</v>
      </c>
      <c r="H792" s="273" t="s">
        <v>3651</v>
      </c>
      <c r="I792" s="274" t="s">
        <v>298</v>
      </c>
      <c r="J792" s="263" t="str">
        <f>IF(ISBLANK('Dry_Litterbag Placem_Collection'!M133),"","R"&amp;""&amp;'Dry_Litterbag Placem_Collection'!M133)</f>
        <v>R188</v>
      </c>
      <c r="K792" s="267">
        <f>IFERROR(INDEX('Green_rooibos initial weight'!$C$5:$C$1749,MATCH(J792, 'Green_rooibos initial weight'!$A$5:$A$1749,0)),"")</f>
        <v>2.2440000000000002</v>
      </c>
      <c r="L792" s="267">
        <f>IFERROR(K792-(TBIcalc!$Q$9+TBIcalc!$Q$10),"")</f>
        <v>1.9942000000000002</v>
      </c>
      <c r="M792" s="391">
        <f>AVERAGE(Ashed_controlls!$K$12:$K$14)</f>
        <v>2.2816647271287041</v>
      </c>
      <c r="N792" s="267">
        <f t="shared" si="61"/>
        <v>1.9486990420115995</v>
      </c>
      <c r="O792" s="267">
        <f>IF(IFERROR(INDEX('Both teabags AfterDry'!$D$3:$D$900,MATCH(J792,'Both teabags AfterDry'!$A$3:$A$900,0)),"")="","",(IFERROR(INDEX('Both teabags AfterDry'!$D$3:$D$900,MATCH(J792,'Both teabags AfterDry'!$A$3:$A$900,0)),"")))</f>
        <v>1.7876000000000001</v>
      </c>
      <c r="P792" s="267">
        <f>IFERROR(IF(O792&gt;0,O792-(TBIcalc!$Q$9),""),"")</f>
        <v>1.637</v>
      </c>
      <c r="Q792" s="278">
        <f>IFERROR(INDEX('Ashed teabags dry'!$K$2:$K$825,MATCH(J792,'Ashed teabags dry'!$A$2:$A$825,0)),"")</f>
        <v>4.3834296724473862</v>
      </c>
      <c r="R792" s="278">
        <f t="shared" si="62"/>
        <v>1.5652432562620362</v>
      </c>
      <c r="S792" s="268">
        <f>'Dry_Litterbag Placem_Collection'!E133</f>
        <v>42939</v>
      </c>
      <c r="T792" s="268">
        <f>IF('Dry_Litterbag Placem_Collection'!G133="","",'Dry_Litterbag Placem_Collection'!G133)</f>
        <v>43008</v>
      </c>
      <c r="U792" s="269">
        <f t="shared" si="60"/>
        <v>69</v>
      </c>
      <c r="V792" s="267">
        <f t="shared" si="63"/>
        <v>0.35720000000000018</v>
      </c>
      <c r="W792" s="267">
        <f t="shared" si="64"/>
        <v>0.38345578574956329</v>
      </c>
      <c r="X792" s="271">
        <f>IFERROR(INDEX(Rainfall_Dry!$O$2:$O$217,MATCH(B792, Rainfall_Dry!$A$2:$A$217,0)),"")</f>
        <v>136.27214243</v>
      </c>
      <c r="Y792" s="260">
        <v>31.214836424255054</v>
      </c>
      <c r="Z792" s="260">
        <v>11.377370285476141</v>
      </c>
      <c r="AA792" s="260">
        <v>57.407793290268799</v>
      </c>
      <c r="AB792" s="261" t="s">
        <v>2670</v>
      </c>
      <c r="AC792" s="260">
        <v>3.7337604731394798</v>
      </c>
      <c r="AD792">
        <f>IF('WetLitterbags placem_collection'!AB133="","",'WetLitterbags placem_collection'!AB133)</f>
        <v>4.5</v>
      </c>
      <c r="AE792">
        <f>IF('WetLitterbags placem_collection'!Z133="","",'WetLitterbags placem_collection'!Z133)</f>
        <v>7.5</v>
      </c>
      <c r="AF792" s="246" t="str">
        <f>IF('WetLitterbags placem_collection'!AA133="","",'WetLitterbags placem_collection'!AA133)</f>
        <v>O</v>
      </c>
      <c r="AG792">
        <f>IF('WetLitterbags placem_collection'!AC133="","",'WetLitterbags placem_collection'!AC133)</f>
        <v>0</v>
      </c>
      <c r="AH792">
        <f>IFERROR(AVERAGE('Dry_Litterbag Placem_Collection'!O133,'Dry_Litterbag Placem_Collection'!R133),"")</f>
        <v>8.9499999999999993</v>
      </c>
      <c r="AI792" s="271">
        <f>IFERROR(AVERAGE('Dry_Litterbag Placem_Collection'!N133,'Dry_Litterbag Placem_Collection'!Q133),"")</f>
        <v>28.6</v>
      </c>
      <c r="AJ792" s="270">
        <f>INDEX(Coordinates!$B$2:$B$197,MATCH(G792,Coordinates!$J$2:$J$197,0))</f>
        <v>-2.3503259660000002</v>
      </c>
      <c r="AK792" s="270">
        <f>INDEX(Coordinates!$C$2:$C$197,MATCH(G792,Coordinates!$J$2:$J$197,0))</f>
        <v>34.049616999999998</v>
      </c>
      <c r="AL792" s="270" t="str">
        <f>IF(ISNUMBER(SEARCH("C", 'Dry_Litterbag Placem_Collection'!V133)),"YES","NO")</f>
        <v>NO</v>
      </c>
      <c r="AM792" s="270" t="str">
        <f>IF(ISNUMBER(SEARCH("H", 'Dry_Litterbag Placem_Collection'!V133)),"YES","NO")</f>
        <v>NO</v>
      </c>
      <c r="AN792" s="270" t="str">
        <f>IF(ISNUMBER(SEARCH("R", 'Dry_Litterbag Placem_Collection'!V133)),"YES","NO")</f>
        <v>YES</v>
      </c>
    </row>
    <row r="793" spans="1:40" ht="15" customHeight="1">
      <c r="A793" s="262" t="s">
        <v>2659</v>
      </c>
      <c r="B793" s="263">
        <f>'Dry_Litterbag Placem_Collection'!A134</f>
        <v>132</v>
      </c>
      <c r="C793" s="263" t="str">
        <f>'Dry_Litterbag Placem_Collection'!B134</f>
        <v xml:space="preserve">Mwantimba
</v>
      </c>
      <c r="D793" s="263" t="s">
        <v>2460</v>
      </c>
      <c r="E793" s="263" t="s">
        <v>20</v>
      </c>
      <c r="F793" s="263">
        <v>1</v>
      </c>
      <c r="G793" s="264" t="str">
        <f>'Dry_Litterbag Placem_Collection'!C134</f>
        <v>Wet_P1_T4</v>
      </c>
      <c r="H793" s="273" t="s">
        <v>3651</v>
      </c>
      <c r="I793" s="274" t="s">
        <v>298</v>
      </c>
      <c r="J793" s="263" t="str">
        <f>IF(ISBLANK('Dry_Litterbag Placem_Collection'!M134),"","R"&amp;""&amp;'Dry_Litterbag Placem_Collection'!M134)</f>
        <v/>
      </c>
      <c r="K793" s="267" t="str">
        <f>IFERROR(INDEX('Green_rooibos initial weight'!$C$5:$C$1749,MATCH(J793, 'Green_rooibos initial weight'!$A$5:$A$1749,0)),"")</f>
        <v/>
      </c>
      <c r="L793" s="267" t="str">
        <f>IFERROR(K793-(TBIcalc!$Q$9+TBIcalc!$Q$10),"")</f>
        <v/>
      </c>
      <c r="M793" s="391">
        <f>AVERAGE(Ashed_controlls!$K$12:$K$14)</f>
        <v>2.2816647271287041</v>
      </c>
      <c r="N793" s="267" t="str">
        <f t="shared" si="61"/>
        <v/>
      </c>
      <c r="O793" s="267" t="str">
        <f>IF(IFERROR(INDEX('Both teabags AfterDry'!$D$3:$D$900,MATCH(J793,'Both teabags AfterDry'!$A$3:$A$900,0)),"")="","",(IFERROR(INDEX('Both teabags AfterDry'!$D$3:$D$900,MATCH(J793,'Both teabags AfterDry'!$A$3:$A$900,0)),"")))</f>
        <v/>
      </c>
      <c r="P793" s="267" t="str">
        <f>IFERROR(IF(O793&gt;0,O793-(TBIcalc!$Q$9),""),"")</f>
        <v/>
      </c>
      <c r="Q793" s="278" t="str">
        <f>IFERROR(INDEX('Ashed teabags dry'!$K$2:$K$825,MATCH(J793,'Ashed teabags dry'!$A$2:$A$825,0)),"")</f>
        <v/>
      </c>
      <c r="R793" s="278" t="str">
        <f t="shared" si="62"/>
        <v/>
      </c>
      <c r="S793" s="268">
        <f>'Dry_Litterbag Placem_Collection'!E134</f>
        <v>0</v>
      </c>
      <c r="T793" s="268" t="str">
        <f>IF('Dry_Litterbag Placem_Collection'!G134="","",'Dry_Litterbag Placem_Collection'!G134)</f>
        <v/>
      </c>
      <c r="U793" s="269" t="str">
        <f t="shared" si="60"/>
        <v/>
      </c>
      <c r="V793" s="267" t="str">
        <f t="shared" si="63"/>
        <v/>
      </c>
      <c r="W793" s="267" t="str">
        <f t="shared" si="64"/>
        <v/>
      </c>
      <c r="X793" s="271" t="str">
        <f>IFERROR(INDEX(Rainfall_Dry!$O$2:$O$217,MATCH(B793, Rainfall_Dry!$A$2:$A$217,0)),"")</f>
        <v/>
      </c>
      <c r="Y793" s="260">
        <v>31.214836424255054</v>
      </c>
      <c r="Z793" s="260">
        <v>11.377370285476141</v>
      </c>
      <c r="AA793" s="260">
        <v>57.407793290268799</v>
      </c>
      <c r="AB793" s="261" t="s">
        <v>2670</v>
      </c>
      <c r="AC793" s="260">
        <v>4.7337604731394798</v>
      </c>
      <c r="AD793">
        <f>IF('WetLitterbags placem_collection'!AB134="","",'WetLitterbags placem_collection'!AB134)</f>
        <v>0.7</v>
      </c>
      <c r="AE793">
        <f>IF('WetLitterbags placem_collection'!Z134="","",'WetLitterbags placem_collection'!Z134)</f>
        <v>9.8000000000000007</v>
      </c>
      <c r="AF793" s="246" t="str">
        <f>IF('WetLitterbags placem_collection'!AA134="","",'WetLitterbags placem_collection'!AA134)</f>
        <v>G</v>
      </c>
      <c r="AG793">
        <f>IF('WetLitterbags placem_collection'!AC134="","",'WetLitterbags placem_collection'!AC134)</f>
        <v>1</v>
      </c>
      <c r="AH793" t="str">
        <f>IFERROR(AVERAGE('Dry_Litterbag Placem_Collection'!O134,'Dry_Litterbag Placem_Collection'!R134),"")</f>
        <v/>
      </c>
      <c r="AI793" s="271" t="str">
        <f>IFERROR(AVERAGE('Dry_Litterbag Placem_Collection'!N134,'Dry_Litterbag Placem_Collection'!Q134),"")</f>
        <v/>
      </c>
      <c r="AJ793" s="270">
        <f>INDEX(Coordinates!$B$2:$B$197,MATCH(G793,Coordinates!$J$2:$J$197,0))</f>
        <v>-2.3504800260000001</v>
      </c>
      <c r="AK793" s="270">
        <f>INDEX(Coordinates!$C$2:$C$197,MATCH(G793,Coordinates!$J$2:$J$197,0))</f>
        <v>34.049551030000003</v>
      </c>
      <c r="AL793" s="270" t="str">
        <f>IF(ISNUMBER(SEARCH("C", 'Dry_Litterbag Placem_Collection'!V134)),"YES","NO")</f>
        <v>NO</v>
      </c>
      <c r="AM793" s="270" t="str">
        <f>IF(ISNUMBER(SEARCH("H", 'Dry_Litterbag Placem_Collection'!V134)),"YES","NO")</f>
        <v>NO</v>
      </c>
      <c r="AN793" s="270" t="str">
        <f>IF(ISNUMBER(SEARCH("R", 'Dry_Litterbag Placem_Collection'!V134)),"YES","NO")</f>
        <v>NO</v>
      </c>
    </row>
    <row r="794" spans="1:40" ht="15" customHeight="1">
      <c r="A794" s="262" t="s">
        <v>2659</v>
      </c>
      <c r="B794" s="263">
        <f>'Dry_Litterbag Placem_Collection'!A135</f>
        <v>133</v>
      </c>
      <c r="C794" s="263" t="str">
        <f>'Dry_Litterbag Placem_Collection'!B135</f>
        <v xml:space="preserve">Mwantimba
</v>
      </c>
      <c r="D794" s="263" t="s">
        <v>2460</v>
      </c>
      <c r="E794" s="263" t="s">
        <v>20</v>
      </c>
      <c r="F794" s="263">
        <v>1</v>
      </c>
      <c r="G794" s="264" t="str">
        <f>'Dry_Litterbag Placem_Collection'!C135</f>
        <v>Wet_P1_T5</v>
      </c>
      <c r="H794" s="273" t="s">
        <v>3651</v>
      </c>
      <c r="I794" s="274" t="s">
        <v>298</v>
      </c>
      <c r="J794" s="263" t="str">
        <f>IF(ISBLANK('Dry_Litterbag Placem_Collection'!M135),"","R"&amp;""&amp;'Dry_Litterbag Placem_Collection'!M135)</f>
        <v>R683</v>
      </c>
      <c r="K794" s="267">
        <f>IFERROR(INDEX('Green_rooibos initial weight'!$C$5:$C$1749,MATCH(J794, 'Green_rooibos initial weight'!$A$5:$A$1749,0)),"")</f>
        <v>2.141</v>
      </c>
      <c r="L794" s="267">
        <f>IFERROR(K794-(TBIcalc!$Q$9+TBIcalc!$Q$10),"")</f>
        <v>1.8912</v>
      </c>
      <c r="M794" s="391">
        <f>AVERAGE(Ashed_controlls!$K$12:$K$14)</f>
        <v>2.2816647271287041</v>
      </c>
      <c r="N794" s="267">
        <f t="shared" si="61"/>
        <v>1.8480491566805419</v>
      </c>
      <c r="O794" s="267" t="str">
        <f>IF(IFERROR(INDEX('Both teabags AfterDry'!$D$3:$D$900,MATCH(J794,'Both teabags AfterDry'!$A$3:$A$900,0)),"")="","",(IFERROR(INDEX('Both teabags AfterDry'!$D$3:$D$900,MATCH(J794,'Both teabags AfterDry'!$A$3:$A$900,0)),"")))</f>
        <v/>
      </c>
      <c r="P794" s="267" t="str">
        <f>IFERROR(IF(O794&gt;0,O794-(TBIcalc!$Q$9),""),"")</f>
        <v/>
      </c>
      <c r="Q794" s="278" t="str">
        <f>IFERROR(INDEX('Ashed teabags dry'!$K$2:$K$825,MATCH(J794,'Ashed teabags dry'!$A$2:$A$825,0)),"")</f>
        <v/>
      </c>
      <c r="R794" s="278" t="str">
        <f t="shared" si="62"/>
        <v/>
      </c>
      <c r="S794" s="268">
        <f>'Dry_Litterbag Placem_Collection'!E135</f>
        <v>42939</v>
      </c>
      <c r="T794" s="268">
        <f>IF('Dry_Litterbag Placem_Collection'!G135="","",'Dry_Litterbag Placem_Collection'!G135)</f>
        <v>43008</v>
      </c>
      <c r="U794" s="269">
        <f t="shared" si="60"/>
        <v>69</v>
      </c>
      <c r="V794" s="267" t="str">
        <f t="shared" si="63"/>
        <v/>
      </c>
      <c r="W794" s="267" t="str">
        <f t="shared" si="64"/>
        <v/>
      </c>
      <c r="X794" s="271">
        <f>IFERROR(INDEX(Rainfall_Dry!$O$2:$O$217,MATCH(B794, Rainfall_Dry!$A$2:$A$217,0)),"")</f>
        <v>136.27214243</v>
      </c>
      <c r="Y794" s="260">
        <v>31.214836424255054</v>
      </c>
      <c r="Z794" s="260">
        <v>11.377370285476141</v>
      </c>
      <c r="AA794" s="260">
        <v>57.407793290268799</v>
      </c>
      <c r="AB794" s="261" t="s">
        <v>2670</v>
      </c>
      <c r="AC794" s="260">
        <v>5.7337604731394798</v>
      </c>
      <c r="AD794">
        <f>IF('WetLitterbags placem_collection'!AB135="","",'WetLitterbags placem_collection'!AB135)</f>
        <v>2.2000000000000002</v>
      </c>
      <c r="AE794">
        <f>IF('WetLitterbags placem_collection'!Z135="","",'WetLitterbags placem_collection'!Z135)</f>
        <v>10</v>
      </c>
      <c r="AF794" s="246" t="str">
        <f>IF('WetLitterbags placem_collection'!AA135="","",'WetLitterbags placem_collection'!AA135)</f>
        <v>O</v>
      </c>
      <c r="AG794">
        <f>IF('WetLitterbags placem_collection'!AC135="","",'WetLitterbags placem_collection'!AC135)</f>
        <v>1</v>
      </c>
      <c r="AH794">
        <f>IFERROR(AVERAGE('Dry_Litterbag Placem_Collection'!O135,'Dry_Litterbag Placem_Collection'!R135),"")</f>
        <v>8.75</v>
      </c>
      <c r="AI794" s="271">
        <f>IFERROR(AVERAGE('Dry_Litterbag Placem_Collection'!N135,'Dry_Litterbag Placem_Collection'!Q135),"")</f>
        <v>31.3</v>
      </c>
      <c r="AJ794" s="270">
        <f>INDEX(Coordinates!$B$2:$B$197,MATCH(G794,Coordinates!$J$2:$J$197,0))</f>
        <v>-2.350474996</v>
      </c>
      <c r="AK794" s="270">
        <f>INDEX(Coordinates!$C$2:$C$197,MATCH(G794,Coordinates!$J$2:$J$197,0))</f>
        <v>34.049801979999998</v>
      </c>
      <c r="AL794" s="270" t="str">
        <f>IF(ISNUMBER(SEARCH("C", 'Dry_Litterbag Placem_Collection'!V135)),"YES","NO")</f>
        <v>NO</v>
      </c>
      <c r="AM794" s="270" t="str">
        <f>IF(ISNUMBER(SEARCH("H", 'Dry_Litterbag Placem_Collection'!V135)),"YES","NO")</f>
        <v>NO</v>
      </c>
      <c r="AN794" s="270" t="str">
        <f>IF(ISNUMBER(SEARCH("R", 'Dry_Litterbag Placem_Collection'!V135)),"YES","NO")</f>
        <v>NO</v>
      </c>
    </row>
    <row r="795" spans="1:40" ht="15" customHeight="1">
      <c r="A795" s="262" t="s">
        <v>2659</v>
      </c>
      <c r="B795" s="263">
        <f>'Dry_Litterbag Placem_Collection'!A136</f>
        <v>134</v>
      </c>
      <c r="C795" s="263" t="str">
        <f>'Dry_Litterbag Placem_Collection'!B136</f>
        <v xml:space="preserve">Mwantimba
</v>
      </c>
      <c r="D795" s="263" t="s">
        <v>2460</v>
      </c>
      <c r="E795" s="263" t="s">
        <v>20</v>
      </c>
      <c r="F795" s="263">
        <v>1</v>
      </c>
      <c r="G795" s="264" t="str">
        <f>'Dry_Litterbag Placem_Collection'!C136</f>
        <v>Wet_P1_T6</v>
      </c>
      <c r="H795" s="273" t="s">
        <v>3651</v>
      </c>
      <c r="I795" s="274" t="s">
        <v>298</v>
      </c>
      <c r="J795" s="263" t="str">
        <f>IF(ISBLANK('Dry_Litterbag Placem_Collection'!M136),"","R"&amp;""&amp;'Dry_Litterbag Placem_Collection'!M136)</f>
        <v>R649</v>
      </c>
      <c r="K795" s="267">
        <f>IFERROR(INDEX('Green_rooibos initial weight'!$C$5:$C$1749,MATCH(J795, 'Green_rooibos initial weight'!$A$5:$A$1749,0)),"")</f>
        <v>2.161</v>
      </c>
      <c r="L795" s="267">
        <f>IFERROR(K795-(TBIcalc!$Q$9+TBIcalc!$Q$10),"")</f>
        <v>1.9112</v>
      </c>
      <c r="M795" s="391">
        <f>AVERAGE(Ashed_controlls!$K$12:$K$14)</f>
        <v>2.2816647271287041</v>
      </c>
      <c r="N795" s="267">
        <f t="shared" si="61"/>
        <v>1.8675928237351163</v>
      </c>
      <c r="O795" s="267">
        <f>IF(IFERROR(INDEX('Both teabags AfterDry'!$D$3:$D$900,MATCH(J795,'Both teabags AfterDry'!$A$3:$A$900,0)),"")="","",(IFERROR(INDEX('Both teabags AfterDry'!$D$3:$D$900,MATCH(J795,'Both teabags AfterDry'!$A$3:$A$900,0)),"")))</f>
        <v>1.7554000000000001</v>
      </c>
      <c r="P795" s="267">
        <f>IFERROR(IF(O795&gt;0,O795-(TBIcalc!$Q$9),""),"")</f>
        <v>1.6048</v>
      </c>
      <c r="Q795" s="278">
        <f>IFERROR(INDEX('Ashed teabags dry'!$K$2:$K$825,MATCH(J795,'Ashed teabags dry'!$A$2:$A$825,0)),"")</f>
        <v>5.5740828966174707</v>
      </c>
      <c r="R795" s="278">
        <f t="shared" si="62"/>
        <v>1.5153471176750828</v>
      </c>
      <c r="S795" s="268">
        <f>'Dry_Litterbag Placem_Collection'!E136</f>
        <v>42939</v>
      </c>
      <c r="T795" s="268">
        <f>IF('Dry_Litterbag Placem_Collection'!G136="","",'Dry_Litterbag Placem_Collection'!G136)</f>
        <v>43008</v>
      </c>
      <c r="U795" s="269">
        <f t="shared" si="60"/>
        <v>69</v>
      </c>
      <c r="V795" s="267">
        <f t="shared" si="63"/>
        <v>0.30640000000000001</v>
      </c>
      <c r="W795" s="267">
        <f t="shared" si="64"/>
        <v>0.35224570606003347</v>
      </c>
      <c r="X795" s="271">
        <f>IFERROR(INDEX(Rainfall_Dry!$O$2:$O$217,MATCH(B795, Rainfall_Dry!$A$2:$A$217,0)),"")</f>
        <v>136.27214243</v>
      </c>
      <c r="Y795" s="260">
        <v>31.214836424255054</v>
      </c>
      <c r="Z795" s="260">
        <v>11.377370285476141</v>
      </c>
      <c r="AA795" s="260">
        <v>57.407793290268799</v>
      </c>
      <c r="AB795" s="261" t="s">
        <v>2670</v>
      </c>
      <c r="AC795" s="260">
        <v>6.7337604731394798</v>
      </c>
      <c r="AD795">
        <f>IF('WetLitterbags placem_collection'!AB136="","",'WetLitterbags placem_collection'!AB136)</f>
        <v>1.1000000000000001</v>
      </c>
      <c r="AE795">
        <f>IF('WetLitterbags placem_collection'!Z136="","",'WetLitterbags placem_collection'!Z136)</f>
        <v>15.4</v>
      </c>
      <c r="AF795" s="246" t="str">
        <f>IF('WetLitterbags placem_collection'!AA136="","",'WetLitterbags placem_collection'!AA136)</f>
        <v>O</v>
      </c>
      <c r="AG795">
        <f>IF('WetLitterbags placem_collection'!AC136="","",'WetLitterbags placem_collection'!AC136)</f>
        <v>1</v>
      </c>
      <c r="AH795">
        <f>IFERROR(AVERAGE('Dry_Litterbag Placem_Collection'!O136,'Dry_Litterbag Placem_Collection'!R136),"")</f>
        <v>6.65</v>
      </c>
      <c r="AI795" s="271">
        <f>IFERROR(AVERAGE('Dry_Litterbag Placem_Collection'!N136,'Dry_Litterbag Placem_Collection'!Q136),"")</f>
        <v>29.200000000000003</v>
      </c>
      <c r="AJ795" s="270">
        <f>INDEX(Coordinates!$B$2:$B$197,MATCH(G795,Coordinates!$J$2:$J$197,0))</f>
        <v>-2.3503559730000001</v>
      </c>
      <c r="AK795" s="270">
        <f>INDEX(Coordinates!$C$2:$C$197,MATCH(G795,Coordinates!$J$2:$J$197,0))</f>
        <v>34.049800980000001</v>
      </c>
      <c r="AL795" s="270" t="str">
        <f>IF(ISNUMBER(SEARCH("C", 'Dry_Litterbag Placem_Collection'!V136)),"YES","NO")</f>
        <v>NO</v>
      </c>
      <c r="AM795" s="270" t="str">
        <f>IF(ISNUMBER(SEARCH("H", 'Dry_Litterbag Placem_Collection'!V136)),"YES","NO")</f>
        <v>NO</v>
      </c>
      <c r="AN795" s="270" t="str">
        <f>IF(ISNUMBER(SEARCH("R", 'Dry_Litterbag Placem_Collection'!V136)),"YES","NO")</f>
        <v>YES</v>
      </c>
    </row>
    <row r="796" spans="1:40" ht="15" customHeight="1">
      <c r="A796" s="262" t="s">
        <v>2659</v>
      </c>
      <c r="B796" s="263">
        <f>'Dry_Litterbag Placem_Collection'!A137</f>
        <v>135</v>
      </c>
      <c r="C796" s="263" t="str">
        <f>'Dry_Litterbag Placem_Collection'!B137</f>
        <v xml:space="preserve">Mwantimba
</v>
      </c>
      <c r="D796" s="263" t="s">
        <v>2460</v>
      </c>
      <c r="E796" s="263" t="s">
        <v>20</v>
      </c>
      <c r="F796" s="263">
        <v>1</v>
      </c>
      <c r="G796" s="264" t="str">
        <f>'Dry_Litterbag Placem_Collection'!C137</f>
        <v>Wet_P1_T7</v>
      </c>
      <c r="H796" s="273" t="s">
        <v>3651</v>
      </c>
      <c r="I796" s="274" t="s">
        <v>298</v>
      </c>
      <c r="J796" s="263" t="str">
        <f>IF(ISBLANK('Dry_Litterbag Placem_Collection'!M137),"","R"&amp;""&amp;'Dry_Litterbag Placem_Collection'!M137)</f>
        <v>R223</v>
      </c>
      <c r="K796" s="267">
        <f>IFERROR(INDEX('Green_rooibos initial weight'!$C$5:$C$1749,MATCH(J796, 'Green_rooibos initial weight'!$A$5:$A$1749,0)),"")</f>
        <v>2.2170000000000001</v>
      </c>
      <c r="L796" s="267">
        <f>IFERROR(K796-(TBIcalc!$Q$9+TBIcalc!$Q$10),"")</f>
        <v>1.9672000000000001</v>
      </c>
      <c r="M796" s="391">
        <f>AVERAGE(Ashed_controlls!$K$12:$K$14)</f>
        <v>2.2816647271287041</v>
      </c>
      <c r="N796" s="267">
        <f t="shared" si="61"/>
        <v>1.9223150914879241</v>
      </c>
      <c r="O796" s="267">
        <f>IF(IFERROR(INDEX('Both teabags AfterDry'!$D$3:$D$900,MATCH(J796,'Both teabags AfterDry'!$A$3:$A$900,0)),"")="","",(IFERROR(INDEX('Both teabags AfterDry'!$D$3:$D$900,MATCH(J796,'Both teabags AfterDry'!$A$3:$A$900,0)),"")))</f>
        <v>1.7884</v>
      </c>
      <c r="P796" s="267">
        <f>IFERROR(IF(O796&gt;0,O796-(TBIcalc!$Q$9),""),"")</f>
        <v>1.6377999999999999</v>
      </c>
      <c r="Q796" s="278">
        <f>IFERROR(INDEX('Ashed teabags dry'!$K$2:$K$825,MATCH(J796,'Ashed teabags dry'!$A$2:$A$825,0)),"")</f>
        <v>7.1172784243511256</v>
      </c>
      <c r="R796" s="278">
        <f t="shared" si="62"/>
        <v>1.5212332139659772</v>
      </c>
      <c r="S796" s="268">
        <f>'Dry_Litterbag Placem_Collection'!E137</f>
        <v>42939</v>
      </c>
      <c r="T796" s="268">
        <f>IF('Dry_Litterbag Placem_Collection'!G137="","",'Dry_Litterbag Placem_Collection'!G137)</f>
        <v>43008</v>
      </c>
      <c r="U796" s="269">
        <f t="shared" si="60"/>
        <v>69</v>
      </c>
      <c r="V796" s="267">
        <f t="shared" si="63"/>
        <v>0.32940000000000014</v>
      </c>
      <c r="W796" s="267">
        <f t="shared" si="64"/>
        <v>0.40108187752194691</v>
      </c>
      <c r="X796" s="271">
        <f>IFERROR(INDEX(Rainfall_Dry!$O$2:$O$217,MATCH(B796, Rainfall_Dry!$A$2:$A$217,0)),"")</f>
        <v>136.27214243</v>
      </c>
      <c r="Y796" s="260">
        <v>31.214836424255054</v>
      </c>
      <c r="Z796" s="260">
        <v>11.377370285476141</v>
      </c>
      <c r="AA796" s="260">
        <v>57.407793290268799</v>
      </c>
      <c r="AB796" s="261" t="s">
        <v>2670</v>
      </c>
      <c r="AC796" s="260">
        <v>7.7337604731394798</v>
      </c>
      <c r="AD796">
        <f>IF('WetLitterbags placem_collection'!AB137="","",'WetLitterbags placem_collection'!AB137)</f>
        <v>2.1</v>
      </c>
      <c r="AE796">
        <f>IF('WetLitterbags placem_collection'!Z137="","",'WetLitterbags placem_collection'!Z137)</f>
        <v>5.6</v>
      </c>
      <c r="AF796" s="246" t="str">
        <f>IF('WetLitterbags placem_collection'!AA137="","",'WetLitterbags placem_collection'!AA137)</f>
        <v>O</v>
      </c>
      <c r="AG796">
        <f>IF('WetLitterbags placem_collection'!AC137="","",'WetLitterbags placem_collection'!AC137)</f>
        <v>1</v>
      </c>
      <c r="AH796">
        <f>IFERROR(AVERAGE('Dry_Litterbag Placem_Collection'!O137,'Dry_Litterbag Placem_Collection'!R137),"")</f>
        <v>8.5500000000000007</v>
      </c>
      <c r="AI796" s="271">
        <f>IFERROR(AVERAGE('Dry_Litterbag Placem_Collection'!N137,'Dry_Litterbag Placem_Collection'!Q137),"")</f>
        <v>31.35</v>
      </c>
      <c r="AJ796" s="270">
        <f>INDEX(Coordinates!$B$2:$B$197,MATCH(G796,Coordinates!$J$2:$J$197,0))</f>
        <v>-2.3503589909999998</v>
      </c>
      <c r="AK796" s="270">
        <f>INDEX(Coordinates!$C$2:$C$197,MATCH(G796,Coordinates!$J$2:$J$197,0))</f>
        <v>34.049719000000003</v>
      </c>
      <c r="AL796" s="270" t="str">
        <f>IF(ISNUMBER(SEARCH("C", 'Dry_Litterbag Placem_Collection'!V137)),"YES","NO")</f>
        <v>NO</v>
      </c>
      <c r="AM796" s="270" t="str">
        <f>IF(ISNUMBER(SEARCH("H", 'Dry_Litterbag Placem_Collection'!V137)),"YES","NO")</f>
        <v>NO</v>
      </c>
      <c r="AN796" s="270" t="str">
        <f>IF(ISNUMBER(SEARCH("R", 'Dry_Litterbag Placem_Collection'!V137)),"YES","NO")</f>
        <v>NO</v>
      </c>
    </row>
    <row r="797" spans="1:40" ht="15" customHeight="1">
      <c r="A797" s="262" t="s">
        <v>2659</v>
      </c>
      <c r="B797" s="263">
        <f>'Dry_Litterbag Placem_Collection'!A138</f>
        <v>136</v>
      </c>
      <c r="C797" s="263" t="str">
        <f>'Dry_Litterbag Placem_Collection'!B138</f>
        <v xml:space="preserve">Mwantimba
</v>
      </c>
      <c r="D797" s="263" t="s">
        <v>2460</v>
      </c>
      <c r="E797" s="263" t="s">
        <v>20</v>
      </c>
      <c r="F797" s="263">
        <v>1</v>
      </c>
      <c r="G797" s="264" t="str">
        <f>'Dry_Litterbag Placem_Collection'!C138</f>
        <v>Wet_P1_T8</v>
      </c>
      <c r="H797" s="273" t="s">
        <v>3651</v>
      </c>
      <c r="I797" s="274" t="s">
        <v>298</v>
      </c>
      <c r="J797" s="263" t="str">
        <f>IF(ISBLANK('Dry_Litterbag Placem_Collection'!M138),"","R"&amp;""&amp;'Dry_Litterbag Placem_Collection'!M138)</f>
        <v>R214</v>
      </c>
      <c r="K797" s="267">
        <f>IFERROR(INDEX('Green_rooibos initial weight'!$C$5:$C$1749,MATCH(J797, 'Green_rooibos initial weight'!$A$5:$A$1749,0)),"")</f>
        <v>2.1960000000000002</v>
      </c>
      <c r="L797" s="267">
        <f>IFERROR(K797-(TBIcalc!$Q$9+TBIcalc!$Q$10),"")</f>
        <v>1.9462000000000002</v>
      </c>
      <c r="M797" s="391">
        <f>AVERAGE(Ashed_controlls!$K$12:$K$14)</f>
        <v>2.2816647271287041</v>
      </c>
      <c r="N797" s="267">
        <f t="shared" si="61"/>
        <v>1.9017942410806212</v>
      </c>
      <c r="O797" s="267">
        <f>IF(IFERROR(INDEX('Both teabags AfterDry'!$D$3:$D$900,MATCH(J797,'Both teabags AfterDry'!$A$3:$A$900,0)),"")="","",(IFERROR(INDEX('Both teabags AfterDry'!$D$3:$D$900,MATCH(J797,'Both teabags AfterDry'!$A$3:$A$900,0)),"")))</f>
        <v>1.7265999999999999</v>
      </c>
      <c r="P797" s="267">
        <f>IFERROR(IF(O797&gt;0,O797-(TBIcalc!$Q$9),""),"")</f>
        <v>1.5759999999999998</v>
      </c>
      <c r="Q797" s="278">
        <f>IFERROR(INDEX('Ashed teabags dry'!$K$2:$K$825,MATCH(J797,'Ashed teabags dry'!$A$2:$A$825,0)),"")</f>
        <v>9.4517958412093144</v>
      </c>
      <c r="R797" s="278">
        <f t="shared" si="62"/>
        <v>1.427039697542541</v>
      </c>
      <c r="S797" s="268">
        <f>'Dry_Litterbag Placem_Collection'!E138</f>
        <v>42939</v>
      </c>
      <c r="T797" s="268">
        <f>IF('Dry_Litterbag Placem_Collection'!G138="","",'Dry_Litterbag Placem_Collection'!G138)</f>
        <v>43008</v>
      </c>
      <c r="U797" s="269">
        <f t="shared" si="60"/>
        <v>69</v>
      </c>
      <c r="V797" s="267">
        <f t="shared" si="63"/>
        <v>0.37020000000000031</v>
      </c>
      <c r="W797" s="267">
        <f t="shared" si="64"/>
        <v>0.47475454353808022</v>
      </c>
      <c r="X797" s="271">
        <f>IFERROR(INDEX(Rainfall_Dry!$O$2:$O$217,MATCH(B797, Rainfall_Dry!$A$2:$A$217,0)),"")</f>
        <v>136.27214243</v>
      </c>
      <c r="Y797" s="260">
        <v>31.214836424255054</v>
      </c>
      <c r="Z797" s="260">
        <v>11.377370285476141</v>
      </c>
      <c r="AA797" s="260">
        <v>57.407793290268799</v>
      </c>
      <c r="AB797" s="261" t="s">
        <v>2670</v>
      </c>
      <c r="AC797" s="260">
        <v>8.7337604731394798</v>
      </c>
      <c r="AD797">
        <f>IF('WetLitterbags placem_collection'!AB138="","",'WetLitterbags placem_collection'!AB138)</f>
        <v>2.2999999999999998</v>
      </c>
      <c r="AE797">
        <f>IF('WetLitterbags placem_collection'!Z138="","",'WetLitterbags placem_collection'!Z138)</f>
        <v>16.3</v>
      </c>
      <c r="AF797" s="246" t="str">
        <f>IF('WetLitterbags placem_collection'!AA138="","",'WetLitterbags placem_collection'!AA138)</f>
        <v>G</v>
      </c>
      <c r="AG797">
        <f>IF('WetLitterbags placem_collection'!AC138="","",'WetLitterbags placem_collection'!AC138)</f>
        <v>1</v>
      </c>
      <c r="AH797">
        <f>IFERROR(AVERAGE('Dry_Litterbag Placem_Collection'!O138,'Dry_Litterbag Placem_Collection'!R138),"")</f>
        <v>5.9</v>
      </c>
      <c r="AI797" s="271">
        <f>IFERROR(AVERAGE('Dry_Litterbag Placem_Collection'!N138,'Dry_Litterbag Placem_Collection'!Q138),"")</f>
        <v>29.9</v>
      </c>
      <c r="AJ797" s="270">
        <f>INDEX(Coordinates!$B$2:$B$197,MATCH(G797,Coordinates!$J$2:$J$197,0))</f>
        <v>-2.3502159960000002</v>
      </c>
      <c r="AK797" s="270">
        <f>INDEX(Coordinates!$C$2:$C$197,MATCH(G797,Coordinates!$J$2:$J$197,0))</f>
        <v>34.049822020000001</v>
      </c>
      <c r="AL797" s="270" t="str">
        <f>IF(ISNUMBER(SEARCH("C", 'Dry_Litterbag Placem_Collection'!V138)),"YES","NO")</f>
        <v>NO</v>
      </c>
      <c r="AM797" s="270" t="str">
        <f>IF(ISNUMBER(SEARCH("H", 'Dry_Litterbag Placem_Collection'!V138)),"YES","NO")</f>
        <v>NO</v>
      </c>
      <c r="AN797" s="270" t="str">
        <f>IF(ISNUMBER(SEARCH("R", 'Dry_Litterbag Placem_Collection'!V138)),"YES","NO")</f>
        <v>NO</v>
      </c>
    </row>
    <row r="798" spans="1:40" ht="15" customHeight="1">
      <c r="A798" s="262" t="s">
        <v>2659</v>
      </c>
      <c r="B798" s="263">
        <f>'Dry_Litterbag Placem_Collection'!A139</f>
        <v>137</v>
      </c>
      <c r="C798" s="263" t="str">
        <f>'Dry_Litterbag Placem_Collection'!B139</f>
        <v xml:space="preserve">Mwantimba
</v>
      </c>
      <c r="D798" s="263" t="s">
        <v>2460</v>
      </c>
      <c r="E798" s="263" t="s">
        <v>20</v>
      </c>
      <c r="F798" s="263">
        <v>2</v>
      </c>
      <c r="G798" s="264" t="str">
        <f>'Dry_Litterbag Placem_Collection'!C139</f>
        <v>Wet_P2_T1</v>
      </c>
      <c r="H798" s="273" t="s">
        <v>3651</v>
      </c>
      <c r="I798" s="274" t="s">
        <v>298</v>
      </c>
      <c r="J798" s="263" t="str">
        <f>IF(ISBLANK('Dry_Litterbag Placem_Collection'!M139),"","R"&amp;""&amp;'Dry_Litterbag Placem_Collection'!M139)</f>
        <v>R628</v>
      </c>
      <c r="K798" s="267">
        <f>IFERROR(INDEX('Green_rooibos initial weight'!$C$5:$C$1749,MATCH(J798, 'Green_rooibos initial weight'!$A$5:$A$1749,0)),"")</f>
        <v>2.0110000000000001</v>
      </c>
      <c r="L798" s="267">
        <f>IFERROR(K798-(TBIcalc!$Q$9+TBIcalc!$Q$10),"")</f>
        <v>1.7612000000000001</v>
      </c>
      <c r="M798" s="391">
        <f>AVERAGE(Ashed_controlls!$K$12:$K$14)</f>
        <v>2.2816647271287041</v>
      </c>
      <c r="N798" s="267">
        <f t="shared" si="61"/>
        <v>1.7210153208258094</v>
      </c>
      <c r="O798" s="267">
        <f>IF(IFERROR(INDEX('Both teabags AfterDry'!$D$3:$D$900,MATCH(J798,'Both teabags AfterDry'!$A$3:$A$900,0)),"")="","",(IFERROR(INDEX('Both teabags AfterDry'!$D$3:$D$900,MATCH(J798,'Both teabags AfterDry'!$A$3:$A$900,0)),"")))</f>
        <v>1.7652000000000001</v>
      </c>
      <c r="P798" s="267">
        <f>IFERROR(IF(O798&gt;0,O798-(TBIcalc!$Q$9),""),"")</f>
        <v>1.6146</v>
      </c>
      <c r="Q798" s="278">
        <f>IFERROR(INDEX('Ashed teabags dry'!$K$2:$K$825,MATCH(J798,'Ashed teabags dry'!$A$2:$A$825,0)),"")</f>
        <v>9.0322580645165651</v>
      </c>
      <c r="R798" s="278">
        <f t="shared" si="62"/>
        <v>1.4687651612903156</v>
      </c>
      <c r="S798" s="268">
        <f>'Dry_Litterbag Placem_Collection'!E139</f>
        <v>42939</v>
      </c>
      <c r="T798" s="268">
        <f>IF('Dry_Litterbag Placem_Collection'!G139="","",'Dry_Litterbag Placem_Collection'!G139)</f>
        <v>43008</v>
      </c>
      <c r="U798" s="269">
        <f t="shared" si="60"/>
        <v>69</v>
      </c>
      <c r="V798" s="267">
        <f t="shared" si="63"/>
        <v>0.14660000000000006</v>
      </c>
      <c r="W798" s="267">
        <f t="shared" si="64"/>
        <v>0.25225015953549379</v>
      </c>
      <c r="X798" s="271">
        <f>IFERROR(INDEX(Rainfall_Dry!$O$2:$O$217,MATCH(B798, Rainfall_Dry!$A$2:$A$217,0)),"")</f>
        <v>136.27214243</v>
      </c>
      <c r="Y798" s="260">
        <v>33.96</v>
      </c>
      <c r="Z798" s="260">
        <v>8.9200000000000017</v>
      </c>
      <c r="AA798" s="260">
        <v>57.12</v>
      </c>
      <c r="AB798" s="261" t="s">
        <v>2670</v>
      </c>
      <c r="AC798" s="260">
        <v>2.072055199605717</v>
      </c>
      <c r="AD798">
        <f>IF('WetLitterbags placem_collection'!AB139="","",'WetLitterbags placem_collection'!AB139)</f>
        <v>1.2</v>
      </c>
      <c r="AE798">
        <f>IF('WetLitterbags placem_collection'!Z139="","",'WetLitterbags placem_collection'!Z139)</f>
        <v>32.4</v>
      </c>
      <c r="AF798" s="246" t="str">
        <f>IF('WetLitterbags placem_collection'!AA139="","",'WetLitterbags placem_collection'!AA139)</f>
        <v>G</v>
      </c>
      <c r="AG798">
        <f>IF('WetLitterbags placem_collection'!AC139="","",'WetLitterbags placem_collection'!AC139)</f>
        <v>1</v>
      </c>
      <c r="AH798">
        <f>IFERROR(AVERAGE('Dry_Litterbag Placem_Collection'!O139,'Dry_Litterbag Placem_Collection'!R139),"")</f>
        <v>8.9</v>
      </c>
      <c r="AI798" s="271">
        <f>IFERROR(AVERAGE('Dry_Litterbag Placem_Collection'!N139,'Dry_Litterbag Placem_Collection'!Q139),"")</f>
        <v>27.55</v>
      </c>
      <c r="AJ798" s="270">
        <f>INDEX(Coordinates!$B$2:$B$197,MATCH(G798,Coordinates!$J$2:$J$197,0))</f>
        <v>-2.348596025</v>
      </c>
      <c r="AK798" s="270">
        <f>INDEX(Coordinates!$C$2:$C$197,MATCH(G798,Coordinates!$J$2:$J$197,0))</f>
        <v>34.050070959999999</v>
      </c>
      <c r="AL798" s="270" t="str">
        <f>IF(ISNUMBER(SEARCH("C", 'Dry_Litterbag Placem_Collection'!V139)),"YES","NO")</f>
        <v>NO</v>
      </c>
      <c r="AM798" s="270" t="str">
        <f>IF(ISNUMBER(SEARCH("H", 'Dry_Litterbag Placem_Collection'!V139)),"YES","NO")</f>
        <v>NO</v>
      </c>
      <c r="AN798" s="270" t="str">
        <f>IF(ISNUMBER(SEARCH("R", 'Dry_Litterbag Placem_Collection'!V139)),"YES","NO")</f>
        <v>NO</v>
      </c>
    </row>
    <row r="799" spans="1:40" ht="15" customHeight="1">
      <c r="A799" s="262" t="s">
        <v>2659</v>
      </c>
      <c r="B799" s="263">
        <f>'Dry_Litterbag Placem_Collection'!A140</f>
        <v>138</v>
      </c>
      <c r="C799" s="263" t="str">
        <f>'Dry_Litterbag Placem_Collection'!B140</f>
        <v xml:space="preserve">Mwantimba
</v>
      </c>
      <c r="D799" s="263" t="s">
        <v>2460</v>
      </c>
      <c r="E799" s="263" t="s">
        <v>20</v>
      </c>
      <c r="F799" s="263">
        <v>2</v>
      </c>
      <c r="G799" s="264" t="str">
        <f>'Dry_Litterbag Placem_Collection'!C140</f>
        <v>Wet_P2_T2</v>
      </c>
      <c r="H799" s="273" t="s">
        <v>3651</v>
      </c>
      <c r="I799" s="274" t="s">
        <v>298</v>
      </c>
      <c r="J799" s="263" t="str">
        <f>IF(ISBLANK('Dry_Litterbag Placem_Collection'!M140),"","R"&amp;""&amp;'Dry_Litterbag Placem_Collection'!M140)</f>
        <v>R198</v>
      </c>
      <c r="K799" s="267">
        <f>IFERROR(INDEX('Green_rooibos initial weight'!$C$5:$C$1749,MATCH(J799, 'Green_rooibos initial weight'!$A$5:$A$1749,0)),"")</f>
        <v>2.1970000000000001</v>
      </c>
      <c r="L799" s="267">
        <f>IFERROR(K799-(TBIcalc!$Q$9+TBIcalc!$Q$10),"")</f>
        <v>1.9472</v>
      </c>
      <c r="M799" s="391">
        <f>AVERAGE(Ashed_controlls!$K$12:$K$14)</f>
        <v>2.2816647271287041</v>
      </c>
      <c r="N799" s="267">
        <f t="shared" si="61"/>
        <v>1.90277142443335</v>
      </c>
      <c r="O799" s="267">
        <f>IF(IFERROR(INDEX('Both teabags AfterDry'!$D$3:$D$900,MATCH(J799,'Both teabags AfterDry'!$A$3:$A$900,0)),"")="","",(IFERROR(INDEX('Both teabags AfterDry'!$D$3:$D$900,MATCH(J799,'Both teabags AfterDry'!$A$3:$A$900,0)),"")))</f>
        <v>1.7765</v>
      </c>
      <c r="P799" s="267">
        <f>IFERROR(IF(O799&gt;0,O799-(TBIcalc!$Q$9),""),"")</f>
        <v>1.6258999999999999</v>
      </c>
      <c r="Q799" s="278">
        <f>IFERROR(INDEX('Ashed teabags dry'!$K$2:$K$825,MATCH(J799,'Ashed teabags dry'!$A$2:$A$825,0)),"")</f>
        <v>5.3694581280797298</v>
      </c>
      <c r="R799" s="278">
        <f t="shared" si="62"/>
        <v>1.5385979802955516</v>
      </c>
      <c r="S799" s="268">
        <f>'Dry_Litterbag Placem_Collection'!E140</f>
        <v>42939</v>
      </c>
      <c r="T799" s="268">
        <f>IF('Dry_Litterbag Placem_Collection'!G140="","",'Dry_Litterbag Placem_Collection'!G140)</f>
        <v>43008</v>
      </c>
      <c r="U799" s="269">
        <f t="shared" si="60"/>
        <v>69</v>
      </c>
      <c r="V799" s="267">
        <f t="shared" si="63"/>
        <v>0.32130000000000014</v>
      </c>
      <c r="W799" s="267">
        <f t="shared" si="64"/>
        <v>0.3641734441377984</v>
      </c>
      <c r="X799" s="271">
        <f>IFERROR(INDEX(Rainfall_Dry!$O$2:$O$217,MATCH(B799, Rainfall_Dry!$A$2:$A$217,0)),"")</f>
        <v>136.27214243</v>
      </c>
      <c r="Y799" s="260">
        <v>33.96</v>
      </c>
      <c r="Z799" s="260">
        <v>8.9200000000000017</v>
      </c>
      <c r="AA799" s="260">
        <v>57.12</v>
      </c>
      <c r="AB799" s="261" t="s">
        <v>2670</v>
      </c>
      <c r="AC799" s="260">
        <v>3.0720551996057202</v>
      </c>
      <c r="AD799">
        <f>IF('WetLitterbags placem_collection'!AB140="","",'WetLitterbags placem_collection'!AB140)</f>
        <v>2.8</v>
      </c>
      <c r="AE799">
        <f>IF('WetLitterbags placem_collection'!Z140="","",'WetLitterbags placem_collection'!Z140)</f>
        <v>26.4</v>
      </c>
      <c r="AF799" s="246" t="str">
        <f>IF('WetLitterbags placem_collection'!AA140="","",'WetLitterbags placem_collection'!AA140)</f>
        <v>G</v>
      </c>
      <c r="AG799">
        <f>IF('WetLitterbags placem_collection'!AC140="","",'WetLitterbags placem_collection'!AC140)</f>
        <v>1</v>
      </c>
      <c r="AH799">
        <f>IFERROR(AVERAGE('Dry_Litterbag Placem_Collection'!O140,'Dry_Litterbag Placem_Collection'!R140),"")</f>
        <v>7.05</v>
      </c>
      <c r="AI799" s="271">
        <f>IFERROR(AVERAGE('Dry_Litterbag Placem_Collection'!N140,'Dry_Litterbag Placem_Collection'!Q140),"")</f>
        <v>28.799999999999997</v>
      </c>
      <c r="AJ799" s="270">
        <f>INDEX(Coordinates!$B$2:$B$197,MATCH(G799,Coordinates!$J$2:$J$197,0))</f>
        <v>-2.3485449790000001</v>
      </c>
      <c r="AK799" s="270">
        <f>INDEX(Coordinates!$C$2:$C$197,MATCH(G799,Coordinates!$J$2:$J$197,0))</f>
        <v>34.050146980000001</v>
      </c>
      <c r="AL799" s="270" t="str">
        <f>IF(ISNUMBER(SEARCH("C", 'Dry_Litterbag Placem_Collection'!V140)),"YES","NO")</f>
        <v>NO</v>
      </c>
      <c r="AM799" s="270" t="str">
        <f>IF(ISNUMBER(SEARCH("H", 'Dry_Litterbag Placem_Collection'!V140)),"YES","NO")</f>
        <v>NO</v>
      </c>
      <c r="AN799" s="270" t="str">
        <f>IF(ISNUMBER(SEARCH("R", 'Dry_Litterbag Placem_Collection'!V140)),"YES","NO")</f>
        <v>NO</v>
      </c>
    </row>
    <row r="800" spans="1:40" ht="15" customHeight="1">
      <c r="A800" s="262" t="s">
        <v>2659</v>
      </c>
      <c r="B800" s="263">
        <f>'Dry_Litterbag Placem_Collection'!A141</f>
        <v>139</v>
      </c>
      <c r="C800" s="263" t="str">
        <f>'Dry_Litterbag Placem_Collection'!B141</f>
        <v xml:space="preserve">Mwantimba
</v>
      </c>
      <c r="D800" s="263" t="s">
        <v>2460</v>
      </c>
      <c r="E800" s="263" t="s">
        <v>20</v>
      </c>
      <c r="F800" s="263">
        <v>2</v>
      </c>
      <c r="G800" s="264" t="str">
        <f>'Dry_Litterbag Placem_Collection'!C141</f>
        <v>Wet_P2_T3</v>
      </c>
      <c r="H800" s="273" t="s">
        <v>3651</v>
      </c>
      <c r="I800" s="274" t="s">
        <v>298</v>
      </c>
      <c r="J800" s="263" t="str">
        <f>IF(ISBLANK('Dry_Litterbag Placem_Collection'!M141),"","R"&amp;""&amp;'Dry_Litterbag Placem_Collection'!M141)</f>
        <v>R706</v>
      </c>
      <c r="K800" s="267">
        <f>IFERROR(INDEX('Green_rooibos initial weight'!$C$5:$C$1749,MATCH(J800, 'Green_rooibos initial weight'!$A$5:$A$1749,0)),"")</f>
        <v>2.1480000000000001</v>
      </c>
      <c r="L800" s="267">
        <f>IFERROR(K800-(TBIcalc!$Q$9+TBIcalc!$Q$10),"")</f>
        <v>1.8982000000000001</v>
      </c>
      <c r="M800" s="391">
        <f>AVERAGE(Ashed_controlls!$K$12:$K$14)</f>
        <v>2.2816647271287041</v>
      </c>
      <c r="N800" s="267">
        <f t="shared" si="61"/>
        <v>1.854889440149643</v>
      </c>
      <c r="O800" s="267">
        <f>IF(IFERROR(INDEX('Both teabags AfterDry'!$D$3:$D$900,MATCH(J800,'Both teabags AfterDry'!$A$3:$A$900,0)),"")="","",(IFERROR(INDEX('Both teabags AfterDry'!$D$3:$D$900,MATCH(J800,'Both teabags AfterDry'!$A$3:$A$900,0)),"")))</f>
        <v>1.5846</v>
      </c>
      <c r="P800" s="267">
        <f>IFERROR(IF(O800&gt;0,O800-(TBIcalc!$Q$9),""),"")</f>
        <v>1.4339999999999999</v>
      </c>
      <c r="Q800" s="278">
        <f>IFERROR(INDEX('Ashed teabags dry'!$K$2:$K$825,MATCH(J800,'Ashed teabags dry'!$A$2:$A$825,0)),"")</f>
        <v>7.9318734793180647</v>
      </c>
      <c r="R800" s="278">
        <f t="shared" si="62"/>
        <v>1.3202569343065789</v>
      </c>
      <c r="S800" s="268">
        <f>'Dry_Litterbag Placem_Collection'!E141</f>
        <v>42939</v>
      </c>
      <c r="T800" s="268">
        <f>IF('Dry_Litterbag Placem_Collection'!G141="","",'Dry_Litterbag Placem_Collection'!G141)</f>
        <v>43008</v>
      </c>
      <c r="U800" s="269">
        <f t="shared" si="60"/>
        <v>69</v>
      </c>
      <c r="V800" s="267">
        <f t="shared" si="63"/>
        <v>0.46420000000000017</v>
      </c>
      <c r="W800" s="267">
        <f t="shared" si="64"/>
        <v>0.5346325058430641</v>
      </c>
      <c r="X800" s="271">
        <f>IFERROR(INDEX(Rainfall_Dry!$O$2:$O$217,MATCH(B800, Rainfall_Dry!$A$2:$A$217,0)),"")</f>
        <v>136.27214243</v>
      </c>
      <c r="Y800" s="260">
        <v>33.96</v>
      </c>
      <c r="Z800" s="260">
        <v>8.9200000000000017</v>
      </c>
      <c r="AA800" s="260">
        <v>57.12</v>
      </c>
      <c r="AB800" s="261" t="s">
        <v>2670</v>
      </c>
      <c r="AC800" s="260">
        <v>4.0720551996057202</v>
      </c>
      <c r="AD800">
        <f>IF('WetLitterbags placem_collection'!AB141="","",'WetLitterbags placem_collection'!AB141)</f>
        <v>5.7</v>
      </c>
      <c r="AE800">
        <f>IF('WetLitterbags placem_collection'!Z141="","",'WetLitterbags placem_collection'!Z141)</f>
        <v>19.399999999999999</v>
      </c>
      <c r="AF800" s="246" t="str">
        <f>IF('WetLitterbags placem_collection'!AA141="","",'WetLitterbags placem_collection'!AA141)</f>
        <v>G</v>
      </c>
      <c r="AG800">
        <f>IF('WetLitterbags placem_collection'!AC141="","",'WetLitterbags placem_collection'!AC141)</f>
        <v>1</v>
      </c>
      <c r="AH800">
        <f>IFERROR(AVERAGE('Dry_Litterbag Placem_Collection'!O141,'Dry_Litterbag Placem_Collection'!R141),"")</f>
        <v>11.200000000000001</v>
      </c>
      <c r="AI800" s="271">
        <f>IFERROR(AVERAGE('Dry_Litterbag Placem_Collection'!N141,'Dry_Litterbag Placem_Collection'!Q141),"")</f>
        <v>28.15</v>
      </c>
      <c r="AJ800" s="270">
        <f>INDEX(Coordinates!$B$2:$B$197,MATCH(G800,Coordinates!$J$2:$J$197,0))</f>
        <v>-2.3487209990000002</v>
      </c>
      <c r="AK800" s="270">
        <f>INDEX(Coordinates!$C$2:$C$197,MATCH(G800,Coordinates!$J$2:$J$197,0))</f>
        <v>34.050128039999997</v>
      </c>
      <c r="AL800" s="270" t="str">
        <f>IF(ISNUMBER(SEARCH("C", 'Dry_Litterbag Placem_Collection'!V141)),"YES","NO")</f>
        <v>NO</v>
      </c>
      <c r="AM800" s="270" t="str">
        <f>IF(ISNUMBER(SEARCH("H", 'Dry_Litterbag Placem_Collection'!V141)),"YES","NO")</f>
        <v>NO</v>
      </c>
      <c r="AN800" s="270" t="str">
        <f>IF(ISNUMBER(SEARCH("R", 'Dry_Litterbag Placem_Collection'!V141)),"YES","NO")</f>
        <v>NO</v>
      </c>
    </row>
    <row r="801" spans="1:40" ht="15" customHeight="1">
      <c r="A801" s="262" t="s">
        <v>2659</v>
      </c>
      <c r="B801" s="263">
        <f>'Dry_Litterbag Placem_Collection'!A142</f>
        <v>140</v>
      </c>
      <c r="C801" s="263" t="str">
        <f>'Dry_Litterbag Placem_Collection'!B142</f>
        <v xml:space="preserve">Mwantimba
</v>
      </c>
      <c r="D801" s="263" t="s">
        <v>2460</v>
      </c>
      <c r="E801" s="263" t="s">
        <v>20</v>
      </c>
      <c r="F801" s="263">
        <v>2</v>
      </c>
      <c r="G801" s="264" t="str">
        <f>'Dry_Litterbag Placem_Collection'!C142</f>
        <v>Wet_P2_T4</v>
      </c>
      <c r="H801" s="273" t="s">
        <v>3651</v>
      </c>
      <c r="I801" s="274" t="s">
        <v>298</v>
      </c>
      <c r="J801" s="263" t="str">
        <f>IF(ISBLANK('Dry_Litterbag Placem_Collection'!M142),"","R"&amp;""&amp;'Dry_Litterbag Placem_Collection'!M142)</f>
        <v>R710</v>
      </c>
      <c r="K801" s="267">
        <f>IFERROR(INDEX('Green_rooibos initial weight'!$C$5:$C$1749,MATCH(J801, 'Green_rooibos initial weight'!$A$5:$A$1749,0)),"")</f>
        <v>2.1070000000000002</v>
      </c>
      <c r="L801" s="267">
        <f>IFERROR(K801-(TBIcalc!$Q$9+TBIcalc!$Q$10),"")</f>
        <v>1.8572000000000002</v>
      </c>
      <c r="M801" s="391">
        <f>AVERAGE(Ashed_controlls!$K$12:$K$14)</f>
        <v>2.2816647271287041</v>
      </c>
      <c r="N801" s="267">
        <f t="shared" si="61"/>
        <v>1.814824922687766</v>
      </c>
      <c r="O801" s="267">
        <f>IF(IFERROR(INDEX('Both teabags AfterDry'!$D$3:$D$900,MATCH(J801,'Both teabags AfterDry'!$A$3:$A$900,0)),"")="","",(IFERROR(INDEX('Both teabags AfterDry'!$D$3:$D$900,MATCH(J801,'Both teabags AfterDry'!$A$3:$A$900,0)),"")))</f>
        <v>1.7403999999999999</v>
      </c>
      <c r="P801" s="267">
        <f>IFERROR(IF(O801&gt;0,O801-(TBIcalc!$Q$9),""),"")</f>
        <v>1.5897999999999999</v>
      </c>
      <c r="Q801" s="278">
        <f>IFERROR(INDEX('Ashed teabags dry'!$K$2:$K$825,MATCH(J801,'Ashed teabags dry'!$A$2:$A$825,0)),"")</f>
        <v>14.236453201970816</v>
      </c>
      <c r="R801" s="278">
        <f t="shared" si="62"/>
        <v>1.3634688669950679</v>
      </c>
      <c r="S801" s="268">
        <f>'Dry_Litterbag Placem_Collection'!E142</f>
        <v>42939</v>
      </c>
      <c r="T801" s="268">
        <f>IF('Dry_Litterbag Placem_Collection'!G142="","",'Dry_Litterbag Placem_Collection'!G142)</f>
        <v>43008</v>
      </c>
      <c r="U801" s="269">
        <f t="shared" si="60"/>
        <v>69</v>
      </c>
      <c r="V801" s="267">
        <f t="shared" si="63"/>
        <v>0.2674000000000003</v>
      </c>
      <c r="W801" s="267">
        <f t="shared" si="64"/>
        <v>0.4513560556926981</v>
      </c>
      <c r="X801" s="271">
        <f>IFERROR(INDEX(Rainfall_Dry!$O$2:$O$217,MATCH(B801, Rainfall_Dry!$A$2:$A$217,0)),"")</f>
        <v>136.27214243</v>
      </c>
      <c r="Y801" s="260">
        <v>33.96</v>
      </c>
      <c r="Z801" s="260">
        <v>8.9200000000000017</v>
      </c>
      <c r="AA801" s="260">
        <v>57.12</v>
      </c>
      <c r="AB801" s="261" t="s">
        <v>2670</v>
      </c>
      <c r="AC801" s="260">
        <v>5.0720551996057202</v>
      </c>
      <c r="AD801">
        <f>IF('WetLitterbags placem_collection'!AB142="","",'WetLitterbags placem_collection'!AB142)</f>
        <v>1.4</v>
      </c>
      <c r="AE801">
        <f>IF('WetLitterbags placem_collection'!Z142="","",'WetLitterbags placem_collection'!Z142)</f>
        <v>33.4</v>
      </c>
      <c r="AF801" s="246" t="str">
        <f>IF('WetLitterbags placem_collection'!AA142="","",'WetLitterbags placem_collection'!AA142)</f>
        <v>G</v>
      </c>
      <c r="AG801">
        <f>IF('WetLitterbags placem_collection'!AC142="","",'WetLitterbags placem_collection'!AC142)</f>
        <v>1</v>
      </c>
      <c r="AH801">
        <f>IFERROR(AVERAGE('Dry_Litterbag Placem_Collection'!O142,'Dry_Litterbag Placem_Collection'!R142),"")</f>
        <v>7.3000000000000007</v>
      </c>
      <c r="AI801" s="271">
        <f>IFERROR(AVERAGE('Dry_Litterbag Placem_Collection'!N142,'Dry_Litterbag Placem_Collection'!Q142),"")</f>
        <v>28</v>
      </c>
      <c r="AJ801" s="270">
        <f>INDEX(Coordinates!$B$2:$B$197,MATCH(G801,Coordinates!$J$2:$J$197,0))</f>
        <v>-2.3486250270000002</v>
      </c>
      <c r="AK801" s="270">
        <f>INDEX(Coordinates!$C$2:$C$197,MATCH(G801,Coordinates!$J$2:$J$197,0))</f>
        <v>34.050070959999999</v>
      </c>
      <c r="AL801" s="270" t="str">
        <f>IF(ISNUMBER(SEARCH("C", 'Dry_Litterbag Placem_Collection'!V142)),"YES","NO")</f>
        <v>NO</v>
      </c>
      <c r="AM801" s="270" t="str">
        <f>IF(ISNUMBER(SEARCH("H", 'Dry_Litterbag Placem_Collection'!V142)),"YES","NO")</f>
        <v>NO</v>
      </c>
      <c r="AN801" s="270" t="str">
        <f>IF(ISNUMBER(SEARCH("R", 'Dry_Litterbag Placem_Collection'!V142)),"YES","NO")</f>
        <v>NO</v>
      </c>
    </row>
    <row r="802" spans="1:40" ht="15" customHeight="1">
      <c r="A802" s="262" t="s">
        <v>2659</v>
      </c>
      <c r="B802" s="263">
        <f>'Dry_Litterbag Placem_Collection'!A143</f>
        <v>141</v>
      </c>
      <c r="C802" s="263" t="str">
        <f>'Dry_Litterbag Placem_Collection'!B143</f>
        <v xml:space="preserve">Mwantimba
</v>
      </c>
      <c r="D802" s="263" t="s">
        <v>2460</v>
      </c>
      <c r="E802" s="263" t="s">
        <v>20</v>
      </c>
      <c r="F802" s="263">
        <v>2</v>
      </c>
      <c r="G802" s="264" t="str">
        <f>'Dry_Litterbag Placem_Collection'!C143</f>
        <v>Wet_P2_T5</v>
      </c>
      <c r="H802" s="273" t="s">
        <v>3651</v>
      </c>
      <c r="I802" s="274" t="s">
        <v>298</v>
      </c>
      <c r="J802" s="263" t="str">
        <f>IF(ISBLANK('Dry_Litterbag Placem_Collection'!M143),"","R"&amp;""&amp;'Dry_Litterbag Placem_Collection'!M143)</f>
        <v/>
      </c>
      <c r="K802" s="267" t="str">
        <f>IFERROR(INDEX('Green_rooibos initial weight'!$C$5:$C$1749,MATCH(J802, 'Green_rooibos initial weight'!$A$5:$A$1749,0)),"")</f>
        <v/>
      </c>
      <c r="L802" s="267" t="str">
        <f>IFERROR(K802-(TBIcalc!$Q$9+TBIcalc!$Q$10),"")</f>
        <v/>
      </c>
      <c r="M802" s="391">
        <f>AVERAGE(Ashed_controlls!$K$12:$K$14)</f>
        <v>2.2816647271287041</v>
      </c>
      <c r="N802" s="267" t="str">
        <f t="shared" si="61"/>
        <v/>
      </c>
      <c r="O802" s="267" t="str">
        <f>IF(IFERROR(INDEX('Both teabags AfterDry'!$D$3:$D$900,MATCH(J802,'Both teabags AfterDry'!$A$3:$A$900,0)),"")="","",(IFERROR(INDEX('Both teabags AfterDry'!$D$3:$D$900,MATCH(J802,'Both teabags AfterDry'!$A$3:$A$900,0)),"")))</f>
        <v/>
      </c>
      <c r="P802" s="267" t="str">
        <f>IFERROR(IF(O802&gt;0,O802-(TBIcalc!$Q$9),""),"")</f>
        <v/>
      </c>
      <c r="Q802" s="278" t="str">
        <f>IFERROR(INDEX('Ashed teabags dry'!$K$2:$K$825,MATCH(J802,'Ashed teabags dry'!$A$2:$A$825,0)),"")</f>
        <v/>
      </c>
      <c r="R802" s="278" t="str">
        <f t="shared" si="62"/>
        <v/>
      </c>
      <c r="S802" s="268">
        <f>'Dry_Litterbag Placem_Collection'!E143</f>
        <v>0</v>
      </c>
      <c r="T802" s="268" t="str">
        <f>IF('Dry_Litterbag Placem_Collection'!G143="","",'Dry_Litterbag Placem_Collection'!G143)</f>
        <v/>
      </c>
      <c r="U802" s="269" t="str">
        <f t="shared" si="60"/>
        <v/>
      </c>
      <c r="V802" s="267" t="str">
        <f t="shared" si="63"/>
        <v/>
      </c>
      <c r="W802" s="267" t="str">
        <f t="shared" si="64"/>
        <v/>
      </c>
      <c r="X802" s="271" t="str">
        <f>IFERROR(INDEX(Rainfall_Dry!$O$2:$O$217,MATCH(B802, Rainfall_Dry!$A$2:$A$217,0)),"")</f>
        <v/>
      </c>
      <c r="Y802" s="260">
        <v>33.96</v>
      </c>
      <c r="Z802" s="260">
        <v>8.9200000000000017</v>
      </c>
      <c r="AA802" s="260">
        <v>57.12</v>
      </c>
      <c r="AB802" s="261" t="s">
        <v>2670</v>
      </c>
      <c r="AC802" s="260">
        <v>6.0720551996057202</v>
      </c>
      <c r="AD802">
        <f>IF('WetLitterbags placem_collection'!AB143="","",'WetLitterbags placem_collection'!AB143)</f>
        <v>1.4</v>
      </c>
      <c r="AE802">
        <f>IF('WetLitterbags placem_collection'!Z143="","",'WetLitterbags placem_collection'!Z143)</f>
        <v>28.4</v>
      </c>
      <c r="AF802" s="246" t="str">
        <f>IF('WetLitterbags placem_collection'!AA143="","",'WetLitterbags placem_collection'!AA143)</f>
        <v>G</v>
      </c>
      <c r="AG802">
        <f>IF('WetLitterbags placem_collection'!AC143="","",'WetLitterbags placem_collection'!AC143)</f>
        <v>1</v>
      </c>
      <c r="AH802" t="str">
        <f>IFERROR(AVERAGE('Dry_Litterbag Placem_Collection'!O143,'Dry_Litterbag Placem_Collection'!R143),"")</f>
        <v/>
      </c>
      <c r="AI802" s="271" t="str">
        <f>IFERROR(AVERAGE('Dry_Litterbag Placem_Collection'!N143,'Dry_Litterbag Placem_Collection'!Q143),"")</f>
        <v/>
      </c>
      <c r="AJ802" s="270">
        <f>INDEX(Coordinates!$B$2:$B$197,MATCH(G802,Coordinates!$J$2:$J$197,0))</f>
        <v>-2.3486060000000002</v>
      </c>
      <c r="AK802" s="270">
        <f>INDEX(Coordinates!$C$2:$C$197,MATCH(G802,Coordinates!$J$2:$J$197,0))</f>
        <v>34.050010020000002</v>
      </c>
      <c r="AL802" s="270" t="str">
        <f>IF(ISNUMBER(SEARCH("C", 'Dry_Litterbag Placem_Collection'!V143)),"YES","NO")</f>
        <v>NO</v>
      </c>
      <c r="AM802" s="270" t="str">
        <f>IF(ISNUMBER(SEARCH("H", 'Dry_Litterbag Placem_Collection'!V143)),"YES","NO")</f>
        <v>NO</v>
      </c>
      <c r="AN802" s="270" t="str">
        <f>IF(ISNUMBER(SEARCH("R", 'Dry_Litterbag Placem_Collection'!V143)),"YES","NO")</f>
        <v>NO</v>
      </c>
    </row>
    <row r="803" spans="1:40" ht="15" customHeight="1">
      <c r="A803" s="262" t="s">
        <v>2659</v>
      </c>
      <c r="B803" s="263">
        <f>'Dry_Litterbag Placem_Collection'!A144</f>
        <v>142</v>
      </c>
      <c r="C803" s="263" t="str">
        <f>'Dry_Litterbag Placem_Collection'!B144</f>
        <v xml:space="preserve">Mwantimba
</v>
      </c>
      <c r="D803" s="263" t="s">
        <v>2460</v>
      </c>
      <c r="E803" s="263" t="s">
        <v>20</v>
      </c>
      <c r="F803" s="263">
        <v>2</v>
      </c>
      <c r="G803" s="264" t="str">
        <f>'Dry_Litterbag Placem_Collection'!C144</f>
        <v>Wet_P2_T6</v>
      </c>
      <c r="H803" s="273" t="s">
        <v>3651</v>
      </c>
      <c r="I803" s="274" t="s">
        <v>298</v>
      </c>
      <c r="J803" s="263" t="str">
        <f>IF(ISBLANK('Dry_Litterbag Placem_Collection'!M144),"","R"&amp;""&amp;'Dry_Litterbag Placem_Collection'!M144)</f>
        <v>R626</v>
      </c>
      <c r="K803" s="267">
        <f>IFERROR(INDEX('Green_rooibos initial weight'!$C$5:$C$1749,MATCH(J803, 'Green_rooibos initial weight'!$A$5:$A$1749,0)),"")</f>
        <v>2.0699999999999998</v>
      </c>
      <c r="L803" s="267">
        <f>IFERROR(K803-(TBIcalc!$Q$9+TBIcalc!$Q$10),"")</f>
        <v>1.8201999999999998</v>
      </c>
      <c r="M803" s="391">
        <f>AVERAGE(Ashed_controlls!$K$12:$K$14)</f>
        <v>2.2816647271287041</v>
      </c>
      <c r="N803" s="267">
        <f t="shared" si="61"/>
        <v>1.7786691386368032</v>
      </c>
      <c r="O803" s="267" t="str">
        <f>IF(IFERROR(INDEX('Both teabags AfterDry'!$D$3:$D$900,MATCH(J803,'Both teabags AfterDry'!$A$3:$A$900,0)),"")="","",(IFERROR(INDEX('Both teabags AfterDry'!$D$3:$D$900,MATCH(J803,'Both teabags AfterDry'!$A$3:$A$900,0)),"")))</f>
        <v/>
      </c>
      <c r="P803" s="267" t="str">
        <f>IFERROR(IF(O803&gt;0,O803-(TBIcalc!$Q$9),""),"")</f>
        <v/>
      </c>
      <c r="Q803" s="278" t="str">
        <f>IFERROR(INDEX('Ashed teabags dry'!$K$2:$K$825,MATCH(J803,'Ashed teabags dry'!$A$2:$A$825,0)),"")</f>
        <v/>
      </c>
      <c r="R803" s="278" t="str">
        <f t="shared" si="62"/>
        <v/>
      </c>
      <c r="S803" s="268">
        <f>'Dry_Litterbag Placem_Collection'!E144</f>
        <v>42939</v>
      </c>
      <c r="T803" s="268">
        <f>IF('Dry_Litterbag Placem_Collection'!G144="","",'Dry_Litterbag Placem_Collection'!G144)</f>
        <v>43008</v>
      </c>
      <c r="U803" s="269">
        <f t="shared" si="60"/>
        <v>69</v>
      </c>
      <c r="V803" s="267" t="str">
        <f t="shared" si="63"/>
        <v/>
      </c>
      <c r="W803" s="267" t="str">
        <f t="shared" si="64"/>
        <v/>
      </c>
      <c r="X803" s="271">
        <f>IFERROR(INDEX(Rainfall_Dry!$O$2:$O$217,MATCH(B803, Rainfall_Dry!$A$2:$A$217,0)),"")</f>
        <v>136.27214243</v>
      </c>
      <c r="Y803" s="260">
        <v>33.96</v>
      </c>
      <c r="Z803" s="260">
        <v>8.9200000000000017</v>
      </c>
      <c r="AA803" s="260">
        <v>57.12</v>
      </c>
      <c r="AB803" s="261" t="s">
        <v>2670</v>
      </c>
      <c r="AC803" s="260">
        <v>7.0720551996057202</v>
      </c>
      <c r="AD803">
        <f>IF('WetLitterbags placem_collection'!AB144="","",'WetLitterbags placem_collection'!AB144)</f>
        <v>1.7</v>
      </c>
      <c r="AE803">
        <f>IF('WetLitterbags placem_collection'!Z144="","",'WetLitterbags placem_collection'!Z144)</f>
        <v>33.799999999999997</v>
      </c>
      <c r="AF803" s="246" t="str">
        <f>IF('WetLitterbags placem_collection'!AA144="","",'WetLitterbags placem_collection'!AA144)</f>
        <v>G</v>
      </c>
      <c r="AG803">
        <f>IF('WetLitterbags placem_collection'!AC144="","",'WetLitterbags placem_collection'!AC144)</f>
        <v>1</v>
      </c>
      <c r="AH803">
        <f>IFERROR(AVERAGE('Dry_Litterbag Placem_Collection'!O144,'Dry_Litterbag Placem_Collection'!R144),"")</f>
        <v>8.4499999999999993</v>
      </c>
      <c r="AI803" s="271">
        <f>IFERROR(AVERAGE('Dry_Litterbag Placem_Collection'!N144,'Dry_Litterbag Placem_Collection'!Q144),"")</f>
        <v>28.4</v>
      </c>
      <c r="AJ803" s="270">
        <f>INDEX(Coordinates!$B$2:$B$197,MATCH(G803,Coordinates!$J$2:$J$197,0))</f>
        <v>-2.348618992</v>
      </c>
      <c r="AK803" s="270">
        <f>INDEX(Coordinates!$C$2:$C$197,MATCH(G803,Coordinates!$J$2:$J$197,0))</f>
        <v>34.049996030000003</v>
      </c>
      <c r="AL803" s="270" t="str">
        <f>IF(ISNUMBER(SEARCH("C", 'Dry_Litterbag Placem_Collection'!V144)),"YES","NO")</f>
        <v>NO</v>
      </c>
      <c r="AM803" s="270" t="str">
        <f>IF(ISNUMBER(SEARCH("H", 'Dry_Litterbag Placem_Collection'!V144)),"YES","NO")</f>
        <v>NO</v>
      </c>
      <c r="AN803" s="270" t="str">
        <f>IF(ISNUMBER(SEARCH("R", 'Dry_Litterbag Placem_Collection'!V144)),"YES","NO")</f>
        <v>NO</v>
      </c>
    </row>
    <row r="804" spans="1:40" ht="15" customHeight="1">
      <c r="A804" s="262" t="s">
        <v>2659</v>
      </c>
      <c r="B804" s="263">
        <f>'Dry_Litterbag Placem_Collection'!A145</f>
        <v>143</v>
      </c>
      <c r="C804" s="263" t="str">
        <f>'Dry_Litterbag Placem_Collection'!B145</f>
        <v xml:space="preserve">Mwantimba
</v>
      </c>
      <c r="D804" s="263" t="s">
        <v>2460</v>
      </c>
      <c r="E804" s="263" t="s">
        <v>20</v>
      </c>
      <c r="F804" s="263">
        <v>2</v>
      </c>
      <c r="G804" s="264" t="str">
        <f>'Dry_Litterbag Placem_Collection'!C145</f>
        <v>Wet_P2_T7</v>
      </c>
      <c r="H804" s="273" t="s">
        <v>3651</v>
      </c>
      <c r="I804" s="274" t="s">
        <v>298</v>
      </c>
      <c r="J804" s="263" t="str">
        <f>IF(ISBLANK('Dry_Litterbag Placem_Collection'!M145),"","R"&amp;""&amp;'Dry_Litterbag Placem_Collection'!M145)</f>
        <v>R195</v>
      </c>
      <c r="K804" s="267">
        <f>IFERROR(INDEX('Green_rooibos initial weight'!$C$5:$C$1749,MATCH(J804, 'Green_rooibos initial weight'!$A$5:$A$1749,0)),"")</f>
        <v>2.1640000000000001</v>
      </c>
      <c r="L804" s="267">
        <f>IFERROR(K804-(TBIcalc!$Q$9+TBIcalc!$Q$10),"")</f>
        <v>1.9142000000000001</v>
      </c>
      <c r="M804" s="391">
        <f>AVERAGE(Ashed_controlls!$K$12:$K$14)</f>
        <v>2.2816647271287041</v>
      </c>
      <c r="N804" s="267">
        <f t="shared" si="61"/>
        <v>1.8705243737933024</v>
      </c>
      <c r="O804" s="267">
        <f>IF(IFERROR(INDEX('Both teabags AfterDry'!$D$3:$D$900,MATCH(J804,'Both teabags AfterDry'!$A$3:$A$900,0)),"")="","",(IFERROR(INDEX('Both teabags AfterDry'!$D$3:$D$900,MATCH(J804,'Both teabags AfterDry'!$A$3:$A$900,0)),"")))</f>
        <v>1.6592</v>
      </c>
      <c r="P804" s="267">
        <f>IFERROR(IF(O804&gt;0,O804-(TBIcalc!$Q$9),""),"")</f>
        <v>1.5085999999999999</v>
      </c>
      <c r="Q804" s="278">
        <f>IFERROR(INDEX('Ashed teabags dry'!$K$2:$K$825,MATCH(J804,'Ashed teabags dry'!$A$2:$A$825,0)),"")</f>
        <v>10.110294117647566</v>
      </c>
      <c r="R804" s="278">
        <f t="shared" si="62"/>
        <v>1.3560761029411688</v>
      </c>
      <c r="S804" s="268">
        <f>'Dry_Litterbag Placem_Collection'!E145</f>
        <v>42939</v>
      </c>
      <c r="T804" s="268">
        <f>IF('Dry_Litterbag Placem_Collection'!G145="","",'Dry_Litterbag Placem_Collection'!G145)</f>
        <v>43008</v>
      </c>
      <c r="U804" s="269">
        <f t="shared" si="60"/>
        <v>69</v>
      </c>
      <c r="V804" s="267">
        <f t="shared" si="63"/>
        <v>0.40560000000000018</v>
      </c>
      <c r="W804" s="267">
        <f t="shared" si="64"/>
        <v>0.51444827085213363</v>
      </c>
      <c r="X804" s="271">
        <f>IFERROR(INDEX(Rainfall_Dry!$O$2:$O$217,MATCH(B804, Rainfall_Dry!$A$2:$A$217,0)),"")</f>
        <v>136.27214243</v>
      </c>
      <c r="Y804" s="260">
        <v>33.96</v>
      </c>
      <c r="Z804" s="260">
        <v>8.9200000000000017</v>
      </c>
      <c r="AA804" s="260">
        <v>57.12</v>
      </c>
      <c r="AB804" s="261" t="s">
        <v>2670</v>
      </c>
      <c r="AC804" s="260">
        <v>8.0720551996057193</v>
      </c>
      <c r="AD804">
        <f>IF('WetLitterbags placem_collection'!AB145="","",'WetLitterbags placem_collection'!AB145)</f>
        <v>2</v>
      </c>
      <c r="AE804">
        <f>IF('WetLitterbags placem_collection'!Z145="","",'WetLitterbags placem_collection'!Z145)</f>
        <v>23.4</v>
      </c>
      <c r="AF804" s="246" t="str">
        <f>IF('WetLitterbags placem_collection'!AA145="","",'WetLitterbags placem_collection'!AA145)</f>
        <v>G</v>
      </c>
      <c r="AG804">
        <f>IF('WetLitterbags placem_collection'!AC145="","",'WetLitterbags placem_collection'!AC145)</f>
        <v>1</v>
      </c>
      <c r="AH804">
        <f>IFERROR(AVERAGE('Dry_Litterbag Placem_Collection'!O145,'Dry_Litterbag Placem_Collection'!R145),"")</f>
        <v>12.5</v>
      </c>
      <c r="AI804" s="271">
        <f>IFERROR(AVERAGE('Dry_Litterbag Placem_Collection'!N145,'Dry_Litterbag Placem_Collection'!Q145),"")</f>
        <v>28</v>
      </c>
      <c r="AJ804" s="270">
        <f>INDEX(Coordinates!$B$2:$B$197,MATCH(G804,Coordinates!$J$2:$J$197,0))</f>
        <v>-2.3484970349999998</v>
      </c>
      <c r="AK804" s="270">
        <f>INDEX(Coordinates!$C$2:$C$197,MATCH(G804,Coordinates!$J$2:$J$197,0))</f>
        <v>34.049979010000001</v>
      </c>
      <c r="AL804" s="270" t="str">
        <f>IF(ISNUMBER(SEARCH("C", 'Dry_Litterbag Placem_Collection'!V145)),"YES","NO")</f>
        <v>NO</v>
      </c>
      <c r="AM804" s="270" t="str">
        <f>IF(ISNUMBER(SEARCH("H", 'Dry_Litterbag Placem_Collection'!V145)),"YES","NO")</f>
        <v>NO</v>
      </c>
      <c r="AN804" s="270" t="str">
        <f>IF(ISNUMBER(SEARCH("R", 'Dry_Litterbag Placem_Collection'!V145)),"YES","NO")</f>
        <v>NO</v>
      </c>
    </row>
    <row r="805" spans="1:40" ht="15" customHeight="1">
      <c r="A805" s="262" t="s">
        <v>2659</v>
      </c>
      <c r="B805" s="263">
        <f>'Dry_Litterbag Placem_Collection'!A146</f>
        <v>144</v>
      </c>
      <c r="C805" s="263" t="str">
        <f>'Dry_Litterbag Placem_Collection'!B146</f>
        <v xml:space="preserve">Mwantimba
</v>
      </c>
      <c r="D805" s="263" t="s">
        <v>2460</v>
      </c>
      <c r="E805" s="263" t="s">
        <v>20</v>
      </c>
      <c r="F805" s="263">
        <v>2</v>
      </c>
      <c r="G805" s="264" t="str">
        <f>'Dry_Litterbag Placem_Collection'!C146</f>
        <v>Wet_P2_T8</v>
      </c>
      <c r="H805" s="273" t="s">
        <v>3651</v>
      </c>
      <c r="I805" s="274" t="s">
        <v>298</v>
      </c>
      <c r="J805" s="263" t="str">
        <f>IF(ISBLANK('Dry_Litterbag Placem_Collection'!M146),"","R"&amp;""&amp;'Dry_Litterbag Placem_Collection'!M146)</f>
        <v>R295</v>
      </c>
      <c r="K805" s="267">
        <f>IFERROR(INDEX('Green_rooibos initial weight'!$C$5:$C$1749,MATCH(J805, 'Green_rooibos initial weight'!$A$5:$A$1749,0)),"")</f>
        <v>2.194</v>
      </c>
      <c r="L805" s="267">
        <f>IFERROR(K805-(TBIcalc!$Q$9+TBIcalc!$Q$10),"")</f>
        <v>1.9441999999999999</v>
      </c>
      <c r="M805" s="391">
        <f>AVERAGE(Ashed_controlls!$K$12:$K$14)</f>
        <v>2.2816647271287041</v>
      </c>
      <c r="N805" s="267">
        <f t="shared" si="61"/>
        <v>1.8998398743751637</v>
      </c>
      <c r="O805" s="267">
        <f>IF(IFERROR(INDEX('Both teabags AfterDry'!$D$3:$D$900,MATCH(J805,'Both teabags AfterDry'!$A$3:$A$900,0)),"")="","",(IFERROR(INDEX('Both teabags AfterDry'!$D$3:$D$900,MATCH(J805,'Both teabags AfterDry'!$A$3:$A$900,0)),"")))</f>
        <v>1.7096</v>
      </c>
      <c r="P805" s="267">
        <f>IFERROR(IF(O805&gt;0,O805-(TBIcalc!$Q$9),""),"")</f>
        <v>1.5589999999999999</v>
      </c>
      <c r="Q805" s="278">
        <f>IFERROR(INDEX('Ashed teabags dry'!$K$2:$K$825,MATCH(J805,'Ashed teabags dry'!$A$2:$A$825,0)),"")</f>
        <v>6.2071917808215078</v>
      </c>
      <c r="R805" s="278">
        <f t="shared" si="62"/>
        <v>1.4622298801369926</v>
      </c>
      <c r="S805" s="268">
        <f>'Dry_Litterbag Placem_Collection'!E146</f>
        <v>42939</v>
      </c>
      <c r="T805" s="268">
        <f>IF('Dry_Litterbag Placem_Collection'!G146="","",'Dry_Litterbag Placem_Collection'!G146)</f>
        <v>43008</v>
      </c>
      <c r="U805" s="269">
        <f t="shared" si="60"/>
        <v>69</v>
      </c>
      <c r="V805" s="267">
        <f t="shared" si="63"/>
        <v>0.38519999999999999</v>
      </c>
      <c r="W805" s="267">
        <f t="shared" si="64"/>
        <v>0.43760999423817104</v>
      </c>
      <c r="X805" s="271">
        <f>IFERROR(INDEX(Rainfall_Dry!$O$2:$O$217,MATCH(B805, Rainfall_Dry!$A$2:$A$217,0)),"")</f>
        <v>136.27214243</v>
      </c>
      <c r="Y805" s="260">
        <v>33.96</v>
      </c>
      <c r="Z805" s="260">
        <v>8.9200000000000017</v>
      </c>
      <c r="AA805" s="260">
        <v>57.12</v>
      </c>
      <c r="AB805" s="261" t="s">
        <v>2670</v>
      </c>
      <c r="AC805" s="260">
        <v>9.0720551996057193</v>
      </c>
      <c r="AD805">
        <f>IF('WetLitterbags placem_collection'!AB146="","",'WetLitterbags placem_collection'!AB146)</f>
        <v>2.5</v>
      </c>
      <c r="AE805">
        <f>IF('WetLitterbags placem_collection'!Z146="","",'WetLitterbags placem_collection'!Z146)</f>
        <v>19.8</v>
      </c>
      <c r="AF805" s="246" t="str">
        <f>IF('WetLitterbags placem_collection'!AA146="","",'WetLitterbags placem_collection'!AA146)</f>
        <v>G</v>
      </c>
      <c r="AG805">
        <f>IF('WetLitterbags placem_collection'!AC146="","",'WetLitterbags placem_collection'!AC146)</f>
        <v>1</v>
      </c>
      <c r="AH805">
        <f>IFERROR(AVERAGE('Dry_Litterbag Placem_Collection'!O146,'Dry_Litterbag Placem_Collection'!R146),"")</f>
        <v>9.4499999999999993</v>
      </c>
      <c r="AI805" s="271">
        <f>IFERROR(AVERAGE('Dry_Litterbag Placem_Collection'!N146,'Dry_Litterbag Placem_Collection'!Q146),"")</f>
        <v>29.15</v>
      </c>
      <c r="AJ805" s="270">
        <f>INDEX(Coordinates!$B$2:$B$197,MATCH(G805,Coordinates!$J$2:$J$197,0))</f>
        <v>-2.3486560399999998</v>
      </c>
      <c r="AK805" s="270">
        <f>INDEX(Coordinates!$C$2:$C$197,MATCH(G805,Coordinates!$J$2:$J$197,0))</f>
        <v>34.049895020000001</v>
      </c>
      <c r="AL805" s="270" t="str">
        <f>IF(ISNUMBER(SEARCH("C", 'Dry_Litterbag Placem_Collection'!V146)),"YES","NO")</f>
        <v>NO</v>
      </c>
      <c r="AM805" s="270" t="str">
        <f>IF(ISNUMBER(SEARCH("H", 'Dry_Litterbag Placem_Collection'!V146)),"YES","NO")</f>
        <v>NO</v>
      </c>
      <c r="AN805" s="270" t="str">
        <f>IF(ISNUMBER(SEARCH("R", 'Dry_Litterbag Placem_Collection'!V146)),"YES","NO")</f>
        <v>NO</v>
      </c>
    </row>
    <row r="806" spans="1:40" ht="15" customHeight="1">
      <c r="A806" s="262" t="s">
        <v>2659</v>
      </c>
      <c r="B806" s="263">
        <f>'Dry_Litterbag Placem_Collection'!A147</f>
        <v>145</v>
      </c>
      <c r="C806" s="263" t="str">
        <f>'Dry_Litterbag Placem_Collection'!B147</f>
        <v xml:space="preserve">Mwantimba
</v>
      </c>
      <c r="D806" s="263" t="s">
        <v>2460</v>
      </c>
      <c r="E806" s="263" t="s">
        <v>20</v>
      </c>
      <c r="F806" s="263">
        <v>3</v>
      </c>
      <c r="G806" s="264" t="str">
        <f>'Dry_Litterbag Placem_Collection'!C147</f>
        <v>Wet_P3_T1</v>
      </c>
      <c r="H806" s="273" t="s">
        <v>3651</v>
      </c>
      <c r="I806" s="274" t="s">
        <v>298</v>
      </c>
      <c r="J806" s="263" t="str">
        <f>IF(ISBLANK('Dry_Litterbag Placem_Collection'!M147),"","R"&amp;""&amp;'Dry_Litterbag Placem_Collection'!M147)</f>
        <v>R609</v>
      </c>
      <c r="K806" s="267">
        <f>IFERROR(INDEX('Green_rooibos initial weight'!$C$5:$C$1749,MATCH(J806, 'Green_rooibos initial weight'!$A$5:$A$1749,0)),"")</f>
        <v>2.165</v>
      </c>
      <c r="L806" s="267">
        <f>IFERROR(K806-(TBIcalc!$Q$9+TBIcalc!$Q$10),"")</f>
        <v>1.9152</v>
      </c>
      <c r="M806" s="391">
        <f>AVERAGE(Ashed_controlls!$K$12:$K$14)</f>
        <v>2.2816647271287041</v>
      </c>
      <c r="N806" s="267">
        <f t="shared" si="61"/>
        <v>1.8715015571460312</v>
      </c>
      <c r="O806" s="267">
        <f>IF(IFERROR(INDEX('Both teabags AfterDry'!$D$3:$D$900,MATCH(J806,'Both teabags AfterDry'!$A$3:$A$900,0)),"")="","",(IFERROR(INDEX('Both teabags AfterDry'!$D$3:$D$900,MATCH(J806,'Both teabags AfterDry'!$A$3:$A$900,0)),"")))</f>
        <v>1.9753000000000001</v>
      </c>
      <c r="P806" s="267">
        <f>IFERROR(IF(O806&gt;0,O806-(TBIcalc!$Q$9),""),"")</f>
        <v>1.8247</v>
      </c>
      <c r="Q806" s="278">
        <f>IFERROR(INDEX('Ashed teabags dry'!$K$2:$K$825,MATCH(J806,'Ashed teabags dry'!$A$2:$A$825,0)),"")</f>
        <v>3.7512339585388541</v>
      </c>
      <c r="R806" s="278">
        <f t="shared" si="62"/>
        <v>1.7562512339585414</v>
      </c>
      <c r="S806" s="268">
        <f>'Dry_Litterbag Placem_Collection'!E147</f>
        <v>42939</v>
      </c>
      <c r="T806" s="268">
        <f>IF('Dry_Litterbag Placem_Collection'!G147="","",'Dry_Litterbag Placem_Collection'!G147)</f>
        <v>43010</v>
      </c>
      <c r="U806" s="269">
        <f t="shared" si="60"/>
        <v>71</v>
      </c>
      <c r="V806" s="267">
        <f t="shared" si="63"/>
        <v>9.0500000000000025E-2</v>
      </c>
      <c r="W806" s="267">
        <f t="shared" si="64"/>
        <v>0.11525032318748973</v>
      </c>
      <c r="X806" s="271">
        <f>IFERROR(INDEX(Rainfall_Dry!$O$2:$O$217,MATCH(B806, Rainfall_Dry!$A$2:$A$217,0)),"")</f>
        <v>137.19979645800001</v>
      </c>
      <c r="Y806" s="260">
        <v>39.96</v>
      </c>
      <c r="Z806" s="260">
        <v>12.920000000000002</v>
      </c>
      <c r="AA806" s="260">
        <v>47.12</v>
      </c>
      <c r="AB806" s="261" t="s">
        <v>2674</v>
      </c>
      <c r="AC806" s="260">
        <v>1.6549531789058647</v>
      </c>
      <c r="AD806">
        <f>IF('WetLitterbags placem_collection'!AB147="","",'WetLitterbags placem_collection'!AB147)</f>
        <v>3.95</v>
      </c>
      <c r="AE806">
        <f>IF('WetLitterbags placem_collection'!Z147="","",'WetLitterbags placem_collection'!Z147)</f>
        <v>13</v>
      </c>
      <c r="AF806" s="246" t="str">
        <f>IF('WetLitterbags placem_collection'!AA147="","",'WetLitterbags placem_collection'!AA147)</f>
        <v>O</v>
      </c>
      <c r="AG806">
        <f>IF('WetLitterbags placem_collection'!AC147="","",'WetLitterbags placem_collection'!AC147)</f>
        <v>0</v>
      </c>
      <c r="AH806">
        <f>IFERROR(AVERAGE('Dry_Litterbag Placem_Collection'!O147,'Dry_Litterbag Placem_Collection'!R147),"")</f>
        <v>6.35</v>
      </c>
      <c r="AI806" s="271">
        <f>IFERROR(AVERAGE('Dry_Litterbag Placem_Collection'!N147,'Dry_Litterbag Placem_Collection'!Q147),"")</f>
        <v>30</v>
      </c>
      <c r="AJ806" s="270">
        <f>INDEX(Coordinates!$B$2:$B$197,MATCH(G806,Coordinates!$J$2:$J$197,0))</f>
        <v>-2.3675269729999999</v>
      </c>
      <c r="AK806" s="270">
        <f>INDEX(Coordinates!$C$2:$C$197,MATCH(G806,Coordinates!$J$2:$J$197,0))</f>
        <v>34.06035799</v>
      </c>
      <c r="AL806" s="270" t="str">
        <f>IF(ISNUMBER(SEARCH("C", 'Dry_Litterbag Placem_Collection'!V147)),"YES","NO")</f>
        <v>NO</v>
      </c>
      <c r="AM806" s="270" t="str">
        <f>IF(ISNUMBER(SEARCH("H", 'Dry_Litterbag Placem_Collection'!V147)),"YES","NO")</f>
        <v>NO</v>
      </c>
      <c r="AN806" s="270" t="str">
        <f>IF(ISNUMBER(SEARCH("R", 'Dry_Litterbag Placem_Collection'!V147)),"YES","NO")</f>
        <v>NO</v>
      </c>
    </row>
    <row r="807" spans="1:40" ht="15" customHeight="1">
      <c r="A807" s="262" t="s">
        <v>2659</v>
      </c>
      <c r="B807" s="263">
        <f>'Dry_Litterbag Placem_Collection'!A148</f>
        <v>146</v>
      </c>
      <c r="C807" s="263" t="str">
        <f>'Dry_Litterbag Placem_Collection'!B148</f>
        <v xml:space="preserve">Mwantimba
</v>
      </c>
      <c r="D807" s="263" t="s">
        <v>2460</v>
      </c>
      <c r="E807" s="263" t="s">
        <v>20</v>
      </c>
      <c r="F807" s="263">
        <v>3</v>
      </c>
      <c r="G807" s="264" t="str">
        <f>'Dry_Litterbag Placem_Collection'!C148</f>
        <v>Wet_P3_T2</v>
      </c>
      <c r="H807" s="273" t="s">
        <v>3651</v>
      </c>
      <c r="I807" s="274" t="s">
        <v>298</v>
      </c>
      <c r="J807" s="263" t="str">
        <f>IF(ISBLANK('Dry_Litterbag Placem_Collection'!M148),"","R"&amp;""&amp;'Dry_Litterbag Placem_Collection'!M148)</f>
        <v>R292</v>
      </c>
      <c r="K807" s="267">
        <f>IFERROR(INDEX('Green_rooibos initial weight'!$C$5:$C$1749,MATCH(J807, 'Green_rooibos initial weight'!$A$5:$A$1749,0)),"")</f>
        <v>2.2370000000000001</v>
      </c>
      <c r="L807" s="267">
        <f>IFERROR(K807-(TBIcalc!$Q$9+TBIcalc!$Q$10),"")</f>
        <v>1.9872000000000001</v>
      </c>
      <c r="M807" s="391">
        <f>AVERAGE(Ashed_controlls!$K$12:$K$14)</f>
        <v>2.2816647271287041</v>
      </c>
      <c r="N807" s="267">
        <f t="shared" si="61"/>
        <v>1.9418587585424985</v>
      </c>
      <c r="O807" s="267">
        <f>IF(IFERROR(INDEX('Both teabags AfterDry'!$D$3:$D$900,MATCH(J807,'Both teabags AfterDry'!$A$3:$A$900,0)),"")="","",(IFERROR(INDEX('Both teabags AfterDry'!$D$3:$D$900,MATCH(J807,'Both teabags AfterDry'!$A$3:$A$900,0)),"")))</f>
        <v>2.0505</v>
      </c>
      <c r="P807" s="267">
        <f>IFERROR(IF(O807&gt;0,O807-(TBIcalc!$Q$9),""),"")</f>
        <v>1.8998999999999999</v>
      </c>
      <c r="Q807" s="278">
        <f>IFERROR(INDEX('Ashed teabags dry'!$K$2:$K$825,MATCH(J807,'Ashed teabags dry'!$A$2:$A$825,0)),"")</f>
        <v>2.5435704192176245</v>
      </c>
      <c r="R807" s="278">
        <f t="shared" si="62"/>
        <v>1.8515747056052843</v>
      </c>
      <c r="S807" s="268">
        <f>'Dry_Litterbag Placem_Collection'!E148</f>
        <v>42939</v>
      </c>
      <c r="T807" s="268">
        <f>IF('Dry_Litterbag Placem_Collection'!G148="","",'Dry_Litterbag Placem_Collection'!G148)</f>
        <v>43010</v>
      </c>
      <c r="U807" s="269">
        <f t="shared" si="60"/>
        <v>71</v>
      </c>
      <c r="V807" s="267">
        <f t="shared" si="63"/>
        <v>8.7300000000000155E-2</v>
      </c>
      <c r="W807" s="267">
        <f t="shared" si="64"/>
        <v>9.0284052937214199E-2</v>
      </c>
      <c r="X807" s="271">
        <f>IFERROR(INDEX(Rainfall_Dry!$O$2:$O$217,MATCH(B807, Rainfall_Dry!$A$2:$A$217,0)),"")</f>
        <v>137.19979645800001</v>
      </c>
      <c r="Y807" s="260">
        <v>39.96</v>
      </c>
      <c r="Z807" s="260">
        <v>12.920000000000002</v>
      </c>
      <c r="AA807" s="260">
        <v>47.12</v>
      </c>
      <c r="AB807" s="261" t="s">
        <v>2674</v>
      </c>
      <c r="AC807" s="260">
        <v>2.6549531789058598</v>
      </c>
      <c r="AD807">
        <f>IF('WetLitterbags placem_collection'!AB148="","",'WetLitterbags placem_collection'!AB148)</f>
        <v>2.75</v>
      </c>
      <c r="AE807">
        <f>IF('WetLitterbags placem_collection'!Z148="","",'WetLitterbags placem_collection'!Z148)</f>
        <v>17.7</v>
      </c>
      <c r="AF807" s="246" t="str">
        <f>IF('WetLitterbags placem_collection'!AA148="","",'WetLitterbags placem_collection'!AA148)</f>
        <v>O</v>
      </c>
      <c r="AG807">
        <f>IF('WetLitterbags placem_collection'!AC148="","",'WetLitterbags placem_collection'!AC148)</f>
        <v>1</v>
      </c>
      <c r="AH807">
        <f>IFERROR(AVERAGE('Dry_Litterbag Placem_Collection'!O148,'Dry_Litterbag Placem_Collection'!R148),"")</f>
        <v>6.1</v>
      </c>
      <c r="AI807" s="271">
        <f>IFERROR(AVERAGE('Dry_Litterbag Placem_Collection'!N148,'Dry_Litterbag Placem_Collection'!Q148),"")</f>
        <v>31</v>
      </c>
      <c r="AJ807" s="270">
        <f>INDEX(Coordinates!$B$2:$B$197,MATCH(G807,Coordinates!$J$2:$J$197,0))</f>
        <v>-2.3675380370000001</v>
      </c>
      <c r="AK807" s="270">
        <f>INDEX(Coordinates!$C$2:$C$197,MATCH(G807,Coordinates!$J$2:$J$197,0))</f>
        <v>34.060381960000001</v>
      </c>
      <c r="AL807" s="270" t="str">
        <f>IF(ISNUMBER(SEARCH("C", 'Dry_Litterbag Placem_Collection'!V148)),"YES","NO")</f>
        <v>NO</v>
      </c>
      <c r="AM807" s="270" t="str">
        <f>IF(ISNUMBER(SEARCH("H", 'Dry_Litterbag Placem_Collection'!V148)),"YES","NO")</f>
        <v>NO</v>
      </c>
      <c r="AN807" s="270" t="str">
        <f>IF(ISNUMBER(SEARCH("R", 'Dry_Litterbag Placem_Collection'!V148)),"YES","NO")</f>
        <v>NO</v>
      </c>
    </row>
    <row r="808" spans="1:40" ht="15" customHeight="1">
      <c r="A808" s="262" t="s">
        <v>2659</v>
      </c>
      <c r="B808" s="263">
        <f>'Dry_Litterbag Placem_Collection'!A149</f>
        <v>147</v>
      </c>
      <c r="C808" s="263" t="str">
        <f>'Dry_Litterbag Placem_Collection'!B149</f>
        <v xml:space="preserve">Mwantimba
</v>
      </c>
      <c r="D808" s="263" t="s">
        <v>2460</v>
      </c>
      <c r="E808" s="263" t="s">
        <v>20</v>
      </c>
      <c r="F808" s="263">
        <v>3</v>
      </c>
      <c r="G808" s="264" t="str">
        <f>'Dry_Litterbag Placem_Collection'!C149</f>
        <v>Wet_P3_T3</v>
      </c>
      <c r="H808" s="273" t="s">
        <v>3651</v>
      </c>
      <c r="I808" s="274" t="s">
        <v>298</v>
      </c>
      <c r="J808" s="263" t="str">
        <f>IF(ISBLANK('Dry_Litterbag Placem_Collection'!M149),"","R"&amp;""&amp;'Dry_Litterbag Placem_Collection'!M149)</f>
        <v>R243</v>
      </c>
      <c r="K808" s="267">
        <f>IFERROR(INDEX('Green_rooibos initial weight'!$C$5:$C$1749,MATCH(J808, 'Green_rooibos initial weight'!$A$5:$A$1749,0)),"")</f>
        <v>2.1680000000000001</v>
      </c>
      <c r="L808" s="267">
        <f>IFERROR(K808-(TBIcalc!$Q$9+TBIcalc!$Q$10),"")</f>
        <v>1.9182000000000001</v>
      </c>
      <c r="M808" s="391">
        <f>AVERAGE(Ashed_controlls!$K$12:$K$14)</f>
        <v>2.2816647271287041</v>
      </c>
      <c r="N808" s="267">
        <f t="shared" si="61"/>
        <v>1.8744331072042173</v>
      </c>
      <c r="O808" s="267">
        <f>IF(IFERROR(INDEX('Both teabags AfterDry'!$D$3:$D$900,MATCH(J808,'Both teabags AfterDry'!$A$3:$A$900,0)),"")="","",(IFERROR(INDEX('Both teabags AfterDry'!$D$3:$D$900,MATCH(J808,'Both teabags AfterDry'!$A$3:$A$900,0)),"")))</f>
        <v>1.9182999999999999</v>
      </c>
      <c r="P808" s="267">
        <f>IFERROR(IF(O808&gt;0,O808-(TBIcalc!$Q$9),""),"")</f>
        <v>1.7676999999999998</v>
      </c>
      <c r="Q808" s="278">
        <f>IFERROR(INDEX('Ashed teabags dry'!$K$2:$K$825,MATCH(J808,'Ashed teabags dry'!$A$2:$A$825,0)),"")</f>
        <v>3.2670454545454892</v>
      </c>
      <c r="R808" s="278">
        <f t="shared" si="62"/>
        <v>1.7099484374999991</v>
      </c>
      <c r="S808" s="268">
        <f>'Dry_Litterbag Placem_Collection'!E149</f>
        <v>42939</v>
      </c>
      <c r="T808" s="268">
        <f>IF('Dry_Litterbag Placem_Collection'!G149="","",'Dry_Litterbag Placem_Collection'!G149)</f>
        <v>43010</v>
      </c>
      <c r="U808" s="269">
        <f t="shared" si="60"/>
        <v>71</v>
      </c>
      <c r="V808" s="267">
        <f t="shared" si="63"/>
        <v>0.1505000000000003</v>
      </c>
      <c r="W808" s="267">
        <f t="shared" si="64"/>
        <v>0.16448466970421816</v>
      </c>
      <c r="X808" s="271">
        <f>IFERROR(INDEX(Rainfall_Dry!$O$2:$O$217,MATCH(B808, Rainfall_Dry!$A$2:$A$217,0)),"")</f>
        <v>137.19979645800001</v>
      </c>
      <c r="Y808" s="260">
        <v>39.96</v>
      </c>
      <c r="Z808" s="260">
        <v>12.920000000000002</v>
      </c>
      <c r="AA808" s="260">
        <v>47.12</v>
      </c>
      <c r="AB808" s="261" t="s">
        <v>2674</v>
      </c>
      <c r="AC808" s="260">
        <v>3.6549531789058598</v>
      </c>
      <c r="AD808">
        <f>IF('WetLitterbags placem_collection'!AB149="","",'WetLitterbags placem_collection'!AB149)</f>
        <v>3.6</v>
      </c>
      <c r="AE808">
        <f>IF('WetLitterbags placem_collection'!Z149="","",'WetLitterbags placem_collection'!Z149)</f>
        <v>19</v>
      </c>
      <c r="AF808" s="246" t="str">
        <f>IF('WetLitterbags placem_collection'!AA149="","",'WetLitterbags placem_collection'!AA149)</f>
        <v>M</v>
      </c>
      <c r="AG808">
        <f>IF('WetLitterbags placem_collection'!AC149="","",'WetLitterbags placem_collection'!AC149)</f>
        <v>1</v>
      </c>
      <c r="AH808">
        <f>IFERROR(AVERAGE('Dry_Litterbag Placem_Collection'!O149,'Dry_Litterbag Placem_Collection'!R149),"")</f>
        <v>5.6</v>
      </c>
      <c r="AI808" s="271">
        <f>IFERROR(AVERAGE('Dry_Litterbag Placem_Collection'!N149,'Dry_Litterbag Placem_Collection'!Q149),"")</f>
        <v>29.900000000000002</v>
      </c>
      <c r="AJ808" s="270">
        <f>INDEX(Coordinates!$B$2:$B$197,MATCH(G808,Coordinates!$J$2:$J$197,0))</f>
        <v>-2.3675780180000001</v>
      </c>
      <c r="AK808" s="270">
        <f>INDEX(Coordinates!$C$2:$C$197,MATCH(G808,Coordinates!$J$2:$J$197,0))</f>
        <v>34.060323029999999</v>
      </c>
      <c r="AL808" s="270" t="str">
        <f>IF(ISNUMBER(SEARCH("C", 'Dry_Litterbag Placem_Collection'!V149)),"YES","NO")</f>
        <v>NO</v>
      </c>
      <c r="AM808" s="270" t="str">
        <f>IF(ISNUMBER(SEARCH("H", 'Dry_Litterbag Placem_Collection'!V149)),"YES","NO")</f>
        <v>NO</v>
      </c>
      <c r="AN808" s="270" t="str">
        <f>IF(ISNUMBER(SEARCH("R", 'Dry_Litterbag Placem_Collection'!V149)),"YES","NO")</f>
        <v>NO</v>
      </c>
    </row>
    <row r="809" spans="1:40" ht="15" customHeight="1">
      <c r="A809" s="262" t="s">
        <v>2659</v>
      </c>
      <c r="B809" s="263">
        <f>'Dry_Litterbag Placem_Collection'!A150</f>
        <v>148</v>
      </c>
      <c r="C809" s="263" t="str">
        <f>'Dry_Litterbag Placem_Collection'!B150</f>
        <v xml:space="preserve">Mwantimba
</v>
      </c>
      <c r="D809" s="263" t="s">
        <v>2460</v>
      </c>
      <c r="E809" s="263" t="s">
        <v>20</v>
      </c>
      <c r="F809" s="263">
        <v>3</v>
      </c>
      <c r="G809" s="264" t="str">
        <f>'Dry_Litterbag Placem_Collection'!C150</f>
        <v>Wet_P3_T4</v>
      </c>
      <c r="H809" s="273" t="s">
        <v>3651</v>
      </c>
      <c r="I809" s="274" t="s">
        <v>298</v>
      </c>
      <c r="J809" s="263" t="str">
        <f>IF(ISBLANK('Dry_Litterbag Placem_Collection'!M150),"","R"&amp;""&amp;'Dry_Litterbag Placem_Collection'!M150)</f>
        <v>R422</v>
      </c>
      <c r="K809" s="267">
        <f>IFERROR(INDEX('Green_rooibos initial weight'!$C$5:$C$1749,MATCH(J809, 'Green_rooibos initial weight'!$A$5:$A$1749,0)),"")</f>
        <v>2.1760000000000002</v>
      </c>
      <c r="L809" s="267">
        <f>IFERROR(K809-(TBIcalc!$Q$9+TBIcalc!$Q$10),"")</f>
        <v>1.9262000000000001</v>
      </c>
      <c r="M809" s="391">
        <f>AVERAGE(Ashed_controlls!$K$12:$K$14)</f>
        <v>2.2816647271287041</v>
      </c>
      <c r="N809" s="267">
        <f t="shared" si="61"/>
        <v>1.8822505740260471</v>
      </c>
      <c r="O809" s="267">
        <f>IF(IFERROR(INDEX('Both teabags AfterDry'!$D$3:$D$900,MATCH(J809,'Both teabags AfterDry'!$A$3:$A$900,0)),"")="","",(IFERROR(INDEX('Both teabags AfterDry'!$D$3:$D$900,MATCH(J809,'Both teabags AfterDry'!$A$3:$A$900,0)),"")))</f>
        <v>1.9601999999999999</v>
      </c>
      <c r="P809" s="267">
        <f>IFERROR(IF(O809&gt;0,O809-(TBIcalc!$Q$9),""),"")</f>
        <v>1.8095999999999999</v>
      </c>
      <c r="Q809" s="278">
        <f>IFERROR(INDEX('Ashed teabags dry'!$K$2:$K$825,MATCH(J809,'Ashed teabags dry'!$A$2:$A$825,0)),"")</f>
        <v>4.0076335877862421</v>
      </c>
      <c r="R809" s="278">
        <f t="shared" si="62"/>
        <v>1.73707786259542</v>
      </c>
      <c r="S809" s="268">
        <f>'Dry_Litterbag Placem_Collection'!E150</f>
        <v>42939</v>
      </c>
      <c r="T809" s="268">
        <f>IF('Dry_Litterbag Placem_Collection'!G150="","",'Dry_Litterbag Placem_Collection'!G150)</f>
        <v>43010</v>
      </c>
      <c r="U809" s="269">
        <f t="shared" si="60"/>
        <v>71</v>
      </c>
      <c r="V809" s="267">
        <f t="shared" si="63"/>
        <v>0.11660000000000026</v>
      </c>
      <c r="W809" s="267">
        <f t="shared" si="64"/>
        <v>0.14517271143062715</v>
      </c>
      <c r="X809" s="271">
        <f>IFERROR(INDEX(Rainfall_Dry!$O$2:$O$217,MATCH(B809, Rainfall_Dry!$A$2:$A$217,0)),"")</f>
        <v>137.19979645800001</v>
      </c>
      <c r="Y809" s="260">
        <v>39.96</v>
      </c>
      <c r="Z809" s="260">
        <v>12.920000000000002</v>
      </c>
      <c r="AA809" s="260">
        <v>47.12</v>
      </c>
      <c r="AB809" s="261" t="s">
        <v>2674</v>
      </c>
      <c r="AC809" s="260">
        <v>4.6549531789058696</v>
      </c>
      <c r="AD809">
        <f>IF('WetLitterbags placem_collection'!AB150="","",'WetLitterbags placem_collection'!AB150)</f>
        <v>4.9000000000000004</v>
      </c>
      <c r="AE809">
        <f>IF('WetLitterbags placem_collection'!Z150="","",'WetLitterbags placem_collection'!Z150)</f>
        <v>17.489999999999998</v>
      </c>
      <c r="AF809" s="246" t="str">
        <f>IF('WetLitterbags placem_collection'!AA150="","",'WetLitterbags placem_collection'!AA150)</f>
        <v>M</v>
      </c>
      <c r="AG809">
        <f>IF('WetLitterbags placem_collection'!AC150="","",'WetLitterbags placem_collection'!AC150)</f>
        <v>1</v>
      </c>
      <c r="AH809">
        <f>IFERROR(AVERAGE('Dry_Litterbag Placem_Collection'!O150,'Dry_Litterbag Placem_Collection'!R150),"")</f>
        <v>6.5</v>
      </c>
      <c r="AI809" s="271">
        <f>IFERROR(AVERAGE('Dry_Litterbag Placem_Collection'!N150,'Dry_Litterbag Placem_Collection'!Q150),"")</f>
        <v>31.6</v>
      </c>
      <c r="AJ809" s="270">
        <f>INDEX(Coordinates!$B$2:$B$197,MATCH(G809,Coordinates!$J$2:$J$197,0))</f>
        <v>-2.3676269689999998</v>
      </c>
      <c r="AK809" s="270">
        <f>INDEX(Coordinates!$C$2:$C$197,MATCH(G809,Coordinates!$J$2:$J$197,0))</f>
        <v>34.060310960000002</v>
      </c>
      <c r="AL809" s="270" t="str">
        <f>IF(ISNUMBER(SEARCH("C", 'Dry_Litterbag Placem_Collection'!V150)),"YES","NO")</f>
        <v>NO</v>
      </c>
      <c r="AM809" s="270" t="str">
        <f>IF(ISNUMBER(SEARCH("H", 'Dry_Litterbag Placem_Collection'!V150)),"YES","NO")</f>
        <v>NO</v>
      </c>
      <c r="AN809" s="270" t="str">
        <f>IF(ISNUMBER(SEARCH("R", 'Dry_Litterbag Placem_Collection'!V150)),"YES","NO")</f>
        <v>NO</v>
      </c>
    </row>
    <row r="810" spans="1:40" ht="15" customHeight="1">
      <c r="A810" s="262" t="s">
        <v>2659</v>
      </c>
      <c r="B810" s="263">
        <f>'Dry_Litterbag Placem_Collection'!A151</f>
        <v>149</v>
      </c>
      <c r="C810" s="263" t="str">
        <f>'Dry_Litterbag Placem_Collection'!B151</f>
        <v xml:space="preserve">Mwantimba
</v>
      </c>
      <c r="D810" s="263" t="s">
        <v>2460</v>
      </c>
      <c r="E810" s="263" t="s">
        <v>20</v>
      </c>
      <c r="F810" s="263">
        <v>3</v>
      </c>
      <c r="G810" s="264" t="str">
        <f>'Dry_Litterbag Placem_Collection'!C151</f>
        <v>Wet_P3_T5</v>
      </c>
      <c r="H810" s="273" t="s">
        <v>3651</v>
      </c>
      <c r="I810" s="274" t="s">
        <v>298</v>
      </c>
      <c r="J810" s="263" t="str">
        <f>IF(ISBLANK('Dry_Litterbag Placem_Collection'!M151),"","R"&amp;""&amp;'Dry_Litterbag Placem_Collection'!M151)</f>
        <v>R664</v>
      </c>
      <c r="K810" s="267">
        <f>IFERROR(INDEX('Green_rooibos initial weight'!$C$5:$C$1749,MATCH(J810, 'Green_rooibos initial weight'!$A$5:$A$1749,0)),"")</f>
        <v>2.09</v>
      </c>
      <c r="L810" s="267">
        <f>IFERROR(K810-(TBIcalc!$Q$9+TBIcalc!$Q$10),"")</f>
        <v>1.8401999999999998</v>
      </c>
      <c r="M810" s="391">
        <f>AVERAGE(Ashed_controlls!$K$12:$K$14)</f>
        <v>2.2816647271287041</v>
      </c>
      <c r="N810" s="267">
        <f t="shared" si="61"/>
        <v>1.7982128056913775</v>
      </c>
      <c r="O810" s="267">
        <f>IF(IFERROR(INDEX('Both teabags AfterDry'!$D$3:$D$900,MATCH(J810,'Both teabags AfterDry'!$A$3:$A$900,0)),"")="","",(IFERROR(INDEX('Both teabags AfterDry'!$D$3:$D$900,MATCH(J810,'Both teabags AfterDry'!$A$3:$A$900,0)),"")))</f>
        <v>1.8895999999999999</v>
      </c>
      <c r="P810" s="267">
        <f>IFERROR(IF(O810&gt;0,O810-(TBIcalc!$Q$9),""),"")</f>
        <v>1.7389999999999999</v>
      </c>
      <c r="Q810" s="278">
        <f>IFERROR(INDEX('Ashed teabags dry'!$K$2:$K$825,MATCH(J810,'Ashed teabags dry'!$A$2:$A$825,0)),"")</f>
        <v>3.7617554858933753</v>
      </c>
      <c r="R810" s="278">
        <f t="shared" si="62"/>
        <v>1.673583072100314</v>
      </c>
      <c r="S810" s="268">
        <f>'Dry_Litterbag Placem_Collection'!E151</f>
        <v>42939</v>
      </c>
      <c r="T810" s="268">
        <f>IF('Dry_Litterbag Placem_Collection'!G151="","",'Dry_Litterbag Placem_Collection'!G151)</f>
        <v>43010</v>
      </c>
      <c r="U810" s="269">
        <f t="shared" si="60"/>
        <v>71</v>
      </c>
      <c r="V810" s="267">
        <f t="shared" si="63"/>
        <v>0.10119999999999996</v>
      </c>
      <c r="W810" s="267">
        <f t="shared" si="64"/>
        <v>0.12462973359106355</v>
      </c>
      <c r="X810" s="271">
        <f>IFERROR(INDEX(Rainfall_Dry!$O$2:$O$217,MATCH(B810, Rainfall_Dry!$A$2:$A$217,0)),"")</f>
        <v>137.19979645800001</v>
      </c>
      <c r="Y810" s="260">
        <v>39.96</v>
      </c>
      <c r="Z810" s="260">
        <v>12.920000000000002</v>
      </c>
      <c r="AA810" s="260">
        <v>47.12</v>
      </c>
      <c r="AB810" s="261" t="s">
        <v>2674</v>
      </c>
      <c r="AC810" s="260">
        <v>5.6549531789058696</v>
      </c>
      <c r="AD810">
        <f>IF('WetLitterbags placem_collection'!AB151="","",'WetLitterbags placem_collection'!AB151)</f>
        <v>2.8</v>
      </c>
      <c r="AE810">
        <f>IF('WetLitterbags placem_collection'!Z151="","",'WetLitterbags placem_collection'!Z151)</f>
        <v>13</v>
      </c>
      <c r="AF810" s="246" t="str">
        <f>IF('WetLitterbags placem_collection'!AA151="","",'WetLitterbags placem_collection'!AA151)</f>
        <v>M</v>
      </c>
      <c r="AG810">
        <f>IF('WetLitterbags placem_collection'!AC151="","",'WetLitterbags placem_collection'!AC151)</f>
        <v>1</v>
      </c>
      <c r="AH810">
        <f>IFERROR(AVERAGE('Dry_Litterbag Placem_Collection'!O151,'Dry_Litterbag Placem_Collection'!R151),"")</f>
        <v>6.3000000000000007</v>
      </c>
      <c r="AI810" s="271">
        <f>IFERROR(AVERAGE('Dry_Litterbag Placem_Collection'!N151,'Dry_Litterbag Placem_Collection'!Q151),"")</f>
        <v>31</v>
      </c>
      <c r="AJ810" s="270">
        <f>INDEX(Coordinates!$B$2:$B$197,MATCH(G810,Coordinates!$J$2:$J$197,0))</f>
        <v>-2.3677179960000001</v>
      </c>
      <c r="AK810" s="270">
        <f>INDEX(Coordinates!$C$2:$C$197,MATCH(G810,Coordinates!$J$2:$J$197,0))</f>
        <v>34.060324960000003</v>
      </c>
      <c r="AL810" s="270" t="str">
        <f>IF(ISNUMBER(SEARCH("C", 'Dry_Litterbag Placem_Collection'!V151)),"YES","NO")</f>
        <v>NO</v>
      </c>
      <c r="AM810" s="270" t="str">
        <f>IF(ISNUMBER(SEARCH("H", 'Dry_Litterbag Placem_Collection'!V151)),"YES","NO")</f>
        <v>NO</v>
      </c>
      <c r="AN810" s="270" t="str">
        <f>IF(ISNUMBER(SEARCH("R", 'Dry_Litterbag Placem_Collection'!V151)),"YES","NO")</f>
        <v>NO</v>
      </c>
    </row>
    <row r="811" spans="1:40" ht="15" customHeight="1">
      <c r="A811" s="262" t="s">
        <v>2659</v>
      </c>
      <c r="B811" s="263">
        <f>'Dry_Litterbag Placem_Collection'!A152</f>
        <v>150</v>
      </c>
      <c r="C811" s="263" t="str">
        <f>'Dry_Litterbag Placem_Collection'!B152</f>
        <v xml:space="preserve">Mwantimba
</v>
      </c>
      <c r="D811" s="263" t="s">
        <v>2460</v>
      </c>
      <c r="E811" s="263" t="s">
        <v>20</v>
      </c>
      <c r="F811" s="263">
        <v>3</v>
      </c>
      <c r="G811" s="264" t="str">
        <f>'Dry_Litterbag Placem_Collection'!C152</f>
        <v>Wet_P3_T6</v>
      </c>
      <c r="H811" s="273" t="s">
        <v>3651</v>
      </c>
      <c r="I811" s="274" t="s">
        <v>298</v>
      </c>
      <c r="J811" s="263" t="str">
        <f>IF(ISBLANK('Dry_Litterbag Placem_Collection'!M152),"","R"&amp;""&amp;'Dry_Litterbag Placem_Collection'!M152)</f>
        <v>R316</v>
      </c>
      <c r="K811" s="267">
        <f>IFERROR(INDEX('Green_rooibos initial weight'!$C$5:$C$1749,MATCH(J811, 'Green_rooibos initial weight'!$A$5:$A$1749,0)),"")</f>
        <v>2.1779999999999999</v>
      </c>
      <c r="L811" s="267">
        <f>IFERROR(K811-(TBIcalc!$Q$9+TBIcalc!$Q$10),"")</f>
        <v>1.9281999999999999</v>
      </c>
      <c r="M811" s="391">
        <f>AVERAGE(Ashed_controlls!$K$12:$K$14)</f>
        <v>2.2816647271287041</v>
      </c>
      <c r="N811" s="267">
        <f t="shared" si="61"/>
        <v>1.8842049407315042</v>
      </c>
      <c r="O811" s="267" t="str">
        <f>IF(IFERROR(INDEX('Both teabags AfterDry'!$D$3:$D$900,MATCH(J811,'Both teabags AfterDry'!$A$3:$A$900,0)),"")="","",(IFERROR(INDEX('Both teabags AfterDry'!$D$3:$D$900,MATCH(J811,'Both teabags AfterDry'!$A$3:$A$900,0)),"")))</f>
        <v/>
      </c>
      <c r="P811" s="267" t="str">
        <f>IFERROR(IF(O811&gt;0,O811-(TBIcalc!$Q$9),""),"")</f>
        <v/>
      </c>
      <c r="Q811" s="278" t="str">
        <f>IFERROR(INDEX('Ashed teabags dry'!$K$2:$K$825,MATCH(J811,'Ashed teabags dry'!$A$2:$A$825,0)),"")</f>
        <v/>
      </c>
      <c r="R811" s="278" t="str">
        <f t="shared" si="62"/>
        <v/>
      </c>
      <c r="S811" s="268">
        <f>'Dry_Litterbag Placem_Collection'!E152</f>
        <v>42939</v>
      </c>
      <c r="T811" s="268">
        <f>IF('Dry_Litterbag Placem_Collection'!G152="","",'Dry_Litterbag Placem_Collection'!G152)</f>
        <v>43010</v>
      </c>
      <c r="U811" s="269">
        <f t="shared" si="60"/>
        <v>71</v>
      </c>
      <c r="V811" s="267" t="str">
        <f t="shared" si="63"/>
        <v/>
      </c>
      <c r="W811" s="267" t="str">
        <f t="shared" si="64"/>
        <v/>
      </c>
      <c r="X811" s="271">
        <f>IFERROR(INDEX(Rainfall_Dry!$O$2:$O$217,MATCH(B811, Rainfall_Dry!$A$2:$A$217,0)),"")</f>
        <v>137.19979645800001</v>
      </c>
      <c r="Y811" s="260">
        <v>39.96</v>
      </c>
      <c r="Z811" s="260">
        <v>12.920000000000002</v>
      </c>
      <c r="AA811" s="260">
        <v>47.12</v>
      </c>
      <c r="AB811" s="261" t="s">
        <v>2674</v>
      </c>
      <c r="AC811" s="260">
        <v>6.6549531789058696</v>
      </c>
      <c r="AD811">
        <f>IF('WetLitterbags placem_collection'!AB152="","",'WetLitterbags placem_collection'!AB152)</f>
        <v>2.75</v>
      </c>
      <c r="AE811">
        <f>IF('WetLitterbags placem_collection'!Z152="","",'WetLitterbags placem_collection'!Z152)</f>
        <v>19</v>
      </c>
      <c r="AF811" s="246" t="str">
        <f>IF('WetLitterbags placem_collection'!AA152="","",'WetLitterbags placem_collection'!AA152)</f>
        <v>O</v>
      </c>
      <c r="AG811">
        <f>IF('WetLitterbags placem_collection'!AC152="","",'WetLitterbags placem_collection'!AC152)</f>
        <v>0</v>
      </c>
      <c r="AH811">
        <f>IFERROR(AVERAGE('Dry_Litterbag Placem_Collection'!O152,'Dry_Litterbag Placem_Collection'!R152),"")</f>
        <v>6.1999999999999993</v>
      </c>
      <c r="AI811" s="271">
        <f>IFERROR(AVERAGE('Dry_Litterbag Placem_Collection'!N152,'Dry_Litterbag Placem_Collection'!Q152),"")</f>
        <v>30.8</v>
      </c>
      <c r="AJ811" s="270">
        <f>INDEX(Coordinates!$B$2:$B$197,MATCH(G811,Coordinates!$J$2:$J$197,0))</f>
        <v>-2.3675230329999999</v>
      </c>
      <c r="AK811" s="270">
        <f>INDEX(Coordinates!$C$2:$C$197,MATCH(G811,Coordinates!$J$2:$J$197,0))</f>
        <v>34.060512969999998</v>
      </c>
      <c r="AL811" s="270" t="str">
        <f>IF(ISNUMBER(SEARCH("C", 'Dry_Litterbag Placem_Collection'!V152)),"YES","NO")</f>
        <v>NO</v>
      </c>
      <c r="AM811" s="270" t="str">
        <f>IF(ISNUMBER(SEARCH("H", 'Dry_Litterbag Placem_Collection'!V152)),"YES","NO")</f>
        <v>NO</v>
      </c>
      <c r="AN811" s="270" t="str">
        <f>IF(ISNUMBER(SEARCH("R", 'Dry_Litterbag Placem_Collection'!V152)),"YES","NO")</f>
        <v>NO</v>
      </c>
    </row>
    <row r="812" spans="1:40" ht="15" customHeight="1">
      <c r="A812" s="262" t="s">
        <v>2659</v>
      </c>
      <c r="B812" s="263">
        <f>'Dry_Litterbag Placem_Collection'!A153</f>
        <v>151</v>
      </c>
      <c r="C812" s="263" t="str">
        <f>'Dry_Litterbag Placem_Collection'!B153</f>
        <v xml:space="preserve">Mwantimba
</v>
      </c>
      <c r="D812" s="263" t="s">
        <v>2460</v>
      </c>
      <c r="E812" s="263" t="s">
        <v>20</v>
      </c>
      <c r="F812" s="263">
        <v>3</v>
      </c>
      <c r="G812" s="264" t="str">
        <f>'Dry_Litterbag Placem_Collection'!C153</f>
        <v>Wet_P3_T7</v>
      </c>
      <c r="H812" s="273" t="s">
        <v>3651</v>
      </c>
      <c r="I812" s="274" t="s">
        <v>298</v>
      </c>
      <c r="J812" s="263" t="str">
        <f>IF(ISBLANK('Dry_Litterbag Placem_Collection'!M153),"","R"&amp;""&amp;'Dry_Litterbag Placem_Collection'!M153)</f>
        <v/>
      </c>
      <c r="K812" s="267" t="str">
        <f>IFERROR(INDEX('Green_rooibos initial weight'!$C$5:$C$1749,MATCH(J812, 'Green_rooibos initial weight'!$A$5:$A$1749,0)),"")</f>
        <v/>
      </c>
      <c r="L812" s="267" t="str">
        <f>IFERROR(K812-(TBIcalc!$Q$9+TBIcalc!$Q$10),"")</f>
        <v/>
      </c>
      <c r="M812" s="391">
        <f>AVERAGE(Ashed_controlls!$K$12:$K$14)</f>
        <v>2.2816647271287041</v>
      </c>
      <c r="N812" s="267" t="str">
        <f t="shared" si="61"/>
        <v/>
      </c>
      <c r="O812" s="267" t="str">
        <f>IF(IFERROR(INDEX('Both teabags AfterDry'!$D$3:$D$900,MATCH(J812,'Both teabags AfterDry'!$A$3:$A$900,0)),"")="","",(IFERROR(INDEX('Both teabags AfterDry'!$D$3:$D$900,MATCH(J812,'Both teabags AfterDry'!$A$3:$A$900,0)),"")))</f>
        <v/>
      </c>
      <c r="P812" s="267" t="str">
        <f>IFERROR(IF(O812&gt;0,O812-(TBIcalc!$Q$9),""),"")</f>
        <v/>
      </c>
      <c r="Q812" s="278" t="str">
        <f>IFERROR(INDEX('Ashed teabags dry'!$K$2:$K$825,MATCH(J812,'Ashed teabags dry'!$A$2:$A$825,0)),"")</f>
        <v/>
      </c>
      <c r="R812" s="278" t="str">
        <f t="shared" si="62"/>
        <v/>
      </c>
      <c r="S812" s="268">
        <f>'Dry_Litterbag Placem_Collection'!E153</f>
        <v>0</v>
      </c>
      <c r="T812" s="268" t="str">
        <f>IF('Dry_Litterbag Placem_Collection'!G153="","",'Dry_Litterbag Placem_Collection'!G153)</f>
        <v/>
      </c>
      <c r="U812" s="269" t="str">
        <f t="shared" si="60"/>
        <v/>
      </c>
      <c r="V812" s="267" t="str">
        <f t="shared" si="63"/>
        <v/>
      </c>
      <c r="W812" s="267" t="str">
        <f t="shared" si="64"/>
        <v/>
      </c>
      <c r="X812" s="271" t="str">
        <f>IFERROR(INDEX(Rainfall_Dry!$O$2:$O$217,MATCH(B812, Rainfall_Dry!$A$2:$A$217,0)),"")</f>
        <v/>
      </c>
      <c r="Y812" s="260">
        <v>39.96</v>
      </c>
      <c r="Z812" s="260">
        <v>12.920000000000002</v>
      </c>
      <c r="AA812" s="260">
        <v>47.12</v>
      </c>
      <c r="AB812" s="261" t="s">
        <v>2674</v>
      </c>
      <c r="AC812" s="260">
        <v>7.6549531789058696</v>
      </c>
      <c r="AD812">
        <f>IF('WetLitterbags placem_collection'!AB153="","",'WetLitterbags placem_collection'!AB153)</f>
        <v>1.4</v>
      </c>
      <c r="AE812">
        <f>IF('WetLitterbags placem_collection'!Z153="","",'WetLitterbags placem_collection'!Z153)</f>
        <v>7.9</v>
      </c>
      <c r="AF812" s="246" t="str">
        <f>IF('WetLitterbags placem_collection'!AA153="","",'WetLitterbags placem_collection'!AA153)</f>
        <v>O</v>
      </c>
      <c r="AG812">
        <f>IF('WetLitterbags placem_collection'!AC153="","",'WetLitterbags placem_collection'!AC153)</f>
        <v>1</v>
      </c>
      <c r="AH812" t="str">
        <f>IFERROR(AVERAGE('Dry_Litterbag Placem_Collection'!O153,'Dry_Litterbag Placem_Collection'!R153),"")</f>
        <v/>
      </c>
      <c r="AI812" s="271" t="str">
        <f>IFERROR(AVERAGE('Dry_Litterbag Placem_Collection'!N153,'Dry_Litterbag Placem_Collection'!Q153),"")</f>
        <v/>
      </c>
      <c r="AJ812" s="270">
        <f>INDEX(Coordinates!$B$2:$B$197,MATCH(G812,Coordinates!$J$2:$J$197,0))</f>
        <v>-2.3673460070000001</v>
      </c>
      <c r="AK812" s="270">
        <f>INDEX(Coordinates!$C$2:$C$197,MATCH(G812,Coordinates!$J$2:$J$197,0))</f>
        <v>34.060310039999997</v>
      </c>
      <c r="AL812" s="270" t="str">
        <f>IF(ISNUMBER(SEARCH("C", 'Dry_Litterbag Placem_Collection'!V153)),"YES","NO")</f>
        <v>NO</v>
      </c>
      <c r="AM812" s="270" t="str">
        <f>IF(ISNUMBER(SEARCH("H", 'Dry_Litterbag Placem_Collection'!V153)),"YES","NO")</f>
        <v>NO</v>
      </c>
      <c r="AN812" s="270" t="str">
        <f>IF(ISNUMBER(SEARCH("R", 'Dry_Litterbag Placem_Collection'!V153)),"YES","NO")</f>
        <v>NO</v>
      </c>
    </row>
    <row r="813" spans="1:40" ht="15" customHeight="1">
      <c r="A813" s="262" t="s">
        <v>2659</v>
      </c>
      <c r="B813" s="263">
        <f>'Dry_Litterbag Placem_Collection'!A154</f>
        <v>152</v>
      </c>
      <c r="C813" s="263" t="str">
        <f>'Dry_Litterbag Placem_Collection'!B154</f>
        <v xml:space="preserve">Mwantimba
</v>
      </c>
      <c r="D813" s="263" t="s">
        <v>2460</v>
      </c>
      <c r="E813" s="263" t="s">
        <v>20</v>
      </c>
      <c r="F813" s="263">
        <v>3</v>
      </c>
      <c r="G813" s="264" t="str">
        <f>'Dry_Litterbag Placem_Collection'!C154</f>
        <v>Wet_P3_T8</v>
      </c>
      <c r="H813" s="273" t="s">
        <v>3651</v>
      </c>
      <c r="I813" s="274" t="s">
        <v>298</v>
      </c>
      <c r="J813" s="263" t="str">
        <f>IF(ISBLANK('Dry_Litterbag Placem_Collection'!M154),"","R"&amp;""&amp;'Dry_Litterbag Placem_Collection'!M154)</f>
        <v>R635</v>
      </c>
      <c r="K813" s="267">
        <f>IFERROR(INDEX('Green_rooibos initial weight'!$C$5:$C$1749,MATCH(J813, 'Green_rooibos initial weight'!$A$5:$A$1749,0)),"")</f>
        <v>2.1320000000000001</v>
      </c>
      <c r="L813" s="267">
        <f>IFERROR(K813-(TBIcalc!$Q$9+TBIcalc!$Q$10),"")</f>
        <v>1.8822000000000001</v>
      </c>
      <c r="M813" s="391">
        <f>AVERAGE(Ashed_controlls!$K$12:$K$14)</f>
        <v>2.2816647271287041</v>
      </c>
      <c r="N813" s="267">
        <f t="shared" si="61"/>
        <v>1.8392545065059835</v>
      </c>
      <c r="O813" s="267">
        <f>IF(IFERROR(INDEX('Both teabags AfterDry'!$D$3:$D$900,MATCH(J813,'Both teabags AfterDry'!$A$3:$A$900,0)),"")="","",(IFERROR(INDEX('Both teabags AfterDry'!$D$3:$D$900,MATCH(J813,'Both teabags AfterDry'!$A$3:$A$900,0)),"")))</f>
        <v>1.9524999999999999</v>
      </c>
      <c r="P813" s="267">
        <f>IFERROR(IF(O813&gt;0,O813-(TBIcalc!$Q$9),""),"")</f>
        <v>1.8018999999999998</v>
      </c>
      <c r="Q813" s="278">
        <f>IFERROR(INDEX('Ashed teabags dry'!$K$2:$K$825,MATCH(J813,'Ashed teabags dry'!$A$2:$A$825,0)),"")</f>
        <v>3.6981509245371296</v>
      </c>
      <c r="R813" s="278">
        <f t="shared" si="62"/>
        <v>1.7352630184907654</v>
      </c>
      <c r="S813" s="268">
        <f>'Dry_Litterbag Placem_Collection'!E154</f>
        <v>42939</v>
      </c>
      <c r="T813" s="268">
        <f>IF('Dry_Litterbag Placem_Collection'!G154="","",'Dry_Litterbag Placem_Collection'!G154)</f>
        <v>43010</v>
      </c>
      <c r="U813" s="269">
        <f t="shared" si="60"/>
        <v>71</v>
      </c>
      <c r="V813" s="267">
        <f t="shared" si="63"/>
        <v>8.030000000000026E-2</v>
      </c>
      <c r="W813" s="267">
        <f t="shared" si="64"/>
        <v>0.10399148801521818</v>
      </c>
      <c r="X813" s="271">
        <f>IFERROR(INDEX(Rainfall_Dry!$O$2:$O$217,MATCH(B813, Rainfall_Dry!$A$2:$A$217,0)),"")</f>
        <v>137.19979645800001</v>
      </c>
      <c r="Y813" s="260">
        <v>39.96</v>
      </c>
      <c r="Z813" s="260">
        <v>12.920000000000002</v>
      </c>
      <c r="AA813" s="260">
        <v>47.12</v>
      </c>
      <c r="AB813" s="261" t="s">
        <v>2674</v>
      </c>
      <c r="AC813" s="260">
        <v>8.6549531789058705</v>
      </c>
      <c r="AD813">
        <f>IF('WetLitterbags placem_collection'!AB154="","",'WetLitterbags placem_collection'!AB154)</f>
        <v>2.2000000000000002</v>
      </c>
      <c r="AE813">
        <f>IF('WetLitterbags placem_collection'!Z154="","",'WetLitterbags placem_collection'!Z154)</f>
        <v>15</v>
      </c>
      <c r="AF813" s="246" t="str">
        <f>IF('WetLitterbags placem_collection'!AA154="","",'WetLitterbags placem_collection'!AA154)</f>
        <v>M</v>
      </c>
      <c r="AG813">
        <f>IF('WetLitterbags placem_collection'!AC154="","",'WetLitterbags placem_collection'!AC154)</f>
        <v>0</v>
      </c>
      <c r="AH813">
        <f>IFERROR(AVERAGE('Dry_Litterbag Placem_Collection'!O154,'Dry_Litterbag Placem_Collection'!R154),"")</f>
        <v>6.4</v>
      </c>
      <c r="AI813" s="271">
        <f>IFERROR(AVERAGE('Dry_Litterbag Placem_Collection'!N154,'Dry_Litterbag Placem_Collection'!Q154),"")</f>
        <v>28.45</v>
      </c>
      <c r="AJ813" s="270">
        <f>INDEX(Coordinates!$B$2:$B$197,MATCH(G813,Coordinates!$J$2:$J$197,0))</f>
        <v>-2.367543988</v>
      </c>
      <c r="AK813" s="270">
        <f>INDEX(Coordinates!$C$2:$C$197,MATCH(G813,Coordinates!$J$2:$J$197,0))</f>
        <v>34.060168969999999</v>
      </c>
      <c r="AL813" s="270" t="str">
        <f>IF(ISNUMBER(SEARCH("C", 'Dry_Litterbag Placem_Collection'!V154)),"YES","NO")</f>
        <v>NO</v>
      </c>
      <c r="AM813" s="270" t="str">
        <f>IF(ISNUMBER(SEARCH("H", 'Dry_Litterbag Placem_Collection'!V154)),"YES","NO")</f>
        <v>NO</v>
      </c>
      <c r="AN813" s="270" t="str">
        <f>IF(ISNUMBER(SEARCH("R", 'Dry_Litterbag Placem_Collection'!V154)),"YES","NO")</f>
        <v>NO</v>
      </c>
    </row>
    <row r="814" spans="1:40" ht="15" customHeight="1">
      <c r="A814" s="262" t="s">
        <v>2659</v>
      </c>
      <c r="B814" s="263">
        <f>'Dry_Litterbag Placem_Collection'!A155</f>
        <v>153</v>
      </c>
      <c r="C814" s="263" t="str">
        <f>'Dry_Litterbag Placem_Collection'!B155</f>
        <v xml:space="preserve">Mwantimba
</v>
      </c>
      <c r="D814" s="263" t="s">
        <v>2460</v>
      </c>
      <c r="E814" s="263" t="s">
        <v>20</v>
      </c>
      <c r="F814" s="263">
        <v>4</v>
      </c>
      <c r="G814" s="264" t="str">
        <f>'Dry_Litterbag Placem_Collection'!C155</f>
        <v>Wet_P4_T1</v>
      </c>
      <c r="H814" s="273" t="s">
        <v>3651</v>
      </c>
      <c r="I814" s="274" t="s">
        <v>298</v>
      </c>
      <c r="J814" s="263" t="str">
        <f>IF(ISBLANK('Dry_Litterbag Placem_Collection'!M155),"","R"&amp;""&amp;'Dry_Litterbag Placem_Collection'!M155)</f>
        <v>R651</v>
      </c>
      <c r="K814" s="267">
        <f>IFERROR(INDEX('Green_rooibos initial weight'!$C$5:$C$1749,MATCH(J814, 'Green_rooibos initial weight'!$A$5:$A$1749,0)),"")</f>
        <v>2.2349999999999999</v>
      </c>
      <c r="L814" s="267">
        <f>IFERROR(K814-(TBIcalc!$Q$9+TBIcalc!$Q$10),"")</f>
        <v>1.9851999999999999</v>
      </c>
      <c r="M814" s="391">
        <f>AVERAGE(Ashed_controlls!$K$12:$K$14)</f>
        <v>2.2816647271287041</v>
      </c>
      <c r="N814" s="267">
        <f t="shared" si="61"/>
        <v>1.9399043918370409</v>
      </c>
      <c r="O814" s="267">
        <f>IF(IFERROR(INDEX('Both teabags AfterDry'!$D$3:$D$900,MATCH(J814,'Both teabags AfterDry'!$A$3:$A$900,0)),"")="","",(IFERROR(INDEX('Both teabags AfterDry'!$D$3:$D$900,MATCH(J814,'Both teabags AfterDry'!$A$3:$A$900,0)),"")))</f>
        <v>2.0049000000000001</v>
      </c>
      <c r="P814" s="267">
        <f>IFERROR(IF(O814&gt;0,O814-(TBIcalc!$Q$9),""),"")</f>
        <v>1.8543000000000001</v>
      </c>
      <c r="Q814" s="278">
        <f>IFERROR(INDEX('Ashed teabags dry'!$K$2:$K$825,MATCH(J814,'Ashed teabags dry'!$A$2:$A$825,0)),"")</f>
        <v>4.6750818139321764</v>
      </c>
      <c r="R814" s="278">
        <f t="shared" si="62"/>
        <v>1.7676099579242557</v>
      </c>
      <c r="S814" s="268">
        <f>'Dry_Litterbag Placem_Collection'!E155</f>
        <v>42939</v>
      </c>
      <c r="T814" s="268">
        <f>IF('Dry_Litterbag Placem_Collection'!G155="","",'Dry_Litterbag Placem_Collection'!G155)</f>
        <v>43010</v>
      </c>
      <c r="U814" s="269">
        <f t="shared" si="60"/>
        <v>71</v>
      </c>
      <c r="V814" s="267">
        <f t="shared" si="63"/>
        <v>0.13089999999999979</v>
      </c>
      <c r="W814" s="267">
        <f t="shared" si="64"/>
        <v>0.17229443391278521</v>
      </c>
      <c r="X814" s="271">
        <f>IFERROR(INDEX(Rainfall_Dry!$O$2:$O$217,MATCH(B814, Rainfall_Dry!$A$2:$A$217,0)),"")</f>
        <v>137.19979645800001</v>
      </c>
      <c r="Y814" s="260">
        <v>27.96</v>
      </c>
      <c r="Z814" s="260">
        <v>4.9200000000000017</v>
      </c>
      <c r="AA814" s="260">
        <v>67.12</v>
      </c>
      <c r="AB814" s="261" t="s">
        <v>2670</v>
      </c>
      <c r="AC814" s="260">
        <v>1.0437161163134547</v>
      </c>
      <c r="AD814">
        <f>IF('WetLitterbags placem_collection'!AB155="","",'WetLitterbags placem_collection'!AB155)</f>
        <v>2.1</v>
      </c>
      <c r="AE814">
        <f>IF('WetLitterbags placem_collection'!Z155="","",'WetLitterbags placem_collection'!Z155)</f>
        <v>16.399999999999999</v>
      </c>
      <c r="AF814" s="246" t="str">
        <f>IF('WetLitterbags placem_collection'!AA155="","",'WetLitterbags placem_collection'!AA155)</f>
        <v>G</v>
      </c>
      <c r="AG814">
        <f>IF('WetLitterbags placem_collection'!AC155="","",'WetLitterbags placem_collection'!AC155)</f>
        <v>0</v>
      </c>
      <c r="AH814">
        <f>IFERROR(AVERAGE('Dry_Litterbag Placem_Collection'!O155,'Dry_Litterbag Placem_Collection'!R155),"")</f>
        <v>5.65</v>
      </c>
      <c r="AI814" s="271">
        <f>IFERROR(AVERAGE('Dry_Litterbag Placem_Collection'!N155,'Dry_Litterbag Placem_Collection'!Q155),"")</f>
        <v>31.65</v>
      </c>
      <c r="AJ814" s="270">
        <f>INDEX(Coordinates!$B$2:$B$197,MATCH(G814,Coordinates!$J$2:$J$197,0))</f>
        <v>-2.3676780150000001</v>
      </c>
      <c r="AK814" s="270">
        <f>INDEX(Coordinates!$C$2:$C$197,MATCH(G814,Coordinates!$J$2:$J$197,0))</f>
        <v>34.05937797</v>
      </c>
      <c r="AL814" s="270" t="str">
        <f>IF(ISNUMBER(SEARCH("C", 'Dry_Litterbag Placem_Collection'!V155)),"YES","NO")</f>
        <v>NO</v>
      </c>
      <c r="AM814" s="270" t="str">
        <f>IF(ISNUMBER(SEARCH("H", 'Dry_Litterbag Placem_Collection'!V155)),"YES","NO")</f>
        <v>NO</v>
      </c>
      <c r="AN814" s="270" t="str">
        <f>IF(ISNUMBER(SEARCH("R", 'Dry_Litterbag Placem_Collection'!V155)),"YES","NO")</f>
        <v>NO</v>
      </c>
    </row>
    <row r="815" spans="1:40" ht="15" customHeight="1">
      <c r="A815" s="262" t="s">
        <v>2659</v>
      </c>
      <c r="B815" s="263">
        <f>'Dry_Litterbag Placem_Collection'!A156</f>
        <v>154</v>
      </c>
      <c r="C815" s="263" t="str">
        <f>'Dry_Litterbag Placem_Collection'!B156</f>
        <v xml:space="preserve">Mwantimba
</v>
      </c>
      <c r="D815" s="263" t="s">
        <v>2460</v>
      </c>
      <c r="E815" s="263" t="s">
        <v>20</v>
      </c>
      <c r="F815" s="263">
        <v>4</v>
      </c>
      <c r="G815" s="264" t="str">
        <f>'Dry_Litterbag Placem_Collection'!C156</f>
        <v>Wet_P4_T2</v>
      </c>
      <c r="H815" s="273" t="s">
        <v>3651</v>
      </c>
      <c r="I815" s="274" t="s">
        <v>298</v>
      </c>
      <c r="J815" s="263" t="str">
        <f>IF(ISBLANK('Dry_Litterbag Placem_Collection'!M156),"","R"&amp;""&amp;'Dry_Litterbag Placem_Collection'!M156)</f>
        <v>R367</v>
      </c>
      <c r="K815" s="267">
        <f>IFERROR(INDEX('Green_rooibos initial weight'!$C$5:$C$1749,MATCH(J815, 'Green_rooibos initial weight'!$A$5:$A$1749,0)),"")</f>
        <v>2.165</v>
      </c>
      <c r="L815" s="267">
        <f>IFERROR(K815-(TBIcalc!$Q$9+TBIcalc!$Q$10),"")</f>
        <v>1.9152</v>
      </c>
      <c r="M815" s="391">
        <f>AVERAGE(Ashed_controlls!$K$12:$K$14)</f>
        <v>2.2816647271287041</v>
      </c>
      <c r="N815" s="267">
        <f t="shared" si="61"/>
        <v>1.8715015571460312</v>
      </c>
      <c r="O815" s="267">
        <f>IF(IFERROR(INDEX('Both teabags AfterDry'!$D$3:$D$900,MATCH(J815,'Both teabags AfterDry'!$A$3:$A$900,0)),"")="","",(IFERROR(INDEX('Both teabags AfterDry'!$D$3:$D$900,MATCH(J815,'Both teabags AfterDry'!$A$3:$A$900,0)),"")))</f>
        <v>1.8496999999999999</v>
      </c>
      <c r="P815" s="267">
        <f>IFERROR(IF(O815&gt;0,O815-(TBIcalc!$Q$9),""),"")</f>
        <v>1.6990999999999998</v>
      </c>
      <c r="Q815" s="278">
        <f>IFERROR(INDEX('Ashed teabags dry'!$K$2:$K$825,MATCH(J815,'Ashed teabags dry'!$A$2:$A$825,0)),"")</f>
        <v>2.917264466762604</v>
      </c>
      <c r="R815" s="278">
        <f t="shared" si="62"/>
        <v>1.6495327594452365</v>
      </c>
      <c r="S815" s="268">
        <f>'Dry_Litterbag Placem_Collection'!E156</f>
        <v>42939</v>
      </c>
      <c r="T815" s="268">
        <f>IF('Dry_Litterbag Placem_Collection'!G156="","",'Dry_Litterbag Placem_Collection'!G156)</f>
        <v>43010</v>
      </c>
      <c r="U815" s="269">
        <f t="shared" si="60"/>
        <v>71</v>
      </c>
      <c r="V815" s="267">
        <f t="shared" si="63"/>
        <v>0.21610000000000018</v>
      </c>
      <c r="W815" s="267">
        <f t="shared" si="64"/>
        <v>0.2219687977007947</v>
      </c>
      <c r="X815" s="271">
        <f>IFERROR(INDEX(Rainfall_Dry!$O$2:$O$217,MATCH(B815, Rainfall_Dry!$A$2:$A$217,0)),"")</f>
        <v>137.19979645800001</v>
      </c>
      <c r="Y815" s="260">
        <v>27.96</v>
      </c>
      <c r="Z815" s="260">
        <v>4.9200000000000017</v>
      </c>
      <c r="AA815" s="260">
        <v>67.12</v>
      </c>
      <c r="AB815" s="261" t="s">
        <v>2670</v>
      </c>
      <c r="AC815" s="260">
        <v>2.0437161163134498</v>
      </c>
      <c r="AD815">
        <f>IF('WetLitterbags placem_collection'!AB156="","",'WetLitterbags placem_collection'!AB156)</f>
        <v>2.15</v>
      </c>
      <c r="AE815">
        <f>IF('WetLitterbags placem_collection'!Z156="","",'WetLitterbags placem_collection'!Z156)</f>
        <v>9</v>
      </c>
      <c r="AF815" s="246" t="str">
        <f>IF('WetLitterbags placem_collection'!AA156="","",'WetLitterbags placem_collection'!AA156)</f>
        <v>G</v>
      </c>
      <c r="AG815">
        <f>IF('WetLitterbags placem_collection'!AC156="","",'WetLitterbags placem_collection'!AC156)</f>
        <v>0</v>
      </c>
      <c r="AH815">
        <f>IFERROR(AVERAGE('Dry_Litterbag Placem_Collection'!O156,'Dry_Litterbag Placem_Collection'!R156),"")</f>
        <v>4.05</v>
      </c>
      <c r="AI815" s="271">
        <f>IFERROR(AVERAGE('Dry_Litterbag Placem_Collection'!N156,'Dry_Litterbag Placem_Collection'!Q156),"")</f>
        <v>30.45</v>
      </c>
      <c r="AJ815" s="270">
        <f>INDEX(Coordinates!$B$2:$B$197,MATCH(G815,Coordinates!$J$2:$J$197,0))</f>
        <v>-2.3677299820000002</v>
      </c>
      <c r="AK815" s="270">
        <f>INDEX(Coordinates!$C$2:$C$197,MATCH(G815,Coordinates!$J$2:$J$197,0))</f>
        <v>34.059351990000003</v>
      </c>
      <c r="AL815" s="270" t="str">
        <f>IF(ISNUMBER(SEARCH("C", 'Dry_Litterbag Placem_Collection'!V156)),"YES","NO")</f>
        <v>NO</v>
      </c>
      <c r="AM815" s="270" t="str">
        <f>IF(ISNUMBER(SEARCH("H", 'Dry_Litterbag Placem_Collection'!V156)),"YES","NO")</f>
        <v>NO</v>
      </c>
      <c r="AN815" s="270" t="str">
        <f>IF(ISNUMBER(SEARCH("R", 'Dry_Litterbag Placem_Collection'!V156)),"YES","NO")</f>
        <v>NO</v>
      </c>
    </row>
    <row r="816" spans="1:40" ht="15" customHeight="1">
      <c r="A816" s="262" t="s">
        <v>2659</v>
      </c>
      <c r="B816" s="263">
        <f>'Dry_Litterbag Placem_Collection'!A157</f>
        <v>155</v>
      </c>
      <c r="C816" s="263" t="str">
        <f>'Dry_Litterbag Placem_Collection'!B157</f>
        <v xml:space="preserve">Mwantimba
</v>
      </c>
      <c r="D816" s="263" t="s">
        <v>2460</v>
      </c>
      <c r="E816" s="263" t="s">
        <v>20</v>
      </c>
      <c r="F816" s="263">
        <v>4</v>
      </c>
      <c r="G816" s="264" t="str">
        <f>'Dry_Litterbag Placem_Collection'!C157</f>
        <v>Wet_P4_T3</v>
      </c>
      <c r="H816" s="273" t="s">
        <v>3651</v>
      </c>
      <c r="I816" s="274" t="s">
        <v>298</v>
      </c>
      <c r="J816" s="263" t="str">
        <f>IF(ISBLANK('Dry_Litterbag Placem_Collection'!M157),"","R"&amp;""&amp;'Dry_Litterbag Placem_Collection'!M157)</f>
        <v>R617</v>
      </c>
      <c r="K816" s="267">
        <f>IFERROR(INDEX('Green_rooibos initial weight'!$C$5:$C$1749,MATCH(J816, 'Green_rooibos initial weight'!$A$5:$A$1749,0)),"")</f>
        <v>2.2010000000000001</v>
      </c>
      <c r="L816" s="267">
        <f>IFERROR(K816-(TBIcalc!$Q$9+TBIcalc!$Q$10),"")</f>
        <v>1.9512</v>
      </c>
      <c r="M816" s="391">
        <f>AVERAGE(Ashed_controlls!$K$12:$K$14)</f>
        <v>2.2816647271287041</v>
      </c>
      <c r="N816" s="267">
        <f t="shared" si="61"/>
        <v>1.9066801578442647</v>
      </c>
      <c r="O816" s="267">
        <f>IF(IFERROR(INDEX('Both teabags AfterDry'!$D$3:$D$900,MATCH(J816,'Both teabags AfterDry'!$A$3:$A$900,0)),"")="","",(IFERROR(INDEX('Both teabags AfterDry'!$D$3:$D$900,MATCH(J816,'Both teabags AfterDry'!$A$3:$A$900,0)),"")))</f>
        <v>1.8621000000000001</v>
      </c>
      <c r="P816" s="267">
        <f>IFERROR(IF(O816&gt;0,O816-(TBIcalc!$Q$9),""),"")</f>
        <v>1.7115</v>
      </c>
      <c r="Q816" s="278">
        <f>IFERROR(INDEX('Ashed teabags dry'!$K$2:$K$825,MATCH(J816,'Ashed teabags dry'!$A$2:$A$825,0)),"")</f>
        <v>2.5172754195451326</v>
      </c>
      <c r="R816" s="278">
        <f t="shared" si="62"/>
        <v>1.6684168311944851</v>
      </c>
      <c r="S816" s="268">
        <f>'Dry_Litterbag Placem_Collection'!E157</f>
        <v>42939</v>
      </c>
      <c r="T816" s="268">
        <f>IF('Dry_Litterbag Placem_Collection'!G157="","",'Dry_Litterbag Placem_Collection'!G157)</f>
        <v>43010</v>
      </c>
      <c r="U816" s="269">
        <f t="shared" si="60"/>
        <v>71</v>
      </c>
      <c r="V816" s="267">
        <f t="shared" si="63"/>
        <v>0.23970000000000002</v>
      </c>
      <c r="W816" s="267">
        <f t="shared" si="64"/>
        <v>0.23826332664977956</v>
      </c>
      <c r="X816" s="271">
        <f>IFERROR(INDEX(Rainfall_Dry!$O$2:$O$217,MATCH(B816, Rainfall_Dry!$A$2:$A$217,0)),"")</f>
        <v>137.19979645800001</v>
      </c>
      <c r="Y816" s="260">
        <v>27.96</v>
      </c>
      <c r="Z816" s="260">
        <v>4.9200000000000017</v>
      </c>
      <c r="AA816" s="260">
        <v>67.12</v>
      </c>
      <c r="AB816" s="261" t="s">
        <v>2670</v>
      </c>
      <c r="AC816" s="260">
        <v>3.0437161163134498</v>
      </c>
      <c r="AD816">
        <f>IF('WetLitterbags placem_collection'!AB157="","",'WetLitterbags placem_collection'!AB157)</f>
        <v>1.2</v>
      </c>
      <c r="AE816">
        <f>IF('WetLitterbags placem_collection'!Z157="","",'WetLitterbags placem_collection'!Z157)</f>
        <v>11</v>
      </c>
      <c r="AF816" s="246" t="str">
        <f>IF('WetLitterbags placem_collection'!AA157="","",'WetLitterbags placem_collection'!AA157)</f>
        <v>G</v>
      </c>
      <c r="AG816">
        <f>IF('WetLitterbags placem_collection'!AC157="","",'WetLitterbags placem_collection'!AC157)</f>
        <v>0</v>
      </c>
      <c r="AH816">
        <f>IFERROR(AVERAGE('Dry_Litterbag Placem_Collection'!O157,'Dry_Litterbag Placem_Collection'!R157),"")</f>
        <v>5.0999999999999996</v>
      </c>
      <c r="AI816" s="271">
        <f>IFERROR(AVERAGE('Dry_Litterbag Placem_Collection'!N157,'Dry_Litterbag Placem_Collection'!Q157),"")</f>
        <v>29.4</v>
      </c>
      <c r="AJ816" s="270">
        <f>INDEX(Coordinates!$B$2:$B$197,MATCH(G816,Coordinates!$J$2:$J$197,0))</f>
        <v>-2.3677119609999999</v>
      </c>
      <c r="AK816" s="270">
        <f>INDEX(Coordinates!$C$2:$C$197,MATCH(G816,Coordinates!$J$2:$J$197,0))</f>
        <v>34.059339000000001</v>
      </c>
      <c r="AL816" s="270" t="str">
        <f>IF(ISNUMBER(SEARCH("C", 'Dry_Litterbag Placem_Collection'!V157)),"YES","NO")</f>
        <v>NO</v>
      </c>
      <c r="AM816" s="270" t="str">
        <f>IF(ISNUMBER(SEARCH("H", 'Dry_Litterbag Placem_Collection'!V157)),"YES","NO")</f>
        <v>NO</v>
      </c>
      <c r="AN816" s="270" t="str">
        <f>IF(ISNUMBER(SEARCH("R", 'Dry_Litterbag Placem_Collection'!V157)),"YES","NO")</f>
        <v>NO</v>
      </c>
    </row>
    <row r="817" spans="1:40" ht="15" customHeight="1">
      <c r="A817" s="262" t="s">
        <v>2659</v>
      </c>
      <c r="B817" s="263">
        <f>'Dry_Litterbag Placem_Collection'!A158</f>
        <v>156</v>
      </c>
      <c r="C817" s="263" t="str">
        <f>'Dry_Litterbag Placem_Collection'!B158</f>
        <v xml:space="preserve">Mwantimba
</v>
      </c>
      <c r="D817" s="263" t="s">
        <v>2460</v>
      </c>
      <c r="E817" s="263" t="s">
        <v>20</v>
      </c>
      <c r="F817" s="263">
        <v>4</v>
      </c>
      <c r="G817" s="264" t="str">
        <f>'Dry_Litterbag Placem_Collection'!C158</f>
        <v>Wet_P4_T4</v>
      </c>
      <c r="H817" s="273" t="s">
        <v>3651</v>
      </c>
      <c r="I817" s="274" t="s">
        <v>298</v>
      </c>
      <c r="J817" s="263" t="str">
        <f>IF(ISBLANK('Dry_Litterbag Placem_Collection'!M158),"","R"&amp;""&amp;'Dry_Litterbag Placem_Collection'!M158)</f>
        <v>R84</v>
      </c>
      <c r="K817" s="267">
        <f>IFERROR(INDEX('Green_rooibos initial weight'!$C$5:$C$1749,MATCH(J817, 'Green_rooibos initial weight'!$A$5:$A$1749,0)),"")</f>
        <v>2.1629999999999998</v>
      </c>
      <c r="L817" s="267">
        <f>IFERROR(K817-(TBIcalc!$Q$9+TBIcalc!$Q$10),"")</f>
        <v>1.9131999999999998</v>
      </c>
      <c r="M817" s="391">
        <f>AVERAGE(Ashed_controlls!$K$12:$K$14)</f>
        <v>2.2816647271287041</v>
      </c>
      <c r="N817" s="267">
        <f t="shared" si="61"/>
        <v>1.8695471904405734</v>
      </c>
      <c r="O817" s="267">
        <f>IF(IFERROR(INDEX('Both teabags AfterDry'!$D$3:$D$900,MATCH(J817,'Both teabags AfterDry'!$A$3:$A$900,0)),"")="","",(IFERROR(INDEX('Both teabags AfterDry'!$D$3:$D$900,MATCH(J817,'Both teabags AfterDry'!$A$3:$A$900,0)),"")))</f>
        <v>1.8827</v>
      </c>
      <c r="P817" s="267">
        <f>IFERROR(IF(O817&gt;0,O817-(TBIcalc!$Q$9),""),"")</f>
        <v>1.7321</v>
      </c>
      <c r="Q817" s="278">
        <f>IFERROR(INDEX('Ashed teabags dry'!$K$2:$K$825,MATCH(J817,'Ashed teabags dry'!$A$2:$A$825,0)),"")</f>
        <v>7.2855953372191182</v>
      </c>
      <c r="R817" s="278">
        <f t="shared" si="62"/>
        <v>1.6059062031640277</v>
      </c>
      <c r="S817" s="268">
        <f>'Dry_Litterbag Placem_Collection'!E158</f>
        <v>42939</v>
      </c>
      <c r="T817" s="268">
        <f>IF('Dry_Litterbag Placem_Collection'!G158="","",'Dry_Litterbag Placem_Collection'!G158)</f>
        <v>43010</v>
      </c>
      <c r="U817" s="269">
        <f t="shared" si="60"/>
        <v>71</v>
      </c>
      <c r="V817" s="267">
        <f t="shared" si="63"/>
        <v>0.18109999999999982</v>
      </c>
      <c r="W817" s="267">
        <f t="shared" si="64"/>
        <v>0.26364098727654572</v>
      </c>
      <c r="X817" s="271">
        <f>IFERROR(INDEX(Rainfall_Dry!$O$2:$O$217,MATCH(B817, Rainfall_Dry!$A$2:$A$217,0)),"")</f>
        <v>137.19979645800001</v>
      </c>
      <c r="Y817" s="260">
        <v>27.96</v>
      </c>
      <c r="Z817" s="260">
        <v>4.9200000000000017</v>
      </c>
      <c r="AA817" s="260">
        <v>67.12</v>
      </c>
      <c r="AB817" s="261" t="s">
        <v>2670</v>
      </c>
      <c r="AC817" s="260">
        <v>4.0437161163134503</v>
      </c>
      <c r="AD817">
        <f>IF('WetLitterbags placem_collection'!AB158="","",'WetLitterbags placem_collection'!AB158)</f>
        <v>1.55</v>
      </c>
      <c r="AE817">
        <f>IF('WetLitterbags placem_collection'!Z158="","",'WetLitterbags placem_collection'!Z158)</f>
        <v>9.1</v>
      </c>
      <c r="AF817" s="246" t="str">
        <f>IF('WetLitterbags placem_collection'!AA158="","",'WetLitterbags placem_collection'!AA158)</f>
        <v>O</v>
      </c>
      <c r="AG817">
        <f>IF('WetLitterbags placem_collection'!AC158="","",'WetLitterbags placem_collection'!AC158)</f>
        <v>0</v>
      </c>
      <c r="AH817">
        <f>IFERROR(AVERAGE('Dry_Litterbag Placem_Collection'!O158,'Dry_Litterbag Placem_Collection'!R158),"")</f>
        <v>4.5</v>
      </c>
      <c r="AI817" s="271">
        <f>IFERROR(AVERAGE('Dry_Litterbag Placem_Collection'!N158,'Dry_Litterbag Placem_Collection'!Q158),"")</f>
        <v>30.35</v>
      </c>
      <c r="AJ817" s="270">
        <f>INDEX(Coordinates!$B$2:$B$197,MATCH(G817,Coordinates!$J$2:$J$197,0))</f>
        <v>-2.3676950300000001</v>
      </c>
      <c r="AK817" s="270">
        <f>INDEX(Coordinates!$C$2:$C$197,MATCH(G817,Coordinates!$J$2:$J$197,0))</f>
        <v>34.059499010000003</v>
      </c>
      <c r="AL817" s="270" t="str">
        <f>IF(ISNUMBER(SEARCH("C", 'Dry_Litterbag Placem_Collection'!V158)),"YES","NO")</f>
        <v>NO</v>
      </c>
      <c r="AM817" s="270" t="str">
        <f>IF(ISNUMBER(SEARCH("H", 'Dry_Litterbag Placem_Collection'!V158)),"YES","NO")</f>
        <v>NO</v>
      </c>
      <c r="AN817" s="270" t="str">
        <f>IF(ISNUMBER(SEARCH("R", 'Dry_Litterbag Placem_Collection'!V158)),"YES","NO")</f>
        <v>NO</v>
      </c>
    </row>
    <row r="818" spans="1:40" ht="15" customHeight="1">
      <c r="A818" s="262" t="s">
        <v>2659</v>
      </c>
      <c r="B818" s="263">
        <f>'Dry_Litterbag Placem_Collection'!A159</f>
        <v>157</v>
      </c>
      <c r="C818" s="263" t="str">
        <f>'Dry_Litterbag Placem_Collection'!B159</f>
        <v xml:space="preserve">Mwantimba
</v>
      </c>
      <c r="D818" s="263" t="s">
        <v>2460</v>
      </c>
      <c r="E818" s="263" t="s">
        <v>20</v>
      </c>
      <c r="F818" s="263">
        <v>4</v>
      </c>
      <c r="G818" s="264" t="str">
        <f>'Dry_Litterbag Placem_Collection'!C159</f>
        <v>Wet_P4_T5</v>
      </c>
      <c r="H818" s="273" t="s">
        <v>3651</v>
      </c>
      <c r="I818" s="274" t="s">
        <v>298</v>
      </c>
      <c r="J818" s="263" t="str">
        <f>IF(ISBLANK('Dry_Litterbag Placem_Collection'!M159),"","R"&amp;""&amp;'Dry_Litterbag Placem_Collection'!M159)</f>
        <v>R248</v>
      </c>
      <c r="K818" s="267">
        <f>IFERROR(INDEX('Green_rooibos initial weight'!$C$5:$C$1749,MATCH(J818, 'Green_rooibos initial weight'!$A$5:$A$1749,0)),"")</f>
        <v>2.1829999999999998</v>
      </c>
      <c r="L818" s="267">
        <f>IFERROR(K818-(TBIcalc!$Q$9+TBIcalc!$Q$10),"")</f>
        <v>1.9331999999999998</v>
      </c>
      <c r="M818" s="391">
        <f>AVERAGE(Ashed_controlls!$K$12:$K$14)</f>
        <v>2.2816647271287041</v>
      </c>
      <c r="N818" s="267">
        <f t="shared" si="61"/>
        <v>1.8890908574951477</v>
      </c>
      <c r="O818" s="267" t="str">
        <f>IF(IFERROR(INDEX('Both teabags AfterDry'!$D$3:$D$900,MATCH(J818,'Both teabags AfterDry'!$A$3:$A$900,0)),"")="","",(IFERROR(INDEX('Both teabags AfterDry'!$D$3:$D$900,MATCH(J818,'Both teabags AfterDry'!$A$3:$A$900,0)),"")))</f>
        <v/>
      </c>
      <c r="P818" s="267" t="str">
        <f>IFERROR(IF(O818&gt;0,O818-(TBIcalc!$Q$9),""),"")</f>
        <v/>
      </c>
      <c r="Q818" s="278" t="str">
        <f>IFERROR(INDEX('Ashed teabags dry'!$K$2:$K$825,MATCH(J818,'Ashed teabags dry'!$A$2:$A$825,0)),"")</f>
        <v/>
      </c>
      <c r="R818" s="278" t="str">
        <f t="shared" si="62"/>
        <v/>
      </c>
      <c r="S818" s="268">
        <f>'Dry_Litterbag Placem_Collection'!E159</f>
        <v>42939</v>
      </c>
      <c r="T818" s="268">
        <f>IF('Dry_Litterbag Placem_Collection'!G159="","",'Dry_Litterbag Placem_Collection'!G159)</f>
        <v>43010</v>
      </c>
      <c r="U818" s="269">
        <f t="shared" si="60"/>
        <v>71</v>
      </c>
      <c r="V818" s="267" t="str">
        <f t="shared" si="63"/>
        <v/>
      </c>
      <c r="W818" s="267" t="str">
        <f t="shared" si="64"/>
        <v/>
      </c>
      <c r="X818" s="271">
        <f>IFERROR(INDEX(Rainfall_Dry!$O$2:$O$217,MATCH(B818, Rainfall_Dry!$A$2:$A$217,0)),"")</f>
        <v>137.19979645800001</v>
      </c>
      <c r="Y818" s="260">
        <v>27.96</v>
      </c>
      <c r="Z818" s="260">
        <v>4.9200000000000017</v>
      </c>
      <c r="AA818" s="260">
        <v>67.12</v>
      </c>
      <c r="AB818" s="261" t="s">
        <v>2670</v>
      </c>
      <c r="AC818" s="260">
        <v>5.0437161163134503</v>
      </c>
      <c r="AD818">
        <f>IF('WetLitterbags placem_collection'!AB159="","",'WetLitterbags placem_collection'!AB159)</f>
        <v>2.2999999999999998</v>
      </c>
      <c r="AE818">
        <f>IF('WetLitterbags placem_collection'!Z159="","",'WetLitterbags placem_collection'!Z159)</f>
        <v>7.7</v>
      </c>
      <c r="AF818" s="246" t="str">
        <f>IF('WetLitterbags placem_collection'!AA159="","",'WetLitterbags placem_collection'!AA159)</f>
        <v>O</v>
      </c>
      <c r="AG818">
        <f>IF('WetLitterbags placem_collection'!AC159="","",'WetLitterbags placem_collection'!AC159)</f>
        <v>0</v>
      </c>
      <c r="AH818">
        <f>IFERROR(AVERAGE('Dry_Litterbag Placem_Collection'!O159,'Dry_Litterbag Placem_Collection'!R159),"")</f>
        <v>5.65</v>
      </c>
      <c r="AI818" s="271">
        <f>IFERROR(AVERAGE('Dry_Litterbag Placem_Collection'!N159,'Dry_Litterbag Placem_Collection'!Q159),"")</f>
        <v>29.85</v>
      </c>
      <c r="AJ818" s="270">
        <f>INDEX(Coordinates!$B$2:$B$197,MATCH(G818,Coordinates!$J$2:$J$197,0))</f>
        <v>-2.3678019830000001</v>
      </c>
      <c r="AK818" s="270">
        <f>INDEX(Coordinates!$C$2:$C$197,MATCH(G818,Coordinates!$J$2:$J$197,0))</f>
        <v>34.059521969999999</v>
      </c>
      <c r="AL818" s="270" t="str">
        <f>IF(ISNUMBER(SEARCH("C", 'Dry_Litterbag Placem_Collection'!V159)),"YES","NO")</f>
        <v>NO</v>
      </c>
      <c r="AM818" s="270" t="str">
        <f>IF(ISNUMBER(SEARCH("H", 'Dry_Litterbag Placem_Collection'!V159)),"YES","NO")</f>
        <v>NO</v>
      </c>
      <c r="AN818" s="270" t="str">
        <f>IF(ISNUMBER(SEARCH("R", 'Dry_Litterbag Placem_Collection'!V159)),"YES","NO")</f>
        <v>NO</v>
      </c>
    </row>
    <row r="819" spans="1:40" ht="15" customHeight="1">
      <c r="A819" s="262" t="s">
        <v>2659</v>
      </c>
      <c r="B819" s="263">
        <f>'Dry_Litterbag Placem_Collection'!A160</f>
        <v>158</v>
      </c>
      <c r="C819" s="263" t="str">
        <f>'Dry_Litterbag Placem_Collection'!B160</f>
        <v xml:space="preserve">Mwantimba
</v>
      </c>
      <c r="D819" s="263" t="s">
        <v>2460</v>
      </c>
      <c r="E819" s="263" t="s">
        <v>20</v>
      </c>
      <c r="F819" s="263">
        <v>4</v>
      </c>
      <c r="G819" s="264" t="str">
        <f>'Dry_Litterbag Placem_Collection'!C160</f>
        <v>Wet_P4_T6</v>
      </c>
      <c r="H819" s="273" t="s">
        <v>3651</v>
      </c>
      <c r="I819" s="274" t="s">
        <v>298</v>
      </c>
      <c r="J819" s="263" t="str">
        <f>IF(ISBLANK('Dry_Litterbag Placem_Collection'!M160),"","R"&amp;""&amp;'Dry_Litterbag Placem_Collection'!M160)</f>
        <v>R238</v>
      </c>
      <c r="K819" s="267">
        <f>IFERROR(INDEX('Green_rooibos initial weight'!$C$5:$C$1749,MATCH(J819, 'Green_rooibos initial weight'!$A$5:$A$1749,0)),"")</f>
        <v>2.2389999999999999</v>
      </c>
      <c r="L819" s="267">
        <f>IFERROR(K819-(TBIcalc!$Q$9+TBIcalc!$Q$10),"")</f>
        <v>1.9891999999999999</v>
      </c>
      <c r="M819" s="391">
        <f>AVERAGE(Ashed_controlls!$K$12:$K$14)</f>
        <v>2.2816647271287041</v>
      </c>
      <c r="N819" s="267">
        <f t="shared" si="61"/>
        <v>1.9438131252479556</v>
      </c>
      <c r="O819" s="267">
        <f>IF(IFERROR(INDEX('Both teabags AfterDry'!$D$3:$D$900,MATCH(J819,'Both teabags AfterDry'!$A$3:$A$900,0)),"")="","",(IFERROR(INDEX('Both teabags AfterDry'!$D$3:$D$900,MATCH(J819,'Both teabags AfterDry'!$A$3:$A$900,0)),"")))</f>
        <v>1.7898000000000001</v>
      </c>
      <c r="P819" s="267">
        <f>IFERROR(IF(O819&gt;0,O819-(TBIcalc!$Q$9),""),"")</f>
        <v>1.6392</v>
      </c>
      <c r="Q819" s="278">
        <f>IFERROR(INDEX('Ashed teabags dry'!$K$2:$K$825,MATCH(J819,'Ashed teabags dry'!$A$2:$A$825,0)),"")</f>
        <v>4.8905449464368154</v>
      </c>
      <c r="R819" s="278">
        <f t="shared" si="62"/>
        <v>1.5590341872380078</v>
      </c>
      <c r="S819" s="268">
        <f>'Dry_Litterbag Placem_Collection'!E160</f>
        <v>42939</v>
      </c>
      <c r="T819" s="268">
        <f>IF('Dry_Litterbag Placem_Collection'!G160="","",'Dry_Litterbag Placem_Collection'!G160)</f>
        <v>43010</v>
      </c>
      <c r="U819" s="269">
        <f t="shared" si="60"/>
        <v>71</v>
      </c>
      <c r="V819" s="267">
        <f t="shared" si="63"/>
        <v>0.34999999999999987</v>
      </c>
      <c r="W819" s="267">
        <f t="shared" si="64"/>
        <v>0.38477893800994778</v>
      </c>
      <c r="X819" s="271">
        <f>IFERROR(INDEX(Rainfall_Dry!$O$2:$O$217,MATCH(B819, Rainfall_Dry!$A$2:$A$217,0)),"")</f>
        <v>137.19979645800001</v>
      </c>
      <c r="Y819" s="260">
        <v>27.96</v>
      </c>
      <c r="Z819" s="260">
        <v>4.9200000000000017</v>
      </c>
      <c r="AA819" s="260">
        <v>67.12</v>
      </c>
      <c r="AB819" s="261" t="s">
        <v>2670</v>
      </c>
      <c r="AC819" s="260">
        <v>6.0437161163134503</v>
      </c>
      <c r="AD819">
        <f>IF('WetLitterbags placem_collection'!AB160="","",'WetLitterbags placem_collection'!AB160)</f>
        <v>1.9</v>
      </c>
      <c r="AE819">
        <f>IF('WetLitterbags placem_collection'!Z160="","",'WetLitterbags placem_collection'!Z160)</f>
        <v>4.3</v>
      </c>
      <c r="AF819" s="246" t="str">
        <f>IF('WetLitterbags placem_collection'!AA160="","",'WetLitterbags placem_collection'!AA160)</f>
        <v>O</v>
      </c>
      <c r="AG819">
        <f>IF('WetLitterbags placem_collection'!AC160="","",'WetLitterbags placem_collection'!AC160)</f>
        <v>0</v>
      </c>
      <c r="AH819">
        <f>IFERROR(AVERAGE('Dry_Litterbag Placem_Collection'!O160,'Dry_Litterbag Placem_Collection'!R160),"")</f>
        <v>5.95</v>
      </c>
      <c r="AI819" s="271">
        <f>IFERROR(AVERAGE('Dry_Litterbag Placem_Collection'!N160,'Dry_Litterbag Placem_Collection'!Q160),"")</f>
        <v>31.8</v>
      </c>
      <c r="AJ819" s="270">
        <f>INDEX(Coordinates!$B$2:$B$197,MATCH(G819,Coordinates!$J$2:$J$197,0))</f>
        <v>-2.3679270410000002</v>
      </c>
      <c r="AK819" s="270">
        <f>INDEX(Coordinates!$C$2:$C$197,MATCH(G819,Coordinates!$J$2:$J$197,0))</f>
        <v>34.059300020000002</v>
      </c>
      <c r="AL819" s="270" t="str">
        <f>IF(ISNUMBER(SEARCH("C", 'Dry_Litterbag Placem_Collection'!V160)),"YES","NO")</f>
        <v>NO</v>
      </c>
      <c r="AM819" s="270" t="str">
        <f>IF(ISNUMBER(SEARCH("H", 'Dry_Litterbag Placem_Collection'!V160)),"YES","NO")</f>
        <v>NO</v>
      </c>
      <c r="AN819" s="270" t="str">
        <f>IF(ISNUMBER(SEARCH("R", 'Dry_Litterbag Placem_Collection'!V160)),"YES","NO")</f>
        <v>NO</v>
      </c>
    </row>
    <row r="820" spans="1:40" ht="15" customHeight="1">
      <c r="A820" s="262" t="s">
        <v>2659</v>
      </c>
      <c r="B820" s="263">
        <f>'Dry_Litterbag Placem_Collection'!A161</f>
        <v>159</v>
      </c>
      <c r="C820" s="263" t="str">
        <f>'Dry_Litterbag Placem_Collection'!B161</f>
        <v xml:space="preserve">Mwantimba
</v>
      </c>
      <c r="D820" s="263" t="s">
        <v>2460</v>
      </c>
      <c r="E820" s="263" t="s">
        <v>20</v>
      </c>
      <c r="F820" s="263">
        <v>4</v>
      </c>
      <c r="G820" s="264" t="str">
        <f>'Dry_Litterbag Placem_Collection'!C161</f>
        <v>Wet_P4_T7</v>
      </c>
      <c r="H820" s="273" t="s">
        <v>3651</v>
      </c>
      <c r="I820" s="274" t="s">
        <v>298</v>
      </c>
      <c r="J820" s="263" t="str">
        <f>IF(ISBLANK('Dry_Litterbag Placem_Collection'!M161),"","R"&amp;""&amp;'Dry_Litterbag Placem_Collection'!M161)</f>
        <v/>
      </c>
      <c r="K820" s="267" t="str">
        <f>IFERROR(INDEX('Green_rooibos initial weight'!$C$5:$C$1749,MATCH(J820, 'Green_rooibos initial weight'!$A$5:$A$1749,0)),"")</f>
        <v/>
      </c>
      <c r="L820" s="267" t="str">
        <f>IFERROR(K820-(TBIcalc!$Q$9+TBIcalc!$Q$10),"")</f>
        <v/>
      </c>
      <c r="M820" s="391">
        <f>AVERAGE(Ashed_controlls!$K$12:$K$14)</f>
        <v>2.2816647271287041</v>
      </c>
      <c r="N820" s="267" t="str">
        <f t="shared" si="61"/>
        <v/>
      </c>
      <c r="O820" s="267" t="str">
        <f>IF(IFERROR(INDEX('Both teabags AfterDry'!$D$3:$D$900,MATCH(J820,'Both teabags AfterDry'!$A$3:$A$900,0)),"")="","",(IFERROR(INDEX('Both teabags AfterDry'!$D$3:$D$900,MATCH(J820,'Both teabags AfterDry'!$A$3:$A$900,0)),"")))</f>
        <v/>
      </c>
      <c r="P820" s="267" t="str">
        <f>IFERROR(IF(O820&gt;0,O820-(TBIcalc!$Q$9),""),"")</f>
        <v/>
      </c>
      <c r="Q820" s="278" t="str">
        <f>IFERROR(INDEX('Ashed teabags dry'!$K$2:$K$825,MATCH(J820,'Ashed teabags dry'!$A$2:$A$825,0)),"")</f>
        <v/>
      </c>
      <c r="R820" s="278" t="str">
        <f t="shared" si="62"/>
        <v/>
      </c>
      <c r="S820" s="268">
        <f>'Dry_Litterbag Placem_Collection'!E161</f>
        <v>0</v>
      </c>
      <c r="T820" s="268" t="str">
        <f>IF('Dry_Litterbag Placem_Collection'!G161="","",'Dry_Litterbag Placem_Collection'!G161)</f>
        <v/>
      </c>
      <c r="U820" s="269" t="str">
        <f t="shared" si="60"/>
        <v/>
      </c>
      <c r="V820" s="267" t="str">
        <f t="shared" si="63"/>
        <v/>
      </c>
      <c r="W820" s="267" t="str">
        <f t="shared" si="64"/>
        <v/>
      </c>
      <c r="X820" s="271" t="str">
        <f>IFERROR(INDEX(Rainfall_Dry!$O$2:$O$217,MATCH(B820, Rainfall_Dry!$A$2:$A$217,0)),"")</f>
        <v/>
      </c>
      <c r="Y820" s="260">
        <v>27.96</v>
      </c>
      <c r="Z820" s="260">
        <v>4.9200000000000017</v>
      </c>
      <c r="AA820" s="260">
        <v>67.12</v>
      </c>
      <c r="AB820" s="261" t="s">
        <v>2670</v>
      </c>
      <c r="AC820" s="260">
        <v>7.0437161163134503</v>
      </c>
      <c r="AD820">
        <f>IF('WetLitterbags placem_collection'!AB161="","",'WetLitterbags placem_collection'!AB161)</f>
        <v>2.65</v>
      </c>
      <c r="AE820">
        <f>IF('WetLitterbags placem_collection'!Z161="","",'WetLitterbags placem_collection'!Z161)</f>
        <v>0</v>
      </c>
      <c r="AF820" s="246" t="str">
        <f>IF('WetLitterbags placem_collection'!AA161="","",'WetLitterbags placem_collection'!AA161)</f>
        <v>G</v>
      </c>
      <c r="AG820">
        <f>IF('WetLitterbags placem_collection'!AC161="","",'WetLitterbags placem_collection'!AC161)</f>
        <v>1</v>
      </c>
      <c r="AH820" t="str">
        <f>IFERROR(AVERAGE('Dry_Litterbag Placem_Collection'!O161,'Dry_Litterbag Placem_Collection'!R161),"")</f>
        <v/>
      </c>
      <c r="AI820" s="271" t="str">
        <f>IFERROR(AVERAGE('Dry_Litterbag Placem_Collection'!N161,'Dry_Litterbag Placem_Collection'!Q161),"")</f>
        <v/>
      </c>
      <c r="AJ820" s="270">
        <f>INDEX(Coordinates!$B$2:$B$197,MATCH(G820,Coordinates!$J$2:$J$197,0))</f>
        <v>-2.3676829599999998</v>
      </c>
      <c r="AK820" s="270">
        <f>INDEX(Coordinates!$C$2:$C$197,MATCH(G820,Coordinates!$J$2:$J$197,0))</f>
        <v>34.059236990000002</v>
      </c>
      <c r="AL820" s="270" t="str">
        <f>IF(ISNUMBER(SEARCH("C", 'Dry_Litterbag Placem_Collection'!V161)),"YES","NO")</f>
        <v>NO</v>
      </c>
      <c r="AM820" s="270" t="str">
        <f>IF(ISNUMBER(SEARCH("H", 'Dry_Litterbag Placem_Collection'!V161)),"YES","NO")</f>
        <v>NO</v>
      </c>
      <c r="AN820" s="270" t="str">
        <f>IF(ISNUMBER(SEARCH("R", 'Dry_Litterbag Placem_Collection'!V161)),"YES","NO")</f>
        <v>NO</v>
      </c>
    </row>
    <row r="821" spans="1:40" ht="15" customHeight="1">
      <c r="A821" s="262" t="s">
        <v>2659</v>
      </c>
      <c r="B821" s="263">
        <f>'Dry_Litterbag Placem_Collection'!A162</f>
        <v>160</v>
      </c>
      <c r="C821" s="263" t="str">
        <f>'Dry_Litterbag Placem_Collection'!B162</f>
        <v xml:space="preserve">Mwantimba
</v>
      </c>
      <c r="D821" s="263" t="s">
        <v>2460</v>
      </c>
      <c r="E821" s="263" t="s">
        <v>20</v>
      </c>
      <c r="F821" s="263">
        <v>4</v>
      </c>
      <c r="G821" s="264" t="str">
        <f>'Dry_Litterbag Placem_Collection'!C162</f>
        <v>Wet_P4_T8</v>
      </c>
      <c r="H821" s="273" t="s">
        <v>3651</v>
      </c>
      <c r="I821" s="274" t="s">
        <v>298</v>
      </c>
      <c r="J821" s="263" t="str">
        <f>IF(ISBLANK('Dry_Litterbag Placem_Collection'!M162),"","R"&amp;""&amp;'Dry_Litterbag Placem_Collection'!M162)</f>
        <v>R350</v>
      </c>
      <c r="K821" s="267">
        <f>IFERROR(INDEX('Green_rooibos initial weight'!$C$5:$C$1749,MATCH(J821, 'Green_rooibos initial weight'!$A$5:$A$1749,0)),"")</f>
        <v>2.21</v>
      </c>
      <c r="L821" s="267">
        <f>IFERROR(K821-(TBIcalc!$Q$9+TBIcalc!$Q$10),"")</f>
        <v>1.9601999999999999</v>
      </c>
      <c r="M821" s="391">
        <f>AVERAGE(Ashed_controlls!$K$12:$K$14)</f>
        <v>2.2816647271287041</v>
      </c>
      <c r="N821" s="267">
        <f t="shared" si="61"/>
        <v>1.9154748080188231</v>
      </c>
      <c r="O821" s="267">
        <f>IF(IFERROR(INDEX('Both teabags AfterDry'!$D$3:$D$900,MATCH(J821,'Both teabags AfterDry'!$A$3:$A$900,0)),"")="","",(IFERROR(INDEX('Both teabags AfterDry'!$D$3:$D$900,MATCH(J821,'Both teabags AfterDry'!$A$3:$A$900,0)),"")))</f>
        <v>1.9824999999999999</v>
      </c>
      <c r="P821" s="267">
        <f>IFERROR(IF(O821&gt;0,O821-(TBIcalc!$Q$9),""),"")</f>
        <v>1.8318999999999999</v>
      </c>
      <c r="Q821" s="278">
        <f>IFERROR(INDEX('Ashed teabags dry'!$K$2:$K$825,MATCH(J821,'Ashed teabags dry'!$A$2:$A$825,0)),"")</f>
        <v>4.4153323629310188</v>
      </c>
      <c r="R821" s="278">
        <f t="shared" si="62"/>
        <v>1.7510155264434666</v>
      </c>
      <c r="S821" s="268">
        <f>'Dry_Litterbag Placem_Collection'!E162</f>
        <v>42939</v>
      </c>
      <c r="T821" s="268">
        <f>IF('Dry_Litterbag Placem_Collection'!G162="","",'Dry_Litterbag Placem_Collection'!G162)</f>
        <v>43010</v>
      </c>
      <c r="U821" s="269">
        <f t="shared" si="60"/>
        <v>71</v>
      </c>
      <c r="V821" s="267">
        <f t="shared" si="63"/>
        <v>0.12830000000000008</v>
      </c>
      <c r="W821" s="267">
        <f t="shared" si="64"/>
        <v>0.1644592815753565</v>
      </c>
      <c r="X821" s="271">
        <f>IFERROR(INDEX(Rainfall_Dry!$O$2:$O$217,MATCH(B821, Rainfall_Dry!$A$2:$A$217,0)),"")</f>
        <v>137.19979645800001</v>
      </c>
      <c r="Y821" s="260">
        <v>27.96</v>
      </c>
      <c r="Z821" s="260">
        <v>4.9200000000000017</v>
      </c>
      <c r="AA821" s="260">
        <v>67.12</v>
      </c>
      <c r="AB821" s="261" t="s">
        <v>2670</v>
      </c>
      <c r="AC821" s="260">
        <v>8.0437161163134494</v>
      </c>
      <c r="AD821">
        <f>IF('WetLitterbags placem_collection'!AB162="","",'WetLitterbags placem_collection'!AB162)</f>
        <v>0.8</v>
      </c>
      <c r="AE821">
        <f>IF('WetLitterbags placem_collection'!Z162="","",'WetLitterbags placem_collection'!Z162)</f>
        <v>10.8</v>
      </c>
      <c r="AF821" s="246" t="str">
        <f>IF('WetLitterbags placem_collection'!AA162="","",'WetLitterbags placem_collection'!AA162)</f>
        <v>O</v>
      </c>
      <c r="AG821">
        <f>IF('WetLitterbags placem_collection'!AC162="","",'WetLitterbags placem_collection'!AC162)</f>
        <v>0</v>
      </c>
      <c r="AH821">
        <f>IFERROR(AVERAGE('Dry_Litterbag Placem_Collection'!O162,'Dry_Litterbag Placem_Collection'!R162),"")</f>
        <v>6.25</v>
      </c>
      <c r="AI821" s="271">
        <f>IFERROR(AVERAGE('Dry_Litterbag Placem_Collection'!N162,'Dry_Litterbag Placem_Collection'!Q162),"")</f>
        <v>29.200000000000003</v>
      </c>
      <c r="AJ821" s="270">
        <f>INDEX(Coordinates!$B$2:$B$197,MATCH(G821,Coordinates!$J$2:$J$197,0))</f>
        <v>-2.367547005</v>
      </c>
      <c r="AK821" s="270">
        <f>INDEX(Coordinates!$C$2:$C$197,MATCH(G821,Coordinates!$J$2:$J$197,0))</f>
        <v>34.059494989999997</v>
      </c>
      <c r="AL821" s="270" t="str">
        <f>IF(ISNUMBER(SEARCH("C", 'Dry_Litterbag Placem_Collection'!V162)),"YES","NO")</f>
        <v>NO</v>
      </c>
      <c r="AM821" s="270" t="str">
        <f>IF(ISNUMBER(SEARCH("H", 'Dry_Litterbag Placem_Collection'!V162)),"YES","NO")</f>
        <v>NO</v>
      </c>
      <c r="AN821" s="270" t="str">
        <f>IF(ISNUMBER(SEARCH("R", 'Dry_Litterbag Placem_Collection'!V162)),"YES","NO")</f>
        <v>NO</v>
      </c>
    </row>
    <row r="822" spans="1:40" ht="15" customHeight="1">
      <c r="A822" s="262" t="s">
        <v>2659</v>
      </c>
      <c r="B822" s="263">
        <f>'Dry_Litterbag Placem_Collection'!A163</f>
        <v>161</v>
      </c>
      <c r="C822" s="263" t="str">
        <f>'Dry_Litterbag Placem_Collection'!B163</f>
        <v>Handajega</v>
      </c>
      <c r="D822" s="263" t="s">
        <v>2460</v>
      </c>
      <c r="E822" s="263" t="s">
        <v>2661</v>
      </c>
      <c r="F822" s="263">
        <v>1</v>
      </c>
      <c r="G822" s="264" t="str">
        <f>'Dry_Litterbag Placem_Collection'!C163</f>
        <v>Wet_W1_T1</v>
      </c>
      <c r="H822" s="273" t="s">
        <v>3651</v>
      </c>
      <c r="I822" s="274" t="s">
        <v>298</v>
      </c>
      <c r="J822" s="263" t="str">
        <f>IF(ISBLANK('Dry_Litterbag Placem_Collection'!M163),"","R"&amp;""&amp;'Dry_Litterbag Placem_Collection'!M163)</f>
        <v>R314</v>
      </c>
      <c r="K822" s="267">
        <f>IFERROR(INDEX('Green_rooibos initial weight'!$C$5:$C$1749,MATCH(J822, 'Green_rooibos initial weight'!$A$5:$A$1749,0)),"")</f>
        <v>2.17</v>
      </c>
      <c r="L822" s="267">
        <f>IFERROR(K822-(TBIcalc!$Q$9+TBIcalc!$Q$10),"")</f>
        <v>1.9201999999999999</v>
      </c>
      <c r="M822" s="391">
        <f>AVERAGE(Ashed_controlls!$K$12:$K$14)</f>
        <v>2.2816647271287041</v>
      </c>
      <c r="N822" s="267">
        <f t="shared" si="61"/>
        <v>1.8763874739096746</v>
      </c>
      <c r="O822" s="267">
        <f>IF(IFERROR(INDEX('Both teabags AfterDry'!$D$3:$D$900,MATCH(J822,'Both teabags AfterDry'!$A$3:$A$900,0)),"")="","",(IFERROR(INDEX('Both teabags AfterDry'!$D$3:$D$900,MATCH(J822,'Both teabags AfterDry'!$A$3:$A$900,0)),"")))</f>
        <v>1.7397</v>
      </c>
      <c r="P822" s="267">
        <f>IFERROR(IF(O822&gt;0,O822-(TBIcalc!$Q$9),""),"")</f>
        <v>1.5891</v>
      </c>
      <c r="Q822" s="278">
        <f>IFERROR(INDEX('Ashed teabags dry'!$K$2:$K$825,MATCH(J822,'Ashed teabags dry'!$A$2:$A$825,0)),"")</f>
        <v>4.8425011753644043</v>
      </c>
      <c r="R822" s="278">
        <f t="shared" si="62"/>
        <v>1.5121478138222841</v>
      </c>
      <c r="S822" s="268">
        <f>'Dry_Litterbag Placem_Collection'!E163</f>
        <v>42940</v>
      </c>
      <c r="T822" s="268">
        <f>IF('Dry_Litterbag Placem_Collection'!G163="","",'Dry_Litterbag Placem_Collection'!G163)</f>
        <v>43009</v>
      </c>
      <c r="U822" s="269">
        <f t="shared" si="60"/>
        <v>69</v>
      </c>
      <c r="V822" s="267">
        <f t="shared" si="63"/>
        <v>0.33109999999999995</v>
      </c>
      <c r="W822" s="267">
        <f t="shared" si="64"/>
        <v>0.3642396600873905</v>
      </c>
      <c r="X822" s="271">
        <f>IFERROR(INDEX(Rainfall_Dry!$O$2:$O$217,MATCH(B822, Rainfall_Dry!$A$2:$A$217,0)),"")</f>
        <v>162.634207253</v>
      </c>
      <c r="Y822" s="260">
        <v>21.96</v>
      </c>
      <c r="Z822" s="260">
        <v>4.9199999999999982</v>
      </c>
      <c r="AA822" s="260">
        <v>73.12</v>
      </c>
      <c r="AB822" s="261" t="s">
        <v>2670</v>
      </c>
      <c r="AC822" s="260">
        <v>1.2416954164613114</v>
      </c>
      <c r="AD822">
        <f>IF('WetLitterbags placem_collection'!AB163="","",'WetLitterbags placem_collection'!AB163)</f>
        <v>7.6</v>
      </c>
      <c r="AE822">
        <f>IF('WetLitterbags placem_collection'!Z163="","",'WetLitterbags placem_collection'!Z163)</f>
        <v>35.799999999999997</v>
      </c>
      <c r="AF822" s="246" t="str">
        <f>IF('WetLitterbags placem_collection'!AA163="","",'WetLitterbags placem_collection'!AA163)</f>
        <v>M</v>
      </c>
      <c r="AG822">
        <f>IF('WetLitterbags placem_collection'!AC163="","",'WetLitterbags placem_collection'!AC163)</f>
        <v>0</v>
      </c>
      <c r="AH822">
        <f>IFERROR(AVERAGE('Dry_Litterbag Placem_Collection'!O163,'Dry_Litterbag Placem_Collection'!R163),"")</f>
        <v>5.65</v>
      </c>
      <c r="AI822" s="271">
        <f>IFERROR(AVERAGE('Dry_Litterbag Placem_Collection'!N163,'Dry_Litterbag Placem_Collection'!Q163),"")</f>
        <v>31.7</v>
      </c>
      <c r="AJ822" s="270">
        <f>INDEX(Coordinates!$B$2:$B$197,MATCH(G822,Coordinates!$J$2:$J$197,0))</f>
        <v>-2.272751033</v>
      </c>
      <c r="AK822" s="270">
        <f>INDEX(Coordinates!$C$2:$C$197,MATCH(G822,Coordinates!$J$2:$J$197,0))</f>
        <v>34.023176030000002</v>
      </c>
      <c r="AL822" s="270" t="str">
        <f>IF(ISNUMBER(SEARCH("C", 'Dry_Litterbag Placem_Collection'!V163)),"YES","NO")</f>
        <v>NO</v>
      </c>
      <c r="AM822" s="270" t="str">
        <f>IF(ISNUMBER(SEARCH("H", 'Dry_Litterbag Placem_Collection'!V163)),"YES","NO")</f>
        <v>NO</v>
      </c>
      <c r="AN822" s="270" t="str">
        <f>IF(ISNUMBER(SEARCH("R", 'Dry_Litterbag Placem_Collection'!V163)),"YES","NO")</f>
        <v>NO</v>
      </c>
    </row>
    <row r="823" spans="1:40" ht="15" customHeight="1">
      <c r="A823" s="262" t="s">
        <v>2659</v>
      </c>
      <c r="B823" s="263">
        <f>'Dry_Litterbag Placem_Collection'!A164</f>
        <v>162</v>
      </c>
      <c r="C823" s="263" t="str">
        <f>'Dry_Litterbag Placem_Collection'!B164</f>
        <v>Handajega</v>
      </c>
      <c r="D823" s="263" t="s">
        <v>2460</v>
      </c>
      <c r="E823" s="263" t="s">
        <v>2661</v>
      </c>
      <c r="F823" s="263">
        <v>1</v>
      </c>
      <c r="G823" s="264" t="str">
        <f>'Dry_Litterbag Placem_Collection'!C164</f>
        <v>Wet_W1_T2</v>
      </c>
      <c r="H823" s="273" t="s">
        <v>3651</v>
      </c>
      <c r="I823" s="274" t="s">
        <v>298</v>
      </c>
      <c r="J823" s="263" t="str">
        <f>IF(ISBLANK('Dry_Litterbag Placem_Collection'!M164),"","R"&amp;""&amp;'Dry_Litterbag Placem_Collection'!M164)</f>
        <v>R425</v>
      </c>
      <c r="K823" s="267">
        <f>IFERROR(INDEX('Green_rooibos initial weight'!$C$5:$C$1749,MATCH(J823, 'Green_rooibos initial weight'!$A$5:$A$1749,0)),"")</f>
        <v>2.25</v>
      </c>
      <c r="L823" s="267">
        <f>IFERROR(K823-(TBIcalc!$Q$9+TBIcalc!$Q$10),"")</f>
        <v>2.0002</v>
      </c>
      <c r="M823" s="391">
        <f>AVERAGE(Ashed_controlls!$K$12:$K$14)</f>
        <v>2.2816647271287041</v>
      </c>
      <c r="N823" s="267">
        <f t="shared" si="61"/>
        <v>1.9545621421279717</v>
      </c>
      <c r="O823" s="267">
        <f>IF(IFERROR(INDEX('Both teabags AfterDry'!$D$3:$D$900,MATCH(J823,'Both teabags AfterDry'!$A$3:$A$900,0)),"")="","",(IFERROR(INDEX('Both teabags AfterDry'!$D$3:$D$900,MATCH(J823,'Both teabags AfterDry'!$A$3:$A$900,0)),"")))</f>
        <v>1.8856999999999999</v>
      </c>
      <c r="P823" s="267">
        <f>IFERROR(IF(O823&gt;0,O823-(TBIcalc!$Q$9),""),"")</f>
        <v>1.7350999999999999</v>
      </c>
      <c r="Q823" s="278">
        <f>IFERROR(INDEX('Ashed teabags dry'!$K$2:$K$825,MATCH(J823,'Ashed teabags dry'!$A$2:$A$825,0)),"")</f>
        <v>6.8486590038315791</v>
      </c>
      <c r="R823" s="278">
        <f t="shared" si="62"/>
        <v>1.6162689176245182</v>
      </c>
      <c r="S823" s="268">
        <f>'Dry_Litterbag Placem_Collection'!E164</f>
        <v>42940</v>
      </c>
      <c r="T823" s="268">
        <f>IF('Dry_Litterbag Placem_Collection'!G164="","",'Dry_Litterbag Placem_Collection'!G164)</f>
        <v>43009</v>
      </c>
      <c r="U823" s="269">
        <f t="shared" si="60"/>
        <v>69</v>
      </c>
      <c r="V823" s="267">
        <f t="shared" si="63"/>
        <v>0.26510000000000011</v>
      </c>
      <c r="W823" s="267">
        <f t="shared" si="64"/>
        <v>0.33829322450345356</v>
      </c>
      <c r="X823" s="271">
        <f>IFERROR(INDEX(Rainfall_Dry!$O$2:$O$217,MATCH(B823, Rainfall_Dry!$A$2:$A$217,0)),"")</f>
        <v>162.634207253</v>
      </c>
      <c r="Y823" s="260">
        <v>21.96</v>
      </c>
      <c r="Z823" s="260">
        <v>4.9199999999999982</v>
      </c>
      <c r="AA823" s="260">
        <v>73.12</v>
      </c>
      <c r="AB823" s="261" t="s">
        <v>2670</v>
      </c>
      <c r="AC823" s="260">
        <v>2.2416954164613099</v>
      </c>
      <c r="AD823">
        <f>IF('WetLitterbags placem_collection'!AB164="","",'WetLitterbags placem_collection'!AB164)</f>
        <v>4.0999999999999996</v>
      </c>
      <c r="AE823">
        <f>IF('WetLitterbags placem_collection'!Z164="","",'WetLitterbags placem_collection'!Z164)</f>
        <v>31.4</v>
      </c>
      <c r="AF823" s="246" t="str">
        <f>IF('WetLitterbags placem_collection'!AA164="","",'WetLitterbags placem_collection'!AA164)</f>
        <v>M</v>
      </c>
      <c r="AG823">
        <f>IF('WetLitterbags placem_collection'!AC164="","",'WetLitterbags placem_collection'!AC164)</f>
        <v>0</v>
      </c>
      <c r="AH823">
        <f>IFERROR(AVERAGE('Dry_Litterbag Placem_Collection'!O164,'Dry_Litterbag Placem_Collection'!R164),"")</f>
        <v>4.4499999999999993</v>
      </c>
      <c r="AI823" s="271">
        <f>IFERROR(AVERAGE('Dry_Litterbag Placem_Collection'!N164,'Dry_Litterbag Placem_Collection'!Q164),"")</f>
        <v>31.650000000000002</v>
      </c>
      <c r="AJ823" s="270">
        <f>INDEX(Coordinates!$B$2:$B$197,MATCH(G823,Coordinates!$J$2:$J$197,0))</f>
        <v>-2.2727060219999999</v>
      </c>
      <c r="AK823" s="270">
        <f>INDEX(Coordinates!$C$2:$C$197,MATCH(G823,Coordinates!$J$2:$J$197,0))</f>
        <v>34.023162030000002</v>
      </c>
      <c r="AL823" s="270" t="str">
        <f>IF(ISNUMBER(SEARCH("C", 'Dry_Litterbag Placem_Collection'!V164)),"YES","NO")</f>
        <v>NO</v>
      </c>
      <c r="AM823" s="270" t="str">
        <f>IF(ISNUMBER(SEARCH("H", 'Dry_Litterbag Placem_Collection'!V164)),"YES","NO")</f>
        <v>NO</v>
      </c>
      <c r="AN823" s="270" t="str">
        <f>IF(ISNUMBER(SEARCH("R", 'Dry_Litterbag Placem_Collection'!V164)),"YES","NO")</f>
        <v>NO</v>
      </c>
    </row>
    <row r="824" spans="1:40" ht="15" customHeight="1">
      <c r="A824" s="262" t="s">
        <v>2659</v>
      </c>
      <c r="B824" s="263">
        <f>'Dry_Litterbag Placem_Collection'!A165</f>
        <v>163</v>
      </c>
      <c r="C824" s="263" t="str">
        <f>'Dry_Litterbag Placem_Collection'!B165</f>
        <v>Handajega</v>
      </c>
      <c r="D824" s="263" t="s">
        <v>2460</v>
      </c>
      <c r="E824" s="263" t="s">
        <v>2661</v>
      </c>
      <c r="F824" s="263">
        <v>1</v>
      </c>
      <c r="G824" s="264" t="str">
        <f>'Dry_Litterbag Placem_Collection'!C165</f>
        <v>Wet_W1_T3</v>
      </c>
      <c r="H824" s="273" t="s">
        <v>3651</v>
      </c>
      <c r="I824" s="274" t="s">
        <v>298</v>
      </c>
      <c r="J824" s="263" t="str">
        <f>IF(ISBLANK('Dry_Litterbag Placem_Collection'!M165),"","R"&amp;""&amp;'Dry_Litterbag Placem_Collection'!M165)</f>
        <v>R267</v>
      </c>
      <c r="K824" s="267">
        <f>IFERROR(INDEX('Green_rooibos initial weight'!$C$5:$C$1749,MATCH(J824, 'Green_rooibos initial weight'!$A$5:$A$1749,0)),"")</f>
        <v>2.1930000000000001</v>
      </c>
      <c r="L824" s="267">
        <f>IFERROR(K824-(TBIcalc!$Q$9+TBIcalc!$Q$10),"")</f>
        <v>1.9432</v>
      </c>
      <c r="M824" s="391">
        <f>AVERAGE(Ashed_controlls!$K$12:$K$14)</f>
        <v>2.2816647271287041</v>
      </c>
      <c r="N824" s="267">
        <f t="shared" si="61"/>
        <v>1.8988626910224351</v>
      </c>
      <c r="O824" s="267">
        <f>IF(IFERROR(INDEX('Both teabags AfterDry'!$D$3:$D$900,MATCH(J824,'Both teabags AfterDry'!$A$3:$A$900,0)),"")="","",(IFERROR(INDEX('Both teabags AfterDry'!$D$3:$D$900,MATCH(J824,'Both teabags AfterDry'!$A$3:$A$900,0)),"")))</f>
        <v>1.7754000000000001</v>
      </c>
      <c r="P824" s="267">
        <f>IFERROR(IF(O824&gt;0,O824-(TBIcalc!$Q$9),""),"")</f>
        <v>1.6248</v>
      </c>
      <c r="Q824" s="278">
        <f>IFERROR(INDEX('Ashed teabags dry'!$K$2:$K$825,MATCH(J824,'Ashed teabags dry'!$A$2:$A$825,0)),"")</f>
        <v>9.0049751243772</v>
      </c>
      <c r="R824" s="278">
        <f t="shared" si="62"/>
        <v>1.4784871641791193</v>
      </c>
      <c r="S824" s="268">
        <f>'Dry_Litterbag Placem_Collection'!E165</f>
        <v>42940</v>
      </c>
      <c r="T824" s="268">
        <f>IF('Dry_Litterbag Placem_Collection'!G165="","",'Dry_Litterbag Placem_Collection'!G165)</f>
        <v>43009</v>
      </c>
      <c r="U824" s="269">
        <f t="shared" si="60"/>
        <v>69</v>
      </c>
      <c r="V824" s="267">
        <f t="shared" si="63"/>
        <v>0.31840000000000002</v>
      </c>
      <c r="W824" s="267">
        <f t="shared" si="64"/>
        <v>0.42037552684331581</v>
      </c>
      <c r="X824" s="271">
        <f>IFERROR(INDEX(Rainfall_Dry!$O$2:$O$217,MATCH(B824, Rainfall_Dry!$A$2:$A$217,0)),"")</f>
        <v>162.634207253</v>
      </c>
      <c r="Y824" s="260">
        <v>21.96</v>
      </c>
      <c r="Z824" s="260">
        <v>4.9199999999999982</v>
      </c>
      <c r="AA824" s="260">
        <v>73.12</v>
      </c>
      <c r="AB824" s="261" t="s">
        <v>2670</v>
      </c>
      <c r="AC824" s="260">
        <v>3.2416954164613099</v>
      </c>
      <c r="AD824">
        <f>IF('WetLitterbags placem_collection'!AB165="","",'WetLitterbags placem_collection'!AB165)</f>
        <v>7.8</v>
      </c>
      <c r="AE824">
        <f>IF('WetLitterbags placem_collection'!Z165="","",'WetLitterbags placem_collection'!Z165)</f>
        <v>28.8</v>
      </c>
      <c r="AF824" s="246" t="str">
        <f>IF('WetLitterbags placem_collection'!AA165="","",'WetLitterbags placem_collection'!AA165)</f>
        <v>M</v>
      </c>
      <c r="AG824">
        <f>IF('WetLitterbags placem_collection'!AC165="","",'WetLitterbags placem_collection'!AC165)</f>
        <v>0</v>
      </c>
      <c r="AH824">
        <f>IFERROR(AVERAGE('Dry_Litterbag Placem_Collection'!O165,'Dry_Litterbag Placem_Collection'!R165),"")</f>
        <v>4.45</v>
      </c>
      <c r="AI824" s="271">
        <f>IFERROR(AVERAGE('Dry_Litterbag Placem_Collection'!N165,'Dry_Litterbag Placem_Collection'!Q165),"")</f>
        <v>32.75</v>
      </c>
      <c r="AJ824" s="270">
        <f>INDEX(Coordinates!$B$2:$B$197,MATCH(G824,Coordinates!$J$2:$J$197,0))</f>
        <v>-2.2726719919999998</v>
      </c>
      <c r="AK824" s="270">
        <f>INDEX(Coordinates!$C$2:$C$197,MATCH(G824,Coordinates!$J$2:$J$197,0))</f>
        <v>34.023210980000002</v>
      </c>
      <c r="AL824" s="270" t="str">
        <f>IF(ISNUMBER(SEARCH("C", 'Dry_Litterbag Placem_Collection'!V165)),"YES","NO")</f>
        <v>NO</v>
      </c>
      <c r="AM824" s="270" t="str">
        <f>IF(ISNUMBER(SEARCH("H", 'Dry_Litterbag Placem_Collection'!V165)),"YES","NO")</f>
        <v>NO</v>
      </c>
      <c r="AN824" s="270" t="str">
        <f>IF(ISNUMBER(SEARCH("R", 'Dry_Litterbag Placem_Collection'!V165)),"YES","NO")</f>
        <v>NO</v>
      </c>
    </row>
    <row r="825" spans="1:40" ht="15" customHeight="1">
      <c r="A825" s="262" t="s">
        <v>2659</v>
      </c>
      <c r="B825" s="263">
        <f>'Dry_Litterbag Placem_Collection'!A166</f>
        <v>164</v>
      </c>
      <c r="C825" s="263" t="str">
        <f>'Dry_Litterbag Placem_Collection'!B166</f>
        <v>Handajega</v>
      </c>
      <c r="D825" s="263" t="s">
        <v>2460</v>
      </c>
      <c r="E825" s="263" t="s">
        <v>2661</v>
      </c>
      <c r="F825" s="263">
        <v>1</v>
      </c>
      <c r="G825" s="264" t="str">
        <f>'Dry_Litterbag Placem_Collection'!C166</f>
        <v>Wet_W1_T4</v>
      </c>
      <c r="H825" s="273" t="s">
        <v>3651</v>
      </c>
      <c r="I825" s="274" t="s">
        <v>298</v>
      </c>
      <c r="J825" s="263" t="str">
        <f>IF(ISBLANK('Dry_Litterbag Placem_Collection'!M166),"","R"&amp;""&amp;'Dry_Litterbag Placem_Collection'!M166)</f>
        <v>R211</v>
      </c>
      <c r="K825" s="267">
        <f>IFERROR(INDEX('Green_rooibos initial weight'!$C$5:$C$1749,MATCH(J825, 'Green_rooibos initial weight'!$A$5:$A$1749,0)),"")</f>
        <v>2.2389999999999999</v>
      </c>
      <c r="L825" s="267">
        <f>IFERROR(K825-(TBIcalc!$Q$9+TBIcalc!$Q$10),"")</f>
        <v>1.9891999999999999</v>
      </c>
      <c r="M825" s="391">
        <f>AVERAGE(Ashed_controlls!$K$12:$K$14)</f>
        <v>2.2816647271287041</v>
      </c>
      <c r="N825" s="267">
        <f t="shared" si="61"/>
        <v>1.9438131252479556</v>
      </c>
      <c r="O825" s="267">
        <f>IF(IFERROR(INDEX('Both teabags AfterDry'!$D$3:$D$900,MATCH(J825,'Both teabags AfterDry'!$A$3:$A$900,0)),"")="","",(IFERROR(INDEX('Both teabags AfterDry'!$D$3:$D$900,MATCH(J825,'Both teabags AfterDry'!$A$3:$A$900,0)),"")))</f>
        <v>1.7732000000000001</v>
      </c>
      <c r="P825" s="267">
        <f>IFERROR(IF(O825&gt;0,O825-(TBIcalc!$Q$9),""),"")</f>
        <v>1.6226</v>
      </c>
      <c r="Q825" s="278">
        <f>IFERROR(INDEX('Ashed teabags dry'!$K$2:$K$825,MATCH(J825,'Ashed teabags dry'!$A$2:$A$825,0)),"")</f>
        <v>6.3861386138614789</v>
      </c>
      <c r="R825" s="278">
        <f t="shared" si="62"/>
        <v>1.5189785148514836</v>
      </c>
      <c r="S825" s="268">
        <f>'Dry_Litterbag Placem_Collection'!E166</f>
        <v>42940</v>
      </c>
      <c r="T825" s="268">
        <f>IF('Dry_Litterbag Placem_Collection'!G166="","",'Dry_Litterbag Placem_Collection'!G166)</f>
        <v>43009</v>
      </c>
      <c r="U825" s="269">
        <f t="shared" si="60"/>
        <v>69</v>
      </c>
      <c r="V825" s="267">
        <f t="shared" si="63"/>
        <v>0.36659999999999981</v>
      </c>
      <c r="W825" s="267">
        <f t="shared" si="64"/>
        <v>0.42483461039647197</v>
      </c>
      <c r="X825" s="271">
        <f>IFERROR(INDEX(Rainfall_Dry!$O$2:$O$217,MATCH(B825, Rainfall_Dry!$A$2:$A$217,0)),"")</f>
        <v>162.634207253</v>
      </c>
      <c r="Y825" s="260">
        <v>21.96</v>
      </c>
      <c r="Z825" s="260">
        <v>4.9199999999999982</v>
      </c>
      <c r="AA825" s="260">
        <v>73.12</v>
      </c>
      <c r="AB825" s="261" t="s">
        <v>2670</v>
      </c>
      <c r="AC825" s="260">
        <v>4.2416954164613099</v>
      </c>
      <c r="AD825">
        <f>IF('WetLitterbags placem_collection'!AB166="","",'WetLitterbags placem_collection'!AB166)</f>
        <v>9.5</v>
      </c>
      <c r="AE825">
        <f>IF('WetLitterbags placem_collection'!Z166="","",'WetLitterbags placem_collection'!Z166)</f>
        <v>20.8</v>
      </c>
      <c r="AF825" s="246" t="str">
        <f>IF('WetLitterbags placem_collection'!AA166="","",'WetLitterbags placem_collection'!AA166)</f>
        <v>M</v>
      </c>
      <c r="AG825">
        <f>IF('WetLitterbags placem_collection'!AC166="","",'WetLitterbags placem_collection'!AC166)</f>
        <v>0</v>
      </c>
      <c r="AH825">
        <f>IFERROR(AVERAGE('Dry_Litterbag Placem_Collection'!O166,'Dry_Litterbag Placem_Collection'!R166),"")</f>
        <v>5.0500000000000007</v>
      </c>
      <c r="AI825" s="271">
        <f>IFERROR(AVERAGE('Dry_Litterbag Placem_Collection'!N166,'Dry_Litterbag Placem_Collection'!Q166),"")</f>
        <v>31.3</v>
      </c>
      <c r="AJ825" s="270">
        <f>INDEX(Coordinates!$B$2:$B$197,MATCH(G825,Coordinates!$J$2:$J$197,0))</f>
        <v>-2.2726180130000002</v>
      </c>
      <c r="AK825" s="270">
        <f>INDEX(Coordinates!$C$2:$C$197,MATCH(G825,Coordinates!$J$2:$J$197,0))</f>
        <v>34.023212999999998</v>
      </c>
      <c r="AL825" s="270" t="str">
        <f>IF(ISNUMBER(SEARCH("C", 'Dry_Litterbag Placem_Collection'!V166)),"YES","NO")</f>
        <v>NO</v>
      </c>
      <c r="AM825" s="270" t="str">
        <f>IF(ISNUMBER(SEARCH("H", 'Dry_Litterbag Placem_Collection'!V166)),"YES","NO")</f>
        <v>NO</v>
      </c>
      <c r="AN825" s="270" t="str">
        <f>IF(ISNUMBER(SEARCH("R", 'Dry_Litterbag Placem_Collection'!V166)),"YES","NO")</f>
        <v>YES</v>
      </c>
    </row>
    <row r="826" spans="1:40" ht="15" customHeight="1">
      <c r="A826" s="262" t="s">
        <v>2659</v>
      </c>
      <c r="B826" s="263">
        <f>'Dry_Litterbag Placem_Collection'!A167</f>
        <v>165</v>
      </c>
      <c r="C826" s="263" t="str">
        <f>'Dry_Litterbag Placem_Collection'!B167</f>
        <v>Handajega</v>
      </c>
      <c r="D826" s="263" t="s">
        <v>2460</v>
      </c>
      <c r="E826" s="263" t="s">
        <v>2661</v>
      </c>
      <c r="F826" s="263">
        <v>1</v>
      </c>
      <c r="G826" s="264" t="str">
        <f>'Dry_Litterbag Placem_Collection'!C167</f>
        <v>Wet_W1_T5</v>
      </c>
      <c r="H826" s="273" t="s">
        <v>3651</v>
      </c>
      <c r="I826" s="274" t="s">
        <v>298</v>
      </c>
      <c r="J826" s="263" t="str">
        <f>IF(ISBLANK('Dry_Litterbag Placem_Collection'!M167),"","R"&amp;""&amp;'Dry_Litterbag Placem_Collection'!M167)</f>
        <v>R310</v>
      </c>
      <c r="K826" s="267">
        <f>IFERROR(INDEX('Green_rooibos initial weight'!$C$5:$C$1749,MATCH(J826, 'Green_rooibos initial weight'!$A$5:$A$1749,0)),"")</f>
        <v>2.2170000000000001</v>
      </c>
      <c r="L826" s="267">
        <f>IFERROR(K826-(TBIcalc!$Q$9+TBIcalc!$Q$10),"")</f>
        <v>1.9672000000000001</v>
      </c>
      <c r="M826" s="391">
        <f>AVERAGE(Ashed_controlls!$K$12:$K$14)</f>
        <v>2.2816647271287041</v>
      </c>
      <c r="N826" s="267">
        <f t="shared" si="61"/>
        <v>1.9223150914879241</v>
      </c>
      <c r="O826" s="267">
        <f>IF(IFERROR(INDEX('Both teabags AfterDry'!$D$3:$D$900,MATCH(J826,'Both teabags AfterDry'!$A$3:$A$900,0)),"")="","",(IFERROR(INDEX('Both teabags AfterDry'!$D$3:$D$900,MATCH(J826,'Both teabags AfterDry'!$A$3:$A$900,0)),"")))</f>
        <v>1.7559</v>
      </c>
      <c r="P826" s="267">
        <f>IFERROR(IF(O826&gt;0,O826-(TBIcalc!$Q$9),""),"")</f>
        <v>1.6052999999999999</v>
      </c>
      <c r="Q826" s="278">
        <f>IFERROR(INDEX('Ashed teabags dry'!$K$2:$K$825,MATCH(J826,'Ashed teabags dry'!$A$2:$A$825,0)),"")</f>
        <v>4.4911610129003776</v>
      </c>
      <c r="R826" s="278">
        <f t="shared" si="62"/>
        <v>1.5332033922599102</v>
      </c>
      <c r="S826" s="268">
        <f>'Dry_Litterbag Placem_Collection'!E167</f>
        <v>42940</v>
      </c>
      <c r="T826" s="268">
        <f>IF('Dry_Litterbag Placem_Collection'!G167="","",'Dry_Litterbag Placem_Collection'!G167)</f>
        <v>43009</v>
      </c>
      <c r="U826" s="269">
        <f t="shared" si="60"/>
        <v>69</v>
      </c>
      <c r="V826" s="267">
        <f t="shared" si="63"/>
        <v>0.36190000000000011</v>
      </c>
      <c r="W826" s="267">
        <f t="shared" si="64"/>
        <v>0.38911169922801392</v>
      </c>
      <c r="X826" s="271">
        <f>IFERROR(INDEX(Rainfall_Dry!$O$2:$O$217,MATCH(B826, Rainfall_Dry!$A$2:$A$217,0)),"")</f>
        <v>162.634207253</v>
      </c>
      <c r="Y826" s="260">
        <v>21.96</v>
      </c>
      <c r="Z826" s="260">
        <v>4.9199999999999982</v>
      </c>
      <c r="AA826" s="260">
        <v>73.12</v>
      </c>
      <c r="AB826" s="261" t="s">
        <v>2670</v>
      </c>
      <c r="AC826" s="260">
        <v>5.2416954164613099</v>
      </c>
      <c r="AD826">
        <f>IF('WetLitterbags placem_collection'!AB167="","",'WetLitterbags placem_collection'!AB167)</f>
        <v>10.4</v>
      </c>
      <c r="AE826">
        <f>IF('WetLitterbags placem_collection'!Z167="","",'WetLitterbags placem_collection'!Z167)</f>
        <v>13.8</v>
      </c>
      <c r="AF826" s="246" t="str">
        <f>IF('WetLitterbags placem_collection'!AA167="","",'WetLitterbags placem_collection'!AA167)</f>
        <v>M</v>
      </c>
      <c r="AG826">
        <f>IF('WetLitterbags placem_collection'!AC167="","",'WetLitterbags placem_collection'!AC167)</f>
        <v>0</v>
      </c>
      <c r="AH826">
        <f>IFERROR(AVERAGE('Dry_Litterbag Placem_Collection'!O167,'Dry_Litterbag Placem_Collection'!R167),"")</f>
        <v>5.3000000000000007</v>
      </c>
      <c r="AI826" s="271">
        <f>IFERROR(AVERAGE('Dry_Litterbag Placem_Collection'!N167,'Dry_Litterbag Placem_Collection'!Q167),"")</f>
        <v>32.049999999999997</v>
      </c>
      <c r="AJ826" s="270">
        <f>INDEX(Coordinates!$B$2:$B$197,MATCH(G826,Coordinates!$J$2:$J$197,0))</f>
        <v>-2.2724750170000001</v>
      </c>
      <c r="AK826" s="270">
        <f>INDEX(Coordinates!$C$2:$C$197,MATCH(G826,Coordinates!$J$2:$J$197,0))</f>
        <v>34.02334501</v>
      </c>
      <c r="AL826" s="270" t="str">
        <f>IF(ISNUMBER(SEARCH("C", 'Dry_Litterbag Placem_Collection'!V167)),"YES","NO")</f>
        <v>NO</v>
      </c>
      <c r="AM826" s="270" t="str">
        <f>IF(ISNUMBER(SEARCH("H", 'Dry_Litterbag Placem_Collection'!V167)),"YES","NO")</f>
        <v>NO</v>
      </c>
      <c r="AN826" s="270" t="str">
        <f>IF(ISNUMBER(SEARCH("R", 'Dry_Litterbag Placem_Collection'!V167)),"YES","NO")</f>
        <v>NO</v>
      </c>
    </row>
    <row r="827" spans="1:40" ht="15" customHeight="1">
      <c r="A827" s="262" t="s">
        <v>2659</v>
      </c>
      <c r="B827" s="263">
        <f>'Dry_Litterbag Placem_Collection'!A168</f>
        <v>166</v>
      </c>
      <c r="C827" s="263" t="str">
        <f>'Dry_Litterbag Placem_Collection'!B168</f>
        <v>Handajega</v>
      </c>
      <c r="D827" s="263" t="s">
        <v>2460</v>
      </c>
      <c r="E827" s="263" t="s">
        <v>2661</v>
      </c>
      <c r="F827" s="263">
        <v>1</v>
      </c>
      <c r="G827" s="264" t="str">
        <f>'Dry_Litterbag Placem_Collection'!C168</f>
        <v>Wet_W1_T6</v>
      </c>
      <c r="H827" s="273" t="s">
        <v>3651</v>
      </c>
      <c r="I827" s="274" t="s">
        <v>298</v>
      </c>
      <c r="J827" s="263" t="str">
        <f>IF(ISBLANK('Dry_Litterbag Placem_Collection'!M168),"","R"&amp;""&amp;'Dry_Litterbag Placem_Collection'!M168)</f>
        <v>R269</v>
      </c>
      <c r="K827" s="267">
        <f>IFERROR(INDEX('Green_rooibos initial weight'!$C$5:$C$1749,MATCH(J827, 'Green_rooibos initial weight'!$A$5:$A$1749,0)),"")</f>
        <v>2.278</v>
      </c>
      <c r="L827" s="267">
        <f>IFERROR(K827-(TBIcalc!$Q$9+TBIcalc!$Q$10),"")</f>
        <v>2.0282</v>
      </c>
      <c r="M827" s="391">
        <f>AVERAGE(Ashed_controlls!$K$12:$K$14)</f>
        <v>2.2816647271287041</v>
      </c>
      <c r="N827" s="267">
        <f t="shared" si="61"/>
        <v>1.9819232760043757</v>
      </c>
      <c r="O827" s="267">
        <f>IF(IFERROR(INDEX('Both teabags AfterDry'!$D$3:$D$900,MATCH(J827,'Both teabags AfterDry'!$A$3:$A$900,0)),"")="","",(IFERROR(INDEX('Both teabags AfterDry'!$D$3:$D$900,MATCH(J827,'Both teabags AfterDry'!$A$3:$A$900,0)),"")))</f>
        <v>1.8042</v>
      </c>
      <c r="P827" s="267">
        <f>IFERROR(IF(O827&gt;0,O827-(TBIcalc!$Q$9),""),"")</f>
        <v>1.6536</v>
      </c>
      <c r="Q827" s="278">
        <f>IFERROR(INDEX('Ashed teabags dry'!$K$2:$K$825,MATCH(J827,'Ashed teabags dry'!$A$2:$A$825,0)),"")</f>
        <v>8.1481481481479836</v>
      </c>
      <c r="R827" s="278">
        <f t="shared" si="62"/>
        <v>1.518862222222225</v>
      </c>
      <c r="S827" s="268">
        <f>'Dry_Litterbag Placem_Collection'!E168</f>
        <v>42940</v>
      </c>
      <c r="T827" s="268">
        <f>IF('Dry_Litterbag Placem_Collection'!G168="","",'Dry_Litterbag Placem_Collection'!G168)</f>
        <v>43009</v>
      </c>
      <c r="U827" s="269">
        <f t="shared" si="60"/>
        <v>69</v>
      </c>
      <c r="V827" s="267">
        <f t="shared" si="63"/>
        <v>0.37460000000000004</v>
      </c>
      <c r="W827" s="267">
        <f t="shared" si="64"/>
        <v>0.46306105378215068</v>
      </c>
      <c r="X827" s="271">
        <f>IFERROR(INDEX(Rainfall_Dry!$O$2:$O$217,MATCH(B827, Rainfall_Dry!$A$2:$A$217,0)),"")</f>
        <v>162.634207253</v>
      </c>
      <c r="Y827" s="260">
        <v>21.96</v>
      </c>
      <c r="Z827" s="260">
        <v>4.9199999999999982</v>
      </c>
      <c r="AA827" s="260">
        <v>73.12</v>
      </c>
      <c r="AB827" s="261" t="s">
        <v>2670</v>
      </c>
      <c r="AC827" s="260">
        <v>6.2416954164613099</v>
      </c>
      <c r="AD827">
        <f>IF('WetLitterbags placem_collection'!AB168="","",'WetLitterbags placem_collection'!AB168)</f>
        <v>2.1</v>
      </c>
      <c r="AE827">
        <f>IF('WetLitterbags placem_collection'!Z168="","",'WetLitterbags placem_collection'!Z168)</f>
        <v>4.7</v>
      </c>
      <c r="AF827" s="246" t="str">
        <f>IF('WetLitterbags placem_collection'!AA168="","",'WetLitterbags placem_collection'!AA168)</f>
        <v>M</v>
      </c>
      <c r="AG827">
        <f>IF('WetLitterbags placem_collection'!AC168="","",'WetLitterbags placem_collection'!AC168)</f>
        <v>0</v>
      </c>
      <c r="AH827">
        <f>IFERROR(AVERAGE('Dry_Litterbag Placem_Collection'!O168,'Dry_Litterbag Placem_Collection'!R168),"")</f>
        <v>5.15</v>
      </c>
      <c r="AI827" s="271">
        <f>IFERROR(AVERAGE('Dry_Litterbag Placem_Collection'!N168,'Dry_Litterbag Placem_Collection'!Q168),"")</f>
        <v>33.25</v>
      </c>
      <c r="AJ827" s="270">
        <f>INDEX(Coordinates!$B$2:$B$197,MATCH(G827,Coordinates!$J$2:$J$197,0))</f>
        <v>-2.2725490289999999</v>
      </c>
      <c r="AK827" s="270">
        <f>INDEX(Coordinates!$C$2:$C$197,MATCH(G827,Coordinates!$J$2:$J$197,0))</f>
        <v>34.022886020000001</v>
      </c>
      <c r="AL827" s="270" t="str">
        <f>IF(ISNUMBER(SEARCH("C", 'Dry_Litterbag Placem_Collection'!V168)),"YES","NO")</f>
        <v>NO</v>
      </c>
      <c r="AM827" s="270" t="str">
        <f>IF(ISNUMBER(SEARCH("H", 'Dry_Litterbag Placem_Collection'!V168)),"YES","NO")</f>
        <v>NO</v>
      </c>
      <c r="AN827" s="270" t="str">
        <f>IF(ISNUMBER(SEARCH("R", 'Dry_Litterbag Placem_Collection'!V168)),"YES","NO")</f>
        <v>NO</v>
      </c>
    </row>
    <row r="828" spans="1:40" ht="15" customHeight="1">
      <c r="A828" s="262" t="s">
        <v>2659</v>
      </c>
      <c r="B828" s="263">
        <f>'Dry_Litterbag Placem_Collection'!A169</f>
        <v>167</v>
      </c>
      <c r="C828" s="263" t="str">
        <f>'Dry_Litterbag Placem_Collection'!B169</f>
        <v>Handajega</v>
      </c>
      <c r="D828" s="263" t="s">
        <v>2460</v>
      </c>
      <c r="E828" s="263" t="s">
        <v>2661</v>
      </c>
      <c r="F828" s="263">
        <v>1</v>
      </c>
      <c r="G828" s="264" t="str">
        <f>'Dry_Litterbag Placem_Collection'!C169</f>
        <v>Wet_W1_T7</v>
      </c>
      <c r="H828" s="273" t="s">
        <v>3651</v>
      </c>
      <c r="I828" s="274" t="s">
        <v>298</v>
      </c>
      <c r="J828" s="263" t="str">
        <f>IF(ISBLANK('Dry_Litterbag Placem_Collection'!M169),"","R"&amp;""&amp;'Dry_Litterbag Placem_Collection'!M169)</f>
        <v/>
      </c>
      <c r="K828" s="267" t="str">
        <f>IFERROR(INDEX('Green_rooibos initial weight'!$C$5:$C$1749,MATCH(J828, 'Green_rooibos initial weight'!$A$5:$A$1749,0)),"")</f>
        <v/>
      </c>
      <c r="L828" s="267" t="str">
        <f>IFERROR(K828-(TBIcalc!$Q$9+TBIcalc!$Q$10),"")</f>
        <v/>
      </c>
      <c r="M828" s="391">
        <f>AVERAGE(Ashed_controlls!$K$12:$K$14)</f>
        <v>2.2816647271287041</v>
      </c>
      <c r="N828" s="267" t="str">
        <f t="shared" si="61"/>
        <v/>
      </c>
      <c r="O828" s="267" t="str">
        <f>IF(IFERROR(INDEX('Both teabags AfterDry'!$D$3:$D$900,MATCH(J828,'Both teabags AfterDry'!$A$3:$A$900,0)),"")="","",(IFERROR(INDEX('Both teabags AfterDry'!$D$3:$D$900,MATCH(J828,'Both teabags AfterDry'!$A$3:$A$900,0)),"")))</f>
        <v/>
      </c>
      <c r="P828" s="267" t="str">
        <f>IFERROR(IF(O828&gt;0,O828-(TBIcalc!$Q$9),""),"")</f>
        <v/>
      </c>
      <c r="Q828" s="278" t="str">
        <f>IFERROR(INDEX('Ashed teabags dry'!$K$2:$K$825,MATCH(J828,'Ashed teabags dry'!$A$2:$A$825,0)),"")</f>
        <v/>
      </c>
      <c r="R828" s="278" t="str">
        <f t="shared" si="62"/>
        <v/>
      </c>
      <c r="S828" s="268">
        <f>'Dry_Litterbag Placem_Collection'!E169</f>
        <v>0</v>
      </c>
      <c r="T828" s="268" t="str">
        <f>IF('Dry_Litterbag Placem_Collection'!G169="","",'Dry_Litterbag Placem_Collection'!G169)</f>
        <v/>
      </c>
      <c r="U828" s="269" t="str">
        <f t="shared" si="60"/>
        <v/>
      </c>
      <c r="V828" s="267" t="str">
        <f t="shared" si="63"/>
        <v/>
      </c>
      <c r="W828" s="267" t="str">
        <f t="shared" si="64"/>
        <v/>
      </c>
      <c r="X828" s="271" t="str">
        <f>IFERROR(INDEX(Rainfall_Dry!$O$2:$O$217,MATCH(B828, Rainfall_Dry!$A$2:$A$217,0)),"")</f>
        <v/>
      </c>
      <c r="Y828" s="260">
        <v>21.96</v>
      </c>
      <c r="Z828" s="260">
        <v>4.9199999999999982</v>
      </c>
      <c r="AA828" s="260">
        <v>73.12</v>
      </c>
      <c r="AB828" s="261" t="s">
        <v>2670</v>
      </c>
      <c r="AC828" s="260">
        <v>7.2416954164613099</v>
      </c>
      <c r="AD828">
        <f>IF('WetLitterbags placem_collection'!AB169="","",'WetLitterbags placem_collection'!AB169)</f>
        <v>5.6</v>
      </c>
      <c r="AE828">
        <f>IF('WetLitterbags placem_collection'!Z169="","",'WetLitterbags placem_collection'!Z169)</f>
        <v>4.2</v>
      </c>
      <c r="AF828" s="246" t="str">
        <f>IF('WetLitterbags placem_collection'!AA169="","",'WetLitterbags placem_collection'!AA169)</f>
        <v>M</v>
      </c>
      <c r="AG828">
        <f>IF('WetLitterbags placem_collection'!AC169="","",'WetLitterbags placem_collection'!AC169)</f>
        <v>1</v>
      </c>
      <c r="AH828" t="str">
        <f>IFERROR(AVERAGE('Dry_Litterbag Placem_Collection'!O169,'Dry_Litterbag Placem_Collection'!R169),"")</f>
        <v/>
      </c>
      <c r="AI828" s="271" t="str">
        <f>IFERROR(AVERAGE('Dry_Litterbag Placem_Collection'!N169,'Dry_Litterbag Placem_Collection'!Q169),"")</f>
        <v/>
      </c>
      <c r="AJ828" s="270">
        <f>INDEX(Coordinates!$B$2:$B$197,MATCH(G828,Coordinates!$J$2:$J$197,0))</f>
        <v>-2.2729950310000002</v>
      </c>
      <c r="AK828" s="270">
        <f>INDEX(Coordinates!$C$2:$C$197,MATCH(G828,Coordinates!$J$2:$J$197,0))</f>
        <v>34.022923990000002</v>
      </c>
      <c r="AL828" s="270" t="str">
        <f>IF(ISNUMBER(SEARCH("C", 'Dry_Litterbag Placem_Collection'!V169)),"YES","NO")</f>
        <v>NO</v>
      </c>
      <c r="AM828" s="270" t="str">
        <f>IF(ISNUMBER(SEARCH("H", 'Dry_Litterbag Placem_Collection'!V169)),"YES","NO")</f>
        <v>NO</v>
      </c>
      <c r="AN828" s="270" t="str">
        <f>IF(ISNUMBER(SEARCH("R", 'Dry_Litterbag Placem_Collection'!V169)),"YES","NO")</f>
        <v>NO</v>
      </c>
    </row>
    <row r="829" spans="1:40" ht="15" customHeight="1">
      <c r="A829" s="262" t="s">
        <v>2659</v>
      </c>
      <c r="B829" s="263">
        <f>'Dry_Litterbag Placem_Collection'!A170</f>
        <v>168</v>
      </c>
      <c r="C829" s="263" t="str">
        <f>'Dry_Litterbag Placem_Collection'!B170</f>
        <v>Handajega</v>
      </c>
      <c r="D829" s="263" t="s">
        <v>2460</v>
      </c>
      <c r="E829" s="263" t="s">
        <v>2661</v>
      </c>
      <c r="F829" s="263">
        <v>1</v>
      </c>
      <c r="G829" s="264" t="str">
        <f>'Dry_Litterbag Placem_Collection'!C170</f>
        <v>Wet_W1_T8</v>
      </c>
      <c r="H829" s="273" t="s">
        <v>3651</v>
      </c>
      <c r="I829" s="274" t="s">
        <v>298</v>
      </c>
      <c r="J829" s="263" t="str">
        <f>IF(ISBLANK('Dry_Litterbag Placem_Collection'!M170),"","R"&amp;""&amp;'Dry_Litterbag Placem_Collection'!M170)</f>
        <v>R413</v>
      </c>
      <c r="K829" s="267">
        <f>IFERROR(INDEX('Green_rooibos initial weight'!$C$5:$C$1749,MATCH(J829, 'Green_rooibos initial weight'!$A$5:$A$1749,0)),"")</f>
        <v>2.214</v>
      </c>
      <c r="L829" s="267">
        <f>IFERROR(K829-(TBIcalc!$Q$9+TBIcalc!$Q$10),"")</f>
        <v>1.9641999999999999</v>
      </c>
      <c r="M829" s="391">
        <f>AVERAGE(Ashed_controlls!$K$12:$K$14)</f>
        <v>2.2816647271287041</v>
      </c>
      <c r="N829" s="267">
        <f t="shared" si="61"/>
        <v>1.919383541429738</v>
      </c>
      <c r="O829" s="267" t="str">
        <f>IF(IFERROR(INDEX('Both teabags AfterDry'!$D$3:$D$900,MATCH(J829,'Both teabags AfterDry'!$A$3:$A$900,0)),"")="","",(IFERROR(INDEX('Both teabags AfterDry'!$D$3:$D$900,MATCH(J829,'Both teabags AfterDry'!$A$3:$A$900,0)),"")))</f>
        <v/>
      </c>
      <c r="P829" s="267" t="str">
        <f>IFERROR(IF(O829&gt;0,O829-(TBIcalc!$Q$9),""),"")</f>
        <v/>
      </c>
      <c r="Q829" s="278" t="str">
        <f>IFERROR(INDEX('Ashed teabags dry'!$K$2:$K$825,MATCH(J829,'Ashed teabags dry'!$A$2:$A$825,0)),"")</f>
        <v/>
      </c>
      <c r="R829" s="278" t="str">
        <f t="shared" si="62"/>
        <v/>
      </c>
      <c r="S829" s="268">
        <f>'Dry_Litterbag Placem_Collection'!E170</f>
        <v>42940</v>
      </c>
      <c r="T829" s="268">
        <f>IF('Dry_Litterbag Placem_Collection'!G170="","",'Dry_Litterbag Placem_Collection'!G170)</f>
        <v>43009</v>
      </c>
      <c r="U829" s="269">
        <f t="shared" si="60"/>
        <v>69</v>
      </c>
      <c r="V829" s="267" t="str">
        <f t="shared" si="63"/>
        <v/>
      </c>
      <c r="W829" s="267" t="str">
        <f t="shared" si="64"/>
        <v/>
      </c>
      <c r="X829" s="271">
        <f>IFERROR(INDEX(Rainfall_Dry!$O$2:$O$217,MATCH(B829, Rainfall_Dry!$A$2:$A$217,0)),"")</f>
        <v>162.634207253</v>
      </c>
      <c r="Y829" s="260">
        <v>21.96</v>
      </c>
      <c r="Z829" s="260">
        <v>4.9199999999999982</v>
      </c>
      <c r="AA829" s="260">
        <v>73.12</v>
      </c>
      <c r="AB829" s="261" t="s">
        <v>2670</v>
      </c>
      <c r="AC829" s="260">
        <v>8.2416954164613099</v>
      </c>
      <c r="AD829">
        <f>IF('WetLitterbags placem_collection'!AB170="","",'WetLitterbags placem_collection'!AB170)</f>
        <v>2.4</v>
      </c>
      <c r="AE829">
        <f>IF('WetLitterbags placem_collection'!Z170="","",'WetLitterbags placem_collection'!Z170)</f>
        <v>46</v>
      </c>
      <c r="AF829" s="246" t="str">
        <f>IF('WetLitterbags placem_collection'!AA170="","",'WetLitterbags placem_collection'!AA170)</f>
        <v>M</v>
      </c>
      <c r="AG829">
        <f>IF('WetLitterbags placem_collection'!AC170="","",'WetLitterbags placem_collection'!AC170)</f>
        <v>0</v>
      </c>
      <c r="AH829">
        <f>IFERROR(AVERAGE('Dry_Litterbag Placem_Collection'!O170,'Dry_Litterbag Placem_Collection'!R170),"")</f>
        <v>4.0999999999999996</v>
      </c>
      <c r="AI829" s="271">
        <f>IFERROR(AVERAGE('Dry_Litterbag Placem_Collection'!N170,'Dry_Litterbag Placem_Collection'!Q170),"")</f>
        <v>30.15</v>
      </c>
      <c r="AJ829" s="270">
        <f>INDEX(Coordinates!$B$2:$B$197,MATCH(G829,Coordinates!$J$2:$J$197,0))</f>
        <v>-2.2729129719999999</v>
      </c>
      <c r="AK829" s="270">
        <f>INDEX(Coordinates!$C$2:$C$197,MATCH(G829,Coordinates!$J$2:$J$197,0))</f>
        <v>34.023350039999997</v>
      </c>
      <c r="AL829" s="270" t="str">
        <f>IF(ISNUMBER(SEARCH("C", 'Dry_Litterbag Placem_Collection'!V170)),"YES","NO")</f>
        <v>NO</v>
      </c>
      <c r="AM829" s="270" t="str">
        <f>IF(ISNUMBER(SEARCH("H", 'Dry_Litterbag Placem_Collection'!V170)),"YES","NO")</f>
        <v>NO</v>
      </c>
      <c r="AN829" s="270" t="str">
        <f>IF(ISNUMBER(SEARCH("R", 'Dry_Litterbag Placem_Collection'!V170)),"YES","NO")</f>
        <v>YES</v>
      </c>
    </row>
    <row r="830" spans="1:40" ht="15" customHeight="1">
      <c r="A830" s="262" t="s">
        <v>2659</v>
      </c>
      <c r="B830" s="263">
        <f>'Dry_Litterbag Placem_Collection'!A171</f>
        <v>169</v>
      </c>
      <c r="C830" s="263" t="str">
        <f>'Dry_Litterbag Placem_Collection'!B171</f>
        <v>Handajega</v>
      </c>
      <c r="D830" s="263" t="s">
        <v>2460</v>
      </c>
      <c r="E830" s="263" t="s">
        <v>2661</v>
      </c>
      <c r="F830" s="263">
        <v>2</v>
      </c>
      <c r="G830" s="264" t="str">
        <f>'Dry_Litterbag Placem_Collection'!C171</f>
        <v>Wet_W2_T1</v>
      </c>
      <c r="H830" s="273" t="s">
        <v>3651</v>
      </c>
      <c r="I830" s="274" t="s">
        <v>298</v>
      </c>
      <c r="J830" s="263" t="str">
        <f>IF(ISBLANK('Dry_Litterbag Placem_Collection'!M171),"","R"&amp;""&amp;'Dry_Litterbag Placem_Collection'!M171)</f>
        <v>R80</v>
      </c>
      <c r="K830" s="267">
        <f>IFERROR(INDEX('Green_rooibos initial weight'!$C$5:$C$1749,MATCH(J830, 'Green_rooibos initial weight'!$A$5:$A$1749,0)),"")</f>
        <v>2.177</v>
      </c>
      <c r="L830" s="267">
        <f>IFERROR(K830-(TBIcalc!$Q$9+TBIcalc!$Q$10),"")</f>
        <v>1.9272</v>
      </c>
      <c r="M830" s="391">
        <f>AVERAGE(Ashed_controlls!$K$12:$K$14)</f>
        <v>2.2816647271287041</v>
      </c>
      <c r="N830" s="267">
        <f t="shared" si="61"/>
        <v>1.8832277573787757</v>
      </c>
      <c r="O830" s="267">
        <f>IF(IFERROR(INDEX('Both teabags AfterDry'!$D$3:$D$900,MATCH(J830,'Both teabags AfterDry'!$A$3:$A$900,0)),"")="","",(IFERROR(INDEX('Both teabags AfterDry'!$D$3:$D$900,MATCH(J830,'Both teabags AfterDry'!$A$3:$A$900,0)),"")))</f>
        <v>1.8815999999999999</v>
      </c>
      <c r="P830" s="267">
        <f>IFERROR(IF(O830&gt;0,O830-(TBIcalc!$Q$9),""),"")</f>
        <v>1.7309999999999999</v>
      </c>
      <c r="Q830" s="278">
        <f>IFERROR(INDEX('Ashed teabags dry'!$K$2:$K$825,MATCH(J830,'Ashed teabags dry'!$A$2:$A$825,0)),"")</f>
        <v>12.458706937234023</v>
      </c>
      <c r="R830" s="278">
        <f t="shared" si="62"/>
        <v>1.515339782916479</v>
      </c>
      <c r="S830" s="268">
        <f>'Dry_Litterbag Placem_Collection'!E171</f>
        <v>42940</v>
      </c>
      <c r="T830" s="268">
        <f>IF('Dry_Litterbag Placem_Collection'!G171="","",'Dry_Litterbag Placem_Collection'!G171)</f>
        <v>43009</v>
      </c>
      <c r="U830" s="269">
        <f t="shared" si="60"/>
        <v>69</v>
      </c>
      <c r="V830" s="267">
        <f t="shared" si="63"/>
        <v>0.19620000000000015</v>
      </c>
      <c r="W830" s="267">
        <f t="shared" si="64"/>
        <v>0.36788797446229671</v>
      </c>
      <c r="X830" s="271">
        <f>IFERROR(INDEX(Rainfall_Dry!$O$2:$O$217,MATCH(B830, Rainfall_Dry!$A$2:$A$217,0)),"")</f>
        <v>162.634207253</v>
      </c>
      <c r="Y830" s="260">
        <v>23.96</v>
      </c>
      <c r="Z830" s="260">
        <v>4.9199999999999982</v>
      </c>
      <c r="AA830" s="260">
        <v>71.12</v>
      </c>
      <c r="AB830" s="261" t="s">
        <v>2670</v>
      </c>
      <c r="AC830" s="260">
        <v>3.30913750616067</v>
      </c>
      <c r="AD830">
        <f>IF('WetLitterbags placem_collection'!AB171="","",'WetLitterbags placem_collection'!AB171)</f>
        <v>8.1999999999999993</v>
      </c>
      <c r="AE830">
        <f>IF('WetLitterbags placem_collection'!Z171="","",'WetLitterbags placem_collection'!Z171)</f>
        <v>11.4</v>
      </c>
      <c r="AF830" s="246" t="str">
        <f>IF('WetLitterbags placem_collection'!AA171="","",'WetLitterbags placem_collection'!AA171)</f>
        <v>O</v>
      </c>
      <c r="AG830">
        <f>IF('WetLitterbags placem_collection'!AC171="","",'WetLitterbags placem_collection'!AC171)</f>
        <v>1</v>
      </c>
      <c r="AH830">
        <f>IFERROR(AVERAGE('Dry_Litterbag Placem_Collection'!O171,'Dry_Litterbag Placem_Collection'!R171),"")</f>
        <v>6.65</v>
      </c>
      <c r="AI830" s="271">
        <f>IFERROR(AVERAGE('Dry_Litterbag Placem_Collection'!N171,'Dry_Litterbag Placem_Collection'!Q171),"")</f>
        <v>35.049999999999997</v>
      </c>
      <c r="AJ830" s="270">
        <f>INDEX(Coordinates!$B$2:$B$197,MATCH(G830,Coordinates!$J$2:$J$197,0))</f>
        <v>-2.2784290180000002</v>
      </c>
      <c r="AK830" s="270">
        <f>INDEX(Coordinates!$C$2:$C$197,MATCH(G830,Coordinates!$J$2:$J$197,0))</f>
        <v>34.024240030000001</v>
      </c>
      <c r="AL830" s="270" t="str">
        <f>IF(ISNUMBER(SEARCH("C", 'Dry_Litterbag Placem_Collection'!V171)),"YES","NO")</f>
        <v>NO</v>
      </c>
      <c r="AM830" s="270" t="str">
        <f>IF(ISNUMBER(SEARCH("H", 'Dry_Litterbag Placem_Collection'!V171)),"YES","NO")</f>
        <v>NO</v>
      </c>
      <c r="AN830" s="270" t="str">
        <f>IF(ISNUMBER(SEARCH("R", 'Dry_Litterbag Placem_Collection'!V171)),"YES","NO")</f>
        <v>YES</v>
      </c>
    </row>
    <row r="831" spans="1:40" ht="15" customHeight="1">
      <c r="A831" s="262" t="s">
        <v>2659</v>
      </c>
      <c r="B831" s="263">
        <f>'Dry_Litterbag Placem_Collection'!A172</f>
        <v>170</v>
      </c>
      <c r="C831" s="263" t="str">
        <f>'Dry_Litterbag Placem_Collection'!B172</f>
        <v>Handajega</v>
      </c>
      <c r="D831" s="263" t="s">
        <v>2460</v>
      </c>
      <c r="E831" s="263" t="s">
        <v>2661</v>
      </c>
      <c r="F831" s="263">
        <v>2</v>
      </c>
      <c r="G831" s="264" t="str">
        <f>'Dry_Litterbag Placem_Collection'!C172</f>
        <v>Wet_W2_T2</v>
      </c>
      <c r="H831" s="273" t="s">
        <v>3651</v>
      </c>
      <c r="I831" s="274" t="s">
        <v>298</v>
      </c>
      <c r="J831" s="263" t="str">
        <f>IF(ISBLANK('Dry_Litterbag Placem_Collection'!M172),"","R"&amp;""&amp;'Dry_Litterbag Placem_Collection'!M172)</f>
        <v>R208</v>
      </c>
      <c r="K831" s="267">
        <f>IFERROR(INDEX('Green_rooibos initial weight'!$C$5:$C$1749,MATCH(J831, 'Green_rooibos initial weight'!$A$5:$A$1749,0)),"")</f>
        <v>2.2250000000000001</v>
      </c>
      <c r="L831" s="267">
        <f>IFERROR(K831-(TBIcalc!$Q$9+TBIcalc!$Q$10),"")</f>
        <v>1.9752000000000001</v>
      </c>
      <c r="M831" s="391">
        <f>AVERAGE(Ashed_controlls!$K$12:$K$14)</f>
        <v>2.2816647271287041</v>
      </c>
      <c r="N831" s="267">
        <f t="shared" si="61"/>
        <v>1.9301325583097539</v>
      </c>
      <c r="O831" s="267">
        <f>IF(IFERROR(INDEX('Both teabags AfterDry'!$D$3:$D$900,MATCH(J831,'Both teabags AfterDry'!$A$3:$A$900,0)),"")="","",(IFERROR(INDEX('Both teabags AfterDry'!$D$3:$D$900,MATCH(J831,'Both teabags AfterDry'!$A$3:$A$900,0)),"")))</f>
        <v>1.8463000000000001</v>
      </c>
      <c r="P831" s="267">
        <f>IFERROR(IF(O831&gt;0,O831-(TBIcalc!$Q$9),""),"")</f>
        <v>1.6957</v>
      </c>
      <c r="Q831" s="278">
        <f>IFERROR(INDEX('Ashed teabags dry'!$K$2:$K$825,MATCH(J831,'Ashed teabags dry'!$A$2:$A$825,0)),"")</f>
        <v>5.3697597739049137</v>
      </c>
      <c r="R831" s="278">
        <f t="shared" si="62"/>
        <v>1.6046449835138943</v>
      </c>
      <c r="S831" s="268">
        <f>'Dry_Litterbag Placem_Collection'!E172</f>
        <v>42940</v>
      </c>
      <c r="T831" s="268">
        <f>IF('Dry_Litterbag Placem_Collection'!G172="","",'Dry_Litterbag Placem_Collection'!G172)</f>
        <v>43009</v>
      </c>
      <c r="U831" s="269">
        <f t="shared" si="60"/>
        <v>69</v>
      </c>
      <c r="V831" s="267">
        <f t="shared" si="63"/>
        <v>0.27950000000000008</v>
      </c>
      <c r="W831" s="267">
        <f t="shared" si="64"/>
        <v>0.32548757479585966</v>
      </c>
      <c r="X831" s="271">
        <f>IFERROR(INDEX(Rainfall_Dry!$O$2:$O$217,MATCH(B831, Rainfall_Dry!$A$2:$A$217,0)),"")</f>
        <v>162.634207253</v>
      </c>
      <c r="Y831" s="260">
        <v>23.96</v>
      </c>
      <c r="Z831" s="260">
        <v>4.9199999999999982</v>
      </c>
      <c r="AA831" s="260">
        <v>71.12</v>
      </c>
      <c r="AB831" s="261" t="s">
        <v>2670</v>
      </c>
      <c r="AC831" s="260">
        <v>4.3091375061606696</v>
      </c>
      <c r="AD831">
        <f>IF('WetLitterbags placem_collection'!AB172="","",'WetLitterbags placem_collection'!AB172)</f>
        <v>7.7</v>
      </c>
      <c r="AE831">
        <f>IF('WetLitterbags placem_collection'!Z172="","",'WetLitterbags placem_collection'!Z172)</f>
        <v>15.8</v>
      </c>
      <c r="AF831" s="246" t="str">
        <f>IF('WetLitterbags placem_collection'!AA172="","",'WetLitterbags placem_collection'!AA172)</f>
        <v>O</v>
      </c>
      <c r="AG831">
        <f>IF('WetLitterbags placem_collection'!AC172="","",'WetLitterbags placem_collection'!AC172)</f>
        <v>1</v>
      </c>
      <c r="AH831">
        <f>IFERROR(AVERAGE('Dry_Litterbag Placem_Collection'!O172,'Dry_Litterbag Placem_Collection'!R172),"")</f>
        <v>6.1</v>
      </c>
      <c r="AI831" s="271">
        <f>IFERROR(AVERAGE('Dry_Litterbag Placem_Collection'!N172,'Dry_Litterbag Placem_Collection'!Q172),"")</f>
        <v>33.950000000000003</v>
      </c>
      <c r="AJ831" s="270">
        <f>INDEX(Coordinates!$B$2:$B$197,MATCH(G831,Coordinates!$J$2:$J$197,0))</f>
        <v>-2.2784629650000001</v>
      </c>
      <c r="AK831" s="270">
        <f>INDEX(Coordinates!$C$2:$C$197,MATCH(G831,Coordinates!$J$2:$J$197,0))</f>
        <v>34.024177999999999</v>
      </c>
      <c r="AL831" s="270" t="str">
        <f>IF(ISNUMBER(SEARCH("C", 'Dry_Litterbag Placem_Collection'!V172)),"YES","NO")</f>
        <v>NO</v>
      </c>
      <c r="AM831" s="270" t="str">
        <f>IF(ISNUMBER(SEARCH("H", 'Dry_Litterbag Placem_Collection'!V172)),"YES","NO")</f>
        <v>NO</v>
      </c>
      <c r="AN831" s="270" t="str">
        <f>IF(ISNUMBER(SEARCH("R", 'Dry_Litterbag Placem_Collection'!V172)),"YES","NO")</f>
        <v>NO</v>
      </c>
    </row>
    <row r="832" spans="1:40" ht="15" customHeight="1">
      <c r="A832" s="262" t="s">
        <v>2659</v>
      </c>
      <c r="B832" s="263">
        <f>'Dry_Litterbag Placem_Collection'!A173</f>
        <v>171</v>
      </c>
      <c r="C832" s="263" t="str">
        <f>'Dry_Litterbag Placem_Collection'!B173</f>
        <v>Handajega</v>
      </c>
      <c r="D832" s="263" t="s">
        <v>2460</v>
      </c>
      <c r="E832" s="263" t="s">
        <v>2661</v>
      </c>
      <c r="F832" s="263">
        <v>2</v>
      </c>
      <c r="G832" s="264" t="str">
        <f>'Dry_Litterbag Placem_Collection'!C173</f>
        <v>Wet_W2_T3</v>
      </c>
      <c r="H832" s="273" t="s">
        <v>3651</v>
      </c>
      <c r="I832" s="274" t="s">
        <v>298</v>
      </c>
      <c r="J832" s="263" t="str">
        <f>IF(ISBLANK('Dry_Litterbag Placem_Collection'!M173),"","R"&amp;""&amp;'Dry_Litterbag Placem_Collection'!M173)</f>
        <v>R633</v>
      </c>
      <c r="K832" s="267">
        <f>IFERROR(INDEX('Green_rooibos initial weight'!$C$5:$C$1749,MATCH(J832, 'Green_rooibos initial weight'!$A$5:$A$1749,0)),"")</f>
        <v>2.0760000000000001</v>
      </c>
      <c r="L832" s="267">
        <f>IFERROR(K832-(TBIcalc!$Q$9+TBIcalc!$Q$10),"")</f>
        <v>1.8262</v>
      </c>
      <c r="M832" s="391">
        <f>AVERAGE(Ashed_controlls!$K$12:$K$14)</f>
        <v>2.2816647271287041</v>
      </c>
      <c r="N832" s="267">
        <f t="shared" si="61"/>
        <v>1.7845322387531757</v>
      </c>
      <c r="O832" s="267">
        <f>IF(IFERROR(INDEX('Both teabags AfterDry'!$D$3:$D$900,MATCH(J832,'Both teabags AfterDry'!$A$3:$A$900,0)),"")="","",(IFERROR(INDEX('Both teabags AfterDry'!$D$3:$D$900,MATCH(J832,'Both teabags AfterDry'!$A$3:$A$900,0)),"")))</f>
        <v>1.6096999999999999</v>
      </c>
      <c r="P832" s="267">
        <f>IFERROR(IF(O832&gt;0,O832-(TBIcalc!$Q$9),""),"")</f>
        <v>1.4590999999999998</v>
      </c>
      <c r="Q832" s="278">
        <f>IFERROR(INDEX('Ashed teabags dry'!$K$2:$K$825,MATCH(J832,'Ashed teabags dry'!$A$2:$A$825,0)),"")</f>
        <v>5.8156727451944334</v>
      </c>
      <c r="R832" s="278">
        <f t="shared" si="62"/>
        <v>1.3742435189748679</v>
      </c>
      <c r="S832" s="268">
        <f>'Dry_Litterbag Placem_Collection'!E173</f>
        <v>42940</v>
      </c>
      <c r="T832" s="268">
        <f>IF('Dry_Litterbag Placem_Collection'!G173="","",'Dry_Litterbag Placem_Collection'!G173)</f>
        <v>43009</v>
      </c>
      <c r="U832" s="269">
        <f t="shared" si="60"/>
        <v>69</v>
      </c>
      <c r="V832" s="267">
        <f t="shared" si="63"/>
        <v>0.3671000000000002</v>
      </c>
      <c r="W832" s="267">
        <f t="shared" si="64"/>
        <v>0.41028871977830783</v>
      </c>
      <c r="X832" s="271">
        <f>IFERROR(INDEX(Rainfall_Dry!$O$2:$O$217,MATCH(B832, Rainfall_Dry!$A$2:$A$217,0)),"")</f>
        <v>162.634207253</v>
      </c>
      <c r="Y832" s="260">
        <v>23.96</v>
      </c>
      <c r="Z832" s="260">
        <v>4.9199999999999982</v>
      </c>
      <c r="AA832" s="260">
        <v>71.12</v>
      </c>
      <c r="AB832" s="261" t="s">
        <v>2670</v>
      </c>
      <c r="AC832" s="260">
        <v>5.3091375061606696</v>
      </c>
      <c r="AD832">
        <f>IF('WetLitterbags placem_collection'!AB173="","",'WetLitterbags placem_collection'!AB173)</f>
        <v>13.4</v>
      </c>
      <c r="AE832">
        <f>IF('WetLitterbags placem_collection'!Z173="","",'WetLitterbags placem_collection'!Z173)</f>
        <v>7.6</v>
      </c>
      <c r="AF832" s="246" t="str">
        <f>IF('WetLitterbags placem_collection'!AA173="","",'WetLitterbags placem_collection'!AA173)</f>
        <v>O</v>
      </c>
      <c r="AG832">
        <f>IF('WetLitterbags placem_collection'!AC173="","",'WetLitterbags placem_collection'!AC173)</f>
        <v>1</v>
      </c>
      <c r="AH832">
        <f>IFERROR(AVERAGE('Dry_Litterbag Placem_Collection'!O173,'Dry_Litterbag Placem_Collection'!R173),"")</f>
        <v>5.6</v>
      </c>
      <c r="AI832" s="271">
        <f>IFERROR(AVERAGE('Dry_Litterbag Placem_Collection'!N173,'Dry_Litterbag Placem_Collection'!Q173),"")</f>
        <v>33</v>
      </c>
      <c r="AJ832" s="270">
        <f>INDEX(Coordinates!$B$2:$B$197,MATCH(G832,Coordinates!$J$2:$J$197,0))</f>
        <v>-2.2785389889999998</v>
      </c>
      <c r="AK832" s="270">
        <f>INDEX(Coordinates!$C$2:$C$197,MATCH(G832,Coordinates!$J$2:$J$197,0))</f>
        <v>34.024371039999998</v>
      </c>
      <c r="AL832" s="270" t="str">
        <f>IF(ISNUMBER(SEARCH("C", 'Dry_Litterbag Placem_Collection'!V173)),"YES","NO")</f>
        <v>NO</v>
      </c>
      <c r="AM832" s="270" t="str">
        <f>IF(ISNUMBER(SEARCH("H", 'Dry_Litterbag Placem_Collection'!V173)),"YES","NO")</f>
        <v>NO</v>
      </c>
      <c r="AN832" s="270" t="str">
        <f>IF(ISNUMBER(SEARCH("R", 'Dry_Litterbag Placem_Collection'!V173)),"YES","NO")</f>
        <v>NO</v>
      </c>
    </row>
    <row r="833" spans="1:40" ht="15" customHeight="1">
      <c r="A833" s="262" t="s">
        <v>2659</v>
      </c>
      <c r="B833" s="263">
        <f>'Dry_Litterbag Placem_Collection'!A174</f>
        <v>172</v>
      </c>
      <c r="C833" s="263" t="str">
        <f>'Dry_Litterbag Placem_Collection'!B174</f>
        <v>Handajega</v>
      </c>
      <c r="D833" s="263" t="s">
        <v>2460</v>
      </c>
      <c r="E833" s="263" t="s">
        <v>2661</v>
      </c>
      <c r="F833" s="263">
        <v>2</v>
      </c>
      <c r="G833" s="264" t="str">
        <f>'Dry_Litterbag Placem_Collection'!C174</f>
        <v>Wet_W2_T4</v>
      </c>
      <c r="H833" s="273" t="s">
        <v>3651</v>
      </c>
      <c r="I833" s="274" t="s">
        <v>298</v>
      </c>
      <c r="J833" s="263" t="str">
        <f>IF(ISBLANK('Dry_Litterbag Placem_Collection'!M174),"","R"&amp;""&amp;'Dry_Litterbag Placem_Collection'!M174)</f>
        <v/>
      </c>
      <c r="K833" s="267" t="str">
        <f>IFERROR(INDEX('Green_rooibos initial weight'!$C$5:$C$1749,MATCH(J833, 'Green_rooibos initial weight'!$A$5:$A$1749,0)),"")</f>
        <v/>
      </c>
      <c r="L833" s="267" t="str">
        <f>IFERROR(K833-(TBIcalc!$Q$9+TBIcalc!$Q$10),"")</f>
        <v/>
      </c>
      <c r="M833" s="391">
        <f>AVERAGE(Ashed_controlls!$K$12:$K$14)</f>
        <v>2.2816647271287041</v>
      </c>
      <c r="N833" s="267" t="str">
        <f t="shared" si="61"/>
        <v/>
      </c>
      <c r="O833" s="267" t="str">
        <f>IF(IFERROR(INDEX('Both teabags AfterDry'!$D$3:$D$900,MATCH(J833,'Both teabags AfterDry'!$A$3:$A$900,0)),"")="","",(IFERROR(INDEX('Both teabags AfterDry'!$D$3:$D$900,MATCH(J833,'Both teabags AfterDry'!$A$3:$A$900,0)),"")))</f>
        <v/>
      </c>
      <c r="P833" s="267" t="str">
        <f>IFERROR(IF(O833&gt;0,O833-(TBIcalc!$Q$9),""),"")</f>
        <v/>
      </c>
      <c r="Q833" s="278" t="str">
        <f>IFERROR(INDEX('Ashed teabags dry'!$K$2:$K$825,MATCH(J833,'Ashed teabags dry'!$A$2:$A$825,0)),"")</f>
        <v/>
      </c>
      <c r="R833" s="278" t="str">
        <f t="shared" si="62"/>
        <v/>
      </c>
      <c r="S833" s="268">
        <f>'Dry_Litterbag Placem_Collection'!E174</f>
        <v>0</v>
      </c>
      <c r="T833" s="268" t="str">
        <f>IF('Dry_Litterbag Placem_Collection'!G174="","",'Dry_Litterbag Placem_Collection'!G174)</f>
        <v/>
      </c>
      <c r="U833" s="269" t="str">
        <f t="shared" si="60"/>
        <v/>
      </c>
      <c r="V833" s="267" t="str">
        <f t="shared" si="63"/>
        <v/>
      </c>
      <c r="W833" s="267" t="str">
        <f t="shared" si="64"/>
        <v/>
      </c>
      <c r="X833" s="271" t="str">
        <f>IFERROR(INDEX(Rainfall_Dry!$O$2:$O$217,MATCH(B833, Rainfall_Dry!$A$2:$A$217,0)),"")</f>
        <v/>
      </c>
      <c r="Y833" s="260">
        <v>23.96</v>
      </c>
      <c r="Z833" s="260">
        <v>4.9199999999999982</v>
      </c>
      <c r="AA833" s="260">
        <v>71.12</v>
      </c>
      <c r="AB833" s="261" t="s">
        <v>2670</v>
      </c>
      <c r="AC833" s="260">
        <v>6.3091375061606696</v>
      </c>
      <c r="AD833">
        <f>IF('WetLitterbags placem_collection'!AB174="","",'WetLitterbags placem_collection'!AB174)</f>
        <v>3.3</v>
      </c>
      <c r="AE833">
        <f>IF('WetLitterbags placem_collection'!Z174="","",'WetLitterbags placem_collection'!Z174)</f>
        <v>28.4</v>
      </c>
      <c r="AF833" s="246" t="str">
        <f>IF('WetLitterbags placem_collection'!AA174="","",'WetLitterbags placem_collection'!AA174)</f>
        <v>G</v>
      </c>
      <c r="AG833">
        <f>IF('WetLitterbags placem_collection'!AC174="","",'WetLitterbags placem_collection'!AC174)</f>
        <v>1</v>
      </c>
      <c r="AH833" t="str">
        <f>IFERROR(AVERAGE('Dry_Litterbag Placem_Collection'!O174,'Dry_Litterbag Placem_Collection'!R174),"")</f>
        <v/>
      </c>
      <c r="AI833" s="271" t="str">
        <f>IFERROR(AVERAGE('Dry_Litterbag Placem_Collection'!N174,'Dry_Litterbag Placem_Collection'!Q174),"")</f>
        <v/>
      </c>
      <c r="AJ833" s="270">
        <f>INDEX(Coordinates!$B$2:$B$197,MATCH(G833,Coordinates!$J$2:$J$197,0))</f>
        <v>-2.2781410160000002</v>
      </c>
      <c r="AK833" s="270">
        <f>INDEX(Coordinates!$C$2:$C$197,MATCH(G833,Coordinates!$J$2:$J$197,0))</f>
        <v>34.024136009999999</v>
      </c>
      <c r="AL833" s="270" t="str">
        <f>IF(ISNUMBER(SEARCH("C", 'Dry_Litterbag Placem_Collection'!V174)),"YES","NO")</f>
        <v>NO</v>
      </c>
      <c r="AM833" s="270" t="str">
        <f>IF(ISNUMBER(SEARCH("H", 'Dry_Litterbag Placem_Collection'!V174)),"YES","NO")</f>
        <v>NO</v>
      </c>
      <c r="AN833" s="270" t="str">
        <f>IF(ISNUMBER(SEARCH("R", 'Dry_Litterbag Placem_Collection'!V174)),"YES","NO")</f>
        <v>NO</v>
      </c>
    </row>
    <row r="834" spans="1:40" ht="15" customHeight="1">
      <c r="A834" s="262" t="s">
        <v>2659</v>
      </c>
      <c r="B834" s="263">
        <f>'Dry_Litterbag Placem_Collection'!A175</f>
        <v>173</v>
      </c>
      <c r="C834" s="263" t="str">
        <f>'Dry_Litterbag Placem_Collection'!B175</f>
        <v>Handajega</v>
      </c>
      <c r="D834" s="263" t="s">
        <v>2460</v>
      </c>
      <c r="E834" s="263" t="s">
        <v>2661</v>
      </c>
      <c r="F834" s="263">
        <v>2</v>
      </c>
      <c r="G834" s="264" t="str">
        <f>'Dry_Litterbag Placem_Collection'!C175</f>
        <v>Wet_W2_T5</v>
      </c>
      <c r="H834" s="273" t="s">
        <v>3651</v>
      </c>
      <c r="I834" s="274" t="s">
        <v>298</v>
      </c>
      <c r="J834" s="263" t="str">
        <f>IF(ISBLANK('Dry_Litterbag Placem_Collection'!M175),"","R"&amp;""&amp;'Dry_Litterbag Placem_Collection'!M175)</f>
        <v>R473</v>
      </c>
      <c r="K834" s="267">
        <f>IFERROR(INDEX('Green_rooibos initial weight'!$C$5:$C$1749,MATCH(J834, 'Green_rooibos initial weight'!$A$5:$A$1749,0)),"")</f>
        <v>2.302</v>
      </c>
      <c r="L834" s="267">
        <f>IFERROR(K834-(TBIcalc!$Q$9+TBIcalc!$Q$10),"")</f>
        <v>2.0522</v>
      </c>
      <c r="M834" s="391">
        <f>AVERAGE(Ashed_controlls!$K$12:$K$14)</f>
        <v>2.2816647271287041</v>
      </c>
      <c r="N834" s="267">
        <f t="shared" si="61"/>
        <v>2.0053756764698649</v>
      </c>
      <c r="O834" s="267" t="str">
        <f>IF(IFERROR(INDEX('Both teabags AfterDry'!$D$3:$D$900,MATCH(J834,'Both teabags AfterDry'!$A$3:$A$900,0)),"")="","",(IFERROR(INDEX('Both teabags AfterDry'!$D$3:$D$900,MATCH(J834,'Both teabags AfterDry'!$A$3:$A$900,0)),"")))</f>
        <v/>
      </c>
      <c r="P834" s="267" t="str">
        <f>IFERROR(IF(O834&gt;0,O834-(TBIcalc!$Q$9),""),"")</f>
        <v/>
      </c>
      <c r="Q834" s="278" t="str">
        <f>IFERROR(INDEX('Ashed teabags dry'!$K$2:$K$825,MATCH(J834,'Ashed teabags dry'!$A$2:$A$825,0)),"")</f>
        <v/>
      </c>
      <c r="R834" s="278" t="str">
        <f t="shared" si="62"/>
        <v/>
      </c>
      <c r="S834" s="268">
        <f>'Dry_Litterbag Placem_Collection'!E175</f>
        <v>42940</v>
      </c>
      <c r="T834" s="268">
        <f>IF('Dry_Litterbag Placem_Collection'!G175="","",'Dry_Litterbag Placem_Collection'!G175)</f>
        <v>43009</v>
      </c>
      <c r="U834" s="269">
        <f t="shared" ref="U834:U881" si="65">IFERROR(T834-S834,"")</f>
        <v>69</v>
      </c>
      <c r="V834" s="267" t="str">
        <f t="shared" si="63"/>
        <v/>
      </c>
      <c r="W834" s="267" t="str">
        <f t="shared" si="64"/>
        <v/>
      </c>
      <c r="X834" s="271">
        <f>IFERROR(INDEX(Rainfall_Dry!$O$2:$O$217,MATCH(B834, Rainfall_Dry!$A$2:$A$217,0)),"")</f>
        <v>162.634207253</v>
      </c>
      <c r="Y834" s="260">
        <v>23.96</v>
      </c>
      <c r="Z834" s="260">
        <v>4.9199999999999982</v>
      </c>
      <c r="AA834" s="260">
        <v>71.12</v>
      </c>
      <c r="AB834" s="261" t="s">
        <v>2670</v>
      </c>
      <c r="AC834" s="260">
        <v>7.3091375061606696</v>
      </c>
      <c r="AD834">
        <f>IF('WetLitterbags placem_collection'!AB175="","",'WetLitterbags placem_collection'!AB175)</f>
        <v>15.4</v>
      </c>
      <c r="AE834">
        <f>IF('WetLitterbags placem_collection'!Z175="","",'WetLitterbags placem_collection'!Z175)</f>
        <v>12.4</v>
      </c>
      <c r="AF834" s="246" t="str">
        <f>IF('WetLitterbags placem_collection'!AA175="","",'WetLitterbags placem_collection'!AA175)</f>
        <v>O</v>
      </c>
      <c r="AG834">
        <f>IF('WetLitterbags placem_collection'!AC175="","",'WetLitterbags placem_collection'!AC175)</f>
        <v>0</v>
      </c>
      <c r="AH834">
        <f>IFERROR(AVERAGE('Dry_Litterbag Placem_Collection'!O175,'Dry_Litterbag Placem_Collection'!R175),"")</f>
        <v>6.3</v>
      </c>
      <c r="AI834" s="271">
        <f>IFERROR(AVERAGE('Dry_Litterbag Placem_Collection'!N175,'Dry_Litterbag Placem_Collection'!Q175),"")</f>
        <v>34.049999999999997</v>
      </c>
      <c r="AJ834" s="270">
        <f>INDEX(Coordinates!$B$2:$B$197,MATCH(G834,Coordinates!$J$2:$J$197,0))</f>
        <v>-2.27856799</v>
      </c>
      <c r="AK834" s="270">
        <f>INDEX(Coordinates!$C$2:$C$197,MATCH(G834,Coordinates!$J$2:$J$197,0))</f>
        <v>34.023969970000003</v>
      </c>
      <c r="AL834" s="270" t="str">
        <f>IF(ISNUMBER(SEARCH("C", 'Dry_Litterbag Placem_Collection'!V175)),"YES","NO")</f>
        <v>NO</v>
      </c>
      <c r="AM834" s="270" t="str">
        <f>IF(ISNUMBER(SEARCH("H", 'Dry_Litterbag Placem_Collection'!V175)),"YES","NO")</f>
        <v>NO</v>
      </c>
      <c r="AN834" s="270" t="str">
        <f>IF(ISNUMBER(SEARCH("R", 'Dry_Litterbag Placem_Collection'!V175)),"YES","NO")</f>
        <v>NO</v>
      </c>
    </row>
    <row r="835" spans="1:40" ht="15" customHeight="1">
      <c r="A835" s="262" t="s">
        <v>2659</v>
      </c>
      <c r="B835" s="263">
        <f>'Dry_Litterbag Placem_Collection'!A176</f>
        <v>174</v>
      </c>
      <c r="C835" s="263" t="str">
        <f>'Dry_Litterbag Placem_Collection'!B176</f>
        <v>Handajega</v>
      </c>
      <c r="D835" s="263" t="s">
        <v>2460</v>
      </c>
      <c r="E835" s="263" t="s">
        <v>2661</v>
      </c>
      <c r="F835" s="263">
        <v>2</v>
      </c>
      <c r="G835" s="264" t="str">
        <f>'Dry_Litterbag Placem_Collection'!C176</f>
        <v>Wet_W2_T6</v>
      </c>
      <c r="H835" s="273" t="s">
        <v>3651</v>
      </c>
      <c r="I835" s="274" t="s">
        <v>298</v>
      </c>
      <c r="J835" s="263" t="str">
        <f>IF(ISBLANK('Dry_Litterbag Placem_Collection'!M176),"","R"&amp;""&amp;'Dry_Litterbag Placem_Collection'!M176)</f>
        <v>R702</v>
      </c>
      <c r="K835" s="267">
        <f>IFERROR(INDEX('Green_rooibos initial weight'!$C$5:$C$1749,MATCH(J835, 'Green_rooibos initial weight'!$A$5:$A$1749,0)),"")</f>
        <v>2.2010000000000001</v>
      </c>
      <c r="L835" s="267">
        <f>IFERROR(K835-(TBIcalc!$Q$9+TBIcalc!$Q$10),"")</f>
        <v>1.9512</v>
      </c>
      <c r="M835" s="391">
        <f>AVERAGE(Ashed_controlls!$K$12:$K$14)</f>
        <v>2.2816647271287041</v>
      </c>
      <c r="N835" s="267">
        <f t="shared" ref="N835:N881" si="66">IFERROR(L835-(M835/100)*L835,"")</f>
        <v>1.9066801578442647</v>
      </c>
      <c r="O835" s="267">
        <f>IF(IFERROR(INDEX('Both teabags AfterDry'!$D$3:$D$900,MATCH(J835,'Both teabags AfterDry'!$A$3:$A$900,0)),"")="","",(IFERROR(INDEX('Both teabags AfterDry'!$D$3:$D$900,MATCH(J835,'Both teabags AfterDry'!$A$3:$A$900,0)),"")))</f>
        <v>1.7047000000000001</v>
      </c>
      <c r="P835" s="267">
        <f>IFERROR(IF(O835&gt;0,O835-(TBIcalc!$Q$9),""),"")</f>
        <v>1.5541</v>
      </c>
      <c r="Q835" s="278">
        <f>IFERROR(INDEX('Ashed teabags dry'!$K$2:$K$825,MATCH(J835,'Ashed teabags dry'!$A$2:$A$825,0)),"")</f>
        <v>12.547709923664542</v>
      </c>
      <c r="R835" s="278">
        <f t="shared" ref="R835:R881" si="67">IFERROR(P835-(Q835/100)*P835,"")</f>
        <v>1.3590960400763294</v>
      </c>
      <c r="S835" s="268">
        <f>'Dry_Litterbag Placem_Collection'!E176</f>
        <v>42940</v>
      </c>
      <c r="T835" s="268">
        <f>IF('Dry_Litterbag Placem_Collection'!G176="","",'Dry_Litterbag Placem_Collection'!G176)</f>
        <v>43009</v>
      </c>
      <c r="U835" s="269">
        <f t="shared" si="65"/>
        <v>69</v>
      </c>
      <c r="V835" s="267">
        <f t="shared" ref="V835:V881" si="68">IFERROR(L835-P835,"")</f>
        <v>0.39710000000000001</v>
      </c>
      <c r="W835" s="267">
        <f t="shared" ref="W835:W881" si="69">IFERROR(N835-R835,"")</f>
        <v>0.54758411776793525</v>
      </c>
      <c r="X835" s="271">
        <f>IFERROR(INDEX(Rainfall_Dry!$O$2:$O$217,MATCH(B835, Rainfall_Dry!$A$2:$A$217,0)),"")</f>
        <v>162.634207253</v>
      </c>
      <c r="Y835" s="260">
        <v>23.96</v>
      </c>
      <c r="Z835" s="260">
        <v>4.9199999999999982</v>
      </c>
      <c r="AA835" s="260">
        <v>71.12</v>
      </c>
      <c r="AB835" s="261" t="s">
        <v>2670</v>
      </c>
      <c r="AC835" s="260">
        <v>8.3091375061606705</v>
      </c>
      <c r="AD835">
        <f>IF('WetLitterbags placem_collection'!AB176="","",'WetLitterbags placem_collection'!AB176)</f>
        <v>7.4</v>
      </c>
      <c r="AE835">
        <f>IF('WetLitterbags placem_collection'!Z176="","",'WetLitterbags placem_collection'!Z176)</f>
        <v>7.4</v>
      </c>
      <c r="AF835" s="246" t="str">
        <f>IF('WetLitterbags placem_collection'!AA176="","",'WetLitterbags placem_collection'!AA176)</f>
        <v>O</v>
      </c>
      <c r="AG835">
        <f>IF('WetLitterbags placem_collection'!AC176="","",'WetLitterbags placem_collection'!AC176)</f>
        <v>0</v>
      </c>
      <c r="AH835">
        <f>IFERROR(AVERAGE('Dry_Litterbag Placem_Collection'!O176,'Dry_Litterbag Placem_Collection'!R176),"")</f>
        <v>5.9</v>
      </c>
      <c r="AI835" s="271">
        <f>IFERROR(AVERAGE('Dry_Litterbag Placem_Collection'!N176,'Dry_Litterbag Placem_Collection'!Q176),"")</f>
        <v>33.200000000000003</v>
      </c>
      <c r="AJ835" s="270">
        <f>INDEX(Coordinates!$B$2:$B$197,MATCH(G835,Coordinates!$J$2:$J$197,0))</f>
        <v>-2.2786809780000001</v>
      </c>
      <c r="AK835" s="270">
        <f>INDEX(Coordinates!$C$2:$C$197,MATCH(G835,Coordinates!$J$2:$J$197,0))</f>
        <v>34.02434899</v>
      </c>
      <c r="AL835" s="270" t="str">
        <f>IF(ISNUMBER(SEARCH("C", 'Dry_Litterbag Placem_Collection'!V176)),"YES","NO")</f>
        <v>NO</v>
      </c>
      <c r="AM835" s="270" t="str">
        <f>IF(ISNUMBER(SEARCH("H", 'Dry_Litterbag Placem_Collection'!V176)),"YES","NO")</f>
        <v>NO</v>
      </c>
      <c r="AN835" s="270" t="str">
        <f>IF(ISNUMBER(SEARCH("R", 'Dry_Litterbag Placem_Collection'!V176)),"YES","NO")</f>
        <v>NO</v>
      </c>
    </row>
    <row r="836" spans="1:40" ht="15" customHeight="1">
      <c r="A836" s="262" t="s">
        <v>2659</v>
      </c>
      <c r="B836" s="263">
        <f>'Dry_Litterbag Placem_Collection'!A177</f>
        <v>175</v>
      </c>
      <c r="C836" s="263" t="str">
        <f>'Dry_Litterbag Placem_Collection'!B177</f>
        <v>Handajega</v>
      </c>
      <c r="D836" s="263" t="s">
        <v>2460</v>
      </c>
      <c r="E836" s="263" t="s">
        <v>2661</v>
      </c>
      <c r="F836" s="263">
        <v>2</v>
      </c>
      <c r="G836" s="264" t="str">
        <f>'Dry_Litterbag Placem_Collection'!C177</f>
        <v>Wet_W2_T7</v>
      </c>
      <c r="H836" s="273" t="s">
        <v>3651</v>
      </c>
      <c r="I836" s="274" t="s">
        <v>298</v>
      </c>
      <c r="J836" s="263" t="str">
        <f>IF(ISBLANK('Dry_Litterbag Placem_Collection'!M177),"","R"&amp;""&amp;'Dry_Litterbag Placem_Collection'!M177)</f>
        <v>R175</v>
      </c>
      <c r="K836" s="267">
        <f>IFERROR(INDEX('Green_rooibos initial weight'!$C$5:$C$1749,MATCH(J836, 'Green_rooibos initial weight'!$A$5:$A$1749,0)),"")</f>
        <v>2.2330000000000001</v>
      </c>
      <c r="L836" s="267">
        <f>IFERROR(K836-(TBIcalc!$Q$9+TBIcalc!$Q$10),"")</f>
        <v>1.9832000000000001</v>
      </c>
      <c r="M836" s="391">
        <f>AVERAGE(Ashed_controlls!$K$12:$K$14)</f>
        <v>2.2816647271287041</v>
      </c>
      <c r="N836" s="267">
        <f t="shared" si="66"/>
        <v>1.9379500251315835</v>
      </c>
      <c r="O836" s="267">
        <f>IF(IFERROR(INDEX('Both teabags AfterDry'!$D$3:$D$900,MATCH(J836,'Both teabags AfterDry'!$A$3:$A$900,0)),"")="","",(IFERROR(INDEX('Both teabags AfterDry'!$D$3:$D$900,MATCH(J836,'Both teabags AfterDry'!$A$3:$A$900,0)),"")))</f>
        <v>1.8721000000000001</v>
      </c>
      <c r="P836" s="267">
        <f>IFERROR(IF(O836&gt;0,O836-(TBIcalc!$Q$9),""),"")</f>
        <v>1.7215</v>
      </c>
      <c r="Q836" s="278">
        <f>IFERROR(INDEX('Ashed teabags dry'!$K$2:$K$825,MATCH(J836,'Ashed teabags dry'!$A$2:$A$825,0)),"")</f>
        <v>11.577028258888308</v>
      </c>
      <c r="R836" s="278">
        <f t="shared" si="67"/>
        <v>1.5222014585232377</v>
      </c>
      <c r="S836" s="268">
        <f>'Dry_Litterbag Placem_Collection'!E177</f>
        <v>42940</v>
      </c>
      <c r="T836" s="268">
        <f>IF('Dry_Litterbag Placem_Collection'!G177="","",'Dry_Litterbag Placem_Collection'!G177)</f>
        <v>43009</v>
      </c>
      <c r="U836" s="269">
        <f t="shared" si="65"/>
        <v>69</v>
      </c>
      <c r="V836" s="267">
        <f t="shared" si="68"/>
        <v>0.26170000000000004</v>
      </c>
      <c r="W836" s="267">
        <f t="shared" si="69"/>
        <v>0.4157485666083458</v>
      </c>
      <c r="X836" s="271">
        <f>IFERROR(INDEX(Rainfall_Dry!$O$2:$O$217,MATCH(B836, Rainfall_Dry!$A$2:$A$217,0)),"")</f>
        <v>162.634207253</v>
      </c>
      <c r="Y836" s="260">
        <v>23.96</v>
      </c>
      <c r="Z836" s="260">
        <v>4.9199999999999982</v>
      </c>
      <c r="AA836" s="260">
        <v>71.12</v>
      </c>
      <c r="AB836" s="261" t="s">
        <v>2670</v>
      </c>
      <c r="AC836" s="260">
        <v>9.3091375061606705</v>
      </c>
      <c r="AD836">
        <f>IF('WetLitterbags placem_collection'!AB177="","",'WetLitterbags placem_collection'!AB177)</f>
        <v>15.4</v>
      </c>
      <c r="AE836">
        <f>IF('WetLitterbags placem_collection'!Z177="","",'WetLitterbags placem_collection'!Z177)</f>
        <v>9.8000000000000007</v>
      </c>
      <c r="AF836" s="246" t="str">
        <f>IF('WetLitterbags placem_collection'!AA177="","",'WetLitterbags placem_collection'!AA177)</f>
        <v>O</v>
      </c>
      <c r="AG836">
        <f>IF('WetLitterbags placem_collection'!AC177="","",'WetLitterbags placem_collection'!AC177)</f>
        <v>1</v>
      </c>
      <c r="AH836">
        <f>IFERROR(AVERAGE('Dry_Litterbag Placem_Collection'!O177,'Dry_Litterbag Placem_Collection'!R177),"")</f>
        <v>5.9499999999999993</v>
      </c>
      <c r="AI836" s="271">
        <f>IFERROR(AVERAGE('Dry_Litterbag Placem_Collection'!N177,'Dry_Litterbag Placem_Collection'!Q177),"")</f>
        <v>34.049999999999997</v>
      </c>
      <c r="AJ836" s="270">
        <f>INDEX(Coordinates!$B$2:$B$197,MATCH(G836,Coordinates!$J$2:$J$197,0))</f>
        <v>-2.2784219779999999</v>
      </c>
      <c r="AK836" s="270">
        <f>INDEX(Coordinates!$C$2:$C$197,MATCH(G836,Coordinates!$J$2:$J$197,0))</f>
        <v>34.024374979999997</v>
      </c>
      <c r="AL836" s="270" t="str">
        <f>IF(ISNUMBER(SEARCH("C", 'Dry_Litterbag Placem_Collection'!V177)),"YES","NO")</f>
        <v>NO</v>
      </c>
      <c r="AM836" s="270" t="str">
        <f>IF(ISNUMBER(SEARCH("H", 'Dry_Litterbag Placem_Collection'!V177)),"YES","NO")</f>
        <v>NO</v>
      </c>
      <c r="AN836" s="270" t="str">
        <f>IF(ISNUMBER(SEARCH("R", 'Dry_Litterbag Placem_Collection'!V177)),"YES","NO")</f>
        <v>YES</v>
      </c>
    </row>
    <row r="837" spans="1:40" ht="15" customHeight="1">
      <c r="A837" s="262" t="s">
        <v>2659</v>
      </c>
      <c r="B837" s="263">
        <f>'Dry_Litterbag Placem_Collection'!A178</f>
        <v>176</v>
      </c>
      <c r="C837" s="263" t="str">
        <f>'Dry_Litterbag Placem_Collection'!B178</f>
        <v>Handajega</v>
      </c>
      <c r="D837" s="263" t="s">
        <v>2460</v>
      </c>
      <c r="E837" s="263" t="s">
        <v>2661</v>
      </c>
      <c r="F837" s="263">
        <v>2</v>
      </c>
      <c r="G837" s="264" t="str">
        <f>'Dry_Litterbag Placem_Collection'!C178</f>
        <v>Wet_W2_T8</v>
      </c>
      <c r="H837" s="273" t="s">
        <v>3651</v>
      </c>
      <c r="I837" s="274" t="s">
        <v>298</v>
      </c>
      <c r="J837" s="263" t="str">
        <f>IF(ISBLANK('Dry_Litterbag Placem_Collection'!M178),"","R"&amp;""&amp;'Dry_Litterbag Placem_Collection'!M178)</f>
        <v>R332</v>
      </c>
      <c r="K837" s="267">
        <f>IFERROR(INDEX('Green_rooibos initial weight'!$C$5:$C$1749,MATCH(J837, 'Green_rooibos initial weight'!$A$5:$A$1749,0)),"")</f>
        <v>2.1880000000000002</v>
      </c>
      <c r="L837" s="267">
        <f>IFERROR(K837-(TBIcalc!$Q$9+TBIcalc!$Q$10),"")</f>
        <v>1.9382000000000001</v>
      </c>
      <c r="M837" s="391">
        <f>AVERAGE(Ashed_controlls!$K$12:$K$14)</f>
        <v>2.2816647271287041</v>
      </c>
      <c r="N837" s="267">
        <f t="shared" si="66"/>
        <v>1.8939767742587916</v>
      </c>
      <c r="O837" s="267">
        <f>IF(IFERROR(INDEX('Both teabags AfterDry'!$D$3:$D$900,MATCH(J837,'Both teabags AfterDry'!$A$3:$A$900,0)),"")="","",(IFERROR(INDEX('Both teabags AfterDry'!$D$3:$D$900,MATCH(J837,'Both teabags AfterDry'!$A$3:$A$900,0)),"")))</f>
        <v>1.8720000000000001</v>
      </c>
      <c r="P837" s="267">
        <f>IFERROR(IF(O837&gt;0,O837-(TBIcalc!$Q$9),""),"")</f>
        <v>1.7214</v>
      </c>
      <c r="Q837" s="278">
        <f>IFERROR(INDEX('Ashed teabags dry'!$K$2:$K$825,MATCH(J837,'Ashed teabags dry'!$A$2:$A$825,0)),"")</f>
        <v>6.259314456035395</v>
      </c>
      <c r="R837" s="278">
        <f t="shared" si="67"/>
        <v>1.6136521609538068</v>
      </c>
      <c r="S837" s="268">
        <f>'Dry_Litterbag Placem_Collection'!E178</f>
        <v>42940</v>
      </c>
      <c r="T837" s="268">
        <f>IF('Dry_Litterbag Placem_Collection'!G178="","",'Dry_Litterbag Placem_Collection'!G178)</f>
        <v>43009</v>
      </c>
      <c r="U837" s="269">
        <f t="shared" si="65"/>
        <v>69</v>
      </c>
      <c r="V837" s="267">
        <f t="shared" si="68"/>
        <v>0.2168000000000001</v>
      </c>
      <c r="W837" s="267">
        <f t="shared" si="69"/>
        <v>0.28032461330498482</v>
      </c>
      <c r="X837" s="271">
        <f>IFERROR(INDEX(Rainfall_Dry!$O$2:$O$217,MATCH(B837, Rainfall_Dry!$A$2:$A$217,0)),"")</f>
        <v>162.634207253</v>
      </c>
      <c r="Y837" s="260">
        <v>23.96</v>
      </c>
      <c r="Z837" s="260">
        <v>4.9199999999999982</v>
      </c>
      <c r="AA837" s="260">
        <v>71.12</v>
      </c>
      <c r="AB837" s="261" t="s">
        <v>2670</v>
      </c>
      <c r="AC837" s="260">
        <v>10.309137506160701</v>
      </c>
      <c r="AD837">
        <f>IF('WetLitterbags placem_collection'!AB178="","",'WetLitterbags placem_collection'!AB178)</f>
        <v>6.8</v>
      </c>
      <c r="AE837">
        <f>IF('WetLitterbags placem_collection'!Z178="","",'WetLitterbags placem_collection'!Z178)</f>
        <v>6.9</v>
      </c>
      <c r="AF837" s="246" t="str">
        <f>IF('WetLitterbags placem_collection'!AA178="","",'WetLitterbags placem_collection'!AA178)</f>
        <v>O</v>
      </c>
      <c r="AG837">
        <f>IF('WetLitterbags placem_collection'!AC178="","",'WetLitterbags placem_collection'!AC178)</f>
        <v>0</v>
      </c>
      <c r="AH837">
        <f>IFERROR(AVERAGE('Dry_Litterbag Placem_Collection'!O178,'Dry_Litterbag Placem_Collection'!R178),"")</f>
        <v>4.5999999999999996</v>
      </c>
      <c r="AI837" s="271">
        <f>IFERROR(AVERAGE('Dry_Litterbag Placem_Collection'!N178,'Dry_Litterbag Placem_Collection'!Q178),"")</f>
        <v>34.5</v>
      </c>
      <c r="AJ837" s="270">
        <f>INDEX(Coordinates!$B$2:$B$197,MATCH(G837,Coordinates!$J$2:$J$197,0))</f>
        <v>-2.2782909679999999</v>
      </c>
      <c r="AK837" s="270">
        <f>INDEX(Coordinates!$C$2:$C$197,MATCH(G837,Coordinates!$J$2:$J$197,0))</f>
        <v>34.024574970000003</v>
      </c>
      <c r="AL837" s="270" t="str">
        <f>IF(ISNUMBER(SEARCH("C", 'Dry_Litterbag Placem_Collection'!V178)),"YES","NO")</f>
        <v>NO</v>
      </c>
      <c r="AM837" s="270" t="str">
        <f>IF(ISNUMBER(SEARCH("H", 'Dry_Litterbag Placem_Collection'!V178)),"YES","NO")</f>
        <v>NO</v>
      </c>
      <c r="AN837" s="270" t="str">
        <f>IF(ISNUMBER(SEARCH("R", 'Dry_Litterbag Placem_Collection'!V178)),"YES","NO")</f>
        <v>YES</v>
      </c>
    </row>
    <row r="838" spans="1:40" ht="15" customHeight="1">
      <c r="A838" s="262" t="s">
        <v>2659</v>
      </c>
      <c r="B838" s="263">
        <f>'Dry_Litterbag Placem_Collection'!A179</f>
        <v>177</v>
      </c>
      <c r="C838" s="263" t="str">
        <f>'Dry_Litterbag Placem_Collection'!B179</f>
        <v>Handajega</v>
      </c>
      <c r="D838" s="263" t="s">
        <v>2460</v>
      </c>
      <c r="E838" s="263" t="s">
        <v>2661</v>
      </c>
      <c r="F838" s="263">
        <v>3</v>
      </c>
      <c r="G838" s="264" t="str">
        <f>'Dry_Litterbag Placem_Collection'!C179</f>
        <v>Wet_W3_T1</v>
      </c>
      <c r="H838" s="273" t="s">
        <v>3651</v>
      </c>
      <c r="I838" s="274" t="s">
        <v>298</v>
      </c>
      <c r="J838" s="263" t="str">
        <f>IF(ISBLANK('Dry_Litterbag Placem_Collection'!M179),"","R"&amp;""&amp;'Dry_Litterbag Placem_Collection'!M179)</f>
        <v>R279</v>
      </c>
      <c r="K838" s="267">
        <f>IFERROR(INDEX('Green_rooibos initial weight'!$C$5:$C$1749,MATCH(J838, 'Green_rooibos initial weight'!$A$5:$A$1749,0)),"")</f>
        <v>2.161</v>
      </c>
      <c r="L838" s="267">
        <f>IFERROR(K838-(TBIcalc!$Q$9+TBIcalc!$Q$10),"")</f>
        <v>1.9112</v>
      </c>
      <c r="M838" s="391">
        <f>AVERAGE(Ashed_controlls!$K$12:$K$14)</f>
        <v>2.2816647271287041</v>
      </c>
      <c r="N838" s="267">
        <f t="shared" si="66"/>
        <v>1.8675928237351163</v>
      </c>
      <c r="O838" s="267" t="str">
        <f>IF(IFERROR(INDEX('Both teabags AfterDry'!$D$3:$D$900,MATCH(J838,'Both teabags AfterDry'!$A$3:$A$900,0)),"")="","",(IFERROR(INDEX('Both teabags AfterDry'!$D$3:$D$900,MATCH(J838,'Both teabags AfterDry'!$A$3:$A$900,0)),"")))</f>
        <v/>
      </c>
      <c r="P838" s="267" t="str">
        <f>IFERROR(IF(O838&gt;0,O838-(TBIcalc!$Q$9),""),"")</f>
        <v/>
      </c>
      <c r="Q838" s="278" t="str">
        <f>IFERROR(INDEX('Ashed teabags dry'!$K$2:$K$825,MATCH(J838,'Ashed teabags dry'!$A$2:$A$825,0)),"")</f>
        <v/>
      </c>
      <c r="R838" s="278" t="str">
        <f t="shared" si="67"/>
        <v/>
      </c>
      <c r="S838" s="268">
        <f>'Dry_Litterbag Placem_Collection'!E179</f>
        <v>42940</v>
      </c>
      <c r="T838" s="268">
        <f>IF('Dry_Litterbag Placem_Collection'!G179="","",'Dry_Litterbag Placem_Collection'!G179)</f>
        <v>43009</v>
      </c>
      <c r="U838" s="269">
        <f t="shared" si="65"/>
        <v>69</v>
      </c>
      <c r="V838" s="267" t="str">
        <f t="shared" si="68"/>
        <v/>
      </c>
      <c r="W838" s="267" t="str">
        <f t="shared" si="69"/>
        <v/>
      </c>
      <c r="X838" s="271">
        <f>IFERROR(INDEX(Rainfall_Dry!$O$2:$O$217,MATCH(B838, Rainfall_Dry!$A$2:$A$217,0)),"")</f>
        <v>162.634207253</v>
      </c>
      <c r="Y838" s="260">
        <v>25.96</v>
      </c>
      <c r="Z838" s="260">
        <v>8.9200000000000017</v>
      </c>
      <c r="AA838" s="260">
        <v>65.12</v>
      </c>
      <c r="AB838" s="261" t="s">
        <v>2670</v>
      </c>
      <c r="AC838" s="260">
        <v>1.614588467225234</v>
      </c>
      <c r="AD838">
        <f>IF('WetLitterbags placem_collection'!AB179="","",'WetLitterbags placem_collection'!AB179)</f>
        <v>17.8</v>
      </c>
      <c r="AE838">
        <f>IF('WetLitterbags placem_collection'!Z179="","",'WetLitterbags placem_collection'!Z179)</f>
        <v>25.8</v>
      </c>
      <c r="AF838" s="246" t="str">
        <f>IF('WetLitterbags placem_collection'!AA179="","",'WetLitterbags placem_collection'!AA179)</f>
        <v>O</v>
      </c>
      <c r="AG838">
        <f>IF('WetLitterbags placem_collection'!AC179="","",'WetLitterbags placem_collection'!AC179)</f>
        <v>0</v>
      </c>
      <c r="AH838">
        <f>IFERROR(AVERAGE('Dry_Litterbag Placem_Collection'!O179,'Dry_Litterbag Placem_Collection'!R179),"")</f>
        <v>4.6999999999999993</v>
      </c>
      <c r="AI838" s="271">
        <f>IFERROR(AVERAGE('Dry_Litterbag Placem_Collection'!N179,'Dry_Litterbag Placem_Collection'!Q179),"")</f>
        <v>34.150000000000006</v>
      </c>
      <c r="AJ838" s="270">
        <f>INDEX(Coordinates!$B$2:$B$197,MATCH(G838,Coordinates!$J$2:$J$197,0))</f>
        <v>-2.277740026</v>
      </c>
      <c r="AK838" s="270">
        <f>INDEX(Coordinates!$C$2:$C$197,MATCH(G838,Coordinates!$J$2:$J$197,0))</f>
        <v>34.027640990000002</v>
      </c>
      <c r="AL838" s="270" t="str">
        <f>IF(ISNUMBER(SEARCH("C", 'Dry_Litterbag Placem_Collection'!V179)),"YES","NO")</f>
        <v>NO</v>
      </c>
      <c r="AM838" s="270" t="str">
        <f>IF(ISNUMBER(SEARCH("H", 'Dry_Litterbag Placem_Collection'!V179)),"YES","NO")</f>
        <v>NO</v>
      </c>
      <c r="AN838" s="270" t="str">
        <f>IF(ISNUMBER(SEARCH("R", 'Dry_Litterbag Placem_Collection'!V179)),"YES","NO")</f>
        <v>YES</v>
      </c>
    </row>
    <row r="839" spans="1:40" ht="15" customHeight="1">
      <c r="A839" s="262" t="s">
        <v>2659</v>
      </c>
      <c r="B839" s="263">
        <f>'Dry_Litterbag Placem_Collection'!A180</f>
        <v>178</v>
      </c>
      <c r="C839" s="263" t="str">
        <f>'Dry_Litterbag Placem_Collection'!B180</f>
        <v>Handajega</v>
      </c>
      <c r="D839" s="263" t="s">
        <v>2460</v>
      </c>
      <c r="E839" s="263" t="s">
        <v>2661</v>
      </c>
      <c r="F839" s="263">
        <v>3</v>
      </c>
      <c r="G839" s="264" t="str">
        <f>'Dry_Litterbag Placem_Collection'!C180</f>
        <v>Wet_W3_T2</v>
      </c>
      <c r="H839" s="273" t="s">
        <v>3651</v>
      </c>
      <c r="I839" s="274" t="s">
        <v>298</v>
      </c>
      <c r="J839" s="263" t="str">
        <f>IF(ISBLANK('Dry_Litterbag Placem_Collection'!M180),"","R"&amp;""&amp;'Dry_Litterbag Placem_Collection'!M180)</f>
        <v>R718</v>
      </c>
      <c r="K839" s="267">
        <f>IFERROR(INDEX('Green_rooibos initial weight'!$C$5:$C$1749,MATCH(J839, 'Green_rooibos initial weight'!$A$5:$A$1749,0)),"")</f>
        <v>2.2050000000000001</v>
      </c>
      <c r="L839" s="267">
        <f>IFERROR(K839-(TBIcalc!$Q$9+TBIcalc!$Q$10),"")</f>
        <v>1.9552</v>
      </c>
      <c r="M839" s="391">
        <f>AVERAGE(Ashed_controlls!$K$12:$K$14)</f>
        <v>2.2816647271287041</v>
      </c>
      <c r="N839" s="267">
        <f t="shared" si="66"/>
        <v>1.9105888912551796</v>
      </c>
      <c r="O839" s="267">
        <f>IF(IFERROR(INDEX('Both teabags AfterDry'!$D$3:$D$900,MATCH(J839,'Both teabags AfterDry'!$A$3:$A$900,0)),"")="","",(IFERROR(INDEX('Both teabags AfterDry'!$D$3:$D$900,MATCH(J839,'Both teabags AfterDry'!$A$3:$A$900,0)),"")))</f>
        <v>1.8359000000000001</v>
      </c>
      <c r="P839" s="267">
        <f>IFERROR(IF(O839&gt;0,O839-(TBIcalc!$Q$9),""),"")</f>
        <v>1.6853</v>
      </c>
      <c r="Q839" s="278">
        <f>IFERROR(INDEX('Ashed teabags dry'!$K$2:$K$825,MATCH(J839,'Ashed teabags dry'!$A$2:$A$825,0)),"")</f>
        <v>7.0877531340403506</v>
      </c>
      <c r="R839" s="278">
        <f t="shared" si="67"/>
        <v>1.5658500964320179</v>
      </c>
      <c r="S839" s="268">
        <f>'Dry_Litterbag Placem_Collection'!E180</f>
        <v>42940</v>
      </c>
      <c r="T839" s="268">
        <f>IF('Dry_Litterbag Placem_Collection'!G180="","",'Dry_Litterbag Placem_Collection'!G180)</f>
        <v>43009</v>
      </c>
      <c r="U839" s="269">
        <f t="shared" si="65"/>
        <v>69</v>
      </c>
      <c r="V839" s="267">
        <f t="shared" si="68"/>
        <v>0.26990000000000003</v>
      </c>
      <c r="W839" s="267">
        <f t="shared" si="69"/>
        <v>0.34473879482316172</v>
      </c>
      <c r="X839" s="271">
        <f>IFERROR(INDEX(Rainfall_Dry!$O$2:$O$217,MATCH(B839, Rainfall_Dry!$A$2:$A$217,0)),"")</f>
        <v>162.634207253</v>
      </c>
      <c r="Y839" s="260">
        <v>25.96</v>
      </c>
      <c r="Z839" s="260">
        <v>8.9200000000000017</v>
      </c>
      <c r="AA839" s="260">
        <v>65.12</v>
      </c>
      <c r="AB839" s="261" t="s">
        <v>2670</v>
      </c>
      <c r="AC839" s="260">
        <v>2.61458846722523</v>
      </c>
      <c r="AD839">
        <f>IF('WetLitterbags placem_collection'!AB180="","",'WetLitterbags placem_collection'!AB180)</f>
        <v>15.4</v>
      </c>
      <c r="AE839">
        <f>IF('WetLitterbags placem_collection'!Z180="","",'WetLitterbags placem_collection'!Z180)</f>
        <v>18.8</v>
      </c>
      <c r="AF839" s="246" t="str">
        <f>IF('WetLitterbags placem_collection'!AA180="","",'WetLitterbags placem_collection'!AA180)</f>
        <v>O</v>
      </c>
      <c r="AG839">
        <f>IF('WetLitterbags placem_collection'!AC180="","",'WetLitterbags placem_collection'!AC180)</f>
        <v>1</v>
      </c>
      <c r="AH839">
        <f>IFERROR(AVERAGE('Dry_Litterbag Placem_Collection'!O180,'Dry_Litterbag Placem_Collection'!R180),"")</f>
        <v>4.5</v>
      </c>
      <c r="AI839" s="271">
        <f>IFERROR(AVERAGE('Dry_Litterbag Placem_Collection'!N180,'Dry_Litterbag Placem_Collection'!Q180),"")</f>
        <v>35.799999999999997</v>
      </c>
      <c r="AJ839" s="270">
        <f>INDEX(Coordinates!$B$2:$B$197,MATCH(G839,Coordinates!$J$2:$J$197,0))</f>
        <v>-2.2777889760000001</v>
      </c>
      <c r="AK839" s="270">
        <f>INDEX(Coordinates!$C$2:$C$197,MATCH(G839,Coordinates!$J$2:$J$197,0))</f>
        <v>34.027664960000003</v>
      </c>
      <c r="AL839" s="270" t="str">
        <f>IF(ISNUMBER(SEARCH("C", 'Dry_Litterbag Placem_Collection'!V180)),"YES","NO")</f>
        <v>NO</v>
      </c>
      <c r="AM839" s="270" t="str">
        <f>IF(ISNUMBER(SEARCH("H", 'Dry_Litterbag Placem_Collection'!V180)),"YES","NO")</f>
        <v>NO</v>
      </c>
      <c r="AN839" s="270" t="str">
        <f>IF(ISNUMBER(SEARCH("R", 'Dry_Litterbag Placem_Collection'!V180)),"YES","NO")</f>
        <v>NO</v>
      </c>
    </row>
    <row r="840" spans="1:40" ht="15" customHeight="1">
      <c r="A840" s="262" t="s">
        <v>2659</v>
      </c>
      <c r="B840" s="263">
        <f>'Dry_Litterbag Placem_Collection'!A181</f>
        <v>179</v>
      </c>
      <c r="C840" s="263" t="str">
        <f>'Dry_Litterbag Placem_Collection'!B181</f>
        <v>Handajega</v>
      </c>
      <c r="D840" s="263" t="s">
        <v>2460</v>
      </c>
      <c r="E840" s="263" t="s">
        <v>2661</v>
      </c>
      <c r="F840" s="263">
        <v>3</v>
      </c>
      <c r="G840" s="264" t="str">
        <f>'Dry_Litterbag Placem_Collection'!C181</f>
        <v>Wet_W3_T3</v>
      </c>
      <c r="H840" s="273" t="s">
        <v>3651</v>
      </c>
      <c r="I840" s="274" t="s">
        <v>298</v>
      </c>
      <c r="J840" s="263" t="str">
        <f>IF(ISBLANK('Dry_Litterbag Placem_Collection'!M181),"","R"&amp;""&amp;'Dry_Litterbag Placem_Collection'!M181)</f>
        <v>R640</v>
      </c>
      <c r="K840" s="267">
        <f>IFERROR(INDEX('Green_rooibos initial weight'!$C$5:$C$1749,MATCH(J840, 'Green_rooibos initial weight'!$A$5:$A$1749,0)),"")</f>
        <v>2.1019999999999999</v>
      </c>
      <c r="L840" s="267">
        <f>IFERROR(K840-(TBIcalc!$Q$9+TBIcalc!$Q$10),"")</f>
        <v>1.8521999999999998</v>
      </c>
      <c r="M840" s="391">
        <f>AVERAGE(Ashed_controlls!$K$12:$K$14)</f>
        <v>2.2816647271287041</v>
      </c>
      <c r="N840" s="267">
        <f t="shared" si="66"/>
        <v>1.809939005924122</v>
      </c>
      <c r="O840" s="267">
        <f>IF(IFERROR(INDEX('Both teabags AfterDry'!$D$3:$D$900,MATCH(J840,'Both teabags AfterDry'!$A$3:$A$900,0)),"")="","",(IFERROR(INDEX('Both teabags AfterDry'!$D$3:$D$900,MATCH(J840,'Both teabags AfterDry'!$A$3:$A$900,0)),"")))</f>
        <v>1.6580999999999999</v>
      </c>
      <c r="P840" s="267">
        <f>IFERROR(IF(O840&gt;0,O840-(TBIcalc!$Q$9),""),"")</f>
        <v>1.5074999999999998</v>
      </c>
      <c r="Q840" s="278">
        <f>IFERROR(INDEX('Ashed teabags dry'!$K$2:$K$825,MATCH(J840,'Ashed teabags dry'!$A$2:$A$825,0)),"")</f>
        <v>15.844901866922525</v>
      </c>
      <c r="R840" s="278">
        <f t="shared" si="67"/>
        <v>1.2686381043561428</v>
      </c>
      <c r="S840" s="268">
        <f>'Dry_Litterbag Placem_Collection'!E181</f>
        <v>42940</v>
      </c>
      <c r="T840" s="268">
        <f>IF('Dry_Litterbag Placem_Collection'!G181="","",'Dry_Litterbag Placem_Collection'!G181)</f>
        <v>43009</v>
      </c>
      <c r="U840" s="269">
        <f t="shared" si="65"/>
        <v>69</v>
      </c>
      <c r="V840" s="267">
        <f t="shared" si="68"/>
        <v>0.34470000000000001</v>
      </c>
      <c r="W840" s="267">
        <f t="shared" si="69"/>
        <v>0.54130090156797928</v>
      </c>
      <c r="X840" s="271">
        <f>IFERROR(INDEX(Rainfall_Dry!$O$2:$O$217,MATCH(B840, Rainfall_Dry!$A$2:$A$217,0)),"")</f>
        <v>162.634207253</v>
      </c>
      <c r="Y840" s="260">
        <v>25.96</v>
      </c>
      <c r="Z840" s="260">
        <v>8.9200000000000017</v>
      </c>
      <c r="AA840" s="260">
        <v>65.12</v>
      </c>
      <c r="AB840" s="261" t="s">
        <v>2670</v>
      </c>
      <c r="AC840" s="260">
        <v>3.61458846722523</v>
      </c>
      <c r="AD840">
        <f>IF('WetLitterbags placem_collection'!AB181="","",'WetLitterbags placem_collection'!AB181)</f>
        <v>11.8</v>
      </c>
      <c r="AE840">
        <f>IF('WetLitterbags placem_collection'!Z181="","",'WetLitterbags placem_collection'!Z181)</f>
        <v>15.4</v>
      </c>
      <c r="AF840" s="246" t="str">
        <f>IF('WetLitterbags placem_collection'!AA181="","",'WetLitterbags placem_collection'!AA181)</f>
        <v>O</v>
      </c>
      <c r="AG840">
        <f>IF('WetLitterbags placem_collection'!AC181="","",'WetLitterbags placem_collection'!AC181)</f>
        <v>1</v>
      </c>
      <c r="AH840">
        <f>IFERROR(AVERAGE('Dry_Litterbag Placem_Collection'!O181,'Dry_Litterbag Placem_Collection'!R181),"")</f>
        <v>5.8</v>
      </c>
      <c r="AI840" s="271">
        <f>IFERROR(AVERAGE('Dry_Litterbag Placem_Collection'!N181,'Dry_Litterbag Placem_Collection'!Q181),"")</f>
        <v>34.75</v>
      </c>
      <c r="AJ840" s="270">
        <f>INDEX(Coordinates!$B$2:$B$197,MATCH(G840,Coordinates!$J$2:$J$197,0))</f>
        <v>-2.2778579589999999</v>
      </c>
      <c r="AK840" s="270">
        <f>INDEX(Coordinates!$C$2:$C$197,MATCH(G840,Coordinates!$J$2:$J$197,0))</f>
        <v>34.027682980000002</v>
      </c>
      <c r="AL840" s="270" t="str">
        <f>IF(ISNUMBER(SEARCH("C", 'Dry_Litterbag Placem_Collection'!V181)),"YES","NO")</f>
        <v>NO</v>
      </c>
      <c r="AM840" s="270" t="str">
        <f>IF(ISNUMBER(SEARCH("H", 'Dry_Litterbag Placem_Collection'!V181)),"YES","NO")</f>
        <v>NO</v>
      </c>
      <c r="AN840" s="270" t="str">
        <f>IF(ISNUMBER(SEARCH("R", 'Dry_Litterbag Placem_Collection'!V181)),"YES","NO")</f>
        <v>NO</v>
      </c>
    </row>
    <row r="841" spans="1:40" ht="15" customHeight="1">
      <c r="A841" s="262" t="s">
        <v>2659</v>
      </c>
      <c r="B841" s="263">
        <f>'Dry_Litterbag Placem_Collection'!A182</f>
        <v>180</v>
      </c>
      <c r="C841" s="263" t="str">
        <f>'Dry_Litterbag Placem_Collection'!B182</f>
        <v>Handajega</v>
      </c>
      <c r="D841" s="263" t="s">
        <v>2460</v>
      </c>
      <c r="E841" s="263" t="s">
        <v>2661</v>
      </c>
      <c r="F841" s="263">
        <v>3</v>
      </c>
      <c r="G841" s="264" t="str">
        <f>'Dry_Litterbag Placem_Collection'!C182</f>
        <v>Wet_W3_T4</v>
      </c>
      <c r="H841" s="273" t="s">
        <v>3651</v>
      </c>
      <c r="I841" s="274" t="s">
        <v>298</v>
      </c>
      <c r="J841" s="263" t="str">
        <f>IF(ISBLANK('Dry_Litterbag Placem_Collection'!M182),"","R"&amp;""&amp;'Dry_Litterbag Placem_Collection'!M182)</f>
        <v>R669</v>
      </c>
      <c r="K841" s="267">
        <f>IFERROR(INDEX('Green_rooibos initial weight'!$C$5:$C$1749,MATCH(J841, 'Green_rooibos initial weight'!$A$5:$A$1749,0)),"")</f>
        <v>2.1480000000000001</v>
      </c>
      <c r="L841" s="267">
        <f>IFERROR(K841-(TBIcalc!$Q$9+TBIcalc!$Q$10),"")</f>
        <v>1.8982000000000001</v>
      </c>
      <c r="M841" s="391">
        <f>AVERAGE(Ashed_controlls!$K$12:$K$14)</f>
        <v>2.2816647271287041</v>
      </c>
      <c r="N841" s="267">
        <f t="shared" si="66"/>
        <v>1.854889440149643</v>
      </c>
      <c r="O841" s="267">
        <f>IF(IFERROR(INDEX('Both teabags AfterDry'!$D$3:$D$900,MATCH(J841,'Both teabags AfterDry'!$A$3:$A$900,0)),"")="","",(IFERROR(INDEX('Both teabags AfterDry'!$D$3:$D$900,MATCH(J841,'Both teabags AfterDry'!$A$3:$A$900,0)),"")))</f>
        <v>1.6716</v>
      </c>
      <c r="P841" s="267">
        <f>IFERROR(IF(O841&gt;0,O841-(TBIcalc!$Q$9),""),"")</f>
        <v>1.5209999999999999</v>
      </c>
      <c r="Q841" s="278">
        <f>IFERROR(INDEX('Ashed teabags dry'!$K$2:$K$825,MATCH(J841,'Ashed teabags dry'!$A$2:$A$825,0)),"")</f>
        <v>6.0721062618585453</v>
      </c>
      <c r="R841" s="278">
        <f t="shared" si="67"/>
        <v>1.4286432637571314</v>
      </c>
      <c r="S841" s="268">
        <f>'Dry_Litterbag Placem_Collection'!E182</f>
        <v>42940</v>
      </c>
      <c r="T841" s="268">
        <f>IF('Dry_Litterbag Placem_Collection'!G182="","",'Dry_Litterbag Placem_Collection'!G182)</f>
        <v>43009</v>
      </c>
      <c r="U841" s="269">
        <f t="shared" si="65"/>
        <v>69</v>
      </c>
      <c r="V841" s="267">
        <f t="shared" si="68"/>
        <v>0.3772000000000002</v>
      </c>
      <c r="W841" s="267">
        <f t="shared" si="69"/>
        <v>0.42624617639251161</v>
      </c>
      <c r="X841" s="271">
        <f>IFERROR(INDEX(Rainfall_Dry!$O$2:$O$217,MATCH(B841, Rainfall_Dry!$A$2:$A$217,0)),"")</f>
        <v>162.634207253</v>
      </c>
      <c r="Y841" s="260">
        <v>25.96</v>
      </c>
      <c r="Z841" s="260">
        <v>8.9200000000000017</v>
      </c>
      <c r="AA841" s="260">
        <v>65.12</v>
      </c>
      <c r="AB841" s="261" t="s">
        <v>2670</v>
      </c>
      <c r="AC841" s="260">
        <v>4.6145884672252304</v>
      </c>
      <c r="AD841">
        <f>IF('WetLitterbags placem_collection'!AB182="","",'WetLitterbags placem_collection'!AB182)</f>
        <v>8.3000000000000007</v>
      </c>
      <c r="AE841">
        <f>IF('WetLitterbags placem_collection'!Z182="","",'WetLitterbags placem_collection'!Z182)</f>
        <v>35</v>
      </c>
      <c r="AF841" s="246" t="str">
        <f>IF('WetLitterbags placem_collection'!AA182="","",'WetLitterbags placem_collection'!AA182)</f>
        <v>O</v>
      </c>
      <c r="AG841">
        <f>IF('WetLitterbags placem_collection'!AC182="","",'WetLitterbags placem_collection'!AC182)</f>
        <v>0</v>
      </c>
      <c r="AH841">
        <f>IFERROR(AVERAGE('Dry_Litterbag Placem_Collection'!O182,'Dry_Litterbag Placem_Collection'!R182),"")</f>
        <v>5.3</v>
      </c>
      <c r="AI841" s="271">
        <f>IFERROR(AVERAGE('Dry_Litterbag Placem_Collection'!N182,'Dry_Litterbag Placem_Collection'!Q182),"")</f>
        <v>31</v>
      </c>
      <c r="AJ841" s="270">
        <f>INDEX(Coordinates!$B$2:$B$197,MATCH(G841,Coordinates!$J$2:$J$197,0))</f>
        <v>-2.2780199809999999</v>
      </c>
      <c r="AK841" s="270">
        <f>INDEX(Coordinates!$C$2:$C$197,MATCH(G841,Coordinates!$J$2:$J$197,0))</f>
        <v>34.027705019999999</v>
      </c>
      <c r="AL841" s="270" t="str">
        <f>IF(ISNUMBER(SEARCH("C", 'Dry_Litterbag Placem_Collection'!V182)),"YES","NO")</f>
        <v>NO</v>
      </c>
      <c r="AM841" s="270" t="str">
        <f>IF(ISNUMBER(SEARCH("H", 'Dry_Litterbag Placem_Collection'!V182)),"YES","NO")</f>
        <v>NO</v>
      </c>
      <c r="AN841" s="270" t="str">
        <f>IF(ISNUMBER(SEARCH("R", 'Dry_Litterbag Placem_Collection'!V182)),"YES","NO")</f>
        <v>NO</v>
      </c>
    </row>
    <row r="842" spans="1:40" ht="15" customHeight="1">
      <c r="A842" s="262" t="s">
        <v>2659</v>
      </c>
      <c r="B842" s="263">
        <f>'Dry_Litterbag Placem_Collection'!A183</f>
        <v>181</v>
      </c>
      <c r="C842" s="263" t="str">
        <f>'Dry_Litterbag Placem_Collection'!B183</f>
        <v>Handajega</v>
      </c>
      <c r="D842" s="263" t="s">
        <v>2460</v>
      </c>
      <c r="E842" s="263" t="s">
        <v>2661</v>
      </c>
      <c r="F842" s="263">
        <v>3</v>
      </c>
      <c r="G842" s="264" t="str">
        <f>'Dry_Litterbag Placem_Collection'!C183</f>
        <v>Wet_W3_T5</v>
      </c>
      <c r="H842" s="273" t="s">
        <v>3651</v>
      </c>
      <c r="I842" s="274" t="s">
        <v>298</v>
      </c>
      <c r="J842" s="263" t="str">
        <f>IF(ISBLANK('Dry_Litterbag Placem_Collection'!M183),"","R"&amp;""&amp;'Dry_Litterbag Placem_Collection'!M183)</f>
        <v>R170</v>
      </c>
      <c r="K842" s="267">
        <f>IFERROR(INDEX('Green_rooibos initial weight'!$C$5:$C$1749,MATCH(J842, 'Green_rooibos initial weight'!$A$5:$A$1749,0)),"")</f>
        <v>2.1120000000000001</v>
      </c>
      <c r="L842" s="267">
        <f>IFERROR(K842-(TBIcalc!$Q$9+TBIcalc!$Q$10),"")</f>
        <v>1.8622000000000001</v>
      </c>
      <c r="M842" s="391">
        <f>AVERAGE(Ashed_controlls!$K$12:$K$14)</f>
        <v>2.2816647271287041</v>
      </c>
      <c r="N842" s="267">
        <f t="shared" si="66"/>
        <v>1.8197108394514094</v>
      </c>
      <c r="O842" s="267">
        <f>IF(IFERROR(INDEX('Both teabags AfterDry'!$D$3:$D$900,MATCH(J842,'Both teabags AfterDry'!$A$3:$A$900,0)),"")="","",(IFERROR(INDEX('Both teabags AfterDry'!$D$3:$D$900,MATCH(J842,'Both teabags AfterDry'!$A$3:$A$900,0)),"")))</f>
        <v>1.7410000000000001</v>
      </c>
      <c r="P842" s="267">
        <f>IFERROR(IF(O842&gt;0,O842-(TBIcalc!$Q$9),""),"")</f>
        <v>1.5904</v>
      </c>
      <c r="Q842" s="278">
        <f>IFERROR(INDEX('Ashed teabags dry'!$K$2:$K$825,MATCH(J842,'Ashed teabags dry'!$A$2:$A$825,0)),"")</f>
        <v>7.9387186629519642</v>
      </c>
      <c r="R842" s="278">
        <f t="shared" si="67"/>
        <v>1.464142618384412</v>
      </c>
      <c r="S842" s="268">
        <f>'Dry_Litterbag Placem_Collection'!E183</f>
        <v>42940</v>
      </c>
      <c r="T842" s="268">
        <f>IF('Dry_Litterbag Placem_Collection'!G183="","",'Dry_Litterbag Placem_Collection'!G183)</f>
        <v>43009</v>
      </c>
      <c r="U842" s="269">
        <f t="shared" si="65"/>
        <v>69</v>
      </c>
      <c r="V842" s="267">
        <f t="shared" si="68"/>
        <v>0.27180000000000004</v>
      </c>
      <c r="W842" s="267">
        <f t="shared" si="69"/>
        <v>0.35556822106699748</v>
      </c>
      <c r="X842" s="271">
        <f>IFERROR(INDEX(Rainfall_Dry!$O$2:$O$217,MATCH(B842, Rainfall_Dry!$A$2:$A$217,0)),"")</f>
        <v>162.634207253</v>
      </c>
      <c r="Y842" s="260">
        <v>25.96</v>
      </c>
      <c r="Z842" s="260">
        <v>8.9200000000000017</v>
      </c>
      <c r="AA842" s="260">
        <v>65.12</v>
      </c>
      <c r="AB842" s="261" t="s">
        <v>2670</v>
      </c>
      <c r="AC842" s="260">
        <v>5.6145884672252304</v>
      </c>
      <c r="AD842">
        <f>IF('WetLitterbags placem_collection'!AB183="","",'WetLitterbags placem_collection'!AB183)</f>
        <v>11.4</v>
      </c>
      <c r="AE842">
        <f>IF('WetLitterbags placem_collection'!Z183="","",'WetLitterbags placem_collection'!Z183)</f>
        <v>15.8</v>
      </c>
      <c r="AF842" s="246" t="str">
        <f>IF('WetLitterbags placem_collection'!AA183="","",'WetLitterbags placem_collection'!AA183)</f>
        <v>O</v>
      </c>
      <c r="AG842">
        <f>IF('WetLitterbags placem_collection'!AC183="","",'WetLitterbags placem_collection'!AC183)</f>
        <v>1</v>
      </c>
      <c r="AH842">
        <f>IFERROR(AVERAGE('Dry_Litterbag Placem_Collection'!O183,'Dry_Litterbag Placem_Collection'!R183),"")</f>
        <v>4.3000000000000007</v>
      </c>
      <c r="AI842" s="271">
        <f>IFERROR(AVERAGE('Dry_Litterbag Placem_Collection'!N183,'Dry_Litterbag Placem_Collection'!Q183),"")</f>
        <v>35.099999999999994</v>
      </c>
      <c r="AJ842" s="270">
        <f>INDEX(Coordinates!$B$2:$B$197,MATCH(G842,Coordinates!$J$2:$J$197,0))</f>
        <v>-2.2777329850000001</v>
      </c>
      <c r="AK842" s="270">
        <f>INDEX(Coordinates!$C$2:$C$197,MATCH(G842,Coordinates!$J$2:$J$197,0))</f>
        <v>34.027422970000003</v>
      </c>
      <c r="AL842" s="270" t="str">
        <f>IF(ISNUMBER(SEARCH("C", 'Dry_Litterbag Placem_Collection'!V183)),"YES","NO")</f>
        <v>NO</v>
      </c>
      <c r="AM842" s="270" t="str">
        <f>IF(ISNUMBER(SEARCH("H", 'Dry_Litterbag Placem_Collection'!V183)),"YES","NO")</f>
        <v>NO</v>
      </c>
      <c r="AN842" s="270" t="str">
        <f>IF(ISNUMBER(SEARCH("R", 'Dry_Litterbag Placem_Collection'!V183)),"YES","NO")</f>
        <v>NO</v>
      </c>
    </row>
    <row r="843" spans="1:40" ht="15" customHeight="1">
      <c r="A843" s="262" t="s">
        <v>2659</v>
      </c>
      <c r="B843" s="263">
        <f>'Dry_Litterbag Placem_Collection'!A184</f>
        <v>182</v>
      </c>
      <c r="C843" s="263" t="str">
        <f>'Dry_Litterbag Placem_Collection'!B184</f>
        <v>Handajega</v>
      </c>
      <c r="D843" s="263" t="s">
        <v>2460</v>
      </c>
      <c r="E843" s="263" t="s">
        <v>2661</v>
      </c>
      <c r="F843" s="263">
        <v>3</v>
      </c>
      <c r="G843" s="264" t="str">
        <f>'Dry_Litterbag Placem_Collection'!C184</f>
        <v>Wet_W3_T6</v>
      </c>
      <c r="H843" s="273" t="s">
        <v>3651</v>
      </c>
      <c r="I843" s="274" t="s">
        <v>298</v>
      </c>
      <c r="J843" s="263" t="str">
        <f>IF(ISBLANK('Dry_Litterbag Placem_Collection'!M184),"","R"&amp;""&amp;'Dry_Litterbag Placem_Collection'!M184)</f>
        <v>R697</v>
      </c>
      <c r="K843" s="267">
        <f>IFERROR(INDEX('Green_rooibos initial weight'!$C$5:$C$1749,MATCH(J843, 'Green_rooibos initial weight'!$A$5:$A$1749,0)),"")</f>
        <v>2.133</v>
      </c>
      <c r="L843" s="267">
        <f>IFERROR(K843-(TBIcalc!$Q$9+TBIcalc!$Q$10),"")</f>
        <v>1.8832</v>
      </c>
      <c r="M843" s="391">
        <f>AVERAGE(Ashed_controlls!$K$12:$K$14)</f>
        <v>2.2816647271287041</v>
      </c>
      <c r="N843" s="267">
        <f t="shared" si="66"/>
        <v>1.8402316898587123</v>
      </c>
      <c r="O843" s="267">
        <f>IF(IFERROR(INDEX('Both teabags AfterDry'!$D$3:$D$900,MATCH(J843,'Both teabags AfterDry'!$A$3:$A$900,0)),"")="","",(IFERROR(INDEX('Both teabags AfterDry'!$D$3:$D$900,MATCH(J843,'Both teabags AfterDry'!$A$3:$A$900,0)),"")))</f>
        <v>1.8089</v>
      </c>
      <c r="P843" s="267">
        <f>IFERROR(IF(O843&gt;0,O843-(TBIcalc!$Q$9),""),"")</f>
        <v>1.6582999999999999</v>
      </c>
      <c r="Q843" s="278">
        <f>IFERROR(INDEX('Ashed teabags dry'!$K$2:$K$825,MATCH(J843,'Ashed teabags dry'!$A$2:$A$825,0)),"")</f>
        <v>9.0456806874716023</v>
      </c>
      <c r="R843" s="278">
        <f t="shared" si="67"/>
        <v>1.5082954771596584</v>
      </c>
      <c r="S843" s="268">
        <f>'Dry_Litterbag Placem_Collection'!E184</f>
        <v>42940</v>
      </c>
      <c r="T843" s="268">
        <f>IF('Dry_Litterbag Placem_Collection'!G184="","",'Dry_Litterbag Placem_Collection'!G184)</f>
        <v>43009</v>
      </c>
      <c r="U843" s="269">
        <f t="shared" si="65"/>
        <v>69</v>
      </c>
      <c r="V843" s="267">
        <f t="shared" si="68"/>
        <v>0.2249000000000001</v>
      </c>
      <c r="W843" s="267">
        <f t="shared" si="69"/>
        <v>0.33193621269905393</v>
      </c>
      <c r="X843" s="271">
        <f>IFERROR(INDEX(Rainfall_Dry!$O$2:$O$217,MATCH(B843, Rainfall_Dry!$A$2:$A$217,0)),"")</f>
        <v>162.634207253</v>
      </c>
      <c r="Y843" s="260">
        <v>25.96</v>
      </c>
      <c r="Z843" s="260">
        <v>8.9200000000000017</v>
      </c>
      <c r="AA843" s="260">
        <v>65.12</v>
      </c>
      <c r="AB843" s="261" t="s">
        <v>2670</v>
      </c>
      <c r="AC843" s="260">
        <v>6.6145884672252304</v>
      </c>
      <c r="AD843">
        <f>IF('WetLitterbags placem_collection'!AB184="","",'WetLitterbags placem_collection'!AB184)</f>
        <v>8.8000000000000007</v>
      </c>
      <c r="AE843">
        <f>IF('WetLitterbags placem_collection'!Z184="","",'WetLitterbags placem_collection'!Z184)</f>
        <v>15.8</v>
      </c>
      <c r="AF843" s="246" t="str">
        <f>IF('WetLitterbags placem_collection'!AA184="","",'WetLitterbags placem_collection'!AA184)</f>
        <v>O</v>
      </c>
      <c r="AG843">
        <f>IF('WetLitterbags placem_collection'!AC184="","",'WetLitterbags placem_collection'!AC184)</f>
        <v>1</v>
      </c>
      <c r="AH843">
        <f>IFERROR(AVERAGE('Dry_Litterbag Placem_Collection'!O184,'Dry_Litterbag Placem_Collection'!R184),"")</f>
        <v>6.55</v>
      </c>
      <c r="AI843" s="271">
        <f>IFERROR(AVERAGE('Dry_Litterbag Placem_Collection'!N184,'Dry_Litterbag Placem_Collection'!Q184),"")</f>
        <v>36.400000000000006</v>
      </c>
      <c r="AJ843" s="270">
        <f>INDEX(Coordinates!$B$2:$B$197,MATCH(G843,Coordinates!$J$2:$J$197,0))</f>
        <v>-2.2777009659999998</v>
      </c>
      <c r="AK843" s="270">
        <f>INDEX(Coordinates!$C$2:$C$197,MATCH(G843,Coordinates!$J$2:$J$197,0))</f>
        <v>34.027393969999999</v>
      </c>
      <c r="AL843" s="270" t="str">
        <f>IF(ISNUMBER(SEARCH("C", 'Dry_Litterbag Placem_Collection'!V184)),"YES","NO")</f>
        <v>NO</v>
      </c>
      <c r="AM843" s="270" t="str">
        <f>IF(ISNUMBER(SEARCH("H", 'Dry_Litterbag Placem_Collection'!V184)),"YES","NO")</f>
        <v>NO</v>
      </c>
      <c r="AN843" s="270" t="str">
        <f>IF(ISNUMBER(SEARCH("R", 'Dry_Litterbag Placem_Collection'!V184)),"YES","NO")</f>
        <v>NO</v>
      </c>
    </row>
    <row r="844" spans="1:40" ht="15" customHeight="1">
      <c r="A844" s="262" t="s">
        <v>2659</v>
      </c>
      <c r="B844" s="263">
        <f>'Dry_Litterbag Placem_Collection'!A185</f>
        <v>183</v>
      </c>
      <c r="C844" s="263" t="str">
        <f>'Dry_Litterbag Placem_Collection'!B185</f>
        <v>Handajega</v>
      </c>
      <c r="D844" s="263" t="s">
        <v>2460</v>
      </c>
      <c r="E844" s="263" t="s">
        <v>2661</v>
      </c>
      <c r="F844" s="263">
        <v>3</v>
      </c>
      <c r="G844" s="264" t="str">
        <f>'Dry_Litterbag Placem_Collection'!C185</f>
        <v>Wet_W3_T7</v>
      </c>
      <c r="H844" s="273" t="s">
        <v>3651</v>
      </c>
      <c r="I844" s="274" t="s">
        <v>298</v>
      </c>
      <c r="J844" s="263" t="str">
        <f>IF(ISBLANK('Dry_Litterbag Placem_Collection'!M185),"","R"&amp;""&amp;'Dry_Litterbag Placem_Collection'!M185)</f>
        <v/>
      </c>
      <c r="K844" s="267" t="str">
        <f>IFERROR(INDEX('Green_rooibos initial weight'!$C$5:$C$1749,MATCH(J844, 'Green_rooibos initial weight'!$A$5:$A$1749,0)),"")</f>
        <v/>
      </c>
      <c r="L844" s="267" t="str">
        <f>IFERROR(K844-(TBIcalc!$Q$9+TBIcalc!$Q$10),"")</f>
        <v/>
      </c>
      <c r="M844" s="391">
        <f>AVERAGE(Ashed_controlls!$K$12:$K$14)</f>
        <v>2.2816647271287041</v>
      </c>
      <c r="N844" s="267" t="str">
        <f t="shared" si="66"/>
        <v/>
      </c>
      <c r="O844" s="267" t="str">
        <f>IF(IFERROR(INDEX('Both teabags AfterDry'!$D$3:$D$900,MATCH(J844,'Both teabags AfterDry'!$A$3:$A$900,0)),"")="","",(IFERROR(INDEX('Both teabags AfterDry'!$D$3:$D$900,MATCH(J844,'Both teabags AfterDry'!$A$3:$A$900,0)),"")))</f>
        <v/>
      </c>
      <c r="P844" s="267" t="str">
        <f>IFERROR(IF(O844&gt;0,O844-(TBIcalc!$Q$9),""),"")</f>
        <v/>
      </c>
      <c r="Q844" s="278" t="str">
        <f>IFERROR(INDEX('Ashed teabags dry'!$K$2:$K$825,MATCH(J844,'Ashed teabags dry'!$A$2:$A$825,0)),"")</f>
        <v/>
      </c>
      <c r="R844" s="278" t="str">
        <f t="shared" si="67"/>
        <v/>
      </c>
      <c r="S844" s="268">
        <f>'Dry_Litterbag Placem_Collection'!E185</f>
        <v>0</v>
      </c>
      <c r="T844" s="268" t="str">
        <f>IF('Dry_Litterbag Placem_Collection'!G185="","",'Dry_Litterbag Placem_Collection'!G185)</f>
        <v/>
      </c>
      <c r="U844" s="269" t="str">
        <f t="shared" si="65"/>
        <v/>
      </c>
      <c r="V844" s="267" t="str">
        <f t="shared" si="68"/>
        <v/>
      </c>
      <c r="W844" s="267" t="str">
        <f t="shared" si="69"/>
        <v/>
      </c>
      <c r="X844" s="271" t="str">
        <f>IFERROR(INDEX(Rainfall_Dry!$O$2:$O$217,MATCH(B844, Rainfall_Dry!$A$2:$A$217,0)),"")</f>
        <v/>
      </c>
      <c r="Y844" s="260">
        <v>25.96</v>
      </c>
      <c r="Z844" s="260">
        <v>8.9200000000000017</v>
      </c>
      <c r="AA844" s="260">
        <v>65.12</v>
      </c>
      <c r="AB844" s="261" t="s">
        <v>2670</v>
      </c>
      <c r="AC844" s="260">
        <v>7.6145884672252304</v>
      </c>
      <c r="AD844">
        <f>IF('WetLitterbags placem_collection'!AB185="","",'WetLitterbags placem_collection'!AB185)</f>
        <v>11.4</v>
      </c>
      <c r="AE844">
        <f>IF('WetLitterbags placem_collection'!Z185="","",'WetLitterbags placem_collection'!Z185)</f>
        <v>35.799999999999997</v>
      </c>
      <c r="AF844" s="246" t="str">
        <f>IF('WetLitterbags placem_collection'!AA185="","",'WetLitterbags placem_collection'!AA185)</f>
        <v>G</v>
      </c>
      <c r="AG844">
        <f>IF('WetLitterbags placem_collection'!AC185="","",'WetLitterbags placem_collection'!AC185)</f>
        <v>1</v>
      </c>
      <c r="AH844" t="str">
        <f>IFERROR(AVERAGE('Dry_Litterbag Placem_Collection'!O185,'Dry_Litterbag Placem_Collection'!R185),"")</f>
        <v/>
      </c>
      <c r="AI844" s="271" t="str">
        <f>IFERROR(AVERAGE('Dry_Litterbag Placem_Collection'!N185,'Dry_Litterbag Placem_Collection'!Q185),"")</f>
        <v/>
      </c>
      <c r="AJ844" s="270">
        <f>INDEX(Coordinates!$B$2:$B$197,MATCH(G844,Coordinates!$J$2:$J$197,0))</f>
        <v>-2.2777790019999999</v>
      </c>
      <c r="AK844" s="270">
        <f>INDEX(Coordinates!$C$2:$C$197,MATCH(G844,Coordinates!$J$2:$J$197,0))</f>
        <v>34.028066029999998</v>
      </c>
      <c r="AL844" s="270" t="str">
        <f>IF(ISNUMBER(SEARCH("C", 'Dry_Litterbag Placem_Collection'!V185)),"YES","NO")</f>
        <v>NO</v>
      </c>
      <c r="AM844" s="270" t="str">
        <f>IF(ISNUMBER(SEARCH("H", 'Dry_Litterbag Placem_Collection'!V185)),"YES","NO")</f>
        <v>NO</v>
      </c>
      <c r="AN844" s="270" t="str">
        <f>IF(ISNUMBER(SEARCH("R", 'Dry_Litterbag Placem_Collection'!V185)),"YES","NO")</f>
        <v>NO</v>
      </c>
    </row>
    <row r="845" spans="1:40" ht="15" customHeight="1">
      <c r="A845" s="262" t="s">
        <v>2659</v>
      </c>
      <c r="B845" s="263">
        <f>'Dry_Litterbag Placem_Collection'!A186</f>
        <v>184</v>
      </c>
      <c r="C845" s="263" t="str">
        <f>'Dry_Litterbag Placem_Collection'!B186</f>
        <v>Handajega</v>
      </c>
      <c r="D845" s="263" t="s">
        <v>2460</v>
      </c>
      <c r="E845" s="263" t="s">
        <v>2661</v>
      </c>
      <c r="F845" s="263">
        <v>3</v>
      </c>
      <c r="G845" s="264" t="str">
        <f>'Dry_Litterbag Placem_Collection'!C186</f>
        <v>Wet_W3_T8</v>
      </c>
      <c r="H845" s="273" t="s">
        <v>3651</v>
      </c>
      <c r="I845" s="274" t="s">
        <v>298</v>
      </c>
      <c r="J845" s="263" t="str">
        <f>IF(ISBLANK('Dry_Litterbag Placem_Collection'!M186),"","R"&amp;""&amp;'Dry_Litterbag Placem_Collection'!M186)</f>
        <v>R674</v>
      </c>
      <c r="K845" s="267">
        <f>IFERROR(INDEX('Green_rooibos initial weight'!$C$5:$C$1749,MATCH(J845, 'Green_rooibos initial weight'!$A$5:$A$1749,0)),"")</f>
        <v>2.1629999999999998</v>
      </c>
      <c r="L845" s="267">
        <f>IFERROR(K845-(TBIcalc!$Q$9+TBIcalc!$Q$10),"")</f>
        <v>1.9131999999999998</v>
      </c>
      <c r="M845" s="391">
        <f>AVERAGE(Ashed_controlls!$K$12:$K$14)</f>
        <v>2.2816647271287041</v>
      </c>
      <c r="N845" s="267">
        <f t="shared" si="66"/>
        <v>1.8695471904405734</v>
      </c>
      <c r="O845" s="267">
        <f>IF(IFERROR(INDEX('Both teabags AfterDry'!$D$3:$D$900,MATCH(J845,'Both teabags AfterDry'!$A$3:$A$900,0)),"")="","",(IFERROR(INDEX('Both teabags AfterDry'!$D$3:$D$900,MATCH(J845,'Both teabags AfterDry'!$A$3:$A$900,0)),"")))</f>
        <v>1.6498999999999999</v>
      </c>
      <c r="P845" s="267">
        <f>IFERROR(IF(O845&gt;0,O845-(TBIcalc!$Q$9),""),"")</f>
        <v>1.4992999999999999</v>
      </c>
      <c r="Q845" s="278">
        <f>IFERROR(INDEX('Ashed teabags dry'!$K$2:$K$825,MATCH(J845,'Ashed teabags dry'!$A$2:$A$825,0)),"")</f>
        <v>8.2802547770705939</v>
      </c>
      <c r="R845" s="278">
        <f t="shared" si="67"/>
        <v>1.3751541401273806</v>
      </c>
      <c r="S845" s="268">
        <f>'Dry_Litterbag Placem_Collection'!E186</f>
        <v>42940</v>
      </c>
      <c r="T845" s="268">
        <f>IF('Dry_Litterbag Placem_Collection'!G186="","",'Dry_Litterbag Placem_Collection'!G186)</f>
        <v>43009</v>
      </c>
      <c r="U845" s="269">
        <f t="shared" si="65"/>
        <v>69</v>
      </c>
      <c r="V845" s="267">
        <f t="shared" si="68"/>
        <v>0.41389999999999993</v>
      </c>
      <c r="W845" s="267">
        <f t="shared" si="69"/>
        <v>0.49439305031319281</v>
      </c>
      <c r="X845" s="271">
        <f>IFERROR(INDEX(Rainfall_Dry!$O$2:$O$217,MATCH(B845, Rainfall_Dry!$A$2:$A$217,0)),"")</f>
        <v>162.634207253</v>
      </c>
      <c r="Y845" s="260">
        <v>25.96</v>
      </c>
      <c r="Z845" s="260">
        <v>8.9200000000000017</v>
      </c>
      <c r="AA845" s="260">
        <v>65.12</v>
      </c>
      <c r="AB845" s="261" t="s">
        <v>2670</v>
      </c>
      <c r="AC845" s="260">
        <v>8.6145884672252304</v>
      </c>
      <c r="AD845">
        <f>IF('WetLitterbags placem_collection'!AB186="","",'WetLitterbags placem_collection'!AB186)</f>
        <v>3.7</v>
      </c>
      <c r="AE845">
        <f>IF('WetLitterbags placem_collection'!Z186="","",'WetLitterbags placem_collection'!Z186)</f>
        <v>16.399999999999999</v>
      </c>
      <c r="AF845" s="246" t="str">
        <f>IF('WetLitterbags placem_collection'!AA186="","",'WetLitterbags placem_collection'!AA186)</f>
        <v>O</v>
      </c>
      <c r="AG845">
        <f>IF('WetLitterbags placem_collection'!AC186="","",'WetLitterbags placem_collection'!AC186)</f>
        <v>0</v>
      </c>
      <c r="AH845">
        <f>IFERROR(AVERAGE('Dry_Litterbag Placem_Collection'!O186,'Dry_Litterbag Placem_Collection'!R186),"")</f>
        <v>4.3</v>
      </c>
      <c r="AI845" s="271">
        <f>IFERROR(AVERAGE('Dry_Litterbag Placem_Collection'!N186,'Dry_Litterbag Placem_Collection'!Q186),"")</f>
        <v>28.05</v>
      </c>
      <c r="AJ845" s="270">
        <f>INDEX(Coordinates!$B$2:$B$197,MATCH(G845,Coordinates!$J$2:$J$197,0))</f>
        <v>-2.2775169829999999</v>
      </c>
      <c r="AK845" s="270">
        <f>INDEX(Coordinates!$C$2:$C$197,MATCH(G845,Coordinates!$J$2:$J$197,0))</f>
        <v>34.027766970000002</v>
      </c>
      <c r="AL845" s="270" t="str">
        <f>IF(ISNUMBER(SEARCH("C", 'Dry_Litterbag Placem_Collection'!V186)),"YES","NO")</f>
        <v>NO</v>
      </c>
      <c r="AM845" s="270" t="str">
        <f>IF(ISNUMBER(SEARCH("H", 'Dry_Litterbag Placem_Collection'!V186)),"YES","NO")</f>
        <v>NO</v>
      </c>
      <c r="AN845" s="270" t="str">
        <f>IF(ISNUMBER(SEARCH("R", 'Dry_Litterbag Placem_Collection'!V186)),"YES","NO")</f>
        <v>NO</v>
      </c>
    </row>
    <row r="846" spans="1:40" ht="15" customHeight="1">
      <c r="A846" s="262" t="s">
        <v>2659</v>
      </c>
      <c r="B846" s="263">
        <f>'Dry_Litterbag Placem_Collection'!A187</f>
        <v>185</v>
      </c>
      <c r="C846" s="263" t="str">
        <f>'Dry_Litterbag Placem_Collection'!B187</f>
        <v>Handajega</v>
      </c>
      <c r="D846" s="263" t="s">
        <v>2460</v>
      </c>
      <c r="E846" s="263" t="s">
        <v>2661</v>
      </c>
      <c r="F846" s="263">
        <v>4</v>
      </c>
      <c r="G846" s="264" t="str">
        <f>'Dry_Litterbag Placem_Collection'!C187</f>
        <v>Wet_W4_T1</v>
      </c>
      <c r="H846" s="273" t="s">
        <v>3651</v>
      </c>
      <c r="I846" s="274" t="s">
        <v>298</v>
      </c>
      <c r="J846" s="263" t="str">
        <f>IF(ISBLANK('Dry_Litterbag Placem_Collection'!M187),"","R"&amp;""&amp;'Dry_Litterbag Placem_Collection'!M187)</f>
        <v>R607</v>
      </c>
      <c r="K846" s="267">
        <f>IFERROR(INDEX('Green_rooibos initial weight'!$C$5:$C$1749,MATCH(J846, 'Green_rooibos initial weight'!$A$5:$A$1749,0)),"")</f>
        <v>2.14</v>
      </c>
      <c r="L846" s="267">
        <f>IFERROR(K846-(TBIcalc!$Q$9+TBIcalc!$Q$10),"")</f>
        <v>1.8902000000000001</v>
      </c>
      <c r="M846" s="391">
        <f>AVERAGE(Ashed_controlls!$K$12:$K$14)</f>
        <v>2.2816647271287041</v>
      </c>
      <c r="N846" s="267">
        <f t="shared" si="66"/>
        <v>1.8470719733278134</v>
      </c>
      <c r="O846" s="267" t="str">
        <f>IF(IFERROR(INDEX('Both teabags AfterDry'!$D$3:$D$900,MATCH(J846,'Both teabags AfterDry'!$A$3:$A$900,0)),"")="","",(IFERROR(INDEX('Both teabags AfterDry'!$D$3:$D$900,MATCH(J846,'Both teabags AfterDry'!$A$3:$A$900,0)),"")))</f>
        <v/>
      </c>
      <c r="P846" s="267" t="str">
        <f>IFERROR(IF(O846&gt;0,O846-(TBIcalc!$Q$9),""),"")</f>
        <v/>
      </c>
      <c r="Q846" s="278" t="str">
        <f>IFERROR(INDEX('Ashed teabags dry'!$K$2:$K$825,MATCH(J846,'Ashed teabags dry'!$A$2:$A$825,0)),"")</f>
        <v/>
      </c>
      <c r="R846" s="278" t="str">
        <f t="shared" si="67"/>
        <v/>
      </c>
      <c r="S846" s="268">
        <f>'Dry_Litterbag Placem_Collection'!E187</f>
        <v>42940</v>
      </c>
      <c r="T846" s="268">
        <f>IF('Dry_Litterbag Placem_Collection'!G187="","",'Dry_Litterbag Placem_Collection'!G187)</f>
        <v>43009</v>
      </c>
      <c r="U846" s="269">
        <f t="shared" si="65"/>
        <v>69</v>
      </c>
      <c r="V846" s="267" t="str">
        <f t="shared" si="68"/>
        <v/>
      </c>
      <c r="W846" s="267" t="str">
        <f t="shared" si="69"/>
        <v/>
      </c>
      <c r="X846" s="271">
        <f>IFERROR(INDEX(Rainfall_Dry!$O$2:$O$217,MATCH(B846, Rainfall_Dry!$A$2:$A$217,0)),"")</f>
        <v>162.634207253</v>
      </c>
      <c r="Y846" s="260">
        <v>25.96</v>
      </c>
      <c r="Z846" s="260">
        <v>8.9200000000000017</v>
      </c>
      <c r="AA846" s="260">
        <v>65.12</v>
      </c>
      <c r="AB846" s="261" t="s">
        <v>2670</v>
      </c>
      <c r="AC846" s="260">
        <v>1.6991621488417901</v>
      </c>
      <c r="AD846">
        <f>IF('WetLitterbags placem_collection'!AB187="","",'WetLitterbags placem_collection'!AB187)</f>
        <v>9.8000000000000007</v>
      </c>
      <c r="AE846">
        <f>IF('WetLitterbags placem_collection'!Z187="","",'WetLitterbags placem_collection'!Z187)</f>
        <v>29.4</v>
      </c>
      <c r="AF846" s="246" t="str">
        <f>IF('WetLitterbags placem_collection'!AA187="","",'WetLitterbags placem_collection'!AA187)</f>
        <v>O</v>
      </c>
      <c r="AG846">
        <f>IF('WetLitterbags placem_collection'!AC187="","",'WetLitterbags placem_collection'!AC187)</f>
        <v>0</v>
      </c>
      <c r="AH846">
        <f>IFERROR(AVERAGE('Dry_Litterbag Placem_Collection'!O187,'Dry_Litterbag Placem_Collection'!R187),"")</f>
        <v>4.9000000000000004</v>
      </c>
      <c r="AI846" s="271">
        <f>IFERROR(AVERAGE('Dry_Litterbag Placem_Collection'!N187,'Dry_Litterbag Placem_Collection'!Q187),"")</f>
        <v>35</v>
      </c>
      <c r="AJ846" s="270">
        <f>INDEX(Coordinates!$B$2:$B$197,MATCH(G846,Coordinates!$J$2:$J$197,0))</f>
        <v>-2.2787330300000002</v>
      </c>
      <c r="AK846" s="270">
        <f>INDEX(Coordinates!$C$2:$C$197,MATCH(G846,Coordinates!$J$2:$J$197,0))</f>
        <v>34.032136029999997</v>
      </c>
      <c r="AL846" s="270" t="str">
        <f>IF(ISNUMBER(SEARCH("C", 'Dry_Litterbag Placem_Collection'!V187)),"YES","NO")</f>
        <v>NO</v>
      </c>
      <c r="AM846" s="270" t="str">
        <f>IF(ISNUMBER(SEARCH("H", 'Dry_Litterbag Placem_Collection'!V187)),"YES","NO")</f>
        <v>NO</v>
      </c>
      <c r="AN846" s="270" t="str">
        <f>IF(ISNUMBER(SEARCH("R", 'Dry_Litterbag Placem_Collection'!V187)),"YES","NO")</f>
        <v>NO</v>
      </c>
    </row>
    <row r="847" spans="1:40" ht="15" customHeight="1">
      <c r="A847" s="262" t="s">
        <v>2659</v>
      </c>
      <c r="B847" s="263">
        <f>'Dry_Litterbag Placem_Collection'!A188</f>
        <v>186</v>
      </c>
      <c r="C847" s="263" t="str">
        <f>'Dry_Litterbag Placem_Collection'!B188</f>
        <v>Handajega</v>
      </c>
      <c r="D847" s="263" t="s">
        <v>2460</v>
      </c>
      <c r="E847" s="263" t="s">
        <v>2661</v>
      </c>
      <c r="F847" s="263">
        <v>4</v>
      </c>
      <c r="G847" s="264" t="str">
        <f>'Dry_Litterbag Placem_Collection'!C188</f>
        <v>Wet_W4_T2</v>
      </c>
      <c r="H847" s="273" t="s">
        <v>3651</v>
      </c>
      <c r="I847" s="274" t="s">
        <v>298</v>
      </c>
      <c r="J847" s="263" t="str">
        <f>IF(ISBLANK('Dry_Litterbag Placem_Collection'!M188),"","R"&amp;""&amp;'Dry_Litterbag Placem_Collection'!M188)</f>
        <v>R629</v>
      </c>
      <c r="K847" s="267">
        <f>IFERROR(INDEX('Green_rooibos initial weight'!$C$5:$C$1749,MATCH(J847, 'Green_rooibos initial weight'!$A$5:$A$1749,0)),"")</f>
        <v>2.1669999999999998</v>
      </c>
      <c r="L847" s="267">
        <f>IFERROR(K847-(TBIcalc!$Q$9+TBIcalc!$Q$10),"")</f>
        <v>1.9171999999999998</v>
      </c>
      <c r="M847" s="391">
        <f>AVERAGE(Ashed_controlls!$K$12:$K$14)</f>
        <v>2.2816647271287041</v>
      </c>
      <c r="N847" s="267">
        <f t="shared" si="66"/>
        <v>1.8734559238514883</v>
      </c>
      <c r="O847" s="267">
        <f>IF(IFERROR(INDEX('Both teabags AfterDry'!$D$3:$D$900,MATCH(J847,'Both teabags AfterDry'!$A$3:$A$900,0)),"")="","",(IFERROR(INDEX('Both teabags AfterDry'!$D$3:$D$900,MATCH(J847,'Both teabags AfterDry'!$A$3:$A$900,0)),"")))</f>
        <v>1.8498000000000001</v>
      </c>
      <c r="P847" s="267">
        <f>IFERROR(IF(O847&gt;0,O847-(TBIcalc!$Q$9),""),"")</f>
        <v>1.6992</v>
      </c>
      <c r="Q847" s="278">
        <f>IFERROR(INDEX('Ashed teabags dry'!$K$2:$K$825,MATCH(J847,'Ashed teabags dry'!$A$2:$A$825,0)),"")</f>
        <v>8.1542968749998188</v>
      </c>
      <c r="R847" s="278">
        <f t="shared" si="67"/>
        <v>1.5606421875000032</v>
      </c>
      <c r="S847" s="268">
        <f>'Dry_Litterbag Placem_Collection'!E188</f>
        <v>42940</v>
      </c>
      <c r="T847" s="268">
        <f>IF('Dry_Litterbag Placem_Collection'!G188="","",'Dry_Litterbag Placem_Collection'!G188)</f>
        <v>43009</v>
      </c>
      <c r="U847" s="269">
        <f t="shared" si="65"/>
        <v>69</v>
      </c>
      <c r="V847" s="267">
        <f t="shared" si="68"/>
        <v>0.21799999999999975</v>
      </c>
      <c r="W847" s="267">
        <f t="shared" si="69"/>
        <v>0.31281373635148513</v>
      </c>
      <c r="X847" s="271">
        <f>IFERROR(INDEX(Rainfall_Dry!$O$2:$O$217,MATCH(B847, Rainfall_Dry!$A$2:$A$217,0)),"")</f>
        <v>162.634207253</v>
      </c>
      <c r="Y847" s="260">
        <v>25.96</v>
      </c>
      <c r="Z847" s="260">
        <v>8.9200000000000017</v>
      </c>
      <c r="AA847" s="260">
        <v>65.12</v>
      </c>
      <c r="AB847" s="261" t="s">
        <v>2670</v>
      </c>
      <c r="AC847" s="260">
        <v>2.6991621488417898</v>
      </c>
      <c r="AD847">
        <f>IF('WetLitterbags placem_collection'!AB188="","",'WetLitterbags placem_collection'!AB188)</f>
        <v>11.4</v>
      </c>
      <c r="AE847">
        <f>IF('WetLitterbags placem_collection'!Z188="","",'WetLitterbags placem_collection'!Z188)</f>
        <v>45.4</v>
      </c>
      <c r="AF847" s="246" t="str">
        <f>IF('WetLitterbags placem_collection'!AA188="","",'WetLitterbags placem_collection'!AA188)</f>
        <v>O</v>
      </c>
      <c r="AG847">
        <f>IF('WetLitterbags placem_collection'!AC188="","",'WetLitterbags placem_collection'!AC188)</f>
        <v>0</v>
      </c>
      <c r="AH847">
        <f>IFERROR(AVERAGE('Dry_Litterbag Placem_Collection'!O188,'Dry_Litterbag Placem_Collection'!R188),"")</f>
        <v>7.55</v>
      </c>
      <c r="AI847" s="271">
        <f>IFERROR(AVERAGE('Dry_Litterbag Placem_Collection'!N188,'Dry_Litterbag Placem_Collection'!Q188),"")</f>
        <v>35.299999999999997</v>
      </c>
      <c r="AJ847" s="270">
        <f>INDEX(Coordinates!$B$2:$B$197,MATCH(G847,Coordinates!$J$2:$J$197,0))</f>
        <v>-2.278763037</v>
      </c>
      <c r="AK847" s="270">
        <f>INDEX(Coordinates!$C$2:$C$197,MATCH(G847,Coordinates!$J$2:$J$197,0))</f>
        <v>34.031974009999999</v>
      </c>
      <c r="AL847" s="270" t="str">
        <f>IF(ISNUMBER(SEARCH("C", 'Dry_Litterbag Placem_Collection'!V188)),"YES","NO")</f>
        <v>NO</v>
      </c>
      <c r="AM847" s="270" t="str">
        <f>IF(ISNUMBER(SEARCH("H", 'Dry_Litterbag Placem_Collection'!V188)),"YES","NO")</f>
        <v>NO</v>
      </c>
      <c r="AN847" s="270" t="str">
        <f>IF(ISNUMBER(SEARCH("R", 'Dry_Litterbag Placem_Collection'!V188)),"YES","NO")</f>
        <v>NO</v>
      </c>
    </row>
    <row r="848" spans="1:40" ht="15" customHeight="1">
      <c r="A848" s="262" t="s">
        <v>2659</v>
      </c>
      <c r="B848" s="263">
        <f>'Dry_Litterbag Placem_Collection'!A189</f>
        <v>187</v>
      </c>
      <c r="C848" s="263" t="str">
        <f>'Dry_Litterbag Placem_Collection'!B189</f>
        <v>Handajega</v>
      </c>
      <c r="D848" s="263" t="s">
        <v>2460</v>
      </c>
      <c r="E848" s="263" t="s">
        <v>2661</v>
      </c>
      <c r="F848" s="263">
        <v>4</v>
      </c>
      <c r="G848" s="264" t="str">
        <f>'Dry_Litterbag Placem_Collection'!C189</f>
        <v>Wet_W4_T3</v>
      </c>
      <c r="H848" s="273" t="s">
        <v>3651</v>
      </c>
      <c r="I848" s="274" t="s">
        <v>298</v>
      </c>
      <c r="J848" s="263" t="str">
        <f>IF(ISBLANK('Dry_Litterbag Placem_Collection'!M189),"","R"&amp;""&amp;'Dry_Litterbag Placem_Collection'!M189)</f>
        <v>R679</v>
      </c>
      <c r="K848" s="267">
        <f>IFERROR(INDEX('Green_rooibos initial weight'!$C$5:$C$1749,MATCH(J848, 'Green_rooibos initial weight'!$A$5:$A$1749,0)),"")</f>
        <v>2.149</v>
      </c>
      <c r="L848" s="267">
        <f>IFERROR(K848-(TBIcalc!$Q$9+TBIcalc!$Q$10),"")</f>
        <v>1.8992</v>
      </c>
      <c r="M848" s="391">
        <f>AVERAGE(Ashed_controlls!$K$12:$K$14)</f>
        <v>2.2816647271287041</v>
      </c>
      <c r="N848" s="267">
        <f t="shared" si="66"/>
        <v>1.8558666235023717</v>
      </c>
      <c r="O848" s="267">
        <f>IF(IFERROR(INDEX('Both teabags AfterDry'!$D$3:$D$900,MATCH(J848,'Both teabags AfterDry'!$A$3:$A$900,0)),"")="","",(IFERROR(INDEX('Both teabags AfterDry'!$D$3:$D$900,MATCH(J848,'Both teabags AfterDry'!$A$3:$A$900,0)),"")))</f>
        <v>1.7021999999999999</v>
      </c>
      <c r="P848" s="267">
        <f>IFERROR(IF(O848&gt;0,O848-(TBIcalc!$Q$9),""),"")</f>
        <v>1.5515999999999999</v>
      </c>
      <c r="Q848" s="278">
        <f>IFERROR(INDEX('Ashed teabags dry'!$K$2:$K$825,MATCH(J848,'Ashed teabags dry'!$A$2:$A$825,0)),"")</f>
        <v>11.726867887184616</v>
      </c>
      <c r="R848" s="278">
        <f t="shared" si="67"/>
        <v>1.3696459178624434</v>
      </c>
      <c r="S848" s="268">
        <f>'Dry_Litterbag Placem_Collection'!E189</f>
        <v>42940</v>
      </c>
      <c r="T848" s="268">
        <f>IF('Dry_Litterbag Placem_Collection'!G189="","",'Dry_Litterbag Placem_Collection'!G189)</f>
        <v>43009</v>
      </c>
      <c r="U848" s="269">
        <f t="shared" si="65"/>
        <v>69</v>
      </c>
      <c r="V848" s="267">
        <f t="shared" si="68"/>
        <v>0.34760000000000013</v>
      </c>
      <c r="W848" s="267">
        <f t="shared" si="69"/>
        <v>0.48622070563992836</v>
      </c>
      <c r="X848" s="271">
        <f>IFERROR(INDEX(Rainfall_Dry!$O$2:$O$217,MATCH(B848, Rainfall_Dry!$A$2:$A$217,0)),"")</f>
        <v>162.634207253</v>
      </c>
      <c r="Y848" s="260">
        <v>25.96</v>
      </c>
      <c r="Z848" s="260">
        <v>8.9200000000000017</v>
      </c>
      <c r="AA848" s="260">
        <v>65.12</v>
      </c>
      <c r="AB848" s="261" t="s">
        <v>2670</v>
      </c>
      <c r="AC848" s="260">
        <v>3.6991621488417898</v>
      </c>
      <c r="AD848">
        <f>IF('WetLitterbags placem_collection'!AB189="","",'WetLitterbags placem_collection'!AB189)</f>
        <v>0.6</v>
      </c>
      <c r="AE848">
        <f>IF('WetLitterbags placem_collection'!Z189="","",'WetLitterbags placem_collection'!Z189)</f>
        <v>39.4</v>
      </c>
      <c r="AF848" s="246" t="str">
        <f>IF('WetLitterbags placem_collection'!AA189="","",'WetLitterbags placem_collection'!AA189)</f>
        <v>O</v>
      </c>
      <c r="AG848">
        <f>IF('WetLitterbags placem_collection'!AC189="","",'WetLitterbags placem_collection'!AC189)</f>
        <v>1</v>
      </c>
      <c r="AH848">
        <f>IFERROR(AVERAGE('Dry_Litterbag Placem_Collection'!O189,'Dry_Litterbag Placem_Collection'!R189),"")</f>
        <v>5.05</v>
      </c>
      <c r="AI848" s="271">
        <f>IFERROR(AVERAGE('Dry_Litterbag Placem_Collection'!N189,'Dry_Litterbag Placem_Collection'!Q189),"")</f>
        <v>35.150000000000006</v>
      </c>
      <c r="AJ848" s="270">
        <f>INDEX(Coordinates!$B$2:$B$197,MATCH(G848,Coordinates!$J$2:$J$197,0))</f>
        <v>-2.2785890289999999</v>
      </c>
      <c r="AK848" s="270">
        <f>INDEX(Coordinates!$C$2:$C$197,MATCH(G848,Coordinates!$J$2:$J$197,0))</f>
        <v>34.031841999999997</v>
      </c>
      <c r="AL848" s="270" t="str">
        <f>IF(ISNUMBER(SEARCH("C", 'Dry_Litterbag Placem_Collection'!V189)),"YES","NO")</f>
        <v>NO</v>
      </c>
      <c r="AM848" s="270" t="str">
        <f>IF(ISNUMBER(SEARCH("H", 'Dry_Litterbag Placem_Collection'!V189)),"YES","NO")</f>
        <v>NO</v>
      </c>
      <c r="AN848" s="270" t="str">
        <f>IF(ISNUMBER(SEARCH("R", 'Dry_Litterbag Placem_Collection'!V189)),"YES","NO")</f>
        <v>NO</v>
      </c>
    </row>
    <row r="849" spans="1:40" ht="15" customHeight="1">
      <c r="A849" s="262" t="s">
        <v>2659</v>
      </c>
      <c r="B849" s="263">
        <f>'Dry_Litterbag Placem_Collection'!A190</f>
        <v>188</v>
      </c>
      <c r="C849" s="263" t="str">
        <f>'Dry_Litterbag Placem_Collection'!B190</f>
        <v>Handajega</v>
      </c>
      <c r="D849" s="263" t="s">
        <v>2460</v>
      </c>
      <c r="E849" s="263" t="s">
        <v>2661</v>
      </c>
      <c r="F849" s="263">
        <v>4</v>
      </c>
      <c r="G849" s="264" t="str">
        <f>'Dry_Litterbag Placem_Collection'!C190</f>
        <v>Wet_W4_T4</v>
      </c>
      <c r="H849" s="273" t="s">
        <v>3651</v>
      </c>
      <c r="I849" s="274" t="s">
        <v>298</v>
      </c>
      <c r="J849" s="263" t="str">
        <f>IF(ISBLANK('Dry_Litterbag Placem_Collection'!M190),"","R"&amp;""&amp;'Dry_Litterbag Placem_Collection'!M190)</f>
        <v>R682</v>
      </c>
      <c r="K849" s="267">
        <f>IFERROR(INDEX('Green_rooibos initial weight'!$C$5:$C$1749,MATCH(J849, 'Green_rooibos initial weight'!$A$5:$A$1749,0)),"")</f>
        <v>2.1720000000000002</v>
      </c>
      <c r="L849" s="267">
        <f>IFERROR(K849-(TBIcalc!$Q$9+TBIcalc!$Q$10),"")</f>
        <v>1.9222000000000001</v>
      </c>
      <c r="M849" s="391">
        <f>AVERAGE(Ashed_controlls!$K$12:$K$14)</f>
        <v>2.2816647271287041</v>
      </c>
      <c r="N849" s="267">
        <f t="shared" si="66"/>
        <v>1.8783418406151322</v>
      </c>
      <c r="O849" s="267">
        <f>IF(IFERROR(INDEX('Both teabags AfterDry'!$D$3:$D$900,MATCH(J849,'Both teabags AfterDry'!$A$3:$A$900,0)),"")="","",(IFERROR(INDEX('Both teabags AfterDry'!$D$3:$D$900,MATCH(J849,'Both teabags AfterDry'!$A$3:$A$900,0)),"")))</f>
        <v>1.7353000000000001</v>
      </c>
      <c r="P849" s="267">
        <f>IFERROR(IF(O849&gt;0,O849-(TBIcalc!$Q$9),""),"")</f>
        <v>1.5847</v>
      </c>
      <c r="Q849" s="278">
        <f>IFERROR(INDEX('Ashed teabags dry'!$K$2:$K$825,MATCH(J849,'Ashed teabags dry'!$A$2:$A$825,0)),"")</f>
        <v>6.766169154228745</v>
      </c>
      <c r="R849" s="278">
        <f t="shared" si="67"/>
        <v>1.4774765174129372</v>
      </c>
      <c r="S849" s="268">
        <f>'Dry_Litterbag Placem_Collection'!E190</f>
        <v>42940</v>
      </c>
      <c r="T849" s="268">
        <f>IF('Dry_Litterbag Placem_Collection'!G190="","",'Dry_Litterbag Placem_Collection'!G190)</f>
        <v>43009</v>
      </c>
      <c r="U849" s="269">
        <f t="shared" si="65"/>
        <v>69</v>
      </c>
      <c r="V849" s="267">
        <f t="shared" si="68"/>
        <v>0.33750000000000013</v>
      </c>
      <c r="W849" s="267">
        <f t="shared" si="69"/>
        <v>0.40086532320219503</v>
      </c>
      <c r="X849" s="271">
        <f>IFERROR(INDEX(Rainfall_Dry!$O$2:$O$217,MATCH(B849, Rainfall_Dry!$A$2:$A$217,0)),"")</f>
        <v>162.634207253</v>
      </c>
      <c r="Y849" s="260">
        <v>25.96</v>
      </c>
      <c r="Z849" s="260">
        <v>8.9200000000000017</v>
      </c>
      <c r="AA849" s="260">
        <v>65.12</v>
      </c>
      <c r="AB849" s="261" t="s">
        <v>2670</v>
      </c>
      <c r="AC849" s="260">
        <v>4.6991621488417898</v>
      </c>
      <c r="AD849">
        <f>IF('WetLitterbags placem_collection'!AB190="","",'WetLitterbags placem_collection'!AB190)</f>
        <v>2.2999999999999998</v>
      </c>
      <c r="AE849">
        <f>IF('WetLitterbags placem_collection'!Z190="","",'WetLitterbags placem_collection'!Z190)</f>
        <v>14.4</v>
      </c>
      <c r="AF849" s="246" t="str">
        <f>IF('WetLitterbags placem_collection'!AA190="","",'WetLitterbags placem_collection'!AA190)</f>
        <v>O</v>
      </c>
      <c r="AG849">
        <f>IF('WetLitterbags placem_collection'!AC190="","",'WetLitterbags placem_collection'!AC190)</f>
        <v>0</v>
      </c>
      <c r="AH849">
        <f>IFERROR(AVERAGE('Dry_Litterbag Placem_Collection'!O190,'Dry_Litterbag Placem_Collection'!R190),"")</f>
        <v>7.35</v>
      </c>
      <c r="AI849" s="271">
        <f>IFERROR(AVERAGE('Dry_Litterbag Placem_Collection'!N190,'Dry_Litterbag Placem_Collection'!Q190),"")</f>
        <v>34.150000000000006</v>
      </c>
      <c r="AJ849" s="270">
        <f>INDEX(Coordinates!$B$2:$B$197,MATCH(G849,Coordinates!$J$2:$J$197,0))</f>
        <v>-2.278422983</v>
      </c>
      <c r="AK849" s="270">
        <f>INDEX(Coordinates!$C$2:$C$197,MATCH(G849,Coordinates!$J$2:$J$197,0))</f>
        <v>34.032261009999999</v>
      </c>
      <c r="AL849" s="270" t="str">
        <f>IF(ISNUMBER(SEARCH("C", 'Dry_Litterbag Placem_Collection'!V190)),"YES","NO")</f>
        <v>NO</v>
      </c>
      <c r="AM849" s="270" t="str">
        <f>IF(ISNUMBER(SEARCH("H", 'Dry_Litterbag Placem_Collection'!V190)),"YES","NO")</f>
        <v>NO</v>
      </c>
      <c r="AN849" s="270" t="str">
        <f>IF(ISNUMBER(SEARCH("R", 'Dry_Litterbag Placem_Collection'!V190)),"YES","NO")</f>
        <v>NO</v>
      </c>
    </row>
    <row r="850" spans="1:40" ht="15" customHeight="1">
      <c r="A850" s="262" t="s">
        <v>2659</v>
      </c>
      <c r="B850" s="263">
        <f>'Dry_Litterbag Placem_Collection'!A191</f>
        <v>189</v>
      </c>
      <c r="C850" s="263" t="str">
        <f>'Dry_Litterbag Placem_Collection'!B191</f>
        <v>Handajega</v>
      </c>
      <c r="D850" s="263" t="s">
        <v>2460</v>
      </c>
      <c r="E850" s="263" t="s">
        <v>2661</v>
      </c>
      <c r="F850" s="263">
        <v>4</v>
      </c>
      <c r="G850" s="264" t="str">
        <f>'Dry_Litterbag Placem_Collection'!C191</f>
        <v>Wet_W4_T5</v>
      </c>
      <c r="H850" s="273" t="s">
        <v>3651</v>
      </c>
      <c r="I850" s="274" t="s">
        <v>298</v>
      </c>
      <c r="J850" s="263" t="str">
        <f>IF(ISBLANK('Dry_Litterbag Placem_Collection'!M191),"","R"&amp;""&amp;'Dry_Litterbag Placem_Collection'!M191)</f>
        <v>R693</v>
      </c>
      <c r="K850" s="267">
        <f>IFERROR(INDEX('Green_rooibos initial weight'!$C$5:$C$1749,MATCH(J850, 'Green_rooibos initial weight'!$A$5:$A$1749,0)),"")</f>
        <v>2.1789999999999998</v>
      </c>
      <c r="L850" s="267">
        <f>IFERROR(K850-(TBIcalc!$Q$9+TBIcalc!$Q$10),"")</f>
        <v>1.9291999999999998</v>
      </c>
      <c r="M850" s="391">
        <f>AVERAGE(Ashed_controlls!$K$12:$K$14)</f>
        <v>2.2816647271287041</v>
      </c>
      <c r="N850" s="267">
        <f t="shared" si="66"/>
        <v>1.8851821240842328</v>
      </c>
      <c r="O850" s="267">
        <f>IF(IFERROR(INDEX('Both teabags AfterDry'!$D$3:$D$900,MATCH(J850,'Both teabags AfterDry'!$A$3:$A$900,0)),"")="","",(IFERROR(INDEX('Both teabags AfterDry'!$D$3:$D$900,MATCH(J850,'Both teabags AfterDry'!$A$3:$A$900,0)),"")))</f>
        <v>1.919</v>
      </c>
      <c r="P850" s="267">
        <f>IFERROR(IF(O850&gt;0,O850-(TBIcalc!$Q$9),""),"")</f>
        <v>1.7684</v>
      </c>
      <c r="Q850" s="278">
        <f>IFERROR(INDEX('Ashed teabags dry'!$K$2:$K$825,MATCH(J850,'Ashed teabags dry'!$A$2:$A$825,0)),"")</f>
        <v>7.2408897302414861</v>
      </c>
      <c r="R850" s="278">
        <f t="shared" si="67"/>
        <v>1.6403521060104096</v>
      </c>
      <c r="S850" s="268">
        <f>'Dry_Litterbag Placem_Collection'!E191</f>
        <v>42940</v>
      </c>
      <c r="T850" s="268">
        <f>IF('Dry_Litterbag Placem_Collection'!G191="","",'Dry_Litterbag Placem_Collection'!G191)</f>
        <v>43009</v>
      </c>
      <c r="U850" s="269">
        <f t="shared" si="65"/>
        <v>69</v>
      </c>
      <c r="V850" s="267">
        <f t="shared" si="68"/>
        <v>0.16079999999999983</v>
      </c>
      <c r="W850" s="267">
        <f t="shared" si="69"/>
        <v>0.24483001807382321</v>
      </c>
      <c r="X850" s="271">
        <f>IFERROR(INDEX(Rainfall_Dry!$O$2:$O$217,MATCH(B850, Rainfall_Dry!$A$2:$A$217,0)),"")</f>
        <v>162.634207253</v>
      </c>
      <c r="Y850" s="260">
        <v>25.96</v>
      </c>
      <c r="Z850" s="260">
        <v>8.9200000000000017</v>
      </c>
      <c r="AA850" s="260">
        <v>65.12</v>
      </c>
      <c r="AB850" s="261" t="s">
        <v>2670</v>
      </c>
      <c r="AC850" s="260">
        <v>5.6991621488417898</v>
      </c>
      <c r="AD850">
        <f>IF('WetLitterbags placem_collection'!AB191="","",'WetLitterbags placem_collection'!AB191)</f>
        <v>0.6</v>
      </c>
      <c r="AE850">
        <f>IF('WetLitterbags placem_collection'!Z191="","",'WetLitterbags placem_collection'!Z191)</f>
        <v>7</v>
      </c>
      <c r="AF850" s="246" t="str">
        <f>IF('WetLitterbags placem_collection'!AA191="","",'WetLitterbags placem_collection'!AA191)</f>
        <v>O</v>
      </c>
      <c r="AG850">
        <f>IF('WetLitterbags placem_collection'!AC191="","",'WetLitterbags placem_collection'!AC191)</f>
        <v>1</v>
      </c>
      <c r="AH850">
        <f>IFERROR(AVERAGE('Dry_Litterbag Placem_Collection'!O191,'Dry_Litterbag Placem_Collection'!R191),"")</f>
        <v>5.5</v>
      </c>
      <c r="AI850" s="271">
        <f>IFERROR(AVERAGE('Dry_Litterbag Placem_Collection'!N191,'Dry_Litterbag Placem_Collection'!Q191),"")</f>
        <v>33</v>
      </c>
      <c r="AJ850" s="270">
        <f>INDEX(Coordinates!$B$2:$B$197,MATCH(G850,Coordinates!$J$2:$J$197,0))</f>
        <v>-2.2787580080000001</v>
      </c>
      <c r="AK850" s="270">
        <f>INDEX(Coordinates!$C$2:$C$197,MATCH(G850,Coordinates!$J$2:$J$197,0))</f>
        <v>34.032463010000001</v>
      </c>
      <c r="AL850" s="270" t="str">
        <f>IF(ISNUMBER(SEARCH("C", 'Dry_Litterbag Placem_Collection'!V191)),"YES","NO")</f>
        <v>NO</v>
      </c>
      <c r="AM850" s="270" t="str">
        <f>IF(ISNUMBER(SEARCH("H", 'Dry_Litterbag Placem_Collection'!V191)),"YES","NO")</f>
        <v>NO</v>
      </c>
      <c r="AN850" s="270" t="str">
        <f>IF(ISNUMBER(SEARCH("R", 'Dry_Litterbag Placem_Collection'!V191)),"YES","NO")</f>
        <v>NO</v>
      </c>
    </row>
    <row r="851" spans="1:40" ht="15" customHeight="1">
      <c r="A851" s="262" t="s">
        <v>2659</v>
      </c>
      <c r="B851" s="263">
        <f>'Dry_Litterbag Placem_Collection'!A192</f>
        <v>190</v>
      </c>
      <c r="C851" s="263" t="str">
        <f>'Dry_Litterbag Placem_Collection'!B192</f>
        <v>Handajega</v>
      </c>
      <c r="D851" s="263" t="s">
        <v>2460</v>
      </c>
      <c r="E851" s="263" t="s">
        <v>2661</v>
      </c>
      <c r="F851" s="263">
        <v>4</v>
      </c>
      <c r="G851" s="264" t="str">
        <f>'Dry_Litterbag Placem_Collection'!C192</f>
        <v>Wet_W4_T6</v>
      </c>
      <c r="H851" s="273" t="s">
        <v>3651</v>
      </c>
      <c r="I851" s="274" t="s">
        <v>298</v>
      </c>
      <c r="J851" s="263" t="str">
        <f>IF(ISBLANK('Dry_Litterbag Placem_Collection'!M192),"","R"&amp;""&amp;'Dry_Litterbag Placem_Collection'!M192)</f>
        <v>R605</v>
      </c>
      <c r="K851" s="267">
        <f>IFERROR(INDEX('Green_rooibos initial weight'!$C$5:$C$1749,MATCH(J851, 'Green_rooibos initial weight'!$A$5:$A$1749,0)),"")</f>
        <v>2.165</v>
      </c>
      <c r="L851" s="267">
        <f>IFERROR(K851-(TBIcalc!$Q$9+TBIcalc!$Q$10),"")</f>
        <v>1.9152</v>
      </c>
      <c r="M851" s="391">
        <f>AVERAGE(Ashed_controlls!$K$12:$K$14)</f>
        <v>2.2816647271287041</v>
      </c>
      <c r="N851" s="267">
        <f t="shared" si="66"/>
        <v>1.8715015571460312</v>
      </c>
      <c r="O851" s="267">
        <f>IF(IFERROR(INDEX('Both teabags AfterDry'!$D$3:$D$900,MATCH(J851,'Both teabags AfterDry'!$A$3:$A$900,0)),"")="","",(IFERROR(INDEX('Both teabags AfterDry'!$D$3:$D$900,MATCH(J851,'Both teabags AfterDry'!$A$3:$A$900,0)),"")))</f>
        <v>1.8051999999999999</v>
      </c>
      <c r="P851" s="267">
        <f>IFERROR(IF(O851&gt;0,O851-(TBIcalc!$Q$9),""),"")</f>
        <v>1.6545999999999998</v>
      </c>
      <c r="Q851" s="278">
        <f>IFERROR(INDEX('Ashed teabags dry'!$K$2:$K$825,MATCH(J851,'Ashed teabags dry'!$A$2:$A$825,0)),"")</f>
        <v>9.224730127576688</v>
      </c>
      <c r="R851" s="278">
        <f t="shared" si="67"/>
        <v>1.5019676153091159</v>
      </c>
      <c r="S851" s="268">
        <f>'Dry_Litterbag Placem_Collection'!E192</f>
        <v>42940</v>
      </c>
      <c r="T851" s="268">
        <f>IF('Dry_Litterbag Placem_Collection'!G192="","",'Dry_Litterbag Placem_Collection'!G192)</f>
        <v>43009</v>
      </c>
      <c r="U851" s="269">
        <f t="shared" si="65"/>
        <v>69</v>
      </c>
      <c r="V851" s="267">
        <f t="shared" si="68"/>
        <v>0.26060000000000016</v>
      </c>
      <c r="W851" s="267">
        <f t="shared" si="69"/>
        <v>0.36953394183691524</v>
      </c>
      <c r="X851" s="271">
        <f>IFERROR(INDEX(Rainfall_Dry!$O$2:$O$217,MATCH(B851, Rainfall_Dry!$A$2:$A$217,0)),"")</f>
        <v>162.634207253</v>
      </c>
      <c r="Y851" s="260">
        <v>25.96</v>
      </c>
      <c r="Z851" s="260">
        <v>8.9200000000000017</v>
      </c>
      <c r="AA851" s="260">
        <v>65.12</v>
      </c>
      <c r="AB851" s="261" t="s">
        <v>2670</v>
      </c>
      <c r="AC851" s="260">
        <v>6.6991621488417898</v>
      </c>
      <c r="AD851">
        <f>IF('WetLitterbags placem_collection'!AB192="","",'WetLitterbags placem_collection'!AB192)</f>
        <v>9.5</v>
      </c>
      <c r="AE851">
        <f>IF('WetLitterbags placem_collection'!Z192="","",'WetLitterbags placem_collection'!Z192)</f>
        <v>17.399999999999999</v>
      </c>
      <c r="AF851" s="246" t="str">
        <f>IF('WetLitterbags placem_collection'!AA192="","",'WetLitterbags placem_collection'!AA192)</f>
        <v>O</v>
      </c>
      <c r="AG851">
        <f>IF('WetLitterbags placem_collection'!AC192="","",'WetLitterbags placem_collection'!AC192)</f>
        <v>0</v>
      </c>
      <c r="AH851">
        <f>IFERROR(AVERAGE('Dry_Litterbag Placem_Collection'!O192,'Dry_Litterbag Placem_Collection'!R192),"")</f>
        <v>5.0500000000000007</v>
      </c>
      <c r="AI851" s="271">
        <f>IFERROR(AVERAGE('Dry_Litterbag Placem_Collection'!N192,'Dry_Litterbag Placem_Collection'!Q192),"")</f>
        <v>36.049999999999997</v>
      </c>
      <c r="AJ851" s="270">
        <f>INDEX(Coordinates!$B$2:$B$197,MATCH(G851,Coordinates!$J$2:$J$197,0))</f>
        <v>-2.2787559960000001</v>
      </c>
      <c r="AK851" s="270">
        <f>INDEX(Coordinates!$C$2:$C$197,MATCH(G851,Coordinates!$J$2:$J$197,0))</f>
        <v>34.032268969999997</v>
      </c>
      <c r="AL851" s="270" t="str">
        <f>IF(ISNUMBER(SEARCH("C", 'Dry_Litterbag Placem_Collection'!V192)),"YES","NO")</f>
        <v>NO</v>
      </c>
      <c r="AM851" s="270" t="str">
        <f>IF(ISNUMBER(SEARCH("H", 'Dry_Litterbag Placem_Collection'!V192)),"YES","NO")</f>
        <v>NO</v>
      </c>
      <c r="AN851" s="270" t="str">
        <f>IF(ISNUMBER(SEARCH("R", 'Dry_Litterbag Placem_Collection'!V192)),"YES","NO")</f>
        <v>NO</v>
      </c>
    </row>
    <row r="852" spans="1:40" ht="15" customHeight="1">
      <c r="A852" s="262" t="s">
        <v>2659</v>
      </c>
      <c r="B852" s="263">
        <f>'Dry_Litterbag Placem_Collection'!A193</f>
        <v>191</v>
      </c>
      <c r="C852" s="263" t="str">
        <f>'Dry_Litterbag Placem_Collection'!B193</f>
        <v>Handajega</v>
      </c>
      <c r="D852" s="263" t="s">
        <v>2460</v>
      </c>
      <c r="E852" s="263" t="s">
        <v>2661</v>
      </c>
      <c r="F852" s="263">
        <v>4</v>
      </c>
      <c r="G852" s="264" t="str">
        <f>'Dry_Litterbag Placem_Collection'!C193</f>
        <v>Wet_W4_T7</v>
      </c>
      <c r="H852" s="273" t="s">
        <v>3651</v>
      </c>
      <c r="I852" s="274" t="s">
        <v>298</v>
      </c>
      <c r="J852" s="263" t="str">
        <f>IF(ISBLANK('Dry_Litterbag Placem_Collection'!M193),"","R"&amp;""&amp;'Dry_Litterbag Placem_Collection'!M193)</f>
        <v>R240</v>
      </c>
      <c r="K852" s="267">
        <f>IFERROR(INDEX('Green_rooibos initial weight'!$C$5:$C$1749,MATCH(J852, 'Green_rooibos initial weight'!$A$5:$A$1749,0)),"")</f>
        <v>2.1800000000000002</v>
      </c>
      <c r="L852" s="267">
        <f>IFERROR(K852-(TBIcalc!$Q$9+TBIcalc!$Q$10),"")</f>
        <v>1.9302000000000001</v>
      </c>
      <c r="M852" s="391">
        <f>AVERAGE(Ashed_controlls!$K$12:$K$14)</f>
        <v>2.2816647271287041</v>
      </c>
      <c r="N852" s="267">
        <f t="shared" si="66"/>
        <v>1.8861593074369618</v>
      </c>
      <c r="O852" s="267">
        <f>IF(IFERROR(INDEX('Both teabags AfterDry'!$D$3:$D$900,MATCH(J852,'Both teabags AfterDry'!$A$3:$A$900,0)),"")="","",(IFERROR(INDEX('Both teabags AfterDry'!$D$3:$D$900,MATCH(J852,'Both teabags AfterDry'!$A$3:$A$900,0)),"")))</f>
        <v>1.7597</v>
      </c>
      <c r="P852" s="267">
        <f>IFERROR(IF(O852&gt;0,O852-(TBIcalc!$Q$9),""),"")</f>
        <v>1.6091</v>
      </c>
      <c r="Q852" s="278">
        <f>IFERROR(INDEX('Ashed teabags dry'!$K$2:$K$825,MATCH(J852,'Ashed teabags dry'!$A$2:$A$825,0)),"")</f>
        <v>6.2347783731121424</v>
      </c>
      <c r="R852" s="278">
        <f t="shared" si="67"/>
        <v>1.5087761811982525</v>
      </c>
      <c r="S852" s="268">
        <f>'Dry_Litterbag Placem_Collection'!E193</f>
        <v>42940</v>
      </c>
      <c r="T852" s="268">
        <f>IF('Dry_Litterbag Placem_Collection'!G193="","",'Dry_Litterbag Placem_Collection'!G193)</f>
        <v>43009</v>
      </c>
      <c r="U852" s="269">
        <f t="shared" si="65"/>
        <v>69</v>
      </c>
      <c r="V852" s="267">
        <f t="shared" si="68"/>
        <v>0.32110000000000016</v>
      </c>
      <c r="W852" s="267">
        <f t="shared" si="69"/>
        <v>0.37738312623870929</v>
      </c>
      <c r="X852" s="271">
        <f>IFERROR(INDEX(Rainfall_Dry!$O$2:$O$217,MATCH(B852, Rainfall_Dry!$A$2:$A$217,0)),"")</f>
        <v>162.634207253</v>
      </c>
      <c r="Y852" s="260">
        <v>25.96</v>
      </c>
      <c r="Z852" s="260">
        <v>8.9200000000000017</v>
      </c>
      <c r="AA852" s="260">
        <v>65.12</v>
      </c>
      <c r="AB852" s="261" t="s">
        <v>2670</v>
      </c>
      <c r="AC852" s="260">
        <v>7.6991621488417898</v>
      </c>
      <c r="AD852">
        <f>IF('WetLitterbags placem_collection'!AB193="","",'WetLitterbags placem_collection'!AB193)</f>
        <v>12.4</v>
      </c>
      <c r="AE852">
        <f>IF('WetLitterbags placem_collection'!Z193="","",'WetLitterbags placem_collection'!Z193)</f>
        <v>29.8</v>
      </c>
      <c r="AF852" s="246" t="str">
        <f>IF('WetLitterbags placem_collection'!AA193="","",'WetLitterbags placem_collection'!AA193)</f>
        <v>O</v>
      </c>
      <c r="AG852">
        <f>IF('WetLitterbags placem_collection'!AC193="","",'WetLitterbags placem_collection'!AC193)</f>
        <v>0</v>
      </c>
      <c r="AH852">
        <f>IFERROR(AVERAGE('Dry_Litterbag Placem_Collection'!O193,'Dry_Litterbag Placem_Collection'!R193),"")</f>
        <v>6.45</v>
      </c>
      <c r="AI852" s="271">
        <f>IFERROR(AVERAGE('Dry_Litterbag Placem_Collection'!N193,'Dry_Litterbag Placem_Collection'!Q193),"")</f>
        <v>36.349999999999994</v>
      </c>
      <c r="AJ852" s="270">
        <f>INDEX(Coordinates!$B$2:$B$197,MATCH(G852,Coordinates!$J$2:$J$197,0))</f>
        <v>-2.278704029</v>
      </c>
      <c r="AK852" s="270">
        <f>INDEX(Coordinates!$C$2:$C$197,MATCH(G852,Coordinates!$J$2:$J$197,0))</f>
        <v>34.032182970000001</v>
      </c>
      <c r="AL852" s="270" t="str">
        <f>IF(ISNUMBER(SEARCH("C", 'Dry_Litterbag Placem_Collection'!V193)),"YES","NO")</f>
        <v>NO</v>
      </c>
      <c r="AM852" s="270" t="str">
        <f>IF(ISNUMBER(SEARCH("H", 'Dry_Litterbag Placem_Collection'!V193)),"YES","NO")</f>
        <v>NO</v>
      </c>
      <c r="AN852" s="270" t="str">
        <f>IF(ISNUMBER(SEARCH("R", 'Dry_Litterbag Placem_Collection'!V193)),"YES","NO")</f>
        <v>NO</v>
      </c>
    </row>
    <row r="853" spans="1:40" ht="15" customHeight="1">
      <c r="A853" s="262" t="s">
        <v>2659</v>
      </c>
      <c r="B853" s="263">
        <f>'Dry_Litterbag Placem_Collection'!A194</f>
        <v>192</v>
      </c>
      <c r="C853" s="263" t="str">
        <f>'Dry_Litterbag Placem_Collection'!B194</f>
        <v>Handajega</v>
      </c>
      <c r="D853" s="263" t="s">
        <v>2460</v>
      </c>
      <c r="E853" s="263" t="s">
        <v>2661</v>
      </c>
      <c r="F853" s="263">
        <v>4</v>
      </c>
      <c r="G853" s="264" t="str">
        <f>'Dry_Litterbag Placem_Collection'!C194</f>
        <v>Wet_W4_T8</v>
      </c>
      <c r="H853" s="273" t="s">
        <v>3651</v>
      </c>
      <c r="I853" s="274" t="s">
        <v>298</v>
      </c>
      <c r="J853" s="263" t="str">
        <f>IF(ISBLANK('Dry_Litterbag Placem_Collection'!M194),"","R"&amp;""&amp;'Dry_Litterbag Placem_Collection'!M194)</f>
        <v/>
      </c>
      <c r="K853" s="267" t="str">
        <f>IFERROR(INDEX('Green_rooibos initial weight'!$C$5:$C$1749,MATCH(J853, 'Green_rooibos initial weight'!$A$5:$A$1749,0)),"")</f>
        <v/>
      </c>
      <c r="L853" s="267" t="str">
        <f>IFERROR(K853-(TBIcalc!$Q$9+TBIcalc!$Q$10),"")</f>
        <v/>
      </c>
      <c r="M853" s="391">
        <f>AVERAGE(Ashed_controlls!$K$12:$K$14)</f>
        <v>2.2816647271287041</v>
      </c>
      <c r="N853" s="267" t="str">
        <f t="shared" si="66"/>
        <v/>
      </c>
      <c r="O853" s="267" t="str">
        <f>IF(IFERROR(INDEX('Both teabags AfterDry'!$D$3:$D$900,MATCH(J853,'Both teabags AfterDry'!$A$3:$A$900,0)),"")="","",(IFERROR(INDEX('Both teabags AfterDry'!$D$3:$D$900,MATCH(J853,'Both teabags AfterDry'!$A$3:$A$900,0)),"")))</f>
        <v/>
      </c>
      <c r="P853" s="267" t="str">
        <f>IFERROR(IF(O853&gt;0,O853-(TBIcalc!$Q$9),""),"")</f>
        <v/>
      </c>
      <c r="Q853" s="278" t="str">
        <f>IFERROR(INDEX('Ashed teabags dry'!$K$2:$K$825,MATCH(J853,'Ashed teabags dry'!$A$2:$A$825,0)),"")</f>
        <v/>
      </c>
      <c r="R853" s="278" t="str">
        <f t="shared" si="67"/>
        <v/>
      </c>
      <c r="S853" s="268">
        <f>'Dry_Litterbag Placem_Collection'!E194</f>
        <v>0</v>
      </c>
      <c r="T853" s="268" t="str">
        <f>IF('Dry_Litterbag Placem_Collection'!G194="","",'Dry_Litterbag Placem_Collection'!G194)</f>
        <v/>
      </c>
      <c r="U853" s="269" t="str">
        <f t="shared" si="65"/>
        <v/>
      </c>
      <c r="V853" s="267" t="str">
        <f t="shared" si="68"/>
        <v/>
      </c>
      <c r="W853" s="267" t="str">
        <f t="shared" si="69"/>
        <v/>
      </c>
      <c r="X853" s="271" t="str">
        <f>IFERROR(INDEX(Rainfall_Dry!$O$2:$O$217,MATCH(B853, Rainfall_Dry!$A$2:$A$217,0)),"")</f>
        <v/>
      </c>
      <c r="Y853" s="260">
        <v>25.96</v>
      </c>
      <c r="Z853" s="260">
        <v>8.9200000000000017</v>
      </c>
      <c r="AA853" s="260">
        <v>65.12</v>
      </c>
      <c r="AB853" s="261" t="s">
        <v>2670</v>
      </c>
      <c r="AC853" s="260">
        <v>8.6991621488417898</v>
      </c>
      <c r="AD853">
        <f>IF('WetLitterbags placem_collection'!AB194="","",'WetLitterbags placem_collection'!AB194)</f>
        <v>3.6</v>
      </c>
      <c r="AE853">
        <f>IF('WetLitterbags placem_collection'!Z194="","",'WetLitterbags placem_collection'!Z194)</f>
        <v>37.799999999999997</v>
      </c>
      <c r="AF853" s="246" t="str">
        <f>IF('WetLitterbags placem_collection'!AA194="","",'WetLitterbags placem_collection'!AA194)</f>
        <v>O</v>
      </c>
      <c r="AG853">
        <f>IF('WetLitterbags placem_collection'!AC194="","",'WetLitterbags placem_collection'!AC194)</f>
        <v>0</v>
      </c>
      <c r="AH853" t="str">
        <f>IFERROR(AVERAGE('Dry_Litterbag Placem_Collection'!O194,'Dry_Litterbag Placem_Collection'!R194),"")</f>
        <v/>
      </c>
      <c r="AI853" s="271" t="str">
        <f>IFERROR(AVERAGE('Dry_Litterbag Placem_Collection'!N194,'Dry_Litterbag Placem_Collection'!Q194),"")</f>
        <v/>
      </c>
      <c r="AJ853" s="270">
        <f>INDEX(Coordinates!$B$2:$B$197,MATCH(G853,Coordinates!$J$2:$J$197,0))</f>
        <v>-2.2789770269999998</v>
      </c>
      <c r="AK853" s="270">
        <f>INDEX(Coordinates!$C$2:$C$197,MATCH(G853,Coordinates!$J$2:$J$197,0))</f>
        <v>34.032051039999999</v>
      </c>
      <c r="AL853" s="270" t="str">
        <f>IF(ISNUMBER(SEARCH("C", 'Dry_Litterbag Placem_Collection'!V194)),"YES","NO")</f>
        <v>NO</v>
      </c>
      <c r="AM853" s="270" t="str">
        <f>IF(ISNUMBER(SEARCH("H", 'Dry_Litterbag Placem_Collection'!V194)),"YES","NO")</f>
        <v>NO</v>
      </c>
      <c r="AN853" s="270" t="str">
        <f>IF(ISNUMBER(SEARCH("R", 'Dry_Litterbag Placem_Collection'!V194)),"YES","NO")</f>
        <v>NO</v>
      </c>
    </row>
    <row r="854" spans="1:40" ht="15" customHeight="1">
      <c r="A854" s="262" t="s">
        <v>2659</v>
      </c>
      <c r="B854" s="263">
        <f>'Dry_Litterbag Placem_Collection'!A195</f>
        <v>193</v>
      </c>
      <c r="C854" s="263" t="str">
        <f>'Dry_Litterbag Placem_Collection'!B195</f>
        <v>Makao</v>
      </c>
      <c r="D854" s="263" t="s">
        <v>2659</v>
      </c>
      <c r="E854" s="263" t="s">
        <v>2526</v>
      </c>
      <c r="F854" s="263">
        <v>4</v>
      </c>
      <c r="G854" s="264" t="str">
        <f>'Dry_Litterbag Placem_Collection'!C195</f>
        <v>Dry_Ag1_CG4</v>
      </c>
      <c r="H854" s="273" t="s">
        <v>3651</v>
      </c>
      <c r="I854" s="274" t="s">
        <v>298</v>
      </c>
      <c r="J854" s="263" t="str">
        <f>IF(ISBLANK('Dry_Litterbag Placem_Collection'!M195),"","R"&amp;""&amp;'Dry_Litterbag Placem_Collection'!M195)</f>
        <v>R623</v>
      </c>
      <c r="K854" s="267">
        <f>IFERROR(INDEX('Green_rooibos initial weight'!$C$5:$C$1749,MATCH(J854, 'Green_rooibos initial weight'!$A$5:$A$1749,0)),"")</f>
        <v>2.056</v>
      </c>
      <c r="L854" s="267">
        <f>IFERROR(K854-(TBIcalc!$Q$9+TBIcalc!$Q$10),"")</f>
        <v>1.8062</v>
      </c>
      <c r="M854" s="391">
        <f>AVERAGE(Ashed_controlls!$K$12:$K$14)</f>
        <v>2.2816647271287041</v>
      </c>
      <c r="N854" s="267">
        <f t="shared" si="66"/>
        <v>1.7649885716986013</v>
      </c>
      <c r="O854" s="267">
        <f>IF(IFERROR(INDEX('Both teabags AfterDry'!$D$3:$D$900,MATCH(J854,'Both teabags AfterDry'!$A$3:$A$900,0)),"")="","",(IFERROR(INDEX('Both teabags AfterDry'!$D$3:$D$900,MATCH(J854,'Both teabags AfterDry'!$A$3:$A$900,0)),"")))</f>
        <v>1.397</v>
      </c>
      <c r="P854" s="267">
        <f>IFERROR(IF(O854&gt;0,O854-(TBIcalc!$Q$9),""),"")</f>
        <v>1.2464</v>
      </c>
      <c r="Q854" s="278">
        <f>IFERROR(INDEX('Ashed teabags dry'!$K$2:$K$825,MATCH(J854,'Ashed teabags dry'!$A$2:$A$825,0)),"")</f>
        <v>6.0918462980318058</v>
      </c>
      <c r="R854" s="278">
        <f t="shared" si="67"/>
        <v>1.1704712277413316</v>
      </c>
      <c r="S854" s="268">
        <f>'Dry_Litterbag Placem_Collection'!E195</f>
        <v>42942</v>
      </c>
      <c r="T854" s="268">
        <f>IF('Dry_Litterbag Placem_Collection'!G195="","",'Dry_Litterbag Placem_Collection'!G195)</f>
        <v>43004</v>
      </c>
      <c r="U854" s="269">
        <f t="shared" si="65"/>
        <v>62</v>
      </c>
      <c r="V854" s="267">
        <f t="shared" si="68"/>
        <v>0.55980000000000008</v>
      </c>
      <c r="W854" s="267">
        <f t="shared" si="69"/>
        <v>0.59451734395726974</v>
      </c>
      <c r="X854" s="271">
        <f>IFERROR(INDEX(Rainfall_Dry!$O$2:$O$217,MATCH(B854, Rainfall_Dry!$A$2:$A$217,0)),"")</f>
        <v>171.84818423999999</v>
      </c>
      <c r="Y854" s="260">
        <v>12.565665055683967</v>
      </c>
      <c r="Z854" s="260">
        <v>0.9665896196679955</v>
      </c>
      <c r="AA854" s="260">
        <v>86.467745324648035</v>
      </c>
      <c r="AB854" s="261" t="s">
        <v>2672</v>
      </c>
      <c r="AC854" s="260">
        <v>1.0225726959093147</v>
      </c>
      <c r="AD854">
        <f>IF('WetLitterbags placem_collection'!AB195="","",'WetLitterbags placem_collection'!AB195)</f>
        <v>15.2</v>
      </c>
      <c r="AE854">
        <f>IF('WetLitterbags placem_collection'!Z195="","",'WetLitterbags placem_collection'!Z195)</f>
        <v>12.2</v>
      </c>
      <c r="AF854" s="246" t="str">
        <f>IF('WetLitterbags placem_collection'!AA195="","",'WetLitterbags placem_collection'!AA195)</f>
        <v>O</v>
      </c>
      <c r="AG854">
        <f>IF('WetLitterbags placem_collection'!AC195="","",'WetLitterbags placem_collection'!AC195)</f>
        <v>1</v>
      </c>
      <c r="AH854">
        <f>IFERROR(AVERAGE('Dry_Litterbag Placem_Collection'!O195,'Dry_Litterbag Placem_Collection'!R195),"")</f>
        <v>5.0999999999999996</v>
      </c>
      <c r="AI854" s="271">
        <f>IFERROR(AVERAGE('Dry_Litterbag Placem_Collection'!N195,'Dry_Litterbag Placem_Collection'!Q195),"")</f>
        <v>28.799999999999997</v>
      </c>
      <c r="AJ854">
        <v>-2.4396949910000001</v>
      </c>
      <c r="AK854">
        <v>34.838574029999997</v>
      </c>
      <c r="AL854" s="270" t="str">
        <f>IF(ISNUMBER(SEARCH("C", 'Dry_Litterbag Placem_Collection'!V195)),"YES","NO")</f>
        <v>NO</v>
      </c>
      <c r="AM854" s="270" t="str">
        <f>IF(ISNUMBER(SEARCH("H", 'Dry_Litterbag Placem_Collection'!V195)),"YES","NO")</f>
        <v>NO</v>
      </c>
      <c r="AN854" s="270" t="str">
        <f>IF(ISNUMBER(SEARCH("R", 'Dry_Litterbag Placem_Collection'!V195)),"YES","NO")</f>
        <v>NO</v>
      </c>
    </row>
    <row r="855" spans="1:40" ht="15" customHeight="1">
      <c r="A855" s="262" t="s">
        <v>2659</v>
      </c>
      <c r="B855" s="263">
        <f>'Dry_Litterbag Placem_Collection'!A196</f>
        <v>194</v>
      </c>
      <c r="C855" s="263" t="str">
        <f>'Dry_Litterbag Placem_Collection'!B196</f>
        <v>Makao</v>
      </c>
      <c r="D855" s="263" t="s">
        <v>2659</v>
      </c>
      <c r="E855" s="263" t="s">
        <v>2526</v>
      </c>
      <c r="F855" s="263">
        <v>3</v>
      </c>
      <c r="G855" s="264" t="str">
        <f>'Dry_Litterbag Placem_Collection'!C196</f>
        <v>Dry_Ag2_CG3</v>
      </c>
      <c r="H855" s="273" t="s">
        <v>3651</v>
      </c>
      <c r="I855" s="274" t="s">
        <v>298</v>
      </c>
      <c r="J855" s="263" t="str">
        <f>IF(ISBLANK('Dry_Litterbag Placem_Collection'!M196),"","R"&amp;""&amp;'Dry_Litterbag Placem_Collection'!M196)</f>
        <v>R611</v>
      </c>
      <c r="K855" s="267">
        <f>IFERROR(INDEX('Green_rooibos initial weight'!$C$5:$C$1749,MATCH(J855, 'Green_rooibos initial weight'!$A$5:$A$1749,0)),"")</f>
        <v>2.157</v>
      </c>
      <c r="L855" s="267">
        <f>IFERROR(K855-(TBIcalc!$Q$9+TBIcalc!$Q$10),"")</f>
        <v>1.9072</v>
      </c>
      <c r="M855" s="391">
        <f>AVERAGE(Ashed_controlls!$K$12:$K$14)</f>
        <v>2.2816647271287041</v>
      </c>
      <c r="N855" s="267">
        <f t="shared" si="66"/>
        <v>1.8636840903242013</v>
      </c>
      <c r="O855" s="267">
        <f>IF(IFERROR(INDEX('Both teabags AfterDry'!$D$3:$D$900,MATCH(J855,'Both teabags AfterDry'!$A$3:$A$900,0)),"")="","",(IFERROR(INDEX('Both teabags AfterDry'!$D$3:$D$900,MATCH(J855,'Both teabags AfterDry'!$A$3:$A$900,0)),"")))</f>
        <v>1.593</v>
      </c>
      <c r="P855" s="267">
        <f>IFERROR(IF(O855&gt;0,O855-(TBIcalc!$Q$9),""),"")</f>
        <v>1.4423999999999999</v>
      </c>
      <c r="Q855" s="278">
        <f>IFERROR(INDEX('Ashed teabags dry'!$K$2:$K$825,MATCH(J855,'Ashed teabags dry'!$A$2:$A$825,0)),"")</f>
        <v>3.3698399326031812</v>
      </c>
      <c r="R855" s="278">
        <f t="shared" si="67"/>
        <v>1.3937934288121316</v>
      </c>
      <c r="S855" s="268">
        <f>'Dry_Litterbag Placem_Collection'!E196</f>
        <v>42942</v>
      </c>
      <c r="T855" s="268">
        <f>IF('Dry_Litterbag Placem_Collection'!G196="","",'Dry_Litterbag Placem_Collection'!G196)</f>
        <v>43004</v>
      </c>
      <c r="U855" s="269">
        <f t="shared" si="65"/>
        <v>62</v>
      </c>
      <c r="V855" s="267">
        <f t="shared" si="68"/>
        <v>0.4648000000000001</v>
      </c>
      <c r="W855" s="267">
        <f t="shared" si="69"/>
        <v>0.46989066151206971</v>
      </c>
      <c r="X855" s="271">
        <f>IFERROR(INDEX(Rainfall_Dry!$O$2:$O$217,MATCH(B855, Rainfall_Dry!$A$2:$A$217,0)),"")</f>
        <v>171.84818423999999</v>
      </c>
      <c r="Y855" s="260">
        <v>21.13063730679653</v>
      </c>
      <c r="Z855" s="260">
        <v>3.0912555579081076</v>
      </c>
      <c r="AA855" s="260">
        <v>75.778107135295357</v>
      </c>
      <c r="AB855" s="261" t="s">
        <v>2670</v>
      </c>
      <c r="AC855" s="260">
        <v>0.46131099063578063</v>
      </c>
      <c r="AD855">
        <f>IF('WetLitterbags placem_collection'!AB196="","",'WetLitterbags placem_collection'!AB196)</f>
        <v>7.9</v>
      </c>
      <c r="AE855">
        <f>IF('WetLitterbags placem_collection'!Z196="","",'WetLitterbags placem_collection'!Z196)</f>
        <v>7.9</v>
      </c>
      <c r="AF855" s="246" t="str">
        <f>IF('WetLitterbags placem_collection'!AA196="","",'WetLitterbags placem_collection'!AA196)</f>
        <v>O</v>
      </c>
      <c r="AG855">
        <f>IF('WetLitterbags placem_collection'!AC196="","",'WetLitterbags placem_collection'!AC196)</f>
        <v>1</v>
      </c>
      <c r="AH855">
        <f>IFERROR(AVERAGE('Dry_Litterbag Placem_Collection'!O196,'Dry_Litterbag Placem_Collection'!R196),"")</f>
        <v>5.4</v>
      </c>
      <c r="AI855" s="271">
        <f>IFERROR(AVERAGE('Dry_Litterbag Placem_Collection'!N196,'Dry_Litterbag Placem_Collection'!Q196),"")</f>
        <v>30.849999999999998</v>
      </c>
      <c r="AJ855">
        <v>-2.4395990190000001</v>
      </c>
      <c r="AK855">
        <v>34.838418959999998</v>
      </c>
      <c r="AL855" s="270" t="str">
        <f>IF(ISNUMBER(SEARCH("C", 'Dry_Litterbag Placem_Collection'!V196)),"YES","NO")</f>
        <v>NO</v>
      </c>
      <c r="AM855" s="270" t="str">
        <f>IF(ISNUMBER(SEARCH("H", 'Dry_Litterbag Placem_Collection'!V196)),"YES","NO")</f>
        <v>NO</v>
      </c>
      <c r="AN855" s="270" t="str">
        <f>IF(ISNUMBER(SEARCH("R", 'Dry_Litterbag Placem_Collection'!V196)),"YES","NO")</f>
        <v>YES</v>
      </c>
    </row>
    <row r="856" spans="1:40" ht="15" customHeight="1">
      <c r="A856" s="262" t="s">
        <v>2659</v>
      </c>
      <c r="B856" s="263">
        <f>'Dry_Litterbag Placem_Collection'!A197</f>
        <v>195</v>
      </c>
      <c r="C856" s="263" t="str">
        <f>'Dry_Litterbag Placem_Collection'!B197</f>
        <v>Makao</v>
      </c>
      <c r="D856" s="263" t="s">
        <v>2659</v>
      </c>
      <c r="E856" s="263" t="s">
        <v>2526</v>
      </c>
      <c r="F856" s="263">
        <v>2</v>
      </c>
      <c r="G856" s="264" t="str">
        <f>'Dry_Litterbag Placem_Collection'!C197</f>
        <v>Dry_Ag3_CG2</v>
      </c>
      <c r="H856" s="273" t="s">
        <v>3651</v>
      </c>
      <c r="I856" s="274" t="s">
        <v>298</v>
      </c>
      <c r="J856" s="263" t="str">
        <f>IF(ISBLANK('Dry_Litterbag Placem_Collection'!M197),"","R"&amp;""&amp;'Dry_Litterbag Placem_Collection'!M197)</f>
        <v>R645</v>
      </c>
      <c r="K856" s="267">
        <f>IFERROR(INDEX('Green_rooibos initial weight'!$C$5:$C$1749,MATCH(J856, 'Green_rooibos initial weight'!$A$5:$A$1749,0)),"")</f>
        <v>2.2469999999999999</v>
      </c>
      <c r="L856" s="267">
        <f>IFERROR(K856-(TBIcalc!$Q$9+TBIcalc!$Q$10),"")</f>
        <v>1.9971999999999999</v>
      </c>
      <c r="M856" s="391">
        <f>AVERAGE(Ashed_controlls!$K$12:$K$14)</f>
        <v>2.2816647271287041</v>
      </c>
      <c r="N856" s="267">
        <f t="shared" si="66"/>
        <v>1.9516305920697854</v>
      </c>
      <c r="O856" s="267">
        <f>IF(IFERROR(INDEX('Both teabags AfterDry'!$D$3:$D$900,MATCH(J856,'Both teabags AfterDry'!$A$3:$A$900,0)),"")="","",(IFERROR(INDEX('Both teabags AfterDry'!$D$3:$D$900,MATCH(J856,'Both teabags AfterDry'!$A$3:$A$900,0)),"")))</f>
        <v>1.7509999999999999</v>
      </c>
      <c r="P856" s="267">
        <f>IFERROR(IF(O856&gt;0,O856-(TBIcalc!$Q$9),""),"")</f>
        <v>1.6003999999999998</v>
      </c>
      <c r="Q856" s="278">
        <f>IFERROR(INDEX('Ashed teabags dry'!$K$2:$K$825,MATCH(J856,'Ashed teabags dry'!$A$2:$A$825,0)),"")</f>
        <v>3.5648994515537913</v>
      </c>
      <c r="R856" s="278">
        <f t="shared" si="67"/>
        <v>1.5433473491773329</v>
      </c>
      <c r="S856" s="268">
        <f>'Dry_Litterbag Placem_Collection'!E197</f>
        <v>42942</v>
      </c>
      <c r="T856" s="268">
        <f>IF('Dry_Litterbag Placem_Collection'!G197="","",'Dry_Litterbag Placem_Collection'!G197)</f>
        <v>43004</v>
      </c>
      <c r="U856" s="269">
        <f t="shared" si="65"/>
        <v>62</v>
      </c>
      <c r="V856" s="267">
        <f t="shared" si="68"/>
        <v>0.39680000000000004</v>
      </c>
      <c r="W856" s="267">
        <f t="shared" si="69"/>
        <v>0.40828324289245255</v>
      </c>
      <c r="X856" s="271">
        <f>IFERROR(INDEX(Rainfall_Dry!$O$2:$O$217,MATCH(B856, Rainfall_Dry!$A$2:$A$217,0)),"")</f>
        <v>171.84818423999999</v>
      </c>
      <c r="Y856" s="260">
        <v>54.080969906906262</v>
      </c>
      <c r="Z856" s="260">
        <v>21.264484651351896</v>
      </c>
      <c r="AA856" s="260">
        <v>24.654545441741845</v>
      </c>
      <c r="AB856" s="261" t="s">
        <v>2673</v>
      </c>
      <c r="AC856" s="260">
        <v>1.8433218334154755</v>
      </c>
      <c r="AD856">
        <f>IF('WetLitterbags placem_collection'!AB197="","",'WetLitterbags placem_collection'!AB197)</f>
        <v>5.13</v>
      </c>
      <c r="AE856">
        <f>IF('WetLitterbags placem_collection'!Z197="","",'WetLitterbags placem_collection'!Z197)</f>
        <v>5.13</v>
      </c>
      <c r="AF856" s="246" t="str">
        <f>IF('WetLitterbags placem_collection'!AA197="","",'WetLitterbags placem_collection'!AA197)</f>
        <v>O</v>
      </c>
      <c r="AG856">
        <f>IF('WetLitterbags placem_collection'!AC197="","",'WetLitterbags placem_collection'!AC197)</f>
        <v>1</v>
      </c>
      <c r="AH856">
        <f>IFERROR(AVERAGE('Dry_Litterbag Placem_Collection'!O197,'Dry_Litterbag Placem_Collection'!R197),"")</f>
        <v>11.4</v>
      </c>
      <c r="AI856" s="271">
        <f>IFERROR(AVERAGE('Dry_Litterbag Placem_Collection'!N197,'Dry_Litterbag Placem_Collection'!Q197),"")</f>
        <v>28.1</v>
      </c>
      <c r="AJ856">
        <v>-2.4396450349999999</v>
      </c>
      <c r="AK856">
        <v>34.83836599</v>
      </c>
      <c r="AL856" s="270" t="str">
        <f>IF(ISNUMBER(SEARCH("C", 'Dry_Litterbag Placem_Collection'!V197)),"YES","NO")</f>
        <v>NO</v>
      </c>
      <c r="AM856" s="270" t="str">
        <f>IF(ISNUMBER(SEARCH("H", 'Dry_Litterbag Placem_Collection'!V197)),"YES","NO")</f>
        <v>NO</v>
      </c>
      <c r="AN856" s="270" t="str">
        <f>IF(ISNUMBER(SEARCH("R", 'Dry_Litterbag Placem_Collection'!V197)),"YES","NO")</f>
        <v>NO</v>
      </c>
    </row>
    <row r="857" spans="1:40" ht="15" customHeight="1">
      <c r="A857" s="262" t="s">
        <v>2659</v>
      </c>
      <c r="B857" s="263">
        <f>'Dry_Litterbag Placem_Collection'!A198</f>
        <v>196</v>
      </c>
      <c r="C857" s="263" t="str">
        <f>'Dry_Litterbag Placem_Collection'!B198</f>
        <v>Makao</v>
      </c>
      <c r="D857" s="263" t="s">
        <v>2659</v>
      </c>
      <c r="E857" s="263" t="s">
        <v>2526</v>
      </c>
      <c r="F857" s="263">
        <v>1</v>
      </c>
      <c r="G857" s="264" t="str">
        <f>'Dry_Litterbag Placem_Collection'!C198</f>
        <v>Dry_Ag4_CG1</v>
      </c>
      <c r="H857" s="273" t="s">
        <v>3651</v>
      </c>
      <c r="I857" s="274" t="s">
        <v>298</v>
      </c>
      <c r="J857" s="263" t="str">
        <f>IF(ISBLANK('Dry_Litterbag Placem_Collection'!M198),"","R"&amp;""&amp;'Dry_Litterbag Placem_Collection'!M198)</f>
        <v>R709</v>
      </c>
      <c r="K857" s="267">
        <f>IFERROR(INDEX('Green_rooibos initial weight'!$C$5:$C$1749,MATCH(J857, 'Green_rooibos initial weight'!$A$5:$A$1749,0)),"")</f>
        <v>2.157</v>
      </c>
      <c r="L857" s="267">
        <f>IFERROR(K857-(TBIcalc!$Q$9+TBIcalc!$Q$10),"")</f>
        <v>1.9072</v>
      </c>
      <c r="M857" s="391">
        <f>AVERAGE(Ashed_controlls!$K$12:$K$14)</f>
        <v>2.2816647271287041</v>
      </c>
      <c r="N857" s="267">
        <f t="shared" si="66"/>
        <v>1.8636840903242013</v>
      </c>
      <c r="O857" s="267">
        <f>IF(IFERROR(INDEX('Both teabags AfterDry'!$D$3:$D$900,MATCH(J857,'Both teabags AfterDry'!$A$3:$A$900,0)),"")="","",(IFERROR(INDEX('Both teabags AfterDry'!$D$3:$D$900,MATCH(J857,'Both teabags AfterDry'!$A$3:$A$900,0)),"")))</f>
        <v>1.863</v>
      </c>
      <c r="P857" s="267">
        <f>IFERROR(IF(O857&gt;0,O857-(TBIcalc!$Q$9),""),"")</f>
        <v>1.7123999999999999</v>
      </c>
      <c r="Q857" s="278">
        <f>IFERROR(INDEX('Ashed teabags dry'!$K$2:$K$825,MATCH(J857,'Ashed teabags dry'!$A$2:$A$825,0)),"")</f>
        <v>2.5540275049118555</v>
      </c>
      <c r="R857" s="278">
        <f t="shared" si="67"/>
        <v>1.6686648330058893</v>
      </c>
      <c r="S857" s="268">
        <f>'Dry_Litterbag Placem_Collection'!E198</f>
        <v>42942</v>
      </c>
      <c r="T857" s="268">
        <f>IF('Dry_Litterbag Placem_Collection'!G198="","",'Dry_Litterbag Placem_Collection'!G198)</f>
        <v>43004</v>
      </c>
      <c r="U857" s="269">
        <f t="shared" si="65"/>
        <v>62</v>
      </c>
      <c r="V857" s="267">
        <f t="shared" si="68"/>
        <v>0.19480000000000008</v>
      </c>
      <c r="W857" s="267">
        <f t="shared" si="69"/>
        <v>0.19501925731831204</v>
      </c>
      <c r="X857" s="271">
        <f>IFERROR(INDEX(Rainfall_Dry!$O$2:$O$217,MATCH(B857, Rainfall_Dry!$A$2:$A$217,0)),"")</f>
        <v>171.84818423999999</v>
      </c>
      <c r="Y857" s="260">
        <v>51.960000000000008</v>
      </c>
      <c r="Z857" s="260">
        <v>18.919999999999995</v>
      </c>
      <c r="AA857" s="260">
        <v>29.120000000000005</v>
      </c>
      <c r="AB857" s="261" t="s">
        <v>2673</v>
      </c>
      <c r="AC857" s="260">
        <v>1.85293247905372</v>
      </c>
      <c r="AD857">
        <f>IF('WetLitterbags placem_collection'!AB198="","",'WetLitterbags placem_collection'!AB198)</f>
        <v>13.8</v>
      </c>
      <c r="AE857">
        <f>IF('WetLitterbags placem_collection'!Z198="","",'WetLitterbags placem_collection'!Z198)</f>
        <v>17.399999999999999</v>
      </c>
      <c r="AF857" s="246" t="str">
        <f>IF('WetLitterbags placem_collection'!AA198="","",'WetLitterbags placem_collection'!AA198)</f>
        <v>O</v>
      </c>
      <c r="AG857">
        <f>IF('WetLitterbags placem_collection'!AC198="","",'WetLitterbags placem_collection'!AC198)</f>
        <v>1</v>
      </c>
      <c r="AH857">
        <f>IFERROR(AVERAGE('Dry_Litterbag Placem_Collection'!O198,'Dry_Litterbag Placem_Collection'!R198),"")</f>
        <v>12.45</v>
      </c>
      <c r="AI857" s="271">
        <f>IFERROR(AVERAGE('Dry_Litterbag Placem_Collection'!N198,'Dry_Litterbag Placem_Collection'!Q198),"")</f>
        <v>26.65</v>
      </c>
      <c r="AJ857">
        <v>-2.439403972</v>
      </c>
      <c r="AK857">
        <v>34.838404959999998</v>
      </c>
      <c r="AL857" s="270" t="str">
        <f>IF(ISNUMBER(SEARCH("C", 'Dry_Litterbag Placem_Collection'!V198)),"YES","NO")</f>
        <v>NO</v>
      </c>
      <c r="AM857" s="270" t="str">
        <f>IF(ISNUMBER(SEARCH("H", 'Dry_Litterbag Placem_Collection'!V198)),"YES","NO")</f>
        <v>NO</v>
      </c>
      <c r="AN857" s="270" t="str">
        <f>IF(ISNUMBER(SEARCH("R", 'Dry_Litterbag Placem_Collection'!V198)),"YES","NO")</f>
        <v>NO</v>
      </c>
    </row>
    <row r="858" spans="1:40" ht="15" customHeight="1">
      <c r="A858" s="262" t="s">
        <v>2659</v>
      </c>
      <c r="B858" s="263">
        <f>'Dry_Litterbag Placem_Collection'!A199</f>
        <v>197</v>
      </c>
      <c r="C858" s="263" t="str">
        <f>'Dry_Litterbag Placem_Collection'!B199</f>
        <v>Makao</v>
      </c>
      <c r="D858" s="263" t="s">
        <v>2659</v>
      </c>
      <c r="E858" s="263" t="s">
        <v>2526</v>
      </c>
      <c r="F858" s="263">
        <v>2</v>
      </c>
      <c r="G858" s="264" t="str">
        <f>'Dry_Litterbag Placem_Collection'!C199</f>
        <v>Dry_P1_CG2</v>
      </c>
      <c r="H858" s="273" t="s">
        <v>3651</v>
      </c>
      <c r="I858" s="274" t="s">
        <v>298</v>
      </c>
      <c r="J858" s="263" t="str">
        <f>IF(ISBLANK('Dry_Litterbag Placem_Collection'!M199),"","R"&amp;""&amp;'Dry_Litterbag Placem_Collection'!M199)</f>
        <v>R131</v>
      </c>
      <c r="K858" s="267">
        <f>IFERROR(INDEX('Green_rooibos initial weight'!$C$5:$C$1749,MATCH(J858, 'Green_rooibos initial weight'!$A$5:$A$1749,0)),"")</f>
        <v>2.1560000000000001</v>
      </c>
      <c r="L858" s="267">
        <f>IFERROR(K858-(TBIcalc!$Q$9+TBIcalc!$Q$10),"")</f>
        <v>1.9062000000000001</v>
      </c>
      <c r="M858" s="391">
        <f>AVERAGE(Ashed_controlls!$K$12:$K$14)</f>
        <v>2.2816647271287041</v>
      </c>
      <c r="N858" s="267">
        <f t="shared" si="66"/>
        <v>1.8627069069714728</v>
      </c>
      <c r="O858" s="267">
        <f>IF(IFERROR(INDEX('Both teabags AfterDry'!$D$3:$D$900,MATCH(J858,'Both teabags AfterDry'!$A$3:$A$900,0)),"")="","",(IFERROR(INDEX('Both teabags AfterDry'!$D$3:$D$900,MATCH(J858,'Both teabags AfterDry'!$A$3:$A$900,0)),"")))</f>
        <v>1.577</v>
      </c>
      <c r="P858" s="267">
        <f>IFERROR(IF(O858&gt;0,O858-(TBIcalc!$Q$9),""),"")</f>
        <v>1.4263999999999999</v>
      </c>
      <c r="Q858" s="278">
        <f>IFERROR(INDEX('Ashed teabags dry'!$K$2:$K$825,MATCH(J858,'Ashed teabags dry'!$A$2:$A$825,0)),"")</f>
        <v>8.3446712018141849</v>
      </c>
      <c r="R858" s="278">
        <f t="shared" si="67"/>
        <v>1.3073716099773223</v>
      </c>
      <c r="S858" s="268">
        <f>'Dry_Litterbag Placem_Collection'!E199</f>
        <v>42942</v>
      </c>
      <c r="T858" s="268">
        <f>IF('Dry_Litterbag Placem_Collection'!G199="","",'Dry_Litterbag Placem_Collection'!G199)</f>
        <v>43004</v>
      </c>
      <c r="U858" s="269">
        <f t="shared" si="65"/>
        <v>62</v>
      </c>
      <c r="V858" s="267">
        <f t="shared" si="68"/>
        <v>0.47980000000000023</v>
      </c>
      <c r="W858" s="267">
        <f t="shared" si="69"/>
        <v>0.55533529699415052</v>
      </c>
      <c r="X858" s="271">
        <f>IFERROR(INDEX(Rainfall_Dry!$O$2:$O$217,MATCH(B858, Rainfall_Dry!$A$2:$A$217,0)),"")</f>
        <v>171.84818423999999</v>
      </c>
      <c r="Y858" s="260">
        <v>23.96</v>
      </c>
      <c r="Z858" s="260">
        <v>0.91999999999999804</v>
      </c>
      <c r="AA858" s="260">
        <v>75.12</v>
      </c>
      <c r="AB858" s="261" t="s">
        <v>2670</v>
      </c>
      <c r="AC858" s="260">
        <v>1.2493839329719072</v>
      </c>
      <c r="AD858">
        <f>IF('WetLitterbags placem_collection'!AB199="","",'WetLitterbags placem_collection'!AB199)</f>
        <v>5.13</v>
      </c>
      <c r="AE858">
        <f>IF('WetLitterbags placem_collection'!Z199="","",'WetLitterbags placem_collection'!Z199)</f>
        <v>5.13</v>
      </c>
      <c r="AF858" s="246" t="str">
        <f>IF('WetLitterbags placem_collection'!AA199="","",'WetLitterbags placem_collection'!AA199)</f>
        <v>O</v>
      </c>
      <c r="AG858">
        <f>IF('WetLitterbags placem_collection'!AC199="","",'WetLitterbags placem_collection'!AC199)</f>
        <v>1</v>
      </c>
      <c r="AH858">
        <f>IFERROR(AVERAGE('Dry_Litterbag Placem_Collection'!O199,'Dry_Litterbag Placem_Collection'!R199),"")</f>
        <v>6.3000000000000007</v>
      </c>
      <c r="AI858" s="271">
        <f>IFERROR(AVERAGE('Dry_Litterbag Placem_Collection'!N199,'Dry_Litterbag Placem_Collection'!Q199),"")</f>
        <v>29.05</v>
      </c>
      <c r="AJ858">
        <v>-2.4396450349999999</v>
      </c>
      <c r="AK858">
        <v>34.83836599</v>
      </c>
      <c r="AL858" s="270" t="str">
        <f>IF(ISNUMBER(SEARCH("C", 'Dry_Litterbag Placem_Collection'!V199)),"YES","NO")</f>
        <v>NO</v>
      </c>
      <c r="AM858" s="270" t="str">
        <f>IF(ISNUMBER(SEARCH("H", 'Dry_Litterbag Placem_Collection'!V199)),"YES","NO")</f>
        <v>NO</v>
      </c>
      <c r="AN858" s="270" t="str">
        <f>IF(ISNUMBER(SEARCH("R", 'Dry_Litterbag Placem_Collection'!V199)),"YES","NO")</f>
        <v>YES</v>
      </c>
    </row>
    <row r="859" spans="1:40" ht="15" customHeight="1">
      <c r="A859" s="262" t="s">
        <v>2659</v>
      </c>
      <c r="B859" s="263">
        <f>'Dry_Litterbag Placem_Collection'!A200</f>
        <v>198</v>
      </c>
      <c r="C859" s="263" t="str">
        <f>'Dry_Litterbag Placem_Collection'!B200</f>
        <v>Makao</v>
      </c>
      <c r="D859" s="263" t="s">
        <v>2659</v>
      </c>
      <c r="E859" s="263" t="s">
        <v>2526</v>
      </c>
      <c r="F859" s="263">
        <v>3</v>
      </c>
      <c r="G859" s="264" t="str">
        <f>'Dry_Litterbag Placem_Collection'!C200</f>
        <v>Dry_P2_CG3</v>
      </c>
      <c r="H859" s="273" t="s">
        <v>3651</v>
      </c>
      <c r="I859" s="274" t="s">
        <v>298</v>
      </c>
      <c r="J859" s="263" t="str">
        <f>IF(ISBLANK('Dry_Litterbag Placem_Collection'!M200),"","R"&amp;""&amp;'Dry_Litterbag Placem_Collection'!M200)</f>
        <v>R711</v>
      </c>
      <c r="K859" s="267">
        <f>IFERROR(INDEX('Green_rooibos initial weight'!$C$5:$C$1749,MATCH(J859, 'Green_rooibos initial weight'!$A$5:$A$1749,0)),"")</f>
        <v>2.13</v>
      </c>
      <c r="L859" s="267">
        <f>IFERROR(K859-(TBIcalc!$Q$9+TBIcalc!$Q$10),"")</f>
        <v>1.8801999999999999</v>
      </c>
      <c r="M859" s="391">
        <f>AVERAGE(Ashed_controlls!$K$12:$K$14)</f>
        <v>2.2816647271287041</v>
      </c>
      <c r="N859" s="267">
        <f t="shared" si="66"/>
        <v>1.837300139800526</v>
      </c>
      <c r="O859" s="267">
        <f>IF(IFERROR(INDEX('Both teabags AfterDry'!$D$3:$D$900,MATCH(J859,'Both teabags AfterDry'!$A$3:$A$900,0)),"")="","",(IFERROR(INDEX('Both teabags AfterDry'!$D$3:$D$900,MATCH(J859,'Both teabags AfterDry'!$A$3:$A$900,0)),"")))</f>
        <v>1.7210000000000001</v>
      </c>
      <c r="P859" s="267">
        <f>IFERROR(IF(O859&gt;0,O859-(TBIcalc!$Q$9),""),"")</f>
        <v>1.5704</v>
      </c>
      <c r="Q859" s="278">
        <f>IFERROR(INDEX('Ashed teabags dry'!$K$2:$K$825,MATCH(J859,'Ashed teabags dry'!$A$2:$A$825,0)),"")</f>
        <v>4.205838693715986</v>
      </c>
      <c r="R859" s="278">
        <f t="shared" si="67"/>
        <v>1.5043515091538842</v>
      </c>
      <c r="S859" s="268">
        <f>'Dry_Litterbag Placem_Collection'!E200</f>
        <v>42942</v>
      </c>
      <c r="T859" s="268">
        <f>IF('Dry_Litterbag Placem_Collection'!G200="","",'Dry_Litterbag Placem_Collection'!G200)</f>
        <v>43004</v>
      </c>
      <c r="U859" s="269">
        <f t="shared" si="65"/>
        <v>62</v>
      </c>
      <c r="V859" s="267">
        <f t="shared" si="68"/>
        <v>0.30979999999999985</v>
      </c>
      <c r="W859" s="267">
        <f t="shared" si="69"/>
        <v>0.33294863064664182</v>
      </c>
      <c r="X859" s="271">
        <f>IFERROR(INDEX(Rainfall_Dry!$O$2:$O$217,MATCH(B859, Rainfall_Dry!$A$2:$A$217,0)),"")</f>
        <v>171.84818423999999</v>
      </c>
      <c r="Y859" s="260">
        <v>19.96</v>
      </c>
      <c r="Z859" s="260">
        <v>4.9199999999999982</v>
      </c>
      <c r="AA859" s="260">
        <v>75.12</v>
      </c>
      <c r="AB859" s="261" t="s">
        <v>2671</v>
      </c>
      <c r="AC859" s="260">
        <v>1.641498275012321</v>
      </c>
      <c r="AD859">
        <f>IF('WetLitterbags placem_collection'!AB200="","",'WetLitterbags placem_collection'!AB200)</f>
        <v>7.9</v>
      </c>
      <c r="AE859">
        <f>IF('WetLitterbags placem_collection'!Z200="","",'WetLitterbags placem_collection'!Z200)</f>
        <v>7.9</v>
      </c>
      <c r="AF859" s="246" t="str">
        <f>IF('WetLitterbags placem_collection'!AA200="","",'WetLitterbags placem_collection'!AA200)</f>
        <v>O</v>
      </c>
      <c r="AG859">
        <f>IF('WetLitterbags placem_collection'!AC200="","",'WetLitterbags placem_collection'!AC200)</f>
        <v>1</v>
      </c>
      <c r="AH859">
        <f>IFERROR(AVERAGE('Dry_Litterbag Placem_Collection'!O200,'Dry_Litterbag Placem_Collection'!R200),"")</f>
        <v>4.8499999999999996</v>
      </c>
      <c r="AI859" s="271">
        <f>IFERROR(AVERAGE('Dry_Litterbag Placem_Collection'!N200,'Dry_Litterbag Placem_Collection'!Q200),"")</f>
        <v>30.25</v>
      </c>
      <c r="AJ859">
        <v>-2.4395990190000001</v>
      </c>
      <c r="AK859">
        <v>34.838418959999998</v>
      </c>
      <c r="AL859" s="270" t="str">
        <f>IF(ISNUMBER(SEARCH("C", 'Dry_Litterbag Placem_Collection'!V200)),"YES","NO")</f>
        <v>NO</v>
      </c>
      <c r="AM859" s="270" t="str">
        <f>IF(ISNUMBER(SEARCH("H", 'Dry_Litterbag Placem_Collection'!V200)),"YES","NO")</f>
        <v>NO</v>
      </c>
      <c r="AN859" s="270" t="str">
        <f>IF(ISNUMBER(SEARCH("R", 'Dry_Litterbag Placem_Collection'!V200)),"YES","NO")</f>
        <v>YES</v>
      </c>
    </row>
    <row r="860" spans="1:40" ht="15" customHeight="1">
      <c r="A860" s="262" t="s">
        <v>2659</v>
      </c>
      <c r="B860" s="263">
        <f>'Dry_Litterbag Placem_Collection'!A201</f>
        <v>199</v>
      </c>
      <c r="C860" s="263" t="str">
        <f>'Dry_Litterbag Placem_Collection'!B201</f>
        <v>Makao</v>
      </c>
      <c r="D860" s="263" t="s">
        <v>2659</v>
      </c>
      <c r="E860" s="263" t="s">
        <v>2526</v>
      </c>
      <c r="F860" s="263">
        <v>1</v>
      </c>
      <c r="G860" s="264" t="str">
        <f>'Dry_Litterbag Placem_Collection'!C201</f>
        <v>Dry_P3_CG1</v>
      </c>
      <c r="H860" s="273" t="s">
        <v>3651</v>
      </c>
      <c r="I860" s="274" t="s">
        <v>298</v>
      </c>
      <c r="J860" s="263" t="str">
        <f>IF(ISBLANK('Dry_Litterbag Placem_Collection'!M201),"","R"&amp;""&amp;'Dry_Litterbag Placem_Collection'!M201)</f>
        <v>R236</v>
      </c>
      <c r="K860" s="267">
        <f>IFERROR(INDEX('Green_rooibos initial weight'!$C$5:$C$1749,MATCH(J860, 'Green_rooibos initial weight'!$A$5:$A$1749,0)),"")</f>
        <v>2.2440000000000002</v>
      </c>
      <c r="L860" s="267">
        <f>IFERROR(K860-(TBIcalc!$Q$9+TBIcalc!$Q$10),"")</f>
        <v>1.9942000000000002</v>
      </c>
      <c r="M860" s="391">
        <f>AVERAGE(Ashed_controlls!$K$12:$K$14)</f>
        <v>2.2816647271287041</v>
      </c>
      <c r="N860" s="267">
        <f t="shared" si="66"/>
        <v>1.9486990420115995</v>
      </c>
      <c r="O860" s="267">
        <f>IF(IFERROR(INDEX('Both teabags AfterDry'!$D$3:$D$900,MATCH(J860,'Both teabags AfterDry'!$A$3:$A$900,0)),"")="","",(IFERROR(INDEX('Both teabags AfterDry'!$D$3:$D$900,MATCH(J860,'Both teabags AfterDry'!$A$3:$A$900,0)),"")))</f>
        <v>1.62</v>
      </c>
      <c r="P860" s="267">
        <f>IFERROR(IF(O860&gt;0,O860-(TBIcalc!$Q$9),""),"")</f>
        <v>1.4694</v>
      </c>
      <c r="Q860" s="278">
        <f>IFERROR(INDEX('Ashed teabags dry'!$K$2:$K$825,MATCH(J860,'Ashed teabags dry'!$A$2:$A$825,0)),"")</f>
        <v>2.5580293699667425</v>
      </c>
      <c r="R860" s="278">
        <f t="shared" si="67"/>
        <v>1.4318123164377088</v>
      </c>
      <c r="S860" s="268">
        <f>'Dry_Litterbag Placem_Collection'!E201</f>
        <v>42942</v>
      </c>
      <c r="T860" s="268">
        <f>IF('Dry_Litterbag Placem_Collection'!G201="","",'Dry_Litterbag Placem_Collection'!G201)</f>
        <v>43004</v>
      </c>
      <c r="U860" s="269">
        <f t="shared" si="65"/>
        <v>62</v>
      </c>
      <c r="V860" s="267">
        <f t="shared" si="68"/>
        <v>0.52480000000000016</v>
      </c>
      <c r="W860" s="267">
        <f t="shared" si="69"/>
        <v>0.5168867255738907</v>
      </c>
      <c r="X860" s="271">
        <f>IFERROR(INDEX(Rainfall_Dry!$O$2:$O$217,MATCH(B860, Rainfall_Dry!$A$2:$A$217,0)),"")</f>
        <v>171.84818423999999</v>
      </c>
      <c r="Y860" s="260">
        <v>21.96</v>
      </c>
      <c r="Z860" s="260">
        <v>8.9199999999999982</v>
      </c>
      <c r="AA860" s="260">
        <v>69.12</v>
      </c>
      <c r="AB860" s="261" t="s">
        <v>2670</v>
      </c>
      <c r="AC860" s="260">
        <v>1.7491375061606702</v>
      </c>
      <c r="AD860">
        <f>IF('WetLitterbags placem_collection'!AB201="","",'WetLitterbags placem_collection'!AB201)</f>
        <v>13.8</v>
      </c>
      <c r="AE860">
        <f>IF('WetLitterbags placem_collection'!Z201="","",'WetLitterbags placem_collection'!Z201)</f>
        <v>17.399999999999999</v>
      </c>
      <c r="AF860" s="246" t="str">
        <f>IF('WetLitterbags placem_collection'!AA201="","",'WetLitterbags placem_collection'!AA201)</f>
        <v>O</v>
      </c>
      <c r="AG860">
        <f>IF('WetLitterbags placem_collection'!AC201="","",'WetLitterbags placem_collection'!AC201)</f>
        <v>1</v>
      </c>
      <c r="AH860">
        <f>IFERROR(AVERAGE('Dry_Litterbag Placem_Collection'!O201,'Dry_Litterbag Placem_Collection'!R201),"")</f>
        <v>6.1999999999999993</v>
      </c>
      <c r="AI860" s="271">
        <f>IFERROR(AVERAGE('Dry_Litterbag Placem_Collection'!N201,'Dry_Litterbag Placem_Collection'!Q201),"")</f>
        <v>27.200000000000003</v>
      </c>
      <c r="AJ860">
        <v>-2.439403972</v>
      </c>
      <c r="AK860">
        <v>34.838404959999998</v>
      </c>
      <c r="AL860" s="270" t="str">
        <f>IF(ISNUMBER(SEARCH("C", 'Dry_Litterbag Placem_Collection'!V201)),"YES","NO")</f>
        <v>NO</v>
      </c>
      <c r="AM860" s="270" t="str">
        <f>IF(ISNUMBER(SEARCH("H", 'Dry_Litterbag Placem_Collection'!V201)),"YES","NO")</f>
        <v>NO</v>
      </c>
      <c r="AN860" s="270" t="str">
        <f>IF(ISNUMBER(SEARCH("R", 'Dry_Litterbag Placem_Collection'!V201)),"YES","NO")</f>
        <v>YES</v>
      </c>
    </row>
    <row r="861" spans="1:40" ht="15" customHeight="1">
      <c r="A861" s="262" t="s">
        <v>2659</v>
      </c>
      <c r="B861" s="263">
        <f>'Dry_Litterbag Placem_Collection'!A202</f>
        <v>200</v>
      </c>
      <c r="C861" s="263" t="str">
        <f>'Dry_Litterbag Placem_Collection'!B202</f>
        <v>Makao</v>
      </c>
      <c r="D861" s="263" t="s">
        <v>2659</v>
      </c>
      <c r="E861" s="263" t="s">
        <v>2526</v>
      </c>
      <c r="F861" s="263">
        <v>4</v>
      </c>
      <c r="G861" s="264" t="str">
        <f>'Dry_Litterbag Placem_Collection'!C202</f>
        <v>Dry_P4_CG4</v>
      </c>
      <c r="H861" s="273" t="s">
        <v>3651</v>
      </c>
      <c r="I861" s="274" t="s">
        <v>298</v>
      </c>
      <c r="J861" s="263" t="str">
        <f>IF(ISBLANK('Dry_Litterbag Placem_Collection'!M202),"","R"&amp;""&amp;'Dry_Litterbag Placem_Collection'!M202)</f>
        <v>R205</v>
      </c>
      <c r="K861" s="267">
        <f>IFERROR(INDEX('Green_rooibos initial weight'!$C$5:$C$1749,MATCH(J861, 'Green_rooibos initial weight'!$A$5:$A$1749,0)),"")</f>
        <v>2.181</v>
      </c>
      <c r="L861" s="267">
        <f>IFERROR(K861-(TBIcalc!$Q$9+TBIcalc!$Q$10),"")</f>
        <v>1.9312</v>
      </c>
      <c r="M861" s="391">
        <f>AVERAGE(Ashed_controlls!$K$12:$K$14)</f>
        <v>2.2816647271287041</v>
      </c>
      <c r="N861" s="267">
        <f t="shared" si="66"/>
        <v>1.8871364907896906</v>
      </c>
      <c r="O861" s="267">
        <f>IF(IFERROR(INDEX('Both teabags AfterDry'!$D$3:$D$900,MATCH(J861,'Both teabags AfterDry'!$A$3:$A$900,0)),"")="","",(IFERROR(INDEX('Both teabags AfterDry'!$D$3:$D$900,MATCH(J861,'Both teabags AfterDry'!$A$3:$A$900,0)),"")))</f>
        <v>1.6595</v>
      </c>
      <c r="P861" s="267">
        <f>IFERROR(IF(O861&gt;0,O861-(TBIcalc!$Q$9),""),"")</f>
        <v>1.5088999999999999</v>
      </c>
      <c r="Q861" s="278">
        <f>IFERROR(INDEX('Ashed teabags dry'!$K$2:$K$825,MATCH(J861,'Ashed teabags dry'!$A$2:$A$825,0)),"")</f>
        <v>2.2522522522528168</v>
      </c>
      <c r="R861" s="278">
        <f t="shared" si="67"/>
        <v>1.4749157657657572</v>
      </c>
      <c r="S861" s="268">
        <f>'Dry_Litterbag Placem_Collection'!E202</f>
        <v>42942</v>
      </c>
      <c r="T861" s="268">
        <f>IF('Dry_Litterbag Placem_Collection'!G202="","",'Dry_Litterbag Placem_Collection'!G202)</f>
        <v>43004</v>
      </c>
      <c r="U861" s="269">
        <f t="shared" si="65"/>
        <v>62</v>
      </c>
      <c r="V861" s="267">
        <f t="shared" si="68"/>
        <v>0.42230000000000012</v>
      </c>
      <c r="W861" s="267">
        <f t="shared" si="69"/>
        <v>0.41222072502393337</v>
      </c>
      <c r="X861" s="271">
        <f>IFERROR(INDEX(Rainfall_Dry!$O$2:$O$217,MATCH(B861, Rainfall_Dry!$A$2:$A$217,0)),"")</f>
        <v>171.84818423999999</v>
      </c>
      <c r="Y861" s="260">
        <v>25.96</v>
      </c>
      <c r="Z861" s="260">
        <v>6.9200000000000008</v>
      </c>
      <c r="AA861" s="260">
        <v>67.12</v>
      </c>
      <c r="AB861" s="261" t="s">
        <v>2670</v>
      </c>
      <c r="AC861" s="260">
        <v>1.7568260226712666</v>
      </c>
      <c r="AD861">
        <f>IF('WetLitterbags placem_collection'!AB202="","",'WetLitterbags placem_collection'!AB202)</f>
        <v>15.2</v>
      </c>
      <c r="AE861">
        <f>IF('WetLitterbags placem_collection'!Z202="","",'WetLitterbags placem_collection'!Z202)</f>
        <v>12.2</v>
      </c>
      <c r="AF861" s="246" t="str">
        <f>IF('WetLitterbags placem_collection'!AA202="","",'WetLitterbags placem_collection'!AA202)</f>
        <v>O</v>
      </c>
      <c r="AG861">
        <f>IF('WetLitterbags placem_collection'!AC202="","",'WetLitterbags placem_collection'!AC202)</f>
        <v>1</v>
      </c>
      <c r="AH861">
        <f>IFERROR(AVERAGE('Dry_Litterbag Placem_Collection'!O202,'Dry_Litterbag Placem_Collection'!R202),"")</f>
        <v>7</v>
      </c>
      <c r="AI861" s="271">
        <f>IFERROR(AVERAGE('Dry_Litterbag Placem_Collection'!N202,'Dry_Litterbag Placem_Collection'!Q202),"")</f>
        <v>32.9</v>
      </c>
      <c r="AJ861">
        <v>-2.4396949910000001</v>
      </c>
      <c r="AK861">
        <v>34.838574029999997</v>
      </c>
      <c r="AL861" s="270" t="str">
        <f>IF(ISNUMBER(SEARCH("C", 'Dry_Litterbag Placem_Collection'!V202)),"YES","NO")</f>
        <v>NO</v>
      </c>
      <c r="AM861" s="270" t="str">
        <f>IF(ISNUMBER(SEARCH("H", 'Dry_Litterbag Placem_Collection'!V202)),"YES","NO")</f>
        <v>NO</v>
      </c>
      <c r="AN861" s="270" t="str">
        <f>IF(ISNUMBER(SEARCH("R", 'Dry_Litterbag Placem_Collection'!V202)),"YES","NO")</f>
        <v>YES</v>
      </c>
    </row>
    <row r="862" spans="1:40" ht="15" customHeight="1">
      <c r="A862" s="262" t="s">
        <v>2659</v>
      </c>
      <c r="B862" s="263">
        <f>'Dry_Litterbag Placem_Collection'!A203</f>
        <v>201</v>
      </c>
      <c r="C862" s="263" t="str">
        <f>'Dry_Litterbag Placem_Collection'!B203</f>
        <v>Maswa</v>
      </c>
      <c r="D862" s="263" t="s">
        <v>2659</v>
      </c>
      <c r="E862" s="263" t="s">
        <v>2526</v>
      </c>
      <c r="F862" s="263">
        <v>4</v>
      </c>
      <c r="G862" s="264" t="str">
        <f>'Dry_Litterbag Placem_Collection'!C203</f>
        <v>Dry_W3_CG4</v>
      </c>
      <c r="H862" s="273" t="s">
        <v>3651</v>
      </c>
      <c r="I862" s="274" t="s">
        <v>298</v>
      </c>
      <c r="J862" s="263" t="str">
        <f>IF(ISBLANK('Dry_Litterbag Placem_Collection'!M203),"","R"&amp;""&amp;'Dry_Litterbag Placem_Collection'!M203)</f>
        <v>R665</v>
      </c>
      <c r="K862" s="267">
        <f>IFERROR(INDEX('Green_rooibos initial weight'!$C$5:$C$1749,MATCH(J862, 'Green_rooibos initial weight'!$A$5:$A$1749,0)),"")</f>
        <v>2.1579999999999999</v>
      </c>
      <c r="L862" s="267">
        <f>IFERROR(K862-(TBIcalc!$Q$9+TBIcalc!$Q$10),"")</f>
        <v>1.9081999999999999</v>
      </c>
      <c r="M862" s="391">
        <f>AVERAGE(Ashed_controlls!$K$12:$K$14)</f>
        <v>2.2816647271287041</v>
      </c>
      <c r="N862" s="267">
        <f t="shared" si="66"/>
        <v>1.8646612736769299</v>
      </c>
      <c r="O862" s="267">
        <f>IF(IFERROR(INDEX('Both teabags AfterDry'!$D$3:$D$900,MATCH(J862,'Both teabags AfterDry'!$A$3:$A$900,0)),"")="","",(IFERROR(INDEX('Both teabags AfterDry'!$D$3:$D$900,MATCH(J862,'Both teabags AfterDry'!$A$3:$A$900,0)),"")))</f>
        <v>1.7869999999999999</v>
      </c>
      <c r="P862" s="267">
        <f>IFERROR(IF(O862&gt;0,O862-(TBIcalc!$Q$9),""),"")</f>
        <v>1.6363999999999999</v>
      </c>
      <c r="Q862" s="278">
        <f>IFERROR(INDEX('Ashed teabags dry'!$K$2:$K$825,MATCH(J862,'Ashed teabags dry'!$A$2:$A$825,0)),"")</f>
        <v>6.3397721644379263</v>
      </c>
      <c r="R862" s="278">
        <f t="shared" si="67"/>
        <v>1.5326559683011376</v>
      </c>
      <c r="S862" s="268">
        <f>'Dry_Litterbag Placem_Collection'!E203</f>
        <v>42942</v>
      </c>
      <c r="T862" s="268">
        <f>IF('Dry_Litterbag Placem_Collection'!G203="","",'Dry_Litterbag Placem_Collection'!G203)</f>
        <v>43004</v>
      </c>
      <c r="U862" s="269">
        <f t="shared" si="65"/>
        <v>62</v>
      </c>
      <c r="V862" s="267">
        <f t="shared" si="68"/>
        <v>0.27180000000000004</v>
      </c>
      <c r="W862" s="267">
        <f t="shared" si="69"/>
        <v>0.33200530537579231</v>
      </c>
      <c r="X862" s="271">
        <f>IFERROR(INDEX(Rainfall_Dry!$O$2:$O$217,MATCH(B862, Rainfall_Dry!$A$2:$A$217,0)),"")</f>
        <v>171.84818423999999</v>
      </c>
      <c r="Y862" s="260">
        <v>38.691629007962128</v>
      </c>
      <c r="Z862" s="260">
        <v>26.81299763288143</v>
      </c>
      <c r="AA862" s="260">
        <v>34.495373359156439</v>
      </c>
      <c r="AB862" s="261" t="s">
        <v>2675</v>
      </c>
      <c r="AC862" s="260">
        <v>2.5483587974371611</v>
      </c>
      <c r="AD862">
        <f>IF('WetLitterbags placem_collection'!AB203="","",'WetLitterbags placem_collection'!AB203)</f>
        <v>15.2</v>
      </c>
      <c r="AE862">
        <f>IF('WetLitterbags placem_collection'!Z203="","",'WetLitterbags placem_collection'!Z203)</f>
        <v>12.2</v>
      </c>
      <c r="AF862" s="246" t="str">
        <f>IF('WetLitterbags placem_collection'!AA203="","",'WetLitterbags placem_collection'!AA203)</f>
        <v>O</v>
      </c>
      <c r="AG862">
        <f>IF('WetLitterbags placem_collection'!AC203="","",'WetLitterbags placem_collection'!AC203)</f>
        <v>1</v>
      </c>
      <c r="AH862">
        <f>IFERROR(AVERAGE('Dry_Litterbag Placem_Collection'!O203,'Dry_Litterbag Placem_Collection'!R203),"")</f>
        <v>8.9</v>
      </c>
      <c r="AI862" s="271">
        <f>IFERROR(AVERAGE('Dry_Litterbag Placem_Collection'!N203,'Dry_Litterbag Placem_Collection'!Q203),"")</f>
        <v>29.15</v>
      </c>
      <c r="AJ862">
        <v>-2.4396949910000001</v>
      </c>
      <c r="AK862">
        <v>34.838574029999997</v>
      </c>
      <c r="AL862" s="270" t="str">
        <f>IF(ISNUMBER(SEARCH("C", 'Dry_Litterbag Placem_Collection'!V203)),"YES","NO")</f>
        <v>NO</v>
      </c>
      <c r="AM862" s="270" t="str">
        <f>IF(ISNUMBER(SEARCH("H", 'Dry_Litterbag Placem_Collection'!V203)),"YES","NO")</f>
        <v>NO</v>
      </c>
      <c r="AN862" s="270" t="str">
        <f>IF(ISNUMBER(SEARCH("R", 'Dry_Litterbag Placem_Collection'!V203)),"YES","NO")</f>
        <v>YES</v>
      </c>
    </row>
    <row r="863" spans="1:40" ht="15" customHeight="1">
      <c r="A863" s="262" t="s">
        <v>2659</v>
      </c>
      <c r="B863" s="263">
        <f>'Dry_Litterbag Placem_Collection'!A204</f>
        <v>202</v>
      </c>
      <c r="C863" s="263" t="str">
        <f>'Dry_Litterbag Placem_Collection'!B204</f>
        <v>Maswa</v>
      </c>
      <c r="D863" s="263" t="s">
        <v>2659</v>
      </c>
      <c r="E863" s="263" t="s">
        <v>2526</v>
      </c>
      <c r="F863" s="263">
        <v>1</v>
      </c>
      <c r="G863" s="264" t="str">
        <f>'Dry_Litterbag Placem_Collection'!C204</f>
        <v>Dry_W2_CG1</v>
      </c>
      <c r="H863" s="273" t="s">
        <v>3651</v>
      </c>
      <c r="I863" s="274" t="s">
        <v>298</v>
      </c>
      <c r="J863" s="263" t="str">
        <f>IF(ISBLANK('Dry_Litterbag Placem_Collection'!M204),"","R"&amp;""&amp;'Dry_Litterbag Placem_Collection'!M204)</f>
        <v>R224</v>
      </c>
      <c r="K863" s="267">
        <f>IFERROR(INDEX('Green_rooibos initial weight'!$C$5:$C$1749,MATCH(J863, 'Green_rooibos initial weight'!$A$5:$A$1749,0)),"")</f>
        <v>2.298</v>
      </c>
      <c r="L863" s="267">
        <f>IFERROR(K863-(TBIcalc!$Q$9+TBIcalc!$Q$10),"")</f>
        <v>2.0482</v>
      </c>
      <c r="M863" s="391">
        <f>AVERAGE(Ashed_controlls!$K$12:$K$14)</f>
        <v>2.2816647271287041</v>
      </c>
      <c r="N863" s="267">
        <f t="shared" si="66"/>
        <v>2.0014669430589498</v>
      </c>
      <c r="O863" s="267">
        <f>IF(IFERROR(INDEX('Both teabags AfterDry'!$D$3:$D$900,MATCH(J863,'Both teabags AfterDry'!$A$3:$A$900,0)),"")="","",(IFERROR(INDEX('Both teabags AfterDry'!$D$3:$D$900,MATCH(J863,'Both teabags AfterDry'!$A$3:$A$900,0)),"")))</f>
        <v>1.8384</v>
      </c>
      <c r="P863" s="267">
        <f>IFERROR(IF(O863&gt;0,O863-(TBIcalc!$Q$9),""),"")</f>
        <v>1.6878</v>
      </c>
      <c r="Q863" s="278">
        <f>IFERROR(INDEX('Ashed teabags dry'!$K$2:$K$825,MATCH(J863,'Ashed teabags dry'!$A$2:$A$825,0)),"")</f>
        <v>11.207685269899079</v>
      </c>
      <c r="R863" s="278">
        <f t="shared" si="67"/>
        <v>1.4986366880146433</v>
      </c>
      <c r="S863" s="268">
        <f>'Dry_Litterbag Placem_Collection'!E204</f>
        <v>42942</v>
      </c>
      <c r="T863" s="268">
        <f>IF('Dry_Litterbag Placem_Collection'!G204="","",'Dry_Litterbag Placem_Collection'!G204)</f>
        <v>43004</v>
      </c>
      <c r="U863" s="269">
        <f t="shared" si="65"/>
        <v>62</v>
      </c>
      <c r="V863" s="267">
        <f t="shared" si="68"/>
        <v>0.36040000000000005</v>
      </c>
      <c r="W863" s="267">
        <f t="shared" si="69"/>
        <v>0.50283025504430645</v>
      </c>
      <c r="X863" s="271">
        <f>IFERROR(INDEX(Rainfall_Dry!$O$2:$O$217,MATCH(B863, Rainfall_Dry!$A$2:$A$217,0)),"")</f>
        <v>171.84818423999999</v>
      </c>
      <c r="Y863" s="260">
        <v>45.272914521112256</v>
      </c>
      <c r="Z863" s="260">
        <v>23.604531410916575</v>
      </c>
      <c r="AA863" s="260">
        <v>31.122554067971166</v>
      </c>
      <c r="AB863" s="261" t="s">
        <v>2673</v>
      </c>
      <c r="AC863" s="260">
        <v>2.0547560374568752</v>
      </c>
      <c r="AD863">
        <f>IF('WetLitterbags placem_collection'!AB204="","",'WetLitterbags placem_collection'!AB204)</f>
        <v>13.8</v>
      </c>
      <c r="AE863">
        <f>IF('WetLitterbags placem_collection'!Z204="","",'WetLitterbags placem_collection'!Z204)</f>
        <v>17.399999999999999</v>
      </c>
      <c r="AF863" s="246" t="str">
        <f>IF('WetLitterbags placem_collection'!AA204="","",'WetLitterbags placem_collection'!AA204)</f>
        <v>O</v>
      </c>
      <c r="AG863">
        <f>IF('WetLitterbags placem_collection'!AC204="","",'WetLitterbags placem_collection'!AC204)</f>
        <v>1</v>
      </c>
      <c r="AH863">
        <f>IFERROR(AVERAGE('Dry_Litterbag Placem_Collection'!O204,'Dry_Litterbag Placem_Collection'!R204),"")</f>
        <v>6.3</v>
      </c>
      <c r="AI863" s="271">
        <f>IFERROR(AVERAGE('Dry_Litterbag Placem_Collection'!N204,'Dry_Litterbag Placem_Collection'!Q204),"")</f>
        <v>28.85</v>
      </c>
      <c r="AJ863">
        <v>-2.439403972</v>
      </c>
      <c r="AK863">
        <v>34.838404959999998</v>
      </c>
      <c r="AL863" s="270" t="str">
        <f>IF(ISNUMBER(SEARCH("C", 'Dry_Litterbag Placem_Collection'!V204)),"YES","NO")</f>
        <v>NO</v>
      </c>
      <c r="AM863" s="270" t="str">
        <f>IF(ISNUMBER(SEARCH("H", 'Dry_Litterbag Placem_Collection'!V204)),"YES","NO")</f>
        <v>NO</v>
      </c>
      <c r="AN863" s="270" t="str">
        <f>IF(ISNUMBER(SEARCH("R", 'Dry_Litterbag Placem_Collection'!V204)),"YES","NO")</f>
        <v>YES</v>
      </c>
    </row>
    <row r="864" spans="1:40" ht="15" customHeight="1">
      <c r="A864" s="262" t="s">
        <v>2659</v>
      </c>
      <c r="B864" s="263">
        <f>'Dry_Litterbag Placem_Collection'!A205</f>
        <v>203</v>
      </c>
      <c r="C864" s="263" t="str">
        <f>'Dry_Litterbag Placem_Collection'!B205</f>
        <v>Maswa</v>
      </c>
      <c r="D864" s="263" t="s">
        <v>2659</v>
      </c>
      <c r="E864" s="263" t="s">
        <v>2526</v>
      </c>
      <c r="F864" s="263">
        <v>2</v>
      </c>
      <c r="G864" s="264" t="str">
        <f>'Dry_Litterbag Placem_Collection'!C205</f>
        <v>Dry_W1_CG2</v>
      </c>
      <c r="H864" s="273" t="s">
        <v>3651</v>
      </c>
      <c r="I864" s="274" t="s">
        <v>298</v>
      </c>
      <c r="J864" s="263" t="str">
        <f>IF(ISBLANK('Dry_Litterbag Placem_Collection'!M205),"","R"&amp;""&amp;'Dry_Litterbag Placem_Collection'!M205)</f>
        <v>R621</v>
      </c>
      <c r="K864" s="267">
        <f>IFERROR(INDEX('Green_rooibos initial weight'!$C$5:$C$1749,MATCH(J864, 'Green_rooibos initial weight'!$A$5:$A$1749,0)),"")</f>
        <v>2.0459999999999998</v>
      </c>
      <c r="L864" s="267">
        <f>IFERROR(K864-(TBIcalc!$Q$9+TBIcalc!$Q$10),"")</f>
        <v>1.7961999999999998</v>
      </c>
      <c r="M864" s="391">
        <f>AVERAGE(Ashed_controlls!$K$12:$K$14)</f>
        <v>2.2816647271287041</v>
      </c>
      <c r="N864" s="267">
        <f t="shared" si="66"/>
        <v>1.755216738171314</v>
      </c>
      <c r="O864" s="267">
        <f>IF(IFERROR(INDEX('Both teabags AfterDry'!$D$3:$D$900,MATCH(J864,'Both teabags AfterDry'!$A$3:$A$900,0)),"")="","",(IFERROR(INDEX('Both teabags AfterDry'!$D$3:$D$900,MATCH(J864,'Both teabags AfterDry'!$A$3:$A$900,0)),"")))</f>
        <v>1.6888000000000001</v>
      </c>
      <c r="P864" s="267">
        <f>IFERROR(IF(O864&gt;0,O864-(TBIcalc!$Q$9),""),"")</f>
        <v>1.5382</v>
      </c>
      <c r="Q864" s="278">
        <f>IFERROR(INDEX('Ashed teabags dry'!$K$2:$K$825,MATCH(J864,'Ashed teabags dry'!$A$2:$A$825,0)),"")</f>
        <v>4.0788883908559299</v>
      </c>
      <c r="R864" s="278">
        <f t="shared" si="67"/>
        <v>1.4754585387718542</v>
      </c>
      <c r="S864" s="268">
        <f>'Dry_Litterbag Placem_Collection'!E205</f>
        <v>42942</v>
      </c>
      <c r="T864" s="268">
        <f>IF('Dry_Litterbag Placem_Collection'!G205="","",'Dry_Litterbag Placem_Collection'!G205)</f>
        <v>43004</v>
      </c>
      <c r="U864" s="269">
        <f t="shared" si="65"/>
        <v>62</v>
      </c>
      <c r="V864" s="267">
        <f t="shared" si="68"/>
        <v>0.25799999999999979</v>
      </c>
      <c r="W864" s="267">
        <f t="shared" si="69"/>
        <v>0.27975819939945978</v>
      </c>
      <c r="X864" s="271">
        <f>IFERROR(INDEX(Rainfall_Dry!$O$2:$O$217,MATCH(B864, Rainfall_Dry!$A$2:$A$217,0)),"")</f>
        <v>171.84818423999999</v>
      </c>
      <c r="Y864" s="260">
        <v>47.96</v>
      </c>
      <c r="Z864" s="260">
        <v>22.919999999999995</v>
      </c>
      <c r="AA864" s="260">
        <v>29.120000000000012</v>
      </c>
      <c r="AB864" s="261" t="s">
        <v>2673</v>
      </c>
      <c r="AC864" s="260">
        <v>2.8831936914736325</v>
      </c>
      <c r="AD864">
        <f>IF('WetLitterbags placem_collection'!AB205="","",'WetLitterbags placem_collection'!AB205)</f>
        <v>5.13</v>
      </c>
      <c r="AE864">
        <f>IF('WetLitterbags placem_collection'!Z205="","",'WetLitterbags placem_collection'!Z205)</f>
        <v>5.13</v>
      </c>
      <c r="AF864" s="246" t="str">
        <f>IF('WetLitterbags placem_collection'!AA205="","",'WetLitterbags placem_collection'!AA205)</f>
        <v>O</v>
      </c>
      <c r="AG864">
        <f>IF('WetLitterbags placem_collection'!AC205="","",'WetLitterbags placem_collection'!AC205)</f>
        <v>1</v>
      </c>
      <c r="AH864">
        <f>IFERROR(AVERAGE('Dry_Litterbag Placem_Collection'!O205,'Dry_Litterbag Placem_Collection'!R205),"")</f>
        <v>10.100000000000001</v>
      </c>
      <c r="AI864" s="271">
        <f>IFERROR(AVERAGE('Dry_Litterbag Placem_Collection'!N205,'Dry_Litterbag Placem_Collection'!Q205),"")</f>
        <v>28.299999999999997</v>
      </c>
      <c r="AJ864">
        <v>-2.4396450349999999</v>
      </c>
      <c r="AK864">
        <v>34.83836599</v>
      </c>
      <c r="AL864" s="270" t="str">
        <f>IF(ISNUMBER(SEARCH("C", 'Dry_Litterbag Placem_Collection'!V205)),"YES","NO")</f>
        <v>NO</v>
      </c>
      <c r="AM864" s="270" t="str">
        <f>IF(ISNUMBER(SEARCH("H", 'Dry_Litterbag Placem_Collection'!V205)),"YES","NO")</f>
        <v>NO</v>
      </c>
      <c r="AN864" s="270" t="str">
        <f>IF(ISNUMBER(SEARCH("R", 'Dry_Litterbag Placem_Collection'!V205)),"YES","NO")</f>
        <v>YES</v>
      </c>
    </row>
    <row r="865" spans="1:40" ht="15" customHeight="1">
      <c r="A865" s="262" t="s">
        <v>2659</v>
      </c>
      <c r="B865" s="263">
        <f>'Dry_Litterbag Placem_Collection'!A206</f>
        <v>204</v>
      </c>
      <c r="C865" s="263" t="str">
        <f>'Dry_Litterbag Placem_Collection'!B206</f>
        <v>Maswa</v>
      </c>
      <c r="D865" s="263" t="s">
        <v>2659</v>
      </c>
      <c r="E865" s="263" t="s">
        <v>2526</v>
      </c>
      <c r="F865" s="263">
        <v>3</v>
      </c>
      <c r="G865" s="264" t="str">
        <f>'Dry_Litterbag Placem_Collection'!C206</f>
        <v>Dry_W4_CG3</v>
      </c>
      <c r="H865" s="273" t="s">
        <v>3651</v>
      </c>
      <c r="I865" s="274" t="s">
        <v>298</v>
      </c>
      <c r="J865" s="263" t="str">
        <f>IF(ISBLANK('Dry_Litterbag Placem_Collection'!M206),"","R"&amp;""&amp;'Dry_Litterbag Placem_Collection'!M206)</f>
        <v>R708</v>
      </c>
      <c r="K865" s="267">
        <f>IFERROR(INDEX('Green_rooibos initial weight'!$C$5:$C$1749,MATCH(J865, 'Green_rooibos initial weight'!$A$5:$A$1749,0)),"")</f>
        <v>2.157</v>
      </c>
      <c r="L865" s="267">
        <f>IFERROR(K865-(TBIcalc!$Q$9+TBIcalc!$Q$10),"")</f>
        <v>1.9072</v>
      </c>
      <c r="M865" s="391">
        <f>AVERAGE(Ashed_controlls!$K$12:$K$14)</f>
        <v>2.2816647271287041</v>
      </c>
      <c r="N865" s="267">
        <f t="shared" si="66"/>
        <v>1.8636840903242013</v>
      </c>
      <c r="O865" s="267">
        <f>IF(IFERROR(INDEX('Both teabags AfterDry'!$D$3:$D$900,MATCH(J865,'Both teabags AfterDry'!$A$3:$A$900,0)),"")="","",(IFERROR(INDEX('Both teabags AfterDry'!$D$3:$D$900,MATCH(J865,'Both teabags AfterDry'!$A$3:$A$900,0)),"")))</f>
        <v>1.7259</v>
      </c>
      <c r="P865" s="267">
        <f>IFERROR(IF(O865&gt;0,O865-(TBIcalc!$Q$9),""),"")</f>
        <v>1.5752999999999999</v>
      </c>
      <c r="Q865" s="278">
        <f>IFERROR(INDEX('Ashed teabags dry'!$K$2:$K$825,MATCH(J865,'Ashed teabags dry'!$A$2:$A$825,0)),"")</f>
        <v>5.9528907922913135</v>
      </c>
      <c r="R865" s="278">
        <f t="shared" si="67"/>
        <v>1.4815241113490349</v>
      </c>
      <c r="S865" s="268">
        <f>'Dry_Litterbag Placem_Collection'!E206</f>
        <v>42942</v>
      </c>
      <c r="T865" s="268">
        <f>IF('Dry_Litterbag Placem_Collection'!G206="","",'Dry_Litterbag Placem_Collection'!G206)</f>
        <v>43004</v>
      </c>
      <c r="U865" s="269">
        <f t="shared" si="65"/>
        <v>62</v>
      </c>
      <c r="V865" s="267">
        <f t="shared" si="68"/>
        <v>0.33190000000000008</v>
      </c>
      <c r="W865" s="267">
        <f t="shared" si="69"/>
        <v>0.3821599789751664</v>
      </c>
      <c r="X865" s="271">
        <f>IFERROR(INDEX(Rainfall_Dry!$O$2:$O$217,MATCH(B865, Rainfall_Dry!$A$2:$A$217,0)),"")</f>
        <v>171.84818423999999</v>
      </c>
      <c r="Y865" s="260">
        <v>28.145762029394</v>
      </c>
      <c r="Z865" s="260">
        <v>25.085564727199518</v>
      </c>
      <c r="AA865" s="260">
        <v>46.768673243406489</v>
      </c>
      <c r="AB865" s="261" t="s">
        <v>2670</v>
      </c>
      <c r="AC865" s="260">
        <v>2.1716214884179394</v>
      </c>
      <c r="AD865">
        <f>IF('WetLitterbags placem_collection'!AB206="","",'WetLitterbags placem_collection'!AB206)</f>
        <v>7.9</v>
      </c>
      <c r="AE865">
        <f>IF('WetLitterbags placem_collection'!Z206="","",'WetLitterbags placem_collection'!Z206)</f>
        <v>7.9</v>
      </c>
      <c r="AF865" s="246" t="str">
        <f>IF('WetLitterbags placem_collection'!AA206="","",'WetLitterbags placem_collection'!AA206)</f>
        <v>O</v>
      </c>
      <c r="AG865">
        <f>IF('WetLitterbags placem_collection'!AC206="","",'WetLitterbags placem_collection'!AC206)</f>
        <v>1</v>
      </c>
      <c r="AH865">
        <f>IFERROR(AVERAGE('Dry_Litterbag Placem_Collection'!O206,'Dry_Litterbag Placem_Collection'!R206),"")</f>
        <v>8.3500000000000014</v>
      </c>
      <c r="AI865" s="271">
        <f>IFERROR(AVERAGE('Dry_Litterbag Placem_Collection'!N206,'Dry_Litterbag Placem_Collection'!Q206),"")</f>
        <v>27.299999999999997</v>
      </c>
      <c r="AJ865">
        <v>-2.4395990190000001</v>
      </c>
      <c r="AK865">
        <v>34.838418959999998</v>
      </c>
      <c r="AL865" s="270" t="str">
        <f>IF(ISNUMBER(SEARCH("C", 'Dry_Litterbag Placem_Collection'!V206)),"YES","NO")</f>
        <v>NO</v>
      </c>
      <c r="AM865" s="270" t="str">
        <f>IF(ISNUMBER(SEARCH("H", 'Dry_Litterbag Placem_Collection'!V206)),"YES","NO")</f>
        <v>NO</v>
      </c>
      <c r="AN865" s="270" t="str">
        <f>IF(ISNUMBER(SEARCH("R", 'Dry_Litterbag Placem_Collection'!V206)),"YES","NO")</f>
        <v>NO</v>
      </c>
    </row>
    <row r="866" spans="1:40" ht="15" customHeight="1">
      <c r="A866" s="262" t="s">
        <v>2659</v>
      </c>
      <c r="B866" s="263">
        <f>'Dry_Litterbag Placem_Collection'!A207</f>
        <v>205</v>
      </c>
      <c r="C866" s="263" t="str">
        <f>'Dry_Litterbag Placem_Collection'!B207</f>
        <v xml:space="preserve">Mwantimba
</v>
      </c>
      <c r="D866" s="263" t="s">
        <v>2460</v>
      </c>
      <c r="E866" s="263" t="s">
        <v>2526</v>
      </c>
      <c r="F866" s="263">
        <v>2</v>
      </c>
      <c r="G866" s="264" t="str">
        <f>'Dry_Litterbag Placem_Collection'!C207</f>
        <v>Wet_Ag1_CG2</v>
      </c>
      <c r="H866" s="273" t="s">
        <v>3651</v>
      </c>
      <c r="I866" s="274" t="s">
        <v>298</v>
      </c>
      <c r="J866" s="263" t="str">
        <f>IF(ISBLANK('Dry_Litterbag Placem_Collection'!M207),"","R"&amp;""&amp;'Dry_Litterbag Placem_Collection'!M207)</f>
        <v>R637</v>
      </c>
      <c r="K866" s="267">
        <f>IFERROR(INDEX('Green_rooibos initial weight'!$C$5:$C$1749,MATCH(J866, 'Green_rooibos initial weight'!$A$5:$A$1749,0)),"")</f>
        <v>2.129</v>
      </c>
      <c r="L866" s="267">
        <f>IFERROR(K866-(TBIcalc!$Q$9+TBIcalc!$Q$10),"")</f>
        <v>1.8792</v>
      </c>
      <c r="M866" s="391">
        <f>AVERAGE(Ashed_controlls!$K$12:$K$14)</f>
        <v>2.2816647271287041</v>
      </c>
      <c r="N866" s="267">
        <f t="shared" si="66"/>
        <v>1.8363229564477974</v>
      </c>
      <c r="O866" s="267">
        <f>IF(IFERROR(INDEX('Both teabags AfterDry'!$D$3:$D$900,MATCH(J866,'Both teabags AfterDry'!$A$3:$A$900,0)),"")="","",(IFERROR(INDEX('Both teabags AfterDry'!$D$3:$D$900,MATCH(J866,'Both teabags AfterDry'!$A$3:$A$900,0)),"")))</f>
        <v>1.6534</v>
      </c>
      <c r="P866" s="267">
        <f>IFERROR(IF(O866&gt;0,O866-(TBIcalc!$Q$9),""),"")</f>
        <v>1.5027999999999999</v>
      </c>
      <c r="Q866" s="278">
        <f>IFERROR(INDEX('Ashed teabags dry'!$K$2:$K$825,MATCH(J866,'Ashed teabags dry'!$A$2:$A$825,0)),"")</f>
        <v>4.9312470365094017</v>
      </c>
      <c r="R866" s="278">
        <f t="shared" si="67"/>
        <v>1.4286932195353366</v>
      </c>
      <c r="S866" s="268">
        <f>'Dry_Litterbag Placem_Collection'!E207</f>
        <v>42942</v>
      </c>
      <c r="T866" s="268">
        <f>IF('Dry_Litterbag Placem_Collection'!G207="","",'Dry_Litterbag Placem_Collection'!G207)</f>
        <v>43004</v>
      </c>
      <c r="U866" s="269">
        <f t="shared" si="65"/>
        <v>62</v>
      </c>
      <c r="V866" s="267">
        <f t="shared" si="68"/>
        <v>0.37640000000000007</v>
      </c>
      <c r="W866" s="267">
        <f t="shared" si="69"/>
        <v>0.40762973691246085</v>
      </c>
      <c r="X866" s="271">
        <f>IFERROR(INDEX(Rainfall_Dry!$O$2:$O$217,MATCH(B866, Rainfall_Dry!$A$2:$A$217,0)),"")</f>
        <v>171.84818423999999</v>
      </c>
      <c r="Y866" s="260">
        <v>45.96</v>
      </c>
      <c r="Z866" s="260">
        <v>14.920000000000003</v>
      </c>
      <c r="AA866" s="260">
        <v>39.119999999999997</v>
      </c>
      <c r="AB866" s="261" t="s">
        <v>2673</v>
      </c>
      <c r="AC866" s="260">
        <v>2.0374568753080333</v>
      </c>
      <c r="AD866">
        <f>IF('WetLitterbags placem_collection'!AB207="","",'WetLitterbags placem_collection'!AB207)</f>
        <v>5.13</v>
      </c>
      <c r="AE866">
        <f>IF('WetLitterbags placem_collection'!Z207="","",'WetLitterbags placem_collection'!Z207)</f>
        <v>5.13</v>
      </c>
      <c r="AF866" s="246" t="str">
        <f>IF('WetLitterbags placem_collection'!AA207="","",'WetLitterbags placem_collection'!AA207)</f>
        <v>O</v>
      </c>
      <c r="AG866">
        <f>IF('WetLitterbags placem_collection'!AC207="","",'WetLitterbags placem_collection'!AC207)</f>
        <v>1</v>
      </c>
      <c r="AH866">
        <f>IFERROR(AVERAGE('Dry_Litterbag Placem_Collection'!O207,'Dry_Litterbag Placem_Collection'!R207),"")</f>
        <v>7.9499999999999993</v>
      </c>
      <c r="AI866" s="271">
        <f>IFERROR(AVERAGE('Dry_Litterbag Placem_Collection'!N207,'Dry_Litterbag Placem_Collection'!Q207),"")</f>
        <v>29.05</v>
      </c>
      <c r="AJ866">
        <v>-2.4396450349999999</v>
      </c>
      <c r="AK866">
        <v>34.83836599</v>
      </c>
      <c r="AL866" s="270" t="str">
        <f>IF(ISNUMBER(SEARCH("C", 'Dry_Litterbag Placem_Collection'!V207)),"YES","NO")</f>
        <v>NO</v>
      </c>
      <c r="AM866" s="270" t="str">
        <f>IF(ISNUMBER(SEARCH("H", 'Dry_Litterbag Placem_Collection'!V207)),"YES","NO")</f>
        <v>NO</v>
      </c>
      <c r="AN866" s="270" t="str">
        <f>IF(ISNUMBER(SEARCH("R", 'Dry_Litterbag Placem_Collection'!V207)),"YES","NO")</f>
        <v>YES</v>
      </c>
    </row>
    <row r="867" spans="1:40" ht="15" customHeight="1">
      <c r="A867" s="262" t="s">
        <v>2659</v>
      </c>
      <c r="B867" s="263">
        <f>'Dry_Litterbag Placem_Collection'!A208</f>
        <v>206</v>
      </c>
      <c r="C867" s="263" t="str">
        <f>'Dry_Litterbag Placem_Collection'!B208</f>
        <v xml:space="preserve">Mwantimba
</v>
      </c>
      <c r="D867" s="263" t="s">
        <v>2460</v>
      </c>
      <c r="E867" s="263" t="s">
        <v>2526</v>
      </c>
      <c r="F867" s="263">
        <v>1</v>
      </c>
      <c r="G867" s="264" t="str">
        <f>'Dry_Litterbag Placem_Collection'!C208</f>
        <v>Wet_Ag2_CG1</v>
      </c>
      <c r="H867" s="273" t="s">
        <v>3651</v>
      </c>
      <c r="I867" s="274" t="s">
        <v>298</v>
      </c>
      <c r="J867" s="263" t="str">
        <f>IF(ISBLANK('Dry_Litterbag Placem_Collection'!M208),"","R"&amp;""&amp;'Dry_Litterbag Placem_Collection'!M208)</f>
        <v>R284</v>
      </c>
      <c r="K867" s="267">
        <f>IFERROR(INDEX('Green_rooibos initial weight'!$C$5:$C$1749,MATCH(J867, 'Green_rooibos initial weight'!$A$5:$A$1749,0)),"")</f>
        <v>2.2480000000000002</v>
      </c>
      <c r="L867" s="267">
        <f>IFERROR(K867-(TBIcalc!$Q$9+TBIcalc!$Q$10),"")</f>
        <v>1.9982000000000002</v>
      </c>
      <c r="M867" s="391">
        <f>AVERAGE(Ashed_controlls!$K$12:$K$14)</f>
        <v>2.2816647271287041</v>
      </c>
      <c r="N867" s="267">
        <f t="shared" si="66"/>
        <v>1.9526077754225144</v>
      </c>
      <c r="O867" s="267">
        <f>IF(IFERROR(INDEX('Both teabags AfterDry'!$D$3:$D$900,MATCH(J867,'Both teabags AfterDry'!$A$3:$A$900,0)),"")="","",(IFERROR(INDEX('Both teabags AfterDry'!$D$3:$D$900,MATCH(J867,'Both teabags AfterDry'!$A$3:$A$900,0)),"")))</f>
        <v>1.6192</v>
      </c>
      <c r="P867" s="267">
        <f>IFERROR(IF(O867&gt;0,O867-(TBIcalc!$Q$9),""),"")</f>
        <v>1.4685999999999999</v>
      </c>
      <c r="Q867" s="278">
        <f>IFERROR(INDEX('Ashed teabags dry'!$K$2:$K$825,MATCH(J867,'Ashed teabags dry'!$A$2:$A$825,0)),"")</f>
        <v>10.038797284189567</v>
      </c>
      <c r="R867" s="278">
        <f t="shared" si="67"/>
        <v>1.321170223084392</v>
      </c>
      <c r="S867" s="268">
        <f>'Dry_Litterbag Placem_Collection'!E208</f>
        <v>42942</v>
      </c>
      <c r="T867" s="268">
        <f>IF('Dry_Litterbag Placem_Collection'!G208="","",'Dry_Litterbag Placem_Collection'!G208)</f>
        <v>43004</v>
      </c>
      <c r="U867" s="269">
        <f t="shared" si="65"/>
        <v>62</v>
      </c>
      <c r="V867" s="267">
        <f t="shared" si="68"/>
        <v>0.52960000000000029</v>
      </c>
      <c r="W867" s="267">
        <f t="shared" si="69"/>
        <v>0.63143755233812238</v>
      </c>
      <c r="X867" s="271">
        <f>IFERROR(INDEX(Rainfall_Dry!$O$2:$O$217,MATCH(B867, Rainfall_Dry!$A$2:$A$217,0)),"")</f>
        <v>171.84818423999999</v>
      </c>
      <c r="Y867" s="260">
        <v>34.344660194174757</v>
      </c>
      <c r="Z867" s="260">
        <v>19.22727272727273</v>
      </c>
      <c r="AA867" s="260">
        <v>46.428067078552509</v>
      </c>
      <c r="AB867" s="261" t="s">
        <v>2670</v>
      </c>
      <c r="AC867" s="260">
        <v>1.7452932479053718</v>
      </c>
      <c r="AD867">
        <f>IF('WetLitterbags placem_collection'!AB208="","",'WetLitterbags placem_collection'!AB208)</f>
        <v>13.8</v>
      </c>
      <c r="AE867">
        <f>IF('WetLitterbags placem_collection'!Z208="","",'WetLitterbags placem_collection'!Z208)</f>
        <v>17.399999999999999</v>
      </c>
      <c r="AF867" s="246" t="str">
        <f>IF('WetLitterbags placem_collection'!AA208="","",'WetLitterbags placem_collection'!AA208)</f>
        <v>O</v>
      </c>
      <c r="AG867">
        <f>IF('WetLitterbags placem_collection'!AC208="","",'WetLitterbags placem_collection'!AC208)</f>
        <v>1</v>
      </c>
      <c r="AH867">
        <f>IFERROR(AVERAGE('Dry_Litterbag Placem_Collection'!O208,'Dry_Litterbag Placem_Collection'!R208),"")</f>
        <v>6.4</v>
      </c>
      <c r="AI867" s="271">
        <f>IFERROR(AVERAGE('Dry_Litterbag Placem_Collection'!N208,'Dry_Litterbag Placem_Collection'!Q208),"")</f>
        <v>27.799999999999997</v>
      </c>
      <c r="AJ867">
        <v>-2.439403972</v>
      </c>
      <c r="AK867">
        <v>34.838404959999998</v>
      </c>
      <c r="AL867" s="270" t="str">
        <f>IF(ISNUMBER(SEARCH("C", 'Dry_Litterbag Placem_Collection'!V208)),"YES","NO")</f>
        <v>NO</v>
      </c>
      <c r="AM867" s="270" t="str">
        <f>IF(ISNUMBER(SEARCH("H", 'Dry_Litterbag Placem_Collection'!V208)),"YES","NO")</f>
        <v>NO</v>
      </c>
      <c r="AN867" s="270" t="str">
        <f>IF(ISNUMBER(SEARCH("R", 'Dry_Litterbag Placem_Collection'!V208)),"YES","NO")</f>
        <v>YES</v>
      </c>
    </row>
    <row r="868" spans="1:40" ht="15" customHeight="1">
      <c r="A868" s="262" t="s">
        <v>2659</v>
      </c>
      <c r="B868" s="263">
        <f>'Dry_Litterbag Placem_Collection'!A209</f>
        <v>207</v>
      </c>
      <c r="C868" s="263" t="str">
        <f>'Dry_Litterbag Placem_Collection'!B209</f>
        <v xml:space="preserve">Mwantimba
</v>
      </c>
      <c r="D868" s="263" t="s">
        <v>2460</v>
      </c>
      <c r="E868" s="263" t="s">
        <v>2526</v>
      </c>
      <c r="F868" s="263">
        <v>4</v>
      </c>
      <c r="G868" s="264" t="str">
        <f>'Dry_Litterbag Placem_Collection'!C209</f>
        <v>Wet_Ag3_CG4</v>
      </c>
      <c r="H868" s="273" t="s">
        <v>3651</v>
      </c>
      <c r="I868" s="274" t="s">
        <v>298</v>
      </c>
      <c r="J868" s="263" t="str">
        <f>IF(ISBLANK('Dry_Litterbag Placem_Collection'!M209),"","R"&amp;""&amp;'Dry_Litterbag Placem_Collection'!M209)</f>
        <v>R604</v>
      </c>
      <c r="K868" s="267">
        <f>IFERROR(INDEX('Green_rooibos initial weight'!$C$5:$C$1749,MATCH(J868, 'Green_rooibos initial weight'!$A$5:$A$1749,0)),"")</f>
        <v>2.1230000000000002</v>
      </c>
      <c r="L868" s="267">
        <f>IFERROR(K868-(TBIcalc!$Q$9+TBIcalc!$Q$10),"")</f>
        <v>1.8732000000000002</v>
      </c>
      <c r="M868" s="391">
        <f>AVERAGE(Ashed_controlls!$K$12:$K$14)</f>
        <v>2.2816647271287041</v>
      </c>
      <c r="N868" s="267">
        <f t="shared" si="66"/>
        <v>1.8304598563314254</v>
      </c>
      <c r="O868" s="267">
        <f>IF(IFERROR(INDEX('Both teabags AfterDry'!$D$3:$D$900,MATCH(J868,'Both teabags AfterDry'!$A$3:$A$900,0)),"")="","",(IFERROR(INDEX('Both teabags AfterDry'!$D$3:$D$900,MATCH(J868,'Both teabags AfterDry'!$A$3:$A$900,0)),"")))</f>
        <v>1.615</v>
      </c>
      <c r="P868" s="267">
        <f>IFERROR(IF(O868&gt;0,O868-(TBIcalc!$Q$9),""),"")</f>
        <v>1.4643999999999999</v>
      </c>
      <c r="Q868" s="278">
        <f>IFERROR(INDEX('Ashed teabags dry'!$K$2:$K$825,MATCH(J868,'Ashed teabags dry'!$A$2:$A$825,0)),"")</f>
        <v>3.5497431106958826</v>
      </c>
      <c r="R868" s="278">
        <f t="shared" si="67"/>
        <v>1.4124175618869694</v>
      </c>
      <c r="S868" s="268">
        <f>'Dry_Litterbag Placem_Collection'!E209</f>
        <v>42942</v>
      </c>
      <c r="T868" s="268">
        <f>IF('Dry_Litterbag Placem_Collection'!G209="","",'Dry_Litterbag Placem_Collection'!G209)</f>
        <v>43004</v>
      </c>
      <c r="U868" s="269">
        <f t="shared" si="65"/>
        <v>62</v>
      </c>
      <c r="V868" s="267">
        <f t="shared" si="68"/>
        <v>0.40880000000000027</v>
      </c>
      <c r="W868" s="267">
        <f t="shared" si="69"/>
        <v>0.41804229444445595</v>
      </c>
      <c r="X868" s="271">
        <f>IFERROR(INDEX(Rainfall_Dry!$O$2:$O$217,MATCH(B868, Rainfall_Dry!$A$2:$A$217,0)),"")</f>
        <v>171.84818423999999</v>
      </c>
      <c r="Y868" s="260">
        <v>27.96</v>
      </c>
      <c r="Z868" s="260">
        <v>4.9200000000000017</v>
      </c>
      <c r="AA868" s="260">
        <v>67.12</v>
      </c>
      <c r="AB868" s="261" t="s">
        <v>2670</v>
      </c>
      <c r="AC868" s="260">
        <v>0.88610152784622953</v>
      </c>
      <c r="AD868">
        <f>IF('WetLitterbags placem_collection'!AB209="","",'WetLitterbags placem_collection'!AB209)</f>
        <v>15.2</v>
      </c>
      <c r="AE868">
        <f>IF('WetLitterbags placem_collection'!Z209="","",'WetLitterbags placem_collection'!Z209)</f>
        <v>12.2</v>
      </c>
      <c r="AF868" s="246" t="str">
        <f>IF('WetLitterbags placem_collection'!AA209="","",'WetLitterbags placem_collection'!AA209)</f>
        <v>O</v>
      </c>
      <c r="AG868">
        <f>IF('WetLitterbags placem_collection'!AC209="","",'WetLitterbags placem_collection'!AC209)</f>
        <v>1</v>
      </c>
      <c r="AH868">
        <f>IFERROR(AVERAGE('Dry_Litterbag Placem_Collection'!O209,'Dry_Litterbag Placem_Collection'!R209),"")</f>
        <v>4.3</v>
      </c>
      <c r="AI868" s="271">
        <f>IFERROR(AVERAGE('Dry_Litterbag Placem_Collection'!N209,'Dry_Litterbag Placem_Collection'!Q209),"")</f>
        <v>29.6</v>
      </c>
      <c r="AJ868">
        <v>-2.4396949910000001</v>
      </c>
      <c r="AK868">
        <v>34.838574029999997</v>
      </c>
      <c r="AL868" s="270" t="str">
        <f>IF(ISNUMBER(SEARCH("C", 'Dry_Litterbag Placem_Collection'!V209)),"YES","NO")</f>
        <v>NO</v>
      </c>
      <c r="AM868" s="270" t="str">
        <f>IF(ISNUMBER(SEARCH("H", 'Dry_Litterbag Placem_Collection'!V209)),"YES","NO")</f>
        <v>NO</v>
      </c>
      <c r="AN868" s="270" t="str">
        <f>IF(ISNUMBER(SEARCH("R", 'Dry_Litterbag Placem_Collection'!V209)),"YES","NO")</f>
        <v>YES</v>
      </c>
    </row>
    <row r="869" spans="1:40" ht="15" customHeight="1">
      <c r="A869" s="262" t="s">
        <v>2659</v>
      </c>
      <c r="B869" s="263">
        <f>'Dry_Litterbag Placem_Collection'!A210</f>
        <v>208</v>
      </c>
      <c r="C869" s="263" t="str">
        <f>'Dry_Litterbag Placem_Collection'!B210</f>
        <v xml:space="preserve">Mwantimba
</v>
      </c>
      <c r="D869" s="263" t="s">
        <v>2460</v>
      </c>
      <c r="E869" s="263" t="s">
        <v>2526</v>
      </c>
      <c r="F869" s="263">
        <v>3</v>
      </c>
      <c r="G869" s="264" t="str">
        <f>'Dry_Litterbag Placem_Collection'!C210</f>
        <v>Wet_Ag4_CG3</v>
      </c>
      <c r="H869" s="273" t="s">
        <v>3651</v>
      </c>
      <c r="I869" s="274" t="s">
        <v>298</v>
      </c>
      <c r="J869" s="263" t="str">
        <f>IF(ISBLANK('Dry_Litterbag Placem_Collection'!M210),"","R"&amp;""&amp;'Dry_Litterbag Placem_Collection'!M210)</f>
        <v>R625</v>
      </c>
      <c r="K869" s="267">
        <f>IFERROR(INDEX('Green_rooibos initial weight'!$C$5:$C$1749,MATCH(J869, 'Green_rooibos initial weight'!$A$5:$A$1749,0)),"")</f>
        <v>2.1589999999999998</v>
      </c>
      <c r="L869" s="267">
        <f>IFERROR(K869-(TBIcalc!$Q$9+TBIcalc!$Q$10),"")</f>
        <v>1.9091999999999998</v>
      </c>
      <c r="M869" s="391">
        <f>AVERAGE(Ashed_controlls!$K$12:$K$14)</f>
        <v>2.2816647271287041</v>
      </c>
      <c r="N869" s="267">
        <f t="shared" si="66"/>
        <v>1.8656384570296585</v>
      </c>
      <c r="O869" s="267">
        <f>IF(IFERROR(INDEX('Both teabags AfterDry'!$D$3:$D$900,MATCH(J869,'Both teabags AfterDry'!$A$3:$A$900,0)),"")="","",(IFERROR(INDEX('Both teabags AfterDry'!$D$3:$D$900,MATCH(J869,'Both teabags AfterDry'!$A$3:$A$900,0)),"")))</f>
        <v>1.6539999999999999</v>
      </c>
      <c r="P869" s="267">
        <f>IFERROR(IF(O869&gt;0,O869-(TBIcalc!$Q$9),""),"")</f>
        <v>1.5033999999999998</v>
      </c>
      <c r="Q869" s="278">
        <f>IFERROR(INDEX('Ashed teabags dry'!$K$2:$K$825,MATCH(J869,'Ashed teabags dry'!$A$2:$A$825,0)),"")</f>
        <v>7.8721374045796031</v>
      </c>
      <c r="R869" s="278">
        <f t="shared" si="67"/>
        <v>1.3850502862595502</v>
      </c>
      <c r="S869" s="268">
        <f>'Dry_Litterbag Placem_Collection'!E210</f>
        <v>42942</v>
      </c>
      <c r="T869" s="268">
        <f>IF('Dry_Litterbag Placem_Collection'!G210="","",'Dry_Litterbag Placem_Collection'!G210)</f>
        <v>43004</v>
      </c>
      <c r="U869" s="269">
        <f t="shared" si="65"/>
        <v>62</v>
      </c>
      <c r="V869" s="267">
        <f t="shared" si="68"/>
        <v>0.40579999999999994</v>
      </c>
      <c r="W869" s="267">
        <f t="shared" si="69"/>
        <v>0.48058817077010829</v>
      </c>
      <c r="X869" s="271">
        <f>IFERROR(INDEX(Rainfall_Dry!$O$2:$O$217,MATCH(B869, Rainfall_Dry!$A$2:$A$217,0)),"")</f>
        <v>171.84818423999999</v>
      </c>
      <c r="Y869" s="260">
        <v>17.96</v>
      </c>
      <c r="Z869" s="260">
        <v>4.9199999999999982</v>
      </c>
      <c r="AA869" s="260">
        <v>77.12</v>
      </c>
      <c r="AB869" s="261" t="s">
        <v>2671</v>
      </c>
      <c r="AC869" s="260">
        <v>2.0220798422868409</v>
      </c>
      <c r="AD869">
        <f>IF('WetLitterbags placem_collection'!AB210="","",'WetLitterbags placem_collection'!AB210)</f>
        <v>7.9</v>
      </c>
      <c r="AE869">
        <f>IF('WetLitterbags placem_collection'!Z210="","",'WetLitterbags placem_collection'!Z210)</f>
        <v>7.9</v>
      </c>
      <c r="AF869" s="246" t="str">
        <f>IF('WetLitterbags placem_collection'!AA210="","",'WetLitterbags placem_collection'!AA210)</f>
        <v>O</v>
      </c>
      <c r="AG869">
        <f>IF('WetLitterbags placem_collection'!AC210="","",'WetLitterbags placem_collection'!AC210)</f>
        <v>1</v>
      </c>
      <c r="AH869">
        <f>IFERROR(AVERAGE('Dry_Litterbag Placem_Collection'!O210,'Dry_Litterbag Placem_Collection'!R210),"")</f>
        <v>6.2</v>
      </c>
      <c r="AI869" s="271">
        <f>IFERROR(AVERAGE('Dry_Litterbag Placem_Collection'!N210,'Dry_Litterbag Placem_Collection'!Q210),"")</f>
        <v>29.1</v>
      </c>
      <c r="AJ869">
        <v>-2.4395990190000001</v>
      </c>
      <c r="AK869">
        <v>34.838418959999998</v>
      </c>
      <c r="AL869" s="270" t="str">
        <f>IF(ISNUMBER(SEARCH("C", 'Dry_Litterbag Placem_Collection'!V210)),"YES","NO")</f>
        <v>NO</v>
      </c>
      <c r="AM869" s="270" t="str">
        <f>IF(ISNUMBER(SEARCH("H", 'Dry_Litterbag Placem_Collection'!V210)),"YES","NO")</f>
        <v>NO</v>
      </c>
      <c r="AN869" s="270" t="str">
        <f>IF(ISNUMBER(SEARCH("R", 'Dry_Litterbag Placem_Collection'!V210)),"YES","NO")</f>
        <v>YES</v>
      </c>
    </row>
    <row r="870" spans="1:40" ht="15" customHeight="1">
      <c r="A870" s="262" t="s">
        <v>2659</v>
      </c>
      <c r="B870" s="263">
        <f>'Dry_Litterbag Placem_Collection'!A211</f>
        <v>209</v>
      </c>
      <c r="C870" s="263" t="str">
        <f>'Dry_Litterbag Placem_Collection'!B211</f>
        <v xml:space="preserve">Mwantimba
</v>
      </c>
      <c r="D870" s="263" t="s">
        <v>2460</v>
      </c>
      <c r="E870" s="263" t="s">
        <v>2526</v>
      </c>
      <c r="F870" s="263">
        <v>2</v>
      </c>
      <c r="G870" s="264" t="str">
        <f>'Dry_Litterbag Placem_Collection'!C211</f>
        <v>Wet_P1_CG2</v>
      </c>
      <c r="H870" s="273" t="s">
        <v>3651</v>
      </c>
      <c r="I870" s="274" t="s">
        <v>298</v>
      </c>
      <c r="J870" s="263" t="str">
        <f>IF(ISBLANK('Dry_Litterbag Placem_Collection'!M211),"","R"&amp;""&amp;'Dry_Litterbag Placem_Collection'!M211)</f>
        <v>R647</v>
      </c>
      <c r="K870" s="267">
        <f>IFERROR(INDEX('Green_rooibos initial weight'!$C$5:$C$1749,MATCH(J870, 'Green_rooibos initial weight'!$A$5:$A$1749,0)),"")</f>
        <v>2.1640000000000001</v>
      </c>
      <c r="L870" s="267">
        <f>IFERROR(K870-(TBIcalc!$Q$9+TBIcalc!$Q$10),"")</f>
        <v>1.9142000000000001</v>
      </c>
      <c r="M870" s="391">
        <f>AVERAGE(Ashed_controlls!$K$12:$K$14)</f>
        <v>2.2816647271287041</v>
      </c>
      <c r="N870" s="267">
        <f t="shared" si="66"/>
        <v>1.8705243737933024</v>
      </c>
      <c r="O870" s="267">
        <f>IF(IFERROR(INDEX('Both teabags AfterDry'!$D$3:$D$900,MATCH(J870,'Both teabags AfterDry'!$A$3:$A$900,0)),"")="","",(IFERROR(INDEX('Both teabags AfterDry'!$D$3:$D$900,MATCH(J870,'Both teabags AfterDry'!$A$3:$A$900,0)),"")))</f>
        <v>1.6881999999999999</v>
      </c>
      <c r="P870" s="267">
        <f>IFERROR(IF(O870&gt;0,O870-(TBIcalc!$Q$9),""),"")</f>
        <v>1.5375999999999999</v>
      </c>
      <c r="Q870" s="278">
        <f>IFERROR(INDEX('Ashed teabags dry'!$K$2:$K$825,MATCH(J870,'Ashed teabags dry'!$A$2:$A$825,0)),"")</f>
        <v>3.8888888888889466</v>
      </c>
      <c r="R870" s="278">
        <f t="shared" si="67"/>
        <v>1.4778044444444434</v>
      </c>
      <c r="S870" s="268">
        <f>'Dry_Litterbag Placem_Collection'!E211</f>
        <v>42942</v>
      </c>
      <c r="T870" s="268">
        <f>IF('Dry_Litterbag Placem_Collection'!G211="","",'Dry_Litterbag Placem_Collection'!G211)</f>
        <v>43004</v>
      </c>
      <c r="U870" s="269">
        <f t="shared" si="65"/>
        <v>62</v>
      </c>
      <c r="V870" s="267">
        <f t="shared" si="68"/>
        <v>0.37660000000000027</v>
      </c>
      <c r="W870" s="267">
        <f t="shared" si="69"/>
        <v>0.39271992934885902</v>
      </c>
      <c r="X870" s="271">
        <f>IFERROR(INDEX(Rainfall_Dry!$O$2:$O$217,MATCH(B870, Rainfall_Dry!$A$2:$A$217,0)),"")</f>
        <v>171.84818423999999</v>
      </c>
      <c r="Y870" s="260">
        <v>31.214836424255054</v>
      </c>
      <c r="Z870" s="260">
        <v>11.377370285476141</v>
      </c>
      <c r="AA870" s="260">
        <v>57.407793290268799</v>
      </c>
      <c r="AB870" s="261" t="s">
        <v>2670</v>
      </c>
      <c r="AC870" s="260">
        <v>1.7337604731394776</v>
      </c>
      <c r="AD870">
        <f>IF('WetLitterbags placem_collection'!AB211="","",'WetLitterbags placem_collection'!AB211)</f>
        <v>5.13</v>
      </c>
      <c r="AE870">
        <f>IF('WetLitterbags placem_collection'!Z211="","",'WetLitterbags placem_collection'!Z211)</f>
        <v>5.13</v>
      </c>
      <c r="AF870" s="246" t="str">
        <f>IF('WetLitterbags placem_collection'!AA211="","",'WetLitterbags placem_collection'!AA211)</f>
        <v>O</v>
      </c>
      <c r="AG870">
        <f>IF('WetLitterbags placem_collection'!AC211="","",'WetLitterbags placem_collection'!AC211)</f>
        <v>1</v>
      </c>
      <c r="AH870">
        <f>IFERROR(AVERAGE('Dry_Litterbag Placem_Collection'!O211,'Dry_Litterbag Placem_Collection'!R211),"")</f>
        <v>8.6000000000000014</v>
      </c>
      <c r="AI870" s="271">
        <f>IFERROR(AVERAGE('Dry_Litterbag Placem_Collection'!N211,'Dry_Litterbag Placem_Collection'!Q211),"")</f>
        <v>29.6</v>
      </c>
      <c r="AJ870">
        <v>-2.4396450349999999</v>
      </c>
      <c r="AK870">
        <v>34.83836599</v>
      </c>
      <c r="AL870" s="270" t="str">
        <f>IF(ISNUMBER(SEARCH("C", 'Dry_Litterbag Placem_Collection'!V211)),"YES","NO")</f>
        <v>NO</v>
      </c>
      <c r="AM870" s="270" t="str">
        <f>IF(ISNUMBER(SEARCH("H", 'Dry_Litterbag Placem_Collection'!V211)),"YES","NO")</f>
        <v>NO</v>
      </c>
      <c r="AN870" s="270" t="str">
        <f>IF(ISNUMBER(SEARCH("R", 'Dry_Litterbag Placem_Collection'!V211)),"YES","NO")</f>
        <v>YES</v>
      </c>
    </row>
    <row r="871" spans="1:40" ht="15" customHeight="1">
      <c r="A871" s="262" t="s">
        <v>2659</v>
      </c>
      <c r="B871" s="263">
        <f>'Dry_Litterbag Placem_Collection'!A212</f>
        <v>210</v>
      </c>
      <c r="C871" s="263" t="str">
        <f>'Dry_Litterbag Placem_Collection'!B212</f>
        <v xml:space="preserve">Mwantimba
</v>
      </c>
      <c r="D871" s="263" t="s">
        <v>2460</v>
      </c>
      <c r="E871" s="263" t="s">
        <v>2526</v>
      </c>
      <c r="F871" s="263">
        <v>4</v>
      </c>
      <c r="G871" s="264" t="str">
        <f>'Dry_Litterbag Placem_Collection'!C212</f>
        <v>Wet_P2_CG4</v>
      </c>
      <c r="H871" s="273" t="s">
        <v>3651</v>
      </c>
      <c r="I871" s="274" t="s">
        <v>298</v>
      </c>
      <c r="J871" s="263" t="str">
        <f>IF(ISBLANK('Dry_Litterbag Placem_Collection'!M212),"","R"&amp;""&amp;'Dry_Litterbag Placem_Collection'!M212)</f>
        <v>R599</v>
      </c>
      <c r="K871" s="267">
        <f>IFERROR(INDEX('Green_rooibos initial weight'!$C$5:$C$1749,MATCH(J871, 'Green_rooibos initial weight'!$A$5:$A$1749,0)),"")</f>
        <v>2.1760000000000002</v>
      </c>
      <c r="L871" s="267">
        <f>IFERROR(K871-(TBIcalc!$Q$9+TBIcalc!$Q$10),"")</f>
        <v>1.9262000000000001</v>
      </c>
      <c r="M871" s="391">
        <f>AVERAGE(Ashed_controlls!$K$12:$K$14)</f>
        <v>2.2816647271287041</v>
      </c>
      <c r="N871" s="267">
        <f t="shared" si="66"/>
        <v>1.8822505740260471</v>
      </c>
      <c r="O871" s="267">
        <f>IF(IFERROR(INDEX('Both teabags AfterDry'!$D$3:$D$900,MATCH(J871,'Both teabags AfterDry'!$A$3:$A$900,0)),"")="","",(IFERROR(INDEX('Both teabags AfterDry'!$D$3:$D$900,MATCH(J871,'Both teabags AfterDry'!$A$3:$A$900,0)),"")))</f>
        <v>1.742</v>
      </c>
      <c r="P871" s="267">
        <f>IFERROR(IF(O871&gt;0,O871-(TBIcalc!$Q$9),""),"")</f>
        <v>1.5913999999999999</v>
      </c>
      <c r="Q871" s="278">
        <f>IFERROR(INDEX('Ashed teabags dry'!$K$2:$K$825,MATCH(J871,'Ashed teabags dry'!$A$2:$A$825,0)),"")</f>
        <v>3.5837651122624985</v>
      </c>
      <c r="R871" s="278">
        <f t="shared" si="67"/>
        <v>1.5343679620034545</v>
      </c>
      <c r="S871" s="268">
        <f>'Dry_Litterbag Placem_Collection'!E212</f>
        <v>42942</v>
      </c>
      <c r="T871" s="268">
        <f>IF('Dry_Litterbag Placem_Collection'!G212="","",'Dry_Litterbag Placem_Collection'!G212)</f>
        <v>43004</v>
      </c>
      <c r="U871" s="269">
        <f t="shared" si="65"/>
        <v>62</v>
      </c>
      <c r="V871" s="267">
        <f t="shared" si="68"/>
        <v>0.33480000000000021</v>
      </c>
      <c r="W871" s="267">
        <f t="shared" si="69"/>
        <v>0.34788261202259263</v>
      </c>
      <c r="X871" s="271">
        <f>IFERROR(INDEX(Rainfall_Dry!$O$2:$O$217,MATCH(B871, Rainfall_Dry!$A$2:$A$217,0)),"")</f>
        <v>171.84818423999999</v>
      </c>
      <c r="Y871" s="260">
        <v>33.96</v>
      </c>
      <c r="Z871" s="260">
        <v>8.9200000000000017</v>
      </c>
      <c r="AA871" s="260">
        <v>57.12</v>
      </c>
      <c r="AB871" s="261" t="s">
        <v>2670</v>
      </c>
      <c r="AC871" s="260">
        <v>2.072055199605717</v>
      </c>
      <c r="AD871">
        <f>IF('WetLitterbags placem_collection'!AB212="","",'WetLitterbags placem_collection'!AB212)</f>
        <v>15.2</v>
      </c>
      <c r="AE871">
        <f>IF('WetLitterbags placem_collection'!Z212="","",'WetLitterbags placem_collection'!Z212)</f>
        <v>12.2</v>
      </c>
      <c r="AF871" s="246" t="str">
        <f>IF('WetLitterbags placem_collection'!AA212="","",'WetLitterbags placem_collection'!AA212)</f>
        <v>O</v>
      </c>
      <c r="AG871">
        <f>IF('WetLitterbags placem_collection'!AC212="","",'WetLitterbags placem_collection'!AC212)</f>
        <v>1</v>
      </c>
      <c r="AH871">
        <f>IFERROR(AVERAGE('Dry_Litterbag Placem_Collection'!O212,'Dry_Litterbag Placem_Collection'!R212),"")</f>
        <v>6.1</v>
      </c>
      <c r="AI871" s="271">
        <f>IFERROR(AVERAGE('Dry_Litterbag Placem_Collection'!N212,'Dry_Litterbag Placem_Collection'!Q212),"")</f>
        <v>27.5</v>
      </c>
      <c r="AJ871">
        <v>-2.4396949910000001</v>
      </c>
      <c r="AK871">
        <v>34.838574029999997</v>
      </c>
      <c r="AL871" s="270" t="str">
        <f>IF(ISNUMBER(SEARCH("C", 'Dry_Litterbag Placem_Collection'!V212)),"YES","NO")</f>
        <v>NO</v>
      </c>
      <c r="AM871" s="270" t="str">
        <f>IF(ISNUMBER(SEARCH("H", 'Dry_Litterbag Placem_Collection'!V212)),"YES","NO")</f>
        <v>NO</v>
      </c>
      <c r="AN871" s="270" t="str">
        <f>IF(ISNUMBER(SEARCH("R", 'Dry_Litterbag Placem_Collection'!V212)),"YES","NO")</f>
        <v>NO</v>
      </c>
    </row>
    <row r="872" spans="1:40" ht="15" customHeight="1">
      <c r="A872" s="262" t="s">
        <v>2659</v>
      </c>
      <c r="B872" s="263">
        <f>'Dry_Litterbag Placem_Collection'!A213</f>
        <v>211</v>
      </c>
      <c r="C872" s="263" t="str">
        <f>'Dry_Litterbag Placem_Collection'!B213</f>
        <v xml:space="preserve">Mwantimba
</v>
      </c>
      <c r="D872" s="263" t="s">
        <v>2460</v>
      </c>
      <c r="E872" s="263" t="s">
        <v>2526</v>
      </c>
      <c r="F872" s="263">
        <v>1</v>
      </c>
      <c r="G872" s="264" t="str">
        <f>'Dry_Litterbag Placem_Collection'!C213</f>
        <v>Wet_P3_CG1</v>
      </c>
      <c r="H872" s="273" t="s">
        <v>3651</v>
      </c>
      <c r="I872" s="274" t="s">
        <v>298</v>
      </c>
      <c r="J872" s="263" t="str">
        <f>IF(ISBLANK('Dry_Litterbag Placem_Collection'!M213),"","R"&amp;""&amp;'Dry_Litterbag Placem_Collection'!M213)</f>
        <v>R670</v>
      </c>
      <c r="K872" s="267">
        <f>IFERROR(INDEX('Green_rooibos initial weight'!$C$5:$C$1749,MATCH(J872, 'Green_rooibos initial weight'!$A$5:$A$1749,0)),"")</f>
        <v>2.1059999999999999</v>
      </c>
      <c r="L872" s="267">
        <f>IFERROR(K872-(TBIcalc!$Q$9+TBIcalc!$Q$10),"")</f>
        <v>1.8561999999999999</v>
      </c>
      <c r="M872" s="391">
        <f>AVERAGE(Ashed_controlls!$K$12:$K$14)</f>
        <v>2.2816647271287041</v>
      </c>
      <c r="N872" s="267">
        <f t="shared" si="66"/>
        <v>1.8138477393350367</v>
      </c>
      <c r="O872" s="267">
        <f>IF(IFERROR(INDEX('Both teabags AfterDry'!$D$3:$D$900,MATCH(J872,'Both teabags AfterDry'!$A$3:$A$900,0)),"")="","",(IFERROR(INDEX('Both teabags AfterDry'!$D$3:$D$900,MATCH(J872,'Both teabags AfterDry'!$A$3:$A$900,0)),"")))</f>
        <v>1.4770000000000001</v>
      </c>
      <c r="P872" s="267">
        <f>IFERROR(IF(O872&gt;0,O872-(TBIcalc!$Q$9),""),"")</f>
        <v>1.3264</v>
      </c>
      <c r="Q872" s="278">
        <f>IFERROR(INDEX('Ashed teabags dry'!$K$2:$K$825,MATCH(J872,'Ashed teabags dry'!$A$2:$A$825,0)),"")</f>
        <v>4.1974169741701504</v>
      </c>
      <c r="R872" s="278">
        <f t="shared" si="67"/>
        <v>1.2707254612546071</v>
      </c>
      <c r="S872" s="268">
        <f>'Dry_Litterbag Placem_Collection'!E213</f>
        <v>42942</v>
      </c>
      <c r="T872" s="268">
        <f>IF('Dry_Litterbag Placem_Collection'!G213="","",'Dry_Litterbag Placem_Collection'!G213)</f>
        <v>43004</v>
      </c>
      <c r="U872" s="269">
        <f t="shared" si="65"/>
        <v>62</v>
      </c>
      <c r="V872" s="267">
        <f t="shared" si="68"/>
        <v>0.52979999999999983</v>
      </c>
      <c r="W872" s="267">
        <f t="shared" si="69"/>
        <v>0.54312227808042968</v>
      </c>
      <c r="X872" s="271">
        <f>IFERROR(INDEX(Rainfall_Dry!$O$2:$O$217,MATCH(B872, Rainfall_Dry!$A$2:$A$217,0)),"")</f>
        <v>171.84818423999999</v>
      </c>
      <c r="Y872" s="260">
        <v>39.96</v>
      </c>
      <c r="Z872" s="260">
        <v>12.920000000000002</v>
      </c>
      <c r="AA872" s="260">
        <v>47.12</v>
      </c>
      <c r="AB872" s="261" t="s">
        <v>2674</v>
      </c>
      <c r="AC872" s="260">
        <v>1.6549531789058647</v>
      </c>
      <c r="AD872">
        <f>IF('WetLitterbags placem_collection'!AB213="","",'WetLitterbags placem_collection'!AB213)</f>
        <v>13.8</v>
      </c>
      <c r="AE872">
        <f>IF('WetLitterbags placem_collection'!Z213="","",'WetLitterbags placem_collection'!Z213)</f>
        <v>17.399999999999999</v>
      </c>
      <c r="AF872" s="246" t="str">
        <f>IF('WetLitterbags placem_collection'!AA213="","",'WetLitterbags placem_collection'!AA213)</f>
        <v>O</v>
      </c>
      <c r="AG872">
        <f>IF('WetLitterbags placem_collection'!AC213="","",'WetLitterbags placem_collection'!AC213)</f>
        <v>1</v>
      </c>
      <c r="AH872">
        <f>IFERROR(AVERAGE('Dry_Litterbag Placem_Collection'!O213,'Dry_Litterbag Placem_Collection'!R213),"")</f>
        <v>7.55</v>
      </c>
      <c r="AI872" s="271">
        <f>IFERROR(AVERAGE('Dry_Litterbag Placem_Collection'!N213,'Dry_Litterbag Placem_Collection'!Q213),"")</f>
        <v>28</v>
      </c>
      <c r="AJ872">
        <v>-2.439403972</v>
      </c>
      <c r="AK872">
        <v>34.838404959999998</v>
      </c>
      <c r="AL872" s="270" t="str">
        <f>IF(ISNUMBER(SEARCH("C", 'Dry_Litterbag Placem_Collection'!V213)),"YES","NO")</f>
        <v>NO</v>
      </c>
      <c r="AM872" s="270" t="str">
        <f>IF(ISNUMBER(SEARCH("H", 'Dry_Litterbag Placem_Collection'!V213)),"YES","NO")</f>
        <v>NO</v>
      </c>
      <c r="AN872" s="270" t="str">
        <f>IF(ISNUMBER(SEARCH("R", 'Dry_Litterbag Placem_Collection'!V213)),"YES","NO")</f>
        <v>NO</v>
      </c>
    </row>
    <row r="873" spans="1:40" ht="15" customHeight="1">
      <c r="A873" s="262" t="s">
        <v>2659</v>
      </c>
      <c r="B873" s="263">
        <f>'Dry_Litterbag Placem_Collection'!A214</f>
        <v>215</v>
      </c>
      <c r="C873" s="263" t="str">
        <f>'Dry_Litterbag Placem_Collection'!B214</f>
        <v xml:space="preserve">Mwantimba
</v>
      </c>
      <c r="D873" s="263" t="s">
        <v>2460</v>
      </c>
      <c r="E873" s="263" t="s">
        <v>2526</v>
      </c>
      <c r="F873" s="263">
        <v>3</v>
      </c>
      <c r="G873" s="264" t="str">
        <f>'Dry_Litterbag Placem_Collection'!C214</f>
        <v>Wet_W3_CG1</v>
      </c>
      <c r="H873" s="273" t="s">
        <v>3651</v>
      </c>
      <c r="I873" s="274" t="s">
        <v>298</v>
      </c>
      <c r="J873" s="263" t="str">
        <f>IF(ISBLANK('Dry_Litterbag Placem_Collection'!M214),"","R"&amp;""&amp;'Dry_Litterbag Placem_Collection'!M214)</f>
        <v>R256</v>
      </c>
      <c r="K873" s="267">
        <f>IFERROR(INDEX('Green_rooibos initial weight'!$C$5:$C$1749,MATCH(J873, 'Green_rooibos initial weight'!$A$5:$A$1749,0)),"")</f>
        <v>2.2000000000000002</v>
      </c>
      <c r="L873" s="267">
        <f>IFERROR(K873-(TBIcalc!$Q$9+TBIcalc!$Q$10),"")</f>
        <v>1.9502000000000002</v>
      </c>
      <c r="M873" s="391">
        <f>AVERAGE(Ashed_controlls!$K$12:$K$14)</f>
        <v>2.2816647271287041</v>
      </c>
      <c r="N873" s="267">
        <f t="shared" si="66"/>
        <v>1.9057029744915361</v>
      </c>
      <c r="O873" s="267">
        <f>IF(IFERROR(INDEX('Both teabags AfterDry'!$D$3:$D$900,MATCH(J873,'Both teabags AfterDry'!$A$3:$A$900,0)),"")="","",(IFERROR(INDEX('Both teabags AfterDry'!$D$3:$D$900,MATCH(J873,'Both teabags AfterDry'!$A$3:$A$900,0)),"")))</f>
        <v>1.5882000000000001</v>
      </c>
      <c r="P873" s="267">
        <f>IFERROR(IF(O873&gt;0,O873-(TBIcalc!$Q$9),""),"")</f>
        <v>1.4376</v>
      </c>
      <c r="Q873" s="278">
        <f>IFERROR(INDEX('Ashed teabags dry'!$K$2:$K$825,MATCH(J873,'Ashed teabags dry'!$A$2:$A$825,0)),"")</f>
        <v>7.9981069569333094</v>
      </c>
      <c r="R873" s="278">
        <f t="shared" si="67"/>
        <v>1.3226192143871267</v>
      </c>
      <c r="S873" s="268">
        <f>'Dry_Litterbag Placem_Collection'!E214</f>
        <v>42942</v>
      </c>
      <c r="T873" s="268">
        <f>IF('Dry_Litterbag Placem_Collection'!G214="","",'Dry_Litterbag Placem_Collection'!G214)</f>
        <v>43004</v>
      </c>
      <c r="U873" s="269">
        <f t="shared" si="65"/>
        <v>62</v>
      </c>
      <c r="V873" s="267">
        <f t="shared" si="68"/>
        <v>0.51260000000000017</v>
      </c>
      <c r="W873" s="267">
        <f t="shared" si="69"/>
        <v>0.58308376010440943</v>
      </c>
      <c r="X873" s="271" t="str">
        <f>IFERROR(INDEX(Rainfall_Dry!$O$2:$O$217,MATCH(B873, Rainfall_Dry!$A$2:$A$217,0)),"")</f>
        <v/>
      </c>
      <c r="Y873" s="260">
        <v>27.96</v>
      </c>
      <c r="Z873" s="260">
        <v>4.9200000000000017</v>
      </c>
      <c r="AA873" s="260">
        <v>67.12</v>
      </c>
      <c r="AB873" s="261" t="s">
        <v>2670</v>
      </c>
      <c r="AC873" s="260">
        <v>1.0437161163134547</v>
      </c>
      <c r="AD873">
        <f>IF('WetLitterbags placem_collection'!AB214="","",'WetLitterbags placem_collection'!AB214)</f>
        <v>7.9</v>
      </c>
      <c r="AE873">
        <f>IF('WetLitterbags placem_collection'!Z214="","",'WetLitterbags placem_collection'!Z214)</f>
        <v>7.9</v>
      </c>
      <c r="AF873" s="246" t="str">
        <f>IF('WetLitterbags placem_collection'!AA214="","",'WetLitterbags placem_collection'!AA214)</f>
        <v>O</v>
      </c>
      <c r="AG873">
        <f>IF('WetLitterbags placem_collection'!AC214="","",'WetLitterbags placem_collection'!AC214)</f>
        <v>1</v>
      </c>
      <c r="AH873">
        <f>IFERROR(AVERAGE('Dry_Litterbag Placem_Collection'!O214,'Dry_Litterbag Placem_Collection'!R214),"")</f>
        <v>4.3</v>
      </c>
      <c r="AI873" s="271">
        <f>IFERROR(AVERAGE('Dry_Litterbag Placem_Collection'!N214,'Dry_Litterbag Placem_Collection'!Q214),"")</f>
        <v>28.75</v>
      </c>
      <c r="AJ873">
        <v>-2.4395990190000001</v>
      </c>
      <c r="AK873">
        <v>34.838418959999998</v>
      </c>
      <c r="AL873" s="270" t="str">
        <f>IF(ISNUMBER(SEARCH("C", 'Dry_Litterbag Placem_Collection'!V214)),"YES","NO")</f>
        <v>NO</v>
      </c>
      <c r="AM873" s="270" t="str">
        <f>IF(ISNUMBER(SEARCH("H", 'Dry_Litterbag Placem_Collection'!V214)),"YES","NO")</f>
        <v>NO</v>
      </c>
      <c r="AN873" s="270" t="str">
        <f>IF(ISNUMBER(SEARCH("R", 'Dry_Litterbag Placem_Collection'!V214)),"YES","NO")</f>
        <v>YES</v>
      </c>
    </row>
    <row r="874" spans="1:40" ht="15" customHeight="1">
      <c r="A874" s="262" t="s">
        <v>2659</v>
      </c>
      <c r="B874" s="263">
        <f>'Dry_Litterbag Placem_Collection'!A215</f>
        <v>212</v>
      </c>
      <c r="C874" s="263" t="str">
        <f>'Dry_Litterbag Placem_Collection'!B215</f>
        <v xml:space="preserve">Mwantimba
</v>
      </c>
      <c r="D874" s="263" t="s">
        <v>2460</v>
      </c>
      <c r="E874" s="263" t="s">
        <v>2526</v>
      </c>
      <c r="F874" s="263">
        <v>4</v>
      </c>
      <c r="G874" s="264" t="str">
        <f>'Dry_Litterbag Placem_Collection'!C215</f>
        <v>Wet_P4_CG3</v>
      </c>
      <c r="H874" s="273" t="s">
        <v>3651</v>
      </c>
      <c r="I874" s="274" t="s">
        <v>298</v>
      </c>
      <c r="J874" s="263" t="str">
        <f>IF(ISBLANK('Dry_Litterbag Placem_Collection'!M215),"","R"&amp;""&amp;'Dry_Litterbag Placem_Collection'!M215)</f>
        <v>R658</v>
      </c>
      <c r="K874" s="267">
        <f>IFERROR(INDEX('Green_rooibos initial weight'!$C$5:$C$1749,MATCH(J874, 'Green_rooibos initial weight'!$A$5:$A$1749,0)),"")</f>
        <v>2.2080000000000002</v>
      </c>
      <c r="L874" s="267">
        <f>IFERROR(K874-(TBIcalc!$Q$9+TBIcalc!$Q$10),"")</f>
        <v>1.9582000000000002</v>
      </c>
      <c r="M874" s="391">
        <f>AVERAGE(Ashed_controlls!$K$12:$K$14)</f>
        <v>2.2816647271287041</v>
      </c>
      <c r="N874" s="267">
        <f t="shared" si="66"/>
        <v>1.913520441313366</v>
      </c>
      <c r="O874" s="267">
        <f>IF(IFERROR(INDEX('Both teabags AfterDry'!$D$3:$D$900,MATCH(J874,'Both teabags AfterDry'!$A$3:$A$900,0)),"")="","",(IFERROR(INDEX('Both teabags AfterDry'!$D$3:$D$900,MATCH(J874,'Both teabags AfterDry'!$A$3:$A$900,0)),"")))</f>
        <v>1.655</v>
      </c>
      <c r="P874" s="267">
        <f>IFERROR(IF(O874&gt;0,O874-(TBIcalc!$Q$9),""),"")</f>
        <v>1.5044</v>
      </c>
      <c r="Q874" s="278">
        <f>IFERROR(INDEX('Ashed teabags dry'!$K$2:$K$825,MATCH(J874,'Ashed teabags dry'!$A$2:$A$825,0)),"")</f>
        <v>3.7141513869305309</v>
      </c>
      <c r="R874" s="278">
        <f t="shared" si="67"/>
        <v>1.4485243065350171</v>
      </c>
      <c r="S874" s="268">
        <f>'Dry_Litterbag Placem_Collection'!E215</f>
        <v>42942</v>
      </c>
      <c r="T874" s="268">
        <f>IF('Dry_Litterbag Placem_Collection'!G215="","",'Dry_Litterbag Placem_Collection'!G215)</f>
        <v>43004</v>
      </c>
      <c r="U874" s="269">
        <f t="shared" si="65"/>
        <v>62</v>
      </c>
      <c r="V874" s="267">
        <f t="shared" si="68"/>
        <v>0.4538000000000002</v>
      </c>
      <c r="W874" s="267">
        <f t="shared" si="69"/>
        <v>0.46499613477834889</v>
      </c>
      <c r="X874" s="271">
        <f>IFERROR(INDEX(Rainfall_Dry!$O$2:$O$217,MATCH(B874, Rainfall_Dry!$A$2:$A$217,0)),"")</f>
        <v>171.84818423999999</v>
      </c>
      <c r="Y874" s="260">
        <v>21.96</v>
      </c>
      <c r="Z874" s="260">
        <v>4.9199999999999982</v>
      </c>
      <c r="AA874" s="260">
        <v>73.12</v>
      </c>
      <c r="AB874" s="261" t="s">
        <v>2670</v>
      </c>
      <c r="AC874" s="260">
        <v>1.2416954164613114</v>
      </c>
      <c r="AD874">
        <f>IF('WetLitterbags placem_collection'!AB215="","",'WetLitterbags placem_collection'!AB215)</f>
        <v>15.2</v>
      </c>
      <c r="AE874">
        <f>IF('WetLitterbags placem_collection'!Z215="","",'WetLitterbags placem_collection'!Z215)</f>
        <v>12.2</v>
      </c>
      <c r="AF874" s="246" t="str">
        <f>IF('WetLitterbags placem_collection'!AA215="","",'WetLitterbags placem_collection'!AA215)</f>
        <v>O</v>
      </c>
      <c r="AG874">
        <f>IF('WetLitterbags placem_collection'!AC215="","",'WetLitterbags placem_collection'!AC215)</f>
        <v>1</v>
      </c>
      <c r="AH874">
        <f>IFERROR(AVERAGE('Dry_Litterbag Placem_Collection'!O215,'Dry_Litterbag Placem_Collection'!R215),"")</f>
        <v>8.1499999999999986</v>
      </c>
      <c r="AI874" s="271">
        <f>IFERROR(AVERAGE('Dry_Litterbag Placem_Collection'!N215,'Dry_Litterbag Placem_Collection'!Q215),"")</f>
        <v>28.25</v>
      </c>
      <c r="AJ874">
        <v>-2.4396949910000001</v>
      </c>
      <c r="AK874">
        <v>34.838574029999997</v>
      </c>
      <c r="AL874" s="270" t="str">
        <f>IF(ISNUMBER(SEARCH("C", 'Dry_Litterbag Placem_Collection'!V215)),"YES","NO")</f>
        <v>NO</v>
      </c>
      <c r="AM874" s="270" t="str">
        <f>IF(ISNUMBER(SEARCH("H", 'Dry_Litterbag Placem_Collection'!V215)),"YES","NO")</f>
        <v>NO</v>
      </c>
      <c r="AN874" s="270" t="str">
        <f>IF(ISNUMBER(SEARCH("R", 'Dry_Litterbag Placem_Collection'!V215)),"YES","NO")</f>
        <v>YES</v>
      </c>
    </row>
    <row r="875" spans="1:40" ht="15" customHeight="1">
      <c r="A875" s="262" t="s">
        <v>2659</v>
      </c>
      <c r="B875" s="263">
        <f>'Dry_Litterbag Placem_Collection'!A216</f>
        <v>213</v>
      </c>
      <c r="C875" s="263" t="str">
        <f>'Dry_Litterbag Placem_Collection'!B216</f>
        <v>Handajega</v>
      </c>
      <c r="D875" s="263" t="s">
        <v>2460</v>
      </c>
      <c r="E875" s="263" t="s">
        <v>2526</v>
      </c>
      <c r="F875" s="263">
        <v>3</v>
      </c>
      <c r="G875" s="264" t="str">
        <f>'Dry_Litterbag Placem_Collection'!C216</f>
        <v>Wet_W1_CG4</v>
      </c>
      <c r="H875" s="273" t="s">
        <v>3651</v>
      </c>
      <c r="I875" s="274" t="s">
        <v>298</v>
      </c>
      <c r="J875" s="263" t="str">
        <f>IF(ISBLANK('Dry_Litterbag Placem_Collection'!M216),"","R"&amp;""&amp;'Dry_Litterbag Placem_Collection'!M216)</f>
        <v>R699</v>
      </c>
      <c r="K875" s="267">
        <f>IFERROR(INDEX('Green_rooibos initial weight'!$C$5:$C$1749,MATCH(J875, 'Green_rooibos initial weight'!$A$5:$A$1749,0)),"")</f>
        <v>2.157</v>
      </c>
      <c r="L875" s="267">
        <f>IFERROR(K875-(TBIcalc!$Q$9+TBIcalc!$Q$10),"")</f>
        <v>1.9072</v>
      </c>
      <c r="M875" s="391">
        <f>AVERAGE(Ashed_controlls!$K$12:$K$14)</f>
        <v>2.2816647271287041</v>
      </c>
      <c r="N875" s="267">
        <f t="shared" si="66"/>
        <v>1.8636840903242013</v>
      </c>
      <c r="O875" s="267">
        <f>IF(IFERROR(INDEX('Both teabags AfterDry'!$D$3:$D$900,MATCH(J875,'Both teabags AfterDry'!$A$3:$A$900,0)),"")="","",(IFERROR(INDEX('Both teabags AfterDry'!$D$3:$D$900,MATCH(J875,'Both teabags AfterDry'!$A$3:$A$900,0)),"")))</f>
        <v>1.748</v>
      </c>
      <c r="P875" s="267">
        <f>IFERROR(IF(O875&gt;0,O875-(TBIcalc!$Q$9),""),"")</f>
        <v>1.5973999999999999</v>
      </c>
      <c r="Q875" s="278">
        <f>IFERROR(INDEX('Ashed teabags dry'!$K$2:$K$825,MATCH(J875,'Ashed teabags dry'!$A$2:$A$825,0)),"")</f>
        <v>5.3180914512921857</v>
      </c>
      <c r="R875" s="278">
        <f t="shared" si="67"/>
        <v>1.5124488071570585</v>
      </c>
      <c r="S875" s="268">
        <f>'Dry_Litterbag Placem_Collection'!E216</f>
        <v>42942</v>
      </c>
      <c r="T875" s="268">
        <f>IF('Dry_Litterbag Placem_Collection'!G216="","",'Dry_Litterbag Placem_Collection'!G216)</f>
        <v>43004</v>
      </c>
      <c r="U875" s="269">
        <f t="shared" si="65"/>
        <v>62</v>
      </c>
      <c r="V875" s="267">
        <f t="shared" si="68"/>
        <v>0.30980000000000008</v>
      </c>
      <c r="W875" s="267">
        <f t="shared" si="69"/>
        <v>0.35123528316714281</v>
      </c>
      <c r="X875" s="271">
        <f>IFERROR(INDEX(Rainfall_Dry!$O$2:$O$217,MATCH(B875, Rainfall_Dry!$A$2:$A$217,0)),"")</f>
        <v>171.84818423999999</v>
      </c>
      <c r="Y875" s="260">
        <v>23.96</v>
      </c>
      <c r="Z875" s="260">
        <v>4.9199999999999982</v>
      </c>
      <c r="AA875" s="260">
        <v>71.12</v>
      </c>
      <c r="AB875" s="261" t="s">
        <v>2670</v>
      </c>
      <c r="AC875" s="260">
        <v>3.30913750616067</v>
      </c>
      <c r="AD875">
        <f>IF('WetLitterbags placem_collection'!AB216="","",'WetLitterbags placem_collection'!AB216)</f>
        <v>7.9</v>
      </c>
      <c r="AE875">
        <f>IF('WetLitterbags placem_collection'!Z216="","",'WetLitterbags placem_collection'!Z216)</f>
        <v>7.9</v>
      </c>
      <c r="AF875" s="246" t="str">
        <f>IF('WetLitterbags placem_collection'!AA216="","",'WetLitterbags placem_collection'!AA216)</f>
        <v>O</v>
      </c>
      <c r="AG875">
        <f>IF('WetLitterbags placem_collection'!AC216="","",'WetLitterbags placem_collection'!AC216)</f>
        <v>1</v>
      </c>
      <c r="AH875">
        <f>IFERROR(AVERAGE('Dry_Litterbag Placem_Collection'!O216,'Dry_Litterbag Placem_Collection'!R216),"")</f>
        <v>4.3499999999999996</v>
      </c>
      <c r="AI875" s="271">
        <f>IFERROR(AVERAGE('Dry_Litterbag Placem_Collection'!N216,'Dry_Litterbag Placem_Collection'!Q216),"")</f>
        <v>29.1</v>
      </c>
      <c r="AJ875">
        <v>-2.4396949910000001</v>
      </c>
      <c r="AK875">
        <v>34.838574029999997</v>
      </c>
      <c r="AL875" s="270" t="str">
        <f>IF(ISNUMBER(SEARCH("C", 'Dry_Litterbag Placem_Collection'!V216)),"YES","NO")</f>
        <v>NO</v>
      </c>
      <c r="AM875" s="270" t="str">
        <f>IF(ISNUMBER(SEARCH("H", 'Dry_Litterbag Placem_Collection'!V216)),"YES","NO")</f>
        <v>NO</v>
      </c>
      <c r="AN875" s="270" t="str">
        <f>IF(ISNUMBER(SEARCH("R", 'Dry_Litterbag Placem_Collection'!V216)),"YES","NO")</f>
        <v>NO</v>
      </c>
    </row>
    <row r="876" spans="1:40" ht="15" customHeight="1">
      <c r="A876" s="262" t="s">
        <v>2659</v>
      </c>
      <c r="B876" s="263">
        <f>'Dry_Litterbag Placem_Collection'!A217</f>
        <v>214</v>
      </c>
      <c r="C876" s="263" t="str">
        <f>'Dry_Litterbag Placem_Collection'!B217</f>
        <v>Handajega</v>
      </c>
      <c r="D876" s="263" t="s">
        <v>2460</v>
      </c>
      <c r="E876" s="263" t="s">
        <v>2526</v>
      </c>
      <c r="F876" s="263">
        <v>1</v>
      </c>
      <c r="G876" s="264" t="str">
        <f>'Dry_Litterbag Placem_Collection'!C217</f>
        <v>Wet_W2_CG3</v>
      </c>
      <c r="H876" s="273" t="s">
        <v>3651</v>
      </c>
      <c r="I876" s="274" t="s">
        <v>298</v>
      </c>
      <c r="J876" s="263" t="str">
        <f>IF(ISBLANK('Dry_Litterbag Placem_Collection'!M217),"","R"&amp;""&amp;'Dry_Litterbag Placem_Collection'!M217)</f>
        <v>R663</v>
      </c>
      <c r="K876" s="267">
        <f>IFERROR(INDEX('Green_rooibos initial weight'!$C$5:$C$1749,MATCH(J876, 'Green_rooibos initial weight'!$A$5:$A$1749,0)),"")</f>
        <v>2.105</v>
      </c>
      <c r="L876" s="267">
        <f>IFERROR(K876-(TBIcalc!$Q$9+TBIcalc!$Q$10),"")</f>
        <v>1.8552</v>
      </c>
      <c r="M876" s="391">
        <f>AVERAGE(Ashed_controlls!$K$12:$K$14)</f>
        <v>2.2816647271287041</v>
      </c>
      <c r="N876" s="267">
        <f t="shared" si="66"/>
        <v>1.8128705559823082</v>
      </c>
      <c r="O876" s="267">
        <f>IF(IFERROR(INDEX('Both teabags AfterDry'!$D$3:$D$900,MATCH(J876,'Both teabags AfterDry'!$A$3:$A$900,0)),"")="","",(IFERROR(INDEX('Both teabags AfterDry'!$D$3:$D$900,MATCH(J876,'Both teabags AfterDry'!$A$3:$A$900,0)),"")))</f>
        <v>1.6679999999999999</v>
      </c>
      <c r="P876" s="267">
        <f>IFERROR(IF(O876&gt;0,O876-(TBIcalc!$Q$9),""),"")</f>
        <v>1.5173999999999999</v>
      </c>
      <c r="Q876" s="278">
        <f>IFERROR(INDEX('Ashed teabags dry'!$K$2:$K$825,MATCH(J876,'Ashed teabags dry'!$A$2:$A$825,0)),"")</f>
        <v>3.297724105899698</v>
      </c>
      <c r="R876" s="278">
        <f t="shared" si="67"/>
        <v>1.4673603344170778</v>
      </c>
      <c r="S876" s="268">
        <f>'Dry_Litterbag Placem_Collection'!E217</f>
        <v>42942</v>
      </c>
      <c r="T876" s="268">
        <f>IF('Dry_Litterbag Placem_Collection'!G217="","",'Dry_Litterbag Placem_Collection'!G217)</f>
        <v>43004</v>
      </c>
      <c r="U876" s="269">
        <f t="shared" si="65"/>
        <v>62</v>
      </c>
      <c r="V876" s="267">
        <f t="shared" si="68"/>
        <v>0.3378000000000001</v>
      </c>
      <c r="W876" s="267">
        <f t="shared" si="69"/>
        <v>0.34551022156523037</v>
      </c>
      <c r="X876" s="271">
        <f>IFERROR(INDEX(Rainfall_Dry!$O$2:$O$217,MATCH(B876, Rainfall_Dry!$A$2:$A$217,0)),"")</f>
        <v>171.84818423999999</v>
      </c>
      <c r="Y876" s="260">
        <v>25.96</v>
      </c>
      <c r="Z876" s="260">
        <v>8.9200000000000017</v>
      </c>
      <c r="AA876" s="260">
        <v>65.12</v>
      </c>
      <c r="AB876" s="261" t="s">
        <v>2670</v>
      </c>
      <c r="AC876" s="260">
        <v>1.614588467225234</v>
      </c>
      <c r="AD876">
        <f>IF('WetLitterbags placem_collection'!AB217="","",'WetLitterbags placem_collection'!AB217)</f>
        <v>13.8</v>
      </c>
      <c r="AE876">
        <f>IF('WetLitterbags placem_collection'!Z217="","",'WetLitterbags placem_collection'!Z217)</f>
        <v>17.399999999999999</v>
      </c>
      <c r="AF876" s="246" t="str">
        <f>IF('WetLitterbags placem_collection'!AA217="","",'WetLitterbags placem_collection'!AA217)</f>
        <v>O</v>
      </c>
      <c r="AG876">
        <f>IF('WetLitterbags placem_collection'!AC217="","",'WetLitterbags placem_collection'!AC217)</f>
        <v>1</v>
      </c>
      <c r="AH876">
        <f>IFERROR(AVERAGE('Dry_Litterbag Placem_Collection'!O217,'Dry_Litterbag Placem_Collection'!R217),"")</f>
        <v>6.3</v>
      </c>
      <c r="AI876" s="271">
        <f>IFERROR(AVERAGE('Dry_Litterbag Placem_Collection'!N217,'Dry_Litterbag Placem_Collection'!Q217),"")</f>
        <v>29.8</v>
      </c>
      <c r="AJ876">
        <v>-2.439403972</v>
      </c>
      <c r="AK876">
        <v>34.838404959999998</v>
      </c>
      <c r="AL876" s="270" t="str">
        <f>IF(ISNUMBER(SEARCH("C", 'Dry_Litterbag Placem_Collection'!V217)),"YES","NO")</f>
        <v>NO</v>
      </c>
      <c r="AM876" s="270" t="str">
        <f>IF(ISNUMBER(SEARCH("H", 'Dry_Litterbag Placem_Collection'!V217)),"YES","NO")</f>
        <v>NO</v>
      </c>
      <c r="AN876" s="270" t="str">
        <f>IF(ISNUMBER(SEARCH("R", 'Dry_Litterbag Placem_Collection'!V217)),"YES","NO")</f>
        <v>NO</v>
      </c>
    </row>
    <row r="877" spans="1:40" ht="15" customHeight="1">
      <c r="A877" s="262" t="s">
        <v>2659</v>
      </c>
      <c r="B877" s="263">
        <f>'Dry_Litterbag Placem_Collection'!A218</f>
        <v>216</v>
      </c>
      <c r="C877" s="263" t="str">
        <f>'Dry_Litterbag Placem_Collection'!B218</f>
        <v>Handajega</v>
      </c>
      <c r="D877" s="263" t="s">
        <v>2460</v>
      </c>
      <c r="E877" s="263" t="s">
        <v>2526</v>
      </c>
      <c r="F877" s="263">
        <v>2</v>
      </c>
      <c r="G877" s="264" t="str">
        <f>'Dry_Litterbag Placem_Collection'!C218</f>
        <v>Wet_W4_CG2</v>
      </c>
      <c r="H877" s="273" t="s">
        <v>3651</v>
      </c>
      <c r="I877" s="274" t="s">
        <v>298</v>
      </c>
      <c r="J877" s="263" t="str">
        <f>IF(ISBLANK('Dry_Litterbag Placem_Collection'!M218),"","R"&amp;""&amp;'Dry_Litterbag Placem_Collection'!M218)</f>
        <v>R622</v>
      </c>
      <c r="K877" s="267">
        <f>IFERROR(INDEX('Green_rooibos initial weight'!$C$5:$C$1749,MATCH(J877, 'Green_rooibos initial weight'!$A$5:$A$1749,0)),"")</f>
        <v>2.1640000000000001</v>
      </c>
      <c r="L877" s="267">
        <f>IFERROR(K877-(TBIcalc!$Q$9+TBIcalc!$Q$10),"")</f>
        <v>1.9142000000000001</v>
      </c>
      <c r="M877" s="391">
        <f>AVERAGE(Ashed_controlls!$K$12:$K$14)</f>
        <v>2.2816647271287041</v>
      </c>
      <c r="N877" s="267">
        <f t="shared" si="66"/>
        <v>1.8705243737933024</v>
      </c>
      <c r="O877" s="267">
        <f>IF(IFERROR(INDEX('Both teabags AfterDry'!$D$3:$D$900,MATCH(J877,'Both teabags AfterDry'!$A$3:$A$900,0)),"")="","",(IFERROR(INDEX('Both teabags AfterDry'!$D$3:$D$900,MATCH(J877,'Both teabags AfterDry'!$A$3:$A$900,0)),"")))</f>
        <v>1.6419999999999999</v>
      </c>
      <c r="P877" s="267">
        <f>IFERROR(IF(O877&gt;0,O877-(TBIcalc!$Q$9),""),"")</f>
        <v>1.4913999999999998</v>
      </c>
      <c r="Q877" s="278">
        <f>IFERROR(INDEX('Ashed teabags dry'!$K$2:$K$825,MATCH(J877,'Ashed teabags dry'!$A$2:$A$825,0)),"")</f>
        <v>4.6979865771810632</v>
      </c>
      <c r="R877" s="278">
        <f t="shared" si="67"/>
        <v>1.4213342281879215</v>
      </c>
      <c r="S877" s="268">
        <f>'Dry_Litterbag Placem_Collection'!E218</f>
        <v>42942</v>
      </c>
      <c r="T877" s="268">
        <f>IF('Dry_Litterbag Placem_Collection'!G218="","",'Dry_Litterbag Placem_Collection'!G218)</f>
        <v>43004</v>
      </c>
      <c r="U877" s="269">
        <f t="shared" si="65"/>
        <v>62</v>
      </c>
      <c r="V877" s="267">
        <f t="shared" si="68"/>
        <v>0.42280000000000029</v>
      </c>
      <c r="W877" s="267">
        <f t="shared" si="69"/>
        <v>0.44919014560538084</v>
      </c>
      <c r="X877" s="271">
        <f>IFERROR(INDEX(Rainfall_Dry!$O$2:$O$217,MATCH(B877, Rainfall_Dry!$A$2:$A$217,0)),"")</f>
        <v>171.84818423999999</v>
      </c>
      <c r="Y877" s="260">
        <v>25.96</v>
      </c>
      <c r="Z877" s="260">
        <v>8.9200000000000017</v>
      </c>
      <c r="AA877" s="260">
        <v>65.12</v>
      </c>
      <c r="AB877" s="261" t="s">
        <v>2670</v>
      </c>
      <c r="AC877" s="260">
        <v>1.6991621488417901</v>
      </c>
      <c r="AD877">
        <f>IF('WetLitterbags placem_collection'!AB218="","",'WetLitterbags placem_collection'!AB218)</f>
        <v>5.13</v>
      </c>
      <c r="AE877">
        <f>IF('WetLitterbags placem_collection'!Z218="","",'WetLitterbags placem_collection'!Z218)</f>
        <v>5.13</v>
      </c>
      <c r="AF877" s="246" t="str">
        <f>IF('WetLitterbags placem_collection'!AA218="","",'WetLitterbags placem_collection'!AA218)</f>
        <v>O</v>
      </c>
      <c r="AG877">
        <f>IF('WetLitterbags placem_collection'!AC218="","",'WetLitterbags placem_collection'!AC218)</f>
        <v>1</v>
      </c>
      <c r="AH877">
        <f>IFERROR(AVERAGE('Dry_Litterbag Placem_Collection'!O218,'Dry_Litterbag Placem_Collection'!R218),"")</f>
        <v>7.0500000000000007</v>
      </c>
      <c r="AI877" s="271">
        <f>IFERROR(AVERAGE('Dry_Litterbag Placem_Collection'!N218,'Dry_Litterbag Placem_Collection'!Q218),"")</f>
        <v>29.85</v>
      </c>
      <c r="AJ877">
        <v>-2.4396450349999999</v>
      </c>
      <c r="AK877">
        <v>34.83836599</v>
      </c>
      <c r="AL877" s="270" t="str">
        <f>IF(ISNUMBER(SEARCH("C", 'Dry_Litterbag Placem_Collection'!V218)),"YES","NO")</f>
        <v>NO</v>
      </c>
      <c r="AM877" s="270" t="str">
        <f>IF(ISNUMBER(SEARCH("H", 'Dry_Litterbag Placem_Collection'!V218)),"YES","NO")</f>
        <v>NO</v>
      </c>
      <c r="AN877" s="270" t="str">
        <f>IF(ISNUMBER(SEARCH("R", 'Dry_Litterbag Placem_Collection'!V218)),"YES","NO")</f>
        <v>NO</v>
      </c>
    </row>
    <row r="878" spans="1:40" ht="15" customHeight="1">
      <c r="A878" s="262" t="s">
        <v>2659</v>
      </c>
      <c r="B878" s="263">
        <f>'Dry_Litterbag Placem_Collection'!A219</f>
        <v>217</v>
      </c>
      <c r="C878" s="263" t="str">
        <f>'Dry_Litterbag Placem_Collection'!B219</f>
        <v>Seronera</v>
      </c>
      <c r="D878" s="263" t="s">
        <v>2662</v>
      </c>
      <c r="E878" s="263" t="s">
        <v>2526</v>
      </c>
      <c r="F878" s="263">
        <v>1</v>
      </c>
      <c r="G878" s="264" t="str">
        <f>'Dry_Litterbag Placem_Collection'!C219</f>
        <v>Local1_CG1</v>
      </c>
      <c r="H878" s="273" t="s">
        <v>3651</v>
      </c>
      <c r="I878" s="274" t="s">
        <v>298</v>
      </c>
      <c r="J878" s="263" t="str">
        <f>IF(ISBLANK('Dry_Litterbag Placem_Collection'!M219),"","R"&amp;""&amp;'Dry_Litterbag Placem_Collection'!M219)</f>
        <v>R608</v>
      </c>
      <c r="K878" s="267">
        <f>IFERROR(INDEX('Green_rooibos initial weight'!$C$5:$C$1749,MATCH(J878, 'Green_rooibos initial weight'!$A$5:$A$1749,0)),"")</f>
        <v>2.1440000000000001</v>
      </c>
      <c r="L878" s="267">
        <f>IFERROR(K878-(TBIcalc!$Q$9+TBIcalc!$Q$10),"")</f>
        <v>1.8942000000000001</v>
      </c>
      <c r="M878" s="391">
        <f>AVERAGE(Ashed_controlls!$K$12:$K$14)</f>
        <v>2.2816647271287041</v>
      </c>
      <c r="N878" s="267">
        <f t="shared" si="66"/>
        <v>1.8509807067387283</v>
      </c>
      <c r="O878" s="267">
        <f>IF(IFERROR(INDEX('Both teabags AfterDry'!$D$3:$D$900,MATCH(J878,'Both teabags AfterDry'!$A$3:$A$900,0)),"")="","",(IFERROR(INDEX('Both teabags AfterDry'!$D$3:$D$900,MATCH(J878,'Both teabags AfterDry'!$A$3:$A$900,0)),"")))</f>
        <v>1.6455</v>
      </c>
      <c r="P878" s="267">
        <f>IFERROR(IF(O878&gt;0,O878-(TBIcalc!$Q$9),""),"")</f>
        <v>1.4948999999999999</v>
      </c>
      <c r="Q878" s="278">
        <f>IFERROR(INDEX('Ashed teabags dry'!$K$2:$K$825,MATCH(J878,'Ashed teabags dry'!$A$2:$A$825,0)),"")</f>
        <v>3.468950749465225</v>
      </c>
      <c r="R878" s="278">
        <f t="shared" si="67"/>
        <v>1.4430426552462443</v>
      </c>
      <c r="S878" s="268">
        <f>'Dry_Litterbag Placem_Collection'!E219</f>
        <v>42942</v>
      </c>
      <c r="T878" s="268">
        <f>IF('Dry_Litterbag Placem_Collection'!G219="","",'Dry_Litterbag Placem_Collection'!G219)</f>
        <v>43004</v>
      </c>
      <c r="U878" s="269">
        <f t="shared" si="65"/>
        <v>62</v>
      </c>
      <c r="V878" s="267">
        <f t="shared" si="68"/>
        <v>0.39930000000000021</v>
      </c>
      <c r="W878" s="267">
        <f t="shared" si="69"/>
        <v>0.40793805149248397</v>
      </c>
      <c r="X878" s="271">
        <f>IFERROR(INDEX(Rainfall_Dry!$O$2:$O$217,MATCH(B878, Rainfall_Dry!$A$2:$A$217,0)),"")</f>
        <v>171.84818423999999</v>
      </c>
      <c r="Y878" s="260">
        <v>29.076539101497506</v>
      </c>
      <c r="Z878" s="260">
        <v>7.1963394342762079</v>
      </c>
      <c r="AA878" s="260">
        <v>63.727121464226286</v>
      </c>
      <c r="AB878" s="260" t="s">
        <v>2670</v>
      </c>
      <c r="AC878" s="260">
        <v>1.0994578610152781</v>
      </c>
      <c r="AD878">
        <f>IF('WetLitterbags placem_collection'!AB219="","",'WetLitterbags placem_collection'!AB219)</f>
        <v>13.8</v>
      </c>
      <c r="AE878">
        <f>IF('WetLitterbags placem_collection'!Z219="","",'WetLitterbags placem_collection'!Z219)</f>
        <v>17.399999999999999</v>
      </c>
      <c r="AF878" s="246" t="str">
        <f>IF('WetLitterbags placem_collection'!AA219="","",'WetLitterbags placem_collection'!AA219)</f>
        <v>O</v>
      </c>
      <c r="AG878">
        <f>IF('WetLitterbags placem_collection'!AC219="","",'WetLitterbags placem_collection'!AC219)</f>
        <v>1</v>
      </c>
      <c r="AH878">
        <f>IFERROR(AVERAGE('Dry_Litterbag Placem_Collection'!O219,'Dry_Litterbag Placem_Collection'!R219),"")</f>
        <v>7.1999999999999993</v>
      </c>
      <c r="AI878" s="271">
        <f>IFERROR(AVERAGE('Dry_Litterbag Placem_Collection'!N219,'Dry_Litterbag Placem_Collection'!Q219),"")</f>
        <v>31.25</v>
      </c>
      <c r="AJ878">
        <v>-2.439403972</v>
      </c>
      <c r="AK878">
        <v>34.838404959999998</v>
      </c>
      <c r="AL878" s="270" t="str">
        <f>IF(ISNUMBER(SEARCH("C", 'Dry_Litterbag Placem_Collection'!V219)),"YES","NO")</f>
        <v>NO</v>
      </c>
      <c r="AM878" s="270" t="str">
        <f>IF(ISNUMBER(SEARCH("H", 'Dry_Litterbag Placem_Collection'!V219)),"YES","NO")</f>
        <v>NO</v>
      </c>
      <c r="AN878" s="270" t="str">
        <f>IF(ISNUMBER(SEARCH("R", 'Dry_Litterbag Placem_Collection'!V219)),"YES","NO")</f>
        <v>NO</v>
      </c>
    </row>
    <row r="879" spans="1:40" ht="15" customHeight="1">
      <c r="A879" s="262" t="s">
        <v>2659</v>
      </c>
      <c r="B879" s="263">
        <f>'Dry_Litterbag Placem_Collection'!A220</f>
        <v>218</v>
      </c>
      <c r="C879" s="263" t="str">
        <f>'Dry_Litterbag Placem_Collection'!B220</f>
        <v>Seronera</v>
      </c>
      <c r="D879" s="263" t="s">
        <v>2662</v>
      </c>
      <c r="E879" s="263" t="s">
        <v>2526</v>
      </c>
      <c r="F879" s="263">
        <v>2</v>
      </c>
      <c r="G879" s="264" t="str">
        <f>'Dry_Litterbag Placem_Collection'!C220</f>
        <v>Local2_CG2</v>
      </c>
      <c r="H879" s="273" t="s">
        <v>3651</v>
      </c>
      <c r="I879" s="274" t="s">
        <v>298</v>
      </c>
      <c r="J879" s="263" t="str">
        <f>IF(ISBLANK('Dry_Litterbag Placem_Collection'!M220),"","R"&amp;""&amp;'Dry_Litterbag Placem_Collection'!M220)</f>
        <v>R639</v>
      </c>
      <c r="K879" s="267">
        <f>IFERROR(INDEX('Green_rooibos initial weight'!$C$5:$C$1749,MATCH(J879, 'Green_rooibos initial weight'!$A$5:$A$1749,0)),"")</f>
        <v>2.0840000000000001</v>
      </c>
      <c r="L879" s="267">
        <f>IFERROR(K879-(TBIcalc!$Q$9+TBIcalc!$Q$10),"")</f>
        <v>1.8342000000000001</v>
      </c>
      <c r="M879" s="391">
        <f>AVERAGE(Ashed_controlls!$K$12:$K$14)</f>
        <v>2.2816647271287041</v>
      </c>
      <c r="N879" s="267">
        <f t="shared" si="66"/>
        <v>1.7923497055750053</v>
      </c>
      <c r="O879" s="267">
        <f>IF(IFERROR(INDEX('Both teabags AfterDry'!$D$3:$D$900,MATCH(J879,'Both teabags AfterDry'!$A$3:$A$900,0)),"")="","",(IFERROR(INDEX('Both teabags AfterDry'!$D$3:$D$900,MATCH(J879,'Both teabags AfterDry'!$A$3:$A$900,0)),"")))</f>
        <v>1.6519999999999999</v>
      </c>
      <c r="P879" s="267">
        <f>IFERROR(IF(O879&gt;0,O879-(TBIcalc!$Q$9),""),"")</f>
        <v>1.5013999999999998</v>
      </c>
      <c r="Q879" s="278">
        <f>IFERROR(INDEX('Ashed teabags dry'!$K$2:$K$825,MATCH(J879,'Ashed teabags dry'!$A$2:$A$825,0)),"")</f>
        <v>4.9473202015572753</v>
      </c>
      <c r="R879" s="278">
        <f t="shared" si="67"/>
        <v>1.4271209344938189</v>
      </c>
      <c r="S879" s="268">
        <f>'Dry_Litterbag Placem_Collection'!E220</f>
        <v>42942</v>
      </c>
      <c r="T879" s="268">
        <f>IF('Dry_Litterbag Placem_Collection'!G220="","",'Dry_Litterbag Placem_Collection'!G220)</f>
        <v>43004</v>
      </c>
      <c r="U879" s="269">
        <f t="shared" si="65"/>
        <v>62</v>
      </c>
      <c r="V879" s="267">
        <f t="shared" si="68"/>
        <v>0.33280000000000021</v>
      </c>
      <c r="W879" s="267">
        <f t="shared" si="69"/>
        <v>0.36522877108118634</v>
      </c>
      <c r="X879" s="271">
        <f>IFERROR(INDEX(Rainfall_Dry!$O$2:$O$217,MATCH(B879, Rainfall_Dry!$A$2:$A$217,0)),"")</f>
        <v>171.84818423999999</v>
      </c>
      <c r="Y879" s="260">
        <v>21.072635135135137</v>
      </c>
      <c r="Z879" s="260">
        <v>7.3057432432432412</v>
      </c>
      <c r="AA879" s="260">
        <v>71.621621621621614</v>
      </c>
      <c r="AB879" s="260" t="s">
        <v>2670</v>
      </c>
      <c r="AC879" s="260">
        <v>1.4512074913750617</v>
      </c>
      <c r="AD879">
        <f>IF('WetLitterbags placem_collection'!AB220="","",'WetLitterbags placem_collection'!AB220)</f>
        <v>5.13</v>
      </c>
      <c r="AE879">
        <f>IF('WetLitterbags placem_collection'!Z220="","",'WetLitterbags placem_collection'!Z220)</f>
        <v>5.13</v>
      </c>
      <c r="AF879" s="246" t="str">
        <f>IF('WetLitterbags placem_collection'!AA220="","",'WetLitterbags placem_collection'!AA220)</f>
        <v>O</v>
      </c>
      <c r="AG879">
        <f>IF('WetLitterbags placem_collection'!AC220="","",'WetLitterbags placem_collection'!AC220)</f>
        <v>1</v>
      </c>
      <c r="AH879">
        <f>IFERROR(AVERAGE('Dry_Litterbag Placem_Collection'!O220,'Dry_Litterbag Placem_Collection'!R220),"")</f>
        <v>6.45</v>
      </c>
      <c r="AI879" s="271">
        <f>IFERROR(AVERAGE('Dry_Litterbag Placem_Collection'!N220,'Dry_Litterbag Placem_Collection'!Q220),"")</f>
        <v>29.15</v>
      </c>
      <c r="AJ879">
        <v>-2.4396450349999999</v>
      </c>
      <c r="AK879">
        <v>34.83836599</v>
      </c>
      <c r="AL879" s="270" t="str">
        <f>IF(ISNUMBER(SEARCH("C", 'Dry_Litterbag Placem_Collection'!V220)),"YES","NO")</f>
        <v>NO</v>
      </c>
      <c r="AM879" s="270" t="str">
        <f>IF(ISNUMBER(SEARCH("H", 'Dry_Litterbag Placem_Collection'!V220)),"YES","NO")</f>
        <v>NO</v>
      </c>
      <c r="AN879" s="270" t="str">
        <f>IF(ISNUMBER(SEARCH("R", 'Dry_Litterbag Placem_Collection'!V220)),"YES","NO")</f>
        <v>YES</v>
      </c>
    </row>
    <row r="880" spans="1:40" ht="15" customHeight="1">
      <c r="A880" s="262" t="s">
        <v>2659</v>
      </c>
      <c r="B880" s="263">
        <f>'Dry_Litterbag Placem_Collection'!A221</f>
        <v>219</v>
      </c>
      <c r="C880" s="263" t="str">
        <f>'Dry_Litterbag Placem_Collection'!B221</f>
        <v>Seronera</v>
      </c>
      <c r="D880" s="263" t="s">
        <v>2662</v>
      </c>
      <c r="E880" s="263" t="s">
        <v>2526</v>
      </c>
      <c r="F880" s="263">
        <v>3</v>
      </c>
      <c r="G880" s="264" t="str">
        <f>'Dry_Litterbag Placem_Collection'!C221</f>
        <v>Local3_CG3</v>
      </c>
      <c r="H880" s="273" t="s">
        <v>3651</v>
      </c>
      <c r="I880" s="274" t="s">
        <v>298</v>
      </c>
      <c r="J880" s="263" t="str">
        <f>IF(ISBLANK('Dry_Litterbag Placem_Collection'!M221),"","R"&amp;""&amp;'Dry_Litterbag Placem_Collection'!M221)</f>
        <v>R246</v>
      </c>
      <c r="K880" s="267">
        <f>IFERROR(INDEX('Green_rooibos initial weight'!$C$5:$C$1749,MATCH(J880, 'Green_rooibos initial weight'!$A$5:$A$1749,0)),"")</f>
        <v>2.2170000000000001</v>
      </c>
      <c r="L880" s="267">
        <f>IFERROR(K880-(TBIcalc!$Q$9+TBIcalc!$Q$10),"")</f>
        <v>1.9672000000000001</v>
      </c>
      <c r="M880" s="391">
        <f>AVERAGE(Ashed_controlls!$K$12:$K$14)</f>
        <v>2.2816647271287041</v>
      </c>
      <c r="N880" s="267">
        <f t="shared" si="66"/>
        <v>1.9223150914879241</v>
      </c>
      <c r="O880" s="267">
        <f>IF(IFERROR(INDEX('Both teabags AfterDry'!$D$3:$D$900,MATCH(J880,'Both teabags AfterDry'!$A$3:$A$900,0)),"")="","",(IFERROR(INDEX('Both teabags AfterDry'!$D$3:$D$900,MATCH(J880,'Both teabags AfterDry'!$A$3:$A$900,0)),"")))</f>
        <v>1.639</v>
      </c>
      <c r="P880" s="267">
        <f>IFERROR(IF(O880&gt;0,O880-(TBIcalc!$Q$9),""),"")</f>
        <v>1.4883999999999999</v>
      </c>
      <c r="Q880" s="278">
        <f>IFERROR(INDEX('Ashed teabags dry'!$K$2:$K$825,MATCH(J880,'Ashed teabags dry'!$A$2:$A$825,0)),"")</f>
        <v>7.5489727663639679</v>
      </c>
      <c r="R880" s="278">
        <f t="shared" si="67"/>
        <v>1.3760410893454387</v>
      </c>
      <c r="S880" s="268">
        <f>'Dry_Litterbag Placem_Collection'!E221</f>
        <v>42942</v>
      </c>
      <c r="T880" s="268">
        <f>IF('Dry_Litterbag Placem_Collection'!G221="","",'Dry_Litterbag Placem_Collection'!G221)</f>
        <v>43004</v>
      </c>
      <c r="U880" s="269">
        <f t="shared" si="65"/>
        <v>62</v>
      </c>
      <c r="V880" s="267">
        <f t="shared" si="68"/>
        <v>0.47880000000000011</v>
      </c>
      <c r="W880" s="267">
        <f t="shared" si="69"/>
        <v>0.54627400214248545</v>
      </c>
      <c r="X880" s="271">
        <f>IFERROR(INDEX(Rainfall_Dry!$O$2:$O$217,MATCH(B880, Rainfall_Dry!$A$2:$A$217,0)),"")</f>
        <v>171.84818423999999</v>
      </c>
      <c r="Y880" s="260">
        <v>21.96</v>
      </c>
      <c r="Z880" s="260">
        <v>4.9199999999999982</v>
      </c>
      <c r="AA880" s="260">
        <v>73.12</v>
      </c>
      <c r="AB880" s="260" t="s">
        <v>2670</v>
      </c>
      <c r="AC880" s="260">
        <v>1.4012321340561851</v>
      </c>
      <c r="AD880">
        <f>IF('WetLitterbags placem_collection'!AB221="","",'WetLitterbags placem_collection'!AB221)</f>
        <v>7.9</v>
      </c>
      <c r="AE880">
        <f>IF('WetLitterbags placem_collection'!Z221="","",'WetLitterbags placem_collection'!Z221)</f>
        <v>7.9</v>
      </c>
      <c r="AF880" s="246" t="str">
        <f>IF('WetLitterbags placem_collection'!AA221="","",'WetLitterbags placem_collection'!AA221)</f>
        <v>O</v>
      </c>
      <c r="AG880">
        <f>IF('WetLitterbags placem_collection'!AC221="","",'WetLitterbags placem_collection'!AC221)</f>
        <v>1</v>
      </c>
      <c r="AH880">
        <f>IFERROR(AVERAGE('Dry_Litterbag Placem_Collection'!O221,'Dry_Litterbag Placem_Collection'!R221),"")</f>
        <v>5.75</v>
      </c>
      <c r="AI880" s="271">
        <f>IFERROR(AVERAGE('Dry_Litterbag Placem_Collection'!N221,'Dry_Litterbag Placem_Collection'!Q221),"")</f>
        <v>32.75</v>
      </c>
      <c r="AJ880">
        <v>-2.4395990190000001</v>
      </c>
      <c r="AK880">
        <v>34.838418959999998</v>
      </c>
      <c r="AL880" s="270" t="str">
        <f>IF(ISNUMBER(SEARCH("C", 'Dry_Litterbag Placem_Collection'!V221)),"YES","NO")</f>
        <v>NO</v>
      </c>
      <c r="AM880" s="270" t="str">
        <f>IF(ISNUMBER(SEARCH("H", 'Dry_Litterbag Placem_Collection'!V221)),"YES","NO")</f>
        <v>NO</v>
      </c>
      <c r="AN880" s="270" t="str">
        <f>IF(ISNUMBER(SEARCH("R", 'Dry_Litterbag Placem_Collection'!V221)),"YES","NO")</f>
        <v>NO</v>
      </c>
    </row>
    <row r="881" spans="1:40" ht="15" customHeight="1">
      <c r="A881" s="262" t="s">
        <v>2659</v>
      </c>
      <c r="B881" s="263">
        <f>'Dry_Litterbag Placem_Collection'!A222</f>
        <v>220</v>
      </c>
      <c r="C881" s="263" t="str">
        <f>'Dry_Litterbag Placem_Collection'!B222</f>
        <v>Seronera</v>
      </c>
      <c r="D881" s="263" t="s">
        <v>2662</v>
      </c>
      <c r="E881" s="263" t="s">
        <v>2526</v>
      </c>
      <c r="F881" s="263">
        <v>4</v>
      </c>
      <c r="G881" s="264" t="str">
        <f>'Dry_Litterbag Placem_Collection'!C222</f>
        <v>Local4_CG4</v>
      </c>
      <c r="H881" s="273" t="s">
        <v>3651</v>
      </c>
      <c r="I881" s="274" t="s">
        <v>298</v>
      </c>
      <c r="J881" s="263" t="str">
        <f>IF(ISBLANK('Dry_Litterbag Placem_Collection'!M222),"","R"&amp;""&amp;'Dry_Litterbag Placem_Collection'!M222)</f>
        <v>R672</v>
      </c>
      <c r="K881" s="267">
        <f>IFERROR(INDEX('Green_rooibos initial weight'!$C$5:$C$1749,MATCH(J881, 'Green_rooibos initial weight'!$A$5:$A$1749,0)),"")</f>
        <v>2.161</v>
      </c>
      <c r="L881" s="267">
        <f>IFERROR(K881-(TBIcalc!$Q$9+TBIcalc!$Q$10),"")</f>
        <v>1.9112</v>
      </c>
      <c r="M881" s="391">
        <f>AVERAGE(Ashed_controlls!$K$12:$K$14)</f>
        <v>2.2816647271287041</v>
      </c>
      <c r="N881" s="267">
        <f t="shared" si="66"/>
        <v>1.8675928237351163</v>
      </c>
      <c r="O881" s="267" t="str">
        <f>IF(IFERROR(INDEX('Both teabags AfterDry'!$D$3:$D$900,MATCH(J881,'Both teabags AfterDry'!$A$3:$A$900,0)),"")="","",(IFERROR(INDEX('Both teabags AfterDry'!$D$3:$D$900,MATCH(J881,'Both teabags AfterDry'!$A$3:$A$900,0)),"")))</f>
        <v/>
      </c>
      <c r="P881" s="267" t="str">
        <f>IFERROR(IF(O881&gt;0,O881-(TBIcalc!$Q$9),""),"")</f>
        <v/>
      </c>
      <c r="Q881" s="278" t="str">
        <f>IFERROR(INDEX('Ashed teabags dry'!$K$2:$K$825,MATCH(J881,'Ashed teabags dry'!$A$2:$A$825,0)),"")</f>
        <v/>
      </c>
      <c r="R881" s="278" t="str">
        <f t="shared" si="67"/>
        <v/>
      </c>
      <c r="S881" s="268">
        <f>'Dry_Litterbag Placem_Collection'!E222</f>
        <v>42942</v>
      </c>
      <c r="T881" s="268">
        <f>IF('Dry_Litterbag Placem_Collection'!G222="","",'Dry_Litterbag Placem_Collection'!G222)</f>
        <v>43004</v>
      </c>
      <c r="U881" s="269">
        <f t="shared" si="65"/>
        <v>62</v>
      </c>
      <c r="V881" s="267" t="str">
        <f t="shared" si="68"/>
        <v/>
      </c>
      <c r="W881" s="267" t="str">
        <f t="shared" si="69"/>
        <v/>
      </c>
      <c r="X881" s="271">
        <f>IFERROR(INDEX(Rainfall_Dry!$O$2:$O$217,MATCH(B881, Rainfall_Dry!$A$2:$A$217,0)),"")</f>
        <v>171.84818423999999</v>
      </c>
      <c r="Y881" s="260">
        <v>15.960000000000003</v>
      </c>
      <c r="Z881" s="260">
        <v>6.9199999999999982</v>
      </c>
      <c r="AA881" s="260">
        <v>77.11999999999999</v>
      </c>
      <c r="AB881" s="260" t="s">
        <v>2671</v>
      </c>
      <c r="AC881" s="260">
        <v>0.60547067520946207</v>
      </c>
      <c r="AD881">
        <f>IF('WetLitterbags placem_collection'!AB222="","",'WetLitterbags placem_collection'!AB222)</f>
        <v>15.2</v>
      </c>
      <c r="AE881">
        <f>IF('WetLitterbags placem_collection'!Z222="","",'WetLitterbags placem_collection'!Z222)</f>
        <v>12.2</v>
      </c>
      <c r="AF881" s="246" t="str">
        <f>IF('WetLitterbags placem_collection'!AA222="","",'WetLitterbags placem_collection'!AA222)</f>
        <v>O</v>
      </c>
      <c r="AG881">
        <f>IF('WetLitterbags placem_collection'!AC222="","",'WetLitterbags placem_collection'!AC222)</f>
        <v>1</v>
      </c>
      <c r="AH881">
        <f>IFERROR(AVERAGE('Dry_Litterbag Placem_Collection'!O222,'Dry_Litterbag Placem_Collection'!R222),"")</f>
        <v>5.3</v>
      </c>
      <c r="AI881" s="271">
        <f>IFERROR(AVERAGE('Dry_Litterbag Placem_Collection'!N222,'Dry_Litterbag Placem_Collection'!Q222),"")</f>
        <v>33.65</v>
      </c>
      <c r="AJ881">
        <v>-2.4396949910000001</v>
      </c>
      <c r="AK881">
        <v>34.838574029999997</v>
      </c>
      <c r="AL881" s="270" t="str">
        <f>IF(ISNUMBER(SEARCH("C", 'Dry_Litterbag Placem_Collection'!V222)),"YES","NO")</f>
        <v>NO</v>
      </c>
      <c r="AM881" s="270" t="str">
        <f>IF(ISNUMBER(SEARCH("H", 'Dry_Litterbag Placem_Collection'!V222)),"YES","NO")</f>
        <v>NO</v>
      </c>
      <c r="AN881" s="270" t="str">
        <f>IF(ISNUMBER(SEARCH("R", 'Dry_Litterbag Placem_Collection'!V222)),"YES","NO")</f>
        <v>NO</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8591D-DF60-40BD-9286-84D46089340B}">
  <dimension ref="A1:X222"/>
  <sheetViews>
    <sheetView zoomScale="115" zoomScaleNormal="115" workbookViewId="0">
      <pane xSplit="1" ySplit="2" topLeftCell="B186" activePane="bottomRight" state="frozen"/>
      <selection pane="topRight" activeCell="B1" sqref="B1"/>
      <selection pane="bottomLeft" activeCell="A3" sqref="A3"/>
      <selection pane="bottomRight" activeCell="C99" sqref="C99"/>
    </sheetView>
  </sheetViews>
  <sheetFormatPr baseColWidth="10" defaultColWidth="11.44140625" defaultRowHeight="14.4"/>
  <cols>
    <col min="1" max="1" width="4.5546875" customWidth="1"/>
    <col min="16" max="16" width="25.88671875" customWidth="1"/>
    <col min="23" max="23" width="24" customWidth="1"/>
  </cols>
  <sheetData>
    <row r="1" spans="1:23">
      <c r="A1" s="406" t="s">
        <v>2154</v>
      </c>
      <c r="B1" s="410"/>
      <c r="C1" s="410"/>
      <c r="D1" s="407"/>
      <c r="E1" s="406" t="s">
        <v>2155</v>
      </c>
      <c r="F1" s="407"/>
      <c r="G1" s="406" t="s">
        <v>2156</v>
      </c>
      <c r="H1" s="407"/>
      <c r="I1" s="117" t="s">
        <v>2157</v>
      </c>
      <c r="J1" s="406" t="s">
        <v>2158</v>
      </c>
      <c r="K1" s="410"/>
      <c r="L1" s="410"/>
      <c r="M1" s="407"/>
      <c r="N1" s="406" t="s">
        <v>2459</v>
      </c>
      <c r="O1" s="407"/>
      <c r="P1" s="408" t="s">
        <v>2527</v>
      </c>
      <c r="Q1" s="406" t="s">
        <v>2458</v>
      </c>
      <c r="R1" s="407"/>
      <c r="S1" s="411" t="s">
        <v>3522</v>
      </c>
      <c r="T1" s="412"/>
      <c r="U1" s="412"/>
      <c r="V1" s="413"/>
      <c r="W1" s="408" t="s">
        <v>2528</v>
      </c>
    </row>
    <row r="2" spans="1:23">
      <c r="A2" s="118" t="s">
        <v>2164</v>
      </c>
      <c r="B2" s="119" t="s">
        <v>2165</v>
      </c>
      <c r="C2" s="119" t="s">
        <v>2166</v>
      </c>
      <c r="D2" s="119" t="s">
        <v>2167</v>
      </c>
      <c r="E2" s="117" t="s">
        <v>1141</v>
      </c>
      <c r="F2" s="117" t="s">
        <v>2168</v>
      </c>
      <c r="G2" s="117" t="s">
        <v>1141</v>
      </c>
      <c r="H2" s="117" t="s">
        <v>2168</v>
      </c>
      <c r="I2" s="117" t="s">
        <v>2169</v>
      </c>
      <c r="J2" s="117" t="s">
        <v>1147</v>
      </c>
      <c r="K2" s="117" t="s">
        <v>298</v>
      </c>
      <c r="L2" s="117" t="s">
        <v>2170</v>
      </c>
      <c r="M2" s="117" t="s">
        <v>2171</v>
      </c>
      <c r="N2" s="118" t="s">
        <v>2172</v>
      </c>
      <c r="O2" s="118" t="s">
        <v>2173</v>
      </c>
      <c r="P2" s="409"/>
      <c r="Q2" s="118" t="s">
        <v>2172</v>
      </c>
      <c r="R2" s="118" t="s">
        <v>2173</v>
      </c>
      <c r="S2" s="253" t="s">
        <v>1147</v>
      </c>
      <c r="T2" s="253" t="s">
        <v>298</v>
      </c>
      <c r="U2" s="253" t="s">
        <v>2174</v>
      </c>
      <c r="V2" s="253" t="s">
        <v>2171</v>
      </c>
      <c r="W2" s="409"/>
    </row>
    <row r="3" spans="1:23">
      <c r="A3" s="121">
        <v>1</v>
      </c>
      <c r="B3" s="185" t="s">
        <v>2176</v>
      </c>
      <c r="C3" s="185" t="s">
        <v>2177</v>
      </c>
      <c r="D3" s="122" t="s">
        <v>2178</v>
      </c>
      <c r="E3" s="124">
        <v>42938</v>
      </c>
      <c r="F3" s="125"/>
      <c r="G3" s="124">
        <v>43007</v>
      </c>
      <c r="H3" s="125">
        <v>0.35694444444444445</v>
      </c>
      <c r="I3" s="121">
        <v>1250</v>
      </c>
      <c r="J3" s="123">
        <v>407</v>
      </c>
      <c r="K3" s="123">
        <v>811</v>
      </c>
      <c r="L3" s="123">
        <v>377</v>
      </c>
      <c r="M3" s="123">
        <v>204</v>
      </c>
      <c r="N3" s="123">
        <v>26.4</v>
      </c>
      <c r="O3" s="123">
        <v>4</v>
      </c>
      <c r="P3" s="123" t="s">
        <v>2512</v>
      </c>
      <c r="Q3" s="252">
        <v>27.4</v>
      </c>
      <c r="R3" s="127">
        <v>3.6</v>
      </c>
      <c r="S3" s="127" t="s">
        <v>2179</v>
      </c>
      <c r="T3" s="127" t="s">
        <v>2179</v>
      </c>
      <c r="U3" s="127" t="s">
        <v>2187</v>
      </c>
      <c r="V3" s="127"/>
      <c r="W3" s="123"/>
    </row>
    <row r="4" spans="1:23">
      <c r="A4" s="121">
        <v>2</v>
      </c>
      <c r="B4" s="185" t="s">
        <v>2176</v>
      </c>
      <c r="C4" s="185" t="s">
        <v>2183</v>
      </c>
      <c r="D4" s="122" t="s">
        <v>2178</v>
      </c>
      <c r="E4" s="123"/>
      <c r="F4" s="123"/>
      <c r="G4" s="125"/>
      <c r="H4" s="125"/>
      <c r="I4" s="123">
        <v>855</v>
      </c>
      <c r="J4" s="123"/>
      <c r="K4" s="123"/>
      <c r="L4" s="123"/>
      <c r="M4" s="123"/>
      <c r="N4" s="123"/>
      <c r="O4" s="123"/>
      <c r="P4" s="123"/>
      <c r="Q4" s="123"/>
      <c r="R4" s="123"/>
      <c r="S4" s="123"/>
      <c r="T4" s="123"/>
      <c r="U4" s="123"/>
      <c r="V4" s="123"/>
      <c r="W4" s="123"/>
    </row>
    <row r="5" spans="1:23">
      <c r="A5" s="121">
        <v>3</v>
      </c>
      <c r="B5" s="185" t="s">
        <v>2176</v>
      </c>
      <c r="C5" s="185" t="s">
        <v>2184</v>
      </c>
      <c r="D5" s="122" t="s">
        <v>2178</v>
      </c>
      <c r="E5" s="124">
        <v>42938</v>
      </c>
      <c r="F5" s="125">
        <v>0.3125</v>
      </c>
      <c r="G5" s="124">
        <v>43007</v>
      </c>
      <c r="H5" s="125" t="s">
        <v>3531</v>
      </c>
      <c r="I5" s="132">
        <v>1249</v>
      </c>
      <c r="J5" s="123">
        <v>259</v>
      </c>
      <c r="K5" s="123">
        <v>742</v>
      </c>
      <c r="L5" s="123">
        <v>44</v>
      </c>
      <c r="M5" s="123">
        <v>283</v>
      </c>
      <c r="N5" s="127">
        <v>23.9</v>
      </c>
      <c r="O5" s="123">
        <v>2.9</v>
      </c>
      <c r="P5" s="123" t="s">
        <v>2512</v>
      </c>
      <c r="Q5" s="123">
        <v>26.1</v>
      </c>
      <c r="R5" s="123">
        <v>3.7</v>
      </c>
      <c r="S5" s="123" t="s">
        <v>2195</v>
      </c>
      <c r="T5" s="123" t="s">
        <v>2195</v>
      </c>
      <c r="U5" s="123" t="s">
        <v>2187</v>
      </c>
      <c r="V5" s="123"/>
      <c r="W5" s="123"/>
    </row>
    <row r="6" spans="1:23">
      <c r="A6" s="121">
        <v>4</v>
      </c>
      <c r="B6" s="185" t="s">
        <v>2176</v>
      </c>
      <c r="C6" s="185" t="s">
        <v>2186</v>
      </c>
      <c r="D6" s="122" t="s">
        <v>2178</v>
      </c>
      <c r="E6" s="124">
        <v>42938</v>
      </c>
      <c r="F6" s="125">
        <v>0.30902777777777779</v>
      </c>
      <c r="G6" s="124">
        <v>43007</v>
      </c>
      <c r="H6" s="125">
        <v>0.35138888888888892</v>
      </c>
      <c r="I6" s="123">
        <v>857</v>
      </c>
      <c r="J6" s="123">
        <v>255</v>
      </c>
      <c r="K6" s="123">
        <v>661</v>
      </c>
      <c r="L6" s="123">
        <v>357</v>
      </c>
      <c r="M6" s="123">
        <v>298</v>
      </c>
      <c r="N6" s="127">
        <v>26.8</v>
      </c>
      <c r="O6" s="123">
        <v>1.3</v>
      </c>
      <c r="P6" s="123" t="s">
        <v>2512</v>
      </c>
      <c r="Q6" s="123">
        <v>27.9</v>
      </c>
      <c r="R6" s="123">
        <v>3.2</v>
      </c>
      <c r="S6" s="123"/>
      <c r="T6" s="123" t="s">
        <v>2179</v>
      </c>
      <c r="U6" s="123"/>
      <c r="V6" s="123"/>
      <c r="W6" s="123"/>
    </row>
    <row r="7" spans="1:23">
      <c r="A7" s="121">
        <v>5</v>
      </c>
      <c r="B7" s="185" t="s">
        <v>2176</v>
      </c>
      <c r="C7" s="185" t="s">
        <v>2189</v>
      </c>
      <c r="D7" s="122" t="s">
        <v>2178</v>
      </c>
      <c r="E7" s="124">
        <v>42938</v>
      </c>
      <c r="F7" s="125">
        <v>0.3125</v>
      </c>
      <c r="G7" s="123"/>
      <c r="H7" s="123"/>
      <c r="I7" s="123">
        <v>858</v>
      </c>
      <c r="J7" s="123">
        <v>122</v>
      </c>
      <c r="K7" s="123">
        <v>724</v>
      </c>
      <c r="L7" s="164">
        <v>734</v>
      </c>
      <c r="M7" s="123">
        <v>226</v>
      </c>
      <c r="N7" s="123">
        <v>26.7</v>
      </c>
      <c r="O7" s="127">
        <v>3.2</v>
      </c>
      <c r="P7" s="123" t="s">
        <v>2512</v>
      </c>
      <c r="Q7" s="123"/>
      <c r="R7" s="123"/>
      <c r="S7" s="123"/>
      <c r="T7" s="123"/>
      <c r="U7" s="123"/>
      <c r="V7" s="123"/>
      <c r="W7" s="123" t="s">
        <v>3524</v>
      </c>
    </row>
    <row r="8" spans="1:23">
      <c r="A8" s="121">
        <v>6</v>
      </c>
      <c r="B8" s="185" t="s">
        <v>2176</v>
      </c>
      <c r="C8" s="185" t="s">
        <v>2190</v>
      </c>
      <c r="D8" s="122" t="s">
        <v>2178</v>
      </c>
      <c r="E8" s="124">
        <v>42938</v>
      </c>
      <c r="F8" s="125">
        <v>0.30555555555555552</v>
      </c>
      <c r="G8" s="124">
        <v>43007</v>
      </c>
      <c r="H8" s="125">
        <v>0.34791666666666665</v>
      </c>
      <c r="I8" s="123">
        <v>859</v>
      </c>
      <c r="J8" s="123">
        <v>478</v>
      </c>
      <c r="K8" s="123">
        <v>688</v>
      </c>
      <c r="L8" s="123">
        <v>164</v>
      </c>
      <c r="M8" s="123">
        <v>286</v>
      </c>
      <c r="N8" s="123">
        <v>26.6</v>
      </c>
      <c r="O8" s="123">
        <v>6.5</v>
      </c>
      <c r="P8" s="123" t="s">
        <v>2512</v>
      </c>
      <c r="Q8" s="123">
        <v>26.6</v>
      </c>
      <c r="R8" s="123">
        <v>4.2</v>
      </c>
      <c r="S8" s="123"/>
      <c r="T8" s="123"/>
      <c r="U8" s="123"/>
      <c r="V8" s="123"/>
      <c r="W8" s="123" t="s">
        <v>3525</v>
      </c>
    </row>
    <row r="9" spans="1:23">
      <c r="A9" s="121">
        <v>7</v>
      </c>
      <c r="B9" s="185" t="s">
        <v>2176</v>
      </c>
      <c r="C9" s="185" t="s">
        <v>2191</v>
      </c>
      <c r="D9" s="122" t="s">
        <v>2178</v>
      </c>
      <c r="E9" s="124">
        <v>42938</v>
      </c>
      <c r="F9" s="125">
        <v>0.30208333333333331</v>
      </c>
      <c r="G9" s="124">
        <v>43007</v>
      </c>
      <c r="H9" s="125">
        <v>0.35833333333333334</v>
      </c>
      <c r="I9" s="164">
        <v>860</v>
      </c>
      <c r="J9" s="123">
        <v>106</v>
      </c>
      <c r="K9" s="123">
        <v>762</v>
      </c>
      <c r="L9" s="123">
        <v>776</v>
      </c>
      <c r="M9" s="123">
        <v>210</v>
      </c>
      <c r="N9" s="123">
        <v>23.3</v>
      </c>
      <c r="O9" s="123">
        <v>2.2000000000000002</v>
      </c>
      <c r="P9" s="123" t="s">
        <v>2512</v>
      </c>
      <c r="Q9" s="123">
        <v>26.2</v>
      </c>
      <c r="R9" s="123">
        <v>3.7</v>
      </c>
      <c r="S9" s="192" t="s">
        <v>2179</v>
      </c>
      <c r="T9" s="123" t="s">
        <v>3523</v>
      </c>
      <c r="U9" s="123"/>
      <c r="V9" s="123"/>
      <c r="W9" s="123"/>
    </row>
    <row r="10" spans="1:23">
      <c r="A10" s="121">
        <v>8</v>
      </c>
      <c r="B10" s="185" t="s">
        <v>2176</v>
      </c>
      <c r="C10" s="185" t="s">
        <v>2192</v>
      </c>
      <c r="D10" s="122" t="s">
        <v>2178</v>
      </c>
      <c r="E10" s="124">
        <v>42938</v>
      </c>
      <c r="F10" s="125">
        <v>0.30555555555555552</v>
      </c>
      <c r="G10" s="124">
        <v>43007</v>
      </c>
      <c r="H10" s="125">
        <v>0.36041666666666666</v>
      </c>
      <c r="I10" s="123">
        <v>861</v>
      </c>
      <c r="J10" s="123">
        <v>228</v>
      </c>
      <c r="K10" s="123">
        <v>727</v>
      </c>
      <c r="L10" s="123">
        <v>23</v>
      </c>
      <c r="M10" s="123">
        <v>213</v>
      </c>
      <c r="N10" s="123">
        <v>25.6</v>
      </c>
      <c r="O10" s="123">
        <v>2.4</v>
      </c>
      <c r="P10" s="123" t="s">
        <v>2512</v>
      </c>
      <c r="Q10" s="123">
        <v>26.4</v>
      </c>
      <c r="R10" s="123">
        <v>2.8</v>
      </c>
      <c r="S10" s="123" t="s">
        <v>2187</v>
      </c>
      <c r="T10" s="123"/>
      <c r="U10" s="123" t="s">
        <v>2187</v>
      </c>
      <c r="V10" s="123"/>
      <c r="W10" s="123"/>
    </row>
    <row r="11" spans="1:23">
      <c r="A11" s="121">
        <v>9</v>
      </c>
      <c r="B11" s="185" t="s">
        <v>2176</v>
      </c>
      <c r="C11" s="185" t="s">
        <v>2193</v>
      </c>
      <c r="D11" s="122" t="s">
        <v>2194</v>
      </c>
      <c r="E11" s="124">
        <v>42938</v>
      </c>
      <c r="F11" s="125">
        <v>0.33333333333333331</v>
      </c>
      <c r="G11" s="124">
        <v>43007</v>
      </c>
      <c r="H11" s="125">
        <v>0.37361111111111112</v>
      </c>
      <c r="I11" s="123">
        <v>862</v>
      </c>
      <c r="J11" s="123">
        <v>277</v>
      </c>
      <c r="K11" s="123">
        <v>785</v>
      </c>
      <c r="L11" s="123">
        <v>570</v>
      </c>
      <c r="M11" s="123">
        <v>704</v>
      </c>
      <c r="N11" s="123">
        <v>25.6</v>
      </c>
      <c r="O11" s="123">
        <v>3.5</v>
      </c>
      <c r="P11" s="123" t="s">
        <v>2512</v>
      </c>
      <c r="Q11" s="123">
        <v>26.7</v>
      </c>
      <c r="R11" s="123">
        <v>3.1</v>
      </c>
      <c r="S11" s="123" t="s">
        <v>2195</v>
      </c>
      <c r="T11" s="123" t="s">
        <v>2319</v>
      </c>
      <c r="U11" s="123"/>
      <c r="V11" s="123"/>
      <c r="W11" s="123" t="s">
        <v>3526</v>
      </c>
    </row>
    <row r="12" spans="1:23">
      <c r="A12" s="121">
        <v>10</v>
      </c>
      <c r="B12" s="185" t="s">
        <v>2176</v>
      </c>
      <c r="C12" s="185" t="s">
        <v>2196</v>
      </c>
      <c r="D12" s="122" t="s">
        <v>2194</v>
      </c>
      <c r="E12" s="124">
        <v>42938</v>
      </c>
      <c r="F12" s="125">
        <v>0.3298611111111111</v>
      </c>
      <c r="G12" s="124"/>
      <c r="H12" s="125"/>
      <c r="I12" s="123">
        <v>863</v>
      </c>
      <c r="J12" s="123">
        <v>310</v>
      </c>
      <c r="K12" s="123">
        <v>747</v>
      </c>
      <c r="L12" s="123">
        <v>642</v>
      </c>
      <c r="M12" s="123">
        <v>355</v>
      </c>
      <c r="N12" s="123">
        <v>26.1</v>
      </c>
      <c r="O12" s="123">
        <v>1.5</v>
      </c>
      <c r="P12" s="123" t="s">
        <v>2512</v>
      </c>
      <c r="Q12" s="123"/>
      <c r="R12" s="92"/>
      <c r="S12" s="92"/>
      <c r="T12" s="92"/>
      <c r="U12" s="92"/>
      <c r="V12" s="92"/>
      <c r="W12" s="123" t="s">
        <v>3527</v>
      </c>
    </row>
    <row r="13" spans="1:23">
      <c r="A13" s="121">
        <v>11</v>
      </c>
      <c r="B13" s="185" t="s">
        <v>2176</v>
      </c>
      <c r="C13" s="185" t="s">
        <v>2197</v>
      </c>
      <c r="D13" s="122" t="s">
        <v>2194</v>
      </c>
      <c r="E13" s="124">
        <v>42938</v>
      </c>
      <c r="F13" s="125">
        <v>0.3263888888888889</v>
      </c>
      <c r="G13" s="124">
        <v>43007</v>
      </c>
      <c r="H13" s="125">
        <v>0.36805555555555558</v>
      </c>
      <c r="I13" s="123">
        <v>864</v>
      </c>
      <c r="J13" s="123">
        <v>435</v>
      </c>
      <c r="K13" s="129">
        <v>748</v>
      </c>
      <c r="L13" s="123">
        <v>663</v>
      </c>
      <c r="M13" s="123">
        <v>616</v>
      </c>
      <c r="N13" s="123">
        <v>26.1</v>
      </c>
      <c r="O13" s="123">
        <v>6</v>
      </c>
      <c r="P13" s="123" t="s">
        <v>2512</v>
      </c>
      <c r="Q13" s="123">
        <v>26.8</v>
      </c>
      <c r="R13" s="123">
        <v>4.5999999999999996</v>
      </c>
      <c r="S13" s="123" t="s">
        <v>2195</v>
      </c>
      <c r="T13" s="123" t="s">
        <v>2195</v>
      </c>
      <c r="U13" s="123"/>
      <c r="V13" s="123"/>
      <c r="W13" s="123"/>
    </row>
    <row r="14" spans="1:23">
      <c r="A14" s="121">
        <v>12</v>
      </c>
      <c r="B14" s="185" t="s">
        <v>2176</v>
      </c>
      <c r="C14" s="185" t="s">
        <v>2198</v>
      </c>
      <c r="D14" s="122" t="s">
        <v>2194</v>
      </c>
      <c r="E14" s="124"/>
      <c r="F14" s="123"/>
      <c r="G14" s="124"/>
      <c r="H14" s="125"/>
      <c r="I14" s="186">
        <v>865</v>
      </c>
      <c r="J14" s="123"/>
      <c r="K14" s="123"/>
      <c r="L14" s="123"/>
      <c r="M14" s="123"/>
      <c r="N14" s="123"/>
      <c r="O14" s="123"/>
      <c r="P14" s="123"/>
      <c r="Q14" s="123"/>
      <c r="W14" s="123"/>
    </row>
    <row r="15" spans="1:23">
      <c r="A15" s="121">
        <v>13</v>
      </c>
      <c r="B15" s="185" t="s">
        <v>2176</v>
      </c>
      <c r="C15" s="185" t="s">
        <v>2199</v>
      </c>
      <c r="D15" s="122" t="s">
        <v>2194</v>
      </c>
      <c r="E15" s="124">
        <v>42938</v>
      </c>
      <c r="F15" s="125">
        <v>0.33680555555555558</v>
      </c>
      <c r="G15" s="124">
        <v>43007</v>
      </c>
      <c r="H15" s="125">
        <v>0.3756944444444445</v>
      </c>
      <c r="I15" s="123">
        <v>866</v>
      </c>
      <c r="J15" s="123">
        <v>2</v>
      </c>
      <c r="K15" s="123">
        <v>784</v>
      </c>
      <c r="L15" s="123">
        <v>874</v>
      </c>
      <c r="M15" s="123">
        <v>603</v>
      </c>
      <c r="N15" s="123">
        <v>25.7</v>
      </c>
      <c r="O15" s="123">
        <v>5.8</v>
      </c>
      <c r="P15" s="123" t="s">
        <v>2513</v>
      </c>
      <c r="Q15" s="123">
        <v>26.5</v>
      </c>
      <c r="R15" s="123">
        <v>3.8</v>
      </c>
      <c r="S15" s="123" t="s">
        <v>2319</v>
      </c>
      <c r="T15" s="123" t="s">
        <v>2238</v>
      </c>
      <c r="U15" s="123"/>
      <c r="V15" s="123"/>
      <c r="W15" s="123"/>
    </row>
    <row r="16" spans="1:23">
      <c r="A16" s="121">
        <v>14</v>
      </c>
      <c r="B16" s="185" t="s">
        <v>2176</v>
      </c>
      <c r="C16" s="185" t="s">
        <v>2201</v>
      </c>
      <c r="D16" s="122" t="s">
        <v>2194</v>
      </c>
      <c r="E16" s="124">
        <v>42938</v>
      </c>
      <c r="F16" s="125">
        <v>0.33333333333333331</v>
      </c>
      <c r="G16" s="124">
        <v>43007</v>
      </c>
      <c r="H16" s="125">
        <v>0.37847222222222227</v>
      </c>
      <c r="I16" s="123">
        <v>867</v>
      </c>
      <c r="J16" s="123">
        <v>225</v>
      </c>
      <c r="K16" s="123">
        <v>838</v>
      </c>
      <c r="L16" s="129">
        <v>219</v>
      </c>
      <c r="M16" s="123">
        <v>652</v>
      </c>
      <c r="N16" s="123">
        <v>25.3</v>
      </c>
      <c r="O16" s="123">
        <v>3.9</v>
      </c>
      <c r="P16" s="123" t="s">
        <v>2512</v>
      </c>
      <c r="Q16" s="123">
        <v>25.8</v>
      </c>
      <c r="R16" s="123">
        <v>2.9</v>
      </c>
      <c r="S16" s="123" t="s">
        <v>2179</v>
      </c>
      <c r="T16" s="123" t="s">
        <v>2238</v>
      </c>
      <c r="U16" s="123" t="s">
        <v>2187</v>
      </c>
      <c r="V16" s="123"/>
      <c r="W16" s="123"/>
    </row>
    <row r="17" spans="1:23">
      <c r="A17" s="121">
        <v>15</v>
      </c>
      <c r="B17" s="185" t="s">
        <v>2176</v>
      </c>
      <c r="C17" s="185" t="s">
        <v>2202</v>
      </c>
      <c r="D17" s="122" t="s">
        <v>2194</v>
      </c>
      <c r="E17" s="124">
        <v>42938</v>
      </c>
      <c r="F17" s="125">
        <v>0.3298611111111111</v>
      </c>
      <c r="G17" s="124">
        <v>43007</v>
      </c>
      <c r="H17" s="125">
        <v>0.37083333333333335</v>
      </c>
      <c r="I17" s="123">
        <v>868</v>
      </c>
      <c r="J17" s="123">
        <v>444</v>
      </c>
      <c r="K17" s="123">
        <v>793</v>
      </c>
      <c r="L17" s="123">
        <v>630</v>
      </c>
      <c r="M17" s="123">
        <v>304</v>
      </c>
      <c r="N17" s="123"/>
      <c r="O17" s="123">
        <v>3.3</v>
      </c>
      <c r="P17" s="123" t="s">
        <v>2512</v>
      </c>
      <c r="Q17" s="123">
        <v>28</v>
      </c>
      <c r="R17" s="123">
        <v>2.9</v>
      </c>
      <c r="S17" s="123" t="s">
        <v>2195</v>
      </c>
      <c r="T17" s="123" t="s">
        <v>2195</v>
      </c>
      <c r="U17" s="123"/>
      <c r="V17" s="123"/>
      <c r="W17" s="123"/>
    </row>
    <row r="18" spans="1:23">
      <c r="A18" s="121">
        <v>16</v>
      </c>
      <c r="B18" s="185" t="s">
        <v>2176</v>
      </c>
      <c r="C18" s="185" t="s">
        <v>2205</v>
      </c>
      <c r="D18" s="122" t="s">
        <v>2194</v>
      </c>
      <c r="E18" s="124">
        <v>42938</v>
      </c>
      <c r="F18" s="125">
        <v>0.3263888888888889</v>
      </c>
      <c r="G18" s="124">
        <v>43007</v>
      </c>
      <c r="H18" s="125">
        <v>0.36527777777777781</v>
      </c>
      <c r="I18" s="123">
        <v>869</v>
      </c>
      <c r="J18" s="123">
        <v>376</v>
      </c>
      <c r="K18" s="123">
        <v>755</v>
      </c>
      <c r="L18" s="123">
        <v>662</v>
      </c>
      <c r="M18" s="123">
        <v>687</v>
      </c>
      <c r="N18" s="123">
        <v>26.9</v>
      </c>
      <c r="O18" s="123">
        <v>9.8000000000000007</v>
      </c>
      <c r="P18" s="123" t="s">
        <v>2512</v>
      </c>
      <c r="Q18" s="123">
        <v>27.2</v>
      </c>
      <c r="R18" s="123">
        <v>8.6</v>
      </c>
      <c r="S18" s="123" t="s">
        <v>2195</v>
      </c>
      <c r="T18" s="123" t="s">
        <v>2195</v>
      </c>
      <c r="U18" s="123" t="s">
        <v>2187</v>
      </c>
      <c r="V18" s="123"/>
      <c r="W18" s="123" t="s">
        <v>3528</v>
      </c>
    </row>
    <row r="19" spans="1:23">
      <c r="A19" s="121">
        <v>17</v>
      </c>
      <c r="B19" s="185" t="s">
        <v>2176</v>
      </c>
      <c r="C19" s="185" t="s">
        <v>2207</v>
      </c>
      <c r="D19" s="122" t="s">
        <v>2208</v>
      </c>
      <c r="E19" s="124">
        <v>42936</v>
      </c>
      <c r="F19" s="125">
        <v>0.73611111111111116</v>
      </c>
      <c r="G19" s="124">
        <v>43007</v>
      </c>
      <c r="H19" s="125">
        <v>0.45277777777777778</v>
      </c>
      <c r="I19" s="123">
        <v>870</v>
      </c>
      <c r="J19" s="123">
        <v>209</v>
      </c>
      <c r="K19" s="123">
        <v>826</v>
      </c>
      <c r="L19" s="123">
        <v>349</v>
      </c>
      <c r="M19" s="123">
        <v>407</v>
      </c>
      <c r="N19" s="123">
        <v>25.9</v>
      </c>
      <c r="O19" s="123">
        <v>18.100000000000001</v>
      </c>
      <c r="P19" s="123" t="s">
        <v>2514</v>
      </c>
      <c r="Q19" s="123">
        <v>26.5</v>
      </c>
      <c r="R19" s="123">
        <v>7.7</v>
      </c>
      <c r="S19" s="123"/>
      <c r="T19" s="123"/>
      <c r="U19" s="123"/>
      <c r="V19" s="123"/>
      <c r="W19" s="123"/>
    </row>
    <row r="20" spans="1:23">
      <c r="A20" s="121">
        <v>18</v>
      </c>
      <c r="B20" s="185" t="s">
        <v>2176</v>
      </c>
      <c r="C20" s="185" t="s">
        <v>2210</v>
      </c>
      <c r="D20" s="122" t="s">
        <v>2208</v>
      </c>
      <c r="E20" s="124">
        <v>42936</v>
      </c>
      <c r="F20" s="125">
        <v>0.75</v>
      </c>
      <c r="G20" s="124">
        <v>43007</v>
      </c>
      <c r="H20" s="125">
        <v>0.44791666666666669</v>
      </c>
      <c r="I20" s="123">
        <v>871</v>
      </c>
      <c r="J20" s="123">
        <v>10</v>
      </c>
      <c r="K20" s="123">
        <v>732</v>
      </c>
      <c r="L20" s="123">
        <v>113</v>
      </c>
      <c r="M20" s="123">
        <v>361</v>
      </c>
      <c r="N20" s="123">
        <v>25.7</v>
      </c>
      <c r="O20" s="123">
        <v>11.8</v>
      </c>
      <c r="P20" s="123" t="s">
        <v>2515</v>
      </c>
      <c r="Q20" s="123">
        <v>26.5</v>
      </c>
      <c r="R20" s="123">
        <v>10.5</v>
      </c>
      <c r="S20" s="123"/>
      <c r="T20" s="123" t="s">
        <v>2179</v>
      </c>
      <c r="U20" s="123"/>
      <c r="V20" s="123"/>
      <c r="W20" s="123"/>
    </row>
    <row r="21" spans="1:23">
      <c r="A21" s="121">
        <v>19</v>
      </c>
      <c r="B21" s="185" t="s">
        <v>2176</v>
      </c>
      <c r="C21" s="185" t="s">
        <v>2211</v>
      </c>
      <c r="D21" s="122" t="s">
        <v>2208</v>
      </c>
      <c r="E21" s="124">
        <v>42936</v>
      </c>
      <c r="F21" s="125">
        <v>0.75</v>
      </c>
      <c r="G21" s="124">
        <v>43007</v>
      </c>
      <c r="H21" s="125">
        <v>0.45069444444444445</v>
      </c>
      <c r="I21" s="123">
        <v>872</v>
      </c>
      <c r="J21" s="123">
        <v>190</v>
      </c>
      <c r="K21" s="123">
        <v>749</v>
      </c>
      <c r="L21" s="123">
        <v>394</v>
      </c>
      <c r="M21" s="123">
        <v>280</v>
      </c>
      <c r="N21" s="123">
        <v>25.6</v>
      </c>
      <c r="O21" s="123">
        <v>19.399999999999999</v>
      </c>
      <c r="P21" s="123" t="s">
        <v>2515</v>
      </c>
      <c r="Q21" s="123">
        <v>25.8</v>
      </c>
      <c r="R21" s="123">
        <v>12.1</v>
      </c>
      <c r="S21" s="123" t="s">
        <v>2179</v>
      </c>
      <c r="T21" s="123"/>
      <c r="U21" s="123"/>
      <c r="V21" s="123"/>
      <c r="W21" s="123"/>
    </row>
    <row r="22" spans="1:23">
      <c r="A22" s="121">
        <v>20</v>
      </c>
      <c r="B22" s="185" t="s">
        <v>2176</v>
      </c>
      <c r="C22" s="185" t="s">
        <v>2212</v>
      </c>
      <c r="D22" s="122" t="s">
        <v>2208</v>
      </c>
      <c r="E22" s="124">
        <v>42936</v>
      </c>
      <c r="F22" s="125">
        <v>0.74305555555555547</v>
      </c>
      <c r="G22" s="124">
        <v>43007</v>
      </c>
      <c r="H22" s="125">
        <v>0.44930555555555557</v>
      </c>
      <c r="I22" s="123">
        <v>873</v>
      </c>
      <c r="J22" s="123">
        <v>38</v>
      </c>
      <c r="K22" s="123">
        <v>632</v>
      </c>
      <c r="L22" s="123">
        <v>79</v>
      </c>
      <c r="M22" s="123">
        <v>320</v>
      </c>
      <c r="N22" s="123">
        <v>26</v>
      </c>
      <c r="O22" s="123">
        <v>20.3</v>
      </c>
      <c r="P22" s="123" t="s">
        <v>2515</v>
      </c>
      <c r="Q22" s="123">
        <v>26.6</v>
      </c>
      <c r="R22" s="123">
        <v>11.7</v>
      </c>
      <c r="S22" s="123" t="s">
        <v>2179</v>
      </c>
      <c r="T22" s="123"/>
      <c r="U22" s="123"/>
      <c r="V22" s="123"/>
      <c r="W22" s="123"/>
    </row>
    <row r="23" spans="1:23">
      <c r="A23" s="121">
        <v>21</v>
      </c>
      <c r="B23" s="185" t="s">
        <v>2176</v>
      </c>
      <c r="C23" s="185" t="s">
        <v>2213</v>
      </c>
      <c r="D23" s="122" t="s">
        <v>2208</v>
      </c>
      <c r="E23" s="124">
        <v>42936</v>
      </c>
      <c r="F23" s="125">
        <v>0.74652777777777779</v>
      </c>
      <c r="G23" s="124">
        <v>43007</v>
      </c>
      <c r="H23" s="125">
        <v>0.4458333333333333</v>
      </c>
      <c r="I23" s="123">
        <v>874</v>
      </c>
      <c r="J23" s="123">
        <v>468</v>
      </c>
      <c r="K23" s="123">
        <v>630</v>
      </c>
      <c r="L23" s="123">
        <v>488</v>
      </c>
      <c r="M23" s="123">
        <v>209</v>
      </c>
      <c r="N23" s="123">
        <v>26.2</v>
      </c>
      <c r="O23" s="123">
        <v>15</v>
      </c>
      <c r="P23" s="123" t="s">
        <v>2515</v>
      </c>
      <c r="Q23" s="123">
        <v>26</v>
      </c>
      <c r="R23" s="123">
        <v>11.4</v>
      </c>
      <c r="S23" s="123"/>
      <c r="T23" s="123"/>
      <c r="U23" s="123"/>
      <c r="V23" s="123"/>
      <c r="W23" s="123" t="s">
        <v>3529</v>
      </c>
    </row>
    <row r="24" spans="1:23">
      <c r="A24" s="121">
        <v>22</v>
      </c>
      <c r="B24" s="185" t="s">
        <v>2176</v>
      </c>
      <c r="C24" s="185" t="s">
        <v>2214</v>
      </c>
      <c r="D24" s="122" t="s">
        <v>2208</v>
      </c>
      <c r="E24" s="124">
        <v>42936</v>
      </c>
      <c r="F24" s="125">
        <v>0.72916666666666663</v>
      </c>
      <c r="G24" s="124">
        <v>43007</v>
      </c>
      <c r="H24" s="125">
        <v>0.4548611111111111</v>
      </c>
      <c r="I24" s="123">
        <v>876</v>
      </c>
      <c r="J24" s="123">
        <v>8</v>
      </c>
      <c r="K24" s="123">
        <v>723</v>
      </c>
      <c r="L24" s="123">
        <v>750</v>
      </c>
      <c r="M24" s="123">
        <v>646</v>
      </c>
      <c r="N24" s="123">
        <v>25</v>
      </c>
      <c r="O24" s="123">
        <v>25.2</v>
      </c>
      <c r="P24" s="123" t="s">
        <v>2515</v>
      </c>
      <c r="Q24" s="123">
        <v>26.5</v>
      </c>
      <c r="R24" s="123">
        <v>12.9</v>
      </c>
      <c r="S24" s="123"/>
      <c r="T24" s="123" t="s">
        <v>2179</v>
      </c>
      <c r="U24" s="123"/>
      <c r="V24" s="123"/>
      <c r="W24" s="123"/>
    </row>
    <row r="25" spans="1:23">
      <c r="A25" s="121">
        <v>23</v>
      </c>
      <c r="B25" s="185" t="s">
        <v>2176</v>
      </c>
      <c r="C25" s="185" t="s">
        <v>2215</v>
      </c>
      <c r="D25" s="122" t="s">
        <v>2208</v>
      </c>
      <c r="E25" s="125"/>
      <c r="F25" s="125"/>
      <c r="G25" s="125"/>
      <c r="H25" s="125"/>
      <c r="I25" s="123">
        <v>875</v>
      </c>
      <c r="J25" s="125"/>
      <c r="K25" s="125"/>
      <c r="L25" s="125"/>
      <c r="M25" s="125"/>
      <c r="N25" s="125"/>
      <c r="O25" s="125"/>
      <c r="P25" s="125"/>
      <c r="Q25" s="123"/>
      <c r="R25" s="92"/>
      <c r="S25" s="92"/>
      <c r="T25" s="92"/>
      <c r="U25" s="92"/>
      <c r="V25" s="92"/>
      <c r="W25" s="123"/>
    </row>
    <row r="26" spans="1:23">
      <c r="A26" s="121">
        <v>24</v>
      </c>
      <c r="B26" s="185" t="s">
        <v>2176</v>
      </c>
      <c r="C26" s="185" t="s">
        <v>2216</v>
      </c>
      <c r="D26" s="122" t="s">
        <v>2208</v>
      </c>
      <c r="E26" s="124">
        <v>42936</v>
      </c>
      <c r="F26" s="125">
        <v>0.75347222222222221</v>
      </c>
      <c r="G26" s="124">
        <v>43007</v>
      </c>
      <c r="H26" s="125">
        <v>0.45763888888888887</v>
      </c>
      <c r="I26" s="123">
        <v>877</v>
      </c>
      <c r="J26" s="123">
        <v>320</v>
      </c>
      <c r="K26" s="123">
        <v>225</v>
      </c>
      <c r="L26" s="123">
        <v>562</v>
      </c>
      <c r="M26" s="123">
        <v>650</v>
      </c>
      <c r="N26" s="123">
        <v>25.5</v>
      </c>
      <c r="O26" s="123">
        <v>23.9</v>
      </c>
      <c r="P26" s="123" t="s">
        <v>2515</v>
      </c>
      <c r="Q26" s="123">
        <v>25.5</v>
      </c>
      <c r="R26" s="123">
        <v>7.3</v>
      </c>
      <c r="S26" s="123"/>
      <c r="T26" s="123"/>
      <c r="U26" s="123"/>
      <c r="V26" s="123"/>
      <c r="W26" s="123"/>
    </row>
    <row r="27" spans="1:23">
      <c r="A27" s="121">
        <v>25</v>
      </c>
      <c r="B27" s="185" t="s">
        <v>2176</v>
      </c>
      <c r="C27" s="185" t="s">
        <v>2217</v>
      </c>
      <c r="D27" s="122" t="s">
        <v>2218</v>
      </c>
      <c r="E27" s="124">
        <v>42936</v>
      </c>
      <c r="F27" s="125">
        <v>0.77083333333333337</v>
      </c>
      <c r="G27" s="124">
        <v>43007</v>
      </c>
      <c r="H27" s="125">
        <v>0.47083333333333338</v>
      </c>
      <c r="I27" s="164">
        <v>878</v>
      </c>
      <c r="J27" s="123">
        <v>322</v>
      </c>
      <c r="K27" s="123">
        <v>43</v>
      </c>
      <c r="L27" s="123">
        <v>156</v>
      </c>
      <c r="M27" s="123">
        <v>230</v>
      </c>
      <c r="N27" s="123">
        <v>25.6</v>
      </c>
      <c r="O27" s="123">
        <v>15.8</v>
      </c>
      <c r="P27" s="123" t="s">
        <v>2515</v>
      </c>
      <c r="Q27" s="123">
        <v>25.2</v>
      </c>
      <c r="R27" s="123">
        <v>3.9</v>
      </c>
      <c r="S27" s="123"/>
      <c r="T27" s="123"/>
      <c r="U27" s="123"/>
      <c r="V27" s="123"/>
      <c r="W27" s="123" t="s">
        <v>3530</v>
      </c>
    </row>
    <row r="28" spans="1:23">
      <c r="A28" s="121">
        <v>26</v>
      </c>
      <c r="B28" s="185" t="s">
        <v>2176</v>
      </c>
      <c r="C28" s="185" t="s">
        <v>2219</v>
      </c>
      <c r="D28" s="122" t="s">
        <v>2218</v>
      </c>
      <c r="E28" s="124">
        <v>42936</v>
      </c>
      <c r="F28" s="125">
        <v>0.76388888888888884</v>
      </c>
      <c r="G28" s="124">
        <v>43007</v>
      </c>
      <c r="H28" s="125">
        <v>0.4694444444444445</v>
      </c>
      <c r="I28" s="121">
        <v>1245</v>
      </c>
      <c r="J28" s="123">
        <v>58</v>
      </c>
      <c r="K28" s="123">
        <v>602</v>
      </c>
      <c r="L28" s="123">
        <v>555</v>
      </c>
      <c r="M28" s="123">
        <v>642</v>
      </c>
      <c r="N28" s="123">
        <v>25.5</v>
      </c>
      <c r="O28" s="123">
        <v>10.4</v>
      </c>
      <c r="P28" s="123" t="s">
        <v>2515</v>
      </c>
      <c r="Q28" s="123">
        <v>26.2</v>
      </c>
      <c r="R28" s="123">
        <v>5.8</v>
      </c>
      <c r="S28" s="123"/>
      <c r="T28" s="123"/>
      <c r="U28" s="123"/>
      <c r="V28" s="123"/>
      <c r="W28" s="123"/>
    </row>
    <row r="29" spans="1:23">
      <c r="A29" s="121">
        <v>27</v>
      </c>
      <c r="B29" s="185" t="s">
        <v>2176</v>
      </c>
      <c r="C29" s="185" t="s">
        <v>2220</v>
      </c>
      <c r="D29" s="122" t="s">
        <v>2218</v>
      </c>
      <c r="E29" s="124">
        <v>42936</v>
      </c>
      <c r="F29" s="125">
        <v>0.76736111111111116</v>
      </c>
      <c r="G29" s="124">
        <v>43007</v>
      </c>
      <c r="H29" s="125">
        <v>0.46249999999999997</v>
      </c>
      <c r="I29" s="123">
        <v>879</v>
      </c>
      <c r="J29" s="123">
        <v>340</v>
      </c>
      <c r="K29" s="123">
        <v>666</v>
      </c>
      <c r="L29" s="123">
        <v>378</v>
      </c>
      <c r="M29" s="123">
        <v>199</v>
      </c>
      <c r="N29" s="123">
        <v>25.9</v>
      </c>
      <c r="O29" s="123">
        <v>17.899999999999999</v>
      </c>
      <c r="P29" s="123" t="s">
        <v>2515</v>
      </c>
      <c r="Q29" s="123">
        <v>26.4</v>
      </c>
      <c r="R29" s="123">
        <v>10.3</v>
      </c>
      <c r="S29" s="123"/>
      <c r="T29" s="123"/>
      <c r="U29" s="123"/>
      <c r="V29" s="123"/>
      <c r="W29" s="123" t="s">
        <v>3525</v>
      </c>
    </row>
    <row r="30" spans="1:23">
      <c r="A30" s="121">
        <v>28</v>
      </c>
      <c r="B30" s="185" t="s">
        <v>2176</v>
      </c>
      <c r="C30" s="185" t="s">
        <v>2221</v>
      </c>
      <c r="D30" s="122" t="s">
        <v>2218</v>
      </c>
      <c r="E30" s="124">
        <v>42936</v>
      </c>
      <c r="F30" s="125">
        <v>0.76388888888888884</v>
      </c>
      <c r="G30" s="124">
        <v>43007</v>
      </c>
      <c r="H30" s="125">
        <v>0.46875</v>
      </c>
      <c r="I30" s="123">
        <v>881</v>
      </c>
      <c r="J30" s="123">
        <v>61</v>
      </c>
      <c r="K30" s="123">
        <v>705</v>
      </c>
      <c r="L30" s="123">
        <v>46</v>
      </c>
      <c r="M30" s="123">
        <v>162</v>
      </c>
      <c r="N30" s="123">
        <v>25.1</v>
      </c>
      <c r="O30" s="123">
        <v>11.8</v>
      </c>
      <c r="P30" s="123" t="s">
        <v>2515</v>
      </c>
      <c r="Q30" s="123">
        <v>26.3</v>
      </c>
      <c r="R30" s="123">
        <v>6.4</v>
      </c>
      <c r="S30" s="123"/>
      <c r="T30" s="123"/>
      <c r="U30" s="123"/>
      <c r="V30" s="123"/>
      <c r="W30" s="123"/>
    </row>
    <row r="31" spans="1:23">
      <c r="A31" s="121">
        <v>29</v>
      </c>
      <c r="B31" s="185" t="s">
        <v>2176</v>
      </c>
      <c r="C31" s="185" t="s">
        <v>2222</v>
      </c>
      <c r="D31" s="122" t="s">
        <v>2218</v>
      </c>
      <c r="E31" s="124">
        <v>42936</v>
      </c>
      <c r="F31" s="125">
        <v>0.76041666666666663</v>
      </c>
      <c r="G31" s="124">
        <v>43007</v>
      </c>
      <c r="H31" s="125">
        <v>0.46597222222222223</v>
      </c>
      <c r="I31" s="123">
        <v>882</v>
      </c>
      <c r="J31" s="123">
        <v>319</v>
      </c>
      <c r="K31" s="123">
        <v>305</v>
      </c>
      <c r="L31" s="123">
        <v>397</v>
      </c>
      <c r="M31" s="123">
        <v>163</v>
      </c>
      <c r="N31" s="123">
        <v>25.3</v>
      </c>
      <c r="O31" s="123">
        <v>21</v>
      </c>
      <c r="P31" s="123" t="s">
        <v>2515</v>
      </c>
      <c r="Q31" s="123">
        <v>26</v>
      </c>
      <c r="R31" s="123">
        <v>9.3000000000000007</v>
      </c>
      <c r="S31" s="123"/>
      <c r="T31" s="123"/>
      <c r="U31" s="123"/>
      <c r="V31" s="123"/>
      <c r="W31" s="123"/>
    </row>
    <row r="32" spans="1:23">
      <c r="A32" s="121">
        <v>30</v>
      </c>
      <c r="B32" s="185" t="s">
        <v>2176</v>
      </c>
      <c r="C32" s="185" t="s">
        <v>2223</v>
      </c>
      <c r="D32" s="122" t="s">
        <v>2218</v>
      </c>
      <c r="E32" s="124">
        <v>42936</v>
      </c>
      <c r="F32" s="125">
        <v>0.76041666666666663</v>
      </c>
      <c r="G32" s="124">
        <v>43007</v>
      </c>
      <c r="H32" s="125">
        <v>0.46736111111111112</v>
      </c>
      <c r="I32" s="123">
        <v>883</v>
      </c>
      <c r="J32" s="123">
        <v>273</v>
      </c>
      <c r="K32" s="123">
        <v>667</v>
      </c>
      <c r="L32" s="123">
        <v>166</v>
      </c>
      <c r="M32" s="123">
        <v>345</v>
      </c>
      <c r="N32" s="123">
        <v>24.6</v>
      </c>
      <c r="O32" s="123">
        <v>11.8</v>
      </c>
      <c r="P32" s="123" t="s">
        <v>2515</v>
      </c>
      <c r="Q32" s="123">
        <v>23.4</v>
      </c>
      <c r="R32" s="123">
        <v>6.8</v>
      </c>
      <c r="S32" s="123"/>
      <c r="T32" s="123"/>
      <c r="U32" s="123"/>
      <c r="V32" s="123"/>
      <c r="W32" s="123"/>
    </row>
    <row r="33" spans="1:23">
      <c r="A33" s="121">
        <v>31</v>
      </c>
      <c r="B33" s="185" t="s">
        <v>2176</v>
      </c>
      <c r="C33" s="185" t="s">
        <v>2224</v>
      </c>
      <c r="D33" s="122" t="s">
        <v>2218</v>
      </c>
      <c r="E33" s="125"/>
      <c r="F33" s="125"/>
      <c r="G33" s="125"/>
      <c r="H33" s="125"/>
      <c r="I33" s="123">
        <v>884</v>
      </c>
      <c r="J33" s="125"/>
      <c r="K33" s="125"/>
      <c r="L33" s="125"/>
      <c r="M33" s="125"/>
      <c r="N33" s="125"/>
      <c r="O33" s="125"/>
      <c r="P33" s="125"/>
      <c r="Q33" s="123"/>
      <c r="R33" s="123"/>
      <c r="S33" s="123"/>
      <c r="T33" s="123"/>
      <c r="U33" s="123"/>
      <c r="V33" s="123"/>
      <c r="W33" s="123"/>
    </row>
    <row r="34" spans="1:23">
      <c r="A34" s="121">
        <v>32</v>
      </c>
      <c r="B34" s="185" t="s">
        <v>2176</v>
      </c>
      <c r="C34" s="185" t="s">
        <v>2225</v>
      </c>
      <c r="D34" s="122" t="s">
        <v>2218</v>
      </c>
      <c r="E34" s="124">
        <v>42936</v>
      </c>
      <c r="F34" s="125">
        <v>0.76388888888888884</v>
      </c>
      <c r="G34" s="124">
        <v>43007</v>
      </c>
      <c r="H34" s="125">
        <v>0.47222222222222227</v>
      </c>
      <c r="I34" s="123">
        <v>885</v>
      </c>
      <c r="J34" s="123">
        <v>193</v>
      </c>
      <c r="K34" s="123">
        <v>743</v>
      </c>
      <c r="L34" s="123">
        <v>293</v>
      </c>
      <c r="M34" s="123">
        <v>660</v>
      </c>
      <c r="N34" s="123">
        <v>24.9</v>
      </c>
      <c r="O34" s="123">
        <v>14.9</v>
      </c>
      <c r="P34" s="123" t="s">
        <v>2515</v>
      </c>
      <c r="Q34" s="123">
        <v>26</v>
      </c>
      <c r="R34" s="123">
        <v>8.8000000000000007</v>
      </c>
      <c r="S34" s="123"/>
      <c r="T34" s="123"/>
      <c r="U34" s="123"/>
      <c r="V34" s="123"/>
      <c r="W34" s="123"/>
    </row>
    <row r="35" spans="1:23">
      <c r="A35" s="121">
        <v>33</v>
      </c>
      <c r="B35" s="185" t="s">
        <v>2176</v>
      </c>
      <c r="C35" s="185" t="s">
        <v>2226</v>
      </c>
      <c r="D35" s="122" t="s">
        <v>2227</v>
      </c>
      <c r="E35" s="124">
        <v>42938</v>
      </c>
      <c r="F35" s="125">
        <v>0.37152777777777773</v>
      </c>
      <c r="G35" s="124">
        <v>43005</v>
      </c>
      <c r="H35" s="125">
        <v>0.39583333333333331</v>
      </c>
      <c r="I35" s="164">
        <v>813</v>
      </c>
      <c r="J35" s="123">
        <v>218</v>
      </c>
      <c r="K35" s="123">
        <v>769</v>
      </c>
      <c r="L35" s="123">
        <v>139</v>
      </c>
      <c r="M35" s="123">
        <v>712</v>
      </c>
      <c r="N35" s="123">
        <v>24.6</v>
      </c>
      <c r="O35" s="123">
        <v>1.9</v>
      </c>
      <c r="P35" s="123"/>
      <c r="Q35" s="123">
        <v>27.7</v>
      </c>
      <c r="R35" s="123">
        <v>1.4</v>
      </c>
      <c r="S35" s="123"/>
      <c r="T35" s="123"/>
      <c r="U35" s="123"/>
      <c r="V35" s="123"/>
      <c r="W35" s="123"/>
    </row>
    <row r="36" spans="1:23">
      <c r="A36" s="121">
        <v>34</v>
      </c>
      <c r="B36" s="185" t="s">
        <v>2176</v>
      </c>
      <c r="C36" s="185" t="s">
        <v>2229</v>
      </c>
      <c r="D36" s="122" t="s">
        <v>2227</v>
      </c>
      <c r="E36" s="124">
        <v>42938</v>
      </c>
      <c r="F36" s="125">
        <v>0.37152777777777773</v>
      </c>
      <c r="G36" s="124">
        <v>43005</v>
      </c>
      <c r="H36" s="125">
        <v>0.38750000000000001</v>
      </c>
      <c r="I36" s="123">
        <v>822</v>
      </c>
      <c r="J36" s="123">
        <v>104</v>
      </c>
      <c r="K36" s="123">
        <v>753</v>
      </c>
      <c r="L36" s="123">
        <v>487</v>
      </c>
      <c r="M36" s="123">
        <v>324</v>
      </c>
      <c r="N36" s="123">
        <v>25.7</v>
      </c>
      <c r="O36" s="123">
        <v>4</v>
      </c>
      <c r="P36" s="123"/>
      <c r="Q36" s="123">
        <v>28.1</v>
      </c>
      <c r="R36" s="123">
        <v>2.5</v>
      </c>
      <c r="S36" s="123" t="s">
        <v>2179</v>
      </c>
      <c r="T36" s="123"/>
      <c r="U36" s="123"/>
      <c r="V36" s="123"/>
      <c r="W36" s="123" t="s">
        <v>3533</v>
      </c>
    </row>
    <row r="37" spans="1:23">
      <c r="A37" s="121">
        <v>35</v>
      </c>
      <c r="B37" s="185" t="s">
        <v>2176</v>
      </c>
      <c r="C37" s="185" t="s">
        <v>2232</v>
      </c>
      <c r="D37" s="122" t="s">
        <v>2227</v>
      </c>
      <c r="E37" s="124">
        <v>42938</v>
      </c>
      <c r="F37" s="125">
        <v>0.37152777777777773</v>
      </c>
      <c r="G37" s="124">
        <v>43005</v>
      </c>
      <c r="H37" s="125">
        <v>0.40347222222222223</v>
      </c>
      <c r="I37" s="123">
        <v>823</v>
      </c>
      <c r="J37" s="123">
        <v>188</v>
      </c>
      <c r="K37" s="123">
        <v>776</v>
      </c>
      <c r="L37" s="123">
        <v>717</v>
      </c>
      <c r="M37" s="123">
        <v>108</v>
      </c>
      <c r="N37" s="123">
        <v>25.2</v>
      </c>
      <c r="O37" s="123">
        <v>3.6</v>
      </c>
      <c r="P37" s="123"/>
      <c r="Q37" s="123">
        <v>28.7</v>
      </c>
      <c r="R37" s="123">
        <v>3.1</v>
      </c>
      <c r="S37" s="123"/>
      <c r="T37" s="123"/>
      <c r="U37" s="123"/>
      <c r="V37" s="123"/>
      <c r="W37" s="123"/>
    </row>
    <row r="38" spans="1:23">
      <c r="A38" s="121">
        <v>36</v>
      </c>
      <c r="B38" s="185" t="s">
        <v>2176</v>
      </c>
      <c r="C38" s="185" t="s">
        <v>2233</v>
      </c>
      <c r="D38" s="122" t="s">
        <v>2227</v>
      </c>
      <c r="E38" s="124">
        <v>42938</v>
      </c>
      <c r="F38" s="125">
        <v>0.36805555555555558</v>
      </c>
      <c r="G38" s="124">
        <v>43005</v>
      </c>
      <c r="H38" s="125">
        <v>0.40486111111111112</v>
      </c>
      <c r="I38" s="123">
        <v>824</v>
      </c>
      <c r="J38" s="123">
        <v>379</v>
      </c>
      <c r="K38" s="123">
        <v>799</v>
      </c>
      <c r="L38" s="123">
        <v>767</v>
      </c>
      <c r="M38" s="123">
        <v>152</v>
      </c>
      <c r="N38" s="123">
        <v>23.4</v>
      </c>
      <c r="O38" s="123">
        <v>3.7</v>
      </c>
      <c r="P38" s="123"/>
      <c r="Q38" s="123">
        <v>28.3</v>
      </c>
      <c r="R38" s="123">
        <v>2.2999999999999998</v>
      </c>
      <c r="S38" s="123"/>
      <c r="T38" s="123" t="s">
        <v>2238</v>
      </c>
      <c r="U38" s="123" t="s">
        <v>2187</v>
      </c>
      <c r="V38" s="123"/>
      <c r="W38" s="123" t="s">
        <v>3534</v>
      </c>
    </row>
    <row r="39" spans="1:23">
      <c r="A39" s="121">
        <v>37</v>
      </c>
      <c r="B39" s="185" t="s">
        <v>2176</v>
      </c>
      <c r="C39" s="185" t="s">
        <v>2235</v>
      </c>
      <c r="D39" s="122" t="s">
        <v>2227</v>
      </c>
      <c r="E39" s="124">
        <v>42938</v>
      </c>
      <c r="F39" s="125">
        <v>0.36805555555555558</v>
      </c>
      <c r="G39" s="124">
        <v>43005</v>
      </c>
      <c r="H39" s="125">
        <v>0.40902777777777777</v>
      </c>
      <c r="I39" s="123">
        <v>825</v>
      </c>
      <c r="J39" s="123">
        <v>66</v>
      </c>
      <c r="K39" s="123">
        <v>722</v>
      </c>
      <c r="L39" s="123">
        <v>473</v>
      </c>
      <c r="M39" s="123">
        <v>681</v>
      </c>
      <c r="N39" s="123">
        <v>23.8</v>
      </c>
      <c r="O39" s="123">
        <v>4.4000000000000004</v>
      </c>
      <c r="P39" s="123" t="s">
        <v>2516</v>
      </c>
      <c r="Q39" s="123">
        <v>28.4</v>
      </c>
      <c r="R39" s="123">
        <v>4.0999999999999996</v>
      </c>
      <c r="S39" s="123" t="s">
        <v>2238</v>
      </c>
      <c r="T39" s="123" t="s">
        <v>2238</v>
      </c>
      <c r="U39" s="123"/>
      <c r="V39" s="123"/>
      <c r="W39" s="123" t="s">
        <v>3535</v>
      </c>
    </row>
    <row r="40" spans="1:23">
      <c r="A40" s="121">
        <v>38</v>
      </c>
      <c r="B40" s="185" t="s">
        <v>2176</v>
      </c>
      <c r="C40" s="185" t="s">
        <v>2237</v>
      </c>
      <c r="D40" s="122" t="s">
        <v>2227</v>
      </c>
      <c r="E40" s="124">
        <v>42938</v>
      </c>
      <c r="F40" s="125">
        <v>0.375</v>
      </c>
      <c r="G40" s="124">
        <v>43005</v>
      </c>
      <c r="H40" s="125">
        <v>0.39861111111111108</v>
      </c>
      <c r="I40" s="123">
        <v>826</v>
      </c>
      <c r="J40" s="123">
        <v>625</v>
      </c>
      <c r="K40" s="123">
        <v>796</v>
      </c>
      <c r="L40" s="123">
        <v>111</v>
      </c>
      <c r="M40" s="129">
        <v>260</v>
      </c>
      <c r="N40" s="123">
        <v>24.7</v>
      </c>
      <c r="O40" s="123">
        <v>2.6</v>
      </c>
      <c r="P40" s="123"/>
      <c r="Q40" s="123">
        <v>28.7</v>
      </c>
      <c r="R40" s="123">
        <v>3.1</v>
      </c>
      <c r="S40" s="123" t="s">
        <v>2195</v>
      </c>
      <c r="T40" s="123"/>
      <c r="U40" s="123"/>
      <c r="V40" s="123"/>
      <c r="W40" s="123"/>
    </row>
    <row r="41" spans="1:23">
      <c r="A41" s="121">
        <v>39</v>
      </c>
      <c r="B41" s="185" t="s">
        <v>2176</v>
      </c>
      <c r="C41" s="185" t="s">
        <v>2239</v>
      </c>
      <c r="D41" s="122" t="s">
        <v>2227</v>
      </c>
      <c r="E41" s="124">
        <v>42938</v>
      </c>
      <c r="F41" s="125"/>
      <c r="G41" s="123"/>
      <c r="H41" s="123"/>
      <c r="I41" s="123">
        <v>827</v>
      </c>
      <c r="J41" s="125"/>
      <c r="K41" s="125"/>
      <c r="L41" s="125"/>
      <c r="M41" s="125"/>
      <c r="N41" s="125"/>
      <c r="O41" s="125"/>
      <c r="P41" s="125"/>
      <c r="Q41" s="123"/>
      <c r="R41" s="123"/>
      <c r="S41" s="123"/>
      <c r="T41" s="123"/>
      <c r="U41" s="123"/>
      <c r="V41" s="123"/>
      <c r="W41" s="123" t="s">
        <v>3536</v>
      </c>
    </row>
    <row r="42" spans="1:23">
      <c r="A42" s="121">
        <v>40</v>
      </c>
      <c r="B42" s="185" t="s">
        <v>2176</v>
      </c>
      <c r="C42" s="185" t="s">
        <v>2241</v>
      </c>
      <c r="D42" s="122" t="s">
        <v>2227</v>
      </c>
      <c r="E42" s="124">
        <v>42938</v>
      </c>
      <c r="F42" s="125">
        <v>0.36805555555555558</v>
      </c>
      <c r="G42" s="124">
        <v>43005</v>
      </c>
      <c r="H42" s="125">
        <v>0.40069444444444446</v>
      </c>
      <c r="I42" s="123">
        <v>828</v>
      </c>
      <c r="J42" s="123">
        <v>88</v>
      </c>
      <c r="K42" s="123">
        <v>782</v>
      </c>
      <c r="L42" s="123">
        <v>646</v>
      </c>
      <c r="M42" s="123">
        <v>402</v>
      </c>
      <c r="N42" s="123">
        <v>24.2</v>
      </c>
      <c r="O42" s="123">
        <v>5.4</v>
      </c>
      <c r="P42" s="123"/>
      <c r="Q42" s="123">
        <v>28.2</v>
      </c>
      <c r="R42" s="123">
        <v>3.8</v>
      </c>
      <c r="S42" s="123" t="s">
        <v>2238</v>
      </c>
      <c r="T42" s="123"/>
      <c r="U42" s="123"/>
      <c r="V42" s="123"/>
      <c r="W42" s="123"/>
    </row>
    <row r="43" spans="1:23">
      <c r="A43" s="121">
        <v>41</v>
      </c>
      <c r="B43" s="185" t="s">
        <v>2176</v>
      </c>
      <c r="C43" s="185" t="s">
        <v>2243</v>
      </c>
      <c r="D43" s="122" t="s">
        <v>2244</v>
      </c>
      <c r="E43" s="124">
        <v>42938</v>
      </c>
      <c r="F43" s="125">
        <v>0.43055555555555558</v>
      </c>
      <c r="G43" s="124">
        <v>43005</v>
      </c>
      <c r="H43" s="125">
        <v>0.46388888888888885</v>
      </c>
      <c r="I43" s="123">
        <v>830</v>
      </c>
      <c r="J43" s="123">
        <v>256</v>
      </c>
      <c r="K43" s="123">
        <v>820</v>
      </c>
      <c r="L43" s="123">
        <v>43</v>
      </c>
      <c r="M43" s="123">
        <v>648</v>
      </c>
      <c r="N43" s="123">
        <v>26.5</v>
      </c>
      <c r="O43" s="123">
        <v>5.0999999999999996</v>
      </c>
      <c r="P43" s="123"/>
      <c r="Q43" s="123">
        <v>29.2</v>
      </c>
      <c r="R43" s="123">
        <v>4.2</v>
      </c>
      <c r="S43" s="123" t="s">
        <v>2179</v>
      </c>
      <c r="T43" s="123" t="s">
        <v>2179</v>
      </c>
      <c r="U43" s="123"/>
      <c r="V43" s="123"/>
      <c r="W43" s="123"/>
    </row>
    <row r="44" spans="1:23">
      <c r="A44" s="121">
        <v>42</v>
      </c>
      <c r="B44" s="185" t="s">
        <v>2176</v>
      </c>
      <c r="C44" s="185" t="s">
        <v>2245</v>
      </c>
      <c r="D44" s="122" t="s">
        <v>2244</v>
      </c>
      <c r="E44" s="124">
        <v>42938</v>
      </c>
      <c r="F44" s="125">
        <v>0.42708333333333331</v>
      </c>
      <c r="G44" s="124">
        <v>43005</v>
      </c>
      <c r="H44" s="125">
        <v>0.46597222222222223</v>
      </c>
      <c r="I44" s="123">
        <v>831</v>
      </c>
      <c r="J44" s="123">
        <v>341</v>
      </c>
      <c r="K44" s="123">
        <v>806</v>
      </c>
      <c r="L44" s="123">
        <v>268</v>
      </c>
      <c r="M44" s="123">
        <v>257</v>
      </c>
      <c r="N44" s="123">
        <v>25.9</v>
      </c>
      <c r="O44" s="123">
        <v>5.3</v>
      </c>
      <c r="P44" s="123"/>
      <c r="Q44" s="123">
        <v>28.4</v>
      </c>
      <c r="R44" s="123">
        <v>5.0999999999999996</v>
      </c>
      <c r="S44" s="123" t="s">
        <v>2195</v>
      </c>
      <c r="T44" s="123" t="s">
        <v>2195</v>
      </c>
      <c r="U44" s="123" t="s">
        <v>2187</v>
      </c>
      <c r="V44" s="123"/>
      <c r="W44" s="123"/>
    </row>
    <row r="45" spans="1:23">
      <c r="A45" s="121">
        <v>43</v>
      </c>
      <c r="B45" s="185" t="s">
        <v>2176</v>
      </c>
      <c r="C45" s="185" t="s">
        <v>2247</v>
      </c>
      <c r="D45" s="122" t="s">
        <v>2244</v>
      </c>
      <c r="E45" s="124">
        <v>42938</v>
      </c>
      <c r="F45" s="125">
        <v>0.43055555555555558</v>
      </c>
      <c r="G45" s="124">
        <v>43005</v>
      </c>
      <c r="H45" s="125">
        <v>0.45416666666666666</v>
      </c>
      <c r="I45" s="123">
        <v>832</v>
      </c>
      <c r="J45" s="123">
        <v>246</v>
      </c>
      <c r="K45" s="123">
        <v>758</v>
      </c>
      <c r="L45" s="123">
        <v>300</v>
      </c>
      <c r="M45" s="123">
        <v>691</v>
      </c>
      <c r="N45" s="123">
        <v>23.7</v>
      </c>
      <c r="O45" s="123">
        <v>1.4</v>
      </c>
      <c r="P45" s="123"/>
      <c r="Q45" s="123">
        <v>28.5</v>
      </c>
      <c r="R45" s="123">
        <v>3.5</v>
      </c>
      <c r="S45" s="123" t="s">
        <v>2195</v>
      </c>
      <c r="T45" s="123" t="s">
        <v>2195</v>
      </c>
      <c r="U45" s="123"/>
      <c r="V45" s="123"/>
      <c r="W45" s="123"/>
    </row>
    <row r="46" spans="1:23">
      <c r="A46" s="121">
        <v>44</v>
      </c>
      <c r="B46" s="185" t="s">
        <v>2176</v>
      </c>
      <c r="C46" s="185" t="s">
        <v>2248</v>
      </c>
      <c r="D46" s="122" t="s">
        <v>2244</v>
      </c>
      <c r="E46" s="124">
        <v>42938</v>
      </c>
      <c r="F46" s="125">
        <v>0.4375</v>
      </c>
      <c r="G46" s="124">
        <v>43005</v>
      </c>
      <c r="H46" s="125">
        <v>0.45902777777777781</v>
      </c>
      <c r="I46" s="123">
        <v>1142</v>
      </c>
      <c r="J46" s="123">
        <v>115</v>
      </c>
      <c r="K46" s="123">
        <v>783</v>
      </c>
      <c r="L46" s="123">
        <v>823</v>
      </c>
      <c r="M46" s="123">
        <v>716</v>
      </c>
      <c r="N46" s="123">
        <v>25.3</v>
      </c>
      <c r="O46" s="123">
        <v>2.9</v>
      </c>
      <c r="P46" s="123"/>
      <c r="Q46" s="123">
        <v>27.7</v>
      </c>
      <c r="R46" s="123">
        <v>4.8</v>
      </c>
      <c r="S46" s="123"/>
      <c r="T46" s="123"/>
      <c r="U46" s="123"/>
      <c r="V46" s="123"/>
      <c r="W46" s="123"/>
    </row>
    <row r="47" spans="1:23">
      <c r="A47" s="121">
        <v>45</v>
      </c>
      <c r="B47" s="185" t="s">
        <v>2176</v>
      </c>
      <c r="C47" s="185" t="s">
        <v>2249</v>
      </c>
      <c r="D47" s="122" t="s">
        <v>2244</v>
      </c>
      <c r="E47" s="124">
        <v>42938</v>
      </c>
      <c r="F47" s="125">
        <v>0.4375</v>
      </c>
      <c r="G47" s="124">
        <v>43005</v>
      </c>
      <c r="H47" s="125">
        <v>0.44791666666666669</v>
      </c>
      <c r="I47" s="123">
        <v>1147</v>
      </c>
      <c r="J47" s="123">
        <v>480</v>
      </c>
      <c r="K47" s="123">
        <v>827</v>
      </c>
      <c r="L47" s="123">
        <v>354</v>
      </c>
      <c r="M47" s="123">
        <v>631</v>
      </c>
      <c r="N47" s="123">
        <v>26.8</v>
      </c>
      <c r="O47" s="123">
        <v>5.8</v>
      </c>
      <c r="P47" s="123"/>
      <c r="Q47" s="123">
        <v>27.7</v>
      </c>
      <c r="R47" s="123">
        <v>2.4</v>
      </c>
      <c r="S47" s="123" t="s">
        <v>2238</v>
      </c>
      <c r="T47" s="123" t="s">
        <v>2238</v>
      </c>
      <c r="U47" s="123"/>
      <c r="V47" s="123"/>
      <c r="W47" s="123" t="s">
        <v>3537</v>
      </c>
    </row>
    <row r="48" spans="1:23">
      <c r="A48" s="121">
        <v>46</v>
      </c>
      <c r="B48" s="185" t="s">
        <v>2176</v>
      </c>
      <c r="C48" s="185" t="s">
        <v>2251</v>
      </c>
      <c r="D48" s="122" t="s">
        <v>2244</v>
      </c>
      <c r="E48" s="123"/>
      <c r="F48" s="123"/>
      <c r="G48" s="124"/>
      <c r="H48" s="125"/>
      <c r="I48" s="123">
        <v>835</v>
      </c>
      <c r="J48" s="123"/>
      <c r="K48" s="123"/>
      <c r="L48" s="123"/>
      <c r="M48" s="123"/>
      <c r="N48" s="123"/>
      <c r="O48" s="123"/>
      <c r="P48" s="123"/>
      <c r="Q48" s="123"/>
      <c r="R48" s="123"/>
      <c r="S48" s="123"/>
      <c r="T48" s="123"/>
      <c r="U48" s="123"/>
      <c r="V48" s="123"/>
      <c r="W48" s="123"/>
    </row>
    <row r="49" spans="1:23">
      <c r="A49" s="121">
        <v>47</v>
      </c>
      <c r="B49" s="185" t="s">
        <v>2176</v>
      </c>
      <c r="C49" s="185" t="s">
        <v>2252</v>
      </c>
      <c r="D49" s="122" t="s">
        <v>2244</v>
      </c>
      <c r="E49" s="124">
        <v>42938</v>
      </c>
      <c r="F49" s="125">
        <v>0.44097222222222227</v>
      </c>
      <c r="G49" s="124">
        <v>43005</v>
      </c>
      <c r="H49" s="125">
        <v>0.46180555555555558</v>
      </c>
      <c r="I49" s="123">
        <v>836</v>
      </c>
      <c r="J49" s="123">
        <v>110</v>
      </c>
      <c r="K49" s="123">
        <v>831</v>
      </c>
      <c r="L49" s="123">
        <v>659</v>
      </c>
      <c r="M49" s="123">
        <v>606</v>
      </c>
      <c r="N49" s="123">
        <v>25.1</v>
      </c>
      <c r="O49" s="123">
        <v>6.4</v>
      </c>
      <c r="P49" s="123"/>
      <c r="Q49" s="123">
        <v>27.7</v>
      </c>
      <c r="R49" s="123">
        <v>4.3</v>
      </c>
      <c r="S49" s="123"/>
      <c r="T49" s="123" t="s">
        <v>2179</v>
      </c>
      <c r="U49" s="123"/>
      <c r="V49" s="123"/>
      <c r="W49" s="123"/>
    </row>
    <row r="50" spans="1:23">
      <c r="A50" s="121">
        <v>48</v>
      </c>
      <c r="B50" s="185" t="s">
        <v>2176</v>
      </c>
      <c r="C50" s="185" t="s">
        <v>2254</v>
      </c>
      <c r="D50" s="122" t="s">
        <v>2244</v>
      </c>
      <c r="E50" s="124">
        <v>42938</v>
      </c>
      <c r="F50" s="125">
        <v>0.4375</v>
      </c>
      <c r="G50" s="124">
        <v>43005</v>
      </c>
      <c r="H50" s="125">
        <v>0.45208333333333334</v>
      </c>
      <c r="I50" s="123">
        <v>837</v>
      </c>
      <c r="J50" s="123">
        <v>233</v>
      </c>
      <c r="K50" s="123">
        <v>828</v>
      </c>
      <c r="L50" s="123">
        <v>267</v>
      </c>
      <c r="M50" s="123">
        <v>221</v>
      </c>
      <c r="N50" s="123">
        <v>24.6</v>
      </c>
      <c r="O50" s="123">
        <v>3.6</v>
      </c>
      <c r="P50" s="123"/>
      <c r="Q50" s="123">
        <v>27.3</v>
      </c>
      <c r="R50" s="123">
        <v>4.3</v>
      </c>
      <c r="S50" s="123"/>
      <c r="T50" s="123"/>
      <c r="U50" s="123"/>
      <c r="V50" s="123"/>
      <c r="W50" s="123"/>
    </row>
    <row r="51" spans="1:23">
      <c r="A51" s="121">
        <v>49</v>
      </c>
      <c r="B51" s="185" t="s">
        <v>2176</v>
      </c>
      <c r="C51" s="185" t="s">
        <v>2255</v>
      </c>
      <c r="D51" s="122" t="s">
        <v>2256</v>
      </c>
      <c r="E51" s="124">
        <v>42938</v>
      </c>
      <c r="F51" s="125">
        <v>0.51041666666666663</v>
      </c>
      <c r="G51" s="124">
        <v>43005</v>
      </c>
      <c r="H51" s="125">
        <v>0.6958333333333333</v>
      </c>
      <c r="I51" s="123">
        <v>838</v>
      </c>
      <c r="J51" s="123">
        <v>54</v>
      </c>
      <c r="K51" s="123">
        <v>805</v>
      </c>
      <c r="L51" s="123">
        <v>812</v>
      </c>
      <c r="M51" s="123">
        <v>308</v>
      </c>
      <c r="N51" s="123">
        <v>28.6</v>
      </c>
      <c r="O51" s="123">
        <v>6.3</v>
      </c>
      <c r="P51" s="123"/>
      <c r="Q51" s="123">
        <v>34.4</v>
      </c>
      <c r="R51" s="123">
        <v>7.8</v>
      </c>
      <c r="S51" s="123"/>
      <c r="T51" s="123"/>
      <c r="U51" s="123"/>
      <c r="V51" s="123"/>
      <c r="W51" s="123"/>
    </row>
    <row r="52" spans="1:23">
      <c r="A52" s="121">
        <v>50</v>
      </c>
      <c r="B52" s="185" t="s">
        <v>2176</v>
      </c>
      <c r="C52" s="185" t="s">
        <v>2257</v>
      </c>
      <c r="D52" s="122" t="s">
        <v>2256</v>
      </c>
      <c r="E52" s="124">
        <v>42938</v>
      </c>
      <c r="F52" s="125">
        <v>0.51041666666666663</v>
      </c>
      <c r="G52" s="124"/>
      <c r="H52" s="125"/>
      <c r="I52" s="123">
        <v>839</v>
      </c>
      <c r="J52" s="123">
        <v>276</v>
      </c>
      <c r="K52" s="123">
        <v>754</v>
      </c>
      <c r="L52" s="123">
        <v>212</v>
      </c>
      <c r="M52" s="123">
        <v>644</v>
      </c>
      <c r="N52" s="123">
        <v>27.6</v>
      </c>
      <c r="O52" s="123">
        <v>6.4</v>
      </c>
      <c r="P52" s="123" t="s">
        <v>2517</v>
      </c>
      <c r="Q52" s="123"/>
      <c r="R52" s="123"/>
      <c r="S52" s="123"/>
      <c r="T52" s="123"/>
      <c r="U52" s="123"/>
      <c r="V52" s="123"/>
      <c r="W52" s="123" t="s">
        <v>3538</v>
      </c>
    </row>
    <row r="53" spans="1:23">
      <c r="A53" s="121">
        <v>51</v>
      </c>
      <c r="B53" s="185" t="s">
        <v>2176</v>
      </c>
      <c r="C53" s="185" t="s">
        <v>2258</v>
      </c>
      <c r="D53" s="122" t="s">
        <v>2256</v>
      </c>
      <c r="E53" s="124">
        <v>42938</v>
      </c>
      <c r="F53" s="125">
        <v>0.50694444444444442</v>
      </c>
      <c r="G53" s="124">
        <v>43005</v>
      </c>
      <c r="H53" s="125">
        <v>0.70833333333333337</v>
      </c>
      <c r="I53" s="123">
        <v>840</v>
      </c>
      <c r="J53" s="123">
        <v>227</v>
      </c>
      <c r="K53" s="123">
        <v>798</v>
      </c>
      <c r="L53" s="123">
        <v>598</v>
      </c>
      <c r="M53" s="123">
        <v>242</v>
      </c>
      <c r="N53" s="123">
        <v>34</v>
      </c>
      <c r="O53" s="123">
        <v>3.2</v>
      </c>
      <c r="P53" s="123"/>
      <c r="Q53" s="123">
        <v>34.9</v>
      </c>
      <c r="R53" s="123">
        <v>1.7</v>
      </c>
      <c r="S53" s="123"/>
      <c r="T53" s="123"/>
      <c r="U53" s="123"/>
      <c r="V53" s="123"/>
      <c r="W53" s="123"/>
    </row>
    <row r="54" spans="1:23">
      <c r="A54" s="121">
        <v>52</v>
      </c>
      <c r="B54" s="185" t="s">
        <v>2176</v>
      </c>
      <c r="C54" s="185" t="s">
        <v>2259</v>
      </c>
      <c r="D54" s="122" t="s">
        <v>2256</v>
      </c>
      <c r="E54" s="124">
        <v>42938</v>
      </c>
      <c r="F54" s="125">
        <v>0.51388888888888895</v>
      </c>
      <c r="G54" s="124">
        <v>43005</v>
      </c>
      <c r="H54" s="125">
        <v>0.70416666666666661</v>
      </c>
      <c r="I54" s="121">
        <v>1253</v>
      </c>
      <c r="J54" s="123">
        <v>237</v>
      </c>
      <c r="K54" s="123">
        <v>833</v>
      </c>
      <c r="L54" s="123">
        <v>848</v>
      </c>
      <c r="M54" s="123">
        <v>648</v>
      </c>
      <c r="N54" s="123">
        <v>28.2</v>
      </c>
      <c r="O54" s="123">
        <v>8.6</v>
      </c>
      <c r="P54" s="123"/>
      <c r="Q54" s="123">
        <v>33.299999999999997</v>
      </c>
      <c r="R54" s="123">
        <v>2.9</v>
      </c>
      <c r="S54" s="123"/>
      <c r="T54" s="123"/>
      <c r="U54" s="123"/>
      <c r="V54" s="123"/>
      <c r="W54" s="123"/>
    </row>
    <row r="55" spans="1:23">
      <c r="A55" s="121">
        <v>53</v>
      </c>
      <c r="B55" s="185" t="s">
        <v>2176</v>
      </c>
      <c r="C55" s="185" t="s">
        <v>2260</v>
      </c>
      <c r="D55" s="122" t="s">
        <v>2256</v>
      </c>
      <c r="E55" s="124">
        <v>42938</v>
      </c>
      <c r="F55" s="125">
        <v>0.51736111111111105</v>
      </c>
      <c r="G55" s="124">
        <v>43005</v>
      </c>
      <c r="H55" s="125">
        <v>0.70208333333333339</v>
      </c>
      <c r="I55" s="132">
        <v>1252</v>
      </c>
      <c r="J55" s="123">
        <v>172</v>
      </c>
      <c r="K55" s="123">
        <v>734</v>
      </c>
      <c r="L55" s="123">
        <v>759</v>
      </c>
      <c r="M55" s="123">
        <v>140</v>
      </c>
      <c r="N55" s="123">
        <v>27.3</v>
      </c>
      <c r="O55" s="123">
        <v>8.9</v>
      </c>
      <c r="P55" s="123"/>
      <c r="Q55" s="123">
        <v>33.5</v>
      </c>
      <c r="R55" s="123">
        <v>4.0999999999999996</v>
      </c>
      <c r="S55" s="123"/>
      <c r="T55" s="123"/>
      <c r="U55" s="123"/>
      <c r="V55" s="123"/>
      <c r="W55" s="123"/>
    </row>
    <row r="56" spans="1:23">
      <c r="A56" s="121">
        <v>54</v>
      </c>
      <c r="B56" s="185" t="s">
        <v>2176</v>
      </c>
      <c r="C56" s="185" t="s">
        <v>2261</v>
      </c>
      <c r="D56" s="122" t="s">
        <v>2256</v>
      </c>
      <c r="E56" s="123"/>
      <c r="F56" s="123"/>
      <c r="G56" s="123"/>
      <c r="H56" s="123"/>
      <c r="I56" s="186">
        <v>843</v>
      </c>
      <c r="J56" s="123"/>
      <c r="K56" s="123"/>
      <c r="L56" s="123"/>
      <c r="M56" s="123"/>
      <c r="N56" s="123"/>
      <c r="O56" s="123"/>
      <c r="P56" s="123"/>
      <c r="Q56" s="123"/>
      <c r="R56" s="123"/>
      <c r="S56" s="123"/>
      <c r="T56" s="123"/>
      <c r="U56" s="123"/>
      <c r="V56" s="123"/>
      <c r="W56" s="123"/>
    </row>
    <row r="57" spans="1:23">
      <c r="A57" s="121">
        <v>55</v>
      </c>
      <c r="B57" s="185" t="s">
        <v>2176</v>
      </c>
      <c r="C57" s="185" t="s">
        <v>2262</v>
      </c>
      <c r="D57" s="122" t="s">
        <v>2256</v>
      </c>
      <c r="E57" s="124">
        <v>42938</v>
      </c>
      <c r="F57" s="125">
        <v>0.51041666666666663</v>
      </c>
      <c r="G57" s="124">
        <v>43005</v>
      </c>
      <c r="H57" s="125">
        <v>0.69930555555555562</v>
      </c>
      <c r="I57" s="123">
        <v>844</v>
      </c>
      <c r="J57" s="123">
        <v>86</v>
      </c>
      <c r="K57" s="129">
        <v>839</v>
      </c>
      <c r="L57" s="123">
        <v>260</v>
      </c>
      <c r="M57" s="123">
        <v>192</v>
      </c>
      <c r="N57" s="123">
        <v>28.3</v>
      </c>
      <c r="O57" s="123">
        <v>4.5999999999999996</v>
      </c>
      <c r="P57" s="123" t="s">
        <v>2518</v>
      </c>
      <c r="Q57" s="123">
        <v>35.5</v>
      </c>
      <c r="R57" s="123">
        <v>5</v>
      </c>
      <c r="S57" s="123" t="s">
        <v>2238</v>
      </c>
      <c r="T57" s="123" t="s">
        <v>2238</v>
      </c>
      <c r="U57" s="123"/>
      <c r="V57" s="123"/>
      <c r="W57" s="123"/>
    </row>
    <row r="58" spans="1:23">
      <c r="A58" s="121">
        <v>56</v>
      </c>
      <c r="B58" s="185" t="s">
        <v>2176</v>
      </c>
      <c r="C58" s="185" t="s">
        <v>2263</v>
      </c>
      <c r="D58" s="122" t="s">
        <v>2256</v>
      </c>
      <c r="E58" s="124">
        <v>42938</v>
      </c>
      <c r="F58" s="125">
        <v>0.50694444444444442</v>
      </c>
      <c r="G58" s="124">
        <v>43005</v>
      </c>
      <c r="H58" s="125">
        <v>0.70624999999999993</v>
      </c>
      <c r="I58" s="123">
        <v>845</v>
      </c>
      <c r="J58" s="123">
        <v>107</v>
      </c>
      <c r="K58" s="123">
        <v>760</v>
      </c>
      <c r="L58" s="123">
        <v>493</v>
      </c>
      <c r="M58" s="123">
        <v>227</v>
      </c>
      <c r="N58" s="123">
        <v>27.7</v>
      </c>
      <c r="O58" s="123">
        <v>9.1</v>
      </c>
      <c r="P58" s="123"/>
      <c r="Q58" s="123">
        <v>32.4</v>
      </c>
      <c r="R58" s="123">
        <v>7.5</v>
      </c>
      <c r="S58" s="123"/>
      <c r="T58" s="123"/>
      <c r="U58" s="123"/>
      <c r="V58" s="123"/>
      <c r="W58" s="123"/>
    </row>
    <row r="59" spans="1:23">
      <c r="A59" s="121">
        <v>57</v>
      </c>
      <c r="B59" s="185" t="s">
        <v>2176</v>
      </c>
      <c r="C59" s="187" t="s">
        <v>2264</v>
      </c>
      <c r="D59" s="122" t="s">
        <v>2265</v>
      </c>
      <c r="E59" s="124">
        <v>42938</v>
      </c>
      <c r="F59" s="125">
        <v>0.54513888888888895</v>
      </c>
      <c r="G59" s="124">
        <v>43005</v>
      </c>
      <c r="H59" s="125">
        <v>0.66041666666666665</v>
      </c>
      <c r="I59" s="123">
        <v>1150</v>
      </c>
      <c r="J59" s="123">
        <v>41</v>
      </c>
      <c r="K59" s="123">
        <v>830</v>
      </c>
      <c r="L59" s="123">
        <v>342</v>
      </c>
      <c r="M59" s="123">
        <v>416</v>
      </c>
      <c r="N59" s="123">
        <v>32.6</v>
      </c>
      <c r="O59" s="123">
        <v>6.2</v>
      </c>
      <c r="P59" s="123"/>
      <c r="Q59" s="123">
        <v>33.9</v>
      </c>
      <c r="R59" s="123">
        <v>1.7</v>
      </c>
      <c r="S59" s="123"/>
      <c r="T59" s="123"/>
      <c r="U59" s="123"/>
      <c r="V59" s="123"/>
      <c r="W59" s="123"/>
    </row>
    <row r="60" spans="1:23">
      <c r="A60" s="121">
        <v>58</v>
      </c>
      <c r="B60" s="185" t="s">
        <v>2176</v>
      </c>
      <c r="C60" s="187" t="s">
        <v>2267</v>
      </c>
      <c r="D60" s="122" t="s">
        <v>2265</v>
      </c>
      <c r="E60" s="124">
        <v>42938</v>
      </c>
      <c r="F60" s="125">
        <v>0.54861111111111105</v>
      </c>
      <c r="G60" s="124">
        <v>43005</v>
      </c>
      <c r="H60" s="125">
        <v>0.65763888888888888</v>
      </c>
      <c r="I60" s="123">
        <v>1148</v>
      </c>
      <c r="J60" s="123">
        <v>481</v>
      </c>
      <c r="K60" s="123">
        <v>725</v>
      </c>
      <c r="L60" s="123">
        <v>735</v>
      </c>
      <c r="M60" s="123">
        <v>689</v>
      </c>
      <c r="N60" s="123">
        <v>31.1</v>
      </c>
      <c r="O60" s="123">
        <v>9.6</v>
      </c>
      <c r="P60" s="123"/>
      <c r="Q60" s="123">
        <v>33.6</v>
      </c>
      <c r="R60" s="123">
        <v>1.8</v>
      </c>
      <c r="S60" s="123" t="s">
        <v>2179</v>
      </c>
      <c r="T60" s="123" t="s">
        <v>2179</v>
      </c>
      <c r="U60" s="123"/>
      <c r="V60" s="123"/>
      <c r="W60" s="123"/>
    </row>
    <row r="61" spans="1:23">
      <c r="A61" s="121">
        <v>59</v>
      </c>
      <c r="B61" s="185" t="s">
        <v>2176</v>
      </c>
      <c r="C61" s="187" t="s">
        <v>2268</v>
      </c>
      <c r="D61" s="122" t="s">
        <v>2265</v>
      </c>
      <c r="E61" s="124">
        <v>42938</v>
      </c>
      <c r="F61" s="125">
        <v>0.55208333333333337</v>
      </c>
      <c r="G61" s="124">
        <v>43005</v>
      </c>
      <c r="H61" s="125">
        <v>0.66666666666666663</v>
      </c>
      <c r="I61" s="123">
        <v>848</v>
      </c>
      <c r="J61" s="123">
        <v>261</v>
      </c>
      <c r="K61" s="123">
        <v>721</v>
      </c>
      <c r="L61" s="123">
        <v>558</v>
      </c>
      <c r="M61" s="165">
        <v>231</v>
      </c>
      <c r="N61" s="123">
        <v>31.6</v>
      </c>
      <c r="O61" s="123">
        <v>7.6</v>
      </c>
      <c r="P61" s="123"/>
      <c r="Q61" s="123">
        <v>32</v>
      </c>
      <c r="R61" s="123">
        <v>7.8</v>
      </c>
      <c r="S61" s="123"/>
      <c r="T61" s="123"/>
      <c r="U61" s="123"/>
      <c r="V61" s="123"/>
      <c r="W61" s="123"/>
    </row>
    <row r="62" spans="1:23">
      <c r="A62" s="121">
        <v>60</v>
      </c>
      <c r="B62" s="185" t="s">
        <v>2176</v>
      </c>
      <c r="C62" s="187" t="s">
        <v>2269</v>
      </c>
      <c r="D62" s="122" t="s">
        <v>2265</v>
      </c>
      <c r="E62" s="124">
        <v>42938</v>
      </c>
      <c r="F62" s="125">
        <v>0.55555555555555558</v>
      </c>
      <c r="G62" s="124">
        <v>43005</v>
      </c>
      <c r="H62" s="125">
        <v>0.66527777777777775</v>
      </c>
      <c r="I62" s="123">
        <v>849</v>
      </c>
      <c r="J62" s="123">
        <v>152</v>
      </c>
      <c r="K62" s="123">
        <v>763</v>
      </c>
      <c r="L62" s="123">
        <v>751</v>
      </c>
      <c r="M62" s="123">
        <v>297</v>
      </c>
      <c r="N62" s="123">
        <v>33.1</v>
      </c>
      <c r="O62" s="123">
        <v>7.4</v>
      </c>
      <c r="P62" s="123"/>
      <c r="Q62" s="123">
        <v>32.200000000000003</v>
      </c>
      <c r="R62" s="123">
        <v>3.9</v>
      </c>
      <c r="S62" s="123"/>
      <c r="T62" s="123"/>
      <c r="U62" s="123"/>
      <c r="V62" s="123"/>
      <c r="W62" s="123" t="s">
        <v>3532</v>
      </c>
    </row>
    <row r="63" spans="1:23">
      <c r="A63" s="121">
        <v>61</v>
      </c>
      <c r="B63" s="185" t="s">
        <v>2176</v>
      </c>
      <c r="C63" s="187" t="s">
        <v>2271</v>
      </c>
      <c r="D63" s="122" t="s">
        <v>2265</v>
      </c>
      <c r="E63" s="124">
        <v>42938</v>
      </c>
      <c r="F63" s="125">
        <v>0.55902777777777779</v>
      </c>
      <c r="G63" s="124">
        <v>43005</v>
      </c>
      <c r="H63" s="125">
        <v>0.65347222222222223</v>
      </c>
      <c r="I63" s="123">
        <v>1149</v>
      </c>
      <c r="J63" s="123">
        <v>191</v>
      </c>
      <c r="K63" s="123">
        <v>775</v>
      </c>
      <c r="L63" s="123">
        <v>748</v>
      </c>
      <c r="M63" s="123">
        <v>200</v>
      </c>
      <c r="N63" s="123">
        <v>33</v>
      </c>
      <c r="O63" s="123">
        <v>4.9000000000000004</v>
      </c>
      <c r="P63" s="123"/>
      <c r="Q63" s="123">
        <v>35</v>
      </c>
      <c r="R63" s="164">
        <v>4.0999999999999996</v>
      </c>
      <c r="S63" s="123"/>
      <c r="T63" s="123"/>
      <c r="U63" s="123"/>
      <c r="V63" s="123"/>
      <c r="W63" s="123"/>
    </row>
    <row r="64" spans="1:23">
      <c r="A64" s="121">
        <v>62</v>
      </c>
      <c r="B64" s="185" t="s">
        <v>2176</v>
      </c>
      <c r="C64" s="187" t="s">
        <v>2272</v>
      </c>
      <c r="D64" s="122" t="s">
        <v>2265</v>
      </c>
      <c r="E64" s="125"/>
      <c r="F64" s="125"/>
      <c r="G64" s="124"/>
      <c r="H64" s="125"/>
      <c r="I64" s="123">
        <v>1151</v>
      </c>
      <c r="J64" s="125"/>
      <c r="K64" s="125"/>
      <c r="L64" s="125"/>
      <c r="M64" s="125"/>
      <c r="N64" s="125"/>
      <c r="O64" s="125"/>
      <c r="P64" s="125"/>
      <c r="Q64" s="123"/>
      <c r="R64" s="123"/>
      <c r="S64" s="123"/>
      <c r="T64" s="123"/>
      <c r="U64" s="123"/>
      <c r="V64" s="123"/>
      <c r="W64" s="123"/>
    </row>
    <row r="65" spans="1:23">
      <c r="A65" s="121">
        <v>63</v>
      </c>
      <c r="B65" s="185" t="s">
        <v>2176</v>
      </c>
      <c r="C65" s="187" t="s">
        <v>2274</v>
      </c>
      <c r="D65" s="122" t="s">
        <v>2265</v>
      </c>
      <c r="E65" s="124">
        <v>42938</v>
      </c>
      <c r="F65" s="125">
        <v>0.54861111111111105</v>
      </c>
      <c r="G65" s="124">
        <v>43005</v>
      </c>
      <c r="H65" s="125">
        <v>0.66180555555555554</v>
      </c>
      <c r="I65" s="123">
        <v>852</v>
      </c>
      <c r="J65" s="123">
        <v>49</v>
      </c>
      <c r="K65" s="123">
        <v>733</v>
      </c>
      <c r="L65" s="123">
        <v>629</v>
      </c>
      <c r="M65" s="123">
        <v>713</v>
      </c>
      <c r="N65" s="123">
        <v>30.5</v>
      </c>
      <c r="O65" s="123">
        <v>4.7</v>
      </c>
      <c r="P65" s="123"/>
      <c r="Q65" s="123">
        <v>32.1</v>
      </c>
      <c r="R65" s="123">
        <v>4.8</v>
      </c>
      <c r="S65" s="123"/>
      <c r="T65" s="123"/>
      <c r="U65" s="123"/>
      <c r="V65" s="123"/>
      <c r="W65" s="123"/>
    </row>
    <row r="66" spans="1:23">
      <c r="A66" s="121">
        <v>64</v>
      </c>
      <c r="B66" s="185" t="s">
        <v>2176</v>
      </c>
      <c r="C66" s="187" t="s">
        <v>2275</v>
      </c>
      <c r="D66" s="122" t="s">
        <v>2265</v>
      </c>
      <c r="E66" s="124">
        <v>42938</v>
      </c>
      <c r="F66" s="125">
        <v>0.55555555555555558</v>
      </c>
      <c r="G66" s="124">
        <v>43005</v>
      </c>
      <c r="H66" s="125">
        <v>0.66319444444444442</v>
      </c>
      <c r="I66" s="123">
        <v>853</v>
      </c>
      <c r="J66" s="129">
        <v>347</v>
      </c>
      <c r="K66" s="123">
        <v>765</v>
      </c>
      <c r="L66" s="123">
        <v>84</v>
      </c>
      <c r="M66" s="129">
        <v>237</v>
      </c>
      <c r="N66" s="123">
        <v>30.4</v>
      </c>
      <c r="O66" s="123">
        <v>3.5</v>
      </c>
      <c r="P66" s="123"/>
      <c r="Q66" s="123">
        <v>32.6</v>
      </c>
      <c r="R66" s="123">
        <v>7.6</v>
      </c>
      <c r="S66" s="123"/>
      <c r="T66" s="123"/>
      <c r="U66" s="123"/>
      <c r="V66" s="123"/>
      <c r="W66" s="123"/>
    </row>
    <row r="67" spans="1:23">
      <c r="A67" s="121">
        <v>65</v>
      </c>
      <c r="B67" s="185" t="s">
        <v>2276</v>
      </c>
      <c r="C67" s="185" t="s">
        <v>2277</v>
      </c>
      <c r="D67" s="122" t="s">
        <v>2278</v>
      </c>
      <c r="E67" s="124">
        <v>42937</v>
      </c>
      <c r="F67" s="125">
        <v>0.50347222222222221</v>
      </c>
      <c r="G67" s="124">
        <v>43005</v>
      </c>
      <c r="H67" s="125">
        <v>0.58472222222222225</v>
      </c>
      <c r="I67" s="123">
        <v>906</v>
      </c>
      <c r="J67" s="123">
        <v>495</v>
      </c>
      <c r="K67" s="123">
        <v>731</v>
      </c>
      <c r="L67" s="164">
        <v>586</v>
      </c>
      <c r="M67" s="164">
        <v>654</v>
      </c>
      <c r="N67" s="123">
        <v>27.1</v>
      </c>
      <c r="O67" s="123">
        <v>11.5</v>
      </c>
      <c r="P67" s="123"/>
      <c r="Q67" s="123">
        <v>28.9</v>
      </c>
      <c r="R67" s="123">
        <v>9.8000000000000007</v>
      </c>
      <c r="S67" s="123"/>
      <c r="T67" s="123"/>
      <c r="U67" s="123"/>
      <c r="V67" s="123"/>
      <c r="W67" s="123" t="s">
        <v>3539</v>
      </c>
    </row>
    <row r="68" spans="1:23">
      <c r="A68" s="121">
        <v>66</v>
      </c>
      <c r="B68" s="185" t="s">
        <v>2276</v>
      </c>
      <c r="C68" s="185" t="s">
        <v>2279</v>
      </c>
      <c r="D68" s="122" t="s">
        <v>2278</v>
      </c>
      <c r="E68" s="124">
        <v>42937</v>
      </c>
      <c r="F68" s="125">
        <v>0.49652777777777773</v>
      </c>
      <c r="G68" s="124">
        <v>43005</v>
      </c>
      <c r="H68" s="125">
        <v>0.59722222222222221</v>
      </c>
      <c r="I68" s="123">
        <v>1096</v>
      </c>
      <c r="J68" s="123">
        <v>247</v>
      </c>
      <c r="K68" s="123">
        <v>816</v>
      </c>
      <c r="L68" s="123">
        <v>851</v>
      </c>
      <c r="M68" s="123">
        <v>634</v>
      </c>
      <c r="N68" s="123">
        <v>21.3</v>
      </c>
      <c r="O68" s="123">
        <v>11.3</v>
      </c>
      <c r="P68" s="123"/>
      <c r="Q68" s="123">
        <v>25.9</v>
      </c>
      <c r="R68" s="123">
        <v>8.9</v>
      </c>
      <c r="S68" s="123" t="s">
        <v>2195</v>
      </c>
      <c r="T68" s="123"/>
      <c r="U68" s="123"/>
      <c r="V68" s="123"/>
      <c r="W68" s="123"/>
    </row>
    <row r="69" spans="1:23">
      <c r="A69" s="121">
        <v>67</v>
      </c>
      <c r="B69" s="185" t="s">
        <v>2276</v>
      </c>
      <c r="C69" s="185" t="s">
        <v>2280</v>
      </c>
      <c r="D69" s="122" t="s">
        <v>2278</v>
      </c>
      <c r="E69" s="125"/>
      <c r="F69" s="125"/>
      <c r="G69" s="124"/>
      <c r="H69" s="125"/>
      <c r="I69" s="123">
        <v>908</v>
      </c>
      <c r="J69" s="125"/>
      <c r="K69" s="125"/>
      <c r="L69" s="125"/>
      <c r="M69" s="125"/>
      <c r="N69" s="125"/>
      <c r="O69" s="125"/>
      <c r="P69" s="125"/>
      <c r="Q69" s="123"/>
      <c r="R69" s="123"/>
      <c r="S69" s="123"/>
      <c r="T69" s="123"/>
      <c r="U69" s="123"/>
      <c r="V69" s="123"/>
      <c r="W69" s="123"/>
    </row>
    <row r="70" spans="1:23">
      <c r="A70" s="121">
        <v>68</v>
      </c>
      <c r="B70" s="185" t="s">
        <v>2276</v>
      </c>
      <c r="C70" s="185" t="s">
        <v>2281</v>
      </c>
      <c r="D70" s="122" t="s">
        <v>2278</v>
      </c>
      <c r="E70" s="124">
        <v>42937</v>
      </c>
      <c r="F70" s="125">
        <v>0.49652777777777773</v>
      </c>
      <c r="G70" s="124">
        <v>43005</v>
      </c>
      <c r="H70" s="125">
        <v>0.59513888888888888</v>
      </c>
      <c r="I70" s="123">
        <v>1102</v>
      </c>
      <c r="J70" s="123">
        <v>63</v>
      </c>
      <c r="K70" s="123">
        <v>815</v>
      </c>
      <c r="L70" s="123">
        <v>467</v>
      </c>
      <c r="M70" s="123">
        <v>201</v>
      </c>
      <c r="N70" s="123">
        <v>25.6</v>
      </c>
      <c r="O70" s="123">
        <v>7.9</v>
      </c>
      <c r="P70" s="123"/>
      <c r="Q70" s="123">
        <v>28.1</v>
      </c>
      <c r="R70" s="123">
        <v>7.6</v>
      </c>
      <c r="S70" s="123"/>
      <c r="T70" s="123"/>
      <c r="U70" s="123"/>
      <c r="V70" s="123"/>
      <c r="W70" s="123"/>
    </row>
    <row r="71" spans="1:23">
      <c r="A71" s="121">
        <v>69</v>
      </c>
      <c r="B71" s="185" t="s">
        <v>2276</v>
      </c>
      <c r="C71" s="185" t="s">
        <v>2282</v>
      </c>
      <c r="D71" s="122" t="s">
        <v>2278</v>
      </c>
      <c r="E71" s="124">
        <v>42937</v>
      </c>
      <c r="F71" s="125">
        <v>0.50347222222222221</v>
      </c>
      <c r="G71" s="124">
        <v>43006</v>
      </c>
      <c r="H71" s="125">
        <v>0.58958333333333335</v>
      </c>
      <c r="I71" s="123">
        <v>910</v>
      </c>
      <c r="J71" s="123">
        <v>382</v>
      </c>
      <c r="K71" s="123">
        <v>741</v>
      </c>
      <c r="L71" s="123">
        <v>766</v>
      </c>
      <c r="M71" s="123">
        <v>174</v>
      </c>
      <c r="N71" s="123">
        <v>25</v>
      </c>
      <c r="O71" s="123">
        <v>7.6</v>
      </c>
      <c r="P71" s="92"/>
      <c r="Q71" s="123">
        <v>28.1</v>
      </c>
      <c r="R71" s="123">
        <v>8.3000000000000007</v>
      </c>
      <c r="S71" s="123"/>
      <c r="T71" s="123" t="s">
        <v>2319</v>
      </c>
      <c r="U71" s="123"/>
      <c r="V71" s="123"/>
      <c r="W71" s="123"/>
    </row>
    <row r="72" spans="1:23">
      <c r="A72" s="121">
        <v>70</v>
      </c>
      <c r="B72" s="185" t="s">
        <v>2276</v>
      </c>
      <c r="C72" s="185" t="s">
        <v>2283</v>
      </c>
      <c r="D72" s="122" t="s">
        <v>2278</v>
      </c>
      <c r="E72" s="124">
        <v>42937</v>
      </c>
      <c r="F72" s="125">
        <v>0.5</v>
      </c>
      <c r="G72" s="124">
        <v>43006</v>
      </c>
      <c r="H72" s="125">
        <v>0.58750000000000002</v>
      </c>
      <c r="I72" s="123">
        <v>911</v>
      </c>
      <c r="J72" s="123">
        <v>278</v>
      </c>
      <c r="K72" s="123">
        <v>294</v>
      </c>
      <c r="L72" s="129">
        <v>430</v>
      </c>
      <c r="M72" s="123">
        <v>261</v>
      </c>
      <c r="N72" s="123">
        <v>25.8</v>
      </c>
      <c r="O72" s="123">
        <v>10.199999999999999</v>
      </c>
      <c r="P72" s="123"/>
      <c r="Q72" s="123">
        <v>28.6</v>
      </c>
      <c r="R72" s="123">
        <v>7.4</v>
      </c>
      <c r="S72" s="123"/>
      <c r="T72" s="123" t="s">
        <v>2195</v>
      </c>
      <c r="U72" s="123"/>
      <c r="V72" s="123"/>
      <c r="W72" s="123"/>
    </row>
    <row r="73" spans="1:23">
      <c r="A73" s="121">
        <v>71</v>
      </c>
      <c r="B73" s="185" t="s">
        <v>2276</v>
      </c>
      <c r="C73" s="185" t="s">
        <v>2284</v>
      </c>
      <c r="D73" s="122" t="s">
        <v>2278</v>
      </c>
      <c r="E73" s="124">
        <v>42937</v>
      </c>
      <c r="F73" s="125">
        <v>0.49305555555555558</v>
      </c>
      <c r="G73" s="124">
        <v>43006</v>
      </c>
      <c r="H73" s="125">
        <v>0.59097222222222223</v>
      </c>
      <c r="I73" s="123">
        <v>912</v>
      </c>
      <c r="J73" s="123">
        <v>138</v>
      </c>
      <c r="K73" s="123">
        <v>761</v>
      </c>
      <c r="L73" s="123">
        <v>174</v>
      </c>
      <c r="M73" s="123">
        <v>203</v>
      </c>
      <c r="N73" s="123">
        <v>26.8</v>
      </c>
      <c r="O73" s="123">
        <v>8.8000000000000007</v>
      </c>
      <c r="P73" s="123"/>
      <c r="Q73" s="123">
        <v>28.4</v>
      </c>
      <c r="R73" s="123">
        <v>11.1</v>
      </c>
      <c r="S73" s="123"/>
      <c r="T73" s="123"/>
      <c r="U73" s="123"/>
      <c r="V73" s="123"/>
      <c r="W73" s="123"/>
    </row>
    <row r="74" spans="1:23">
      <c r="A74" s="121">
        <v>72</v>
      </c>
      <c r="B74" s="185" t="s">
        <v>2276</v>
      </c>
      <c r="C74" s="185" t="s">
        <v>2285</v>
      </c>
      <c r="D74" s="122" t="s">
        <v>2278</v>
      </c>
      <c r="E74" s="124">
        <v>42937</v>
      </c>
      <c r="F74" s="125">
        <v>0.49305555555555558</v>
      </c>
      <c r="G74" s="124">
        <v>43006</v>
      </c>
      <c r="H74" s="125">
        <v>0.59305555555555556</v>
      </c>
      <c r="I74" s="123">
        <v>913</v>
      </c>
      <c r="J74" s="123">
        <v>431</v>
      </c>
      <c r="K74" s="123">
        <v>780</v>
      </c>
      <c r="L74" s="123">
        <v>714</v>
      </c>
      <c r="M74" s="123">
        <v>191</v>
      </c>
      <c r="N74" s="123">
        <v>25.6</v>
      </c>
      <c r="O74" s="123">
        <v>9.1999999999999993</v>
      </c>
      <c r="P74" s="123"/>
      <c r="Q74" s="123">
        <v>27.1</v>
      </c>
      <c r="R74" s="123">
        <v>9.8000000000000007</v>
      </c>
      <c r="S74" s="123"/>
      <c r="T74" s="123"/>
      <c r="U74" s="123"/>
      <c r="V74" s="123"/>
      <c r="W74" s="123"/>
    </row>
    <row r="75" spans="1:23">
      <c r="A75" s="121">
        <v>73</v>
      </c>
      <c r="B75" s="185" t="s">
        <v>2276</v>
      </c>
      <c r="C75" s="185" t="s">
        <v>2286</v>
      </c>
      <c r="D75" s="122" t="s">
        <v>2287</v>
      </c>
      <c r="E75" s="124">
        <v>42937</v>
      </c>
      <c r="F75" s="125">
        <v>0.66319444444444442</v>
      </c>
      <c r="G75" s="124">
        <v>43006</v>
      </c>
      <c r="H75" s="125">
        <v>0.65</v>
      </c>
      <c r="I75" s="123">
        <v>1132</v>
      </c>
      <c r="J75" s="123">
        <v>321</v>
      </c>
      <c r="K75" s="123">
        <v>730</v>
      </c>
      <c r="L75" s="123">
        <v>726</v>
      </c>
      <c r="M75" s="123">
        <v>160</v>
      </c>
      <c r="N75" s="123">
        <v>27.8</v>
      </c>
      <c r="O75" s="123">
        <v>10.4</v>
      </c>
      <c r="P75" s="123"/>
      <c r="Q75" s="123">
        <v>28.9</v>
      </c>
      <c r="R75" s="123">
        <v>8.6999999999999993</v>
      </c>
      <c r="S75" s="123"/>
      <c r="T75" s="123"/>
      <c r="U75" s="123"/>
      <c r="V75" s="123"/>
      <c r="W75" s="123" t="s">
        <v>3539</v>
      </c>
    </row>
    <row r="76" spans="1:23">
      <c r="A76" s="121">
        <v>74</v>
      </c>
      <c r="B76" s="185" t="s">
        <v>2276</v>
      </c>
      <c r="C76" s="185" t="s">
        <v>2288</v>
      </c>
      <c r="D76" s="122" t="s">
        <v>2287</v>
      </c>
      <c r="E76" s="124">
        <v>42937</v>
      </c>
      <c r="F76" s="125">
        <v>0.65972222222222221</v>
      </c>
      <c r="G76" s="124">
        <v>43006</v>
      </c>
      <c r="H76" s="125">
        <v>0.6430555555555556</v>
      </c>
      <c r="I76" s="123">
        <v>1129</v>
      </c>
      <c r="J76" s="123">
        <v>329</v>
      </c>
      <c r="K76" s="123">
        <v>825</v>
      </c>
      <c r="L76" s="123">
        <v>866</v>
      </c>
      <c r="M76" s="123">
        <v>275</v>
      </c>
      <c r="N76" s="123">
        <v>27.3</v>
      </c>
      <c r="O76" s="123">
        <v>10.8</v>
      </c>
      <c r="P76" s="123" t="s">
        <v>2520</v>
      </c>
      <c r="Q76" s="123">
        <v>28.9</v>
      </c>
      <c r="R76" s="123">
        <v>10.8</v>
      </c>
      <c r="S76" s="123"/>
      <c r="T76" s="123"/>
      <c r="U76" s="123"/>
      <c r="V76" s="123"/>
      <c r="W76" s="123"/>
    </row>
    <row r="77" spans="1:23">
      <c r="A77" s="121">
        <v>75</v>
      </c>
      <c r="B77" s="185" t="s">
        <v>2276</v>
      </c>
      <c r="C77" s="185" t="s">
        <v>2289</v>
      </c>
      <c r="D77" s="122" t="s">
        <v>2287</v>
      </c>
      <c r="E77" s="124">
        <v>42937</v>
      </c>
      <c r="F77" s="125">
        <v>0.65972222222222221</v>
      </c>
      <c r="G77" s="124">
        <v>43006</v>
      </c>
      <c r="H77" s="125">
        <v>0.65972222222222221</v>
      </c>
      <c r="I77" s="123">
        <v>1133</v>
      </c>
      <c r="J77" s="123">
        <v>215</v>
      </c>
      <c r="K77" s="123">
        <v>840</v>
      </c>
      <c r="L77" s="123">
        <v>705</v>
      </c>
      <c r="M77" s="123">
        <v>657</v>
      </c>
      <c r="N77" s="123">
        <v>25.1</v>
      </c>
      <c r="O77" s="123">
        <v>13</v>
      </c>
      <c r="P77" s="123"/>
      <c r="Q77" s="123">
        <v>29.3</v>
      </c>
      <c r="R77" s="123">
        <v>11.6</v>
      </c>
      <c r="S77" s="123" t="s">
        <v>2179</v>
      </c>
      <c r="T77" s="123"/>
      <c r="U77" s="123"/>
      <c r="V77" s="123"/>
      <c r="W77" s="123"/>
    </row>
    <row r="78" spans="1:23">
      <c r="A78" s="121">
        <v>76</v>
      </c>
      <c r="B78" s="185" t="s">
        <v>2276</v>
      </c>
      <c r="C78" s="185" t="s">
        <v>2290</v>
      </c>
      <c r="D78" s="122" t="s">
        <v>2287</v>
      </c>
      <c r="E78" s="124">
        <v>42937</v>
      </c>
      <c r="F78" s="125">
        <v>0.65625</v>
      </c>
      <c r="G78" s="124">
        <v>43006</v>
      </c>
      <c r="H78" s="125">
        <v>0.66111111111111109</v>
      </c>
      <c r="I78" s="123">
        <v>917</v>
      </c>
      <c r="J78" s="132">
        <v>60</v>
      </c>
      <c r="K78" s="123">
        <v>770</v>
      </c>
      <c r="L78" s="123">
        <v>601</v>
      </c>
      <c r="M78" s="123">
        <v>306</v>
      </c>
      <c r="N78" s="123">
        <v>27.5</v>
      </c>
      <c r="O78" s="123">
        <v>11.2</v>
      </c>
      <c r="P78" s="123"/>
      <c r="Q78" s="123">
        <v>28</v>
      </c>
      <c r="R78" s="123">
        <v>11</v>
      </c>
      <c r="S78" s="123"/>
      <c r="T78" s="123"/>
      <c r="U78" s="123"/>
      <c r="V78" s="123"/>
      <c r="W78" s="123"/>
    </row>
    <row r="79" spans="1:23">
      <c r="A79" s="121">
        <v>77</v>
      </c>
      <c r="B79" s="185" t="s">
        <v>2276</v>
      </c>
      <c r="C79" s="185" t="s">
        <v>2291</v>
      </c>
      <c r="D79" s="122" t="s">
        <v>2287</v>
      </c>
      <c r="E79" s="123"/>
      <c r="F79" s="123"/>
      <c r="G79" s="123"/>
      <c r="H79" s="125"/>
      <c r="I79" s="123">
        <v>1134</v>
      </c>
      <c r="J79" s="123"/>
      <c r="K79" s="123"/>
      <c r="L79" s="123"/>
      <c r="M79" s="123"/>
      <c r="N79" s="123"/>
      <c r="O79" s="123"/>
      <c r="P79" s="123"/>
      <c r="Q79" s="123"/>
      <c r="R79" s="123"/>
      <c r="S79" s="123"/>
      <c r="T79" s="123"/>
      <c r="U79" s="123"/>
      <c r="V79" s="123"/>
      <c r="W79" s="123"/>
    </row>
    <row r="80" spans="1:23">
      <c r="A80" s="121">
        <v>78</v>
      </c>
      <c r="B80" s="185" t="s">
        <v>2276</v>
      </c>
      <c r="C80" s="185" t="s">
        <v>2292</v>
      </c>
      <c r="D80" s="122" t="s">
        <v>2287</v>
      </c>
      <c r="E80" s="124">
        <v>42937</v>
      </c>
      <c r="F80" s="125">
        <v>0.66319444444444442</v>
      </c>
      <c r="G80" s="124">
        <v>43006</v>
      </c>
      <c r="H80" s="125">
        <v>0.65138888888888891</v>
      </c>
      <c r="I80" s="123">
        <v>1135</v>
      </c>
      <c r="J80" s="123">
        <v>97</v>
      </c>
      <c r="K80" s="123">
        <v>696</v>
      </c>
      <c r="L80" s="123">
        <v>157</v>
      </c>
      <c r="M80" s="123">
        <v>377</v>
      </c>
      <c r="N80" s="123">
        <v>27.1</v>
      </c>
      <c r="O80" s="123">
        <v>13.2</v>
      </c>
      <c r="P80" s="123"/>
      <c r="Q80" s="123">
        <v>29.6</v>
      </c>
      <c r="R80" s="123">
        <v>9.1</v>
      </c>
      <c r="S80" s="123" t="s">
        <v>2179</v>
      </c>
      <c r="T80" s="123" t="s">
        <v>2179</v>
      </c>
      <c r="U80" s="123"/>
      <c r="V80" s="123"/>
      <c r="W80" s="123"/>
    </row>
    <row r="81" spans="1:23">
      <c r="A81" s="121">
        <v>79</v>
      </c>
      <c r="B81" s="185" t="s">
        <v>2276</v>
      </c>
      <c r="C81" s="185" t="s">
        <v>2293</v>
      </c>
      <c r="D81" s="122" t="s">
        <v>2287</v>
      </c>
      <c r="E81" s="124">
        <v>42937</v>
      </c>
      <c r="F81" s="125">
        <v>0.66666666666666663</v>
      </c>
      <c r="G81" s="124">
        <v>43006</v>
      </c>
      <c r="H81" s="125">
        <v>0.65486111111111112</v>
      </c>
      <c r="I81" s="123">
        <v>920</v>
      </c>
      <c r="J81" s="123">
        <v>130</v>
      </c>
      <c r="K81" s="123">
        <v>270</v>
      </c>
      <c r="L81" s="123">
        <v>226</v>
      </c>
      <c r="M81" s="123">
        <v>61</v>
      </c>
      <c r="N81" s="123">
        <v>23.8</v>
      </c>
      <c r="O81" s="123">
        <v>7.5</v>
      </c>
      <c r="P81" s="123"/>
      <c r="Q81" s="123">
        <v>28.7</v>
      </c>
      <c r="R81" s="123">
        <v>10.9</v>
      </c>
      <c r="S81" s="123"/>
      <c r="T81" s="123"/>
      <c r="U81" s="123"/>
      <c r="V81" s="123"/>
      <c r="W81" s="123"/>
    </row>
    <row r="82" spans="1:23">
      <c r="A82" s="121">
        <v>80</v>
      </c>
      <c r="B82" s="185" t="s">
        <v>2276</v>
      </c>
      <c r="C82" s="185" t="s">
        <v>2294</v>
      </c>
      <c r="D82" s="122" t="s">
        <v>2287</v>
      </c>
      <c r="E82" s="124">
        <v>42937</v>
      </c>
      <c r="F82" s="125">
        <v>0.65972222222222221</v>
      </c>
      <c r="G82" s="124">
        <v>43006</v>
      </c>
      <c r="H82" s="125">
        <v>0.65763888888888888</v>
      </c>
      <c r="I82" s="123">
        <v>1103</v>
      </c>
      <c r="J82" s="123">
        <v>24</v>
      </c>
      <c r="K82" s="123">
        <v>726</v>
      </c>
      <c r="L82" s="123">
        <v>855</v>
      </c>
      <c r="M82" s="129">
        <v>620</v>
      </c>
      <c r="N82" s="123">
        <v>26.5</v>
      </c>
      <c r="O82" s="123">
        <v>12.4</v>
      </c>
      <c r="P82" s="123"/>
      <c r="Q82" s="123">
        <v>28.9</v>
      </c>
      <c r="R82" s="123">
        <v>11.1</v>
      </c>
      <c r="S82" s="123"/>
      <c r="T82" s="123"/>
      <c r="U82" s="123"/>
      <c r="V82" s="123"/>
      <c r="W82" s="123"/>
    </row>
    <row r="83" spans="1:23">
      <c r="A83" s="121">
        <v>81</v>
      </c>
      <c r="B83" s="185" t="s">
        <v>2276</v>
      </c>
      <c r="C83" s="185" t="s">
        <v>2295</v>
      </c>
      <c r="D83" s="122" t="s">
        <v>2296</v>
      </c>
      <c r="E83" s="124">
        <v>42937</v>
      </c>
      <c r="F83" s="125">
        <v>0.3298611111111111</v>
      </c>
      <c r="G83" s="124">
        <v>43006</v>
      </c>
      <c r="H83" s="125">
        <v>0.49513888888888885</v>
      </c>
      <c r="I83" s="123">
        <v>892</v>
      </c>
      <c r="J83" s="123">
        <v>312</v>
      </c>
      <c r="K83" s="123">
        <v>739</v>
      </c>
      <c r="L83" s="123">
        <v>413</v>
      </c>
      <c r="M83" s="123">
        <v>366</v>
      </c>
      <c r="N83" s="123">
        <v>24.9</v>
      </c>
      <c r="O83" s="123">
        <v>11.3</v>
      </c>
      <c r="P83" s="123"/>
      <c r="Q83" s="123">
        <v>27.8</v>
      </c>
      <c r="R83" s="123">
        <v>12.4</v>
      </c>
      <c r="S83" s="123"/>
      <c r="T83" s="123"/>
      <c r="U83" s="123"/>
      <c r="V83" s="123"/>
      <c r="W83" s="123"/>
    </row>
    <row r="84" spans="1:23">
      <c r="A84" s="121">
        <v>82</v>
      </c>
      <c r="B84" s="185" t="s">
        <v>2276</v>
      </c>
      <c r="C84" s="185" t="s">
        <v>2298</v>
      </c>
      <c r="D84" s="122" t="s">
        <v>2296</v>
      </c>
      <c r="E84" s="124">
        <v>42937</v>
      </c>
      <c r="F84" s="125">
        <v>0.31944444444444448</v>
      </c>
      <c r="G84" s="124">
        <v>43006</v>
      </c>
      <c r="H84" s="125">
        <v>0.49374999999999997</v>
      </c>
      <c r="I84" s="188">
        <v>1128</v>
      </c>
      <c r="J84" s="123">
        <v>356</v>
      </c>
      <c r="K84" s="123">
        <v>800</v>
      </c>
      <c r="L84" s="123">
        <v>370</v>
      </c>
      <c r="M84" s="123">
        <v>610</v>
      </c>
      <c r="N84" s="123">
        <v>24.2</v>
      </c>
      <c r="O84" s="123">
        <v>10.7</v>
      </c>
      <c r="P84" s="123"/>
      <c r="Q84" s="123">
        <v>26.8</v>
      </c>
      <c r="R84" s="123">
        <v>9.1999999999999993</v>
      </c>
      <c r="S84" s="123"/>
      <c r="T84" s="123"/>
      <c r="U84" s="123"/>
      <c r="V84" s="123"/>
      <c r="W84" s="123"/>
    </row>
    <row r="85" spans="1:23">
      <c r="A85" s="121">
        <v>83</v>
      </c>
      <c r="B85" s="185" t="s">
        <v>2276</v>
      </c>
      <c r="C85" s="185" t="s">
        <v>2299</v>
      </c>
      <c r="D85" s="122" t="s">
        <v>2296</v>
      </c>
      <c r="E85" s="124">
        <v>42937</v>
      </c>
      <c r="F85" s="125">
        <v>0.3125</v>
      </c>
      <c r="G85" s="124">
        <v>43006</v>
      </c>
      <c r="H85" s="125">
        <v>0.4909722222222222</v>
      </c>
      <c r="I85" s="123">
        <v>886</v>
      </c>
      <c r="J85" s="123">
        <v>331</v>
      </c>
      <c r="K85" s="123">
        <v>764</v>
      </c>
      <c r="L85" s="123">
        <v>879</v>
      </c>
      <c r="M85" s="123">
        <v>614</v>
      </c>
      <c r="N85" s="123">
        <v>23.8</v>
      </c>
      <c r="O85" s="123">
        <v>11.1</v>
      </c>
      <c r="P85" s="123"/>
      <c r="Q85" s="123">
        <v>28.3</v>
      </c>
      <c r="R85" s="123">
        <v>9</v>
      </c>
      <c r="S85" s="123" t="s">
        <v>2179</v>
      </c>
      <c r="T85" s="123"/>
      <c r="U85" s="123"/>
      <c r="V85" s="123"/>
      <c r="W85" s="123"/>
    </row>
    <row r="86" spans="1:23">
      <c r="A86" s="121">
        <v>84</v>
      </c>
      <c r="B86" s="185" t="s">
        <v>2276</v>
      </c>
      <c r="C86" s="185" t="s">
        <v>2300</v>
      </c>
      <c r="D86" s="122" t="s">
        <v>2296</v>
      </c>
      <c r="E86" s="124">
        <v>42937</v>
      </c>
      <c r="F86" s="125">
        <v>0.31944444444444448</v>
      </c>
      <c r="G86" s="124">
        <v>43006</v>
      </c>
      <c r="H86" s="125">
        <v>0.49236111111111108</v>
      </c>
      <c r="I86" s="123">
        <v>887</v>
      </c>
      <c r="J86" s="129">
        <v>101</v>
      </c>
      <c r="K86" s="123">
        <v>778</v>
      </c>
      <c r="L86" s="123">
        <v>854</v>
      </c>
      <c r="M86" s="123">
        <v>720</v>
      </c>
      <c r="N86" s="123">
        <v>24.9</v>
      </c>
      <c r="O86" s="123">
        <v>8.8000000000000007</v>
      </c>
      <c r="P86" s="123"/>
      <c r="Q86" s="123">
        <v>28.2</v>
      </c>
      <c r="R86" s="123">
        <v>11.5</v>
      </c>
      <c r="S86" s="123" t="s">
        <v>2179</v>
      </c>
      <c r="T86" s="123"/>
      <c r="U86" s="123"/>
      <c r="V86" s="123"/>
      <c r="W86" s="123"/>
    </row>
    <row r="87" spans="1:23">
      <c r="A87" s="121">
        <v>85</v>
      </c>
      <c r="B87" s="185" t="s">
        <v>2276</v>
      </c>
      <c r="C87" s="185" t="s">
        <v>2301</v>
      </c>
      <c r="D87" s="122" t="s">
        <v>2296</v>
      </c>
      <c r="E87" s="123"/>
      <c r="F87" s="123"/>
      <c r="G87" s="123"/>
      <c r="H87" s="123"/>
      <c r="I87" s="123">
        <v>888</v>
      </c>
      <c r="J87" s="123"/>
      <c r="K87" s="123"/>
      <c r="L87" s="123"/>
      <c r="M87" s="123"/>
      <c r="N87" s="123"/>
      <c r="O87" s="123"/>
      <c r="P87" s="123"/>
      <c r="Q87" s="123"/>
      <c r="R87" s="123"/>
      <c r="S87" s="123"/>
      <c r="T87" s="123"/>
      <c r="U87" s="123"/>
      <c r="V87" s="123"/>
      <c r="W87" s="123"/>
    </row>
    <row r="88" spans="1:23">
      <c r="A88" s="121">
        <v>86</v>
      </c>
      <c r="B88" s="185" t="s">
        <v>2276</v>
      </c>
      <c r="C88" s="185" t="s">
        <v>2302</v>
      </c>
      <c r="D88" s="122" t="s">
        <v>2296</v>
      </c>
      <c r="E88" s="124">
        <v>42937</v>
      </c>
      <c r="F88" s="125">
        <v>0.3125</v>
      </c>
      <c r="G88" s="124">
        <v>43006</v>
      </c>
      <c r="H88" s="125">
        <v>0.4861111111111111</v>
      </c>
      <c r="I88" s="123">
        <v>889</v>
      </c>
      <c r="J88" s="123">
        <v>31</v>
      </c>
      <c r="K88" s="123">
        <v>738</v>
      </c>
      <c r="L88" s="123">
        <v>788</v>
      </c>
      <c r="M88" s="123">
        <v>643</v>
      </c>
      <c r="N88" s="123">
        <v>25.8</v>
      </c>
      <c r="O88" s="123">
        <v>13.4</v>
      </c>
      <c r="P88" s="123"/>
      <c r="Q88" s="123">
        <v>28</v>
      </c>
      <c r="R88" s="123">
        <v>10.1</v>
      </c>
      <c r="S88" s="123" t="s">
        <v>2179</v>
      </c>
      <c r="T88" s="123"/>
      <c r="U88" s="123"/>
      <c r="V88" s="123"/>
      <c r="W88" s="123" t="s">
        <v>3539</v>
      </c>
    </row>
    <row r="89" spans="1:23">
      <c r="A89" s="121">
        <v>87</v>
      </c>
      <c r="B89" s="185" t="s">
        <v>2276</v>
      </c>
      <c r="C89" s="185" t="s">
        <v>2303</v>
      </c>
      <c r="D89" s="122" t="s">
        <v>2296</v>
      </c>
      <c r="E89" s="124">
        <v>42937</v>
      </c>
      <c r="F89" s="125">
        <v>0.3263888888888889</v>
      </c>
      <c r="G89" s="124">
        <v>43006</v>
      </c>
      <c r="H89" s="125">
        <v>0.49861111111111112</v>
      </c>
      <c r="I89" s="123">
        <v>890</v>
      </c>
      <c r="J89" s="123">
        <v>220</v>
      </c>
      <c r="K89" s="123">
        <v>394</v>
      </c>
      <c r="L89" s="123">
        <v>91</v>
      </c>
      <c r="M89" s="123">
        <v>277</v>
      </c>
      <c r="N89" s="123">
        <v>21.6</v>
      </c>
      <c r="O89" s="123">
        <v>11.3</v>
      </c>
      <c r="P89" s="123"/>
      <c r="Q89" s="123">
        <v>27</v>
      </c>
      <c r="R89" s="123">
        <v>10</v>
      </c>
      <c r="S89" s="123"/>
      <c r="T89" s="123"/>
      <c r="U89" s="123"/>
      <c r="V89" s="123"/>
      <c r="W89" s="123"/>
    </row>
    <row r="90" spans="1:23">
      <c r="A90" s="121">
        <v>88</v>
      </c>
      <c r="B90" s="185" t="s">
        <v>2276</v>
      </c>
      <c r="C90" s="185" t="s">
        <v>2304</v>
      </c>
      <c r="D90" s="122" t="s">
        <v>2296</v>
      </c>
      <c r="E90" s="124">
        <v>42937</v>
      </c>
      <c r="F90" s="125">
        <v>0.32291666666666669</v>
      </c>
      <c r="G90" s="124">
        <v>43006</v>
      </c>
      <c r="H90" s="125">
        <v>0.49722222222222223</v>
      </c>
      <c r="I90" s="129">
        <v>891</v>
      </c>
      <c r="J90" s="123">
        <v>531</v>
      </c>
      <c r="K90" s="123">
        <v>819</v>
      </c>
      <c r="L90" s="123">
        <v>364</v>
      </c>
      <c r="M90" s="123">
        <v>197</v>
      </c>
      <c r="N90" s="123">
        <v>24.7</v>
      </c>
      <c r="O90" s="123">
        <v>11.1</v>
      </c>
      <c r="P90" s="123"/>
      <c r="Q90" s="123">
        <v>27.4</v>
      </c>
      <c r="R90" s="123">
        <v>12.3</v>
      </c>
      <c r="S90" s="123"/>
      <c r="T90" s="123"/>
      <c r="U90" s="123"/>
      <c r="V90" s="123"/>
      <c r="W90" s="123"/>
    </row>
    <row r="91" spans="1:23">
      <c r="A91" s="121">
        <v>89</v>
      </c>
      <c r="B91" s="185" t="s">
        <v>2276</v>
      </c>
      <c r="C91" s="185" t="s">
        <v>2305</v>
      </c>
      <c r="D91" s="122" t="s">
        <v>2306</v>
      </c>
      <c r="E91" s="124">
        <v>42937</v>
      </c>
      <c r="F91" s="125">
        <v>0.40972222222222227</v>
      </c>
      <c r="G91" s="124">
        <v>43006</v>
      </c>
      <c r="H91" s="125">
        <v>0.42083333333333334</v>
      </c>
      <c r="I91" s="123">
        <v>898</v>
      </c>
      <c r="J91" s="123">
        <v>35</v>
      </c>
      <c r="K91" s="123">
        <v>818</v>
      </c>
      <c r="L91" s="123">
        <v>862</v>
      </c>
      <c r="M91" s="123">
        <v>841</v>
      </c>
      <c r="N91" s="123">
        <v>25.2</v>
      </c>
      <c r="O91" s="123">
        <v>11.6</v>
      </c>
      <c r="P91" s="123"/>
      <c r="Q91" s="123">
        <v>28</v>
      </c>
      <c r="R91" s="123">
        <v>9.4</v>
      </c>
      <c r="S91" s="123"/>
      <c r="T91" s="123"/>
      <c r="U91" s="123"/>
      <c r="V91" s="123"/>
      <c r="W91" s="123"/>
    </row>
    <row r="92" spans="1:23">
      <c r="A92" s="121">
        <v>90</v>
      </c>
      <c r="B92" s="185" t="s">
        <v>2276</v>
      </c>
      <c r="C92" s="185" t="s">
        <v>2307</v>
      </c>
      <c r="D92" s="122" t="s">
        <v>2306</v>
      </c>
      <c r="E92" s="124">
        <v>42937</v>
      </c>
      <c r="F92" s="125">
        <v>0.41666666666666669</v>
      </c>
      <c r="G92" s="124">
        <v>43006</v>
      </c>
      <c r="H92" s="125">
        <v>0.4152777777777778</v>
      </c>
      <c r="I92" s="123">
        <v>899</v>
      </c>
      <c r="J92" s="123">
        <v>264</v>
      </c>
      <c r="K92" s="123">
        <v>767</v>
      </c>
      <c r="L92" s="123">
        <v>330</v>
      </c>
      <c r="M92" s="123">
        <v>220</v>
      </c>
      <c r="N92" s="123">
        <v>24.9</v>
      </c>
      <c r="O92" s="123">
        <v>9.6999999999999993</v>
      </c>
      <c r="P92" s="123"/>
      <c r="Q92" s="123">
        <v>28</v>
      </c>
      <c r="R92" s="123">
        <v>10</v>
      </c>
      <c r="S92" s="123"/>
      <c r="T92" s="123"/>
      <c r="U92" s="123"/>
      <c r="V92" s="123"/>
      <c r="W92" s="123" t="s">
        <v>3539</v>
      </c>
    </row>
    <row r="93" spans="1:23">
      <c r="A93" s="121">
        <v>91</v>
      </c>
      <c r="B93" s="185" t="s">
        <v>2276</v>
      </c>
      <c r="C93" s="185" t="s">
        <v>2308</v>
      </c>
      <c r="D93" s="122" t="s">
        <v>2306</v>
      </c>
      <c r="E93" s="124">
        <v>42937</v>
      </c>
      <c r="F93" s="125">
        <v>0.41319444444444442</v>
      </c>
      <c r="G93" s="124">
        <v>43006</v>
      </c>
      <c r="H93" s="125">
        <v>0.42222222222222222</v>
      </c>
      <c r="I93" s="123">
        <v>900</v>
      </c>
      <c r="J93" s="123">
        <v>13</v>
      </c>
      <c r="K93" s="123">
        <v>787</v>
      </c>
      <c r="L93" s="123">
        <v>596</v>
      </c>
      <c r="M93" s="123">
        <v>659</v>
      </c>
      <c r="N93" s="123">
        <v>24</v>
      </c>
      <c r="O93" s="123">
        <v>11.5</v>
      </c>
      <c r="P93" s="123"/>
      <c r="Q93" s="123">
        <v>27.9</v>
      </c>
      <c r="R93" s="123">
        <v>10.4</v>
      </c>
      <c r="S93" s="123"/>
      <c r="T93" s="123"/>
      <c r="U93" s="123"/>
      <c r="V93" s="123"/>
      <c r="W93" s="123"/>
    </row>
    <row r="94" spans="1:23">
      <c r="A94" s="121">
        <v>92</v>
      </c>
      <c r="B94" s="185" t="s">
        <v>2276</v>
      </c>
      <c r="C94" s="185" t="s">
        <v>2309</v>
      </c>
      <c r="D94" s="122" t="s">
        <v>2306</v>
      </c>
      <c r="E94" s="124">
        <v>42937</v>
      </c>
      <c r="F94" s="125">
        <v>0.41666666666666669</v>
      </c>
      <c r="G94" s="124">
        <v>43006</v>
      </c>
      <c r="H94" s="125">
        <v>0.42291666666666666</v>
      </c>
      <c r="I94" s="123">
        <v>901</v>
      </c>
      <c r="J94" s="123">
        <v>324</v>
      </c>
      <c r="K94" s="123">
        <v>812</v>
      </c>
      <c r="L94" s="123">
        <v>380</v>
      </c>
      <c r="M94" s="129">
        <v>619</v>
      </c>
      <c r="N94" s="123">
        <v>24.4</v>
      </c>
      <c r="O94" s="123">
        <v>7.5</v>
      </c>
      <c r="P94" s="123"/>
      <c r="Q94" s="123">
        <v>27.6</v>
      </c>
      <c r="R94" s="123">
        <v>13</v>
      </c>
      <c r="S94" s="123" t="s">
        <v>2179</v>
      </c>
      <c r="T94" s="123"/>
      <c r="U94" s="123"/>
      <c r="V94" s="123"/>
      <c r="W94" s="123"/>
    </row>
    <row r="95" spans="1:23">
      <c r="A95" s="121">
        <v>93</v>
      </c>
      <c r="B95" s="185" t="s">
        <v>2276</v>
      </c>
      <c r="C95" s="185" t="s">
        <v>2310</v>
      </c>
      <c r="D95" s="122" t="s">
        <v>2306</v>
      </c>
      <c r="E95" s="124">
        <v>42937</v>
      </c>
      <c r="F95" s="125">
        <v>0.4201388888888889</v>
      </c>
      <c r="G95" s="124">
        <v>43006</v>
      </c>
      <c r="H95" s="125">
        <v>0.42499999999999999</v>
      </c>
      <c r="I95" s="123">
        <v>902</v>
      </c>
      <c r="J95" s="123">
        <v>99</v>
      </c>
      <c r="K95" s="123">
        <v>675</v>
      </c>
      <c r="L95" s="123">
        <v>872</v>
      </c>
      <c r="M95" s="123">
        <v>106</v>
      </c>
      <c r="N95" s="123">
        <v>24.8</v>
      </c>
      <c r="O95" s="123">
        <v>10.5</v>
      </c>
      <c r="P95" s="123"/>
      <c r="Q95" s="123">
        <v>28</v>
      </c>
      <c r="R95" s="123">
        <v>10.4</v>
      </c>
      <c r="S95" s="123" t="s">
        <v>2179</v>
      </c>
      <c r="T95" s="123" t="s">
        <v>2179</v>
      </c>
      <c r="U95" s="123"/>
      <c r="V95" s="123"/>
      <c r="W95" s="123"/>
    </row>
    <row r="96" spans="1:23">
      <c r="A96" s="121">
        <v>94</v>
      </c>
      <c r="B96" s="185" t="s">
        <v>2276</v>
      </c>
      <c r="C96" s="185" t="s">
        <v>2311</v>
      </c>
      <c r="D96" s="122" t="s">
        <v>2306</v>
      </c>
      <c r="E96" s="123"/>
      <c r="F96" s="123"/>
      <c r="G96" s="123"/>
      <c r="H96" s="123"/>
      <c r="I96" s="123">
        <v>903</v>
      </c>
      <c r="J96" s="123"/>
      <c r="K96" s="123"/>
      <c r="L96" s="123"/>
      <c r="M96" s="123"/>
      <c r="N96" s="123"/>
      <c r="O96" s="123"/>
      <c r="P96" s="123"/>
      <c r="Q96" s="123"/>
      <c r="R96" s="123"/>
      <c r="S96" s="123"/>
      <c r="T96" s="123"/>
      <c r="U96" s="123"/>
      <c r="V96" s="123"/>
      <c r="W96" s="123"/>
    </row>
    <row r="97" spans="1:23">
      <c r="A97" s="121">
        <v>95</v>
      </c>
      <c r="B97" s="185" t="s">
        <v>2276</v>
      </c>
      <c r="C97" s="185" t="s">
        <v>2312</v>
      </c>
      <c r="D97" s="122" t="s">
        <v>2306</v>
      </c>
      <c r="E97" s="124">
        <v>42937</v>
      </c>
      <c r="F97" s="125">
        <v>0.41666666666666669</v>
      </c>
      <c r="G97" s="124">
        <v>43006</v>
      </c>
      <c r="H97" s="125">
        <v>0.42638888888888887</v>
      </c>
      <c r="I97" s="123">
        <v>904</v>
      </c>
      <c r="J97" s="123">
        <v>126</v>
      </c>
      <c r="K97" s="123">
        <v>794</v>
      </c>
      <c r="L97" s="123">
        <v>844</v>
      </c>
      <c r="M97" s="123">
        <v>233</v>
      </c>
      <c r="N97" s="123">
        <v>25.9</v>
      </c>
      <c r="O97" s="123">
        <v>9.1</v>
      </c>
      <c r="P97" s="123"/>
      <c r="Q97" s="123">
        <v>28.8</v>
      </c>
      <c r="R97" s="123">
        <v>8.4</v>
      </c>
      <c r="S97" s="92"/>
      <c r="T97" s="92"/>
      <c r="U97" s="92"/>
      <c r="V97" s="92"/>
      <c r="W97" s="92"/>
    </row>
    <row r="98" spans="1:23">
      <c r="A98" s="121">
        <v>96</v>
      </c>
      <c r="B98" s="185" t="s">
        <v>2276</v>
      </c>
      <c r="C98" s="185" t="s">
        <v>2313</v>
      </c>
      <c r="D98" s="122" t="s">
        <v>2306</v>
      </c>
      <c r="E98" s="124">
        <v>42937</v>
      </c>
      <c r="F98" s="125">
        <v>0.41666666666666669</v>
      </c>
      <c r="G98" s="124">
        <v>43006</v>
      </c>
      <c r="H98" s="125">
        <v>0.42777777777777781</v>
      </c>
      <c r="I98" s="123">
        <v>905</v>
      </c>
      <c r="J98" s="123">
        <v>244</v>
      </c>
      <c r="K98" s="123">
        <v>737</v>
      </c>
      <c r="L98" s="123">
        <v>372</v>
      </c>
      <c r="M98" s="123">
        <v>698</v>
      </c>
      <c r="N98" s="123">
        <v>23.6</v>
      </c>
      <c r="O98" s="123">
        <v>3.3</v>
      </c>
      <c r="P98" s="123"/>
      <c r="Q98" s="123">
        <v>28.3</v>
      </c>
      <c r="R98" s="123">
        <v>6.9</v>
      </c>
      <c r="S98" s="92"/>
      <c r="T98" s="92"/>
      <c r="U98" s="92"/>
      <c r="V98" s="92"/>
      <c r="W98" s="92"/>
    </row>
    <row r="99" spans="1:23">
      <c r="A99" s="121">
        <v>97</v>
      </c>
      <c r="B99" s="185" t="s">
        <v>2314</v>
      </c>
      <c r="C99" s="185" t="s">
        <v>2315</v>
      </c>
      <c r="D99" s="122" t="s">
        <v>2178</v>
      </c>
      <c r="E99" s="124">
        <v>42939</v>
      </c>
      <c r="F99" s="125">
        <v>0.57291666666666663</v>
      </c>
      <c r="G99" s="124">
        <v>43010</v>
      </c>
      <c r="H99" s="125">
        <v>0.44791666666666669</v>
      </c>
      <c r="I99" s="123">
        <v>718</v>
      </c>
      <c r="J99" s="123">
        <v>432</v>
      </c>
      <c r="K99" s="123">
        <v>801</v>
      </c>
      <c r="L99" s="123">
        <v>3</v>
      </c>
      <c r="M99" s="123">
        <v>47</v>
      </c>
      <c r="N99" s="123">
        <v>29.1</v>
      </c>
      <c r="O99" s="123">
        <v>5.6</v>
      </c>
      <c r="P99" s="123" t="s">
        <v>2521</v>
      </c>
      <c r="Q99" s="123">
        <v>27.9</v>
      </c>
      <c r="R99" s="123">
        <v>7.6</v>
      </c>
      <c r="S99" s="123" t="s">
        <v>2238</v>
      </c>
      <c r="T99" s="123" t="s">
        <v>2238</v>
      </c>
      <c r="U99" s="123"/>
      <c r="V99" s="123"/>
      <c r="W99" s="123" t="s">
        <v>3541</v>
      </c>
    </row>
    <row r="100" spans="1:23">
      <c r="A100" s="121">
        <v>98</v>
      </c>
      <c r="B100" s="185" t="s">
        <v>2314</v>
      </c>
      <c r="C100" s="185" t="s">
        <v>2316</v>
      </c>
      <c r="D100" s="122" t="s">
        <v>2178</v>
      </c>
      <c r="E100" s="124">
        <v>42939</v>
      </c>
      <c r="F100" s="125">
        <v>0.57291666666666663</v>
      </c>
      <c r="G100" s="124">
        <v>43010</v>
      </c>
      <c r="H100" s="125">
        <v>0.4548611111111111</v>
      </c>
      <c r="I100" s="123">
        <v>719</v>
      </c>
      <c r="J100" s="123">
        <v>184</v>
      </c>
      <c r="K100" s="123">
        <v>808</v>
      </c>
      <c r="L100" s="123">
        <v>25</v>
      </c>
      <c r="M100" s="123">
        <v>707</v>
      </c>
      <c r="N100" s="123">
        <v>30.1</v>
      </c>
      <c r="O100" s="123">
        <v>5.4</v>
      </c>
      <c r="P100" s="123" t="s">
        <v>2521</v>
      </c>
      <c r="Q100" s="123">
        <v>28.5</v>
      </c>
      <c r="R100" s="123">
        <v>9.1</v>
      </c>
      <c r="S100" s="123" t="s">
        <v>2238</v>
      </c>
      <c r="T100" s="123" t="s">
        <v>2238</v>
      </c>
      <c r="U100" s="123"/>
      <c r="V100" s="123"/>
      <c r="W100" s="123" t="s">
        <v>3542</v>
      </c>
    </row>
    <row r="101" spans="1:23">
      <c r="A101" s="121">
        <v>99</v>
      </c>
      <c r="B101" s="185" t="s">
        <v>2314</v>
      </c>
      <c r="C101" s="185" t="s">
        <v>2317</v>
      </c>
      <c r="D101" s="122" t="s">
        <v>2178</v>
      </c>
      <c r="E101" s="123"/>
      <c r="F101" s="123"/>
      <c r="G101" s="123"/>
      <c r="H101" s="125"/>
      <c r="I101" s="123">
        <v>720</v>
      </c>
      <c r="J101" s="123"/>
      <c r="K101" s="123"/>
      <c r="L101" s="123"/>
      <c r="M101" s="123"/>
      <c r="N101" s="123"/>
      <c r="O101" s="123"/>
      <c r="P101" s="123"/>
      <c r="Q101" s="123"/>
      <c r="R101" s="123"/>
      <c r="S101" s="123"/>
      <c r="T101" s="123"/>
      <c r="U101" s="123"/>
      <c r="V101" s="123"/>
      <c r="W101" s="123"/>
    </row>
    <row r="102" spans="1:23">
      <c r="A102" s="121">
        <v>100</v>
      </c>
      <c r="B102" s="185" t="s">
        <v>2314</v>
      </c>
      <c r="C102" s="185" t="s">
        <v>2318</v>
      </c>
      <c r="D102" s="122" t="s">
        <v>2178</v>
      </c>
      <c r="E102" s="124">
        <v>42939</v>
      </c>
      <c r="F102" s="125">
        <v>0.57638888888888895</v>
      </c>
      <c r="G102" s="124">
        <v>43010</v>
      </c>
      <c r="H102" s="123" t="s">
        <v>3540</v>
      </c>
      <c r="I102" s="123">
        <v>721</v>
      </c>
      <c r="J102" s="123">
        <v>176</v>
      </c>
      <c r="K102" s="123">
        <v>276</v>
      </c>
      <c r="L102" s="123">
        <v>187</v>
      </c>
      <c r="M102" s="123">
        <v>641</v>
      </c>
      <c r="N102" s="123">
        <v>31.3</v>
      </c>
      <c r="O102" s="123">
        <v>5.5</v>
      </c>
      <c r="P102" s="123" t="s">
        <v>2521</v>
      </c>
      <c r="Q102" s="123">
        <v>26.9</v>
      </c>
      <c r="R102" s="123">
        <v>8</v>
      </c>
      <c r="S102" s="123" t="s">
        <v>2238</v>
      </c>
      <c r="T102" s="123" t="s">
        <v>2238</v>
      </c>
      <c r="U102" s="123"/>
      <c r="V102" s="123"/>
      <c r="W102" s="123"/>
    </row>
    <row r="103" spans="1:23">
      <c r="A103" s="121">
        <v>101</v>
      </c>
      <c r="B103" s="185" t="s">
        <v>2314</v>
      </c>
      <c r="C103" s="185" t="s">
        <v>2320</v>
      </c>
      <c r="D103" s="122" t="s">
        <v>2178</v>
      </c>
      <c r="E103" s="124">
        <v>42939</v>
      </c>
      <c r="F103" s="125">
        <v>0.57638888888888895</v>
      </c>
      <c r="G103" s="124">
        <v>43010</v>
      </c>
      <c r="H103" s="125">
        <v>0.45833333333333331</v>
      </c>
      <c r="I103" s="123">
        <v>722</v>
      </c>
      <c r="J103" s="123">
        <v>11</v>
      </c>
      <c r="K103" s="123">
        <v>624</v>
      </c>
      <c r="L103" s="123">
        <v>398</v>
      </c>
      <c r="M103" s="123">
        <v>245</v>
      </c>
      <c r="N103" s="123">
        <v>31.2</v>
      </c>
      <c r="O103" s="123">
        <v>6</v>
      </c>
      <c r="P103" s="123" t="s">
        <v>2521</v>
      </c>
      <c r="Q103" s="123">
        <v>27.9</v>
      </c>
      <c r="R103" s="123">
        <v>9.5</v>
      </c>
      <c r="S103" s="123" t="s">
        <v>2319</v>
      </c>
      <c r="T103" s="123" t="s">
        <v>2238</v>
      </c>
      <c r="U103" s="123"/>
      <c r="V103" s="123"/>
      <c r="W103" s="123"/>
    </row>
    <row r="104" spans="1:23">
      <c r="A104" s="121">
        <v>102</v>
      </c>
      <c r="B104" s="185" t="s">
        <v>2314</v>
      </c>
      <c r="C104" s="185" t="s">
        <v>2321</v>
      </c>
      <c r="D104" s="122" t="s">
        <v>2178</v>
      </c>
      <c r="E104" s="124">
        <v>42939</v>
      </c>
      <c r="F104" s="125">
        <v>0.56944444444444442</v>
      </c>
      <c r="G104" s="124">
        <v>43010</v>
      </c>
      <c r="H104" s="125">
        <v>0.4604166666666667</v>
      </c>
      <c r="I104" s="123">
        <v>723</v>
      </c>
      <c r="J104" s="123">
        <v>284</v>
      </c>
      <c r="K104" s="123">
        <v>781</v>
      </c>
      <c r="L104" s="123">
        <v>120</v>
      </c>
      <c r="M104" s="123">
        <v>714</v>
      </c>
      <c r="N104" s="123">
        <v>30.1</v>
      </c>
      <c r="O104" s="123">
        <v>5.8</v>
      </c>
      <c r="P104" s="123" t="s">
        <v>2521</v>
      </c>
      <c r="Q104" s="123">
        <v>28</v>
      </c>
      <c r="R104" s="123">
        <v>8.8000000000000007</v>
      </c>
      <c r="S104" s="123" t="s">
        <v>2195</v>
      </c>
      <c r="T104" s="123" t="s">
        <v>2195</v>
      </c>
      <c r="U104" s="123"/>
      <c r="V104" s="123"/>
      <c r="W104" s="123"/>
    </row>
    <row r="105" spans="1:23">
      <c r="A105" s="121">
        <v>103</v>
      </c>
      <c r="B105" s="185" t="s">
        <v>2314</v>
      </c>
      <c r="C105" s="185" t="s">
        <v>2322</v>
      </c>
      <c r="D105" s="122" t="s">
        <v>2178</v>
      </c>
      <c r="E105" s="124">
        <v>42939</v>
      </c>
      <c r="F105" s="125">
        <v>0.56944444444444442</v>
      </c>
      <c r="G105" s="124">
        <v>43010</v>
      </c>
      <c r="H105" s="125">
        <v>0.46249999999999997</v>
      </c>
      <c r="I105" s="123">
        <v>724</v>
      </c>
      <c r="J105" s="123">
        <v>326</v>
      </c>
      <c r="K105" s="123">
        <v>772</v>
      </c>
      <c r="L105" s="123">
        <v>145</v>
      </c>
      <c r="M105" s="123">
        <v>701</v>
      </c>
      <c r="N105" s="123">
        <v>30.2</v>
      </c>
      <c r="O105" s="123">
        <v>52</v>
      </c>
      <c r="P105" s="123" t="s">
        <v>2521</v>
      </c>
      <c r="Q105" s="123">
        <v>27.4</v>
      </c>
      <c r="R105" s="123">
        <v>9.8000000000000007</v>
      </c>
      <c r="S105" s="123" t="s">
        <v>2195</v>
      </c>
      <c r="T105" s="123" t="s">
        <v>2195</v>
      </c>
      <c r="U105" s="123"/>
      <c r="V105" s="123"/>
      <c r="W105" s="123" t="s">
        <v>3543</v>
      </c>
    </row>
    <row r="106" spans="1:23">
      <c r="A106" s="121">
        <v>104</v>
      </c>
      <c r="B106" s="185" t="s">
        <v>2314</v>
      </c>
      <c r="C106" s="185" t="s">
        <v>2323</v>
      </c>
      <c r="D106" s="122" t="s">
        <v>2178</v>
      </c>
      <c r="E106" s="124">
        <v>42939</v>
      </c>
      <c r="F106" s="125">
        <v>0.57638888888888895</v>
      </c>
      <c r="G106" s="124">
        <v>43010</v>
      </c>
      <c r="H106" s="125">
        <v>0.46458333333333335</v>
      </c>
      <c r="I106" s="123">
        <v>725</v>
      </c>
      <c r="J106" s="123">
        <v>162</v>
      </c>
      <c r="K106" s="123">
        <v>744</v>
      </c>
      <c r="L106" s="123">
        <v>76</v>
      </c>
      <c r="M106" s="164">
        <v>365</v>
      </c>
      <c r="N106" s="123">
        <v>28.6</v>
      </c>
      <c r="O106" s="123">
        <v>7.6</v>
      </c>
      <c r="P106" s="123" t="s">
        <v>2521</v>
      </c>
      <c r="Q106" s="123">
        <v>27.5</v>
      </c>
      <c r="R106" s="123">
        <v>11</v>
      </c>
      <c r="S106" s="123" t="s">
        <v>2319</v>
      </c>
      <c r="T106" s="123" t="s">
        <v>2195</v>
      </c>
      <c r="U106" s="123"/>
      <c r="V106" s="123"/>
      <c r="W106" s="123"/>
    </row>
    <row r="107" spans="1:23">
      <c r="A107" s="121">
        <v>105</v>
      </c>
      <c r="B107" s="185" t="s">
        <v>2314</v>
      </c>
      <c r="C107" s="185" t="s">
        <v>2324</v>
      </c>
      <c r="D107" s="122" t="s">
        <v>2194</v>
      </c>
      <c r="E107" s="124">
        <v>42939</v>
      </c>
      <c r="F107" s="125">
        <v>0.58333333333333337</v>
      </c>
      <c r="G107" s="124">
        <v>43010</v>
      </c>
      <c r="H107" s="125">
        <v>0.47847222222222219</v>
      </c>
      <c r="I107" s="123">
        <v>726</v>
      </c>
      <c r="J107" s="123">
        <v>6</v>
      </c>
      <c r="K107" s="123">
        <v>824</v>
      </c>
      <c r="L107" s="123">
        <v>57</v>
      </c>
      <c r="M107" s="123">
        <v>212</v>
      </c>
      <c r="N107" s="123">
        <v>32.799999999999997</v>
      </c>
      <c r="O107" s="123">
        <v>5.7</v>
      </c>
      <c r="P107" s="123" t="s">
        <v>2521</v>
      </c>
      <c r="Q107" s="123">
        <v>28.3</v>
      </c>
      <c r="R107" s="123">
        <v>9.4</v>
      </c>
      <c r="S107" s="123"/>
      <c r="T107" s="123" t="s">
        <v>2195</v>
      </c>
      <c r="U107" s="123"/>
      <c r="V107" s="123"/>
      <c r="W107" s="123" t="s">
        <v>3525</v>
      </c>
    </row>
    <row r="108" spans="1:23">
      <c r="A108" s="121">
        <v>106</v>
      </c>
      <c r="B108" s="185" t="s">
        <v>2314</v>
      </c>
      <c r="C108" s="185" t="s">
        <v>2325</v>
      </c>
      <c r="D108" s="122" t="s">
        <v>2194</v>
      </c>
      <c r="E108" s="124">
        <v>42939</v>
      </c>
      <c r="F108" s="125">
        <v>0.58333333333333337</v>
      </c>
      <c r="G108" s="124">
        <v>43010</v>
      </c>
      <c r="H108" s="125">
        <v>0.48194444444444445</v>
      </c>
      <c r="I108" s="123">
        <v>727</v>
      </c>
      <c r="J108" s="123">
        <v>20</v>
      </c>
      <c r="K108" s="123">
        <v>790</v>
      </c>
      <c r="L108" s="123">
        <v>167</v>
      </c>
      <c r="M108" s="123">
        <v>66</v>
      </c>
      <c r="N108" s="123">
        <v>31.1</v>
      </c>
      <c r="O108" s="123">
        <v>5.7</v>
      </c>
      <c r="P108" s="123" t="s">
        <v>2521</v>
      </c>
      <c r="Q108" s="123">
        <v>31.5</v>
      </c>
      <c r="R108" s="123">
        <v>6.5</v>
      </c>
      <c r="S108" s="123" t="s">
        <v>2179</v>
      </c>
      <c r="T108" s="123" t="s">
        <v>2195</v>
      </c>
      <c r="U108" s="123"/>
      <c r="V108" s="123"/>
      <c r="W108" s="123"/>
    </row>
    <row r="109" spans="1:23">
      <c r="A109" s="121">
        <v>107</v>
      </c>
      <c r="B109" s="185" t="s">
        <v>2314</v>
      </c>
      <c r="C109" s="185" t="s">
        <v>2326</v>
      </c>
      <c r="D109" s="122" t="s">
        <v>2194</v>
      </c>
      <c r="E109" s="124">
        <v>42939</v>
      </c>
      <c r="F109" s="125">
        <v>0.58333333333333337</v>
      </c>
      <c r="G109" s="124">
        <v>43010</v>
      </c>
      <c r="H109" s="125">
        <v>0.47152777777777777</v>
      </c>
      <c r="I109" s="123">
        <v>728</v>
      </c>
      <c r="J109" s="123">
        <v>129</v>
      </c>
      <c r="K109" s="123">
        <v>809</v>
      </c>
      <c r="L109" s="123">
        <v>208</v>
      </c>
      <c r="M109" s="123">
        <v>347</v>
      </c>
      <c r="N109" s="123">
        <v>31.3</v>
      </c>
      <c r="O109" s="123">
        <v>5.6</v>
      </c>
      <c r="P109" s="123" t="s">
        <v>2521</v>
      </c>
      <c r="Q109" s="123">
        <v>29.1</v>
      </c>
      <c r="R109" s="123">
        <v>5</v>
      </c>
      <c r="S109" s="123" t="s">
        <v>2238</v>
      </c>
      <c r="T109" s="123" t="s">
        <v>2238</v>
      </c>
      <c r="U109" s="123"/>
      <c r="V109" s="123"/>
      <c r="W109" s="123" t="s">
        <v>3544</v>
      </c>
    </row>
    <row r="110" spans="1:23">
      <c r="A110" s="121">
        <v>108</v>
      </c>
      <c r="B110" s="185" t="s">
        <v>2314</v>
      </c>
      <c r="C110" s="185" t="s">
        <v>2327</v>
      </c>
      <c r="D110" s="122" t="s">
        <v>2194</v>
      </c>
      <c r="E110" s="124">
        <v>42939</v>
      </c>
      <c r="F110" s="125">
        <v>0.57986111111111105</v>
      </c>
      <c r="G110" s="124">
        <v>43010</v>
      </c>
      <c r="H110" s="125">
        <v>0.47569444444444442</v>
      </c>
      <c r="I110" s="123">
        <v>729</v>
      </c>
      <c r="J110" s="123">
        <v>258</v>
      </c>
      <c r="K110" s="123">
        <v>777</v>
      </c>
      <c r="L110" s="123">
        <v>62</v>
      </c>
      <c r="M110" s="123">
        <v>206</v>
      </c>
      <c r="N110" s="123">
        <v>33.700000000000003</v>
      </c>
      <c r="O110" s="123">
        <v>5.5</v>
      </c>
      <c r="P110" s="123" t="s">
        <v>2521</v>
      </c>
      <c r="Q110" s="123">
        <v>29.9</v>
      </c>
      <c r="R110" s="123">
        <v>9.8000000000000007</v>
      </c>
      <c r="S110" s="123" t="s">
        <v>2319</v>
      </c>
      <c r="T110" s="123"/>
      <c r="U110" s="123"/>
      <c r="V110" s="123"/>
      <c r="W110" s="123"/>
    </row>
    <row r="111" spans="1:23">
      <c r="A111" s="121">
        <v>109</v>
      </c>
      <c r="B111" s="185" t="s">
        <v>2314</v>
      </c>
      <c r="C111" s="185" t="s">
        <v>2329</v>
      </c>
      <c r="D111" s="122" t="s">
        <v>2194</v>
      </c>
      <c r="E111" s="124">
        <v>42939</v>
      </c>
      <c r="F111" s="125">
        <v>0.57986111111111105</v>
      </c>
      <c r="G111" s="124">
        <v>43010</v>
      </c>
      <c r="H111" s="125">
        <v>0.4770833333333333</v>
      </c>
      <c r="I111" s="123">
        <v>730</v>
      </c>
      <c r="J111" s="123">
        <v>294</v>
      </c>
      <c r="K111" s="123">
        <v>804</v>
      </c>
      <c r="L111" s="123">
        <v>102</v>
      </c>
      <c r="M111" s="123">
        <v>299</v>
      </c>
      <c r="N111" s="123">
        <v>32.4</v>
      </c>
      <c r="O111" s="123">
        <v>5.0999999999999996</v>
      </c>
      <c r="P111" s="123" t="s">
        <v>2521</v>
      </c>
      <c r="Q111" s="123">
        <v>28.9</v>
      </c>
      <c r="R111" s="123">
        <v>9.9</v>
      </c>
      <c r="S111" s="123"/>
      <c r="T111" s="123" t="s">
        <v>2195</v>
      </c>
      <c r="U111" s="123"/>
      <c r="V111" s="123"/>
      <c r="W111" s="123"/>
    </row>
    <row r="112" spans="1:23">
      <c r="A112" s="121">
        <v>110</v>
      </c>
      <c r="B112" s="185" t="s">
        <v>2314</v>
      </c>
      <c r="C112" s="185" t="s">
        <v>2330</v>
      </c>
      <c r="D112" s="122" t="s">
        <v>2194</v>
      </c>
      <c r="E112" s="124">
        <v>42939</v>
      </c>
      <c r="F112" s="125">
        <v>0.58333333333333337</v>
      </c>
      <c r="G112" s="124">
        <v>43010</v>
      </c>
      <c r="H112" s="125">
        <v>0.47986111111111113</v>
      </c>
      <c r="I112" s="123">
        <v>731</v>
      </c>
      <c r="J112" s="123">
        <v>350</v>
      </c>
      <c r="K112" s="123">
        <v>786</v>
      </c>
      <c r="L112" s="123">
        <v>265</v>
      </c>
      <c r="M112" s="123">
        <v>636</v>
      </c>
      <c r="N112" s="123">
        <v>32.700000000000003</v>
      </c>
      <c r="O112" s="123">
        <v>5.9</v>
      </c>
      <c r="P112" s="123" t="s">
        <v>2521</v>
      </c>
      <c r="Q112" s="123">
        <v>29.6</v>
      </c>
      <c r="R112" s="123">
        <v>8.8000000000000007</v>
      </c>
      <c r="S112" s="123" t="s">
        <v>2238</v>
      </c>
      <c r="T112" s="123" t="s">
        <v>2238</v>
      </c>
      <c r="U112" s="123"/>
      <c r="V112" s="123"/>
      <c r="W112" s="123"/>
    </row>
    <row r="113" spans="1:23">
      <c r="A113" s="121">
        <v>111</v>
      </c>
      <c r="B113" s="185" t="s">
        <v>2314</v>
      </c>
      <c r="C113" s="185" t="s">
        <v>2331</v>
      </c>
      <c r="D113" s="122" t="s">
        <v>2194</v>
      </c>
      <c r="E113" s="124">
        <v>42939</v>
      </c>
      <c r="F113" s="125">
        <v>0.58680555555555558</v>
      </c>
      <c r="G113" s="124">
        <v>43010</v>
      </c>
      <c r="H113" s="125">
        <v>0.48055555555555557</v>
      </c>
      <c r="I113" s="123">
        <v>732</v>
      </c>
      <c r="J113" s="123">
        <v>274</v>
      </c>
      <c r="K113" s="123">
        <v>835</v>
      </c>
      <c r="L113" s="123">
        <v>455</v>
      </c>
      <c r="M113" s="123">
        <v>239</v>
      </c>
      <c r="N113" s="123">
        <v>31.2</v>
      </c>
      <c r="O113" s="123">
        <v>7.1</v>
      </c>
      <c r="P113" s="123" t="s">
        <v>2522</v>
      </c>
      <c r="Q113" s="123">
        <v>27.9</v>
      </c>
      <c r="R113" s="123">
        <v>9.5</v>
      </c>
      <c r="S113" s="123" t="s">
        <v>2319</v>
      </c>
      <c r="T113" s="123"/>
      <c r="U113" s="123"/>
      <c r="V113" s="123"/>
      <c r="W113" s="123"/>
    </row>
    <row r="114" spans="1:23">
      <c r="A114" s="121">
        <v>112</v>
      </c>
      <c r="B114" s="185" t="s">
        <v>2314</v>
      </c>
      <c r="C114" s="185" t="s">
        <v>2332</v>
      </c>
      <c r="D114" s="122" t="s">
        <v>2194</v>
      </c>
      <c r="E114" s="124"/>
      <c r="F114" s="124"/>
      <c r="G114" s="124"/>
      <c r="H114" s="125"/>
      <c r="I114" s="123">
        <v>733</v>
      </c>
      <c r="J114" s="124"/>
      <c r="K114" s="124"/>
      <c r="L114" s="124"/>
      <c r="M114" s="124"/>
      <c r="N114" s="124"/>
      <c r="O114" s="124"/>
      <c r="P114" s="124"/>
      <c r="Q114" s="123"/>
      <c r="R114" s="123"/>
      <c r="S114" s="123"/>
      <c r="T114" s="123"/>
      <c r="U114" s="123"/>
      <c r="V114" s="123"/>
      <c r="W114" s="123"/>
    </row>
    <row r="115" spans="1:23">
      <c r="A115" s="121">
        <v>113</v>
      </c>
      <c r="B115" s="185" t="s">
        <v>2314</v>
      </c>
      <c r="C115" s="185" t="s">
        <v>2333</v>
      </c>
      <c r="D115" s="122" t="s">
        <v>2208</v>
      </c>
      <c r="E115" s="124">
        <v>42939</v>
      </c>
      <c r="F115" s="123"/>
      <c r="G115" s="124">
        <v>43008</v>
      </c>
      <c r="H115" s="125">
        <v>0.56736111111111109</v>
      </c>
      <c r="I115" s="123">
        <v>739</v>
      </c>
      <c r="J115" s="123">
        <v>314</v>
      </c>
      <c r="K115" s="123">
        <v>807</v>
      </c>
      <c r="L115" s="123">
        <v>490</v>
      </c>
      <c r="M115" s="123">
        <v>313</v>
      </c>
      <c r="N115" s="123">
        <v>26.8</v>
      </c>
      <c r="O115" s="123">
        <v>5.8</v>
      </c>
      <c r="P115" s="123" t="s">
        <v>2521</v>
      </c>
      <c r="Q115" s="123">
        <v>31</v>
      </c>
      <c r="R115" s="123">
        <v>6.9</v>
      </c>
      <c r="S115" s="123" t="s">
        <v>2187</v>
      </c>
      <c r="T115" s="123"/>
      <c r="U115" s="123"/>
      <c r="V115" s="123"/>
      <c r="W115" s="123"/>
    </row>
    <row r="116" spans="1:23">
      <c r="A116" s="121">
        <v>114</v>
      </c>
      <c r="B116" s="185" t="s">
        <v>2314</v>
      </c>
      <c r="C116" s="185" t="s">
        <v>2334</v>
      </c>
      <c r="D116" s="122" t="s">
        <v>2208</v>
      </c>
      <c r="E116" s="124">
        <v>42939</v>
      </c>
      <c r="F116" s="123"/>
      <c r="G116" s="124">
        <v>43008</v>
      </c>
      <c r="H116" s="125">
        <v>0.56874999999999998</v>
      </c>
      <c r="I116" s="123">
        <v>740</v>
      </c>
      <c r="J116" s="123">
        <v>263</v>
      </c>
      <c r="K116" s="123">
        <v>829</v>
      </c>
      <c r="L116" s="123">
        <v>650</v>
      </c>
      <c r="M116" s="123">
        <v>247</v>
      </c>
      <c r="N116" s="123">
        <v>26.6</v>
      </c>
      <c r="O116" s="123">
        <v>7.2</v>
      </c>
      <c r="P116" s="123" t="s">
        <v>2521</v>
      </c>
      <c r="Q116" s="123">
        <v>29.6</v>
      </c>
      <c r="R116" s="123">
        <v>17</v>
      </c>
      <c r="S116" s="123"/>
      <c r="T116" s="123" t="s">
        <v>2179</v>
      </c>
      <c r="U116" s="123"/>
      <c r="V116" s="123"/>
      <c r="W116" s="123"/>
    </row>
    <row r="117" spans="1:23">
      <c r="A117" s="121">
        <v>115</v>
      </c>
      <c r="B117" s="185" t="s">
        <v>2314</v>
      </c>
      <c r="C117" s="185" t="s">
        <v>2335</v>
      </c>
      <c r="D117" s="122" t="s">
        <v>2208</v>
      </c>
      <c r="E117" s="124">
        <v>42939</v>
      </c>
      <c r="F117" s="123"/>
      <c r="G117" s="124">
        <v>43008</v>
      </c>
      <c r="H117" s="125">
        <v>0.57013888888888886</v>
      </c>
      <c r="I117" s="123">
        <v>741</v>
      </c>
      <c r="J117" s="123">
        <v>125</v>
      </c>
      <c r="K117" s="123">
        <v>766</v>
      </c>
      <c r="L117" s="123">
        <v>873</v>
      </c>
      <c r="M117" s="123">
        <v>671</v>
      </c>
      <c r="N117" s="123">
        <v>27</v>
      </c>
      <c r="O117" s="123">
        <v>4</v>
      </c>
      <c r="P117" s="123" t="s">
        <v>2521</v>
      </c>
      <c r="Q117" s="123">
        <v>30.9</v>
      </c>
      <c r="R117" s="123">
        <v>9.8000000000000007</v>
      </c>
      <c r="S117" s="123" t="s">
        <v>2187</v>
      </c>
      <c r="T117" s="123" t="s">
        <v>2206</v>
      </c>
      <c r="U117" s="123"/>
      <c r="V117" s="123"/>
      <c r="W117" s="123"/>
    </row>
    <row r="118" spans="1:23">
      <c r="A118" s="121">
        <v>116</v>
      </c>
      <c r="B118" s="185" t="s">
        <v>2314</v>
      </c>
      <c r="C118" s="185" t="s">
        <v>2336</v>
      </c>
      <c r="D118" s="122" t="s">
        <v>2208</v>
      </c>
      <c r="E118" s="124">
        <v>42939</v>
      </c>
      <c r="F118" s="123"/>
      <c r="G118" s="124">
        <v>43008</v>
      </c>
      <c r="H118" s="125">
        <v>0.5625</v>
      </c>
      <c r="I118" s="123">
        <v>742</v>
      </c>
      <c r="J118" s="123">
        <v>189</v>
      </c>
      <c r="K118" s="123">
        <v>757</v>
      </c>
      <c r="L118" s="123">
        <v>206</v>
      </c>
      <c r="M118" s="123">
        <v>638</v>
      </c>
      <c r="N118" s="123">
        <v>28.7</v>
      </c>
      <c r="O118" s="123">
        <v>5.8</v>
      </c>
      <c r="P118" s="123" t="s">
        <v>2521</v>
      </c>
      <c r="Q118" s="123">
        <v>30.9</v>
      </c>
      <c r="R118" s="123">
        <v>11.5</v>
      </c>
      <c r="S118" s="123" t="s">
        <v>2187</v>
      </c>
      <c r="T118" s="123"/>
      <c r="U118" s="123"/>
      <c r="V118" s="123"/>
      <c r="W118" s="123"/>
    </row>
    <row r="119" spans="1:23">
      <c r="A119" s="121">
        <v>117</v>
      </c>
      <c r="B119" s="185" t="s">
        <v>2314</v>
      </c>
      <c r="C119" s="185" t="s">
        <v>2337</v>
      </c>
      <c r="D119" s="122" t="s">
        <v>2208</v>
      </c>
      <c r="E119" s="124">
        <v>42939</v>
      </c>
      <c r="F119" s="123"/>
      <c r="G119" s="124">
        <v>43008</v>
      </c>
      <c r="H119" s="125">
        <v>0.55763888888888891</v>
      </c>
      <c r="I119" s="123">
        <v>743</v>
      </c>
      <c r="J119" s="123">
        <v>533</v>
      </c>
      <c r="K119" s="123">
        <v>745</v>
      </c>
      <c r="L119" s="123">
        <v>163</v>
      </c>
      <c r="M119" s="123">
        <v>719</v>
      </c>
      <c r="N119" s="123">
        <v>27.6</v>
      </c>
      <c r="O119" s="123">
        <v>5.6</v>
      </c>
      <c r="P119" s="123" t="s">
        <v>2521</v>
      </c>
      <c r="Q119" s="123">
        <v>30.5</v>
      </c>
      <c r="R119" s="123">
        <v>14.7</v>
      </c>
      <c r="S119" s="123" t="s">
        <v>2187</v>
      </c>
      <c r="T119" s="123"/>
      <c r="U119" s="123"/>
      <c r="V119" s="123"/>
      <c r="W119" s="123" t="s">
        <v>3539</v>
      </c>
    </row>
    <row r="120" spans="1:23">
      <c r="A120" s="121">
        <v>118</v>
      </c>
      <c r="B120" s="185" t="s">
        <v>2314</v>
      </c>
      <c r="C120" s="185" t="s">
        <v>2338</v>
      </c>
      <c r="D120" s="122" t="s">
        <v>2208</v>
      </c>
      <c r="E120" s="124">
        <v>42939</v>
      </c>
      <c r="F120" s="123"/>
      <c r="G120" s="124">
        <v>43008</v>
      </c>
      <c r="H120" s="125">
        <v>0.56388888888888888</v>
      </c>
      <c r="I120" s="123">
        <v>744</v>
      </c>
      <c r="J120" s="123">
        <v>200</v>
      </c>
      <c r="K120" s="123">
        <v>791</v>
      </c>
      <c r="L120" s="123">
        <v>83</v>
      </c>
      <c r="M120" s="123">
        <v>173</v>
      </c>
      <c r="N120" s="123">
        <v>26.8</v>
      </c>
      <c r="O120" s="123">
        <v>5.3</v>
      </c>
      <c r="P120" s="123" t="s">
        <v>2521</v>
      </c>
      <c r="Q120" s="123">
        <v>29.7</v>
      </c>
      <c r="R120" s="123">
        <v>10.3</v>
      </c>
      <c r="S120" s="123" t="s">
        <v>2206</v>
      </c>
      <c r="T120" s="123"/>
      <c r="U120" s="123" t="s">
        <v>2187</v>
      </c>
      <c r="V120" s="123"/>
      <c r="W120" s="123"/>
    </row>
    <row r="121" spans="1:23">
      <c r="A121" s="121">
        <v>119</v>
      </c>
      <c r="B121" s="185" t="s">
        <v>2314</v>
      </c>
      <c r="C121" s="185" t="s">
        <v>2339</v>
      </c>
      <c r="D121" s="122" t="s">
        <v>2208</v>
      </c>
      <c r="E121" s="124">
        <v>42939</v>
      </c>
      <c r="F121" s="125">
        <v>0.30208333333333331</v>
      </c>
      <c r="G121" s="124">
        <v>43008</v>
      </c>
      <c r="H121" s="125">
        <v>0.56527777777777777</v>
      </c>
      <c r="I121" s="123">
        <v>745</v>
      </c>
      <c r="J121" s="123">
        <v>236</v>
      </c>
      <c r="K121" s="123">
        <v>802</v>
      </c>
      <c r="L121" s="123">
        <v>159</v>
      </c>
      <c r="M121" s="123">
        <v>373</v>
      </c>
      <c r="N121" s="123">
        <v>26.4</v>
      </c>
      <c r="O121" s="123">
        <v>9.1</v>
      </c>
      <c r="P121" s="123" t="s">
        <v>2521</v>
      </c>
      <c r="Q121" s="123">
        <v>29.5</v>
      </c>
      <c r="R121" s="123">
        <v>11</v>
      </c>
      <c r="S121" s="123" t="s">
        <v>2179</v>
      </c>
      <c r="T121" s="123"/>
      <c r="U121" s="123" t="s">
        <v>2187</v>
      </c>
      <c r="V121" s="123"/>
      <c r="W121" s="123"/>
    </row>
    <row r="122" spans="1:23">
      <c r="A122" s="121">
        <v>120</v>
      </c>
      <c r="B122" s="185" t="s">
        <v>2314</v>
      </c>
      <c r="C122" s="185" t="s">
        <v>2340</v>
      </c>
      <c r="D122" s="122" t="s">
        <v>2208</v>
      </c>
      <c r="E122" s="124"/>
      <c r="F122" s="124"/>
      <c r="G122" s="124"/>
      <c r="H122" s="125"/>
      <c r="I122" s="123">
        <v>746</v>
      </c>
      <c r="J122" s="124"/>
      <c r="K122" s="124"/>
      <c r="L122" s="124"/>
      <c r="M122" s="124"/>
      <c r="N122" s="124"/>
      <c r="O122" s="124"/>
      <c r="P122" s="124"/>
      <c r="Q122" s="123"/>
      <c r="R122" s="123"/>
      <c r="S122" s="123"/>
      <c r="T122" s="123"/>
      <c r="U122" s="123"/>
      <c r="V122" s="123"/>
      <c r="W122" s="123"/>
    </row>
    <row r="123" spans="1:23">
      <c r="A123" s="121">
        <v>121</v>
      </c>
      <c r="B123" s="185" t="s">
        <v>2314</v>
      </c>
      <c r="C123" s="185" t="s">
        <v>2341</v>
      </c>
      <c r="D123" s="122" t="s">
        <v>2218</v>
      </c>
      <c r="E123" s="124">
        <v>42939</v>
      </c>
      <c r="F123" s="125">
        <v>0.3263888888888889</v>
      </c>
      <c r="G123" s="124">
        <v>43008</v>
      </c>
      <c r="H123" s="125">
        <v>0.53611111111111109</v>
      </c>
      <c r="I123" s="123">
        <v>748</v>
      </c>
      <c r="J123" s="123">
        <v>280</v>
      </c>
      <c r="K123" s="123">
        <v>822</v>
      </c>
      <c r="L123" s="123">
        <v>16</v>
      </c>
      <c r="M123" s="123">
        <v>374</v>
      </c>
      <c r="N123" s="123">
        <v>26.7</v>
      </c>
      <c r="O123" s="123">
        <v>3.7</v>
      </c>
      <c r="P123" s="123" t="s">
        <v>2521</v>
      </c>
      <c r="Q123" s="123">
        <v>31.5</v>
      </c>
      <c r="R123" s="123">
        <v>7.3</v>
      </c>
      <c r="S123" s="123"/>
      <c r="T123" s="123"/>
      <c r="U123" s="123"/>
      <c r="V123" s="123"/>
      <c r="W123" s="123" t="s">
        <v>3525</v>
      </c>
    </row>
    <row r="124" spans="1:23">
      <c r="A124" s="121">
        <v>122</v>
      </c>
      <c r="B124" s="185" t="s">
        <v>2314</v>
      </c>
      <c r="C124" s="185" t="s">
        <v>2342</v>
      </c>
      <c r="D124" s="122" t="s">
        <v>2218</v>
      </c>
      <c r="E124" s="124">
        <v>42939</v>
      </c>
      <c r="F124" s="123"/>
      <c r="G124" s="124">
        <v>43008</v>
      </c>
      <c r="H124" s="125">
        <v>0.54375000000000007</v>
      </c>
      <c r="I124" s="123">
        <v>749</v>
      </c>
      <c r="J124" s="165">
        <v>231</v>
      </c>
      <c r="K124" s="123">
        <v>792</v>
      </c>
      <c r="L124" s="123">
        <v>109</v>
      </c>
      <c r="M124" s="123">
        <v>388</v>
      </c>
      <c r="N124" s="123">
        <v>26.8</v>
      </c>
      <c r="O124" s="123">
        <v>3.8</v>
      </c>
      <c r="P124" s="123" t="s">
        <v>2521</v>
      </c>
      <c r="Q124" s="123">
        <v>30.3</v>
      </c>
      <c r="R124" s="123">
        <v>14.3</v>
      </c>
      <c r="S124" s="123" t="s">
        <v>2179</v>
      </c>
      <c r="T124" s="123" t="s">
        <v>2195</v>
      </c>
      <c r="U124" s="123"/>
      <c r="V124" s="123"/>
      <c r="W124" s="123"/>
    </row>
    <row r="125" spans="1:23">
      <c r="A125" s="121">
        <v>123</v>
      </c>
      <c r="B125" s="185" t="s">
        <v>2314</v>
      </c>
      <c r="C125" s="185" t="s">
        <v>2343</v>
      </c>
      <c r="D125" s="122" t="s">
        <v>2218</v>
      </c>
      <c r="E125" s="124">
        <v>42939</v>
      </c>
      <c r="F125" s="123"/>
      <c r="G125" s="124">
        <v>43008</v>
      </c>
      <c r="H125" s="125">
        <v>0.55138888888888882</v>
      </c>
      <c r="I125" s="123">
        <v>751</v>
      </c>
      <c r="J125" s="123">
        <v>292</v>
      </c>
      <c r="K125" s="129">
        <v>740</v>
      </c>
      <c r="L125" s="123">
        <v>344</v>
      </c>
      <c r="M125" s="123">
        <v>281</v>
      </c>
      <c r="N125" s="123">
        <v>25.9</v>
      </c>
      <c r="O125" s="123">
        <v>7.8</v>
      </c>
      <c r="P125" s="123" t="s">
        <v>2521</v>
      </c>
      <c r="Q125" s="123">
        <v>28.3</v>
      </c>
      <c r="R125" s="123">
        <v>13.6</v>
      </c>
      <c r="S125" s="123" t="s">
        <v>2187</v>
      </c>
      <c r="T125" s="123"/>
      <c r="U125" s="123"/>
      <c r="V125" s="123"/>
      <c r="W125" s="123"/>
    </row>
    <row r="126" spans="1:23">
      <c r="A126" s="121">
        <v>124</v>
      </c>
      <c r="B126" s="185" t="s">
        <v>2314</v>
      </c>
      <c r="C126" s="185" t="s">
        <v>2345</v>
      </c>
      <c r="D126" s="122" t="s">
        <v>2218</v>
      </c>
      <c r="E126" s="124">
        <v>42939</v>
      </c>
      <c r="F126" s="123"/>
      <c r="G126" s="124">
        <v>43008</v>
      </c>
      <c r="H126" s="125">
        <v>0.5493055555555556</v>
      </c>
      <c r="I126" s="123">
        <v>750</v>
      </c>
      <c r="J126" s="123">
        <v>116</v>
      </c>
      <c r="K126" s="123">
        <v>797</v>
      </c>
      <c r="L126" s="123">
        <v>221</v>
      </c>
      <c r="M126" s="123">
        <v>443</v>
      </c>
      <c r="N126" s="123">
        <v>28.1</v>
      </c>
      <c r="O126" s="123">
        <v>6.7</v>
      </c>
      <c r="P126" s="123" t="s">
        <v>2521</v>
      </c>
      <c r="Q126" s="123">
        <v>28</v>
      </c>
      <c r="R126" s="123">
        <v>11.6</v>
      </c>
      <c r="S126" s="123" t="s">
        <v>2206</v>
      </c>
      <c r="T126" s="123" t="s">
        <v>2206</v>
      </c>
      <c r="U126" s="123"/>
      <c r="V126" s="123"/>
      <c r="W126" s="123"/>
    </row>
    <row r="127" spans="1:23">
      <c r="A127" s="121">
        <v>125</v>
      </c>
      <c r="B127" s="185" t="s">
        <v>2314</v>
      </c>
      <c r="C127" s="185" t="s">
        <v>2346</v>
      </c>
      <c r="D127" s="122" t="s">
        <v>2218</v>
      </c>
      <c r="E127" s="124">
        <v>42939</v>
      </c>
      <c r="F127" s="123"/>
      <c r="G127" s="124">
        <v>43008</v>
      </c>
      <c r="H127" s="125">
        <v>0.54791666666666672</v>
      </c>
      <c r="I127" s="123">
        <v>752</v>
      </c>
      <c r="J127" s="123">
        <v>50</v>
      </c>
      <c r="K127" s="123">
        <v>795</v>
      </c>
      <c r="L127" s="123">
        <v>757</v>
      </c>
      <c r="M127" s="123">
        <v>180</v>
      </c>
      <c r="N127" s="123">
        <v>27.5</v>
      </c>
      <c r="O127" s="123">
        <v>4.2</v>
      </c>
      <c r="P127" s="123" t="s">
        <v>2521</v>
      </c>
      <c r="Q127" s="123">
        <v>28.6</v>
      </c>
      <c r="R127" s="123">
        <v>17.5</v>
      </c>
      <c r="S127" s="123"/>
      <c r="T127" s="123" t="s">
        <v>2238</v>
      </c>
      <c r="U127" s="123"/>
      <c r="V127" s="123"/>
      <c r="W127" s="123"/>
    </row>
    <row r="128" spans="1:23">
      <c r="A128" s="121">
        <v>126</v>
      </c>
      <c r="B128" s="185" t="s">
        <v>2314</v>
      </c>
      <c r="C128" s="185" t="s">
        <v>2347</v>
      </c>
      <c r="D128" s="122" t="s">
        <v>2218</v>
      </c>
      <c r="E128" s="124"/>
      <c r="F128" s="124"/>
      <c r="G128" s="124"/>
      <c r="H128" s="125"/>
      <c r="I128" s="123">
        <v>753</v>
      </c>
      <c r="J128" s="124"/>
      <c r="K128" s="124"/>
      <c r="L128" s="124"/>
      <c r="M128" s="124"/>
      <c r="N128" s="124"/>
      <c r="O128" s="124"/>
      <c r="P128" s="124"/>
      <c r="Q128" s="123"/>
      <c r="R128" s="123"/>
      <c r="S128" s="123"/>
      <c r="T128" s="123"/>
      <c r="U128" s="123"/>
      <c r="V128" s="123"/>
      <c r="W128" s="123"/>
    </row>
    <row r="129" spans="1:23">
      <c r="A129" s="121">
        <v>127</v>
      </c>
      <c r="B129" s="185" t="s">
        <v>2314</v>
      </c>
      <c r="C129" s="185" t="s">
        <v>2348</v>
      </c>
      <c r="D129" s="122" t="s">
        <v>2218</v>
      </c>
      <c r="E129" s="124">
        <v>42939</v>
      </c>
      <c r="F129" s="123"/>
      <c r="G129" s="124">
        <v>43008</v>
      </c>
      <c r="H129" s="125">
        <v>0.55277777777777781</v>
      </c>
      <c r="I129" s="123">
        <v>754</v>
      </c>
      <c r="J129" s="123">
        <v>318</v>
      </c>
      <c r="K129" s="123">
        <v>751</v>
      </c>
      <c r="L129" s="123">
        <v>96</v>
      </c>
      <c r="M129" s="123">
        <v>229</v>
      </c>
      <c r="N129" s="123">
        <v>27.5</v>
      </c>
      <c r="O129" s="123">
        <v>5.8</v>
      </c>
      <c r="P129" s="123" t="s">
        <v>2521</v>
      </c>
      <c r="Q129" s="123">
        <v>28.7</v>
      </c>
      <c r="R129" s="123">
        <v>13.6</v>
      </c>
      <c r="S129" s="123" t="s">
        <v>2187</v>
      </c>
      <c r="T129" s="123"/>
      <c r="U129" s="123" t="s">
        <v>2187</v>
      </c>
      <c r="V129" s="123"/>
      <c r="W129" s="123"/>
    </row>
    <row r="130" spans="1:23">
      <c r="A130" s="121">
        <v>128</v>
      </c>
      <c r="B130" s="185" t="s">
        <v>2314</v>
      </c>
      <c r="C130" s="185" t="s">
        <v>2349</v>
      </c>
      <c r="D130" s="122" t="s">
        <v>2218</v>
      </c>
      <c r="E130" s="124">
        <v>42939</v>
      </c>
      <c r="F130" s="123"/>
      <c r="G130" s="124">
        <v>43008</v>
      </c>
      <c r="H130" s="125">
        <v>0.54513888888888895</v>
      </c>
      <c r="I130" s="123">
        <v>755</v>
      </c>
      <c r="J130" s="123">
        <v>34</v>
      </c>
      <c r="K130" s="123">
        <v>819</v>
      </c>
      <c r="L130" s="123">
        <v>134</v>
      </c>
      <c r="M130" s="123">
        <v>272</v>
      </c>
      <c r="N130" s="123">
        <v>26.3</v>
      </c>
      <c r="O130" s="123">
        <v>3</v>
      </c>
      <c r="P130" s="123" t="s">
        <v>2521</v>
      </c>
      <c r="Q130" s="123">
        <v>30.5</v>
      </c>
      <c r="R130" s="123">
        <v>13.9</v>
      </c>
      <c r="S130" s="123"/>
      <c r="T130" s="123" t="s">
        <v>2238</v>
      </c>
      <c r="U130" s="123"/>
      <c r="V130" s="123"/>
      <c r="W130" s="123"/>
    </row>
    <row r="131" spans="1:23">
      <c r="A131" s="121">
        <v>129</v>
      </c>
      <c r="B131" s="185" t="s">
        <v>2314</v>
      </c>
      <c r="C131" s="185" t="s">
        <v>2350</v>
      </c>
      <c r="D131" s="122" t="s">
        <v>2227</v>
      </c>
      <c r="E131" s="124">
        <v>42939</v>
      </c>
      <c r="F131" s="125">
        <v>0.45833333333333331</v>
      </c>
      <c r="G131" s="124">
        <v>43008</v>
      </c>
      <c r="H131" s="125">
        <v>0.43402777777777773</v>
      </c>
      <c r="I131" s="123">
        <v>669</v>
      </c>
      <c r="J131" s="123">
        <v>80</v>
      </c>
      <c r="K131" s="123">
        <v>768</v>
      </c>
      <c r="L131" s="123">
        <v>671</v>
      </c>
      <c r="M131" s="123">
        <v>207</v>
      </c>
      <c r="N131" s="123">
        <v>30.5</v>
      </c>
      <c r="O131" s="123">
        <v>6.1</v>
      </c>
      <c r="P131" s="123" t="s">
        <v>2521</v>
      </c>
      <c r="Q131" s="123">
        <v>27.6</v>
      </c>
      <c r="R131" s="123">
        <v>17.5</v>
      </c>
      <c r="S131" s="123" t="s">
        <v>2195</v>
      </c>
      <c r="T131" s="123" t="s">
        <v>2195</v>
      </c>
      <c r="U131" s="123"/>
      <c r="V131" s="123"/>
      <c r="W131" s="123"/>
    </row>
    <row r="132" spans="1:23">
      <c r="A132" s="121">
        <v>130</v>
      </c>
      <c r="B132" s="185" t="s">
        <v>2314</v>
      </c>
      <c r="C132" s="185" t="s">
        <v>2351</v>
      </c>
      <c r="D132" s="122" t="s">
        <v>2227</v>
      </c>
      <c r="E132" s="124">
        <v>42939</v>
      </c>
      <c r="F132" s="125">
        <v>0.45833333333333331</v>
      </c>
      <c r="G132" s="124">
        <v>43008</v>
      </c>
      <c r="H132" s="125">
        <v>0.43541666666666662</v>
      </c>
      <c r="I132" s="123">
        <v>670</v>
      </c>
      <c r="J132" s="123">
        <v>64</v>
      </c>
      <c r="K132" s="123">
        <v>789</v>
      </c>
      <c r="L132" s="123">
        <v>400</v>
      </c>
      <c r="M132" s="123">
        <v>193</v>
      </c>
      <c r="N132" s="123">
        <v>29.8</v>
      </c>
      <c r="O132" s="123">
        <v>5.5</v>
      </c>
      <c r="P132" s="123" t="s">
        <v>2521</v>
      </c>
      <c r="Q132" s="123">
        <v>27.3</v>
      </c>
      <c r="R132" s="123">
        <v>12.4</v>
      </c>
      <c r="S132" s="123" t="s">
        <v>2319</v>
      </c>
      <c r="T132" s="123" t="s">
        <v>2195</v>
      </c>
      <c r="U132" s="123" t="s">
        <v>2187</v>
      </c>
      <c r="V132" s="123"/>
      <c r="W132" s="123"/>
    </row>
    <row r="133" spans="1:23">
      <c r="A133" s="121">
        <v>131</v>
      </c>
      <c r="B133" s="185" t="s">
        <v>2314</v>
      </c>
      <c r="C133" s="185" t="s">
        <v>2352</v>
      </c>
      <c r="D133" s="122" t="s">
        <v>2227</v>
      </c>
      <c r="E133" s="124">
        <v>42939</v>
      </c>
      <c r="F133" s="125">
        <v>0.46180555555555558</v>
      </c>
      <c r="G133" s="124">
        <v>43008</v>
      </c>
      <c r="H133" s="125">
        <v>0.4375</v>
      </c>
      <c r="I133" s="123">
        <v>672</v>
      </c>
      <c r="J133" s="123">
        <v>118</v>
      </c>
      <c r="K133" s="123">
        <v>586</v>
      </c>
      <c r="L133" s="123">
        <v>48</v>
      </c>
      <c r="M133" s="123">
        <v>188</v>
      </c>
      <c r="N133" s="123">
        <v>29</v>
      </c>
      <c r="O133" s="123">
        <v>5.5</v>
      </c>
      <c r="P133" s="123" t="s">
        <v>2521</v>
      </c>
      <c r="Q133" s="123">
        <v>28.2</v>
      </c>
      <c r="R133" s="123">
        <v>12.4</v>
      </c>
      <c r="S133" s="123" t="s">
        <v>2319</v>
      </c>
      <c r="T133" s="123" t="s">
        <v>2238</v>
      </c>
      <c r="U133" s="123" t="s">
        <v>2187</v>
      </c>
      <c r="V133" s="123" t="s">
        <v>2187</v>
      </c>
      <c r="W133" s="123"/>
    </row>
    <row r="134" spans="1:23">
      <c r="A134" s="121">
        <v>132</v>
      </c>
      <c r="B134" s="185" t="s">
        <v>2314</v>
      </c>
      <c r="C134" s="185" t="s">
        <v>2353</v>
      </c>
      <c r="D134" s="122" t="s">
        <v>2227</v>
      </c>
      <c r="E134" s="124"/>
      <c r="F134" s="124"/>
      <c r="G134" s="124"/>
      <c r="H134" s="125"/>
      <c r="I134" s="123">
        <v>1077</v>
      </c>
      <c r="J134" s="124"/>
      <c r="K134" s="124"/>
      <c r="L134" s="124"/>
      <c r="M134" s="124"/>
      <c r="N134" s="124"/>
      <c r="O134" s="124"/>
      <c r="P134" s="124"/>
      <c r="Q134" s="123"/>
      <c r="R134" s="123"/>
      <c r="S134" s="123"/>
      <c r="T134" s="123"/>
      <c r="U134" s="123"/>
      <c r="V134" s="123"/>
      <c r="W134" s="123"/>
    </row>
    <row r="135" spans="1:23">
      <c r="A135" s="121">
        <v>133</v>
      </c>
      <c r="B135" s="185" t="s">
        <v>2314</v>
      </c>
      <c r="C135" s="185" t="s">
        <v>2354</v>
      </c>
      <c r="D135" s="122" t="s">
        <v>2227</v>
      </c>
      <c r="E135" s="124">
        <v>42939</v>
      </c>
      <c r="F135" s="125">
        <v>0.46527777777777773</v>
      </c>
      <c r="G135" s="124">
        <v>43008</v>
      </c>
      <c r="H135" s="125">
        <v>0.42569444444444443</v>
      </c>
      <c r="I135" s="123">
        <v>674</v>
      </c>
      <c r="J135" s="123">
        <v>270</v>
      </c>
      <c r="K135" s="123">
        <v>817</v>
      </c>
      <c r="L135" s="123">
        <v>210</v>
      </c>
      <c r="M135" s="123">
        <v>683</v>
      </c>
      <c r="N135" s="123">
        <v>33.700000000000003</v>
      </c>
      <c r="O135" s="123">
        <v>5.9</v>
      </c>
      <c r="P135" s="123" t="s">
        <v>2521</v>
      </c>
      <c r="Q135" s="123">
        <v>28.9</v>
      </c>
      <c r="R135" s="123">
        <v>11.6</v>
      </c>
      <c r="S135" s="123" t="s">
        <v>2319</v>
      </c>
      <c r="T135" s="123" t="s">
        <v>2319</v>
      </c>
      <c r="U135" s="123" t="s">
        <v>2187</v>
      </c>
      <c r="V135" s="123"/>
      <c r="W135" s="123" t="s">
        <v>3539</v>
      </c>
    </row>
    <row r="136" spans="1:23">
      <c r="A136" s="121">
        <v>134</v>
      </c>
      <c r="B136" s="185" t="s">
        <v>2314</v>
      </c>
      <c r="C136" s="185" t="s">
        <v>2355</v>
      </c>
      <c r="D136" s="122" t="s">
        <v>2227</v>
      </c>
      <c r="E136" s="124">
        <v>42939</v>
      </c>
      <c r="F136" s="125">
        <v>0.46527777777777773</v>
      </c>
      <c r="G136" s="124">
        <v>43008</v>
      </c>
      <c r="H136" s="125">
        <v>0.4291666666666667</v>
      </c>
      <c r="I136" s="123">
        <v>675</v>
      </c>
      <c r="J136" s="123">
        <v>316</v>
      </c>
      <c r="K136" s="123">
        <v>837</v>
      </c>
      <c r="L136" s="123">
        <v>40</v>
      </c>
      <c r="M136" s="123">
        <v>649</v>
      </c>
      <c r="N136" s="123">
        <v>29.8</v>
      </c>
      <c r="O136" s="123">
        <v>5.5</v>
      </c>
      <c r="P136" s="123" t="s">
        <v>2521</v>
      </c>
      <c r="Q136" s="123">
        <v>28.6</v>
      </c>
      <c r="R136" s="123">
        <v>7.8</v>
      </c>
      <c r="S136" s="123" t="s">
        <v>2187</v>
      </c>
      <c r="T136" s="123" t="s">
        <v>2319</v>
      </c>
      <c r="U136" s="123" t="s">
        <v>2187</v>
      </c>
      <c r="V136" s="123" t="s">
        <v>2187</v>
      </c>
      <c r="W136" s="123"/>
    </row>
    <row r="137" spans="1:23">
      <c r="A137" s="121">
        <v>135</v>
      </c>
      <c r="B137" s="185" t="s">
        <v>2314</v>
      </c>
      <c r="C137" s="185" t="s">
        <v>2356</v>
      </c>
      <c r="D137" s="122" t="s">
        <v>2227</v>
      </c>
      <c r="E137" s="124">
        <v>42939</v>
      </c>
      <c r="F137" s="125">
        <v>0.45833333333333331</v>
      </c>
      <c r="G137" s="124">
        <v>43008</v>
      </c>
      <c r="H137" s="125">
        <v>0.43333333333333335</v>
      </c>
      <c r="I137" s="123">
        <v>677</v>
      </c>
      <c r="J137" s="123">
        <v>77</v>
      </c>
      <c r="K137" s="123">
        <v>756</v>
      </c>
      <c r="L137" s="123">
        <v>517</v>
      </c>
      <c r="M137" s="123">
        <v>223</v>
      </c>
      <c r="N137" s="123">
        <v>34.4</v>
      </c>
      <c r="O137" s="123">
        <v>5.3</v>
      </c>
      <c r="P137" s="123" t="s">
        <v>2521</v>
      </c>
      <c r="Q137" s="123">
        <v>28.3</v>
      </c>
      <c r="R137" s="123">
        <v>11.8</v>
      </c>
      <c r="S137" s="123" t="s">
        <v>2195</v>
      </c>
      <c r="T137" s="123" t="s">
        <v>2195</v>
      </c>
      <c r="U137" s="123"/>
      <c r="V137" s="123"/>
      <c r="W137" s="123"/>
    </row>
    <row r="138" spans="1:23">
      <c r="A138" s="121">
        <v>136</v>
      </c>
      <c r="B138" s="185" t="s">
        <v>2314</v>
      </c>
      <c r="C138" s="185" t="s">
        <v>2357</v>
      </c>
      <c r="D138" s="122" t="s">
        <v>2227</v>
      </c>
      <c r="E138" s="124">
        <v>42939</v>
      </c>
      <c r="F138" s="125">
        <v>0.46527777777777773</v>
      </c>
      <c r="G138" s="124">
        <v>43008</v>
      </c>
      <c r="H138" s="125">
        <v>0.43194444444444446</v>
      </c>
      <c r="I138" s="123">
        <v>678</v>
      </c>
      <c r="J138" s="123">
        <v>332</v>
      </c>
      <c r="K138" s="123">
        <v>184</v>
      </c>
      <c r="L138" s="123">
        <v>67</v>
      </c>
      <c r="M138" s="123">
        <v>214</v>
      </c>
      <c r="N138" s="123">
        <v>30.7</v>
      </c>
      <c r="O138" s="123">
        <v>5.3</v>
      </c>
      <c r="P138" s="123" t="s">
        <v>2521</v>
      </c>
      <c r="Q138" s="123">
        <v>29.1</v>
      </c>
      <c r="R138" s="123">
        <v>6.5</v>
      </c>
      <c r="S138" s="123" t="s">
        <v>2319</v>
      </c>
      <c r="T138" s="123"/>
      <c r="U138" s="123" t="s">
        <v>2187</v>
      </c>
      <c r="V138" s="123"/>
      <c r="W138" s="123"/>
    </row>
    <row r="139" spans="1:23">
      <c r="A139" s="121">
        <v>137</v>
      </c>
      <c r="B139" s="185" t="s">
        <v>2314</v>
      </c>
      <c r="C139" s="185" t="s">
        <v>2358</v>
      </c>
      <c r="D139" s="122" t="s">
        <v>2244</v>
      </c>
      <c r="E139" s="124">
        <v>42939</v>
      </c>
      <c r="F139" s="125">
        <v>0.3611111111111111</v>
      </c>
      <c r="G139" s="124">
        <v>43008</v>
      </c>
      <c r="H139" s="125">
        <v>0.48888888888888887</v>
      </c>
      <c r="I139" s="123">
        <v>681</v>
      </c>
      <c r="J139" s="123">
        <v>30</v>
      </c>
      <c r="K139" s="123">
        <v>746</v>
      </c>
      <c r="L139" s="123">
        <v>335</v>
      </c>
      <c r="M139" s="123">
        <v>628</v>
      </c>
      <c r="N139" s="123">
        <v>26.5</v>
      </c>
      <c r="O139" s="123">
        <v>5.7</v>
      </c>
      <c r="P139" s="123" t="s">
        <v>2521</v>
      </c>
      <c r="Q139" s="123">
        <v>28.6</v>
      </c>
      <c r="R139" s="123">
        <v>12.1</v>
      </c>
      <c r="S139" s="123" t="s">
        <v>2179</v>
      </c>
      <c r="T139" s="123" t="s">
        <v>2195</v>
      </c>
      <c r="U139" s="123"/>
      <c r="V139" s="123"/>
      <c r="W139" s="123"/>
    </row>
    <row r="140" spans="1:23">
      <c r="A140" s="121">
        <v>138</v>
      </c>
      <c r="B140" s="185" t="s">
        <v>2314</v>
      </c>
      <c r="C140" s="185" t="s">
        <v>2359</v>
      </c>
      <c r="D140" s="122" t="s">
        <v>2244</v>
      </c>
      <c r="E140" s="124">
        <v>42939</v>
      </c>
      <c r="F140" s="125">
        <v>0.3611111111111111</v>
      </c>
      <c r="G140" s="124">
        <v>43008</v>
      </c>
      <c r="H140" s="125">
        <v>0.5</v>
      </c>
      <c r="I140" s="123">
        <v>682</v>
      </c>
      <c r="J140" s="123">
        <v>213</v>
      </c>
      <c r="K140" s="123">
        <v>821</v>
      </c>
      <c r="L140" s="123">
        <v>484</v>
      </c>
      <c r="M140" s="123">
        <v>198</v>
      </c>
      <c r="N140" s="123">
        <v>28.7</v>
      </c>
      <c r="O140" s="123">
        <v>5</v>
      </c>
      <c r="P140" s="123" t="s">
        <v>2521</v>
      </c>
      <c r="Q140" s="123">
        <v>28.9</v>
      </c>
      <c r="R140" s="123">
        <v>9.1</v>
      </c>
      <c r="S140" s="123" t="s">
        <v>2195</v>
      </c>
      <c r="T140" s="123" t="s">
        <v>2195</v>
      </c>
      <c r="U140" s="123"/>
      <c r="V140" s="123"/>
      <c r="W140" s="123"/>
    </row>
    <row r="141" spans="1:23">
      <c r="A141" s="121">
        <v>139</v>
      </c>
      <c r="B141" s="185" t="s">
        <v>2314</v>
      </c>
      <c r="C141" s="185" t="s">
        <v>2360</v>
      </c>
      <c r="D141" s="122" t="s">
        <v>2244</v>
      </c>
      <c r="E141" s="124">
        <v>42939</v>
      </c>
      <c r="F141" s="125">
        <v>0.3611111111111111</v>
      </c>
      <c r="G141" s="124">
        <v>43008</v>
      </c>
      <c r="H141" s="125">
        <v>0.50347222222222221</v>
      </c>
      <c r="I141" s="123">
        <v>683</v>
      </c>
      <c r="J141" s="129">
        <v>17</v>
      </c>
      <c r="K141" s="123">
        <v>813</v>
      </c>
      <c r="L141" s="123">
        <v>868</v>
      </c>
      <c r="M141" s="123">
        <v>706</v>
      </c>
      <c r="N141" s="123">
        <v>27.3</v>
      </c>
      <c r="O141" s="123">
        <v>5.3</v>
      </c>
      <c r="P141" s="123" t="s">
        <v>2521</v>
      </c>
      <c r="Q141" s="123">
        <v>29</v>
      </c>
      <c r="R141" s="123">
        <v>17.100000000000001</v>
      </c>
      <c r="S141" s="123" t="s">
        <v>2195</v>
      </c>
      <c r="T141" s="123" t="s">
        <v>2195</v>
      </c>
      <c r="U141" s="123"/>
      <c r="V141" s="123"/>
      <c r="W141" s="123"/>
    </row>
    <row r="142" spans="1:23">
      <c r="A142" s="121">
        <v>140</v>
      </c>
      <c r="B142" s="185" t="s">
        <v>2314</v>
      </c>
      <c r="C142" s="185" t="s">
        <v>2362</v>
      </c>
      <c r="D142" s="122" t="s">
        <v>2244</v>
      </c>
      <c r="E142" s="124">
        <v>42939</v>
      </c>
      <c r="F142" s="125">
        <v>0.36458333333333331</v>
      </c>
      <c r="G142" s="124">
        <v>43008</v>
      </c>
      <c r="H142" s="125">
        <v>0.49305555555555558</v>
      </c>
      <c r="I142" s="123">
        <v>684</v>
      </c>
      <c r="J142" s="123">
        <v>401</v>
      </c>
      <c r="K142" s="123">
        <v>729</v>
      </c>
      <c r="L142" s="123">
        <v>792</v>
      </c>
      <c r="M142" s="123">
        <v>710</v>
      </c>
      <c r="N142" s="123">
        <v>25.4</v>
      </c>
      <c r="O142" s="123">
        <v>5.3</v>
      </c>
      <c r="P142" s="123" t="s">
        <v>2521</v>
      </c>
      <c r="Q142" s="123">
        <v>30.6</v>
      </c>
      <c r="R142" s="123">
        <v>9.3000000000000007</v>
      </c>
      <c r="S142" s="123" t="s">
        <v>2187</v>
      </c>
      <c r="T142" s="123" t="s">
        <v>2195</v>
      </c>
      <c r="U142" s="123"/>
      <c r="V142" s="123"/>
      <c r="W142" s="123" t="s">
        <v>3545</v>
      </c>
    </row>
    <row r="143" spans="1:23">
      <c r="A143" s="121">
        <v>141</v>
      </c>
      <c r="B143" s="185" t="s">
        <v>2314</v>
      </c>
      <c r="C143" s="185" t="s">
        <v>2363</v>
      </c>
      <c r="D143" s="122" t="s">
        <v>2244</v>
      </c>
      <c r="E143" s="124"/>
      <c r="F143" s="124"/>
      <c r="G143" s="124"/>
      <c r="H143" s="125"/>
      <c r="I143" s="123">
        <v>685</v>
      </c>
      <c r="J143" s="124"/>
      <c r="K143" s="124"/>
      <c r="L143" s="124"/>
      <c r="M143" s="124"/>
      <c r="N143" s="124"/>
      <c r="O143" s="124"/>
      <c r="P143" s="124"/>
      <c r="Q143" s="123"/>
      <c r="R143" s="123"/>
      <c r="S143" s="123"/>
      <c r="T143" s="123"/>
      <c r="U143" s="123"/>
      <c r="V143" s="123"/>
      <c r="W143" s="123"/>
    </row>
    <row r="144" spans="1:23">
      <c r="A144" s="121">
        <v>142</v>
      </c>
      <c r="B144" s="185" t="s">
        <v>2314</v>
      </c>
      <c r="C144" s="185" t="s">
        <v>2364</v>
      </c>
      <c r="D144" s="122" t="s">
        <v>2244</v>
      </c>
      <c r="E144" s="124">
        <v>42939</v>
      </c>
      <c r="F144" s="125">
        <v>0.38194444444444442</v>
      </c>
      <c r="G144" s="124">
        <v>43008</v>
      </c>
      <c r="H144" s="125">
        <v>0.48472222222222222</v>
      </c>
      <c r="I144" s="123">
        <v>686</v>
      </c>
      <c r="J144" s="123">
        <v>87</v>
      </c>
      <c r="K144" s="123">
        <v>834</v>
      </c>
      <c r="L144" s="123">
        <v>711</v>
      </c>
      <c r="M144" s="123">
        <v>626</v>
      </c>
      <c r="N144" s="123">
        <v>27</v>
      </c>
      <c r="O144" s="123">
        <v>6.2</v>
      </c>
      <c r="P144" s="123" t="s">
        <v>2521</v>
      </c>
      <c r="Q144" s="123">
        <v>29.8</v>
      </c>
      <c r="R144" s="123">
        <v>10.7</v>
      </c>
      <c r="S144" s="123" t="s">
        <v>3546</v>
      </c>
      <c r="T144" s="123"/>
      <c r="U144" s="123" t="s">
        <v>2187</v>
      </c>
      <c r="V144" s="123"/>
      <c r="W144" s="123" t="s">
        <v>3539</v>
      </c>
    </row>
    <row r="145" spans="1:23">
      <c r="A145" s="121">
        <v>143</v>
      </c>
      <c r="B145" s="185" t="s">
        <v>2314</v>
      </c>
      <c r="C145" s="185" t="s">
        <v>2365</v>
      </c>
      <c r="D145" s="122" t="s">
        <v>2244</v>
      </c>
      <c r="E145" s="124">
        <v>42939</v>
      </c>
      <c r="F145" s="125">
        <v>0.38541666666666669</v>
      </c>
      <c r="G145" s="124">
        <v>43008</v>
      </c>
      <c r="H145" s="125">
        <v>0.49722222222222223</v>
      </c>
      <c r="I145" s="123">
        <v>687</v>
      </c>
      <c r="J145" s="123">
        <v>501</v>
      </c>
      <c r="K145" s="123">
        <v>774</v>
      </c>
      <c r="L145" s="123">
        <v>205</v>
      </c>
      <c r="M145" s="123">
        <v>195</v>
      </c>
      <c r="N145" s="123">
        <v>27.2</v>
      </c>
      <c r="O145" s="123">
        <v>6.3</v>
      </c>
      <c r="P145" s="123" t="s">
        <v>2521</v>
      </c>
      <c r="Q145" s="123">
        <v>28.8</v>
      </c>
      <c r="R145" s="123">
        <v>18.7</v>
      </c>
      <c r="S145" s="123"/>
      <c r="T145" s="123"/>
      <c r="U145" s="123" t="s">
        <v>2187</v>
      </c>
      <c r="V145" s="123"/>
      <c r="W145" s="123"/>
    </row>
    <row r="146" spans="1:23">
      <c r="A146" s="121">
        <v>144</v>
      </c>
      <c r="B146" s="185" t="s">
        <v>2314</v>
      </c>
      <c r="C146" s="185" t="s">
        <v>2366</v>
      </c>
      <c r="D146" s="122" t="s">
        <v>2244</v>
      </c>
      <c r="E146" s="124">
        <v>42939</v>
      </c>
      <c r="F146" s="125">
        <v>0.38541666666666669</v>
      </c>
      <c r="G146" s="124">
        <v>43008</v>
      </c>
      <c r="H146" s="125">
        <v>0.49513888888888885</v>
      </c>
      <c r="I146" s="123">
        <v>688</v>
      </c>
      <c r="J146" s="123">
        <v>141</v>
      </c>
      <c r="K146" s="123">
        <v>779</v>
      </c>
      <c r="L146" s="123">
        <v>384</v>
      </c>
      <c r="M146" s="123">
        <v>295</v>
      </c>
      <c r="N146" s="123">
        <v>27.8</v>
      </c>
      <c r="O146" s="123">
        <v>2.9</v>
      </c>
      <c r="P146" s="123" t="s">
        <v>2521</v>
      </c>
      <c r="Q146" s="123">
        <v>30.5</v>
      </c>
      <c r="R146" s="123">
        <v>16</v>
      </c>
      <c r="S146" s="123" t="s">
        <v>2179</v>
      </c>
      <c r="T146" s="123" t="s">
        <v>2195</v>
      </c>
      <c r="U146" s="123"/>
      <c r="V146" s="123"/>
      <c r="W146" s="123" t="s">
        <v>3548</v>
      </c>
    </row>
    <row r="147" spans="1:23">
      <c r="A147" s="121">
        <v>145</v>
      </c>
      <c r="B147" s="185" t="s">
        <v>2314</v>
      </c>
      <c r="C147" s="185" t="s">
        <v>2367</v>
      </c>
      <c r="D147" s="122" t="s">
        <v>2256</v>
      </c>
      <c r="E147" s="124">
        <v>42939</v>
      </c>
      <c r="F147" s="125">
        <v>0.62847222222222221</v>
      </c>
      <c r="G147" s="124">
        <v>43010</v>
      </c>
      <c r="H147" s="125">
        <v>0.40763888888888888</v>
      </c>
      <c r="I147" s="123">
        <v>698</v>
      </c>
      <c r="J147" s="123">
        <v>131</v>
      </c>
      <c r="K147" s="123">
        <v>728</v>
      </c>
      <c r="L147" s="129">
        <v>72</v>
      </c>
      <c r="M147" s="123">
        <v>609</v>
      </c>
      <c r="N147" s="123">
        <v>31.2</v>
      </c>
      <c r="O147" s="123">
        <v>5.6</v>
      </c>
      <c r="P147" s="123" t="s">
        <v>2521</v>
      </c>
      <c r="Q147" s="123">
        <v>28.8</v>
      </c>
      <c r="R147" s="123">
        <v>7.1</v>
      </c>
      <c r="S147" s="123"/>
      <c r="T147" s="123"/>
      <c r="U147" s="123"/>
      <c r="V147" s="123"/>
      <c r="W147" s="123"/>
    </row>
    <row r="148" spans="1:23">
      <c r="A148" s="121">
        <v>146</v>
      </c>
      <c r="B148" s="185" t="s">
        <v>2314</v>
      </c>
      <c r="C148" s="185" t="s">
        <v>2368</v>
      </c>
      <c r="D148" s="122" t="s">
        <v>2256</v>
      </c>
      <c r="E148" s="124">
        <v>42939</v>
      </c>
      <c r="F148" s="125">
        <v>0.63194444444444442</v>
      </c>
      <c r="G148" s="124">
        <v>43010</v>
      </c>
      <c r="H148" s="125">
        <v>0.40416666666666662</v>
      </c>
      <c r="I148" s="123">
        <v>699</v>
      </c>
      <c r="J148" s="123">
        <v>465</v>
      </c>
      <c r="K148" s="123">
        <v>13</v>
      </c>
      <c r="L148" s="123">
        <v>336</v>
      </c>
      <c r="M148" s="123">
        <v>292</v>
      </c>
      <c r="N148" s="123">
        <v>34.1</v>
      </c>
      <c r="O148" s="123">
        <v>2.6</v>
      </c>
      <c r="P148" s="123" t="s">
        <v>2521</v>
      </c>
      <c r="Q148" s="123">
        <v>27.9</v>
      </c>
      <c r="R148" s="123">
        <v>9.6</v>
      </c>
      <c r="S148" s="123"/>
      <c r="T148" s="123" t="s">
        <v>2179</v>
      </c>
      <c r="U148" s="123"/>
      <c r="V148" s="123"/>
      <c r="W148" s="123" t="s">
        <v>3549</v>
      </c>
    </row>
    <row r="149" spans="1:23">
      <c r="A149" s="121">
        <v>147</v>
      </c>
      <c r="B149" s="185" t="s">
        <v>2314</v>
      </c>
      <c r="C149" s="185" t="s">
        <v>2369</v>
      </c>
      <c r="D149" s="122" t="s">
        <v>2256</v>
      </c>
      <c r="E149" s="124">
        <v>42939</v>
      </c>
      <c r="F149" s="125">
        <v>0.625</v>
      </c>
      <c r="G149" s="124">
        <v>43010</v>
      </c>
      <c r="H149" s="125">
        <v>0.40902777777777777</v>
      </c>
      <c r="I149" s="123">
        <v>700</v>
      </c>
      <c r="J149" s="123">
        <v>15</v>
      </c>
      <c r="K149" s="123">
        <v>832</v>
      </c>
      <c r="L149" s="123">
        <v>303</v>
      </c>
      <c r="M149" s="123">
        <v>243</v>
      </c>
      <c r="N149" s="123">
        <v>32.200000000000003</v>
      </c>
      <c r="O149" s="123">
        <v>5</v>
      </c>
      <c r="P149" s="123" t="s">
        <v>2521</v>
      </c>
      <c r="Q149" s="123">
        <v>27.6</v>
      </c>
      <c r="R149" s="123">
        <v>6.2</v>
      </c>
      <c r="S149" s="123"/>
      <c r="T149" s="123" t="s">
        <v>2179</v>
      </c>
      <c r="U149" s="123"/>
      <c r="V149" s="123"/>
      <c r="W149" s="123"/>
    </row>
    <row r="150" spans="1:23">
      <c r="A150" s="121">
        <v>148</v>
      </c>
      <c r="B150" s="185" t="s">
        <v>2314</v>
      </c>
      <c r="C150" s="185" t="s">
        <v>2370</v>
      </c>
      <c r="D150" s="122" t="s">
        <v>2256</v>
      </c>
      <c r="E150" s="124">
        <v>42939</v>
      </c>
      <c r="F150" s="125">
        <v>0.62847222222222221</v>
      </c>
      <c r="G150" s="124">
        <v>43010</v>
      </c>
      <c r="H150" s="125">
        <v>0.40972222222222227</v>
      </c>
      <c r="I150" s="123">
        <v>701</v>
      </c>
      <c r="J150" s="123">
        <v>290</v>
      </c>
      <c r="K150" s="123">
        <v>823</v>
      </c>
      <c r="L150" s="123">
        <v>161</v>
      </c>
      <c r="M150" s="123">
        <v>422</v>
      </c>
      <c r="N150" s="123">
        <v>34.200000000000003</v>
      </c>
      <c r="O150" s="123">
        <v>4.5999999999999996</v>
      </c>
      <c r="P150" s="123" t="s">
        <v>2521</v>
      </c>
      <c r="Q150" s="123">
        <v>29</v>
      </c>
      <c r="R150" s="123">
        <v>8.4</v>
      </c>
      <c r="S150" s="123"/>
      <c r="T150" s="123" t="s">
        <v>2195</v>
      </c>
      <c r="U150" s="123" t="s">
        <v>2319</v>
      </c>
      <c r="V150" s="123"/>
      <c r="W150" s="123"/>
    </row>
    <row r="151" spans="1:23">
      <c r="A151" s="121">
        <v>149</v>
      </c>
      <c r="B151" s="185" t="s">
        <v>2314</v>
      </c>
      <c r="C151" s="185" t="s">
        <v>2371</v>
      </c>
      <c r="D151" s="122" t="s">
        <v>2256</v>
      </c>
      <c r="E151" s="124">
        <v>42939</v>
      </c>
      <c r="F151" s="125">
        <v>0.62847222222222221</v>
      </c>
      <c r="G151" s="124">
        <v>43010</v>
      </c>
      <c r="H151" s="125">
        <v>0.41111111111111115</v>
      </c>
      <c r="I151" s="123">
        <v>702</v>
      </c>
      <c r="J151" s="129">
        <v>194</v>
      </c>
      <c r="K151" s="123">
        <v>703</v>
      </c>
      <c r="L151" s="123">
        <v>464</v>
      </c>
      <c r="M151" s="123">
        <v>664</v>
      </c>
      <c r="N151" s="123">
        <v>34.299999999999997</v>
      </c>
      <c r="O151" s="123">
        <v>5.2</v>
      </c>
      <c r="P151" s="123" t="s">
        <v>2521</v>
      </c>
      <c r="Q151" s="123">
        <v>27.7</v>
      </c>
      <c r="R151" s="123">
        <v>7.4</v>
      </c>
      <c r="S151" s="123"/>
      <c r="T151" s="123"/>
      <c r="U151" s="123"/>
      <c r="V151" s="123"/>
      <c r="W151" s="123"/>
    </row>
    <row r="152" spans="1:23">
      <c r="A152" s="121">
        <v>150</v>
      </c>
      <c r="B152" s="185" t="s">
        <v>2314</v>
      </c>
      <c r="C152" s="185" t="s">
        <v>2372</v>
      </c>
      <c r="D152" s="122" t="s">
        <v>2256</v>
      </c>
      <c r="E152" s="124">
        <v>42939</v>
      </c>
      <c r="F152" s="125">
        <v>0.63194444444444442</v>
      </c>
      <c r="G152" s="124">
        <v>43010</v>
      </c>
      <c r="H152" s="125">
        <v>0.40208333333333335</v>
      </c>
      <c r="I152" s="123">
        <v>703</v>
      </c>
      <c r="J152" s="123">
        <v>272</v>
      </c>
      <c r="K152" s="123">
        <v>668</v>
      </c>
      <c r="L152" s="123">
        <v>843</v>
      </c>
      <c r="M152" s="123">
        <v>316</v>
      </c>
      <c r="N152" s="123">
        <v>34.1</v>
      </c>
      <c r="O152" s="123">
        <v>4.3</v>
      </c>
      <c r="P152" s="123" t="s">
        <v>2521</v>
      </c>
      <c r="Q152" s="123">
        <v>27.5</v>
      </c>
      <c r="R152" s="123">
        <v>8.1</v>
      </c>
      <c r="S152" s="123" t="s">
        <v>2179</v>
      </c>
      <c r="T152" s="123" t="s">
        <v>2179</v>
      </c>
      <c r="U152" s="123"/>
      <c r="V152" s="123"/>
      <c r="W152" s="123" t="s">
        <v>3539</v>
      </c>
    </row>
    <row r="153" spans="1:23">
      <c r="A153" s="121">
        <v>151</v>
      </c>
      <c r="B153" s="185" t="s">
        <v>2314</v>
      </c>
      <c r="C153" s="185" t="s">
        <v>2373</v>
      </c>
      <c r="D153" s="122" t="s">
        <v>2256</v>
      </c>
      <c r="E153" s="123"/>
      <c r="F153" s="123"/>
      <c r="G153" s="123"/>
      <c r="H153" s="123"/>
      <c r="I153" s="123">
        <v>704</v>
      </c>
      <c r="J153" s="123"/>
      <c r="K153" s="123"/>
      <c r="L153" s="123"/>
      <c r="M153" s="123"/>
      <c r="N153" s="123"/>
      <c r="O153" s="123"/>
      <c r="P153" s="123"/>
      <c r="Q153" s="123"/>
      <c r="R153" s="123"/>
      <c r="S153" s="123"/>
      <c r="T153" s="123"/>
      <c r="U153" s="123"/>
      <c r="V153" s="123"/>
      <c r="W153" s="123"/>
    </row>
    <row r="154" spans="1:23">
      <c r="A154" s="121">
        <v>152</v>
      </c>
      <c r="B154" s="185" t="s">
        <v>2314</v>
      </c>
      <c r="C154" s="185" t="s">
        <v>2374</v>
      </c>
      <c r="D154" s="122" t="s">
        <v>2256</v>
      </c>
      <c r="E154" s="124">
        <v>42939</v>
      </c>
      <c r="F154" s="125">
        <v>0.63194444444444442</v>
      </c>
      <c r="G154" s="124">
        <v>43010</v>
      </c>
      <c r="H154" s="125">
        <v>0.4145833333333333</v>
      </c>
      <c r="I154" s="123">
        <v>705</v>
      </c>
      <c r="J154" s="123">
        <v>198</v>
      </c>
      <c r="K154" s="123">
        <v>788</v>
      </c>
      <c r="L154" s="123">
        <v>617</v>
      </c>
      <c r="M154" s="123">
        <v>635</v>
      </c>
      <c r="N154" s="123">
        <v>30.9</v>
      </c>
      <c r="O154" s="123">
        <v>6.4</v>
      </c>
      <c r="P154" s="123" t="s">
        <v>2521</v>
      </c>
      <c r="Q154" s="123">
        <v>26</v>
      </c>
      <c r="R154" s="123">
        <v>6.4</v>
      </c>
      <c r="S154" s="123" t="s">
        <v>2195</v>
      </c>
      <c r="T154" s="123" t="s">
        <v>2179</v>
      </c>
      <c r="U154" s="123"/>
      <c r="V154" s="123"/>
      <c r="W154" s="123" t="s">
        <v>3550</v>
      </c>
    </row>
    <row r="155" spans="1:23">
      <c r="A155" s="121">
        <v>153</v>
      </c>
      <c r="B155" s="185" t="s">
        <v>2314</v>
      </c>
      <c r="C155" s="185" t="s">
        <v>2376</v>
      </c>
      <c r="D155" s="122" t="s">
        <v>2265</v>
      </c>
      <c r="E155" s="124">
        <v>42939</v>
      </c>
      <c r="F155" s="125">
        <v>0.61111111111111105</v>
      </c>
      <c r="G155" s="124">
        <v>43010</v>
      </c>
      <c r="H155" s="125">
        <v>0.42777777777777781</v>
      </c>
      <c r="I155" s="123">
        <v>710</v>
      </c>
      <c r="J155" s="123">
        <v>197</v>
      </c>
      <c r="K155" s="123">
        <v>735</v>
      </c>
      <c r="L155" s="123">
        <v>19</v>
      </c>
      <c r="M155" s="123">
        <v>651</v>
      </c>
      <c r="N155" s="123">
        <v>35.5</v>
      </c>
      <c r="O155" s="123">
        <v>4.9000000000000004</v>
      </c>
      <c r="P155" s="123" t="s">
        <v>2521</v>
      </c>
      <c r="Q155" s="123">
        <v>27.8</v>
      </c>
      <c r="R155" s="123">
        <v>6.4</v>
      </c>
      <c r="S155" s="123" t="s">
        <v>2195</v>
      </c>
      <c r="T155" s="123" t="s">
        <v>2195</v>
      </c>
      <c r="U155" s="123"/>
      <c r="V155" s="123"/>
      <c r="W155" s="123"/>
    </row>
    <row r="156" spans="1:23">
      <c r="A156" s="121">
        <v>154</v>
      </c>
      <c r="B156" s="185" t="s">
        <v>2314</v>
      </c>
      <c r="C156" s="185" t="s">
        <v>2377</v>
      </c>
      <c r="D156" s="122" t="s">
        <v>2265</v>
      </c>
      <c r="E156" s="124">
        <v>42939</v>
      </c>
      <c r="F156" s="125">
        <v>0.61111111111111105</v>
      </c>
      <c r="G156" s="124">
        <v>43010</v>
      </c>
      <c r="H156" s="125">
        <v>0.42499999999999999</v>
      </c>
      <c r="I156" s="123">
        <v>711</v>
      </c>
      <c r="J156" s="123">
        <v>127</v>
      </c>
      <c r="K156" s="123">
        <v>836</v>
      </c>
      <c r="L156" s="123">
        <v>275</v>
      </c>
      <c r="M156" s="123">
        <v>367</v>
      </c>
      <c r="N156" s="123">
        <v>32.9</v>
      </c>
      <c r="O156" s="123">
        <v>3.8</v>
      </c>
      <c r="P156" s="123" t="s">
        <v>2521</v>
      </c>
      <c r="Q156" s="123">
        <v>28</v>
      </c>
      <c r="R156" s="123">
        <v>4.3</v>
      </c>
      <c r="S156" s="123" t="s">
        <v>2238</v>
      </c>
      <c r="T156" s="123" t="s">
        <v>2179</v>
      </c>
      <c r="U156" s="123"/>
      <c r="V156" s="123"/>
      <c r="W156" s="123"/>
    </row>
    <row r="157" spans="1:23">
      <c r="A157" s="121">
        <v>155</v>
      </c>
      <c r="B157" s="185" t="s">
        <v>2314</v>
      </c>
      <c r="C157" s="185" t="s">
        <v>2378</v>
      </c>
      <c r="D157" s="122" t="s">
        <v>2265</v>
      </c>
      <c r="E157" s="124">
        <v>42939</v>
      </c>
      <c r="F157" s="125">
        <v>0.61111111111111105</v>
      </c>
      <c r="G157" s="124">
        <v>43010</v>
      </c>
      <c r="H157" s="125">
        <v>0.42638888888888887</v>
      </c>
      <c r="I157" s="123">
        <v>712</v>
      </c>
      <c r="J157" s="123">
        <v>253</v>
      </c>
      <c r="K157" s="123">
        <v>337</v>
      </c>
      <c r="L157" s="123">
        <v>289</v>
      </c>
      <c r="M157" s="123">
        <v>617</v>
      </c>
      <c r="N157" s="123">
        <v>31.2</v>
      </c>
      <c r="O157" s="123">
        <v>4.9000000000000004</v>
      </c>
      <c r="P157" s="123" t="s">
        <v>2521</v>
      </c>
      <c r="Q157" s="123">
        <v>27.6</v>
      </c>
      <c r="R157" s="123">
        <v>5.3</v>
      </c>
      <c r="S157" s="123" t="s">
        <v>2179</v>
      </c>
      <c r="T157" s="123" t="s">
        <v>2238</v>
      </c>
      <c r="U157" s="123"/>
      <c r="V157" s="123"/>
      <c r="W157" s="123"/>
    </row>
    <row r="158" spans="1:23">
      <c r="A158" s="121">
        <v>156</v>
      </c>
      <c r="B158" s="185" t="s">
        <v>2314</v>
      </c>
      <c r="C158" s="185" t="s">
        <v>2379</v>
      </c>
      <c r="D158" s="122" t="s">
        <v>2265</v>
      </c>
      <c r="E158" s="124">
        <v>42939</v>
      </c>
      <c r="F158" s="125">
        <v>0.60416666666666663</v>
      </c>
      <c r="G158" s="124">
        <v>43010</v>
      </c>
      <c r="H158" s="125">
        <v>0.43472222222222223</v>
      </c>
      <c r="I158" s="123">
        <v>713</v>
      </c>
      <c r="J158" s="123">
        <v>47</v>
      </c>
      <c r="K158" s="123">
        <v>118</v>
      </c>
      <c r="L158" s="123">
        <v>65</v>
      </c>
      <c r="M158" s="123">
        <v>84</v>
      </c>
      <c r="N158" s="123">
        <v>32.200000000000003</v>
      </c>
      <c r="O158" s="123">
        <v>4.7</v>
      </c>
      <c r="P158" s="123" t="s">
        <v>2521</v>
      </c>
      <c r="Q158" s="123">
        <v>28.5</v>
      </c>
      <c r="R158" s="123">
        <v>4.3</v>
      </c>
      <c r="S158" s="123" t="s">
        <v>2200</v>
      </c>
      <c r="T158" s="123" t="s">
        <v>2195</v>
      </c>
      <c r="U158" s="123"/>
      <c r="V158" s="123"/>
      <c r="W158" s="123" t="s">
        <v>3551</v>
      </c>
    </row>
    <row r="159" spans="1:23">
      <c r="A159" s="121">
        <v>157</v>
      </c>
      <c r="B159" s="185" t="s">
        <v>2314</v>
      </c>
      <c r="C159" s="185" t="s">
        <v>2381</v>
      </c>
      <c r="D159" s="122" t="s">
        <v>2265</v>
      </c>
      <c r="E159" s="124">
        <v>42939</v>
      </c>
      <c r="F159" s="125">
        <v>0.60416666666666663</v>
      </c>
      <c r="G159" s="124">
        <v>43010</v>
      </c>
      <c r="H159" s="125">
        <v>0.42152777777777778</v>
      </c>
      <c r="I159" s="123">
        <v>714</v>
      </c>
      <c r="J159" s="123">
        <v>328</v>
      </c>
      <c r="K159" s="123">
        <v>478</v>
      </c>
      <c r="L159" s="123">
        <v>33</v>
      </c>
      <c r="M159" s="123">
        <v>248</v>
      </c>
      <c r="N159" s="123">
        <v>31.3</v>
      </c>
      <c r="O159" s="123">
        <v>5.6</v>
      </c>
      <c r="P159" s="123" t="s">
        <v>2521</v>
      </c>
      <c r="Q159" s="123">
        <v>28.4</v>
      </c>
      <c r="R159" s="123">
        <v>5.7</v>
      </c>
      <c r="S159" s="123" t="s">
        <v>3547</v>
      </c>
      <c r="T159" s="123" t="s">
        <v>3546</v>
      </c>
      <c r="U159" s="123"/>
      <c r="V159" s="123"/>
      <c r="W159" s="123" t="s">
        <v>3539</v>
      </c>
    </row>
    <row r="160" spans="1:23">
      <c r="A160" s="121">
        <v>158</v>
      </c>
      <c r="B160" s="185" t="s">
        <v>2314</v>
      </c>
      <c r="C160" s="185" t="s">
        <v>2382</v>
      </c>
      <c r="D160" s="122" t="s">
        <v>2265</v>
      </c>
      <c r="E160" s="124">
        <v>42939</v>
      </c>
      <c r="F160" s="125">
        <v>0.60069444444444442</v>
      </c>
      <c r="G160" s="124">
        <v>43010</v>
      </c>
      <c r="H160" s="125">
        <v>0.43194444444444446</v>
      </c>
      <c r="I160" s="123">
        <v>715</v>
      </c>
      <c r="J160" s="123">
        <v>21</v>
      </c>
      <c r="K160" s="123">
        <v>773</v>
      </c>
      <c r="L160" s="123">
        <v>153</v>
      </c>
      <c r="M160" s="123">
        <v>238</v>
      </c>
      <c r="N160" s="123">
        <v>35.700000000000003</v>
      </c>
      <c r="O160" s="123">
        <v>6.9</v>
      </c>
      <c r="P160" s="123" t="s">
        <v>2521</v>
      </c>
      <c r="Q160" s="123">
        <v>27.9</v>
      </c>
      <c r="R160" s="123">
        <v>5</v>
      </c>
      <c r="S160" s="123" t="s">
        <v>2195</v>
      </c>
      <c r="T160" s="123" t="s">
        <v>2238</v>
      </c>
      <c r="U160" s="123"/>
      <c r="V160" s="123"/>
      <c r="W160" s="123" t="s">
        <v>3552</v>
      </c>
    </row>
    <row r="161" spans="1:23">
      <c r="A161" s="121">
        <v>159</v>
      </c>
      <c r="B161" s="185" t="s">
        <v>2314</v>
      </c>
      <c r="C161" s="185" t="s">
        <v>2383</v>
      </c>
      <c r="D161" s="122" t="s">
        <v>2265</v>
      </c>
      <c r="E161" s="123"/>
      <c r="F161" s="123"/>
      <c r="G161" s="123"/>
      <c r="H161" s="125"/>
      <c r="I161" s="123">
        <v>716</v>
      </c>
      <c r="J161" s="123"/>
      <c r="K161" s="123"/>
      <c r="L161" s="123"/>
      <c r="M161" s="123"/>
      <c r="N161" s="123"/>
      <c r="O161" s="123"/>
      <c r="P161" s="123"/>
      <c r="Q161" s="123"/>
      <c r="R161" s="123"/>
      <c r="S161" s="123"/>
      <c r="T161" s="123"/>
      <c r="U161" s="123"/>
      <c r="V161" s="123"/>
      <c r="W161" s="123"/>
    </row>
    <row r="162" spans="1:23">
      <c r="A162" s="121">
        <v>160</v>
      </c>
      <c r="B162" s="185" t="s">
        <v>2314</v>
      </c>
      <c r="C162" s="185" t="s">
        <v>2384</v>
      </c>
      <c r="D162" s="122" t="s">
        <v>2265</v>
      </c>
      <c r="E162" s="124">
        <v>42939</v>
      </c>
      <c r="F162" s="125">
        <v>0.60763888888888895</v>
      </c>
      <c r="G162" s="124">
        <v>43010</v>
      </c>
      <c r="H162" s="125">
        <v>0.43611111111111112</v>
      </c>
      <c r="I162" s="123">
        <v>717</v>
      </c>
      <c r="J162" s="123">
        <v>482</v>
      </c>
      <c r="K162" s="123">
        <v>401</v>
      </c>
      <c r="L162" s="123">
        <v>175</v>
      </c>
      <c r="M162" s="123">
        <v>350</v>
      </c>
      <c r="N162" s="123">
        <v>29.8</v>
      </c>
      <c r="O162" s="123">
        <v>6.1</v>
      </c>
      <c r="P162" s="123" t="s">
        <v>2521</v>
      </c>
      <c r="Q162" s="123">
        <v>28.6</v>
      </c>
      <c r="R162" s="123">
        <v>6.4</v>
      </c>
      <c r="S162" s="123" t="s">
        <v>2195</v>
      </c>
      <c r="T162" s="123" t="s">
        <v>2179</v>
      </c>
      <c r="U162" s="123"/>
      <c r="V162" s="123"/>
      <c r="W162" s="123"/>
    </row>
    <row r="163" spans="1:23">
      <c r="A163" s="121">
        <v>161</v>
      </c>
      <c r="B163" s="185" t="s">
        <v>2385</v>
      </c>
      <c r="C163" s="185" t="s">
        <v>2386</v>
      </c>
      <c r="D163" s="122" t="s">
        <v>2278</v>
      </c>
      <c r="E163" s="124">
        <v>42940</v>
      </c>
      <c r="F163" s="125">
        <v>0.51388888888888895</v>
      </c>
      <c r="G163" s="124">
        <v>43009</v>
      </c>
      <c r="H163" s="125">
        <v>0.4284722222222222</v>
      </c>
      <c r="I163" s="123">
        <v>756</v>
      </c>
      <c r="J163" s="123">
        <v>51</v>
      </c>
      <c r="K163" s="123">
        <v>673</v>
      </c>
      <c r="L163" s="123">
        <v>207</v>
      </c>
      <c r="M163" s="123">
        <v>314</v>
      </c>
      <c r="N163" s="123">
        <v>33.299999999999997</v>
      </c>
      <c r="O163" s="123">
        <v>3.6</v>
      </c>
      <c r="P163" s="123" t="s">
        <v>2523</v>
      </c>
      <c r="Q163" s="123">
        <v>30.1</v>
      </c>
      <c r="R163" s="123">
        <v>7.7</v>
      </c>
      <c r="S163" s="123" t="s">
        <v>2206</v>
      </c>
      <c r="T163" s="123" t="s">
        <v>2179</v>
      </c>
      <c r="U163" s="123"/>
      <c r="V163" s="123"/>
      <c r="W163" s="123"/>
    </row>
    <row r="164" spans="1:23">
      <c r="A164" s="121">
        <v>162</v>
      </c>
      <c r="B164" s="185" t="s">
        <v>2385</v>
      </c>
      <c r="C164" s="185" t="s">
        <v>2387</v>
      </c>
      <c r="D164" s="122" t="s">
        <v>2278</v>
      </c>
      <c r="E164" s="124">
        <v>42940</v>
      </c>
      <c r="F164" s="125">
        <v>0.51388888888888895</v>
      </c>
      <c r="G164" s="124">
        <v>43009</v>
      </c>
      <c r="H164" s="125">
        <v>0.43055555555555558</v>
      </c>
      <c r="I164" s="123">
        <v>757</v>
      </c>
      <c r="J164" s="123">
        <v>238</v>
      </c>
      <c r="K164" s="123">
        <v>814</v>
      </c>
      <c r="L164" s="123">
        <v>580</v>
      </c>
      <c r="M164" s="123">
        <v>425</v>
      </c>
      <c r="N164" s="123">
        <v>33.200000000000003</v>
      </c>
      <c r="O164" s="123">
        <v>4.5999999999999996</v>
      </c>
      <c r="P164" s="123" t="s">
        <v>2523</v>
      </c>
      <c r="Q164" s="123">
        <v>30.1</v>
      </c>
      <c r="R164" s="123">
        <v>4.3</v>
      </c>
      <c r="S164" s="123" t="s">
        <v>2187</v>
      </c>
      <c r="T164" s="123" t="s">
        <v>2195</v>
      </c>
      <c r="U164" s="123"/>
      <c r="V164" s="123"/>
      <c r="W164" s="123"/>
    </row>
    <row r="165" spans="1:23">
      <c r="A165" s="121">
        <v>163</v>
      </c>
      <c r="B165" s="185" t="s">
        <v>2385</v>
      </c>
      <c r="C165" s="185" t="s">
        <v>2388</v>
      </c>
      <c r="D165" s="122" t="s">
        <v>2278</v>
      </c>
      <c r="E165" s="124">
        <v>42940</v>
      </c>
      <c r="F165" s="125">
        <v>0.51388888888888895</v>
      </c>
      <c r="G165" s="124">
        <v>43009</v>
      </c>
      <c r="H165" s="125">
        <v>0.43263888888888885</v>
      </c>
      <c r="I165" s="123">
        <v>758</v>
      </c>
      <c r="J165" s="123">
        <v>59</v>
      </c>
      <c r="K165" s="123">
        <v>615</v>
      </c>
      <c r="L165" s="123">
        <v>722</v>
      </c>
      <c r="M165" s="123">
        <v>267</v>
      </c>
      <c r="N165" s="123">
        <v>35.4</v>
      </c>
      <c r="O165" s="123">
        <v>4</v>
      </c>
      <c r="P165" s="123" t="s">
        <v>2523</v>
      </c>
      <c r="Q165" s="123">
        <v>30.1</v>
      </c>
      <c r="R165" s="123">
        <v>4.9000000000000004</v>
      </c>
      <c r="S165" s="123" t="s">
        <v>2187</v>
      </c>
      <c r="T165" s="123" t="s">
        <v>2179</v>
      </c>
      <c r="U165" s="123"/>
      <c r="V165" s="123"/>
      <c r="W165" s="123"/>
    </row>
    <row r="166" spans="1:23">
      <c r="A166" s="121">
        <v>164</v>
      </c>
      <c r="B166" s="185" t="s">
        <v>2385</v>
      </c>
      <c r="C166" s="185" t="s">
        <v>2389</v>
      </c>
      <c r="D166" s="122" t="s">
        <v>2278</v>
      </c>
      <c r="E166" s="124">
        <v>42940</v>
      </c>
      <c r="F166" s="125">
        <v>0.51736111111111105</v>
      </c>
      <c r="G166" s="124">
        <v>43009</v>
      </c>
      <c r="H166" s="125">
        <v>0.43402777777777773</v>
      </c>
      <c r="I166" s="123">
        <v>759</v>
      </c>
      <c r="J166" s="123">
        <v>7</v>
      </c>
      <c r="K166" s="123">
        <v>514</v>
      </c>
      <c r="L166" s="123">
        <v>239</v>
      </c>
      <c r="M166" s="129">
        <v>211</v>
      </c>
      <c r="N166" s="123">
        <v>33.1</v>
      </c>
      <c r="O166" s="123">
        <v>3.2</v>
      </c>
      <c r="P166" s="123" t="s">
        <v>2523</v>
      </c>
      <c r="Q166" s="123">
        <v>29.5</v>
      </c>
      <c r="R166" s="123">
        <v>6.9</v>
      </c>
      <c r="S166" s="123" t="s">
        <v>2187</v>
      </c>
      <c r="T166" s="123"/>
      <c r="U166" s="123" t="s">
        <v>2187</v>
      </c>
      <c r="V166" s="123" t="s">
        <v>2187</v>
      </c>
      <c r="W166" s="123"/>
    </row>
    <row r="167" spans="1:23">
      <c r="A167" s="121">
        <v>165</v>
      </c>
      <c r="B167" s="185" t="s">
        <v>2385</v>
      </c>
      <c r="C167" s="185" t="s">
        <v>2390</v>
      </c>
      <c r="D167" s="122" t="s">
        <v>2278</v>
      </c>
      <c r="E167" s="124">
        <v>42940</v>
      </c>
      <c r="F167" s="125">
        <v>0.52083333333333337</v>
      </c>
      <c r="G167" s="124">
        <v>43009</v>
      </c>
      <c r="H167" s="125">
        <v>0.44305555555555554</v>
      </c>
      <c r="I167" s="123">
        <v>760</v>
      </c>
      <c r="J167" s="123">
        <v>85</v>
      </c>
      <c r="K167" s="123">
        <v>127</v>
      </c>
      <c r="L167" s="123">
        <v>343</v>
      </c>
      <c r="M167" s="123">
        <v>310</v>
      </c>
      <c r="N167" s="123">
        <v>33.6</v>
      </c>
      <c r="O167" s="123">
        <v>3.7</v>
      </c>
      <c r="P167" s="123" t="s">
        <v>2523</v>
      </c>
      <c r="Q167" s="123">
        <v>30.5</v>
      </c>
      <c r="R167" s="123">
        <v>6.9</v>
      </c>
      <c r="S167" s="123"/>
      <c r="T167" s="123"/>
      <c r="U167" s="123"/>
      <c r="V167" s="123"/>
      <c r="W167" s="123" t="s">
        <v>3553</v>
      </c>
    </row>
    <row r="168" spans="1:23">
      <c r="A168" s="121">
        <v>166</v>
      </c>
      <c r="B168" s="185" t="s">
        <v>2385</v>
      </c>
      <c r="C168" s="185" t="s">
        <v>2391</v>
      </c>
      <c r="D168" s="122" t="s">
        <v>2278</v>
      </c>
      <c r="E168" s="124">
        <v>42940</v>
      </c>
      <c r="F168" s="125">
        <v>0.52430555555555558</v>
      </c>
      <c r="G168" s="124">
        <v>43009</v>
      </c>
      <c r="H168" s="125">
        <v>0.43611111111111112</v>
      </c>
      <c r="I168" s="123">
        <v>761</v>
      </c>
      <c r="J168" s="123">
        <v>1</v>
      </c>
      <c r="K168" s="123">
        <v>752</v>
      </c>
      <c r="L168" s="123">
        <v>409</v>
      </c>
      <c r="M168" s="123">
        <v>269</v>
      </c>
      <c r="N168" s="123">
        <v>38.700000000000003</v>
      </c>
      <c r="O168" s="123">
        <v>5.0999999999999996</v>
      </c>
      <c r="P168" s="123" t="s">
        <v>2523</v>
      </c>
      <c r="Q168" s="123">
        <v>27.8</v>
      </c>
      <c r="R168" s="123">
        <v>5.2</v>
      </c>
      <c r="S168" s="123" t="s">
        <v>2187</v>
      </c>
      <c r="T168" s="123"/>
      <c r="U168" s="123"/>
      <c r="V168" s="123"/>
      <c r="W168" s="123"/>
    </row>
    <row r="169" spans="1:23">
      <c r="A169" s="121">
        <v>167</v>
      </c>
      <c r="B169" s="185" t="s">
        <v>2385</v>
      </c>
      <c r="C169" s="185" t="s">
        <v>2393</v>
      </c>
      <c r="D169" s="122" t="s">
        <v>2278</v>
      </c>
      <c r="E169" s="123"/>
      <c r="F169" s="123"/>
      <c r="G169" s="123"/>
      <c r="H169" s="125"/>
      <c r="I169" s="123">
        <v>762</v>
      </c>
      <c r="J169" s="123"/>
      <c r="K169" s="123"/>
      <c r="L169" s="123"/>
      <c r="M169" s="123"/>
      <c r="N169" s="123"/>
      <c r="O169" s="123"/>
      <c r="P169" s="123"/>
      <c r="Q169" s="123"/>
      <c r="R169" s="123"/>
      <c r="S169" s="123"/>
      <c r="T169" s="123"/>
      <c r="U169" s="123"/>
      <c r="V169" s="123"/>
      <c r="W169" s="123"/>
    </row>
    <row r="170" spans="1:23">
      <c r="A170" s="121">
        <v>168</v>
      </c>
      <c r="B170" s="185" t="s">
        <v>2385</v>
      </c>
      <c r="C170" s="185" t="s">
        <v>2394</v>
      </c>
      <c r="D170" s="122" t="s">
        <v>2278</v>
      </c>
      <c r="E170" s="124">
        <v>42940</v>
      </c>
      <c r="F170" s="125">
        <v>0.52083333333333337</v>
      </c>
      <c r="G170" s="124">
        <v>43009</v>
      </c>
      <c r="H170" s="125">
        <v>0.42222222222222222</v>
      </c>
      <c r="I170" s="123">
        <v>763</v>
      </c>
      <c r="J170" s="123">
        <v>70</v>
      </c>
      <c r="K170" s="123">
        <v>690</v>
      </c>
      <c r="L170" s="123">
        <v>304</v>
      </c>
      <c r="M170" s="123">
        <v>413</v>
      </c>
      <c r="N170" s="123">
        <v>32</v>
      </c>
      <c r="O170" s="123">
        <v>5</v>
      </c>
      <c r="P170" s="123" t="s">
        <v>2523</v>
      </c>
      <c r="Q170" s="123">
        <v>28.3</v>
      </c>
      <c r="R170" s="123">
        <v>3.2</v>
      </c>
      <c r="S170" s="123" t="s">
        <v>2187</v>
      </c>
      <c r="T170" s="123" t="s">
        <v>2179</v>
      </c>
      <c r="U170" s="123"/>
      <c r="V170" s="123" t="s">
        <v>2187</v>
      </c>
      <c r="W170" s="123"/>
    </row>
    <row r="171" spans="1:23">
      <c r="A171" s="121">
        <v>169</v>
      </c>
      <c r="B171" s="185" t="s">
        <v>2385</v>
      </c>
      <c r="C171" s="185" t="s">
        <v>2395</v>
      </c>
      <c r="D171" s="122" t="s">
        <v>2287</v>
      </c>
      <c r="E171" s="124">
        <v>42940</v>
      </c>
      <c r="F171" s="125">
        <v>0.57291666666666663</v>
      </c>
      <c r="G171" s="124">
        <v>43009</v>
      </c>
      <c r="H171" s="125">
        <v>0.4993055555555555</v>
      </c>
      <c r="I171" s="123">
        <v>782</v>
      </c>
      <c r="J171" s="123">
        <v>250</v>
      </c>
      <c r="K171" s="123">
        <v>684</v>
      </c>
      <c r="L171" s="123">
        <v>135</v>
      </c>
      <c r="M171" s="123">
        <v>80</v>
      </c>
      <c r="N171" s="123">
        <v>38.6</v>
      </c>
      <c r="O171" s="123">
        <v>5.6</v>
      </c>
      <c r="P171" s="123" t="s">
        <v>2523</v>
      </c>
      <c r="Q171" s="123">
        <v>31.5</v>
      </c>
      <c r="R171" s="123">
        <v>7.7</v>
      </c>
      <c r="S171" s="123" t="s">
        <v>2187</v>
      </c>
      <c r="T171" s="123" t="s">
        <v>2319</v>
      </c>
      <c r="U171" s="123" t="s">
        <v>2187</v>
      </c>
      <c r="V171" s="123" t="s">
        <v>2187</v>
      </c>
      <c r="W171" s="123"/>
    </row>
    <row r="172" spans="1:23">
      <c r="A172" s="121">
        <v>170</v>
      </c>
      <c r="B172" s="185" t="s">
        <v>2385</v>
      </c>
      <c r="C172" s="185" t="s">
        <v>2396</v>
      </c>
      <c r="D172" s="122" t="s">
        <v>2287</v>
      </c>
      <c r="E172" s="124">
        <v>42940</v>
      </c>
      <c r="F172" s="125">
        <v>0.57638888888888895</v>
      </c>
      <c r="G172" s="124">
        <v>43009</v>
      </c>
      <c r="H172" s="125">
        <v>0.49722222222222223</v>
      </c>
      <c r="I172" s="123">
        <v>783</v>
      </c>
      <c r="J172" s="123">
        <v>624</v>
      </c>
      <c r="K172" s="123">
        <v>694</v>
      </c>
      <c r="L172" s="123">
        <v>515</v>
      </c>
      <c r="M172" s="123">
        <v>208</v>
      </c>
      <c r="N172" s="123">
        <v>37</v>
      </c>
      <c r="O172" s="123">
        <v>5</v>
      </c>
      <c r="P172" s="123" t="s">
        <v>2523</v>
      </c>
      <c r="Q172" s="123">
        <v>30.9</v>
      </c>
      <c r="R172" s="123">
        <v>7.2</v>
      </c>
      <c r="S172" s="123" t="s">
        <v>2206</v>
      </c>
      <c r="T172" s="123" t="s">
        <v>2187</v>
      </c>
      <c r="U172" s="123" t="s">
        <v>2187</v>
      </c>
      <c r="V172" s="123"/>
      <c r="W172" s="123"/>
    </row>
    <row r="173" spans="1:23">
      <c r="A173" s="121">
        <v>171</v>
      </c>
      <c r="B173" s="185" t="s">
        <v>2385</v>
      </c>
      <c r="C173" s="185" t="s">
        <v>2397</v>
      </c>
      <c r="D173" s="122" t="s">
        <v>2287</v>
      </c>
      <c r="E173" s="124">
        <v>42940</v>
      </c>
      <c r="F173" s="125">
        <v>0.56597222222222221</v>
      </c>
      <c r="G173" s="124">
        <v>43009</v>
      </c>
      <c r="H173" s="125">
        <v>0.50138888888888888</v>
      </c>
      <c r="I173" s="123">
        <v>784</v>
      </c>
      <c r="J173" s="123">
        <v>149</v>
      </c>
      <c r="K173" s="123">
        <v>655</v>
      </c>
      <c r="L173" s="123">
        <v>348</v>
      </c>
      <c r="M173" s="123">
        <v>633</v>
      </c>
      <c r="N173" s="123">
        <v>35.1</v>
      </c>
      <c r="O173" s="123">
        <v>4.5</v>
      </c>
      <c r="P173" s="123" t="s">
        <v>2523</v>
      </c>
      <c r="Q173" s="123">
        <v>30.9</v>
      </c>
      <c r="R173" s="123">
        <v>6.7</v>
      </c>
      <c r="S173" s="123" t="s">
        <v>2187</v>
      </c>
      <c r="T173" s="123" t="s">
        <v>2206</v>
      </c>
      <c r="U173" s="123" t="s">
        <v>2187</v>
      </c>
      <c r="V173" s="123"/>
      <c r="W173" s="123"/>
    </row>
    <row r="174" spans="1:23">
      <c r="A174" s="121">
        <v>172</v>
      </c>
      <c r="B174" s="185" t="s">
        <v>2385</v>
      </c>
      <c r="C174" s="185" t="s">
        <v>2398</v>
      </c>
      <c r="D174" s="122" t="s">
        <v>2287</v>
      </c>
      <c r="E174" s="124"/>
      <c r="F174" s="124"/>
      <c r="G174" s="124"/>
      <c r="H174" s="123"/>
      <c r="I174" s="123">
        <v>789</v>
      </c>
      <c r="J174" s="124"/>
      <c r="K174" s="124"/>
      <c r="L174" s="124"/>
      <c r="M174" s="124"/>
      <c r="N174" s="124"/>
      <c r="O174" s="124"/>
      <c r="P174" s="124"/>
      <c r="Q174" s="123"/>
      <c r="R174" s="123"/>
      <c r="S174" s="123"/>
      <c r="T174" s="123"/>
      <c r="U174" s="123"/>
      <c r="V174" s="123"/>
      <c r="W174" s="123"/>
    </row>
    <row r="175" spans="1:23">
      <c r="A175" s="121">
        <v>173</v>
      </c>
      <c r="B175" s="185" t="s">
        <v>2385</v>
      </c>
      <c r="C175" s="185" t="s">
        <v>2399</v>
      </c>
      <c r="D175" s="122" t="s">
        <v>2287</v>
      </c>
      <c r="E175" s="124">
        <v>42940</v>
      </c>
      <c r="F175" s="125">
        <v>0.57291666666666663</v>
      </c>
      <c r="G175" s="124">
        <v>43009</v>
      </c>
      <c r="H175" s="125">
        <v>0.49305555555555558</v>
      </c>
      <c r="I175" s="123">
        <v>790</v>
      </c>
      <c r="J175" s="123">
        <v>597</v>
      </c>
      <c r="K175" s="123">
        <v>405</v>
      </c>
      <c r="L175" s="123">
        <v>307</v>
      </c>
      <c r="M175" s="123">
        <v>473</v>
      </c>
      <c r="N175" s="123">
        <v>37.200000000000003</v>
      </c>
      <c r="O175" s="123">
        <v>4.5</v>
      </c>
      <c r="P175" s="123" t="s">
        <v>2523</v>
      </c>
      <c r="Q175" s="123">
        <v>30.9</v>
      </c>
      <c r="R175" s="123">
        <v>8.1</v>
      </c>
      <c r="S175" s="123" t="s">
        <v>2206</v>
      </c>
      <c r="T175" s="123" t="s">
        <v>2200</v>
      </c>
      <c r="U175" s="123"/>
      <c r="V175" s="123"/>
      <c r="W175" s="123"/>
    </row>
    <row r="176" spans="1:23">
      <c r="A176" s="121">
        <v>174</v>
      </c>
      <c r="B176" s="185" t="s">
        <v>2385</v>
      </c>
      <c r="C176" s="185" t="s">
        <v>2400</v>
      </c>
      <c r="D176" s="122" t="s">
        <v>2287</v>
      </c>
      <c r="E176" s="124">
        <v>42940</v>
      </c>
      <c r="F176" s="125">
        <v>0.56944444444444442</v>
      </c>
      <c r="G176" s="124">
        <v>43009</v>
      </c>
      <c r="H176" s="125">
        <v>0.51180555555555551</v>
      </c>
      <c r="I176" s="123">
        <v>791</v>
      </c>
      <c r="J176" s="123">
        <v>396</v>
      </c>
      <c r="K176" s="123">
        <v>736</v>
      </c>
      <c r="L176" s="123">
        <v>155</v>
      </c>
      <c r="M176" s="123">
        <v>702</v>
      </c>
      <c r="N176" s="123">
        <v>37</v>
      </c>
      <c r="O176" s="123">
        <v>4.5999999999999996</v>
      </c>
      <c r="P176" s="123" t="s">
        <v>2523</v>
      </c>
      <c r="Q176" s="123">
        <v>29.4</v>
      </c>
      <c r="R176" s="123">
        <v>7.2</v>
      </c>
      <c r="S176" s="123" t="s">
        <v>2206</v>
      </c>
      <c r="T176" s="123" t="s">
        <v>2187</v>
      </c>
      <c r="U176" s="123"/>
      <c r="V176" s="123"/>
      <c r="W176" s="123"/>
    </row>
    <row r="177" spans="1:23">
      <c r="A177" s="121">
        <v>175</v>
      </c>
      <c r="B177" s="185" t="s">
        <v>2385</v>
      </c>
      <c r="C177" s="185" t="s">
        <v>2401</v>
      </c>
      <c r="D177" s="122" t="s">
        <v>2287</v>
      </c>
      <c r="E177" s="124">
        <v>42940</v>
      </c>
      <c r="F177" s="125">
        <v>0.5625</v>
      </c>
      <c r="G177" s="124">
        <v>43009</v>
      </c>
      <c r="H177" s="125">
        <v>0.50486111111111109</v>
      </c>
      <c r="I177" s="123">
        <v>792</v>
      </c>
      <c r="J177" s="123">
        <v>612</v>
      </c>
      <c r="K177" s="123">
        <v>338</v>
      </c>
      <c r="L177" s="123">
        <v>719</v>
      </c>
      <c r="M177" s="123">
        <v>175</v>
      </c>
      <c r="N177" s="123">
        <v>37.1</v>
      </c>
      <c r="O177" s="123">
        <v>4.0999999999999996</v>
      </c>
      <c r="P177" s="123" t="s">
        <v>2523</v>
      </c>
      <c r="Q177" s="123">
        <v>31</v>
      </c>
      <c r="R177" s="123">
        <v>7.8</v>
      </c>
      <c r="S177" s="123" t="s">
        <v>2206</v>
      </c>
      <c r="T177" s="123"/>
      <c r="U177" s="123"/>
      <c r="V177" s="123" t="s">
        <v>2187</v>
      </c>
      <c r="W177" s="123"/>
    </row>
    <row r="178" spans="1:23">
      <c r="A178" s="121">
        <v>176</v>
      </c>
      <c r="B178" s="185" t="s">
        <v>2385</v>
      </c>
      <c r="C178" s="185" t="s">
        <v>2402</v>
      </c>
      <c r="D178" s="122" t="s">
        <v>2287</v>
      </c>
      <c r="E178" s="124">
        <v>42940</v>
      </c>
      <c r="F178" s="125">
        <v>0.5625</v>
      </c>
      <c r="G178" s="124">
        <v>43009</v>
      </c>
      <c r="H178" s="125">
        <v>0.5083333333333333</v>
      </c>
      <c r="I178" s="123">
        <v>793</v>
      </c>
      <c r="J178" s="123">
        <v>183</v>
      </c>
      <c r="K178" s="123">
        <v>52</v>
      </c>
      <c r="L178" s="123">
        <v>323</v>
      </c>
      <c r="M178" s="123">
        <v>332</v>
      </c>
      <c r="N178" s="123">
        <v>37.4</v>
      </c>
      <c r="O178" s="123">
        <v>3.7</v>
      </c>
      <c r="P178" s="123" t="s">
        <v>2523</v>
      </c>
      <c r="Q178" s="123">
        <v>31.6</v>
      </c>
      <c r="R178" s="123">
        <v>5.5</v>
      </c>
      <c r="S178" s="123" t="s">
        <v>2206</v>
      </c>
      <c r="T178" s="123" t="s">
        <v>2206</v>
      </c>
      <c r="U178" s="123" t="s">
        <v>2187</v>
      </c>
      <c r="V178" s="123" t="s">
        <v>2187</v>
      </c>
      <c r="W178" s="123"/>
    </row>
    <row r="179" spans="1:23">
      <c r="A179" s="121">
        <v>177</v>
      </c>
      <c r="B179" s="185" t="s">
        <v>2385</v>
      </c>
      <c r="C179" s="185" t="s">
        <v>2403</v>
      </c>
      <c r="D179" s="122" t="s">
        <v>2296</v>
      </c>
      <c r="E179" s="124">
        <v>42940</v>
      </c>
      <c r="F179" s="125">
        <v>0.64583333333333337</v>
      </c>
      <c r="G179" s="124">
        <v>43009</v>
      </c>
      <c r="H179" s="125">
        <v>0.62986111111111109</v>
      </c>
      <c r="I179" s="123">
        <v>794</v>
      </c>
      <c r="J179" s="123">
        <v>98</v>
      </c>
      <c r="K179" s="123">
        <v>750</v>
      </c>
      <c r="L179" s="123">
        <v>14</v>
      </c>
      <c r="M179" s="123">
        <v>279</v>
      </c>
      <c r="N179" s="123">
        <v>36.1</v>
      </c>
      <c r="O179" s="123">
        <v>3.8</v>
      </c>
      <c r="P179" s="123" t="s">
        <v>2524</v>
      </c>
      <c r="Q179" s="123">
        <v>32.200000000000003</v>
      </c>
      <c r="R179" s="123">
        <v>5.6</v>
      </c>
      <c r="S179" s="123" t="s">
        <v>2200</v>
      </c>
      <c r="T179" s="123" t="s">
        <v>3547</v>
      </c>
      <c r="U179" s="123"/>
      <c r="V179" s="123" t="s">
        <v>2187</v>
      </c>
      <c r="W179" s="123"/>
    </row>
    <row r="180" spans="1:23">
      <c r="A180" s="121">
        <v>178</v>
      </c>
      <c r="B180" s="185" t="s">
        <v>2385</v>
      </c>
      <c r="C180" s="185" t="s">
        <v>2404</v>
      </c>
      <c r="D180" s="122" t="s">
        <v>2296</v>
      </c>
      <c r="E180" s="124">
        <v>42940</v>
      </c>
      <c r="F180" s="125">
        <v>0.64236111111111105</v>
      </c>
      <c r="G180" s="124">
        <v>43009</v>
      </c>
      <c r="H180" s="125">
        <v>0.63402777777777775</v>
      </c>
      <c r="I180" s="123">
        <v>795</v>
      </c>
      <c r="J180" s="129">
        <v>353</v>
      </c>
      <c r="K180" s="123">
        <v>612</v>
      </c>
      <c r="L180" s="123">
        <v>410</v>
      </c>
      <c r="M180" s="123">
        <v>718</v>
      </c>
      <c r="N180" s="123">
        <v>37.9</v>
      </c>
      <c r="O180" s="123">
        <v>6.2</v>
      </c>
      <c r="P180" s="123" t="s">
        <v>2524</v>
      </c>
      <c r="Q180" s="123">
        <v>33.700000000000003</v>
      </c>
      <c r="R180" s="123">
        <v>2.8</v>
      </c>
      <c r="S180" s="123" t="s">
        <v>2187</v>
      </c>
      <c r="T180" s="123" t="s">
        <v>2238</v>
      </c>
      <c r="U180" s="123"/>
      <c r="V180" s="123"/>
      <c r="W180" s="123"/>
    </row>
    <row r="181" spans="1:23">
      <c r="A181" s="121">
        <v>179</v>
      </c>
      <c r="B181" s="185" t="s">
        <v>2385</v>
      </c>
      <c r="C181" s="185" t="s">
        <v>2405</v>
      </c>
      <c r="D181" s="122" t="s">
        <v>2296</v>
      </c>
      <c r="E181" s="124">
        <v>42940</v>
      </c>
      <c r="F181" s="125">
        <v>0.64236111111111105</v>
      </c>
      <c r="G181" s="124">
        <v>43009</v>
      </c>
      <c r="H181" s="125">
        <v>0.63541666666666663</v>
      </c>
      <c r="I181" s="123">
        <v>796</v>
      </c>
      <c r="J181" s="123">
        <v>42</v>
      </c>
      <c r="K181" s="123">
        <v>491</v>
      </c>
      <c r="L181" s="123">
        <v>78</v>
      </c>
      <c r="M181" s="123">
        <v>640</v>
      </c>
      <c r="N181" s="123">
        <v>35.9</v>
      </c>
      <c r="O181" s="123">
        <v>8.6</v>
      </c>
      <c r="P181" s="123" t="s">
        <v>2524</v>
      </c>
      <c r="Q181" s="123">
        <v>33.6</v>
      </c>
      <c r="R181" s="123">
        <v>3</v>
      </c>
      <c r="S181" s="123" t="s">
        <v>2187</v>
      </c>
      <c r="T181" s="123" t="s">
        <v>2187</v>
      </c>
      <c r="U181" s="123" t="s">
        <v>2187</v>
      </c>
      <c r="V181" s="123"/>
      <c r="W181" s="123"/>
    </row>
    <row r="182" spans="1:23">
      <c r="A182" s="121">
        <v>180</v>
      </c>
      <c r="B182" s="185" t="s">
        <v>2385</v>
      </c>
      <c r="C182" s="185" t="s">
        <v>2406</v>
      </c>
      <c r="D182" s="122" t="s">
        <v>2296</v>
      </c>
      <c r="E182" s="124">
        <v>42940</v>
      </c>
      <c r="F182" s="125">
        <v>0.63888888888888895</v>
      </c>
      <c r="G182" s="124">
        <v>43009</v>
      </c>
      <c r="H182" s="125">
        <v>0.64444444444444449</v>
      </c>
      <c r="I182" s="164">
        <v>797</v>
      </c>
      <c r="J182" s="123">
        <v>245</v>
      </c>
      <c r="K182" s="123">
        <v>325</v>
      </c>
      <c r="L182" s="123">
        <v>422</v>
      </c>
      <c r="M182" s="123">
        <v>669</v>
      </c>
      <c r="N182" s="123">
        <v>28.4</v>
      </c>
      <c r="O182" s="123">
        <v>2.9</v>
      </c>
      <c r="P182" s="123" t="s">
        <v>2524</v>
      </c>
      <c r="Q182" s="123">
        <v>33.6</v>
      </c>
      <c r="R182" s="123">
        <v>7.7</v>
      </c>
      <c r="S182" s="123" t="s">
        <v>2187</v>
      </c>
      <c r="T182" s="123"/>
      <c r="U182" s="123" t="s">
        <v>2187</v>
      </c>
      <c r="V182" s="123"/>
      <c r="W182" s="123"/>
    </row>
    <row r="183" spans="1:23">
      <c r="A183" s="121">
        <v>181</v>
      </c>
      <c r="B183" s="185" t="s">
        <v>2385</v>
      </c>
      <c r="C183" s="185" t="s">
        <v>2407</v>
      </c>
      <c r="D183" s="122" t="s">
        <v>2296</v>
      </c>
      <c r="E183" s="124">
        <v>42940</v>
      </c>
      <c r="F183" s="125">
        <v>0.64583333333333337</v>
      </c>
      <c r="G183" s="124">
        <v>43009</v>
      </c>
      <c r="H183" s="125">
        <v>0.64166666666666672</v>
      </c>
      <c r="I183" s="123">
        <v>798</v>
      </c>
      <c r="J183" s="123">
        <v>411</v>
      </c>
      <c r="K183" s="123">
        <v>116</v>
      </c>
      <c r="L183" s="123">
        <v>870</v>
      </c>
      <c r="M183" s="123">
        <v>170</v>
      </c>
      <c r="N183" s="123">
        <v>36.799999999999997</v>
      </c>
      <c r="O183" s="123">
        <v>4.2</v>
      </c>
      <c r="P183" s="123" t="s">
        <v>2524</v>
      </c>
      <c r="Q183" s="123">
        <v>33.4</v>
      </c>
      <c r="R183" s="123">
        <v>4.4000000000000004</v>
      </c>
      <c r="S183" s="123" t="s">
        <v>2187</v>
      </c>
      <c r="T183" s="123" t="s">
        <v>2187</v>
      </c>
      <c r="U183" s="123"/>
      <c r="V183" s="123"/>
      <c r="W183" s="123"/>
    </row>
    <row r="184" spans="1:23">
      <c r="A184" s="121">
        <v>182</v>
      </c>
      <c r="B184" s="185" t="s">
        <v>2385</v>
      </c>
      <c r="C184" s="185" t="s">
        <v>2408</v>
      </c>
      <c r="D184" s="122" t="s">
        <v>2296</v>
      </c>
      <c r="E184" s="124">
        <v>42940</v>
      </c>
      <c r="F184" s="125">
        <v>0.64930555555555558</v>
      </c>
      <c r="G184" s="124">
        <v>43009</v>
      </c>
      <c r="H184" s="125">
        <v>0.64236111111111105</v>
      </c>
      <c r="I184" s="123">
        <v>799</v>
      </c>
      <c r="J184" s="123">
        <v>309</v>
      </c>
      <c r="K184" s="123">
        <v>613</v>
      </c>
      <c r="L184" s="123">
        <v>136</v>
      </c>
      <c r="M184" s="123">
        <v>697</v>
      </c>
      <c r="N184" s="123">
        <v>38.1</v>
      </c>
      <c r="O184" s="123">
        <v>5.5</v>
      </c>
      <c r="P184" s="123" t="s">
        <v>2524</v>
      </c>
      <c r="Q184" s="123">
        <v>34.700000000000003</v>
      </c>
      <c r="R184" s="123">
        <v>7.6</v>
      </c>
      <c r="S184" s="123"/>
      <c r="T184" s="123" t="s">
        <v>2203</v>
      </c>
      <c r="U184" s="123" t="s">
        <v>2187</v>
      </c>
      <c r="V184" s="123"/>
      <c r="W184" s="123"/>
    </row>
    <row r="185" spans="1:23">
      <c r="A185" s="121">
        <v>183</v>
      </c>
      <c r="B185" s="185" t="s">
        <v>2385</v>
      </c>
      <c r="C185" s="185" t="s">
        <v>2409</v>
      </c>
      <c r="D185" s="122" t="s">
        <v>2296</v>
      </c>
      <c r="E185" s="124"/>
      <c r="F185" s="124"/>
      <c r="G185" s="124"/>
      <c r="H185" s="123"/>
      <c r="I185" s="123">
        <v>800</v>
      </c>
      <c r="J185" s="124"/>
      <c r="K185" s="124"/>
      <c r="L185" s="124"/>
      <c r="M185" s="124"/>
      <c r="N185" s="124"/>
      <c r="O185" s="124"/>
      <c r="P185" s="123" t="s">
        <v>2524</v>
      </c>
      <c r="Q185" s="123"/>
      <c r="R185" s="123"/>
      <c r="S185" s="123"/>
      <c r="T185" s="123"/>
      <c r="U185" s="123"/>
      <c r="V185" s="123"/>
      <c r="W185" s="123"/>
    </row>
    <row r="186" spans="1:23">
      <c r="A186" s="121">
        <v>184</v>
      </c>
      <c r="B186" s="185" t="s">
        <v>2385</v>
      </c>
      <c r="C186" s="185" t="s">
        <v>2410</v>
      </c>
      <c r="D186" s="122" t="s">
        <v>2296</v>
      </c>
      <c r="E186" s="124">
        <v>42940</v>
      </c>
      <c r="F186" s="123"/>
      <c r="G186" s="124">
        <v>43009</v>
      </c>
      <c r="H186" s="125">
        <v>0.63958333333333328</v>
      </c>
      <c r="I186" s="123">
        <v>801</v>
      </c>
      <c r="J186" s="123">
        <v>235</v>
      </c>
      <c r="K186" s="129">
        <v>179</v>
      </c>
      <c r="L186" s="123">
        <v>266</v>
      </c>
      <c r="M186" s="123">
        <v>674</v>
      </c>
      <c r="N186" s="123">
        <v>28.3</v>
      </c>
      <c r="O186" s="123">
        <v>4.3</v>
      </c>
      <c r="P186" s="123" t="s">
        <v>2525</v>
      </c>
      <c r="Q186" s="123">
        <v>27.8</v>
      </c>
      <c r="R186" s="123">
        <v>4.3</v>
      </c>
      <c r="S186" s="123" t="s">
        <v>2187</v>
      </c>
      <c r="T186" s="123" t="s">
        <v>2187</v>
      </c>
      <c r="U186" s="123" t="s">
        <v>2187</v>
      </c>
      <c r="V186" s="123"/>
      <c r="W186" s="123"/>
    </row>
    <row r="187" spans="1:23">
      <c r="A187" s="121">
        <v>185</v>
      </c>
      <c r="B187" s="185" t="s">
        <v>2385</v>
      </c>
      <c r="C187" s="185" t="s">
        <v>2412</v>
      </c>
      <c r="D187" s="122" t="s">
        <v>2306</v>
      </c>
      <c r="E187" s="124">
        <v>42940</v>
      </c>
      <c r="F187" s="125">
        <v>0.6875</v>
      </c>
      <c r="G187" s="124">
        <v>43009</v>
      </c>
      <c r="H187" s="125">
        <v>0.68194444444444446</v>
      </c>
      <c r="I187" s="123">
        <v>802</v>
      </c>
      <c r="J187" s="123">
        <v>369</v>
      </c>
      <c r="K187" s="123">
        <v>300</v>
      </c>
      <c r="L187" s="123">
        <v>165</v>
      </c>
      <c r="M187" s="123">
        <v>607</v>
      </c>
      <c r="N187" s="123">
        <v>36</v>
      </c>
      <c r="O187" s="123">
        <v>4.4000000000000004</v>
      </c>
      <c r="P187" s="123" t="s">
        <v>2523</v>
      </c>
      <c r="Q187" s="123">
        <v>34</v>
      </c>
      <c r="R187" s="123">
        <v>5.4</v>
      </c>
      <c r="S187" s="123"/>
      <c r="T187" s="123" t="s">
        <v>2179</v>
      </c>
      <c r="U187" s="123" t="s">
        <v>2187</v>
      </c>
      <c r="V187" s="123"/>
      <c r="W187" s="123"/>
    </row>
    <row r="188" spans="1:23">
      <c r="A188" s="121">
        <v>186</v>
      </c>
      <c r="B188" s="185" t="s">
        <v>2385</v>
      </c>
      <c r="C188" s="185" t="s">
        <v>2413</v>
      </c>
      <c r="D188" s="122" t="s">
        <v>2306</v>
      </c>
      <c r="E188" s="124">
        <v>42940</v>
      </c>
      <c r="F188" s="125">
        <v>0.6875</v>
      </c>
      <c r="G188" s="124">
        <v>43009</v>
      </c>
      <c r="H188" s="125">
        <v>0.69444444444444453</v>
      </c>
      <c r="I188" s="123">
        <v>803</v>
      </c>
      <c r="J188" s="123">
        <v>295</v>
      </c>
      <c r="K188" s="123">
        <v>717</v>
      </c>
      <c r="L188" s="123">
        <v>22</v>
      </c>
      <c r="M188" s="123">
        <v>629</v>
      </c>
      <c r="N188" s="123">
        <v>36.9</v>
      </c>
      <c r="O188" s="123">
        <v>4.4000000000000004</v>
      </c>
      <c r="P188" s="123" t="s">
        <v>2523</v>
      </c>
      <c r="Q188" s="123">
        <v>33.700000000000003</v>
      </c>
      <c r="R188" s="123">
        <v>10.7</v>
      </c>
      <c r="S188" s="123" t="s">
        <v>2206</v>
      </c>
      <c r="T188" s="123" t="s">
        <v>2238</v>
      </c>
      <c r="U188" s="123"/>
      <c r="V188" s="123"/>
      <c r="W188" s="123"/>
    </row>
    <row r="189" spans="1:23">
      <c r="A189" s="121">
        <v>187</v>
      </c>
      <c r="B189" s="185" t="s">
        <v>2385</v>
      </c>
      <c r="C189" s="185" t="s">
        <v>2414</v>
      </c>
      <c r="D189" s="122" t="s">
        <v>2306</v>
      </c>
      <c r="E189" s="124">
        <v>42940</v>
      </c>
      <c r="F189" s="125">
        <v>0.70833333333333337</v>
      </c>
      <c r="G189" s="124">
        <v>43009</v>
      </c>
      <c r="H189" s="125">
        <v>0.6958333333333333</v>
      </c>
      <c r="I189" s="123">
        <v>804</v>
      </c>
      <c r="J189" s="123">
        <v>242</v>
      </c>
      <c r="K189" s="123">
        <v>759</v>
      </c>
      <c r="L189" s="123">
        <v>371</v>
      </c>
      <c r="M189" s="123">
        <v>679</v>
      </c>
      <c r="N189" s="123">
        <v>35.1</v>
      </c>
      <c r="O189" s="123">
        <v>3.5</v>
      </c>
      <c r="P189" s="123" t="s">
        <v>2523</v>
      </c>
      <c r="Q189" s="123">
        <v>35.200000000000003</v>
      </c>
      <c r="R189" s="123">
        <v>6.6</v>
      </c>
      <c r="S189" s="123" t="s">
        <v>2187</v>
      </c>
      <c r="T189" s="123"/>
      <c r="U189" s="123"/>
      <c r="V189" s="123"/>
      <c r="W189" s="123"/>
    </row>
    <row r="190" spans="1:23">
      <c r="A190" s="121">
        <v>188</v>
      </c>
      <c r="B190" s="185" t="s">
        <v>2385</v>
      </c>
      <c r="C190" s="185" t="s">
        <v>2415</v>
      </c>
      <c r="D190" s="122" t="s">
        <v>2306</v>
      </c>
      <c r="E190" s="124">
        <v>42940</v>
      </c>
      <c r="F190" s="125">
        <v>0.69444444444444453</v>
      </c>
      <c r="G190" s="124">
        <v>43009</v>
      </c>
      <c r="H190" s="125">
        <v>0.69027777777777777</v>
      </c>
      <c r="I190" s="123">
        <v>805</v>
      </c>
      <c r="J190" s="123">
        <v>146</v>
      </c>
      <c r="K190" s="123">
        <v>357</v>
      </c>
      <c r="L190" s="123">
        <v>185</v>
      </c>
      <c r="M190" s="123">
        <v>682</v>
      </c>
      <c r="N190" s="123">
        <v>35.1</v>
      </c>
      <c r="O190" s="123">
        <v>6.3</v>
      </c>
      <c r="P190" s="123" t="s">
        <v>2523</v>
      </c>
      <c r="Q190" s="123">
        <v>33.200000000000003</v>
      </c>
      <c r="R190" s="123">
        <v>8.4</v>
      </c>
      <c r="S190" s="123" t="s">
        <v>2206</v>
      </c>
      <c r="T190" s="123" t="s">
        <v>2230</v>
      </c>
      <c r="U190" s="123"/>
      <c r="V190" s="123"/>
      <c r="W190" s="123"/>
    </row>
    <row r="191" spans="1:23">
      <c r="A191" s="121">
        <v>189</v>
      </c>
      <c r="B191" s="185" t="s">
        <v>2385</v>
      </c>
      <c r="C191" s="185" t="s">
        <v>2417</v>
      </c>
      <c r="D191" s="122" t="s">
        <v>2306</v>
      </c>
      <c r="E191" s="124">
        <v>42940</v>
      </c>
      <c r="F191" s="125">
        <v>0.70138888888888884</v>
      </c>
      <c r="G191" s="124">
        <v>43009</v>
      </c>
      <c r="H191" s="125">
        <v>0.68888888888888899</v>
      </c>
      <c r="I191" s="123">
        <v>806</v>
      </c>
      <c r="J191" s="129">
        <v>144</v>
      </c>
      <c r="K191" s="123">
        <v>18</v>
      </c>
      <c r="L191" s="123">
        <v>301</v>
      </c>
      <c r="M191" s="123">
        <v>693</v>
      </c>
      <c r="N191" s="123">
        <v>35.1</v>
      </c>
      <c r="O191" s="123">
        <v>5.8</v>
      </c>
      <c r="P191" s="123" t="s">
        <v>2523</v>
      </c>
      <c r="Q191" s="123">
        <v>30.9</v>
      </c>
      <c r="R191" s="123">
        <v>5.2</v>
      </c>
      <c r="S191" s="123" t="s">
        <v>2187</v>
      </c>
      <c r="T191" s="123" t="s">
        <v>2206</v>
      </c>
      <c r="U191" s="123" t="s">
        <v>2187</v>
      </c>
      <c r="V191" s="123"/>
      <c r="W191" s="123"/>
    </row>
    <row r="192" spans="1:23">
      <c r="A192" s="121">
        <v>190</v>
      </c>
      <c r="B192" s="185" t="s">
        <v>2385</v>
      </c>
      <c r="C192" s="185" t="s">
        <v>2418</v>
      </c>
      <c r="D192" s="122" t="s">
        <v>2306</v>
      </c>
      <c r="E192" s="124">
        <v>42940</v>
      </c>
      <c r="F192" s="125">
        <v>0.69791666666666663</v>
      </c>
      <c r="G192" s="124">
        <v>43009</v>
      </c>
      <c r="H192" s="125">
        <v>0.68819444444444444</v>
      </c>
      <c r="I192" s="123">
        <v>807</v>
      </c>
      <c r="J192" s="123">
        <v>171</v>
      </c>
      <c r="K192" s="123">
        <v>397</v>
      </c>
      <c r="L192" s="123">
        <v>466</v>
      </c>
      <c r="M192" s="123">
        <v>605</v>
      </c>
      <c r="N192" s="123">
        <v>35.799999999999997</v>
      </c>
      <c r="O192" s="123">
        <v>5.7</v>
      </c>
      <c r="P192" s="123" t="s">
        <v>2523</v>
      </c>
      <c r="Q192" s="123">
        <v>36.299999999999997</v>
      </c>
      <c r="R192" s="123">
        <v>4.4000000000000004</v>
      </c>
      <c r="S192" s="123"/>
      <c r="T192" s="123"/>
      <c r="U192" s="123"/>
      <c r="V192" s="123"/>
      <c r="W192" s="123"/>
    </row>
    <row r="193" spans="1:23">
      <c r="A193" s="121">
        <v>191</v>
      </c>
      <c r="B193" s="185" t="s">
        <v>2385</v>
      </c>
      <c r="C193" s="185" t="s">
        <v>2419</v>
      </c>
      <c r="D193" s="122" t="s">
        <v>2306</v>
      </c>
      <c r="E193" s="124">
        <v>42940</v>
      </c>
      <c r="F193" s="125">
        <v>0.69097222222222221</v>
      </c>
      <c r="G193" s="124">
        <v>43009</v>
      </c>
      <c r="H193" s="125">
        <v>0.68541666666666667</v>
      </c>
      <c r="I193" s="123">
        <v>808</v>
      </c>
      <c r="J193" s="123">
        <v>232</v>
      </c>
      <c r="K193" s="123">
        <v>715</v>
      </c>
      <c r="L193" s="123">
        <v>32</v>
      </c>
      <c r="M193" s="123">
        <v>240</v>
      </c>
      <c r="N193" s="123">
        <v>36.9</v>
      </c>
      <c r="O193" s="123">
        <v>5.4</v>
      </c>
      <c r="P193" s="123" t="s">
        <v>2523</v>
      </c>
      <c r="Q193" s="123">
        <v>35.799999999999997</v>
      </c>
      <c r="R193" s="123">
        <v>7.5</v>
      </c>
      <c r="S193" s="123"/>
      <c r="T193" s="123"/>
      <c r="U193" s="123"/>
      <c r="V193" s="123"/>
      <c r="W193" s="123"/>
    </row>
    <row r="194" spans="1:23">
      <c r="A194" s="121">
        <v>192</v>
      </c>
      <c r="B194" s="185" t="s">
        <v>2385</v>
      </c>
      <c r="C194" s="185" t="s">
        <v>2420</v>
      </c>
      <c r="D194" s="122" t="s">
        <v>2306</v>
      </c>
      <c r="E194" s="123"/>
      <c r="F194" s="123"/>
      <c r="G194" s="123"/>
      <c r="H194" s="125"/>
      <c r="I194" s="123">
        <v>809</v>
      </c>
      <c r="J194" s="123"/>
      <c r="K194" s="123"/>
      <c r="L194" s="123"/>
      <c r="M194" s="123"/>
      <c r="N194" s="123"/>
      <c r="O194" s="123"/>
      <c r="P194" s="123"/>
      <c r="Q194" s="123"/>
      <c r="R194" s="123"/>
      <c r="S194" s="123"/>
      <c r="T194" s="123"/>
      <c r="U194" s="123"/>
      <c r="V194" s="123"/>
      <c r="W194" s="123"/>
    </row>
    <row r="195" spans="1:23">
      <c r="A195" s="189">
        <v>193</v>
      </c>
      <c r="B195" s="190" t="s">
        <v>2176</v>
      </c>
      <c r="C195" s="190" t="s">
        <v>2445</v>
      </c>
      <c r="D195" s="122">
        <v>3</v>
      </c>
      <c r="E195" s="124">
        <v>42942</v>
      </c>
      <c r="F195" s="125">
        <v>0.64930555555555558</v>
      </c>
      <c r="G195" s="124">
        <v>43004</v>
      </c>
      <c r="H195" s="125">
        <v>0.46249999999999997</v>
      </c>
      <c r="I195" s="123">
        <v>933</v>
      </c>
      <c r="J195" s="123">
        <v>257</v>
      </c>
      <c r="K195" s="123">
        <v>695</v>
      </c>
      <c r="L195" s="123">
        <v>45</v>
      </c>
      <c r="M195" s="123">
        <v>623</v>
      </c>
      <c r="N195" s="123">
        <v>29.2</v>
      </c>
      <c r="O195" s="123">
        <v>4.4000000000000004</v>
      </c>
      <c r="P195" s="153"/>
      <c r="Q195" s="123">
        <v>28.4</v>
      </c>
      <c r="R195" s="123">
        <v>5.8</v>
      </c>
      <c r="S195" s="123" t="s">
        <v>2187</v>
      </c>
      <c r="T195" s="123"/>
      <c r="U195" s="123" t="s">
        <v>2187</v>
      </c>
      <c r="V195" s="123"/>
      <c r="W195" s="123"/>
    </row>
    <row r="196" spans="1:23">
      <c r="A196" s="189">
        <v>194</v>
      </c>
      <c r="B196" s="190" t="s">
        <v>2176</v>
      </c>
      <c r="C196" s="190" t="s">
        <v>2438</v>
      </c>
      <c r="D196" s="133">
        <v>6</v>
      </c>
      <c r="E196" s="124">
        <v>42942</v>
      </c>
      <c r="F196" s="125">
        <v>0.64583333333333337</v>
      </c>
      <c r="G196" s="124">
        <v>43004</v>
      </c>
      <c r="H196" s="125">
        <v>0.45208333333333334</v>
      </c>
      <c r="I196" s="123">
        <v>929</v>
      </c>
      <c r="J196" s="123">
        <v>148</v>
      </c>
      <c r="K196" s="123">
        <v>653</v>
      </c>
      <c r="L196" s="123">
        <v>90</v>
      </c>
      <c r="M196" s="123">
        <v>611</v>
      </c>
      <c r="N196" s="123">
        <v>32.799999999999997</v>
      </c>
      <c r="O196" s="123">
        <v>6</v>
      </c>
      <c r="P196" s="123"/>
      <c r="Q196" s="123">
        <v>28.9</v>
      </c>
      <c r="R196" s="123">
        <v>4.8</v>
      </c>
      <c r="S196" s="123" t="s">
        <v>2200</v>
      </c>
      <c r="T196" s="123" t="s">
        <v>2187</v>
      </c>
      <c r="U196" s="123" t="s">
        <v>2187</v>
      </c>
      <c r="V196" s="123" t="s">
        <v>2187</v>
      </c>
      <c r="W196" s="123"/>
    </row>
    <row r="197" spans="1:23">
      <c r="A197" s="189">
        <v>195</v>
      </c>
      <c r="B197" s="190" t="s">
        <v>2176</v>
      </c>
      <c r="C197" s="190" t="s">
        <v>2430</v>
      </c>
      <c r="D197" s="133">
        <v>4</v>
      </c>
      <c r="E197" s="124">
        <v>42942</v>
      </c>
      <c r="F197" s="125">
        <v>0.63888888888888895</v>
      </c>
      <c r="G197" s="124">
        <v>43004</v>
      </c>
      <c r="H197" s="125">
        <v>0.43194444444444446</v>
      </c>
      <c r="I197" s="123">
        <v>935</v>
      </c>
      <c r="J197" s="123">
        <v>105</v>
      </c>
      <c r="K197" s="123">
        <v>389</v>
      </c>
      <c r="L197" s="123">
        <v>338</v>
      </c>
      <c r="M197" s="123">
        <v>645</v>
      </c>
      <c r="N197" s="123">
        <v>29.1</v>
      </c>
      <c r="O197" s="123">
        <v>9.9</v>
      </c>
      <c r="P197" s="123"/>
      <c r="Q197" s="123">
        <v>27.1</v>
      </c>
      <c r="R197" s="123">
        <v>12.9</v>
      </c>
      <c r="S197" s="123" t="s">
        <v>2206</v>
      </c>
      <c r="T197" s="123" t="s">
        <v>2187</v>
      </c>
      <c r="U197" s="123" t="s">
        <v>2187</v>
      </c>
      <c r="V197" s="123"/>
      <c r="W197" s="123" t="s">
        <v>3554</v>
      </c>
    </row>
    <row r="198" spans="1:23">
      <c r="A198" s="189">
        <v>196</v>
      </c>
      <c r="B198" s="190" t="s">
        <v>2176</v>
      </c>
      <c r="C198" s="185" t="s">
        <v>2421</v>
      </c>
      <c r="D198" s="133">
        <v>4</v>
      </c>
      <c r="E198" s="124">
        <v>42942</v>
      </c>
      <c r="F198" s="125">
        <v>0.63194444444444442</v>
      </c>
      <c r="G198" s="124">
        <v>43004</v>
      </c>
      <c r="H198" s="125">
        <v>0.4145833333333333</v>
      </c>
      <c r="I198" s="123">
        <v>934</v>
      </c>
      <c r="J198" s="123">
        <v>12</v>
      </c>
      <c r="K198" s="123">
        <v>455</v>
      </c>
      <c r="L198" s="123">
        <v>243</v>
      </c>
      <c r="M198" s="123">
        <v>709</v>
      </c>
      <c r="N198" s="123">
        <v>26.2</v>
      </c>
      <c r="O198" s="123">
        <v>9.9</v>
      </c>
      <c r="P198" s="123"/>
      <c r="Q198" s="123">
        <v>27.1</v>
      </c>
      <c r="R198" s="123">
        <v>15</v>
      </c>
      <c r="S198" s="123" t="s">
        <v>2179</v>
      </c>
      <c r="T198" s="123" t="s">
        <v>2179</v>
      </c>
      <c r="U198" s="123" t="s">
        <v>2187</v>
      </c>
      <c r="V198" s="123"/>
      <c r="W198" s="123" t="s">
        <v>3555</v>
      </c>
    </row>
    <row r="199" spans="1:23">
      <c r="A199" s="189">
        <v>197</v>
      </c>
      <c r="B199" s="190" t="s">
        <v>2176</v>
      </c>
      <c r="C199" s="190" t="s">
        <v>2431</v>
      </c>
      <c r="D199" s="133">
        <v>1</v>
      </c>
      <c r="E199" s="124">
        <v>42942</v>
      </c>
      <c r="F199" s="125">
        <v>0.63541666666666663</v>
      </c>
      <c r="G199" s="124">
        <v>43004</v>
      </c>
      <c r="H199" s="125">
        <v>0.42638888888888887</v>
      </c>
      <c r="I199" s="123">
        <v>935</v>
      </c>
      <c r="J199" s="123">
        <v>399</v>
      </c>
      <c r="K199" s="123">
        <v>692</v>
      </c>
      <c r="L199" s="123">
        <v>254</v>
      </c>
      <c r="M199" s="123">
        <v>131</v>
      </c>
      <c r="N199" s="123">
        <v>29.6</v>
      </c>
      <c r="O199" s="123">
        <v>5.7</v>
      </c>
      <c r="P199" s="123"/>
      <c r="Q199" s="123">
        <v>28.5</v>
      </c>
      <c r="R199" s="123">
        <v>6.9</v>
      </c>
      <c r="S199" s="123" t="s">
        <v>2187</v>
      </c>
      <c r="T199" s="123" t="s">
        <v>2187</v>
      </c>
      <c r="U199" s="123" t="s">
        <v>2187</v>
      </c>
      <c r="V199" s="123" t="s">
        <v>2187</v>
      </c>
      <c r="W199" s="123"/>
    </row>
    <row r="200" spans="1:23">
      <c r="A200" s="189">
        <v>198</v>
      </c>
      <c r="B200" s="190" t="s">
        <v>2176</v>
      </c>
      <c r="C200" s="190" t="s">
        <v>2439</v>
      </c>
      <c r="D200" s="133">
        <v>2</v>
      </c>
      <c r="E200" s="124">
        <v>42942</v>
      </c>
      <c r="F200" s="125">
        <v>0.64236111111111105</v>
      </c>
      <c r="G200" s="124">
        <v>43004</v>
      </c>
      <c r="H200" s="125">
        <v>0.44513888888888892</v>
      </c>
      <c r="I200" s="123">
        <v>929</v>
      </c>
      <c r="J200" s="123">
        <v>27</v>
      </c>
      <c r="K200" s="123">
        <v>352</v>
      </c>
      <c r="L200" s="123">
        <v>780</v>
      </c>
      <c r="M200" s="123">
        <v>711</v>
      </c>
      <c r="N200" s="123">
        <v>32.1</v>
      </c>
      <c r="O200" s="123">
        <v>4.3</v>
      </c>
      <c r="P200" s="123"/>
      <c r="Q200" s="123">
        <v>28.4</v>
      </c>
      <c r="R200" s="123">
        <v>5.4</v>
      </c>
      <c r="S200" s="123" t="s">
        <v>2187</v>
      </c>
      <c r="T200" s="123" t="s">
        <v>2206</v>
      </c>
      <c r="U200" s="123" t="s">
        <v>2187</v>
      </c>
      <c r="V200" s="123" t="s">
        <v>2187</v>
      </c>
      <c r="W200" s="123"/>
    </row>
    <row r="201" spans="1:23">
      <c r="A201" s="189">
        <v>199</v>
      </c>
      <c r="B201" s="190" t="s">
        <v>2176</v>
      </c>
      <c r="C201" s="190" t="s">
        <v>2423</v>
      </c>
      <c r="D201" s="191">
        <v>1</v>
      </c>
      <c r="E201" s="124">
        <v>42942</v>
      </c>
      <c r="F201" s="125">
        <v>0.63194444444444442</v>
      </c>
      <c r="G201" s="124">
        <v>43004</v>
      </c>
      <c r="H201" s="125">
        <v>0.4055555555555555</v>
      </c>
      <c r="I201" s="123">
        <v>934</v>
      </c>
      <c r="J201" s="123">
        <v>224</v>
      </c>
      <c r="K201" s="123">
        <v>327</v>
      </c>
      <c r="L201" s="123">
        <v>182</v>
      </c>
      <c r="M201" s="123">
        <v>236</v>
      </c>
      <c r="N201" s="123">
        <v>27.1</v>
      </c>
      <c r="O201" s="123">
        <v>5.6</v>
      </c>
      <c r="P201" s="123"/>
      <c r="Q201" s="123">
        <v>27.3</v>
      </c>
      <c r="R201" s="123">
        <v>6.8</v>
      </c>
      <c r="S201" s="123" t="s">
        <v>2179</v>
      </c>
      <c r="T201" s="123" t="s">
        <v>2179</v>
      </c>
      <c r="U201" s="123" t="s">
        <v>2187</v>
      </c>
      <c r="V201" s="123" t="s">
        <v>2187</v>
      </c>
      <c r="W201" s="123"/>
    </row>
    <row r="202" spans="1:23">
      <c r="A202" s="189">
        <v>200</v>
      </c>
      <c r="B202" s="190" t="s">
        <v>2176</v>
      </c>
      <c r="C202" s="190" t="s">
        <v>2446</v>
      </c>
      <c r="D202" s="133">
        <v>7</v>
      </c>
      <c r="E202" s="124">
        <v>42942</v>
      </c>
      <c r="F202" s="125">
        <v>0.65277777777777779</v>
      </c>
      <c r="G202" s="124">
        <v>43004</v>
      </c>
      <c r="H202" s="125">
        <v>0.4680555555555555</v>
      </c>
      <c r="I202" s="123">
        <v>933</v>
      </c>
      <c r="J202" s="123">
        <v>158</v>
      </c>
      <c r="K202" s="123">
        <v>75</v>
      </c>
      <c r="L202" s="123">
        <v>186</v>
      </c>
      <c r="M202" s="123">
        <v>205</v>
      </c>
      <c r="N202" s="123">
        <v>32.9</v>
      </c>
      <c r="O202" s="123">
        <v>5.5</v>
      </c>
      <c r="P202" s="123"/>
      <c r="Q202" s="123"/>
      <c r="R202" s="123">
        <v>8.5</v>
      </c>
      <c r="S202" s="123" t="s">
        <v>2187</v>
      </c>
      <c r="T202" s="123" t="s">
        <v>2200</v>
      </c>
      <c r="U202" s="123" t="s">
        <v>2187</v>
      </c>
      <c r="V202" s="123" t="s">
        <v>2187</v>
      </c>
      <c r="W202" s="123" t="s">
        <v>3556</v>
      </c>
    </row>
    <row r="203" spans="1:23">
      <c r="A203" s="189">
        <v>201</v>
      </c>
      <c r="B203" s="190" t="s">
        <v>2276</v>
      </c>
      <c r="C203" s="190" t="s">
        <v>2447</v>
      </c>
      <c r="D203" s="133">
        <v>5</v>
      </c>
      <c r="E203" s="124">
        <v>42942</v>
      </c>
      <c r="F203" s="125">
        <v>0.65277777777777779</v>
      </c>
      <c r="G203" s="124">
        <v>43004</v>
      </c>
      <c r="H203" s="125">
        <v>0.46458333333333335</v>
      </c>
      <c r="I203" s="123">
        <v>933</v>
      </c>
      <c r="J203" s="123">
        <v>211</v>
      </c>
      <c r="K203" s="123">
        <v>36</v>
      </c>
      <c r="L203" s="123">
        <v>315</v>
      </c>
      <c r="M203" s="123">
        <v>665</v>
      </c>
      <c r="N203" s="123">
        <v>30.7</v>
      </c>
      <c r="O203" s="123">
        <v>8.3000000000000007</v>
      </c>
      <c r="P203" s="123"/>
      <c r="Q203" s="123">
        <v>27.6</v>
      </c>
      <c r="R203" s="123">
        <v>9.5</v>
      </c>
      <c r="S203" s="123" t="s">
        <v>2200</v>
      </c>
      <c r="T203" s="123" t="s">
        <v>2230</v>
      </c>
      <c r="U203" s="123" t="s">
        <v>2187</v>
      </c>
      <c r="V203" s="123" t="s">
        <v>2187</v>
      </c>
      <c r="W203" s="123" t="s">
        <v>3557</v>
      </c>
    </row>
    <row r="204" spans="1:23">
      <c r="A204" s="189">
        <v>202</v>
      </c>
      <c r="B204" s="190" t="s">
        <v>2276</v>
      </c>
      <c r="C204" s="190" t="s">
        <v>2424</v>
      </c>
      <c r="D204" s="133">
        <v>5</v>
      </c>
      <c r="E204" s="124">
        <v>42942</v>
      </c>
      <c r="F204" s="125">
        <v>0.63194444444444442</v>
      </c>
      <c r="G204" s="124">
        <v>43004</v>
      </c>
      <c r="H204" s="125">
        <v>0.42222222222222222</v>
      </c>
      <c r="I204" s="123">
        <v>934</v>
      </c>
      <c r="J204" s="123">
        <v>181</v>
      </c>
      <c r="K204" s="123">
        <v>676</v>
      </c>
      <c r="L204" s="123">
        <v>147</v>
      </c>
      <c r="M204" s="123">
        <v>224</v>
      </c>
      <c r="N204" s="123">
        <v>30.5</v>
      </c>
      <c r="O204" s="123">
        <v>7.3</v>
      </c>
      <c r="P204" s="123"/>
      <c r="Q204" s="123">
        <v>27.2</v>
      </c>
      <c r="R204" s="123">
        <v>5.3</v>
      </c>
      <c r="S204" s="123" t="s">
        <v>2187</v>
      </c>
      <c r="T204" s="123" t="s">
        <v>2200</v>
      </c>
      <c r="U204" s="123" t="s">
        <v>2187</v>
      </c>
      <c r="V204" s="123" t="s">
        <v>2187</v>
      </c>
      <c r="W204" s="123" t="s">
        <v>3558</v>
      </c>
    </row>
    <row r="205" spans="1:23">
      <c r="A205" s="189">
        <v>203</v>
      </c>
      <c r="B205" s="190" t="s">
        <v>2276</v>
      </c>
      <c r="C205" s="190" t="s">
        <v>2433</v>
      </c>
      <c r="D205" s="133">
        <v>7</v>
      </c>
      <c r="E205" s="124">
        <v>42942</v>
      </c>
      <c r="F205" s="125">
        <v>0.63888888888888895</v>
      </c>
      <c r="G205" s="124">
        <v>43004</v>
      </c>
      <c r="H205" s="125">
        <v>0.43888888888888888</v>
      </c>
      <c r="I205" s="123">
        <v>935</v>
      </c>
      <c r="J205" s="123">
        <v>179</v>
      </c>
      <c r="K205" s="123">
        <v>685</v>
      </c>
      <c r="L205" s="123">
        <v>168</v>
      </c>
      <c r="M205" s="123">
        <v>621</v>
      </c>
      <c r="N205" s="123">
        <v>29.4</v>
      </c>
      <c r="O205" s="123">
        <v>9.3000000000000007</v>
      </c>
      <c r="P205" s="123"/>
      <c r="Q205" s="123">
        <v>27.2</v>
      </c>
      <c r="R205" s="123">
        <v>10.9</v>
      </c>
      <c r="S205" s="123" t="s">
        <v>2200</v>
      </c>
      <c r="T205" s="123" t="s">
        <v>2187</v>
      </c>
      <c r="U205" s="123" t="s">
        <v>2187</v>
      </c>
      <c r="V205" s="123" t="s">
        <v>2187</v>
      </c>
      <c r="W205" s="123" t="s">
        <v>3557</v>
      </c>
    </row>
    <row r="206" spans="1:23">
      <c r="A206" s="189">
        <v>204</v>
      </c>
      <c r="B206" s="190" t="s">
        <v>2276</v>
      </c>
      <c r="C206" s="190" t="s">
        <v>2440</v>
      </c>
      <c r="D206" s="133">
        <v>4</v>
      </c>
      <c r="E206" s="124">
        <v>42942</v>
      </c>
      <c r="F206" s="125">
        <v>0.64236111111111105</v>
      </c>
      <c r="G206" s="124">
        <v>43004</v>
      </c>
      <c r="H206" s="125">
        <v>0.44722222222222219</v>
      </c>
      <c r="I206" s="123">
        <v>929</v>
      </c>
      <c r="J206" s="123">
        <v>248</v>
      </c>
      <c r="K206" s="123">
        <v>254</v>
      </c>
      <c r="L206" s="123">
        <v>672</v>
      </c>
      <c r="M206" s="123">
        <v>708</v>
      </c>
      <c r="N206" s="123">
        <v>26.9</v>
      </c>
      <c r="O206" s="123">
        <v>7.4</v>
      </c>
      <c r="P206" s="123"/>
      <c r="Q206" s="123">
        <v>27.7</v>
      </c>
      <c r="R206" s="123">
        <v>9.3000000000000007</v>
      </c>
      <c r="S206" s="123" t="s">
        <v>2206</v>
      </c>
      <c r="T206" s="123" t="s">
        <v>2206</v>
      </c>
      <c r="U206" s="123"/>
      <c r="V206" s="123"/>
      <c r="W206" s="123"/>
    </row>
    <row r="207" spans="1:23">
      <c r="A207" s="189">
        <v>205</v>
      </c>
      <c r="B207" s="190" t="s">
        <v>2314</v>
      </c>
      <c r="C207" s="190" t="s">
        <v>2434</v>
      </c>
      <c r="D207" s="133">
        <v>6</v>
      </c>
      <c r="E207" s="124">
        <v>42942</v>
      </c>
      <c r="F207" s="125">
        <v>0.63888888888888895</v>
      </c>
      <c r="G207" s="124">
        <v>43004</v>
      </c>
      <c r="H207" s="125">
        <v>0.45</v>
      </c>
      <c r="I207" s="123">
        <v>935</v>
      </c>
      <c r="J207" s="123">
        <v>55</v>
      </c>
      <c r="K207" s="123">
        <v>348</v>
      </c>
      <c r="L207" s="123">
        <v>173</v>
      </c>
      <c r="M207" s="123">
        <v>637</v>
      </c>
      <c r="N207" s="123">
        <v>30.6</v>
      </c>
      <c r="O207" s="123">
        <v>7.8</v>
      </c>
      <c r="P207" s="123"/>
      <c r="Q207" s="123">
        <v>27.5</v>
      </c>
      <c r="R207" s="123">
        <v>8.1</v>
      </c>
      <c r="S207" s="123" t="s">
        <v>2206</v>
      </c>
      <c r="T207" s="123" t="s">
        <v>2206</v>
      </c>
      <c r="U207" s="123" t="s">
        <v>2187</v>
      </c>
      <c r="V207" s="123" t="s">
        <v>2187</v>
      </c>
      <c r="W207" s="123" t="s">
        <v>3559</v>
      </c>
    </row>
    <row r="208" spans="1:23">
      <c r="A208" s="189">
        <v>206</v>
      </c>
      <c r="B208" s="190" t="s">
        <v>2314</v>
      </c>
      <c r="C208" s="190" t="s">
        <v>2425</v>
      </c>
      <c r="D208" s="133">
        <v>3</v>
      </c>
      <c r="E208" s="124">
        <v>42942</v>
      </c>
      <c r="F208" s="125">
        <v>0.63194444444444442</v>
      </c>
      <c r="G208" s="124">
        <v>43004</v>
      </c>
      <c r="H208" s="125">
        <v>0.40833333333333338</v>
      </c>
      <c r="I208" s="123">
        <v>934</v>
      </c>
      <c r="J208" s="123">
        <v>124</v>
      </c>
      <c r="K208" s="123">
        <v>686</v>
      </c>
      <c r="L208" s="123">
        <v>262</v>
      </c>
      <c r="M208" s="123">
        <v>284</v>
      </c>
      <c r="N208" s="123">
        <v>28.9</v>
      </c>
      <c r="O208" s="123">
        <v>6.9</v>
      </c>
      <c r="P208" s="123"/>
      <c r="Q208" s="123">
        <v>26.7</v>
      </c>
      <c r="R208" s="123">
        <v>5.9</v>
      </c>
      <c r="S208" s="123" t="s">
        <v>2187</v>
      </c>
      <c r="T208" s="123" t="s">
        <v>2206</v>
      </c>
      <c r="U208" s="123" t="s">
        <v>2187</v>
      </c>
      <c r="V208" s="123" t="s">
        <v>2187</v>
      </c>
      <c r="W208" s="123" t="s">
        <v>3560</v>
      </c>
    </row>
    <row r="209" spans="1:24">
      <c r="A209" s="189">
        <v>207</v>
      </c>
      <c r="B209" s="190" t="s">
        <v>2314</v>
      </c>
      <c r="C209" s="190" t="s">
        <v>2448</v>
      </c>
      <c r="D209" s="133">
        <v>1</v>
      </c>
      <c r="E209" s="124">
        <v>42942</v>
      </c>
      <c r="F209" s="125">
        <v>0.64583333333333337</v>
      </c>
      <c r="G209" s="124">
        <v>43004</v>
      </c>
      <c r="H209" s="125">
        <v>0.45833333333333331</v>
      </c>
      <c r="I209" s="123">
        <v>933</v>
      </c>
      <c r="J209" s="123">
        <v>234</v>
      </c>
      <c r="K209" s="123">
        <v>551</v>
      </c>
      <c r="L209" s="123">
        <v>230</v>
      </c>
      <c r="M209" s="123">
        <v>604</v>
      </c>
      <c r="N209" s="123">
        <v>31.1</v>
      </c>
      <c r="O209" s="123">
        <v>5</v>
      </c>
      <c r="P209" s="123"/>
      <c r="Q209" s="123">
        <v>28.1</v>
      </c>
      <c r="R209" s="123">
        <v>3.6</v>
      </c>
      <c r="S209" s="123" t="s">
        <v>2187</v>
      </c>
      <c r="T209" s="123" t="s">
        <v>2187</v>
      </c>
      <c r="U209" s="123"/>
      <c r="V209" s="123" t="s">
        <v>2187</v>
      </c>
      <c r="W209" s="123"/>
    </row>
    <row r="210" spans="1:24">
      <c r="A210" s="189">
        <v>208</v>
      </c>
      <c r="B210" s="190" t="s">
        <v>2314</v>
      </c>
      <c r="C210" s="190" t="s">
        <v>2441</v>
      </c>
      <c r="D210" s="133">
        <v>3</v>
      </c>
      <c r="E210" s="124">
        <v>42942</v>
      </c>
      <c r="F210" s="125">
        <v>0.64236111111111105</v>
      </c>
      <c r="G210" s="124">
        <v>43004</v>
      </c>
      <c r="H210" s="125">
        <v>0.4458333333333333</v>
      </c>
      <c r="I210" s="123">
        <v>929</v>
      </c>
      <c r="J210" s="123">
        <v>412</v>
      </c>
      <c r="K210" s="144">
        <v>516</v>
      </c>
      <c r="L210" s="144">
        <v>140</v>
      </c>
      <c r="M210" s="123">
        <v>625</v>
      </c>
      <c r="N210" s="123">
        <v>29.6</v>
      </c>
      <c r="O210" s="123">
        <v>4.7</v>
      </c>
      <c r="P210" s="123"/>
      <c r="Q210" s="123">
        <v>28.6</v>
      </c>
      <c r="R210" s="123">
        <v>7.7</v>
      </c>
      <c r="S210" s="123" t="s">
        <v>2200</v>
      </c>
      <c r="T210" s="123" t="s">
        <v>2319</v>
      </c>
      <c r="U210" s="123" t="s">
        <v>2187</v>
      </c>
      <c r="V210" s="123" t="s">
        <v>2187</v>
      </c>
      <c r="W210" s="123" t="s">
        <v>3561</v>
      </c>
    </row>
    <row r="211" spans="1:24">
      <c r="A211" s="189">
        <v>209</v>
      </c>
      <c r="B211" s="190" t="s">
        <v>2314</v>
      </c>
      <c r="C211" s="190" t="s">
        <v>2435</v>
      </c>
      <c r="D211" s="133">
        <v>3</v>
      </c>
      <c r="E211" s="124">
        <v>42942</v>
      </c>
      <c r="F211" s="125">
        <v>0.63541666666666663</v>
      </c>
      <c r="G211" s="124">
        <v>43004</v>
      </c>
      <c r="H211" s="125">
        <v>0.4284722222222222</v>
      </c>
      <c r="I211" s="123">
        <v>935</v>
      </c>
      <c r="J211" s="123">
        <v>94</v>
      </c>
      <c r="K211" s="123">
        <v>678</v>
      </c>
      <c r="L211" s="123">
        <v>92</v>
      </c>
      <c r="M211" s="123">
        <v>647</v>
      </c>
      <c r="N211" s="123">
        <v>31.1</v>
      </c>
      <c r="O211" s="123">
        <v>8.4</v>
      </c>
      <c r="P211" s="123"/>
      <c r="Q211" s="123">
        <v>28.1</v>
      </c>
      <c r="R211" s="123">
        <v>8.8000000000000007</v>
      </c>
      <c r="S211" s="123" t="s">
        <v>2187</v>
      </c>
      <c r="T211" s="123"/>
      <c r="U211" s="123" t="s">
        <v>2187</v>
      </c>
      <c r="V211" s="123" t="s">
        <v>2187</v>
      </c>
      <c r="W211" s="123"/>
    </row>
    <row r="212" spans="1:24">
      <c r="A212" s="189">
        <v>210</v>
      </c>
      <c r="B212" s="190" t="s">
        <v>2314</v>
      </c>
      <c r="C212" s="190" t="s">
        <v>2449</v>
      </c>
      <c r="D212" s="133">
        <v>2</v>
      </c>
      <c r="E212" s="124">
        <v>42942</v>
      </c>
      <c r="F212" s="125">
        <v>0.64930555555555558</v>
      </c>
      <c r="G212" s="124">
        <v>43004</v>
      </c>
      <c r="H212" s="125">
        <v>0.4597222222222222</v>
      </c>
      <c r="I212" s="123">
        <v>933</v>
      </c>
      <c r="J212" s="123">
        <v>93</v>
      </c>
      <c r="K212" s="123">
        <v>335</v>
      </c>
      <c r="L212" s="123">
        <v>36</v>
      </c>
      <c r="M212" s="123">
        <v>599</v>
      </c>
      <c r="N212" s="123">
        <v>27.1</v>
      </c>
      <c r="O212" s="123">
        <v>5.8</v>
      </c>
      <c r="P212" s="123"/>
      <c r="Q212" s="123">
        <v>27.9</v>
      </c>
      <c r="R212" s="123">
        <v>6.4</v>
      </c>
      <c r="S212" s="123" t="s">
        <v>2234</v>
      </c>
      <c r="T212" s="123" t="s">
        <v>2195</v>
      </c>
      <c r="U212" s="123"/>
      <c r="V212" s="123"/>
      <c r="W212" s="123" t="s">
        <v>3562</v>
      </c>
      <c r="X212" s="164"/>
    </row>
    <row r="213" spans="1:24">
      <c r="A213" s="189">
        <v>211</v>
      </c>
      <c r="B213" s="190" t="s">
        <v>2314</v>
      </c>
      <c r="C213" s="190" t="s">
        <v>2426</v>
      </c>
      <c r="D213" s="133">
        <v>2</v>
      </c>
      <c r="E213" s="124">
        <v>42942</v>
      </c>
      <c r="F213" s="125">
        <v>0.59375</v>
      </c>
      <c r="G213" s="124">
        <v>43004</v>
      </c>
      <c r="H213" s="125">
        <v>0.40763888888888888</v>
      </c>
      <c r="I213" s="123">
        <v>934</v>
      </c>
      <c r="J213" s="123">
        <v>26</v>
      </c>
      <c r="K213" s="123">
        <v>249</v>
      </c>
      <c r="L213" s="123">
        <v>434</v>
      </c>
      <c r="M213" s="123">
        <v>670</v>
      </c>
      <c r="N213" s="123">
        <v>28.3</v>
      </c>
      <c r="O213" s="123">
        <v>7</v>
      </c>
      <c r="P213" s="123"/>
      <c r="Q213" s="123">
        <v>27.7</v>
      </c>
      <c r="R213" s="123">
        <v>8.1</v>
      </c>
      <c r="S213" s="123" t="s">
        <v>2179</v>
      </c>
      <c r="T213" s="123" t="s">
        <v>2236</v>
      </c>
      <c r="U213" s="123" t="s">
        <v>2187</v>
      </c>
      <c r="V213" s="123"/>
      <c r="W213" s="123"/>
    </row>
    <row r="214" spans="1:24">
      <c r="A214" s="189">
        <v>215</v>
      </c>
      <c r="B214" s="190" t="s">
        <v>2314</v>
      </c>
      <c r="C214" s="190" t="s">
        <v>2427</v>
      </c>
      <c r="D214" s="133">
        <v>7</v>
      </c>
      <c r="E214" s="124">
        <v>42942</v>
      </c>
      <c r="F214" s="125">
        <v>0.63194444444444442</v>
      </c>
      <c r="G214" s="124">
        <v>43004</v>
      </c>
      <c r="H214" s="125">
        <v>0.41875000000000001</v>
      </c>
      <c r="I214" s="123">
        <v>934</v>
      </c>
      <c r="J214" s="123">
        <v>169</v>
      </c>
      <c r="K214" s="123">
        <v>627</v>
      </c>
      <c r="L214" s="192">
        <v>56</v>
      </c>
      <c r="M214" s="123">
        <v>256</v>
      </c>
      <c r="N214" s="123">
        <v>30.2</v>
      </c>
      <c r="O214" s="123">
        <v>4.3</v>
      </c>
      <c r="P214" s="123"/>
      <c r="Q214" s="123">
        <v>27.3</v>
      </c>
      <c r="R214" s="123">
        <v>4.3</v>
      </c>
      <c r="S214" s="123"/>
      <c r="T214" s="123" t="s">
        <v>2187</v>
      </c>
      <c r="U214" s="123" t="s">
        <v>2187</v>
      </c>
      <c r="V214" s="123" t="s">
        <v>2187</v>
      </c>
      <c r="W214" s="123"/>
    </row>
    <row r="215" spans="1:24">
      <c r="A215" s="189">
        <v>212</v>
      </c>
      <c r="B215" s="190" t="s">
        <v>2314</v>
      </c>
      <c r="C215" s="190" t="s">
        <v>2442</v>
      </c>
      <c r="D215" s="133">
        <v>5</v>
      </c>
      <c r="E215" s="124">
        <v>42942</v>
      </c>
      <c r="F215" s="125">
        <v>0.64583333333333337</v>
      </c>
      <c r="G215" s="124">
        <v>43004</v>
      </c>
      <c r="H215" s="125">
        <v>0.45</v>
      </c>
      <c r="I215" s="123">
        <v>929</v>
      </c>
      <c r="J215" s="123">
        <v>68</v>
      </c>
      <c r="K215" s="123">
        <v>803</v>
      </c>
      <c r="L215" s="123">
        <v>363</v>
      </c>
      <c r="M215" s="123">
        <v>658</v>
      </c>
      <c r="N215" s="123">
        <v>29</v>
      </c>
      <c r="O215" s="123">
        <v>8.1999999999999993</v>
      </c>
      <c r="P215" s="123"/>
      <c r="Q215" s="123">
        <v>27.5</v>
      </c>
      <c r="R215" s="123">
        <v>8.1</v>
      </c>
      <c r="S215" s="123" t="s">
        <v>2206</v>
      </c>
      <c r="T215" s="123" t="s">
        <v>2206</v>
      </c>
      <c r="U215" s="123" t="s">
        <v>2187</v>
      </c>
      <c r="V215" s="123" t="s">
        <v>2187</v>
      </c>
      <c r="W215" s="123" t="s">
        <v>3563</v>
      </c>
    </row>
    <row r="216" spans="1:24">
      <c r="A216" s="189">
        <v>213</v>
      </c>
      <c r="B216" s="190" t="s">
        <v>2385</v>
      </c>
      <c r="C216" s="190" t="s">
        <v>2450</v>
      </c>
      <c r="D216" s="133">
        <v>6</v>
      </c>
      <c r="E216" s="124">
        <v>42942</v>
      </c>
      <c r="F216" s="125">
        <v>0.65277777777777779</v>
      </c>
      <c r="G216" s="124">
        <v>43004</v>
      </c>
      <c r="H216" s="125">
        <v>0.46736111111111112</v>
      </c>
      <c r="I216" s="123">
        <v>933</v>
      </c>
      <c r="J216" s="123">
        <v>143</v>
      </c>
      <c r="K216" s="123">
        <v>321</v>
      </c>
      <c r="L216" s="123">
        <v>5</v>
      </c>
      <c r="M216" s="123">
        <v>699</v>
      </c>
      <c r="N216" s="123">
        <v>30</v>
      </c>
      <c r="O216" s="123">
        <v>5.0999999999999996</v>
      </c>
      <c r="P216" s="123"/>
      <c r="Q216" s="123">
        <v>28.2</v>
      </c>
      <c r="R216" s="123">
        <v>3.6</v>
      </c>
      <c r="S216" s="123" t="s">
        <v>2187</v>
      </c>
      <c r="T216" s="123" t="s">
        <v>2187</v>
      </c>
      <c r="U216" s="123"/>
      <c r="V216" s="123"/>
      <c r="W216" s="123"/>
    </row>
    <row r="217" spans="1:24">
      <c r="A217" s="189">
        <v>214</v>
      </c>
      <c r="B217" s="190" t="s">
        <v>2385</v>
      </c>
      <c r="C217" s="190" t="s">
        <v>2443</v>
      </c>
      <c r="D217" s="133">
        <v>7</v>
      </c>
      <c r="E217" s="124">
        <v>42942</v>
      </c>
      <c r="F217" s="125">
        <v>0.64583333333333337</v>
      </c>
      <c r="G217" s="124">
        <v>43004</v>
      </c>
      <c r="H217" s="125">
        <v>0.45555555555555555</v>
      </c>
      <c r="I217" s="123">
        <v>929</v>
      </c>
      <c r="J217" s="123">
        <v>128</v>
      </c>
      <c r="K217" s="123">
        <v>677</v>
      </c>
      <c r="L217" s="164">
        <v>771</v>
      </c>
      <c r="M217" s="123">
        <v>663</v>
      </c>
      <c r="N217" s="123">
        <v>31.3</v>
      </c>
      <c r="O217" s="123">
        <v>4.8</v>
      </c>
      <c r="P217" s="123"/>
      <c r="Q217" s="123">
        <v>28.3</v>
      </c>
      <c r="R217" s="123">
        <v>7.8</v>
      </c>
      <c r="S217" s="123" t="s">
        <v>2179</v>
      </c>
      <c r="T217" s="123" t="s">
        <v>2206</v>
      </c>
      <c r="U217" s="123" t="s">
        <v>2187</v>
      </c>
      <c r="V217" s="123"/>
      <c r="W217" s="123"/>
    </row>
    <row r="218" spans="1:24">
      <c r="A218" s="189">
        <v>216</v>
      </c>
      <c r="B218" s="190" t="s">
        <v>2385</v>
      </c>
      <c r="C218" s="190" t="s">
        <v>2436</v>
      </c>
      <c r="D218" s="133">
        <v>2</v>
      </c>
      <c r="E218" s="124">
        <v>42942</v>
      </c>
      <c r="F218" s="125">
        <v>0.63541666666666663</v>
      </c>
      <c r="G218" s="124">
        <v>43004</v>
      </c>
      <c r="H218" s="125">
        <v>0.42777777777777781</v>
      </c>
      <c r="I218" s="123">
        <v>935</v>
      </c>
      <c r="J218" s="123">
        <v>95</v>
      </c>
      <c r="K218" s="123">
        <v>379</v>
      </c>
      <c r="L218" s="123">
        <v>361</v>
      </c>
      <c r="M218" s="123">
        <v>622</v>
      </c>
      <c r="N218" s="123">
        <v>30.5</v>
      </c>
      <c r="O218" s="123">
        <v>6.4</v>
      </c>
      <c r="P218" s="123"/>
      <c r="Q218" s="123">
        <v>29.2</v>
      </c>
      <c r="R218" s="123">
        <v>7.7</v>
      </c>
      <c r="S218" s="123"/>
      <c r="T218" s="123"/>
      <c r="U218" s="123"/>
      <c r="V218" s="123"/>
      <c r="W218" s="123"/>
    </row>
    <row r="219" spans="1:24">
      <c r="A219" s="189">
        <v>217</v>
      </c>
      <c r="B219" s="190" t="s">
        <v>2428</v>
      </c>
      <c r="C219" s="190" t="s">
        <v>2429</v>
      </c>
      <c r="D219" s="133">
        <v>6</v>
      </c>
      <c r="E219" s="124">
        <v>42942</v>
      </c>
      <c r="F219" s="125">
        <v>0.63194444444444442</v>
      </c>
      <c r="G219" s="124">
        <v>43004</v>
      </c>
      <c r="H219" s="125">
        <v>0.41805555555555557</v>
      </c>
      <c r="I219" s="123">
        <v>934</v>
      </c>
      <c r="J219" s="123">
        <v>313</v>
      </c>
      <c r="K219" s="123">
        <v>771</v>
      </c>
      <c r="L219" s="123">
        <v>204</v>
      </c>
      <c r="M219" s="123">
        <v>608</v>
      </c>
      <c r="N219" s="123">
        <v>35.6</v>
      </c>
      <c r="O219" s="123">
        <v>5.7</v>
      </c>
      <c r="P219" s="123"/>
      <c r="Q219" s="123">
        <v>26.9</v>
      </c>
      <c r="R219" s="123">
        <v>8.6999999999999993</v>
      </c>
      <c r="S219" s="123" t="s">
        <v>2206</v>
      </c>
      <c r="T219" s="123" t="s">
        <v>2206</v>
      </c>
      <c r="U219" s="123" t="s">
        <v>2187</v>
      </c>
      <c r="V219" s="123"/>
      <c r="W219" s="123"/>
    </row>
    <row r="220" spans="1:24">
      <c r="A220" s="189">
        <v>218</v>
      </c>
      <c r="B220" s="190" t="s">
        <v>2428</v>
      </c>
      <c r="C220" s="190" t="s">
        <v>2437</v>
      </c>
      <c r="D220" s="133">
        <v>5</v>
      </c>
      <c r="E220" s="124">
        <v>42942</v>
      </c>
      <c r="F220" s="125">
        <v>0.63888888888888895</v>
      </c>
      <c r="G220" s="124">
        <v>43004</v>
      </c>
      <c r="H220" s="125">
        <v>0.43611111111111112</v>
      </c>
      <c r="I220" s="123">
        <v>935</v>
      </c>
      <c r="J220" s="123">
        <v>485</v>
      </c>
      <c r="K220" s="123">
        <v>680</v>
      </c>
      <c r="L220" s="123">
        <v>170</v>
      </c>
      <c r="M220" s="123">
        <v>639</v>
      </c>
      <c r="N220" s="123">
        <v>30</v>
      </c>
      <c r="O220" s="123">
        <v>4.5</v>
      </c>
      <c r="P220" s="123"/>
      <c r="Q220" s="123">
        <v>28.3</v>
      </c>
      <c r="R220" s="123">
        <v>8.4</v>
      </c>
      <c r="S220" s="123" t="s">
        <v>2187</v>
      </c>
      <c r="T220" s="123" t="s">
        <v>2206</v>
      </c>
      <c r="U220" s="123" t="s">
        <v>2187</v>
      </c>
      <c r="V220" s="123" t="s">
        <v>2187</v>
      </c>
      <c r="W220" s="123" t="s">
        <v>3564</v>
      </c>
    </row>
    <row r="221" spans="1:24">
      <c r="A221" s="189">
        <v>219</v>
      </c>
      <c r="B221" s="190" t="s">
        <v>2428</v>
      </c>
      <c r="C221" s="190" t="s">
        <v>2444</v>
      </c>
      <c r="D221" s="133">
        <v>1</v>
      </c>
      <c r="E221" s="124">
        <v>42942</v>
      </c>
      <c r="F221" s="125">
        <v>0.63888888888888895</v>
      </c>
      <c r="G221" s="124">
        <v>43004</v>
      </c>
      <c r="H221" s="125">
        <v>0.44305555555555554</v>
      </c>
      <c r="I221" s="123">
        <v>929</v>
      </c>
      <c r="J221" s="123">
        <v>196</v>
      </c>
      <c r="K221" s="145">
        <v>178</v>
      </c>
      <c r="L221" s="145">
        <v>123</v>
      </c>
      <c r="M221" s="123">
        <v>246</v>
      </c>
      <c r="N221" s="123">
        <v>37.6</v>
      </c>
      <c r="O221" s="123">
        <v>2.9</v>
      </c>
      <c r="P221" s="123"/>
      <c r="Q221" s="123">
        <v>27.9</v>
      </c>
      <c r="R221" s="123">
        <v>8.6</v>
      </c>
      <c r="S221" s="123" t="s">
        <v>2206</v>
      </c>
      <c r="T221" s="123" t="s">
        <v>2187</v>
      </c>
      <c r="U221" s="123" t="s">
        <v>2187</v>
      </c>
      <c r="V221" s="123"/>
      <c r="W221" s="123"/>
    </row>
    <row r="222" spans="1:24">
      <c r="A222" s="189">
        <v>220</v>
      </c>
      <c r="B222" s="190" t="s">
        <v>2428</v>
      </c>
      <c r="C222" s="190" t="s">
        <v>2451</v>
      </c>
      <c r="D222" s="133">
        <v>4</v>
      </c>
      <c r="E222" s="124">
        <v>42942</v>
      </c>
      <c r="F222" s="125">
        <v>0.64930555555555558</v>
      </c>
      <c r="G222" s="124">
        <v>43004</v>
      </c>
      <c r="H222" s="125">
        <v>0.4694444444444445</v>
      </c>
      <c r="I222" s="123">
        <v>933</v>
      </c>
      <c r="J222" s="123">
        <v>39</v>
      </c>
      <c r="K222" s="123">
        <v>194</v>
      </c>
      <c r="L222" s="123">
        <v>53</v>
      </c>
      <c r="M222" s="123">
        <v>672</v>
      </c>
      <c r="N222" s="123">
        <v>39</v>
      </c>
      <c r="O222" s="123">
        <v>4.5999999999999996</v>
      </c>
      <c r="P222" s="123"/>
      <c r="Q222" s="123">
        <v>28.3</v>
      </c>
      <c r="R222" s="123">
        <v>6</v>
      </c>
      <c r="S222" s="123" t="s">
        <v>2187</v>
      </c>
      <c r="T222" s="123" t="s">
        <v>3547</v>
      </c>
      <c r="U222" s="123" t="s">
        <v>2187</v>
      </c>
      <c r="V222" s="123"/>
      <c r="W222" s="123" t="s">
        <v>3539</v>
      </c>
    </row>
  </sheetData>
  <mergeCells count="9">
    <mergeCell ref="Q1:R1"/>
    <mergeCell ref="W1:W2"/>
    <mergeCell ref="A1:D1"/>
    <mergeCell ref="E1:F1"/>
    <mergeCell ref="G1:H1"/>
    <mergeCell ref="J1:M1"/>
    <mergeCell ref="N1:O1"/>
    <mergeCell ref="P1:P2"/>
    <mergeCell ref="S1:V1"/>
  </mergeCell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ACD77-239C-469E-8A41-3B5E02AB6DED}">
  <dimension ref="B4:R12"/>
  <sheetViews>
    <sheetView workbookViewId="0">
      <selection activeCell="K4" sqref="K4:S12"/>
    </sheetView>
  </sheetViews>
  <sheetFormatPr baseColWidth="10" defaultRowHeight="14.4"/>
  <sheetData>
    <row r="4" spans="2:18">
      <c r="H4" t="s">
        <v>3517</v>
      </c>
      <c r="I4" t="s">
        <v>3518</v>
      </c>
      <c r="Q4" t="s">
        <v>3517</v>
      </c>
      <c r="R4" t="s">
        <v>3518</v>
      </c>
    </row>
    <row r="5" spans="2:18">
      <c r="B5" s="196" t="s">
        <v>2539</v>
      </c>
      <c r="C5" s="180"/>
      <c r="D5" s="180"/>
      <c r="E5" s="180"/>
      <c r="F5" s="180"/>
      <c r="G5" s="180"/>
      <c r="H5" s="180">
        <v>0.84199999999999997</v>
      </c>
      <c r="I5">
        <v>0.93300000000000005</v>
      </c>
      <c r="K5" s="196" t="s">
        <v>2539</v>
      </c>
      <c r="L5" s="180"/>
      <c r="M5" s="180"/>
      <c r="N5" s="180"/>
      <c r="O5" s="180"/>
      <c r="P5" s="180"/>
      <c r="Q5" s="180">
        <v>0.84199999999999997</v>
      </c>
      <c r="R5">
        <v>0.93300000000000005</v>
      </c>
    </row>
    <row r="6" spans="2:18">
      <c r="B6" s="196" t="s">
        <v>2540</v>
      </c>
      <c r="C6" s="180"/>
      <c r="D6" s="180"/>
      <c r="E6" s="180"/>
      <c r="F6" s="180"/>
      <c r="G6" s="180"/>
      <c r="H6" s="180">
        <v>0.55200000000000005</v>
      </c>
      <c r="I6">
        <v>0.67600000000000005</v>
      </c>
      <c r="K6" s="196" t="s">
        <v>2540</v>
      </c>
      <c r="L6" s="180"/>
      <c r="M6" s="180"/>
      <c r="N6" s="180"/>
      <c r="O6" s="180"/>
      <c r="P6" s="180"/>
      <c r="Q6" s="180">
        <v>0.55200000000000005</v>
      </c>
      <c r="R6">
        <v>0.67600000000000005</v>
      </c>
    </row>
    <row r="7" spans="2:18">
      <c r="B7" s="196" t="s">
        <v>10</v>
      </c>
      <c r="C7" s="180"/>
      <c r="D7" s="180"/>
      <c r="E7" s="180"/>
      <c r="F7" s="180"/>
      <c r="G7" s="180"/>
      <c r="H7" s="180">
        <v>0.12180000000000001</v>
      </c>
      <c r="K7" s="196" t="s">
        <v>10</v>
      </c>
      <c r="L7" s="180"/>
      <c r="M7" s="180"/>
      <c r="N7" s="180"/>
      <c r="O7" s="180"/>
      <c r="P7" s="180"/>
      <c r="Q7" s="180">
        <v>0.12180000000000001</v>
      </c>
    </row>
    <row r="8" spans="2:18">
      <c r="B8" s="196" t="s">
        <v>11</v>
      </c>
      <c r="C8" s="180"/>
      <c r="D8" s="180"/>
      <c r="E8" s="180"/>
      <c r="F8" s="180"/>
      <c r="G8" s="180"/>
      <c r="H8" s="180">
        <v>2.8799999999999999E-2</v>
      </c>
      <c r="K8" s="196" t="s">
        <v>11</v>
      </c>
      <c r="L8" s="180"/>
      <c r="M8" s="180"/>
      <c r="N8" s="180"/>
      <c r="O8" s="180"/>
      <c r="P8" s="180"/>
      <c r="Q8" s="180">
        <v>2.8799999999999999E-2</v>
      </c>
    </row>
    <row r="9" spans="2:18">
      <c r="B9" s="196" t="s">
        <v>12</v>
      </c>
      <c r="C9" s="180"/>
      <c r="D9" s="180"/>
      <c r="E9" s="180"/>
      <c r="F9" s="180"/>
      <c r="G9" s="180"/>
      <c r="H9" s="180">
        <f>H7+H8</f>
        <v>0.15060000000000001</v>
      </c>
      <c r="K9" s="196" t="s">
        <v>12</v>
      </c>
      <c r="L9" s="180"/>
      <c r="M9" s="180"/>
      <c r="N9" s="180"/>
      <c r="O9" s="180"/>
      <c r="P9" s="180"/>
      <c r="Q9" s="180">
        <f>Q7+Q8</f>
        <v>0.15060000000000001</v>
      </c>
    </row>
    <row r="10" spans="2:18">
      <c r="B10" s="196" t="s">
        <v>13</v>
      </c>
      <c r="C10" s="180"/>
      <c r="D10" s="180"/>
      <c r="E10" s="180"/>
      <c r="F10" s="180"/>
      <c r="G10" s="180"/>
      <c r="H10" s="180">
        <v>9.9199999999999997E-2</v>
      </c>
      <c r="K10" s="196" t="s">
        <v>13</v>
      </c>
      <c r="L10" s="180"/>
      <c r="M10" s="180"/>
      <c r="N10" s="180"/>
      <c r="O10" s="180"/>
      <c r="P10" s="180"/>
      <c r="Q10" s="180">
        <v>9.9199999999999997E-2</v>
      </c>
    </row>
    <row r="11" spans="2:18">
      <c r="B11" s="196" t="s">
        <v>14</v>
      </c>
      <c r="C11" s="180"/>
      <c r="D11" s="180"/>
      <c r="E11" s="180"/>
      <c r="F11" s="180"/>
      <c r="G11" s="180"/>
      <c r="H11" s="180">
        <v>1</v>
      </c>
      <c r="K11" s="196" t="s">
        <v>14</v>
      </c>
      <c r="L11" s="180"/>
      <c r="M11" s="180"/>
      <c r="N11" s="180"/>
      <c r="O11" s="180"/>
      <c r="P11" s="180"/>
      <c r="Q11" s="180">
        <v>1</v>
      </c>
    </row>
    <row r="12" spans="2:18">
      <c r="B12" s="196" t="s">
        <v>15</v>
      </c>
      <c r="C12" s="180"/>
      <c r="D12" s="180"/>
      <c r="E12" s="180"/>
      <c r="F12" s="180"/>
      <c r="G12" s="180"/>
      <c r="H12" s="180">
        <v>1</v>
      </c>
      <c r="K12" s="196" t="s">
        <v>15</v>
      </c>
      <c r="L12" s="180"/>
      <c r="M12" s="180"/>
      <c r="N12" s="180"/>
      <c r="O12" s="180"/>
      <c r="P12" s="180"/>
      <c r="Q12" s="18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69A67-EE68-41C0-84D1-3C2163ABAA70}">
  <dimension ref="A1:N91"/>
  <sheetViews>
    <sheetView zoomScale="85" zoomScaleNormal="85" workbookViewId="0">
      <selection activeCell="G5" sqref="G5"/>
    </sheetView>
  </sheetViews>
  <sheetFormatPr baseColWidth="10" defaultColWidth="8.88671875" defaultRowHeight="14.4"/>
  <sheetData>
    <row r="1" spans="1:14">
      <c r="A1" s="242" t="s">
        <v>2665</v>
      </c>
      <c r="B1" s="242" t="s">
        <v>2648</v>
      </c>
      <c r="C1" s="242" t="s">
        <v>2643</v>
      </c>
      <c r="D1" s="243" t="s">
        <v>3377</v>
      </c>
      <c r="E1" s="243" t="s">
        <v>3378</v>
      </c>
      <c r="F1" s="242" t="s">
        <v>3379</v>
      </c>
      <c r="G1" s="244" t="s">
        <v>2147</v>
      </c>
      <c r="I1" s="414" t="s">
        <v>3161</v>
      </c>
      <c r="J1" s="415"/>
      <c r="K1" s="415"/>
      <c r="L1" s="415"/>
      <c r="M1" s="416"/>
      <c r="N1" t="s">
        <v>2147</v>
      </c>
    </row>
    <row r="2" spans="1:14">
      <c r="A2" t="s">
        <v>2428</v>
      </c>
      <c r="B2" t="s">
        <v>3380</v>
      </c>
      <c r="C2" t="s">
        <v>2504</v>
      </c>
      <c r="D2" t="s">
        <v>2250</v>
      </c>
      <c r="E2">
        <v>0.2</v>
      </c>
      <c r="F2">
        <v>3</v>
      </c>
      <c r="I2" s="243" t="s">
        <v>2665</v>
      </c>
      <c r="J2" s="243" t="s">
        <v>2648</v>
      </c>
      <c r="K2" s="243" t="s">
        <v>2643</v>
      </c>
      <c r="L2" s="243" t="s">
        <v>2169</v>
      </c>
      <c r="M2" s="243" t="s">
        <v>3377</v>
      </c>
    </row>
    <row r="3" spans="1:14">
      <c r="A3" t="s">
        <v>2428</v>
      </c>
      <c r="B3" t="s">
        <v>3380</v>
      </c>
      <c r="C3" t="s">
        <v>2504</v>
      </c>
      <c r="D3" t="s">
        <v>2250</v>
      </c>
      <c r="E3">
        <v>0.1</v>
      </c>
      <c r="F3">
        <v>5.6</v>
      </c>
      <c r="I3" t="s">
        <v>3381</v>
      </c>
      <c r="J3" t="s">
        <v>3380</v>
      </c>
      <c r="K3" t="s">
        <v>2278</v>
      </c>
      <c r="L3">
        <v>1044</v>
      </c>
      <c r="M3" t="s">
        <v>2228</v>
      </c>
    </row>
    <row r="4" spans="1:14">
      <c r="A4" t="s">
        <v>2428</v>
      </c>
      <c r="B4" t="s">
        <v>3380</v>
      </c>
      <c r="C4" t="s">
        <v>2504</v>
      </c>
      <c r="D4" t="s">
        <v>2250</v>
      </c>
      <c r="E4">
        <v>0.2</v>
      </c>
      <c r="F4">
        <v>2.5</v>
      </c>
      <c r="I4" t="s">
        <v>3381</v>
      </c>
      <c r="J4" t="s">
        <v>3380</v>
      </c>
      <c r="K4" t="s">
        <v>2278</v>
      </c>
      <c r="L4">
        <v>1045</v>
      </c>
      <c r="M4" t="s">
        <v>2250</v>
      </c>
    </row>
    <row r="5" spans="1:14">
      <c r="A5" t="s">
        <v>3381</v>
      </c>
      <c r="B5" t="s">
        <v>3380</v>
      </c>
      <c r="C5" t="s">
        <v>2278</v>
      </c>
      <c r="D5" t="s">
        <v>2180</v>
      </c>
      <c r="E5">
        <v>1.4</v>
      </c>
      <c r="F5">
        <v>4.8</v>
      </c>
      <c r="G5" t="s">
        <v>3382</v>
      </c>
      <c r="I5" t="s">
        <v>3381</v>
      </c>
      <c r="J5" t="s">
        <v>3380</v>
      </c>
      <c r="K5" t="s">
        <v>2278</v>
      </c>
      <c r="L5">
        <v>1046</v>
      </c>
      <c r="M5" t="s">
        <v>2180</v>
      </c>
    </row>
    <row r="6" spans="1:14">
      <c r="A6" t="s">
        <v>3381</v>
      </c>
      <c r="B6" t="s">
        <v>3380</v>
      </c>
      <c r="C6" t="s">
        <v>2287</v>
      </c>
      <c r="D6" t="s">
        <v>2250</v>
      </c>
      <c r="E6">
        <v>2.2000000000000002</v>
      </c>
      <c r="F6">
        <v>0.2</v>
      </c>
      <c r="G6" t="s">
        <v>3383</v>
      </c>
      <c r="I6" t="s">
        <v>3381</v>
      </c>
      <c r="J6" t="s">
        <v>3380</v>
      </c>
      <c r="K6" t="s">
        <v>2278</v>
      </c>
      <c r="L6">
        <v>1047</v>
      </c>
      <c r="M6" t="s">
        <v>2180</v>
      </c>
    </row>
    <row r="7" spans="1:14">
      <c r="A7" t="s">
        <v>3381</v>
      </c>
      <c r="B7" t="s">
        <v>3380</v>
      </c>
      <c r="C7" t="s">
        <v>2287</v>
      </c>
      <c r="D7" t="s">
        <v>2250</v>
      </c>
      <c r="E7">
        <v>2.5499999999999998</v>
      </c>
      <c r="F7">
        <v>0.1</v>
      </c>
      <c r="G7" t="s">
        <v>3383</v>
      </c>
      <c r="I7" t="s">
        <v>3381</v>
      </c>
      <c r="J7" t="s">
        <v>3380</v>
      </c>
      <c r="K7" t="s">
        <v>2278</v>
      </c>
      <c r="L7">
        <v>1048</v>
      </c>
      <c r="M7" t="s">
        <v>2250</v>
      </c>
    </row>
    <row r="8" spans="1:14">
      <c r="A8" t="s">
        <v>3381</v>
      </c>
      <c r="B8" t="s">
        <v>3380</v>
      </c>
      <c r="C8" t="s">
        <v>2287</v>
      </c>
      <c r="D8" t="s">
        <v>2250</v>
      </c>
      <c r="E8">
        <v>1.8</v>
      </c>
      <c r="F8">
        <v>0.1</v>
      </c>
      <c r="G8" t="s">
        <v>3383</v>
      </c>
      <c r="I8" t="s">
        <v>3381</v>
      </c>
      <c r="J8" t="s">
        <v>3380</v>
      </c>
      <c r="K8" t="s">
        <v>2278</v>
      </c>
      <c r="L8">
        <v>1049</v>
      </c>
      <c r="M8" t="s">
        <v>2180</v>
      </c>
    </row>
    <row r="9" spans="1:14">
      <c r="A9" t="s">
        <v>3381</v>
      </c>
      <c r="B9" t="s">
        <v>3380</v>
      </c>
      <c r="C9" t="s">
        <v>2287</v>
      </c>
      <c r="D9" t="s">
        <v>2250</v>
      </c>
      <c r="E9">
        <v>1.55</v>
      </c>
      <c r="F9">
        <v>0.15</v>
      </c>
      <c r="G9" t="s">
        <v>3383</v>
      </c>
      <c r="I9" t="s">
        <v>3381</v>
      </c>
      <c r="J9" t="s">
        <v>3380</v>
      </c>
      <c r="K9" t="s">
        <v>2287</v>
      </c>
      <c r="L9">
        <v>1050</v>
      </c>
      <c r="M9" t="s">
        <v>2228</v>
      </c>
    </row>
    <row r="10" spans="1:14">
      <c r="A10" t="s">
        <v>3381</v>
      </c>
      <c r="B10" t="s">
        <v>3380</v>
      </c>
      <c r="C10" t="s">
        <v>2287</v>
      </c>
      <c r="D10" t="s">
        <v>2250</v>
      </c>
      <c r="E10">
        <v>2.25</v>
      </c>
      <c r="F10">
        <v>0.2</v>
      </c>
      <c r="G10" t="s">
        <v>3383</v>
      </c>
      <c r="I10" t="s">
        <v>3381</v>
      </c>
      <c r="J10" t="s">
        <v>3380</v>
      </c>
      <c r="K10" t="s">
        <v>2287</v>
      </c>
      <c r="L10">
        <v>1051</v>
      </c>
      <c r="M10" t="s">
        <v>2180</v>
      </c>
    </row>
    <row r="11" spans="1:14">
      <c r="A11" t="s">
        <v>3381</v>
      </c>
      <c r="B11" t="s">
        <v>3380</v>
      </c>
      <c r="C11" t="s">
        <v>2296</v>
      </c>
      <c r="D11" t="s">
        <v>2250</v>
      </c>
      <c r="E11">
        <v>0.2</v>
      </c>
      <c r="F11">
        <v>5.2</v>
      </c>
      <c r="I11" t="s">
        <v>3381</v>
      </c>
      <c r="J11" t="s">
        <v>3380</v>
      </c>
      <c r="K11" t="s">
        <v>2287</v>
      </c>
      <c r="L11">
        <v>1052</v>
      </c>
      <c r="M11" t="s">
        <v>2250</v>
      </c>
    </row>
    <row r="12" spans="1:14">
      <c r="A12" t="s">
        <v>3381</v>
      </c>
      <c r="B12" t="s">
        <v>3380</v>
      </c>
      <c r="C12" t="s">
        <v>2306</v>
      </c>
      <c r="D12" t="s">
        <v>2250</v>
      </c>
      <c r="E12">
        <v>0.4</v>
      </c>
      <c r="F12">
        <v>10.95</v>
      </c>
      <c r="I12" t="s">
        <v>3381</v>
      </c>
      <c r="J12" t="s">
        <v>3380</v>
      </c>
      <c r="K12" t="s">
        <v>2287</v>
      </c>
      <c r="L12">
        <v>1053</v>
      </c>
      <c r="M12" t="s">
        <v>2250</v>
      </c>
    </row>
    <row r="13" spans="1:14">
      <c r="A13" t="s">
        <v>2666</v>
      </c>
      <c r="B13" t="s">
        <v>20</v>
      </c>
      <c r="C13" t="s">
        <v>2227</v>
      </c>
      <c r="D13" t="s">
        <v>2250</v>
      </c>
      <c r="E13">
        <v>7.0000000000000007E-2</v>
      </c>
      <c r="F13">
        <v>2.2200000000000002</v>
      </c>
      <c r="I13" t="s">
        <v>3381</v>
      </c>
      <c r="J13" t="s">
        <v>3380</v>
      </c>
      <c r="K13" t="s">
        <v>2287</v>
      </c>
      <c r="L13">
        <v>1054</v>
      </c>
      <c r="M13" t="s">
        <v>2228</v>
      </c>
    </row>
    <row r="14" spans="1:14">
      <c r="A14" t="s">
        <v>2666</v>
      </c>
      <c r="B14" t="s">
        <v>20</v>
      </c>
      <c r="C14" t="s">
        <v>2227</v>
      </c>
      <c r="D14" t="s">
        <v>2250</v>
      </c>
      <c r="E14">
        <v>0</v>
      </c>
      <c r="F14">
        <v>4.4000000000000004</v>
      </c>
      <c r="I14" t="s">
        <v>3381</v>
      </c>
      <c r="J14" t="s">
        <v>3380</v>
      </c>
      <c r="K14" t="s">
        <v>2287</v>
      </c>
      <c r="L14">
        <v>1055</v>
      </c>
      <c r="M14" t="s">
        <v>2250</v>
      </c>
    </row>
    <row r="15" spans="1:14">
      <c r="A15" t="s">
        <v>2666</v>
      </c>
      <c r="B15" t="s">
        <v>20</v>
      </c>
      <c r="C15" t="s">
        <v>2227</v>
      </c>
      <c r="D15" t="s">
        <v>2228</v>
      </c>
      <c r="E15">
        <v>0.3</v>
      </c>
      <c r="F15">
        <v>4.0999999999999996</v>
      </c>
      <c r="I15" t="s">
        <v>3381</v>
      </c>
      <c r="J15" t="s">
        <v>3380</v>
      </c>
      <c r="K15" t="s">
        <v>2287</v>
      </c>
      <c r="L15">
        <v>1056</v>
      </c>
      <c r="M15" t="s">
        <v>2250</v>
      </c>
    </row>
    <row r="16" spans="1:14">
      <c r="A16" t="s">
        <v>2666</v>
      </c>
      <c r="B16" t="s">
        <v>20</v>
      </c>
      <c r="C16" t="s">
        <v>2227</v>
      </c>
      <c r="D16" t="s">
        <v>2250</v>
      </c>
      <c r="E16">
        <v>0.08</v>
      </c>
      <c r="F16">
        <v>0.38</v>
      </c>
      <c r="I16" t="s">
        <v>3381</v>
      </c>
      <c r="J16" t="s">
        <v>3380</v>
      </c>
      <c r="K16" t="s">
        <v>2287</v>
      </c>
      <c r="L16">
        <v>1057</v>
      </c>
      <c r="M16" t="s">
        <v>2250</v>
      </c>
    </row>
    <row r="17" spans="1:13">
      <c r="A17" t="s">
        <v>2666</v>
      </c>
      <c r="B17" t="s">
        <v>20</v>
      </c>
      <c r="C17" t="s">
        <v>2244</v>
      </c>
      <c r="D17" t="s">
        <v>2228</v>
      </c>
      <c r="E17">
        <v>0.31</v>
      </c>
      <c r="F17">
        <v>4.3</v>
      </c>
      <c r="I17" t="s">
        <v>3381</v>
      </c>
      <c r="J17" t="s">
        <v>3380</v>
      </c>
      <c r="K17" t="s">
        <v>2296</v>
      </c>
      <c r="L17">
        <v>1030</v>
      </c>
      <c r="M17" t="s">
        <v>2250</v>
      </c>
    </row>
    <row r="18" spans="1:13">
      <c r="A18" t="s">
        <v>2666</v>
      </c>
      <c r="B18" t="s">
        <v>20</v>
      </c>
      <c r="C18" t="s">
        <v>2256</v>
      </c>
      <c r="D18" t="s">
        <v>2250</v>
      </c>
      <c r="E18">
        <v>1.35</v>
      </c>
      <c r="F18">
        <v>0.2</v>
      </c>
      <c r="I18" t="s">
        <v>3381</v>
      </c>
      <c r="J18" t="s">
        <v>3380</v>
      </c>
      <c r="K18" t="s">
        <v>2296</v>
      </c>
      <c r="L18">
        <v>1031</v>
      </c>
      <c r="M18" t="s">
        <v>2228</v>
      </c>
    </row>
    <row r="19" spans="1:13">
      <c r="A19" t="s">
        <v>2666</v>
      </c>
      <c r="B19" t="s">
        <v>20</v>
      </c>
      <c r="C19" t="s">
        <v>2256</v>
      </c>
      <c r="D19" t="s">
        <v>2180</v>
      </c>
      <c r="E19">
        <v>6.6</v>
      </c>
      <c r="F19">
        <v>0.9</v>
      </c>
      <c r="I19" t="s">
        <v>3381</v>
      </c>
      <c r="J19" t="s">
        <v>3380</v>
      </c>
      <c r="K19" t="s">
        <v>2296</v>
      </c>
      <c r="L19">
        <v>1032</v>
      </c>
      <c r="M19" t="s">
        <v>2250</v>
      </c>
    </row>
    <row r="20" spans="1:13">
      <c r="A20" t="s">
        <v>2666</v>
      </c>
      <c r="B20" t="s">
        <v>20</v>
      </c>
      <c r="C20" t="s">
        <v>2256</v>
      </c>
      <c r="D20" t="s">
        <v>2250</v>
      </c>
      <c r="E20">
        <v>4.3499999999999996</v>
      </c>
      <c r="F20">
        <v>0.2</v>
      </c>
      <c r="I20" t="s">
        <v>3381</v>
      </c>
      <c r="J20" t="s">
        <v>3380</v>
      </c>
      <c r="K20" t="s">
        <v>2296</v>
      </c>
      <c r="L20">
        <v>1033</v>
      </c>
      <c r="M20" t="s">
        <v>2228</v>
      </c>
    </row>
    <row r="21" spans="1:13">
      <c r="A21" t="s">
        <v>2666</v>
      </c>
      <c r="B21" t="s">
        <v>20</v>
      </c>
      <c r="C21" t="s">
        <v>2265</v>
      </c>
      <c r="D21" t="s">
        <v>2250</v>
      </c>
      <c r="E21">
        <v>2.4</v>
      </c>
      <c r="F21">
        <v>0.05</v>
      </c>
      <c r="I21" t="s">
        <v>3381</v>
      </c>
      <c r="J21" t="s">
        <v>3380</v>
      </c>
      <c r="K21" t="s">
        <v>2296</v>
      </c>
      <c r="L21">
        <v>1034</v>
      </c>
      <c r="M21" t="s">
        <v>2250</v>
      </c>
    </row>
    <row r="22" spans="1:13">
      <c r="A22" t="s">
        <v>2666</v>
      </c>
      <c r="B22" t="s">
        <v>20</v>
      </c>
      <c r="C22" t="s">
        <v>2265</v>
      </c>
      <c r="D22" t="s">
        <v>2250</v>
      </c>
      <c r="E22">
        <v>2.4500000000000002</v>
      </c>
      <c r="F22">
        <v>0.15</v>
      </c>
      <c r="I22" t="s">
        <v>3381</v>
      </c>
      <c r="J22" t="s">
        <v>3380</v>
      </c>
      <c r="K22" t="s">
        <v>2296</v>
      </c>
      <c r="L22">
        <v>1035</v>
      </c>
      <c r="M22" t="s">
        <v>2228</v>
      </c>
    </row>
    <row r="23" spans="1:13">
      <c r="A23" t="s">
        <v>2666</v>
      </c>
      <c r="B23" t="s">
        <v>20</v>
      </c>
      <c r="C23" t="s">
        <v>2265</v>
      </c>
      <c r="D23" t="s">
        <v>2250</v>
      </c>
      <c r="E23">
        <v>4.7</v>
      </c>
      <c r="F23">
        <v>0.4</v>
      </c>
      <c r="I23" t="s">
        <v>3381</v>
      </c>
      <c r="J23" t="s">
        <v>3380</v>
      </c>
      <c r="K23" t="s">
        <v>2296</v>
      </c>
      <c r="L23">
        <v>1036</v>
      </c>
      <c r="M23" t="s">
        <v>2180</v>
      </c>
    </row>
    <row r="24" spans="1:13">
      <c r="A24" t="s">
        <v>2666</v>
      </c>
      <c r="B24" t="s">
        <v>20</v>
      </c>
      <c r="C24" t="s">
        <v>2265</v>
      </c>
      <c r="D24" t="s">
        <v>2250</v>
      </c>
      <c r="E24">
        <v>3.3</v>
      </c>
      <c r="F24">
        <v>0.4</v>
      </c>
      <c r="I24" t="s">
        <v>3381</v>
      </c>
      <c r="J24" t="s">
        <v>3380</v>
      </c>
      <c r="K24" t="s">
        <v>2296</v>
      </c>
      <c r="L24">
        <v>1037</v>
      </c>
      <c r="M24" t="s">
        <v>2180</v>
      </c>
    </row>
    <row r="25" spans="1:13">
      <c r="A25" t="s">
        <v>2666</v>
      </c>
      <c r="B25" t="s">
        <v>20</v>
      </c>
      <c r="C25" t="s">
        <v>2265</v>
      </c>
      <c r="D25" t="s">
        <v>2180</v>
      </c>
      <c r="E25">
        <v>9.6</v>
      </c>
      <c r="F25">
        <v>0.55000000000000004</v>
      </c>
      <c r="I25" t="s">
        <v>3381</v>
      </c>
      <c r="J25" t="s">
        <v>3380</v>
      </c>
      <c r="K25" t="s">
        <v>2306</v>
      </c>
      <c r="L25">
        <v>1038</v>
      </c>
      <c r="M25" t="s">
        <v>2228</v>
      </c>
    </row>
    <row r="26" spans="1:13">
      <c r="A26" t="s">
        <v>2666</v>
      </c>
      <c r="B26" t="s">
        <v>2660</v>
      </c>
      <c r="C26" t="s">
        <v>2178</v>
      </c>
      <c r="D26" t="s">
        <v>2228</v>
      </c>
      <c r="E26">
        <v>6.35</v>
      </c>
      <c r="F26">
        <v>0.45</v>
      </c>
      <c r="I26" t="s">
        <v>3381</v>
      </c>
      <c r="J26" t="s">
        <v>3380</v>
      </c>
      <c r="K26" t="s">
        <v>2306</v>
      </c>
      <c r="L26">
        <v>1039</v>
      </c>
      <c r="M26" t="s">
        <v>2180</v>
      </c>
    </row>
    <row r="27" spans="1:13">
      <c r="A27" t="s">
        <v>2666</v>
      </c>
      <c r="B27" t="s">
        <v>2660</v>
      </c>
      <c r="C27" t="s">
        <v>2178</v>
      </c>
      <c r="D27" t="s">
        <v>2228</v>
      </c>
      <c r="E27">
        <v>7.2</v>
      </c>
      <c r="F27">
        <v>0.95</v>
      </c>
      <c r="I27" t="s">
        <v>3381</v>
      </c>
      <c r="J27" t="s">
        <v>3380</v>
      </c>
      <c r="K27" t="s">
        <v>2306</v>
      </c>
      <c r="L27">
        <v>1040</v>
      </c>
      <c r="M27" t="s">
        <v>2250</v>
      </c>
    </row>
    <row r="28" spans="1:13">
      <c r="A28" t="s">
        <v>2666</v>
      </c>
      <c r="B28" t="s">
        <v>2660</v>
      </c>
      <c r="C28" t="s">
        <v>2194</v>
      </c>
      <c r="D28" t="s">
        <v>2180</v>
      </c>
      <c r="E28">
        <v>6.65</v>
      </c>
      <c r="F28">
        <v>0.85</v>
      </c>
      <c r="I28" t="s">
        <v>3381</v>
      </c>
      <c r="J28" t="s">
        <v>3380</v>
      </c>
      <c r="K28" t="s">
        <v>2306</v>
      </c>
      <c r="L28">
        <v>1041</v>
      </c>
      <c r="M28" t="s">
        <v>2250</v>
      </c>
    </row>
    <row r="29" spans="1:13">
      <c r="A29" t="s">
        <v>2666</v>
      </c>
      <c r="B29" t="s">
        <v>2660</v>
      </c>
      <c r="C29" t="s">
        <v>2208</v>
      </c>
      <c r="G29" t="s">
        <v>3384</v>
      </c>
      <c r="I29" t="s">
        <v>3381</v>
      </c>
      <c r="J29" t="s">
        <v>3380</v>
      </c>
      <c r="K29" t="s">
        <v>2306</v>
      </c>
      <c r="L29">
        <v>1042</v>
      </c>
      <c r="M29" t="s">
        <v>2250</v>
      </c>
    </row>
    <row r="30" spans="1:13">
      <c r="A30" t="s">
        <v>2666</v>
      </c>
      <c r="B30" t="s">
        <v>2660</v>
      </c>
      <c r="C30" t="s">
        <v>2218</v>
      </c>
      <c r="G30" t="s">
        <v>3384</v>
      </c>
      <c r="I30" t="s">
        <v>3381</v>
      </c>
      <c r="J30" t="s">
        <v>3380</v>
      </c>
      <c r="K30" t="s">
        <v>2306</v>
      </c>
      <c r="L30">
        <v>1043</v>
      </c>
      <c r="M30" t="s">
        <v>2250</v>
      </c>
    </row>
    <row r="31" spans="1:13">
      <c r="A31" t="s">
        <v>2276</v>
      </c>
      <c r="B31" t="s">
        <v>3380</v>
      </c>
      <c r="C31" t="s">
        <v>2278</v>
      </c>
      <c r="D31" t="s">
        <v>2250</v>
      </c>
      <c r="E31">
        <v>0.15</v>
      </c>
      <c r="F31">
        <v>1.4</v>
      </c>
      <c r="I31" t="s">
        <v>2666</v>
      </c>
      <c r="J31" t="s">
        <v>20</v>
      </c>
      <c r="K31" t="s">
        <v>2227</v>
      </c>
      <c r="L31">
        <v>1078</v>
      </c>
      <c r="M31" t="s">
        <v>2250</v>
      </c>
    </row>
    <row r="32" spans="1:13">
      <c r="A32" t="s">
        <v>2276</v>
      </c>
      <c r="B32" t="s">
        <v>3380</v>
      </c>
      <c r="C32" t="s">
        <v>2278</v>
      </c>
      <c r="D32" t="s">
        <v>2250</v>
      </c>
      <c r="E32">
        <v>0</v>
      </c>
      <c r="F32">
        <v>3.1</v>
      </c>
      <c r="I32" t="s">
        <v>2666</v>
      </c>
      <c r="J32" t="s">
        <v>20</v>
      </c>
      <c r="K32" t="s">
        <v>2227</v>
      </c>
      <c r="L32">
        <v>1079</v>
      </c>
      <c r="M32" t="s">
        <v>2250</v>
      </c>
    </row>
    <row r="33" spans="1:13">
      <c r="A33" t="s">
        <v>2276</v>
      </c>
      <c r="B33" t="s">
        <v>3380</v>
      </c>
      <c r="C33" t="s">
        <v>2287</v>
      </c>
      <c r="D33" t="s">
        <v>2250</v>
      </c>
      <c r="E33">
        <v>0.1</v>
      </c>
      <c r="F33">
        <v>1.4</v>
      </c>
      <c r="I33" t="s">
        <v>2666</v>
      </c>
      <c r="J33" t="s">
        <v>20</v>
      </c>
      <c r="K33" t="s">
        <v>2227</v>
      </c>
      <c r="L33">
        <v>1080</v>
      </c>
      <c r="M33" t="s">
        <v>2250</v>
      </c>
    </row>
    <row r="34" spans="1:13">
      <c r="A34" t="s">
        <v>2276</v>
      </c>
      <c r="B34" t="s">
        <v>3380</v>
      </c>
      <c r="C34" t="s">
        <v>2287</v>
      </c>
      <c r="D34" t="s">
        <v>2250</v>
      </c>
      <c r="E34">
        <v>0.15</v>
      </c>
      <c r="F34">
        <v>1.6</v>
      </c>
      <c r="I34" t="s">
        <v>2666</v>
      </c>
      <c r="J34" t="s">
        <v>20</v>
      </c>
      <c r="K34" t="s">
        <v>2227</v>
      </c>
      <c r="L34">
        <v>1081</v>
      </c>
      <c r="M34" t="s">
        <v>2250</v>
      </c>
    </row>
    <row r="35" spans="1:13">
      <c r="A35" t="s">
        <v>2276</v>
      </c>
      <c r="B35" t="s">
        <v>3380</v>
      </c>
      <c r="C35" t="s">
        <v>2287</v>
      </c>
      <c r="D35" t="s">
        <v>2250</v>
      </c>
      <c r="E35">
        <v>0.15</v>
      </c>
      <c r="F35">
        <v>1.9</v>
      </c>
      <c r="I35" t="s">
        <v>2666</v>
      </c>
      <c r="J35" t="s">
        <v>20</v>
      </c>
      <c r="K35" t="s">
        <v>2227</v>
      </c>
      <c r="L35">
        <v>1082</v>
      </c>
      <c r="M35" t="s">
        <v>2250</v>
      </c>
    </row>
    <row r="36" spans="1:13">
      <c r="A36" t="s">
        <v>2276</v>
      </c>
      <c r="B36" t="s">
        <v>3380</v>
      </c>
      <c r="C36" t="s">
        <v>2296</v>
      </c>
      <c r="D36" t="s">
        <v>2180</v>
      </c>
      <c r="E36">
        <v>0.14000000000000001</v>
      </c>
      <c r="F36">
        <v>1.1000000000000001</v>
      </c>
      <c r="I36" t="s">
        <v>2666</v>
      </c>
      <c r="J36" t="s">
        <v>20</v>
      </c>
      <c r="K36" t="s">
        <v>2244</v>
      </c>
      <c r="L36">
        <v>1083</v>
      </c>
      <c r="M36" t="s">
        <v>2250</v>
      </c>
    </row>
    <row r="37" spans="1:13">
      <c r="A37" t="s">
        <v>2276</v>
      </c>
      <c r="B37" t="s">
        <v>3380</v>
      </c>
      <c r="C37" t="s">
        <v>2306</v>
      </c>
      <c r="D37" t="s">
        <v>2250</v>
      </c>
      <c r="E37">
        <v>0.23</v>
      </c>
      <c r="F37">
        <v>2.6</v>
      </c>
      <c r="I37" t="s">
        <v>2666</v>
      </c>
      <c r="J37" t="s">
        <v>20</v>
      </c>
      <c r="K37" t="s">
        <v>2244</v>
      </c>
      <c r="L37">
        <v>1084</v>
      </c>
      <c r="M37" t="s">
        <v>2250</v>
      </c>
    </row>
    <row r="38" spans="1:13">
      <c r="A38" t="s">
        <v>2276</v>
      </c>
      <c r="B38" t="s">
        <v>3380</v>
      </c>
      <c r="C38" t="s">
        <v>2306</v>
      </c>
      <c r="D38" t="s">
        <v>2250</v>
      </c>
      <c r="E38">
        <v>0.2</v>
      </c>
      <c r="F38">
        <v>3.2</v>
      </c>
      <c r="I38" t="s">
        <v>2666</v>
      </c>
      <c r="J38" t="s">
        <v>20</v>
      </c>
      <c r="K38" t="s">
        <v>2244</v>
      </c>
      <c r="L38">
        <v>1085</v>
      </c>
      <c r="M38" t="s">
        <v>2250</v>
      </c>
    </row>
    <row r="39" spans="1:13">
      <c r="A39" t="s">
        <v>2176</v>
      </c>
      <c r="B39" t="s">
        <v>20</v>
      </c>
      <c r="C39" t="s">
        <v>2227</v>
      </c>
      <c r="D39" t="s">
        <v>2250</v>
      </c>
      <c r="E39">
        <v>0.17</v>
      </c>
      <c r="F39">
        <v>1.9</v>
      </c>
      <c r="I39" t="s">
        <v>2666</v>
      </c>
      <c r="J39" t="s">
        <v>20</v>
      </c>
      <c r="K39" t="s">
        <v>2256</v>
      </c>
      <c r="L39">
        <v>1058</v>
      </c>
      <c r="M39" t="s">
        <v>2180</v>
      </c>
    </row>
    <row r="40" spans="1:13">
      <c r="A40" t="s">
        <v>2176</v>
      </c>
      <c r="B40" t="s">
        <v>20</v>
      </c>
      <c r="C40" t="s">
        <v>2227</v>
      </c>
      <c r="D40" t="s">
        <v>2228</v>
      </c>
      <c r="E40">
        <v>1.8</v>
      </c>
      <c r="F40">
        <v>8.4</v>
      </c>
      <c r="I40" t="s">
        <v>2666</v>
      </c>
      <c r="J40" t="s">
        <v>20</v>
      </c>
      <c r="K40" t="s">
        <v>2256</v>
      </c>
      <c r="L40">
        <v>1059</v>
      </c>
      <c r="M40" t="s">
        <v>2180</v>
      </c>
    </row>
    <row r="41" spans="1:13">
      <c r="A41" t="s">
        <v>2176</v>
      </c>
      <c r="B41" t="s">
        <v>20</v>
      </c>
      <c r="C41" t="s">
        <v>2227</v>
      </c>
      <c r="D41" t="s">
        <v>2250</v>
      </c>
      <c r="E41">
        <v>0.32</v>
      </c>
      <c r="F41">
        <v>5.9</v>
      </c>
      <c r="I41" t="s">
        <v>2666</v>
      </c>
      <c r="J41" t="s">
        <v>20</v>
      </c>
      <c r="K41" t="s">
        <v>2256</v>
      </c>
      <c r="L41">
        <v>1060</v>
      </c>
      <c r="M41" t="s">
        <v>2250</v>
      </c>
    </row>
    <row r="42" spans="1:13">
      <c r="A42" t="s">
        <v>2176</v>
      </c>
      <c r="B42" t="s">
        <v>20</v>
      </c>
      <c r="C42" t="s">
        <v>2227</v>
      </c>
      <c r="D42" t="s">
        <v>2250</v>
      </c>
      <c r="E42">
        <v>0.1</v>
      </c>
      <c r="F42">
        <v>1.65</v>
      </c>
      <c r="I42" t="s">
        <v>2666</v>
      </c>
      <c r="J42" t="s">
        <v>20</v>
      </c>
      <c r="K42" t="s">
        <v>2256</v>
      </c>
      <c r="L42">
        <v>1061</v>
      </c>
      <c r="M42" t="s">
        <v>2250</v>
      </c>
    </row>
    <row r="43" spans="1:13">
      <c r="A43" t="s">
        <v>2176</v>
      </c>
      <c r="B43" t="s">
        <v>20</v>
      </c>
      <c r="C43" t="s">
        <v>2244</v>
      </c>
      <c r="D43" t="s">
        <v>2228</v>
      </c>
      <c r="E43">
        <v>0.56999999999999995</v>
      </c>
      <c r="F43">
        <v>3.2</v>
      </c>
      <c r="I43" t="s">
        <v>2666</v>
      </c>
      <c r="J43" t="s">
        <v>20</v>
      </c>
      <c r="K43" t="s">
        <v>2256</v>
      </c>
      <c r="L43">
        <v>1062</v>
      </c>
      <c r="M43" t="s">
        <v>2250</v>
      </c>
    </row>
    <row r="44" spans="1:13">
      <c r="A44" t="s">
        <v>2176</v>
      </c>
      <c r="B44" t="s">
        <v>20</v>
      </c>
      <c r="C44" t="s">
        <v>2244</v>
      </c>
      <c r="D44" t="s">
        <v>2228</v>
      </c>
      <c r="E44">
        <v>0.78</v>
      </c>
      <c r="F44">
        <v>3.95</v>
      </c>
      <c r="I44" t="s">
        <v>2666</v>
      </c>
      <c r="J44" t="s">
        <v>20</v>
      </c>
      <c r="K44" t="s">
        <v>2256</v>
      </c>
      <c r="L44">
        <v>1063</v>
      </c>
      <c r="M44" t="s">
        <v>2250</v>
      </c>
    </row>
    <row r="45" spans="1:13">
      <c r="A45" t="s">
        <v>2176</v>
      </c>
      <c r="B45" t="s">
        <v>20</v>
      </c>
      <c r="C45" t="s">
        <v>2244</v>
      </c>
      <c r="D45" t="s">
        <v>2250</v>
      </c>
      <c r="E45">
        <v>0.2</v>
      </c>
      <c r="F45">
        <v>2.0499999999999998</v>
      </c>
      <c r="I45" t="s">
        <v>2666</v>
      </c>
      <c r="J45" t="s">
        <v>20</v>
      </c>
      <c r="K45" t="s">
        <v>2256</v>
      </c>
      <c r="L45">
        <v>1064</v>
      </c>
      <c r="M45" t="s">
        <v>2250</v>
      </c>
    </row>
    <row r="46" spans="1:13">
      <c r="A46" t="s">
        <v>2176</v>
      </c>
      <c r="B46" t="s">
        <v>20</v>
      </c>
      <c r="C46" t="s">
        <v>2244</v>
      </c>
      <c r="D46" t="s">
        <v>2250</v>
      </c>
      <c r="E46">
        <v>0.15</v>
      </c>
      <c r="F46">
        <v>4.7</v>
      </c>
      <c r="I46" t="s">
        <v>2666</v>
      </c>
      <c r="J46" t="s">
        <v>20</v>
      </c>
      <c r="K46" t="s">
        <v>2265</v>
      </c>
      <c r="L46">
        <v>1065</v>
      </c>
      <c r="M46" t="s">
        <v>2228</v>
      </c>
    </row>
    <row r="47" spans="1:13">
      <c r="A47" t="s">
        <v>2176</v>
      </c>
      <c r="B47" t="s">
        <v>20</v>
      </c>
      <c r="C47" t="s">
        <v>2256</v>
      </c>
      <c r="D47" t="s">
        <v>2250</v>
      </c>
      <c r="E47">
        <v>0.08</v>
      </c>
      <c r="F47">
        <v>0.3</v>
      </c>
      <c r="I47" t="s">
        <v>2666</v>
      </c>
      <c r="J47" t="s">
        <v>20</v>
      </c>
      <c r="K47" t="s">
        <v>2265</v>
      </c>
      <c r="L47">
        <v>1068</v>
      </c>
      <c r="M47" t="s">
        <v>2250</v>
      </c>
    </row>
    <row r="48" spans="1:13">
      <c r="A48" t="s">
        <v>2176</v>
      </c>
      <c r="B48" t="s">
        <v>20</v>
      </c>
      <c r="C48" t="s">
        <v>2256</v>
      </c>
      <c r="D48" t="s">
        <v>2250</v>
      </c>
      <c r="E48">
        <v>0.05</v>
      </c>
      <c r="F48">
        <v>0.45</v>
      </c>
      <c r="I48" t="s">
        <v>2666</v>
      </c>
      <c r="J48" t="s">
        <v>20</v>
      </c>
      <c r="K48" t="s">
        <v>2265</v>
      </c>
      <c r="L48">
        <v>1069</v>
      </c>
      <c r="M48" t="s">
        <v>2250</v>
      </c>
    </row>
    <row r="49" spans="1:13">
      <c r="A49" t="s">
        <v>2176</v>
      </c>
      <c r="B49" t="s">
        <v>20</v>
      </c>
      <c r="C49" t="s">
        <v>2265</v>
      </c>
      <c r="D49" t="s">
        <v>2180</v>
      </c>
      <c r="E49">
        <v>0.36</v>
      </c>
      <c r="F49">
        <v>1.6</v>
      </c>
      <c r="G49" t="s">
        <v>3385</v>
      </c>
      <c r="I49" t="s">
        <v>2666</v>
      </c>
      <c r="J49" t="s">
        <v>20</v>
      </c>
      <c r="K49" t="s">
        <v>2265</v>
      </c>
      <c r="L49">
        <v>1070</v>
      </c>
      <c r="M49" t="s">
        <v>2250</v>
      </c>
    </row>
    <row r="50" spans="1:13">
      <c r="A50" t="s">
        <v>2176</v>
      </c>
      <c r="B50" t="s">
        <v>2660</v>
      </c>
      <c r="C50" t="s">
        <v>3386</v>
      </c>
      <c r="D50" t="s">
        <v>2180</v>
      </c>
      <c r="E50">
        <v>2.2999999999999998</v>
      </c>
      <c r="F50">
        <v>4.2</v>
      </c>
      <c r="G50" t="s">
        <v>3387</v>
      </c>
      <c r="I50" t="s">
        <v>2666</v>
      </c>
      <c r="J50" t="s">
        <v>20</v>
      </c>
      <c r="K50" t="s">
        <v>2265</v>
      </c>
      <c r="L50">
        <v>1071</v>
      </c>
      <c r="M50" t="s">
        <v>2180</v>
      </c>
    </row>
    <row r="51" spans="1:13">
      <c r="A51" t="s">
        <v>2176</v>
      </c>
      <c r="B51" t="s">
        <v>2660</v>
      </c>
      <c r="C51" t="s">
        <v>3388</v>
      </c>
      <c r="G51" t="s">
        <v>3384</v>
      </c>
      <c r="I51" t="s">
        <v>2666</v>
      </c>
      <c r="J51" t="s">
        <v>20</v>
      </c>
      <c r="K51" t="s">
        <v>2265</v>
      </c>
      <c r="L51">
        <v>1072</v>
      </c>
      <c r="M51" t="s">
        <v>2250</v>
      </c>
    </row>
    <row r="52" spans="1:13">
      <c r="I52" t="s">
        <v>2666</v>
      </c>
      <c r="J52" t="s">
        <v>20</v>
      </c>
      <c r="K52" t="s">
        <v>2265</v>
      </c>
      <c r="L52">
        <v>1073</v>
      </c>
      <c r="M52" t="s">
        <v>2228</v>
      </c>
    </row>
    <row r="53" spans="1:13">
      <c r="I53" t="s">
        <v>2666</v>
      </c>
      <c r="J53" t="s">
        <v>2660</v>
      </c>
      <c r="K53" t="s">
        <v>2178</v>
      </c>
      <c r="L53">
        <v>1074</v>
      </c>
      <c r="M53" t="s">
        <v>2228</v>
      </c>
    </row>
    <row r="54" spans="1:13">
      <c r="I54" t="s">
        <v>2666</v>
      </c>
      <c r="J54" t="s">
        <v>2660</v>
      </c>
      <c r="K54" t="s">
        <v>2178</v>
      </c>
      <c r="L54">
        <v>1075</v>
      </c>
      <c r="M54" t="s">
        <v>2180</v>
      </c>
    </row>
    <row r="55" spans="1:13">
      <c r="I55" t="s">
        <v>2666</v>
      </c>
      <c r="J55" t="s">
        <v>2660</v>
      </c>
      <c r="K55" t="s">
        <v>2194</v>
      </c>
      <c r="L55">
        <v>1076</v>
      </c>
      <c r="M55" t="s">
        <v>2180</v>
      </c>
    </row>
    <row r="56" spans="1:13">
      <c r="I56" t="s">
        <v>2666</v>
      </c>
      <c r="J56" t="s">
        <v>2660</v>
      </c>
      <c r="K56" t="s">
        <v>3388</v>
      </c>
      <c r="L56">
        <v>1086</v>
      </c>
      <c r="M56" t="s">
        <v>2250</v>
      </c>
    </row>
    <row r="57" spans="1:13">
      <c r="I57" t="s">
        <v>2276</v>
      </c>
      <c r="J57" t="s">
        <v>3380</v>
      </c>
      <c r="K57" t="s">
        <v>2278</v>
      </c>
      <c r="L57">
        <v>1097</v>
      </c>
      <c r="M57" t="s">
        <v>2250</v>
      </c>
    </row>
    <row r="58" spans="1:13">
      <c r="I58" t="s">
        <v>2276</v>
      </c>
      <c r="J58" t="s">
        <v>3380</v>
      </c>
      <c r="K58" t="s">
        <v>2278</v>
      </c>
      <c r="L58">
        <v>1098</v>
      </c>
      <c r="M58" t="s">
        <v>2250</v>
      </c>
    </row>
    <row r="59" spans="1:13">
      <c r="I59" t="s">
        <v>2276</v>
      </c>
      <c r="J59" t="s">
        <v>3380</v>
      </c>
      <c r="K59" t="s">
        <v>2278</v>
      </c>
      <c r="L59">
        <v>1099</v>
      </c>
      <c r="M59" t="s">
        <v>2250</v>
      </c>
    </row>
    <row r="60" spans="1:13">
      <c r="I60" t="s">
        <v>2276</v>
      </c>
      <c r="J60" t="s">
        <v>3380</v>
      </c>
      <c r="K60" t="s">
        <v>2278</v>
      </c>
      <c r="L60">
        <v>1100</v>
      </c>
      <c r="M60" t="s">
        <v>2250</v>
      </c>
    </row>
    <row r="61" spans="1:13">
      <c r="I61" t="s">
        <v>2276</v>
      </c>
      <c r="J61" t="s">
        <v>3380</v>
      </c>
      <c r="K61" t="s">
        <v>2278</v>
      </c>
      <c r="L61">
        <v>1101</v>
      </c>
      <c r="M61" t="s">
        <v>2250</v>
      </c>
    </row>
    <row r="62" spans="1:13">
      <c r="I62" t="s">
        <v>2276</v>
      </c>
      <c r="J62" t="s">
        <v>3380</v>
      </c>
      <c r="K62" t="s">
        <v>2287</v>
      </c>
      <c r="L62">
        <v>1112</v>
      </c>
      <c r="M62" t="s">
        <v>2250</v>
      </c>
    </row>
    <row r="63" spans="1:13">
      <c r="I63" t="s">
        <v>2276</v>
      </c>
      <c r="J63" t="s">
        <v>3380</v>
      </c>
      <c r="K63" t="s">
        <v>2287</v>
      </c>
      <c r="L63">
        <v>1113</v>
      </c>
      <c r="M63" t="s">
        <v>2250</v>
      </c>
    </row>
    <row r="64" spans="1:13">
      <c r="I64" t="s">
        <v>2276</v>
      </c>
      <c r="J64" t="s">
        <v>3380</v>
      </c>
      <c r="K64" t="s">
        <v>2287</v>
      </c>
      <c r="L64">
        <v>1114</v>
      </c>
      <c r="M64" t="s">
        <v>2228</v>
      </c>
    </row>
    <row r="65" spans="9:13">
      <c r="I65" t="s">
        <v>2276</v>
      </c>
      <c r="J65" t="s">
        <v>3380</v>
      </c>
      <c r="K65" t="s">
        <v>2287</v>
      </c>
      <c r="L65">
        <v>1115</v>
      </c>
      <c r="M65" t="s">
        <v>2250</v>
      </c>
    </row>
    <row r="66" spans="9:13">
      <c r="I66" t="s">
        <v>2276</v>
      </c>
      <c r="J66" t="s">
        <v>3380</v>
      </c>
      <c r="K66" t="s">
        <v>2287</v>
      </c>
      <c r="L66">
        <v>1116</v>
      </c>
      <c r="M66" t="s">
        <v>2250</v>
      </c>
    </row>
    <row r="67" spans="9:13">
      <c r="I67" t="s">
        <v>2276</v>
      </c>
      <c r="J67" t="s">
        <v>3380</v>
      </c>
      <c r="K67" t="s">
        <v>2287</v>
      </c>
      <c r="L67">
        <v>1117</v>
      </c>
      <c r="M67" t="s">
        <v>2250</v>
      </c>
    </row>
    <row r="68" spans="9:13">
      <c r="I68" t="s">
        <v>2276</v>
      </c>
      <c r="J68" t="s">
        <v>3380</v>
      </c>
      <c r="K68" t="s">
        <v>2287</v>
      </c>
      <c r="L68">
        <v>1118</v>
      </c>
      <c r="M68" t="s">
        <v>2180</v>
      </c>
    </row>
    <row r="69" spans="9:13">
      <c r="I69" t="s">
        <v>2276</v>
      </c>
      <c r="J69" t="s">
        <v>3380</v>
      </c>
      <c r="K69" t="s">
        <v>2296</v>
      </c>
      <c r="L69">
        <v>1119</v>
      </c>
      <c r="M69" t="s">
        <v>2250</v>
      </c>
    </row>
    <row r="70" spans="9:13">
      <c r="I70" t="s">
        <v>2276</v>
      </c>
      <c r="J70" t="s">
        <v>3380</v>
      </c>
      <c r="K70" t="s">
        <v>2296</v>
      </c>
      <c r="L70">
        <v>1120</v>
      </c>
      <c r="M70" t="s">
        <v>2250</v>
      </c>
    </row>
    <row r="71" spans="9:13">
      <c r="I71" t="s">
        <v>2276</v>
      </c>
      <c r="J71" t="s">
        <v>3380</v>
      </c>
      <c r="K71" t="s">
        <v>2296</v>
      </c>
      <c r="L71">
        <v>1121</v>
      </c>
      <c r="M71" t="s">
        <v>2250</v>
      </c>
    </row>
    <row r="72" spans="9:13">
      <c r="I72" t="s">
        <v>2276</v>
      </c>
      <c r="J72" t="s">
        <v>3380</v>
      </c>
      <c r="K72" t="s">
        <v>2296</v>
      </c>
      <c r="L72">
        <v>1122</v>
      </c>
      <c r="M72" t="s">
        <v>2250</v>
      </c>
    </row>
    <row r="73" spans="9:13">
      <c r="I73" t="s">
        <v>2276</v>
      </c>
      <c r="J73" t="s">
        <v>3380</v>
      </c>
      <c r="K73" t="s">
        <v>2306</v>
      </c>
      <c r="L73">
        <v>1123</v>
      </c>
      <c r="M73" t="s">
        <v>2250</v>
      </c>
    </row>
    <row r="74" spans="9:13">
      <c r="I74" t="s">
        <v>2276</v>
      </c>
      <c r="J74" t="s">
        <v>3380</v>
      </c>
      <c r="K74" t="s">
        <v>2306</v>
      </c>
      <c r="L74">
        <v>1124</v>
      </c>
      <c r="M74" t="s">
        <v>2250</v>
      </c>
    </row>
    <row r="75" spans="9:13">
      <c r="I75" t="s">
        <v>2276</v>
      </c>
      <c r="J75" t="s">
        <v>3380</v>
      </c>
      <c r="K75" t="s">
        <v>2306</v>
      </c>
      <c r="L75">
        <v>1125</v>
      </c>
      <c r="M75" t="s">
        <v>2250</v>
      </c>
    </row>
    <row r="76" spans="9:13">
      <c r="I76" t="s">
        <v>2276</v>
      </c>
      <c r="J76" t="s">
        <v>3380</v>
      </c>
      <c r="K76" t="s">
        <v>2306</v>
      </c>
      <c r="L76">
        <v>1126</v>
      </c>
      <c r="M76" t="s">
        <v>2228</v>
      </c>
    </row>
    <row r="77" spans="9:13">
      <c r="I77" t="s">
        <v>2276</v>
      </c>
      <c r="J77" t="s">
        <v>3380</v>
      </c>
      <c r="K77" t="s">
        <v>2306</v>
      </c>
      <c r="L77">
        <v>1127</v>
      </c>
      <c r="M77" t="s">
        <v>2250</v>
      </c>
    </row>
    <row r="78" spans="9:13">
      <c r="I78" t="s">
        <v>2176</v>
      </c>
      <c r="J78" t="s">
        <v>20</v>
      </c>
      <c r="K78" t="s">
        <v>2227</v>
      </c>
      <c r="L78">
        <v>1137</v>
      </c>
      <c r="M78" t="s">
        <v>2228</v>
      </c>
    </row>
    <row r="79" spans="9:13">
      <c r="I79" t="s">
        <v>2176</v>
      </c>
      <c r="J79" t="s">
        <v>20</v>
      </c>
      <c r="K79" t="s">
        <v>2227</v>
      </c>
      <c r="L79">
        <v>1138</v>
      </c>
      <c r="M79" t="s">
        <v>2250</v>
      </c>
    </row>
    <row r="80" spans="9:13">
      <c r="I80" t="s">
        <v>2176</v>
      </c>
      <c r="J80" t="s">
        <v>20</v>
      </c>
      <c r="K80" t="s">
        <v>2227</v>
      </c>
      <c r="L80">
        <v>1139</v>
      </c>
      <c r="M80" t="s">
        <v>2180</v>
      </c>
    </row>
    <row r="81" spans="9:14">
      <c r="I81" t="s">
        <v>2176</v>
      </c>
      <c r="J81" t="s">
        <v>20</v>
      </c>
      <c r="K81" t="s">
        <v>2227</v>
      </c>
      <c r="L81">
        <v>1140</v>
      </c>
      <c r="M81" t="s">
        <v>2250</v>
      </c>
    </row>
    <row r="82" spans="9:14">
      <c r="I82" t="s">
        <v>2176</v>
      </c>
      <c r="J82" t="s">
        <v>20</v>
      </c>
      <c r="K82" t="s">
        <v>2227</v>
      </c>
      <c r="L82">
        <v>1141</v>
      </c>
      <c r="M82" t="s">
        <v>2180</v>
      </c>
    </row>
    <row r="83" spans="9:14">
      <c r="I83" t="s">
        <v>2176</v>
      </c>
      <c r="J83" t="s">
        <v>20</v>
      </c>
      <c r="K83" t="s">
        <v>2244</v>
      </c>
      <c r="L83">
        <v>1143</v>
      </c>
      <c r="M83" t="s">
        <v>2228</v>
      </c>
    </row>
    <row r="84" spans="9:14">
      <c r="I84" t="s">
        <v>2176</v>
      </c>
      <c r="J84" t="s">
        <v>20</v>
      </c>
      <c r="K84" t="s">
        <v>2244</v>
      </c>
      <c r="L84">
        <v>1144</v>
      </c>
      <c r="M84" t="s">
        <v>2228</v>
      </c>
    </row>
    <row r="85" spans="9:14">
      <c r="I85" t="s">
        <v>2176</v>
      </c>
      <c r="J85" t="s">
        <v>20</v>
      </c>
      <c r="K85" t="s">
        <v>2244</v>
      </c>
      <c r="L85">
        <v>1145</v>
      </c>
      <c r="M85" t="s">
        <v>2180</v>
      </c>
    </row>
    <row r="86" spans="9:14">
      <c r="I86" t="s">
        <v>2176</v>
      </c>
      <c r="J86" t="s">
        <v>20</v>
      </c>
      <c r="K86" t="s">
        <v>2244</v>
      </c>
      <c r="L86">
        <v>1146</v>
      </c>
      <c r="M86" t="s">
        <v>2250</v>
      </c>
    </row>
    <row r="87" spans="9:14">
      <c r="I87" t="s">
        <v>2176</v>
      </c>
      <c r="J87" t="s">
        <v>20</v>
      </c>
      <c r="K87" t="s">
        <v>2256</v>
      </c>
      <c r="L87">
        <v>1153</v>
      </c>
      <c r="M87" t="s">
        <v>2180</v>
      </c>
    </row>
    <row r="88" spans="9:14">
      <c r="I88" t="s">
        <v>2176</v>
      </c>
      <c r="J88" t="s">
        <v>20</v>
      </c>
      <c r="K88" t="s">
        <v>2256</v>
      </c>
      <c r="L88">
        <v>1154</v>
      </c>
      <c r="M88" t="s">
        <v>2250</v>
      </c>
    </row>
    <row r="89" spans="9:14">
      <c r="I89" t="s">
        <v>2176</v>
      </c>
      <c r="J89" t="s">
        <v>20</v>
      </c>
      <c r="K89" t="s">
        <v>2265</v>
      </c>
      <c r="L89">
        <v>1152</v>
      </c>
      <c r="M89" t="s">
        <v>2250</v>
      </c>
    </row>
    <row r="90" spans="9:14">
      <c r="I90" t="s">
        <v>2176</v>
      </c>
      <c r="J90" t="s">
        <v>2660</v>
      </c>
      <c r="K90" t="s">
        <v>3386</v>
      </c>
      <c r="L90">
        <v>1155</v>
      </c>
      <c r="M90" t="s">
        <v>2180</v>
      </c>
    </row>
    <row r="91" spans="9:14">
      <c r="I91" t="s">
        <v>2176</v>
      </c>
      <c r="J91" t="s">
        <v>2660</v>
      </c>
      <c r="K91" t="s">
        <v>3388</v>
      </c>
      <c r="N91" t="s">
        <v>3389</v>
      </c>
    </row>
  </sheetData>
  <mergeCells count="1">
    <mergeCell ref="I1:M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F1017-23CB-4971-BE3E-6088F42FDE7C}">
  <dimension ref="A1:J197"/>
  <sheetViews>
    <sheetView topLeftCell="A121" workbookViewId="0">
      <selection sqref="A1:J197"/>
    </sheetView>
  </sheetViews>
  <sheetFormatPr baseColWidth="10" defaultColWidth="11.44140625" defaultRowHeight="14.4"/>
  <sheetData>
    <row r="1" spans="1:10">
      <c r="A1" t="s">
        <v>3164</v>
      </c>
      <c r="B1" t="s">
        <v>3165</v>
      </c>
      <c r="C1" t="s">
        <v>3166</v>
      </c>
      <c r="D1" t="s">
        <v>3167</v>
      </c>
      <c r="E1" t="s">
        <v>3168</v>
      </c>
      <c r="F1" t="s">
        <v>2169</v>
      </c>
      <c r="G1" t="s">
        <v>3169</v>
      </c>
      <c r="H1" t="s">
        <v>3170</v>
      </c>
      <c r="I1" t="s">
        <v>2643</v>
      </c>
      <c r="J1" t="s">
        <v>2166</v>
      </c>
    </row>
    <row r="2" spans="1:10">
      <c r="A2">
        <v>1</v>
      </c>
      <c r="B2">
        <v>-3.3978609999999998</v>
      </c>
      <c r="C2">
        <v>34.837608000000003</v>
      </c>
      <c r="D2">
        <v>1626.5</v>
      </c>
      <c r="E2" t="s">
        <v>3171</v>
      </c>
      <c r="F2">
        <v>1250</v>
      </c>
      <c r="G2" t="s">
        <v>3172</v>
      </c>
      <c r="H2" t="s">
        <v>3173</v>
      </c>
      <c r="I2" t="s">
        <v>2178</v>
      </c>
      <c r="J2" t="s">
        <v>2177</v>
      </c>
    </row>
    <row r="3" spans="1:10">
      <c r="A3">
        <v>2</v>
      </c>
      <c r="B3">
        <v>-3.397879042</v>
      </c>
      <c r="C3">
        <v>34.837536010000001</v>
      </c>
      <c r="D3">
        <v>1638.11</v>
      </c>
      <c r="E3" t="s">
        <v>3174</v>
      </c>
      <c r="F3">
        <v>855</v>
      </c>
      <c r="G3" t="s">
        <v>3172</v>
      </c>
      <c r="H3" t="s">
        <v>3173</v>
      </c>
      <c r="I3" t="s">
        <v>2178</v>
      </c>
      <c r="J3" t="s">
        <v>2183</v>
      </c>
    </row>
    <row r="4" spans="1:10">
      <c r="A4">
        <v>3</v>
      </c>
      <c r="B4">
        <v>-3.3978739999999998</v>
      </c>
      <c r="C4">
        <v>34.837578999999998</v>
      </c>
      <c r="D4">
        <v>1626.3</v>
      </c>
      <c r="E4" t="s">
        <v>3171</v>
      </c>
      <c r="F4">
        <v>1249</v>
      </c>
      <c r="G4" t="s">
        <v>3172</v>
      </c>
      <c r="H4" t="s">
        <v>3173</v>
      </c>
      <c r="I4" t="s">
        <v>2178</v>
      </c>
      <c r="J4" t="s">
        <v>2184</v>
      </c>
    </row>
    <row r="5" spans="1:10">
      <c r="A5">
        <v>4</v>
      </c>
      <c r="B5">
        <v>-3.3977780399999999</v>
      </c>
      <c r="C5">
        <v>34.83751204</v>
      </c>
      <c r="D5">
        <v>1637.87</v>
      </c>
      <c r="E5" t="s">
        <v>3175</v>
      </c>
      <c r="F5">
        <v>857</v>
      </c>
      <c r="G5" t="s">
        <v>3172</v>
      </c>
      <c r="H5" t="s">
        <v>3173</v>
      </c>
      <c r="I5" t="s">
        <v>2178</v>
      </c>
      <c r="J5" t="s">
        <v>2186</v>
      </c>
    </row>
    <row r="6" spans="1:10">
      <c r="A6">
        <v>5</v>
      </c>
      <c r="B6">
        <v>-3.3978020120000001</v>
      </c>
      <c r="C6">
        <v>34.83751204</v>
      </c>
      <c r="D6">
        <v>1635.96</v>
      </c>
      <c r="E6" t="s">
        <v>3176</v>
      </c>
      <c r="F6">
        <v>858</v>
      </c>
      <c r="G6" t="s">
        <v>3172</v>
      </c>
      <c r="H6" t="s">
        <v>3173</v>
      </c>
      <c r="I6" t="s">
        <v>2178</v>
      </c>
      <c r="J6" t="s">
        <v>2189</v>
      </c>
    </row>
    <row r="7" spans="1:10">
      <c r="A7">
        <v>6</v>
      </c>
      <c r="B7">
        <v>-3.3977389800000002</v>
      </c>
      <c r="C7">
        <v>34.837501979999999</v>
      </c>
      <c r="D7">
        <v>1635.68</v>
      </c>
      <c r="E7" t="s">
        <v>3177</v>
      </c>
      <c r="F7">
        <v>859</v>
      </c>
      <c r="G7" t="s">
        <v>3172</v>
      </c>
      <c r="H7" t="s">
        <v>3173</v>
      </c>
      <c r="I7" t="s">
        <v>2178</v>
      </c>
      <c r="J7" t="s">
        <v>2190</v>
      </c>
    </row>
    <row r="8" spans="1:10">
      <c r="A8">
        <v>7</v>
      </c>
      <c r="B8">
        <v>-3.3977630360000002</v>
      </c>
      <c r="C8">
        <v>34.837600969999997</v>
      </c>
      <c r="D8">
        <v>1636.76</v>
      </c>
      <c r="E8" t="s">
        <v>3178</v>
      </c>
      <c r="F8">
        <v>860</v>
      </c>
      <c r="G8" t="s">
        <v>3172</v>
      </c>
      <c r="H8" t="s">
        <v>3173</v>
      </c>
      <c r="I8" t="s">
        <v>2178</v>
      </c>
      <c r="J8" t="s">
        <v>2191</v>
      </c>
    </row>
    <row r="9" spans="1:10">
      <c r="A9">
        <v>8</v>
      </c>
      <c r="B9">
        <v>-3.3977320230000001</v>
      </c>
      <c r="C9">
        <v>34.837561989999998</v>
      </c>
      <c r="D9">
        <v>1636.67</v>
      </c>
      <c r="E9" t="s">
        <v>3179</v>
      </c>
      <c r="F9">
        <v>861</v>
      </c>
      <c r="G9" t="s">
        <v>3172</v>
      </c>
      <c r="H9" t="s">
        <v>3173</v>
      </c>
      <c r="I9" t="s">
        <v>2178</v>
      </c>
      <c r="J9" t="s">
        <v>2192</v>
      </c>
    </row>
    <row r="10" spans="1:10">
      <c r="A10">
        <v>9</v>
      </c>
      <c r="B10">
        <v>-3.3978290019999999</v>
      </c>
      <c r="C10">
        <v>34.837011969999999</v>
      </c>
      <c r="D10">
        <v>1638.05</v>
      </c>
      <c r="E10" t="s">
        <v>3180</v>
      </c>
      <c r="F10">
        <v>862</v>
      </c>
      <c r="G10" t="s">
        <v>3172</v>
      </c>
      <c r="H10" t="s">
        <v>3173</v>
      </c>
      <c r="I10" t="s">
        <v>2194</v>
      </c>
      <c r="J10" t="s">
        <v>2193</v>
      </c>
    </row>
    <row r="11" spans="1:10">
      <c r="A11">
        <v>10</v>
      </c>
      <c r="B11">
        <v>-3.3978119869999999</v>
      </c>
      <c r="C11">
        <v>34.836968980000002</v>
      </c>
      <c r="D11">
        <v>1638.32</v>
      </c>
      <c r="E11" t="s">
        <v>3181</v>
      </c>
      <c r="F11">
        <v>863</v>
      </c>
      <c r="G11" t="s">
        <v>3172</v>
      </c>
      <c r="H11" t="s">
        <v>3173</v>
      </c>
      <c r="I11" t="s">
        <v>2194</v>
      </c>
      <c r="J11" t="s">
        <v>2196</v>
      </c>
    </row>
    <row r="12" spans="1:10">
      <c r="A12">
        <v>11</v>
      </c>
      <c r="B12">
        <v>-3.3977929599999999</v>
      </c>
      <c r="C12">
        <v>34.837102999999999</v>
      </c>
      <c r="D12">
        <v>1638.24</v>
      </c>
      <c r="E12" t="s">
        <v>3182</v>
      </c>
      <c r="F12">
        <v>864</v>
      </c>
      <c r="G12" t="s">
        <v>3172</v>
      </c>
      <c r="H12" t="s">
        <v>3173</v>
      </c>
      <c r="I12" t="s">
        <v>2194</v>
      </c>
      <c r="J12" t="s">
        <v>2197</v>
      </c>
    </row>
    <row r="13" spans="1:10">
      <c r="A13">
        <v>12</v>
      </c>
      <c r="B13">
        <v>-3.3979050260000001</v>
      </c>
      <c r="C13">
        <v>34.837123030000001</v>
      </c>
      <c r="D13">
        <v>1638.19</v>
      </c>
      <c r="E13" t="s">
        <v>3183</v>
      </c>
      <c r="F13">
        <v>865</v>
      </c>
      <c r="G13" t="s">
        <v>3172</v>
      </c>
      <c r="H13" t="s">
        <v>3173</v>
      </c>
      <c r="I13" t="s">
        <v>2194</v>
      </c>
      <c r="J13" t="s">
        <v>2198</v>
      </c>
    </row>
    <row r="14" spans="1:10">
      <c r="A14">
        <v>13</v>
      </c>
      <c r="B14">
        <v>-3.3979040199999999</v>
      </c>
      <c r="C14">
        <v>34.837027980000002</v>
      </c>
      <c r="D14">
        <v>1638.19</v>
      </c>
      <c r="E14" t="s">
        <v>3184</v>
      </c>
      <c r="F14">
        <v>866</v>
      </c>
      <c r="G14" t="s">
        <v>3172</v>
      </c>
      <c r="H14" t="s">
        <v>3173</v>
      </c>
      <c r="I14" t="s">
        <v>2194</v>
      </c>
      <c r="J14" t="s">
        <v>2199</v>
      </c>
    </row>
    <row r="15" spans="1:10">
      <c r="A15">
        <v>14</v>
      </c>
      <c r="B15">
        <v>-3.397854986</v>
      </c>
      <c r="C15">
        <v>34.836874010000002</v>
      </c>
      <c r="D15">
        <v>1638.2</v>
      </c>
      <c r="E15" t="s">
        <v>3185</v>
      </c>
      <c r="F15">
        <v>867</v>
      </c>
      <c r="G15" t="s">
        <v>3172</v>
      </c>
      <c r="H15" t="s">
        <v>3173</v>
      </c>
      <c r="I15" t="s">
        <v>2194</v>
      </c>
      <c r="J15" t="s">
        <v>2201</v>
      </c>
    </row>
    <row r="16" spans="1:10">
      <c r="A16">
        <v>15</v>
      </c>
      <c r="B16">
        <v>-3.3978060349999999</v>
      </c>
      <c r="C16">
        <v>34.837023960000003</v>
      </c>
      <c r="D16">
        <v>1638.44</v>
      </c>
      <c r="E16" t="s">
        <v>3186</v>
      </c>
      <c r="F16">
        <v>868</v>
      </c>
      <c r="G16" t="s">
        <v>3172</v>
      </c>
      <c r="H16" t="s">
        <v>3173</v>
      </c>
      <c r="I16" t="s">
        <v>2194</v>
      </c>
      <c r="J16" t="s">
        <v>2202</v>
      </c>
    </row>
    <row r="17" spans="1:10">
      <c r="A17">
        <v>16</v>
      </c>
      <c r="B17">
        <v>-3.3977669760000002</v>
      </c>
      <c r="C17">
        <v>34.837181039999997</v>
      </c>
      <c r="D17">
        <v>1638.45</v>
      </c>
      <c r="E17" t="s">
        <v>3187</v>
      </c>
      <c r="F17">
        <v>869</v>
      </c>
      <c r="G17" t="s">
        <v>3172</v>
      </c>
      <c r="H17" t="s">
        <v>3173</v>
      </c>
      <c r="I17" t="s">
        <v>2194</v>
      </c>
      <c r="J17" t="s">
        <v>2205</v>
      </c>
    </row>
    <row r="18" spans="1:10">
      <c r="A18">
        <v>17</v>
      </c>
      <c r="B18">
        <v>-3.3854090330000002</v>
      </c>
      <c r="C18">
        <v>34.818901029999999</v>
      </c>
      <c r="D18">
        <v>1589.9</v>
      </c>
      <c r="E18" t="s">
        <v>3188</v>
      </c>
      <c r="F18">
        <v>870</v>
      </c>
      <c r="G18" t="s">
        <v>3172</v>
      </c>
      <c r="H18" t="s">
        <v>3173</v>
      </c>
      <c r="I18" t="s">
        <v>2208</v>
      </c>
      <c r="J18" t="s">
        <v>2207</v>
      </c>
    </row>
    <row r="19" spans="1:10">
      <c r="A19">
        <v>18</v>
      </c>
      <c r="B19">
        <v>-3.385375002</v>
      </c>
      <c r="C19">
        <v>34.818939999999998</v>
      </c>
      <c r="D19">
        <v>1611.98</v>
      </c>
      <c r="E19" t="s">
        <v>3189</v>
      </c>
      <c r="F19">
        <v>871</v>
      </c>
      <c r="G19" t="s">
        <v>3172</v>
      </c>
      <c r="H19" t="s">
        <v>3173</v>
      </c>
      <c r="I19" t="s">
        <v>2208</v>
      </c>
      <c r="J19" t="s">
        <v>2210</v>
      </c>
    </row>
    <row r="20" spans="1:10">
      <c r="A20">
        <v>19</v>
      </c>
      <c r="B20">
        <v>-3.3853589930000001</v>
      </c>
      <c r="C20">
        <v>34.818991969999999</v>
      </c>
      <c r="D20">
        <v>1611.72</v>
      </c>
      <c r="E20" t="s">
        <v>3190</v>
      </c>
      <c r="F20">
        <v>872</v>
      </c>
      <c r="G20" t="s">
        <v>3172</v>
      </c>
      <c r="H20" t="s">
        <v>3173</v>
      </c>
      <c r="I20" t="s">
        <v>2208</v>
      </c>
      <c r="J20" t="s">
        <v>2211</v>
      </c>
    </row>
    <row r="21" spans="1:10">
      <c r="A21">
        <v>20</v>
      </c>
      <c r="B21">
        <v>-3.3853969629999998</v>
      </c>
      <c r="C21">
        <v>34.818977969999999</v>
      </c>
      <c r="D21">
        <v>1610.33</v>
      </c>
      <c r="E21" t="s">
        <v>3191</v>
      </c>
      <c r="F21">
        <v>873</v>
      </c>
      <c r="G21" t="s">
        <v>3172</v>
      </c>
      <c r="H21" t="s">
        <v>3173</v>
      </c>
      <c r="I21" t="s">
        <v>2208</v>
      </c>
      <c r="J21" t="s">
        <v>2212</v>
      </c>
    </row>
    <row r="22" spans="1:10">
      <c r="A22">
        <v>21</v>
      </c>
      <c r="B22">
        <v>-3.3854019919999998</v>
      </c>
      <c r="C22">
        <v>34.81894604</v>
      </c>
      <c r="D22">
        <v>1610.22</v>
      </c>
      <c r="E22" t="s">
        <v>3192</v>
      </c>
      <c r="F22">
        <v>874</v>
      </c>
      <c r="G22" t="s">
        <v>3172</v>
      </c>
      <c r="H22" t="s">
        <v>3173</v>
      </c>
      <c r="I22" t="s">
        <v>2208</v>
      </c>
      <c r="J22" t="s">
        <v>2213</v>
      </c>
    </row>
    <row r="23" spans="1:10">
      <c r="A23">
        <v>22</v>
      </c>
      <c r="B23">
        <v>-3.3854470029999999</v>
      </c>
      <c r="C23">
        <v>34.818946959999998</v>
      </c>
      <c r="D23">
        <v>1609.96</v>
      </c>
      <c r="E23" t="s">
        <v>3193</v>
      </c>
      <c r="F23">
        <v>876</v>
      </c>
      <c r="G23" t="s">
        <v>3172</v>
      </c>
      <c r="H23" t="s">
        <v>3173</v>
      </c>
      <c r="I23" t="s">
        <v>2208</v>
      </c>
      <c r="J23" t="s">
        <v>2214</v>
      </c>
    </row>
    <row r="24" spans="1:10">
      <c r="A24">
        <v>23</v>
      </c>
      <c r="B24">
        <v>-3.3854200130000001</v>
      </c>
      <c r="C24">
        <v>34.818856019999998</v>
      </c>
      <c r="D24">
        <v>1609.88</v>
      </c>
      <c r="E24" t="s">
        <v>3194</v>
      </c>
      <c r="F24">
        <v>875</v>
      </c>
      <c r="G24" t="s">
        <v>3172</v>
      </c>
      <c r="H24" t="s">
        <v>3173</v>
      </c>
      <c r="I24" t="s">
        <v>2208</v>
      </c>
      <c r="J24" t="s">
        <v>2215</v>
      </c>
    </row>
    <row r="25" spans="1:10">
      <c r="A25">
        <v>24</v>
      </c>
      <c r="B25">
        <v>-3.3853829649999998</v>
      </c>
      <c r="C25">
        <v>34.818877980000003</v>
      </c>
      <c r="D25">
        <v>1609.79</v>
      </c>
      <c r="E25" t="s">
        <v>3195</v>
      </c>
      <c r="F25">
        <v>877</v>
      </c>
      <c r="G25" t="s">
        <v>3172</v>
      </c>
      <c r="H25" t="s">
        <v>3173</v>
      </c>
      <c r="I25" t="s">
        <v>2208</v>
      </c>
      <c r="J25" t="s">
        <v>2216</v>
      </c>
    </row>
    <row r="26" spans="1:10">
      <c r="A26">
        <v>25</v>
      </c>
      <c r="B26">
        <v>-3.3849129919999998</v>
      </c>
      <c r="C26">
        <v>34.818899020000003</v>
      </c>
      <c r="D26">
        <v>1611.41</v>
      </c>
      <c r="E26" t="s">
        <v>3196</v>
      </c>
      <c r="F26">
        <v>878</v>
      </c>
      <c r="G26" t="s">
        <v>3172</v>
      </c>
      <c r="H26" t="s">
        <v>3173</v>
      </c>
      <c r="I26" t="s">
        <v>2218</v>
      </c>
      <c r="J26" t="s">
        <v>2217</v>
      </c>
    </row>
    <row r="27" spans="1:10">
      <c r="A27">
        <v>26</v>
      </c>
      <c r="B27">
        <v>-3.3849689999999999</v>
      </c>
      <c r="C27">
        <v>34.818908</v>
      </c>
      <c r="D27">
        <v>1612.4</v>
      </c>
      <c r="E27" t="s">
        <v>3171</v>
      </c>
      <c r="F27">
        <v>1245</v>
      </c>
      <c r="G27" t="s">
        <v>3172</v>
      </c>
      <c r="H27" t="s">
        <v>3173</v>
      </c>
      <c r="I27" t="s">
        <v>2218</v>
      </c>
      <c r="J27" t="s">
        <v>2219</v>
      </c>
    </row>
    <row r="28" spans="1:10">
      <c r="A28">
        <v>27</v>
      </c>
      <c r="B28">
        <v>-3.3849350359999999</v>
      </c>
      <c r="C28">
        <v>34.818943019999999</v>
      </c>
      <c r="D28">
        <v>1612.2</v>
      </c>
      <c r="E28" t="s">
        <v>3197</v>
      </c>
      <c r="F28">
        <v>879</v>
      </c>
      <c r="G28" t="s">
        <v>3172</v>
      </c>
      <c r="H28" t="s">
        <v>3173</v>
      </c>
      <c r="I28" t="s">
        <v>2218</v>
      </c>
      <c r="J28" t="s">
        <v>2220</v>
      </c>
    </row>
    <row r="29" spans="1:10">
      <c r="A29">
        <v>28</v>
      </c>
      <c r="B29">
        <v>-3.3850070369999998</v>
      </c>
      <c r="C29">
        <v>34.818888960000002</v>
      </c>
      <c r="D29">
        <v>1611.07</v>
      </c>
      <c r="E29" t="s">
        <v>3198</v>
      </c>
      <c r="F29">
        <v>881</v>
      </c>
      <c r="G29" t="s">
        <v>3172</v>
      </c>
      <c r="H29" t="s">
        <v>3173</v>
      </c>
      <c r="I29" t="s">
        <v>2218</v>
      </c>
      <c r="J29" t="s">
        <v>2221</v>
      </c>
    </row>
    <row r="30" spans="1:10">
      <c r="A30">
        <v>29</v>
      </c>
      <c r="B30">
        <v>-3.3849480280000002</v>
      </c>
      <c r="C30">
        <v>34.818854010000003</v>
      </c>
      <c r="D30">
        <v>1612.5</v>
      </c>
      <c r="E30" t="s">
        <v>3199</v>
      </c>
      <c r="F30">
        <v>882</v>
      </c>
      <c r="G30" t="s">
        <v>3172</v>
      </c>
      <c r="H30" t="s">
        <v>3173</v>
      </c>
      <c r="I30" t="s">
        <v>2218</v>
      </c>
      <c r="J30" t="s">
        <v>2222</v>
      </c>
    </row>
    <row r="31" spans="1:10">
      <c r="A31">
        <v>30</v>
      </c>
      <c r="B31">
        <v>-3.38496496</v>
      </c>
      <c r="C31">
        <v>34.818790970000002</v>
      </c>
      <c r="D31">
        <v>1611.46</v>
      </c>
      <c r="E31" t="s">
        <v>3200</v>
      </c>
      <c r="F31">
        <v>883</v>
      </c>
      <c r="G31" t="s">
        <v>3172</v>
      </c>
      <c r="H31" t="s">
        <v>3173</v>
      </c>
      <c r="I31" t="s">
        <v>2218</v>
      </c>
      <c r="J31" t="s">
        <v>2223</v>
      </c>
    </row>
    <row r="32" spans="1:10">
      <c r="A32">
        <v>31</v>
      </c>
      <c r="B32">
        <v>-3.3848409909999999</v>
      </c>
      <c r="C32">
        <v>34.818838999999997</v>
      </c>
      <c r="D32">
        <v>1611.01</v>
      </c>
      <c r="E32" t="s">
        <v>3201</v>
      </c>
      <c r="F32">
        <v>884</v>
      </c>
      <c r="G32" t="s">
        <v>3172</v>
      </c>
      <c r="H32" t="s">
        <v>3173</v>
      </c>
      <c r="I32" t="s">
        <v>2218</v>
      </c>
      <c r="J32" t="s">
        <v>2224</v>
      </c>
    </row>
    <row r="33" spans="1:10">
      <c r="A33">
        <v>32</v>
      </c>
      <c r="B33">
        <v>-3.3849010060000002</v>
      </c>
      <c r="C33">
        <v>34.818979990000003</v>
      </c>
      <c r="D33">
        <v>1611.09</v>
      </c>
      <c r="E33" t="s">
        <v>3202</v>
      </c>
      <c r="F33">
        <v>885</v>
      </c>
      <c r="G33" t="s">
        <v>3172</v>
      </c>
      <c r="H33" t="s">
        <v>3173</v>
      </c>
      <c r="I33" t="s">
        <v>2218</v>
      </c>
      <c r="J33" t="s">
        <v>2225</v>
      </c>
    </row>
    <row r="34" spans="1:10">
      <c r="A34">
        <v>33</v>
      </c>
      <c r="B34">
        <v>-3.4092039989999998</v>
      </c>
      <c r="C34">
        <v>34.852751009999999</v>
      </c>
      <c r="D34">
        <v>1661.99</v>
      </c>
      <c r="E34" t="s">
        <v>3203</v>
      </c>
      <c r="F34">
        <v>813</v>
      </c>
      <c r="G34" t="s">
        <v>3172</v>
      </c>
      <c r="H34" t="s">
        <v>3204</v>
      </c>
      <c r="I34" t="s">
        <v>2227</v>
      </c>
      <c r="J34" t="s">
        <v>2226</v>
      </c>
    </row>
    <row r="35" spans="1:10">
      <c r="A35">
        <v>34</v>
      </c>
      <c r="B35">
        <v>-3.4092350119999999</v>
      </c>
      <c r="C35">
        <v>34.852782019999999</v>
      </c>
      <c r="D35">
        <v>1662.86</v>
      </c>
      <c r="E35" t="s">
        <v>3205</v>
      </c>
      <c r="F35">
        <v>822</v>
      </c>
      <c r="G35" t="s">
        <v>3172</v>
      </c>
      <c r="H35" t="s">
        <v>3204</v>
      </c>
      <c r="I35" t="s">
        <v>2227</v>
      </c>
      <c r="J35" t="s">
        <v>2229</v>
      </c>
    </row>
    <row r="36" spans="1:10">
      <c r="A36">
        <v>35</v>
      </c>
      <c r="B36">
        <v>-3.409177009</v>
      </c>
      <c r="C36">
        <v>34.852818990000003</v>
      </c>
      <c r="D36">
        <v>1662.85</v>
      </c>
      <c r="E36" t="s">
        <v>3206</v>
      </c>
      <c r="F36">
        <v>823</v>
      </c>
      <c r="G36" t="s">
        <v>3172</v>
      </c>
      <c r="H36" t="s">
        <v>3204</v>
      </c>
      <c r="I36" t="s">
        <v>2227</v>
      </c>
      <c r="J36" t="s">
        <v>2232</v>
      </c>
    </row>
    <row r="37" spans="1:10">
      <c r="A37">
        <v>36</v>
      </c>
      <c r="B37">
        <v>-3.40917198</v>
      </c>
      <c r="C37">
        <v>34.852960979999999</v>
      </c>
      <c r="D37">
        <v>1663.9</v>
      </c>
      <c r="E37" t="s">
        <v>3207</v>
      </c>
      <c r="F37">
        <v>824</v>
      </c>
      <c r="G37" t="s">
        <v>3172</v>
      </c>
      <c r="H37" t="s">
        <v>3204</v>
      </c>
      <c r="I37" t="s">
        <v>2227</v>
      </c>
      <c r="J37" t="s">
        <v>2233</v>
      </c>
    </row>
    <row r="38" spans="1:10">
      <c r="A38">
        <v>37</v>
      </c>
      <c r="B38">
        <v>-3.4090709779999999</v>
      </c>
      <c r="C38">
        <v>34.852712029999999</v>
      </c>
      <c r="D38">
        <v>1665.85</v>
      </c>
      <c r="E38" t="s">
        <v>3208</v>
      </c>
      <c r="F38">
        <v>825</v>
      </c>
      <c r="G38" t="s">
        <v>3172</v>
      </c>
      <c r="H38" t="s">
        <v>3204</v>
      </c>
      <c r="I38" t="s">
        <v>2227</v>
      </c>
      <c r="J38" t="s">
        <v>2235</v>
      </c>
    </row>
    <row r="39" spans="1:10">
      <c r="A39">
        <v>38</v>
      </c>
      <c r="B39">
        <v>-3.409280023</v>
      </c>
      <c r="C39">
        <v>34.852612960000002</v>
      </c>
      <c r="D39">
        <v>1664.07</v>
      </c>
      <c r="E39" t="s">
        <v>3209</v>
      </c>
      <c r="F39">
        <v>826</v>
      </c>
      <c r="G39" t="s">
        <v>3172</v>
      </c>
      <c r="H39" t="s">
        <v>3204</v>
      </c>
      <c r="I39" t="s">
        <v>2227</v>
      </c>
      <c r="J39" t="s">
        <v>2237</v>
      </c>
    </row>
    <row r="40" spans="1:10">
      <c r="A40">
        <v>39</v>
      </c>
      <c r="B40">
        <v>-3.4093859700000002</v>
      </c>
      <c r="C40">
        <v>34.852855030000001</v>
      </c>
      <c r="D40">
        <v>1665.7</v>
      </c>
      <c r="E40" t="s">
        <v>3210</v>
      </c>
      <c r="F40">
        <v>827</v>
      </c>
      <c r="G40" t="s">
        <v>3172</v>
      </c>
      <c r="H40" t="s">
        <v>3204</v>
      </c>
      <c r="I40" t="s">
        <v>2227</v>
      </c>
      <c r="J40" t="s">
        <v>2239</v>
      </c>
    </row>
    <row r="41" spans="1:10">
      <c r="A41">
        <v>40</v>
      </c>
      <c r="B41">
        <v>-3.4091539590000002</v>
      </c>
      <c r="C41">
        <v>34.852755029999997</v>
      </c>
      <c r="D41">
        <v>1665.99</v>
      </c>
      <c r="E41" t="s">
        <v>3211</v>
      </c>
      <c r="F41">
        <v>828</v>
      </c>
      <c r="G41" t="s">
        <v>3172</v>
      </c>
      <c r="H41" t="s">
        <v>3204</v>
      </c>
      <c r="I41" t="s">
        <v>2227</v>
      </c>
      <c r="J41" t="s">
        <v>2241</v>
      </c>
    </row>
    <row r="42" spans="1:10">
      <c r="A42">
        <v>41</v>
      </c>
      <c r="B42">
        <v>-3.4083420040000001</v>
      </c>
      <c r="C42">
        <v>34.850283040000001</v>
      </c>
      <c r="D42">
        <v>1626.73</v>
      </c>
      <c r="E42" t="s">
        <v>3212</v>
      </c>
      <c r="F42">
        <v>830</v>
      </c>
      <c r="G42" t="s">
        <v>3172</v>
      </c>
      <c r="H42" t="s">
        <v>3204</v>
      </c>
      <c r="I42" t="s">
        <v>2244</v>
      </c>
      <c r="J42" t="s">
        <v>2243</v>
      </c>
    </row>
    <row r="43" spans="1:10">
      <c r="A43">
        <v>42</v>
      </c>
      <c r="B43">
        <v>-3.4084079690000002</v>
      </c>
      <c r="C43">
        <v>34.850295029999998</v>
      </c>
      <c r="D43">
        <v>1661.14</v>
      </c>
      <c r="E43" t="s">
        <v>3213</v>
      </c>
      <c r="F43">
        <v>831</v>
      </c>
      <c r="G43" t="s">
        <v>3172</v>
      </c>
      <c r="H43" t="s">
        <v>3204</v>
      </c>
      <c r="I43" t="s">
        <v>2244</v>
      </c>
      <c r="J43" t="s">
        <v>2245</v>
      </c>
    </row>
    <row r="44" spans="1:10">
      <c r="A44">
        <v>43</v>
      </c>
      <c r="B44">
        <v>-3.4082369789999998</v>
      </c>
      <c r="C44">
        <v>34.850189999999998</v>
      </c>
      <c r="D44">
        <v>1659.49</v>
      </c>
      <c r="E44" t="s">
        <v>3214</v>
      </c>
      <c r="F44">
        <v>832</v>
      </c>
      <c r="G44" t="s">
        <v>3172</v>
      </c>
      <c r="H44" t="s">
        <v>3204</v>
      </c>
      <c r="I44" t="s">
        <v>2244</v>
      </c>
      <c r="J44" t="s">
        <v>2247</v>
      </c>
    </row>
    <row r="45" spans="1:10">
      <c r="A45">
        <v>44</v>
      </c>
      <c r="B45">
        <v>-3.4081529920000002</v>
      </c>
      <c r="C45">
        <v>34.850168959999998</v>
      </c>
      <c r="D45">
        <v>1667.31</v>
      </c>
      <c r="E45" t="s">
        <v>3215</v>
      </c>
      <c r="F45">
        <v>1142</v>
      </c>
      <c r="G45" t="s">
        <v>3172</v>
      </c>
      <c r="H45" t="s">
        <v>3204</v>
      </c>
      <c r="I45" t="s">
        <v>2244</v>
      </c>
      <c r="J45" t="s">
        <v>2248</v>
      </c>
    </row>
    <row r="46" spans="1:10">
      <c r="A46">
        <v>45</v>
      </c>
      <c r="B46">
        <v>-3.4081789759999999</v>
      </c>
      <c r="C46">
        <v>34.850516980000002</v>
      </c>
      <c r="D46">
        <v>1669.01</v>
      </c>
      <c r="E46" t="s">
        <v>3216</v>
      </c>
      <c r="F46">
        <v>1147</v>
      </c>
      <c r="G46" t="s">
        <v>3172</v>
      </c>
      <c r="H46" t="s">
        <v>3204</v>
      </c>
      <c r="I46" t="s">
        <v>2244</v>
      </c>
      <c r="J46" t="s">
        <v>2249</v>
      </c>
    </row>
    <row r="47" spans="1:10">
      <c r="A47">
        <v>46</v>
      </c>
      <c r="B47">
        <v>-3.4084730130000001</v>
      </c>
      <c r="C47">
        <v>34.850401980000001</v>
      </c>
      <c r="D47">
        <v>1654.19</v>
      </c>
      <c r="E47" t="s">
        <v>3217</v>
      </c>
      <c r="F47">
        <v>835</v>
      </c>
      <c r="G47" t="s">
        <v>3172</v>
      </c>
      <c r="H47" t="s">
        <v>3204</v>
      </c>
      <c r="I47" t="s">
        <v>2244</v>
      </c>
      <c r="J47" t="s">
        <v>2251</v>
      </c>
    </row>
    <row r="48" spans="1:10">
      <c r="A48">
        <v>47</v>
      </c>
      <c r="B48">
        <v>-3.4084819820000001</v>
      </c>
      <c r="C48">
        <v>34.850024040000001</v>
      </c>
      <c r="D48">
        <v>1654.51</v>
      </c>
      <c r="E48" t="s">
        <v>3218</v>
      </c>
      <c r="F48">
        <v>836</v>
      </c>
      <c r="G48" t="s">
        <v>3172</v>
      </c>
      <c r="H48" t="s">
        <v>3204</v>
      </c>
      <c r="I48" t="s">
        <v>2244</v>
      </c>
      <c r="J48" t="s">
        <v>2252</v>
      </c>
    </row>
    <row r="49" spans="1:10">
      <c r="A49">
        <v>48</v>
      </c>
      <c r="B49">
        <v>-3.4081990090000001</v>
      </c>
      <c r="C49">
        <v>34.850254960000001</v>
      </c>
      <c r="D49">
        <v>1655.71</v>
      </c>
      <c r="E49" t="s">
        <v>3219</v>
      </c>
      <c r="F49">
        <v>837</v>
      </c>
      <c r="G49" t="s">
        <v>3172</v>
      </c>
      <c r="H49" t="s">
        <v>3204</v>
      </c>
      <c r="I49" t="s">
        <v>2244</v>
      </c>
      <c r="J49" t="s">
        <v>2254</v>
      </c>
    </row>
    <row r="50" spans="1:10">
      <c r="A50">
        <v>49</v>
      </c>
      <c r="B50">
        <v>-3.406225992</v>
      </c>
      <c r="C50">
        <v>34.85055998</v>
      </c>
      <c r="D50">
        <v>1649.84</v>
      </c>
      <c r="E50" t="s">
        <v>3220</v>
      </c>
      <c r="F50">
        <v>838</v>
      </c>
      <c r="G50" t="s">
        <v>3172</v>
      </c>
      <c r="H50" t="s">
        <v>3204</v>
      </c>
      <c r="I50" t="s">
        <v>2256</v>
      </c>
      <c r="J50" t="s">
        <v>2255</v>
      </c>
    </row>
    <row r="51" spans="1:10">
      <c r="A51">
        <v>50</v>
      </c>
      <c r="B51">
        <v>-3.4062630399999998</v>
      </c>
      <c r="C51">
        <v>34.850566010000001</v>
      </c>
      <c r="D51">
        <v>1650.69</v>
      </c>
      <c r="E51" t="s">
        <v>3221</v>
      </c>
      <c r="F51">
        <v>839</v>
      </c>
      <c r="G51" t="s">
        <v>3172</v>
      </c>
      <c r="H51" t="s">
        <v>3204</v>
      </c>
      <c r="I51" t="s">
        <v>2256</v>
      </c>
      <c r="J51" t="s">
        <v>2257</v>
      </c>
    </row>
    <row r="52" spans="1:10">
      <c r="A52">
        <v>51</v>
      </c>
      <c r="B52">
        <v>-3.4063920379999999</v>
      </c>
      <c r="C52">
        <v>34.850696020000001</v>
      </c>
      <c r="D52">
        <v>1652.46</v>
      </c>
      <c r="E52" t="s">
        <v>3222</v>
      </c>
      <c r="F52">
        <v>840</v>
      </c>
      <c r="G52" t="s">
        <v>3172</v>
      </c>
      <c r="H52" t="s">
        <v>3204</v>
      </c>
      <c r="I52" t="s">
        <v>2256</v>
      </c>
      <c r="J52" t="s">
        <v>2258</v>
      </c>
    </row>
    <row r="53" spans="1:10">
      <c r="A53">
        <v>52</v>
      </c>
      <c r="B53">
        <v>-3.4061569999999999</v>
      </c>
      <c r="C53">
        <v>34.850738999999997</v>
      </c>
      <c r="D53">
        <v>1657.3</v>
      </c>
      <c r="E53" t="s">
        <v>3171</v>
      </c>
      <c r="F53">
        <v>1253</v>
      </c>
      <c r="G53" t="s">
        <v>3172</v>
      </c>
      <c r="H53" t="s">
        <v>3204</v>
      </c>
      <c r="I53" t="s">
        <v>2256</v>
      </c>
      <c r="J53" t="s">
        <v>2259</v>
      </c>
    </row>
    <row r="54" spans="1:10">
      <c r="A54">
        <v>53</v>
      </c>
      <c r="B54">
        <v>-3.4061140000000001</v>
      </c>
      <c r="C54">
        <v>34.850596000000003</v>
      </c>
      <c r="D54">
        <v>1658.1</v>
      </c>
      <c r="E54" t="s">
        <v>3171</v>
      </c>
      <c r="F54">
        <v>1252</v>
      </c>
      <c r="G54" t="s">
        <v>3172</v>
      </c>
      <c r="H54" t="s">
        <v>3204</v>
      </c>
      <c r="I54" t="s">
        <v>2256</v>
      </c>
      <c r="J54" t="s">
        <v>2260</v>
      </c>
    </row>
    <row r="55" spans="1:10">
      <c r="A55">
        <v>54</v>
      </c>
      <c r="B55">
        <v>-3.406058019</v>
      </c>
      <c r="C55">
        <v>34.850466019999999</v>
      </c>
      <c r="D55">
        <v>1649.22</v>
      </c>
      <c r="E55" t="s">
        <v>3223</v>
      </c>
      <c r="F55">
        <v>843</v>
      </c>
      <c r="G55" t="s">
        <v>3172</v>
      </c>
      <c r="H55" t="s">
        <v>3204</v>
      </c>
      <c r="I55" t="s">
        <v>2256</v>
      </c>
      <c r="J55" t="s">
        <v>2261</v>
      </c>
    </row>
    <row r="56" spans="1:10">
      <c r="A56">
        <v>55</v>
      </c>
      <c r="B56">
        <v>-3.4061389879999999</v>
      </c>
      <c r="C56">
        <v>34.850574979999998</v>
      </c>
      <c r="D56">
        <v>1650.63</v>
      </c>
      <c r="E56" t="s">
        <v>3224</v>
      </c>
      <c r="F56">
        <v>844</v>
      </c>
      <c r="G56" t="s">
        <v>3172</v>
      </c>
      <c r="H56" t="s">
        <v>3204</v>
      </c>
      <c r="I56" t="s">
        <v>2256</v>
      </c>
      <c r="J56" t="s">
        <v>2262</v>
      </c>
    </row>
    <row r="57" spans="1:10">
      <c r="A57">
        <v>56</v>
      </c>
      <c r="B57">
        <v>-3.4062900300000001</v>
      </c>
      <c r="C57">
        <v>34.850441959999998</v>
      </c>
      <c r="D57">
        <v>1651.54</v>
      </c>
      <c r="E57" t="s">
        <v>3225</v>
      </c>
      <c r="F57">
        <v>845</v>
      </c>
      <c r="G57" t="s">
        <v>3172</v>
      </c>
      <c r="H57" t="s">
        <v>3204</v>
      </c>
      <c r="I57" t="s">
        <v>2256</v>
      </c>
      <c r="J57" t="s">
        <v>2263</v>
      </c>
    </row>
    <row r="58" spans="1:10">
      <c r="A58">
        <v>57</v>
      </c>
      <c r="B58">
        <v>-3.4064239729999999</v>
      </c>
      <c r="C58">
        <v>34.851213010000002</v>
      </c>
      <c r="D58">
        <v>1655.81</v>
      </c>
      <c r="E58" t="s">
        <v>3226</v>
      </c>
      <c r="F58">
        <v>1150</v>
      </c>
      <c r="G58" t="s">
        <v>3172</v>
      </c>
      <c r="H58" t="s">
        <v>3204</v>
      </c>
      <c r="I58" t="s">
        <v>2265</v>
      </c>
      <c r="J58" t="s">
        <v>2264</v>
      </c>
    </row>
    <row r="59" spans="1:10">
      <c r="A59">
        <v>58</v>
      </c>
      <c r="B59">
        <v>-3.4065020079999999</v>
      </c>
      <c r="C59">
        <v>34.851056020000001</v>
      </c>
      <c r="D59">
        <v>1659.01</v>
      </c>
      <c r="E59" t="s">
        <v>3227</v>
      </c>
      <c r="F59">
        <v>1148</v>
      </c>
      <c r="G59" t="s">
        <v>3172</v>
      </c>
      <c r="H59" t="s">
        <v>3204</v>
      </c>
      <c r="I59" t="s">
        <v>2265</v>
      </c>
      <c r="J59" t="s">
        <v>2267</v>
      </c>
    </row>
    <row r="60" spans="1:10">
      <c r="A60">
        <v>59</v>
      </c>
      <c r="B60">
        <v>-3.4062359670000002</v>
      </c>
      <c r="C60">
        <v>34.851107990000003</v>
      </c>
      <c r="D60">
        <v>1653.58</v>
      </c>
      <c r="E60" t="s">
        <v>3228</v>
      </c>
      <c r="F60">
        <v>848</v>
      </c>
      <c r="G60" t="s">
        <v>3172</v>
      </c>
      <c r="H60" t="s">
        <v>3204</v>
      </c>
      <c r="I60" t="s">
        <v>2265</v>
      </c>
      <c r="J60" t="s">
        <v>2268</v>
      </c>
    </row>
    <row r="61" spans="1:10">
      <c r="A61">
        <v>60</v>
      </c>
      <c r="B61">
        <v>-3.406281983</v>
      </c>
      <c r="C61">
        <v>34.85137898</v>
      </c>
      <c r="D61">
        <v>1656.04</v>
      </c>
      <c r="E61" t="s">
        <v>3229</v>
      </c>
      <c r="F61">
        <v>849</v>
      </c>
      <c r="G61" t="s">
        <v>3172</v>
      </c>
      <c r="H61" t="s">
        <v>3204</v>
      </c>
      <c r="I61" t="s">
        <v>2265</v>
      </c>
      <c r="J61" t="s">
        <v>2269</v>
      </c>
    </row>
    <row r="62" spans="1:10">
      <c r="A62">
        <v>61</v>
      </c>
      <c r="B62">
        <v>-3.406569986</v>
      </c>
      <c r="C62">
        <v>34.851323989999997</v>
      </c>
      <c r="D62">
        <v>1658.2</v>
      </c>
      <c r="E62" t="s">
        <v>3230</v>
      </c>
      <c r="F62">
        <v>1149</v>
      </c>
      <c r="G62" t="s">
        <v>3172</v>
      </c>
      <c r="H62" t="s">
        <v>3204</v>
      </c>
      <c r="I62" t="s">
        <v>2265</v>
      </c>
      <c r="J62" t="s">
        <v>2271</v>
      </c>
    </row>
    <row r="63" spans="1:10">
      <c r="A63">
        <v>62</v>
      </c>
      <c r="B63">
        <v>-3.4065180179999999</v>
      </c>
      <c r="C63">
        <v>34.85121402</v>
      </c>
      <c r="D63">
        <v>1657.06</v>
      </c>
      <c r="E63" t="s">
        <v>3231</v>
      </c>
      <c r="F63">
        <v>1151</v>
      </c>
      <c r="G63" t="s">
        <v>3172</v>
      </c>
      <c r="H63" t="s">
        <v>3204</v>
      </c>
      <c r="I63" t="s">
        <v>2265</v>
      </c>
      <c r="J63" t="s">
        <v>2272</v>
      </c>
    </row>
    <row r="64" spans="1:10">
      <c r="A64">
        <v>63</v>
      </c>
      <c r="B64">
        <v>-3.406334035</v>
      </c>
      <c r="C64">
        <v>34.851172030000001</v>
      </c>
      <c r="D64">
        <v>1655.65</v>
      </c>
      <c r="E64" t="s">
        <v>3232</v>
      </c>
      <c r="F64">
        <v>852</v>
      </c>
      <c r="G64" t="s">
        <v>3172</v>
      </c>
      <c r="H64" t="s">
        <v>3204</v>
      </c>
      <c r="I64" t="s">
        <v>2265</v>
      </c>
      <c r="J64" t="s">
        <v>2274</v>
      </c>
    </row>
    <row r="65" spans="1:10">
      <c r="A65">
        <v>64</v>
      </c>
      <c r="B65">
        <v>-3.4063409920000001</v>
      </c>
      <c r="C65">
        <v>34.85126004</v>
      </c>
      <c r="D65">
        <v>1655.4</v>
      </c>
      <c r="E65" t="s">
        <v>3233</v>
      </c>
      <c r="F65">
        <v>853</v>
      </c>
      <c r="G65" t="s">
        <v>3172</v>
      </c>
      <c r="H65" t="s">
        <v>3204</v>
      </c>
      <c r="I65" t="s">
        <v>2265</v>
      </c>
      <c r="J65" t="s">
        <v>2275</v>
      </c>
    </row>
    <row r="66" spans="1:10">
      <c r="A66">
        <v>65</v>
      </c>
      <c r="B66">
        <v>-3.2993960379999998</v>
      </c>
      <c r="C66">
        <v>34.848240959999998</v>
      </c>
      <c r="D66">
        <v>1653.93</v>
      </c>
      <c r="E66" t="s">
        <v>3234</v>
      </c>
      <c r="F66">
        <v>906</v>
      </c>
      <c r="G66" t="s">
        <v>3235</v>
      </c>
      <c r="H66" t="s">
        <v>3236</v>
      </c>
      <c r="I66" t="s">
        <v>2278</v>
      </c>
      <c r="J66" t="s">
        <v>2277</v>
      </c>
    </row>
    <row r="67" spans="1:10">
      <c r="A67">
        <v>66</v>
      </c>
      <c r="B67">
        <v>-3.2993090340000002</v>
      </c>
      <c r="C67">
        <v>34.848404989999999</v>
      </c>
      <c r="D67">
        <v>1670.19</v>
      </c>
      <c r="E67" t="s">
        <v>3237</v>
      </c>
      <c r="F67">
        <v>1096</v>
      </c>
      <c r="G67" t="s">
        <v>3235</v>
      </c>
      <c r="H67" t="s">
        <v>3236</v>
      </c>
      <c r="I67" t="s">
        <v>2278</v>
      </c>
      <c r="J67" t="s">
        <v>2279</v>
      </c>
    </row>
    <row r="68" spans="1:10">
      <c r="A68">
        <v>67</v>
      </c>
      <c r="B68">
        <v>-3.299434008</v>
      </c>
      <c r="C68">
        <v>34.848514960000003</v>
      </c>
      <c r="D68">
        <v>1655.33</v>
      </c>
      <c r="E68" t="s">
        <v>3238</v>
      </c>
      <c r="F68">
        <v>908</v>
      </c>
      <c r="G68" t="s">
        <v>3235</v>
      </c>
      <c r="H68" t="s">
        <v>3236</v>
      </c>
      <c r="I68" t="s">
        <v>2278</v>
      </c>
      <c r="J68" t="s">
        <v>2280</v>
      </c>
    </row>
    <row r="69" spans="1:10">
      <c r="A69">
        <v>68</v>
      </c>
      <c r="B69">
        <v>-3.2991180099999999</v>
      </c>
      <c r="C69">
        <v>34.84824699</v>
      </c>
      <c r="D69">
        <v>1669.78</v>
      </c>
      <c r="E69" t="s">
        <v>3239</v>
      </c>
      <c r="F69">
        <v>1102</v>
      </c>
      <c r="G69" t="s">
        <v>3235</v>
      </c>
      <c r="H69" t="s">
        <v>3236</v>
      </c>
      <c r="I69" t="s">
        <v>2278</v>
      </c>
      <c r="J69" t="s">
        <v>2281</v>
      </c>
    </row>
    <row r="70" spans="1:10">
      <c r="A70">
        <v>69</v>
      </c>
      <c r="B70">
        <v>-3.2993180030000002</v>
      </c>
      <c r="C70">
        <v>34.848235010000003</v>
      </c>
      <c r="D70">
        <v>1659.08</v>
      </c>
      <c r="E70" t="s">
        <v>3240</v>
      </c>
      <c r="F70">
        <v>910</v>
      </c>
      <c r="G70" t="s">
        <v>3235</v>
      </c>
      <c r="H70" t="s">
        <v>3236</v>
      </c>
      <c r="I70" t="s">
        <v>2278</v>
      </c>
      <c r="J70" t="s">
        <v>2282</v>
      </c>
    </row>
    <row r="71" spans="1:10">
      <c r="A71">
        <v>70</v>
      </c>
      <c r="B71">
        <v>-3.299381034</v>
      </c>
      <c r="C71">
        <v>34.848312040000003</v>
      </c>
      <c r="D71">
        <v>1660.64</v>
      </c>
      <c r="E71" t="s">
        <v>3241</v>
      </c>
      <c r="F71">
        <v>911</v>
      </c>
      <c r="G71" t="s">
        <v>3235</v>
      </c>
      <c r="H71" t="s">
        <v>3236</v>
      </c>
      <c r="I71" t="s">
        <v>2278</v>
      </c>
      <c r="J71" t="s">
        <v>2283</v>
      </c>
    </row>
    <row r="72" spans="1:10">
      <c r="A72">
        <v>71</v>
      </c>
      <c r="B72">
        <v>-3.2992429849999998</v>
      </c>
      <c r="C72">
        <v>34.847900989999999</v>
      </c>
      <c r="D72">
        <v>1662.28</v>
      </c>
      <c r="E72" t="s">
        <v>3242</v>
      </c>
      <c r="F72">
        <v>912</v>
      </c>
      <c r="G72" t="s">
        <v>3235</v>
      </c>
      <c r="H72" t="s">
        <v>3236</v>
      </c>
      <c r="I72" t="s">
        <v>2278</v>
      </c>
      <c r="J72" t="s">
        <v>2284</v>
      </c>
    </row>
    <row r="73" spans="1:10">
      <c r="A73">
        <v>72</v>
      </c>
      <c r="B73">
        <v>-3.2996540329999999</v>
      </c>
      <c r="C73">
        <v>34.848151020000003</v>
      </c>
      <c r="D73">
        <v>1663.24</v>
      </c>
      <c r="E73" t="s">
        <v>3243</v>
      </c>
      <c r="F73">
        <v>913</v>
      </c>
      <c r="G73" t="s">
        <v>3235</v>
      </c>
      <c r="H73" t="s">
        <v>3236</v>
      </c>
      <c r="I73" t="s">
        <v>2278</v>
      </c>
      <c r="J73" t="s">
        <v>2285</v>
      </c>
    </row>
    <row r="74" spans="1:10">
      <c r="A74">
        <v>73</v>
      </c>
      <c r="B74">
        <v>-3.3025860229999999</v>
      </c>
      <c r="C74">
        <v>34.848048009999999</v>
      </c>
      <c r="D74">
        <v>1674.07</v>
      </c>
      <c r="E74" t="s">
        <v>3244</v>
      </c>
      <c r="F74">
        <v>1132</v>
      </c>
      <c r="G74" t="s">
        <v>3235</v>
      </c>
      <c r="H74" t="s">
        <v>3236</v>
      </c>
      <c r="I74" t="s">
        <v>2287</v>
      </c>
      <c r="J74" t="s">
        <v>2286</v>
      </c>
    </row>
    <row r="75" spans="1:10">
      <c r="A75">
        <v>74</v>
      </c>
      <c r="B75">
        <v>-3.3025779759999998</v>
      </c>
      <c r="C75">
        <v>34.848041969999997</v>
      </c>
      <c r="D75">
        <v>1674.36</v>
      </c>
      <c r="E75" t="s">
        <v>3245</v>
      </c>
      <c r="F75">
        <v>1129</v>
      </c>
      <c r="G75" t="s">
        <v>3235</v>
      </c>
      <c r="H75" t="s">
        <v>3236</v>
      </c>
      <c r="I75" t="s">
        <v>2287</v>
      </c>
      <c r="J75" t="s">
        <v>2288</v>
      </c>
    </row>
    <row r="76" spans="1:10">
      <c r="A76">
        <v>75</v>
      </c>
      <c r="B76">
        <v>-3.302687025</v>
      </c>
      <c r="C76">
        <v>34.847926970000003</v>
      </c>
      <c r="D76">
        <v>1672.79</v>
      </c>
      <c r="E76" t="s">
        <v>3246</v>
      </c>
      <c r="F76">
        <v>1133</v>
      </c>
      <c r="G76" t="s">
        <v>3235</v>
      </c>
      <c r="H76" t="s">
        <v>3236</v>
      </c>
      <c r="I76" t="s">
        <v>2287</v>
      </c>
      <c r="J76" t="s">
        <v>2289</v>
      </c>
    </row>
    <row r="77" spans="1:10">
      <c r="A77">
        <v>76</v>
      </c>
      <c r="B77">
        <v>-3.3024560190000001</v>
      </c>
      <c r="C77">
        <v>34.847871990000002</v>
      </c>
      <c r="D77">
        <v>1668.49</v>
      </c>
      <c r="E77" t="s">
        <v>3247</v>
      </c>
      <c r="F77">
        <v>917</v>
      </c>
      <c r="G77" t="s">
        <v>3235</v>
      </c>
      <c r="H77" t="s">
        <v>3236</v>
      </c>
      <c r="I77" t="s">
        <v>2287</v>
      </c>
      <c r="J77" t="s">
        <v>2290</v>
      </c>
    </row>
    <row r="78" spans="1:10">
      <c r="A78">
        <v>77</v>
      </c>
      <c r="B78">
        <v>-3.3023280279999998</v>
      </c>
      <c r="C78">
        <v>34.848223019999999</v>
      </c>
      <c r="D78">
        <v>1673.13</v>
      </c>
      <c r="E78" t="s">
        <v>3248</v>
      </c>
      <c r="F78">
        <v>1134</v>
      </c>
      <c r="G78" t="s">
        <v>3235</v>
      </c>
      <c r="H78" t="s">
        <v>3236</v>
      </c>
      <c r="I78" t="s">
        <v>2287</v>
      </c>
      <c r="J78" t="s">
        <v>2291</v>
      </c>
    </row>
    <row r="79" spans="1:10">
      <c r="A79">
        <v>78</v>
      </c>
      <c r="B79">
        <v>-3.3025680020000001</v>
      </c>
      <c r="C79">
        <v>34.848167029999999</v>
      </c>
      <c r="D79">
        <v>1673.4</v>
      </c>
      <c r="E79" t="s">
        <v>3249</v>
      </c>
      <c r="F79">
        <v>1135</v>
      </c>
      <c r="G79" t="s">
        <v>3235</v>
      </c>
      <c r="H79" t="s">
        <v>3236</v>
      </c>
      <c r="I79" t="s">
        <v>2287</v>
      </c>
      <c r="J79" t="s">
        <v>2292</v>
      </c>
    </row>
    <row r="80" spans="1:10">
      <c r="A80">
        <v>79</v>
      </c>
      <c r="B80">
        <v>-3.3026270100000001</v>
      </c>
      <c r="C80">
        <v>34.84840801</v>
      </c>
      <c r="D80">
        <v>1672.01</v>
      </c>
      <c r="E80" t="s">
        <v>3250</v>
      </c>
      <c r="F80">
        <v>920</v>
      </c>
      <c r="G80" t="s">
        <v>3235</v>
      </c>
      <c r="H80" t="s">
        <v>3236</v>
      </c>
      <c r="I80" t="s">
        <v>2287</v>
      </c>
      <c r="J80" t="s">
        <v>2293</v>
      </c>
    </row>
    <row r="81" spans="1:10">
      <c r="A81">
        <v>80</v>
      </c>
      <c r="B81">
        <v>-3.3028539920000002</v>
      </c>
      <c r="C81">
        <v>34.847988999999998</v>
      </c>
      <c r="D81">
        <v>1672.7</v>
      </c>
      <c r="E81" t="s">
        <v>3251</v>
      </c>
      <c r="F81">
        <v>1103</v>
      </c>
      <c r="G81" t="s">
        <v>3235</v>
      </c>
      <c r="H81" t="s">
        <v>3236</v>
      </c>
      <c r="I81" t="s">
        <v>2287</v>
      </c>
      <c r="J81" t="s">
        <v>2294</v>
      </c>
    </row>
    <row r="82" spans="1:10">
      <c r="A82">
        <v>81</v>
      </c>
      <c r="B82">
        <v>-3.2957159630000001</v>
      </c>
      <c r="C82">
        <v>34.852460999999998</v>
      </c>
      <c r="D82">
        <v>1673.49</v>
      </c>
      <c r="E82" t="s">
        <v>3252</v>
      </c>
      <c r="F82">
        <v>892</v>
      </c>
      <c r="G82" t="s">
        <v>3235</v>
      </c>
      <c r="H82" t="s">
        <v>3236</v>
      </c>
      <c r="I82" t="s">
        <v>2296</v>
      </c>
      <c r="J82" t="s">
        <v>2295</v>
      </c>
    </row>
    <row r="83" spans="1:10">
      <c r="A83">
        <v>82</v>
      </c>
      <c r="B83">
        <v>-3.2957230040000001</v>
      </c>
      <c r="C83">
        <v>34.852416990000002</v>
      </c>
      <c r="D83">
        <v>1674.08728</v>
      </c>
      <c r="E83" t="s">
        <v>3253</v>
      </c>
      <c r="F83">
        <v>1128</v>
      </c>
      <c r="G83" t="s">
        <v>3235</v>
      </c>
      <c r="H83" t="s">
        <v>3236</v>
      </c>
      <c r="I83" t="s">
        <v>2296</v>
      </c>
      <c r="J83" t="s">
        <v>2298</v>
      </c>
    </row>
    <row r="84" spans="1:10">
      <c r="A84">
        <v>83</v>
      </c>
      <c r="B84">
        <v>-3.2957430369999998</v>
      </c>
      <c r="C84">
        <v>34.852309030000001</v>
      </c>
      <c r="D84">
        <v>1670.24</v>
      </c>
      <c r="E84" t="s">
        <v>3254</v>
      </c>
      <c r="F84">
        <v>886</v>
      </c>
      <c r="G84" t="s">
        <v>3235</v>
      </c>
      <c r="H84" t="s">
        <v>3236</v>
      </c>
      <c r="I84" t="s">
        <v>2296</v>
      </c>
      <c r="J84" t="s">
        <v>2299</v>
      </c>
    </row>
    <row r="85" spans="1:10">
      <c r="A85">
        <v>84</v>
      </c>
      <c r="B85">
        <v>-3.295795005</v>
      </c>
      <c r="C85">
        <v>34.85232001</v>
      </c>
      <c r="D85">
        <v>1674.73</v>
      </c>
      <c r="E85" t="s">
        <v>3255</v>
      </c>
      <c r="F85">
        <v>887</v>
      </c>
      <c r="G85" t="s">
        <v>3235</v>
      </c>
      <c r="H85" t="s">
        <v>3236</v>
      </c>
      <c r="I85" t="s">
        <v>2296</v>
      </c>
      <c r="J85" t="s">
        <v>2300</v>
      </c>
    </row>
    <row r="86" spans="1:10">
      <c r="A86">
        <v>85</v>
      </c>
      <c r="B86">
        <v>-3.2957100119999998</v>
      </c>
      <c r="C86">
        <v>34.852283970000002</v>
      </c>
      <c r="D86">
        <v>1673.21</v>
      </c>
      <c r="E86" t="s">
        <v>3256</v>
      </c>
      <c r="F86">
        <v>888</v>
      </c>
      <c r="G86" t="s">
        <v>3235</v>
      </c>
      <c r="H86" t="s">
        <v>3236</v>
      </c>
      <c r="I86" t="s">
        <v>2296</v>
      </c>
      <c r="J86" t="s">
        <v>2301</v>
      </c>
    </row>
    <row r="87" spans="1:10">
      <c r="A87">
        <v>86</v>
      </c>
      <c r="B87">
        <v>-3.2956140399999998</v>
      </c>
      <c r="C87">
        <v>34.852137030000002</v>
      </c>
      <c r="D87">
        <v>1674.28</v>
      </c>
      <c r="E87" t="s">
        <v>3257</v>
      </c>
      <c r="F87">
        <v>889</v>
      </c>
      <c r="G87" t="s">
        <v>3235</v>
      </c>
      <c r="H87" t="s">
        <v>3236</v>
      </c>
      <c r="I87" t="s">
        <v>2296</v>
      </c>
      <c r="J87" t="s">
        <v>2302</v>
      </c>
    </row>
    <row r="88" spans="1:10">
      <c r="A88">
        <v>87</v>
      </c>
      <c r="B88">
        <v>-3.295904975</v>
      </c>
      <c r="C88">
        <v>34.852136029999997</v>
      </c>
      <c r="D88">
        <v>1673.57</v>
      </c>
      <c r="E88" t="s">
        <v>3258</v>
      </c>
      <c r="F88">
        <v>890</v>
      </c>
      <c r="G88" t="s">
        <v>3235</v>
      </c>
      <c r="H88" t="s">
        <v>3236</v>
      </c>
      <c r="I88" t="s">
        <v>2296</v>
      </c>
      <c r="J88" t="s">
        <v>2303</v>
      </c>
    </row>
    <row r="89" spans="1:10">
      <c r="A89">
        <v>88</v>
      </c>
      <c r="B89">
        <v>-3.2959530039999998</v>
      </c>
      <c r="C89">
        <v>34.85242504</v>
      </c>
      <c r="D89">
        <v>1673.36</v>
      </c>
      <c r="E89" t="s">
        <v>3259</v>
      </c>
      <c r="F89">
        <v>891</v>
      </c>
      <c r="G89" t="s">
        <v>3235</v>
      </c>
      <c r="H89" t="s">
        <v>3236</v>
      </c>
      <c r="I89" t="s">
        <v>2296</v>
      </c>
      <c r="J89" t="s">
        <v>2304</v>
      </c>
    </row>
    <row r="90" spans="1:10">
      <c r="A90">
        <v>89</v>
      </c>
      <c r="B90">
        <v>-3.2966709980000002</v>
      </c>
      <c r="C90">
        <v>34.854407019999996</v>
      </c>
      <c r="D90">
        <v>1667.48</v>
      </c>
      <c r="E90" t="s">
        <v>3260</v>
      </c>
      <c r="F90">
        <v>898</v>
      </c>
      <c r="G90" t="s">
        <v>3235</v>
      </c>
      <c r="H90" t="s">
        <v>3236</v>
      </c>
      <c r="I90" t="s">
        <v>2306</v>
      </c>
      <c r="J90" t="s">
        <v>2305</v>
      </c>
    </row>
    <row r="91" spans="1:10">
      <c r="A91">
        <v>90</v>
      </c>
      <c r="B91">
        <v>-3.2966860009999999</v>
      </c>
      <c r="C91">
        <v>34.854371989999997</v>
      </c>
      <c r="D91">
        <v>1667.49</v>
      </c>
      <c r="E91" t="s">
        <v>3261</v>
      </c>
      <c r="F91">
        <v>899</v>
      </c>
      <c r="G91" t="s">
        <v>3235</v>
      </c>
      <c r="H91" t="s">
        <v>3236</v>
      </c>
      <c r="I91" t="s">
        <v>2306</v>
      </c>
      <c r="J91" t="s">
        <v>2307</v>
      </c>
    </row>
    <row r="92" spans="1:10">
      <c r="A92">
        <v>91</v>
      </c>
      <c r="B92">
        <v>-3.2966180239999998</v>
      </c>
      <c r="C92">
        <v>34.854464020000002</v>
      </c>
      <c r="D92">
        <v>1667.74</v>
      </c>
      <c r="E92" t="s">
        <v>3262</v>
      </c>
      <c r="F92">
        <v>900</v>
      </c>
      <c r="G92" t="s">
        <v>3235</v>
      </c>
      <c r="H92" t="s">
        <v>3236</v>
      </c>
      <c r="I92" t="s">
        <v>2306</v>
      </c>
      <c r="J92" t="s">
        <v>2308</v>
      </c>
    </row>
    <row r="93" spans="1:10">
      <c r="A93">
        <v>92</v>
      </c>
      <c r="B93">
        <v>-3.2965539860000002</v>
      </c>
      <c r="C93">
        <v>34.854455969999997</v>
      </c>
      <c r="D93">
        <v>1667.34</v>
      </c>
      <c r="E93" t="s">
        <v>3263</v>
      </c>
      <c r="F93">
        <v>901</v>
      </c>
      <c r="G93" t="s">
        <v>3235</v>
      </c>
      <c r="H93" t="s">
        <v>3236</v>
      </c>
      <c r="I93" t="s">
        <v>2306</v>
      </c>
      <c r="J93" t="s">
        <v>2309</v>
      </c>
    </row>
    <row r="94" spans="1:10">
      <c r="A94">
        <v>93</v>
      </c>
      <c r="B94">
        <v>-3.2964789680000002</v>
      </c>
      <c r="C94">
        <v>34.854331000000002</v>
      </c>
      <c r="D94">
        <v>1669.28</v>
      </c>
      <c r="E94" t="s">
        <v>3264</v>
      </c>
      <c r="F94">
        <v>902</v>
      </c>
      <c r="G94" t="s">
        <v>3235</v>
      </c>
      <c r="H94" t="s">
        <v>3236</v>
      </c>
      <c r="I94" t="s">
        <v>2306</v>
      </c>
      <c r="J94" t="s">
        <v>2310</v>
      </c>
    </row>
    <row r="95" spans="1:10">
      <c r="A95">
        <v>94</v>
      </c>
      <c r="B95">
        <v>-3.2964649700000002</v>
      </c>
      <c r="C95">
        <v>34.854340970000003</v>
      </c>
      <c r="D95">
        <v>1666.49</v>
      </c>
      <c r="E95" t="s">
        <v>3265</v>
      </c>
      <c r="F95">
        <v>903</v>
      </c>
      <c r="G95" t="s">
        <v>3235</v>
      </c>
      <c r="H95" t="s">
        <v>3236</v>
      </c>
      <c r="I95" t="s">
        <v>2306</v>
      </c>
      <c r="J95" t="s">
        <v>2311</v>
      </c>
    </row>
    <row r="96" spans="1:10">
      <c r="A96">
        <v>95</v>
      </c>
      <c r="B96">
        <v>-3.296725983</v>
      </c>
      <c r="C96">
        <v>34.854216000000001</v>
      </c>
      <c r="D96">
        <v>1664.61</v>
      </c>
      <c r="E96" t="s">
        <v>3266</v>
      </c>
      <c r="F96">
        <v>904</v>
      </c>
      <c r="G96" t="s">
        <v>3235</v>
      </c>
      <c r="H96" t="s">
        <v>3236</v>
      </c>
      <c r="I96" t="s">
        <v>2306</v>
      </c>
      <c r="J96" t="s">
        <v>2312</v>
      </c>
    </row>
    <row r="97" spans="1:10">
      <c r="A97">
        <v>96</v>
      </c>
      <c r="B97">
        <v>-3.2968360369999998</v>
      </c>
      <c r="C97">
        <v>34.854462009999999</v>
      </c>
      <c r="D97">
        <v>1654.53</v>
      </c>
      <c r="E97" t="s">
        <v>3267</v>
      </c>
      <c r="F97">
        <v>905</v>
      </c>
      <c r="G97" t="s">
        <v>3235</v>
      </c>
      <c r="H97" t="s">
        <v>3236</v>
      </c>
      <c r="I97" t="s">
        <v>2306</v>
      </c>
      <c r="J97" t="s">
        <v>2313</v>
      </c>
    </row>
    <row r="98" spans="1:10">
      <c r="A98">
        <v>97</v>
      </c>
      <c r="B98">
        <v>-2.3691620310000001</v>
      </c>
      <c r="C98">
        <v>34.06028104</v>
      </c>
      <c r="D98">
        <v>1277.3699999999999</v>
      </c>
      <c r="E98" t="s">
        <v>3268</v>
      </c>
      <c r="F98">
        <v>718</v>
      </c>
      <c r="G98" t="s">
        <v>3269</v>
      </c>
      <c r="H98" t="s">
        <v>3173</v>
      </c>
      <c r="I98" t="s">
        <v>2178</v>
      </c>
      <c r="J98" t="s">
        <v>2315</v>
      </c>
    </row>
    <row r="99" spans="1:10">
      <c r="A99">
        <v>98</v>
      </c>
      <c r="B99">
        <v>-2.3692249790000002</v>
      </c>
      <c r="C99">
        <v>34.060285989999997</v>
      </c>
      <c r="D99">
        <v>1278.72</v>
      </c>
      <c r="E99" t="s">
        <v>3270</v>
      </c>
      <c r="F99">
        <v>719</v>
      </c>
      <c r="G99" t="s">
        <v>3269</v>
      </c>
      <c r="H99" t="s">
        <v>3173</v>
      </c>
      <c r="I99" t="s">
        <v>2178</v>
      </c>
      <c r="J99" t="s">
        <v>2316</v>
      </c>
    </row>
    <row r="100" spans="1:10">
      <c r="A100">
        <v>99</v>
      </c>
      <c r="B100">
        <v>-2.369284993</v>
      </c>
      <c r="C100">
        <v>34.06028104</v>
      </c>
      <c r="D100">
        <v>1279.1199999999999</v>
      </c>
      <c r="E100" t="s">
        <v>3271</v>
      </c>
      <c r="F100">
        <v>720</v>
      </c>
      <c r="G100" t="s">
        <v>3269</v>
      </c>
      <c r="H100" t="s">
        <v>3173</v>
      </c>
      <c r="I100" t="s">
        <v>2178</v>
      </c>
      <c r="J100" t="s">
        <v>2317</v>
      </c>
    </row>
    <row r="101" spans="1:10">
      <c r="A101">
        <v>100</v>
      </c>
      <c r="B101">
        <v>-2.3691989950000001</v>
      </c>
      <c r="C101">
        <v>34.060208029999998</v>
      </c>
      <c r="D101">
        <v>1279.1199999999999</v>
      </c>
      <c r="E101" t="s">
        <v>3272</v>
      </c>
      <c r="F101">
        <v>721</v>
      </c>
      <c r="G101" t="s">
        <v>3269</v>
      </c>
      <c r="H101" t="s">
        <v>3173</v>
      </c>
      <c r="I101" t="s">
        <v>2178</v>
      </c>
      <c r="J101" t="s">
        <v>2318</v>
      </c>
    </row>
    <row r="102" spans="1:10">
      <c r="A102">
        <v>101</v>
      </c>
      <c r="B102">
        <v>-2.3691900260000001</v>
      </c>
      <c r="C102">
        <v>34.060177019999998</v>
      </c>
      <c r="D102">
        <v>1278.82</v>
      </c>
      <c r="E102" t="s">
        <v>3273</v>
      </c>
      <c r="F102">
        <v>722</v>
      </c>
      <c r="G102" t="s">
        <v>3269</v>
      </c>
      <c r="H102" t="s">
        <v>3173</v>
      </c>
      <c r="I102" t="s">
        <v>2178</v>
      </c>
      <c r="J102" t="s">
        <v>2320</v>
      </c>
    </row>
    <row r="103" spans="1:10">
      <c r="A103">
        <v>102</v>
      </c>
      <c r="B103">
        <v>-2.3691350409999998</v>
      </c>
      <c r="C103">
        <v>34.06018297</v>
      </c>
      <c r="D103">
        <v>1279.57</v>
      </c>
      <c r="E103" t="s">
        <v>3274</v>
      </c>
      <c r="F103">
        <v>723</v>
      </c>
      <c r="G103" t="s">
        <v>3269</v>
      </c>
      <c r="H103" t="s">
        <v>3173</v>
      </c>
      <c r="I103" t="s">
        <v>2178</v>
      </c>
      <c r="J103" t="s">
        <v>2321</v>
      </c>
    </row>
    <row r="104" spans="1:10">
      <c r="A104">
        <v>103</v>
      </c>
      <c r="B104">
        <v>-2.3691330289999999</v>
      </c>
      <c r="C104">
        <v>34.060233009999997</v>
      </c>
      <c r="D104">
        <v>1279.73</v>
      </c>
      <c r="E104" t="s">
        <v>3275</v>
      </c>
      <c r="F104">
        <v>724</v>
      </c>
      <c r="G104" t="s">
        <v>3269</v>
      </c>
      <c r="H104" t="s">
        <v>3173</v>
      </c>
      <c r="I104" t="s">
        <v>2178</v>
      </c>
      <c r="J104" t="s">
        <v>2322</v>
      </c>
    </row>
    <row r="105" spans="1:10">
      <c r="A105">
        <v>104</v>
      </c>
      <c r="B105">
        <v>-2.3692910280000001</v>
      </c>
      <c r="C105">
        <v>34.06016202</v>
      </c>
      <c r="D105">
        <v>1278.55</v>
      </c>
      <c r="E105" t="s">
        <v>3276</v>
      </c>
      <c r="F105">
        <v>725</v>
      </c>
      <c r="G105" t="s">
        <v>3269</v>
      </c>
      <c r="H105" t="s">
        <v>3173</v>
      </c>
      <c r="I105" t="s">
        <v>2178</v>
      </c>
      <c r="J105" t="s">
        <v>2323</v>
      </c>
    </row>
    <row r="106" spans="1:10">
      <c r="A106">
        <v>105</v>
      </c>
      <c r="B106">
        <v>-2.3698080240000001</v>
      </c>
      <c r="C106">
        <v>34.059671010000002</v>
      </c>
      <c r="D106">
        <v>1278.47</v>
      </c>
      <c r="E106" t="s">
        <v>3277</v>
      </c>
      <c r="F106">
        <v>726</v>
      </c>
      <c r="G106" t="s">
        <v>3269</v>
      </c>
      <c r="H106" t="s">
        <v>3173</v>
      </c>
      <c r="I106" t="s">
        <v>2194</v>
      </c>
      <c r="J106" t="s">
        <v>2324</v>
      </c>
    </row>
    <row r="107" spans="1:10">
      <c r="A107">
        <v>106</v>
      </c>
      <c r="B107">
        <v>-2.3697620069999998</v>
      </c>
      <c r="C107">
        <v>34.059730010000003</v>
      </c>
      <c r="D107">
        <v>1276.99</v>
      </c>
      <c r="E107" t="s">
        <v>3278</v>
      </c>
      <c r="F107">
        <v>727</v>
      </c>
      <c r="G107" t="s">
        <v>3269</v>
      </c>
      <c r="H107" t="s">
        <v>3173</v>
      </c>
      <c r="I107" t="s">
        <v>2194</v>
      </c>
      <c r="J107" t="s">
        <v>2325</v>
      </c>
    </row>
    <row r="108" spans="1:10">
      <c r="A108">
        <v>107</v>
      </c>
      <c r="B108">
        <v>-2.3698409649999999</v>
      </c>
      <c r="C108">
        <v>34.059814000000003</v>
      </c>
      <c r="D108">
        <v>1277.92</v>
      </c>
      <c r="E108" t="s">
        <v>3279</v>
      </c>
      <c r="F108">
        <v>728</v>
      </c>
      <c r="G108" t="s">
        <v>3269</v>
      </c>
      <c r="H108" t="s">
        <v>3173</v>
      </c>
      <c r="I108" t="s">
        <v>2194</v>
      </c>
      <c r="J108" t="s">
        <v>2326</v>
      </c>
    </row>
    <row r="109" spans="1:10">
      <c r="A109">
        <v>108</v>
      </c>
      <c r="B109">
        <v>-2.3698620030000002</v>
      </c>
      <c r="C109">
        <v>34.059759020000001</v>
      </c>
      <c r="D109">
        <v>1277.75</v>
      </c>
      <c r="E109" t="s">
        <v>3280</v>
      </c>
      <c r="F109">
        <v>729</v>
      </c>
      <c r="G109" t="s">
        <v>3269</v>
      </c>
      <c r="H109" t="s">
        <v>3173</v>
      </c>
      <c r="I109" t="s">
        <v>2194</v>
      </c>
      <c r="J109" t="s">
        <v>2327</v>
      </c>
    </row>
    <row r="110" spans="1:10">
      <c r="A110">
        <v>109</v>
      </c>
      <c r="B110">
        <v>-2.3698390370000002</v>
      </c>
      <c r="C110">
        <v>34.059714</v>
      </c>
      <c r="D110">
        <v>1277.48</v>
      </c>
      <c r="E110" t="s">
        <v>3281</v>
      </c>
      <c r="F110">
        <v>730</v>
      </c>
      <c r="G110" t="s">
        <v>3269</v>
      </c>
      <c r="H110" t="s">
        <v>3173</v>
      </c>
      <c r="I110" t="s">
        <v>2194</v>
      </c>
      <c r="J110" t="s">
        <v>2329</v>
      </c>
    </row>
    <row r="111" spans="1:10">
      <c r="A111">
        <v>110</v>
      </c>
      <c r="B111">
        <v>-2.3697549659999999</v>
      </c>
      <c r="C111">
        <v>34.059668989999999</v>
      </c>
      <c r="D111">
        <v>1277.67</v>
      </c>
      <c r="E111" t="s">
        <v>3282</v>
      </c>
      <c r="F111">
        <v>731</v>
      </c>
      <c r="G111" t="s">
        <v>3269</v>
      </c>
      <c r="H111" t="s">
        <v>3173</v>
      </c>
      <c r="I111" t="s">
        <v>2194</v>
      </c>
      <c r="J111" t="s">
        <v>2330</v>
      </c>
    </row>
    <row r="112" spans="1:10">
      <c r="A112">
        <v>111</v>
      </c>
      <c r="B112">
        <v>-2.3697330060000001</v>
      </c>
      <c r="C112">
        <v>34.059615010000002</v>
      </c>
      <c r="D112">
        <v>1277.25</v>
      </c>
      <c r="E112" t="s">
        <v>3283</v>
      </c>
      <c r="F112">
        <v>732</v>
      </c>
      <c r="G112" t="s">
        <v>3269</v>
      </c>
      <c r="H112" t="s">
        <v>3173</v>
      </c>
      <c r="I112" t="s">
        <v>2194</v>
      </c>
      <c r="J112" t="s">
        <v>2331</v>
      </c>
    </row>
    <row r="113" spans="1:10">
      <c r="A113">
        <v>112</v>
      </c>
      <c r="B113">
        <v>-2.36967098</v>
      </c>
      <c r="C113">
        <v>34.059735959999998</v>
      </c>
      <c r="D113">
        <v>1277.5899999999999</v>
      </c>
      <c r="E113" t="s">
        <v>3284</v>
      </c>
      <c r="F113">
        <v>733</v>
      </c>
      <c r="G113" t="s">
        <v>3269</v>
      </c>
      <c r="H113" t="s">
        <v>3173</v>
      </c>
      <c r="I113" t="s">
        <v>2194</v>
      </c>
      <c r="J113" t="s">
        <v>2332</v>
      </c>
    </row>
    <row r="114" spans="1:10">
      <c r="A114">
        <v>113</v>
      </c>
      <c r="B114">
        <v>-2.3487199940000001</v>
      </c>
      <c r="C114">
        <v>34.051391029999998</v>
      </c>
      <c r="D114">
        <v>1253.76</v>
      </c>
      <c r="E114" t="s">
        <v>3285</v>
      </c>
      <c r="F114">
        <v>739</v>
      </c>
      <c r="G114" t="s">
        <v>3269</v>
      </c>
      <c r="H114" t="s">
        <v>3173</v>
      </c>
      <c r="I114" t="s">
        <v>2208</v>
      </c>
      <c r="J114" t="s">
        <v>2333</v>
      </c>
    </row>
    <row r="115" spans="1:10">
      <c r="A115">
        <v>114</v>
      </c>
      <c r="B115">
        <v>-2.348716976</v>
      </c>
      <c r="C115">
        <v>34.051484989999999</v>
      </c>
      <c r="D115">
        <v>1247.5999999999999</v>
      </c>
      <c r="E115" t="s">
        <v>3286</v>
      </c>
      <c r="F115">
        <v>740</v>
      </c>
      <c r="G115" t="s">
        <v>3269</v>
      </c>
      <c r="H115" t="s">
        <v>3173</v>
      </c>
      <c r="I115" t="s">
        <v>2208</v>
      </c>
      <c r="J115" t="s">
        <v>2334</v>
      </c>
    </row>
    <row r="116" spans="1:10">
      <c r="A116">
        <v>115</v>
      </c>
      <c r="B116">
        <v>-2.3487800079999999</v>
      </c>
      <c r="C116">
        <v>34.051495969999998</v>
      </c>
      <c r="D116">
        <v>1246.7</v>
      </c>
      <c r="E116" t="s">
        <v>3287</v>
      </c>
      <c r="F116">
        <v>741</v>
      </c>
      <c r="G116" t="s">
        <v>3269</v>
      </c>
      <c r="H116" t="s">
        <v>3173</v>
      </c>
      <c r="I116" t="s">
        <v>2208</v>
      </c>
      <c r="J116" t="s">
        <v>2335</v>
      </c>
    </row>
    <row r="117" spans="1:10">
      <c r="A117">
        <v>116</v>
      </c>
      <c r="B117">
        <v>-2.3488120270000001</v>
      </c>
      <c r="C117">
        <v>34.05146697</v>
      </c>
      <c r="D117">
        <v>1246.3399999999999</v>
      </c>
      <c r="E117" t="s">
        <v>3288</v>
      </c>
      <c r="F117">
        <v>742</v>
      </c>
      <c r="G117" t="s">
        <v>3269</v>
      </c>
      <c r="H117" t="s">
        <v>3173</v>
      </c>
      <c r="I117" t="s">
        <v>2208</v>
      </c>
      <c r="J117" t="s">
        <v>2336</v>
      </c>
    </row>
    <row r="118" spans="1:10">
      <c r="A118">
        <v>117</v>
      </c>
      <c r="B118">
        <v>-2.348814961</v>
      </c>
      <c r="C118">
        <v>34.051439979999998</v>
      </c>
      <c r="D118">
        <v>1246.28</v>
      </c>
      <c r="E118" t="s">
        <v>3289</v>
      </c>
      <c r="F118">
        <v>743</v>
      </c>
      <c r="G118" t="s">
        <v>3269</v>
      </c>
      <c r="H118" t="s">
        <v>3173</v>
      </c>
      <c r="I118" t="s">
        <v>2208</v>
      </c>
      <c r="J118" t="s">
        <v>2337</v>
      </c>
    </row>
    <row r="119" spans="1:10">
      <c r="A119">
        <v>118</v>
      </c>
      <c r="B119">
        <v>-2.3488729629999998</v>
      </c>
      <c r="C119">
        <v>34.051454980000003</v>
      </c>
      <c r="D119">
        <v>1246.69</v>
      </c>
      <c r="E119" t="s">
        <v>3290</v>
      </c>
      <c r="F119">
        <v>744</v>
      </c>
      <c r="G119" t="s">
        <v>3269</v>
      </c>
      <c r="H119" t="s">
        <v>3173</v>
      </c>
      <c r="I119" t="s">
        <v>2208</v>
      </c>
      <c r="J119" t="s">
        <v>2338</v>
      </c>
    </row>
    <row r="120" spans="1:10">
      <c r="A120">
        <v>119</v>
      </c>
      <c r="B120">
        <v>-2.3488589659999999</v>
      </c>
      <c r="C120">
        <v>34.051389010000001</v>
      </c>
      <c r="D120">
        <v>1248.27</v>
      </c>
      <c r="E120" t="s">
        <v>3291</v>
      </c>
      <c r="F120">
        <v>745</v>
      </c>
      <c r="G120" t="s">
        <v>3269</v>
      </c>
      <c r="H120" t="s">
        <v>3173</v>
      </c>
      <c r="I120" t="s">
        <v>2208</v>
      </c>
      <c r="J120" t="s">
        <v>2339</v>
      </c>
    </row>
    <row r="121" spans="1:10">
      <c r="A121">
        <v>120</v>
      </c>
      <c r="B121">
        <v>-2.3486449760000001</v>
      </c>
      <c r="C121">
        <v>34.051495969999998</v>
      </c>
      <c r="D121">
        <v>1245.54</v>
      </c>
      <c r="E121" t="s">
        <v>3292</v>
      </c>
      <c r="F121">
        <v>746</v>
      </c>
      <c r="G121" t="s">
        <v>3269</v>
      </c>
      <c r="H121" t="s">
        <v>3173</v>
      </c>
      <c r="I121" t="s">
        <v>2208</v>
      </c>
      <c r="J121" t="s">
        <v>2340</v>
      </c>
    </row>
    <row r="122" spans="1:10">
      <c r="A122">
        <v>121</v>
      </c>
      <c r="B122">
        <v>-2.3492639789999998</v>
      </c>
      <c r="C122">
        <v>34.051464029999998</v>
      </c>
      <c r="D122">
        <v>1244.43</v>
      </c>
      <c r="E122" t="s">
        <v>3293</v>
      </c>
      <c r="F122">
        <v>748</v>
      </c>
      <c r="G122" t="s">
        <v>3269</v>
      </c>
      <c r="H122" t="s">
        <v>3173</v>
      </c>
      <c r="I122" t="s">
        <v>2218</v>
      </c>
      <c r="J122" t="s">
        <v>2341</v>
      </c>
    </row>
    <row r="123" spans="1:10">
      <c r="A123">
        <v>122</v>
      </c>
      <c r="B123">
        <v>-2.34923196</v>
      </c>
      <c r="C123">
        <v>34.051422039999999</v>
      </c>
      <c r="D123">
        <v>1247.1500000000001</v>
      </c>
      <c r="E123" t="s">
        <v>3294</v>
      </c>
      <c r="F123">
        <v>749</v>
      </c>
      <c r="G123" t="s">
        <v>3269</v>
      </c>
      <c r="H123" t="s">
        <v>3173</v>
      </c>
      <c r="I123" t="s">
        <v>2218</v>
      </c>
      <c r="J123" t="s">
        <v>2342</v>
      </c>
    </row>
    <row r="124" spans="1:10">
      <c r="A124">
        <v>123</v>
      </c>
      <c r="B124">
        <v>-2.3492390009999999</v>
      </c>
      <c r="C124">
        <v>34.051304020000003</v>
      </c>
      <c r="D124">
        <v>1246.24</v>
      </c>
      <c r="E124" t="s">
        <v>3295</v>
      </c>
      <c r="F124">
        <v>751</v>
      </c>
      <c r="G124" t="s">
        <v>3269</v>
      </c>
      <c r="H124" t="s">
        <v>3173</v>
      </c>
      <c r="I124" t="s">
        <v>2218</v>
      </c>
      <c r="J124" t="s">
        <v>2343</v>
      </c>
    </row>
    <row r="125" spans="1:10">
      <c r="A125">
        <v>124</v>
      </c>
      <c r="B125">
        <v>-2.3492799889999998</v>
      </c>
      <c r="C125">
        <v>34.051280970000001</v>
      </c>
      <c r="D125">
        <v>1245.77</v>
      </c>
      <c r="E125" t="s">
        <v>3296</v>
      </c>
      <c r="F125">
        <v>750</v>
      </c>
      <c r="G125" t="s">
        <v>3269</v>
      </c>
      <c r="H125" t="s">
        <v>3173</v>
      </c>
      <c r="I125" t="s">
        <v>2218</v>
      </c>
      <c r="J125" t="s">
        <v>2345</v>
      </c>
    </row>
    <row r="126" spans="1:10">
      <c r="A126">
        <v>125</v>
      </c>
      <c r="B126">
        <v>-2.3493320400000002</v>
      </c>
      <c r="C126">
        <v>34.051321960000003</v>
      </c>
      <c r="D126">
        <v>1245.83</v>
      </c>
      <c r="E126" t="s">
        <v>3297</v>
      </c>
      <c r="F126">
        <v>752</v>
      </c>
      <c r="G126" t="s">
        <v>3269</v>
      </c>
      <c r="H126" t="s">
        <v>3173</v>
      </c>
      <c r="I126" t="s">
        <v>2218</v>
      </c>
      <c r="J126" t="s">
        <v>2346</v>
      </c>
    </row>
    <row r="127" spans="1:10">
      <c r="A127">
        <v>126</v>
      </c>
      <c r="B127">
        <v>-2.3493509829999999</v>
      </c>
      <c r="C127">
        <v>34.051332019999997</v>
      </c>
      <c r="D127">
        <v>1246.07</v>
      </c>
      <c r="E127" t="s">
        <v>3298</v>
      </c>
      <c r="F127">
        <v>753</v>
      </c>
      <c r="G127" t="s">
        <v>3269</v>
      </c>
      <c r="H127" t="s">
        <v>3173</v>
      </c>
      <c r="I127" t="s">
        <v>2218</v>
      </c>
      <c r="J127" t="s">
        <v>2347</v>
      </c>
    </row>
    <row r="128" spans="1:10">
      <c r="A128">
        <v>127</v>
      </c>
      <c r="B128">
        <v>-2.3491850219999999</v>
      </c>
      <c r="C128">
        <v>34.051264959999997</v>
      </c>
      <c r="D128">
        <v>1247.25</v>
      </c>
      <c r="E128" t="s">
        <v>3299</v>
      </c>
      <c r="F128">
        <v>754</v>
      </c>
      <c r="G128" t="s">
        <v>3269</v>
      </c>
      <c r="H128" t="s">
        <v>3173</v>
      </c>
      <c r="I128" t="s">
        <v>2218</v>
      </c>
      <c r="J128" t="s">
        <v>2348</v>
      </c>
    </row>
    <row r="129" spans="1:10">
      <c r="A129">
        <v>128</v>
      </c>
      <c r="B129">
        <v>-2.3493099960000001</v>
      </c>
      <c r="C129">
        <v>34.05141802</v>
      </c>
      <c r="D129">
        <v>1246.8499999999999</v>
      </c>
      <c r="E129" t="s">
        <v>3300</v>
      </c>
      <c r="F129">
        <v>755</v>
      </c>
      <c r="G129" t="s">
        <v>3269</v>
      </c>
      <c r="H129" t="s">
        <v>3173</v>
      </c>
      <c r="I129" t="s">
        <v>2218</v>
      </c>
      <c r="J129" t="s">
        <v>2349</v>
      </c>
    </row>
    <row r="130" spans="1:10">
      <c r="A130">
        <v>129</v>
      </c>
      <c r="B130">
        <v>-2.3503360249999998</v>
      </c>
      <c r="C130">
        <v>34.049662009999999</v>
      </c>
      <c r="D130">
        <v>1248.6199999999999</v>
      </c>
      <c r="E130" t="s">
        <v>3301</v>
      </c>
      <c r="F130">
        <v>669</v>
      </c>
      <c r="G130" t="s">
        <v>3269</v>
      </c>
      <c r="H130" t="s">
        <v>3204</v>
      </c>
      <c r="I130" t="s">
        <v>2227</v>
      </c>
      <c r="J130" t="s">
        <v>2350</v>
      </c>
    </row>
    <row r="131" spans="1:10">
      <c r="A131">
        <v>130</v>
      </c>
      <c r="B131">
        <v>-2.3503729889999998</v>
      </c>
      <c r="C131">
        <v>34.049626969999998</v>
      </c>
      <c r="D131">
        <v>1248.69</v>
      </c>
      <c r="E131" t="s">
        <v>3302</v>
      </c>
      <c r="F131">
        <v>670</v>
      </c>
      <c r="G131" t="s">
        <v>3269</v>
      </c>
      <c r="H131" t="s">
        <v>3204</v>
      </c>
      <c r="I131" t="s">
        <v>2227</v>
      </c>
      <c r="J131" t="s">
        <v>2351</v>
      </c>
    </row>
    <row r="132" spans="1:10">
      <c r="A132">
        <v>131</v>
      </c>
      <c r="B132">
        <v>-2.3503259660000002</v>
      </c>
      <c r="C132">
        <v>34.049616999999998</v>
      </c>
      <c r="D132">
        <v>1248.3499999999999</v>
      </c>
      <c r="E132" t="s">
        <v>3303</v>
      </c>
      <c r="F132">
        <v>672</v>
      </c>
      <c r="G132" t="s">
        <v>3269</v>
      </c>
      <c r="H132" t="s">
        <v>3204</v>
      </c>
      <c r="I132" t="s">
        <v>2227</v>
      </c>
      <c r="J132" t="s">
        <v>2352</v>
      </c>
    </row>
    <row r="133" spans="1:10">
      <c r="A133">
        <v>132</v>
      </c>
      <c r="B133">
        <v>-2.3504800260000001</v>
      </c>
      <c r="C133">
        <v>34.049551030000003</v>
      </c>
      <c r="D133">
        <v>1258.0899999999999</v>
      </c>
      <c r="E133" t="s">
        <v>3304</v>
      </c>
      <c r="F133">
        <v>1077</v>
      </c>
      <c r="G133" t="s">
        <v>3269</v>
      </c>
      <c r="H133" t="s">
        <v>3204</v>
      </c>
      <c r="I133" t="s">
        <v>2227</v>
      </c>
      <c r="J133" t="s">
        <v>2353</v>
      </c>
    </row>
    <row r="134" spans="1:10">
      <c r="A134">
        <v>133</v>
      </c>
      <c r="B134">
        <v>-2.350474996</v>
      </c>
      <c r="C134">
        <v>34.049801979999998</v>
      </c>
      <c r="D134">
        <v>1249.95</v>
      </c>
      <c r="E134" t="s">
        <v>3305</v>
      </c>
      <c r="F134">
        <v>674</v>
      </c>
      <c r="G134" t="s">
        <v>3269</v>
      </c>
      <c r="H134" t="s">
        <v>3204</v>
      </c>
      <c r="I134" t="s">
        <v>2227</v>
      </c>
      <c r="J134" t="s">
        <v>2354</v>
      </c>
    </row>
    <row r="135" spans="1:10">
      <c r="A135">
        <v>134</v>
      </c>
      <c r="B135">
        <v>-2.3503559730000001</v>
      </c>
      <c r="C135">
        <v>34.049800980000001</v>
      </c>
      <c r="D135">
        <v>1249.25</v>
      </c>
      <c r="E135" t="s">
        <v>3306</v>
      </c>
      <c r="F135">
        <v>675</v>
      </c>
      <c r="G135" t="s">
        <v>3269</v>
      </c>
      <c r="H135" t="s">
        <v>3204</v>
      </c>
      <c r="I135" t="s">
        <v>2227</v>
      </c>
      <c r="J135" t="s">
        <v>2355</v>
      </c>
    </row>
    <row r="136" spans="1:10">
      <c r="A136">
        <v>135</v>
      </c>
      <c r="B136">
        <v>-2.3503589909999998</v>
      </c>
      <c r="C136">
        <v>34.049719000000003</v>
      </c>
      <c r="D136">
        <v>1251.26</v>
      </c>
      <c r="E136" t="s">
        <v>3307</v>
      </c>
      <c r="F136">
        <v>677</v>
      </c>
      <c r="G136" t="s">
        <v>3269</v>
      </c>
      <c r="H136" t="s">
        <v>3204</v>
      </c>
      <c r="I136" t="s">
        <v>2227</v>
      </c>
      <c r="J136" t="s">
        <v>2356</v>
      </c>
    </row>
    <row r="137" spans="1:10">
      <c r="A137">
        <v>136</v>
      </c>
      <c r="B137">
        <v>-2.3502159960000002</v>
      </c>
      <c r="C137">
        <v>34.049822020000001</v>
      </c>
      <c r="D137">
        <v>1249.77</v>
      </c>
      <c r="E137" t="s">
        <v>3308</v>
      </c>
      <c r="F137">
        <v>678</v>
      </c>
      <c r="G137" t="s">
        <v>3269</v>
      </c>
      <c r="H137" t="s">
        <v>3204</v>
      </c>
      <c r="I137" t="s">
        <v>2227</v>
      </c>
      <c r="J137" t="s">
        <v>2357</v>
      </c>
    </row>
    <row r="138" spans="1:10">
      <c r="A138">
        <v>137</v>
      </c>
      <c r="B138">
        <v>-2.348596025</v>
      </c>
      <c r="C138">
        <v>34.050070959999999</v>
      </c>
      <c r="D138">
        <v>1250.98</v>
      </c>
      <c r="E138" t="s">
        <v>3309</v>
      </c>
      <c r="F138">
        <v>681</v>
      </c>
      <c r="G138" t="s">
        <v>3269</v>
      </c>
      <c r="H138" t="s">
        <v>3204</v>
      </c>
      <c r="I138" t="s">
        <v>2244</v>
      </c>
      <c r="J138" t="s">
        <v>2358</v>
      </c>
    </row>
    <row r="139" spans="1:10">
      <c r="A139">
        <v>138</v>
      </c>
      <c r="B139">
        <v>-2.3485449790000001</v>
      </c>
      <c r="C139">
        <v>34.050146980000001</v>
      </c>
      <c r="D139">
        <v>1250.04</v>
      </c>
      <c r="E139" t="s">
        <v>3310</v>
      </c>
      <c r="F139">
        <v>682</v>
      </c>
      <c r="G139" t="s">
        <v>3269</v>
      </c>
      <c r="H139" t="s">
        <v>3204</v>
      </c>
      <c r="I139" t="s">
        <v>2244</v>
      </c>
      <c r="J139" t="s">
        <v>2359</v>
      </c>
    </row>
    <row r="140" spans="1:10">
      <c r="A140">
        <v>139</v>
      </c>
      <c r="B140">
        <v>-2.3487209990000002</v>
      </c>
      <c r="C140">
        <v>34.050128039999997</v>
      </c>
      <c r="D140">
        <v>1250.67</v>
      </c>
      <c r="E140" t="s">
        <v>3311</v>
      </c>
      <c r="F140">
        <v>683</v>
      </c>
      <c r="G140" t="s">
        <v>3269</v>
      </c>
      <c r="H140" t="s">
        <v>3204</v>
      </c>
      <c r="I140" t="s">
        <v>2244</v>
      </c>
      <c r="J140" t="s">
        <v>2360</v>
      </c>
    </row>
    <row r="141" spans="1:10">
      <c r="A141">
        <v>140</v>
      </c>
      <c r="B141">
        <v>-2.3486250270000002</v>
      </c>
      <c r="C141">
        <v>34.050070959999999</v>
      </c>
      <c r="D141">
        <v>1248.49</v>
      </c>
      <c r="E141" t="s">
        <v>3312</v>
      </c>
      <c r="F141">
        <v>684</v>
      </c>
      <c r="G141" t="s">
        <v>3269</v>
      </c>
      <c r="H141" t="s">
        <v>3204</v>
      </c>
      <c r="I141" t="s">
        <v>2244</v>
      </c>
      <c r="J141" t="s">
        <v>2362</v>
      </c>
    </row>
    <row r="142" spans="1:10">
      <c r="A142">
        <v>141</v>
      </c>
      <c r="B142">
        <v>-2.3486060000000002</v>
      </c>
      <c r="C142">
        <v>34.050010020000002</v>
      </c>
      <c r="D142">
        <v>1248.22</v>
      </c>
      <c r="E142" t="s">
        <v>3313</v>
      </c>
      <c r="F142">
        <v>685</v>
      </c>
      <c r="G142" t="s">
        <v>3269</v>
      </c>
      <c r="H142" t="s">
        <v>3204</v>
      </c>
      <c r="I142" t="s">
        <v>2244</v>
      </c>
      <c r="J142" t="s">
        <v>2363</v>
      </c>
    </row>
    <row r="143" spans="1:10">
      <c r="A143">
        <v>142</v>
      </c>
      <c r="B143">
        <v>-2.348618992</v>
      </c>
      <c r="C143">
        <v>34.049996030000003</v>
      </c>
      <c r="D143">
        <v>1253.69</v>
      </c>
      <c r="E143" t="s">
        <v>3314</v>
      </c>
      <c r="F143">
        <v>686</v>
      </c>
      <c r="G143" t="s">
        <v>3269</v>
      </c>
      <c r="H143" t="s">
        <v>3204</v>
      </c>
      <c r="I143" t="s">
        <v>2244</v>
      </c>
      <c r="J143" t="s">
        <v>2364</v>
      </c>
    </row>
    <row r="144" spans="1:10">
      <c r="A144">
        <v>143</v>
      </c>
      <c r="B144">
        <v>-2.3484970349999998</v>
      </c>
      <c r="C144">
        <v>34.049979010000001</v>
      </c>
      <c r="D144">
        <v>1251.22</v>
      </c>
      <c r="E144" t="s">
        <v>3315</v>
      </c>
      <c r="F144">
        <v>687</v>
      </c>
      <c r="G144" t="s">
        <v>3269</v>
      </c>
      <c r="H144" t="s">
        <v>3204</v>
      </c>
      <c r="I144" t="s">
        <v>2244</v>
      </c>
      <c r="J144" t="s">
        <v>2365</v>
      </c>
    </row>
    <row r="145" spans="1:10">
      <c r="A145">
        <v>144</v>
      </c>
      <c r="B145">
        <v>-2.3486560399999998</v>
      </c>
      <c r="C145">
        <v>34.049895020000001</v>
      </c>
      <c r="D145">
        <v>1250.1199999999999</v>
      </c>
      <c r="E145" t="s">
        <v>3316</v>
      </c>
      <c r="F145">
        <v>688</v>
      </c>
      <c r="G145" t="s">
        <v>3269</v>
      </c>
      <c r="H145" t="s">
        <v>3204</v>
      </c>
      <c r="I145" t="s">
        <v>2244</v>
      </c>
      <c r="J145" t="s">
        <v>2366</v>
      </c>
    </row>
    <row r="146" spans="1:10">
      <c r="A146">
        <v>145</v>
      </c>
      <c r="B146">
        <v>-2.3675269729999999</v>
      </c>
      <c r="C146">
        <v>34.06035799</v>
      </c>
      <c r="D146">
        <v>1270.83</v>
      </c>
      <c r="E146" t="s">
        <v>3317</v>
      </c>
      <c r="F146">
        <v>698</v>
      </c>
      <c r="G146" t="s">
        <v>3269</v>
      </c>
      <c r="H146" t="s">
        <v>3204</v>
      </c>
      <c r="I146" t="s">
        <v>2256</v>
      </c>
      <c r="J146" t="s">
        <v>2367</v>
      </c>
    </row>
    <row r="147" spans="1:10">
      <c r="A147">
        <v>146</v>
      </c>
      <c r="B147">
        <v>-2.3675380370000001</v>
      </c>
      <c r="C147">
        <v>34.060381960000001</v>
      </c>
      <c r="D147">
        <v>1270.51</v>
      </c>
      <c r="E147" t="s">
        <v>3318</v>
      </c>
      <c r="F147">
        <v>699</v>
      </c>
      <c r="G147" t="s">
        <v>3269</v>
      </c>
      <c r="H147" t="s">
        <v>3204</v>
      </c>
      <c r="I147" t="s">
        <v>2256</v>
      </c>
      <c r="J147" t="s">
        <v>2368</v>
      </c>
    </row>
    <row r="148" spans="1:10">
      <c r="A148">
        <v>147</v>
      </c>
      <c r="B148">
        <v>-2.3675780180000001</v>
      </c>
      <c r="C148">
        <v>34.060323029999999</v>
      </c>
      <c r="D148">
        <v>1271.56</v>
      </c>
      <c r="E148" t="s">
        <v>3319</v>
      </c>
      <c r="F148">
        <v>700</v>
      </c>
      <c r="G148" t="s">
        <v>3269</v>
      </c>
      <c r="H148" t="s">
        <v>3204</v>
      </c>
      <c r="I148" t="s">
        <v>2256</v>
      </c>
      <c r="J148" t="s">
        <v>2369</v>
      </c>
    </row>
    <row r="149" spans="1:10">
      <c r="A149">
        <v>148</v>
      </c>
      <c r="B149">
        <v>-2.3676269689999998</v>
      </c>
      <c r="C149">
        <v>34.060310960000002</v>
      </c>
      <c r="D149">
        <v>1272.3699999999999</v>
      </c>
      <c r="E149" t="s">
        <v>3320</v>
      </c>
      <c r="F149">
        <v>701</v>
      </c>
      <c r="G149" t="s">
        <v>3269</v>
      </c>
      <c r="H149" t="s">
        <v>3204</v>
      </c>
      <c r="I149" t="s">
        <v>2256</v>
      </c>
      <c r="J149" t="s">
        <v>2370</v>
      </c>
    </row>
    <row r="150" spans="1:10">
      <c r="A150">
        <v>149</v>
      </c>
      <c r="B150">
        <v>-2.3677179960000001</v>
      </c>
      <c r="C150">
        <v>34.060324960000003</v>
      </c>
      <c r="D150">
        <v>1273.93</v>
      </c>
      <c r="E150" t="s">
        <v>3321</v>
      </c>
      <c r="F150">
        <v>702</v>
      </c>
      <c r="G150" t="s">
        <v>3269</v>
      </c>
      <c r="H150" t="s">
        <v>3204</v>
      </c>
      <c r="I150" t="s">
        <v>2256</v>
      </c>
      <c r="J150" t="s">
        <v>2371</v>
      </c>
    </row>
    <row r="151" spans="1:10">
      <c r="A151">
        <v>150</v>
      </c>
      <c r="B151">
        <v>-2.3675230329999999</v>
      </c>
      <c r="C151">
        <v>34.060512969999998</v>
      </c>
      <c r="D151">
        <v>1273.8599999999999</v>
      </c>
      <c r="E151" t="s">
        <v>3322</v>
      </c>
      <c r="F151">
        <v>703</v>
      </c>
      <c r="G151" t="s">
        <v>3269</v>
      </c>
      <c r="H151" t="s">
        <v>3204</v>
      </c>
      <c r="I151" t="s">
        <v>2256</v>
      </c>
      <c r="J151" t="s">
        <v>2372</v>
      </c>
    </row>
    <row r="152" spans="1:10">
      <c r="A152">
        <v>151</v>
      </c>
      <c r="B152">
        <v>-2.3673460070000001</v>
      </c>
      <c r="C152">
        <v>34.060310039999997</v>
      </c>
      <c r="D152">
        <v>1273.53</v>
      </c>
      <c r="E152" t="s">
        <v>3323</v>
      </c>
      <c r="F152">
        <v>704</v>
      </c>
      <c r="G152" t="s">
        <v>3269</v>
      </c>
      <c r="H152" t="s">
        <v>3204</v>
      </c>
      <c r="I152" t="s">
        <v>2256</v>
      </c>
      <c r="J152" t="s">
        <v>2373</v>
      </c>
    </row>
    <row r="153" spans="1:10">
      <c r="A153">
        <v>152</v>
      </c>
      <c r="B153">
        <v>-2.367543988</v>
      </c>
      <c r="C153">
        <v>34.060168969999999</v>
      </c>
      <c r="D153">
        <v>1274.44</v>
      </c>
      <c r="E153" t="s">
        <v>3324</v>
      </c>
      <c r="F153">
        <v>705</v>
      </c>
      <c r="G153" t="s">
        <v>3269</v>
      </c>
      <c r="H153" t="s">
        <v>3204</v>
      </c>
      <c r="I153" t="s">
        <v>2256</v>
      </c>
      <c r="J153" t="s">
        <v>2374</v>
      </c>
    </row>
    <row r="154" spans="1:10">
      <c r="A154">
        <v>153</v>
      </c>
      <c r="B154">
        <v>-2.3676780150000001</v>
      </c>
      <c r="C154">
        <v>34.05937797</v>
      </c>
      <c r="D154">
        <v>1276.1400000000001</v>
      </c>
      <c r="E154" t="s">
        <v>3325</v>
      </c>
      <c r="F154">
        <v>710</v>
      </c>
      <c r="G154" t="s">
        <v>3269</v>
      </c>
      <c r="H154" t="s">
        <v>3204</v>
      </c>
      <c r="I154" t="s">
        <v>2265</v>
      </c>
      <c r="J154" t="s">
        <v>2376</v>
      </c>
    </row>
    <row r="155" spans="1:10">
      <c r="A155">
        <v>154</v>
      </c>
      <c r="B155">
        <v>-2.3677299820000002</v>
      </c>
      <c r="C155">
        <v>34.059351990000003</v>
      </c>
      <c r="D155">
        <v>1276.32</v>
      </c>
      <c r="E155" t="s">
        <v>3326</v>
      </c>
      <c r="F155">
        <v>711</v>
      </c>
      <c r="G155" t="s">
        <v>3269</v>
      </c>
      <c r="H155" t="s">
        <v>3204</v>
      </c>
      <c r="I155" t="s">
        <v>2265</v>
      </c>
      <c r="J155" t="s">
        <v>2377</v>
      </c>
    </row>
    <row r="156" spans="1:10">
      <c r="A156">
        <v>155</v>
      </c>
      <c r="B156">
        <v>-2.3677119609999999</v>
      </c>
      <c r="C156">
        <v>34.059339000000001</v>
      </c>
      <c r="D156">
        <v>1275.6300000000001</v>
      </c>
      <c r="E156" t="s">
        <v>3327</v>
      </c>
      <c r="F156">
        <v>712</v>
      </c>
      <c r="G156" t="s">
        <v>3269</v>
      </c>
      <c r="H156" t="s">
        <v>3204</v>
      </c>
      <c r="I156" t="s">
        <v>2265</v>
      </c>
      <c r="J156" t="s">
        <v>2378</v>
      </c>
    </row>
    <row r="157" spans="1:10">
      <c r="A157">
        <v>156</v>
      </c>
      <c r="B157">
        <v>-2.3676950300000001</v>
      </c>
      <c r="C157">
        <v>34.059499010000003</v>
      </c>
      <c r="D157">
        <v>1276.29</v>
      </c>
      <c r="E157" t="s">
        <v>3328</v>
      </c>
      <c r="F157">
        <v>713</v>
      </c>
      <c r="G157" t="s">
        <v>3269</v>
      </c>
      <c r="H157" t="s">
        <v>3204</v>
      </c>
      <c r="I157" t="s">
        <v>2265</v>
      </c>
      <c r="J157" t="s">
        <v>2379</v>
      </c>
    </row>
    <row r="158" spans="1:10">
      <c r="A158">
        <v>157</v>
      </c>
      <c r="B158">
        <v>-2.3678019830000001</v>
      </c>
      <c r="C158">
        <v>34.059521969999999</v>
      </c>
      <c r="D158">
        <v>1276</v>
      </c>
      <c r="E158" t="s">
        <v>3329</v>
      </c>
      <c r="F158">
        <v>714</v>
      </c>
      <c r="G158" t="s">
        <v>3269</v>
      </c>
      <c r="H158" t="s">
        <v>3204</v>
      </c>
      <c r="I158" t="s">
        <v>2265</v>
      </c>
      <c r="J158" t="s">
        <v>2381</v>
      </c>
    </row>
    <row r="159" spans="1:10">
      <c r="A159">
        <v>158</v>
      </c>
      <c r="B159">
        <v>-2.3679270410000002</v>
      </c>
      <c r="C159">
        <v>34.059300020000002</v>
      </c>
      <c r="D159">
        <v>1276.23</v>
      </c>
      <c r="E159" t="s">
        <v>3330</v>
      </c>
      <c r="F159">
        <v>715</v>
      </c>
      <c r="G159" t="s">
        <v>3269</v>
      </c>
      <c r="H159" t="s">
        <v>3204</v>
      </c>
      <c r="I159" t="s">
        <v>2265</v>
      </c>
      <c r="J159" t="s">
        <v>2382</v>
      </c>
    </row>
    <row r="160" spans="1:10">
      <c r="A160">
        <v>159</v>
      </c>
      <c r="B160">
        <v>-2.3676829599999998</v>
      </c>
      <c r="C160">
        <v>34.059236990000002</v>
      </c>
      <c r="D160">
        <v>1276.3399999999999</v>
      </c>
      <c r="E160" t="s">
        <v>3331</v>
      </c>
      <c r="F160">
        <v>716</v>
      </c>
      <c r="G160" t="s">
        <v>3269</v>
      </c>
      <c r="H160" t="s">
        <v>3204</v>
      </c>
      <c r="I160" t="s">
        <v>2265</v>
      </c>
      <c r="J160" t="s">
        <v>2383</v>
      </c>
    </row>
    <row r="161" spans="1:10">
      <c r="A161">
        <v>160</v>
      </c>
      <c r="B161">
        <v>-2.367547005</v>
      </c>
      <c r="C161">
        <v>34.059494989999997</v>
      </c>
      <c r="D161">
        <v>1276.02</v>
      </c>
      <c r="E161" t="s">
        <v>3332</v>
      </c>
      <c r="F161">
        <v>717</v>
      </c>
      <c r="G161" t="s">
        <v>3269</v>
      </c>
      <c r="H161" t="s">
        <v>3204</v>
      </c>
      <c r="I161" t="s">
        <v>2265</v>
      </c>
      <c r="J161" t="s">
        <v>2384</v>
      </c>
    </row>
    <row r="162" spans="1:10">
      <c r="A162">
        <v>161</v>
      </c>
      <c r="B162">
        <v>-2.272751033</v>
      </c>
      <c r="C162">
        <v>34.023176030000002</v>
      </c>
      <c r="D162">
        <v>1200.48</v>
      </c>
      <c r="E162" t="s">
        <v>3333</v>
      </c>
      <c r="F162">
        <v>756</v>
      </c>
      <c r="G162" t="s">
        <v>3334</v>
      </c>
      <c r="H162" t="s">
        <v>3236</v>
      </c>
      <c r="I162" t="s">
        <v>2278</v>
      </c>
      <c r="J162" t="s">
        <v>2386</v>
      </c>
    </row>
    <row r="163" spans="1:10">
      <c r="A163">
        <v>162</v>
      </c>
      <c r="B163">
        <v>-2.2727060219999999</v>
      </c>
      <c r="C163">
        <v>34.023162030000002</v>
      </c>
      <c r="D163">
        <v>1199.6099999999999</v>
      </c>
      <c r="E163" t="s">
        <v>3335</v>
      </c>
      <c r="F163">
        <v>757</v>
      </c>
      <c r="G163" t="s">
        <v>3334</v>
      </c>
      <c r="H163" t="s">
        <v>3236</v>
      </c>
      <c r="I163" t="s">
        <v>2278</v>
      </c>
      <c r="J163" t="s">
        <v>2387</v>
      </c>
    </row>
    <row r="164" spans="1:10">
      <c r="A164">
        <v>163</v>
      </c>
      <c r="B164">
        <v>-2.2726719919999998</v>
      </c>
      <c r="C164">
        <v>34.023210980000002</v>
      </c>
      <c r="D164">
        <v>1201.3499999999999</v>
      </c>
      <c r="E164" t="s">
        <v>3336</v>
      </c>
      <c r="F164">
        <v>758</v>
      </c>
      <c r="G164" t="s">
        <v>3334</v>
      </c>
      <c r="H164" t="s">
        <v>3236</v>
      </c>
      <c r="I164" t="s">
        <v>2278</v>
      </c>
      <c r="J164" t="s">
        <v>2388</v>
      </c>
    </row>
    <row r="165" spans="1:10">
      <c r="A165">
        <v>164</v>
      </c>
      <c r="B165">
        <v>-2.2726180130000002</v>
      </c>
      <c r="C165">
        <v>34.023212999999998</v>
      </c>
      <c r="D165">
        <v>1201.78</v>
      </c>
      <c r="E165" t="s">
        <v>3337</v>
      </c>
      <c r="F165">
        <v>759</v>
      </c>
      <c r="G165" t="s">
        <v>3334</v>
      </c>
      <c r="H165" t="s">
        <v>3236</v>
      </c>
      <c r="I165" t="s">
        <v>2278</v>
      </c>
      <c r="J165" t="s">
        <v>2389</v>
      </c>
    </row>
    <row r="166" spans="1:10">
      <c r="A166">
        <v>165</v>
      </c>
      <c r="B166">
        <v>-2.2724750170000001</v>
      </c>
      <c r="C166">
        <v>34.02334501</v>
      </c>
      <c r="D166">
        <v>1201.1099999999999</v>
      </c>
      <c r="E166" t="s">
        <v>3338</v>
      </c>
      <c r="F166">
        <v>760</v>
      </c>
      <c r="G166" t="s">
        <v>3334</v>
      </c>
      <c r="H166" t="s">
        <v>3236</v>
      </c>
      <c r="I166" t="s">
        <v>2278</v>
      </c>
      <c r="J166" t="s">
        <v>2390</v>
      </c>
    </row>
    <row r="167" spans="1:10">
      <c r="A167">
        <v>166</v>
      </c>
      <c r="B167">
        <v>-2.2725490289999999</v>
      </c>
      <c r="C167">
        <v>34.022886020000001</v>
      </c>
      <c r="D167">
        <v>1201.5999999999999</v>
      </c>
      <c r="E167" t="s">
        <v>3339</v>
      </c>
      <c r="F167">
        <v>761</v>
      </c>
      <c r="G167" t="s">
        <v>3334</v>
      </c>
      <c r="H167" t="s">
        <v>3236</v>
      </c>
      <c r="I167" t="s">
        <v>2278</v>
      </c>
      <c r="J167" t="s">
        <v>2391</v>
      </c>
    </row>
    <row r="168" spans="1:10">
      <c r="A168">
        <v>167</v>
      </c>
      <c r="B168">
        <v>-2.2729950310000002</v>
      </c>
      <c r="C168">
        <v>34.022923990000002</v>
      </c>
      <c r="D168">
        <v>1202.05</v>
      </c>
      <c r="E168" t="s">
        <v>3340</v>
      </c>
      <c r="F168">
        <v>762</v>
      </c>
      <c r="G168" t="s">
        <v>3334</v>
      </c>
      <c r="H168" t="s">
        <v>3236</v>
      </c>
      <c r="I168" t="s">
        <v>2278</v>
      </c>
      <c r="J168" t="s">
        <v>2393</v>
      </c>
    </row>
    <row r="169" spans="1:10">
      <c r="A169">
        <v>168</v>
      </c>
      <c r="B169">
        <v>-2.2729129719999999</v>
      </c>
      <c r="C169">
        <v>34.023350039999997</v>
      </c>
      <c r="D169">
        <v>1202.24</v>
      </c>
      <c r="E169" t="s">
        <v>3341</v>
      </c>
      <c r="F169">
        <v>763</v>
      </c>
      <c r="G169" t="s">
        <v>3334</v>
      </c>
      <c r="H169" t="s">
        <v>3236</v>
      </c>
      <c r="I169" t="s">
        <v>2278</v>
      </c>
      <c r="J169" t="s">
        <v>2394</v>
      </c>
    </row>
    <row r="170" spans="1:10">
      <c r="A170">
        <v>169</v>
      </c>
      <c r="B170">
        <v>-2.2784290180000002</v>
      </c>
      <c r="C170">
        <v>34.024240030000001</v>
      </c>
      <c r="D170">
        <v>1203.58</v>
      </c>
      <c r="E170" t="s">
        <v>3342</v>
      </c>
      <c r="F170">
        <v>782</v>
      </c>
      <c r="G170" t="s">
        <v>3334</v>
      </c>
      <c r="H170" t="s">
        <v>3236</v>
      </c>
      <c r="I170" t="s">
        <v>2287</v>
      </c>
      <c r="J170" t="s">
        <v>2395</v>
      </c>
    </row>
    <row r="171" spans="1:10">
      <c r="A171">
        <v>170</v>
      </c>
      <c r="B171">
        <v>-2.2784629650000001</v>
      </c>
      <c r="C171">
        <v>34.024177999999999</v>
      </c>
      <c r="D171">
        <v>1203.0899999999999</v>
      </c>
      <c r="E171" t="s">
        <v>3343</v>
      </c>
      <c r="F171">
        <v>783</v>
      </c>
      <c r="G171" t="s">
        <v>3334</v>
      </c>
      <c r="H171" t="s">
        <v>3236</v>
      </c>
      <c r="I171" t="s">
        <v>2287</v>
      </c>
      <c r="J171" t="s">
        <v>2396</v>
      </c>
    </row>
    <row r="172" spans="1:10">
      <c r="A172">
        <v>171</v>
      </c>
      <c r="B172">
        <v>-2.2785389889999998</v>
      </c>
      <c r="C172">
        <v>34.024371039999998</v>
      </c>
      <c r="D172">
        <v>1201.67</v>
      </c>
      <c r="E172" t="s">
        <v>3344</v>
      </c>
      <c r="F172">
        <v>784</v>
      </c>
      <c r="G172" t="s">
        <v>3334</v>
      </c>
      <c r="H172" t="s">
        <v>3236</v>
      </c>
      <c r="I172" t="s">
        <v>2287</v>
      </c>
      <c r="J172" t="s">
        <v>2397</v>
      </c>
    </row>
    <row r="173" spans="1:10">
      <c r="A173">
        <v>172</v>
      </c>
      <c r="B173">
        <v>-2.2781410160000002</v>
      </c>
      <c r="C173">
        <v>34.024136009999999</v>
      </c>
      <c r="D173">
        <v>1203.08</v>
      </c>
      <c r="E173" t="s">
        <v>3345</v>
      </c>
      <c r="F173">
        <v>789</v>
      </c>
      <c r="G173" t="s">
        <v>3334</v>
      </c>
      <c r="H173" t="s">
        <v>3236</v>
      </c>
      <c r="I173" t="s">
        <v>2287</v>
      </c>
      <c r="J173" t="s">
        <v>2398</v>
      </c>
    </row>
    <row r="174" spans="1:10">
      <c r="A174">
        <v>173</v>
      </c>
      <c r="B174">
        <v>-2.27856799</v>
      </c>
      <c r="C174">
        <v>34.023969970000003</v>
      </c>
      <c r="D174">
        <v>1203.17</v>
      </c>
      <c r="E174" t="s">
        <v>3346</v>
      </c>
      <c r="F174">
        <v>790</v>
      </c>
      <c r="G174" t="s">
        <v>3334</v>
      </c>
      <c r="H174" t="s">
        <v>3236</v>
      </c>
      <c r="I174" t="s">
        <v>2287</v>
      </c>
      <c r="J174" t="s">
        <v>2399</v>
      </c>
    </row>
    <row r="175" spans="1:10">
      <c r="A175">
        <v>174</v>
      </c>
      <c r="B175">
        <v>-2.2786809780000001</v>
      </c>
      <c r="C175">
        <v>34.02434899</v>
      </c>
      <c r="D175">
        <v>1202.44</v>
      </c>
      <c r="E175" t="s">
        <v>3347</v>
      </c>
      <c r="F175">
        <v>791</v>
      </c>
      <c r="G175" t="s">
        <v>3334</v>
      </c>
      <c r="H175" t="s">
        <v>3236</v>
      </c>
      <c r="I175" t="s">
        <v>2287</v>
      </c>
      <c r="J175" t="s">
        <v>2400</v>
      </c>
    </row>
    <row r="176" spans="1:10">
      <c r="A176">
        <v>175</v>
      </c>
      <c r="B176">
        <v>-2.2784219779999999</v>
      </c>
      <c r="C176">
        <v>34.024374979999997</v>
      </c>
      <c r="D176">
        <v>1202.94</v>
      </c>
      <c r="E176" t="s">
        <v>3348</v>
      </c>
      <c r="F176">
        <v>792</v>
      </c>
      <c r="G176" t="s">
        <v>3334</v>
      </c>
      <c r="H176" t="s">
        <v>3236</v>
      </c>
      <c r="I176" t="s">
        <v>2287</v>
      </c>
      <c r="J176" t="s">
        <v>2401</v>
      </c>
    </row>
    <row r="177" spans="1:10">
      <c r="A177">
        <v>176</v>
      </c>
      <c r="B177">
        <v>-2.2782909679999999</v>
      </c>
      <c r="C177">
        <v>34.024574970000003</v>
      </c>
      <c r="D177">
        <v>1202.8900000000001</v>
      </c>
      <c r="E177" t="s">
        <v>3349</v>
      </c>
      <c r="F177">
        <v>793</v>
      </c>
      <c r="G177" t="s">
        <v>3334</v>
      </c>
      <c r="H177" t="s">
        <v>3236</v>
      </c>
      <c r="I177" t="s">
        <v>2287</v>
      </c>
      <c r="J177" t="s">
        <v>2402</v>
      </c>
    </row>
    <row r="178" spans="1:10">
      <c r="A178">
        <v>177</v>
      </c>
      <c r="B178">
        <v>-2.277740026</v>
      </c>
      <c r="C178">
        <v>34.027640990000002</v>
      </c>
      <c r="D178">
        <v>1206.94</v>
      </c>
      <c r="E178" t="s">
        <v>3350</v>
      </c>
      <c r="F178">
        <v>794</v>
      </c>
      <c r="G178" t="s">
        <v>3334</v>
      </c>
      <c r="H178" t="s">
        <v>3236</v>
      </c>
      <c r="I178" t="s">
        <v>2296</v>
      </c>
      <c r="J178" t="s">
        <v>2403</v>
      </c>
    </row>
    <row r="179" spans="1:10">
      <c r="A179">
        <v>178</v>
      </c>
      <c r="B179">
        <v>-2.2777889760000001</v>
      </c>
      <c r="C179">
        <v>34.027664960000003</v>
      </c>
      <c r="D179">
        <v>1207.06</v>
      </c>
      <c r="E179" t="s">
        <v>3351</v>
      </c>
      <c r="F179">
        <v>795</v>
      </c>
      <c r="G179" t="s">
        <v>3334</v>
      </c>
      <c r="H179" t="s">
        <v>3236</v>
      </c>
      <c r="I179" t="s">
        <v>2296</v>
      </c>
      <c r="J179" t="s">
        <v>2404</v>
      </c>
    </row>
    <row r="180" spans="1:10">
      <c r="A180">
        <v>179</v>
      </c>
      <c r="B180">
        <v>-2.2778579589999999</v>
      </c>
      <c r="C180">
        <v>34.027682980000002</v>
      </c>
      <c r="D180">
        <v>1206.43</v>
      </c>
      <c r="E180" t="s">
        <v>3352</v>
      </c>
      <c r="F180">
        <v>796</v>
      </c>
      <c r="G180" t="s">
        <v>3334</v>
      </c>
      <c r="H180" t="s">
        <v>3236</v>
      </c>
      <c r="I180" t="s">
        <v>2296</v>
      </c>
      <c r="J180" t="s">
        <v>2405</v>
      </c>
    </row>
    <row r="181" spans="1:10">
      <c r="A181">
        <v>180</v>
      </c>
      <c r="B181">
        <v>-2.2780199809999999</v>
      </c>
      <c r="C181">
        <v>34.027705019999999</v>
      </c>
      <c r="D181">
        <v>1206.06</v>
      </c>
      <c r="E181" t="s">
        <v>3353</v>
      </c>
      <c r="F181">
        <v>797</v>
      </c>
      <c r="G181" t="s">
        <v>3334</v>
      </c>
      <c r="H181" t="s">
        <v>3236</v>
      </c>
      <c r="I181" t="s">
        <v>2296</v>
      </c>
      <c r="J181" t="s">
        <v>2406</v>
      </c>
    </row>
    <row r="182" spans="1:10">
      <c r="A182">
        <v>181</v>
      </c>
      <c r="B182">
        <v>-2.2777329850000001</v>
      </c>
      <c r="C182">
        <v>34.027422970000003</v>
      </c>
      <c r="D182">
        <v>1207.9000000000001</v>
      </c>
      <c r="E182" t="s">
        <v>3354</v>
      </c>
      <c r="F182">
        <v>798</v>
      </c>
      <c r="G182" t="s">
        <v>3334</v>
      </c>
      <c r="H182" t="s">
        <v>3236</v>
      </c>
      <c r="I182" t="s">
        <v>2296</v>
      </c>
      <c r="J182" t="s">
        <v>2407</v>
      </c>
    </row>
    <row r="183" spans="1:10">
      <c r="A183">
        <v>182</v>
      </c>
      <c r="B183">
        <v>-2.2777009659999998</v>
      </c>
      <c r="C183">
        <v>34.027393969999999</v>
      </c>
      <c r="D183">
        <v>1209.23</v>
      </c>
      <c r="E183" t="s">
        <v>3355</v>
      </c>
      <c r="F183">
        <v>799</v>
      </c>
      <c r="G183" t="s">
        <v>3334</v>
      </c>
      <c r="H183" t="s">
        <v>3236</v>
      </c>
      <c r="I183" t="s">
        <v>2296</v>
      </c>
      <c r="J183" t="s">
        <v>2408</v>
      </c>
    </row>
    <row r="184" spans="1:10">
      <c r="A184">
        <v>183</v>
      </c>
      <c r="B184">
        <v>-2.2777790019999999</v>
      </c>
      <c r="C184">
        <v>34.028066029999998</v>
      </c>
      <c r="D184">
        <v>1207.52</v>
      </c>
      <c r="E184" t="s">
        <v>3356</v>
      </c>
      <c r="F184">
        <v>800</v>
      </c>
      <c r="G184" t="s">
        <v>3334</v>
      </c>
      <c r="H184" t="s">
        <v>3236</v>
      </c>
      <c r="I184" t="s">
        <v>2296</v>
      </c>
      <c r="J184" t="s">
        <v>2409</v>
      </c>
    </row>
    <row r="185" spans="1:10">
      <c r="A185">
        <v>184</v>
      </c>
      <c r="B185">
        <v>-2.2775169829999999</v>
      </c>
      <c r="C185">
        <v>34.027766970000002</v>
      </c>
      <c r="D185">
        <v>1206.52</v>
      </c>
      <c r="E185" t="s">
        <v>3357</v>
      </c>
      <c r="F185">
        <v>801</v>
      </c>
      <c r="G185" t="s">
        <v>3334</v>
      </c>
      <c r="H185" t="s">
        <v>3236</v>
      </c>
      <c r="I185" t="s">
        <v>2296</v>
      </c>
      <c r="J185" t="s">
        <v>2410</v>
      </c>
    </row>
    <row r="186" spans="1:10">
      <c r="A186">
        <v>185</v>
      </c>
      <c r="B186">
        <v>-2.2787330300000002</v>
      </c>
      <c r="C186">
        <v>34.032136029999997</v>
      </c>
      <c r="D186">
        <v>1205.32</v>
      </c>
      <c r="E186" t="s">
        <v>3358</v>
      </c>
      <c r="F186">
        <v>802</v>
      </c>
      <c r="G186" t="s">
        <v>3334</v>
      </c>
      <c r="H186" t="s">
        <v>3236</v>
      </c>
      <c r="I186" t="s">
        <v>2306</v>
      </c>
      <c r="J186" t="s">
        <v>2412</v>
      </c>
    </row>
    <row r="187" spans="1:10">
      <c r="A187">
        <v>186</v>
      </c>
      <c r="B187">
        <v>-2.278763037</v>
      </c>
      <c r="C187">
        <v>34.031974009999999</v>
      </c>
      <c r="D187">
        <v>1203.8599999999999</v>
      </c>
      <c r="E187" t="s">
        <v>3359</v>
      </c>
      <c r="F187">
        <v>803</v>
      </c>
      <c r="G187" t="s">
        <v>3334</v>
      </c>
      <c r="H187" t="s">
        <v>3236</v>
      </c>
      <c r="I187" t="s">
        <v>2306</v>
      </c>
      <c r="J187" t="s">
        <v>2413</v>
      </c>
    </row>
    <row r="188" spans="1:10">
      <c r="A188">
        <v>187</v>
      </c>
      <c r="B188">
        <v>-2.2785890289999999</v>
      </c>
      <c r="C188">
        <v>34.031841999999997</v>
      </c>
      <c r="D188">
        <v>1202.97</v>
      </c>
      <c r="E188" t="s">
        <v>3360</v>
      </c>
      <c r="F188">
        <v>804</v>
      </c>
      <c r="G188" t="s">
        <v>3334</v>
      </c>
      <c r="H188" t="s">
        <v>3236</v>
      </c>
      <c r="I188" t="s">
        <v>2306</v>
      </c>
      <c r="J188" t="s">
        <v>2414</v>
      </c>
    </row>
    <row r="189" spans="1:10">
      <c r="A189">
        <v>188</v>
      </c>
      <c r="B189">
        <v>-2.278422983</v>
      </c>
      <c r="C189">
        <v>34.032261009999999</v>
      </c>
      <c r="D189">
        <v>1201.18</v>
      </c>
      <c r="E189" t="s">
        <v>3361</v>
      </c>
      <c r="F189">
        <v>805</v>
      </c>
      <c r="G189" t="s">
        <v>3334</v>
      </c>
      <c r="H189" t="s">
        <v>3236</v>
      </c>
      <c r="I189" t="s">
        <v>2306</v>
      </c>
      <c r="J189" t="s">
        <v>2415</v>
      </c>
    </row>
    <row r="190" spans="1:10">
      <c r="A190">
        <v>189</v>
      </c>
      <c r="B190">
        <v>-2.2787580080000001</v>
      </c>
      <c r="C190">
        <v>34.032463010000001</v>
      </c>
      <c r="D190">
        <v>1200.18</v>
      </c>
      <c r="E190" t="s">
        <v>3362</v>
      </c>
      <c r="F190">
        <v>806</v>
      </c>
      <c r="G190" t="s">
        <v>3334</v>
      </c>
      <c r="H190" t="s">
        <v>3236</v>
      </c>
      <c r="I190" t="s">
        <v>2306</v>
      </c>
      <c r="J190" t="s">
        <v>2417</v>
      </c>
    </row>
    <row r="191" spans="1:10">
      <c r="A191">
        <v>190</v>
      </c>
      <c r="B191">
        <v>-2.2787559960000001</v>
      </c>
      <c r="C191">
        <v>34.032268969999997</v>
      </c>
      <c r="D191">
        <v>1200.21</v>
      </c>
      <c r="E191" t="s">
        <v>3363</v>
      </c>
      <c r="F191">
        <v>807</v>
      </c>
      <c r="G191" t="s">
        <v>3334</v>
      </c>
      <c r="H191" t="s">
        <v>3236</v>
      </c>
      <c r="I191" t="s">
        <v>2306</v>
      </c>
      <c r="J191" t="s">
        <v>2418</v>
      </c>
    </row>
    <row r="192" spans="1:10">
      <c r="A192">
        <v>191</v>
      </c>
      <c r="B192">
        <v>-2.278704029</v>
      </c>
      <c r="C192">
        <v>34.032182970000001</v>
      </c>
      <c r="D192">
        <v>1198.98</v>
      </c>
      <c r="E192" t="s">
        <v>3364</v>
      </c>
      <c r="F192">
        <v>808</v>
      </c>
      <c r="G192" t="s">
        <v>3334</v>
      </c>
      <c r="H192" t="s">
        <v>3236</v>
      </c>
      <c r="I192" t="s">
        <v>2306</v>
      </c>
      <c r="J192" t="s">
        <v>2419</v>
      </c>
    </row>
    <row r="193" spans="1:10">
      <c r="A193">
        <v>192</v>
      </c>
      <c r="B193">
        <v>-2.2789770269999998</v>
      </c>
      <c r="C193">
        <v>34.032051039999999</v>
      </c>
      <c r="D193">
        <v>1199.46</v>
      </c>
      <c r="E193" t="s">
        <v>3365</v>
      </c>
      <c r="F193">
        <v>809</v>
      </c>
      <c r="G193" t="s">
        <v>3334</v>
      </c>
      <c r="H193" t="s">
        <v>3236</v>
      </c>
      <c r="I193" t="s">
        <v>2306</v>
      </c>
      <c r="J193" t="s">
        <v>2420</v>
      </c>
    </row>
    <row r="194" spans="1:10">
      <c r="A194">
        <v>193</v>
      </c>
      <c r="B194">
        <v>-2.4396949910000001</v>
      </c>
      <c r="C194">
        <v>34.838574029999997</v>
      </c>
      <c r="D194">
        <v>1522.43</v>
      </c>
      <c r="E194" t="s">
        <v>3366</v>
      </c>
      <c r="F194">
        <v>933</v>
      </c>
      <c r="G194" t="s">
        <v>3367</v>
      </c>
      <c r="H194" t="s">
        <v>3368</v>
      </c>
      <c r="I194" t="s">
        <v>2504</v>
      </c>
      <c r="J194" t="s">
        <v>3369</v>
      </c>
    </row>
    <row r="195" spans="1:10">
      <c r="A195">
        <v>194</v>
      </c>
      <c r="B195">
        <v>-2.4395990190000001</v>
      </c>
      <c r="C195">
        <v>34.838418959999998</v>
      </c>
      <c r="D195">
        <v>1526.04</v>
      </c>
      <c r="E195" t="s">
        <v>3370</v>
      </c>
      <c r="F195">
        <v>929</v>
      </c>
      <c r="G195" t="s">
        <v>3367</v>
      </c>
      <c r="H195" t="s">
        <v>3368</v>
      </c>
      <c r="I195" t="s">
        <v>2504</v>
      </c>
      <c r="J195" t="s">
        <v>3371</v>
      </c>
    </row>
    <row r="196" spans="1:10">
      <c r="A196">
        <v>195</v>
      </c>
      <c r="B196">
        <v>-2.439403972</v>
      </c>
      <c r="C196">
        <v>34.838404959999998</v>
      </c>
      <c r="D196">
        <v>1521.01</v>
      </c>
      <c r="E196" t="s">
        <v>3372</v>
      </c>
      <c r="F196">
        <v>934</v>
      </c>
      <c r="G196" t="s">
        <v>3367</v>
      </c>
      <c r="H196" t="s">
        <v>3368</v>
      </c>
      <c r="I196" t="s">
        <v>2504</v>
      </c>
      <c r="J196" t="s">
        <v>3373</v>
      </c>
    </row>
    <row r="197" spans="1:10">
      <c r="A197">
        <v>196</v>
      </c>
      <c r="B197">
        <v>-2.4396450349999999</v>
      </c>
      <c r="C197">
        <v>34.83836599</v>
      </c>
      <c r="D197">
        <v>1519.4</v>
      </c>
      <c r="E197" t="s">
        <v>3374</v>
      </c>
      <c r="F197">
        <v>935</v>
      </c>
      <c r="G197" t="s">
        <v>3367</v>
      </c>
      <c r="H197" t="s">
        <v>3368</v>
      </c>
      <c r="I197" t="s">
        <v>2504</v>
      </c>
      <c r="J197" t="s">
        <v>3375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F4733-1A8E-4365-8497-3D2D81E9BC12}">
  <dimension ref="A1:M31"/>
  <sheetViews>
    <sheetView zoomScaleNormal="100" workbookViewId="0">
      <selection activeCell="G30" sqref="G30:K30"/>
    </sheetView>
  </sheetViews>
  <sheetFormatPr baseColWidth="10" defaultColWidth="8.88671875" defaultRowHeight="14.4"/>
  <cols>
    <col min="1" max="1" width="15.44140625" customWidth="1"/>
    <col min="3" max="3" width="24.109375" customWidth="1"/>
    <col min="4" max="4" width="20.88671875" customWidth="1"/>
    <col min="6" max="6" width="14.109375" customWidth="1"/>
    <col min="10" max="10" width="16" customWidth="1"/>
    <col min="12" max="12" width="21.33203125" customWidth="1"/>
    <col min="13" max="13" width="19.44140625" customWidth="1"/>
  </cols>
  <sheetData>
    <row r="1" spans="1:13" ht="16.8">
      <c r="A1" s="233" t="s">
        <v>2643</v>
      </c>
      <c r="B1" s="233" t="s">
        <v>2665</v>
      </c>
      <c r="C1" s="233" t="s">
        <v>2648</v>
      </c>
      <c r="D1" s="233" t="s">
        <v>2676</v>
      </c>
      <c r="E1" s="233" t="s">
        <v>2641</v>
      </c>
      <c r="F1" s="233" t="s">
        <v>2668</v>
      </c>
      <c r="G1" s="234" t="s">
        <v>2677</v>
      </c>
      <c r="H1" s="234" t="s">
        <v>2678</v>
      </c>
      <c r="I1" s="234" t="s">
        <v>2679</v>
      </c>
      <c r="J1" s="233" t="s">
        <v>2669</v>
      </c>
      <c r="K1" s="233" t="s">
        <v>2680</v>
      </c>
      <c r="L1" s="229"/>
    </row>
    <row r="2" spans="1:13">
      <c r="A2" s="233" t="s">
        <v>2176</v>
      </c>
      <c r="B2" s="233" t="s">
        <v>2659</v>
      </c>
      <c r="C2" s="233" t="s">
        <v>20</v>
      </c>
      <c r="D2" s="233">
        <v>2</v>
      </c>
      <c r="E2" s="233">
        <v>1</v>
      </c>
      <c r="F2" s="230">
        <v>678</v>
      </c>
      <c r="G2" s="231">
        <v>23.96</v>
      </c>
      <c r="H2" s="231">
        <v>0.91999999999999804</v>
      </c>
      <c r="I2" s="231">
        <v>75.12</v>
      </c>
      <c r="J2" s="232" t="s">
        <v>2670</v>
      </c>
      <c r="K2" s="231">
        <v>1.2493839329719072</v>
      </c>
      <c r="L2" s="231"/>
      <c r="M2" s="231"/>
    </row>
    <row r="3" spans="1:13">
      <c r="A3" s="233" t="s">
        <v>2176</v>
      </c>
      <c r="B3" s="233" t="s">
        <v>2659</v>
      </c>
      <c r="C3" s="233" t="s">
        <v>20</v>
      </c>
      <c r="D3" s="233">
        <v>3</v>
      </c>
      <c r="E3" s="233">
        <v>2</v>
      </c>
      <c r="F3" s="230">
        <v>679</v>
      </c>
      <c r="G3" s="231">
        <v>19.96</v>
      </c>
      <c r="H3" s="231">
        <v>4.9199999999999982</v>
      </c>
      <c r="I3" s="231">
        <v>75.12</v>
      </c>
      <c r="J3" s="232" t="s">
        <v>2671</v>
      </c>
      <c r="K3" s="231">
        <v>1.641498275012321</v>
      </c>
      <c r="L3" s="231"/>
      <c r="M3" s="231"/>
    </row>
    <row r="4" spans="1:13">
      <c r="A4" s="233" t="s">
        <v>2176</v>
      </c>
      <c r="B4" s="233" t="s">
        <v>2659</v>
      </c>
      <c r="C4" s="233" t="s">
        <v>20</v>
      </c>
      <c r="D4" s="233">
        <v>1</v>
      </c>
      <c r="E4" s="233">
        <v>3</v>
      </c>
      <c r="F4" s="230">
        <v>680</v>
      </c>
      <c r="G4" s="231">
        <v>21.96</v>
      </c>
      <c r="H4" s="231">
        <v>8.9199999999999982</v>
      </c>
      <c r="I4" s="231">
        <v>69.12</v>
      </c>
      <c r="J4" s="232" t="s">
        <v>2670</v>
      </c>
      <c r="K4" s="231">
        <v>1.7491375061606702</v>
      </c>
      <c r="L4" s="231"/>
      <c r="M4" s="231"/>
    </row>
    <row r="5" spans="1:13">
      <c r="A5" s="233" t="s">
        <v>2176</v>
      </c>
      <c r="B5" s="233" t="s">
        <v>2659</v>
      </c>
      <c r="C5" s="233" t="s">
        <v>20</v>
      </c>
      <c r="D5" s="233">
        <v>4</v>
      </c>
      <c r="E5" s="233">
        <v>4</v>
      </c>
      <c r="F5" s="230">
        <v>681</v>
      </c>
      <c r="G5" s="231">
        <v>25.96</v>
      </c>
      <c r="H5" s="231">
        <v>6.9200000000000008</v>
      </c>
      <c r="I5" s="231">
        <v>67.12</v>
      </c>
      <c r="J5" s="232" t="s">
        <v>2670</v>
      </c>
      <c r="K5" s="231">
        <v>1.7568260226712666</v>
      </c>
      <c r="L5" s="231"/>
      <c r="M5" s="231"/>
    </row>
    <row r="6" spans="1:13">
      <c r="A6" s="233" t="s">
        <v>2176</v>
      </c>
      <c r="B6" s="233" t="s">
        <v>2659</v>
      </c>
      <c r="C6" s="233" t="s">
        <v>2660</v>
      </c>
      <c r="D6" s="233">
        <v>1</v>
      </c>
      <c r="E6" s="233">
        <v>1</v>
      </c>
      <c r="F6" s="230">
        <v>682</v>
      </c>
      <c r="G6" s="231">
        <v>12.565665055683967</v>
      </c>
      <c r="H6" s="231">
        <v>0.9665896196679955</v>
      </c>
      <c r="I6" s="231">
        <v>86.467745324648035</v>
      </c>
      <c r="J6" s="232" t="s">
        <v>2672</v>
      </c>
      <c r="K6" s="231">
        <v>1.0225726959093147</v>
      </c>
      <c r="L6" s="231"/>
      <c r="M6" s="231"/>
    </row>
    <row r="7" spans="1:13">
      <c r="A7" s="233" t="s">
        <v>2176</v>
      </c>
      <c r="B7" s="233" t="s">
        <v>2659</v>
      </c>
      <c r="C7" s="233" t="s">
        <v>2660</v>
      </c>
      <c r="D7" s="233">
        <v>2</v>
      </c>
      <c r="E7" s="233">
        <v>2</v>
      </c>
      <c r="F7" s="230">
        <v>683</v>
      </c>
      <c r="G7" s="231">
        <v>21.13063730679653</v>
      </c>
      <c r="H7" s="231">
        <v>3.0912555579081076</v>
      </c>
      <c r="I7" s="231">
        <v>75.778107135295357</v>
      </c>
      <c r="J7" s="232" t="s">
        <v>2670</v>
      </c>
      <c r="K7" s="231">
        <v>0.46131099063578063</v>
      </c>
      <c r="L7" s="231"/>
      <c r="M7" s="231"/>
    </row>
    <row r="8" spans="1:13">
      <c r="A8" s="233" t="s">
        <v>2176</v>
      </c>
      <c r="B8" s="233" t="s">
        <v>2659</v>
      </c>
      <c r="C8" s="233" t="s">
        <v>2660</v>
      </c>
      <c r="D8" s="233">
        <v>3</v>
      </c>
      <c r="E8" s="233">
        <v>3</v>
      </c>
      <c r="F8" s="230">
        <v>684</v>
      </c>
      <c r="G8" s="231">
        <v>54.080969906906262</v>
      </c>
      <c r="H8" s="231">
        <v>21.264484651351896</v>
      </c>
      <c r="I8" s="231">
        <v>24.654545441741845</v>
      </c>
      <c r="J8" s="232" t="s">
        <v>2673</v>
      </c>
      <c r="K8" s="231">
        <v>1.8433218334154755</v>
      </c>
      <c r="L8" s="231"/>
      <c r="M8" s="231"/>
    </row>
    <row r="9" spans="1:13">
      <c r="A9" s="233" t="s">
        <v>2176</v>
      </c>
      <c r="B9" s="233" t="s">
        <v>2659</v>
      </c>
      <c r="C9" s="233" t="s">
        <v>2660</v>
      </c>
      <c r="D9" s="233">
        <v>4</v>
      </c>
      <c r="E9" s="233">
        <v>4</v>
      </c>
      <c r="F9" s="230">
        <v>685</v>
      </c>
      <c r="G9" s="231">
        <v>51.960000000000008</v>
      </c>
      <c r="H9" s="231">
        <v>18.919999999999995</v>
      </c>
      <c r="I9" s="231">
        <v>29.120000000000005</v>
      </c>
      <c r="J9" s="232" t="s">
        <v>2673</v>
      </c>
      <c r="K9" s="231">
        <v>1.85293247905372</v>
      </c>
      <c r="L9" s="231"/>
      <c r="M9" s="231"/>
    </row>
    <row r="10" spans="1:13">
      <c r="A10" s="233" t="s">
        <v>2276</v>
      </c>
      <c r="B10" s="233" t="s">
        <v>2659</v>
      </c>
      <c r="C10" s="233" t="s">
        <v>2661</v>
      </c>
      <c r="D10" s="233">
        <v>3</v>
      </c>
      <c r="E10" s="233">
        <v>1</v>
      </c>
      <c r="F10" s="230">
        <v>686</v>
      </c>
      <c r="G10" s="231">
        <v>47.96</v>
      </c>
      <c r="H10" s="231">
        <v>22.919999999999995</v>
      </c>
      <c r="I10" s="231">
        <v>29.120000000000012</v>
      </c>
      <c r="J10" s="232" t="s">
        <v>2673</v>
      </c>
      <c r="K10" s="231">
        <v>2.8831936914736325</v>
      </c>
      <c r="L10" s="231"/>
      <c r="M10" s="231"/>
    </row>
    <row r="11" spans="1:13">
      <c r="A11" s="233" t="s">
        <v>2276</v>
      </c>
      <c r="B11" s="233" t="s">
        <v>2659</v>
      </c>
      <c r="C11" s="233" t="s">
        <v>2661</v>
      </c>
      <c r="D11" s="233">
        <v>4</v>
      </c>
      <c r="E11" s="233">
        <v>2</v>
      </c>
      <c r="F11" s="230">
        <v>687</v>
      </c>
      <c r="G11" s="231">
        <v>45.272914521112256</v>
      </c>
      <c r="H11" s="231">
        <v>23.604531410916575</v>
      </c>
      <c r="I11" s="231">
        <v>31.122554067971166</v>
      </c>
      <c r="J11" s="232" t="s">
        <v>2673</v>
      </c>
      <c r="K11" s="231">
        <v>2.0547560374568752</v>
      </c>
      <c r="L11" s="231"/>
      <c r="M11" s="231"/>
    </row>
    <row r="12" spans="1:13">
      <c r="A12" s="233" t="s">
        <v>2276</v>
      </c>
      <c r="B12" s="233" t="s">
        <v>2659</v>
      </c>
      <c r="C12" s="233" t="s">
        <v>2661</v>
      </c>
      <c r="D12" s="233">
        <v>1</v>
      </c>
      <c r="E12" s="233">
        <v>3</v>
      </c>
      <c r="F12" s="230">
        <v>688</v>
      </c>
      <c r="G12" s="231">
        <v>38.691629007962128</v>
      </c>
      <c r="H12" s="231">
        <v>26.81299763288143</v>
      </c>
      <c r="I12" s="231">
        <v>34.495373359156439</v>
      </c>
      <c r="J12" s="232" t="s">
        <v>2675</v>
      </c>
      <c r="K12" s="231">
        <v>2.5483587974371611</v>
      </c>
      <c r="L12" s="231"/>
      <c r="M12" s="231"/>
    </row>
    <row r="13" spans="1:13">
      <c r="A13" s="233" t="s">
        <v>2276</v>
      </c>
      <c r="B13" s="233" t="s">
        <v>2659</v>
      </c>
      <c r="C13" s="233" t="s">
        <v>2661</v>
      </c>
      <c r="D13" s="233">
        <v>2</v>
      </c>
      <c r="E13" s="233">
        <v>4</v>
      </c>
      <c r="F13" s="230">
        <v>689</v>
      </c>
      <c r="G13" s="231">
        <v>28.145762029394</v>
      </c>
      <c r="H13" s="231">
        <v>25.085564727199518</v>
      </c>
      <c r="I13" s="231">
        <v>46.768673243406489</v>
      </c>
      <c r="J13" s="232" t="s">
        <v>2670</v>
      </c>
      <c r="K13" s="231">
        <v>2.1716214884179394</v>
      </c>
      <c r="L13" s="231"/>
      <c r="M13" s="231"/>
    </row>
    <row r="14" spans="1:13">
      <c r="A14" s="233" t="s">
        <v>2666</v>
      </c>
      <c r="B14" s="233" t="s">
        <v>2460</v>
      </c>
      <c r="C14" s="233" t="s">
        <v>20</v>
      </c>
      <c r="D14" s="233">
        <v>1</v>
      </c>
      <c r="E14" s="233">
        <v>1</v>
      </c>
      <c r="F14" s="230">
        <v>694</v>
      </c>
      <c r="G14" s="231">
        <v>31.214836424255054</v>
      </c>
      <c r="H14" s="231">
        <v>11.377370285476141</v>
      </c>
      <c r="I14" s="231">
        <v>57.407793290268799</v>
      </c>
      <c r="J14" s="232" t="s">
        <v>2670</v>
      </c>
      <c r="K14" s="231">
        <v>1.7337604731394776</v>
      </c>
      <c r="L14" s="231"/>
      <c r="M14" s="231"/>
    </row>
    <row r="15" spans="1:13">
      <c r="A15" s="233" t="s">
        <v>2666</v>
      </c>
      <c r="B15" s="233" t="s">
        <v>2460</v>
      </c>
      <c r="C15" s="233" t="s">
        <v>20</v>
      </c>
      <c r="D15" s="233">
        <v>4</v>
      </c>
      <c r="E15" s="233">
        <v>2</v>
      </c>
      <c r="F15" s="230">
        <v>695</v>
      </c>
      <c r="G15" s="231">
        <v>33.96</v>
      </c>
      <c r="H15" s="231">
        <v>8.9200000000000017</v>
      </c>
      <c r="I15" s="231">
        <v>57.12</v>
      </c>
      <c r="J15" s="232" t="s">
        <v>2670</v>
      </c>
      <c r="K15" s="231">
        <v>2.072055199605717</v>
      </c>
      <c r="L15" s="231"/>
      <c r="M15" s="231"/>
    </row>
    <row r="16" spans="1:13">
      <c r="A16" s="233" t="s">
        <v>2666</v>
      </c>
      <c r="B16" s="233" t="s">
        <v>2460</v>
      </c>
      <c r="C16" s="233" t="s">
        <v>20</v>
      </c>
      <c r="D16" s="233">
        <v>2</v>
      </c>
      <c r="E16" s="233">
        <v>3</v>
      </c>
      <c r="F16" s="230">
        <v>696</v>
      </c>
      <c r="G16" s="231">
        <v>39.96</v>
      </c>
      <c r="H16" s="231">
        <v>12.920000000000002</v>
      </c>
      <c r="I16" s="231">
        <v>47.12</v>
      </c>
      <c r="J16" s="232" t="s">
        <v>2674</v>
      </c>
      <c r="K16" s="231">
        <v>1.6549531789058647</v>
      </c>
      <c r="L16" s="231"/>
      <c r="M16" s="231"/>
    </row>
    <row r="17" spans="1:13">
      <c r="A17" s="233" t="s">
        <v>2666</v>
      </c>
      <c r="B17" s="233" t="s">
        <v>2460</v>
      </c>
      <c r="C17" s="233" t="s">
        <v>20</v>
      </c>
      <c r="D17" s="233">
        <v>3</v>
      </c>
      <c r="E17" s="233">
        <v>4</v>
      </c>
      <c r="F17" s="230">
        <v>697</v>
      </c>
      <c r="G17" s="231">
        <v>27.96</v>
      </c>
      <c r="H17" s="231">
        <v>4.9200000000000017</v>
      </c>
      <c r="I17" s="231">
        <v>67.12</v>
      </c>
      <c r="J17" s="232" t="s">
        <v>2670</v>
      </c>
      <c r="K17" s="231">
        <v>1.0437161163134547</v>
      </c>
      <c r="L17" s="231"/>
      <c r="M17" s="231"/>
    </row>
    <row r="18" spans="1:13">
      <c r="A18" s="233" t="s">
        <v>2666</v>
      </c>
      <c r="B18" s="233" t="s">
        <v>2460</v>
      </c>
      <c r="C18" s="233" t="s">
        <v>2660</v>
      </c>
      <c r="D18" s="233">
        <v>1</v>
      </c>
      <c r="E18" s="233">
        <v>1</v>
      </c>
      <c r="F18" s="230">
        <v>698</v>
      </c>
      <c r="G18" s="231">
        <v>45.96</v>
      </c>
      <c r="H18" s="231">
        <v>14.920000000000003</v>
      </c>
      <c r="I18" s="231">
        <v>39.119999999999997</v>
      </c>
      <c r="J18" s="232" t="s">
        <v>2673</v>
      </c>
      <c r="K18" s="231">
        <v>2.0374568753080333</v>
      </c>
      <c r="L18" s="231"/>
      <c r="M18" s="231"/>
    </row>
    <row r="19" spans="1:13">
      <c r="A19" s="233" t="s">
        <v>2666</v>
      </c>
      <c r="B19" s="233" t="s">
        <v>2460</v>
      </c>
      <c r="C19" s="233" t="s">
        <v>2660</v>
      </c>
      <c r="D19" s="233">
        <v>2</v>
      </c>
      <c r="E19" s="233">
        <v>2</v>
      </c>
      <c r="F19" s="230">
        <v>699</v>
      </c>
      <c r="G19" s="231">
        <v>34.344660194174757</v>
      </c>
      <c r="H19" s="231">
        <v>19.22727272727273</v>
      </c>
      <c r="I19" s="231">
        <v>46.428067078552509</v>
      </c>
      <c r="J19" s="232" t="s">
        <v>2670</v>
      </c>
      <c r="K19" s="231">
        <v>1.7452932479053718</v>
      </c>
      <c r="L19" s="231"/>
      <c r="M19" s="231"/>
    </row>
    <row r="20" spans="1:13">
      <c r="A20" s="233" t="s">
        <v>2666</v>
      </c>
      <c r="B20" s="233" t="s">
        <v>2460</v>
      </c>
      <c r="C20" s="233" t="s">
        <v>2660</v>
      </c>
      <c r="D20" s="233">
        <v>3</v>
      </c>
      <c r="E20" s="233">
        <v>3</v>
      </c>
      <c r="F20" s="230">
        <v>700</v>
      </c>
      <c r="G20" s="231">
        <v>27.96</v>
      </c>
      <c r="H20" s="231">
        <v>4.9200000000000017</v>
      </c>
      <c r="I20" s="231">
        <v>67.12</v>
      </c>
      <c r="J20" s="232" t="s">
        <v>2670</v>
      </c>
      <c r="K20" s="231">
        <v>0.88610152784622953</v>
      </c>
      <c r="L20" s="231"/>
      <c r="M20" s="231"/>
    </row>
    <row r="21" spans="1:13">
      <c r="A21" s="233" t="s">
        <v>2666</v>
      </c>
      <c r="B21" s="233" t="s">
        <v>2460</v>
      </c>
      <c r="C21" s="233" t="s">
        <v>2660</v>
      </c>
      <c r="D21" s="233">
        <v>4</v>
      </c>
      <c r="E21" s="233">
        <v>4</v>
      </c>
      <c r="F21" s="230">
        <v>701</v>
      </c>
      <c r="G21" s="231">
        <v>17.96</v>
      </c>
      <c r="H21" s="231">
        <v>4.9199999999999982</v>
      </c>
      <c r="I21" s="231">
        <v>77.12</v>
      </c>
      <c r="J21" s="232" t="s">
        <v>2671</v>
      </c>
      <c r="K21" s="231">
        <v>2.0220798422868409</v>
      </c>
      <c r="L21" s="231"/>
      <c r="M21" s="231"/>
    </row>
    <row r="22" spans="1:13">
      <c r="A22" s="233" t="s">
        <v>2385</v>
      </c>
      <c r="B22" s="233" t="s">
        <v>2460</v>
      </c>
      <c r="C22" s="233" t="s">
        <v>2661</v>
      </c>
      <c r="D22" s="233">
        <v>3</v>
      </c>
      <c r="E22" s="233">
        <v>1</v>
      </c>
      <c r="F22" s="230">
        <v>702</v>
      </c>
      <c r="G22" s="231">
        <v>21.96</v>
      </c>
      <c r="H22" s="231">
        <v>4.9199999999999982</v>
      </c>
      <c r="I22" s="231">
        <v>73.12</v>
      </c>
      <c r="J22" s="232" t="s">
        <v>2670</v>
      </c>
      <c r="K22" s="231">
        <v>1.2416954164613114</v>
      </c>
      <c r="L22" s="231"/>
      <c r="M22" s="231"/>
    </row>
    <row r="23" spans="1:13">
      <c r="A23" s="233" t="s">
        <v>2385</v>
      </c>
      <c r="B23" s="233" t="s">
        <v>2460</v>
      </c>
      <c r="C23" s="233" t="s">
        <v>2661</v>
      </c>
      <c r="D23" s="233">
        <v>4</v>
      </c>
      <c r="E23" s="233">
        <v>2</v>
      </c>
      <c r="F23" s="230">
        <v>703</v>
      </c>
      <c r="G23" s="231">
        <v>23.96</v>
      </c>
      <c r="H23" s="231">
        <v>4.9199999999999982</v>
      </c>
      <c r="I23" s="231">
        <v>71.12</v>
      </c>
      <c r="J23" s="232" t="s">
        <v>2670</v>
      </c>
      <c r="K23" s="231">
        <v>3.30913750616067</v>
      </c>
      <c r="L23" s="231"/>
      <c r="M23" s="231"/>
    </row>
    <row r="24" spans="1:13">
      <c r="A24" s="233" t="s">
        <v>2385</v>
      </c>
      <c r="B24" s="233" t="s">
        <v>2460</v>
      </c>
      <c r="C24" s="233" t="s">
        <v>2661</v>
      </c>
      <c r="D24" s="233">
        <v>1</v>
      </c>
      <c r="E24" s="233">
        <v>3</v>
      </c>
      <c r="F24" s="230">
        <v>704</v>
      </c>
      <c r="G24" s="231">
        <v>25.96</v>
      </c>
      <c r="H24" s="231">
        <v>8.9200000000000017</v>
      </c>
      <c r="I24" s="231">
        <v>65.12</v>
      </c>
      <c r="J24" s="232" t="s">
        <v>2670</v>
      </c>
      <c r="K24" s="231">
        <v>1.614588467225234</v>
      </c>
      <c r="L24" s="231"/>
      <c r="M24" s="231"/>
    </row>
    <row r="25" spans="1:13">
      <c r="A25" s="233" t="s">
        <v>2385</v>
      </c>
      <c r="B25" s="233" t="s">
        <v>2460</v>
      </c>
      <c r="C25" s="233" t="s">
        <v>2661</v>
      </c>
      <c r="D25" s="233">
        <v>2</v>
      </c>
      <c r="E25" s="233">
        <v>4</v>
      </c>
      <c r="F25" s="230">
        <v>705</v>
      </c>
      <c r="G25" s="231">
        <v>25.96</v>
      </c>
      <c r="H25" s="231">
        <v>8.9200000000000017</v>
      </c>
      <c r="I25" s="231">
        <v>65.12</v>
      </c>
      <c r="J25" s="232" t="s">
        <v>2670</v>
      </c>
      <c r="K25" s="231">
        <v>1.6991621488417901</v>
      </c>
      <c r="L25" s="231"/>
      <c r="M25" s="231"/>
    </row>
    <row r="26" spans="1:13">
      <c r="A26" s="233" t="s">
        <v>2428</v>
      </c>
      <c r="B26" s="233" t="s">
        <v>2662</v>
      </c>
      <c r="C26" s="233" t="s">
        <v>2526</v>
      </c>
      <c r="D26" s="233">
        <v>1</v>
      </c>
      <c r="E26" s="233">
        <v>1</v>
      </c>
      <c r="F26" s="233">
        <v>690</v>
      </c>
      <c r="G26" s="231">
        <v>29.076539101497506</v>
      </c>
      <c r="H26" s="231">
        <v>7.1963394342762079</v>
      </c>
      <c r="I26" s="231">
        <v>63.727121464226286</v>
      </c>
      <c r="J26" s="231" t="s">
        <v>2670</v>
      </c>
      <c r="K26" s="231">
        <v>1.0994578610152781</v>
      </c>
    </row>
    <row r="27" spans="1:13">
      <c r="A27" s="233" t="s">
        <v>2428</v>
      </c>
      <c r="B27" s="233" t="s">
        <v>2662</v>
      </c>
      <c r="C27" s="233" t="s">
        <v>2526</v>
      </c>
      <c r="D27" s="233">
        <v>2</v>
      </c>
      <c r="E27" s="233">
        <v>2</v>
      </c>
      <c r="F27" s="233">
        <v>691</v>
      </c>
      <c r="G27" s="231">
        <v>21.072635135135137</v>
      </c>
      <c r="H27" s="231">
        <v>7.3057432432432412</v>
      </c>
      <c r="I27" s="231">
        <v>71.621621621621614</v>
      </c>
      <c r="J27" s="231" t="s">
        <v>2670</v>
      </c>
      <c r="K27" s="231">
        <v>1.4512074913750617</v>
      </c>
    </row>
    <row r="28" spans="1:13">
      <c r="A28" s="233" t="s">
        <v>2428</v>
      </c>
      <c r="B28" s="233" t="s">
        <v>2662</v>
      </c>
      <c r="C28" s="233" t="s">
        <v>2526</v>
      </c>
      <c r="D28" s="233">
        <v>3</v>
      </c>
      <c r="E28" s="233">
        <v>3</v>
      </c>
      <c r="F28" s="233">
        <v>692</v>
      </c>
      <c r="G28" s="231">
        <v>21.96</v>
      </c>
      <c r="H28" s="231">
        <v>4.9199999999999982</v>
      </c>
      <c r="I28" s="231">
        <v>73.12</v>
      </c>
      <c r="J28" s="231" t="s">
        <v>2670</v>
      </c>
      <c r="K28" s="231">
        <v>1.4012321340561851</v>
      </c>
    </row>
    <row r="29" spans="1:13">
      <c r="A29" s="233" t="s">
        <v>2428</v>
      </c>
      <c r="B29" s="233" t="s">
        <v>2662</v>
      </c>
      <c r="C29" s="233" t="s">
        <v>2526</v>
      </c>
      <c r="D29" s="233">
        <v>4</v>
      </c>
      <c r="E29" s="233">
        <v>4</v>
      </c>
      <c r="F29" s="233">
        <v>693</v>
      </c>
      <c r="G29" s="231">
        <v>15.960000000000003</v>
      </c>
      <c r="H29" s="231">
        <v>6.9199999999999982</v>
      </c>
      <c r="I29" s="231">
        <v>77.11999999999999</v>
      </c>
      <c r="J29" s="231" t="s">
        <v>2671</v>
      </c>
      <c r="K29" s="231">
        <v>0.60547067520946207</v>
      </c>
    </row>
    <row r="30" spans="1:13">
      <c r="A30" s="233" t="s">
        <v>3657</v>
      </c>
      <c r="B30" s="233"/>
      <c r="C30" s="233"/>
      <c r="D30" s="233"/>
      <c r="E30" s="233"/>
      <c r="F30" s="230"/>
      <c r="G30" s="231">
        <f>AVERAGE(G26:G29)</f>
        <v>22.017293559158162</v>
      </c>
      <c r="H30" s="231">
        <f t="shared" ref="H30:I30" si="0">AVERAGE(H26:H29)</f>
        <v>6.5855206693798616</v>
      </c>
      <c r="I30" s="231">
        <f t="shared" si="0"/>
        <v>71.397185771461977</v>
      </c>
      <c r="J30" s="231" t="s">
        <v>2670</v>
      </c>
      <c r="K30" s="240">
        <f>AVERAGE(K26:K29)</f>
        <v>1.1393420404139967</v>
      </c>
    </row>
    <row r="31" spans="1:13">
      <c r="A31" s="233"/>
      <c r="B31" s="233"/>
      <c r="C31" s="233"/>
      <c r="D31" s="233"/>
      <c r="E31" s="233"/>
      <c r="F31" s="230"/>
      <c r="G31" s="231"/>
      <c r="H31" s="231"/>
      <c r="I31" s="231"/>
      <c r="J31" s="232"/>
    </row>
  </sheetData>
  <sortState ref="A1:K31">
    <sortCondition ref="E22:E25"/>
  </sortState>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34DA3-6191-4EC8-B886-4F2A7DC4F502}">
  <dimension ref="A1:O217"/>
  <sheetViews>
    <sheetView workbookViewId="0">
      <selection activeCell="O46" sqref="O46"/>
    </sheetView>
  </sheetViews>
  <sheetFormatPr baseColWidth="10" defaultColWidth="8.88671875" defaultRowHeight="14.4"/>
  <cols>
    <col min="7" max="7" width="19.5546875" customWidth="1"/>
    <col min="8" max="8" width="14.5546875" customWidth="1"/>
    <col min="12" max="12" width="9.5546875" customWidth="1"/>
    <col min="13" max="13" width="15.33203125" customWidth="1"/>
    <col min="14" max="14" width="17.44140625" customWidth="1"/>
    <col min="15" max="15" width="22.6640625" customWidth="1"/>
  </cols>
  <sheetData>
    <row r="1" spans="1:15">
      <c r="A1" t="s">
        <v>2682</v>
      </c>
      <c r="B1" t="s">
        <v>2683</v>
      </c>
      <c r="C1" t="s">
        <v>2684</v>
      </c>
      <c r="D1" t="s">
        <v>2685</v>
      </c>
      <c r="E1" t="s">
        <v>2686</v>
      </c>
      <c r="F1" t="s">
        <v>2687</v>
      </c>
      <c r="G1" t="s">
        <v>2688</v>
      </c>
      <c r="H1" t="s">
        <v>2689</v>
      </c>
      <c r="I1" t="s">
        <v>2690</v>
      </c>
      <c r="J1" t="s">
        <v>2691</v>
      </c>
      <c r="K1" t="s">
        <v>2692</v>
      </c>
      <c r="L1" t="s">
        <v>2693</v>
      </c>
      <c r="M1" t="s">
        <v>2694</v>
      </c>
      <c r="N1" t="s">
        <v>2695</v>
      </c>
      <c r="O1" t="s">
        <v>2681</v>
      </c>
    </row>
    <row r="2" spans="1:15">
      <c r="A2">
        <v>193</v>
      </c>
      <c r="B2" t="s">
        <v>2428</v>
      </c>
      <c r="C2" t="s">
        <v>2445</v>
      </c>
      <c r="D2" t="s">
        <v>2659</v>
      </c>
      <c r="E2" t="s">
        <v>2460</v>
      </c>
      <c r="F2" t="s">
        <v>2504</v>
      </c>
      <c r="G2" t="s">
        <v>2916</v>
      </c>
      <c r="H2" t="s">
        <v>2917</v>
      </c>
      <c r="I2">
        <v>863</v>
      </c>
      <c r="J2">
        <v>125</v>
      </c>
      <c r="K2">
        <v>584</v>
      </c>
      <c r="L2" t="s">
        <v>2918</v>
      </c>
      <c r="M2">
        <v>44</v>
      </c>
      <c r="N2" t="s">
        <v>2919</v>
      </c>
      <c r="O2">
        <v>175.054685654</v>
      </c>
    </row>
    <row r="3" spans="1:15">
      <c r="A3">
        <v>194</v>
      </c>
      <c r="B3" t="s">
        <v>2428</v>
      </c>
      <c r="C3" t="s">
        <v>2438</v>
      </c>
      <c r="D3" t="s">
        <v>2659</v>
      </c>
      <c r="E3" t="s">
        <v>2460</v>
      </c>
      <c r="F3" t="s">
        <v>2504</v>
      </c>
      <c r="G3" t="s">
        <v>2916</v>
      </c>
      <c r="H3" t="s">
        <v>2917</v>
      </c>
      <c r="I3">
        <v>615</v>
      </c>
      <c r="J3">
        <v>289</v>
      </c>
      <c r="K3">
        <v>713</v>
      </c>
      <c r="L3" t="s">
        <v>2920</v>
      </c>
      <c r="M3">
        <v>44</v>
      </c>
      <c r="N3" t="s">
        <v>2919</v>
      </c>
      <c r="O3">
        <v>175.054685654</v>
      </c>
    </row>
    <row r="4" spans="1:15">
      <c r="A4">
        <v>198</v>
      </c>
      <c r="B4" t="s">
        <v>2428</v>
      </c>
      <c r="C4" t="s">
        <v>2439</v>
      </c>
      <c r="D4" t="s">
        <v>2659</v>
      </c>
      <c r="E4" t="s">
        <v>2460</v>
      </c>
      <c r="F4" t="s">
        <v>2504</v>
      </c>
      <c r="G4" t="s">
        <v>2916</v>
      </c>
      <c r="H4" t="s">
        <v>2917</v>
      </c>
      <c r="I4">
        <v>785</v>
      </c>
      <c r="J4">
        <v>463</v>
      </c>
      <c r="K4">
        <v>462</v>
      </c>
      <c r="L4" t="s">
        <v>2924</v>
      </c>
      <c r="M4">
        <v>44</v>
      </c>
      <c r="N4" t="s">
        <v>2919</v>
      </c>
      <c r="O4">
        <v>175.054685654</v>
      </c>
    </row>
    <row r="5" spans="1:15">
      <c r="A5">
        <v>200</v>
      </c>
      <c r="B5" t="s">
        <v>2428</v>
      </c>
      <c r="C5" t="s">
        <v>2446</v>
      </c>
      <c r="D5" t="s">
        <v>2659</v>
      </c>
      <c r="E5" t="s">
        <v>2460</v>
      </c>
      <c r="F5" t="s">
        <v>2504</v>
      </c>
      <c r="G5" t="s">
        <v>2916</v>
      </c>
      <c r="H5" t="s">
        <v>2917</v>
      </c>
      <c r="I5">
        <v>816</v>
      </c>
      <c r="J5">
        <v>303</v>
      </c>
      <c r="K5">
        <v>709</v>
      </c>
      <c r="L5" t="s">
        <v>2926</v>
      </c>
      <c r="M5">
        <v>44</v>
      </c>
      <c r="N5" t="s">
        <v>2919</v>
      </c>
      <c r="O5">
        <v>175.054685654</v>
      </c>
    </row>
    <row r="6" spans="1:15">
      <c r="A6">
        <v>201</v>
      </c>
      <c r="B6" t="s">
        <v>2428</v>
      </c>
      <c r="C6" t="s">
        <v>2447</v>
      </c>
      <c r="D6" t="s">
        <v>2659</v>
      </c>
      <c r="E6" t="s">
        <v>2460</v>
      </c>
      <c r="F6" t="s">
        <v>2504</v>
      </c>
      <c r="G6" t="s">
        <v>2916</v>
      </c>
      <c r="H6" t="s">
        <v>2917</v>
      </c>
      <c r="I6">
        <v>811</v>
      </c>
      <c r="J6">
        <v>218</v>
      </c>
      <c r="K6">
        <v>707</v>
      </c>
      <c r="L6" t="s">
        <v>2927</v>
      </c>
      <c r="M6">
        <v>44</v>
      </c>
      <c r="N6" t="s">
        <v>2919</v>
      </c>
      <c r="O6">
        <v>175.054685654</v>
      </c>
    </row>
    <row r="7" spans="1:15">
      <c r="A7">
        <v>204</v>
      </c>
      <c r="B7" t="s">
        <v>2428</v>
      </c>
      <c r="C7" t="s">
        <v>2440</v>
      </c>
      <c r="D7" t="s">
        <v>2659</v>
      </c>
      <c r="E7" t="s">
        <v>2460</v>
      </c>
      <c r="F7" t="s">
        <v>2504</v>
      </c>
      <c r="G7" t="s">
        <v>2916</v>
      </c>
      <c r="H7" t="s">
        <v>2917</v>
      </c>
      <c r="I7">
        <v>814</v>
      </c>
      <c r="J7">
        <v>334</v>
      </c>
      <c r="K7">
        <v>640</v>
      </c>
      <c r="L7" t="s">
        <v>2930</v>
      </c>
      <c r="M7">
        <v>44</v>
      </c>
      <c r="N7" t="s">
        <v>2919</v>
      </c>
      <c r="O7">
        <v>175.054685654</v>
      </c>
    </row>
    <row r="8" spans="1:15">
      <c r="A8">
        <v>207</v>
      </c>
      <c r="B8" t="s">
        <v>2428</v>
      </c>
      <c r="C8" t="s">
        <v>2448</v>
      </c>
      <c r="D8" t="s">
        <v>2460</v>
      </c>
      <c r="E8" t="s">
        <v>2460</v>
      </c>
      <c r="F8" t="s">
        <v>2504</v>
      </c>
      <c r="G8" t="s">
        <v>2916</v>
      </c>
      <c r="H8" t="s">
        <v>2917</v>
      </c>
      <c r="I8">
        <v>574</v>
      </c>
      <c r="J8">
        <v>258</v>
      </c>
      <c r="K8">
        <v>540</v>
      </c>
      <c r="L8" t="s">
        <v>2933</v>
      </c>
      <c r="M8">
        <v>44</v>
      </c>
      <c r="N8" t="s">
        <v>2919</v>
      </c>
      <c r="O8">
        <v>175.054685654</v>
      </c>
    </row>
    <row r="9" spans="1:15">
      <c r="A9">
        <v>208</v>
      </c>
      <c r="B9" t="s">
        <v>2428</v>
      </c>
      <c r="C9" t="s">
        <v>2441</v>
      </c>
      <c r="D9" t="s">
        <v>2460</v>
      </c>
      <c r="E9" t="s">
        <v>2460</v>
      </c>
      <c r="F9" t="s">
        <v>2504</v>
      </c>
      <c r="G9" t="s">
        <v>2916</v>
      </c>
      <c r="H9" t="s">
        <v>2917</v>
      </c>
      <c r="I9">
        <v>710</v>
      </c>
      <c r="J9">
        <v>344</v>
      </c>
      <c r="K9">
        <v>508</v>
      </c>
      <c r="L9" t="s">
        <v>2934</v>
      </c>
      <c r="M9">
        <v>44</v>
      </c>
      <c r="N9" t="s">
        <v>2919</v>
      </c>
      <c r="O9">
        <v>175.054685654</v>
      </c>
    </row>
    <row r="10" spans="1:15">
      <c r="A10">
        <v>210</v>
      </c>
      <c r="B10" t="s">
        <v>2428</v>
      </c>
      <c r="C10" t="s">
        <v>2449</v>
      </c>
      <c r="D10" t="s">
        <v>2460</v>
      </c>
      <c r="E10" t="s">
        <v>2460</v>
      </c>
      <c r="F10" t="s">
        <v>2504</v>
      </c>
      <c r="G10" t="s">
        <v>2916</v>
      </c>
      <c r="H10" t="s">
        <v>2917</v>
      </c>
      <c r="I10">
        <v>871</v>
      </c>
      <c r="J10">
        <v>340</v>
      </c>
      <c r="K10">
        <v>720</v>
      </c>
      <c r="L10" t="s">
        <v>2936</v>
      </c>
      <c r="M10">
        <v>44</v>
      </c>
      <c r="N10" t="s">
        <v>2919</v>
      </c>
      <c r="O10">
        <v>175.054685654</v>
      </c>
    </row>
    <row r="11" spans="1:15">
      <c r="A11">
        <v>212</v>
      </c>
      <c r="B11" t="s">
        <v>2428</v>
      </c>
      <c r="C11" t="s">
        <v>2442</v>
      </c>
      <c r="D11" t="s">
        <v>2460</v>
      </c>
      <c r="E11" t="s">
        <v>2460</v>
      </c>
      <c r="F11" t="s">
        <v>2504</v>
      </c>
      <c r="G11" t="s">
        <v>2916</v>
      </c>
      <c r="H11" t="s">
        <v>2917</v>
      </c>
      <c r="I11">
        <v>786</v>
      </c>
      <c r="J11">
        <v>93</v>
      </c>
      <c r="K11">
        <v>560</v>
      </c>
      <c r="L11" t="s">
        <v>2938</v>
      </c>
      <c r="M11">
        <v>44</v>
      </c>
      <c r="N11" t="s">
        <v>2919</v>
      </c>
      <c r="O11">
        <v>175.054685654</v>
      </c>
    </row>
    <row r="12" spans="1:15">
      <c r="A12">
        <v>213</v>
      </c>
      <c r="B12" t="s">
        <v>2428</v>
      </c>
      <c r="C12" t="s">
        <v>2450</v>
      </c>
      <c r="D12" t="s">
        <v>2460</v>
      </c>
      <c r="E12" t="s">
        <v>2460</v>
      </c>
      <c r="F12" t="s">
        <v>2504</v>
      </c>
      <c r="G12" t="s">
        <v>2916</v>
      </c>
      <c r="H12" t="s">
        <v>2917</v>
      </c>
      <c r="I12">
        <v>572</v>
      </c>
      <c r="J12">
        <v>88</v>
      </c>
      <c r="K12">
        <v>716</v>
      </c>
      <c r="L12" t="s">
        <v>2939</v>
      </c>
      <c r="M12">
        <v>44</v>
      </c>
      <c r="N12" t="s">
        <v>2919</v>
      </c>
      <c r="O12">
        <v>175.054685654</v>
      </c>
    </row>
    <row r="13" spans="1:15">
      <c r="A13">
        <v>214</v>
      </c>
      <c r="B13" t="s">
        <v>2428</v>
      </c>
      <c r="C13" t="s">
        <v>2443</v>
      </c>
      <c r="D13" t="s">
        <v>2460</v>
      </c>
      <c r="E13" t="s">
        <v>2460</v>
      </c>
      <c r="F13" t="s">
        <v>2504</v>
      </c>
      <c r="G13" t="s">
        <v>2916</v>
      </c>
      <c r="H13" t="s">
        <v>2917</v>
      </c>
      <c r="I13">
        <v>761</v>
      </c>
      <c r="J13">
        <v>383</v>
      </c>
      <c r="K13">
        <v>581</v>
      </c>
      <c r="L13" t="s">
        <v>2940</v>
      </c>
      <c r="M13">
        <v>44</v>
      </c>
      <c r="N13" t="s">
        <v>2919</v>
      </c>
      <c r="O13">
        <v>175.054685654</v>
      </c>
    </row>
    <row r="14" spans="1:15">
      <c r="A14">
        <v>219</v>
      </c>
      <c r="B14" t="s">
        <v>2428</v>
      </c>
      <c r="C14" t="s">
        <v>2444</v>
      </c>
      <c r="D14" t="s">
        <v>2943</v>
      </c>
      <c r="E14" t="s">
        <v>2460</v>
      </c>
      <c r="F14" t="s">
        <v>2504</v>
      </c>
      <c r="G14" t="s">
        <v>2916</v>
      </c>
      <c r="H14" t="s">
        <v>2917</v>
      </c>
      <c r="I14">
        <v>727</v>
      </c>
      <c r="J14">
        <v>176</v>
      </c>
      <c r="K14">
        <v>491</v>
      </c>
      <c r="L14" t="s">
        <v>2946</v>
      </c>
      <c r="M14">
        <v>44</v>
      </c>
      <c r="N14" t="s">
        <v>2919</v>
      </c>
      <c r="O14">
        <v>175.054685654</v>
      </c>
    </row>
    <row r="15" spans="1:15">
      <c r="A15">
        <v>220</v>
      </c>
      <c r="B15" t="s">
        <v>2428</v>
      </c>
      <c r="C15" t="s">
        <v>2451</v>
      </c>
      <c r="D15" t="s">
        <v>2943</v>
      </c>
      <c r="E15" t="s">
        <v>2460</v>
      </c>
      <c r="F15" t="s">
        <v>2504</v>
      </c>
      <c r="G15" t="s">
        <v>2916</v>
      </c>
      <c r="H15" t="s">
        <v>2917</v>
      </c>
      <c r="I15">
        <v>782</v>
      </c>
      <c r="J15">
        <v>250</v>
      </c>
      <c r="K15">
        <v>849</v>
      </c>
      <c r="L15" t="s">
        <v>2947</v>
      </c>
      <c r="M15">
        <v>44</v>
      </c>
      <c r="N15" t="s">
        <v>2919</v>
      </c>
      <c r="O15">
        <v>175.054685654</v>
      </c>
    </row>
    <row r="16" spans="1:15">
      <c r="A16">
        <v>195</v>
      </c>
      <c r="B16" t="s">
        <v>2428</v>
      </c>
      <c r="C16" t="s">
        <v>2430</v>
      </c>
      <c r="D16" t="s">
        <v>2659</v>
      </c>
      <c r="E16" t="s">
        <v>2460</v>
      </c>
      <c r="F16" t="s">
        <v>2504</v>
      </c>
      <c r="G16" t="s">
        <v>2916</v>
      </c>
      <c r="H16" t="s">
        <v>2879</v>
      </c>
      <c r="I16">
        <v>821</v>
      </c>
      <c r="J16">
        <v>378</v>
      </c>
      <c r="K16">
        <v>525</v>
      </c>
      <c r="L16" t="s">
        <v>2921</v>
      </c>
      <c r="M16">
        <v>45</v>
      </c>
      <c r="N16" t="s">
        <v>2919</v>
      </c>
      <c r="O16">
        <v>175.377105089</v>
      </c>
    </row>
    <row r="17" spans="1:15">
      <c r="A17">
        <v>196</v>
      </c>
      <c r="B17" t="s">
        <v>2428</v>
      </c>
      <c r="C17" t="s">
        <v>2421</v>
      </c>
      <c r="D17" t="s">
        <v>2659</v>
      </c>
      <c r="E17" t="s">
        <v>2460</v>
      </c>
      <c r="F17" t="s">
        <v>2504</v>
      </c>
      <c r="G17" t="s">
        <v>2916</v>
      </c>
      <c r="H17" t="s">
        <v>2879</v>
      </c>
      <c r="I17">
        <v>754</v>
      </c>
      <c r="J17">
        <v>375</v>
      </c>
      <c r="K17">
        <v>886</v>
      </c>
      <c r="L17" t="s">
        <v>2922</v>
      </c>
      <c r="M17">
        <v>45</v>
      </c>
      <c r="N17" t="s">
        <v>2919</v>
      </c>
      <c r="O17">
        <v>175.377105089</v>
      </c>
    </row>
    <row r="18" spans="1:15">
      <c r="A18">
        <v>197</v>
      </c>
      <c r="B18" t="s">
        <v>2428</v>
      </c>
      <c r="C18" t="s">
        <v>2431</v>
      </c>
      <c r="D18" t="s">
        <v>2659</v>
      </c>
      <c r="E18" t="s">
        <v>2460</v>
      </c>
      <c r="F18" t="s">
        <v>2504</v>
      </c>
      <c r="G18" t="s">
        <v>2916</v>
      </c>
      <c r="H18" t="s">
        <v>2879</v>
      </c>
      <c r="I18">
        <v>715</v>
      </c>
      <c r="J18">
        <v>219</v>
      </c>
      <c r="K18">
        <v>388</v>
      </c>
      <c r="L18" t="s">
        <v>2923</v>
      </c>
      <c r="M18">
        <v>45</v>
      </c>
      <c r="N18" t="s">
        <v>2919</v>
      </c>
      <c r="O18">
        <v>175.377105089</v>
      </c>
    </row>
    <row r="19" spans="1:15">
      <c r="A19">
        <v>199</v>
      </c>
      <c r="B19" t="s">
        <v>2428</v>
      </c>
      <c r="C19" t="s">
        <v>2423</v>
      </c>
      <c r="D19" t="s">
        <v>2659</v>
      </c>
      <c r="E19" t="s">
        <v>2460</v>
      </c>
      <c r="F19" t="s">
        <v>2504</v>
      </c>
      <c r="G19" t="s">
        <v>2916</v>
      </c>
      <c r="H19" t="s">
        <v>2879</v>
      </c>
      <c r="I19">
        <v>877</v>
      </c>
      <c r="J19">
        <v>339</v>
      </c>
      <c r="K19">
        <v>712</v>
      </c>
      <c r="L19" t="s">
        <v>2925</v>
      </c>
      <c r="M19">
        <v>45</v>
      </c>
      <c r="N19" t="s">
        <v>2919</v>
      </c>
      <c r="O19">
        <v>175.377105089</v>
      </c>
    </row>
    <row r="20" spans="1:15">
      <c r="A20">
        <v>202</v>
      </c>
      <c r="B20" t="s">
        <v>2428</v>
      </c>
      <c r="C20" t="s">
        <v>2424</v>
      </c>
      <c r="D20" t="s">
        <v>2659</v>
      </c>
      <c r="E20" t="s">
        <v>2460</v>
      </c>
      <c r="F20" t="s">
        <v>2504</v>
      </c>
      <c r="G20" t="s">
        <v>2916</v>
      </c>
      <c r="H20" t="s">
        <v>2879</v>
      </c>
      <c r="I20">
        <v>773</v>
      </c>
      <c r="J20">
        <v>135</v>
      </c>
      <c r="K20">
        <v>770</v>
      </c>
      <c r="L20" t="s">
        <v>2928</v>
      </c>
      <c r="M20">
        <v>45</v>
      </c>
      <c r="N20" t="s">
        <v>2919</v>
      </c>
      <c r="O20">
        <v>175.377105089</v>
      </c>
    </row>
    <row r="21" spans="1:15">
      <c r="A21">
        <v>203</v>
      </c>
      <c r="B21" t="s">
        <v>2428</v>
      </c>
      <c r="C21" t="s">
        <v>2433</v>
      </c>
      <c r="D21" t="s">
        <v>2659</v>
      </c>
      <c r="E21" t="s">
        <v>2460</v>
      </c>
      <c r="F21" t="s">
        <v>2504</v>
      </c>
      <c r="G21" t="s">
        <v>2916</v>
      </c>
      <c r="H21" t="s">
        <v>2879</v>
      </c>
      <c r="I21">
        <v>645</v>
      </c>
      <c r="J21">
        <v>372</v>
      </c>
      <c r="K21">
        <v>753</v>
      </c>
      <c r="L21" t="s">
        <v>2929</v>
      </c>
      <c r="M21">
        <v>45</v>
      </c>
      <c r="N21" t="s">
        <v>2919</v>
      </c>
      <c r="O21">
        <v>175.377105089</v>
      </c>
    </row>
    <row r="22" spans="1:15">
      <c r="A22">
        <v>205</v>
      </c>
      <c r="B22" t="s">
        <v>2428</v>
      </c>
      <c r="C22" t="s">
        <v>2434</v>
      </c>
      <c r="D22" t="s">
        <v>2460</v>
      </c>
      <c r="E22" t="s">
        <v>2460</v>
      </c>
      <c r="F22" t="s">
        <v>2504</v>
      </c>
      <c r="G22" t="s">
        <v>2916</v>
      </c>
      <c r="H22" t="s">
        <v>2879</v>
      </c>
      <c r="I22">
        <v>621</v>
      </c>
      <c r="J22">
        <v>265</v>
      </c>
      <c r="K22">
        <v>668</v>
      </c>
      <c r="L22" t="s">
        <v>2931</v>
      </c>
      <c r="M22">
        <v>45</v>
      </c>
      <c r="N22" t="s">
        <v>2919</v>
      </c>
      <c r="O22">
        <v>175.377105089</v>
      </c>
    </row>
    <row r="23" spans="1:15">
      <c r="A23">
        <v>206</v>
      </c>
      <c r="B23" t="s">
        <v>2428</v>
      </c>
      <c r="C23" t="s">
        <v>2425</v>
      </c>
      <c r="D23" t="s">
        <v>2460</v>
      </c>
      <c r="E23" t="s">
        <v>2460</v>
      </c>
      <c r="F23" t="s">
        <v>2504</v>
      </c>
      <c r="G23" t="s">
        <v>2916</v>
      </c>
      <c r="H23" t="s">
        <v>2879</v>
      </c>
      <c r="I23">
        <v>677</v>
      </c>
      <c r="J23">
        <v>234</v>
      </c>
      <c r="K23">
        <v>891</v>
      </c>
      <c r="L23" t="s">
        <v>2932</v>
      </c>
      <c r="M23">
        <v>45</v>
      </c>
      <c r="N23" t="s">
        <v>2919</v>
      </c>
      <c r="O23">
        <v>175.377105089</v>
      </c>
    </row>
    <row r="24" spans="1:15">
      <c r="A24">
        <v>209</v>
      </c>
      <c r="B24" t="s">
        <v>2428</v>
      </c>
      <c r="C24" t="s">
        <v>2435</v>
      </c>
      <c r="D24" t="s">
        <v>2460</v>
      </c>
      <c r="E24" t="s">
        <v>2460</v>
      </c>
      <c r="F24" t="s">
        <v>2504</v>
      </c>
      <c r="G24" t="s">
        <v>2916</v>
      </c>
      <c r="H24" t="s">
        <v>2879</v>
      </c>
      <c r="I24">
        <v>604</v>
      </c>
      <c r="J24">
        <v>271</v>
      </c>
      <c r="K24">
        <v>637</v>
      </c>
      <c r="L24" t="s">
        <v>2935</v>
      </c>
      <c r="M24">
        <v>45</v>
      </c>
      <c r="N24" t="s">
        <v>2919</v>
      </c>
      <c r="O24">
        <v>175.377105089</v>
      </c>
    </row>
    <row r="25" spans="1:15">
      <c r="A25">
        <v>211</v>
      </c>
      <c r="B25" t="s">
        <v>2428</v>
      </c>
      <c r="C25" t="s">
        <v>2426</v>
      </c>
      <c r="D25" t="s">
        <v>2460</v>
      </c>
      <c r="E25" t="s">
        <v>2460</v>
      </c>
      <c r="F25" t="s">
        <v>2504</v>
      </c>
      <c r="G25" t="s">
        <v>2916</v>
      </c>
      <c r="H25" t="s">
        <v>2879</v>
      </c>
      <c r="I25">
        <v>822</v>
      </c>
      <c r="J25">
        <v>381</v>
      </c>
      <c r="K25">
        <v>796</v>
      </c>
      <c r="L25" t="s">
        <v>2937</v>
      </c>
      <c r="M25">
        <v>45</v>
      </c>
      <c r="N25" t="s">
        <v>2919</v>
      </c>
      <c r="O25">
        <v>175.377105089</v>
      </c>
    </row>
    <row r="26" spans="1:15">
      <c r="A26">
        <v>215</v>
      </c>
      <c r="B26" t="s">
        <v>2428</v>
      </c>
      <c r="C26" t="s">
        <v>2427</v>
      </c>
      <c r="D26" t="s">
        <v>2460</v>
      </c>
      <c r="E26" t="s">
        <v>2460</v>
      </c>
      <c r="F26" t="s">
        <v>2504</v>
      </c>
      <c r="G26" t="s">
        <v>2916</v>
      </c>
      <c r="H26" t="s">
        <v>2879</v>
      </c>
      <c r="I26">
        <v>858</v>
      </c>
      <c r="J26">
        <v>145</v>
      </c>
      <c r="K26">
        <v>718</v>
      </c>
      <c r="L26" t="s">
        <v>2941</v>
      </c>
      <c r="M26">
        <v>45</v>
      </c>
      <c r="N26" t="s">
        <v>2919</v>
      </c>
      <c r="O26">
        <v>175.377105089</v>
      </c>
    </row>
    <row r="27" spans="1:15">
      <c r="A27">
        <v>216</v>
      </c>
      <c r="B27" t="s">
        <v>2428</v>
      </c>
      <c r="C27" t="s">
        <v>2436</v>
      </c>
      <c r="D27" t="s">
        <v>2460</v>
      </c>
      <c r="E27" t="s">
        <v>2460</v>
      </c>
      <c r="F27" t="s">
        <v>2504</v>
      </c>
      <c r="G27" t="s">
        <v>2916</v>
      </c>
      <c r="H27" t="s">
        <v>2879</v>
      </c>
      <c r="I27">
        <v>755</v>
      </c>
      <c r="J27">
        <v>241</v>
      </c>
      <c r="K27">
        <v>613</v>
      </c>
      <c r="L27" t="s">
        <v>2942</v>
      </c>
      <c r="M27">
        <v>45</v>
      </c>
      <c r="N27" t="s">
        <v>2919</v>
      </c>
      <c r="O27">
        <v>175.377105089</v>
      </c>
    </row>
    <row r="28" spans="1:15">
      <c r="A28">
        <v>217</v>
      </c>
      <c r="B28" t="s">
        <v>2428</v>
      </c>
      <c r="C28" t="s">
        <v>2429</v>
      </c>
      <c r="D28" t="s">
        <v>2943</v>
      </c>
      <c r="E28" t="s">
        <v>2460</v>
      </c>
      <c r="F28" t="s">
        <v>2504</v>
      </c>
      <c r="G28" t="s">
        <v>2916</v>
      </c>
      <c r="H28" t="s">
        <v>2879</v>
      </c>
      <c r="I28">
        <v>795</v>
      </c>
      <c r="J28">
        <v>302</v>
      </c>
      <c r="K28">
        <v>804</v>
      </c>
      <c r="L28" t="s">
        <v>2944</v>
      </c>
      <c r="M28">
        <v>45</v>
      </c>
      <c r="N28" t="s">
        <v>2919</v>
      </c>
      <c r="O28">
        <v>175.377105089</v>
      </c>
    </row>
    <row r="29" spans="1:15">
      <c r="A29">
        <v>218</v>
      </c>
      <c r="B29" t="s">
        <v>2428</v>
      </c>
      <c r="C29" t="s">
        <v>2437</v>
      </c>
      <c r="D29" t="s">
        <v>2943</v>
      </c>
      <c r="E29" t="s">
        <v>2460</v>
      </c>
      <c r="F29" t="s">
        <v>2504</v>
      </c>
      <c r="G29" t="s">
        <v>2916</v>
      </c>
      <c r="H29" t="s">
        <v>2879</v>
      </c>
      <c r="I29">
        <v>251</v>
      </c>
      <c r="J29">
        <v>442</v>
      </c>
      <c r="K29">
        <v>587</v>
      </c>
      <c r="L29" t="s">
        <v>2945</v>
      </c>
      <c r="M29">
        <v>45</v>
      </c>
      <c r="N29" t="s">
        <v>2919</v>
      </c>
      <c r="O29">
        <v>175.377105089</v>
      </c>
    </row>
    <row r="30" spans="1:15">
      <c r="A30">
        <v>161</v>
      </c>
      <c r="B30" t="s">
        <v>2385</v>
      </c>
      <c r="C30" t="s">
        <v>2386</v>
      </c>
      <c r="D30" t="s">
        <v>2460</v>
      </c>
      <c r="E30" t="s">
        <v>2460</v>
      </c>
      <c r="F30" t="s">
        <v>2278</v>
      </c>
      <c r="G30" t="s">
        <v>2878</v>
      </c>
      <c r="H30" t="s">
        <v>2879</v>
      </c>
      <c r="I30">
        <v>252</v>
      </c>
      <c r="J30">
        <v>124</v>
      </c>
      <c r="K30">
        <v>351</v>
      </c>
      <c r="L30" t="s">
        <v>2880</v>
      </c>
      <c r="M30">
        <v>51</v>
      </c>
      <c r="N30" t="s">
        <v>2881</v>
      </c>
      <c r="O30">
        <v>181.383442621</v>
      </c>
    </row>
    <row r="31" spans="1:15">
      <c r="A31">
        <v>162</v>
      </c>
      <c r="B31" t="s">
        <v>2385</v>
      </c>
      <c r="C31" t="s">
        <v>2387</v>
      </c>
      <c r="D31" t="s">
        <v>2460</v>
      </c>
      <c r="E31" t="s">
        <v>2460</v>
      </c>
      <c r="F31" t="s">
        <v>2278</v>
      </c>
      <c r="G31" t="s">
        <v>2878</v>
      </c>
      <c r="H31" t="s">
        <v>2879</v>
      </c>
      <c r="I31">
        <v>385</v>
      </c>
      <c r="J31">
        <v>202</v>
      </c>
      <c r="K31">
        <v>442</v>
      </c>
      <c r="L31" t="s">
        <v>2882</v>
      </c>
      <c r="M31">
        <v>51</v>
      </c>
      <c r="N31" t="s">
        <v>2881</v>
      </c>
      <c r="O31">
        <v>181.383442621</v>
      </c>
    </row>
    <row r="32" spans="1:15">
      <c r="A32">
        <v>163</v>
      </c>
      <c r="B32" t="s">
        <v>2385</v>
      </c>
      <c r="C32" t="s">
        <v>2388</v>
      </c>
      <c r="D32" t="s">
        <v>2460</v>
      </c>
      <c r="E32" t="s">
        <v>2460</v>
      </c>
      <c r="F32" t="s">
        <v>2278</v>
      </c>
      <c r="G32" t="s">
        <v>2878</v>
      </c>
      <c r="H32" t="s">
        <v>2879</v>
      </c>
      <c r="I32">
        <v>202</v>
      </c>
      <c r="J32">
        <v>96</v>
      </c>
      <c r="K32">
        <v>743</v>
      </c>
      <c r="L32" t="s">
        <v>2883</v>
      </c>
      <c r="M32">
        <v>51</v>
      </c>
      <c r="N32" t="s">
        <v>2881</v>
      </c>
      <c r="O32">
        <v>181.383442621</v>
      </c>
    </row>
    <row r="33" spans="1:15">
      <c r="A33">
        <v>164</v>
      </c>
      <c r="B33" t="s">
        <v>2385</v>
      </c>
      <c r="C33" t="s">
        <v>2389</v>
      </c>
      <c r="D33" t="s">
        <v>2460</v>
      </c>
      <c r="E33" t="s">
        <v>2460</v>
      </c>
      <c r="F33" t="s">
        <v>2278</v>
      </c>
      <c r="G33" t="s">
        <v>2878</v>
      </c>
      <c r="H33" t="s">
        <v>2879</v>
      </c>
      <c r="I33">
        <v>686</v>
      </c>
      <c r="J33">
        <v>317</v>
      </c>
      <c r="K33">
        <v>390</v>
      </c>
      <c r="L33" t="s">
        <v>2884</v>
      </c>
      <c r="M33">
        <v>51</v>
      </c>
      <c r="N33" t="s">
        <v>2881</v>
      </c>
      <c r="O33">
        <v>181.383442621</v>
      </c>
    </row>
    <row r="34" spans="1:15">
      <c r="A34">
        <v>165</v>
      </c>
      <c r="B34" t="s">
        <v>2385</v>
      </c>
      <c r="C34" t="s">
        <v>2390</v>
      </c>
      <c r="D34" t="s">
        <v>2460</v>
      </c>
      <c r="E34" t="s">
        <v>2460</v>
      </c>
      <c r="F34" t="s">
        <v>2278</v>
      </c>
      <c r="G34" t="s">
        <v>2878</v>
      </c>
      <c r="H34" t="s">
        <v>2879</v>
      </c>
      <c r="I34">
        <v>368</v>
      </c>
      <c r="J34">
        <v>331</v>
      </c>
      <c r="K34">
        <v>810</v>
      </c>
      <c r="L34" t="s">
        <v>2885</v>
      </c>
      <c r="M34">
        <v>51</v>
      </c>
      <c r="N34" t="s">
        <v>2881</v>
      </c>
      <c r="O34">
        <v>181.383442621</v>
      </c>
    </row>
    <row r="35" spans="1:15">
      <c r="A35">
        <v>166</v>
      </c>
      <c r="B35" t="s">
        <v>2385</v>
      </c>
      <c r="C35" t="s">
        <v>2391</v>
      </c>
      <c r="D35" t="s">
        <v>2460</v>
      </c>
      <c r="E35" t="s">
        <v>2460</v>
      </c>
      <c r="F35" t="s">
        <v>2278</v>
      </c>
      <c r="G35" t="s">
        <v>2878</v>
      </c>
      <c r="H35" t="s">
        <v>2879</v>
      </c>
      <c r="I35">
        <v>334</v>
      </c>
      <c r="J35">
        <v>287</v>
      </c>
      <c r="K35">
        <v>287</v>
      </c>
      <c r="L35" t="s">
        <v>2886</v>
      </c>
      <c r="M35">
        <v>51</v>
      </c>
      <c r="N35" t="s">
        <v>2881</v>
      </c>
      <c r="O35">
        <v>181.383442621</v>
      </c>
    </row>
    <row r="36" spans="1:15">
      <c r="A36">
        <v>167</v>
      </c>
      <c r="B36" t="s">
        <v>2385</v>
      </c>
      <c r="C36" t="s">
        <v>2393</v>
      </c>
      <c r="D36" t="s">
        <v>2460</v>
      </c>
      <c r="E36" t="s">
        <v>2460</v>
      </c>
      <c r="F36" t="s">
        <v>2278</v>
      </c>
      <c r="G36" t="s">
        <v>2878</v>
      </c>
      <c r="H36" t="s">
        <v>2879</v>
      </c>
      <c r="I36">
        <v>429</v>
      </c>
      <c r="J36">
        <v>255</v>
      </c>
      <c r="K36">
        <v>443</v>
      </c>
      <c r="L36" t="s">
        <v>2887</v>
      </c>
      <c r="M36">
        <v>51</v>
      </c>
      <c r="N36" t="s">
        <v>2881</v>
      </c>
      <c r="O36">
        <v>181.383442621</v>
      </c>
    </row>
    <row r="37" spans="1:15">
      <c r="A37">
        <v>168</v>
      </c>
      <c r="B37" t="s">
        <v>2385</v>
      </c>
      <c r="C37" t="s">
        <v>2394</v>
      </c>
      <c r="D37" t="s">
        <v>2460</v>
      </c>
      <c r="E37" t="s">
        <v>2460</v>
      </c>
      <c r="F37" t="s">
        <v>2278</v>
      </c>
      <c r="G37" t="s">
        <v>2878</v>
      </c>
      <c r="H37" t="s">
        <v>2879</v>
      </c>
      <c r="I37">
        <v>461</v>
      </c>
      <c r="J37">
        <v>534</v>
      </c>
      <c r="K37">
        <v>680</v>
      </c>
      <c r="L37" t="s">
        <v>2888</v>
      </c>
      <c r="M37">
        <v>51</v>
      </c>
      <c r="N37" t="s">
        <v>2881</v>
      </c>
      <c r="O37">
        <v>181.383442621</v>
      </c>
    </row>
    <row r="38" spans="1:15">
      <c r="A38">
        <v>169</v>
      </c>
      <c r="B38" t="s">
        <v>2385</v>
      </c>
      <c r="C38" t="s">
        <v>2395</v>
      </c>
      <c r="D38" t="s">
        <v>2460</v>
      </c>
      <c r="E38" t="s">
        <v>2460</v>
      </c>
      <c r="F38" t="s">
        <v>2287</v>
      </c>
      <c r="G38" t="s">
        <v>2878</v>
      </c>
      <c r="H38" t="s">
        <v>2879</v>
      </c>
      <c r="I38">
        <v>425</v>
      </c>
      <c r="J38">
        <v>453</v>
      </c>
      <c r="K38">
        <v>496</v>
      </c>
      <c r="L38" t="s">
        <v>2889</v>
      </c>
      <c r="M38">
        <v>51</v>
      </c>
      <c r="N38" t="s">
        <v>2890</v>
      </c>
      <c r="O38">
        <v>181.383442621</v>
      </c>
    </row>
    <row r="39" spans="1:15">
      <c r="A39">
        <v>170</v>
      </c>
      <c r="B39" t="s">
        <v>2385</v>
      </c>
      <c r="C39" t="s">
        <v>2396</v>
      </c>
      <c r="D39" t="s">
        <v>2460</v>
      </c>
      <c r="E39" t="s">
        <v>2460</v>
      </c>
      <c r="F39" t="s">
        <v>2287</v>
      </c>
      <c r="G39" t="s">
        <v>2878</v>
      </c>
      <c r="H39" t="s">
        <v>2879</v>
      </c>
      <c r="I39">
        <v>433</v>
      </c>
      <c r="J39">
        <v>330</v>
      </c>
      <c r="K39">
        <v>674</v>
      </c>
      <c r="L39" t="s">
        <v>2891</v>
      </c>
      <c r="M39">
        <v>51</v>
      </c>
      <c r="N39" t="s">
        <v>2890</v>
      </c>
      <c r="O39">
        <v>181.383442621</v>
      </c>
    </row>
    <row r="40" spans="1:15">
      <c r="A40">
        <v>171</v>
      </c>
      <c r="B40" t="s">
        <v>2385</v>
      </c>
      <c r="C40" t="s">
        <v>2397</v>
      </c>
      <c r="D40" t="s">
        <v>2460</v>
      </c>
      <c r="E40" t="s">
        <v>2460</v>
      </c>
      <c r="F40" t="s">
        <v>2287</v>
      </c>
      <c r="G40" t="s">
        <v>2878</v>
      </c>
      <c r="H40" t="s">
        <v>2879</v>
      </c>
      <c r="I40">
        <v>656</v>
      </c>
      <c r="J40">
        <v>558</v>
      </c>
      <c r="K40">
        <v>504</v>
      </c>
      <c r="L40" t="s">
        <v>2892</v>
      </c>
      <c r="M40">
        <v>51</v>
      </c>
      <c r="N40" t="s">
        <v>2890</v>
      </c>
      <c r="O40">
        <v>181.383442621</v>
      </c>
    </row>
    <row r="41" spans="1:15">
      <c r="A41">
        <v>172</v>
      </c>
      <c r="B41" t="s">
        <v>2385</v>
      </c>
      <c r="C41" t="s">
        <v>2398</v>
      </c>
      <c r="D41" t="s">
        <v>2460</v>
      </c>
      <c r="E41" t="s">
        <v>2460</v>
      </c>
      <c r="F41" t="s">
        <v>2287</v>
      </c>
      <c r="G41" t="s">
        <v>2878</v>
      </c>
      <c r="H41" t="s">
        <v>2879</v>
      </c>
      <c r="I41">
        <v>281</v>
      </c>
      <c r="J41">
        <v>157</v>
      </c>
      <c r="K41">
        <v>439</v>
      </c>
      <c r="L41" t="s">
        <v>2893</v>
      </c>
      <c r="M41">
        <v>51</v>
      </c>
      <c r="N41" t="s">
        <v>2890</v>
      </c>
      <c r="O41">
        <v>181.383442621</v>
      </c>
    </row>
    <row r="42" spans="1:15">
      <c r="A42">
        <v>173</v>
      </c>
      <c r="B42" t="s">
        <v>2385</v>
      </c>
      <c r="C42" t="s">
        <v>2399</v>
      </c>
      <c r="D42" t="s">
        <v>2460</v>
      </c>
      <c r="E42" t="s">
        <v>2460</v>
      </c>
      <c r="F42" t="s">
        <v>2287</v>
      </c>
      <c r="G42" t="s">
        <v>2878</v>
      </c>
      <c r="H42" t="s">
        <v>2879</v>
      </c>
      <c r="I42">
        <v>216</v>
      </c>
      <c r="J42">
        <v>57</v>
      </c>
      <c r="K42">
        <v>865</v>
      </c>
      <c r="L42" t="s">
        <v>2894</v>
      </c>
      <c r="M42">
        <v>51</v>
      </c>
      <c r="N42" t="s">
        <v>2890</v>
      </c>
      <c r="O42">
        <v>181.383442621</v>
      </c>
    </row>
    <row r="43" spans="1:15">
      <c r="A43">
        <v>174</v>
      </c>
      <c r="B43" t="s">
        <v>2385</v>
      </c>
      <c r="C43" t="s">
        <v>2400</v>
      </c>
      <c r="D43" t="s">
        <v>2460</v>
      </c>
      <c r="E43" t="s">
        <v>2460</v>
      </c>
      <c r="F43" t="s">
        <v>2287</v>
      </c>
      <c r="G43" t="s">
        <v>2878</v>
      </c>
      <c r="H43" t="s">
        <v>2879</v>
      </c>
      <c r="I43">
        <v>655</v>
      </c>
      <c r="J43">
        <v>307</v>
      </c>
      <c r="K43">
        <v>736</v>
      </c>
      <c r="L43" t="s">
        <v>2895</v>
      </c>
      <c r="M43">
        <v>51</v>
      </c>
      <c r="N43" t="s">
        <v>2890</v>
      </c>
      <c r="O43">
        <v>181.383442621</v>
      </c>
    </row>
    <row r="44" spans="1:15">
      <c r="A44">
        <v>175</v>
      </c>
      <c r="B44" t="s">
        <v>2385</v>
      </c>
      <c r="C44" t="s">
        <v>2401</v>
      </c>
      <c r="D44" t="s">
        <v>2460</v>
      </c>
      <c r="E44" t="s">
        <v>2460</v>
      </c>
      <c r="F44" t="s">
        <v>2287</v>
      </c>
      <c r="G44" t="s">
        <v>2878</v>
      </c>
      <c r="H44" t="s">
        <v>2879</v>
      </c>
      <c r="I44">
        <v>457</v>
      </c>
      <c r="J44">
        <v>458</v>
      </c>
      <c r="K44">
        <v>792</v>
      </c>
      <c r="L44" t="s">
        <v>2896</v>
      </c>
      <c r="M44">
        <v>51</v>
      </c>
      <c r="N44" t="s">
        <v>2890</v>
      </c>
      <c r="O44">
        <v>181.383442621</v>
      </c>
    </row>
    <row r="45" spans="1:15">
      <c r="A45">
        <v>176</v>
      </c>
      <c r="B45" t="s">
        <v>2385</v>
      </c>
      <c r="C45" t="s">
        <v>2402</v>
      </c>
      <c r="D45" t="s">
        <v>2460</v>
      </c>
      <c r="E45" t="s">
        <v>2460</v>
      </c>
      <c r="F45" t="s">
        <v>2287</v>
      </c>
      <c r="G45" t="s">
        <v>2878</v>
      </c>
      <c r="H45" t="s">
        <v>2879</v>
      </c>
      <c r="I45">
        <v>454</v>
      </c>
      <c r="J45">
        <v>326</v>
      </c>
      <c r="K45">
        <v>470</v>
      </c>
      <c r="L45" t="s">
        <v>2897</v>
      </c>
      <c r="M45">
        <v>51</v>
      </c>
      <c r="N45" t="s">
        <v>2890</v>
      </c>
      <c r="O45">
        <v>181.383442621</v>
      </c>
    </row>
    <row r="46" spans="1:15">
      <c r="A46">
        <v>81</v>
      </c>
      <c r="B46" t="s">
        <v>2276</v>
      </c>
      <c r="C46" t="s">
        <v>2295</v>
      </c>
      <c r="D46" t="s">
        <v>2659</v>
      </c>
      <c r="E46" t="s">
        <v>2460</v>
      </c>
      <c r="F46" t="s">
        <v>2296</v>
      </c>
      <c r="G46" t="s">
        <v>2714</v>
      </c>
      <c r="H46" t="s">
        <v>2697</v>
      </c>
      <c r="I46">
        <v>542</v>
      </c>
      <c r="J46">
        <v>187</v>
      </c>
      <c r="K46">
        <v>475</v>
      </c>
      <c r="L46" t="s">
        <v>2787</v>
      </c>
      <c r="M46">
        <v>51</v>
      </c>
      <c r="N46" t="s">
        <v>2788</v>
      </c>
      <c r="O46">
        <v>185.01185076100001</v>
      </c>
    </row>
    <row r="47" spans="1:15">
      <c r="A47">
        <v>17</v>
      </c>
      <c r="B47" t="s">
        <v>2176</v>
      </c>
      <c r="C47" t="s">
        <v>2207</v>
      </c>
      <c r="D47" t="s">
        <v>2659</v>
      </c>
      <c r="E47" t="s">
        <v>2460</v>
      </c>
      <c r="F47" t="s">
        <v>2208</v>
      </c>
      <c r="G47" t="s">
        <v>2714</v>
      </c>
      <c r="H47" t="s">
        <v>2697</v>
      </c>
      <c r="I47">
        <v>571</v>
      </c>
      <c r="J47">
        <v>542</v>
      </c>
      <c r="K47">
        <v>648</v>
      </c>
      <c r="L47" t="s">
        <v>2715</v>
      </c>
      <c r="M47">
        <v>51</v>
      </c>
      <c r="N47" t="s">
        <v>2716</v>
      </c>
      <c r="O47">
        <v>185.630065823</v>
      </c>
    </row>
    <row r="48" spans="1:15">
      <c r="A48">
        <v>18</v>
      </c>
      <c r="B48" t="s">
        <v>2176</v>
      </c>
      <c r="C48" t="s">
        <v>2210</v>
      </c>
      <c r="D48" t="s">
        <v>2659</v>
      </c>
      <c r="E48" t="s">
        <v>2460</v>
      </c>
      <c r="F48" t="s">
        <v>2208</v>
      </c>
      <c r="G48" t="s">
        <v>2714</v>
      </c>
      <c r="H48" t="s">
        <v>2697</v>
      </c>
      <c r="I48">
        <v>419</v>
      </c>
      <c r="J48">
        <v>128</v>
      </c>
      <c r="K48">
        <v>573</v>
      </c>
      <c r="L48" t="s">
        <v>2717</v>
      </c>
      <c r="M48">
        <v>51</v>
      </c>
      <c r="N48" t="s">
        <v>2716</v>
      </c>
      <c r="O48">
        <v>185.630065823</v>
      </c>
    </row>
    <row r="49" spans="1:15">
      <c r="A49">
        <v>19</v>
      </c>
      <c r="B49" t="s">
        <v>2176</v>
      </c>
      <c r="C49" t="s">
        <v>2211</v>
      </c>
      <c r="D49" t="s">
        <v>2659</v>
      </c>
      <c r="E49" t="s">
        <v>2460</v>
      </c>
      <c r="F49" t="s">
        <v>2208</v>
      </c>
      <c r="G49" t="s">
        <v>2714</v>
      </c>
      <c r="H49" t="s">
        <v>2697</v>
      </c>
      <c r="I49">
        <v>240</v>
      </c>
      <c r="J49">
        <v>82</v>
      </c>
      <c r="K49">
        <v>639</v>
      </c>
      <c r="L49" t="s">
        <v>2718</v>
      </c>
      <c r="M49">
        <v>51</v>
      </c>
      <c r="N49" t="s">
        <v>2716</v>
      </c>
      <c r="O49">
        <v>185.630065823</v>
      </c>
    </row>
    <row r="50" spans="1:15">
      <c r="A50">
        <v>20</v>
      </c>
      <c r="B50" t="s">
        <v>2176</v>
      </c>
      <c r="C50" t="s">
        <v>2212</v>
      </c>
      <c r="D50" t="s">
        <v>2659</v>
      </c>
      <c r="E50" t="s">
        <v>2460</v>
      </c>
      <c r="F50" t="s">
        <v>2208</v>
      </c>
      <c r="G50" t="s">
        <v>2714</v>
      </c>
      <c r="H50" t="s">
        <v>2697</v>
      </c>
      <c r="I50">
        <v>524</v>
      </c>
      <c r="J50">
        <v>50</v>
      </c>
      <c r="K50">
        <v>505</v>
      </c>
      <c r="L50" t="s">
        <v>2719</v>
      </c>
      <c r="M50">
        <v>51</v>
      </c>
      <c r="N50" t="s">
        <v>2716</v>
      </c>
      <c r="O50">
        <v>185.630065823</v>
      </c>
    </row>
    <row r="51" spans="1:15">
      <c r="A51">
        <v>21</v>
      </c>
      <c r="B51" t="s">
        <v>2176</v>
      </c>
      <c r="C51" t="s">
        <v>2213</v>
      </c>
      <c r="D51" t="s">
        <v>2659</v>
      </c>
      <c r="E51" t="s">
        <v>2460</v>
      </c>
      <c r="F51" t="s">
        <v>2208</v>
      </c>
      <c r="G51" t="s">
        <v>2714</v>
      </c>
      <c r="H51" t="s">
        <v>2697</v>
      </c>
      <c r="I51">
        <v>699</v>
      </c>
      <c r="J51">
        <v>529</v>
      </c>
      <c r="K51">
        <v>721</v>
      </c>
      <c r="L51" t="s">
        <v>2499</v>
      </c>
      <c r="M51">
        <v>51</v>
      </c>
      <c r="N51" t="s">
        <v>2716</v>
      </c>
      <c r="O51">
        <v>185.630065823</v>
      </c>
    </row>
    <row r="52" spans="1:15">
      <c r="A52">
        <v>22</v>
      </c>
      <c r="B52" t="s">
        <v>2176</v>
      </c>
      <c r="C52" t="s">
        <v>2214</v>
      </c>
      <c r="D52" t="s">
        <v>2659</v>
      </c>
      <c r="E52" t="s">
        <v>2460</v>
      </c>
      <c r="F52" t="s">
        <v>2208</v>
      </c>
      <c r="G52" t="s">
        <v>2714</v>
      </c>
      <c r="H52" t="s">
        <v>2697</v>
      </c>
      <c r="I52">
        <v>575</v>
      </c>
      <c r="J52">
        <v>363</v>
      </c>
      <c r="K52">
        <v>552</v>
      </c>
      <c r="L52" t="s">
        <v>2720</v>
      </c>
      <c r="M52">
        <v>51</v>
      </c>
      <c r="N52" t="s">
        <v>2716</v>
      </c>
      <c r="O52">
        <v>185.630065823</v>
      </c>
    </row>
    <row r="53" spans="1:15">
      <c r="A53">
        <v>23</v>
      </c>
      <c r="B53" t="s">
        <v>2176</v>
      </c>
      <c r="C53" t="s">
        <v>2215</v>
      </c>
      <c r="D53" t="s">
        <v>2659</v>
      </c>
      <c r="E53" t="s">
        <v>2460</v>
      </c>
      <c r="F53" t="s">
        <v>2208</v>
      </c>
      <c r="G53" t="s">
        <v>2714</v>
      </c>
      <c r="H53" t="s">
        <v>2697</v>
      </c>
      <c r="I53">
        <v>492</v>
      </c>
      <c r="J53">
        <v>190</v>
      </c>
      <c r="K53">
        <v>456</v>
      </c>
      <c r="L53" t="s">
        <v>2721</v>
      </c>
      <c r="M53">
        <v>51</v>
      </c>
      <c r="N53" t="s">
        <v>2716</v>
      </c>
      <c r="O53">
        <v>185.630065823</v>
      </c>
    </row>
    <row r="54" spans="1:15">
      <c r="A54">
        <v>24</v>
      </c>
      <c r="B54" t="s">
        <v>2176</v>
      </c>
      <c r="C54" t="s">
        <v>2216</v>
      </c>
      <c r="D54" t="s">
        <v>2659</v>
      </c>
      <c r="E54" t="s">
        <v>2460</v>
      </c>
      <c r="F54" t="s">
        <v>2208</v>
      </c>
      <c r="G54" t="s">
        <v>2714</v>
      </c>
      <c r="H54" t="s">
        <v>2697</v>
      </c>
      <c r="I54">
        <v>813</v>
      </c>
      <c r="J54">
        <v>144</v>
      </c>
      <c r="K54">
        <v>421</v>
      </c>
      <c r="L54" t="s">
        <v>2722</v>
      </c>
      <c r="M54">
        <v>51</v>
      </c>
      <c r="N54" t="s">
        <v>2716</v>
      </c>
      <c r="O54">
        <v>185.630065823</v>
      </c>
    </row>
    <row r="55" spans="1:15">
      <c r="A55">
        <v>25</v>
      </c>
      <c r="B55" t="s">
        <v>2176</v>
      </c>
      <c r="C55" t="s">
        <v>2217</v>
      </c>
      <c r="D55" t="s">
        <v>2659</v>
      </c>
      <c r="E55" t="s">
        <v>2460</v>
      </c>
      <c r="F55" t="s">
        <v>2218</v>
      </c>
      <c r="G55" t="s">
        <v>2714</v>
      </c>
      <c r="H55" t="s">
        <v>2697</v>
      </c>
      <c r="I55">
        <v>406</v>
      </c>
      <c r="J55">
        <v>279</v>
      </c>
      <c r="K55">
        <v>864</v>
      </c>
      <c r="L55" t="s">
        <v>2723</v>
      </c>
      <c r="M55">
        <v>51</v>
      </c>
      <c r="N55" t="s">
        <v>2724</v>
      </c>
      <c r="O55">
        <v>185.630065823</v>
      </c>
    </row>
    <row r="56" spans="1:15">
      <c r="A56">
        <v>26</v>
      </c>
      <c r="B56" t="s">
        <v>2176</v>
      </c>
      <c r="C56" t="s">
        <v>2219</v>
      </c>
      <c r="D56" t="s">
        <v>2659</v>
      </c>
      <c r="E56" t="s">
        <v>2460</v>
      </c>
      <c r="F56" t="s">
        <v>2218</v>
      </c>
      <c r="G56" t="s">
        <v>2714</v>
      </c>
      <c r="H56" t="s">
        <v>2697</v>
      </c>
      <c r="I56">
        <v>651</v>
      </c>
      <c r="J56">
        <v>148</v>
      </c>
      <c r="K56">
        <v>506</v>
      </c>
      <c r="L56" t="s">
        <v>2725</v>
      </c>
      <c r="M56">
        <v>51</v>
      </c>
      <c r="N56" t="s">
        <v>2724</v>
      </c>
      <c r="O56">
        <v>185.630065823</v>
      </c>
    </row>
    <row r="57" spans="1:15">
      <c r="A57">
        <v>27</v>
      </c>
      <c r="B57" t="s">
        <v>2176</v>
      </c>
      <c r="C57" t="s">
        <v>2220</v>
      </c>
      <c r="D57" t="s">
        <v>2659</v>
      </c>
      <c r="E57" t="s">
        <v>2460</v>
      </c>
      <c r="F57" t="s">
        <v>2218</v>
      </c>
      <c r="G57" t="s">
        <v>2714</v>
      </c>
      <c r="H57" t="s">
        <v>2697</v>
      </c>
      <c r="I57">
        <v>583</v>
      </c>
      <c r="J57">
        <v>112</v>
      </c>
      <c r="K57">
        <v>449</v>
      </c>
      <c r="L57" t="s">
        <v>2726</v>
      </c>
      <c r="M57">
        <v>51</v>
      </c>
      <c r="N57" t="s">
        <v>2724</v>
      </c>
      <c r="O57">
        <v>185.630065823</v>
      </c>
    </row>
    <row r="58" spans="1:15">
      <c r="A58">
        <v>28</v>
      </c>
      <c r="B58" t="s">
        <v>2176</v>
      </c>
      <c r="C58" t="s">
        <v>2221</v>
      </c>
      <c r="D58" t="s">
        <v>2659</v>
      </c>
      <c r="E58" t="s">
        <v>2460</v>
      </c>
      <c r="F58" t="s">
        <v>2218</v>
      </c>
      <c r="G58" t="s">
        <v>2714</v>
      </c>
      <c r="H58" t="s">
        <v>2697</v>
      </c>
      <c r="I58">
        <v>702</v>
      </c>
      <c r="J58">
        <v>436</v>
      </c>
      <c r="K58">
        <v>502</v>
      </c>
      <c r="L58" t="s">
        <v>2727</v>
      </c>
      <c r="M58">
        <v>51</v>
      </c>
      <c r="N58" t="s">
        <v>2724</v>
      </c>
      <c r="O58">
        <v>185.630065823</v>
      </c>
    </row>
    <row r="59" spans="1:15">
      <c r="A59">
        <v>29</v>
      </c>
      <c r="B59" t="s">
        <v>2176</v>
      </c>
      <c r="C59" t="s">
        <v>2222</v>
      </c>
      <c r="D59" t="s">
        <v>2659</v>
      </c>
      <c r="E59" t="s">
        <v>2460</v>
      </c>
      <c r="F59" t="s">
        <v>2218</v>
      </c>
      <c r="G59" t="s">
        <v>2714</v>
      </c>
      <c r="H59" t="s">
        <v>2697</v>
      </c>
      <c r="I59">
        <v>838</v>
      </c>
      <c r="J59">
        <v>386</v>
      </c>
      <c r="K59">
        <v>345</v>
      </c>
      <c r="L59" t="s">
        <v>2728</v>
      </c>
      <c r="M59">
        <v>51</v>
      </c>
      <c r="N59" t="s">
        <v>2724</v>
      </c>
      <c r="O59">
        <v>185.630065823</v>
      </c>
    </row>
    <row r="60" spans="1:15">
      <c r="A60">
        <v>30</v>
      </c>
      <c r="B60" t="s">
        <v>2176</v>
      </c>
      <c r="C60" t="s">
        <v>2223</v>
      </c>
      <c r="D60" t="s">
        <v>2659</v>
      </c>
      <c r="E60" t="s">
        <v>2460</v>
      </c>
      <c r="F60" t="s">
        <v>2218</v>
      </c>
      <c r="G60" t="s">
        <v>2714</v>
      </c>
      <c r="H60" t="s">
        <v>2697</v>
      </c>
      <c r="I60">
        <v>518</v>
      </c>
      <c r="J60">
        <v>507</v>
      </c>
      <c r="K60">
        <v>500</v>
      </c>
      <c r="L60" t="s">
        <v>2729</v>
      </c>
      <c r="M60">
        <v>51</v>
      </c>
      <c r="N60" t="s">
        <v>2724</v>
      </c>
      <c r="O60">
        <v>185.630065823</v>
      </c>
    </row>
    <row r="61" spans="1:15">
      <c r="A61">
        <v>31</v>
      </c>
      <c r="B61" t="s">
        <v>2176</v>
      </c>
      <c r="C61" t="s">
        <v>2224</v>
      </c>
      <c r="D61" t="s">
        <v>2659</v>
      </c>
      <c r="E61" t="s">
        <v>2460</v>
      </c>
      <c r="F61" t="s">
        <v>2218</v>
      </c>
      <c r="G61" t="s">
        <v>2714</v>
      </c>
      <c r="H61" t="s">
        <v>2697</v>
      </c>
      <c r="I61">
        <v>404</v>
      </c>
      <c r="J61">
        <v>141</v>
      </c>
      <c r="K61">
        <v>521</v>
      </c>
      <c r="L61" t="s">
        <v>2730</v>
      </c>
      <c r="M61">
        <v>51</v>
      </c>
      <c r="N61" t="s">
        <v>2724</v>
      </c>
      <c r="O61">
        <v>185.630065823</v>
      </c>
    </row>
    <row r="62" spans="1:15">
      <c r="A62">
        <v>32</v>
      </c>
      <c r="B62" t="s">
        <v>2176</v>
      </c>
      <c r="C62" t="s">
        <v>2225</v>
      </c>
      <c r="D62" t="s">
        <v>2659</v>
      </c>
      <c r="E62" t="s">
        <v>2460</v>
      </c>
      <c r="F62" t="s">
        <v>2218</v>
      </c>
      <c r="G62" t="s">
        <v>2714</v>
      </c>
      <c r="H62" t="s">
        <v>2697</v>
      </c>
      <c r="I62">
        <v>527</v>
      </c>
      <c r="J62">
        <v>396</v>
      </c>
      <c r="K62">
        <v>201</v>
      </c>
      <c r="L62" t="s">
        <v>2731</v>
      </c>
      <c r="M62">
        <v>51</v>
      </c>
      <c r="N62" t="s">
        <v>2724</v>
      </c>
      <c r="O62">
        <v>185.630065823</v>
      </c>
    </row>
    <row r="63" spans="1:15">
      <c r="A63">
        <v>65</v>
      </c>
      <c r="B63" t="s">
        <v>2276</v>
      </c>
      <c r="C63" t="s">
        <v>2277</v>
      </c>
      <c r="D63" t="s">
        <v>2659</v>
      </c>
      <c r="E63" t="s">
        <v>2460</v>
      </c>
      <c r="F63" t="s">
        <v>2278</v>
      </c>
      <c r="G63" t="s">
        <v>2714</v>
      </c>
      <c r="H63" t="s">
        <v>2697</v>
      </c>
      <c r="I63">
        <v>614</v>
      </c>
      <c r="J63">
        <v>525</v>
      </c>
      <c r="K63">
        <v>700</v>
      </c>
      <c r="L63" t="s">
        <v>2769</v>
      </c>
      <c r="M63">
        <v>51</v>
      </c>
      <c r="N63" t="s">
        <v>2770</v>
      </c>
      <c r="O63">
        <v>185.630065823</v>
      </c>
    </row>
    <row r="64" spans="1:15">
      <c r="A64">
        <v>66</v>
      </c>
      <c r="B64" t="s">
        <v>2276</v>
      </c>
      <c r="C64" t="s">
        <v>2279</v>
      </c>
      <c r="D64" t="s">
        <v>2659</v>
      </c>
      <c r="E64" t="s">
        <v>2460</v>
      </c>
      <c r="F64" t="s">
        <v>2278</v>
      </c>
      <c r="G64" t="s">
        <v>2714</v>
      </c>
      <c r="H64" t="s">
        <v>2697</v>
      </c>
      <c r="I64">
        <v>282</v>
      </c>
      <c r="J64">
        <v>150</v>
      </c>
      <c r="K64">
        <v>760</v>
      </c>
      <c r="L64" t="s">
        <v>2771</v>
      </c>
      <c r="M64">
        <v>51</v>
      </c>
      <c r="N64" t="s">
        <v>2770</v>
      </c>
      <c r="O64">
        <v>185.630065823</v>
      </c>
    </row>
    <row r="65" spans="1:15">
      <c r="A65">
        <v>67</v>
      </c>
      <c r="B65" t="s">
        <v>2276</v>
      </c>
      <c r="C65" t="s">
        <v>2280</v>
      </c>
      <c r="D65" t="s">
        <v>2659</v>
      </c>
      <c r="E65" t="s">
        <v>2460</v>
      </c>
      <c r="F65" t="s">
        <v>2278</v>
      </c>
      <c r="G65" t="s">
        <v>2714</v>
      </c>
      <c r="H65" t="s">
        <v>2697</v>
      </c>
      <c r="I65">
        <v>450</v>
      </c>
      <c r="J65">
        <v>165</v>
      </c>
      <c r="K65">
        <v>660</v>
      </c>
      <c r="L65" t="s">
        <v>2772</v>
      </c>
      <c r="M65">
        <v>51</v>
      </c>
      <c r="N65" t="s">
        <v>2770</v>
      </c>
      <c r="O65">
        <v>185.630065823</v>
      </c>
    </row>
    <row r="66" spans="1:15">
      <c r="A66">
        <v>68</v>
      </c>
      <c r="B66" t="s">
        <v>2276</v>
      </c>
      <c r="C66" t="s">
        <v>2281</v>
      </c>
      <c r="D66" t="s">
        <v>2659</v>
      </c>
      <c r="E66" t="s">
        <v>2460</v>
      </c>
      <c r="F66" t="s">
        <v>2278</v>
      </c>
      <c r="G66" t="s">
        <v>2714</v>
      </c>
      <c r="H66" t="s">
        <v>2697</v>
      </c>
      <c r="I66">
        <v>269</v>
      </c>
      <c r="J66">
        <v>129</v>
      </c>
      <c r="K66">
        <v>477</v>
      </c>
      <c r="L66" t="s">
        <v>2773</v>
      </c>
      <c r="M66">
        <v>51</v>
      </c>
      <c r="N66" t="s">
        <v>2770</v>
      </c>
      <c r="O66">
        <v>185.630065823</v>
      </c>
    </row>
    <row r="67" spans="1:15">
      <c r="A67">
        <v>69</v>
      </c>
      <c r="B67" t="s">
        <v>2276</v>
      </c>
      <c r="C67" t="s">
        <v>2282</v>
      </c>
      <c r="D67" t="s">
        <v>2659</v>
      </c>
      <c r="E67" t="s">
        <v>2460</v>
      </c>
      <c r="F67" t="s">
        <v>2278</v>
      </c>
      <c r="G67" t="s">
        <v>2714</v>
      </c>
      <c r="H67" t="s">
        <v>2697</v>
      </c>
      <c r="I67">
        <v>448</v>
      </c>
      <c r="J67">
        <v>414</v>
      </c>
      <c r="K67">
        <v>386</v>
      </c>
      <c r="L67" t="s">
        <v>2774</v>
      </c>
      <c r="M67">
        <v>51</v>
      </c>
      <c r="N67" t="s">
        <v>2770</v>
      </c>
      <c r="O67">
        <v>185.630065823</v>
      </c>
    </row>
    <row r="68" spans="1:15">
      <c r="A68">
        <v>70</v>
      </c>
      <c r="B68" t="s">
        <v>2276</v>
      </c>
      <c r="C68" t="s">
        <v>2283</v>
      </c>
      <c r="D68" t="s">
        <v>2659</v>
      </c>
      <c r="E68" t="s">
        <v>2460</v>
      </c>
      <c r="F68" t="s">
        <v>2278</v>
      </c>
      <c r="G68" t="s">
        <v>2714</v>
      </c>
      <c r="H68" t="s">
        <v>2697</v>
      </c>
      <c r="I68">
        <v>358</v>
      </c>
      <c r="J68">
        <v>151</v>
      </c>
      <c r="K68">
        <v>414</v>
      </c>
      <c r="L68" t="s">
        <v>2775</v>
      </c>
      <c r="M68">
        <v>51</v>
      </c>
      <c r="N68" t="s">
        <v>2770</v>
      </c>
      <c r="O68">
        <v>185.630065823</v>
      </c>
    </row>
    <row r="69" spans="1:15">
      <c r="A69">
        <v>71</v>
      </c>
      <c r="B69" t="s">
        <v>2276</v>
      </c>
      <c r="C69" t="s">
        <v>2284</v>
      </c>
      <c r="D69" t="s">
        <v>2659</v>
      </c>
      <c r="E69" t="s">
        <v>2460</v>
      </c>
      <c r="F69" t="s">
        <v>2278</v>
      </c>
      <c r="G69" t="s">
        <v>2714</v>
      </c>
      <c r="H69" t="s">
        <v>2697</v>
      </c>
      <c r="I69">
        <v>511</v>
      </c>
      <c r="J69">
        <v>95</v>
      </c>
      <c r="K69">
        <v>459</v>
      </c>
      <c r="L69" t="s">
        <v>2776</v>
      </c>
      <c r="M69">
        <v>51</v>
      </c>
      <c r="N69" t="s">
        <v>2770</v>
      </c>
      <c r="O69">
        <v>185.630065823</v>
      </c>
    </row>
    <row r="70" spans="1:15">
      <c r="A70">
        <v>72</v>
      </c>
      <c r="B70" t="s">
        <v>2276</v>
      </c>
      <c r="C70" t="s">
        <v>2285</v>
      </c>
      <c r="D70" t="s">
        <v>2659</v>
      </c>
      <c r="E70" t="s">
        <v>2460</v>
      </c>
      <c r="F70" t="s">
        <v>2278</v>
      </c>
      <c r="G70" t="s">
        <v>2714</v>
      </c>
      <c r="H70" t="s">
        <v>2697</v>
      </c>
      <c r="I70">
        <v>383</v>
      </c>
      <c r="J70">
        <v>546</v>
      </c>
      <c r="K70">
        <v>627</v>
      </c>
      <c r="L70" t="s">
        <v>2777</v>
      </c>
      <c r="M70">
        <v>51</v>
      </c>
      <c r="N70" t="s">
        <v>2770</v>
      </c>
      <c r="O70">
        <v>185.630065823</v>
      </c>
    </row>
    <row r="71" spans="1:15">
      <c r="A71">
        <v>73</v>
      </c>
      <c r="B71" t="s">
        <v>2276</v>
      </c>
      <c r="C71" t="s">
        <v>2286</v>
      </c>
      <c r="D71" t="s">
        <v>2659</v>
      </c>
      <c r="E71" t="s">
        <v>2460</v>
      </c>
      <c r="F71" t="s">
        <v>2287</v>
      </c>
      <c r="G71" t="s">
        <v>2714</v>
      </c>
      <c r="H71" t="s">
        <v>2697</v>
      </c>
      <c r="I71">
        <v>549</v>
      </c>
      <c r="J71">
        <v>438</v>
      </c>
      <c r="K71">
        <v>498</v>
      </c>
      <c r="L71" t="s">
        <v>2778</v>
      </c>
      <c r="M71">
        <v>51</v>
      </c>
      <c r="N71" t="s">
        <v>2779</v>
      </c>
      <c r="O71">
        <v>185.630065823</v>
      </c>
    </row>
    <row r="72" spans="1:15">
      <c r="A72">
        <v>74</v>
      </c>
      <c r="B72" t="s">
        <v>2276</v>
      </c>
      <c r="C72" t="s">
        <v>2288</v>
      </c>
      <c r="D72" t="s">
        <v>2659</v>
      </c>
      <c r="E72" t="s">
        <v>2460</v>
      </c>
      <c r="F72" t="s">
        <v>2287</v>
      </c>
      <c r="G72" t="s">
        <v>2714</v>
      </c>
      <c r="H72" t="s">
        <v>2697</v>
      </c>
      <c r="I72">
        <v>605</v>
      </c>
      <c r="J72">
        <v>122</v>
      </c>
      <c r="K72">
        <v>579</v>
      </c>
      <c r="L72" t="s">
        <v>2780</v>
      </c>
      <c r="M72">
        <v>51</v>
      </c>
      <c r="N72" t="s">
        <v>2779</v>
      </c>
      <c r="O72">
        <v>185.630065823</v>
      </c>
    </row>
    <row r="73" spans="1:15">
      <c r="A73">
        <v>75</v>
      </c>
      <c r="B73" t="s">
        <v>2276</v>
      </c>
      <c r="C73" t="s">
        <v>2289</v>
      </c>
      <c r="D73" t="s">
        <v>2659</v>
      </c>
      <c r="E73" t="s">
        <v>2460</v>
      </c>
      <c r="F73" t="s">
        <v>2287</v>
      </c>
      <c r="G73" t="s">
        <v>2714</v>
      </c>
      <c r="H73" t="s">
        <v>2697</v>
      </c>
      <c r="I73">
        <v>408</v>
      </c>
      <c r="J73">
        <v>404</v>
      </c>
      <c r="K73">
        <v>373</v>
      </c>
      <c r="L73" t="s">
        <v>2781</v>
      </c>
      <c r="M73">
        <v>51</v>
      </c>
      <c r="N73" t="s">
        <v>2779</v>
      </c>
      <c r="O73">
        <v>185.630065823</v>
      </c>
    </row>
    <row r="74" spans="1:15">
      <c r="A74">
        <v>76</v>
      </c>
      <c r="B74" t="s">
        <v>2276</v>
      </c>
      <c r="C74" t="s">
        <v>2290</v>
      </c>
      <c r="D74" t="s">
        <v>2659</v>
      </c>
      <c r="E74" t="s">
        <v>2460</v>
      </c>
      <c r="F74" t="s">
        <v>2287</v>
      </c>
      <c r="G74" t="s">
        <v>2714</v>
      </c>
      <c r="H74" t="s">
        <v>2697</v>
      </c>
      <c r="I74">
        <v>416</v>
      </c>
      <c r="J74">
        <v>501</v>
      </c>
      <c r="K74">
        <v>603</v>
      </c>
      <c r="L74" t="s">
        <v>2782</v>
      </c>
      <c r="M74">
        <v>51</v>
      </c>
      <c r="N74" t="s">
        <v>2779</v>
      </c>
      <c r="O74">
        <v>185.630065823</v>
      </c>
    </row>
    <row r="75" spans="1:15">
      <c r="A75">
        <v>77</v>
      </c>
      <c r="B75" t="s">
        <v>2276</v>
      </c>
      <c r="C75" t="s">
        <v>2291</v>
      </c>
      <c r="D75" t="s">
        <v>2659</v>
      </c>
      <c r="E75" t="s">
        <v>2460</v>
      </c>
      <c r="F75" t="s">
        <v>2287</v>
      </c>
      <c r="G75" t="s">
        <v>2714</v>
      </c>
      <c r="H75" t="s">
        <v>2697</v>
      </c>
      <c r="I75">
        <v>594</v>
      </c>
      <c r="J75">
        <v>137</v>
      </c>
      <c r="K75">
        <v>509</v>
      </c>
      <c r="L75" t="s">
        <v>2783</v>
      </c>
      <c r="M75">
        <v>51</v>
      </c>
      <c r="N75" t="s">
        <v>2779</v>
      </c>
      <c r="O75">
        <v>185.630065823</v>
      </c>
    </row>
    <row r="76" spans="1:15">
      <c r="A76">
        <v>78</v>
      </c>
      <c r="B76" t="s">
        <v>2276</v>
      </c>
      <c r="C76" t="s">
        <v>2292</v>
      </c>
      <c r="D76" t="s">
        <v>2659</v>
      </c>
      <c r="E76" t="s">
        <v>2460</v>
      </c>
      <c r="F76" t="s">
        <v>2287</v>
      </c>
      <c r="G76" t="s">
        <v>2714</v>
      </c>
      <c r="H76" t="s">
        <v>2697</v>
      </c>
      <c r="I76">
        <v>460</v>
      </c>
      <c r="J76">
        <v>278</v>
      </c>
      <c r="K76">
        <v>446</v>
      </c>
      <c r="L76" t="s">
        <v>2784</v>
      </c>
      <c r="M76">
        <v>51</v>
      </c>
      <c r="N76" t="s">
        <v>2779</v>
      </c>
      <c r="O76">
        <v>185.630065823</v>
      </c>
    </row>
    <row r="77" spans="1:15">
      <c r="A77">
        <v>79</v>
      </c>
      <c r="B77" t="s">
        <v>2276</v>
      </c>
      <c r="C77" t="s">
        <v>2293</v>
      </c>
      <c r="D77" t="s">
        <v>2659</v>
      </c>
      <c r="E77" t="s">
        <v>2460</v>
      </c>
      <c r="F77" t="s">
        <v>2287</v>
      </c>
      <c r="G77" t="s">
        <v>2714</v>
      </c>
      <c r="H77" t="s">
        <v>2697</v>
      </c>
      <c r="I77">
        <v>217</v>
      </c>
      <c r="J77">
        <v>235</v>
      </c>
      <c r="K77">
        <v>249</v>
      </c>
      <c r="L77" t="s">
        <v>2785</v>
      </c>
      <c r="M77">
        <v>51</v>
      </c>
      <c r="N77" t="s">
        <v>2779</v>
      </c>
      <c r="O77">
        <v>185.630065823</v>
      </c>
    </row>
    <row r="78" spans="1:15">
      <c r="A78">
        <v>80</v>
      </c>
      <c r="B78" t="s">
        <v>2276</v>
      </c>
      <c r="C78" t="s">
        <v>2294</v>
      </c>
      <c r="D78" t="s">
        <v>2659</v>
      </c>
      <c r="E78" t="s">
        <v>2460</v>
      </c>
      <c r="F78" t="s">
        <v>2287</v>
      </c>
      <c r="G78" t="s">
        <v>2714</v>
      </c>
      <c r="H78" t="s">
        <v>2697</v>
      </c>
      <c r="I78">
        <v>607</v>
      </c>
      <c r="J78">
        <v>181</v>
      </c>
      <c r="K78">
        <v>474</v>
      </c>
      <c r="L78" t="s">
        <v>2786</v>
      </c>
      <c r="M78">
        <v>51</v>
      </c>
      <c r="N78" t="s">
        <v>2779</v>
      </c>
      <c r="O78">
        <v>185.630065823</v>
      </c>
    </row>
    <row r="79" spans="1:15">
      <c r="A79">
        <v>177</v>
      </c>
      <c r="B79" t="s">
        <v>2385</v>
      </c>
      <c r="C79" t="s">
        <v>2403</v>
      </c>
      <c r="D79" t="s">
        <v>2460</v>
      </c>
      <c r="E79" t="s">
        <v>2460</v>
      </c>
      <c r="F79" t="s">
        <v>2296</v>
      </c>
      <c r="G79" t="s">
        <v>2878</v>
      </c>
      <c r="H79" t="s">
        <v>2859</v>
      </c>
      <c r="I79">
        <v>362</v>
      </c>
      <c r="J79">
        <v>262</v>
      </c>
      <c r="K79">
        <v>483</v>
      </c>
      <c r="L79" t="s">
        <v>2898</v>
      </c>
      <c r="M79">
        <v>52</v>
      </c>
      <c r="N79" t="s">
        <v>2899</v>
      </c>
      <c r="O79">
        <v>188.24043152799999</v>
      </c>
    </row>
    <row r="80" spans="1:15">
      <c r="A80">
        <v>178</v>
      </c>
      <c r="B80" t="s">
        <v>2385</v>
      </c>
      <c r="C80" t="s">
        <v>2404</v>
      </c>
      <c r="D80" t="s">
        <v>2460</v>
      </c>
      <c r="E80" t="s">
        <v>2460</v>
      </c>
      <c r="F80" t="s">
        <v>2296</v>
      </c>
      <c r="G80" t="s">
        <v>2878</v>
      </c>
      <c r="H80" t="s">
        <v>2859</v>
      </c>
      <c r="I80">
        <v>781</v>
      </c>
      <c r="J80">
        <v>309</v>
      </c>
      <c r="K80">
        <v>893</v>
      </c>
      <c r="L80" t="s">
        <v>2900</v>
      </c>
      <c r="M80">
        <v>52</v>
      </c>
      <c r="N80" t="s">
        <v>2899</v>
      </c>
      <c r="O80">
        <v>188.24043152799999</v>
      </c>
    </row>
    <row r="81" spans="1:15">
      <c r="A81">
        <v>179</v>
      </c>
      <c r="B81" t="s">
        <v>2385</v>
      </c>
      <c r="C81" t="s">
        <v>2405</v>
      </c>
      <c r="D81" t="s">
        <v>2460</v>
      </c>
      <c r="E81" t="s">
        <v>2460</v>
      </c>
      <c r="F81" t="s">
        <v>2296</v>
      </c>
      <c r="G81" t="s">
        <v>2878</v>
      </c>
      <c r="H81" t="s">
        <v>2859</v>
      </c>
      <c r="I81">
        <v>451</v>
      </c>
      <c r="J81">
        <v>32</v>
      </c>
      <c r="K81">
        <v>826</v>
      </c>
      <c r="L81" t="s">
        <v>2901</v>
      </c>
      <c r="M81">
        <v>52</v>
      </c>
      <c r="N81" t="s">
        <v>2899</v>
      </c>
      <c r="O81">
        <v>188.24043152799999</v>
      </c>
    </row>
    <row r="82" spans="1:15">
      <c r="A82">
        <v>180</v>
      </c>
      <c r="B82" t="s">
        <v>2385</v>
      </c>
      <c r="C82" t="s">
        <v>2406</v>
      </c>
      <c r="D82" t="s">
        <v>2460</v>
      </c>
      <c r="E82" t="s">
        <v>2460</v>
      </c>
      <c r="F82" t="s">
        <v>2296</v>
      </c>
      <c r="G82" t="s">
        <v>2878</v>
      </c>
      <c r="H82" t="s">
        <v>2859</v>
      </c>
      <c r="I82">
        <v>360</v>
      </c>
      <c r="J82">
        <v>268</v>
      </c>
      <c r="K82">
        <v>783</v>
      </c>
      <c r="L82" t="s">
        <v>2902</v>
      </c>
      <c r="M82">
        <v>52</v>
      </c>
      <c r="N82" t="s">
        <v>2899</v>
      </c>
      <c r="O82">
        <v>188.24043152799999</v>
      </c>
    </row>
    <row r="83" spans="1:15">
      <c r="A83">
        <v>181</v>
      </c>
      <c r="B83" t="s">
        <v>2385</v>
      </c>
      <c r="C83" t="s">
        <v>2407</v>
      </c>
      <c r="D83" t="s">
        <v>2460</v>
      </c>
      <c r="E83" t="s">
        <v>2460</v>
      </c>
      <c r="F83" t="s">
        <v>2296</v>
      </c>
      <c r="G83" t="s">
        <v>2878</v>
      </c>
      <c r="H83" t="s">
        <v>2859</v>
      </c>
      <c r="I83">
        <v>458</v>
      </c>
      <c r="J83">
        <v>587</v>
      </c>
      <c r="K83">
        <v>551</v>
      </c>
      <c r="L83" t="s">
        <v>2903</v>
      </c>
      <c r="M83">
        <v>52</v>
      </c>
      <c r="N83" t="s">
        <v>2899</v>
      </c>
      <c r="O83">
        <v>188.24043152799999</v>
      </c>
    </row>
    <row r="84" spans="1:15">
      <c r="A84">
        <v>182</v>
      </c>
      <c r="B84" t="s">
        <v>2385</v>
      </c>
      <c r="C84" t="s">
        <v>2408</v>
      </c>
      <c r="D84" t="s">
        <v>2460</v>
      </c>
      <c r="E84" t="s">
        <v>2460</v>
      </c>
      <c r="F84" t="s">
        <v>2296</v>
      </c>
      <c r="G84" t="s">
        <v>2878</v>
      </c>
      <c r="H84" t="s">
        <v>2859</v>
      </c>
      <c r="I84">
        <v>403</v>
      </c>
      <c r="J84">
        <v>444</v>
      </c>
      <c r="K84">
        <v>818</v>
      </c>
      <c r="L84" t="s">
        <v>2904</v>
      </c>
      <c r="M84">
        <v>52</v>
      </c>
      <c r="N84" t="s">
        <v>2899</v>
      </c>
      <c r="O84">
        <v>188.24043152799999</v>
      </c>
    </row>
    <row r="85" spans="1:15">
      <c r="A85">
        <v>183</v>
      </c>
      <c r="B85" t="s">
        <v>2385</v>
      </c>
      <c r="C85" t="s">
        <v>2409</v>
      </c>
      <c r="D85" t="s">
        <v>2460</v>
      </c>
      <c r="E85" t="s">
        <v>2460</v>
      </c>
      <c r="F85" t="s">
        <v>2296</v>
      </c>
      <c r="G85" t="s">
        <v>2878</v>
      </c>
      <c r="H85" t="s">
        <v>2859</v>
      </c>
      <c r="I85">
        <v>585</v>
      </c>
      <c r="J85">
        <v>568</v>
      </c>
      <c r="K85">
        <v>896</v>
      </c>
      <c r="L85" t="s">
        <v>2905</v>
      </c>
      <c r="M85">
        <v>52</v>
      </c>
      <c r="N85" t="s">
        <v>2899</v>
      </c>
      <c r="O85">
        <v>188.24043152799999</v>
      </c>
    </row>
    <row r="86" spans="1:15">
      <c r="A86">
        <v>184</v>
      </c>
      <c r="B86" t="s">
        <v>2385</v>
      </c>
      <c r="C86" t="s">
        <v>2410</v>
      </c>
      <c r="D86" t="s">
        <v>2460</v>
      </c>
      <c r="E86" t="s">
        <v>2460</v>
      </c>
      <c r="F86" t="s">
        <v>2296</v>
      </c>
      <c r="G86" t="s">
        <v>2878</v>
      </c>
      <c r="H86" t="s">
        <v>2859</v>
      </c>
      <c r="I86">
        <v>669</v>
      </c>
      <c r="J86">
        <v>541</v>
      </c>
      <c r="K86">
        <v>337</v>
      </c>
      <c r="L86" t="s">
        <v>2906</v>
      </c>
      <c r="M86">
        <v>52</v>
      </c>
      <c r="N86" t="s">
        <v>2899</v>
      </c>
      <c r="O86">
        <v>188.24043152799999</v>
      </c>
    </row>
    <row r="87" spans="1:15">
      <c r="A87">
        <v>185</v>
      </c>
      <c r="B87" t="s">
        <v>2385</v>
      </c>
      <c r="C87" t="s">
        <v>2412</v>
      </c>
      <c r="D87" t="s">
        <v>2460</v>
      </c>
      <c r="E87" t="s">
        <v>2460</v>
      </c>
      <c r="F87" t="s">
        <v>2306</v>
      </c>
      <c r="G87" t="s">
        <v>2878</v>
      </c>
      <c r="H87" t="s">
        <v>2859</v>
      </c>
      <c r="I87">
        <v>423</v>
      </c>
      <c r="J87">
        <v>51</v>
      </c>
      <c r="K87">
        <v>564</v>
      </c>
      <c r="L87" t="s">
        <v>2907</v>
      </c>
      <c r="M87">
        <v>52</v>
      </c>
      <c r="N87" t="s">
        <v>2908</v>
      </c>
      <c r="O87">
        <v>188.24043152799999</v>
      </c>
    </row>
    <row r="88" spans="1:15">
      <c r="A88">
        <v>186</v>
      </c>
      <c r="B88" t="s">
        <v>2385</v>
      </c>
      <c r="C88" t="s">
        <v>2413</v>
      </c>
      <c r="D88" t="s">
        <v>2460</v>
      </c>
      <c r="E88" t="s">
        <v>2460</v>
      </c>
      <c r="F88" t="s">
        <v>2306</v>
      </c>
      <c r="G88" t="s">
        <v>2878</v>
      </c>
      <c r="H88" t="s">
        <v>2859</v>
      </c>
      <c r="I88">
        <v>544</v>
      </c>
      <c r="J88">
        <v>557</v>
      </c>
      <c r="K88">
        <v>608</v>
      </c>
      <c r="L88" t="s">
        <v>2909</v>
      </c>
      <c r="M88">
        <v>52</v>
      </c>
      <c r="N88" t="s">
        <v>2908</v>
      </c>
      <c r="O88">
        <v>188.24043152799999</v>
      </c>
    </row>
    <row r="89" spans="1:15">
      <c r="A89">
        <v>187</v>
      </c>
      <c r="B89" t="s">
        <v>2385</v>
      </c>
      <c r="C89" t="s">
        <v>2414</v>
      </c>
      <c r="D89" t="s">
        <v>2460</v>
      </c>
      <c r="E89" t="s">
        <v>2460</v>
      </c>
      <c r="F89" t="s">
        <v>2306</v>
      </c>
      <c r="G89" t="s">
        <v>2878</v>
      </c>
      <c r="H89" t="s">
        <v>2859</v>
      </c>
      <c r="I89">
        <v>620</v>
      </c>
      <c r="J89">
        <v>427</v>
      </c>
      <c r="K89">
        <v>365</v>
      </c>
      <c r="L89" t="s">
        <v>2910</v>
      </c>
      <c r="M89">
        <v>52</v>
      </c>
      <c r="N89" t="s">
        <v>2908</v>
      </c>
      <c r="O89">
        <v>188.24043152799999</v>
      </c>
    </row>
    <row r="90" spans="1:15">
      <c r="A90">
        <v>188</v>
      </c>
      <c r="B90" t="s">
        <v>2385</v>
      </c>
      <c r="C90" t="s">
        <v>2415</v>
      </c>
      <c r="D90" t="s">
        <v>2460</v>
      </c>
      <c r="E90" t="s">
        <v>2460</v>
      </c>
      <c r="F90" t="s">
        <v>2306</v>
      </c>
      <c r="G90" t="s">
        <v>2878</v>
      </c>
      <c r="H90" t="s">
        <v>2859</v>
      </c>
      <c r="I90">
        <v>420</v>
      </c>
      <c r="J90">
        <v>223</v>
      </c>
      <c r="K90">
        <v>375</v>
      </c>
      <c r="L90" t="s">
        <v>2911</v>
      </c>
      <c r="M90">
        <v>52</v>
      </c>
      <c r="N90" t="s">
        <v>2908</v>
      </c>
      <c r="O90">
        <v>188.24043152799999</v>
      </c>
    </row>
    <row r="91" spans="1:15">
      <c r="A91">
        <v>189</v>
      </c>
      <c r="B91" t="s">
        <v>2385</v>
      </c>
      <c r="C91" t="s">
        <v>2417</v>
      </c>
      <c r="D91" t="s">
        <v>2460</v>
      </c>
      <c r="E91" t="s">
        <v>2460</v>
      </c>
      <c r="F91" t="s">
        <v>2306</v>
      </c>
      <c r="G91" t="s">
        <v>2878</v>
      </c>
      <c r="H91" t="s">
        <v>2859</v>
      </c>
      <c r="I91">
        <v>367</v>
      </c>
      <c r="J91">
        <v>354</v>
      </c>
      <c r="K91">
        <v>537</v>
      </c>
      <c r="L91" t="s">
        <v>2912</v>
      </c>
      <c r="M91">
        <v>52</v>
      </c>
      <c r="N91" t="s">
        <v>2908</v>
      </c>
      <c r="O91">
        <v>188.24043152799999</v>
      </c>
    </row>
    <row r="92" spans="1:15">
      <c r="A92">
        <v>190</v>
      </c>
      <c r="B92" t="s">
        <v>2385</v>
      </c>
      <c r="C92" t="s">
        <v>2418</v>
      </c>
      <c r="D92" t="s">
        <v>2460</v>
      </c>
      <c r="E92" t="s">
        <v>2460</v>
      </c>
      <c r="F92" t="s">
        <v>2306</v>
      </c>
      <c r="G92" t="s">
        <v>2878</v>
      </c>
      <c r="H92" t="s">
        <v>2859</v>
      </c>
      <c r="I92">
        <v>526</v>
      </c>
      <c r="J92">
        <v>164</v>
      </c>
      <c r="K92">
        <v>393</v>
      </c>
      <c r="L92" t="s">
        <v>2913</v>
      </c>
      <c r="M92">
        <v>52</v>
      </c>
      <c r="N92" t="s">
        <v>2908</v>
      </c>
      <c r="O92">
        <v>188.24043152799999</v>
      </c>
    </row>
    <row r="93" spans="1:15">
      <c r="A93">
        <v>191</v>
      </c>
      <c r="B93" t="s">
        <v>2385</v>
      </c>
      <c r="C93" t="s">
        <v>2419</v>
      </c>
      <c r="D93" t="s">
        <v>2460</v>
      </c>
      <c r="E93" t="s">
        <v>2460</v>
      </c>
      <c r="F93" t="s">
        <v>2306</v>
      </c>
      <c r="G93" t="s">
        <v>2878</v>
      </c>
      <c r="H93" t="s">
        <v>2859</v>
      </c>
      <c r="I93">
        <v>522</v>
      </c>
      <c r="J93">
        <v>336</v>
      </c>
      <c r="K93">
        <v>417</v>
      </c>
      <c r="L93" t="s">
        <v>2914</v>
      </c>
      <c r="M93">
        <v>52</v>
      </c>
      <c r="N93" t="s">
        <v>2908</v>
      </c>
      <c r="O93">
        <v>188.24043152799999</v>
      </c>
    </row>
    <row r="94" spans="1:15">
      <c r="A94">
        <v>192</v>
      </c>
      <c r="B94" t="s">
        <v>2385</v>
      </c>
      <c r="C94" t="s">
        <v>2420</v>
      </c>
      <c r="D94" t="s">
        <v>2460</v>
      </c>
      <c r="E94" t="s">
        <v>2460</v>
      </c>
      <c r="F94" t="s">
        <v>2306</v>
      </c>
      <c r="G94" t="s">
        <v>2878</v>
      </c>
      <c r="H94" t="s">
        <v>2859</v>
      </c>
      <c r="I94">
        <v>591</v>
      </c>
      <c r="J94">
        <v>263</v>
      </c>
      <c r="K94">
        <v>297</v>
      </c>
      <c r="L94" t="s">
        <v>2915</v>
      </c>
      <c r="M94">
        <v>52</v>
      </c>
      <c r="N94" t="s">
        <v>2908</v>
      </c>
      <c r="O94">
        <v>188.24043152799999</v>
      </c>
    </row>
    <row r="95" spans="1:15">
      <c r="A95">
        <v>1</v>
      </c>
      <c r="B95" t="s">
        <v>2176</v>
      </c>
      <c r="C95" t="s">
        <v>2177</v>
      </c>
      <c r="D95" t="s">
        <v>2659</v>
      </c>
      <c r="E95" t="s">
        <v>2460</v>
      </c>
      <c r="F95" t="s">
        <v>2178</v>
      </c>
      <c r="G95" t="s">
        <v>2696</v>
      </c>
      <c r="H95" t="s">
        <v>2697</v>
      </c>
      <c r="I95">
        <v>436</v>
      </c>
      <c r="J95">
        <v>17</v>
      </c>
      <c r="K95">
        <v>752</v>
      </c>
      <c r="L95" t="s">
        <v>2698</v>
      </c>
      <c r="M95">
        <v>52</v>
      </c>
      <c r="N95" t="s">
        <v>2699</v>
      </c>
      <c r="O95">
        <v>194.43839254400001</v>
      </c>
    </row>
    <row r="96" spans="1:15">
      <c r="A96">
        <v>2</v>
      </c>
      <c r="B96" t="s">
        <v>2176</v>
      </c>
      <c r="C96" t="s">
        <v>2183</v>
      </c>
      <c r="D96" t="s">
        <v>2659</v>
      </c>
      <c r="E96" t="s">
        <v>2460</v>
      </c>
      <c r="F96" t="s">
        <v>2178</v>
      </c>
      <c r="G96" t="s">
        <v>2696</v>
      </c>
      <c r="H96" t="s">
        <v>2697</v>
      </c>
      <c r="I96">
        <v>568</v>
      </c>
      <c r="J96">
        <v>121</v>
      </c>
      <c r="K96">
        <v>737</v>
      </c>
      <c r="L96" t="s">
        <v>2700</v>
      </c>
      <c r="M96">
        <v>52</v>
      </c>
      <c r="N96" t="s">
        <v>2699</v>
      </c>
      <c r="O96">
        <v>194.43839254400001</v>
      </c>
    </row>
    <row r="97" spans="1:15">
      <c r="A97">
        <v>4</v>
      </c>
      <c r="B97" t="s">
        <v>2176</v>
      </c>
      <c r="C97" t="s">
        <v>2186</v>
      </c>
      <c r="D97" t="s">
        <v>2659</v>
      </c>
      <c r="E97" t="s">
        <v>2460</v>
      </c>
      <c r="F97" t="s">
        <v>2178</v>
      </c>
      <c r="G97" t="s">
        <v>2696</v>
      </c>
      <c r="H97" t="s">
        <v>2697</v>
      </c>
      <c r="I97">
        <v>652</v>
      </c>
      <c r="J97">
        <v>115</v>
      </c>
      <c r="K97">
        <v>532</v>
      </c>
      <c r="L97" t="s">
        <v>2701</v>
      </c>
      <c r="M97">
        <v>52</v>
      </c>
      <c r="N97" t="s">
        <v>2699</v>
      </c>
      <c r="O97">
        <v>194.43839254400001</v>
      </c>
    </row>
    <row r="98" spans="1:15">
      <c r="A98">
        <v>5</v>
      </c>
      <c r="B98" t="s">
        <v>2176</v>
      </c>
      <c r="C98" t="s">
        <v>2189</v>
      </c>
      <c r="D98" t="s">
        <v>2659</v>
      </c>
      <c r="E98" t="s">
        <v>2460</v>
      </c>
      <c r="F98" t="s">
        <v>2178</v>
      </c>
      <c r="G98" t="s">
        <v>2696</v>
      </c>
      <c r="H98" t="s">
        <v>2697</v>
      </c>
      <c r="I98">
        <v>497</v>
      </c>
      <c r="J98">
        <v>502</v>
      </c>
      <c r="K98">
        <v>577</v>
      </c>
      <c r="L98" t="s">
        <v>2702</v>
      </c>
      <c r="M98">
        <v>52</v>
      </c>
      <c r="N98" t="s">
        <v>2699</v>
      </c>
      <c r="O98">
        <v>194.43839254400001</v>
      </c>
    </row>
    <row r="99" spans="1:15">
      <c r="A99">
        <v>6</v>
      </c>
      <c r="B99" t="s">
        <v>2176</v>
      </c>
      <c r="C99" t="s">
        <v>2190</v>
      </c>
      <c r="D99" t="s">
        <v>2659</v>
      </c>
      <c r="E99" t="s">
        <v>2460</v>
      </c>
      <c r="F99" t="s">
        <v>2178</v>
      </c>
      <c r="G99" t="s">
        <v>2696</v>
      </c>
      <c r="H99" t="s">
        <v>2697</v>
      </c>
      <c r="I99">
        <v>447</v>
      </c>
      <c r="J99">
        <v>177</v>
      </c>
      <c r="K99">
        <v>634</v>
      </c>
      <c r="L99" t="s">
        <v>2703</v>
      </c>
      <c r="M99">
        <v>52</v>
      </c>
      <c r="N99" t="s">
        <v>2699</v>
      </c>
      <c r="O99">
        <v>194.43839254400001</v>
      </c>
    </row>
    <row r="100" spans="1:15">
      <c r="A100">
        <v>7</v>
      </c>
      <c r="B100" t="s">
        <v>2176</v>
      </c>
      <c r="C100" t="s">
        <v>2191</v>
      </c>
      <c r="D100" t="s">
        <v>2659</v>
      </c>
      <c r="E100" t="s">
        <v>2460</v>
      </c>
      <c r="F100" t="s">
        <v>2178</v>
      </c>
      <c r="G100" t="s">
        <v>2696</v>
      </c>
      <c r="H100" t="s">
        <v>2697</v>
      </c>
      <c r="I100">
        <v>452</v>
      </c>
      <c r="J100">
        <v>531</v>
      </c>
      <c r="K100">
        <v>665</v>
      </c>
      <c r="L100" t="s">
        <v>2704</v>
      </c>
      <c r="M100">
        <v>52</v>
      </c>
      <c r="N100" t="s">
        <v>2699</v>
      </c>
      <c r="O100">
        <v>194.43839254400001</v>
      </c>
    </row>
    <row r="101" spans="1:15">
      <c r="A101">
        <v>8</v>
      </c>
      <c r="B101" t="s">
        <v>2176</v>
      </c>
      <c r="C101" t="s">
        <v>2192</v>
      </c>
      <c r="D101" t="s">
        <v>2659</v>
      </c>
      <c r="E101" t="s">
        <v>2460</v>
      </c>
      <c r="F101" t="s">
        <v>2178</v>
      </c>
      <c r="G101" t="s">
        <v>2696</v>
      </c>
      <c r="H101" t="s">
        <v>2697</v>
      </c>
      <c r="I101">
        <v>389</v>
      </c>
      <c r="J101">
        <v>406</v>
      </c>
      <c r="K101">
        <v>701</v>
      </c>
      <c r="L101" t="s">
        <v>2705</v>
      </c>
      <c r="M101">
        <v>52</v>
      </c>
      <c r="N101" t="s">
        <v>2699</v>
      </c>
      <c r="O101">
        <v>194.43839254400001</v>
      </c>
    </row>
    <row r="102" spans="1:15">
      <c r="A102">
        <v>9</v>
      </c>
      <c r="B102" t="s">
        <v>2176</v>
      </c>
      <c r="C102" t="s">
        <v>2193</v>
      </c>
      <c r="D102" t="s">
        <v>2659</v>
      </c>
      <c r="E102" t="s">
        <v>2460</v>
      </c>
      <c r="F102" t="s">
        <v>2194</v>
      </c>
      <c r="G102" t="s">
        <v>2696</v>
      </c>
      <c r="H102" t="s">
        <v>2697</v>
      </c>
      <c r="I102">
        <v>514</v>
      </c>
      <c r="J102">
        <v>169</v>
      </c>
      <c r="K102">
        <v>476</v>
      </c>
      <c r="L102" t="s">
        <v>2706</v>
      </c>
      <c r="M102">
        <v>52</v>
      </c>
      <c r="N102" t="s">
        <v>2707</v>
      </c>
      <c r="O102">
        <v>194.43839254400001</v>
      </c>
    </row>
    <row r="103" spans="1:15">
      <c r="A103">
        <v>10</v>
      </c>
      <c r="B103" t="s">
        <v>2176</v>
      </c>
      <c r="C103" t="s">
        <v>2196</v>
      </c>
      <c r="D103" t="s">
        <v>2659</v>
      </c>
      <c r="E103" t="s">
        <v>2460</v>
      </c>
      <c r="F103" t="s">
        <v>2194</v>
      </c>
      <c r="G103" t="s">
        <v>2696</v>
      </c>
      <c r="H103" t="s">
        <v>2697</v>
      </c>
      <c r="I103">
        <v>286</v>
      </c>
      <c r="J103">
        <v>91</v>
      </c>
      <c r="K103">
        <v>606</v>
      </c>
      <c r="L103" t="s">
        <v>2708</v>
      </c>
      <c r="M103">
        <v>52</v>
      </c>
      <c r="N103" t="s">
        <v>2707</v>
      </c>
      <c r="O103">
        <v>194.43839254400001</v>
      </c>
    </row>
    <row r="104" spans="1:15">
      <c r="A104">
        <v>11</v>
      </c>
      <c r="B104" t="s">
        <v>2176</v>
      </c>
      <c r="C104" t="s">
        <v>2197</v>
      </c>
      <c r="D104" t="s">
        <v>2659</v>
      </c>
      <c r="E104" t="s">
        <v>2460</v>
      </c>
      <c r="F104" t="s">
        <v>2194</v>
      </c>
      <c r="G104" t="s">
        <v>2696</v>
      </c>
      <c r="H104" t="s">
        <v>2697</v>
      </c>
      <c r="I104">
        <v>543</v>
      </c>
      <c r="J104">
        <v>446</v>
      </c>
      <c r="K104">
        <v>523</v>
      </c>
      <c r="L104" t="s">
        <v>2709</v>
      </c>
      <c r="M104">
        <v>52</v>
      </c>
      <c r="N104" t="s">
        <v>2707</v>
      </c>
      <c r="O104">
        <v>194.43839254400001</v>
      </c>
    </row>
    <row r="105" spans="1:15">
      <c r="A105">
        <v>13</v>
      </c>
      <c r="B105" t="s">
        <v>2176</v>
      </c>
      <c r="C105" t="s">
        <v>2199</v>
      </c>
      <c r="D105" t="s">
        <v>2659</v>
      </c>
      <c r="E105" t="s">
        <v>2460</v>
      </c>
      <c r="F105" t="s">
        <v>2194</v>
      </c>
      <c r="G105" t="s">
        <v>2696</v>
      </c>
      <c r="H105" t="s">
        <v>2697</v>
      </c>
      <c r="I105">
        <v>595</v>
      </c>
      <c r="J105">
        <v>450</v>
      </c>
      <c r="K105">
        <v>241</v>
      </c>
      <c r="L105" t="s">
        <v>2710</v>
      </c>
      <c r="M105">
        <v>52</v>
      </c>
      <c r="N105" t="s">
        <v>2707</v>
      </c>
      <c r="O105">
        <v>194.43839254400001</v>
      </c>
    </row>
    <row r="106" spans="1:15">
      <c r="A106">
        <v>14</v>
      </c>
      <c r="B106" t="s">
        <v>2176</v>
      </c>
      <c r="C106" t="s">
        <v>2201</v>
      </c>
      <c r="D106" t="s">
        <v>2659</v>
      </c>
      <c r="E106" t="s">
        <v>2460</v>
      </c>
      <c r="F106" t="s">
        <v>2194</v>
      </c>
      <c r="G106" t="s">
        <v>2696</v>
      </c>
      <c r="H106" t="s">
        <v>2697</v>
      </c>
      <c r="I106">
        <v>609</v>
      </c>
      <c r="J106">
        <v>382</v>
      </c>
      <c r="K106">
        <v>503</v>
      </c>
      <c r="L106" t="s">
        <v>2711</v>
      </c>
      <c r="M106">
        <v>52</v>
      </c>
      <c r="N106" t="s">
        <v>2707</v>
      </c>
      <c r="O106">
        <v>194.43839254400001</v>
      </c>
    </row>
    <row r="107" spans="1:15">
      <c r="A107">
        <v>15</v>
      </c>
      <c r="B107" t="s">
        <v>2176</v>
      </c>
      <c r="C107" t="s">
        <v>2202</v>
      </c>
      <c r="D107" t="s">
        <v>2659</v>
      </c>
      <c r="E107" t="s">
        <v>2460</v>
      </c>
      <c r="F107" t="s">
        <v>2194</v>
      </c>
      <c r="G107" t="s">
        <v>2696</v>
      </c>
      <c r="H107" t="s">
        <v>2697</v>
      </c>
      <c r="I107">
        <v>222</v>
      </c>
      <c r="J107">
        <v>415</v>
      </c>
      <c r="K107">
        <v>685</v>
      </c>
      <c r="L107" t="s">
        <v>2712</v>
      </c>
      <c r="M107">
        <v>52</v>
      </c>
      <c r="N107" t="s">
        <v>2707</v>
      </c>
      <c r="O107">
        <v>194.43839254400001</v>
      </c>
    </row>
    <row r="108" spans="1:15">
      <c r="A108">
        <v>16</v>
      </c>
      <c r="B108" t="s">
        <v>2176</v>
      </c>
      <c r="C108" t="s">
        <v>2205</v>
      </c>
      <c r="D108" t="s">
        <v>2659</v>
      </c>
      <c r="E108" t="s">
        <v>2460</v>
      </c>
      <c r="F108" t="s">
        <v>2194</v>
      </c>
      <c r="G108" t="s">
        <v>2696</v>
      </c>
      <c r="H108" t="s">
        <v>2697</v>
      </c>
      <c r="I108">
        <v>405</v>
      </c>
      <c r="J108">
        <v>519</v>
      </c>
      <c r="K108">
        <v>644</v>
      </c>
      <c r="L108" t="s">
        <v>2713</v>
      </c>
      <c r="M108">
        <v>52</v>
      </c>
      <c r="N108" t="s">
        <v>2707</v>
      </c>
      <c r="O108">
        <v>194.43839254400001</v>
      </c>
    </row>
    <row r="109" spans="1:15">
      <c r="A109">
        <v>82</v>
      </c>
      <c r="B109" t="s">
        <v>2276</v>
      </c>
      <c r="C109" t="s">
        <v>2298</v>
      </c>
      <c r="D109" t="s">
        <v>2659</v>
      </c>
      <c r="E109" t="s">
        <v>2460</v>
      </c>
      <c r="F109" t="s">
        <v>2296</v>
      </c>
      <c r="G109" t="s">
        <v>2714</v>
      </c>
      <c r="H109" t="s">
        <v>2789</v>
      </c>
      <c r="I109">
        <v>536</v>
      </c>
      <c r="J109">
        <v>83</v>
      </c>
      <c r="K109">
        <v>840</v>
      </c>
      <c r="L109" t="s">
        <v>2790</v>
      </c>
      <c r="M109">
        <v>52</v>
      </c>
      <c r="N109" t="s">
        <v>2788</v>
      </c>
      <c r="O109">
        <v>194.93009798400001</v>
      </c>
    </row>
    <row r="110" spans="1:15">
      <c r="A110">
        <v>83</v>
      </c>
      <c r="B110" t="s">
        <v>2276</v>
      </c>
      <c r="C110" t="s">
        <v>2299</v>
      </c>
      <c r="D110" t="s">
        <v>2659</v>
      </c>
      <c r="E110" t="s">
        <v>2460</v>
      </c>
      <c r="F110" t="s">
        <v>2296</v>
      </c>
      <c r="G110" t="s">
        <v>2714</v>
      </c>
      <c r="H110" t="s">
        <v>2789</v>
      </c>
      <c r="I110">
        <v>494</v>
      </c>
      <c r="J110">
        <v>134</v>
      </c>
      <c r="K110">
        <v>298</v>
      </c>
      <c r="L110" t="s">
        <v>2791</v>
      </c>
      <c r="M110">
        <v>52</v>
      </c>
      <c r="N110" t="s">
        <v>2788</v>
      </c>
      <c r="O110">
        <v>194.93009798400001</v>
      </c>
    </row>
    <row r="111" spans="1:15">
      <c r="A111">
        <v>84</v>
      </c>
      <c r="B111" t="s">
        <v>2276</v>
      </c>
      <c r="C111" t="s">
        <v>2300</v>
      </c>
      <c r="D111" t="s">
        <v>2659</v>
      </c>
      <c r="E111" t="s">
        <v>2460</v>
      </c>
      <c r="F111" t="s">
        <v>2296</v>
      </c>
      <c r="G111" t="s">
        <v>2714</v>
      </c>
      <c r="H111" t="s">
        <v>2789</v>
      </c>
      <c r="I111">
        <v>291</v>
      </c>
      <c r="J111">
        <v>49</v>
      </c>
      <c r="K111">
        <v>520</v>
      </c>
      <c r="L111" t="s">
        <v>2792</v>
      </c>
      <c r="M111">
        <v>52</v>
      </c>
      <c r="N111" t="s">
        <v>2788</v>
      </c>
      <c r="O111">
        <v>194.93009798400001</v>
      </c>
    </row>
    <row r="112" spans="1:15">
      <c r="A112">
        <v>85</v>
      </c>
      <c r="B112" t="s">
        <v>2276</v>
      </c>
      <c r="C112" t="s">
        <v>2301</v>
      </c>
      <c r="D112" t="s">
        <v>2659</v>
      </c>
      <c r="E112" t="s">
        <v>2460</v>
      </c>
      <c r="F112" t="s">
        <v>2296</v>
      </c>
      <c r="G112" t="s">
        <v>2714</v>
      </c>
      <c r="H112" t="s">
        <v>2789</v>
      </c>
      <c r="I112">
        <v>308</v>
      </c>
      <c r="J112">
        <v>315</v>
      </c>
      <c r="K112">
        <v>441</v>
      </c>
      <c r="L112" t="s">
        <v>2793</v>
      </c>
      <c r="M112">
        <v>52</v>
      </c>
      <c r="N112" t="s">
        <v>2788</v>
      </c>
      <c r="O112">
        <v>194.93009798400001</v>
      </c>
    </row>
    <row r="113" spans="1:15">
      <c r="A113">
        <v>86</v>
      </c>
      <c r="B113" t="s">
        <v>2276</v>
      </c>
      <c r="C113" t="s">
        <v>2302</v>
      </c>
      <c r="D113" t="s">
        <v>2659</v>
      </c>
      <c r="E113" t="s">
        <v>2460</v>
      </c>
      <c r="F113" t="s">
        <v>2296</v>
      </c>
      <c r="G113" t="s">
        <v>2714</v>
      </c>
      <c r="H113" t="s">
        <v>2789</v>
      </c>
      <c r="I113">
        <v>723</v>
      </c>
      <c r="J113">
        <v>1</v>
      </c>
      <c r="K113">
        <v>561</v>
      </c>
      <c r="L113" t="s">
        <v>2794</v>
      </c>
      <c r="M113">
        <v>52</v>
      </c>
      <c r="N113" t="s">
        <v>2788</v>
      </c>
      <c r="O113">
        <v>194.93009798400001</v>
      </c>
    </row>
    <row r="114" spans="1:15">
      <c r="A114">
        <v>87</v>
      </c>
      <c r="B114" t="s">
        <v>2276</v>
      </c>
      <c r="C114" t="s">
        <v>2303</v>
      </c>
      <c r="D114" t="s">
        <v>2659</v>
      </c>
      <c r="E114" t="s">
        <v>2460</v>
      </c>
      <c r="F114" t="s">
        <v>2296</v>
      </c>
      <c r="G114" t="s">
        <v>2714</v>
      </c>
      <c r="H114" t="s">
        <v>2789</v>
      </c>
      <c r="I114">
        <v>628</v>
      </c>
      <c r="J114">
        <v>408</v>
      </c>
      <c r="K114">
        <v>632</v>
      </c>
      <c r="L114" t="s">
        <v>2795</v>
      </c>
      <c r="M114">
        <v>52</v>
      </c>
      <c r="N114" t="s">
        <v>2788</v>
      </c>
      <c r="O114">
        <v>194.93009798400001</v>
      </c>
    </row>
    <row r="115" spans="1:15">
      <c r="A115">
        <v>89</v>
      </c>
      <c r="B115" t="s">
        <v>2276</v>
      </c>
      <c r="C115" t="s">
        <v>2305</v>
      </c>
      <c r="D115" t="s">
        <v>2659</v>
      </c>
      <c r="E115" t="s">
        <v>2460</v>
      </c>
      <c r="F115" t="s">
        <v>2306</v>
      </c>
      <c r="G115" t="s">
        <v>2714</v>
      </c>
      <c r="H115" t="s">
        <v>2789</v>
      </c>
      <c r="I115">
        <v>339</v>
      </c>
      <c r="J115">
        <v>196</v>
      </c>
      <c r="K115">
        <v>469</v>
      </c>
      <c r="L115" t="s">
        <v>2796</v>
      </c>
      <c r="M115">
        <v>52</v>
      </c>
      <c r="N115" t="s">
        <v>2797</v>
      </c>
      <c r="O115">
        <v>194.93009798400001</v>
      </c>
    </row>
    <row r="116" spans="1:15">
      <c r="A116">
        <v>90</v>
      </c>
      <c r="B116" t="s">
        <v>2276</v>
      </c>
      <c r="C116" t="s">
        <v>2307</v>
      </c>
      <c r="D116" t="s">
        <v>2659</v>
      </c>
      <c r="E116" t="s">
        <v>2460</v>
      </c>
      <c r="F116" t="s">
        <v>2306</v>
      </c>
      <c r="G116" t="s">
        <v>2714</v>
      </c>
      <c r="H116" t="s">
        <v>2789</v>
      </c>
      <c r="I116">
        <v>592</v>
      </c>
      <c r="J116">
        <v>94</v>
      </c>
      <c r="K116">
        <v>355</v>
      </c>
      <c r="L116" t="s">
        <v>2798</v>
      </c>
      <c r="M116">
        <v>52</v>
      </c>
      <c r="N116" t="s">
        <v>2797</v>
      </c>
      <c r="O116">
        <v>194.93009798400001</v>
      </c>
    </row>
    <row r="117" spans="1:15">
      <c r="A117">
        <v>91</v>
      </c>
      <c r="B117" t="s">
        <v>2276</v>
      </c>
      <c r="C117" t="s">
        <v>2308</v>
      </c>
      <c r="D117" t="s">
        <v>2659</v>
      </c>
      <c r="E117" t="s">
        <v>2460</v>
      </c>
      <c r="F117" t="s">
        <v>2306</v>
      </c>
      <c r="G117" t="s">
        <v>2714</v>
      </c>
      <c r="H117" t="s">
        <v>2789</v>
      </c>
      <c r="I117">
        <v>472</v>
      </c>
      <c r="J117">
        <v>343</v>
      </c>
      <c r="K117">
        <v>547</v>
      </c>
      <c r="L117" t="s">
        <v>2799</v>
      </c>
      <c r="M117">
        <v>52</v>
      </c>
      <c r="N117" t="s">
        <v>2797</v>
      </c>
      <c r="O117">
        <v>194.93009798400001</v>
      </c>
    </row>
    <row r="118" spans="1:15">
      <c r="A118">
        <v>92</v>
      </c>
      <c r="B118" t="s">
        <v>2276</v>
      </c>
      <c r="C118" t="s">
        <v>2309</v>
      </c>
      <c r="D118" t="s">
        <v>2659</v>
      </c>
      <c r="E118" t="s">
        <v>2460</v>
      </c>
      <c r="F118" t="s">
        <v>2306</v>
      </c>
      <c r="G118" t="s">
        <v>2714</v>
      </c>
      <c r="H118" t="s">
        <v>2789</v>
      </c>
      <c r="I118">
        <v>529</v>
      </c>
      <c r="J118">
        <v>445</v>
      </c>
      <c r="K118">
        <v>763</v>
      </c>
      <c r="L118" t="s">
        <v>2800</v>
      </c>
      <c r="M118">
        <v>52</v>
      </c>
      <c r="N118" t="s">
        <v>2797</v>
      </c>
      <c r="O118">
        <v>194.93009798400001</v>
      </c>
    </row>
    <row r="119" spans="1:15">
      <c r="A119">
        <v>93</v>
      </c>
      <c r="B119" t="s">
        <v>2276</v>
      </c>
      <c r="C119" t="s">
        <v>2310</v>
      </c>
      <c r="D119" t="s">
        <v>2659</v>
      </c>
      <c r="E119" t="s">
        <v>2460</v>
      </c>
      <c r="F119" t="s">
        <v>2306</v>
      </c>
      <c r="G119" t="s">
        <v>2714</v>
      </c>
      <c r="H119" t="s">
        <v>2789</v>
      </c>
      <c r="I119">
        <v>636</v>
      </c>
      <c r="J119">
        <v>12</v>
      </c>
      <c r="K119">
        <v>424</v>
      </c>
      <c r="L119" t="s">
        <v>2801</v>
      </c>
      <c r="M119">
        <v>52</v>
      </c>
      <c r="N119" t="s">
        <v>2797</v>
      </c>
      <c r="O119">
        <v>194.93009798400001</v>
      </c>
    </row>
    <row r="120" spans="1:15">
      <c r="A120">
        <v>95</v>
      </c>
      <c r="B120" t="s">
        <v>2276</v>
      </c>
      <c r="C120" t="s">
        <v>2312</v>
      </c>
      <c r="D120" t="s">
        <v>2659</v>
      </c>
      <c r="E120" t="s">
        <v>2460</v>
      </c>
      <c r="F120" t="s">
        <v>2306</v>
      </c>
      <c r="G120" t="s">
        <v>2714</v>
      </c>
      <c r="H120" t="s">
        <v>2789</v>
      </c>
      <c r="I120">
        <v>641</v>
      </c>
      <c r="J120">
        <v>360</v>
      </c>
      <c r="K120">
        <v>486</v>
      </c>
      <c r="L120" t="s">
        <v>2802</v>
      </c>
      <c r="M120">
        <v>52</v>
      </c>
      <c r="N120" t="s">
        <v>2797</v>
      </c>
      <c r="O120">
        <v>194.93009798400001</v>
      </c>
    </row>
    <row r="121" spans="1:15">
      <c r="A121">
        <v>96</v>
      </c>
      <c r="B121" t="s">
        <v>2276</v>
      </c>
      <c r="C121" t="s">
        <v>2313</v>
      </c>
      <c r="D121" t="s">
        <v>2659</v>
      </c>
      <c r="E121" t="s">
        <v>2460</v>
      </c>
      <c r="F121" t="s">
        <v>2306</v>
      </c>
      <c r="G121" t="s">
        <v>2714</v>
      </c>
      <c r="H121" t="s">
        <v>2789</v>
      </c>
      <c r="I121">
        <v>479</v>
      </c>
      <c r="J121">
        <v>318</v>
      </c>
      <c r="K121">
        <v>545</v>
      </c>
      <c r="L121" t="s">
        <v>2803</v>
      </c>
      <c r="M121">
        <v>52</v>
      </c>
      <c r="N121" t="s">
        <v>2797</v>
      </c>
      <c r="O121">
        <v>194.93009798400001</v>
      </c>
    </row>
    <row r="122" spans="1:15">
      <c r="A122">
        <v>145</v>
      </c>
      <c r="B122" t="s">
        <v>2666</v>
      </c>
      <c r="C122" t="s">
        <v>2367</v>
      </c>
      <c r="D122" t="s">
        <v>2460</v>
      </c>
      <c r="E122" t="s">
        <v>2460</v>
      </c>
      <c r="F122" t="s">
        <v>2256</v>
      </c>
      <c r="G122" t="s">
        <v>2804</v>
      </c>
      <c r="H122" t="s">
        <v>2859</v>
      </c>
      <c r="I122">
        <v>902</v>
      </c>
      <c r="J122">
        <v>27</v>
      </c>
      <c r="K122">
        <v>653</v>
      </c>
      <c r="L122" t="s">
        <v>2860</v>
      </c>
      <c r="M122">
        <v>53</v>
      </c>
      <c r="N122" t="s">
        <v>2861</v>
      </c>
      <c r="O122">
        <v>205.76139209600001</v>
      </c>
    </row>
    <row r="123" spans="1:15">
      <c r="A123">
        <v>146</v>
      </c>
      <c r="B123" t="s">
        <v>2666</v>
      </c>
      <c r="C123" t="s">
        <v>2368</v>
      </c>
      <c r="D123" t="s">
        <v>2460</v>
      </c>
      <c r="E123" t="s">
        <v>2460</v>
      </c>
      <c r="F123" t="s">
        <v>2256</v>
      </c>
      <c r="G123" t="s">
        <v>2804</v>
      </c>
      <c r="H123" t="s">
        <v>2859</v>
      </c>
      <c r="I123">
        <v>689</v>
      </c>
      <c r="J123">
        <v>492</v>
      </c>
      <c r="K123">
        <v>762</v>
      </c>
      <c r="L123" t="s">
        <v>2862</v>
      </c>
      <c r="M123">
        <v>53</v>
      </c>
      <c r="N123" t="s">
        <v>2861</v>
      </c>
      <c r="O123">
        <v>205.76139209600001</v>
      </c>
    </row>
    <row r="124" spans="1:15">
      <c r="A124">
        <v>97</v>
      </c>
      <c r="B124" t="s">
        <v>2666</v>
      </c>
      <c r="C124" t="s">
        <v>2315</v>
      </c>
      <c r="D124" t="s">
        <v>2460</v>
      </c>
      <c r="E124" t="s">
        <v>2460</v>
      </c>
      <c r="F124" t="s">
        <v>2178</v>
      </c>
      <c r="G124" t="s">
        <v>2804</v>
      </c>
      <c r="H124" t="s">
        <v>2805</v>
      </c>
      <c r="I124">
        <v>741</v>
      </c>
      <c r="J124">
        <v>518</v>
      </c>
      <c r="K124">
        <v>847</v>
      </c>
      <c r="L124" t="s">
        <v>2806</v>
      </c>
      <c r="M124">
        <v>54</v>
      </c>
      <c r="N124" t="s">
        <v>2807</v>
      </c>
      <c r="O124">
        <v>206.85140822299999</v>
      </c>
    </row>
    <row r="125" spans="1:15">
      <c r="A125">
        <v>98</v>
      </c>
      <c r="B125" t="s">
        <v>2666</v>
      </c>
      <c r="C125" t="s">
        <v>2316</v>
      </c>
      <c r="D125" t="s">
        <v>2460</v>
      </c>
      <c r="E125" t="s">
        <v>2460</v>
      </c>
      <c r="F125" t="s">
        <v>2178</v>
      </c>
      <c r="G125" t="s">
        <v>2804</v>
      </c>
      <c r="H125" t="s">
        <v>2805</v>
      </c>
      <c r="I125">
        <v>610</v>
      </c>
      <c r="J125">
        <v>489</v>
      </c>
      <c r="K125">
        <v>730</v>
      </c>
      <c r="L125" t="s">
        <v>2808</v>
      </c>
      <c r="M125">
        <v>54</v>
      </c>
      <c r="N125" t="s">
        <v>2807</v>
      </c>
      <c r="O125">
        <v>206.85140822299999</v>
      </c>
    </row>
    <row r="126" spans="1:15">
      <c r="A126">
        <v>99</v>
      </c>
      <c r="B126" t="s">
        <v>2666</v>
      </c>
      <c r="C126" t="s">
        <v>2317</v>
      </c>
      <c r="D126" t="s">
        <v>2460</v>
      </c>
      <c r="E126" t="s">
        <v>2460</v>
      </c>
      <c r="F126" t="s">
        <v>2178</v>
      </c>
      <c r="G126" t="s">
        <v>2804</v>
      </c>
      <c r="H126" t="s">
        <v>2805</v>
      </c>
      <c r="I126">
        <v>765</v>
      </c>
      <c r="J126">
        <v>549</v>
      </c>
      <c r="K126">
        <v>691</v>
      </c>
      <c r="L126" t="s">
        <v>2809</v>
      </c>
      <c r="M126">
        <v>54</v>
      </c>
      <c r="N126" t="s">
        <v>2807</v>
      </c>
      <c r="O126">
        <v>206.85140822299999</v>
      </c>
    </row>
    <row r="127" spans="1:15">
      <c r="A127">
        <v>100</v>
      </c>
      <c r="B127" t="s">
        <v>2666</v>
      </c>
      <c r="C127" t="s">
        <v>2318</v>
      </c>
      <c r="D127" t="s">
        <v>2460</v>
      </c>
      <c r="E127" t="s">
        <v>2460</v>
      </c>
      <c r="F127" t="s">
        <v>2178</v>
      </c>
      <c r="G127" t="s">
        <v>2804</v>
      </c>
      <c r="H127" t="s">
        <v>2805</v>
      </c>
      <c r="I127">
        <v>728</v>
      </c>
      <c r="J127">
        <v>500</v>
      </c>
      <c r="K127">
        <v>828</v>
      </c>
      <c r="L127" t="s">
        <v>2810</v>
      </c>
      <c r="M127">
        <v>54</v>
      </c>
      <c r="N127" t="s">
        <v>2807</v>
      </c>
      <c r="O127">
        <v>206.85140822299999</v>
      </c>
    </row>
    <row r="128" spans="1:15">
      <c r="A128">
        <v>101</v>
      </c>
      <c r="B128" t="s">
        <v>2666</v>
      </c>
      <c r="C128" t="s">
        <v>2320</v>
      </c>
      <c r="D128" t="s">
        <v>2460</v>
      </c>
      <c r="E128" t="s">
        <v>2460</v>
      </c>
      <c r="F128" t="s">
        <v>2178</v>
      </c>
      <c r="G128" t="s">
        <v>2804</v>
      </c>
      <c r="H128" t="s">
        <v>2805</v>
      </c>
      <c r="I128">
        <v>808</v>
      </c>
      <c r="J128">
        <v>482</v>
      </c>
      <c r="K128">
        <v>875</v>
      </c>
      <c r="L128" t="s">
        <v>2811</v>
      </c>
      <c r="M128">
        <v>54</v>
      </c>
      <c r="N128" t="s">
        <v>2807</v>
      </c>
      <c r="O128">
        <v>206.85140822299999</v>
      </c>
    </row>
    <row r="129" spans="1:15">
      <c r="A129">
        <v>102</v>
      </c>
      <c r="B129" t="s">
        <v>2666</v>
      </c>
      <c r="C129" t="s">
        <v>2321</v>
      </c>
      <c r="D129" t="s">
        <v>2460</v>
      </c>
      <c r="E129" t="s">
        <v>2460</v>
      </c>
      <c r="F129" t="s">
        <v>2178</v>
      </c>
      <c r="G129" t="s">
        <v>2804</v>
      </c>
      <c r="H129" t="s">
        <v>2805</v>
      </c>
      <c r="I129">
        <v>892</v>
      </c>
      <c r="J129">
        <v>569</v>
      </c>
      <c r="K129">
        <v>824</v>
      </c>
      <c r="L129" t="s">
        <v>2812</v>
      </c>
      <c r="M129">
        <v>54</v>
      </c>
      <c r="N129" t="s">
        <v>2807</v>
      </c>
      <c r="O129">
        <v>206.85140822299999</v>
      </c>
    </row>
    <row r="130" spans="1:15">
      <c r="A130">
        <v>103</v>
      </c>
      <c r="B130" t="s">
        <v>2666</v>
      </c>
      <c r="C130" t="s">
        <v>2322</v>
      </c>
      <c r="D130" t="s">
        <v>2460</v>
      </c>
      <c r="E130" t="s">
        <v>2460</v>
      </c>
      <c r="F130" t="s">
        <v>2178</v>
      </c>
      <c r="G130" t="s">
        <v>2804</v>
      </c>
      <c r="H130" t="s">
        <v>2805</v>
      </c>
      <c r="I130">
        <v>869</v>
      </c>
      <c r="J130">
        <v>430</v>
      </c>
      <c r="K130">
        <v>692</v>
      </c>
      <c r="L130" t="s">
        <v>2813</v>
      </c>
      <c r="M130">
        <v>54</v>
      </c>
      <c r="N130" t="s">
        <v>2807</v>
      </c>
      <c r="O130">
        <v>206.85140822299999</v>
      </c>
    </row>
    <row r="131" spans="1:15">
      <c r="A131">
        <v>104</v>
      </c>
      <c r="B131" t="s">
        <v>2666</v>
      </c>
      <c r="C131" t="s">
        <v>2323</v>
      </c>
      <c r="D131" t="s">
        <v>2460</v>
      </c>
      <c r="E131" t="s">
        <v>2460</v>
      </c>
      <c r="F131" t="s">
        <v>2178</v>
      </c>
      <c r="G131" t="s">
        <v>2804</v>
      </c>
      <c r="H131" t="s">
        <v>2805</v>
      </c>
      <c r="I131">
        <v>881</v>
      </c>
      <c r="J131">
        <v>577</v>
      </c>
      <c r="K131">
        <v>806</v>
      </c>
      <c r="L131" t="s">
        <v>2814</v>
      </c>
      <c r="M131">
        <v>54</v>
      </c>
      <c r="N131" t="s">
        <v>2807</v>
      </c>
      <c r="O131">
        <v>206.85140822299999</v>
      </c>
    </row>
    <row r="132" spans="1:15">
      <c r="A132">
        <v>105</v>
      </c>
      <c r="B132" t="s">
        <v>2666</v>
      </c>
      <c r="C132" t="s">
        <v>2324</v>
      </c>
      <c r="D132" t="s">
        <v>2460</v>
      </c>
      <c r="E132" t="s">
        <v>2460</v>
      </c>
      <c r="F132" t="s">
        <v>2194</v>
      </c>
      <c r="G132" t="s">
        <v>2804</v>
      </c>
      <c r="H132" t="s">
        <v>2805</v>
      </c>
      <c r="I132">
        <v>729</v>
      </c>
      <c r="J132">
        <v>548</v>
      </c>
      <c r="K132">
        <v>861</v>
      </c>
      <c r="L132" t="s">
        <v>2815</v>
      </c>
      <c r="M132">
        <v>54</v>
      </c>
      <c r="N132" t="s">
        <v>2816</v>
      </c>
      <c r="O132">
        <v>206.85140822299999</v>
      </c>
    </row>
    <row r="133" spans="1:15">
      <c r="A133">
        <v>106</v>
      </c>
      <c r="B133" t="s">
        <v>2666</v>
      </c>
      <c r="C133" t="s">
        <v>2325</v>
      </c>
      <c r="D133" t="s">
        <v>2460</v>
      </c>
      <c r="E133" t="s">
        <v>2460</v>
      </c>
      <c r="F133" t="s">
        <v>2194</v>
      </c>
      <c r="G133" t="s">
        <v>2804</v>
      </c>
      <c r="H133" t="s">
        <v>2805</v>
      </c>
      <c r="I133">
        <v>837</v>
      </c>
      <c r="J133">
        <v>590</v>
      </c>
      <c r="K133">
        <v>738</v>
      </c>
      <c r="L133" t="s">
        <v>2817</v>
      </c>
      <c r="M133">
        <v>54</v>
      </c>
      <c r="N133" t="s">
        <v>2816</v>
      </c>
      <c r="O133">
        <v>206.85140822299999</v>
      </c>
    </row>
    <row r="134" spans="1:15">
      <c r="A134">
        <v>107</v>
      </c>
      <c r="B134" t="s">
        <v>2666</v>
      </c>
      <c r="C134" t="s">
        <v>2326</v>
      </c>
      <c r="D134" t="s">
        <v>2460</v>
      </c>
      <c r="E134" t="s">
        <v>2460</v>
      </c>
      <c r="F134" t="s">
        <v>2194</v>
      </c>
      <c r="G134" t="s">
        <v>2804</v>
      </c>
      <c r="H134" t="s">
        <v>2805</v>
      </c>
      <c r="I134">
        <v>688</v>
      </c>
      <c r="J134">
        <v>574</v>
      </c>
      <c r="K134">
        <v>676</v>
      </c>
      <c r="L134" t="s">
        <v>2818</v>
      </c>
      <c r="M134">
        <v>54</v>
      </c>
      <c r="N134" t="s">
        <v>2816</v>
      </c>
      <c r="O134">
        <v>206.85140822299999</v>
      </c>
    </row>
    <row r="135" spans="1:15">
      <c r="A135">
        <v>108</v>
      </c>
      <c r="B135" t="s">
        <v>2666</v>
      </c>
      <c r="C135" t="s">
        <v>2327</v>
      </c>
      <c r="D135" t="s">
        <v>2460</v>
      </c>
      <c r="E135" t="s">
        <v>2460</v>
      </c>
      <c r="F135" t="s">
        <v>2194</v>
      </c>
      <c r="G135" t="s">
        <v>2804</v>
      </c>
      <c r="H135" t="s">
        <v>2805</v>
      </c>
      <c r="I135">
        <v>883</v>
      </c>
      <c r="J135">
        <v>8</v>
      </c>
      <c r="K135">
        <v>845</v>
      </c>
      <c r="L135" t="s">
        <v>2819</v>
      </c>
      <c r="M135">
        <v>54</v>
      </c>
      <c r="N135" t="s">
        <v>2816</v>
      </c>
      <c r="O135">
        <v>206.85140822299999</v>
      </c>
    </row>
    <row r="136" spans="1:15">
      <c r="A136">
        <v>109</v>
      </c>
      <c r="B136" t="s">
        <v>2666</v>
      </c>
      <c r="C136" t="s">
        <v>2329</v>
      </c>
      <c r="D136" t="s">
        <v>2460</v>
      </c>
      <c r="E136" t="s">
        <v>2460</v>
      </c>
      <c r="F136" t="s">
        <v>2194</v>
      </c>
      <c r="G136" t="s">
        <v>2804</v>
      </c>
      <c r="H136" t="s">
        <v>2805</v>
      </c>
      <c r="I136">
        <v>704</v>
      </c>
      <c r="J136">
        <v>552</v>
      </c>
      <c r="K136">
        <v>887</v>
      </c>
      <c r="L136" t="s">
        <v>2820</v>
      </c>
      <c r="M136">
        <v>54</v>
      </c>
      <c r="N136" t="s">
        <v>2816</v>
      </c>
      <c r="O136">
        <v>206.85140822299999</v>
      </c>
    </row>
    <row r="137" spans="1:15">
      <c r="A137">
        <v>110</v>
      </c>
      <c r="B137" t="s">
        <v>2666</v>
      </c>
      <c r="C137" t="s">
        <v>2330</v>
      </c>
      <c r="D137" t="s">
        <v>2460</v>
      </c>
      <c r="E137" t="s">
        <v>2460</v>
      </c>
      <c r="F137" t="s">
        <v>2194</v>
      </c>
      <c r="G137" t="s">
        <v>2804</v>
      </c>
      <c r="H137" t="s">
        <v>2805</v>
      </c>
      <c r="I137">
        <v>742</v>
      </c>
      <c r="J137">
        <v>462</v>
      </c>
      <c r="K137">
        <v>882</v>
      </c>
      <c r="L137" t="s">
        <v>2497</v>
      </c>
      <c r="M137">
        <v>54</v>
      </c>
      <c r="N137" t="s">
        <v>2816</v>
      </c>
      <c r="O137">
        <v>206.85140822299999</v>
      </c>
    </row>
    <row r="138" spans="1:15">
      <c r="A138">
        <v>111</v>
      </c>
      <c r="B138" t="s">
        <v>2666</v>
      </c>
      <c r="C138" t="s">
        <v>2331</v>
      </c>
      <c r="D138" t="s">
        <v>2460</v>
      </c>
      <c r="E138" t="s">
        <v>2460</v>
      </c>
      <c r="F138" t="s">
        <v>2194</v>
      </c>
      <c r="G138" t="s">
        <v>2804</v>
      </c>
      <c r="H138" t="s">
        <v>2805</v>
      </c>
      <c r="I138">
        <v>831</v>
      </c>
      <c r="J138">
        <v>505</v>
      </c>
      <c r="K138">
        <v>695</v>
      </c>
      <c r="L138" t="s">
        <v>2821</v>
      </c>
      <c r="M138">
        <v>54</v>
      </c>
      <c r="N138" t="s">
        <v>2816</v>
      </c>
      <c r="O138">
        <v>206.85140822299999</v>
      </c>
    </row>
    <row r="139" spans="1:15">
      <c r="A139">
        <v>112</v>
      </c>
      <c r="B139" t="s">
        <v>2666</v>
      </c>
      <c r="C139" t="s">
        <v>2332</v>
      </c>
      <c r="D139" t="s">
        <v>2460</v>
      </c>
      <c r="E139" t="s">
        <v>2460</v>
      </c>
      <c r="F139" t="s">
        <v>2194</v>
      </c>
      <c r="G139" t="s">
        <v>2804</v>
      </c>
      <c r="H139" t="s">
        <v>2805</v>
      </c>
      <c r="I139">
        <v>899</v>
      </c>
      <c r="J139">
        <v>41</v>
      </c>
      <c r="K139">
        <v>852</v>
      </c>
      <c r="L139" t="s">
        <v>2822</v>
      </c>
      <c r="M139">
        <v>54</v>
      </c>
      <c r="N139" t="s">
        <v>2816</v>
      </c>
      <c r="O139">
        <v>206.85140822299999</v>
      </c>
    </row>
    <row r="140" spans="1:15">
      <c r="A140">
        <v>113</v>
      </c>
      <c r="B140" t="s">
        <v>2666</v>
      </c>
      <c r="C140" t="s">
        <v>2333</v>
      </c>
      <c r="D140" t="s">
        <v>2460</v>
      </c>
      <c r="E140" t="s">
        <v>2460</v>
      </c>
      <c r="F140" t="s">
        <v>2208</v>
      </c>
      <c r="G140" t="s">
        <v>2804</v>
      </c>
      <c r="H140" t="s">
        <v>2805</v>
      </c>
      <c r="I140">
        <v>724</v>
      </c>
      <c r="J140">
        <v>428</v>
      </c>
      <c r="K140">
        <v>769</v>
      </c>
      <c r="L140" t="s">
        <v>2823</v>
      </c>
      <c r="M140">
        <v>54</v>
      </c>
      <c r="N140" t="s">
        <v>2824</v>
      </c>
      <c r="O140">
        <v>206.85140822299999</v>
      </c>
    </row>
    <row r="141" spans="1:15">
      <c r="A141">
        <v>114</v>
      </c>
      <c r="B141" t="s">
        <v>2666</v>
      </c>
      <c r="C141" t="s">
        <v>2334</v>
      </c>
      <c r="D141" t="s">
        <v>2460</v>
      </c>
      <c r="E141" t="s">
        <v>2460</v>
      </c>
      <c r="F141" t="s">
        <v>2208</v>
      </c>
      <c r="G141" t="s">
        <v>2804</v>
      </c>
      <c r="H141" t="s">
        <v>2805</v>
      </c>
      <c r="I141">
        <v>803</v>
      </c>
      <c r="J141">
        <v>601</v>
      </c>
      <c r="K141">
        <v>889</v>
      </c>
      <c r="L141" t="s">
        <v>2825</v>
      </c>
      <c r="M141">
        <v>54</v>
      </c>
      <c r="N141" t="s">
        <v>2824</v>
      </c>
      <c r="O141">
        <v>206.85140822299999</v>
      </c>
    </row>
    <row r="142" spans="1:15">
      <c r="A142">
        <v>115</v>
      </c>
      <c r="B142" t="s">
        <v>2666</v>
      </c>
      <c r="C142" t="s">
        <v>2335</v>
      </c>
      <c r="D142" t="s">
        <v>2460</v>
      </c>
      <c r="E142" t="s">
        <v>2460</v>
      </c>
      <c r="F142" t="s">
        <v>2208</v>
      </c>
      <c r="G142" t="s">
        <v>2804</v>
      </c>
      <c r="H142" t="s">
        <v>2805</v>
      </c>
      <c r="I142">
        <v>693</v>
      </c>
      <c r="J142">
        <v>553</v>
      </c>
      <c r="K142">
        <v>778</v>
      </c>
      <c r="L142" t="s">
        <v>2826</v>
      </c>
      <c r="M142">
        <v>54</v>
      </c>
      <c r="N142" t="s">
        <v>2824</v>
      </c>
      <c r="O142">
        <v>206.85140822299999</v>
      </c>
    </row>
    <row r="143" spans="1:15">
      <c r="A143">
        <v>116</v>
      </c>
      <c r="B143" t="s">
        <v>2666</v>
      </c>
      <c r="C143" t="s">
        <v>2336</v>
      </c>
      <c r="D143" t="s">
        <v>2460</v>
      </c>
      <c r="E143" t="s">
        <v>2460</v>
      </c>
      <c r="F143" t="s">
        <v>2208</v>
      </c>
      <c r="G143" t="s">
        <v>2804</v>
      </c>
      <c r="H143" t="s">
        <v>2805</v>
      </c>
      <c r="I143">
        <v>897</v>
      </c>
      <c r="J143">
        <v>459</v>
      </c>
      <c r="K143">
        <v>563</v>
      </c>
      <c r="L143" t="s">
        <v>2827</v>
      </c>
      <c r="M143">
        <v>54</v>
      </c>
      <c r="N143" t="s">
        <v>2824</v>
      </c>
      <c r="O143">
        <v>206.85140822299999</v>
      </c>
    </row>
    <row r="144" spans="1:15">
      <c r="A144">
        <v>117</v>
      </c>
      <c r="B144" t="s">
        <v>2666</v>
      </c>
      <c r="C144" t="s">
        <v>2337</v>
      </c>
      <c r="D144" t="s">
        <v>2460</v>
      </c>
      <c r="E144" t="s">
        <v>2460</v>
      </c>
      <c r="F144" t="s">
        <v>2208</v>
      </c>
      <c r="G144" t="s">
        <v>2804</v>
      </c>
      <c r="H144" t="s">
        <v>2805</v>
      </c>
      <c r="I144">
        <v>789</v>
      </c>
      <c r="J144">
        <v>511</v>
      </c>
      <c r="K144">
        <v>901</v>
      </c>
      <c r="L144" t="s">
        <v>2828</v>
      </c>
      <c r="M144">
        <v>54</v>
      </c>
      <c r="N144" t="s">
        <v>2824</v>
      </c>
      <c r="O144">
        <v>206.85140822299999</v>
      </c>
    </row>
    <row r="145" spans="1:15">
      <c r="A145">
        <v>118</v>
      </c>
      <c r="B145" t="s">
        <v>2666</v>
      </c>
      <c r="C145" t="s">
        <v>2338</v>
      </c>
      <c r="D145" t="s">
        <v>2460</v>
      </c>
      <c r="E145" t="s">
        <v>2460</v>
      </c>
      <c r="F145" t="s">
        <v>2208</v>
      </c>
      <c r="G145" t="s">
        <v>2804</v>
      </c>
      <c r="H145" t="s">
        <v>2805</v>
      </c>
      <c r="I145">
        <v>681</v>
      </c>
      <c r="J145">
        <v>495</v>
      </c>
      <c r="K145">
        <v>791</v>
      </c>
      <c r="L145" t="s">
        <v>2829</v>
      </c>
      <c r="M145">
        <v>54</v>
      </c>
      <c r="N145" t="s">
        <v>2824</v>
      </c>
      <c r="O145">
        <v>206.85140822299999</v>
      </c>
    </row>
    <row r="146" spans="1:15">
      <c r="A146">
        <v>119</v>
      </c>
      <c r="B146" t="s">
        <v>2666</v>
      </c>
      <c r="C146" t="s">
        <v>2339</v>
      </c>
      <c r="D146" t="s">
        <v>2460</v>
      </c>
      <c r="E146" t="s">
        <v>2460</v>
      </c>
      <c r="F146" t="s">
        <v>2208</v>
      </c>
      <c r="G146" t="s">
        <v>2804</v>
      </c>
      <c r="H146" t="s">
        <v>2805</v>
      </c>
      <c r="I146">
        <v>657</v>
      </c>
      <c r="J146">
        <v>584</v>
      </c>
      <c r="K146">
        <v>802</v>
      </c>
      <c r="L146" t="s">
        <v>2830</v>
      </c>
      <c r="M146">
        <v>54</v>
      </c>
      <c r="N146" t="s">
        <v>2824</v>
      </c>
      <c r="O146">
        <v>206.85140822299999</v>
      </c>
    </row>
    <row r="147" spans="1:15">
      <c r="A147">
        <v>120</v>
      </c>
      <c r="B147" t="s">
        <v>2666</v>
      </c>
      <c r="C147" t="s">
        <v>2340</v>
      </c>
      <c r="D147" t="s">
        <v>2460</v>
      </c>
      <c r="E147" t="s">
        <v>2460</v>
      </c>
      <c r="F147" t="s">
        <v>2208</v>
      </c>
      <c r="G147" t="s">
        <v>2804</v>
      </c>
      <c r="H147" t="s">
        <v>2805</v>
      </c>
      <c r="I147">
        <v>758</v>
      </c>
      <c r="J147">
        <v>454</v>
      </c>
      <c r="K147">
        <v>698</v>
      </c>
      <c r="L147" t="s">
        <v>2831</v>
      </c>
      <c r="M147">
        <v>54</v>
      </c>
      <c r="N147" t="s">
        <v>2824</v>
      </c>
      <c r="O147">
        <v>206.85140822299999</v>
      </c>
    </row>
    <row r="148" spans="1:15">
      <c r="A148">
        <v>121</v>
      </c>
      <c r="B148" t="s">
        <v>2666</v>
      </c>
      <c r="C148" t="s">
        <v>2341</v>
      </c>
      <c r="D148" t="s">
        <v>2460</v>
      </c>
      <c r="E148" t="s">
        <v>2460</v>
      </c>
      <c r="F148" t="s">
        <v>2218</v>
      </c>
      <c r="G148" t="s">
        <v>2804</v>
      </c>
      <c r="H148" t="s">
        <v>2805</v>
      </c>
      <c r="I148">
        <v>666</v>
      </c>
      <c r="J148">
        <v>532</v>
      </c>
      <c r="K148">
        <v>825</v>
      </c>
      <c r="L148" t="s">
        <v>2832</v>
      </c>
      <c r="M148">
        <v>54</v>
      </c>
      <c r="N148" t="s">
        <v>2833</v>
      </c>
      <c r="O148">
        <v>206.85140822299999</v>
      </c>
    </row>
    <row r="149" spans="1:15">
      <c r="A149">
        <v>122</v>
      </c>
      <c r="B149" t="s">
        <v>2666</v>
      </c>
      <c r="C149" t="s">
        <v>2342</v>
      </c>
      <c r="D149" t="s">
        <v>2460</v>
      </c>
      <c r="E149" t="s">
        <v>2460</v>
      </c>
      <c r="F149" t="s">
        <v>2218</v>
      </c>
      <c r="G149" t="s">
        <v>2804</v>
      </c>
      <c r="H149" t="s">
        <v>2805</v>
      </c>
      <c r="I149">
        <v>860</v>
      </c>
      <c r="J149">
        <v>11</v>
      </c>
      <c r="K149">
        <v>839</v>
      </c>
      <c r="L149" t="s">
        <v>2834</v>
      </c>
      <c r="M149">
        <v>54</v>
      </c>
      <c r="N149" t="s">
        <v>2833</v>
      </c>
      <c r="O149">
        <v>206.85140822299999</v>
      </c>
    </row>
    <row r="150" spans="1:15">
      <c r="A150">
        <v>123</v>
      </c>
      <c r="B150" t="s">
        <v>2666</v>
      </c>
      <c r="C150" t="s">
        <v>2343</v>
      </c>
      <c r="D150" t="s">
        <v>2460</v>
      </c>
      <c r="E150" t="s">
        <v>2460</v>
      </c>
      <c r="F150" t="s">
        <v>2218</v>
      </c>
      <c r="G150" t="s">
        <v>2804</v>
      </c>
      <c r="H150" t="s">
        <v>2805</v>
      </c>
      <c r="I150">
        <v>694</v>
      </c>
      <c r="J150">
        <v>575</v>
      </c>
      <c r="K150">
        <v>895</v>
      </c>
      <c r="L150" t="s">
        <v>2835</v>
      </c>
      <c r="M150">
        <v>54</v>
      </c>
      <c r="N150" t="s">
        <v>2833</v>
      </c>
      <c r="O150">
        <v>206.85140822299999</v>
      </c>
    </row>
    <row r="151" spans="1:15">
      <c r="A151">
        <v>124</v>
      </c>
      <c r="B151" t="s">
        <v>2666</v>
      </c>
      <c r="C151" t="s">
        <v>2345</v>
      </c>
      <c r="D151" t="s">
        <v>2460</v>
      </c>
      <c r="E151" t="s">
        <v>2460</v>
      </c>
      <c r="F151" t="s">
        <v>2218</v>
      </c>
      <c r="G151" t="s">
        <v>2804</v>
      </c>
      <c r="H151" t="s">
        <v>2805</v>
      </c>
      <c r="I151">
        <v>867</v>
      </c>
      <c r="J151">
        <v>39</v>
      </c>
      <c r="K151">
        <v>682</v>
      </c>
      <c r="L151" t="s">
        <v>2836</v>
      </c>
      <c r="M151">
        <v>54</v>
      </c>
      <c r="N151" t="s">
        <v>2833</v>
      </c>
      <c r="O151">
        <v>206.85140822299999</v>
      </c>
    </row>
    <row r="152" spans="1:15">
      <c r="A152">
        <v>125</v>
      </c>
      <c r="B152" t="s">
        <v>2666</v>
      </c>
      <c r="C152" t="s">
        <v>2346</v>
      </c>
      <c r="D152" t="s">
        <v>2460</v>
      </c>
      <c r="E152" t="s">
        <v>2460</v>
      </c>
      <c r="F152" t="s">
        <v>2218</v>
      </c>
      <c r="G152" t="s">
        <v>2804</v>
      </c>
      <c r="H152" t="s">
        <v>2805</v>
      </c>
      <c r="I152">
        <v>793</v>
      </c>
      <c r="J152">
        <v>560</v>
      </c>
      <c r="K152">
        <v>740</v>
      </c>
      <c r="L152" t="s">
        <v>2837</v>
      </c>
      <c r="M152">
        <v>54</v>
      </c>
      <c r="N152" t="s">
        <v>2833</v>
      </c>
      <c r="O152">
        <v>206.85140822299999</v>
      </c>
    </row>
    <row r="153" spans="1:15">
      <c r="A153">
        <v>126</v>
      </c>
      <c r="B153" t="s">
        <v>2666</v>
      </c>
      <c r="C153" t="s">
        <v>2347</v>
      </c>
      <c r="D153" t="s">
        <v>2460</v>
      </c>
      <c r="E153" t="s">
        <v>2460</v>
      </c>
      <c r="F153" t="s">
        <v>2218</v>
      </c>
      <c r="G153" t="s">
        <v>2804</v>
      </c>
      <c r="H153" t="s">
        <v>2805</v>
      </c>
      <c r="I153">
        <v>749</v>
      </c>
      <c r="J153">
        <v>562</v>
      </c>
      <c r="K153">
        <v>841</v>
      </c>
      <c r="L153" t="s">
        <v>2838</v>
      </c>
      <c r="M153">
        <v>54</v>
      </c>
      <c r="N153" t="s">
        <v>2833</v>
      </c>
      <c r="O153">
        <v>206.85140822299999</v>
      </c>
    </row>
    <row r="154" spans="1:15">
      <c r="A154">
        <v>127</v>
      </c>
      <c r="B154" t="s">
        <v>2666</v>
      </c>
      <c r="C154" t="s">
        <v>2348</v>
      </c>
      <c r="D154" t="s">
        <v>2460</v>
      </c>
      <c r="E154" t="s">
        <v>2460</v>
      </c>
      <c r="F154" t="s">
        <v>2218</v>
      </c>
      <c r="G154" t="s">
        <v>2804</v>
      </c>
      <c r="H154" t="s">
        <v>2805</v>
      </c>
      <c r="I154">
        <v>898</v>
      </c>
      <c r="J154">
        <v>506</v>
      </c>
      <c r="K154">
        <v>687</v>
      </c>
      <c r="L154" t="s">
        <v>2839</v>
      </c>
      <c r="M154">
        <v>54</v>
      </c>
      <c r="N154" t="s">
        <v>2833</v>
      </c>
      <c r="O154">
        <v>206.85140822299999</v>
      </c>
    </row>
    <row r="155" spans="1:15">
      <c r="A155">
        <v>128</v>
      </c>
      <c r="B155" t="s">
        <v>2666</v>
      </c>
      <c r="C155" t="s">
        <v>2349</v>
      </c>
      <c r="D155" t="s">
        <v>2460</v>
      </c>
      <c r="E155" t="s">
        <v>2460</v>
      </c>
      <c r="F155" t="s">
        <v>2218</v>
      </c>
      <c r="G155" t="s">
        <v>2804</v>
      </c>
      <c r="H155" t="s">
        <v>2805</v>
      </c>
      <c r="I155">
        <v>834</v>
      </c>
      <c r="J155">
        <v>554</v>
      </c>
      <c r="K155">
        <v>833</v>
      </c>
      <c r="L155" t="s">
        <v>2840</v>
      </c>
      <c r="M155">
        <v>54</v>
      </c>
      <c r="N155" t="s">
        <v>2833</v>
      </c>
      <c r="O155">
        <v>206.85140822299999</v>
      </c>
    </row>
    <row r="156" spans="1:15">
      <c r="A156">
        <v>129</v>
      </c>
      <c r="B156" t="s">
        <v>2666</v>
      </c>
      <c r="C156" t="s">
        <v>2350</v>
      </c>
      <c r="D156" t="s">
        <v>2460</v>
      </c>
      <c r="E156" t="s">
        <v>2460</v>
      </c>
      <c r="F156" t="s">
        <v>2227</v>
      </c>
      <c r="G156" t="s">
        <v>2804</v>
      </c>
      <c r="H156" t="s">
        <v>2805</v>
      </c>
      <c r="I156">
        <v>819</v>
      </c>
      <c r="J156">
        <v>46</v>
      </c>
      <c r="K156">
        <v>888</v>
      </c>
      <c r="L156" t="s">
        <v>2841</v>
      </c>
      <c r="M156">
        <v>54</v>
      </c>
      <c r="N156" t="s">
        <v>2842</v>
      </c>
      <c r="O156">
        <v>206.85140822299999</v>
      </c>
    </row>
    <row r="157" spans="1:15">
      <c r="A157">
        <v>130</v>
      </c>
      <c r="B157" t="s">
        <v>2666</v>
      </c>
      <c r="C157" t="s">
        <v>2351</v>
      </c>
      <c r="D157" t="s">
        <v>2460</v>
      </c>
      <c r="E157" t="s">
        <v>2460</v>
      </c>
      <c r="F157" t="s">
        <v>2227</v>
      </c>
      <c r="G157" t="s">
        <v>2804</v>
      </c>
      <c r="H157" t="s">
        <v>2805</v>
      </c>
      <c r="I157">
        <v>830</v>
      </c>
      <c r="J157">
        <v>585</v>
      </c>
      <c r="K157">
        <v>708</v>
      </c>
      <c r="L157" t="s">
        <v>2843</v>
      </c>
      <c r="M157">
        <v>54</v>
      </c>
      <c r="N157" t="s">
        <v>2842</v>
      </c>
      <c r="O157">
        <v>206.85140822299999</v>
      </c>
    </row>
    <row r="158" spans="1:15">
      <c r="A158">
        <v>131</v>
      </c>
      <c r="B158" t="s">
        <v>2666</v>
      </c>
      <c r="C158" t="s">
        <v>2352</v>
      </c>
      <c r="D158" t="s">
        <v>2460</v>
      </c>
      <c r="E158" t="s">
        <v>2460</v>
      </c>
      <c r="F158" t="s">
        <v>2227</v>
      </c>
      <c r="G158" t="s">
        <v>2804</v>
      </c>
      <c r="H158" t="s">
        <v>2805</v>
      </c>
      <c r="I158">
        <v>746</v>
      </c>
      <c r="J158">
        <v>476</v>
      </c>
      <c r="K158">
        <v>768</v>
      </c>
      <c r="L158" t="s">
        <v>2844</v>
      </c>
      <c r="M158">
        <v>54</v>
      </c>
      <c r="N158" t="s">
        <v>2842</v>
      </c>
      <c r="O158">
        <v>206.85140822299999</v>
      </c>
    </row>
    <row r="159" spans="1:15">
      <c r="A159">
        <v>132</v>
      </c>
      <c r="B159" t="s">
        <v>2666</v>
      </c>
      <c r="C159" t="s">
        <v>2353</v>
      </c>
      <c r="D159" t="s">
        <v>2460</v>
      </c>
      <c r="E159" t="s">
        <v>2460</v>
      </c>
      <c r="F159" t="s">
        <v>2227</v>
      </c>
      <c r="G159" t="s">
        <v>2804</v>
      </c>
      <c r="H159" t="s">
        <v>2805</v>
      </c>
      <c r="I159">
        <v>725</v>
      </c>
      <c r="J159">
        <v>536</v>
      </c>
      <c r="K159">
        <v>779</v>
      </c>
      <c r="L159" t="s">
        <v>2845</v>
      </c>
      <c r="M159">
        <v>54</v>
      </c>
      <c r="N159" t="s">
        <v>2842</v>
      </c>
      <c r="O159">
        <v>206.85140822299999</v>
      </c>
    </row>
    <row r="160" spans="1:15">
      <c r="A160">
        <v>133</v>
      </c>
      <c r="B160" t="s">
        <v>2666</v>
      </c>
      <c r="C160" t="s">
        <v>2354</v>
      </c>
      <c r="D160" t="s">
        <v>2460</v>
      </c>
      <c r="E160" t="s">
        <v>2460</v>
      </c>
      <c r="F160" t="s">
        <v>2227</v>
      </c>
      <c r="G160" t="s">
        <v>2804</v>
      </c>
      <c r="H160" t="s">
        <v>2805</v>
      </c>
      <c r="I160">
        <v>846</v>
      </c>
      <c r="J160">
        <v>524</v>
      </c>
      <c r="K160">
        <v>799</v>
      </c>
      <c r="L160" t="s">
        <v>2846</v>
      </c>
      <c r="M160">
        <v>54</v>
      </c>
      <c r="N160" t="s">
        <v>2842</v>
      </c>
      <c r="O160">
        <v>206.85140822299999</v>
      </c>
    </row>
    <row r="161" spans="1:15">
      <c r="A161">
        <v>134</v>
      </c>
      <c r="B161" t="s">
        <v>2666</v>
      </c>
      <c r="C161" t="s">
        <v>2355</v>
      </c>
      <c r="D161" t="s">
        <v>2460</v>
      </c>
      <c r="E161" t="s">
        <v>2460</v>
      </c>
      <c r="F161" t="s">
        <v>2227</v>
      </c>
      <c r="G161" t="s">
        <v>2804</v>
      </c>
      <c r="H161" t="s">
        <v>2805</v>
      </c>
      <c r="I161">
        <v>756</v>
      </c>
      <c r="J161">
        <v>600</v>
      </c>
      <c r="K161">
        <v>820</v>
      </c>
      <c r="L161" t="s">
        <v>2847</v>
      </c>
      <c r="M161">
        <v>54</v>
      </c>
      <c r="N161" t="s">
        <v>2842</v>
      </c>
      <c r="O161">
        <v>206.85140822299999</v>
      </c>
    </row>
    <row r="162" spans="1:15">
      <c r="A162">
        <v>135</v>
      </c>
      <c r="B162" t="s">
        <v>2666</v>
      </c>
      <c r="C162" t="s">
        <v>2356</v>
      </c>
      <c r="D162" t="s">
        <v>2460</v>
      </c>
      <c r="E162" t="s">
        <v>2460</v>
      </c>
      <c r="F162" t="s">
        <v>2227</v>
      </c>
      <c r="G162" t="s">
        <v>2804</v>
      </c>
      <c r="H162" t="s">
        <v>2805</v>
      </c>
      <c r="I162">
        <v>745</v>
      </c>
      <c r="J162">
        <v>432</v>
      </c>
      <c r="K162">
        <v>842</v>
      </c>
      <c r="L162" t="s">
        <v>2848</v>
      </c>
      <c r="M162">
        <v>54</v>
      </c>
      <c r="N162" t="s">
        <v>2842</v>
      </c>
      <c r="O162">
        <v>206.85140822299999</v>
      </c>
    </row>
    <row r="163" spans="1:15">
      <c r="A163">
        <v>136</v>
      </c>
      <c r="B163" t="s">
        <v>2666</v>
      </c>
      <c r="C163" t="s">
        <v>2357</v>
      </c>
      <c r="D163" t="s">
        <v>2460</v>
      </c>
      <c r="E163" t="s">
        <v>2460</v>
      </c>
      <c r="F163" t="s">
        <v>2227</v>
      </c>
      <c r="G163" t="s">
        <v>2804</v>
      </c>
      <c r="H163" t="s">
        <v>2805</v>
      </c>
      <c r="I163">
        <v>832</v>
      </c>
      <c r="J163">
        <v>474</v>
      </c>
      <c r="K163">
        <v>747</v>
      </c>
      <c r="L163" t="s">
        <v>2849</v>
      </c>
      <c r="M163">
        <v>54</v>
      </c>
      <c r="N163" t="s">
        <v>2842</v>
      </c>
      <c r="O163">
        <v>206.85140822299999</v>
      </c>
    </row>
    <row r="164" spans="1:15">
      <c r="A164">
        <v>137</v>
      </c>
      <c r="B164" t="s">
        <v>2666</v>
      </c>
      <c r="C164" t="s">
        <v>2358</v>
      </c>
      <c r="D164" t="s">
        <v>2460</v>
      </c>
      <c r="E164" t="s">
        <v>2460</v>
      </c>
      <c r="F164" t="s">
        <v>2244</v>
      </c>
      <c r="G164" t="s">
        <v>2804</v>
      </c>
      <c r="H164" t="s">
        <v>2805</v>
      </c>
      <c r="I164">
        <v>805</v>
      </c>
      <c r="J164">
        <v>34</v>
      </c>
      <c r="K164">
        <v>857</v>
      </c>
      <c r="L164" t="s">
        <v>2850</v>
      </c>
      <c r="M164">
        <v>54</v>
      </c>
      <c r="N164" t="s">
        <v>2851</v>
      </c>
      <c r="O164">
        <v>206.85140822299999</v>
      </c>
    </row>
    <row r="165" spans="1:15">
      <c r="A165">
        <v>138</v>
      </c>
      <c r="B165" t="s">
        <v>2666</v>
      </c>
      <c r="C165" t="s">
        <v>2359</v>
      </c>
      <c r="D165" t="s">
        <v>2460</v>
      </c>
      <c r="E165" t="s">
        <v>2460</v>
      </c>
      <c r="F165" t="s">
        <v>2244</v>
      </c>
      <c r="G165" t="s">
        <v>2804</v>
      </c>
      <c r="H165" t="s">
        <v>2805</v>
      </c>
      <c r="I165">
        <v>815</v>
      </c>
      <c r="J165">
        <v>426</v>
      </c>
      <c r="K165">
        <v>623</v>
      </c>
      <c r="L165" t="s">
        <v>2852</v>
      </c>
      <c r="M165">
        <v>54</v>
      </c>
      <c r="N165" t="s">
        <v>2851</v>
      </c>
      <c r="O165">
        <v>206.85140822299999</v>
      </c>
    </row>
    <row r="166" spans="1:15">
      <c r="A166">
        <v>139</v>
      </c>
      <c r="B166" t="s">
        <v>2666</v>
      </c>
      <c r="C166" t="s">
        <v>2360</v>
      </c>
      <c r="D166" t="s">
        <v>2460</v>
      </c>
      <c r="E166" t="s">
        <v>2460</v>
      </c>
      <c r="F166" t="s">
        <v>2244</v>
      </c>
      <c r="G166" t="s">
        <v>2804</v>
      </c>
      <c r="H166" t="s">
        <v>2805</v>
      </c>
      <c r="I166">
        <v>798</v>
      </c>
      <c r="J166">
        <v>563</v>
      </c>
      <c r="K166">
        <v>880</v>
      </c>
      <c r="L166" t="s">
        <v>2853</v>
      </c>
      <c r="M166">
        <v>54</v>
      </c>
      <c r="N166" t="s">
        <v>2851</v>
      </c>
      <c r="O166">
        <v>206.85140822299999</v>
      </c>
    </row>
    <row r="167" spans="1:15">
      <c r="A167">
        <v>140</v>
      </c>
      <c r="B167" t="s">
        <v>2666</v>
      </c>
      <c r="C167" t="s">
        <v>2362</v>
      </c>
      <c r="D167" t="s">
        <v>2460</v>
      </c>
      <c r="E167" t="s">
        <v>2460</v>
      </c>
      <c r="F167" t="s">
        <v>2244</v>
      </c>
      <c r="G167" t="s">
        <v>2804</v>
      </c>
      <c r="H167" t="s">
        <v>2805</v>
      </c>
      <c r="I167">
        <v>787</v>
      </c>
      <c r="J167">
        <v>535</v>
      </c>
      <c r="K167">
        <v>706</v>
      </c>
      <c r="L167" t="s">
        <v>2854</v>
      </c>
      <c r="M167">
        <v>54</v>
      </c>
      <c r="N167" t="s">
        <v>2851</v>
      </c>
      <c r="O167">
        <v>206.85140822299999</v>
      </c>
    </row>
    <row r="168" spans="1:15">
      <c r="A168">
        <v>141</v>
      </c>
      <c r="B168" t="s">
        <v>2666</v>
      </c>
      <c r="C168" t="s">
        <v>2363</v>
      </c>
      <c r="D168" t="s">
        <v>2460</v>
      </c>
      <c r="E168" t="s">
        <v>2460</v>
      </c>
      <c r="F168" t="s">
        <v>2244</v>
      </c>
      <c r="G168" t="s">
        <v>2804</v>
      </c>
      <c r="H168" t="s">
        <v>2805</v>
      </c>
      <c r="I168">
        <v>900</v>
      </c>
      <c r="J168">
        <v>581</v>
      </c>
      <c r="K168">
        <v>775</v>
      </c>
      <c r="L168" t="s">
        <v>2855</v>
      </c>
      <c r="M168">
        <v>54</v>
      </c>
      <c r="N168" t="s">
        <v>2851</v>
      </c>
      <c r="O168">
        <v>206.85140822299999</v>
      </c>
    </row>
    <row r="169" spans="1:15">
      <c r="A169">
        <v>142</v>
      </c>
      <c r="B169" t="s">
        <v>2666</v>
      </c>
      <c r="C169" t="s">
        <v>2364</v>
      </c>
      <c r="D169" t="s">
        <v>2460</v>
      </c>
      <c r="E169" t="s">
        <v>2460</v>
      </c>
      <c r="F169" t="s">
        <v>2244</v>
      </c>
      <c r="G169" t="s">
        <v>2804</v>
      </c>
      <c r="H169" t="s">
        <v>2805</v>
      </c>
      <c r="I169">
        <v>817</v>
      </c>
      <c r="J169">
        <v>460</v>
      </c>
      <c r="K169">
        <v>850</v>
      </c>
      <c r="L169" t="s">
        <v>2856</v>
      </c>
      <c r="M169">
        <v>54</v>
      </c>
      <c r="N169" t="s">
        <v>2851</v>
      </c>
      <c r="O169">
        <v>206.85140822299999</v>
      </c>
    </row>
    <row r="170" spans="1:15">
      <c r="A170">
        <v>143</v>
      </c>
      <c r="B170" t="s">
        <v>2666</v>
      </c>
      <c r="C170" t="s">
        <v>2365</v>
      </c>
      <c r="D170" t="s">
        <v>2460</v>
      </c>
      <c r="E170" t="s">
        <v>2460</v>
      </c>
      <c r="F170" t="s">
        <v>2244</v>
      </c>
      <c r="G170" t="s">
        <v>2804</v>
      </c>
      <c r="H170" t="s">
        <v>2805</v>
      </c>
      <c r="I170">
        <v>836</v>
      </c>
      <c r="J170">
        <v>456</v>
      </c>
      <c r="K170">
        <v>697</v>
      </c>
      <c r="L170" t="s">
        <v>2857</v>
      </c>
      <c r="M170">
        <v>54</v>
      </c>
      <c r="N170" t="s">
        <v>2851</v>
      </c>
      <c r="O170">
        <v>206.85140822299999</v>
      </c>
    </row>
    <row r="171" spans="1:15">
      <c r="A171">
        <v>144</v>
      </c>
      <c r="B171" t="s">
        <v>2666</v>
      </c>
      <c r="C171" t="s">
        <v>2366</v>
      </c>
      <c r="D171" t="s">
        <v>2460</v>
      </c>
      <c r="E171" t="s">
        <v>2460</v>
      </c>
      <c r="F171" t="s">
        <v>2244</v>
      </c>
      <c r="G171" t="s">
        <v>2804</v>
      </c>
      <c r="H171" t="s">
        <v>2805</v>
      </c>
      <c r="I171">
        <v>784</v>
      </c>
      <c r="J171">
        <v>571</v>
      </c>
      <c r="K171">
        <v>894</v>
      </c>
      <c r="L171" t="s">
        <v>2858</v>
      </c>
      <c r="M171">
        <v>54</v>
      </c>
      <c r="N171" t="s">
        <v>2851</v>
      </c>
      <c r="O171">
        <v>206.85140822299999</v>
      </c>
    </row>
    <row r="172" spans="1:15">
      <c r="A172">
        <v>147</v>
      </c>
      <c r="B172" t="s">
        <v>2666</v>
      </c>
      <c r="C172" t="s">
        <v>2369</v>
      </c>
      <c r="D172" t="s">
        <v>2460</v>
      </c>
      <c r="E172" t="s">
        <v>2460</v>
      </c>
      <c r="F172" t="s">
        <v>2256</v>
      </c>
      <c r="G172" t="s">
        <v>2804</v>
      </c>
      <c r="H172" t="s">
        <v>2805</v>
      </c>
      <c r="I172">
        <v>678</v>
      </c>
      <c r="J172">
        <v>573</v>
      </c>
      <c r="K172">
        <v>878</v>
      </c>
      <c r="L172" t="s">
        <v>2863</v>
      </c>
      <c r="M172">
        <v>54</v>
      </c>
      <c r="N172" t="s">
        <v>2861</v>
      </c>
      <c r="O172">
        <v>206.85140822299999</v>
      </c>
    </row>
    <row r="173" spans="1:15">
      <c r="A173">
        <v>148</v>
      </c>
      <c r="B173" t="s">
        <v>2666</v>
      </c>
      <c r="C173" t="s">
        <v>2370</v>
      </c>
      <c r="D173" t="s">
        <v>2460</v>
      </c>
      <c r="E173" t="s">
        <v>2460</v>
      </c>
      <c r="F173" t="s">
        <v>2256</v>
      </c>
      <c r="G173" t="s">
        <v>2804</v>
      </c>
      <c r="H173" t="s">
        <v>2805</v>
      </c>
      <c r="I173">
        <v>835</v>
      </c>
      <c r="J173">
        <v>472</v>
      </c>
      <c r="K173">
        <v>807</v>
      </c>
      <c r="L173" t="s">
        <v>2864</v>
      </c>
      <c r="M173">
        <v>54</v>
      </c>
      <c r="N173" t="s">
        <v>2861</v>
      </c>
      <c r="O173">
        <v>206.85140822299999</v>
      </c>
    </row>
    <row r="174" spans="1:15">
      <c r="A174">
        <v>149</v>
      </c>
      <c r="B174" t="s">
        <v>2666</v>
      </c>
      <c r="C174" t="s">
        <v>2371</v>
      </c>
      <c r="D174" t="s">
        <v>2460</v>
      </c>
      <c r="E174" t="s">
        <v>2460</v>
      </c>
      <c r="F174" t="s">
        <v>2256</v>
      </c>
      <c r="G174" t="s">
        <v>2804</v>
      </c>
      <c r="H174" t="s">
        <v>2805</v>
      </c>
      <c r="I174">
        <v>733</v>
      </c>
      <c r="J174">
        <v>545</v>
      </c>
      <c r="K174">
        <v>696</v>
      </c>
      <c r="L174" t="s">
        <v>2865</v>
      </c>
      <c r="M174">
        <v>54</v>
      </c>
      <c r="N174" t="s">
        <v>2861</v>
      </c>
      <c r="O174">
        <v>206.85140822299999</v>
      </c>
    </row>
    <row r="175" spans="1:15">
      <c r="A175">
        <v>150</v>
      </c>
      <c r="B175" t="s">
        <v>2666</v>
      </c>
      <c r="C175" t="s">
        <v>2372</v>
      </c>
      <c r="D175" t="s">
        <v>2460</v>
      </c>
      <c r="E175" t="s">
        <v>2460</v>
      </c>
      <c r="F175" t="s">
        <v>2256</v>
      </c>
      <c r="G175" t="s">
        <v>2804</v>
      </c>
      <c r="H175" t="s">
        <v>2805</v>
      </c>
      <c r="I175">
        <v>658</v>
      </c>
      <c r="J175">
        <v>7</v>
      </c>
      <c r="K175">
        <v>801</v>
      </c>
      <c r="L175" t="s">
        <v>2866</v>
      </c>
      <c r="M175">
        <v>54</v>
      </c>
      <c r="N175" t="s">
        <v>2861</v>
      </c>
      <c r="O175">
        <v>206.85140822299999</v>
      </c>
    </row>
    <row r="176" spans="1:15">
      <c r="A176">
        <v>151</v>
      </c>
      <c r="B176" t="s">
        <v>2666</v>
      </c>
      <c r="C176" t="s">
        <v>2373</v>
      </c>
      <c r="D176" t="s">
        <v>2460</v>
      </c>
      <c r="E176" t="s">
        <v>2460</v>
      </c>
      <c r="F176" t="s">
        <v>2256</v>
      </c>
      <c r="G176" t="s">
        <v>2804</v>
      </c>
      <c r="H176" t="s">
        <v>2805</v>
      </c>
      <c r="I176">
        <v>567</v>
      </c>
      <c r="J176">
        <v>447</v>
      </c>
      <c r="K176">
        <v>647</v>
      </c>
      <c r="L176" t="s">
        <v>2867</v>
      </c>
      <c r="M176">
        <v>54</v>
      </c>
      <c r="N176" t="s">
        <v>2861</v>
      </c>
      <c r="O176">
        <v>206.85140822299999</v>
      </c>
    </row>
    <row r="177" spans="1:15">
      <c r="A177">
        <v>152</v>
      </c>
      <c r="B177" t="s">
        <v>2666</v>
      </c>
      <c r="C177" t="s">
        <v>2374</v>
      </c>
      <c r="D177" t="s">
        <v>2460</v>
      </c>
      <c r="E177" t="s">
        <v>2460</v>
      </c>
      <c r="F177" t="s">
        <v>2256</v>
      </c>
      <c r="G177" t="s">
        <v>2804</v>
      </c>
      <c r="H177" t="s">
        <v>2805</v>
      </c>
      <c r="I177">
        <v>853</v>
      </c>
      <c r="J177">
        <v>591</v>
      </c>
      <c r="K177">
        <v>744</v>
      </c>
      <c r="L177" t="s">
        <v>2868</v>
      </c>
      <c r="M177">
        <v>54</v>
      </c>
      <c r="N177" t="s">
        <v>2861</v>
      </c>
      <c r="O177">
        <v>206.85140822299999</v>
      </c>
    </row>
    <row r="178" spans="1:15">
      <c r="A178">
        <v>153</v>
      </c>
      <c r="B178" t="s">
        <v>2666</v>
      </c>
      <c r="C178" t="s">
        <v>2376</v>
      </c>
      <c r="D178" t="s">
        <v>2460</v>
      </c>
      <c r="E178" t="s">
        <v>2460</v>
      </c>
      <c r="F178" t="s">
        <v>2265</v>
      </c>
      <c r="G178" t="s">
        <v>2804</v>
      </c>
      <c r="H178" t="s">
        <v>2805</v>
      </c>
      <c r="I178">
        <v>800</v>
      </c>
      <c r="J178">
        <v>479</v>
      </c>
      <c r="K178">
        <v>885</v>
      </c>
      <c r="L178" t="s">
        <v>2869</v>
      </c>
      <c r="M178">
        <v>54</v>
      </c>
      <c r="N178" t="s">
        <v>2870</v>
      </c>
      <c r="O178">
        <v>206.85140822299999</v>
      </c>
    </row>
    <row r="179" spans="1:15">
      <c r="A179">
        <v>154</v>
      </c>
      <c r="B179" t="s">
        <v>2666</v>
      </c>
      <c r="C179" t="s">
        <v>2377</v>
      </c>
      <c r="D179" t="s">
        <v>2460</v>
      </c>
      <c r="E179" t="s">
        <v>2460</v>
      </c>
      <c r="F179" t="s">
        <v>2265</v>
      </c>
      <c r="G179" t="s">
        <v>2804</v>
      </c>
      <c r="H179" t="s">
        <v>2805</v>
      </c>
      <c r="I179">
        <v>675</v>
      </c>
      <c r="J179">
        <v>493</v>
      </c>
      <c r="K179">
        <v>684</v>
      </c>
      <c r="L179" t="s">
        <v>2871</v>
      </c>
      <c r="M179">
        <v>54</v>
      </c>
      <c r="N179" t="s">
        <v>2870</v>
      </c>
      <c r="O179">
        <v>206.85140822299999</v>
      </c>
    </row>
    <row r="180" spans="1:15">
      <c r="A180">
        <v>155</v>
      </c>
      <c r="B180" t="s">
        <v>2666</v>
      </c>
      <c r="C180" t="s">
        <v>2378</v>
      </c>
      <c r="D180" t="s">
        <v>2460</v>
      </c>
      <c r="E180" t="s">
        <v>2460</v>
      </c>
      <c r="F180" t="s">
        <v>2265</v>
      </c>
      <c r="G180" t="s">
        <v>2804</v>
      </c>
      <c r="H180" t="s">
        <v>2805</v>
      </c>
      <c r="I180">
        <v>859</v>
      </c>
      <c r="J180">
        <v>484</v>
      </c>
      <c r="K180">
        <v>827</v>
      </c>
      <c r="L180" t="s">
        <v>2872</v>
      </c>
      <c r="M180">
        <v>54</v>
      </c>
      <c r="N180" t="s">
        <v>2870</v>
      </c>
      <c r="O180">
        <v>206.85140822299999</v>
      </c>
    </row>
    <row r="181" spans="1:15">
      <c r="A181">
        <v>156</v>
      </c>
      <c r="B181" t="s">
        <v>2666</v>
      </c>
      <c r="C181" t="s">
        <v>2379</v>
      </c>
      <c r="D181" t="s">
        <v>2460</v>
      </c>
      <c r="E181" t="s">
        <v>2460</v>
      </c>
      <c r="F181" t="s">
        <v>2265</v>
      </c>
      <c r="G181" t="s">
        <v>2804</v>
      </c>
      <c r="H181" t="s">
        <v>2805</v>
      </c>
      <c r="I181">
        <v>654</v>
      </c>
      <c r="J181">
        <v>598</v>
      </c>
      <c r="K181">
        <v>667</v>
      </c>
      <c r="L181" t="s">
        <v>2873</v>
      </c>
      <c r="M181">
        <v>54</v>
      </c>
      <c r="N181" t="s">
        <v>2870</v>
      </c>
      <c r="O181">
        <v>206.85140822299999</v>
      </c>
    </row>
    <row r="182" spans="1:15">
      <c r="A182">
        <v>157</v>
      </c>
      <c r="B182" t="s">
        <v>2666</v>
      </c>
      <c r="C182" t="s">
        <v>2381</v>
      </c>
      <c r="D182" t="s">
        <v>2460</v>
      </c>
      <c r="E182" t="s">
        <v>2460</v>
      </c>
      <c r="F182" t="s">
        <v>2265</v>
      </c>
      <c r="G182" t="s">
        <v>2804</v>
      </c>
      <c r="H182" t="s">
        <v>2805</v>
      </c>
      <c r="I182">
        <v>890</v>
      </c>
      <c r="J182">
        <v>30</v>
      </c>
      <c r="K182">
        <v>777</v>
      </c>
      <c r="L182" t="s">
        <v>2874</v>
      </c>
      <c r="M182">
        <v>54</v>
      </c>
      <c r="N182" t="s">
        <v>2870</v>
      </c>
      <c r="O182">
        <v>206.85140822299999</v>
      </c>
    </row>
    <row r="183" spans="1:15">
      <c r="A183">
        <v>158</v>
      </c>
      <c r="B183" t="s">
        <v>2666</v>
      </c>
      <c r="C183" t="s">
        <v>2382</v>
      </c>
      <c r="D183" t="s">
        <v>2460</v>
      </c>
      <c r="E183" t="s">
        <v>2460</v>
      </c>
      <c r="F183" t="s">
        <v>2265</v>
      </c>
      <c r="G183" t="s">
        <v>2804</v>
      </c>
      <c r="H183" t="s">
        <v>2805</v>
      </c>
      <c r="I183">
        <v>576</v>
      </c>
      <c r="J183">
        <v>16</v>
      </c>
      <c r="K183">
        <v>884</v>
      </c>
      <c r="L183" t="s">
        <v>2875</v>
      </c>
      <c r="M183">
        <v>54</v>
      </c>
      <c r="N183" t="s">
        <v>2870</v>
      </c>
      <c r="O183">
        <v>206.85140822299999</v>
      </c>
    </row>
    <row r="184" spans="1:15">
      <c r="A184">
        <v>159</v>
      </c>
      <c r="B184" t="s">
        <v>2666</v>
      </c>
      <c r="C184" t="s">
        <v>2383</v>
      </c>
      <c r="D184" t="s">
        <v>2460</v>
      </c>
      <c r="E184" t="s">
        <v>2460</v>
      </c>
      <c r="F184" t="s">
        <v>2265</v>
      </c>
      <c r="G184" t="s">
        <v>2804</v>
      </c>
      <c r="H184" t="s">
        <v>2805</v>
      </c>
      <c r="I184">
        <v>829</v>
      </c>
      <c r="J184">
        <v>499</v>
      </c>
      <c r="K184">
        <v>731</v>
      </c>
      <c r="L184" t="s">
        <v>2876</v>
      </c>
      <c r="M184">
        <v>54</v>
      </c>
      <c r="N184" t="s">
        <v>2870</v>
      </c>
      <c r="O184">
        <v>206.85140822299999</v>
      </c>
    </row>
    <row r="185" spans="1:15">
      <c r="A185">
        <v>160</v>
      </c>
      <c r="B185" t="s">
        <v>2666</v>
      </c>
      <c r="C185" t="s">
        <v>2384</v>
      </c>
      <c r="D185" t="s">
        <v>2460</v>
      </c>
      <c r="E185" t="s">
        <v>2460</v>
      </c>
      <c r="F185" t="s">
        <v>2265</v>
      </c>
      <c r="G185" t="s">
        <v>2804</v>
      </c>
      <c r="H185" t="s">
        <v>2805</v>
      </c>
      <c r="I185">
        <v>809</v>
      </c>
      <c r="J185">
        <v>421</v>
      </c>
      <c r="K185">
        <v>876</v>
      </c>
      <c r="L185" t="s">
        <v>2877</v>
      </c>
      <c r="M185">
        <v>54</v>
      </c>
      <c r="N185" t="s">
        <v>2870</v>
      </c>
      <c r="O185">
        <v>206.85140822299999</v>
      </c>
    </row>
    <row r="186" spans="1:15">
      <c r="A186">
        <v>41</v>
      </c>
      <c r="B186" t="s">
        <v>2176</v>
      </c>
      <c r="C186" t="s">
        <v>2243</v>
      </c>
      <c r="D186" t="s">
        <v>2659</v>
      </c>
      <c r="E186" t="s">
        <v>2460</v>
      </c>
      <c r="F186" t="s">
        <v>2244</v>
      </c>
      <c r="G186" t="s">
        <v>2696</v>
      </c>
      <c r="H186" t="s">
        <v>2733</v>
      </c>
      <c r="I186">
        <v>453</v>
      </c>
      <c r="J186">
        <v>521</v>
      </c>
      <c r="K186">
        <v>626</v>
      </c>
      <c r="L186" t="s">
        <v>2743</v>
      </c>
      <c r="M186">
        <v>54</v>
      </c>
      <c r="N186" t="s">
        <v>2744</v>
      </c>
      <c r="O186">
        <v>214.262898705</v>
      </c>
    </row>
    <row r="187" spans="1:15">
      <c r="A187">
        <v>42</v>
      </c>
      <c r="B187" t="s">
        <v>2176</v>
      </c>
      <c r="C187" t="s">
        <v>2245</v>
      </c>
      <c r="D187" t="s">
        <v>2659</v>
      </c>
      <c r="E187" t="s">
        <v>2460</v>
      </c>
      <c r="F187" t="s">
        <v>2244</v>
      </c>
      <c r="G187" t="s">
        <v>2696</v>
      </c>
      <c r="H187" t="s">
        <v>2733</v>
      </c>
      <c r="I187">
        <v>764</v>
      </c>
      <c r="J187">
        <v>371</v>
      </c>
      <c r="K187">
        <v>437</v>
      </c>
      <c r="L187" t="s">
        <v>2745</v>
      </c>
      <c r="M187">
        <v>54</v>
      </c>
      <c r="N187" t="s">
        <v>2744</v>
      </c>
      <c r="O187">
        <v>214.262898705</v>
      </c>
    </row>
    <row r="188" spans="1:15">
      <c r="A188">
        <v>43</v>
      </c>
      <c r="B188" t="s">
        <v>2176</v>
      </c>
      <c r="C188" t="s">
        <v>2247</v>
      </c>
      <c r="D188" t="s">
        <v>2659</v>
      </c>
      <c r="E188" t="s">
        <v>2460</v>
      </c>
      <c r="F188" t="s">
        <v>2244</v>
      </c>
      <c r="G188" t="s">
        <v>2696</v>
      </c>
      <c r="H188" t="s">
        <v>2733</v>
      </c>
      <c r="I188">
        <v>690</v>
      </c>
      <c r="J188">
        <v>376</v>
      </c>
      <c r="K188">
        <v>643</v>
      </c>
      <c r="L188" t="s">
        <v>2746</v>
      </c>
      <c r="M188">
        <v>54</v>
      </c>
      <c r="N188" t="s">
        <v>2744</v>
      </c>
      <c r="O188">
        <v>214.262898705</v>
      </c>
    </row>
    <row r="189" spans="1:15">
      <c r="A189">
        <v>44</v>
      </c>
      <c r="B189" t="s">
        <v>2176</v>
      </c>
      <c r="C189" t="s">
        <v>2248</v>
      </c>
      <c r="D189" t="s">
        <v>2659</v>
      </c>
      <c r="E189" t="s">
        <v>2460</v>
      </c>
      <c r="F189" t="s">
        <v>2244</v>
      </c>
      <c r="G189" t="s">
        <v>2696</v>
      </c>
      <c r="H189" t="s">
        <v>2733</v>
      </c>
      <c r="I189">
        <v>774</v>
      </c>
      <c r="J189">
        <v>166</v>
      </c>
      <c r="K189">
        <v>283</v>
      </c>
      <c r="L189" t="s">
        <v>2747</v>
      </c>
      <c r="M189">
        <v>54</v>
      </c>
      <c r="N189" t="s">
        <v>2744</v>
      </c>
      <c r="O189">
        <v>214.262898705</v>
      </c>
    </row>
    <row r="190" spans="1:15">
      <c r="A190">
        <v>45</v>
      </c>
      <c r="B190" t="s">
        <v>2176</v>
      </c>
      <c r="C190" t="s">
        <v>2249</v>
      </c>
      <c r="D190" t="s">
        <v>2659</v>
      </c>
      <c r="E190" t="s">
        <v>2460</v>
      </c>
      <c r="F190" t="s">
        <v>2244</v>
      </c>
      <c r="G190" t="s">
        <v>2696</v>
      </c>
      <c r="H190" t="s">
        <v>2733</v>
      </c>
      <c r="I190">
        <v>519</v>
      </c>
      <c r="J190">
        <v>469</v>
      </c>
      <c r="K190">
        <v>602</v>
      </c>
      <c r="L190" t="s">
        <v>2748</v>
      </c>
      <c r="M190">
        <v>54</v>
      </c>
      <c r="N190" t="s">
        <v>2744</v>
      </c>
      <c r="O190">
        <v>214.262898705</v>
      </c>
    </row>
    <row r="191" spans="1:15">
      <c r="A191">
        <v>46</v>
      </c>
      <c r="B191" t="s">
        <v>2176</v>
      </c>
      <c r="C191" t="s">
        <v>2251</v>
      </c>
      <c r="D191" t="s">
        <v>2659</v>
      </c>
      <c r="E191" t="s">
        <v>2460</v>
      </c>
      <c r="F191" t="s">
        <v>2244</v>
      </c>
      <c r="G191" t="s">
        <v>2696</v>
      </c>
      <c r="H191" t="s">
        <v>2733</v>
      </c>
      <c r="I191">
        <v>635</v>
      </c>
      <c r="J191">
        <v>86</v>
      </c>
      <c r="K191">
        <v>427</v>
      </c>
      <c r="L191" t="s">
        <v>2749</v>
      </c>
      <c r="M191">
        <v>54</v>
      </c>
      <c r="N191" t="s">
        <v>2744</v>
      </c>
      <c r="O191">
        <v>214.262898705</v>
      </c>
    </row>
    <row r="192" spans="1:15">
      <c r="A192">
        <v>47</v>
      </c>
      <c r="B192" t="s">
        <v>2176</v>
      </c>
      <c r="C192" t="s">
        <v>2252</v>
      </c>
      <c r="D192" t="s">
        <v>2659</v>
      </c>
      <c r="E192" t="s">
        <v>2460</v>
      </c>
      <c r="F192" t="s">
        <v>2244</v>
      </c>
      <c r="G192" t="s">
        <v>2696</v>
      </c>
      <c r="H192" t="s">
        <v>2733</v>
      </c>
      <c r="I192">
        <v>539</v>
      </c>
      <c r="J192">
        <v>146</v>
      </c>
      <c r="K192">
        <v>512</v>
      </c>
      <c r="L192" t="s">
        <v>2750</v>
      </c>
      <c r="M192">
        <v>54</v>
      </c>
      <c r="N192" t="s">
        <v>2744</v>
      </c>
      <c r="O192">
        <v>214.262898705</v>
      </c>
    </row>
    <row r="193" spans="1:15">
      <c r="A193">
        <v>48</v>
      </c>
      <c r="B193" t="s">
        <v>2176</v>
      </c>
      <c r="C193" t="s">
        <v>2254</v>
      </c>
      <c r="D193" t="s">
        <v>2659</v>
      </c>
      <c r="E193" t="s">
        <v>2460</v>
      </c>
      <c r="F193" t="s">
        <v>2244</v>
      </c>
      <c r="G193" t="s">
        <v>2696</v>
      </c>
      <c r="H193" t="s">
        <v>2733</v>
      </c>
      <c r="I193">
        <v>679</v>
      </c>
      <c r="J193">
        <v>72</v>
      </c>
      <c r="K193">
        <v>299</v>
      </c>
      <c r="L193" t="s">
        <v>2751</v>
      </c>
      <c r="M193">
        <v>54</v>
      </c>
      <c r="N193" t="s">
        <v>2744</v>
      </c>
      <c r="O193">
        <v>214.262898705</v>
      </c>
    </row>
    <row r="194" spans="1:15">
      <c r="A194">
        <v>49</v>
      </c>
      <c r="B194" t="s">
        <v>2176</v>
      </c>
      <c r="C194" t="s">
        <v>2255</v>
      </c>
      <c r="D194" t="s">
        <v>2659</v>
      </c>
      <c r="E194" t="s">
        <v>2460</v>
      </c>
      <c r="F194" t="s">
        <v>2256</v>
      </c>
      <c r="G194" t="s">
        <v>2696</v>
      </c>
      <c r="H194" t="s">
        <v>2733</v>
      </c>
      <c r="I194">
        <v>346</v>
      </c>
      <c r="J194">
        <v>28</v>
      </c>
      <c r="K194">
        <v>739</v>
      </c>
      <c r="L194" t="s">
        <v>2752</v>
      </c>
      <c r="M194">
        <v>54</v>
      </c>
      <c r="N194" t="s">
        <v>2753</v>
      </c>
      <c r="O194">
        <v>214.262898705</v>
      </c>
    </row>
    <row r="195" spans="1:15">
      <c r="A195">
        <v>50</v>
      </c>
      <c r="B195" t="s">
        <v>2176</v>
      </c>
      <c r="C195" t="s">
        <v>2257</v>
      </c>
      <c r="D195" t="s">
        <v>2659</v>
      </c>
      <c r="E195" t="s">
        <v>2460</v>
      </c>
      <c r="F195" t="s">
        <v>2256</v>
      </c>
      <c r="G195" t="s">
        <v>2696</v>
      </c>
      <c r="H195" t="s">
        <v>2733</v>
      </c>
      <c r="I195">
        <v>418</v>
      </c>
      <c r="J195">
        <v>5</v>
      </c>
      <c r="K195">
        <v>559</v>
      </c>
      <c r="L195" t="s">
        <v>2754</v>
      </c>
      <c r="M195">
        <v>54</v>
      </c>
      <c r="N195" t="s">
        <v>2753</v>
      </c>
      <c r="O195">
        <v>214.262898705</v>
      </c>
    </row>
    <row r="196" spans="1:15">
      <c r="A196">
        <v>51</v>
      </c>
      <c r="B196" t="s">
        <v>2176</v>
      </c>
      <c r="C196" t="s">
        <v>2258</v>
      </c>
      <c r="D196" t="s">
        <v>2659</v>
      </c>
      <c r="E196" t="s">
        <v>2460</v>
      </c>
      <c r="F196" t="s">
        <v>2256</v>
      </c>
      <c r="G196" t="s">
        <v>2696</v>
      </c>
      <c r="H196" t="s">
        <v>2733</v>
      </c>
      <c r="I196">
        <v>548</v>
      </c>
      <c r="J196">
        <v>85</v>
      </c>
      <c r="K196">
        <v>856</v>
      </c>
      <c r="L196" t="s">
        <v>2755</v>
      </c>
      <c r="M196">
        <v>54</v>
      </c>
      <c r="N196" t="s">
        <v>2753</v>
      </c>
      <c r="O196">
        <v>214.262898705</v>
      </c>
    </row>
    <row r="197" spans="1:15">
      <c r="A197">
        <v>52</v>
      </c>
      <c r="B197" t="s">
        <v>2176</v>
      </c>
      <c r="C197" t="s">
        <v>2259</v>
      </c>
      <c r="D197" t="s">
        <v>2659</v>
      </c>
      <c r="E197" t="s">
        <v>2460</v>
      </c>
      <c r="F197" t="s">
        <v>2256</v>
      </c>
      <c r="G197" t="s">
        <v>2696</v>
      </c>
      <c r="H197" t="s">
        <v>2733</v>
      </c>
      <c r="I197">
        <v>638</v>
      </c>
      <c r="J197">
        <v>513</v>
      </c>
      <c r="K197">
        <v>599</v>
      </c>
      <c r="L197" t="s">
        <v>2756</v>
      </c>
      <c r="M197">
        <v>54</v>
      </c>
      <c r="N197" t="s">
        <v>2753</v>
      </c>
      <c r="O197">
        <v>214.262898705</v>
      </c>
    </row>
    <row r="198" spans="1:15">
      <c r="A198">
        <v>53</v>
      </c>
      <c r="B198" t="s">
        <v>2176</v>
      </c>
      <c r="C198" t="s">
        <v>2260</v>
      </c>
      <c r="D198" t="s">
        <v>2659</v>
      </c>
      <c r="E198" t="s">
        <v>2460</v>
      </c>
      <c r="F198" t="s">
        <v>2256</v>
      </c>
      <c r="G198" t="s">
        <v>2696</v>
      </c>
      <c r="H198" t="s">
        <v>2733</v>
      </c>
      <c r="I198">
        <v>426</v>
      </c>
      <c r="J198">
        <v>399</v>
      </c>
      <c r="K198">
        <v>683</v>
      </c>
      <c r="L198" t="s">
        <v>2757</v>
      </c>
      <c r="M198">
        <v>54</v>
      </c>
      <c r="N198" t="s">
        <v>2753</v>
      </c>
      <c r="O198">
        <v>214.262898705</v>
      </c>
    </row>
    <row r="199" spans="1:15">
      <c r="A199">
        <v>54</v>
      </c>
      <c r="B199" t="s">
        <v>2176</v>
      </c>
      <c r="C199" t="s">
        <v>2261</v>
      </c>
      <c r="D199" t="s">
        <v>2659</v>
      </c>
      <c r="E199" t="s">
        <v>2460</v>
      </c>
      <c r="F199" t="s">
        <v>2256</v>
      </c>
      <c r="G199" t="s">
        <v>2696</v>
      </c>
      <c r="H199" t="s">
        <v>2733</v>
      </c>
      <c r="I199">
        <v>589</v>
      </c>
      <c r="J199">
        <v>400</v>
      </c>
      <c r="K199">
        <v>288</v>
      </c>
      <c r="L199" t="s">
        <v>2758</v>
      </c>
      <c r="M199">
        <v>54</v>
      </c>
      <c r="N199" t="s">
        <v>2753</v>
      </c>
      <c r="O199">
        <v>214.262898705</v>
      </c>
    </row>
    <row r="200" spans="1:15">
      <c r="A200">
        <v>55</v>
      </c>
      <c r="B200" t="s">
        <v>2176</v>
      </c>
      <c r="C200" t="s">
        <v>2262</v>
      </c>
      <c r="D200" t="s">
        <v>2659</v>
      </c>
      <c r="E200" t="s">
        <v>2460</v>
      </c>
      <c r="F200" t="s">
        <v>2256</v>
      </c>
      <c r="G200" t="s">
        <v>2696</v>
      </c>
      <c r="H200" t="s">
        <v>2733</v>
      </c>
      <c r="I200">
        <v>622</v>
      </c>
      <c r="J200">
        <v>19</v>
      </c>
      <c r="K200">
        <v>616</v>
      </c>
      <c r="L200" t="s">
        <v>2498</v>
      </c>
      <c r="M200">
        <v>54</v>
      </c>
      <c r="N200" t="s">
        <v>2753</v>
      </c>
      <c r="O200">
        <v>214.262898705</v>
      </c>
    </row>
    <row r="201" spans="1:15">
      <c r="A201">
        <v>56</v>
      </c>
      <c r="B201" t="s">
        <v>2176</v>
      </c>
      <c r="C201" t="s">
        <v>2263</v>
      </c>
      <c r="D201" t="s">
        <v>2659</v>
      </c>
      <c r="E201" t="s">
        <v>2460</v>
      </c>
      <c r="F201" t="s">
        <v>2256</v>
      </c>
      <c r="G201" t="s">
        <v>2696</v>
      </c>
      <c r="H201" t="s">
        <v>2733</v>
      </c>
      <c r="I201">
        <v>538</v>
      </c>
      <c r="J201">
        <v>60</v>
      </c>
      <c r="K201">
        <v>557</v>
      </c>
      <c r="L201" t="s">
        <v>2759</v>
      </c>
      <c r="M201">
        <v>54</v>
      </c>
      <c r="N201" t="s">
        <v>2753</v>
      </c>
      <c r="O201">
        <v>214.262898705</v>
      </c>
    </row>
    <row r="202" spans="1:15">
      <c r="A202">
        <v>57</v>
      </c>
      <c r="B202" t="s">
        <v>2176</v>
      </c>
      <c r="C202" t="s">
        <v>2264</v>
      </c>
      <c r="D202" t="s">
        <v>2659</v>
      </c>
      <c r="E202" t="s">
        <v>2460</v>
      </c>
      <c r="F202" t="s">
        <v>2265</v>
      </c>
      <c r="G202" t="s">
        <v>2696</v>
      </c>
      <c r="H202" t="s">
        <v>2733</v>
      </c>
      <c r="I202">
        <v>540</v>
      </c>
      <c r="J202">
        <v>161</v>
      </c>
      <c r="K202">
        <v>618</v>
      </c>
      <c r="L202" t="s">
        <v>2760</v>
      </c>
      <c r="M202">
        <v>54</v>
      </c>
      <c r="N202" t="s">
        <v>2761</v>
      </c>
      <c r="O202">
        <v>214.262898705</v>
      </c>
    </row>
    <row r="203" spans="1:15">
      <c r="A203">
        <v>58</v>
      </c>
      <c r="B203" t="s">
        <v>2176</v>
      </c>
      <c r="C203" t="s">
        <v>2267</v>
      </c>
      <c r="D203" t="s">
        <v>2659</v>
      </c>
      <c r="E203" t="s">
        <v>2460</v>
      </c>
      <c r="F203" t="s">
        <v>2265</v>
      </c>
      <c r="G203" t="s">
        <v>2696</v>
      </c>
      <c r="H203" t="s">
        <v>2733</v>
      </c>
      <c r="I203">
        <v>513</v>
      </c>
      <c r="J203">
        <v>48</v>
      </c>
      <c r="K203">
        <v>593</v>
      </c>
      <c r="L203" t="s">
        <v>2762</v>
      </c>
      <c r="M203">
        <v>54</v>
      </c>
      <c r="N203" t="s">
        <v>2761</v>
      </c>
      <c r="O203">
        <v>214.262898705</v>
      </c>
    </row>
    <row r="204" spans="1:15">
      <c r="A204">
        <v>59</v>
      </c>
      <c r="B204" t="s">
        <v>2176</v>
      </c>
      <c r="C204" t="s">
        <v>2268</v>
      </c>
      <c r="D204" t="s">
        <v>2659</v>
      </c>
      <c r="E204" t="s">
        <v>2460</v>
      </c>
      <c r="F204" t="s">
        <v>2265</v>
      </c>
      <c r="G204" t="s">
        <v>2696</v>
      </c>
      <c r="H204" t="s">
        <v>2733</v>
      </c>
      <c r="I204">
        <v>489</v>
      </c>
      <c r="J204">
        <v>23</v>
      </c>
      <c r="K204">
        <v>600</v>
      </c>
      <c r="L204" t="s">
        <v>2763</v>
      </c>
      <c r="M204">
        <v>54</v>
      </c>
      <c r="N204" t="s">
        <v>2761</v>
      </c>
      <c r="O204">
        <v>214.262898705</v>
      </c>
    </row>
    <row r="205" spans="1:15">
      <c r="A205">
        <v>60</v>
      </c>
      <c r="B205" t="s">
        <v>2176</v>
      </c>
      <c r="C205" t="s">
        <v>2269</v>
      </c>
      <c r="D205" t="s">
        <v>2659</v>
      </c>
      <c r="E205" t="s">
        <v>2460</v>
      </c>
      <c r="F205" t="s">
        <v>2265</v>
      </c>
      <c r="G205" t="s">
        <v>2696</v>
      </c>
      <c r="H205" t="s">
        <v>2733</v>
      </c>
      <c r="I205">
        <v>633</v>
      </c>
      <c r="J205">
        <v>78</v>
      </c>
      <c r="K205">
        <v>535</v>
      </c>
      <c r="L205" t="s">
        <v>2764</v>
      </c>
      <c r="M205">
        <v>54</v>
      </c>
      <c r="N205" t="s">
        <v>2761</v>
      </c>
      <c r="O205">
        <v>214.262898705</v>
      </c>
    </row>
    <row r="206" spans="1:15">
      <c r="A206">
        <v>61</v>
      </c>
      <c r="B206" t="s">
        <v>2176</v>
      </c>
      <c r="C206" t="s">
        <v>2271</v>
      </c>
      <c r="D206" t="s">
        <v>2659</v>
      </c>
      <c r="E206" t="s">
        <v>2460</v>
      </c>
      <c r="F206" t="s">
        <v>2265</v>
      </c>
      <c r="G206" t="s">
        <v>2696</v>
      </c>
      <c r="H206" t="s">
        <v>2733</v>
      </c>
      <c r="I206">
        <v>541</v>
      </c>
      <c r="J206">
        <v>42</v>
      </c>
      <c r="K206">
        <v>391</v>
      </c>
      <c r="L206" t="s">
        <v>2765</v>
      </c>
      <c r="M206">
        <v>54</v>
      </c>
      <c r="N206" t="s">
        <v>2761</v>
      </c>
      <c r="O206">
        <v>214.262898705</v>
      </c>
    </row>
    <row r="207" spans="1:15">
      <c r="A207">
        <v>62</v>
      </c>
      <c r="B207" t="s">
        <v>2176</v>
      </c>
      <c r="C207" t="s">
        <v>2272</v>
      </c>
      <c r="D207" t="s">
        <v>2659</v>
      </c>
      <c r="E207" t="s">
        <v>2460</v>
      </c>
      <c r="F207" t="s">
        <v>2265</v>
      </c>
      <c r="G207" t="s">
        <v>2696</v>
      </c>
      <c r="H207" t="s">
        <v>2733</v>
      </c>
      <c r="I207">
        <v>565</v>
      </c>
      <c r="J207">
        <v>119</v>
      </c>
      <c r="K207">
        <v>445</v>
      </c>
      <c r="L207" t="s">
        <v>2766</v>
      </c>
      <c r="M207">
        <v>54</v>
      </c>
      <c r="N207" t="s">
        <v>2761</v>
      </c>
      <c r="O207">
        <v>214.262898705</v>
      </c>
    </row>
    <row r="208" spans="1:15">
      <c r="A208">
        <v>63</v>
      </c>
      <c r="B208" t="s">
        <v>2176</v>
      </c>
      <c r="C208" t="s">
        <v>2274</v>
      </c>
      <c r="D208" t="s">
        <v>2659</v>
      </c>
      <c r="E208" t="s">
        <v>2460</v>
      </c>
      <c r="F208" t="s">
        <v>2265</v>
      </c>
      <c r="G208" t="s">
        <v>2696</v>
      </c>
      <c r="H208" t="s">
        <v>2733</v>
      </c>
      <c r="I208">
        <v>387</v>
      </c>
      <c r="J208">
        <v>185</v>
      </c>
      <c r="K208">
        <v>440</v>
      </c>
      <c r="L208" t="s">
        <v>2767</v>
      </c>
      <c r="M208">
        <v>54</v>
      </c>
      <c r="N208" t="s">
        <v>2761</v>
      </c>
      <c r="O208">
        <v>214.262898705</v>
      </c>
    </row>
    <row r="209" spans="1:15">
      <c r="A209">
        <v>64</v>
      </c>
      <c r="B209" t="s">
        <v>2176</v>
      </c>
      <c r="C209" t="s">
        <v>2275</v>
      </c>
      <c r="D209" t="s">
        <v>2659</v>
      </c>
      <c r="E209" t="s">
        <v>2460</v>
      </c>
      <c r="F209" t="s">
        <v>2265</v>
      </c>
      <c r="G209" t="s">
        <v>2696</v>
      </c>
      <c r="H209" t="s">
        <v>2733</v>
      </c>
      <c r="I209">
        <v>554</v>
      </c>
      <c r="J209">
        <v>159</v>
      </c>
      <c r="K209">
        <v>673</v>
      </c>
      <c r="L209" t="s">
        <v>2768</v>
      </c>
      <c r="M209">
        <v>54</v>
      </c>
      <c r="N209" t="s">
        <v>2761</v>
      </c>
      <c r="O209">
        <v>214.262898705</v>
      </c>
    </row>
    <row r="210" spans="1:15">
      <c r="A210">
        <v>33</v>
      </c>
      <c r="B210" t="s">
        <v>2176</v>
      </c>
      <c r="C210" t="s">
        <v>2226</v>
      </c>
      <c r="D210" t="s">
        <v>2659</v>
      </c>
      <c r="E210" t="s">
        <v>2460</v>
      </c>
      <c r="F210" t="s">
        <v>2227</v>
      </c>
      <c r="G210" t="s">
        <v>2732</v>
      </c>
      <c r="H210" t="s">
        <v>2733</v>
      </c>
      <c r="I210">
        <v>366</v>
      </c>
      <c r="J210">
        <v>109</v>
      </c>
      <c r="K210">
        <v>556</v>
      </c>
      <c r="L210" t="s">
        <v>2734</v>
      </c>
      <c r="M210">
        <v>55</v>
      </c>
      <c r="N210" t="s">
        <v>2735</v>
      </c>
      <c r="O210">
        <v>228.324359195</v>
      </c>
    </row>
    <row r="211" spans="1:15">
      <c r="A211">
        <v>34</v>
      </c>
      <c r="B211" t="s">
        <v>2176</v>
      </c>
      <c r="C211" t="s">
        <v>2229</v>
      </c>
      <c r="D211" t="s">
        <v>2659</v>
      </c>
      <c r="E211" t="s">
        <v>2460</v>
      </c>
      <c r="F211" t="s">
        <v>2227</v>
      </c>
      <c r="G211" t="s">
        <v>2732</v>
      </c>
      <c r="H211" t="s">
        <v>2733</v>
      </c>
      <c r="I211">
        <v>516</v>
      </c>
      <c r="J211">
        <v>153</v>
      </c>
      <c r="K211">
        <v>649</v>
      </c>
      <c r="L211" t="s">
        <v>2736</v>
      </c>
      <c r="M211">
        <v>55</v>
      </c>
      <c r="N211" t="s">
        <v>2735</v>
      </c>
      <c r="O211">
        <v>228.324359195</v>
      </c>
    </row>
    <row r="212" spans="1:15">
      <c r="A212">
        <v>35</v>
      </c>
      <c r="B212" t="s">
        <v>2176</v>
      </c>
      <c r="C212" t="s">
        <v>2232</v>
      </c>
      <c r="D212" t="s">
        <v>2659</v>
      </c>
      <c r="E212" t="s">
        <v>2460</v>
      </c>
      <c r="F212" t="s">
        <v>2227</v>
      </c>
      <c r="G212" t="s">
        <v>2732</v>
      </c>
      <c r="H212" t="s">
        <v>2733</v>
      </c>
      <c r="I212">
        <v>670</v>
      </c>
      <c r="J212">
        <v>64</v>
      </c>
      <c r="K212">
        <v>732</v>
      </c>
      <c r="L212" t="s">
        <v>2737</v>
      </c>
      <c r="M212">
        <v>55</v>
      </c>
      <c r="N212" t="s">
        <v>2735</v>
      </c>
      <c r="O212">
        <v>228.324359195</v>
      </c>
    </row>
    <row r="213" spans="1:15">
      <c r="A213">
        <v>36</v>
      </c>
      <c r="B213" t="s">
        <v>2176</v>
      </c>
      <c r="C213" t="s">
        <v>2233</v>
      </c>
      <c r="D213" t="s">
        <v>2659</v>
      </c>
      <c r="E213" t="s">
        <v>2460</v>
      </c>
      <c r="F213" t="s">
        <v>2227</v>
      </c>
      <c r="G213" t="s">
        <v>2732</v>
      </c>
      <c r="H213" t="s">
        <v>2733</v>
      </c>
      <c r="I213">
        <v>507</v>
      </c>
      <c r="J213">
        <v>126</v>
      </c>
      <c r="K213">
        <v>550</v>
      </c>
      <c r="L213" t="s">
        <v>2738</v>
      </c>
      <c r="M213">
        <v>55</v>
      </c>
      <c r="N213" t="s">
        <v>2735</v>
      </c>
      <c r="O213">
        <v>228.324359195</v>
      </c>
    </row>
    <row r="214" spans="1:15">
      <c r="A214">
        <v>37</v>
      </c>
      <c r="B214" t="s">
        <v>2176</v>
      </c>
      <c r="C214" t="s">
        <v>2235</v>
      </c>
      <c r="D214" t="s">
        <v>2659</v>
      </c>
      <c r="E214" t="s">
        <v>2460</v>
      </c>
      <c r="F214" t="s">
        <v>2227</v>
      </c>
      <c r="G214" t="s">
        <v>2732</v>
      </c>
      <c r="H214" t="s">
        <v>2733</v>
      </c>
      <c r="I214">
        <v>359</v>
      </c>
      <c r="J214">
        <v>63</v>
      </c>
      <c r="K214">
        <v>528</v>
      </c>
      <c r="L214" t="s">
        <v>2739</v>
      </c>
      <c r="M214">
        <v>55</v>
      </c>
      <c r="N214" t="s">
        <v>2735</v>
      </c>
      <c r="O214">
        <v>228.324359195</v>
      </c>
    </row>
    <row r="215" spans="1:15">
      <c r="A215">
        <v>38</v>
      </c>
      <c r="B215" t="s">
        <v>2176</v>
      </c>
      <c r="C215" t="s">
        <v>2237</v>
      </c>
      <c r="D215" t="s">
        <v>2659</v>
      </c>
      <c r="E215" t="s">
        <v>2460</v>
      </c>
      <c r="F215" t="s">
        <v>2227</v>
      </c>
      <c r="G215" t="s">
        <v>2732</v>
      </c>
      <c r="H215" t="s">
        <v>2733</v>
      </c>
      <c r="I215">
        <v>499</v>
      </c>
      <c r="J215">
        <v>87</v>
      </c>
      <c r="K215">
        <v>703</v>
      </c>
      <c r="L215" t="s">
        <v>2740</v>
      </c>
      <c r="M215">
        <v>55</v>
      </c>
      <c r="N215" t="s">
        <v>2735</v>
      </c>
      <c r="O215">
        <v>228.324359195</v>
      </c>
    </row>
    <row r="216" spans="1:15">
      <c r="A216">
        <v>39</v>
      </c>
      <c r="B216" t="s">
        <v>2176</v>
      </c>
      <c r="C216" t="s">
        <v>2239</v>
      </c>
      <c r="D216" t="s">
        <v>2659</v>
      </c>
      <c r="E216" t="s">
        <v>2460</v>
      </c>
      <c r="F216" t="s">
        <v>2227</v>
      </c>
      <c r="G216" t="s">
        <v>2732</v>
      </c>
      <c r="H216" t="s">
        <v>2733</v>
      </c>
      <c r="I216">
        <v>214</v>
      </c>
      <c r="J216">
        <v>437</v>
      </c>
      <c r="K216">
        <v>566</v>
      </c>
      <c r="L216" t="s">
        <v>2741</v>
      </c>
      <c r="M216">
        <v>55</v>
      </c>
      <c r="N216" t="s">
        <v>2735</v>
      </c>
      <c r="O216">
        <v>228.324359195</v>
      </c>
    </row>
    <row r="217" spans="1:15">
      <c r="A217">
        <v>40</v>
      </c>
      <c r="B217" t="s">
        <v>2176</v>
      </c>
      <c r="C217" t="s">
        <v>2241</v>
      </c>
      <c r="D217" t="s">
        <v>2659</v>
      </c>
      <c r="E217" t="s">
        <v>2460</v>
      </c>
      <c r="F217" t="s">
        <v>2227</v>
      </c>
      <c r="G217" t="s">
        <v>2732</v>
      </c>
      <c r="H217" t="s">
        <v>2733</v>
      </c>
      <c r="I217">
        <v>582</v>
      </c>
      <c r="J217">
        <v>114</v>
      </c>
      <c r="K217">
        <v>619</v>
      </c>
      <c r="L217" t="s">
        <v>2742</v>
      </c>
      <c r="M217">
        <v>55</v>
      </c>
      <c r="N217" t="s">
        <v>2735</v>
      </c>
      <c r="O217">
        <v>228.324359195</v>
      </c>
    </row>
  </sheetData>
  <sortState ref="A2:O217">
    <sortCondition ref="O176"/>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D4632-64FE-4536-9FC0-6BF392B30D61}">
  <dimension ref="A1:G221"/>
  <sheetViews>
    <sheetView topLeftCell="A3" zoomScaleNormal="100" workbookViewId="0">
      <selection activeCell="C26" sqref="C26"/>
    </sheetView>
  </sheetViews>
  <sheetFormatPr baseColWidth="10" defaultColWidth="11.44140625" defaultRowHeight="14.4"/>
  <cols>
    <col min="1" max="8" width="11.44140625" style="197"/>
    <col min="9" max="9" width="23.33203125" style="197" customWidth="1"/>
    <col min="10" max="16384" width="11.44140625" style="197"/>
  </cols>
  <sheetData>
    <row r="1" spans="1:7">
      <c r="A1" s="200" t="s">
        <v>2485</v>
      </c>
      <c r="B1" s="197" t="s">
        <v>2491</v>
      </c>
      <c r="C1" s="197" t="s">
        <v>2492</v>
      </c>
      <c r="D1" s="197" t="s">
        <v>2493</v>
      </c>
      <c r="E1" s="197" t="s">
        <v>2494</v>
      </c>
      <c r="F1" s="197" t="s">
        <v>2486</v>
      </c>
      <c r="G1" s="197" t="s">
        <v>2147</v>
      </c>
    </row>
    <row r="2" spans="1:7">
      <c r="A2" s="198">
        <v>1</v>
      </c>
      <c r="B2" s="197" t="s">
        <v>1008</v>
      </c>
      <c r="C2" s="197" t="s">
        <v>1124</v>
      </c>
      <c r="D2" s="197" t="s">
        <v>1298</v>
      </c>
      <c r="E2" s="197" t="s">
        <v>1614</v>
      </c>
      <c r="F2" s="197" t="s">
        <v>2177</v>
      </c>
    </row>
    <row r="3" spans="1:7">
      <c r="A3" s="198">
        <v>2</v>
      </c>
      <c r="B3" s="197" t="s">
        <v>614</v>
      </c>
      <c r="C3" s="197" t="s">
        <v>1020</v>
      </c>
      <c r="D3" s="197" t="s">
        <v>1313</v>
      </c>
      <c r="E3" s="197" t="s">
        <v>1482</v>
      </c>
      <c r="F3" s="197" t="s">
        <v>2183</v>
      </c>
    </row>
    <row r="4" spans="1:7">
      <c r="A4" s="198">
        <v>3</v>
      </c>
      <c r="B4" s="197" t="s">
        <v>643</v>
      </c>
      <c r="C4" s="197" t="s">
        <v>983</v>
      </c>
      <c r="D4" s="197" t="s">
        <v>1389</v>
      </c>
      <c r="E4" s="197" t="s">
        <v>1419</v>
      </c>
      <c r="F4" s="197" t="s">
        <v>2184</v>
      </c>
      <c r="G4" s="197" t="s">
        <v>2487</v>
      </c>
    </row>
    <row r="5" spans="1:7">
      <c r="A5" s="198">
        <v>4</v>
      </c>
      <c r="B5" s="197" t="s">
        <v>633</v>
      </c>
      <c r="C5" s="197" t="s">
        <v>1026</v>
      </c>
      <c r="D5" s="197" t="s">
        <v>1518</v>
      </c>
      <c r="E5" s="197" t="s">
        <v>1398</v>
      </c>
      <c r="F5" s="197" t="s">
        <v>2186</v>
      </c>
    </row>
    <row r="6" spans="1:7">
      <c r="A6" s="198">
        <v>5</v>
      </c>
      <c r="B6" s="197" t="s">
        <v>1103</v>
      </c>
      <c r="C6" s="197" t="s">
        <v>639</v>
      </c>
      <c r="D6" s="197" t="s">
        <v>1473</v>
      </c>
      <c r="E6" s="197" t="s">
        <v>1553</v>
      </c>
      <c r="F6" s="197" t="s">
        <v>2189</v>
      </c>
    </row>
    <row r="7" spans="1:7">
      <c r="A7" s="198">
        <v>6</v>
      </c>
      <c r="B7" s="197" t="s">
        <v>1082</v>
      </c>
      <c r="C7" s="197" t="s">
        <v>964</v>
      </c>
      <c r="D7" s="197" t="s">
        <v>1416</v>
      </c>
      <c r="E7" s="197" t="s">
        <v>1603</v>
      </c>
      <c r="F7" s="197" t="s">
        <v>2190</v>
      </c>
    </row>
    <row r="8" spans="1:7">
      <c r="A8" s="198">
        <v>7</v>
      </c>
      <c r="B8" s="197" t="s">
        <v>743</v>
      </c>
      <c r="C8" s="197" t="s">
        <v>610</v>
      </c>
      <c r="D8" s="197" t="s">
        <v>1385</v>
      </c>
      <c r="E8" s="197" t="s">
        <v>1598</v>
      </c>
      <c r="F8" s="197" t="s">
        <v>2191</v>
      </c>
    </row>
    <row r="9" spans="1:7">
      <c r="A9" s="198">
        <v>8</v>
      </c>
      <c r="B9" s="197" t="s">
        <v>629</v>
      </c>
      <c r="C9" s="197" t="s">
        <v>735</v>
      </c>
      <c r="D9" s="197" t="s">
        <v>1349</v>
      </c>
      <c r="E9" s="197" t="s">
        <v>1661</v>
      </c>
      <c r="F9" s="197" t="s">
        <v>2192</v>
      </c>
    </row>
    <row r="10" spans="1:7">
      <c r="A10" s="198">
        <v>9</v>
      </c>
      <c r="B10" s="197" t="s">
        <v>1040</v>
      </c>
      <c r="C10" s="197" t="s">
        <v>972</v>
      </c>
      <c r="D10" s="197" t="s">
        <v>1574</v>
      </c>
      <c r="E10" s="197" t="s">
        <v>1536</v>
      </c>
      <c r="F10" s="197" t="s">
        <v>2193</v>
      </c>
    </row>
    <row r="11" spans="1:7">
      <c r="A11" s="198">
        <v>10</v>
      </c>
      <c r="B11" s="197" t="s">
        <v>626</v>
      </c>
      <c r="C11" s="197" t="s">
        <v>1050</v>
      </c>
      <c r="D11" s="197" t="s">
        <v>1444</v>
      </c>
      <c r="E11" s="197" t="s">
        <v>1764</v>
      </c>
      <c r="F11" s="197" t="s">
        <v>2196</v>
      </c>
    </row>
    <row r="12" spans="1:7">
      <c r="A12" s="198">
        <v>11</v>
      </c>
      <c r="B12" s="197" t="s">
        <v>1139</v>
      </c>
      <c r="C12" s="197" t="s">
        <v>695</v>
      </c>
      <c r="D12" s="197" t="s">
        <v>1527</v>
      </c>
      <c r="E12" s="197" t="s">
        <v>1507</v>
      </c>
      <c r="F12" s="197" t="s">
        <v>2197</v>
      </c>
    </row>
    <row r="13" spans="1:7">
      <c r="A13" s="198">
        <v>12</v>
      </c>
      <c r="B13" s="197" t="s">
        <v>1018</v>
      </c>
      <c r="C13" s="197" t="s">
        <v>732</v>
      </c>
      <c r="D13" s="197" t="s">
        <v>1560</v>
      </c>
      <c r="E13" s="197" t="s">
        <v>1460</v>
      </c>
      <c r="F13" s="197" t="s">
        <v>2198</v>
      </c>
      <c r="G13" s="197" t="s">
        <v>2487</v>
      </c>
    </row>
    <row r="14" spans="1:7">
      <c r="A14" s="198">
        <v>13</v>
      </c>
      <c r="B14" s="197" t="s">
        <v>1138</v>
      </c>
      <c r="C14" s="197" t="s">
        <v>691</v>
      </c>
      <c r="D14" s="197" t="s">
        <v>1809</v>
      </c>
      <c r="E14" s="197" t="s">
        <v>1455</v>
      </c>
      <c r="F14" s="197" t="s">
        <v>2199</v>
      </c>
    </row>
    <row r="15" spans="1:7">
      <c r="A15" s="198">
        <v>14</v>
      </c>
      <c r="B15" s="197" t="s">
        <v>859</v>
      </c>
      <c r="C15" s="197" t="s">
        <v>759</v>
      </c>
      <c r="D15" s="197" t="s">
        <v>1547</v>
      </c>
      <c r="E15" s="197" t="s">
        <v>1441</v>
      </c>
      <c r="F15" s="197" t="s">
        <v>2201</v>
      </c>
    </row>
    <row r="16" spans="1:7">
      <c r="A16" s="198">
        <v>15</v>
      </c>
      <c r="B16" s="197" t="s">
        <v>1042</v>
      </c>
      <c r="C16" s="197" t="s">
        <v>726</v>
      </c>
      <c r="D16" s="197" t="s">
        <v>1365</v>
      </c>
      <c r="E16" s="197" t="s">
        <v>1828</v>
      </c>
      <c r="F16" s="197" t="s">
        <v>2202</v>
      </c>
    </row>
    <row r="17" spans="1:7">
      <c r="A17" s="198">
        <v>16</v>
      </c>
      <c r="B17" s="197" t="s">
        <v>987</v>
      </c>
      <c r="C17" s="197" t="s">
        <v>622</v>
      </c>
      <c r="D17" s="197" t="s">
        <v>1406</v>
      </c>
      <c r="E17" s="197" t="s">
        <v>1645</v>
      </c>
      <c r="F17" s="197" t="s">
        <v>2205</v>
      </c>
    </row>
    <row r="18" spans="1:7">
      <c r="A18" s="198">
        <v>17</v>
      </c>
      <c r="B18" s="197" t="s">
        <v>761</v>
      </c>
      <c r="C18" s="197" t="s">
        <v>599</v>
      </c>
      <c r="D18" s="197" t="s">
        <v>1402</v>
      </c>
      <c r="E18" s="197" t="s">
        <v>1479</v>
      </c>
      <c r="F18" s="197" t="s">
        <v>2207</v>
      </c>
    </row>
    <row r="19" spans="1:7">
      <c r="A19" s="198">
        <v>18</v>
      </c>
      <c r="B19" s="197" t="s">
        <v>867</v>
      </c>
      <c r="C19" s="197" t="s">
        <v>1013</v>
      </c>
      <c r="D19" s="197" t="s">
        <v>1477</v>
      </c>
      <c r="E19" s="197" t="s">
        <v>1631</v>
      </c>
      <c r="F19" s="197" t="s">
        <v>2210</v>
      </c>
    </row>
    <row r="20" spans="1:7">
      <c r="A20" s="198">
        <v>19</v>
      </c>
      <c r="B20" s="197" t="s">
        <v>575</v>
      </c>
      <c r="C20" s="197" t="s">
        <v>1059</v>
      </c>
      <c r="D20" s="197" t="s">
        <v>1411</v>
      </c>
      <c r="E20" s="197" t="s">
        <v>1810</v>
      </c>
      <c r="F20" s="197" t="s">
        <v>2211</v>
      </c>
    </row>
    <row r="21" spans="1:7">
      <c r="A21" s="198">
        <v>20</v>
      </c>
      <c r="B21" s="197" t="s">
        <v>1031</v>
      </c>
      <c r="C21" s="197" t="s">
        <v>1091</v>
      </c>
      <c r="D21" s="197" t="s">
        <v>1545</v>
      </c>
      <c r="E21" s="197" t="s">
        <v>1526</v>
      </c>
      <c r="F21" s="197" t="s">
        <v>2212</v>
      </c>
    </row>
    <row r="22" spans="1:7">
      <c r="A22" s="198">
        <v>21</v>
      </c>
      <c r="B22" s="197" t="s">
        <v>2500</v>
      </c>
      <c r="C22" s="197" t="s">
        <v>612</v>
      </c>
      <c r="D22" s="197" t="s">
        <v>1329</v>
      </c>
      <c r="E22" s="197" t="s">
        <v>1351</v>
      </c>
      <c r="F22" s="197" t="s">
        <v>2213</v>
      </c>
      <c r="G22" s="197" t="s">
        <v>2488</v>
      </c>
    </row>
    <row r="23" spans="1:7">
      <c r="A23" s="198">
        <v>22</v>
      </c>
      <c r="B23" s="197" t="s">
        <v>1096</v>
      </c>
      <c r="C23" s="197" t="s">
        <v>778</v>
      </c>
      <c r="D23" s="197" t="s">
        <v>1498</v>
      </c>
      <c r="E23" s="197" t="s">
        <v>1475</v>
      </c>
      <c r="F23" s="197" t="s">
        <v>2214</v>
      </c>
    </row>
    <row r="24" spans="1:7">
      <c r="A24" s="198">
        <v>23</v>
      </c>
      <c r="B24" s="197" t="s">
        <v>1009</v>
      </c>
      <c r="C24" s="197" t="s">
        <v>951</v>
      </c>
      <c r="D24" s="197" t="s">
        <v>1594</v>
      </c>
      <c r="E24" s="197" t="s">
        <v>1558</v>
      </c>
      <c r="F24" s="197" t="s">
        <v>2215</v>
      </c>
    </row>
    <row r="25" spans="1:7">
      <c r="A25" s="198">
        <v>24</v>
      </c>
      <c r="B25" s="197" t="s">
        <v>1070</v>
      </c>
      <c r="C25" s="197" t="s">
        <v>997</v>
      </c>
      <c r="D25" s="197" t="s">
        <v>1629</v>
      </c>
      <c r="E25" s="197" t="s">
        <v>1237</v>
      </c>
      <c r="F25" s="197" t="s">
        <v>2216</v>
      </c>
    </row>
    <row r="26" spans="1:7">
      <c r="A26" s="198">
        <v>25</v>
      </c>
      <c r="B26" s="197" t="s">
        <v>1037</v>
      </c>
      <c r="C26" s="197" t="s">
        <v>862</v>
      </c>
      <c r="D26" s="197" t="s">
        <v>1186</v>
      </c>
      <c r="E26" s="197" t="s">
        <v>1644</v>
      </c>
      <c r="F26" s="197" t="s">
        <v>2217</v>
      </c>
    </row>
    <row r="27" spans="1:7">
      <c r="A27" s="198">
        <v>26</v>
      </c>
      <c r="B27" s="197" t="s">
        <v>952</v>
      </c>
      <c r="C27" s="197" t="s">
        <v>993</v>
      </c>
      <c r="D27" s="197" t="s">
        <v>1544</v>
      </c>
      <c r="E27" s="197" t="s">
        <v>1399</v>
      </c>
      <c r="F27" s="197" t="s">
        <v>2219</v>
      </c>
    </row>
    <row r="28" spans="1:7">
      <c r="A28" s="198">
        <v>27</v>
      </c>
      <c r="B28" s="197" t="s">
        <v>924</v>
      </c>
      <c r="C28" s="197" t="s">
        <v>1029</v>
      </c>
      <c r="D28" s="197" t="s">
        <v>1601</v>
      </c>
      <c r="E28" s="197" t="s">
        <v>1467</v>
      </c>
      <c r="F28" s="197" t="s">
        <v>2220</v>
      </c>
    </row>
    <row r="29" spans="1:7">
      <c r="A29" s="198">
        <v>28</v>
      </c>
      <c r="B29" s="197" t="s">
        <v>969</v>
      </c>
      <c r="C29" s="197" t="s">
        <v>705</v>
      </c>
      <c r="D29" s="197" t="s">
        <v>1548</v>
      </c>
      <c r="E29" s="197" t="s">
        <v>1348</v>
      </c>
      <c r="F29" s="197" t="s">
        <v>2221</v>
      </c>
    </row>
    <row r="30" spans="1:7">
      <c r="A30" s="198">
        <v>29</v>
      </c>
      <c r="B30" s="197" t="s">
        <v>792</v>
      </c>
      <c r="C30" s="197" t="s">
        <v>755</v>
      </c>
      <c r="D30" s="197" t="s">
        <v>1705</v>
      </c>
      <c r="E30" s="197" t="s">
        <v>1212</v>
      </c>
      <c r="F30" s="197" t="s">
        <v>2222</v>
      </c>
    </row>
    <row r="31" spans="1:7">
      <c r="A31" s="198">
        <v>30</v>
      </c>
      <c r="B31" s="197" t="s">
        <v>845</v>
      </c>
      <c r="C31" s="197" t="s">
        <v>634</v>
      </c>
      <c r="D31" s="197" t="s">
        <v>1550</v>
      </c>
      <c r="E31" s="197" t="s">
        <v>1532</v>
      </c>
      <c r="F31" s="197" t="s">
        <v>2223</v>
      </c>
    </row>
    <row r="32" spans="1:7">
      <c r="A32" s="198">
        <v>31</v>
      </c>
      <c r="B32" s="197" t="s">
        <v>818</v>
      </c>
      <c r="C32" s="197" t="s">
        <v>1000</v>
      </c>
      <c r="D32" s="197" t="s">
        <v>1529</v>
      </c>
      <c r="E32" s="197" t="s">
        <v>1646</v>
      </c>
      <c r="F32" s="197" t="s">
        <v>2224</v>
      </c>
    </row>
    <row r="33" spans="1:7">
      <c r="A33" s="198">
        <v>32</v>
      </c>
      <c r="B33" s="197" t="s">
        <v>985</v>
      </c>
      <c r="C33" s="197" t="s">
        <v>745</v>
      </c>
      <c r="D33" s="197" t="s">
        <v>1849</v>
      </c>
      <c r="E33" s="197" t="s">
        <v>1523</v>
      </c>
      <c r="F33" s="197" t="s">
        <v>2225</v>
      </c>
    </row>
    <row r="34" spans="1:7">
      <c r="A34" s="198">
        <v>33</v>
      </c>
      <c r="B34" s="197" t="s">
        <v>689</v>
      </c>
      <c r="C34" s="197" t="s">
        <v>1032</v>
      </c>
      <c r="D34" s="197" t="s">
        <v>1494</v>
      </c>
      <c r="E34" s="197" t="s">
        <v>1684</v>
      </c>
      <c r="F34" s="197" t="s">
        <v>2226</v>
      </c>
    </row>
    <row r="35" spans="1:7">
      <c r="A35" s="198">
        <v>34</v>
      </c>
      <c r="B35" s="197" t="s">
        <v>1117</v>
      </c>
      <c r="C35" s="197" t="s">
        <v>988</v>
      </c>
      <c r="D35" s="197" t="s">
        <v>1401</v>
      </c>
      <c r="E35" s="197" t="s">
        <v>1534</v>
      </c>
      <c r="F35" s="197" t="s">
        <v>2229</v>
      </c>
    </row>
    <row r="36" spans="1:7">
      <c r="A36" s="198">
        <v>35</v>
      </c>
      <c r="B36" s="197" t="s">
        <v>1072</v>
      </c>
      <c r="C36" s="197" t="s">
        <v>1077</v>
      </c>
      <c r="D36" s="197" t="s">
        <v>1318</v>
      </c>
      <c r="E36" s="197" t="s">
        <v>1380</v>
      </c>
      <c r="F36" s="197" t="s">
        <v>2232</v>
      </c>
    </row>
    <row r="37" spans="1:7">
      <c r="A37" s="198">
        <v>36</v>
      </c>
      <c r="B37" s="197" t="s">
        <v>1044</v>
      </c>
      <c r="C37" s="197" t="s">
        <v>1015</v>
      </c>
      <c r="D37" s="197" t="s">
        <v>1500</v>
      </c>
      <c r="E37" s="197" t="s">
        <v>1543</v>
      </c>
      <c r="F37" s="197" t="s">
        <v>2233</v>
      </c>
    </row>
    <row r="38" spans="1:7">
      <c r="A38" s="198">
        <v>37</v>
      </c>
      <c r="B38" s="197" t="s">
        <v>1052</v>
      </c>
      <c r="C38" s="197" t="s">
        <v>1078</v>
      </c>
      <c r="D38" s="197" t="s">
        <v>1522</v>
      </c>
      <c r="E38" s="197" t="s">
        <v>1691</v>
      </c>
      <c r="F38" s="197" t="s">
        <v>2235</v>
      </c>
    </row>
    <row r="39" spans="1:7">
      <c r="A39" s="198">
        <v>38</v>
      </c>
      <c r="B39" s="197" t="s">
        <v>994</v>
      </c>
      <c r="C39" s="197" t="s">
        <v>1054</v>
      </c>
      <c r="D39" s="197" t="s">
        <v>1347</v>
      </c>
      <c r="E39" s="197" t="s">
        <v>1551</v>
      </c>
      <c r="F39" s="197" t="s">
        <v>2237</v>
      </c>
    </row>
    <row r="40" spans="1:7">
      <c r="A40" s="198">
        <v>39</v>
      </c>
      <c r="B40" s="197" t="s">
        <v>1076</v>
      </c>
      <c r="C40" s="197" t="s">
        <v>704</v>
      </c>
      <c r="D40" s="197" t="s">
        <v>1484</v>
      </c>
      <c r="E40" s="197" t="s">
        <v>1836</v>
      </c>
      <c r="F40" s="197" t="s">
        <v>2239</v>
      </c>
    </row>
    <row r="41" spans="1:7">
      <c r="A41" s="198">
        <v>40</v>
      </c>
      <c r="B41" s="197" t="s">
        <v>721</v>
      </c>
      <c r="C41" s="197" t="s">
        <v>1027</v>
      </c>
      <c r="D41" s="197" t="s">
        <v>1431</v>
      </c>
      <c r="E41" s="197" t="s">
        <v>1468</v>
      </c>
      <c r="F41" s="197" t="s">
        <v>2241</v>
      </c>
    </row>
    <row r="42" spans="1:7">
      <c r="A42" s="198">
        <v>41</v>
      </c>
      <c r="B42" s="197" t="s">
        <v>1064</v>
      </c>
      <c r="C42" s="197" t="s">
        <v>620</v>
      </c>
      <c r="D42" s="197" t="s">
        <v>1424</v>
      </c>
      <c r="E42" s="197" t="s">
        <v>1597</v>
      </c>
      <c r="F42" s="197" t="s">
        <v>2243</v>
      </c>
    </row>
    <row r="43" spans="1:7">
      <c r="A43" s="198">
        <v>42</v>
      </c>
      <c r="B43" s="197" t="s">
        <v>1060</v>
      </c>
      <c r="C43" s="197" t="s">
        <v>770</v>
      </c>
      <c r="D43" s="197" t="s">
        <v>1613</v>
      </c>
      <c r="E43" s="197" t="s">
        <v>1286</v>
      </c>
      <c r="F43" s="197" t="s">
        <v>2245</v>
      </c>
    </row>
    <row r="44" spans="1:7">
      <c r="A44" s="198">
        <v>43</v>
      </c>
      <c r="B44" s="197" t="s">
        <v>1024</v>
      </c>
      <c r="C44" s="197" t="s">
        <v>765</v>
      </c>
      <c r="D44" s="197" t="s">
        <v>1407</v>
      </c>
      <c r="E44" s="197" t="s">
        <v>1360</v>
      </c>
      <c r="F44" s="197" t="s">
        <v>2247</v>
      </c>
    </row>
    <row r="45" spans="1:7">
      <c r="A45" s="198">
        <v>44</v>
      </c>
      <c r="B45" s="197" t="s">
        <v>1135</v>
      </c>
      <c r="C45" s="197" t="s">
        <v>975</v>
      </c>
      <c r="D45" s="197" t="s">
        <v>1767</v>
      </c>
      <c r="E45" s="197" t="s">
        <v>1276</v>
      </c>
      <c r="F45" s="197" t="s">
        <v>2248</v>
      </c>
    </row>
    <row r="46" spans="1:7">
      <c r="A46" s="198">
        <v>45</v>
      </c>
      <c r="B46" s="197" t="s">
        <v>1067</v>
      </c>
      <c r="C46" s="197" t="s">
        <v>672</v>
      </c>
      <c r="D46" s="197" t="s">
        <v>1448</v>
      </c>
      <c r="E46" s="197" t="s">
        <v>1531</v>
      </c>
      <c r="F46" s="197" t="s">
        <v>2249</v>
      </c>
    </row>
    <row r="47" spans="1:7">
      <c r="A47" s="198">
        <v>46</v>
      </c>
      <c r="B47" s="197" t="s">
        <v>1039</v>
      </c>
      <c r="C47" s="197" t="s">
        <v>1055</v>
      </c>
      <c r="D47" s="197" t="s">
        <v>1623</v>
      </c>
      <c r="E47" s="197" t="s">
        <v>1415</v>
      </c>
      <c r="F47" s="197" t="s">
        <v>2251</v>
      </c>
      <c r="G47" s="197" t="s">
        <v>2487</v>
      </c>
    </row>
    <row r="48" spans="1:7">
      <c r="A48" s="198">
        <v>47</v>
      </c>
      <c r="B48" s="197" t="s">
        <v>1065</v>
      </c>
      <c r="C48" s="197" t="s">
        <v>995</v>
      </c>
      <c r="D48" s="197" t="s">
        <v>1538</v>
      </c>
      <c r="E48" s="197" t="s">
        <v>1511</v>
      </c>
      <c r="F48" s="197" t="s">
        <v>2252</v>
      </c>
    </row>
    <row r="49" spans="1:7">
      <c r="A49" s="198">
        <v>48</v>
      </c>
      <c r="B49" s="197" t="s">
        <v>1034</v>
      </c>
      <c r="C49" s="197" t="s">
        <v>1069</v>
      </c>
      <c r="D49" s="197" t="s">
        <v>1751</v>
      </c>
      <c r="E49" s="197" t="s">
        <v>1371</v>
      </c>
      <c r="F49" s="197" t="s">
        <v>2254</v>
      </c>
    </row>
    <row r="50" spans="1:7">
      <c r="A50" s="198">
        <v>49</v>
      </c>
      <c r="B50" s="197" t="s">
        <v>986</v>
      </c>
      <c r="C50" s="197" t="s">
        <v>1113</v>
      </c>
      <c r="D50" s="197" t="s">
        <v>1311</v>
      </c>
      <c r="E50" s="197" t="s">
        <v>1704</v>
      </c>
      <c r="F50" s="197" t="s">
        <v>2255</v>
      </c>
    </row>
    <row r="51" spans="1:7">
      <c r="A51" s="198">
        <v>50</v>
      </c>
      <c r="B51" s="197" t="s">
        <v>1043</v>
      </c>
      <c r="C51" s="197" t="s">
        <v>1136</v>
      </c>
      <c r="D51" s="197" t="s">
        <v>1491</v>
      </c>
      <c r="E51" s="197" t="s">
        <v>1632</v>
      </c>
      <c r="F51" s="197" t="s">
        <v>2257</v>
      </c>
    </row>
    <row r="52" spans="1:7">
      <c r="A52" s="198">
        <v>51</v>
      </c>
      <c r="B52" s="197" t="s">
        <v>1112</v>
      </c>
      <c r="C52" s="197" t="s">
        <v>1056</v>
      </c>
      <c r="D52" s="197" t="s">
        <v>1194</v>
      </c>
      <c r="E52" s="197" t="s">
        <v>1502</v>
      </c>
      <c r="F52" s="197" t="s">
        <v>2258</v>
      </c>
    </row>
    <row r="53" spans="1:7">
      <c r="A53" s="198">
        <v>52</v>
      </c>
      <c r="B53" s="197" t="s">
        <v>829</v>
      </c>
      <c r="C53" s="197" t="s">
        <v>628</v>
      </c>
      <c r="D53" s="197" t="s">
        <v>1451</v>
      </c>
      <c r="E53" s="197" t="s">
        <v>1412</v>
      </c>
      <c r="F53" s="197" t="s">
        <v>2259</v>
      </c>
    </row>
    <row r="54" spans="1:7">
      <c r="A54" s="198">
        <v>53</v>
      </c>
      <c r="B54" s="197" t="s">
        <v>1028</v>
      </c>
      <c r="C54" s="197" t="s">
        <v>742</v>
      </c>
      <c r="D54" s="197" t="s">
        <v>1367</v>
      </c>
      <c r="E54" s="197" t="s">
        <v>1624</v>
      </c>
      <c r="F54" s="197" t="s">
        <v>2260</v>
      </c>
      <c r="G54" s="197" t="s">
        <v>2487</v>
      </c>
    </row>
    <row r="55" spans="1:7">
      <c r="A55" s="198">
        <v>54</v>
      </c>
      <c r="B55" s="197" t="s">
        <v>700</v>
      </c>
      <c r="C55" s="197" t="s">
        <v>741</v>
      </c>
      <c r="D55" s="197" t="s">
        <v>1762</v>
      </c>
      <c r="E55" s="197" t="s">
        <v>1461</v>
      </c>
      <c r="F55" s="197" t="s">
        <v>2261</v>
      </c>
      <c r="G55" s="197" t="s">
        <v>2487</v>
      </c>
    </row>
    <row r="56" spans="1:7">
      <c r="A56" s="198">
        <v>55</v>
      </c>
      <c r="B56" s="113" t="s">
        <v>2496</v>
      </c>
      <c r="C56" s="113" t="s">
        <v>1122</v>
      </c>
      <c r="D56" s="197" t="s">
        <v>1434</v>
      </c>
      <c r="E56" s="197" t="s">
        <v>1428</v>
      </c>
      <c r="F56" s="197" t="s">
        <v>2262</v>
      </c>
      <c r="G56" s="197" t="s">
        <v>2501</v>
      </c>
    </row>
    <row r="57" spans="1:7">
      <c r="A57" s="198">
        <v>56</v>
      </c>
      <c r="B57" s="197" t="s">
        <v>1083</v>
      </c>
      <c r="C57" s="197" t="s">
        <v>1081</v>
      </c>
      <c r="D57" s="197" t="s">
        <v>1493</v>
      </c>
      <c r="E57" s="197" t="s">
        <v>1512</v>
      </c>
      <c r="F57" s="197" t="s">
        <v>2263</v>
      </c>
    </row>
    <row r="58" spans="1:7">
      <c r="A58" s="198">
        <v>57</v>
      </c>
      <c r="B58" s="197" t="s">
        <v>706</v>
      </c>
      <c r="C58" s="197" t="s">
        <v>980</v>
      </c>
      <c r="D58" s="197" t="s">
        <v>1432</v>
      </c>
      <c r="E58" s="197" t="s">
        <v>1510</v>
      </c>
      <c r="F58" s="197" t="s">
        <v>2264</v>
      </c>
    </row>
    <row r="59" spans="1:7">
      <c r="A59" s="198">
        <v>58</v>
      </c>
      <c r="B59" s="197" t="s">
        <v>1110</v>
      </c>
      <c r="C59" s="197" t="s">
        <v>1093</v>
      </c>
      <c r="D59" s="197" t="s">
        <v>1457</v>
      </c>
      <c r="E59" s="197" t="s">
        <v>1537</v>
      </c>
      <c r="F59" s="197" t="s">
        <v>2267</v>
      </c>
    </row>
    <row r="60" spans="1:7">
      <c r="A60" s="198">
        <v>59</v>
      </c>
      <c r="B60" s="197" t="s">
        <v>1021</v>
      </c>
      <c r="C60" s="197" t="s">
        <v>1118</v>
      </c>
      <c r="D60" s="197" t="s">
        <v>1450</v>
      </c>
      <c r="E60" s="197" t="s">
        <v>1561</v>
      </c>
      <c r="F60" s="197" t="s">
        <v>2268</v>
      </c>
    </row>
    <row r="61" spans="1:7">
      <c r="A61" s="198">
        <v>60</v>
      </c>
      <c r="B61" s="197" t="s">
        <v>751</v>
      </c>
      <c r="C61" s="197" t="s">
        <v>1063</v>
      </c>
      <c r="D61" s="197" t="s">
        <v>1515</v>
      </c>
      <c r="E61" s="197" t="s">
        <v>1417</v>
      </c>
      <c r="F61" s="197" t="s">
        <v>2269</v>
      </c>
    </row>
    <row r="62" spans="1:7">
      <c r="A62" s="198">
        <v>61</v>
      </c>
      <c r="B62" s="197" t="s">
        <v>998</v>
      </c>
      <c r="C62" s="197" t="s">
        <v>1099</v>
      </c>
      <c r="D62" s="197" t="s">
        <v>1659</v>
      </c>
      <c r="E62" s="197" t="s">
        <v>1509</v>
      </c>
      <c r="F62" s="197" t="s">
        <v>2271</v>
      </c>
    </row>
    <row r="63" spans="1:7">
      <c r="A63" s="198">
        <v>62</v>
      </c>
      <c r="B63" s="197" t="s">
        <v>693</v>
      </c>
      <c r="C63" s="197" t="s">
        <v>1022</v>
      </c>
      <c r="D63" s="197" t="s">
        <v>1605</v>
      </c>
      <c r="E63" s="197" t="s">
        <v>1485</v>
      </c>
      <c r="F63" s="197" t="s">
        <v>2272</v>
      </c>
    </row>
    <row r="64" spans="1:7">
      <c r="A64" s="198">
        <v>63</v>
      </c>
      <c r="B64" s="197" t="s">
        <v>718</v>
      </c>
      <c r="C64" s="197" t="s">
        <v>956</v>
      </c>
      <c r="D64" s="197" t="s">
        <v>1610</v>
      </c>
      <c r="E64" s="197" t="s">
        <v>1663</v>
      </c>
      <c r="F64" s="197" t="s">
        <v>2274</v>
      </c>
    </row>
    <row r="65" spans="1:7">
      <c r="A65" s="198">
        <v>64</v>
      </c>
      <c r="B65" s="197" t="s">
        <v>591</v>
      </c>
      <c r="C65" s="197" t="s">
        <v>982</v>
      </c>
      <c r="D65" s="197" t="s">
        <v>1377</v>
      </c>
      <c r="E65" s="197" t="s">
        <v>1496</v>
      </c>
      <c r="F65" s="197" t="s">
        <v>2275</v>
      </c>
    </row>
    <row r="66" spans="1:7">
      <c r="A66" s="198">
        <v>65</v>
      </c>
      <c r="B66" s="197" t="s">
        <v>808</v>
      </c>
      <c r="C66" s="197" t="s">
        <v>616</v>
      </c>
      <c r="D66" s="197" t="s">
        <v>1350</v>
      </c>
      <c r="E66" s="197" t="s">
        <v>1436</v>
      </c>
      <c r="F66" s="197" t="s">
        <v>2277</v>
      </c>
    </row>
    <row r="67" spans="1:7">
      <c r="A67" s="198">
        <v>66</v>
      </c>
      <c r="B67" s="197" t="s">
        <v>889</v>
      </c>
      <c r="C67" s="197" t="s">
        <v>991</v>
      </c>
      <c r="D67" s="197" t="s">
        <v>1290</v>
      </c>
      <c r="E67" s="197" t="s">
        <v>1768</v>
      </c>
      <c r="F67" s="197" t="s">
        <v>2279</v>
      </c>
    </row>
    <row r="68" spans="1:7">
      <c r="A68" s="198">
        <v>67</v>
      </c>
      <c r="B68" s="197" t="s">
        <v>1097</v>
      </c>
      <c r="C68" s="197" t="s">
        <v>976</v>
      </c>
      <c r="D68" s="197" t="s">
        <v>1390</v>
      </c>
      <c r="E68" s="197" t="s">
        <v>1600</v>
      </c>
      <c r="F68" s="197" t="s">
        <v>2280</v>
      </c>
    </row>
    <row r="69" spans="1:7">
      <c r="A69" s="198">
        <v>68</v>
      </c>
      <c r="B69" s="197" t="s">
        <v>1132</v>
      </c>
      <c r="C69" s="197" t="s">
        <v>1012</v>
      </c>
      <c r="D69" s="197" t="s">
        <v>1573</v>
      </c>
      <c r="E69" s="197" t="s">
        <v>1781</v>
      </c>
      <c r="F69" s="197" t="s">
        <v>2281</v>
      </c>
    </row>
    <row r="70" spans="1:7">
      <c r="A70" s="198">
        <v>69</v>
      </c>
      <c r="B70" s="197" t="s">
        <v>890</v>
      </c>
      <c r="C70" s="197" t="s">
        <v>727</v>
      </c>
      <c r="D70" s="197" t="s">
        <v>1664</v>
      </c>
      <c r="E70" s="197" t="s">
        <v>1602</v>
      </c>
      <c r="F70" s="197" t="s">
        <v>2282</v>
      </c>
      <c r="G70" s="197" t="s">
        <v>2489</v>
      </c>
    </row>
    <row r="71" spans="1:7">
      <c r="A71" s="198">
        <v>70</v>
      </c>
      <c r="B71" s="197" t="s">
        <v>875</v>
      </c>
      <c r="C71" s="197" t="s">
        <v>990</v>
      </c>
      <c r="D71" s="197" t="s">
        <v>1636</v>
      </c>
      <c r="E71" s="197" t="s">
        <v>1692</v>
      </c>
      <c r="F71" s="197" t="s">
        <v>2283</v>
      </c>
    </row>
    <row r="72" spans="1:7">
      <c r="A72" s="198">
        <v>71</v>
      </c>
      <c r="B72" s="197" t="s">
        <v>613</v>
      </c>
      <c r="C72" s="197" t="s">
        <v>1046</v>
      </c>
      <c r="D72" s="197" t="s">
        <v>1591</v>
      </c>
      <c r="E72" s="197" t="s">
        <v>1539</v>
      </c>
      <c r="F72" s="197" t="s">
        <v>2284</v>
      </c>
    </row>
    <row r="73" spans="1:7">
      <c r="A73" s="198">
        <v>72</v>
      </c>
      <c r="B73" s="197" t="s">
        <v>1127</v>
      </c>
      <c r="C73" s="197" t="s">
        <v>595</v>
      </c>
      <c r="D73" s="197" t="s">
        <v>1423</v>
      </c>
      <c r="E73" s="197" t="s">
        <v>1667</v>
      </c>
      <c r="F73" s="197" t="s">
        <v>2285</v>
      </c>
    </row>
    <row r="74" spans="1:7">
      <c r="A74" s="198">
        <v>73</v>
      </c>
      <c r="B74" s="197" t="s">
        <v>748</v>
      </c>
      <c r="C74" s="197" t="s">
        <v>703</v>
      </c>
      <c r="D74" s="197" t="s">
        <v>1552</v>
      </c>
      <c r="E74" s="197" t="s">
        <v>1501</v>
      </c>
      <c r="F74" s="197" t="s">
        <v>2286</v>
      </c>
    </row>
    <row r="75" spans="1:7">
      <c r="A75" s="198">
        <v>74</v>
      </c>
      <c r="B75" s="197" t="s">
        <v>1003</v>
      </c>
      <c r="C75" s="197" t="s">
        <v>1019</v>
      </c>
      <c r="D75" s="197" t="s">
        <v>1471</v>
      </c>
      <c r="E75" s="197" t="s">
        <v>1445</v>
      </c>
      <c r="F75" s="197" t="s">
        <v>2288</v>
      </c>
    </row>
    <row r="76" spans="1:7">
      <c r="A76" s="198">
        <v>75</v>
      </c>
      <c r="B76" s="197" t="s">
        <v>830</v>
      </c>
      <c r="C76" s="197" t="s">
        <v>737</v>
      </c>
      <c r="D76" s="197" t="s">
        <v>1677</v>
      </c>
      <c r="E76" s="197" t="s">
        <v>1642</v>
      </c>
      <c r="F76" s="197" t="s">
        <v>2289</v>
      </c>
    </row>
    <row r="77" spans="1:7">
      <c r="A77" s="198">
        <v>76</v>
      </c>
      <c r="B77" s="197" t="s">
        <v>958</v>
      </c>
      <c r="C77" s="197" t="s">
        <v>640</v>
      </c>
      <c r="D77" s="197" t="s">
        <v>1447</v>
      </c>
      <c r="E77" s="197" t="s">
        <v>1634</v>
      </c>
      <c r="F77" s="197" t="s">
        <v>2290</v>
      </c>
    </row>
    <row r="78" spans="1:7">
      <c r="A78" s="198">
        <v>77</v>
      </c>
      <c r="B78" s="197" t="s">
        <v>913</v>
      </c>
      <c r="C78" s="197" t="s">
        <v>1004</v>
      </c>
      <c r="D78" s="197" t="s">
        <v>1541</v>
      </c>
      <c r="E78" s="197" t="s">
        <v>1456</v>
      </c>
      <c r="F78" s="197" t="s">
        <v>2291</v>
      </c>
    </row>
    <row r="79" spans="1:7">
      <c r="A79" s="198">
        <v>78</v>
      </c>
      <c r="B79" s="197" t="s">
        <v>1041</v>
      </c>
      <c r="C79" s="197" t="s">
        <v>863</v>
      </c>
      <c r="D79" s="197" t="s">
        <v>1604</v>
      </c>
      <c r="E79" s="197" t="s">
        <v>1590</v>
      </c>
      <c r="F79" s="197" t="s">
        <v>2292</v>
      </c>
    </row>
    <row r="80" spans="1:7">
      <c r="A80" s="198">
        <v>79</v>
      </c>
      <c r="B80" s="197" t="s">
        <v>1085</v>
      </c>
      <c r="C80" s="197" t="s">
        <v>906</v>
      </c>
      <c r="D80" s="197" t="s">
        <v>1801</v>
      </c>
      <c r="E80" s="197" t="s">
        <v>1833</v>
      </c>
      <c r="F80" s="197" t="s">
        <v>2293</v>
      </c>
    </row>
    <row r="81" spans="1:7">
      <c r="A81" s="198">
        <v>80</v>
      </c>
      <c r="B81" s="197" t="s">
        <v>1073</v>
      </c>
      <c r="C81" s="197" t="s">
        <v>960</v>
      </c>
      <c r="D81" s="197" t="s">
        <v>1576</v>
      </c>
      <c r="E81" s="197" t="s">
        <v>1443</v>
      </c>
      <c r="F81" s="197" t="s">
        <v>2294</v>
      </c>
    </row>
    <row r="82" spans="1:7">
      <c r="A82" s="198">
        <v>81</v>
      </c>
      <c r="B82" s="197" t="s">
        <v>848</v>
      </c>
      <c r="C82" s="197" t="s">
        <v>954</v>
      </c>
      <c r="D82" s="197" t="s">
        <v>1575</v>
      </c>
      <c r="E82" s="197" t="s">
        <v>1508</v>
      </c>
      <c r="F82" s="197" t="s">
        <v>2295</v>
      </c>
    </row>
    <row r="83" spans="1:7">
      <c r="A83" s="198">
        <v>82</v>
      </c>
      <c r="B83" s="197" t="s">
        <v>773</v>
      </c>
      <c r="C83" s="197" t="s">
        <v>1058</v>
      </c>
      <c r="D83" s="197" t="s">
        <v>1210</v>
      </c>
      <c r="E83" s="197" t="s">
        <v>1514</v>
      </c>
      <c r="F83" s="197" t="s">
        <v>2298</v>
      </c>
    </row>
    <row r="84" spans="1:7">
      <c r="A84" s="198">
        <v>83</v>
      </c>
      <c r="B84" s="197" t="s">
        <v>1119</v>
      </c>
      <c r="C84" s="197" t="s">
        <v>1007</v>
      </c>
      <c r="D84" s="197" t="s">
        <v>1752</v>
      </c>
      <c r="E84" s="197" t="s">
        <v>1556</v>
      </c>
      <c r="F84" s="197" t="s">
        <v>2299</v>
      </c>
    </row>
    <row r="85" spans="1:7">
      <c r="A85" s="198">
        <v>84</v>
      </c>
      <c r="B85" s="197" t="s">
        <v>724</v>
      </c>
      <c r="C85" s="197" t="s">
        <v>1092</v>
      </c>
      <c r="D85" s="197" t="s">
        <v>1530</v>
      </c>
      <c r="E85" s="197" t="s">
        <v>1759</v>
      </c>
      <c r="F85" s="197" t="s">
        <v>2300</v>
      </c>
    </row>
    <row r="86" spans="1:7">
      <c r="A86" s="198">
        <v>85</v>
      </c>
      <c r="B86" s="197" t="s">
        <v>750</v>
      </c>
      <c r="C86" s="197" t="s">
        <v>826</v>
      </c>
      <c r="D86" s="197" t="s">
        <v>1609</v>
      </c>
      <c r="E86" s="197" t="s">
        <v>1742</v>
      </c>
      <c r="F86" s="197" t="s">
        <v>2301</v>
      </c>
    </row>
    <row r="87" spans="1:7">
      <c r="A87" s="198">
        <v>86</v>
      </c>
      <c r="B87" s="197" t="s">
        <v>1079</v>
      </c>
      <c r="C87" s="197" t="s">
        <v>1140</v>
      </c>
      <c r="D87" s="197" t="s">
        <v>1489</v>
      </c>
      <c r="E87" s="197" t="s">
        <v>1327</v>
      </c>
      <c r="F87" s="197" t="s">
        <v>2302</v>
      </c>
    </row>
    <row r="88" spans="1:7">
      <c r="A88" s="198">
        <v>87</v>
      </c>
      <c r="B88" s="197" t="s">
        <v>812</v>
      </c>
      <c r="C88" s="197" t="s">
        <v>733</v>
      </c>
      <c r="D88" s="197" t="s">
        <v>1418</v>
      </c>
      <c r="E88" s="197" t="s">
        <v>1422</v>
      </c>
      <c r="F88" s="197" t="s">
        <v>2303</v>
      </c>
    </row>
    <row r="89" spans="1:7">
      <c r="A89" s="198">
        <v>88</v>
      </c>
      <c r="B89" s="197" t="s">
        <v>853</v>
      </c>
      <c r="C89" s="197" t="s">
        <v>756</v>
      </c>
      <c r="D89" s="197" t="s">
        <v>1439</v>
      </c>
      <c r="E89" s="197" t="s">
        <v>1481</v>
      </c>
      <c r="F89" s="197" t="s">
        <v>2304</v>
      </c>
      <c r="G89" s="197" t="s">
        <v>2487</v>
      </c>
    </row>
    <row r="90" spans="1:7">
      <c r="A90" s="198">
        <v>89</v>
      </c>
      <c r="B90" s="197" t="s">
        <v>970</v>
      </c>
      <c r="C90" s="197" t="s">
        <v>945</v>
      </c>
      <c r="D90" s="197" t="s">
        <v>1581</v>
      </c>
      <c r="E90" s="197" t="s">
        <v>1711</v>
      </c>
      <c r="F90" s="197" t="s">
        <v>2305</v>
      </c>
      <c r="G90" s="197" t="s">
        <v>2490</v>
      </c>
    </row>
    <row r="91" spans="1:7">
      <c r="A91" s="198">
        <v>90</v>
      </c>
      <c r="B91" s="197" t="s">
        <v>624</v>
      </c>
      <c r="C91" s="197" t="s">
        <v>1047</v>
      </c>
      <c r="D91" s="197" t="s">
        <v>1695</v>
      </c>
      <c r="E91" s="197" t="s">
        <v>1458</v>
      </c>
      <c r="F91" s="197" t="s">
        <v>2307</v>
      </c>
    </row>
    <row r="92" spans="1:7">
      <c r="A92" s="198">
        <v>91</v>
      </c>
      <c r="B92" s="197" t="s">
        <v>1068</v>
      </c>
      <c r="C92" s="197" t="s">
        <v>798</v>
      </c>
      <c r="D92" s="197" t="s">
        <v>1503</v>
      </c>
      <c r="E92" s="197" t="s">
        <v>1578</v>
      </c>
      <c r="F92" s="197" t="s">
        <v>2308</v>
      </c>
    </row>
    <row r="93" spans="1:7">
      <c r="A93" s="198">
        <v>92</v>
      </c>
      <c r="B93" s="197" t="s">
        <v>1137</v>
      </c>
      <c r="C93" s="197" t="s">
        <v>696</v>
      </c>
      <c r="D93" s="197" t="s">
        <v>1287</v>
      </c>
      <c r="E93" s="197" t="s">
        <v>1521</v>
      </c>
      <c r="F93" s="197" t="s">
        <v>2309</v>
      </c>
    </row>
    <row r="94" spans="1:7">
      <c r="A94" s="198">
        <v>93</v>
      </c>
      <c r="B94" s="197" t="s">
        <v>1005</v>
      </c>
      <c r="C94" s="197" t="s">
        <v>1129</v>
      </c>
      <c r="D94" s="197" t="s">
        <v>1626</v>
      </c>
      <c r="E94" s="197" t="s">
        <v>1414</v>
      </c>
      <c r="F94" s="197" t="s">
        <v>2310</v>
      </c>
    </row>
    <row r="95" spans="1:7">
      <c r="A95" s="198">
        <v>94</v>
      </c>
      <c r="B95" s="197" t="s">
        <v>783</v>
      </c>
      <c r="C95" s="197" t="s">
        <v>897</v>
      </c>
      <c r="D95" s="197" t="s">
        <v>1462</v>
      </c>
      <c r="E95" s="197" t="s">
        <v>1516</v>
      </c>
      <c r="F95" s="197" t="s">
        <v>2311</v>
      </c>
      <c r="G95" s="197" t="s">
        <v>2487</v>
      </c>
    </row>
    <row r="96" spans="1:7">
      <c r="A96" s="198">
        <v>95</v>
      </c>
      <c r="B96" s="197" t="s">
        <v>594</v>
      </c>
      <c r="C96" s="197" t="s">
        <v>781</v>
      </c>
      <c r="D96" s="197" t="s">
        <v>1564</v>
      </c>
      <c r="E96" s="197" t="s">
        <v>1409</v>
      </c>
      <c r="F96" s="197" t="s">
        <v>2312</v>
      </c>
    </row>
    <row r="97" spans="1:7">
      <c r="A97" s="198">
        <v>96</v>
      </c>
      <c r="B97" s="197" t="s">
        <v>553</v>
      </c>
      <c r="C97" s="197" t="s">
        <v>823</v>
      </c>
      <c r="D97" s="197" t="s">
        <v>1505</v>
      </c>
      <c r="E97" s="197" t="s">
        <v>1571</v>
      </c>
      <c r="F97" s="197" t="s">
        <v>2313</v>
      </c>
    </row>
    <row r="98" spans="1:7">
      <c r="A98" s="198">
        <v>97</v>
      </c>
      <c r="B98" s="197" t="s">
        <v>565</v>
      </c>
      <c r="C98" s="197" t="s">
        <v>623</v>
      </c>
      <c r="D98" s="197" t="s">
        <v>1203</v>
      </c>
      <c r="E98" s="197" t="s">
        <v>1309</v>
      </c>
      <c r="F98" s="197" t="s">
        <v>2315</v>
      </c>
    </row>
    <row r="99" spans="1:7">
      <c r="A99" s="198">
        <v>98</v>
      </c>
      <c r="B99" s="197" t="s">
        <v>580</v>
      </c>
      <c r="C99" s="197" t="s">
        <v>652</v>
      </c>
      <c r="D99" s="197" t="s">
        <v>1320</v>
      </c>
      <c r="E99" s="197" t="s">
        <v>1440</v>
      </c>
      <c r="F99" s="197" t="s">
        <v>2316</v>
      </c>
    </row>
    <row r="100" spans="1:7">
      <c r="A100" s="198">
        <v>99</v>
      </c>
      <c r="B100" s="197" t="s">
        <v>645</v>
      </c>
      <c r="C100" s="197" t="s">
        <v>592</v>
      </c>
      <c r="D100" s="197" t="s">
        <v>1359</v>
      </c>
      <c r="E100" s="197" t="s">
        <v>1285</v>
      </c>
      <c r="F100" s="197" t="s">
        <v>2317</v>
      </c>
    </row>
    <row r="101" spans="1:7">
      <c r="A101" s="198">
        <v>100</v>
      </c>
      <c r="B101" s="197" t="s">
        <v>644</v>
      </c>
      <c r="C101" s="197" t="s">
        <v>641</v>
      </c>
      <c r="D101" s="197" t="s">
        <v>1222</v>
      </c>
      <c r="E101" s="197" t="s">
        <v>1322</v>
      </c>
      <c r="F101" s="197" t="s">
        <v>2318</v>
      </c>
    </row>
    <row r="102" spans="1:7">
      <c r="A102" s="198">
        <v>101</v>
      </c>
      <c r="B102" s="197" t="s">
        <v>1131</v>
      </c>
      <c r="C102" s="197" t="s">
        <v>659</v>
      </c>
      <c r="D102" s="197" t="s">
        <v>1175</v>
      </c>
      <c r="E102" s="197" t="s">
        <v>1242</v>
      </c>
      <c r="F102" s="197" t="s">
        <v>2320</v>
      </c>
    </row>
    <row r="103" spans="1:7">
      <c r="A103" s="198">
        <v>102</v>
      </c>
      <c r="B103" s="197" t="s">
        <v>1115</v>
      </c>
      <c r="C103" s="197" t="s">
        <v>572</v>
      </c>
      <c r="D103" s="197" t="s">
        <v>1226</v>
      </c>
      <c r="E103" s="197" t="s">
        <v>1158</v>
      </c>
      <c r="F103" s="197" t="s">
        <v>2321</v>
      </c>
    </row>
    <row r="104" spans="1:7">
      <c r="A104" s="198">
        <v>103</v>
      </c>
      <c r="B104" s="197" t="s">
        <v>647</v>
      </c>
      <c r="C104" s="197" t="s">
        <v>711</v>
      </c>
      <c r="D104" s="197" t="s">
        <v>1358</v>
      </c>
      <c r="E104" s="197" t="s">
        <v>1181</v>
      </c>
      <c r="F104" s="197" t="s">
        <v>2322</v>
      </c>
    </row>
    <row r="105" spans="1:7">
      <c r="A105" s="198">
        <v>104</v>
      </c>
      <c r="B105" s="197" t="s">
        <v>666</v>
      </c>
      <c r="C105" s="197" t="s">
        <v>564</v>
      </c>
      <c r="D105" s="197" t="s">
        <v>1244</v>
      </c>
      <c r="E105" s="197" t="s">
        <v>1169</v>
      </c>
      <c r="F105" s="197" t="s">
        <v>2323</v>
      </c>
    </row>
    <row r="106" spans="1:7">
      <c r="A106" s="198">
        <v>105</v>
      </c>
      <c r="B106" s="197" t="s">
        <v>601</v>
      </c>
      <c r="C106" s="197" t="s">
        <v>593</v>
      </c>
      <c r="D106" s="197" t="s">
        <v>1189</v>
      </c>
      <c r="E106" s="197" t="s">
        <v>1321</v>
      </c>
      <c r="F106" s="197" t="s">
        <v>2324</v>
      </c>
    </row>
    <row r="107" spans="1:7">
      <c r="A107" s="198">
        <v>106</v>
      </c>
      <c r="B107" s="197" t="s">
        <v>548</v>
      </c>
      <c r="C107" s="197" t="s">
        <v>551</v>
      </c>
      <c r="D107" s="197" t="s">
        <v>1312</v>
      </c>
      <c r="E107" s="197" t="s">
        <v>1213</v>
      </c>
      <c r="F107" s="197" t="s">
        <v>2325</v>
      </c>
    </row>
    <row r="108" spans="1:7">
      <c r="A108" s="198">
        <v>107</v>
      </c>
      <c r="B108" s="197" t="s">
        <v>631</v>
      </c>
      <c r="C108" s="197" t="s">
        <v>567</v>
      </c>
      <c r="D108" s="197" t="s">
        <v>1374</v>
      </c>
      <c r="E108" s="197" t="s">
        <v>1362</v>
      </c>
      <c r="F108" s="197" t="s">
        <v>2326</v>
      </c>
    </row>
    <row r="109" spans="1:7">
      <c r="A109" s="198">
        <v>108</v>
      </c>
      <c r="B109" s="197" t="s">
        <v>632</v>
      </c>
      <c r="C109" s="197" t="s">
        <v>1133</v>
      </c>
      <c r="D109" s="197" t="s">
        <v>1205</v>
      </c>
      <c r="E109" s="197" t="s">
        <v>1167</v>
      </c>
      <c r="F109" s="197" t="s">
        <v>2327</v>
      </c>
    </row>
    <row r="110" spans="1:7">
      <c r="A110" s="198">
        <v>109</v>
      </c>
      <c r="B110" s="113" t="s">
        <v>1108</v>
      </c>
      <c r="C110" s="113" t="s">
        <v>589</v>
      </c>
      <c r="D110" s="113" t="s">
        <v>1163</v>
      </c>
      <c r="E110" s="113" t="s">
        <v>1346</v>
      </c>
      <c r="F110" s="197" t="s">
        <v>2329</v>
      </c>
      <c r="G110" s="197" t="s">
        <v>2544</v>
      </c>
    </row>
    <row r="111" spans="1:7">
      <c r="A111" s="198">
        <v>110</v>
      </c>
      <c r="B111" s="113" t="s">
        <v>2495</v>
      </c>
      <c r="C111" s="197" t="s">
        <v>679</v>
      </c>
      <c r="D111" s="197" t="s">
        <v>1168</v>
      </c>
      <c r="E111" s="197" t="s">
        <v>1308</v>
      </c>
      <c r="F111" s="197" t="s">
        <v>2330</v>
      </c>
    </row>
    <row r="112" spans="1:7">
      <c r="A112" s="198">
        <v>111</v>
      </c>
      <c r="B112" s="197" t="s">
        <v>654</v>
      </c>
      <c r="C112" s="197" t="s">
        <v>636</v>
      </c>
      <c r="D112" s="197" t="s">
        <v>1355</v>
      </c>
      <c r="E112" s="197" t="s">
        <v>1219</v>
      </c>
      <c r="F112" s="197" t="s">
        <v>2331</v>
      </c>
    </row>
    <row r="113" spans="1:7">
      <c r="A113" s="198">
        <v>112</v>
      </c>
      <c r="B113" s="197" t="s">
        <v>611</v>
      </c>
      <c r="C113" s="197" t="s">
        <v>1100</v>
      </c>
      <c r="D113" s="197" t="s">
        <v>1198</v>
      </c>
      <c r="E113" s="197" t="s">
        <v>1151</v>
      </c>
      <c r="F113" s="197" t="s">
        <v>2332</v>
      </c>
    </row>
    <row r="114" spans="1:7">
      <c r="A114" s="198">
        <v>113</v>
      </c>
      <c r="B114" s="197" t="s">
        <v>563</v>
      </c>
      <c r="C114" s="197" t="s">
        <v>713</v>
      </c>
      <c r="D114" s="197" t="s">
        <v>1281</v>
      </c>
      <c r="E114" s="197" t="s">
        <v>1326</v>
      </c>
      <c r="F114" s="197" t="s">
        <v>2333</v>
      </c>
    </row>
    <row r="115" spans="1:7">
      <c r="A115" s="198">
        <v>114</v>
      </c>
      <c r="B115" s="197" t="s">
        <v>1104</v>
      </c>
      <c r="C115" s="197" t="s">
        <v>539</v>
      </c>
      <c r="D115" s="197" t="s">
        <v>1161</v>
      </c>
      <c r="E115" s="197" t="s">
        <v>1247</v>
      </c>
      <c r="F115" s="197" t="s">
        <v>2334</v>
      </c>
    </row>
    <row r="116" spans="1:7">
      <c r="A116" s="198">
        <v>115</v>
      </c>
      <c r="B116" s="197" t="s">
        <v>619</v>
      </c>
      <c r="C116" s="197" t="s">
        <v>588</v>
      </c>
      <c r="D116" s="197" t="s">
        <v>1272</v>
      </c>
      <c r="E116" s="197" t="s">
        <v>1357</v>
      </c>
      <c r="F116" s="197" t="s">
        <v>2335</v>
      </c>
    </row>
    <row r="117" spans="1:7">
      <c r="A117" s="198">
        <v>116</v>
      </c>
      <c r="B117" s="197" t="s">
        <v>661</v>
      </c>
      <c r="C117" s="197" t="s">
        <v>682</v>
      </c>
      <c r="D117" s="197" t="s">
        <v>1487</v>
      </c>
      <c r="E117" s="197" t="s">
        <v>1153</v>
      </c>
      <c r="F117" s="197" t="s">
        <v>2336</v>
      </c>
    </row>
    <row r="118" spans="1:7">
      <c r="A118" s="198">
        <v>117</v>
      </c>
      <c r="B118" s="197" t="s">
        <v>576</v>
      </c>
      <c r="C118" s="197" t="s">
        <v>630</v>
      </c>
      <c r="D118" s="197" t="s">
        <v>1149</v>
      </c>
      <c r="E118" s="197" t="s">
        <v>1261</v>
      </c>
      <c r="F118" s="197" t="s">
        <v>2337</v>
      </c>
    </row>
    <row r="119" spans="1:7">
      <c r="A119" s="198">
        <v>118</v>
      </c>
      <c r="B119" s="197" t="s">
        <v>597</v>
      </c>
      <c r="C119" s="197" t="s">
        <v>646</v>
      </c>
      <c r="D119" s="197" t="s">
        <v>1259</v>
      </c>
      <c r="E119" s="197" t="s">
        <v>1369</v>
      </c>
      <c r="F119" s="197" t="s">
        <v>2338</v>
      </c>
    </row>
    <row r="120" spans="1:7">
      <c r="A120" s="198">
        <v>119</v>
      </c>
      <c r="B120" s="197" t="s">
        <v>615</v>
      </c>
      <c r="C120" s="197" t="s">
        <v>557</v>
      </c>
      <c r="D120" s="197" t="s">
        <v>1248</v>
      </c>
      <c r="E120" s="197" t="s">
        <v>1393</v>
      </c>
      <c r="F120" s="197" t="s">
        <v>2339</v>
      </c>
    </row>
    <row r="121" spans="1:7">
      <c r="A121" s="198">
        <v>120</v>
      </c>
      <c r="B121" s="197" t="s">
        <v>547</v>
      </c>
      <c r="C121" s="197" t="s">
        <v>687</v>
      </c>
      <c r="D121" s="197" t="s">
        <v>1352</v>
      </c>
      <c r="E121" s="197" t="s">
        <v>1292</v>
      </c>
      <c r="F121" s="197" t="s">
        <v>2340</v>
      </c>
    </row>
    <row r="122" spans="1:7">
      <c r="A122" s="198">
        <v>121</v>
      </c>
      <c r="B122" s="197" t="s">
        <v>577</v>
      </c>
      <c r="C122" s="197" t="s">
        <v>609</v>
      </c>
      <c r="D122" s="197" t="s">
        <v>1225</v>
      </c>
      <c r="E122" s="197" t="s">
        <v>1384</v>
      </c>
      <c r="F122" s="197" t="s">
        <v>2341</v>
      </c>
    </row>
    <row r="123" spans="1:7">
      <c r="A123" s="198">
        <v>122</v>
      </c>
      <c r="B123" s="197" t="s">
        <v>712</v>
      </c>
      <c r="C123" s="197" t="s">
        <v>1130</v>
      </c>
      <c r="D123" s="197" t="s">
        <v>1211</v>
      </c>
      <c r="E123" s="197" t="s">
        <v>1190</v>
      </c>
      <c r="F123" s="197" t="s">
        <v>2342</v>
      </c>
    </row>
    <row r="124" spans="1:7">
      <c r="A124" s="198">
        <v>123</v>
      </c>
      <c r="B124" s="197" t="s">
        <v>675</v>
      </c>
      <c r="C124" s="197" t="s">
        <v>566</v>
      </c>
      <c r="D124" s="197" t="s">
        <v>1155</v>
      </c>
      <c r="E124" s="197" t="s">
        <v>1356</v>
      </c>
      <c r="F124" s="197" t="s">
        <v>2343</v>
      </c>
    </row>
    <row r="125" spans="1:7">
      <c r="A125" s="198">
        <v>124</v>
      </c>
      <c r="B125" s="197" t="s">
        <v>670</v>
      </c>
      <c r="C125" s="197" t="s">
        <v>1102</v>
      </c>
      <c r="D125" s="197" t="s">
        <v>1368</v>
      </c>
      <c r="E125" s="197" t="s">
        <v>1183</v>
      </c>
      <c r="F125" s="197" t="s">
        <v>2345</v>
      </c>
    </row>
    <row r="126" spans="1:7">
      <c r="A126" s="198">
        <v>125</v>
      </c>
      <c r="B126" s="197" t="s">
        <v>655</v>
      </c>
      <c r="C126" s="197" t="s">
        <v>581</v>
      </c>
      <c r="D126" s="197" t="s">
        <v>1310</v>
      </c>
      <c r="E126" s="197" t="s">
        <v>1257</v>
      </c>
      <c r="F126" s="197" t="s">
        <v>2346</v>
      </c>
    </row>
    <row r="127" spans="1:7">
      <c r="A127" s="198">
        <v>126</v>
      </c>
      <c r="B127" s="197" t="s">
        <v>1086</v>
      </c>
      <c r="C127" s="197" t="s">
        <v>579</v>
      </c>
      <c r="D127" s="197" t="s">
        <v>1209</v>
      </c>
      <c r="E127" s="197" t="s">
        <v>1301</v>
      </c>
      <c r="F127" s="197" t="s">
        <v>2347</v>
      </c>
      <c r="G127" s="197" t="s">
        <v>2502</v>
      </c>
    </row>
    <row r="128" spans="1:7">
      <c r="A128" s="198">
        <v>127</v>
      </c>
      <c r="B128" s="197" t="s">
        <v>717</v>
      </c>
      <c r="C128" s="197" t="s">
        <v>635</v>
      </c>
      <c r="D128" s="197" t="s">
        <v>1363</v>
      </c>
      <c r="E128" s="197" t="s">
        <v>1152</v>
      </c>
      <c r="F128" s="197" t="s">
        <v>2348</v>
      </c>
    </row>
    <row r="129" spans="1:7">
      <c r="A129" s="198">
        <v>128</v>
      </c>
      <c r="B129" s="197" t="s">
        <v>723</v>
      </c>
      <c r="C129" s="197" t="s">
        <v>587</v>
      </c>
      <c r="D129" s="197" t="s">
        <v>1217</v>
      </c>
      <c r="E129" s="197" t="s">
        <v>1216</v>
      </c>
      <c r="F129" s="197" t="s">
        <v>2349</v>
      </c>
    </row>
    <row r="130" spans="1:7">
      <c r="A130" s="198">
        <v>129</v>
      </c>
      <c r="B130" s="197" t="s">
        <v>621</v>
      </c>
      <c r="C130" s="197" t="s">
        <v>1095</v>
      </c>
      <c r="D130" s="197" t="s">
        <v>1162</v>
      </c>
      <c r="E130" s="197" t="s">
        <v>1231</v>
      </c>
      <c r="F130" s="197" t="s">
        <v>2350</v>
      </c>
    </row>
    <row r="131" spans="1:7">
      <c r="A131" s="198">
        <v>130</v>
      </c>
      <c r="B131" s="197" t="s">
        <v>708</v>
      </c>
      <c r="C131" s="197" t="s">
        <v>556</v>
      </c>
      <c r="D131" s="197" t="s">
        <v>1342</v>
      </c>
      <c r="E131" s="197" t="s">
        <v>1220</v>
      </c>
      <c r="F131" s="197" t="s">
        <v>2351</v>
      </c>
    </row>
    <row r="132" spans="1:7">
      <c r="A132" s="198">
        <v>131</v>
      </c>
      <c r="B132" s="197" t="s">
        <v>549</v>
      </c>
      <c r="C132" s="197" t="s">
        <v>665</v>
      </c>
      <c r="D132" s="197" t="s">
        <v>1282</v>
      </c>
      <c r="E132" s="197" t="s">
        <v>1304</v>
      </c>
      <c r="F132" s="197" t="s">
        <v>2352</v>
      </c>
    </row>
    <row r="133" spans="1:7">
      <c r="A133" s="198">
        <v>132</v>
      </c>
      <c r="B133" s="197" t="s">
        <v>664</v>
      </c>
      <c r="C133" s="197" t="s">
        <v>605</v>
      </c>
      <c r="D133" s="197" t="s">
        <v>1271</v>
      </c>
      <c r="E133" s="197" t="s">
        <v>1325</v>
      </c>
      <c r="F133" s="197" t="s">
        <v>2353</v>
      </c>
    </row>
    <row r="134" spans="1:7">
      <c r="A134" s="198">
        <v>133</v>
      </c>
      <c r="B134" s="197" t="s">
        <v>544</v>
      </c>
      <c r="C134" s="197" t="s">
        <v>617</v>
      </c>
      <c r="D134" s="197" t="s">
        <v>1251</v>
      </c>
      <c r="E134" s="197" t="s">
        <v>1204</v>
      </c>
      <c r="F134" s="197" t="s">
        <v>2354</v>
      </c>
    </row>
    <row r="135" spans="1:7">
      <c r="A135" s="198">
        <v>134</v>
      </c>
      <c r="B135" s="197" t="s">
        <v>674</v>
      </c>
      <c r="C135" s="197" t="s">
        <v>541</v>
      </c>
      <c r="D135" s="197" t="s">
        <v>1230</v>
      </c>
      <c r="E135" s="197" t="s">
        <v>1294</v>
      </c>
      <c r="F135" s="197" t="s">
        <v>2355</v>
      </c>
    </row>
    <row r="136" spans="1:7">
      <c r="A136" s="198">
        <v>135</v>
      </c>
      <c r="B136" s="197" t="s">
        <v>545</v>
      </c>
      <c r="C136" s="197" t="s">
        <v>709</v>
      </c>
      <c r="D136" s="197" t="s">
        <v>1208</v>
      </c>
      <c r="E136" s="197" t="s">
        <v>1305</v>
      </c>
      <c r="F136" s="197" t="s">
        <v>2356</v>
      </c>
    </row>
    <row r="137" spans="1:7">
      <c r="A137" s="198">
        <v>136</v>
      </c>
      <c r="B137" s="197" t="s">
        <v>598</v>
      </c>
      <c r="C137" s="197" t="s">
        <v>667</v>
      </c>
      <c r="D137" s="197" t="s">
        <v>1303</v>
      </c>
      <c r="E137" s="197" t="s">
        <v>1218</v>
      </c>
      <c r="F137" s="197" t="s">
        <v>2357</v>
      </c>
    </row>
    <row r="138" spans="1:7">
      <c r="A138" s="198">
        <v>137</v>
      </c>
      <c r="B138" s="197" t="s">
        <v>658</v>
      </c>
      <c r="C138" s="197" t="s">
        <v>1107</v>
      </c>
      <c r="D138" s="197" t="s">
        <v>1193</v>
      </c>
      <c r="E138" s="197" t="s">
        <v>1245</v>
      </c>
      <c r="F138" s="197" t="s">
        <v>2358</v>
      </c>
    </row>
    <row r="139" spans="1:7">
      <c r="A139" s="198">
        <v>138</v>
      </c>
      <c r="B139" s="197" t="s">
        <v>1120</v>
      </c>
      <c r="C139" s="197" t="s">
        <v>715</v>
      </c>
      <c r="D139" s="197" t="s">
        <v>1427</v>
      </c>
      <c r="E139" s="197" t="s">
        <v>1235</v>
      </c>
      <c r="F139" s="197" t="s">
        <v>2359</v>
      </c>
    </row>
    <row r="140" spans="1:7">
      <c r="A140" s="198">
        <v>139</v>
      </c>
      <c r="B140" s="197" t="s">
        <v>603</v>
      </c>
      <c r="C140" s="197" t="s">
        <v>578</v>
      </c>
      <c r="D140" s="197" t="s">
        <v>1170</v>
      </c>
      <c r="E140" s="197" t="s">
        <v>1252</v>
      </c>
      <c r="F140" s="197" t="s">
        <v>2360</v>
      </c>
    </row>
    <row r="141" spans="1:7">
      <c r="A141" s="198">
        <v>140</v>
      </c>
      <c r="B141" s="197" t="s">
        <v>582</v>
      </c>
      <c r="C141" s="197" t="s">
        <v>606</v>
      </c>
      <c r="D141" s="197" t="s">
        <v>1344</v>
      </c>
      <c r="E141" s="197" t="s">
        <v>1263</v>
      </c>
      <c r="F141" s="197" t="s">
        <v>2362</v>
      </c>
    </row>
    <row r="142" spans="1:7">
      <c r="A142" s="198">
        <v>141</v>
      </c>
      <c r="B142" s="197" t="s">
        <v>676</v>
      </c>
      <c r="C142" s="197" t="s">
        <v>560</v>
      </c>
      <c r="D142" s="197" t="s">
        <v>1275</v>
      </c>
      <c r="E142" s="197" t="s">
        <v>1150</v>
      </c>
      <c r="F142" s="197" t="s">
        <v>2363</v>
      </c>
    </row>
    <row r="143" spans="1:7">
      <c r="A143" s="198">
        <v>142</v>
      </c>
      <c r="B143" s="197" t="s">
        <v>638</v>
      </c>
      <c r="C143" s="197" t="s">
        <v>681</v>
      </c>
      <c r="D143" s="197" t="s">
        <v>1200</v>
      </c>
      <c r="E143" s="197" t="s">
        <v>1233</v>
      </c>
      <c r="F143" s="197" t="s">
        <v>2364</v>
      </c>
      <c r="G143" s="197" t="s">
        <v>2543</v>
      </c>
    </row>
    <row r="144" spans="1:7">
      <c r="A144" s="198">
        <v>143</v>
      </c>
      <c r="B144" s="197" t="s">
        <v>574</v>
      </c>
      <c r="C144" s="197" t="s">
        <v>685</v>
      </c>
      <c r="D144" s="197" t="s">
        <v>1353</v>
      </c>
      <c r="E144" s="197" t="s">
        <v>1214</v>
      </c>
      <c r="F144" s="197" t="s">
        <v>2365</v>
      </c>
    </row>
    <row r="145" spans="1:7">
      <c r="A145" s="198">
        <v>144</v>
      </c>
      <c r="B145" s="197" t="s">
        <v>1126</v>
      </c>
      <c r="C145" s="197" t="s">
        <v>570</v>
      </c>
      <c r="D145" s="197" t="s">
        <v>1156</v>
      </c>
      <c r="E145" s="197" t="s">
        <v>1266</v>
      </c>
      <c r="F145" s="197" t="s">
        <v>2366</v>
      </c>
    </row>
    <row r="146" spans="1:7">
      <c r="A146" s="198">
        <v>145</v>
      </c>
      <c r="B146" s="197" t="s">
        <v>1101</v>
      </c>
      <c r="C146" s="197" t="s">
        <v>1114</v>
      </c>
      <c r="D146" s="197" t="s">
        <v>1397</v>
      </c>
      <c r="E146" s="197" t="s">
        <v>1148</v>
      </c>
      <c r="F146" s="197" t="s">
        <v>2367</v>
      </c>
    </row>
    <row r="147" spans="1:7">
      <c r="A147" s="198">
        <v>146</v>
      </c>
      <c r="B147" s="197" t="s">
        <v>673</v>
      </c>
      <c r="C147" s="197" t="s">
        <v>649</v>
      </c>
      <c r="D147" s="197" t="s">
        <v>1288</v>
      </c>
      <c r="E147" s="197" t="s">
        <v>1361</v>
      </c>
      <c r="F147" s="197" t="s">
        <v>2368</v>
      </c>
    </row>
    <row r="148" spans="1:7">
      <c r="A148" s="198">
        <v>147</v>
      </c>
      <c r="B148" s="197" t="s">
        <v>559</v>
      </c>
      <c r="C148" s="197" t="s">
        <v>568</v>
      </c>
      <c r="D148" s="197" t="s">
        <v>1172</v>
      </c>
      <c r="E148" s="197" t="s">
        <v>1372</v>
      </c>
      <c r="F148" s="197" t="s">
        <v>2369</v>
      </c>
    </row>
    <row r="149" spans="1:7">
      <c r="A149" s="198">
        <v>148</v>
      </c>
      <c r="B149" s="197" t="s">
        <v>1121</v>
      </c>
      <c r="C149" s="197" t="s">
        <v>669</v>
      </c>
      <c r="D149" s="197" t="s">
        <v>1243</v>
      </c>
      <c r="E149" s="197" t="s">
        <v>1215</v>
      </c>
      <c r="F149" s="197" t="s">
        <v>2370</v>
      </c>
    </row>
    <row r="150" spans="1:7">
      <c r="A150" s="198">
        <v>149</v>
      </c>
      <c r="B150" s="197" t="s">
        <v>608</v>
      </c>
      <c r="C150" s="197" t="s">
        <v>596</v>
      </c>
      <c r="D150" s="197" t="s">
        <v>1354</v>
      </c>
      <c r="E150" s="197" t="s">
        <v>1317</v>
      </c>
      <c r="F150" s="197" t="s">
        <v>2371</v>
      </c>
    </row>
    <row r="151" spans="1:7">
      <c r="A151" s="198">
        <v>150</v>
      </c>
      <c r="B151" s="197" t="s">
        <v>569</v>
      </c>
      <c r="C151" s="197" t="s">
        <v>1134</v>
      </c>
      <c r="D151" s="197" t="s">
        <v>1249</v>
      </c>
      <c r="E151" s="197" t="s">
        <v>1392</v>
      </c>
      <c r="F151" s="197" t="s">
        <v>2372</v>
      </c>
    </row>
    <row r="152" spans="1:7">
      <c r="A152" s="198">
        <v>151</v>
      </c>
      <c r="B152" s="197" t="s">
        <v>637</v>
      </c>
      <c r="C152" s="197" t="s">
        <v>694</v>
      </c>
      <c r="D152" s="197" t="s">
        <v>1403</v>
      </c>
      <c r="E152" s="197" t="s">
        <v>1483</v>
      </c>
      <c r="F152" s="197" t="s">
        <v>2373</v>
      </c>
    </row>
    <row r="153" spans="1:7">
      <c r="A153" s="198">
        <v>152</v>
      </c>
      <c r="B153" s="197" t="s">
        <v>562</v>
      </c>
      <c r="C153" s="197" t="s">
        <v>550</v>
      </c>
      <c r="D153" s="197" t="s">
        <v>1306</v>
      </c>
      <c r="E153" s="197" t="s">
        <v>1197</v>
      </c>
      <c r="F153" s="197" t="s">
        <v>2374</v>
      </c>
    </row>
    <row r="154" spans="1:7">
      <c r="A154" s="198">
        <v>153</v>
      </c>
      <c r="B154" s="197" t="s">
        <v>701</v>
      </c>
      <c r="C154" s="197" t="s">
        <v>662</v>
      </c>
      <c r="D154" s="197" t="s">
        <v>1165</v>
      </c>
      <c r="E154" s="197" t="s">
        <v>1250</v>
      </c>
      <c r="F154" s="197" t="s">
        <v>2376</v>
      </c>
    </row>
    <row r="155" spans="1:7">
      <c r="A155" s="198">
        <v>154</v>
      </c>
      <c r="B155" s="197" t="s">
        <v>656</v>
      </c>
      <c r="C155" s="197" t="s">
        <v>648</v>
      </c>
      <c r="D155" s="197" t="s">
        <v>1366</v>
      </c>
      <c r="E155" s="197" t="s">
        <v>1375</v>
      </c>
      <c r="F155" s="197" t="s">
        <v>2377</v>
      </c>
    </row>
    <row r="156" spans="1:7">
      <c r="A156" s="198">
        <v>155</v>
      </c>
      <c r="B156" s="197" t="s">
        <v>585</v>
      </c>
      <c r="C156" s="197" t="s">
        <v>657</v>
      </c>
      <c r="D156" s="197" t="s">
        <v>1223</v>
      </c>
      <c r="E156" s="197" t="s">
        <v>1191</v>
      </c>
      <c r="F156" s="197" t="s">
        <v>2378</v>
      </c>
    </row>
    <row r="157" spans="1:7">
      <c r="A157" s="198">
        <v>156</v>
      </c>
      <c r="B157" s="197" t="s">
        <v>677</v>
      </c>
      <c r="C157" s="197" t="s">
        <v>543</v>
      </c>
      <c r="D157" s="197" t="s">
        <v>1383</v>
      </c>
      <c r="E157" s="197" t="s">
        <v>1396</v>
      </c>
      <c r="F157" s="197" t="s">
        <v>2379</v>
      </c>
    </row>
    <row r="158" spans="1:7">
      <c r="A158" s="198">
        <v>157</v>
      </c>
      <c r="B158" s="197" t="s">
        <v>1106</v>
      </c>
      <c r="C158" s="197" t="s">
        <v>1111</v>
      </c>
      <c r="D158" s="197" t="s">
        <v>1273</v>
      </c>
      <c r="E158" s="197" t="s">
        <v>1160</v>
      </c>
      <c r="F158" s="197" t="s">
        <v>2381</v>
      </c>
    </row>
    <row r="159" spans="1:7">
      <c r="A159" s="198">
        <v>158</v>
      </c>
      <c r="B159" s="197" t="s">
        <v>571</v>
      </c>
      <c r="C159" s="197" t="s">
        <v>1125</v>
      </c>
      <c r="D159" s="197" t="s">
        <v>1166</v>
      </c>
      <c r="E159" s="197" t="s">
        <v>1474</v>
      </c>
      <c r="F159" s="197" t="s">
        <v>2382</v>
      </c>
    </row>
    <row r="160" spans="1:7">
      <c r="A160" s="198">
        <v>159</v>
      </c>
      <c r="B160" s="197" t="s">
        <v>702</v>
      </c>
      <c r="C160" s="197" t="s">
        <v>642</v>
      </c>
      <c r="D160" s="197" t="s">
        <v>1319</v>
      </c>
      <c r="E160" s="197" t="s">
        <v>1221</v>
      </c>
      <c r="F160" s="197" t="s">
        <v>2383</v>
      </c>
      <c r="G160" s="197" t="s">
        <v>2487</v>
      </c>
    </row>
    <row r="161" spans="1:7">
      <c r="A161" s="198">
        <v>160</v>
      </c>
      <c r="B161" s="197" t="s">
        <v>680</v>
      </c>
      <c r="C161" s="197" t="s">
        <v>720</v>
      </c>
      <c r="D161" s="197" t="s">
        <v>1174</v>
      </c>
      <c r="E161" s="197" t="s">
        <v>1241</v>
      </c>
      <c r="F161" s="197" t="s">
        <v>2384</v>
      </c>
    </row>
    <row r="162" spans="1:7">
      <c r="A162" s="198">
        <v>161</v>
      </c>
      <c r="B162" s="197" t="s">
        <v>888</v>
      </c>
      <c r="C162" s="197" t="s">
        <v>1017</v>
      </c>
      <c r="D162" s="197" t="s">
        <v>1699</v>
      </c>
      <c r="E162" s="197" t="s">
        <v>1798</v>
      </c>
      <c r="F162" s="197" t="s">
        <v>2386</v>
      </c>
      <c r="G162" s="197" t="s">
        <v>2542</v>
      </c>
    </row>
    <row r="163" spans="1:7">
      <c r="A163" s="198">
        <v>162</v>
      </c>
      <c r="B163" s="197" t="s">
        <v>856</v>
      </c>
      <c r="C163" s="197" t="s">
        <v>939</v>
      </c>
      <c r="D163" s="197" t="s">
        <v>1608</v>
      </c>
      <c r="E163" s="199" t="s">
        <v>1665</v>
      </c>
      <c r="F163" s="197" t="s">
        <v>2387</v>
      </c>
    </row>
    <row r="164" spans="1:7">
      <c r="A164" s="198">
        <v>163</v>
      </c>
      <c r="B164" s="197" t="s">
        <v>800</v>
      </c>
      <c r="C164" s="197" t="s">
        <v>1045</v>
      </c>
      <c r="D164" s="197" t="s">
        <v>1307</v>
      </c>
      <c r="E164" s="197" t="s">
        <v>1848</v>
      </c>
      <c r="F164" s="197" t="s">
        <v>2388</v>
      </c>
    </row>
    <row r="165" spans="1:7">
      <c r="A165" s="198">
        <v>164</v>
      </c>
      <c r="B165" s="197" t="s">
        <v>877</v>
      </c>
      <c r="C165" s="197" t="s">
        <v>824</v>
      </c>
      <c r="D165" s="197" t="s">
        <v>1660</v>
      </c>
      <c r="E165" s="197" t="s">
        <v>1364</v>
      </c>
      <c r="F165" s="197" t="s">
        <v>2389</v>
      </c>
    </row>
    <row r="166" spans="1:7">
      <c r="A166" s="198">
        <v>165</v>
      </c>
      <c r="B166" s="197" t="s">
        <v>730</v>
      </c>
      <c r="C166" s="197" t="s">
        <v>810</v>
      </c>
      <c r="D166" s="197" t="s">
        <v>1240</v>
      </c>
      <c r="E166" s="197" t="s">
        <v>1682</v>
      </c>
      <c r="F166" s="197" t="s">
        <v>2390</v>
      </c>
    </row>
    <row r="167" spans="1:7">
      <c r="A167" s="198">
        <v>166</v>
      </c>
      <c r="B167" s="197" t="s">
        <v>882</v>
      </c>
      <c r="C167" s="197" t="s">
        <v>854</v>
      </c>
      <c r="D167" s="197" t="s">
        <v>1763</v>
      </c>
      <c r="E167" s="197" t="s">
        <v>1716</v>
      </c>
      <c r="F167" s="197" t="s">
        <v>2391</v>
      </c>
    </row>
    <row r="168" spans="1:7">
      <c r="A168" s="198">
        <v>167</v>
      </c>
      <c r="B168" s="197" t="s">
        <v>926</v>
      </c>
      <c r="C168" s="197" t="s">
        <v>886</v>
      </c>
      <c r="D168" s="197" t="s">
        <v>1607</v>
      </c>
      <c r="E168" s="197" t="s">
        <v>1621</v>
      </c>
      <c r="F168" s="197" t="s">
        <v>2393</v>
      </c>
    </row>
    <row r="169" spans="1:7">
      <c r="A169" s="198">
        <v>168</v>
      </c>
      <c r="B169" s="197" t="s">
        <v>819</v>
      </c>
      <c r="C169" s="197" t="s">
        <v>607</v>
      </c>
      <c r="D169" s="197" t="s">
        <v>1370</v>
      </c>
      <c r="E169" s="197" t="s">
        <v>1589</v>
      </c>
      <c r="F169" s="197" t="s">
        <v>2394</v>
      </c>
    </row>
    <row r="170" spans="1:7">
      <c r="A170" s="198">
        <v>169</v>
      </c>
      <c r="B170" s="197" t="s">
        <v>738</v>
      </c>
      <c r="C170" s="197" t="s">
        <v>688</v>
      </c>
      <c r="D170" s="197" t="s">
        <v>1554</v>
      </c>
      <c r="E170" s="197" t="s">
        <v>1625</v>
      </c>
      <c r="F170" s="197" t="s">
        <v>2395</v>
      </c>
    </row>
    <row r="171" spans="1:7">
      <c r="A171" s="198">
        <v>170</v>
      </c>
      <c r="B171" s="197" t="s">
        <v>558</v>
      </c>
      <c r="C171" s="197" t="s">
        <v>811</v>
      </c>
      <c r="D171" s="197" t="s">
        <v>1376</v>
      </c>
      <c r="E171" s="197" t="s">
        <v>1617</v>
      </c>
      <c r="F171" s="197" t="s">
        <v>2396</v>
      </c>
    </row>
    <row r="172" spans="1:7">
      <c r="A172" s="198">
        <v>171</v>
      </c>
      <c r="B172" s="197" t="s">
        <v>690</v>
      </c>
      <c r="C172" s="197" t="s">
        <v>583</v>
      </c>
      <c r="D172" s="197" t="s">
        <v>1546</v>
      </c>
      <c r="E172" s="197" t="s">
        <v>1394</v>
      </c>
      <c r="F172" s="197" t="s">
        <v>2397</v>
      </c>
    </row>
    <row r="173" spans="1:7">
      <c r="A173" s="198">
        <v>172</v>
      </c>
      <c r="B173" s="197" t="s">
        <v>788</v>
      </c>
      <c r="C173" s="197" t="s">
        <v>984</v>
      </c>
      <c r="D173" s="197" t="s">
        <v>1611</v>
      </c>
      <c r="E173" s="197" t="s">
        <v>1769</v>
      </c>
      <c r="F173" s="197" t="s">
        <v>2398</v>
      </c>
    </row>
    <row r="174" spans="1:7">
      <c r="A174" s="198">
        <v>173</v>
      </c>
      <c r="B174" s="197" t="s">
        <v>1036</v>
      </c>
      <c r="C174" s="197" t="s">
        <v>1084</v>
      </c>
      <c r="D174" s="197" t="s">
        <v>1185</v>
      </c>
      <c r="E174" s="197" t="s">
        <v>1834</v>
      </c>
      <c r="F174" s="197" t="s">
        <v>2399</v>
      </c>
    </row>
    <row r="175" spans="1:7">
      <c r="A175" s="198">
        <v>174</v>
      </c>
      <c r="B175" s="197" t="s">
        <v>757</v>
      </c>
      <c r="C175" s="197" t="s">
        <v>834</v>
      </c>
      <c r="D175" s="197" t="s">
        <v>1314</v>
      </c>
      <c r="E175" s="197" t="s">
        <v>1395</v>
      </c>
      <c r="F175" s="197" t="s">
        <v>2400</v>
      </c>
    </row>
    <row r="176" spans="1:7">
      <c r="A176" s="198">
        <v>175</v>
      </c>
      <c r="B176" s="197" t="s">
        <v>660</v>
      </c>
      <c r="C176" s="197" t="s">
        <v>683</v>
      </c>
      <c r="D176" s="197" t="s">
        <v>1258</v>
      </c>
      <c r="E176" s="197" t="s">
        <v>1593</v>
      </c>
      <c r="F176" s="197" t="s">
        <v>2401</v>
      </c>
    </row>
    <row r="177" spans="1:6">
      <c r="A177" s="198">
        <v>176</v>
      </c>
      <c r="B177" s="197" t="s">
        <v>651</v>
      </c>
      <c r="C177" s="197" t="s">
        <v>815</v>
      </c>
      <c r="D177" s="197" t="s">
        <v>1580</v>
      </c>
      <c r="E177" s="197" t="s">
        <v>1596</v>
      </c>
      <c r="F177" s="197" t="s">
        <v>2402</v>
      </c>
    </row>
    <row r="178" spans="1:6">
      <c r="A178" s="198">
        <v>177</v>
      </c>
      <c r="B178" s="197" t="s">
        <v>671</v>
      </c>
      <c r="C178" s="197" t="s">
        <v>879</v>
      </c>
      <c r="D178" s="197" t="s">
        <v>1567</v>
      </c>
      <c r="E178" s="197" t="s">
        <v>1688</v>
      </c>
      <c r="F178" s="197" t="s">
        <v>2403</v>
      </c>
    </row>
    <row r="179" spans="1:6">
      <c r="A179" s="198">
        <v>178</v>
      </c>
      <c r="B179" s="197" t="s">
        <v>653</v>
      </c>
      <c r="C179" s="197" t="s">
        <v>832</v>
      </c>
      <c r="D179" s="197" t="s">
        <v>1157</v>
      </c>
      <c r="E179" s="197" t="s">
        <v>1269</v>
      </c>
      <c r="F179" s="197" t="s">
        <v>2404</v>
      </c>
    </row>
    <row r="180" spans="1:6">
      <c r="A180" s="198">
        <v>179</v>
      </c>
      <c r="B180" s="197" t="s">
        <v>868</v>
      </c>
      <c r="C180" s="197" t="s">
        <v>1109</v>
      </c>
      <c r="D180" s="197" t="s">
        <v>1224</v>
      </c>
      <c r="E180" s="197" t="s">
        <v>1599</v>
      </c>
      <c r="F180" s="197" t="s">
        <v>2405</v>
      </c>
    </row>
    <row r="181" spans="1:6">
      <c r="A181" s="198">
        <v>180</v>
      </c>
      <c r="B181" s="197" t="s">
        <v>840</v>
      </c>
      <c r="C181" s="197" t="s">
        <v>873</v>
      </c>
      <c r="D181" s="197" t="s">
        <v>1267</v>
      </c>
      <c r="E181" s="197" t="s">
        <v>1690</v>
      </c>
      <c r="F181" s="197" t="s">
        <v>2406</v>
      </c>
    </row>
    <row r="182" spans="1:6">
      <c r="A182" s="198">
        <v>181</v>
      </c>
      <c r="B182" s="197" t="s">
        <v>850</v>
      </c>
      <c r="C182" s="197" t="s">
        <v>554</v>
      </c>
      <c r="D182" s="197" t="s">
        <v>1499</v>
      </c>
      <c r="E182" s="197" t="s">
        <v>1592</v>
      </c>
      <c r="F182" s="197" t="s">
        <v>2407</v>
      </c>
    </row>
    <row r="183" spans="1:6">
      <c r="A183" s="198">
        <v>182</v>
      </c>
      <c r="B183" s="197" t="s">
        <v>604</v>
      </c>
      <c r="C183" s="197" t="s">
        <v>697</v>
      </c>
      <c r="D183" s="197" t="s">
        <v>1232</v>
      </c>
      <c r="E183" s="197" t="s">
        <v>1647</v>
      </c>
      <c r="F183" s="197" t="s">
        <v>2408</v>
      </c>
    </row>
    <row r="184" spans="1:6">
      <c r="A184" s="198">
        <v>183</v>
      </c>
      <c r="B184" s="197" t="s">
        <v>851</v>
      </c>
      <c r="C184" s="197" t="s">
        <v>573</v>
      </c>
      <c r="D184" s="197" t="s">
        <v>1154</v>
      </c>
      <c r="E184" s="197" t="s">
        <v>1465</v>
      </c>
      <c r="F184" s="197" t="s">
        <v>2409</v>
      </c>
    </row>
    <row r="185" spans="1:6">
      <c r="A185" s="198">
        <v>184</v>
      </c>
      <c r="B185" s="197" t="s">
        <v>586</v>
      </c>
      <c r="C185" s="197" t="s">
        <v>600</v>
      </c>
      <c r="D185" s="197" t="s">
        <v>1713</v>
      </c>
      <c r="E185" s="197" t="s">
        <v>1381</v>
      </c>
      <c r="F185" s="197" t="s">
        <v>2410</v>
      </c>
    </row>
    <row r="186" spans="1:6">
      <c r="A186" s="198">
        <v>185</v>
      </c>
      <c r="B186" s="197" t="s">
        <v>602</v>
      </c>
      <c r="C186" s="197" t="s">
        <v>1090</v>
      </c>
      <c r="D186" s="197" t="s">
        <v>1486</v>
      </c>
      <c r="E186" s="197" t="s">
        <v>1627</v>
      </c>
      <c r="F186" s="197" t="s">
        <v>2412</v>
      </c>
    </row>
    <row r="187" spans="1:6">
      <c r="A187" s="198">
        <v>186</v>
      </c>
      <c r="B187" s="113" t="s">
        <v>961</v>
      </c>
      <c r="C187" s="197" t="s">
        <v>584</v>
      </c>
      <c r="D187" s="197" t="s">
        <v>1442</v>
      </c>
      <c r="E187" s="197" t="s">
        <v>1506</v>
      </c>
      <c r="F187" s="197" t="s">
        <v>2413</v>
      </c>
    </row>
    <row r="188" spans="1:6">
      <c r="A188" s="198">
        <v>187</v>
      </c>
      <c r="B188" s="197" t="s">
        <v>561</v>
      </c>
      <c r="C188" s="197" t="s">
        <v>714</v>
      </c>
      <c r="D188" s="197" t="s">
        <v>1685</v>
      </c>
      <c r="E188" s="197" t="s">
        <v>1430</v>
      </c>
      <c r="F188" s="197" t="s">
        <v>2414</v>
      </c>
    </row>
    <row r="189" spans="1:6">
      <c r="A189" s="198">
        <v>188</v>
      </c>
      <c r="B189" s="197" t="s">
        <v>919</v>
      </c>
      <c r="C189" s="197" t="s">
        <v>918</v>
      </c>
      <c r="D189" s="197" t="s">
        <v>1675</v>
      </c>
      <c r="E189" s="197" t="s">
        <v>1630</v>
      </c>
      <c r="F189" s="197" t="s">
        <v>2415</v>
      </c>
    </row>
    <row r="190" spans="1:6">
      <c r="A190" s="198">
        <v>189</v>
      </c>
      <c r="B190" s="197" t="s">
        <v>925</v>
      </c>
      <c r="C190" s="197" t="s">
        <v>787</v>
      </c>
      <c r="D190" s="197" t="s">
        <v>1513</v>
      </c>
      <c r="E190" s="197" t="s">
        <v>1683</v>
      </c>
      <c r="F190" s="197" t="s">
        <v>2417</v>
      </c>
    </row>
    <row r="191" spans="1:6">
      <c r="A191" s="198">
        <v>190</v>
      </c>
      <c r="B191" s="197" t="s">
        <v>909</v>
      </c>
      <c r="C191" s="197" t="s">
        <v>977</v>
      </c>
      <c r="D191" s="197" t="s">
        <v>1657</v>
      </c>
      <c r="E191" s="197" t="s">
        <v>1524</v>
      </c>
      <c r="F191" s="197" t="s">
        <v>2418</v>
      </c>
    </row>
    <row r="192" spans="1:6">
      <c r="A192" s="198">
        <v>191</v>
      </c>
      <c r="B192" s="197" t="s">
        <v>754</v>
      </c>
      <c r="C192" s="197" t="s">
        <v>805</v>
      </c>
      <c r="D192" s="197" t="s">
        <v>1633</v>
      </c>
      <c r="E192" s="197" t="s">
        <v>1528</v>
      </c>
      <c r="F192" s="197" t="s">
        <v>2419</v>
      </c>
    </row>
    <row r="193" spans="1:6">
      <c r="A193" s="198">
        <v>192</v>
      </c>
      <c r="B193" s="197" t="s">
        <v>795</v>
      </c>
      <c r="C193" s="197" t="s">
        <v>878</v>
      </c>
      <c r="D193" s="197" t="s">
        <v>1753</v>
      </c>
      <c r="E193" s="197" t="s">
        <v>1459</v>
      </c>
      <c r="F193" s="197" t="s">
        <v>2420</v>
      </c>
    </row>
    <row r="194" spans="1:6">
      <c r="A194" s="198">
        <v>193</v>
      </c>
      <c r="B194" s="197" t="s">
        <v>777</v>
      </c>
      <c r="C194" s="197" t="s">
        <v>1016</v>
      </c>
      <c r="D194" s="197" t="s">
        <v>1466</v>
      </c>
      <c r="E194" s="197" t="s">
        <v>1187</v>
      </c>
      <c r="F194" s="197" t="s">
        <v>2445</v>
      </c>
    </row>
    <row r="195" spans="1:6">
      <c r="A195" s="198">
        <v>194</v>
      </c>
      <c r="B195" s="197" t="s">
        <v>974</v>
      </c>
      <c r="C195" s="197" t="s">
        <v>852</v>
      </c>
      <c r="D195" s="197" t="s">
        <v>1337</v>
      </c>
      <c r="E195" s="197" t="s">
        <v>1435</v>
      </c>
      <c r="F195" s="197" t="s">
        <v>2438</v>
      </c>
    </row>
    <row r="196" spans="1:6">
      <c r="A196" s="198">
        <v>195</v>
      </c>
      <c r="B196" s="197" t="s">
        <v>1116</v>
      </c>
      <c r="C196" s="197" t="s">
        <v>763</v>
      </c>
      <c r="D196" s="197" t="s">
        <v>1525</v>
      </c>
      <c r="E196" s="197" t="s">
        <v>1229</v>
      </c>
      <c r="F196" s="197" t="s">
        <v>2430</v>
      </c>
    </row>
    <row r="197" spans="1:6">
      <c r="A197" s="198">
        <v>196</v>
      </c>
      <c r="B197" s="197" t="s">
        <v>779</v>
      </c>
      <c r="C197" s="197" t="s">
        <v>766</v>
      </c>
      <c r="D197" s="197" t="s">
        <v>1164</v>
      </c>
      <c r="E197" s="197" t="s">
        <v>1296</v>
      </c>
      <c r="F197" s="197" t="s">
        <v>2421</v>
      </c>
    </row>
    <row r="198" spans="1:6">
      <c r="A198" s="198">
        <v>197</v>
      </c>
      <c r="B198" s="197" t="s">
        <v>771</v>
      </c>
      <c r="C198" s="197" t="s">
        <v>922</v>
      </c>
      <c r="D198" s="197" t="s">
        <v>1662</v>
      </c>
      <c r="E198" s="197" t="s">
        <v>1335</v>
      </c>
      <c r="F198" s="197" t="s">
        <v>2431</v>
      </c>
    </row>
    <row r="199" spans="1:6">
      <c r="A199" s="198">
        <v>198</v>
      </c>
      <c r="B199" s="197" t="s">
        <v>973</v>
      </c>
      <c r="C199" s="197" t="s">
        <v>678</v>
      </c>
      <c r="D199" s="197" t="s">
        <v>1588</v>
      </c>
      <c r="E199" s="197" t="s">
        <v>1265</v>
      </c>
      <c r="F199" s="197" t="s">
        <v>2439</v>
      </c>
    </row>
    <row r="200" spans="1:6">
      <c r="A200" s="198">
        <v>199</v>
      </c>
      <c r="B200" s="197" t="s">
        <v>872</v>
      </c>
      <c r="C200" s="197" t="s">
        <v>802</v>
      </c>
      <c r="D200" s="197" t="s">
        <v>1338</v>
      </c>
      <c r="E200" s="197" t="s">
        <v>1173</v>
      </c>
      <c r="F200" s="197" t="s">
        <v>2423</v>
      </c>
    </row>
    <row r="201" spans="1:6">
      <c r="A201" s="198">
        <v>200</v>
      </c>
      <c r="B201" s="197" t="s">
        <v>782</v>
      </c>
      <c r="C201" s="197" t="s">
        <v>838</v>
      </c>
      <c r="D201" s="197" t="s">
        <v>1341</v>
      </c>
      <c r="E201" s="197" t="s">
        <v>1234</v>
      </c>
      <c r="F201" s="197" t="s">
        <v>2446</v>
      </c>
    </row>
    <row r="202" spans="1:6">
      <c r="A202" s="198">
        <v>201</v>
      </c>
      <c r="B202" s="197" t="s">
        <v>746</v>
      </c>
      <c r="C202" s="197" t="s">
        <v>923</v>
      </c>
      <c r="D202" s="197" t="s">
        <v>1343</v>
      </c>
      <c r="E202" s="197" t="s">
        <v>1239</v>
      </c>
      <c r="F202" s="197" t="s">
        <v>2447</v>
      </c>
    </row>
    <row r="203" spans="1:6">
      <c r="A203" s="198">
        <v>202</v>
      </c>
      <c r="B203" s="197" t="s">
        <v>959</v>
      </c>
      <c r="C203" s="197" t="s">
        <v>1006</v>
      </c>
      <c r="D203" s="197" t="s">
        <v>1280</v>
      </c>
      <c r="E203" s="197" t="s">
        <v>1277</v>
      </c>
      <c r="F203" s="197" t="s">
        <v>2424</v>
      </c>
    </row>
    <row r="204" spans="1:6">
      <c r="A204" s="198">
        <v>203</v>
      </c>
      <c r="B204" s="197" t="s">
        <v>799</v>
      </c>
      <c r="C204" s="197" t="s">
        <v>769</v>
      </c>
      <c r="D204" s="197" t="s">
        <v>1297</v>
      </c>
      <c r="E204" s="197" t="s">
        <v>1405</v>
      </c>
      <c r="F204" s="197" t="s">
        <v>2433</v>
      </c>
    </row>
    <row r="205" spans="1:6">
      <c r="A205" s="198">
        <v>204</v>
      </c>
      <c r="B205" s="197" t="s">
        <v>1002</v>
      </c>
      <c r="C205" s="197" t="s">
        <v>807</v>
      </c>
      <c r="D205" s="197" t="s">
        <v>1410</v>
      </c>
      <c r="E205" s="197" t="s">
        <v>1236</v>
      </c>
      <c r="F205" s="197" t="s">
        <v>2440</v>
      </c>
    </row>
    <row r="206" spans="1:6">
      <c r="A206" s="198">
        <v>205</v>
      </c>
      <c r="B206" s="197" t="s">
        <v>1049</v>
      </c>
      <c r="C206" s="197" t="s">
        <v>876</v>
      </c>
      <c r="D206" s="197" t="s">
        <v>1382</v>
      </c>
      <c r="E206" s="197" t="s">
        <v>1429</v>
      </c>
      <c r="F206" s="197" t="s">
        <v>2434</v>
      </c>
    </row>
    <row r="207" spans="1:6">
      <c r="A207" s="198">
        <v>206</v>
      </c>
      <c r="B207" s="197" t="s">
        <v>813</v>
      </c>
      <c r="C207" s="197" t="s">
        <v>907</v>
      </c>
      <c r="D207" s="197" t="s">
        <v>1159</v>
      </c>
      <c r="E207" s="197" t="s">
        <v>1373</v>
      </c>
      <c r="F207" s="197" t="s">
        <v>2425</v>
      </c>
    </row>
    <row r="208" spans="1:6">
      <c r="A208" s="198">
        <v>207</v>
      </c>
      <c r="B208" s="197" t="s">
        <v>992</v>
      </c>
      <c r="C208" s="197" t="s">
        <v>883</v>
      </c>
      <c r="D208" s="197" t="s">
        <v>1510</v>
      </c>
      <c r="E208" s="197" t="s">
        <v>1476</v>
      </c>
      <c r="F208" s="197" t="s">
        <v>2448</v>
      </c>
    </row>
    <row r="209" spans="1:6">
      <c r="A209" s="198">
        <v>208</v>
      </c>
      <c r="B209" s="197" t="s">
        <v>692</v>
      </c>
      <c r="C209" s="197" t="s">
        <v>797</v>
      </c>
      <c r="D209" s="197" t="s">
        <v>1542</v>
      </c>
      <c r="E209" s="197" t="s">
        <v>1340</v>
      </c>
      <c r="F209" s="197" t="s">
        <v>2441</v>
      </c>
    </row>
    <row r="210" spans="1:6">
      <c r="A210" s="198">
        <v>209</v>
      </c>
      <c r="B210" s="197" t="s">
        <v>999</v>
      </c>
      <c r="C210" s="197" t="s">
        <v>870</v>
      </c>
      <c r="D210" s="197" t="s">
        <v>1413</v>
      </c>
      <c r="E210" s="197" t="s">
        <v>1446</v>
      </c>
      <c r="F210" s="197" t="s">
        <v>2435</v>
      </c>
    </row>
    <row r="211" spans="1:6">
      <c r="A211" s="198">
        <v>210</v>
      </c>
      <c r="B211" s="197" t="s">
        <v>749</v>
      </c>
      <c r="C211" s="197" t="s">
        <v>801</v>
      </c>
      <c r="D211" s="197" t="s">
        <v>1330</v>
      </c>
      <c r="E211" s="197" t="s">
        <v>1179</v>
      </c>
      <c r="F211" s="197" t="s">
        <v>2449</v>
      </c>
    </row>
    <row r="212" spans="1:6">
      <c r="A212" s="198">
        <v>211</v>
      </c>
      <c r="B212" s="197" t="s">
        <v>552</v>
      </c>
      <c r="C212" s="197" t="s">
        <v>760</v>
      </c>
      <c r="D212" s="197" t="s">
        <v>1254</v>
      </c>
      <c r="E212" s="197" t="s">
        <v>1228</v>
      </c>
      <c r="F212" s="197" t="s">
        <v>2426</v>
      </c>
    </row>
    <row r="213" spans="1:6">
      <c r="A213" s="198">
        <v>212</v>
      </c>
      <c r="B213" s="197" t="s">
        <v>1011</v>
      </c>
      <c r="C213" s="197" t="s">
        <v>1048</v>
      </c>
      <c r="D213" s="197" t="s">
        <v>1490</v>
      </c>
      <c r="E213" s="197" t="s">
        <v>1264</v>
      </c>
      <c r="F213" s="197" t="s">
        <v>2442</v>
      </c>
    </row>
    <row r="214" spans="1:6">
      <c r="A214" s="198">
        <v>213</v>
      </c>
      <c r="B214" s="197" t="s">
        <v>1030</v>
      </c>
      <c r="C214" s="197" t="s">
        <v>1053</v>
      </c>
      <c r="D214" s="197" t="s">
        <v>1334</v>
      </c>
      <c r="E214" s="197" t="s">
        <v>1478</v>
      </c>
      <c r="F214" s="197" t="s">
        <v>2450</v>
      </c>
    </row>
    <row r="215" spans="1:6">
      <c r="A215" s="198">
        <v>214</v>
      </c>
      <c r="B215" s="197" t="s">
        <v>729</v>
      </c>
      <c r="C215" s="197" t="s">
        <v>758</v>
      </c>
      <c r="D215" s="197" t="s">
        <v>1469</v>
      </c>
      <c r="E215" s="197" t="s">
        <v>1289</v>
      </c>
      <c r="F215" s="197" t="s">
        <v>2443</v>
      </c>
    </row>
    <row r="216" spans="1:6">
      <c r="A216" s="198">
        <v>215</v>
      </c>
      <c r="B216" s="197" t="s">
        <v>707</v>
      </c>
      <c r="C216" s="197" t="s">
        <v>996</v>
      </c>
      <c r="D216" s="197" t="s">
        <v>1332</v>
      </c>
      <c r="E216" s="197" t="s">
        <v>1192</v>
      </c>
      <c r="F216" s="197" t="s">
        <v>2427</v>
      </c>
    </row>
    <row r="217" spans="1:6">
      <c r="A217" s="198">
        <v>216</v>
      </c>
      <c r="B217" s="197" t="s">
        <v>684</v>
      </c>
      <c r="C217" s="197" t="s">
        <v>900</v>
      </c>
      <c r="D217" s="197" t="s">
        <v>1437</v>
      </c>
      <c r="E217" s="197" t="s">
        <v>1295</v>
      </c>
      <c r="F217" s="197" t="s">
        <v>2436</v>
      </c>
    </row>
    <row r="218" spans="1:6">
      <c r="A218" s="198">
        <v>217</v>
      </c>
      <c r="B218" s="197" t="s">
        <v>731</v>
      </c>
      <c r="C218" s="197" t="s">
        <v>839</v>
      </c>
      <c r="D218" s="197" t="s">
        <v>1246</v>
      </c>
      <c r="E218" s="197" t="s">
        <v>1255</v>
      </c>
      <c r="F218" s="197" t="s">
        <v>2429</v>
      </c>
    </row>
    <row r="219" spans="1:6">
      <c r="A219" s="198">
        <v>218</v>
      </c>
      <c r="B219" s="197" t="s">
        <v>1038</v>
      </c>
      <c r="C219" s="197" t="s">
        <v>699</v>
      </c>
      <c r="D219" s="197" t="s">
        <v>1463</v>
      </c>
      <c r="E219" s="197" t="s">
        <v>1799</v>
      </c>
      <c r="F219" s="197" t="s">
        <v>2437</v>
      </c>
    </row>
    <row r="220" spans="1:6">
      <c r="A220" s="198">
        <v>219</v>
      </c>
      <c r="B220" s="197" t="s">
        <v>785</v>
      </c>
      <c r="C220" s="197" t="s">
        <v>965</v>
      </c>
      <c r="D220" s="197" t="s">
        <v>1559</v>
      </c>
      <c r="E220" s="197" t="s">
        <v>1323</v>
      </c>
      <c r="F220" s="197" t="s">
        <v>2444</v>
      </c>
    </row>
    <row r="221" spans="1:6">
      <c r="A221" s="198">
        <v>220</v>
      </c>
      <c r="B221" s="197" t="s">
        <v>822</v>
      </c>
      <c r="C221" s="197" t="s">
        <v>891</v>
      </c>
      <c r="D221" s="197" t="s">
        <v>1201</v>
      </c>
      <c r="E221" s="197" t="s">
        <v>1268</v>
      </c>
      <c r="F221" s="197" t="s">
        <v>2451</v>
      </c>
    </row>
  </sheetData>
  <pageMargins left="0.7" right="0.7" top="0.75" bottom="0.75" header="0.3" footer="0.3"/>
  <legacy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17528-F0D1-4C74-BBE1-77BF50B191FB}">
  <dimension ref="A1:P14"/>
  <sheetViews>
    <sheetView zoomScale="115" zoomScaleNormal="115" workbookViewId="0">
      <selection activeCell="K15" sqref="K15"/>
    </sheetView>
  </sheetViews>
  <sheetFormatPr baseColWidth="10" defaultRowHeight="14.4"/>
  <sheetData>
    <row r="1" spans="1:16" ht="100.8">
      <c r="A1" s="211" t="s">
        <v>2609</v>
      </c>
      <c r="B1" s="166" t="s">
        <v>2485</v>
      </c>
      <c r="C1" s="211" t="s">
        <v>2610</v>
      </c>
      <c r="D1" s="211" t="s">
        <v>2589</v>
      </c>
      <c r="E1" s="211" t="s">
        <v>2608</v>
      </c>
      <c r="F1" s="211" t="s">
        <v>2607</v>
      </c>
      <c r="G1" s="211" t="s">
        <v>2606</v>
      </c>
      <c r="H1" s="211" t="s">
        <v>2605</v>
      </c>
      <c r="I1" s="210" t="s">
        <v>2644</v>
      </c>
      <c r="J1" s="210" t="s">
        <v>2645</v>
      </c>
      <c r="K1" s="210" t="s">
        <v>2646</v>
      </c>
      <c r="L1" s="210" t="s">
        <v>2604</v>
      </c>
      <c r="M1" s="210" t="s">
        <v>2603</v>
      </c>
      <c r="N1" s="210" t="s">
        <v>2602</v>
      </c>
      <c r="O1" s="210" t="s">
        <v>2601</v>
      </c>
      <c r="P1" s="210" t="s">
        <v>2147</v>
      </c>
    </row>
    <row r="2" spans="1:16">
      <c r="A2" s="201" t="s">
        <v>2482</v>
      </c>
      <c r="C2" s="201" t="s">
        <v>2532</v>
      </c>
      <c r="D2" s="201">
        <v>1.7141999999999999</v>
      </c>
      <c r="E2" s="202">
        <v>10.565200000000001</v>
      </c>
      <c r="F2" s="202">
        <v>0.20119999999999999</v>
      </c>
      <c r="G2" s="201">
        <f t="shared" ref="G2:G8" si="0">E2+F2</f>
        <v>10.766400000000001</v>
      </c>
      <c r="H2" s="201">
        <v>10.575100000000001</v>
      </c>
      <c r="I2" s="201">
        <f t="shared" ref="I2:I8" si="1">(G2-H2)</f>
        <v>0.19130000000000003</v>
      </c>
      <c r="J2" s="201">
        <f t="shared" ref="J2:J14" si="2">F2-I2</f>
        <v>9.8999999999999644E-3</v>
      </c>
      <c r="K2" s="280">
        <f t="shared" ref="K2:K14" si="3">(J2/F2)*100</f>
        <v>4.9204771371769205</v>
      </c>
      <c r="L2" s="201">
        <v>1</v>
      </c>
      <c r="M2" s="203">
        <v>43178.395833333336</v>
      </c>
      <c r="N2" s="203">
        <v>43178.5625</v>
      </c>
      <c r="O2" s="197" t="s">
        <v>2550</v>
      </c>
      <c r="P2" s="201" t="s">
        <v>2551</v>
      </c>
    </row>
    <row r="3" spans="1:16">
      <c r="A3" s="201" t="s">
        <v>1969</v>
      </c>
      <c r="C3" s="201" t="s">
        <v>2532</v>
      </c>
      <c r="D3" s="202">
        <v>1.7512000000000001</v>
      </c>
      <c r="E3" s="202">
        <v>9.6748999999999992</v>
      </c>
      <c r="F3" s="202">
        <v>0.20449999999999999</v>
      </c>
      <c r="G3" s="201">
        <f t="shared" si="0"/>
        <v>9.8793999999999986</v>
      </c>
      <c r="H3" s="201">
        <v>9.6892999999999994</v>
      </c>
      <c r="I3" s="201">
        <f t="shared" si="1"/>
        <v>0.19009999999999927</v>
      </c>
      <c r="J3" s="201">
        <f t="shared" si="2"/>
        <v>1.4400000000000718E-2</v>
      </c>
      <c r="K3" s="280">
        <f t="shared" si="3"/>
        <v>7.0415647921763895</v>
      </c>
      <c r="L3" s="201">
        <v>6</v>
      </c>
      <c r="M3" s="203">
        <v>43178.395833333336</v>
      </c>
      <c r="N3" s="203">
        <v>43178.5625</v>
      </c>
      <c r="O3" s="197" t="s">
        <v>2550</v>
      </c>
      <c r="P3" s="201"/>
    </row>
    <row r="4" spans="1:16">
      <c r="A4" s="201" t="s">
        <v>2484</v>
      </c>
      <c r="C4" s="201" t="s">
        <v>2532</v>
      </c>
      <c r="D4" s="202">
        <v>1.8006</v>
      </c>
      <c r="E4" s="202">
        <v>9.1958000000000002</v>
      </c>
      <c r="F4" s="202">
        <v>0.20749999999999999</v>
      </c>
      <c r="G4" s="201">
        <f t="shared" si="0"/>
        <v>9.4032999999999998</v>
      </c>
      <c r="H4" s="201">
        <v>9.2073</v>
      </c>
      <c r="I4" s="201">
        <f t="shared" si="1"/>
        <v>0.19599999999999973</v>
      </c>
      <c r="J4" s="201">
        <f t="shared" si="2"/>
        <v>1.150000000000026E-2</v>
      </c>
      <c r="K4" s="280">
        <f t="shared" si="3"/>
        <v>5.5421686746989201</v>
      </c>
      <c r="L4" s="201">
        <v>7</v>
      </c>
      <c r="M4" s="203">
        <v>43178.395833333336</v>
      </c>
      <c r="N4" s="203">
        <v>43178.5625</v>
      </c>
      <c r="O4" s="197" t="s">
        <v>2550</v>
      </c>
      <c r="P4" s="201"/>
    </row>
    <row r="5" spans="1:16">
      <c r="A5" s="201" t="s">
        <v>1938</v>
      </c>
      <c r="C5" s="201" t="s">
        <v>2532</v>
      </c>
      <c r="D5" s="201">
        <v>1.7291000000000001</v>
      </c>
      <c r="E5" s="202">
        <v>7.0926999999999998</v>
      </c>
      <c r="F5" s="202">
        <v>0.20349999999999999</v>
      </c>
      <c r="G5" s="201">
        <f t="shared" si="0"/>
        <v>7.2961999999999998</v>
      </c>
      <c r="H5" s="201">
        <v>7.1036000000000001</v>
      </c>
      <c r="I5" s="201">
        <f t="shared" si="1"/>
        <v>0.19259999999999966</v>
      </c>
      <c r="J5" s="201">
        <f t="shared" si="2"/>
        <v>1.0900000000000326E-2</v>
      </c>
      <c r="K5" s="280">
        <f t="shared" si="3"/>
        <v>5.3562653562655171</v>
      </c>
      <c r="L5" s="201">
        <v>8</v>
      </c>
      <c r="M5" s="203">
        <v>43178.395833333336</v>
      </c>
      <c r="N5" s="203">
        <v>43178.5625</v>
      </c>
      <c r="O5" s="197" t="s">
        <v>2550</v>
      </c>
      <c r="P5" s="201"/>
    </row>
    <row r="6" spans="1:16">
      <c r="A6" s="201" t="s">
        <v>1977</v>
      </c>
      <c r="C6" s="201" t="s">
        <v>2532</v>
      </c>
      <c r="D6" s="201">
        <v>1.7074</v>
      </c>
      <c r="E6" s="202">
        <v>8.0459999999999994</v>
      </c>
      <c r="F6" s="202">
        <v>0.20069999999999999</v>
      </c>
      <c r="G6" s="201">
        <f t="shared" si="0"/>
        <v>8.2466999999999988</v>
      </c>
      <c r="H6" s="201">
        <v>8.0563000000000002</v>
      </c>
      <c r="I6" s="201">
        <f t="shared" si="1"/>
        <v>0.19039999999999857</v>
      </c>
      <c r="J6" s="201">
        <f t="shared" si="2"/>
        <v>1.0300000000001419E-2</v>
      </c>
      <c r="K6" s="280">
        <f t="shared" si="3"/>
        <v>5.1320378674645841</v>
      </c>
      <c r="L6" s="201">
        <v>9</v>
      </c>
      <c r="M6" s="203">
        <v>43178.395833333336</v>
      </c>
      <c r="N6" s="203">
        <v>43178.5625</v>
      </c>
      <c r="O6" s="197" t="s">
        <v>2550</v>
      </c>
      <c r="P6" s="201"/>
    </row>
    <row r="7" spans="1:16">
      <c r="A7" s="197" t="s">
        <v>2533</v>
      </c>
      <c r="C7" s="201" t="s">
        <v>2532</v>
      </c>
      <c r="D7" s="197">
        <v>1.7144999999999999</v>
      </c>
      <c r="E7" s="197">
        <v>9.1545000000000005</v>
      </c>
      <c r="F7" s="197">
        <v>0.20910000000000001</v>
      </c>
      <c r="G7" s="201">
        <f t="shared" si="0"/>
        <v>9.3635999999999999</v>
      </c>
      <c r="H7" s="201">
        <v>9.1666000000000007</v>
      </c>
      <c r="I7" s="201">
        <f t="shared" si="1"/>
        <v>0.19699999999999918</v>
      </c>
      <c r="J7" s="201">
        <f t="shared" si="2"/>
        <v>1.2100000000000832E-2</v>
      </c>
      <c r="K7" s="280">
        <f t="shared" si="3"/>
        <v>5.7867049258731855</v>
      </c>
      <c r="L7" s="201">
        <v>22</v>
      </c>
      <c r="M7" s="197"/>
      <c r="N7" s="197"/>
      <c r="O7" s="197"/>
      <c r="P7" s="197" t="s">
        <v>2549</v>
      </c>
    </row>
    <row r="8" spans="1:16">
      <c r="A8" s="197" t="s">
        <v>2534</v>
      </c>
      <c r="C8" s="197" t="s">
        <v>2532</v>
      </c>
      <c r="D8" s="197">
        <v>1.7393000000000001</v>
      </c>
      <c r="E8" s="197">
        <v>10.1534</v>
      </c>
      <c r="F8" s="197">
        <v>0.20530000000000001</v>
      </c>
      <c r="G8" s="201">
        <f t="shared" si="0"/>
        <v>10.358699999999999</v>
      </c>
      <c r="H8" s="201">
        <v>10.1647</v>
      </c>
      <c r="I8" s="201">
        <f t="shared" si="1"/>
        <v>0.19399999999999906</v>
      </c>
      <c r="J8" s="201">
        <f t="shared" si="2"/>
        <v>1.1300000000000948E-2</v>
      </c>
      <c r="K8" s="280">
        <f t="shared" si="3"/>
        <v>5.5041402825138563</v>
      </c>
      <c r="L8" s="201">
        <v>23</v>
      </c>
      <c r="M8" s="197"/>
      <c r="N8" s="197"/>
      <c r="O8" s="197"/>
      <c r="P8" s="197" t="s">
        <v>2548</v>
      </c>
    </row>
    <row r="9" spans="1:16">
      <c r="A9" t="s">
        <v>2535</v>
      </c>
      <c r="C9" t="s">
        <v>2532</v>
      </c>
      <c r="D9">
        <v>1.7766</v>
      </c>
      <c r="E9">
        <v>10.1249</v>
      </c>
      <c r="F9">
        <v>0.22650000000000001</v>
      </c>
      <c r="G9">
        <v>10.3514</v>
      </c>
      <c r="H9">
        <v>10.137499999999999</v>
      </c>
      <c r="I9">
        <v>0.21390000000000065</v>
      </c>
      <c r="J9">
        <f t="shared" si="2"/>
        <v>1.2599999999999362E-2</v>
      </c>
      <c r="K9" s="280">
        <f t="shared" si="3"/>
        <v>5.5629139072844866</v>
      </c>
      <c r="L9">
        <v>24</v>
      </c>
      <c r="M9" s="197"/>
      <c r="N9" s="197"/>
      <c r="O9" s="197"/>
      <c r="P9" s="197" t="s">
        <v>2547</v>
      </c>
    </row>
    <row r="10" spans="1:16">
      <c r="A10" s="197" t="s">
        <v>2536</v>
      </c>
      <c r="C10" s="201" t="s">
        <v>2532</v>
      </c>
      <c r="D10" s="197">
        <v>1.7238</v>
      </c>
      <c r="E10" s="197">
        <v>9.3217999999999996</v>
      </c>
      <c r="F10" s="197">
        <v>0.20369999999999999</v>
      </c>
      <c r="G10" s="201">
        <f>E10+F10</f>
        <v>9.5254999999999992</v>
      </c>
      <c r="H10" s="201">
        <v>9.3321000000000005</v>
      </c>
      <c r="I10" s="201">
        <f>(G10-H10)</f>
        <v>0.19339999999999868</v>
      </c>
      <c r="J10" s="201">
        <f t="shared" si="2"/>
        <v>1.0300000000001308E-2</v>
      </c>
      <c r="K10" s="280">
        <f t="shared" si="3"/>
        <v>5.0564555719201323</v>
      </c>
      <c r="L10" s="201">
        <v>25</v>
      </c>
      <c r="M10" s="197"/>
      <c r="N10" s="197"/>
      <c r="O10" s="197"/>
      <c r="P10" s="197" t="s">
        <v>2546</v>
      </c>
    </row>
    <row r="11" spans="1:16">
      <c r="A11" s="197" t="s">
        <v>2537</v>
      </c>
      <c r="C11" s="201" t="s">
        <v>2532</v>
      </c>
      <c r="D11" s="197">
        <v>1.7256</v>
      </c>
      <c r="E11" s="197">
        <v>11.8629</v>
      </c>
      <c r="F11" s="197">
        <v>0.2021</v>
      </c>
      <c r="G11" s="201">
        <f>E11+F11</f>
        <v>12.065</v>
      </c>
      <c r="H11" s="201">
        <v>11.8735</v>
      </c>
      <c r="I11" s="201">
        <f>(G11-H11)</f>
        <v>0.19149999999999956</v>
      </c>
      <c r="J11" s="201">
        <f t="shared" si="2"/>
        <v>1.0600000000000442E-2</v>
      </c>
      <c r="K11" s="280">
        <f t="shared" si="3"/>
        <v>5.2449282533401496</v>
      </c>
      <c r="L11" s="201">
        <v>26</v>
      </c>
      <c r="M11" s="197"/>
      <c r="N11" s="197"/>
      <c r="O11" s="197"/>
      <c r="P11" s="197" t="s">
        <v>2545</v>
      </c>
    </row>
    <row r="12" spans="1:16">
      <c r="A12" s="201" t="s">
        <v>477</v>
      </c>
      <c r="C12" s="201" t="s">
        <v>2532</v>
      </c>
      <c r="D12" s="201">
        <v>1.7670999999999999</v>
      </c>
      <c r="E12" s="202">
        <v>10.502700000000001</v>
      </c>
      <c r="F12" s="202">
        <v>0.20019999999999999</v>
      </c>
      <c r="G12" s="201">
        <f>E12+F12</f>
        <v>10.702900000000001</v>
      </c>
      <c r="H12" s="201">
        <v>10.507400000000001</v>
      </c>
      <c r="I12" s="201">
        <f>(G12-H12)</f>
        <v>0.1955000000000009</v>
      </c>
      <c r="J12" s="201">
        <f t="shared" si="2"/>
        <v>4.6999999999990938E-3</v>
      </c>
      <c r="K12" s="280">
        <f t="shared" si="3"/>
        <v>2.3476523476518953</v>
      </c>
      <c r="L12" s="201">
        <v>10</v>
      </c>
      <c r="M12" s="203">
        <v>43178.395833333336</v>
      </c>
      <c r="N12" s="203">
        <v>43178.5625</v>
      </c>
      <c r="O12" s="197" t="s">
        <v>2550</v>
      </c>
      <c r="P12" s="201"/>
    </row>
    <row r="13" spans="1:16">
      <c r="A13" s="201" t="s">
        <v>483</v>
      </c>
      <c r="C13" s="201" t="s">
        <v>2532</v>
      </c>
      <c r="D13" s="201">
        <v>1.8496999999999999</v>
      </c>
      <c r="E13" s="202">
        <v>7.4794999999999998</v>
      </c>
      <c r="F13" s="202">
        <v>0.20230000000000001</v>
      </c>
      <c r="G13" s="201">
        <f>E13+F13</f>
        <v>7.6818</v>
      </c>
      <c r="H13" s="201">
        <v>7.4847999999999999</v>
      </c>
      <c r="I13" s="201">
        <f>(G13-H13)</f>
        <v>0.19700000000000006</v>
      </c>
      <c r="J13" s="201">
        <f t="shared" si="2"/>
        <v>5.2999999999999436E-3</v>
      </c>
      <c r="K13" s="280">
        <f t="shared" si="3"/>
        <v>2.619871478002938</v>
      </c>
      <c r="L13" s="201">
        <v>11</v>
      </c>
      <c r="M13" s="203">
        <v>43178.395833333336</v>
      </c>
      <c r="N13" s="203">
        <v>43178.5625</v>
      </c>
      <c r="O13" s="197" t="s">
        <v>2550</v>
      </c>
      <c r="P13" s="201"/>
    </row>
    <row r="14" spans="1:16">
      <c r="A14" s="201" t="s">
        <v>439</v>
      </c>
      <c r="C14" s="201" t="s">
        <v>2532</v>
      </c>
      <c r="D14" s="201">
        <v>1.8443000000000001</v>
      </c>
      <c r="E14" s="202">
        <v>7.3543000000000003</v>
      </c>
      <c r="F14" s="202">
        <v>0.2024</v>
      </c>
      <c r="G14" s="201">
        <f>E14+F14</f>
        <v>7.5567000000000002</v>
      </c>
      <c r="H14" s="201">
        <v>7.3581000000000003</v>
      </c>
      <c r="I14" s="201">
        <f>(G14-H14)</f>
        <v>0.19859999999999989</v>
      </c>
      <c r="J14" s="201">
        <f t="shared" si="2"/>
        <v>3.8000000000001088E-3</v>
      </c>
      <c r="K14" s="280">
        <f t="shared" si="3"/>
        <v>1.8774703557312791</v>
      </c>
      <c r="L14" s="201">
        <v>12</v>
      </c>
      <c r="M14" s="203">
        <v>43178.395833333336</v>
      </c>
      <c r="N14" s="203">
        <v>43178.5625</v>
      </c>
      <c r="O14" s="197" t="s">
        <v>2550</v>
      </c>
      <c r="P14" s="20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600B3-6421-4823-A011-388362270A45}">
  <dimension ref="A1:BU907"/>
  <sheetViews>
    <sheetView topLeftCell="BJ1" workbookViewId="0">
      <pane ySplit="1" topLeftCell="A376" activePane="bottomLeft" state="frozen"/>
      <selection activeCell="AS1" sqref="AS1"/>
      <selection pane="bottomLeft" activeCell="BO391" sqref="BO391"/>
    </sheetView>
  </sheetViews>
  <sheetFormatPr baseColWidth="10" defaultRowHeight="12" customHeight="1"/>
  <cols>
    <col min="1" max="1" width="5.21875" style="393" customWidth="1"/>
    <col min="6" max="6" width="5.21875" style="393" customWidth="1"/>
    <col min="10" max="10" width="21.77734375" customWidth="1"/>
    <col min="11" max="11" width="5.21875" style="393" customWidth="1"/>
    <col min="15" max="17" width="21" customWidth="1"/>
    <col min="18" max="18" width="5.21875" style="393" customWidth="1"/>
    <col min="19" max="20" width="21" customWidth="1"/>
    <col min="21" max="21" width="5.21875" style="393" customWidth="1"/>
    <col min="25" max="25" width="21.21875" customWidth="1"/>
    <col min="26" max="26" width="5.21875" style="393" customWidth="1"/>
    <col min="32" max="32" width="5.21875" style="393" customWidth="1"/>
    <col min="39" max="39" width="5.21875" style="393" customWidth="1"/>
    <col min="45" max="45" width="5.21875" style="393" customWidth="1"/>
    <col min="51" max="51" width="5.21875" style="393" customWidth="1"/>
    <col min="52" max="53" width="21" customWidth="1"/>
    <col min="54" max="54" width="5.21875" style="393" customWidth="1"/>
    <col min="65" max="65" width="5.21875" style="393" customWidth="1"/>
  </cols>
  <sheetData>
    <row r="1" spans="2:73" ht="12" customHeight="1">
      <c r="B1" s="418" t="s">
        <v>3894</v>
      </c>
      <c r="C1" s="418"/>
      <c r="D1" s="166" t="s">
        <v>3907</v>
      </c>
      <c r="E1" s="166" t="s">
        <v>3900</v>
      </c>
      <c r="G1" s="417" t="s">
        <v>3893</v>
      </c>
      <c r="H1" s="417"/>
      <c r="I1" s="166" t="s">
        <v>3903</v>
      </c>
      <c r="J1" s="166" t="s">
        <v>3900</v>
      </c>
      <c r="L1" s="166" t="s">
        <v>3895</v>
      </c>
      <c r="N1" s="166" t="s">
        <v>3902</v>
      </c>
      <c r="O1" s="166" t="s">
        <v>3900</v>
      </c>
      <c r="P1" s="166"/>
      <c r="Q1" s="166"/>
      <c r="S1" s="166" t="s">
        <v>3931</v>
      </c>
      <c r="T1" s="166"/>
      <c r="V1" s="166" t="s">
        <v>3896</v>
      </c>
      <c r="X1" s="166" t="s">
        <v>3901</v>
      </c>
      <c r="Y1" s="166" t="s">
        <v>3900</v>
      </c>
      <c r="AA1" s="166" t="s">
        <v>3897</v>
      </c>
      <c r="AD1" s="166" t="s">
        <v>3899</v>
      </c>
      <c r="AE1" s="166" t="s">
        <v>3900</v>
      </c>
      <c r="AG1" s="166" t="s">
        <v>3905</v>
      </c>
      <c r="AJ1" s="166" t="s">
        <v>3903</v>
      </c>
      <c r="AK1" s="166" t="s">
        <v>3900</v>
      </c>
      <c r="AL1" s="166"/>
      <c r="AN1" s="166" t="s">
        <v>3906</v>
      </c>
      <c r="AQ1" s="166" t="s">
        <v>3907</v>
      </c>
      <c r="AR1" s="166" t="s">
        <v>3900</v>
      </c>
      <c r="AT1" s="166" t="s">
        <v>3908</v>
      </c>
      <c r="AW1" s="166" t="s">
        <v>3910</v>
      </c>
      <c r="AX1" s="166" t="s">
        <v>3900</v>
      </c>
      <c r="AZ1" s="166" t="s">
        <v>3931</v>
      </c>
      <c r="BA1" s="166"/>
      <c r="BC1" s="166" t="s">
        <v>3909</v>
      </c>
      <c r="BF1" s="166" t="s">
        <v>3904</v>
      </c>
      <c r="BG1" s="166"/>
      <c r="BH1" s="166"/>
      <c r="BI1" s="166" t="s">
        <v>3900</v>
      </c>
      <c r="BJ1" s="166"/>
      <c r="BK1" s="166"/>
      <c r="BN1" s="166" t="s">
        <v>3914</v>
      </c>
    </row>
    <row r="2" spans="2:73" ht="12" customHeight="1">
      <c r="B2" s="166" t="s">
        <v>2163</v>
      </c>
      <c r="D2" s="392" t="s">
        <v>3892</v>
      </c>
      <c r="E2" s="392" t="s">
        <v>3889</v>
      </c>
      <c r="G2" s="166" t="s">
        <v>2163</v>
      </c>
      <c r="I2" s="392" t="s">
        <v>3892</v>
      </c>
      <c r="J2" s="392" t="s">
        <v>3889</v>
      </c>
      <c r="L2" s="166" t="s">
        <v>2163</v>
      </c>
      <c r="N2" s="392" t="s">
        <v>3892</v>
      </c>
      <c r="O2" s="392" t="s">
        <v>3889</v>
      </c>
      <c r="P2" s="392" t="s">
        <v>2149</v>
      </c>
      <c r="Q2" s="392"/>
      <c r="S2" s="392" t="s">
        <v>1147</v>
      </c>
      <c r="T2" s="392" t="s">
        <v>3891</v>
      </c>
      <c r="V2" s="166" t="s">
        <v>2163</v>
      </c>
      <c r="X2" s="392" t="s">
        <v>3892</v>
      </c>
      <c r="Y2" s="392" t="s">
        <v>3889</v>
      </c>
      <c r="AA2" s="166" t="s">
        <v>2163</v>
      </c>
      <c r="AC2" s="392" t="s">
        <v>3892</v>
      </c>
      <c r="AD2" s="392" t="s">
        <v>3889</v>
      </c>
      <c r="AG2" s="166" t="s">
        <v>2163</v>
      </c>
      <c r="AI2" s="392" t="s">
        <v>3892</v>
      </c>
      <c r="AJ2" s="392" t="s">
        <v>3889</v>
      </c>
      <c r="AK2" s="392" t="s">
        <v>2149</v>
      </c>
      <c r="AN2" s="166" t="s">
        <v>2163</v>
      </c>
      <c r="AP2" s="392" t="s">
        <v>3892</v>
      </c>
      <c r="AQ2" s="392" t="s">
        <v>3889</v>
      </c>
      <c r="AT2" s="166" t="s">
        <v>2163</v>
      </c>
      <c r="AV2" s="392" t="s">
        <v>3892</v>
      </c>
      <c r="AW2" s="392" t="s">
        <v>3889</v>
      </c>
      <c r="AZ2" s="392" t="s">
        <v>1147</v>
      </c>
      <c r="BA2" s="392" t="s">
        <v>3891</v>
      </c>
      <c r="BC2" s="166" t="s">
        <v>2163</v>
      </c>
      <c r="BE2" s="392" t="s">
        <v>3892</v>
      </c>
      <c r="BF2" s="392" t="s">
        <v>3889</v>
      </c>
      <c r="BG2" s="392"/>
      <c r="BH2" s="392"/>
      <c r="BI2" s="392" t="s">
        <v>3930</v>
      </c>
      <c r="BJ2" s="392"/>
      <c r="BK2" s="392"/>
      <c r="BN2" s="166" t="s">
        <v>3913</v>
      </c>
      <c r="BP2" t="s">
        <v>3917</v>
      </c>
    </row>
    <row r="3" spans="2:73" ht="12" customHeight="1">
      <c r="B3" s="166" t="s">
        <v>3890</v>
      </c>
      <c r="C3" s="166" t="s">
        <v>3891</v>
      </c>
      <c r="D3" s="392" t="s">
        <v>3890</v>
      </c>
      <c r="E3" s="166" t="s">
        <v>3891</v>
      </c>
      <c r="G3" s="166" t="s">
        <v>3890</v>
      </c>
      <c r="H3" s="166" t="s">
        <v>3891</v>
      </c>
      <c r="I3" s="392" t="s">
        <v>3890</v>
      </c>
      <c r="J3" s="166" t="s">
        <v>3891</v>
      </c>
      <c r="L3" s="166" t="s">
        <v>3890</v>
      </c>
      <c r="M3" s="166" t="s">
        <v>3891</v>
      </c>
      <c r="N3" s="392" t="s">
        <v>3890</v>
      </c>
      <c r="O3" s="166" t="s">
        <v>3891</v>
      </c>
      <c r="P3" s="392" t="s">
        <v>3890</v>
      </c>
      <c r="Q3" s="166" t="s">
        <v>3891</v>
      </c>
      <c r="V3" s="166" t="s">
        <v>3890</v>
      </c>
      <c r="W3" s="166" t="s">
        <v>3891</v>
      </c>
      <c r="X3" s="392" t="s">
        <v>3890</v>
      </c>
      <c r="Y3" s="166" t="s">
        <v>3891</v>
      </c>
      <c r="AA3" s="166" t="s">
        <v>3890</v>
      </c>
      <c r="AB3" s="166" t="s">
        <v>3891</v>
      </c>
      <c r="AC3" s="392" t="s">
        <v>3890</v>
      </c>
      <c r="AD3" s="166" t="s">
        <v>3891</v>
      </c>
      <c r="AG3" s="166" t="s">
        <v>3890</v>
      </c>
      <c r="AH3" s="166" t="s">
        <v>3891</v>
      </c>
      <c r="AI3" s="392" t="s">
        <v>3890</v>
      </c>
      <c r="AJ3" s="166" t="s">
        <v>3891</v>
      </c>
      <c r="AK3" s="392" t="s">
        <v>3890</v>
      </c>
      <c r="AL3" s="166" t="s">
        <v>3891</v>
      </c>
      <c r="AN3" s="166" t="s">
        <v>3890</v>
      </c>
      <c r="AO3" s="166" t="s">
        <v>3891</v>
      </c>
      <c r="AP3" s="392" t="s">
        <v>3890</v>
      </c>
      <c r="AQ3" s="166" t="s">
        <v>3891</v>
      </c>
      <c r="AT3" s="166" t="s">
        <v>3890</v>
      </c>
      <c r="AU3" s="166" t="s">
        <v>3891</v>
      </c>
      <c r="AV3" s="392" t="s">
        <v>3890</v>
      </c>
      <c r="AW3" s="166" t="s">
        <v>3891</v>
      </c>
      <c r="BC3" s="166" t="s">
        <v>3890</v>
      </c>
      <c r="BD3" s="166" t="s">
        <v>3891</v>
      </c>
      <c r="BE3" s="392" t="s">
        <v>3890</v>
      </c>
      <c r="BF3" s="166" t="s">
        <v>3891</v>
      </c>
      <c r="BG3" s="166" t="s">
        <v>3928</v>
      </c>
      <c r="BH3" s="166" t="s">
        <v>3929</v>
      </c>
      <c r="BI3" s="166" t="s">
        <v>3924</v>
      </c>
      <c r="BJ3" s="166" t="s">
        <v>3926</v>
      </c>
      <c r="BK3" s="166" t="s">
        <v>3925</v>
      </c>
      <c r="BL3" s="166" t="s">
        <v>3927</v>
      </c>
      <c r="BN3" s="166" t="s">
        <v>2163</v>
      </c>
      <c r="BR3" s="392" t="s">
        <v>3892</v>
      </c>
      <c r="BS3" s="392" t="s">
        <v>3889</v>
      </c>
    </row>
    <row r="4" spans="2:73" ht="12" customHeight="1">
      <c r="B4" t="str">
        <f>TBIDry!H76</f>
        <v>G407</v>
      </c>
      <c r="C4" t="str">
        <f>TBIDry!I76</f>
        <v>R811</v>
      </c>
      <c r="D4" t="b">
        <f>COUNTIF($B$4:$B$2000, B4)&gt;1</f>
        <v>0</v>
      </c>
      <c r="E4" t="b">
        <f>COUNTIF($C$4:$C$2000, C4)&gt;1</f>
        <v>0</v>
      </c>
      <c r="G4" t="str">
        <f>TBIWet!H76</f>
        <v>G436</v>
      </c>
      <c r="H4" t="str">
        <f>TBIWet!I76</f>
        <v>R17</v>
      </c>
      <c r="I4" t="b">
        <f>COUNTIF($G$4:$G$2000, G4)&gt;1</f>
        <v>0</v>
      </c>
      <c r="J4" t="b">
        <f>COUNTIF($H$4:$H$2000, H4)&gt;1</f>
        <v>0</v>
      </c>
      <c r="L4" t="str">
        <f>'Both teabags AfterWet'!A3</f>
        <v>G154</v>
      </c>
      <c r="M4" t="str">
        <f>'Both teabags AfterWet'!A421</f>
        <v>R1</v>
      </c>
      <c r="N4" t="b">
        <f>COUNTIF($L$4:$L$2000, L4)&gt;1</f>
        <v>0</v>
      </c>
      <c r="O4" t="b">
        <f>COUNTIF($M$4:$M$2000, M4)&gt;1</f>
        <v>0</v>
      </c>
      <c r="P4" t="str">
        <f>IFERROR('Both teabags AfterWet'!B3,"")</f>
        <v>n.a</v>
      </c>
      <c r="Q4">
        <f>'Both teabags AfterWet'!B421</f>
        <v>86</v>
      </c>
      <c r="S4" s="401" t="b">
        <f>COUNTIF($V$4:$V$2000, L4)=1</f>
        <v>0</v>
      </c>
      <c r="T4" s="401" t="b">
        <f>COUNTIF($W$4:$W$2000, M4)=1</f>
        <v>0</v>
      </c>
      <c r="V4" t="str">
        <f>'Both teabags AfterDry'!A3</f>
        <v>G1</v>
      </c>
      <c r="W4" t="str">
        <f>'Both teabags AfterDry'!A340</f>
        <v>R106</v>
      </c>
      <c r="X4" t="b">
        <f>COUNTIF($V$4:$V$2000, V4)&gt;1</f>
        <v>0</v>
      </c>
      <c r="Y4" t="b">
        <f>COUNTIF($W$4:$W$2000, W4)&gt;1</f>
        <v>0</v>
      </c>
      <c r="AA4" t="str">
        <f>'Green_rooibos initial weight'!A5</f>
        <v>G1</v>
      </c>
      <c r="AB4" t="str">
        <f>'Green_rooibos initial weight'!A909</f>
        <v>R1</v>
      </c>
      <c r="AC4" t="b">
        <f>COUNTIF($AA$4:$AA$2000, AA4)&gt;1</f>
        <v>0</v>
      </c>
      <c r="AD4" t="b">
        <f>COUNTIF($AB$4:$AB$2000, AB4)&gt;1</f>
        <v>0</v>
      </c>
      <c r="AG4" t="str">
        <f>'WetLitterbags placem_collection'!K3</f>
        <v>G436</v>
      </c>
      <c r="AH4" t="str">
        <f>'WetLitterbags placem_collection'!M3</f>
        <v>R17</v>
      </c>
      <c r="AI4" t="b">
        <f>COUNTIF($AG$4:$AG$2000, AG4)&gt;1</f>
        <v>0</v>
      </c>
      <c r="AJ4" t="b">
        <f>COUNTIF($AH$4:$AH$2000, AH4)&gt;1</f>
        <v>0</v>
      </c>
      <c r="AK4">
        <f>'WetLitterbags placem_collection'!A3</f>
        <v>1</v>
      </c>
      <c r="AL4">
        <f>'WetLitterbags placem_collection'!A3</f>
        <v>1</v>
      </c>
      <c r="AN4">
        <f>IF('Dry_Litterbag Placem_Collection'!J3=0,"",'Dry_Litterbag Placem_Collection'!J3)</f>
        <v>407</v>
      </c>
      <c r="AO4">
        <f>IF('Dry_Litterbag Placem_Collection'!K3=0,"",'Dry_Litterbag Placem_Collection'!K3)</f>
        <v>811</v>
      </c>
      <c r="AP4" t="b">
        <f>COUNTIF($AN$4:$AN$2000, AN4)&gt;1</f>
        <v>0</v>
      </c>
      <c r="AQ4" t="b">
        <f>COUNTIF($AO$4:$AO$2000, AO4)&gt;1</f>
        <v>0</v>
      </c>
      <c r="AT4" t="str">
        <f>'Ashed teabags dry'!A2</f>
        <v>G1</v>
      </c>
      <c r="AU4" t="str">
        <f>'Ashed teabags dry'!A339</f>
        <v>R106</v>
      </c>
      <c r="AV4" t="b">
        <f>COUNTIF($AT$4:$AT$2000, AT4)&gt;1</f>
        <v>0</v>
      </c>
      <c r="AW4" t="b">
        <f>COUNTIF($AU$4:$AU$2000, AU4)&gt;1</f>
        <v>0</v>
      </c>
      <c r="AZ4" s="401" t="b">
        <f>COUNTIF($BC$4:$BC$2000, AT4)=1</f>
        <v>0</v>
      </c>
      <c r="BA4" s="401" t="b">
        <f>COUNTIF($BD$4:$BD$2000, AU4)=1</f>
        <v>0</v>
      </c>
      <c r="BC4" t="str">
        <f>'Ashed teabags wet'!A2</f>
        <v>G201</v>
      </c>
      <c r="BD4" t="str">
        <f>'Ashed teabags wet'!A419</f>
        <v>R10</v>
      </c>
      <c r="BE4" t="b">
        <f>COUNTIF($BC$4:$BC$2000, BC4)&gt;1</f>
        <v>0</v>
      </c>
      <c r="BF4" t="b">
        <f>COUNTIF($BD$4:$BD$2000, BD4)&gt;1</f>
        <v>0</v>
      </c>
      <c r="BG4">
        <f>IFERROR('Ashed teabags wet'!C2,"")</f>
        <v>32</v>
      </c>
      <c r="BH4">
        <f>IFERROR('Ashed teabags wet'!C419,"")</f>
        <v>101</v>
      </c>
      <c r="BI4" t="str">
        <f>'Ashed teabags wet'!AB2</f>
        <v/>
      </c>
      <c r="BJ4" t="str">
        <f>'Ashed teabags wet'!AC2</f>
        <v/>
      </c>
      <c r="BK4" t="str">
        <f>'Ashed teabags wet'!AD419</f>
        <v/>
      </c>
      <c r="BL4">
        <f>'Ashed teabags wet'!AE419</f>
        <v>100</v>
      </c>
      <c r="BN4" s="166" t="s">
        <v>3890</v>
      </c>
      <c r="BQ4" s="166" t="s">
        <v>3891</v>
      </c>
      <c r="BR4" s="392" t="s">
        <v>3890</v>
      </c>
      <c r="BT4" t="s">
        <v>3915</v>
      </c>
      <c r="BU4" s="166" t="s">
        <v>3891</v>
      </c>
    </row>
    <row r="5" spans="2:73" ht="12" customHeight="1">
      <c r="B5" t="str">
        <f>TBIDry!H77</f>
        <v/>
      </c>
      <c r="C5" t="str">
        <f>TBIDry!I77</f>
        <v/>
      </c>
      <c r="D5" t="b">
        <f t="shared" ref="D5:D68" si="0">COUNTIF($B$4:$B$2000, B5)&gt;1</f>
        <v>1</v>
      </c>
      <c r="E5" t="b">
        <f t="shared" ref="E5:E68" si="1">COUNTIF($C$4:$C$2000, C5)&gt;1</f>
        <v>1</v>
      </c>
      <c r="G5" t="str">
        <f>TBIWet!H77</f>
        <v>G568</v>
      </c>
      <c r="H5" t="str">
        <f>TBIWet!I77</f>
        <v>R121</v>
      </c>
      <c r="I5" t="b">
        <f t="shared" ref="I5:I68" si="2">COUNTIF($G$4:$G$2000, G5)&gt;1</f>
        <v>0</v>
      </c>
      <c r="J5" t="b">
        <f>COUNTIF($H$4:$H$2000, H5)&gt;1</f>
        <v>0</v>
      </c>
      <c r="L5" t="str">
        <f>'Both teabags AfterWet'!A4</f>
        <v>G201</v>
      </c>
      <c r="M5" t="str">
        <f>'Both teabags AfterWet'!A422</f>
        <v>R10</v>
      </c>
      <c r="N5" t="b">
        <f t="shared" ref="N5:N68" si="3">COUNTIF($L$4:$L$2000, L5)&gt;1</f>
        <v>0</v>
      </c>
      <c r="O5" t="b">
        <f t="shared" ref="O5:O68" si="4">COUNTIF($M$4:$M$2000, M5)&gt;1</f>
        <v>0</v>
      </c>
      <c r="P5" t="str">
        <f>IFERROR('Both teabags AfterWet'!B4,"")</f>
        <v>n.a</v>
      </c>
      <c r="Q5" t="str">
        <f>'Both teabags AfterWet'!B422</f>
        <v>n.a</v>
      </c>
      <c r="S5" s="401" t="b">
        <f t="shared" ref="S5:S68" si="5">COUNTIF($V$4:$V$2000, L5)=1</f>
        <v>0</v>
      </c>
      <c r="T5" s="401" t="b">
        <f t="shared" ref="T5:T68" si="6">COUNTIF($W$4:$W$2000, M5)=1</f>
        <v>0</v>
      </c>
      <c r="V5" t="str">
        <f>'Both teabags AfterDry'!A4</f>
        <v>G10</v>
      </c>
      <c r="W5" t="str">
        <f>'Both teabags AfterDry'!A341</f>
        <v>R108</v>
      </c>
      <c r="X5" t="b">
        <f t="shared" ref="X5:X68" si="7">COUNTIF($V$4:$V$2000, V5)&gt;1</f>
        <v>0</v>
      </c>
      <c r="Y5" t="b">
        <f t="shared" ref="Y5:Y68" si="8">COUNTIF($W$4:$W$2000, W5)&gt;1</f>
        <v>0</v>
      </c>
      <c r="AA5" t="str">
        <f>'Green_rooibos initial weight'!A6</f>
        <v>G2</v>
      </c>
      <c r="AB5" t="str">
        <f>'Green_rooibos initial weight'!A910</f>
        <v>R2</v>
      </c>
      <c r="AC5" t="b">
        <f t="shared" ref="AC5:AC68" si="9">COUNTIF($AA$4:$AA$2000, AA5)&gt;1</f>
        <v>0</v>
      </c>
      <c r="AD5" t="b">
        <f t="shared" ref="AD5:AD68" si="10">COUNTIF($AB$4:$AB$2000, AB5)&gt;1</f>
        <v>0</v>
      </c>
      <c r="AG5" t="str">
        <f>'WetLitterbags placem_collection'!K4</f>
        <v>G568</v>
      </c>
      <c r="AH5" t="str">
        <f>'WetLitterbags placem_collection'!M4</f>
        <v>R121</v>
      </c>
      <c r="AI5" t="b">
        <f t="shared" ref="AI5:AI68" si="11">COUNTIF($AG$4:$AG$2000, AG5)&gt;1</f>
        <v>0</v>
      </c>
      <c r="AJ5" t="b">
        <f t="shared" ref="AJ5:AJ68" si="12">COUNTIF($AH$4:$AH$2000, AH5)&gt;1</f>
        <v>0</v>
      </c>
      <c r="AK5">
        <f>'WetLitterbags placem_collection'!A4</f>
        <v>2</v>
      </c>
      <c r="AL5">
        <f>'WetLitterbags placem_collection'!A4</f>
        <v>2</v>
      </c>
      <c r="AN5" t="str">
        <f>IF('Dry_Litterbag Placem_Collection'!J4=0,"",'Dry_Litterbag Placem_Collection'!J4)</f>
        <v/>
      </c>
      <c r="AO5" t="str">
        <f>IF('Dry_Litterbag Placem_Collection'!K4=0,"",'Dry_Litterbag Placem_Collection'!K4)</f>
        <v/>
      </c>
      <c r="AP5" t="b">
        <f t="shared" ref="AP5:AP68" si="13">COUNTIF($AN$4:$AN$2000, AN5)&gt;1</f>
        <v>1</v>
      </c>
      <c r="AQ5" t="b">
        <f t="shared" ref="AQ5:AQ68" si="14">COUNTIF($AO$4:$AO$2000, AO5)&gt;1</f>
        <v>1</v>
      </c>
      <c r="AT5" t="str">
        <f>'Ashed teabags dry'!A3</f>
        <v>G10</v>
      </c>
      <c r="AU5" t="str">
        <f>'Ashed teabags dry'!A340</f>
        <v>R108</v>
      </c>
      <c r="AV5" t="b">
        <f t="shared" ref="AV5:AV68" si="15">COUNTIF($AT$4:$AT$2000, AT5)&gt;1</f>
        <v>0</v>
      </c>
      <c r="AW5" t="b">
        <f t="shared" ref="AW5:AW68" si="16">COUNTIF($AU$4:$AU$2000, AU5)&gt;1</f>
        <v>0</v>
      </c>
      <c r="AZ5" s="401" t="b">
        <f t="shared" ref="AZ5:AZ68" si="17">COUNTIF($BC$4:$BC$2000, AT5)=1</f>
        <v>0</v>
      </c>
      <c r="BA5" s="401" t="b">
        <f t="shared" ref="BA5:BA68" si="18">COUNTIF($BD$4:$BD$2000, AU5)=1</f>
        <v>0</v>
      </c>
      <c r="BC5" t="str">
        <f>'Ashed teabags wet'!A3</f>
        <v>G202</v>
      </c>
      <c r="BD5" t="str">
        <f>'Ashed teabags wet'!A420</f>
        <v>R100</v>
      </c>
      <c r="BE5" t="b">
        <f t="shared" ref="BE5:BE68" si="19">COUNTIF($BC$4:$BC$2000, BC5)&gt;1</f>
        <v>0</v>
      </c>
      <c r="BF5" t="b">
        <f t="shared" ref="BF5:BF68" si="20">COUNTIF($BD$4:$BD$2000, BD5)&gt;1</f>
        <v>0</v>
      </c>
      <c r="BG5">
        <f>IFERROR('Ashed teabags wet'!C3,"")</f>
        <v>163</v>
      </c>
      <c r="BH5">
        <f>IFERROR('Ashed teabags wet'!C420,"")</f>
        <v>78</v>
      </c>
      <c r="BI5">
        <f>'Ashed teabags wet'!AB3</f>
        <v>162</v>
      </c>
      <c r="BJ5" t="str">
        <f>'Ashed teabags wet'!AC3</f>
        <v/>
      </c>
      <c r="BK5" t="str">
        <f>'Ashed teabags wet'!AD420</f>
        <v/>
      </c>
      <c r="BL5">
        <f>'Ashed teabags wet'!AE420</f>
        <v>77</v>
      </c>
      <c r="BN5" t="str">
        <f t="shared" ref="BN5:BN68" si="21">BC4</f>
        <v>G201</v>
      </c>
      <c r="BO5" t="b">
        <f>COUNTIF($BN$5:$BN$2000, BN5)&gt;1</f>
        <v>1</v>
      </c>
      <c r="BP5" s="402"/>
    </row>
    <row r="6" spans="2:73" ht="12" customHeight="1">
      <c r="B6" t="str">
        <f>TBIDry!H78</f>
        <v>G259</v>
      </c>
      <c r="C6" t="str">
        <f>TBIDry!I78</f>
        <v>R742</v>
      </c>
      <c r="D6" t="b">
        <f t="shared" si="0"/>
        <v>0</v>
      </c>
      <c r="E6" t="b">
        <f t="shared" si="1"/>
        <v>0</v>
      </c>
      <c r="G6" t="str">
        <f>TBIWet!H78</f>
        <v>G631</v>
      </c>
      <c r="H6" t="str">
        <f>TBIWet!I78</f>
        <v>R158</v>
      </c>
      <c r="I6" t="b">
        <f t="shared" si="2"/>
        <v>0</v>
      </c>
      <c r="J6" t="b">
        <f t="shared" ref="J6:J68" si="22">COUNTIF($H$4:$H$2000, H6)&gt;1</f>
        <v>0</v>
      </c>
      <c r="L6" t="str">
        <f>'Both teabags AfterWet'!A5</f>
        <v>G202</v>
      </c>
      <c r="M6" t="str">
        <f>'Both teabags AfterWet'!A423</f>
        <v>R100</v>
      </c>
      <c r="N6" t="b">
        <f t="shared" si="3"/>
        <v>0</v>
      </c>
      <c r="O6" t="b">
        <f t="shared" si="4"/>
        <v>0</v>
      </c>
      <c r="P6">
        <f>IFERROR('Both teabags AfterWet'!B5,"")</f>
        <v>163</v>
      </c>
      <c r="Q6" t="str">
        <f>'Both teabags AfterWet'!B423</f>
        <v>n.a</v>
      </c>
      <c r="S6" s="401" t="b">
        <f t="shared" si="5"/>
        <v>0</v>
      </c>
      <c r="T6" s="401" t="b">
        <f t="shared" si="6"/>
        <v>0</v>
      </c>
      <c r="V6" t="str">
        <f>'Both teabags AfterDry'!A5</f>
        <v>G101</v>
      </c>
      <c r="W6" t="str">
        <f>'Both teabags AfterDry'!A342</f>
        <v>R116</v>
      </c>
      <c r="X6" t="b">
        <f t="shared" si="7"/>
        <v>0</v>
      </c>
      <c r="Y6" t="b">
        <f t="shared" si="8"/>
        <v>0</v>
      </c>
      <c r="AA6" t="str">
        <f>'Green_rooibos initial weight'!A7</f>
        <v>G3</v>
      </c>
      <c r="AB6" t="str">
        <f>'Green_rooibos initial weight'!A911</f>
        <v>R3</v>
      </c>
      <c r="AC6" t="b">
        <f t="shared" si="9"/>
        <v>0</v>
      </c>
      <c r="AD6" t="b">
        <f t="shared" si="10"/>
        <v>0</v>
      </c>
      <c r="AG6" t="str">
        <f>'WetLitterbags placem_collection'!K5</f>
        <v>G631</v>
      </c>
      <c r="AH6" t="str">
        <f>'WetLitterbags placem_collection'!M5</f>
        <v>R158</v>
      </c>
      <c r="AI6" t="b">
        <f t="shared" si="11"/>
        <v>0</v>
      </c>
      <c r="AJ6" t="b">
        <f t="shared" si="12"/>
        <v>0</v>
      </c>
      <c r="AK6">
        <f>'WetLitterbags placem_collection'!A5</f>
        <v>3</v>
      </c>
      <c r="AL6">
        <f>'WetLitterbags placem_collection'!A5</f>
        <v>3</v>
      </c>
      <c r="AN6">
        <f>IF('Dry_Litterbag Placem_Collection'!J5=0,"",'Dry_Litterbag Placem_Collection'!J5)</f>
        <v>259</v>
      </c>
      <c r="AO6">
        <f>IF('Dry_Litterbag Placem_Collection'!K5=0,"",'Dry_Litterbag Placem_Collection'!K5)</f>
        <v>742</v>
      </c>
      <c r="AP6" t="b">
        <f t="shared" si="13"/>
        <v>0</v>
      </c>
      <c r="AQ6" t="b">
        <f t="shared" si="14"/>
        <v>0</v>
      </c>
      <c r="AT6" t="str">
        <f>'Ashed teabags dry'!A4</f>
        <v>G101</v>
      </c>
      <c r="AU6" t="str">
        <f>'Ashed teabags dry'!A341</f>
        <v>R116</v>
      </c>
      <c r="AV6" t="b">
        <f t="shared" si="15"/>
        <v>0</v>
      </c>
      <c r="AW6" t="b">
        <f t="shared" si="16"/>
        <v>0</v>
      </c>
      <c r="AZ6" s="401" t="b">
        <f t="shared" si="17"/>
        <v>0</v>
      </c>
      <c r="BA6" s="401" t="b">
        <f t="shared" si="18"/>
        <v>0</v>
      </c>
      <c r="BC6" t="str">
        <f>'Ashed teabags wet'!A4</f>
        <v>G214</v>
      </c>
      <c r="BD6" t="str">
        <f>'Ashed teabags wet'!A421</f>
        <v>R101</v>
      </c>
      <c r="BE6" t="b">
        <f t="shared" si="19"/>
        <v>0</v>
      </c>
      <c r="BF6" t="b">
        <f t="shared" si="20"/>
        <v>0</v>
      </c>
      <c r="BG6">
        <f>IFERROR('Ashed teabags wet'!C4,"")</f>
        <v>39</v>
      </c>
      <c r="BH6">
        <f>IFERROR('Ashed teabags wet'!C421,"")</f>
        <v>9</v>
      </c>
      <c r="BI6">
        <f>'Ashed teabags wet'!AB4</f>
        <v>38</v>
      </c>
      <c r="BJ6" t="str">
        <f>'Ashed teabags wet'!AC4</f>
        <v/>
      </c>
      <c r="BK6" t="str">
        <f>'Ashed teabags wet'!AD421</f>
        <v/>
      </c>
      <c r="BL6">
        <f>'Ashed teabags wet'!AE421</f>
        <v>8</v>
      </c>
      <c r="BN6" t="str">
        <f t="shared" si="21"/>
        <v>G202</v>
      </c>
      <c r="BO6" t="b">
        <f t="shared" ref="BO6:BO69" si="23">COUNTIF($BN$5:$BN$2000, BN6)&gt;1</f>
        <v>1</v>
      </c>
    </row>
    <row r="7" spans="2:73" ht="12" customHeight="1">
      <c r="B7" t="str">
        <f>TBIDry!H79</f>
        <v>G255</v>
      </c>
      <c r="C7" t="str">
        <f>TBIDry!I79</f>
        <v>R661</v>
      </c>
      <c r="D7" t="b">
        <f t="shared" si="0"/>
        <v>0</v>
      </c>
      <c r="E7" t="b">
        <f t="shared" si="1"/>
        <v>0</v>
      </c>
      <c r="G7" t="str">
        <f>TBIWet!H79</f>
        <v>G652</v>
      </c>
      <c r="H7" t="str">
        <f>TBIWet!I79</f>
        <v>R115</v>
      </c>
      <c r="I7" t="b">
        <f t="shared" si="2"/>
        <v>0</v>
      </c>
      <c r="J7" t="b">
        <f t="shared" si="22"/>
        <v>0</v>
      </c>
      <c r="L7" t="str">
        <f>'Both teabags AfterWet'!A6</f>
        <v>G214</v>
      </c>
      <c r="M7" t="str">
        <f>'Both teabags AfterWet'!A424</f>
        <v>R101</v>
      </c>
      <c r="N7" t="b">
        <f t="shared" si="3"/>
        <v>0</v>
      </c>
      <c r="O7" t="b">
        <f t="shared" si="4"/>
        <v>0</v>
      </c>
      <c r="P7">
        <f>IFERROR('Both teabags AfterWet'!B6,"")</f>
        <v>39</v>
      </c>
      <c r="Q7" t="str">
        <f>'Both teabags AfterWet'!B424</f>
        <v>n.a</v>
      </c>
      <c r="S7" s="401" t="b">
        <f t="shared" si="5"/>
        <v>0</v>
      </c>
      <c r="T7" s="401" t="b">
        <f t="shared" si="6"/>
        <v>0</v>
      </c>
      <c r="V7" t="str">
        <f>'Both teabags AfterDry'!A6</f>
        <v>G102</v>
      </c>
      <c r="W7" t="str">
        <f>'Both teabags AfterDry'!A343</f>
        <v>R118</v>
      </c>
      <c r="X7" t="b">
        <f t="shared" si="7"/>
        <v>0</v>
      </c>
      <c r="Y7" t="b">
        <f t="shared" si="8"/>
        <v>0</v>
      </c>
      <c r="AA7" t="str">
        <f>'Green_rooibos initial weight'!A8</f>
        <v>G4</v>
      </c>
      <c r="AB7" t="str">
        <f>'Green_rooibos initial weight'!A912</f>
        <v>R4</v>
      </c>
      <c r="AC7" t="b">
        <f t="shared" si="9"/>
        <v>0</v>
      </c>
      <c r="AD7" t="b">
        <f t="shared" si="10"/>
        <v>0</v>
      </c>
      <c r="AG7" t="str">
        <f>'WetLitterbags placem_collection'!K6</f>
        <v>G652</v>
      </c>
      <c r="AH7" t="str">
        <f>'WetLitterbags placem_collection'!M6</f>
        <v>R115</v>
      </c>
      <c r="AI7" t="b">
        <f t="shared" si="11"/>
        <v>0</v>
      </c>
      <c r="AJ7" t="b">
        <f t="shared" si="12"/>
        <v>0</v>
      </c>
      <c r="AK7">
        <f>'WetLitterbags placem_collection'!A6</f>
        <v>4</v>
      </c>
      <c r="AL7">
        <f>'WetLitterbags placem_collection'!A6</f>
        <v>4</v>
      </c>
      <c r="AN7">
        <f>IF('Dry_Litterbag Placem_Collection'!J6=0,"",'Dry_Litterbag Placem_Collection'!J6)</f>
        <v>255</v>
      </c>
      <c r="AO7">
        <f>IF('Dry_Litterbag Placem_Collection'!K6=0,"",'Dry_Litterbag Placem_Collection'!K6)</f>
        <v>661</v>
      </c>
      <c r="AP7" t="b">
        <f t="shared" si="13"/>
        <v>0</v>
      </c>
      <c r="AQ7" t="b">
        <f t="shared" si="14"/>
        <v>0</v>
      </c>
      <c r="AT7" t="str">
        <f>'Ashed teabags dry'!A5</f>
        <v>G102</v>
      </c>
      <c r="AU7" t="str">
        <f>'Ashed teabags dry'!A342</f>
        <v>R118</v>
      </c>
      <c r="AV7" t="b">
        <f t="shared" si="15"/>
        <v>0</v>
      </c>
      <c r="AW7" t="b">
        <f t="shared" si="16"/>
        <v>0</v>
      </c>
      <c r="AZ7" s="401" t="b">
        <f t="shared" si="17"/>
        <v>0</v>
      </c>
      <c r="BA7" s="401" t="b">
        <f t="shared" si="18"/>
        <v>0</v>
      </c>
      <c r="BC7" t="str">
        <f>'Ashed teabags wet'!A5</f>
        <v>G216</v>
      </c>
      <c r="BD7" t="str">
        <f>'Ashed teabags wet'!A422</f>
        <v>R103</v>
      </c>
      <c r="BE7" t="b">
        <f t="shared" si="19"/>
        <v>0</v>
      </c>
      <c r="BF7" t="b">
        <f t="shared" si="20"/>
        <v>0</v>
      </c>
      <c r="BG7">
        <f>IFERROR('Ashed teabags wet'!C5,"")</f>
        <v>173</v>
      </c>
      <c r="BH7">
        <f>IFERROR('Ashed teabags wet'!C422,"")</f>
        <v>218</v>
      </c>
      <c r="BI7">
        <f>'Ashed teabags wet'!AB5</f>
        <v>172</v>
      </c>
      <c r="BJ7" t="str">
        <f>'Ashed teabags wet'!AC5</f>
        <v/>
      </c>
      <c r="BK7" t="str">
        <f>'Ashed teabags wet'!AD422</f>
        <v/>
      </c>
      <c r="BL7">
        <f>'Ashed teabags wet'!AE422</f>
        <v>217</v>
      </c>
      <c r="BN7" t="str">
        <f t="shared" si="21"/>
        <v>G214</v>
      </c>
      <c r="BO7" t="b">
        <f t="shared" si="23"/>
        <v>1</v>
      </c>
    </row>
    <row r="8" spans="2:73" ht="12" customHeight="1">
      <c r="B8" t="str">
        <f>TBIDry!H80</f>
        <v>G122</v>
      </c>
      <c r="C8" t="str">
        <f>TBIDry!I80</f>
        <v>R724</v>
      </c>
      <c r="D8" t="b">
        <f t="shared" si="0"/>
        <v>0</v>
      </c>
      <c r="E8" t="b">
        <f t="shared" si="1"/>
        <v>0</v>
      </c>
      <c r="G8" t="str">
        <f>TBIWet!H80</f>
        <v>G497</v>
      </c>
      <c r="H8" t="str">
        <f>TBIWet!I80</f>
        <v>R502</v>
      </c>
      <c r="I8" t="b">
        <f t="shared" si="2"/>
        <v>0</v>
      </c>
      <c r="J8" t="b">
        <f t="shared" si="22"/>
        <v>0</v>
      </c>
      <c r="L8" t="str">
        <f>'Both teabags AfterWet'!A7</f>
        <v>G216</v>
      </c>
      <c r="M8" t="str">
        <f>'Both teabags AfterWet'!A425</f>
        <v>R103</v>
      </c>
      <c r="N8" t="b">
        <f t="shared" si="3"/>
        <v>0</v>
      </c>
      <c r="O8" t="b">
        <f t="shared" si="4"/>
        <v>0</v>
      </c>
      <c r="P8">
        <f>IFERROR('Both teabags AfterWet'!B7,"")</f>
        <v>173</v>
      </c>
      <c r="Q8" t="str">
        <f>'Both teabags AfterWet'!B425</f>
        <v>n.a</v>
      </c>
      <c r="S8" s="401" t="b">
        <f t="shared" si="5"/>
        <v>0</v>
      </c>
      <c r="T8" s="401" t="b">
        <f t="shared" si="6"/>
        <v>0</v>
      </c>
      <c r="V8" t="str">
        <f>'Both teabags AfterDry'!A7</f>
        <v>G105</v>
      </c>
      <c r="W8" t="str">
        <f>'Both teabags AfterDry'!A344</f>
        <v>R127</v>
      </c>
      <c r="X8" t="b">
        <f t="shared" si="7"/>
        <v>0</v>
      </c>
      <c r="Y8" t="b">
        <f t="shared" si="8"/>
        <v>0</v>
      </c>
      <c r="AA8" t="str">
        <f>'Green_rooibos initial weight'!A9</f>
        <v>G5</v>
      </c>
      <c r="AB8" t="str">
        <f>'Green_rooibos initial weight'!A913</f>
        <v>R5</v>
      </c>
      <c r="AC8" t="b">
        <f t="shared" si="9"/>
        <v>0</v>
      </c>
      <c r="AD8" t="b">
        <f t="shared" si="10"/>
        <v>0</v>
      </c>
      <c r="AG8" t="str">
        <f>'WetLitterbags placem_collection'!K7</f>
        <v>G497</v>
      </c>
      <c r="AH8" t="str">
        <f>'WetLitterbags placem_collection'!M7</f>
        <v>R502</v>
      </c>
      <c r="AI8" t="b">
        <f t="shared" si="11"/>
        <v>0</v>
      </c>
      <c r="AJ8" t="b">
        <f t="shared" si="12"/>
        <v>0</v>
      </c>
      <c r="AK8">
        <f>'WetLitterbags placem_collection'!A7</f>
        <v>5</v>
      </c>
      <c r="AL8">
        <f>'WetLitterbags placem_collection'!A7</f>
        <v>5</v>
      </c>
      <c r="AN8">
        <f>IF('Dry_Litterbag Placem_Collection'!J7=0,"",'Dry_Litterbag Placem_Collection'!J7)</f>
        <v>122</v>
      </c>
      <c r="AO8">
        <f>IF('Dry_Litterbag Placem_Collection'!K7=0,"",'Dry_Litterbag Placem_Collection'!K7)</f>
        <v>724</v>
      </c>
      <c r="AP8" t="b">
        <f t="shared" si="13"/>
        <v>0</v>
      </c>
      <c r="AQ8" t="b">
        <f t="shared" si="14"/>
        <v>0</v>
      </c>
      <c r="AT8" t="str">
        <f>'Ashed teabags dry'!A6</f>
        <v>G105</v>
      </c>
      <c r="AU8" t="str">
        <f>'Ashed teabags dry'!A343</f>
        <v>R127</v>
      </c>
      <c r="AV8" t="b">
        <f t="shared" si="15"/>
        <v>0</v>
      </c>
      <c r="AW8" t="b">
        <f t="shared" si="16"/>
        <v>0</v>
      </c>
      <c r="AZ8" s="401" t="b">
        <f t="shared" si="17"/>
        <v>0</v>
      </c>
      <c r="BA8" s="401" t="b">
        <f t="shared" si="18"/>
        <v>0</v>
      </c>
      <c r="BC8" t="str">
        <f>'Ashed teabags wet'!A6</f>
        <v>G217</v>
      </c>
      <c r="BD8" t="str">
        <f>'Ashed teabags wet'!A423</f>
        <v>R104</v>
      </c>
      <c r="BE8" t="b">
        <f t="shared" si="19"/>
        <v>0</v>
      </c>
      <c r="BF8" t="b">
        <f t="shared" si="20"/>
        <v>0</v>
      </c>
      <c r="BG8">
        <f>IFERROR('Ashed teabags wet'!C6,"")</f>
        <v>79</v>
      </c>
      <c r="BH8">
        <f>IFERROR('Ashed teabags wet'!C423,"")</f>
        <v>25</v>
      </c>
      <c r="BI8">
        <f>'Ashed teabags wet'!AB6</f>
        <v>78</v>
      </c>
      <c r="BJ8" t="str">
        <f>'Ashed teabags wet'!AC6</f>
        <v/>
      </c>
      <c r="BK8" t="str">
        <f>'Ashed teabags wet'!AD423</f>
        <v/>
      </c>
      <c r="BL8">
        <f>'Ashed teabags wet'!AE423</f>
        <v>24</v>
      </c>
      <c r="BN8" t="str">
        <f t="shared" si="21"/>
        <v>G216</v>
      </c>
      <c r="BO8" t="b">
        <f t="shared" si="23"/>
        <v>1</v>
      </c>
    </row>
    <row r="9" spans="2:73" ht="12" customHeight="1">
      <c r="B9" t="str">
        <f>TBIDry!H81</f>
        <v>G478</v>
      </c>
      <c r="C9" t="str">
        <f>TBIDry!I81</f>
        <v>R688</v>
      </c>
      <c r="D9" t="b">
        <f t="shared" si="0"/>
        <v>0</v>
      </c>
      <c r="E9" t="b">
        <f t="shared" si="1"/>
        <v>0</v>
      </c>
      <c r="G9" t="str">
        <f>TBIWet!H81</f>
        <v>G447</v>
      </c>
      <c r="H9" t="str">
        <f>TBIWet!I81</f>
        <v>R177</v>
      </c>
      <c r="I9" t="b">
        <f t="shared" si="2"/>
        <v>0</v>
      </c>
      <c r="J9" t="b">
        <f t="shared" si="22"/>
        <v>0</v>
      </c>
      <c r="L9" t="str">
        <f>'Both teabags AfterWet'!A8</f>
        <v>G217</v>
      </c>
      <c r="M9" t="str">
        <f>'Both teabags AfterWet'!A426</f>
        <v>R104</v>
      </c>
      <c r="N9" t="b">
        <f t="shared" si="3"/>
        <v>0</v>
      </c>
      <c r="O9" t="b">
        <f t="shared" si="4"/>
        <v>0</v>
      </c>
      <c r="P9">
        <f>IFERROR('Both teabags AfterWet'!B8,"")</f>
        <v>79</v>
      </c>
      <c r="Q9" t="str">
        <f>'Both teabags AfterWet'!B426</f>
        <v>n.a</v>
      </c>
      <c r="S9" s="401" t="b">
        <f t="shared" si="5"/>
        <v>0</v>
      </c>
      <c r="T9" s="401" t="b">
        <f t="shared" si="6"/>
        <v>0</v>
      </c>
      <c r="V9" t="str">
        <f>'Both teabags AfterDry'!A8</f>
        <v>G106</v>
      </c>
      <c r="W9" t="str">
        <f>'Both teabags AfterDry'!A345</f>
        <v>R13</v>
      </c>
      <c r="X9" t="b">
        <f t="shared" si="7"/>
        <v>0</v>
      </c>
      <c r="Y9" t="b">
        <f t="shared" si="8"/>
        <v>0</v>
      </c>
      <c r="AA9" t="str">
        <f>'Green_rooibos initial weight'!A10</f>
        <v>G6</v>
      </c>
      <c r="AB9" t="str">
        <f>'Green_rooibos initial weight'!A914</f>
        <v>R6</v>
      </c>
      <c r="AC9" t="b">
        <f t="shared" si="9"/>
        <v>0</v>
      </c>
      <c r="AD9" t="b">
        <f t="shared" si="10"/>
        <v>0</v>
      </c>
      <c r="AG9" t="str">
        <f>'WetLitterbags placem_collection'!K8</f>
        <v>G447</v>
      </c>
      <c r="AH9" t="str">
        <f>'WetLitterbags placem_collection'!M8</f>
        <v>R177</v>
      </c>
      <c r="AI9" t="b">
        <f t="shared" si="11"/>
        <v>0</v>
      </c>
      <c r="AJ9" t="b">
        <f t="shared" si="12"/>
        <v>0</v>
      </c>
      <c r="AK9">
        <f>'WetLitterbags placem_collection'!A8</f>
        <v>6</v>
      </c>
      <c r="AL9">
        <f>'WetLitterbags placem_collection'!A8</f>
        <v>6</v>
      </c>
      <c r="AN9">
        <f>IF('Dry_Litterbag Placem_Collection'!J8=0,"",'Dry_Litterbag Placem_Collection'!J8)</f>
        <v>478</v>
      </c>
      <c r="AO9">
        <f>IF('Dry_Litterbag Placem_Collection'!K8=0,"",'Dry_Litterbag Placem_Collection'!K8)</f>
        <v>688</v>
      </c>
      <c r="AP9" t="b">
        <f t="shared" si="13"/>
        <v>0</v>
      </c>
      <c r="AQ9" t="b">
        <f t="shared" si="14"/>
        <v>0</v>
      </c>
      <c r="AT9" t="str">
        <f>'Ashed teabags dry'!A7</f>
        <v>G106</v>
      </c>
      <c r="AU9" t="str">
        <f>'Ashed teabags dry'!A344</f>
        <v>R13</v>
      </c>
      <c r="AV9" t="b">
        <f t="shared" si="15"/>
        <v>0</v>
      </c>
      <c r="AW9" t="b">
        <f t="shared" si="16"/>
        <v>0</v>
      </c>
      <c r="AZ9" s="401" t="b">
        <f t="shared" si="17"/>
        <v>0</v>
      </c>
      <c r="BA9" s="401" t="b">
        <f t="shared" si="18"/>
        <v>0</v>
      </c>
      <c r="BC9" t="str">
        <f>'Ashed teabags wet'!A7</f>
        <v>G222</v>
      </c>
      <c r="BD9" t="str">
        <f>'Ashed teabags wet'!A424</f>
        <v>R105</v>
      </c>
      <c r="BE9" t="b">
        <f t="shared" si="19"/>
        <v>0</v>
      </c>
      <c r="BF9" t="b">
        <f t="shared" si="20"/>
        <v>0</v>
      </c>
      <c r="BG9">
        <f>IFERROR('Ashed teabags wet'!C7,"")</f>
        <v>15</v>
      </c>
      <c r="BH9">
        <f>IFERROR('Ashed teabags wet'!C424,"")</f>
        <v>173</v>
      </c>
      <c r="BI9">
        <f>'Ashed teabags wet'!AB7</f>
        <v>14</v>
      </c>
      <c r="BJ9" t="str">
        <f>'Ashed teabags wet'!AC7</f>
        <v/>
      </c>
      <c r="BK9" t="str">
        <f>'Ashed teabags wet'!AD424</f>
        <v/>
      </c>
      <c r="BL9">
        <f>'Ashed teabags wet'!AE424</f>
        <v>172</v>
      </c>
      <c r="BN9" t="str">
        <f t="shared" si="21"/>
        <v>G217</v>
      </c>
      <c r="BO9" t="b">
        <f t="shared" si="23"/>
        <v>1</v>
      </c>
    </row>
    <row r="10" spans="2:73" ht="12" customHeight="1">
      <c r="B10" t="str">
        <f>TBIDry!H82</f>
        <v>G106</v>
      </c>
      <c r="C10" t="str">
        <f>TBIDry!I82</f>
        <v>R762</v>
      </c>
      <c r="D10" t="b">
        <f t="shared" si="0"/>
        <v>0</v>
      </c>
      <c r="E10" t="b">
        <f t="shared" si="1"/>
        <v>0</v>
      </c>
      <c r="G10" t="str">
        <f>TBIWet!H82</f>
        <v>G452</v>
      </c>
      <c r="H10" t="str">
        <f>TBIWet!I82</f>
        <v>R531</v>
      </c>
      <c r="I10" t="b">
        <f t="shared" si="2"/>
        <v>0</v>
      </c>
      <c r="J10" t="b">
        <f t="shared" si="22"/>
        <v>0</v>
      </c>
      <c r="L10" t="str">
        <f>'Both teabags AfterWet'!A9</f>
        <v>G222</v>
      </c>
      <c r="M10" t="str">
        <f>'Both teabags AfterWet'!A427</f>
        <v>R105</v>
      </c>
      <c r="N10" t="b">
        <f t="shared" si="3"/>
        <v>0</v>
      </c>
      <c r="O10" t="b">
        <f t="shared" si="4"/>
        <v>0</v>
      </c>
      <c r="P10">
        <f>IFERROR('Both teabags AfterWet'!B9,"")</f>
        <v>15</v>
      </c>
      <c r="Q10">
        <f>'Both teabags AfterWet'!B427</f>
        <v>173</v>
      </c>
      <c r="S10" s="401" t="b">
        <f t="shared" si="5"/>
        <v>0</v>
      </c>
      <c r="T10" s="401" t="b">
        <f t="shared" si="6"/>
        <v>0</v>
      </c>
      <c r="V10" t="str">
        <f>'Both teabags AfterDry'!A9</f>
        <v>G107</v>
      </c>
      <c r="W10" t="str">
        <f>'Both teabags AfterDry'!A346</f>
        <v>R131</v>
      </c>
      <c r="X10" t="b">
        <f t="shared" si="7"/>
        <v>0</v>
      </c>
      <c r="Y10" t="b">
        <f t="shared" si="8"/>
        <v>0</v>
      </c>
      <c r="AA10" t="str">
        <f>'Green_rooibos initial weight'!A11</f>
        <v>G7</v>
      </c>
      <c r="AB10" t="str">
        <f>'Green_rooibos initial weight'!A915</f>
        <v>R7</v>
      </c>
      <c r="AC10" t="b">
        <f t="shared" si="9"/>
        <v>0</v>
      </c>
      <c r="AD10" t="b">
        <f t="shared" si="10"/>
        <v>0</v>
      </c>
      <c r="AG10" t="str">
        <f>'WetLitterbags placem_collection'!K9</f>
        <v>G452</v>
      </c>
      <c r="AH10" t="str">
        <f>'WetLitterbags placem_collection'!M9</f>
        <v>R531</v>
      </c>
      <c r="AI10" t="b">
        <f t="shared" si="11"/>
        <v>0</v>
      </c>
      <c r="AJ10" t="b">
        <f t="shared" si="12"/>
        <v>0</v>
      </c>
      <c r="AK10">
        <f>'WetLitterbags placem_collection'!A9</f>
        <v>7</v>
      </c>
      <c r="AL10">
        <f>'WetLitterbags placem_collection'!A9</f>
        <v>7</v>
      </c>
      <c r="AN10">
        <f>IF('Dry_Litterbag Placem_Collection'!J9=0,"",'Dry_Litterbag Placem_Collection'!J9)</f>
        <v>106</v>
      </c>
      <c r="AO10">
        <f>IF('Dry_Litterbag Placem_Collection'!K9=0,"",'Dry_Litterbag Placem_Collection'!K9)</f>
        <v>762</v>
      </c>
      <c r="AP10" t="b">
        <f t="shared" si="13"/>
        <v>0</v>
      </c>
      <c r="AQ10" t="b">
        <f t="shared" si="14"/>
        <v>0</v>
      </c>
      <c r="AT10" t="str">
        <f>'Ashed teabags dry'!A8</f>
        <v>G107</v>
      </c>
      <c r="AU10" t="str">
        <f>'Ashed teabags dry'!A345</f>
        <v>R131</v>
      </c>
      <c r="AV10" t="b">
        <f t="shared" si="15"/>
        <v>0</v>
      </c>
      <c r="AW10" t="b">
        <f t="shared" si="16"/>
        <v>0</v>
      </c>
      <c r="AZ10" s="401" t="b">
        <f t="shared" si="17"/>
        <v>0</v>
      </c>
      <c r="BA10" s="401" t="b">
        <f t="shared" si="18"/>
        <v>0</v>
      </c>
      <c r="BC10" t="str">
        <f>'Ashed teabags wet'!A8</f>
        <v>G240</v>
      </c>
      <c r="BD10" t="str">
        <f>'Ashed teabags wet'!A425</f>
        <v>R107</v>
      </c>
      <c r="BE10" t="b">
        <f t="shared" si="19"/>
        <v>0</v>
      </c>
      <c r="BF10" t="b">
        <f t="shared" si="20"/>
        <v>0</v>
      </c>
      <c r="BG10">
        <f>IFERROR('Ashed teabags wet'!C8,"")</f>
        <v>19</v>
      </c>
      <c r="BH10">
        <f>IFERROR('Ashed teabags wet'!C425,"")</f>
        <v>48</v>
      </c>
      <c r="BI10">
        <f>'Ashed teabags wet'!AB8</f>
        <v>18</v>
      </c>
      <c r="BJ10" t="str">
        <f>'Ashed teabags wet'!AC8</f>
        <v/>
      </c>
      <c r="BK10" t="str">
        <f>'Ashed teabags wet'!AD425</f>
        <v/>
      </c>
      <c r="BL10">
        <f>'Ashed teabags wet'!AE425</f>
        <v>47</v>
      </c>
      <c r="BN10" t="str">
        <f t="shared" si="21"/>
        <v>G222</v>
      </c>
      <c r="BO10" t="b">
        <f t="shared" si="23"/>
        <v>1</v>
      </c>
    </row>
    <row r="11" spans="2:73" ht="12" customHeight="1">
      <c r="B11" t="str">
        <f>TBIDry!H83</f>
        <v>G228</v>
      </c>
      <c r="C11" t="str">
        <f>TBIDry!I83</f>
        <v>R727</v>
      </c>
      <c r="D11" t="b">
        <f t="shared" si="0"/>
        <v>0</v>
      </c>
      <c r="E11" t="b">
        <f t="shared" si="1"/>
        <v>0</v>
      </c>
      <c r="G11" t="str">
        <f>TBIWet!H83</f>
        <v>G389</v>
      </c>
      <c r="H11" t="str">
        <f>TBIWet!I83</f>
        <v>R406</v>
      </c>
      <c r="I11" t="b">
        <f t="shared" si="2"/>
        <v>0</v>
      </c>
      <c r="J11" t="b">
        <f t="shared" si="22"/>
        <v>0</v>
      </c>
      <c r="L11" t="str">
        <f>'Both teabags AfterWet'!A10</f>
        <v>G240</v>
      </c>
      <c r="M11" t="str">
        <f>'Both teabags AfterWet'!A428</f>
        <v>R107</v>
      </c>
      <c r="N11" t="b">
        <f t="shared" si="3"/>
        <v>0</v>
      </c>
      <c r="O11" t="b">
        <f t="shared" si="4"/>
        <v>0</v>
      </c>
      <c r="P11" t="str">
        <f>IFERROR('Both teabags AfterWet'!B10,"")</f>
        <v>n.a</v>
      </c>
      <c r="Q11">
        <f>'Both teabags AfterWet'!B428</f>
        <v>46</v>
      </c>
      <c r="S11" s="401" t="b">
        <f t="shared" si="5"/>
        <v>0</v>
      </c>
      <c r="T11" s="401" t="b">
        <f t="shared" si="6"/>
        <v>0</v>
      </c>
      <c r="V11" t="str">
        <f>'Both teabags AfterDry'!A10</f>
        <v>G109</v>
      </c>
      <c r="W11" t="str">
        <f>'Both teabags AfterDry'!A347</f>
        <v>R140</v>
      </c>
      <c r="X11" t="b">
        <f t="shared" si="7"/>
        <v>0</v>
      </c>
      <c r="Y11" t="b">
        <f t="shared" si="8"/>
        <v>0</v>
      </c>
      <c r="AA11" t="str">
        <f>'Green_rooibos initial weight'!A12</f>
        <v>G8</v>
      </c>
      <c r="AB11" t="str">
        <f>'Green_rooibos initial weight'!A916</f>
        <v>R8</v>
      </c>
      <c r="AC11" t="b">
        <f t="shared" si="9"/>
        <v>0</v>
      </c>
      <c r="AD11" t="b">
        <f t="shared" si="10"/>
        <v>0</v>
      </c>
      <c r="AG11" t="str">
        <f>'WetLitterbags placem_collection'!K10</f>
        <v>G389</v>
      </c>
      <c r="AH11" t="str">
        <f>'WetLitterbags placem_collection'!M10</f>
        <v>R406</v>
      </c>
      <c r="AI11" t="b">
        <f t="shared" si="11"/>
        <v>0</v>
      </c>
      <c r="AJ11" t="b">
        <f t="shared" si="12"/>
        <v>0</v>
      </c>
      <c r="AK11">
        <f>'WetLitterbags placem_collection'!A10</f>
        <v>8</v>
      </c>
      <c r="AL11">
        <f>'WetLitterbags placem_collection'!A10</f>
        <v>8</v>
      </c>
      <c r="AN11">
        <f>IF('Dry_Litterbag Placem_Collection'!J10=0,"",'Dry_Litterbag Placem_Collection'!J10)</f>
        <v>228</v>
      </c>
      <c r="AO11">
        <f>IF('Dry_Litterbag Placem_Collection'!K10=0,"",'Dry_Litterbag Placem_Collection'!K10)</f>
        <v>727</v>
      </c>
      <c r="AP11" t="b">
        <f t="shared" si="13"/>
        <v>0</v>
      </c>
      <c r="AQ11" t="b">
        <f t="shared" si="14"/>
        <v>0</v>
      </c>
      <c r="AT11" t="str">
        <f>'Ashed teabags dry'!A9</f>
        <v>G109</v>
      </c>
      <c r="AU11" t="str">
        <f>'Ashed teabags dry'!A346</f>
        <v>R140</v>
      </c>
      <c r="AV11" t="b">
        <f t="shared" si="15"/>
        <v>0</v>
      </c>
      <c r="AW11" t="b">
        <f t="shared" si="16"/>
        <v>0</v>
      </c>
      <c r="AZ11" s="401" t="b">
        <f t="shared" si="17"/>
        <v>0</v>
      </c>
      <c r="BA11" s="401" t="b">
        <f t="shared" si="18"/>
        <v>0</v>
      </c>
      <c r="BC11" t="str">
        <f>'Ashed teabags wet'!A9</f>
        <v>G241</v>
      </c>
      <c r="BD11" t="str">
        <f>'Ashed teabags wet'!A426</f>
        <v>R11</v>
      </c>
      <c r="BE11" t="b">
        <f t="shared" si="19"/>
        <v>0</v>
      </c>
      <c r="BF11" t="b">
        <f t="shared" si="20"/>
        <v>0</v>
      </c>
      <c r="BG11">
        <f>IFERROR('Ashed teabags wet'!C9,"")</f>
        <v>13</v>
      </c>
      <c r="BH11">
        <f>IFERROR('Ashed teabags wet'!C426,"")</f>
        <v>122</v>
      </c>
      <c r="BI11" t="str">
        <f>'Ashed teabags wet'!AB9</f>
        <v/>
      </c>
      <c r="BJ11">
        <f>'Ashed teabags wet'!AC9</f>
        <v>12</v>
      </c>
      <c r="BK11">
        <f>'Ashed teabags wet'!AD426</f>
        <v>121</v>
      </c>
      <c r="BL11" t="str">
        <f>'Ashed teabags wet'!AE426</f>
        <v/>
      </c>
      <c r="BN11" t="str">
        <f t="shared" si="21"/>
        <v>G240</v>
      </c>
      <c r="BO11" t="b">
        <f t="shared" si="23"/>
        <v>1</v>
      </c>
    </row>
    <row r="12" spans="2:73" ht="12" customHeight="1">
      <c r="B12" t="str">
        <f>TBIDry!H84</f>
        <v>G277</v>
      </c>
      <c r="C12" t="str">
        <f>TBIDry!I84</f>
        <v>R785</v>
      </c>
      <c r="D12" t="b">
        <f t="shared" si="0"/>
        <v>0</v>
      </c>
      <c r="E12" t="b">
        <f t="shared" si="1"/>
        <v>0</v>
      </c>
      <c r="G12" t="str">
        <f>TBIWet!H84</f>
        <v>G514</v>
      </c>
      <c r="H12" t="str">
        <f>TBIWet!I84</f>
        <v>R169</v>
      </c>
      <c r="I12" t="b">
        <f t="shared" si="2"/>
        <v>0</v>
      </c>
      <c r="J12" t="b">
        <f t="shared" si="22"/>
        <v>0</v>
      </c>
      <c r="L12" t="str">
        <f>'Both teabags AfterWet'!A11</f>
        <v>G241</v>
      </c>
      <c r="M12" t="str">
        <f>'Both teabags AfterWet'!A429</f>
        <v>R109</v>
      </c>
      <c r="N12" t="b">
        <f t="shared" si="3"/>
        <v>0</v>
      </c>
      <c r="O12" t="b">
        <f t="shared" si="4"/>
        <v>0</v>
      </c>
      <c r="P12" t="str">
        <f>IFERROR('Both teabags AfterWet'!B11,"")</f>
        <v>n.a</v>
      </c>
      <c r="Q12">
        <f>'Both teabags AfterWet'!B429</f>
        <v>33</v>
      </c>
      <c r="S12" s="401" t="b">
        <f t="shared" si="5"/>
        <v>0</v>
      </c>
      <c r="T12" s="401" t="b">
        <f t="shared" si="6"/>
        <v>0</v>
      </c>
      <c r="V12" t="str">
        <f>'Both teabags AfterDry'!A11</f>
        <v>G11</v>
      </c>
      <c r="W12" t="str">
        <f>'Both teabags AfterDry'!A348</f>
        <v>R162</v>
      </c>
      <c r="X12" t="b">
        <f t="shared" si="7"/>
        <v>0</v>
      </c>
      <c r="Y12" t="b">
        <f t="shared" si="8"/>
        <v>0</v>
      </c>
      <c r="AA12" t="str">
        <f>'Green_rooibos initial weight'!A13</f>
        <v>G9</v>
      </c>
      <c r="AB12" t="str">
        <f>'Green_rooibos initial weight'!A917</f>
        <v>R9</v>
      </c>
      <c r="AC12" t="b">
        <f t="shared" si="9"/>
        <v>0</v>
      </c>
      <c r="AD12" t="b">
        <f t="shared" si="10"/>
        <v>0</v>
      </c>
      <c r="AG12" t="str">
        <f>'WetLitterbags placem_collection'!K11</f>
        <v>G514</v>
      </c>
      <c r="AH12" t="str">
        <f>'WetLitterbags placem_collection'!M11</f>
        <v>R169</v>
      </c>
      <c r="AI12" t="b">
        <f t="shared" si="11"/>
        <v>0</v>
      </c>
      <c r="AJ12" t="b">
        <f t="shared" si="12"/>
        <v>0</v>
      </c>
      <c r="AK12">
        <f>'WetLitterbags placem_collection'!A11</f>
        <v>9</v>
      </c>
      <c r="AL12">
        <f>'WetLitterbags placem_collection'!A11</f>
        <v>9</v>
      </c>
      <c r="AN12">
        <f>IF('Dry_Litterbag Placem_Collection'!J11=0,"",'Dry_Litterbag Placem_Collection'!J11)</f>
        <v>277</v>
      </c>
      <c r="AO12">
        <f>IF('Dry_Litterbag Placem_Collection'!K11=0,"",'Dry_Litterbag Placem_Collection'!K11)</f>
        <v>785</v>
      </c>
      <c r="AP12" t="b">
        <f t="shared" si="13"/>
        <v>0</v>
      </c>
      <c r="AQ12" t="b">
        <f t="shared" si="14"/>
        <v>0</v>
      </c>
      <c r="AT12" t="str">
        <f>'Ashed teabags dry'!A10</f>
        <v>G11</v>
      </c>
      <c r="AU12" t="str">
        <f>'Ashed teabags dry'!A347</f>
        <v>R162</v>
      </c>
      <c r="AV12" t="b">
        <f t="shared" si="15"/>
        <v>0</v>
      </c>
      <c r="AW12" t="b">
        <f t="shared" si="16"/>
        <v>0</v>
      </c>
      <c r="AZ12" s="401" t="b">
        <f t="shared" si="17"/>
        <v>0</v>
      </c>
      <c r="BA12" s="401" t="b">
        <f t="shared" si="18"/>
        <v>0</v>
      </c>
      <c r="BC12" t="str">
        <f>'Ashed teabags wet'!A10</f>
        <v>G249</v>
      </c>
      <c r="BD12" t="str">
        <f>'Ashed teabags wet'!A427</f>
        <v>R110</v>
      </c>
      <c r="BE12" t="b">
        <f t="shared" si="19"/>
        <v>0</v>
      </c>
      <c r="BF12" t="b">
        <f t="shared" si="20"/>
        <v>0</v>
      </c>
      <c r="BG12">
        <f>IFERROR('Ashed teabags wet'!C10,"")</f>
        <v>79</v>
      </c>
      <c r="BH12">
        <f>IFERROR('Ashed teabags wet'!C427,"")</f>
        <v>20</v>
      </c>
      <c r="BI12" t="str">
        <f>'Ashed teabags wet'!AB10</f>
        <v/>
      </c>
      <c r="BJ12">
        <f>'Ashed teabags wet'!AC10</f>
        <v>78</v>
      </c>
      <c r="BK12" t="str">
        <f>'Ashed teabags wet'!AD427</f>
        <v/>
      </c>
      <c r="BL12">
        <f>'Ashed teabags wet'!AE427</f>
        <v>19</v>
      </c>
      <c r="BN12" t="str">
        <f t="shared" si="21"/>
        <v>G241</v>
      </c>
      <c r="BO12" t="b">
        <f t="shared" si="23"/>
        <v>1</v>
      </c>
    </row>
    <row r="13" spans="2:73" ht="12" customHeight="1">
      <c r="B13" t="str">
        <f>TBIDry!H85</f>
        <v>G310</v>
      </c>
      <c r="C13" t="str">
        <f>TBIDry!I85</f>
        <v>R747</v>
      </c>
      <c r="D13" t="b">
        <f t="shared" si="0"/>
        <v>0</v>
      </c>
      <c r="E13" t="b">
        <f t="shared" si="1"/>
        <v>0</v>
      </c>
      <c r="G13" t="str">
        <f>TBIWet!H85</f>
        <v>G286</v>
      </c>
      <c r="H13" t="str">
        <f>TBIWet!I85</f>
        <v>R91</v>
      </c>
      <c r="I13" t="b">
        <f t="shared" si="2"/>
        <v>0</v>
      </c>
      <c r="J13" t="b">
        <f t="shared" si="22"/>
        <v>0</v>
      </c>
      <c r="L13" t="str">
        <f>'Both teabags AfterWet'!A12</f>
        <v>G249</v>
      </c>
      <c r="M13" t="str">
        <f>'Both teabags AfterWet'!A430</f>
        <v>R11</v>
      </c>
      <c r="N13" t="b">
        <f t="shared" si="3"/>
        <v>0</v>
      </c>
      <c r="O13" t="b">
        <f t="shared" si="4"/>
        <v>0</v>
      </c>
      <c r="P13">
        <f>IFERROR('Both teabags AfterWet'!B12,"")</f>
        <v>79</v>
      </c>
      <c r="Q13">
        <f>'Both teabags AfterWet'!B430</f>
        <v>122</v>
      </c>
      <c r="S13" s="401" t="b">
        <f t="shared" si="5"/>
        <v>0</v>
      </c>
      <c r="T13" s="401" t="b">
        <f t="shared" si="6"/>
        <v>0</v>
      </c>
      <c r="V13" t="str">
        <f>'Both teabags AfterDry'!A12</f>
        <v>G110</v>
      </c>
      <c r="W13" t="str">
        <f>'Both teabags AfterDry'!A349</f>
        <v>R163</v>
      </c>
      <c r="X13" t="b">
        <f t="shared" si="7"/>
        <v>0</v>
      </c>
      <c r="Y13" t="b">
        <f t="shared" si="8"/>
        <v>0</v>
      </c>
      <c r="AA13" t="str">
        <f>'Green_rooibos initial weight'!A14</f>
        <v>G10</v>
      </c>
      <c r="AB13" t="str">
        <f>'Green_rooibos initial weight'!A918</f>
        <v>R10</v>
      </c>
      <c r="AC13" t="b">
        <f t="shared" si="9"/>
        <v>0</v>
      </c>
      <c r="AD13" t="b">
        <f t="shared" si="10"/>
        <v>0</v>
      </c>
      <c r="AG13" t="str">
        <f>'WetLitterbags placem_collection'!K12</f>
        <v>G286</v>
      </c>
      <c r="AH13" t="str">
        <f>'WetLitterbags placem_collection'!M12</f>
        <v>R91</v>
      </c>
      <c r="AI13" t="b">
        <f t="shared" si="11"/>
        <v>0</v>
      </c>
      <c r="AJ13" t="b">
        <f t="shared" si="12"/>
        <v>0</v>
      </c>
      <c r="AK13">
        <f>'WetLitterbags placem_collection'!A12</f>
        <v>10</v>
      </c>
      <c r="AL13">
        <f>'WetLitterbags placem_collection'!A12</f>
        <v>10</v>
      </c>
      <c r="AN13">
        <f>IF('Dry_Litterbag Placem_Collection'!J12=0,"",'Dry_Litterbag Placem_Collection'!J12)</f>
        <v>310</v>
      </c>
      <c r="AO13">
        <f>IF('Dry_Litterbag Placem_Collection'!K12=0,"",'Dry_Litterbag Placem_Collection'!K12)</f>
        <v>747</v>
      </c>
      <c r="AP13" t="b">
        <f t="shared" si="13"/>
        <v>0</v>
      </c>
      <c r="AQ13" t="b">
        <f t="shared" si="14"/>
        <v>0</v>
      </c>
      <c r="AT13" t="str">
        <f>'Ashed teabags dry'!A11</f>
        <v>G110</v>
      </c>
      <c r="AU13" t="str">
        <f>'Ashed teabags dry'!A348</f>
        <v>R163</v>
      </c>
      <c r="AV13" t="b">
        <f t="shared" si="15"/>
        <v>0</v>
      </c>
      <c r="AW13" t="b">
        <f t="shared" si="16"/>
        <v>0</v>
      </c>
      <c r="AZ13" s="401" t="b">
        <f t="shared" si="17"/>
        <v>0</v>
      </c>
      <c r="BA13" s="401" t="b">
        <f t="shared" si="18"/>
        <v>0</v>
      </c>
      <c r="BC13" t="str">
        <f>'Ashed teabags wet'!A11</f>
        <v>G251</v>
      </c>
      <c r="BD13" t="str">
        <f>'Ashed teabags wet'!A428</f>
        <v>R111</v>
      </c>
      <c r="BE13" t="b">
        <f t="shared" si="19"/>
        <v>0</v>
      </c>
      <c r="BF13" t="b">
        <f t="shared" si="20"/>
        <v>0</v>
      </c>
      <c r="BG13">
        <f>IFERROR('Ashed teabags wet'!C11,"")</f>
        <v>218</v>
      </c>
      <c r="BH13">
        <f>IFERROR('Ashed teabags wet'!C428,"")</f>
        <v>213</v>
      </c>
      <c r="BI13">
        <f>'Ashed teabags wet'!AB11</f>
        <v>217</v>
      </c>
      <c r="BJ13" t="str">
        <f>'Ashed teabags wet'!AC11</f>
        <v/>
      </c>
      <c r="BK13" t="str">
        <f>'Ashed teabags wet'!AD428</f>
        <v/>
      </c>
      <c r="BL13">
        <f>'Ashed teabags wet'!AE428</f>
        <v>212</v>
      </c>
      <c r="BN13" t="str">
        <f t="shared" si="21"/>
        <v>G249</v>
      </c>
      <c r="BO13" t="b">
        <f t="shared" si="23"/>
        <v>1</v>
      </c>
    </row>
    <row r="14" spans="2:73" ht="12" customHeight="1">
      <c r="B14" t="str">
        <f>TBIDry!H86</f>
        <v>G435</v>
      </c>
      <c r="C14" t="str">
        <f>TBIDry!I86</f>
        <v>R748</v>
      </c>
      <c r="D14" t="b">
        <f t="shared" si="0"/>
        <v>0</v>
      </c>
      <c r="E14" t="b">
        <f t="shared" si="1"/>
        <v>0</v>
      </c>
      <c r="G14" t="str">
        <f>TBIWet!H86</f>
        <v>G543</v>
      </c>
      <c r="H14" t="str">
        <f>TBIWet!I86</f>
        <v>R446</v>
      </c>
      <c r="I14" t="b">
        <f t="shared" si="2"/>
        <v>0</v>
      </c>
      <c r="J14" t="b">
        <f t="shared" si="22"/>
        <v>0</v>
      </c>
      <c r="L14" t="str">
        <f>'Both teabags AfterWet'!A13</f>
        <v>G251</v>
      </c>
      <c r="M14" t="str">
        <f>'Both teabags AfterWet'!A431</f>
        <v>R110</v>
      </c>
      <c r="N14" t="b">
        <f t="shared" si="3"/>
        <v>0</v>
      </c>
      <c r="O14" t="b">
        <f t="shared" si="4"/>
        <v>0</v>
      </c>
      <c r="P14" t="str">
        <f>IFERROR('Both teabags AfterWet'!B13,"")</f>
        <v>n.a</v>
      </c>
      <c r="Q14">
        <f>'Both teabags AfterWet'!B431</f>
        <v>20</v>
      </c>
      <c r="S14" s="401" t="b">
        <f t="shared" si="5"/>
        <v>0</v>
      </c>
      <c r="T14" s="401" t="b">
        <f t="shared" si="6"/>
        <v>0</v>
      </c>
      <c r="V14" t="str">
        <f>'Both teabags AfterDry'!A13</f>
        <v>G111</v>
      </c>
      <c r="W14" t="str">
        <f>'Both teabags AfterDry'!A350</f>
        <v>R170</v>
      </c>
      <c r="X14" t="b">
        <f t="shared" si="7"/>
        <v>0</v>
      </c>
      <c r="Y14" t="b">
        <f t="shared" si="8"/>
        <v>0</v>
      </c>
      <c r="AA14" t="str">
        <f>'Green_rooibos initial weight'!A15</f>
        <v>G11</v>
      </c>
      <c r="AB14" t="str">
        <f>'Green_rooibos initial weight'!A919</f>
        <v>R11</v>
      </c>
      <c r="AC14" t="b">
        <f t="shared" si="9"/>
        <v>0</v>
      </c>
      <c r="AD14" t="b">
        <f t="shared" si="10"/>
        <v>0</v>
      </c>
      <c r="AG14" t="str">
        <f>'WetLitterbags placem_collection'!K13</f>
        <v>G543</v>
      </c>
      <c r="AH14" t="str">
        <f>'WetLitterbags placem_collection'!M13</f>
        <v>R446</v>
      </c>
      <c r="AI14" t="b">
        <f t="shared" si="11"/>
        <v>0</v>
      </c>
      <c r="AJ14" t="b">
        <f t="shared" si="12"/>
        <v>0</v>
      </c>
      <c r="AK14">
        <f>'WetLitterbags placem_collection'!A13</f>
        <v>11</v>
      </c>
      <c r="AL14">
        <f>'WetLitterbags placem_collection'!A13</f>
        <v>11</v>
      </c>
      <c r="AN14">
        <f>IF('Dry_Litterbag Placem_Collection'!J13=0,"",'Dry_Litterbag Placem_Collection'!J13)</f>
        <v>435</v>
      </c>
      <c r="AO14">
        <f>IF('Dry_Litterbag Placem_Collection'!K13=0,"",'Dry_Litterbag Placem_Collection'!K13)</f>
        <v>748</v>
      </c>
      <c r="AP14" t="b">
        <f t="shared" si="13"/>
        <v>0</v>
      </c>
      <c r="AQ14" t="b">
        <f t="shared" si="14"/>
        <v>0</v>
      </c>
      <c r="AT14" t="str">
        <f>'Ashed teabags dry'!A12</f>
        <v>G111</v>
      </c>
      <c r="AU14" t="str">
        <f>'Ashed teabags dry'!A349</f>
        <v>R170</v>
      </c>
      <c r="AV14" t="b">
        <f t="shared" si="15"/>
        <v>0</v>
      </c>
      <c r="AW14" t="b">
        <f t="shared" si="16"/>
        <v>0</v>
      </c>
      <c r="AZ14" s="401" t="b">
        <f t="shared" si="17"/>
        <v>0</v>
      </c>
      <c r="BA14" s="401" t="b">
        <f t="shared" si="18"/>
        <v>0</v>
      </c>
      <c r="BC14" t="str">
        <f>'Ashed teabags wet'!A12</f>
        <v>G269</v>
      </c>
      <c r="BD14" t="str">
        <f>'Ashed teabags wet'!A429</f>
        <v>R112</v>
      </c>
      <c r="BE14" t="b">
        <f t="shared" si="19"/>
        <v>0</v>
      </c>
      <c r="BF14" t="b">
        <f t="shared" si="20"/>
        <v>0</v>
      </c>
      <c r="BG14">
        <f>IFERROR('Ashed teabags wet'!C12,"")</f>
        <v>68</v>
      </c>
      <c r="BH14">
        <f>IFERROR('Ashed teabags wet'!C429,"")</f>
        <v>27</v>
      </c>
      <c r="BI14">
        <f>'Ashed teabags wet'!AB12</f>
        <v>67</v>
      </c>
      <c r="BJ14" t="str">
        <f>'Ashed teabags wet'!AC12</f>
        <v/>
      </c>
      <c r="BK14">
        <f>'Ashed teabags wet'!AD429</f>
        <v>26</v>
      </c>
      <c r="BL14" t="str">
        <f>'Ashed teabags wet'!AE429</f>
        <v/>
      </c>
      <c r="BN14" t="str">
        <f t="shared" si="21"/>
        <v>G251</v>
      </c>
      <c r="BO14" t="b">
        <f t="shared" si="23"/>
        <v>1</v>
      </c>
    </row>
    <row r="15" spans="2:73" ht="12" customHeight="1">
      <c r="B15" t="str">
        <f>TBIDry!H87</f>
        <v/>
      </c>
      <c r="C15" t="str">
        <f>TBIDry!I87</f>
        <v/>
      </c>
      <c r="D15" t="b">
        <f t="shared" si="0"/>
        <v>1</v>
      </c>
      <c r="E15" t="b">
        <f t="shared" si="1"/>
        <v>1</v>
      </c>
      <c r="G15" t="str">
        <f>TBIWet!H87</f>
        <v>G590</v>
      </c>
      <c r="H15" t="str">
        <f>TBIWet!I87</f>
        <v>R409</v>
      </c>
      <c r="I15" t="b">
        <f t="shared" si="2"/>
        <v>0</v>
      </c>
      <c r="J15" t="b">
        <f t="shared" si="22"/>
        <v>0</v>
      </c>
      <c r="L15" t="str">
        <f>'Both teabags AfterWet'!A14</f>
        <v>G269</v>
      </c>
      <c r="M15" t="str">
        <f>'Both teabags AfterWet'!A432</f>
        <v>R111</v>
      </c>
      <c r="N15" t="b">
        <f t="shared" si="3"/>
        <v>0</v>
      </c>
      <c r="O15" t="b">
        <f t="shared" si="4"/>
        <v>0</v>
      </c>
      <c r="P15">
        <f>IFERROR('Both teabags AfterWet'!B14,"")</f>
        <v>68</v>
      </c>
      <c r="Q15">
        <f>'Both teabags AfterWet'!B432</f>
        <v>213</v>
      </c>
      <c r="S15" s="401" t="b">
        <f t="shared" si="5"/>
        <v>0</v>
      </c>
      <c r="T15" s="401" t="b">
        <f t="shared" si="6"/>
        <v>0</v>
      </c>
      <c r="V15" t="str">
        <f>'Both teabags AfterDry'!A14</f>
        <v>G112</v>
      </c>
      <c r="W15" t="str">
        <f>'Both teabags AfterDry'!A351</f>
        <v>R173</v>
      </c>
      <c r="X15" t="b">
        <f t="shared" si="7"/>
        <v>0</v>
      </c>
      <c r="Y15" t="b">
        <f t="shared" si="8"/>
        <v>0</v>
      </c>
      <c r="AA15" t="str">
        <f>'Green_rooibos initial weight'!A16</f>
        <v>G12</v>
      </c>
      <c r="AB15" t="str">
        <f>'Green_rooibos initial weight'!A920</f>
        <v>R12</v>
      </c>
      <c r="AC15" t="b">
        <f t="shared" si="9"/>
        <v>0</v>
      </c>
      <c r="AD15" t="b">
        <f t="shared" si="10"/>
        <v>0</v>
      </c>
      <c r="AG15" t="str">
        <f>'WetLitterbags placem_collection'!K14</f>
        <v>G590</v>
      </c>
      <c r="AH15" t="str">
        <f>'WetLitterbags placem_collection'!M14</f>
        <v>R409</v>
      </c>
      <c r="AI15" t="b">
        <f t="shared" si="11"/>
        <v>0</v>
      </c>
      <c r="AJ15" t="b">
        <f t="shared" si="12"/>
        <v>0</v>
      </c>
      <c r="AK15">
        <f>'WetLitterbags placem_collection'!A14</f>
        <v>12</v>
      </c>
      <c r="AL15">
        <f>'WetLitterbags placem_collection'!A14</f>
        <v>12</v>
      </c>
      <c r="AN15" t="str">
        <f>IF('Dry_Litterbag Placem_Collection'!J14=0,"",'Dry_Litterbag Placem_Collection'!J14)</f>
        <v/>
      </c>
      <c r="AO15" t="str">
        <f>IF('Dry_Litterbag Placem_Collection'!K14=0,"",'Dry_Litterbag Placem_Collection'!K14)</f>
        <v/>
      </c>
      <c r="AP15" t="b">
        <f t="shared" si="13"/>
        <v>1</v>
      </c>
      <c r="AQ15" t="b">
        <f t="shared" si="14"/>
        <v>1</v>
      </c>
      <c r="AT15" t="str">
        <f>'Ashed teabags dry'!A13</f>
        <v>G113</v>
      </c>
      <c r="AU15" t="str">
        <f>'Ashed teabags dry'!A350</f>
        <v>R173</v>
      </c>
      <c r="AV15" t="b">
        <f t="shared" si="15"/>
        <v>0</v>
      </c>
      <c r="AW15" t="b">
        <f t="shared" si="16"/>
        <v>0</v>
      </c>
      <c r="AZ15" s="401" t="b">
        <f t="shared" si="17"/>
        <v>0</v>
      </c>
      <c r="BA15" s="401" t="b">
        <f t="shared" si="18"/>
        <v>0</v>
      </c>
      <c r="BC15" t="str">
        <f>'Ashed teabags wet'!A13</f>
        <v>G281</v>
      </c>
      <c r="BD15" t="str">
        <f>'Ashed teabags wet'!A430</f>
        <v>R114</v>
      </c>
      <c r="BE15" t="b">
        <f t="shared" si="19"/>
        <v>0</v>
      </c>
      <c r="BF15" t="b">
        <f t="shared" si="20"/>
        <v>0</v>
      </c>
      <c r="BG15">
        <f>IFERROR('Ashed teabags wet'!C13,"")</f>
        <v>172</v>
      </c>
      <c r="BH15">
        <f>IFERROR('Ashed teabags wet'!C430,"")</f>
        <v>40</v>
      </c>
      <c r="BI15">
        <f>'Ashed teabags wet'!AB13</f>
        <v>171</v>
      </c>
      <c r="BJ15" t="str">
        <f>'Ashed teabags wet'!AC13</f>
        <v/>
      </c>
      <c r="BK15">
        <f>'Ashed teabags wet'!AD430</f>
        <v>39</v>
      </c>
      <c r="BL15" t="str">
        <f>'Ashed teabags wet'!AE430</f>
        <v/>
      </c>
      <c r="BN15" t="str">
        <f t="shared" si="21"/>
        <v>G269</v>
      </c>
      <c r="BO15" t="b">
        <f t="shared" si="23"/>
        <v>1</v>
      </c>
    </row>
    <row r="16" spans="2:73" ht="12" customHeight="1">
      <c r="B16" t="str">
        <f>TBIDry!H88</f>
        <v>G2</v>
      </c>
      <c r="C16" t="str">
        <f>TBIDry!I88</f>
        <v>R784</v>
      </c>
      <c r="D16" t="b">
        <f t="shared" si="0"/>
        <v>0</v>
      </c>
      <c r="E16" t="b">
        <f t="shared" si="1"/>
        <v>0</v>
      </c>
      <c r="G16" t="str">
        <f>TBIWet!H88</f>
        <v>G595</v>
      </c>
      <c r="H16" t="str">
        <f>TBIWet!I88</f>
        <v>R450</v>
      </c>
      <c r="I16" t="b">
        <f t="shared" si="2"/>
        <v>0</v>
      </c>
      <c r="J16" t="b">
        <f t="shared" si="22"/>
        <v>0</v>
      </c>
      <c r="L16" t="str">
        <f>'Both teabags AfterWet'!A15</f>
        <v>G281</v>
      </c>
      <c r="M16" t="str">
        <f>'Both teabags AfterWet'!A433</f>
        <v>R112</v>
      </c>
      <c r="N16" t="b">
        <f t="shared" si="3"/>
        <v>0</v>
      </c>
      <c r="O16" t="b">
        <f t="shared" si="4"/>
        <v>0</v>
      </c>
      <c r="P16">
        <f>IFERROR('Both teabags AfterWet'!B15,"")</f>
        <v>172</v>
      </c>
      <c r="Q16" t="str">
        <f>'Both teabags AfterWet'!B433</f>
        <v>n.a</v>
      </c>
      <c r="S16" s="401" t="b">
        <f t="shared" si="5"/>
        <v>0</v>
      </c>
      <c r="T16" s="401" t="b">
        <f t="shared" si="6"/>
        <v>0</v>
      </c>
      <c r="V16" t="str">
        <f>'Both teabags AfterDry'!A15</f>
        <v>G113</v>
      </c>
      <c r="W16" t="str">
        <f>'Both teabags AfterDry'!A352</f>
        <v>R174</v>
      </c>
      <c r="X16" t="b">
        <f t="shared" si="7"/>
        <v>0</v>
      </c>
      <c r="Y16" t="b">
        <f t="shared" si="8"/>
        <v>0</v>
      </c>
      <c r="AA16" t="str">
        <f>'Green_rooibos initial weight'!A17</f>
        <v>G13</v>
      </c>
      <c r="AB16" t="str">
        <f>'Green_rooibos initial weight'!A921</f>
        <v>R13</v>
      </c>
      <c r="AC16" t="b">
        <f t="shared" si="9"/>
        <v>0</v>
      </c>
      <c r="AD16" t="b">
        <f t="shared" si="10"/>
        <v>0</v>
      </c>
      <c r="AG16" t="str">
        <f>'WetLitterbags placem_collection'!K15</f>
        <v>G595</v>
      </c>
      <c r="AH16" t="str">
        <f>'WetLitterbags placem_collection'!M15</f>
        <v>R450</v>
      </c>
      <c r="AI16" t="b">
        <f t="shared" si="11"/>
        <v>0</v>
      </c>
      <c r="AJ16" t="b">
        <f t="shared" si="12"/>
        <v>0</v>
      </c>
      <c r="AK16">
        <f>'WetLitterbags placem_collection'!A15</f>
        <v>13</v>
      </c>
      <c r="AL16">
        <f>'WetLitterbags placem_collection'!A15</f>
        <v>13</v>
      </c>
      <c r="AN16">
        <f>IF('Dry_Litterbag Placem_Collection'!J15=0,"",'Dry_Litterbag Placem_Collection'!J15)</f>
        <v>2</v>
      </c>
      <c r="AO16">
        <f>IF('Dry_Litterbag Placem_Collection'!K15=0,"",'Dry_Litterbag Placem_Collection'!K15)</f>
        <v>784</v>
      </c>
      <c r="AP16" t="b">
        <f t="shared" si="13"/>
        <v>0</v>
      </c>
      <c r="AQ16" t="b">
        <f t="shared" si="14"/>
        <v>0</v>
      </c>
      <c r="AT16" t="str">
        <f>'Ashed teabags dry'!A14</f>
        <v>G115</v>
      </c>
      <c r="AU16" t="str">
        <f>'Ashed teabags dry'!A351</f>
        <v>R174</v>
      </c>
      <c r="AV16" t="b">
        <f t="shared" si="15"/>
        <v>0</v>
      </c>
      <c r="AW16" t="b">
        <f t="shared" si="16"/>
        <v>0</v>
      </c>
      <c r="AZ16" s="401" t="b">
        <f t="shared" si="17"/>
        <v>0</v>
      </c>
      <c r="BA16" s="401" t="b">
        <f t="shared" si="18"/>
        <v>0</v>
      </c>
      <c r="BC16" t="str">
        <f>'Ashed teabags wet'!A14</f>
        <v>G282</v>
      </c>
      <c r="BD16" t="str">
        <f>'Ashed teabags wet'!A431</f>
        <v>R115</v>
      </c>
      <c r="BE16" t="b">
        <f t="shared" si="19"/>
        <v>0</v>
      </c>
      <c r="BF16" t="b">
        <f t="shared" si="20"/>
        <v>0</v>
      </c>
      <c r="BG16">
        <f>IFERROR('Ashed teabags wet'!C14,"")</f>
        <v>66</v>
      </c>
      <c r="BH16">
        <f>IFERROR('Ashed teabags wet'!C431,"")</f>
        <v>4</v>
      </c>
      <c r="BI16">
        <f>'Ashed teabags wet'!AB14</f>
        <v>65</v>
      </c>
      <c r="BJ16" t="str">
        <f>'Ashed teabags wet'!AC14</f>
        <v/>
      </c>
      <c r="BK16">
        <f>'Ashed teabags wet'!AD431</f>
        <v>3</v>
      </c>
      <c r="BL16" t="str">
        <f>'Ashed teabags wet'!AE431</f>
        <v/>
      </c>
      <c r="BN16" t="str">
        <f t="shared" si="21"/>
        <v>G281</v>
      </c>
      <c r="BO16" t="b">
        <f t="shared" si="23"/>
        <v>1</v>
      </c>
    </row>
    <row r="17" spans="2:68" ht="12" customHeight="1">
      <c r="B17" t="str">
        <f>TBIDry!H89</f>
        <v>G225</v>
      </c>
      <c r="C17" t="str">
        <f>TBIDry!I89</f>
        <v>R838</v>
      </c>
      <c r="D17" t="b">
        <f t="shared" si="0"/>
        <v>0</v>
      </c>
      <c r="E17" t="b">
        <f t="shared" si="1"/>
        <v>0</v>
      </c>
      <c r="G17" t="str">
        <f>TBIWet!H89</f>
        <v>G609</v>
      </c>
      <c r="H17" t="str">
        <f>TBIWet!I89</f>
        <v>R382</v>
      </c>
      <c r="I17" t="b">
        <f t="shared" si="2"/>
        <v>0</v>
      </c>
      <c r="J17" t="b">
        <f t="shared" si="22"/>
        <v>0</v>
      </c>
      <c r="L17" t="str">
        <f>'Both teabags AfterWet'!A16</f>
        <v>G282</v>
      </c>
      <c r="M17" t="str">
        <f>'Both teabags AfterWet'!A434</f>
        <v>R114</v>
      </c>
      <c r="N17" t="b">
        <f t="shared" si="3"/>
        <v>0</v>
      </c>
      <c r="O17" t="b">
        <f t="shared" si="4"/>
        <v>0</v>
      </c>
      <c r="P17" t="str">
        <f>IFERROR('Both teabags AfterWet'!B16,"")</f>
        <v>n.a</v>
      </c>
      <c r="Q17">
        <f>'Both teabags AfterWet'!B434</f>
        <v>40</v>
      </c>
      <c r="S17" s="401" t="b">
        <f t="shared" si="5"/>
        <v>0</v>
      </c>
      <c r="T17" s="401" t="b">
        <f t="shared" si="6"/>
        <v>0</v>
      </c>
      <c r="V17" t="str">
        <f>'Both teabags AfterDry'!A16</f>
        <v>G115</v>
      </c>
      <c r="W17" t="str">
        <f>'Both teabags AfterDry'!A353</f>
        <v>R175</v>
      </c>
      <c r="X17" t="b">
        <f t="shared" si="7"/>
        <v>0</v>
      </c>
      <c r="Y17" t="b">
        <f t="shared" si="8"/>
        <v>0</v>
      </c>
      <c r="AA17" t="str">
        <f>'Green_rooibos initial weight'!A18</f>
        <v>G14</v>
      </c>
      <c r="AB17" t="str">
        <f>'Green_rooibos initial weight'!A922</f>
        <v>R14</v>
      </c>
      <c r="AC17" t="b">
        <f t="shared" si="9"/>
        <v>0</v>
      </c>
      <c r="AD17" t="b">
        <f t="shared" si="10"/>
        <v>0</v>
      </c>
      <c r="AG17" t="str">
        <f>'WetLitterbags placem_collection'!K16</f>
        <v>G609</v>
      </c>
      <c r="AH17" t="str">
        <f>'WetLitterbags placem_collection'!M16</f>
        <v>R382</v>
      </c>
      <c r="AI17" t="b">
        <f t="shared" si="11"/>
        <v>0</v>
      </c>
      <c r="AJ17" t="b">
        <f t="shared" si="12"/>
        <v>0</v>
      </c>
      <c r="AK17">
        <f>'WetLitterbags placem_collection'!A16</f>
        <v>14</v>
      </c>
      <c r="AL17">
        <f>'WetLitterbags placem_collection'!A16</f>
        <v>14</v>
      </c>
      <c r="AN17">
        <f>IF('Dry_Litterbag Placem_Collection'!J16=0,"",'Dry_Litterbag Placem_Collection'!J16)</f>
        <v>225</v>
      </c>
      <c r="AO17">
        <f>IF('Dry_Litterbag Placem_Collection'!K16=0,"",'Dry_Litterbag Placem_Collection'!K16)</f>
        <v>838</v>
      </c>
      <c r="AP17" t="b">
        <f t="shared" si="13"/>
        <v>0</v>
      </c>
      <c r="AQ17" t="b">
        <f t="shared" si="14"/>
        <v>0</v>
      </c>
      <c r="AT17" t="str">
        <f>'Ashed teabags dry'!A15</f>
        <v>G116</v>
      </c>
      <c r="AU17" t="str">
        <f>'Ashed teabags dry'!A352</f>
        <v>R175</v>
      </c>
      <c r="AV17" t="b">
        <f t="shared" si="15"/>
        <v>0</v>
      </c>
      <c r="AW17" t="b">
        <f t="shared" si="16"/>
        <v>0</v>
      </c>
      <c r="AZ17" s="401" t="b">
        <f t="shared" si="17"/>
        <v>0</v>
      </c>
      <c r="BA17" s="401" t="b">
        <f t="shared" si="18"/>
        <v>0</v>
      </c>
      <c r="BC17" t="str">
        <f>'Ashed teabags wet'!A15</f>
        <v>G283</v>
      </c>
      <c r="BD17" t="str">
        <f>'Ashed teabags wet'!A432</f>
        <v>R117</v>
      </c>
      <c r="BE17" t="b">
        <f t="shared" si="19"/>
        <v>0</v>
      </c>
      <c r="BF17" t="b">
        <f t="shared" si="20"/>
        <v>0</v>
      </c>
      <c r="BG17">
        <f>IFERROR('Ashed teabags wet'!C15,"")</f>
        <v>44</v>
      </c>
      <c r="BH17">
        <f>IFERROR('Ashed teabags wet'!C432,"")</f>
        <v>43</v>
      </c>
      <c r="BI17" t="str">
        <f>'Ashed teabags wet'!AB15</f>
        <v/>
      </c>
      <c r="BJ17">
        <f>'Ashed teabags wet'!AC15</f>
        <v>43</v>
      </c>
      <c r="BK17" t="str">
        <f>'Ashed teabags wet'!AD432</f>
        <v/>
      </c>
      <c r="BL17">
        <f>'Ashed teabags wet'!AE432</f>
        <v>42</v>
      </c>
      <c r="BN17" t="str">
        <f t="shared" si="21"/>
        <v>G282</v>
      </c>
      <c r="BO17" t="b">
        <f t="shared" si="23"/>
        <v>1</v>
      </c>
    </row>
    <row r="18" spans="2:68" ht="12" customHeight="1">
      <c r="B18" t="str">
        <f>TBIDry!H90</f>
        <v>G444</v>
      </c>
      <c r="C18" t="str">
        <f>TBIDry!I90</f>
        <v>R793</v>
      </c>
      <c r="D18" t="b">
        <f t="shared" si="0"/>
        <v>0</v>
      </c>
      <c r="E18" t="b">
        <f t="shared" si="1"/>
        <v>0</v>
      </c>
      <c r="G18" t="str">
        <f>TBIWet!H90</f>
        <v>G222</v>
      </c>
      <c r="H18" t="str">
        <f>TBIWet!I90</f>
        <v>R415</v>
      </c>
      <c r="I18" t="b">
        <f t="shared" si="2"/>
        <v>0</v>
      </c>
      <c r="J18" t="b">
        <f t="shared" si="22"/>
        <v>0</v>
      </c>
      <c r="L18" t="str">
        <f>'Both teabags AfterWet'!A17</f>
        <v>G283</v>
      </c>
      <c r="M18" t="str">
        <f>'Both teabags AfterWet'!A435</f>
        <v>R115</v>
      </c>
      <c r="N18" t="b">
        <f t="shared" si="3"/>
        <v>0</v>
      </c>
      <c r="O18" t="b">
        <f t="shared" si="4"/>
        <v>0</v>
      </c>
      <c r="P18">
        <f>IFERROR('Both teabags AfterWet'!B17,"")</f>
        <v>44</v>
      </c>
      <c r="Q18" t="str">
        <f>'Both teabags AfterWet'!B435</f>
        <v>n.a</v>
      </c>
      <c r="S18" s="401" t="b">
        <f t="shared" si="5"/>
        <v>0</v>
      </c>
      <c r="T18" s="401" t="b">
        <f t="shared" si="6"/>
        <v>0</v>
      </c>
      <c r="V18" t="str">
        <f>'Both teabags AfterDry'!A17</f>
        <v>G116</v>
      </c>
      <c r="W18" t="str">
        <f>'Both teabags AfterDry'!A354</f>
        <v>R178</v>
      </c>
      <c r="X18" t="b">
        <f t="shared" si="7"/>
        <v>0</v>
      </c>
      <c r="Y18" t="b">
        <f t="shared" si="8"/>
        <v>0</v>
      </c>
      <c r="AA18" t="str">
        <f>'Green_rooibos initial weight'!A19</f>
        <v>G15</v>
      </c>
      <c r="AB18" t="str">
        <f>'Green_rooibos initial weight'!A923</f>
        <v>R15</v>
      </c>
      <c r="AC18" t="b">
        <f t="shared" si="9"/>
        <v>0</v>
      </c>
      <c r="AD18" t="b">
        <f t="shared" si="10"/>
        <v>0</v>
      </c>
      <c r="AG18" t="str">
        <f>'WetLitterbags placem_collection'!K17</f>
        <v>G222</v>
      </c>
      <c r="AH18" t="str">
        <f>'WetLitterbags placem_collection'!M17</f>
        <v>R415</v>
      </c>
      <c r="AI18" t="b">
        <f t="shared" si="11"/>
        <v>0</v>
      </c>
      <c r="AJ18" t="b">
        <f t="shared" si="12"/>
        <v>0</v>
      </c>
      <c r="AK18">
        <f>'WetLitterbags placem_collection'!A17</f>
        <v>15</v>
      </c>
      <c r="AL18">
        <f>'WetLitterbags placem_collection'!A17</f>
        <v>15</v>
      </c>
      <c r="AN18">
        <f>IF('Dry_Litterbag Placem_Collection'!J17=0,"",'Dry_Litterbag Placem_Collection'!J17)</f>
        <v>444</v>
      </c>
      <c r="AO18">
        <f>IF('Dry_Litterbag Placem_Collection'!K17=0,"",'Dry_Litterbag Placem_Collection'!K17)</f>
        <v>793</v>
      </c>
      <c r="AP18" t="b">
        <f t="shared" si="13"/>
        <v>0</v>
      </c>
      <c r="AQ18" t="b">
        <f t="shared" si="14"/>
        <v>0</v>
      </c>
      <c r="AT18" t="str">
        <f>'Ashed teabags dry'!A16</f>
        <v>G118</v>
      </c>
      <c r="AU18" t="str">
        <f>'Ashed teabags dry'!A353</f>
        <v>R178</v>
      </c>
      <c r="AV18" t="b">
        <f t="shared" si="15"/>
        <v>0</v>
      </c>
      <c r="AW18" t="b">
        <f t="shared" si="16"/>
        <v>0</v>
      </c>
      <c r="AZ18" s="401" t="b">
        <f t="shared" si="17"/>
        <v>0</v>
      </c>
      <c r="BA18" s="401" t="b">
        <f t="shared" si="18"/>
        <v>0</v>
      </c>
      <c r="BC18" t="str">
        <f>'Ashed teabags wet'!A16</f>
        <v>G286</v>
      </c>
      <c r="BD18" t="str">
        <f>'Ashed teabags wet'!A433</f>
        <v>R119</v>
      </c>
      <c r="BE18" t="b">
        <f t="shared" si="19"/>
        <v>0</v>
      </c>
      <c r="BF18" t="b">
        <f t="shared" si="20"/>
        <v>0</v>
      </c>
      <c r="BG18">
        <f>IFERROR('Ashed teabags wet'!C16,"")</f>
        <v>10</v>
      </c>
      <c r="BH18">
        <f>IFERROR('Ashed teabags wet'!C433,"")</f>
        <v>62</v>
      </c>
      <c r="BI18">
        <f>'Ashed teabags wet'!AB16</f>
        <v>9</v>
      </c>
      <c r="BJ18" t="str">
        <f>'Ashed teabags wet'!AC16</f>
        <v/>
      </c>
      <c r="BK18">
        <f>'Ashed teabags wet'!AD433</f>
        <v>61</v>
      </c>
      <c r="BL18" t="str">
        <f>'Ashed teabags wet'!AE433</f>
        <v/>
      </c>
      <c r="BN18" t="str">
        <f t="shared" si="21"/>
        <v>G283</v>
      </c>
      <c r="BO18" t="b">
        <f t="shared" si="23"/>
        <v>1</v>
      </c>
    </row>
    <row r="19" spans="2:68" ht="12" customHeight="1">
      <c r="B19" t="str">
        <f>TBIDry!H91</f>
        <v>G376</v>
      </c>
      <c r="C19" t="str">
        <f>TBIDry!I91</f>
        <v>R755</v>
      </c>
      <c r="D19" t="b">
        <f t="shared" si="0"/>
        <v>0</v>
      </c>
      <c r="E19" t="b">
        <f t="shared" si="1"/>
        <v>0</v>
      </c>
      <c r="G19" t="str">
        <f>TBIWet!H91</f>
        <v>G405</v>
      </c>
      <c r="H19" t="str">
        <f>TBIWet!I91</f>
        <v>R519</v>
      </c>
      <c r="I19" t="b">
        <f t="shared" si="2"/>
        <v>0</v>
      </c>
      <c r="J19" t="b">
        <f t="shared" si="22"/>
        <v>0</v>
      </c>
      <c r="L19" t="str">
        <f>'Both teabags AfterWet'!A18</f>
        <v>G286</v>
      </c>
      <c r="M19" t="str">
        <f>'Both teabags AfterWet'!A436</f>
        <v>R117</v>
      </c>
      <c r="N19" t="b">
        <f t="shared" si="3"/>
        <v>0</v>
      </c>
      <c r="O19" t="b">
        <f t="shared" si="4"/>
        <v>0</v>
      </c>
      <c r="P19" t="str">
        <f>IFERROR('Both teabags AfterWet'!B18,"")</f>
        <v>n.a</v>
      </c>
      <c r="Q19">
        <f>'Both teabags AfterWet'!B436</f>
        <v>43</v>
      </c>
      <c r="S19" s="401" t="b">
        <f t="shared" si="5"/>
        <v>0</v>
      </c>
      <c r="T19" s="401" t="b">
        <f t="shared" si="6"/>
        <v>0</v>
      </c>
      <c r="V19" t="str">
        <f>'Both teabags AfterDry'!A18</f>
        <v>G118</v>
      </c>
      <c r="W19" t="str">
        <f>'Both teabags AfterDry'!A355</f>
        <v>R179</v>
      </c>
      <c r="X19" t="b">
        <f t="shared" si="7"/>
        <v>0</v>
      </c>
      <c r="Y19" t="b">
        <f t="shared" si="8"/>
        <v>0</v>
      </c>
      <c r="AA19" t="str">
        <f>'Green_rooibos initial weight'!A20</f>
        <v>G16</v>
      </c>
      <c r="AB19" t="str">
        <f>'Green_rooibos initial weight'!A924</f>
        <v>R16</v>
      </c>
      <c r="AC19" t="b">
        <f t="shared" si="9"/>
        <v>0</v>
      </c>
      <c r="AD19" t="b">
        <f t="shared" si="10"/>
        <v>0</v>
      </c>
      <c r="AG19" t="str">
        <f>'WetLitterbags placem_collection'!K18</f>
        <v>G405</v>
      </c>
      <c r="AH19" t="str">
        <f>'WetLitterbags placem_collection'!M18</f>
        <v>R519</v>
      </c>
      <c r="AI19" t="b">
        <f t="shared" si="11"/>
        <v>0</v>
      </c>
      <c r="AJ19" t="b">
        <f t="shared" si="12"/>
        <v>0</v>
      </c>
      <c r="AK19">
        <f>'WetLitterbags placem_collection'!A18</f>
        <v>16</v>
      </c>
      <c r="AL19">
        <f>'WetLitterbags placem_collection'!A18</f>
        <v>16</v>
      </c>
      <c r="AN19">
        <f>IF('Dry_Litterbag Placem_Collection'!J18=0,"",'Dry_Litterbag Placem_Collection'!J18)</f>
        <v>376</v>
      </c>
      <c r="AO19">
        <f>IF('Dry_Litterbag Placem_Collection'!K18=0,"",'Dry_Litterbag Placem_Collection'!K18)</f>
        <v>755</v>
      </c>
      <c r="AP19" t="b">
        <f t="shared" si="13"/>
        <v>0</v>
      </c>
      <c r="AQ19" t="b">
        <f t="shared" si="14"/>
        <v>0</v>
      </c>
      <c r="AT19" t="str">
        <f>'Ashed teabags dry'!A17</f>
        <v>G12</v>
      </c>
      <c r="AU19" t="str">
        <f>'Ashed teabags dry'!A354</f>
        <v>R179</v>
      </c>
      <c r="AV19" t="b">
        <f t="shared" si="15"/>
        <v>0</v>
      </c>
      <c r="AW19" t="b">
        <f t="shared" si="16"/>
        <v>0</v>
      </c>
      <c r="AZ19" s="401" t="b">
        <f t="shared" si="17"/>
        <v>0</v>
      </c>
      <c r="BA19" s="401" t="b">
        <f t="shared" si="18"/>
        <v>0</v>
      </c>
      <c r="BC19" t="str">
        <f>'Ashed teabags wet'!A17</f>
        <v>G287</v>
      </c>
      <c r="BD19" t="str">
        <f>'Ashed teabags wet'!A434</f>
        <v>R120</v>
      </c>
      <c r="BE19" t="b">
        <f t="shared" si="19"/>
        <v>0</v>
      </c>
      <c r="BF19" t="b">
        <f t="shared" si="20"/>
        <v>0</v>
      </c>
      <c r="BG19">
        <f>IFERROR('Ashed teabags wet'!C17,"")</f>
        <v>166</v>
      </c>
      <c r="BH19">
        <f>IFERROR('Ashed teabags wet'!C434,"")</f>
        <v>59</v>
      </c>
      <c r="BI19" t="str">
        <f>'Ashed teabags wet'!AB17</f>
        <v/>
      </c>
      <c r="BJ19">
        <f>'Ashed teabags wet'!AC17</f>
        <v>165</v>
      </c>
      <c r="BK19" t="str">
        <f>'Ashed teabags wet'!AD434</f>
        <v/>
      </c>
      <c r="BL19">
        <f>'Ashed teabags wet'!AE434</f>
        <v>58</v>
      </c>
      <c r="BN19" t="str">
        <f t="shared" si="21"/>
        <v>G286</v>
      </c>
      <c r="BO19" t="b">
        <f t="shared" si="23"/>
        <v>1</v>
      </c>
    </row>
    <row r="20" spans="2:68" ht="12" customHeight="1">
      <c r="B20" t="str">
        <f>TBIDry!H92</f>
        <v>G209</v>
      </c>
      <c r="C20" t="str">
        <f>TBIDry!I92</f>
        <v>R826</v>
      </c>
      <c r="D20" t="b">
        <f t="shared" si="0"/>
        <v>0</v>
      </c>
      <c r="E20" t="b">
        <f t="shared" si="1"/>
        <v>0</v>
      </c>
      <c r="G20" t="str">
        <f>TBIWet!H92</f>
        <v>G571</v>
      </c>
      <c r="H20" t="str">
        <f>TBIWet!I92</f>
        <v>R542</v>
      </c>
      <c r="I20" t="b">
        <f t="shared" si="2"/>
        <v>0</v>
      </c>
      <c r="J20" t="b">
        <f t="shared" si="22"/>
        <v>0</v>
      </c>
      <c r="L20" t="str">
        <f>'Both teabags AfterWet'!A19</f>
        <v>G287</v>
      </c>
      <c r="M20" t="str">
        <f>'Both teabags AfterWet'!A437</f>
        <v>R119</v>
      </c>
      <c r="N20" t="b">
        <f t="shared" si="3"/>
        <v>0</v>
      </c>
      <c r="O20" t="b">
        <f t="shared" si="4"/>
        <v>0</v>
      </c>
      <c r="P20" t="str">
        <f>IFERROR('Both teabags AfterWet'!B19,"")</f>
        <v>n.a</v>
      </c>
      <c r="Q20">
        <f>'Both teabags AfterWet'!B437</f>
        <v>62</v>
      </c>
      <c r="S20" s="401" t="b">
        <f t="shared" si="5"/>
        <v>0</v>
      </c>
      <c r="T20" s="401" t="b">
        <f t="shared" si="6"/>
        <v>0</v>
      </c>
      <c r="V20" t="str">
        <f>'Both teabags AfterDry'!A19</f>
        <v>G12</v>
      </c>
      <c r="W20" t="str">
        <f>'Both teabags AfterDry'!A356</f>
        <v>R18</v>
      </c>
      <c r="X20" t="b">
        <f t="shared" si="7"/>
        <v>0</v>
      </c>
      <c r="Y20" t="b">
        <f t="shared" si="8"/>
        <v>0</v>
      </c>
      <c r="AA20" t="str">
        <f>'Green_rooibos initial weight'!A21</f>
        <v>G17</v>
      </c>
      <c r="AB20" t="str">
        <f>'Green_rooibos initial weight'!A925</f>
        <v>R17</v>
      </c>
      <c r="AC20" t="b">
        <f t="shared" si="9"/>
        <v>0</v>
      </c>
      <c r="AD20" t="b">
        <f t="shared" si="10"/>
        <v>0</v>
      </c>
      <c r="AG20" t="str">
        <f>'WetLitterbags placem_collection'!K19</f>
        <v>G571</v>
      </c>
      <c r="AH20" t="str">
        <f>'WetLitterbags placem_collection'!M19</f>
        <v>R542</v>
      </c>
      <c r="AI20" t="b">
        <f t="shared" si="11"/>
        <v>0</v>
      </c>
      <c r="AJ20" t="b">
        <f t="shared" si="12"/>
        <v>0</v>
      </c>
      <c r="AK20">
        <f>'WetLitterbags placem_collection'!A19</f>
        <v>17</v>
      </c>
      <c r="AL20">
        <f>'WetLitterbags placem_collection'!A19</f>
        <v>17</v>
      </c>
      <c r="AN20">
        <f>IF('Dry_Litterbag Placem_Collection'!J19=0,"",'Dry_Litterbag Placem_Collection'!J19)</f>
        <v>209</v>
      </c>
      <c r="AO20">
        <f>IF('Dry_Litterbag Placem_Collection'!K19=0,"",'Dry_Litterbag Placem_Collection'!K19)</f>
        <v>826</v>
      </c>
      <c r="AP20" t="b">
        <f t="shared" si="13"/>
        <v>0</v>
      </c>
      <c r="AQ20" t="b">
        <f t="shared" si="14"/>
        <v>0</v>
      </c>
      <c r="AT20" t="str">
        <f>'Ashed teabags dry'!A18</f>
        <v>G120</v>
      </c>
      <c r="AU20" t="str">
        <f>'Ashed teabags dry'!A355</f>
        <v>R18</v>
      </c>
      <c r="AV20" t="b">
        <f t="shared" si="15"/>
        <v>0</v>
      </c>
      <c r="AW20" t="b">
        <f t="shared" si="16"/>
        <v>0</v>
      </c>
      <c r="AZ20" s="401" t="b">
        <f t="shared" si="17"/>
        <v>0</v>
      </c>
      <c r="BA20" s="401" t="b">
        <f t="shared" si="18"/>
        <v>0</v>
      </c>
      <c r="BC20" t="str">
        <f>'Ashed teabags wet'!A18</f>
        <v>G291</v>
      </c>
      <c r="BD20" t="str">
        <f>'Ashed teabags wet'!A435</f>
        <v>R121</v>
      </c>
      <c r="BE20" t="b">
        <f t="shared" si="19"/>
        <v>0</v>
      </c>
      <c r="BF20" t="b">
        <f t="shared" si="20"/>
        <v>0</v>
      </c>
      <c r="BG20">
        <f>IFERROR('Ashed teabags wet'!C18,"")</f>
        <v>84</v>
      </c>
      <c r="BH20">
        <f>IFERROR('Ashed teabags wet'!C435,"")</f>
        <v>2</v>
      </c>
      <c r="BI20">
        <f>'Ashed teabags wet'!AB18</f>
        <v>83</v>
      </c>
      <c r="BJ20" t="str">
        <f>'Ashed teabags wet'!AC18</f>
        <v/>
      </c>
      <c r="BK20">
        <f>'Ashed teabags wet'!AD435</f>
        <v>1</v>
      </c>
      <c r="BL20" t="str">
        <f>'Ashed teabags wet'!AE435</f>
        <v/>
      </c>
      <c r="BN20" t="str">
        <f t="shared" si="21"/>
        <v>G287</v>
      </c>
      <c r="BO20" t="b">
        <f t="shared" si="23"/>
        <v>1</v>
      </c>
    </row>
    <row r="21" spans="2:68" ht="12" customHeight="1">
      <c r="B21" t="str">
        <f>TBIDry!H93</f>
        <v>G10</v>
      </c>
      <c r="C21" t="str">
        <f>TBIDry!I93</f>
        <v>R732</v>
      </c>
      <c r="D21" t="b">
        <f t="shared" si="0"/>
        <v>0</v>
      </c>
      <c r="E21" t="b">
        <f t="shared" si="1"/>
        <v>0</v>
      </c>
      <c r="G21" t="str">
        <f>TBIWet!H93</f>
        <v>G419</v>
      </c>
      <c r="H21" t="str">
        <f>TBIWet!I93</f>
        <v>R128</v>
      </c>
      <c r="I21" t="b">
        <f t="shared" si="2"/>
        <v>0</v>
      </c>
      <c r="J21" t="b">
        <f t="shared" si="22"/>
        <v>0</v>
      </c>
      <c r="L21" t="str">
        <f>'Both teabags AfterWet'!A20</f>
        <v>G291</v>
      </c>
      <c r="M21" t="str">
        <f>'Both teabags AfterWet'!A438</f>
        <v>R12</v>
      </c>
      <c r="N21" t="b">
        <f t="shared" si="3"/>
        <v>0</v>
      </c>
      <c r="O21" t="b">
        <f t="shared" si="4"/>
        <v>0</v>
      </c>
      <c r="P21">
        <f>IFERROR('Both teabags AfterWet'!B20,"")</f>
        <v>84</v>
      </c>
      <c r="Q21" t="str">
        <f>'Both teabags AfterWet'!B438</f>
        <v>n.a</v>
      </c>
      <c r="S21" s="401" t="b">
        <f t="shared" si="5"/>
        <v>0</v>
      </c>
      <c r="T21" s="401" t="b">
        <f t="shared" si="6"/>
        <v>0</v>
      </c>
      <c r="V21" t="str">
        <f>'Both teabags AfterDry'!A20</f>
        <v>G120</v>
      </c>
      <c r="W21" t="str">
        <f>'Both teabags AfterDry'!A357</f>
        <v>R180</v>
      </c>
      <c r="X21" t="b">
        <f t="shared" si="7"/>
        <v>0</v>
      </c>
      <c r="Y21" t="b">
        <f t="shared" si="8"/>
        <v>0</v>
      </c>
      <c r="AA21" t="str">
        <f>'Green_rooibos initial weight'!A22</f>
        <v>G18</v>
      </c>
      <c r="AB21" t="str">
        <f>'Green_rooibos initial weight'!A926</f>
        <v>R18</v>
      </c>
      <c r="AC21" t="b">
        <f t="shared" si="9"/>
        <v>0</v>
      </c>
      <c r="AD21" t="b">
        <f t="shared" si="10"/>
        <v>0</v>
      </c>
      <c r="AG21" t="str">
        <f>'WetLitterbags placem_collection'!K20</f>
        <v>G419</v>
      </c>
      <c r="AH21" t="str">
        <f>'WetLitterbags placem_collection'!M20</f>
        <v>R128</v>
      </c>
      <c r="AI21" t="b">
        <f t="shared" si="11"/>
        <v>0</v>
      </c>
      <c r="AJ21" t="b">
        <f t="shared" si="12"/>
        <v>0</v>
      </c>
      <c r="AK21">
        <f>'WetLitterbags placem_collection'!A20</f>
        <v>18</v>
      </c>
      <c r="AL21">
        <f>'WetLitterbags placem_collection'!A20</f>
        <v>18</v>
      </c>
      <c r="AN21">
        <f>IF('Dry_Litterbag Placem_Collection'!J20=0,"",'Dry_Litterbag Placem_Collection'!J20)</f>
        <v>10</v>
      </c>
      <c r="AO21">
        <f>IF('Dry_Litterbag Placem_Collection'!K20=0,"",'Dry_Litterbag Placem_Collection'!K20)</f>
        <v>732</v>
      </c>
      <c r="AP21" t="b">
        <f t="shared" si="13"/>
        <v>0</v>
      </c>
      <c r="AQ21" t="b">
        <f t="shared" si="14"/>
        <v>0</v>
      </c>
      <c r="AT21" t="str">
        <f>'Ashed teabags dry'!A19</f>
        <v>G123</v>
      </c>
      <c r="AU21" t="str">
        <f>'Ashed teabags dry'!A356</f>
        <v>R180</v>
      </c>
      <c r="AV21" t="b">
        <f t="shared" si="15"/>
        <v>0</v>
      </c>
      <c r="AW21" s="113" t="b">
        <f t="shared" si="16"/>
        <v>1</v>
      </c>
      <c r="AZ21" s="401" t="b">
        <f t="shared" si="17"/>
        <v>0</v>
      </c>
      <c r="BA21" s="401" t="b">
        <f t="shared" si="18"/>
        <v>0</v>
      </c>
      <c r="BC21" t="str">
        <f>'Ashed teabags wet'!A19</f>
        <v>G297</v>
      </c>
      <c r="BD21" t="str">
        <f>'Ashed teabags wet'!A436</f>
        <v>R124</v>
      </c>
      <c r="BE21" t="b">
        <f t="shared" si="19"/>
        <v>0</v>
      </c>
      <c r="BF21" t="b">
        <f t="shared" si="20"/>
        <v>0</v>
      </c>
      <c r="BG21">
        <f>IFERROR('Ashed teabags wet'!C19,"")</f>
        <v>192</v>
      </c>
      <c r="BH21">
        <f>IFERROR('Ashed teabags wet'!C436,"")</f>
        <v>161</v>
      </c>
      <c r="BI21" t="str">
        <f>'Ashed teabags wet'!AB19</f>
        <v/>
      </c>
      <c r="BJ21">
        <f>'Ashed teabags wet'!AC19</f>
        <v>191</v>
      </c>
      <c r="BK21">
        <f>'Ashed teabags wet'!AD436</f>
        <v>160</v>
      </c>
      <c r="BL21" t="str">
        <f>'Ashed teabags wet'!AE436</f>
        <v/>
      </c>
      <c r="BN21" t="str">
        <f t="shared" si="21"/>
        <v>G291</v>
      </c>
      <c r="BO21" t="b">
        <f t="shared" si="23"/>
        <v>1</v>
      </c>
    </row>
    <row r="22" spans="2:68" ht="12" customHeight="1">
      <c r="B22" t="str">
        <f>TBIDry!H94</f>
        <v>G190</v>
      </c>
      <c r="C22" t="str">
        <f>TBIDry!I94</f>
        <v>R749</v>
      </c>
      <c r="D22" t="b">
        <f t="shared" si="0"/>
        <v>0</v>
      </c>
      <c r="E22" t="b">
        <f t="shared" si="1"/>
        <v>0</v>
      </c>
      <c r="G22" t="str">
        <f>TBIWet!H94</f>
        <v>G240</v>
      </c>
      <c r="H22" t="str">
        <f>TBIWet!I94</f>
        <v>R82</v>
      </c>
      <c r="I22" t="b">
        <f t="shared" si="2"/>
        <v>0</v>
      </c>
      <c r="J22" t="b">
        <f t="shared" si="22"/>
        <v>0</v>
      </c>
      <c r="L22" t="str">
        <f>'Both teabags AfterWet'!A21</f>
        <v>G297</v>
      </c>
      <c r="M22" t="str">
        <f>'Both teabags AfterWet'!A439</f>
        <v>R120</v>
      </c>
      <c r="N22" t="b">
        <f t="shared" si="3"/>
        <v>0</v>
      </c>
      <c r="O22" t="b">
        <f t="shared" si="4"/>
        <v>0</v>
      </c>
      <c r="P22">
        <f>IFERROR('Both teabags AfterWet'!B21,"")</f>
        <v>192</v>
      </c>
      <c r="Q22">
        <f>'Both teabags AfterWet'!B439</f>
        <v>59</v>
      </c>
      <c r="S22" s="401" t="b">
        <f t="shared" si="5"/>
        <v>0</v>
      </c>
      <c r="T22" s="401" t="b">
        <f t="shared" si="6"/>
        <v>0</v>
      </c>
      <c r="V22" t="str">
        <f>'Both teabags AfterDry'!A21</f>
        <v>G123</v>
      </c>
      <c r="W22" t="str">
        <f>'Both teabags AfterDry'!A358</f>
        <v>R184</v>
      </c>
      <c r="X22" t="b">
        <f t="shared" si="7"/>
        <v>0</v>
      </c>
      <c r="Y22" t="b">
        <f t="shared" si="8"/>
        <v>0</v>
      </c>
      <c r="AA22" t="str">
        <f>'Green_rooibos initial weight'!A23</f>
        <v>G19</v>
      </c>
      <c r="AB22" t="str">
        <f>'Green_rooibos initial weight'!A927</f>
        <v>R19</v>
      </c>
      <c r="AC22" t="b">
        <f t="shared" si="9"/>
        <v>0</v>
      </c>
      <c r="AD22" t="b">
        <f t="shared" si="10"/>
        <v>0</v>
      </c>
      <c r="AG22" t="str">
        <f>'WetLitterbags placem_collection'!K21</f>
        <v>G240</v>
      </c>
      <c r="AH22" t="str">
        <f>'WetLitterbags placem_collection'!M21</f>
        <v>R82</v>
      </c>
      <c r="AI22" t="b">
        <f t="shared" si="11"/>
        <v>0</v>
      </c>
      <c r="AJ22" t="b">
        <f t="shared" si="12"/>
        <v>0</v>
      </c>
      <c r="AK22">
        <f>'WetLitterbags placem_collection'!A21</f>
        <v>19</v>
      </c>
      <c r="AL22">
        <f>'WetLitterbags placem_collection'!A21</f>
        <v>19</v>
      </c>
      <c r="AN22">
        <f>IF('Dry_Litterbag Placem_Collection'!J21=0,"",'Dry_Litterbag Placem_Collection'!J21)</f>
        <v>190</v>
      </c>
      <c r="AO22">
        <f>IF('Dry_Litterbag Placem_Collection'!K21=0,"",'Dry_Litterbag Placem_Collection'!K21)</f>
        <v>749</v>
      </c>
      <c r="AP22" t="b">
        <f t="shared" si="13"/>
        <v>0</v>
      </c>
      <c r="AQ22" t="b">
        <f t="shared" si="14"/>
        <v>0</v>
      </c>
      <c r="AT22" t="str">
        <f>'Ashed teabags dry'!A20</f>
        <v>G124</v>
      </c>
      <c r="AU22" t="str">
        <f>'Ashed teabags dry'!A357</f>
        <v>R180</v>
      </c>
      <c r="AV22" t="b">
        <f t="shared" si="15"/>
        <v>0</v>
      </c>
      <c r="AW22" s="113" t="b">
        <f t="shared" si="16"/>
        <v>1</v>
      </c>
      <c r="AZ22" s="401" t="b">
        <f t="shared" si="17"/>
        <v>0</v>
      </c>
      <c r="BA22" s="401" t="b">
        <f t="shared" si="18"/>
        <v>0</v>
      </c>
      <c r="BC22" t="str">
        <f>'Ashed teabags wet'!A20</f>
        <v>G298</v>
      </c>
      <c r="BD22" t="str">
        <f>'Ashed teabags wet'!A437</f>
        <v>R125</v>
      </c>
      <c r="BE22" t="b">
        <f t="shared" si="19"/>
        <v>0</v>
      </c>
      <c r="BF22" t="b">
        <f t="shared" si="20"/>
        <v>0</v>
      </c>
      <c r="BG22">
        <f>IFERROR('Ashed teabags wet'!C20,"")</f>
        <v>83</v>
      </c>
      <c r="BH22">
        <f>IFERROR('Ashed teabags wet'!C437,"")</f>
        <v>193</v>
      </c>
      <c r="BI22" t="str">
        <f>'Ashed teabags wet'!AB20</f>
        <v/>
      </c>
      <c r="BJ22">
        <f>'Ashed teabags wet'!AC20</f>
        <v>82</v>
      </c>
      <c r="BK22">
        <f>'Ashed teabags wet'!AD437</f>
        <v>192</v>
      </c>
      <c r="BL22" t="str">
        <f>'Ashed teabags wet'!AE437</f>
        <v/>
      </c>
      <c r="BN22" t="str">
        <f t="shared" si="21"/>
        <v>G297</v>
      </c>
      <c r="BO22" t="b">
        <f t="shared" si="23"/>
        <v>1</v>
      </c>
    </row>
    <row r="23" spans="2:68" ht="12" customHeight="1">
      <c r="B23" t="str">
        <f>TBIDry!H95</f>
        <v>G38</v>
      </c>
      <c r="C23" t="str">
        <f>TBIDry!I95</f>
        <v>R632</v>
      </c>
      <c r="D23" t="b">
        <f t="shared" si="0"/>
        <v>0</v>
      </c>
      <c r="E23" t="b">
        <f t="shared" si="1"/>
        <v>0</v>
      </c>
      <c r="G23" t="str">
        <f>TBIWet!H95</f>
        <v>G524</v>
      </c>
      <c r="H23" t="str">
        <f>TBIWet!I95</f>
        <v>R50</v>
      </c>
      <c r="I23" t="b">
        <f t="shared" si="2"/>
        <v>0</v>
      </c>
      <c r="J23" t="b">
        <f t="shared" si="22"/>
        <v>0</v>
      </c>
      <c r="L23" t="str">
        <f>'Both teabags AfterWet'!A22</f>
        <v>G298</v>
      </c>
      <c r="M23" t="str">
        <f>'Both teabags AfterWet'!A440</f>
        <v>R121</v>
      </c>
      <c r="N23" t="b">
        <f t="shared" si="3"/>
        <v>0</v>
      </c>
      <c r="O23" t="b">
        <f t="shared" si="4"/>
        <v>0</v>
      </c>
      <c r="P23">
        <f>IFERROR('Both teabags AfterWet'!B22,"")</f>
        <v>83</v>
      </c>
      <c r="Q23" t="str">
        <f>'Both teabags AfterWet'!B440</f>
        <v>n.a</v>
      </c>
      <c r="S23" s="401" t="b">
        <f t="shared" si="5"/>
        <v>0</v>
      </c>
      <c r="T23" s="401" t="b">
        <f t="shared" si="6"/>
        <v>0</v>
      </c>
      <c r="V23" t="str">
        <f>'Both teabags AfterDry'!A22</f>
        <v>G124</v>
      </c>
      <c r="W23" t="str">
        <f>'Both teabags AfterDry'!A359</f>
        <v>R188</v>
      </c>
      <c r="X23" t="b">
        <f t="shared" si="7"/>
        <v>0</v>
      </c>
      <c r="Y23" t="b">
        <f t="shared" si="8"/>
        <v>0</v>
      </c>
      <c r="AA23" t="str">
        <f>'Green_rooibos initial weight'!A24</f>
        <v>G20</v>
      </c>
      <c r="AB23" t="str">
        <f>'Green_rooibos initial weight'!A928</f>
        <v>R20</v>
      </c>
      <c r="AC23" t="b">
        <f t="shared" si="9"/>
        <v>0</v>
      </c>
      <c r="AD23" t="b">
        <f t="shared" si="10"/>
        <v>0</v>
      </c>
      <c r="AG23" t="str">
        <f>'WetLitterbags placem_collection'!K22</f>
        <v>G524</v>
      </c>
      <c r="AH23" t="str">
        <f>'WetLitterbags placem_collection'!M22</f>
        <v>R50</v>
      </c>
      <c r="AI23" t="b">
        <f t="shared" si="11"/>
        <v>0</v>
      </c>
      <c r="AJ23" t="b">
        <f t="shared" si="12"/>
        <v>0</v>
      </c>
      <c r="AK23">
        <f>'WetLitterbags placem_collection'!A22</f>
        <v>20</v>
      </c>
      <c r="AL23">
        <f>'WetLitterbags placem_collection'!A22</f>
        <v>20</v>
      </c>
      <c r="AN23">
        <f>IF('Dry_Litterbag Placem_Collection'!J22=0,"",'Dry_Litterbag Placem_Collection'!J22)</f>
        <v>38</v>
      </c>
      <c r="AO23">
        <f>IF('Dry_Litterbag Placem_Collection'!K22=0,"",'Dry_Litterbag Placem_Collection'!K22)</f>
        <v>632</v>
      </c>
      <c r="AP23" t="b">
        <f t="shared" si="13"/>
        <v>0</v>
      </c>
      <c r="AQ23" t="b">
        <f t="shared" si="14"/>
        <v>0</v>
      </c>
      <c r="AT23" t="str">
        <f>'Ashed teabags dry'!A21</f>
        <v>G125</v>
      </c>
      <c r="AU23" t="str">
        <f>'Ashed teabags dry'!A358</f>
        <v>R184</v>
      </c>
      <c r="AV23" t="b">
        <f t="shared" si="15"/>
        <v>0</v>
      </c>
      <c r="AW23" t="b">
        <f t="shared" si="16"/>
        <v>0</v>
      </c>
      <c r="AZ23" s="401" t="b">
        <f t="shared" si="17"/>
        <v>0</v>
      </c>
      <c r="BA23" s="401" t="b">
        <f t="shared" si="18"/>
        <v>0</v>
      </c>
      <c r="BC23" t="str">
        <f>'Ashed teabags wet'!A21</f>
        <v>G299</v>
      </c>
      <c r="BD23" t="str">
        <f>'Ashed teabags wet'!A438</f>
        <v>R126</v>
      </c>
      <c r="BE23" t="b">
        <f t="shared" si="19"/>
        <v>0</v>
      </c>
      <c r="BF23" t="b">
        <f t="shared" si="20"/>
        <v>0</v>
      </c>
      <c r="BG23">
        <f>IFERROR('Ashed teabags wet'!C21,"")</f>
        <v>48</v>
      </c>
      <c r="BH23">
        <f>IFERROR('Ashed teabags wet'!C438,"")</f>
        <v>36</v>
      </c>
      <c r="BI23" t="str">
        <f>'Ashed teabags wet'!AB21</f>
        <v/>
      </c>
      <c r="BJ23">
        <f>'Ashed teabags wet'!AC21</f>
        <v>47</v>
      </c>
      <c r="BK23">
        <f>'Ashed teabags wet'!AD438</f>
        <v>35</v>
      </c>
      <c r="BL23" t="str">
        <f>'Ashed teabags wet'!AE438</f>
        <v/>
      </c>
      <c r="BN23" t="str">
        <f t="shared" si="21"/>
        <v>G298</v>
      </c>
      <c r="BO23" t="b">
        <f t="shared" si="23"/>
        <v>1</v>
      </c>
    </row>
    <row r="24" spans="2:68" ht="12" customHeight="1">
      <c r="B24" t="str">
        <f>TBIDry!H96</f>
        <v>G468</v>
      </c>
      <c r="C24" t="str">
        <f>TBIDry!I96</f>
        <v>R630</v>
      </c>
      <c r="D24" t="b">
        <f t="shared" si="0"/>
        <v>0</v>
      </c>
      <c r="E24" t="b">
        <f t="shared" si="1"/>
        <v>0</v>
      </c>
      <c r="G24" t="str">
        <f>TBIWet!H96</f>
        <v>G699</v>
      </c>
      <c r="H24" t="str">
        <f>TBIWet!I96</f>
        <v>R529</v>
      </c>
      <c r="I24" t="b">
        <f t="shared" si="2"/>
        <v>0</v>
      </c>
      <c r="J24" t="b">
        <f t="shared" si="22"/>
        <v>0</v>
      </c>
      <c r="L24" t="str">
        <f>'Both teabags AfterWet'!A23</f>
        <v>G299</v>
      </c>
      <c r="M24" t="str">
        <f>'Both teabags AfterWet'!A441</f>
        <v>R122</v>
      </c>
      <c r="N24" t="b">
        <f t="shared" si="3"/>
        <v>0</v>
      </c>
      <c r="O24" t="b">
        <f t="shared" si="4"/>
        <v>0</v>
      </c>
      <c r="P24">
        <f>IFERROR('Both teabags AfterWet'!B23,"")</f>
        <v>46</v>
      </c>
      <c r="Q24">
        <f>'Both teabags AfterWet'!B441</f>
        <v>74</v>
      </c>
      <c r="S24" s="401" t="b">
        <f t="shared" si="5"/>
        <v>0</v>
      </c>
      <c r="T24" s="401" t="b">
        <f t="shared" si="6"/>
        <v>0</v>
      </c>
      <c r="V24" t="str">
        <f>'Both teabags AfterDry'!A23</f>
        <v>G125</v>
      </c>
      <c r="W24" t="str">
        <f>'Both teabags AfterDry'!A360</f>
        <v>R191</v>
      </c>
      <c r="X24" t="b">
        <f t="shared" si="7"/>
        <v>0</v>
      </c>
      <c r="Y24" t="b">
        <f t="shared" si="8"/>
        <v>0</v>
      </c>
      <c r="AA24" t="str">
        <f>'Green_rooibos initial weight'!A25</f>
        <v>G21</v>
      </c>
      <c r="AB24" t="str">
        <f>'Green_rooibos initial weight'!A929</f>
        <v>R21</v>
      </c>
      <c r="AC24" t="b">
        <f t="shared" si="9"/>
        <v>0</v>
      </c>
      <c r="AD24" t="b">
        <f t="shared" si="10"/>
        <v>0</v>
      </c>
      <c r="AG24" t="str">
        <f>'WetLitterbags placem_collection'!K23</f>
        <v>G699</v>
      </c>
      <c r="AH24" t="str">
        <f>'WetLitterbags placem_collection'!M23</f>
        <v>R529</v>
      </c>
      <c r="AI24" t="b">
        <f t="shared" si="11"/>
        <v>0</v>
      </c>
      <c r="AJ24" t="b">
        <f t="shared" si="12"/>
        <v>0</v>
      </c>
      <c r="AK24">
        <f>'WetLitterbags placem_collection'!A23</f>
        <v>21</v>
      </c>
      <c r="AL24">
        <f>'WetLitterbags placem_collection'!A23</f>
        <v>21</v>
      </c>
      <c r="AN24">
        <f>IF('Dry_Litterbag Placem_Collection'!J23=0,"",'Dry_Litterbag Placem_Collection'!J23)</f>
        <v>468</v>
      </c>
      <c r="AO24">
        <f>IF('Dry_Litterbag Placem_Collection'!K23=0,"",'Dry_Litterbag Placem_Collection'!K23)</f>
        <v>630</v>
      </c>
      <c r="AP24" t="b">
        <f t="shared" si="13"/>
        <v>0</v>
      </c>
      <c r="AQ24" t="b">
        <f t="shared" si="14"/>
        <v>0</v>
      </c>
      <c r="AT24" t="str">
        <f>'Ashed teabags dry'!A22</f>
        <v>G126</v>
      </c>
      <c r="AU24" t="str">
        <f>'Ashed teabags dry'!A359</f>
        <v>R188</v>
      </c>
      <c r="AV24" t="b">
        <f t="shared" si="15"/>
        <v>0</v>
      </c>
      <c r="AW24" t="b">
        <f t="shared" si="16"/>
        <v>0</v>
      </c>
      <c r="AZ24" s="401" t="b">
        <f t="shared" si="17"/>
        <v>0</v>
      </c>
      <c r="BA24" s="401" t="b">
        <f t="shared" si="18"/>
        <v>0</v>
      </c>
      <c r="BC24" t="str">
        <f>'Ashed teabags wet'!A22</f>
        <v>G308</v>
      </c>
      <c r="BD24" t="str">
        <f>'Ashed teabags wet'!A439</f>
        <v>R128</v>
      </c>
      <c r="BE24" t="b">
        <f t="shared" si="19"/>
        <v>0</v>
      </c>
      <c r="BF24" t="b">
        <f t="shared" si="20"/>
        <v>0</v>
      </c>
      <c r="BG24">
        <f>IFERROR('Ashed teabags wet'!C22,"")</f>
        <v>85</v>
      </c>
      <c r="BH24">
        <f>IFERROR('Ashed teabags wet'!C439,"")</f>
        <v>18</v>
      </c>
      <c r="BI24">
        <f>'Ashed teabags wet'!AB22</f>
        <v>84</v>
      </c>
      <c r="BJ24" t="str">
        <f>'Ashed teabags wet'!AC22</f>
        <v/>
      </c>
      <c r="BK24">
        <f>'Ashed teabags wet'!AD439</f>
        <v>17</v>
      </c>
      <c r="BL24" t="str">
        <f>'Ashed teabags wet'!AE439</f>
        <v/>
      </c>
      <c r="BN24" t="str">
        <f t="shared" si="21"/>
        <v>G299</v>
      </c>
      <c r="BO24" t="b">
        <f t="shared" si="23"/>
        <v>1</v>
      </c>
    </row>
    <row r="25" spans="2:68" ht="12" customHeight="1">
      <c r="B25" t="str">
        <f>TBIDry!H97</f>
        <v>G8</v>
      </c>
      <c r="C25" t="str">
        <f>TBIDry!I97</f>
        <v>R723</v>
      </c>
      <c r="D25" t="b">
        <f t="shared" si="0"/>
        <v>0</v>
      </c>
      <c r="E25" t="b">
        <f t="shared" si="1"/>
        <v>0</v>
      </c>
      <c r="G25" t="str">
        <f>TBIWet!H97</f>
        <v>G575</v>
      </c>
      <c r="H25" t="str">
        <f>TBIWet!I97</f>
        <v>R363</v>
      </c>
      <c r="I25" t="b">
        <f t="shared" si="2"/>
        <v>0</v>
      </c>
      <c r="J25" t="b">
        <f t="shared" si="22"/>
        <v>0</v>
      </c>
      <c r="L25" t="str">
        <f>'Both teabags AfterWet'!A24</f>
        <v>G308</v>
      </c>
      <c r="M25" t="str">
        <f>'Both teabags AfterWet'!A442</f>
        <v>R124</v>
      </c>
      <c r="N25" t="b">
        <f t="shared" si="3"/>
        <v>0</v>
      </c>
      <c r="O25" t="b">
        <f t="shared" si="4"/>
        <v>0</v>
      </c>
      <c r="P25">
        <f>IFERROR('Both teabags AfterWet'!B24,"")</f>
        <v>85</v>
      </c>
      <c r="Q25">
        <f>'Both teabags AfterWet'!B442</f>
        <v>161</v>
      </c>
      <c r="S25" s="401" t="b">
        <f t="shared" si="5"/>
        <v>0</v>
      </c>
      <c r="T25" s="401" t="b">
        <f t="shared" si="6"/>
        <v>0</v>
      </c>
      <c r="V25" t="str">
        <f>'Both teabags AfterDry'!A24</f>
        <v>G126</v>
      </c>
      <c r="W25" t="str">
        <f>'Both teabags AfterDry'!A361</f>
        <v>R192</v>
      </c>
      <c r="X25" t="b">
        <f t="shared" si="7"/>
        <v>0</v>
      </c>
      <c r="Y25" t="b">
        <f t="shared" si="8"/>
        <v>0</v>
      </c>
      <c r="AA25" t="str">
        <f>'Green_rooibos initial weight'!A26</f>
        <v>G22</v>
      </c>
      <c r="AB25" t="str">
        <f>'Green_rooibos initial weight'!A930</f>
        <v>R22</v>
      </c>
      <c r="AC25" t="b">
        <f t="shared" si="9"/>
        <v>0</v>
      </c>
      <c r="AD25" t="b">
        <f t="shared" si="10"/>
        <v>0</v>
      </c>
      <c r="AG25" t="str">
        <f>'WetLitterbags placem_collection'!K24</f>
        <v>G575</v>
      </c>
      <c r="AH25" t="str">
        <f>'WetLitterbags placem_collection'!M24</f>
        <v>R363</v>
      </c>
      <c r="AI25" t="b">
        <f t="shared" si="11"/>
        <v>0</v>
      </c>
      <c r="AJ25" t="b">
        <f t="shared" si="12"/>
        <v>0</v>
      </c>
      <c r="AK25">
        <f>'WetLitterbags placem_collection'!A24</f>
        <v>22</v>
      </c>
      <c r="AL25">
        <f>'WetLitterbags placem_collection'!A24</f>
        <v>22</v>
      </c>
      <c r="AN25">
        <f>IF('Dry_Litterbag Placem_Collection'!J24=0,"",'Dry_Litterbag Placem_Collection'!J24)</f>
        <v>8</v>
      </c>
      <c r="AO25">
        <f>IF('Dry_Litterbag Placem_Collection'!K24=0,"",'Dry_Litterbag Placem_Collection'!K24)</f>
        <v>723</v>
      </c>
      <c r="AP25" t="b">
        <f t="shared" si="13"/>
        <v>0</v>
      </c>
      <c r="AQ25" t="b">
        <f t="shared" si="14"/>
        <v>0</v>
      </c>
      <c r="AT25" t="str">
        <f>'Ashed teabags dry'!A23</f>
        <v>G127</v>
      </c>
      <c r="AU25" t="str">
        <f>'Ashed teabags dry'!A360</f>
        <v>R191</v>
      </c>
      <c r="AV25" t="b">
        <f t="shared" si="15"/>
        <v>0</v>
      </c>
      <c r="AW25" t="b">
        <f t="shared" si="16"/>
        <v>0</v>
      </c>
      <c r="AZ25" s="401" t="b">
        <f t="shared" si="17"/>
        <v>0</v>
      </c>
      <c r="BA25" s="401" t="b">
        <f t="shared" si="18"/>
        <v>0</v>
      </c>
      <c r="BC25" t="str">
        <f>'Ashed teabags wet'!A23</f>
        <v>G334</v>
      </c>
      <c r="BD25" t="str">
        <f>'Ashed teabags wet'!A440</f>
        <v>R129</v>
      </c>
      <c r="BE25" t="b">
        <f t="shared" si="19"/>
        <v>0</v>
      </c>
      <c r="BF25" t="b">
        <f t="shared" si="20"/>
        <v>0</v>
      </c>
      <c r="BG25">
        <f>IFERROR('Ashed teabags wet'!C23,"")</f>
        <v>166</v>
      </c>
      <c r="BH25">
        <f>IFERROR('Ashed teabags wet'!C440,"")</f>
        <v>68</v>
      </c>
      <c r="BI25">
        <f>'Ashed teabags wet'!AB23</f>
        <v>165</v>
      </c>
      <c r="BJ25" t="str">
        <f>'Ashed teabags wet'!AC23</f>
        <v/>
      </c>
      <c r="BK25">
        <f>'Ashed teabags wet'!AD440</f>
        <v>67</v>
      </c>
      <c r="BL25" t="str">
        <f>'Ashed teabags wet'!AE440</f>
        <v/>
      </c>
      <c r="BN25" t="str">
        <f t="shared" si="21"/>
        <v>G308</v>
      </c>
      <c r="BO25" t="b">
        <f t="shared" si="23"/>
        <v>1</v>
      </c>
      <c r="BP25" s="180" t="s">
        <v>3916</v>
      </c>
    </row>
    <row r="26" spans="2:68" ht="12" customHeight="1">
      <c r="B26" t="str">
        <f>TBIDry!H98</f>
        <v/>
      </c>
      <c r="C26" t="str">
        <f>TBIDry!I98</f>
        <v/>
      </c>
      <c r="D26" t="b">
        <f t="shared" si="0"/>
        <v>1</v>
      </c>
      <c r="E26" t="b">
        <f t="shared" si="1"/>
        <v>1</v>
      </c>
      <c r="G26" t="str">
        <f>TBIWet!H98</f>
        <v>G492</v>
      </c>
      <c r="H26" t="str">
        <f>TBIWet!I98</f>
        <v>R190</v>
      </c>
      <c r="I26" t="b">
        <f t="shared" si="2"/>
        <v>0</v>
      </c>
      <c r="J26" t="b">
        <f t="shared" si="22"/>
        <v>0</v>
      </c>
      <c r="L26" t="str">
        <f>'Both teabags AfterWet'!A25</f>
        <v>G334</v>
      </c>
      <c r="M26" t="str">
        <f>'Both teabags AfterWet'!A443</f>
        <v>R125</v>
      </c>
      <c r="N26" t="b">
        <f t="shared" si="3"/>
        <v>0</v>
      </c>
      <c r="O26" t="b">
        <f t="shared" si="4"/>
        <v>0</v>
      </c>
      <c r="P26" t="str">
        <f>IFERROR('Both teabags AfterWet'!B25,"")</f>
        <v>na</v>
      </c>
      <c r="Q26" t="str">
        <f>'Both teabags AfterWet'!B443</f>
        <v>n.a</v>
      </c>
      <c r="S26" s="401" t="b">
        <f t="shared" si="5"/>
        <v>0</v>
      </c>
      <c r="T26" s="401" t="b">
        <f t="shared" si="6"/>
        <v>0</v>
      </c>
      <c r="V26" t="str">
        <f>'Both teabags AfterDry'!A25</f>
        <v>G127</v>
      </c>
      <c r="W26" t="str">
        <f>'Both teabags AfterDry'!A362</f>
        <v>R193</v>
      </c>
      <c r="X26" t="b">
        <f t="shared" si="7"/>
        <v>0</v>
      </c>
      <c r="Y26" t="b">
        <f t="shared" si="8"/>
        <v>0</v>
      </c>
      <c r="AA26" t="str">
        <f>'Green_rooibos initial weight'!A27</f>
        <v>G23</v>
      </c>
      <c r="AB26" t="str">
        <f>'Green_rooibos initial weight'!A931</f>
        <v>R23</v>
      </c>
      <c r="AC26" t="b">
        <f t="shared" si="9"/>
        <v>0</v>
      </c>
      <c r="AD26" t="b">
        <f t="shared" si="10"/>
        <v>0</v>
      </c>
      <c r="AG26" t="str">
        <f>'WetLitterbags placem_collection'!K25</f>
        <v>G492</v>
      </c>
      <c r="AH26" t="str">
        <f>'WetLitterbags placem_collection'!M25</f>
        <v>R190</v>
      </c>
      <c r="AI26" t="b">
        <f t="shared" si="11"/>
        <v>0</v>
      </c>
      <c r="AJ26" t="b">
        <f t="shared" si="12"/>
        <v>0</v>
      </c>
      <c r="AK26">
        <f>'WetLitterbags placem_collection'!A25</f>
        <v>23</v>
      </c>
      <c r="AL26">
        <f>'WetLitterbags placem_collection'!A25</f>
        <v>23</v>
      </c>
      <c r="AN26" t="str">
        <f>IF('Dry_Litterbag Placem_Collection'!J25=0,"",'Dry_Litterbag Placem_Collection'!J25)</f>
        <v/>
      </c>
      <c r="AO26" t="str">
        <f>IF('Dry_Litterbag Placem_Collection'!K25=0,"",'Dry_Litterbag Placem_Collection'!K25)</f>
        <v/>
      </c>
      <c r="AP26" t="b">
        <f t="shared" si="13"/>
        <v>1</v>
      </c>
      <c r="AQ26" t="b">
        <f t="shared" si="14"/>
        <v>1</v>
      </c>
      <c r="AT26" t="str">
        <f>'Ashed teabags dry'!A24</f>
        <v>G128</v>
      </c>
      <c r="AU26" t="str">
        <f>'Ashed teabags dry'!A361</f>
        <v>R192</v>
      </c>
      <c r="AV26" t="b">
        <f t="shared" si="15"/>
        <v>0</v>
      </c>
      <c r="AW26" t="b">
        <f t="shared" si="16"/>
        <v>0</v>
      </c>
      <c r="AZ26" s="401" t="b">
        <f t="shared" si="17"/>
        <v>0</v>
      </c>
      <c r="BA26" s="401" t="b">
        <f t="shared" si="18"/>
        <v>0</v>
      </c>
      <c r="BC26" t="str">
        <f>'Ashed teabags wet'!A24</f>
        <v>G337</v>
      </c>
      <c r="BD26" t="str">
        <f>'Ashed teabags wet'!A441</f>
        <v>R130</v>
      </c>
      <c r="BE26" t="b">
        <f t="shared" si="19"/>
        <v>0</v>
      </c>
      <c r="BF26" t="b">
        <f t="shared" si="20"/>
        <v>0</v>
      </c>
      <c r="BG26">
        <f>IFERROR('Ashed teabags wet'!C24,"")</f>
        <v>184</v>
      </c>
      <c r="BH26">
        <f>IFERROR('Ashed teabags wet'!C441,"")</f>
        <v>212</v>
      </c>
      <c r="BI26" t="str">
        <f>'Ashed teabags wet'!AB24</f>
        <v/>
      </c>
      <c r="BJ26">
        <f>'Ashed teabags wet'!AC24</f>
        <v>183</v>
      </c>
      <c r="BK26" t="str">
        <f>'Ashed teabags wet'!AD441</f>
        <v/>
      </c>
      <c r="BL26">
        <f>'Ashed teabags wet'!AE441</f>
        <v>211</v>
      </c>
      <c r="BN26" t="str">
        <f t="shared" si="21"/>
        <v>G334</v>
      </c>
      <c r="BO26" t="b">
        <f t="shared" si="23"/>
        <v>1</v>
      </c>
      <c r="BP26" s="402"/>
    </row>
    <row r="27" spans="2:68" ht="12" customHeight="1">
      <c r="B27" t="str">
        <f>TBIDry!H99</f>
        <v>G320</v>
      </c>
      <c r="C27" t="str">
        <f>TBIDry!I99</f>
        <v>R225</v>
      </c>
      <c r="D27" t="b">
        <f t="shared" si="0"/>
        <v>0</v>
      </c>
      <c r="E27" t="b">
        <f t="shared" si="1"/>
        <v>0</v>
      </c>
      <c r="G27" t="str">
        <f>TBIWet!H99</f>
        <v>G813</v>
      </c>
      <c r="H27" t="str">
        <f>TBIWet!I99</f>
        <v>R144</v>
      </c>
      <c r="I27" t="b">
        <f t="shared" si="2"/>
        <v>0</v>
      </c>
      <c r="J27" t="b">
        <f t="shared" si="22"/>
        <v>0</v>
      </c>
      <c r="L27" t="str">
        <f>'Both teabags AfterWet'!A26</f>
        <v>G337</v>
      </c>
      <c r="M27" t="str">
        <f>'Both teabags AfterWet'!A444</f>
        <v>R126</v>
      </c>
      <c r="N27" t="b">
        <f t="shared" si="3"/>
        <v>0</v>
      </c>
      <c r="O27" t="b">
        <f t="shared" si="4"/>
        <v>0</v>
      </c>
      <c r="P27" t="str">
        <f>IFERROR('Both teabags AfterWet'!B26,"")</f>
        <v>na</v>
      </c>
      <c r="Q27" t="str">
        <f>'Both teabags AfterWet'!B444</f>
        <v>N.A</v>
      </c>
      <c r="S27" s="401" t="b">
        <f t="shared" si="5"/>
        <v>0</v>
      </c>
      <c r="T27" s="401" t="b">
        <f t="shared" si="6"/>
        <v>0</v>
      </c>
      <c r="V27" t="str">
        <f>'Both teabags AfterDry'!A26</f>
        <v>G128</v>
      </c>
      <c r="W27" t="str">
        <f>'Both teabags AfterDry'!A363</f>
        <v>R195</v>
      </c>
      <c r="X27" t="b">
        <f t="shared" si="7"/>
        <v>0</v>
      </c>
      <c r="Y27" t="b">
        <f t="shared" si="8"/>
        <v>0</v>
      </c>
      <c r="AA27" t="str">
        <f>'Green_rooibos initial weight'!A28</f>
        <v>G24</v>
      </c>
      <c r="AB27" t="str">
        <f>'Green_rooibos initial weight'!A932</f>
        <v>R24</v>
      </c>
      <c r="AC27" t="b">
        <f t="shared" si="9"/>
        <v>0</v>
      </c>
      <c r="AD27" t="b">
        <f t="shared" si="10"/>
        <v>0</v>
      </c>
      <c r="AG27" t="str">
        <f>'WetLitterbags placem_collection'!K26</f>
        <v>G813</v>
      </c>
      <c r="AH27" t="str">
        <f>'WetLitterbags placem_collection'!M26</f>
        <v>R144</v>
      </c>
      <c r="AI27" t="b">
        <f t="shared" si="11"/>
        <v>0</v>
      </c>
      <c r="AJ27" t="b">
        <f t="shared" si="12"/>
        <v>0</v>
      </c>
      <c r="AK27">
        <f>'WetLitterbags placem_collection'!A26</f>
        <v>24</v>
      </c>
      <c r="AL27">
        <f>'WetLitterbags placem_collection'!A26</f>
        <v>24</v>
      </c>
      <c r="AN27">
        <f>IF('Dry_Litterbag Placem_Collection'!J26=0,"",'Dry_Litterbag Placem_Collection'!J26)</f>
        <v>320</v>
      </c>
      <c r="AO27">
        <f>IF('Dry_Litterbag Placem_Collection'!K26=0,"",'Dry_Litterbag Placem_Collection'!K26)</f>
        <v>225</v>
      </c>
      <c r="AP27" t="b">
        <f t="shared" si="13"/>
        <v>0</v>
      </c>
      <c r="AQ27" t="b">
        <f t="shared" si="14"/>
        <v>0</v>
      </c>
      <c r="AT27" t="str">
        <f>'Ashed teabags dry'!A25</f>
        <v>G13</v>
      </c>
      <c r="AU27" t="str">
        <f>'Ashed teabags dry'!A362</f>
        <v>R193</v>
      </c>
      <c r="AV27" t="b">
        <f t="shared" si="15"/>
        <v>0</v>
      </c>
      <c r="AW27" t="b">
        <f t="shared" si="16"/>
        <v>0</v>
      </c>
      <c r="AZ27" s="401" t="b">
        <f t="shared" si="17"/>
        <v>0</v>
      </c>
      <c r="BA27" s="401" t="b">
        <f t="shared" si="18"/>
        <v>0</v>
      </c>
      <c r="BC27" t="str">
        <f>'Ashed teabags wet'!A25</f>
        <v>G345</v>
      </c>
      <c r="BD27" t="str">
        <f>'Ashed teabags wet'!A442</f>
        <v>R132</v>
      </c>
      <c r="BE27" t="b">
        <f t="shared" si="19"/>
        <v>0</v>
      </c>
      <c r="BF27" t="b">
        <f t="shared" si="20"/>
        <v>0</v>
      </c>
      <c r="BG27">
        <f>IFERROR('Ashed teabags wet'!C25,"")</f>
        <v>29</v>
      </c>
      <c r="BH27">
        <f>IFERROR('Ashed teabags wet'!C442,"")</f>
        <v>23</v>
      </c>
      <c r="BI27" t="str">
        <f>'Ashed teabags wet'!AB25</f>
        <v/>
      </c>
      <c r="BJ27">
        <f>'Ashed teabags wet'!AC25</f>
        <v>28</v>
      </c>
      <c r="BK27" t="str">
        <f>'Ashed teabags wet'!AD442</f>
        <v/>
      </c>
      <c r="BL27">
        <f>'Ashed teabags wet'!AE442</f>
        <v>22</v>
      </c>
      <c r="BN27" t="str">
        <f t="shared" si="21"/>
        <v>G337</v>
      </c>
      <c r="BO27" t="b">
        <f t="shared" si="23"/>
        <v>1</v>
      </c>
    </row>
    <row r="28" spans="2:68" ht="12" customHeight="1">
      <c r="B28" t="str">
        <f>TBIDry!H100</f>
        <v>G322</v>
      </c>
      <c r="C28" t="str">
        <f>TBIDry!I100</f>
        <v>R43</v>
      </c>
      <c r="D28" t="b">
        <f t="shared" si="0"/>
        <v>0</v>
      </c>
      <c r="E28" t="b">
        <f t="shared" si="1"/>
        <v>0</v>
      </c>
      <c r="G28" t="str">
        <f>TBIWet!H100</f>
        <v>G406</v>
      </c>
      <c r="H28" t="str">
        <f>TBIWet!I100</f>
        <v>R279</v>
      </c>
      <c r="I28" t="b">
        <f t="shared" si="2"/>
        <v>0</v>
      </c>
      <c r="J28" t="b">
        <f t="shared" si="22"/>
        <v>0</v>
      </c>
      <c r="L28" t="str">
        <f>'Both teabags AfterWet'!A27</f>
        <v>G345</v>
      </c>
      <c r="M28" t="str">
        <f>'Both teabags AfterWet'!A445</f>
        <v>R128</v>
      </c>
      <c r="N28" t="b">
        <f t="shared" si="3"/>
        <v>0</v>
      </c>
      <c r="O28" t="b">
        <f t="shared" si="4"/>
        <v>0</v>
      </c>
      <c r="P28" t="str">
        <f>IFERROR('Both teabags AfterWet'!B27,"")</f>
        <v>n.a</v>
      </c>
      <c r="Q28">
        <f>'Both teabags AfterWet'!B445</f>
        <v>18</v>
      </c>
      <c r="S28" s="401" t="b">
        <f t="shared" si="5"/>
        <v>0</v>
      </c>
      <c r="T28" s="401" t="b">
        <f t="shared" si="6"/>
        <v>0</v>
      </c>
      <c r="V28" t="str">
        <f>'Both teabags AfterDry'!A27</f>
        <v>G13</v>
      </c>
      <c r="W28" t="str">
        <f>'Both teabags AfterDry'!A364</f>
        <v>R197</v>
      </c>
      <c r="X28" t="b">
        <f t="shared" si="7"/>
        <v>0</v>
      </c>
      <c r="Y28" t="b">
        <f t="shared" si="8"/>
        <v>0</v>
      </c>
      <c r="AA28" t="str">
        <f>'Green_rooibos initial weight'!A29</f>
        <v>G25</v>
      </c>
      <c r="AB28" t="str">
        <f>'Green_rooibos initial weight'!A933</f>
        <v>R25</v>
      </c>
      <c r="AC28" t="b">
        <f t="shared" si="9"/>
        <v>0</v>
      </c>
      <c r="AD28" t="b">
        <f t="shared" si="10"/>
        <v>0</v>
      </c>
      <c r="AG28" t="str">
        <f>'WetLitterbags placem_collection'!K27</f>
        <v>G406</v>
      </c>
      <c r="AH28" t="str">
        <f>'WetLitterbags placem_collection'!M27</f>
        <v>R279</v>
      </c>
      <c r="AI28" t="b">
        <f t="shared" si="11"/>
        <v>0</v>
      </c>
      <c r="AJ28" t="b">
        <f t="shared" si="12"/>
        <v>0</v>
      </c>
      <c r="AK28">
        <f>'WetLitterbags placem_collection'!A27</f>
        <v>25</v>
      </c>
      <c r="AL28">
        <f>'WetLitterbags placem_collection'!A27</f>
        <v>25</v>
      </c>
      <c r="AN28">
        <f>IF('Dry_Litterbag Placem_Collection'!J27=0,"",'Dry_Litterbag Placem_Collection'!J27)</f>
        <v>322</v>
      </c>
      <c r="AO28">
        <f>IF('Dry_Litterbag Placem_Collection'!K27=0,"",'Dry_Litterbag Placem_Collection'!K27)</f>
        <v>43</v>
      </c>
      <c r="AP28" t="b">
        <f t="shared" si="13"/>
        <v>0</v>
      </c>
      <c r="AQ28" t="b">
        <f t="shared" si="14"/>
        <v>0</v>
      </c>
      <c r="AT28" t="str">
        <f>'Ashed teabags dry'!A26</f>
        <v>G130</v>
      </c>
      <c r="AU28" t="str">
        <f>'Ashed teabags dry'!A363</f>
        <v>R195</v>
      </c>
      <c r="AV28" t="b">
        <f t="shared" si="15"/>
        <v>0</v>
      </c>
      <c r="AW28" t="b">
        <f t="shared" si="16"/>
        <v>0</v>
      </c>
      <c r="AZ28" s="401" t="b">
        <f t="shared" si="17"/>
        <v>0</v>
      </c>
      <c r="BA28" s="401" t="b">
        <f t="shared" si="18"/>
        <v>0</v>
      </c>
      <c r="BC28" t="str">
        <f>'Ashed teabags wet'!A26</f>
        <v>G346</v>
      </c>
      <c r="BD28" t="str">
        <f>'Ashed teabags wet'!A443</f>
        <v>R134</v>
      </c>
      <c r="BE28" t="b">
        <f t="shared" si="19"/>
        <v>0</v>
      </c>
      <c r="BF28" t="b">
        <f t="shared" si="20"/>
        <v>0</v>
      </c>
      <c r="BG28">
        <f>IFERROR('Ashed teabags wet'!C26,"")</f>
        <v>49</v>
      </c>
      <c r="BH28">
        <f>IFERROR('Ashed teabags wet'!C443,"")</f>
        <v>83</v>
      </c>
      <c r="BI28">
        <f>'Ashed teabags wet'!AB26</f>
        <v>48</v>
      </c>
      <c r="BJ28" t="str">
        <f>'Ashed teabags wet'!AC26</f>
        <v/>
      </c>
      <c r="BK28">
        <f>'Ashed teabags wet'!AD443</f>
        <v>82</v>
      </c>
      <c r="BL28" t="str">
        <f>'Ashed teabags wet'!AE443</f>
        <v/>
      </c>
      <c r="BN28" t="str">
        <f t="shared" si="21"/>
        <v>G345</v>
      </c>
      <c r="BO28" t="b">
        <f t="shared" si="23"/>
        <v>1</v>
      </c>
    </row>
    <row r="29" spans="2:68" ht="12" customHeight="1">
      <c r="B29" t="str">
        <f>TBIDry!H101</f>
        <v>G58</v>
      </c>
      <c r="C29" t="str">
        <f>TBIDry!I101</f>
        <v>R602</v>
      </c>
      <c r="D29" t="b">
        <f t="shared" si="0"/>
        <v>0</v>
      </c>
      <c r="E29" t="b">
        <f t="shared" si="1"/>
        <v>0</v>
      </c>
      <c r="G29" t="str">
        <f>TBIWet!H101</f>
        <v>G651</v>
      </c>
      <c r="H29" t="str">
        <f>TBIWet!I101</f>
        <v>R148</v>
      </c>
      <c r="I29" t="b">
        <f t="shared" si="2"/>
        <v>0</v>
      </c>
      <c r="J29" t="b">
        <f t="shared" si="22"/>
        <v>0</v>
      </c>
      <c r="L29" t="str">
        <f>'Both teabags AfterWet'!A28</f>
        <v>G346</v>
      </c>
      <c r="M29" t="str">
        <f>'Both teabags AfterWet'!A446</f>
        <v>R129</v>
      </c>
      <c r="N29" t="b">
        <f t="shared" si="3"/>
        <v>0</v>
      </c>
      <c r="O29" t="b">
        <f t="shared" si="4"/>
        <v>0</v>
      </c>
      <c r="P29" t="str">
        <f>IFERROR('Both teabags AfterWet'!B28,"")</f>
        <v>n.a</v>
      </c>
      <c r="Q29">
        <f>'Both teabags AfterWet'!B446</f>
        <v>68</v>
      </c>
      <c r="S29" s="401" t="b">
        <f t="shared" si="5"/>
        <v>0</v>
      </c>
      <c r="T29" s="401" t="b">
        <f t="shared" si="6"/>
        <v>0</v>
      </c>
      <c r="V29" t="str">
        <f>'Both teabags AfterDry'!A28</f>
        <v>G130</v>
      </c>
      <c r="W29" t="str">
        <f>'Both teabags AfterDry'!A365</f>
        <v>R198</v>
      </c>
      <c r="X29" t="b">
        <f t="shared" si="7"/>
        <v>0</v>
      </c>
      <c r="Y29" t="b">
        <f t="shared" si="8"/>
        <v>0</v>
      </c>
      <c r="AA29" t="str">
        <f>'Green_rooibos initial weight'!A30</f>
        <v>G26</v>
      </c>
      <c r="AB29" t="str">
        <f>'Green_rooibos initial weight'!A934</f>
        <v>R26</v>
      </c>
      <c r="AC29" t="b">
        <f t="shared" si="9"/>
        <v>0</v>
      </c>
      <c r="AD29" t="b">
        <f t="shared" si="10"/>
        <v>0</v>
      </c>
      <c r="AG29" t="str">
        <f>'WetLitterbags placem_collection'!K28</f>
        <v>G651</v>
      </c>
      <c r="AH29" t="str">
        <f>'WetLitterbags placem_collection'!M28</f>
        <v>R148</v>
      </c>
      <c r="AI29" t="b">
        <f t="shared" si="11"/>
        <v>0</v>
      </c>
      <c r="AJ29" t="b">
        <f t="shared" si="12"/>
        <v>0</v>
      </c>
      <c r="AK29">
        <f>'WetLitterbags placem_collection'!A28</f>
        <v>26</v>
      </c>
      <c r="AL29">
        <f>'WetLitterbags placem_collection'!A28</f>
        <v>26</v>
      </c>
      <c r="AN29">
        <f>IF('Dry_Litterbag Placem_Collection'!J28=0,"",'Dry_Litterbag Placem_Collection'!J28)</f>
        <v>58</v>
      </c>
      <c r="AO29">
        <f>IF('Dry_Litterbag Placem_Collection'!K28=0,"",'Dry_Litterbag Placem_Collection'!K28)</f>
        <v>602</v>
      </c>
      <c r="AP29" t="b">
        <f t="shared" si="13"/>
        <v>0</v>
      </c>
      <c r="AQ29" t="b">
        <f t="shared" si="14"/>
        <v>0</v>
      </c>
      <c r="AT29" t="str">
        <f>'Ashed teabags dry'!A27</f>
        <v>G131</v>
      </c>
      <c r="AU29" t="str">
        <f>'Ashed teabags dry'!A364</f>
        <v>R197</v>
      </c>
      <c r="AV29" t="b">
        <f t="shared" si="15"/>
        <v>0</v>
      </c>
      <c r="AW29" t="b">
        <f t="shared" si="16"/>
        <v>0</v>
      </c>
      <c r="AZ29" s="401" t="b">
        <f t="shared" si="17"/>
        <v>0</v>
      </c>
      <c r="BA29" s="401" t="b">
        <f t="shared" si="18"/>
        <v>0</v>
      </c>
      <c r="BC29" t="str">
        <f>'Ashed teabags wet'!A27</f>
        <v>G351</v>
      </c>
      <c r="BD29" t="str">
        <f>'Ashed teabags wet'!A444</f>
        <v>R135</v>
      </c>
      <c r="BE29" t="b">
        <f t="shared" si="19"/>
        <v>0</v>
      </c>
      <c r="BF29" t="b">
        <f t="shared" si="20"/>
        <v>0</v>
      </c>
      <c r="BG29">
        <f>IFERROR('Ashed teabags wet'!C27,"")</f>
        <v>161</v>
      </c>
      <c r="BH29">
        <f>IFERROR('Ashed teabags wet'!C444,"")</f>
        <v>202</v>
      </c>
      <c r="BI29" t="str">
        <f>'Ashed teabags wet'!AB27</f>
        <v/>
      </c>
      <c r="BJ29">
        <f>'Ashed teabags wet'!AC27</f>
        <v>160</v>
      </c>
      <c r="BK29">
        <f>'Ashed teabags wet'!AD444</f>
        <v>201</v>
      </c>
      <c r="BL29" t="str">
        <f>'Ashed teabags wet'!AE444</f>
        <v/>
      </c>
      <c r="BN29" t="str">
        <f t="shared" si="21"/>
        <v>G346</v>
      </c>
      <c r="BO29" t="b">
        <f t="shared" si="23"/>
        <v>1</v>
      </c>
    </row>
    <row r="30" spans="2:68" ht="12" customHeight="1">
      <c r="B30" t="str">
        <f>TBIDry!H102</f>
        <v>G340</v>
      </c>
      <c r="C30" t="str">
        <f>TBIDry!I102</f>
        <v>R666</v>
      </c>
      <c r="D30" t="b">
        <f t="shared" si="0"/>
        <v>0</v>
      </c>
      <c r="E30" t="b">
        <f t="shared" si="1"/>
        <v>0</v>
      </c>
      <c r="G30" t="str">
        <f>TBIWet!H102</f>
        <v>G583</v>
      </c>
      <c r="H30" t="str">
        <f>TBIWet!I102</f>
        <v>R112</v>
      </c>
      <c r="I30" t="b">
        <f t="shared" si="2"/>
        <v>0</v>
      </c>
      <c r="J30" t="b">
        <f t="shared" si="22"/>
        <v>0</v>
      </c>
      <c r="L30" t="str">
        <f>'Both teabags AfterWet'!A29</f>
        <v>G499</v>
      </c>
      <c r="M30" t="str">
        <f>'Both teabags AfterWet'!A447</f>
        <v>R130</v>
      </c>
      <c r="N30" t="b">
        <f t="shared" si="3"/>
        <v>0</v>
      </c>
      <c r="O30" t="b">
        <f t="shared" si="4"/>
        <v>0</v>
      </c>
      <c r="P30">
        <f>IFERROR('Both teabags AfterWet'!B29,"")</f>
        <v>38</v>
      </c>
      <c r="Q30">
        <f>'Both teabags AfterWet'!B447</f>
        <v>212</v>
      </c>
      <c r="S30" s="401" t="b">
        <f t="shared" si="5"/>
        <v>0</v>
      </c>
      <c r="T30" s="401" t="b">
        <f t="shared" si="6"/>
        <v>0</v>
      </c>
      <c r="V30" t="str">
        <f>'Both teabags AfterDry'!A29</f>
        <v>G131</v>
      </c>
      <c r="W30" t="str">
        <f>'Both teabags AfterDry'!A366</f>
        <v>R201</v>
      </c>
      <c r="X30" t="b">
        <f t="shared" si="7"/>
        <v>0</v>
      </c>
      <c r="Y30" t="b">
        <f t="shared" si="8"/>
        <v>0</v>
      </c>
      <c r="AA30" t="str">
        <f>'Green_rooibos initial weight'!A31</f>
        <v>G27</v>
      </c>
      <c r="AB30" t="str">
        <f>'Green_rooibos initial weight'!A935</f>
        <v>R27</v>
      </c>
      <c r="AC30" t="b">
        <f t="shared" si="9"/>
        <v>0</v>
      </c>
      <c r="AD30" t="b">
        <f t="shared" si="10"/>
        <v>0</v>
      </c>
      <c r="AG30" t="str">
        <f>'WetLitterbags placem_collection'!K29</f>
        <v>G583</v>
      </c>
      <c r="AH30" t="str">
        <f>'WetLitterbags placem_collection'!M29</f>
        <v>R112</v>
      </c>
      <c r="AI30" t="b">
        <f t="shared" si="11"/>
        <v>0</v>
      </c>
      <c r="AJ30" t="b">
        <f t="shared" si="12"/>
        <v>0</v>
      </c>
      <c r="AK30">
        <f>'WetLitterbags placem_collection'!A29</f>
        <v>27</v>
      </c>
      <c r="AL30">
        <f>'WetLitterbags placem_collection'!A29</f>
        <v>27</v>
      </c>
      <c r="AN30">
        <f>IF('Dry_Litterbag Placem_Collection'!J29=0,"",'Dry_Litterbag Placem_Collection'!J29)</f>
        <v>340</v>
      </c>
      <c r="AO30">
        <f>IF('Dry_Litterbag Placem_Collection'!K29=0,"",'Dry_Litterbag Placem_Collection'!K29)</f>
        <v>666</v>
      </c>
      <c r="AP30" t="b">
        <f t="shared" si="13"/>
        <v>0</v>
      </c>
      <c r="AQ30" t="b">
        <f t="shared" si="14"/>
        <v>0</v>
      </c>
      <c r="AT30" t="str">
        <f>'Ashed teabags dry'!A28</f>
        <v>G134</v>
      </c>
      <c r="AU30" t="str">
        <f>'Ashed teabags dry'!A365</f>
        <v>R198</v>
      </c>
      <c r="AV30" t="b">
        <f t="shared" si="15"/>
        <v>0</v>
      </c>
      <c r="AW30" t="b">
        <f t="shared" si="16"/>
        <v>0</v>
      </c>
      <c r="AZ30" s="401" t="b">
        <f t="shared" si="17"/>
        <v>0</v>
      </c>
      <c r="BA30" s="401" t="b">
        <f t="shared" si="18"/>
        <v>0</v>
      </c>
      <c r="BC30" t="str">
        <f>'Ashed teabags wet'!A28</f>
        <v>G352</v>
      </c>
      <c r="BD30" t="str">
        <f>'Ashed teabags wet'!A445</f>
        <v>R136</v>
      </c>
      <c r="BE30" t="b">
        <f t="shared" si="19"/>
        <v>0</v>
      </c>
      <c r="BF30" t="b">
        <f t="shared" si="20"/>
        <v>0</v>
      </c>
      <c r="BG30">
        <f>IFERROR('Ashed teabags wet'!C28,"")</f>
        <v>161</v>
      </c>
      <c r="BH30">
        <f>IFERROR('Ashed teabags wet'!C445,"")</f>
        <v>93</v>
      </c>
      <c r="BI30" t="str">
        <f>'Ashed teabags wet'!AB28</f>
        <v/>
      </c>
      <c r="BJ30" t="str">
        <f>'Ashed teabags wet'!AC28</f>
        <v/>
      </c>
      <c r="BK30" t="str">
        <f>'Ashed teabags wet'!AD445</f>
        <v/>
      </c>
      <c r="BL30">
        <f>'Ashed teabags wet'!AE445</f>
        <v>92</v>
      </c>
      <c r="BN30" t="str">
        <f t="shared" si="21"/>
        <v>G351</v>
      </c>
      <c r="BO30" t="b">
        <f t="shared" si="23"/>
        <v>1</v>
      </c>
    </row>
    <row r="31" spans="2:68" ht="12" customHeight="1">
      <c r="B31" t="str">
        <f>TBIDry!H103</f>
        <v>G61</v>
      </c>
      <c r="C31" t="str">
        <f>TBIDry!I103</f>
        <v>R705</v>
      </c>
      <c r="D31" t="b">
        <f t="shared" si="0"/>
        <v>0</v>
      </c>
      <c r="E31" t="b">
        <f t="shared" si="1"/>
        <v>0</v>
      </c>
      <c r="G31" t="str">
        <f>TBIWet!H103</f>
        <v>G702</v>
      </c>
      <c r="H31" t="str">
        <f>TBIWet!I103</f>
        <v>R436</v>
      </c>
      <c r="I31" t="b">
        <f t="shared" si="2"/>
        <v>0</v>
      </c>
      <c r="J31" t="b">
        <f t="shared" si="22"/>
        <v>0</v>
      </c>
      <c r="L31" t="str">
        <f>'Both teabags AfterWet'!A30</f>
        <v>G351</v>
      </c>
      <c r="M31" t="str">
        <f>'Both teabags AfterWet'!A448</f>
        <v>R132</v>
      </c>
      <c r="N31" t="b">
        <f t="shared" si="3"/>
        <v>0</v>
      </c>
      <c r="O31" t="b">
        <f t="shared" si="4"/>
        <v>0</v>
      </c>
      <c r="P31">
        <f>IFERROR('Both teabags AfterWet'!B30,"")</f>
        <v>161</v>
      </c>
      <c r="Q31">
        <f>'Both teabags AfterWet'!B448</f>
        <v>23</v>
      </c>
      <c r="S31" s="401" t="b">
        <f t="shared" si="5"/>
        <v>0</v>
      </c>
      <c r="T31" s="401" t="b">
        <f t="shared" si="6"/>
        <v>0</v>
      </c>
      <c r="V31" t="str">
        <f>'Both teabags AfterDry'!A30</f>
        <v>G134</v>
      </c>
      <c r="W31" t="str">
        <f>'Both teabags AfterDry'!A367</f>
        <v>R203</v>
      </c>
      <c r="X31" t="b">
        <f t="shared" si="7"/>
        <v>0</v>
      </c>
      <c r="Y31" t="b">
        <f t="shared" si="8"/>
        <v>0</v>
      </c>
      <c r="AA31" t="str">
        <f>'Green_rooibos initial weight'!A32</f>
        <v>G28</v>
      </c>
      <c r="AB31" t="str">
        <f>'Green_rooibos initial weight'!A936</f>
        <v>R28</v>
      </c>
      <c r="AC31" t="b">
        <f t="shared" si="9"/>
        <v>0</v>
      </c>
      <c r="AD31" t="b">
        <f t="shared" si="10"/>
        <v>0</v>
      </c>
      <c r="AG31" t="str">
        <f>'WetLitterbags placem_collection'!K30</f>
        <v>G702</v>
      </c>
      <c r="AH31" t="str">
        <f>'WetLitterbags placem_collection'!M30</f>
        <v>R436</v>
      </c>
      <c r="AI31" t="b">
        <f t="shared" si="11"/>
        <v>0</v>
      </c>
      <c r="AJ31" t="b">
        <f t="shared" si="12"/>
        <v>0</v>
      </c>
      <c r="AK31">
        <f>'WetLitterbags placem_collection'!A30</f>
        <v>28</v>
      </c>
      <c r="AL31">
        <f>'WetLitterbags placem_collection'!A30</f>
        <v>28</v>
      </c>
      <c r="AN31">
        <f>IF('Dry_Litterbag Placem_Collection'!J30=0,"",'Dry_Litterbag Placem_Collection'!J30)</f>
        <v>61</v>
      </c>
      <c r="AO31">
        <f>IF('Dry_Litterbag Placem_Collection'!K30=0,"",'Dry_Litterbag Placem_Collection'!K30)</f>
        <v>705</v>
      </c>
      <c r="AP31" t="b">
        <f t="shared" si="13"/>
        <v>0</v>
      </c>
      <c r="AQ31" t="b">
        <f t="shared" si="14"/>
        <v>0</v>
      </c>
      <c r="AT31" t="str">
        <f>'Ashed teabags dry'!A29</f>
        <v>G135</v>
      </c>
      <c r="AU31" t="str">
        <f>'Ashed teabags dry'!A366</f>
        <v>R201</v>
      </c>
      <c r="AV31" t="b">
        <f t="shared" si="15"/>
        <v>0</v>
      </c>
      <c r="AW31" t="b">
        <f t="shared" si="16"/>
        <v>0</v>
      </c>
      <c r="AZ31" s="401" t="b">
        <f t="shared" si="17"/>
        <v>0</v>
      </c>
      <c r="BA31" s="401" t="b">
        <f t="shared" si="18"/>
        <v>0</v>
      </c>
      <c r="BC31" t="str">
        <f>'Ashed teabags wet'!A29</f>
        <v>G355</v>
      </c>
      <c r="BD31" t="str">
        <f>'Ashed teabags wet'!A446</f>
        <v>R137</v>
      </c>
      <c r="BE31" t="b">
        <f t="shared" si="19"/>
        <v>0</v>
      </c>
      <c r="BF31" t="b">
        <f t="shared" si="20"/>
        <v>0</v>
      </c>
      <c r="BG31">
        <f>IFERROR('Ashed teabags wet'!C29,"")</f>
        <v>90</v>
      </c>
      <c r="BH31">
        <f>IFERROR('Ashed teabags wet'!C446,"")</f>
        <v>77</v>
      </c>
      <c r="BI31" t="str">
        <f>'Ashed teabags wet'!AB29</f>
        <v/>
      </c>
      <c r="BJ31">
        <f>'Ashed teabags wet'!AC29</f>
        <v>89</v>
      </c>
      <c r="BK31">
        <f>'Ashed teabags wet'!AD446</f>
        <v>76</v>
      </c>
      <c r="BL31" t="str">
        <f>'Ashed teabags wet'!AE446</f>
        <v/>
      </c>
      <c r="BN31" t="str">
        <f t="shared" si="21"/>
        <v>G352</v>
      </c>
      <c r="BO31" t="b">
        <f t="shared" si="23"/>
        <v>1</v>
      </c>
      <c r="BP31" s="402"/>
    </row>
    <row r="32" spans="2:68" ht="12" customHeight="1">
      <c r="B32" t="str">
        <f>TBIDry!H104</f>
        <v>G319</v>
      </c>
      <c r="C32" t="str">
        <f>TBIDry!I104</f>
        <v>R305</v>
      </c>
      <c r="D32" t="b">
        <f t="shared" si="0"/>
        <v>0</v>
      </c>
      <c r="E32" t="b">
        <f t="shared" si="1"/>
        <v>0</v>
      </c>
      <c r="G32" t="str">
        <f>TBIWet!H104</f>
        <v>G838</v>
      </c>
      <c r="H32" t="str">
        <f>TBIWet!I104</f>
        <v>R386</v>
      </c>
      <c r="I32" t="b">
        <f t="shared" si="2"/>
        <v>0</v>
      </c>
      <c r="J32" t="b">
        <f t="shared" si="22"/>
        <v>0</v>
      </c>
      <c r="L32" t="str">
        <f>'Both teabags AfterWet'!A31</f>
        <v>G352</v>
      </c>
      <c r="M32" t="str">
        <f>'Both teabags AfterWet'!A449</f>
        <v>R133</v>
      </c>
      <c r="N32" t="b">
        <f t="shared" si="3"/>
        <v>0</v>
      </c>
      <c r="O32" t="b">
        <f t="shared" si="4"/>
        <v>0</v>
      </c>
      <c r="P32">
        <f>IFERROR('Both teabags AfterWet'!B31,"")</f>
        <v>161</v>
      </c>
      <c r="Q32" t="str">
        <f>'Both teabags AfterWet'!B449</f>
        <v>n.a</v>
      </c>
      <c r="S32" s="401" t="b">
        <f t="shared" si="5"/>
        <v>0</v>
      </c>
      <c r="T32" s="401" t="b">
        <f t="shared" si="6"/>
        <v>0</v>
      </c>
      <c r="V32" t="str">
        <f>'Both teabags AfterDry'!A31</f>
        <v>G135</v>
      </c>
      <c r="W32" t="str">
        <f>'Both teabags AfterDry'!A368</f>
        <v>R204</v>
      </c>
      <c r="X32" t="b">
        <f t="shared" si="7"/>
        <v>0</v>
      </c>
      <c r="Y32" t="b">
        <f t="shared" si="8"/>
        <v>0</v>
      </c>
      <c r="AA32" t="str">
        <f>'Green_rooibos initial weight'!A33</f>
        <v>G29</v>
      </c>
      <c r="AB32" t="str">
        <f>'Green_rooibos initial weight'!A937</f>
        <v>R29</v>
      </c>
      <c r="AC32" t="b">
        <f t="shared" si="9"/>
        <v>0</v>
      </c>
      <c r="AD32" t="b">
        <f t="shared" si="10"/>
        <v>0</v>
      </c>
      <c r="AG32" t="str">
        <f>'WetLitterbags placem_collection'!K31</f>
        <v>G838</v>
      </c>
      <c r="AH32" t="str">
        <f>'WetLitterbags placem_collection'!M31</f>
        <v>R386</v>
      </c>
      <c r="AI32" t="b">
        <f t="shared" si="11"/>
        <v>0</v>
      </c>
      <c r="AJ32" t="b">
        <f t="shared" si="12"/>
        <v>0</v>
      </c>
      <c r="AK32">
        <f>'WetLitterbags placem_collection'!A31</f>
        <v>29</v>
      </c>
      <c r="AL32">
        <f>'WetLitterbags placem_collection'!A31</f>
        <v>29</v>
      </c>
      <c r="AN32">
        <f>IF('Dry_Litterbag Placem_Collection'!J31=0,"",'Dry_Litterbag Placem_Collection'!J31)</f>
        <v>319</v>
      </c>
      <c r="AO32">
        <f>IF('Dry_Litterbag Placem_Collection'!K31=0,"",'Dry_Litterbag Placem_Collection'!K31)</f>
        <v>305</v>
      </c>
      <c r="AP32" t="b">
        <f t="shared" si="13"/>
        <v>0</v>
      </c>
      <c r="AQ32" t="b">
        <f t="shared" si="14"/>
        <v>0</v>
      </c>
      <c r="AT32" t="str">
        <f>'Ashed teabags dry'!A30</f>
        <v>G136</v>
      </c>
      <c r="AU32" t="str">
        <f>'Ashed teabags dry'!A367</f>
        <v>R203</v>
      </c>
      <c r="AV32" s="113" t="b">
        <f t="shared" si="15"/>
        <v>1</v>
      </c>
      <c r="AW32" t="b">
        <f t="shared" si="16"/>
        <v>0</v>
      </c>
      <c r="AZ32" s="401" t="b">
        <f t="shared" si="17"/>
        <v>0</v>
      </c>
      <c r="BA32" s="401" t="b">
        <f t="shared" si="18"/>
        <v>0</v>
      </c>
      <c r="BC32" t="str">
        <f>'Ashed teabags wet'!A30</f>
        <v>G358</v>
      </c>
      <c r="BD32" t="str">
        <f>'Ashed teabags wet'!A447</f>
        <v>R138</v>
      </c>
      <c r="BE32" t="b">
        <f t="shared" si="19"/>
        <v>0</v>
      </c>
      <c r="BF32" t="b">
        <f t="shared" si="20"/>
        <v>0</v>
      </c>
      <c r="BG32">
        <f>IFERROR('Ashed teabags wet'!C30,"")</f>
        <v>70</v>
      </c>
      <c r="BH32">
        <f>IFERROR('Ashed teabags wet'!C447,"")</f>
        <v>74</v>
      </c>
      <c r="BI32">
        <f>'Ashed teabags wet'!AB30</f>
        <v>69</v>
      </c>
      <c r="BJ32" t="str">
        <f>'Ashed teabags wet'!AC30</f>
        <v/>
      </c>
      <c r="BK32" t="str">
        <f>'Ashed teabags wet'!AD447</f>
        <v/>
      </c>
      <c r="BL32">
        <f>'Ashed teabags wet'!AE447</f>
        <v>73</v>
      </c>
      <c r="BN32" t="str">
        <f t="shared" si="21"/>
        <v>G355</v>
      </c>
      <c r="BO32" t="b">
        <f t="shared" si="23"/>
        <v>1</v>
      </c>
    </row>
    <row r="33" spans="2:68" ht="12" customHeight="1">
      <c r="B33" t="str">
        <f>TBIDry!H105</f>
        <v>G273</v>
      </c>
      <c r="C33" t="str">
        <f>TBIDry!I105</f>
        <v>R667</v>
      </c>
      <c r="D33" t="b">
        <f t="shared" si="0"/>
        <v>0</v>
      </c>
      <c r="E33" t="b">
        <f t="shared" si="1"/>
        <v>0</v>
      </c>
      <c r="G33" t="str">
        <f>TBIWet!H105</f>
        <v>G518</v>
      </c>
      <c r="H33" t="str">
        <f>TBIWet!I105</f>
        <v>R507</v>
      </c>
      <c r="I33" t="b">
        <f t="shared" si="2"/>
        <v>0</v>
      </c>
      <c r="J33" t="b">
        <f t="shared" si="22"/>
        <v>0</v>
      </c>
      <c r="L33" t="str">
        <f>'Both teabags AfterWet'!A32</f>
        <v>G355</v>
      </c>
      <c r="M33" t="str">
        <f>'Both teabags AfterWet'!A450</f>
        <v>R134</v>
      </c>
      <c r="N33" t="b">
        <f t="shared" si="3"/>
        <v>0</v>
      </c>
      <c r="O33" t="b">
        <f t="shared" si="4"/>
        <v>0</v>
      </c>
      <c r="P33">
        <f>IFERROR('Both teabags AfterWet'!B32,"")</f>
        <v>90</v>
      </c>
      <c r="Q33">
        <f>'Both teabags AfterWet'!B450</f>
        <v>83</v>
      </c>
      <c r="S33" s="401" t="b">
        <f t="shared" si="5"/>
        <v>0</v>
      </c>
      <c r="T33" s="401" t="b">
        <f t="shared" si="6"/>
        <v>0</v>
      </c>
      <c r="V33" t="str">
        <f>'Both teabags AfterDry'!A32</f>
        <v>G136</v>
      </c>
      <c r="W33" t="str">
        <f>'Both teabags AfterDry'!A369</f>
        <v>R205</v>
      </c>
      <c r="X33" t="b">
        <f t="shared" si="7"/>
        <v>0</v>
      </c>
      <c r="Y33" t="b">
        <f t="shared" si="8"/>
        <v>0</v>
      </c>
      <c r="AA33" t="str">
        <f>'Green_rooibos initial weight'!A34</f>
        <v>G30</v>
      </c>
      <c r="AB33" t="str">
        <f>'Green_rooibos initial weight'!A938</f>
        <v>R30</v>
      </c>
      <c r="AC33" t="b">
        <f t="shared" si="9"/>
        <v>0</v>
      </c>
      <c r="AD33" t="b">
        <f t="shared" si="10"/>
        <v>0</v>
      </c>
      <c r="AG33" t="str">
        <f>'WetLitterbags placem_collection'!K32</f>
        <v>G518</v>
      </c>
      <c r="AH33" t="str">
        <f>'WetLitterbags placem_collection'!M32</f>
        <v>R507</v>
      </c>
      <c r="AI33" t="b">
        <f t="shared" si="11"/>
        <v>0</v>
      </c>
      <c r="AJ33" t="b">
        <f t="shared" si="12"/>
        <v>0</v>
      </c>
      <c r="AK33">
        <f>'WetLitterbags placem_collection'!A32</f>
        <v>30</v>
      </c>
      <c r="AL33">
        <f>'WetLitterbags placem_collection'!A32</f>
        <v>30</v>
      </c>
      <c r="AN33">
        <f>IF('Dry_Litterbag Placem_Collection'!J32=0,"",'Dry_Litterbag Placem_Collection'!J32)</f>
        <v>273</v>
      </c>
      <c r="AO33">
        <f>IF('Dry_Litterbag Placem_Collection'!K32=0,"",'Dry_Litterbag Placem_Collection'!K32)</f>
        <v>667</v>
      </c>
      <c r="AP33" t="b">
        <f t="shared" si="13"/>
        <v>0</v>
      </c>
      <c r="AQ33" t="b">
        <f t="shared" si="14"/>
        <v>0</v>
      </c>
      <c r="AT33" t="str">
        <f>'Ashed teabags dry'!A31</f>
        <v>G136</v>
      </c>
      <c r="AU33" t="str">
        <f>'Ashed teabags dry'!A368</f>
        <v>R204</v>
      </c>
      <c r="AV33" s="113" t="b">
        <f t="shared" si="15"/>
        <v>1</v>
      </c>
      <c r="AW33" t="b">
        <f t="shared" si="16"/>
        <v>0</v>
      </c>
      <c r="AZ33" s="401" t="b">
        <f t="shared" si="17"/>
        <v>0</v>
      </c>
      <c r="BA33" s="401" t="b">
        <f t="shared" si="18"/>
        <v>0</v>
      </c>
      <c r="BC33" t="str">
        <f>'Ashed teabags wet'!A31</f>
        <v>G359</v>
      </c>
      <c r="BD33" t="str">
        <f>'Ashed teabags wet'!A448</f>
        <v>R139</v>
      </c>
      <c r="BE33" t="b">
        <f t="shared" si="19"/>
        <v>0</v>
      </c>
      <c r="BF33" t="b">
        <f t="shared" si="20"/>
        <v>0</v>
      </c>
      <c r="BG33">
        <f>IFERROR('Ashed teabags wet'!C31,"")</f>
        <v>37</v>
      </c>
      <c r="BH33">
        <f>IFERROR('Ashed teabags wet'!C448,"")</f>
        <v>204</v>
      </c>
      <c r="BI33">
        <f>'Ashed teabags wet'!AB31</f>
        <v>36</v>
      </c>
      <c r="BJ33" t="str">
        <f>'Ashed teabags wet'!AC31</f>
        <v/>
      </c>
      <c r="BK33" t="str">
        <f>'Ashed teabags wet'!AD448</f>
        <v/>
      </c>
      <c r="BL33">
        <f>'Ashed teabags wet'!AE448</f>
        <v>203</v>
      </c>
      <c r="BN33" t="str">
        <f t="shared" si="21"/>
        <v>G358</v>
      </c>
      <c r="BO33" t="b">
        <f t="shared" si="23"/>
        <v>1</v>
      </c>
    </row>
    <row r="34" spans="2:68" ht="12" customHeight="1">
      <c r="B34" t="str">
        <f>TBIDry!H106</f>
        <v/>
      </c>
      <c r="C34" t="str">
        <f>TBIDry!I106</f>
        <v/>
      </c>
      <c r="D34" t="b">
        <f t="shared" si="0"/>
        <v>1</v>
      </c>
      <c r="E34" t="b">
        <f t="shared" si="1"/>
        <v>1</v>
      </c>
      <c r="G34" t="str">
        <f>TBIWet!H106</f>
        <v>G404</v>
      </c>
      <c r="H34" t="str">
        <f>TBIWet!I106</f>
        <v>R141</v>
      </c>
      <c r="I34" t="b">
        <f t="shared" si="2"/>
        <v>0</v>
      </c>
      <c r="J34" t="b">
        <f t="shared" si="22"/>
        <v>0</v>
      </c>
      <c r="L34" t="str">
        <f>'Both teabags AfterWet'!A33</f>
        <v>G556</v>
      </c>
      <c r="M34" t="str">
        <f>'Both teabags AfterWet'!A451</f>
        <v>R135</v>
      </c>
      <c r="N34" t="b">
        <f t="shared" si="3"/>
        <v>0</v>
      </c>
      <c r="O34" t="b">
        <f t="shared" si="4"/>
        <v>0</v>
      </c>
      <c r="P34">
        <f>IFERROR('Both teabags AfterWet'!B33,"")</f>
        <v>33</v>
      </c>
      <c r="Q34">
        <f>'Both teabags AfterWet'!B451</f>
        <v>202</v>
      </c>
      <c r="S34" s="401" t="b">
        <f t="shared" si="5"/>
        <v>0</v>
      </c>
      <c r="T34" s="401" t="b">
        <f t="shared" si="6"/>
        <v>0</v>
      </c>
      <c r="V34" t="str">
        <f>'Both teabags AfterDry'!A33</f>
        <v>G138</v>
      </c>
      <c r="W34" t="str">
        <f>'Both teabags AfterDry'!A370</f>
        <v>R206</v>
      </c>
      <c r="X34" t="b">
        <f t="shared" si="7"/>
        <v>0</v>
      </c>
      <c r="Y34" t="b">
        <f t="shared" si="8"/>
        <v>0</v>
      </c>
      <c r="AA34" t="str">
        <f>'Green_rooibos initial weight'!A35</f>
        <v>G31</v>
      </c>
      <c r="AB34" t="str">
        <f>'Green_rooibos initial weight'!A939</f>
        <v>R31</v>
      </c>
      <c r="AC34" t="b">
        <f t="shared" si="9"/>
        <v>0</v>
      </c>
      <c r="AD34" t="b">
        <f t="shared" si="10"/>
        <v>0</v>
      </c>
      <c r="AG34" t="str">
        <f>'WetLitterbags placem_collection'!K33</f>
        <v>G404</v>
      </c>
      <c r="AH34" t="str">
        <f>'WetLitterbags placem_collection'!M33</f>
        <v>R141</v>
      </c>
      <c r="AI34" t="b">
        <f t="shared" si="11"/>
        <v>0</v>
      </c>
      <c r="AJ34" t="b">
        <f t="shared" si="12"/>
        <v>0</v>
      </c>
      <c r="AK34">
        <f>'WetLitterbags placem_collection'!A33</f>
        <v>31</v>
      </c>
      <c r="AL34">
        <f>'WetLitterbags placem_collection'!A33</f>
        <v>31</v>
      </c>
      <c r="AN34" t="str">
        <f>IF('Dry_Litterbag Placem_Collection'!J33=0,"",'Dry_Litterbag Placem_Collection'!J33)</f>
        <v/>
      </c>
      <c r="AO34" t="str">
        <f>IF('Dry_Litterbag Placem_Collection'!K33=0,"",'Dry_Litterbag Placem_Collection'!K33)</f>
        <v/>
      </c>
      <c r="AP34" t="b">
        <f t="shared" si="13"/>
        <v>1</v>
      </c>
      <c r="AQ34" t="b">
        <f t="shared" si="14"/>
        <v>1</v>
      </c>
      <c r="AT34" t="str">
        <f>'Ashed teabags dry'!A32</f>
        <v>G138</v>
      </c>
      <c r="AU34" t="str">
        <f>'Ashed teabags dry'!A369</f>
        <v>R205</v>
      </c>
      <c r="AV34" t="b">
        <f t="shared" si="15"/>
        <v>0</v>
      </c>
      <c r="AW34" t="b">
        <f t="shared" si="16"/>
        <v>0</v>
      </c>
      <c r="AZ34" s="401" t="b">
        <f t="shared" si="17"/>
        <v>0</v>
      </c>
      <c r="BA34" s="401" t="b">
        <f t="shared" si="18"/>
        <v>0</v>
      </c>
      <c r="BC34" t="str">
        <f>'Ashed teabags wet'!A32</f>
        <v>G360</v>
      </c>
      <c r="BD34" t="str">
        <f>'Ashed teabags wet'!A449</f>
        <v>R14</v>
      </c>
      <c r="BE34" t="b">
        <f t="shared" si="19"/>
        <v>0</v>
      </c>
      <c r="BF34" t="b">
        <f t="shared" si="20"/>
        <v>0</v>
      </c>
      <c r="BG34">
        <f>IFERROR('Ashed teabags wet'!C32,"")</f>
        <v>180</v>
      </c>
      <c r="BH34">
        <f>IFERROR('Ashed teabags wet'!C449,"")</f>
        <v>72</v>
      </c>
      <c r="BI34">
        <f>'Ashed teabags wet'!AB32</f>
        <v>179</v>
      </c>
      <c r="BJ34" t="str">
        <f>'Ashed teabags wet'!AC32</f>
        <v/>
      </c>
      <c r="BK34" t="str">
        <f>'Ashed teabags wet'!AD449</f>
        <v/>
      </c>
      <c r="BL34">
        <f>'Ashed teabags wet'!AE449</f>
        <v>71</v>
      </c>
      <c r="BN34" t="str">
        <f t="shared" si="21"/>
        <v>G359</v>
      </c>
      <c r="BO34" t="b">
        <f t="shared" si="23"/>
        <v>1</v>
      </c>
    </row>
    <row r="35" spans="2:68" ht="12" customHeight="1">
      <c r="B35" t="str">
        <f>TBIDry!H107</f>
        <v>G193</v>
      </c>
      <c r="C35" t="str">
        <f>TBIDry!I107</f>
        <v>R743</v>
      </c>
      <c r="D35" t="b">
        <f t="shared" si="0"/>
        <v>0</v>
      </c>
      <c r="E35" t="b">
        <f t="shared" si="1"/>
        <v>0</v>
      </c>
      <c r="G35" t="str">
        <f>TBIWet!H107</f>
        <v>G527</v>
      </c>
      <c r="H35" t="str">
        <f>TBIWet!I107</f>
        <v>R396</v>
      </c>
      <c r="I35" t="b">
        <f t="shared" si="2"/>
        <v>0</v>
      </c>
      <c r="J35" t="b">
        <f t="shared" si="22"/>
        <v>0</v>
      </c>
      <c r="L35" t="str">
        <f>'Both teabags AfterWet'!A34</f>
        <v>G358</v>
      </c>
      <c r="M35" t="str">
        <f>'Both teabags AfterWet'!A452</f>
        <v>R136</v>
      </c>
      <c r="N35" t="b">
        <f t="shared" si="3"/>
        <v>0</v>
      </c>
      <c r="O35" t="b">
        <f t="shared" si="4"/>
        <v>0</v>
      </c>
      <c r="P35">
        <f>IFERROR('Both teabags AfterWet'!B34,"")</f>
        <v>70</v>
      </c>
      <c r="Q35" t="str">
        <f>'Both teabags AfterWet'!B452</f>
        <v>n.a</v>
      </c>
      <c r="S35" s="401" t="b">
        <f t="shared" si="5"/>
        <v>0</v>
      </c>
      <c r="T35" s="401" t="b">
        <f t="shared" si="6"/>
        <v>0</v>
      </c>
      <c r="V35" t="str">
        <f>'Both teabags AfterDry'!A34</f>
        <v>G139</v>
      </c>
      <c r="W35" t="str">
        <f>'Both teabags AfterDry'!A371</f>
        <v>R207</v>
      </c>
      <c r="X35" t="b">
        <f t="shared" si="7"/>
        <v>0</v>
      </c>
      <c r="Y35" t="b">
        <f t="shared" si="8"/>
        <v>0</v>
      </c>
      <c r="AA35" t="str">
        <f>'Green_rooibos initial weight'!A36</f>
        <v>G32</v>
      </c>
      <c r="AB35" t="str">
        <f>'Green_rooibos initial weight'!A940</f>
        <v>R32</v>
      </c>
      <c r="AC35" t="b">
        <f t="shared" si="9"/>
        <v>0</v>
      </c>
      <c r="AD35" t="b">
        <f t="shared" si="10"/>
        <v>0</v>
      </c>
      <c r="AG35" t="str">
        <f>'WetLitterbags placem_collection'!K34</f>
        <v>G527</v>
      </c>
      <c r="AH35" t="str">
        <f>'WetLitterbags placem_collection'!M34</f>
        <v>R396</v>
      </c>
      <c r="AI35" t="b">
        <f t="shared" si="11"/>
        <v>0</v>
      </c>
      <c r="AJ35" t="b">
        <f t="shared" si="12"/>
        <v>0</v>
      </c>
      <c r="AK35">
        <f>'WetLitterbags placem_collection'!A34</f>
        <v>32</v>
      </c>
      <c r="AL35">
        <f>'WetLitterbags placem_collection'!A34</f>
        <v>32</v>
      </c>
      <c r="AN35">
        <f>IF('Dry_Litterbag Placem_Collection'!J34=0,"",'Dry_Litterbag Placem_Collection'!J34)</f>
        <v>193</v>
      </c>
      <c r="AO35">
        <f>IF('Dry_Litterbag Placem_Collection'!K34=0,"",'Dry_Litterbag Placem_Collection'!K34)</f>
        <v>743</v>
      </c>
      <c r="AP35" t="b">
        <f t="shared" si="13"/>
        <v>0</v>
      </c>
      <c r="AQ35" t="b">
        <f t="shared" si="14"/>
        <v>0</v>
      </c>
      <c r="AT35" t="str">
        <f>'Ashed teabags dry'!A33</f>
        <v>G139</v>
      </c>
      <c r="AU35" t="str">
        <f>'Ashed teabags dry'!A370</f>
        <v>R206</v>
      </c>
      <c r="AV35" s="113" t="b">
        <f t="shared" si="15"/>
        <v>1</v>
      </c>
      <c r="AW35" t="b">
        <f t="shared" si="16"/>
        <v>0</v>
      </c>
      <c r="AZ35" s="401" t="b">
        <f t="shared" si="17"/>
        <v>0</v>
      </c>
      <c r="BA35" s="401" t="b">
        <f t="shared" si="18"/>
        <v>0</v>
      </c>
      <c r="BC35" t="str">
        <f>'Ashed teabags wet'!A33</f>
        <v>G362</v>
      </c>
      <c r="BD35" t="str">
        <f>'Ashed teabags wet'!A450</f>
        <v>R141</v>
      </c>
      <c r="BE35" t="b">
        <f t="shared" si="19"/>
        <v>0</v>
      </c>
      <c r="BF35" t="b">
        <f t="shared" si="20"/>
        <v>0</v>
      </c>
      <c r="BG35">
        <f>IFERROR('Ashed teabags wet'!C33,"")</f>
        <v>177</v>
      </c>
      <c r="BH35">
        <f>IFERROR('Ashed teabags wet'!C450,"")</f>
        <v>31</v>
      </c>
      <c r="BI35">
        <f>'Ashed teabags wet'!AB33</f>
        <v>176</v>
      </c>
      <c r="BJ35" t="str">
        <f>'Ashed teabags wet'!AC33</f>
        <v/>
      </c>
      <c r="BK35">
        <f>'Ashed teabags wet'!AD450</f>
        <v>30</v>
      </c>
      <c r="BL35" t="str">
        <f>'Ashed teabags wet'!AE450</f>
        <v/>
      </c>
      <c r="BN35" t="str">
        <f t="shared" si="21"/>
        <v>G360</v>
      </c>
      <c r="BO35" t="b">
        <f t="shared" si="23"/>
        <v>1</v>
      </c>
      <c r="BP35" s="402"/>
    </row>
    <row r="36" spans="2:68" ht="12" customHeight="1">
      <c r="B36" t="str">
        <f>TBIDry!H108</f>
        <v>G218</v>
      </c>
      <c r="C36" t="str">
        <f>TBIDry!I108</f>
        <v>R769</v>
      </c>
      <c r="D36" t="b">
        <f t="shared" si="0"/>
        <v>0</v>
      </c>
      <c r="E36" t="b">
        <f t="shared" si="1"/>
        <v>0</v>
      </c>
      <c r="G36" t="str">
        <f>TBIWet!H108</f>
        <v>G366</v>
      </c>
      <c r="H36" t="str">
        <f>TBIWet!I108</f>
        <v>R109</v>
      </c>
      <c r="I36" t="b">
        <f t="shared" si="2"/>
        <v>0</v>
      </c>
      <c r="J36" t="b">
        <f t="shared" si="22"/>
        <v>0</v>
      </c>
      <c r="L36" t="str">
        <f>'Both teabags AfterWet'!A35</f>
        <v>G359</v>
      </c>
      <c r="M36" t="str">
        <f>'Both teabags AfterWet'!A453</f>
        <v>R137</v>
      </c>
      <c r="N36" t="b">
        <f t="shared" si="3"/>
        <v>0</v>
      </c>
      <c r="O36" t="b">
        <f t="shared" si="4"/>
        <v>0</v>
      </c>
      <c r="P36">
        <f>IFERROR('Both teabags AfterWet'!B35,"")</f>
        <v>37</v>
      </c>
      <c r="Q36">
        <f>'Both teabags AfterWet'!B453</f>
        <v>77</v>
      </c>
      <c r="S36" s="401" t="b">
        <f t="shared" si="5"/>
        <v>0</v>
      </c>
      <c r="T36" s="401" t="b">
        <f t="shared" si="6"/>
        <v>0</v>
      </c>
      <c r="V36" t="str">
        <f>'Both teabags AfterDry'!A35</f>
        <v>G140</v>
      </c>
      <c r="W36" t="str">
        <f>'Both teabags AfterDry'!A372</f>
        <v>R208</v>
      </c>
      <c r="X36" t="b">
        <f t="shared" si="7"/>
        <v>0</v>
      </c>
      <c r="Y36" t="b">
        <f t="shared" si="8"/>
        <v>0</v>
      </c>
      <c r="AA36" t="str">
        <f>'Green_rooibos initial weight'!A37</f>
        <v>G33</v>
      </c>
      <c r="AB36" t="str">
        <f>'Green_rooibos initial weight'!A941</f>
        <v>R33</v>
      </c>
      <c r="AC36" t="b">
        <f t="shared" si="9"/>
        <v>0</v>
      </c>
      <c r="AD36" t="b">
        <f t="shared" si="10"/>
        <v>0</v>
      </c>
      <c r="AG36" t="str">
        <f>'WetLitterbags placem_collection'!K35</f>
        <v>G366</v>
      </c>
      <c r="AH36" t="str">
        <f>'WetLitterbags placem_collection'!M35</f>
        <v>R109</v>
      </c>
      <c r="AI36" t="b">
        <f t="shared" si="11"/>
        <v>0</v>
      </c>
      <c r="AJ36" t="b">
        <f t="shared" si="12"/>
        <v>0</v>
      </c>
      <c r="AK36">
        <f>'WetLitterbags placem_collection'!A35</f>
        <v>33</v>
      </c>
      <c r="AL36">
        <f>'WetLitterbags placem_collection'!A35</f>
        <v>33</v>
      </c>
      <c r="AN36">
        <f>IF('Dry_Litterbag Placem_Collection'!J35=0,"",'Dry_Litterbag Placem_Collection'!J35)</f>
        <v>218</v>
      </c>
      <c r="AO36">
        <f>IF('Dry_Litterbag Placem_Collection'!K35=0,"",'Dry_Litterbag Placem_Collection'!K35)</f>
        <v>769</v>
      </c>
      <c r="AP36" t="b">
        <f t="shared" si="13"/>
        <v>0</v>
      </c>
      <c r="AQ36" t="b">
        <f t="shared" si="14"/>
        <v>0</v>
      </c>
      <c r="AT36" t="str">
        <f>'Ashed teabags dry'!A34</f>
        <v>G139</v>
      </c>
      <c r="AU36" t="str">
        <f>'Ashed teabags dry'!A371</f>
        <v>R207</v>
      </c>
      <c r="AV36" s="113" t="b">
        <f t="shared" si="15"/>
        <v>1</v>
      </c>
      <c r="AW36" t="b">
        <f t="shared" si="16"/>
        <v>0</v>
      </c>
      <c r="AZ36" s="401" t="b">
        <f t="shared" si="17"/>
        <v>0</v>
      </c>
      <c r="BA36" s="401" t="b">
        <f t="shared" si="18"/>
        <v>0</v>
      </c>
      <c r="BC36" t="str">
        <f>'Ashed teabags wet'!A34</f>
        <v>G365</v>
      </c>
      <c r="BD36" t="str">
        <f>'Ashed teabags wet'!A451</f>
        <v>R142</v>
      </c>
      <c r="BE36" t="b">
        <f t="shared" si="19"/>
        <v>0</v>
      </c>
      <c r="BF36" t="b">
        <f t="shared" si="20"/>
        <v>0</v>
      </c>
      <c r="BG36">
        <f>IFERROR('Ashed teabags wet'!C34,"")</f>
        <v>187</v>
      </c>
      <c r="BH36">
        <f>IFERROR('Ashed teabags wet'!C451,"")</f>
        <v>209</v>
      </c>
      <c r="BI36" t="str">
        <f>'Ashed teabags wet'!AB34</f>
        <v/>
      </c>
      <c r="BJ36">
        <f>'Ashed teabags wet'!AC34</f>
        <v>186</v>
      </c>
      <c r="BK36" t="str">
        <f>'Ashed teabags wet'!AD451</f>
        <v/>
      </c>
      <c r="BL36">
        <f>'Ashed teabags wet'!AE451</f>
        <v>208</v>
      </c>
      <c r="BN36" t="str">
        <f t="shared" si="21"/>
        <v>G362</v>
      </c>
      <c r="BO36" t="b">
        <f t="shared" si="23"/>
        <v>1</v>
      </c>
    </row>
    <row r="37" spans="2:68" ht="12" customHeight="1">
      <c r="B37" t="str">
        <f>TBIDry!H109</f>
        <v>G104</v>
      </c>
      <c r="C37" t="str">
        <f>TBIDry!I109</f>
        <v>R753</v>
      </c>
      <c r="D37" t="b">
        <f t="shared" si="0"/>
        <v>0</v>
      </c>
      <c r="E37" t="b">
        <f t="shared" si="1"/>
        <v>0</v>
      </c>
      <c r="G37" t="str">
        <f>TBIWet!H109</f>
        <v>G516</v>
      </c>
      <c r="H37" t="str">
        <f>TBIWet!I109</f>
        <v>R153</v>
      </c>
      <c r="I37" t="b">
        <f t="shared" si="2"/>
        <v>0</v>
      </c>
      <c r="J37" t="b">
        <f t="shared" si="22"/>
        <v>0</v>
      </c>
      <c r="L37" t="str">
        <f>'Both teabags AfterWet'!A36</f>
        <v>G360</v>
      </c>
      <c r="M37" t="str">
        <f>'Both teabags AfterWet'!A454</f>
        <v>R138</v>
      </c>
      <c r="N37" t="b">
        <f t="shared" si="3"/>
        <v>0</v>
      </c>
      <c r="O37" t="b">
        <f t="shared" si="4"/>
        <v>0</v>
      </c>
      <c r="P37">
        <f>IFERROR('Both teabags AfterWet'!B36,"")</f>
        <v>180</v>
      </c>
      <c r="Q37">
        <f>'Both teabags AfterWet'!B454</f>
        <v>74</v>
      </c>
      <c r="S37" s="401" t="b">
        <f t="shared" si="5"/>
        <v>0</v>
      </c>
      <c r="T37" s="401" t="b">
        <f t="shared" si="6"/>
        <v>0</v>
      </c>
      <c r="V37" t="str">
        <f>'Both teabags AfterDry'!A36</f>
        <v>G141</v>
      </c>
      <c r="W37" t="str">
        <f>'Both teabags AfterDry'!A373</f>
        <v>R210</v>
      </c>
      <c r="X37" t="b">
        <f t="shared" si="7"/>
        <v>0</v>
      </c>
      <c r="Y37" t="b">
        <f t="shared" si="8"/>
        <v>0</v>
      </c>
      <c r="AA37" t="str">
        <f>'Green_rooibos initial weight'!A38</f>
        <v>G34</v>
      </c>
      <c r="AB37" t="str">
        <f>'Green_rooibos initial weight'!A942</f>
        <v>R34</v>
      </c>
      <c r="AC37" t="b">
        <f t="shared" si="9"/>
        <v>0</v>
      </c>
      <c r="AD37" t="b">
        <f t="shared" si="10"/>
        <v>0</v>
      </c>
      <c r="AG37" t="str">
        <f>'WetLitterbags placem_collection'!K36</f>
        <v>G516</v>
      </c>
      <c r="AH37" t="str">
        <f>'WetLitterbags placem_collection'!M36</f>
        <v>R153</v>
      </c>
      <c r="AI37" t="b">
        <f t="shared" si="11"/>
        <v>0</v>
      </c>
      <c r="AJ37" t="b">
        <f t="shared" si="12"/>
        <v>0</v>
      </c>
      <c r="AK37">
        <f>'WetLitterbags placem_collection'!A36</f>
        <v>34</v>
      </c>
      <c r="AL37">
        <f>'WetLitterbags placem_collection'!A36</f>
        <v>34</v>
      </c>
      <c r="AN37">
        <f>IF('Dry_Litterbag Placem_Collection'!J36=0,"",'Dry_Litterbag Placem_Collection'!J36)</f>
        <v>104</v>
      </c>
      <c r="AO37">
        <f>IF('Dry_Litterbag Placem_Collection'!K36=0,"",'Dry_Litterbag Placem_Collection'!K36)</f>
        <v>753</v>
      </c>
      <c r="AP37" t="b">
        <f t="shared" si="13"/>
        <v>0</v>
      </c>
      <c r="AQ37" t="b">
        <f t="shared" si="14"/>
        <v>0</v>
      </c>
      <c r="AT37" t="str">
        <f>'Ashed teabags dry'!A35</f>
        <v>G140</v>
      </c>
      <c r="AU37" t="str">
        <f>'Ashed teabags dry'!A372</f>
        <v>R208</v>
      </c>
      <c r="AV37" t="b">
        <f t="shared" si="15"/>
        <v>0</v>
      </c>
      <c r="AW37" t="b">
        <f t="shared" si="16"/>
        <v>0</v>
      </c>
      <c r="AZ37" s="401" t="b">
        <f t="shared" si="17"/>
        <v>0</v>
      </c>
      <c r="BA37" s="401" t="b">
        <f t="shared" si="18"/>
        <v>0</v>
      </c>
      <c r="BC37" t="str">
        <f>'Ashed teabags wet'!A35</f>
        <v>G366</v>
      </c>
      <c r="BD37" t="str">
        <f>'Ashed teabags wet'!A452</f>
        <v>R143</v>
      </c>
      <c r="BE37" t="b">
        <f t="shared" si="19"/>
        <v>0</v>
      </c>
      <c r="BF37" t="b">
        <f t="shared" si="20"/>
        <v>0</v>
      </c>
      <c r="BG37">
        <f>IFERROR('Ashed teabags wet'!C35,"")</f>
        <v>33</v>
      </c>
      <c r="BH37">
        <f>IFERROR('Ashed teabags wet'!C452,"")</f>
        <v>61</v>
      </c>
      <c r="BI37">
        <f>'Ashed teabags wet'!AB35</f>
        <v>32</v>
      </c>
      <c r="BJ37" t="str">
        <f>'Ashed teabags wet'!AC35</f>
        <v/>
      </c>
      <c r="BK37" t="str">
        <f>'Ashed teabags wet'!AD452</f>
        <v/>
      </c>
      <c r="BL37">
        <f>'Ashed teabags wet'!AE452</f>
        <v>60</v>
      </c>
      <c r="BN37" t="str">
        <f t="shared" si="21"/>
        <v>G365</v>
      </c>
      <c r="BO37" t="b">
        <f t="shared" si="23"/>
        <v>1</v>
      </c>
    </row>
    <row r="38" spans="2:68" ht="12" customHeight="1">
      <c r="B38" t="str">
        <f>TBIDry!H110</f>
        <v>G188</v>
      </c>
      <c r="C38" t="str">
        <f>TBIDry!I110</f>
        <v>R776</v>
      </c>
      <c r="D38" t="b">
        <f t="shared" si="0"/>
        <v>0</v>
      </c>
      <c r="E38" t="b">
        <f t="shared" si="1"/>
        <v>0</v>
      </c>
      <c r="G38" t="str">
        <f>TBIWet!H110</f>
        <v>G670</v>
      </c>
      <c r="H38" t="str">
        <f>TBIWet!I110</f>
        <v>R64</v>
      </c>
      <c r="I38" t="b">
        <f t="shared" si="2"/>
        <v>0</v>
      </c>
      <c r="J38" t="b">
        <f t="shared" si="22"/>
        <v>0</v>
      </c>
      <c r="L38" t="str">
        <f>'Both teabags AfterWet'!A37</f>
        <v>G365</v>
      </c>
      <c r="M38" t="str">
        <f>'Both teabags AfterWet'!A455</f>
        <v>R139</v>
      </c>
      <c r="N38" t="b">
        <f t="shared" si="3"/>
        <v>0</v>
      </c>
      <c r="O38" t="b">
        <f t="shared" si="4"/>
        <v>0</v>
      </c>
      <c r="P38" t="str">
        <f>IFERROR('Both teabags AfterWet'!B37,"")</f>
        <v>n.a</v>
      </c>
      <c r="Q38" t="str">
        <f>'Both teabags AfterWet'!B455</f>
        <v>n.a</v>
      </c>
      <c r="S38" s="401" t="b">
        <f t="shared" si="5"/>
        <v>0</v>
      </c>
      <c r="T38" s="401" t="b">
        <f t="shared" si="6"/>
        <v>0</v>
      </c>
      <c r="V38" t="str">
        <f>'Both teabags AfterDry'!A37</f>
        <v>G143</v>
      </c>
      <c r="W38" t="str">
        <f>'Both teabags AfterDry'!A374</f>
        <v>R211</v>
      </c>
      <c r="X38" t="b">
        <f t="shared" si="7"/>
        <v>0</v>
      </c>
      <c r="Y38" t="b">
        <f t="shared" si="8"/>
        <v>0</v>
      </c>
      <c r="AA38" t="str">
        <f>'Green_rooibos initial weight'!A39</f>
        <v>G35</v>
      </c>
      <c r="AB38" t="str">
        <f>'Green_rooibos initial weight'!A943</f>
        <v>R35</v>
      </c>
      <c r="AC38" t="b">
        <f t="shared" si="9"/>
        <v>0</v>
      </c>
      <c r="AD38" t="b">
        <f t="shared" si="10"/>
        <v>0</v>
      </c>
      <c r="AG38" t="str">
        <f>'WetLitterbags placem_collection'!K37</f>
        <v>G670</v>
      </c>
      <c r="AH38" t="str">
        <f>'WetLitterbags placem_collection'!M37</f>
        <v>R64</v>
      </c>
      <c r="AI38" t="b">
        <f t="shared" si="11"/>
        <v>0</v>
      </c>
      <c r="AJ38" t="b">
        <f t="shared" si="12"/>
        <v>0</v>
      </c>
      <c r="AK38">
        <f>'WetLitterbags placem_collection'!A37</f>
        <v>35</v>
      </c>
      <c r="AL38">
        <f>'WetLitterbags placem_collection'!A37</f>
        <v>35</v>
      </c>
      <c r="AN38">
        <f>IF('Dry_Litterbag Placem_Collection'!J37=0,"",'Dry_Litterbag Placem_Collection'!J37)</f>
        <v>188</v>
      </c>
      <c r="AO38">
        <f>IF('Dry_Litterbag Placem_Collection'!K37=0,"",'Dry_Litterbag Placem_Collection'!K37)</f>
        <v>776</v>
      </c>
      <c r="AP38" t="b">
        <f t="shared" si="13"/>
        <v>0</v>
      </c>
      <c r="AQ38" t="b">
        <f t="shared" si="14"/>
        <v>0</v>
      </c>
      <c r="AT38" t="str">
        <f>'Ashed teabags dry'!A36</f>
        <v>G141</v>
      </c>
      <c r="AU38" t="str">
        <f>'Ashed teabags dry'!A373</f>
        <v>R210</v>
      </c>
      <c r="AV38" t="b">
        <f t="shared" si="15"/>
        <v>0</v>
      </c>
      <c r="AW38" t="b">
        <f t="shared" si="16"/>
        <v>0</v>
      </c>
      <c r="AZ38" s="401" t="b">
        <f t="shared" si="17"/>
        <v>0</v>
      </c>
      <c r="BA38" s="401" t="b">
        <f t="shared" si="18"/>
        <v>0</v>
      </c>
      <c r="BC38" t="str">
        <f>'Ashed teabags wet'!A36</f>
        <v>G367</v>
      </c>
      <c r="BD38" t="str">
        <f>'Ashed teabags wet'!A453</f>
        <v>R144</v>
      </c>
      <c r="BE38" t="b">
        <f t="shared" si="19"/>
        <v>0</v>
      </c>
      <c r="BF38" t="b">
        <f t="shared" si="20"/>
        <v>0</v>
      </c>
      <c r="BG38">
        <f>IFERROR('Ashed teabags wet'!C36,"")</f>
        <v>189</v>
      </c>
      <c r="BH38">
        <f>IFERROR('Ashed teabags wet'!C453,"")</f>
        <v>24</v>
      </c>
      <c r="BI38">
        <f>'Ashed teabags wet'!AB36</f>
        <v>188</v>
      </c>
      <c r="BJ38" t="str">
        <f>'Ashed teabags wet'!AC36</f>
        <v/>
      </c>
      <c r="BK38">
        <f>'Ashed teabags wet'!AD453</f>
        <v>23</v>
      </c>
      <c r="BL38" t="str">
        <f>'Ashed teabags wet'!AE453</f>
        <v/>
      </c>
      <c r="BN38" t="str">
        <f t="shared" si="21"/>
        <v>G366</v>
      </c>
      <c r="BO38" t="b">
        <f t="shared" si="23"/>
        <v>1</v>
      </c>
    </row>
    <row r="39" spans="2:68" ht="12" customHeight="1">
      <c r="B39" t="str">
        <f>TBIDry!H111</f>
        <v>G379</v>
      </c>
      <c r="C39" t="str">
        <f>TBIDry!I111</f>
        <v>R799</v>
      </c>
      <c r="D39" t="b">
        <f t="shared" si="0"/>
        <v>0</v>
      </c>
      <c r="E39" t="b">
        <f t="shared" si="1"/>
        <v>0</v>
      </c>
      <c r="G39" t="str">
        <f>TBIWet!H111</f>
        <v>G507</v>
      </c>
      <c r="H39" t="str">
        <f>TBIWet!I111</f>
        <v>R126</v>
      </c>
      <c r="I39" t="b">
        <f t="shared" si="2"/>
        <v>0</v>
      </c>
      <c r="J39" t="b">
        <f t="shared" si="22"/>
        <v>0</v>
      </c>
      <c r="L39" t="str">
        <f>'Both teabags AfterWet'!A38</f>
        <v>G366</v>
      </c>
      <c r="M39" t="str">
        <f>'Both teabags AfterWet'!A456</f>
        <v>R14</v>
      </c>
      <c r="N39" t="b">
        <f t="shared" si="3"/>
        <v>0</v>
      </c>
      <c r="O39" t="b">
        <f t="shared" si="4"/>
        <v>0</v>
      </c>
      <c r="P39">
        <f>IFERROR('Both teabags AfterWet'!B38,"")</f>
        <v>33</v>
      </c>
      <c r="Q39" t="str">
        <f>'Both teabags AfterWet'!B456</f>
        <v>n.a</v>
      </c>
      <c r="S39" s="401" t="b">
        <f t="shared" si="5"/>
        <v>0</v>
      </c>
      <c r="T39" s="401" t="b">
        <f t="shared" si="6"/>
        <v>0</v>
      </c>
      <c r="V39" t="str">
        <f>'Both teabags AfterDry'!A38</f>
        <v>G144</v>
      </c>
      <c r="W39" t="str">
        <f>'Both teabags AfterDry'!A375</f>
        <v>R212</v>
      </c>
      <c r="X39" t="b">
        <f t="shared" si="7"/>
        <v>0</v>
      </c>
      <c r="Y39" t="b">
        <f t="shared" si="8"/>
        <v>0</v>
      </c>
      <c r="AA39" t="str">
        <f>'Green_rooibos initial weight'!A40</f>
        <v>G36</v>
      </c>
      <c r="AB39" t="str">
        <f>'Green_rooibos initial weight'!A944</f>
        <v>R36</v>
      </c>
      <c r="AC39" t="b">
        <f t="shared" si="9"/>
        <v>0</v>
      </c>
      <c r="AD39" t="b">
        <f t="shared" si="10"/>
        <v>0</v>
      </c>
      <c r="AG39" t="str">
        <f>'WetLitterbags placem_collection'!K38</f>
        <v>G507</v>
      </c>
      <c r="AH39" t="str">
        <f>'WetLitterbags placem_collection'!M38</f>
        <v>R126</v>
      </c>
      <c r="AI39" t="b">
        <f t="shared" si="11"/>
        <v>0</v>
      </c>
      <c r="AJ39" t="b">
        <f t="shared" si="12"/>
        <v>0</v>
      </c>
      <c r="AK39">
        <f>'WetLitterbags placem_collection'!A38</f>
        <v>36</v>
      </c>
      <c r="AL39">
        <f>'WetLitterbags placem_collection'!A38</f>
        <v>36</v>
      </c>
      <c r="AN39">
        <f>IF('Dry_Litterbag Placem_Collection'!J38=0,"",'Dry_Litterbag Placem_Collection'!J38)</f>
        <v>379</v>
      </c>
      <c r="AO39">
        <f>IF('Dry_Litterbag Placem_Collection'!K38=0,"",'Dry_Litterbag Placem_Collection'!K38)</f>
        <v>799</v>
      </c>
      <c r="AP39" t="b">
        <f t="shared" si="13"/>
        <v>0</v>
      </c>
      <c r="AQ39" t="b">
        <f t="shared" si="14"/>
        <v>0</v>
      </c>
      <c r="AT39" t="str">
        <f>'Ashed teabags dry'!A37</f>
        <v>G143</v>
      </c>
      <c r="AU39" t="str">
        <f>'Ashed teabags dry'!A374</f>
        <v>R211</v>
      </c>
      <c r="AV39" t="b">
        <f t="shared" si="15"/>
        <v>0</v>
      </c>
      <c r="AW39" t="b">
        <f t="shared" si="16"/>
        <v>0</v>
      </c>
      <c r="AZ39" s="401" t="b">
        <f t="shared" si="17"/>
        <v>0</v>
      </c>
      <c r="BA39" s="401" t="b">
        <f t="shared" si="18"/>
        <v>0</v>
      </c>
      <c r="BC39" t="str">
        <f>'Ashed teabags wet'!A37</f>
        <v>G368</v>
      </c>
      <c r="BD39" t="str">
        <f>'Ashed teabags wet'!A454</f>
        <v>R145</v>
      </c>
      <c r="BE39" t="b">
        <f t="shared" si="19"/>
        <v>0</v>
      </c>
      <c r="BF39" t="b">
        <f t="shared" si="20"/>
        <v>0</v>
      </c>
      <c r="BG39">
        <f>IFERROR('Ashed teabags wet'!C37,"")</f>
        <v>165</v>
      </c>
      <c r="BH39">
        <f>IFERROR('Ashed teabags wet'!C454,"")</f>
        <v>215</v>
      </c>
      <c r="BI39">
        <f>'Ashed teabags wet'!AB37</f>
        <v>164</v>
      </c>
      <c r="BJ39" t="str">
        <f>'Ashed teabags wet'!AC37</f>
        <v/>
      </c>
      <c r="BK39">
        <f>'Ashed teabags wet'!AD454</f>
        <v>214</v>
      </c>
      <c r="BL39" t="str">
        <f>'Ashed teabags wet'!AE454</f>
        <v/>
      </c>
      <c r="BN39" t="str">
        <f t="shared" si="21"/>
        <v>G367</v>
      </c>
      <c r="BO39" t="b">
        <f t="shared" si="23"/>
        <v>1</v>
      </c>
    </row>
    <row r="40" spans="2:68" ht="12" customHeight="1">
      <c r="B40" t="str">
        <f>TBIDry!H112</f>
        <v>G66</v>
      </c>
      <c r="C40" t="str">
        <f>TBIDry!I112</f>
        <v>R722</v>
      </c>
      <c r="D40" t="b">
        <f t="shared" si="0"/>
        <v>0</v>
      </c>
      <c r="E40" t="b">
        <f t="shared" si="1"/>
        <v>0</v>
      </c>
      <c r="G40" t="str">
        <f>TBIWet!H112</f>
        <v>G359</v>
      </c>
      <c r="H40" t="str">
        <f>TBIWet!I112</f>
        <v>R63</v>
      </c>
      <c r="I40" t="b">
        <f t="shared" si="2"/>
        <v>0</v>
      </c>
      <c r="J40" t="b">
        <f t="shared" si="22"/>
        <v>0</v>
      </c>
      <c r="L40" t="str">
        <f>'Both teabags AfterWet'!A39</f>
        <v>G367</v>
      </c>
      <c r="M40" t="str">
        <f>'Both teabags AfterWet'!A457</f>
        <v>R141</v>
      </c>
      <c r="N40" t="b">
        <f t="shared" si="3"/>
        <v>0</v>
      </c>
      <c r="O40" t="b">
        <f t="shared" si="4"/>
        <v>0</v>
      </c>
      <c r="P40">
        <f>IFERROR('Both teabags AfterWet'!B39,"")</f>
        <v>189</v>
      </c>
      <c r="Q40" t="str">
        <f>'Both teabags AfterWet'!B457</f>
        <v>n.a</v>
      </c>
      <c r="S40" s="401" t="b">
        <f t="shared" si="5"/>
        <v>0</v>
      </c>
      <c r="T40" s="401" t="b">
        <f t="shared" si="6"/>
        <v>0</v>
      </c>
      <c r="V40" t="str">
        <f>'Both teabags AfterDry'!A39</f>
        <v>G145</v>
      </c>
      <c r="W40" t="str">
        <f>'Both teabags AfterDry'!A376</f>
        <v>R213</v>
      </c>
      <c r="X40" t="b">
        <f t="shared" si="7"/>
        <v>0</v>
      </c>
      <c r="Y40" t="b">
        <f t="shared" si="8"/>
        <v>0</v>
      </c>
      <c r="AA40" t="str">
        <f>'Green_rooibos initial weight'!A41</f>
        <v>G37</v>
      </c>
      <c r="AB40" t="str">
        <f>'Green_rooibos initial weight'!A945</f>
        <v>R37</v>
      </c>
      <c r="AC40" t="b">
        <f t="shared" si="9"/>
        <v>0</v>
      </c>
      <c r="AD40" t="b">
        <f t="shared" si="10"/>
        <v>0</v>
      </c>
      <c r="AG40" t="str">
        <f>'WetLitterbags placem_collection'!K39</f>
        <v>G359</v>
      </c>
      <c r="AH40" t="str">
        <f>'WetLitterbags placem_collection'!M39</f>
        <v>R63</v>
      </c>
      <c r="AI40" t="b">
        <f t="shared" si="11"/>
        <v>0</v>
      </c>
      <c r="AJ40" t="b">
        <f t="shared" si="12"/>
        <v>0</v>
      </c>
      <c r="AK40">
        <f>'WetLitterbags placem_collection'!A39</f>
        <v>37</v>
      </c>
      <c r="AL40">
        <f>'WetLitterbags placem_collection'!A39</f>
        <v>37</v>
      </c>
      <c r="AN40">
        <f>IF('Dry_Litterbag Placem_Collection'!J39=0,"",'Dry_Litterbag Placem_Collection'!J39)</f>
        <v>66</v>
      </c>
      <c r="AO40">
        <f>IF('Dry_Litterbag Placem_Collection'!K39=0,"",'Dry_Litterbag Placem_Collection'!K39)</f>
        <v>722</v>
      </c>
      <c r="AP40" t="b">
        <f t="shared" si="13"/>
        <v>0</v>
      </c>
      <c r="AQ40" t="b">
        <f t="shared" si="14"/>
        <v>0</v>
      </c>
      <c r="AT40" t="str">
        <f>'Ashed teabags dry'!A38</f>
        <v>G144</v>
      </c>
      <c r="AU40" t="str">
        <f>'Ashed teabags dry'!A375</f>
        <v>R212</v>
      </c>
      <c r="AV40" t="b">
        <f t="shared" si="15"/>
        <v>0</v>
      </c>
      <c r="AW40" t="b">
        <f t="shared" si="16"/>
        <v>0</v>
      </c>
      <c r="AZ40" s="401" t="b">
        <f t="shared" si="17"/>
        <v>0</v>
      </c>
      <c r="BA40" s="401" t="b">
        <f t="shared" si="18"/>
        <v>0</v>
      </c>
      <c r="BC40" t="str">
        <f>'Ashed teabags wet'!A38</f>
        <v>G373</v>
      </c>
      <c r="BD40" t="str">
        <f>'Ashed teabags wet'!A455</f>
        <v>R146</v>
      </c>
      <c r="BE40" t="b">
        <f t="shared" si="19"/>
        <v>0</v>
      </c>
      <c r="BF40" t="b">
        <f t="shared" si="20"/>
        <v>0</v>
      </c>
      <c r="BG40">
        <f>IFERROR('Ashed teabags wet'!C38,"")</f>
        <v>75</v>
      </c>
      <c r="BH40">
        <f>IFERROR('Ashed teabags wet'!C455,"")</f>
        <v>47</v>
      </c>
      <c r="BI40" t="str">
        <f>'Ashed teabags wet'!AB38</f>
        <v/>
      </c>
      <c r="BJ40">
        <f>'Ashed teabags wet'!AC38</f>
        <v>74</v>
      </c>
      <c r="BK40">
        <f>'Ashed teabags wet'!AD455</f>
        <v>46</v>
      </c>
      <c r="BL40" t="str">
        <f>'Ashed teabags wet'!AE455</f>
        <v/>
      </c>
      <c r="BN40" t="str">
        <f t="shared" si="21"/>
        <v>G368</v>
      </c>
      <c r="BO40" t="b">
        <f t="shared" si="23"/>
        <v>1</v>
      </c>
    </row>
    <row r="41" spans="2:68" ht="12" customHeight="1">
      <c r="B41" t="str">
        <f>TBIDry!H113</f>
        <v>G625</v>
      </c>
      <c r="C41" t="str">
        <f>TBIDry!I113</f>
        <v>R796</v>
      </c>
      <c r="D41" t="b">
        <f t="shared" si="0"/>
        <v>0</v>
      </c>
      <c r="E41" t="b">
        <f t="shared" si="1"/>
        <v>0</v>
      </c>
      <c r="G41" t="str">
        <f>TBIWet!H113</f>
        <v>G499</v>
      </c>
      <c r="H41" t="str">
        <f>TBIWet!I113</f>
        <v>R87</v>
      </c>
      <c r="I41" t="b">
        <f t="shared" si="2"/>
        <v>0</v>
      </c>
      <c r="J41" t="b">
        <f t="shared" si="22"/>
        <v>0</v>
      </c>
      <c r="L41" t="str">
        <f>'Both teabags AfterWet'!A40</f>
        <v>G368</v>
      </c>
      <c r="M41" t="str">
        <f>'Both teabags AfterWet'!A458</f>
        <v>R142</v>
      </c>
      <c r="N41" t="b">
        <f t="shared" si="3"/>
        <v>0</v>
      </c>
      <c r="O41" t="b">
        <f t="shared" si="4"/>
        <v>0</v>
      </c>
      <c r="P41">
        <f>IFERROR('Both teabags AfterWet'!B40,"")</f>
        <v>165</v>
      </c>
      <c r="Q41">
        <f>'Both teabags AfterWet'!B458</f>
        <v>209</v>
      </c>
      <c r="S41" s="401" t="b">
        <f t="shared" si="5"/>
        <v>0</v>
      </c>
      <c r="T41" s="401" t="b">
        <f t="shared" si="6"/>
        <v>0</v>
      </c>
      <c r="V41" t="str">
        <f>'Both teabags AfterDry'!A40</f>
        <v>G146</v>
      </c>
      <c r="W41" t="str">
        <f>'Both teabags AfterDry'!A377</f>
        <v>R214</v>
      </c>
      <c r="X41" t="b">
        <f t="shared" si="7"/>
        <v>0</v>
      </c>
      <c r="Y41" t="b">
        <f t="shared" si="8"/>
        <v>0</v>
      </c>
      <c r="AA41" t="str">
        <f>'Green_rooibos initial weight'!A42</f>
        <v>G38</v>
      </c>
      <c r="AB41" t="str">
        <f>'Green_rooibos initial weight'!A946</f>
        <v>R38</v>
      </c>
      <c r="AC41" t="b">
        <f t="shared" si="9"/>
        <v>0</v>
      </c>
      <c r="AD41" t="b">
        <f t="shared" si="10"/>
        <v>0</v>
      </c>
      <c r="AG41" t="str">
        <f>'WetLitterbags placem_collection'!K40</f>
        <v>G499</v>
      </c>
      <c r="AH41" t="str">
        <f>'WetLitterbags placem_collection'!M40</f>
        <v>R87</v>
      </c>
      <c r="AI41" t="b">
        <f t="shared" si="11"/>
        <v>0</v>
      </c>
      <c r="AJ41" t="b">
        <f t="shared" si="12"/>
        <v>0</v>
      </c>
      <c r="AK41">
        <f>'WetLitterbags placem_collection'!A40</f>
        <v>38</v>
      </c>
      <c r="AL41">
        <f>'WetLitterbags placem_collection'!A40</f>
        <v>38</v>
      </c>
      <c r="AN41">
        <f>IF('Dry_Litterbag Placem_Collection'!J40=0,"",'Dry_Litterbag Placem_Collection'!J40)</f>
        <v>625</v>
      </c>
      <c r="AO41">
        <f>IF('Dry_Litterbag Placem_Collection'!K40=0,"",'Dry_Litterbag Placem_Collection'!K40)</f>
        <v>796</v>
      </c>
      <c r="AP41" t="b">
        <f t="shared" si="13"/>
        <v>0</v>
      </c>
      <c r="AQ41" t="b">
        <f t="shared" si="14"/>
        <v>0</v>
      </c>
      <c r="AT41" t="str">
        <f>'Ashed teabags dry'!A39</f>
        <v>G145</v>
      </c>
      <c r="AU41" t="str">
        <f>'Ashed teabags dry'!A376</f>
        <v>R213</v>
      </c>
      <c r="AV41" t="b">
        <f t="shared" si="15"/>
        <v>0</v>
      </c>
      <c r="AW41" t="b">
        <f t="shared" si="16"/>
        <v>0</v>
      </c>
      <c r="AZ41" s="401" t="b">
        <f t="shared" si="17"/>
        <v>0</v>
      </c>
      <c r="BA41" s="401" t="b">
        <f t="shared" si="18"/>
        <v>0</v>
      </c>
      <c r="BC41" t="str">
        <f>'Ashed teabags wet'!A39</f>
        <v>G375</v>
      </c>
      <c r="BD41" t="str">
        <f>'Ashed teabags wet'!A456</f>
        <v>R147</v>
      </c>
      <c r="BE41" t="b">
        <f t="shared" si="19"/>
        <v>0</v>
      </c>
      <c r="BF41" t="b">
        <f t="shared" si="20"/>
        <v>0</v>
      </c>
      <c r="BG41">
        <f>IFERROR('Ashed teabags wet'!C39,"")</f>
        <v>188</v>
      </c>
      <c r="BH41">
        <f>IFERROR('Ashed teabags wet'!C456,"")</f>
        <v>38</v>
      </c>
      <c r="BI41" t="str">
        <f>'Ashed teabags wet'!AB39</f>
        <v/>
      </c>
      <c r="BJ41">
        <f>'Ashed teabags wet'!AC39</f>
        <v>187</v>
      </c>
      <c r="BK41" t="str">
        <f>'Ashed teabags wet'!AD456</f>
        <v/>
      </c>
      <c r="BL41">
        <f>'Ashed teabags wet'!AE456</f>
        <v>37</v>
      </c>
      <c r="BN41" t="str">
        <f t="shared" si="21"/>
        <v>G373</v>
      </c>
      <c r="BO41" t="b">
        <f t="shared" si="23"/>
        <v>1</v>
      </c>
    </row>
    <row r="42" spans="2:68" ht="12" customHeight="1">
      <c r="B42" t="str">
        <f>TBIDry!H114</f>
        <v/>
      </c>
      <c r="C42" t="str">
        <f>TBIDry!I114</f>
        <v/>
      </c>
      <c r="D42" t="b">
        <f t="shared" si="0"/>
        <v>1</v>
      </c>
      <c r="E42" t="b">
        <f t="shared" si="1"/>
        <v>1</v>
      </c>
      <c r="G42" t="str">
        <f>TBIWet!H114</f>
        <v>G214</v>
      </c>
      <c r="H42" t="str">
        <f>TBIWet!I114</f>
        <v>R437</v>
      </c>
      <c r="I42" t="b">
        <f t="shared" si="2"/>
        <v>0</v>
      </c>
      <c r="J42" t="b">
        <f t="shared" si="22"/>
        <v>0</v>
      </c>
      <c r="L42" t="str">
        <f>'Both teabags AfterWet'!A41</f>
        <v>G373</v>
      </c>
      <c r="M42" t="str">
        <f>'Both teabags AfterWet'!A459</f>
        <v>R143</v>
      </c>
      <c r="N42" t="b">
        <f t="shared" si="3"/>
        <v>0</v>
      </c>
      <c r="O42" t="b">
        <f t="shared" si="4"/>
        <v>0</v>
      </c>
      <c r="P42" t="str">
        <f>IFERROR('Both teabags AfterWet'!B41,"")</f>
        <v>n.a</v>
      </c>
      <c r="Q42">
        <f>'Both teabags AfterWet'!B459</f>
        <v>61</v>
      </c>
      <c r="S42" s="401" t="b">
        <f t="shared" si="5"/>
        <v>0</v>
      </c>
      <c r="T42" s="401" t="b">
        <f t="shared" si="6"/>
        <v>0</v>
      </c>
      <c r="V42" t="str">
        <f>'Both teabags AfterDry'!A41</f>
        <v>G147</v>
      </c>
      <c r="W42" t="str">
        <f>'Both teabags AfterDry'!A378</f>
        <v>R221</v>
      </c>
      <c r="X42" t="b">
        <f t="shared" si="7"/>
        <v>0</v>
      </c>
      <c r="Y42" t="b">
        <f t="shared" si="8"/>
        <v>0</v>
      </c>
      <c r="AA42" t="str">
        <f>'Green_rooibos initial weight'!A43</f>
        <v>G39</v>
      </c>
      <c r="AB42" t="str">
        <f>'Green_rooibos initial weight'!A947</f>
        <v>R39</v>
      </c>
      <c r="AC42" t="b">
        <f t="shared" si="9"/>
        <v>0</v>
      </c>
      <c r="AD42" t="b">
        <f t="shared" si="10"/>
        <v>0</v>
      </c>
      <c r="AG42" t="str">
        <f>'WetLitterbags placem_collection'!K41</f>
        <v>G214</v>
      </c>
      <c r="AH42" t="str">
        <f>'WetLitterbags placem_collection'!M41</f>
        <v>R437</v>
      </c>
      <c r="AI42" t="b">
        <f t="shared" si="11"/>
        <v>0</v>
      </c>
      <c r="AJ42" t="b">
        <f t="shared" si="12"/>
        <v>0</v>
      </c>
      <c r="AK42">
        <f>'WetLitterbags placem_collection'!A41</f>
        <v>39</v>
      </c>
      <c r="AL42">
        <f>'WetLitterbags placem_collection'!A41</f>
        <v>39</v>
      </c>
      <c r="AN42" t="str">
        <f>IF('Dry_Litterbag Placem_Collection'!J41=0,"",'Dry_Litterbag Placem_Collection'!J41)</f>
        <v/>
      </c>
      <c r="AO42" t="str">
        <f>IF('Dry_Litterbag Placem_Collection'!K41=0,"",'Dry_Litterbag Placem_Collection'!K41)</f>
        <v/>
      </c>
      <c r="AP42" t="b">
        <f t="shared" si="13"/>
        <v>1</v>
      </c>
      <c r="AQ42" t="b">
        <f t="shared" si="14"/>
        <v>1</v>
      </c>
      <c r="AT42" t="str">
        <f>'Ashed teabags dry'!A40</f>
        <v>G146</v>
      </c>
      <c r="AU42" t="str">
        <f>'Ashed teabags dry'!A377</f>
        <v>R214</v>
      </c>
      <c r="AV42" t="b">
        <f t="shared" si="15"/>
        <v>0</v>
      </c>
      <c r="AW42" t="b">
        <f t="shared" si="16"/>
        <v>0</v>
      </c>
      <c r="AZ42" s="401" t="b">
        <f t="shared" si="17"/>
        <v>0</v>
      </c>
      <c r="BA42" s="401" t="b">
        <f t="shared" si="18"/>
        <v>0</v>
      </c>
      <c r="BC42" t="str">
        <f>'Ashed teabags wet'!A40</f>
        <v>G383</v>
      </c>
      <c r="BD42" t="str">
        <f>'Ashed teabags wet'!A457</f>
        <v>R148</v>
      </c>
      <c r="BE42" t="b">
        <f t="shared" si="19"/>
        <v>0</v>
      </c>
      <c r="BF42" t="b">
        <f t="shared" si="20"/>
        <v>0</v>
      </c>
      <c r="BG42">
        <f>IFERROR('Ashed teabags wet'!C40,"")</f>
        <v>72</v>
      </c>
      <c r="BH42">
        <f>IFERROR('Ashed teabags wet'!C457,"")</f>
        <v>26</v>
      </c>
      <c r="BI42">
        <f>'Ashed teabags wet'!AB40</f>
        <v>71</v>
      </c>
      <c r="BJ42" t="str">
        <f>'Ashed teabags wet'!AC40</f>
        <v/>
      </c>
      <c r="BK42">
        <f>'Ashed teabags wet'!AD457</f>
        <v>25</v>
      </c>
      <c r="BL42" t="str">
        <f>'Ashed teabags wet'!AE457</f>
        <v/>
      </c>
      <c r="BN42" t="str">
        <f t="shared" si="21"/>
        <v>G375</v>
      </c>
      <c r="BO42" t="b">
        <f t="shared" si="23"/>
        <v>1</v>
      </c>
    </row>
    <row r="43" spans="2:68" ht="12" customHeight="1">
      <c r="B43" t="str">
        <f>TBIDry!H115</f>
        <v>G88</v>
      </c>
      <c r="C43" t="str">
        <f>TBIDry!I115</f>
        <v>R782</v>
      </c>
      <c r="D43" t="b">
        <f t="shared" si="0"/>
        <v>0</v>
      </c>
      <c r="E43" t="b">
        <f t="shared" si="1"/>
        <v>0</v>
      </c>
      <c r="G43" t="str">
        <f>TBIWet!H115</f>
        <v>G582</v>
      </c>
      <c r="H43" t="str">
        <f>TBIWet!I115</f>
        <v>R114</v>
      </c>
      <c r="I43" t="b">
        <f t="shared" si="2"/>
        <v>0</v>
      </c>
      <c r="J43" t="b">
        <f t="shared" si="22"/>
        <v>0</v>
      </c>
      <c r="L43" t="str">
        <f>'Both teabags AfterWet'!A42</f>
        <v>G375</v>
      </c>
      <c r="M43" t="str">
        <f>'Both teabags AfterWet'!A460</f>
        <v>R144</v>
      </c>
      <c r="N43" t="b">
        <f t="shared" si="3"/>
        <v>0</v>
      </c>
      <c r="O43" t="b">
        <f t="shared" si="4"/>
        <v>0</v>
      </c>
      <c r="P43" t="str">
        <f>IFERROR('Both teabags AfterWet'!B42,"")</f>
        <v>n.a</v>
      </c>
      <c r="Q43">
        <f>'Both teabags AfterWet'!B460</f>
        <v>24</v>
      </c>
      <c r="S43" s="401" t="b">
        <f t="shared" si="5"/>
        <v>0</v>
      </c>
      <c r="T43" s="401" t="b">
        <f t="shared" si="6"/>
        <v>0</v>
      </c>
      <c r="V43" t="str">
        <f>'Both teabags AfterDry'!A42</f>
        <v>G148</v>
      </c>
      <c r="W43" t="str">
        <f>'Both teabags AfterDry'!A379</f>
        <v>R223</v>
      </c>
      <c r="X43" t="b">
        <f t="shared" si="7"/>
        <v>0</v>
      </c>
      <c r="Y43" t="b">
        <f t="shared" si="8"/>
        <v>0</v>
      </c>
      <c r="AA43" t="str">
        <f>'Green_rooibos initial weight'!A44</f>
        <v>G40</v>
      </c>
      <c r="AB43" t="str">
        <f>'Green_rooibos initial weight'!A948</f>
        <v>R40</v>
      </c>
      <c r="AC43" t="b">
        <f t="shared" si="9"/>
        <v>0</v>
      </c>
      <c r="AD43" t="b">
        <f t="shared" si="10"/>
        <v>0</v>
      </c>
      <c r="AG43" t="str">
        <f>'WetLitterbags placem_collection'!K42</f>
        <v>G582</v>
      </c>
      <c r="AH43" t="str">
        <f>'WetLitterbags placem_collection'!M42</f>
        <v>R114</v>
      </c>
      <c r="AI43" t="b">
        <f t="shared" si="11"/>
        <v>0</v>
      </c>
      <c r="AJ43" t="b">
        <f t="shared" si="12"/>
        <v>0</v>
      </c>
      <c r="AK43">
        <f>'WetLitterbags placem_collection'!A42</f>
        <v>40</v>
      </c>
      <c r="AL43">
        <f>'WetLitterbags placem_collection'!A42</f>
        <v>40</v>
      </c>
      <c r="AN43">
        <f>IF('Dry_Litterbag Placem_Collection'!J42=0,"",'Dry_Litterbag Placem_Collection'!J42)</f>
        <v>88</v>
      </c>
      <c r="AO43">
        <f>IF('Dry_Litterbag Placem_Collection'!K42=0,"",'Dry_Litterbag Placem_Collection'!K42)</f>
        <v>782</v>
      </c>
      <c r="AP43" t="b">
        <f t="shared" si="13"/>
        <v>0</v>
      </c>
      <c r="AQ43" t="b">
        <f t="shared" si="14"/>
        <v>0</v>
      </c>
      <c r="AT43" t="str">
        <f>'Ashed teabags dry'!A41</f>
        <v>G147</v>
      </c>
      <c r="AU43" t="str">
        <f>'Ashed teabags dry'!A378</f>
        <v>R221</v>
      </c>
      <c r="AV43" t="b">
        <f t="shared" si="15"/>
        <v>0</v>
      </c>
      <c r="AW43" t="b">
        <f t="shared" si="16"/>
        <v>0</v>
      </c>
      <c r="AZ43" s="401" t="b">
        <f t="shared" si="17"/>
        <v>0</v>
      </c>
      <c r="BA43" s="401" t="b">
        <f t="shared" si="18"/>
        <v>0</v>
      </c>
      <c r="BC43" t="str">
        <f>'Ashed teabags wet'!A41</f>
        <v>G385</v>
      </c>
      <c r="BD43" t="str">
        <f>'Ashed teabags wet'!A458</f>
        <v>R149</v>
      </c>
      <c r="BE43" t="b">
        <f t="shared" si="19"/>
        <v>0</v>
      </c>
      <c r="BF43" t="b">
        <f t="shared" si="20"/>
        <v>0</v>
      </c>
      <c r="BG43">
        <f>IFERROR('Ashed teabags wet'!C41,"")</f>
        <v>162</v>
      </c>
      <c r="BH43">
        <f>IFERROR('Ashed teabags wet'!C458,"")</f>
        <v>207</v>
      </c>
      <c r="BI43">
        <f>'Ashed teabags wet'!AB41</f>
        <v>161</v>
      </c>
      <c r="BJ43" t="str">
        <f>'Ashed teabags wet'!AC41</f>
        <v/>
      </c>
      <c r="BK43" t="str">
        <f>'Ashed teabags wet'!AD458</f>
        <v/>
      </c>
      <c r="BL43">
        <f>'Ashed teabags wet'!AE458</f>
        <v>206</v>
      </c>
      <c r="BN43" t="str">
        <f t="shared" si="21"/>
        <v>G383</v>
      </c>
      <c r="BO43" t="b">
        <f t="shared" si="23"/>
        <v>1</v>
      </c>
    </row>
    <row r="44" spans="2:68" ht="12" customHeight="1">
      <c r="B44" t="str">
        <f>TBIDry!H116</f>
        <v>G256</v>
      </c>
      <c r="C44" t="str">
        <f>TBIDry!I116</f>
        <v>R820</v>
      </c>
      <c r="D44" t="b">
        <f t="shared" si="0"/>
        <v>0</v>
      </c>
      <c r="E44" t="b">
        <f t="shared" si="1"/>
        <v>0</v>
      </c>
      <c r="G44" t="str">
        <f>TBIWet!H116</f>
        <v>G453</v>
      </c>
      <c r="H44" t="str">
        <f>TBIWet!I116</f>
        <v>R521</v>
      </c>
      <c r="I44" t="b">
        <f t="shared" si="2"/>
        <v>0</v>
      </c>
      <c r="J44" t="b">
        <f t="shared" si="22"/>
        <v>0</v>
      </c>
      <c r="L44" t="str">
        <f>'Both teabags AfterWet'!A43</f>
        <v>G831</v>
      </c>
      <c r="M44" t="str">
        <f>'Both teabags AfterWet'!A461</f>
        <v>R145</v>
      </c>
      <c r="N44" t="b">
        <f t="shared" si="3"/>
        <v>0</v>
      </c>
      <c r="O44" t="b">
        <f t="shared" si="4"/>
        <v>0</v>
      </c>
      <c r="P44">
        <f>IFERROR('Both teabags AfterWet'!B43,"")</f>
        <v>111</v>
      </c>
      <c r="Q44" t="str">
        <f>'Both teabags AfterWet'!B461</f>
        <v>n.a</v>
      </c>
      <c r="S44" s="401" t="b">
        <f t="shared" si="5"/>
        <v>0</v>
      </c>
      <c r="T44" s="401" t="b">
        <f t="shared" si="6"/>
        <v>0</v>
      </c>
      <c r="V44" t="str">
        <f>'Both teabags AfterDry'!A43</f>
        <v>G149</v>
      </c>
      <c r="W44" t="str">
        <f>'Both teabags AfterDry'!A380</f>
        <v>R224</v>
      </c>
      <c r="X44" t="b">
        <f t="shared" si="7"/>
        <v>0</v>
      </c>
      <c r="Y44" t="b">
        <f t="shared" si="8"/>
        <v>0</v>
      </c>
      <c r="AA44" t="str">
        <f>'Green_rooibos initial weight'!A45</f>
        <v>G41</v>
      </c>
      <c r="AB44" t="str">
        <f>'Green_rooibos initial weight'!A949</f>
        <v>R41</v>
      </c>
      <c r="AC44" t="b">
        <f t="shared" si="9"/>
        <v>0</v>
      </c>
      <c r="AD44" t="b">
        <f t="shared" si="10"/>
        <v>0</v>
      </c>
      <c r="AG44" t="str">
        <f>'WetLitterbags placem_collection'!K43</f>
        <v>G453</v>
      </c>
      <c r="AH44" t="str">
        <f>'WetLitterbags placem_collection'!M43</f>
        <v>R521</v>
      </c>
      <c r="AI44" t="b">
        <f t="shared" si="11"/>
        <v>0</v>
      </c>
      <c r="AJ44" t="b">
        <f t="shared" si="12"/>
        <v>0</v>
      </c>
      <c r="AK44">
        <f>'WetLitterbags placem_collection'!A43</f>
        <v>41</v>
      </c>
      <c r="AL44">
        <f>'WetLitterbags placem_collection'!A43</f>
        <v>41</v>
      </c>
      <c r="AN44">
        <f>IF('Dry_Litterbag Placem_Collection'!J43=0,"",'Dry_Litterbag Placem_Collection'!J43)</f>
        <v>256</v>
      </c>
      <c r="AO44">
        <f>IF('Dry_Litterbag Placem_Collection'!K43=0,"",'Dry_Litterbag Placem_Collection'!K43)</f>
        <v>820</v>
      </c>
      <c r="AP44" t="b">
        <f t="shared" si="13"/>
        <v>0</v>
      </c>
      <c r="AQ44" t="b">
        <f t="shared" si="14"/>
        <v>0</v>
      </c>
      <c r="AT44" t="str">
        <f>'Ashed teabags dry'!A42</f>
        <v>G148</v>
      </c>
      <c r="AU44" t="str">
        <f>'Ashed teabags dry'!A379</f>
        <v>R223</v>
      </c>
      <c r="AV44" t="b">
        <f t="shared" si="15"/>
        <v>0</v>
      </c>
      <c r="AW44" t="b">
        <f t="shared" si="16"/>
        <v>0</v>
      </c>
      <c r="AZ44" s="401" t="b">
        <f t="shared" si="17"/>
        <v>0</v>
      </c>
      <c r="BA44" s="401" t="b">
        <f t="shared" si="18"/>
        <v>0</v>
      </c>
      <c r="BC44" t="str">
        <f>'Ashed teabags wet'!A42</f>
        <v>G386</v>
      </c>
      <c r="BD44" t="str">
        <f>'Ashed teabags wet'!A459</f>
        <v>R15</v>
      </c>
      <c r="BE44" t="b">
        <f t="shared" si="19"/>
        <v>0</v>
      </c>
      <c r="BF44" t="b">
        <f t="shared" si="20"/>
        <v>0</v>
      </c>
      <c r="BG44">
        <f>IFERROR('Ashed teabags wet'!C42,"")</f>
        <v>69</v>
      </c>
      <c r="BH44">
        <f>IFERROR('Ashed teabags wet'!C459,"")</f>
        <v>144</v>
      </c>
      <c r="BI44" t="str">
        <f>'Ashed teabags wet'!AB42</f>
        <v/>
      </c>
      <c r="BJ44">
        <f>'Ashed teabags wet'!AC42</f>
        <v>68</v>
      </c>
      <c r="BK44" t="str">
        <f>'Ashed teabags wet'!AD459</f>
        <v/>
      </c>
      <c r="BL44">
        <f>'Ashed teabags wet'!AE459</f>
        <v>143</v>
      </c>
      <c r="BN44" t="str">
        <f t="shared" si="21"/>
        <v>G385</v>
      </c>
      <c r="BO44" t="b">
        <f t="shared" si="23"/>
        <v>1</v>
      </c>
    </row>
    <row r="45" spans="2:68" ht="12" customHeight="1">
      <c r="B45" t="str">
        <f>TBIDry!H117</f>
        <v>G341</v>
      </c>
      <c r="C45" t="str">
        <f>TBIDry!I117</f>
        <v>R806</v>
      </c>
      <c r="D45" t="b">
        <f t="shared" si="0"/>
        <v>0</v>
      </c>
      <c r="E45" t="b">
        <f t="shared" si="1"/>
        <v>0</v>
      </c>
      <c r="G45" t="str">
        <f>TBIWet!H117</f>
        <v>G764</v>
      </c>
      <c r="H45" t="str">
        <f>TBIWet!I117</f>
        <v>R371</v>
      </c>
      <c r="I45" t="b">
        <f t="shared" si="2"/>
        <v>0</v>
      </c>
      <c r="J45" t="b">
        <f t="shared" si="22"/>
        <v>0</v>
      </c>
      <c r="L45" t="str">
        <f>'Both teabags AfterWet'!A44</f>
        <v>G383</v>
      </c>
      <c r="M45" t="str">
        <f>'Both teabags AfterWet'!A462</f>
        <v>R146</v>
      </c>
      <c r="N45" t="b">
        <f t="shared" si="3"/>
        <v>0</v>
      </c>
      <c r="O45" t="b">
        <f t="shared" si="4"/>
        <v>0</v>
      </c>
      <c r="P45" t="str">
        <f>IFERROR('Both teabags AfterWet'!B44,"")</f>
        <v>n.a</v>
      </c>
      <c r="Q45" t="str">
        <f>'Both teabags AfterWet'!B462</f>
        <v>N.A</v>
      </c>
      <c r="S45" s="401" t="b">
        <f t="shared" si="5"/>
        <v>0</v>
      </c>
      <c r="T45" s="401" t="b">
        <f t="shared" si="6"/>
        <v>0</v>
      </c>
      <c r="V45" t="str">
        <f>'Both teabags AfterDry'!A44</f>
        <v>G15</v>
      </c>
      <c r="W45" t="str">
        <f>'Both teabags AfterDry'!A381</f>
        <v>R225</v>
      </c>
      <c r="X45" t="b">
        <f t="shared" si="7"/>
        <v>0</v>
      </c>
      <c r="Y45" t="b">
        <f t="shared" si="8"/>
        <v>0</v>
      </c>
      <c r="AA45" t="str">
        <f>'Green_rooibos initial weight'!A46</f>
        <v>G42</v>
      </c>
      <c r="AB45" t="str">
        <f>'Green_rooibos initial weight'!A950</f>
        <v>R42</v>
      </c>
      <c r="AC45" t="b">
        <f t="shared" si="9"/>
        <v>0</v>
      </c>
      <c r="AD45" t="b">
        <f t="shared" si="10"/>
        <v>0</v>
      </c>
      <c r="AG45" t="str">
        <f>'WetLitterbags placem_collection'!K44</f>
        <v>G764</v>
      </c>
      <c r="AH45" t="str">
        <f>'WetLitterbags placem_collection'!M44</f>
        <v>R371</v>
      </c>
      <c r="AI45" t="b">
        <f t="shared" si="11"/>
        <v>0</v>
      </c>
      <c r="AJ45" t="b">
        <f t="shared" si="12"/>
        <v>0</v>
      </c>
      <c r="AK45">
        <f>'WetLitterbags placem_collection'!A44</f>
        <v>42</v>
      </c>
      <c r="AL45">
        <f>'WetLitterbags placem_collection'!A44</f>
        <v>42</v>
      </c>
      <c r="AN45">
        <f>IF('Dry_Litterbag Placem_Collection'!J44=0,"",'Dry_Litterbag Placem_Collection'!J44)</f>
        <v>341</v>
      </c>
      <c r="AO45">
        <f>IF('Dry_Litterbag Placem_Collection'!K44=0,"",'Dry_Litterbag Placem_Collection'!K44)</f>
        <v>806</v>
      </c>
      <c r="AP45" t="b">
        <f t="shared" si="13"/>
        <v>0</v>
      </c>
      <c r="AQ45" t="b">
        <f t="shared" si="14"/>
        <v>0</v>
      </c>
      <c r="AT45" t="str">
        <f>'Ashed teabags dry'!A43</f>
        <v>G149</v>
      </c>
      <c r="AU45" t="str">
        <f>'Ashed teabags dry'!A380</f>
        <v>R224</v>
      </c>
      <c r="AV45" t="b">
        <f t="shared" si="15"/>
        <v>0</v>
      </c>
      <c r="AW45" t="b">
        <f t="shared" si="16"/>
        <v>0</v>
      </c>
      <c r="AZ45" s="401" t="b">
        <f t="shared" si="17"/>
        <v>0</v>
      </c>
      <c r="BA45" s="401" t="b">
        <f t="shared" si="18"/>
        <v>0</v>
      </c>
      <c r="BC45" t="str">
        <f>'Ashed teabags wet'!A43</f>
        <v>G387</v>
      </c>
      <c r="BD45" t="str">
        <f>'Ashed teabags wet'!A460</f>
        <v>R150</v>
      </c>
      <c r="BE45" t="b">
        <f t="shared" si="19"/>
        <v>0</v>
      </c>
      <c r="BF45" t="b">
        <f t="shared" si="20"/>
        <v>0</v>
      </c>
      <c r="BG45">
        <f>IFERROR('Ashed teabags wet'!C43,"")</f>
        <v>63</v>
      </c>
      <c r="BH45">
        <f>IFERROR('Ashed teabags wet'!C460,"")</f>
        <v>66</v>
      </c>
      <c r="BI45">
        <f>'Ashed teabags wet'!AB43</f>
        <v>62</v>
      </c>
      <c r="BJ45" t="str">
        <f>'Ashed teabags wet'!AC43</f>
        <v/>
      </c>
      <c r="BK45">
        <f>'Ashed teabags wet'!AD460</f>
        <v>65</v>
      </c>
      <c r="BL45" t="str">
        <f>'Ashed teabags wet'!AE460</f>
        <v/>
      </c>
      <c r="BN45" t="str">
        <f t="shared" si="21"/>
        <v>G386</v>
      </c>
      <c r="BO45" t="b">
        <f t="shared" si="23"/>
        <v>1</v>
      </c>
      <c r="BP45" s="402"/>
    </row>
    <row r="46" spans="2:68" ht="12" customHeight="1">
      <c r="B46" t="str">
        <f>TBIDry!H118</f>
        <v>G246</v>
      </c>
      <c r="C46" t="str">
        <f>TBIDry!I118</f>
        <v>R758</v>
      </c>
      <c r="D46" t="b">
        <f t="shared" si="0"/>
        <v>0</v>
      </c>
      <c r="E46" t="b">
        <f t="shared" si="1"/>
        <v>0</v>
      </c>
      <c r="G46" t="str">
        <f>TBIWet!H118</f>
        <v>G690</v>
      </c>
      <c r="H46" t="str">
        <f>TBIWet!I118</f>
        <v>R376</v>
      </c>
      <c r="I46" t="b">
        <f t="shared" si="2"/>
        <v>0</v>
      </c>
      <c r="J46" t="b">
        <f t="shared" si="22"/>
        <v>0</v>
      </c>
      <c r="L46" t="str">
        <f>'Both teabags AfterWet'!A45</f>
        <v>G385</v>
      </c>
      <c r="M46" t="str">
        <f>'Both teabags AfterWet'!A463</f>
        <v>R147</v>
      </c>
      <c r="N46" t="b">
        <f t="shared" si="3"/>
        <v>0</v>
      </c>
      <c r="O46" t="b">
        <f t="shared" si="4"/>
        <v>0</v>
      </c>
      <c r="P46" t="str">
        <f>IFERROR('Both teabags AfterWet'!B45,"")</f>
        <v>n.a</v>
      </c>
      <c r="Q46">
        <f>'Both teabags AfterWet'!B463</f>
        <v>38</v>
      </c>
      <c r="S46" s="401" t="b">
        <f t="shared" si="5"/>
        <v>0</v>
      </c>
      <c r="T46" s="401" t="b">
        <f t="shared" si="6"/>
        <v>0</v>
      </c>
      <c r="V46" t="str">
        <f>'Both teabags AfterDry'!A45</f>
        <v>G152</v>
      </c>
      <c r="W46" t="str">
        <f>'Both teabags AfterDry'!A382</f>
        <v>R227</v>
      </c>
      <c r="X46" t="b">
        <f t="shared" si="7"/>
        <v>0</v>
      </c>
      <c r="Y46" t="b">
        <f t="shared" si="8"/>
        <v>0</v>
      </c>
      <c r="AA46" t="str">
        <f>'Green_rooibos initial weight'!A47</f>
        <v>G43</v>
      </c>
      <c r="AB46" t="str">
        <f>'Green_rooibos initial weight'!A951</f>
        <v>R43</v>
      </c>
      <c r="AC46" t="b">
        <f t="shared" si="9"/>
        <v>0</v>
      </c>
      <c r="AD46" t="b">
        <f t="shared" si="10"/>
        <v>0</v>
      </c>
      <c r="AG46" t="str">
        <f>'WetLitterbags placem_collection'!K45</f>
        <v>G690</v>
      </c>
      <c r="AH46" t="str">
        <f>'WetLitterbags placem_collection'!M45</f>
        <v>R376</v>
      </c>
      <c r="AI46" t="b">
        <f t="shared" si="11"/>
        <v>0</v>
      </c>
      <c r="AJ46" t="b">
        <f t="shared" si="12"/>
        <v>0</v>
      </c>
      <c r="AK46">
        <f>'WetLitterbags placem_collection'!A45</f>
        <v>43</v>
      </c>
      <c r="AL46">
        <f>'WetLitterbags placem_collection'!A45</f>
        <v>43</v>
      </c>
      <c r="AN46">
        <f>IF('Dry_Litterbag Placem_Collection'!J45=0,"",'Dry_Litterbag Placem_Collection'!J45)</f>
        <v>246</v>
      </c>
      <c r="AO46">
        <f>IF('Dry_Litterbag Placem_Collection'!K45=0,"",'Dry_Litterbag Placem_Collection'!K45)</f>
        <v>758</v>
      </c>
      <c r="AP46" t="b">
        <f t="shared" si="13"/>
        <v>0</v>
      </c>
      <c r="AQ46" t="b">
        <f t="shared" si="14"/>
        <v>0</v>
      </c>
      <c r="AT46" t="str">
        <f>'Ashed teabags dry'!A44</f>
        <v>G15</v>
      </c>
      <c r="AU46" t="str">
        <f>'Ashed teabags dry'!A381</f>
        <v>R225</v>
      </c>
      <c r="AV46" t="b">
        <f t="shared" si="15"/>
        <v>0</v>
      </c>
      <c r="AW46" t="b">
        <f t="shared" si="16"/>
        <v>0</v>
      </c>
      <c r="AZ46" s="401" t="b">
        <f t="shared" si="17"/>
        <v>0</v>
      </c>
      <c r="BA46" s="401" t="b">
        <f t="shared" si="18"/>
        <v>0</v>
      </c>
      <c r="BC46" t="str">
        <f>'Ashed teabags wet'!A44</f>
        <v>G388</v>
      </c>
      <c r="BD46" t="str">
        <f>'Ashed teabags wet'!A461</f>
        <v>R151</v>
      </c>
      <c r="BE46" t="b">
        <f t="shared" si="19"/>
        <v>0</v>
      </c>
      <c r="BF46" t="b">
        <f t="shared" si="20"/>
        <v>0</v>
      </c>
      <c r="BG46">
        <f>IFERROR('Ashed teabags wet'!C44,"")</f>
        <v>197</v>
      </c>
      <c r="BH46">
        <f>IFERROR('Ashed teabags wet'!C461,"")</f>
        <v>70</v>
      </c>
      <c r="BI46" t="str">
        <f>'Ashed teabags wet'!AB44</f>
        <v/>
      </c>
      <c r="BJ46">
        <f>'Ashed teabags wet'!AC44</f>
        <v>196</v>
      </c>
      <c r="BK46">
        <f>'Ashed teabags wet'!AD461</f>
        <v>69</v>
      </c>
      <c r="BL46" t="str">
        <f>'Ashed teabags wet'!AE461</f>
        <v/>
      </c>
      <c r="BN46" t="str">
        <f t="shared" si="21"/>
        <v>G387</v>
      </c>
      <c r="BO46" t="b">
        <f t="shared" si="23"/>
        <v>1</v>
      </c>
    </row>
    <row r="47" spans="2:68" ht="12" customHeight="1">
      <c r="B47" t="str">
        <f>TBIDry!H119</f>
        <v>G115</v>
      </c>
      <c r="C47" t="str">
        <f>TBIDry!I119</f>
        <v>R783</v>
      </c>
      <c r="D47" t="b">
        <f t="shared" si="0"/>
        <v>0</v>
      </c>
      <c r="E47" t="b">
        <f t="shared" si="1"/>
        <v>0</v>
      </c>
      <c r="G47" t="str">
        <f>TBIWet!H119</f>
        <v>G774</v>
      </c>
      <c r="H47" t="str">
        <f>TBIWet!I119</f>
        <v>R166</v>
      </c>
      <c r="I47" t="b">
        <f t="shared" si="2"/>
        <v>0</v>
      </c>
      <c r="J47" t="b">
        <f t="shared" si="22"/>
        <v>0</v>
      </c>
      <c r="L47" t="str">
        <f>'Both teabags AfterWet'!A46</f>
        <v>G386</v>
      </c>
      <c r="M47" t="str">
        <f>'Both teabags AfterWet'!A464</f>
        <v>R148</v>
      </c>
      <c r="N47" t="b">
        <f t="shared" si="3"/>
        <v>0</v>
      </c>
      <c r="O47" t="b">
        <f t="shared" si="4"/>
        <v>0</v>
      </c>
      <c r="P47">
        <f>IFERROR('Both teabags AfterWet'!B46,"")</f>
        <v>69</v>
      </c>
      <c r="Q47" t="str">
        <f>'Both teabags AfterWet'!B464</f>
        <v>n.a</v>
      </c>
      <c r="S47" s="401" t="b">
        <f t="shared" si="5"/>
        <v>0</v>
      </c>
      <c r="T47" s="401" t="b">
        <f t="shared" si="6"/>
        <v>0</v>
      </c>
      <c r="V47" t="str">
        <f>'Both teabags AfterDry'!A46</f>
        <v>G153</v>
      </c>
      <c r="W47" t="str">
        <f>'Both teabags AfterDry'!A383</f>
        <v>R229</v>
      </c>
      <c r="X47" t="b">
        <f t="shared" si="7"/>
        <v>0</v>
      </c>
      <c r="Y47" t="b">
        <f t="shared" si="8"/>
        <v>0</v>
      </c>
      <c r="AA47" t="str">
        <f>'Green_rooibos initial weight'!A48</f>
        <v>G44</v>
      </c>
      <c r="AB47" t="str">
        <f>'Green_rooibos initial weight'!A952</f>
        <v>R44</v>
      </c>
      <c r="AC47" t="b">
        <f t="shared" si="9"/>
        <v>0</v>
      </c>
      <c r="AD47" t="b">
        <f t="shared" si="10"/>
        <v>0</v>
      </c>
      <c r="AG47" t="str">
        <f>'WetLitterbags placem_collection'!K46</f>
        <v>G774</v>
      </c>
      <c r="AH47" t="str">
        <f>'WetLitterbags placem_collection'!M46</f>
        <v>R166</v>
      </c>
      <c r="AI47" t="b">
        <f t="shared" si="11"/>
        <v>0</v>
      </c>
      <c r="AJ47" t="b">
        <f t="shared" si="12"/>
        <v>0</v>
      </c>
      <c r="AK47">
        <f>'WetLitterbags placem_collection'!A46</f>
        <v>44</v>
      </c>
      <c r="AL47">
        <f>'WetLitterbags placem_collection'!A46</f>
        <v>44</v>
      </c>
      <c r="AN47">
        <f>IF('Dry_Litterbag Placem_Collection'!J46=0,"",'Dry_Litterbag Placem_Collection'!J46)</f>
        <v>115</v>
      </c>
      <c r="AO47">
        <f>IF('Dry_Litterbag Placem_Collection'!K46=0,"",'Dry_Litterbag Placem_Collection'!K46)</f>
        <v>783</v>
      </c>
      <c r="AP47" t="b">
        <f t="shared" si="13"/>
        <v>0</v>
      </c>
      <c r="AQ47" t="b">
        <f t="shared" si="14"/>
        <v>0</v>
      </c>
      <c r="AT47" t="str">
        <f>'Ashed teabags dry'!A45</f>
        <v>G152</v>
      </c>
      <c r="AU47" t="str">
        <f>'Ashed teabags dry'!A382</f>
        <v>R227</v>
      </c>
      <c r="AV47" t="b">
        <f t="shared" si="15"/>
        <v>0</v>
      </c>
      <c r="AW47" t="b">
        <f t="shared" si="16"/>
        <v>0</v>
      </c>
      <c r="AZ47" s="401" t="b">
        <f t="shared" si="17"/>
        <v>0</v>
      </c>
      <c r="BA47" s="401" t="b">
        <f t="shared" si="18"/>
        <v>0</v>
      </c>
      <c r="BC47" t="str">
        <f>'Ashed teabags wet'!A45</f>
        <v>G389</v>
      </c>
      <c r="BD47" t="str">
        <f>'Ashed teabags wet'!A462</f>
        <v>R154</v>
      </c>
      <c r="BE47" t="b">
        <f t="shared" si="19"/>
        <v>0</v>
      </c>
      <c r="BF47" t="b">
        <f t="shared" si="20"/>
        <v>0</v>
      </c>
      <c r="BG47">
        <f>IFERROR('Ashed teabags wet'!C45,"")</f>
        <v>8</v>
      </c>
      <c r="BH47">
        <f>IFERROR('Ashed teabags wet'!C462,"")</f>
        <v>16</v>
      </c>
      <c r="BI47">
        <f>'Ashed teabags wet'!AB45</f>
        <v>7</v>
      </c>
      <c r="BJ47" t="str">
        <f>'Ashed teabags wet'!AC45</f>
        <v/>
      </c>
      <c r="BK47" t="str">
        <f>'Ashed teabags wet'!AD462</f>
        <v/>
      </c>
      <c r="BL47">
        <f>'Ashed teabags wet'!AE462</f>
        <v>15</v>
      </c>
      <c r="BN47" t="str">
        <f t="shared" si="21"/>
        <v>G388</v>
      </c>
      <c r="BO47" t="b">
        <f t="shared" si="23"/>
        <v>1</v>
      </c>
    </row>
    <row r="48" spans="2:68" ht="12" customHeight="1">
      <c r="B48" t="str">
        <f>TBIDry!H120</f>
        <v>G480</v>
      </c>
      <c r="C48" t="str">
        <f>TBIDry!I120</f>
        <v>R827</v>
      </c>
      <c r="D48" t="b">
        <f t="shared" si="0"/>
        <v>0</v>
      </c>
      <c r="E48" t="b">
        <f t="shared" si="1"/>
        <v>0</v>
      </c>
      <c r="G48" t="str">
        <f>TBIWet!H120</f>
        <v>G519</v>
      </c>
      <c r="H48" t="str">
        <f>TBIWet!I120</f>
        <v>R469</v>
      </c>
      <c r="I48" t="b">
        <f t="shared" si="2"/>
        <v>0</v>
      </c>
      <c r="J48" t="b">
        <f t="shared" si="22"/>
        <v>0</v>
      </c>
      <c r="L48" t="str">
        <f>'Both teabags AfterWet'!A47</f>
        <v>G387</v>
      </c>
      <c r="M48" t="str">
        <f>'Both teabags AfterWet'!A465</f>
        <v>R149</v>
      </c>
      <c r="N48" t="b">
        <f t="shared" si="3"/>
        <v>0</v>
      </c>
      <c r="O48" t="b">
        <f t="shared" si="4"/>
        <v>0</v>
      </c>
      <c r="P48">
        <f>IFERROR('Both teabags AfterWet'!B47,"")</f>
        <v>63</v>
      </c>
      <c r="Q48">
        <f>'Both teabags AfterWet'!B465</f>
        <v>206</v>
      </c>
      <c r="S48" s="401" t="b">
        <f t="shared" si="5"/>
        <v>0</v>
      </c>
      <c r="T48" s="401" t="b">
        <f t="shared" si="6"/>
        <v>0</v>
      </c>
      <c r="V48" t="str">
        <f>'Both teabags AfterDry'!A47</f>
        <v>G155</v>
      </c>
      <c r="W48" t="str">
        <f>'Both teabags AfterDry'!A384</f>
        <v>R230</v>
      </c>
      <c r="X48" t="b">
        <f t="shared" si="7"/>
        <v>0</v>
      </c>
      <c r="Y48" t="b">
        <f t="shared" si="8"/>
        <v>0</v>
      </c>
      <c r="AA48" t="str">
        <f>'Green_rooibos initial weight'!A49</f>
        <v>G45</v>
      </c>
      <c r="AB48" t="str">
        <f>'Green_rooibos initial weight'!A953</f>
        <v>R45</v>
      </c>
      <c r="AC48" t="b">
        <f t="shared" si="9"/>
        <v>0</v>
      </c>
      <c r="AD48" t="b">
        <f t="shared" si="10"/>
        <v>0</v>
      </c>
      <c r="AG48" t="str">
        <f>'WetLitterbags placem_collection'!K47</f>
        <v>G519</v>
      </c>
      <c r="AH48" t="str">
        <f>'WetLitterbags placem_collection'!M47</f>
        <v>R469</v>
      </c>
      <c r="AI48" t="b">
        <f t="shared" si="11"/>
        <v>0</v>
      </c>
      <c r="AJ48" t="b">
        <f t="shared" si="12"/>
        <v>0</v>
      </c>
      <c r="AK48">
        <f>'WetLitterbags placem_collection'!A47</f>
        <v>45</v>
      </c>
      <c r="AL48">
        <f>'WetLitterbags placem_collection'!A47</f>
        <v>45</v>
      </c>
      <c r="AN48">
        <f>IF('Dry_Litterbag Placem_Collection'!J47=0,"",'Dry_Litterbag Placem_Collection'!J47)</f>
        <v>480</v>
      </c>
      <c r="AO48">
        <f>IF('Dry_Litterbag Placem_Collection'!K47=0,"",'Dry_Litterbag Placem_Collection'!K47)</f>
        <v>827</v>
      </c>
      <c r="AP48" t="b">
        <f t="shared" si="13"/>
        <v>0</v>
      </c>
      <c r="AQ48" t="b">
        <f t="shared" si="14"/>
        <v>0</v>
      </c>
      <c r="AT48" t="str">
        <f>'Ashed teabags dry'!A46</f>
        <v>G153</v>
      </c>
      <c r="AU48" t="str">
        <f>'Ashed teabags dry'!A383</f>
        <v>R229</v>
      </c>
      <c r="AV48" t="b">
        <f t="shared" si="15"/>
        <v>0</v>
      </c>
      <c r="AW48" t="b">
        <f t="shared" si="16"/>
        <v>0</v>
      </c>
      <c r="AZ48" s="401" t="b">
        <f t="shared" si="17"/>
        <v>0</v>
      </c>
      <c r="BA48" s="401" t="b">
        <f t="shared" si="18"/>
        <v>0</v>
      </c>
      <c r="BC48" t="str">
        <f>'Ashed teabags wet'!A46</f>
        <v>G390</v>
      </c>
      <c r="BD48" t="str">
        <f>'Ashed teabags wet'!A463</f>
        <v>R155</v>
      </c>
      <c r="BE48" t="b">
        <f t="shared" si="19"/>
        <v>0</v>
      </c>
      <c r="BF48" t="b">
        <f t="shared" si="20"/>
        <v>0</v>
      </c>
      <c r="BG48">
        <f>IFERROR('Ashed teabags wet'!C46,"")</f>
        <v>164</v>
      </c>
      <c r="BH48">
        <f>IFERROR('Ashed teabags wet'!C463,"")</f>
        <v>49</v>
      </c>
      <c r="BI48" t="str">
        <f>'Ashed teabags wet'!AB46</f>
        <v/>
      </c>
      <c r="BJ48">
        <f>'Ashed teabags wet'!AC46</f>
        <v>163</v>
      </c>
      <c r="BK48" t="str">
        <f>'Ashed teabags wet'!AD463</f>
        <v/>
      </c>
      <c r="BL48">
        <f>'Ashed teabags wet'!AE463</f>
        <v>48</v>
      </c>
      <c r="BN48" t="str">
        <f t="shared" si="21"/>
        <v>G389</v>
      </c>
      <c r="BO48" t="b">
        <f t="shared" si="23"/>
        <v>1</v>
      </c>
    </row>
    <row r="49" spans="2:67" ht="12" customHeight="1">
      <c r="B49" t="str">
        <f>TBIDry!H121</f>
        <v/>
      </c>
      <c r="C49" t="str">
        <f>TBIDry!I121</f>
        <v/>
      </c>
      <c r="D49" t="b">
        <f t="shared" si="0"/>
        <v>1</v>
      </c>
      <c r="E49" t="b">
        <f t="shared" si="1"/>
        <v>1</v>
      </c>
      <c r="G49" t="str">
        <f>TBIWet!H121</f>
        <v>G635</v>
      </c>
      <c r="H49" t="str">
        <f>TBIWet!I121</f>
        <v>R86</v>
      </c>
      <c r="I49" t="b">
        <f t="shared" si="2"/>
        <v>0</v>
      </c>
      <c r="J49" t="b">
        <f t="shared" si="22"/>
        <v>0</v>
      </c>
      <c r="L49" t="str">
        <f>'Both teabags AfterWet'!A48</f>
        <v>G388</v>
      </c>
      <c r="M49" t="str">
        <f>'Both teabags AfterWet'!A466</f>
        <v>R15</v>
      </c>
      <c r="N49" t="b">
        <f t="shared" si="3"/>
        <v>0</v>
      </c>
      <c r="O49" t="b">
        <f t="shared" si="4"/>
        <v>0</v>
      </c>
      <c r="P49" t="str">
        <f>IFERROR('Both teabags AfterWet'!B48,"")</f>
        <v>n.a</v>
      </c>
      <c r="Q49">
        <f>'Both teabags AfterWet'!B466</f>
        <v>144</v>
      </c>
      <c r="S49" s="401" t="b">
        <f t="shared" si="5"/>
        <v>0</v>
      </c>
      <c r="T49" s="401" t="b">
        <f t="shared" si="6"/>
        <v>0</v>
      </c>
      <c r="V49" t="str">
        <f>'Both teabags AfterDry'!A48</f>
        <v>G156</v>
      </c>
      <c r="W49" t="str">
        <f>'Both teabags AfterDry'!A385</f>
        <v>R233</v>
      </c>
      <c r="X49" t="b">
        <f t="shared" si="7"/>
        <v>0</v>
      </c>
      <c r="Y49" t="b">
        <f t="shared" si="8"/>
        <v>0</v>
      </c>
      <c r="AA49" t="str">
        <f>'Green_rooibos initial weight'!A50</f>
        <v>G46</v>
      </c>
      <c r="AB49" t="str">
        <f>'Green_rooibos initial weight'!A954</f>
        <v>R46</v>
      </c>
      <c r="AC49" t="b">
        <f t="shared" si="9"/>
        <v>0</v>
      </c>
      <c r="AD49" t="b">
        <f t="shared" si="10"/>
        <v>0</v>
      </c>
      <c r="AG49" t="str">
        <f>'WetLitterbags placem_collection'!K48</f>
        <v>G635</v>
      </c>
      <c r="AH49" t="str">
        <f>'WetLitterbags placem_collection'!M48</f>
        <v>R86</v>
      </c>
      <c r="AI49" t="b">
        <f t="shared" si="11"/>
        <v>0</v>
      </c>
      <c r="AJ49" t="b">
        <f t="shared" si="12"/>
        <v>0</v>
      </c>
      <c r="AK49">
        <f>'WetLitterbags placem_collection'!A48</f>
        <v>46</v>
      </c>
      <c r="AL49">
        <f>'WetLitterbags placem_collection'!A48</f>
        <v>46</v>
      </c>
      <c r="AN49" t="str">
        <f>IF('Dry_Litterbag Placem_Collection'!J48=0,"",'Dry_Litterbag Placem_Collection'!J48)</f>
        <v/>
      </c>
      <c r="AO49" t="str">
        <f>IF('Dry_Litterbag Placem_Collection'!K48=0,"",'Dry_Litterbag Placem_Collection'!K48)</f>
        <v/>
      </c>
      <c r="AP49" t="b">
        <f t="shared" si="13"/>
        <v>1</v>
      </c>
      <c r="AQ49" t="b">
        <f t="shared" si="14"/>
        <v>1</v>
      </c>
      <c r="AT49" t="str">
        <f>'Ashed teabags dry'!A47</f>
        <v>G155</v>
      </c>
      <c r="AU49" t="str">
        <f>'Ashed teabags dry'!A384</f>
        <v>R230</v>
      </c>
      <c r="AV49" t="b">
        <f t="shared" si="15"/>
        <v>0</v>
      </c>
      <c r="AW49" t="b">
        <f t="shared" si="16"/>
        <v>0</v>
      </c>
      <c r="AZ49" s="401" t="b">
        <f t="shared" si="17"/>
        <v>0</v>
      </c>
      <c r="BA49" s="401" t="b">
        <f t="shared" si="18"/>
        <v>0</v>
      </c>
      <c r="BC49" t="str">
        <f>'Ashed teabags wet'!A47</f>
        <v>G391</v>
      </c>
      <c r="BD49" t="str">
        <f>'Ashed teabags wet'!A464</f>
        <v>R156</v>
      </c>
      <c r="BE49" t="b">
        <f t="shared" si="19"/>
        <v>0</v>
      </c>
      <c r="BF49" t="b">
        <f t="shared" si="20"/>
        <v>0</v>
      </c>
      <c r="BG49">
        <f>IFERROR('Ashed teabags wet'!C47,"")</f>
        <v>61</v>
      </c>
      <c r="BH49">
        <f>IFERROR('Ashed teabags wet'!C464,"")</f>
        <v>32</v>
      </c>
      <c r="BI49" t="str">
        <f>'Ashed teabags wet'!AB47</f>
        <v/>
      </c>
      <c r="BJ49">
        <f>'Ashed teabags wet'!AC47</f>
        <v>60</v>
      </c>
      <c r="BK49" t="str">
        <f>'Ashed teabags wet'!AD464</f>
        <v/>
      </c>
      <c r="BL49">
        <f>'Ashed teabags wet'!AE464</f>
        <v>31</v>
      </c>
      <c r="BN49" t="str">
        <f t="shared" si="21"/>
        <v>G390</v>
      </c>
      <c r="BO49" t="b">
        <f t="shared" si="23"/>
        <v>1</v>
      </c>
    </row>
    <row r="50" spans="2:67" ht="12" customHeight="1">
      <c r="B50" t="str">
        <f>TBIDry!H122</f>
        <v>G110</v>
      </c>
      <c r="C50" t="str">
        <f>TBIDry!I122</f>
        <v>R831</v>
      </c>
      <c r="D50" t="b">
        <f t="shared" si="0"/>
        <v>0</v>
      </c>
      <c r="E50" t="b">
        <f t="shared" si="1"/>
        <v>0</v>
      </c>
      <c r="G50" t="str">
        <f>TBIWet!H122</f>
        <v>G539</v>
      </c>
      <c r="H50" t="str">
        <f>TBIWet!I122</f>
        <v>R146</v>
      </c>
      <c r="I50" t="b">
        <f t="shared" si="2"/>
        <v>0</v>
      </c>
      <c r="J50" t="b">
        <f t="shared" si="22"/>
        <v>0</v>
      </c>
      <c r="L50" t="str">
        <f>'Both teabags AfterWet'!A49</f>
        <v>G389</v>
      </c>
      <c r="M50" t="str">
        <f>'Both teabags AfterWet'!A467</f>
        <v>R150</v>
      </c>
      <c r="N50" t="b">
        <f t="shared" si="3"/>
        <v>0</v>
      </c>
      <c r="O50" t="b">
        <f t="shared" si="4"/>
        <v>0</v>
      </c>
      <c r="P50" t="str">
        <f>IFERROR('Both teabags AfterWet'!B49,"")</f>
        <v>n.a</v>
      </c>
      <c r="Q50" t="str">
        <f>'Both teabags AfterWet'!B467</f>
        <v>n.a</v>
      </c>
      <c r="S50" s="401" t="b">
        <f t="shared" si="5"/>
        <v>0</v>
      </c>
      <c r="T50" s="401" t="b">
        <f t="shared" si="6"/>
        <v>0</v>
      </c>
      <c r="V50" t="str">
        <f>'Both teabags AfterDry'!A49</f>
        <v>G157</v>
      </c>
      <c r="W50" t="str">
        <f>'Both teabags AfterDry'!A386</f>
        <v>R236</v>
      </c>
      <c r="X50" t="b">
        <f t="shared" si="7"/>
        <v>0</v>
      </c>
      <c r="Y50" t="b">
        <f t="shared" si="8"/>
        <v>0</v>
      </c>
      <c r="AA50" t="str">
        <f>'Green_rooibos initial weight'!A51</f>
        <v>G47</v>
      </c>
      <c r="AB50" t="str">
        <f>'Green_rooibos initial weight'!A955</f>
        <v>R47</v>
      </c>
      <c r="AC50" t="b">
        <f t="shared" si="9"/>
        <v>0</v>
      </c>
      <c r="AD50" t="b">
        <f t="shared" si="10"/>
        <v>0</v>
      </c>
      <c r="AG50" t="str">
        <f>'WetLitterbags placem_collection'!K49</f>
        <v>G539</v>
      </c>
      <c r="AH50" t="str">
        <f>'WetLitterbags placem_collection'!M49</f>
        <v>R146</v>
      </c>
      <c r="AI50" t="b">
        <f t="shared" si="11"/>
        <v>0</v>
      </c>
      <c r="AJ50" t="b">
        <f t="shared" si="12"/>
        <v>0</v>
      </c>
      <c r="AK50">
        <f>'WetLitterbags placem_collection'!A49</f>
        <v>47</v>
      </c>
      <c r="AL50">
        <f>'WetLitterbags placem_collection'!A49</f>
        <v>47</v>
      </c>
      <c r="AN50">
        <f>IF('Dry_Litterbag Placem_Collection'!J49=0,"",'Dry_Litterbag Placem_Collection'!J49)</f>
        <v>110</v>
      </c>
      <c r="AO50">
        <f>IF('Dry_Litterbag Placem_Collection'!K49=0,"",'Dry_Litterbag Placem_Collection'!K49)</f>
        <v>831</v>
      </c>
      <c r="AP50" t="b">
        <f t="shared" si="13"/>
        <v>0</v>
      </c>
      <c r="AQ50" t="b">
        <f t="shared" si="14"/>
        <v>0</v>
      </c>
      <c r="AT50" t="str">
        <f>'Ashed teabags dry'!A48</f>
        <v>G156</v>
      </c>
      <c r="AU50" t="str">
        <f>'Ashed teabags dry'!A385</f>
        <v>R231</v>
      </c>
      <c r="AV50" t="b">
        <f t="shared" si="15"/>
        <v>0</v>
      </c>
      <c r="AW50" t="b">
        <f t="shared" si="16"/>
        <v>0</v>
      </c>
      <c r="AZ50" s="401" t="b">
        <f t="shared" si="17"/>
        <v>0</v>
      </c>
      <c r="BA50" s="401" t="b">
        <f t="shared" si="18"/>
        <v>0</v>
      </c>
      <c r="BC50" t="str">
        <f>'Ashed teabags wet'!A48</f>
        <v>G393</v>
      </c>
      <c r="BD50" t="str">
        <f>'Ashed teabags wet'!A465</f>
        <v>R157</v>
      </c>
      <c r="BE50" t="b">
        <f t="shared" si="19"/>
        <v>0</v>
      </c>
      <c r="BF50" t="b">
        <f t="shared" si="20"/>
        <v>0</v>
      </c>
      <c r="BG50">
        <f>IFERROR('Ashed teabags wet'!C48,"")</f>
        <v>190</v>
      </c>
      <c r="BH50">
        <f>IFERROR('Ashed teabags wet'!C465,"")</f>
        <v>172</v>
      </c>
      <c r="BI50" t="str">
        <f>'Ashed teabags wet'!AB48</f>
        <v/>
      </c>
      <c r="BJ50">
        <f>'Ashed teabags wet'!AC48</f>
        <v>189</v>
      </c>
      <c r="BK50">
        <f>'Ashed teabags wet'!AD465</f>
        <v>171</v>
      </c>
      <c r="BL50" t="str">
        <f>'Ashed teabags wet'!AE465</f>
        <v/>
      </c>
      <c r="BN50" t="str">
        <f t="shared" si="21"/>
        <v>G391</v>
      </c>
      <c r="BO50" t="b">
        <f t="shared" si="23"/>
        <v>1</v>
      </c>
    </row>
    <row r="51" spans="2:67" ht="12" customHeight="1">
      <c r="B51" t="str">
        <f>TBIDry!H123</f>
        <v>G233</v>
      </c>
      <c r="C51" t="str">
        <f>TBIDry!I123</f>
        <v>R828</v>
      </c>
      <c r="D51" t="b">
        <f t="shared" si="0"/>
        <v>0</v>
      </c>
      <c r="E51" t="b">
        <f t="shared" si="1"/>
        <v>0</v>
      </c>
      <c r="G51" t="str">
        <f>TBIWet!H123</f>
        <v>G679</v>
      </c>
      <c r="H51" t="str">
        <f>TBIWet!I123</f>
        <v>R72</v>
      </c>
      <c r="I51" t="b">
        <f t="shared" si="2"/>
        <v>0</v>
      </c>
      <c r="J51" t="b">
        <f t="shared" si="22"/>
        <v>0</v>
      </c>
      <c r="L51" t="str">
        <f>'Both teabags AfterWet'!A50</f>
        <v>G390</v>
      </c>
      <c r="M51" t="str">
        <f>'Both teabags AfterWet'!A468</f>
        <v>R151</v>
      </c>
      <c r="N51" t="b">
        <f t="shared" si="3"/>
        <v>0</v>
      </c>
      <c r="O51" t="b">
        <f t="shared" si="4"/>
        <v>0</v>
      </c>
      <c r="P51">
        <f>IFERROR('Both teabags AfterWet'!B50,"")</f>
        <v>64</v>
      </c>
      <c r="Q51">
        <f>'Both teabags AfterWet'!B468</f>
        <v>70</v>
      </c>
      <c r="S51" s="401" t="b">
        <f t="shared" si="5"/>
        <v>0</v>
      </c>
      <c r="T51" s="401" t="b">
        <f t="shared" si="6"/>
        <v>0</v>
      </c>
      <c r="V51" t="str">
        <f>'Both teabags AfterDry'!A50</f>
        <v>G158</v>
      </c>
      <c r="W51" t="str">
        <f>'Both teabags AfterDry'!A387</f>
        <v>R237</v>
      </c>
      <c r="X51" t="b">
        <f t="shared" si="7"/>
        <v>0</v>
      </c>
      <c r="Y51" t="b">
        <f t="shared" si="8"/>
        <v>0</v>
      </c>
      <c r="AA51" t="str">
        <f>'Green_rooibos initial weight'!A52</f>
        <v>G48</v>
      </c>
      <c r="AB51" t="str">
        <f>'Green_rooibos initial weight'!A956</f>
        <v>R48</v>
      </c>
      <c r="AC51" t="b">
        <f t="shared" si="9"/>
        <v>0</v>
      </c>
      <c r="AD51" t="b">
        <f t="shared" si="10"/>
        <v>0</v>
      </c>
      <c r="AG51" t="str">
        <f>'WetLitterbags placem_collection'!K50</f>
        <v>G679</v>
      </c>
      <c r="AH51" t="str">
        <f>'WetLitterbags placem_collection'!M50</f>
        <v>R72</v>
      </c>
      <c r="AI51" t="b">
        <f t="shared" si="11"/>
        <v>0</v>
      </c>
      <c r="AJ51" t="b">
        <f t="shared" si="12"/>
        <v>0</v>
      </c>
      <c r="AK51">
        <f>'WetLitterbags placem_collection'!A50</f>
        <v>48</v>
      </c>
      <c r="AL51">
        <f>'WetLitterbags placem_collection'!A50</f>
        <v>48</v>
      </c>
      <c r="AN51">
        <f>IF('Dry_Litterbag Placem_Collection'!J50=0,"",'Dry_Litterbag Placem_Collection'!J50)</f>
        <v>233</v>
      </c>
      <c r="AO51">
        <f>IF('Dry_Litterbag Placem_Collection'!K50=0,"",'Dry_Litterbag Placem_Collection'!K50)</f>
        <v>828</v>
      </c>
      <c r="AP51" t="b">
        <f t="shared" si="13"/>
        <v>0</v>
      </c>
      <c r="AQ51" t="b">
        <f t="shared" si="14"/>
        <v>0</v>
      </c>
      <c r="AT51" t="str">
        <f>'Ashed teabags dry'!A49</f>
        <v>G157</v>
      </c>
      <c r="AU51" t="str">
        <f>'Ashed teabags dry'!A386</f>
        <v>R233</v>
      </c>
      <c r="AV51" t="b">
        <f t="shared" si="15"/>
        <v>0</v>
      </c>
      <c r="AW51" t="b">
        <f t="shared" si="16"/>
        <v>0</v>
      </c>
      <c r="AZ51" s="401" t="b">
        <f t="shared" si="17"/>
        <v>0</v>
      </c>
      <c r="BA51" s="401" t="b">
        <f t="shared" si="18"/>
        <v>0</v>
      </c>
      <c r="BC51" t="str">
        <f>'Ashed teabags wet'!A49</f>
        <v>G403</v>
      </c>
      <c r="BD51" t="str">
        <f>'Ashed teabags wet'!A466</f>
        <v>R159</v>
      </c>
      <c r="BE51" t="b">
        <f t="shared" si="19"/>
        <v>0</v>
      </c>
      <c r="BF51" t="b">
        <f t="shared" si="20"/>
        <v>0</v>
      </c>
      <c r="BG51">
        <f>IFERROR('Ashed teabags wet'!C49,"")</f>
        <v>182</v>
      </c>
      <c r="BH51">
        <f>IFERROR('Ashed teabags wet'!C466,"")</f>
        <v>64</v>
      </c>
      <c r="BI51">
        <f>'Ashed teabags wet'!AB49</f>
        <v>181</v>
      </c>
      <c r="BJ51" t="str">
        <f>'Ashed teabags wet'!AC49</f>
        <v/>
      </c>
      <c r="BK51">
        <f>'Ashed teabags wet'!AD466</f>
        <v>63</v>
      </c>
      <c r="BL51" t="str">
        <f>'Ashed teabags wet'!AE466</f>
        <v/>
      </c>
      <c r="BN51" t="str">
        <f t="shared" si="21"/>
        <v>G393</v>
      </c>
      <c r="BO51" t="b">
        <f t="shared" si="23"/>
        <v>1</v>
      </c>
    </row>
    <row r="52" spans="2:67" ht="12" customHeight="1">
      <c r="B52" t="str">
        <f>TBIDry!H124</f>
        <v>G54</v>
      </c>
      <c r="C52" t="str">
        <f>TBIDry!I124</f>
        <v>R805</v>
      </c>
      <c r="D52" t="b">
        <f t="shared" si="0"/>
        <v>0</v>
      </c>
      <c r="E52" t="b">
        <f t="shared" si="1"/>
        <v>0</v>
      </c>
      <c r="G52" t="str">
        <f>TBIWet!H124</f>
        <v>G346</v>
      </c>
      <c r="H52" t="str">
        <f>TBIWet!I124</f>
        <v>R28</v>
      </c>
      <c r="I52" t="b">
        <f t="shared" si="2"/>
        <v>0</v>
      </c>
      <c r="J52" t="b">
        <f t="shared" si="22"/>
        <v>0</v>
      </c>
      <c r="L52" t="str">
        <f>'Both teabags AfterWet'!A51</f>
        <v>G391</v>
      </c>
      <c r="M52" t="str">
        <f>'Both teabags AfterWet'!A469</f>
        <v>R153</v>
      </c>
      <c r="N52" t="b">
        <f t="shared" si="3"/>
        <v>0</v>
      </c>
      <c r="O52" t="b">
        <f t="shared" si="4"/>
        <v>0</v>
      </c>
      <c r="P52">
        <f>IFERROR('Both teabags AfterWet'!B51,"")</f>
        <v>61</v>
      </c>
      <c r="Q52">
        <f>'Both teabags AfterWet'!B469</f>
        <v>34</v>
      </c>
      <c r="S52" s="401" t="b">
        <f t="shared" si="5"/>
        <v>0</v>
      </c>
      <c r="T52" s="401" t="b">
        <f t="shared" si="6"/>
        <v>0</v>
      </c>
      <c r="V52" t="str">
        <f>'Both teabags AfterDry'!A51</f>
        <v>G159</v>
      </c>
      <c r="W52" t="str">
        <f>'Both teabags AfterDry'!A388</f>
        <v>R238</v>
      </c>
      <c r="X52" t="b">
        <f t="shared" si="7"/>
        <v>0</v>
      </c>
      <c r="Y52" t="b">
        <f t="shared" si="8"/>
        <v>0</v>
      </c>
      <c r="AA52" t="str">
        <f>'Green_rooibos initial weight'!A53</f>
        <v>G49</v>
      </c>
      <c r="AB52" t="str">
        <f>'Green_rooibos initial weight'!A957</f>
        <v>R49</v>
      </c>
      <c r="AC52" t="b">
        <f t="shared" si="9"/>
        <v>0</v>
      </c>
      <c r="AD52" t="b">
        <f t="shared" si="10"/>
        <v>0</v>
      </c>
      <c r="AG52" t="str">
        <f>'WetLitterbags placem_collection'!K51</f>
        <v>G346</v>
      </c>
      <c r="AH52" t="str">
        <f>'WetLitterbags placem_collection'!M51</f>
        <v>R28</v>
      </c>
      <c r="AI52" t="b">
        <f t="shared" si="11"/>
        <v>0</v>
      </c>
      <c r="AJ52" t="b">
        <f t="shared" si="12"/>
        <v>0</v>
      </c>
      <c r="AK52">
        <f>'WetLitterbags placem_collection'!A51</f>
        <v>49</v>
      </c>
      <c r="AL52">
        <f>'WetLitterbags placem_collection'!A51</f>
        <v>49</v>
      </c>
      <c r="AN52">
        <f>IF('Dry_Litterbag Placem_Collection'!J51=0,"",'Dry_Litterbag Placem_Collection'!J51)</f>
        <v>54</v>
      </c>
      <c r="AO52">
        <f>IF('Dry_Litterbag Placem_Collection'!K51=0,"",'Dry_Litterbag Placem_Collection'!K51)</f>
        <v>805</v>
      </c>
      <c r="AP52" t="b">
        <f t="shared" si="13"/>
        <v>0</v>
      </c>
      <c r="AQ52" t="b">
        <f t="shared" si="14"/>
        <v>0</v>
      </c>
      <c r="AT52" t="str">
        <f>'Ashed teabags dry'!A50</f>
        <v>G158</v>
      </c>
      <c r="AU52" t="str">
        <f>'Ashed teabags dry'!A387</f>
        <v>R236</v>
      </c>
      <c r="AV52" t="b">
        <f t="shared" si="15"/>
        <v>0</v>
      </c>
      <c r="AW52" t="b">
        <f t="shared" si="16"/>
        <v>0</v>
      </c>
      <c r="AZ52" s="401" t="b">
        <f t="shared" si="17"/>
        <v>0</v>
      </c>
      <c r="BA52" s="401" t="b">
        <f t="shared" si="18"/>
        <v>0</v>
      </c>
      <c r="BC52" t="str">
        <f>'Ashed teabags wet'!A50</f>
        <v>G404</v>
      </c>
      <c r="BD52" t="str">
        <f>'Ashed teabags wet'!A467</f>
        <v>R16</v>
      </c>
      <c r="BE52" t="b">
        <f t="shared" si="19"/>
        <v>0</v>
      </c>
      <c r="BF52" t="b">
        <f t="shared" si="20"/>
        <v>0</v>
      </c>
      <c r="BG52">
        <f>IFERROR('Ashed teabags wet'!C50,"")</f>
        <v>31</v>
      </c>
      <c r="BH52">
        <f>IFERROR('Ashed teabags wet'!C467,"")</f>
        <v>158</v>
      </c>
      <c r="BI52">
        <f>'Ashed teabags wet'!AB50</f>
        <v>30</v>
      </c>
      <c r="BJ52" t="str">
        <f>'Ashed teabags wet'!AC50</f>
        <v/>
      </c>
      <c r="BK52">
        <f>'Ashed teabags wet'!AD467</f>
        <v>157</v>
      </c>
      <c r="BL52" t="str">
        <f>'Ashed teabags wet'!AE467</f>
        <v/>
      </c>
      <c r="BN52" t="str">
        <f t="shared" si="21"/>
        <v>G403</v>
      </c>
      <c r="BO52" t="b">
        <f t="shared" si="23"/>
        <v>1</v>
      </c>
    </row>
    <row r="53" spans="2:67" ht="12" customHeight="1">
      <c r="B53" t="str">
        <f>TBIDry!H125</f>
        <v>G276</v>
      </c>
      <c r="C53" t="str">
        <f>TBIDry!I125</f>
        <v>R754</v>
      </c>
      <c r="D53" t="b">
        <f t="shared" si="0"/>
        <v>0</v>
      </c>
      <c r="E53" t="b">
        <f t="shared" si="1"/>
        <v>0</v>
      </c>
      <c r="G53" t="str">
        <f>TBIWet!H125</f>
        <v>G418</v>
      </c>
      <c r="H53" t="str">
        <f>TBIWet!I125</f>
        <v>R5</v>
      </c>
      <c r="I53" t="b">
        <f t="shared" si="2"/>
        <v>0</v>
      </c>
      <c r="J53" t="b">
        <f t="shared" si="22"/>
        <v>0</v>
      </c>
      <c r="L53" t="str">
        <f>'Both teabags AfterWet'!A52</f>
        <v>G393</v>
      </c>
      <c r="M53" t="str">
        <f>'Both teabags AfterWet'!A470</f>
        <v>R154</v>
      </c>
      <c r="N53" t="b">
        <f t="shared" si="3"/>
        <v>0</v>
      </c>
      <c r="O53" t="b">
        <f t="shared" si="4"/>
        <v>0</v>
      </c>
      <c r="P53" t="str">
        <f>IFERROR('Both teabags AfterWet'!B52,"")</f>
        <v>n.a</v>
      </c>
      <c r="Q53" t="str">
        <f>'Both teabags AfterWet'!B470</f>
        <v>n.a</v>
      </c>
      <c r="S53" s="401" t="b">
        <f t="shared" si="5"/>
        <v>0</v>
      </c>
      <c r="T53" s="401" t="b">
        <f t="shared" si="6"/>
        <v>0</v>
      </c>
      <c r="V53" t="str">
        <f>'Both teabags AfterDry'!A52</f>
        <v>G161</v>
      </c>
      <c r="W53" t="str">
        <f>'Both teabags AfterDry'!A389</f>
        <v>R239</v>
      </c>
      <c r="X53" t="b">
        <f t="shared" si="7"/>
        <v>0</v>
      </c>
      <c r="Y53" t="b">
        <f t="shared" si="8"/>
        <v>0</v>
      </c>
      <c r="AA53" t="str">
        <f>'Green_rooibos initial weight'!A54</f>
        <v>G50</v>
      </c>
      <c r="AB53" t="str">
        <f>'Green_rooibos initial weight'!A958</f>
        <v>R50</v>
      </c>
      <c r="AC53" t="b">
        <f t="shared" si="9"/>
        <v>0</v>
      </c>
      <c r="AD53" t="b">
        <f t="shared" si="10"/>
        <v>0</v>
      </c>
      <c r="AG53" t="str">
        <f>'WetLitterbags placem_collection'!K52</f>
        <v>G418</v>
      </c>
      <c r="AH53" t="str">
        <f>'WetLitterbags placem_collection'!M52</f>
        <v>R5</v>
      </c>
      <c r="AI53" t="b">
        <f t="shared" si="11"/>
        <v>0</v>
      </c>
      <c r="AJ53" t="b">
        <f t="shared" si="12"/>
        <v>0</v>
      </c>
      <c r="AK53">
        <f>'WetLitterbags placem_collection'!A52</f>
        <v>50</v>
      </c>
      <c r="AL53">
        <f>'WetLitterbags placem_collection'!A52</f>
        <v>50</v>
      </c>
      <c r="AN53">
        <f>IF('Dry_Litterbag Placem_Collection'!J52=0,"",'Dry_Litterbag Placem_Collection'!J52)</f>
        <v>276</v>
      </c>
      <c r="AO53">
        <f>IF('Dry_Litterbag Placem_Collection'!K52=0,"",'Dry_Litterbag Placem_Collection'!K52)</f>
        <v>754</v>
      </c>
      <c r="AP53" t="b">
        <f t="shared" si="13"/>
        <v>0</v>
      </c>
      <c r="AQ53" t="b">
        <f t="shared" si="14"/>
        <v>0</v>
      </c>
      <c r="AT53" t="str">
        <f>'Ashed teabags dry'!A51</f>
        <v>G159</v>
      </c>
      <c r="AU53" t="str">
        <f>'Ashed teabags dry'!A388</f>
        <v>R237</v>
      </c>
      <c r="AV53" t="b">
        <f t="shared" si="15"/>
        <v>0</v>
      </c>
      <c r="AW53" t="b">
        <f t="shared" si="16"/>
        <v>0</v>
      </c>
      <c r="AZ53" s="401" t="b">
        <f t="shared" si="17"/>
        <v>0</v>
      </c>
      <c r="BA53" s="401" t="b">
        <f t="shared" si="18"/>
        <v>0</v>
      </c>
      <c r="BC53" t="str">
        <f>'Ashed teabags wet'!A51</f>
        <v>G405</v>
      </c>
      <c r="BD53" t="str">
        <f>'Ashed teabags wet'!A468</f>
        <v>R161</v>
      </c>
      <c r="BE53" t="b">
        <f t="shared" si="19"/>
        <v>0</v>
      </c>
      <c r="BF53" t="b">
        <f t="shared" si="20"/>
        <v>0</v>
      </c>
      <c r="BG53">
        <f>IFERROR('Ashed teabags wet'!C51,"")</f>
        <v>16</v>
      </c>
      <c r="BH53">
        <f>IFERROR('Ashed teabags wet'!C468,"")</f>
        <v>57</v>
      </c>
      <c r="BI53">
        <f>'Ashed teabags wet'!AB51</f>
        <v>15</v>
      </c>
      <c r="BJ53" t="str">
        <f>'Ashed teabags wet'!AC51</f>
        <v/>
      </c>
      <c r="BK53">
        <f>'Ashed teabags wet'!AD468</f>
        <v>56</v>
      </c>
      <c r="BL53" t="str">
        <f>'Ashed teabags wet'!AE468</f>
        <v/>
      </c>
      <c r="BN53" t="str">
        <f t="shared" si="21"/>
        <v>G404</v>
      </c>
      <c r="BO53" t="b">
        <f t="shared" si="23"/>
        <v>1</v>
      </c>
    </row>
    <row r="54" spans="2:67" ht="12" customHeight="1">
      <c r="B54" t="str">
        <f>TBIDry!H126</f>
        <v>G227</v>
      </c>
      <c r="C54" t="str">
        <f>TBIDry!I126</f>
        <v>R798</v>
      </c>
      <c r="D54" t="b">
        <f t="shared" si="0"/>
        <v>0</v>
      </c>
      <c r="E54" t="b">
        <f t="shared" si="1"/>
        <v>0</v>
      </c>
      <c r="G54" t="str">
        <f>TBIWet!H126</f>
        <v>G548</v>
      </c>
      <c r="H54" t="str">
        <f>TBIWet!I126</f>
        <v>R85</v>
      </c>
      <c r="I54" t="b">
        <f t="shared" si="2"/>
        <v>0</v>
      </c>
      <c r="J54" t="b">
        <f t="shared" si="22"/>
        <v>0</v>
      </c>
      <c r="L54" t="str">
        <f>'Both teabags AfterWet'!A53</f>
        <v>G403</v>
      </c>
      <c r="M54" t="str">
        <f>'Both teabags AfterWet'!A471</f>
        <v>R155</v>
      </c>
      <c r="N54" t="b">
        <f t="shared" si="3"/>
        <v>0</v>
      </c>
      <c r="O54" t="b">
        <f t="shared" si="4"/>
        <v>0</v>
      </c>
      <c r="P54" t="str">
        <f>IFERROR('Both teabags AfterWet'!B53,"")</f>
        <v>n.a</v>
      </c>
      <c r="Q54" t="str">
        <f>'Both teabags AfterWet'!B471</f>
        <v>n.a</v>
      </c>
      <c r="S54" s="401" t="b">
        <f t="shared" si="5"/>
        <v>0</v>
      </c>
      <c r="T54" s="401" t="b">
        <f t="shared" si="6"/>
        <v>0</v>
      </c>
      <c r="V54" t="str">
        <f>'Both teabags AfterDry'!A53</f>
        <v>G162</v>
      </c>
      <c r="W54" t="str">
        <f>'Both teabags AfterDry'!A390</f>
        <v>R240</v>
      </c>
      <c r="X54" t="b">
        <f t="shared" si="7"/>
        <v>0</v>
      </c>
      <c r="Y54" t="b">
        <f t="shared" si="8"/>
        <v>0</v>
      </c>
      <c r="AA54" t="str">
        <f>'Green_rooibos initial weight'!A55</f>
        <v>G51</v>
      </c>
      <c r="AB54" t="str">
        <f>'Green_rooibos initial weight'!A959</f>
        <v>R51</v>
      </c>
      <c r="AC54" t="b">
        <f t="shared" si="9"/>
        <v>0</v>
      </c>
      <c r="AD54" t="b">
        <f t="shared" si="10"/>
        <v>0</v>
      </c>
      <c r="AG54" t="str">
        <f>'WetLitterbags placem_collection'!K53</f>
        <v>G548</v>
      </c>
      <c r="AH54" t="str">
        <f>'WetLitterbags placem_collection'!M53</f>
        <v>R85</v>
      </c>
      <c r="AI54" t="b">
        <f t="shared" si="11"/>
        <v>0</v>
      </c>
      <c r="AJ54" t="b">
        <f t="shared" si="12"/>
        <v>0</v>
      </c>
      <c r="AK54">
        <f>'WetLitterbags placem_collection'!A53</f>
        <v>51</v>
      </c>
      <c r="AL54">
        <f>'WetLitterbags placem_collection'!A53</f>
        <v>51</v>
      </c>
      <c r="AN54">
        <f>IF('Dry_Litterbag Placem_Collection'!J53=0,"",'Dry_Litterbag Placem_Collection'!J53)</f>
        <v>227</v>
      </c>
      <c r="AO54">
        <f>IF('Dry_Litterbag Placem_Collection'!K53=0,"",'Dry_Litterbag Placem_Collection'!K53)</f>
        <v>798</v>
      </c>
      <c r="AP54" t="b">
        <f t="shared" si="13"/>
        <v>0</v>
      </c>
      <c r="AQ54" t="b">
        <f t="shared" si="14"/>
        <v>0</v>
      </c>
      <c r="AT54" t="str">
        <f>'Ashed teabags dry'!A52</f>
        <v>G16</v>
      </c>
      <c r="AU54" t="str">
        <f>'Ashed teabags dry'!A389</f>
        <v>R238</v>
      </c>
      <c r="AV54" t="b">
        <f t="shared" si="15"/>
        <v>0</v>
      </c>
      <c r="AW54" t="b">
        <f t="shared" si="16"/>
        <v>0</v>
      </c>
      <c r="AZ54" s="401" t="b">
        <f t="shared" si="17"/>
        <v>0</v>
      </c>
      <c r="BA54" s="401" t="b">
        <f t="shared" si="18"/>
        <v>0</v>
      </c>
      <c r="BC54" t="str">
        <f>'Ashed teabags wet'!A52</f>
        <v>G406</v>
      </c>
      <c r="BD54" t="str">
        <f>'Ashed teabags wet'!A469</f>
        <v>R164</v>
      </c>
      <c r="BE54" t="b">
        <f t="shared" si="19"/>
        <v>0</v>
      </c>
      <c r="BF54" t="b">
        <f t="shared" si="20"/>
        <v>0</v>
      </c>
      <c r="BG54">
        <f>IFERROR('Ashed teabags wet'!C52,"")</f>
        <v>25</v>
      </c>
      <c r="BH54">
        <f>IFERROR('Ashed teabags wet'!C469,"")</f>
        <v>190</v>
      </c>
      <c r="BI54">
        <f>'Ashed teabags wet'!AB52</f>
        <v>24</v>
      </c>
      <c r="BJ54" t="str">
        <f>'Ashed teabags wet'!AC52</f>
        <v/>
      </c>
      <c r="BK54">
        <f>'Ashed teabags wet'!AD469</f>
        <v>189</v>
      </c>
      <c r="BL54" t="str">
        <f>'Ashed teabags wet'!AE469</f>
        <v/>
      </c>
      <c r="BN54" t="str">
        <f t="shared" si="21"/>
        <v>G405</v>
      </c>
      <c r="BO54" t="b">
        <f t="shared" si="23"/>
        <v>1</v>
      </c>
    </row>
    <row r="55" spans="2:67" ht="12" customHeight="1">
      <c r="B55" t="str">
        <f>TBIDry!H127</f>
        <v>G237</v>
      </c>
      <c r="C55" t="str">
        <f>TBIDry!I127</f>
        <v>R833</v>
      </c>
      <c r="D55" t="b">
        <f t="shared" si="0"/>
        <v>0</v>
      </c>
      <c r="E55" t="b">
        <f t="shared" si="1"/>
        <v>0</v>
      </c>
      <c r="G55" t="str">
        <f>TBIWet!H127</f>
        <v>G638</v>
      </c>
      <c r="H55" t="str">
        <f>TBIWet!I127</f>
        <v>R513</v>
      </c>
      <c r="I55" t="b">
        <f t="shared" si="2"/>
        <v>0</v>
      </c>
      <c r="J55" t="b">
        <f t="shared" si="22"/>
        <v>0</v>
      </c>
      <c r="L55" t="str">
        <f>'Both teabags AfterWet'!A54</f>
        <v>G404</v>
      </c>
      <c r="M55" t="str">
        <f>'Both teabags AfterWet'!A472</f>
        <v>R156</v>
      </c>
      <c r="N55" t="b">
        <f t="shared" si="3"/>
        <v>0</v>
      </c>
      <c r="O55" t="b">
        <f t="shared" si="4"/>
        <v>0</v>
      </c>
      <c r="P55" t="str">
        <f>IFERROR('Both teabags AfterWet'!B54,"")</f>
        <v>n.a</v>
      </c>
      <c r="Q55" t="str">
        <f>'Both teabags AfterWet'!B472</f>
        <v>n.a</v>
      </c>
      <c r="S55" s="401" t="b">
        <f t="shared" si="5"/>
        <v>0</v>
      </c>
      <c r="T55" s="401" t="b">
        <f t="shared" si="6"/>
        <v>0</v>
      </c>
      <c r="V55" t="str">
        <f>'Both teabags AfterDry'!A54</f>
        <v>G166</v>
      </c>
      <c r="W55" t="str">
        <f>'Both teabags AfterDry'!A391</f>
        <v>R242</v>
      </c>
      <c r="X55" t="b">
        <f t="shared" si="7"/>
        <v>0</v>
      </c>
      <c r="Y55" t="b">
        <f t="shared" si="8"/>
        <v>0</v>
      </c>
      <c r="AA55" t="str">
        <f>'Green_rooibos initial weight'!A56</f>
        <v>G52</v>
      </c>
      <c r="AB55" t="str">
        <f>'Green_rooibos initial weight'!A960</f>
        <v>R52</v>
      </c>
      <c r="AC55" t="b">
        <f t="shared" si="9"/>
        <v>0</v>
      </c>
      <c r="AD55" t="b">
        <f t="shared" si="10"/>
        <v>0</v>
      </c>
      <c r="AG55" t="str">
        <f>'WetLitterbags placem_collection'!K54</f>
        <v>G638</v>
      </c>
      <c r="AH55" t="str">
        <f>'WetLitterbags placem_collection'!M54</f>
        <v>R513</v>
      </c>
      <c r="AI55" t="b">
        <f t="shared" si="11"/>
        <v>0</v>
      </c>
      <c r="AJ55" t="b">
        <f t="shared" si="12"/>
        <v>0</v>
      </c>
      <c r="AK55">
        <f>'WetLitterbags placem_collection'!A54</f>
        <v>52</v>
      </c>
      <c r="AL55">
        <f>'WetLitterbags placem_collection'!A54</f>
        <v>52</v>
      </c>
      <c r="AN55">
        <f>IF('Dry_Litterbag Placem_Collection'!J54=0,"",'Dry_Litterbag Placem_Collection'!J54)</f>
        <v>237</v>
      </c>
      <c r="AO55">
        <f>IF('Dry_Litterbag Placem_Collection'!K54=0,"",'Dry_Litterbag Placem_Collection'!K54)</f>
        <v>833</v>
      </c>
      <c r="AP55" t="b">
        <f t="shared" si="13"/>
        <v>0</v>
      </c>
      <c r="AQ55" t="b">
        <f t="shared" si="14"/>
        <v>0</v>
      </c>
      <c r="AT55" t="str">
        <f>'Ashed teabags dry'!A53</f>
        <v>G161</v>
      </c>
      <c r="AU55" t="str">
        <f>'Ashed teabags dry'!A390</f>
        <v>R239</v>
      </c>
      <c r="AV55" t="b">
        <f t="shared" si="15"/>
        <v>0</v>
      </c>
      <c r="AW55" t="b">
        <f t="shared" si="16"/>
        <v>0</v>
      </c>
      <c r="AZ55" s="401" t="b">
        <f t="shared" si="17"/>
        <v>0</v>
      </c>
      <c r="BA55" s="401" t="b">
        <f t="shared" si="18"/>
        <v>0</v>
      </c>
      <c r="BC55" t="str">
        <f>'Ashed teabags wet'!A53</f>
        <v>G408</v>
      </c>
      <c r="BD55" t="str">
        <f>'Ashed teabags wet'!A470</f>
        <v>R165</v>
      </c>
      <c r="BE55" t="b">
        <f t="shared" si="19"/>
        <v>0</v>
      </c>
      <c r="BF55" t="b">
        <f t="shared" si="20"/>
        <v>0</v>
      </c>
      <c r="BG55">
        <f>IFERROR('Ashed teabags wet'!C53,"")</f>
        <v>75</v>
      </c>
      <c r="BH55">
        <f>IFERROR('Ashed teabags wet'!C470,"")</f>
        <v>67</v>
      </c>
      <c r="BI55">
        <f>'Ashed teabags wet'!AB53</f>
        <v>74</v>
      </c>
      <c r="BJ55" t="str">
        <f>'Ashed teabags wet'!AC53</f>
        <v/>
      </c>
      <c r="BK55">
        <f>'Ashed teabags wet'!AD470</f>
        <v>66</v>
      </c>
      <c r="BL55" t="str">
        <f>'Ashed teabags wet'!AE470</f>
        <v/>
      </c>
      <c r="BN55" t="str">
        <f t="shared" si="21"/>
        <v>G406</v>
      </c>
      <c r="BO55" t="b">
        <f t="shared" si="23"/>
        <v>1</v>
      </c>
    </row>
    <row r="56" spans="2:67" ht="12" customHeight="1">
      <c r="B56" t="str">
        <f>TBIDry!H128</f>
        <v>G172</v>
      </c>
      <c r="C56" t="str">
        <f>TBIDry!I128</f>
        <v>R734</v>
      </c>
      <c r="D56" t="b">
        <f t="shared" si="0"/>
        <v>0</v>
      </c>
      <c r="E56" t="b">
        <f t="shared" si="1"/>
        <v>0</v>
      </c>
      <c r="G56" t="str">
        <f>TBIWet!H128</f>
        <v>G426</v>
      </c>
      <c r="H56" t="str">
        <f>TBIWet!I128</f>
        <v>R399</v>
      </c>
      <c r="I56" t="b">
        <f t="shared" si="2"/>
        <v>0</v>
      </c>
      <c r="J56" t="b">
        <f t="shared" si="22"/>
        <v>0</v>
      </c>
      <c r="L56" t="str">
        <f>'Both teabags AfterWet'!A55</f>
        <v>G405</v>
      </c>
      <c r="M56" t="str">
        <f>'Both teabags AfterWet'!A473</f>
        <v>R157</v>
      </c>
      <c r="N56" t="b">
        <f t="shared" si="3"/>
        <v>0</v>
      </c>
      <c r="O56" t="b">
        <f t="shared" si="4"/>
        <v>0</v>
      </c>
      <c r="P56" t="str">
        <f>IFERROR('Both teabags AfterWet'!B55,"")</f>
        <v>na</v>
      </c>
      <c r="Q56">
        <f>'Both teabags AfterWet'!B473</f>
        <v>172</v>
      </c>
      <c r="S56" s="401" t="b">
        <f t="shared" si="5"/>
        <v>0</v>
      </c>
      <c r="T56" s="401" t="b">
        <f t="shared" si="6"/>
        <v>0</v>
      </c>
      <c r="V56" t="str">
        <f>'Both teabags AfterDry'!A55</f>
        <v>G167</v>
      </c>
      <c r="W56" t="str">
        <f>'Both teabags AfterDry'!A392</f>
        <v>R243</v>
      </c>
      <c r="X56" t="b">
        <f t="shared" si="7"/>
        <v>0</v>
      </c>
      <c r="Y56" t="b">
        <f t="shared" si="8"/>
        <v>0</v>
      </c>
      <c r="AA56" t="str">
        <f>'Green_rooibos initial weight'!A57</f>
        <v>G53</v>
      </c>
      <c r="AB56" t="str">
        <f>'Green_rooibos initial weight'!A961</f>
        <v>R53</v>
      </c>
      <c r="AC56" t="b">
        <f t="shared" si="9"/>
        <v>0</v>
      </c>
      <c r="AD56" t="b">
        <f t="shared" si="10"/>
        <v>0</v>
      </c>
      <c r="AG56" t="str">
        <f>'WetLitterbags placem_collection'!K55</f>
        <v>G426</v>
      </c>
      <c r="AH56" t="str">
        <f>'WetLitterbags placem_collection'!M55</f>
        <v>R399</v>
      </c>
      <c r="AI56" t="b">
        <f t="shared" si="11"/>
        <v>0</v>
      </c>
      <c r="AJ56" t="b">
        <f t="shared" si="12"/>
        <v>0</v>
      </c>
      <c r="AK56">
        <f>'WetLitterbags placem_collection'!A55</f>
        <v>53</v>
      </c>
      <c r="AL56">
        <f>'WetLitterbags placem_collection'!A55</f>
        <v>53</v>
      </c>
      <c r="AN56">
        <f>IF('Dry_Litterbag Placem_Collection'!J55=0,"",'Dry_Litterbag Placem_Collection'!J55)</f>
        <v>172</v>
      </c>
      <c r="AO56">
        <f>IF('Dry_Litterbag Placem_Collection'!K55=0,"",'Dry_Litterbag Placem_Collection'!K55)</f>
        <v>734</v>
      </c>
      <c r="AP56" t="b">
        <f t="shared" si="13"/>
        <v>0</v>
      </c>
      <c r="AQ56" t="b">
        <f t="shared" si="14"/>
        <v>0</v>
      </c>
      <c r="AT56" t="str">
        <f>'Ashed teabags dry'!A54</f>
        <v>G166</v>
      </c>
      <c r="AU56" t="str">
        <f>'Ashed teabags dry'!A391</f>
        <v>R240</v>
      </c>
      <c r="AV56" t="b">
        <f t="shared" si="15"/>
        <v>0</v>
      </c>
      <c r="AW56" t="b">
        <f t="shared" si="16"/>
        <v>0</v>
      </c>
      <c r="AZ56" s="401" t="b">
        <f t="shared" si="17"/>
        <v>0</v>
      </c>
      <c r="BA56" s="401" t="b">
        <f t="shared" si="18"/>
        <v>0</v>
      </c>
      <c r="BC56" t="str">
        <f>'Ashed teabags wet'!A54</f>
        <v>G414</v>
      </c>
      <c r="BD56" t="str">
        <f>'Ashed teabags wet'!A471</f>
        <v>R166</v>
      </c>
      <c r="BE56" t="b">
        <f t="shared" si="19"/>
        <v>0</v>
      </c>
      <c r="BF56" t="b">
        <f t="shared" si="20"/>
        <v>0</v>
      </c>
      <c r="BG56">
        <f>IFERROR('Ashed teabags wet'!C54,"")</f>
        <v>70</v>
      </c>
      <c r="BH56">
        <f>IFERROR('Ashed teabags wet'!C471,"")</f>
        <v>44</v>
      </c>
      <c r="BI56" t="str">
        <f>'Ashed teabags wet'!AB54</f>
        <v/>
      </c>
      <c r="BJ56">
        <f>'Ashed teabags wet'!AC54</f>
        <v>69</v>
      </c>
      <c r="BK56">
        <f>'Ashed teabags wet'!AD471</f>
        <v>43</v>
      </c>
      <c r="BL56" t="str">
        <f>'Ashed teabags wet'!AE471</f>
        <v/>
      </c>
      <c r="BN56" t="str">
        <f t="shared" si="21"/>
        <v>G408</v>
      </c>
      <c r="BO56" t="b">
        <f t="shared" si="23"/>
        <v>1</v>
      </c>
    </row>
    <row r="57" spans="2:67" ht="12" customHeight="1">
      <c r="B57" t="str">
        <f>TBIDry!H129</f>
        <v/>
      </c>
      <c r="C57" t="str">
        <f>TBIDry!I129</f>
        <v/>
      </c>
      <c r="D57" t="b">
        <f t="shared" si="0"/>
        <v>1</v>
      </c>
      <c r="E57" t="b">
        <f t="shared" si="1"/>
        <v>1</v>
      </c>
      <c r="G57" t="str">
        <f>TBIWet!H129</f>
        <v>G589</v>
      </c>
      <c r="H57" t="str">
        <f>TBIWet!I129</f>
        <v>R400</v>
      </c>
      <c r="I57" t="b">
        <f t="shared" si="2"/>
        <v>0</v>
      </c>
      <c r="J57" t="b">
        <f t="shared" si="22"/>
        <v>0</v>
      </c>
      <c r="L57" t="str">
        <f>'Both teabags AfterWet'!A56</f>
        <v>G406</v>
      </c>
      <c r="M57" t="str">
        <f>'Both teabags AfterWet'!A474</f>
        <v>R159</v>
      </c>
      <c r="N57" t="b">
        <f t="shared" si="3"/>
        <v>0</v>
      </c>
      <c r="O57" t="b">
        <f t="shared" si="4"/>
        <v>0</v>
      </c>
      <c r="P57" t="str">
        <f>IFERROR('Both teabags AfterWet'!B56,"")</f>
        <v>n.a</v>
      </c>
      <c r="Q57">
        <f>'Both teabags AfterWet'!B474</f>
        <v>64</v>
      </c>
      <c r="S57" s="401" t="b">
        <f t="shared" si="5"/>
        <v>0</v>
      </c>
      <c r="T57" s="401" t="b">
        <f t="shared" si="6"/>
        <v>0</v>
      </c>
      <c r="V57" t="str">
        <f>'Both teabags AfterDry'!A56</f>
        <v>G168</v>
      </c>
      <c r="W57" t="str">
        <f>'Both teabags AfterDry'!A393</f>
        <v>R245</v>
      </c>
      <c r="X57" t="b">
        <f t="shared" si="7"/>
        <v>0</v>
      </c>
      <c r="Y57" t="b">
        <f t="shared" si="8"/>
        <v>0</v>
      </c>
      <c r="AA57" t="str">
        <f>'Green_rooibos initial weight'!A58</f>
        <v>G54</v>
      </c>
      <c r="AB57" t="str">
        <f>'Green_rooibos initial weight'!A962</f>
        <v>R54</v>
      </c>
      <c r="AC57" t="b">
        <f t="shared" si="9"/>
        <v>0</v>
      </c>
      <c r="AD57" t="b">
        <f t="shared" si="10"/>
        <v>0</v>
      </c>
      <c r="AG57" t="str">
        <f>'WetLitterbags placem_collection'!K56</f>
        <v>G589</v>
      </c>
      <c r="AH57" t="str">
        <f>'WetLitterbags placem_collection'!M56</f>
        <v>R400</v>
      </c>
      <c r="AI57" t="b">
        <f t="shared" si="11"/>
        <v>0</v>
      </c>
      <c r="AJ57" t="b">
        <f t="shared" si="12"/>
        <v>0</v>
      </c>
      <c r="AK57">
        <f>'WetLitterbags placem_collection'!A56</f>
        <v>54</v>
      </c>
      <c r="AL57">
        <f>'WetLitterbags placem_collection'!A56</f>
        <v>54</v>
      </c>
      <c r="AN57" t="str">
        <f>IF('Dry_Litterbag Placem_Collection'!J56=0,"",'Dry_Litterbag Placem_Collection'!J56)</f>
        <v/>
      </c>
      <c r="AO57" t="str">
        <f>IF('Dry_Litterbag Placem_Collection'!K56=0,"",'Dry_Litterbag Placem_Collection'!K56)</f>
        <v/>
      </c>
      <c r="AP57" t="b">
        <f t="shared" si="13"/>
        <v>1</v>
      </c>
      <c r="AQ57" t="b">
        <f t="shared" si="14"/>
        <v>1</v>
      </c>
      <c r="AT57" t="str">
        <f>'Ashed teabags dry'!A55</f>
        <v>G167</v>
      </c>
      <c r="AU57" t="str">
        <f>'Ashed teabags dry'!A392</f>
        <v>R242</v>
      </c>
      <c r="AV57" t="b">
        <f t="shared" si="15"/>
        <v>0</v>
      </c>
      <c r="AW57" t="b">
        <f t="shared" si="16"/>
        <v>0</v>
      </c>
      <c r="AZ57" s="401" t="b">
        <f t="shared" si="17"/>
        <v>0</v>
      </c>
      <c r="BA57" s="401" t="b">
        <f t="shared" si="18"/>
        <v>0</v>
      </c>
      <c r="BC57" t="str">
        <f>'Ashed teabags wet'!A55</f>
        <v>G416</v>
      </c>
      <c r="BD57" t="str">
        <f>'Ashed teabags wet'!A472</f>
        <v>R167</v>
      </c>
      <c r="BE57" t="b">
        <f t="shared" si="19"/>
        <v>0</v>
      </c>
      <c r="BF57" t="b">
        <f t="shared" si="20"/>
        <v>0</v>
      </c>
      <c r="BG57">
        <f>IFERROR('Ashed teabags wet'!C55,"")</f>
        <v>75</v>
      </c>
      <c r="BH57">
        <f>IFERROR('Ashed teabags wet'!C472,"")</f>
        <v>194</v>
      </c>
      <c r="BI57">
        <f>'Ashed teabags wet'!AB55</f>
        <v>75</v>
      </c>
      <c r="BJ57" t="str">
        <f>'Ashed teabags wet'!AC55</f>
        <v/>
      </c>
      <c r="BK57" t="str">
        <f>'Ashed teabags wet'!AD472</f>
        <v/>
      </c>
      <c r="BL57">
        <f>'Ashed teabags wet'!AE472</f>
        <v>193</v>
      </c>
      <c r="BN57" t="str">
        <f t="shared" si="21"/>
        <v>G414</v>
      </c>
      <c r="BO57" t="b">
        <f t="shared" si="23"/>
        <v>1</v>
      </c>
    </row>
    <row r="58" spans="2:67" ht="12" customHeight="1">
      <c r="B58" t="str">
        <f>TBIDry!H130</f>
        <v>G86</v>
      </c>
      <c r="C58" t="str">
        <f>TBIDry!I130</f>
        <v>R839</v>
      </c>
      <c r="D58" t="b">
        <f t="shared" si="0"/>
        <v>0</v>
      </c>
      <c r="E58" t="b">
        <f t="shared" si="1"/>
        <v>0</v>
      </c>
      <c r="G58" t="str">
        <f>TBIWet!H130</f>
        <v>G622</v>
      </c>
      <c r="H58" t="str">
        <f>TBIWet!I130</f>
        <v>R19</v>
      </c>
      <c r="I58" t="b">
        <f t="shared" si="2"/>
        <v>0</v>
      </c>
      <c r="J58" t="b">
        <f t="shared" si="22"/>
        <v>0</v>
      </c>
      <c r="L58" t="str">
        <f>'Both teabags AfterWet'!A57</f>
        <v>G408</v>
      </c>
      <c r="M58" t="str">
        <f>'Both teabags AfterWet'!A475</f>
        <v>R16</v>
      </c>
      <c r="N58" t="b">
        <f t="shared" si="3"/>
        <v>0</v>
      </c>
      <c r="O58" t="b">
        <f t="shared" si="4"/>
        <v>0</v>
      </c>
      <c r="P58" t="str">
        <f>IFERROR('Both teabags AfterWet'!B57,"")</f>
        <v>na</v>
      </c>
      <c r="Q58">
        <f>'Both teabags AfterWet'!B475</f>
        <v>158</v>
      </c>
      <c r="S58" s="401" t="b">
        <f t="shared" si="5"/>
        <v>0</v>
      </c>
      <c r="T58" s="401" t="b">
        <f t="shared" si="6"/>
        <v>0</v>
      </c>
      <c r="V58" t="str">
        <f>'Both teabags AfterDry'!A57</f>
        <v>G169</v>
      </c>
      <c r="W58" t="str">
        <f>'Both teabags AfterDry'!A394</f>
        <v>R246</v>
      </c>
      <c r="X58" t="b">
        <f t="shared" si="7"/>
        <v>0</v>
      </c>
      <c r="Y58" t="b">
        <f t="shared" si="8"/>
        <v>0</v>
      </c>
      <c r="AA58" t="str">
        <f>'Green_rooibos initial weight'!A59</f>
        <v>G55</v>
      </c>
      <c r="AB58" t="str">
        <f>'Green_rooibos initial weight'!A963</f>
        <v>R55</v>
      </c>
      <c r="AC58" t="b">
        <f t="shared" si="9"/>
        <v>0</v>
      </c>
      <c r="AD58" t="b">
        <f t="shared" si="10"/>
        <v>0</v>
      </c>
      <c r="AG58" t="str">
        <f>'WetLitterbags placem_collection'!K57</f>
        <v>G622</v>
      </c>
      <c r="AH58" t="str">
        <f>'WetLitterbags placem_collection'!M57</f>
        <v>R19</v>
      </c>
      <c r="AI58" t="b">
        <f t="shared" si="11"/>
        <v>0</v>
      </c>
      <c r="AJ58" t="b">
        <f t="shared" si="12"/>
        <v>0</v>
      </c>
      <c r="AK58">
        <f>'WetLitterbags placem_collection'!A57</f>
        <v>55</v>
      </c>
      <c r="AL58">
        <f>'WetLitterbags placem_collection'!A57</f>
        <v>55</v>
      </c>
      <c r="AN58">
        <f>IF('Dry_Litterbag Placem_Collection'!J57=0,"",'Dry_Litterbag Placem_Collection'!J57)</f>
        <v>86</v>
      </c>
      <c r="AO58">
        <f>IF('Dry_Litterbag Placem_Collection'!K57=0,"",'Dry_Litterbag Placem_Collection'!K57)</f>
        <v>839</v>
      </c>
      <c r="AP58" t="b">
        <f t="shared" si="13"/>
        <v>0</v>
      </c>
      <c r="AQ58" t="b">
        <f t="shared" si="14"/>
        <v>0</v>
      </c>
      <c r="AT58" t="str">
        <f>'Ashed teabags dry'!A56</f>
        <v>G168</v>
      </c>
      <c r="AU58" t="str">
        <f>'Ashed teabags dry'!A393</f>
        <v>R243</v>
      </c>
      <c r="AV58" t="b">
        <f t="shared" si="15"/>
        <v>0</v>
      </c>
      <c r="AW58" t="b">
        <f t="shared" si="16"/>
        <v>0</v>
      </c>
      <c r="AZ58" s="401" t="b">
        <f t="shared" si="17"/>
        <v>0</v>
      </c>
      <c r="BA58" s="401" t="b">
        <f t="shared" si="18"/>
        <v>0</v>
      </c>
      <c r="BC58" t="str">
        <f>'Ashed teabags wet'!A56</f>
        <v>G417</v>
      </c>
      <c r="BD58" t="str">
        <f>'Ashed teabags wet'!A473</f>
        <v>R168</v>
      </c>
      <c r="BE58" t="b">
        <f t="shared" si="19"/>
        <v>0</v>
      </c>
      <c r="BF58" t="b">
        <f t="shared" si="20"/>
        <v>0</v>
      </c>
      <c r="BG58">
        <f>IFERROR('Ashed teabags wet'!C56,"")</f>
        <v>191</v>
      </c>
      <c r="BH58">
        <f>IFERROR('Ashed teabags wet'!C473,"")</f>
        <v>198</v>
      </c>
      <c r="BI58" t="str">
        <f>'Ashed teabags wet'!AB56</f>
        <v/>
      </c>
      <c r="BJ58">
        <f>'Ashed teabags wet'!AC56</f>
        <v>190</v>
      </c>
      <c r="BK58" t="str">
        <f>'Ashed teabags wet'!AD473</f>
        <v/>
      </c>
      <c r="BL58">
        <f>'Ashed teabags wet'!AE473</f>
        <v>197</v>
      </c>
      <c r="BN58" t="str">
        <f t="shared" si="21"/>
        <v>G416</v>
      </c>
      <c r="BO58" t="b">
        <f t="shared" si="23"/>
        <v>1</v>
      </c>
    </row>
    <row r="59" spans="2:67" ht="12" customHeight="1">
      <c r="B59" t="str">
        <f>TBIDry!H131</f>
        <v>G107</v>
      </c>
      <c r="C59" t="str">
        <f>TBIDry!I131</f>
        <v>R760</v>
      </c>
      <c r="D59" t="b">
        <f t="shared" si="0"/>
        <v>0</v>
      </c>
      <c r="E59" t="b">
        <f t="shared" si="1"/>
        <v>0</v>
      </c>
      <c r="G59" t="str">
        <f>TBIWet!H131</f>
        <v>G538</v>
      </c>
      <c r="H59" t="str">
        <f>TBIWet!I131</f>
        <v>R60</v>
      </c>
      <c r="I59" t="b">
        <f t="shared" si="2"/>
        <v>0</v>
      </c>
      <c r="J59" t="b">
        <f t="shared" si="22"/>
        <v>0</v>
      </c>
      <c r="L59" t="str">
        <f>'Both teabags AfterWet'!A58</f>
        <v>G414</v>
      </c>
      <c r="M59" t="str">
        <f>'Both teabags AfterWet'!A476</f>
        <v>R161</v>
      </c>
      <c r="N59" t="b">
        <f t="shared" si="3"/>
        <v>0</v>
      </c>
      <c r="O59" t="b">
        <f t="shared" si="4"/>
        <v>0</v>
      </c>
      <c r="P59">
        <f>IFERROR('Both teabags AfterWet'!B58,"")</f>
        <v>70</v>
      </c>
      <c r="Q59">
        <f>'Both teabags AfterWet'!B476</f>
        <v>57</v>
      </c>
      <c r="S59" s="401" t="b">
        <f t="shared" si="5"/>
        <v>0</v>
      </c>
      <c r="T59" s="401" t="b">
        <f t="shared" si="6"/>
        <v>0</v>
      </c>
      <c r="V59" t="str">
        <f>'Both teabags AfterDry'!A58</f>
        <v>G17</v>
      </c>
      <c r="W59" t="str">
        <f>'Both teabags AfterDry'!A395</f>
        <v>R247</v>
      </c>
      <c r="X59" t="b">
        <f t="shared" si="7"/>
        <v>0</v>
      </c>
      <c r="Y59" t="b">
        <f t="shared" si="8"/>
        <v>0</v>
      </c>
      <c r="AA59" t="str">
        <f>'Green_rooibos initial weight'!A60</f>
        <v>G56</v>
      </c>
      <c r="AB59" t="str">
        <f>'Green_rooibos initial weight'!A964</f>
        <v>R56</v>
      </c>
      <c r="AC59" t="b">
        <f t="shared" si="9"/>
        <v>0</v>
      </c>
      <c r="AD59" t="b">
        <f t="shared" si="10"/>
        <v>0</v>
      </c>
      <c r="AG59" t="str">
        <f>'WetLitterbags placem_collection'!K58</f>
        <v>G538</v>
      </c>
      <c r="AH59" t="str">
        <f>'WetLitterbags placem_collection'!M58</f>
        <v>R60</v>
      </c>
      <c r="AI59" t="b">
        <f t="shared" si="11"/>
        <v>0</v>
      </c>
      <c r="AJ59" t="b">
        <f t="shared" si="12"/>
        <v>0</v>
      </c>
      <c r="AK59">
        <f>'WetLitterbags placem_collection'!A58</f>
        <v>56</v>
      </c>
      <c r="AL59">
        <f>'WetLitterbags placem_collection'!A58</f>
        <v>56</v>
      </c>
      <c r="AN59">
        <f>IF('Dry_Litterbag Placem_Collection'!J58=0,"",'Dry_Litterbag Placem_Collection'!J58)</f>
        <v>107</v>
      </c>
      <c r="AO59">
        <f>IF('Dry_Litterbag Placem_Collection'!K58=0,"",'Dry_Litterbag Placem_Collection'!K58)</f>
        <v>760</v>
      </c>
      <c r="AP59" t="b">
        <f t="shared" si="13"/>
        <v>0</v>
      </c>
      <c r="AQ59" t="b">
        <f t="shared" si="14"/>
        <v>0</v>
      </c>
      <c r="AT59" t="str">
        <f>'Ashed teabags dry'!A57</f>
        <v>G169</v>
      </c>
      <c r="AU59" t="str">
        <f>'Ashed teabags dry'!A394</f>
        <v>R245</v>
      </c>
      <c r="AV59" s="113" t="b">
        <f t="shared" si="15"/>
        <v>1</v>
      </c>
      <c r="AW59" t="b">
        <f t="shared" si="16"/>
        <v>0</v>
      </c>
      <c r="AZ59" s="401" t="b">
        <f t="shared" si="17"/>
        <v>0</v>
      </c>
      <c r="BA59" s="401" t="b">
        <f t="shared" si="18"/>
        <v>0</v>
      </c>
      <c r="BC59" t="str">
        <f>'Ashed teabags wet'!A57</f>
        <v>G419</v>
      </c>
      <c r="BD59" t="str">
        <f>'Ashed teabags wet'!A474</f>
        <v>R169</v>
      </c>
      <c r="BE59" t="b">
        <f t="shared" si="19"/>
        <v>0</v>
      </c>
      <c r="BF59" t="b">
        <f t="shared" si="20"/>
        <v>0</v>
      </c>
      <c r="BG59">
        <f>IFERROR('Ashed teabags wet'!C57,"")</f>
        <v>18</v>
      </c>
      <c r="BH59">
        <f>IFERROR('Ashed teabags wet'!C474,"")</f>
        <v>9</v>
      </c>
      <c r="BI59">
        <f>'Ashed teabags wet'!AB57</f>
        <v>17</v>
      </c>
      <c r="BJ59" t="str">
        <f>'Ashed teabags wet'!AC57</f>
        <v/>
      </c>
      <c r="BK59">
        <f>'Ashed teabags wet'!AD474</f>
        <v>8</v>
      </c>
      <c r="BL59" t="str">
        <f>'Ashed teabags wet'!AE474</f>
        <v/>
      </c>
      <c r="BN59" t="str">
        <f t="shared" si="21"/>
        <v>G417</v>
      </c>
      <c r="BO59" t="b">
        <f t="shared" si="23"/>
        <v>1</v>
      </c>
    </row>
    <row r="60" spans="2:67" ht="12" customHeight="1">
      <c r="B60" t="str">
        <f>TBIDry!H132</f>
        <v>G41</v>
      </c>
      <c r="C60" t="str">
        <f>TBIDry!I132</f>
        <v>R830</v>
      </c>
      <c r="D60" t="b">
        <f t="shared" si="0"/>
        <v>0</v>
      </c>
      <c r="E60" t="b">
        <f t="shared" si="1"/>
        <v>0</v>
      </c>
      <c r="G60" t="str">
        <f>TBIWet!H132</f>
        <v>G546</v>
      </c>
      <c r="H60" t="str">
        <f>TBIWet!I132</f>
        <v>R161</v>
      </c>
      <c r="I60" s="113" t="b">
        <f t="shared" si="2"/>
        <v>0</v>
      </c>
      <c r="J60" t="b">
        <f t="shared" si="22"/>
        <v>0</v>
      </c>
      <c r="L60" t="str">
        <f>'Both teabags AfterWet'!A59</f>
        <v>G416</v>
      </c>
      <c r="M60" t="str">
        <f>'Both teabags AfterWet'!A477</f>
        <v>R164</v>
      </c>
      <c r="N60" t="b">
        <f t="shared" si="3"/>
        <v>0</v>
      </c>
      <c r="O60" t="b">
        <f t="shared" si="4"/>
        <v>0</v>
      </c>
      <c r="P60">
        <f>IFERROR('Both teabags AfterWet'!B59,"")</f>
        <v>75</v>
      </c>
      <c r="Q60" t="str">
        <f>'Both teabags AfterWet'!B477</f>
        <v>n.a</v>
      </c>
      <c r="S60" s="401" t="b">
        <f t="shared" si="5"/>
        <v>0</v>
      </c>
      <c r="T60" s="401" t="b">
        <f t="shared" si="6"/>
        <v>0</v>
      </c>
      <c r="V60" t="str">
        <f>'Both teabags AfterDry'!A59</f>
        <v>G170</v>
      </c>
      <c r="W60" t="str">
        <f>'Both teabags AfterDry'!A396</f>
        <v>R249</v>
      </c>
      <c r="X60" t="b">
        <f t="shared" si="7"/>
        <v>0</v>
      </c>
      <c r="Y60" t="b">
        <f t="shared" si="8"/>
        <v>0</v>
      </c>
      <c r="AA60" t="str">
        <f>'Green_rooibos initial weight'!A61</f>
        <v>G57</v>
      </c>
      <c r="AB60" t="str">
        <f>'Green_rooibos initial weight'!A965</f>
        <v>R57</v>
      </c>
      <c r="AC60" t="b">
        <f t="shared" si="9"/>
        <v>0</v>
      </c>
      <c r="AD60" t="b">
        <f t="shared" si="10"/>
        <v>0</v>
      </c>
      <c r="AG60" t="str">
        <f>'WetLitterbags placem_collection'!K59</f>
        <v>G546</v>
      </c>
      <c r="AH60" t="str">
        <f>'WetLitterbags placem_collection'!M59</f>
        <v>R161</v>
      </c>
      <c r="AI60" s="113" t="b">
        <f t="shared" si="11"/>
        <v>0</v>
      </c>
      <c r="AJ60" t="b">
        <f t="shared" si="12"/>
        <v>0</v>
      </c>
      <c r="AK60">
        <f>'WetLitterbags placem_collection'!A59</f>
        <v>57</v>
      </c>
      <c r="AL60">
        <f>'WetLitterbags placem_collection'!A59</f>
        <v>57</v>
      </c>
      <c r="AN60">
        <f>IF('Dry_Litterbag Placem_Collection'!J59=0,"",'Dry_Litterbag Placem_Collection'!J59)</f>
        <v>41</v>
      </c>
      <c r="AO60">
        <f>IF('Dry_Litterbag Placem_Collection'!K59=0,"",'Dry_Litterbag Placem_Collection'!K59)</f>
        <v>830</v>
      </c>
      <c r="AP60" t="b">
        <f t="shared" si="13"/>
        <v>0</v>
      </c>
      <c r="AQ60" t="b">
        <f t="shared" si="14"/>
        <v>0</v>
      </c>
      <c r="AT60" t="str">
        <f>'Ashed teabags dry'!A58</f>
        <v>G169</v>
      </c>
      <c r="AU60" t="str">
        <f>'Ashed teabags dry'!A395</f>
        <v>R246</v>
      </c>
      <c r="AV60" s="113" t="b">
        <f t="shared" si="15"/>
        <v>1</v>
      </c>
      <c r="AW60" t="b">
        <f t="shared" si="16"/>
        <v>0</v>
      </c>
      <c r="AZ60" s="401" t="b">
        <f t="shared" si="17"/>
        <v>0</v>
      </c>
      <c r="BA60" s="401" t="b">
        <f t="shared" si="18"/>
        <v>0</v>
      </c>
      <c r="BC60" t="str">
        <f>'Ashed teabags wet'!A58</f>
        <v>G420</v>
      </c>
      <c r="BD60" t="str">
        <f>'Ashed teabags wet'!A475</f>
        <v>R17</v>
      </c>
      <c r="BE60" t="b">
        <f t="shared" si="19"/>
        <v>0</v>
      </c>
      <c r="BF60" t="b">
        <f t="shared" si="20"/>
        <v>0</v>
      </c>
      <c r="BG60">
        <f>IFERROR('Ashed teabags wet'!C58,"")</f>
        <v>188</v>
      </c>
      <c r="BH60">
        <f>IFERROR('Ashed teabags wet'!C475,"")</f>
        <v>1</v>
      </c>
      <c r="BI60">
        <f>'Ashed teabags wet'!AB58</f>
        <v>187</v>
      </c>
      <c r="BJ60" t="str">
        <f>'Ashed teabags wet'!AC58</f>
        <v/>
      </c>
      <c r="BK60" t="str">
        <f>'Ashed teabags wet'!AD475</f>
        <v/>
      </c>
      <c r="BL60" t="str">
        <f>'Ashed teabags wet'!AE475</f>
        <v/>
      </c>
      <c r="BN60" t="str">
        <f t="shared" si="21"/>
        <v>G419</v>
      </c>
      <c r="BO60" t="b">
        <f t="shared" si="23"/>
        <v>1</v>
      </c>
    </row>
    <row r="61" spans="2:67" ht="12" customHeight="1">
      <c r="B61" t="str">
        <f>TBIDry!H133</f>
        <v>G481</v>
      </c>
      <c r="C61" t="str">
        <f>TBIDry!I133</f>
        <v>R725</v>
      </c>
      <c r="D61" t="b">
        <f t="shared" si="0"/>
        <v>0</v>
      </c>
      <c r="E61" t="b">
        <f t="shared" si="1"/>
        <v>0</v>
      </c>
      <c r="G61" t="str">
        <f>TBIWet!H133</f>
        <v>G513</v>
      </c>
      <c r="H61" t="str">
        <f>TBIWet!I133</f>
        <v>R48</v>
      </c>
      <c r="I61" t="b">
        <f t="shared" si="2"/>
        <v>0</v>
      </c>
      <c r="J61" t="b">
        <f t="shared" si="22"/>
        <v>0</v>
      </c>
      <c r="L61" t="str">
        <f>'Both teabags AfterWet'!A60</f>
        <v>G417</v>
      </c>
      <c r="M61" t="str">
        <f>'Both teabags AfterWet'!A478</f>
        <v>R165</v>
      </c>
      <c r="N61" t="b">
        <f t="shared" si="3"/>
        <v>0</v>
      </c>
      <c r="O61" t="b">
        <f t="shared" si="4"/>
        <v>0</v>
      </c>
      <c r="P61" t="str">
        <f>IFERROR('Both teabags AfterWet'!B60,"")</f>
        <v>n.a</v>
      </c>
      <c r="Q61">
        <f>'Both teabags AfterWet'!B478</f>
        <v>67</v>
      </c>
      <c r="S61" s="401" t="b">
        <f t="shared" si="5"/>
        <v>0</v>
      </c>
      <c r="T61" s="401" t="b">
        <f t="shared" si="6"/>
        <v>0</v>
      </c>
      <c r="V61" t="str">
        <f>'Both teabags AfterDry'!A60</f>
        <v>G171</v>
      </c>
      <c r="W61" t="str">
        <f>'Both teabags AfterDry'!A397</f>
        <v>R254</v>
      </c>
      <c r="X61" t="b">
        <f t="shared" si="7"/>
        <v>0</v>
      </c>
      <c r="Y61" t="b">
        <f t="shared" si="8"/>
        <v>0</v>
      </c>
      <c r="AA61" t="str">
        <f>'Green_rooibos initial weight'!A62</f>
        <v>G58</v>
      </c>
      <c r="AB61" t="str">
        <f>'Green_rooibos initial weight'!A966</f>
        <v>R58</v>
      </c>
      <c r="AC61" t="b">
        <f t="shared" si="9"/>
        <v>0</v>
      </c>
      <c r="AD61" t="b">
        <f t="shared" si="10"/>
        <v>0</v>
      </c>
      <c r="AG61" t="str">
        <f>'WetLitterbags placem_collection'!K60</f>
        <v>G513</v>
      </c>
      <c r="AH61" t="str">
        <f>'WetLitterbags placem_collection'!M60</f>
        <v>R48</v>
      </c>
      <c r="AI61" t="b">
        <f t="shared" si="11"/>
        <v>0</v>
      </c>
      <c r="AJ61" t="b">
        <f t="shared" si="12"/>
        <v>0</v>
      </c>
      <c r="AK61">
        <f>'WetLitterbags placem_collection'!A60</f>
        <v>58</v>
      </c>
      <c r="AL61">
        <f>'WetLitterbags placem_collection'!A60</f>
        <v>58</v>
      </c>
      <c r="AN61">
        <f>IF('Dry_Litterbag Placem_Collection'!J60=0,"",'Dry_Litterbag Placem_Collection'!J60)</f>
        <v>481</v>
      </c>
      <c r="AO61">
        <f>IF('Dry_Litterbag Placem_Collection'!K60=0,"",'Dry_Litterbag Placem_Collection'!K60)</f>
        <v>725</v>
      </c>
      <c r="AP61" t="b">
        <f t="shared" si="13"/>
        <v>0</v>
      </c>
      <c r="AQ61" t="b">
        <f t="shared" si="14"/>
        <v>0</v>
      </c>
      <c r="AT61" t="str">
        <f>'Ashed teabags dry'!A59</f>
        <v>G17</v>
      </c>
      <c r="AU61" t="str">
        <f>'Ashed teabags dry'!A396</f>
        <v>R247</v>
      </c>
      <c r="AV61" t="b">
        <f t="shared" si="15"/>
        <v>0</v>
      </c>
      <c r="AW61" t="b">
        <f t="shared" si="16"/>
        <v>0</v>
      </c>
      <c r="AZ61" s="401" t="b">
        <f t="shared" si="17"/>
        <v>0</v>
      </c>
      <c r="BA61" s="401" t="b">
        <f t="shared" si="18"/>
        <v>0</v>
      </c>
      <c r="BC61" t="str">
        <f>'Ashed teabags wet'!A59</f>
        <v>G421</v>
      </c>
      <c r="BD61" t="str">
        <f>'Ashed teabags wet'!A476</f>
        <v>R171</v>
      </c>
      <c r="BE61" t="b">
        <f t="shared" si="19"/>
        <v>0</v>
      </c>
      <c r="BF61" t="b">
        <f t="shared" si="20"/>
        <v>0</v>
      </c>
      <c r="BG61">
        <f>IFERROR('Ashed teabags wet'!C59,"")</f>
        <v>24</v>
      </c>
      <c r="BH61">
        <f>IFERROR('Ashed teabags wet'!C476,"")</f>
        <v>89</v>
      </c>
      <c r="BI61" t="str">
        <f>'Ashed teabags wet'!AB59</f>
        <v/>
      </c>
      <c r="BJ61">
        <f>'Ashed teabags wet'!AC59</f>
        <v>23</v>
      </c>
      <c r="BK61" t="str">
        <f>'Ashed teabags wet'!AD476</f>
        <v/>
      </c>
      <c r="BL61">
        <f>'Ashed teabags wet'!AE476</f>
        <v>88</v>
      </c>
      <c r="BN61" t="str">
        <f t="shared" si="21"/>
        <v>G420</v>
      </c>
      <c r="BO61" t="b">
        <f t="shared" si="23"/>
        <v>1</v>
      </c>
    </row>
    <row r="62" spans="2:67" ht="12" customHeight="1">
      <c r="B62" t="str">
        <f>TBIDry!H134</f>
        <v>G261</v>
      </c>
      <c r="C62" t="str">
        <f>TBIDry!I134</f>
        <v>R721</v>
      </c>
      <c r="D62" t="b">
        <f t="shared" si="0"/>
        <v>0</v>
      </c>
      <c r="E62" t="b">
        <f t="shared" si="1"/>
        <v>0</v>
      </c>
      <c r="G62" t="str">
        <f>TBIWet!H134</f>
        <v>G489</v>
      </c>
      <c r="H62" t="str">
        <f>TBIWet!I134</f>
        <v>R23</v>
      </c>
      <c r="I62" t="b">
        <f t="shared" si="2"/>
        <v>0</v>
      </c>
      <c r="J62" t="b">
        <f t="shared" si="22"/>
        <v>0</v>
      </c>
      <c r="L62" t="str">
        <f>'Both teabags AfterWet'!A61</f>
        <v>G419</v>
      </c>
      <c r="M62" t="str">
        <f>'Both teabags AfterWet'!A479</f>
        <v>R166</v>
      </c>
      <c r="N62" t="b">
        <f t="shared" si="3"/>
        <v>0</v>
      </c>
      <c r="O62" t="b">
        <f t="shared" si="4"/>
        <v>0</v>
      </c>
      <c r="P62">
        <f>IFERROR('Both teabags AfterWet'!B61,"")</f>
        <v>18</v>
      </c>
      <c r="Q62">
        <f>'Both teabags AfterWet'!B479</f>
        <v>44</v>
      </c>
      <c r="S62" s="401" t="b">
        <f t="shared" si="5"/>
        <v>0</v>
      </c>
      <c r="T62" s="401" t="b">
        <f t="shared" si="6"/>
        <v>0</v>
      </c>
      <c r="V62" t="str">
        <f>'Both teabags AfterDry'!A61</f>
        <v>G172</v>
      </c>
      <c r="W62" t="str">
        <f>'Both teabags AfterDry'!A398</f>
        <v>R256</v>
      </c>
      <c r="X62" t="b">
        <f t="shared" si="7"/>
        <v>0</v>
      </c>
      <c r="Y62" t="b">
        <f t="shared" si="8"/>
        <v>0</v>
      </c>
      <c r="AA62" t="str">
        <f>'Green_rooibos initial weight'!A63</f>
        <v>G59</v>
      </c>
      <c r="AB62" t="str">
        <f>'Green_rooibos initial weight'!A967</f>
        <v>R59</v>
      </c>
      <c r="AC62" t="b">
        <f t="shared" si="9"/>
        <v>0</v>
      </c>
      <c r="AD62" t="b">
        <f t="shared" si="10"/>
        <v>0</v>
      </c>
      <c r="AG62" t="str">
        <f>'WetLitterbags placem_collection'!K61</f>
        <v>G489</v>
      </c>
      <c r="AH62" t="str">
        <f>'WetLitterbags placem_collection'!M61</f>
        <v>R23</v>
      </c>
      <c r="AI62" t="b">
        <f t="shared" si="11"/>
        <v>0</v>
      </c>
      <c r="AJ62" t="b">
        <f t="shared" si="12"/>
        <v>0</v>
      </c>
      <c r="AK62">
        <f>'WetLitterbags placem_collection'!A61</f>
        <v>59</v>
      </c>
      <c r="AL62">
        <f>'WetLitterbags placem_collection'!A61</f>
        <v>59</v>
      </c>
      <c r="AN62">
        <f>IF('Dry_Litterbag Placem_Collection'!J61=0,"",'Dry_Litterbag Placem_Collection'!J61)</f>
        <v>261</v>
      </c>
      <c r="AO62">
        <f>IF('Dry_Litterbag Placem_Collection'!K61=0,"",'Dry_Litterbag Placem_Collection'!K61)</f>
        <v>721</v>
      </c>
      <c r="AP62" t="b">
        <f t="shared" si="13"/>
        <v>0</v>
      </c>
      <c r="AQ62" t="b">
        <f t="shared" si="14"/>
        <v>0</v>
      </c>
      <c r="AT62" t="str">
        <f>'Ashed teabags dry'!A60</f>
        <v>G170</v>
      </c>
      <c r="AU62" t="str">
        <f>'Ashed teabags dry'!A397</f>
        <v>R249</v>
      </c>
      <c r="AV62" t="b">
        <f t="shared" si="15"/>
        <v>0</v>
      </c>
      <c r="AW62" t="b">
        <f t="shared" si="16"/>
        <v>0</v>
      </c>
      <c r="AZ62" s="401" t="b">
        <f t="shared" si="17"/>
        <v>0</v>
      </c>
      <c r="BA62" s="401" t="b">
        <f t="shared" si="18"/>
        <v>0</v>
      </c>
      <c r="BC62" t="str">
        <f>'Ashed teabags wet'!A60</f>
        <v>G423</v>
      </c>
      <c r="BD62" t="str">
        <f>'Ashed teabags wet'!A477</f>
        <v>R172</v>
      </c>
      <c r="BE62" t="b">
        <f t="shared" si="19"/>
        <v>0</v>
      </c>
      <c r="BF62" t="b">
        <f t="shared" si="20"/>
        <v>0</v>
      </c>
      <c r="BG62">
        <f>IFERROR('Ashed teabags wet'!C60,"")</f>
        <v>185</v>
      </c>
      <c r="BH62">
        <f>IFERROR('Ashed teabags wet'!C477,"")</f>
        <v>28</v>
      </c>
      <c r="BI62">
        <f>'Ashed teabags wet'!AB60</f>
        <v>184</v>
      </c>
      <c r="BJ62" t="str">
        <f>'Ashed teabags wet'!AC60</f>
        <v/>
      </c>
      <c r="BK62" t="str">
        <f>'Ashed teabags wet'!AD477</f>
        <v/>
      </c>
      <c r="BL62">
        <f>'Ashed teabags wet'!AE477</f>
        <v>27</v>
      </c>
      <c r="BN62" t="str">
        <f t="shared" si="21"/>
        <v>G421</v>
      </c>
      <c r="BO62" t="b">
        <f t="shared" si="23"/>
        <v>1</v>
      </c>
    </row>
    <row r="63" spans="2:67" ht="12" customHeight="1">
      <c r="B63" t="str">
        <f>TBIDry!H135</f>
        <v>G152</v>
      </c>
      <c r="C63" t="str">
        <f>TBIDry!I135</f>
        <v>R763</v>
      </c>
      <c r="D63" t="b">
        <f t="shared" si="0"/>
        <v>0</v>
      </c>
      <c r="E63" t="b">
        <f t="shared" si="1"/>
        <v>0</v>
      </c>
      <c r="G63" t="str">
        <f>TBIWet!H135</f>
        <v>G633</v>
      </c>
      <c r="H63" t="str">
        <f>TBIWet!I135</f>
        <v>R78</v>
      </c>
      <c r="I63" t="b">
        <f t="shared" si="2"/>
        <v>0</v>
      </c>
      <c r="J63" t="b">
        <f t="shared" si="22"/>
        <v>0</v>
      </c>
      <c r="L63" t="str">
        <f>'Both teabags AfterWet'!A62</f>
        <v>G420</v>
      </c>
      <c r="M63" t="str">
        <f>'Both teabags AfterWet'!A480</f>
        <v>R167</v>
      </c>
      <c r="N63" t="b">
        <f t="shared" si="3"/>
        <v>0</v>
      </c>
      <c r="O63" t="b">
        <f t="shared" si="4"/>
        <v>0</v>
      </c>
      <c r="P63" t="str">
        <f>IFERROR('Both teabags AfterWet'!B62,"")</f>
        <v>na</v>
      </c>
      <c r="Q63">
        <f>'Both teabags AfterWet'!B480</f>
        <v>104</v>
      </c>
      <c r="S63" s="401" t="b">
        <f t="shared" si="5"/>
        <v>0</v>
      </c>
      <c r="T63" s="401" t="b">
        <f t="shared" si="6"/>
        <v>0</v>
      </c>
      <c r="V63" t="str">
        <f>'Both teabags AfterDry'!A62</f>
        <v>G173</v>
      </c>
      <c r="W63" t="str">
        <f>'Both teabags AfterDry'!A399</f>
        <v>R257</v>
      </c>
      <c r="X63" t="b">
        <f t="shared" si="7"/>
        <v>0</v>
      </c>
      <c r="Y63" t="b">
        <f t="shared" si="8"/>
        <v>0</v>
      </c>
      <c r="AA63" t="str">
        <f>'Green_rooibos initial weight'!A64</f>
        <v>G60</v>
      </c>
      <c r="AB63" t="str">
        <f>'Green_rooibos initial weight'!A968</f>
        <v>R60</v>
      </c>
      <c r="AC63" t="b">
        <f t="shared" si="9"/>
        <v>0</v>
      </c>
      <c r="AD63" t="b">
        <f t="shared" si="10"/>
        <v>0</v>
      </c>
      <c r="AG63" t="str">
        <f>'WetLitterbags placem_collection'!K62</f>
        <v>G633</v>
      </c>
      <c r="AH63" t="str">
        <f>'WetLitterbags placem_collection'!M62</f>
        <v>R78</v>
      </c>
      <c r="AI63" t="b">
        <f t="shared" si="11"/>
        <v>0</v>
      </c>
      <c r="AJ63" t="b">
        <f t="shared" si="12"/>
        <v>0</v>
      </c>
      <c r="AK63">
        <f>'WetLitterbags placem_collection'!A62</f>
        <v>60</v>
      </c>
      <c r="AL63">
        <f>'WetLitterbags placem_collection'!A62</f>
        <v>60</v>
      </c>
      <c r="AN63">
        <f>IF('Dry_Litterbag Placem_Collection'!J62=0,"",'Dry_Litterbag Placem_Collection'!J62)</f>
        <v>152</v>
      </c>
      <c r="AO63">
        <f>IF('Dry_Litterbag Placem_Collection'!K62=0,"",'Dry_Litterbag Placem_Collection'!K62)</f>
        <v>763</v>
      </c>
      <c r="AP63" t="b">
        <f t="shared" si="13"/>
        <v>0</v>
      </c>
      <c r="AQ63" t="b">
        <f t="shared" si="14"/>
        <v>0</v>
      </c>
      <c r="AT63" t="str">
        <f>'Ashed teabags dry'!A61</f>
        <v>G171</v>
      </c>
      <c r="AU63" t="str">
        <f>'Ashed teabags dry'!A398</f>
        <v>R254</v>
      </c>
      <c r="AV63" t="b">
        <f t="shared" si="15"/>
        <v>0</v>
      </c>
      <c r="AW63" t="b">
        <f t="shared" si="16"/>
        <v>0</v>
      </c>
      <c r="AZ63" s="401" t="b">
        <f t="shared" si="17"/>
        <v>0</v>
      </c>
      <c r="BA63" s="401" t="b">
        <f t="shared" si="18"/>
        <v>0</v>
      </c>
      <c r="BC63" t="str">
        <f>'Ashed teabags wet'!A61</f>
        <v>G424</v>
      </c>
      <c r="BD63" t="str">
        <f>'Ashed teabags wet'!A478</f>
        <v>R176</v>
      </c>
      <c r="BE63" t="b">
        <f t="shared" si="19"/>
        <v>0</v>
      </c>
      <c r="BF63" t="b">
        <f t="shared" si="20"/>
        <v>0</v>
      </c>
      <c r="BG63">
        <f>IFERROR('Ashed teabags wet'!C61,"")</f>
        <v>93</v>
      </c>
      <c r="BH63">
        <f>IFERROR('Ashed teabags wet'!C478,"")</f>
        <v>219</v>
      </c>
      <c r="BI63" t="str">
        <f>'Ashed teabags wet'!AB61</f>
        <v/>
      </c>
      <c r="BJ63">
        <f>'Ashed teabags wet'!AC61</f>
        <v>92</v>
      </c>
      <c r="BK63">
        <f>'Ashed teabags wet'!AD478</f>
        <v>218</v>
      </c>
      <c r="BL63" t="str">
        <f>'Ashed teabags wet'!AE478</f>
        <v/>
      </c>
      <c r="BN63" t="str">
        <f t="shared" si="21"/>
        <v>G423</v>
      </c>
      <c r="BO63" t="b">
        <f t="shared" si="23"/>
        <v>1</v>
      </c>
    </row>
    <row r="64" spans="2:67" ht="12" customHeight="1">
      <c r="B64" t="str">
        <f>TBIDry!H136</f>
        <v>G191</v>
      </c>
      <c r="C64" t="str">
        <f>TBIDry!I136</f>
        <v>R775</v>
      </c>
      <c r="D64" t="b">
        <f t="shared" si="0"/>
        <v>0</v>
      </c>
      <c r="E64" t="b">
        <f t="shared" si="1"/>
        <v>0</v>
      </c>
      <c r="G64" t="str">
        <f>TBIWet!H136</f>
        <v>G541</v>
      </c>
      <c r="H64" t="str">
        <f>TBIWet!I136</f>
        <v>R42</v>
      </c>
      <c r="I64" t="b">
        <f t="shared" si="2"/>
        <v>0</v>
      </c>
      <c r="J64" t="b">
        <f t="shared" si="22"/>
        <v>0</v>
      </c>
      <c r="L64" t="str">
        <f>'Both teabags AfterWet'!A63</f>
        <v>G421</v>
      </c>
      <c r="M64" t="str">
        <f>'Both teabags AfterWet'!A481</f>
        <v>R168</v>
      </c>
      <c r="N64" t="b">
        <f t="shared" si="3"/>
        <v>0</v>
      </c>
      <c r="O64" t="b">
        <f t="shared" si="4"/>
        <v>0</v>
      </c>
      <c r="P64">
        <f>IFERROR('Both teabags AfterWet'!B63,"")</f>
        <v>24</v>
      </c>
      <c r="Q64">
        <f>'Both teabags AfterWet'!B481</f>
        <v>198</v>
      </c>
      <c r="S64" s="401" t="b">
        <f t="shared" si="5"/>
        <v>0</v>
      </c>
      <c r="T64" s="401" t="b">
        <f t="shared" si="6"/>
        <v>0</v>
      </c>
      <c r="V64" t="str">
        <f>'Both teabags AfterDry'!A63</f>
        <v>G174</v>
      </c>
      <c r="W64" t="str">
        <f>'Both teabags AfterDry'!A400</f>
        <v>R260</v>
      </c>
      <c r="X64" t="b">
        <f t="shared" si="7"/>
        <v>0</v>
      </c>
      <c r="Y64" t="b">
        <f t="shared" si="8"/>
        <v>0</v>
      </c>
      <c r="AA64" t="str">
        <f>'Green_rooibos initial weight'!A65</f>
        <v>G61</v>
      </c>
      <c r="AB64" t="str">
        <f>'Green_rooibos initial weight'!A969</f>
        <v>R61</v>
      </c>
      <c r="AC64" t="b">
        <f t="shared" si="9"/>
        <v>0</v>
      </c>
      <c r="AD64" t="b">
        <f t="shared" si="10"/>
        <v>0</v>
      </c>
      <c r="AG64" t="str">
        <f>'WetLitterbags placem_collection'!K63</f>
        <v>G541</v>
      </c>
      <c r="AH64" t="str">
        <f>'WetLitterbags placem_collection'!M63</f>
        <v>R42</v>
      </c>
      <c r="AI64" t="b">
        <f t="shared" si="11"/>
        <v>0</v>
      </c>
      <c r="AJ64" t="b">
        <f t="shared" si="12"/>
        <v>0</v>
      </c>
      <c r="AK64">
        <f>'WetLitterbags placem_collection'!A63</f>
        <v>61</v>
      </c>
      <c r="AL64">
        <f>'WetLitterbags placem_collection'!A63</f>
        <v>61</v>
      </c>
      <c r="AN64">
        <f>IF('Dry_Litterbag Placem_Collection'!J63=0,"",'Dry_Litterbag Placem_Collection'!J63)</f>
        <v>191</v>
      </c>
      <c r="AO64">
        <f>IF('Dry_Litterbag Placem_Collection'!K63=0,"",'Dry_Litterbag Placem_Collection'!K63)</f>
        <v>775</v>
      </c>
      <c r="AP64" t="b">
        <f t="shared" si="13"/>
        <v>0</v>
      </c>
      <c r="AQ64" t="b">
        <f t="shared" si="14"/>
        <v>0</v>
      </c>
      <c r="AT64" t="str">
        <f>'Ashed teabags dry'!A62</f>
        <v>G172</v>
      </c>
      <c r="AU64" t="str">
        <f>'Ashed teabags dry'!A399</f>
        <v>R256</v>
      </c>
      <c r="AV64" t="b">
        <f t="shared" si="15"/>
        <v>0</v>
      </c>
      <c r="AW64" t="b">
        <f t="shared" si="16"/>
        <v>0</v>
      </c>
      <c r="AZ64" s="401" t="b">
        <f t="shared" si="17"/>
        <v>0</v>
      </c>
      <c r="BA64" s="401" t="b">
        <f t="shared" si="18"/>
        <v>0</v>
      </c>
      <c r="BC64" t="str">
        <f>'Ashed teabags wet'!A62</f>
        <v>G425</v>
      </c>
      <c r="BD64" t="str">
        <f>'Ashed teabags wet'!A479</f>
        <v>R177</v>
      </c>
      <c r="BE64" t="b">
        <f t="shared" si="19"/>
        <v>0</v>
      </c>
      <c r="BF64" t="b">
        <f t="shared" si="20"/>
        <v>0</v>
      </c>
      <c r="BG64">
        <f>IFERROR('Ashed teabags wet'!C62,"")</f>
        <v>169</v>
      </c>
      <c r="BH64">
        <f>IFERROR('Ashed teabags wet'!C479,"")</f>
        <v>6</v>
      </c>
      <c r="BI64">
        <f>'Ashed teabags wet'!AB62</f>
        <v>168</v>
      </c>
      <c r="BJ64" t="str">
        <f>'Ashed teabags wet'!AC62</f>
        <v/>
      </c>
      <c r="BK64">
        <f>'Ashed teabags wet'!AD479</f>
        <v>5</v>
      </c>
      <c r="BL64" t="str">
        <f>'Ashed teabags wet'!AE479</f>
        <v/>
      </c>
      <c r="BN64" t="str">
        <f t="shared" si="21"/>
        <v>G424</v>
      </c>
      <c r="BO64" t="b">
        <f t="shared" si="23"/>
        <v>1</v>
      </c>
    </row>
    <row r="65" spans="2:67" ht="12" customHeight="1">
      <c r="B65" t="str">
        <f>TBIDry!H137</f>
        <v/>
      </c>
      <c r="C65" t="str">
        <f>TBIDry!I137</f>
        <v/>
      </c>
      <c r="D65" t="b">
        <f t="shared" si="0"/>
        <v>1</v>
      </c>
      <c r="E65" t="b">
        <f t="shared" si="1"/>
        <v>1</v>
      </c>
      <c r="G65" t="str">
        <f>TBIWet!H137</f>
        <v>G565</v>
      </c>
      <c r="H65" t="str">
        <f>TBIWet!I137</f>
        <v>R119</v>
      </c>
      <c r="I65" t="b">
        <f t="shared" si="2"/>
        <v>0</v>
      </c>
      <c r="J65" t="b">
        <f t="shared" si="22"/>
        <v>0</v>
      </c>
      <c r="L65" t="str">
        <f>'Both teabags AfterWet'!A64</f>
        <v>G423</v>
      </c>
      <c r="M65" t="str">
        <f>'Both teabags AfterWet'!A482</f>
        <v>R169</v>
      </c>
      <c r="N65" t="b">
        <f t="shared" si="3"/>
        <v>0</v>
      </c>
      <c r="O65" t="b">
        <f t="shared" si="4"/>
        <v>0</v>
      </c>
      <c r="P65" t="str">
        <f>IFERROR('Both teabags AfterWet'!B64,"")</f>
        <v>n.a</v>
      </c>
      <c r="Q65" t="str">
        <f>'Both teabags AfterWet'!B482</f>
        <v>na</v>
      </c>
      <c r="S65" s="401" t="b">
        <f t="shared" si="5"/>
        <v>0</v>
      </c>
      <c r="T65" s="401" t="b">
        <f t="shared" si="6"/>
        <v>0</v>
      </c>
      <c r="V65" t="str">
        <f>'Both teabags AfterDry'!A64</f>
        <v>G175</v>
      </c>
      <c r="W65" t="str">
        <f>'Both teabags AfterDry'!A401</f>
        <v>R261</v>
      </c>
      <c r="X65" t="b">
        <f t="shared" si="7"/>
        <v>0</v>
      </c>
      <c r="Y65" t="b">
        <f t="shared" si="8"/>
        <v>0</v>
      </c>
      <c r="AA65" t="str">
        <f>'Green_rooibos initial weight'!A66</f>
        <v>G62</v>
      </c>
      <c r="AB65" t="str">
        <f>'Green_rooibos initial weight'!A970</f>
        <v>R62</v>
      </c>
      <c r="AC65" t="b">
        <f t="shared" si="9"/>
        <v>0</v>
      </c>
      <c r="AD65" t="b">
        <f t="shared" si="10"/>
        <v>0</v>
      </c>
      <c r="AG65" t="str">
        <f>'WetLitterbags placem_collection'!K64</f>
        <v>G565</v>
      </c>
      <c r="AH65" t="str">
        <f>'WetLitterbags placem_collection'!M64</f>
        <v>R119</v>
      </c>
      <c r="AI65" t="b">
        <f t="shared" si="11"/>
        <v>0</v>
      </c>
      <c r="AJ65" t="b">
        <f t="shared" si="12"/>
        <v>0</v>
      </c>
      <c r="AK65">
        <f>'WetLitterbags placem_collection'!A64</f>
        <v>62</v>
      </c>
      <c r="AL65">
        <f>'WetLitterbags placem_collection'!A64</f>
        <v>62</v>
      </c>
      <c r="AN65" t="str">
        <f>IF('Dry_Litterbag Placem_Collection'!J64=0,"",'Dry_Litterbag Placem_Collection'!J64)</f>
        <v/>
      </c>
      <c r="AO65" t="str">
        <f>IF('Dry_Litterbag Placem_Collection'!K64=0,"",'Dry_Litterbag Placem_Collection'!K64)</f>
        <v/>
      </c>
      <c r="AP65" t="b">
        <f t="shared" si="13"/>
        <v>1</v>
      </c>
      <c r="AQ65" t="b">
        <f t="shared" si="14"/>
        <v>1</v>
      </c>
      <c r="AT65" t="str">
        <f>'Ashed teabags dry'!A63</f>
        <v>G173</v>
      </c>
      <c r="AU65" t="str">
        <f>'Ashed teabags dry'!A400</f>
        <v>R257</v>
      </c>
      <c r="AV65" t="b">
        <f t="shared" si="15"/>
        <v>0</v>
      </c>
      <c r="AW65" t="b">
        <f t="shared" si="16"/>
        <v>0</v>
      </c>
      <c r="AZ65" s="401" t="b">
        <f t="shared" si="17"/>
        <v>0</v>
      </c>
      <c r="BA65" s="401" t="b">
        <f t="shared" si="18"/>
        <v>0</v>
      </c>
      <c r="BC65" t="str">
        <f>'Ashed teabags wet'!A63</f>
        <v>G429</v>
      </c>
      <c r="BD65" t="str">
        <f>'Ashed teabags wet'!A480</f>
        <v>R182</v>
      </c>
      <c r="BE65" t="b">
        <f t="shared" si="19"/>
        <v>0</v>
      </c>
      <c r="BF65" t="b">
        <f t="shared" si="20"/>
        <v>0</v>
      </c>
      <c r="BG65">
        <f>IFERROR('Ashed teabags wet'!C63,"")</f>
        <v>167</v>
      </c>
      <c r="BH65">
        <f>IFERROR('Ashed teabags wet'!C480,"")</f>
        <v>202</v>
      </c>
      <c r="BI65">
        <f>'Ashed teabags wet'!AB63</f>
        <v>166</v>
      </c>
      <c r="BJ65" t="str">
        <f>'Ashed teabags wet'!AC63</f>
        <v/>
      </c>
      <c r="BK65" t="str">
        <f>'Ashed teabags wet'!AD480</f>
        <v/>
      </c>
      <c r="BL65">
        <f>'Ashed teabags wet'!AE480</f>
        <v>201</v>
      </c>
      <c r="BN65" t="str">
        <f t="shared" si="21"/>
        <v>G425</v>
      </c>
      <c r="BO65" t="b">
        <f t="shared" si="23"/>
        <v>1</v>
      </c>
    </row>
    <row r="66" spans="2:67" ht="12" customHeight="1">
      <c r="B66" t="str">
        <f>TBIDry!H138</f>
        <v>G49</v>
      </c>
      <c r="C66" t="str">
        <f>TBIDry!I138</f>
        <v>R733</v>
      </c>
      <c r="D66" t="b">
        <f t="shared" si="0"/>
        <v>0</v>
      </c>
      <c r="E66" t="b">
        <f t="shared" si="1"/>
        <v>0</v>
      </c>
      <c r="G66" t="str">
        <f>TBIWet!H138</f>
        <v>G387</v>
      </c>
      <c r="H66" t="str">
        <f>TBIWet!I138</f>
        <v>R185</v>
      </c>
      <c r="I66" t="b">
        <f t="shared" si="2"/>
        <v>0</v>
      </c>
      <c r="J66" t="b">
        <f t="shared" si="22"/>
        <v>0</v>
      </c>
      <c r="L66" t="str">
        <f>'Both teabags AfterWet'!A65</f>
        <v>G424</v>
      </c>
      <c r="M66" t="str">
        <f>'Both teabags AfterWet'!A483</f>
        <v>R17</v>
      </c>
      <c r="N66" t="b">
        <f t="shared" si="3"/>
        <v>0</v>
      </c>
      <c r="O66" t="b">
        <f t="shared" si="4"/>
        <v>0</v>
      </c>
      <c r="P66" t="str">
        <f>IFERROR('Both teabags AfterWet'!B65,"")</f>
        <v>n.a</v>
      </c>
      <c r="Q66" t="str">
        <f>'Both teabags AfterWet'!B483</f>
        <v>na</v>
      </c>
      <c r="S66" s="401" t="b">
        <f t="shared" si="5"/>
        <v>0</v>
      </c>
      <c r="T66" s="401" t="b">
        <f t="shared" si="6"/>
        <v>0</v>
      </c>
      <c r="V66" t="str">
        <f>'Both teabags AfterDry'!A65</f>
        <v>G176</v>
      </c>
      <c r="W66" t="str">
        <f>'Both teabags AfterDry'!A402</f>
        <v>R267</v>
      </c>
      <c r="X66" t="b">
        <f t="shared" si="7"/>
        <v>0</v>
      </c>
      <c r="Y66" t="b">
        <f t="shared" si="8"/>
        <v>0</v>
      </c>
      <c r="AA66" t="str">
        <f>'Green_rooibos initial weight'!A67</f>
        <v>G63</v>
      </c>
      <c r="AB66" t="str">
        <f>'Green_rooibos initial weight'!A971</f>
        <v>R63</v>
      </c>
      <c r="AC66" t="b">
        <f t="shared" si="9"/>
        <v>0</v>
      </c>
      <c r="AD66" t="b">
        <f t="shared" si="10"/>
        <v>0</v>
      </c>
      <c r="AG66" t="str">
        <f>'WetLitterbags placem_collection'!K65</f>
        <v>G387</v>
      </c>
      <c r="AH66" t="str">
        <f>'WetLitterbags placem_collection'!M65</f>
        <v>R185</v>
      </c>
      <c r="AI66" t="b">
        <f t="shared" si="11"/>
        <v>0</v>
      </c>
      <c r="AJ66" t="b">
        <f t="shared" si="12"/>
        <v>0</v>
      </c>
      <c r="AK66">
        <f>'WetLitterbags placem_collection'!A65</f>
        <v>63</v>
      </c>
      <c r="AL66">
        <f>'WetLitterbags placem_collection'!A65</f>
        <v>63</v>
      </c>
      <c r="AN66">
        <f>IF('Dry_Litterbag Placem_Collection'!J65=0,"",'Dry_Litterbag Placem_Collection'!J65)</f>
        <v>49</v>
      </c>
      <c r="AO66">
        <f>IF('Dry_Litterbag Placem_Collection'!K65=0,"",'Dry_Litterbag Placem_Collection'!K65)</f>
        <v>733</v>
      </c>
      <c r="AP66" t="b">
        <f t="shared" si="13"/>
        <v>0</v>
      </c>
      <c r="AQ66" t="b">
        <f t="shared" si="14"/>
        <v>0</v>
      </c>
      <c r="AT66" t="str">
        <f>'Ashed teabags dry'!A64</f>
        <v>G174</v>
      </c>
      <c r="AU66" t="str">
        <f>'Ashed teabags dry'!A401</f>
        <v>R260</v>
      </c>
      <c r="AV66" t="b">
        <f t="shared" si="15"/>
        <v>0</v>
      </c>
      <c r="AW66" t="b">
        <f t="shared" si="16"/>
        <v>0</v>
      </c>
      <c r="AZ66" s="401" t="b">
        <f t="shared" si="17"/>
        <v>0</v>
      </c>
      <c r="BA66" s="401" t="b">
        <f t="shared" si="18"/>
        <v>0</v>
      </c>
      <c r="BC66" t="str">
        <f>'Ashed teabags wet'!A64</f>
        <v>G433</v>
      </c>
      <c r="BD66" t="str">
        <f>'Ashed teabags wet'!A481</f>
        <v>R183</v>
      </c>
      <c r="BE66" t="b">
        <f t="shared" si="19"/>
        <v>0</v>
      </c>
      <c r="BF66" t="b">
        <f t="shared" si="20"/>
        <v>0</v>
      </c>
      <c r="BG66">
        <f>IFERROR('Ashed teabags wet'!C64,"")</f>
        <v>170</v>
      </c>
      <c r="BH66">
        <f>IFERROR('Ashed teabags wet'!C481,"")</f>
        <v>75</v>
      </c>
      <c r="BI66">
        <f>'Ashed teabags wet'!AB64</f>
        <v>169</v>
      </c>
      <c r="BJ66" t="str">
        <f>'Ashed teabags wet'!AC64</f>
        <v/>
      </c>
      <c r="BK66" t="str">
        <f>'Ashed teabags wet'!AD481</f>
        <v/>
      </c>
      <c r="BL66">
        <f>'Ashed teabags wet'!AE481</f>
        <v>75</v>
      </c>
      <c r="BN66" t="str">
        <f t="shared" si="21"/>
        <v>G429</v>
      </c>
      <c r="BO66" t="b">
        <f t="shared" si="23"/>
        <v>1</v>
      </c>
    </row>
    <row r="67" spans="2:67" ht="12" customHeight="1">
      <c r="B67" t="str">
        <f>TBIDry!H139</f>
        <v>G347</v>
      </c>
      <c r="C67" t="str">
        <f>TBIDry!I139</f>
        <v>R765</v>
      </c>
      <c r="D67" t="b">
        <f t="shared" si="0"/>
        <v>0</v>
      </c>
      <c r="E67" t="b">
        <f t="shared" si="1"/>
        <v>0</v>
      </c>
      <c r="G67" t="str">
        <f>TBIWet!H139</f>
        <v>G554</v>
      </c>
      <c r="H67" t="str">
        <f>TBIWet!I139</f>
        <v>R159</v>
      </c>
      <c r="I67" t="b">
        <f t="shared" si="2"/>
        <v>0</v>
      </c>
      <c r="J67" t="b">
        <f t="shared" si="22"/>
        <v>0</v>
      </c>
      <c r="L67" t="str">
        <f>'Both teabags AfterWet'!A66</f>
        <v>G425</v>
      </c>
      <c r="M67" t="str">
        <f>'Both teabags AfterWet'!A484</f>
        <v>R171</v>
      </c>
      <c r="N67" t="b">
        <f t="shared" si="3"/>
        <v>0</v>
      </c>
      <c r="O67" t="b">
        <f t="shared" si="4"/>
        <v>0</v>
      </c>
      <c r="P67">
        <f>IFERROR('Both teabags AfterWet'!B66,"")</f>
        <v>169</v>
      </c>
      <c r="Q67">
        <f>'Both teabags AfterWet'!B484</f>
        <v>89</v>
      </c>
      <c r="S67" s="401" t="b">
        <f t="shared" si="5"/>
        <v>0</v>
      </c>
      <c r="T67" s="401" t="b">
        <f t="shared" si="6"/>
        <v>0</v>
      </c>
      <c r="V67" t="str">
        <f>'Both teabags AfterDry'!A66</f>
        <v>G179</v>
      </c>
      <c r="W67" t="str">
        <f>'Both teabags AfterDry'!A403</f>
        <v>R269</v>
      </c>
      <c r="X67" t="b">
        <f t="shared" si="7"/>
        <v>0</v>
      </c>
      <c r="Y67" t="b">
        <f t="shared" si="8"/>
        <v>0</v>
      </c>
      <c r="AA67" t="str">
        <f>'Green_rooibos initial weight'!A68</f>
        <v>G64</v>
      </c>
      <c r="AB67" t="str">
        <f>'Green_rooibos initial weight'!A972</f>
        <v>R64</v>
      </c>
      <c r="AC67" t="b">
        <f t="shared" si="9"/>
        <v>0</v>
      </c>
      <c r="AD67" t="b">
        <f t="shared" si="10"/>
        <v>0</v>
      </c>
      <c r="AG67" t="str">
        <f>'WetLitterbags placem_collection'!K66</f>
        <v>G554</v>
      </c>
      <c r="AH67" t="str">
        <f>'WetLitterbags placem_collection'!M66</f>
        <v>R159</v>
      </c>
      <c r="AI67" t="b">
        <f t="shared" si="11"/>
        <v>0</v>
      </c>
      <c r="AJ67" t="b">
        <f t="shared" si="12"/>
        <v>0</v>
      </c>
      <c r="AK67">
        <f>'WetLitterbags placem_collection'!A66</f>
        <v>64</v>
      </c>
      <c r="AL67">
        <f>'WetLitterbags placem_collection'!A66</f>
        <v>64</v>
      </c>
      <c r="AN67">
        <f>IF('Dry_Litterbag Placem_Collection'!J66=0,"",'Dry_Litterbag Placem_Collection'!J66)</f>
        <v>347</v>
      </c>
      <c r="AO67">
        <f>IF('Dry_Litterbag Placem_Collection'!K66=0,"",'Dry_Litterbag Placem_Collection'!K66)</f>
        <v>765</v>
      </c>
      <c r="AP67" t="b">
        <f t="shared" si="13"/>
        <v>0</v>
      </c>
      <c r="AQ67" t="b">
        <f t="shared" si="14"/>
        <v>0</v>
      </c>
      <c r="AT67" t="str">
        <f>'Ashed teabags dry'!A65</f>
        <v>G175</v>
      </c>
      <c r="AU67" t="str">
        <f>'Ashed teabags dry'!A402</f>
        <v>R261</v>
      </c>
      <c r="AV67" t="b">
        <f t="shared" si="15"/>
        <v>0</v>
      </c>
      <c r="AW67" t="b">
        <f t="shared" si="16"/>
        <v>0</v>
      </c>
      <c r="AZ67" s="401" t="b">
        <f t="shared" si="17"/>
        <v>0</v>
      </c>
      <c r="BA67" s="401" t="b">
        <f t="shared" si="18"/>
        <v>0</v>
      </c>
      <c r="BC67" t="str">
        <f>'Ashed teabags wet'!A65</f>
        <v>G436</v>
      </c>
      <c r="BD67" t="str">
        <f>'Ashed teabags wet'!A482</f>
        <v>R185</v>
      </c>
      <c r="BE67" t="b">
        <f t="shared" si="19"/>
        <v>0</v>
      </c>
      <c r="BF67" t="b">
        <f t="shared" si="20"/>
        <v>0</v>
      </c>
      <c r="BG67">
        <f>IFERROR('Ashed teabags wet'!C65,"")</f>
        <v>1</v>
      </c>
      <c r="BH67">
        <f>IFERROR('Ashed teabags wet'!C482,"")</f>
        <v>63</v>
      </c>
      <c r="BI67" t="str">
        <f>'Ashed teabags wet'!AB65</f>
        <v/>
      </c>
      <c r="BJ67" t="str">
        <f>'Ashed teabags wet'!AC65</f>
        <v/>
      </c>
      <c r="BK67">
        <f>'Ashed teabags wet'!AD482</f>
        <v>62</v>
      </c>
      <c r="BL67" t="str">
        <f>'Ashed teabags wet'!AE482</f>
        <v/>
      </c>
      <c r="BN67" t="str">
        <f t="shared" si="21"/>
        <v>G433</v>
      </c>
      <c r="BO67" t="b">
        <f t="shared" si="23"/>
        <v>1</v>
      </c>
    </row>
    <row r="68" spans="2:67" ht="12" customHeight="1">
      <c r="B68" t="str">
        <f>TBIDry!H140</f>
        <v>G495</v>
      </c>
      <c r="C68" t="str">
        <f>TBIDry!I140</f>
        <v>R731</v>
      </c>
      <c r="D68" t="b">
        <f t="shared" si="0"/>
        <v>0</v>
      </c>
      <c r="E68" t="b">
        <f t="shared" si="1"/>
        <v>0</v>
      </c>
      <c r="G68" t="str">
        <f>TBIWet!H140</f>
        <v>G614</v>
      </c>
      <c r="H68" t="str">
        <f>TBIWet!I140</f>
        <v>R525</v>
      </c>
      <c r="I68" t="b">
        <f t="shared" si="2"/>
        <v>0</v>
      </c>
      <c r="J68" t="b">
        <f t="shared" si="22"/>
        <v>0</v>
      </c>
      <c r="L68" t="str">
        <f>'Both teabags AfterWet'!A67</f>
        <v>G429</v>
      </c>
      <c r="M68" t="str">
        <f>'Both teabags AfterWet'!A485</f>
        <v>R172</v>
      </c>
      <c r="N68" t="b">
        <f t="shared" si="3"/>
        <v>0</v>
      </c>
      <c r="O68" t="b">
        <f t="shared" si="4"/>
        <v>0</v>
      </c>
      <c r="P68">
        <f>IFERROR('Both teabags AfterWet'!B67,"")</f>
        <v>167</v>
      </c>
      <c r="Q68" t="str">
        <f>'Both teabags AfterWet'!B485</f>
        <v>n.a</v>
      </c>
      <c r="S68" s="401" t="b">
        <f t="shared" si="5"/>
        <v>0</v>
      </c>
      <c r="T68" s="401" t="b">
        <f t="shared" si="6"/>
        <v>0</v>
      </c>
      <c r="V68" t="str">
        <f>'Both teabags AfterDry'!A67</f>
        <v>G181</v>
      </c>
      <c r="W68" t="str">
        <f>'Both teabags AfterDry'!A404</f>
        <v>R270</v>
      </c>
      <c r="X68" t="b">
        <f t="shared" si="7"/>
        <v>0</v>
      </c>
      <c r="Y68" t="b">
        <f t="shared" si="8"/>
        <v>0</v>
      </c>
      <c r="AA68" t="str">
        <f>'Green_rooibos initial weight'!A69</f>
        <v>G65</v>
      </c>
      <c r="AB68" t="str">
        <f>'Green_rooibos initial weight'!A973</f>
        <v>R65</v>
      </c>
      <c r="AC68" t="b">
        <f t="shared" si="9"/>
        <v>0</v>
      </c>
      <c r="AD68" t="b">
        <f t="shared" si="10"/>
        <v>0</v>
      </c>
      <c r="AG68" t="str">
        <f>'WetLitterbags placem_collection'!K67</f>
        <v>G614</v>
      </c>
      <c r="AH68" t="str">
        <f>'WetLitterbags placem_collection'!M67</f>
        <v>R525</v>
      </c>
      <c r="AI68" t="b">
        <f t="shared" si="11"/>
        <v>0</v>
      </c>
      <c r="AJ68" t="b">
        <f t="shared" si="12"/>
        <v>0</v>
      </c>
      <c r="AK68">
        <f>'WetLitterbags placem_collection'!A67</f>
        <v>65</v>
      </c>
      <c r="AL68">
        <f>'WetLitterbags placem_collection'!A67</f>
        <v>65</v>
      </c>
      <c r="AN68">
        <f>IF('Dry_Litterbag Placem_Collection'!J67=0,"",'Dry_Litterbag Placem_Collection'!J67)</f>
        <v>495</v>
      </c>
      <c r="AO68">
        <f>IF('Dry_Litterbag Placem_Collection'!K67=0,"",'Dry_Litterbag Placem_Collection'!K67)</f>
        <v>731</v>
      </c>
      <c r="AP68" t="b">
        <f t="shared" si="13"/>
        <v>0</v>
      </c>
      <c r="AQ68" t="b">
        <f t="shared" si="14"/>
        <v>0</v>
      </c>
      <c r="AT68" t="str">
        <f>'Ashed teabags dry'!A66</f>
        <v>G176</v>
      </c>
      <c r="AU68" t="str">
        <f>'Ashed teabags dry'!A403</f>
        <v>R267</v>
      </c>
      <c r="AV68" t="b">
        <f t="shared" si="15"/>
        <v>0</v>
      </c>
      <c r="AW68" t="b">
        <f t="shared" si="16"/>
        <v>0</v>
      </c>
      <c r="AZ68" s="401" t="b">
        <f t="shared" si="17"/>
        <v>0</v>
      </c>
      <c r="BA68" s="401" t="b">
        <f t="shared" si="18"/>
        <v>0</v>
      </c>
      <c r="BC68" t="str">
        <f>'Ashed teabags wet'!A66</f>
        <v>G437</v>
      </c>
      <c r="BD68" t="str">
        <f>'Ashed teabags wet'!A483</f>
        <v>R186</v>
      </c>
      <c r="BE68" t="b">
        <f t="shared" si="19"/>
        <v>0</v>
      </c>
      <c r="BF68" t="b">
        <f t="shared" si="20"/>
        <v>0</v>
      </c>
      <c r="BG68">
        <f>IFERROR('Ashed teabags wet'!C66,"")</f>
        <v>42</v>
      </c>
      <c r="BH68">
        <f>IFERROR('Ashed teabags wet'!C483,"")</f>
        <v>186</v>
      </c>
      <c r="BI68" t="str">
        <f>'Ashed teabags wet'!AB66</f>
        <v/>
      </c>
      <c r="BJ68">
        <f>'Ashed teabags wet'!AC66</f>
        <v>41</v>
      </c>
      <c r="BK68" t="str">
        <f>'Ashed teabags wet'!AD483</f>
        <v/>
      </c>
      <c r="BL68">
        <f>'Ashed teabags wet'!AE483</f>
        <v>185</v>
      </c>
      <c r="BN68" t="str">
        <f t="shared" si="21"/>
        <v>G436</v>
      </c>
      <c r="BO68" t="b">
        <f t="shared" si="23"/>
        <v>1</v>
      </c>
    </row>
    <row r="69" spans="2:67" ht="12" customHeight="1">
      <c r="B69" t="str">
        <f>TBIDry!H141</f>
        <v>G247</v>
      </c>
      <c r="C69" t="str">
        <f>TBIDry!I141</f>
        <v>R816</v>
      </c>
      <c r="D69" t="b">
        <f t="shared" ref="D69:D132" si="24">COUNTIF($B$4:$B$2000, B69)&gt;1</f>
        <v>0</v>
      </c>
      <c r="E69" t="b">
        <f t="shared" ref="E69:E132" si="25">COUNTIF($C$4:$C$2000, C69)&gt;1</f>
        <v>0</v>
      </c>
      <c r="G69" t="str">
        <f>TBIWet!H141</f>
        <v>G282</v>
      </c>
      <c r="H69" t="str">
        <f>TBIWet!I141</f>
        <v>R150</v>
      </c>
      <c r="I69" t="b">
        <f t="shared" ref="I69:I132" si="26">COUNTIF($G$4:$G$2000, G69)&gt;1</f>
        <v>0</v>
      </c>
      <c r="J69" t="b">
        <f t="shared" ref="J69:J132" si="27">COUNTIF($H$4:$H$2000, H69)&gt;1</f>
        <v>0</v>
      </c>
      <c r="L69" t="str">
        <f>'Both teabags AfterWet'!A68</f>
        <v>G433</v>
      </c>
      <c r="M69" t="str">
        <f>'Both teabags AfterWet'!A486</f>
        <v>R176</v>
      </c>
      <c r="N69" t="b">
        <f t="shared" ref="N69:N132" si="28">COUNTIF($L$4:$L$2000, L69)&gt;1</f>
        <v>0</v>
      </c>
      <c r="O69" t="b">
        <f t="shared" ref="O69:O132" si="29">COUNTIF($M$4:$M$2000, M69)&gt;1</f>
        <v>0</v>
      </c>
      <c r="P69">
        <f>IFERROR('Both teabags AfterWet'!B68,"")</f>
        <v>170</v>
      </c>
      <c r="Q69">
        <f>'Both teabags AfterWet'!B486</f>
        <v>219</v>
      </c>
      <c r="S69" s="401" t="b">
        <f t="shared" ref="S69:S132" si="30">COUNTIF($V$4:$V$2000, L69)=1</f>
        <v>0</v>
      </c>
      <c r="T69" s="401" t="b">
        <f t="shared" ref="T69:T132" si="31">COUNTIF($W$4:$W$2000, M69)=1</f>
        <v>0</v>
      </c>
      <c r="V69" t="str">
        <f>'Both teabags AfterDry'!A68</f>
        <v>G182</v>
      </c>
      <c r="W69" t="str">
        <f>'Both teabags AfterDry'!A405</f>
        <v>R272</v>
      </c>
      <c r="X69" t="b">
        <f t="shared" ref="X69:X132" si="32">COUNTIF($V$4:$V$2000, V69)&gt;1</f>
        <v>0</v>
      </c>
      <c r="Y69" t="b">
        <f t="shared" ref="Y69:Y132" si="33">COUNTIF($W$4:$W$2000, W69)&gt;1</f>
        <v>0</v>
      </c>
      <c r="AA69" t="str">
        <f>'Green_rooibos initial weight'!A70</f>
        <v>G66</v>
      </c>
      <c r="AB69" t="str">
        <f>'Green_rooibos initial weight'!A974</f>
        <v>R66</v>
      </c>
      <c r="AC69" t="b">
        <f t="shared" ref="AC69:AC132" si="34">COUNTIF($AA$4:$AA$2000, AA69)&gt;1</f>
        <v>0</v>
      </c>
      <c r="AD69" t="b">
        <f t="shared" ref="AD69:AD132" si="35">COUNTIF($AB$4:$AB$2000, AB69)&gt;1</f>
        <v>0</v>
      </c>
      <c r="AG69" t="str">
        <f>'WetLitterbags placem_collection'!K68</f>
        <v>G282</v>
      </c>
      <c r="AH69" t="str">
        <f>'WetLitterbags placem_collection'!M68</f>
        <v>R150</v>
      </c>
      <c r="AI69" t="b">
        <f t="shared" ref="AI69:AI132" si="36">COUNTIF($AG$4:$AG$2000, AG69)&gt;1</f>
        <v>0</v>
      </c>
      <c r="AJ69" t="b">
        <f t="shared" ref="AJ69:AJ132" si="37">COUNTIF($AH$4:$AH$2000, AH69)&gt;1</f>
        <v>0</v>
      </c>
      <c r="AK69">
        <f>'WetLitterbags placem_collection'!A68</f>
        <v>66</v>
      </c>
      <c r="AL69">
        <f>'WetLitterbags placem_collection'!A68</f>
        <v>66</v>
      </c>
      <c r="AN69">
        <f>IF('Dry_Litterbag Placem_Collection'!J68=0,"",'Dry_Litterbag Placem_Collection'!J68)</f>
        <v>247</v>
      </c>
      <c r="AO69">
        <f>IF('Dry_Litterbag Placem_Collection'!K68=0,"",'Dry_Litterbag Placem_Collection'!K68)</f>
        <v>816</v>
      </c>
      <c r="AP69" t="b">
        <f t="shared" ref="AP69:AP132" si="38">COUNTIF($AN$4:$AN$2000, AN69)&gt;1</f>
        <v>0</v>
      </c>
      <c r="AQ69" t="b">
        <f t="shared" ref="AQ69:AQ132" si="39">COUNTIF($AO$4:$AO$2000, AO69)&gt;1</f>
        <v>0</v>
      </c>
      <c r="AT69" t="str">
        <f>'Ashed teabags dry'!A67</f>
        <v>G179</v>
      </c>
      <c r="AU69" t="str">
        <f>'Ashed teabags dry'!A404</f>
        <v>R269</v>
      </c>
      <c r="AV69" t="b">
        <f t="shared" ref="AV69:AV132" si="40">COUNTIF($AT$4:$AT$2000, AT69)&gt;1</f>
        <v>0</v>
      </c>
      <c r="AW69" t="b">
        <f t="shared" ref="AW69:AW132" si="41">COUNTIF($AU$4:$AU$2000, AU69)&gt;1</f>
        <v>0</v>
      </c>
      <c r="AZ69" s="401" t="b">
        <f t="shared" ref="AZ69:AZ132" si="42">COUNTIF($BC$4:$BC$2000, AT69)=1</f>
        <v>0</v>
      </c>
      <c r="BA69" s="401" t="b">
        <f t="shared" ref="BA69:BA132" si="43">COUNTIF($BD$4:$BD$2000, AU69)=1</f>
        <v>0</v>
      </c>
      <c r="BC69" t="str">
        <f>'Ashed teabags wet'!A67</f>
        <v>G439</v>
      </c>
      <c r="BD69" t="str">
        <f>'Ashed teabags wet'!A484</f>
        <v>R187</v>
      </c>
      <c r="BE69" t="b">
        <f t="shared" ref="BE69:BE132" si="44">COUNTIF($BC$4:$BC$2000, BC69)&gt;1</f>
        <v>0</v>
      </c>
      <c r="BF69" t="b">
        <f t="shared" ref="BF69:BF132" si="45">COUNTIF($BD$4:$BD$2000, BD69)&gt;1</f>
        <v>0</v>
      </c>
      <c r="BG69">
        <f>IFERROR('Ashed teabags wet'!C67,"")</f>
        <v>172</v>
      </c>
      <c r="BH69">
        <f>IFERROR('Ashed teabags wet'!C484,"")</f>
        <v>81</v>
      </c>
      <c r="BI69" t="str">
        <f>'Ashed teabags wet'!AB67</f>
        <v/>
      </c>
      <c r="BJ69">
        <f>'Ashed teabags wet'!AC67</f>
        <v>171</v>
      </c>
      <c r="BK69">
        <f>'Ashed teabags wet'!AD484</f>
        <v>80</v>
      </c>
      <c r="BL69" t="str">
        <f>'Ashed teabags wet'!AE484</f>
        <v/>
      </c>
      <c r="BN69" t="str">
        <f t="shared" ref="BN69:BN132" si="46">BC68</f>
        <v>G437</v>
      </c>
      <c r="BO69" t="b">
        <f t="shared" si="23"/>
        <v>1</v>
      </c>
    </row>
    <row r="70" spans="2:67" ht="12" customHeight="1">
      <c r="B70" t="str">
        <f>TBIDry!H142</f>
        <v/>
      </c>
      <c r="C70" t="str">
        <f>TBIDry!I142</f>
        <v/>
      </c>
      <c r="D70" t="b">
        <f t="shared" si="24"/>
        <v>1</v>
      </c>
      <c r="E70" t="b">
        <f t="shared" si="25"/>
        <v>1</v>
      </c>
      <c r="G70" t="str">
        <f>TBIWet!H142</f>
        <v>G450</v>
      </c>
      <c r="H70" t="str">
        <f>TBIWet!I142</f>
        <v>R165</v>
      </c>
      <c r="I70" t="b">
        <f t="shared" si="26"/>
        <v>0</v>
      </c>
      <c r="J70" t="b">
        <f t="shared" si="27"/>
        <v>0</v>
      </c>
      <c r="L70" t="str">
        <f>'Both teabags AfterWet'!A69</f>
        <v>G436</v>
      </c>
      <c r="M70" t="str">
        <f>'Both teabags AfterWet'!A487</f>
        <v>R177</v>
      </c>
      <c r="N70" t="b">
        <f t="shared" si="28"/>
        <v>0</v>
      </c>
      <c r="O70" t="b">
        <f t="shared" si="29"/>
        <v>0</v>
      </c>
      <c r="P70" t="str">
        <f>IFERROR('Both teabags AfterWet'!B69,"")</f>
        <v>na</v>
      </c>
      <c r="Q70" t="str">
        <f>'Both teabags AfterWet'!B487</f>
        <v>n.a</v>
      </c>
      <c r="S70" s="401" t="b">
        <f t="shared" si="30"/>
        <v>0</v>
      </c>
      <c r="T70" s="401" t="b">
        <f t="shared" si="31"/>
        <v>0</v>
      </c>
      <c r="V70" t="str">
        <f>'Both teabags AfterDry'!A69</f>
        <v>G183</v>
      </c>
      <c r="W70" t="str">
        <f>'Both teabags AfterDry'!A406</f>
        <v>R275</v>
      </c>
      <c r="X70" t="b">
        <f t="shared" si="32"/>
        <v>0</v>
      </c>
      <c r="Y70" t="b">
        <f t="shared" si="33"/>
        <v>0</v>
      </c>
      <c r="AA70" t="str">
        <f>'Green_rooibos initial weight'!A71</f>
        <v>G67</v>
      </c>
      <c r="AB70" t="str">
        <f>'Green_rooibos initial weight'!A975</f>
        <v>R67</v>
      </c>
      <c r="AC70" t="b">
        <f t="shared" si="34"/>
        <v>0</v>
      </c>
      <c r="AD70" t="b">
        <f t="shared" si="35"/>
        <v>0</v>
      </c>
      <c r="AG70" t="str">
        <f>'WetLitterbags placem_collection'!K69</f>
        <v>G450</v>
      </c>
      <c r="AH70" t="str">
        <f>'WetLitterbags placem_collection'!M69</f>
        <v>R165</v>
      </c>
      <c r="AI70" t="b">
        <f t="shared" si="36"/>
        <v>0</v>
      </c>
      <c r="AJ70" t="b">
        <f t="shared" si="37"/>
        <v>0</v>
      </c>
      <c r="AK70">
        <f>'WetLitterbags placem_collection'!A69</f>
        <v>67</v>
      </c>
      <c r="AL70">
        <f>'WetLitterbags placem_collection'!A69</f>
        <v>67</v>
      </c>
      <c r="AN70" t="str">
        <f>IF('Dry_Litterbag Placem_Collection'!J69=0,"",'Dry_Litterbag Placem_Collection'!J69)</f>
        <v/>
      </c>
      <c r="AO70" t="str">
        <f>IF('Dry_Litterbag Placem_Collection'!K69=0,"",'Dry_Litterbag Placem_Collection'!K69)</f>
        <v/>
      </c>
      <c r="AP70" t="b">
        <f t="shared" si="38"/>
        <v>1</v>
      </c>
      <c r="AQ70" t="b">
        <f t="shared" si="39"/>
        <v>1</v>
      </c>
      <c r="AT70" t="str">
        <f>'Ashed teabags dry'!A68</f>
        <v>G181</v>
      </c>
      <c r="AU70" t="str">
        <f>'Ashed teabags dry'!A405</f>
        <v>R270</v>
      </c>
      <c r="AV70" t="b">
        <f t="shared" si="40"/>
        <v>0</v>
      </c>
      <c r="AW70" t="b">
        <f t="shared" si="41"/>
        <v>0</v>
      </c>
      <c r="AZ70" s="401" t="b">
        <f t="shared" si="42"/>
        <v>0</v>
      </c>
      <c r="BA70" s="401" t="b">
        <f t="shared" si="43"/>
        <v>0</v>
      </c>
      <c r="BC70" t="str">
        <f>'Ashed teabags wet'!A68</f>
        <v>G440</v>
      </c>
      <c r="BD70" t="str">
        <f>'Ashed teabags wet'!A485</f>
        <v>R189</v>
      </c>
      <c r="BE70" t="b">
        <f t="shared" si="44"/>
        <v>0</v>
      </c>
      <c r="BF70" t="b">
        <f t="shared" si="45"/>
        <v>0</v>
      </c>
      <c r="BG70">
        <f>IFERROR('Ashed teabags wet'!C68,"")</f>
        <v>63</v>
      </c>
      <c r="BH70">
        <f>IFERROR('Ashed teabags wet'!C485,"")</f>
        <v>26</v>
      </c>
      <c r="BI70" t="str">
        <f>'Ashed teabags wet'!AB68</f>
        <v/>
      </c>
      <c r="BJ70">
        <f>'Ashed teabags wet'!AC68</f>
        <v>62</v>
      </c>
      <c r="BK70" t="str">
        <f>'Ashed teabags wet'!AD485</f>
        <v/>
      </c>
      <c r="BL70">
        <f>'Ashed teabags wet'!AE485</f>
        <v>25</v>
      </c>
      <c r="BN70" t="str">
        <f t="shared" si="46"/>
        <v>G439</v>
      </c>
      <c r="BO70" t="b">
        <f t="shared" ref="BO70:BO133" si="47">COUNTIF($BN$5:$BN$2000, BN70)&gt;1</f>
        <v>1</v>
      </c>
    </row>
    <row r="71" spans="2:67" ht="12" customHeight="1">
      <c r="B71" t="str">
        <f>TBIDry!H143</f>
        <v>G63</v>
      </c>
      <c r="C71" t="str">
        <f>TBIDry!I143</f>
        <v>R815</v>
      </c>
      <c r="D71" t="b">
        <f t="shared" si="24"/>
        <v>0</v>
      </c>
      <c r="E71" t="b">
        <f t="shared" si="25"/>
        <v>0</v>
      </c>
      <c r="G71" t="str">
        <f>TBIWet!H143</f>
        <v>G269</v>
      </c>
      <c r="H71" t="str">
        <f>TBIWet!I143</f>
        <v>R129</v>
      </c>
      <c r="I71" t="b">
        <f t="shared" si="26"/>
        <v>0</v>
      </c>
      <c r="J71" t="b">
        <f t="shared" si="27"/>
        <v>0</v>
      </c>
      <c r="L71" t="str">
        <f>'Both teabags AfterWet'!A70</f>
        <v>G437</v>
      </c>
      <c r="M71" t="str">
        <f>'Both teabags AfterWet'!A488</f>
        <v>R181</v>
      </c>
      <c r="N71" t="b">
        <f t="shared" si="28"/>
        <v>0</v>
      </c>
      <c r="O71" t="b">
        <f t="shared" si="29"/>
        <v>0</v>
      </c>
      <c r="P71">
        <f>IFERROR('Both teabags AfterWet'!B70,"")</f>
        <v>42</v>
      </c>
      <c r="Q71">
        <f>'Both teabags AfterWet'!B488</f>
        <v>80</v>
      </c>
      <c r="S71" s="401" t="b">
        <f t="shared" si="30"/>
        <v>0</v>
      </c>
      <c r="T71" s="401" t="b">
        <f t="shared" si="31"/>
        <v>0</v>
      </c>
      <c r="V71" t="str">
        <f>'Both teabags AfterDry'!A70</f>
        <v>G184</v>
      </c>
      <c r="W71" t="str">
        <f>'Both teabags AfterDry'!A407</f>
        <v>R276</v>
      </c>
      <c r="X71" t="b">
        <f t="shared" si="32"/>
        <v>0</v>
      </c>
      <c r="Y71" t="b">
        <f t="shared" si="33"/>
        <v>0</v>
      </c>
      <c r="AA71" t="str">
        <f>'Green_rooibos initial weight'!A72</f>
        <v>G68</v>
      </c>
      <c r="AB71" t="str">
        <f>'Green_rooibos initial weight'!A976</f>
        <v>R68</v>
      </c>
      <c r="AC71" t="b">
        <f t="shared" si="34"/>
        <v>0</v>
      </c>
      <c r="AD71" t="b">
        <f t="shared" si="35"/>
        <v>0</v>
      </c>
      <c r="AG71" t="str">
        <f>'WetLitterbags placem_collection'!K70</f>
        <v>G269</v>
      </c>
      <c r="AH71" t="str">
        <f>'WetLitterbags placem_collection'!M70</f>
        <v>R129</v>
      </c>
      <c r="AI71" t="b">
        <f t="shared" si="36"/>
        <v>0</v>
      </c>
      <c r="AJ71" t="b">
        <f t="shared" si="37"/>
        <v>0</v>
      </c>
      <c r="AK71">
        <f>'WetLitterbags placem_collection'!A70</f>
        <v>68</v>
      </c>
      <c r="AL71">
        <f>'WetLitterbags placem_collection'!A70</f>
        <v>68</v>
      </c>
      <c r="AN71">
        <f>IF('Dry_Litterbag Placem_Collection'!J70=0,"",'Dry_Litterbag Placem_Collection'!J70)</f>
        <v>63</v>
      </c>
      <c r="AO71">
        <f>IF('Dry_Litterbag Placem_Collection'!K70=0,"",'Dry_Litterbag Placem_Collection'!K70)</f>
        <v>815</v>
      </c>
      <c r="AP71" t="b">
        <f t="shared" si="38"/>
        <v>0</v>
      </c>
      <c r="AQ71" t="b">
        <f t="shared" si="39"/>
        <v>0</v>
      </c>
      <c r="AT71" t="str">
        <f>'Ashed teabags dry'!A69</f>
        <v>G182</v>
      </c>
      <c r="AU71" t="str">
        <f>'Ashed teabags dry'!A406</f>
        <v>R272</v>
      </c>
      <c r="AV71" t="b">
        <f t="shared" si="40"/>
        <v>0</v>
      </c>
      <c r="AW71" t="b">
        <f t="shared" si="41"/>
        <v>0</v>
      </c>
      <c r="AZ71" s="401" t="b">
        <f t="shared" si="42"/>
        <v>0</v>
      </c>
      <c r="BA71" s="401" t="b">
        <f t="shared" si="43"/>
        <v>0</v>
      </c>
      <c r="BC71" t="str">
        <f>'Ashed teabags wet'!A69</f>
        <v>G441</v>
      </c>
      <c r="BD71" t="str">
        <f>'Ashed teabags wet'!A486</f>
        <v>R190</v>
      </c>
      <c r="BE71" t="b">
        <f t="shared" si="44"/>
        <v>0</v>
      </c>
      <c r="BF71" t="b">
        <f t="shared" si="45"/>
        <v>0</v>
      </c>
      <c r="BG71">
        <f>IFERROR('Ashed teabags wet'!C69,"")</f>
        <v>85</v>
      </c>
      <c r="BH71">
        <f>IFERROR('Ashed teabags wet'!C486,"")</f>
        <v>23</v>
      </c>
      <c r="BI71" t="str">
        <f>'Ashed teabags wet'!AB69</f>
        <v/>
      </c>
      <c r="BJ71">
        <f>'Ashed teabags wet'!AC69</f>
        <v>84</v>
      </c>
      <c r="BK71">
        <f>'Ashed teabags wet'!AD486</f>
        <v>22</v>
      </c>
      <c r="BL71" t="str">
        <f>'Ashed teabags wet'!AE486</f>
        <v/>
      </c>
      <c r="BN71" t="str">
        <f t="shared" si="46"/>
        <v>G440</v>
      </c>
      <c r="BO71" t="b">
        <f t="shared" si="47"/>
        <v>1</v>
      </c>
    </row>
    <row r="72" spans="2:67" ht="12" customHeight="1">
      <c r="B72" t="str">
        <f>TBIDry!H144</f>
        <v>G382</v>
      </c>
      <c r="C72" t="str">
        <f>TBIDry!I144</f>
        <v>R741</v>
      </c>
      <c r="D72" t="b">
        <f t="shared" si="24"/>
        <v>0</v>
      </c>
      <c r="E72" t="b">
        <f t="shared" si="25"/>
        <v>0</v>
      </c>
      <c r="G72" t="str">
        <f>TBIWet!H144</f>
        <v>G448</v>
      </c>
      <c r="H72" t="str">
        <f>TBIWet!I144</f>
        <v>R414</v>
      </c>
      <c r="I72" t="b">
        <f t="shared" si="26"/>
        <v>0</v>
      </c>
      <c r="J72" t="b">
        <f t="shared" si="27"/>
        <v>0</v>
      </c>
      <c r="L72" t="str">
        <f>'Both teabags AfterWet'!A71</f>
        <v>G439</v>
      </c>
      <c r="M72" t="str">
        <f>'Both teabags AfterWet'!A489</f>
        <v>R182</v>
      </c>
      <c r="N72" t="b">
        <f t="shared" si="28"/>
        <v>0</v>
      </c>
      <c r="O72" t="b">
        <f t="shared" si="29"/>
        <v>0</v>
      </c>
      <c r="P72">
        <f>IFERROR('Both teabags AfterWet'!B71,"")</f>
        <v>172</v>
      </c>
      <c r="Q72">
        <f>'Both teabags AfterWet'!B489</f>
        <v>202</v>
      </c>
      <c r="S72" s="401" t="b">
        <f t="shared" si="30"/>
        <v>0</v>
      </c>
      <c r="T72" s="401" t="b">
        <f t="shared" si="31"/>
        <v>0</v>
      </c>
      <c r="V72" t="str">
        <f>'Both teabags AfterDry'!A71</f>
        <v>G185</v>
      </c>
      <c r="W72" t="str">
        <f>'Both teabags AfterDry'!A408</f>
        <v>R277</v>
      </c>
      <c r="X72" t="b">
        <f t="shared" si="32"/>
        <v>0</v>
      </c>
      <c r="Y72" t="b">
        <f t="shared" si="33"/>
        <v>0</v>
      </c>
      <c r="AA72" t="str">
        <f>'Green_rooibos initial weight'!A73</f>
        <v>G69</v>
      </c>
      <c r="AB72" t="str">
        <f>'Green_rooibos initial weight'!A977</f>
        <v>R69</v>
      </c>
      <c r="AC72" t="b">
        <f t="shared" si="34"/>
        <v>0</v>
      </c>
      <c r="AD72" t="b">
        <f t="shared" si="35"/>
        <v>0</v>
      </c>
      <c r="AG72" t="str">
        <f>'WetLitterbags placem_collection'!K71</f>
        <v>G448</v>
      </c>
      <c r="AH72" t="str">
        <f>'WetLitterbags placem_collection'!M71</f>
        <v>R414</v>
      </c>
      <c r="AI72" t="b">
        <f t="shared" si="36"/>
        <v>0</v>
      </c>
      <c r="AJ72" t="b">
        <f t="shared" si="37"/>
        <v>0</v>
      </c>
      <c r="AK72">
        <f>'WetLitterbags placem_collection'!A71</f>
        <v>69</v>
      </c>
      <c r="AL72">
        <f>'WetLitterbags placem_collection'!A71</f>
        <v>69</v>
      </c>
      <c r="AN72">
        <f>IF('Dry_Litterbag Placem_Collection'!J71=0,"",'Dry_Litterbag Placem_Collection'!J71)</f>
        <v>382</v>
      </c>
      <c r="AO72">
        <f>IF('Dry_Litterbag Placem_Collection'!K71=0,"",'Dry_Litterbag Placem_Collection'!K71)</f>
        <v>741</v>
      </c>
      <c r="AP72" t="b">
        <f t="shared" si="38"/>
        <v>0</v>
      </c>
      <c r="AQ72" t="b">
        <f t="shared" si="39"/>
        <v>0</v>
      </c>
      <c r="AT72" t="str">
        <f>'Ashed teabags dry'!A70</f>
        <v>G183</v>
      </c>
      <c r="AU72" t="str">
        <f>'Ashed teabags dry'!A407</f>
        <v>R275</v>
      </c>
      <c r="AV72" t="b">
        <f t="shared" si="40"/>
        <v>0</v>
      </c>
      <c r="AW72" t="b">
        <f t="shared" si="41"/>
        <v>0</v>
      </c>
      <c r="AZ72" s="401" t="b">
        <f t="shared" si="42"/>
        <v>0</v>
      </c>
      <c r="BA72" s="401" t="b">
        <f t="shared" si="43"/>
        <v>0</v>
      </c>
      <c r="BC72" t="str">
        <f>'Ashed teabags wet'!A70</f>
        <v>G442</v>
      </c>
      <c r="BD72" t="str">
        <f>'Ashed teabags wet'!A487</f>
        <v>R2</v>
      </c>
      <c r="BE72" t="b">
        <f t="shared" si="44"/>
        <v>0</v>
      </c>
      <c r="BF72" t="b">
        <f t="shared" si="45"/>
        <v>0</v>
      </c>
      <c r="BG72">
        <f>IFERROR('Ashed teabags wet'!C70,"")</f>
        <v>162</v>
      </c>
      <c r="BH72">
        <f>IFERROR('Ashed teabags wet'!C487,"")</f>
        <v>11</v>
      </c>
      <c r="BI72" t="str">
        <f>'Ashed teabags wet'!AB70</f>
        <v/>
      </c>
      <c r="BJ72">
        <f>'Ashed teabags wet'!AC70</f>
        <v>161</v>
      </c>
      <c r="BK72" t="str">
        <f>'Ashed teabags wet'!AD487</f>
        <v/>
      </c>
      <c r="BL72">
        <f>'Ashed teabags wet'!AE487</f>
        <v>10</v>
      </c>
      <c r="BN72" t="str">
        <f t="shared" si="46"/>
        <v>G441</v>
      </c>
      <c r="BO72" t="b">
        <f t="shared" si="47"/>
        <v>1</v>
      </c>
    </row>
    <row r="73" spans="2:67" ht="12" customHeight="1">
      <c r="B73" t="str">
        <f>TBIDry!H145</f>
        <v>G278</v>
      </c>
      <c r="C73" t="str">
        <f>TBIDry!I145</f>
        <v>R294</v>
      </c>
      <c r="D73" t="b">
        <f t="shared" si="24"/>
        <v>0</v>
      </c>
      <c r="E73" t="b">
        <f t="shared" si="25"/>
        <v>0</v>
      </c>
      <c r="G73" t="str">
        <f>TBIWet!H145</f>
        <v>G358</v>
      </c>
      <c r="H73" t="str">
        <f>TBIWet!I145</f>
        <v>R151</v>
      </c>
      <c r="I73" t="b">
        <f t="shared" si="26"/>
        <v>0</v>
      </c>
      <c r="J73" t="b">
        <f t="shared" si="27"/>
        <v>0</v>
      </c>
      <c r="L73" t="str">
        <f>'Both teabags AfterWet'!A72</f>
        <v>G440</v>
      </c>
      <c r="M73" t="str">
        <f>'Both teabags AfterWet'!A490</f>
        <v>R183</v>
      </c>
      <c r="N73" t="b">
        <f t="shared" si="28"/>
        <v>0</v>
      </c>
      <c r="O73" t="b">
        <f t="shared" si="29"/>
        <v>0</v>
      </c>
      <c r="P73">
        <f>IFERROR('Both teabags AfterWet'!B72,"")</f>
        <v>63</v>
      </c>
      <c r="Q73">
        <f>'Both teabags AfterWet'!B490</f>
        <v>75</v>
      </c>
      <c r="S73" s="401" t="b">
        <f t="shared" si="30"/>
        <v>0</v>
      </c>
      <c r="T73" s="401" t="b">
        <f t="shared" si="31"/>
        <v>0</v>
      </c>
      <c r="V73" t="str">
        <f>'Both teabags AfterDry'!A72</f>
        <v>G186</v>
      </c>
      <c r="W73" t="str">
        <f>'Both teabags AfterDry'!A409</f>
        <v>R280</v>
      </c>
      <c r="X73" t="b">
        <f t="shared" si="32"/>
        <v>0</v>
      </c>
      <c r="Y73" t="b">
        <f t="shared" si="33"/>
        <v>0</v>
      </c>
      <c r="AA73" t="str">
        <f>'Green_rooibos initial weight'!A74</f>
        <v>G70</v>
      </c>
      <c r="AB73" t="str">
        <f>'Green_rooibos initial weight'!A978</f>
        <v>R70</v>
      </c>
      <c r="AC73" t="b">
        <f t="shared" si="34"/>
        <v>0</v>
      </c>
      <c r="AD73" t="b">
        <f t="shared" si="35"/>
        <v>0</v>
      </c>
      <c r="AG73" t="str">
        <f>'WetLitterbags placem_collection'!K72</f>
        <v>G358</v>
      </c>
      <c r="AH73" t="str">
        <f>'WetLitterbags placem_collection'!M72</f>
        <v>R151</v>
      </c>
      <c r="AI73" t="b">
        <f t="shared" si="36"/>
        <v>0</v>
      </c>
      <c r="AJ73" t="b">
        <f t="shared" si="37"/>
        <v>0</v>
      </c>
      <c r="AK73">
        <f>'WetLitterbags placem_collection'!A72</f>
        <v>70</v>
      </c>
      <c r="AL73">
        <f>'WetLitterbags placem_collection'!A72</f>
        <v>70</v>
      </c>
      <c r="AN73">
        <f>IF('Dry_Litterbag Placem_Collection'!J72=0,"",'Dry_Litterbag Placem_Collection'!J72)</f>
        <v>278</v>
      </c>
      <c r="AO73">
        <f>IF('Dry_Litterbag Placem_Collection'!K72=0,"",'Dry_Litterbag Placem_Collection'!K72)</f>
        <v>294</v>
      </c>
      <c r="AP73" t="b">
        <f t="shared" si="38"/>
        <v>0</v>
      </c>
      <c r="AQ73" t="b">
        <f t="shared" si="39"/>
        <v>0</v>
      </c>
      <c r="AT73" t="str">
        <f>'Ashed teabags dry'!A71</f>
        <v>G184</v>
      </c>
      <c r="AU73" t="str">
        <f>'Ashed teabags dry'!A408</f>
        <v>R276</v>
      </c>
      <c r="AV73" t="b">
        <f t="shared" si="40"/>
        <v>0</v>
      </c>
      <c r="AW73" t="b">
        <f t="shared" si="41"/>
        <v>0</v>
      </c>
      <c r="AZ73" s="401" t="b">
        <f t="shared" si="42"/>
        <v>0</v>
      </c>
      <c r="BA73" s="401" t="b">
        <f t="shared" si="43"/>
        <v>0</v>
      </c>
      <c r="BC73" t="str">
        <f>'Ashed teabags wet'!A71</f>
        <v>G443</v>
      </c>
      <c r="BD73" t="str">
        <f>'Ashed teabags wet'!A488</f>
        <v>R20</v>
      </c>
      <c r="BE73" t="b">
        <f t="shared" si="44"/>
        <v>0</v>
      </c>
      <c r="BF73" t="b">
        <f t="shared" si="45"/>
        <v>0</v>
      </c>
      <c r="BG73">
        <f>IFERROR('Ashed teabags wet'!C71,"")</f>
        <v>167</v>
      </c>
      <c r="BH73">
        <f>IFERROR('Ashed teabags wet'!C488,"")</f>
        <v>148</v>
      </c>
      <c r="BI73" t="str">
        <f>'Ashed teabags wet'!AB71</f>
        <v/>
      </c>
      <c r="BJ73">
        <f>'Ashed teabags wet'!AC71</f>
        <v>166</v>
      </c>
      <c r="BK73" t="str">
        <f>'Ashed teabags wet'!AD488</f>
        <v/>
      </c>
      <c r="BL73">
        <f>'Ashed teabags wet'!AE488</f>
        <v>147</v>
      </c>
      <c r="BN73" t="str">
        <f t="shared" si="46"/>
        <v>G442</v>
      </c>
      <c r="BO73" t="b">
        <f t="shared" si="47"/>
        <v>1</v>
      </c>
    </row>
    <row r="74" spans="2:67" ht="12" customHeight="1">
      <c r="B74" t="str">
        <f>TBIDry!H146</f>
        <v>G138</v>
      </c>
      <c r="C74" t="str">
        <f>TBIDry!I146</f>
        <v>R761</v>
      </c>
      <c r="D74" t="b">
        <f t="shared" si="24"/>
        <v>0</v>
      </c>
      <c r="E74" t="b">
        <f t="shared" si="25"/>
        <v>0</v>
      </c>
      <c r="G74" t="str">
        <f>TBIWet!H146</f>
        <v>G511</v>
      </c>
      <c r="H74" t="str">
        <f>TBIWet!I146</f>
        <v>R95</v>
      </c>
      <c r="I74" t="b">
        <f t="shared" si="26"/>
        <v>0</v>
      </c>
      <c r="J74" t="b">
        <f t="shared" si="27"/>
        <v>0</v>
      </c>
      <c r="L74" t="str">
        <f>'Both teabags AfterWet'!A73</f>
        <v>G441</v>
      </c>
      <c r="M74" t="str">
        <f>'Both teabags AfterWet'!A491</f>
        <v>R185</v>
      </c>
      <c r="N74" t="b">
        <f t="shared" si="28"/>
        <v>0</v>
      </c>
      <c r="O74" t="b">
        <f t="shared" si="29"/>
        <v>0</v>
      </c>
      <c r="P74">
        <f>IFERROR('Both teabags AfterWet'!B73,"")</f>
        <v>85</v>
      </c>
      <c r="Q74">
        <f>'Both teabags AfterWet'!B491</f>
        <v>63</v>
      </c>
      <c r="S74" s="401" t="b">
        <f t="shared" si="30"/>
        <v>0</v>
      </c>
      <c r="T74" s="401" t="b">
        <f t="shared" si="31"/>
        <v>0</v>
      </c>
      <c r="V74" t="str">
        <f>'Both teabags AfterDry'!A73</f>
        <v>G187</v>
      </c>
      <c r="W74" t="str">
        <f>'Both teabags AfterDry'!A410</f>
        <v>R281</v>
      </c>
      <c r="X74" t="b">
        <f t="shared" si="32"/>
        <v>0</v>
      </c>
      <c r="Y74" t="b">
        <f t="shared" si="33"/>
        <v>0</v>
      </c>
      <c r="AA74" t="str">
        <f>'Green_rooibos initial weight'!A75</f>
        <v>G71</v>
      </c>
      <c r="AB74" t="str">
        <f>'Green_rooibos initial weight'!A979</f>
        <v>R71</v>
      </c>
      <c r="AC74" t="b">
        <f t="shared" si="34"/>
        <v>0</v>
      </c>
      <c r="AD74" t="b">
        <f t="shared" si="35"/>
        <v>0</v>
      </c>
      <c r="AG74" t="str">
        <f>'WetLitterbags placem_collection'!K73</f>
        <v>G511</v>
      </c>
      <c r="AH74" t="str">
        <f>'WetLitterbags placem_collection'!M73</f>
        <v>R95</v>
      </c>
      <c r="AI74" t="b">
        <f t="shared" si="36"/>
        <v>0</v>
      </c>
      <c r="AJ74" t="b">
        <f t="shared" si="37"/>
        <v>0</v>
      </c>
      <c r="AK74">
        <f>'WetLitterbags placem_collection'!A73</f>
        <v>71</v>
      </c>
      <c r="AL74">
        <f>'WetLitterbags placem_collection'!A73</f>
        <v>71</v>
      </c>
      <c r="AN74">
        <f>IF('Dry_Litterbag Placem_Collection'!J73=0,"",'Dry_Litterbag Placem_Collection'!J73)</f>
        <v>138</v>
      </c>
      <c r="AO74">
        <f>IF('Dry_Litterbag Placem_Collection'!K73=0,"",'Dry_Litterbag Placem_Collection'!K73)</f>
        <v>761</v>
      </c>
      <c r="AP74" t="b">
        <f t="shared" si="38"/>
        <v>0</v>
      </c>
      <c r="AQ74" t="b">
        <f t="shared" si="39"/>
        <v>0</v>
      </c>
      <c r="AT74" t="str">
        <f>'Ashed teabags dry'!A72</f>
        <v>G185</v>
      </c>
      <c r="AU74" t="str">
        <f>'Ashed teabags dry'!A409</f>
        <v>R277</v>
      </c>
      <c r="AV74" t="b">
        <f t="shared" si="40"/>
        <v>0</v>
      </c>
      <c r="AW74" t="b">
        <f t="shared" si="41"/>
        <v>0</v>
      </c>
      <c r="AZ74" s="401" t="b">
        <f t="shared" si="42"/>
        <v>0</v>
      </c>
      <c r="BA74" s="401" t="b">
        <f t="shared" si="43"/>
        <v>0</v>
      </c>
      <c r="BC74" t="str">
        <f>'Ashed teabags wet'!A72</f>
        <v>G445</v>
      </c>
      <c r="BD74" t="str">
        <f>'Ashed teabags wet'!A489</f>
        <v>R202</v>
      </c>
      <c r="BE74" t="b">
        <f t="shared" si="44"/>
        <v>0</v>
      </c>
      <c r="BF74" t="b">
        <f t="shared" si="45"/>
        <v>0</v>
      </c>
      <c r="BG74">
        <f>IFERROR('Ashed teabags wet'!C72,"")</f>
        <v>62</v>
      </c>
      <c r="BH74">
        <f>IFERROR('Ashed teabags wet'!C489,"")</f>
        <v>162</v>
      </c>
      <c r="BI74" t="str">
        <f>'Ashed teabags wet'!AB72</f>
        <v/>
      </c>
      <c r="BJ74">
        <f>'Ashed teabags wet'!AC72</f>
        <v>61</v>
      </c>
      <c r="BK74">
        <f>'Ashed teabags wet'!AD489</f>
        <v>161</v>
      </c>
      <c r="BL74" t="str">
        <f>'Ashed teabags wet'!AE489</f>
        <v/>
      </c>
      <c r="BN74" t="str">
        <f t="shared" si="46"/>
        <v>G443</v>
      </c>
      <c r="BO74" t="b">
        <f t="shared" si="47"/>
        <v>1</v>
      </c>
    </row>
    <row r="75" spans="2:67" ht="12" customHeight="1">
      <c r="B75" t="str">
        <f>TBIDry!H147</f>
        <v>G431</v>
      </c>
      <c r="C75" t="str">
        <f>TBIDry!I147</f>
        <v>R780</v>
      </c>
      <c r="D75" t="b">
        <f t="shared" si="24"/>
        <v>0</v>
      </c>
      <c r="E75" t="b">
        <f t="shared" si="25"/>
        <v>0</v>
      </c>
      <c r="G75" t="str">
        <f>TBIWet!H147</f>
        <v>G383</v>
      </c>
      <c r="H75" t="str">
        <f>TBIWet!I147</f>
        <v>R546</v>
      </c>
      <c r="I75" t="b">
        <f t="shared" si="26"/>
        <v>0</v>
      </c>
      <c r="J75" t="b">
        <f t="shared" si="27"/>
        <v>0</v>
      </c>
      <c r="L75" t="str">
        <f>'Both teabags AfterWet'!A74</f>
        <v>G442</v>
      </c>
      <c r="M75" t="str">
        <f>'Both teabags AfterWet'!A492</f>
        <v>R186</v>
      </c>
      <c r="N75" t="b">
        <f t="shared" si="28"/>
        <v>0</v>
      </c>
      <c r="O75" t="b">
        <f t="shared" si="29"/>
        <v>0</v>
      </c>
      <c r="P75" t="str">
        <f>IFERROR('Both teabags AfterWet'!B74,"")</f>
        <v>n.a</v>
      </c>
      <c r="Q75">
        <f>'Both teabags AfterWet'!B492</f>
        <v>186</v>
      </c>
      <c r="S75" s="401" t="b">
        <f t="shared" si="30"/>
        <v>0</v>
      </c>
      <c r="T75" s="401" t="b">
        <f t="shared" si="31"/>
        <v>0</v>
      </c>
      <c r="V75" t="str">
        <f>'Both teabags AfterDry'!A74</f>
        <v>G188</v>
      </c>
      <c r="W75" t="str">
        <f>'Both teabags AfterDry'!A411</f>
        <v>R283</v>
      </c>
      <c r="X75" t="b">
        <f t="shared" si="32"/>
        <v>0</v>
      </c>
      <c r="Y75" t="b">
        <f t="shared" si="33"/>
        <v>0</v>
      </c>
      <c r="AA75" t="str">
        <f>'Green_rooibos initial weight'!A76</f>
        <v>G72</v>
      </c>
      <c r="AB75" t="str">
        <f>'Green_rooibos initial weight'!A980</f>
        <v>R72</v>
      </c>
      <c r="AC75" t="b">
        <f t="shared" si="34"/>
        <v>0</v>
      </c>
      <c r="AD75" t="b">
        <f t="shared" si="35"/>
        <v>0</v>
      </c>
      <c r="AG75" t="str">
        <f>'WetLitterbags placem_collection'!K74</f>
        <v>G383</v>
      </c>
      <c r="AH75" t="str">
        <f>'WetLitterbags placem_collection'!M74</f>
        <v>R546</v>
      </c>
      <c r="AI75" t="b">
        <f t="shared" si="36"/>
        <v>0</v>
      </c>
      <c r="AJ75" t="b">
        <f t="shared" si="37"/>
        <v>0</v>
      </c>
      <c r="AK75">
        <f>'WetLitterbags placem_collection'!A74</f>
        <v>72</v>
      </c>
      <c r="AL75">
        <f>'WetLitterbags placem_collection'!A74</f>
        <v>72</v>
      </c>
      <c r="AN75">
        <f>IF('Dry_Litterbag Placem_Collection'!J74=0,"",'Dry_Litterbag Placem_Collection'!J74)</f>
        <v>431</v>
      </c>
      <c r="AO75">
        <f>IF('Dry_Litterbag Placem_Collection'!K74=0,"",'Dry_Litterbag Placem_Collection'!K74)</f>
        <v>780</v>
      </c>
      <c r="AP75" t="b">
        <f t="shared" si="38"/>
        <v>0</v>
      </c>
      <c r="AQ75" t="b">
        <f t="shared" si="39"/>
        <v>0</v>
      </c>
      <c r="AT75" t="str">
        <f>'Ashed teabags dry'!A73</f>
        <v>G186</v>
      </c>
      <c r="AU75" t="str">
        <f>'Ashed teabags dry'!A410</f>
        <v>R280</v>
      </c>
      <c r="AV75" t="b">
        <f t="shared" si="40"/>
        <v>0</v>
      </c>
      <c r="AW75" t="b">
        <f t="shared" si="41"/>
        <v>0</v>
      </c>
      <c r="AZ75" s="401" t="b">
        <f t="shared" si="42"/>
        <v>0</v>
      </c>
      <c r="BA75" s="401" t="b">
        <f t="shared" si="43"/>
        <v>0</v>
      </c>
      <c r="BC75" t="str">
        <f>'Ashed teabags wet'!A73</f>
        <v>G446</v>
      </c>
      <c r="BD75" t="str">
        <f>'Ashed teabags wet'!A490</f>
        <v>R21</v>
      </c>
      <c r="BE75" t="b">
        <f t="shared" si="44"/>
        <v>0</v>
      </c>
      <c r="BF75" t="b">
        <f t="shared" si="45"/>
        <v>0</v>
      </c>
      <c r="BG75">
        <f>IFERROR('Ashed teabags wet'!C73,"")</f>
        <v>78</v>
      </c>
      <c r="BH75">
        <f>IFERROR('Ashed teabags wet'!C490,"")</f>
        <v>138</v>
      </c>
      <c r="BI75" t="str">
        <f>'Ashed teabags wet'!AB73</f>
        <v/>
      </c>
      <c r="BJ75">
        <f>'Ashed teabags wet'!AC73</f>
        <v>77</v>
      </c>
      <c r="BK75" t="str">
        <f>'Ashed teabags wet'!AD490</f>
        <v/>
      </c>
      <c r="BL75">
        <f>'Ashed teabags wet'!AE490</f>
        <v>137</v>
      </c>
      <c r="BN75" t="str">
        <f t="shared" si="46"/>
        <v>G445</v>
      </c>
      <c r="BO75" t="b">
        <f t="shared" si="47"/>
        <v>1</v>
      </c>
    </row>
    <row r="76" spans="2:67" ht="12" customHeight="1">
      <c r="B76" t="str">
        <f>TBIDry!H148</f>
        <v>G321</v>
      </c>
      <c r="C76" t="str">
        <f>TBIDry!I148</f>
        <v>R730</v>
      </c>
      <c r="D76" t="b">
        <f t="shared" si="24"/>
        <v>0</v>
      </c>
      <c r="E76" t="b">
        <f t="shared" si="25"/>
        <v>0</v>
      </c>
      <c r="G76" t="str">
        <f>TBIWet!H148</f>
        <v>G549</v>
      </c>
      <c r="H76" t="str">
        <f>TBIWet!I148</f>
        <v>R438</v>
      </c>
      <c r="I76" t="b">
        <f t="shared" si="26"/>
        <v>0</v>
      </c>
      <c r="J76" t="b">
        <f t="shared" si="27"/>
        <v>0</v>
      </c>
      <c r="L76" t="str">
        <f>'Both teabags AfterWet'!A75</f>
        <v>G443</v>
      </c>
      <c r="M76" t="str">
        <f>'Both teabags AfterWet'!A493</f>
        <v>R187</v>
      </c>
      <c r="N76" t="b">
        <f t="shared" si="28"/>
        <v>0</v>
      </c>
      <c r="O76" t="b">
        <f t="shared" si="29"/>
        <v>0</v>
      </c>
      <c r="P76" t="str">
        <f>IFERROR('Both teabags AfterWet'!B75,"")</f>
        <v>n.a</v>
      </c>
      <c r="Q76">
        <f>'Both teabags AfterWet'!B493</f>
        <v>81</v>
      </c>
      <c r="S76" s="401" t="b">
        <f t="shared" si="30"/>
        <v>0</v>
      </c>
      <c r="T76" s="401" t="b">
        <f t="shared" si="31"/>
        <v>0</v>
      </c>
      <c r="V76" t="str">
        <f>'Both teabags AfterDry'!A75</f>
        <v>G189</v>
      </c>
      <c r="W76" t="str">
        <f>'Both teabags AfterDry'!A412</f>
        <v>R284</v>
      </c>
      <c r="X76" t="b">
        <f t="shared" si="32"/>
        <v>0</v>
      </c>
      <c r="Y76" t="b">
        <f t="shared" si="33"/>
        <v>0</v>
      </c>
      <c r="AA76" t="str">
        <f>'Green_rooibos initial weight'!A77</f>
        <v>G73</v>
      </c>
      <c r="AB76" t="str">
        <f>'Green_rooibos initial weight'!A981</f>
        <v>R73</v>
      </c>
      <c r="AC76" t="b">
        <f t="shared" si="34"/>
        <v>0</v>
      </c>
      <c r="AD76" t="b">
        <f t="shared" si="35"/>
        <v>0</v>
      </c>
      <c r="AG76" t="str">
        <f>'WetLitterbags placem_collection'!K75</f>
        <v>G549</v>
      </c>
      <c r="AH76" t="str">
        <f>'WetLitterbags placem_collection'!M75</f>
        <v>R438</v>
      </c>
      <c r="AI76" t="b">
        <f t="shared" si="36"/>
        <v>0</v>
      </c>
      <c r="AJ76" t="b">
        <f t="shared" si="37"/>
        <v>0</v>
      </c>
      <c r="AK76">
        <f>'WetLitterbags placem_collection'!A75</f>
        <v>73</v>
      </c>
      <c r="AL76">
        <f>'WetLitterbags placem_collection'!A75</f>
        <v>73</v>
      </c>
      <c r="AN76">
        <f>IF('Dry_Litterbag Placem_Collection'!J75=0,"",'Dry_Litterbag Placem_Collection'!J75)</f>
        <v>321</v>
      </c>
      <c r="AO76">
        <f>IF('Dry_Litterbag Placem_Collection'!K75=0,"",'Dry_Litterbag Placem_Collection'!K75)</f>
        <v>730</v>
      </c>
      <c r="AP76" t="b">
        <f t="shared" si="38"/>
        <v>0</v>
      </c>
      <c r="AQ76" t="b">
        <f t="shared" si="39"/>
        <v>0</v>
      </c>
      <c r="AT76" t="str">
        <f>'Ashed teabags dry'!A74</f>
        <v>G187</v>
      </c>
      <c r="AU76" t="str">
        <f>'Ashed teabags dry'!A411</f>
        <v>R281</v>
      </c>
      <c r="AV76" t="b">
        <f t="shared" si="40"/>
        <v>0</v>
      </c>
      <c r="AW76" t="b">
        <f t="shared" si="41"/>
        <v>0</v>
      </c>
      <c r="AZ76" s="401" t="b">
        <f t="shared" si="42"/>
        <v>0</v>
      </c>
      <c r="BA76" s="401" t="b">
        <f t="shared" si="43"/>
        <v>0</v>
      </c>
      <c r="BC76" t="str">
        <f>'Ashed teabags wet'!A74</f>
        <v>G447</v>
      </c>
      <c r="BD76" t="str">
        <f>'Ashed teabags wet'!A491</f>
        <v>R215</v>
      </c>
      <c r="BE76" t="b">
        <f t="shared" si="44"/>
        <v>0</v>
      </c>
      <c r="BF76" t="b">
        <f t="shared" si="45"/>
        <v>0</v>
      </c>
      <c r="BG76">
        <f>IFERROR('Ashed teabags wet'!C74,"")</f>
        <v>6</v>
      </c>
      <c r="BH76">
        <f>IFERROR('Ashed teabags wet'!C491,"")</f>
        <v>167</v>
      </c>
      <c r="BI76">
        <f>'Ashed teabags wet'!AB74</f>
        <v>5</v>
      </c>
      <c r="BJ76" t="str">
        <f>'Ashed teabags wet'!AC74</f>
        <v/>
      </c>
      <c r="BK76" t="str">
        <f>'Ashed teabags wet'!AD491</f>
        <v/>
      </c>
      <c r="BL76">
        <f>'Ashed teabags wet'!AE491</f>
        <v>166</v>
      </c>
      <c r="BN76" t="str">
        <f t="shared" si="46"/>
        <v>G446</v>
      </c>
      <c r="BO76" t="b">
        <f t="shared" si="47"/>
        <v>1</v>
      </c>
    </row>
    <row r="77" spans="2:67" ht="12" customHeight="1">
      <c r="B77" t="str">
        <f>TBIDry!H149</f>
        <v>G329</v>
      </c>
      <c r="C77" t="str">
        <f>TBIDry!I149</f>
        <v>R825</v>
      </c>
      <c r="D77" t="b">
        <f t="shared" si="24"/>
        <v>0</v>
      </c>
      <c r="E77" t="b">
        <f t="shared" si="25"/>
        <v>0</v>
      </c>
      <c r="G77" t="str">
        <f>TBIWet!H149</f>
        <v>G605</v>
      </c>
      <c r="H77" t="str">
        <f>TBIWet!I149</f>
        <v>R122</v>
      </c>
      <c r="I77" t="b">
        <f t="shared" si="26"/>
        <v>0</v>
      </c>
      <c r="J77" t="b">
        <f t="shared" si="27"/>
        <v>0</v>
      </c>
      <c r="L77" t="str">
        <f>'Both teabags AfterWet'!A76</f>
        <v>G445</v>
      </c>
      <c r="M77" t="str">
        <f>'Both teabags AfterWet'!A494</f>
        <v>R189</v>
      </c>
      <c r="N77" t="b">
        <f t="shared" si="28"/>
        <v>0</v>
      </c>
      <c r="O77" t="b">
        <f t="shared" si="29"/>
        <v>0</v>
      </c>
      <c r="P77">
        <f>IFERROR('Both teabags AfterWet'!B76,"")</f>
        <v>62</v>
      </c>
      <c r="Q77" t="str">
        <f>'Both teabags AfterWet'!B494</f>
        <v>n.a</v>
      </c>
      <c r="S77" s="401" t="b">
        <f t="shared" si="30"/>
        <v>0</v>
      </c>
      <c r="T77" s="401" t="b">
        <f t="shared" si="31"/>
        <v>0</v>
      </c>
      <c r="V77" t="str">
        <f>'Both teabags AfterDry'!A76</f>
        <v>G19</v>
      </c>
      <c r="W77" t="str">
        <f>'Both teabags AfterDry'!A413</f>
        <v>R288</v>
      </c>
      <c r="X77" t="b">
        <f t="shared" si="32"/>
        <v>0</v>
      </c>
      <c r="Y77" t="b">
        <f t="shared" si="33"/>
        <v>0</v>
      </c>
      <c r="AA77" t="str">
        <f>'Green_rooibos initial weight'!A78</f>
        <v>G74</v>
      </c>
      <c r="AB77" t="str">
        <f>'Green_rooibos initial weight'!A982</f>
        <v>R74</v>
      </c>
      <c r="AC77" t="b">
        <f t="shared" si="34"/>
        <v>0</v>
      </c>
      <c r="AD77" t="b">
        <f t="shared" si="35"/>
        <v>0</v>
      </c>
      <c r="AG77" t="str">
        <f>'WetLitterbags placem_collection'!K76</f>
        <v>G605</v>
      </c>
      <c r="AH77" t="str">
        <f>'WetLitterbags placem_collection'!M76</f>
        <v>R122</v>
      </c>
      <c r="AI77" t="b">
        <f t="shared" si="36"/>
        <v>0</v>
      </c>
      <c r="AJ77" t="b">
        <f t="shared" si="37"/>
        <v>0</v>
      </c>
      <c r="AK77">
        <f>'WetLitterbags placem_collection'!A76</f>
        <v>74</v>
      </c>
      <c r="AL77">
        <f>'WetLitterbags placem_collection'!A76</f>
        <v>74</v>
      </c>
      <c r="AN77">
        <f>IF('Dry_Litterbag Placem_Collection'!J76=0,"",'Dry_Litterbag Placem_Collection'!J76)</f>
        <v>329</v>
      </c>
      <c r="AO77">
        <f>IF('Dry_Litterbag Placem_Collection'!K76=0,"",'Dry_Litterbag Placem_Collection'!K76)</f>
        <v>825</v>
      </c>
      <c r="AP77" t="b">
        <f t="shared" si="38"/>
        <v>0</v>
      </c>
      <c r="AQ77" t="b">
        <f t="shared" si="39"/>
        <v>0</v>
      </c>
      <c r="AT77" t="str">
        <f>'Ashed teabags dry'!A75</f>
        <v>G188</v>
      </c>
      <c r="AU77" t="str">
        <f>'Ashed teabags dry'!A412</f>
        <v>R283</v>
      </c>
      <c r="AV77" t="b">
        <f t="shared" si="40"/>
        <v>0</v>
      </c>
      <c r="AW77" t="b">
        <f t="shared" si="41"/>
        <v>0</v>
      </c>
      <c r="AZ77" s="401" t="b">
        <f t="shared" si="42"/>
        <v>0</v>
      </c>
      <c r="BA77" s="401" t="b">
        <f t="shared" si="43"/>
        <v>0</v>
      </c>
      <c r="BC77" t="str">
        <f>'Ashed teabags wet'!A75</f>
        <v>G449</v>
      </c>
      <c r="BD77" t="str">
        <f>'Ashed teabags wet'!A492</f>
        <v>R216</v>
      </c>
      <c r="BE77" t="b">
        <f t="shared" si="44"/>
        <v>0</v>
      </c>
      <c r="BF77" t="b">
        <f t="shared" si="45"/>
        <v>0</v>
      </c>
      <c r="BG77">
        <f>IFERROR('Ashed teabags wet'!C75,"")</f>
        <v>27</v>
      </c>
      <c r="BH77">
        <f>IFERROR('Ashed teabags wet'!C492,"")</f>
        <v>189</v>
      </c>
      <c r="BI77" t="str">
        <f>'Ashed teabags wet'!AB75</f>
        <v/>
      </c>
      <c r="BJ77">
        <f>'Ashed teabags wet'!AC75</f>
        <v>26</v>
      </c>
      <c r="BK77" t="str">
        <f>'Ashed teabags wet'!AD492</f>
        <v/>
      </c>
      <c r="BL77">
        <f>'Ashed teabags wet'!AE492</f>
        <v>188</v>
      </c>
      <c r="BN77" t="str">
        <f t="shared" si="46"/>
        <v>G447</v>
      </c>
      <c r="BO77" t="b">
        <f t="shared" si="47"/>
        <v>1</v>
      </c>
    </row>
    <row r="78" spans="2:67" ht="12" customHeight="1">
      <c r="B78" t="str">
        <f>TBIDry!H150</f>
        <v>G215</v>
      </c>
      <c r="C78" t="str">
        <f>TBIDry!I150</f>
        <v>R840</v>
      </c>
      <c r="D78" t="b">
        <f t="shared" si="24"/>
        <v>0</v>
      </c>
      <c r="E78" t="b">
        <f t="shared" si="25"/>
        <v>0</v>
      </c>
      <c r="G78" t="str">
        <f>TBIWet!H150</f>
        <v>G408</v>
      </c>
      <c r="H78" t="str">
        <f>TBIWet!I150</f>
        <v>R404</v>
      </c>
      <c r="I78" t="b">
        <f t="shared" si="26"/>
        <v>0</v>
      </c>
      <c r="J78" t="b">
        <f t="shared" si="27"/>
        <v>0</v>
      </c>
      <c r="L78" t="str">
        <f>'Both teabags AfterWet'!A77</f>
        <v>G446</v>
      </c>
      <c r="M78" t="str">
        <f>'Both teabags AfterWet'!A495</f>
        <v>R19</v>
      </c>
      <c r="N78" t="b">
        <f t="shared" si="28"/>
        <v>0</v>
      </c>
      <c r="O78" t="b">
        <f t="shared" si="29"/>
        <v>0</v>
      </c>
      <c r="P78" t="str">
        <f>IFERROR('Both teabags AfterWet'!B77,"")</f>
        <v>n.a</v>
      </c>
      <c r="Q78">
        <f>'Both teabags AfterWet'!B495</f>
        <v>55</v>
      </c>
      <c r="S78" s="401" t="b">
        <f t="shared" si="30"/>
        <v>0</v>
      </c>
      <c r="T78" s="401" t="b">
        <f t="shared" si="31"/>
        <v>0</v>
      </c>
      <c r="V78" t="str">
        <f>'Both teabags AfterDry'!A77</f>
        <v>G190</v>
      </c>
      <c r="W78" t="str">
        <f>'Both teabags AfterDry'!A414</f>
        <v>R292</v>
      </c>
      <c r="X78" t="b">
        <f t="shared" si="32"/>
        <v>0</v>
      </c>
      <c r="Y78" t="b">
        <f t="shared" si="33"/>
        <v>0</v>
      </c>
      <c r="AA78" t="str">
        <f>'Green_rooibos initial weight'!A79</f>
        <v>G75</v>
      </c>
      <c r="AB78" t="str">
        <f>'Green_rooibos initial weight'!A983</f>
        <v>R75</v>
      </c>
      <c r="AC78" t="b">
        <f t="shared" si="34"/>
        <v>0</v>
      </c>
      <c r="AD78" t="b">
        <f t="shared" si="35"/>
        <v>0</v>
      </c>
      <c r="AG78" t="str">
        <f>'WetLitterbags placem_collection'!K77</f>
        <v>G408</v>
      </c>
      <c r="AH78" t="str">
        <f>'WetLitterbags placem_collection'!M77</f>
        <v>R404</v>
      </c>
      <c r="AI78" t="b">
        <f t="shared" si="36"/>
        <v>0</v>
      </c>
      <c r="AJ78" t="b">
        <f t="shared" si="37"/>
        <v>0</v>
      </c>
      <c r="AK78">
        <f>'WetLitterbags placem_collection'!A77</f>
        <v>75</v>
      </c>
      <c r="AL78">
        <f>'WetLitterbags placem_collection'!A77</f>
        <v>75</v>
      </c>
      <c r="AN78">
        <f>IF('Dry_Litterbag Placem_Collection'!J77=0,"",'Dry_Litterbag Placem_Collection'!J77)</f>
        <v>215</v>
      </c>
      <c r="AO78">
        <f>IF('Dry_Litterbag Placem_Collection'!K77=0,"",'Dry_Litterbag Placem_Collection'!K77)</f>
        <v>840</v>
      </c>
      <c r="AP78" t="b">
        <f t="shared" si="38"/>
        <v>0</v>
      </c>
      <c r="AQ78" t="b">
        <f t="shared" si="39"/>
        <v>0</v>
      </c>
      <c r="AT78" t="str">
        <f>'Ashed teabags dry'!A76</f>
        <v>G189</v>
      </c>
      <c r="AU78" t="str">
        <f>'Ashed teabags dry'!A413</f>
        <v>R284</v>
      </c>
      <c r="AV78" t="b">
        <f t="shared" si="40"/>
        <v>0</v>
      </c>
      <c r="AW78" t="b">
        <f t="shared" si="41"/>
        <v>0</v>
      </c>
      <c r="AZ78" s="401" t="b">
        <f t="shared" si="42"/>
        <v>0</v>
      </c>
      <c r="BA78" s="401" t="b">
        <f t="shared" si="43"/>
        <v>0</v>
      </c>
      <c r="BC78" t="str">
        <f>'Ashed teabags wet'!A76</f>
        <v>G450</v>
      </c>
      <c r="BD78" t="str">
        <f>'Ashed teabags wet'!A493</f>
        <v>R217</v>
      </c>
      <c r="BE78" t="b">
        <f t="shared" si="44"/>
        <v>0</v>
      </c>
      <c r="BF78" t="b">
        <f t="shared" si="45"/>
        <v>0</v>
      </c>
      <c r="BG78">
        <f>IFERROR('Ashed teabags wet'!C76,"")</f>
        <v>67</v>
      </c>
      <c r="BH78">
        <f>IFERROR('Ashed teabags wet'!C493,"")</f>
        <v>27</v>
      </c>
      <c r="BI78">
        <f>'Ashed teabags wet'!AB76</f>
        <v>66</v>
      </c>
      <c r="BJ78" t="str">
        <f>'Ashed teabags wet'!AC76</f>
        <v/>
      </c>
      <c r="BK78" t="str">
        <f>'Ashed teabags wet'!AD493</f>
        <v/>
      </c>
      <c r="BL78">
        <f>'Ashed teabags wet'!AE493</f>
        <v>26</v>
      </c>
      <c r="BN78" t="str">
        <f t="shared" si="46"/>
        <v>G449</v>
      </c>
      <c r="BO78" t="b">
        <f t="shared" si="47"/>
        <v>1</v>
      </c>
    </row>
    <row r="79" spans="2:67" ht="12" customHeight="1">
      <c r="B79" t="str">
        <f>TBIDry!H151</f>
        <v>G60</v>
      </c>
      <c r="C79" t="str">
        <f>TBIDry!I151</f>
        <v>R770</v>
      </c>
      <c r="D79" t="b">
        <f t="shared" si="24"/>
        <v>0</v>
      </c>
      <c r="E79" t="b">
        <f t="shared" si="25"/>
        <v>0</v>
      </c>
      <c r="G79" t="str">
        <f>TBIWet!H151</f>
        <v>G416</v>
      </c>
      <c r="H79" t="str">
        <f>TBIWet!I151</f>
        <v>R501</v>
      </c>
      <c r="I79" t="b">
        <f t="shared" si="26"/>
        <v>0</v>
      </c>
      <c r="J79" t="b">
        <f t="shared" si="27"/>
        <v>0</v>
      </c>
      <c r="L79" t="str">
        <f>'Both teabags AfterWet'!A78</f>
        <v>G447</v>
      </c>
      <c r="M79" t="str">
        <f>'Both teabags AfterWet'!A496</f>
        <v>R190</v>
      </c>
      <c r="N79" t="b">
        <f t="shared" si="28"/>
        <v>0</v>
      </c>
      <c r="O79" t="b">
        <f t="shared" si="29"/>
        <v>0</v>
      </c>
      <c r="P79" t="str">
        <f>IFERROR('Both teabags AfterWet'!B78,"")</f>
        <v>n.a</v>
      </c>
      <c r="Q79">
        <f>'Both teabags AfterWet'!B496</f>
        <v>23</v>
      </c>
      <c r="S79" s="401" t="b">
        <f t="shared" si="30"/>
        <v>0</v>
      </c>
      <c r="T79" s="401" t="b">
        <f t="shared" si="31"/>
        <v>0</v>
      </c>
      <c r="V79" t="str">
        <f>'Both teabags AfterDry'!A78</f>
        <v>G193</v>
      </c>
      <c r="W79" t="str">
        <f>'Both teabags AfterDry'!A415</f>
        <v>R294</v>
      </c>
      <c r="X79" t="b">
        <f t="shared" si="32"/>
        <v>0</v>
      </c>
      <c r="Y79" t="b">
        <f t="shared" si="33"/>
        <v>0</v>
      </c>
      <c r="AA79" t="str">
        <f>'Green_rooibos initial weight'!A80</f>
        <v>G76</v>
      </c>
      <c r="AB79" t="str">
        <f>'Green_rooibos initial weight'!A984</f>
        <v>R76</v>
      </c>
      <c r="AC79" t="b">
        <f t="shared" si="34"/>
        <v>0</v>
      </c>
      <c r="AD79" t="b">
        <f t="shared" si="35"/>
        <v>0</v>
      </c>
      <c r="AG79" t="str">
        <f>'WetLitterbags placem_collection'!K78</f>
        <v>G416</v>
      </c>
      <c r="AH79" t="str">
        <f>'WetLitterbags placem_collection'!M78</f>
        <v>R501</v>
      </c>
      <c r="AI79" t="b">
        <f t="shared" si="36"/>
        <v>0</v>
      </c>
      <c r="AJ79" t="b">
        <f t="shared" si="37"/>
        <v>0</v>
      </c>
      <c r="AK79">
        <f>'WetLitterbags placem_collection'!A78</f>
        <v>76</v>
      </c>
      <c r="AL79">
        <f>'WetLitterbags placem_collection'!A78</f>
        <v>76</v>
      </c>
      <c r="AN79">
        <f>IF('Dry_Litterbag Placem_Collection'!J78=0,"",'Dry_Litterbag Placem_Collection'!J78)</f>
        <v>60</v>
      </c>
      <c r="AO79">
        <f>IF('Dry_Litterbag Placem_Collection'!K78=0,"",'Dry_Litterbag Placem_Collection'!K78)</f>
        <v>770</v>
      </c>
      <c r="AP79" t="b">
        <f t="shared" si="38"/>
        <v>0</v>
      </c>
      <c r="AQ79" t="b">
        <f t="shared" si="39"/>
        <v>0</v>
      </c>
      <c r="AT79" t="str">
        <f>'Ashed teabags dry'!A77</f>
        <v>G190</v>
      </c>
      <c r="AU79" t="str">
        <f>'Ashed teabags dry'!A414</f>
        <v>R288</v>
      </c>
      <c r="AV79" t="b">
        <f t="shared" si="40"/>
        <v>0</v>
      </c>
      <c r="AW79" t="b">
        <f t="shared" si="41"/>
        <v>0</v>
      </c>
      <c r="AZ79" s="401" t="b">
        <f t="shared" si="42"/>
        <v>0</v>
      </c>
      <c r="BA79" s="401" t="b">
        <f t="shared" si="43"/>
        <v>0</v>
      </c>
      <c r="BC79" t="str">
        <f>'Ashed teabags wet'!A77</f>
        <v>G451</v>
      </c>
      <c r="BD79" t="str">
        <f>'Ashed teabags wet'!A494</f>
        <v>R218</v>
      </c>
      <c r="BE79" t="b">
        <f t="shared" si="44"/>
        <v>0</v>
      </c>
      <c r="BF79" t="b">
        <f t="shared" si="45"/>
        <v>0</v>
      </c>
      <c r="BG79">
        <f>IFERROR('Ashed teabags wet'!C77,"")</f>
        <v>179</v>
      </c>
      <c r="BH79">
        <f>IFERROR('Ashed teabags wet'!C494,"")</f>
        <v>201</v>
      </c>
      <c r="BI79">
        <f>'Ashed teabags wet'!AB77</f>
        <v>178</v>
      </c>
      <c r="BJ79" t="str">
        <f>'Ashed teabags wet'!AC77</f>
        <v/>
      </c>
      <c r="BK79">
        <f>'Ashed teabags wet'!AD494</f>
        <v>200</v>
      </c>
      <c r="BL79" t="str">
        <f>'Ashed teabags wet'!AE494</f>
        <v/>
      </c>
      <c r="BN79" t="str">
        <f t="shared" si="46"/>
        <v>G450</v>
      </c>
      <c r="BO79" t="b">
        <f t="shared" si="47"/>
        <v>1</v>
      </c>
    </row>
    <row r="80" spans="2:67" ht="12" customHeight="1">
      <c r="B80" t="str">
        <f>TBIDry!H152</f>
        <v/>
      </c>
      <c r="C80" t="str">
        <f>TBIDry!I152</f>
        <v/>
      </c>
      <c r="D80" t="b">
        <f t="shared" si="24"/>
        <v>1</v>
      </c>
      <c r="E80" t="b">
        <f t="shared" si="25"/>
        <v>1</v>
      </c>
      <c r="G80" t="str">
        <f>TBIWet!H152</f>
        <v>G594</v>
      </c>
      <c r="H80" t="str">
        <f>TBIWet!I152</f>
        <v>R137</v>
      </c>
      <c r="I80" t="b">
        <f t="shared" si="26"/>
        <v>0</v>
      </c>
      <c r="J80" t="b">
        <f t="shared" si="27"/>
        <v>0</v>
      </c>
      <c r="L80" t="str">
        <f>'Both teabags AfterWet'!A79</f>
        <v>G448</v>
      </c>
      <c r="M80" t="str">
        <f>'Both teabags AfterWet'!A497</f>
        <v>R196</v>
      </c>
      <c r="N80" t="b">
        <f t="shared" si="28"/>
        <v>0</v>
      </c>
      <c r="O80" t="b">
        <f t="shared" si="29"/>
        <v>0</v>
      </c>
      <c r="P80">
        <f>IFERROR('Both teabags AfterWet'!B79,"")</f>
        <v>69</v>
      </c>
      <c r="Q80">
        <f>'Both teabags AfterWet'!B497</f>
        <v>89</v>
      </c>
      <c r="S80" s="401" t="b">
        <f t="shared" si="30"/>
        <v>0</v>
      </c>
      <c r="T80" s="401" t="b">
        <f t="shared" si="31"/>
        <v>0</v>
      </c>
      <c r="V80" t="str">
        <f>'Both teabags AfterDry'!A79</f>
        <v>G194</v>
      </c>
      <c r="W80" t="str">
        <f>'Both teabags AfterDry'!A416</f>
        <v>R295</v>
      </c>
      <c r="X80" t="b">
        <f t="shared" si="32"/>
        <v>0</v>
      </c>
      <c r="Y80" t="b">
        <f t="shared" si="33"/>
        <v>0</v>
      </c>
      <c r="AA80" t="str">
        <f>'Green_rooibos initial weight'!A81</f>
        <v>G77</v>
      </c>
      <c r="AB80" t="str">
        <f>'Green_rooibos initial weight'!A985</f>
        <v>R77</v>
      </c>
      <c r="AC80" t="b">
        <f t="shared" si="34"/>
        <v>0</v>
      </c>
      <c r="AD80" t="b">
        <f t="shared" si="35"/>
        <v>0</v>
      </c>
      <c r="AG80" t="str">
        <f>'WetLitterbags placem_collection'!K79</f>
        <v>G594</v>
      </c>
      <c r="AH80" t="str">
        <f>'WetLitterbags placem_collection'!M79</f>
        <v>R137</v>
      </c>
      <c r="AI80" t="b">
        <f t="shared" si="36"/>
        <v>0</v>
      </c>
      <c r="AJ80" t="b">
        <f t="shared" si="37"/>
        <v>0</v>
      </c>
      <c r="AK80">
        <f>'WetLitterbags placem_collection'!A79</f>
        <v>77</v>
      </c>
      <c r="AL80">
        <f>'WetLitterbags placem_collection'!A79</f>
        <v>77</v>
      </c>
      <c r="AN80" t="str">
        <f>IF('Dry_Litterbag Placem_Collection'!J79=0,"",'Dry_Litterbag Placem_Collection'!J79)</f>
        <v/>
      </c>
      <c r="AO80" t="str">
        <f>IF('Dry_Litterbag Placem_Collection'!K79=0,"",'Dry_Litterbag Placem_Collection'!K79)</f>
        <v/>
      </c>
      <c r="AP80" t="b">
        <f t="shared" si="38"/>
        <v>1</v>
      </c>
      <c r="AQ80" t="b">
        <f t="shared" si="39"/>
        <v>1</v>
      </c>
      <c r="AT80" t="str">
        <f>'Ashed teabags dry'!A78</f>
        <v>G193</v>
      </c>
      <c r="AU80" t="str">
        <f>'Ashed teabags dry'!A415</f>
        <v>R292</v>
      </c>
      <c r="AV80" t="b">
        <f t="shared" si="40"/>
        <v>0</v>
      </c>
      <c r="AW80" t="b">
        <f t="shared" si="41"/>
        <v>0</v>
      </c>
      <c r="AZ80" s="401" t="b">
        <f t="shared" si="42"/>
        <v>0</v>
      </c>
      <c r="BA80" s="401" t="b">
        <f t="shared" si="43"/>
        <v>0</v>
      </c>
      <c r="BC80" t="str">
        <f>'Ashed teabags wet'!A78</f>
        <v>G452</v>
      </c>
      <c r="BD80" t="str">
        <f>'Ashed teabags wet'!A495</f>
        <v>R219</v>
      </c>
      <c r="BE80" t="b">
        <f t="shared" si="44"/>
        <v>0</v>
      </c>
      <c r="BF80" t="b">
        <f t="shared" si="45"/>
        <v>0</v>
      </c>
      <c r="BG80">
        <f>IFERROR('Ashed teabags wet'!C78,"")</f>
        <v>7</v>
      </c>
      <c r="BH80">
        <f>IFERROR('Ashed teabags wet'!C495,"")</f>
        <v>197</v>
      </c>
      <c r="BI80">
        <f>'Ashed teabags wet'!AB78</f>
        <v>6</v>
      </c>
      <c r="BJ80" t="str">
        <f>'Ashed teabags wet'!AC78</f>
        <v/>
      </c>
      <c r="BK80">
        <f>'Ashed teabags wet'!AD495</f>
        <v>196</v>
      </c>
      <c r="BL80" t="str">
        <f>'Ashed teabags wet'!AE495</f>
        <v/>
      </c>
      <c r="BN80" t="str">
        <f t="shared" si="46"/>
        <v>G451</v>
      </c>
      <c r="BO80" t="b">
        <f t="shared" si="47"/>
        <v>1</v>
      </c>
    </row>
    <row r="81" spans="2:68" ht="12" customHeight="1">
      <c r="B81" t="str">
        <f>TBIDry!H153</f>
        <v>G97</v>
      </c>
      <c r="C81" t="str">
        <f>TBIDry!I153</f>
        <v>R696</v>
      </c>
      <c r="D81" t="b">
        <f t="shared" si="24"/>
        <v>0</v>
      </c>
      <c r="E81" t="b">
        <f t="shared" si="25"/>
        <v>0</v>
      </c>
      <c r="G81" t="str">
        <f>TBIWet!H153</f>
        <v>G460</v>
      </c>
      <c r="H81" t="str">
        <f>TBIWet!I153</f>
        <v>R278</v>
      </c>
      <c r="I81" t="b">
        <f t="shared" si="26"/>
        <v>0</v>
      </c>
      <c r="J81" t="b">
        <f t="shared" si="27"/>
        <v>0</v>
      </c>
      <c r="L81" t="str">
        <f>'Both teabags AfterWet'!A80</f>
        <v>G449</v>
      </c>
      <c r="M81" t="str">
        <f>'Both teabags AfterWet'!A498</f>
        <v>R2</v>
      </c>
      <c r="N81" t="b">
        <f t="shared" si="28"/>
        <v>0</v>
      </c>
      <c r="O81" t="b">
        <f t="shared" si="29"/>
        <v>0</v>
      </c>
      <c r="P81">
        <f>IFERROR('Both teabags AfterWet'!B80,"")</f>
        <v>27</v>
      </c>
      <c r="Q81" t="str">
        <f>'Both teabags AfterWet'!B498</f>
        <v>n.a</v>
      </c>
      <c r="S81" s="401" t="b">
        <f t="shared" si="30"/>
        <v>0</v>
      </c>
      <c r="T81" s="401" t="b">
        <f t="shared" si="31"/>
        <v>0</v>
      </c>
      <c r="V81" t="str">
        <f>'Both teabags AfterDry'!A80</f>
        <v>G196</v>
      </c>
      <c r="W81" t="str">
        <f>'Both teabags AfterDry'!A417</f>
        <v>R297</v>
      </c>
      <c r="X81" t="b">
        <f t="shared" si="32"/>
        <v>0</v>
      </c>
      <c r="Y81" t="b">
        <f t="shared" si="33"/>
        <v>0</v>
      </c>
      <c r="AA81" t="str">
        <f>'Green_rooibos initial weight'!A82</f>
        <v>G78</v>
      </c>
      <c r="AB81" t="str">
        <f>'Green_rooibos initial weight'!A986</f>
        <v>R78</v>
      </c>
      <c r="AC81" t="b">
        <f t="shared" si="34"/>
        <v>0</v>
      </c>
      <c r="AD81" t="b">
        <f t="shared" si="35"/>
        <v>0</v>
      </c>
      <c r="AG81" t="str">
        <f>'WetLitterbags placem_collection'!K80</f>
        <v>G460</v>
      </c>
      <c r="AH81" t="str">
        <f>'WetLitterbags placem_collection'!M80</f>
        <v>R278</v>
      </c>
      <c r="AI81" t="b">
        <f t="shared" si="36"/>
        <v>0</v>
      </c>
      <c r="AJ81" t="b">
        <f t="shared" si="37"/>
        <v>0</v>
      </c>
      <c r="AK81">
        <f>'WetLitterbags placem_collection'!A80</f>
        <v>78</v>
      </c>
      <c r="AL81">
        <f>'WetLitterbags placem_collection'!A80</f>
        <v>78</v>
      </c>
      <c r="AN81">
        <f>IF('Dry_Litterbag Placem_Collection'!J80=0,"",'Dry_Litterbag Placem_Collection'!J80)</f>
        <v>97</v>
      </c>
      <c r="AO81">
        <f>IF('Dry_Litterbag Placem_Collection'!K80=0,"",'Dry_Litterbag Placem_Collection'!K80)</f>
        <v>696</v>
      </c>
      <c r="AP81" t="b">
        <f t="shared" si="38"/>
        <v>0</v>
      </c>
      <c r="AQ81" t="b">
        <f t="shared" si="39"/>
        <v>0</v>
      </c>
      <c r="AT81" t="str">
        <f>'Ashed teabags dry'!A79</f>
        <v>G194</v>
      </c>
      <c r="AU81" t="str">
        <f>'Ashed teabags dry'!A416</f>
        <v>R294</v>
      </c>
      <c r="AV81" t="b">
        <f t="shared" si="40"/>
        <v>0</v>
      </c>
      <c r="AW81" t="b">
        <f t="shared" si="41"/>
        <v>0</v>
      </c>
      <c r="AZ81" s="401" t="b">
        <f t="shared" si="42"/>
        <v>0</v>
      </c>
      <c r="BA81" s="401" t="b">
        <f t="shared" si="43"/>
        <v>0</v>
      </c>
      <c r="BC81" t="str">
        <f>'Ashed teabags wet'!A79</f>
        <v>G453</v>
      </c>
      <c r="BD81" t="str">
        <f>'Ashed teabags wet'!A496</f>
        <v>R22</v>
      </c>
      <c r="BE81" t="b">
        <f t="shared" si="44"/>
        <v>0</v>
      </c>
      <c r="BF81" t="b">
        <f t="shared" si="45"/>
        <v>0</v>
      </c>
      <c r="BG81">
        <f>IFERROR('Ashed teabags wet'!C79,"")</f>
        <v>41</v>
      </c>
      <c r="BH81">
        <f>IFERROR('Ashed teabags wet'!C496,"")</f>
        <v>83</v>
      </c>
      <c r="BI81">
        <f>'Ashed teabags wet'!AB79</f>
        <v>40</v>
      </c>
      <c r="BJ81" t="str">
        <f>'Ashed teabags wet'!AC79</f>
        <v/>
      </c>
      <c r="BK81" t="str">
        <f>'Ashed teabags wet'!AD496</f>
        <v/>
      </c>
      <c r="BL81">
        <f>'Ashed teabags wet'!AE496</f>
        <v>82</v>
      </c>
      <c r="BN81" t="str">
        <f t="shared" si="46"/>
        <v>G452</v>
      </c>
      <c r="BO81" t="b">
        <f t="shared" si="47"/>
        <v>1</v>
      </c>
      <c r="BP81" s="402"/>
    </row>
    <row r="82" spans="2:68" ht="12" customHeight="1">
      <c r="B82" t="str">
        <f>TBIDry!H154</f>
        <v>G130</v>
      </c>
      <c r="C82" t="str">
        <f>TBIDry!I154</f>
        <v>R270</v>
      </c>
      <c r="D82" s="113" t="b">
        <f t="shared" si="24"/>
        <v>0</v>
      </c>
      <c r="E82" t="b">
        <f t="shared" si="25"/>
        <v>0</v>
      </c>
      <c r="G82" t="str">
        <f>TBIWet!H154</f>
        <v>G217</v>
      </c>
      <c r="H82" t="str">
        <f>TBIWet!I154</f>
        <v>R235</v>
      </c>
      <c r="I82" t="b">
        <f t="shared" si="26"/>
        <v>0</v>
      </c>
      <c r="J82" t="b">
        <f t="shared" si="27"/>
        <v>0</v>
      </c>
      <c r="L82" t="str">
        <f>'Both teabags AfterWet'!A81</f>
        <v>G450</v>
      </c>
      <c r="M82" t="str">
        <f>'Both teabags AfterWet'!A499</f>
        <v>R20</v>
      </c>
      <c r="N82" t="b">
        <f t="shared" si="28"/>
        <v>0</v>
      </c>
      <c r="O82" t="b">
        <f t="shared" si="29"/>
        <v>0</v>
      </c>
      <c r="P82">
        <f>IFERROR('Both teabags AfterWet'!B81,"")</f>
        <v>67</v>
      </c>
      <c r="Q82" t="str">
        <f>'Both teabags AfterWet'!B499</f>
        <v>n.a</v>
      </c>
      <c r="S82" s="401" t="b">
        <f t="shared" si="30"/>
        <v>0</v>
      </c>
      <c r="T82" s="401" t="b">
        <f t="shared" si="31"/>
        <v>0</v>
      </c>
      <c r="V82" t="str">
        <f>'Both teabags AfterDry'!A81</f>
        <v>G197</v>
      </c>
      <c r="W82" t="str">
        <f>'Both teabags AfterDry'!A418</f>
        <v>R298</v>
      </c>
      <c r="X82" t="b">
        <f t="shared" si="32"/>
        <v>0</v>
      </c>
      <c r="Y82" t="b">
        <f t="shared" si="33"/>
        <v>0</v>
      </c>
      <c r="AA82" t="str">
        <f>'Green_rooibos initial weight'!A83</f>
        <v>G79</v>
      </c>
      <c r="AB82" t="str">
        <f>'Green_rooibos initial weight'!A987</f>
        <v>R79</v>
      </c>
      <c r="AC82" t="b">
        <f t="shared" si="34"/>
        <v>0</v>
      </c>
      <c r="AD82" t="b">
        <f t="shared" si="35"/>
        <v>0</v>
      </c>
      <c r="AG82" t="str">
        <f>'WetLitterbags placem_collection'!K81</f>
        <v>G217</v>
      </c>
      <c r="AH82" t="str">
        <f>'WetLitterbags placem_collection'!M81</f>
        <v>R235</v>
      </c>
      <c r="AI82" t="b">
        <f t="shared" si="36"/>
        <v>0</v>
      </c>
      <c r="AJ82" t="b">
        <f t="shared" si="37"/>
        <v>0</v>
      </c>
      <c r="AK82">
        <f>'WetLitterbags placem_collection'!A81</f>
        <v>79</v>
      </c>
      <c r="AL82">
        <f>'WetLitterbags placem_collection'!A81</f>
        <v>79</v>
      </c>
      <c r="AN82">
        <f>IF('Dry_Litterbag Placem_Collection'!J81=0,"",'Dry_Litterbag Placem_Collection'!J81)</f>
        <v>130</v>
      </c>
      <c r="AO82">
        <f>IF('Dry_Litterbag Placem_Collection'!K81=0,"",'Dry_Litterbag Placem_Collection'!K81)</f>
        <v>270</v>
      </c>
      <c r="AP82" t="b">
        <f t="shared" si="38"/>
        <v>0</v>
      </c>
      <c r="AQ82" t="b">
        <f t="shared" si="39"/>
        <v>0</v>
      </c>
      <c r="AT82" t="str">
        <f>'Ashed teabags dry'!A80</f>
        <v>G196</v>
      </c>
      <c r="AU82" t="str">
        <f>'Ashed teabags dry'!A417</f>
        <v>R295</v>
      </c>
      <c r="AV82" t="b">
        <f t="shared" si="40"/>
        <v>0</v>
      </c>
      <c r="AW82" t="b">
        <f t="shared" si="41"/>
        <v>0</v>
      </c>
      <c r="AZ82" s="401" t="b">
        <f t="shared" si="42"/>
        <v>0</v>
      </c>
      <c r="BA82" s="401" t="b">
        <f t="shared" si="43"/>
        <v>0</v>
      </c>
      <c r="BC82" t="str">
        <f>'Ashed teabags wet'!A80</f>
        <v>G454</v>
      </c>
      <c r="BD82" t="str">
        <f>'Ashed teabags wet'!A497</f>
        <v>R222</v>
      </c>
      <c r="BE82" t="b">
        <f t="shared" si="44"/>
        <v>0</v>
      </c>
      <c r="BF82" t="b">
        <f t="shared" si="45"/>
        <v>0</v>
      </c>
      <c r="BG82">
        <f>IFERROR('Ashed teabags wet'!C80,"")</f>
        <v>176</v>
      </c>
      <c r="BH82">
        <f>IFERROR('Ashed teabags wet'!C497,"")</f>
        <v>188</v>
      </c>
      <c r="BI82">
        <f>'Ashed teabags wet'!AB80</f>
        <v>175</v>
      </c>
      <c r="BJ82" t="str">
        <f>'Ashed teabags wet'!AC80</f>
        <v/>
      </c>
      <c r="BK82" t="str">
        <f>'Ashed teabags wet'!AD497</f>
        <v/>
      </c>
      <c r="BL82">
        <f>'Ashed teabags wet'!AE497</f>
        <v>187</v>
      </c>
      <c r="BN82" t="str">
        <f t="shared" si="46"/>
        <v>G453</v>
      </c>
      <c r="BO82" t="b">
        <f t="shared" si="47"/>
        <v>1</v>
      </c>
    </row>
    <row r="83" spans="2:68" ht="12" customHeight="1">
      <c r="B83" t="str">
        <f>TBIDry!H155</f>
        <v>G24</v>
      </c>
      <c r="C83" t="str">
        <f>TBIDry!I155</f>
        <v>R726</v>
      </c>
      <c r="D83" t="b">
        <f t="shared" si="24"/>
        <v>0</v>
      </c>
      <c r="E83" t="b">
        <f t="shared" si="25"/>
        <v>0</v>
      </c>
      <c r="G83" t="str">
        <f>TBIWet!H155</f>
        <v>G607</v>
      </c>
      <c r="H83" t="str">
        <f>TBIWet!I155</f>
        <v>R181</v>
      </c>
      <c r="I83" t="b">
        <f t="shared" si="26"/>
        <v>0</v>
      </c>
      <c r="J83" t="b">
        <f t="shared" si="27"/>
        <v>0</v>
      </c>
      <c r="L83" t="str">
        <f>'Both teabags AfterWet'!A82</f>
        <v>G451</v>
      </c>
      <c r="M83" t="str">
        <f>'Both teabags AfterWet'!A500</f>
        <v>R202</v>
      </c>
      <c r="N83" t="b">
        <f t="shared" si="28"/>
        <v>0</v>
      </c>
      <c r="O83" t="b">
        <f t="shared" si="29"/>
        <v>0</v>
      </c>
      <c r="P83" t="str">
        <f>IFERROR('Both teabags AfterWet'!B82,"")</f>
        <v>n.a</v>
      </c>
      <c r="Q83" t="str">
        <f>'Both teabags AfterWet'!B500</f>
        <v>na</v>
      </c>
      <c r="S83" s="401" t="b">
        <f t="shared" si="30"/>
        <v>0</v>
      </c>
      <c r="T83" s="401" t="b">
        <f t="shared" si="31"/>
        <v>0</v>
      </c>
      <c r="V83" t="str">
        <f>'Both teabags AfterDry'!A82</f>
        <v>G198</v>
      </c>
      <c r="W83" t="str">
        <f>'Both teabags AfterDry'!A419</f>
        <v>R299</v>
      </c>
      <c r="X83" t="b">
        <f t="shared" si="32"/>
        <v>0</v>
      </c>
      <c r="Y83" t="b">
        <f t="shared" si="33"/>
        <v>0</v>
      </c>
      <c r="AA83" t="str">
        <f>'Green_rooibos initial weight'!A84</f>
        <v>G80</v>
      </c>
      <c r="AB83" t="str">
        <f>'Green_rooibos initial weight'!A988</f>
        <v>R80</v>
      </c>
      <c r="AC83" t="b">
        <f t="shared" si="34"/>
        <v>0</v>
      </c>
      <c r="AD83" t="b">
        <f t="shared" si="35"/>
        <v>0</v>
      </c>
      <c r="AG83" t="str">
        <f>'WetLitterbags placem_collection'!K82</f>
        <v>G607</v>
      </c>
      <c r="AH83" t="str">
        <f>'WetLitterbags placem_collection'!M82</f>
        <v>R181</v>
      </c>
      <c r="AI83" t="b">
        <f t="shared" si="36"/>
        <v>0</v>
      </c>
      <c r="AJ83" t="b">
        <f t="shared" si="37"/>
        <v>0</v>
      </c>
      <c r="AK83">
        <f>'WetLitterbags placem_collection'!A82</f>
        <v>80</v>
      </c>
      <c r="AL83">
        <f>'WetLitterbags placem_collection'!A82</f>
        <v>80</v>
      </c>
      <c r="AN83">
        <f>IF('Dry_Litterbag Placem_Collection'!J82=0,"",'Dry_Litterbag Placem_Collection'!J82)</f>
        <v>24</v>
      </c>
      <c r="AO83">
        <f>IF('Dry_Litterbag Placem_Collection'!K82=0,"",'Dry_Litterbag Placem_Collection'!K82)</f>
        <v>726</v>
      </c>
      <c r="AP83" t="b">
        <f t="shared" si="38"/>
        <v>0</v>
      </c>
      <c r="AQ83" t="b">
        <f t="shared" si="39"/>
        <v>0</v>
      </c>
      <c r="AT83" t="str">
        <f>'Ashed teabags dry'!A81</f>
        <v>G197</v>
      </c>
      <c r="AU83" t="str">
        <f>'Ashed teabags dry'!A418</f>
        <v>R297</v>
      </c>
      <c r="AV83" t="b">
        <f t="shared" si="40"/>
        <v>0</v>
      </c>
      <c r="AW83" t="b">
        <f t="shared" si="41"/>
        <v>0</v>
      </c>
      <c r="AZ83" s="401" t="b">
        <f t="shared" si="42"/>
        <v>0</v>
      </c>
      <c r="BA83" s="401" t="b">
        <f t="shared" si="43"/>
        <v>0</v>
      </c>
      <c r="BC83" t="str">
        <f>'Ashed teabags wet'!A81</f>
        <v>G456</v>
      </c>
      <c r="BD83" t="str">
        <f>'Ashed teabags wet'!A498</f>
        <v>R228</v>
      </c>
      <c r="BE83" t="b">
        <f t="shared" si="44"/>
        <v>0</v>
      </c>
      <c r="BF83" t="b">
        <f t="shared" si="45"/>
        <v>0</v>
      </c>
      <c r="BG83">
        <f>IFERROR('Ashed teabags wet'!C81,"")</f>
        <v>23</v>
      </c>
      <c r="BH83">
        <f>IFERROR('Ashed teabags wet'!C498,"")</f>
        <v>77</v>
      </c>
      <c r="BI83" t="str">
        <f>'Ashed teabags wet'!AB81</f>
        <v/>
      </c>
      <c r="BJ83">
        <f>'Ashed teabags wet'!AC81</f>
        <v>22</v>
      </c>
      <c r="BK83" t="str">
        <f>'Ashed teabags wet'!AD498</f>
        <v/>
      </c>
      <c r="BL83">
        <f>'Ashed teabags wet'!AE498</f>
        <v>76</v>
      </c>
      <c r="BN83" t="str">
        <f t="shared" si="46"/>
        <v>G454</v>
      </c>
      <c r="BO83" t="b">
        <f t="shared" si="47"/>
        <v>1</v>
      </c>
    </row>
    <row r="84" spans="2:68" ht="12" customHeight="1">
      <c r="B84" t="str">
        <f>TBIDry!H156</f>
        <v>G312</v>
      </c>
      <c r="C84" t="str">
        <f>TBIDry!I156</f>
        <v>R739</v>
      </c>
      <c r="D84" t="b">
        <f t="shared" si="24"/>
        <v>0</v>
      </c>
      <c r="E84" t="b">
        <f t="shared" si="25"/>
        <v>0</v>
      </c>
      <c r="G84" t="str">
        <f>TBIWet!H156</f>
        <v>G542</v>
      </c>
      <c r="H84" t="str">
        <f>TBIWet!I156</f>
        <v>R187</v>
      </c>
      <c r="I84" t="b">
        <f t="shared" si="26"/>
        <v>0</v>
      </c>
      <c r="J84" t="b">
        <f t="shared" si="27"/>
        <v>0</v>
      </c>
      <c r="L84" t="str">
        <f>'Both teabags AfterWet'!A83</f>
        <v>G452</v>
      </c>
      <c r="M84" t="str">
        <f>'Both teabags AfterWet'!A501</f>
        <v>R21</v>
      </c>
      <c r="N84" t="b">
        <f t="shared" si="28"/>
        <v>0</v>
      </c>
      <c r="O84" t="b">
        <f t="shared" si="29"/>
        <v>0</v>
      </c>
      <c r="P84">
        <f>IFERROR('Both teabags AfterWet'!B83,"")</f>
        <v>7</v>
      </c>
      <c r="Q84">
        <f>'Both teabags AfterWet'!B501</f>
        <v>138</v>
      </c>
      <c r="S84" s="401" t="b">
        <f t="shared" si="30"/>
        <v>0</v>
      </c>
      <c r="T84" s="401" t="b">
        <f t="shared" si="31"/>
        <v>0</v>
      </c>
      <c r="V84" t="str">
        <f>'Both teabags AfterDry'!A83</f>
        <v>G2</v>
      </c>
      <c r="W84" t="str">
        <f>'Both teabags AfterDry'!A420</f>
        <v>R304</v>
      </c>
      <c r="X84" t="b">
        <f t="shared" si="32"/>
        <v>0</v>
      </c>
      <c r="Y84" t="b">
        <f t="shared" si="33"/>
        <v>0</v>
      </c>
      <c r="AA84" t="str">
        <f>'Green_rooibos initial weight'!A85</f>
        <v>G81</v>
      </c>
      <c r="AB84" t="str">
        <f>'Green_rooibos initial weight'!A989</f>
        <v>R81</v>
      </c>
      <c r="AC84" t="b">
        <f t="shared" si="34"/>
        <v>0</v>
      </c>
      <c r="AD84" t="b">
        <f t="shared" si="35"/>
        <v>0</v>
      </c>
      <c r="AG84" t="str">
        <f>'WetLitterbags placem_collection'!K83</f>
        <v>G542</v>
      </c>
      <c r="AH84" t="str">
        <f>'WetLitterbags placem_collection'!M83</f>
        <v>R187</v>
      </c>
      <c r="AI84" t="b">
        <f t="shared" si="36"/>
        <v>0</v>
      </c>
      <c r="AJ84" t="b">
        <f t="shared" si="37"/>
        <v>0</v>
      </c>
      <c r="AK84">
        <f>'WetLitterbags placem_collection'!A83</f>
        <v>81</v>
      </c>
      <c r="AL84">
        <f>'WetLitterbags placem_collection'!A83</f>
        <v>81</v>
      </c>
      <c r="AN84">
        <f>IF('Dry_Litterbag Placem_Collection'!J83=0,"",'Dry_Litterbag Placem_Collection'!J83)</f>
        <v>312</v>
      </c>
      <c r="AO84">
        <f>IF('Dry_Litterbag Placem_Collection'!K83=0,"",'Dry_Litterbag Placem_Collection'!K83)</f>
        <v>739</v>
      </c>
      <c r="AP84" t="b">
        <f t="shared" si="38"/>
        <v>0</v>
      </c>
      <c r="AQ84" t="b">
        <f t="shared" si="39"/>
        <v>0</v>
      </c>
      <c r="AT84" t="str">
        <f>'Ashed teabags dry'!A82</f>
        <v>G198</v>
      </c>
      <c r="AU84" t="str">
        <f>'Ashed teabags dry'!A419</f>
        <v>R298</v>
      </c>
      <c r="AV84" t="b">
        <f t="shared" si="40"/>
        <v>0</v>
      </c>
      <c r="AW84" t="b">
        <f t="shared" si="41"/>
        <v>0</v>
      </c>
      <c r="AZ84" s="401" t="b">
        <f t="shared" si="42"/>
        <v>0</v>
      </c>
      <c r="BA84" s="401" t="b">
        <f t="shared" si="43"/>
        <v>0</v>
      </c>
      <c r="BC84" t="str">
        <f>'Ashed teabags wet'!A82</f>
        <v>G457</v>
      </c>
      <c r="BD84" t="str">
        <f>'Ashed teabags wet'!A499</f>
        <v>R23</v>
      </c>
      <c r="BE84" t="b">
        <f t="shared" si="44"/>
        <v>0</v>
      </c>
      <c r="BF84" t="b">
        <f t="shared" si="45"/>
        <v>0</v>
      </c>
      <c r="BG84">
        <f>IFERROR('Ashed teabags wet'!C82,"")</f>
        <v>175</v>
      </c>
      <c r="BH84">
        <f>IFERROR('Ashed teabags wet'!C499,"")</f>
        <v>59</v>
      </c>
      <c r="BI84">
        <f>'Ashed teabags wet'!AB82</f>
        <v>174</v>
      </c>
      <c r="BJ84" t="str">
        <f>'Ashed teabags wet'!AC82</f>
        <v/>
      </c>
      <c r="BK84">
        <f>'Ashed teabags wet'!AD499</f>
        <v>58</v>
      </c>
      <c r="BL84" t="str">
        <f>'Ashed teabags wet'!AE499</f>
        <v/>
      </c>
      <c r="BN84" t="str">
        <f t="shared" si="46"/>
        <v>G456</v>
      </c>
      <c r="BO84" t="b">
        <f t="shared" si="47"/>
        <v>1</v>
      </c>
    </row>
    <row r="85" spans="2:68" ht="12" customHeight="1">
      <c r="B85" t="str">
        <f>TBIDry!H157</f>
        <v>G356</v>
      </c>
      <c r="C85" t="str">
        <f>TBIDry!I157</f>
        <v>R800</v>
      </c>
      <c r="D85" t="b">
        <f t="shared" si="24"/>
        <v>0</v>
      </c>
      <c r="E85" t="b">
        <f t="shared" si="25"/>
        <v>0</v>
      </c>
      <c r="G85" t="str">
        <f>TBIWet!H157</f>
        <v>G536</v>
      </c>
      <c r="H85" t="str">
        <f>TBIWet!I157</f>
        <v>R83</v>
      </c>
      <c r="I85" t="b">
        <f t="shared" si="26"/>
        <v>0</v>
      </c>
      <c r="J85" t="b">
        <f t="shared" si="27"/>
        <v>0</v>
      </c>
      <c r="L85" t="str">
        <f>'Both teabags AfterWet'!A84</f>
        <v>G453</v>
      </c>
      <c r="M85" t="str">
        <f>'Both teabags AfterWet'!A502</f>
        <v>R215</v>
      </c>
      <c r="N85" t="b">
        <f t="shared" si="28"/>
        <v>0</v>
      </c>
      <c r="O85" t="b">
        <f t="shared" si="29"/>
        <v>0</v>
      </c>
      <c r="P85">
        <f>IFERROR('Both teabags AfterWet'!B84,"")</f>
        <v>41</v>
      </c>
      <c r="Q85" t="str">
        <f>'Both teabags AfterWet'!B502</f>
        <v>n.a</v>
      </c>
      <c r="S85" s="401" t="b">
        <f t="shared" si="30"/>
        <v>0</v>
      </c>
      <c r="T85" s="401" t="b">
        <f t="shared" si="31"/>
        <v>0</v>
      </c>
      <c r="V85" t="str">
        <f>'Both teabags AfterDry'!A84</f>
        <v>G20</v>
      </c>
      <c r="W85" t="str">
        <f>'Both teabags AfterDry'!A421</f>
        <v>R305</v>
      </c>
      <c r="X85" t="b">
        <f t="shared" si="32"/>
        <v>0</v>
      </c>
      <c r="Y85" t="b">
        <f t="shared" si="33"/>
        <v>0</v>
      </c>
      <c r="AA85" t="str">
        <f>'Green_rooibos initial weight'!A86</f>
        <v>G82</v>
      </c>
      <c r="AB85" t="str">
        <f>'Green_rooibos initial weight'!A990</f>
        <v>R82</v>
      </c>
      <c r="AC85" t="b">
        <f t="shared" si="34"/>
        <v>0</v>
      </c>
      <c r="AD85" t="b">
        <f t="shared" si="35"/>
        <v>0</v>
      </c>
      <c r="AG85" t="str">
        <f>'WetLitterbags placem_collection'!K84</f>
        <v>G536</v>
      </c>
      <c r="AH85" t="str">
        <f>'WetLitterbags placem_collection'!M84</f>
        <v>R83</v>
      </c>
      <c r="AI85" t="b">
        <f t="shared" si="36"/>
        <v>0</v>
      </c>
      <c r="AJ85" t="b">
        <f t="shared" si="37"/>
        <v>0</v>
      </c>
      <c r="AK85">
        <f>'WetLitterbags placem_collection'!A84</f>
        <v>82</v>
      </c>
      <c r="AL85">
        <f>'WetLitterbags placem_collection'!A84</f>
        <v>82</v>
      </c>
      <c r="AN85">
        <f>IF('Dry_Litterbag Placem_Collection'!J84=0,"",'Dry_Litterbag Placem_Collection'!J84)</f>
        <v>356</v>
      </c>
      <c r="AO85">
        <f>IF('Dry_Litterbag Placem_Collection'!K84=0,"",'Dry_Litterbag Placem_Collection'!K84)</f>
        <v>800</v>
      </c>
      <c r="AP85" t="b">
        <f t="shared" si="38"/>
        <v>0</v>
      </c>
      <c r="AQ85" t="b">
        <f t="shared" si="39"/>
        <v>0</v>
      </c>
      <c r="AT85" t="str">
        <f>'Ashed teabags dry'!A83</f>
        <v>G2</v>
      </c>
      <c r="AU85" t="str">
        <f>'Ashed teabags dry'!A420</f>
        <v>R299</v>
      </c>
      <c r="AV85" t="b">
        <f t="shared" si="40"/>
        <v>0</v>
      </c>
      <c r="AW85" t="b">
        <f t="shared" si="41"/>
        <v>0</v>
      </c>
      <c r="AZ85" s="401" t="b">
        <f t="shared" si="42"/>
        <v>0</v>
      </c>
      <c r="BA85" s="401" t="b">
        <f t="shared" si="43"/>
        <v>0</v>
      </c>
      <c r="BC85" t="str">
        <f>'Ashed teabags wet'!A83</f>
        <v>G458</v>
      </c>
      <c r="BD85" t="str">
        <f>'Ashed teabags wet'!A500</f>
        <v>R232</v>
      </c>
      <c r="BE85" t="b">
        <f t="shared" si="44"/>
        <v>0</v>
      </c>
      <c r="BF85" t="b">
        <f t="shared" si="45"/>
        <v>0</v>
      </c>
      <c r="BG85">
        <f>IFERROR('Ashed teabags wet'!C83,"")</f>
        <v>181</v>
      </c>
      <c r="BH85">
        <f>IFERROR('Ashed teabags wet'!C500,"")</f>
        <v>190</v>
      </c>
      <c r="BI85">
        <f>'Ashed teabags wet'!AB83</f>
        <v>180</v>
      </c>
      <c r="BJ85" t="str">
        <f>'Ashed teabags wet'!AC83</f>
        <v/>
      </c>
      <c r="BK85" t="str">
        <f>'Ashed teabags wet'!AD500</f>
        <v/>
      </c>
      <c r="BL85">
        <f>'Ashed teabags wet'!AE500</f>
        <v>189</v>
      </c>
      <c r="BN85" t="str">
        <f t="shared" si="46"/>
        <v>G457</v>
      </c>
      <c r="BO85" t="b">
        <f t="shared" si="47"/>
        <v>1</v>
      </c>
    </row>
    <row r="86" spans="2:68" ht="12" customHeight="1">
      <c r="B86" t="str">
        <f>TBIDry!H158</f>
        <v>G331</v>
      </c>
      <c r="C86" t="str">
        <f>TBIDry!I158</f>
        <v>R764</v>
      </c>
      <c r="D86" t="b">
        <f t="shared" si="24"/>
        <v>0</v>
      </c>
      <c r="E86" t="b">
        <f t="shared" si="25"/>
        <v>0</v>
      </c>
      <c r="G86" t="str">
        <f>TBIWet!H158</f>
        <v>G494</v>
      </c>
      <c r="H86" t="str">
        <f>TBIWet!I158</f>
        <v>R134</v>
      </c>
      <c r="I86" t="b">
        <f t="shared" si="26"/>
        <v>0</v>
      </c>
      <c r="J86" t="b">
        <f t="shared" si="27"/>
        <v>0</v>
      </c>
      <c r="L86" t="str">
        <f>'Both teabags AfterWet'!A85</f>
        <v>G454</v>
      </c>
      <c r="M86" t="str">
        <f>'Both teabags AfterWet'!A503</f>
        <v>R216</v>
      </c>
      <c r="N86" t="b">
        <f t="shared" si="28"/>
        <v>0</v>
      </c>
      <c r="O86" t="b">
        <f t="shared" si="29"/>
        <v>0</v>
      </c>
      <c r="P86">
        <f>IFERROR('Both teabags AfterWet'!B85,"")</f>
        <v>176</v>
      </c>
      <c r="Q86">
        <f>'Both teabags AfterWet'!B503</f>
        <v>189</v>
      </c>
      <c r="S86" s="401" t="b">
        <f t="shared" si="30"/>
        <v>0</v>
      </c>
      <c r="T86" s="401" t="b">
        <f t="shared" si="31"/>
        <v>0</v>
      </c>
      <c r="V86" t="str">
        <f>'Both teabags AfterDry'!A85</f>
        <v>G200</v>
      </c>
      <c r="W86" t="str">
        <f>'Both teabags AfterDry'!A422</f>
        <v>R306</v>
      </c>
      <c r="X86" t="b">
        <f t="shared" si="32"/>
        <v>0</v>
      </c>
      <c r="Y86" t="b">
        <f t="shared" si="33"/>
        <v>0</v>
      </c>
      <c r="AA86" t="str">
        <f>'Green_rooibos initial weight'!A87</f>
        <v>G83</v>
      </c>
      <c r="AB86" t="str">
        <f>'Green_rooibos initial weight'!A991</f>
        <v>R83</v>
      </c>
      <c r="AC86" t="b">
        <f t="shared" si="34"/>
        <v>0</v>
      </c>
      <c r="AD86" t="b">
        <f t="shared" si="35"/>
        <v>0</v>
      </c>
      <c r="AG86" t="str">
        <f>'WetLitterbags placem_collection'!K85</f>
        <v>G494</v>
      </c>
      <c r="AH86" t="str">
        <f>'WetLitterbags placem_collection'!M85</f>
        <v>R134</v>
      </c>
      <c r="AI86" t="b">
        <f t="shared" si="36"/>
        <v>0</v>
      </c>
      <c r="AJ86" t="b">
        <f t="shared" si="37"/>
        <v>0</v>
      </c>
      <c r="AK86">
        <f>'WetLitterbags placem_collection'!A85</f>
        <v>83</v>
      </c>
      <c r="AL86">
        <f>'WetLitterbags placem_collection'!A85</f>
        <v>83</v>
      </c>
      <c r="AN86">
        <f>IF('Dry_Litterbag Placem_Collection'!J85=0,"",'Dry_Litterbag Placem_Collection'!J85)</f>
        <v>331</v>
      </c>
      <c r="AO86">
        <f>IF('Dry_Litterbag Placem_Collection'!K85=0,"",'Dry_Litterbag Placem_Collection'!K85)</f>
        <v>764</v>
      </c>
      <c r="AP86" t="b">
        <f t="shared" si="38"/>
        <v>0</v>
      </c>
      <c r="AQ86" t="b">
        <f t="shared" si="39"/>
        <v>0</v>
      </c>
      <c r="AT86" t="str">
        <f>'Ashed teabags dry'!A84</f>
        <v>G20</v>
      </c>
      <c r="AU86" t="str">
        <f>'Ashed teabags dry'!A421</f>
        <v>R304</v>
      </c>
      <c r="AV86" t="b">
        <f t="shared" si="40"/>
        <v>0</v>
      </c>
      <c r="AW86" t="b">
        <f t="shared" si="41"/>
        <v>0</v>
      </c>
      <c r="AZ86" s="401" t="b">
        <f t="shared" si="42"/>
        <v>0</v>
      </c>
      <c r="BA86" s="401" t="b">
        <f t="shared" si="43"/>
        <v>0</v>
      </c>
      <c r="BC86" t="str">
        <f>'Ashed teabags wet'!A84</f>
        <v>G459</v>
      </c>
      <c r="BD86" t="str">
        <f>'Ashed teabags wet'!A501</f>
        <v>R234</v>
      </c>
      <c r="BE86" t="b">
        <f t="shared" si="44"/>
        <v>0</v>
      </c>
      <c r="BF86" t="b">
        <f t="shared" si="45"/>
        <v>0</v>
      </c>
      <c r="BG86">
        <f>IFERROR('Ashed teabags wet'!C84,"")</f>
        <v>71</v>
      </c>
      <c r="BH86">
        <f>IFERROR('Ashed teabags wet'!C501,"")</f>
        <v>206</v>
      </c>
      <c r="BI86" t="str">
        <f>'Ashed teabags wet'!AB84</f>
        <v/>
      </c>
      <c r="BJ86">
        <f>'Ashed teabags wet'!AC84</f>
        <v>70</v>
      </c>
      <c r="BK86">
        <f>'Ashed teabags wet'!AD501</f>
        <v>205</v>
      </c>
      <c r="BL86" t="str">
        <f>'Ashed teabags wet'!AE501</f>
        <v/>
      </c>
      <c r="BN86" t="str">
        <f t="shared" si="46"/>
        <v>G458</v>
      </c>
      <c r="BO86" t="b">
        <f t="shared" si="47"/>
        <v>1</v>
      </c>
    </row>
    <row r="87" spans="2:68" ht="12" customHeight="1">
      <c r="B87" t="str">
        <f>TBIDry!H159</f>
        <v>G101</v>
      </c>
      <c r="C87" t="str">
        <f>TBIDry!I159</f>
        <v>R778</v>
      </c>
      <c r="D87" t="b">
        <f t="shared" si="24"/>
        <v>0</v>
      </c>
      <c r="E87" t="b">
        <f t="shared" si="25"/>
        <v>0</v>
      </c>
      <c r="G87" t="str">
        <f>TBIWet!H159</f>
        <v>G291</v>
      </c>
      <c r="H87" t="str">
        <f>TBIWet!I159</f>
        <v>R49</v>
      </c>
      <c r="I87" t="b">
        <f t="shared" si="26"/>
        <v>0</v>
      </c>
      <c r="J87" t="b">
        <f t="shared" si="27"/>
        <v>0</v>
      </c>
      <c r="L87" t="str">
        <f>'Both teabags AfterWet'!A86</f>
        <v>G456</v>
      </c>
      <c r="M87" t="str">
        <f>'Both teabags AfterWet'!A504</f>
        <v>R217</v>
      </c>
      <c r="N87" t="b">
        <f t="shared" si="28"/>
        <v>0</v>
      </c>
      <c r="O87" t="b">
        <f t="shared" si="29"/>
        <v>0</v>
      </c>
      <c r="P87">
        <f>IFERROR('Both teabags AfterWet'!B86,"")</f>
        <v>23</v>
      </c>
      <c r="Q87" t="str">
        <f>'Both teabags AfterWet'!B504</f>
        <v>n.a</v>
      </c>
      <c r="S87" s="401" t="b">
        <f t="shared" si="30"/>
        <v>0</v>
      </c>
      <c r="T87" s="401" t="b">
        <f t="shared" si="31"/>
        <v>0</v>
      </c>
      <c r="V87" t="str">
        <f>'Both teabags AfterDry'!A86</f>
        <v>G204</v>
      </c>
      <c r="W87" t="str">
        <f>'Both teabags AfterDry'!A423</f>
        <v>R310</v>
      </c>
      <c r="X87" t="b">
        <f t="shared" si="32"/>
        <v>0</v>
      </c>
      <c r="Y87" t="b">
        <f t="shared" si="33"/>
        <v>0</v>
      </c>
      <c r="AA87" t="str">
        <f>'Green_rooibos initial weight'!A88</f>
        <v>G84</v>
      </c>
      <c r="AB87" t="str">
        <f>'Green_rooibos initial weight'!A992</f>
        <v>R84</v>
      </c>
      <c r="AC87" t="b">
        <f t="shared" si="34"/>
        <v>0</v>
      </c>
      <c r="AD87" t="b">
        <f t="shared" si="35"/>
        <v>0</v>
      </c>
      <c r="AG87" t="str">
        <f>'WetLitterbags placem_collection'!K86</f>
        <v>G291</v>
      </c>
      <c r="AH87" t="str">
        <f>'WetLitterbags placem_collection'!M86</f>
        <v>R49</v>
      </c>
      <c r="AI87" t="b">
        <f t="shared" si="36"/>
        <v>0</v>
      </c>
      <c r="AJ87" t="b">
        <f t="shared" si="37"/>
        <v>0</v>
      </c>
      <c r="AK87">
        <f>'WetLitterbags placem_collection'!A86</f>
        <v>84</v>
      </c>
      <c r="AL87">
        <f>'WetLitterbags placem_collection'!A86</f>
        <v>84</v>
      </c>
      <c r="AN87">
        <f>IF('Dry_Litterbag Placem_Collection'!J86=0,"",'Dry_Litterbag Placem_Collection'!J86)</f>
        <v>101</v>
      </c>
      <c r="AO87">
        <f>IF('Dry_Litterbag Placem_Collection'!K86=0,"",'Dry_Litterbag Placem_Collection'!K86)</f>
        <v>778</v>
      </c>
      <c r="AP87" t="b">
        <f t="shared" si="38"/>
        <v>0</v>
      </c>
      <c r="AQ87" t="b">
        <f t="shared" si="39"/>
        <v>0</v>
      </c>
      <c r="AT87" t="str">
        <f>'Ashed teabags dry'!A85</f>
        <v>G200</v>
      </c>
      <c r="AU87" t="str">
        <f>'Ashed teabags dry'!A422</f>
        <v>R305</v>
      </c>
      <c r="AV87" t="b">
        <f t="shared" si="40"/>
        <v>0</v>
      </c>
      <c r="AW87" t="b">
        <f t="shared" si="41"/>
        <v>0</v>
      </c>
      <c r="AZ87" s="401" t="b">
        <f t="shared" si="42"/>
        <v>0</v>
      </c>
      <c r="BA87" s="401" t="b">
        <f t="shared" si="43"/>
        <v>0</v>
      </c>
      <c r="BC87" t="str">
        <f>'Ashed teabags wet'!A85</f>
        <v>G460</v>
      </c>
      <c r="BD87" t="str">
        <f>'Ashed teabags wet'!A502</f>
        <v>R235</v>
      </c>
      <c r="BE87" t="b">
        <f t="shared" si="44"/>
        <v>0</v>
      </c>
      <c r="BF87" t="b">
        <f t="shared" si="45"/>
        <v>0</v>
      </c>
      <c r="BG87">
        <f>IFERROR('Ashed teabags wet'!C85,"")</f>
        <v>78</v>
      </c>
      <c r="BH87">
        <f>IFERROR('Ashed teabags wet'!C502,"")</f>
        <v>79</v>
      </c>
      <c r="BI87">
        <f>'Ashed teabags wet'!AB85</f>
        <v>77</v>
      </c>
      <c r="BJ87" t="str">
        <f>'Ashed teabags wet'!AC85</f>
        <v/>
      </c>
      <c r="BK87">
        <f>'Ashed teabags wet'!AD502</f>
        <v>78</v>
      </c>
      <c r="BL87" t="str">
        <f>'Ashed teabags wet'!AE502</f>
        <v/>
      </c>
      <c r="BN87" t="str">
        <f t="shared" si="46"/>
        <v>G459</v>
      </c>
      <c r="BO87" t="b">
        <f t="shared" si="47"/>
        <v>1</v>
      </c>
    </row>
    <row r="88" spans="2:68" ht="12" customHeight="1">
      <c r="B88" t="str">
        <f>TBIDry!H160</f>
        <v/>
      </c>
      <c r="C88" t="str">
        <f>TBIDry!I160</f>
        <v/>
      </c>
      <c r="D88" t="b">
        <f t="shared" si="24"/>
        <v>1</v>
      </c>
      <c r="E88" t="b">
        <f t="shared" si="25"/>
        <v>1</v>
      </c>
      <c r="G88" t="str">
        <f>TBIWet!H160</f>
        <v>G308</v>
      </c>
      <c r="H88" t="str">
        <f>TBIWet!I160</f>
        <v>R315</v>
      </c>
      <c r="I88" t="b">
        <f t="shared" si="26"/>
        <v>0</v>
      </c>
      <c r="J88" t="b">
        <f t="shared" si="27"/>
        <v>0</v>
      </c>
      <c r="L88" t="str">
        <f>'Both teabags AfterWet'!A87</f>
        <v>G457</v>
      </c>
      <c r="M88" t="str">
        <f>'Both teabags AfterWet'!A505</f>
        <v>R218</v>
      </c>
      <c r="N88" t="b">
        <f t="shared" si="28"/>
        <v>0</v>
      </c>
      <c r="O88" t="b">
        <f t="shared" si="29"/>
        <v>0</v>
      </c>
      <c r="P88">
        <f>IFERROR('Both teabags AfterWet'!B87,"")</f>
        <v>175</v>
      </c>
      <c r="Q88">
        <f>'Both teabags AfterWet'!B505</f>
        <v>201</v>
      </c>
      <c r="S88" s="401" t="b">
        <f t="shared" si="30"/>
        <v>0</v>
      </c>
      <c r="T88" s="401" t="b">
        <f t="shared" si="31"/>
        <v>0</v>
      </c>
      <c r="V88" t="str">
        <f>'Both teabags AfterDry'!A87</f>
        <v>G205</v>
      </c>
      <c r="W88" t="str">
        <f>'Both teabags AfterDry'!A424</f>
        <v>R313</v>
      </c>
      <c r="X88" t="b">
        <f t="shared" si="32"/>
        <v>0</v>
      </c>
      <c r="Y88" t="b">
        <f t="shared" si="33"/>
        <v>0</v>
      </c>
      <c r="AA88" t="str">
        <f>'Green_rooibos initial weight'!A89</f>
        <v>G85</v>
      </c>
      <c r="AB88" t="str">
        <f>'Green_rooibos initial weight'!A993</f>
        <v>R85</v>
      </c>
      <c r="AC88" t="b">
        <f t="shared" si="34"/>
        <v>0</v>
      </c>
      <c r="AD88" t="b">
        <f t="shared" si="35"/>
        <v>0</v>
      </c>
      <c r="AG88" t="str">
        <f>'WetLitterbags placem_collection'!K87</f>
        <v>G308</v>
      </c>
      <c r="AH88" t="str">
        <f>'WetLitterbags placem_collection'!M87</f>
        <v>R315</v>
      </c>
      <c r="AI88" t="b">
        <f t="shared" si="36"/>
        <v>0</v>
      </c>
      <c r="AJ88" t="b">
        <f t="shared" si="37"/>
        <v>0</v>
      </c>
      <c r="AK88">
        <f>'WetLitterbags placem_collection'!A87</f>
        <v>85</v>
      </c>
      <c r="AL88">
        <f>'WetLitterbags placem_collection'!A87</f>
        <v>85</v>
      </c>
      <c r="AN88" t="str">
        <f>IF('Dry_Litterbag Placem_Collection'!J87=0,"",'Dry_Litterbag Placem_Collection'!J87)</f>
        <v/>
      </c>
      <c r="AO88" t="str">
        <f>IF('Dry_Litterbag Placem_Collection'!K87=0,"",'Dry_Litterbag Placem_Collection'!K87)</f>
        <v/>
      </c>
      <c r="AP88" t="b">
        <f t="shared" si="38"/>
        <v>1</v>
      </c>
      <c r="AQ88" t="b">
        <f t="shared" si="39"/>
        <v>1</v>
      </c>
      <c r="AT88" t="str">
        <f>'Ashed teabags dry'!A86</f>
        <v>G204</v>
      </c>
      <c r="AU88" t="str">
        <f>'Ashed teabags dry'!A423</f>
        <v>R306</v>
      </c>
      <c r="AV88" t="b">
        <f t="shared" si="40"/>
        <v>0</v>
      </c>
      <c r="AW88" t="b">
        <f t="shared" si="41"/>
        <v>0</v>
      </c>
      <c r="AZ88" s="401" t="b">
        <f t="shared" si="42"/>
        <v>0</v>
      </c>
      <c r="BA88" s="401" t="b">
        <f t="shared" si="43"/>
        <v>0</v>
      </c>
      <c r="BC88" t="str">
        <f>'Ashed teabags wet'!A86</f>
        <v>G461</v>
      </c>
      <c r="BD88" t="str">
        <f>'Ashed teabags wet'!A503</f>
        <v>R24</v>
      </c>
      <c r="BE88" t="b">
        <f t="shared" si="44"/>
        <v>0</v>
      </c>
      <c r="BF88" t="b">
        <f t="shared" si="45"/>
        <v>0</v>
      </c>
      <c r="BG88">
        <f>IFERROR('Ashed teabags wet'!C86,"")</f>
        <v>168</v>
      </c>
      <c r="BH88">
        <f>IFERROR('Ashed teabags wet'!C503,"")</f>
        <v>34</v>
      </c>
      <c r="BI88">
        <f>'Ashed teabags wet'!AB86</f>
        <v>167</v>
      </c>
      <c r="BJ88" t="str">
        <f>'Ashed teabags wet'!AC86</f>
        <v/>
      </c>
      <c r="BK88" t="str">
        <f>'Ashed teabags wet'!AD503</f>
        <v/>
      </c>
      <c r="BL88">
        <f>'Ashed teabags wet'!AE503</f>
        <v>33</v>
      </c>
      <c r="BN88" t="str">
        <f t="shared" si="46"/>
        <v>G460</v>
      </c>
      <c r="BO88" t="b">
        <f t="shared" si="47"/>
        <v>1</v>
      </c>
    </row>
    <row r="89" spans="2:68" ht="12" customHeight="1">
      <c r="B89" t="str">
        <f>TBIDry!H161</f>
        <v>G31</v>
      </c>
      <c r="C89" t="str">
        <f>TBIDry!I161</f>
        <v>R738</v>
      </c>
      <c r="D89" t="b">
        <f t="shared" si="24"/>
        <v>0</v>
      </c>
      <c r="E89" t="b">
        <f t="shared" si="25"/>
        <v>0</v>
      </c>
      <c r="G89" t="str">
        <f>TBIWet!H161</f>
        <v>G723</v>
      </c>
      <c r="H89" t="str">
        <f>TBIWet!I161</f>
        <v>R1</v>
      </c>
      <c r="I89" t="b">
        <f t="shared" si="26"/>
        <v>0</v>
      </c>
      <c r="J89" t="b">
        <f t="shared" si="27"/>
        <v>0</v>
      </c>
      <c r="L89" t="str">
        <f>'Both teabags AfterWet'!A88</f>
        <v>G458</v>
      </c>
      <c r="M89" t="str">
        <f>'Both teabags AfterWet'!A506</f>
        <v>R219</v>
      </c>
      <c r="N89" t="b">
        <f t="shared" si="28"/>
        <v>0</v>
      </c>
      <c r="O89" t="b">
        <f t="shared" si="29"/>
        <v>0</v>
      </c>
      <c r="P89" t="str">
        <f>IFERROR('Both teabags AfterWet'!B88,"")</f>
        <v>na</v>
      </c>
      <c r="Q89" t="str">
        <f>'Both teabags AfterWet'!B506</f>
        <v>na</v>
      </c>
      <c r="S89" s="401" t="b">
        <f t="shared" si="30"/>
        <v>0</v>
      </c>
      <c r="T89" s="401" t="b">
        <f t="shared" si="31"/>
        <v>0</v>
      </c>
      <c r="V89" t="str">
        <f>'Both teabags AfterDry'!A88</f>
        <v>G206</v>
      </c>
      <c r="W89" t="str">
        <f>'Both teabags AfterDry'!A425</f>
        <v>R314</v>
      </c>
      <c r="X89" t="b">
        <f t="shared" si="32"/>
        <v>0</v>
      </c>
      <c r="Y89" t="b">
        <f t="shared" si="33"/>
        <v>0</v>
      </c>
      <c r="AA89" t="str">
        <f>'Green_rooibos initial weight'!A90</f>
        <v>G86</v>
      </c>
      <c r="AB89" t="str">
        <f>'Green_rooibos initial weight'!A994</f>
        <v>R86</v>
      </c>
      <c r="AC89" t="b">
        <f t="shared" si="34"/>
        <v>0</v>
      </c>
      <c r="AD89" t="b">
        <f t="shared" si="35"/>
        <v>0</v>
      </c>
      <c r="AG89" t="str">
        <f>'WetLitterbags placem_collection'!K88</f>
        <v>G723</v>
      </c>
      <c r="AH89" t="str">
        <f>'WetLitterbags placem_collection'!M88</f>
        <v>R1</v>
      </c>
      <c r="AI89" t="b">
        <f t="shared" si="36"/>
        <v>0</v>
      </c>
      <c r="AJ89" t="b">
        <f t="shared" si="37"/>
        <v>0</v>
      </c>
      <c r="AK89">
        <f>'WetLitterbags placem_collection'!A88</f>
        <v>86</v>
      </c>
      <c r="AL89">
        <f>'WetLitterbags placem_collection'!A88</f>
        <v>86</v>
      </c>
      <c r="AN89">
        <f>IF('Dry_Litterbag Placem_Collection'!J88=0,"",'Dry_Litterbag Placem_Collection'!J88)</f>
        <v>31</v>
      </c>
      <c r="AO89">
        <f>IF('Dry_Litterbag Placem_Collection'!K88=0,"",'Dry_Litterbag Placem_Collection'!K88)</f>
        <v>738</v>
      </c>
      <c r="AP89" t="b">
        <f t="shared" si="38"/>
        <v>0</v>
      </c>
      <c r="AQ89" t="b">
        <f t="shared" si="39"/>
        <v>0</v>
      </c>
      <c r="AT89" t="str">
        <f>'Ashed teabags dry'!A87</f>
        <v>G205</v>
      </c>
      <c r="AU89" t="str">
        <f>'Ashed teabags dry'!A424</f>
        <v>R310</v>
      </c>
      <c r="AV89" t="b">
        <f t="shared" si="40"/>
        <v>0</v>
      </c>
      <c r="AW89" t="b">
        <f t="shared" si="41"/>
        <v>0</v>
      </c>
      <c r="AZ89" s="401" t="b">
        <f t="shared" si="42"/>
        <v>0</v>
      </c>
      <c r="BA89" s="401" t="b">
        <f t="shared" si="43"/>
        <v>0</v>
      </c>
      <c r="BC89" t="str">
        <f>'Ashed teabags wet'!A87</f>
        <v>G462</v>
      </c>
      <c r="BD89" t="str">
        <f>'Ashed teabags wet'!A504</f>
        <v>R241</v>
      </c>
      <c r="BE89" t="b">
        <f t="shared" si="44"/>
        <v>0</v>
      </c>
      <c r="BF89" t="b">
        <f t="shared" si="45"/>
        <v>0</v>
      </c>
      <c r="BG89">
        <f>IFERROR('Ashed teabags wet'!C87,"")</f>
        <v>198</v>
      </c>
      <c r="BH89">
        <f>IFERROR('Ashed teabags wet'!C504,"")</f>
        <v>216</v>
      </c>
      <c r="BI89" t="str">
        <f>'Ashed teabags wet'!AB87</f>
        <v/>
      </c>
      <c r="BJ89">
        <f>'Ashed teabags wet'!AC87</f>
        <v>197</v>
      </c>
      <c r="BK89">
        <f>'Ashed teabags wet'!AD504</f>
        <v>215</v>
      </c>
      <c r="BL89" t="str">
        <f>'Ashed teabags wet'!AE504</f>
        <v/>
      </c>
      <c r="BN89" t="str">
        <f t="shared" si="46"/>
        <v>G461</v>
      </c>
      <c r="BO89" t="b">
        <f t="shared" si="47"/>
        <v>1</v>
      </c>
    </row>
    <row r="90" spans="2:68" ht="12" customHeight="1">
      <c r="B90" t="str">
        <f>TBIDry!H162</f>
        <v>G220</v>
      </c>
      <c r="C90" t="str">
        <f>TBIDry!I162</f>
        <v>R394</v>
      </c>
      <c r="D90" t="b">
        <f t="shared" si="24"/>
        <v>0</v>
      </c>
      <c r="E90" t="b">
        <f t="shared" si="25"/>
        <v>0</v>
      </c>
      <c r="G90" t="str">
        <f>TBIWet!H162</f>
        <v>G628</v>
      </c>
      <c r="H90" t="str">
        <f>TBIWet!I162</f>
        <v>R408</v>
      </c>
      <c r="I90" t="b">
        <f t="shared" si="26"/>
        <v>0</v>
      </c>
      <c r="J90" t="b">
        <f t="shared" si="27"/>
        <v>0</v>
      </c>
      <c r="L90" t="str">
        <f>'Both teabags AfterWet'!A89</f>
        <v>G459</v>
      </c>
      <c r="M90" t="str">
        <f>'Both teabags AfterWet'!A507</f>
        <v>R22</v>
      </c>
      <c r="N90" t="b">
        <f t="shared" si="28"/>
        <v>0</v>
      </c>
      <c r="O90" t="b">
        <f t="shared" si="29"/>
        <v>0</v>
      </c>
      <c r="P90" t="str">
        <f>IFERROR('Both teabags AfterWet'!B89,"")</f>
        <v>n.a</v>
      </c>
      <c r="Q90">
        <f>'Both teabags AfterWet'!B507</f>
        <v>83</v>
      </c>
      <c r="S90" s="401" t="b">
        <f t="shared" si="30"/>
        <v>0</v>
      </c>
      <c r="T90" s="401" t="b">
        <f t="shared" si="31"/>
        <v>0</v>
      </c>
      <c r="V90" t="str">
        <f>'Both teabags AfterDry'!A89</f>
        <v>G207</v>
      </c>
      <c r="W90" t="str">
        <f>'Both teabags AfterDry'!A426</f>
        <v>R320</v>
      </c>
      <c r="X90" t="b">
        <f t="shared" si="32"/>
        <v>0</v>
      </c>
      <c r="Y90" t="b">
        <f t="shared" si="33"/>
        <v>0</v>
      </c>
      <c r="AA90" t="str">
        <f>'Green_rooibos initial weight'!A91</f>
        <v>G87</v>
      </c>
      <c r="AB90" t="str">
        <f>'Green_rooibos initial weight'!A995</f>
        <v>R87</v>
      </c>
      <c r="AC90" t="b">
        <f t="shared" si="34"/>
        <v>0</v>
      </c>
      <c r="AD90" t="b">
        <f t="shared" si="35"/>
        <v>0</v>
      </c>
      <c r="AG90" t="str">
        <f>'WetLitterbags placem_collection'!K89</f>
        <v>G628</v>
      </c>
      <c r="AH90" t="str">
        <f>'WetLitterbags placem_collection'!M89</f>
        <v>R408</v>
      </c>
      <c r="AI90" t="b">
        <f t="shared" si="36"/>
        <v>0</v>
      </c>
      <c r="AJ90" t="b">
        <f t="shared" si="37"/>
        <v>0</v>
      </c>
      <c r="AK90">
        <f>'WetLitterbags placem_collection'!A89</f>
        <v>87</v>
      </c>
      <c r="AL90">
        <f>'WetLitterbags placem_collection'!A89</f>
        <v>87</v>
      </c>
      <c r="AN90">
        <f>IF('Dry_Litterbag Placem_Collection'!J89=0,"",'Dry_Litterbag Placem_Collection'!J89)</f>
        <v>220</v>
      </c>
      <c r="AO90">
        <f>IF('Dry_Litterbag Placem_Collection'!K89=0,"",'Dry_Litterbag Placem_Collection'!K89)</f>
        <v>394</v>
      </c>
      <c r="AP90" t="b">
        <f t="shared" si="38"/>
        <v>0</v>
      </c>
      <c r="AQ90" t="b">
        <f t="shared" si="39"/>
        <v>0</v>
      </c>
      <c r="AT90" t="str">
        <f>'Ashed teabags dry'!A88</f>
        <v>G206</v>
      </c>
      <c r="AU90" t="str">
        <f>'Ashed teabags dry'!A425</f>
        <v>R313</v>
      </c>
      <c r="AV90" t="b">
        <f t="shared" si="40"/>
        <v>0</v>
      </c>
      <c r="AW90" t="b">
        <f t="shared" si="41"/>
        <v>0</v>
      </c>
      <c r="AZ90" s="401" t="b">
        <f t="shared" si="42"/>
        <v>0</v>
      </c>
      <c r="BA90" s="401" t="b">
        <f t="shared" si="43"/>
        <v>0</v>
      </c>
      <c r="BC90" t="str">
        <f>'Ashed teabags wet'!A88</f>
        <v>G469</v>
      </c>
      <c r="BD90" t="str">
        <f>'Ashed teabags wet'!A505</f>
        <v>R25</v>
      </c>
      <c r="BE90" t="b">
        <f t="shared" si="44"/>
        <v>0</v>
      </c>
      <c r="BF90" s="113" t="b">
        <f t="shared" si="45"/>
        <v>1</v>
      </c>
      <c r="BG90">
        <f>IFERROR('Ashed teabags wet'!C88,"")</f>
        <v>89</v>
      </c>
      <c r="BH90">
        <f>IFERROR('Ashed teabags wet'!C505,"")</f>
        <v>195</v>
      </c>
      <c r="BI90" t="str">
        <f>'Ashed teabags wet'!AB88</f>
        <v/>
      </c>
      <c r="BJ90">
        <f>'Ashed teabags wet'!AC88</f>
        <v>88</v>
      </c>
      <c r="BK90" t="str">
        <f>'Ashed teabags wet'!AD505</f>
        <v/>
      </c>
      <c r="BL90">
        <f>'Ashed teabags wet'!AE505</f>
        <v>194</v>
      </c>
      <c r="BN90" t="str">
        <f t="shared" si="46"/>
        <v>G462</v>
      </c>
      <c r="BO90" t="b">
        <f t="shared" si="47"/>
        <v>1</v>
      </c>
    </row>
    <row r="91" spans="2:68" ht="12" customHeight="1">
      <c r="B91" t="str">
        <f>TBIDry!H163</f>
        <v>G531</v>
      </c>
      <c r="C91" t="str">
        <f>TBIDry!I163</f>
        <v>R819</v>
      </c>
      <c r="D91" t="b">
        <f t="shared" si="24"/>
        <v>0</v>
      </c>
      <c r="E91" s="113" t="b">
        <f t="shared" si="25"/>
        <v>1</v>
      </c>
      <c r="G91" t="str">
        <f>TBIWet!H163</f>
        <v>G569</v>
      </c>
      <c r="H91" t="str">
        <f>TBIWet!I163</f>
        <v>R385</v>
      </c>
      <c r="I91" t="b">
        <f t="shared" si="26"/>
        <v>0</v>
      </c>
      <c r="J91" t="b">
        <f t="shared" si="27"/>
        <v>0</v>
      </c>
      <c r="L91" t="str">
        <f>'Both teabags AfterWet'!A90</f>
        <v>G460</v>
      </c>
      <c r="M91" t="str">
        <f>'Both teabags AfterWet'!A508</f>
        <v>R222</v>
      </c>
      <c r="N91" t="b">
        <f t="shared" si="28"/>
        <v>0</v>
      </c>
      <c r="O91" t="b">
        <f t="shared" si="29"/>
        <v>0</v>
      </c>
      <c r="P91" t="str">
        <f>IFERROR('Both teabags AfterWet'!B90,"")</f>
        <v>n.a</v>
      </c>
      <c r="Q91" t="str">
        <f>'Both teabags AfterWet'!B508</f>
        <v>n.a</v>
      </c>
      <c r="S91" s="401" t="b">
        <f t="shared" si="30"/>
        <v>0</v>
      </c>
      <c r="T91" s="401" t="b">
        <f t="shared" si="31"/>
        <v>0</v>
      </c>
      <c r="V91" t="str">
        <f>'Both teabags AfterDry'!A90</f>
        <v>G209</v>
      </c>
      <c r="W91" t="str">
        <f>'Both teabags AfterDry'!A427</f>
        <v>R321</v>
      </c>
      <c r="X91" t="b">
        <f t="shared" si="32"/>
        <v>0</v>
      </c>
      <c r="Y91" t="b">
        <f t="shared" si="33"/>
        <v>0</v>
      </c>
      <c r="AA91" t="str">
        <f>'Green_rooibos initial weight'!A92</f>
        <v>G88</v>
      </c>
      <c r="AB91" t="str">
        <f>'Green_rooibos initial weight'!A996</f>
        <v>R88</v>
      </c>
      <c r="AC91" t="b">
        <f t="shared" si="34"/>
        <v>0</v>
      </c>
      <c r="AD91" t="b">
        <f t="shared" si="35"/>
        <v>0</v>
      </c>
      <c r="AG91" t="str">
        <f>'WetLitterbags placem_collection'!K90</f>
        <v>G569</v>
      </c>
      <c r="AH91" t="str">
        <f>'WetLitterbags placem_collection'!M90</f>
        <v>R385</v>
      </c>
      <c r="AI91" t="b">
        <f t="shared" si="36"/>
        <v>0</v>
      </c>
      <c r="AJ91" t="b">
        <f t="shared" si="37"/>
        <v>0</v>
      </c>
      <c r="AK91">
        <f>'WetLitterbags placem_collection'!A90</f>
        <v>88</v>
      </c>
      <c r="AL91">
        <f>'WetLitterbags placem_collection'!A90</f>
        <v>88</v>
      </c>
      <c r="AN91">
        <f>IF('Dry_Litterbag Placem_Collection'!J90=0,"",'Dry_Litterbag Placem_Collection'!J90)</f>
        <v>531</v>
      </c>
      <c r="AO91">
        <f>IF('Dry_Litterbag Placem_Collection'!K90=0,"",'Dry_Litterbag Placem_Collection'!K90)</f>
        <v>819</v>
      </c>
      <c r="AP91" t="b">
        <f t="shared" si="38"/>
        <v>0</v>
      </c>
      <c r="AQ91" t="b">
        <f t="shared" si="39"/>
        <v>1</v>
      </c>
      <c r="AT91" t="str">
        <f>'Ashed teabags dry'!A89</f>
        <v>G207</v>
      </c>
      <c r="AU91" t="str">
        <f>'Ashed teabags dry'!A426</f>
        <v>R314</v>
      </c>
      <c r="AV91" t="b">
        <f t="shared" si="40"/>
        <v>0</v>
      </c>
      <c r="AW91" t="b">
        <f t="shared" si="41"/>
        <v>0</v>
      </c>
      <c r="AZ91" s="401" t="b">
        <f t="shared" si="42"/>
        <v>0</v>
      </c>
      <c r="BA91" s="401" t="b">
        <f t="shared" si="43"/>
        <v>0</v>
      </c>
      <c r="BC91" t="str">
        <f>'Ashed teabags wet'!A89</f>
        <v>G470</v>
      </c>
      <c r="BD91" t="str">
        <f>'Ashed teabags wet'!A506</f>
        <v>R25</v>
      </c>
      <c r="BE91" t="b">
        <f t="shared" si="44"/>
        <v>0</v>
      </c>
      <c r="BF91" s="113" t="b">
        <f t="shared" si="45"/>
        <v>1</v>
      </c>
      <c r="BG91">
        <f>IFERROR('Ashed teabags wet'!C89,"")</f>
        <v>176</v>
      </c>
      <c r="BH91">
        <f>IFERROR('Ashed teabags wet'!C506,"")</f>
        <v>195</v>
      </c>
      <c r="BI91" t="str">
        <f>'Ashed teabags wet'!AB89</f>
        <v/>
      </c>
      <c r="BJ91">
        <f>'Ashed teabags wet'!AC89</f>
        <v>175</v>
      </c>
      <c r="BK91" t="str">
        <f>'Ashed teabags wet'!AD506</f>
        <v/>
      </c>
      <c r="BL91">
        <f>'Ashed teabags wet'!AE506</f>
        <v>194</v>
      </c>
      <c r="BN91" t="str">
        <f t="shared" si="46"/>
        <v>G469</v>
      </c>
      <c r="BO91" t="b">
        <f t="shared" si="47"/>
        <v>1</v>
      </c>
    </row>
    <row r="92" spans="2:68" ht="12" customHeight="1">
      <c r="B92" t="str">
        <f>TBIDry!H164</f>
        <v>G35</v>
      </c>
      <c r="C92" t="str">
        <f>TBIDry!I164</f>
        <v>R818</v>
      </c>
      <c r="D92" t="b">
        <f t="shared" si="24"/>
        <v>0</v>
      </c>
      <c r="E92" t="b">
        <f t="shared" si="25"/>
        <v>0</v>
      </c>
      <c r="G92" t="str">
        <f>TBIWet!H164</f>
        <v>G339</v>
      </c>
      <c r="H92" t="str">
        <f>TBIWet!I164</f>
        <v>R196</v>
      </c>
      <c r="I92" t="b">
        <f t="shared" si="26"/>
        <v>0</v>
      </c>
      <c r="J92" t="b">
        <f t="shared" si="27"/>
        <v>0</v>
      </c>
      <c r="L92" t="str">
        <f>'Both teabags AfterWet'!A91</f>
        <v>G461</v>
      </c>
      <c r="M92" t="str">
        <f>'Both teabags AfterWet'!A509</f>
        <v>R228</v>
      </c>
      <c r="N92" t="b">
        <f t="shared" si="28"/>
        <v>0</v>
      </c>
      <c r="O92" t="b">
        <f t="shared" si="29"/>
        <v>0</v>
      </c>
      <c r="P92">
        <f>IFERROR('Both teabags AfterWet'!B91,"")</f>
        <v>168</v>
      </c>
      <c r="Q92">
        <f>'Both teabags AfterWet'!B509</f>
        <v>77</v>
      </c>
      <c r="S92" s="401" t="b">
        <f t="shared" si="30"/>
        <v>0</v>
      </c>
      <c r="T92" s="401" t="b">
        <f t="shared" si="31"/>
        <v>0</v>
      </c>
      <c r="V92" t="str">
        <f>'Both teabags AfterDry'!A91</f>
        <v>G21</v>
      </c>
      <c r="W92" t="str">
        <f>'Both teabags AfterDry'!A428</f>
        <v>R325</v>
      </c>
      <c r="X92" t="b">
        <f t="shared" si="32"/>
        <v>0</v>
      </c>
      <c r="Y92" t="b">
        <f t="shared" si="33"/>
        <v>0</v>
      </c>
      <c r="AA92" t="str">
        <f>'Green_rooibos initial weight'!A93</f>
        <v>G89</v>
      </c>
      <c r="AB92" t="str">
        <f>'Green_rooibos initial weight'!A997</f>
        <v>R89</v>
      </c>
      <c r="AC92" t="b">
        <f t="shared" si="34"/>
        <v>0</v>
      </c>
      <c r="AD92" t="b">
        <f t="shared" si="35"/>
        <v>0</v>
      </c>
      <c r="AG92" t="str">
        <f>'WetLitterbags placem_collection'!K91</f>
        <v>G339</v>
      </c>
      <c r="AH92" t="str">
        <f>'WetLitterbags placem_collection'!M91</f>
        <v>R196</v>
      </c>
      <c r="AI92" t="b">
        <f t="shared" si="36"/>
        <v>0</v>
      </c>
      <c r="AJ92" t="b">
        <f t="shared" si="37"/>
        <v>0</v>
      </c>
      <c r="AK92">
        <f>'WetLitterbags placem_collection'!A91</f>
        <v>89</v>
      </c>
      <c r="AL92">
        <f>'WetLitterbags placem_collection'!A91</f>
        <v>89</v>
      </c>
      <c r="AN92">
        <f>IF('Dry_Litterbag Placem_Collection'!J91=0,"",'Dry_Litterbag Placem_Collection'!J91)</f>
        <v>35</v>
      </c>
      <c r="AO92">
        <f>IF('Dry_Litterbag Placem_Collection'!K91=0,"",'Dry_Litterbag Placem_Collection'!K91)</f>
        <v>818</v>
      </c>
      <c r="AP92" t="b">
        <f t="shared" si="38"/>
        <v>0</v>
      </c>
      <c r="AQ92" t="b">
        <f t="shared" si="39"/>
        <v>0</v>
      </c>
      <c r="AT92" t="str">
        <f>'Ashed teabags dry'!A90</f>
        <v>G209</v>
      </c>
      <c r="AU92" t="str">
        <f>'Ashed teabags dry'!A427</f>
        <v>R320</v>
      </c>
      <c r="AV92" t="b">
        <f t="shared" si="40"/>
        <v>0</v>
      </c>
      <c r="AW92" t="b">
        <f t="shared" si="41"/>
        <v>0</v>
      </c>
      <c r="AZ92" s="401" t="b">
        <f t="shared" si="42"/>
        <v>0</v>
      </c>
      <c r="BA92" s="401" t="b">
        <f t="shared" si="43"/>
        <v>0</v>
      </c>
      <c r="BC92" t="str">
        <f>'Ashed teabags wet'!A90</f>
        <v>G472</v>
      </c>
      <c r="BD92" t="str">
        <f>'Ashed teabags wet'!A507</f>
        <v>R250</v>
      </c>
      <c r="BE92" t="b">
        <f t="shared" si="44"/>
        <v>0</v>
      </c>
      <c r="BF92" t="b">
        <f t="shared" si="45"/>
        <v>0</v>
      </c>
      <c r="BG92">
        <f>IFERROR('Ashed teabags wet'!C90,"")</f>
        <v>91</v>
      </c>
      <c r="BH92">
        <f>IFERROR('Ashed teabags wet'!C507,"")</f>
        <v>220</v>
      </c>
      <c r="BI92">
        <f>'Ashed teabags wet'!AB90</f>
        <v>90</v>
      </c>
      <c r="BJ92" t="str">
        <f>'Ashed teabags wet'!AC90</f>
        <v/>
      </c>
      <c r="BK92">
        <f>'Ashed teabags wet'!AD507</f>
        <v>219</v>
      </c>
      <c r="BL92" t="str">
        <f>'Ashed teabags wet'!AE507</f>
        <v/>
      </c>
      <c r="BN92" t="str">
        <f t="shared" si="46"/>
        <v>G470</v>
      </c>
      <c r="BO92" t="b">
        <f t="shared" si="47"/>
        <v>1</v>
      </c>
    </row>
    <row r="93" spans="2:68" ht="12" customHeight="1">
      <c r="B93" t="str">
        <f>TBIDry!H165</f>
        <v>G264</v>
      </c>
      <c r="C93" t="str">
        <f>TBIDry!I165</f>
        <v>R767</v>
      </c>
      <c r="D93" t="b">
        <f t="shared" si="24"/>
        <v>0</v>
      </c>
      <c r="E93" t="b">
        <f t="shared" si="25"/>
        <v>0</v>
      </c>
      <c r="G93" t="str">
        <f>TBIWet!H165</f>
        <v>G592</v>
      </c>
      <c r="H93" t="str">
        <f>TBIWet!I165</f>
        <v>R94</v>
      </c>
      <c r="I93" t="b">
        <f t="shared" si="26"/>
        <v>0</v>
      </c>
      <c r="J93" t="b">
        <f t="shared" si="27"/>
        <v>0</v>
      </c>
      <c r="L93" t="str">
        <f>'Both teabags AfterWet'!A92</f>
        <v>G462</v>
      </c>
      <c r="M93" t="str">
        <f>'Both teabags AfterWet'!A510</f>
        <v>R23</v>
      </c>
      <c r="N93" t="b">
        <f t="shared" si="28"/>
        <v>0</v>
      </c>
      <c r="O93" t="b">
        <f t="shared" si="29"/>
        <v>0</v>
      </c>
      <c r="P93">
        <f>IFERROR('Both teabags AfterWet'!B92,"")</f>
        <v>198</v>
      </c>
      <c r="Q93">
        <f>'Both teabags AfterWet'!B510</f>
        <v>59</v>
      </c>
      <c r="S93" s="401" t="b">
        <f t="shared" si="30"/>
        <v>0</v>
      </c>
      <c r="T93" s="401" t="b">
        <f t="shared" si="31"/>
        <v>0</v>
      </c>
      <c r="V93" t="str">
        <f>'Both teabags AfterDry'!A92</f>
        <v>G211</v>
      </c>
      <c r="W93" t="str">
        <f>'Both teabags AfterDry'!A429</f>
        <v>R327</v>
      </c>
      <c r="X93" t="b">
        <f t="shared" si="32"/>
        <v>0</v>
      </c>
      <c r="Y93" t="b">
        <f t="shared" si="33"/>
        <v>0</v>
      </c>
      <c r="AA93" t="str">
        <f>'Green_rooibos initial weight'!A94</f>
        <v>G90</v>
      </c>
      <c r="AB93" t="str">
        <f>'Green_rooibos initial weight'!A998</f>
        <v>R90</v>
      </c>
      <c r="AC93" t="b">
        <f t="shared" si="34"/>
        <v>0</v>
      </c>
      <c r="AD93" t="b">
        <f t="shared" si="35"/>
        <v>0</v>
      </c>
      <c r="AG93" t="str">
        <f>'WetLitterbags placem_collection'!K92</f>
        <v>G592</v>
      </c>
      <c r="AH93" t="str">
        <f>'WetLitterbags placem_collection'!M92</f>
        <v>R94</v>
      </c>
      <c r="AI93" t="b">
        <f t="shared" si="36"/>
        <v>0</v>
      </c>
      <c r="AJ93" t="b">
        <f t="shared" si="37"/>
        <v>0</v>
      </c>
      <c r="AK93">
        <f>'WetLitterbags placem_collection'!A92</f>
        <v>90</v>
      </c>
      <c r="AL93">
        <f>'WetLitterbags placem_collection'!A92</f>
        <v>90</v>
      </c>
      <c r="AN93">
        <f>IF('Dry_Litterbag Placem_Collection'!J92=0,"",'Dry_Litterbag Placem_Collection'!J92)</f>
        <v>264</v>
      </c>
      <c r="AO93">
        <f>IF('Dry_Litterbag Placem_Collection'!K92=0,"",'Dry_Litterbag Placem_Collection'!K92)</f>
        <v>767</v>
      </c>
      <c r="AP93" t="b">
        <f t="shared" si="38"/>
        <v>0</v>
      </c>
      <c r="AQ93" t="b">
        <f t="shared" si="39"/>
        <v>0</v>
      </c>
      <c r="AT93" t="str">
        <f>'Ashed teabags dry'!A91</f>
        <v>G21</v>
      </c>
      <c r="AU93" t="str">
        <f>'Ashed teabags dry'!A428</f>
        <v>R321</v>
      </c>
      <c r="AV93" t="b">
        <f t="shared" si="40"/>
        <v>0</v>
      </c>
      <c r="AW93" t="b">
        <f t="shared" si="41"/>
        <v>0</v>
      </c>
      <c r="AZ93" s="401" t="b">
        <f t="shared" si="42"/>
        <v>0</v>
      </c>
      <c r="BA93" s="401" t="b">
        <f t="shared" si="43"/>
        <v>0</v>
      </c>
      <c r="BC93" t="str">
        <f>'Ashed teabags wet'!A91</f>
        <v>G474</v>
      </c>
      <c r="BD93" t="str">
        <f>'Ashed teabags wet'!A508</f>
        <v>R251</v>
      </c>
      <c r="BE93" t="b">
        <f t="shared" si="44"/>
        <v>0</v>
      </c>
      <c r="BF93" t="b">
        <f t="shared" si="45"/>
        <v>0</v>
      </c>
      <c r="BG93">
        <f>IFERROR('Ashed teabags wet'!C91,"")</f>
        <v>80</v>
      </c>
      <c r="BH93">
        <f>IFERROR('Ashed teabags wet'!C508,"")</f>
        <v>69</v>
      </c>
      <c r="BI93" t="str">
        <f>'Ashed teabags wet'!AB91</f>
        <v/>
      </c>
      <c r="BJ93">
        <f>'Ashed teabags wet'!AC91</f>
        <v>79</v>
      </c>
      <c r="BK93" t="str">
        <f>'Ashed teabags wet'!AD508</f>
        <v/>
      </c>
      <c r="BL93">
        <f>'Ashed teabags wet'!AE508</f>
        <v>68</v>
      </c>
      <c r="BN93" t="str">
        <f t="shared" si="46"/>
        <v>G472</v>
      </c>
      <c r="BO93" t="b">
        <f t="shared" si="47"/>
        <v>1</v>
      </c>
    </row>
    <row r="94" spans="2:68" ht="12" customHeight="1">
      <c r="B94" t="str">
        <f>TBIDry!H166</f>
        <v>G13</v>
      </c>
      <c r="C94" t="str">
        <f>TBIDry!I166</f>
        <v>R787</v>
      </c>
      <c r="D94" t="b">
        <f t="shared" si="24"/>
        <v>0</v>
      </c>
      <c r="E94" t="b">
        <f t="shared" si="25"/>
        <v>0</v>
      </c>
      <c r="G94" t="str">
        <f>TBIWet!H166</f>
        <v>G472</v>
      </c>
      <c r="H94" t="str">
        <f>TBIWet!I166</f>
        <v>R343</v>
      </c>
      <c r="I94" t="b">
        <f t="shared" si="26"/>
        <v>0</v>
      </c>
      <c r="J94" t="b">
        <f t="shared" si="27"/>
        <v>0</v>
      </c>
      <c r="L94" t="str">
        <f>'Both teabags AfterWet'!A93</f>
        <v>G469</v>
      </c>
      <c r="M94" t="str">
        <f>'Both teabags AfterWet'!A511</f>
        <v>R232</v>
      </c>
      <c r="N94" t="b">
        <f t="shared" si="28"/>
        <v>0</v>
      </c>
      <c r="O94" t="b">
        <f t="shared" si="29"/>
        <v>0</v>
      </c>
      <c r="P94">
        <f>IFERROR('Both teabags AfterWet'!B93,"")</f>
        <v>89</v>
      </c>
      <c r="Q94" t="str">
        <f>'Both teabags AfterWet'!B511</f>
        <v>n.a</v>
      </c>
      <c r="S94" s="401" t="b">
        <f t="shared" si="30"/>
        <v>0</v>
      </c>
      <c r="T94" s="401" t="b">
        <f t="shared" si="31"/>
        <v>0</v>
      </c>
      <c r="V94" t="str">
        <f>'Both teabags AfterDry'!A93</f>
        <v>G213</v>
      </c>
      <c r="W94" t="str">
        <f>'Both teabags AfterDry'!A430</f>
        <v>R332</v>
      </c>
      <c r="X94" t="b">
        <f t="shared" si="32"/>
        <v>0</v>
      </c>
      <c r="Y94" t="b">
        <f t="shared" si="33"/>
        <v>0</v>
      </c>
      <c r="AA94" t="str">
        <f>'Green_rooibos initial weight'!A95</f>
        <v>G91</v>
      </c>
      <c r="AB94" t="str">
        <f>'Green_rooibos initial weight'!A999</f>
        <v>R91</v>
      </c>
      <c r="AC94" t="b">
        <f t="shared" si="34"/>
        <v>0</v>
      </c>
      <c r="AD94" t="b">
        <f t="shared" si="35"/>
        <v>0</v>
      </c>
      <c r="AG94" t="str">
        <f>'WetLitterbags placem_collection'!K93</f>
        <v>G472</v>
      </c>
      <c r="AH94" t="str">
        <f>'WetLitterbags placem_collection'!M93</f>
        <v>R343</v>
      </c>
      <c r="AI94" t="b">
        <f t="shared" si="36"/>
        <v>0</v>
      </c>
      <c r="AJ94" t="b">
        <f t="shared" si="37"/>
        <v>0</v>
      </c>
      <c r="AK94">
        <f>'WetLitterbags placem_collection'!A93</f>
        <v>91</v>
      </c>
      <c r="AL94">
        <f>'WetLitterbags placem_collection'!A93</f>
        <v>91</v>
      </c>
      <c r="AN94">
        <f>IF('Dry_Litterbag Placem_Collection'!J93=0,"",'Dry_Litterbag Placem_Collection'!J93)</f>
        <v>13</v>
      </c>
      <c r="AO94">
        <f>IF('Dry_Litterbag Placem_Collection'!K93=0,"",'Dry_Litterbag Placem_Collection'!K93)</f>
        <v>787</v>
      </c>
      <c r="AP94" t="b">
        <f t="shared" si="38"/>
        <v>0</v>
      </c>
      <c r="AQ94" t="b">
        <f t="shared" si="39"/>
        <v>0</v>
      </c>
      <c r="AT94" t="str">
        <f>'Ashed teabags dry'!A92</f>
        <v>G211</v>
      </c>
      <c r="AU94" t="str">
        <f>'Ashed teabags dry'!A429</f>
        <v>R325</v>
      </c>
      <c r="AV94" t="b">
        <f t="shared" si="40"/>
        <v>0</v>
      </c>
      <c r="AW94" t="b">
        <f t="shared" si="41"/>
        <v>0</v>
      </c>
      <c r="AZ94" s="401" t="b">
        <f t="shared" si="42"/>
        <v>0</v>
      </c>
      <c r="BA94" s="401" t="b">
        <f t="shared" si="43"/>
        <v>0</v>
      </c>
      <c r="BC94" t="str">
        <f>'Ashed teabags wet'!A92</f>
        <v>G475</v>
      </c>
      <c r="BD94" t="str">
        <f>'Ashed teabags wet'!A509</f>
        <v>R253</v>
      </c>
      <c r="BE94" t="b">
        <f t="shared" si="44"/>
        <v>0</v>
      </c>
      <c r="BF94" t="b">
        <f t="shared" si="45"/>
        <v>0</v>
      </c>
      <c r="BG94">
        <f>IFERROR('Ashed teabags wet'!C92,"")</f>
        <v>81</v>
      </c>
      <c r="BH94">
        <f>IFERROR('Ashed teabags wet'!C509,"")</f>
        <v>161</v>
      </c>
      <c r="BI94" t="str">
        <f>'Ashed teabags wet'!AB92</f>
        <v/>
      </c>
      <c r="BJ94">
        <f>'Ashed teabags wet'!AC92</f>
        <v>80</v>
      </c>
      <c r="BK94" t="str">
        <f>'Ashed teabags wet'!AD509</f>
        <v/>
      </c>
      <c r="BL94">
        <f>'Ashed teabags wet'!AE509</f>
        <v>160</v>
      </c>
      <c r="BN94" t="str">
        <f t="shared" si="46"/>
        <v>G474</v>
      </c>
      <c r="BO94" t="b">
        <f t="shared" si="47"/>
        <v>1</v>
      </c>
    </row>
    <row r="95" spans="2:68" ht="12" customHeight="1">
      <c r="B95" t="str">
        <f>TBIDry!H167</f>
        <v>G324</v>
      </c>
      <c r="C95" t="str">
        <f>TBIDry!I167</f>
        <v>R812</v>
      </c>
      <c r="D95" t="b">
        <f t="shared" si="24"/>
        <v>0</v>
      </c>
      <c r="E95" t="b">
        <f t="shared" si="25"/>
        <v>0</v>
      </c>
      <c r="G95" t="str">
        <f>TBIWet!H167</f>
        <v>G529</v>
      </c>
      <c r="H95" t="str">
        <f>TBIWet!I167</f>
        <v>R445</v>
      </c>
      <c r="I95" t="b">
        <f t="shared" si="26"/>
        <v>0</v>
      </c>
      <c r="J95" t="b">
        <f t="shared" si="27"/>
        <v>0</v>
      </c>
      <c r="L95" t="str">
        <f>'Both teabags AfterWet'!A94</f>
        <v>G470</v>
      </c>
      <c r="M95" t="str">
        <f>'Both teabags AfterWet'!A512</f>
        <v>R234</v>
      </c>
      <c r="N95" t="b">
        <f t="shared" si="28"/>
        <v>0</v>
      </c>
      <c r="O95" t="b">
        <f t="shared" si="29"/>
        <v>0</v>
      </c>
      <c r="P95">
        <f>IFERROR('Both teabags AfterWet'!B94,"")</f>
        <v>176</v>
      </c>
      <c r="Q95">
        <f>'Both teabags AfterWet'!B512</f>
        <v>207</v>
      </c>
      <c r="S95" s="401" t="b">
        <f t="shared" si="30"/>
        <v>0</v>
      </c>
      <c r="T95" s="401" t="b">
        <f t="shared" si="31"/>
        <v>0</v>
      </c>
      <c r="V95" t="str">
        <f>'Both teabags AfterDry'!A94</f>
        <v>G215</v>
      </c>
      <c r="W95" t="str">
        <f>'Both teabags AfterDry'!A431</f>
        <v>R335</v>
      </c>
      <c r="X95" t="b">
        <f t="shared" si="32"/>
        <v>0</v>
      </c>
      <c r="Y95" t="b">
        <f t="shared" si="33"/>
        <v>0</v>
      </c>
      <c r="AA95" t="str">
        <f>'Green_rooibos initial weight'!A96</f>
        <v>G92</v>
      </c>
      <c r="AB95" t="str">
        <f>'Green_rooibos initial weight'!A1000</f>
        <v>R92</v>
      </c>
      <c r="AC95" t="b">
        <f t="shared" si="34"/>
        <v>0</v>
      </c>
      <c r="AD95" t="b">
        <f t="shared" si="35"/>
        <v>0</v>
      </c>
      <c r="AG95" t="str">
        <f>'WetLitterbags placem_collection'!K94</f>
        <v>G529</v>
      </c>
      <c r="AH95" t="str">
        <f>'WetLitterbags placem_collection'!M94</f>
        <v>R445</v>
      </c>
      <c r="AI95" t="b">
        <f t="shared" si="36"/>
        <v>0</v>
      </c>
      <c r="AJ95" t="b">
        <f t="shared" si="37"/>
        <v>0</v>
      </c>
      <c r="AK95">
        <f>'WetLitterbags placem_collection'!A94</f>
        <v>92</v>
      </c>
      <c r="AL95">
        <f>'WetLitterbags placem_collection'!A94</f>
        <v>92</v>
      </c>
      <c r="AN95">
        <f>IF('Dry_Litterbag Placem_Collection'!J94=0,"",'Dry_Litterbag Placem_Collection'!J94)</f>
        <v>324</v>
      </c>
      <c r="AO95">
        <f>IF('Dry_Litterbag Placem_Collection'!K94=0,"",'Dry_Litterbag Placem_Collection'!K94)</f>
        <v>812</v>
      </c>
      <c r="AP95" t="b">
        <f t="shared" si="38"/>
        <v>0</v>
      </c>
      <c r="AQ95" t="b">
        <f t="shared" si="39"/>
        <v>0</v>
      </c>
      <c r="AT95" t="str">
        <f>'Ashed teabags dry'!A93</f>
        <v>G213</v>
      </c>
      <c r="AU95" t="str">
        <f>'Ashed teabags dry'!A430</f>
        <v>R327</v>
      </c>
      <c r="AV95" t="b">
        <f t="shared" si="40"/>
        <v>0</v>
      </c>
      <c r="AW95" t="b">
        <f t="shared" si="41"/>
        <v>0</v>
      </c>
      <c r="AZ95" s="401" t="b">
        <f t="shared" si="42"/>
        <v>0</v>
      </c>
      <c r="BA95" s="401" t="b">
        <f t="shared" si="43"/>
        <v>0</v>
      </c>
      <c r="BC95" t="str">
        <f>'Ashed teabags wet'!A93</f>
        <v>G476</v>
      </c>
      <c r="BD95" t="str">
        <f>'Ashed teabags wet'!A510</f>
        <v>R255</v>
      </c>
      <c r="BE95" t="b">
        <f t="shared" si="44"/>
        <v>0</v>
      </c>
      <c r="BF95" t="b">
        <f t="shared" si="45"/>
        <v>0</v>
      </c>
      <c r="BG95">
        <f>IFERROR('Ashed teabags wet'!C93,"")</f>
        <v>9</v>
      </c>
      <c r="BH95">
        <f>IFERROR('Ashed teabags wet'!C510,"")</f>
        <v>167</v>
      </c>
      <c r="BI95" t="str">
        <f>'Ashed teabags wet'!AB93</f>
        <v/>
      </c>
      <c r="BJ95">
        <f>'Ashed teabags wet'!AC93</f>
        <v>8</v>
      </c>
      <c r="BK95">
        <f>'Ashed teabags wet'!AD510</f>
        <v>166</v>
      </c>
      <c r="BL95" t="str">
        <f>'Ashed teabags wet'!AE510</f>
        <v/>
      </c>
      <c r="BN95" t="str">
        <f t="shared" si="46"/>
        <v>G475</v>
      </c>
      <c r="BO95" t="b">
        <f t="shared" si="47"/>
        <v>1</v>
      </c>
    </row>
    <row r="96" spans="2:68" ht="12" customHeight="1">
      <c r="B96" t="str">
        <f>TBIDry!H168</f>
        <v>G99</v>
      </c>
      <c r="C96" t="str">
        <f>TBIDry!I168</f>
        <v>R675</v>
      </c>
      <c r="D96" t="b">
        <f t="shared" si="24"/>
        <v>0</v>
      </c>
      <c r="E96" t="b">
        <f t="shared" si="25"/>
        <v>0</v>
      </c>
      <c r="G96" t="str">
        <f>TBIWet!H168</f>
        <v>G636</v>
      </c>
      <c r="H96" t="str">
        <f>TBIWet!I168</f>
        <v>R12</v>
      </c>
      <c r="I96" t="b">
        <f t="shared" si="26"/>
        <v>0</v>
      </c>
      <c r="J96" t="b">
        <f t="shared" si="27"/>
        <v>0</v>
      </c>
      <c r="L96" t="str">
        <f>'Both teabags AfterWet'!A95</f>
        <v>G472</v>
      </c>
      <c r="M96" t="str">
        <f>'Both teabags AfterWet'!A513</f>
        <v>R235</v>
      </c>
      <c r="N96" t="b">
        <f t="shared" si="28"/>
        <v>0</v>
      </c>
      <c r="O96" t="b">
        <f t="shared" si="29"/>
        <v>0</v>
      </c>
      <c r="P96">
        <f>IFERROR('Both teabags AfterWet'!B95,"")</f>
        <v>91</v>
      </c>
      <c r="Q96">
        <f>'Both teabags AfterWet'!B513</f>
        <v>79</v>
      </c>
      <c r="S96" s="401" t="b">
        <f t="shared" si="30"/>
        <v>0</v>
      </c>
      <c r="T96" s="401" t="b">
        <f t="shared" si="31"/>
        <v>0</v>
      </c>
      <c r="V96" t="str">
        <f>'Both teabags AfterDry'!A95</f>
        <v>G218</v>
      </c>
      <c r="W96" t="str">
        <f>'Both teabags AfterDry'!A432</f>
        <v>R337</v>
      </c>
      <c r="X96" t="b">
        <f t="shared" si="32"/>
        <v>0</v>
      </c>
      <c r="Y96" t="b">
        <f t="shared" si="33"/>
        <v>0</v>
      </c>
      <c r="AA96" t="str">
        <f>'Green_rooibos initial weight'!A97</f>
        <v>G93</v>
      </c>
      <c r="AB96" t="str">
        <f>'Green_rooibos initial weight'!A1001</f>
        <v>R93</v>
      </c>
      <c r="AC96" t="b">
        <f t="shared" si="34"/>
        <v>0</v>
      </c>
      <c r="AD96" t="b">
        <f t="shared" si="35"/>
        <v>0</v>
      </c>
      <c r="AG96" t="str">
        <f>'WetLitterbags placem_collection'!K95</f>
        <v>G636</v>
      </c>
      <c r="AH96" t="str">
        <f>'WetLitterbags placem_collection'!M95</f>
        <v>R12</v>
      </c>
      <c r="AI96" t="b">
        <f t="shared" si="36"/>
        <v>0</v>
      </c>
      <c r="AJ96" t="b">
        <f t="shared" si="37"/>
        <v>0</v>
      </c>
      <c r="AK96">
        <f>'WetLitterbags placem_collection'!A95</f>
        <v>93</v>
      </c>
      <c r="AL96">
        <f>'WetLitterbags placem_collection'!A95</f>
        <v>93</v>
      </c>
      <c r="AN96">
        <f>IF('Dry_Litterbag Placem_Collection'!J95=0,"",'Dry_Litterbag Placem_Collection'!J95)</f>
        <v>99</v>
      </c>
      <c r="AO96">
        <f>IF('Dry_Litterbag Placem_Collection'!K95=0,"",'Dry_Litterbag Placem_Collection'!K95)</f>
        <v>675</v>
      </c>
      <c r="AP96" t="b">
        <f t="shared" si="38"/>
        <v>0</v>
      </c>
      <c r="AQ96" t="b">
        <f t="shared" si="39"/>
        <v>0</v>
      </c>
      <c r="AT96" t="str">
        <f>'Ashed teabags dry'!A94</f>
        <v>G215</v>
      </c>
      <c r="AU96" t="str">
        <f>'Ashed teabags dry'!A431</f>
        <v>R332</v>
      </c>
      <c r="AV96" t="b">
        <f t="shared" si="40"/>
        <v>0</v>
      </c>
      <c r="AW96" t="b">
        <f t="shared" si="41"/>
        <v>0</v>
      </c>
      <c r="AZ96" s="401" t="b">
        <f t="shared" si="42"/>
        <v>0</v>
      </c>
      <c r="BA96" s="401" t="b">
        <f t="shared" si="43"/>
        <v>0</v>
      </c>
      <c r="BC96" t="str">
        <f>'Ashed teabags wet'!A94</f>
        <v>G477</v>
      </c>
      <c r="BD96" t="str">
        <f>'Ashed teabags wet'!A511</f>
        <v>R258</v>
      </c>
      <c r="BE96" t="b">
        <f t="shared" si="44"/>
        <v>0</v>
      </c>
      <c r="BF96" t="b">
        <f t="shared" si="45"/>
        <v>0</v>
      </c>
      <c r="BG96">
        <f>IFERROR('Ashed teabags wet'!C94,"")</f>
        <v>68</v>
      </c>
      <c r="BH96">
        <f>IFERROR('Ashed teabags wet'!C511,"")</f>
        <v>207</v>
      </c>
      <c r="BI96" t="str">
        <f>'Ashed teabags wet'!AB94</f>
        <v/>
      </c>
      <c r="BJ96">
        <f>'Ashed teabags wet'!AC94</f>
        <v>67</v>
      </c>
      <c r="BK96">
        <f>'Ashed teabags wet'!AD511</f>
        <v>206</v>
      </c>
      <c r="BL96" t="str">
        <f>'Ashed teabags wet'!AE511</f>
        <v/>
      </c>
      <c r="BN96" t="str">
        <f t="shared" si="46"/>
        <v>G476</v>
      </c>
      <c r="BO96" t="b">
        <f t="shared" si="47"/>
        <v>1</v>
      </c>
    </row>
    <row r="97" spans="2:68" ht="12" customHeight="1">
      <c r="B97" t="str">
        <f>TBIDry!H169</f>
        <v/>
      </c>
      <c r="C97" t="str">
        <f>TBIDry!I169</f>
        <v/>
      </c>
      <c r="D97" t="b">
        <f t="shared" si="24"/>
        <v>1</v>
      </c>
      <c r="E97" t="b">
        <f t="shared" si="25"/>
        <v>1</v>
      </c>
      <c r="G97" t="str">
        <f>TBIWet!H169</f>
        <v>G534</v>
      </c>
      <c r="H97" t="str">
        <f>TBIWet!I169</f>
        <v>R244</v>
      </c>
      <c r="I97" t="b">
        <f t="shared" si="26"/>
        <v>0</v>
      </c>
      <c r="J97" t="b">
        <f t="shared" si="27"/>
        <v>0</v>
      </c>
      <c r="L97" t="str">
        <f>'Both teabags AfterWet'!A96</f>
        <v>G474</v>
      </c>
      <c r="M97" t="str">
        <f>'Both teabags AfterWet'!A514</f>
        <v>R24</v>
      </c>
      <c r="N97" t="b">
        <f t="shared" si="28"/>
        <v>0</v>
      </c>
      <c r="O97" t="b">
        <f t="shared" si="29"/>
        <v>0</v>
      </c>
      <c r="P97">
        <f>IFERROR('Both teabags AfterWet'!B96,"")</f>
        <v>80</v>
      </c>
      <c r="Q97">
        <f>'Both teabags AfterWet'!B514</f>
        <v>34</v>
      </c>
      <c r="S97" s="401" t="b">
        <f t="shared" si="30"/>
        <v>0</v>
      </c>
      <c r="T97" s="401" t="b">
        <f t="shared" si="31"/>
        <v>0</v>
      </c>
      <c r="V97" t="str">
        <f>'Both teabags AfterDry'!A96</f>
        <v>G219</v>
      </c>
      <c r="W97" t="str">
        <f>'Both teabags AfterDry'!A433</f>
        <v>R338</v>
      </c>
      <c r="X97" t="b">
        <f t="shared" si="32"/>
        <v>0</v>
      </c>
      <c r="Y97" t="b">
        <f t="shared" si="33"/>
        <v>0</v>
      </c>
      <c r="AA97" t="str">
        <f>'Green_rooibos initial weight'!A98</f>
        <v>G94</v>
      </c>
      <c r="AB97" t="str">
        <f>'Green_rooibos initial weight'!A1002</f>
        <v>R94</v>
      </c>
      <c r="AC97" t="b">
        <f t="shared" si="34"/>
        <v>0</v>
      </c>
      <c r="AD97" t="b">
        <f t="shared" si="35"/>
        <v>0</v>
      </c>
      <c r="AG97" t="str">
        <f>'WetLitterbags placem_collection'!K96</f>
        <v>G534</v>
      </c>
      <c r="AH97" t="str">
        <f>'WetLitterbags placem_collection'!M96</f>
        <v>R244</v>
      </c>
      <c r="AI97" t="b">
        <f t="shared" si="36"/>
        <v>0</v>
      </c>
      <c r="AJ97" t="b">
        <f t="shared" si="37"/>
        <v>0</v>
      </c>
      <c r="AK97">
        <f>'WetLitterbags placem_collection'!A96</f>
        <v>94</v>
      </c>
      <c r="AL97">
        <f>'WetLitterbags placem_collection'!A96</f>
        <v>94</v>
      </c>
      <c r="AN97" t="str">
        <f>IF('Dry_Litterbag Placem_Collection'!J96=0,"",'Dry_Litterbag Placem_Collection'!J96)</f>
        <v/>
      </c>
      <c r="AO97" t="str">
        <f>IF('Dry_Litterbag Placem_Collection'!K96=0,"",'Dry_Litterbag Placem_Collection'!K96)</f>
        <v/>
      </c>
      <c r="AP97" t="b">
        <f t="shared" si="38"/>
        <v>1</v>
      </c>
      <c r="AQ97" t="b">
        <f t="shared" si="39"/>
        <v>1</v>
      </c>
      <c r="AT97" t="str">
        <f>'Ashed teabags dry'!A95</f>
        <v>G218</v>
      </c>
      <c r="AU97" t="str">
        <f>'Ashed teabags dry'!A432</f>
        <v>R335</v>
      </c>
      <c r="AV97" t="b">
        <f t="shared" si="40"/>
        <v>0</v>
      </c>
      <c r="AW97" t="b">
        <f t="shared" si="41"/>
        <v>0</v>
      </c>
      <c r="AZ97" s="401" t="b">
        <f t="shared" si="42"/>
        <v>0</v>
      </c>
      <c r="BA97" s="401" t="b">
        <f t="shared" si="43"/>
        <v>0</v>
      </c>
      <c r="BC97" t="str">
        <f>'Ashed teabags wet'!A95</f>
        <v>G479</v>
      </c>
      <c r="BD97" t="str">
        <f>'Ashed teabags wet'!A512</f>
        <v>R259</v>
      </c>
      <c r="BE97" t="b">
        <f t="shared" si="44"/>
        <v>0</v>
      </c>
      <c r="BF97" t="b">
        <f t="shared" si="45"/>
        <v>0</v>
      </c>
      <c r="BG97">
        <f>IFERROR('Ashed teabags wet'!C95,"")</f>
        <v>96</v>
      </c>
      <c r="BH97">
        <f>IFERROR('Ashed teabags wet'!C512,"")</f>
        <v>166</v>
      </c>
      <c r="BI97">
        <f>'Ashed teabags wet'!AB95</f>
        <v>95</v>
      </c>
      <c r="BJ97" t="str">
        <f>'Ashed teabags wet'!AC95</f>
        <v/>
      </c>
      <c r="BK97" t="str">
        <f>'Ashed teabags wet'!AD512</f>
        <v/>
      </c>
      <c r="BL97">
        <f>'Ashed teabags wet'!AE512</f>
        <v>165</v>
      </c>
      <c r="BN97" t="str">
        <f t="shared" si="46"/>
        <v>G477</v>
      </c>
      <c r="BO97" t="b">
        <f t="shared" si="47"/>
        <v>1</v>
      </c>
    </row>
    <row r="98" spans="2:68" ht="12" customHeight="1">
      <c r="B98" t="str">
        <f>TBIDry!H170</f>
        <v>G126</v>
      </c>
      <c r="C98" t="str">
        <f>TBIDry!I170</f>
        <v>R794</v>
      </c>
      <c r="D98" t="b">
        <f t="shared" si="24"/>
        <v>0</v>
      </c>
      <c r="E98" t="b">
        <f t="shared" si="25"/>
        <v>0</v>
      </c>
      <c r="G98" t="str">
        <f>TBIWet!H170</f>
        <v>G641</v>
      </c>
      <c r="H98" t="str">
        <f>TBIWet!I170</f>
        <v>R360</v>
      </c>
      <c r="I98" t="b">
        <f t="shared" si="26"/>
        <v>0</v>
      </c>
      <c r="J98" t="b">
        <f t="shared" si="27"/>
        <v>0</v>
      </c>
      <c r="L98" t="str">
        <f>'Both teabags AfterWet'!A97</f>
        <v>G475</v>
      </c>
      <c r="M98" t="str">
        <f>'Both teabags AfterWet'!A515</f>
        <v>R241</v>
      </c>
      <c r="N98" t="b">
        <f t="shared" si="28"/>
        <v>0</v>
      </c>
      <c r="O98" t="b">
        <f t="shared" si="29"/>
        <v>0</v>
      </c>
      <c r="P98">
        <f>IFERROR('Both teabags AfterWet'!B97,"")</f>
        <v>81</v>
      </c>
      <c r="Q98">
        <f>'Both teabags AfterWet'!B515</f>
        <v>216</v>
      </c>
      <c r="S98" s="401" t="b">
        <f t="shared" si="30"/>
        <v>0</v>
      </c>
      <c r="T98" s="401" t="b">
        <f t="shared" si="31"/>
        <v>0</v>
      </c>
      <c r="V98" t="str">
        <f>'Both teabags AfterDry'!A97</f>
        <v>G22</v>
      </c>
      <c r="W98" t="str">
        <f>'Both teabags AfterDry'!A434</f>
        <v>R345</v>
      </c>
      <c r="X98" t="b">
        <f t="shared" si="32"/>
        <v>0</v>
      </c>
      <c r="Y98" t="b">
        <f t="shared" si="33"/>
        <v>0</v>
      </c>
      <c r="AA98" t="str">
        <f>'Green_rooibos initial weight'!A99</f>
        <v>G95</v>
      </c>
      <c r="AB98" t="str">
        <f>'Green_rooibos initial weight'!A1003</f>
        <v>R95</v>
      </c>
      <c r="AC98" t="b">
        <f t="shared" si="34"/>
        <v>0</v>
      </c>
      <c r="AD98" t="b">
        <f t="shared" si="35"/>
        <v>0</v>
      </c>
      <c r="AG98" t="str">
        <f>'WetLitterbags placem_collection'!K97</f>
        <v>G641</v>
      </c>
      <c r="AH98" t="str">
        <f>'WetLitterbags placem_collection'!M97</f>
        <v>R360</v>
      </c>
      <c r="AI98" t="b">
        <f t="shared" si="36"/>
        <v>0</v>
      </c>
      <c r="AJ98" t="b">
        <f t="shared" si="37"/>
        <v>0</v>
      </c>
      <c r="AK98">
        <f>'WetLitterbags placem_collection'!A97</f>
        <v>95</v>
      </c>
      <c r="AL98">
        <f>'WetLitterbags placem_collection'!A97</f>
        <v>95</v>
      </c>
      <c r="AN98">
        <f>IF('Dry_Litterbag Placem_Collection'!J97=0,"",'Dry_Litterbag Placem_Collection'!J97)</f>
        <v>126</v>
      </c>
      <c r="AO98">
        <f>IF('Dry_Litterbag Placem_Collection'!K97=0,"",'Dry_Litterbag Placem_Collection'!K97)</f>
        <v>794</v>
      </c>
      <c r="AP98" t="b">
        <f t="shared" si="38"/>
        <v>0</v>
      </c>
      <c r="AQ98" t="b">
        <f t="shared" si="39"/>
        <v>0</v>
      </c>
      <c r="AT98" t="str">
        <f>'Ashed teabags dry'!A96</f>
        <v>G219</v>
      </c>
      <c r="AU98" t="str">
        <f>'Ashed teabags dry'!A433</f>
        <v>R337</v>
      </c>
      <c r="AV98" t="b">
        <f t="shared" si="40"/>
        <v>0</v>
      </c>
      <c r="AW98" t="b">
        <f t="shared" si="41"/>
        <v>0</v>
      </c>
      <c r="AZ98" s="401" t="b">
        <f t="shared" si="42"/>
        <v>0</v>
      </c>
      <c r="BA98" s="401" t="b">
        <f t="shared" si="43"/>
        <v>0</v>
      </c>
      <c r="BC98" t="str">
        <f>'Ashed teabags wet'!A96</f>
        <v>G483</v>
      </c>
      <c r="BD98" t="str">
        <f>'Ashed teabags wet'!A513</f>
        <v>R26</v>
      </c>
      <c r="BE98" t="b">
        <f t="shared" si="44"/>
        <v>0</v>
      </c>
      <c r="BF98" t="b">
        <f t="shared" si="45"/>
        <v>0</v>
      </c>
      <c r="BG98">
        <f>IFERROR('Ashed teabags wet'!C96,"")</f>
        <v>177</v>
      </c>
      <c r="BH98">
        <f>IFERROR('Ashed teabags wet'!C513,"")</f>
        <v>102</v>
      </c>
      <c r="BI98" t="str">
        <f>'Ashed teabags wet'!AB96</f>
        <v/>
      </c>
      <c r="BJ98">
        <f>'Ashed teabags wet'!AC96</f>
        <v>176</v>
      </c>
      <c r="BK98" t="str">
        <f>'Ashed teabags wet'!AD513</f>
        <v/>
      </c>
      <c r="BL98">
        <f>'Ashed teabags wet'!AE513</f>
        <v>101</v>
      </c>
      <c r="BN98" t="str">
        <f t="shared" si="46"/>
        <v>G479</v>
      </c>
      <c r="BO98" t="b">
        <f t="shared" si="47"/>
        <v>1</v>
      </c>
    </row>
    <row r="99" spans="2:68" ht="12" customHeight="1">
      <c r="B99" t="str">
        <f>TBIDry!H171</f>
        <v>G244</v>
      </c>
      <c r="C99" t="str">
        <f>TBIDry!I171</f>
        <v>R737</v>
      </c>
      <c r="D99" t="b">
        <f t="shared" si="24"/>
        <v>0</v>
      </c>
      <c r="E99" t="b">
        <f t="shared" si="25"/>
        <v>0</v>
      </c>
      <c r="G99" t="str">
        <f>TBIWet!H171</f>
        <v>G479</v>
      </c>
      <c r="H99" t="str">
        <f>TBIWet!I171</f>
        <v>R318</v>
      </c>
      <c r="I99" t="b">
        <f t="shared" si="26"/>
        <v>0</v>
      </c>
      <c r="J99" t="b">
        <f t="shared" si="27"/>
        <v>0</v>
      </c>
      <c r="L99" t="str">
        <f>'Both teabags AfterWet'!A98</f>
        <v>G476</v>
      </c>
      <c r="M99" t="str">
        <f>'Both teabags AfterWet'!A516</f>
        <v>R25</v>
      </c>
      <c r="N99" t="b">
        <f t="shared" si="28"/>
        <v>0</v>
      </c>
      <c r="O99" t="b">
        <f t="shared" si="29"/>
        <v>0</v>
      </c>
      <c r="P99" t="str">
        <f>IFERROR('Both teabags AfterWet'!B98,"")</f>
        <v>n.a</v>
      </c>
      <c r="Q99">
        <f>'Both teabags AfterWet'!B516</f>
        <v>195</v>
      </c>
      <c r="S99" s="401" t="b">
        <f t="shared" si="30"/>
        <v>0</v>
      </c>
      <c r="T99" s="401" t="b">
        <f t="shared" si="31"/>
        <v>0</v>
      </c>
      <c r="V99" t="str">
        <f>'Both teabags AfterDry'!A98</f>
        <v>G220</v>
      </c>
      <c r="W99" t="str">
        <f>'Both teabags AfterDry'!A435</f>
        <v>R348</v>
      </c>
      <c r="X99" t="b">
        <f t="shared" si="32"/>
        <v>0</v>
      </c>
      <c r="Y99" t="b">
        <f t="shared" si="33"/>
        <v>0</v>
      </c>
      <c r="AA99" t="str">
        <f>'Green_rooibos initial weight'!A100</f>
        <v>G96</v>
      </c>
      <c r="AB99" t="str">
        <f>'Green_rooibos initial weight'!A1004</f>
        <v>R96</v>
      </c>
      <c r="AC99" t="b">
        <f t="shared" si="34"/>
        <v>0</v>
      </c>
      <c r="AD99" t="b">
        <f t="shared" si="35"/>
        <v>0</v>
      </c>
      <c r="AG99" t="str">
        <f>'WetLitterbags placem_collection'!K98</f>
        <v>G479</v>
      </c>
      <c r="AH99" t="str">
        <f>'WetLitterbags placem_collection'!M98</f>
        <v>R318</v>
      </c>
      <c r="AI99" t="b">
        <f t="shared" si="36"/>
        <v>0</v>
      </c>
      <c r="AJ99" t="b">
        <f t="shared" si="37"/>
        <v>0</v>
      </c>
      <c r="AK99">
        <f>'WetLitterbags placem_collection'!A98</f>
        <v>96</v>
      </c>
      <c r="AL99">
        <f>'WetLitterbags placem_collection'!A98</f>
        <v>96</v>
      </c>
      <c r="AN99">
        <f>IF('Dry_Litterbag Placem_Collection'!J98=0,"",'Dry_Litterbag Placem_Collection'!J98)</f>
        <v>244</v>
      </c>
      <c r="AO99">
        <f>IF('Dry_Litterbag Placem_Collection'!K98=0,"",'Dry_Litterbag Placem_Collection'!K98)</f>
        <v>737</v>
      </c>
      <c r="AP99" t="b">
        <f t="shared" si="38"/>
        <v>0</v>
      </c>
      <c r="AQ99" t="b">
        <f t="shared" si="39"/>
        <v>0</v>
      </c>
      <c r="AT99" t="str">
        <f>'Ashed teabags dry'!A97</f>
        <v>G22</v>
      </c>
      <c r="AU99" t="str">
        <f>'Ashed teabags dry'!A434</f>
        <v>R338</v>
      </c>
      <c r="AV99" t="b">
        <f t="shared" si="40"/>
        <v>0</v>
      </c>
      <c r="AW99" t="b">
        <f t="shared" si="41"/>
        <v>0</v>
      </c>
      <c r="AZ99" s="401" t="b">
        <f t="shared" si="42"/>
        <v>0</v>
      </c>
      <c r="BA99" s="401" t="b">
        <f t="shared" si="43"/>
        <v>0</v>
      </c>
      <c r="BC99" t="str">
        <f>'Ashed teabags wet'!A97</f>
        <v>G486</v>
      </c>
      <c r="BD99" t="str">
        <f>'Ashed teabags wet'!A514</f>
        <v>R262</v>
      </c>
      <c r="BE99" t="b">
        <f t="shared" si="44"/>
        <v>0</v>
      </c>
      <c r="BF99" t="b">
        <f t="shared" si="45"/>
        <v>0</v>
      </c>
      <c r="BG99">
        <f>IFERROR('Ashed teabags wet'!C97,"")</f>
        <v>95</v>
      </c>
      <c r="BH99">
        <f>IFERROR('Ashed teabags wet'!C514,"")</f>
        <v>177</v>
      </c>
      <c r="BI99" t="str">
        <f>'Ashed teabags wet'!AB97</f>
        <v/>
      </c>
      <c r="BJ99">
        <f>'Ashed teabags wet'!AC97</f>
        <v>94</v>
      </c>
      <c r="BK99">
        <f>'Ashed teabags wet'!AD514</f>
        <v>176</v>
      </c>
      <c r="BL99" t="str">
        <f>'Ashed teabags wet'!AE514</f>
        <v/>
      </c>
      <c r="BN99" t="str">
        <f t="shared" si="46"/>
        <v>G483</v>
      </c>
      <c r="BO99" t="b">
        <f t="shared" si="47"/>
        <v>1</v>
      </c>
    </row>
    <row r="100" spans="2:68" ht="12" customHeight="1">
      <c r="B100" t="str">
        <f>TBIDry!H172</f>
        <v>G432</v>
      </c>
      <c r="C100" t="str">
        <f>TBIDry!I172</f>
        <v>R801</v>
      </c>
      <c r="D100" t="b">
        <f t="shared" si="24"/>
        <v>0</v>
      </c>
      <c r="E100" t="b">
        <f t="shared" si="25"/>
        <v>0</v>
      </c>
      <c r="G100" t="str">
        <f>TBIWet!H172</f>
        <v>G741</v>
      </c>
      <c r="H100" t="str">
        <f>TBIWet!I172</f>
        <v>R518</v>
      </c>
      <c r="I100" t="b">
        <f t="shared" si="26"/>
        <v>0</v>
      </c>
      <c r="J100" t="b">
        <f t="shared" si="27"/>
        <v>0</v>
      </c>
      <c r="L100" t="str">
        <f>'Both teabags AfterWet'!A99</f>
        <v>G477</v>
      </c>
      <c r="M100" t="str">
        <f>'Both teabags AfterWet'!A517</f>
        <v>R250</v>
      </c>
      <c r="N100" t="b">
        <f t="shared" si="28"/>
        <v>0</v>
      </c>
      <c r="O100" t="b">
        <f t="shared" si="29"/>
        <v>0</v>
      </c>
      <c r="P100">
        <f>IFERROR('Both teabags AfterWet'!B99,"")</f>
        <v>68</v>
      </c>
      <c r="Q100" t="str">
        <f>'Both teabags AfterWet'!B517</f>
        <v>n.a</v>
      </c>
      <c r="S100" s="401" t="b">
        <f t="shared" si="30"/>
        <v>0</v>
      </c>
      <c r="T100" s="401" t="b">
        <f t="shared" si="31"/>
        <v>0</v>
      </c>
      <c r="V100" t="str">
        <f>'Both teabags AfterDry'!A99</f>
        <v>G221</v>
      </c>
      <c r="W100" t="str">
        <f>'Both teabags AfterDry'!A436</f>
        <v>R350</v>
      </c>
      <c r="X100" t="b">
        <f t="shared" si="32"/>
        <v>0</v>
      </c>
      <c r="Y100" t="b">
        <f t="shared" si="33"/>
        <v>0</v>
      </c>
      <c r="AA100" t="str">
        <f>'Green_rooibos initial weight'!A101</f>
        <v>G97</v>
      </c>
      <c r="AB100" t="str">
        <f>'Green_rooibos initial weight'!A1005</f>
        <v>R97</v>
      </c>
      <c r="AC100" t="b">
        <f t="shared" si="34"/>
        <v>0</v>
      </c>
      <c r="AD100" t="b">
        <f t="shared" si="35"/>
        <v>0</v>
      </c>
      <c r="AG100" t="str">
        <f>'WetLitterbags placem_collection'!K99</f>
        <v>G741</v>
      </c>
      <c r="AH100" t="str">
        <f>'WetLitterbags placem_collection'!M99</f>
        <v>R518</v>
      </c>
      <c r="AI100" t="b">
        <f t="shared" si="36"/>
        <v>0</v>
      </c>
      <c r="AJ100" t="b">
        <f t="shared" si="37"/>
        <v>0</v>
      </c>
      <c r="AK100">
        <f>'WetLitterbags placem_collection'!A99</f>
        <v>97</v>
      </c>
      <c r="AL100">
        <f>'WetLitterbags placem_collection'!A99</f>
        <v>97</v>
      </c>
      <c r="AN100">
        <f>IF('Dry_Litterbag Placem_Collection'!J99=0,"",'Dry_Litterbag Placem_Collection'!J99)</f>
        <v>432</v>
      </c>
      <c r="AO100">
        <f>IF('Dry_Litterbag Placem_Collection'!K99=0,"",'Dry_Litterbag Placem_Collection'!K99)</f>
        <v>801</v>
      </c>
      <c r="AP100" t="b">
        <f t="shared" si="38"/>
        <v>0</v>
      </c>
      <c r="AQ100" t="b">
        <f t="shared" si="39"/>
        <v>0</v>
      </c>
      <c r="AT100" t="str">
        <f>'Ashed teabags dry'!A98</f>
        <v>G220</v>
      </c>
      <c r="AU100" t="str">
        <f>'Ashed teabags dry'!A435</f>
        <v>R345</v>
      </c>
      <c r="AV100" t="b">
        <f t="shared" si="40"/>
        <v>0</v>
      </c>
      <c r="AW100" t="b">
        <f t="shared" si="41"/>
        <v>0</v>
      </c>
      <c r="AZ100" s="401" t="b">
        <f t="shared" si="42"/>
        <v>0</v>
      </c>
      <c r="BA100" s="401" t="b">
        <f t="shared" si="43"/>
        <v>0</v>
      </c>
      <c r="BC100" t="str">
        <f>'Ashed teabags wet'!A98</f>
        <v>G489</v>
      </c>
      <c r="BD100" t="str">
        <f>'Ashed teabags wet'!A515</f>
        <v>R263</v>
      </c>
      <c r="BE100" t="b">
        <f t="shared" si="44"/>
        <v>0</v>
      </c>
      <c r="BF100" t="b">
        <f t="shared" si="45"/>
        <v>0</v>
      </c>
      <c r="BG100">
        <f>IFERROR('Ashed teabags wet'!C98,"")</f>
        <v>59</v>
      </c>
      <c r="BH100">
        <f>IFERROR('Ashed teabags wet'!C515,"")</f>
        <v>192</v>
      </c>
      <c r="BI100">
        <f>'Ashed teabags wet'!AB98</f>
        <v>58</v>
      </c>
      <c r="BJ100" t="str">
        <f>'Ashed teabags wet'!AC98</f>
        <v/>
      </c>
      <c r="BK100">
        <f>'Ashed teabags wet'!AD515</f>
        <v>191</v>
      </c>
      <c r="BL100" t="str">
        <f>'Ashed teabags wet'!AE515</f>
        <v/>
      </c>
      <c r="BN100" t="str">
        <f t="shared" si="46"/>
        <v>G486</v>
      </c>
      <c r="BO100" t="b">
        <f t="shared" si="47"/>
        <v>1</v>
      </c>
    </row>
    <row r="101" spans="2:68" ht="12" customHeight="1">
      <c r="B101" t="str">
        <f>TBIDry!H173</f>
        <v>G184</v>
      </c>
      <c r="C101" t="str">
        <f>TBIDry!I173</f>
        <v>R808</v>
      </c>
      <c r="D101" t="b">
        <f t="shared" si="24"/>
        <v>0</v>
      </c>
      <c r="E101" t="b">
        <f t="shared" si="25"/>
        <v>0</v>
      </c>
      <c r="G101" t="str">
        <f>TBIWet!H173</f>
        <v>G610</v>
      </c>
      <c r="H101" t="str">
        <f>TBIWet!I173</f>
        <v>R489</v>
      </c>
      <c r="I101" t="b">
        <f t="shared" si="26"/>
        <v>0</v>
      </c>
      <c r="J101" t="b">
        <f t="shared" si="27"/>
        <v>0</v>
      </c>
      <c r="L101" t="str">
        <f>'Both teabags AfterWet'!A100</f>
        <v>G479</v>
      </c>
      <c r="M101" t="str">
        <f>'Both teabags AfterWet'!A518</f>
        <v>R251</v>
      </c>
      <c r="N101" t="b">
        <f t="shared" si="28"/>
        <v>0</v>
      </c>
      <c r="O101" t="b">
        <f t="shared" si="29"/>
        <v>0</v>
      </c>
      <c r="P101" t="str">
        <f>IFERROR('Both teabags AfterWet'!B100,"")</f>
        <v>n.a</v>
      </c>
      <c r="Q101">
        <f>'Both teabags AfterWet'!B518</f>
        <v>69</v>
      </c>
      <c r="S101" s="401" t="b">
        <f t="shared" si="30"/>
        <v>0</v>
      </c>
      <c r="T101" s="401" t="b">
        <f t="shared" si="31"/>
        <v>0</v>
      </c>
      <c r="V101" t="str">
        <f>'Both teabags AfterDry'!A100</f>
        <v>G224</v>
      </c>
      <c r="W101" t="str">
        <f>'Both teabags AfterDry'!A437</f>
        <v>R352</v>
      </c>
      <c r="X101" t="b">
        <f t="shared" si="32"/>
        <v>0</v>
      </c>
      <c r="Y101" t="b">
        <f t="shared" si="33"/>
        <v>0</v>
      </c>
      <c r="AA101" t="str">
        <f>'Green_rooibos initial weight'!A102</f>
        <v>G98</v>
      </c>
      <c r="AB101" t="str">
        <f>'Green_rooibos initial weight'!A1006</f>
        <v>R98</v>
      </c>
      <c r="AC101" t="b">
        <f t="shared" si="34"/>
        <v>0</v>
      </c>
      <c r="AD101" t="b">
        <f t="shared" si="35"/>
        <v>0</v>
      </c>
      <c r="AG101" t="str">
        <f>'WetLitterbags placem_collection'!K100</f>
        <v>G610</v>
      </c>
      <c r="AH101" t="str">
        <f>'WetLitterbags placem_collection'!M100</f>
        <v>R489</v>
      </c>
      <c r="AI101" t="b">
        <f t="shared" si="36"/>
        <v>0</v>
      </c>
      <c r="AJ101" t="b">
        <f t="shared" si="37"/>
        <v>0</v>
      </c>
      <c r="AK101">
        <f>'WetLitterbags placem_collection'!A100</f>
        <v>98</v>
      </c>
      <c r="AL101">
        <f>'WetLitterbags placem_collection'!A100</f>
        <v>98</v>
      </c>
      <c r="AN101">
        <f>IF('Dry_Litterbag Placem_Collection'!J100=0,"",'Dry_Litterbag Placem_Collection'!J100)</f>
        <v>184</v>
      </c>
      <c r="AO101">
        <f>IF('Dry_Litterbag Placem_Collection'!K100=0,"",'Dry_Litterbag Placem_Collection'!K100)</f>
        <v>808</v>
      </c>
      <c r="AP101" t="b">
        <f t="shared" si="38"/>
        <v>0</v>
      </c>
      <c r="AQ101" t="b">
        <f t="shared" si="39"/>
        <v>0</v>
      </c>
      <c r="AT101" t="str">
        <f>'Ashed teabags dry'!A99</f>
        <v>G221</v>
      </c>
      <c r="AU101" t="str">
        <f>'Ashed teabags dry'!A436</f>
        <v>R348</v>
      </c>
      <c r="AV101" t="b">
        <f t="shared" si="40"/>
        <v>0</v>
      </c>
      <c r="AW101" t="b">
        <f t="shared" si="41"/>
        <v>0</v>
      </c>
      <c r="AZ101" s="401" t="b">
        <f t="shared" si="42"/>
        <v>0</v>
      </c>
      <c r="BA101" s="401" t="b">
        <f t="shared" si="43"/>
        <v>0</v>
      </c>
      <c r="BC101" t="str">
        <f>'Ashed teabags wet'!A99</f>
        <v>G491</v>
      </c>
      <c r="BD101" t="str">
        <f>'Ashed teabags wet'!A516</f>
        <v>R264</v>
      </c>
      <c r="BE101" t="b">
        <f t="shared" si="44"/>
        <v>0</v>
      </c>
      <c r="BF101" t="b">
        <f t="shared" si="45"/>
        <v>0</v>
      </c>
      <c r="BG101">
        <f>IFERROR('Ashed teabags wet'!C99,"")</f>
        <v>219</v>
      </c>
      <c r="BH101">
        <f>IFERROR('Ashed teabags wet'!C516,"")</f>
        <v>164</v>
      </c>
      <c r="BI101" t="str">
        <f>'Ashed teabags wet'!AB99</f>
        <v/>
      </c>
      <c r="BJ101">
        <f>'Ashed teabags wet'!AC99</f>
        <v>218</v>
      </c>
      <c r="BK101" t="str">
        <f>'Ashed teabags wet'!AD516</f>
        <v/>
      </c>
      <c r="BL101">
        <f>'Ashed teabags wet'!AE516</f>
        <v>163</v>
      </c>
      <c r="BN101" t="str">
        <f t="shared" si="46"/>
        <v>G489</v>
      </c>
      <c r="BO101" t="b">
        <f t="shared" si="47"/>
        <v>1</v>
      </c>
    </row>
    <row r="102" spans="2:68" ht="12" customHeight="1">
      <c r="B102" t="str">
        <f>TBIDry!H174</f>
        <v/>
      </c>
      <c r="C102" t="str">
        <f>TBIDry!I174</f>
        <v/>
      </c>
      <c r="D102" t="b">
        <f t="shared" si="24"/>
        <v>1</v>
      </c>
      <c r="E102" t="b">
        <f t="shared" si="25"/>
        <v>1</v>
      </c>
      <c r="G102" t="str">
        <f>TBIWet!H174</f>
        <v>G765</v>
      </c>
      <c r="H102" t="str">
        <f>TBIWet!I174</f>
        <v>R549</v>
      </c>
      <c r="I102" t="b">
        <f t="shared" si="26"/>
        <v>0</v>
      </c>
      <c r="J102" t="b">
        <f t="shared" si="27"/>
        <v>0</v>
      </c>
      <c r="L102" t="str">
        <f>'Both teabags AfterWet'!A101</f>
        <v>G480</v>
      </c>
      <c r="M102" t="str">
        <f>'Both teabags AfterWet'!A519</f>
        <v>R252</v>
      </c>
      <c r="N102" t="b">
        <f t="shared" si="28"/>
        <v>0</v>
      </c>
      <c r="O102" t="b">
        <f t="shared" si="29"/>
        <v>0</v>
      </c>
      <c r="P102">
        <f>IFERROR('Both teabags AfterWet'!B101,"")</f>
        <v>116</v>
      </c>
      <c r="Q102" t="str">
        <f>'Both teabags AfterWet'!B519</f>
        <v>n.a</v>
      </c>
      <c r="S102" s="401" t="b">
        <f t="shared" si="30"/>
        <v>0</v>
      </c>
      <c r="T102" s="401" t="b">
        <f t="shared" si="31"/>
        <v>0</v>
      </c>
      <c r="V102" t="str">
        <f>'Both teabags AfterDry'!A101</f>
        <v>G225</v>
      </c>
      <c r="W102" t="str">
        <f>'Both teabags AfterDry'!A438</f>
        <v>R357</v>
      </c>
      <c r="X102" t="b">
        <f t="shared" si="32"/>
        <v>0</v>
      </c>
      <c r="Y102" t="b">
        <f t="shared" si="33"/>
        <v>0</v>
      </c>
      <c r="AA102" t="str">
        <f>'Green_rooibos initial weight'!A103</f>
        <v>G99</v>
      </c>
      <c r="AB102" t="str">
        <f>'Green_rooibos initial weight'!A1007</f>
        <v>R99</v>
      </c>
      <c r="AC102" t="b">
        <f t="shared" si="34"/>
        <v>0</v>
      </c>
      <c r="AD102" t="b">
        <f t="shared" si="35"/>
        <v>0</v>
      </c>
      <c r="AG102" t="str">
        <f>'WetLitterbags placem_collection'!K101</f>
        <v>G765</v>
      </c>
      <c r="AH102" t="str">
        <f>'WetLitterbags placem_collection'!M101</f>
        <v>R549</v>
      </c>
      <c r="AI102" t="b">
        <f t="shared" si="36"/>
        <v>0</v>
      </c>
      <c r="AJ102" t="b">
        <f t="shared" si="37"/>
        <v>0</v>
      </c>
      <c r="AK102">
        <f>'WetLitterbags placem_collection'!A101</f>
        <v>99</v>
      </c>
      <c r="AL102">
        <f>'WetLitterbags placem_collection'!A101</f>
        <v>99</v>
      </c>
      <c r="AN102" t="str">
        <f>IF('Dry_Litterbag Placem_Collection'!J101=0,"",'Dry_Litterbag Placem_Collection'!J101)</f>
        <v/>
      </c>
      <c r="AO102" t="str">
        <f>IF('Dry_Litterbag Placem_Collection'!K101=0,"",'Dry_Litterbag Placem_Collection'!K101)</f>
        <v/>
      </c>
      <c r="AP102" t="b">
        <f t="shared" si="38"/>
        <v>1</v>
      </c>
      <c r="AQ102" t="b">
        <f t="shared" si="39"/>
        <v>1</v>
      </c>
      <c r="AT102" t="str">
        <f>'Ashed teabags dry'!A100</f>
        <v>G224</v>
      </c>
      <c r="AU102" t="str">
        <f>'Ashed teabags dry'!A437</f>
        <v>R350</v>
      </c>
      <c r="AV102" t="b">
        <f t="shared" si="40"/>
        <v>0</v>
      </c>
      <c r="AW102" t="b">
        <f t="shared" si="41"/>
        <v>0</v>
      </c>
      <c r="AZ102" s="401" t="b">
        <f t="shared" si="42"/>
        <v>0</v>
      </c>
      <c r="BA102" s="401" t="b">
        <f t="shared" si="43"/>
        <v>0</v>
      </c>
      <c r="BC102" t="str">
        <f>'Ashed teabags wet'!A100</f>
        <v>G492</v>
      </c>
      <c r="BD102" t="str">
        <f>'Ashed teabags wet'!A517</f>
        <v>R265</v>
      </c>
      <c r="BE102" t="b">
        <f t="shared" si="44"/>
        <v>0</v>
      </c>
      <c r="BF102" t="b">
        <f t="shared" si="45"/>
        <v>0</v>
      </c>
      <c r="BG102">
        <f>IFERROR('Ashed teabags wet'!C100,"")</f>
        <v>23</v>
      </c>
      <c r="BH102">
        <f>IFERROR('Ashed teabags wet'!C517,"")</f>
        <v>205</v>
      </c>
      <c r="BI102">
        <f>'Ashed teabags wet'!AB100</f>
        <v>22</v>
      </c>
      <c r="BJ102" t="str">
        <f>'Ashed teabags wet'!AC100</f>
        <v/>
      </c>
      <c r="BK102">
        <f>'Ashed teabags wet'!AD517</f>
        <v>204</v>
      </c>
      <c r="BL102" t="str">
        <f>'Ashed teabags wet'!AE517</f>
        <v/>
      </c>
      <c r="BN102" t="str">
        <f t="shared" si="46"/>
        <v>G491</v>
      </c>
      <c r="BO102" t="b">
        <f t="shared" si="47"/>
        <v>1</v>
      </c>
    </row>
    <row r="103" spans="2:68" ht="12" customHeight="1">
      <c r="B103" t="str">
        <f>TBIDry!H175</f>
        <v>G176</v>
      </c>
      <c r="C103" t="str">
        <f>TBIDry!I175</f>
        <v>R276</v>
      </c>
      <c r="D103" t="b">
        <f t="shared" si="24"/>
        <v>0</v>
      </c>
      <c r="E103" t="b">
        <f t="shared" si="25"/>
        <v>0</v>
      </c>
      <c r="G103" t="str">
        <f>TBIWet!H175</f>
        <v>G728</v>
      </c>
      <c r="H103" t="str">
        <f>TBIWet!I175</f>
        <v>R500</v>
      </c>
      <c r="I103" t="b">
        <f t="shared" si="26"/>
        <v>0</v>
      </c>
      <c r="J103" t="b">
        <f t="shared" si="27"/>
        <v>0</v>
      </c>
      <c r="L103" t="str">
        <f>'Both teabags AfterWet'!A102</f>
        <v>G842</v>
      </c>
      <c r="M103" t="str">
        <f>'Both teabags AfterWet'!A520</f>
        <v>R253</v>
      </c>
      <c r="N103" t="b">
        <f t="shared" si="28"/>
        <v>0</v>
      </c>
      <c r="O103" t="b">
        <f t="shared" si="29"/>
        <v>0</v>
      </c>
      <c r="P103">
        <f>IFERROR('Both teabags AfterWet'!B102,"")</f>
        <v>135</v>
      </c>
      <c r="Q103">
        <f>'Both teabags AfterWet'!B520</f>
        <v>161</v>
      </c>
      <c r="S103" t="b">
        <f t="shared" si="30"/>
        <v>0</v>
      </c>
      <c r="T103" s="401" t="b">
        <f t="shared" si="31"/>
        <v>0</v>
      </c>
      <c r="V103" t="str">
        <f>'Both teabags AfterDry'!A102</f>
        <v>G226</v>
      </c>
      <c r="W103" t="str">
        <f>'Both teabags AfterDry'!A439</f>
        <v>R36</v>
      </c>
      <c r="X103" t="b">
        <f t="shared" si="32"/>
        <v>0</v>
      </c>
      <c r="Y103" t="b">
        <f t="shared" si="33"/>
        <v>0</v>
      </c>
      <c r="AA103" t="str">
        <f>'Green_rooibos initial weight'!A104</f>
        <v>G100</v>
      </c>
      <c r="AB103" t="str">
        <f>'Green_rooibos initial weight'!A1008</f>
        <v>R100</v>
      </c>
      <c r="AC103" t="b">
        <f t="shared" si="34"/>
        <v>0</v>
      </c>
      <c r="AD103" t="b">
        <f t="shared" si="35"/>
        <v>0</v>
      </c>
      <c r="AG103" t="str">
        <f>'WetLitterbags placem_collection'!K102</f>
        <v>G728</v>
      </c>
      <c r="AH103" t="str">
        <f>'WetLitterbags placem_collection'!M102</f>
        <v>R500</v>
      </c>
      <c r="AI103" t="b">
        <f t="shared" si="36"/>
        <v>0</v>
      </c>
      <c r="AJ103" t="b">
        <f t="shared" si="37"/>
        <v>0</v>
      </c>
      <c r="AK103">
        <f>'WetLitterbags placem_collection'!A102</f>
        <v>100</v>
      </c>
      <c r="AL103">
        <f>'WetLitterbags placem_collection'!A102</f>
        <v>100</v>
      </c>
      <c r="AN103">
        <f>IF('Dry_Litterbag Placem_Collection'!J102=0,"",'Dry_Litterbag Placem_Collection'!J102)</f>
        <v>176</v>
      </c>
      <c r="AO103">
        <f>IF('Dry_Litterbag Placem_Collection'!K102=0,"",'Dry_Litterbag Placem_Collection'!K102)</f>
        <v>276</v>
      </c>
      <c r="AP103" t="b">
        <f t="shared" si="38"/>
        <v>0</v>
      </c>
      <c r="AQ103" t="b">
        <f t="shared" si="39"/>
        <v>0</v>
      </c>
      <c r="AT103" t="str">
        <f>'Ashed teabags dry'!A101</f>
        <v>G226</v>
      </c>
      <c r="AU103" t="str">
        <f>'Ashed teabags dry'!A438</f>
        <v>R352</v>
      </c>
      <c r="AV103" t="b">
        <f t="shared" si="40"/>
        <v>0</v>
      </c>
      <c r="AW103" t="b">
        <f t="shared" si="41"/>
        <v>0</v>
      </c>
      <c r="AZ103" s="401" t="b">
        <f t="shared" si="42"/>
        <v>0</v>
      </c>
      <c r="BA103" s="401" t="b">
        <f t="shared" si="43"/>
        <v>0</v>
      </c>
      <c r="BC103" t="str">
        <f>'Ashed teabags wet'!A101</f>
        <v>G494</v>
      </c>
      <c r="BD103" t="str">
        <f>'Ashed teabags wet'!A518</f>
        <v>R266</v>
      </c>
      <c r="BE103" t="b">
        <f t="shared" si="44"/>
        <v>0</v>
      </c>
      <c r="BF103" t="b">
        <f t="shared" si="45"/>
        <v>0</v>
      </c>
      <c r="BG103">
        <f>IFERROR('Ashed teabags wet'!C101,"")</f>
        <v>83</v>
      </c>
      <c r="BH103">
        <f>IFERROR('Ashed teabags wet'!C518,"")</f>
        <v>70</v>
      </c>
      <c r="BI103">
        <f>'Ashed teabags wet'!AB101</f>
        <v>82</v>
      </c>
      <c r="BJ103" t="str">
        <f>'Ashed teabags wet'!AC101</f>
        <v/>
      </c>
      <c r="BK103" t="str">
        <f>'Ashed teabags wet'!AD518</f>
        <v/>
      </c>
      <c r="BL103">
        <f>'Ashed teabags wet'!AE518</f>
        <v>69</v>
      </c>
      <c r="BN103" t="str">
        <f t="shared" si="46"/>
        <v>G492</v>
      </c>
      <c r="BO103" t="b">
        <f t="shared" si="47"/>
        <v>1</v>
      </c>
      <c r="BP103" s="402"/>
    </row>
    <row r="104" spans="2:68" ht="12" customHeight="1">
      <c r="B104" t="str">
        <f>TBIDry!H176</f>
        <v>G11</v>
      </c>
      <c r="C104" t="str">
        <f>TBIDry!I176</f>
        <v>R624</v>
      </c>
      <c r="D104" t="b">
        <f t="shared" si="24"/>
        <v>0</v>
      </c>
      <c r="E104" t="b">
        <f t="shared" si="25"/>
        <v>0</v>
      </c>
      <c r="G104" t="str">
        <f>TBIWet!H176</f>
        <v>G808</v>
      </c>
      <c r="H104" t="str">
        <f>TBIWet!I176</f>
        <v>R482</v>
      </c>
      <c r="I104" t="b">
        <f t="shared" si="26"/>
        <v>0</v>
      </c>
      <c r="J104" t="b">
        <f t="shared" si="27"/>
        <v>0</v>
      </c>
      <c r="L104" t="str">
        <f>'Both teabags AfterWet'!A103</f>
        <v>G483</v>
      </c>
      <c r="M104" t="str">
        <f>'Both teabags AfterWet'!A521</f>
        <v>R255</v>
      </c>
      <c r="N104" t="b">
        <f t="shared" si="28"/>
        <v>0</v>
      </c>
      <c r="O104" t="b">
        <f t="shared" si="29"/>
        <v>0</v>
      </c>
      <c r="P104">
        <f>IFERROR('Both teabags AfterWet'!B103,"")</f>
        <v>177</v>
      </c>
      <c r="Q104" t="str">
        <f>'Both teabags AfterWet'!B521</f>
        <v>n.a</v>
      </c>
      <c r="S104" s="401" t="b">
        <f t="shared" si="30"/>
        <v>0</v>
      </c>
      <c r="T104" s="401" t="b">
        <f t="shared" si="31"/>
        <v>0</v>
      </c>
      <c r="V104" t="str">
        <f>'Both teabags AfterDry'!A103</f>
        <v>G227</v>
      </c>
      <c r="W104" t="str">
        <f>'Both teabags AfterDry'!A440</f>
        <v>R361</v>
      </c>
      <c r="X104" t="b">
        <f t="shared" si="32"/>
        <v>0</v>
      </c>
      <c r="Y104" t="b">
        <f t="shared" si="33"/>
        <v>0</v>
      </c>
      <c r="AA104" t="str">
        <f>'Green_rooibos initial weight'!A105</f>
        <v>G101</v>
      </c>
      <c r="AB104" t="str">
        <f>'Green_rooibos initial weight'!A1009</f>
        <v>R101</v>
      </c>
      <c r="AC104" t="b">
        <f t="shared" si="34"/>
        <v>0</v>
      </c>
      <c r="AD104" t="b">
        <f t="shared" si="35"/>
        <v>0</v>
      </c>
      <c r="AG104" t="str">
        <f>'WetLitterbags placem_collection'!K103</f>
        <v>G808</v>
      </c>
      <c r="AH104" t="str">
        <f>'WetLitterbags placem_collection'!M103</f>
        <v>R482</v>
      </c>
      <c r="AI104" t="b">
        <f t="shared" si="36"/>
        <v>0</v>
      </c>
      <c r="AJ104" t="b">
        <f t="shared" si="37"/>
        <v>0</v>
      </c>
      <c r="AK104">
        <f>'WetLitterbags placem_collection'!A103</f>
        <v>101</v>
      </c>
      <c r="AL104">
        <f>'WetLitterbags placem_collection'!A103</f>
        <v>101</v>
      </c>
      <c r="AN104">
        <f>IF('Dry_Litterbag Placem_Collection'!J103=0,"",'Dry_Litterbag Placem_Collection'!J103)</f>
        <v>11</v>
      </c>
      <c r="AO104">
        <f>IF('Dry_Litterbag Placem_Collection'!K103=0,"",'Dry_Litterbag Placem_Collection'!K103)</f>
        <v>624</v>
      </c>
      <c r="AP104" t="b">
        <f t="shared" si="38"/>
        <v>0</v>
      </c>
      <c r="AQ104" t="b">
        <f t="shared" si="39"/>
        <v>0</v>
      </c>
      <c r="AT104" t="str">
        <f>'Ashed teabags dry'!A102</f>
        <v>G227</v>
      </c>
      <c r="AU104" t="str">
        <f>'Ashed teabags dry'!A439</f>
        <v>R357</v>
      </c>
      <c r="AV104" t="b">
        <f t="shared" si="40"/>
        <v>0</v>
      </c>
      <c r="AW104" t="b">
        <f t="shared" si="41"/>
        <v>0</v>
      </c>
      <c r="AZ104" s="401" t="b">
        <f t="shared" si="42"/>
        <v>0</v>
      </c>
      <c r="BA104" s="401" t="b">
        <f t="shared" si="43"/>
        <v>0</v>
      </c>
      <c r="BC104" t="str">
        <f>'Ashed teabags wet'!A102</f>
        <v>G496</v>
      </c>
      <c r="BD104" t="str">
        <f>'Ashed teabags wet'!A519</f>
        <v>R268</v>
      </c>
      <c r="BE104" t="b">
        <f t="shared" si="44"/>
        <v>0</v>
      </c>
      <c r="BF104" t="b">
        <f t="shared" si="45"/>
        <v>0</v>
      </c>
      <c r="BG104">
        <f>IFERROR('Ashed teabags wet'!C102,"")</f>
        <v>169</v>
      </c>
      <c r="BH104">
        <f>IFERROR('Ashed teabags wet'!C519,"")</f>
        <v>180</v>
      </c>
      <c r="BI104" t="str">
        <f>'Ashed teabags wet'!AB102</f>
        <v/>
      </c>
      <c r="BJ104">
        <f>'Ashed teabags wet'!AC102</f>
        <v>168</v>
      </c>
      <c r="BK104">
        <f>'Ashed teabags wet'!AD519</f>
        <v>179</v>
      </c>
      <c r="BL104" t="str">
        <f>'Ashed teabags wet'!AE519</f>
        <v/>
      </c>
      <c r="BN104" t="str">
        <f t="shared" si="46"/>
        <v>G494</v>
      </c>
      <c r="BO104" t="b">
        <f t="shared" si="47"/>
        <v>1</v>
      </c>
      <c r="BP104" s="402"/>
    </row>
    <row r="105" spans="2:68" ht="12" customHeight="1">
      <c r="B105" t="str">
        <f>TBIDry!H177</f>
        <v>G284</v>
      </c>
      <c r="C105" t="str">
        <f>TBIDry!I177</f>
        <v>R781</v>
      </c>
      <c r="D105" t="b">
        <f t="shared" si="24"/>
        <v>0</v>
      </c>
      <c r="E105" t="b">
        <f t="shared" si="25"/>
        <v>0</v>
      </c>
      <c r="G105" t="str">
        <f>TBIWet!H177</f>
        <v>G892</v>
      </c>
      <c r="H105" t="str">
        <f>TBIWet!I177</f>
        <v>R569</v>
      </c>
      <c r="I105" t="b">
        <f t="shared" si="26"/>
        <v>0</v>
      </c>
      <c r="J105" t="b">
        <f t="shared" si="27"/>
        <v>0</v>
      </c>
      <c r="L105" t="str">
        <f>'Both teabags AfterWet'!A104</f>
        <v>G486</v>
      </c>
      <c r="M105" t="str">
        <f>'Both teabags AfterWet'!A522</f>
        <v>R258</v>
      </c>
      <c r="N105" t="b">
        <f t="shared" si="28"/>
        <v>0</v>
      </c>
      <c r="O105" t="b">
        <f t="shared" si="29"/>
        <v>0</v>
      </c>
      <c r="P105">
        <f>IFERROR('Both teabags AfterWet'!B104,"")</f>
        <v>95</v>
      </c>
      <c r="Q105">
        <f>'Both teabags AfterWet'!B522</f>
        <v>206</v>
      </c>
      <c r="S105" s="401" t="b">
        <f t="shared" si="30"/>
        <v>0</v>
      </c>
      <c r="T105" s="401" t="b">
        <f t="shared" si="31"/>
        <v>0</v>
      </c>
      <c r="V105" t="str">
        <f>'Both teabags AfterDry'!A104</f>
        <v>G228</v>
      </c>
      <c r="W105" t="str">
        <f>'Both teabags AfterDry'!A441</f>
        <v>R364</v>
      </c>
      <c r="X105" t="b">
        <f t="shared" si="32"/>
        <v>0</v>
      </c>
      <c r="Y105" t="b">
        <f t="shared" si="33"/>
        <v>0</v>
      </c>
      <c r="AA105" t="str">
        <f>'Green_rooibos initial weight'!A106</f>
        <v>G102</v>
      </c>
      <c r="AB105" t="str">
        <f>'Green_rooibos initial weight'!A1010</f>
        <v>R102</v>
      </c>
      <c r="AC105" t="b">
        <f t="shared" si="34"/>
        <v>0</v>
      </c>
      <c r="AD105" t="b">
        <f t="shared" si="35"/>
        <v>0</v>
      </c>
      <c r="AG105" t="str">
        <f>'WetLitterbags placem_collection'!K104</f>
        <v>G892</v>
      </c>
      <c r="AH105" t="str">
        <f>'WetLitterbags placem_collection'!M104</f>
        <v>R569</v>
      </c>
      <c r="AI105" t="b">
        <f t="shared" si="36"/>
        <v>0</v>
      </c>
      <c r="AJ105" t="b">
        <f t="shared" si="37"/>
        <v>0</v>
      </c>
      <c r="AK105">
        <f>'WetLitterbags placem_collection'!A104</f>
        <v>102</v>
      </c>
      <c r="AL105">
        <f>'WetLitterbags placem_collection'!A104</f>
        <v>102</v>
      </c>
      <c r="AN105">
        <f>IF('Dry_Litterbag Placem_Collection'!J104=0,"",'Dry_Litterbag Placem_Collection'!J104)</f>
        <v>284</v>
      </c>
      <c r="AO105">
        <f>IF('Dry_Litterbag Placem_Collection'!K104=0,"",'Dry_Litterbag Placem_Collection'!K104)</f>
        <v>781</v>
      </c>
      <c r="AP105" t="b">
        <f t="shared" si="38"/>
        <v>0</v>
      </c>
      <c r="AQ105" t="b">
        <f t="shared" si="39"/>
        <v>0</v>
      </c>
      <c r="AT105" t="str">
        <f>'Ashed teabags dry'!A103</f>
        <v>G228</v>
      </c>
      <c r="AU105" t="str">
        <f>'Ashed teabags dry'!A440</f>
        <v>R36</v>
      </c>
      <c r="AV105" t="b">
        <f t="shared" si="40"/>
        <v>0</v>
      </c>
      <c r="AW105" t="b">
        <f t="shared" si="41"/>
        <v>0</v>
      </c>
      <c r="AZ105" s="401" t="b">
        <f t="shared" si="42"/>
        <v>0</v>
      </c>
      <c r="BA105" s="401" t="b">
        <f t="shared" si="43"/>
        <v>0</v>
      </c>
      <c r="BC105" t="str">
        <f>'Ashed teabags wet'!A103</f>
        <v>G497</v>
      </c>
      <c r="BD105" t="str">
        <f>'Ashed teabags wet'!A520</f>
        <v>R27</v>
      </c>
      <c r="BE105" t="b">
        <f t="shared" si="44"/>
        <v>0</v>
      </c>
      <c r="BF105" t="b">
        <f t="shared" si="45"/>
        <v>0</v>
      </c>
      <c r="BG105">
        <f>IFERROR('Ashed teabags wet'!C103,"")</f>
        <v>5</v>
      </c>
      <c r="BH105">
        <f>IFERROR('Ashed teabags wet'!C520,"")</f>
        <v>145</v>
      </c>
      <c r="BI105">
        <f>'Ashed teabags wet'!AB103</f>
        <v>4</v>
      </c>
      <c r="BJ105" t="str">
        <f>'Ashed teabags wet'!AC103</f>
        <v/>
      </c>
      <c r="BK105">
        <f>'Ashed teabags wet'!AD520</f>
        <v>144</v>
      </c>
      <c r="BL105" t="str">
        <f>'Ashed teabags wet'!AE520</f>
        <v/>
      </c>
      <c r="BN105" t="str">
        <f t="shared" si="46"/>
        <v>G496</v>
      </c>
      <c r="BO105" t="b">
        <f t="shared" si="47"/>
        <v>1</v>
      </c>
    </row>
    <row r="106" spans="2:68" ht="12" customHeight="1">
      <c r="B106" t="str">
        <f>TBIDry!H178</f>
        <v>G326</v>
      </c>
      <c r="C106" t="str">
        <f>TBIDry!I178</f>
        <v>R772</v>
      </c>
      <c r="D106" t="b">
        <f t="shared" si="24"/>
        <v>0</v>
      </c>
      <c r="E106" t="b">
        <f t="shared" si="25"/>
        <v>0</v>
      </c>
      <c r="G106" t="str">
        <f>TBIWet!H178</f>
        <v>G869</v>
      </c>
      <c r="H106" t="str">
        <f>TBIWet!I178</f>
        <v>R430</v>
      </c>
      <c r="I106" t="b">
        <f t="shared" si="26"/>
        <v>0</v>
      </c>
      <c r="J106" t="b">
        <f t="shared" si="27"/>
        <v>0</v>
      </c>
      <c r="L106" t="str">
        <f>'Both teabags AfterWet'!A105</f>
        <v>G489</v>
      </c>
      <c r="M106" t="str">
        <f>'Both teabags AfterWet'!A523</f>
        <v>R259</v>
      </c>
      <c r="N106" t="b">
        <f t="shared" si="28"/>
        <v>0</v>
      </c>
      <c r="O106" t="b">
        <f t="shared" si="29"/>
        <v>0</v>
      </c>
      <c r="P106">
        <f>IFERROR('Both teabags AfterWet'!B105,"")</f>
        <v>59</v>
      </c>
      <c r="Q106" t="str">
        <f>'Both teabags AfterWet'!B523</f>
        <v>n.a</v>
      </c>
      <c r="S106" s="401" t="b">
        <f t="shared" si="30"/>
        <v>0</v>
      </c>
      <c r="T106" s="401" t="b">
        <f t="shared" si="31"/>
        <v>0</v>
      </c>
      <c r="V106" t="str">
        <f>'Both teabags AfterDry'!A105</f>
        <v>G23</v>
      </c>
      <c r="W106" t="str">
        <f>'Both teabags AfterDry'!A442</f>
        <v>R365</v>
      </c>
      <c r="X106" t="b">
        <f t="shared" si="32"/>
        <v>0</v>
      </c>
      <c r="Y106" t="b">
        <f t="shared" si="33"/>
        <v>0</v>
      </c>
      <c r="AA106" t="str">
        <f>'Green_rooibos initial weight'!A107</f>
        <v>G103</v>
      </c>
      <c r="AB106" t="str">
        <f>'Green_rooibos initial weight'!A1011</f>
        <v>R103</v>
      </c>
      <c r="AC106" t="b">
        <f t="shared" si="34"/>
        <v>0</v>
      </c>
      <c r="AD106" t="b">
        <f t="shared" si="35"/>
        <v>0</v>
      </c>
      <c r="AG106" t="str">
        <f>'WetLitterbags placem_collection'!K105</f>
        <v>G869</v>
      </c>
      <c r="AH106" t="str">
        <f>'WetLitterbags placem_collection'!M105</f>
        <v>R430</v>
      </c>
      <c r="AI106" t="b">
        <f t="shared" si="36"/>
        <v>0</v>
      </c>
      <c r="AJ106" t="b">
        <f t="shared" si="37"/>
        <v>0</v>
      </c>
      <c r="AK106">
        <f>'WetLitterbags placem_collection'!A105</f>
        <v>103</v>
      </c>
      <c r="AL106">
        <f>'WetLitterbags placem_collection'!A105</f>
        <v>103</v>
      </c>
      <c r="AN106">
        <f>IF('Dry_Litterbag Placem_Collection'!J105=0,"",'Dry_Litterbag Placem_Collection'!J105)</f>
        <v>326</v>
      </c>
      <c r="AO106">
        <f>IF('Dry_Litterbag Placem_Collection'!K105=0,"",'Dry_Litterbag Placem_Collection'!K105)</f>
        <v>772</v>
      </c>
      <c r="AP106" t="b">
        <f t="shared" si="38"/>
        <v>0</v>
      </c>
      <c r="AQ106" t="b">
        <f t="shared" si="39"/>
        <v>0</v>
      </c>
      <c r="AT106" t="str">
        <f>'Ashed teabags dry'!A104</f>
        <v>G23</v>
      </c>
      <c r="AU106" t="str">
        <f>'Ashed teabags dry'!A441</f>
        <v>R361</v>
      </c>
      <c r="AV106" t="b">
        <f t="shared" si="40"/>
        <v>0</v>
      </c>
      <c r="AW106" t="b">
        <f t="shared" si="41"/>
        <v>0</v>
      </c>
      <c r="AZ106" s="401" t="b">
        <f t="shared" si="42"/>
        <v>0</v>
      </c>
      <c r="BA106" s="401" t="b">
        <f t="shared" si="43"/>
        <v>0</v>
      </c>
      <c r="BC106" t="str">
        <f>'Ashed teabags wet'!A104</f>
        <v>G498</v>
      </c>
      <c r="BD106" t="str">
        <f>'Ashed teabags wet'!A521</f>
        <v>R271</v>
      </c>
      <c r="BE106" t="b">
        <f t="shared" si="44"/>
        <v>0</v>
      </c>
      <c r="BF106" t="b">
        <f t="shared" si="45"/>
        <v>0</v>
      </c>
      <c r="BG106">
        <f>IFERROR('Ashed teabags wet'!C104,"")</f>
        <v>73</v>
      </c>
      <c r="BH106">
        <f>IFERROR('Ashed teabags wet'!C521,"")</f>
        <v>209</v>
      </c>
      <c r="BI106" t="str">
        <f>'Ashed teabags wet'!AB104</f>
        <v/>
      </c>
      <c r="BJ106">
        <f>'Ashed teabags wet'!AC104</f>
        <v>72</v>
      </c>
      <c r="BK106">
        <f>'Ashed teabags wet'!AD521</f>
        <v>208</v>
      </c>
      <c r="BL106" t="str">
        <f>'Ashed teabags wet'!AE521</f>
        <v/>
      </c>
      <c r="BN106" t="str">
        <f t="shared" si="46"/>
        <v>G497</v>
      </c>
      <c r="BO106" t="b">
        <f t="shared" si="47"/>
        <v>1</v>
      </c>
      <c r="BP106" s="402"/>
    </row>
    <row r="107" spans="2:68" ht="12" customHeight="1">
      <c r="B107" t="str">
        <f>TBIDry!H179</f>
        <v>G162</v>
      </c>
      <c r="C107" t="str">
        <f>TBIDry!I179</f>
        <v>R744</v>
      </c>
      <c r="D107" t="b">
        <f t="shared" si="24"/>
        <v>0</v>
      </c>
      <c r="E107" t="b">
        <f t="shared" si="25"/>
        <v>0</v>
      </c>
      <c r="G107" t="str">
        <f>TBIWet!H179</f>
        <v>G881</v>
      </c>
      <c r="H107" t="str">
        <f>TBIWet!I179</f>
        <v>R577</v>
      </c>
      <c r="I107" t="b">
        <f t="shared" si="26"/>
        <v>0</v>
      </c>
      <c r="J107" t="b">
        <f t="shared" si="27"/>
        <v>0</v>
      </c>
      <c r="L107" t="str">
        <f>'Both teabags AfterWet'!A106</f>
        <v>G491</v>
      </c>
      <c r="M107" t="str">
        <f>'Both teabags AfterWet'!A524</f>
        <v>R26</v>
      </c>
      <c r="N107" t="b">
        <f t="shared" si="28"/>
        <v>0</v>
      </c>
      <c r="O107" t="b">
        <f t="shared" si="29"/>
        <v>0</v>
      </c>
      <c r="P107">
        <f>IFERROR('Both teabags AfterWet'!B106,"")</f>
        <v>219</v>
      </c>
      <c r="Q107">
        <f>'Both teabags AfterWet'!B524</f>
        <v>102</v>
      </c>
      <c r="S107" s="401" t="b">
        <f t="shared" si="30"/>
        <v>0</v>
      </c>
      <c r="T107" s="401" t="b">
        <f t="shared" si="31"/>
        <v>0</v>
      </c>
      <c r="V107" t="str">
        <f>'Both teabags AfterDry'!A106</f>
        <v>G230</v>
      </c>
      <c r="W107" t="str">
        <f>'Both teabags AfterDry'!A443</f>
        <v>R366</v>
      </c>
      <c r="X107" t="b">
        <f t="shared" si="32"/>
        <v>0</v>
      </c>
      <c r="Y107" t="b">
        <f t="shared" si="33"/>
        <v>0</v>
      </c>
      <c r="AA107" t="str">
        <f>'Green_rooibos initial weight'!A108</f>
        <v>G104</v>
      </c>
      <c r="AB107" t="str">
        <f>'Green_rooibos initial weight'!A1012</f>
        <v>R104</v>
      </c>
      <c r="AC107" t="b">
        <f t="shared" si="34"/>
        <v>0</v>
      </c>
      <c r="AD107" t="b">
        <f t="shared" si="35"/>
        <v>0</v>
      </c>
      <c r="AG107" t="str">
        <f>'WetLitterbags placem_collection'!K106</f>
        <v>G881</v>
      </c>
      <c r="AH107" t="str">
        <f>'WetLitterbags placem_collection'!M106</f>
        <v>R577</v>
      </c>
      <c r="AI107" t="b">
        <f t="shared" si="36"/>
        <v>0</v>
      </c>
      <c r="AJ107" t="b">
        <f t="shared" si="37"/>
        <v>0</v>
      </c>
      <c r="AK107">
        <f>'WetLitterbags placem_collection'!A106</f>
        <v>104</v>
      </c>
      <c r="AL107">
        <f>'WetLitterbags placem_collection'!A106</f>
        <v>104</v>
      </c>
      <c r="AN107">
        <f>IF('Dry_Litterbag Placem_Collection'!J106=0,"",'Dry_Litterbag Placem_Collection'!J106)</f>
        <v>162</v>
      </c>
      <c r="AO107">
        <f>IF('Dry_Litterbag Placem_Collection'!K106=0,"",'Dry_Litterbag Placem_Collection'!K106)</f>
        <v>744</v>
      </c>
      <c r="AP107" t="b">
        <f t="shared" si="38"/>
        <v>0</v>
      </c>
      <c r="AQ107" t="b">
        <f t="shared" si="39"/>
        <v>0</v>
      </c>
      <c r="AT107" t="str">
        <f>'Ashed teabags dry'!A105</f>
        <v>G230</v>
      </c>
      <c r="AU107" t="str">
        <f>'Ashed teabags dry'!A442</f>
        <v>R365</v>
      </c>
      <c r="AV107" t="b">
        <f t="shared" si="40"/>
        <v>0</v>
      </c>
      <c r="AW107" t="b">
        <f t="shared" si="41"/>
        <v>0</v>
      </c>
      <c r="AZ107" s="401" t="b">
        <f t="shared" si="42"/>
        <v>0</v>
      </c>
      <c r="BA107" s="401" t="b">
        <f t="shared" si="43"/>
        <v>0</v>
      </c>
      <c r="BC107" t="str">
        <f>'Ashed teabags wet'!A105</f>
        <v>G499</v>
      </c>
      <c r="BD107" t="str">
        <f>'Ashed teabags wet'!A522</f>
        <v>R273</v>
      </c>
      <c r="BE107" t="b">
        <f t="shared" si="44"/>
        <v>0</v>
      </c>
      <c r="BF107" t="b">
        <f t="shared" si="45"/>
        <v>0</v>
      </c>
      <c r="BG107">
        <f>IFERROR('Ashed teabags wet'!C105,"")</f>
        <v>38</v>
      </c>
      <c r="BH107">
        <f>IFERROR('Ashed teabags wet'!C522,"")</f>
        <v>179</v>
      </c>
      <c r="BI107">
        <f>'Ashed teabags wet'!AB105</f>
        <v>37</v>
      </c>
      <c r="BJ107" t="str">
        <f>'Ashed teabags wet'!AC105</f>
        <v/>
      </c>
      <c r="BK107" t="str">
        <f>'Ashed teabags wet'!AD522</f>
        <v/>
      </c>
      <c r="BL107">
        <f>'Ashed teabags wet'!AE522</f>
        <v>178</v>
      </c>
      <c r="BN107" t="str">
        <f t="shared" si="46"/>
        <v>G498</v>
      </c>
      <c r="BO107" t="b">
        <f t="shared" si="47"/>
        <v>1</v>
      </c>
    </row>
    <row r="108" spans="2:68" ht="12" customHeight="1">
      <c r="B108" t="str">
        <f>TBIDry!H180</f>
        <v>G6</v>
      </c>
      <c r="C108" t="str">
        <f>TBIDry!I180</f>
        <v>R824</v>
      </c>
      <c r="D108" t="b">
        <f t="shared" si="24"/>
        <v>0</v>
      </c>
      <c r="E108" t="b">
        <f t="shared" si="25"/>
        <v>0</v>
      </c>
      <c r="G108" t="str">
        <f>TBIWet!H180</f>
        <v>G729</v>
      </c>
      <c r="H108" t="str">
        <f>TBIWet!I180</f>
        <v>R548</v>
      </c>
      <c r="I108" t="b">
        <f t="shared" si="26"/>
        <v>0</v>
      </c>
      <c r="J108" t="b">
        <f t="shared" si="27"/>
        <v>0</v>
      </c>
      <c r="L108" t="str">
        <f>'Both teabags AfterWet'!A107</f>
        <v>G492</v>
      </c>
      <c r="M108" t="str">
        <f>'Both teabags AfterWet'!A525</f>
        <v>R262</v>
      </c>
      <c r="N108" t="b">
        <f t="shared" si="28"/>
        <v>0</v>
      </c>
      <c r="O108" t="b">
        <f t="shared" si="29"/>
        <v>0</v>
      </c>
      <c r="P108">
        <f>IFERROR('Both teabags AfterWet'!B107,"")</f>
        <v>23</v>
      </c>
      <c r="Q108">
        <f>'Both teabags AfterWet'!B525</f>
        <v>177</v>
      </c>
      <c r="S108" s="401" t="b">
        <f t="shared" si="30"/>
        <v>0</v>
      </c>
      <c r="T108" s="401" t="b">
        <f t="shared" si="31"/>
        <v>0</v>
      </c>
      <c r="V108" t="str">
        <f>'Both teabags AfterDry'!A107</f>
        <v>G231</v>
      </c>
      <c r="W108" t="str">
        <f>'Both teabags AfterDry'!A444</f>
        <v>R367</v>
      </c>
      <c r="X108" s="113" t="b">
        <f t="shared" si="32"/>
        <v>1</v>
      </c>
      <c r="Y108" t="b">
        <f t="shared" si="33"/>
        <v>0</v>
      </c>
      <c r="AA108" t="str">
        <f>'Green_rooibos initial weight'!A109</f>
        <v>G105</v>
      </c>
      <c r="AB108" t="str">
        <f>'Green_rooibos initial weight'!A1013</f>
        <v>R105</v>
      </c>
      <c r="AC108" t="b">
        <f t="shared" si="34"/>
        <v>0</v>
      </c>
      <c r="AD108" t="b">
        <f t="shared" si="35"/>
        <v>0</v>
      </c>
      <c r="AG108" t="str">
        <f>'WetLitterbags placem_collection'!K107</f>
        <v>G729</v>
      </c>
      <c r="AH108" t="str">
        <f>'WetLitterbags placem_collection'!M107</f>
        <v>R548</v>
      </c>
      <c r="AI108" t="b">
        <f t="shared" si="36"/>
        <v>0</v>
      </c>
      <c r="AJ108" t="b">
        <f t="shared" si="37"/>
        <v>0</v>
      </c>
      <c r="AK108">
        <f>'WetLitterbags placem_collection'!A107</f>
        <v>105</v>
      </c>
      <c r="AL108">
        <f>'WetLitterbags placem_collection'!A107</f>
        <v>105</v>
      </c>
      <c r="AN108">
        <f>IF('Dry_Litterbag Placem_Collection'!J107=0,"",'Dry_Litterbag Placem_Collection'!J107)</f>
        <v>6</v>
      </c>
      <c r="AO108">
        <f>IF('Dry_Litterbag Placem_Collection'!K107=0,"",'Dry_Litterbag Placem_Collection'!K107)</f>
        <v>824</v>
      </c>
      <c r="AP108" t="b">
        <f t="shared" si="38"/>
        <v>0</v>
      </c>
      <c r="AQ108" t="b">
        <f t="shared" si="39"/>
        <v>0</v>
      </c>
      <c r="AT108" t="str">
        <f>'Ashed teabags dry'!A106</f>
        <v>G231</v>
      </c>
      <c r="AU108" t="str">
        <f>'Ashed teabags dry'!A443</f>
        <v>R366</v>
      </c>
      <c r="AV108" t="b">
        <f t="shared" si="40"/>
        <v>0</v>
      </c>
      <c r="AW108" t="b">
        <f t="shared" si="41"/>
        <v>0</v>
      </c>
      <c r="AZ108" s="401" t="b">
        <f t="shared" si="42"/>
        <v>0</v>
      </c>
      <c r="BA108" s="401" t="b">
        <f t="shared" si="43"/>
        <v>0</v>
      </c>
      <c r="BC108" t="str">
        <f>'Ashed teabags wet'!A106</f>
        <v>G500</v>
      </c>
      <c r="BD108" t="str">
        <f>'Ashed teabags wet'!A523</f>
        <v>R274</v>
      </c>
      <c r="BE108" t="b">
        <f t="shared" si="44"/>
        <v>0</v>
      </c>
      <c r="BF108" t="b">
        <f t="shared" si="45"/>
        <v>0</v>
      </c>
      <c r="BG108">
        <f>IFERROR('Ashed teabags wet'!C106,"")</f>
        <v>30</v>
      </c>
      <c r="BH108">
        <f>IFERROR('Ashed teabags wet'!C523,"")</f>
        <v>18</v>
      </c>
      <c r="BI108" t="str">
        <f>'Ashed teabags wet'!AB106</f>
        <v/>
      </c>
      <c r="BJ108">
        <f>'Ashed teabags wet'!AC106</f>
        <v>29</v>
      </c>
      <c r="BK108" t="str">
        <f>'Ashed teabags wet'!AD523</f>
        <v/>
      </c>
      <c r="BL108">
        <f>'Ashed teabags wet'!AE523</f>
        <v>17</v>
      </c>
      <c r="BN108" t="str">
        <f t="shared" si="46"/>
        <v>G499</v>
      </c>
      <c r="BO108" t="b">
        <f t="shared" si="47"/>
        <v>1</v>
      </c>
    </row>
    <row r="109" spans="2:68" ht="12" customHeight="1">
      <c r="B109" t="str">
        <f>TBIDry!H181</f>
        <v>G20</v>
      </c>
      <c r="C109" t="str">
        <f>TBIDry!I181</f>
        <v>R790</v>
      </c>
      <c r="D109" t="b">
        <f t="shared" si="24"/>
        <v>0</v>
      </c>
      <c r="E109" t="b">
        <f t="shared" si="25"/>
        <v>0</v>
      </c>
      <c r="G109" t="str">
        <f>TBIWet!H181</f>
        <v>G837</v>
      </c>
      <c r="H109" t="str">
        <f>TBIWet!I181</f>
        <v>R590</v>
      </c>
      <c r="I109" t="b">
        <f t="shared" si="26"/>
        <v>0</v>
      </c>
      <c r="J109" t="b">
        <f t="shared" si="27"/>
        <v>0</v>
      </c>
      <c r="L109" t="str">
        <f>'Both teabags AfterWet'!A108</f>
        <v>G494</v>
      </c>
      <c r="M109" t="str">
        <f>'Both teabags AfterWet'!A526</f>
        <v>R263</v>
      </c>
      <c r="N109" t="b">
        <f t="shared" si="28"/>
        <v>0</v>
      </c>
      <c r="O109" t="b">
        <f t="shared" si="29"/>
        <v>0</v>
      </c>
      <c r="P109">
        <f>IFERROR('Both teabags AfterWet'!B108,"")</f>
        <v>83</v>
      </c>
      <c r="Q109">
        <f>'Both teabags AfterWet'!B526</f>
        <v>192</v>
      </c>
      <c r="S109" s="401" t="b">
        <f t="shared" si="30"/>
        <v>0</v>
      </c>
      <c r="T109" s="401" t="b">
        <f t="shared" si="31"/>
        <v>0</v>
      </c>
      <c r="V109" t="str">
        <f>'Both teabags AfterDry'!A108</f>
        <v>G231</v>
      </c>
      <c r="W109" t="str">
        <f>'Both teabags AfterDry'!A445</f>
        <v>R373</v>
      </c>
      <c r="X109" s="113" t="b">
        <f t="shared" si="32"/>
        <v>1</v>
      </c>
      <c r="Y109" t="b">
        <f t="shared" si="33"/>
        <v>0</v>
      </c>
      <c r="AA109" t="str">
        <f>'Green_rooibos initial weight'!A110</f>
        <v>G106</v>
      </c>
      <c r="AB109" t="str">
        <f>'Green_rooibos initial weight'!A1014</f>
        <v>R106</v>
      </c>
      <c r="AC109" t="b">
        <f t="shared" si="34"/>
        <v>0</v>
      </c>
      <c r="AD109" t="b">
        <f t="shared" si="35"/>
        <v>0</v>
      </c>
      <c r="AG109" t="str">
        <f>'WetLitterbags placem_collection'!K108</f>
        <v>G837</v>
      </c>
      <c r="AH109" t="str">
        <f>'WetLitterbags placem_collection'!M108</f>
        <v>R590</v>
      </c>
      <c r="AI109" t="b">
        <f t="shared" si="36"/>
        <v>0</v>
      </c>
      <c r="AJ109" t="b">
        <f t="shared" si="37"/>
        <v>0</v>
      </c>
      <c r="AK109">
        <f>'WetLitterbags placem_collection'!A108</f>
        <v>106</v>
      </c>
      <c r="AL109">
        <f>'WetLitterbags placem_collection'!A108</f>
        <v>106</v>
      </c>
      <c r="AN109">
        <f>IF('Dry_Litterbag Placem_Collection'!J108=0,"",'Dry_Litterbag Placem_Collection'!J108)</f>
        <v>20</v>
      </c>
      <c r="AO109">
        <f>IF('Dry_Litterbag Placem_Collection'!K108=0,"",'Dry_Litterbag Placem_Collection'!K108)</f>
        <v>790</v>
      </c>
      <c r="AP109" t="b">
        <f t="shared" si="38"/>
        <v>0</v>
      </c>
      <c r="AQ109" t="b">
        <f t="shared" si="39"/>
        <v>0</v>
      </c>
      <c r="AT109" t="str">
        <f>'Ashed teabags dry'!A107</f>
        <v>G232</v>
      </c>
      <c r="AU109" s="113" t="str">
        <f>'Ashed teabags dry'!A444</f>
        <v>R367</v>
      </c>
      <c r="AV109" t="b">
        <f t="shared" si="40"/>
        <v>0</v>
      </c>
      <c r="AW109" t="b">
        <f t="shared" si="41"/>
        <v>0</v>
      </c>
      <c r="AZ109" s="401" t="b">
        <f t="shared" si="42"/>
        <v>0</v>
      </c>
      <c r="BA109" s="113" t="b">
        <f t="shared" si="43"/>
        <v>1</v>
      </c>
      <c r="BC109" t="str">
        <f>'Ashed teabags wet'!A107</f>
        <v>G502</v>
      </c>
      <c r="BD109" t="str">
        <f>'Ashed teabags wet'!A524</f>
        <v>R279</v>
      </c>
      <c r="BE109" t="b">
        <f t="shared" si="44"/>
        <v>0</v>
      </c>
      <c r="BF109" t="b">
        <f t="shared" si="45"/>
        <v>0</v>
      </c>
      <c r="BG109">
        <f>IFERROR('Ashed teabags wet'!C107,"")</f>
        <v>28</v>
      </c>
      <c r="BH109">
        <f>IFERROR('Ashed teabags wet'!C524,"")</f>
        <v>25</v>
      </c>
      <c r="BI109" t="str">
        <f>'Ashed teabags wet'!AB107</f>
        <v/>
      </c>
      <c r="BJ109">
        <f>'Ashed teabags wet'!AC107</f>
        <v>27</v>
      </c>
      <c r="BK109">
        <f>'Ashed teabags wet'!AD524</f>
        <v>24</v>
      </c>
      <c r="BL109" t="str">
        <f>'Ashed teabags wet'!AE524</f>
        <v/>
      </c>
      <c r="BN109" t="str">
        <f t="shared" si="46"/>
        <v>G500</v>
      </c>
      <c r="BO109" t="b">
        <f t="shared" si="47"/>
        <v>1</v>
      </c>
    </row>
    <row r="110" spans="2:68" ht="12" customHeight="1">
      <c r="B110" t="str">
        <f>TBIDry!H182</f>
        <v>G129</v>
      </c>
      <c r="C110" t="str">
        <f>TBIDry!I182</f>
        <v>R809</v>
      </c>
      <c r="D110" t="b">
        <f t="shared" si="24"/>
        <v>0</v>
      </c>
      <c r="E110" t="b">
        <f t="shared" si="25"/>
        <v>0</v>
      </c>
      <c r="G110" t="str">
        <f>TBIWet!H182</f>
        <v>G688</v>
      </c>
      <c r="H110" t="str">
        <f>TBIWet!I182</f>
        <v>R574</v>
      </c>
      <c r="I110" t="b">
        <f t="shared" si="26"/>
        <v>0</v>
      </c>
      <c r="J110" t="b">
        <f t="shared" si="27"/>
        <v>0</v>
      </c>
      <c r="L110" t="str">
        <f>'Both teabags AfterWet'!A109</f>
        <v>G496</v>
      </c>
      <c r="M110" t="str">
        <f>'Both teabags AfterWet'!A527</f>
        <v>R264</v>
      </c>
      <c r="N110" t="b">
        <f t="shared" si="28"/>
        <v>0</v>
      </c>
      <c r="O110" t="b">
        <f t="shared" si="29"/>
        <v>0</v>
      </c>
      <c r="P110">
        <f>IFERROR('Both teabags AfterWet'!B109,"")</f>
        <v>169</v>
      </c>
      <c r="Q110">
        <f>'Both teabags AfterWet'!B527</f>
        <v>64</v>
      </c>
      <c r="S110" s="401" t="b">
        <f t="shared" si="30"/>
        <v>0</v>
      </c>
      <c r="T110" s="401" t="b">
        <f t="shared" si="31"/>
        <v>0</v>
      </c>
      <c r="V110" t="str">
        <f>'Both teabags AfterDry'!A109</f>
        <v>G232</v>
      </c>
      <c r="W110" t="str">
        <f>'Both teabags AfterDry'!A446</f>
        <v>R377</v>
      </c>
      <c r="X110" t="b">
        <f t="shared" si="32"/>
        <v>0</v>
      </c>
      <c r="Y110" t="b">
        <f t="shared" si="33"/>
        <v>0</v>
      </c>
      <c r="AA110" t="str">
        <f>'Green_rooibos initial weight'!A111</f>
        <v>G107</v>
      </c>
      <c r="AB110" t="str">
        <f>'Green_rooibos initial weight'!A1015</f>
        <v>R107</v>
      </c>
      <c r="AC110" t="b">
        <f t="shared" si="34"/>
        <v>0</v>
      </c>
      <c r="AD110" t="b">
        <f t="shared" si="35"/>
        <v>0</v>
      </c>
      <c r="AG110" t="str">
        <f>'WetLitterbags placem_collection'!K109</f>
        <v>G688</v>
      </c>
      <c r="AH110" t="str">
        <f>'WetLitterbags placem_collection'!M109</f>
        <v>R574</v>
      </c>
      <c r="AI110" t="b">
        <f t="shared" si="36"/>
        <v>0</v>
      </c>
      <c r="AJ110" t="b">
        <f t="shared" si="37"/>
        <v>0</v>
      </c>
      <c r="AK110">
        <f>'WetLitterbags placem_collection'!A109</f>
        <v>107</v>
      </c>
      <c r="AL110">
        <f>'WetLitterbags placem_collection'!A109</f>
        <v>107</v>
      </c>
      <c r="AN110">
        <f>IF('Dry_Litterbag Placem_Collection'!J109=0,"",'Dry_Litterbag Placem_Collection'!J109)</f>
        <v>129</v>
      </c>
      <c r="AO110">
        <f>IF('Dry_Litterbag Placem_Collection'!K109=0,"",'Dry_Litterbag Placem_Collection'!K109)</f>
        <v>809</v>
      </c>
      <c r="AP110" t="b">
        <f t="shared" si="38"/>
        <v>0</v>
      </c>
      <c r="AQ110" t="b">
        <f t="shared" si="39"/>
        <v>0</v>
      </c>
      <c r="AT110" t="str">
        <f>'Ashed teabags dry'!A108</f>
        <v>G233</v>
      </c>
      <c r="AU110" t="str">
        <f>'Ashed teabags dry'!A445</f>
        <v>R373</v>
      </c>
      <c r="AV110" t="b">
        <f t="shared" si="40"/>
        <v>0</v>
      </c>
      <c r="AW110" t="b">
        <f t="shared" si="41"/>
        <v>0</v>
      </c>
      <c r="AZ110" s="401" t="b">
        <f t="shared" si="42"/>
        <v>0</v>
      </c>
      <c r="BA110" s="401" t="b">
        <f t="shared" si="43"/>
        <v>0</v>
      </c>
      <c r="BC110" t="str">
        <f>'Ashed teabags wet'!A108</f>
        <v>G503</v>
      </c>
      <c r="BD110" t="str">
        <f>'Ashed teabags wet'!A525</f>
        <v>R28</v>
      </c>
      <c r="BE110" t="b">
        <f t="shared" si="44"/>
        <v>0</v>
      </c>
      <c r="BF110" t="b">
        <f t="shared" si="45"/>
        <v>0</v>
      </c>
      <c r="BG110">
        <f>IFERROR('Ashed teabags wet'!C108,"")</f>
        <v>14</v>
      </c>
      <c r="BH110">
        <f>IFERROR('Ashed teabags wet'!C525,"")</f>
        <v>49</v>
      </c>
      <c r="BI110" t="str">
        <f>'Ashed teabags wet'!AB108</f>
        <v/>
      </c>
      <c r="BJ110">
        <f>'Ashed teabags wet'!AC108</f>
        <v>13</v>
      </c>
      <c r="BK110">
        <f>'Ashed teabags wet'!AD525</f>
        <v>48</v>
      </c>
      <c r="BL110" t="str">
        <f>'Ashed teabags wet'!AE525</f>
        <v/>
      </c>
      <c r="BN110" t="str">
        <f t="shared" si="46"/>
        <v>G502</v>
      </c>
      <c r="BO110" t="b">
        <f t="shared" si="47"/>
        <v>1</v>
      </c>
    </row>
    <row r="111" spans="2:68" ht="12" customHeight="1">
      <c r="B111" t="str">
        <f>TBIDry!H183</f>
        <v>G258</v>
      </c>
      <c r="C111" t="str">
        <f>TBIDry!I183</f>
        <v>R777</v>
      </c>
      <c r="D111" t="b">
        <f t="shared" si="24"/>
        <v>0</v>
      </c>
      <c r="E111" t="b">
        <f t="shared" si="25"/>
        <v>0</v>
      </c>
      <c r="G111" t="str">
        <f>TBIWet!H183</f>
        <v>G883</v>
      </c>
      <c r="H111" t="str">
        <f>TBIWet!I183</f>
        <v>R8</v>
      </c>
      <c r="I111" t="b">
        <f t="shared" si="26"/>
        <v>0</v>
      </c>
      <c r="J111" t="b">
        <f t="shared" si="27"/>
        <v>0</v>
      </c>
      <c r="L111" t="str">
        <f>'Both teabags AfterWet'!A110</f>
        <v>G497</v>
      </c>
      <c r="M111" t="str">
        <f>'Both teabags AfterWet'!A528</f>
        <v>R265</v>
      </c>
      <c r="N111" t="b">
        <f t="shared" si="28"/>
        <v>0</v>
      </c>
      <c r="O111" t="b">
        <f t="shared" si="29"/>
        <v>0</v>
      </c>
      <c r="P111" t="str">
        <f>IFERROR('Both teabags AfterWet'!B110,"")</f>
        <v>n.a</v>
      </c>
      <c r="Q111">
        <f>'Both teabags AfterWet'!B528</f>
        <v>205</v>
      </c>
      <c r="S111" s="401" t="b">
        <f t="shared" si="30"/>
        <v>0</v>
      </c>
      <c r="T111" s="401" t="b">
        <f t="shared" si="31"/>
        <v>0</v>
      </c>
      <c r="V111" t="str">
        <f>'Both teabags AfterDry'!A110</f>
        <v>G233</v>
      </c>
      <c r="W111" t="str">
        <f>'Both teabags AfterDry'!A447</f>
        <v>R379</v>
      </c>
      <c r="X111" t="b">
        <f t="shared" si="32"/>
        <v>0</v>
      </c>
      <c r="Y111" t="b">
        <f t="shared" si="33"/>
        <v>0</v>
      </c>
      <c r="AA111" t="str">
        <f>'Green_rooibos initial weight'!A112</f>
        <v>G108</v>
      </c>
      <c r="AB111" t="str">
        <f>'Green_rooibos initial weight'!A1016</f>
        <v>R108</v>
      </c>
      <c r="AC111" t="b">
        <f t="shared" si="34"/>
        <v>0</v>
      </c>
      <c r="AD111" t="b">
        <f t="shared" si="35"/>
        <v>0</v>
      </c>
      <c r="AG111" t="str">
        <f>'WetLitterbags placem_collection'!K110</f>
        <v>G883</v>
      </c>
      <c r="AH111" t="str">
        <f>'WetLitterbags placem_collection'!M110</f>
        <v>R8</v>
      </c>
      <c r="AI111" t="b">
        <f t="shared" si="36"/>
        <v>0</v>
      </c>
      <c r="AJ111" t="b">
        <f t="shared" si="37"/>
        <v>0</v>
      </c>
      <c r="AK111">
        <f>'WetLitterbags placem_collection'!A110</f>
        <v>108</v>
      </c>
      <c r="AL111">
        <f>'WetLitterbags placem_collection'!A110</f>
        <v>108</v>
      </c>
      <c r="AN111">
        <f>IF('Dry_Litterbag Placem_Collection'!J110=0,"",'Dry_Litterbag Placem_Collection'!J110)</f>
        <v>258</v>
      </c>
      <c r="AO111">
        <f>IF('Dry_Litterbag Placem_Collection'!K110=0,"",'Dry_Litterbag Placem_Collection'!K110)</f>
        <v>777</v>
      </c>
      <c r="AP111" t="b">
        <f t="shared" si="38"/>
        <v>0</v>
      </c>
      <c r="AQ111" t="b">
        <f t="shared" si="39"/>
        <v>0</v>
      </c>
      <c r="AT111" t="str">
        <f>'Ashed teabags dry'!A109</f>
        <v>G234</v>
      </c>
      <c r="AU111" t="str">
        <f>'Ashed teabags dry'!A446</f>
        <v>R377</v>
      </c>
      <c r="AV111" t="b">
        <f t="shared" si="40"/>
        <v>0</v>
      </c>
      <c r="AW111" t="b">
        <f t="shared" si="41"/>
        <v>0</v>
      </c>
      <c r="AZ111" s="401" t="b">
        <f t="shared" si="42"/>
        <v>0</v>
      </c>
      <c r="BA111" s="401" t="b">
        <f t="shared" si="43"/>
        <v>0</v>
      </c>
      <c r="BC111" t="str">
        <f>'Ashed teabags wet'!A109</f>
        <v>G504</v>
      </c>
      <c r="BD111" t="str">
        <f>'Ashed teabags wet'!A526</f>
        <v>R282</v>
      </c>
      <c r="BE111" t="b">
        <f t="shared" si="44"/>
        <v>0</v>
      </c>
      <c r="BF111" t="b">
        <f t="shared" si="45"/>
        <v>0</v>
      </c>
      <c r="BG111">
        <f>IFERROR('Ashed teabags wet'!C109,"")</f>
        <v>171</v>
      </c>
      <c r="BH111">
        <f>IFERROR('Ashed teabags wet'!C526,"")</f>
        <v>14</v>
      </c>
      <c r="BI111" t="str">
        <f>'Ashed teabags wet'!AB109</f>
        <v/>
      </c>
      <c r="BJ111">
        <f>'Ashed teabags wet'!AC109</f>
        <v>170</v>
      </c>
      <c r="BK111" t="str">
        <f>'Ashed teabags wet'!AD526</f>
        <v/>
      </c>
      <c r="BL111">
        <f>'Ashed teabags wet'!AE526</f>
        <v>13</v>
      </c>
      <c r="BN111" t="str">
        <f t="shared" si="46"/>
        <v>G503</v>
      </c>
      <c r="BO111" t="b">
        <f t="shared" si="47"/>
        <v>1</v>
      </c>
    </row>
    <row r="112" spans="2:68" ht="12" customHeight="1">
      <c r="B112" t="str">
        <f>TBIDry!H184</f>
        <v>G294</v>
      </c>
      <c r="C112" t="str">
        <f>TBIDry!I184</f>
        <v>R804</v>
      </c>
      <c r="D112" t="b">
        <f t="shared" si="24"/>
        <v>0</v>
      </c>
      <c r="E112" t="b">
        <f t="shared" si="25"/>
        <v>0</v>
      </c>
      <c r="G112" t="str">
        <f>TBIWet!H184</f>
        <v>G704</v>
      </c>
      <c r="H112" t="str">
        <f>TBIWet!I184</f>
        <v>R552</v>
      </c>
      <c r="I112" t="b">
        <f t="shared" si="26"/>
        <v>0</v>
      </c>
      <c r="J112" t="b">
        <f t="shared" si="27"/>
        <v>0</v>
      </c>
      <c r="L112" t="str">
        <f>'Both teabags AfterWet'!A111</f>
        <v>G498</v>
      </c>
      <c r="M112" t="str">
        <f>'Both teabags AfterWet'!A529</f>
        <v>R266</v>
      </c>
      <c r="N112" t="b">
        <f t="shared" si="28"/>
        <v>0</v>
      </c>
      <c r="O112" t="b">
        <f t="shared" si="29"/>
        <v>0</v>
      </c>
      <c r="P112" t="str">
        <f>IFERROR('Both teabags AfterWet'!B111,"")</f>
        <v>n.a</v>
      </c>
      <c r="Q112">
        <f>'Both teabags AfterWet'!B529</f>
        <v>70</v>
      </c>
      <c r="S112" s="401" t="b">
        <f t="shared" si="30"/>
        <v>0</v>
      </c>
      <c r="T112" s="401" t="b">
        <f t="shared" si="31"/>
        <v>0</v>
      </c>
      <c r="V112" t="str">
        <f>'Both teabags AfterDry'!A111</f>
        <v>G234</v>
      </c>
      <c r="W112" t="str">
        <f>'Both teabags AfterDry'!A448</f>
        <v>R388</v>
      </c>
      <c r="X112" t="b">
        <f t="shared" si="32"/>
        <v>0</v>
      </c>
      <c r="Y112" t="b">
        <f t="shared" si="33"/>
        <v>0</v>
      </c>
      <c r="AA112" t="str">
        <f>'Green_rooibos initial weight'!A113</f>
        <v>G109</v>
      </c>
      <c r="AB112" t="str">
        <f>'Green_rooibos initial weight'!A1017</f>
        <v>R109</v>
      </c>
      <c r="AC112" t="b">
        <f t="shared" si="34"/>
        <v>0</v>
      </c>
      <c r="AD112" t="b">
        <f t="shared" si="35"/>
        <v>0</v>
      </c>
      <c r="AG112" t="str">
        <f>'WetLitterbags placem_collection'!K111</f>
        <v>G704</v>
      </c>
      <c r="AH112" t="str">
        <f>'WetLitterbags placem_collection'!M111</f>
        <v>R552</v>
      </c>
      <c r="AI112" t="b">
        <f t="shared" si="36"/>
        <v>0</v>
      </c>
      <c r="AJ112" t="b">
        <f t="shared" si="37"/>
        <v>0</v>
      </c>
      <c r="AK112">
        <f>'WetLitterbags placem_collection'!A111</f>
        <v>109</v>
      </c>
      <c r="AL112">
        <f>'WetLitterbags placem_collection'!A111</f>
        <v>109</v>
      </c>
      <c r="AN112">
        <f>IF('Dry_Litterbag Placem_Collection'!J111=0,"",'Dry_Litterbag Placem_Collection'!J111)</f>
        <v>294</v>
      </c>
      <c r="AO112">
        <f>IF('Dry_Litterbag Placem_Collection'!K111=0,"",'Dry_Litterbag Placem_Collection'!K111)</f>
        <v>804</v>
      </c>
      <c r="AP112" t="b">
        <f t="shared" si="38"/>
        <v>0</v>
      </c>
      <c r="AQ112" t="b">
        <f t="shared" si="39"/>
        <v>0</v>
      </c>
      <c r="AT112" t="str">
        <f>'Ashed teabags dry'!A110</f>
        <v>G235</v>
      </c>
      <c r="AU112" t="str">
        <f>'Ashed teabags dry'!A447</f>
        <v>R379</v>
      </c>
      <c r="AV112" t="b">
        <f t="shared" si="40"/>
        <v>0</v>
      </c>
      <c r="AW112" t="b">
        <f t="shared" si="41"/>
        <v>0</v>
      </c>
      <c r="AZ112" s="401" t="b">
        <f t="shared" si="42"/>
        <v>0</v>
      </c>
      <c r="BA112" s="401" t="b">
        <f t="shared" si="43"/>
        <v>0</v>
      </c>
      <c r="BC112" t="str">
        <f>'Ashed teabags wet'!A110</f>
        <v>G505</v>
      </c>
      <c r="BD112" t="str">
        <f>'Ashed teabags wet'!A527</f>
        <v>R285</v>
      </c>
      <c r="BE112" t="b">
        <f t="shared" si="44"/>
        <v>0</v>
      </c>
      <c r="BF112" t="b">
        <f t="shared" si="45"/>
        <v>0</v>
      </c>
      <c r="BG112">
        <f>IFERROR('Ashed teabags wet'!C110,"")</f>
        <v>20</v>
      </c>
      <c r="BH112">
        <f>IFERROR('Ashed teabags wet'!C527,"")</f>
        <v>162</v>
      </c>
      <c r="BI112" t="str">
        <f>'Ashed teabags wet'!AB110</f>
        <v/>
      </c>
      <c r="BJ112">
        <f>'Ashed teabags wet'!AC110</f>
        <v>19</v>
      </c>
      <c r="BK112" t="str">
        <f>'Ashed teabags wet'!AD527</f>
        <v/>
      </c>
      <c r="BL112">
        <f>'Ashed teabags wet'!AE527</f>
        <v>161</v>
      </c>
      <c r="BN112" t="str">
        <f t="shared" si="46"/>
        <v>G504</v>
      </c>
      <c r="BO112" t="b">
        <f t="shared" si="47"/>
        <v>1</v>
      </c>
    </row>
    <row r="113" spans="2:67" ht="12" customHeight="1">
      <c r="B113" t="str">
        <f>TBIDry!H185</f>
        <v>G350</v>
      </c>
      <c r="C113" t="str">
        <f>TBIDry!I185</f>
        <v>R786</v>
      </c>
      <c r="D113" t="b">
        <f t="shared" si="24"/>
        <v>0</v>
      </c>
      <c r="E113" t="b">
        <f t="shared" si="25"/>
        <v>0</v>
      </c>
      <c r="G113" t="str">
        <f>TBIWet!H185</f>
        <v>G742</v>
      </c>
      <c r="H113" t="str">
        <f>TBIWet!I185</f>
        <v>R462</v>
      </c>
      <c r="I113" t="b">
        <f t="shared" si="26"/>
        <v>0</v>
      </c>
      <c r="J113" t="b">
        <f t="shared" si="27"/>
        <v>0</v>
      </c>
      <c r="L113" t="str">
        <f>'Both teabags AfterWet'!A112</f>
        <v>G500</v>
      </c>
      <c r="M113" t="str">
        <f>'Both teabags AfterWet'!A530</f>
        <v>R268</v>
      </c>
      <c r="N113" t="b">
        <f t="shared" si="28"/>
        <v>0</v>
      </c>
      <c r="O113" t="b">
        <f t="shared" si="29"/>
        <v>0</v>
      </c>
      <c r="P113" t="str">
        <f>IFERROR('Both teabags AfterWet'!B112,"")</f>
        <v>n.a</v>
      </c>
      <c r="Q113">
        <f>'Both teabags AfterWet'!B530</f>
        <v>180</v>
      </c>
      <c r="S113" s="401" t="b">
        <f t="shared" si="30"/>
        <v>0</v>
      </c>
      <c r="T113" s="401" t="b">
        <f t="shared" si="31"/>
        <v>0</v>
      </c>
      <c r="V113" t="str">
        <f>'Both teabags AfterDry'!A112</f>
        <v>G235</v>
      </c>
      <c r="W113" t="str">
        <f>'Both teabags AfterDry'!A449</f>
        <v>R389</v>
      </c>
      <c r="X113" t="b">
        <f t="shared" si="32"/>
        <v>0</v>
      </c>
      <c r="Y113" t="b">
        <f t="shared" si="33"/>
        <v>0</v>
      </c>
      <c r="AA113" t="str">
        <f>'Green_rooibos initial weight'!A114</f>
        <v>G110</v>
      </c>
      <c r="AB113" t="str">
        <f>'Green_rooibos initial weight'!A1018</f>
        <v>R110</v>
      </c>
      <c r="AC113" t="b">
        <f t="shared" si="34"/>
        <v>0</v>
      </c>
      <c r="AD113" t="b">
        <f t="shared" si="35"/>
        <v>0</v>
      </c>
      <c r="AG113" t="str">
        <f>'WetLitterbags placem_collection'!K112</f>
        <v>G742</v>
      </c>
      <c r="AH113" t="str">
        <f>'WetLitterbags placem_collection'!M112</f>
        <v>R462</v>
      </c>
      <c r="AI113" t="b">
        <f t="shared" si="36"/>
        <v>0</v>
      </c>
      <c r="AJ113" t="b">
        <f t="shared" si="37"/>
        <v>0</v>
      </c>
      <c r="AK113">
        <f>'WetLitterbags placem_collection'!A112</f>
        <v>110</v>
      </c>
      <c r="AL113">
        <f>'WetLitterbags placem_collection'!A112</f>
        <v>110</v>
      </c>
      <c r="AN113">
        <f>IF('Dry_Litterbag Placem_Collection'!J112=0,"",'Dry_Litterbag Placem_Collection'!J112)</f>
        <v>350</v>
      </c>
      <c r="AO113">
        <f>IF('Dry_Litterbag Placem_Collection'!K112=0,"",'Dry_Litterbag Placem_Collection'!K112)</f>
        <v>786</v>
      </c>
      <c r="AP113" t="b">
        <f t="shared" si="38"/>
        <v>0</v>
      </c>
      <c r="AQ113" t="b">
        <f t="shared" si="39"/>
        <v>0</v>
      </c>
      <c r="AT113" t="str">
        <f>'Ashed teabags dry'!A111</f>
        <v>G236</v>
      </c>
      <c r="AU113" t="str">
        <f>'Ashed teabags dry'!A448</f>
        <v>R388</v>
      </c>
      <c r="AV113" t="b">
        <f t="shared" si="40"/>
        <v>0</v>
      </c>
      <c r="AW113" t="b">
        <f t="shared" si="41"/>
        <v>0</v>
      </c>
      <c r="AZ113" s="401" t="b">
        <f t="shared" si="42"/>
        <v>0</v>
      </c>
      <c r="BA113" s="401" t="b">
        <f t="shared" si="43"/>
        <v>0</v>
      </c>
      <c r="BC113" t="str">
        <f>'Ashed teabags wet'!A111</f>
        <v>G506</v>
      </c>
      <c r="BD113" t="str">
        <f>'Ashed teabags wet'!A528</f>
        <v>R287</v>
      </c>
      <c r="BE113" t="b">
        <f t="shared" si="44"/>
        <v>0</v>
      </c>
      <c r="BF113" t="b">
        <f t="shared" si="45"/>
        <v>0</v>
      </c>
      <c r="BG113">
        <f>IFERROR('Ashed teabags wet'!C111,"")</f>
        <v>26</v>
      </c>
      <c r="BH113">
        <f>IFERROR('Ashed teabags wet'!C528,"")</f>
        <v>166</v>
      </c>
      <c r="BI113" t="str">
        <f>'Ashed teabags wet'!AB111</f>
        <v/>
      </c>
      <c r="BJ113">
        <f>'Ashed teabags wet'!AC111</f>
        <v>25</v>
      </c>
      <c r="BK113">
        <f>'Ashed teabags wet'!AD528</f>
        <v>165</v>
      </c>
      <c r="BL113" t="str">
        <f>'Ashed teabags wet'!AE528</f>
        <v/>
      </c>
      <c r="BN113" t="str">
        <f t="shared" si="46"/>
        <v>G505</v>
      </c>
      <c r="BO113" t="b">
        <f t="shared" si="47"/>
        <v>1</v>
      </c>
    </row>
    <row r="114" spans="2:67" ht="12" customHeight="1">
      <c r="B114" t="str">
        <f>TBIDry!H186</f>
        <v>G274</v>
      </c>
      <c r="C114" t="str">
        <f>TBIDry!I186</f>
        <v>R835</v>
      </c>
      <c r="D114" t="b">
        <f t="shared" si="24"/>
        <v>0</v>
      </c>
      <c r="E114" t="b">
        <f t="shared" si="25"/>
        <v>0</v>
      </c>
      <c r="G114" t="str">
        <f>TBIWet!H186</f>
        <v>G831</v>
      </c>
      <c r="H114" t="str">
        <f>TBIWet!I186</f>
        <v>R505</v>
      </c>
      <c r="I114" t="b">
        <f t="shared" si="26"/>
        <v>0</v>
      </c>
      <c r="J114" t="b">
        <f t="shared" si="27"/>
        <v>0</v>
      </c>
      <c r="L114" t="str">
        <f>'Both teabags AfterWet'!A113</f>
        <v>G502</v>
      </c>
      <c r="M114" t="str">
        <f>'Both teabags AfterWet'!A531</f>
        <v>R27</v>
      </c>
      <c r="N114" t="b">
        <f t="shared" si="28"/>
        <v>0</v>
      </c>
      <c r="O114" t="b">
        <f t="shared" si="29"/>
        <v>0</v>
      </c>
      <c r="P114" t="str">
        <f>IFERROR('Both teabags AfterWet'!B113,"")</f>
        <v>n.a</v>
      </c>
      <c r="Q114">
        <f>'Both teabags AfterWet'!B531</f>
        <v>145</v>
      </c>
      <c r="S114" s="401" t="b">
        <f t="shared" si="30"/>
        <v>0</v>
      </c>
      <c r="T114" s="401" t="b">
        <f t="shared" si="31"/>
        <v>0</v>
      </c>
      <c r="V114" t="str">
        <f>'Both teabags AfterDry'!A113</f>
        <v>G236</v>
      </c>
      <c r="W114" t="str">
        <f>'Both teabags AfterDry'!A450</f>
        <v>R394</v>
      </c>
      <c r="X114" t="b">
        <f t="shared" si="32"/>
        <v>0</v>
      </c>
      <c r="Y114" t="b">
        <f t="shared" si="33"/>
        <v>0</v>
      </c>
      <c r="AA114" t="str">
        <f>'Green_rooibos initial weight'!A115</f>
        <v>G111</v>
      </c>
      <c r="AB114" t="str">
        <f>'Green_rooibos initial weight'!A1019</f>
        <v>R111</v>
      </c>
      <c r="AC114" t="b">
        <f t="shared" si="34"/>
        <v>0</v>
      </c>
      <c r="AD114" t="b">
        <f t="shared" si="35"/>
        <v>0</v>
      </c>
      <c r="AG114" t="str">
        <f>'WetLitterbags placem_collection'!K113</f>
        <v>G831</v>
      </c>
      <c r="AH114" t="str">
        <f>'WetLitterbags placem_collection'!M113</f>
        <v>R505</v>
      </c>
      <c r="AI114" t="b">
        <f t="shared" si="36"/>
        <v>0</v>
      </c>
      <c r="AJ114" t="b">
        <f t="shared" si="37"/>
        <v>0</v>
      </c>
      <c r="AK114">
        <f>'WetLitterbags placem_collection'!A113</f>
        <v>111</v>
      </c>
      <c r="AL114">
        <f>'WetLitterbags placem_collection'!A113</f>
        <v>111</v>
      </c>
      <c r="AN114">
        <f>IF('Dry_Litterbag Placem_Collection'!J113=0,"",'Dry_Litterbag Placem_Collection'!J113)</f>
        <v>274</v>
      </c>
      <c r="AO114">
        <f>IF('Dry_Litterbag Placem_Collection'!K113=0,"",'Dry_Litterbag Placem_Collection'!K113)</f>
        <v>835</v>
      </c>
      <c r="AP114" t="b">
        <f t="shared" si="38"/>
        <v>0</v>
      </c>
      <c r="AQ114" t="b">
        <f t="shared" si="39"/>
        <v>0</v>
      </c>
      <c r="AT114" t="str">
        <f>'Ashed teabags dry'!A112</f>
        <v>G237</v>
      </c>
      <c r="AU114" t="str">
        <f>'Ashed teabags dry'!A449</f>
        <v>R389</v>
      </c>
      <c r="AV114" t="b">
        <f t="shared" si="40"/>
        <v>0</v>
      </c>
      <c r="AW114" t="b">
        <f t="shared" si="41"/>
        <v>0</v>
      </c>
      <c r="AZ114" s="401" t="b">
        <f t="shared" si="42"/>
        <v>0</v>
      </c>
      <c r="BA114" s="401" t="b">
        <f t="shared" si="43"/>
        <v>0</v>
      </c>
      <c r="BC114" t="str">
        <f>'Ashed teabags wet'!A112</f>
        <v>G507</v>
      </c>
      <c r="BD114" t="str">
        <f>'Ashed teabags wet'!A529</f>
        <v>R289</v>
      </c>
      <c r="BE114" t="b">
        <f t="shared" si="44"/>
        <v>0</v>
      </c>
      <c r="BF114" t="b">
        <f t="shared" si="45"/>
        <v>0</v>
      </c>
      <c r="BG114">
        <f>IFERROR('Ashed teabags wet'!C112,"")</f>
        <v>36</v>
      </c>
      <c r="BH114">
        <f>IFERROR('Ashed teabags wet'!C529,"")</f>
        <v>194</v>
      </c>
      <c r="BI114">
        <f>'Ashed teabags wet'!AB112</f>
        <v>35</v>
      </c>
      <c r="BJ114" t="str">
        <f>'Ashed teabags wet'!AC112</f>
        <v/>
      </c>
      <c r="BK114">
        <f>'Ashed teabags wet'!AD529</f>
        <v>193</v>
      </c>
      <c r="BL114" t="str">
        <f>'Ashed teabags wet'!AE529</f>
        <v/>
      </c>
      <c r="BN114" t="str">
        <f t="shared" si="46"/>
        <v>G506</v>
      </c>
      <c r="BO114" t="b">
        <f t="shared" si="47"/>
        <v>1</v>
      </c>
    </row>
    <row r="115" spans="2:67" ht="12" customHeight="1">
      <c r="B115" t="str">
        <f>TBIDry!H187</f>
        <v/>
      </c>
      <c r="C115" t="str">
        <f>TBIDry!I187</f>
        <v/>
      </c>
      <c r="D115" t="b">
        <f t="shared" si="24"/>
        <v>1</v>
      </c>
      <c r="E115" t="b">
        <f t="shared" si="25"/>
        <v>1</v>
      </c>
      <c r="G115" t="str">
        <f>TBIWet!H187</f>
        <v>G899</v>
      </c>
      <c r="H115" t="str">
        <f>TBIWet!I187</f>
        <v>R41</v>
      </c>
      <c r="I115" t="b">
        <f t="shared" si="26"/>
        <v>0</v>
      </c>
      <c r="J115" t="b">
        <f t="shared" si="27"/>
        <v>0</v>
      </c>
      <c r="L115" t="str">
        <f>'Both teabags AfterWet'!A114</f>
        <v>G503</v>
      </c>
      <c r="M115" t="str">
        <f>'Both teabags AfterWet'!A532</f>
        <v>R271</v>
      </c>
      <c r="N115" t="b">
        <f t="shared" si="28"/>
        <v>0</v>
      </c>
      <c r="O115" t="b">
        <f t="shared" si="29"/>
        <v>0</v>
      </c>
      <c r="P115">
        <f>IFERROR('Both teabags AfterWet'!B114,"")</f>
        <v>14</v>
      </c>
      <c r="Q115">
        <f>'Both teabags AfterWet'!B532</f>
        <v>209</v>
      </c>
      <c r="S115" s="401" t="b">
        <f t="shared" si="30"/>
        <v>0</v>
      </c>
      <c r="T115" s="401" t="b">
        <f t="shared" si="31"/>
        <v>0</v>
      </c>
      <c r="V115" t="str">
        <f>'Both teabags AfterDry'!A114</f>
        <v>G237</v>
      </c>
      <c r="W115" t="str">
        <f>'Both teabags AfterDry'!A451</f>
        <v>R397</v>
      </c>
      <c r="X115" t="b">
        <f t="shared" si="32"/>
        <v>0</v>
      </c>
      <c r="Y115" t="b">
        <f t="shared" si="33"/>
        <v>0</v>
      </c>
      <c r="AA115" t="str">
        <f>'Green_rooibos initial weight'!A116</f>
        <v>G112</v>
      </c>
      <c r="AB115" t="str">
        <f>'Green_rooibos initial weight'!A1020</f>
        <v>R112</v>
      </c>
      <c r="AC115" t="b">
        <f t="shared" si="34"/>
        <v>0</v>
      </c>
      <c r="AD115" t="b">
        <f t="shared" si="35"/>
        <v>0</v>
      </c>
      <c r="AG115" t="str">
        <f>'WetLitterbags placem_collection'!K114</f>
        <v>G899</v>
      </c>
      <c r="AH115" t="str">
        <f>'WetLitterbags placem_collection'!M114</f>
        <v>R41</v>
      </c>
      <c r="AI115" t="b">
        <f t="shared" si="36"/>
        <v>0</v>
      </c>
      <c r="AJ115" t="b">
        <f t="shared" si="37"/>
        <v>0</v>
      </c>
      <c r="AK115">
        <f>'WetLitterbags placem_collection'!A114</f>
        <v>112</v>
      </c>
      <c r="AL115">
        <f>'WetLitterbags placem_collection'!A114</f>
        <v>112</v>
      </c>
      <c r="AN115" t="str">
        <f>IF('Dry_Litterbag Placem_Collection'!J114=0,"",'Dry_Litterbag Placem_Collection'!J114)</f>
        <v/>
      </c>
      <c r="AO115" t="str">
        <f>IF('Dry_Litterbag Placem_Collection'!K114=0,"",'Dry_Litterbag Placem_Collection'!K114)</f>
        <v/>
      </c>
      <c r="AP115" t="b">
        <f t="shared" si="38"/>
        <v>1</v>
      </c>
      <c r="AQ115" t="b">
        <f t="shared" si="39"/>
        <v>1</v>
      </c>
      <c r="AT115" t="str">
        <f>'Ashed teabags dry'!A113</f>
        <v>G238</v>
      </c>
      <c r="AU115" t="str">
        <f>'Ashed teabags dry'!A450</f>
        <v>R394</v>
      </c>
      <c r="AV115" t="b">
        <f t="shared" si="40"/>
        <v>0</v>
      </c>
      <c r="AW115" t="b">
        <f t="shared" si="41"/>
        <v>0</v>
      </c>
      <c r="AZ115" s="401" t="b">
        <f t="shared" si="42"/>
        <v>0</v>
      </c>
      <c r="BA115" s="401" t="b">
        <f t="shared" si="43"/>
        <v>0</v>
      </c>
      <c r="BC115" t="str">
        <f>'Ashed teabags wet'!A113</f>
        <v>G508</v>
      </c>
      <c r="BD115" t="str">
        <f>'Ashed teabags wet'!A530</f>
        <v>R29</v>
      </c>
      <c r="BE115" t="b">
        <f t="shared" si="44"/>
        <v>0</v>
      </c>
      <c r="BF115" t="b">
        <f t="shared" si="45"/>
        <v>0</v>
      </c>
      <c r="BG115">
        <f>IFERROR('Ashed teabags wet'!C113,"")</f>
        <v>208</v>
      </c>
      <c r="BH115">
        <f>IFERROR('Ashed teabags wet'!C530,"")</f>
        <v>51</v>
      </c>
      <c r="BI115" t="str">
        <f>'Ashed teabags wet'!AB113</f>
        <v/>
      </c>
      <c r="BJ115">
        <f>'Ashed teabags wet'!AC113</f>
        <v>207</v>
      </c>
      <c r="BK115" t="str">
        <f>'Ashed teabags wet'!AD530</f>
        <v/>
      </c>
      <c r="BL115">
        <f>'Ashed teabags wet'!AE530</f>
        <v>50</v>
      </c>
      <c r="BN115" t="str">
        <f t="shared" si="46"/>
        <v>G507</v>
      </c>
      <c r="BO115" t="b">
        <f t="shared" si="47"/>
        <v>1</v>
      </c>
    </row>
    <row r="116" spans="2:67" ht="12" customHeight="1">
      <c r="B116" t="str">
        <f>TBIDry!H188</f>
        <v>G314</v>
      </c>
      <c r="C116" t="str">
        <f>TBIDry!I188</f>
        <v>R807</v>
      </c>
      <c r="D116" t="b">
        <f t="shared" si="24"/>
        <v>0</v>
      </c>
      <c r="E116" t="b">
        <f t="shared" si="25"/>
        <v>0</v>
      </c>
      <c r="G116" t="str">
        <f>TBIWet!H188</f>
        <v>G724</v>
      </c>
      <c r="H116" t="str">
        <f>TBIWet!I188</f>
        <v>R428</v>
      </c>
      <c r="I116" t="b">
        <f t="shared" si="26"/>
        <v>0</v>
      </c>
      <c r="J116" t="b">
        <f t="shared" si="27"/>
        <v>0</v>
      </c>
      <c r="L116" t="str">
        <f>'Both teabags AfterWet'!A115</f>
        <v>G504</v>
      </c>
      <c r="M116" t="str">
        <f>'Both teabags AfterWet'!A533</f>
        <v>R273</v>
      </c>
      <c r="N116" t="b">
        <f t="shared" si="28"/>
        <v>0</v>
      </c>
      <c r="O116" t="b">
        <f t="shared" si="29"/>
        <v>0</v>
      </c>
      <c r="P116">
        <f>IFERROR('Both teabags AfterWet'!B115,"")</f>
        <v>171</v>
      </c>
      <c r="Q116" t="str">
        <f>'Both teabags AfterWet'!B533</f>
        <v>n.a</v>
      </c>
      <c r="S116" s="401" t="b">
        <f t="shared" si="30"/>
        <v>0</v>
      </c>
      <c r="T116" s="401" t="b">
        <f t="shared" si="31"/>
        <v>0</v>
      </c>
      <c r="V116" t="str">
        <f>'Both teabags AfterDry'!A115</f>
        <v>G238</v>
      </c>
      <c r="W116" t="str">
        <f>'Both teabags AfterDry'!A452</f>
        <v>R401</v>
      </c>
      <c r="X116" t="b">
        <f t="shared" si="32"/>
        <v>0</v>
      </c>
      <c r="Y116" t="b">
        <f t="shared" si="33"/>
        <v>0</v>
      </c>
      <c r="AA116" t="str">
        <f>'Green_rooibos initial weight'!A117</f>
        <v>G113</v>
      </c>
      <c r="AB116" t="str">
        <f>'Green_rooibos initial weight'!A1021</f>
        <v>R113</v>
      </c>
      <c r="AC116" t="b">
        <f t="shared" si="34"/>
        <v>0</v>
      </c>
      <c r="AD116" t="b">
        <f t="shared" si="35"/>
        <v>0</v>
      </c>
      <c r="AG116" t="str">
        <f>'WetLitterbags placem_collection'!K115</f>
        <v>G724</v>
      </c>
      <c r="AH116" t="str">
        <f>'WetLitterbags placem_collection'!M115</f>
        <v>R428</v>
      </c>
      <c r="AI116" t="b">
        <f t="shared" si="36"/>
        <v>0</v>
      </c>
      <c r="AJ116" t="b">
        <f t="shared" si="37"/>
        <v>0</v>
      </c>
      <c r="AK116">
        <f>'WetLitterbags placem_collection'!A115</f>
        <v>113</v>
      </c>
      <c r="AL116">
        <f>'WetLitterbags placem_collection'!A115</f>
        <v>113</v>
      </c>
      <c r="AN116">
        <f>IF('Dry_Litterbag Placem_Collection'!J115=0,"",'Dry_Litterbag Placem_Collection'!J115)</f>
        <v>314</v>
      </c>
      <c r="AO116">
        <f>IF('Dry_Litterbag Placem_Collection'!K115=0,"",'Dry_Litterbag Placem_Collection'!K115)</f>
        <v>807</v>
      </c>
      <c r="AP116" t="b">
        <f t="shared" si="38"/>
        <v>0</v>
      </c>
      <c r="AQ116" t="b">
        <f t="shared" si="39"/>
        <v>0</v>
      </c>
      <c r="AT116" t="str">
        <f>'Ashed teabags dry'!A114</f>
        <v>G239</v>
      </c>
      <c r="AU116" t="str">
        <f>'Ashed teabags dry'!A451</f>
        <v>R397</v>
      </c>
      <c r="AV116" t="b">
        <f t="shared" si="40"/>
        <v>0</v>
      </c>
      <c r="AW116" t="b">
        <f t="shared" si="41"/>
        <v>0</v>
      </c>
      <c r="AZ116" s="401" t="b">
        <f t="shared" si="42"/>
        <v>0</v>
      </c>
      <c r="BA116" s="401" t="b">
        <f t="shared" si="43"/>
        <v>0</v>
      </c>
      <c r="BC116" t="str">
        <f>'Ashed teabags wet'!A114</f>
        <v>G509</v>
      </c>
      <c r="BD116" t="str">
        <f>'Ashed teabags wet'!A531</f>
        <v>R290</v>
      </c>
      <c r="BE116" t="b">
        <f t="shared" si="44"/>
        <v>0</v>
      </c>
      <c r="BF116" t="b">
        <f t="shared" si="45"/>
        <v>0</v>
      </c>
      <c r="BG116">
        <f>IFERROR('Ashed teabags wet'!C114,"")</f>
        <v>77</v>
      </c>
      <c r="BH116">
        <f>IFERROR('Ashed teabags wet'!C531,"")</f>
        <v>183</v>
      </c>
      <c r="BI116" t="str">
        <f>'Ashed teabags wet'!AB114</f>
        <v/>
      </c>
      <c r="BJ116">
        <f>'Ashed teabags wet'!AC114</f>
        <v>76</v>
      </c>
      <c r="BK116" t="str">
        <f>'Ashed teabags wet'!AD531</f>
        <v/>
      </c>
      <c r="BL116">
        <f>'Ashed teabags wet'!AE531</f>
        <v>182</v>
      </c>
      <c r="BN116" t="str">
        <f t="shared" si="46"/>
        <v>G508</v>
      </c>
      <c r="BO116" t="b">
        <f t="shared" si="47"/>
        <v>1</v>
      </c>
    </row>
    <row r="117" spans="2:67" ht="12" customHeight="1">
      <c r="B117" t="str">
        <f>TBIDry!H189</f>
        <v>G263</v>
      </c>
      <c r="C117" t="str">
        <f>TBIDry!I189</f>
        <v>R829</v>
      </c>
      <c r="D117" t="b">
        <f t="shared" si="24"/>
        <v>0</v>
      </c>
      <c r="E117" t="b">
        <f t="shared" si="25"/>
        <v>0</v>
      </c>
      <c r="G117" t="str">
        <f>TBIWet!H189</f>
        <v>G803</v>
      </c>
      <c r="H117" t="str">
        <f>TBIWet!I189</f>
        <v>R601</v>
      </c>
      <c r="I117" t="b">
        <f t="shared" si="26"/>
        <v>0</v>
      </c>
      <c r="J117" t="b">
        <f t="shared" si="27"/>
        <v>0</v>
      </c>
      <c r="L117" t="str">
        <f>'Both teabags AfterWet'!A116</f>
        <v>G505</v>
      </c>
      <c r="M117" t="str">
        <f>'Both teabags AfterWet'!A534</f>
        <v>R274</v>
      </c>
      <c r="N117" t="b">
        <f t="shared" si="28"/>
        <v>0</v>
      </c>
      <c r="O117" t="b">
        <f t="shared" si="29"/>
        <v>0</v>
      </c>
      <c r="P117">
        <f>IFERROR('Both teabags AfterWet'!B116,"")</f>
        <v>20</v>
      </c>
      <c r="Q117">
        <f>'Both teabags AfterWet'!B534</f>
        <v>18</v>
      </c>
      <c r="S117" s="401" t="b">
        <f t="shared" si="30"/>
        <v>0</v>
      </c>
      <c r="T117" s="401" t="b">
        <f t="shared" si="31"/>
        <v>0</v>
      </c>
      <c r="V117" t="str">
        <f>'Both teabags AfterDry'!A116</f>
        <v>G239</v>
      </c>
      <c r="W117" t="str">
        <f>'Both teabags AfterDry'!A453</f>
        <v>R402</v>
      </c>
      <c r="X117" t="b">
        <f t="shared" si="32"/>
        <v>0</v>
      </c>
      <c r="Y117" t="b">
        <f t="shared" si="33"/>
        <v>0</v>
      </c>
      <c r="AA117" t="str">
        <f>'Green_rooibos initial weight'!A118</f>
        <v>G114</v>
      </c>
      <c r="AB117" t="str">
        <f>'Green_rooibos initial weight'!A1022</f>
        <v>R114</v>
      </c>
      <c r="AC117" t="b">
        <f t="shared" si="34"/>
        <v>0</v>
      </c>
      <c r="AD117" t="b">
        <f t="shared" si="35"/>
        <v>0</v>
      </c>
      <c r="AG117" t="str">
        <f>'WetLitterbags placem_collection'!K116</f>
        <v>G803</v>
      </c>
      <c r="AH117" t="str">
        <f>'WetLitterbags placem_collection'!M116</f>
        <v>R601</v>
      </c>
      <c r="AI117" t="b">
        <f t="shared" si="36"/>
        <v>0</v>
      </c>
      <c r="AJ117" t="b">
        <f t="shared" si="37"/>
        <v>0</v>
      </c>
      <c r="AK117">
        <f>'WetLitterbags placem_collection'!A116</f>
        <v>114</v>
      </c>
      <c r="AL117">
        <f>'WetLitterbags placem_collection'!A116</f>
        <v>114</v>
      </c>
      <c r="AN117">
        <f>IF('Dry_Litterbag Placem_Collection'!J116=0,"",'Dry_Litterbag Placem_Collection'!J116)</f>
        <v>263</v>
      </c>
      <c r="AO117">
        <f>IF('Dry_Litterbag Placem_Collection'!K116=0,"",'Dry_Litterbag Placem_Collection'!K116)</f>
        <v>829</v>
      </c>
      <c r="AP117" t="b">
        <f t="shared" si="38"/>
        <v>0</v>
      </c>
      <c r="AQ117" t="b">
        <f t="shared" si="39"/>
        <v>0</v>
      </c>
      <c r="AT117" t="str">
        <f>'Ashed teabags dry'!A115</f>
        <v>G24</v>
      </c>
      <c r="AU117" t="str">
        <f>'Ashed teabags dry'!A452</f>
        <v>R401</v>
      </c>
      <c r="AV117" t="b">
        <f t="shared" si="40"/>
        <v>0</v>
      </c>
      <c r="AW117" t="b">
        <f t="shared" si="41"/>
        <v>0</v>
      </c>
      <c r="AZ117" s="401" t="b">
        <f t="shared" si="42"/>
        <v>0</v>
      </c>
      <c r="BA117" s="401" t="b">
        <f t="shared" si="43"/>
        <v>0</v>
      </c>
      <c r="BC117" t="str">
        <f>'Ashed teabags wet'!A115</f>
        <v>G511</v>
      </c>
      <c r="BD117" t="str">
        <f>'Ashed teabags wet'!A532</f>
        <v>R291</v>
      </c>
      <c r="BE117" t="b">
        <f t="shared" si="44"/>
        <v>0</v>
      </c>
      <c r="BF117" t="b">
        <f t="shared" si="45"/>
        <v>0</v>
      </c>
      <c r="BG117">
        <f>IFERROR('Ashed teabags wet'!C115,"")</f>
        <v>71</v>
      </c>
      <c r="BH117">
        <f>IFERROR('Ashed teabags wet'!C532,"")</f>
        <v>181</v>
      </c>
      <c r="BI117">
        <f>'Ashed teabags wet'!AB115</f>
        <v>70</v>
      </c>
      <c r="BJ117" t="str">
        <f>'Ashed teabags wet'!AC115</f>
        <v/>
      </c>
      <c r="BK117" t="str">
        <f>'Ashed teabags wet'!AD532</f>
        <v/>
      </c>
      <c r="BL117">
        <f>'Ashed teabags wet'!AE532</f>
        <v>180</v>
      </c>
      <c r="BN117" t="str">
        <f t="shared" si="46"/>
        <v>G509</v>
      </c>
      <c r="BO117" t="b">
        <f t="shared" si="47"/>
        <v>1</v>
      </c>
    </row>
    <row r="118" spans="2:67" ht="12" customHeight="1">
      <c r="B118" t="str">
        <f>TBIDry!H190</f>
        <v>G125</v>
      </c>
      <c r="C118" t="str">
        <f>TBIDry!I190</f>
        <v>R766</v>
      </c>
      <c r="D118" t="b">
        <f t="shared" si="24"/>
        <v>0</v>
      </c>
      <c r="E118" t="b">
        <f t="shared" si="25"/>
        <v>0</v>
      </c>
      <c r="G118" t="str">
        <f>TBIWet!H190</f>
        <v>G693</v>
      </c>
      <c r="H118" t="str">
        <f>TBIWet!I190</f>
        <v>R553</v>
      </c>
      <c r="I118" t="b">
        <f t="shared" si="26"/>
        <v>0</v>
      </c>
      <c r="J118" t="b">
        <f t="shared" si="27"/>
        <v>0</v>
      </c>
      <c r="L118" t="str">
        <f>'Both teabags AfterWet'!A117</f>
        <v>G506</v>
      </c>
      <c r="M118" t="str">
        <f>'Both teabags AfterWet'!A535</f>
        <v>R278</v>
      </c>
      <c r="N118" t="b">
        <f t="shared" si="28"/>
        <v>0</v>
      </c>
      <c r="O118" t="b">
        <f t="shared" si="29"/>
        <v>0</v>
      </c>
      <c r="P118" t="str">
        <f>IFERROR('Both teabags AfterWet'!B117,"")</f>
        <v>n.a</v>
      </c>
      <c r="Q118" t="str">
        <f>'Both teabags AfterWet'!B535</f>
        <v>n.a</v>
      </c>
      <c r="S118" s="401" t="b">
        <f t="shared" si="30"/>
        <v>0</v>
      </c>
      <c r="T118" s="401" t="b">
        <f t="shared" si="31"/>
        <v>0</v>
      </c>
      <c r="V118" t="str">
        <f>'Both teabags AfterDry'!A117</f>
        <v>G24</v>
      </c>
      <c r="W118" t="str">
        <f>'Both teabags AfterDry'!A454</f>
        <v>R407</v>
      </c>
      <c r="X118" t="b">
        <f t="shared" si="32"/>
        <v>0</v>
      </c>
      <c r="Y118" t="b">
        <f t="shared" si="33"/>
        <v>0</v>
      </c>
      <c r="AA118" t="str">
        <f>'Green_rooibos initial weight'!A119</f>
        <v>G115</v>
      </c>
      <c r="AB118" t="str">
        <f>'Green_rooibos initial weight'!A1023</f>
        <v>R115</v>
      </c>
      <c r="AC118" t="b">
        <f t="shared" si="34"/>
        <v>0</v>
      </c>
      <c r="AD118" t="b">
        <f t="shared" si="35"/>
        <v>0</v>
      </c>
      <c r="AG118" t="str">
        <f>'WetLitterbags placem_collection'!K117</f>
        <v>G693</v>
      </c>
      <c r="AH118" t="str">
        <f>'WetLitterbags placem_collection'!M117</f>
        <v>R553</v>
      </c>
      <c r="AI118" t="b">
        <f t="shared" si="36"/>
        <v>0</v>
      </c>
      <c r="AJ118" t="b">
        <f t="shared" si="37"/>
        <v>0</v>
      </c>
      <c r="AK118">
        <f>'WetLitterbags placem_collection'!A117</f>
        <v>115</v>
      </c>
      <c r="AL118">
        <f>'WetLitterbags placem_collection'!A117</f>
        <v>115</v>
      </c>
      <c r="AN118">
        <f>IF('Dry_Litterbag Placem_Collection'!J117=0,"",'Dry_Litterbag Placem_Collection'!J117)</f>
        <v>125</v>
      </c>
      <c r="AO118">
        <f>IF('Dry_Litterbag Placem_Collection'!K117=0,"",'Dry_Litterbag Placem_Collection'!K117)</f>
        <v>766</v>
      </c>
      <c r="AP118" t="b">
        <f t="shared" si="38"/>
        <v>0</v>
      </c>
      <c r="AQ118" t="b">
        <f t="shared" si="39"/>
        <v>0</v>
      </c>
      <c r="AT118" t="str">
        <f>'Ashed teabags dry'!A116</f>
        <v>G242</v>
      </c>
      <c r="AU118" t="str">
        <f>'Ashed teabags dry'!A453</f>
        <v>R402</v>
      </c>
      <c r="AV118" t="b">
        <f t="shared" si="40"/>
        <v>0</v>
      </c>
      <c r="AW118" t="b">
        <f t="shared" si="41"/>
        <v>0</v>
      </c>
      <c r="AZ118" s="401" t="b">
        <f t="shared" si="42"/>
        <v>0</v>
      </c>
      <c r="BA118" s="401" t="b">
        <f t="shared" si="43"/>
        <v>0</v>
      </c>
      <c r="BC118" t="str">
        <f>'Ashed teabags wet'!A116</f>
        <v>G512</v>
      </c>
      <c r="BD118" t="str">
        <f>'Ashed teabags wet'!A533</f>
        <v>R293</v>
      </c>
      <c r="BE118" t="b">
        <f t="shared" si="44"/>
        <v>0</v>
      </c>
      <c r="BF118" t="b">
        <f t="shared" si="45"/>
        <v>0</v>
      </c>
      <c r="BG118">
        <f>IFERROR('Ashed teabags wet'!C116,"")</f>
        <v>47</v>
      </c>
      <c r="BH118">
        <f>IFERROR('Ashed teabags wet'!C533,"")</f>
        <v>81</v>
      </c>
      <c r="BI118" t="str">
        <f>'Ashed teabags wet'!AB116</f>
        <v/>
      </c>
      <c r="BJ118">
        <f>'Ashed teabags wet'!AC116</f>
        <v>46</v>
      </c>
      <c r="BK118" t="str">
        <f>'Ashed teabags wet'!AD533</f>
        <v/>
      </c>
      <c r="BL118">
        <f>'Ashed teabags wet'!AE533</f>
        <v>80</v>
      </c>
      <c r="BN118" t="str">
        <f t="shared" si="46"/>
        <v>G511</v>
      </c>
      <c r="BO118" t="b">
        <f t="shared" si="47"/>
        <v>1</v>
      </c>
    </row>
    <row r="119" spans="2:67" ht="12" customHeight="1">
      <c r="B119" t="str">
        <f>TBIDry!H191</f>
        <v>G189</v>
      </c>
      <c r="C119" t="str">
        <f>TBIDry!I191</f>
        <v>R757</v>
      </c>
      <c r="D119" t="b">
        <f t="shared" si="24"/>
        <v>0</v>
      </c>
      <c r="E119" t="b">
        <f t="shared" si="25"/>
        <v>0</v>
      </c>
      <c r="G119" t="str">
        <f>TBIWet!H191</f>
        <v>G897</v>
      </c>
      <c r="H119" t="str">
        <f>TBIWet!I191</f>
        <v>R459</v>
      </c>
      <c r="I119" t="b">
        <f t="shared" si="26"/>
        <v>0</v>
      </c>
      <c r="J119" t="b">
        <f t="shared" si="27"/>
        <v>0</v>
      </c>
      <c r="L119" t="str">
        <f>'Both teabags AfterWet'!A118</f>
        <v>G507</v>
      </c>
      <c r="M119" t="str">
        <f>'Both teabags AfterWet'!A536</f>
        <v>R28</v>
      </c>
      <c r="N119" t="b">
        <f t="shared" si="28"/>
        <v>0</v>
      </c>
      <c r="O119" t="b">
        <f t="shared" si="29"/>
        <v>0</v>
      </c>
      <c r="P119">
        <f>IFERROR('Both teabags AfterWet'!B118,"")</f>
        <v>36</v>
      </c>
      <c r="Q119" t="str">
        <f>'Both teabags AfterWet'!B536</f>
        <v>na</v>
      </c>
      <c r="S119" s="401" t="b">
        <f t="shared" si="30"/>
        <v>0</v>
      </c>
      <c r="T119" s="401" t="b">
        <f t="shared" si="31"/>
        <v>0</v>
      </c>
      <c r="V119" t="str">
        <f>'Both teabags AfterDry'!A118</f>
        <v>G242</v>
      </c>
      <c r="W119" t="str">
        <f>'Both teabags AfterDry'!A455</f>
        <v>R416</v>
      </c>
      <c r="X119" t="b">
        <f t="shared" si="32"/>
        <v>0</v>
      </c>
      <c r="Y119" t="b">
        <f t="shared" si="33"/>
        <v>0</v>
      </c>
      <c r="AA119" t="str">
        <f>'Green_rooibos initial weight'!A120</f>
        <v>G116</v>
      </c>
      <c r="AB119" t="str">
        <f>'Green_rooibos initial weight'!A1024</f>
        <v>R116</v>
      </c>
      <c r="AC119" t="b">
        <f t="shared" si="34"/>
        <v>0</v>
      </c>
      <c r="AD119" t="b">
        <f t="shared" si="35"/>
        <v>0</v>
      </c>
      <c r="AG119" t="str">
        <f>'WetLitterbags placem_collection'!K118</f>
        <v>G897</v>
      </c>
      <c r="AH119" t="str">
        <f>'WetLitterbags placem_collection'!M118</f>
        <v>R459</v>
      </c>
      <c r="AI119" t="b">
        <f t="shared" si="36"/>
        <v>0</v>
      </c>
      <c r="AJ119" t="b">
        <f t="shared" si="37"/>
        <v>0</v>
      </c>
      <c r="AK119">
        <f>'WetLitterbags placem_collection'!A118</f>
        <v>116</v>
      </c>
      <c r="AL119">
        <f>'WetLitterbags placem_collection'!A118</f>
        <v>116</v>
      </c>
      <c r="AN119">
        <f>IF('Dry_Litterbag Placem_Collection'!J118=0,"",'Dry_Litterbag Placem_Collection'!J118)</f>
        <v>189</v>
      </c>
      <c r="AO119">
        <f>IF('Dry_Litterbag Placem_Collection'!K118=0,"",'Dry_Litterbag Placem_Collection'!K118)</f>
        <v>757</v>
      </c>
      <c r="AP119" t="b">
        <f t="shared" si="38"/>
        <v>0</v>
      </c>
      <c r="AQ119" t="b">
        <f t="shared" si="39"/>
        <v>0</v>
      </c>
      <c r="AT119" t="str">
        <f>'Ashed teabags dry'!A117</f>
        <v>G243</v>
      </c>
      <c r="AU119" t="str">
        <f>'Ashed teabags dry'!A454</f>
        <v>R407</v>
      </c>
      <c r="AV119" t="b">
        <f t="shared" si="40"/>
        <v>0</v>
      </c>
      <c r="AW119" t="b">
        <f t="shared" si="41"/>
        <v>0</v>
      </c>
      <c r="AZ119" s="401" t="b">
        <f t="shared" si="42"/>
        <v>0</v>
      </c>
      <c r="BA119" s="401" t="b">
        <f t="shared" si="43"/>
        <v>0</v>
      </c>
      <c r="BC119" t="str">
        <f>'Ashed teabags wet'!A117</f>
        <v>G513</v>
      </c>
      <c r="BD119" t="str">
        <f>'Ashed teabags wet'!A534</f>
        <v>R296</v>
      </c>
      <c r="BE119" t="b">
        <f t="shared" si="44"/>
        <v>0</v>
      </c>
      <c r="BF119" t="b">
        <f t="shared" si="45"/>
        <v>0</v>
      </c>
      <c r="BG119">
        <f>IFERROR('Ashed teabags wet'!C117,"")</f>
        <v>58</v>
      </c>
      <c r="BH119">
        <f>IFERROR('Ashed teabags wet'!C534,"")</f>
        <v>30</v>
      </c>
      <c r="BI119">
        <f>'Ashed teabags wet'!AB117</f>
        <v>57</v>
      </c>
      <c r="BJ119" t="str">
        <f>'Ashed teabags wet'!AC117</f>
        <v/>
      </c>
      <c r="BK119" t="str">
        <f>'Ashed teabags wet'!AD534</f>
        <v/>
      </c>
      <c r="BL119">
        <f>'Ashed teabags wet'!AE534</f>
        <v>29</v>
      </c>
      <c r="BN119" t="str">
        <f t="shared" si="46"/>
        <v>G512</v>
      </c>
      <c r="BO119" t="b">
        <f t="shared" si="47"/>
        <v>1</v>
      </c>
    </row>
    <row r="120" spans="2:67" ht="12" customHeight="1">
      <c r="B120" t="str">
        <f>TBIDry!H192</f>
        <v>G533</v>
      </c>
      <c r="C120" t="str">
        <f>TBIDry!I192</f>
        <v>R745</v>
      </c>
      <c r="D120" t="b">
        <f t="shared" si="24"/>
        <v>0</v>
      </c>
      <c r="E120" t="b">
        <f t="shared" si="25"/>
        <v>0</v>
      </c>
      <c r="G120" t="str">
        <f>TBIWet!H192</f>
        <v>G789</v>
      </c>
      <c r="H120" t="str">
        <f>TBIWet!I192</f>
        <v>R511</v>
      </c>
      <c r="I120" t="b">
        <f t="shared" si="26"/>
        <v>0</v>
      </c>
      <c r="J120" t="b">
        <f t="shared" si="27"/>
        <v>0</v>
      </c>
      <c r="L120" t="str">
        <f>'Both teabags AfterWet'!A119</f>
        <v>G508</v>
      </c>
      <c r="M120" t="str">
        <f>'Both teabags AfterWet'!A537</f>
        <v>R282</v>
      </c>
      <c r="N120" t="b">
        <f t="shared" si="28"/>
        <v>0</v>
      </c>
      <c r="O120" t="b">
        <f t="shared" si="29"/>
        <v>0</v>
      </c>
      <c r="P120">
        <f>IFERROR('Both teabags AfterWet'!B119,"")</f>
        <v>208</v>
      </c>
      <c r="Q120">
        <f>'Both teabags AfterWet'!B537</f>
        <v>14</v>
      </c>
      <c r="S120" s="401" t="b">
        <f t="shared" si="30"/>
        <v>0</v>
      </c>
      <c r="T120" s="401" t="b">
        <f t="shared" si="31"/>
        <v>0</v>
      </c>
      <c r="V120" t="str">
        <f>'Both teabags AfterDry'!A119</f>
        <v>G243</v>
      </c>
      <c r="W120" t="str">
        <f>'Both teabags AfterDry'!A456</f>
        <v>R422</v>
      </c>
      <c r="X120" t="b">
        <f t="shared" si="32"/>
        <v>0</v>
      </c>
      <c r="Y120" t="b">
        <f t="shared" si="33"/>
        <v>0</v>
      </c>
      <c r="AA120" t="str">
        <f>'Green_rooibos initial weight'!A121</f>
        <v>G117</v>
      </c>
      <c r="AB120" t="str">
        <f>'Green_rooibos initial weight'!A1025</f>
        <v>R117</v>
      </c>
      <c r="AC120" t="b">
        <f t="shared" si="34"/>
        <v>0</v>
      </c>
      <c r="AD120" t="b">
        <f t="shared" si="35"/>
        <v>0</v>
      </c>
      <c r="AG120" t="str">
        <f>'WetLitterbags placem_collection'!K119</f>
        <v>G789</v>
      </c>
      <c r="AH120" t="str">
        <f>'WetLitterbags placem_collection'!M119</f>
        <v>R511</v>
      </c>
      <c r="AI120" t="b">
        <f t="shared" si="36"/>
        <v>0</v>
      </c>
      <c r="AJ120" t="b">
        <f t="shared" si="37"/>
        <v>0</v>
      </c>
      <c r="AK120">
        <f>'WetLitterbags placem_collection'!A119</f>
        <v>117</v>
      </c>
      <c r="AL120">
        <f>'WetLitterbags placem_collection'!A119</f>
        <v>117</v>
      </c>
      <c r="AN120">
        <f>IF('Dry_Litterbag Placem_Collection'!J119=0,"",'Dry_Litterbag Placem_Collection'!J119)</f>
        <v>533</v>
      </c>
      <c r="AO120">
        <f>IF('Dry_Litterbag Placem_Collection'!K119=0,"",'Dry_Litterbag Placem_Collection'!K119)</f>
        <v>745</v>
      </c>
      <c r="AP120" t="b">
        <f t="shared" si="38"/>
        <v>0</v>
      </c>
      <c r="AQ120" t="b">
        <f t="shared" si="39"/>
        <v>0</v>
      </c>
      <c r="AT120" t="str">
        <f>'Ashed teabags dry'!A118</f>
        <v>G244</v>
      </c>
      <c r="AU120" t="str">
        <f>'Ashed teabags dry'!A455</f>
        <v>R416</v>
      </c>
      <c r="AV120" t="b">
        <f t="shared" si="40"/>
        <v>0</v>
      </c>
      <c r="AW120" t="b">
        <f t="shared" si="41"/>
        <v>0</v>
      </c>
      <c r="AZ120" s="401" t="b">
        <f t="shared" si="42"/>
        <v>0</v>
      </c>
      <c r="BA120" s="401" t="b">
        <f t="shared" si="43"/>
        <v>0</v>
      </c>
      <c r="BC120" t="str">
        <f>'Ashed teabags wet'!A118</f>
        <v>G514</v>
      </c>
      <c r="BD120" t="str">
        <f>'Ashed teabags wet'!A535</f>
        <v>R3</v>
      </c>
      <c r="BE120" t="b">
        <f t="shared" si="44"/>
        <v>0</v>
      </c>
      <c r="BF120" t="b">
        <f t="shared" si="45"/>
        <v>0</v>
      </c>
      <c r="BG120">
        <f>IFERROR('Ashed teabags wet'!C118,"")</f>
        <v>9</v>
      </c>
      <c r="BH120">
        <f>IFERROR('Ashed teabags wet'!C535,"")</f>
        <v>13</v>
      </c>
      <c r="BI120">
        <f>'Ashed teabags wet'!AB118</f>
        <v>8</v>
      </c>
      <c r="BJ120" t="str">
        <f>'Ashed teabags wet'!AC118</f>
        <v/>
      </c>
      <c r="BK120" t="str">
        <f>'Ashed teabags wet'!AD535</f>
        <v/>
      </c>
      <c r="BL120">
        <f>'Ashed teabags wet'!AE535</f>
        <v>12</v>
      </c>
      <c r="BN120" t="str">
        <f t="shared" si="46"/>
        <v>G513</v>
      </c>
      <c r="BO120" t="b">
        <f t="shared" si="47"/>
        <v>1</v>
      </c>
    </row>
    <row r="121" spans="2:67" ht="12" customHeight="1">
      <c r="B121" t="str">
        <f>TBIDry!H193</f>
        <v>G200</v>
      </c>
      <c r="C121" t="str">
        <f>TBIDry!I193</f>
        <v>R791</v>
      </c>
      <c r="D121" t="b">
        <f t="shared" si="24"/>
        <v>0</v>
      </c>
      <c r="E121" t="b">
        <f t="shared" si="25"/>
        <v>0</v>
      </c>
      <c r="G121" t="str">
        <f>TBIWet!H193</f>
        <v>G681</v>
      </c>
      <c r="H121" t="str">
        <f>TBIWet!I193</f>
        <v>R495</v>
      </c>
      <c r="I121" t="b">
        <f t="shared" si="26"/>
        <v>0</v>
      </c>
      <c r="J121" t="b">
        <f t="shared" si="27"/>
        <v>0</v>
      </c>
      <c r="L121" t="str">
        <f>'Both teabags AfterWet'!A120</f>
        <v>G511</v>
      </c>
      <c r="M121" t="str">
        <f>'Both teabags AfterWet'!A538</f>
        <v>R285</v>
      </c>
      <c r="N121" t="b">
        <f t="shared" si="28"/>
        <v>0</v>
      </c>
      <c r="O121" t="b">
        <f t="shared" si="29"/>
        <v>0</v>
      </c>
      <c r="P121" t="str">
        <f>IFERROR('Both teabags AfterWet'!B120,"")</f>
        <v>n.a</v>
      </c>
      <c r="Q121" t="str">
        <f>'Both teabags AfterWet'!B538</f>
        <v>n.a</v>
      </c>
      <c r="S121" s="401" t="b">
        <f t="shared" si="30"/>
        <v>0</v>
      </c>
      <c r="T121" s="401" t="b">
        <f t="shared" si="31"/>
        <v>0</v>
      </c>
      <c r="V121" t="str">
        <f>'Both teabags AfterDry'!A120</f>
        <v>G244</v>
      </c>
      <c r="W121" t="str">
        <f>'Both teabags AfterDry'!A457</f>
        <v>R425</v>
      </c>
      <c r="X121" t="b">
        <f t="shared" si="32"/>
        <v>0</v>
      </c>
      <c r="Y121" t="b">
        <f t="shared" si="33"/>
        <v>0</v>
      </c>
      <c r="AA121" t="str">
        <f>'Green_rooibos initial weight'!A122</f>
        <v>G118</v>
      </c>
      <c r="AB121" t="str">
        <f>'Green_rooibos initial weight'!A1026</f>
        <v>R118</v>
      </c>
      <c r="AC121" t="b">
        <f t="shared" si="34"/>
        <v>0</v>
      </c>
      <c r="AD121" t="b">
        <f t="shared" si="35"/>
        <v>0</v>
      </c>
      <c r="AG121" t="str">
        <f>'WetLitterbags placem_collection'!K120</f>
        <v>G681</v>
      </c>
      <c r="AH121" t="str">
        <f>'WetLitterbags placem_collection'!M120</f>
        <v>R495</v>
      </c>
      <c r="AI121" t="b">
        <f t="shared" si="36"/>
        <v>0</v>
      </c>
      <c r="AJ121" t="b">
        <f t="shared" si="37"/>
        <v>0</v>
      </c>
      <c r="AK121">
        <f>'WetLitterbags placem_collection'!A120</f>
        <v>118</v>
      </c>
      <c r="AL121">
        <f>'WetLitterbags placem_collection'!A120</f>
        <v>118</v>
      </c>
      <c r="AN121">
        <f>IF('Dry_Litterbag Placem_Collection'!J120=0,"",'Dry_Litterbag Placem_Collection'!J120)</f>
        <v>200</v>
      </c>
      <c r="AO121">
        <f>IF('Dry_Litterbag Placem_Collection'!K120=0,"",'Dry_Litterbag Placem_Collection'!K120)</f>
        <v>791</v>
      </c>
      <c r="AP121" t="b">
        <f t="shared" si="38"/>
        <v>0</v>
      </c>
      <c r="AQ121" t="b">
        <f t="shared" si="39"/>
        <v>0</v>
      </c>
      <c r="AT121" t="str">
        <f>'Ashed teabags dry'!A119</f>
        <v>G245</v>
      </c>
      <c r="AU121" t="str">
        <f>'Ashed teabags dry'!A456</f>
        <v>R422</v>
      </c>
      <c r="AV121" t="b">
        <f t="shared" si="40"/>
        <v>0</v>
      </c>
      <c r="AW121" t="b">
        <f t="shared" si="41"/>
        <v>0</v>
      </c>
      <c r="AZ121" s="401" t="b">
        <f t="shared" si="42"/>
        <v>0</v>
      </c>
      <c r="BA121" s="401" t="b">
        <f t="shared" si="43"/>
        <v>0</v>
      </c>
      <c r="BC121" t="str">
        <f>'Ashed teabags wet'!A119</f>
        <v>G516</v>
      </c>
      <c r="BD121" t="str">
        <f>'Ashed teabags wet'!A536</f>
        <v>R30</v>
      </c>
      <c r="BE121" t="b">
        <f t="shared" si="44"/>
        <v>0</v>
      </c>
      <c r="BF121" t="b">
        <f t="shared" si="45"/>
        <v>0</v>
      </c>
      <c r="BG121">
        <f>IFERROR('Ashed teabags wet'!C119,"")</f>
        <v>34</v>
      </c>
      <c r="BH121">
        <f>IFERROR('Ashed teabags wet'!C536,"")</f>
        <v>157</v>
      </c>
      <c r="BI121">
        <f>'Ashed teabags wet'!AB119</f>
        <v>33</v>
      </c>
      <c r="BJ121" t="str">
        <f>'Ashed teabags wet'!AC119</f>
        <v/>
      </c>
      <c r="BK121">
        <f>'Ashed teabags wet'!AD536</f>
        <v>156</v>
      </c>
      <c r="BL121" t="str">
        <f>'Ashed teabags wet'!AE536</f>
        <v/>
      </c>
      <c r="BN121" s="180" t="str">
        <f t="shared" si="46"/>
        <v>G514</v>
      </c>
      <c r="BO121" s="113" t="b">
        <f t="shared" si="47"/>
        <v>0</v>
      </c>
    </row>
    <row r="122" spans="2:67" ht="12" customHeight="1">
      <c r="B122" t="str">
        <f>TBIDry!H194</f>
        <v>G236</v>
      </c>
      <c r="C122" t="str">
        <f>TBIDry!I194</f>
        <v>R802</v>
      </c>
      <c r="D122" t="b">
        <f t="shared" si="24"/>
        <v>0</v>
      </c>
      <c r="E122" t="b">
        <f t="shared" si="25"/>
        <v>0</v>
      </c>
      <c r="G122" t="str">
        <f>TBIWet!H194</f>
        <v>G657</v>
      </c>
      <c r="H122" t="str">
        <f>TBIWet!I194</f>
        <v>R584</v>
      </c>
      <c r="I122" t="b">
        <f t="shared" si="26"/>
        <v>0</v>
      </c>
      <c r="J122" t="b">
        <f t="shared" si="27"/>
        <v>0</v>
      </c>
      <c r="L122" t="str">
        <f>'Both teabags AfterWet'!A121</f>
        <v>G512</v>
      </c>
      <c r="M122" t="str">
        <f>'Both teabags AfterWet'!A539</f>
        <v>R287</v>
      </c>
      <c r="N122" t="b">
        <f t="shared" si="28"/>
        <v>0</v>
      </c>
      <c r="O122" t="b">
        <f t="shared" si="29"/>
        <v>0</v>
      </c>
      <c r="P122">
        <f>IFERROR('Both teabags AfterWet'!B121,"")</f>
        <v>47</v>
      </c>
      <c r="Q122" t="str">
        <f>'Both teabags AfterWet'!B539</f>
        <v>n.a</v>
      </c>
      <c r="S122" s="401" t="b">
        <f t="shared" si="30"/>
        <v>0</v>
      </c>
      <c r="T122" s="401" t="b">
        <f t="shared" si="31"/>
        <v>0</v>
      </c>
      <c r="V122" t="str">
        <f>'Both teabags AfterDry'!A121</f>
        <v>G245</v>
      </c>
      <c r="W122" t="str">
        <f>'Both teabags AfterDry'!A458</f>
        <v>R43</v>
      </c>
      <c r="X122" t="b">
        <f t="shared" si="32"/>
        <v>0</v>
      </c>
      <c r="Y122" t="b">
        <f t="shared" si="33"/>
        <v>0</v>
      </c>
      <c r="AA122" t="str">
        <f>'Green_rooibos initial weight'!A123</f>
        <v>G119</v>
      </c>
      <c r="AB122" t="str">
        <f>'Green_rooibos initial weight'!A1027</f>
        <v>R119</v>
      </c>
      <c r="AC122" t="b">
        <f t="shared" si="34"/>
        <v>0</v>
      </c>
      <c r="AD122" t="b">
        <f t="shared" si="35"/>
        <v>0</v>
      </c>
      <c r="AG122" t="str">
        <f>'WetLitterbags placem_collection'!K121</f>
        <v>G657</v>
      </c>
      <c r="AH122" t="str">
        <f>'WetLitterbags placem_collection'!M121</f>
        <v>R584</v>
      </c>
      <c r="AI122" t="b">
        <f t="shared" si="36"/>
        <v>0</v>
      </c>
      <c r="AJ122" t="b">
        <f t="shared" si="37"/>
        <v>0</v>
      </c>
      <c r="AK122">
        <f>'WetLitterbags placem_collection'!A121</f>
        <v>119</v>
      </c>
      <c r="AL122">
        <f>'WetLitterbags placem_collection'!A121</f>
        <v>119</v>
      </c>
      <c r="AN122">
        <f>IF('Dry_Litterbag Placem_Collection'!J121=0,"",'Dry_Litterbag Placem_Collection'!J121)</f>
        <v>236</v>
      </c>
      <c r="AO122">
        <f>IF('Dry_Litterbag Placem_Collection'!K121=0,"",'Dry_Litterbag Placem_Collection'!K121)</f>
        <v>802</v>
      </c>
      <c r="AP122" t="b">
        <f t="shared" si="38"/>
        <v>0</v>
      </c>
      <c r="AQ122" t="b">
        <f t="shared" si="39"/>
        <v>0</v>
      </c>
      <c r="AT122" t="str">
        <f>'Ashed teabags dry'!A120</f>
        <v>G246</v>
      </c>
      <c r="AU122" t="str">
        <f>'Ashed teabags dry'!A457</f>
        <v>R425</v>
      </c>
      <c r="AV122" t="b">
        <f t="shared" si="40"/>
        <v>0</v>
      </c>
      <c r="AW122" t="b">
        <f t="shared" si="41"/>
        <v>0</v>
      </c>
      <c r="AZ122" s="401" t="b">
        <f t="shared" si="42"/>
        <v>0</v>
      </c>
      <c r="BA122" s="401" t="b">
        <f t="shared" si="43"/>
        <v>0</v>
      </c>
      <c r="BC122" t="str">
        <f>'Ashed teabags wet'!A120</f>
        <v>G518</v>
      </c>
      <c r="BD122" t="str">
        <f>'Ashed teabags wet'!A537</f>
        <v>R301</v>
      </c>
      <c r="BE122" t="b">
        <f t="shared" si="44"/>
        <v>0</v>
      </c>
      <c r="BF122" t="b">
        <f t="shared" si="45"/>
        <v>0</v>
      </c>
      <c r="BG122">
        <f>IFERROR('Ashed teabags wet'!C120,"")</f>
        <v>30</v>
      </c>
      <c r="BH122">
        <f>IFERROR('Ashed teabags wet'!C537,"")</f>
        <v>180</v>
      </c>
      <c r="BI122">
        <f>'Ashed teabags wet'!AB120</f>
        <v>29</v>
      </c>
      <c r="BJ122" t="str">
        <f>'Ashed teabags wet'!AC120</f>
        <v/>
      </c>
      <c r="BK122" t="str">
        <f>'Ashed teabags wet'!AD537</f>
        <v/>
      </c>
      <c r="BL122">
        <f>'Ashed teabags wet'!AE537</f>
        <v>179</v>
      </c>
      <c r="BN122" t="str">
        <f t="shared" si="46"/>
        <v>G516</v>
      </c>
      <c r="BO122" t="b">
        <f t="shared" si="47"/>
        <v>1</v>
      </c>
    </row>
    <row r="123" spans="2:67" ht="12" customHeight="1">
      <c r="B123" t="str">
        <f>TBIDry!H195</f>
        <v/>
      </c>
      <c r="C123" t="str">
        <f>TBIDry!I195</f>
        <v/>
      </c>
      <c r="D123" t="b">
        <f t="shared" si="24"/>
        <v>1</v>
      </c>
      <c r="E123" t="b">
        <f t="shared" si="25"/>
        <v>1</v>
      </c>
      <c r="G123" t="str">
        <f>TBIWet!H195</f>
        <v>G758</v>
      </c>
      <c r="H123" t="str">
        <f>TBIWet!I195</f>
        <v>R454</v>
      </c>
      <c r="I123" t="b">
        <f t="shared" si="26"/>
        <v>0</v>
      </c>
      <c r="J123" t="b">
        <f t="shared" si="27"/>
        <v>0</v>
      </c>
      <c r="L123" t="str">
        <f>'Both teabags AfterWet'!A122</f>
        <v>G513</v>
      </c>
      <c r="M123" t="str">
        <f>'Both teabags AfterWet'!A540</f>
        <v>R289</v>
      </c>
      <c r="N123" t="b">
        <f t="shared" si="28"/>
        <v>0</v>
      </c>
      <c r="O123" t="b">
        <f t="shared" si="29"/>
        <v>0</v>
      </c>
      <c r="P123">
        <f>IFERROR('Both teabags AfterWet'!B122,"")</f>
        <v>58</v>
      </c>
      <c r="Q123">
        <f>'Both teabags AfterWet'!B540</f>
        <v>104</v>
      </c>
      <c r="S123" s="401" t="b">
        <f t="shared" si="30"/>
        <v>0</v>
      </c>
      <c r="T123" s="401" t="b">
        <f t="shared" si="31"/>
        <v>0</v>
      </c>
      <c r="V123" t="str">
        <f>'Both teabags AfterDry'!A122</f>
        <v>G246</v>
      </c>
      <c r="W123" t="str">
        <f>'Both teabags AfterDry'!A459</f>
        <v>R443</v>
      </c>
      <c r="X123" t="b">
        <f t="shared" si="32"/>
        <v>0</v>
      </c>
      <c r="Y123" t="b">
        <f t="shared" si="33"/>
        <v>0</v>
      </c>
      <c r="AA123" t="str">
        <f>'Green_rooibos initial weight'!A124</f>
        <v>G120</v>
      </c>
      <c r="AB123" t="str">
        <f>'Green_rooibos initial weight'!A1028</f>
        <v>R120</v>
      </c>
      <c r="AC123" t="b">
        <f t="shared" si="34"/>
        <v>0</v>
      </c>
      <c r="AD123" t="b">
        <f t="shared" si="35"/>
        <v>0</v>
      </c>
      <c r="AG123" t="str">
        <f>'WetLitterbags placem_collection'!K122</f>
        <v>G758</v>
      </c>
      <c r="AH123" t="str">
        <f>'WetLitterbags placem_collection'!M122</f>
        <v>R454</v>
      </c>
      <c r="AI123" t="b">
        <f t="shared" si="36"/>
        <v>0</v>
      </c>
      <c r="AJ123" t="b">
        <f t="shared" si="37"/>
        <v>0</v>
      </c>
      <c r="AK123">
        <f>'WetLitterbags placem_collection'!A122</f>
        <v>120</v>
      </c>
      <c r="AL123">
        <f>'WetLitterbags placem_collection'!A122</f>
        <v>120</v>
      </c>
      <c r="AN123" t="str">
        <f>IF('Dry_Litterbag Placem_Collection'!J122=0,"",'Dry_Litterbag Placem_Collection'!J122)</f>
        <v/>
      </c>
      <c r="AO123" t="str">
        <f>IF('Dry_Litterbag Placem_Collection'!K122=0,"",'Dry_Litterbag Placem_Collection'!K122)</f>
        <v/>
      </c>
      <c r="AP123" t="b">
        <f t="shared" si="38"/>
        <v>1</v>
      </c>
      <c r="AQ123" t="b">
        <f t="shared" si="39"/>
        <v>1</v>
      </c>
      <c r="AT123" t="str">
        <f>'Ashed teabags dry'!A121</f>
        <v>G247</v>
      </c>
      <c r="AU123" t="str">
        <f>'Ashed teabags dry'!A458</f>
        <v>R43</v>
      </c>
      <c r="AV123" t="b">
        <f t="shared" si="40"/>
        <v>0</v>
      </c>
      <c r="AW123" t="b">
        <f t="shared" si="41"/>
        <v>0</v>
      </c>
      <c r="AZ123" s="401" t="b">
        <f t="shared" si="42"/>
        <v>0</v>
      </c>
      <c r="BA123" s="401" t="b">
        <f t="shared" si="43"/>
        <v>0</v>
      </c>
      <c r="BC123" t="str">
        <f>'Ashed teabags wet'!A121</f>
        <v>G519</v>
      </c>
      <c r="BD123" t="str">
        <f>'Ashed teabags wet'!A538</f>
        <v>R302</v>
      </c>
      <c r="BE123" t="b">
        <f t="shared" si="44"/>
        <v>0</v>
      </c>
      <c r="BF123" t="b">
        <f t="shared" si="45"/>
        <v>0</v>
      </c>
      <c r="BG123">
        <f>IFERROR('Ashed teabags wet'!C121,"")</f>
        <v>45</v>
      </c>
      <c r="BH123">
        <f>IFERROR('Ashed teabags wet'!C538,"")</f>
        <v>217</v>
      </c>
      <c r="BI123">
        <f>'Ashed teabags wet'!AB121</f>
        <v>44</v>
      </c>
      <c r="BJ123" t="str">
        <f>'Ashed teabags wet'!AC121</f>
        <v/>
      </c>
      <c r="BK123">
        <f>'Ashed teabags wet'!AD538</f>
        <v>216</v>
      </c>
      <c r="BL123" t="str">
        <f>'Ashed teabags wet'!AE538</f>
        <v/>
      </c>
      <c r="BN123" t="str">
        <f t="shared" si="46"/>
        <v>G518</v>
      </c>
      <c r="BO123" t="b">
        <f t="shared" si="47"/>
        <v>1</v>
      </c>
    </row>
    <row r="124" spans="2:67" ht="12" customHeight="1">
      <c r="B124" t="str">
        <f>TBIDry!H196</f>
        <v>G280</v>
      </c>
      <c r="C124" t="str">
        <f>TBIDry!I196</f>
        <v>R822</v>
      </c>
      <c r="D124" t="b">
        <f t="shared" si="24"/>
        <v>0</v>
      </c>
      <c r="E124" t="b">
        <f t="shared" si="25"/>
        <v>0</v>
      </c>
      <c r="G124" t="str">
        <f>TBIWet!H196</f>
        <v>G666</v>
      </c>
      <c r="H124" t="str">
        <f>TBIWet!I196</f>
        <v>R532</v>
      </c>
      <c r="I124" t="b">
        <f t="shared" si="26"/>
        <v>0</v>
      </c>
      <c r="J124" t="b">
        <f t="shared" si="27"/>
        <v>0</v>
      </c>
      <c r="L124" t="str">
        <f>'Both teabags AfterWet'!A123</f>
        <v>G516</v>
      </c>
      <c r="M124" t="str">
        <f>'Both teabags AfterWet'!A541</f>
        <v>R29</v>
      </c>
      <c r="N124" t="b">
        <f t="shared" si="28"/>
        <v>0</v>
      </c>
      <c r="O124" t="b">
        <f t="shared" si="29"/>
        <v>0</v>
      </c>
      <c r="P124">
        <f>IFERROR('Both teabags AfterWet'!B123,"")</f>
        <v>34</v>
      </c>
      <c r="Q124">
        <f>'Both teabags AfterWet'!B541</f>
        <v>51</v>
      </c>
      <c r="S124" s="401" t="b">
        <f t="shared" si="30"/>
        <v>0</v>
      </c>
      <c r="T124" s="401" t="b">
        <f t="shared" si="31"/>
        <v>0</v>
      </c>
      <c r="V124" t="str">
        <f>'Both teabags AfterDry'!A123</f>
        <v>G247</v>
      </c>
      <c r="W124" t="str">
        <f>'Both teabags AfterDry'!A460</f>
        <v>R455</v>
      </c>
      <c r="X124" t="b">
        <f t="shared" si="32"/>
        <v>0</v>
      </c>
      <c r="Y124" t="b">
        <f t="shared" si="33"/>
        <v>0</v>
      </c>
      <c r="AA124" t="str">
        <f>'Green_rooibos initial weight'!A125</f>
        <v>G121</v>
      </c>
      <c r="AB124" t="str">
        <f>'Green_rooibos initial weight'!A1029</f>
        <v>R121</v>
      </c>
      <c r="AC124" t="b">
        <f t="shared" si="34"/>
        <v>0</v>
      </c>
      <c r="AD124" t="b">
        <f t="shared" si="35"/>
        <v>0</v>
      </c>
      <c r="AG124" t="str">
        <f>'WetLitterbags placem_collection'!K123</f>
        <v>G666</v>
      </c>
      <c r="AH124" t="str">
        <f>'WetLitterbags placem_collection'!M123</f>
        <v>R532</v>
      </c>
      <c r="AI124" t="b">
        <f t="shared" si="36"/>
        <v>0</v>
      </c>
      <c r="AJ124" t="b">
        <f t="shared" si="37"/>
        <v>0</v>
      </c>
      <c r="AK124">
        <f>'WetLitterbags placem_collection'!A123</f>
        <v>121</v>
      </c>
      <c r="AL124">
        <f>'WetLitterbags placem_collection'!A123</f>
        <v>121</v>
      </c>
      <c r="AN124">
        <f>IF('Dry_Litterbag Placem_Collection'!J123=0,"",'Dry_Litterbag Placem_Collection'!J123)</f>
        <v>280</v>
      </c>
      <c r="AO124">
        <f>IF('Dry_Litterbag Placem_Collection'!K123=0,"",'Dry_Litterbag Placem_Collection'!K123)</f>
        <v>822</v>
      </c>
      <c r="AP124" t="b">
        <f t="shared" si="38"/>
        <v>0</v>
      </c>
      <c r="AQ124" t="b">
        <f t="shared" si="39"/>
        <v>0</v>
      </c>
      <c r="AT124" t="str">
        <f>'Ashed teabags dry'!A122</f>
        <v>G248</v>
      </c>
      <c r="AU124" t="str">
        <f>'Ashed teabags dry'!A459</f>
        <v>R443</v>
      </c>
      <c r="AV124" t="b">
        <f t="shared" si="40"/>
        <v>0</v>
      </c>
      <c r="AW124" t="b">
        <f t="shared" si="41"/>
        <v>0</v>
      </c>
      <c r="AZ124" s="401" t="b">
        <f t="shared" si="42"/>
        <v>0</v>
      </c>
      <c r="BA124" s="401" t="b">
        <f t="shared" si="43"/>
        <v>0</v>
      </c>
      <c r="BC124" t="str">
        <f>'Ashed teabags wet'!A122</f>
        <v>G520</v>
      </c>
      <c r="BD124" t="str">
        <f>'Ashed teabags wet'!A539</f>
        <v>R303</v>
      </c>
      <c r="BE124" t="b">
        <f t="shared" si="44"/>
        <v>0</v>
      </c>
      <c r="BF124" t="b">
        <f t="shared" si="45"/>
        <v>0</v>
      </c>
      <c r="BG124">
        <f>IFERROR('Ashed teabags wet'!C122,"")</f>
        <v>84</v>
      </c>
      <c r="BH124">
        <f>IFERROR('Ashed teabags wet'!C539,"")</f>
        <v>200</v>
      </c>
      <c r="BI124" t="str">
        <f>'Ashed teabags wet'!AB122</f>
        <v/>
      </c>
      <c r="BJ124">
        <f>'Ashed teabags wet'!AC122</f>
        <v>83</v>
      </c>
      <c r="BK124">
        <f>'Ashed teabags wet'!AD539</f>
        <v>199</v>
      </c>
      <c r="BL124" t="str">
        <f>'Ashed teabags wet'!AE539</f>
        <v/>
      </c>
      <c r="BN124" t="str">
        <f t="shared" si="46"/>
        <v>G519</v>
      </c>
      <c r="BO124" t="b">
        <f t="shared" si="47"/>
        <v>1</v>
      </c>
    </row>
    <row r="125" spans="2:67" ht="12" customHeight="1">
      <c r="B125" t="str">
        <f>TBIDry!H197</f>
        <v>G231</v>
      </c>
      <c r="C125" t="str">
        <f>TBIDry!I197</f>
        <v>R792</v>
      </c>
      <c r="D125" t="b">
        <f t="shared" si="24"/>
        <v>0</v>
      </c>
      <c r="E125" t="b">
        <f t="shared" si="25"/>
        <v>0</v>
      </c>
      <c r="G125" t="str">
        <f>TBIWet!H197</f>
        <v>G860</v>
      </c>
      <c r="H125" t="str">
        <f>TBIWet!I197</f>
        <v>R11</v>
      </c>
      <c r="I125" t="b">
        <f t="shared" si="26"/>
        <v>0</v>
      </c>
      <c r="J125" t="b">
        <f t="shared" si="27"/>
        <v>0</v>
      </c>
      <c r="L125" t="str">
        <f>'Both teabags AfterWet'!A124</f>
        <v>G518</v>
      </c>
      <c r="M125" t="str">
        <f>'Both teabags AfterWet'!A542</f>
        <v>R290</v>
      </c>
      <c r="N125" t="b">
        <f t="shared" si="28"/>
        <v>0</v>
      </c>
      <c r="O125" t="b">
        <f t="shared" si="29"/>
        <v>0</v>
      </c>
      <c r="P125" t="str">
        <f>IFERROR('Both teabags AfterWet'!B124,"")</f>
        <v>n.a</v>
      </c>
      <c r="Q125">
        <f>'Both teabags AfterWet'!B542</f>
        <v>183</v>
      </c>
      <c r="S125" s="401" t="b">
        <f t="shared" si="30"/>
        <v>0</v>
      </c>
      <c r="T125" s="401" t="b">
        <f t="shared" si="31"/>
        <v>0</v>
      </c>
      <c r="V125" t="str">
        <f>'Both teabags AfterDry'!A124</f>
        <v>G248</v>
      </c>
      <c r="W125" t="str">
        <f>'Both teabags AfterDry'!A461</f>
        <v>R491</v>
      </c>
      <c r="X125" t="b">
        <f t="shared" si="32"/>
        <v>0</v>
      </c>
      <c r="Y125" t="b">
        <f t="shared" si="33"/>
        <v>0</v>
      </c>
      <c r="AA125" t="str">
        <f>'Green_rooibos initial weight'!A126</f>
        <v>G122</v>
      </c>
      <c r="AB125" t="str">
        <f>'Green_rooibos initial weight'!A1030</f>
        <v>R122</v>
      </c>
      <c r="AC125" t="b">
        <f t="shared" si="34"/>
        <v>0</v>
      </c>
      <c r="AD125" t="b">
        <f t="shared" si="35"/>
        <v>0</v>
      </c>
      <c r="AG125" t="str">
        <f>'WetLitterbags placem_collection'!K124</f>
        <v>G860</v>
      </c>
      <c r="AH125" t="str">
        <f>'WetLitterbags placem_collection'!M124</f>
        <v>R11</v>
      </c>
      <c r="AI125" t="b">
        <f t="shared" si="36"/>
        <v>0</v>
      </c>
      <c r="AJ125" t="b">
        <f t="shared" si="37"/>
        <v>0</v>
      </c>
      <c r="AK125">
        <f>'WetLitterbags placem_collection'!A124</f>
        <v>122</v>
      </c>
      <c r="AL125">
        <f>'WetLitterbags placem_collection'!A124</f>
        <v>122</v>
      </c>
      <c r="AN125">
        <f>IF('Dry_Litterbag Placem_Collection'!J124=0,"",'Dry_Litterbag Placem_Collection'!J124)</f>
        <v>231</v>
      </c>
      <c r="AO125">
        <f>IF('Dry_Litterbag Placem_Collection'!K124=0,"",'Dry_Litterbag Placem_Collection'!K124)</f>
        <v>792</v>
      </c>
      <c r="AP125" t="b">
        <f t="shared" si="38"/>
        <v>0</v>
      </c>
      <c r="AQ125" t="b">
        <f t="shared" si="39"/>
        <v>0</v>
      </c>
      <c r="AT125" t="str">
        <f>'Ashed teabags dry'!A123</f>
        <v>G25</v>
      </c>
      <c r="AU125" t="str">
        <f>'Ashed teabags dry'!A460</f>
        <v>R455</v>
      </c>
      <c r="AV125" t="b">
        <f t="shared" si="40"/>
        <v>0</v>
      </c>
      <c r="AW125" t="b">
        <f t="shared" si="41"/>
        <v>0</v>
      </c>
      <c r="AZ125" s="401" t="b">
        <f t="shared" si="42"/>
        <v>0</v>
      </c>
      <c r="BA125" s="401" t="b">
        <f t="shared" si="43"/>
        <v>0</v>
      </c>
      <c r="BC125" t="str">
        <f>'Ashed teabags wet'!A123</f>
        <v>G521</v>
      </c>
      <c r="BD125" t="str">
        <f>'Ashed teabags wet'!A540</f>
        <v>R307</v>
      </c>
      <c r="BE125" t="b">
        <f t="shared" si="44"/>
        <v>0</v>
      </c>
      <c r="BF125" t="b">
        <f t="shared" si="45"/>
        <v>0</v>
      </c>
      <c r="BG125">
        <f>IFERROR('Ashed teabags wet'!C123,"")</f>
        <v>31</v>
      </c>
      <c r="BH125">
        <f>IFERROR('Ashed teabags wet'!C540,"")</f>
        <v>174</v>
      </c>
      <c r="BI125" t="str">
        <f>'Ashed teabags wet'!AB123</f>
        <v/>
      </c>
      <c r="BJ125">
        <f>'Ashed teabags wet'!AC123</f>
        <v>30</v>
      </c>
      <c r="BK125">
        <f>'Ashed teabags wet'!AD540</f>
        <v>173</v>
      </c>
      <c r="BL125" t="str">
        <f>'Ashed teabags wet'!AE540</f>
        <v/>
      </c>
      <c r="BN125" t="str">
        <f t="shared" si="46"/>
        <v>G520</v>
      </c>
      <c r="BO125" t="b">
        <f t="shared" si="47"/>
        <v>1</v>
      </c>
    </row>
    <row r="126" spans="2:67" ht="12" customHeight="1">
      <c r="B126" t="str">
        <f>TBIDry!H198</f>
        <v>G292</v>
      </c>
      <c r="C126" t="str">
        <f>TBIDry!I198</f>
        <v>R740</v>
      </c>
      <c r="D126" t="b">
        <f t="shared" si="24"/>
        <v>0</v>
      </c>
      <c r="E126" t="b">
        <f t="shared" si="25"/>
        <v>0</v>
      </c>
      <c r="G126" t="str">
        <f>TBIWet!H198</f>
        <v>G694</v>
      </c>
      <c r="H126" t="str">
        <f>TBIWet!I198</f>
        <v>R575</v>
      </c>
      <c r="I126" t="b">
        <f t="shared" si="26"/>
        <v>0</v>
      </c>
      <c r="J126" t="b">
        <f t="shared" si="27"/>
        <v>0</v>
      </c>
      <c r="L126" t="str">
        <f>'Both teabags AfterWet'!A125</f>
        <v>G519</v>
      </c>
      <c r="M126" t="str">
        <f>'Both teabags AfterWet'!A543</f>
        <v>R291</v>
      </c>
      <c r="N126" t="b">
        <f t="shared" si="28"/>
        <v>0</v>
      </c>
      <c r="O126" t="b">
        <f t="shared" si="29"/>
        <v>0</v>
      </c>
      <c r="P126">
        <f>IFERROR('Both teabags AfterWet'!B125,"")</f>
        <v>45</v>
      </c>
      <c r="Q126" t="str">
        <f>'Both teabags AfterWet'!B543</f>
        <v>n.a</v>
      </c>
      <c r="S126" s="401" t="b">
        <f t="shared" si="30"/>
        <v>0</v>
      </c>
      <c r="T126" s="401" t="b">
        <f t="shared" si="31"/>
        <v>0</v>
      </c>
      <c r="V126" t="str">
        <f>'Both teabags AfterDry'!A125</f>
        <v>G25</v>
      </c>
      <c r="W126" s="113" t="str">
        <f>'Both teabags AfterDry'!A462</f>
        <v>R493</v>
      </c>
      <c r="X126" t="b">
        <f t="shared" si="32"/>
        <v>0</v>
      </c>
      <c r="Y126" t="b">
        <f t="shared" si="33"/>
        <v>0</v>
      </c>
      <c r="AA126" t="str">
        <f>'Green_rooibos initial weight'!A127</f>
        <v>G123</v>
      </c>
      <c r="AB126" t="str">
        <f>'Green_rooibos initial weight'!A1031</f>
        <v>R123</v>
      </c>
      <c r="AC126" t="b">
        <f t="shared" si="34"/>
        <v>0</v>
      </c>
      <c r="AD126" t="b">
        <f t="shared" si="35"/>
        <v>0</v>
      </c>
      <c r="AG126" t="str">
        <f>'WetLitterbags placem_collection'!K125</f>
        <v>G694</v>
      </c>
      <c r="AH126" t="str">
        <f>'WetLitterbags placem_collection'!M125</f>
        <v>R575</v>
      </c>
      <c r="AI126" t="b">
        <f t="shared" si="36"/>
        <v>0</v>
      </c>
      <c r="AJ126" t="b">
        <f t="shared" si="37"/>
        <v>0</v>
      </c>
      <c r="AK126">
        <f>'WetLitterbags placem_collection'!A125</f>
        <v>123</v>
      </c>
      <c r="AL126">
        <f>'WetLitterbags placem_collection'!A125</f>
        <v>123</v>
      </c>
      <c r="AN126">
        <f>IF('Dry_Litterbag Placem_Collection'!J125=0,"",'Dry_Litterbag Placem_Collection'!J125)</f>
        <v>292</v>
      </c>
      <c r="AO126">
        <f>IF('Dry_Litterbag Placem_Collection'!K125=0,"",'Dry_Litterbag Placem_Collection'!K125)</f>
        <v>740</v>
      </c>
      <c r="AP126" t="b">
        <f t="shared" si="38"/>
        <v>0</v>
      </c>
      <c r="AQ126" t="b">
        <f t="shared" si="39"/>
        <v>0</v>
      </c>
      <c r="AT126" t="str">
        <f>'Ashed teabags dry'!A124</f>
        <v>G250</v>
      </c>
      <c r="AU126" t="str">
        <f>'Ashed teabags dry'!A461</f>
        <v>R491</v>
      </c>
      <c r="AV126" t="b">
        <f t="shared" si="40"/>
        <v>0</v>
      </c>
      <c r="AW126" t="b">
        <f t="shared" si="41"/>
        <v>0</v>
      </c>
      <c r="AZ126" s="401" t="b">
        <f t="shared" si="42"/>
        <v>0</v>
      </c>
      <c r="BA126" s="401" t="b">
        <f t="shared" si="43"/>
        <v>0</v>
      </c>
      <c r="BC126" t="str">
        <f>'Ashed teabags wet'!A124</f>
        <v>G522</v>
      </c>
      <c r="BD126" t="str">
        <f>'Ashed teabags wet'!A541</f>
        <v>R309</v>
      </c>
      <c r="BE126" t="b">
        <f t="shared" si="44"/>
        <v>0</v>
      </c>
      <c r="BF126" t="b">
        <f t="shared" si="45"/>
        <v>0</v>
      </c>
      <c r="BG126">
        <f>IFERROR('Ashed teabags wet'!C124,"")</f>
        <v>191</v>
      </c>
      <c r="BH126">
        <f>IFERROR('Ashed teabags wet'!C541,"")</f>
        <v>178</v>
      </c>
      <c r="BI126">
        <f>'Ashed teabags wet'!AB124</f>
        <v>190</v>
      </c>
      <c r="BJ126" t="str">
        <f>'Ashed teabags wet'!AC124</f>
        <v/>
      </c>
      <c r="BK126">
        <f>'Ashed teabags wet'!AD541</f>
        <v>177</v>
      </c>
      <c r="BL126" t="str">
        <f>'Ashed teabags wet'!AE541</f>
        <v/>
      </c>
      <c r="BN126" t="str">
        <f t="shared" si="46"/>
        <v>G521</v>
      </c>
      <c r="BO126" t="b">
        <f t="shared" si="47"/>
        <v>1</v>
      </c>
    </row>
    <row r="127" spans="2:67" ht="12" customHeight="1">
      <c r="B127" t="str">
        <f>TBIDry!H199</f>
        <v>G116</v>
      </c>
      <c r="C127" t="str">
        <f>TBIDry!I199</f>
        <v>R797</v>
      </c>
      <c r="D127" t="b">
        <f t="shared" si="24"/>
        <v>0</v>
      </c>
      <c r="E127" t="b">
        <f t="shared" si="25"/>
        <v>0</v>
      </c>
      <c r="G127" t="str">
        <f>TBIWet!H199</f>
        <v>G867</v>
      </c>
      <c r="H127" t="str">
        <f>TBIWet!I199</f>
        <v>R39</v>
      </c>
      <c r="I127" t="b">
        <f t="shared" si="26"/>
        <v>0</v>
      </c>
      <c r="J127" t="b">
        <f t="shared" si="27"/>
        <v>0</v>
      </c>
      <c r="L127" t="str">
        <f>'Both teabags AfterWet'!A126</f>
        <v>G520</v>
      </c>
      <c r="M127" t="str">
        <f>'Both teabags AfterWet'!A544</f>
        <v>R293</v>
      </c>
      <c r="N127" t="b">
        <f t="shared" si="28"/>
        <v>0</v>
      </c>
      <c r="O127" t="b">
        <f t="shared" si="29"/>
        <v>0</v>
      </c>
      <c r="P127">
        <f>IFERROR('Both teabags AfterWet'!B126,"")</f>
        <v>84</v>
      </c>
      <c r="Q127">
        <f>'Both teabags AfterWet'!B544</f>
        <v>81</v>
      </c>
      <c r="S127" s="401" t="b">
        <f t="shared" si="30"/>
        <v>0</v>
      </c>
      <c r="T127" s="401" t="b">
        <f t="shared" si="31"/>
        <v>0</v>
      </c>
      <c r="V127" t="str">
        <f>'Both teabags AfterDry'!A126</f>
        <v>G250</v>
      </c>
      <c r="W127" t="str">
        <f>'Both teabags AfterDry'!A463</f>
        <v>R5</v>
      </c>
      <c r="X127" t="b">
        <f t="shared" si="32"/>
        <v>0</v>
      </c>
      <c r="Y127" t="b">
        <f t="shared" si="33"/>
        <v>0</v>
      </c>
      <c r="AA127" t="str">
        <f>'Green_rooibos initial weight'!A128</f>
        <v>G124</v>
      </c>
      <c r="AB127" t="str">
        <f>'Green_rooibos initial weight'!A1032</f>
        <v>R124</v>
      </c>
      <c r="AC127" t="b">
        <f t="shared" si="34"/>
        <v>0</v>
      </c>
      <c r="AD127" t="b">
        <f t="shared" si="35"/>
        <v>0</v>
      </c>
      <c r="AG127" t="str">
        <f>'WetLitterbags placem_collection'!K126</f>
        <v>G867</v>
      </c>
      <c r="AH127" t="str">
        <f>'WetLitterbags placem_collection'!M126</f>
        <v>R39</v>
      </c>
      <c r="AI127" t="b">
        <f t="shared" si="36"/>
        <v>0</v>
      </c>
      <c r="AJ127" t="b">
        <f t="shared" si="37"/>
        <v>0</v>
      </c>
      <c r="AK127">
        <f>'WetLitterbags placem_collection'!A126</f>
        <v>124</v>
      </c>
      <c r="AL127">
        <f>'WetLitterbags placem_collection'!A126</f>
        <v>124</v>
      </c>
      <c r="AN127">
        <f>IF('Dry_Litterbag Placem_Collection'!J126=0,"",'Dry_Litterbag Placem_Collection'!J126)</f>
        <v>116</v>
      </c>
      <c r="AO127">
        <f>IF('Dry_Litterbag Placem_Collection'!K126=0,"",'Dry_Litterbag Placem_Collection'!K126)</f>
        <v>797</v>
      </c>
      <c r="AP127" t="b">
        <f t="shared" si="38"/>
        <v>0</v>
      </c>
      <c r="AQ127" t="b">
        <f t="shared" si="39"/>
        <v>0</v>
      </c>
      <c r="AT127" t="str">
        <f>'Ashed teabags dry'!A125</f>
        <v>G253</v>
      </c>
      <c r="AU127" t="str">
        <f>'Ashed teabags dry'!A462</f>
        <v>R5</v>
      </c>
      <c r="AV127" t="b">
        <f t="shared" si="40"/>
        <v>0</v>
      </c>
      <c r="AW127" t="b">
        <f t="shared" si="41"/>
        <v>0</v>
      </c>
      <c r="AZ127" s="401" t="b">
        <f t="shared" si="42"/>
        <v>0</v>
      </c>
      <c r="BA127" s="401" t="b">
        <f t="shared" si="43"/>
        <v>0</v>
      </c>
      <c r="BC127" t="str">
        <f>'Ashed teabags wet'!A125</f>
        <v>G523</v>
      </c>
      <c r="BD127" t="str">
        <f>'Ashed teabags wet'!A542</f>
        <v>R311</v>
      </c>
      <c r="BE127" t="b">
        <f t="shared" si="44"/>
        <v>0</v>
      </c>
      <c r="BF127" t="b">
        <f t="shared" si="45"/>
        <v>0</v>
      </c>
      <c r="BG127">
        <f>IFERROR('Ashed teabags wet'!C125,"")</f>
        <v>11</v>
      </c>
      <c r="BH127">
        <f>IFERROR('Ashed teabags wet'!C542,"")</f>
        <v>75</v>
      </c>
      <c r="BI127" t="str">
        <f>'Ashed teabags wet'!AB125</f>
        <v/>
      </c>
      <c r="BJ127">
        <f>'Ashed teabags wet'!AC125</f>
        <v>10</v>
      </c>
      <c r="BK127" t="str">
        <f>'Ashed teabags wet'!AD542</f>
        <v/>
      </c>
      <c r="BL127">
        <f>'Ashed teabags wet'!AE542</f>
        <v>74</v>
      </c>
      <c r="BN127" t="str">
        <f t="shared" si="46"/>
        <v>G522</v>
      </c>
      <c r="BO127" t="b">
        <f t="shared" si="47"/>
        <v>1</v>
      </c>
    </row>
    <row r="128" spans="2:67" ht="12" customHeight="1">
      <c r="B128" t="str">
        <f>TBIDry!H200</f>
        <v>G50</v>
      </c>
      <c r="C128" t="str">
        <f>TBIDry!I200</f>
        <v>R795</v>
      </c>
      <c r="D128" t="b">
        <f t="shared" si="24"/>
        <v>0</v>
      </c>
      <c r="E128" t="b">
        <f t="shared" si="25"/>
        <v>0</v>
      </c>
      <c r="G128" t="str">
        <f>TBIWet!H200</f>
        <v>G793</v>
      </c>
      <c r="H128" t="str">
        <f>TBIWet!I200</f>
        <v>R560</v>
      </c>
      <c r="I128" t="b">
        <f t="shared" si="26"/>
        <v>0</v>
      </c>
      <c r="J128" t="b">
        <f t="shared" si="27"/>
        <v>0</v>
      </c>
      <c r="L128" t="str">
        <f>'Both teabags AfterWet'!A127</f>
        <v>G521</v>
      </c>
      <c r="M128" t="str">
        <f>'Both teabags AfterWet'!A545</f>
        <v>R296</v>
      </c>
      <c r="N128" t="b">
        <f t="shared" si="28"/>
        <v>0</v>
      </c>
      <c r="O128" t="b">
        <f t="shared" si="29"/>
        <v>0</v>
      </c>
      <c r="P128" t="str">
        <f>IFERROR('Both teabags AfterWet'!B127,"")</f>
        <v>n.a</v>
      </c>
      <c r="Q128" t="str">
        <f>'Both teabags AfterWet'!B545</f>
        <v>n.a</v>
      </c>
      <c r="S128" s="401" t="b">
        <f t="shared" si="30"/>
        <v>0</v>
      </c>
      <c r="T128" s="401" t="b">
        <f t="shared" si="31"/>
        <v>0</v>
      </c>
      <c r="V128" t="str">
        <f>'Both teabags AfterDry'!A127</f>
        <v>G253</v>
      </c>
      <c r="W128" t="str">
        <f>'Both teabags AfterDry'!A464</f>
        <v>R514</v>
      </c>
      <c r="X128" t="b">
        <f t="shared" si="32"/>
        <v>0</v>
      </c>
      <c r="Y128" t="b">
        <f t="shared" si="33"/>
        <v>0</v>
      </c>
      <c r="AA128" t="str">
        <f>'Green_rooibos initial weight'!A129</f>
        <v>G125</v>
      </c>
      <c r="AB128" t="str">
        <f>'Green_rooibos initial weight'!A1033</f>
        <v>R125</v>
      </c>
      <c r="AC128" t="b">
        <f t="shared" si="34"/>
        <v>0</v>
      </c>
      <c r="AD128" t="b">
        <f t="shared" si="35"/>
        <v>0</v>
      </c>
      <c r="AG128" t="str">
        <f>'WetLitterbags placem_collection'!K127</f>
        <v>G793</v>
      </c>
      <c r="AH128" t="str">
        <f>'WetLitterbags placem_collection'!M127</f>
        <v>R560</v>
      </c>
      <c r="AI128" t="b">
        <f t="shared" si="36"/>
        <v>0</v>
      </c>
      <c r="AJ128" t="b">
        <f t="shared" si="37"/>
        <v>0</v>
      </c>
      <c r="AK128">
        <f>'WetLitterbags placem_collection'!A127</f>
        <v>125</v>
      </c>
      <c r="AL128">
        <f>'WetLitterbags placem_collection'!A127</f>
        <v>125</v>
      </c>
      <c r="AN128">
        <f>IF('Dry_Litterbag Placem_Collection'!J127=0,"",'Dry_Litterbag Placem_Collection'!J127)</f>
        <v>50</v>
      </c>
      <c r="AO128">
        <f>IF('Dry_Litterbag Placem_Collection'!K127=0,"",'Dry_Litterbag Placem_Collection'!K127)</f>
        <v>795</v>
      </c>
      <c r="AP128" t="b">
        <f t="shared" si="38"/>
        <v>0</v>
      </c>
      <c r="AQ128" t="b">
        <f t="shared" si="39"/>
        <v>0</v>
      </c>
      <c r="AT128" t="str">
        <f>'Ashed teabags dry'!A126</f>
        <v>G254</v>
      </c>
      <c r="AU128" t="str">
        <f>'Ashed teabags dry'!A463</f>
        <v>R514</v>
      </c>
      <c r="AV128" t="b">
        <f t="shared" si="40"/>
        <v>0</v>
      </c>
      <c r="AW128" t="b">
        <f t="shared" si="41"/>
        <v>0</v>
      </c>
      <c r="AZ128" s="401" t="b">
        <f t="shared" si="42"/>
        <v>0</v>
      </c>
      <c r="BA128" s="401" t="b">
        <f t="shared" si="43"/>
        <v>0</v>
      </c>
      <c r="BC128" t="str">
        <f>'Ashed teabags wet'!A126</f>
        <v>G524</v>
      </c>
      <c r="BD128" t="str">
        <f>'Ashed teabags wet'!A543</f>
        <v>R312</v>
      </c>
      <c r="BE128" t="b">
        <f t="shared" si="44"/>
        <v>0</v>
      </c>
      <c r="BF128" t="b">
        <f t="shared" si="45"/>
        <v>1</v>
      </c>
      <c r="BG128">
        <f>IFERROR('Ashed teabags wet'!C126,"")</f>
        <v>20</v>
      </c>
      <c r="BH128">
        <f>IFERROR('Ashed teabags wet'!C543,"")</f>
        <v>52</v>
      </c>
      <c r="BI128">
        <f>'Ashed teabags wet'!AB126</f>
        <v>19</v>
      </c>
      <c r="BJ128" t="str">
        <f>'Ashed teabags wet'!AC126</f>
        <v/>
      </c>
      <c r="BK128" t="str">
        <f>'Ashed teabags wet'!AD543</f>
        <v/>
      </c>
      <c r="BL128">
        <f>'Ashed teabags wet'!AE543</f>
        <v>51</v>
      </c>
      <c r="BN128" t="str">
        <f t="shared" si="46"/>
        <v>G523</v>
      </c>
      <c r="BO128" t="b">
        <f t="shared" si="47"/>
        <v>1</v>
      </c>
    </row>
    <row r="129" spans="2:67" ht="12" customHeight="1">
      <c r="B129" t="str">
        <f>TBIDry!H201</f>
        <v/>
      </c>
      <c r="C129" t="str">
        <f>TBIDry!I201</f>
        <v/>
      </c>
      <c r="D129" t="b">
        <f t="shared" si="24"/>
        <v>1</v>
      </c>
      <c r="E129" t="b">
        <f t="shared" si="25"/>
        <v>1</v>
      </c>
      <c r="G129" t="str">
        <f>TBIWet!H201</f>
        <v>G749</v>
      </c>
      <c r="H129" t="str">
        <f>TBIWet!I201</f>
        <v>R562</v>
      </c>
      <c r="I129" t="b">
        <f t="shared" si="26"/>
        <v>0</v>
      </c>
      <c r="J129" t="b">
        <f t="shared" si="27"/>
        <v>0</v>
      </c>
      <c r="L129" t="str">
        <f>'Both teabags AfterWet'!A128</f>
        <v>G522</v>
      </c>
      <c r="M129" t="str">
        <f>'Both teabags AfterWet'!A546</f>
        <v>R3</v>
      </c>
      <c r="N129" t="b">
        <f t="shared" si="28"/>
        <v>0</v>
      </c>
      <c r="O129" t="b">
        <f t="shared" si="29"/>
        <v>0</v>
      </c>
      <c r="P129" t="str">
        <f>IFERROR('Both teabags AfterWet'!B128,"")</f>
        <v>n.a</v>
      </c>
      <c r="Q129" t="str">
        <f>'Both teabags AfterWet'!B546</f>
        <v>n.a</v>
      </c>
      <c r="S129" s="401" t="b">
        <f t="shared" si="30"/>
        <v>0</v>
      </c>
      <c r="T129" s="401" t="b">
        <f t="shared" si="31"/>
        <v>0</v>
      </c>
      <c r="V129" t="str">
        <f>'Both teabags AfterDry'!A128</f>
        <v>G254</v>
      </c>
      <c r="W129" t="str">
        <f>'Both teabags AfterDry'!A465</f>
        <v>R516</v>
      </c>
      <c r="X129" t="b">
        <f t="shared" si="32"/>
        <v>0</v>
      </c>
      <c r="Y129" t="b">
        <f t="shared" si="33"/>
        <v>0</v>
      </c>
      <c r="AA129" t="str">
        <f>'Green_rooibos initial weight'!A130</f>
        <v>G126</v>
      </c>
      <c r="AB129" t="str">
        <f>'Green_rooibos initial weight'!A1034</f>
        <v>R126</v>
      </c>
      <c r="AC129" t="b">
        <f t="shared" si="34"/>
        <v>0</v>
      </c>
      <c r="AD129" t="b">
        <f t="shared" si="35"/>
        <v>0</v>
      </c>
      <c r="AG129" t="str">
        <f>'WetLitterbags placem_collection'!K128</f>
        <v>G749</v>
      </c>
      <c r="AH129" t="str">
        <f>'WetLitterbags placem_collection'!M128</f>
        <v>R562</v>
      </c>
      <c r="AI129" t="b">
        <f t="shared" si="36"/>
        <v>0</v>
      </c>
      <c r="AJ129" t="b">
        <f t="shared" si="37"/>
        <v>0</v>
      </c>
      <c r="AK129">
        <f>'WetLitterbags placem_collection'!A128</f>
        <v>126</v>
      </c>
      <c r="AL129">
        <f>'WetLitterbags placem_collection'!A128</f>
        <v>126</v>
      </c>
      <c r="AN129" t="str">
        <f>IF('Dry_Litterbag Placem_Collection'!J128=0,"",'Dry_Litterbag Placem_Collection'!J128)</f>
        <v/>
      </c>
      <c r="AO129" t="str">
        <f>IF('Dry_Litterbag Placem_Collection'!K128=0,"",'Dry_Litterbag Placem_Collection'!K128)</f>
        <v/>
      </c>
      <c r="AP129" t="b">
        <f t="shared" si="38"/>
        <v>1</v>
      </c>
      <c r="AQ129" t="b">
        <f t="shared" si="39"/>
        <v>1</v>
      </c>
      <c r="AT129" t="str">
        <f>'Ashed teabags dry'!A127</f>
        <v>G255</v>
      </c>
      <c r="AU129" t="str">
        <f>'Ashed teabags dry'!A464</f>
        <v>R516</v>
      </c>
      <c r="AV129" s="113" t="b">
        <f t="shared" si="40"/>
        <v>1</v>
      </c>
      <c r="AW129" t="b">
        <f t="shared" si="41"/>
        <v>0</v>
      </c>
      <c r="AZ129" s="401" t="b">
        <f t="shared" si="42"/>
        <v>0</v>
      </c>
      <c r="BA129" s="401" t="b">
        <f t="shared" si="43"/>
        <v>0</v>
      </c>
      <c r="BC129" t="str">
        <f>'Ashed teabags wet'!A127</f>
        <v>G525</v>
      </c>
      <c r="BD129" t="str">
        <f>'Ashed teabags wet'!A544</f>
        <v>R312</v>
      </c>
      <c r="BE129" t="b">
        <f t="shared" si="44"/>
        <v>0</v>
      </c>
      <c r="BF129" t="b">
        <f t="shared" si="45"/>
        <v>1</v>
      </c>
      <c r="BG129">
        <f>IFERROR('Ashed teabags wet'!C127,"")</f>
        <v>195</v>
      </c>
      <c r="BH129">
        <f>IFERROR('Ashed teabags wet'!C544,"")</f>
        <v>58</v>
      </c>
      <c r="BI129" t="str">
        <f>'Ashed teabags wet'!AB127</f>
        <v/>
      </c>
      <c r="BJ129">
        <f>'Ashed teabags wet'!AC127</f>
        <v>194</v>
      </c>
      <c r="BK129" t="str">
        <f>'Ashed teabags wet'!AD544</f>
        <v/>
      </c>
      <c r="BL129">
        <f>'Ashed teabags wet'!AE544</f>
        <v>51</v>
      </c>
      <c r="BN129" t="str">
        <f t="shared" si="46"/>
        <v>G524</v>
      </c>
      <c r="BO129" t="b">
        <f t="shared" si="47"/>
        <v>1</v>
      </c>
    </row>
    <row r="130" spans="2:67" ht="12" customHeight="1">
      <c r="B130" t="str">
        <f>TBIDry!H202</f>
        <v>G318</v>
      </c>
      <c r="C130" t="str">
        <f>TBIDry!I202</f>
        <v>R751</v>
      </c>
      <c r="D130" t="b">
        <f t="shared" si="24"/>
        <v>0</v>
      </c>
      <c r="E130" t="b">
        <f t="shared" si="25"/>
        <v>0</v>
      </c>
      <c r="G130" t="str">
        <f>TBIWet!H202</f>
        <v>G898</v>
      </c>
      <c r="H130" t="str">
        <f>TBIWet!I202</f>
        <v>R506</v>
      </c>
      <c r="I130" t="b">
        <f t="shared" si="26"/>
        <v>0</v>
      </c>
      <c r="J130" t="b">
        <f t="shared" si="27"/>
        <v>0</v>
      </c>
      <c r="L130" t="str">
        <f>'Both teabags AfterWet'!A129</f>
        <v>G523</v>
      </c>
      <c r="M130" t="str">
        <f>'Both teabags AfterWet'!A547</f>
        <v>R30</v>
      </c>
      <c r="N130" t="b">
        <f t="shared" si="28"/>
        <v>0</v>
      </c>
      <c r="O130" t="b">
        <f t="shared" si="29"/>
        <v>0</v>
      </c>
      <c r="P130" t="str">
        <f>IFERROR('Both teabags AfterWet'!B129,"")</f>
        <v>n.a</v>
      </c>
      <c r="Q130">
        <f>'Both teabags AfterWet'!B547</f>
        <v>157</v>
      </c>
      <c r="S130" s="401" t="b">
        <f t="shared" si="30"/>
        <v>0</v>
      </c>
      <c r="T130" s="401" t="b">
        <f t="shared" si="31"/>
        <v>0</v>
      </c>
      <c r="V130" t="str">
        <f>'Both teabags AfterDry'!A129</f>
        <v>G255</v>
      </c>
      <c r="W130" t="str">
        <f>'Both teabags AfterDry'!A466</f>
        <v>R52</v>
      </c>
      <c r="X130" t="b">
        <f t="shared" si="32"/>
        <v>0</v>
      </c>
      <c r="Y130" t="b">
        <f t="shared" si="33"/>
        <v>0</v>
      </c>
      <c r="AA130" t="str">
        <f>'Green_rooibos initial weight'!A131</f>
        <v>G127</v>
      </c>
      <c r="AB130" t="str">
        <f>'Green_rooibos initial weight'!A1035</f>
        <v>R127</v>
      </c>
      <c r="AC130" t="b">
        <f t="shared" si="34"/>
        <v>0</v>
      </c>
      <c r="AD130" t="b">
        <f t="shared" si="35"/>
        <v>0</v>
      </c>
      <c r="AG130" t="str">
        <f>'WetLitterbags placem_collection'!K129</f>
        <v>G898</v>
      </c>
      <c r="AH130" t="str">
        <f>'WetLitterbags placem_collection'!M129</f>
        <v>R506</v>
      </c>
      <c r="AI130" t="b">
        <f t="shared" si="36"/>
        <v>0</v>
      </c>
      <c r="AJ130" t="b">
        <f t="shared" si="37"/>
        <v>0</v>
      </c>
      <c r="AK130">
        <f>'WetLitterbags placem_collection'!A129</f>
        <v>127</v>
      </c>
      <c r="AL130">
        <f>'WetLitterbags placem_collection'!A129</f>
        <v>127</v>
      </c>
      <c r="AN130">
        <f>IF('Dry_Litterbag Placem_Collection'!J129=0,"",'Dry_Litterbag Placem_Collection'!J129)</f>
        <v>318</v>
      </c>
      <c r="AO130">
        <f>IF('Dry_Litterbag Placem_Collection'!K129=0,"",'Dry_Litterbag Placem_Collection'!K129)</f>
        <v>751</v>
      </c>
      <c r="AP130" t="b">
        <f t="shared" si="38"/>
        <v>0</v>
      </c>
      <c r="AQ130" t="b">
        <f t="shared" si="39"/>
        <v>0</v>
      </c>
      <c r="AT130" t="str">
        <f>'Ashed teabags dry'!A128</f>
        <v>G255</v>
      </c>
      <c r="AU130" t="str">
        <f>'Ashed teabags dry'!A465</f>
        <v>R52</v>
      </c>
      <c r="AV130" s="113" t="b">
        <f t="shared" si="40"/>
        <v>1</v>
      </c>
      <c r="AW130" t="b">
        <f t="shared" si="41"/>
        <v>0</v>
      </c>
      <c r="AZ130" s="401" t="b">
        <f t="shared" si="42"/>
        <v>0</v>
      </c>
      <c r="BA130" s="401" t="b">
        <f t="shared" si="43"/>
        <v>0</v>
      </c>
      <c r="BC130" t="str">
        <f>'Ashed teabags wet'!A128</f>
        <v>G526</v>
      </c>
      <c r="BD130" t="str">
        <f>'Ashed teabags wet'!A545</f>
        <v>R315</v>
      </c>
      <c r="BE130" t="b">
        <f t="shared" si="44"/>
        <v>0</v>
      </c>
      <c r="BF130" t="b">
        <f t="shared" si="45"/>
        <v>0</v>
      </c>
      <c r="BG130">
        <f>IFERROR('Ashed teabags wet'!C128,"")</f>
        <v>190</v>
      </c>
      <c r="BH130">
        <f>IFERROR('Ashed teabags wet'!C545,"")</f>
        <v>85</v>
      </c>
      <c r="BI130">
        <f>'Ashed teabags wet'!AB128</f>
        <v>189</v>
      </c>
      <c r="BJ130" t="str">
        <f>'Ashed teabags wet'!AC128</f>
        <v/>
      </c>
      <c r="BK130">
        <f>'Ashed teabags wet'!AD545</f>
        <v>84</v>
      </c>
      <c r="BL130" t="str">
        <f>'Ashed teabags wet'!AE545</f>
        <v/>
      </c>
      <c r="BN130" t="str">
        <f t="shared" si="46"/>
        <v>G525</v>
      </c>
      <c r="BO130" t="b">
        <f t="shared" si="47"/>
        <v>1</v>
      </c>
    </row>
    <row r="131" spans="2:67" ht="12" customHeight="1">
      <c r="B131" t="str">
        <f>TBIDry!H203</f>
        <v>G34</v>
      </c>
      <c r="C131" t="str">
        <f>TBIDry!I203</f>
        <v>R819</v>
      </c>
      <c r="D131" t="b">
        <f t="shared" si="24"/>
        <v>0</v>
      </c>
      <c r="E131" s="113" t="b">
        <f t="shared" si="25"/>
        <v>1</v>
      </c>
      <c r="G131" t="str">
        <f>TBIWet!H203</f>
        <v>G834</v>
      </c>
      <c r="H131" t="str">
        <f>TBIWet!I203</f>
        <v>R554</v>
      </c>
      <c r="I131" t="b">
        <f t="shared" si="26"/>
        <v>0</v>
      </c>
      <c r="J131" t="b">
        <f t="shared" si="27"/>
        <v>0</v>
      </c>
      <c r="L131" t="str">
        <f>'Both teabags AfterWet'!A130</f>
        <v>G524</v>
      </c>
      <c r="M131" t="str">
        <f>'Both teabags AfterWet'!A548</f>
        <v>R301</v>
      </c>
      <c r="N131" t="b">
        <f t="shared" si="28"/>
        <v>0</v>
      </c>
      <c r="O131" t="b">
        <f t="shared" si="29"/>
        <v>0</v>
      </c>
      <c r="P131">
        <f>IFERROR('Both teabags AfterWet'!B130,"")</f>
        <v>20</v>
      </c>
      <c r="Q131">
        <f>'Both teabags AfterWet'!B548</f>
        <v>180</v>
      </c>
      <c r="S131" s="401" t="b">
        <f t="shared" si="30"/>
        <v>0</v>
      </c>
      <c r="T131" s="401" t="b">
        <f t="shared" si="31"/>
        <v>0</v>
      </c>
      <c r="V131" t="str">
        <f>'Both teabags AfterDry'!A130</f>
        <v>G256</v>
      </c>
      <c r="W131" t="str">
        <f>'Both teabags AfterDry'!A467</f>
        <v>R551</v>
      </c>
      <c r="X131" t="b">
        <f t="shared" si="32"/>
        <v>0</v>
      </c>
      <c r="Y131" t="b">
        <f t="shared" si="33"/>
        <v>0</v>
      </c>
      <c r="AA131" t="str">
        <f>'Green_rooibos initial weight'!A132</f>
        <v>G128</v>
      </c>
      <c r="AB131" t="str">
        <f>'Green_rooibos initial weight'!A1036</f>
        <v>R128</v>
      </c>
      <c r="AC131" t="b">
        <f t="shared" si="34"/>
        <v>0</v>
      </c>
      <c r="AD131" t="b">
        <f t="shared" si="35"/>
        <v>0</v>
      </c>
      <c r="AG131" t="str">
        <f>'WetLitterbags placem_collection'!K130</f>
        <v>G834</v>
      </c>
      <c r="AH131" t="str">
        <f>'WetLitterbags placem_collection'!M130</f>
        <v>R554</v>
      </c>
      <c r="AI131" t="b">
        <f t="shared" si="36"/>
        <v>0</v>
      </c>
      <c r="AJ131" t="b">
        <f t="shared" si="37"/>
        <v>0</v>
      </c>
      <c r="AK131">
        <f>'WetLitterbags placem_collection'!A130</f>
        <v>128</v>
      </c>
      <c r="AL131">
        <f>'WetLitterbags placem_collection'!A130</f>
        <v>128</v>
      </c>
      <c r="AN131">
        <f>IF('Dry_Litterbag Placem_Collection'!J130=0,"",'Dry_Litterbag Placem_Collection'!J130)</f>
        <v>34</v>
      </c>
      <c r="AO131">
        <f>IF('Dry_Litterbag Placem_Collection'!K130=0,"",'Dry_Litterbag Placem_Collection'!K130)</f>
        <v>819</v>
      </c>
      <c r="AP131" t="b">
        <f t="shared" si="38"/>
        <v>0</v>
      </c>
      <c r="AQ131" t="b">
        <f t="shared" si="39"/>
        <v>1</v>
      </c>
      <c r="AT131" t="str">
        <f>'Ashed teabags dry'!A129</f>
        <v>G256</v>
      </c>
      <c r="AU131" t="str">
        <f>'Ashed teabags dry'!A466</f>
        <v>R551</v>
      </c>
      <c r="AV131" t="b">
        <f t="shared" si="40"/>
        <v>0</v>
      </c>
      <c r="AW131" t="b">
        <f t="shared" si="41"/>
        <v>0</v>
      </c>
      <c r="AZ131" s="401" t="b">
        <f t="shared" si="42"/>
        <v>0</v>
      </c>
      <c r="BA131" s="401" t="b">
        <f t="shared" si="43"/>
        <v>0</v>
      </c>
      <c r="BC131" t="str">
        <f>'Ashed teabags wet'!A129</f>
        <v>G527</v>
      </c>
      <c r="BD131" t="str">
        <f>'Ashed teabags wet'!A546</f>
        <v>R317</v>
      </c>
      <c r="BE131" t="b">
        <f t="shared" si="44"/>
        <v>0</v>
      </c>
      <c r="BF131" t="b">
        <f t="shared" si="45"/>
        <v>0</v>
      </c>
      <c r="BG131">
        <f>IFERROR('Ashed teabags wet'!C129,"")</f>
        <v>32</v>
      </c>
      <c r="BH131">
        <f>IFERROR('Ashed teabags wet'!C546,"")</f>
        <v>164</v>
      </c>
      <c r="BI131">
        <f>'Ashed teabags wet'!AB129</f>
        <v>31</v>
      </c>
      <c r="BJ131" t="str">
        <f>'Ashed teabags wet'!AC129</f>
        <v/>
      </c>
      <c r="BK131">
        <f>'Ashed teabags wet'!AD546</f>
        <v>163</v>
      </c>
      <c r="BL131" t="str">
        <f>'Ashed teabags wet'!AE546</f>
        <v/>
      </c>
      <c r="BN131" t="str">
        <f t="shared" si="46"/>
        <v>G526</v>
      </c>
      <c r="BO131" t="b">
        <f t="shared" si="47"/>
        <v>1</v>
      </c>
    </row>
    <row r="132" spans="2:67" ht="12" customHeight="1">
      <c r="B132" t="str">
        <f>TBIDry!H204</f>
        <v>G80</v>
      </c>
      <c r="C132" t="str">
        <f>TBIDry!I204</f>
        <v>R768</v>
      </c>
      <c r="D132" t="b">
        <f t="shared" si="24"/>
        <v>0</v>
      </c>
      <c r="E132" t="b">
        <f t="shared" si="25"/>
        <v>0</v>
      </c>
      <c r="G132" t="str">
        <f>TBIWet!H204</f>
        <v>G819</v>
      </c>
      <c r="H132" t="str">
        <f>TBIWet!I204</f>
        <v>R46</v>
      </c>
      <c r="I132" t="b">
        <f t="shared" si="26"/>
        <v>0</v>
      </c>
      <c r="J132" t="b">
        <f t="shared" si="27"/>
        <v>0</v>
      </c>
      <c r="L132" t="str">
        <f>'Both teabags AfterWet'!A131</f>
        <v>G525</v>
      </c>
      <c r="M132" t="str">
        <f>'Both teabags AfterWet'!A549</f>
        <v>R302</v>
      </c>
      <c r="N132" t="b">
        <f t="shared" si="28"/>
        <v>0</v>
      </c>
      <c r="O132" t="b">
        <f t="shared" si="29"/>
        <v>0</v>
      </c>
      <c r="P132">
        <f>IFERROR('Both teabags AfterWet'!B131,"")</f>
        <v>195</v>
      </c>
      <c r="Q132">
        <f>'Both teabags AfterWet'!B549</f>
        <v>217</v>
      </c>
      <c r="S132" s="401" t="b">
        <f t="shared" si="30"/>
        <v>0</v>
      </c>
      <c r="T132" s="401" t="b">
        <f t="shared" si="31"/>
        <v>0</v>
      </c>
      <c r="V132" t="str">
        <f>'Both teabags AfterDry'!A131</f>
        <v>G257</v>
      </c>
      <c r="W132" t="str">
        <f>'Both teabags AfterDry'!A468</f>
        <v>R586</v>
      </c>
      <c r="X132" t="b">
        <f t="shared" si="32"/>
        <v>0</v>
      </c>
      <c r="Y132" t="b">
        <f t="shared" si="33"/>
        <v>0</v>
      </c>
      <c r="AA132" t="str">
        <f>'Green_rooibos initial weight'!A133</f>
        <v>G129</v>
      </c>
      <c r="AB132" t="str">
        <f>'Green_rooibos initial weight'!A1037</f>
        <v>R129</v>
      </c>
      <c r="AC132" t="b">
        <f t="shared" si="34"/>
        <v>0</v>
      </c>
      <c r="AD132" t="b">
        <f t="shared" si="35"/>
        <v>0</v>
      </c>
      <c r="AG132" t="str">
        <f>'WetLitterbags placem_collection'!K131</f>
        <v>G819</v>
      </c>
      <c r="AH132" t="str">
        <f>'WetLitterbags placem_collection'!M131</f>
        <v>R46</v>
      </c>
      <c r="AI132" t="b">
        <f t="shared" si="36"/>
        <v>0</v>
      </c>
      <c r="AJ132" t="b">
        <f t="shared" si="37"/>
        <v>0</v>
      </c>
      <c r="AK132">
        <f>'WetLitterbags placem_collection'!A131</f>
        <v>129</v>
      </c>
      <c r="AL132">
        <f>'WetLitterbags placem_collection'!A131</f>
        <v>129</v>
      </c>
      <c r="AN132">
        <f>IF('Dry_Litterbag Placem_Collection'!J131=0,"",'Dry_Litterbag Placem_Collection'!J131)</f>
        <v>80</v>
      </c>
      <c r="AO132">
        <f>IF('Dry_Litterbag Placem_Collection'!K131=0,"",'Dry_Litterbag Placem_Collection'!K131)</f>
        <v>768</v>
      </c>
      <c r="AP132" t="b">
        <f t="shared" si="38"/>
        <v>0</v>
      </c>
      <c r="AQ132" t="b">
        <f t="shared" si="39"/>
        <v>0</v>
      </c>
      <c r="AT132" t="str">
        <f>'Ashed teabags dry'!A130</f>
        <v>G257</v>
      </c>
      <c r="AU132" t="str">
        <f>'Ashed teabags dry'!A467</f>
        <v>R586</v>
      </c>
      <c r="AV132" t="b">
        <f t="shared" si="40"/>
        <v>0</v>
      </c>
      <c r="AW132" t="b">
        <f t="shared" si="41"/>
        <v>0</v>
      </c>
      <c r="AZ132" s="401" t="b">
        <f t="shared" si="42"/>
        <v>0</v>
      </c>
      <c r="BA132" s="401" t="b">
        <f t="shared" si="43"/>
        <v>0</v>
      </c>
      <c r="BC132" t="str">
        <f>'Ashed teabags wet'!A130</f>
        <v>G528</v>
      </c>
      <c r="BD132" t="str">
        <f>'Ashed teabags wet'!A547</f>
        <v>R318</v>
      </c>
      <c r="BE132" t="b">
        <f t="shared" si="44"/>
        <v>0</v>
      </c>
      <c r="BF132" t="b">
        <f t="shared" si="45"/>
        <v>0</v>
      </c>
      <c r="BG132">
        <f>IFERROR('Ashed teabags wet'!C130,"")</f>
        <v>37</v>
      </c>
      <c r="BH132">
        <f>IFERROR('Ashed teabags wet'!C547,"")</f>
        <v>96</v>
      </c>
      <c r="BI132" t="str">
        <f>'Ashed teabags wet'!AB130</f>
        <v/>
      </c>
      <c r="BJ132">
        <f>'Ashed teabags wet'!AC130</f>
        <v>36</v>
      </c>
      <c r="BK132">
        <f>'Ashed teabags wet'!AD547</f>
        <v>95</v>
      </c>
      <c r="BL132" t="str">
        <f>'Ashed teabags wet'!AE547</f>
        <v/>
      </c>
      <c r="BN132" t="str">
        <f t="shared" si="46"/>
        <v>G527</v>
      </c>
      <c r="BO132" t="b">
        <f t="shared" si="47"/>
        <v>1</v>
      </c>
    </row>
    <row r="133" spans="2:67" ht="12" customHeight="1">
      <c r="B133" t="str">
        <f>TBIDry!H205</f>
        <v>G64</v>
      </c>
      <c r="C133" t="str">
        <f>TBIDry!I205</f>
        <v>R789</v>
      </c>
      <c r="D133" t="b">
        <f t="shared" ref="D133:D196" si="48">COUNTIF($B$4:$B$2000, B133)&gt;1</f>
        <v>0</v>
      </c>
      <c r="E133" t="b">
        <f t="shared" ref="E133:E196" si="49">COUNTIF($C$4:$C$2000, C133)&gt;1</f>
        <v>0</v>
      </c>
      <c r="G133" t="str">
        <f>TBIWet!H205</f>
        <v>G830</v>
      </c>
      <c r="H133" t="str">
        <f>TBIWet!I205</f>
        <v>R585</v>
      </c>
      <c r="I133" t="b">
        <f t="shared" ref="I133:I196" si="50">COUNTIF($G$4:$G$2000, G133)&gt;1</f>
        <v>0</v>
      </c>
      <c r="J133" t="b">
        <f t="shared" ref="J133:J196" si="51">COUNTIF($H$4:$H$2000, H133)&gt;1</f>
        <v>0</v>
      </c>
      <c r="L133" t="str">
        <f>'Both teabags AfterWet'!A132</f>
        <v>G526</v>
      </c>
      <c r="M133" t="str">
        <f>'Both teabags AfterWet'!A550</f>
        <v>R303</v>
      </c>
      <c r="N133" t="b">
        <f t="shared" ref="N133:N196" si="52">COUNTIF($L$4:$L$2000, L133)&gt;1</f>
        <v>0</v>
      </c>
      <c r="O133" t="b">
        <f t="shared" ref="O133:O196" si="53">COUNTIF($M$4:$M$2000, M133)&gt;1</f>
        <v>0</v>
      </c>
      <c r="P133" t="str">
        <f>IFERROR('Both teabags AfterWet'!B132,"")</f>
        <v>n.a</v>
      </c>
      <c r="Q133" t="str">
        <f>'Both teabags AfterWet'!B550</f>
        <v>n.a</v>
      </c>
      <c r="S133" s="401" t="b">
        <f t="shared" ref="S133:S196" si="54">COUNTIF($V$4:$V$2000, L133)=1</f>
        <v>0</v>
      </c>
      <c r="T133" s="401" t="b">
        <f t="shared" ref="T133:T196" si="55">COUNTIF($W$4:$W$2000, M133)=1</f>
        <v>0</v>
      </c>
      <c r="V133" t="str">
        <f>'Both teabags AfterDry'!A132</f>
        <v>G258</v>
      </c>
      <c r="W133" t="str">
        <f>'Both teabags AfterDry'!A469</f>
        <v>R599</v>
      </c>
      <c r="X133" t="b">
        <f t="shared" ref="X133:X196" si="56">COUNTIF($V$4:$V$2000, V133)&gt;1</f>
        <v>0</v>
      </c>
      <c r="Y133" t="b">
        <f t="shared" ref="Y133:Y196" si="57">COUNTIF($W$4:$W$2000, W133)&gt;1</f>
        <v>0</v>
      </c>
      <c r="AA133" t="str">
        <f>'Green_rooibos initial weight'!A134</f>
        <v>G130</v>
      </c>
      <c r="AB133" t="str">
        <f>'Green_rooibos initial weight'!A1038</f>
        <v>R130</v>
      </c>
      <c r="AC133" t="b">
        <f t="shared" ref="AC133:AC196" si="58">COUNTIF($AA$4:$AA$2000, AA133)&gt;1</f>
        <v>0</v>
      </c>
      <c r="AD133" t="b">
        <f t="shared" ref="AD133:AD196" si="59">COUNTIF($AB$4:$AB$2000, AB133)&gt;1</f>
        <v>0</v>
      </c>
      <c r="AG133" t="str">
        <f>'WetLitterbags placem_collection'!K132</f>
        <v>G830</v>
      </c>
      <c r="AH133" t="str">
        <f>'WetLitterbags placem_collection'!M132</f>
        <v>R585</v>
      </c>
      <c r="AI133" t="b">
        <f t="shared" ref="AI133:AI196" si="60">COUNTIF($AG$4:$AG$2000, AG133)&gt;1</f>
        <v>0</v>
      </c>
      <c r="AJ133" t="b">
        <f t="shared" ref="AJ133:AJ196" si="61">COUNTIF($AH$4:$AH$2000, AH133)&gt;1</f>
        <v>0</v>
      </c>
      <c r="AK133">
        <f>'WetLitterbags placem_collection'!A132</f>
        <v>130</v>
      </c>
      <c r="AL133">
        <f>'WetLitterbags placem_collection'!A132</f>
        <v>130</v>
      </c>
      <c r="AN133">
        <f>IF('Dry_Litterbag Placem_Collection'!J132=0,"",'Dry_Litterbag Placem_Collection'!J132)</f>
        <v>64</v>
      </c>
      <c r="AO133">
        <f>IF('Dry_Litterbag Placem_Collection'!K132=0,"",'Dry_Litterbag Placem_Collection'!K132)</f>
        <v>789</v>
      </c>
      <c r="AP133" t="b">
        <f t="shared" ref="AP133:AP196" si="62">COUNTIF($AN$4:$AN$2000, AN133)&gt;1</f>
        <v>0</v>
      </c>
      <c r="AQ133" t="b">
        <f t="shared" ref="AQ133:AQ196" si="63">COUNTIF($AO$4:$AO$2000, AO133)&gt;1</f>
        <v>0</v>
      </c>
      <c r="AT133" t="str">
        <f>'Ashed teabags dry'!A131</f>
        <v>G258</v>
      </c>
      <c r="AU133" t="str">
        <f>'Ashed teabags dry'!A468</f>
        <v>R599</v>
      </c>
      <c r="AV133" t="b">
        <f t="shared" ref="AV133:AV196" si="64">COUNTIF($AT$4:$AT$2000, AT133)&gt;1</f>
        <v>0</v>
      </c>
      <c r="AW133" t="b">
        <f t="shared" ref="AW133:AW196" si="65">COUNTIF($AU$4:$AU$2000, AU133)&gt;1</f>
        <v>0</v>
      </c>
      <c r="AZ133" s="401" t="b">
        <f t="shared" ref="AZ133:AZ196" si="66">COUNTIF($BC$4:$BC$2000, AT133)=1</f>
        <v>0</v>
      </c>
      <c r="BA133" s="401" t="b">
        <f t="shared" ref="BA133:BA196" si="67">COUNTIF($BD$4:$BD$2000, AU133)=1</f>
        <v>0</v>
      </c>
      <c r="BC133" t="str">
        <f>'Ashed teabags wet'!A131</f>
        <v>G529</v>
      </c>
      <c r="BD133" t="str">
        <f>'Ashed teabags wet'!A548</f>
        <v>R319</v>
      </c>
      <c r="BE133" t="b">
        <f t="shared" ref="BE133:BE196" si="68">COUNTIF($BC$4:$BC$2000, BC133)&gt;1</f>
        <v>0</v>
      </c>
      <c r="BF133" t="b">
        <f t="shared" ref="BF133:BF196" si="69">COUNTIF($BD$4:$BD$2000, BD133)&gt;1</f>
        <v>0</v>
      </c>
      <c r="BG133">
        <f>IFERROR('Ashed teabags wet'!C131,"")</f>
        <v>92</v>
      </c>
      <c r="BH133">
        <f>IFERROR('Ashed teabags wet'!C548,"")</f>
        <v>220</v>
      </c>
      <c r="BI133">
        <f>'Ashed teabags wet'!AB131</f>
        <v>91</v>
      </c>
      <c r="BJ133" t="str">
        <f>'Ashed teabags wet'!AC131</f>
        <v/>
      </c>
      <c r="BK133" t="str">
        <f>'Ashed teabags wet'!AD548</f>
        <v/>
      </c>
      <c r="BL133">
        <f>'Ashed teabags wet'!AE548</f>
        <v>219</v>
      </c>
      <c r="BN133" t="str">
        <f t="shared" ref="BN133:BN196" si="70">BC132</f>
        <v>G528</v>
      </c>
      <c r="BO133" t="b">
        <f t="shared" si="47"/>
        <v>1</v>
      </c>
    </row>
    <row r="134" spans="2:67" ht="12" customHeight="1">
      <c r="B134" t="str">
        <f>TBIDry!H206</f>
        <v>G118</v>
      </c>
      <c r="C134" t="str">
        <f>TBIDry!I206</f>
        <v>R586</v>
      </c>
      <c r="D134" t="b">
        <f t="shared" si="48"/>
        <v>0</v>
      </c>
      <c r="E134" t="b">
        <f t="shared" si="49"/>
        <v>0</v>
      </c>
      <c r="G134" t="str">
        <f>TBIWet!H206</f>
        <v>G746</v>
      </c>
      <c r="H134" t="str">
        <f>TBIWet!I206</f>
        <v>R476</v>
      </c>
      <c r="I134" t="b">
        <f t="shared" si="50"/>
        <v>0</v>
      </c>
      <c r="J134" t="b">
        <f t="shared" si="51"/>
        <v>0</v>
      </c>
      <c r="L134" t="str">
        <f>'Both teabags AfterWet'!A133</f>
        <v>G527</v>
      </c>
      <c r="M134" t="str">
        <f>'Both teabags AfterWet'!A551</f>
        <v>R307</v>
      </c>
      <c r="N134" t="b">
        <f t="shared" si="52"/>
        <v>0</v>
      </c>
      <c r="O134" t="b">
        <f t="shared" si="53"/>
        <v>0</v>
      </c>
      <c r="P134" t="str">
        <f>IFERROR('Both teabags AfterWet'!B133,"")</f>
        <v>n.a</v>
      </c>
      <c r="Q134">
        <f>'Both teabags AfterWet'!B551</f>
        <v>174</v>
      </c>
      <c r="S134" s="401" t="b">
        <f t="shared" si="54"/>
        <v>0</v>
      </c>
      <c r="T134" s="401" t="b">
        <f t="shared" si="55"/>
        <v>0</v>
      </c>
      <c r="V134" t="str">
        <f>'Both teabags AfterDry'!A133</f>
        <v>G259</v>
      </c>
      <c r="W134" t="str">
        <f>'Both teabags AfterDry'!A470</f>
        <v>R841</v>
      </c>
      <c r="X134" t="b">
        <f t="shared" si="56"/>
        <v>0</v>
      </c>
      <c r="Y134" t="b">
        <f t="shared" si="57"/>
        <v>0</v>
      </c>
      <c r="AA134" t="str">
        <f>'Green_rooibos initial weight'!A135</f>
        <v>G131</v>
      </c>
      <c r="AB134" t="str">
        <f>'Green_rooibos initial weight'!A1039</f>
        <v>R131</v>
      </c>
      <c r="AC134" t="b">
        <f t="shared" si="58"/>
        <v>0</v>
      </c>
      <c r="AD134" t="b">
        <f t="shared" si="59"/>
        <v>0</v>
      </c>
      <c r="AG134" t="str">
        <f>'WetLitterbags placem_collection'!K133</f>
        <v>G746</v>
      </c>
      <c r="AH134" t="str">
        <f>'WetLitterbags placem_collection'!M133</f>
        <v>R476</v>
      </c>
      <c r="AI134" t="b">
        <f t="shared" si="60"/>
        <v>0</v>
      </c>
      <c r="AJ134" t="b">
        <f t="shared" si="61"/>
        <v>0</v>
      </c>
      <c r="AK134">
        <f>'WetLitterbags placem_collection'!A133</f>
        <v>131</v>
      </c>
      <c r="AL134">
        <f>'WetLitterbags placem_collection'!A133</f>
        <v>131</v>
      </c>
      <c r="AN134">
        <f>IF('Dry_Litterbag Placem_Collection'!J133=0,"",'Dry_Litterbag Placem_Collection'!J133)</f>
        <v>118</v>
      </c>
      <c r="AO134">
        <f>IF('Dry_Litterbag Placem_Collection'!K133=0,"",'Dry_Litterbag Placem_Collection'!K133)</f>
        <v>586</v>
      </c>
      <c r="AP134" t="b">
        <f t="shared" si="62"/>
        <v>0</v>
      </c>
      <c r="AQ134" t="b">
        <f t="shared" si="63"/>
        <v>0</v>
      </c>
      <c r="AT134" t="str">
        <f>'Ashed teabags dry'!A132</f>
        <v>G259</v>
      </c>
      <c r="AU134" s="113" t="str">
        <f>'Ashed teabags dry'!A469</f>
        <v>R601</v>
      </c>
      <c r="AV134" t="b">
        <f t="shared" si="64"/>
        <v>0</v>
      </c>
      <c r="AW134" t="b">
        <f t="shared" si="65"/>
        <v>0</v>
      </c>
      <c r="AZ134" s="401" t="b">
        <f t="shared" si="66"/>
        <v>0</v>
      </c>
      <c r="BA134" s="113" t="b">
        <f t="shared" si="67"/>
        <v>1</v>
      </c>
      <c r="BC134" t="str">
        <f>'Ashed teabags wet'!A132</f>
        <v>G532</v>
      </c>
      <c r="BD134" t="str">
        <f>'Ashed teabags wet'!A549</f>
        <v>R32</v>
      </c>
      <c r="BE134" t="b">
        <f t="shared" si="68"/>
        <v>0</v>
      </c>
      <c r="BF134" t="b">
        <f t="shared" si="69"/>
        <v>0</v>
      </c>
      <c r="BG134">
        <f>IFERROR('Ashed teabags wet'!C132,"")</f>
        <v>4</v>
      </c>
      <c r="BH134">
        <f>IFERROR('Ashed teabags wet'!C549,"")</f>
        <v>179</v>
      </c>
      <c r="BI134" t="str">
        <f>'Ashed teabags wet'!AB132</f>
        <v/>
      </c>
      <c r="BJ134">
        <f>'Ashed teabags wet'!AC132</f>
        <v>3</v>
      </c>
      <c r="BK134">
        <f>'Ashed teabags wet'!AD549</f>
        <v>178</v>
      </c>
      <c r="BL134" t="str">
        <f>'Ashed teabags wet'!AE549</f>
        <v/>
      </c>
      <c r="BN134" t="str">
        <f t="shared" si="70"/>
        <v>G529</v>
      </c>
      <c r="BO134" t="b">
        <f t="shared" ref="BO134:BO197" si="71">COUNTIF($BN$5:$BN$2000, BN134)&gt;1</f>
        <v>1</v>
      </c>
    </row>
    <row r="135" spans="2:67" ht="12" customHeight="1">
      <c r="B135" t="str">
        <f>TBIDry!H207</f>
        <v/>
      </c>
      <c r="C135" t="str">
        <f>TBIDry!I207</f>
        <v/>
      </c>
      <c r="D135" t="b">
        <f t="shared" si="48"/>
        <v>1</v>
      </c>
      <c r="E135" t="b">
        <f t="shared" si="49"/>
        <v>1</v>
      </c>
      <c r="G135" t="str">
        <f>TBIWet!H207</f>
        <v>G725</v>
      </c>
      <c r="H135" t="str">
        <f>TBIWet!I207</f>
        <v>R536</v>
      </c>
      <c r="I135" t="b">
        <f t="shared" si="50"/>
        <v>0</v>
      </c>
      <c r="J135" t="b">
        <f t="shared" si="51"/>
        <v>0</v>
      </c>
      <c r="L135" t="str">
        <f>'Both teabags AfterWet'!A134</f>
        <v>G528</v>
      </c>
      <c r="M135" t="str">
        <f>'Both teabags AfterWet'!A552</f>
        <v>R309</v>
      </c>
      <c r="N135" t="b">
        <f t="shared" si="52"/>
        <v>0</v>
      </c>
      <c r="O135" t="b">
        <f t="shared" si="53"/>
        <v>0</v>
      </c>
      <c r="P135">
        <f>IFERROR('Both teabags AfterWet'!B134,"")</f>
        <v>37</v>
      </c>
      <c r="Q135">
        <f>'Both teabags AfterWet'!B552</f>
        <v>178</v>
      </c>
      <c r="S135" s="401" t="b">
        <f t="shared" si="54"/>
        <v>0</v>
      </c>
      <c r="T135" s="401" t="b">
        <f t="shared" si="55"/>
        <v>0</v>
      </c>
      <c r="V135" t="str">
        <f>'Both teabags AfterDry'!A134</f>
        <v>G26</v>
      </c>
      <c r="W135" t="str">
        <f>'Both teabags AfterDry'!A471</f>
        <v>R602</v>
      </c>
      <c r="X135" t="b">
        <f t="shared" si="56"/>
        <v>0</v>
      </c>
      <c r="Y135" t="b">
        <f t="shared" si="57"/>
        <v>0</v>
      </c>
      <c r="AA135" t="str">
        <f>'Green_rooibos initial weight'!A136</f>
        <v>G132</v>
      </c>
      <c r="AB135" t="str">
        <f>'Green_rooibos initial weight'!A1040</f>
        <v>R132</v>
      </c>
      <c r="AC135" t="b">
        <f t="shared" si="58"/>
        <v>0</v>
      </c>
      <c r="AD135" t="b">
        <f t="shared" si="59"/>
        <v>0</v>
      </c>
      <c r="AG135" t="str">
        <f>'WetLitterbags placem_collection'!K134</f>
        <v>G725</v>
      </c>
      <c r="AH135" t="str">
        <f>'WetLitterbags placem_collection'!M134</f>
        <v>R536</v>
      </c>
      <c r="AI135" t="b">
        <f t="shared" si="60"/>
        <v>0</v>
      </c>
      <c r="AJ135" t="b">
        <f t="shared" si="61"/>
        <v>0</v>
      </c>
      <c r="AK135">
        <f>'WetLitterbags placem_collection'!A134</f>
        <v>132</v>
      </c>
      <c r="AL135">
        <f>'WetLitterbags placem_collection'!A134</f>
        <v>132</v>
      </c>
      <c r="AN135" t="str">
        <f>IF('Dry_Litterbag Placem_Collection'!J134=0,"",'Dry_Litterbag Placem_Collection'!J134)</f>
        <v/>
      </c>
      <c r="AO135" t="str">
        <f>IF('Dry_Litterbag Placem_Collection'!K134=0,"",'Dry_Litterbag Placem_Collection'!K134)</f>
        <v/>
      </c>
      <c r="AP135" t="b">
        <f t="shared" si="62"/>
        <v>1</v>
      </c>
      <c r="AQ135" t="b">
        <f t="shared" si="63"/>
        <v>1</v>
      </c>
      <c r="AT135" t="str">
        <f>'Ashed teabags dry'!A133</f>
        <v>G26</v>
      </c>
      <c r="AU135" t="str">
        <f>'Ashed teabags dry'!A470</f>
        <v>R602</v>
      </c>
      <c r="AV135" t="b">
        <f t="shared" si="64"/>
        <v>0</v>
      </c>
      <c r="AW135" t="b">
        <f t="shared" si="65"/>
        <v>0</v>
      </c>
      <c r="AZ135" s="401" t="b">
        <f t="shared" si="66"/>
        <v>0</v>
      </c>
      <c r="BA135" s="401" t="b">
        <f t="shared" si="67"/>
        <v>0</v>
      </c>
      <c r="BC135" t="str">
        <f>'Ashed teabags wet'!A133</f>
        <v>G535</v>
      </c>
      <c r="BD135" t="str">
        <f>'Ashed teabags wet'!A550</f>
        <v>R322</v>
      </c>
      <c r="BE135" t="b">
        <f t="shared" si="68"/>
        <v>0</v>
      </c>
      <c r="BF135" t="b">
        <f t="shared" si="69"/>
        <v>0</v>
      </c>
      <c r="BG135">
        <f>IFERROR('Ashed teabags wet'!C133,"")</f>
        <v>60</v>
      </c>
      <c r="BH135">
        <f>IFERROR('Ashed teabags wet'!C550,"")</f>
        <v>168</v>
      </c>
      <c r="BI135" t="str">
        <f>'Ashed teabags wet'!AB133</f>
        <v/>
      </c>
      <c r="BJ135">
        <f>'Ashed teabags wet'!AC133</f>
        <v>59</v>
      </c>
      <c r="BK135" t="str">
        <f>'Ashed teabags wet'!AD550</f>
        <v/>
      </c>
      <c r="BL135">
        <f>'Ashed teabags wet'!AE550</f>
        <v>167</v>
      </c>
      <c r="BN135" t="str">
        <f t="shared" si="70"/>
        <v>G532</v>
      </c>
      <c r="BO135" t="b">
        <f t="shared" si="71"/>
        <v>1</v>
      </c>
    </row>
    <row r="136" spans="2:67" ht="12" customHeight="1">
      <c r="B136" t="str">
        <f>TBIDry!H208</f>
        <v>G270</v>
      </c>
      <c r="C136" t="str">
        <f>TBIDry!I208</f>
        <v>R817</v>
      </c>
      <c r="D136" t="b">
        <f t="shared" si="48"/>
        <v>0</v>
      </c>
      <c r="E136" t="b">
        <f t="shared" si="49"/>
        <v>0</v>
      </c>
      <c r="G136" t="str">
        <f>TBIWet!H208</f>
        <v>G846</v>
      </c>
      <c r="H136" t="str">
        <f>TBIWet!I208</f>
        <v>R524</v>
      </c>
      <c r="I136" t="b">
        <f t="shared" si="50"/>
        <v>0</v>
      </c>
      <c r="J136" t="b">
        <f t="shared" si="51"/>
        <v>0</v>
      </c>
      <c r="L136" t="str">
        <f>'Both teabags AfterWet'!A135</f>
        <v>G529</v>
      </c>
      <c r="M136" t="str">
        <f>'Both teabags AfterWet'!A553</f>
        <v>R31</v>
      </c>
      <c r="N136" t="b">
        <f t="shared" si="52"/>
        <v>0</v>
      </c>
      <c r="O136" t="b">
        <f t="shared" si="53"/>
        <v>0</v>
      </c>
      <c r="P136">
        <f>IFERROR('Both teabags AfterWet'!B135,"")</f>
        <v>92</v>
      </c>
      <c r="Q136">
        <f>'Both teabags AfterWet'!B553</f>
        <v>58</v>
      </c>
      <c r="S136" s="401" t="b">
        <f t="shared" si="54"/>
        <v>0</v>
      </c>
      <c r="T136" s="401" t="b">
        <f t="shared" si="55"/>
        <v>0</v>
      </c>
      <c r="V136" t="str">
        <f>'Both teabags AfterDry'!A135</f>
        <v>G260</v>
      </c>
      <c r="W136" t="str">
        <f>'Both teabags AfterDry'!A472</f>
        <v>R603</v>
      </c>
      <c r="X136" t="b">
        <f t="shared" si="56"/>
        <v>0</v>
      </c>
      <c r="Y136" t="b">
        <f t="shared" si="57"/>
        <v>0</v>
      </c>
      <c r="AA136" t="str">
        <f>'Green_rooibos initial weight'!A137</f>
        <v>G133</v>
      </c>
      <c r="AB136" t="str">
        <f>'Green_rooibos initial weight'!A1041</f>
        <v>R133</v>
      </c>
      <c r="AC136" t="b">
        <f t="shared" si="58"/>
        <v>0</v>
      </c>
      <c r="AD136" t="b">
        <f t="shared" si="59"/>
        <v>0</v>
      </c>
      <c r="AG136" t="str">
        <f>'WetLitterbags placem_collection'!K135</f>
        <v>G846</v>
      </c>
      <c r="AH136" t="str">
        <f>'WetLitterbags placem_collection'!M135</f>
        <v>R524</v>
      </c>
      <c r="AI136" t="b">
        <f t="shared" si="60"/>
        <v>0</v>
      </c>
      <c r="AJ136" t="b">
        <f t="shared" si="61"/>
        <v>0</v>
      </c>
      <c r="AK136">
        <f>'WetLitterbags placem_collection'!A135</f>
        <v>133</v>
      </c>
      <c r="AL136">
        <f>'WetLitterbags placem_collection'!A135</f>
        <v>133</v>
      </c>
      <c r="AN136">
        <f>IF('Dry_Litterbag Placem_Collection'!J135=0,"",'Dry_Litterbag Placem_Collection'!J135)</f>
        <v>270</v>
      </c>
      <c r="AO136">
        <f>IF('Dry_Litterbag Placem_Collection'!K135=0,"",'Dry_Litterbag Placem_Collection'!K135)</f>
        <v>817</v>
      </c>
      <c r="AP136" t="b">
        <f t="shared" si="62"/>
        <v>0</v>
      </c>
      <c r="AQ136" t="b">
        <f t="shared" si="63"/>
        <v>0</v>
      </c>
      <c r="AT136" t="str">
        <f>'Ashed teabags dry'!A134</f>
        <v>G260</v>
      </c>
      <c r="AU136" t="str">
        <f>'Ashed teabags dry'!A471</f>
        <v>R603</v>
      </c>
      <c r="AV136" t="b">
        <f t="shared" si="64"/>
        <v>0</v>
      </c>
      <c r="AW136" t="b">
        <f t="shared" si="65"/>
        <v>0</v>
      </c>
      <c r="AZ136" s="401" t="b">
        <f t="shared" si="66"/>
        <v>0</v>
      </c>
      <c r="BA136" s="401" t="b">
        <f t="shared" si="67"/>
        <v>0</v>
      </c>
      <c r="BC136" t="str">
        <f>'Ashed teabags wet'!A134</f>
        <v>G536</v>
      </c>
      <c r="BD136" t="str">
        <f>'Ashed teabags wet'!A551</f>
        <v>R323</v>
      </c>
      <c r="BE136" t="b">
        <f t="shared" si="68"/>
        <v>0</v>
      </c>
      <c r="BF136" t="b">
        <f t="shared" si="69"/>
        <v>0</v>
      </c>
      <c r="BG136">
        <f>IFERROR('Ashed teabags wet'!C134,"")</f>
        <v>82</v>
      </c>
      <c r="BH136">
        <f>IFERROR('Ashed teabags wet'!C551,"")</f>
        <v>31</v>
      </c>
      <c r="BI136">
        <f>'Ashed teabags wet'!AB134</f>
        <v>81</v>
      </c>
      <c r="BJ136" t="str">
        <f>'Ashed teabags wet'!AC134</f>
        <v/>
      </c>
      <c r="BK136" t="str">
        <f>'Ashed teabags wet'!AD551</f>
        <v/>
      </c>
      <c r="BL136">
        <f>'Ashed teabags wet'!AE551</f>
        <v>30</v>
      </c>
      <c r="BN136" t="str">
        <f t="shared" si="70"/>
        <v>G535</v>
      </c>
      <c r="BO136" t="b">
        <f t="shared" si="71"/>
        <v>1</v>
      </c>
    </row>
    <row r="137" spans="2:67" ht="12" customHeight="1">
      <c r="B137" t="str">
        <f>TBIDry!H209</f>
        <v>G316</v>
      </c>
      <c r="C137" t="str">
        <f>TBIDry!I209</f>
        <v>R837</v>
      </c>
      <c r="D137" t="b">
        <f t="shared" si="48"/>
        <v>0</v>
      </c>
      <c r="E137" t="b">
        <f t="shared" si="49"/>
        <v>0</v>
      </c>
      <c r="G137" t="str">
        <f>TBIWet!H209</f>
        <v>G756</v>
      </c>
      <c r="H137" t="str">
        <f>TBIWet!I209</f>
        <v>R600</v>
      </c>
      <c r="I137" t="b">
        <f t="shared" si="50"/>
        <v>0</v>
      </c>
      <c r="J137" t="b">
        <f t="shared" si="51"/>
        <v>0</v>
      </c>
      <c r="L137" t="str">
        <f>'Both teabags AfterWet'!A136</f>
        <v>G532</v>
      </c>
      <c r="M137" t="str">
        <f>'Both teabags AfterWet'!A554</f>
        <v>R311</v>
      </c>
      <c r="N137" t="b">
        <f t="shared" si="52"/>
        <v>0</v>
      </c>
      <c r="O137" t="b">
        <f t="shared" si="53"/>
        <v>0</v>
      </c>
      <c r="P137" t="str">
        <f>IFERROR('Both teabags AfterWet'!B136,"")</f>
        <v>n.a</v>
      </c>
      <c r="Q137" t="str">
        <f>'Both teabags AfterWet'!B554</f>
        <v>n.a</v>
      </c>
      <c r="S137" s="401" t="b">
        <f t="shared" si="54"/>
        <v>0</v>
      </c>
      <c r="T137" s="401" t="b">
        <f t="shared" si="55"/>
        <v>0</v>
      </c>
      <c r="V137" t="str">
        <f>'Both teabags AfterDry'!A136</f>
        <v>G261</v>
      </c>
      <c r="W137" t="str">
        <f>'Both teabags AfterDry'!A473</f>
        <v>R604</v>
      </c>
      <c r="X137" t="b">
        <f t="shared" si="56"/>
        <v>0</v>
      </c>
      <c r="Y137" t="b">
        <f t="shared" si="57"/>
        <v>0</v>
      </c>
      <c r="AA137" t="str">
        <f>'Green_rooibos initial weight'!A138</f>
        <v>G134</v>
      </c>
      <c r="AB137" t="str">
        <f>'Green_rooibos initial weight'!A1042</f>
        <v>R134</v>
      </c>
      <c r="AC137" t="b">
        <f t="shared" si="58"/>
        <v>0</v>
      </c>
      <c r="AD137" t="b">
        <f t="shared" si="59"/>
        <v>0</v>
      </c>
      <c r="AG137" t="str">
        <f>'WetLitterbags placem_collection'!K136</f>
        <v>G756</v>
      </c>
      <c r="AH137" t="str">
        <f>'WetLitterbags placem_collection'!M136</f>
        <v>R600</v>
      </c>
      <c r="AI137" t="b">
        <f t="shared" si="60"/>
        <v>0</v>
      </c>
      <c r="AJ137" t="b">
        <f t="shared" si="61"/>
        <v>0</v>
      </c>
      <c r="AK137">
        <f>'WetLitterbags placem_collection'!A136</f>
        <v>134</v>
      </c>
      <c r="AL137">
        <f>'WetLitterbags placem_collection'!A136</f>
        <v>134</v>
      </c>
      <c r="AN137">
        <f>IF('Dry_Litterbag Placem_Collection'!J136=0,"",'Dry_Litterbag Placem_Collection'!J136)</f>
        <v>316</v>
      </c>
      <c r="AO137">
        <f>IF('Dry_Litterbag Placem_Collection'!K136=0,"",'Dry_Litterbag Placem_Collection'!K136)</f>
        <v>837</v>
      </c>
      <c r="AP137" t="b">
        <f t="shared" si="62"/>
        <v>0</v>
      </c>
      <c r="AQ137" t="b">
        <f t="shared" si="63"/>
        <v>0</v>
      </c>
      <c r="AT137" t="str">
        <f>'Ashed teabags dry'!A135</f>
        <v>G261</v>
      </c>
      <c r="AU137" t="str">
        <f>'Ashed teabags dry'!A472</f>
        <v>R604</v>
      </c>
      <c r="AV137" t="b">
        <f t="shared" si="64"/>
        <v>0</v>
      </c>
      <c r="AW137" t="b">
        <f t="shared" si="65"/>
        <v>0</v>
      </c>
      <c r="AZ137" s="401" t="b">
        <f t="shared" si="66"/>
        <v>0</v>
      </c>
      <c r="BA137" s="401" t="b">
        <f t="shared" si="67"/>
        <v>0</v>
      </c>
      <c r="BC137" t="str">
        <f>'Ashed teabags wet'!A135</f>
        <v>G537</v>
      </c>
      <c r="BD137" t="str">
        <f>'Ashed teabags wet'!A552</f>
        <v>R326</v>
      </c>
      <c r="BE137" t="b">
        <f t="shared" si="68"/>
        <v>0</v>
      </c>
      <c r="BF137" t="b">
        <f t="shared" si="69"/>
        <v>0</v>
      </c>
      <c r="BG137">
        <f>IFERROR('Ashed teabags wet'!C135,"")</f>
        <v>189</v>
      </c>
      <c r="BH137">
        <f>IFERROR('Ashed teabags wet'!C552,"")</f>
        <v>176</v>
      </c>
      <c r="BI137" t="str">
        <f>'Ashed teabags wet'!AB135</f>
        <v/>
      </c>
      <c r="BJ137">
        <f>'Ashed teabags wet'!AC135</f>
        <v>188</v>
      </c>
      <c r="BK137">
        <f>'Ashed teabags wet'!AD552</f>
        <v>175</v>
      </c>
      <c r="BL137" t="str">
        <f>'Ashed teabags wet'!AE552</f>
        <v/>
      </c>
      <c r="BN137" t="str">
        <f t="shared" si="70"/>
        <v>G536</v>
      </c>
      <c r="BO137" t="b">
        <f t="shared" si="71"/>
        <v>1</v>
      </c>
    </row>
    <row r="138" spans="2:67" ht="12" customHeight="1">
      <c r="B138" t="str">
        <f>TBIDry!H210</f>
        <v>G77</v>
      </c>
      <c r="C138" t="str">
        <f>TBIDry!I210</f>
        <v>R756</v>
      </c>
      <c r="D138" t="b">
        <f t="shared" si="48"/>
        <v>0</v>
      </c>
      <c r="E138" t="b">
        <f t="shared" si="49"/>
        <v>0</v>
      </c>
      <c r="G138" t="str">
        <f>TBIWet!H210</f>
        <v>G745</v>
      </c>
      <c r="H138" t="str">
        <f>TBIWet!I210</f>
        <v>R432</v>
      </c>
      <c r="I138" t="b">
        <f t="shared" si="50"/>
        <v>0</v>
      </c>
      <c r="J138" t="b">
        <f t="shared" si="51"/>
        <v>0</v>
      </c>
      <c r="L138" t="str">
        <f>'Both teabags AfterWet'!A137</f>
        <v>G535</v>
      </c>
      <c r="M138" t="str">
        <f>'Both teabags AfterWet'!A555</f>
        <v>R312</v>
      </c>
      <c r="N138" t="b">
        <f t="shared" si="52"/>
        <v>0</v>
      </c>
      <c r="O138" t="b">
        <f t="shared" si="53"/>
        <v>0</v>
      </c>
      <c r="P138">
        <f>IFERROR('Both teabags AfterWet'!B137,"")</f>
        <v>60</v>
      </c>
      <c r="Q138">
        <f>'Both teabags AfterWet'!B555</f>
        <v>52</v>
      </c>
      <c r="S138" s="401" t="b">
        <f t="shared" si="54"/>
        <v>0</v>
      </c>
      <c r="T138" s="401" t="b">
        <f t="shared" si="55"/>
        <v>0</v>
      </c>
      <c r="V138" t="str">
        <f>'Both teabags AfterDry'!A137</f>
        <v>G262</v>
      </c>
      <c r="W138" t="str">
        <f>'Both teabags AfterDry'!A474</f>
        <v>R605</v>
      </c>
      <c r="X138" t="b">
        <f t="shared" si="56"/>
        <v>0</v>
      </c>
      <c r="Y138" t="b">
        <f t="shared" si="57"/>
        <v>0</v>
      </c>
      <c r="AA138" t="str">
        <f>'Green_rooibos initial weight'!A139</f>
        <v>G135</v>
      </c>
      <c r="AB138" t="str">
        <f>'Green_rooibos initial weight'!A1043</f>
        <v>R135</v>
      </c>
      <c r="AC138" t="b">
        <f t="shared" si="58"/>
        <v>0</v>
      </c>
      <c r="AD138" t="b">
        <f t="shared" si="59"/>
        <v>0</v>
      </c>
      <c r="AG138" t="str">
        <f>'WetLitterbags placem_collection'!K137</f>
        <v>G745</v>
      </c>
      <c r="AH138" t="str">
        <f>'WetLitterbags placem_collection'!M137</f>
        <v>R432</v>
      </c>
      <c r="AI138" t="b">
        <f t="shared" si="60"/>
        <v>0</v>
      </c>
      <c r="AJ138" t="b">
        <f t="shared" si="61"/>
        <v>0</v>
      </c>
      <c r="AK138">
        <f>'WetLitterbags placem_collection'!A137</f>
        <v>135</v>
      </c>
      <c r="AL138">
        <f>'WetLitterbags placem_collection'!A137</f>
        <v>135</v>
      </c>
      <c r="AN138">
        <f>IF('Dry_Litterbag Placem_Collection'!J137=0,"",'Dry_Litterbag Placem_Collection'!J137)</f>
        <v>77</v>
      </c>
      <c r="AO138">
        <f>IF('Dry_Litterbag Placem_Collection'!K137=0,"",'Dry_Litterbag Placem_Collection'!K137)</f>
        <v>756</v>
      </c>
      <c r="AP138" t="b">
        <f t="shared" si="62"/>
        <v>0</v>
      </c>
      <c r="AQ138" t="b">
        <f t="shared" si="63"/>
        <v>0</v>
      </c>
      <c r="AT138" t="str">
        <f>'Ashed teabags dry'!A136</f>
        <v>G262</v>
      </c>
      <c r="AU138" t="str">
        <f>'Ashed teabags dry'!A473</f>
        <v>R605</v>
      </c>
      <c r="AV138" t="b">
        <f t="shared" si="64"/>
        <v>0</v>
      </c>
      <c r="AW138" t="b">
        <f t="shared" si="65"/>
        <v>0</v>
      </c>
      <c r="AZ138" s="401" t="b">
        <f t="shared" si="66"/>
        <v>0</v>
      </c>
      <c r="BA138" s="401" t="b">
        <f t="shared" si="67"/>
        <v>0</v>
      </c>
      <c r="BC138" t="str">
        <f>'Ashed teabags wet'!A136</f>
        <v>G538</v>
      </c>
      <c r="BD138" t="str">
        <f>'Ashed teabags wet'!A553</f>
        <v>R328</v>
      </c>
      <c r="BE138" t="b">
        <f t="shared" si="68"/>
        <v>0</v>
      </c>
      <c r="BF138" t="b">
        <f t="shared" si="69"/>
        <v>0</v>
      </c>
      <c r="BG138">
        <f>IFERROR('Ashed teabags wet'!C136,"")</f>
        <v>56</v>
      </c>
      <c r="BH138">
        <f>IFERROR('Ashed teabags wet'!C553,"")</f>
        <v>206</v>
      </c>
      <c r="BI138">
        <f>'Ashed teabags wet'!AB136</f>
        <v>55</v>
      </c>
      <c r="BJ138" t="str">
        <f>'Ashed teabags wet'!AC136</f>
        <v/>
      </c>
      <c r="BK138" t="str">
        <f>'Ashed teabags wet'!AD553</f>
        <v/>
      </c>
      <c r="BL138">
        <f>'Ashed teabags wet'!AE553</f>
        <v>205</v>
      </c>
      <c r="BN138" t="str">
        <f t="shared" si="70"/>
        <v>G537</v>
      </c>
      <c r="BO138" t="b">
        <f t="shared" si="71"/>
        <v>1</v>
      </c>
    </row>
    <row r="139" spans="2:67" ht="12" customHeight="1">
      <c r="B139" t="str">
        <f>TBIDry!H211</f>
        <v>G332</v>
      </c>
      <c r="C139" t="str">
        <f>TBIDry!I211</f>
        <v>R184</v>
      </c>
      <c r="D139" t="b">
        <f t="shared" si="48"/>
        <v>0</v>
      </c>
      <c r="E139" t="b">
        <f t="shared" si="49"/>
        <v>0</v>
      </c>
      <c r="G139" t="str">
        <f>TBIWet!H211</f>
        <v>G832</v>
      </c>
      <c r="H139" t="str">
        <f>TBIWet!I211</f>
        <v>R474</v>
      </c>
      <c r="I139" t="b">
        <f t="shared" si="50"/>
        <v>0</v>
      </c>
      <c r="J139" t="b">
        <f t="shared" si="51"/>
        <v>0</v>
      </c>
      <c r="L139" t="str">
        <f>'Both teabags AfterWet'!A138</f>
        <v>G536</v>
      </c>
      <c r="M139" t="str">
        <f>'Both teabags AfterWet'!A556</f>
        <v>R315</v>
      </c>
      <c r="N139" t="b">
        <f t="shared" si="52"/>
        <v>0</v>
      </c>
      <c r="O139" t="b">
        <f t="shared" si="53"/>
        <v>0</v>
      </c>
      <c r="P139">
        <f>IFERROR('Both teabags AfterWet'!B138,"")</f>
        <v>82</v>
      </c>
      <c r="Q139">
        <f>'Both teabags AfterWet'!B556</f>
        <v>85</v>
      </c>
      <c r="S139" s="401" t="b">
        <f t="shared" si="54"/>
        <v>0</v>
      </c>
      <c r="T139" s="401" t="b">
        <f t="shared" si="55"/>
        <v>0</v>
      </c>
      <c r="V139" t="str">
        <f>'Both teabags AfterDry'!A138</f>
        <v>G263</v>
      </c>
      <c r="W139" t="str">
        <f>'Both teabags AfterDry'!A475</f>
        <v>R606</v>
      </c>
      <c r="X139" t="b">
        <f t="shared" si="56"/>
        <v>0</v>
      </c>
      <c r="Y139" t="b">
        <f t="shared" si="57"/>
        <v>0</v>
      </c>
      <c r="AA139" t="str">
        <f>'Green_rooibos initial weight'!A140</f>
        <v>G136</v>
      </c>
      <c r="AB139" t="str">
        <f>'Green_rooibos initial weight'!A1044</f>
        <v>R136</v>
      </c>
      <c r="AC139" t="b">
        <f t="shared" si="58"/>
        <v>0</v>
      </c>
      <c r="AD139" t="b">
        <f t="shared" si="59"/>
        <v>0</v>
      </c>
      <c r="AG139" t="str">
        <f>'WetLitterbags placem_collection'!K138</f>
        <v>G832</v>
      </c>
      <c r="AH139" t="str">
        <f>'WetLitterbags placem_collection'!M138</f>
        <v>R474</v>
      </c>
      <c r="AI139" t="b">
        <f t="shared" si="60"/>
        <v>0</v>
      </c>
      <c r="AJ139" t="b">
        <f t="shared" si="61"/>
        <v>0</v>
      </c>
      <c r="AK139">
        <f>'WetLitterbags placem_collection'!A138</f>
        <v>136</v>
      </c>
      <c r="AL139">
        <f>'WetLitterbags placem_collection'!A138</f>
        <v>136</v>
      </c>
      <c r="AN139">
        <f>IF('Dry_Litterbag Placem_Collection'!J138=0,"",'Dry_Litterbag Placem_Collection'!J138)</f>
        <v>332</v>
      </c>
      <c r="AO139">
        <f>IF('Dry_Litterbag Placem_Collection'!K138=0,"",'Dry_Litterbag Placem_Collection'!K138)</f>
        <v>184</v>
      </c>
      <c r="AP139" t="b">
        <f t="shared" si="62"/>
        <v>0</v>
      </c>
      <c r="AQ139" t="b">
        <f t="shared" si="63"/>
        <v>0</v>
      </c>
      <c r="AT139" t="str">
        <f>'Ashed teabags dry'!A137</f>
        <v>G263</v>
      </c>
      <c r="AU139" t="str">
        <f>'Ashed teabags dry'!A474</f>
        <v>R606</v>
      </c>
      <c r="AV139" t="b">
        <f t="shared" si="64"/>
        <v>0</v>
      </c>
      <c r="AW139" t="b">
        <f t="shared" si="65"/>
        <v>0</v>
      </c>
      <c r="AZ139" s="401" t="b">
        <f t="shared" si="66"/>
        <v>0</v>
      </c>
      <c r="BA139" s="401" t="b">
        <f t="shared" si="67"/>
        <v>0</v>
      </c>
      <c r="BC139" t="str">
        <f>'Ashed teabags wet'!A137</f>
        <v>G539</v>
      </c>
      <c r="BD139" t="str">
        <f>'Ashed teabags wet'!A554</f>
        <v>R329</v>
      </c>
      <c r="BE139" t="b">
        <f t="shared" si="68"/>
        <v>0</v>
      </c>
      <c r="BF139" t="b">
        <f t="shared" si="69"/>
        <v>0</v>
      </c>
      <c r="BG139">
        <f>IFERROR('Ashed teabags wet'!C137,"")</f>
        <v>47</v>
      </c>
      <c r="BH139">
        <f>IFERROR('Ashed teabags wet'!C554,"")</f>
        <v>87</v>
      </c>
      <c r="BI139">
        <f>'Ashed teabags wet'!AB137</f>
        <v>46</v>
      </c>
      <c r="BJ139" t="str">
        <f>'Ashed teabags wet'!AC137</f>
        <v/>
      </c>
      <c r="BK139" t="str">
        <f>'Ashed teabags wet'!AD554</f>
        <v/>
      </c>
      <c r="BL139">
        <f>'Ashed teabags wet'!AE554</f>
        <v>86</v>
      </c>
      <c r="BN139" t="str">
        <f t="shared" si="70"/>
        <v>G538</v>
      </c>
      <c r="BO139" t="b">
        <f t="shared" si="71"/>
        <v>1</v>
      </c>
    </row>
    <row r="140" spans="2:67" ht="12" customHeight="1">
      <c r="B140" t="str">
        <f>TBIDry!H212</f>
        <v>G30</v>
      </c>
      <c r="C140" t="str">
        <f>TBIDry!I212</f>
        <v>R746</v>
      </c>
      <c r="D140" t="b">
        <f t="shared" si="48"/>
        <v>0</v>
      </c>
      <c r="E140" t="b">
        <f t="shared" si="49"/>
        <v>0</v>
      </c>
      <c r="G140" t="str">
        <f>TBIWet!H212</f>
        <v>G805</v>
      </c>
      <c r="H140" t="str">
        <f>TBIWet!I212</f>
        <v>R34</v>
      </c>
      <c r="I140" t="b">
        <f t="shared" si="50"/>
        <v>0</v>
      </c>
      <c r="J140" t="b">
        <f t="shared" si="51"/>
        <v>0</v>
      </c>
      <c r="L140" t="str">
        <f>'Both teabags AfterWet'!A139</f>
        <v>G537</v>
      </c>
      <c r="M140" t="str">
        <f>'Both teabags AfterWet'!A557</f>
        <v>R317</v>
      </c>
      <c r="N140" t="b">
        <f t="shared" si="52"/>
        <v>0</v>
      </c>
      <c r="O140" t="b">
        <f t="shared" si="53"/>
        <v>0</v>
      </c>
      <c r="P140">
        <f>IFERROR('Both teabags AfterWet'!B139,"")</f>
        <v>189</v>
      </c>
      <c r="Q140">
        <f>'Both teabags AfterWet'!B557</f>
        <v>64</v>
      </c>
      <c r="S140" s="401" t="b">
        <f t="shared" si="54"/>
        <v>0</v>
      </c>
      <c r="T140" s="401" t="b">
        <f t="shared" si="55"/>
        <v>0</v>
      </c>
      <c r="V140" t="str">
        <f>'Both teabags AfterDry'!A139</f>
        <v>G265</v>
      </c>
      <c r="W140" t="str">
        <f>'Both teabags AfterDry'!A476</f>
        <v>R608</v>
      </c>
      <c r="X140" t="b">
        <f t="shared" si="56"/>
        <v>0</v>
      </c>
      <c r="Y140" t="b">
        <f t="shared" si="57"/>
        <v>0</v>
      </c>
      <c r="AA140" t="str">
        <f>'Green_rooibos initial weight'!A141</f>
        <v>G137</v>
      </c>
      <c r="AB140" t="str">
        <f>'Green_rooibos initial weight'!A1045</f>
        <v>R137</v>
      </c>
      <c r="AC140" t="b">
        <f t="shared" si="58"/>
        <v>0</v>
      </c>
      <c r="AD140" t="b">
        <f t="shared" si="59"/>
        <v>0</v>
      </c>
      <c r="AG140" t="str">
        <f>'WetLitterbags placem_collection'!K139</f>
        <v>G805</v>
      </c>
      <c r="AH140" t="str">
        <f>'WetLitterbags placem_collection'!M139</f>
        <v>R34</v>
      </c>
      <c r="AI140" t="b">
        <f t="shared" si="60"/>
        <v>0</v>
      </c>
      <c r="AJ140" t="b">
        <f t="shared" si="61"/>
        <v>0</v>
      </c>
      <c r="AK140">
        <f>'WetLitterbags placem_collection'!A139</f>
        <v>137</v>
      </c>
      <c r="AL140">
        <f>'WetLitterbags placem_collection'!A139</f>
        <v>137</v>
      </c>
      <c r="AN140">
        <f>IF('Dry_Litterbag Placem_Collection'!J139=0,"",'Dry_Litterbag Placem_Collection'!J139)</f>
        <v>30</v>
      </c>
      <c r="AO140">
        <f>IF('Dry_Litterbag Placem_Collection'!K139=0,"",'Dry_Litterbag Placem_Collection'!K139)</f>
        <v>746</v>
      </c>
      <c r="AP140" t="b">
        <f t="shared" si="62"/>
        <v>0</v>
      </c>
      <c r="AQ140" t="b">
        <f t="shared" si="63"/>
        <v>0</v>
      </c>
      <c r="AT140" t="str">
        <f>'Ashed teabags dry'!A138</f>
        <v>G265</v>
      </c>
      <c r="AU140" t="str">
        <f>'Ashed teabags dry'!A475</f>
        <v>R608</v>
      </c>
      <c r="AV140" t="b">
        <f t="shared" si="64"/>
        <v>0</v>
      </c>
      <c r="AW140" t="b">
        <f t="shared" si="65"/>
        <v>0</v>
      </c>
      <c r="AZ140" s="401" t="b">
        <f t="shared" si="66"/>
        <v>0</v>
      </c>
      <c r="BA140" s="401" t="b">
        <f t="shared" si="67"/>
        <v>0</v>
      </c>
      <c r="BC140" t="str">
        <f>'Ashed teabags wet'!A138</f>
        <v>G540</v>
      </c>
      <c r="BD140" t="str">
        <f>'Ashed teabags wet'!A555</f>
        <v>R33</v>
      </c>
      <c r="BE140" t="b">
        <f t="shared" si="68"/>
        <v>0</v>
      </c>
      <c r="BF140" t="b">
        <f t="shared" si="69"/>
        <v>0</v>
      </c>
      <c r="BG140">
        <f>IFERROR('Ashed teabags wet'!C138,"")</f>
        <v>207</v>
      </c>
      <c r="BH140">
        <f>IFERROR('Ashed teabags wet'!C555,"")</f>
        <v>106</v>
      </c>
      <c r="BI140" t="str">
        <f>'Ashed teabags wet'!AB138</f>
        <v/>
      </c>
      <c r="BJ140">
        <f>'Ashed teabags wet'!AC138</f>
        <v>206</v>
      </c>
      <c r="BK140" t="str">
        <f>'Ashed teabags wet'!AD555</f>
        <v/>
      </c>
      <c r="BL140">
        <f>'Ashed teabags wet'!AE555</f>
        <v>108</v>
      </c>
      <c r="BN140" t="str">
        <f t="shared" si="70"/>
        <v>G539</v>
      </c>
      <c r="BO140" t="b">
        <f t="shared" si="71"/>
        <v>1</v>
      </c>
    </row>
    <row r="141" spans="2:67" ht="12" customHeight="1">
      <c r="B141" t="str">
        <f>TBIDry!H213</f>
        <v>G213</v>
      </c>
      <c r="C141" t="str">
        <f>TBIDry!I213</f>
        <v>R821</v>
      </c>
      <c r="D141" t="b">
        <f t="shared" si="48"/>
        <v>0</v>
      </c>
      <c r="E141" t="b">
        <f t="shared" si="49"/>
        <v>0</v>
      </c>
      <c r="G141" t="str">
        <f>TBIWet!H213</f>
        <v>G815</v>
      </c>
      <c r="H141" t="str">
        <f>TBIWet!I213</f>
        <v>R426</v>
      </c>
      <c r="I141" t="b">
        <f t="shared" si="50"/>
        <v>0</v>
      </c>
      <c r="J141" t="b">
        <f t="shared" si="51"/>
        <v>0</v>
      </c>
      <c r="L141" t="str">
        <f>'Both teabags AfterWet'!A140</f>
        <v>G538</v>
      </c>
      <c r="M141" t="str">
        <f>'Both teabags AfterWet'!A558</f>
        <v>R318</v>
      </c>
      <c r="N141" t="b">
        <f t="shared" si="52"/>
        <v>0</v>
      </c>
      <c r="O141" t="b">
        <f t="shared" si="53"/>
        <v>0</v>
      </c>
      <c r="P141">
        <f>IFERROR('Both teabags AfterWet'!B140,"")</f>
        <v>56</v>
      </c>
      <c r="Q141" t="str">
        <f>'Both teabags AfterWet'!B558</f>
        <v>na</v>
      </c>
      <c r="S141" s="401" t="b">
        <f t="shared" si="54"/>
        <v>0</v>
      </c>
      <c r="T141" s="401" t="b">
        <f t="shared" si="55"/>
        <v>0</v>
      </c>
      <c r="V141" t="str">
        <f>'Both teabags AfterDry'!A140</f>
        <v>G266</v>
      </c>
      <c r="W141" t="str">
        <f>'Both teabags AfterDry'!A477</f>
        <v>R609</v>
      </c>
      <c r="X141" t="b">
        <f t="shared" si="56"/>
        <v>0</v>
      </c>
      <c r="Y141" t="b">
        <f t="shared" si="57"/>
        <v>0</v>
      </c>
      <c r="AA141" t="str">
        <f>'Green_rooibos initial weight'!A142</f>
        <v>G138</v>
      </c>
      <c r="AB141" t="str">
        <f>'Green_rooibos initial weight'!A1046</f>
        <v>R138</v>
      </c>
      <c r="AC141" t="b">
        <f t="shared" si="58"/>
        <v>0</v>
      </c>
      <c r="AD141" t="b">
        <f t="shared" si="59"/>
        <v>0</v>
      </c>
      <c r="AG141" t="str">
        <f>'WetLitterbags placem_collection'!K140</f>
        <v>G815</v>
      </c>
      <c r="AH141" t="str">
        <f>'WetLitterbags placem_collection'!M140</f>
        <v>R426</v>
      </c>
      <c r="AI141" t="b">
        <f t="shared" si="60"/>
        <v>0</v>
      </c>
      <c r="AJ141" t="b">
        <f t="shared" si="61"/>
        <v>0</v>
      </c>
      <c r="AK141">
        <f>'WetLitterbags placem_collection'!A140</f>
        <v>138</v>
      </c>
      <c r="AL141">
        <f>'WetLitterbags placem_collection'!A140</f>
        <v>138</v>
      </c>
      <c r="AN141">
        <f>IF('Dry_Litterbag Placem_Collection'!J140=0,"",'Dry_Litterbag Placem_Collection'!J140)</f>
        <v>213</v>
      </c>
      <c r="AO141">
        <f>IF('Dry_Litterbag Placem_Collection'!K140=0,"",'Dry_Litterbag Placem_Collection'!K140)</f>
        <v>821</v>
      </c>
      <c r="AP141" t="b">
        <f t="shared" si="62"/>
        <v>0</v>
      </c>
      <c r="AQ141" t="b">
        <f t="shared" si="63"/>
        <v>0</v>
      </c>
      <c r="AT141" t="str">
        <f>'Ashed teabags dry'!A139</f>
        <v>G266</v>
      </c>
      <c r="AU141" t="str">
        <f>'Ashed teabags dry'!A476</f>
        <v>R609</v>
      </c>
      <c r="AV141" t="b">
        <f t="shared" si="64"/>
        <v>0</v>
      </c>
      <c r="AW141" t="b">
        <f t="shared" si="65"/>
        <v>0</v>
      </c>
      <c r="AZ141" s="401" t="b">
        <f t="shared" si="66"/>
        <v>0</v>
      </c>
      <c r="BA141" s="401" t="b">
        <f t="shared" si="67"/>
        <v>0</v>
      </c>
      <c r="BC141" t="str">
        <f>'Ashed teabags wet'!A139</f>
        <v>G541</v>
      </c>
      <c r="BD141" t="str">
        <f>'Ashed teabags wet'!A556</f>
        <v>R330</v>
      </c>
      <c r="BE141" t="b">
        <f t="shared" si="68"/>
        <v>0</v>
      </c>
      <c r="BF141" t="b">
        <f t="shared" si="69"/>
        <v>0</v>
      </c>
      <c r="BG141">
        <f>IFERROR('Ashed teabags wet'!C139,"")</f>
        <v>61</v>
      </c>
      <c r="BH141">
        <f>IFERROR('Ashed teabags wet'!C556,"")</f>
        <v>170</v>
      </c>
      <c r="BI141">
        <f>'Ashed teabags wet'!AB139</f>
        <v>60</v>
      </c>
      <c r="BJ141" t="str">
        <f>'Ashed teabags wet'!AC139</f>
        <v/>
      </c>
      <c r="BK141">
        <f>'Ashed teabags wet'!AD556</f>
        <v>169</v>
      </c>
      <c r="BL141" t="str">
        <f>'Ashed teabags wet'!AE556</f>
        <v/>
      </c>
      <c r="BN141" t="str">
        <f t="shared" si="70"/>
        <v>G540</v>
      </c>
      <c r="BO141" t="b">
        <f t="shared" si="71"/>
        <v>1</v>
      </c>
    </row>
    <row r="142" spans="2:67" ht="12" customHeight="1">
      <c r="B142" t="str">
        <f>TBIDry!H214</f>
        <v>G17</v>
      </c>
      <c r="C142" t="str">
        <f>TBIDry!I214</f>
        <v>R813</v>
      </c>
      <c r="D142" s="113" t="b">
        <f t="shared" si="48"/>
        <v>0</v>
      </c>
      <c r="E142" t="b">
        <f t="shared" si="49"/>
        <v>0</v>
      </c>
      <c r="G142" t="str">
        <f>TBIWet!H214</f>
        <v>G798</v>
      </c>
      <c r="H142" t="str">
        <f>TBIWet!I214</f>
        <v>R563</v>
      </c>
      <c r="I142" t="b">
        <f t="shared" si="50"/>
        <v>0</v>
      </c>
      <c r="J142" t="b">
        <f t="shared" si="51"/>
        <v>0</v>
      </c>
      <c r="L142" t="str">
        <f>'Both teabags AfterWet'!A141</f>
        <v>G539</v>
      </c>
      <c r="M142" t="str">
        <f>'Both teabags AfterWet'!A559</f>
        <v>R319</v>
      </c>
      <c r="N142" t="b">
        <f t="shared" si="52"/>
        <v>0</v>
      </c>
      <c r="O142" t="b">
        <f t="shared" si="53"/>
        <v>0</v>
      </c>
      <c r="P142">
        <f>IFERROR('Both teabags AfterWet'!B141,"")</f>
        <v>47</v>
      </c>
      <c r="Q142" t="str">
        <f>'Both teabags AfterWet'!B559</f>
        <v>n.a</v>
      </c>
      <c r="S142" s="401" t="b">
        <f t="shared" si="54"/>
        <v>0</v>
      </c>
      <c r="T142" s="401" t="b">
        <f t="shared" si="55"/>
        <v>0</v>
      </c>
      <c r="V142" t="str">
        <f>'Both teabags AfterDry'!A141</f>
        <v>G267</v>
      </c>
      <c r="W142" t="str">
        <f>'Both teabags AfterDry'!A478</f>
        <v>R61</v>
      </c>
      <c r="X142" t="b">
        <f t="shared" si="56"/>
        <v>0</v>
      </c>
      <c r="Y142" t="b">
        <f t="shared" si="57"/>
        <v>0</v>
      </c>
      <c r="AA142" t="str">
        <f>'Green_rooibos initial weight'!A143</f>
        <v>G139</v>
      </c>
      <c r="AB142" t="str">
        <f>'Green_rooibos initial weight'!A1047</f>
        <v>R139</v>
      </c>
      <c r="AC142" t="b">
        <f t="shared" si="58"/>
        <v>0</v>
      </c>
      <c r="AD142" t="b">
        <f t="shared" si="59"/>
        <v>0</v>
      </c>
      <c r="AG142" t="str">
        <f>'WetLitterbags placem_collection'!K141</f>
        <v>G798</v>
      </c>
      <c r="AH142" t="str">
        <f>'WetLitterbags placem_collection'!M141</f>
        <v>R563</v>
      </c>
      <c r="AI142" t="b">
        <f t="shared" si="60"/>
        <v>0</v>
      </c>
      <c r="AJ142" t="b">
        <f t="shared" si="61"/>
        <v>0</v>
      </c>
      <c r="AK142">
        <f>'WetLitterbags placem_collection'!A141</f>
        <v>139</v>
      </c>
      <c r="AL142">
        <f>'WetLitterbags placem_collection'!A141</f>
        <v>139</v>
      </c>
      <c r="AN142">
        <f>IF('Dry_Litterbag Placem_Collection'!J141=0,"",'Dry_Litterbag Placem_Collection'!J141)</f>
        <v>17</v>
      </c>
      <c r="AO142">
        <f>IF('Dry_Litterbag Placem_Collection'!K141=0,"",'Dry_Litterbag Placem_Collection'!K141)</f>
        <v>813</v>
      </c>
      <c r="AP142" t="b">
        <f t="shared" si="62"/>
        <v>0</v>
      </c>
      <c r="AQ142" t="b">
        <f t="shared" si="63"/>
        <v>0</v>
      </c>
      <c r="AT142" t="str">
        <f>'Ashed teabags dry'!A140</f>
        <v>G267</v>
      </c>
      <c r="AU142" t="str">
        <f>'Ashed teabags dry'!A477</f>
        <v>R61</v>
      </c>
      <c r="AV142" t="b">
        <f t="shared" si="64"/>
        <v>0</v>
      </c>
      <c r="AW142" t="b">
        <f t="shared" si="65"/>
        <v>0</v>
      </c>
      <c r="AZ142" s="401" t="b">
        <f t="shared" si="66"/>
        <v>0</v>
      </c>
      <c r="BA142" s="401" t="b">
        <f t="shared" si="67"/>
        <v>0</v>
      </c>
      <c r="BC142" t="str">
        <f>'Ashed teabags wet'!A140</f>
        <v>G542</v>
      </c>
      <c r="BD142" t="str">
        <f>'Ashed teabags wet'!A557</f>
        <v>R331</v>
      </c>
      <c r="BE142" t="b">
        <f t="shared" si="68"/>
        <v>0</v>
      </c>
      <c r="BF142" t="b">
        <f t="shared" si="69"/>
        <v>0</v>
      </c>
      <c r="BG142">
        <f>IFERROR('Ashed teabags wet'!C140,"")</f>
        <v>81</v>
      </c>
      <c r="BH142">
        <f>IFERROR('Ashed teabags wet'!C557,"")</f>
        <v>165</v>
      </c>
      <c r="BI142">
        <f>'Ashed teabags wet'!AB140</f>
        <v>80</v>
      </c>
      <c r="BJ142" t="str">
        <f>'Ashed teabags wet'!AC140</f>
        <v/>
      </c>
      <c r="BK142">
        <f>'Ashed teabags wet'!AD557</f>
        <v>164</v>
      </c>
      <c r="BL142" t="str">
        <f>'Ashed teabags wet'!AE557</f>
        <v/>
      </c>
      <c r="BN142" t="str">
        <f t="shared" si="70"/>
        <v>G541</v>
      </c>
      <c r="BO142" t="b">
        <f t="shared" si="71"/>
        <v>1</v>
      </c>
    </row>
    <row r="143" spans="2:67" ht="12" customHeight="1">
      <c r="B143" t="str">
        <f>TBIDry!H215</f>
        <v>G401</v>
      </c>
      <c r="C143" t="str">
        <f>TBIDry!I215</f>
        <v>R729</v>
      </c>
      <c r="D143" t="b">
        <f t="shared" si="48"/>
        <v>0</v>
      </c>
      <c r="E143" t="b">
        <f t="shared" si="49"/>
        <v>0</v>
      </c>
      <c r="G143" t="str">
        <f>TBIWet!H215</f>
        <v>G787</v>
      </c>
      <c r="H143" t="str">
        <f>TBIWet!I215</f>
        <v>R535</v>
      </c>
      <c r="I143" t="b">
        <f t="shared" si="50"/>
        <v>0</v>
      </c>
      <c r="J143" t="b">
        <f t="shared" si="51"/>
        <v>0</v>
      </c>
      <c r="L143" t="str">
        <f>'Both teabags AfterWet'!A142</f>
        <v>G540</v>
      </c>
      <c r="M143" t="str">
        <f>'Both teabags AfterWet'!A560</f>
        <v>R32</v>
      </c>
      <c r="N143" t="b">
        <f t="shared" si="52"/>
        <v>0</v>
      </c>
      <c r="O143" t="b">
        <f t="shared" si="53"/>
        <v>0</v>
      </c>
      <c r="P143">
        <f>IFERROR('Both teabags AfterWet'!B142,"")</f>
        <v>206</v>
      </c>
      <c r="Q143" t="str">
        <f>'Both teabags AfterWet'!B560</f>
        <v>n.a</v>
      </c>
      <c r="S143" s="401" t="b">
        <f t="shared" si="54"/>
        <v>0</v>
      </c>
      <c r="T143" s="401" t="b">
        <f t="shared" si="55"/>
        <v>0</v>
      </c>
      <c r="V143" t="str">
        <f>'Both teabags AfterDry'!A142</f>
        <v>G268</v>
      </c>
      <c r="W143" t="str">
        <f>'Both teabags AfterDry'!A479</f>
        <v>R610</v>
      </c>
      <c r="X143" t="b">
        <f t="shared" si="56"/>
        <v>0</v>
      </c>
      <c r="Y143" t="b">
        <f t="shared" si="57"/>
        <v>0</v>
      </c>
      <c r="AA143" t="str">
        <f>'Green_rooibos initial weight'!A144</f>
        <v>G140</v>
      </c>
      <c r="AB143" t="str">
        <f>'Green_rooibos initial weight'!A1048</f>
        <v>R140</v>
      </c>
      <c r="AC143" t="b">
        <f t="shared" si="58"/>
        <v>0</v>
      </c>
      <c r="AD143" t="b">
        <f t="shared" si="59"/>
        <v>0</v>
      </c>
      <c r="AG143" t="str">
        <f>'WetLitterbags placem_collection'!K142</f>
        <v>G787</v>
      </c>
      <c r="AH143" t="str">
        <f>'WetLitterbags placem_collection'!M142</f>
        <v>R535</v>
      </c>
      <c r="AI143" t="b">
        <f t="shared" si="60"/>
        <v>0</v>
      </c>
      <c r="AJ143" t="b">
        <f t="shared" si="61"/>
        <v>0</v>
      </c>
      <c r="AK143">
        <f>'WetLitterbags placem_collection'!A142</f>
        <v>140</v>
      </c>
      <c r="AL143">
        <f>'WetLitterbags placem_collection'!A142</f>
        <v>140</v>
      </c>
      <c r="AN143">
        <f>IF('Dry_Litterbag Placem_Collection'!J142=0,"",'Dry_Litterbag Placem_Collection'!J142)</f>
        <v>401</v>
      </c>
      <c r="AO143">
        <f>IF('Dry_Litterbag Placem_Collection'!K142=0,"",'Dry_Litterbag Placem_Collection'!K142)</f>
        <v>729</v>
      </c>
      <c r="AP143" t="b">
        <f t="shared" si="62"/>
        <v>0</v>
      </c>
      <c r="AQ143" t="b">
        <f t="shared" si="63"/>
        <v>0</v>
      </c>
      <c r="AT143" t="str">
        <f>'Ashed teabags dry'!A141</f>
        <v>G268</v>
      </c>
      <c r="AU143" t="str">
        <f>'Ashed teabags dry'!A478</f>
        <v>R610</v>
      </c>
      <c r="AV143" t="b">
        <f t="shared" si="64"/>
        <v>0</v>
      </c>
      <c r="AW143" t="b">
        <f t="shared" si="65"/>
        <v>0</v>
      </c>
      <c r="AZ143" s="401" t="b">
        <f t="shared" si="66"/>
        <v>0</v>
      </c>
      <c r="BA143" s="401" t="b">
        <f t="shared" si="67"/>
        <v>0</v>
      </c>
      <c r="BC143" t="str">
        <f>'Ashed teabags wet'!A141</f>
        <v>G543</v>
      </c>
      <c r="BD143" t="str">
        <f>'Ashed teabags wet'!A558</f>
        <v>R333</v>
      </c>
      <c r="BE143" t="b">
        <f t="shared" si="68"/>
        <v>0</v>
      </c>
      <c r="BF143" t="b">
        <f t="shared" si="69"/>
        <v>0</v>
      </c>
      <c r="BG143">
        <f>IFERROR('Ashed teabags wet'!C141,"")</f>
        <v>11</v>
      </c>
      <c r="BH143">
        <f>IFERROR('Ashed teabags wet'!C558,"")</f>
        <v>65</v>
      </c>
      <c r="BI143">
        <f>'Ashed teabags wet'!AB141</f>
        <v>10</v>
      </c>
      <c r="BJ143" t="str">
        <f>'Ashed teabags wet'!AC141</f>
        <v/>
      </c>
      <c r="BK143" t="str">
        <f>'Ashed teabags wet'!AD558</f>
        <v/>
      </c>
      <c r="BL143">
        <f>'Ashed teabags wet'!AE558</f>
        <v>64</v>
      </c>
      <c r="BN143" t="str">
        <f t="shared" si="70"/>
        <v>G542</v>
      </c>
      <c r="BO143" t="b">
        <f t="shared" si="71"/>
        <v>1</v>
      </c>
    </row>
    <row r="144" spans="2:67" ht="12" customHeight="1">
      <c r="B144" t="str">
        <f>TBIDry!H216</f>
        <v/>
      </c>
      <c r="C144" t="str">
        <f>TBIDry!I216</f>
        <v/>
      </c>
      <c r="D144" t="b">
        <f t="shared" si="48"/>
        <v>1</v>
      </c>
      <c r="E144" t="b">
        <f t="shared" si="49"/>
        <v>1</v>
      </c>
      <c r="G144" t="str">
        <f>TBIWet!H216</f>
        <v>G900</v>
      </c>
      <c r="H144" t="str">
        <f>TBIWet!I216</f>
        <v>R581</v>
      </c>
      <c r="I144" t="b">
        <f t="shared" si="50"/>
        <v>0</v>
      </c>
      <c r="J144" t="b">
        <f t="shared" si="51"/>
        <v>0</v>
      </c>
      <c r="L144" t="str">
        <f>'Both teabags AfterWet'!A143</f>
        <v>G541</v>
      </c>
      <c r="M144" t="str">
        <f>'Both teabags AfterWet'!A561</f>
        <v>R322</v>
      </c>
      <c r="N144" t="b">
        <f t="shared" si="52"/>
        <v>0</v>
      </c>
      <c r="O144" t="b">
        <f t="shared" si="53"/>
        <v>0</v>
      </c>
      <c r="P144">
        <f>IFERROR('Both teabags AfterWet'!B143,"")</f>
        <v>61</v>
      </c>
      <c r="Q144">
        <f>'Both teabags AfterWet'!B561</f>
        <v>168</v>
      </c>
      <c r="S144" s="401" t="b">
        <f t="shared" si="54"/>
        <v>0</v>
      </c>
      <c r="T144" s="401" t="b">
        <f t="shared" si="55"/>
        <v>0</v>
      </c>
      <c r="V144" t="str">
        <f>'Both teabags AfterDry'!A143</f>
        <v>G27</v>
      </c>
      <c r="W144" t="str">
        <f>'Both teabags AfterDry'!A480</f>
        <v>R611</v>
      </c>
      <c r="X144" t="b">
        <f t="shared" si="56"/>
        <v>0</v>
      </c>
      <c r="Y144" t="b">
        <f t="shared" si="57"/>
        <v>0</v>
      </c>
      <c r="AA144" t="str">
        <f>'Green_rooibos initial weight'!A145</f>
        <v>G141</v>
      </c>
      <c r="AB144" t="str">
        <f>'Green_rooibos initial weight'!A1049</f>
        <v>R141</v>
      </c>
      <c r="AC144" t="b">
        <f t="shared" si="58"/>
        <v>0</v>
      </c>
      <c r="AD144" t="b">
        <f t="shared" si="59"/>
        <v>0</v>
      </c>
      <c r="AG144" t="str">
        <f>'WetLitterbags placem_collection'!K143</f>
        <v>G900</v>
      </c>
      <c r="AH144" t="str">
        <f>'WetLitterbags placem_collection'!M143</f>
        <v>R581</v>
      </c>
      <c r="AI144" t="b">
        <f t="shared" si="60"/>
        <v>0</v>
      </c>
      <c r="AJ144" t="b">
        <f t="shared" si="61"/>
        <v>0</v>
      </c>
      <c r="AK144">
        <f>'WetLitterbags placem_collection'!A143</f>
        <v>141</v>
      </c>
      <c r="AL144">
        <f>'WetLitterbags placem_collection'!A143</f>
        <v>141</v>
      </c>
      <c r="AN144" t="str">
        <f>IF('Dry_Litterbag Placem_Collection'!J143=0,"",'Dry_Litterbag Placem_Collection'!J143)</f>
        <v/>
      </c>
      <c r="AO144" t="str">
        <f>IF('Dry_Litterbag Placem_Collection'!K143=0,"",'Dry_Litterbag Placem_Collection'!K143)</f>
        <v/>
      </c>
      <c r="AP144" t="b">
        <f t="shared" si="62"/>
        <v>1</v>
      </c>
      <c r="AQ144" t="b">
        <f t="shared" si="63"/>
        <v>1</v>
      </c>
      <c r="AT144" t="str">
        <f>'Ashed teabags dry'!A142</f>
        <v>G27</v>
      </c>
      <c r="AU144" t="str">
        <f>'Ashed teabags dry'!A479</f>
        <v>R611</v>
      </c>
      <c r="AV144" t="b">
        <f t="shared" si="64"/>
        <v>0</v>
      </c>
      <c r="AW144" t="b">
        <f t="shared" si="65"/>
        <v>0</v>
      </c>
      <c r="AZ144" s="401" t="b">
        <f t="shared" si="66"/>
        <v>0</v>
      </c>
      <c r="BA144" s="401" t="b">
        <f t="shared" si="67"/>
        <v>0</v>
      </c>
      <c r="BC144" t="str">
        <f>'Ashed teabags wet'!A142</f>
        <v>G544</v>
      </c>
      <c r="BD144" t="str">
        <f>'Ashed teabags wet'!A559</f>
        <v>R334</v>
      </c>
      <c r="BE144" t="b">
        <f t="shared" si="68"/>
        <v>0</v>
      </c>
      <c r="BF144" t="b">
        <f t="shared" si="69"/>
        <v>0</v>
      </c>
      <c r="BG144">
        <f>IFERROR('Ashed teabags wet'!C142,"")</f>
        <v>186</v>
      </c>
      <c r="BH144">
        <f>IFERROR('Ashed teabags wet'!C559,"")</f>
        <v>204</v>
      </c>
      <c r="BI144">
        <f>'Ashed teabags wet'!AB142</f>
        <v>185</v>
      </c>
      <c r="BJ144" t="str">
        <f>'Ashed teabags wet'!AC142</f>
        <v/>
      </c>
      <c r="BK144">
        <f>'Ashed teabags wet'!AD559</f>
        <v>203</v>
      </c>
      <c r="BL144" t="str">
        <f>'Ashed teabags wet'!AE559</f>
        <v/>
      </c>
      <c r="BN144" t="str">
        <f t="shared" si="70"/>
        <v>G543</v>
      </c>
      <c r="BO144" t="b">
        <f t="shared" si="71"/>
        <v>1</v>
      </c>
    </row>
    <row r="145" spans="2:67" ht="12" customHeight="1">
      <c r="B145" t="str">
        <f>TBIDry!H217</f>
        <v>G87</v>
      </c>
      <c r="C145" t="str">
        <f>TBIDry!I217</f>
        <v>R834</v>
      </c>
      <c r="D145" t="b">
        <f t="shared" si="48"/>
        <v>0</v>
      </c>
      <c r="E145" t="b">
        <f t="shared" si="49"/>
        <v>0</v>
      </c>
      <c r="G145" t="str">
        <f>TBIWet!H217</f>
        <v>G817</v>
      </c>
      <c r="H145" t="str">
        <f>TBIWet!I217</f>
        <v>R460</v>
      </c>
      <c r="I145" t="b">
        <f t="shared" si="50"/>
        <v>0</v>
      </c>
      <c r="J145" t="b">
        <f t="shared" si="51"/>
        <v>0</v>
      </c>
      <c r="L145" t="str">
        <f>'Both teabags AfterWet'!A144</f>
        <v>G542</v>
      </c>
      <c r="M145" t="str">
        <f>'Both teabags AfterWet'!A562</f>
        <v>R323</v>
      </c>
      <c r="N145" t="b">
        <f t="shared" si="52"/>
        <v>0</v>
      </c>
      <c r="O145" t="b">
        <f t="shared" si="53"/>
        <v>0</v>
      </c>
      <c r="P145">
        <f>IFERROR('Both teabags AfterWet'!B144,"")</f>
        <v>81</v>
      </c>
      <c r="Q145" t="str">
        <f>'Both teabags AfterWet'!B562</f>
        <v>n.a</v>
      </c>
      <c r="S145" s="401" t="b">
        <f t="shared" si="54"/>
        <v>0</v>
      </c>
      <c r="T145" s="401" t="b">
        <f t="shared" si="55"/>
        <v>0</v>
      </c>
      <c r="V145" t="str">
        <f>'Both teabags AfterDry'!A144</f>
        <v>G273</v>
      </c>
      <c r="W145" t="str">
        <f>'Both teabags AfterDry'!A481</f>
        <v>R612</v>
      </c>
      <c r="X145" t="b">
        <f t="shared" si="56"/>
        <v>0</v>
      </c>
      <c r="Y145" t="b">
        <f t="shared" si="57"/>
        <v>0</v>
      </c>
      <c r="AA145" t="str">
        <f>'Green_rooibos initial weight'!A146</f>
        <v>G142</v>
      </c>
      <c r="AB145" t="str">
        <f>'Green_rooibos initial weight'!A1050</f>
        <v>R142</v>
      </c>
      <c r="AC145" t="b">
        <f t="shared" si="58"/>
        <v>0</v>
      </c>
      <c r="AD145" t="b">
        <f t="shared" si="59"/>
        <v>0</v>
      </c>
      <c r="AG145" t="str">
        <f>'WetLitterbags placem_collection'!K144</f>
        <v>G817</v>
      </c>
      <c r="AH145" t="str">
        <f>'WetLitterbags placem_collection'!M144</f>
        <v>R460</v>
      </c>
      <c r="AI145" t="b">
        <f t="shared" si="60"/>
        <v>0</v>
      </c>
      <c r="AJ145" t="b">
        <f t="shared" si="61"/>
        <v>0</v>
      </c>
      <c r="AK145">
        <f>'WetLitterbags placem_collection'!A144</f>
        <v>142</v>
      </c>
      <c r="AL145">
        <f>'WetLitterbags placem_collection'!A144</f>
        <v>142</v>
      </c>
      <c r="AN145">
        <f>IF('Dry_Litterbag Placem_Collection'!J144=0,"",'Dry_Litterbag Placem_Collection'!J144)</f>
        <v>87</v>
      </c>
      <c r="AO145">
        <f>IF('Dry_Litterbag Placem_Collection'!K144=0,"",'Dry_Litterbag Placem_Collection'!K144)</f>
        <v>834</v>
      </c>
      <c r="AP145" t="b">
        <f t="shared" si="62"/>
        <v>0</v>
      </c>
      <c r="AQ145" t="b">
        <f t="shared" si="63"/>
        <v>0</v>
      </c>
      <c r="AT145" t="str">
        <f>'Ashed teabags dry'!A143</f>
        <v>G273</v>
      </c>
      <c r="AU145" t="str">
        <f>'Ashed teabags dry'!A480</f>
        <v>R612</v>
      </c>
      <c r="AV145" t="b">
        <f t="shared" si="64"/>
        <v>0</v>
      </c>
      <c r="AW145" t="b">
        <f t="shared" si="65"/>
        <v>0</v>
      </c>
      <c r="AZ145" s="401" t="b">
        <f t="shared" si="66"/>
        <v>0</v>
      </c>
      <c r="BA145" s="401" t="b">
        <f t="shared" si="67"/>
        <v>0</v>
      </c>
      <c r="BC145" t="str">
        <f>'Ashed teabags wet'!A143</f>
        <v>G545</v>
      </c>
      <c r="BD145" t="str">
        <f>'Ashed teabags wet'!A560</f>
        <v>R336</v>
      </c>
      <c r="BE145" t="b">
        <f t="shared" si="68"/>
        <v>0</v>
      </c>
      <c r="BF145" t="b">
        <f t="shared" si="69"/>
        <v>0</v>
      </c>
      <c r="BG145">
        <f>IFERROR('Ashed teabags wet'!C143,"")</f>
        <v>96</v>
      </c>
      <c r="BH145">
        <f>IFERROR('Ashed teabags wet'!C560,"")</f>
        <v>191</v>
      </c>
      <c r="BI145" t="str">
        <f>'Ashed teabags wet'!AB143</f>
        <v/>
      </c>
      <c r="BJ145">
        <f>'Ashed teabags wet'!AC143</f>
        <v>95</v>
      </c>
      <c r="BK145">
        <f>'Ashed teabags wet'!AD560</f>
        <v>190</v>
      </c>
      <c r="BL145" t="str">
        <f>'Ashed teabags wet'!AE560</f>
        <v/>
      </c>
      <c r="BN145" t="str">
        <f t="shared" si="70"/>
        <v>G544</v>
      </c>
      <c r="BO145" t="b">
        <f t="shared" si="71"/>
        <v>1</v>
      </c>
    </row>
    <row r="146" spans="2:67" ht="12" customHeight="1">
      <c r="B146" t="str">
        <f>TBIDry!H218</f>
        <v>G501</v>
      </c>
      <c r="C146" t="str">
        <f>TBIDry!I218</f>
        <v>R774</v>
      </c>
      <c r="D146" t="b">
        <f t="shared" si="48"/>
        <v>0</v>
      </c>
      <c r="E146" t="b">
        <f t="shared" si="49"/>
        <v>0</v>
      </c>
      <c r="G146" t="str">
        <f>TBIWet!H218</f>
        <v>G836</v>
      </c>
      <c r="H146" t="str">
        <f>TBIWet!I218</f>
        <v>R456</v>
      </c>
      <c r="I146" t="b">
        <f t="shared" si="50"/>
        <v>0</v>
      </c>
      <c r="J146" t="b">
        <f t="shared" si="51"/>
        <v>0</v>
      </c>
      <c r="L146" t="str">
        <f>'Both teabags AfterWet'!A145</f>
        <v>G543</v>
      </c>
      <c r="M146" t="str">
        <f>'Both teabags AfterWet'!A563</f>
        <v>R326</v>
      </c>
      <c r="N146" t="b">
        <f t="shared" si="52"/>
        <v>0</v>
      </c>
      <c r="O146" t="b">
        <f t="shared" si="53"/>
        <v>0</v>
      </c>
      <c r="P146" t="str">
        <f>IFERROR('Both teabags AfterWet'!B145,"")</f>
        <v>n.a</v>
      </c>
      <c r="Q146">
        <f>'Both teabags AfterWet'!B563</f>
        <v>176</v>
      </c>
      <c r="S146" s="401" t="b">
        <f t="shared" si="54"/>
        <v>0</v>
      </c>
      <c r="T146" s="401" t="b">
        <f t="shared" si="55"/>
        <v>0</v>
      </c>
      <c r="V146" t="str">
        <f>'Both teabags AfterDry'!A145</f>
        <v>G274</v>
      </c>
      <c r="W146" t="str">
        <f>'Both teabags AfterDry'!A482</f>
        <v>R613</v>
      </c>
      <c r="X146" t="b">
        <f t="shared" si="56"/>
        <v>0</v>
      </c>
      <c r="Y146" t="b">
        <f t="shared" si="57"/>
        <v>0</v>
      </c>
      <c r="AA146" t="str">
        <f>'Green_rooibos initial weight'!A147</f>
        <v>G143</v>
      </c>
      <c r="AB146" t="str">
        <f>'Green_rooibos initial weight'!A1051</f>
        <v>R143</v>
      </c>
      <c r="AC146" t="b">
        <f t="shared" si="58"/>
        <v>0</v>
      </c>
      <c r="AD146" t="b">
        <f t="shared" si="59"/>
        <v>0</v>
      </c>
      <c r="AG146" t="str">
        <f>'WetLitterbags placem_collection'!K145</f>
        <v>G836</v>
      </c>
      <c r="AH146" t="str">
        <f>'WetLitterbags placem_collection'!M145</f>
        <v>R456</v>
      </c>
      <c r="AI146" t="b">
        <f t="shared" si="60"/>
        <v>0</v>
      </c>
      <c r="AJ146" t="b">
        <f t="shared" si="61"/>
        <v>0</v>
      </c>
      <c r="AK146">
        <f>'WetLitterbags placem_collection'!A145</f>
        <v>143</v>
      </c>
      <c r="AL146">
        <f>'WetLitterbags placem_collection'!A145</f>
        <v>143</v>
      </c>
      <c r="AN146">
        <f>IF('Dry_Litterbag Placem_Collection'!J145=0,"",'Dry_Litterbag Placem_Collection'!J145)</f>
        <v>501</v>
      </c>
      <c r="AO146">
        <f>IF('Dry_Litterbag Placem_Collection'!K145=0,"",'Dry_Litterbag Placem_Collection'!K145)</f>
        <v>774</v>
      </c>
      <c r="AP146" t="b">
        <f t="shared" si="62"/>
        <v>0</v>
      </c>
      <c r="AQ146" t="b">
        <f t="shared" si="63"/>
        <v>0</v>
      </c>
      <c r="AT146" t="str">
        <f>'Ashed teabags dry'!A144</f>
        <v>G274</v>
      </c>
      <c r="AU146" t="str">
        <f>'Ashed teabags dry'!A481</f>
        <v>R613</v>
      </c>
      <c r="AV146" t="b">
        <f t="shared" si="64"/>
        <v>0</v>
      </c>
      <c r="AW146" t="b">
        <f t="shared" si="65"/>
        <v>0</v>
      </c>
      <c r="AZ146" s="401" t="b">
        <f t="shared" si="66"/>
        <v>0</v>
      </c>
      <c r="BA146" s="401" t="b">
        <f t="shared" si="67"/>
        <v>0</v>
      </c>
      <c r="BC146" t="str">
        <f>'Ashed teabags wet'!A144</f>
        <v>G546</v>
      </c>
      <c r="BD146" t="str">
        <f>'Ashed teabags wet'!A561</f>
        <v>R339</v>
      </c>
      <c r="BE146" t="b">
        <f t="shared" si="68"/>
        <v>0</v>
      </c>
      <c r="BF146" t="b">
        <f t="shared" si="69"/>
        <v>0</v>
      </c>
      <c r="BG146">
        <f>IFERROR('Ashed teabags wet'!C144,"")</f>
        <v>0</v>
      </c>
      <c r="BH146">
        <f>IFERROR('Ashed teabags wet'!C561,"")</f>
        <v>199</v>
      </c>
      <c r="BI146">
        <f>'Ashed teabags wet'!AB144</f>
        <v>56</v>
      </c>
      <c r="BJ146" t="str">
        <f>'Ashed teabags wet'!AC144</f>
        <v/>
      </c>
      <c r="BK146">
        <f>'Ashed teabags wet'!AD561</f>
        <v>198</v>
      </c>
      <c r="BL146" t="str">
        <f>'Ashed teabags wet'!AE561</f>
        <v/>
      </c>
      <c r="BN146" t="str">
        <f t="shared" si="70"/>
        <v>G545</v>
      </c>
      <c r="BO146" t="b">
        <f t="shared" si="71"/>
        <v>1</v>
      </c>
    </row>
    <row r="147" spans="2:67" ht="12" customHeight="1">
      <c r="B147" t="str">
        <f>TBIDry!H219</f>
        <v>G141</v>
      </c>
      <c r="C147" t="str">
        <f>TBIDry!I219</f>
        <v>R779</v>
      </c>
      <c r="D147" t="b">
        <f t="shared" si="48"/>
        <v>0</v>
      </c>
      <c r="E147" t="b">
        <f t="shared" si="49"/>
        <v>0</v>
      </c>
      <c r="G147" t="str">
        <f>TBIWet!H219</f>
        <v>G784</v>
      </c>
      <c r="H147" t="str">
        <f>TBIWet!I219</f>
        <v>R571</v>
      </c>
      <c r="I147" t="b">
        <f t="shared" si="50"/>
        <v>0</v>
      </c>
      <c r="J147" t="b">
        <f t="shared" si="51"/>
        <v>0</v>
      </c>
      <c r="L147" t="str">
        <f>'Both teabags AfterWet'!A146</f>
        <v>G544</v>
      </c>
      <c r="M147" t="str">
        <f>'Both teabags AfterWet'!A564</f>
        <v>R328</v>
      </c>
      <c r="N147" t="b">
        <f t="shared" si="52"/>
        <v>0</v>
      </c>
      <c r="O147" t="b">
        <f t="shared" si="53"/>
        <v>0</v>
      </c>
      <c r="P147">
        <f>IFERROR('Both teabags AfterWet'!B146,"")</f>
        <v>186</v>
      </c>
      <c r="Q147">
        <f>'Both teabags AfterWet'!B564</f>
        <v>207</v>
      </c>
      <c r="S147" s="401" t="b">
        <f t="shared" si="54"/>
        <v>0</v>
      </c>
      <c r="T147" s="401" t="b">
        <f t="shared" si="55"/>
        <v>0</v>
      </c>
      <c r="V147" t="str">
        <f>'Both teabags AfterDry'!A146</f>
        <v>G275</v>
      </c>
      <c r="W147" t="str">
        <f>'Both teabags AfterDry'!A483</f>
        <v>R614</v>
      </c>
      <c r="X147" t="b">
        <f t="shared" si="56"/>
        <v>0</v>
      </c>
      <c r="Y147" t="b">
        <f t="shared" si="57"/>
        <v>0</v>
      </c>
      <c r="AA147" t="str">
        <f>'Green_rooibos initial weight'!A148</f>
        <v>G144</v>
      </c>
      <c r="AB147" t="str">
        <f>'Green_rooibos initial weight'!A1052</f>
        <v>R144</v>
      </c>
      <c r="AC147" t="b">
        <f t="shared" si="58"/>
        <v>0</v>
      </c>
      <c r="AD147" t="b">
        <f t="shared" si="59"/>
        <v>0</v>
      </c>
      <c r="AG147" t="str">
        <f>'WetLitterbags placem_collection'!K146</f>
        <v>G784</v>
      </c>
      <c r="AH147" t="str">
        <f>'WetLitterbags placem_collection'!M146</f>
        <v>R571</v>
      </c>
      <c r="AI147" t="b">
        <f t="shared" si="60"/>
        <v>0</v>
      </c>
      <c r="AJ147" t="b">
        <f t="shared" si="61"/>
        <v>0</v>
      </c>
      <c r="AK147">
        <f>'WetLitterbags placem_collection'!A146</f>
        <v>144</v>
      </c>
      <c r="AL147">
        <f>'WetLitterbags placem_collection'!A146</f>
        <v>144</v>
      </c>
      <c r="AN147">
        <f>IF('Dry_Litterbag Placem_Collection'!J146=0,"",'Dry_Litterbag Placem_Collection'!J146)</f>
        <v>141</v>
      </c>
      <c r="AO147">
        <f>IF('Dry_Litterbag Placem_Collection'!K146=0,"",'Dry_Litterbag Placem_Collection'!K146)</f>
        <v>779</v>
      </c>
      <c r="AP147" t="b">
        <f t="shared" si="62"/>
        <v>0</v>
      </c>
      <c r="AQ147" t="b">
        <f t="shared" si="63"/>
        <v>0</v>
      </c>
      <c r="AT147" t="str">
        <f>'Ashed teabags dry'!A145</f>
        <v>G275</v>
      </c>
      <c r="AU147" t="str">
        <f>'Ashed teabags dry'!A482</f>
        <v>R614</v>
      </c>
      <c r="AV147" t="b">
        <f t="shared" si="64"/>
        <v>0</v>
      </c>
      <c r="AW147" t="b">
        <f t="shared" si="65"/>
        <v>0</v>
      </c>
      <c r="AZ147" s="401" t="b">
        <f t="shared" si="66"/>
        <v>0</v>
      </c>
      <c r="BA147" s="401" t="b">
        <f t="shared" si="67"/>
        <v>0</v>
      </c>
      <c r="BC147" t="str">
        <f>'Ashed teabags wet'!A145</f>
        <v>G547</v>
      </c>
      <c r="BD147" t="str">
        <f>'Ashed teabags wet'!A562</f>
        <v>R34</v>
      </c>
      <c r="BE147" t="b">
        <f t="shared" si="68"/>
        <v>0</v>
      </c>
      <c r="BF147" t="b">
        <f t="shared" si="69"/>
        <v>0</v>
      </c>
      <c r="BG147">
        <f>IFERROR('Ashed teabags wet'!C145,"")</f>
        <v>91</v>
      </c>
      <c r="BH147">
        <f>IFERROR('Ashed teabags wet'!C562,"")</f>
        <v>137</v>
      </c>
      <c r="BI147" t="str">
        <f>'Ashed teabags wet'!AB145</f>
        <v/>
      </c>
      <c r="BJ147">
        <f>'Ashed teabags wet'!AC145</f>
        <v>90</v>
      </c>
      <c r="BK147">
        <f>'Ashed teabags wet'!AD562</f>
        <v>136</v>
      </c>
      <c r="BL147" t="str">
        <f>'Ashed teabags wet'!AE562</f>
        <v/>
      </c>
      <c r="BN147" t="str">
        <f t="shared" si="70"/>
        <v>G546</v>
      </c>
      <c r="BO147" t="b">
        <f t="shared" si="71"/>
        <v>1</v>
      </c>
    </row>
    <row r="148" spans="2:67" ht="12" customHeight="1">
      <c r="B148" t="str">
        <f>TBIDry!H220</f>
        <v>G131</v>
      </c>
      <c r="C148" t="str">
        <f>TBIDry!I220</f>
        <v>R728</v>
      </c>
      <c r="D148" t="b">
        <f t="shared" si="48"/>
        <v>0</v>
      </c>
      <c r="E148" t="b">
        <f t="shared" si="49"/>
        <v>0</v>
      </c>
      <c r="G148" t="str">
        <f>TBIWet!H220</f>
        <v>G902</v>
      </c>
      <c r="H148" t="str">
        <f>TBIWet!I220</f>
        <v>R27</v>
      </c>
      <c r="I148" t="b">
        <f t="shared" si="50"/>
        <v>0</v>
      </c>
      <c r="J148" t="b">
        <f t="shared" si="51"/>
        <v>0</v>
      </c>
      <c r="L148" t="str">
        <f>'Both teabags AfterWet'!A147</f>
        <v>G545</v>
      </c>
      <c r="M148" t="str">
        <f>'Both teabags AfterWet'!A565</f>
        <v>R329</v>
      </c>
      <c r="N148" t="b">
        <f t="shared" si="52"/>
        <v>0</v>
      </c>
      <c r="O148" t="b">
        <f t="shared" si="53"/>
        <v>0</v>
      </c>
      <c r="P148" t="str">
        <f>IFERROR('Both teabags AfterWet'!B147,"")</f>
        <v>n.a</v>
      </c>
      <c r="Q148">
        <f>'Both teabags AfterWet'!B565</f>
        <v>87</v>
      </c>
      <c r="S148" s="401" t="b">
        <f t="shared" si="54"/>
        <v>0</v>
      </c>
      <c r="T148" s="401" t="b">
        <f t="shared" si="55"/>
        <v>0</v>
      </c>
      <c r="V148" t="str">
        <f>'Both teabags AfterDry'!A147</f>
        <v>G277</v>
      </c>
      <c r="W148" t="str">
        <f>'Both teabags AfterDry'!A484</f>
        <v>R615</v>
      </c>
      <c r="X148" t="b">
        <f t="shared" si="56"/>
        <v>0</v>
      </c>
      <c r="Y148" t="b">
        <f t="shared" si="57"/>
        <v>0</v>
      </c>
      <c r="AA148" t="str">
        <f>'Green_rooibos initial weight'!A149</f>
        <v>G145</v>
      </c>
      <c r="AB148" t="str">
        <f>'Green_rooibos initial weight'!A1053</f>
        <v>R145</v>
      </c>
      <c r="AC148" t="b">
        <f t="shared" si="58"/>
        <v>0</v>
      </c>
      <c r="AD148" t="b">
        <f t="shared" si="59"/>
        <v>0</v>
      </c>
      <c r="AG148" t="str">
        <f>'WetLitterbags placem_collection'!K147</f>
        <v>G902</v>
      </c>
      <c r="AH148" t="str">
        <f>'WetLitterbags placem_collection'!M147</f>
        <v>R27</v>
      </c>
      <c r="AI148" t="b">
        <f t="shared" si="60"/>
        <v>0</v>
      </c>
      <c r="AJ148" t="b">
        <f t="shared" si="61"/>
        <v>0</v>
      </c>
      <c r="AK148">
        <f>'WetLitterbags placem_collection'!A147</f>
        <v>145</v>
      </c>
      <c r="AL148">
        <f>'WetLitterbags placem_collection'!A147</f>
        <v>145</v>
      </c>
      <c r="AN148">
        <f>IF('Dry_Litterbag Placem_Collection'!J147=0,"",'Dry_Litterbag Placem_Collection'!J147)</f>
        <v>131</v>
      </c>
      <c r="AO148">
        <f>IF('Dry_Litterbag Placem_Collection'!K147=0,"",'Dry_Litterbag Placem_Collection'!K147)</f>
        <v>728</v>
      </c>
      <c r="AP148" t="b">
        <f t="shared" si="62"/>
        <v>0</v>
      </c>
      <c r="AQ148" t="b">
        <f t="shared" si="63"/>
        <v>0</v>
      </c>
      <c r="AT148" t="str">
        <f>'Ashed teabags dry'!A146</f>
        <v>G277</v>
      </c>
      <c r="AU148" t="str">
        <f>'Ashed teabags dry'!A483</f>
        <v>R615</v>
      </c>
      <c r="AV148" t="b">
        <f t="shared" si="64"/>
        <v>0</v>
      </c>
      <c r="AW148" t="b">
        <f t="shared" si="65"/>
        <v>0</v>
      </c>
      <c r="AZ148" s="401" t="b">
        <f t="shared" si="66"/>
        <v>0</v>
      </c>
      <c r="BA148" s="401" t="b">
        <f t="shared" si="67"/>
        <v>0</v>
      </c>
      <c r="BC148" t="str">
        <f>'Ashed teabags wet'!A146</f>
        <v>G548</v>
      </c>
      <c r="BD148" t="str">
        <f>'Ashed teabags wet'!A563</f>
        <v>R340</v>
      </c>
      <c r="BE148" t="b">
        <f t="shared" si="68"/>
        <v>0</v>
      </c>
      <c r="BF148" t="b">
        <f t="shared" si="69"/>
        <v>0</v>
      </c>
      <c r="BG148">
        <f>IFERROR('Ashed teabags wet'!C146,"")</f>
        <v>51</v>
      </c>
      <c r="BH148">
        <f>IFERROR('Ashed teabags wet'!C563,"")</f>
        <v>210</v>
      </c>
      <c r="BI148">
        <f>'Ashed teabags wet'!AB146</f>
        <v>50</v>
      </c>
      <c r="BJ148" t="str">
        <f>'Ashed teabags wet'!AC146</f>
        <v/>
      </c>
      <c r="BK148">
        <f>'Ashed teabags wet'!AD563</f>
        <v>209</v>
      </c>
      <c r="BL148" t="str">
        <f>'Ashed teabags wet'!AE563</f>
        <v/>
      </c>
      <c r="BN148" t="str">
        <f t="shared" si="70"/>
        <v>G547</v>
      </c>
      <c r="BO148" t="b">
        <f t="shared" si="71"/>
        <v>1</v>
      </c>
    </row>
    <row r="149" spans="2:67" ht="12" customHeight="1">
      <c r="B149" t="str">
        <f>TBIDry!H221</f>
        <v>G465</v>
      </c>
      <c r="C149" t="str">
        <f>TBIDry!I221</f>
        <v>R13</v>
      </c>
      <c r="D149" t="b">
        <f t="shared" si="48"/>
        <v>0</v>
      </c>
      <c r="E149" t="b">
        <f t="shared" si="49"/>
        <v>0</v>
      </c>
      <c r="G149" t="str">
        <f>TBIWet!H221</f>
        <v>G689</v>
      </c>
      <c r="H149" t="str">
        <f>TBIWet!I221</f>
        <v>R492</v>
      </c>
      <c r="I149" t="b">
        <f t="shared" si="50"/>
        <v>0</v>
      </c>
      <c r="J149" t="b">
        <f t="shared" si="51"/>
        <v>0</v>
      </c>
      <c r="L149" t="str">
        <f>'Both teabags AfterWet'!A148</f>
        <v>G546</v>
      </c>
      <c r="M149" t="str">
        <f>'Both teabags AfterWet'!A566</f>
        <v>R33</v>
      </c>
      <c r="N149" t="b">
        <f t="shared" si="52"/>
        <v>0</v>
      </c>
      <c r="O149" t="b">
        <f t="shared" si="53"/>
        <v>0</v>
      </c>
      <c r="P149">
        <f>IFERROR('Both teabags AfterWet'!B148,"")</f>
        <v>57</v>
      </c>
      <c r="Q149">
        <f>'Both teabags AfterWet'!B566</f>
        <v>109</v>
      </c>
      <c r="S149" s="401" t="b">
        <f t="shared" si="54"/>
        <v>0</v>
      </c>
      <c r="T149" s="401" t="b">
        <f t="shared" si="55"/>
        <v>0</v>
      </c>
      <c r="V149" t="str">
        <f>'Both teabags AfterDry'!A148</f>
        <v>G278</v>
      </c>
      <c r="W149" t="str">
        <f>'Both teabags AfterDry'!A485</f>
        <v>R616</v>
      </c>
      <c r="X149" t="b">
        <f t="shared" si="56"/>
        <v>0</v>
      </c>
      <c r="Y149" t="b">
        <f t="shared" si="57"/>
        <v>0</v>
      </c>
      <c r="AA149" t="str">
        <f>'Green_rooibos initial weight'!A150</f>
        <v>G146</v>
      </c>
      <c r="AB149" t="str">
        <f>'Green_rooibos initial weight'!A1054</f>
        <v>R146</v>
      </c>
      <c r="AC149" t="b">
        <f t="shared" si="58"/>
        <v>0</v>
      </c>
      <c r="AD149" t="b">
        <f t="shared" si="59"/>
        <v>0</v>
      </c>
      <c r="AG149" t="str">
        <f>'WetLitterbags placem_collection'!K148</f>
        <v>G689</v>
      </c>
      <c r="AH149" t="str">
        <f>'WetLitterbags placem_collection'!M148</f>
        <v>R492</v>
      </c>
      <c r="AI149" t="b">
        <f t="shared" si="60"/>
        <v>0</v>
      </c>
      <c r="AJ149" t="b">
        <f t="shared" si="61"/>
        <v>0</v>
      </c>
      <c r="AK149">
        <f>'WetLitterbags placem_collection'!A148</f>
        <v>146</v>
      </c>
      <c r="AL149">
        <f>'WetLitterbags placem_collection'!A148</f>
        <v>146</v>
      </c>
      <c r="AN149">
        <f>IF('Dry_Litterbag Placem_Collection'!J148=0,"",'Dry_Litterbag Placem_Collection'!J148)</f>
        <v>465</v>
      </c>
      <c r="AO149">
        <f>IF('Dry_Litterbag Placem_Collection'!K148=0,"",'Dry_Litterbag Placem_Collection'!K148)</f>
        <v>13</v>
      </c>
      <c r="AP149" t="b">
        <f t="shared" si="62"/>
        <v>0</v>
      </c>
      <c r="AQ149" t="b">
        <f t="shared" si="63"/>
        <v>0</v>
      </c>
      <c r="AT149" t="str">
        <f>'Ashed teabags dry'!A147</f>
        <v>G278</v>
      </c>
      <c r="AU149" t="str">
        <f>'Ashed teabags dry'!A484</f>
        <v>R616</v>
      </c>
      <c r="AV149" t="b">
        <f t="shared" si="64"/>
        <v>0</v>
      </c>
      <c r="AW149" t="b">
        <f t="shared" si="65"/>
        <v>0</v>
      </c>
      <c r="AZ149" s="401" t="b">
        <f t="shared" si="66"/>
        <v>0</v>
      </c>
      <c r="BA149" s="401" t="b">
        <f t="shared" si="67"/>
        <v>0</v>
      </c>
      <c r="BC149" t="str">
        <f>'Ashed teabags wet'!A147</f>
        <v>G549</v>
      </c>
      <c r="BD149" t="str">
        <f>'Ashed teabags wet'!A564</f>
        <v>R341</v>
      </c>
      <c r="BE149" t="b">
        <f t="shared" si="68"/>
        <v>0</v>
      </c>
      <c r="BF149" t="b">
        <f t="shared" si="69"/>
        <v>0</v>
      </c>
      <c r="BG149">
        <f>IFERROR('Ashed teabags wet'!C147,"")</f>
        <v>73</v>
      </c>
      <c r="BH149">
        <f>IFERROR('Ashed teabags wet'!C564,"")</f>
        <v>163</v>
      </c>
      <c r="BI149">
        <f>'Ashed teabags wet'!AB147</f>
        <v>72</v>
      </c>
      <c r="BJ149" t="str">
        <f>'Ashed teabags wet'!AC147</f>
        <v/>
      </c>
      <c r="BK149" t="str">
        <f>'Ashed teabags wet'!AD564</f>
        <v/>
      </c>
      <c r="BL149">
        <f>'Ashed teabags wet'!AE564</f>
        <v>162</v>
      </c>
      <c r="BN149" t="str">
        <f t="shared" si="70"/>
        <v>G548</v>
      </c>
      <c r="BO149" t="b">
        <f t="shared" si="71"/>
        <v>1</v>
      </c>
    </row>
    <row r="150" spans="2:67" ht="12" customHeight="1">
      <c r="B150" t="str">
        <f>TBIDry!H222</f>
        <v>G15</v>
      </c>
      <c r="C150" t="str">
        <f>TBIDry!I222</f>
        <v>R832</v>
      </c>
      <c r="D150" t="b">
        <f t="shared" si="48"/>
        <v>0</v>
      </c>
      <c r="E150" t="b">
        <f t="shared" si="49"/>
        <v>0</v>
      </c>
      <c r="G150" t="str">
        <f>TBIWet!H222</f>
        <v>G678</v>
      </c>
      <c r="H150" t="str">
        <f>TBIWet!I222</f>
        <v>R573</v>
      </c>
      <c r="I150" t="b">
        <f t="shared" si="50"/>
        <v>0</v>
      </c>
      <c r="J150" t="b">
        <f t="shared" si="51"/>
        <v>0</v>
      </c>
      <c r="L150" t="str">
        <f>'Both teabags AfterWet'!A149</f>
        <v>G547</v>
      </c>
      <c r="M150" t="str">
        <f>'Both teabags AfterWet'!A567</f>
        <v>R330</v>
      </c>
      <c r="N150" t="b">
        <f t="shared" si="52"/>
        <v>0</v>
      </c>
      <c r="O150" t="b">
        <f t="shared" si="53"/>
        <v>0</v>
      </c>
      <c r="P150">
        <f>IFERROR('Both teabags AfterWet'!B149,"")</f>
        <v>91</v>
      </c>
      <c r="Q150">
        <f>'Both teabags AfterWet'!B567</f>
        <v>170</v>
      </c>
      <c r="S150" s="401" t="b">
        <f t="shared" si="54"/>
        <v>0</v>
      </c>
      <c r="T150" s="401" t="b">
        <f t="shared" si="55"/>
        <v>0</v>
      </c>
      <c r="V150" t="str">
        <f>'Both teabags AfterDry'!A149</f>
        <v>G284</v>
      </c>
      <c r="W150" t="str">
        <f>'Both teabags AfterDry'!A486</f>
        <v>R617</v>
      </c>
      <c r="X150" t="b">
        <f t="shared" si="56"/>
        <v>0</v>
      </c>
      <c r="Y150" t="b">
        <f t="shared" si="57"/>
        <v>0</v>
      </c>
      <c r="AA150" t="str">
        <f>'Green_rooibos initial weight'!A151</f>
        <v>G147</v>
      </c>
      <c r="AB150" t="str">
        <f>'Green_rooibos initial weight'!A1055</f>
        <v>R147</v>
      </c>
      <c r="AC150" t="b">
        <f t="shared" si="58"/>
        <v>0</v>
      </c>
      <c r="AD150" t="b">
        <f t="shared" si="59"/>
        <v>0</v>
      </c>
      <c r="AG150" t="str">
        <f>'WetLitterbags placem_collection'!K149</f>
        <v>G678</v>
      </c>
      <c r="AH150" t="str">
        <f>'WetLitterbags placem_collection'!M149</f>
        <v>R573</v>
      </c>
      <c r="AI150" t="b">
        <f t="shared" si="60"/>
        <v>0</v>
      </c>
      <c r="AJ150" t="b">
        <f t="shared" si="61"/>
        <v>0</v>
      </c>
      <c r="AK150">
        <f>'WetLitterbags placem_collection'!A149</f>
        <v>147</v>
      </c>
      <c r="AL150">
        <f>'WetLitterbags placem_collection'!A149</f>
        <v>147</v>
      </c>
      <c r="AN150">
        <f>IF('Dry_Litterbag Placem_Collection'!J149=0,"",'Dry_Litterbag Placem_Collection'!J149)</f>
        <v>15</v>
      </c>
      <c r="AO150">
        <f>IF('Dry_Litterbag Placem_Collection'!K149=0,"",'Dry_Litterbag Placem_Collection'!K149)</f>
        <v>832</v>
      </c>
      <c r="AP150" t="b">
        <f t="shared" si="62"/>
        <v>0</v>
      </c>
      <c r="AQ150" t="b">
        <f t="shared" si="63"/>
        <v>0</v>
      </c>
      <c r="AT150" t="str">
        <f>'Ashed teabags dry'!A148</f>
        <v>G284</v>
      </c>
      <c r="AU150" t="str">
        <f>'Ashed teabags dry'!A485</f>
        <v>R617</v>
      </c>
      <c r="AV150" t="b">
        <f t="shared" si="64"/>
        <v>0</v>
      </c>
      <c r="AW150" t="b">
        <f t="shared" si="65"/>
        <v>0</v>
      </c>
      <c r="AZ150" s="401" t="b">
        <f t="shared" si="66"/>
        <v>0</v>
      </c>
      <c r="BA150" s="401" t="b">
        <f t="shared" si="67"/>
        <v>0</v>
      </c>
      <c r="BC150" t="str">
        <f>'Ashed teabags wet'!A148</f>
        <v>G550</v>
      </c>
      <c r="BD150" t="str">
        <f>'Ashed teabags wet'!A565</f>
        <v>R342</v>
      </c>
      <c r="BE150" t="b">
        <f t="shared" si="68"/>
        <v>0</v>
      </c>
      <c r="BF150" t="b">
        <f t="shared" si="69"/>
        <v>0</v>
      </c>
      <c r="BG150">
        <f>IFERROR('Ashed teabags wet'!C148,"")</f>
        <v>36</v>
      </c>
      <c r="BH150">
        <f>IFERROR('Ashed teabags wet'!C565,"")</f>
        <v>203</v>
      </c>
      <c r="BI150" t="str">
        <f>'Ashed teabags wet'!AB148</f>
        <v/>
      </c>
      <c r="BJ150">
        <f>'Ashed teabags wet'!AC148</f>
        <v>35</v>
      </c>
      <c r="BK150" t="str">
        <f>'Ashed teabags wet'!AD565</f>
        <v/>
      </c>
      <c r="BL150">
        <f>'Ashed teabags wet'!AE565</f>
        <v>202</v>
      </c>
      <c r="BN150" t="str">
        <f t="shared" si="70"/>
        <v>G549</v>
      </c>
      <c r="BO150" t="b">
        <f t="shared" si="71"/>
        <v>1</v>
      </c>
    </row>
    <row r="151" spans="2:67" ht="12" customHeight="1">
      <c r="B151" t="str">
        <f>TBIDry!H223</f>
        <v>G290</v>
      </c>
      <c r="C151" t="str">
        <f>TBIDry!I223</f>
        <v>R823</v>
      </c>
      <c r="D151" t="b">
        <f t="shared" si="48"/>
        <v>0</v>
      </c>
      <c r="E151" t="b">
        <f t="shared" si="49"/>
        <v>0</v>
      </c>
      <c r="G151" t="str">
        <f>TBIWet!H223</f>
        <v>G835</v>
      </c>
      <c r="H151" t="str">
        <f>TBIWet!I223</f>
        <v>R472</v>
      </c>
      <c r="I151" t="b">
        <f t="shared" si="50"/>
        <v>0</v>
      </c>
      <c r="J151" t="b">
        <f t="shared" si="51"/>
        <v>0</v>
      </c>
      <c r="L151" t="str">
        <f>'Both teabags AfterWet'!A150</f>
        <v>G548</v>
      </c>
      <c r="M151" t="str">
        <f>'Both teabags AfterWet'!A568</f>
        <v>R331</v>
      </c>
      <c r="N151" t="b">
        <f t="shared" si="52"/>
        <v>0</v>
      </c>
      <c r="O151" t="b">
        <f t="shared" si="53"/>
        <v>0</v>
      </c>
      <c r="P151">
        <f>IFERROR('Both teabags AfterWet'!B150,"")</f>
        <v>51</v>
      </c>
      <c r="Q151">
        <f>'Both teabags AfterWet'!B568</f>
        <v>165</v>
      </c>
      <c r="S151" s="401" t="b">
        <f t="shared" si="54"/>
        <v>0</v>
      </c>
      <c r="T151" s="401" t="b">
        <f t="shared" si="55"/>
        <v>0</v>
      </c>
      <c r="V151" t="str">
        <f>'Both teabags AfterDry'!A150</f>
        <v>G289</v>
      </c>
      <c r="W151" t="str">
        <f>'Both teabags AfterDry'!A487</f>
        <v>R618</v>
      </c>
      <c r="X151" t="b">
        <f t="shared" si="56"/>
        <v>0</v>
      </c>
      <c r="Y151" t="b">
        <f t="shared" si="57"/>
        <v>0</v>
      </c>
      <c r="AA151" t="str">
        <f>'Green_rooibos initial weight'!A152</f>
        <v>G148</v>
      </c>
      <c r="AB151" t="str">
        <f>'Green_rooibos initial weight'!A1056</f>
        <v>R148</v>
      </c>
      <c r="AC151" t="b">
        <f t="shared" si="58"/>
        <v>0</v>
      </c>
      <c r="AD151" t="b">
        <f t="shared" si="59"/>
        <v>0</v>
      </c>
      <c r="AG151" t="str">
        <f>'WetLitterbags placem_collection'!K150</f>
        <v>G835</v>
      </c>
      <c r="AH151" t="str">
        <f>'WetLitterbags placem_collection'!M150</f>
        <v>R472</v>
      </c>
      <c r="AI151" t="b">
        <f t="shared" si="60"/>
        <v>0</v>
      </c>
      <c r="AJ151" t="b">
        <f t="shared" si="61"/>
        <v>0</v>
      </c>
      <c r="AK151">
        <f>'WetLitterbags placem_collection'!A150</f>
        <v>148</v>
      </c>
      <c r="AL151">
        <f>'WetLitterbags placem_collection'!A150</f>
        <v>148</v>
      </c>
      <c r="AN151">
        <f>IF('Dry_Litterbag Placem_Collection'!J150=0,"",'Dry_Litterbag Placem_Collection'!J150)</f>
        <v>290</v>
      </c>
      <c r="AO151">
        <f>IF('Dry_Litterbag Placem_Collection'!K150=0,"",'Dry_Litterbag Placem_Collection'!K150)</f>
        <v>823</v>
      </c>
      <c r="AP151" t="b">
        <f t="shared" si="62"/>
        <v>0</v>
      </c>
      <c r="AQ151" t="b">
        <f t="shared" si="63"/>
        <v>0</v>
      </c>
      <c r="AT151" t="str">
        <f>'Ashed teabags dry'!A149</f>
        <v>G289</v>
      </c>
      <c r="AU151" t="str">
        <f>'Ashed teabags dry'!A486</f>
        <v>R618</v>
      </c>
      <c r="AV151" t="b">
        <f t="shared" si="64"/>
        <v>0</v>
      </c>
      <c r="AW151" t="b">
        <f t="shared" si="65"/>
        <v>0</v>
      </c>
      <c r="AZ151" s="401" t="b">
        <f t="shared" si="66"/>
        <v>0</v>
      </c>
      <c r="BA151" s="401" t="b">
        <f t="shared" si="67"/>
        <v>0</v>
      </c>
      <c r="BC151" t="str">
        <f>'Ashed teabags wet'!A149</f>
        <v>G551</v>
      </c>
      <c r="BD151" t="str">
        <f>'Ashed teabags wet'!A566</f>
        <v>R343</v>
      </c>
      <c r="BE151" t="b">
        <f t="shared" si="68"/>
        <v>0</v>
      </c>
      <c r="BF151" t="b">
        <f t="shared" si="69"/>
        <v>0</v>
      </c>
      <c r="BG151">
        <f>IFERROR('Ashed teabags wet'!C149,"")</f>
        <v>181</v>
      </c>
      <c r="BH151">
        <f>IFERROR('Ashed teabags wet'!C566,"")</f>
        <v>91</v>
      </c>
      <c r="BI151" t="str">
        <f>'Ashed teabags wet'!AB149</f>
        <v/>
      </c>
      <c r="BJ151">
        <f>'Ashed teabags wet'!AC149</f>
        <v>180</v>
      </c>
      <c r="BK151">
        <f>'Ashed teabags wet'!AD566</f>
        <v>90</v>
      </c>
      <c r="BL151" t="str">
        <f>'Ashed teabags wet'!AE566</f>
        <v/>
      </c>
      <c r="BN151" t="str">
        <f t="shared" si="70"/>
        <v>G550</v>
      </c>
      <c r="BO151" t="b">
        <f t="shared" si="71"/>
        <v>1</v>
      </c>
    </row>
    <row r="152" spans="2:67" ht="12" customHeight="1">
      <c r="B152" t="str">
        <f>TBIDry!H224</f>
        <v>G194</v>
      </c>
      <c r="C152" t="str">
        <f>TBIDry!I224</f>
        <v>R703</v>
      </c>
      <c r="D152" t="b">
        <f t="shared" si="48"/>
        <v>0</v>
      </c>
      <c r="E152" t="b">
        <f t="shared" si="49"/>
        <v>0</v>
      </c>
      <c r="G152" t="str">
        <f>TBIWet!H224</f>
        <v>G733</v>
      </c>
      <c r="H152" t="str">
        <f>TBIWet!I224</f>
        <v>R545</v>
      </c>
      <c r="I152" t="b">
        <f t="shared" si="50"/>
        <v>0</v>
      </c>
      <c r="J152" t="b">
        <f t="shared" si="51"/>
        <v>0</v>
      </c>
      <c r="L152" t="str">
        <f>'Both teabags AfterWet'!A151</f>
        <v>G549</v>
      </c>
      <c r="M152" t="str">
        <f>'Both teabags AfterWet'!A569</f>
        <v>R333</v>
      </c>
      <c r="N152" t="b">
        <f t="shared" si="52"/>
        <v>0</v>
      </c>
      <c r="O152" t="b">
        <f t="shared" si="53"/>
        <v>0</v>
      </c>
      <c r="P152" t="str">
        <f>IFERROR('Both teabags AfterWet'!B151,"")</f>
        <v>na</v>
      </c>
      <c r="Q152">
        <f>'Both teabags AfterWet'!B569</f>
        <v>65</v>
      </c>
      <c r="S152" s="401" t="b">
        <f t="shared" si="54"/>
        <v>0</v>
      </c>
      <c r="T152" s="401" t="b">
        <f t="shared" si="55"/>
        <v>0</v>
      </c>
      <c r="V152" t="str">
        <f>'Both teabags AfterDry'!A151</f>
        <v>G290</v>
      </c>
      <c r="W152" t="str">
        <f>'Both teabags AfterDry'!A488</f>
        <v>R619</v>
      </c>
      <c r="X152" t="b">
        <f t="shared" si="56"/>
        <v>0</v>
      </c>
      <c r="Y152" t="b">
        <f t="shared" si="57"/>
        <v>0</v>
      </c>
      <c r="AA152" t="str">
        <f>'Green_rooibos initial weight'!A153</f>
        <v>G149</v>
      </c>
      <c r="AB152" t="str">
        <f>'Green_rooibos initial weight'!A1057</f>
        <v>R149</v>
      </c>
      <c r="AC152" t="b">
        <f t="shared" si="58"/>
        <v>0</v>
      </c>
      <c r="AD152" t="b">
        <f t="shared" si="59"/>
        <v>0</v>
      </c>
      <c r="AG152" t="str">
        <f>'WetLitterbags placem_collection'!K151</f>
        <v>G733</v>
      </c>
      <c r="AH152" t="str">
        <f>'WetLitterbags placem_collection'!M151</f>
        <v>R545</v>
      </c>
      <c r="AI152" t="b">
        <f t="shared" si="60"/>
        <v>0</v>
      </c>
      <c r="AJ152" t="b">
        <f t="shared" si="61"/>
        <v>0</v>
      </c>
      <c r="AK152">
        <f>'WetLitterbags placem_collection'!A151</f>
        <v>149</v>
      </c>
      <c r="AL152">
        <f>'WetLitterbags placem_collection'!A151</f>
        <v>149</v>
      </c>
      <c r="AN152">
        <f>IF('Dry_Litterbag Placem_Collection'!J151=0,"",'Dry_Litterbag Placem_Collection'!J151)</f>
        <v>194</v>
      </c>
      <c r="AO152">
        <f>IF('Dry_Litterbag Placem_Collection'!K151=0,"",'Dry_Litterbag Placem_Collection'!K151)</f>
        <v>703</v>
      </c>
      <c r="AP152" t="b">
        <f t="shared" si="62"/>
        <v>0</v>
      </c>
      <c r="AQ152" t="b">
        <f t="shared" si="63"/>
        <v>0</v>
      </c>
      <c r="AT152" t="str">
        <f>'Ashed teabags dry'!A150</f>
        <v>G290</v>
      </c>
      <c r="AU152" t="str">
        <f>'Ashed teabags dry'!A487</f>
        <v>R619</v>
      </c>
      <c r="AV152" t="b">
        <f t="shared" si="64"/>
        <v>0</v>
      </c>
      <c r="AW152" t="b">
        <f t="shared" si="65"/>
        <v>0</v>
      </c>
      <c r="AZ152" s="401" t="b">
        <f t="shared" si="66"/>
        <v>0</v>
      </c>
      <c r="BA152" s="401" t="b">
        <f t="shared" si="67"/>
        <v>0</v>
      </c>
      <c r="BC152" t="str">
        <f>'Ashed teabags wet'!A150</f>
        <v>G552</v>
      </c>
      <c r="BD152" t="str">
        <f>'Ashed teabags wet'!A567</f>
        <v>R344</v>
      </c>
      <c r="BE152" t="b">
        <f t="shared" si="68"/>
        <v>0</v>
      </c>
      <c r="BF152" t="b">
        <f t="shared" si="69"/>
        <v>0</v>
      </c>
      <c r="BG152">
        <f>IFERROR('Ashed teabags wet'!C150,"")</f>
        <v>22</v>
      </c>
      <c r="BH152">
        <f>IFERROR('Ashed teabags wet'!C567,"")</f>
        <v>208</v>
      </c>
      <c r="BI152" t="str">
        <f>'Ashed teabags wet'!AB150</f>
        <v/>
      </c>
      <c r="BJ152">
        <f>'Ashed teabags wet'!AC150</f>
        <v>21</v>
      </c>
      <c r="BK152">
        <f>'Ashed teabags wet'!AD567</f>
        <v>207</v>
      </c>
      <c r="BL152" t="str">
        <f>'Ashed teabags wet'!AE567</f>
        <v/>
      </c>
      <c r="BN152" t="str">
        <f t="shared" si="70"/>
        <v>G551</v>
      </c>
      <c r="BO152" t="b">
        <f t="shared" si="71"/>
        <v>1</v>
      </c>
    </row>
    <row r="153" spans="2:67" ht="12" customHeight="1">
      <c r="B153" t="str">
        <f>TBIDry!H225</f>
        <v>G272</v>
      </c>
      <c r="C153" t="str">
        <f>TBIDry!I225</f>
        <v>R668</v>
      </c>
      <c r="D153" t="b">
        <f t="shared" si="48"/>
        <v>0</v>
      </c>
      <c r="E153" t="b">
        <f t="shared" si="49"/>
        <v>0</v>
      </c>
      <c r="G153" t="str">
        <f>TBIWet!H225</f>
        <v>G658</v>
      </c>
      <c r="H153" t="str">
        <f>TBIWet!I225</f>
        <v>R7</v>
      </c>
      <c r="I153" t="b">
        <f t="shared" si="50"/>
        <v>0</v>
      </c>
      <c r="J153" t="b">
        <f t="shared" si="51"/>
        <v>0</v>
      </c>
      <c r="L153" t="str">
        <f>'Both teabags AfterWet'!A152</f>
        <v>G550</v>
      </c>
      <c r="M153" t="str">
        <f>'Both teabags AfterWet'!A570</f>
        <v>R334</v>
      </c>
      <c r="N153" t="b">
        <f t="shared" si="52"/>
        <v>0</v>
      </c>
      <c r="O153" t="b">
        <f t="shared" si="53"/>
        <v>0</v>
      </c>
      <c r="P153">
        <f>IFERROR('Both teabags AfterWet'!B152,"")</f>
        <v>36</v>
      </c>
      <c r="Q153" t="str">
        <f>'Both teabags AfterWet'!B570</f>
        <v xml:space="preserve">N.A. </v>
      </c>
      <c r="S153" s="401" t="b">
        <f t="shared" si="54"/>
        <v>0</v>
      </c>
      <c r="T153" s="401" t="b">
        <f t="shared" si="55"/>
        <v>0</v>
      </c>
      <c r="V153" t="str">
        <f>'Both teabags AfterDry'!A152</f>
        <v>G292</v>
      </c>
      <c r="W153" t="str">
        <f>'Both teabags AfterDry'!A489</f>
        <v>R620</v>
      </c>
      <c r="X153" t="b">
        <f t="shared" si="56"/>
        <v>0</v>
      </c>
      <c r="Y153" t="b">
        <f t="shared" si="57"/>
        <v>0</v>
      </c>
      <c r="AA153" t="str">
        <f>'Green_rooibos initial weight'!A154</f>
        <v>G150</v>
      </c>
      <c r="AB153" t="str">
        <f>'Green_rooibos initial weight'!A1058</f>
        <v>R150</v>
      </c>
      <c r="AC153" t="b">
        <f t="shared" si="58"/>
        <v>0</v>
      </c>
      <c r="AD153" t="b">
        <f t="shared" si="59"/>
        <v>0</v>
      </c>
      <c r="AG153" t="str">
        <f>'WetLitterbags placem_collection'!K152</f>
        <v>G658</v>
      </c>
      <c r="AH153" t="str">
        <f>'WetLitterbags placem_collection'!M152</f>
        <v>R7</v>
      </c>
      <c r="AI153" t="b">
        <f t="shared" si="60"/>
        <v>0</v>
      </c>
      <c r="AJ153" t="b">
        <f t="shared" si="61"/>
        <v>0</v>
      </c>
      <c r="AK153">
        <f>'WetLitterbags placem_collection'!A152</f>
        <v>150</v>
      </c>
      <c r="AL153">
        <f>'WetLitterbags placem_collection'!A152</f>
        <v>150</v>
      </c>
      <c r="AN153">
        <f>IF('Dry_Litterbag Placem_Collection'!J152=0,"",'Dry_Litterbag Placem_Collection'!J152)</f>
        <v>272</v>
      </c>
      <c r="AO153">
        <f>IF('Dry_Litterbag Placem_Collection'!K152=0,"",'Dry_Litterbag Placem_Collection'!K152)</f>
        <v>668</v>
      </c>
      <c r="AP153" t="b">
        <f t="shared" si="62"/>
        <v>0</v>
      </c>
      <c r="AQ153" t="b">
        <f t="shared" si="63"/>
        <v>0</v>
      </c>
      <c r="AT153" t="str">
        <f>'Ashed teabags dry'!A151</f>
        <v>G292</v>
      </c>
      <c r="AU153" t="str">
        <f>'Ashed teabags dry'!A488</f>
        <v>R620</v>
      </c>
      <c r="AV153" t="b">
        <f t="shared" si="64"/>
        <v>0</v>
      </c>
      <c r="AW153" t="b">
        <f t="shared" si="65"/>
        <v>0</v>
      </c>
      <c r="AZ153" s="401" t="b">
        <f t="shared" si="66"/>
        <v>0</v>
      </c>
      <c r="BA153" s="401" t="b">
        <f t="shared" si="67"/>
        <v>0</v>
      </c>
      <c r="BC153" t="str">
        <f>'Ashed teabags wet'!A151</f>
        <v>G554</v>
      </c>
      <c r="BD153" t="str">
        <f>'Ashed teabags wet'!A568</f>
        <v>R346</v>
      </c>
      <c r="BE153" t="b">
        <f t="shared" si="68"/>
        <v>0</v>
      </c>
      <c r="BF153" t="b">
        <f t="shared" si="69"/>
        <v>0</v>
      </c>
      <c r="BG153">
        <f>IFERROR('Ashed teabags wet'!C151,"")</f>
        <v>64</v>
      </c>
      <c r="BH153">
        <f>IFERROR('Ashed teabags wet'!C568,"")</f>
        <v>192</v>
      </c>
      <c r="BI153">
        <f>'Ashed teabags wet'!AB151</f>
        <v>63</v>
      </c>
      <c r="BJ153" t="str">
        <f>'Ashed teabags wet'!AC151</f>
        <v/>
      </c>
      <c r="BK153" t="str">
        <f>'Ashed teabags wet'!AD568</f>
        <v/>
      </c>
      <c r="BL153">
        <f>'Ashed teabags wet'!AE568</f>
        <v>191</v>
      </c>
      <c r="BN153" t="str">
        <f t="shared" si="70"/>
        <v>G552</v>
      </c>
      <c r="BO153" t="b">
        <f t="shared" si="71"/>
        <v>1</v>
      </c>
    </row>
    <row r="154" spans="2:67" ht="12" customHeight="1">
      <c r="B154" t="str">
        <f>TBIDry!H226</f>
        <v/>
      </c>
      <c r="C154" t="str">
        <f>TBIDry!I226</f>
        <v/>
      </c>
      <c r="D154" t="b">
        <f t="shared" si="48"/>
        <v>1</v>
      </c>
      <c r="E154" t="b">
        <f t="shared" si="49"/>
        <v>1</v>
      </c>
      <c r="G154" t="str">
        <f>TBIWet!H226</f>
        <v>G567</v>
      </c>
      <c r="H154" t="str">
        <f>TBIWet!I226</f>
        <v>R447</v>
      </c>
      <c r="I154" t="b">
        <f t="shared" si="50"/>
        <v>0</v>
      </c>
      <c r="J154" t="b">
        <f t="shared" si="51"/>
        <v>0</v>
      </c>
      <c r="L154" t="str">
        <f>'Both teabags AfterWet'!A153</f>
        <v>G551</v>
      </c>
      <c r="M154" t="str">
        <f>'Both teabags AfterWet'!A571</f>
        <v>R336</v>
      </c>
      <c r="N154" t="b">
        <f t="shared" si="52"/>
        <v>0</v>
      </c>
      <c r="O154" t="b">
        <f t="shared" si="53"/>
        <v>0</v>
      </c>
      <c r="P154" t="str">
        <f>IFERROR('Both teabags AfterWet'!B153,"")</f>
        <v>n.a</v>
      </c>
      <c r="Q154" t="str">
        <f>'Both teabags AfterWet'!B571</f>
        <v>n.a</v>
      </c>
      <c r="S154" s="401" t="b">
        <f t="shared" si="54"/>
        <v>0</v>
      </c>
      <c r="T154" s="401" t="b">
        <f t="shared" si="55"/>
        <v>0</v>
      </c>
      <c r="V154" t="str">
        <f>'Both teabags AfterDry'!A153</f>
        <v>G293</v>
      </c>
      <c r="W154" t="str">
        <f>'Both teabags AfterDry'!A490</f>
        <v>R621</v>
      </c>
      <c r="X154" t="b">
        <f t="shared" si="56"/>
        <v>0</v>
      </c>
      <c r="Y154" t="b">
        <f t="shared" si="57"/>
        <v>0</v>
      </c>
      <c r="AA154" t="str">
        <f>'Green_rooibos initial weight'!A155</f>
        <v>G151</v>
      </c>
      <c r="AB154" t="str">
        <f>'Green_rooibos initial weight'!A1059</f>
        <v>R151</v>
      </c>
      <c r="AC154" t="b">
        <f t="shared" si="58"/>
        <v>0</v>
      </c>
      <c r="AD154" t="b">
        <f t="shared" si="59"/>
        <v>0</v>
      </c>
      <c r="AG154" t="str">
        <f>'WetLitterbags placem_collection'!K153</f>
        <v>G567</v>
      </c>
      <c r="AH154" t="str">
        <f>'WetLitterbags placem_collection'!M153</f>
        <v>R447</v>
      </c>
      <c r="AI154" t="b">
        <f t="shared" si="60"/>
        <v>0</v>
      </c>
      <c r="AJ154" t="b">
        <f t="shared" si="61"/>
        <v>0</v>
      </c>
      <c r="AK154">
        <f>'WetLitterbags placem_collection'!A153</f>
        <v>151</v>
      </c>
      <c r="AL154">
        <f>'WetLitterbags placem_collection'!A153</f>
        <v>151</v>
      </c>
      <c r="AN154" t="str">
        <f>IF('Dry_Litterbag Placem_Collection'!J153=0,"",'Dry_Litterbag Placem_Collection'!J153)</f>
        <v/>
      </c>
      <c r="AO154" t="str">
        <f>IF('Dry_Litterbag Placem_Collection'!K153=0,"",'Dry_Litterbag Placem_Collection'!K153)</f>
        <v/>
      </c>
      <c r="AP154" t="b">
        <f t="shared" si="62"/>
        <v>1</v>
      </c>
      <c r="AQ154" t="b">
        <f t="shared" si="63"/>
        <v>1</v>
      </c>
      <c r="AT154" t="str">
        <f>'Ashed teabags dry'!A152</f>
        <v>G293</v>
      </c>
      <c r="AU154" t="str">
        <f>'Ashed teabags dry'!A489</f>
        <v>R621</v>
      </c>
      <c r="AV154" t="b">
        <f t="shared" si="64"/>
        <v>0</v>
      </c>
      <c r="AW154" t="b">
        <f t="shared" si="65"/>
        <v>0</v>
      </c>
      <c r="AZ154" s="401" t="b">
        <f t="shared" si="66"/>
        <v>0</v>
      </c>
      <c r="BA154" s="401" t="b">
        <f t="shared" si="67"/>
        <v>0</v>
      </c>
      <c r="BC154" t="str">
        <f>'Ashed teabags wet'!A152</f>
        <v>G556</v>
      </c>
      <c r="BD154" t="str">
        <f>'Ashed teabags wet'!A569</f>
        <v>R349</v>
      </c>
      <c r="BE154" t="b">
        <f t="shared" si="68"/>
        <v>0</v>
      </c>
      <c r="BF154" t="b">
        <f t="shared" si="69"/>
        <v>0</v>
      </c>
      <c r="BG154">
        <f>IFERROR('Ashed teabags wet'!C152,"")</f>
        <v>33</v>
      </c>
      <c r="BH154">
        <f>IFERROR('Ashed teabags wet'!C569,"")</f>
        <v>29</v>
      </c>
      <c r="BI154" t="str">
        <f>'Ashed teabags wet'!AB152</f>
        <v/>
      </c>
      <c r="BJ154">
        <f>'Ashed teabags wet'!AC152</f>
        <v>32</v>
      </c>
      <c r="BK154" t="str">
        <f>'Ashed teabags wet'!AD569</f>
        <v/>
      </c>
      <c r="BL154">
        <f>'Ashed teabags wet'!AE569</f>
        <v>28</v>
      </c>
      <c r="BN154" t="str">
        <f t="shared" si="70"/>
        <v>G554</v>
      </c>
      <c r="BO154" t="b">
        <f t="shared" si="71"/>
        <v>1</v>
      </c>
    </row>
    <row r="155" spans="2:67" ht="12" customHeight="1">
      <c r="B155" t="str">
        <f>TBIDry!H227</f>
        <v>G198</v>
      </c>
      <c r="C155" t="str">
        <f>TBIDry!I227</f>
        <v>R788</v>
      </c>
      <c r="D155" t="b">
        <f t="shared" si="48"/>
        <v>0</v>
      </c>
      <c r="E155" t="b">
        <f t="shared" si="49"/>
        <v>0</v>
      </c>
      <c r="G155" t="str">
        <f>TBIWet!H227</f>
        <v>G853</v>
      </c>
      <c r="H155" t="str">
        <f>TBIWet!I227</f>
        <v>R591</v>
      </c>
      <c r="I155" t="b">
        <f t="shared" si="50"/>
        <v>0</v>
      </c>
      <c r="J155" t="b">
        <f t="shared" si="51"/>
        <v>0</v>
      </c>
      <c r="L155" t="str">
        <f>'Both teabags AfterWet'!A154</f>
        <v>G552</v>
      </c>
      <c r="M155" t="str">
        <f>'Both teabags AfterWet'!A572</f>
        <v>R339</v>
      </c>
      <c r="N155" t="b">
        <f t="shared" si="52"/>
        <v>0</v>
      </c>
      <c r="O155" t="b">
        <f t="shared" si="53"/>
        <v>0</v>
      </c>
      <c r="P155" t="str">
        <f>IFERROR('Both teabags AfterWet'!B154,"")</f>
        <v>n.a</v>
      </c>
      <c r="Q155">
        <f>'Both teabags AfterWet'!B572</f>
        <v>109</v>
      </c>
      <c r="S155" s="401" t="b">
        <f t="shared" si="54"/>
        <v>0</v>
      </c>
      <c r="T155" s="401" t="b">
        <f t="shared" si="55"/>
        <v>0</v>
      </c>
      <c r="V155" t="str">
        <f>'Both teabags AfterDry'!A154</f>
        <v>G294</v>
      </c>
      <c r="W155" t="str">
        <f>'Both teabags AfterDry'!A491</f>
        <v>R622</v>
      </c>
      <c r="X155" t="b">
        <f t="shared" si="56"/>
        <v>0</v>
      </c>
      <c r="Y155" t="b">
        <f t="shared" si="57"/>
        <v>0</v>
      </c>
      <c r="AA155" t="str">
        <f>'Green_rooibos initial weight'!A156</f>
        <v>G152</v>
      </c>
      <c r="AB155" t="str">
        <f>'Green_rooibos initial weight'!A1060</f>
        <v>R152</v>
      </c>
      <c r="AC155" t="b">
        <f t="shared" si="58"/>
        <v>0</v>
      </c>
      <c r="AD155" t="b">
        <f t="shared" si="59"/>
        <v>0</v>
      </c>
      <c r="AG155" t="str">
        <f>'WetLitterbags placem_collection'!K154</f>
        <v>G853</v>
      </c>
      <c r="AH155" t="str">
        <f>'WetLitterbags placem_collection'!M154</f>
        <v>R591</v>
      </c>
      <c r="AI155" t="b">
        <f t="shared" si="60"/>
        <v>0</v>
      </c>
      <c r="AJ155" t="b">
        <f t="shared" si="61"/>
        <v>0</v>
      </c>
      <c r="AK155">
        <f>'WetLitterbags placem_collection'!A154</f>
        <v>152</v>
      </c>
      <c r="AL155">
        <f>'WetLitterbags placem_collection'!A154</f>
        <v>152</v>
      </c>
      <c r="AN155">
        <f>IF('Dry_Litterbag Placem_Collection'!J154=0,"",'Dry_Litterbag Placem_Collection'!J154)</f>
        <v>198</v>
      </c>
      <c r="AO155">
        <f>IF('Dry_Litterbag Placem_Collection'!K154=0,"",'Dry_Litterbag Placem_Collection'!K154)</f>
        <v>788</v>
      </c>
      <c r="AP155" t="b">
        <f t="shared" si="62"/>
        <v>0</v>
      </c>
      <c r="AQ155" t="b">
        <f t="shared" si="63"/>
        <v>0</v>
      </c>
      <c r="AT155" t="str">
        <f>'Ashed teabags dry'!A153</f>
        <v>G294</v>
      </c>
      <c r="AU155" t="str">
        <f>'Ashed teabags dry'!A490</f>
        <v>R622</v>
      </c>
      <c r="AV155" t="b">
        <f t="shared" si="64"/>
        <v>0</v>
      </c>
      <c r="AW155" t="b">
        <f t="shared" si="65"/>
        <v>0</v>
      </c>
      <c r="AZ155" s="401" t="b">
        <f t="shared" si="66"/>
        <v>0</v>
      </c>
      <c r="BA155" s="401" t="b">
        <f t="shared" si="67"/>
        <v>0</v>
      </c>
      <c r="BC155" t="str">
        <f>'Ashed teabags wet'!A153</f>
        <v>G557</v>
      </c>
      <c r="BD155" t="str">
        <f>'Ashed teabags wet'!A570</f>
        <v>R35</v>
      </c>
      <c r="BE155" t="b">
        <f t="shared" si="68"/>
        <v>0</v>
      </c>
      <c r="BF155" t="b">
        <f t="shared" si="69"/>
        <v>0</v>
      </c>
      <c r="BG155">
        <f>IFERROR('Ashed teabags wet'!C153,"")</f>
        <v>56</v>
      </c>
      <c r="BH155">
        <f>IFERROR('Ashed teabags wet'!C570,"")</f>
        <v>157</v>
      </c>
      <c r="BI155" t="str">
        <f>'Ashed teabags wet'!AB153</f>
        <v/>
      </c>
      <c r="BJ155">
        <f>'Ashed teabags wet'!AC153</f>
        <v>55</v>
      </c>
      <c r="BK155" t="str">
        <f>'Ashed teabags wet'!AD570</f>
        <v/>
      </c>
      <c r="BL155">
        <f>'Ashed teabags wet'!AE570</f>
        <v>156</v>
      </c>
      <c r="BN155" t="str">
        <f t="shared" si="70"/>
        <v>G556</v>
      </c>
      <c r="BO155" t="b">
        <f t="shared" si="71"/>
        <v>1</v>
      </c>
    </row>
    <row r="156" spans="2:67" ht="12" customHeight="1">
      <c r="B156" t="str">
        <f>TBIDry!H228</f>
        <v>G197</v>
      </c>
      <c r="C156" t="str">
        <f>TBIDry!I228</f>
        <v>R735</v>
      </c>
      <c r="D156" t="b">
        <f t="shared" si="48"/>
        <v>0</v>
      </c>
      <c r="E156" t="b">
        <f t="shared" si="49"/>
        <v>0</v>
      </c>
      <c r="G156" t="str">
        <f>TBIWet!H228</f>
        <v>G800</v>
      </c>
      <c r="H156" t="str">
        <f>TBIWet!I228</f>
        <v>R479</v>
      </c>
      <c r="I156" t="b">
        <f t="shared" si="50"/>
        <v>0</v>
      </c>
      <c r="J156" t="b">
        <f t="shared" si="51"/>
        <v>0</v>
      </c>
      <c r="L156" t="str">
        <f>'Both teabags AfterWet'!A155</f>
        <v>G554</v>
      </c>
      <c r="M156" t="str">
        <f>'Both teabags AfterWet'!A573</f>
        <v>R34</v>
      </c>
      <c r="N156" t="b">
        <f t="shared" si="52"/>
        <v>0</v>
      </c>
      <c r="O156" t="b">
        <f t="shared" si="53"/>
        <v>0</v>
      </c>
      <c r="P156">
        <f>IFERROR('Both teabags AfterWet'!B155,"")</f>
        <v>64</v>
      </c>
      <c r="Q156">
        <f>'Both teabags AfterWet'!B573</f>
        <v>137</v>
      </c>
      <c r="S156" s="401" t="b">
        <f t="shared" si="54"/>
        <v>0</v>
      </c>
      <c r="T156" s="401" t="b">
        <f t="shared" si="55"/>
        <v>0</v>
      </c>
      <c r="V156" t="str">
        <f>'Both teabags AfterDry'!A155</f>
        <v>G295</v>
      </c>
      <c r="W156" t="str">
        <f>'Both teabags AfterDry'!A492</f>
        <v>R623</v>
      </c>
      <c r="X156" t="b">
        <f t="shared" si="56"/>
        <v>0</v>
      </c>
      <c r="Y156" t="b">
        <f t="shared" si="57"/>
        <v>0</v>
      </c>
      <c r="AA156" t="str">
        <f>'Green_rooibos initial weight'!A157</f>
        <v>G153</v>
      </c>
      <c r="AB156" t="str">
        <f>'Green_rooibos initial weight'!A1061</f>
        <v>R153</v>
      </c>
      <c r="AC156" t="b">
        <f t="shared" si="58"/>
        <v>0</v>
      </c>
      <c r="AD156" t="b">
        <f t="shared" si="59"/>
        <v>0</v>
      </c>
      <c r="AG156" t="str">
        <f>'WetLitterbags placem_collection'!K155</f>
        <v>G800</v>
      </c>
      <c r="AH156" t="str">
        <f>'WetLitterbags placem_collection'!M155</f>
        <v>R479</v>
      </c>
      <c r="AI156" t="b">
        <f t="shared" si="60"/>
        <v>0</v>
      </c>
      <c r="AJ156" t="b">
        <f t="shared" si="61"/>
        <v>0</v>
      </c>
      <c r="AK156">
        <f>'WetLitterbags placem_collection'!A155</f>
        <v>153</v>
      </c>
      <c r="AL156">
        <f>'WetLitterbags placem_collection'!A155</f>
        <v>153</v>
      </c>
      <c r="AN156">
        <f>IF('Dry_Litterbag Placem_Collection'!J155=0,"",'Dry_Litterbag Placem_Collection'!J155)</f>
        <v>197</v>
      </c>
      <c r="AO156">
        <f>IF('Dry_Litterbag Placem_Collection'!K155=0,"",'Dry_Litterbag Placem_Collection'!K155)</f>
        <v>735</v>
      </c>
      <c r="AP156" t="b">
        <f t="shared" si="62"/>
        <v>0</v>
      </c>
      <c r="AQ156" t="b">
        <f t="shared" si="63"/>
        <v>0</v>
      </c>
      <c r="AT156" t="str">
        <f>'Ashed teabags dry'!A154</f>
        <v>G295</v>
      </c>
      <c r="AU156" t="str">
        <f>'Ashed teabags dry'!A491</f>
        <v>R623</v>
      </c>
      <c r="AV156" t="b">
        <f t="shared" si="64"/>
        <v>0</v>
      </c>
      <c r="AW156" t="b">
        <f t="shared" si="65"/>
        <v>0</v>
      </c>
      <c r="AZ156" s="401" t="b">
        <f t="shared" si="66"/>
        <v>0</v>
      </c>
      <c r="BA156" s="401" t="b">
        <f t="shared" si="67"/>
        <v>0</v>
      </c>
      <c r="BC156" t="str">
        <f>'Ashed teabags wet'!A154</f>
        <v>G560</v>
      </c>
      <c r="BD156" t="str">
        <f>'Ashed teabags wet'!A571</f>
        <v>R354</v>
      </c>
      <c r="BE156" t="b">
        <f t="shared" si="68"/>
        <v>0</v>
      </c>
      <c r="BF156" t="b">
        <f t="shared" si="69"/>
        <v>0</v>
      </c>
      <c r="BG156">
        <f>IFERROR('Ashed teabags wet'!C154,"")</f>
        <v>212</v>
      </c>
      <c r="BH156">
        <f>IFERROR('Ashed teabags wet'!C571,"")</f>
        <v>189</v>
      </c>
      <c r="BI156" t="str">
        <f>'Ashed teabags wet'!AB154</f>
        <v/>
      </c>
      <c r="BJ156">
        <f>'Ashed teabags wet'!AC154</f>
        <v>211</v>
      </c>
      <c r="BK156">
        <f>'Ashed teabags wet'!AD571</f>
        <v>188</v>
      </c>
      <c r="BL156" t="str">
        <f>'Ashed teabags wet'!AE571</f>
        <v/>
      </c>
      <c r="BN156" t="str">
        <f t="shared" si="70"/>
        <v>G557</v>
      </c>
      <c r="BO156" t="b">
        <f t="shared" si="71"/>
        <v>1</v>
      </c>
    </row>
    <row r="157" spans="2:67" ht="12" customHeight="1">
      <c r="B157" t="str">
        <f>TBIDry!H229</f>
        <v>G127</v>
      </c>
      <c r="C157" t="str">
        <f>TBIDry!I229</f>
        <v>R836</v>
      </c>
      <c r="D157" t="b">
        <f t="shared" si="48"/>
        <v>0</v>
      </c>
      <c r="E157" t="b">
        <f t="shared" si="49"/>
        <v>0</v>
      </c>
      <c r="G157" t="str">
        <f>TBIWet!H229</f>
        <v>G675</v>
      </c>
      <c r="H157" t="str">
        <f>TBIWet!I229</f>
        <v>R493</v>
      </c>
      <c r="I157" t="b">
        <f t="shared" si="50"/>
        <v>0</v>
      </c>
      <c r="J157" t="b">
        <f t="shared" si="51"/>
        <v>0</v>
      </c>
      <c r="L157" t="str">
        <f>'Both teabags AfterWet'!A156</f>
        <v>G557</v>
      </c>
      <c r="M157" t="str">
        <f>'Both teabags AfterWet'!A574</f>
        <v>R340</v>
      </c>
      <c r="N157" t="b">
        <f t="shared" si="52"/>
        <v>0</v>
      </c>
      <c r="O157" t="b">
        <f t="shared" si="53"/>
        <v>0</v>
      </c>
      <c r="P157">
        <f>IFERROR('Both teabags AfterWet'!B156,"")</f>
        <v>56</v>
      </c>
      <c r="Q157" t="str">
        <f>'Both teabags AfterWet'!B574</f>
        <v>n.a</v>
      </c>
      <c r="S157" s="401" t="b">
        <f t="shared" si="54"/>
        <v>0</v>
      </c>
      <c r="T157" s="401" t="b">
        <f t="shared" si="55"/>
        <v>0</v>
      </c>
      <c r="V157" t="str">
        <f>'Both teabags AfterDry'!A156</f>
        <v>G30</v>
      </c>
      <c r="W157" t="str">
        <f>'Both teabags AfterDry'!A493</f>
        <v>R624</v>
      </c>
      <c r="X157" t="b">
        <f t="shared" si="56"/>
        <v>0</v>
      </c>
      <c r="Y157" t="b">
        <f t="shared" si="57"/>
        <v>0</v>
      </c>
      <c r="AA157" t="str">
        <f>'Green_rooibos initial weight'!A158</f>
        <v>G154</v>
      </c>
      <c r="AB157" t="str">
        <f>'Green_rooibos initial weight'!A1062</f>
        <v>R154</v>
      </c>
      <c r="AC157" t="b">
        <f t="shared" si="58"/>
        <v>0</v>
      </c>
      <c r="AD157" t="b">
        <f t="shared" si="59"/>
        <v>0</v>
      </c>
      <c r="AG157" t="str">
        <f>'WetLitterbags placem_collection'!K156</f>
        <v>G675</v>
      </c>
      <c r="AH157" t="str">
        <f>'WetLitterbags placem_collection'!M156</f>
        <v>R493</v>
      </c>
      <c r="AI157" t="b">
        <f t="shared" si="60"/>
        <v>0</v>
      </c>
      <c r="AJ157" t="b">
        <f t="shared" si="61"/>
        <v>0</v>
      </c>
      <c r="AK157">
        <f>'WetLitterbags placem_collection'!A156</f>
        <v>154</v>
      </c>
      <c r="AL157">
        <f>'WetLitterbags placem_collection'!A156</f>
        <v>154</v>
      </c>
      <c r="AN157">
        <f>IF('Dry_Litterbag Placem_Collection'!J156=0,"",'Dry_Litterbag Placem_Collection'!J156)</f>
        <v>127</v>
      </c>
      <c r="AO157">
        <f>IF('Dry_Litterbag Placem_Collection'!K156=0,"",'Dry_Litterbag Placem_Collection'!K156)</f>
        <v>836</v>
      </c>
      <c r="AP157" t="b">
        <f t="shared" si="62"/>
        <v>0</v>
      </c>
      <c r="AQ157" t="b">
        <f t="shared" si="63"/>
        <v>0</v>
      </c>
      <c r="AT157" t="str">
        <f>'Ashed teabags dry'!A155</f>
        <v>G30</v>
      </c>
      <c r="AU157" t="str">
        <f>'Ashed teabags dry'!A492</f>
        <v>R624</v>
      </c>
      <c r="AV157" t="b">
        <f t="shared" si="64"/>
        <v>0</v>
      </c>
      <c r="AW157" t="b">
        <f t="shared" si="65"/>
        <v>0</v>
      </c>
      <c r="AZ157" s="401" t="b">
        <f t="shared" si="66"/>
        <v>0</v>
      </c>
      <c r="BA157" s="401" t="b">
        <f t="shared" si="67"/>
        <v>0</v>
      </c>
      <c r="BC157" t="str">
        <f>'Ashed teabags wet'!A155</f>
        <v>G561</v>
      </c>
      <c r="BD157" t="str">
        <f>'Ashed teabags wet'!A572</f>
        <v>R356</v>
      </c>
      <c r="BE157" t="b">
        <f t="shared" si="68"/>
        <v>0</v>
      </c>
      <c r="BF157" t="b">
        <f t="shared" si="69"/>
        <v>0</v>
      </c>
      <c r="BG157">
        <f>IFERROR('Ashed teabags wet'!C155,"")</f>
        <v>86</v>
      </c>
      <c r="BH157">
        <f>IFERROR('Ashed teabags wet'!C572,"")</f>
        <v>219</v>
      </c>
      <c r="BI157" t="str">
        <f>'Ashed teabags wet'!AB155</f>
        <v/>
      </c>
      <c r="BJ157">
        <f>'Ashed teabags wet'!AC155</f>
        <v>85</v>
      </c>
      <c r="BK157" t="str">
        <f>'Ashed teabags wet'!AD572</f>
        <v/>
      </c>
      <c r="BL157">
        <f>'Ashed teabags wet'!AE572</f>
        <v>218</v>
      </c>
      <c r="BN157" t="str">
        <f t="shared" si="70"/>
        <v>G560</v>
      </c>
      <c r="BO157" t="b">
        <f t="shared" si="71"/>
        <v>1</v>
      </c>
    </row>
    <row r="158" spans="2:67" ht="12" customHeight="1">
      <c r="B158" t="str">
        <f>TBIDry!H230</f>
        <v>G253</v>
      </c>
      <c r="C158" t="str">
        <f>TBIDry!I230</f>
        <v>R337</v>
      </c>
      <c r="D158" t="b">
        <f t="shared" si="48"/>
        <v>0</v>
      </c>
      <c r="E158" t="b">
        <f t="shared" si="49"/>
        <v>0</v>
      </c>
      <c r="G158" t="str">
        <f>TBIWet!H230</f>
        <v>G859</v>
      </c>
      <c r="H158" t="str">
        <f>TBIWet!I230</f>
        <v>R484</v>
      </c>
      <c r="I158" t="b">
        <f t="shared" si="50"/>
        <v>0</v>
      </c>
      <c r="J158" t="b">
        <f t="shared" si="51"/>
        <v>0</v>
      </c>
      <c r="L158" t="str">
        <f>'Both teabags AfterWet'!A157</f>
        <v>G560</v>
      </c>
      <c r="M158" t="str">
        <f>'Both teabags AfterWet'!A575</f>
        <v>R341</v>
      </c>
      <c r="N158" t="b">
        <f t="shared" si="52"/>
        <v>0</v>
      </c>
      <c r="O158" t="b">
        <f t="shared" si="53"/>
        <v>0</v>
      </c>
      <c r="P158">
        <f>IFERROR('Both teabags AfterWet'!B157,"")</f>
        <v>212</v>
      </c>
      <c r="Q158">
        <f>'Both teabags AfterWet'!B575</f>
        <v>163</v>
      </c>
      <c r="S158" s="401" t="b">
        <f t="shared" si="54"/>
        <v>0</v>
      </c>
      <c r="T158" s="401" t="b">
        <f t="shared" si="55"/>
        <v>0</v>
      </c>
      <c r="V158" t="str">
        <f>'Both teabags AfterDry'!A157</f>
        <v>G300</v>
      </c>
      <c r="W158" t="str">
        <f>'Both teabags AfterDry'!A494</f>
        <v>R625</v>
      </c>
      <c r="X158" t="b">
        <f t="shared" si="56"/>
        <v>0</v>
      </c>
      <c r="Y158" t="b">
        <f t="shared" si="57"/>
        <v>0</v>
      </c>
      <c r="AA158" t="str">
        <f>'Green_rooibos initial weight'!A159</f>
        <v>G155</v>
      </c>
      <c r="AB158" t="str">
        <f>'Green_rooibos initial weight'!A1063</f>
        <v>R155</v>
      </c>
      <c r="AC158" t="b">
        <f t="shared" si="58"/>
        <v>0</v>
      </c>
      <c r="AD158" t="b">
        <f t="shared" si="59"/>
        <v>0</v>
      </c>
      <c r="AG158" t="str">
        <f>'WetLitterbags placem_collection'!K157</f>
        <v>G859</v>
      </c>
      <c r="AH158" t="str">
        <f>'WetLitterbags placem_collection'!M157</f>
        <v>R484</v>
      </c>
      <c r="AI158" t="b">
        <f t="shared" si="60"/>
        <v>0</v>
      </c>
      <c r="AJ158" t="b">
        <f t="shared" si="61"/>
        <v>0</v>
      </c>
      <c r="AK158">
        <f>'WetLitterbags placem_collection'!A157</f>
        <v>155</v>
      </c>
      <c r="AL158">
        <f>'WetLitterbags placem_collection'!A157</f>
        <v>155</v>
      </c>
      <c r="AN158">
        <f>IF('Dry_Litterbag Placem_Collection'!J157=0,"",'Dry_Litterbag Placem_Collection'!J157)</f>
        <v>253</v>
      </c>
      <c r="AO158">
        <f>IF('Dry_Litterbag Placem_Collection'!K157=0,"",'Dry_Litterbag Placem_Collection'!K157)</f>
        <v>337</v>
      </c>
      <c r="AP158" t="b">
        <f t="shared" si="62"/>
        <v>0</v>
      </c>
      <c r="AQ158" t="b">
        <f t="shared" si="63"/>
        <v>0</v>
      </c>
      <c r="AT158" t="str">
        <f>'Ashed teabags dry'!A156</f>
        <v>G300</v>
      </c>
      <c r="AU158" t="str">
        <f>'Ashed teabags dry'!A493</f>
        <v>R625</v>
      </c>
      <c r="AV158" t="b">
        <f t="shared" si="64"/>
        <v>0</v>
      </c>
      <c r="AW158" t="b">
        <f t="shared" si="65"/>
        <v>0</v>
      </c>
      <c r="AZ158" s="401" t="b">
        <f t="shared" si="66"/>
        <v>0</v>
      </c>
      <c r="BA158" s="401" t="b">
        <f t="shared" si="67"/>
        <v>0</v>
      </c>
      <c r="BC158" t="str">
        <f>'Ashed teabags wet'!A156</f>
        <v>G563</v>
      </c>
      <c r="BD158" t="str">
        <f>'Ashed teabags wet'!A573</f>
        <v>R359</v>
      </c>
      <c r="BE158" t="b">
        <f t="shared" si="68"/>
        <v>0</v>
      </c>
      <c r="BF158" t="b">
        <f t="shared" si="69"/>
        <v>0</v>
      </c>
      <c r="BG158">
        <f>IFERROR('Ashed teabags wet'!C156,"")</f>
        <v>116</v>
      </c>
      <c r="BH158">
        <f>IFERROR('Ashed teabags wet'!C573,"")</f>
        <v>200</v>
      </c>
      <c r="BI158" t="str">
        <f>'Ashed teabags wet'!AB156</f>
        <v/>
      </c>
      <c r="BJ158">
        <f>'Ashed teabags wet'!AC156</f>
        <v>115</v>
      </c>
      <c r="BK158" t="str">
        <f>'Ashed teabags wet'!AD573</f>
        <v/>
      </c>
      <c r="BL158">
        <f>'Ashed teabags wet'!AE573</f>
        <v>199</v>
      </c>
      <c r="BN158" t="str">
        <f t="shared" si="70"/>
        <v>G561</v>
      </c>
      <c r="BO158" t="b">
        <f t="shared" si="71"/>
        <v>1</v>
      </c>
    </row>
    <row r="159" spans="2:67" ht="12" customHeight="1">
      <c r="B159" t="str">
        <f>TBIDry!H231</f>
        <v>G47</v>
      </c>
      <c r="C159" t="str">
        <f>TBIDry!I231</f>
        <v>R118</v>
      </c>
      <c r="D159" t="b">
        <f t="shared" si="48"/>
        <v>0</v>
      </c>
      <c r="E159" t="b">
        <f t="shared" si="49"/>
        <v>0</v>
      </c>
      <c r="G159" t="str">
        <f>TBIWet!H231</f>
        <v>G654</v>
      </c>
      <c r="H159" t="str">
        <f>TBIWet!I231</f>
        <v>R598</v>
      </c>
      <c r="I159" t="b">
        <f t="shared" si="50"/>
        <v>0</v>
      </c>
      <c r="J159" t="b">
        <f t="shared" si="51"/>
        <v>0</v>
      </c>
      <c r="L159" t="str">
        <f>'Both teabags AfterWet'!A158</f>
        <v>G561</v>
      </c>
      <c r="M159" t="str">
        <f>'Both teabags AfterWet'!A576</f>
        <v>R342</v>
      </c>
      <c r="N159" t="b">
        <f t="shared" si="52"/>
        <v>0</v>
      </c>
      <c r="O159" t="b">
        <f t="shared" si="53"/>
        <v>0</v>
      </c>
      <c r="P159">
        <f>IFERROR('Both teabags AfterWet'!B158,"")</f>
        <v>86</v>
      </c>
      <c r="Q159" t="str">
        <f>'Both teabags AfterWet'!B576</f>
        <v>n.a</v>
      </c>
      <c r="S159" s="401" t="b">
        <f t="shared" si="54"/>
        <v>0</v>
      </c>
      <c r="T159" s="401" t="b">
        <f t="shared" si="55"/>
        <v>0</v>
      </c>
      <c r="V159" t="str">
        <f>'Both teabags AfterDry'!A158</f>
        <v>G301</v>
      </c>
      <c r="W159" t="str">
        <f>'Both teabags AfterDry'!A495</f>
        <v>R627</v>
      </c>
      <c r="X159" t="b">
        <f t="shared" si="56"/>
        <v>0</v>
      </c>
      <c r="Y159" t="b">
        <f t="shared" si="57"/>
        <v>0</v>
      </c>
      <c r="AA159" t="str">
        <f>'Green_rooibos initial weight'!A160</f>
        <v>G156</v>
      </c>
      <c r="AB159" t="str">
        <f>'Green_rooibos initial weight'!A1064</f>
        <v>R156</v>
      </c>
      <c r="AC159" t="b">
        <f t="shared" si="58"/>
        <v>0</v>
      </c>
      <c r="AD159" t="b">
        <f t="shared" si="59"/>
        <v>0</v>
      </c>
      <c r="AG159" t="str">
        <f>'WetLitterbags placem_collection'!K158</f>
        <v>G654</v>
      </c>
      <c r="AH159" t="str">
        <f>'WetLitterbags placem_collection'!M158</f>
        <v>R598</v>
      </c>
      <c r="AI159" t="b">
        <f t="shared" si="60"/>
        <v>0</v>
      </c>
      <c r="AJ159" t="b">
        <f t="shared" si="61"/>
        <v>0</v>
      </c>
      <c r="AK159">
        <f>'WetLitterbags placem_collection'!A158</f>
        <v>156</v>
      </c>
      <c r="AL159">
        <f>'WetLitterbags placem_collection'!A158</f>
        <v>156</v>
      </c>
      <c r="AN159">
        <f>IF('Dry_Litterbag Placem_Collection'!J158=0,"",'Dry_Litterbag Placem_Collection'!J158)</f>
        <v>47</v>
      </c>
      <c r="AO159">
        <f>IF('Dry_Litterbag Placem_Collection'!K158=0,"",'Dry_Litterbag Placem_Collection'!K158)</f>
        <v>118</v>
      </c>
      <c r="AP159" t="b">
        <f t="shared" si="62"/>
        <v>0</v>
      </c>
      <c r="AQ159" t="b">
        <f t="shared" si="63"/>
        <v>0</v>
      </c>
      <c r="AT159" t="str">
        <f>'Ashed teabags dry'!A157</f>
        <v>G301</v>
      </c>
      <c r="AU159" t="str">
        <f>'Ashed teabags dry'!A494</f>
        <v>R627</v>
      </c>
      <c r="AV159" t="b">
        <f t="shared" si="64"/>
        <v>0</v>
      </c>
      <c r="AW159" t="b">
        <f t="shared" si="65"/>
        <v>0</v>
      </c>
      <c r="AZ159" s="401" t="b">
        <f t="shared" si="66"/>
        <v>0</v>
      </c>
      <c r="BA159" s="401" t="b">
        <f t="shared" si="67"/>
        <v>0</v>
      </c>
      <c r="BC159" t="str">
        <f>'Ashed teabags wet'!A157</f>
        <v>G564</v>
      </c>
      <c r="BD159" t="str">
        <f>'Ashed teabags wet'!A574</f>
        <v>R360</v>
      </c>
      <c r="BE159" t="b">
        <f t="shared" si="68"/>
        <v>0</v>
      </c>
      <c r="BF159" t="b">
        <f t="shared" si="69"/>
        <v>0</v>
      </c>
      <c r="BG159">
        <f>IFERROR('Ashed teabags wet'!C157,"")</f>
        <v>185</v>
      </c>
      <c r="BH159">
        <f>IFERROR('Ashed teabags wet'!C574,"")</f>
        <v>95</v>
      </c>
      <c r="BI159" t="str">
        <f>'Ashed teabags wet'!AB157</f>
        <v/>
      </c>
      <c r="BJ159">
        <f>'Ashed teabags wet'!AC157</f>
        <v>184</v>
      </c>
      <c r="BK159">
        <f>'Ashed teabags wet'!AD574</f>
        <v>94</v>
      </c>
      <c r="BL159" t="str">
        <f>'Ashed teabags wet'!AE574</f>
        <v/>
      </c>
      <c r="BN159" t="str">
        <f t="shared" si="70"/>
        <v>G563</v>
      </c>
      <c r="BO159" t="b">
        <f t="shared" si="71"/>
        <v>1</v>
      </c>
    </row>
    <row r="160" spans="2:67" ht="12" customHeight="1">
      <c r="B160" t="str">
        <f>TBIDry!H232</f>
        <v>G328</v>
      </c>
      <c r="C160" t="str">
        <f>TBIDry!I232</f>
        <v>R478</v>
      </c>
      <c r="D160" t="b">
        <f t="shared" si="48"/>
        <v>0</v>
      </c>
      <c r="E160" t="b">
        <f t="shared" si="49"/>
        <v>0</v>
      </c>
      <c r="G160" t="str">
        <f>TBIWet!H232</f>
        <v>G890</v>
      </c>
      <c r="H160" t="str">
        <f>TBIWet!I232</f>
        <v>R30</v>
      </c>
      <c r="I160" t="b">
        <f t="shared" si="50"/>
        <v>0</v>
      </c>
      <c r="J160" t="b">
        <f t="shared" si="51"/>
        <v>0</v>
      </c>
      <c r="L160" t="str">
        <f>'Both teabags AfterWet'!A159</f>
        <v>G362</v>
      </c>
      <c r="M160" t="str">
        <f>'Both teabags AfterWet'!A577</f>
        <v>R343</v>
      </c>
      <c r="N160" t="b">
        <f t="shared" si="52"/>
        <v>0</v>
      </c>
      <c r="O160" t="b">
        <f t="shared" si="53"/>
        <v>0</v>
      </c>
      <c r="P160">
        <f>IFERROR('Both teabags AfterWet'!B159,"")</f>
        <v>177</v>
      </c>
      <c r="Q160">
        <f>'Both teabags AfterWet'!B577</f>
        <v>91</v>
      </c>
      <c r="S160" s="401" t="b">
        <f t="shared" si="54"/>
        <v>0</v>
      </c>
      <c r="T160" s="401" t="b">
        <f t="shared" si="55"/>
        <v>0</v>
      </c>
      <c r="V160" t="str">
        <f>'Both teabags AfterDry'!A159</f>
        <v>G303</v>
      </c>
      <c r="W160" t="str">
        <f>'Both teabags AfterDry'!A496</f>
        <v>R628</v>
      </c>
      <c r="X160" t="b">
        <f t="shared" si="56"/>
        <v>0</v>
      </c>
      <c r="Y160" t="b">
        <f t="shared" si="57"/>
        <v>0</v>
      </c>
      <c r="AA160" t="str">
        <f>'Green_rooibos initial weight'!A161</f>
        <v>G157</v>
      </c>
      <c r="AB160" t="str">
        <f>'Green_rooibos initial weight'!A1065</f>
        <v>R157</v>
      </c>
      <c r="AC160" t="b">
        <f t="shared" si="58"/>
        <v>0</v>
      </c>
      <c r="AD160" t="b">
        <f t="shared" si="59"/>
        <v>0</v>
      </c>
      <c r="AG160" t="str">
        <f>'WetLitterbags placem_collection'!K159</f>
        <v>G890</v>
      </c>
      <c r="AH160" t="str">
        <f>'WetLitterbags placem_collection'!M159</f>
        <v>R30</v>
      </c>
      <c r="AI160" t="b">
        <f t="shared" si="60"/>
        <v>0</v>
      </c>
      <c r="AJ160" t="b">
        <f t="shared" si="61"/>
        <v>0</v>
      </c>
      <c r="AK160">
        <f>'WetLitterbags placem_collection'!A159</f>
        <v>157</v>
      </c>
      <c r="AL160">
        <f>'WetLitterbags placem_collection'!A159</f>
        <v>157</v>
      </c>
      <c r="AN160">
        <f>IF('Dry_Litterbag Placem_Collection'!J159=0,"",'Dry_Litterbag Placem_Collection'!J159)</f>
        <v>328</v>
      </c>
      <c r="AO160">
        <f>IF('Dry_Litterbag Placem_Collection'!K159=0,"",'Dry_Litterbag Placem_Collection'!K159)</f>
        <v>478</v>
      </c>
      <c r="AP160" t="b">
        <f t="shared" si="62"/>
        <v>0</v>
      </c>
      <c r="AQ160" t="b">
        <f t="shared" si="63"/>
        <v>0</v>
      </c>
      <c r="AT160" t="str">
        <f>'Ashed teabags dry'!A158</f>
        <v>G303</v>
      </c>
      <c r="AU160" t="str">
        <f>'Ashed teabags dry'!A495</f>
        <v>R628</v>
      </c>
      <c r="AV160" t="b">
        <f t="shared" si="64"/>
        <v>0</v>
      </c>
      <c r="AW160" t="b">
        <f t="shared" si="65"/>
        <v>0</v>
      </c>
      <c r="AZ160" s="401" t="b">
        <f t="shared" si="66"/>
        <v>0</v>
      </c>
      <c r="BA160" s="401" t="b">
        <f t="shared" si="67"/>
        <v>0</v>
      </c>
      <c r="BC160" t="str">
        <f>'Ashed teabags wet'!A158</f>
        <v>G565</v>
      </c>
      <c r="BD160" t="str">
        <f>'Ashed teabags wet'!A575</f>
        <v>R362</v>
      </c>
      <c r="BE160" s="113" t="b">
        <f t="shared" si="68"/>
        <v>1</v>
      </c>
      <c r="BF160" t="b">
        <f t="shared" si="69"/>
        <v>0</v>
      </c>
      <c r="BG160">
        <f>IFERROR('Ashed teabags wet'!C158,"")</f>
        <v>62</v>
      </c>
      <c r="BH160">
        <f>IFERROR('Ashed teabags wet'!C575,"")</f>
        <v>196</v>
      </c>
      <c r="BI160">
        <f>'Ashed teabags wet'!AB158</f>
        <v>61</v>
      </c>
      <c r="BJ160" t="str">
        <f>'Ashed teabags wet'!AC158</f>
        <v/>
      </c>
      <c r="BK160" t="str">
        <f>'Ashed teabags wet'!AD575</f>
        <v/>
      </c>
      <c r="BL160">
        <f>'Ashed teabags wet'!AE575</f>
        <v>195</v>
      </c>
      <c r="BN160" t="str">
        <f t="shared" si="70"/>
        <v>G564</v>
      </c>
      <c r="BO160" t="b">
        <f t="shared" si="71"/>
        <v>1</v>
      </c>
    </row>
    <row r="161" spans="2:68" ht="12" customHeight="1">
      <c r="B161" t="str">
        <f>TBIDry!H233</f>
        <v>G21</v>
      </c>
      <c r="C161" t="str">
        <f>TBIDry!I233</f>
        <v>R773</v>
      </c>
      <c r="D161" t="b">
        <f t="shared" si="48"/>
        <v>0</v>
      </c>
      <c r="E161" t="b">
        <f t="shared" si="49"/>
        <v>0</v>
      </c>
      <c r="G161" t="str">
        <f>TBIWet!H233</f>
        <v>G576</v>
      </c>
      <c r="H161" t="str">
        <f>TBIWet!I233</f>
        <v>R16</v>
      </c>
      <c r="I161" t="b">
        <f t="shared" si="50"/>
        <v>0</v>
      </c>
      <c r="J161" t="b">
        <f t="shared" si="51"/>
        <v>0</v>
      </c>
      <c r="L161" t="str">
        <f>'Both teabags AfterWet'!A160</f>
        <v>G563</v>
      </c>
      <c r="M161" t="str">
        <f>'Both teabags AfterWet'!A578</f>
        <v>R344</v>
      </c>
      <c r="N161" t="b">
        <f t="shared" si="52"/>
        <v>0</v>
      </c>
      <c r="O161" t="b">
        <f t="shared" si="53"/>
        <v>0</v>
      </c>
      <c r="P161">
        <f>IFERROR('Both teabags AfterWet'!B160,"")</f>
        <v>116</v>
      </c>
      <c r="Q161">
        <f>'Both teabags AfterWet'!B578</f>
        <v>208</v>
      </c>
      <c r="S161" s="401" t="b">
        <f t="shared" si="54"/>
        <v>0</v>
      </c>
      <c r="T161" s="401" t="b">
        <f t="shared" si="55"/>
        <v>0</v>
      </c>
      <c r="V161" t="str">
        <f>'Both teabags AfterDry'!A160</f>
        <v>G309</v>
      </c>
      <c r="W161" t="str">
        <f>'Both teabags AfterDry'!A497</f>
        <v>R629</v>
      </c>
      <c r="X161" t="b">
        <f t="shared" si="56"/>
        <v>0</v>
      </c>
      <c r="Y161" t="b">
        <f t="shared" si="57"/>
        <v>0</v>
      </c>
      <c r="AA161" t="str">
        <f>'Green_rooibos initial weight'!A162</f>
        <v>G158</v>
      </c>
      <c r="AB161" t="str">
        <f>'Green_rooibos initial weight'!A1066</f>
        <v>R158</v>
      </c>
      <c r="AC161" t="b">
        <f t="shared" si="58"/>
        <v>0</v>
      </c>
      <c r="AD161" t="b">
        <f t="shared" si="59"/>
        <v>0</v>
      </c>
      <c r="AG161" t="str">
        <f>'WetLitterbags placem_collection'!K160</f>
        <v>G576</v>
      </c>
      <c r="AH161" t="str">
        <f>'WetLitterbags placem_collection'!M160</f>
        <v>R16</v>
      </c>
      <c r="AI161" t="b">
        <f t="shared" si="60"/>
        <v>0</v>
      </c>
      <c r="AJ161" t="b">
        <f t="shared" si="61"/>
        <v>0</v>
      </c>
      <c r="AK161">
        <f>'WetLitterbags placem_collection'!A160</f>
        <v>158</v>
      </c>
      <c r="AL161">
        <f>'WetLitterbags placem_collection'!A160</f>
        <v>158</v>
      </c>
      <c r="AN161">
        <f>IF('Dry_Litterbag Placem_Collection'!J160=0,"",'Dry_Litterbag Placem_Collection'!J160)</f>
        <v>21</v>
      </c>
      <c r="AO161">
        <f>IF('Dry_Litterbag Placem_Collection'!K160=0,"",'Dry_Litterbag Placem_Collection'!K160)</f>
        <v>773</v>
      </c>
      <c r="AP161" t="b">
        <f t="shared" si="62"/>
        <v>0</v>
      </c>
      <c r="AQ161" t="b">
        <f t="shared" si="63"/>
        <v>0</v>
      </c>
      <c r="AT161" t="str">
        <f>'Ashed teabags dry'!A159</f>
        <v>G309</v>
      </c>
      <c r="AU161" t="str">
        <f>'Ashed teabags dry'!A496</f>
        <v>R629</v>
      </c>
      <c r="AV161" t="b">
        <f t="shared" si="64"/>
        <v>0</v>
      </c>
      <c r="AW161" t="b">
        <f t="shared" si="65"/>
        <v>0</v>
      </c>
      <c r="AZ161" s="401" t="b">
        <f t="shared" si="66"/>
        <v>0</v>
      </c>
      <c r="BA161" s="401" t="b">
        <f t="shared" si="67"/>
        <v>0</v>
      </c>
      <c r="BC161" t="str">
        <f>'Ashed teabags wet'!A159</f>
        <v>G565</v>
      </c>
      <c r="BD161" t="str">
        <f>'Ashed teabags wet'!A576</f>
        <v>R363</v>
      </c>
      <c r="BE161" s="113" t="b">
        <f t="shared" si="68"/>
        <v>1</v>
      </c>
      <c r="BF161" t="b">
        <f t="shared" si="69"/>
        <v>0</v>
      </c>
      <c r="BG161">
        <f>IFERROR('Ashed teabags wet'!C159,"")</f>
        <v>117</v>
      </c>
      <c r="BH161">
        <f>IFERROR('Ashed teabags wet'!C576,"")</f>
        <v>22</v>
      </c>
      <c r="BI161">
        <f>'Ashed teabags wet'!AB159</f>
        <v>61</v>
      </c>
      <c r="BJ161" t="str">
        <f>'Ashed teabags wet'!AC159</f>
        <v/>
      </c>
      <c r="BK161">
        <f>'Ashed teabags wet'!AD576</f>
        <v>21</v>
      </c>
      <c r="BL161" t="str">
        <f>'Ashed teabags wet'!AE576</f>
        <v/>
      </c>
      <c r="BN161" t="str">
        <f t="shared" si="70"/>
        <v>G565</v>
      </c>
      <c r="BO161" t="b">
        <f t="shared" si="71"/>
        <v>1</v>
      </c>
      <c r="BP161" s="402"/>
    </row>
    <row r="162" spans="2:68" ht="12" customHeight="1">
      <c r="B162" t="str">
        <f>TBIDry!H234</f>
        <v/>
      </c>
      <c r="C162" t="str">
        <f>TBIDry!I234</f>
        <v/>
      </c>
      <c r="D162" t="b">
        <f t="shared" si="48"/>
        <v>1</v>
      </c>
      <c r="E162" t="b">
        <f t="shared" si="49"/>
        <v>1</v>
      </c>
      <c r="G162" t="str">
        <f>TBIWet!H234</f>
        <v>G829</v>
      </c>
      <c r="H162" t="str">
        <f>TBIWet!I234</f>
        <v>R499</v>
      </c>
      <c r="I162" t="b">
        <f t="shared" si="50"/>
        <v>0</v>
      </c>
      <c r="J162" t="b">
        <f t="shared" si="51"/>
        <v>0</v>
      </c>
      <c r="L162" t="str">
        <f>'Both teabags AfterWet'!A161</f>
        <v>G564</v>
      </c>
      <c r="M162" t="str">
        <f>'Both teabags AfterWet'!A579</f>
        <v>R346</v>
      </c>
      <c r="N162" t="b">
        <f t="shared" si="52"/>
        <v>0</v>
      </c>
      <c r="O162" t="b">
        <f t="shared" si="53"/>
        <v>0</v>
      </c>
      <c r="P162" t="str">
        <f>IFERROR('Both teabags AfterWet'!B161,"")</f>
        <v>n.a</v>
      </c>
      <c r="Q162">
        <f>'Both teabags AfterWet'!B579</f>
        <v>192</v>
      </c>
      <c r="S162" s="401" t="b">
        <f t="shared" si="54"/>
        <v>0</v>
      </c>
      <c r="T162" s="401" t="b">
        <f t="shared" si="55"/>
        <v>0</v>
      </c>
      <c r="V162" t="str">
        <f>'Both teabags AfterDry'!A161</f>
        <v>G312</v>
      </c>
      <c r="W162" t="str">
        <f>'Both teabags AfterDry'!A498</f>
        <v>R632</v>
      </c>
      <c r="X162" t="b">
        <f t="shared" si="56"/>
        <v>0</v>
      </c>
      <c r="Y162" t="b">
        <f t="shared" si="57"/>
        <v>0</v>
      </c>
      <c r="AA162" t="str">
        <f>'Green_rooibos initial weight'!A163</f>
        <v>G159</v>
      </c>
      <c r="AB162" t="str">
        <f>'Green_rooibos initial weight'!A1067</f>
        <v>R159</v>
      </c>
      <c r="AC162" t="b">
        <f t="shared" si="58"/>
        <v>0</v>
      </c>
      <c r="AD162" t="b">
        <f t="shared" si="59"/>
        <v>0</v>
      </c>
      <c r="AG162" t="str">
        <f>'WetLitterbags placem_collection'!K161</f>
        <v>G829</v>
      </c>
      <c r="AH162" t="str">
        <f>'WetLitterbags placem_collection'!M161</f>
        <v>R499</v>
      </c>
      <c r="AI162" t="b">
        <f t="shared" si="60"/>
        <v>0</v>
      </c>
      <c r="AJ162" t="b">
        <f t="shared" si="61"/>
        <v>0</v>
      </c>
      <c r="AK162">
        <f>'WetLitterbags placem_collection'!A161</f>
        <v>159</v>
      </c>
      <c r="AL162">
        <f>'WetLitterbags placem_collection'!A161</f>
        <v>159</v>
      </c>
      <c r="AN162" t="str">
        <f>IF('Dry_Litterbag Placem_Collection'!J161=0,"",'Dry_Litterbag Placem_Collection'!J161)</f>
        <v/>
      </c>
      <c r="AO162" t="str">
        <f>IF('Dry_Litterbag Placem_Collection'!K161=0,"",'Dry_Litterbag Placem_Collection'!K161)</f>
        <v/>
      </c>
      <c r="AP162" t="b">
        <f t="shared" si="62"/>
        <v>1</v>
      </c>
      <c r="AQ162" t="b">
        <f t="shared" si="63"/>
        <v>1</v>
      </c>
      <c r="AT162" t="str">
        <f>'Ashed teabags dry'!A160</f>
        <v>G312</v>
      </c>
      <c r="AU162" t="str">
        <f>'Ashed teabags dry'!A497</f>
        <v>R632</v>
      </c>
      <c r="AV162" t="b">
        <f t="shared" si="64"/>
        <v>0</v>
      </c>
      <c r="AW162" t="b">
        <f t="shared" si="65"/>
        <v>0</v>
      </c>
      <c r="AZ162" s="401" t="b">
        <f t="shared" si="66"/>
        <v>0</v>
      </c>
      <c r="BA162" s="401" t="b">
        <f t="shared" si="67"/>
        <v>0</v>
      </c>
      <c r="BC162" t="str">
        <f>'Ashed teabags wet'!A160</f>
        <v>G566</v>
      </c>
      <c r="BD162" t="str">
        <f>'Ashed teabags wet'!A577</f>
        <v>R364</v>
      </c>
      <c r="BE162" t="b">
        <f t="shared" si="68"/>
        <v>0</v>
      </c>
      <c r="BF162" t="b">
        <f t="shared" si="69"/>
        <v>0</v>
      </c>
      <c r="BG162">
        <f>IFERROR('Ashed teabags wet'!C160,"")</f>
        <v>39</v>
      </c>
      <c r="BH162">
        <f>IFERROR('Ashed teabags wet'!C577,"")</f>
        <v>193</v>
      </c>
      <c r="BI162" t="str">
        <f>'Ashed teabags wet'!AB160</f>
        <v/>
      </c>
      <c r="BJ162">
        <f>'Ashed teabags wet'!AC160</f>
        <v>38</v>
      </c>
      <c r="BK162" t="str">
        <f>'Ashed teabags wet'!AD577</f>
        <v/>
      </c>
      <c r="BL162">
        <f>'Ashed teabags wet'!AE577</f>
        <v>192</v>
      </c>
      <c r="BN162" t="str">
        <f t="shared" si="70"/>
        <v>G565</v>
      </c>
      <c r="BO162" t="b">
        <f t="shared" si="71"/>
        <v>1</v>
      </c>
    </row>
    <row r="163" spans="2:68" ht="12" customHeight="1">
      <c r="B163" t="str">
        <f>TBIDry!H235</f>
        <v>G482</v>
      </c>
      <c r="C163" t="str">
        <f>TBIDry!I235</f>
        <v>R401</v>
      </c>
      <c r="D163" t="b">
        <f t="shared" si="48"/>
        <v>0</v>
      </c>
      <c r="E163" t="b">
        <f t="shared" si="49"/>
        <v>0</v>
      </c>
      <c r="G163" t="str">
        <f>TBIWet!H235</f>
        <v>G809</v>
      </c>
      <c r="H163" t="str">
        <f>TBIWet!I235</f>
        <v>R421</v>
      </c>
      <c r="I163" t="b">
        <f t="shared" si="50"/>
        <v>0</v>
      </c>
      <c r="J163" t="b">
        <f t="shared" si="51"/>
        <v>0</v>
      </c>
      <c r="L163" t="str">
        <f>'Both teabags AfterWet'!A162</f>
        <v>G565</v>
      </c>
      <c r="M163" t="str">
        <f>'Both teabags AfterWet'!A580</f>
        <v>R35</v>
      </c>
      <c r="N163" t="b">
        <f t="shared" si="52"/>
        <v>0</v>
      </c>
      <c r="O163" t="b">
        <f t="shared" si="53"/>
        <v>0</v>
      </c>
      <c r="P163">
        <f>IFERROR('Both teabags AfterWet'!B162,"")</f>
        <v>62</v>
      </c>
      <c r="Q163">
        <f>'Both teabags AfterWet'!B580</f>
        <v>157</v>
      </c>
      <c r="S163" s="401" t="b">
        <f t="shared" si="54"/>
        <v>0</v>
      </c>
      <c r="T163" s="401" t="b">
        <f t="shared" si="55"/>
        <v>0</v>
      </c>
      <c r="V163" t="str">
        <f>'Both teabags AfterDry'!A162</f>
        <v>G313</v>
      </c>
      <c r="W163" t="str">
        <f>'Both teabags AfterDry'!A499</f>
        <v>R633</v>
      </c>
      <c r="X163" t="b">
        <f t="shared" si="56"/>
        <v>0</v>
      </c>
      <c r="Y163" t="b">
        <f t="shared" si="57"/>
        <v>0</v>
      </c>
      <c r="AA163" t="str">
        <f>'Green_rooibos initial weight'!A164</f>
        <v>G160</v>
      </c>
      <c r="AB163" t="str">
        <f>'Green_rooibos initial weight'!A1068</f>
        <v>R160</v>
      </c>
      <c r="AC163" t="b">
        <f t="shared" si="58"/>
        <v>0</v>
      </c>
      <c r="AD163" t="b">
        <f t="shared" si="59"/>
        <v>0</v>
      </c>
      <c r="AG163" t="str">
        <f>'WetLitterbags placem_collection'!K162</f>
        <v>G809</v>
      </c>
      <c r="AH163" t="str">
        <f>'WetLitterbags placem_collection'!M162</f>
        <v>R421</v>
      </c>
      <c r="AI163" t="b">
        <f t="shared" si="60"/>
        <v>0</v>
      </c>
      <c r="AJ163" t="b">
        <f t="shared" si="61"/>
        <v>0</v>
      </c>
      <c r="AK163">
        <f>'WetLitterbags placem_collection'!A162</f>
        <v>160</v>
      </c>
      <c r="AL163">
        <f>'WetLitterbags placem_collection'!A162</f>
        <v>160</v>
      </c>
      <c r="AN163">
        <f>IF('Dry_Litterbag Placem_Collection'!J162=0,"",'Dry_Litterbag Placem_Collection'!J162)</f>
        <v>482</v>
      </c>
      <c r="AO163">
        <f>IF('Dry_Litterbag Placem_Collection'!K162=0,"",'Dry_Litterbag Placem_Collection'!K162)</f>
        <v>401</v>
      </c>
      <c r="AP163" t="b">
        <f t="shared" si="62"/>
        <v>0</v>
      </c>
      <c r="AQ163" t="b">
        <f t="shared" si="63"/>
        <v>0</v>
      </c>
      <c r="AT163" t="str">
        <f>'Ashed teabags dry'!A161</f>
        <v>G313</v>
      </c>
      <c r="AU163" t="str">
        <f>'Ashed teabags dry'!A498</f>
        <v>R633</v>
      </c>
      <c r="AV163" t="b">
        <f t="shared" si="64"/>
        <v>0</v>
      </c>
      <c r="AW163" t="b">
        <f t="shared" si="65"/>
        <v>0</v>
      </c>
      <c r="AZ163" s="401" t="b">
        <f t="shared" si="66"/>
        <v>0</v>
      </c>
      <c r="BA163" s="401" t="b">
        <f t="shared" si="67"/>
        <v>0</v>
      </c>
      <c r="BC163" t="str">
        <f>'Ashed teabags wet'!A161</f>
        <v>G567</v>
      </c>
      <c r="BD163" t="str">
        <f>'Ashed teabags wet'!A578</f>
        <v>R367</v>
      </c>
      <c r="BE163" t="b">
        <f t="shared" si="68"/>
        <v>0</v>
      </c>
      <c r="BF163" t="b">
        <f t="shared" si="69"/>
        <v>0</v>
      </c>
      <c r="BG163">
        <f>IFERROR('Ashed teabags wet'!C161,"")</f>
        <v>151</v>
      </c>
      <c r="BH163">
        <f>IFERROR('Ashed teabags wet'!C578,"")</f>
        <v>199</v>
      </c>
      <c r="BI163">
        <f>'Ashed teabags wet'!AB161</f>
        <v>150</v>
      </c>
      <c r="BJ163" t="str">
        <f>'Ashed teabags wet'!AC161</f>
        <v/>
      </c>
      <c r="BK163" t="str">
        <f>'Ashed teabags wet'!AD578</f>
        <v/>
      </c>
      <c r="BL163" t="str">
        <f>'Ashed teabags wet'!AE578</f>
        <v/>
      </c>
      <c r="BN163" t="str">
        <f t="shared" si="70"/>
        <v>G566</v>
      </c>
      <c r="BO163" t="b">
        <f t="shared" si="71"/>
        <v>1</v>
      </c>
    </row>
    <row r="164" spans="2:68" ht="12" customHeight="1">
      <c r="B164" t="str">
        <f>TBIDry!H236</f>
        <v>G51</v>
      </c>
      <c r="C164" t="str">
        <f>TBIDry!I236</f>
        <v>R673</v>
      </c>
      <c r="D164" t="b">
        <f t="shared" si="48"/>
        <v>0</v>
      </c>
      <c r="E164" t="b">
        <f t="shared" si="49"/>
        <v>0</v>
      </c>
      <c r="G164" t="str">
        <f>TBIWet!H236</f>
        <v>G252</v>
      </c>
      <c r="H164" t="str">
        <f>TBIWet!I236</f>
        <v>R124</v>
      </c>
      <c r="I164" t="b">
        <f t="shared" si="50"/>
        <v>0</v>
      </c>
      <c r="J164" t="b">
        <f t="shared" si="51"/>
        <v>0</v>
      </c>
      <c r="L164" t="str">
        <f>'Both teabags AfterWet'!A163</f>
        <v>G566</v>
      </c>
      <c r="M164" t="str">
        <f>'Both teabags AfterWet'!A581</f>
        <v>R353</v>
      </c>
      <c r="N164" t="b">
        <f t="shared" si="52"/>
        <v>0</v>
      </c>
      <c r="O164" t="b">
        <f t="shared" si="53"/>
        <v>0</v>
      </c>
      <c r="P164">
        <f>IFERROR('Both teabags AfterWet'!B163,"")</f>
        <v>39</v>
      </c>
      <c r="Q164">
        <f>'Both teabags AfterWet'!B581</f>
        <v>172</v>
      </c>
      <c r="S164" s="401" t="b">
        <f t="shared" si="54"/>
        <v>0</v>
      </c>
      <c r="T164" s="401" t="b">
        <f t="shared" si="55"/>
        <v>0</v>
      </c>
      <c r="V164" t="str">
        <f>'Both teabags AfterDry'!A163</f>
        <v>G314</v>
      </c>
      <c r="W164" t="str">
        <f>'Both teabags AfterDry'!A500</f>
        <v>R634</v>
      </c>
      <c r="X164" t="b">
        <f t="shared" si="56"/>
        <v>0</v>
      </c>
      <c r="Y164" t="b">
        <f t="shared" si="57"/>
        <v>0</v>
      </c>
      <c r="AA164" t="str">
        <f>'Green_rooibos initial weight'!A165</f>
        <v>G161</v>
      </c>
      <c r="AB164" t="str">
        <f>'Green_rooibos initial weight'!A1069</f>
        <v>R161</v>
      </c>
      <c r="AC164" t="b">
        <f t="shared" si="58"/>
        <v>0</v>
      </c>
      <c r="AD164" t="b">
        <f t="shared" si="59"/>
        <v>0</v>
      </c>
      <c r="AG164" t="str">
        <f>'WetLitterbags placem_collection'!K163</f>
        <v>G252</v>
      </c>
      <c r="AH164" t="str">
        <f>'WetLitterbags placem_collection'!M163</f>
        <v>R124</v>
      </c>
      <c r="AI164" t="b">
        <f t="shared" si="60"/>
        <v>0</v>
      </c>
      <c r="AJ164" t="b">
        <f t="shared" si="61"/>
        <v>0</v>
      </c>
      <c r="AK164">
        <f>'WetLitterbags placem_collection'!A163</f>
        <v>161</v>
      </c>
      <c r="AL164">
        <f>'WetLitterbags placem_collection'!A163</f>
        <v>161</v>
      </c>
      <c r="AN164">
        <f>IF('Dry_Litterbag Placem_Collection'!J163=0,"",'Dry_Litterbag Placem_Collection'!J163)</f>
        <v>51</v>
      </c>
      <c r="AO164">
        <f>IF('Dry_Litterbag Placem_Collection'!K163=0,"",'Dry_Litterbag Placem_Collection'!K163)</f>
        <v>673</v>
      </c>
      <c r="AP164" t="b">
        <f t="shared" si="62"/>
        <v>0</v>
      </c>
      <c r="AQ164" t="b">
        <f t="shared" si="63"/>
        <v>0</v>
      </c>
      <c r="AT164" t="str">
        <f>'Ashed teabags dry'!A162</f>
        <v>G314</v>
      </c>
      <c r="AU164" t="str">
        <f>'Ashed teabags dry'!A499</f>
        <v>R634</v>
      </c>
      <c r="AV164" t="b">
        <f t="shared" si="64"/>
        <v>0</v>
      </c>
      <c r="AW164" t="b">
        <f t="shared" si="65"/>
        <v>0</v>
      </c>
      <c r="AZ164" s="401" t="b">
        <f t="shared" si="66"/>
        <v>0</v>
      </c>
      <c r="BA164" s="401" t="b">
        <f t="shared" si="67"/>
        <v>0</v>
      </c>
      <c r="BC164" t="str">
        <f>'Ashed teabags wet'!A162</f>
        <v>G568</v>
      </c>
      <c r="BD164" t="str">
        <f>'Ashed teabags wet'!A579</f>
        <v>R368</v>
      </c>
      <c r="BE164" t="b">
        <f t="shared" si="68"/>
        <v>0</v>
      </c>
      <c r="BF164" t="b">
        <f t="shared" si="69"/>
        <v>0</v>
      </c>
      <c r="BG164">
        <f>IFERROR('Ashed teabags wet'!C162,"")</f>
        <v>2</v>
      </c>
      <c r="BH164">
        <f>IFERROR('Ashed teabags wet'!C579,"")</f>
        <v>82</v>
      </c>
      <c r="BI164">
        <f>'Ashed teabags wet'!AB162</f>
        <v>1</v>
      </c>
      <c r="BJ164" t="str">
        <f>'Ashed teabags wet'!AC162</f>
        <v/>
      </c>
      <c r="BK164" t="str">
        <f>'Ashed teabags wet'!AD579</f>
        <v/>
      </c>
      <c r="BL164">
        <f>'Ashed teabags wet'!AE579</f>
        <v>81</v>
      </c>
      <c r="BN164" t="str">
        <f t="shared" si="70"/>
        <v>G567</v>
      </c>
      <c r="BO164" t="b">
        <f t="shared" si="71"/>
        <v>1</v>
      </c>
    </row>
    <row r="165" spans="2:68" ht="12" customHeight="1">
      <c r="B165" t="str">
        <f>TBIDry!H237</f>
        <v>G238</v>
      </c>
      <c r="C165" t="str">
        <f>TBIDry!I237</f>
        <v>R814</v>
      </c>
      <c r="D165" t="b">
        <f t="shared" si="48"/>
        <v>0</v>
      </c>
      <c r="E165" t="b">
        <f t="shared" si="49"/>
        <v>0</v>
      </c>
      <c r="G165" t="str">
        <f>TBIWet!H237</f>
        <v>G385</v>
      </c>
      <c r="H165" t="str">
        <f>TBIWet!I237</f>
        <v>R202</v>
      </c>
      <c r="I165" t="b">
        <f t="shared" si="50"/>
        <v>0</v>
      </c>
      <c r="J165" t="b">
        <f t="shared" si="51"/>
        <v>0</v>
      </c>
      <c r="L165" t="str">
        <f>'Both teabags AfterWet'!A164</f>
        <v>G567</v>
      </c>
      <c r="M165" t="str">
        <f>'Both teabags AfterWet'!A582</f>
        <v>R354</v>
      </c>
      <c r="N165" t="b">
        <f t="shared" si="52"/>
        <v>0</v>
      </c>
      <c r="O165" t="b">
        <f t="shared" si="53"/>
        <v>0</v>
      </c>
      <c r="P165">
        <f>IFERROR('Both teabags AfterWet'!B164,"")</f>
        <v>151</v>
      </c>
      <c r="Q165">
        <f>'Both teabags AfterWet'!B582</f>
        <v>189</v>
      </c>
      <c r="S165" s="401" t="b">
        <f t="shared" si="54"/>
        <v>0</v>
      </c>
      <c r="T165" s="401" t="b">
        <f t="shared" si="55"/>
        <v>0</v>
      </c>
      <c r="V165" t="str">
        <f>'Both teabags AfterDry'!A164</f>
        <v>G315</v>
      </c>
      <c r="W165" t="str">
        <f>'Both teabags AfterDry'!A501</f>
        <v>R635</v>
      </c>
      <c r="X165" t="b">
        <f t="shared" si="56"/>
        <v>0</v>
      </c>
      <c r="Y165" t="b">
        <f t="shared" si="57"/>
        <v>0</v>
      </c>
      <c r="AA165" t="str">
        <f>'Green_rooibos initial weight'!A166</f>
        <v>G162</v>
      </c>
      <c r="AB165" t="str">
        <f>'Green_rooibos initial weight'!A1070</f>
        <v>R162</v>
      </c>
      <c r="AC165" t="b">
        <f t="shared" si="58"/>
        <v>0</v>
      </c>
      <c r="AD165" t="b">
        <f t="shared" si="59"/>
        <v>0</v>
      </c>
      <c r="AG165" t="str">
        <f>'WetLitterbags placem_collection'!K164</f>
        <v>G385</v>
      </c>
      <c r="AH165" t="str">
        <f>'WetLitterbags placem_collection'!M164</f>
        <v>R202</v>
      </c>
      <c r="AI165" t="b">
        <f t="shared" si="60"/>
        <v>0</v>
      </c>
      <c r="AJ165" t="b">
        <f t="shared" si="61"/>
        <v>0</v>
      </c>
      <c r="AK165">
        <f>'WetLitterbags placem_collection'!A164</f>
        <v>162</v>
      </c>
      <c r="AL165">
        <f>'WetLitterbags placem_collection'!A164</f>
        <v>162</v>
      </c>
      <c r="AN165">
        <f>IF('Dry_Litterbag Placem_Collection'!J164=0,"",'Dry_Litterbag Placem_Collection'!J164)</f>
        <v>238</v>
      </c>
      <c r="AO165">
        <f>IF('Dry_Litterbag Placem_Collection'!K164=0,"",'Dry_Litterbag Placem_Collection'!K164)</f>
        <v>814</v>
      </c>
      <c r="AP165" t="b">
        <f t="shared" si="62"/>
        <v>0</v>
      </c>
      <c r="AQ165" t="b">
        <f t="shared" si="63"/>
        <v>0</v>
      </c>
      <c r="AT165" t="str">
        <f>'Ashed teabags dry'!A163</f>
        <v>G315</v>
      </c>
      <c r="AU165" t="str">
        <f>'Ashed teabags dry'!A500</f>
        <v>R635</v>
      </c>
      <c r="AV165" t="b">
        <f t="shared" si="64"/>
        <v>0</v>
      </c>
      <c r="AW165" t="b">
        <f t="shared" si="65"/>
        <v>0</v>
      </c>
      <c r="AZ165" s="401" t="b">
        <f t="shared" si="66"/>
        <v>0</v>
      </c>
      <c r="BA165" s="401" t="b">
        <f t="shared" si="67"/>
        <v>0</v>
      </c>
      <c r="BC165" t="str">
        <f>'Ashed teabags wet'!A163</f>
        <v>G571</v>
      </c>
      <c r="BD165" t="str">
        <f>'Ashed teabags wet'!A580</f>
        <v>R37</v>
      </c>
      <c r="BE165" t="b">
        <f t="shared" si="68"/>
        <v>0</v>
      </c>
      <c r="BF165" t="b">
        <f t="shared" si="69"/>
        <v>0</v>
      </c>
      <c r="BG165">
        <f>IFERROR('Ashed teabags wet'!C163,"")</f>
        <v>17</v>
      </c>
      <c r="BH165">
        <f>IFERROR('Ashed teabags wet'!C580,"")</f>
        <v>114</v>
      </c>
      <c r="BI165">
        <f>'Ashed teabags wet'!AB163</f>
        <v>16</v>
      </c>
      <c r="BJ165" t="str">
        <f>'Ashed teabags wet'!AC163</f>
        <v/>
      </c>
      <c r="BK165" t="str">
        <f>'Ashed teabags wet'!AD580</f>
        <v/>
      </c>
      <c r="BL165">
        <f>'Ashed teabags wet'!AE580</f>
        <v>113</v>
      </c>
      <c r="BN165" t="str">
        <f t="shared" si="70"/>
        <v>G568</v>
      </c>
      <c r="BO165" t="b">
        <f t="shared" si="71"/>
        <v>1</v>
      </c>
    </row>
    <row r="166" spans="2:68" ht="12" customHeight="1">
      <c r="B166" t="str">
        <f>TBIDry!H238</f>
        <v>G59</v>
      </c>
      <c r="C166" t="str">
        <f>TBIDry!I238</f>
        <v>R615</v>
      </c>
      <c r="D166" t="b">
        <f t="shared" si="48"/>
        <v>0</v>
      </c>
      <c r="E166" t="b">
        <f t="shared" si="49"/>
        <v>0</v>
      </c>
      <c r="G166" t="str">
        <f>TBIWet!H238</f>
        <v>G202</v>
      </c>
      <c r="H166" t="str">
        <f>TBIWet!I238</f>
        <v>R96</v>
      </c>
      <c r="I166" t="b">
        <f t="shared" si="50"/>
        <v>0</v>
      </c>
      <c r="J166" t="b">
        <f t="shared" si="51"/>
        <v>0</v>
      </c>
      <c r="L166" t="str">
        <f>'Both teabags AfterWet'!A165</f>
        <v>G568</v>
      </c>
      <c r="M166" t="str">
        <f>'Both teabags AfterWet'!A583</f>
        <v>R356</v>
      </c>
      <c r="N166" t="b">
        <f t="shared" si="52"/>
        <v>0</v>
      </c>
      <c r="O166" t="b">
        <f t="shared" si="53"/>
        <v>0</v>
      </c>
      <c r="P166" t="str">
        <f>IFERROR('Both teabags AfterWet'!B165,"")</f>
        <v>n.a</v>
      </c>
      <c r="Q166">
        <f>'Both teabags AfterWet'!B583</f>
        <v>219</v>
      </c>
      <c r="S166" s="401" t="b">
        <f t="shared" si="54"/>
        <v>0</v>
      </c>
      <c r="T166" s="401" t="b">
        <f t="shared" si="55"/>
        <v>0</v>
      </c>
      <c r="V166" t="str">
        <f>'Both teabags AfterDry'!A165</f>
        <v>G316</v>
      </c>
      <c r="W166" t="str">
        <f>'Both teabags AfterDry'!A502</f>
        <v>R636</v>
      </c>
      <c r="X166" t="b">
        <f t="shared" si="56"/>
        <v>0</v>
      </c>
      <c r="Y166" t="b">
        <f t="shared" si="57"/>
        <v>0</v>
      </c>
      <c r="AA166" t="str">
        <f>'Green_rooibos initial weight'!A167</f>
        <v>G163</v>
      </c>
      <c r="AB166" t="str">
        <f>'Green_rooibos initial weight'!A1071</f>
        <v>R163</v>
      </c>
      <c r="AC166" t="b">
        <f t="shared" si="58"/>
        <v>0</v>
      </c>
      <c r="AD166" t="b">
        <f t="shared" si="59"/>
        <v>0</v>
      </c>
      <c r="AG166" t="str">
        <f>'WetLitterbags placem_collection'!K165</f>
        <v>G202</v>
      </c>
      <c r="AH166" t="str">
        <f>'WetLitterbags placem_collection'!M165</f>
        <v>R96</v>
      </c>
      <c r="AI166" t="b">
        <f t="shared" si="60"/>
        <v>0</v>
      </c>
      <c r="AJ166" t="b">
        <f t="shared" si="61"/>
        <v>0</v>
      </c>
      <c r="AK166">
        <f>'WetLitterbags placem_collection'!A165</f>
        <v>163</v>
      </c>
      <c r="AL166">
        <f>'WetLitterbags placem_collection'!A165</f>
        <v>163</v>
      </c>
      <c r="AN166">
        <f>IF('Dry_Litterbag Placem_Collection'!J165=0,"",'Dry_Litterbag Placem_Collection'!J165)</f>
        <v>59</v>
      </c>
      <c r="AO166">
        <f>IF('Dry_Litterbag Placem_Collection'!K165=0,"",'Dry_Litterbag Placem_Collection'!K165)</f>
        <v>615</v>
      </c>
      <c r="AP166" t="b">
        <f t="shared" si="62"/>
        <v>0</v>
      </c>
      <c r="AQ166" t="b">
        <f t="shared" si="63"/>
        <v>0</v>
      </c>
      <c r="AT166" t="str">
        <f>'Ashed teabags dry'!A164</f>
        <v>G318</v>
      </c>
      <c r="AU166" t="str">
        <f>'Ashed teabags dry'!A501</f>
        <v>R636</v>
      </c>
      <c r="AV166" t="b">
        <f t="shared" si="64"/>
        <v>0</v>
      </c>
      <c r="AW166" t="b">
        <f t="shared" si="65"/>
        <v>0</v>
      </c>
      <c r="AZ166" s="401" t="b">
        <f t="shared" si="66"/>
        <v>0</v>
      </c>
      <c r="BA166" s="401" t="b">
        <f t="shared" si="67"/>
        <v>0</v>
      </c>
      <c r="BC166" t="str">
        <f>'Ashed teabags wet'!A164</f>
        <v>G572</v>
      </c>
      <c r="BD166" t="str">
        <f>'Ashed teabags wet'!A581</f>
        <v>R370</v>
      </c>
      <c r="BE166" t="b">
        <f t="shared" si="68"/>
        <v>0</v>
      </c>
      <c r="BF166" t="b">
        <f t="shared" si="69"/>
        <v>0</v>
      </c>
      <c r="BG166">
        <f>IFERROR('Ashed teabags wet'!C164,"")</f>
        <v>213</v>
      </c>
      <c r="BH166">
        <f>IFERROR('Ashed teabags wet'!C581,"")</f>
        <v>197</v>
      </c>
      <c r="BI166">
        <f>'Ashed teabags wet'!AB164</f>
        <v>212</v>
      </c>
      <c r="BJ166" t="str">
        <f>'Ashed teabags wet'!AC164</f>
        <v/>
      </c>
      <c r="BK166" t="str">
        <f>'Ashed teabags wet'!AD581</f>
        <v/>
      </c>
      <c r="BL166">
        <f>'Ashed teabags wet'!AE581</f>
        <v>196</v>
      </c>
      <c r="BN166" t="str">
        <f t="shared" si="70"/>
        <v>G571</v>
      </c>
      <c r="BO166" t="b">
        <f t="shared" si="71"/>
        <v>1</v>
      </c>
    </row>
    <row r="167" spans="2:68" ht="12" customHeight="1">
      <c r="B167" t="str">
        <f>TBIDry!H239</f>
        <v>G7</v>
      </c>
      <c r="C167" t="str">
        <f>TBIDry!I239</f>
        <v>R514</v>
      </c>
      <c r="D167" t="b">
        <f t="shared" si="48"/>
        <v>0</v>
      </c>
      <c r="E167" t="b">
        <f t="shared" si="49"/>
        <v>0</v>
      </c>
      <c r="G167" t="str">
        <f>TBIWet!H239</f>
        <v>G686</v>
      </c>
      <c r="H167" t="str">
        <f>TBIWet!I239</f>
        <v>R317</v>
      </c>
      <c r="I167" t="b">
        <f t="shared" si="50"/>
        <v>0</v>
      </c>
      <c r="J167" t="b">
        <f t="shared" si="51"/>
        <v>0</v>
      </c>
      <c r="L167" t="str">
        <f>'Both teabags AfterWet'!A166</f>
        <v>G509</v>
      </c>
      <c r="M167" t="str">
        <f>'Both teabags AfterWet'!A584</f>
        <v>R359</v>
      </c>
      <c r="N167" t="b">
        <f t="shared" si="52"/>
        <v>0</v>
      </c>
      <c r="O167" t="b">
        <f t="shared" si="53"/>
        <v>0</v>
      </c>
      <c r="P167">
        <f>IFERROR('Both teabags AfterWet'!B166,"")</f>
        <v>77</v>
      </c>
      <c r="Q167" t="str">
        <f>'Both teabags AfterWet'!B584</f>
        <v>n.a</v>
      </c>
      <c r="S167" s="401" t="b">
        <f t="shared" si="54"/>
        <v>0</v>
      </c>
      <c r="T167" s="401" t="b">
        <f t="shared" si="55"/>
        <v>0</v>
      </c>
      <c r="V167" t="str">
        <f>'Both teabags AfterDry'!A166</f>
        <v>G318</v>
      </c>
      <c r="W167" t="str">
        <f>'Both teabags AfterDry'!A503</f>
        <v>R637</v>
      </c>
      <c r="X167" t="b">
        <f t="shared" si="56"/>
        <v>0</v>
      </c>
      <c r="Y167" t="b">
        <f t="shared" si="57"/>
        <v>0</v>
      </c>
      <c r="AA167" t="str">
        <f>'Green_rooibos initial weight'!A168</f>
        <v>G164</v>
      </c>
      <c r="AB167" t="str">
        <f>'Green_rooibos initial weight'!A1072</f>
        <v>R164</v>
      </c>
      <c r="AC167" t="b">
        <f t="shared" si="58"/>
        <v>0</v>
      </c>
      <c r="AD167" t="b">
        <f t="shared" si="59"/>
        <v>0</v>
      </c>
      <c r="AG167" t="str">
        <f>'WetLitterbags placem_collection'!K166</f>
        <v>G686</v>
      </c>
      <c r="AH167" t="str">
        <f>'WetLitterbags placem_collection'!M166</f>
        <v>R317</v>
      </c>
      <c r="AI167" t="b">
        <f t="shared" si="60"/>
        <v>0</v>
      </c>
      <c r="AJ167" t="b">
        <f t="shared" si="61"/>
        <v>0</v>
      </c>
      <c r="AK167">
        <f>'WetLitterbags placem_collection'!A166</f>
        <v>164</v>
      </c>
      <c r="AL167">
        <f>'WetLitterbags placem_collection'!A166</f>
        <v>164</v>
      </c>
      <c r="AN167">
        <f>IF('Dry_Litterbag Placem_Collection'!J166=0,"",'Dry_Litterbag Placem_Collection'!J166)</f>
        <v>7</v>
      </c>
      <c r="AO167">
        <f>IF('Dry_Litterbag Placem_Collection'!K166=0,"",'Dry_Litterbag Placem_Collection'!K166)</f>
        <v>514</v>
      </c>
      <c r="AP167" t="b">
        <f t="shared" si="62"/>
        <v>0</v>
      </c>
      <c r="AQ167" t="b">
        <f t="shared" si="63"/>
        <v>0</v>
      </c>
      <c r="AT167" t="str">
        <f>'Ashed teabags dry'!A165</f>
        <v>G32</v>
      </c>
      <c r="AU167" t="str">
        <f>'Ashed teabags dry'!A502</f>
        <v>R637</v>
      </c>
      <c r="AV167" t="b">
        <f t="shared" si="64"/>
        <v>0</v>
      </c>
      <c r="AW167" t="b">
        <f t="shared" si="65"/>
        <v>0</v>
      </c>
      <c r="AZ167" s="401" t="b">
        <f t="shared" si="66"/>
        <v>0</v>
      </c>
      <c r="BA167" s="401" t="b">
        <f t="shared" si="67"/>
        <v>0</v>
      </c>
      <c r="BC167" t="str">
        <f>'Ashed teabags wet'!A165</f>
        <v>G573</v>
      </c>
      <c r="BD167" t="str">
        <f>'Ashed teabags wet'!A582</f>
        <v>R371</v>
      </c>
      <c r="BE167" t="b">
        <f t="shared" si="68"/>
        <v>0</v>
      </c>
      <c r="BF167" t="b">
        <f t="shared" si="69"/>
        <v>0</v>
      </c>
      <c r="BG167">
        <f>IFERROR('Ashed teabags wet'!C165,"")</f>
        <v>18</v>
      </c>
      <c r="BH167">
        <f>IFERROR('Ashed teabags wet'!C582,"")</f>
        <v>42</v>
      </c>
      <c r="BI167" t="str">
        <f>'Ashed teabags wet'!AB165</f>
        <v/>
      </c>
      <c r="BJ167">
        <f>'Ashed teabags wet'!AC165</f>
        <v>17</v>
      </c>
      <c r="BK167">
        <f>'Ashed teabags wet'!AD582</f>
        <v>41</v>
      </c>
      <c r="BL167" t="str">
        <f>'Ashed teabags wet'!AE582</f>
        <v/>
      </c>
      <c r="BN167" t="str">
        <f t="shared" si="70"/>
        <v>G572</v>
      </c>
      <c r="BO167" t="b">
        <f t="shared" si="71"/>
        <v>1</v>
      </c>
    </row>
    <row r="168" spans="2:68" ht="12" customHeight="1">
      <c r="B168" t="str">
        <f>TBIDry!H240</f>
        <v>G85</v>
      </c>
      <c r="C168" t="str">
        <f>TBIDry!I240</f>
        <v>R127</v>
      </c>
      <c r="D168" t="b">
        <f t="shared" si="48"/>
        <v>0</v>
      </c>
      <c r="E168" t="b">
        <f t="shared" si="49"/>
        <v>0</v>
      </c>
      <c r="G168" t="str">
        <f>TBIWet!H240</f>
        <v>G368</v>
      </c>
      <c r="H168" t="str">
        <f>TBIWet!I240</f>
        <v>R331</v>
      </c>
      <c r="I168" t="b">
        <f t="shared" si="50"/>
        <v>0</v>
      </c>
      <c r="J168" t="b">
        <f t="shared" si="51"/>
        <v>0</v>
      </c>
      <c r="L168" t="str">
        <f>'Both teabags AfterWet'!A167</f>
        <v>G571</v>
      </c>
      <c r="M168" t="str">
        <f>'Both teabags AfterWet'!A585</f>
        <v>R360</v>
      </c>
      <c r="N168" t="b">
        <f t="shared" si="52"/>
        <v>0</v>
      </c>
      <c r="O168" t="b">
        <f t="shared" si="53"/>
        <v>0</v>
      </c>
      <c r="P168" t="str">
        <f>IFERROR('Both teabags AfterWet'!B167,"")</f>
        <v>n.a</v>
      </c>
      <c r="Q168">
        <f>'Both teabags AfterWet'!B585</f>
        <v>95</v>
      </c>
      <c r="S168" s="401" t="b">
        <f t="shared" si="54"/>
        <v>0</v>
      </c>
      <c r="T168" s="401" t="b">
        <f t="shared" si="55"/>
        <v>0</v>
      </c>
      <c r="V168" t="str">
        <f>'Both teabags AfterDry'!A167</f>
        <v>G319</v>
      </c>
      <c r="W168" t="str">
        <f>'Both teabags AfterDry'!A504</f>
        <v>R638</v>
      </c>
      <c r="X168" t="b">
        <f t="shared" si="56"/>
        <v>0</v>
      </c>
      <c r="Y168" t="b">
        <f t="shared" si="57"/>
        <v>0</v>
      </c>
      <c r="AA168" t="str">
        <f>'Green_rooibos initial weight'!A169</f>
        <v>G165</v>
      </c>
      <c r="AB168" t="str">
        <f>'Green_rooibos initial weight'!A1073</f>
        <v>R165</v>
      </c>
      <c r="AC168" t="b">
        <f t="shared" si="58"/>
        <v>0</v>
      </c>
      <c r="AD168" t="b">
        <f t="shared" si="59"/>
        <v>0</v>
      </c>
      <c r="AG168" t="str">
        <f>'WetLitterbags placem_collection'!K167</f>
        <v>G368</v>
      </c>
      <c r="AH168" t="str">
        <f>'WetLitterbags placem_collection'!M167</f>
        <v>R331</v>
      </c>
      <c r="AI168" t="b">
        <f t="shared" si="60"/>
        <v>0</v>
      </c>
      <c r="AJ168" t="b">
        <f t="shared" si="61"/>
        <v>0</v>
      </c>
      <c r="AK168">
        <f>'WetLitterbags placem_collection'!A167</f>
        <v>165</v>
      </c>
      <c r="AL168">
        <f>'WetLitterbags placem_collection'!A167</f>
        <v>165</v>
      </c>
      <c r="AN168">
        <f>IF('Dry_Litterbag Placem_Collection'!J167=0,"",'Dry_Litterbag Placem_Collection'!J167)</f>
        <v>85</v>
      </c>
      <c r="AO168">
        <f>IF('Dry_Litterbag Placem_Collection'!K167=0,"",'Dry_Litterbag Placem_Collection'!K167)</f>
        <v>127</v>
      </c>
      <c r="AP168" t="b">
        <f t="shared" si="62"/>
        <v>0</v>
      </c>
      <c r="AQ168" t="b">
        <f t="shared" si="63"/>
        <v>0</v>
      </c>
      <c r="AT168" t="str">
        <f>'Ashed teabags dry'!A166</f>
        <v>G320</v>
      </c>
      <c r="AU168" t="str">
        <f>'Ashed teabags dry'!A503</f>
        <v>R638</v>
      </c>
      <c r="AV168" t="b">
        <f t="shared" si="64"/>
        <v>0</v>
      </c>
      <c r="AW168" t="b">
        <f t="shared" si="65"/>
        <v>0</v>
      </c>
      <c r="AZ168" s="401" t="b">
        <f t="shared" si="66"/>
        <v>0</v>
      </c>
      <c r="BA168" s="401" t="b">
        <f t="shared" si="67"/>
        <v>0</v>
      </c>
      <c r="BC168" t="str">
        <f>'Ashed teabags wet'!A166</f>
        <v>G574</v>
      </c>
      <c r="BD168" t="str">
        <f>'Ashed teabags wet'!A583</f>
        <v>R372</v>
      </c>
      <c r="BE168" t="b">
        <f t="shared" si="68"/>
        <v>0</v>
      </c>
      <c r="BF168" t="b">
        <f t="shared" si="69"/>
        <v>0</v>
      </c>
      <c r="BG168">
        <f>IFERROR('Ashed teabags wet'!C166,"")</f>
        <v>207</v>
      </c>
      <c r="BH168">
        <f>IFERROR('Ashed teabags wet'!C583,"")</f>
        <v>203</v>
      </c>
      <c r="BI168">
        <f>'Ashed teabags wet'!AB166</f>
        <v>206</v>
      </c>
      <c r="BJ168" t="str">
        <f>'Ashed teabags wet'!AC166</f>
        <v/>
      </c>
      <c r="BK168">
        <f>'Ashed teabags wet'!AD583</f>
        <v>202</v>
      </c>
      <c r="BL168" t="str">
        <f>'Ashed teabags wet'!AE583</f>
        <v/>
      </c>
      <c r="BN168" t="str">
        <f t="shared" si="70"/>
        <v>G573</v>
      </c>
      <c r="BO168" t="b">
        <f t="shared" si="71"/>
        <v>1</v>
      </c>
      <c r="BP168" s="402"/>
    </row>
    <row r="169" spans="2:68" ht="12" customHeight="1">
      <c r="B169" t="str">
        <f>TBIDry!H241</f>
        <v>G1</v>
      </c>
      <c r="C169" t="str">
        <f>TBIDry!I241</f>
        <v>R752</v>
      </c>
      <c r="D169" t="b">
        <f t="shared" si="48"/>
        <v>0</v>
      </c>
      <c r="E169" t="b">
        <f t="shared" si="49"/>
        <v>0</v>
      </c>
      <c r="G169" t="str">
        <f>TBIWet!H241</f>
        <v>G334</v>
      </c>
      <c r="H169" t="str">
        <f>TBIWet!I241</f>
        <v>R287</v>
      </c>
      <c r="I169" t="b">
        <f t="shared" si="50"/>
        <v>0</v>
      </c>
      <c r="J169" t="b">
        <f t="shared" si="51"/>
        <v>0</v>
      </c>
      <c r="L169" t="str">
        <f>'Both teabags AfterWet'!A168</f>
        <v>G572</v>
      </c>
      <c r="M169" t="str">
        <f>'Both teabags AfterWet'!A586</f>
        <v>R362</v>
      </c>
      <c r="N169" t="b">
        <f t="shared" si="52"/>
        <v>0</v>
      </c>
      <c r="O169" t="b">
        <f t="shared" si="53"/>
        <v>0</v>
      </c>
      <c r="P169">
        <f>IFERROR('Both teabags AfterWet'!B168,"")</f>
        <v>213</v>
      </c>
      <c r="Q169" t="str">
        <f>'Both teabags AfterWet'!B586</f>
        <v>n.a</v>
      </c>
      <c r="S169" s="401" t="b">
        <f t="shared" si="54"/>
        <v>0</v>
      </c>
      <c r="T169" s="401" t="b">
        <f t="shared" si="55"/>
        <v>0</v>
      </c>
      <c r="V169" t="str">
        <f>'Both teabags AfterDry'!A168</f>
        <v>G32</v>
      </c>
      <c r="W169" t="str">
        <f>'Both teabags AfterDry'!A505</f>
        <v>R639</v>
      </c>
      <c r="X169" t="b">
        <f t="shared" si="56"/>
        <v>0</v>
      </c>
      <c r="Y169" t="b">
        <f t="shared" si="57"/>
        <v>0</v>
      </c>
      <c r="AA169" t="str">
        <f>'Green_rooibos initial weight'!A170</f>
        <v>G166</v>
      </c>
      <c r="AB169" t="str">
        <f>'Green_rooibos initial weight'!A1074</f>
        <v>R166</v>
      </c>
      <c r="AC169" t="b">
        <f t="shared" si="58"/>
        <v>0</v>
      </c>
      <c r="AD169" t="b">
        <f t="shared" si="59"/>
        <v>0</v>
      </c>
      <c r="AG169" t="str">
        <f>'WetLitterbags placem_collection'!K168</f>
        <v>G334</v>
      </c>
      <c r="AH169" t="str">
        <f>'WetLitterbags placem_collection'!M168</f>
        <v>R287</v>
      </c>
      <c r="AI169" t="b">
        <f t="shared" si="60"/>
        <v>0</v>
      </c>
      <c r="AJ169" t="b">
        <f t="shared" si="61"/>
        <v>0</v>
      </c>
      <c r="AK169">
        <f>'WetLitterbags placem_collection'!A168</f>
        <v>166</v>
      </c>
      <c r="AL169">
        <f>'WetLitterbags placem_collection'!A168</f>
        <v>166</v>
      </c>
      <c r="AN169">
        <f>IF('Dry_Litterbag Placem_Collection'!J168=0,"",'Dry_Litterbag Placem_Collection'!J168)</f>
        <v>1</v>
      </c>
      <c r="AO169">
        <f>IF('Dry_Litterbag Placem_Collection'!K168=0,"",'Dry_Litterbag Placem_Collection'!K168)</f>
        <v>752</v>
      </c>
      <c r="AP169" t="b">
        <f t="shared" si="62"/>
        <v>0</v>
      </c>
      <c r="AQ169" t="b">
        <f t="shared" si="63"/>
        <v>0</v>
      </c>
      <c r="AT169" t="str">
        <f>'Ashed teabags dry'!A167</f>
        <v>G322</v>
      </c>
      <c r="AU169" t="str">
        <f>'Ashed teabags dry'!A504</f>
        <v>R639</v>
      </c>
      <c r="AV169" t="b">
        <f t="shared" si="64"/>
        <v>0</v>
      </c>
      <c r="AW169" t="b">
        <f t="shared" si="65"/>
        <v>0</v>
      </c>
      <c r="AZ169" s="401" t="b">
        <f t="shared" si="66"/>
        <v>0</v>
      </c>
      <c r="BA169" s="401" t="b">
        <f t="shared" si="67"/>
        <v>0</v>
      </c>
      <c r="BC169" t="str">
        <f>'Ashed teabags wet'!A167</f>
        <v>G575</v>
      </c>
      <c r="BD169" t="str">
        <f>'Ashed teabags wet'!A584</f>
        <v>R375</v>
      </c>
      <c r="BE169" t="b">
        <f t="shared" si="68"/>
        <v>0</v>
      </c>
      <c r="BF169" t="b">
        <f t="shared" si="69"/>
        <v>0</v>
      </c>
      <c r="BG169">
        <f>IFERROR('Ashed teabags wet'!C167,"")</f>
        <v>22</v>
      </c>
      <c r="BH169">
        <f>IFERROR('Ashed teabags wet'!C584,"")</f>
        <v>196</v>
      </c>
      <c r="BI169">
        <f>'Ashed teabags wet'!AB167</f>
        <v>21</v>
      </c>
      <c r="BJ169" t="str">
        <f>'Ashed teabags wet'!AC167</f>
        <v/>
      </c>
      <c r="BK169">
        <f>'Ashed teabags wet'!AD584</f>
        <v>195</v>
      </c>
      <c r="BL169" t="str">
        <f>'Ashed teabags wet'!AE584</f>
        <v/>
      </c>
      <c r="BN169" t="str">
        <f t="shared" si="70"/>
        <v>G574</v>
      </c>
      <c r="BO169" t="b">
        <f t="shared" si="71"/>
        <v>1</v>
      </c>
    </row>
    <row r="170" spans="2:68" ht="12" customHeight="1">
      <c r="B170" t="str">
        <f>TBIDry!H242</f>
        <v/>
      </c>
      <c r="C170" t="str">
        <f>TBIDry!I242</f>
        <v/>
      </c>
      <c r="D170" t="b">
        <f t="shared" si="48"/>
        <v>1</v>
      </c>
      <c r="E170" t="b">
        <f t="shared" si="49"/>
        <v>1</v>
      </c>
      <c r="G170" t="str">
        <f>TBIWet!H242</f>
        <v>G429</v>
      </c>
      <c r="H170" t="str">
        <f>TBIWet!I242</f>
        <v>R255</v>
      </c>
      <c r="I170" t="b">
        <f t="shared" si="50"/>
        <v>0</v>
      </c>
      <c r="J170" t="b">
        <f t="shared" si="51"/>
        <v>0</v>
      </c>
      <c r="L170" t="str">
        <f>'Both teabags AfterWet'!A169</f>
        <v>G573</v>
      </c>
      <c r="M170" t="str">
        <f>'Both teabags AfterWet'!A587</f>
        <v>R363</v>
      </c>
      <c r="N170" t="b">
        <f t="shared" si="52"/>
        <v>0</v>
      </c>
      <c r="O170" t="b">
        <f t="shared" si="53"/>
        <v>0</v>
      </c>
      <c r="P170">
        <f>IFERROR('Both teabags AfterWet'!B169,"")</f>
        <v>18</v>
      </c>
      <c r="Q170" t="str">
        <f>'Both teabags AfterWet'!B587</f>
        <v>n.a</v>
      </c>
      <c r="S170" s="401" t="b">
        <f t="shared" si="54"/>
        <v>0</v>
      </c>
      <c r="T170" s="401" t="b">
        <f t="shared" si="55"/>
        <v>0</v>
      </c>
      <c r="V170" t="str">
        <f>'Both teabags AfterDry'!A169</f>
        <v>G320</v>
      </c>
      <c r="W170" t="str">
        <f>'Both teabags AfterDry'!A506</f>
        <v>R640</v>
      </c>
      <c r="X170" t="b">
        <f t="shared" si="56"/>
        <v>0</v>
      </c>
      <c r="Y170" t="b">
        <f t="shared" si="57"/>
        <v>0</v>
      </c>
      <c r="AA170" t="str">
        <f>'Green_rooibos initial weight'!A171</f>
        <v>G167</v>
      </c>
      <c r="AB170" t="str">
        <f>'Green_rooibos initial weight'!A1075</f>
        <v>R167</v>
      </c>
      <c r="AC170" t="b">
        <f t="shared" si="58"/>
        <v>0</v>
      </c>
      <c r="AD170" t="b">
        <f t="shared" si="59"/>
        <v>0</v>
      </c>
      <c r="AG170" t="str">
        <f>'WetLitterbags placem_collection'!K169</f>
        <v>G429</v>
      </c>
      <c r="AH170" t="str">
        <f>'WetLitterbags placem_collection'!M169</f>
        <v>R255</v>
      </c>
      <c r="AI170" t="b">
        <f t="shared" si="60"/>
        <v>0</v>
      </c>
      <c r="AJ170" t="b">
        <f t="shared" si="61"/>
        <v>0</v>
      </c>
      <c r="AK170">
        <f>'WetLitterbags placem_collection'!A169</f>
        <v>167</v>
      </c>
      <c r="AL170">
        <f>'WetLitterbags placem_collection'!A169</f>
        <v>167</v>
      </c>
      <c r="AN170" t="str">
        <f>IF('Dry_Litterbag Placem_Collection'!J169=0,"",'Dry_Litterbag Placem_Collection'!J169)</f>
        <v/>
      </c>
      <c r="AO170" t="str">
        <f>IF('Dry_Litterbag Placem_Collection'!K169=0,"",'Dry_Litterbag Placem_Collection'!K169)</f>
        <v/>
      </c>
      <c r="AP170" t="b">
        <f t="shared" si="62"/>
        <v>1</v>
      </c>
      <c r="AQ170" t="b">
        <f t="shared" si="63"/>
        <v>1</v>
      </c>
      <c r="AT170" t="str">
        <f>'Ashed teabags dry'!A168</f>
        <v>G323</v>
      </c>
      <c r="AU170" t="str">
        <f>'Ashed teabags dry'!A505</f>
        <v>R640</v>
      </c>
      <c r="AV170" t="b">
        <f t="shared" si="64"/>
        <v>0</v>
      </c>
      <c r="AW170" t="b">
        <f t="shared" si="65"/>
        <v>0</v>
      </c>
      <c r="AZ170" s="401" t="b">
        <f t="shared" si="66"/>
        <v>0</v>
      </c>
      <c r="BA170" s="401" t="b">
        <f t="shared" si="67"/>
        <v>0</v>
      </c>
      <c r="BC170" t="str">
        <f>'Ashed teabags wet'!A168</f>
        <v>G577</v>
      </c>
      <c r="BD170" t="str">
        <f>'Ashed teabags wet'!A585</f>
        <v>R376</v>
      </c>
      <c r="BE170" t="b">
        <f t="shared" si="68"/>
        <v>0</v>
      </c>
      <c r="BF170" t="b">
        <f t="shared" si="69"/>
        <v>0</v>
      </c>
      <c r="BG170">
        <f>IFERROR('Ashed teabags wet'!C168,"")</f>
        <v>5</v>
      </c>
      <c r="BH170">
        <f>IFERROR('Ashed teabags wet'!C585,"")</f>
        <v>43</v>
      </c>
      <c r="BI170" t="str">
        <f>'Ashed teabags wet'!AB168</f>
        <v/>
      </c>
      <c r="BJ170">
        <f>'Ashed teabags wet'!AC168</f>
        <v>4</v>
      </c>
      <c r="BK170">
        <f>'Ashed teabags wet'!AD585</f>
        <v>42</v>
      </c>
      <c r="BL170" t="str">
        <f>'Ashed teabags wet'!AE585</f>
        <v/>
      </c>
      <c r="BN170" t="str">
        <f t="shared" si="70"/>
        <v>G575</v>
      </c>
      <c r="BO170" t="b">
        <f t="shared" si="71"/>
        <v>1</v>
      </c>
    </row>
    <row r="171" spans="2:68" ht="12" customHeight="1">
      <c r="B171" t="str">
        <f>TBIDry!H243</f>
        <v>G70</v>
      </c>
      <c r="C171" t="str">
        <f>TBIDry!I243</f>
        <v>R690</v>
      </c>
      <c r="D171" t="b">
        <f t="shared" si="48"/>
        <v>0</v>
      </c>
      <c r="E171" t="b">
        <f t="shared" si="49"/>
        <v>0</v>
      </c>
      <c r="G171" t="str">
        <f>TBIWet!H243</f>
        <v>G461</v>
      </c>
      <c r="H171" t="str">
        <f>TBIWet!I243</f>
        <v>R534</v>
      </c>
      <c r="I171" t="b">
        <f t="shared" si="50"/>
        <v>0</v>
      </c>
      <c r="J171" t="b">
        <f t="shared" si="51"/>
        <v>0</v>
      </c>
      <c r="L171" t="str">
        <f>'Both teabags AfterWet'!A170</f>
        <v>G574</v>
      </c>
      <c r="M171" s="113" t="str">
        <f>'Both teabags AfterWet'!A588</f>
        <v>R364</v>
      </c>
      <c r="N171" t="b">
        <f t="shared" si="52"/>
        <v>0</v>
      </c>
      <c r="O171" t="b">
        <f t="shared" si="53"/>
        <v>0</v>
      </c>
      <c r="P171">
        <f>IFERROR('Both teabags AfterWet'!B170,"")</f>
        <v>206</v>
      </c>
      <c r="Q171" t="str">
        <f>'Both teabags AfterWet'!B588</f>
        <v>n.a</v>
      </c>
      <c r="S171" s="401" t="b">
        <f t="shared" si="54"/>
        <v>0</v>
      </c>
      <c r="T171" s="113" t="b">
        <f t="shared" si="55"/>
        <v>1</v>
      </c>
      <c r="V171" t="str">
        <f>'Both teabags AfterDry'!A170</f>
        <v>G322</v>
      </c>
      <c r="W171" t="str">
        <f>'Both teabags AfterDry'!A507</f>
        <v>R641</v>
      </c>
      <c r="X171" t="b">
        <f t="shared" si="56"/>
        <v>0</v>
      </c>
      <c r="Y171" t="b">
        <f t="shared" si="57"/>
        <v>0</v>
      </c>
      <c r="AA171" t="str">
        <f>'Green_rooibos initial weight'!A172</f>
        <v>G168</v>
      </c>
      <c r="AB171" t="str">
        <f>'Green_rooibos initial weight'!A1076</f>
        <v>R168</v>
      </c>
      <c r="AC171" t="b">
        <f t="shared" si="58"/>
        <v>0</v>
      </c>
      <c r="AD171" t="b">
        <f t="shared" si="59"/>
        <v>0</v>
      </c>
      <c r="AG171" t="str">
        <f>'WetLitterbags placem_collection'!K170</f>
        <v>G461</v>
      </c>
      <c r="AH171" t="str">
        <f>'WetLitterbags placem_collection'!M170</f>
        <v>R534</v>
      </c>
      <c r="AI171" t="b">
        <f t="shared" si="60"/>
        <v>0</v>
      </c>
      <c r="AJ171" t="b">
        <f t="shared" si="61"/>
        <v>0</v>
      </c>
      <c r="AK171">
        <f>'WetLitterbags placem_collection'!A170</f>
        <v>168</v>
      </c>
      <c r="AL171">
        <f>'WetLitterbags placem_collection'!A170</f>
        <v>168</v>
      </c>
      <c r="AN171">
        <f>IF('Dry_Litterbag Placem_Collection'!J170=0,"",'Dry_Litterbag Placem_Collection'!J170)</f>
        <v>70</v>
      </c>
      <c r="AO171">
        <f>IF('Dry_Litterbag Placem_Collection'!K170=0,"",'Dry_Litterbag Placem_Collection'!K170)</f>
        <v>690</v>
      </c>
      <c r="AP171" t="b">
        <f t="shared" si="62"/>
        <v>0</v>
      </c>
      <c r="AQ171" t="b">
        <f t="shared" si="63"/>
        <v>0</v>
      </c>
      <c r="AT171" t="str">
        <f>'Ashed teabags dry'!A169</f>
        <v>G324</v>
      </c>
      <c r="AU171" t="str">
        <f>'Ashed teabags dry'!A506</f>
        <v>R641</v>
      </c>
      <c r="AV171" t="b">
        <f t="shared" si="64"/>
        <v>0</v>
      </c>
      <c r="AW171" t="b">
        <f t="shared" si="65"/>
        <v>0</v>
      </c>
      <c r="AZ171" s="401" t="b">
        <f t="shared" si="66"/>
        <v>0</v>
      </c>
      <c r="BA171" s="401" t="b">
        <f t="shared" si="67"/>
        <v>0</v>
      </c>
      <c r="BC171" t="str">
        <f>'Ashed teabags wet'!A169</f>
        <v>G579</v>
      </c>
      <c r="BD171" t="str">
        <f>'Ashed teabags wet'!A586</f>
        <v>R378</v>
      </c>
      <c r="BE171" t="b">
        <f t="shared" si="68"/>
        <v>0</v>
      </c>
      <c r="BF171" t="b">
        <f t="shared" si="69"/>
        <v>0</v>
      </c>
      <c r="BG171">
        <f>IFERROR('Ashed teabags wet'!C169,"")</f>
        <v>74</v>
      </c>
      <c r="BH171">
        <f>IFERROR('Ashed teabags wet'!C586,"")</f>
        <v>195</v>
      </c>
      <c r="BI171" t="str">
        <f>'Ashed teabags wet'!AB169</f>
        <v/>
      </c>
      <c r="BJ171">
        <f>'Ashed teabags wet'!AC169</f>
        <v>73</v>
      </c>
      <c r="BK171">
        <f>'Ashed teabags wet'!AD586</f>
        <v>194</v>
      </c>
      <c r="BL171" t="str">
        <f>'Ashed teabags wet'!AE586</f>
        <v/>
      </c>
      <c r="BN171" t="str">
        <f t="shared" si="70"/>
        <v>G577</v>
      </c>
      <c r="BO171" t="b">
        <f t="shared" si="71"/>
        <v>1</v>
      </c>
    </row>
    <row r="172" spans="2:68" ht="12" customHeight="1">
      <c r="B172" t="str">
        <f>TBIDry!H244</f>
        <v>G250</v>
      </c>
      <c r="C172" t="str">
        <f>TBIDry!I244</f>
        <v>R684</v>
      </c>
      <c r="D172" s="113" t="b">
        <f t="shared" si="48"/>
        <v>0</v>
      </c>
      <c r="E172" t="b">
        <f t="shared" si="49"/>
        <v>0</v>
      </c>
      <c r="G172" t="str">
        <f>TBIWet!H244</f>
        <v>G425</v>
      </c>
      <c r="H172" t="str">
        <f>TBIWet!I244</f>
        <v>R453</v>
      </c>
      <c r="I172" t="b">
        <f t="shared" si="50"/>
        <v>0</v>
      </c>
      <c r="J172" t="b">
        <f t="shared" si="51"/>
        <v>0</v>
      </c>
      <c r="L172" t="str">
        <f>'Both teabags AfterWet'!A171</f>
        <v>G575</v>
      </c>
      <c r="M172" t="str">
        <f>'Both teabags AfterWet'!A589</f>
        <v>R368</v>
      </c>
      <c r="N172" t="b">
        <f t="shared" si="52"/>
        <v>0</v>
      </c>
      <c r="O172" t="b">
        <f t="shared" si="53"/>
        <v>0</v>
      </c>
      <c r="P172" t="str">
        <f>IFERROR('Both teabags AfterWet'!B171,"")</f>
        <v>n.a</v>
      </c>
      <c r="Q172">
        <f>'Both teabags AfterWet'!B589</f>
        <v>82</v>
      </c>
      <c r="S172" s="401" t="b">
        <f t="shared" si="54"/>
        <v>0</v>
      </c>
      <c r="T172" s="401" t="b">
        <f t="shared" si="55"/>
        <v>0</v>
      </c>
      <c r="V172" t="str">
        <f>'Both teabags AfterDry'!A171</f>
        <v>G323</v>
      </c>
      <c r="W172" t="str">
        <f>'Both teabags AfterDry'!A508</f>
        <v>R642</v>
      </c>
      <c r="X172" t="b">
        <f t="shared" si="56"/>
        <v>0</v>
      </c>
      <c r="Y172" t="b">
        <f t="shared" si="57"/>
        <v>0</v>
      </c>
      <c r="AA172" t="str">
        <f>'Green_rooibos initial weight'!A173</f>
        <v>G169</v>
      </c>
      <c r="AB172" t="str">
        <f>'Green_rooibos initial weight'!A1077</f>
        <v>R169</v>
      </c>
      <c r="AC172" t="b">
        <f t="shared" si="58"/>
        <v>0</v>
      </c>
      <c r="AD172" t="b">
        <f t="shared" si="59"/>
        <v>0</v>
      </c>
      <c r="AG172" t="str">
        <f>'WetLitterbags placem_collection'!K171</f>
        <v>G425</v>
      </c>
      <c r="AH172" t="str">
        <f>'WetLitterbags placem_collection'!M171</f>
        <v>R453</v>
      </c>
      <c r="AI172" t="b">
        <f t="shared" si="60"/>
        <v>0</v>
      </c>
      <c r="AJ172" t="b">
        <f t="shared" si="61"/>
        <v>0</v>
      </c>
      <c r="AK172">
        <f>'WetLitterbags placem_collection'!A171</f>
        <v>169</v>
      </c>
      <c r="AL172">
        <f>'WetLitterbags placem_collection'!A171</f>
        <v>169</v>
      </c>
      <c r="AN172">
        <f>IF('Dry_Litterbag Placem_Collection'!J171=0,"",'Dry_Litterbag Placem_Collection'!J171)</f>
        <v>250</v>
      </c>
      <c r="AO172">
        <f>IF('Dry_Litterbag Placem_Collection'!K171=0,"",'Dry_Litterbag Placem_Collection'!K171)</f>
        <v>684</v>
      </c>
      <c r="AP172" t="b">
        <f t="shared" si="62"/>
        <v>0</v>
      </c>
      <c r="AQ172" t="b">
        <f t="shared" si="63"/>
        <v>0</v>
      </c>
      <c r="AT172" t="str">
        <f>'Ashed teabags dry'!A170</f>
        <v>G326</v>
      </c>
      <c r="AU172" t="str">
        <f>'Ashed teabags dry'!A507</f>
        <v>R642</v>
      </c>
      <c r="AV172" t="b">
        <f t="shared" si="64"/>
        <v>0</v>
      </c>
      <c r="AW172" t="b">
        <f t="shared" si="65"/>
        <v>0</v>
      </c>
      <c r="AZ172" s="401" t="b">
        <f t="shared" si="66"/>
        <v>0</v>
      </c>
      <c r="BA172" s="401" t="b">
        <f t="shared" si="67"/>
        <v>0</v>
      </c>
      <c r="BC172" t="str">
        <f>'Ashed teabags wet'!A170</f>
        <v>G581</v>
      </c>
      <c r="BD172" t="str">
        <f>'Ashed teabags wet'!A587</f>
        <v>R38</v>
      </c>
      <c r="BE172" t="b">
        <f t="shared" si="68"/>
        <v>0</v>
      </c>
      <c r="BF172" t="b">
        <f t="shared" si="69"/>
        <v>0</v>
      </c>
      <c r="BG172">
        <f>IFERROR('Ashed teabags wet'!C170,"")</f>
        <v>214</v>
      </c>
      <c r="BH172">
        <f>IFERROR('Ashed teabags wet'!C587,"")</f>
        <v>5</v>
      </c>
      <c r="BI172" t="str">
        <f>'Ashed teabags wet'!AB170</f>
        <v/>
      </c>
      <c r="BJ172">
        <f>'Ashed teabags wet'!AC170</f>
        <v>213</v>
      </c>
      <c r="BK172" t="str">
        <f>'Ashed teabags wet'!AD587</f>
        <v/>
      </c>
      <c r="BL172">
        <f>'Ashed teabags wet'!AE587</f>
        <v>4</v>
      </c>
      <c r="BN172" t="str">
        <f t="shared" si="70"/>
        <v>G579</v>
      </c>
      <c r="BO172" t="b">
        <f t="shared" si="71"/>
        <v>1</v>
      </c>
    </row>
    <row r="173" spans="2:68" ht="12" customHeight="1">
      <c r="B173" t="str">
        <f>TBIDry!H245</f>
        <v>G624</v>
      </c>
      <c r="C173" t="str">
        <f>TBIDry!I245</f>
        <v>R694</v>
      </c>
      <c r="D173" t="b">
        <f t="shared" si="48"/>
        <v>0</v>
      </c>
      <c r="E173" t="b">
        <f t="shared" si="49"/>
        <v>0</v>
      </c>
      <c r="G173" t="str">
        <f>TBIWet!H245</f>
        <v>G433</v>
      </c>
      <c r="H173" t="str">
        <f>TBIWet!I245</f>
        <v>R330</v>
      </c>
      <c r="I173" t="b">
        <f t="shared" si="50"/>
        <v>0</v>
      </c>
      <c r="J173" t="b">
        <f t="shared" si="51"/>
        <v>0</v>
      </c>
      <c r="L173" t="str">
        <f>'Both teabags AfterWet'!A172</f>
        <v>G576</v>
      </c>
      <c r="M173" t="str">
        <f>'Both teabags AfterWet'!A590</f>
        <v>R37</v>
      </c>
      <c r="N173" t="b">
        <f t="shared" si="52"/>
        <v>0</v>
      </c>
      <c r="O173" t="b">
        <f t="shared" si="53"/>
        <v>0</v>
      </c>
      <c r="P173">
        <f>IFERROR('Both teabags AfterWet'!B172,"")</f>
        <v>158</v>
      </c>
      <c r="Q173">
        <f>'Both teabags AfterWet'!B590</f>
        <v>114</v>
      </c>
      <c r="S173" s="401" t="b">
        <f t="shared" si="54"/>
        <v>0</v>
      </c>
      <c r="T173" s="401" t="b">
        <f t="shared" si="55"/>
        <v>0</v>
      </c>
      <c r="V173" t="str">
        <f>'Both teabags AfterDry'!A172</f>
        <v>G324</v>
      </c>
      <c r="W173" t="str">
        <f>'Both teabags AfterDry'!A509</f>
        <v>R645</v>
      </c>
      <c r="X173" t="b">
        <f t="shared" si="56"/>
        <v>0</v>
      </c>
      <c r="Y173" t="b">
        <f t="shared" si="57"/>
        <v>0</v>
      </c>
      <c r="AA173" t="str">
        <f>'Green_rooibos initial weight'!A174</f>
        <v>G170</v>
      </c>
      <c r="AB173" t="str">
        <f>'Green_rooibos initial weight'!A1078</f>
        <v>R170</v>
      </c>
      <c r="AC173" t="b">
        <f t="shared" si="58"/>
        <v>0</v>
      </c>
      <c r="AD173" t="b">
        <f t="shared" si="59"/>
        <v>0</v>
      </c>
      <c r="AG173" t="str">
        <f>'WetLitterbags placem_collection'!K172</f>
        <v>G433</v>
      </c>
      <c r="AH173" t="str">
        <f>'WetLitterbags placem_collection'!M172</f>
        <v>R330</v>
      </c>
      <c r="AI173" t="b">
        <f t="shared" si="60"/>
        <v>0</v>
      </c>
      <c r="AJ173" t="b">
        <f t="shared" si="61"/>
        <v>0</v>
      </c>
      <c r="AK173">
        <f>'WetLitterbags placem_collection'!A172</f>
        <v>170</v>
      </c>
      <c r="AL173">
        <f>'WetLitterbags placem_collection'!A172</f>
        <v>170</v>
      </c>
      <c r="AN173">
        <f>IF('Dry_Litterbag Placem_Collection'!J172=0,"",'Dry_Litterbag Placem_Collection'!J172)</f>
        <v>624</v>
      </c>
      <c r="AO173">
        <f>IF('Dry_Litterbag Placem_Collection'!K172=0,"",'Dry_Litterbag Placem_Collection'!K172)</f>
        <v>694</v>
      </c>
      <c r="AP173" t="b">
        <f t="shared" si="62"/>
        <v>0</v>
      </c>
      <c r="AQ173" t="b">
        <f t="shared" si="63"/>
        <v>0</v>
      </c>
      <c r="AT173" t="str">
        <f>'Ashed teabags dry'!A171</f>
        <v>G329</v>
      </c>
      <c r="AU173" t="str">
        <f>'Ashed teabags dry'!A508</f>
        <v>R645</v>
      </c>
      <c r="AV173" t="b">
        <f t="shared" si="64"/>
        <v>0</v>
      </c>
      <c r="AW173" t="b">
        <f t="shared" si="65"/>
        <v>0</v>
      </c>
      <c r="AZ173" s="401" t="b">
        <f t="shared" si="66"/>
        <v>0</v>
      </c>
      <c r="BA173" s="401" t="b">
        <f t="shared" si="67"/>
        <v>0</v>
      </c>
      <c r="BC173" t="str">
        <f>'Ashed teabags wet'!A171</f>
        <v>G582</v>
      </c>
      <c r="BD173" t="str">
        <f>'Ashed teabags wet'!A588</f>
        <v>R380</v>
      </c>
      <c r="BE173" t="b">
        <f t="shared" si="68"/>
        <v>0</v>
      </c>
      <c r="BF173" t="b">
        <f t="shared" si="69"/>
        <v>0</v>
      </c>
      <c r="BG173">
        <f>IFERROR('Ashed teabags wet'!C171,"")</f>
        <v>40</v>
      </c>
      <c r="BH173">
        <f>IFERROR('Ashed teabags wet'!C588,"")</f>
        <v>17</v>
      </c>
      <c r="BI173">
        <f>'Ashed teabags wet'!AB171</f>
        <v>39</v>
      </c>
      <c r="BJ173" t="str">
        <f>'Ashed teabags wet'!AC171</f>
        <v/>
      </c>
      <c r="BK173" t="str">
        <f>'Ashed teabags wet'!AD588</f>
        <v/>
      </c>
      <c r="BL173">
        <f>'Ashed teabags wet'!AE588</f>
        <v>16</v>
      </c>
      <c r="BN173" t="str">
        <f t="shared" si="70"/>
        <v>G581</v>
      </c>
      <c r="BO173" t="b">
        <f t="shared" si="71"/>
        <v>1</v>
      </c>
    </row>
    <row r="174" spans="2:68" ht="12" customHeight="1">
      <c r="B174" t="str">
        <f>TBIDry!H246</f>
        <v>G149</v>
      </c>
      <c r="C174" t="str">
        <f>TBIDry!I246</f>
        <v>R655</v>
      </c>
      <c r="D174" t="b">
        <f t="shared" si="48"/>
        <v>0</v>
      </c>
      <c r="E174" t="b">
        <f t="shared" si="49"/>
        <v>0</v>
      </c>
      <c r="G174" t="str">
        <f>TBIWet!H246</f>
        <v>G656</v>
      </c>
      <c r="H174" t="str">
        <f>TBIWet!I246</f>
        <v>R558</v>
      </c>
      <c r="I174" t="b">
        <f t="shared" si="50"/>
        <v>0</v>
      </c>
      <c r="J174" t="b">
        <f t="shared" si="51"/>
        <v>0</v>
      </c>
      <c r="L174" t="str">
        <f>'Both teabags AfterWet'!A173</f>
        <v>G577</v>
      </c>
      <c r="M174" t="str">
        <f>'Both teabags AfterWet'!A591</f>
        <v>R370</v>
      </c>
      <c r="N174" t="b">
        <f t="shared" si="52"/>
        <v>0</v>
      </c>
      <c r="O174" t="b">
        <f t="shared" si="53"/>
        <v>0</v>
      </c>
      <c r="P174" t="str">
        <f>IFERROR('Both teabags AfterWet'!B173,"")</f>
        <v>n.a</v>
      </c>
      <c r="Q174" t="str">
        <f>'Both teabags AfterWet'!B591</f>
        <v>n.a</v>
      </c>
      <c r="S174" s="401" t="b">
        <f t="shared" si="54"/>
        <v>0</v>
      </c>
      <c r="T174" s="401" t="b">
        <f t="shared" si="55"/>
        <v>0</v>
      </c>
      <c r="V174" t="str">
        <f>'Both teabags AfterDry'!A173</f>
        <v>G326</v>
      </c>
      <c r="W174" t="str">
        <f>'Both teabags AfterDry'!A510</f>
        <v>R646</v>
      </c>
      <c r="X174" t="b">
        <f t="shared" si="56"/>
        <v>0</v>
      </c>
      <c r="Y174" t="b">
        <f t="shared" si="57"/>
        <v>0</v>
      </c>
      <c r="AA174" t="str">
        <f>'Green_rooibos initial weight'!A175</f>
        <v>G171</v>
      </c>
      <c r="AB174" t="str">
        <f>'Green_rooibos initial weight'!A1079</f>
        <v>R171</v>
      </c>
      <c r="AC174" t="b">
        <f t="shared" si="58"/>
        <v>0</v>
      </c>
      <c r="AD174" t="b">
        <f t="shared" si="59"/>
        <v>0</v>
      </c>
      <c r="AG174" t="str">
        <f>'WetLitterbags placem_collection'!K173</f>
        <v>G656</v>
      </c>
      <c r="AH174" t="str">
        <f>'WetLitterbags placem_collection'!M173</f>
        <v>R558</v>
      </c>
      <c r="AI174" t="b">
        <f t="shared" si="60"/>
        <v>0</v>
      </c>
      <c r="AJ174" t="b">
        <f t="shared" si="61"/>
        <v>0</v>
      </c>
      <c r="AK174">
        <f>'WetLitterbags placem_collection'!A173</f>
        <v>171</v>
      </c>
      <c r="AL174">
        <f>'WetLitterbags placem_collection'!A173</f>
        <v>171</v>
      </c>
      <c r="AN174">
        <f>IF('Dry_Litterbag Placem_Collection'!J173=0,"",'Dry_Litterbag Placem_Collection'!J173)</f>
        <v>149</v>
      </c>
      <c r="AO174">
        <f>IF('Dry_Litterbag Placem_Collection'!K173=0,"",'Dry_Litterbag Placem_Collection'!K173)</f>
        <v>655</v>
      </c>
      <c r="AP174" t="b">
        <f t="shared" si="62"/>
        <v>0</v>
      </c>
      <c r="AQ174" t="b">
        <f t="shared" si="63"/>
        <v>0</v>
      </c>
      <c r="AT174" t="str">
        <f>'Ashed teabags dry'!A172</f>
        <v>G331</v>
      </c>
      <c r="AU174" t="str">
        <f>'Ashed teabags dry'!A509</f>
        <v>R646</v>
      </c>
      <c r="AV174" t="b">
        <f t="shared" si="64"/>
        <v>0</v>
      </c>
      <c r="AW174" t="b">
        <f t="shared" si="65"/>
        <v>0</v>
      </c>
      <c r="AZ174" s="401" t="b">
        <f t="shared" si="66"/>
        <v>0</v>
      </c>
      <c r="BA174" s="401" t="b">
        <f t="shared" si="67"/>
        <v>0</v>
      </c>
      <c r="BC174" t="str">
        <f>'Ashed teabags wet'!A172</f>
        <v>G583</v>
      </c>
      <c r="BD174" t="str">
        <f>'Ashed teabags wet'!A589</f>
        <v>R381</v>
      </c>
      <c r="BE174" t="b">
        <f t="shared" si="68"/>
        <v>0</v>
      </c>
      <c r="BF174" t="b">
        <f t="shared" si="69"/>
        <v>0</v>
      </c>
      <c r="BG174">
        <f>IFERROR('Ashed teabags wet'!C172,"")</f>
        <v>27</v>
      </c>
      <c r="BH174">
        <f>IFERROR('Ashed teabags wet'!C589,"")</f>
        <v>211</v>
      </c>
      <c r="BI174">
        <f>'Ashed teabags wet'!AB172</f>
        <v>26</v>
      </c>
      <c r="BJ174" t="str">
        <f>'Ashed teabags wet'!AC172</f>
        <v/>
      </c>
      <c r="BK174">
        <f>'Ashed teabags wet'!AD589</f>
        <v>210</v>
      </c>
      <c r="BL174" t="str">
        <f>'Ashed teabags wet'!AE589</f>
        <v/>
      </c>
      <c r="BN174" t="str">
        <f t="shared" si="70"/>
        <v>G582</v>
      </c>
      <c r="BO174" t="b">
        <f t="shared" si="71"/>
        <v>1</v>
      </c>
      <c r="BP174" s="402"/>
    </row>
    <row r="175" spans="2:68" ht="12" customHeight="1">
      <c r="B175" t="str">
        <f>TBIDry!H247</f>
        <v/>
      </c>
      <c r="C175" t="str">
        <f>TBIDry!I247</f>
        <v/>
      </c>
      <c r="D175" t="b">
        <f t="shared" si="48"/>
        <v>1</v>
      </c>
      <c r="E175" t="b">
        <f t="shared" si="49"/>
        <v>1</v>
      </c>
      <c r="G175" t="str">
        <f>TBIWet!H247</f>
        <v>G281</v>
      </c>
      <c r="H175" t="str">
        <f>TBIWet!I247</f>
        <v>R157</v>
      </c>
      <c r="I175" t="b">
        <f t="shared" si="50"/>
        <v>0</v>
      </c>
      <c r="J175" t="b">
        <f t="shared" si="51"/>
        <v>0</v>
      </c>
      <c r="L175" t="str">
        <f>'Both teabags AfterWet'!A174</f>
        <v>G579</v>
      </c>
      <c r="M175" t="str">
        <f>'Both teabags AfterWet'!A592</f>
        <v>R371</v>
      </c>
      <c r="N175" t="b">
        <f t="shared" si="52"/>
        <v>0</v>
      </c>
      <c r="O175" t="b">
        <f t="shared" si="53"/>
        <v>0</v>
      </c>
      <c r="P175">
        <f>IFERROR('Both teabags AfterWet'!B174,"")</f>
        <v>74</v>
      </c>
      <c r="Q175">
        <f>'Both teabags AfterWet'!B592</f>
        <v>42</v>
      </c>
      <c r="S175" s="401" t="b">
        <f t="shared" si="54"/>
        <v>0</v>
      </c>
      <c r="T175" s="401" t="b">
        <f t="shared" si="55"/>
        <v>0</v>
      </c>
      <c r="V175" t="str">
        <f>'Both teabags AfterDry'!A174</f>
        <v>G329</v>
      </c>
      <c r="W175" t="str">
        <f>'Both teabags AfterDry'!A511</f>
        <v>R647</v>
      </c>
      <c r="X175" t="b">
        <f t="shared" si="56"/>
        <v>0</v>
      </c>
      <c r="Y175" t="b">
        <f t="shared" si="57"/>
        <v>0</v>
      </c>
      <c r="AA175" t="str">
        <f>'Green_rooibos initial weight'!A176</f>
        <v>G172</v>
      </c>
      <c r="AB175" t="str">
        <f>'Green_rooibos initial weight'!A1080</f>
        <v>R172</v>
      </c>
      <c r="AC175" t="b">
        <f t="shared" si="58"/>
        <v>0</v>
      </c>
      <c r="AD175" t="b">
        <f t="shared" si="59"/>
        <v>0</v>
      </c>
      <c r="AG175" t="str">
        <f>'WetLitterbags placem_collection'!K174</f>
        <v>G281</v>
      </c>
      <c r="AH175" t="str">
        <f>'WetLitterbags placem_collection'!M174</f>
        <v>R157</v>
      </c>
      <c r="AI175" t="b">
        <f t="shared" si="60"/>
        <v>0</v>
      </c>
      <c r="AJ175" t="b">
        <f t="shared" si="61"/>
        <v>0</v>
      </c>
      <c r="AK175">
        <f>'WetLitterbags placem_collection'!A174</f>
        <v>172</v>
      </c>
      <c r="AL175">
        <f>'WetLitterbags placem_collection'!A174</f>
        <v>172</v>
      </c>
      <c r="AN175" t="str">
        <f>IF('Dry_Litterbag Placem_Collection'!J174=0,"",'Dry_Litterbag Placem_Collection'!J174)</f>
        <v/>
      </c>
      <c r="AO175" t="str">
        <f>IF('Dry_Litterbag Placem_Collection'!K174=0,"",'Dry_Litterbag Placem_Collection'!K174)</f>
        <v/>
      </c>
      <c r="AP175" t="b">
        <f t="shared" si="62"/>
        <v>1</v>
      </c>
      <c r="AQ175" t="b">
        <f t="shared" si="63"/>
        <v>1</v>
      </c>
      <c r="AT175" t="str">
        <f>'Ashed teabags dry'!A173</f>
        <v>G332</v>
      </c>
      <c r="AU175" t="str">
        <f>'Ashed teabags dry'!A510</f>
        <v>R647</v>
      </c>
      <c r="AV175" t="b">
        <f t="shared" si="64"/>
        <v>0</v>
      </c>
      <c r="AW175" t="b">
        <f t="shared" si="65"/>
        <v>0</v>
      </c>
      <c r="AZ175" s="401" t="b">
        <f t="shared" si="66"/>
        <v>0</v>
      </c>
      <c r="BA175" s="401" t="b">
        <f t="shared" si="67"/>
        <v>0</v>
      </c>
      <c r="BC175" t="str">
        <f>'Ashed teabags wet'!A173</f>
        <v>G584</v>
      </c>
      <c r="BD175" t="str">
        <f>'Ashed teabags wet'!A590</f>
        <v>R382</v>
      </c>
      <c r="BE175" t="b">
        <f t="shared" si="68"/>
        <v>0</v>
      </c>
      <c r="BF175" t="b">
        <f t="shared" si="69"/>
        <v>0</v>
      </c>
      <c r="BG175">
        <f>IFERROR('Ashed teabags wet'!C173,"")</f>
        <v>193</v>
      </c>
      <c r="BH175">
        <f>IFERROR('Ashed teabags wet'!C590,"")</f>
        <v>14</v>
      </c>
      <c r="BI175" t="str">
        <f>'Ashed teabags wet'!AB173</f>
        <v/>
      </c>
      <c r="BJ175">
        <f>'Ashed teabags wet'!AC173</f>
        <v>192</v>
      </c>
      <c r="BK175">
        <f>'Ashed teabags wet'!AD590</f>
        <v>13</v>
      </c>
      <c r="BL175" t="str">
        <f>'Ashed teabags wet'!AE590</f>
        <v/>
      </c>
      <c r="BN175" t="str">
        <f t="shared" si="70"/>
        <v>G583</v>
      </c>
      <c r="BO175" t="b">
        <f t="shared" si="71"/>
        <v>1</v>
      </c>
    </row>
    <row r="176" spans="2:68" ht="12" customHeight="1">
      <c r="B176" t="str">
        <f>TBIDry!H248</f>
        <v>G597</v>
      </c>
      <c r="C176" t="str">
        <f>TBIDry!I248</f>
        <v>R405</v>
      </c>
      <c r="D176" t="b">
        <f t="shared" si="48"/>
        <v>0</v>
      </c>
      <c r="E176" t="b">
        <f t="shared" si="49"/>
        <v>0</v>
      </c>
      <c r="G176" t="str">
        <f>TBIWet!H248</f>
        <v>G216</v>
      </c>
      <c r="H176" t="str">
        <f>TBIWet!I248</f>
        <v>R57</v>
      </c>
      <c r="I176" t="b">
        <f t="shared" si="50"/>
        <v>0</v>
      </c>
      <c r="J176" t="b">
        <f t="shared" si="51"/>
        <v>0</v>
      </c>
      <c r="L176" t="str">
        <f>'Both teabags AfterWet'!A175</f>
        <v>G581</v>
      </c>
      <c r="M176" t="str">
        <f>'Both teabags AfterWet'!A593</f>
        <v>R372</v>
      </c>
      <c r="N176" t="b">
        <f t="shared" si="52"/>
        <v>0</v>
      </c>
      <c r="O176" t="b">
        <f t="shared" si="53"/>
        <v>0</v>
      </c>
      <c r="P176">
        <f>IFERROR('Both teabags AfterWet'!B175,"")</f>
        <v>214</v>
      </c>
      <c r="Q176" t="str">
        <f>'Both teabags AfterWet'!B593</f>
        <v>n.a</v>
      </c>
      <c r="S176" s="401" t="b">
        <f t="shared" si="54"/>
        <v>0</v>
      </c>
      <c r="T176" s="401" t="b">
        <f t="shared" si="55"/>
        <v>0</v>
      </c>
      <c r="V176" t="str">
        <f>'Both teabags AfterDry'!A175</f>
        <v>G331</v>
      </c>
      <c r="W176" t="str">
        <f>'Both teabags AfterDry'!A512</f>
        <v>R648</v>
      </c>
      <c r="X176" t="b">
        <f t="shared" si="56"/>
        <v>0</v>
      </c>
      <c r="Y176" t="b">
        <f t="shared" si="57"/>
        <v>0</v>
      </c>
      <c r="AA176" t="str">
        <f>'Green_rooibos initial weight'!A177</f>
        <v>G173</v>
      </c>
      <c r="AB176" t="str">
        <f>'Green_rooibos initial weight'!A1081</f>
        <v>R173</v>
      </c>
      <c r="AC176" t="b">
        <f t="shared" si="58"/>
        <v>0</v>
      </c>
      <c r="AD176" t="b">
        <f t="shared" si="59"/>
        <v>0</v>
      </c>
      <c r="AG176" t="str">
        <f>'WetLitterbags placem_collection'!K175</f>
        <v>G216</v>
      </c>
      <c r="AH176" t="str">
        <f>'WetLitterbags placem_collection'!M175</f>
        <v>R57</v>
      </c>
      <c r="AI176" t="b">
        <f t="shared" si="60"/>
        <v>0</v>
      </c>
      <c r="AJ176" t="b">
        <f t="shared" si="61"/>
        <v>0</v>
      </c>
      <c r="AK176">
        <f>'WetLitterbags placem_collection'!A175</f>
        <v>173</v>
      </c>
      <c r="AL176">
        <f>'WetLitterbags placem_collection'!A175</f>
        <v>173</v>
      </c>
      <c r="AN176">
        <f>IF('Dry_Litterbag Placem_Collection'!J175=0,"",'Dry_Litterbag Placem_Collection'!J175)</f>
        <v>597</v>
      </c>
      <c r="AO176">
        <f>IF('Dry_Litterbag Placem_Collection'!K175=0,"",'Dry_Litterbag Placem_Collection'!K175)</f>
        <v>405</v>
      </c>
      <c r="AP176" t="b">
        <f t="shared" si="62"/>
        <v>0</v>
      </c>
      <c r="AQ176" t="b">
        <f t="shared" si="63"/>
        <v>0</v>
      </c>
      <c r="AT176" t="str">
        <f>'Ashed teabags dry'!A174</f>
        <v>G335</v>
      </c>
      <c r="AU176" t="str">
        <f>'Ashed teabags dry'!A511</f>
        <v>R648</v>
      </c>
      <c r="AV176" t="b">
        <f t="shared" si="64"/>
        <v>0</v>
      </c>
      <c r="AW176" t="b">
        <f t="shared" si="65"/>
        <v>0</v>
      </c>
      <c r="AZ176" s="401" t="b">
        <f t="shared" si="66"/>
        <v>0</v>
      </c>
      <c r="BA176" s="401" t="b">
        <f t="shared" si="67"/>
        <v>0</v>
      </c>
      <c r="BC176" t="str">
        <f>'Ashed teabags wet'!A174</f>
        <v>G585</v>
      </c>
      <c r="BD176" t="str">
        <f>'Ashed teabags wet'!A591</f>
        <v>R383</v>
      </c>
      <c r="BE176" t="b">
        <f t="shared" si="68"/>
        <v>0</v>
      </c>
      <c r="BF176" t="b">
        <f t="shared" si="69"/>
        <v>0</v>
      </c>
      <c r="BG176">
        <f>IFERROR('Ashed teabags wet'!C174,"")</f>
        <v>183</v>
      </c>
      <c r="BH176">
        <f>IFERROR('Ashed teabags wet'!C591,"")</f>
        <v>214</v>
      </c>
      <c r="BI176">
        <f>'Ashed teabags wet'!AB174</f>
        <v>182</v>
      </c>
      <c r="BJ176" t="str">
        <f>'Ashed teabags wet'!AC174</f>
        <v/>
      </c>
      <c r="BK176">
        <f>'Ashed teabags wet'!AD591</f>
        <v>213</v>
      </c>
      <c r="BL176" t="str">
        <f>'Ashed teabags wet'!AE591</f>
        <v/>
      </c>
      <c r="BN176" t="str">
        <f t="shared" si="70"/>
        <v>G584</v>
      </c>
      <c r="BO176" t="b">
        <f t="shared" si="71"/>
        <v>1</v>
      </c>
    </row>
    <row r="177" spans="2:67" ht="12" customHeight="1">
      <c r="B177" t="str">
        <f>TBIDry!H249</f>
        <v>G396</v>
      </c>
      <c r="C177" t="str">
        <f>TBIDry!I249</f>
        <v>R736</v>
      </c>
      <c r="D177" t="b">
        <f t="shared" si="48"/>
        <v>0</v>
      </c>
      <c r="E177" t="b">
        <f t="shared" si="49"/>
        <v>0</v>
      </c>
      <c r="G177" t="str">
        <f>TBIWet!H249</f>
        <v>G655</v>
      </c>
      <c r="H177" t="str">
        <f>TBIWet!I249</f>
        <v>R307</v>
      </c>
      <c r="I177" t="b">
        <f t="shared" si="50"/>
        <v>0</v>
      </c>
      <c r="J177" t="b">
        <f t="shared" si="51"/>
        <v>0</v>
      </c>
      <c r="L177" t="str">
        <f>'Both teabags AfterWet'!A176</f>
        <v>G582</v>
      </c>
      <c r="M177" t="str">
        <f>'Both teabags AfterWet'!A594</f>
        <v>R375</v>
      </c>
      <c r="N177" t="b">
        <f t="shared" si="52"/>
        <v>0</v>
      </c>
      <c r="O177" t="b">
        <f t="shared" si="53"/>
        <v>0</v>
      </c>
      <c r="P177">
        <f>IFERROR('Both teabags AfterWet'!B176,"")</f>
        <v>40</v>
      </c>
      <c r="Q177" t="str">
        <f>'Both teabags AfterWet'!B594</f>
        <v>n.a</v>
      </c>
      <c r="S177" s="401" t="b">
        <f t="shared" si="54"/>
        <v>0</v>
      </c>
      <c r="T177" s="401" t="b">
        <f t="shared" si="55"/>
        <v>0</v>
      </c>
      <c r="V177" t="str">
        <f>'Both teabags AfterDry'!A176</f>
        <v>G332</v>
      </c>
      <c r="W177" t="str">
        <f>'Both teabags AfterDry'!A513</f>
        <v>R649</v>
      </c>
      <c r="X177" t="b">
        <f t="shared" si="56"/>
        <v>0</v>
      </c>
      <c r="Y177" t="b">
        <f t="shared" si="57"/>
        <v>0</v>
      </c>
      <c r="AA177" t="str">
        <f>'Green_rooibos initial weight'!A178</f>
        <v>G174</v>
      </c>
      <c r="AB177" t="str">
        <f>'Green_rooibos initial weight'!A1082</f>
        <v>R174</v>
      </c>
      <c r="AC177" t="b">
        <f t="shared" si="58"/>
        <v>0</v>
      </c>
      <c r="AD177" t="b">
        <f t="shared" si="59"/>
        <v>0</v>
      </c>
      <c r="AG177" t="str">
        <f>'WetLitterbags placem_collection'!K176</f>
        <v>G655</v>
      </c>
      <c r="AH177" t="str">
        <f>'WetLitterbags placem_collection'!M176</f>
        <v>R307</v>
      </c>
      <c r="AI177" t="b">
        <f t="shared" si="60"/>
        <v>0</v>
      </c>
      <c r="AJ177" t="b">
        <f t="shared" si="61"/>
        <v>0</v>
      </c>
      <c r="AK177">
        <f>'WetLitterbags placem_collection'!A176</f>
        <v>174</v>
      </c>
      <c r="AL177">
        <f>'WetLitterbags placem_collection'!A176</f>
        <v>174</v>
      </c>
      <c r="AN177">
        <f>IF('Dry_Litterbag Placem_Collection'!J176=0,"",'Dry_Litterbag Placem_Collection'!J176)</f>
        <v>396</v>
      </c>
      <c r="AO177">
        <f>IF('Dry_Litterbag Placem_Collection'!K176=0,"",'Dry_Litterbag Placem_Collection'!K176)</f>
        <v>736</v>
      </c>
      <c r="AP177" t="b">
        <f t="shared" si="62"/>
        <v>0</v>
      </c>
      <c r="AQ177" t="b">
        <f t="shared" si="63"/>
        <v>0</v>
      </c>
      <c r="AT177" t="str">
        <f>'Ashed teabags dry'!A175</f>
        <v>G336</v>
      </c>
      <c r="AU177" t="str">
        <f>'Ashed teabags dry'!A512</f>
        <v>R649</v>
      </c>
      <c r="AV177" t="b">
        <f t="shared" si="64"/>
        <v>0</v>
      </c>
      <c r="AW177" t="b">
        <f t="shared" si="65"/>
        <v>0</v>
      </c>
      <c r="AZ177" s="401" t="b">
        <f t="shared" si="66"/>
        <v>0</v>
      </c>
      <c r="BA177" s="401" t="b">
        <f t="shared" si="67"/>
        <v>0</v>
      </c>
      <c r="BC177" t="str">
        <f>'Ashed teabags wet'!A175</f>
        <v>G587</v>
      </c>
      <c r="BD177" t="str">
        <f>'Ashed teabags wet'!A592</f>
        <v>R384</v>
      </c>
      <c r="BE177" t="b">
        <f t="shared" si="68"/>
        <v>0</v>
      </c>
      <c r="BF177" t="b">
        <f t="shared" si="69"/>
        <v>0</v>
      </c>
      <c r="BG177">
        <f>IFERROR('Ashed teabags wet'!C175,"")</f>
        <v>218</v>
      </c>
      <c r="BH177">
        <f>IFERROR('Ashed teabags wet'!C592,"")</f>
        <v>174</v>
      </c>
      <c r="BI177" t="str">
        <f>'Ashed teabags wet'!AB175</f>
        <v/>
      </c>
      <c r="BJ177">
        <f>'Ashed teabags wet'!AC175</f>
        <v>217</v>
      </c>
      <c r="BK177" t="str">
        <f>'Ashed teabags wet'!AD592</f>
        <v/>
      </c>
      <c r="BL177">
        <f>'Ashed teabags wet'!AE592</f>
        <v>173</v>
      </c>
      <c r="BN177" t="str">
        <f t="shared" si="70"/>
        <v>G585</v>
      </c>
      <c r="BO177" t="b">
        <f t="shared" si="71"/>
        <v>1</v>
      </c>
    </row>
    <row r="178" spans="2:67" ht="12" customHeight="1">
      <c r="B178" t="str">
        <f>TBIDry!H250</f>
        <v>G612</v>
      </c>
      <c r="C178" t="str">
        <f>TBIDry!I250</f>
        <v>R338</v>
      </c>
      <c r="D178" t="b">
        <f t="shared" si="48"/>
        <v>0</v>
      </c>
      <c r="E178" t="b">
        <f t="shared" si="49"/>
        <v>0</v>
      </c>
      <c r="G178" t="str">
        <f>TBIWet!H250</f>
        <v>G457</v>
      </c>
      <c r="H178" t="str">
        <f>TBIWet!I250</f>
        <v>R458</v>
      </c>
      <c r="I178" t="b">
        <f t="shared" si="50"/>
        <v>0</v>
      </c>
      <c r="J178" t="b">
        <f t="shared" si="51"/>
        <v>0</v>
      </c>
      <c r="L178" t="str">
        <f>'Both teabags AfterWet'!A177</f>
        <v>G583</v>
      </c>
      <c r="M178" t="str">
        <f>'Both teabags AfterWet'!A595</f>
        <v>R376</v>
      </c>
      <c r="N178" t="b">
        <f t="shared" si="52"/>
        <v>0</v>
      </c>
      <c r="O178" t="b">
        <f t="shared" si="53"/>
        <v>0</v>
      </c>
      <c r="P178" t="str">
        <f>IFERROR('Both teabags AfterWet'!B177,"")</f>
        <v>n.a</v>
      </c>
      <c r="Q178">
        <f>'Both teabags AfterWet'!B595</f>
        <v>43</v>
      </c>
      <c r="S178" s="401" t="b">
        <f t="shared" si="54"/>
        <v>0</v>
      </c>
      <c r="T178" s="401" t="b">
        <f t="shared" si="55"/>
        <v>0</v>
      </c>
      <c r="V178" t="str">
        <f>'Both teabags AfterDry'!A177</f>
        <v>G335</v>
      </c>
      <c r="W178" t="str">
        <f>'Both teabags AfterDry'!A514</f>
        <v>R650</v>
      </c>
      <c r="X178" t="b">
        <f t="shared" si="56"/>
        <v>0</v>
      </c>
      <c r="Y178" t="b">
        <f t="shared" si="57"/>
        <v>0</v>
      </c>
      <c r="AA178" t="str">
        <f>'Green_rooibos initial weight'!A179</f>
        <v>G175</v>
      </c>
      <c r="AB178" t="str">
        <f>'Green_rooibos initial weight'!A1083</f>
        <v>R175</v>
      </c>
      <c r="AC178" t="b">
        <f t="shared" si="58"/>
        <v>0</v>
      </c>
      <c r="AD178" t="b">
        <f t="shared" si="59"/>
        <v>0</v>
      </c>
      <c r="AG178" t="str">
        <f>'WetLitterbags placem_collection'!K177</f>
        <v>G457</v>
      </c>
      <c r="AH178" t="str">
        <f>'WetLitterbags placem_collection'!M177</f>
        <v>R458</v>
      </c>
      <c r="AI178" t="b">
        <f t="shared" si="60"/>
        <v>0</v>
      </c>
      <c r="AJ178" t="b">
        <f t="shared" si="61"/>
        <v>0</v>
      </c>
      <c r="AK178">
        <f>'WetLitterbags placem_collection'!A177</f>
        <v>175</v>
      </c>
      <c r="AL178">
        <f>'WetLitterbags placem_collection'!A177</f>
        <v>175</v>
      </c>
      <c r="AN178">
        <f>IF('Dry_Litterbag Placem_Collection'!J177=0,"",'Dry_Litterbag Placem_Collection'!J177)</f>
        <v>612</v>
      </c>
      <c r="AO178">
        <f>IF('Dry_Litterbag Placem_Collection'!K177=0,"",'Dry_Litterbag Placem_Collection'!K177)</f>
        <v>338</v>
      </c>
      <c r="AP178" t="b">
        <f t="shared" si="62"/>
        <v>0</v>
      </c>
      <c r="AQ178" t="b">
        <f t="shared" si="63"/>
        <v>0</v>
      </c>
      <c r="AT178" t="str">
        <f>'Ashed teabags dry'!A176</f>
        <v>G338</v>
      </c>
      <c r="AU178" t="str">
        <f>'Ashed teabags dry'!A513</f>
        <v>R650</v>
      </c>
      <c r="AV178" t="b">
        <f t="shared" si="64"/>
        <v>0</v>
      </c>
      <c r="AW178" t="b">
        <f t="shared" si="65"/>
        <v>0</v>
      </c>
      <c r="AZ178" s="401" t="b">
        <f t="shared" si="66"/>
        <v>0</v>
      </c>
      <c r="BA178" s="401" t="b">
        <f t="shared" si="67"/>
        <v>0</v>
      </c>
      <c r="BC178" t="str">
        <f>'Ashed teabags wet'!A176</f>
        <v>G591</v>
      </c>
      <c r="BD178" t="str">
        <f>'Ashed teabags wet'!A593</f>
        <v>R386</v>
      </c>
      <c r="BE178" t="b">
        <f t="shared" si="68"/>
        <v>0</v>
      </c>
      <c r="BF178" t="b">
        <f t="shared" si="69"/>
        <v>0</v>
      </c>
      <c r="BG178">
        <f>IFERROR('Ashed teabags wet'!C176,"")</f>
        <v>192</v>
      </c>
      <c r="BH178">
        <f>IFERROR('Ashed teabags wet'!C593,"")</f>
        <v>29</v>
      </c>
      <c r="BI178">
        <f>'Ashed teabags wet'!AB176</f>
        <v>191</v>
      </c>
      <c r="BJ178" t="str">
        <f>'Ashed teabags wet'!AC176</f>
        <v/>
      </c>
      <c r="BK178">
        <f>'Ashed teabags wet'!AD593</f>
        <v>28</v>
      </c>
      <c r="BL178" t="str">
        <f>'Ashed teabags wet'!AE593</f>
        <v/>
      </c>
      <c r="BN178" t="str">
        <f t="shared" si="70"/>
        <v>G587</v>
      </c>
      <c r="BO178" t="b">
        <f t="shared" si="71"/>
        <v>1</v>
      </c>
    </row>
    <row r="179" spans="2:67" ht="12" customHeight="1">
      <c r="B179" t="str">
        <f>TBIDry!H251</f>
        <v>G183</v>
      </c>
      <c r="C179" t="str">
        <f>TBIDry!I251</f>
        <v>R52</v>
      </c>
      <c r="D179" t="b">
        <f t="shared" si="48"/>
        <v>0</v>
      </c>
      <c r="E179" t="b">
        <f t="shared" si="49"/>
        <v>0</v>
      </c>
      <c r="G179" t="str">
        <f>TBIWet!H251</f>
        <v>G454</v>
      </c>
      <c r="H179" t="str">
        <f>TBIWet!I251</f>
        <v>R326</v>
      </c>
      <c r="I179" t="b">
        <f t="shared" si="50"/>
        <v>0</v>
      </c>
      <c r="J179" t="b">
        <f t="shared" si="51"/>
        <v>0</v>
      </c>
      <c r="L179" t="str">
        <f>'Both teabags AfterWet'!A178</f>
        <v>G584</v>
      </c>
      <c r="M179" t="str">
        <f>'Both teabags AfterWet'!A596</f>
        <v>R378</v>
      </c>
      <c r="N179" t="b">
        <f t="shared" si="52"/>
        <v>0</v>
      </c>
      <c r="O179" t="b">
        <f t="shared" si="53"/>
        <v>0</v>
      </c>
      <c r="P179" t="str">
        <f>IFERROR('Both teabags AfterWet'!B178,"")</f>
        <v>n.a</v>
      </c>
      <c r="Q179">
        <f>'Both teabags AfterWet'!B596</f>
        <v>195</v>
      </c>
      <c r="S179" s="401" t="b">
        <f t="shared" si="54"/>
        <v>0</v>
      </c>
      <c r="T179" s="401" t="b">
        <f t="shared" si="55"/>
        <v>0</v>
      </c>
      <c r="V179" t="str">
        <f>'Both teabags AfterDry'!A178</f>
        <v>G336</v>
      </c>
      <c r="W179" t="str">
        <f>'Both teabags AfterDry'!A515</f>
        <v>R651</v>
      </c>
      <c r="X179" t="b">
        <f t="shared" si="56"/>
        <v>0</v>
      </c>
      <c r="Y179" t="b">
        <f t="shared" si="57"/>
        <v>0</v>
      </c>
      <c r="AA179" t="str">
        <f>'Green_rooibos initial weight'!A180</f>
        <v>G176</v>
      </c>
      <c r="AB179" t="str">
        <f>'Green_rooibos initial weight'!A1084</f>
        <v>R176</v>
      </c>
      <c r="AC179" t="b">
        <f t="shared" si="58"/>
        <v>0</v>
      </c>
      <c r="AD179" t="b">
        <f t="shared" si="59"/>
        <v>0</v>
      </c>
      <c r="AG179" t="str">
        <f>'WetLitterbags placem_collection'!K178</f>
        <v>G454</v>
      </c>
      <c r="AH179" t="str">
        <f>'WetLitterbags placem_collection'!M178</f>
        <v>R326</v>
      </c>
      <c r="AI179" t="b">
        <f t="shared" si="60"/>
        <v>0</v>
      </c>
      <c r="AJ179" t="b">
        <f t="shared" si="61"/>
        <v>0</v>
      </c>
      <c r="AK179">
        <f>'WetLitterbags placem_collection'!A178</f>
        <v>176</v>
      </c>
      <c r="AL179">
        <f>'WetLitterbags placem_collection'!A178</f>
        <v>176</v>
      </c>
      <c r="AN179">
        <f>IF('Dry_Litterbag Placem_Collection'!J178=0,"",'Dry_Litterbag Placem_Collection'!J178)</f>
        <v>183</v>
      </c>
      <c r="AO179">
        <f>IF('Dry_Litterbag Placem_Collection'!K178=0,"",'Dry_Litterbag Placem_Collection'!K178)</f>
        <v>52</v>
      </c>
      <c r="AP179" t="b">
        <f t="shared" si="62"/>
        <v>0</v>
      </c>
      <c r="AQ179" t="b">
        <f t="shared" si="63"/>
        <v>0</v>
      </c>
      <c r="AT179" t="str">
        <f>'Ashed teabags dry'!A177</f>
        <v>G34</v>
      </c>
      <c r="AU179" t="str">
        <f>'Ashed teabags dry'!A514</f>
        <v>R651</v>
      </c>
      <c r="AV179" t="b">
        <f t="shared" si="64"/>
        <v>0</v>
      </c>
      <c r="AW179" t="b">
        <f t="shared" si="65"/>
        <v>0</v>
      </c>
      <c r="AZ179" s="401" t="b">
        <f t="shared" si="66"/>
        <v>0</v>
      </c>
      <c r="BA179" s="401" t="b">
        <f t="shared" si="67"/>
        <v>0</v>
      </c>
      <c r="BC179" t="str">
        <f>'Ashed teabags wet'!A177</f>
        <v>G592</v>
      </c>
      <c r="BD179" t="str">
        <f>'Ashed teabags wet'!A594</f>
        <v>R387</v>
      </c>
      <c r="BE179" t="b">
        <f t="shared" si="68"/>
        <v>0</v>
      </c>
      <c r="BF179" t="b">
        <f t="shared" si="69"/>
        <v>0</v>
      </c>
      <c r="BG179">
        <f>IFERROR('Ashed teabags wet'!C177,"")</f>
        <v>90</v>
      </c>
      <c r="BH179">
        <f>IFERROR('Ashed teabags wet'!C594,"")</f>
        <v>191</v>
      </c>
      <c r="BI179">
        <f>'Ashed teabags wet'!AB177</f>
        <v>89</v>
      </c>
      <c r="BJ179" t="str">
        <f>'Ashed teabags wet'!AC177</f>
        <v/>
      </c>
      <c r="BK179" t="str">
        <f>'Ashed teabags wet'!AD594</f>
        <v/>
      </c>
      <c r="BL179">
        <f>'Ashed teabags wet'!AE594</f>
        <v>190</v>
      </c>
      <c r="BN179" t="str">
        <f t="shared" si="70"/>
        <v>G591</v>
      </c>
      <c r="BO179" t="b">
        <f t="shared" si="71"/>
        <v>1</v>
      </c>
    </row>
    <row r="180" spans="2:67" ht="12" customHeight="1">
      <c r="B180" t="str">
        <f>TBIDry!H252</f>
        <v>G98</v>
      </c>
      <c r="C180" t="str">
        <f>TBIDry!I252</f>
        <v>R750</v>
      </c>
      <c r="D180" t="b">
        <f t="shared" si="48"/>
        <v>0</v>
      </c>
      <c r="E180" t="b">
        <f t="shared" si="49"/>
        <v>0</v>
      </c>
      <c r="G180" t="str">
        <f>TBIWet!H252</f>
        <v>G362</v>
      </c>
      <c r="H180" t="str">
        <f>TBIWet!I252</f>
        <v>R262</v>
      </c>
      <c r="I180" t="b">
        <f t="shared" si="50"/>
        <v>0</v>
      </c>
      <c r="J180" t="b">
        <f t="shared" si="51"/>
        <v>0</v>
      </c>
      <c r="L180" t="str">
        <f>'Both teabags AfterWet'!A179</f>
        <v>G585</v>
      </c>
      <c r="M180" t="str">
        <f>'Both teabags AfterWet'!A597</f>
        <v>R38</v>
      </c>
      <c r="N180" t="b">
        <f t="shared" si="52"/>
        <v>0</v>
      </c>
      <c r="O180" t="b">
        <f t="shared" si="53"/>
        <v>0</v>
      </c>
      <c r="P180">
        <f>IFERROR('Both teabags AfterWet'!B179,"")</f>
        <v>183</v>
      </c>
      <c r="Q180" t="str">
        <f>'Both teabags AfterWet'!B597</f>
        <v>n.a</v>
      </c>
      <c r="S180" s="401" t="b">
        <f t="shared" si="54"/>
        <v>0</v>
      </c>
      <c r="T180" s="401" t="b">
        <f t="shared" si="55"/>
        <v>0</v>
      </c>
      <c r="V180" t="str">
        <f>'Both teabags AfterDry'!A179</f>
        <v>G338</v>
      </c>
      <c r="W180" t="str">
        <f>'Both teabags AfterDry'!A516</f>
        <v>R652</v>
      </c>
      <c r="X180" t="b">
        <f t="shared" si="56"/>
        <v>0</v>
      </c>
      <c r="Y180" t="b">
        <f t="shared" si="57"/>
        <v>0</v>
      </c>
      <c r="AA180" t="str">
        <f>'Green_rooibos initial weight'!A181</f>
        <v>G177</v>
      </c>
      <c r="AB180" t="str">
        <f>'Green_rooibos initial weight'!A1085</f>
        <v>R177</v>
      </c>
      <c r="AC180" t="b">
        <f t="shared" si="58"/>
        <v>0</v>
      </c>
      <c r="AD180" t="b">
        <f t="shared" si="59"/>
        <v>0</v>
      </c>
      <c r="AG180" t="str">
        <f>'WetLitterbags placem_collection'!K179</f>
        <v>G362</v>
      </c>
      <c r="AH180" t="str">
        <f>'WetLitterbags placem_collection'!M179</f>
        <v>R262</v>
      </c>
      <c r="AI180" t="b">
        <f t="shared" si="60"/>
        <v>0</v>
      </c>
      <c r="AJ180" t="b">
        <f t="shared" si="61"/>
        <v>0</v>
      </c>
      <c r="AK180">
        <f>'WetLitterbags placem_collection'!A179</f>
        <v>177</v>
      </c>
      <c r="AL180">
        <f>'WetLitterbags placem_collection'!A179</f>
        <v>177</v>
      </c>
      <c r="AN180">
        <f>IF('Dry_Litterbag Placem_Collection'!J179=0,"",'Dry_Litterbag Placem_Collection'!J179)</f>
        <v>98</v>
      </c>
      <c r="AO180">
        <f>IF('Dry_Litterbag Placem_Collection'!K179=0,"",'Dry_Litterbag Placem_Collection'!K179)</f>
        <v>750</v>
      </c>
      <c r="AP180" t="b">
        <f t="shared" si="62"/>
        <v>0</v>
      </c>
      <c r="AQ180" t="b">
        <f t="shared" si="63"/>
        <v>0</v>
      </c>
      <c r="AT180" t="str">
        <f>'Ashed teabags dry'!A178</f>
        <v>G341</v>
      </c>
      <c r="AU180" t="str">
        <f>'Ashed teabags dry'!A515</f>
        <v>R652</v>
      </c>
      <c r="AV180" t="b">
        <f t="shared" si="64"/>
        <v>0</v>
      </c>
      <c r="AW180" t="b">
        <f t="shared" si="65"/>
        <v>0</v>
      </c>
      <c r="AZ180" s="401" t="b">
        <f t="shared" si="66"/>
        <v>0</v>
      </c>
      <c r="BA180" s="401" t="b">
        <f t="shared" si="67"/>
        <v>0</v>
      </c>
      <c r="BC180" t="str">
        <f>'Ashed teabags wet'!A178</f>
        <v>G593</v>
      </c>
      <c r="BD180" t="str">
        <f>'Ashed teabags wet'!A595</f>
        <v>R39</v>
      </c>
      <c r="BE180" t="b">
        <f t="shared" si="68"/>
        <v>0</v>
      </c>
      <c r="BF180" t="b">
        <f t="shared" si="69"/>
        <v>0</v>
      </c>
      <c r="BG180">
        <f>IFERROR('Ashed teabags wet'!C178,"")</f>
        <v>58</v>
      </c>
      <c r="BH180">
        <f>IFERROR('Ashed teabags wet'!C595,"")</f>
        <v>124</v>
      </c>
      <c r="BI180" t="str">
        <f>'Ashed teabags wet'!AB178</f>
        <v/>
      </c>
      <c r="BJ180">
        <f>'Ashed teabags wet'!AC178</f>
        <v>57</v>
      </c>
      <c r="BK180">
        <f>'Ashed teabags wet'!AD595</f>
        <v>123</v>
      </c>
      <c r="BL180" t="str">
        <f>'Ashed teabags wet'!AE595</f>
        <v/>
      </c>
      <c r="BN180" t="str">
        <f t="shared" si="70"/>
        <v>G592</v>
      </c>
      <c r="BO180" t="b">
        <f t="shared" si="71"/>
        <v>1</v>
      </c>
    </row>
    <row r="181" spans="2:67" ht="12" customHeight="1">
      <c r="B181" t="str">
        <f>TBIDry!H253</f>
        <v>G353</v>
      </c>
      <c r="C181" t="str">
        <f>TBIDry!I253</f>
        <v>R612</v>
      </c>
      <c r="D181" t="b">
        <f t="shared" si="48"/>
        <v>0</v>
      </c>
      <c r="E181" t="b">
        <f t="shared" si="49"/>
        <v>0</v>
      </c>
      <c r="G181" t="str">
        <f>TBIWet!H253</f>
        <v>G781</v>
      </c>
      <c r="H181" t="str">
        <f>TBIWet!I253</f>
        <v>R309</v>
      </c>
      <c r="I181" t="b">
        <f t="shared" si="50"/>
        <v>0</v>
      </c>
      <c r="J181" t="b">
        <f t="shared" si="51"/>
        <v>0</v>
      </c>
      <c r="L181" t="str">
        <f>'Both teabags AfterWet'!A180</f>
        <v>G587</v>
      </c>
      <c r="M181" t="str">
        <f>'Both teabags AfterWet'!A598</f>
        <v>R380</v>
      </c>
      <c r="N181" t="b">
        <f t="shared" si="52"/>
        <v>0</v>
      </c>
      <c r="O181" t="b">
        <f t="shared" si="53"/>
        <v>0</v>
      </c>
      <c r="P181" t="str">
        <f>IFERROR('Both teabags AfterWet'!B180,"")</f>
        <v>n.a</v>
      </c>
      <c r="Q181" t="str">
        <f>'Both teabags AfterWet'!B598</f>
        <v>n.a</v>
      </c>
      <c r="S181" s="401" t="b">
        <f t="shared" si="54"/>
        <v>0</v>
      </c>
      <c r="T181" s="401" t="b">
        <f t="shared" si="55"/>
        <v>0</v>
      </c>
      <c r="V181" t="str">
        <f>'Both teabags AfterDry'!A180</f>
        <v>G34</v>
      </c>
      <c r="W181" t="str">
        <f>'Both teabags AfterDry'!A517</f>
        <v>R653</v>
      </c>
      <c r="X181" t="b">
        <f t="shared" si="56"/>
        <v>0</v>
      </c>
      <c r="Y181" t="b">
        <f t="shared" si="57"/>
        <v>0</v>
      </c>
      <c r="AA181" t="str">
        <f>'Green_rooibos initial weight'!A182</f>
        <v>G178</v>
      </c>
      <c r="AB181" t="str">
        <f>'Green_rooibos initial weight'!A1086</f>
        <v>R178</v>
      </c>
      <c r="AC181" t="b">
        <f t="shared" si="58"/>
        <v>0</v>
      </c>
      <c r="AD181" t="b">
        <f t="shared" si="59"/>
        <v>0</v>
      </c>
      <c r="AG181" t="str">
        <f>'WetLitterbags placem_collection'!K180</f>
        <v>G781</v>
      </c>
      <c r="AH181" t="str">
        <f>'WetLitterbags placem_collection'!M180</f>
        <v>R309</v>
      </c>
      <c r="AI181" t="b">
        <f t="shared" si="60"/>
        <v>0</v>
      </c>
      <c r="AJ181" t="b">
        <f t="shared" si="61"/>
        <v>0</v>
      </c>
      <c r="AK181">
        <f>'WetLitterbags placem_collection'!A180</f>
        <v>178</v>
      </c>
      <c r="AL181">
        <f>'WetLitterbags placem_collection'!A180</f>
        <v>178</v>
      </c>
      <c r="AN181">
        <f>IF('Dry_Litterbag Placem_Collection'!J180=0,"",'Dry_Litterbag Placem_Collection'!J180)</f>
        <v>353</v>
      </c>
      <c r="AO181">
        <f>IF('Dry_Litterbag Placem_Collection'!K180=0,"",'Dry_Litterbag Placem_Collection'!K180)</f>
        <v>612</v>
      </c>
      <c r="AP181" t="b">
        <f t="shared" si="62"/>
        <v>0</v>
      </c>
      <c r="AQ181" t="b">
        <f t="shared" si="63"/>
        <v>0</v>
      </c>
      <c r="AT181" t="str">
        <f>'Ashed teabags dry'!A179</f>
        <v>G342</v>
      </c>
      <c r="AU181" t="str">
        <f>'Ashed teabags dry'!A516</f>
        <v>R653</v>
      </c>
      <c r="AV181" t="b">
        <f t="shared" si="64"/>
        <v>0</v>
      </c>
      <c r="AW181" t="b">
        <f t="shared" si="65"/>
        <v>0</v>
      </c>
      <c r="AZ181" s="401" t="b">
        <f t="shared" si="66"/>
        <v>0</v>
      </c>
      <c r="BA181" s="401" t="b">
        <f t="shared" si="67"/>
        <v>0</v>
      </c>
      <c r="BC181" t="str">
        <f>'Ashed teabags wet'!A179</f>
        <v>G594</v>
      </c>
      <c r="BD181" t="str">
        <f>'Ashed teabags wet'!A596</f>
        <v>R390</v>
      </c>
      <c r="BE181" t="b">
        <f t="shared" si="68"/>
        <v>0</v>
      </c>
      <c r="BF181" t="b">
        <f t="shared" si="69"/>
        <v>0</v>
      </c>
      <c r="BG181">
        <f>IFERROR('Ashed teabags wet'!C179,"")</f>
        <v>77</v>
      </c>
      <c r="BH181">
        <f>IFERROR('Ashed teabags wet'!C596,"")</f>
        <v>60</v>
      </c>
      <c r="BI181">
        <f>'Ashed teabags wet'!AB179</f>
        <v>76</v>
      </c>
      <c r="BJ181" t="str">
        <f>'Ashed teabags wet'!AC179</f>
        <v/>
      </c>
      <c r="BK181" t="str">
        <f>'Ashed teabags wet'!AD596</f>
        <v/>
      </c>
      <c r="BL181">
        <f>'Ashed teabags wet'!AE596</f>
        <v>59</v>
      </c>
      <c r="BN181" t="str">
        <f t="shared" si="70"/>
        <v>G593</v>
      </c>
      <c r="BO181" t="b">
        <f t="shared" si="71"/>
        <v>1</v>
      </c>
    </row>
    <row r="182" spans="2:67" ht="12" customHeight="1">
      <c r="B182" t="str">
        <f>TBIDry!H254</f>
        <v>G42</v>
      </c>
      <c r="C182" t="str">
        <f>TBIDry!I254</f>
        <v>R491</v>
      </c>
      <c r="D182" t="b">
        <f t="shared" si="48"/>
        <v>0</v>
      </c>
      <c r="E182" t="b">
        <f t="shared" si="49"/>
        <v>0</v>
      </c>
      <c r="G182" t="str">
        <f>TBIWet!H254</f>
        <v>G451</v>
      </c>
      <c r="H182" t="str">
        <f>TBIWet!I254</f>
        <v>R32</v>
      </c>
      <c r="I182" t="b">
        <f t="shared" si="50"/>
        <v>0</v>
      </c>
      <c r="J182" t="b">
        <f t="shared" si="51"/>
        <v>0</v>
      </c>
      <c r="L182" t="str">
        <f>'Both teabags AfterWet'!A181</f>
        <v>G591</v>
      </c>
      <c r="M182" t="str">
        <f>'Both teabags AfterWet'!A599</f>
        <v>R381</v>
      </c>
      <c r="N182" t="b">
        <f t="shared" si="52"/>
        <v>0</v>
      </c>
      <c r="O182" t="b">
        <f t="shared" si="53"/>
        <v>0</v>
      </c>
      <c r="P182">
        <f>IFERROR('Both teabags AfterWet'!B181,"")</f>
        <v>192</v>
      </c>
      <c r="Q182">
        <f>'Both teabags AfterWet'!B599</f>
        <v>221</v>
      </c>
      <c r="S182" s="401" t="b">
        <f t="shared" si="54"/>
        <v>0</v>
      </c>
      <c r="T182" s="401" t="b">
        <f t="shared" si="55"/>
        <v>0</v>
      </c>
      <c r="V182" t="str">
        <f>'Both teabags AfterDry'!A181</f>
        <v>G341</v>
      </c>
      <c r="W182" t="str">
        <f>'Both teabags AfterDry'!A518</f>
        <v>R655</v>
      </c>
      <c r="X182" t="b">
        <f t="shared" si="56"/>
        <v>0</v>
      </c>
      <c r="Y182" t="b">
        <f t="shared" si="57"/>
        <v>0</v>
      </c>
      <c r="AA182" t="str">
        <f>'Green_rooibos initial weight'!A183</f>
        <v>G179</v>
      </c>
      <c r="AB182" t="str">
        <f>'Green_rooibos initial weight'!A1087</f>
        <v>R179</v>
      </c>
      <c r="AC182" t="b">
        <f t="shared" si="58"/>
        <v>0</v>
      </c>
      <c r="AD182" t="b">
        <f t="shared" si="59"/>
        <v>0</v>
      </c>
      <c r="AG182" t="str">
        <f>'WetLitterbags placem_collection'!K181</f>
        <v>G451</v>
      </c>
      <c r="AH182" t="str">
        <f>'WetLitterbags placem_collection'!M181</f>
        <v>R32</v>
      </c>
      <c r="AI182" t="b">
        <f t="shared" si="60"/>
        <v>0</v>
      </c>
      <c r="AJ182" t="b">
        <f t="shared" si="61"/>
        <v>0</v>
      </c>
      <c r="AK182">
        <f>'WetLitterbags placem_collection'!A181</f>
        <v>179</v>
      </c>
      <c r="AL182">
        <f>'WetLitterbags placem_collection'!A181</f>
        <v>179</v>
      </c>
      <c r="AN182">
        <f>IF('Dry_Litterbag Placem_Collection'!J181=0,"",'Dry_Litterbag Placem_Collection'!J181)</f>
        <v>42</v>
      </c>
      <c r="AO182">
        <f>IF('Dry_Litterbag Placem_Collection'!K181=0,"",'Dry_Litterbag Placem_Collection'!K181)</f>
        <v>491</v>
      </c>
      <c r="AP182" t="b">
        <f t="shared" si="62"/>
        <v>0</v>
      </c>
      <c r="AQ182" t="b">
        <f t="shared" si="63"/>
        <v>0</v>
      </c>
      <c r="AT182" t="str">
        <f>'Ashed teabags dry'!A180</f>
        <v>G343</v>
      </c>
      <c r="AU182" t="str">
        <f>'Ashed teabags dry'!A517</f>
        <v>R655</v>
      </c>
      <c r="AV182" t="b">
        <f t="shared" si="64"/>
        <v>0</v>
      </c>
      <c r="AW182" t="b">
        <f t="shared" si="65"/>
        <v>0</v>
      </c>
      <c r="AZ182" s="401" t="b">
        <f t="shared" si="66"/>
        <v>0</v>
      </c>
      <c r="BA182" s="401" t="b">
        <f t="shared" si="67"/>
        <v>0</v>
      </c>
      <c r="BC182" t="str">
        <f>'Ashed teabags wet'!A180</f>
        <v>G595</v>
      </c>
      <c r="BD182" t="str">
        <f>'Ashed teabags wet'!A597</f>
        <v>R391</v>
      </c>
      <c r="BE182" t="b">
        <f t="shared" si="68"/>
        <v>0</v>
      </c>
      <c r="BF182" t="b">
        <f t="shared" si="69"/>
        <v>0</v>
      </c>
      <c r="BG182">
        <f>IFERROR('Ashed teabags wet'!C180,"")</f>
        <v>13</v>
      </c>
      <c r="BH182">
        <f>IFERROR('Ashed teabags wet'!C597,"")</f>
        <v>85</v>
      </c>
      <c r="BI182">
        <f>'Ashed teabags wet'!AB180</f>
        <v>12</v>
      </c>
      <c r="BJ182" t="str">
        <f>'Ashed teabags wet'!AC180</f>
        <v/>
      </c>
      <c r="BK182" t="str">
        <f>'Ashed teabags wet'!AD597</f>
        <v/>
      </c>
      <c r="BL182">
        <f>'Ashed teabags wet'!AE597</f>
        <v>84</v>
      </c>
      <c r="BN182" t="str">
        <f t="shared" si="70"/>
        <v>G594</v>
      </c>
      <c r="BO182" t="b">
        <f t="shared" si="71"/>
        <v>1</v>
      </c>
    </row>
    <row r="183" spans="2:67" ht="12" customHeight="1">
      <c r="B183" t="str">
        <f>TBIDry!H255</f>
        <v>G245</v>
      </c>
      <c r="C183" t="str">
        <f>TBIDry!I255</f>
        <v>R325</v>
      </c>
      <c r="D183" t="b">
        <f t="shared" si="48"/>
        <v>0</v>
      </c>
      <c r="E183" t="b">
        <f t="shared" si="49"/>
        <v>0</v>
      </c>
      <c r="G183" t="str">
        <f>TBIWet!H255</f>
        <v>G360</v>
      </c>
      <c r="H183" t="str">
        <f>TBIWet!I255</f>
        <v>R268</v>
      </c>
      <c r="I183" t="b">
        <f t="shared" si="50"/>
        <v>0</v>
      </c>
      <c r="J183" t="b">
        <f t="shared" si="51"/>
        <v>0</v>
      </c>
      <c r="L183" t="str">
        <f>'Both teabags AfterWet'!A182</f>
        <v>G592</v>
      </c>
      <c r="M183" t="str">
        <f>'Both teabags AfterWet'!A600</f>
        <v>R382</v>
      </c>
      <c r="N183" t="b">
        <f t="shared" si="52"/>
        <v>0</v>
      </c>
      <c r="O183" t="b">
        <f t="shared" si="53"/>
        <v>0</v>
      </c>
      <c r="P183">
        <f>IFERROR('Both teabags AfterWet'!B182,"")</f>
        <v>90</v>
      </c>
      <c r="Q183">
        <f>'Both teabags AfterWet'!B600</f>
        <v>14</v>
      </c>
      <c r="S183" s="401" t="b">
        <f t="shared" si="54"/>
        <v>0</v>
      </c>
      <c r="T183" s="401" t="b">
        <f t="shared" si="55"/>
        <v>0</v>
      </c>
      <c r="V183" t="str">
        <f>'Both teabags AfterDry'!A182</f>
        <v>G342</v>
      </c>
      <c r="W183" t="str">
        <f>'Both teabags AfterDry'!A519</f>
        <v>R657</v>
      </c>
      <c r="X183" t="b">
        <f t="shared" si="56"/>
        <v>0</v>
      </c>
      <c r="Y183" t="b">
        <f t="shared" si="57"/>
        <v>0</v>
      </c>
      <c r="AA183" t="str">
        <f>'Green_rooibos initial weight'!A184</f>
        <v>G180</v>
      </c>
      <c r="AB183" t="str">
        <f>'Green_rooibos initial weight'!A1088</f>
        <v>R180</v>
      </c>
      <c r="AC183" t="b">
        <f t="shared" si="58"/>
        <v>0</v>
      </c>
      <c r="AD183" t="b">
        <f t="shared" si="59"/>
        <v>0</v>
      </c>
      <c r="AG183" t="str">
        <f>'WetLitterbags placem_collection'!K182</f>
        <v>G360</v>
      </c>
      <c r="AH183" t="str">
        <f>'WetLitterbags placem_collection'!M182</f>
        <v>R268</v>
      </c>
      <c r="AI183" t="b">
        <f t="shared" si="60"/>
        <v>0</v>
      </c>
      <c r="AJ183" t="b">
        <f t="shared" si="61"/>
        <v>0</v>
      </c>
      <c r="AK183">
        <f>'WetLitterbags placem_collection'!A182</f>
        <v>180</v>
      </c>
      <c r="AL183">
        <f>'WetLitterbags placem_collection'!A182</f>
        <v>180</v>
      </c>
      <c r="AN183">
        <f>IF('Dry_Litterbag Placem_Collection'!J182=0,"",'Dry_Litterbag Placem_Collection'!J182)</f>
        <v>245</v>
      </c>
      <c r="AO183">
        <f>IF('Dry_Litterbag Placem_Collection'!K182=0,"",'Dry_Litterbag Placem_Collection'!K182)</f>
        <v>325</v>
      </c>
      <c r="AP183" t="b">
        <f t="shared" si="62"/>
        <v>0</v>
      </c>
      <c r="AQ183" t="b">
        <f t="shared" si="63"/>
        <v>0</v>
      </c>
      <c r="AT183" t="str">
        <f>'Ashed teabags dry'!A181</f>
        <v>G344</v>
      </c>
      <c r="AU183" t="str">
        <f>'Ashed teabags dry'!A518</f>
        <v>R657</v>
      </c>
      <c r="AV183" t="b">
        <f t="shared" si="64"/>
        <v>0</v>
      </c>
      <c r="AW183" t="b">
        <f t="shared" si="65"/>
        <v>0</v>
      </c>
      <c r="AZ183" s="401" t="b">
        <f t="shared" si="66"/>
        <v>0</v>
      </c>
      <c r="BA183" s="401" t="b">
        <f t="shared" si="67"/>
        <v>0</v>
      </c>
      <c r="BC183" t="str">
        <f>'Ashed teabags wet'!A181</f>
        <v>G599</v>
      </c>
      <c r="BD183" t="str">
        <f>'Ashed teabags wet'!A598</f>
        <v>R392</v>
      </c>
      <c r="BE183" t="b">
        <f t="shared" si="68"/>
        <v>0</v>
      </c>
      <c r="BF183" t="b">
        <f t="shared" si="69"/>
        <v>0</v>
      </c>
      <c r="BG183">
        <f>IFERROR('Ashed teabags wet'!C181,"")</f>
        <v>52</v>
      </c>
      <c r="BH183">
        <f>IFERROR('Ashed teabags wet'!C598,"")</f>
        <v>210</v>
      </c>
      <c r="BI183" t="str">
        <f>'Ashed teabags wet'!AB181</f>
        <v/>
      </c>
      <c r="BJ183">
        <f>'Ashed teabags wet'!AC181</f>
        <v>51</v>
      </c>
      <c r="BK183" t="str">
        <f>'Ashed teabags wet'!AD598</f>
        <v/>
      </c>
      <c r="BL183">
        <f>'Ashed teabags wet'!AE598</f>
        <v>209</v>
      </c>
      <c r="BN183" t="str">
        <f t="shared" si="70"/>
        <v>G595</v>
      </c>
      <c r="BO183" t="b">
        <f t="shared" si="71"/>
        <v>1</v>
      </c>
    </row>
    <row r="184" spans="2:67" ht="12" customHeight="1">
      <c r="B184" t="str">
        <f>TBIDry!H256</f>
        <v>G411</v>
      </c>
      <c r="C184" t="str">
        <f>TBIDry!I256</f>
        <v>R116</v>
      </c>
      <c r="D184" t="b">
        <f t="shared" si="48"/>
        <v>0</v>
      </c>
      <c r="E184" t="b">
        <f t="shared" si="49"/>
        <v>0</v>
      </c>
      <c r="G184" t="str">
        <f>TBIWet!H256</f>
        <v>G458</v>
      </c>
      <c r="H184" t="str">
        <f>TBIWet!I256</f>
        <v>R587</v>
      </c>
      <c r="I184" t="b">
        <f t="shared" si="50"/>
        <v>0</v>
      </c>
      <c r="J184" t="b">
        <f t="shared" si="51"/>
        <v>0</v>
      </c>
      <c r="L184" t="str">
        <f>'Both teabags AfterWet'!A183</f>
        <v>G593</v>
      </c>
      <c r="M184" t="str">
        <f>'Both teabags AfterWet'!A601</f>
        <v>R383</v>
      </c>
      <c r="N184" t="b">
        <f t="shared" si="52"/>
        <v>0</v>
      </c>
      <c r="O184" t="b">
        <f t="shared" si="53"/>
        <v>0</v>
      </c>
      <c r="P184">
        <f>IFERROR('Both teabags AfterWet'!B183,"")</f>
        <v>58</v>
      </c>
      <c r="Q184">
        <f>'Both teabags AfterWet'!B601</f>
        <v>214</v>
      </c>
      <c r="S184" s="401" t="b">
        <f t="shared" si="54"/>
        <v>0</v>
      </c>
      <c r="T184" s="401" t="b">
        <f t="shared" si="55"/>
        <v>0</v>
      </c>
      <c r="V184" t="str">
        <f>'Both teabags AfterDry'!A183</f>
        <v>G343</v>
      </c>
      <c r="W184" t="str">
        <f>'Both teabags AfterDry'!A520</f>
        <v>R658</v>
      </c>
      <c r="X184" t="b">
        <f t="shared" si="56"/>
        <v>0</v>
      </c>
      <c r="Y184" t="b">
        <f t="shared" si="57"/>
        <v>0</v>
      </c>
      <c r="AA184" t="str">
        <f>'Green_rooibos initial weight'!A185</f>
        <v>G181</v>
      </c>
      <c r="AB184" t="str">
        <f>'Green_rooibos initial weight'!A1089</f>
        <v>R181</v>
      </c>
      <c r="AC184" t="b">
        <f t="shared" si="58"/>
        <v>0</v>
      </c>
      <c r="AD184" t="b">
        <f t="shared" si="59"/>
        <v>0</v>
      </c>
      <c r="AG184" t="str">
        <f>'WetLitterbags placem_collection'!K183</f>
        <v>G458</v>
      </c>
      <c r="AH184" t="str">
        <f>'WetLitterbags placem_collection'!M183</f>
        <v>R587</v>
      </c>
      <c r="AI184" t="b">
        <f t="shared" si="60"/>
        <v>0</v>
      </c>
      <c r="AJ184" t="b">
        <f t="shared" si="61"/>
        <v>0</v>
      </c>
      <c r="AK184">
        <f>'WetLitterbags placem_collection'!A183</f>
        <v>181</v>
      </c>
      <c r="AL184">
        <f>'WetLitterbags placem_collection'!A183</f>
        <v>181</v>
      </c>
      <c r="AN184">
        <f>IF('Dry_Litterbag Placem_Collection'!J183=0,"",'Dry_Litterbag Placem_Collection'!J183)</f>
        <v>411</v>
      </c>
      <c r="AO184">
        <f>IF('Dry_Litterbag Placem_Collection'!K183=0,"",'Dry_Litterbag Placem_Collection'!K183)</f>
        <v>116</v>
      </c>
      <c r="AP184" t="b">
        <f t="shared" si="62"/>
        <v>0</v>
      </c>
      <c r="AQ184" t="b">
        <f t="shared" si="63"/>
        <v>0</v>
      </c>
      <c r="AT184" t="str">
        <f>'Ashed teabags dry'!A182</f>
        <v>G347</v>
      </c>
      <c r="AU184" t="str">
        <f>'Ashed teabags dry'!A519</f>
        <v>R658</v>
      </c>
      <c r="AV184" t="b">
        <f t="shared" si="64"/>
        <v>0</v>
      </c>
      <c r="AW184" t="b">
        <f t="shared" si="65"/>
        <v>0</v>
      </c>
      <c r="AZ184" s="401" t="b">
        <f t="shared" si="66"/>
        <v>0</v>
      </c>
      <c r="BA184" s="401" t="b">
        <f t="shared" si="67"/>
        <v>0</v>
      </c>
      <c r="BC184" t="str">
        <f>'Ashed teabags wet'!A182</f>
        <v>G600</v>
      </c>
      <c r="BD184" t="str">
        <f>'Ashed teabags wet'!A599</f>
        <v>R393</v>
      </c>
      <c r="BE184" t="b">
        <f t="shared" si="68"/>
        <v>0</v>
      </c>
      <c r="BF184" t="b">
        <f t="shared" si="69"/>
        <v>0</v>
      </c>
      <c r="BG184">
        <f>IFERROR('Ashed teabags wet'!C182,"")</f>
        <v>59</v>
      </c>
      <c r="BH184">
        <f>IFERROR('Ashed teabags wet'!C599,"")</f>
        <v>73</v>
      </c>
      <c r="BI184" t="str">
        <f>'Ashed teabags wet'!AB182</f>
        <v/>
      </c>
      <c r="BJ184">
        <f>'Ashed teabags wet'!AC182</f>
        <v>58</v>
      </c>
      <c r="BK184" t="str">
        <f>'Ashed teabags wet'!AD599</f>
        <v/>
      </c>
      <c r="BL184">
        <f>'Ashed teabags wet'!AE599</f>
        <v>72</v>
      </c>
      <c r="BN184" t="str">
        <f t="shared" si="70"/>
        <v>G599</v>
      </c>
      <c r="BO184" t="b">
        <f t="shared" si="71"/>
        <v>1</v>
      </c>
    </row>
    <row r="185" spans="2:67" ht="12" customHeight="1">
      <c r="B185" t="str">
        <f>TBIDry!H257</f>
        <v>G309</v>
      </c>
      <c r="C185" t="str">
        <f>TBIDry!I257</f>
        <v>R613</v>
      </c>
      <c r="D185" t="b">
        <f t="shared" si="48"/>
        <v>0</v>
      </c>
      <c r="E185" t="b">
        <f t="shared" si="49"/>
        <v>0</v>
      </c>
      <c r="G185" t="str">
        <f>TBIWet!H257</f>
        <v>G403</v>
      </c>
      <c r="H185" t="str">
        <f>TBIWet!I257</f>
        <v>R444</v>
      </c>
      <c r="I185" t="b">
        <f t="shared" si="50"/>
        <v>0</v>
      </c>
      <c r="J185" t="b">
        <f t="shared" si="51"/>
        <v>0</v>
      </c>
      <c r="L185" t="str">
        <f>'Both teabags AfterWet'!A184</f>
        <v>G594</v>
      </c>
      <c r="M185" t="str">
        <f>'Both teabags AfterWet'!A602</f>
        <v>R384</v>
      </c>
      <c r="N185" t="b">
        <f t="shared" si="52"/>
        <v>0</v>
      </c>
      <c r="O185" t="b">
        <f t="shared" si="53"/>
        <v>0</v>
      </c>
      <c r="P185">
        <f>IFERROR('Both teabags AfterWet'!B184,"")</f>
        <v>77</v>
      </c>
      <c r="Q185">
        <f>'Both teabags AfterWet'!B602</f>
        <v>174</v>
      </c>
      <c r="S185" s="401" t="b">
        <f t="shared" si="54"/>
        <v>0</v>
      </c>
      <c r="T185" s="401" t="b">
        <f t="shared" si="55"/>
        <v>0</v>
      </c>
      <c r="V185" t="str">
        <f>'Both teabags AfterDry'!A184</f>
        <v>G344</v>
      </c>
      <c r="W185" t="str">
        <f>'Both teabags AfterDry'!A521</f>
        <v>R659</v>
      </c>
      <c r="X185" t="b">
        <f t="shared" si="56"/>
        <v>0</v>
      </c>
      <c r="Y185" t="b">
        <f t="shared" si="57"/>
        <v>0</v>
      </c>
      <c r="AA185" t="str">
        <f>'Green_rooibos initial weight'!A186</f>
        <v>G182</v>
      </c>
      <c r="AB185" t="str">
        <f>'Green_rooibos initial weight'!A1090</f>
        <v>R182</v>
      </c>
      <c r="AC185" t="b">
        <f t="shared" si="58"/>
        <v>0</v>
      </c>
      <c r="AD185" t="b">
        <f t="shared" si="59"/>
        <v>0</v>
      </c>
      <c r="AG185" t="str">
        <f>'WetLitterbags placem_collection'!K184</f>
        <v>G403</v>
      </c>
      <c r="AH185" t="str">
        <f>'WetLitterbags placem_collection'!M184</f>
        <v>R444</v>
      </c>
      <c r="AI185" t="b">
        <f t="shared" si="60"/>
        <v>0</v>
      </c>
      <c r="AJ185" t="b">
        <f t="shared" si="61"/>
        <v>0</v>
      </c>
      <c r="AK185">
        <f>'WetLitterbags placem_collection'!A184</f>
        <v>182</v>
      </c>
      <c r="AL185">
        <f>'WetLitterbags placem_collection'!A184</f>
        <v>182</v>
      </c>
      <c r="AN185">
        <f>IF('Dry_Litterbag Placem_Collection'!J184=0,"",'Dry_Litterbag Placem_Collection'!J184)</f>
        <v>309</v>
      </c>
      <c r="AO185">
        <f>IF('Dry_Litterbag Placem_Collection'!K184=0,"",'Dry_Litterbag Placem_Collection'!K184)</f>
        <v>613</v>
      </c>
      <c r="AP185" t="b">
        <f t="shared" si="62"/>
        <v>0</v>
      </c>
      <c r="AQ185" t="b">
        <f t="shared" si="63"/>
        <v>0</v>
      </c>
      <c r="AT185" t="str">
        <f>'Ashed teabags dry'!A183</f>
        <v>G348</v>
      </c>
      <c r="AU185" t="str">
        <f>'Ashed teabags dry'!A520</f>
        <v>R659</v>
      </c>
      <c r="AV185" t="b">
        <f t="shared" si="64"/>
        <v>0</v>
      </c>
      <c r="AW185" t="b">
        <f t="shared" si="65"/>
        <v>0</v>
      </c>
      <c r="AZ185" s="401" t="b">
        <f t="shared" si="66"/>
        <v>0</v>
      </c>
      <c r="BA185" s="401" t="b">
        <f t="shared" si="67"/>
        <v>0</v>
      </c>
      <c r="BC185" t="str">
        <f>'Ashed teabags wet'!A183</f>
        <v>G602</v>
      </c>
      <c r="BD185" t="str">
        <f>'Ashed teabags wet'!A600</f>
        <v>R395</v>
      </c>
      <c r="BE185" t="b">
        <f t="shared" si="68"/>
        <v>0</v>
      </c>
      <c r="BF185" t="b">
        <f t="shared" si="69"/>
        <v>0</v>
      </c>
      <c r="BG185">
        <f>IFERROR('Ashed teabags wet'!C183,"")</f>
        <v>45</v>
      </c>
      <c r="BH185">
        <f>IFERROR('Ashed teabags wet'!C600,"")</f>
        <v>201</v>
      </c>
      <c r="BI185" t="str">
        <f>'Ashed teabags wet'!AB183</f>
        <v/>
      </c>
      <c r="BJ185">
        <f>'Ashed teabags wet'!AC183</f>
        <v>44</v>
      </c>
      <c r="BK185" t="str">
        <f>'Ashed teabags wet'!AD600</f>
        <v/>
      </c>
      <c r="BL185">
        <f>'Ashed teabags wet'!AE600</f>
        <v>200</v>
      </c>
      <c r="BN185" t="str">
        <f t="shared" si="70"/>
        <v>G600</v>
      </c>
      <c r="BO185" t="b">
        <f t="shared" si="71"/>
        <v>1</v>
      </c>
    </row>
    <row r="186" spans="2:67" ht="12" customHeight="1">
      <c r="B186" t="str">
        <f>TBIDry!H258</f>
        <v/>
      </c>
      <c r="C186" t="str">
        <f>TBIDry!I258</f>
        <v/>
      </c>
      <c r="D186" t="b">
        <f t="shared" si="48"/>
        <v>1</v>
      </c>
      <c r="E186" t="b">
        <f t="shared" si="49"/>
        <v>1</v>
      </c>
      <c r="G186" t="str">
        <f>TBIWet!H258</f>
        <v>G585</v>
      </c>
      <c r="H186" t="str">
        <f>TBIWet!I258</f>
        <v>R568</v>
      </c>
      <c r="I186" t="b">
        <f t="shared" si="50"/>
        <v>0</v>
      </c>
      <c r="J186" t="b">
        <f t="shared" si="51"/>
        <v>0</v>
      </c>
      <c r="L186" t="str">
        <f>'Both teabags AfterWet'!A185</f>
        <v>G595</v>
      </c>
      <c r="M186" t="str">
        <f>'Both teabags AfterWet'!A603</f>
        <v>R386</v>
      </c>
      <c r="N186" t="b">
        <f t="shared" si="52"/>
        <v>0</v>
      </c>
      <c r="O186" t="b">
        <f t="shared" si="53"/>
        <v>0</v>
      </c>
      <c r="P186" t="str">
        <f>IFERROR('Both teabags AfterWet'!B185,"")</f>
        <v>na</v>
      </c>
      <c r="Q186" t="str">
        <f>'Both teabags AfterWet'!B603</f>
        <v>na</v>
      </c>
      <c r="S186" s="401" t="b">
        <f t="shared" si="54"/>
        <v>0</v>
      </c>
      <c r="T186" s="401" t="b">
        <f t="shared" si="55"/>
        <v>0</v>
      </c>
      <c r="V186" t="str">
        <f>'Both teabags AfterDry'!A185</f>
        <v>G347</v>
      </c>
      <c r="W186" t="str">
        <f>'Both teabags AfterDry'!A522</f>
        <v>R66</v>
      </c>
      <c r="X186" t="b">
        <f t="shared" si="56"/>
        <v>0</v>
      </c>
      <c r="Y186" t="b">
        <f t="shared" si="57"/>
        <v>0</v>
      </c>
      <c r="AA186" t="str">
        <f>'Green_rooibos initial weight'!A187</f>
        <v>G183</v>
      </c>
      <c r="AB186" t="str">
        <f>'Green_rooibos initial weight'!A1091</f>
        <v>R183</v>
      </c>
      <c r="AC186" t="b">
        <f t="shared" si="58"/>
        <v>0</v>
      </c>
      <c r="AD186" t="b">
        <f t="shared" si="59"/>
        <v>0</v>
      </c>
      <c r="AG186" t="str">
        <f>'WetLitterbags placem_collection'!K185</f>
        <v>G585</v>
      </c>
      <c r="AH186" t="str">
        <f>'WetLitterbags placem_collection'!M185</f>
        <v>R568</v>
      </c>
      <c r="AI186" t="b">
        <f t="shared" si="60"/>
        <v>0</v>
      </c>
      <c r="AJ186" t="b">
        <f t="shared" si="61"/>
        <v>0</v>
      </c>
      <c r="AK186">
        <f>'WetLitterbags placem_collection'!A185</f>
        <v>183</v>
      </c>
      <c r="AL186">
        <f>'WetLitterbags placem_collection'!A185</f>
        <v>183</v>
      </c>
      <c r="AN186" t="str">
        <f>IF('Dry_Litterbag Placem_Collection'!J185=0,"",'Dry_Litterbag Placem_Collection'!J185)</f>
        <v/>
      </c>
      <c r="AO186" t="str">
        <f>IF('Dry_Litterbag Placem_Collection'!K185=0,"",'Dry_Litterbag Placem_Collection'!K185)</f>
        <v/>
      </c>
      <c r="AP186" t="b">
        <f t="shared" si="62"/>
        <v>1</v>
      </c>
      <c r="AQ186" t="b">
        <f t="shared" si="63"/>
        <v>1</v>
      </c>
      <c r="AT186" t="str">
        <f>'Ashed teabags dry'!A184</f>
        <v>G349</v>
      </c>
      <c r="AU186" t="str">
        <f>'Ashed teabags dry'!A521</f>
        <v>R66</v>
      </c>
      <c r="AV186" t="b">
        <f t="shared" si="64"/>
        <v>0</v>
      </c>
      <c r="AW186" t="b">
        <f t="shared" si="65"/>
        <v>0</v>
      </c>
      <c r="AZ186" s="401" t="b">
        <f t="shared" si="66"/>
        <v>0</v>
      </c>
      <c r="BA186" s="401" t="b">
        <f t="shared" si="67"/>
        <v>0</v>
      </c>
      <c r="BC186" t="str">
        <f>'Ashed teabags wet'!A184</f>
        <v>G603</v>
      </c>
      <c r="BD186" t="str">
        <f>'Ashed teabags wet'!A601</f>
        <v>R396</v>
      </c>
      <c r="BE186" t="b">
        <f t="shared" si="68"/>
        <v>0</v>
      </c>
      <c r="BF186" t="b">
        <f t="shared" si="69"/>
        <v>0</v>
      </c>
      <c r="BG186">
        <f>IFERROR('Ashed teabags wet'!C184,"")</f>
        <v>75</v>
      </c>
      <c r="BH186">
        <f>IFERROR('Ashed teabags wet'!C601,"")</f>
        <v>32</v>
      </c>
      <c r="BI186" t="str">
        <f>'Ashed teabags wet'!AB184</f>
        <v/>
      </c>
      <c r="BJ186">
        <f>'Ashed teabags wet'!AC184</f>
        <v>75</v>
      </c>
      <c r="BK186">
        <f>'Ashed teabags wet'!AD601</f>
        <v>31</v>
      </c>
      <c r="BL186" t="str">
        <f>'Ashed teabags wet'!AE601</f>
        <v/>
      </c>
      <c r="BN186" t="str">
        <f t="shared" si="70"/>
        <v>G602</v>
      </c>
      <c r="BO186" t="b">
        <f t="shared" si="71"/>
        <v>1</v>
      </c>
    </row>
    <row r="187" spans="2:67" ht="12" customHeight="1">
      <c r="B187" t="str">
        <f>TBIDry!H259</f>
        <v>G235</v>
      </c>
      <c r="C187" t="str">
        <f>TBIDry!I259</f>
        <v>R179</v>
      </c>
      <c r="D187" t="b">
        <f t="shared" si="48"/>
        <v>0</v>
      </c>
      <c r="E187" t="b">
        <f t="shared" si="49"/>
        <v>0</v>
      </c>
      <c r="G187" t="str">
        <f>TBIWet!H259</f>
        <v>G669</v>
      </c>
      <c r="H187" t="str">
        <f>TBIWet!I259</f>
        <v>R541</v>
      </c>
      <c r="I187" t="b">
        <f t="shared" si="50"/>
        <v>0</v>
      </c>
      <c r="J187" t="b">
        <f t="shared" si="51"/>
        <v>0</v>
      </c>
      <c r="L187" t="str">
        <f>'Both teabags AfterWet'!A186</f>
        <v>G599</v>
      </c>
      <c r="M187" t="str">
        <f>'Both teabags AfterWet'!A604</f>
        <v>R3864</v>
      </c>
      <c r="N187" t="b">
        <f t="shared" si="52"/>
        <v>0</v>
      </c>
      <c r="O187" t="b">
        <f t="shared" si="53"/>
        <v>0</v>
      </c>
      <c r="P187">
        <f>IFERROR('Both teabags AfterWet'!B186,"")</f>
        <v>52</v>
      </c>
      <c r="Q187">
        <f>'Both teabags AfterWet'!B604</f>
        <v>109</v>
      </c>
      <c r="S187" s="401" t="b">
        <f t="shared" si="54"/>
        <v>0</v>
      </c>
      <c r="T187" s="401" t="b">
        <f t="shared" si="55"/>
        <v>0</v>
      </c>
      <c r="V187" t="str">
        <f>'Both teabags AfterDry'!A186</f>
        <v>G348</v>
      </c>
      <c r="W187" t="str">
        <f>'Both teabags AfterDry'!A523</f>
        <v>R660</v>
      </c>
      <c r="X187" t="b">
        <f t="shared" si="56"/>
        <v>0</v>
      </c>
      <c r="Y187" t="b">
        <f t="shared" si="57"/>
        <v>0</v>
      </c>
      <c r="AA187" t="str">
        <f>'Green_rooibos initial weight'!A188</f>
        <v>G184</v>
      </c>
      <c r="AB187" t="str">
        <f>'Green_rooibos initial weight'!A1092</f>
        <v>R184</v>
      </c>
      <c r="AC187" t="b">
        <f t="shared" si="58"/>
        <v>0</v>
      </c>
      <c r="AD187" t="b">
        <f t="shared" si="59"/>
        <v>0</v>
      </c>
      <c r="AG187" t="str">
        <f>'WetLitterbags placem_collection'!K186</f>
        <v>G669</v>
      </c>
      <c r="AH187" t="str">
        <f>'WetLitterbags placem_collection'!M186</f>
        <v>R541</v>
      </c>
      <c r="AI187" t="b">
        <f t="shared" si="60"/>
        <v>0</v>
      </c>
      <c r="AJ187" t="b">
        <f t="shared" si="61"/>
        <v>0</v>
      </c>
      <c r="AK187">
        <f>'WetLitterbags placem_collection'!A186</f>
        <v>184</v>
      </c>
      <c r="AL187">
        <f>'WetLitterbags placem_collection'!A186</f>
        <v>184</v>
      </c>
      <c r="AN187">
        <f>IF('Dry_Litterbag Placem_Collection'!J186=0,"",'Dry_Litterbag Placem_Collection'!J186)</f>
        <v>235</v>
      </c>
      <c r="AO187">
        <f>IF('Dry_Litterbag Placem_Collection'!K186=0,"",'Dry_Litterbag Placem_Collection'!K186)</f>
        <v>179</v>
      </c>
      <c r="AP187" t="b">
        <f t="shared" si="62"/>
        <v>0</v>
      </c>
      <c r="AQ187" t="b">
        <f t="shared" si="63"/>
        <v>0</v>
      </c>
      <c r="AT187" t="str">
        <f>'Ashed teabags dry'!A185</f>
        <v>G35</v>
      </c>
      <c r="AU187" t="str">
        <f>'Ashed teabags dry'!A522</f>
        <v>R660</v>
      </c>
      <c r="AV187" t="b">
        <f t="shared" si="64"/>
        <v>0</v>
      </c>
      <c r="AW187" t="b">
        <f t="shared" si="65"/>
        <v>0</v>
      </c>
      <c r="AZ187" s="401" t="b">
        <f t="shared" si="66"/>
        <v>0</v>
      </c>
      <c r="BA187" s="401" t="b">
        <f t="shared" si="67"/>
        <v>0</v>
      </c>
      <c r="BC187" t="str">
        <f>'Ashed teabags wet'!A185</f>
        <v>G604</v>
      </c>
      <c r="BD187" t="str">
        <f>'Ashed teabags wet'!A602</f>
        <v>R398</v>
      </c>
      <c r="BE187" t="b">
        <f t="shared" si="68"/>
        <v>0</v>
      </c>
      <c r="BF187" t="b">
        <f t="shared" si="69"/>
        <v>0</v>
      </c>
      <c r="BG187">
        <f>IFERROR('Ashed teabags wet'!C185,"")</f>
        <v>209</v>
      </c>
      <c r="BH187">
        <f>IFERROR('Ashed teabags wet'!C602,"")</f>
        <v>7</v>
      </c>
      <c r="BI187">
        <f>'Ashed teabags wet'!AB185</f>
        <v>208</v>
      </c>
      <c r="BJ187" t="str">
        <f>'Ashed teabags wet'!AC185</f>
        <v/>
      </c>
      <c r="BK187" t="str">
        <f>'Ashed teabags wet'!AD602</f>
        <v/>
      </c>
      <c r="BL187">
        <f>'Ashed teabags wet'!AE602</f>
        <v>6</v>
      </c>
      <c r="BN187" t="str">
        <f t="shared" si="70"/>
        <v>G603</v>
      </c>
      <c r="BO187" t="b">
        <f t="shared" si="71"/>
        <v>1</v>
      </c>
    </row>
    <row r="188" spans="2:67" ht="12" customHeight="1">
      <c r="B188" t="str">
        <f>TBIDry!H260</f>
        <v>G369</v>
      </c>
      <c r="C188" t="str">
        <f>TBIDry!I260</f>
        <v>R300</v>
      </c>
      <c r="D188" t="b">
        <f t="shared" si="48"/>
        <v>0</v>
      </c>
      <c r="E188" t="b">
        <f t="shared" si="49"/>
        <v>0</v>
      </c>
      <c r="G188" t="str">
        <f>TBIWet!H260</f>
        <v>G423</v>
      </c>
      <c r="H188" t="str">
        <f>TBIWet!I260</f>
        <v>R51</v>
      </c>
      <c r="I188" t="b">
        <f t="shared" si="50"/>
        <v>0</v>
      </c>
      <c r="J188" t="b">
        <f t="shared" si="51"/>
        <v>0</v>
      </c>
      <c r="L188" t="str">
        <f>'Both teabags AfterWet'!A187</f>
        <v>G600</v>
      </c>
      <c r="M188" t="str">
        <f>'Both teabags AfterWet'!A605</f>
        <v>R387</v>
      </c>
      <c r="N188" t="b">
        <f t="shared" si="52"/>
        <v>0</v>
      </c>
      <c r="O188" t="b">
        <f t="shared" si="53"/>
        <v>0</v>
      </c>
      <c r="P188">
        <f>IFERROR('Both teabags AfterWet'!B187,"")</f>
        <v>59</v>
      </c>
      <c r="Q188" t="str">
        <f>'Both teabags AfterWet'!B605</f>
        <v>n.a</v>
      </c>
      <c r="S188" s="401" t="b">
        <f t="shared" si="54"/>
        <v>0</v>
      </c>
      <c r="T188" s="401" t="b">
        <f t="shared" si="55"/>
        <v>0</v>
      </c>
      <c r="V188" t="str">
        <f>'Both teabags AfterDry'!A187</f>
        <v>G349</v>
      </c>
      <c r="W188" t="str">
        <f>'Both teabags AfterDry'!A524</f>
        <v>R661</v>
      </c>
      <c r="X188" t="b">
        <f t="shared" si="56"/>
        <v>0</v>
      </c>
      <c r="Y188" t="b">
        <f t="shared" si="57"/>
        <v>0</v>
      </c>
      <c r="AA188" t="str">
        <f>'Green_rooibos initial weight'!A189</f>
        <v>G185</v>
      </c>
      <c r="AB188" t="str">
        <f>'Green_rooibos initial weight'!A1093</f>
        <v>R185</v>
      </c>
      <c r="AC188" t="b">
        <f t="shared" si="58"/>
        <v>0</v>
      </c>
      <c r="AD188" t="b">
        <f t="shared" si="59"/>
        <v>0</v>
      </c>
      <c r="AG188" t="str">
        <f>'WetLitterbags placem_collection'!K187</f>
        <v>G423</v>
      </c>
      <c r="AH188" t="str">
        <f>'WetLitterbags placem_collection'!M187</f>
        <v>R51</v>
      </c>
      <c r="AI188" t="b">
        <f t="shared" si="60"/>
        <v>0</v>
      </c>
      <c r="AJ188" t="b">
        <f t="shared" si="61"/>
        <v>0</v>
      </c>
      <c r="AK188">
        <f>'WetLitterbags placem_collection'!A187</f>
        <v>185</v>
      </c>
      <c r="AL188">
        <f>'WetLitterbags placem_collection'!A187</f>
        <v>185</v>
      </c>
      <c r="AN188">
        <f>IF('Dry_Litterbag Placem_Collection'!J187=0,"",'Dry_Litterbag Placem_Collection'!J187)</f>
        <v>369</v>
      </c>
      <c r="AO188">
        <f>IF('Dry_Litterbag Placem_Collection'!K187=0,"",'Dry_Litterbag Placem_Collection'!K187)</f>
        <v>300</v>
      </c>
      <c r="AP188" t="b">
        <f t="shared" si="62"/>
        <v>0</v>
      </c>
      <c r="AQ188" t="b">
        <f t="shared" si="63"/>
        <v>0</v>
      </c>
      <c r="AT188" t="str">
        <f>'Ashed teabags dry'!A186</f>
        <v>G350</v>
      </c>
      <c r="AU188" t="str">
        <f>'Ashed teabags dry'!A523</f>
        <v>R661</v>
      </c>
      <c r="AV188" t="b">
        <f t="shared" si="64"/>
        <v>0</v>
      </c>
      <c r="AW188" t="b">
        <f t="shared" si="65"/>
        <v>0</v>
      </c>
      <c r="AZ188" s="401" t="b">
        <f t="shared" si="66"/>
        <v>0</v>
      </c>
      <c r="BA188" s="401" t="b">
        <f t="shared" si="67"/>
        <v>0</v>
      </c>
      <c r="BC188" t="str">
        <f>'Ashed teabags wet'!A186</f>
        <v>G605</v>
      </c>
      <c r="BD188" t="str">
        <f>'Ashed teabags wet'!A603</f>
        <v>R4</v>
      </c>
      <c r="BE188" t="b">
        <f t="shared" si="68"/>
        <v>0</v>
      </c>
      <c r="BF188" t="b">
        <f t="shared" si="69"/>
        <v>0</v>
      </c>
      <c r="BG188">
        <f>IFERROR('Ashed teabags wet'!C186,"")</f>
        <v>74</v>
      </c>
      <c r="BH188">
        <f>IFERROR('Ashed teabags wet'!C603,"")</f>
        <v>92</v>
      </c>
      <c r="BI188">
        <f>'Ashed teabags wet'!AB186</f>
        <v>73</v>
      </c>
      <c r="BJ188" t="str">
        <f>'Ashed teabags wet'!AC186</f>
        <v/>
      </c>
      <c r="BK188" t="str">
        <f>'Ashed teabags wet'!AD603</f>
        <v/>
      </c>
      <c r="BL188">
        <f>'Ashed teabags wet'!AE603</f>
        <v>91</v>
      </c>
      <c r="BN188" t="str">
        <f t="shared" si="70"/>
        <v>G604</v>
      </c>
      <c r="BO188" t="b">
        <f t="shared" si="71"/>
        <v>1</v>
      </c>
    </row>
    <row r="189" spans="2:67" ht="12" customHeight="1">
      <c r="B189" t="str">
        <f>TBIDry!H261</f>
        <v>G295</v>
      </c>
      <c r="C189" t="str">
        <f>TBIDry!I261</f>
        <v>R717</v>
      </c>
      <c r="D189" t="b">
        <f t="shared" si="48"/>
        <v>0</v>
      </c>
      <c r="E189" t="b">
        <f t="shared" si="49"/>
        <v>0</v>
      </c>
      <c r="G189" t="str">
        <f>TBIWet!H261</f>
        <v>G544</v>
      </c>
      <c r="H189" t="str">
        <f>TBIWet!I261</f>
        <v>R557</v>
      </c>
      <c r="I189" t="b">
        <f t="shared" si="50"/>
        <v>0</v>
      </c>
      <c r="J189" t="b">
        <f t="shared" si="51"/>
        <v>0</v>
      </c>
      <c r="L189" t="str">
        <f>'Both teabags AfterWet'!A188</f>
        <v>G602</v>
      </c>
      <c r="M189" t="str">
        <f>'Both teabags AfterWet'!A606</f>
        <v>R39</v>
      </c>
      <c r="N189" t="b">
        <f t="shared" si="52"/>
        <v>0</v>
      </c>
      <c r="O189" t="b">
        <f t="shared" si="53"/>
        <v>0</v>
      </c>
      <c r="P189">
        <f>IFERROR('Both teabags AfterWet'!B188,"")</f>
        <v>45</v>
      </c>
      <c r="Q189">
        <f>'Both teabags AfterWet'!B606</f>
        <v>124</v>
      </c>
      <c r="S189" s="401" t="b">
        <f t="shared" si="54"/>
        <v>0</v>
      </c>
      <c r="T189" s="401" t="b">
        <f t="shared" si="55"/>
        <v>0</v>
      </c>
      <c r="V189" t="str">
        <f>'Both teabags AfterDry'!A188</f>
        <v>G35</v>
      </c>
      <c r="W189" t="str">
        <f>'Both teabags AfterDry'!A525</f>
        <v>R663</v>
      </c>
      <c r="X189" t="b">
        <f t="shared" si="56"/>
        <v>0</v>
      </c>
      <c r="Y189" t="b">
        <f t="shared" si="57"/>
        <v>0</v>
      </c>
      <c r="AA189" t="str">
        <f>'Green_rooibos initial weight'!A190</f>
        <v>G186</v>
      </c>
      <c r="AB189" t="str">
        <f>'Green_rooibos initial weight'!A1094</f>
        <v>R186</v>
      </c>
      <c r="AC189" t="b">
        <f t="shared" si="58"/>
        <v>0</v>
      </c>
      <c r="AD189" t="b">
        <f t="shared" si="59"/>
        <v>0</v>
      </c>
      <c r="AG189" t="str">
        <f>'WetLitterbags placem_collection'!K188</f>
        <v>G544</v>
      </c>
      <c r="AH189" t="str">
        <f>'WetLitterbags placem_collection'!M188</f>
        <v>R557</v>
      </c>
      <c r="AI189" t="b">
        <f t="shared" si="60"/>
        <v>0</v>
      </c>
      <c r="AJ189" t="b">
        <f t="shared" si="61"/>
        <v>0</v>
      </c>
      <c r="AK189">
        <f>'WetLitterbags placem_collection'!A188</f>
        <v>186</v>
      </c>
      <c r="AL189">
        <f>'WetLitterbags placem_collection'!A188</f>
        <v>186</v>
      </c>
      <c r="AN189">
        <f>IF('Dry_Litterbag Placem_Collection'!J188=0,"",'Dry_Litterbag Placem_Collection'!J188)</f>
        <v>295</v>
      </c>
      <c r="AO189">
        <f>IF('Dry_Litterbag Placem_Collection'!K188=0,"",'Dry_Litterbag Placem_Collection'!K188)</f>
        <v>717</v>
      </c>
      <c r="AP189" t="b">
        <f t="shared" si="62"/>
        <v>0</v>
      </c>
      <c r="AQ189" t="b">
        <f t="shared" si="63"/>
        <v>0</v>
      </c>
      <c r="AT189" t="str">
        <f>'Ashed teabags dry'!A187</f>
        <v>G353</v>
      </c>
      <c r="AU189" t="str">
        <f>'Ashed teabags dry'!A524</f>
        <v>R663</v>
      </c>
      <c r="AV189" t="b">
        <f t="shared" si="64"/>
        <v>0</v>
      </c>
      <c r="AW189" t="b">
        <f t="shared" si="65"/>
        <v>0</v>
      </c>
      <c r="AZ189" s="401" t="b">
        <f t="shared" si="66"/>
        <v>0</v>
      </c>
      <c r="BA189" s="401" t="b">
        <f t="shared" si="67"/>
        <v>0</v>
      </c>
      <c r="BC189" t="str">
        <f>'Ashed teabags wet'!A187</f>
        <v>G606</v>
      </c>
      <c r="BD189" t="str">
        <f>'Ashed teabags wet'!A604</f>
        <v>R40</v>
      </c>
      <c r="BE189" t="b">
        <f t="shared" si="68"/>
        <v>0</v>
      </c>
      <c r="BF189" t="b">
        <f t="shared" si="69"/>
        <v>0</v>
      </c>
      <c r="BG189">
        <f>IFERROR('Ashed teabags wet'!C187,"")</f>
        <v>10</v>
      </c>
      <c r="BH189">
        <f>IFERROR('Ashed teabags wet'!C604,"")</f>
        <v>145</v>
      </c>
      <c r="BI189" t="str">
        <f>'Ashed teabags wet'!AB187</f>
        <v/>
      </c>
      <c r="BJ189">
        <f>'Ashed teabags wet'!AC187</f>
        <v>9</v>
      </c>
      <c r="BK189" t="str">
        <f>'Ashed teabags wet'!AD604</f>
        <v/>
      </c>
      <c r="BL189">
        <f>'Ashed teabags wet'!AE604</f>
        <v>144</v>
      </c>
      <c r="BN189" t="str">
        <f t="shared" si="70"/>
        <v>G605</v>
      </c>
      <c r="BO189" t="b">
        <f t="shared" si="71"/>
        <v>1</v>
      </c>
    </row>
    <row r="190" spans="2:67" ht="12" customHeight="1">
      <c r="B190" t="str">
        <f>TBIDry!H262</f>
        <v>G242</v>
      </c>
      <c r="C190" t="str">
        <f>TBIDry!I262</f>
        <v>R759</v>
      </c>
      <c r="D190" t="b">
        <f t="shared" si="48"/>
        <v>0</v>
      </c>
      <c r="E190" t="b">
        <f t="shared" si="49"/>
        <v>0</v>
      </c>
      <c r="G190" t="str">
        <f>TBIWet!H262</f>
        <v>G620</v>
      </c>
      <c r="H190" t="str">
        <f>TBIWet!I262</f>
        <v>R427</v>
      </c>
      <c r="I190" t="b">
        <f t="shared" si="50"/>
        <v>0</v>
      </c>
      <c r="J190" t="b">
        <f t="shared" si="51"/>
        <v>0</v>
      </c>
      <c r="L190" t="str">
        <f>'Both teabags AfterWet'!A189</f>
        <v>G603</v>
      </c>
      <c r="M190" t="str">
        <f>'Both teabags AfterWet'!A607</f>
        <v>R390</v>
      </c>
      <c r="N190" t="b">
        <f t="shared" si="52"/>
        <v>0</v>
      </c>
      <c r="O190" t="b">
        <f t="shared" si="53"/>
        <v>0</v>
      </c>
      <c r="P190">
        <f>IFERROR('Both teabags AfterWet'!B189,"")</f>
        <v>75</v>
      </c>
      <c r="Q190">
        <f>'Both teabags AfterWet'!B607</f>
        <v>60</v>
      </c>
      <c r="S190" s="401" t="b">
        <f t="shared" si="54"/>
        <v>0</v>
      </c>
      <c r="T190" s="401" t="b">
        <f t="shared" si="55"/>
        <v>0</v>
      </c>
      <c r="V190" t="str">
        <f>'Both teabags AfterDry'!A189</f>
        <v>G350</v>
      </c>
      <c r="W190" t="str">
        <f>'Both teabags AfterDry'!A526</f>
        <v>R664</v>
      </c>
      <c r="X190" t="b">
        <f t="shared" si="56"/>
        <v>0</v>
      </c>
      <c r="Y190" t="b">
        <f t="shared" si="57"/>
        <v>0</v>
      </c>
      <c r="AA190" t="str">
        <f>'Green_rooibos initial weight'!A191</f>
        <v>G187</v>
      </c>
      <c r="AB190" t="str">
        <f>'Green_rooibos initial weight'!A1095</f>
        <v>R187</v>
      </c>
      <c r="AC190" t="b">
        <f t="shared" si="58"/>
        <v>0</v>
      </c>
      <c r="AD190" t="b">
        <f t="shared" si="59"/>
        <v>0</v>
      </c>
      <c r="AG190" t="str">
        <f>'WetLitterbags placem_collection'!K189</f>
        <v>G620</v>
      </c>
      <c r="AH190" t="str">
        <f>'WetLitterbags placem_collection'!M189</f>
        <v>R427</v>
      </c>
      <c r="AI190" t="b">
        <f t="shared" si="60"/>
        <v>0</v>
      </c>
      <c r="AJ190" t="b">
        <f t="shared" si="61"/>
        <v>0</v>
      </c>
      <c r="AK190">
        <f>'WetLitterbags placem_collection'!A189</f>
        <v>187</v>
      </c>
      <c r="AL190">
        <f>'WetLitterbags placem_collection'!A189</f>
        <v>187</v>
      </c>
      <c r="AN190">
        <f>IF('Dry_Litterbag Placem_Collection'!J189=0,"",'Dry_Litterbag Placem_Collection'!J189)</f>
        <v>242</v>
      </c>
      <c r="AO190">
        <f>IF('Dry_Litterbag Placem_Collection'!K189=0,"",'Dry_Litterbag Placem_Collection'!K189)</f>
        <v>759</v>
      </c>
      <c r="AP190" t="b">
        <f t="shared" si="62"/>
        <v>0</v>
      </c>
      <c r="AQ190" t="b">
        <f t="shared" si="63"/>
        <v>0</v>
      </c>
      <c r="AT190" t="str">
        <f>'Ashed teabags dry'!A188</f>
        <v>G356</v>
      </c>
      <c r="AU190" t="str">
        <f>'Ashed teabags dry'!A525</f>
        <v>R664</v>
      </c>
      <c r="AV190" t="b">
        <f t="shared" si="64"/>
        <v>0</v>
      </c>
      <c r="AW190" t="b">
        <f t="shared" si="65"/>
        <v>0</v>
      </c>
      <c r="AZ190" s="401" t="b">
        <f t="shared" si="66"/>
        <v>0</v>
      </c>
      <c r="BA190" s="401" t="b">
        <f t="shared" si="67"/>
        <v>0</v>
      </c>
      <c r="BC190" t="str">
        <f>'Ashed teabags wet'!A188</f>
        <v>G607</v>
      </c>
      <c r="BD190" t="str">
        <f>'Ashed teabags wet'!A605</f>
        <v>R403</v>
      </c>
      <c r="BE190" t="b">
        <f t="shared" si="68"/>
        <v>0</v>
      </c>
      <c r="BF190" t="b">
        <f t="shared" si="69"/>
        <v>0</v>
      </c>
      <c r="BG190">
        <f>IFERROR('Ashed teabags wet'!C188,"")</f>
        <v>80</v>
      </c>
      <c r="BH190">
        <f>IFERROR('Ashed teabags wet'!C605,"")</f>
        <v>169</v>
      </c>
      <c r="BI190">
        <f>'Ashed teabags wet'!AB188</f>
        <v>79</v>
      </c>
      <c r="BJ190" t="str">
        <f>'Ashed teabags wet'!AC188</f>
        <v/>
      </c>
      <c r="BK190" t="str">
        <f>'Ashed teabags wet'!AD605</f>
        <v/>
      </c>
      <c r="BL190">
        <f>'Ashed teabags wet'!AE605</f>
        <v>168</v>
      </c>
      <c r="BN190" t="str">
        <f t="shared" si="70"/>
        <v>G606</v>
      </c>
      <c r="BO190" t="b">
        <f t="shared" si="71"/>
        <v>1</v>
      </c>
    </row>
    <row r="191" spans="2:67" ht="12" customHeight="1">
      <c r="B191" t="str">
        <f>TBIDry!H263</f>
        <v>G146</v>
      </c>
      <c r="C191" t="str">
        <f>TBIDry!I263</f>
        <v>R357</v>
      </c>
      <c r="D191" t="b">
        <f t="shared" si="48"/>
        <v>0</v>
      </c>
      <c r="E191" t="b">
        <f t="shared" si="49"/>
        <v>0</v>
      </c>
      <c r="G191" t="str">
        <f>TBIWet!H263</f>
        <v>G420</v>
      </c>
      <c r="H191" t="str">
        <f>TBIWet!I263</f>
        <v>R523</v>
      </c>
      <c r="I191" t="b">
        <f t="shared" si="50"/>
        <v>0</v>
      </c>
      <c r="J191" t="b">
        <f t="shared" si="51"/>
        <v>0</v>
      </c>
      <c r="L191" t="str">
        <f>'Both teabags AfterWet'!A190</f>
        <v>G604</v>
      </c>
      <c r="M191" t="str">
        <f>'Both teabags AfterWet'!A608</f>
        <v>R391</v>
      </c>
      <c r="N191" t="b">
        <f t="shared" si="52"/>
        <v>0</v>
      </c>
      <c r="O191" t="b">
        <f t="shared" si="53"/>
        <v>0</v>
      </c>
      <c r="P191">
        <f>IFERROR('Both teabags AfterWet'!B190,"")</f>
        <v>209</v>
      </c>
      <c r="Q191">
        <f>'Both teabags AfterWet'!B608</f>
        <v>85</v>
      </c>
      <c r="S191" s="401" t="b">
        <f t="shared" si="54"/>
        <v>0</v>
      </c>
      <c r="T191" s="401" t="b">
        <f t="shared" si="55"/>
        <v>0</v>
      </c>
      <c r="V191" t="str">
        <f>'Both teabags AfterDry'!A190</f>
        <v>G353</v>
      </c>
      <c r="W191" t="str">
        <f>'Both teabags AfterDry'!A527</f>
        <v>R665</v>
      </c>
      <c r="X191" t="b">
        <f t="shared" si="56"/>
        <v>0</v>
      </c>
      <c r="Y191" t="b">
        <f t="shared" si="57"/>
        <v>0</v>
      </c>
      <c r="AA191" t="str">
        <f>'Green_rooibos initial weight'!A192</f>
        <v>G188</v>
      </c>
      <c r="AB191" t="str">
        <f>'Green_rooibos initial weight'!A1096</f>
        <v>R188</v>
      </c>
      <c r="AC191" t="b">
        <f t="shared" si="58"/>
        <v>0</v>
      </c>
      <c r="AD191" t="b">
        <f t="shared" si="59"/>
        <v>0</v>
      </c>
      <c r="AG191" t="str">
        <f>'WetLitterbags placem_collection'!K190</f>
        <v>G420</v>
      </c>
      <c r="AH191" t="str">
        <f>'WetLitterbags placem_collection'!M190</f>
        <v>R523</v>
      </c>
      <c r="AI191" t="b">
        <f t="shared" si="60"/>
        <v>0</v>
      </c>
      <c r="AJ191" t="b">
        <f t="shared" si="61"/>
        <v>0</v>
      </c>
      <c r="AK191">
        <f>'WetLitterbags placem_collection'!A190</f>
        <v>188</v>
      </c>
      <c r="AL191">
        <f>'WetLitterbags placem_collection'!A190</f>
        <v>188</v>
      </c>
      <c r="AN191">
        <f>IF('Dry_Litterbag Placem_Collection'!J190=0,"",'Dry_Litterbag Placem_Collection'!J190)</f>
        <v>146</v>
      </c>
      <c r="AO191">
        <f>IF('Dry_Litterbag Placem_Collection'!K190=0,"",'Dry_Litterbag Placem_Collection'!K190)</f>
        <v>357</v>
      </c>
      <c r="AP191" t="b">
        <f t="shared" si="62"/>
        <v>0</v>
      </c>
      <c r="AQ191" t="b">
        <f t="shared" si="63"/>
        <v>0</v>
      </c>
      <c r="AT191" t="str">
        <f>'Ashed teabags dry'!A189</f>
        <v>G357</v>
      </c>
      <c r="AU191" t="str">
        <f>'Ashed teabags dry'!A526</f>
        <v>R665</v>
      </c>
      <c r="AV191" t="b">
        <f t="shared" si="64"/>
        <v>0</v>
      </c>
      <c r="AW191" t="b">
        <f t="shared" si="65"/>
        <v>0</v>
      </c>
      <c r="AZ191" s="401" t="b">
        <f t="shared" si="66"/>
        <v>0</v>
      </c>
      <c r="BA191" s="401" t="b">
        <f t="shared" si="67"/>
        <v>0</v>
      </c>
      <c r="BC191" t="str">
        <f>'Ashed teabags wet'!A189</f>
        <v>G608</v>
      </c>
      <c r="BD191" t="str">
        <f>'Ashed teabags wet'!A606</f>
        <v>R406</v>
      </c>
      <c r="BE191" t="b">
        <f t="shared" si="68"/>
        <v>0</v>
      </c>
      <c r="BF191" t="b">
        <f t="shared" si="69"/>
        <v>0</v>
      </c>
      <c r="BG191">
        <f>IFERROR('Ashed teabags wet'!C189,"")</f>
        <v>186</v>
      </c>
      <c r="BH191">
        <f>IFERROR('Ashed teabags wet'!C606,"")</f>
        <v>8</v>
      </c>
      <c r="BI191" t="str">
        <f>'Ashed teabags wet'!AB189</f>
        <v/>
      </c>
      <c r="BJ191">
        <f>'Ashed teabags wet'!AC189</f>
        <v>185</v>
      </c>
      <c r="BK191">
        <f>'Ashed teabags wet'!AD606</f>
        <v>7</v>
      </c>
      <c r="BL191" t="str">
        <f>'Ashed teabags wet'!AE606</f>
        <v/>
      </c>
      <c r="BN191" t="str">
        <f t="shared" si="70"/>
        <v>G607</v>
      </c>
      <c r="BO191" t="b">
        <f t="shared" si="71"/>
        <v>1</v>
      </c>
    </row>
    <row r="192" spans="2:67" ht="12" customHeight="1">
      <c r="B192" t="str">
        <f>TBIDry!H264</f>
        <v>G144</v>
      </c>
      <c r="C192" t="str">
        <f>TBIDry!I264</f>
        <v>R18</v>
      </c>
      <c r="D192" t="b">
        <f t="shared" si="48"/>
        <v>0</v>
      </c>
      <c r="E192" t="b">
        <f t="shared" si="49"/>
        <v>0</v>
      </c>
      <c r="G192" t="str">
        <f>TBIWet!H264</f>
        <v>G367</v>
      </c>
      <c r="H192" t="str">
        <f>TBIWet!I264</f>
        <v>R354</v>
      </c>
      <c r="I192" t="b">
        <f t="shared" si="50"/>
        <v>0</v>
      </c>
      <c r="J192" t="b">
        <f t="shared" si="51"/>
        <v>0</v>
      </c>
      <c r="L192" t="str">
        <f>'Both teabags AfterWet'!A191</f>
        <v>G605</v>
      </c>
      <c r="M192" t="str">
        <f>'Both teabags AfterWet'!A609</f>
        <v>R392</v>
      </c>
      <c r="N192" t="b">
        <f t="shared" si="52"/>
        <v>0</v>
      </c>
      <c r="O192" t="b">
        <f t="shared" si="53"/>
        <v>0</v>
      </c>
      <c r="P192">
        <f>IFERROR('Both teabags AfterWet'!B191,"")</f>
        <v>74</v>
      </c>
      <c r="Q192" t="str">
        <f>'Both teabags AfterWet'!B609</f>
        <v>n.a</v>
      </c>
      <c r="S192" s="401" t="b">
        <f t="shared" si="54"/>
        <v>0</v>
      </c>
      <c r="T192" s="401" t="b">
        <f t="shared" si="55"/>
        <v>0</v>
      </c>
      <c r="V192" t="str">
        <f>'Both teabags AfterDry'!A191</f>
        <v>G356</v>
      </c>
      <c r="W192" t="str">
        <f>'Both teabags AfterDry'!A528</f>
        <v>R667</v>
      </c>
      <c r="X192" t="b">
        <f t="shared" si="56"/>
        <v>0</v>
      </c>
      <c r="Y192" t="b">
        <f t="shared" si="57"/>
        <v>0</v>
      </c>
      <c r="AA192" t="str">
        <f>'Green_rooibos initial weight'!A193</f>
        <v>G189</v>
      </c>
      <c r="AB192" t="str">
        <f>'Green_rooibos initial weight'!A1097</f>
        <v>R189</v>
      </c>
      <c r="AC192" t="b">
        <f t="shared" si="58"/>
        <v>0</v>
      </c>
      <c r="AD192" t="b">
        <f t="shared" si="59"/>
        <v>0</v>
      </c>
      <c r="AG192" t="str">
        <f>'WetLitterbags placem_collection'!K191</f>
        <v>G367</v>
      </c>
      <c r="AH192" t="str">
        <f>'WetLitterbags placem_collection'!M191</f>
        <v>R354</v>
      </c>
      <c r="AI192" t="b">
        <f t="shared" si="60"/>
        <v>0</v>
      </c>
      <c r="AJ192" t="b">
        <f t="shared" si="61"/>
        <v>0</v>
      </c>
      <c r="AK192">
        <f>'WetLitterbags placem_collection'!A191</f>
        <v>189</v>
      </c>
      <c r="AL192">
        <f>'WetLitterbags placem_collection'!A191</f>
        <v>189</v>
      </c>
      <c r="AN192">
        <f>IF('Dry_Litterbag Placem_Collection'!J191=0,"",'Dry_Litterbag Placem_Collection'!J191)</f>
        <v>144</v>
      </c>
      <c r="AO192">
        <f>IF('Dry_Litterbag Placem_Collection'!K191=0,"",'Dry_Litterbag Placem_Collection'!K191)</f>
        <v>18</v>
      </c>
      <c r="AP192" t="b">
        <f t="shared" si="62"/>
        <v>0</v>
      </c>
      <c r="AQ192" t="b">
        <f t="shared" si="63"/>
        <v>0</v>
      </c>
      <c r="AT192" t="str">
        <f>'Ashed teabags dry'!A190</f>
        <v>G36</v>
      </c>
      <c r="AU192" t="str">
        <f>'Ashed teabags dry'!A527</f>
        <v>R667</v>
      </c>
      <c r="AV192" t="b">
        <f t="shared" si="64"/>
        <v>0</v>
      </c>
      <c r="AW192" t="b">
        <f t="shared" si="65"/>
        <v>0</v>
      </c>
      <c r="AZ192" s="401" t="b">
        <f t="shared" si="66"/>
        <v>0</v>
      </c>
      <c r="BA192" s="401" t="b">
        <f t="shared" si="67"/>
        <v>0</v>
      </c>
      <c r="BC192" t="str">
        <f>'Ashed teabags wet'!A190</f>
        <v>G609</v>
      </c>
      <c r="BD192" t="str">
        <f>'Ashed teabags wet'!A607</f>
        <v>R41</v>
      </c>
      <c r="BE192" t="b">
        <f t="shared" si="68"/>
        <v>0</v>
      </c>
      <c r="BF192" t="b">
        <f t="shared" si="69"/>
        <v>0</v>
      </c>
      <c r="BG192">
        <f>IFERROR('Ashed teabags wet'!C190,"")</f>
        <v>14</v>
      </c>
      <c r="BH192">
        <f>IFERROR('Ashed teabags wet'!C607,"")</f>
        <v>112</v>
      </c>
      <c r="BI192">
        <f>'Ashed teabags wet'!AB190</f>
        <v>13</v>
      </c>
      <c r="BJ192" t="str">
        <f>'Ashed teabags wet'!AC190</f>
        <v/>
      </c>
      <c r="BK192">
        <f>'Ashed teabags wet'!AD607</f>
        <v>111</v>
      </c>
      <c r="BL192" t="str">
        <f>'Ashed teabags wet'!AE607</f>
        <v/>
      </c>
      <c r="BN192" s="180" t="str">
        <f t="shared" si="70"/>
        <v>G608</v>
      </c>
      <c r="BO192" s="113" t="b">
        <f t="shared" si="71"/>
        <v>0</v>
      </c>
    </row>
    <row r="193" spans="2:67" ht="12" customHeight="1">
      <c r="B193" t="str">
        <f>TBIDry!H265</f>
        <v>G171</v>
      </c>
      <c r="C193" t="str">
        <f>TBIDry!I265</f>
        <v>R397</v>
      </c>
      <c r="D193" t="b">
        <f t="shared" si="48"/>
        <v>0</v>
      </c>
      <c r="E193" t="b">
        <f t="shared" si="49"/>
        <v>0</v>
      </c>
      <c r="G193" t="str">
        <f>TBIWet!H265</f>
        <v>G526</v>
      </c>
      <c r="H193" t="str">
        <f>TBIWet!I265</f>
        <v>R164</v>
      </c>
      <c r="I193" t="b">
        <f t="shared" si="50"/>
        <v>0</v>
      </c>
      <c r="J193" t="b">
        <f t="shared" si="51"/>
        <v>0</v>
      </c>
      <c r="L193" t="str">
        <f>'Both teabags AfterWet'!A192</f>
        <v>G606</v>
      </c>
      <c r="M193" t="str">
        <f>'Both teabags AfterWet'!A610</f>
        <v>R393</v>
      </c>
      <c r="N193" t="b">
        <f t="shared" si="52"/>
        <v>0</v>
      </c>
      <c r="O193" t="b">
        <f t="shared" si="53"/>
        <v>0</v>
      </c>
      <c r="P193" t="str">
        <f>IFERROR('Both teabags AfterWet'!B192,"")</f>
        <v>n.a</v>
      </c>
      <c r="Q193" t="str">
        <f>'Both teabags AfterWet'!B610</f>
        <v>n.a</v>
      </c>
      <c r="S193" s="401" t="b">
        <f t="shared" si="54"/>
        <v>0</v>
      </c>
      <c r="T193" s="401" t="b">
        <f t="shared" si="55"/>
        <v>0</v>
      </c>
      <c r="V193" t="str">
        <f>'Both teabags AfterDry'!A192</f>
        <v>G357</v>
      </c>
      <c r="W193" t="str">
        <f>'Both teabags AfterDry'!A529</f>
        <v>R669</v>
      </c>
      <c r="X193" t="b">
        <f t="shared" si="56"/>
        <v>0</v>
      </c>
      <c r="Y193" t="b">
        <f t="shared" si="57"/>
        <v>0</v>
      </c>
      <c r="AA193" t="str">
        <f>'Green_rooibos initial weight'!A194</f>
        <v>G190</v>
      </c>
      <c r="AB193" t="str">
        <f>'Green_rooibos initial weight'!A1098</f>
        <v>R190</v>
      </c>
      <c r="AC193" t="b">
        <f t="shared" si="58"/>
        <v>0</v>
      </c>
      <c r="AD193" t="b">
        <f t="shared" si="59"/>
        <v>0</v>
      </c>
      <c r="AG193" t="str">
        <f>'WetLitterbags placem_collection'!K192</f>
        <v>G526</v>
      </c>
      <c r="AH193" t="str">
        <f>'WetLitterbags placem_collection'!M192</f>
        <v>R164</v>
      </c>
      <c r="AI193" t="b">
        <f t="shared" si="60"/>
        <v>0</v>
      </c>
      <c r="AJ193" t="b">
        <f t="shared" si="61"/>
        <v>0</v>
      </c>
      <c r="AK193">
        <f>'WetLitterbags placem_collection'!A192</f>
        <v>190</v>
      </c>
      <c r="AL193">
        <f>'WetLitterbags placem_collection'!A192</f>
        <v>190</v>
      </c>
      <c r="AN193">
        <f>IF('Dry_Litterbag Placem_Collection'!J192=0,"",'Dry_Litterbag Placem_Collection'!J192)</f>
        <v>171</v>
      </c>
      <c r="AO193">
        <f>IF('Dry_Litterbag Placem_Collection'!K192=0,"",'Dry_Litterbag Placem_Collection'!K192)</f>
        <v>397</v>
      </c>
      <c r="AP193" t="b">
        <f t="shared" si="62"/>
        <v>0</v>
      </c>
      <c r="AQ193" t="b">
        <f t="shared" si="63"/>
        <v>0</v>
      </c>
      <c r="AT193" t="str">
        <f>'Ashed teabags dry'!A191</f>
        <v>G361</v>
      </c>
      <c r="AU193" t="str">
        <f>'Ashed teabags dry'!A528</f>
        <v>R669</v>
      </c>
      <c r="AV193" t="b">
        <f t="shared" si="64"/>
        <v>0</v>
      </c>
      <c r="AW193" t="b">
        <f t="shared" si="65"/>
        <v>0</v>
      </c>
      <c r="AZ193" s="401" t="b">
        <f t="shared" si="66"/>
        <v>0</v>
      </c>
      <c r="BA193" s="401" t="b">
        <f t="shared" si="67"/>
        <v>0</v>
      </c>
      <c r="BC193" t="str">
        <f>'Ashed teabags wet'!A191</f>
        <v>G610</v>
      </c>
      <c r="BD193" t="str">
        <f>'Ashed teabags wet'!A608</f>
        <v>R410</v>
      </c>
      <c r="BE193" t="b">
        <f t="shared" si="68"/>
        <v>0</v>
      </c>
      <c r="BF193" t="b">
        <f t="shared" si="69"/>
        <v>0</v>
      </c>
      <c r="BG193">
        <f>IFERROR('Ashed teabags wet'!C191,"")</f>
        <v>98</v>
      </c>
      <c r="BH193">
        <f>IFERROR('Ashed teabags wet'!C608,"")</f>
        <v>217</v>
      </c>
      <c r="BI193">
        <f>'Ashed teabags wet'!AB191</f>
        <v>97</v>
      </c>
      <c r="BJ193" t="str">
        <f>'Ashed teabags wet'!AC191</f>
        <v/>
      </c>
      <c r="BK193" t="str">
        <f>'Ashed teabags wet'!AD608</f>
        <v/>
      </c>
      <c r="BL193">
        <f>'Ashed teabags wet'!AE608</f>
        <v>216</v>
      </c>
      <c r="BN193" t="str">
        <f t="shared" si="70"/>
        <v>G609</v>
      </c>
      <c r="BO193" t="b">
        <f t="shared" si="71"/>
        <v>1</v>
      </c>
    </row>
    <row r="194" spans="2:67" ht="12" customHeight="1">
      <c r="B194" t="str">
        <f>TBIDry!H266</f>
        <v>G232</v>
      </c>
      <c r="C194" t="str">
        <f>TBIDry!I266</f>
        <v>R715</v>
      </c>
      <c r="D194" t="b">
        <f t="shared" si="48"/>
        <v>0</v>
      </c>
      <c r="E194" t="b">
        <f t="shared" si="49"/>
        <v>0</v>
      </c>
      <c r="G194" t="str">
        <f>TBIWet!H266</f>
        <v>G522</v>
      </c>
      <c r="H194" t="str">
        <f>TBIWet!I266</f>
        <v>R336</v>
      </c>
      <c r="I194" t="b">
        <f t="shared" si="50"/>
        <v>0</v>
      </c>
      <c r="J194" t="b">
        <f t="shared" si="51"/>
        <v>0</v>
      </c>
      <c r="L194" t="str">
        <f>'Both teabags AfterWet'!A193</f>
        <v>G607</v>
      </c>
      <c r="M194" t="str">
        <f>'Both teabags AfterWet'!A611</f>
        <v>R395</v>
      </c>
      <c r="N194" t="b">
        <f t="shared" si="52"/>
        <v>0</v>
      </c>
      <c r="O194" t="b">
        <f t="shared" si="53"/>
        <v>0</v>
      </c>
      <c r="P194">
        <f>IFERROR('Both teabags AfterWet'!B193,"")</f>
        <v>80</v>
      </c>
      <c r="Q194">
        <f>'Both teabags AfterWet'!B611</f>
        <v>201</v>
      </c>
      <c r="S194" s="401" t="b">
        <f t="shared" si="54"/>
        <v>0</v>
      </c>
      <c r="T194" s="401" t="b">
        <f t="shared" si="55"/>
        <v>0</v>
      </c>
      <c r="V194" t="str">
        <f>'Both teabags AfterDry'!A193</f>
        <v>G36</v>
      </c>
      <c r="W194" t="str">
        <f>'Both teabags AfterDry'!A530</f>
        <v>R670</v>
      </c>
      <c r="X194" t="b">
        <f t="shared" si="56"/>
        <v>0</v>
      </c>
      <c r="Y194" t="b">
        <f t="shared" si="57"/>
        <v>0</v>
      </c>
      <c r="AA194" t="str">
        <f>'Green_rooibos initial weight'!A195</f>
        <v>G191</v>
      </c>
      <c r="AB194" t="str">
        <f>'Green_rooibos initial weight'!A1099</f>
        <v>R191</v>
      </c>
      <c r="AC194" t="b">
        <f t="shared" si="58"/>
        <v>0</v>
      </c>
      <c r="AD194" t="b">
        <f t="shared" si="59"/>
        <v>0</v>
      </c>
      <c r="AG194" t="str">
        <f>'WetLitterbags placem_collection'!K193</f>
        <v>G522</v>
      </c>
      <c r="AH194" t="str">
        <f>'WetLitterbags placem_collection'!M193</f>
        <v>R336</v>
      </c>
      <c r="AI194" t="b">
        <f t="shared" si="60"/>
        <v>0</v>
      </c>
      <c r="AJ194" t="b">
        <f t="shared" si="61"/>
        <v>0</v>
      </c>
      <c r="AK194">
        <f>'WetLitterbags placem_collection'!A193</f>
        <v>191</v>
      </c>
      <c r="AL194">
        <f>'WetLitterbags placem_collection'!A193</f>
        <v>191</v>
      </c>
      <c r="AN194">
        <f>IF('Dry_Litterbag Placem_Collection'!J193=0,"",'Dry_Litterbag Placem_Collection'!J193)</f>
        <v>232</v>
      </c>
      <c r="AO194">
        <f>IF('Dry_Litterbag Placem_Collection'!K193=0,"",'Dry_Litterbag Placem_Collection'!K193)</f>
        <v>715</v>
      </c>
      <c r="AP194" t="b">
        <f t="shared" si="62"/>
        <v>0</v>
      </c>
      <c r="AQ194" t="b">
        <f t="shared" si="63"/>
        <v>0</v>
      </c>
      <c r="AT194" t="str">
        <f>'Ashed teabags dry'!A192</f>
        <v>G363</v>
      </c>
      <c r="AU194" t="str">
        <f>'Ashed teabags dry'!A529</f>
        <v>R670</v>
      </c>
      <c r="AV194" t="b">
        <f t="shared" si="64"/>
        <v>0</v>
      </c>
      <c r="AW194" t="b">
        <f t="shared" si="65"/>
        <v>0</v>
      </c>
      <c r="AZ194" s="401" t="b">
        <f t="shared" si="66"/>
        <v>0</v>
      </c>
      <c r="BA194" s="401" t="b">
        <f t="shared" si="67"/>
        <v>0</v>
      </c>
      <c r="BC194" t="str">
        <f>'Ashed teabags wet'!A192</f>
        <v>G613</v>
      </c>
      <c r="BD194" t="str">
        <f>'Ashed teabags wet'!A609</f>
        <v>R411</v>
      </c>
      <c r="BE194" t="b">
        <f t="shared" si="68"/>
        <v>0</v>
      </c>
      <c r="BF194" t="b">
        <f t="shared" si="69"/>
        <v>0</v>
      </c>
      <c r="BG194">
        <f>IFERROR('Ashed teabags wet'!C192,"")</f>
        <v>216</v>
      </c>
      <c r="BH194">
        <f>IFERROR('Ashed teabags wet'!C609,"")</f>
        <v>165</v>
      </c>
      <c r="BI194" t="str">
        <f>'Ashed teabags wet'!AB192</f>
        <v/>
      </c>
      <c r="BJ194">
        <f>'Ashed teabags wet'!AC192</f>
        <v>215</v>
      </c>
      <c r="BK194" t="str">
        <f>'Ashed teabags wet'!AD609</f>
        <v/>
      </c>
      <c r="BL194">
        <f>'Ashed teabags wet'!AE609</f>
        <v>164</v>
      </c>
      <c r="BN194" t="str">
        <f t="shared" si="70"/>
        <v>G610</v>
      </c>
      <c r="BO194" t="b">
        <f t="shared" si="71"/>
        <v>1</v>
      </c>
    </row>
    <row r="195" spans="2:67" ht="12" customHeight="1">
      <c r="B195" t="str">
        <f>TBIDry!H267</f>
        <v/>
      </c>
      <c r="C195" t="str">
        <f>TBIDry!I267</f>
        <v/>
      </c>
      <c r="D195" t="b">
        <f t="shared" si="48"/>
        <v>1</v>
      </c>
      <c r="E195" t="b">
        <f t="shared" si="49"/>
        <v>1</v>
      </c>
      <c r="G195" t="str">
        <f>TBIWet!H267</f>
        <v>G591</v>
      </c>
      <c r="H195" t="str">
        <f>TBIWet!I267</f>
        <v>R263</v>
      </c>
      <c r="I195" t="b">
        <f t="shared" si="50"/>
        <v>0</v>
      </c>
      <c r="J195" t="b">
        <f t="shared" si="51"/>
        <v>0</v>
      </c>
      <c r="L195" t="str">
        <f>'Both teabags AfterWet'!A194</f>
        <v>G609</v>
      </c>
      <c r="M195" t="str">
        <f>'Both teabags AfterWet'!A612</f>
        <v>R396</v>
      </c>
      <c r="N195" t="b">
        <f t="shared" si="52"/>
        <v>0</v>
      </c>
      <c r="O195" t="b">
        <f t="shared" si="53"/>
        <v>0</v>
      </c>
      <c r="P195">
        <f>IFERROR('Both teabags AfterWet'!B194,"")</f>
        <v>14</v>
      </c>
      <c r="Q195" t="str">
        <f>'Both teabags AfterWet'!B612</f>
        <v>n.a</v>
      </c>
      <c r="S195" s="401" t="b">
        <f t="shared" si="54"/>
        <v>0</v>
      </c>
      <c r="T195" s="401" t="b">
        <f t="shared" si="55"/>
        <v>0</v>
      </c>
      <c r="V195" t="str">
        <f>'Both teabags AfterDry'!A194</f>
        <v>G361</v>
      </c>
      <c r="W195" t="str">
        <f>'Both teabags AfterDry'!A531</f>
        <v>R671</v>
      </c>
      <c r="X195" t="b">
        <f t="shared" si="56"/>
        <v>0</v>
      </c>
      <c r="Y195" t="b">
        <f t="shared" si="57"/>
        <v>0</v>
      </c>
      <c r="AA195" t="str">
        <f>'Green_rooibos initial weight'!A196</f>
        <v>G192</v>
      </c>
      <c r="AB195" t="str">
        <f>'Green_rooibos initial weight'!A1100</f>
        <v>R192</v>
      </c>
      <c r="AC195" t="b">
        <f t="shared" si="58"/>
        <v>0</v>
      </c>
      <c r="AD195" t="b">
        <f t="shared" si="59"/>
        <v>0</v>
      </c>
      <c r="AG195" t="str">
        <f>'WetLitterbags placem_collection'!K194</f>
        <v>G591</v>
      </c>
      <c r="AH195" t="str">
        <f>'WetLitterbags placem_collection'!M194</f>
        <v>R263</v>
      </c>
      <c r="AI195" t="b">
        <f t="shared" si="60"/>
        <v>0</v>
      </c>
      <c r="AJ195" t="b">
        <f t="shared" si="61"/>
        <v>0</v>
      </c>
      <c r="AK195">
        <f>'WetLitterbags placem_collection'!A194</f>
        <v>192</v>
      </c>
      <c r="AL195">
        <f>'WetLitterbags placem_collection'!A194</f>
        <v>192</v>
      </c>
      <c r="AN195" t="str">
        <f>IF('Dry_Litterbag Placem_Collection'!J194=0,"",'Dry_Litterbag Placem_Collection'!J194)</f>
        <v/>
      </c>
      <c r="AO195" t="str">
        <f>IF('Dry_Litterbag Placem_Collection'!K194=0,"",'Dry_Litterbag Placem_Collection'!K194)</f>
        <v/>
      </c>
      <c r="AP195" t="b">
        <f t="shared" si="62"/>
        <v>1</v>
      </c>
      <c r="AQ195" t="b">
        <f t="shared" si="63"/>
        <v>1</v>
      </c>
      <c r="AT195" t="str">
        <f>'Ashed teabags dry'!A193</f>
        <v>G364</v>
      </c>
      <c r="AU195" t="str">
        <f>'Ashed teabags dry'!A530</f>
        <v>R671</v>
      </c>
      <c r="AV195" t="b">
        <f t="shared" si="64"/>
        <v>0</v>
      </c>
      <c r="AW195" t="b">
        <f t="shared" si="65"/>
        <v>0</v>
      </c>
      <c r="AZ195" s="401" t="b">
        <f t="shared" si="66"/>
        <v>0</v>
      </c>
      <c r="BA195" s="401" t="b">
        <f t="shared" si="67"/>
        <v>0</v>
      </c>
      <c r="BC195" t="str">
        <f>'Ashed teabags wet'!A193</f>
        <v>G614</v>
      </c>
      <c r="BD195" t="str">
        <f>'Ashed teabags wet'!A610</f>
        <v>R412</v>
      </c>
      <c r="BE195" t="b">
        <f t="shared" si="68"/>
        <v>0</v>
      </c>
      <c r="BF195" t="b">
        <f t="shared" si="69"/>
        <v>0</v>
      </c>
      <c r="BG195">
        <f>IFERROR('Ashed teabags wet'!C193,"")</f>
        <v>65</v>
      </c>
      <c r="BH195">
        <f>IFERROR('Ashed teabags wet'!C610,"")</f>
        <v>214</v>
      </c>
      <c r="BI195">
        <f>'Ashed teabags wet'!AB193</f>
        <v>64</v>
      </c>
      <c r="BJ195" t="str">
        <f>'Ashed teabags wet'!AC193</f>
        <v/>
      </c>
      <c r="BK195" t="str">
        <f>'Ashed teabags wet'!AD610</f>
        <v/>
      </c>
      <c r="BL195">
        <f>'Ashed teabags wet'!AE610</f>
        <v>213</v>
      </c>
      <c r="BN195" t="str">
        <f t="shared" si="70"/>
        <v>G613</v>
      </c>
      <c r="BO195" t="b">
        <f t="shared" si="71"/>
        <v>1</v>
      </c>
    </row>
    <row r="196" spans="2:67" ht="12" customHeight="1">
      <c r="B196" t="str">
        <f>TBIDry!H268</f>
        <v>G257</v>
      </c>
      <c r="C196" t="str">
        <f>TBIDry!I268</f>
        <v>R695</v>
      </c>
      <c r="D196" t="b">
        <f t="shared" si="48"/>
        <v>0</v>
      </c>
      <c r="E196" t="b">
        <f t="shared" si="49"/>
        <v>0</v>
      </c>
      <c r="G196" t="str">
        <f>TBIWet!H268</f>
        <v>G863</v>
      </c>
      <c r="H196" t="str">
        <f>TBIWet!I268</f>
        <v>R125</v>
      </c>
      <c r="I196" t="b">
        <f t="shared" si="50"/>
        <v>0</v>
      </c>
      <c r="J196" t="b">
        <f t="shared" si="51"/>
        <v>0</v>
      </c>
      <c r="L196" t="str">
        <f>'Both teabags AfterWet'!A195</f>
        <v>G610</v>
      </c>
      <c r="M196" t="str">
        <f>'Both teabags AfterWet'!A613</f>
        <v>R398</v>
      </c>
      <c r="N196" t="b">
        <f t="shared" si="52"/>
        <v>0</v>
      </c>
      <c r="O196" t="b">
        <f t="shared" si="53"/>
        <v>0</v>
      </c>
      <c r="P196">
        <f>IFERROR('Both teabags AfterWet'!B195,"")</f>
        <v>98</v>
      </c>
      <c r="Q196">
        <f>'Both teabags AfterWet'!B613</f>
        <v>7</v>
      </c>
      <c r="S196" s="401" t="b">
        <f t="shared" si="54"/>
        <v>0</v>
      </c>
      <c r="T196" s="401" t="b">
        <f t="shared" si="55"/>
        <v>0</v>
      </c>
      <c r="V196" t="str">
        <f>'Both teabags AfterDry'!A195</f>
        <v>G363</v>
      </c>
      <c r="W196" t="str">
        <f>'Both teabags AfterDry'!A532</f>
        <v>R673</v>
      </c>
      <c r="X196" t="b">
        <f t="shared" si="56"/>
        <v>0</v>
      </c>
      <c r="Y196" t="b">
        <f t="shared" si="57"/>
        <v>0</v>
      </c>
      <c r="AA196" t="str">
        <f>'Green_rooibos initial weight'!A197</f>
        <v>G193</v>
      </c>
      <c r="AB196" t="str">
        <f>'Green_rooibos initial weight'!A1101</f>
        <v>R193</v>
      </c>
      <c r="AC196" t="b">
        <f t="shared" si="58"/>
        <v>0</v>
      </c>
      <c r="AD196" t="b">
        <f t="shared" si="59"/>
        <v>0</v>
      </c>
      <c r="AG196" t="str">
        <f>'WetLitterbags placem_collection'!K195</f>
        <v>G863</v>
      </c>
      <c r="AH196" t="str">
        <f>'WetLitterbags placem_collection'!M195</f>
        <v>R125</v>
      </c>
      <c r="AI196" t="b">
        <f t="shared" si="60"/>
        <v>0</v>
      </c>
      <c r="AJ196" t="b">
        <f t="shared" si="61"/>
        <v>0</v>
      </c>
      <c r="AK196">
        <f>'WetLitterbags placem_collection'!A195</f>
        <v>193</v>
      </c>
      <c r="AL196">
        <f>'WetLitterbags placem_collection'!A195</f>
        <v>193</v>
      </c>
      <c r="AN196">
        <f>IF('Dry_Litterbag Placem_Collection'!J195=0,"",'Dry_Litterbag Placem_Collection'!J195)</f>
        <v>257</v>
      </c>
      <c r="AO196">
        <f>IF('Dry_Litterbag Placem_Collection'!K195=0,"",'Dry_Litterbag Placem_Collection'!K195)</f>
        <v>695</v>
      </c>
      <c r="AP196" t="b">
        <f t="shared" si="62"/>
        <v>0</v>
      </c>
      <c r="AQ196" t="b">
        <f t="shared" si="63"/>
        <v>0</v>
      </c>
      <c r="AT196" t="str">
        <f>'Ashed teabags dry'!A194</f>
        <v>G370</v>
      </c>
      <c r="AU196" t="str">
        <f>'Ashed teabags dry'!A531</f>
        <v>R673</v>
      </c>
      <c r="AV196" t="b">
        <f t="shared" si="64"/>
        <v>0</v>
      </c>
      <c r="AW196" t="b">
        <f t="shared" si="65"/>
        <v>0</v>
      </c>
      <c r="AZ196" s="401" t="b">
        <f t="shared" si="66"/>
        <v>0</v>
      </c>
      <c r="BA196" s="401" t="b">
        <f t="shared" si="67"/>
        <v>0</v>
      </c>
      <c r="BC196" t="str">
        <f>'Ashed teabags wet'!A194</f>
        <v>G615</v>
      </c>
      <c r="BD196" t="str">
        <f>'Ashed teabags wet'!A611</f>
        <v>R414</v>
      </c>
      <c r="BE196" t="b">
        <f t="shared" si="68"/>
        <v>0</v>
      </c>
      <c r="BF196" t="b">
        <f t="shared" si="69"/>
        <v>0</v>
      </c>
      <c r="BG196">
        <f>IFERROR('Ashed teabags wet'!C194,"")</f>
        <v>194</v>
      </c>
      <c r="BH196">
        <f>IFERROR('Ashed teabags wet'!C611,"")</f>
        <v>69</v>
      </c>
      <c r="BI196">
        <f>'Ashed teabags wet'!AB194</f>
        <v>193</v>
      </c>
      <c r="BJ196" t="str">
        <f>'Ashed teabags wet'!AC194</f>
        <v/>
      </c>
      <c r="BK196">
        <f>'Ashed teabags wet'!AD611</f>
        <v>68</v>
      </c>
      <c r="BL196" t="str">
        <f>'Ashed teabags wet'!AE611</f>
        <v/>
      </c>
      <c r="BN196" t="str">
        <f t="shared" si="70"/>
        <v>G614</v>
      </c>
      <c r="BO196" t="b">
        <f t="shared" si="71"/>
        <v>1</v>
      </c>
    </row>
    <row r="197" spans="2:67" ht="12" customHeight="1">
      <c r="B197" t="str">
        <f>TBIDry!H269</f>
        <v>G148</v>
      </c>
      <c r="C197" t="str">
        <f>TBIDry!I269</f>
        <v>R653</v>
      </c>
      <c r="D197" t="b">
        <f t="shared" ref="D197:D260" si="72">COUNTIF($B$4:$B$2000, B197)&gt;1</f>
        <v>0</v>
      </c>
      <c r="E197" t="b">
        <f t="shared" ref="E197:E260" si="73">COUNTIF($C$4:$C$2000, C197)&gt;1</f>
        <v>0</v>
      </c>
      <c r="G197" t="str">
        <f>TBIWet!H269</f>
        <v>G615</v>
      </c>
      <c r="H197" t="str">
        <f>TBIWet!I269</f>
        <v>R289</v>
      </c>
      <c r="I197" t="b">
        <f t="shared" ref="I197:I260" si="74">COUNTIF($G$4:$G$2000, G197)&gt;1</f>
        <v>0</v>
      </c>
      <c r="J197" t="b">
        <f t="shared" ref="J197:J260" si="75">COUNTIF($H$4:$H$2000, H197)&gt;1</f>
        <v>0</v>
      </c>
      <c r="L197" t="str">
        <f>'Both teabags AfterWet'!A196</f>
        <v>G613</v>
      </c>
      <c r="M197" t="str">
        <f>'Both teabags AfterWet'!A614</f>
        <v>R4</v>
      </c>
      <c r="N197" t="b">
        <f t="shared" ref="N197:N260" si="76">COUNTIF($L$4:$L$2000, L197)&gt;1</f>
        <v>0</v>
      </c>
      <c r="O197" t="b">
        <f t="shared" ref="O197:O260" si="77">COUNTIF($M$4:$M$2000, M197)&gt;1</f>
        <v>0</v>
      </c>
      <c r="P197">
        <f>IFERROR('Both teabags AfterWet'!B196,"")</f>
        <v>216</v>
      </c>
      <c r="Q197">
        <f>'Both teabags AfterWet'!B614</f>
        <v>92</v>
      </c>
      <c r="S197" s="401" t="b">
        <f t="shared" ref="S197:S260" si="78">COUNTIF($V$4:$V$2000, L197)=1</f>
        <v>0</v>
      </c>
      <c r="T197" s="401" t="b">
        <f t="shared" ref="T197:T260" si="79">COUNTIF($W$4:$W$2000, M197)=1</f>
        <v>0</v>
      </c>
      <c r="V197" t="str">
        <f>'Both teabags AfterDry'!A196</f>
        <v>G364</v>
      </c>
      <c r="W197" t="str">
        <f>'Both teabags AfterDry'!A533</f>
        <v>R674</v>
      </c>
      <c r="X197" t="b">
        <f t="shared" ref="X197:X260" si="80">COUNTIF($V$4:$V$2000, V197)&gt;1</f>
        <v>0</v>
      </c>
      <c r="Y197" t="b">
        <f t="shared" ref="Y197:Y260" si="81">COUNTIF($W$4:$W$2000, W197)&gt;1</f>
        <v>0</v>
      </c>
      <c r="AA197" t="str">
        <f>'Green_rooibos initial weight'!A198</f>
        <v>G194</v>
      </c>
      <c r="AB197" t="str">
        <f>'Green_rooibos initial weight'!A1102</f>
        <v>R194</v>
      </c>
      <c r="AC197" t="b">
        <f t="shared" ref="AC197:AC260" si="82">COUNTIF($AA$4:$AA$2000, AA197)&gt;1</f>
        <v>0</v>
      </c>
      <c r="AD197" t="b">
        <f t="shared" ref="AD197:AD260" si="83">COUNTIF($AB$4:$AB$2000, AB197)&gt;1</f>
        <v>0</v>
      </c>
      <c r="AG197" t="str">
        <f>'WetLitterbags placem_collection'!K196</f>
        <v>G615</v>
      </c>
      <c r="AH197" t="str">
        <f>'WetLitterbags placem_collection'!M196</f>
        <v>R289</v>
      </c>
      <c r="AI197" t="b">
        <f t="shared" ref="AI197:AI260" si="84">COUNTIF($AG$4:$AG$2000, AG197)&gt;1</f>
        <v>0</v>
      </c>
      <c r="AJ197" t="b">
        <f t="shared" ref="AJ197:AJ260" si="85">COUNTIF($AH$4:$AH$2000, AH197)&gt;1</f>
        <v>0</v>
      </c>
      <c r="AK197">
        <f>'WetLitterbags placem_collection'!A196</f>
        <v>194</v>
      </c>
      <c r="AL197">
        <f>'WetLitterbags placem_collection'!A196</f>
        <v>194</v>
      </c>
      <c r="AN197">
        <f>IF('Dry_Litterbag Placem_Collection'!J196=0,"",'Dry_Litterbag Placem_Collection'!J196)</f>
        <v>148</v>
      </c>
      <c r="AO197">
        <f>IF('Dry_Litterbag Placem_Collection'!K196=0,"",'Dry_Litterbag Placem_Collection'!K196)</f>
        <v>653</v>
      </c>
      <c r="AP197" t="b">
        <f t="shared" ref="AP197:AP260" si="86">COUNTIF($AN$4:$AN$2000, AN197)&gt;1</f>
        <v>0</v>
      </c>
      <c r="AQ197" t="b">
        <f t="shared" ref="AQ197:AQ260" si="87">COUNTIF($AO$4:$AO$2000, AO197)&gt;1</f>
        <v>0</v>
      </c>
      <c r="AT197" t="str">
        <f>'Ashed teabags dry'!A195</f>
        <v>G371</v>
      </c>
      <c r="AU197" t="str">
        <f>'Ashed teabags dry'!A532</f>
        <v>R674</v>
      </c>
      <c r="AV197" t="b">
        <f t="shared" ref="AV197:AV260" si="88">COUNTIF($AT$4:$AT$2000, AT197)&gt;1</f>
        <v>0</v>
      </c>
      <c r="AW197" t="b">
        <f t="shared" ref="AW197:AW260" si="89">COUNTIF($AU$4:$AU$2000, AU197)&gt;1</f>
        <v>0</v>
      </c>
      <c r="AZ197" s="401" t="b">
        <f t="shared" ref="AZ197:AZ260" si="90">COUNTIF($BC$4:$BC$2000, AT197)=1</f>
        <v>0</v>
      </c>
      <c r="BA197" s="401" t="b">
        <f t="shared" ref="BA197:BA260" si="91">COUNTIF($BD$4:$BD$2000, AU197)=1</f>
        <v>0</v>
      </c>
      <c r="BC197" t="str">
        <f>'Ashed teabags wet'!A195</f>
        <v>G616</v>
      </c>
      <c r="BD197" t="str">
        <f>'Ashed teabags wet'!A612</f>
        <v>R415</v>
      </c>
      <c r="BE197" t="b">
        <f t="shared" ref="BE197:BE260" si="92">COUNTIF($BC$4:$BC$2000, BC197)&gt;1</f>
        <v>0</v>
      </c>
      <c r="BF197" t="b">
        <f t="shared" ref="BF197:BF260" si="93">COUNTIF($BD$4:$BD$2000, BD197)&gt;1</f>
        <v>0</v>
      </c>
      <c r="BG197">
        <f>IFERROR('Ashed teabags wet'!C195,"")</f>
        <v>55</v>
      </c>
      <c r="BH197">
        <f>IFERROR('Ashed teabags wet'!C612,"")</f>
        <v>15</v>
      </c>
      <c r="BI197" t="str">
        <f>'Ashed teabags wet'!AB195</f>
        <v/>
      </c>
      <c r="BJ197">
        <f>'Ashed teabags wet'!AC195</f>
        <v>54</v>
      </c>
      <c r="BK197">
        <f>'Ashed teabags wet'!AD612</f>
        <v>14</v>
      </c>
      <c r="BL197" t="str">
        <f>'Ashed teabags wet'!AE612</f>
        <v/>
      </c>
      <c r="BN197" s="180" t="str">
        <f t="shared" ref="BN197:BN260" si="94">BC196</f>
        <v>G615</v>
      </c>
      <c r="BO197" s="113" t="b">
        <f t="shared" si="71"/>
        <v>0</v>
      </c>
    </row>
    <row r="198" spans="2:67" ht="12" customHeight="1">
      <c r="B198" t="str">
        <f>TBIDry!H270</f>
        <v>G105</v>
      </c>
      <c r="C198" t="str">
        <f>TBIDry!I270</f>
        <v>R389</v>
      </c>
      <c r="D198" t="b">
        <f t="shared" si="72"/>
        <v>0</v>
      </c>
      <c r="E198" t="b">
        <f t="shared" si="73"/>
        <v>0</v>
      </c>
      <c r="G198" t="str">
        <f>TBIWet!H270</f>
        <v>G821</v>
      </c>
      <c r="H198" t="str">
        <f>TBIWet!I270</f>
        <v>R378</v>
      </c>
      <c r="I198" t="b">
        <f t="shared" si="74"/>
        <v>0</v>
      </c>
      <c r="J198" t="b">
        <f t="shared" si="75"/>
        <v>0</v>
      </c>
      <c r="L198" t="str">
        <f>'Both teabags AfterWet'!A197</f>
        <v>G614</v>
      </c>
      <c r="M198" t="str">
        <f>'Both teabags AfterWet'!A615</f>
        <v>R40</v>
      </c>
      <c r="N198" t="b">
        <f t="shared" si="76"/>
        <v>0</v>
      </c>
      <c r="O198" t="b">
        <f t="shared" si="77"/>
        <v>0</v>
      </c>
      <c r="P198">
        <f>IFERROR('Both teabags AfterWet'!B197,"")</f>
        <v>65</v>
      </c>
      <c r="Q198">
        <f>'Both teabags AfterWet'!B615</f>
        <v>145</v>
      </c>
      <c r="S198" s="401" t="b">
        <f t="shared" si="78"/>
        <v>0</v>
      </c>
      <c r="T198" s="401" t="b">
        <f t="shared" si="79"/>
        <v>0</v>
      </c>
      <c r="V198" t="str">
        <f>'Both teabags AfterDry'!A197</f>
        <v>G370</v>
      </c>
      <c r="W198" t="str">
        <f>'Both teabags AfterDry'!A534</f>
        <v>R675</v>
      </c>
      <c r="X198" t="b">
        <f t="shared" si="80"/>
        <v>0</v>
      </c>
      <c r="Y198" t="b">
        <f t="shared" si="81"/>
        <v>0</v>
      </c>
      <c r="AA198" t="str">
        <f>'Green_rooibos initial weight'!A199</f>
        <v>G195</v>
      </c>
      <c r="AB198" t="str">
        <f>'Green_rooibos initial weight'!A1103</f>
        <v>R195</v>
      </c>
      <c r="AC198" t="b">
        <f t="shared" si="82"/>
        <v>0</v>
      </c>
      <c r="AD198" t="b">
        <f t="shared" si="83"/>
        <v>0</v>
      </c>
      <c r="AG198" t="str">
        <f>'WetLitterbags placem_collection'!K197</f>
        <v>G821</v>
      </c>
      <c r="AH198" t="str">
        <f>'WetLitterbags placem_collection'!M197</f>
        <v>R378</v>
      </c>
      <c r="AI198" t="b">
        <f t="shared" si="84"/>
        <v>0</v>
      </c>
      <c r="AJ198" t="b">
        <f t="shared" si="85"/>
        <v>0</v>
      </c>
      <c r="AK198">
        <f>'WetLitterbags placem_collection'!A197</f>
        <v>195</v>
      </c>
      <c r="AL198">
        <f>'WetLitterbags placem_collection'!A197</f>
        <v>195</v>
      </c>
      <c r="AN198">
        <f>IF('Dry_Litterbag Placem_Collection'!J197=0,"",'Dry_Litterbag Placem_Collection'!J197)</f>
        <v>105</v>
      </c>
      <c r="AO198">
        <f>IF('Dry_Litterbag Placem_Collection'!K197=0,"",'Dry_Litterbag Placem_Collection'!K197)</f>
        <v>389</v>
      </c>
      <c r="AP198" t="b">
        <f t="shared" si="86"/>
        <v>0</v>
      </c>
      <c r="AQ198" t="b">
        <f t="shared" si="87"/>
        <v>0</v>
      </c>
      <c r="AT198" t="str">
        <f>'Ashed teabags dry'!A196</f>
        <v>G372</v>
      </c>
      <c r="AU198" t="str">
        <f>'Ashed teabags dry'!A533</f>
        <v>R675</v>
      </c>
      <c r="AV198" t="b">
        <f t="shared" si="88"/>
        <v>0</v>
      </c>
      <c r="AW198" t="b">
        <f t="shared" si="89"/>
        <v>0</v>
      </c>
      <c r="AZ198" s="401" t="b">
        <f t="shared" si="90"/>
        <v>0</v>
      </c>
      <c r="BA198" s="401" t="b">
        <f t="shared" si="91"/>
        <v>0</v>
      </c>
      <c r="BC198" t="str">
        <f>'Ashed teabags wet'!A196</f>
        <v>G618</v>
      </c>
      <c r="BD198" t="str">
        <f>'Ashed teabags wet'!A613</f>
        <v>R417</v>
      </c>
      <c r="BE198" t="b">
        <f t="shared" si="92"/>
        <v>0</v>
      </c>
      <c r="BF198" t="b">
        <f t="shared" si="93"/>
        <v>0</v>
      </c>
      <c r="BG198">
        <f>IFERROR('Ashed teabags wet'!C196,"")</f>
        <v>57</v>
      </c>
      <c r="BH198">
        <f>IFERROR('Ashed teabags wet'!C613,"")</f>
        <v>84</v>
      </c>
      <c r="BI198" t="str">
        <f>'Ashed teabags wet'!AB196</f>
        <v/>
      </c>
      <c r="BJ198">
        <f>'Ashed teabags wet'!AC196</f>
        <v>56</v>
      </c>
      <c r="BK198" t="str">
        <f>'Ashed teabags wet'!AD613</f>
        <v/>
      </c>
      <c r="BL198">
        <f>'Ashed teabags wet'!AE613</f>
        <v>83</v>
      </c>
      <c r="BN198" t="str">
        <f t="shared" si="94"/>
        <v>G616</v>
      </c>
      <c r="BO198" t="b">
        <f t="shared" ref="BO198:BO261" si="95">COUNTIF($BN$5:$BN$2000, BN198)&gt;1</f>
        <v>1</v>
      </c>
    </row>
    <row r="199" spans="2:67" ht="12" customHeight="1">
      <c r="B199" t="str">
        <f>TBIDry!H271</f>
        <v>G12</v>
      </c>
      <c r="C199" t="str">
        <f>TBIDry!I271</f>
        <v>R455</v>
      </c>
      <c r="D199" t="b">
        <f t="shared" si="72"/>
        <v>0</v>
      </c>
      <c r="E199" t="b">
        <f t="shared" si="73"/>
        <v>0</v>
      </c>
      <c r="G199" t="str">
        <f>TBIWet!H271</f>
        <v>G754</v>
      </c>
      <c r="H199" t="str">
        <f>TBIWet!I271</f>
        <v>R375</v>
      </c>
      <c r="I199" t="b">
        <f t="shared" si="74"/>
        <v>0</v>
      </c>
      <c r="J199" t="b">
        <f t="shared" si="75"/>
        <v>0</v>
      </c>
      <c r="L199" t="str">
        <f>'Both teabags AfterWet'!A198</f>
        <v>G616</v>
      </c>
      <c r="M199" t="str">
        <f>'Both teabags AfterWet'!A616</f>
        <v>R403</v>
      </c>
      <c r="N199" t="b">
        <f t="shared" si="76"/>
        <v>0</v>
      </c>
      <c r="O199" t="b">
        <f t="shared" si="77"/>
        <v>0</v>
      </c>
      <c r="P199">
        <f>IFERROR('Both teabags AfterWet'!B198,"")</f>
        <v>55</v>
      </c>
      <c r="Q199">
        <f>'Both teabags AfterWet'!B616</f>
        <v>169</v>
      </c>
      <c r="S199" s="401" t="b">
        <f t="shared" si="78"/>
        <v>0</v>
      </c>
      <c r="T199" s="401" t="b">
        <f t="shared" si="79"/>
        <v>0</v>
      </c>
      <c r="V199" t="str">
        <f>'Both teabags AfterDry'!A198</f>
        <v>G371</v>
      </c>
      <c r="W199" t="str">
        <f>'Both teabags AfterDry'!A535</f>
        <v>R676</v>
      </c>
      <c r="X199" t="b">
        <f t="shared" si="80"/>
        <v>0</v>
      </c>
      <c r="Y199" t="b">
        <f t="shared" si="81"/>
        <v>0</v>
      </c>
      <c r="AA199" t="str">
        <f>'Green_rooibos initial weight'!A200</f>
        <v>G196</v>
      </c>
      <c r="AB199" t="str">
        <f>'Green_rooibos initial weight'!A1104</f>
        <v>R196</v>
      </c>
      <c r="AC199" t="b">
        <f t="shared" si="82"/>
        <v>0</v>
      </c>
      <c r="AD199" t="b">
        <f t="shared" si="83"/>
        <v>0</v>
      </c>
      <c r="AG199" t="str">
        <f>'WetLitterbags placem_collection'!K198</f>
        <v>G754</v>
      </c>
      <c r="AH199" t="str">
        <f>'WetLitterbags placem_collection'!M198</f>
        <v>R375</v>
      </c>
      <c r="AI199" t="b">
        <f t="shared" si="84"/>
        <v>0</v>
      </c>
      <c r="AJ199" t="b">
        <f t="shared" si="85"/>
        <v>0</v>
      </c>
      <c r="AK199">
        <f>'WetLitterbags placem_collection'!A198</f>
        <v>196</v>
      </c>
      <c r="AL199">
        <f>'WetLitterbags placem_collection'!A198</f>
        <v>196</v>
      </c>
      <c r="AN199">
        <f>IF('Dry_Litterbag Placem_Collection'!J198=0,"",'Dry_Litterbag Placem_Collection'!J198)</f>
        <v>12</v>
      </c>
      <c r="AO199">
        <f>IF('Dry_Litterbag Placem_Collection'!K198=0,"",'Dry_Litterbag Placem_Collection'!K198)</f>
        <v>455</v>
      </c>
      <c r="AP199" t="b">
        <f t="shared" si="86"/>
        <v>0</v>
      </c>
      <c r="AQ199" t="b">
        <f t="shared" si="87"/>
        <v>0</v>
      </c>
      <c r="AT199" t="str">
        <f>'Ashed teabags dry'!A197</f>
        <v>G377</v>
      </c>
      <c r="AU199" t="str">
        <f>'Ashed teabags dry'!A534</f>
        <v>R676</v>
      </c>
      <c r="AV199" t="b">
        <f t="shared" si="88"/>
        <v>0</v>
      </c>
      <c r="AW199" t="b">
        <f t="shared" si="89"/>
        <v>0</v>
      </c>
      <c r="AZ199" s="401" t="b">
        <f t="shared" si="90"/>
        <v>0</v>
      </c>
      <c r="BA199" s="401" t="b">
        <f t="shared" si="91"/>
        <v>0</v>
      </c>
      <c r="BC199" t="str">
        <f>'Ashed teabags wet'!A197</f>
        <v>G619</v>
      </c>
      <c r="BD199" t="str">
        <f>'Ashed teabags wet'!A614</f>
        <v>R418</v>
      </c>
      <c r="BE199" t="b">
        <f t="shared" si="92"/>
        <v>0</v>
      </c>
      <c r="BF199" t="b">
        <f t="shared" si="93"/>
        <v>0</v>
      </c>
      <c r="BG199">
        <f>IFERROR('Ashed teabags wet'!C197,"")</f>
        <v>40</v>
      </c>
      <c r="BH199">
        <f>IFERROR('Ashed teabags wet'!C614,"")</f>
        <v>128</v>
      </c>
      <c r="BI199" t="str">
        <f>'Ashed teabags wet'!AB197</f>
        <v/>
      </c>
      <c r="BJ199">
        <f>'Ashed teabags wet'!AC197</f>
        <v>39</v>
      </c>
      <c r="BK199" t="str">
        <f>'Ashed teabags wet'!AD614</f>
        <v/>
      </c>
      <c r="BL199">
        <f>'Ashed teabags wet'!AE614</f>
        <v>127</v>
      </c>
      <c r="BN199" t="str">
        <f t="shared" si="94"/>
        <v>G618</v>
      </c>
      <c r="BO199" t="b">
        <f t="shared" si="95"/>
        <v>1</v>
      </c>
    </row>
    <row r="200" spans="2:67" ht="12" customHeight="1">
      <c r="B200" t="str">
        <f>TBIDry!H272</f>
        <v>G399</v>
      </c>
      <c r="C200" t="str">
        <f>TBIDry!I272</f>
        <v>R692</v>
      </c>
      <c r="D200" t="b">
        <f t="shared" si="72"/>
        <v>0</v>
      </c>
      <c r="E200" t="b">
        <f t="shared" si="73"/>
        <v>0</v>
      </c>
      <c r="G200" t="str">
        <f>TBIWet!H272</f>
        <v>G715</v>
      </c>
      <c r="H200" t="str">
        <f>TBIWet!I272</f>
        <v>R219</v>
      </c>
      <c r="I200" t="b">
        <f t="shared" si="74"/>
        <v>0</v>
      </c>
      <c r="J200" t="b">
        <f t="shared" si="75"/>
        <v>0</v>
      </c>
      <c r="L200" t="str">
        <f>'Both teabags AfterWet'!A199</f>
        <v>G618</v>
      </c>
      <c r="M200" t="str">
        <f>'Both teabags AfterWet'!A617</f>
        <v>R404</v>
      </c>
      <c r="N200" t="b">
        <f t="shared" si="76"/>
        <v>0</v>
      </c>
      <c r="O200" t="b">
        <f t="shared" si="77"/>
        <v>0</v>
      </c>
      <c r="P200">
        <f>IFERROR('Both teabags AfterWet'!B199,"")</f>
        <v>57</v>
      </c>
      <c r="Q200" t="str">
        <f>'Both teabags AfterWet'!B617</f>
        <v>n.a</v>
      </c>
      <c r="S200" s="401" t="b">
        <f t="shared" si="78"/>
        <v>0</v>
      </c>
      <c r="T200" s="401" t="b">
        <f t="shared" si="79"/>
        <v>0</v>
      </c>
      <c r="V200" t="str">
        <f>'Both teabags AfterDry'!A199</f>
        <v>G372</v>
      </c>
      <c r="W200" t="str">
        <f>'Both teabags AfterDry'!A536</f>
        <v>R677</v>
      </c>
      <c r="X200" t="b">
        <f t="shared" si="80"/>
        <v>0</v>
      </c>
      <c r="Y200" t="b">
        <f t="shared" si="81"/>
        <v>0</v>
      </c>
      <c r="AA200" t="str">
        <f>'Green_rooibos initial weight'!A201</f>
        <v>G197</v>
      </c>
      <c r="AB200" t="str">
        <f>'Green_rooibos initial weight'!A1105</f>
        <v>R197</v>
      </c>
      <c r="AC200" t="b">
        <f t="shared" si="82"/>
        <v>0</v>
      </c>
      <c r="AD200" t="b">
        <f t="shared" si="83"/>
        <v>0</v>
      </c>
      <c r="AG200" t="str">
        <f>'WetLitterbags placem_collection'!K199</f>
        <v>G715</v>
      </c>
      <c r="AH200" t="str">
        <f>'WetLitterbags placem_collection'!M199</f>
        <v>R219</v>
      </c>
      <c r="AI200" t="b">
        <f t="shared" si="84"/>
        <v>0</v>
      </c>
      <c r="AJ200" t="b">
        <f t="shared" si="85"/>
        <v>0</v>
      </c>
      <c r="AK200">
        <f>'WetLitterbags placem_collection'!A199</f>
        <v>197</v>
      </c>
      <c r="AL200">
        <f>'WetLitterbags placem_collection'!A199</f>
        <v>197</v>
      </c>
      <c r="AN200">
        <f>IF('Dry_Litterbag Placem_Collection'!J199=0,"",'Dry_Litterbag Placem_Collection'!J199)</f>
        <v>399</v>
      </c>
      <c r="AO200">
        <f>IF('Dry_Litterbag Placem_Collection'!K199=0,"",'Dry_Litterbag Placem_Collection'!K199)</f>
        <v>692</v>
      </c>
      <c r="AP200" t="b">
        <f t="shared" si="86"/>
        <v>0</v>
      </c>
      <c r="AQ200" t="b">
        <f t="shared" si="87"/>
        <v>0</v>
      </c>
      <c r="AT200" t="str">
        <f>'Ashed teabags dry'!A198</f>
        <v>G379</v>
      </c>
      <c r="AU200" t="str">
        <f>'Ashed teabags dry'!A535</f>
        <v>R677</v>
      </c>
      <c r="AV200" t="b">
        <f t="shared" si="88"/>
        <v>0</v>
      </c>
      <c r="AW200" t="b">
        <f t="shared" si="89"/>
        <v>0</v>
      </c>
      <c r="AZ200" s="401" t="b">
        <f t="shared" si="90"/>
        <v>0</v>
      </c>
      <c r="BA200" s="401" t="b">
        <f t="shared" si="91"/>
        <v>0</v>
      </c>
      <c r="BC200" t="str">
        <f>'Ashed teabags wet'!A198</f>
        <v>G620</v>
      </c>
      <c r="BD200" t="str">
        <f>'Ashed teabags wet'!A615</f>
        <v>R420</v>
      </c>
      <c r="BE200" t="b">
        <f t="shared" si="92"/>
        <v>0</v>
      </c>
      <c r="BF200" t="b">
        <f t="shared" si="93"/>
        <v>0</v>
      </c>
      <c r="BG200">
        <f>IFERROR('Ashed teabags wet'!C198,"")</f>
        <v>187</v>
      </c>
      <c r="BH200">
        <f>IFERROR('Ashed teabags wet'!C615,"")</f>
        <v>40</v>
      </c>
      <c r="BI200">
        <f>'Ashed teabags wet'!AB198</f>
        <v>186</v>
      </c>
      <c r="BJ200" t="str">
        <f>'Ashed teabags wet'!AC198</f>
        <v/>
      </c>
      <c r="BK200" t="str">
        <f>'Ashed teabags wet'!AD615</f>
        <v/>
      </c>
      <c r="BL200">
        <f>'Ashed teabags wet'!AE615</f>
        <v>39</v>
      </c>
      <c r="BN200" t="str">
        <f t="shared" si="94"/>
        <v>G619</v>
      </c>
      <c r="BO200" t="b">
        <f t="shared" si="95"/>
        <v>1</v>
      </c>
    </row>
    <row r="201" spans="2:67" ht="12" customHeight="1">
      <c r="B201" t="str">
        <f>TBIDry!H273</f>
        <v>G27</v>
      </c>
      <c r="C201" t="str">
        <f>TBIDry!I273</f>
        <v>R352</v>
      </c>
      <c r="D201" t="b">
        <f t="shared" si="72"/>
        <v>0</v>
      </c>
      <c r="E201" t="b">
        <f t="shared" si="73"/>
        <v>0</v>
      </c>
      <c r="G201" t="str">
        <f>TBIWet!H273</f>
        <v>G785</v>
      </c>
      <c r="H201" t="str">
        <f>TBIWet!I273</f>
        <v>R463</v>
      </c>
      <c r="I201" t="b">
        <f t="shared" si="74"/>
        <v>0</v>
      </c>
      <c r="J201" t="b">
        <f t="shared" si="75"/>
        <v>0</v>
      </c>
      <c r="L201" t="str">
        <f>'Both teabags AfterWet'!A200</f>
        <v>G619</v>
      </c>
      <c r="M201" t="str">
        <f>'Both teabags AfterWet'!A618</f>
        <v>R406</v>
      </c>
      <c r="N201" t="b">
        <f t="shared" si="76"/>
        <v>0</v>
      </c>
      <c r="O201" t="b">
        <f t="shared" si="77"/>
        <v>0</v>
      </c>
      <c r="P201">
        <f>IFERROR('Both teabags AfterWet'!B200,"")</f>
        <v>40</v>
      </c>
      <c r="Q201" t="str">
        <f>'Both teabags AfterWet'!B618</f>
        <v>n.a</v>
      </c>
      <c r="S201" s="401" t="b">
        <f t="shared" si="78"/>
        <v>0</v>
      </c>
      <c r="T201" s="401" t="b">
        <f t="shared" si="79"/>
        <v>0</v>
      </c>
      <c r="V201" t="str">
        <f>'Both teabags AfterDry'!A200</f>
        <v>G377</v>
      </c>
      <c r="W201" t="str">
        <f>'Both teabags AfterDry'!A537</f>
        <v>R678</v>
      </c>
      <c r="X201" t="b">
        <f t="shared" si="80"/>
        <v>0</v>
      </c>
      <c r="Y201" t="b">
        <f t="shared" si="81"/>
        <v>0</v>
      </c>
      <c r="AA201" t="str">
        <f>'Green_rooibos initial weight'!A202</f>
        <v>G198</v>
      </c>
      <c r="AB201" t="str">
        <f>'Green_rooibos initial weight'!A1106</f>
        <v>R198</v>
      </c>
      <c r="AC201" t="b">
        <f t="shared" si="82"/>
        <v>0</v>
      </c>
      <c r="AD201" t="b">
        <f t="shared" si="83"/>
        <v>0</v>
      </c>
      <c r="AG201" t="str">
        <f>'WetLitterbags placem_collection'!K200</f>
        <v>G785</v>
      </c>
      <c r="AH201" t="str">
        <f>'WetLitterbags placem_collection'!M200</f>
        <v>R463</v>
      </c>
      <c r="AI201" t="b">
        <f t="shared" si="84"/>
        <v>0</v>
      </c>
      <c r="AJ201" t="b">
        <f t="shared" si="85"/>
        <v>0</v>
      </c>
      <c r="AK201">
        <f>'WetLitterbags placem_collection'!A200</f>
        <v>198</v>
      </c>
      <c r="AL201">
        <f>'WetLitterbags placem_collection'!A200</f>
        <v>198</v>
      </c>
      <c r="AN201">
        <f>IF('Dry_Litterbag Placem_Collection'!J200=0,"",'Dry_Litterbag Placem_Collection'!J200)</f>
        <v>27</v>
      </c>
      <c r="AO201">
        <f>IF('Dry_Litterbag Placem_Collection'!K200=0,"",'Dry_Litterbag Placem_Collection'!K200)</f>
        <v>352</v>
      </c>
      <c r="AP201" t="b">
        <f t="shared" si="86"/>
        <v>0</v>
      </c>
      <c r="AQ201" t="b">
        <f t="shared" si="87"/>
        <v>0</v>
      </c>
      <c r="AT201" t="str">
        <f>'Ashed teabags dry'!A199</f>
        <v>G38</v>
      </c>
      <c r="AU201" t="str">
        <f>'Ashed teabags dry'!A536</f>
        <v>R678</v>
      </c>
      <c r="AV201" t="b">
        <f t="shared" si="88"/>
        <v>0</v>
      </c>
      <c r="AW201" t="b">
        <f t="shared" si="89"/>
        <v>0</v>
      </c>
      <c r="AZ201" s="401" t="b">
        <f t="shared" si="90"/>
        <v>0</v>
      </c>
      <c r="BA201" s="401" t="b">
        <f t="shared" si="91"/>
        <v>0</v>
      </c>
      <c r="BC201" t="str">
        <f>'Ashed teabags wet'!A199</f>
        <v>G621</v>
      </c>
      <c r="BD201" t="str">
        <f>'Ashed teabags wet'!A616</f>
        <v>R421</v>
      </c>
      <c r="BE201" t="b">
        <f t="shared" si="92"/>
        <v>0</v>
      </c>
      <c r="BF201" t="b">
        <f t="shared" si="93"/>
        <v>0</v>
      </c>
      <c r="BG201">
        <f>IFERROR('Ashed teabags wet'!C199,"")</f>
        <v>205</v>
      </c>
      <c r="BH201">
        <f>IFERROR('Ashed teabags wet'!C616,"")</f>
        <v>160</v>
      </c>
      <c r="BI201">
        <f>'Ashed teabags wet'!AB199</f>
        <v>204</v>
      </c>
      <c r="BJ201" t="str">
        <f>'Ashed teabags wet'!AC199</f>
        <v/>
      </c>
      <c r="BK201">
        <f>'Ashed teabags wet'!AD616</f>
        <v>159</v>
      </c>
      <c r="BL201" t="str">
        <f>'Ashed teabags wet'!AE616</f>
        <v/>
      </c>
      <c r="BN201" t="str">
        <f t="shared" si="94"/>
        <v>G620</v>
      </c>
      <c r="BO201" t="b">
        <f t="shared" si="95"/>
        <v>1</v>
      </c>
    </row>
    <row r="202" spans="2:67" ht="12" customHeight="1">
      <c r="B202" t="str">
        <f>TBIDry!H274</f>
        <v>G224</v>
      </c>
      <c r="C202" t="str">
        <f>TBIDry!I274</f>
        <v>R327</v>
      </c>
      <c r="D202" t="b">
        <f t="shared" si="72"/>
        <v>0</v>
      </c>
      <c r="E202" t="b">
        <f t="shared" si="73"/>
        <v>0</v>
      </c>
      <c r="G202" t="str">
        <f>TBIWet!H274</f>
        <v>G877</v>
      </c>
      <c r="H202" t="str">
        <f>TBIWet!I274</f>
        <v>R339</v>
      </c>
      <c r="I202" t="b">
        <f t="shared" si="74"/>
        <v>0</v>
      </c>
      <c r="J202" t="b">
        <f t="shared" si="75"/>
        <v>0</v>
      </c>
      <c r="L202" t="str">
        <f>'Both teabags AfterWet'!A201</f>
        <v>G620</v>
      </c>
      <c r="M202" t="str">
        <f>'Both teabags AfterWet'!A619</f>
        <v>R408</v>
      </c>
      <c r="N202" t="b">
        <f t="shared" si="76"/>
        <v>0</v>
      </c>
      <c r="O202" t="b">
        <f t="shared" si="77"/>
        <v>0</v>
      </c>
      <c r="P202" t="str">
        <f>IFERROR('Both teabags AfterWet'!B201,"")</f>
        <v>n.a</v>
      </c>
      <c r="Q202">
        <f>'Both teabags AfterWet'!B619</f>
        <v>87</v>
      </c>
      <c r="S202" s="401" t="b">
        <f t="shared" si="78"/>
        <v>0</v>
      </c>
      <c r="T202" s="401" t="b">
        <f t="shared" si="79"/>
        <v>0</v>
      </c>
      <c r="V202" t="str">
        <f>'Both teabags AfterDry'!A201</f>
        <v>G379</v>
      </c>
      <c r="W202" t="str">
        <f>'Both teabags AfterDry'!A538</f>
        <v>R679</v>
      </c>
      <c r="X202" t="b">
        <f t="shared" si="80"/>
        <v>0</v>
      </c>
      <c r="Y202" t="b">
        <f t="shared" si="81"/>
        <v>0</v>
      </c>
      <c r="AA202" t="str">
        <f>'Green_rooibos initial weight'!A203</f>
        <v>G199</v>
      </c>
      <c r="AB202" t="str">
        <f>'Green_rooibos initial weight'!A1107</f>
        <v>R199</v>
      </c>
      <c r="AC202" t="b">
        <f t="shared" si="82"/>
        <v>0</v>
      </c>
      <c r="AD202" t="b">
        <f t="shared" si="83"/>
        <v>0</v>
      </c>
      <c r="AG202" t="str">
        <f>'WetLitterbags placem_collection'!K201</f>
        <v>G877</v>
      </c>
      <c r="AH202" t="str">
        <f>'WetLitterbags placem_collection'!M201</f>
        <v>R339</v>
      </c>
      <c r="AI202" t="b">
        <f t="shared" si="84"/>
        <v>0</v>
      </c>
      <c r="AJ202" t="b">
        <f t="shared" si="85"/>
        <v>0</v>
      </c>
      <c r="AK202">
        <f>'WetLitterbags placem_collection'!A201</f>
        <v>199</v>
      </c>
      <c r="AL202">
        <f>'WetLitterbags placem_collection'!A201</f>
        <v>199</v>
      </c>
      <c r="AN202">
        <f>IF('Dry_Litterbag Placem_Collection'!J201=0,"",'Dry_Litterbag Placem_Collection'!J201)</f>
        <v>224</v>
      </c>
      <c r="AO202">
        <f>IF('Dry_Litterbag Placem_Collection'!K201=0,"",'Dry_Litterbag Placem_Collection'!K201)</f>
        <v>327</v>
      </c>
      <c r="AP202" t="b">
        <f t="shared" si="86"/>
        <v>0</v>
      </c>
      <c r="AQ202" t="b">
        <f t="shared" si="87"/>
        <v>0</v>
      </c>
      <c r="AT202" t="str">
        <f>'Ashed teabags dry'!A200</f>
        <v>G380</v>
      </c>
      <c r="AU202" t="str">
        <f>'Ashed teabags dry'!A537</f>
        <v>R679</v>
      </c>
      <c r="AV202" t="b">
        <f t="shared" si="88"/>
        <v>0</v>
      </c>
      <c r="AW202" t="b">
        <f t="shared" si="89"/>
        <v>0</v>
      </c>
      <c r="AZ202" s="401" t="b">
        <f t="shared" si="90"/>
        <v>0</v>
      </c>
      <c r="BA202" s="401" t="b">
        <f t="shared" si="91"/>
        <v>0</v>
      </c>
      <c r="BC202" t="str">
        <f>'Ashed teabags wet'!A200</f>
        <v>G623</v>
      </c>
      <c r="BD202" t="str">
        <f>'Ashed teabags wet'!A617</f>
        <v>R423</v>
      </c>
      <c r="BE202" t="b">
        <f t="shared" si="92"/>
        <v>0</v>
      </c>
      <c r="BF202" t="b">
        <f t="shared" si="93"/>
        <v>0</v>
      </c>
      <c r="BG202">
        <f>IFERROR('Ashed teabags wet'!C200,"")</f>
        <v>138</v>
      </c>
      <c r="BH202">
        <f>IFERROR('Ashed teabags wet'!C617,"")</f>
        <v>63</v>
      </c>
      <c r="BI202" t="str">
        <f>'Ashed teabags wet'!AB200</f>
        <v/>
      </c>
      <c r="BJ202">
        <f>'Ashed teabags wet'!AC200</f>
        <v>137</v>
      </c>
      <c r="BK202" t="str">
        <f>'Ashed teabags wet'!AD617</f>
        <v/>
      </c>
      <c r="BL202">
        <f>'Ashed teabags wet'!AE617</f>
        <v>62</v>
      </c>
      <c r="BN202" t="str">
        <f t="shared" si="94"/>
        <v>G621</v>
      </c>
      <c r="BO202" t="b">
        <f t="shared" si="95"/>
        <v>1</v>
      </c>
    </row>
    <row r="203" spans="2:67" ht="12" customHeight="1">
      <c r="B203" t="str">
        <f>TBIDry!H275</f>
        <v>G158</v>
      </c>
      <c r="C203" t="str">
        <f>TBIDry!I275</f>
        <v>R75</v>
      </c>
      <c r="D203" t="b">
        <f t="shared" si="72"/>
        <v>0</v>
      </c>
      <c r="E203" t="b">
        <f t="shared" si="73"/>
        <v>0</v>
      </c>
      <c r="G203" t="str">
        <f>TBIWet!H275</f>
        <v>G816</v>
      </c>
      <c r="H203" t="str">
        <f>TBIWet!I275</f>
        <v>R303</v>
      </c>
      <c r="I203" t="b">
        <f t="shared" si="74"/>
        <v>0</v>
      </c>
      <c r="J203" t="b">
        <f t="shared" si="75"/>
        <v>0</v>
      </c>
      <c r="L203" t="str">
        <f>'Both teabags AfterWet'!A202</f>
        <v>G621</v>
      </c>
      <c r="M203" t="str">
        <f>'Both teabags AfterWet'!A620</f>
        <v>R41</v>
      </c>
      <c r="N203" t="b">
        <f t="shared" si="76"/>
        <v>0</v>
      </c>
      <c r="O203" t="b">
        <f t="shared" si="77"/>
        <v>0</v>
      </c>
      <c r="P203">
        <f>IFERROR('Both teabags AfterWet'!B202,"")</f>
        <v>205</v>
      </c>
      <c r="Q203">
        <f>'Both teabags AfterWet'!B620</f>
        <v>112</v>
      </c>
      <c r="S203" s="401" t="b">
        <f t="shared" si="78"/>
        <v>0</v>
      </c>
      <c r="T203" s="401" t="b">
        <f t="shared" si="79"/>
        <v>0</v>
      </c>
      <c r="V203" t="str">
        <f>'Both teabags AfterDry'!A202</f>
        <v>G38</v>
      </c>
      <c r="W203" t="str">
        <f>'Both teabags AfterDry'!A539</f>
        <v>R680</v>
      </c>
      <c r="X203" t="b">
        <f t="shared" si="80"/>
        <v>0</v>
      </c>
      <c r="Y203" t="b">
        <f t="shared" si="81"/>
        <v>0</v>
      </c>
      <c r="AA203" t="str">
        <f>'Green_rooibos initial weight'!A204</f>
        <v>G200</v>
      </c>
      <c r="AB203" t="str">
        <f>'Green_rooibos initial weight'!A1108</f>
        <v>R200</v>
      </c>
      <c r="AC203" t="b">
        <f t="shared" si="82"/>
        <v>0</v>
      </c>
      <c r="AD203" t="b">
        <f t="shared" si="83"/>
        <v>0</v>
      </c>
      <c r="AG203" t="str">
        <f>'WetLitterbags placem_collection'!K202</f>
        <v>G816</v>
      </c>
      <c r="AH203" t="str">
        <f>'WetLitterbags placem_collection'!M202</f>
        <v>R303</v>
      </c>
      <c r="AI203" t="b">
        <f t="shared" si="84"/>
        <v>0</v>
      </c>
      <c r="AJ203" t="b">
        <f t="shared" si="85"/>
        <v>0</v>
      </c>
      <c r="AK203">
        <f>'WetLitterbags placem_collection'!A202</f>
        <v>200</v>
      </c>
      <c r="AL203">
        <f>'WetLitterbags placem_collection'!A202</f>
        <v>200</v>
      </c>
      <c r="AN203">
        <f>IF('Dry_Litterbag Placem_Collection'!J202=0,"",'Dry_Litterbag Placem_Collection'!J202)</f>
        <v>158</v>
      </c>
      <c r="AO203">
        <f>IF('Dry_Litterbag Placem_Collection'!K202=0,"",'Dry_Litterbag Placem_Collection'!K202)</f>
        <v>75</v>
      </c>
      <c r="AP203" t="b">
        <f t="shared" si="86"/>
        <v>0</v>
      </c>
      <c r="AQ203" t="b">
        <f t="shared" si="87"/>
        <v>0</v>
      </c>
      <c r="AT203" t="str">
        <f>'Ashed teabags dry'!A201</f>
        <v>G382</v>
      </c>
      <c r="AU203" t="str">
        <f>'Ashed teabags dry'!A538</f>
        <v>R680</v>
      </c>
      <c r="AV203" t="b">
        <f t="shared" si="88"/>
        <v>0</v>
      </c>
      <c r="AW203" t="b">
        <f t="shared" si="89"/>
        <v>0</v>
      </c>
      <c r="AZ203" s="401" t="b">
        <f t="shared" si="90"/>
        <v>0</v>
      </c>
      <c r="BA203" s="401" t="b">
        <f t="shared" si="91"/>
        <v>0</v>
      </c>
      <c r="BC203" t="str">
        <f>'Ashed teabags wet'!A201</f>
        <v>G626</v>
      </c>
      <c r="BD203" t="str">
        <f>'Ashed teabags wet'!A618</f>
        <v>R424</v>
      </c>
      <c r="BE203" t="b">
        <f t="shared" si="92"/>
        <v>0</v>
      </c>
      <c r="BF203" t="b">
        <f t="shared" si="93"/>
        <v>0</v>
      </c>
      <c r="BG203">
        <f>IFERROR('Ashed teabags wet'!C201,"")</f>
        <v>41</v>
      </c>
      <c r="BH203">
        <f>IFERROR('Ashed teabags wet'!C618,"")</f>
        <v>127</v>
      </c>
      <c r="BI203" t="str">
        <f>'Ashed teabags wet'!AB201</f>
        <v/>
      </c>
      <c r="BJ203">
        <f>'Ashed teabags wet'!AC201</f>
        <v>40</v>
      </c>
      <c r="BK203" t="str">
        <f>'Ashed teabags wet'!AD618</f>
        <v/>
      </c>
      <c r="BL203">
        <f>'Ashed teabags wet'!AE618</f>
        <v>126</v>
      </c>
      <c r="BN203" t="str">
        <f t="shared" si="94"/>
        <v>G623</v>
      </c>
      <c r="BO203" t="b">
        <f t="shared" si="95"/>
        <v>1</v>
      </c>
    </row>
    <row r="204" spans="2:67" ht="12" customHeight="1">
      <c r="B204" t="str">
        <f>TBIDry!H276</f>
        <v>G211</v>
      </c>
      <c r="C204" t="str">
        <f>TBIDry!I276</f>
        <v>R36</v>
      </c>
      <c r="D204" t="b">
        <f t="shared" si="72"/>
        <v>0</v>
      </c>
      <c r="E204" t="b">
        <f t="shared" si="73"/>
        <v>0</v>
      </c>
      <c r="G204" t="str">
        <f>TBIWet!H276</f>
        <v>G811</v>
      </c>
      <c r="H204" t="str">
        <f>TBIWet!I276</f>
        <v>R218</v>
      </c>
      <c r="I204" t="b">
        <f t="shared" si="74"/>
        <v>0</v>
      </c>
      <c r="J204" t="b">
        <f t="shared" si="75"/>
        <v>0</v>
      </c>
      <c r="L204" t="str">
        <f>'Both teabags AfterWet'!A203</f>
        <v>G623</v>
      </c>
      <c r="M204" t="str">
        <f>'Both teabags AfterWet'!A621</f>
        <v>R410</v>
      </c>
      <c r="N204" t="b">
        <f t="shared" si="76"/>
        <v>0</v>
      </c>
      <c r="O204" t="b">
        <f t="shared" si="77"/>
        <v>0</v>
      </c>
      <c r="P204">
        <f>IFERROR('Both teabags AfterWet'!B203,"")</f>
        <v>138</v>
      </c>
      <c r="Q204">
        <f>'Both teabags AfterWet'!B621</f>
        <v>217</v>
      </c>
      <c r="S204" s="401" t="b">
        <f t="shared" si="78"/>
        <v>0</v>
      </c>
      <c r="T204" s="401" t="b">
        <f t="shared" si="79"/>
        <v>0</v>
      </c>
      <c r="V204" t="str">
        <f>'Both teabags AfterDry'!A203</f>
        <v>G380</v>
      </c>
      <c r="W204" t="str">
        <f>'Both teabags AfterDry'!A540</f>
        <v>R681</v>
      </c>
      <c r="X204" t="b">
        <f t="shared" si="80"/>
        <v>0</v>
      </c>
      <c r="Y204" t="b">
        <f t="shared" si="81"/>
        <v>0</v>
      </c>
      <c r="AA204" t="str">
        <f>'Green_rooibos initial weight'!A205</f>
        <v>G201</v>
      </c>
      <c r="AB204" t="str">
        <f>'Green_rooibos initial weight'!A1109</f>
        <v>R201</v>
      </c>
      <c r="AC204" t="b">
        <f t="shared" si="82"/>
        <v>0</v>
      </c>
      <c r="AD204" t="b">
        <f t="shared" si="83"/>
        <v>0</v>
      </c>
      <c r="AG204" t="str">
        <f>'WetLitterbags placem_collection'!K203</f>
        <v>G811</v>
      </c>
      <c r="AH204" t="str">
        <f>'WetLitterbags placem_collection'!M203</f>
        <v>R218</v>
      </c>
      <c r="AI204" t="b">
        <f t="shared" si="84"/>
        <v>0</v>
      </c>
      <c r="AJ204" t="b">
        <f t="shared" si="85"/>
        <v>0</v>
      </c>
      <c r="AK204">
        <f>'WetLitterbags placem_collection'!A203</f>
        <v>201</v>
      </c>
      <c r="AL204">
        <f>'WetLitterbags placem_collection'!A203</f>
        <v>201</v>
      </c>
      <c r="AN204">
        <f>IF('Dry_Litterbag Placem_Collection'!J203=0,"",'Dry_Litterbag Placem_Collection'!J203)</f>
        <v>211</v>
      </c>
      <c r="AO204">
        <f>IF('Dry_Litterbag Placem_Collection'!K203=0,"",'Dry_Litterbag Placem_Collection'!K203)</f>
        <v>36</v>
      </c>
      <c r="AP204" t="b">
        <f t="shared" si="86"/>
        <v>0</v>
      </c>
      <c r="AQ204" t="b">
        <f t="shared" si="87"/>
        <v>0</v>
      </c>
      <c r="AT204" t="str">
        <f>'Ashed teabags dry'!A202</f>
        <v>G384</v>
      </c>
      <c r="AU204" t="str">
        <f>'Ashed teabags dry'!A539</f>
        <v>R681</v>
      </c>
      <c r="AV204" t="b">
        <f t="shared" si="88"/>
        <v>0</v>
      </c>
      <c r="AW204" t="b">
        <f t="shared" si="89"/>
        <v>0</v>
      </c>
      <c r="AZ204" s="401" t="b">
        <f t="shared" si="90"/>
        <v>0</v>
      </c>
      <c r="BA204" s="401" t="b">
        <f t="shared" si="91"/>
        <v>0</v>
      </c>
      <c r="BC204" t="str">
        <f>'Ashed teabags wet'!A202</f>
        <v>G627</v>
      </c>
      <c r="BD204" t="str">
        <f>'Ashed teabags wet'!A619</f>
        <v>R426</v>
      </c>
      <c r="BE204" t="b">
        <f t="shared" si="92"/>
        <v>0</v>
      </c>
      <c r="BF204" t="b">
        <f t="shared" si="93"/>
        <v>0</v>
      </c>
      <c r="BG204">
        <f>IFERROR('Ashed teabags wet'!C202,"")</f>
        <v>72</v>
      </c>
      <c r="BH204">
        <f>IFERROR('Ashed teabags wet'!C619,"")</f>
        <v>138</v>
      </c>
      <c r="BI204" t="str">
        <f>'Ashed teabags wet'!AB202</f>
        <v/>
      </c>
      <c r="BJ204">
        <f>'Ashed teabags wet'!AC202</f>
        <v>71</v>
      </c>
      <c r="BK204">
        <f>'Ashed teabags wet'!AD619</f>
        <v>137</v>
      </c>
      <c r="BL204" t="str">
        <f>'Ashed teabags wet'!AE619</f>
        <v/>
      </c>
      <c r="BN204" s="180" t="str">
        <f t="shared" si="94"/>
        <v>G626</v>
      </c>
      <c r="BO204" s="113" t="b">
        <f t="shared" si="95"/>
        <v>0</v>
      </c>
    </row>
    <row r="205" spans="2:67" ht="12" customHeight="1">
      <c r="B205" t="str">
        <f>TBIDry!H277</f>
        <v>G181</v>
      </c>
      <c r="C205" t="str">
        <f>TBIDry!I277</f>
        <v>R676</v>
      </c>
      <c r="D205" t="b">
        <f t="shared" si="72"/>
        <v>0</v>
      </c>
      <c r="E205" t="b">
        <f t="shared" si="73"/>
        <v>0</v>
      </c>
      <c r="G205" t="str">
        <f>TBIWet!H277</f>
        <v>G773</v>
      </c>
      <c r="H205" t="str">
        <f>TBIWet!I277</f>
        <v>R135</v>
      </c>
      <c r="I205" t="b">
        <f t="shared" si="74"/>
        <v>0</v>
      </c>
      <c r="J205" t="b">
        <f t="shared" si="75"/>
        <v>0</v>
      </c>
      <c r="L205" t="str">
        <f>'Both teabags AfterWet'!A204</f>
        <v>G627</v>
      </c>
      <c r="M205" t="str">
        <f>'Both teabags AfterWet'!A622</f>
        <v>R411</v>
      </c>
      <c r="N205" t="b">
        <f t="shared" si="76"/>
        <v>0</v>
      </c>
      <c r="O205" t="b">
        <f t="shared" si="77"/>
        <v>0</v>
      </c>
      <c r="P205" t="str">
        <f>IFERROR('Both teabags AfterWet'!B204,"")</f>
        <v>n.a</v>
      </c>
      <c r="Q205">
        <f>'Both teabags AfterWet'!B622</f>
        <v>165</v>
      </c>
      <c r="S205" s="401" t="b">
        <f t="shared" si="78"/>
        <v>0</v>
      </c>
      <c r="T205" s="401" t="b">
        <f t="shared" si="79"/>
        <v>0</v>
      </c>
      <c r="V205" t="str">
        <f>'Both teabags AfterDry'!A204</f>
        <v>G382</v>
      </c>
      <c r="W205" t="str">
        <f>'Both teabags AfterDry'!A541</f>
        <v>R682</v>
      </c>
      <c r="X205" t="b">
        <f t="shared" si="80"/>
        <v>0</v>
      </c>
      <c r="Y205" t="b">
        <f t="shared" si="81"/>
        <v>0</v>
      </c>
      <c r="AA205" t="str">
        <f>'Green_rooibos initial weight'!A206</f>
        <v>G202</v>
      </c>
      <c r="AB205" t="str">
        <f>'Green_rooibos initial weight'!A1110</f>
        <v>R202</v>
      </c>
      <c r="AC205" t="b">
        <f t="shared" si="82"/>
        <v>0</v>
      </c>
      <c r="AD205" t="b">
        <f t="shared" si="83"/>
        <v>0</v>
      </c>
      <c r="AG205" t="str">
        <f>'WetLitterbags placem_collection'!K204</f>
        <v>G773</v>
      </c>
      <c r="AH205" t="str">
        <f>'WetLitterbags placem_collection'!M204</f>
        <v>R135</v>
      </c>
      <c r="AI205" t="b">
        <f t="shared" si="84"/>
        <v>0</v>
      </c>
      <c r="AJ205" t="b">
        <f t="shared" si="85"/>
        <v>0</v>
      </c>
      <c r="AK205">
        <f>'WetLitterbags placem_collection'!A204</f>
        <v>202</v>
      </c>
      <c r="AL205">
        <f>'WetLitterbags placem_collection'!A204</f>
        <v>202</v>
      </c>
      <c r="AN205">
        <f>IF('Dry_Litterbag Placem_Collection'!J204=0,"",'Dry_Litterbag Placem_Collection'!J204)</f>
        <v>181</v>
      </c>
      <c r="AO205">
        <f>IF('Dry_Litterbag Placem_Collection'!K204=0,"",'Dry_Litterbag Placem_Collection'!K204)</f>
        <v>676</v>
      </c>
      <c r="AP205" t="b">
        <f t="shared" si="86"/>
        <v>0</v>
      </c>
      <c r="AQ205" t="b">
        <f t="shared" si="87"/>
        <v>0</v>
      </c>
      <c r="AT205" t="str">
        <f>'Ashed teabags dry'!A203</f>
        <v>G394</v>
      </c>
      <c r="AU205" t="str">
        <f>'Ashed teabags dry'!A540</f>
        <v>R682</v>
      </c>
      <c r="AV205" t="b">
        <f t="shared" si="88"/>
        <v>0</v>
      </c>
      <c r="AW205" t="b">
        <f t="shared" si="89"/>
        <v>0</v>
      </c>
      <c r="AZ205" s="401" t="b">
        <f t="shared" si="90"/>
        <v>0</v>
      </c>
      <c r="BA205" s="401" t="b">
        <f t="shared" si="91"/>
        <v>0</v>
      </c>
      <c r="BC205" t="str">
        <f>'Ashed teabags wet'!A203</f>
        <v>G628</v>
      </c>
      <c r="BD205" t="str">
        <f>'Ashed teabags wet'!A620</f>
        <v>R427</v>
      </c>
      <c r="BE205" t="b">
        <f t="shared" si="92"/>
        <v>0</v>
      </c>
      <c r="BF205" t="b">
        <f t="shared" si="93"/>
        <v>0</v>
      </c>
      <c r="BG205">
        <f>IFERROR('Ashed teabags wet'!C203,"")</f>
        <v>87</v>
      </c>
      <c r="BH205">
        <f>IFERROR('Ashed teabags wet'!C620,"")</f>
        <v>187</v>
      </c>
      <c r="BI205">
        <f>'Ashed teabags wet'!AB203</f>
        <v>86</v>
      </c>
      <c r="BJ205" t="str">
        <f>'Ashed teabags wet'!AC203</f>
        <v/>
      </c>
      <c r="BK205">
        <f>'Ashed teabags wet'!AD620</f>
        <v>186</v>
      </c>
      <c r="BL205" t="str">
        <f>'Ashed teabags wet'!AE620</f>
        <v/>
      </c>
      <c r="BN205" t="str">
        <f t="shared" si="94"/>
        <v>G627</v>
      </c>
      <c r="BO205" t="b">
        <f t="shared" si="95"/>
        <v>1</v>
      </c>
    </row>
    <row r="206" spans="2:67" ht="12" customHeight="1">
      <c r="B206" t="str">
        <f>TBIDry!H278</f>
        <v>G179</v>
      </c>
      <c r="C206" t="str">
        <f>TBIDry!I278</f>
        <v>R685</v>
      </c>
      <c r="D206" t="b">
        <f t="shared" si="72"/>
        <v>0</v>
      </c>
      <c r="E206" t="b">
        <f t="shared" si="73"/>
        <v>0</v>
      </c>
      <c r="G206" t="str">
        <f>TBIWet!H278</f>
        <v>G645</v>
      </c>
      <c r="H206" t="str">
        <f>TBIWet!I278</f>
        <v>R372</v>
      </c>
      <c r="I206" t="b">
        <f t="shared" si="74"/>
        <v>0</v>
      </c>
      <c r="J206" t="b">
        <f t="shared" si="75"/>
        <v>0</v>
      </c>
      <c r="L206" t="str">
        <f>'Both teabags AfterWet'!A205</f>
        <v>G628</v>
      </c>
      <c r="M206" t="str">
        <f>'Both teabags AfterWet'!A623</f>
        <v>R412</v>
      </c>
      <c r="N206" t="b">
        <f t="shared" si="76"/>
        <v>0</v>
      </c>
      <c r="O206" t="b">
        <f t="shared" si="77"/>
        <v>0</v>
      </c>
      <c r="P206">
        <f>IFERROR('Both teabags AfterWet'!B205,"")</f>
        <v>87</v>
      </c>
      <c r="Q206">
        <f>'Both teabags AfterWet'!B623</f>
        <v>214</v>
      </c>
      <c r="S206" s="401" t="b">
        <f t="shared" si="78"/>
        <v>0</v>
      </c>
      <c r="T206" s="401" t="b">
        <f t="shared" si="79"/>
        <v>0</v>
      </c>
      <c r="V206" t="str">
        <f>'Both teabags AfterDry'!A205</f>
        <v>G384</v>
      </c>
      <c r="W206" t="str">
        <f>'Both teabags AfterDry'!A542</f>
        <v>R684</v>
      </c>
      <c r="X206" t="b">
        <f t="shared" si="80"/>
        <v>0</v>
      </c>
      <c r="Y206" t="b">
        <f t="shared" si="81"/>
        <v>0</v>
      </c>
      <c r="AA206" t="str">
        <f>'Green_rooibos initial weight'!A207</f>
        <v>G203</v>
      </c>
      <c r="AB206" t="str">
        <f>'Green_rooibos initial weight'!A1111</f>
        <v>R203</v>
      </c>
      <c r="AC206" t="b">
        <f t="shared" si="82"/>
        <v>0</v>
      </c>
      <c r="AD206" t="b">
        <f t="shared" si="83"/>
        <v>0</v>
      </c>
      <c r="AG206" t="str">
        <f>'WetLitterbags placem_collection'!K205</f>
        <v>G645</v>
      </c>
      <c r="AH206" t="str">
        <f>'WetLitterbags placem_collection'!M205</f>
        <v>R372</v>
      </c>
      <c r="AI206" t="b">
        <f t="shared" si="84"/>
        <v>0</v>
      </c>
      <c r="AJ206" t="b">
        <f t="shared" si="85"/>
        <v>0</v>
      </c>
      <c r="AK206">
        <f>'WetLitterbags placem_collection'!A205</f>
        <v>203</v>
      </c>
      <c r="AL206">
        <f>'WetLitterbags placem_collection'!A205</f>
        <v>203</v>
      </c>
      <c r="AN206">
        <f>IF('Dry_Litterbag Placem_Collection'!J205=0,"",'Dry_Litterbag Placem_Collection'!J205)</f>
        <v>179</v>
      </c>
      <c r="AO206">
        <f>IF('Dry_Litterbag Placem_Collection'!K205=0,"",'Dry_Litterbag Placem_Collection'!K205)</f>
        <v>685</v>
      </c>
      <c r="AP206" t="b">
        <f t="shared" si="86"/>
        <v>0</v>
      </c>
      <c r="AQ206" t="b">
        <f t="shared" si="87"/>
        <v>0</v>
      </c>
      <c r="AT206" t="str">
        <f>'Ashed teabags dry'!A204</f>
        <v>G396</v>
      </c>
      <c r="AU206" t="str">
        <f>'Ashed teabags dry'!A541</f>
        <v>R684</v>
      </c>
      <c r="AV206" t="b">
        <f t="shared" si="88"/>
        <v>0</v>
      </c>
      <c r="AW206" t="b">
        <f t="shared" si="89"/>
        <v>0</v>
      </c>
      <c r="AZ206" s="401" t="b">
        <f t="shared" si="90"/>
        <v>0</v>
      </c>
      <c r="BA206" s="401" t="b">
        <f t="shared" si="91"/>
        <v>0</v>
      </c>
      <c r="BC206" t="str">
        <f>'Ashed teabags wet'!A204</f>
        <v>G632</v>
      </c>
      <c r="BD206" t="str">
        <f>'Ashed teabags wet'!A621</f>
        <v>R428</v>
      </c>
      <c r="BE206" t="b">
        <f t="shared" si="92"/>
        <v>0</v>
      </c>
      <c r="BF206" t="b">
        <f t="shared" si="93"/>
        <v>0</v>
      </c>
      <c r="BG206">
        <f>IFERROR('Ashed teabags wet'!C204,"")</f>
        <v>87</v>
      </c>
      <c r="BH206">
        <f>IFERROR('Ashed teabags wet'!C621,"")</f>
        <v>113</v>
      </c>
      <c r="BI206" t="str">
        <f>'Ashed teabags wet'!AB204</f>
        <v/>
      </c>
      <c r="BJ206">
        <f>'Ashed teabags wet'!AC204</f>
        <v>86</v>
      </c>
      <c r="BK206">
        <f>'Ashed teabags wet'!AD621</f>
        <v>112</v>
      </c>
      <c r="BL206" t="str">
        <f>'Ashed teabags wet'!AE621</f>
        <v/>
      </c>
      <c r="BN206" t="str">
        <f t="shared" si="94"/>
        <v>G628</v>
      </c>
      <c r="BO206" t="b">
        <f t="shared" si="95"/>
        <v>1</v>
      </c>
    </row>
    <row r="207" spans="2:67" ht="12" customHeight="1">
      <c r="B207" t="str">
        <f>TBIDry!H279</f>
        <v>G248</v>
      </c>
      <c r="C207" t="str">
        <f>TBIDry!I279</f>
        <v>R254</v>
      </c>
      <c r="D207" t="b">
        <f t="shared" si="72"/>
        <v>0</v>
      </c>
      <c r="E207" t="b">
        <f t="shared" si="73"/>
        <v>0</v>
      </c>
      <c r="G207" t="str">
        <f>TBIWet!H279</f>
        <v>G814</v>
      </c>
      <c r="H207" t="str">
        <f>TBIWet!I279</f>
        <v>R334</v>
      </c>
      <c r="I207" t="b">
        <f t="shared" si="74"/>
        <v>0</v>
      </c>
      <c r="J207" t="b">
        <f t="shared" si="75"/>
        <v>0</v>
      </c>
      <c r="L207" t="str">
        <f>'Both teabags AfterWet'!A206</f>
        <v>G632</v>
      </c>
      <c r="M207" t="str">
        <f>'Both teabags AfterWet'!A624</f>
        <v>R414</v>
      </c>
      <c r="N207" t="b">
        <f t="shared" si="76"/>
        <v>0</v>
      </c>
      <c r="O207" t="b">
        <f t="shared" si="77"/>
        <v>0</v>
      </c>
      <c r="P207">
        <f>IFERROR('Both teabags AfterWet'!B206,"")</f>
        <v>87</v>
      </c>
      <c r="Q207">
        <f>'Both teabags AfterWet'!B624</f>
        <v>69</v>
      </c>
      <c r="S207" s="401" t="b">
        <f t="shared" si="78"/>
        <v>0</v>
      </c>
      <c r="T207" s="401" t="b">
        <f t="shared" si="79"/>
        <v>0</v>
      </c>
      <c r="V207" t="str">
        <f>'Both teabags AfterDry'!A206</f>
        <v>G394</v>
      </c>
      <c r="W207" t="str">
        <f>'Both teabags AfterDry'!A543</f>
        <v>R685</v>
      </c>
      <c r="X207" t="b">
        <f t="shared" si="80"/>
        <v>0</v>
      </c>
      <c r="Y207" t="b">
        <f t="shared" si="81"/>
        <v>0</v>
      </c>
      <c r="AA207" t="str">
        <f>'Green_rooibos initial weight'!A208</f>
        <v>G204</v>
      </c>
      <c r="AB207" t="str">
        <f>'Green_rooibos initial weight'!A1112</f>
        <v>R204</v>
      </c>
      <c r="AC207" t="b">
        <f t="shared" si="82"/>
        <v>0</v>
      </c>
      <c r="AD207" t="b">
        <f t="shared" si="83"/>
        <v>0</v>
      </c>
      <c r="AG207" t="str">
        <f>'WetLitterbags placem_collection'!K206</f>
        <v>G814</v>
      </c>
      <c r="AH207" t="str">
        <f>'WetLitterbags placem_collection'!M206</f>
        <v>R334</v>
      </c>
      <c r="AI207" t="b">
        <f t="shared" si="84"/>
        <v>0</v>
      </c>
      <c r="AJ207" t="b">
        <f t="shared" si="85"/>
        <v>0</v>
      </c>
      <c r="AK207">
        <f>'WetLitterbags placem_collection'!A206</f>
        <v>204</v>
      </c>
      <c r="AL207">
        <f>'WetLitterbags placem_collection'!A206</f>
        <v>204</v>
      </c>
      <c r="AN207">
        <f>IF('Dry_Litterbag Placem_Collection'!J206=0,"",'Dry_Litterbag Placem_Collection'!J206)</f>
        <v>248</v>
      </c>
      <c r="AO207">
        <f>IF('Dry_Litterbag Placem_Collection'!K206=0,"",'Dry_Litterbag Placem_Collection'!K206)</f>
        <v>254</v>
      </c>
      <c r="AP207" t="b">
        <f t="shared" si="86"/>
        <v>0</v>
      </c>
      <c r="AQ207" t="b">
        <f t="shared" si="87"/>
        <v>0</v>
      </c>
      <c r="AT207" t="str">
        <f>'Ashed teabags dry'!A205</f>
        <v>G397</v>
      </c>
      <c r="AU207" t="str">
        <f>'Ashed teabags dry'!A542</f>
        <v>R685</v>
      </c>
      <c r="AV207" t="b">
        <f t="shared" si="88"/>
        <v>0</v>
      </c>
      <c r="AW207" t="b">
        <f t="shared" si="89"/>
        <v>0</v>
      </c>
      <c r="AZ207" s="401" t="b">
        <f t="shared" si="90"/>
        <v>0</v>
      </c>
      <c r="BA207" s="401" t="b">
        <f t="shared" si="91"/>
        <v>0</v>
      </c>
      <c r="BC207" t="str">
        <f>'Ashed teabags wet'!A205</f>
        <v>G633</v>
      </c>
      <c r="BD207" t="str">
        <f>'Ashed teabags wet'!A622</f>
        <v>R429</v>
      </c>
      <c r="BE207" t="b">
        <f t="shared" si="92"/>
        <v>0</v>
      </c>
      <c r="BF207" t="b">
        <f t="shared" si="93"/>
        <v>0</v>
      </c>
      <c r="BG207">
        <f>IFERROR('Ashed teabags wet'!C205,"")</f>
        <v>60</v>
      </c>
      <c r="BH207">
        <f>IFERROR('Ashed teabags wet'!C622,"")</f>
        <v>122</v>
      </c>
      <c r="BI207">
        <f>'Ashed teabags wet'!AB205</f>
        <v>59</v>
      </c>
      <c r="BJ207" t="str">
        <f>'Ashed teabags wet'!AC205</f>
        <v/>
      </c>
      <c r="BK207" t="str">
        <f>'Ashed teabags wet'!AD622</f>
        <v/>
      </c>
      <c r="BL207">
        <f>'Ashed teabags wet'!AE622</f>
        <v>121</v>
      </c>
      <c r="BN207" t="str">
        <f t="shared" si="94"/>
        <v>G632</v>
      </c>
      <c r="BO207" t="b">
        <f t="shared" si="95"/>
        <v>1</v>
      </c>
    </row>
    <row r="208" spans="2:67" ht="12" customHeight="1">
      <c r="B208" t="str">
        <f>TBIDry!H280</f>
        <v>G55</v>
      </c>
      <c r="C208" t="str">
        <f>TBIDry!I280</f>
        <v>R348</v>
      </c>
      <c r="D208" t="b">
        <f t="shared" si="72"/>
        <v>0</v>
      </c>
      <c r="E208" t="b">
        <f t="shared" si="73"/>
        <v>0</v>
      </c>
      <c r="G208" t="str">
        <f>TBIWet!H280</f>
        <v>G621</v>
      </c>
      <c r="H208" t="str">
        <f>TBIWet!I280</f>
        <v>R265</v>
      </c>
      <c r="I208" t="b">
        <f t="shared" si="74"/>
        <v>0</v>
      </c>
      <c r="J208" t="b">
        <f t="shared" si="75"/>
        <v>0</v>
      </c>
      <c r="L208" t="str">
        <f>'Both teabags AfterWet'!A207</f>
        <v>G633</v>
      </c>
      <c r="M208" t="str">
        <f>'Both teabags AfterWet'!A625</f>
        <v>R415</v>
      </c>
      <c r="N208" t="b">
        <f t="shared" si="76"/>
        <v>0</v>
      </c>
      <c r="O208" t="b">
        <f t="shared" si="77"/>
        <v>0</v>
      </c>
      <c r="P208">
        <f>IFERROR('Both teabags AfterWet'!B207,"")</f>
        <v>60</v>
      </c>
      <c r="Q208">
        <f>'Both teabags AfterWet'!B625</f>
        <v>15</v>
      </c>
      <c r="S208" s="401" t="b">
        <f t="shared" si="78"/>
        <v>0</v>
      </c>
      <c r="T208" s="401" t="b">
        <f t="shared" si="79"/>
        <v>0</v>
      </c>
      <c r="V208" t="str">
        <f>'Both teabags AfterDry'!A207</f>
        <v>G396</v>
      </c>
      <c r="W208" t="str">
        <f>'Both teabags AfterDry'!A544</f>
        <v>R686</v>
      </c>
      <c r="X208" t="b">
        <f t="shared" si="80"/>
        <v>0</v>
      </c>
      <c r="Y208" t="b">
        <f t="shared" si="81"/>
        <v>0</v>
      </c>
      <c r="AA208" t="str">
        <f>'Green_rooibos initial weight'!A209</f>
        <v>G205</v>
      </c>
      <c r="AB208" t="str">
        <f>'Green_rooibos initial weight'!A1113</f>
        <v>R205</v>
      </c>
      <c r="AC208" t="b">
        <f t="shared" si="82"/>
        <v>0</v>
      </c>
      <c r="AD208" t="b">
        <f t="shared" si="83"/>
        <v>0</v>
      </c>
      <c r="AG208" t="str">
        <f>'WetLitterbags placem_collection'!K207</f>
        <v>G621</v>
      </c>
      <c r="AH208" t="str">
        <f>'WetLitterbags placem_collection'!M207</f>
        <v>R265</v>
      </c>
      <c r="AI208" t="b">
        <f t="shared" si="84"/>
        <v>0</v>
      </c>
      <c r="AJ208" t="b">
        <f t="shared" si="85"/>
        <v>0</v>
      </c>
      <c r="AK208">
        <f>'WetLitterbags placem_collection'!A207</f>
        <v>205</v>
      </c>
      <c r="AL208">
        <f>'WetLitterbags placem_collection'!A207</f>
        <v>205</v>
      </c>
      <c r="AN208">
        <f>IF('Dry_Litterbag Placem_Collection'!J207=0,"",'Dry_Litterbag Placem_Collection'!J207)</f>
        <v>55</v>
      </c>
      <c r="AO208">
        <f>IF('Dry_Litterbag Placem_Collection'!K207=0,"",'Dry_Litterbag Placem_Collection'!K207)</f>
        <v>348</v>
      </c>
      <c r="AP208" t="b">
        <f t="shared" si="86"/>
        <v>0</v>
      </c>
      <c r="AQ208" t="b">
        <f t="shared" si="87"/>
        <v>0</v>
      </c>
      <c r="AT208" t="str">
        <f>'Ashed teabags dry'!A206</f>
        <v>G398</v>
      </c>
      <c r="AU208" t="str">
        <f>'Ashed teabags dry'!A543</f>
        <v>R686</v>
      </c>
      <c r="AV208" t="b">
        <f t="shared" si="88"/>
        <v>0</v>
      </c>
      <c r="AW208" t="b">
        <f t="shared" si="89"/>
        <v>0</v>
      </c>
      <c r="AZ208" s="401" t="b">
        <f t="shared" si="90"/>
        <v>0</v>
      </c>
      <c r="BA208" s="401" t="b">
        <f t="shared" si="91"/>
        <v>0</v>
      </c>
      <c r="BC208" t="str">
        <f>'Ashed teabags wet'!A206</f>
        <v>G634</v>
      </c>
      <c r="BD208" t="str">
        <f>'Ashed teabags wet'!A623</f>
        <v>R430</v>
      </c>
      <c r="BE208" t="b">
        <f t="shared" si="92"/>
        <v>0</v>
      </c>
      <c r="BF208" t="b">
        <f t="shared" si="93"/>
        <v>0</v>
      </c>
      <c r="BG208">
        <f>IFERROR('Ashed teabags wet'!C206,"")</f>
        <v>6</v>
      </c>
      <c r="BH208">
        <f>IFERROR('Ashed teabags wet'!C623,"")</f>
        <v>103</v>
      </c>
      <c r="BI208" t="str">
        <f>'Ashed teabags wet'!AB206</f>
        <v/>
      </c>
      <c r="BJ208">
        <f>'Ashed teabags wet'!AC206</f>
        <v>5</v>
      </c>
      <c r="BK208">
        <f>'Ashed teabags wet'!AD623</f>
        <v>102</v>
      </c>
      <c r="BL208" t="str">
        <f>'Ashed teabags wet'!AE623</f>
        <v/>
      </c>
      <c r="BN208" t="str">
        <f t="shared" si="94"/>
        <v>G633</v>
      </c>
      <c r="BO208" t="b">
        <f t="shared" si="95"/>
        <v>1</v>
      </c>
    </row>
    <row r="209" spans="2:67" ht="12" customHeight="1">
      <c r="B209" t="str">
        <f>TBIDry!H281</f>
        <v>G124</v>
      </c>
      <c r="C209" t="str">
        <f>TBIDry!I281</f>
        <v>R686</v>
      </c>
      <c r="D209" t="b">
        <f t="shared" si="72"/>
        <v>0</v>
      </c>
      <c r="E209" t="b">
        <f t="shared" si="73"/>
        <v>0</v>
      </c>
      <c r="G209" t="str">
        <f>TBIWet!H281</f>
        <v>G677</v>
      </c>
      <c r="H209" t="str">
        <f>TBIWet!I281</f>
        <v>R234</v>
      </c>
      <c r="I209" t="b">
        <f t="shared" si="74"/>
        <v>0</v>
      </c>
      <c r="J209" t="b">
        <f t="shared" si="75"/>
        <v>0</v>
      </c>
      <c r="L209" t="str">
        <f>'Both teabags AfterWet'!A208</f>
        <v>G634</v>
      </c>
      <c r="M209" t="str">
        <f>'Both teabags AfterWet'!A626</f>
        <v>R417</v>
      </c>
      <c r="N209" t="b">
        <f t="shared" si="76"/>
        <v>0</v>
      </c>
      <c r="O209" t="b">
        <f t="shared" si="77"/>
        <v>0</v>
      </c>
      <c r="P209" t="str">
        <f>IFERROR('Both teabags AfterWet'!B208,"")</f>
        <v>n.a</v>
      </c>
      <c r="Q209">
        <f>'Both teabags AfterWet'!B626</f>
        <v>84</v>
      </c>
      <c r="S209" s="401" t="b">
        <f t="shared" si="78"/>
        <v>0</v>
      </c>
      <c r="T209" s="401" t="b">
        <f t="shared" si="79"/>
        <v>0</v>
      </c>
      <c r="V209" t="str">
        <f>'Both teabags AfterDry'!A208</f>
        <v>G397</v>
      </c>
      <c r="W209" t="str">
        <f>'Both teabags AfterDry'!A545</f>
        <v>R689</v>
      </c>
      <c r="X209" t="b">
        <f t="shared" si="80"/>
        <v>0</v>
      </c>
      <c r="Y209" t="b">
        <f t="shared" si="81"/>
        <v>0</v>
      </c>
      <c r="AA209" t="str">
        <f>'Green_rooibos initial weight'!A210</f>
        <v>G206</v>
      </c>
      <c r="AB209" t="str">
        <f>'Green_rooibos initial weight'!A1114</f>
        <v>R206</v>
      </c>
      <c r="AC209" t="b">
        <f t="shared" si="82"/>
        <v>0</v>
      </c>
      <c r="AD209" t="b">
        <f t="shared" si="83"/>
        <v>0</v>
      </c>
      <c r="AG209" t="str">
        <f>'WetLitterbags placem_collection'!K208</f>
        <v>G677</v>
      </c>
      <c r="AH209" t="str">
        <f>'WetLitterbags placem_collection'!M208</f>
        <v>R234</v>
      </c>
      <c r="AI209" t="b">
        <f t="shared" si="84"/>
        <v>0</v>
      </c>
      <c r="AJ209" t="b">
        <f t="shared" si="85"/>
        <v>0</v>
      </c>
      <c r="AK209">
        <f>'WetLitterbags placem_collection'!A208</f>
        <v>206</v>
      </c>
      <c r="AL209">
        <f>'WetLitterbags placem_collection'!A208</f>
        <v>206</v>
      </c>
      <c r="AN209">
        <f>IF('Dry_Litterbag Placem_Collection'!J208=0,"",'Dry_Litterbag Placem_Collection'!J208)</f>
        <v>124</v>
      </c>
      <c r="AO209">
        <f>IF('Dry_Litterbag Placem_Collection'!K208=0,"",'Dry_Litterbag Placem_Collection'!K208)</f>
        <v>686</v>
      </c>
      <c r="AP209" t="b">
        <f t="shared" si="86"/>
        <v>0</v>
      </c>
      <c r="AQ209" t="b">
        <f t="shared" si="87"/>
        <v>0</v>
      </c>
      <c r="AT209" t="str">
        <f>'Ashed teabags dry'!A207</f>
        <v>G399</v>
      </c>
      <c r="AU209" t="str">
        <f>'Ashed teabags dry'!A544</f>
        <v>R689</v>
      </c>
      <c r="AV209" t="b">
        <f t="shared" si="88"/>
        <v>0</v>
      </c>
      <c r="AW209" t="b">
        <f t="shared" si="89"/>
        <v>0</v>
      </c>
      <c r="AZ209" s="401" t="b">
        <f t="shared" si="90"/>
        <v>0</v>
      </c>
      <c r="BA209" s="401" t="b">
        <f t="shared" si="91"/>
        <v>0</v>
      </c>
      <c r="BC209" t="str">
        <f>'Ashed teabags wet'!A207</f>
        <v>G636</v>
      </c>
      <c r="BD209" t="str">
        <f>'Ashed teabags wet'!A624</f>
        <v>R432</v>
      </c>
      <c r="BE209" t="b">
        <f t="shared" si="92"/>
        <v>0</v>
      </c>
      <c r="BF209" t="b">
        <f t="shared" si="93"/>
        <v>0</v>
      </c>
      <c r="BG209">
        <f>IFERROR('Ashed teabags wet'!C207,"")</f>
        <v>93</v>
      </c>
      <c r="BH209">
        <f>IFERROR('Ashed teabags wet'!C624,"")</f>
        <v>135</v>
      </c>
      <c r="BI209">
        <f>'Ashed teabags wet'!AB207</f>
        <v>92</v>
      </c>
      <c r="BJ209" t="str">
        <f>'Ashed teabags wet'!AC207</f>
        <v/>
      </c>
      <c r="BK209">
        <f>'Ashed teabags wet'!AD624</f>
        <v>134</v>
      </c>
      <c r="BL209" t="str">
        <f>'Ashed teabags wet'!AE624</f>
        <v/>
      </c>
      <c r="BN209" t="str">
        <f t="shared" si="94"/>
        <v>G634</v>
      </c>
      <c r="BO209" t="b">
        <f t="shared" si="95"/>
        <v>1</v>
      </c>
    </row>
    <row r="210" spans="2:67" ht="12" customHeight="1">
      <c r="B210" t="str">
        <f>TBIDry!H282</f>
        <v>G234</v>
      </c>
      <c r="C210" t="str">
        <f>TBIDry!I282</f>
        <v>R551</v>
      </c>
      <c r="D210" t="b">
        <f t="shared" si="72"/>
        <v>0</v>
      </c>
      <c r="E210" t="b">
        <f t="shared" si="73"/>
        <v>0</v>
      </c>
      <c r="G210" t="str">
        <f>TBIWet!H282</f>
        <v>G574</v>
      </c>
      <c r="H210" t="str">
        <f>TBIWet!I282</f>
        <v>R258</v>
      </c>
      <c r="I210" t="b">
        <f t="shared" si="74"/>
        <v>0</v>
      </c>
      <c r="J210" t="b">
        <f t="shared" si="75"/>
        <v>0</v>
      </c>
      <c r="L210" t="str">
        <f>'Both teabags AfterWet'!A209</f>
        <v>G636</v>
      </c>
      <c r="M210" t="str">
        <f>'Both teabags AfterWet'!A627</f>
        <v>R418</v>
      </c>
      <c r="N210" t="b">
        <f t="shared" si="76"/>
        <v>0</v>
      </c>
      <c r="O210" t="b">
        <f t="shared" si="77"/>
        <v>0</v>
      </c>
      <c r="P210" t="str">
        <f>IFERROR('Both teabags AfterWet'!B209,"")</f>
        <v>n.a</v>
      </c>
      <c r="Q210">
        <f>'Both teabags AfterWet'!B627</f>
        <v>128</v>
      </c>
      <c r="S210" s="401" t="b">
        <f t="shared" si="78"/>
        <v>0</v>
      </c>
      <c r="T210" s="401" t="b">
        <f t="shared" si="79"/>
        <v>0</v>
      </c>
      <c r="V210" t="str">
        <f>'Both teabags AfterDry'!A209</f>
        <v>G398</v>
      </c>
      <c r="W210" t="str">
        <f>'Both teabags AfterDry'!A546</f>
        <v>R691</v>
      </c>
      <c r="X210" t="b">
        <f t="shared" si="80"/>
        <v>0</v>
      </c>
      <c r="Y210" t="b">
        <f t="shared" si="81"/>
        <v>0</v>
      </c>
      <c r="AA210" t="str">
        <f>'Green_rooibos initial weight'!A211</f>
        <v>G207</v>
      </c>
      <c r="AB210" t="str">
        <f>'Green_rooibos initial weight'!A1115</f>
        <v>R207</v>
      </c>
      <c r="AC210" t="b">
        <f t="shared" si="82"/>
        <v>0</v>
      </c>
      <c r="AD210" t="b">
        <f t="shared" si="83"/>
        <v>0</v>
      </c>
      <c r="AG210" t="str">
        <f>'WetLitterbags placem_collection'!K209</f>
        <v>G574</v>
      </c>
      <c r="AH210" t="str">
        <f>'WetLitterbags placem_collection'!M209</f>
        <v>R258</v>
      </c>
      <c r="AI210" t="b">
        <f t="shared" si="84"/>
        <v>0</v>
      </c>
      <c r="AJ210" t="b">
        <f t="shared" si="85"/>
        <v>0</v>
      </c>
      <c r="AK210">
        <f>'WetLitterbags placem_collection'!A209</f>
        <v>207</v>
      </c>
      <c r="AL210">
        <f>'WetLitterbags placem_collection'!A209</f>
        <v>207</v>
      </c>
      <c r="AN210">
        <f>IF('Dry_Litterbag Placem_Collection'!J209=0,"",'Dry_Litterbag Placem_Collection'!J209)</f>
        <v>234</v>
      </c>
      <c r="AO210">
        <f>IF('Dry_Litterbag Placem_Collection'!K209=0,"",'Dry_Litterbag Placem_Collection'!K209)</f>
        <v>551</v>
      </c>
      <c r="AP210" t="b">
        <f t="shared" si="86"/>
        <v>0</v>
      </c>
      <c r="AQ210" t="b">
        <f t="shared" si="87"/>
        <v>0</v>
      </c>
      <c r="AT210" t="str">
        <f>'Ashed teabags dry'!A208</f>
        <v>G40</v>
      </c>
      <c r="AU210" t="str">
        <f>'Ashed teabags dry'!A545</f>
        <v>R691</v>
      </c>
      <c r="AV210" t="b">
        <f t="shared" si="88"/>
        <v>0</v>
      </c>
      <c r="AW210" t="b">
        <f t="shared" si="89"/>
        <v>0</v>
      </c>
      <c r="AZ210" s="401" t="b">
        <f t="shared" si="90"/>
        <v>0</v>
      </c>
      <c r="BA210" s="401" t="b">
        <f t="shared" si="91"/>
        <v>0</v>
      </c>
      <c r="BC210" t="str">
        <f>'Ashed teabags wet'!A208</f>
        <v>G637</v>
      </c>
      <c r="BD210" t="str">
        <f>'Ashed teabags wet'!A625</f>
        <v>R433</v>
      </c>
      <c r="BE210" t="b">
        <f t="shared" si="92"/>
        <v>0</v>
      </c>
      <c r="BF210" t="b">
        <f t="shared" si="93"/>
        <v>0</v>
      </c>
      <c r="BG210">
        <f>IFERROR('Ashed teabags wet'!C208,"")</f>
        <v>209</v>
      </c>
      <c r="BH210">
        <f>IFERROR('Ashed teabags wet'!C625,"")</f>
        <v>130</v>
      </c>
      <c r="BI210" t="str">
        <f>'Ashed teabags wet'!AB208</f>
        <v/>
      </c>
      <c r="BJ210">
        <f>'Ashed teabags wet'!AC208</f>
        <v>208</v>
      </c>
      <c r="BK210" t="str">
        <f>'Ashed teabags wet'!AD625</f>
        <v/>
      </c>
      <c r="BL210">
        <f>'Ashed teabags wet'!AE625</f>
        <v>129</v>
      </c>
      <c r="BN210" t="str">
        <f t="shared" si="94"/>
        <v>G636</v>
      </c>
      <c r="BO210" t="b">
        <f t="shared" si="95"/>
        <v>1</v>
      </c>
    </row>
    <row r="211" spans="2:67" ht="12" customHeight="1">
      <c r="B211" t="str">
        <f>TBIDry!H283</f>
        <v>G412</v>
      </c>
      <c r="C211" t="str">
        <f>TBIDry!I283</f>
        <v>R516</v>
      </c>
      <c r="D211" t="b">
        <f t="shared" si="72"/>
        <v>0</v>
      </c>
      <c r="E211" t="b">
        <f t="shared" si="73"/>
        <v>0</v>
      </c>
      <c r="G211" t="str">
        <f>TBIWet!H283</f>
        <v>G710</v>
      </c>
      <c r="H211" t="str">
        <f>TBIWet!I283</f>
        <v>R344</v>
      </c>
      <c r="I211" t="b">
        <f t="shared" si="74"/>
        <v>0</v>
      </c>
      <c r="J211" t="b">
        <f t="shared" si="75"/>
        <v>0</v>
      </c>
      <c r="L211" t="str">
        <f>'Both teabags AfterWet'!A210</f>
        <v>G637</v>
      </c>
      <c r="M211" t="str">
        <f>'Both teabags AfterWet'!A628</f>
        <v>R42</v>
      </c>
      <c r="N211" t="b">
        <f t="shared" si="76"/>
        <v>0</v>
      </c>
      <c r="O211" t="b">
        <f t="shared" si="77"/>
        <v>0</v>
      </c>
      <c r="P211">
        <f>IFERROR('Both teabags AfterWet'!B210,"")</f>
        <v>209</v>
      </c>
      <c r="Q211">
        <f>'Both teabags AfterWet'!B628</f>
        <v>61</v>
      </c>
      <c r="S211" s="401" t="b">
        <f t="shared" si="78"/>
        <v>0</v>
      </c>
      <c r="T211" s="401" t="b">
        <f t="shared" si="79"/>
        <v>0</v>
      </c>
      <c r="V211" t="str">
        <f>'Both teabags AfterDry'!A210</f>
        <v>G399</v>
      </c>
      <c r="W211" t="str">
        <f>'Both teabags AfterDry'!A547</f>
        <v>R692</v>
      </c>
      <c r="X211" t="b">
        <f t="shared" si="80"/>
        <v>0</v>
      </c>
      <c r="Y211" t="b">
        <f t="shared" si="81"/>
        <v>0</v>
      </c>
      <c r="AA211" t="str">
        <f>'Green_rooibos initial weight'!A212</f>
        <v>G208</v>
      </c>
      <c r="AB211" t="str">
        <f>'Green_rooibos initial weight'!A1116</f>
        <v>R208</v>
      </c>
      <c r="AC211" t="b">
        <f t="shared" si="82"/>
        <v>0</v>
      </c>
      <c r="AD211" t="b">
        <f t="shared" si="83"/>
        <v>0</v>
      </c>
      <c r="AG211" t="str">
        <f>'WetLitterbags placem_collection'!K210</f>
        <v>G710</v>
      </c>
      <c r="AH211" t="str">
        <f>'WetLitterbags placem_collection'!M210</f>
        <v>R344</v>
      </c>
      <c r="AI211" t="b">
        <f t="shared" si="84"/>
        <v>0</v>
      </c>
      <c r="AJ211" t="b">
        <f t="shared" si="85"/>
        <v>0</v>
      </c>
      <c r="AK211">
        <f>'WetLitterbags placem_collection'!A210</f>
        <v>208</v>
      </c>
      <c r="AL211">
        <f>'WetLitterbags placem_collection'!A210</f>
        <v>208</v>
      </c>
      <c r="AN211">
        <f>IF('Dry_Litterbag Placem_Collection'!J210=0,"",'Dry_Litterbag Placem_Collection'!J210)</f>
        <v>412</v>
      </c>
      <c r="AO211">
        <f>IF('Dry_Litterbag Placem_Collection'!K210=0,"",'Dry_Litterbag Placem_Collection'!K210)</f>
        <v>516</v>
      </c>
      <c r="AP211" t="b">
        <f t="shared" si="86"/>
        <v>0</v>
      </c>
      <c r="AQ211" t="b">
        <f t="shared" si="87"/>
        <v>0</v>
      </c>
      <c r="AT211" t="str">
        <f>'Ashed teabags dry'!A209</f>
        <v>G400</v>
      </c>
      <c r="AU211" t="str">
        <f>'Ashed teabags dry'!A546</f>
        <v>R692</v>
      </c>
      <c r="AV211" t="b">
        <f t="shared" si="88"/>
        <v>0</v>
      </c>
      <c r="AW211" t="b">
        <f t="shared" si="89"/>
        <v>0</v>
      </c>
      <c r="AZ211" s="401" t="b">
        <f t="shared" si="90"/>
        <v>0</v>
      </c>
      <c r="BA211" s="401" t="b">
        <f t="shared" si="91"/>
        <v>0</v>
      </c>
      <c r="BC211" t="str">
        <f>'Ashed teabags wet'!A209</f>
        <v>G638</v>
      </c>
      <c r="BD211" t="str">
        <f>'Ashed teabags wet'!A626</f>
        <v>R434</v>
      </c>
      <c r="BE211" t="b">
        <f t="shared" si="92"/>
        <v>0</v>
      </c>
      <c r="BF211" t="b">
        <f t="shared" si="93"/>
        <v>0</v>
      </c>
      <c r="BG211">
        <f>IFERROR('Ashed teabags wet'!C209,"")</f>
        <v>52</v>
      </c>
      <c r="BH211">
        <f>IFERROR('Ashed teabags wet'!C626,"")</f>
        <v>215</v>
      </c>
      <c r="BI211">
        <f>'Ashed teabags wet'!AB209</f>
        <v>51</v>
      </c>
      <c r="BJ211" t="str">
        <f>'Ashed teabags wet'!AC209</f>
        <v/>
      </c>
      <c r="BK211" t="str">
        <f>'Ashed teabags wet'!AD626</f>
        <v/>
      </c>
      <c r="BL211">
        <f>'Ashed teabags wet'!AE626</f>
        <v>214</v>
      </c>
      <c r="BN211" t="str">
        <f t="shared" si="94"/>
        <v>G637</v>
      </c>
      <c r="BO211" t="b">
        <f t="shared" si="95"/>
        <v>1</v>
      </c>
    </row>
    <row r="212" spans="2:67" ht="12" customHeight="1">
      <c r="B212" t="str">
        <f>TBIDry!H284</f>
        <v>G94</v>
      </c>
      <c r="C212" t="str">
        <f>TBIDry!I284</f>
        <v>R678</v>
      </c>
      <c r="D212" t="b">
        <f t="shared" si="72"/>
        <v>0</v>
      </c>
      <c r="E212" t="b">
        <f t="shared" si="73"/>
        <v>0</v>
      </c>
      <c r="G212" t="str">
        <f>TBIWet!H284</f>
        <v>G604</v>
      </c>
      <c r="H212" t="str">
        <f>TBIWet!I284</f>
        <v>R271</v>
      </c>
      <c r="I212" t="b">
        <f t="shared" si="74"/>
        <v>0</v>
      </c>
      <c r="J212" t="b">
        <f t="shared" si="75"/>
        <v>0</v>
      </c>
      <c r="L212" t="str">
        <f>'Both teabags AfterWet'!A211</f>
        <v>G638</v>
      </c>
      <c r="M212" t="str">
        <f>'Both teabags AfterWet'!A629</f>
        <v>R420</v>
      </c>
      <c r="N212" t="b">
        <f t="shared" si="76"/>
        <v>0</v>
      </c>
      <c r="O212" t="b">
        <f t="shared" si="77"/>
        <v>0</v>
      </c>
      <c r="P212">
        <f>IFERROR('Both teabags AfterWet'!B211,"")</f>
        <v>52</v>
      </c>
      <c r="Q212">
        <f>'Both teabags AfterWet'!B629</f>
        <v>40</v>
      </c>
      <c r="S212" s="401" t="b">
        <f t="shared" si="78"/>
        <v>0</v>
      </c>
      <c r="T212" s="401" t="b">
        <f t="shared" si="79"/>
        <v>0</v>
      </c>
      <c r="V212" t="str">
        <f>'Both teabags AfterDry'!A211</f>
        <v>G40</v>
      </c>
      <c r="W212" t="str">
        <f>'Both teabags AfterDry'!A548</f>
        <v>R693</v>
      </c>
      <c r="X212" t="b">
        <f t="shared" si="80"/>
        <v>0</v>
      </c>
      <c r="Y212" t="b">
        <f t="shared" si="81"/>
        <v>0</v>
      </c>
      <c r="AA212" t="str">
        <f>'Green_rooibos initial weight'!A213</f>
        <v>G209</v>
      </c>
      <c r="AB212" t="str">
        <f>'Green_rooibos initial weight'!A1117</f>
        <v>R209</v>
      </c>
      <c r="AC212" t="b">
        <f t="shared" si="82"/>
        <v>0</v>
      </c>
      <c r="AD212" t="b">
        <f t="shared" si="83"/>
        <v>0</v>
      </c>
      <c r="AG212" t="str">
        <f>'WetLitterbags placem_collection'!K211</f>
        <v>G604</v>
      </c>
      <c r="AH212" t="str">
        <f>'WetLitterbags placem_collection'!M211</f>
        <v>R271</v>
      </c>
      <c r="AI212" t="b">
        <f t="shared" si="84"/>
        <v>0</v>
      </c>
      <c r="AJ212" t="b">
        <f t="shared" si="85"/>
        <v>0</v>
      </c>
      <c r="AK212">
        <f>'WetLitterbags placem_collection'!A211</f>
        <v>209</v>
      </c>
      <c r="AL212">
        <f>'WetLitterbags placem_collection'!A211</f>
        <v>209</v>
      </c>
      <c r="AN212">
        <f>IF('Dry_Litterbag Placem_Collection'!J211=0,"",'Dry_Litterbag Placem_Collection'!J211)</f>
        <v>94</v>
      </c>
      <c r="AO212">
        <f>IF('Dry_Litterbag Placem_Collection'!K211=0,"",'Dry_Litterbag Placem_Collection'!K211)</f>
        <v>678</v>
      </c>
      <c r="AP212" t="b">
        <f t="shared" si="86"/>
        <v>0</v>
      </c>
      <c r="AQ212" t="b">
        <f t="shared" si="87"/>
        <v>0</v>
      </c>
      <c r="AT212" t="str">
        <f>'Ashed teabags dry'!A210</f>
        <v>G401</v>
      </c>
      <c r="AU212" t="str">
        <f>'Ashed teabags dry'!A547</f>
        <v>R693</v>
      </c>
      <c r="AV212" t="b">
        <f t="shared" si="88"/>
        <v>0</v>
      </c>
      <c r="AW212" t="b">
        <f t="shared" si="89"/>
        <v>0</v>
      </c>
      <c r="AZ212" s="401" t="b">
        <f t="shared" si="90"/>
        <v>0</v>
      </c>
      <c r="BA212" s="401" t="b">
        <f t="shared" si="91"/>
        <v>0</v>
      </c>
      <c r="BC212" t="str">
        <f>'Ashed teabags wet'!A210</f>
        <v>G639</v>
      </c>
      <c r="BD212" t="str">
        <f>'Ashed teabags wet'!A627</f>
        <v>R435</v>
      </c>
      <c r="BE212" t="b">
        <f t="shared" si="92"/>
        <v>0</v>
      </c>
      <c r="BF212" t="b">
        <f t="shared" si="93"/>
        <v>0</v>
      </c>
      <c r="BG212">
        <f>IFERROR('Ashed teabags wet'!C210,"")</f>
        <v>19</v>
      </c>
      <c r="BH212">
        <f>IFERROR('Ashed teabags wet'!C627,"")</f>
        <v>57</v>
      </c>
      <c r="BI212" t="str">
        <f>'Ashed teabags wet'!AB210</f>
        <v/>
      </c>
      <c r="BJ212">
        <f>'Ashed teabags wet'!AC210</f>
        <v>18</v>
      </c>
      <c r="BK212" t="str">
        <f>'Ashed teabags wet'!AD627</f>
        <v/>
      </c>
      <c r="BL212">
        <f>'Ashed teabags wet'!AE627</f>
        <v>56</v>
      </c>
      <c r="BN212" t="str">
        <f t="shared" si="94"/>
        <v>G638</v>
      </c>
      <c r="BO212" t="b">
        <f t="shared" si="95"/>
        <v>1</v>
      </c>
    </row>
    <row r="213" spans="2:67" ht="12" customHeight="1">
      <c r="B213" t="str">
        <f>TBIDry!H285</f>
        <v>G93</v>
      </c>
      <c r="C213" t="str">
        <f>TBIDry!I285</f>
        <v>R335</v>
      </c>
      <c r="D213" t="b">
        <f t="shared" si="72"/>
        <v>0</v>
      </c>
      <c r="E213" t="b">
        <f t="shared" si="73"/>
        <v>0</v>
      </c>
      <c r="G213" t="str">
        <f>TBIWet!H285</f>
        <v>G871</v>
      </c>
      <c r="H213" t="str">
        <f>TBIWet!I285</f>
        <v>R340</v>
      </c>
      <c r="I213" t="b">
        <f t="shared" si="74"/>
        <v>0</v>
      </c>
      <c r="J213" t="b">
        <f t="shared" si="75"/>
        <v>0</v>
      </c>
      <c r="L213" t="str">
        <f>'Both teabags AfterWet'!A212</f>
        <v>G639</v>
      </c>
      <c r="M213" t="str">
        <f>'Both teabags AfterWet'!A630</f>
        <v>R421</v>
      </c>
      <c r="N213" t="b">
        <f t="shared" si="76"/>
        <v>0</v>
      </c>
      <c r="O213" t="b">
        <f t="shared" si="77"/>
        <v>0</v>
      </c>
      <c r="P213" t="str">
        <f>IFERROR('Both teabags AfterWet'!B212,"")</f>
        <v>n.a</v>
      </c>
      <c r="Q213">
        <f>'Both teabags AfterWet'!B630</f>
        <v>160</v>
      </c>
      <c r="S213" s="401" t="b">
        <f t="shared" si="78"/>
        <v>0</v>
      </c>
      <c r="T213" s="401" t="b">
        <f t="shared" si="79"/>
        <v>0</v>
      </c>
      <c r="V213" t="str">
        <f>'Both teabags AfterDry'!A212</f>
        <v>G400</v>
      </c>
      <c r="W213" t="str">
        <f>'Both teabags AfterDry'!A549</f>
        <v>R694</v>
      </c>
      <c r="X213" t="b">
        <f t="shared" si="80"/>
        <v>0</v>
      </c>
      <c r="Y213" t="b">
        <f t="shared" si="81"/>
        <v>0</v>
      </c>
      <c r="AA213" t="str">
        <f>'Green_rooibos initial weight'!A214</f>
        <v>G210</v>
      </c>
      <c r="AB213" t="str">
        <f>'Green_rooibos initial weight'!A1118</f>
        <v>R210</v>
      </c>
      <c r="AC213" t="b">
        <f t="shared" si="82"/>
        <v>0</v>
      </c>
      <c r="AD213" t="b">
        <f t="shared" si="83"/>
        <v>0</v>
      </c>
      <c r="AG213" t="str">
        <f>'WetLitterbags placem_collection'!K212</f>
        <v>G871</v>
      </c>
      <c r="AH213" t="str">
        <f>'WetLitterbags placem_collection'!M212</f>
        <v>R340</v>
      </c>
      <c r="AI213" t="b">
        <f t="shared" si="84"/>
        <v>0</v>
      </c>
      <c r="AJ213" t="b">
        <f t="shared" si="85"/>
        <v>0</v>
      </c>
      <c r="AK213">
        <f>'WetLitterbags placem_collection'!A212</f>
        <v>210</v>
      </c>
      <c r="AL213">
        <f>'WetLitterbags placem_collection'!A212</f>
        <v>210</v>
      </c>
      <c r="AN213">
        <f>IF('Dry_Litterbag Placem_Collection'!J212=0,"",'Dry_Litterbag Placem_Collection'!J212)</f>
        <v>93</v>
      </c>
      <c r="AO213">
        <f>IF('Dry_Litterbag Placem_Collection'!K212=0,"",'Dry_Litterbag Placem_Collection'!K212)</f>
        <v>335</v>
      </c>
      <c r="AP213" t="b">
        <f t="shared" si="86"/>
        <v>0</v>
      </c>
      <c r="AQ213" t="b">
        <f t="shared" si="87"/>
        <v>0</v>
      </c>
      <c r="AT213" t="str">
        <f>'Ashed teabags dry'!A211</f>
        <v>G407</v>
      </c>
      <c r="AU213" t="str">
        <f>'Ashed teabags dry'!A548</f>
        <v>R694</v>
      </c>
      <c r="AV213" t="b">
        <f t="shared" si="88"/>
        <v>0</v>
      </c>
      <c r="AW213" t="b">
        <f t="shared" si="89"/>
        <v>0</v>
      </c>
      <c r="AZ213" s="401" t="b">
        <f t="shared" si="90"/>
        <v>0</v>
      </c>
      <c r="BA213" s="401" t="b">
        <f t="shared" si="91"/>
        <v>0</v>
      </c>
      <c r="BC213" t="str">
        <f>'Ashed teabags wet'!A211</f>
        <v>G640</v>
      </c>
      <c r="BD213" t="str">
        <f>'Ashed teabags wet'!A628</f>
        <v>R436</v>
      </c>
      <c r="BE213" t="b">
        <f t="shared" si="92"/>
        <v>0</v>
      </c>
      <c r="BF213" t="b">
        <f t="shared" si="93"/>
        <v>0</v>
      </c>
      <c r="BG213">
        <f>IFERROR('Ashed teabags wet'!C211,"")</f>
        <v>204</v>
      </c>
      <c r="BH213">
        <f>IFERROR('Ashed teabags wet'!C628,"")</f>
        <v>28</v>
      </c>
      <c r="BI213" t="str">
        <f>'Ashed teabags wet'!AB211</f>
        <v/>
      </c>
      <c r="BJ213">
        <f>'Ashed teabags wet'!AC211</f>
        <v>203</v>
      </c>
      <c r="BK213">
        <f>'Ashed teabags wet'!AD628</f>
        <v>27</v>
      </c>
      <c r="BL213" t="str">
        <f>'Ashed teabags wet'!AE628</f>
        <v/>
      </c>
      <c r="BN213" t="str">
        <f t="shared" si="94"/>
        <v>G639</v>
      </c>
      <c r="BO213" t="b">
        <f t="shared" si="95"/>
        <v>1</v>
      </c>
    </row>
    <row r="214" spans="2:67" ht="12" customHeight="1">
      <c r="B214" t="str">
        <f>TBIDry!H286</f>
        <v>G26</v>
      </c>
      <c r="C214" t="str">
        <f>TBIDry!I286</f>
        <v>R249</v>
      </c>
      <c r="D214" t="b">
        <f t="shared" si="72"/>
        <v>0</v>
      </c>
      <c r="E214" t="b">
        <f t="shared" si="73"/>
        <v>0</v>
      </c>
      <c r="G214" t="str">
        <f>TBIWet!H286</f>
        <v>G822</v>
      </c>
      <c r="H214" t="str">
        <f>TBIWet!I286</f>
        <v>R381</v>
      </c>
      <c r="I214" t="b">
        <f t="shared" si="74"/>
        <v>0</v>
      </c>
      <c r="J214" t="b">
        <f t="shared" si="75"/>
        <v>0</v>
      </c>
      <c r="L214" t="str">
        <f>'Both teabags AfterWet'!A213</f>
        <v>G640</v>
      </c>
      <c r="M214" t="str">
        <f>'Both teabags AfterWet'!A631</f>
        <v>R423</v>
      </c>
      <c r="N214" t="b">
        <f t="shared" si="76"/>
        <v>0</v>
      </c>
      <c r="O214" t="b">
        <f t="shared" si="77"/>
        <v>0</v>
      </c>
      <c r="P214" t="str">
        <f>IFERROR('Both teabags AfterWet'!B213,"")</f>
        <v>n.a</v>
      </c>
      <c r="Q214">
        <f>'Both teabags AfterWet'!B631</f>
        <v>63</v>
      </c>
      <c r="S214" s="401" t="b">
        <f t="shared" si="78"/>
        <v>0</v>
      </c>
      <c r="T214" s="401" t="b">
        <f t="shared" si="79"/>
        <v>0</v>
      </c>
      <c r="V214" t="str">
        <f>'Both teabags AfterDry'!A213</f>
        <v>G401</v>
      </c>
      <c r="W214" t="str">
        <f>'Both teabags AfterDry'!A550</f>
        <v>R695</v>
      </c>
      <c r="X214" t="b">
        <f t="shared" si="80"/>
        <v>0</v>
      </c>
      <c r="Y214" t="b">
        <f t="shared" si="81"/>
        <v>0</v>
      </c>
      <c r="AA214" t="str">
        <f>'Green_rooibos initial weight'!A215</f>
        <v>G211</v>
      </c>
      <c r="AB214" t="str">
        <f>'Green_rooibos initial weight'!A1119</f>
        <v>R211</v>
      </c>
      <c r="AC214" t="b">
        <f t="shared" si="82"/>
        <v>0</v>
      </c>
      <c r="AD214" t="b">
        <f t="shared" si="83"/>
        <v>0</v>
      </c>
      <c r="AG214" t="str">
        <f>'WetLitterbags placem_collection'!K213</f>
        <v>G822</v>
      </c>
      <c r="AH214" t="str">
        <f>'WetLitterbags placem_collection'!M213</f>
        <v>R381</v>
      </c>
      <c r="AI214" t="b">
        <f t="shared" si="84"/>
        <v>0</v>
      </c>
      <c r="AJ214" t="b">
        <f t="shared" si="85"/>
        <v>0</v>
      </c>
      <c r="AK214">
        <f>'WetLitterbags placem_collection'!A213</f>
        <v>211</v>
      </c>
      <c r="AL214">
        <f>'WetLitterbags placem_collection'!A213</f>
        <v>211</v>
      </c>
      <c r="AN214">
        <f>IF('Dry_Litterbag Placem_Collection'!J213=0,"",'Dry_Litterbag Placem_Collection'!J213)</f>
        <v>26</v>
      </c>
      <c r="AO214">
        <f>IF('Dry_Litterbag Placem_Collection'!K213=0,"",'Dry_Litterbag Placem_Collection'!K213)</f>
        <v>249</v>
      </c>
      <c r="AP214" t="b">
        <f t="shared" si="86"/>
        <v>0</v>
      </c>
      <c r="AQ214" t="b">
        <f t="shared" si="87"/>
        <v>0</v>
      </c>
      <c r="AT214" t="str">
        <f>'Ashed teabags dry'!A212</f>
        <v>G409</v>
      </c>
      <c r="AU214" t="str">
        <f>'Ashed teabags dry'!A549</f>
        <v>R695</v>
      </c>
      <c r="AV214" t="b">
        <f t="shared" si="88"/>
        <v>0</v>
      </c>
      <c r="AW214" t="b">
        <f t="shared" si="89"/>
        <v>0</v>
      </c>
      <c r="AZ214" s="401" t="b">
        <f t="shared" si="90"/>
        <v>0</v>
      </c>
      <c r="BA214" s="401" t="b">
        <f t="shared" si="91"/>
        <v>0</v>
      </c>
      <c r="BC214" t="str">
        <f>'Ashed teabags wet'!A212</f>
        <v>G641</v>
      </c>
      <c r="BD214" t="str">
        <f>'Ashed teabags wet'!A629</f>
        <v>R437</v>
      </c>
      <c r="BE214" t="b">
        <f t="shared" si="92"/>
        <v>0</v>
      </c>
      <c r="BF214" t="b">
        <f t="shared" si="93"/>
        <v>0</v>
      </c>
      <c r="BG214">
        <f>IFERROR('Ashed teabags wet'!C212,"")</f>
        <v>95</v>
      </c>
      <c r="BH214">
        <f>IFERROR('Ashed teabags wet'!C629,"")</f>
        <v>39</v>
      </c>
      <c r="BI214">
        <f>'Ashed teabags wet'!AB212</f>
        <v>94</v>
      </c>
      <c r="BJ214" t="str">
        <f>'Ashed teabags wet'!AC212</f>
        <v/>
      </c>
      <c r="BK214">
        <f>'Ashed teabags wet'!AD629</f>
        <v>38</v>
      </c>
      <c r="BL214" t="str">
        <f>'Ashed teabags wet'!AE629</f>
        <v/>
      </c>
      <c r="BN214" t="str">
        <f t="shared" si="94"/>
        <v>G640</v>
      </c>
      <c r="BO214" t="b">
        <f t="shared" si="95"/>
        <v>1</v>
      </c>
    </row>
    <row r="215" spans="2:67" ht="12" customHeight="1">
      <c r="B215" t="str">
        <f>TBIDry!H287</f>
        <v>G169</v>
      </c>
      <c r="C215" t="str">
        <f>TBIDry!I287</f>
        <v>R627</v>
      </c>
      <c r="D215" t="b">
        <f t="shared" si="72"/>
        <v>0</v>
      </c>
      <c r="E215" t="b">
        <f t="shared" si="73"/>
        <v>0</v>
      </c>
      <c r="G215" t="str">
        <f>TBIWet!H287</f>
        <v>G786</v>
      </c>
      <c r="H215" t="str">
        <f>TBIWet!I287</f>
        <v>R93</v>
      </c>
      <c r="I215" t="b">
        <f t="shared" si="74"/>
        <v>0</v>
      </c>
      <c r="J215" t="b">
        <f t="shared" si="75"/>
        <v>0</v>
      </c>
      <c r="L215" t="str">
        <f>'Both teabags AfterWet'!A214</f>
        <v>G641</v>
      </c>
      <c r="M215" t="str">
        <f>'Both teabags AfterWet'!A632</f>
        <v>R424</v>
      </c>
      <c r="N215" t="b">
        <f t="shared" si="76"/>
        <v>0</v>
      </c>
      <c r="O215" t="b">
        <f t="shared" si="77"/>
        <v>0</v>
      </c>
      <c r="P215">
        <f>IFERROR('Both teabags AfterWet'!B214,"")</f>
        <v>95</v>
      </c>
      <c r="Q215">
        <f>'Both teabags AfterWet'!B632</f>
        <v>127</v>
      </c>
      <c r="S215" s="401" t="b">
        <f t="shared" si="78"/>
        <v>0</v>
      </c>
      <c r="T215" s="401" t="b">
        <f t="shared" si="79"/>
        <v>0</v>
      </c>
      <c r="V215" t="str">
        <f>'Both teabags AfterDry'!A214</f>
        <v>G407</v>
      </c>
      <c r="W215" t="str">
        <f>'Both teabags AfterDry'!A551</f>
        <v>R696</v>
      </c>
      <c r="X215" t="b">
        <f t="shared" si="80"/>
        <v>0</v>
      </c>
      <c r="Y215" t="b">
        <f t="shared" si="81"/>
        <v>0</v>
      </c>
      <c r="AA215" t="str">
        <f>'Green_rooibos initial weight'!A216</f>
        <v>G212</v>
      </c>
      <c r="AB215" t="str">
        <f>'Green_rooibos initial weight'!A1120</f>
        <v>R212</v>
      </c>
      <c r="AC215" t="b">
        <f t="shared" si="82"/>
        <v>0</v>
      </c>
      <c r="AD215" t="b">
        <f t="shared" si="83"/>
        <v>0</v>
      </c>
      <c r="AG215" t="str">
        <f>'WetLitterbags placem_collection'!K214</f>
        <v>G786</v>
      </c>
      <c r="AH215" t="str">
        <f>'WetLitterbags placem_collection'!M214</f>
        <v>R93</v>
      </c>
      <c r="AI215" t="b">
        <f t="shared" si="84"/>
        <v>0</v>
      </c>
      <c r="AJ215" t="b">
        <f t="shared" si="85"/>
        <v>0</v>
      </c>
      <c r="AK215">
        <f>'WetLitterbags placem_collection'!A214</f>
        <v>212</v>
      </c>
      <c r="AL215">
        <f>'WetLitterbags placem_collection'!A214</f>
        <v>212</v>
      </c>
      <c r="AN215">
        <f>IF('Dry_Litterbag Placem_Collection'!J214=0,"",'Dry_Litterbag Placem_Collection'!J214)</f>
        <v>169</v>
      </c>
      <c r="AO215">
        <f>IF('Dry_Litterbag Placem_Collection'!K214=0,"",'Dry_Litterbag Placem_Collection'!K214)</f>
        <v>627</v>
      </c>
      <c r="AP215" t="b">
        <f t="shared" si="86"/>
        <v>0</v>
      </c>
      <c r="AQ215" t="b">
        <f t="shared" si="87"/>
        <v>0</v>
      </c>
      <c r="AT215" t="str">
        <f>'Ashed teabags dry'!A213</f>
        <v>G41</v>
      </c>
      <c r="AU215" t="str">
        <f>'Ashed teabags dry'!A550</f>
        <v>R696</v>
      </c>
      <c r="AV215" t="b">
        <f t="shared" si="88"/>
        <v>0</v>
      </c>
      <c r="AW215" t="b">
        <f t="shared" si="89"/>
        <v>0</v>
      </c>
      <c r="AZ215" s="401" t="b">
        <f t="shared" si="90"/>
        <v>0</v>
      </c>
      <c r="BA215" s="401" t="b">
        <f t="shared" si="91"/>
        <v>0</v>
      </c>
      <c r="BC215" t="str">
        <f>'Ashed teabags wet'!A213</f>
        <v>G643</v>
      </c>
      <c r="BD215" t="str">
        <f>'Ashed teabags wet'!A630</f>
        <v>R44</v>
      </c>
      <c r="BE215" t="b">
        <f t="shared" si="92"/>
        <v>0</v>
      </c>
      <c r="BF215" t="b">
        <f t="shared" si="93"/>
        <v>0</v>
      </c>
      <c r="BG215">
        <f>IFERROR('Ashed teabags wet'!C213,"")</f>
        <v>43</v>
      </c>
      <c r="BH215">
        <f>IFERROR('Ashed teabags wet'!C630,"")</f>
        <v>67</v>
      </c>
      <c r="BI215" t="str">
        <f>'Ashed teabags wet'!AB213</f>
        <v/>
      </c>
      <c r="BJ215">
        <f>'Ashed teabags wet'!AC213</f>
        <v>42</v>
      </c>
      <c r="BK215" t="str">
        <f>'Ashed teabags wet'!AD630</f>
        <v/>
      </c>
      <c r="BL215">
        <f>'Ashed teabags wet'!AE630</f>
        <v>66</v>
      </c>
      <c r="BN215" t="str">
        <f t="shared" si="94"/>
        <v>G641</v>
      </c>
      <c r="BO215" t="b">
        <f t="shared" si="95"/>
        <v>1</v>
      </c>
    </row>
    <row r="216" spans="2:67" ht="12" customHeight="1">
      <c r="B216" t="str">
        <f>TBIDry!H288</f>
        <v>G68</v>
      </c>
      <c r="C216" t="str">
        <f>TBIDry!I288</f>
        <v>R803</v>
      </c>
      <c r="D216" t="b">
        <f t="shared" si="72"/>
        <v>0</v>
      </c>
      <c r="E216" t="b">
        <f t="shared" si="73"/>
        <v>0</v>
      </c>
      <c r="G216" t="str">
        <f>TBIWet!H288</f>
        <v>G572</v>
      </c>
      <c r="H216" t="str">
        <f>TBIWet!I288</f>
        <v>R88</v>
      </c>
      <c r="I216" t="b">
        <f t="shared" si="74"/>
        <v>0</v>
      </c>
      <c r="J216" t="b">
        <f t="shared" si="75"/>
        <v>0</v>
      </c>
      <c r="L216" t="str">
        <f>'Both teabags AfterWet'!A215</f>
        <v>G643</v>
      </c>
      <c r="M216" t="str">
        <f>'Both teabags AfterWet'!A633</f>
        <v>R426</v>
      </c>
      <c r="N216" t="b">
        <f t="shared" si="76"/>
        <v>0</v>
      </c>
      <c r="O216" t="b">
        <f t="shared" si="77"/>
        <v>0</v>
      </c>
      <c r="P216">
        <f>IFERROR('Both teabags AfterWet'!B215,"")</f>
        <v>43</v>
      </c>
      <c r="Q216">
        <f>'Both teabags AfterWet'!B633</f>
        <v>138</v>
      </c>
      <c r="S216" s="401" t="b">
        <f t="shared" si="78"/>
        <v>0</v>
      </c>
      <c r="T216" s="401" t="b">
        <f t="shared" si="79"/>
        <v>0</v>
      </c>
      <c r="V216" t="str">
        <f>'Both teabags AfterDry'!A215</f>
        <v>G409</v>
      </c>
      <c r="W216" t="str">
        <f>'Both teabags AfterDry'!A552</f>
        <v>R697</v>
      </c>
      <c r="X216" t="b">
        <f t="shared" si="80"/>
        <v>0</v>
      </c>
      <c r="Y216" t="b">
        <f t="shared" si="81"/>
        <v>0</v>
      </c>
      <c r="AA216" t="str">
        <f>'Green_rooibos initial weight'!A217</f>
        <v>G213</v>
      </c>
      <c r="AB216" t="str">
        <f>'Green_rooibos initial weight'!A1121</f>
        <v>R213</v>
      </c>
      <c r="AC216" t="b">
        <f t="shared" si="82"/>
        <v>0</v>
      </c>
      <c r="AD216" t="b">
        <f t="shared" si="83"/>
        <v>0</v>
      </c>
      <c r="AG216" t="str">
        <f>'WetLitterbags placem_collection'!K215</f>
        <v>G572</v>
      </c>
      <c r="AH216" t="str">
        <f>'WetLitterbags placem_collection'!M215</f>
        <v>R88</v>
      </c>
      <c r="AI216" t="b">
        <f t="shared" si="84"/>
        <v>0</v>
      </c>
      <c r="AJ216" t="b">
        <f t="shared" si="85"/>
        <v>0</v>
      </c>
      <c r="AK216">
        <f>'WetLitterbags placem_collection'!A215</f>
        <v>213</v>
      </c>
      <c r="AL216">
        <f>'WetLitterbags placem_collection'!A215</f>
        <v>213</v>
      </c>
      <c r="AN216">
        <f>IF('Dry_Litterbag Placem_Collection'!J215=0,"",'Dry_Litterbag Placem_Collection'!J215)</f>
        <v>68</v>
      </c>
      <c r="AO216">
        <f>IF('Dry_Litterbag Placem_Collection'!K215=0,"",'Dry_Litterbag Placem_Collection'!K215)</f>
        <v>803</v>
      </c>
      <c r="AP216" t="b">
        <f t="shared" si="86"/>
        <v>0</v>
      </c>
      <c r="AQ216" t="b">
        <f t="shared" si="87"/>
        <v>0</v>
      </c>
      <c r="AT216" t="str">
        <f>'Ashed teabags dry'!A214</f>
        <v>G410</v>
      </c>
      <c r="AU216" t="str">
        <f>'Ashed teabags dry'!A551</f>
        <v>R697</v>
      </c>
      <c r="AV216" t="b">
        <f t="shared" si="88"/>
        <v>0</v>
      </c>
      <c r="AW216" t="b">
        <f t="shared" si="89"/>
        <v>0</v>
      </c>
      <c r="AZ216" s="401" t="b">
        <f t="shared" si="90"/>
        <v>0</v>
      </c>
      <c r="BA216" s="401" t="b">
        <f t="shared" si="91"/>
        <v>0</v>
      </c>
      <c r="BC216" t="str">
        <f>'Ashed teabags wet'!A214</f>
        <v>G644</v>
      </c>
      <c r="BD216" t="str">
        <f>'Ashed teabags wet'!A631</f>
        <v>R440</v>
      </c>
      <c r="BE216" t="b">
        <f t="shared" si="92"/>
        <v>0</v>
      </c>
      <c r="BF216" t="b">
        <f t="shared" si="93"/>
        <v>0</v>
      </c>
      <c r="BG216">
        <f>IFERROR('Ashed teabags wet'!C214,"")</f>
        <v>16</v>
      </c>
      <c r="BH216">
        <f>IFERROR('Ashed teabags wet'!C631,"")</f>
        <v>153</v>
      </c>
      <c r="BI216" t="str">
        <f>'Ashed teabags wet'!AB214</f>
        <v/>
      </c>
      <c r="BJ216">
        <f>'Ashed teabags wet'!AC214</f>
        <v>15</v>
      </c>
      <c r="BK216" t="str">
        <f>'Ashed teabags wet'!AD631</f>
        <v/>
      </c>
      <c r="BL216">
        <f>'Ashed teabags wet'!AE631</f>
        <v>152</v>
      </c>
      <c r="BN216" t="str">
        <f t="shared" si="94"/>
        <v>G643</v>
      </c>
      <c r="BO216" t="b">
        <f t="shared" si="95"/>
        <v>1</v>
      </c>
    </row>
    <row r="217" spans="2:67" ht="12" customHeight="1">
      <c r="B217" t="str">
        <f>TBIDry!H289</f>
        <v>G143</v>
      </c>
      <c r="C217" t="str">
        <f>TBIDry!I289</f>
        <v>R321</v>
      </c>
      <c r="D217" t="b">
        <f t="shared" si="72"/>
        <v>0</v>
      </c>
      <c r="E217" t="b">
        <f t="shared" si="73"/>
        <v>0</v>
      </c>
      <c r="G217" t="str">
        <f>TBIWet!H289</f>
        <v>G761</v>
      </c>
      <c r="H217" t="str">
        <f>TBIWet!I289</f>
        <v>R383</v>
      </c>
      <c r="I217" t="b">
        <f t="shared" si="74"/>
        <v>0</v>
      </c>
      <c r="J217" t="b">
        <f t="shared" si="75"/>
        <v>0</v>
      </c>
      <c r="L217" t="str">
        <f>'Both teabags AfterWet'!A216</f>
        <v>G644</v>
      </c>
      <c r="M217" t="str">
        <f>'Both teabags AfterWet'!A634</f>
        <v>R427</v>
      </c>
      <c r="N217" t="b">
        <f t="shared" si="76"/>
        <v>0</v>
      </c>
      <c r="O217" t="b">
        <f t="shared" si="77"/>
        <v>0</v>
      </c>
      <c r="P217" t="str">
        <f>IFERROR('Both teabags AfterWet'!B216,"")</f>
        <v>n.a</v>
      </c>
      <c r="Q217" t="str">
        <f>'Both teabags AfterWet'!B634</f>
        <v>n.a</v>
      </c>
      <c r="S217" s="401" t="b">
        <f t="shared" si="78"/>
        <v>0</v>
      </c>
      <c r="T217" s="401" t="b">
        <f t="shared" si="79"/>
        <v>0</v>
      </c>
      <c r="V217" t="str">
        <f>'Both teabags AfterDry'!A216</f>
        <v>G41</v>
      </c>
      <c r="W217" t="str">
        <f>'Both teabags AfterDry'!A553</f>
        <v>R698</v>
      </c>
      <c r="X217" t="b">
        <f t="shared" si="80"/>
        <v>0</v>
      </c>
      <c r="Y217" t="b">
        <f t="shared" si="81"/>
        <v>0</v>
      </c>
      <c r="AA217" t="str">
        <f>'Green_rooibos initial weight'!A218</f>
        <v>G214</v>
      </c>
      <c r="AB217" t="str">
        <f>'Green_rooibos initial weight'!A1122</f>
        <v>R214</v>
      </c>
      <c r="AC217" t="b">
        <f t="shared" si="82"/>
        <v>0</v>
      </c>
      <c r="AD217" t="b">
        <f t="shared" si="83"/>
        <v>0</v>
      </c>
      <c r="AG217" t="str">
        <f>'WetLitterbags placem_collection'!K216</f>
        <v>G761</v>
      </c>
      <c r="AH217" t="str">
        <f>'WetLitterbags placem_collection'!M216</f>
        <v>R383</v>
      </c>
      <c r="AI217" t="b">
        <f t="shared" si="84"/>
        <v>0</v>
      </c>
      <c r="AJ217" t="b">
        <f t="shared" si="85"/>
        <v>0</v>
      </c>
      <c r="AK217">
        <f>'WetLitterbags placem_collection'!A216</f>
        <v>214</v>
      </c>
      <c r="AL217">
        <f>'WetLitterbags placem_collection'!A216</f>
        <v>214</v>
      </c>
      <c r="AN217">
        <f>IF('Dry_Litterbag Placem_Collection'!J216=0,"",'Dry_Litterbag Placem_Collection'!J216)</f>
        <v>143</v>
      </c>
      <c r="AO217">
        <f>IF('Dry_Litterbag Placem_Collection'!K216=0,"",'Dry_Litterbag Placem_Collection'!K216)</f>
        <v>321</v>
      </c>
      <c r="AP217" t="b">
        <f t="shared" si="86"/>
        <v>0</v>
      </c>
      <c r="AQ217" t="b">
        <f t="shared" si="87"/>
        <v>0</v>
      </c>
      <c r="AT217" t="str">
        <f>'Ashed teabags dry'!A215</f>
        <v>G411</v>
      </c>
      <c r="AU217" t="str">
        <f>'Ashed teabags dry'!A552</f>
        <v>R698</v>
      </c>
      <c r="AV217" t="b">
        <f t="shared" si="88"/>
        <v>0</v>
      </c>
      <c r="AW217" t="b">
        <f t="shared" si="89"/>
        <v>0</v>
      </c>
      <c r="AZ217" s="401" t="b">
        <f t="shared" si="90"/>
        <v>0</v>
      </c>
      <c r="BA217" s="401" t="b">
        <f t="shared" si="91"/>
        <v>0</v>
      </c>
      <c r="BC217" t="str">
        <f>'Ashed teabags wet'!A215</f>
        <v>G645</v>
      </c>
      <c r="BD217" t="str">
        <f>'Ashed teabags wet'!A632</f>
        <v>R442</v>
      </c>
      <c r="BE217" t="b">
        <f t="shared" si="92"/>
        <v>0</v>
      </c>
      <c r="BF217" t="b">
        <f t="shared" si="93"/>
        <v>0</v>
      </c>
      <c r="BG217">
        <f>IFERROR('Ashed teabags wet'!C215,"")</f>
        <v>203</v>
      </c>
      <c r="BH217">
        <f>IFERROR('Ashed teabags wet'!C632,"")</f>
        <v>218</v>
      </c>
      <c r="BI217">
        <f>'Ashed teabags wet'!AB215</f>
        <v>202</v>
      </c>
      <c r="BJ217" t="str">
        <f>'Ashed teabags wet'!AC215</f>
        <v/>
      </c>
      <c r="BK217">
        <f>'Ashed teabags wet'!AD632</f>
        <v>217</v>
      </c>
      <c r="BL217" t="str">
        <f>'Ashed teabags wet'!AE632</f>
        <v/>
      </c>
      <c r="BN217" t="str">
        <f t="shared" si="94"/>
        <v>G644</v>
      </c>
      <c r="BO217" t="b">
        <f t="shared" si="95"/>
        <v>1</v>
      </c>
    </row>
    <row r="218" spans="2:67" ht="12" customHeight="1">
      <c r="B218" t="str">
        <f>TBIDry!H290</f>
        <v>G128</v>
      </c>
      <c r="C218" t="str">
        <f>TBIDry!I290</f>
        <v>R677</v>
      </c>
      <c r="D218" t="b">
        <f t="shared" si="72"/>
        <v>0</v>
      </c>
      <c r="E218" t="b">
        <f t="shared" si="73"/>
        <v>0</v>
      </c>
      <c r="G218" t="str">
        <f>TBIWet!H290</f>
        <v>G858</v>
      </c>
      <c r="H218" t="str">
        <f>TBIWet!I290</f>
        <v>R145</v>
      </c>
      <c r="I218" t="b">
        <f t="shared" si="74"/>
        <v>0</v>
      </c>
      <c r="J218" t="b">
        <f t="shared" si="75"/>
        <v>0</v>
      </c>
      <c r="L218" t="str">
        <f>'Both teabags AfterWet'!A217</f>
        <v>G645</v>
      </c>
      <c r="M218" t="str">
        <f>'Both teabags AfterWet'!A635</f>
        <v>R428</v>
      </c>
      <c r="N218" t="b">
        <f t="shared" si="76"/>
        <v>0</v>
      </c>
      <c r="O218" t="b">
        <f t="shared" si="77"/>
        <v>0</v>
      </c>
      <c r="P218" t="str">
        <f>IFERROR('Both teabags AfterWet'!B217,"")</f>
        <v>n.a</v>
      </c>
      <c r="Q218">
        <f>'Both teabags AfterWet'!B635</f>
        <v>113</v>
      </c>
      <c r="S218" s="401" t="b">
        <f t="shared" si="78"/>
        <v>0</v>
      </c>
      <c r="T218" s="401" t="b">
        <f t="shared" si="79"/>
        <v>0</v>
      </c>
      <c r="V218" t="str">
        <f>'Both teabags AfterDry'!A217</f>
        <v>G410</v>
      </c>
      <c r="W218" t="str">
        <f>'Both teabags AfterDry'!A554</f>
        <v>R699</v>
      </c>
      <c r="X218" t="b">
        <f t="shared" si="80"/>
        <v>0</v>
      </c>
      <c r="Y218" t="b">
        <f t="shared" si="81"/>
        <v>0</v>
      </c>
      <c r="AA218" t="str">
        <f>'Green_rooibos initial weight'!A219</f>
        <v>G215</v>
      </c>
      <c r="AB218" t="str">
        <f>'Green_rooibos initial weight'!A1123</f>
        <v>R215</v>
      </c>
      <c r="AC218" t="b">
        <f t="shared" si="82"/>
        <v>0</v>
      </c>
      <c r="AD218" t="b">
        <f t="shared" si="83"/>
        <v>0</v>
      </c>
      <c r="AG218" t="str">
        <f>'WetLitterbags placem_collection'!K217</f>
        <v>G858</v>
      </c>
      <c r="AH218" t="str">
        <f>'WetLitterbags placem_collection'!M217</f>
        <v>R145</v>
      </c>
      <c r="AI218" t="b">
        <f t="shared" si="84"/>
        <v>0</v>
      </c>
      <c r="AJ218" t="b">
        <f t="shared" si="85"/>
        <v>0</v>
      </c>
      <c r="AK218">
        <f>'WetLitterbags placem_collection'!A217</f>
        <v>215</v>
      </c>
      <c r="AL218">
        <f>'WetLitterbags placem_collection'!A217</f>
        <v>215</v>
      </c>
      <c r="AN218">
        <f>IF('Dry_Litterbag Placem_Collection'!J217=0,"",'Dry_Litterbag Placem_Collection'!J217)</f>
        <v>128</v>
      </c>
      <c r="AO218">
        <f>IF('Dry_Litterbag Placem_Collection'!K217=0,"",'Dry_Litterbag Placem_Collection'!K217)</f>
        <v>677</v>
      </c>
      <c r="AP218" t="b">
        <f t="shared" si="86"/>
        <v>0</v>
      </c>
      <c r="AQ218" t="b">
        <f t="shared" si="87"/>
        <v>0</v>
      </c>
      <c r="AT218" t="str">
        <f>'Ashed teabags dry'!A216</f>
        <v>G412</v>
      </c>
      <c r="AU218" t="str">
        <f>'Ashed teabags dry'!A553</f>
        <v>R699</v>
      </c>
      <c r="AV218" t="b">
        <f t="shared" si="88"/>
        <v>0</v>
      </c>
      <c r="AW218" t="b">
        <f t="shared" si="89"/>
        <v>0</v>
      </c>
      <c r="AZ218" s="401" t="b">
        <f t="shared" si="90"/>
        <v>0</v>
      </c>
      <c r="BA218" s="401" t="b">
        <f t="shared" si="91"/>
        <v>0</v>
      </c>
      <c r="BC218" t="str">
        <f>'Ashed teabags wet'!A216</f>
        <v>G647</v>
      </c>
      <c r="BD218" t="str">
        <f>'Ashed teabags wet'!A633</f>
        <v>R444</v>
      </c>
      <c r="BE218" t="b">
        <f t="shared" si="92"/>
        <v>0</v>
      </c>
      <c r="BF218" t="b">
        <f t="shared" si="93"/>
        <v>0</v>
      </c>
      <c r="BG218">
        <f>IFERROR('Ashed teabags wet'!C216,"")</f>
        <v>151</v>
      </c>
      <c r="BH218">
        <f>IFERROR('Ashed teabags wet'!C633,"")</f>
        <v>182</v>
      </c>
      <c r="BI218" t="str">
        <f>'Ashed teabags wet'!AB216</f>
        <v/>
      </c>
      <c r="BJ218">
        <f>'Ashed teabags wet'!AC216</f>
        <v>150</v>
      </c>
      <c r="BK218">
        <f>'Ashed teabags wet'!AD633</f>
        <v>181</v>
      </c>
      <c r="BL218" t="str">
        <f>'Ashed teabags wet'!AE633</f>
        <v/>
      </c>
      <c r="BN218" t="str">
        <f t="shared" si="94"/>
        <v>G645</v>
      </c>
      <c r="BO218" t="b">
        <f t="shared" si="95"/>
        <v>1</v>
      </c>
    </row>
    <row r="219" spans="2:67" ht="12" customHeight="1">
      <c r="B219" t="str">
        <f>TBIDry!H291</f>
        <v>G95</v>
      </c>
      <c r="C219" t="str">
        <f>TBIDry!I291</f>
        <v>R379</v>
      </c>
      <c r="D219" t="b">
        <f t="shared" si="72"/>
        <v>0</v>
      </c>
      <c r="E219" t="b">
        <f t="shared" si="73"/>
        <v>0</v>
      </c>
      <c r="G219" t="str">
        <f>TBIWet!H291</f>
        <v>G755</v>
      </c>
      <c r="H219" t="str">
        <f>TBIWet!I291</f>
        <v>R241</v>
      </c>
      <c r="I219" t="b">
        <f t="shared" si="74"/>
        <v>0</v>
      </c>
      <c r="J219" t="b">
        <f t="shared" si="75"/>
        <v>0</v>
      </c>
      <c r="L219" t="str">
        <f>'Both teabags AfterWet'!A218</f>
        <v>G647</v>
      </c>
      <c r="M219" t="str">
        <f>'Both teabags AfterWet'!A636</f>
        <v>R429</v>
      </c>
      <c r="N219" t="b">
        <f t="shared" si="76"/>
        <v>0</v>
      </c>
      <c r="O219" t="b">
        <f t="shared" si="77"/>
        <v>0</v>
      </c>
      <c r="P219">
        <f>IFERROR('Both teabags AfterWet'!B218,"")</f>
        <v>151</v>
      </c>
      <c r="Q219">
        <f>'Both teabags AfterWet'!B636</f>
        <v>122</v>
      </c>
      <c r="S219" s="401" t="b">
        <f t="shared" si="78"/>
        <v>0</v>
      </c>
      <c r="T219" s="401" t="b">
        <f t="shared" si="79"/>
        <v>0</v>
      </c>
      <c r="V219" t="str">
        <f>'Both teabags AfterDry'!A218</f>
        <v>G411</v>
      </c>
      <c r="W219" t="str">
        <f>'Both teabags AfterDry'!A555</f>
        <v>R701</v>
      </c>
      <c r="X219" t="b">
        <f t="shared" si="80"/>
        <v>0</v>
      </c>
      <c r="Y219" t="b">
        <f t="shared" si="81"/>
        <v>0</v>
      </c>
      <c r="AA219" t="str">
        <f>'Green_rooibos initial weight'!A220</f>
        <v>G216</v>
      </c>
      <c r="AB219" t="str">
        <f>'Green_rooibos initial weight'!A1124</f>
        <v>R216</v>
      </c>
      <c r="AC219" t="b">
        <f t="shared" si="82"/>
        <v>0</v>
      </c>
      <c r="AD219" t="b">
        <f t="shared" si="83"/>
        <v>0</v>
      </c>
      <c r="AG219" t="str">
        <f>'WetLitterbags placem_collection'!K218</f>
        <v>G755</v>
      </c>
      <c r="AH219" t="str">
        <f>'WetLitterbags placem_collection'!M218</f>
        <v>R241</v>
      </c>
      <c r="AI219" t="b">
        <f t="shared" si="84"/>
        <v>0</v>
      </c>
      <c r="AJ219" t="b">
        <f t="shared" si="85"/>
        <v>0</v>
      </c>
      <c r="AK219">
        <f>'WetLitterbags placem_collection'!A218</f>
        <v>216</v>
      </c>
      <c r="AL219">
        <f>'WetLitterbags placem_collection'!A218</f>
        <v>216</v>
      </c>
      <c r="AN219">
        <f>IF('Dry_Litterbag Placem_Collection'!J218=0,"",'Dry_Litterbag Placem_Collection'!J218)</f>
        <v>95</v>
      </c>
      <c r="AO219">
        <f>IF('Dry_Litterbag Placem_Collection'!K218=0,"",'Dry_Litterbag Placem_Collection'!K218)</f>
        <v>379</v>
      </c>
      <c r="AP219" t="b">
        <f t="shared" si="86"/>
        <v>0</v>
      </c>
      <c r="AQ219" t="b">
        <f t="shared" si="87"/>
        <v>0</v>
      </c>
      <c r="AT219" t="str">
        <f>'Ashed teabags dry'!A217</f>
        <v>G413</v>
      </c>
      <c r="AU219" t="str">
        <f>'Ashed teabags dry'!A554</f>
        <v>R701</v>
      </c>
      <c r="AV219" t="b">
        <f t="shared" si="88"/>
        <v>0</v>
      </c>
      <c r="AW219" t="b">
        <f t="shared" si="89"/>
        <v>0</v>
      </c>
      <c r="AZ219" s="401" t="b">
        <f t="shared" si="90"/>
        <v>0</v>
      </c>
      <c r="BA219" s="401" t="b">
        <f t="shared" si="91"/>
        <v>0</v>
      </c>
      <c r="BC219" t="str">
        <f>'Ashed teabags wet'!A217</f>
        <v>G648</v>
      </c>
      <c r="BD219" t="str">
        <f>'Ashed teabags wet'!A634</f>
        <v>R446</v>
      </c>
      <c r="BE219" t="b">
        <f t="shared" si="92"/>
        <v>0</v>
      </c>
      <c r="BF219" t="b">
        <f t="shared" si="93"/>
        <v>0</v>
      </c>
      <c r="BG219">
        <f>IFERROR('Ashed teabags wet'!C217,"")</f>
        <v>17</v>
      </c>
      <c r="BH219">
        <f>IFERROR('Ashed teabags wet'!C634,"")</f>
        <v>11</v>
      </c>
      <c r="BI219" t="str">
        <f>'Ashed teabags wet'!AB217</f>
        <v/>
      </c>
      <c r="BJ219">
        <f>'Ashed teabags wet'!AC217</f>
        <v>16</v>
      </c>
      <c r="BK219">
        <f>'Ashed teabags wet'!AD634</f>
        <v>10</v>
      </c>
      <c r="BL219" t="str">
        <f>'Ashed teabags wet'!AE634</f>
        <v/>
      </c>
      <c r="BN219" t="str">
        <f t="shared" si="94"/>
        <v>G647</v>
      </c>
      <c r="BO219" t="b">
        <f t="shared" si="95"/>
        <v>1</v>
      </c>
    </row>
    <row r="220" spans="2:67" ht="12" customHeight="1">
      <c r="B220" t="str">
        <f>TBIDry!H292</f>
        <v>G313</v>
      </c>
      <c r="C220" t="str">
        <f>TBIDry!I292</f>
        <v>R771</v>
      </c>
      <c r="D220" t="b">
        <f t="shared" si="72"/>
        <v>0</v>
      </c>
      <c r="E220" t="b">
        <f t="shared" si="73"/>
        <v>0</v>
      </c>
      <c r="G220" t="str">
        <f>TBIWet!H292</f>
        <v>G795</v>
      </c>
      <c r="H220" t="str">
        <f>TBIWet!I292</f>
        <v>R302</v>
      </c>
      <c r="I220" t="b">
        <f t="shared" si="74"/>
        <v>0</v>
      </c>
      <c r="J220" t="b">
        <f t="shared" si="75"/>
        <v>0</v>
      </c>
      <c r="L220" t="str">
        <f>'Both teabags AfterWet'!A219</f>
        <v>G648</v>
      </c>
      <c r="M220" t="str">
        <f>'Both teabags AfterWet'!A637</f>
        <v>R430</v>
      </c>
      <c r="N220" t="b">
        <f t="shared" si="76"/>
        <v>0</v>
      </c>
      <c r="O220" t="b">
        <f t="shared" si="77"/>
        <v>0</v>
      </c>
      <c r="P220" t="str">
        <f>IFERROR('Both teabags AfterWet'!B219,"")</f>
        <v>n.a</v>
      </c>
      <c r="Q220">
        <f>'Both teabags AfterWet'!B637</f>
        <v>103</v>
      </c>
      <c r="S220" s="401" t="b">
        <f t="shared" si="78"/>
        <v>0</v>
      </c>
      <c r="T220" s="401" t="b">
        <f t="shared" si="79"/>
        <v>0</v>
      </c>
      <c r="V220" t="str">
        <f>'Both teabags AfterDry'!A219</f>
        <v>G412</v>
      </c>
      <c r="W220" t="str">
        <f>'Both teabags AfterDry'!A556</f>
        <v>R702</v>
      </c>
      <c r="X220" t="b">
        <f t="shared" si="80"/>
        <v>0</v>
      </c>
      <c r="Y220" t="b">
        <f t="shared" si="81"/>
        <v>0</v>
      </c>
      <c r="AA220" t="str">
        <f>'Green_rooibos initial weight'!A221</f>
        <v>G217</v>
      </c>
      <c r="AB220" t="str">
        <f>'Green_rooibos initial weight'!A1125</f>
        <v>R217</v>
      </c>
      <c r="AC220" t="b">
        <f t="shared" si="82"/>
        <v>0</v>
      </c>
      <c r="AD220" t="b">
        <f t="shared" si="83"/>
        <v>0</v>
      </c>
      <c r="AG220" t="str">
        <f>'WetLitterbags placem_collection'!K219</f>
        <v>G795</v>
      </c>
      <c r="AH220" t="str">
        <f>'WetLitterbags placem_collection'!M219</f>
        <v>R302</v>
      </c>
      <c r="AI220" t="b">
        <f t="shared" si="84"/>
        <v>0</v>
      </c>
      <c r="AJ220" t="b">
        <f t="shared" si="85"/>
        <v>0</v>
      </c>
      <c r="AK220">
        <f>'WetLitterbags placem_collection'!A219</f>
        <v>217</v>
      </c>
      <c r="AL220">
        <f>'WetLitterbags placem_collection'!A219</f>
        <v>217</v>
      </c>
      <c r="AN220">
        <f>IF('Dry_Litterbag Placem_Collection'!J219=0,"",'Dry_Litterbag Placem_Collection'!J219)</f>
        <v>313</v>
      </c>
      <c r="AO220">
        <f>IF('Dry_Litterbag Placem_Collection'!K219=0,"",'Dry_Litterbag Placem_Collection'!K219)</f>
        <v>771</v>
      </c>
      <c r="AP220" t="b">
        <f t="shared" si="86"/>
        <v>0</v>
      </c>
      <c r="AQ220" t="b">
        <f t="shared" si="87"/>
        <v>0</v>
      </c>
      <c r="AT220" t="str">
        <f>'Ashed teabags dry'!A218</f>
        <v>G42</v>
      </c>
      <c r="AU220" t="str">
        <f>'Ashed teabags dry'!A555</f>
        <v>R702</v>
      </c>
      <c r="AV220" t="b">
        <f t="shared" si="88"/>
        <v>0</v>
      </c>
      <c r="AW220" t="b">
        <f t="shared" si="89"/>
        <v>0</v>
      </c>
      <c r="AZ220" s="401" t="b">
        <f t="shared" si="90"/>
        <v>0</v>
      </c>
      <c r="BA220" s="401" t="b">
        <f t="shared" si="91"/>
        <v>0</v>
      </c>
      <c r="BC220" t="str">
        <f>'Ashed teabags wet'!A218</f>
        <v>G649</v>
      </c>
      <c r="BD220" t="str">
        <f>'Ashed teabags wet'!A635</f>
        <v>R447</v>
      </c>
      <c r="BE220" t="b">
        <f t="shared" si="92"/>
        <v>0</v>
      </c>
      <c r="BF220" t="b">
        <f t="shared" si="93"/>
        <v>0</v>
      </c>
      <c r="BG220">
        <f>IFERROR('Ashed teabags wet'!C218,"")</f>
        <v>34</v>
      </c>
      <c r="BH220">
        <f>IFERROR('Ashed teabags wet'!C635,"")</f>
        <v>151</v>
      </c>
      <c r="BI220" t="str">
        <f>'Ashed teabags wet'!AB218</f>
        <v/>
      </c>
      <c r="BJ220">
        <f>'Ashed teabags wet'!AC218</f>
        <v>33</v>
      </c>
      <c r="BK220">
        <f>'Ashed teabags wet'!AD635</f>
        <v>150</v>
      </c>
      <c r="BL220" t="str">
        <f>'Ashed teabags wet'!AE635</f>
        <v/>
      </c>
      <c r="BN220" t="str">
        <f t="shared" si="94"/>
        <v>G648</v>
      </c>
      <c r="BO220" t="b">
        <f t="shared" si="95"/>
        <v>1</v>
      </c>
    </row>
    <row r="221" spans="2:67" ht="12" customHeight="1">
      <c r="B221" t="str">
        <f>TBIDry!H293</f>
        <v>G485</v>
      </c>
      <c r="C221" t="str">
        <f>TBIDry!I293</f>
        <v>R680</v>
      </c>
      <c r="D221" t="b">
        <f t="shared" si="72"/>
        <v>0</v>
      </c>
      <c r="E221" t="b">
        <f t="shared" si="73"/>
        <v>0</v>
      </c>
      <c r="G221" t="str">
        <f>TBIWet!H293</f>
        <v>G251</v>
      </c>
      <c r="H221" t="str">
        <f>TBIWet!I293</f>
        <v>R442</v>
      </c>
      <c r="I221" t="b">
        <f t="shared" si="74"/>
        <v>0</v>
      </c>
      <c r="J221" t="b">
        <f t="shared" si="75"/>
        <v>0</v>
      </c>
      <c r="L221" t="str">
        <f>'Both teabags AfterWet'!A220</f>
        <v>G649</v>
      </c>
      <c r="M221" t="str">
        <f>'Both teabags AfterWet'!A638</f>
        <v>R432</v>
      </c>
      <c r="N221" t="b">
        <f t="shared" si="76"/>
        <v>0</v>
      </c>
      <c r="O221" t="b">
        <f t="shared" si="77"/>
        <v>0</v>
      </c>
      <c r="P221">
        <f>IFERROR('Both teabags AfterWet'!B220,"")</f>
        <v>34</v>
      </c>
      <c r="Q221">
        <f>'Both teabags AfterWet'!B638</f>
        <v>135</v>
      </c>
      <c r="S221" s="401" t="b">
        <f t="shared" si="78"/>
        <v>0</v>
      </c>
      <c r="T221" s="401" t="b">
        <f t="shared" si="79"/>
        <v>0</v>
      </c>
      <c r="V221" t="str">
        <f>'Both teabags AfterDry'!A220</f>
        <v>G413</v>
      </c>
      <c r="W221" t="str">
        <f>'Both teabags AfterDry'!A557</f>
        <v>R703</v>
      </c>
      <c r="X221" t="b">
        <f t="shared" si="80"/>
        <v>0</v>
      </c>
      <c r="Y221" t="b">
        <f t="shared" si="81"/>
        <v>0</v>
      </c>
      <c r="AA221" t="str">
        <f>'Green_rooibos initial weight'!A222</f>
        <v>G218</v>
      </c>
      <c r="AB221" t="str">
        <f>'Green_rooibos initial weight'!A1126</f>
        <v>R218</v>
      </c>
      <c r="AC221" t="b">
        <f t="shared" si="82"/>
        <v>0</v>
      </c>
      <c r="AD221" t="b">
        <f t="shared" si="83"/>
        <v>0</v>
      </c>
      <c r="AG221" t="str">
        <f>'WetLitterbags placem_collection'!K220</f>
        <v>G251</v>
      </c>
      <c r="AH221" t="str">
        <f>'WetLitterbags placem_collection'!M220</f>
        <v>R442</v>
      </c>
      <c r="AI221" t="b">
        <f t="shared" si="84"/>
        <v>0</v>
      </c>
      <c r="AJ221" t="b">
        <f t="shared" si="85"/>
        <v>0</v>
      </c>
      <c r="AK221">
        <f>'WetLitterbags placem_collection'!A220</f>
        <v>218</v>
      </c>
      <c r="AL221">
        <f>'WetLitterbags placem_collection'!A220</f>
        <v>218</v>
      </c>
      <c r="AN221">
        <f>IF('Dry_Litterbag Placem_Collection'!J220=0,"",'Dry_Litterbag Placem_Collection'!J220)</f>
        <v>485</v>
      </c>
      <c r="AO221">
        <f>IF('Dry_Litterbag Placem_Collection'!K220=0,"",'Dry_Litterbag Placem_Collection'!K220)</f>
        <v>680</v>
      </c>
      <c r="AP221" t="b">
        <f t="shared" si="86"/>
        <v>0</v>
      </c>
      <c r="AQ221" t="b">
        <f t="shared" si="87"/>
        <v>0</v>
      </c>
      <c r="AT221" t="str">
        <f>'Ashed teabags dry'!A219</f>
        <v>G422</v>
      </c>
      <c r="AU221" t="str">
        <f>'Ashed teabags dry'!A556</f>
        <v>R703</v>
      </c>
      <c r="AV221" t="b">
        <f t="shared" si="88"/>
        <v>0</v>
      </c>
      <c r="AW221" t="b">
        <f t="shared" si="89"/>
        <v>0</v>
      </c>
      <c r="AZ221" s="401" t="b">
        <f t="shared" si="90"/>
        <v>0</v>
      </c>
      <c r="BA221" s="401" t="b">
        <f t="shared" si="91"/>
        <v>0</v>
      </c>
      <c r="BC221" t="str">
        <f>'Ashed teabags wet'!A219</f>
        <v>G651</v>
      </c>
      <c r="BD221" t="str">
        <f>'Ashed teabags wet'!A636</f>
        <v>R448</v>
      </c>
      <c r="BE221" t="b">
        <f t="shared" si="92"/>
        <v>0</v>
      </c>
      <c r="BF221" t="b">
        <f t="shared" si="93"/>
        <v>0</v>
      </c>
      <c r="BG221">
        <f>IFERROR('Ashed teabags wet'!C219,"")</f>
        <v>26</v>
      </c>
      <c r="BH221">
        <f>IFERROR('Ashed teabags wet'!C636,"")</f>
        <v>62</v>
      </c>
      <c r="BI221">
        <f>'Ashed teabags wet'!AB219</f>
        <v>25</v>
      </c>
      <c r="BJ221" t="str">
        <f>'Ashed teabags wet'!AC219</f>
        <v/>
      </c>
      <c r="BK221" t="str">
        <f>'Ashed teabags wet'!AD636</f>
        <v/>
      </c>
      <c r="BL221">
        <f>'Ashed teabags wet'!AE636</f>
        <v>61</v>
      </c>
      <c r="BN221" t="str">
        <f t="shared" si="94"/>
        <v>G649</v>
      </c>
      <c r="BO221" t="b">
        <f t="shared" si="95"/>
        <v>1</v>
      </c>
    </row>
    <row r="222" spans="2:67" ht="12" customHeight="1">
      <c r="B222" t="str">
        <f>TBIDry!H294</f>
        <v>G196</v>
      </c>
      <c r="C222" t="str">
        <f>TBIDry!I294</f>
        <v>R178</v>
      </c>
      <c r="D222" t="b">
        <f t="shared" si="72"/>
        <v>0</v>
      </c>
      <c r="E222" t="b">
        <f t="shared" si="73"/>
        <v>0</v>
      </c>
      <c r="G222" t="str">
        <f>TBIWet!H294</f>
        <v>G727</v>
      </c>
      <c r="H222" t="str">
        <f>TBIWet!I294</f>
        <v>R176</v>
      </c>
      <c r="I222" t="b">
        <f t="shared" si="74"/>
        <v>0</v>
      </c>
      <c r="J222" t="b">
        <f t="shared" si="75"/>
        <v>0</v>
      </c>
      <c r="L222" t="str">
        <f>'Both teabags AfterWet'!A221</f>
        <v>G651</v>
      </c>
      <c r="M222" t="str">
        <f>'Both teabags AfterWet'!A639</f>
        <v>R433</v>
      </c>
      <c r="N222" t="b">
        <f t="shared" si="76"/>
        <v>0</v>
      </c>
      <c r="O222" t="b">
        <f t="shared" si="77"/>
        <v>0</v>
      </c>
      <c r="P222" t="str">
        <f>IFERROR('Both teabags AfterWet'!B221,"")</f>
        <v>n.a</v>
      </c>
      <c r="Q222">
        <f>'Both teabags AfterWet'!B639</f>
        <v>130</v>
      </c>
      <c r="S222" s="401" t="b">
        <f t="shared" si="78"/>
        <v>0</v>
      </c>
      <c r="T222" s="401" t="b">
        <f t="shared" si="79"/>
        <v>0</v>
      </c>
      <c r="V222" t="str">
        <f>'Both teabags AfterDry'!A221</f>
        <v>G422</v>
      </c>
      <c r="W222" t="str">
        <f>'Both teabags AfterDry'!A558</f>
        <v>R704</v>
      </c>
      <c r="X222" t="b">
        <f t="shared" si="80"/>
        <v>0</v>
      </c>
      <c r="Y222" t="b">
        <f t="shared" si="81"/>
        <v>0</v>
      </c>
      <c r="AA222" t="str">
        <f>'Green_rooibos initial weight'!A223</f>
        <v>G219</v>
      </c>
      <c r="AB222" t="str">
        <f>'Green_rooibos initial weight'!A1127</f>
        <v>R219</v>
      </c>
      <c r="AC222" t="b">
        <f t="shared" si="82"/>
        <v>0</v>
      </c>
      <c r="AD222" t="b">
        <f t="shared" si="83"/>
        <v>0</v>
      </c>
      <c r="AG222" t="str">
        <f>'WetLitterbags placem_collection'!K221</f>
        <v>G727</v>
      </c>
      <c r="AH222" t="str">
        <f>'WetLitterbags placem_collection'!M221</f>
        <v>R176</v>
      </c>
      <c r="AI222" t="b">
        <f t="shared" si="84"/>
        <v>0</v>
      </c>
      <c r="AJ222" t="b">
        <f t="shared" si="85"/>
        <v>0</v>
      </c>
      <c r="AK222">
        <f>'WetLitterbags placem_collection'!A221</f>
        <v>219</v>
      </c>
      <c r="AL222">
        <f>'WetLitterbags placem_collection'!A221</f>
        <v>219</v>
      </c>
      <c r="AN222">
        <f>IF('Dry_Litterbag Placem_Collection'!J221=0,"",'Dry_Litterbag Placem_Collection'!J221)</f>
        <v>196</v>
      </c>
      <c r="AO222">
        <f>IF('Dry_Litterbag Placem_Collection'!K221=0,"",'Dry_Litterbag Placem_Collection'!K221)</f>
        <v>178</v>
      </c>
      <c r="AP222" t="b">
        <f t="shared" si="86"/>
        <v>0</v>
      </c>
      <c r="AQ222" t="b">
        <f t="shared" si="87"/>
        <v>0</v>
      </c>
      <c r="AT222" t="str">
        <f>'Ashed teabags dry'!A220</f>
        <v>G43</v>
      </c>
      <c r="AU222" t="str">
        <f>'Ashed teabags dry'!A557</f>
        <v>R704</v>
      </c>
      <c r="AV222" t="b">
        <f t="shared" si="88"/>
        <v>0</v>
      </c>
      <c r="AW222" t="b">
        <f t="shared" si="89"/>
        <v>0</v>
      </c>
      <c r="AZ222" s="401" t="b">
        <f t="shared" si="90"/>
        <v>0</v>
      </c>
      <c r="BA222" s="401" t="b">
        <f t="shared" si="91"/>
        <v>0</v>
      </c>
      <c r="BC222" t="str">
        <f>'Ashed teabags wet'!A220</f>
        <v>G653</v>
      </c>
      <c r="BD222" t="str">
        <f>'Ashed teabags wet'!A637</f>
        <v>R449</v>
      </c>
      <c r="BE222" t="b">
        <f t="shared" si="92"/>
        <v>0</v>
      </c>
      <c r="BF222" t="b">
        <f t="shared" si="93"/>
        <v>0</v>
      </c>
      <c r="BG222">
        <f>IFERROR('Ashed teabags wet'!C220,"")</f>
        <v>145</v>
      </c>
      <c r="BH222">
        <f>IFERROR('Ashed teabags wet'!C637,"")</f>
        <v>208</v>
      </c>
      <c r="BI222" t="str">
        <f>'Ashed teabags wet'!AB220</f>
        <v/>
      </c>
      <c r="BJ222">
        <f>'Ashed teabags wet'!AC220</f>
        <v>144</v>
      </c>
      <c r="BK222" t="str">
        <f>'Ashed teabags wet'!AD637</f>
        <v/>
      </c>
      <c r="BL222">
        <f>'Ashed teabags wet'!AE637</f>
        <v>207</v>
      </c>
      <c r="BN222" t="str">
        <f t="shared" si="94"/>
        <v>G651</v>
      </c>
      <c r="BO222" t="b">
        <f t="shared" si="95"/>
        <v>1</v>
      </c>
    </row>
    <row r="223" spans="2:67" ht="12" customHeight="1">
      <c r="B223" t="str">
        <f>TBIDry!H295</f>
        <v>G39</v>
      </c>
      <c r="C223" t="str">
        <f>TBIDry!I295</f>
        <v>R194</v>
      </c>
      <c r="D223" t="b">
        <f t="shared" si="72"/>
        <v>0</v>
      </c>
      <c r="E223" t="b">
        <f t="shared" si="73"/>
        <v>0</v>
      </c>
      <c r="G223" t="str">
        <f>TBIWet!H295</f>
        <v>G782</v>
      </c>
      <c r="H223" t="str">
        <f>TBIWet!I295</f>
        <v>R250</v>
      </c>
      <c r="I223" t="b">
        <f t="shared" si="74"/>
        <v>0</v>
      </c>
      <c r="J223" t="b">
        <f t="shared" si="75"/>
        <v>0</v>
      </c>
      <c r="L223" t="str">
        <f>'Both teabags AfterWet'!A222</f>
        <v>G653</v>
      </c>
      <c r="M223" t="str">
        <f>'Both teabags AfterWet'!A640</f>
        <v>R434</v>
      </c>
      <c r="N223" t="b">
        <f t="shared" si="76"/>
        <v>0</v>
      </c>
      <c r="O223" t="b">
        <f t="shared" si="77"/>
        <v>0</v>
      </c>
      <c r="P223">
        <f>IFERROR('Both teabags AfterWet'!B222,"")</f>
        <v>145</v>
      </c>
      <c r="Q223" t="str">
        <f>'Both teabags AfterWet'!B640</f>
        <v>n.a</v>
      </c>
      <c r="S223" s="401" t="b">
        <f t="shared" si="78"/>
        <v>0</v>
      </c>
      <c r="T223" s="401" t="b">
        <f t="shared" si="79"/>
        <v>0</v>
      </c>
      <c r="V223" t="str">
        <f>'Both teabags AfterDry'!A222</f>
        <v>G43</v>
      </c>
      <c r="W223" t="str">
        <f>'Both teabags AfterDry'!A559</f>
        <v>R705</v>
      </c>
      <c r="X223" t="b">
        <f t="shared" si="80"/>
        <v>0</v>
      </c>
      <c r="Y223" t="b">
        <f t="shared" si="81"/>
        <v>0</v>
      </c>
      <c r="AA223" t="str">
        <f>'Green_rooibos initial weight'!A224</f>
        <v>G220</v>
      </c>
      <c r="AB223" t="str">
        <f>'Green_rooibos initial weight'!A1128</f>
        <v>R220</v>
      </c>
      <c r="AC223" t="b">
        <f t="shared" si="82"/>
        <v>0</v>
      </c>
      <c r="AD223" t="b">
        <f t="shared" si="83"/>
        <v>0</v>
      </c>
      <c r="AG223" t="str">
        <f>'WetLitterbags placem_collection'!K222</f>
        <v>G782</v>
      </c>
      <c r="AH223" t="str">
        <f>'WetLitterbags placem_collection'!M222</f>
        <v>R250</v>
      </c>
      <c r="AI223" t="b">
        <f t="shared" si="84"/>
        <v>0</v>
      </c>
      <c r="AJ223" t="b">
        <f t="shared" si="85"/>
        <v>0</v>
      </c>
      <c r="AK223">
        <f>'WetLitterbags placem_collection'!A222</f>
        <v>220</v>
      </c>
      <c r="AL223">
        <f>'WetLitterbags placem_collection'!A222</f>
        <v>220</v>
      </c>
      <c r="AN223">
        <f>IF('Dry_Litterbag Placem_Collection'!J222=0,"",'Dry_Litterbag Placem_Collection'!J222)</f>
        <v>39</v>
      </c>
      <c r="AO223">
        <f>IF('Dry_Litterbag Placem_Collection'!K222=0,"",'Dry_Litterbag Placem_Collection'!K222)</f>
        <v>194</v>
      </c>
      <c r="AP223" t="b">
        <f t="shared" si="86"/>
        <v>0</v>
      </c>
      <c r="AQ223" t="b">
        <f t="shared" si="87"/>
        <v>0</v>
      </c>
      <c r="AT223" t="str">
        <f>'Ashed teabags dry'!A221</f>
        <v>G430</v>
      </c>
      <c r="AU223" t="str">
        <f>'Ashed teabags dry'!A558</f>
        <v>R705</v>
      </c>
      <c r="AV223" t="b">
        <f t="shared" si="88"/>
        <v>0</v>
      </c>
      <c r="AW223" t="b">
        <f t="shared" si="89"/>
        <v>0</v>
      </c>
      <c r="AZ223" s="401" t="b">
        <f t="shared" si="90"/>
        <v>0</v>
      </c>
      <c r="BA223" s="401" t="b">
        <f t="shared" si="91"/>
        <v>0</v>
      </c>
      <c r="BC223" t="str">
        <f>'Ashed teabags wet'!A221</f>
        <v>G654</v>
      </c>
      <c r="BD223" t="str">
        <f>'Ashed teabags wet'!A638</f>
        <v>R45</v>
      </c>
      <c r="BE223" t="b">
        <f t="shared" si="92"/>
        <v>0</v>
      </c>
      <c r="BF223" t="b">
        <f t="shared" si="93"/>
        <v>0</v>
      </c>
      <c r="BG223">
        <f>IFERROR('Ashed teabags wet'!C221,"")</f>
        <v>156</v>
      </c>
      <c r="BH223">
        <f>IFERROR('Ashed teabags wet'!C638,"")</f>
        <v>22</v>
      </c>
      <c r="BI223">
        <f>'Ashed teabags wet'!AB221</f>
        <v>155</v>
      </c>
      <c r="BJ223" t="str">
        <f>'Ashed teabags wet'!AC221</f>
        <v/>
      </c>
      <c r="BK223" t="str">
        <f>'Ashed teabags wet'!AD638</f>
        <v/>
      </c>
      <c r="BL223">
        <f>'Ashed teabags wet'!AE638</f>
        <v>21</v>
      </c>
      <c r="BN223" t="str">
        <f t="shared" si="94"/>
        <v>G653</v>
      </c>
      <c r="BO223" t="b">
        <f t="shared" si="95"/>
        <v>1</v>
      </c>
    </row>
    <row r="224" spans="2:67" ht="12" customHeight="1">
      <c r="B224" t="str">
        <f>TBIDry!H296</f>
        <v>G377</v>
      </c>
      <c r="C224" t="str">
        <f>TBIDry!I296</f>
        <v>R204</v>
      </c>
      <c r="D224" t="b">
        <f t="shared" si="72"/>
        <v>0</v>
      </c>
      <c r="E224" t="b">
        <f t="shared" si="73"/>
        <v>0</v>
      </c>
      <c r="G224" t="str">
        <f>TBIWet!H296</f>
        <v>G752</v>
      </c>
      <c r="H224" t="str">
        <f>TBIWet!I296</f>
        <v>R133</v>
      </c>
      <c r="I224" t="b">
        <f t="shared" si="74"/>
        <v>0</v>
      </c>
      <c r="J224" t="b">
        <f t="shared" si="75"/>
        <v>0</v>
      </c>
      <c r="L224" t="str">
        <f>'Both teabags AfterWet'!A223</f>
        <v>G654</v>
      </c>
      <c r="M224" t="str">
        <f>'Both teabags AfterWet'!A641</f>
        <v>R435</v>
      </c>
      <c r="N224" t="b">
        <f t="shared" si="76"/>
        <v>0</v>
      </c>
      <c r="O224" t="b">
        <f t="shared" si="77"/>
        <v>0</v>
      </c>
      <c r="P224">
        <f>IFERROR('Both teabags AfterWet'!B223,"")</f>
        <v>156</v>
      </c>
      <c r="Q224">
        <f>'Both teabags AfterWet'!B641</f>
        <v>57</v>
      </c>
      <c r="S224" s="401" t="b">
        <f t="shared" si="78"/>
        <v>0</v>
      </c>
      <c r="T224" s="401" t="b">
        <f t="shared" si="79"/>
        <v>0</v>
      </c>
      <c r="V224" t="str">
        <f>'Both teabags AfterDry'!A223</f>
        <v>G430</v>
      </c>
      <c r="W224" t="str">
        <f>'Both teabags AfterDry'!A560</f>
        <v>R706</v>
      </c>
      <c r="X224" t="b">
        <f t="shared" si="80"/>
        <v>0</v>
      </c>
      <c r="Y224" t="b">
        <f t="shared" si="81"/>
        <v>0</v>
      </c>
      <c r="AA224" t="str">
        <f>'Green_rooibos initial weight'!A225</f>
        <v>G221</v>
      </c>
      <c r="AB224" t="str">
        <f>'Green_rooibos initial weight'!A1129</f>
        <v>R221</v>
      </c>
      <c r="AC224" t="b">
        <f t="shared" si="82"/>
        <v>0</v>
      </c>
      <c r="AD224" t="b">
        <f t="shared" si="83"/>
        <v>0</v>
      </c>
      <c r="AG224" t="str">
        <f>'WetLitterbags placem_collection'!O3</f>
        <v>G752</v>
      </c>
      <c r="AH224" t="str">
        <f>'WetLitterbags placem_collection'!Q3</f>
        <v>R133</v>
      </c>
      <c r="AI224" t="b">
        <f t="shared" si="84"/>
        <v>0</v>
      </c>
      <c r="AJ224" t="b">
        <f t="shared" si="85"/>
        <v>0</v>
      </c>
      <c r="AK224">
        <f>'WetLitterbags placem_collection'!A3</f>
        <v>1</v>
      </c>
      <c r="AL224">
        <f>'WetLitterbags placem_collection'!A3</f>
        <v>1</v>
      </c>
      <c r="AN224">
        <f>IF('Dry_Litterbag Placem_Collection'!L3=0,"",'Dry_Litterbag Placem_Collection'!L3)</f>
        <v>377</v>
      </c>
      <c r="AO224">
        <f>IF('Dry_Litterbag Placem_Collection'!M3=0,"",'Dry_Litterbag Placem_Collection'!M3)</f>
        <v>204</v>
      </c>
      <c r="AP224" t="b">
        <f t="shared" si="86"/>
        <v>0</v>
      </c>
      <c r="AQ224" t="b">
        <f t="shared" si="87"/>
        <v>0</v>
      </c>
      <c r="AT224" t="str">
        <f>'Ashed teabags dry'!A222</f>
        <v>G431</v>
      </c>
      <c r="AU224" t="str">
        <f>'Ashed teabags dry'!A559</f>
        <v>R706</v>
      </c>
      <c r="AV224" t="b">
        <f t="shared" si="88"/>
        <v>0</v>
      </c>
      <c r="AW224" t="b">
        <f t="shared" si="89"/>
        <v>0</v>
      </c>
      <c r="AZ224" s="401" t="b">
        <f t="shared" si="90"/>
        <v>0</v>
      </c>
      <c r="BA224" s="401" t="b">
        <f t="shared" si="91"/>
        <v>0</v>
      </c>
      <c r="BC224" t="str">
        <f>'Ashed teabags wet'!A222</f>
        <v>G655</v>
      </c>
      <c r="BD224" t="str">
        <f>'Ashed teabags wet'!A639</f>
        <v>R450</v>
      </c>
      <c r="BE224" t="b">
        <f t="shared" si="92"/>
        <v>0</v>
      </c>
      <c r="BF224" t="b">
        <f t="shared" si="93"/>
        <v>0</v>
      </c>
      <c r="BG224">
        <f>IFERROR('Ashed teabags wet'!C222,"")</f>
        <v>174</v>
      </c>
      <c r="BH224">
        <f>IFERROR('Ashed teabags wet'!C639,"")</f>
        <v>13</v>
      </c>
      <c r="BI224">
        <f>'Ashed teabags wet'!AB222</f>
        <v>173</v>
      </c>
      <c r="BJ224" t="str">
        <f>'Ashed teabags wet'!AC222</f>
        <v/>
      </c>
      <c r="BK224">
        <f>'Ashed teabags wet'!AD639</f>
        <v>12</v>
      </c>
      <c r="BL224" t="str">
        <f>'Ashed teabags wet'!AE639</f>
        <v/>
      </c>
      <c r="BN224" t="str">
        <f t="shared" si="94"/>
        <v>G654</v>
      </c>
      <c r="BO224" t="b">
        <f t="shared" si="95"/>
        <v>1</v>
      </c>
    </row>
    <row r="225" spans="2:67" ht="12" customHeight="1">
      <c r="B225" t="str">
        <f>TBIDry!H297</f>
        <v/>
      </c>
      <c r="C225" t="str">
        <f>TBIDry!I297</f>
        <v/>
      </c>
      <c r="D225" t="b">
        <f t="shared" si="72"/>
        <v>1</v>
      </c>
      <c r="E225" t="b">
        <f t="shared" si="73"/>
        <v>1</v>
      </c>
      <c r="G225" t="str">
        <f>TBIWet!H297</f>
        <v>G737</v>
      </c>
      <c r="H225" t="str">
        <f>TBIWet!I297</f>
        <v>R527</v>
      </c>
      <c r="I225" t="b">
        <f t="shared" si="74"/>
        <v>0</v>
      </c>
      <c r="J225" t="b">
        <f t="shared" si="75"/>
        <v>0</v>
      </c>
      <c r="L225" t="str">
        <f>'Both teabags AfterWet'!A224</f>
        <v>G655</v>
      </c>
      <c r="M225" t="str">
        <f>'Both teabags AfterWet'!A642</f>
        <v>R436</v>
      </c>
      <c r="N225" t="b">
        <f t="shared" si="76"/>
        <v>0</v>
      </c>
      <c r="O225" t="b">
        <f t="shared" si="77"/>
        <v>0</v>
      </c>
      <c r="P225">
        <f>IFERROR('Both teabags AfterWet'!B224,"")</f>
        <v>174</v>
      </c>
      <c r="Q225" t="str">
        <f>'Both teabags AfterWet'!B642</f>
        <v>n.a</v>
      </c>
      <c r="S225" s="401" t="b">
        <f t="shared" si="78"/>
        <v>0</v>
      </c>
      <c r="T225" s="401" t="b">
        <f t="shared" si="79"/>
        <v>0</v>
      </c>
      <c r="V225" t="str">
        <f>'Both teabags AfterDry'!A224</f>
        <v>G431</v>
      </c>
      <c r="W225" t="str">
        <f>'Both teabags AfterDry'!A561</f>
        <v>R707</v>
      </c>
      <c r="X225" t="b">
        <f t="shared" si="80"/>
        <v>0</v>
      </c>
      <c r="Y225" t="b">
        <f t="shared" si="81"/>
        <v>0</v>
      </c>
      <c r="AA225" t="str">
        <f>'Green_rooibos initial weight'!A226</f>
        <v>G222</v>
      </c>
      <c r="AB225" t="str">
        <f>'Green_rooibos initial weight'!A1130</f>
        <v>R222</v>
      </c>
      <c r="AC225" t="b">
        <f t="shared" si="82"/>
        <v>0</v>
      </c>
      <c r="AD225" t="b">
        <f t="shared" si="83"/>
        <v>0</v>
      </c>
      <c r="AG225" t="str">
        <f>'WetLitterbags placem_collection'!O4</f>
        <v>G737</v>
      </c>
      <c r="AH225" t="str">
        <f>'WetLitterbags placem_collection'!Q4</f>
        <v>R527</v>
      </c>
      <c r="AI225" t="b">
        <f t="shared" si="84"/>
        <v>0</v>
      </c>
      <c r="AJ225" t="b">
        <f t="shared" si="85"/>
        <v>0</v>
      </c>
      <c r="AK225">
        <f>'WetLitterbags placem_collection'!A4</f>
        <v>2</v>
      </c>
      <c r="AL225">
        <f>'WetLitterbags placem_collection'!A4</f>
        <v>2</v>
      </c>
      <c r="AN225" t="str">
        <f>IF('Dry_Litterbag Placem_Collection'!L4=0,"",'Dry_Litterbag Placem_Collection'!L4)</f>
        <v/>
      </c>
      <c r="AO225" t="str">
        <f>IF('Dry_Litterbag Placem_Collection'!M4=0,"",'Dry_Litterbag Placem_Collection'!M4)</f>
        <v/>
      </c>
      <c r="AP225" t="b">
        <f t="shared" si="86"/>
        <v>1</v>
      </c>
      <c r="AQ225" t="b">
        <f t="shared" si="87"/>
        <v>1</v>
      </c>
      <c r="AT225" t="str">
        <f>'Ashed teabags dry'!A223</f>
        <v>G434</v>
      </c>
      <c r="AU225" t="str">
        <f>'Ashed teabags dry'!A560</f>
        <v>R707</v>
      </c>
      <c r="AV225" t="b">
        <f t="shared" si="88"/>
        <v>0</v>
      </c>
      <c r="AW225" t="b">
        <f t="shared" si="89"/>
        <v>0</v>
      </c>
      <c r="AZ225" s="401" t="b">
        <f t="shared" si="90"/>
        <v>0</v>
      </c>
      <c r="BA225" s="401" t="b">
        <f t="shared" si="91"/>
        <v>0</v>
      </c>
      <c r="BC225" t="str">
        <f>'Ashed teabags wet'!A223</f>
        <v>G656</v>
      </c>
      <c r="BD225" t="str">
        <f>'Ashed teabags wet'!A640</f>
        <v>R451</v>
      </c>
      <c r="BE225" t="b">
        <f t="shared" si="92"/>
        <v>0</v>
      </c>
      <c r="BF225" t="b">
        <f t="shared" si="93"/>
        <v>0</v>
      </c>
      <c r="BG225">
        <f>IFERROR('Ashed teabags wet'!C223,"")</f>
        <v>171</v>
      </c>
      <c r="BH225">
        <f>IFERROR('Ashed teabags wet'!C640,"")</f>
        <v>171</v>
      </c>
      <c r="BI225">
        <f>'Ashed teabags wet'!AB223</f>
        <v>170</v>
      </c>
      <c r="BJ225" t="str">
        <f>'Ashed teabags wet'!AC223</f>
        <v/>
      </c>
      <c r="BK225" t="str">
        <f>'Ashed teabags wet'!AD640</f>
        <v/>
      </c>
      <c r="BL225">
        <f>'Ashed teabags wet'!AE640</f>
        <v>170</v>
      </c>
      <c r="BN225" t="str">
        <f t="shared" si="94"/>
        <v>G655</v>
      </c>
      <c r="BO225" t="b">
        <f t="shared" si="95"/>
        <v>1</v>
      </c>
    </row>
    <row r="226" spans="2:67" ht="12" customHeight="1">
      <c r="B226" t="str">
        <f>TBIDry!H298</f>
        <v>G44</v>
      </c>
      <c r="C226" t="str">
        <f>TBIDry!I298</f>
        <v>R283</v>
      </c>
      <c r="D226" t="b">
        <f t="shared" si="72"/>
        <v>0</v>
      </c>
      <c r="E226" t="b">
        <f t="shared" si="73"/>
        <v>0</v>
      </c>
      <c r="G226" t="str">
        <f>TBIWet!H298</f>
        <v>G661</v>
      </c>
      <c r="H226" t="str">
        <f>TBIWet!I298</f>
        <v>R498</v>
      </c>
      <c r="I226" t="b">
        <f t="shared" si="74"/>
        <v>0</v>
      </c>
      <c r="J226" t="b">
        <f t="shared" si="75"/>
        <v>0</v>
      </c>
      <c r="L226" t="str">
        <f>'Both teabags AfterWet'!A225</f>
        <v>G656</v>
      </c>
      <c r="M226" t="str">
        <f>'Both teabags AfterWet'!A643</f>
        <v>R437</v>
      </c>
      <c r="N226" t="b">
        <f t="shared" si="76"/>
        <v>0</v>
      </c>
      <c r="O226" t="b">
        <f t="shared" si="77"/>
        <v>0</v>
      </c>
      <c r="P226">
        <f>IFERROR('Both teabags AfterWet'!B225,"")</f>
        <v>171</v>
      </c>
      <c r="Q226">
        <f>'Both teabags AfterWet'!B643</f>
        <v>39</v>
      </c>
      <c r="S226" s="401" t="b">
        <f t="shared" si="78"/>
        <v>0</v>
      </c>
      <c r="T226" s="401" t="b">
        <f t="shared" si="79"/>
        <v>0</v>
      </c>
      <c r="V226" t="str">
        <f>'Both teabags AfterDry'!A225</f>
        <v>G434</v>
      </c>
      <c r="W226" t="str">
        <f>'Both teabags AfterDry'!A562</f>
        <v>R708</v>
      </c>
      <c r="X226" t="b">
        <f t="shared" si="80"/>
        <v>0</v>
      </c>
      <c r="Y226" t="b">
        <f t="shared" si="81"/>
        <v>0</v>
      </c>
      <c r="AA226" t="str">
        <f>'Green_rooibos initial weight'!A227</f>
        <v>G223</v>
      </c>
      <c r="AB226" t="str">
        <f>'Green_rooibos initial weight'!A1131</f>
        <v>R223</v>
      </c>
      <c r="AC226" t="b">
        <f t="shared" si="82"/>
        <v>0</v>
      </c>
      <c r="AD226" t="b">
        <f t="shared" si="83"/>
        <v>0</v>
      </c>
      <c r="AG226" t="str">
        <f>'WetLitterbags placem_collection'!O5</f>
        <v>G661</v>
      </c>
      <c r="AH226" t="str">
        <f>'WetLitterbags placem_collection'!Q5</f>
        <v>R498</v>
      </c>
      <c r="AI226" t="b">
        <f t="shared" si="84"/>
        <v>0</v>
      </c>
      <c r="AJ226" t="b">
        <f t="shared" si="85"/>
        <v>0</v>
      </c>
      <c r="AK226">
        <f>'WetLitterbags placem_collection'!A5</f>
        <v>3</v>
      </c>
      <c r="AL226">
        <f>'WetLitterbags placem_collection'!A5</f>
        <v>3</v>
      </c>
      <c r="AN226">
        <f>IF('Dry_Litterbag Placem_Collection'!L5=0,"",'Dry_Litterbag Placem_Collection'!L5)</f>
        <v>44</v>
      </c>
      <c r="AO226">
        <f>IF('Dry_Litterbag Placem_Collection'!M5=0,"",'Dry_Litterbag Placem_Collection'!M5)</f>
        <v>283</v>
      </c>
      <c r="AP226" t="b">
        <f t="shared" si="86"/>
        <v>0</v>
      </c>
      <c r="AQ226" t="b">
        <f t="shared" si="87"/>
        <v>0</v>
      </c>
      <c r="AT226" t="str">
        <f>'Ashed teabags dry'!A224</f>
        <v>G435</v>
      </c>
      <c r="AU226" t="str">
        <f>'Ashed teabags dry'!A561</f>
        <v>R708</v>
      </c>
      <c r="AV226" t="b">
        <f t="shared" si="88"/>
        <v>0</v>
      </c>
      <c r="AW226" t="b">
        <f t="shared" si="89"/>
        <v>0</v>
      </c>
      <c r="AZ226" s="401" t="b">
        <f t="shared" si="90"/>
        <v>0</v>
      </c>
      <c r="BA226" s="401" t="b">
        <f t="shared" si="91"/>
        <v>0</v>
      </c>
      <c r="BC226" t="str">
        <f>'Ashed teabags wet'!A224</f>
        <v>G657</v>
      </c>
      <c r="BD226" t="str">
        <f>'Ashed teabags wet'!A641</f>
        <v>R452</v>
      </c>
      <c r="BE226" t="b">
        <f t="shared" si="92"/>
        <v>0</v>
      </c>
      <c r="BF226" t="b">
        <f t="shared" si="93"/>
        <v>0</v>
      </c>
      <c r="BG226">
        <f>IFERROR('Ashed teabags wet'!C224,"")</f>
        <v>119</v>
      </c>
      <c r="BH226">
        <f>IFERROR('Ashed teabags wet'!C641,"")</f>
        <v>33</v>
      </c>
      <c r="BI226">
        <f>'Ashed teabags wet'!AB224</f>
        <v>118</v>
      </c>
      <c r="BJ226" t="str">
        <f>'Ashed teabags wet'!AC224</f>
        <v/>
      </c>
      <c r="BK226" t="str">
        <f>'Ashed teabags wet'!AD641</f>
        <v/>
      </c>
      <c r="BL226">
        <f>'Ashed teabags wet'!AE641</f>
        <v>32</v>
      </c>
      <c r="BN226" t="str">
        <f t="shared" si="94"/>
        <v>G656</v>
      </c>
      <c r="BO226" t="b">
        <f t="shared" si="95"/>
        <v>1</v>
      </c>
    </row>
    <row r="227" spans="2:67" ht="12" customHeight="1">
      <c r="B227" t="str">
        <f>TBIDry!H299</f>
        <v>G357</v>
      </c>
      <c r="C227" t="str">
        <f>TBIDry!I299</f>
        <v>R298</v>
      </c>
      <c r="D227" t="b">
        <f t="shared" si="72"/>
        <v>0</v>
      </c>
      <c r="E227" t="b">
        <f t="shared" si="73"/>
        <v>0</v>
      </c>
      <c r="G227" t="str">
        <f>TBIWet!H299</f>
        <v>G532</v>
      </c>
      <c r="H227" t="str">
        <f>TBIWet!I299</f>
        <v>R508</v>
      </c>
      <c r="I227" t="b">
        <f t="shared" si="74"/>
        <v>0</v>
      </c>
      <c r="J227" t="b">
        <f t="shared" si="75"/>
        <v>0</v>
      </c>
      <c r="L227" t="str">
        <f>'Both teabags AfterWet'!A226</f>
        <v>G657</v>
      </c>
      <c r="M227" t="str">
        <f>'Both teabags AfterWet'!A644</f>
        <v>R438</v>
      </c>
      <c r="N227" t="b">
        <f t="shared" si="76"/>
        <v>0</v>
      </c>
      <c r="O227" t="b">
        <f t="shared" si="77"/>
        <v>0</v>
      </c>
      <c r="P227">
        <f>IFERROR('Both teabags AfterWet'!B226,"")</f>
        <v>119</v>
      </c>
      <c r="Q227" t="str">
        <f>'Both teabags AfterWet'!B644</f>
        <v>n.a</v>
      </c>
      <c r="S227" s="401" t="b">
        <f t="shared" si="78"/>
        <v>0</v>
      </c>
      <c r="T227" s="401" t="b">
        <f t="shared" si="79"/>
        <v>0</v>
      </c>
      <c r="V227" t="str">
        <f>'Both teabags AfterDry'!A226</f>
        <v>G435</v>
      </c>
      <c r="W227" t="str">
        <f>'Both teabags AfterDry'!A563</f>
        <v>R709</v>
      </c>
      <c r="X227" t="b">
        <f t="shared" si="80"/>
        <v>0</v>
      </c>
      <c r="Y227" t="b">
        <f t="shared" si="81"/>
        <v>0</v>
      </c>
      <c r="AA227" t="str">
        <f>'Green_rooibos initial weight'!A228</f>
        <v>G224</v>
      </c>
      <c r="AB227" t="str">
        <f>'Green_rooibos initial weight'!A1132</f>
        <v>R224</v>
      </c>
      <c r="AC227" t="b">
        <f t="shared" si="82"/>
        <v>0</v>
      </c>
      <c r="AD227" t="b">
        <f t="shared" si="83"/>
        <v>0</v>
      </c>
      <c r="AG227" t="str">
        <f>'WetLitterbags placem_collection'!O6</f>
        <v>G532</v>
      </c>
      <c r="AH227" t="str">
        <f>'WetLitterbags placem_collection'!Q6</f>
        <v>R508</v>
      </c>
      <c r="AI227" t="b">
        <f t="shared" si="84"/>
        <v>0</v>
      </c>
      <c r="AJ227" t="b">
        <f t="shared" si="85"/>
        <v>0</v>
      </c>
      <c r="AK227">
        <f>'WetLitterbags placem_collection'!A6</f>
        <v>4</v>
      </c>
      <c r="AL227">
        <f>'WetLitterbags placem_collection'!A6</f>
        <v>4</v>
      </c>
      <c r="AN227">
        <f>IF('Dry_Litterbag Placem_Collection'!L6=0,"",'Dry_Litterbag Placem_Collection'!L6)</f>
        <v>357</v>
      </c>
      <c r="AO227">
        <f>IF('Dry_Litterbag Placem_Collection'!M6=0,"",'Dry_Litterbag Placem_Collection'!M6)</f>
        <v>298</v>
      </c>
      <c r="AP227" t="b">
        <f t="shared" si="86"/>
        <v>0</v>
      </c>
      <c r="AQ227" t="b">
        <f t="shared" si="87"/>
        <v>0</v>
      </c>
      <c r="AT227" t="str">
        <f>'Ashed teabags dry'!A225</f>
        <v>G44</v>
      </c>
      <c r="AU227" t="str">
        <f>'Ashed teabags dry'!A562</f>
        <v>R709</v>
      </c>
      <c r="AV227" t="b">
        <f t="shared" si="88"/>
        <v>0</v>
      </c>
      <c r="AW227" t="b">
        <f t="shared" si="89"/>
        <v>0</v>
      </c>
      <c r="AZ227" s="401" t="b">
        <f t="shared" si="90"/>
        <v>0</v>
      </c>
      <c r="BA227" s="401" t="b">
        <f t="shared" si="91"/>
        <v>0</v>
      </c>
      <c r="BC227" t="str">
        <f>'Ashed teabags wet'!A225</f>
        <v>G658</v>
      </c>
      <c r="BD227" t="str">
        <f>'Ashed teabags wet'!A642</f>
        <v>R456</v>
      </c>
      <c r="BE227" t="b">
        <f t="shared" si="92"/>
        <v>0</v>
      </c>
      <c r="BF227" t="b">
        <f t="shared" si="93"/>
        <v>0</v>
      </c>
      <c r="BG227">
        <f>IFERROR('Ashed teabags wet'!C225,"")</f>
        <v>150</v>
      </c>
      <c r="BH227">
        <f>IFERROR('Ashed teabags wet'!C642,"")</f>
        <v>143</v>
      </c>
      <c r="BI227">
        <f>'Ashed teabags wet'!AB225</f>
        <v>149</v>
      </c>
      <c r="BJ227" t="str">
        <f>'Ashed teabags wet'!AC225</f>
        <v/>
      </c>
      <c r="BK227">
        <f>'Ashed teabags wet'!AD642</f>
        <v>142</v>
      </c>
      <c r="BL227" t="str">
        <f>'Ashed teabags wet'!AE642</f>
        <v/>
      </c>
      <c r="BN227" t="str">
        <f t="shared" si="94"/>
        <v>G657</v>
      </c>
      <c r="BO227" t="b">
        <f t="shared" si="95"/>
        <v>1</v>
      </c>
    </row>
    <row r="228" spans="2:67" ht="12" customHeight="1">
      <c r="B228" t="str">
        <f>TBIDry!H300</f>
        <v>G734</v>
      </c>
      <c r="C228" t="str">
        <f>TBIDry!I300</f>
        <v>R226</v>
      </c>
      <c r="D228" t="b">
        <f t="shared" si="72"/>
        <v>0</v>
      </c>
      <c r="E228" t="b">
        <f t="shared" si="73"/>
        <v>0</v>
      </c>
      <c r="G228" t="str">
        <f>TBIWet!H300</f>
        <v>G577</v>
      </c>
      <c r="H228" t="str">
        <f>TBIWet!I300</f>
        <v>R38</v>
      </c>
      <c r="I228" t="b">
        <f t="shared" si="74"/>
        <v>0</v>
      </c>
      <c r="J228" t="b">
        <f t="shared" si="75"/>
        <v>0</v>
      </c>
      <c r="L228" t="str">
        <f>'Both teabags AfterWet'!A227</f>
        <v>G658</v>
      </c>
      <c r="M228" t="str">
        <f>'Both teabags AfterWet'!A645</f>
        <v>R44</v>
      </c>
      <c r="N228" t="b">
        <f t="shared" si="76"/>
        <v>0</v>
      </c>
      <c r="O228" t="b">
        <f t="shared" si="77"/>
        <v>0</v>
      </c>
      <c r="P228">
        <f>IFERROR('Both teabags AfterWet'!B227,"")</f>
        <v>150</v>
      </c>
      <c r="Q228">
        <f>'Both teabags AfterWet'!B645</f>
        <v>67</v>
      </c>
      <c r="S228" s="401" t="b">
        <f t="shared" si="78"/>
        <v>0</v>
      </c>
      <c r="T228" s="401" t="b">
        <f t="shared" si="79"/>
        <v>0</v>
      </c>
      <c r="V228" t="str">
        <f>'Both teabags AfterDry'!A227</f>
        <v>G44</v>
      </c>
      <c r="W228" t="str">
        <f>'Both teabags AfterDry'!A564</f>
        <v>R710</v>
      </c>
      <c r="X228" t="b">
        <f t="shared" si="80"/>
        <v>0</v>
      </c>
      <c r="Y228" t="b">
        <f t="shared" si="81"/>
        <v>0</v>
      </c>
      <c r="AA228" t="str">
        <f>'Green_rooibos initial weight'!A229</f>
        <v>G225</v>
      </c>
      <c r="AB228" t="str">
        <f>'Green_rooibos initial weight'!A1133</f>
        <v>R225</v>
      </c>
      <c r="AC228" t="b">
        <f t="shared" si="82"/>
        <v>0</v>
      </c>
      <c r="AD228" t="b">
        <f t="shared" si="83"/>
        <v>0</v>
      </c>
      <c r="AG228" t="str">
        <f>'WetLitterbags placem_collection'!O7</f>
        <v>G577</v>
      </c>
      <c r="AH228" t="str">
        <f>'WetLitterbags placem_collection'!Q7</f>
        <v>R38</v>
      </c>
      <c r="AI228" t="b">
        <f t="shared" si="84"/>
        <v>0</v>
      </c>
      <c r="AJ228" t="b">
        <f t="shared" si="85"/>
        <v>0</v>
      </c>
      <c r="AK228">
        <f>'WetLitterbags placem_collection'!A7</f>
        <v>5</v>
      </c>
      <c r="AL228">
        <f>'WetLitterbags placem_collection'!A7</f>
        <v>5</v>
      </c>
      <c r="AN228">
        <f>IF('Dry_Litterbag Placem_Collection'!L7=0,"",'Dry_Litterbag Placem_Collection'!L7)</f>
        <v>734</v>
      </c>
      <c r="AO228">
        <f>IF('Dry_Litterbag Placem_Collection'!M7=0,"",'Dry_Litterbag Placem_Collection'!M7)</f>
        <v>226</v>
      </c>
      <c r="AP228" t="b">
        <f t="shared" si="86"/>
        <v>0</v>
      </c>
      <c r="AQ228" t="b">
        <f t="shared" si="87"/>
        <v>0</v>
      </c>
      <c r="AT228" t="str">
        <f>'Ashed teabags dry'!A226</f>
        <v>G444</v>
      </c>
      <c r="AU228" t="str">
        <f>'Ashed teabags dry'!A563</f>
        <v>R710</v>
      </c>
      <c r="AV228" t="b">
        <f t="shared" si="88"/>
        <v>0</v>
      </c>
      <c r="AW228" t="b">
        <f t="shared" si="89"/>
        <v>0</v>
      </c>
      <c r="AZ228" s="401" t="b">
        <f t="shared" si="90"/>
        <v>0</v>
      </c>
      <c r="BA228" s="401" t="b">
        <f t="shared" si="91"/>
        <v>0</v>
      </c>
      <c r="BC228" t="str">
        <f>'Ashed teabags wet'!A226</f>
        <v>G660</v>
      </c>
      <c r="BD228" t="str">
        <f>'Ashed teabags wet'!A643</f>
        <v>R457</v>
      </c>
      <c r="BE228" t="b">
        <f t="shared" si="92"/>
        <v>0</v>
      </c>
      <c r="BF228" t="b">
        <f t="shared" si="93"/>
        <v>0</v>
      </c>
      <c r="BG228">
        <f>IFERROR('Ashed teabags wet'!C226,"")</f>
        <v>67</v>
      </c>
      <c r="BH228">
        <f>IFERROR('Ashed teabags wet'!C643,"")</f>
        <v>216</v>
      </c>
      <c r="BI228" t="str">
        <f>'Ashed teabags wet'!AB226</f>
        <v/>
      </c>
      <c r="BJ228">
        <f>'Ashed teabags wet'!AC226</f>
        <v>66</v>
      </c>
      <c r="BK228" t="str">
        <f>'Ashed teabags wet'!AD643</f>
        <v/>
      </c>
      <c r="BL228">
        <f>'Ashed teabags wet'!AE643</f>
        <v>215</v>
      </c>
      <c r="BN228" t="str">
        <f t="shared" si="94"/>
        <v>G658</v>
      </c>
      <c r="BO228" t="b">
        <f t="shared" si="95"/>
        <v>1</v>
      </c>
    </row>
    <row r="229" spans="2:67" ht="12" customHeight="1">
      <c r="B229" t="str">
        <f>TBIDry!H301</f>
        <v>G164</v>
      </c>
      <c r="C229" t="str">
        <f>TBIDry!I301</f>
        <v>R286</v>
      </c>
      <c r="D229" t="b">
        <f t="shared" si="72"/>
        <v>0</v>
      </c>
      <c r="E229" t="b">
        <f t="shared" si="73"/>
        <v>0</v>
      </c>
      <c r="G229" t="str">
        <f>TBIWet!H301</f>
        <v>G634</v>
      </c>
      <c r="H229" t="str">
        <f>TBIWet!I301</f>
        <v>R59</v>
      </c>
      <c r="I229" t="b">
        <f t="shared" si="74"/>
        <v>0</v>
      </c>
      <c r="J229" t="b">
        <f t="shared" si="75"/>
        <v>0</v>
      </c>
      <c r="L229" t="str">
        <f>'Both teabags AfterWet'!A228</f>
        <v>G660</v>
      </c>
      <c r="M229" t="str">
        <f>'Both teabags AfterWet'!A646</f>
        <v>R440</v>
      </c>
      <c r="N229" t="b">
        <f t="shared" si="76"/>
        <v>0</v>
      </c>
      <c r="O229" t="b">
        <f t="shared" si="77"/>
        <v>0</v>
      </c>
      <c r="P229">
        <f>IFERROR('Both teabags AfterWet'!B228,"")</f>
        <v>67</v>
      </c>
      <c r="Q229" t="str">
        <f>'Both teabags AfterWet'!B646</f>
        <v>n.a</v>
      </c>
      <c r="S229" s="401" t="b">
        <f t="shared" si="78"/>
        <v>0</v>
      </c>
      <c r="T229" s="401" t="b">
        <f t="shared" si="79"/>
        <v>0</v>
      </c>
      <c r="V229" t="str">
        <f>'Both teabags AfterDry'!A228</f>
        <v>G444</v>
      </c>
      <c r="W229" t="str">
        <f>'Both teabags AfterDry'!A565</f>
        <v>R711</v>
      </c>
      <c r="X229" t="b">
        <f t="shared" si="80"/>
        <v>0</v>
      </c>
      <c r="Y229" t="b">
        <f t="shared" si="81"/>
        <v>0</v>
      </c>
      <c r="AA229" t="str">
        <f>'Green_rooibos initial weight'!A230</f>
        <v>G226</v>
      </c>
      <c r="AB229" t="str">
        <f>'Green_rooibos initial weight'!A1134</f>
        <v>R226</v>
      </c>
      <c r="AC229" t="b">
        <f t="shared" si="82"/>
        <v>0</v>
      </c>
      <c r="AD229" t="b">
        <f t="shared" si="83"/>
        <v>0</v>
      </c>
      <c r="AG229" t="str">
        <f>'WetLitterbags placem_collection'!O8</f>
        <v>G634</v>
      </c>
      <c r="AH229" t="str">
        <f>'WetLitterbags placem_collection'!Q8</f>
        <v>R59</v>
      </c>
      <c r="AI229" t="b">
        <f t="shared" si="84"/>
        <v>0</v>
      </c>
      <c r="AJ229" t="b">
        <f t="shared" si="85"/>
        <v>0</v>
      </c>
      <c r="AK229">
        <f>'WetLitterbags placem_collection'!A8</f>
        <v>6</v>
      </c>
      <c r="AL229">
        <f>'WetLitterbags placem_collection'!A8</f>
        <v>6</v>
      </c>
      <c r="AN229">
        <f>IF('Dry_Litterbag Placem_Collection'!L8=0,"",'Dry_Litterbag Placem_Collection'!L8)</f>
        <v>164</v>
      </c>
      <c r="AO229">
        <f>IF('Dry_Litterbag Placem_Collection'!M8=0,"",'Dry_Litterbag Placem_Collection'!M8)</f>
        <v>286</v>
      </c>
      <c r="AP229" t="b">
        <f t="shared" si="86"/>
        <v>0</v>
      </c>
      <c r="AQ229" t="b">
        <f t="shared" si="87"/>
        <v>0</v>
      </c>
      <c r="AT229" t="str">
        <f>'Ashed teabags dry'!A227</f>
        <v>G45</v>
      </c>
      <c r="AU229" t="str">
        <f>'Ashed teabags dry'!A564</f>
        <v>R711</v>
      </c>
      <c r="AV229" t="b">
        <f t="shared" si="88"/>
        <v>0</v>
      </c>
      <c r="AW229" t="b">
        <f t="shared" si="89"/>
        <v>0</v>
      </c>
      <c r="AZ229" s="401" t="b">
        <f t="shared" si="90"/>
        <v>0</v>
      </c>
      <c r="BA229" s="401" t="b">
        <f t="shared" si="91"/>
        <v>0</v>
      </c>
      <c r="BC229" t="str">
        <f>'Ashed teabags wet'!A227</f>
        <v>G665</v>
      </c>
      <c r="BD229" t="str">
        <f>'Ashed teabags wet'!A644</f>
        <v>R458</v>
      </c>
      <c r="BE229" t="b">
        <f t="shared" si="92"/>
        <v>0</v>
      </c>
      <c r="BF229" t="b">
        <f t="shared" si="93"/>
        <v>0</v>
      </c>
      <c r="BG229">
        <f>IFERROR('Ashed teabags wet'!C227,"")</f>
        <v>7</v>
      </c>
      <c r="BH229">
        <f>IFERROR('Ashed teabags wet'!C644,"")</f>
        <v>175</v>
      </c>
      <c r="BI229" t="str">
        <f>'Ashed teabags wet'!AB227</f>
        <v/>
      </c>
      <c r="BJ229">
        <f>'Ashed teabags wet'!AC227</f>
        <v>6</v>
      </c>
      <c r="BK229">
        <f>'Ashed teabags wet'!AD644</f>
        <v>174</v>
      </c>
      <c r="BL229" t="str">
        <f>'Ashed teabags wet'!AE644</f>
        <v/>
      </c>
      <c r="BN229" t="str">
        <f t="shared" si="94"/>
        <v>G660</v>
      </c>
      <c r="BO229" t="b">
        <f t="shared" si="95"/>
        <v>1</v>
      </c>
    </row>
    <row r="230" spans="2:67" ht="12" customHeight="1">
      <c r="B230" t="str">
        <f>TBIDry!H302</f>
        <v>G776</v>
      </c>
      <c r="C230" t="str">
        <f>TBIDry!I302</f>
        <v>R210</v>
      </c>
      <c r="D230" t="b">
        <f t="shared" si="72"/>
        <v>0</v>
      </c>
      <c r="E230" t="b">
        <f t="shared" si="73"/>
        <v>0</v>
      </c>
      <c r="G230" t="str">
        <f>TBIWet!H302</f>
        <v>G665</v>
      </c>
      <c r="H230" t="str">
        <f>TBIWet!I302</f>
        <v>R398</v>
      </c>
      <c r="I230" t="b">
        <f t="shared" si="74"/>
        <v>0</v>
      </c>
      <c r="J230" t="b">
        <f t="shared" si="75"/>
        <v>0</v>
      </c>
      <c r="L230" t="str">
        <f>'Both teabags AfterWet'!A229</f>
        <v>G665</v>
      </c>
      <c r="M230" t="str">
        <f>'Both teabags AfterWet'!A647</f>
        <v>R442</v>
      </c>
      <c r="N230" t="b">
        <f t="shared" si="76"/>
        <v>0</v>
      </c>
      <c r="O230" t="b">
        <f t="shared" si="77"/>
        <v>0</v>
      </c>
      <c r="P230">
        <f>IFERROR('Both teabags AfterWet'!B229,"")</f>
        <v>7</v>
      </c>
      <c r="Q230" t="str">
        <f>'Both teabags AfterWet'!B647</f>
        <v>n.a</v>
      </c>
      <c r="S230" s="401" t="b">
        <f t="shared" si="78"/>
        <v>0</v>
      </c>
      <c r="T230" s="401" t="b">
        <f t="shared" si="79"/>
        <v>0</v>
      </c>
      <c r="V230" t="str">
        <f>'Both teabags AfterDry'!A229</f>
        <v>G45</v>
      </c>
      <c r="W230" t="str">
        <f>'Both teabags AfterDry'!A566</f>
        <v>R712</v>
      </c>
      <c r="X230" t="b">
        <f t="shared" si="80"/>
        <v>0</v>
      </c>
      <c r="Y230" t="b">
        <f t="shared" si="81"/>
        <v>0</v>
      </c>
      <c r="AA230" t="str">
        <f>'Green_rooibos initial weight'!A231</f>
        <v>G227</v>
      </c>
      <c r="AB230" t="str">
        <f>'Green_rooibos initial weight'!A1135</f>
        <v>R227</v>
      </c>
      <c r="AC230" t="b">
        <f t="shared" si="82"/>
        <v>0</v>
      </c>
      <c r="AD230" t="b">
        <f t="shared" si="83"/>
        <v>0</v>
      </c>
      <c r="AG230" t="str">
        <f>'WetLitterbags placem_collection'!O9</f>
        <v>G665</v>
      </c>
      <c r="AH230" t="str">
        <f>'WetLitterbags placem_collection'!Q9</f>
        <v>R398</v>
      </c>
      <c r="AI230" t="b">
        <f t="shared" si="84"/>
        <v>0</v>
      </c>
      <c r="AJ230" t="b">
        <f t="shared" si="85"/>
        <v>0</v>
      </c>
      <c r="AK230">
        <f>'WetLitterbags placem_collection'!A9</f>
        <v>7</v>
      </c>
      <c r="AL230">
        <f>'WetLitterbags placem_collection'!A9</f>
        <v>7</v>
      </c>
      <c r="AN230">
        <f>IF('Dry_Litterbag Placem_Collection'!L9=0,"",'Dry_Litterbag Placem_Collection'!L9)</f>
        <v>776</v>
      </c>
      <c r="AO230">
        <f>IF('Dry_Litterbag Placem_Collection'!M9=0,"",'Dry_Litterbag Placem_Collection'!M9)</f>
        <v>210</v>
      </c>
      <c r="AP230" t="b">
        <f t="shared" si="86"/>
        <v>0</v>
      </c>
      <c r="AQ230" t="b">
        <f t="shared" si="87"/>
        <v>0</v>
      </c>
      <c r="AT230" t="str">
        <f>'Ashed teabags dry'!A228</f>
        <v>G455</v>
      </c>
      <c r="AU230" t="str">
        <f>'Ashed teabags dry'!A565</f>
        <v>R712</v>
      </c>
      <c r="AV230" t="b">
        <f t="shared" si="88"/>
        <v>0</v>
      </c>
      <c r="AW230" t="b">
        <f t="shared" si="89"/>
        <v>0</v>
      </c>
      <c r="AZ230" s="401" t="b">
        <f t="shared" si="90"/>
        <v>0</v>
      </c>
      <c r="BA230" s="401" t="b">
        <f t="shared" si="91"/>
        <v>0</v>
      </c>
      <c r="BC230" t="str">
        <f>'Ashed teabags wet'!A228</f>
        <v>G666</v>
      </c>
      <c r="BD230" t="str">
        <f>'Ashed teabags wet'!A645</f>
        <v>R459</v>
      </c>
      <c r="BE230" t="b">
        <f t="shared" si="92"/>
        <v>0</v>
      </c>
      <c r="BF230" t="b">
        <f t="shared" si="93"/>
        <v>0</v>
      </c>
      <c r="BG230">
        <f>IFERROR('Ashed teabags wet'!C228,"")</f>
        <v>121</v>
      </c>
      <c r="BH230">
        <f>IFERROR('Ashed teabags wet'!C645,"")</f>
        <v>116</v>
      </c>
      <c r="BI230">
        <f>'Ashed teabags wet'!AB228</f>
        <v>120</v>
      </c>
      <c r="BJ230" t="str">
        <f>'Ashed teabags wet'!AC228</f>
        <v/>
      </c>
      <c r="BK230">
        <f>'Ashed teabags wet'!AD645</f>
        <v>115</v>
      </c>
      <c r="BL230" t="str">
        <f>'Ashed teabags wet'!AE645</f>
        <v/>
      </c>
      <c r="BN230" t="str">
        <f t="shared" si="94"/>
        <v>G665</v>
      </c>
      <c r="BO230" t="b">
        <f t="shared" si="95"/>
        <v>1</v>
      </c>
    </row>
    <row r="231" spans="2:67" ht="12" customHeight="1">
      <c r="B231" t="str">
        <f>TBIDry!H303</f>
        <v>G23</v>
      </c>
      <c r="C231" t="str">
        <f>TBIDry!I303</f>
        <v>R213</v>
      </c>
      <c r="D231" t="b">
        <f t="shared" si="72"/>
        <v>0</v>
      </c>
      <c r="E231" t="b">
        <f t="shared" si="73"/>
        <v>0</v>
      </c>
      <c r="G231" t="str">
        <f>TBIWet!H303</f>
        <v>G701</v>
      </c>
      <c r="H231" t="str">
        <f>TBIWet!I303</f>
        <v>R512</v>
      </c>
      <c r="I231" t="b">
        <f t="shared" si="74"/>
        <v>0</v>
      </c>
      <c r="J231" t="b">
        <f t="shared" si="75"/>
        <v>0</v>
      </c>
      <c r="L231" t="str">
        <f>'Both teabags AfterWet'!A230</f>
        <v>G666</v>
      </c>
      <c r="M231" t="str">
        <f>'Both teabags AfterWet'!A648</f>
        <v>R444</v>
      </c>
      <c r="N231" t="b">
        <f t="shared" si="76"/>
        <v>0</v>
      </c>
      <c r="O231" t="b">
        <f t="shared" si="77"/>
        <v>0</v>
      </c>
      <c r="P231">
        <f>IFERROR('Both teabags AfterWet'!B230,"")</f>
        <v>121</v>
      </c>
      <c r="Q231" t="str">
        <f>'Both teabags AfterWet'!B648</f>
        <v>n.a</v>
      </c>
      <c r="S231" s="401" t="b">
        <f t="shared" si="78"/>
        <v>0</v>
      </c>
      <c r="T231" s="401" t="b">
        <f t="shared" si="79"/>
        <v>0</v>
      </c>
      <c r="V231" t="str">
        <f>'Both teabags AfterDry'!A230</f>
        <v>G455</v>
      </c>
      <c r="W231" t="str">
        <f>'Both teabags AfterDry'!A567</f>
        <v>R713</v>
      </c>
      <c r="X231" t="b">
        <f t="shared" si="80"/>
        <v>0</v>
      </c>
      <c r="Y231" t="b">
        <f t="shared" si="81"/>
        <v>0</v>
      </c>
      <c r="AA231" t="str">
        <f>'Green_rooibos initial weight'!A232</f>
        <v>G228</v>
      </c>
      <c r="AB231" t="str">
        <f>'Green_rooibos initial weight'!A1136</f>
        <v>R228</v>
      </c>
      <c r="AC231" t="b">
        <f t="shared" si="82"/>
        <v>0</v>
      </c>
      <c r="AD231" t="b">
        <f t="shared" si="83"/>
        <v>0</v>
      </c>
      <c r="AG231" t="str">
        <f>'WetLitterbags placem_collection'!O10</f>
        <v>G701</v>
      </c>
      <c r="AH231" t="str">
        <f>'WetLitterbags placem_collection'!Q10</f>
        <v>R512</v>
      </c>
      <c r="AI231" t="b">
        <f t="shared" si="84"/>
        <v>0</v>
      </c>
      <c r="AJ231" t="b">
        <f t="shared" si="85"/>
        <v>0</v>
      </c>
      <c r="AK231">
        <f>'WetLitterbags placem_collection'!A10</f>
        <v>8</v>
      </c>
      <c r="AL231">
        <f>'WetLitterbags placem_collection'!A10</f>
        <v>8</v>
      </c>
      <c r="AN231">
        <f>IF('Dry_Litterbag Placem_Collection'!L10=0,"",'Dry_Litterbag Placem_Collection'!L10)</f>
        <v>23</v>
      </c>
      <c r="AO231">
        <f>IF('Dry_Litterbag Placem_Collection'!M10=0,"",'Dry_Litterbag Placem_Collection'!M10)</f>
        <v>213</v>
      </c>
      <c r="AP231" t="b">
        <f t="shared" si="86"/>
        <v>0</v>
      </c>
      <c r="AQ231" t="b">
        <f t="shared" si="87"/>
        <v>0</v>
      </c>
      <c r="AT231" t="str">
        <f>'Ashed teabags dry'!A229</f>
        <v>G46</v>
      </c>
      <c r="AU231" t="str">
        <f>'Ashed teabags dry'!A566</f>
        <v>R713</v>
      </c>
      <c r="AV231" t="b">
        <f t="shared" si="88"/>
        <v>0</v>
      </c>
      <c r="AW231" t="b">
        <f t="shared" si="89"/>
        <v>0</v>
      </c>
      <c r="AZ231" s="401" t="b">
        <f t="shared" si="90"/>
        <v>0</v>
      </c>
      <c r="BA231" s="401" t="b">
        <f t="shared" si="91"/>
        <v>0</v>
      </c>
      <c r="BC231" t="str">
        <f>'Ashed teabags wet'!A229</f>
        <v>G667</v>
      </c>
      <c r="BD231" t="str">
        <f>'Ashed teabags wet'!A646</f>
        <v>R461</v>
      </c>
      <c r="BE231" t="b">
        <f t="shared" si="92"/>
        <v>0</v>
      </c>
      <c r="BF231" t="b">
        <f t="shared" si="93"/>
        <v>0</v>
      </c>
      <c r="BG231">
        <f>IFERROR('Ashed teabags wet'!C229,"")</f>
        <v>156</v>
      </c>
      <c r="BH231">
        <f>IFERROR('Ashed teabags wet'!C646,"")</f>
        <v>160</v>
      </c>
      <c r="BI231" t="str">
        <f>'Ashed teabags wet'!AB229</f>
        <v/>
      </c>
      <c r="BJ231">
        <f>'Ashed teabags wet'!AC229</f>
        <v>155</v>
      </c>
      <c r="BK231" t="str">
        <f>'Ashed teabags wet'!AD646</f>
        <v/>
      </c>
      <c r="BL231">
        <f>'Ashed teabags wet'!AE646</f>
        <v>159</v>
      </c>
      <c r="BN231" t="str">
        <f t="shared" si="94"/>
        <v>G666</v>
      </c>
      <c r="BO231" t="b">
        <f t="shared" si="95"/>
        <v>1</v>
      </c>
    </row>
    <row r="232" spans="2:67" ht="12" customHeight="1">
      <c r="B232" t="str">
        <f>TBIDry!H304</f>
        <v>G570</v>
      </c>
      <c r="C232" t="str">
        <f>TBIDry!I304</f>
        <v>R704</v>
      </c>
      <c r="D232" t="b">
        <f t="shared" si="72"/>
        <v>0</v>
      </c>
      <c r="E232" t="b">
        <f t="shared" si="73"/>
        <v>0</v>
      </c>
      <c r="G232" t="str">
        <f>TBIWet!H304</f>
        <v>G476</v>
      </c>
      <c r="H232" t="str">
        <f>TBIWet!I304</f>
        <v>R101</v>
      </c>
      <c r="I232" t="b">
        <f t="shared" si="74"/>
        <v>0</v>
      </c>
      <c r="J232" t="b">
        <f t="shared" si="75"/>
        <v>0</v>
      </c>
      <c r="L232" t="str">
        <f>'Both teabags AfterWet'!A231</f>
        <v>G667</v>
      </c>
      <c r="M232" t="str">
        <f>'Both teabags AfterWet'!A649</f>
        <v>R445</v>
      </c>
      <c r="N232" t="b">
        <f t="shared" si="76"/>
        <v>0</v>
      </c>
      <c r="O232" t="b">
        <f t="shared" si="77"/>
        <v>0</v>
      </c>
      <c r="P232">
        <f>IFERROR('Both teabags AfterWet'!B231,"")</f>
        <v>156</v>
      </c>
      <c r="Q232">
        <f>'Both teabags AfterWet'!B649</f>
        <v>92</v>
      </c>
      <c r="S232" s="401" t="b">
        <f t="shared" si="78"/>
        <v>0</v>
      </c>
      <c r="T232" s="401" t="b">
        <f t="shared" si="79"/>
        <v>0</v>
      </c>
      <c r="V232" t="str">
        <f>'Both teabags AfterDry'!A231</f>
        <v>G46</v>
      </c>
      <c r="W232" t="str">
        <f>'Both teabags AfterDry'!A568</f>
        <v>R714</v>
      </c>
      <c r="X232" t="b">
        <f t="shared" si="80"/>
        <v>0</v>
      </c>
      <c r="Y232" t="b">
        <f t="shared" si="81"/>
        <v>0</v>
      </c>
      <c r="AA232" t="str">
        <f>'Green_rooibos initial weight'!A233</f>
        <v>G229</v>
      </c>
      <c r="AB232" t="str">
        <f>'Green_rooibos initial weight'!A1137</f>
        <v>R229</v>
      </c>
      <c r="AC232" t="b">
        <f t="shared" si="82"/>
        <v>0</v>
      </c>
      <c r="AD232" t="b">
        <f t="shared" si="83"/>
        <v>0</v>
      </c>
      <c r="AG232" t="str">
        <f>'WetLitterbags placem_collection'!O11</f>
        <v>G476</v>
      </c>
      <c r="AH232" t="str">
        <f>'WetLitterbags placem_collection'!Q11</f>
        <v>R101</v>
      </c>
      <c r="AI232" t="b">
        <f t="shared" si="84"/>
        <v>0</v>
      </c>
      <c r="AJ232" t="b">
        <f t="shared" si="85"/>
        <v>0</v>
      </c>
      <c r="AK232">
        <f>'WetLitterbags placem_collection'!A11</f>
        <v>9</v>
      </c>
      <c r="AL232">
        <f>'WetLitterbags placem_collection'!A11</f>
        <v>9</v>
      </c>
      <c r="AN232">
        <f>IF('Dry_Litterbag Placem_Collection'!L11=0,"",'Dry_Litterbag Placem_Collection'!L11)</f>
        <v>570</v>
      </c>
      <c r="AO232">
        <f>IF('Dry_Litterbag Placem_Collection'!M11=0,"",'Dry_Litterbag Placem_Collection'!M11)</f>
        <v>704</v>
      </c>
      <c r="AP232" t="b">
        <f t="shared" si="86"/>
        <v>0</v>
      </c>
      <c r="AQ232" t="b">
        <f t="shared" si="87"/>
        <v>0</v>
      </c>
      <c r="AT232" t="str">
        <f>'Ashed teabags dry'!A230</f>
        <v>G464</v>
      </c>
      <c r="AU232" t="str">
        <f>'Ashed teabags dry'!A567</f>
        <v>R714</v>
      </c>
      <c r="AV232" t="b">
        <f t="shared" si="88"/>
        <v>0</v>
      </c>
      <c r="AW232" t="b">
        <f t="shared" si="89"/>
        <v>0</v>
      </c>
      <c r="AZ232" s="401" t="b">
        <f t="shared" si="90"/>
        <v>0</v>
      </c>
      <c r="BA232" s="401" t="b">
        <f t="shared" si="91"/>
        <v>0</v>
      </c>
      <c r="BC232" t="str">
        <f>'Ashed teabags wet'!A230</f>
        <v>G668</v>
      </c>
      <c r="BD232" t="str">
        <f>'Ashed teabags wet'!A647</f>
        <v>R462</v>
      </c>
      <c r="BE232" t="b">
        <f t="shared" si="92"/>
        <v>0</v>
      </c>
      <c r="BF232" t="b">
        <f t="shared" si="93"/>
        <v>0</v>
      </c>
      <c r="BG232">
        <f>IFERROR('Ashed teabags wet'!C230,"")</f>
        <v>205</v>
      </c>
      <c r="BH232">
        <f>IFERROR('Ashed teabags wet'!C647,"")</f>
        <v>110</v>
      </c>
      <c r="BI232" t="str">
        <f>'Ashed teabags wet'!AB230</f>
        <v/>
      </c>
      <c r="BJ232">
        <f>'Ashed teabags wet'!AC230</f>
        <v>204</v>
      </c>
      <c r="BK232">
        <f>'Ashed teabags wet'!AD647</f>
        <v>109</v>
      </c>
      <c r="BL232" t="str">
        <f>'Ashed teabags wet'!AE647</f>
        <v/>
      </c>
      <c r="BN232" t="str">
        <f t="shared" si="94"/>
        <v>G667</v>
      </c>
      <c r="BO232" t="b">
        <f t="shared" si="95"/>
        <v>1</v>
      </c>
    </row>
    <row r="233" spans="2:67" ht="12" customHeight="1">
      <c r="B233" t="str">
        <f>TBIDry!H305</f>
        <v>G642</v>
      </c>
      <c r="C233" t="str">
        <f>TBIDry!I305</f>
        <v>R355</v>
      </c>
      <c r="D233" t="b">
        <f t="shared" si="72"/>
        <v>0</v>
      </c>
      <c r="E233" t="b">
        <f t="shared" si="73"/>
        <v>0</v>
      </c>
      <c r="G233" t="str">
        <f>TBIWet!H305</f>
        <v>G606</v>
      </c>
      <c r="H233" t="str">
        <f>TBIWet!I305</f>
        <v>R515</v>
      </c>
      <c r="I233" t="b">
        <f t="shared" si="74"/>
        <v>0</v>
      </c>
      <c r="J233" t="b">
        <f t="shared" si="75"/>
        <v>0</v>
      </c>
      <c r="L233" t="str">
        <f>'Both teabags AfterWet'!A232</f>
        <v>G668</v>
      </c>
      <c r="M233" t="str">
        <f>'Both teabags AfterWet'!A650</f>
        <v>R446</v>
      </c>
      <c r="N233" t="b">
        <f t="shared" si="76"/>
        <v>0</v>
      </c>
      <c r="O233" t="b">
        <f t="shared" si="77"/>
        <v>0</v>
      </c>
      <c r="P233">
        <f>IFERROR('Both teabags AfterWet'!B232,"")</f>
        <v>205</v>
      </c>
      <c r="Q233" t="str">
        <f>'Both teabags AfterWet'!B650</f>
        <v>n.a</v>
      </c>
      <c r="S233" s="401" t="b">
        <f t="shared" si="78"/>
        <v>0</v>
      </c>
      <c r="T233" s="401" t="b">
        <f t="shared" si="79"/>
        <v>0</v>
      </c>
      <c r="V233" t="str">
        <f>'Both teabags AfterDry'!A232</f>
        <v>G464</v>
      </c>
      <c r="W233" t="str">
        <f>'Both teabags AfterDry'!A569</f>
        <v>R715</v>
      </c>
      <c r="X233" t="b">
        <f t="shared" si="80"/>
        <v>0</v>
      </c>
      <c r="Y233" t="b">
        <f t="shared" si="81"/>
        <v>0</v>
      </c>
      <c r="AA233" t="str">
        <f>'Green_rooibos initial weight'!A234</f>
        <v>G230</v>
      </c>
      <c r="AB233" t="str">
        <f>'Green_rooibos initial weight'!A1138</f>
        <v>R230</v>
      </c>
      <c r="AC233" t="b">
        <f t="shared" si="82"/>
        <v>0</v>
      </c>
      <c r="AD233" t="b">
        <f t="shared" si="83"/>
        <v>0</v>
      </c>
      <c r="AG233" t="str">
        <f>'WetLitterbags placem_collection'!O12</f>
        <v>G606</v>
      </c>
      <c r="AH233" t="str">
        <f>'WetLitterbags placem_collection'!Q12</f>
        <v>R515</v>
      </c>
      <c r="AI233" t="b">
        <f t="shared" si="84"/>
        <v>0</v>
      </c>
      <c r="AJ233" t="b">
        <f t="shared" si="85"/>
        <v>0</v>
      </c>
      <c r="AK233">
        <f>'WetLitterbags placem_collection'!A12</f>
        <v>10</v>
      </c>
      <c r="AL233">
        <f>'WetLitterbags placem_collection'!A12</f>
        <v>10</v>
      </c>
      <c r="AN233">
        <f>IF('Dry_Litterbag Placem_Collection'!L12=0,"",'Dry_Litterbag Placem_Collection'!L12)</f>
        <v>642</v>
      </c>
      <c r="AO233">
        <f>IF('Dry_Litterbag Placem_Collection'!M12=0,"",'Dry_Litterbag Placem_Collection'!M12)</f>
        <v>355</v>
      </c>
      <c r="AP233" t="b">
        <f t="shared" si="86"/>
        <v>0</v>
      </c>
      <c r="AQ233" t="b">
        <f t="shared" si="87"/>
        <v>0</v>
      </c>
      <c r="AT233" t="str">
        <f>'Ashed teabags dry'!A231</f>
        <v>G465</v>
      </c>
      <c r="AU233" t="str">
        <f>'Ashed teabags dry'!A568</f>
        <v>R715</v>
      </c>
      <c r="AV233" t="b">
        <f t="shared" si="88"/>
        <v>0</v>
      </c>
      <c r="AW233" t="b">
        <f t="shared" si="89"/>
        <v>0</v>
      </c>
      <c r="AZ233" s="401" t="b">
        <f t="shared" si="90"/>
        <v>0</v>
      </c>
      <c r="BA233" s="401" t="b">
        <f t="shared" si="91"/>
        <v>0</v>
      </c>
      <c r="BC233" t="str">
        <f>'Ashed teabags wet'!A231</f>
        <v>G669</v>
      </c>
      <c r="BD233" t="str">
        <f>'Ashed teabags wet'!A648</f>
        <v>R463</v>
      </c>
      <c r="BE233" t="b">
        <f t="shared" si="92"/>
        <v>0</v>
      </c>
      <c r="BF233" t="b">
        <f t="shared" si="93"/>
        <v>0</v>
      </c>
      <c r="BG233">
        <f>IFERROR('Ashed teabags wet'!C231,"")</f>
        <v>184</v>
      </c>
      <c r="BH233">
        <f>IFERROR('Ashed teabags wet'!C648,"")</f>
        <v>198</v>
      </c>
      <c r="BI233">
        <f>'Ashed teabags wet'!AB231</f>
        <v>183</v>
      </c>
      <c r="BJ233" t="str">
        <f>'Ashed teabags wet'!AC231</f>
        <v/>
      </c>
      <c r="BK233">
        <f>'Ashed teabags wet'!AD648</f>
        <v>197</v>
      </c>
      <c r="BL233" t="str">
        <f>'Ashed teabags wet'!AE648</f>
        <v/>
      </c>
      <c r="BN233" t="str">
        <f t="shared" si="94"/>
        <v>G668</v>
      </c>
      <c r="BO233" t="b">
        <f t="shared" si="95"/>
        <v>1</v>
      </c>
    </row>
    <row r="234" spans="2:67" ht="12" customHeight="1">
      <c r="B234" t="str">
        <f>TBIDry!H306</f>
        <v>G663</v>
      </c>
      <c r="C234" t="str">
        <f>TBIDry!I306</f>
        <v>R616</v>
      </c>
      <c r="D234" t="b">
        <f t="shared" si="72"/>
        <v>0</v>
      </c>
      <c r="E234" t="b">
        <f t="shared" si="73"/>
        <v>0</v>
      </c>
      <c r="G234" t="str">
        <f>TBIWet!H306</f>
        <v>G523</v>
      </c>
      <c r="H234" t="str">
        <f>TBIWet!I306</f>
        <v>R2</v>
      </c>
      <c r="I234" t="b">
        <f t="shared" si="74"/>
        <v>0</v>
      </c>
      <c r="J234" t="b">
        <f t="shared" si="75"/>
        <v>0</v>
      </c>
      <c r="L234" t="str">
        <f>'Both teabags AfterWet'!A233</f>
        <v>G669</v>
      </c>
      <c r="M234" t="str">
        <f>'Both teabags AfterWet'!A651</f>
        <v>R447</v>
      </c>
      <c r="N234" t="b">
        <f t="shared" si="76"/>
        <v>0</v>
      </c>
      <c r="O234" t="b">
        <f t="shared" si="77"/>
        <v>0</v>
      </c>
      <c r="P234" t="str">
        <f>IFERROR('Both teabags AfterWet'!B233,"")</f>
        <v>n.a</v>
      </c>
      <c r="Q234">
        <f>'Both teabags AfterWet'!B651</f>
        <v>151</v>
      </c>
      <c r="S234" s="401" t="b">
        <f t="shared" si="78"/>
        <v>0</v>
      </c>
      <c r="T234" s="401" t="b">
        <f t="shared" si="79"/>
        <v>0</v>
      </c>
      <c r="V234" t="str">
        <f>'Both teabags AfterDry'!A233</f>
        <v>G465</v>
      </c>
      <c r="W234" t="str">
        <f>'Both teabags AfterDry'!A570</f>
        <v>R716</v>
      </c>
      <c r="X234" t="b">
        <f t="shared" si="80"/>
        <v>0</v>
      </c>
      <c r="Y234" t="b">
        <f t="shared" si="81"/>
        <v>0</v>
      </c>
      <c r="AA234" t="str">
        <f>'Green_rooibos initial weight'!A235</f>
        <v>G231</v>
      </c>
      <c r="AB234" t="str">
        <f>'Green_rooibos initial weight'!A1139</f>
        <v>R231</v>
      </c>
      <c r="AC234" t="b">
        <f t="shared" si="82"/>
        <v>0</v>
      </c>
      <c r="AD234" t="b">
        <f t="shared" si="83"/>
        <v>0</v>
      </c>
      <c r="AG234" t="str">
        <f>'WetLitterbags placem_collection'!O13</f>
        <v>G523</v>
      </c>
      <c r="AH234" t="str">
        <f>'WetLitterbags placem_collection'!Q13</f>
        <v>R2</v>
      </c>
      <c r="AI234" t="b">
        <f t="shared" si="84"/>
        <v>0</v>
      </c>
      <c r="AJ234" t="b">
        <f t="shared" si="85"/>
        <v>0</v>
      </c>
      <c r="AK234">
        <f>'WetLitterbags placem_collection'!A13</f>
        <v>11</v>
      </c>
      <c r="AL234">
        <f>'WetLitterbags placem_collection'!A13</f>
        <v>11</v>
      </c>
      <c r="AN234">
        <f>IF('Dry_Litterbag Placem_Collection'!L13=0,"",'Dry_Litterbag Placem_Collection'!L13)</f>
        <v>663</v>
      </c>
      <c r="AO234">
        <f>IF('Dry_Litterbag Placem_Collection'!M13=0,"",'Dry_Litterbag Placem_Collection'!M13)</f>
        <v>616</v>
      </c>
      <c r="AP234" t="b">
        <f t="shared" si="86"/>
        <v>0</v>
      </c>
      <c r="AQ234" t="b">
        <f t="shared" si="87"/>
        <v>0</v>
      </c>
      <c r="AT234" t="str">
        <f>'Ashed teabags dry'!A232</f>
        <v>G466</v>
      </c>
      <c r="AU234" t="str">
        <f>'Ashed teabags dry'!A569</f>
        <v>R716</v>
      </c>
      <c r="AV234" t="b">
        <f t="shared" si="88"/>
        <v>0</v>
      </c>
      <c r="AW234" t="b">
        <f t="shared" si="89"/>
        <v>0</v>
      </c>
      <c r="AZ234" s="401" t="b">
        <f t="shared" si="90"/>
        <v>0</v>
      </c>
      <c r="BA234" s="401" t="b">
        <f t="shared" si="91"/>
        <v>0</v>
      </c>
      <c r="BC234" t="str">
        <f>'Ashed teabags wet'!A232</f>
        <v>G670</v>
      </c>
      <c r="BD234" t="str">
        <f>'Ashed teabags wet'!A649</f>
        <v>R464</v>
      </c>
      <c r="BE234" t="b">
        <f t="shared" si="92"/>
        <v>0</v>
      </c>
      <c r="BF234" t="b">
        <f t="shared" si="93"/>
        <v>0</v>
      </c>
      <c r="BG234">
        <f>IFERROR('Ashed teabags wet'!C232,"")</f>
        <v>35</v>
      </c>
      <c r="BH234">
        <f>IFERROR('Ashed teabags wet'!C649,"")</f>
        <v>156</v>
      </c>
      <c r="BI234">
        <f>'Ashed teabags wet'!AB232</f>
        <v>34</v>
      </c>
      <c r="BJ234" t="str">
        <f>'Ashed teabags wet'!AC232</f>
        <v/>
      </c>
      <c r="BK234" t="str">
        <f>'Ashed teabags wet'!AD649</f>
        <v/>
      </c>
      <c r="BL234">
        <f>'Ashed teabags wet'!AE649</f>
        <v>155</v>
      </c>
      <c r="BN234" t="str">
        <f t="shared" si="94"/>
        <v>G669</v>
      </c>
      <c r="BO234" t="b">
        <f t="shared" si="95"/>
        <v>1</v>
      </c>
    </row>
    <row r="235" spans="2:67" ht="12" customHeight="1">
      <c r="B235" t="str">
        <f>TBIDry!H307</f>
        <v/>
      </c>
      <c r="C235" t="str">
        <f>TBIDry!I307</f>
        <v/>
      </c>
      <c r="D235" t="b">
        <f t="shared" si="72"/>
        <v>1</v>
      </c>
      <c r="E235" t="b">
        <f t="shared" si="73"/>
        <v>1</v>
      </c>
      <c r="G235" t="str">
        <f>TBIWet!H307</f>
        <v>G490</v>
      </c>
      <c r="H235" t="str">
        <f>TBIWet!I307</f>
        <v>R123</v>
      </c>
      <c r="I235" t="b">
        <f t="shared" si="74"/>
        <v>0</v>
      </c>
      <c r="J235" t="b">
        <f t="shared" si="75"/>
        <v>0</v>
      </c>
      <c r="L235" t="str">
        <f>'Both teabags AfterWet'!A234</f>
        <v>G670</v>
      </c>
      <c r="M235" t="str">
        <f>'Both teabags AfterWet'!A652</f>
        <v>R448</v>
      </c>
      <c r="N235" t="b">
        <f t="shared" si="76"/>
        <v>0</v>
      </c>
      <c r="O235" t="b">
        <f t="shared" si="77"/>
        <v>0</v>
      </c>
      <c r="P235">
        <f>IFERROR('Both teabags AfterWet'!B234,"")</f>
        <v>35</v>
      </c>
      <c r="Q235">
        <f>'Both teabags AfterWet'!B652</f>
        <v>62</v>
      </c>
      <c r="S235" s="401" t="b">
        <f t="shared" si="78"/>
        <v>0</v>
      </c>
      <c r="T235" s="401" t="b">
        <f t="shared" si="79"/>
        <v>0</v>
      </c>
      <c r="V235" t="str">
        <f>'Both teabags AfterDry'!A234</f>
        <v>G466</v>
      </c>
      <c r="W235" t="str">
        <f>'Both teabags AfterDry'!A571</f>
        <v>R717</v>
      </c>
      <c r="X235" t="b">
        <f t="shared" si="80"/>
        <v>0</v>
      </c>
      <c r="Y235" t="b">
        <f t="shared" si="81"/>
        <v>0</v>
      </c>
      <c r="AA235" t="str">
        <f>'Green_rooibos initial weight'!A236</f>
        <v>G232</v>
      </c>
      <c r="AB235" t="str">
        <f>'Green_rooibos initial weight'!A1140</f>
        <v>R232</v>
      </c>
      <c r="AC235" t="b">
        <f t="shared" si="82"/>
        <v>0</v>
      </c>
      <c r="AD235" t="b">
        <f t="shared" si="83"/>
        <v>0</v>
      </c>
      <c r="AG235" t="str">
        <f>'WetLitterbags placem_collection'!O14</f>
        <v>G490</v>
      </c>
      <c r="AH235" t="str">
        <f>'WetLitterbags placem_collection'!Q14</f>
        <v>R123</v>
      </c>
      <c r="AI235" t="b">
        <f t="shared" si="84"/>
        <v>0</v>
      </c>
      <c r="AJ235" t="b">
        <f t="shared" si="85"/>
        <v>0</v>
      </c>
      <c r="AK235">
        <f>'WetLitterbags placem_collection'!A14</f>
        <v>12</v>
      </c>
      <c r="AL235">
        <f>'WetLitterbags placem_collection'!A14</f>
        <v>12</v>
      </c>
      <c r="AN235" t="str">
        <f>IF('Dry_Litterbag Placem_Collection'!L14=0,"",'Dry_Litterbag Placem_Collection'!L14)</f>
        <v/>
      </c>
      <c r="AO235" t="str">
        <f>IF('Dry_Litterbag Placem_Collection'!M14=0,"",'Dry_Litterbag Placem_Collection'!M14)</f>
        <v/>
      </c>
      <c r="AP235" t="b">
        <f t="shared" si="86"/>
        <v>1</v>
      </c>
      <c r="AQ235" t="b">
        <f t="shared" si="87"/>
        <v>1</v>
      </c>
      <c r="AT235" t="str">
        <f>'Ashed teabags dry'!A233</f>
        <v>G467</v>
      </c>
      <c r="AU235" t="str">
        <f>'Ashed teabags dry'!A570</f>
        <v>R717</v>
      </c>
      <c r="AV235" t="b">
        <f t="shared" si="88"/>
        <v>0</v>
      </c>
      <c r="AW235" t="b">
        <f t="shared" si="89"/>
        <v>0</v>
      </c>
      <c r="AZ235" s="401" t="b">
        <f t="shared" si="90"/>
        <v>0</v>
      </c>
      <c r="BA235" s="401" t="b">
        <f t="shared" si="91"/>
        <v>0</v>
      </c>
      <c r="BC235" t="str">
        <f>'Ashed teabags wet'!A233</f>
        <v>G673</v>
      </c>
      <c r="BD235" t="str">
        <f>'Ashed teabags wet'!A650</f>
        <v>R465</v>
      </c>
      <c r="BE235" t="b">
        <f t="shared" si="92"/>
        <v>0</v>
      </c>
      <c r="BF235" t="b">
        <f t="shared" si="93"/>
        <v>0</v>
      </c>
      <c r="BG235">
        <f>IFERROR('Ashed teabags wet'!C233,"")</f>
        <v>64</v>
      </c>
      <c r="BH235">
        <f>IFERROR('Ashed teabags wet'!C650,"")</f>
        <v>141</v>
      </c>
      <c r="BI235" t="str">
        <f>'Ashed teabags wet'!AB233</f>
        <v/>
      </c>
      <c r="BJ235">
        <f>'Ashed teabags wet'!AC233</f>
        <v>63</v>
      </c>
      <c r="BK235" t="str">
        <f>'Ashed teabags wet'!AD650</f>
        <v/>
      </c>
      <c r="BL235">
        <f>'Ashed teabags wet'!AE650</f>
        <v>140</v>
      </c>
      <c r="BN235" t="str">
        <f t="shared" si="94"/>
        <v>G670</v>
      </c>
      <c r="BO235" t="b">
        <f t="shared" si="95"/>
        <v>1</v>
      </c>
    </row>
    <row r="236" spans="2:67" ht="12" customHeight="1">
      <c r="B236" t="str">
        <f>TBIDry!H308</f>
        <v>G874</v>
      </c>
      <c r="C236" t="str">
        <f>TBIDry!I308</f>
        <v>R603</v>
      </c>
      <c r="D236" t="b">
        <f t="shared" si="72"/>
        <v>0</v>
      </c>
      <c r="E236" t="b">
        <f t="shared" si="73"/>
        <v>0</v>
      </c>
      <c r="G236" t="str">
        <f>TBIWet!H308</f>
        <v>G241</v>
      </c>
      <c r="H236" t="str">
        <f>TBIWet!I308</f>
        <v>R3</v>
      </c>
      <c r="I236" t="b">
        <f t="shared" si="74"/>
        <v>0</v>
      </c>
      <c r="J236" t="b">
        <f t="shared" si="75"/>
        <v>0</v>
      </c>
      <c r="L236" t="str">
        <f>'Both teabags AfterWet'!A235</f>
        <v>G673</v>
      </c>
      <c r="M236" t="str">
        <f>'Both teabags AfterWet'!A653</f>
        <v>R449</v>
      </c>
      <c r="N236" t="b">
        <f t="shared" si="76"/>
        <v>0</v>
      </c>
      <c r="O236" t="b">
        <f t="shared" si="77"/>
        <v>0</v>
      </c>
      <c r="P236">
        <f>IFERROR('Both teabags AfterWet'!B235,"")</f>
        <v>64</v>
      </c>
      <c r="Q236">
        <f>'Both teabags AfterWet'!B653</f>
        <v>208</v>
      </c>
      <c r="S236" s="401" t="b">
        <f t="shared" si="78"/>
        <v>0</v>
      </c>
      <c r="T236" s="401" t="b">
        <f t="shared" si="79"/>
        <v>0</v>
      </c>
      <c r="V236" t="str">
        <f>'Both teabags AfterDry'!A235</f>
        <v>G467</v>
      </c>
      <c r="W236" t="str">
        <f>'Both teabags AfterDry'!A572</f>
        <v>R718</v>
      </c>
      <c r="X236" t="b">
        <f t="shared" si="80"/>
        <v>0</v>
      </c>
      <c r="Y236" t="b">
        <f t="shared" si="81"/>
        <v>0</v>
      </c>
      <c r="AA236" t="str">
        <f>'Green_rooibos initial weight'!A237</f>
        <v>G233</v>
      </c>
      <c r="AB236" t="str">
        <f>'Green_rooibos initial weight'!A1141</f>
        <v>R233</v>
      </c>
      <c r="AC236" t="b">
        <f t="shared" si="82"/>
        <v>0</v>
      </c>
      <c r="AD236" t="b">
        <f t="shared" si="83"/>
        <v>0</v>
      </c>
      <c r="AG236" t="str">
        <f>'WetLitterbags placem_collection'!O15</f>
        <v>G241</v>
      </c>
      <c r="AH236" t="str">
        <f>'WetLitterbags placem_collection'!Q15</f>
        <v>R3</v>
      </c>
      <c r="AI236" t="b">
        <f t="shared" si="84"/>
        <v>0</v>
      </c>
      <c r="AJ236" t="b">
        <f t="shared" si="85"/>
        <v>0</v>
      </c>
      <c r="AK236">
        <f>'WetLitterbags placem_collection'!A15</f>
        <v>13</v>
      </c>
      <c r="AL236">
        <f>'WetLitterbags placem_collection'!A15</f>
        <v>13</v>
      </c>
      <c r="AN236">
        <f>IF('Dry_Litterbag Placem_Collection'!L15=0,"",'Dry_Litterbag Placem_Collection'!L15)</f>
        <v>874</v>
      </c>
      <c r="AO236">
        <f>IF('Dry_Litterbag Placem_Collection'!M15=0,"",'Dry_Litterbag Placem_Collection'!M15)</f>
        <v>603</v>
      </c>
      <c r="AP236" t="b">
        <f t="shared" si="86"/>
        <v>0</v>
      </c>
      <c r="AQ236" t="b">
        <f t="shared" si="87"/>
        <v>0</v>
      </c>
      <c r="AT236" t="str">
        <f>'Ashed teabags dry'!A234</f>
        <v>G47</v>
      </c>
      <c r="AU236" t="str">
        <f>'Ashed teabags dry'!A571</f>
        <v>R718</v>
      </c>
      <c r="AV236" t="b">
        <f t="shared" si="88"/>
        <v>0</v>
      </c>
      <c r="AW236" t="b">
        <f t="shared" si="89"/>
        <v>0</v>
      </c>
      <c r="AZ236" s="401" t="b">
        <f t="shared" si="90"/>
        <v>0</v>
      </c>
      <c r="BA236" s="401" t="b">
        <f t="shared" si="91"/>
        <v>0</v>
      </c>
      <c r="BC236" t="str">
        <f>'Ashed teabags wet'!A234</f>
        <v>G674</v>
      </c>
      <c r="BD236" t="str">
        <f>'Ashed teabags wet'!A651</f>
        <v>R466</v>
      </c>
      <c r="BE236" t="b">
        <f t="shared" si="92"/>
        <v>0</v>
      </c>
      <c r="BF236" t="b">
        <f t="shared" si="93"/>
        <v>0</v>
      </c>
      <c r="BG236">
        <f>IFERROR('Ashed teabags wet'!C234,"")</f>
        <v>170</v>
      </c>
      <c r="BH236">
        <f>IFERROR('Ashed teabags wet'!C651,"")</f>
        <v>123</v>
      </c>
      <c r="BI236" t="str">
        <f>'Ashed teabags wet'!AB234</f>
        <v/>
      </c>
      <c r="BJ236">
        <f>'Ashed teabags wet'!AC234</f>
        <v>169</v>
      </c>
      <c r="BK236" t="str">
        <f>'Ashed teabags wet'!AD651</f>
        <v/>
      </c>
      <c r="BL236">
        <f>'Ashed teabags wet'!AE651</f>
        <v>122</v>
      </c>
      <c r="BN236" t="str">
        <f t="shared" si="94"/>
        <v>G673</v>
      </c>
      <c r="BO236" t="b">
        <f t="shared" si="95"/>
        <v>1</v>
      </c>
    </row>
    <row r="237" spans="2:67" ht="12" customHeight="1">
      <c r="B237" t="str">
        <f>TBIDry!H309</f>
        <v>G219</v>
      </c>
      <c r="C237" t="str">
        <f>TBIDry!I309</f>
        <v>R652</v>
      </c>
      <c r="D237" t="b">
        <f t="shared" si="72"/>
        <v>0</v>
      </c>
      <c r="E237" t="b">
        <f t="shared" si="73"/>
        <v>0</v>
      </c>
      <c r="G237" t="str">
        <f>TBIWet!H309</f>
        <v>G503</v>
      </c>
      <c r="H237" t="str">
        <f>TBIWet!I309</f>
        <v>R282</v>
      </c>
      <c r="I237" t="b">
        <f t="shared" si="74"/>
        <v>0</v>
      </c>
      <c r="J237" t="b">
        <f t="shared" si="75"/>
        <v>0</v>
      </c>
      <c r="L237" t="str">
        <f>'Both teabags AfterWet'!A236</f>
        <v>G674</v>
      </c>
      <c r="M237" t="str">
        <f>'Both teabags AfterWet'!A654</f>
        <v>R45</v>
      </c>
      <c r="N237" t="b">
        <f t="shared" si="76"/>
        <v>0</v>
      </c>
      <c r="O237" t="b">
        <f t="shared" si="77"/>
        <v>0</v>
      </c>
      <c r="P237">
        <f>IFERROR('Both teabags AfterWet'!B236,"")</f>
        <v>170</v>
      </c>
      <c r="Q237" t="str">
        <f>'Both teabags AfterWet'!B654</f>
        <v>n.a</v>
      </c>
      <c r="S237" s="401" t="b">
        <f t="shared" si="78"/>
        <v>0</v>
      </c>
      <c r="T237" s="401" t="b">
        <f t="shared" si="79"/>
        <v>0</v>
      </c>
      <c r="V237" t="str">
        <f>'Both teabags AfterDry'!A236</f>
        <v>G47</v>
      </c>
      <c r="W237" t="str">
        <f>'Both teabags AfterDry'!A573</f>
        <v>R720</v>
      </c>
      <c r="X237" t="b">
        <f t="shared" si="80"/>
        <v>0</v>
      </c>
      <c r="Y237" t="b">
        <f t="shared" si="81"/>
        <v>0</v>
      </c>
      <c r="AA237" t="str">
        <f>'Green_rooibos initial weight'!A238</f>
        <v>G234</v>
      </c>
      <c r="AB237" t="str">
        <f>'Green_rooibos initial weight'!A1142</f>
        <v>R234</v>
      </c>
      <c r="AC237" t="b">
        <f t="shared" si="82"/>
        <v>0</v>
      </c>
      <c r="AD237" t="b">
        <f t="shared" si="83"/>
        <v>0</v>
      </c>
      <c r="AG237" t="str">
        <f>'WetLitterbags placem_collection'!O16</f>
        <v>G503</v>
      </c>
      <c r="AH237" t="str">
        <f>'WetLitterbags placem_collection'!Q16</f>
        <v>R282</v>
      </c>
      <c r="AI237" t="b">
        <f t="shared" si="84"/>
        <v>0</v>
      </c>
      <c r="AJ237" t="b">
        <f t="shared" si="85"/>
        <v>0</v>
      </c>
      <c r="AK237">
        <f>'WetLitterbags placem_collection'!A16</f>
        <v>14</v>
      </c>
      <c r="AL237">
        <f>'WetLitterbags placem_collection'!A16</f>
        <v>14</v>
      </c>
      <c r="AN237">
        <f>IF('Dry_Litterbag Placem_Collection'!L16=0,"",'Dry_Litterbag Placem_Collection'!L16)</f>
        <v>219</v>
      </c>
      <c r="AO237">
        <f>IF('Dry_Litterbag Placem_Collection'!M16=0,"",'Dry_Litterbag Placem_Collection'!M16)</f>
        <v>652</v>
      </c>
      <c r="AP237" t="b">
        <f t="shared" si="86"/>
        <v>0</v>
      </c>
      <c r="AQ237" t="b">
        <f t="shared" si="87"/>
        <v>0</v>
      </c>
      <c r="AT237" t="str">
        <f>'Ashed teabags dry'!A235</f>
        <v>G473</v>
      </c>
      <c r="AU237" t="str">
        <f>'Ashed teabags dry'!A572</f>
        <v>R720</v>
      </c>
      <c r="AV237" t="b">
        <f t="shared" si="88"/>
        <v>0</v>
      </c>
      <c r="AW237" t="b">
        <f t="shared" si="89"/>
        <v>0</v>
      </c>
      <c r="AZ237" s="401" t="b">
        <f t="shared" si="90"/>
        <v>0</v>
      </c>
      <c r="BA237" s="401" t="b">
        <f t="shared" si="91"/>
        <v>0</v>
      </c>
      <c r="BC237" t="str">
        <f>'Ashed teabags wet'!A235</f>
        <v>G675</v>
      </c>
      <c r="BD237" t="str">
        <f>'Ashed teabags wet'!A652</f>
        <v>R467</v>
      </c>
      <c r="BE237" t="b">
        <f t="shared" si="92"/>
        <v>0</v>
      </c>
      <c r="BF237" t="b">
        <f t="shared" si="93"/>
        <v>0</v>
      </c>
      <c r="BG237">
        <f>IFERROR('Ashed teabags wet'!C235,"")</f>
        <v>154</v>
      </c>
      <c r="BH237">
        <f>IFERROR('Ashed teabags wet'!C652,"")</f>
        <v>134</v>
      </c>
      <c r="BI237">
        <f>'Ashed teabags wet'!AB235</f>
        <v>153</v>
      </c>
      <c r="BJ237" t="str">
        <f>'Ashed teabags wet'!AC235</f>
        <v/>
      </c>
      <c r="BK237" t="str">
        <f>'Ashed teabags wet'!AD652</f>
        <v/>
      </c>
      <c r="BL237">
        <f>'Ashed teabags wet'!AE652</f>
        <v>133</v>
      </c>
      <c r="BN237" t="str">
        <f t="shared" si="94"/>
        <v>G674</v>
      </c>
      <c r="BO237" t="b">
        <f t="shared" si="95"/>
        <v>1</v>
      </c>
    </row>
    <row r="238" spans="2:67" ht="12" customHeight="1">
      <c r="B238" t="str">
        <f>TBIDry!H310</f>
        <v>G630</v>
      </c>
      <c r="C238" t="str">
        <f>TBIDry!I310</f>
        <v>R304</v>
      </c>
      <c r="D238" t="b">
        <f t="shared" si="72"/>
        <v>0</v>
      </c>
      <c r="E238" t="b">
        <f t="shared" si="73"/>
        <v>0</v>
      </c>
      <c r="G238" t="str">
        <f>TBIWet!H310</f>
        <v>G685</v>
      </c>
      <c r="H238" t="str">
        <f>TBIWet!I310</f>
        <v>R99</v>
      </c>
      <c r="I238" t="b">
        <f t="shared" si="74"/>
        <v>0</v>
      </c>
      <c r="J238" t="b">
        <f t="shared" si="75"/>
        <v>0</v>
      </c>
      <c r="L238" t="str">
        <f>'Both teabags AfterWet'!A237</f>
        <v>G675</v>
      </c>
      <c r="M238" t="str">
        <f>'Both teabags AfterWet'!A655</f>
        <v>R450</v>
      </c>
      <c r="N238" t="b">
        <f t="shared" si="76"/>
        <v>0</v>
      </c>
      <c r="O238" t="b">
        <f t="shared" si="77"/>
        <v>0</v>
      </c>
      <c r="P238">
        <f>IFERROR('Both teabags AfterWet'!B237,"")</f>
        <v>154</v>
      </c>
      <c r="Q238" t="str">
        <f>'Both teabags AfterWet'!B655</f>
        <v>na</v>
      </c>
      <c r="S238" s="401" t="b">
        <f t="shared" si="78"/>
        <v>0</v>
      </c>
      <c r="T238" s="401" t="b">
        <f t="shared" si="79"/>
        <v>0</v>
      </c>
      <c r="V238" t="str">
        <f>'Both teabags AfterDry'!A237</f>
        <v>G473</v>
      </c>
      <c r="W238" t="str">
        <f>'Both teabags AfterDry'!A574</f>
        <v>R721</v>
      </c>
      <c r="X238" t="b">
        <f t="shared" si="80"/>
        <v>0</v>
      </c>
      <c r="Y238" t="b">
        <f t="shared" si="81"/>
        <v>0</v>
      </c>
      <c r="AA238" t="str">
        <f>'Green_rooibos initial weight'!A239</f>
        <v>G235</v>
      </c>
      <c r="AB238" t="str">
        <f>'Green_rooibos initial weight'!A1143</f>
        <v>R235</v>
      </c>
      <c r="AC238" t="b">
        <f t="shared" si="82"/>
        <v>0</v>
      </c>
      <c r="AD238" t="b">
        <f t="shared" si="83"/>
        <v>0</v>
      </c>
      <c r="AG238" t="str">
        <f>'WetLitterbags placem_collection'!O17</f>
        <v>G685</v>
      </c>
      <c r="AH238" t="str">
        <f>'WetLitterbags placem_collection'!Q17</f>
        <v>R99</v>
      </c>
      <c r="AI238" t="b">
        <f t="shared" si="84"/>
        <v>0</v>
      </c>
      <c r="AJ238" t="b">
        <f t="shared" si="85"/>
        <v>0</v>
      </c>
      <c r="AK238">
        <f>'WetLitterbags placem_collection'!A17</f>
        <v>15</v>
      </c>
      <c r="AL238">
        <f>'WetLitterbags placem_collection'!A17</f>
        <v>15</v>
      </c>
      <c r="AN238">
        <f>IF('Dry_Litterbag Placem_Collection'!L17=0,"",'Dry_Litterbag Placem_Collection'!L17)</f>
        <v>630</v>
      </c>
      <c r="AO238">
        <f>IF('Dry_Litterbag Placem_Collection'!M17=0,"",'Dry_Litterbag Placem_Collection'!M17)</f>
        <v>304</v>
      </c>
      <c r="AP238" t="b">
        <f t="shared" si="86"/>
        <v>0</v>
      </c>
      <c r="AQ238" t="b">
        <f t="shared" si="87"/>
        <v>0</v>
      </c>
      <c r="AT238" t="str">
        <f>'Ashed teabags dry'!A236</f>
        <v>G48</v>
      </c>
      <c r="AU238" t="str">
        <f>'Ashed teabags dry'!A573</f>
        <v>R721</v>
      </c>
      <c r="AV238" t="b">
        <f t="shared" si="88"/>
        <v>0</v>
      </c>
      <c r="AW238" t="b">
        <f t="shared" si="89"/>
        <v>0</v>
      </c>
      <c r="AZ238" s="401" t="b">
        <f t="shared" si="90"/>
        <v>0</v>
      </c>
      <c r="BA238" s="401" t="b">
        <f t="shared" si="91"/>
        <v>0</v>
      </c>
      <c r="BC238" t="str">
        <f>'Ashed teabags wet'!A236</f>
        <v>G676</v>
      </c>
      <c r="BD238" t="str">
        <f>'Ashed teabags wet'!A653</f>
        <v>R468</v>
      </c>
      <c r="BE238" t="b">
        <f t="shared" si="92"/>
        <v>0</v>
      </c>
      <c r="BF238" t="b">
        <f t="shared" si="93"/>
        <v>0</v>
      </c>
      <c r="BG238">
        <f>IFERROR('Ashed teabags wet'!C236,"")</f>
        <v>107</v>
      </c>
      <c r="BH238">
        <f>IFERROR('Ashed teabags wet'!C653,"")</f>
        <v>146</v>
      </c>
      <c r="BI238" t="str">
        <f>'Ashed teabags wet'!AB236</f>
        <v/>
      </c>
      <c r="BJ238">
        <f>'Ashed teabags wet'!AC236</f>
        <v>106</v>
      </c>
      <c r="BK238" t="str">
        <f>'Ashed teabags wet'!AD653</f>
        <v/>
      </c>
      <c r="BL238">
        <f>'Ashed teabags wet'!AE653</f>
        <v>145</v>
      </c>
      <c r="BN238" t="str">
        <f t="shared" si="94"/>
        <v>G675</v>
      </c>
      <c r="BO238" t="b">
        <f t="shared" si="95"/>
        <v>1</v>
      </c>
    </row>
    <row r="239" spans="2:67" ht="12" customHeight="1">
      <c r="B239" t="str">
        <f>TBIDry!H311</f>
        <v>G662</v>
      </c>
      <c r="C239" t="str">
        <f>TBIDry!I311</f>
        <v>R687</v>
      </c>
      <c r="D239" t="b">
        <f t="shared" si="72"/>
        <v>0</v>
      </c>
      <c r="E239" t="b">
        <f t="shared" si="73"/>
        <v>0</v>
      </c>
      <c r="G239" t="str">
        <f>TBIWet!H311</f>
        <v>G644</v>
      </c>
      <c r="H239" t="str">
        <f>TBIWet!I311</f>
        <v>R154</v>
      </c>
      <c r="I239" t="b">
        <f t="shared" si="74"/>
        <v>0</v>
      </c>
      <c r="J239" t="b">
        <f t="shared" si="75"/>
        <v>0</v>
      </c>
      <c r="L239" t="str">
        <f>'Both teabags AfterWet'!A238</f>
        <v>G676</v>
      </c>
      <c r="M239" t="str">
        <f>'Both teabags AfterWet'!A656</f>
        <v>R451</v>
      </c>
      <c r="N239" t="b">
        <f t="shared" si="76"/>
        <v>0</v>
      </c>
      <c r="O239" t="b">
        <f t="shared" si="77"/>
        <v>0</v>
      </c>
      <c r="P239">
        <f>IFERROR('Both teabags AfterWet'!B238,"")</f>
        <v>107</v>
      </c>
      <c r="Q239">
        <f>'Both teabags AfterWet'!B656</f>
        <v>171</v>
      </c>
      <c r="S239" s="401" t="b">
        <f t="shared" si="78"/>
        <v>0</v>
      </c>
      <c r="T239" s="401" t="b">
        <f t="shared" si="79"/>
        <v>0</v>
      </c>
      <c r="V239" t="str">
        <f>'Both teabags AfterDry'!A238</f>
        <v>G48</v>
      </c>
      <c r="W239" t="str">
        <f>'Both teabags AfterDry'!A575</f>
        <v>R722</v>
      </c>
      <c r="X239" t="b">
        <f t="shared" si="80"/>
        <v>0</v>
      </c>
      <c r="Y239" t="b">
        <f t="shared" si="81"/>
        <v>0</v>
      </c>
      <c r="AA239" t="str">
        <f>'Green_rooibos initial weight'!A240</f>
        <v>G236</v>
      </c>
      <c r="AB239" t="str">
        <f>'Green_rooibos initial weight'!A1144</f>
        <v>R236</v>
      </c>
      <c r="AC239" t="b">
        <f t="shared" si="82"/>
        <v>0</v>
      </c>
      <c r="AD239" t="b">
        <f t="shared" si="83"/>
        <v>0</v>
      </c>
      <c r="AG239" t="str">
        <f>'WetLitterbags placem_collection'!O18</f>
        <v>G644</v>
      </c>
      <c r="AH239" t="str">
        <f>'WetLitterbags placem_collection'!Q18</f>
        <v>R154</v>
      </c>
      <c r="AI239" t="b">
        <f t="shared" si="84"/>
        <v>0</v>
      </c>
      <c r="AJ239" t="b">
        <f t="shared" si="85"/>
        <v>0</v>
      </c>
      <c r="AK239">
        <f>'WetLitterbags placem_collection'!A18</f>
        <v>16</v>
      </c>
      <c r="AL239">
        <f>'WetLitterbags placem_collection'!A18</f>
        <v>16</v>
      </c>
      <c r="AN239">
        <f>IF('Dry_Litterbag Placem_Collection'!L18=0,"",'Dry_Litterbag Placem_Collection'!L18)</f>
        <v>662</v>
      </c>
      <c r="AO239">
        <f>IF('Dry_Litterbag Placem_Collection'!M18=0,"",'Dry_Litterbag Placem_Collection'!M18)</f>
        <v>687</v>
      </c>
      <c r="AP239" t="b">
        <f t="shared" si="86"/>
        <v>0</v>
      </c>
      <c r="AQ239" t="b">
        <f t="shared" si="87"/>
        <v>0</v>
      </c>
      <c r="AT239" t="str">
        <f>'Ashed teabags dry'!A237</f>
        <v>G481</v>
      </c>
      <c r="AU239" t="str">
        <f>'Ashed teabags dry'!A574</f>
        <v>R722</v>
      </c>
      <c r="AV239" t="b">
        <f t="shared" si="88"/>
        <v>0</v>
      </c>
      <c r="AW239" t="b">
        <f t="shared" si="89"/>
        <v>0</v>
      </c>
      <c r="AZ239" s="401" t="b">
        <f t="shared" si="90"/>
        <v>0</v>
      </c>
      <c r="BA239" s="401" t="b">
        <f t="shared" si="91"/>
        <v>0</v>
      </c>
      <c r="BC239" t="str">
        <f>'Ashed teabags wet'!A237</f>
        <v>G677</v>
      </c>
      <c r="BD239" t="str">
        <f>'Ashed teabags wet'!A654</f>
        <v>R469</v>
      </c>
      <c r="BE239" t="b">
        <f t="shared" si="92"/>
        <v>0</v>
      </c>
      <c r="BF239" t="b">
        <f t="shared" si="93"/>
        <v>0</v>
      </c>
      <c r="BG239">
        <f>IFERROR('Ashed teabags wet'!C237,"")</f>
        <v>206</v>
      </c>
      <c r="BH239">
        <f>IFERROR('Ashed teabags wet'!C654,"")</f>
        <v>45</v>
      </c>
      <c r="BI239">
        <f>'Ashed teabags wet'!AB237</f>
        <v>205</v>
      </c>
      <c r="BJ239" t="str">
        <f>'Ashed teabags wet'!AC237</f>
        <v/>
      </c>
      <c r="BK239">
        <f>'Ashed teabags wet'!AD654</f>
        <v>44</v>
      </c>
      <c r="BL239" t="str">
        <f>'Ashed teabags wet'!AE654</f>
        <v/>
      </c>
      <c r="BN239" t="str">
        <f t="shared" si="94"/>
        <v>G676</v>
      </c>
      <c r="BO239" t="b">
        <f t="shared" si="95"/>
        <v>1</v>
      </c>
    </row>
    <row r="240" spans="2:67" ht="12" customHeight="1">
      <c r="B240" t="str">
        <f>TBIDry!H312</f>
        <v>G349</v>
      </c>
      <c r="C240" t="str">
        <f>TBIDry!I312</f>
        <v>R407</v>
      </c>
      <c r="D240" t="b">
        <f t="shared" si="72"/>
        <v>0</v>
      </c>
      <c r="E240" t="b">
        <f t="shared" si="73"/>
        <v>0</v>
      </c>
      <c r="G240" t="str">
        <f>TBIWet!H312</f>
        <v>G648</v>
      </c>
      <c r="H240" t="str">
        <f>TBIWet!I312</f>
        <v>R380</v>
      </c>
      <c r="I240" t="b">
        <f t="shared" si="74"/>
        <v>0</v>
      </c>
      <c r="J240" t="b">
        <f t="shared" si="75"/>
        <v>0</v>
      </c>
      <c r="L240" t="str">
        <f>'Both teabags AfterWet'!A239</f>
        <v>G677</v>
      </c>
      <c r="M240" t="str">
        <f>'Both teabags AfterWet'!A657</f>
        <v>R452</v>
      </c>
      <c r="N240" t="b">
        <f t="shared" si="76"/>
        <v>0</v>
      </c>
      <c r="O240" t="b">
        <f t="shared" si="77"/>
        <v>0</v>
      </c>
      <c r="P240">
        <f>IFERROR('Both teabags AfterWet'!B239,"")</f>
        <v>207</v>
      </c>
      <c r="Q240">
        <f>'Both teabags AfterWet'!B657</f>
        <v>33</v>
      </c>
      <c r="S240" s="401" t="b">
        <f t="shared" si="78"/>
        <v>0</v>
      </c>
      <c r="T240" s="401" t="b">
        <f t="shared" si="79"/>
        <v>0</v>
      </c>
      <c r="V240" t="str">
        <f>'Both teabags AfterDry'!A239</f>
        <v>G481</v>
      </c>
      <c r="W240" t="str">
        <f>'Both teabags AfterDry'!A576</f>
        <v>R723</v>
      </c>
      <c r="X240" t="b">
        <f t="shared" si="80"/>
        <v>0</v>
      </c>
      <c r="Y240" t="b">
        <f t="shared" si="81"/>
        <v>0</v>
      </c>
      <c r="AA240" t="str">
        <f>'Green_rooibos initial weight'!A241</f>
        <v>G237</v>
      </c>
      <c r="AB240" t="str">
        <f>'Green_rooibos initial weight'!A1145</f>
        <v>R237</v>
      </c>
      <c r="AC240" t="b">
        <f t="shared" si="82"/>
        <v>0</v>
      </c>
      <c r="AD240" t="b">
        <f t="shared" si="83"/>
        <v>0</v>
      </c>
      <c r="AG240" t="str">
        <f>'WetLitterbags placem_collection'!O19</f>
        <v>G648</v>
      </c>
      <c r="AH240" t="str">
        <f>'WetLitterbags placem_collection'!Q19</f>
        <v>R380</v>
      </c>
      <c r="AI240" t="b">
        <f t="shared" si="84"/>
        <v>0</v>
      </c>
      <c r="AJ240" t="b">
        <f t="shared" si="85"/>
        <v>0</v>
      </c>
      <c r="AK240">
        <f>'WetLitterbags placem_collection'!A19</f>
        <v>17</v>
      </c>
      <c r="AL240">
        <f>'WetLitterbags placem_collection'!A19</f>
        <v>17</v>
      </c>
      <c r="AN240">
        <f>IF('Dry_Litterbag Placem_Collection'!L19=0,"",'Dry_Litterbag Placem_Collection'!L19)</f>
        <v>349</v>
      </c>
      <c r="AO240">
        <f>IF('Dry_Litterbag Placem_Collection'!M19=0,"",'Dry_Litterbag Placem_Collection'!M19)</f>
        <v>407</v>
      </c>
      <c r="AP240" t="b">
        <f t="shared" si="86"/>
        <v>0</v>
      </c>
      <c r="AQ240" t="b">
        <f t="shared" si="87"/>
        <v>0</v>
      </c>
      <c r="AT240" t="str">
        <f>'Ashed teabags dry'!A238</f>
        <v>G482</v>
      </c>
      <c r="AU240" t="str">
        <f>'Ashed teabags dry'!A575</f>
        <v>R723</v>
      </c>
      <c r="AV240" t="b">
        <f t="shared" si="88"/>
        <v>0</v>
      </c>
      <c r="AW240" t="b">
        <f t="shared" si="89"/>
        <v>0</v>
      </c>
      <c r="AZ240" s="401" t="b">
        <f t="shared" si="90"/>
        <v>0</v>
      </c>
      <c r="BA240" s="401" t="b">
        <f t="shared" si="91"/>
        <v>0</v>
      </c>
      <c r="BC240" t="str">
        <f>'Ashed teabags wet'!A238</f>
        <v>G678</v>
      </c>
      <c r="BD240" t="str">
        <f>'Ashed teabags wet'!A655</f>
        <v>R470</v>
      </c>
      <c r="BE240" t="b">
        <f t="shared" si="92"/>
        <v>0</v>
      </c>
      <c r="BF240" t="b">
        <f t="shared" si="93"/>
        <v>0</v>
      </c>
      <c r="BG240">
        <f>IFERROR('Ashed teabags wet'!C238,"")</f>
        <v>147</v>
      </c>
      <c r="BH240">
        <f>IFERROR('Ashed teabags wet'!C655,"")</f>
        <v>177</v>
      </c>
      <c r="BI240">
        <f>'Ashed teabags wet'!AB238</f>
        <v>146</v>
      </c>
      <c r="BJ240" t="str">
        <f>'Ashed teabags wet'!AC238</f>
        <v/>
      </c>
      <c r="BK240" t="str">
        <f>'Ashed teabags wet'!AD655</f>
        <v/>
      </c>
      <c r="BL240">
        <f>'Ashed teabags wet'!AE655</f>
        <v>176</v>
      </c>
      <c r="BN240" t="str">
        <f t="shared" si="94"/>
        <v>G677</v>
      </c>
      <c r="BO240" t="b">
        <f t="shared" si="95"/>
        <v>1</v>
      </c>
    </row>
    <row r="241" spans="2:68" ht="12" customHeight="1">
      <c r="B241" t="str">
        <f>TBIDry!H313</f>
        <v>G113</v>
      </c>
      <c r="C241" t="str">
        <f>TBIDry!I313</f>
        <v>R361</v>
      </c>
      <c r="D241" t="b">
        <f t="shared" si="72"/>
        <v>0</v>
      </c>
      <c r="E241" t="b">
        <f t="shared" si="73"/>
        <v>0</v>
      </c>
      <c r="G241" t="str">
        <f>TBIWet!H313</f>
        <v>G573</v>
      </c>
      <c r="H241" t="str">
        <f>TBIWet!I313</f>
        <v>R274</v>
      </c>
      <c r="I241" t="b">
        <f t="shared" si="74"/>
        <v>0</v>
      </c>
      <c r="J241" t="b">
        <f t="shared" si="75"/>
        <v>0</v>
      </c>
      <c r="L241" t="str">
        <f>'Both teabags AfterWet'!A240</f>
        <v>G678</v>
      </c>
      <c r="M241" t="str">
        <f>'Both teabags AfterWet'!A658</f>
        <v>R453</v>
      </c>
      <c r="N241" t="b">
        <f t="shared" si="76"/>
        <v>0</v>
      </c>
      <c r="O241" t="b">
        <f t="shared" si="77"/>
        <v>0</v>
      </c>
      <c r="P241">
        <f>IFERROR('Both teabags AfterWet'!B240,"")</f>
        <v>147</v>
      </c>
      <c r="Q241">
        <f>'Both teabags AfterWet'!B658</f>
        <v>169</v>
      </c>
      <c r="S241" s="401" t="b">
        <f t="shared" si="78"/>
        <v>0</v>
      </c>
      <c r="T241" s="401" t="b">
        <f t="shared" si="79"/>
        <v>0</v>
      </c>
      <c r="V241" t="str">
        <f>'Both teabags AfterDry'!A240</f>
        <v>G482</v>
      </c>
      <c r="W241" t="str">
        <f>'Both teabags AfterDry'!A577</f>
        <v>R725</v>
      </c>
      <c r="X241" t="b">
        <f t="shared" si="80"/>
        <v>0</v>
      </c>
      <c r="Y241" t="b">
        <f t="shared" si="81"/>
        <v>0</v>
      </c>
      <c r="AA241" t="str">
        <f>'Green_rooibos initial weight'!A242</f>
        <v>G238</v>
      </c>
      <c r="AB241" t="str">
        <f>'Green_rooibos initial weight'!A1146</f>
        <v>R238</v>
      </c>
      <c r="AC241" t="b">
        <f t="shared" si="82"/>
        <v>0</v>
      </c>
      <c r="AD241" t="b">
        <f t="shared" si="83"/>
        <v>0</v>
      </c>
      <c r="AG241" t="str">
        <f>'WetLitterbags placem_collection'!O20</f>
        <v>G573</v>
      </c>
      <c r="AH241" t="str">
        <f>'WetLitterbags placem_collection'!Q20</f>
        <v>R274</v>
      </c>
      <c r="AI241" t="b">
        <f t="shared" si="84"/>
        <v>0</v>
      </c>
      <c r="AJ241" t="b">
        <f t="shared" si="85"/>
        <v>0</v>
      </c>
      <c r="AK241">
        <f>'WetLitterbags placem_collection'!A20</f>
        <v>18</v>
      </c>
      <c r="AL241">
        <f>'WetLitterbags placem_collection'!A20</f>
        <v>18</v>
      </c>
      <c r="AN241">
        <f>IF('Dry_Litterbag Placem_Collection'!L20=0,"",'Dry_Litterbag Placem_Collection'!L20)</f>
        <v>113</v>
      </c>
      <c r="AO241">
        <f>IF('Dry_Litterbag Placem_Collection'!M20=0,"",'Dry_Litterbag Placem_Collection'!M20)</f>
        <v>361</v>
      </c>
      <c r="AP241" t="b">
        <f t="shared" si="86"/>
        <v>0</v>
      </c>
      <c r="AQ241" t="b">
        <f t="shared" si="87"/>
        <v>0</v>
      </c>
      <c r="AT241" t="str">
        <f>'Ashed teabags dry'!A239</f>
        <v>G484</v>
      </c>
      <c r="AU241" t="str">
        <f>'Ashed teabags dry'!A576</f>
        <v>R725</v>
      </c>
      <c r="AV241" t="b">
        <f t="shared" si="88"/>
        <v>0</v>
      </c>
      <c r="AW241" s="113" t="b">
        <f t="shared" si="89"/>
        <v>1</v>
      </c>
      <c r="AZ241" s="401" t="b">
        <f t="shared" si="90"/>
        <v>0</v>
      </c>
      <c r="BA241" s="401" t="b">
        <f t="shared" si="91"/>
        <v>0</v>
      </c>
      <c r="BC241" t="str">
        <f>'Ashed teabags wet'!A239</f>
        <v>G679</v>
      </c>
      <c r="BD241" t="str">
        <f>'Ashed teabags wet'!A656</f>
        <v>R471</v>
      </c>
      <c r="BE241" t="b">
        <f t="shared" si="92"/>
        <v>0</v>
      </c>
      <c r="BF241" t="b">
        <f t="shared" si="93"/>
        <v>0</v>
      </c>
      <c r="BG241">
        <f>IFERROR('Ashed teabags wet'!C239,"")</f>
        <v>48</v>
      </c>
      <c r="BH241">
        <f>IFERROR('Ashed teabags wet'!C656,"")</f>
        <v>124</v>
      </c>
      <c r="BI241">
        <f>'Ashed teabags wet'!AB239</f>
        <v>47</v>
      </c>
      <c r="BJ241" t="str">
        <f>'Ashed teabags wet'!AC239</f>
        <v/>
      </c>
      <c r="BK241" t="str">
        <f>'Ashed teabags wet'!AD656</f>
        <v/>
      </c>
      <c r="BL241">
        <f>'Ashed teabags wet'!AE656</f>
        <v>123</v>
      </c>
      <c r="BN241" t="str">
        <f t="shared" si="94"/>
        <v>G678</v>
      </c>
      <c r="BO241" t="b">
        <f t="shared" si="95"/>
        <v>1</v>
      </c>
    </row>
    <row r="242" spans="2:68" ht="12" customHeight="1">
      <c r="B242" t="str">
        <f>TBIDry!H314</f>
        <v>G394</v>
      </c>
      <c r="C242" t="str">
        <f>TBIDry!I314</f>
        <v>R280</v>
      </c>
      <c r="D242" t="b">
        <f t="shared" si="72"/>
        <v>0</v>
      </c>
      <c r="E242" t="b">
        <f t="shared" si="73"/>
        <v>0</v>
      </c>
      <c r="G242" t="str">
        <f>TBIWet!H314</f>
        <v>G639</v>
      </c>
      <c r="H242" t="str">
        <f>TBIWet!I314</f>
        <v>R566</v>
      </c>
      <c r="I242" t="b">
        <f t="shared" si="74"/>
        <v>0</v>
      </c>
      <c r="J242" t="b">
        <f t="shared" si="75"/>
        <v>0</v>
      </c>
      <c r="L242" t="str">
        <f>'Both teabags AfterWet'!A241</f>
        <v>G679</v>
      </c>
      <c r="M242" t="str">
        <f>'Both teabags AfterWet'!A659</f>
        <v>R454</v>
      </c>
      <c r="N242" t="b">
        <f t="shared" si="76"/>
        <v>0</v>
      </c>
      <c r="O242" t="b">
        <f t="shared" si="77"/>
        <v>0</v>
      </c>
      <c r="P242">
        <f>IFERROR('Both teabags AfterWet'!B241,"")</f>
        <v>46</v>
      </c>
      <c r="Q242">
        <f>'Both teabags AfterWet'!B659</f>
        <v>120</v>
      </c>
      <c r="S242" s="401" t="b">
        <f t="shared" si="78"/>
        <v>0</v>
      </c>
      <c r="T242" s="401" t="b">
        <f t="shared" si="79"/>
        <v>0</v>
      </c>
      <c r="V242" t="str">
        <f>'Both teabags AfterDry'!A241</f>
        <v>G484</v>
      </c>
      <c r="W242" t="str">
        <f>'Both teabags AfterDry'!A578</f>
        <v>R726</v>
      </c>
      <c r="X242" t="b">
        <f t="shared" si="80"/>
        <v>0</v>
      </c>
      <c r="Y242" t="b">
        <f t="shared" si="81"/>
        <v>0</v>
      </c>
      <c r="AA242" t="str">
        <f>'Green_rooibos initial weight'!A243</f>
        <v>G239</v>
      </c>
      <c r="AB242" t="str">
        <f>'Green_rooibos initial weight'!A1147</f>
        <v>R239</v>
      </c>
      <c r="AC242" t="b">
        <f t="shared" si="82"/>
        <v>0</v>
      </c>
      <c r="AD242" t="b">
        <f t="shared" si="83"/>
        <v>0</v>
      </c>
      <c r="AG242" t="str">
        <f>'WetLitterbags placem_collection'!O21</f>
        <v>G639</v>
      </c>
      <c r="AH242" t="str">
        <f>'WetLitterbags placem_collection'!Q21</f>
        <v>R566</v>
      </c>
      <c r="AI242" t="b">
        <f t="shared" si="84"/>
        <v>0</v>
      </c>
      <c r="AJ242" t="b">
        <f t="shared" si="85"/>
        <v>0</v>
      </c>
      <c r="AK242">
        <f>'WetLitterbags placem_collection'!A21</f>
        <v>19</v>
      </c>
      <c r="AL242">
        <f>'WetLitterbags placem_collection'!A21</f>
        <v>19</v>
      </c>
      <c r="AN242">
        <f>IF('Dry_Litterbag Placem_Collection'!L21=0,"",'Dry_Litterbag Placem_Collection'!L21)</f>
        <v>394</v>
      </c>
      <c r="AO242">
        <f>IF('Dry_Litterbag Placem_Collection'!M21=0,"",'Dry_Litterbag Placem_Collection'!M21)</f>
        <v>280</v>
      </c>
      <c r="AP242" t="b">
        <f t="shared" si="86"/>
        <v>0</v>
      </c>
      <c r="AQ242" t="b">
        <f t="shared" si="87"/>
        <v>0</v>
      </c>
      <c r="AT242" t="str">
        <f>'Ashed teabags dry'!A240</f>
        <v>G485</v>
      </c>
      <c r="AU242" t="str">
        <f>'Ashed teabags dry'!A577</f>
        <v>R725</v>
      </c>
      <c r="AV242" t="b">
        <f t="shared" si="88"/>
        <v>0</v>
      </c>
      <c r="AW242" s="113" t="b">
        <f t="shared" si="89"/>
        <v>1</v>
      </c>
      <c r="AZ242" s="401" t="b">
        <f t="shared" si="90"/>
        <v>0</v>
      </c>
      <c r="BA242" s="401" t="b">
        <f t="shared" si="91"/>
        <v>0</v>
      </c>
      <c r="BC242" t="str">
        <f>'Ashed teabags wet'!A240</f>
        <v>G680</v>
      </c>
      <c r="BD242" t="str">
        <f>'Ashed teabags wet'!A657</f>
        <v>R474</v>
      </c>
      <c r="BE242" t="b">
        <f t="shared" si="92"/>
        <v>0</v>
      </c>
      <c r="BF242" t="b">
        <f t="shared" si="93"/>
        <v>0</v>
      </c>
      <c r="BG242">
        <f>IFERROR('Ashed teabags wet'!C240,"")</f>
        <v>168</v>
      </c>
      <c r="BH242">
        <f>IFERROR('Ashed teabags wet'!C657,"")</f>
        <v>136</v>
      </c>
      <c r="BI242" t="str">
        <f>'Ashed teabags wet'!AB240</f>
        <v/>
      </c>
      <c r="BJ242">
        <f>'Ashed teabags wet'!AC240</f>
        <v>167</v>
      </c>
      <c r="BK242">
        <f>'Ashed teabags wet'!AD657</f>
        <v>135</v>
      </c>
      <c r="BL242" t="str">
        <f>'Ashed teabags wet'!AE657</f>
        <v/>
      </c>
      <c r="BN242" t="str">
        <f t="shared" si="94"/>
        <v>G679</v>
      </c>
      <c r="BO242" t="b">
        <f t="shared" si="95"/>
        <v>1</v>
      </c>
    </row>
    <row r="243" spans="2:68" ht="12" customHeight="1">
      <c r="B243" t="str">
        <f>TBIDry!H315</f>
        <v>G79</v>
      </c>
      <c r="C243" t="str">
        <f>TBIDry!I315</f>
        <v>R320</v>
      </c>
      <c r="D243" t="b">
        <f t="shared" si="72"/>
        <v>0</v>
      </c>
      <c r="E243" t="b">
        <f t="shared" si="73"/>
        <v>0</v>
      </c>
      <c r="G243" t="str">
        <f>TBIWet!H315</f>
        <v>G505</v>
      </c>
      <c r="H243" t="str">
        <f>TBIWet!I315</f>
        <v>R110</v>
      </c>
      <c r="I243" t="b">
        <f t="shared" si="74"/>
        <v>0</v>
      </c>
      <c r="J243" t="b">
        <f t="shared" si="75"/>
        <v>0</v>
      </c>
      <c r="L243" t="str">
        <f>'Both teabags AfterWet'!A242</f>
        <v>G680</v>
      </c>
      <c r="M243" t="str">
        <f>'Both teabags AfterWet'!A660</f>
        <v>R456</v>
      </c>
      <c r="N243" t="b">
        <f t="shared" si="76"/>
        <v>0</v>
      </c>
      <c r="O243" t="b">
        <f t="shared" si="77"/>
        <v>0</v>
      </c>
      <c r="P243">
        <f>IFERROR('Both teabags AfterWet'!B242,"")</f>
        <v>168</v>
      </c>
      <c r="Q243">
        <f>'Both teabags AfterWet'!B660</f>
        <v>143</v>
      </c>
      <c r="S243" s="401" t="b">
        <f t="shared" si="78"/>
        <v>0</v>
      </c>
      <c r="T243" s="401" t="b">
        <f t="shared" si="79"/>
        <v>0</v>
      </c>
      <c r="V243" t="str">
        <f>'Both teabags AfterDry'!A242</f>
        <v>G485</v>
      </c>
      <c r="W243" t="str">
        <f>'Both teabags AfterDry'!A579</f>
        <v>R727</v>
      </c>
      <c r="X243" t="b">
        <f t="shared" si="80"/>
        <v>0</v>
      </c>
      <c r="Y243" t="b">
        <f t="shared" si="81"/>
        <v>0</v>
      </c>
      <c r="AA243" t="str">
        <f>'Green_rooibos initial weight'!A244</f>
        <v>G240</v>
      </c>
      <c r="AB243" t="str">
        <f>'Green_rooibos initial weight'!A1148</f>
        <v>R240</v>
      </c>
      <c r="AC243" t="b">
        <f t="shared" si="82"/>
        <v>0</v>
      </c>
      <c r="AD243" t="b">
        <f t="shared" si="83"/>
        <v>0</v>
      </c>
      <c r="AG243" t="str">
        <f>'WetLitterbags placem_collection'!O22</f>
        <v>G505</v>
      </c>
      <c r="AH243" t="str">
        <f>'WetLitterbags placem_collection'!Q22</f>
        <v>R110</v>
      </c>
      <c r="AI243" t="b">
        <f t="shared" si="84"/>
        <v>0</v>
      </c>
      <c r="AJ243" t="b">
        <f t="shared" si="85"/>
        <v>0</v>
      </c>
      <c r="AK243">
        <f>'WetLitterbags placem_collection'!A22</f>
        <v>20</v>
      </c>
      <c r="AL243">
        <f>'WetLitterbags placem_collection'!A22</f>
        <v>20</v>
      </c>
      <c r="AN243">
        <f>IF('Dry_Litterbag Placem_Collection'!L22=0,"",'Dry_Litterbag Placem_Collection'!L22)</f>
        <v>79</v>
      </c>
      <c r="AO243">
        <f>IF('Dry_Litterbag Placem_Collection'!M22=0,"",'Dry_Litterbag Placem_Collection'!M22)</f>
        <v>320</v>
      </c>
      <c r="AP243" t="b">
        <f t="shared" si="86"/>
        <v>0</v>
      </c>
      <c r="AQ243" t="b">
        <f t="shared" si="87"/>
        <v>0</v>
      </c>
      <c r="AT243" t="str">
        <f>'Ashed teabags dry'!A241</f>
        <v>G49</v>
      </c>
      <c r="AU243" t="str">
        <f>'Ashed teabags dry'!A578</f>
        <v>R726</v>
      </c>
      <c r="AV243" t="b">
        <f t="shared" si="88"/>
        <v>0</v>
      </c>
      <c r="AW243" t="b">
        <f t="shared" si="89"/>
        <v>0</v>
      </c>
      <c r="AZ243" s="401" t="b">
        <f t="shared" si="90"/>
        <v>0</v>
      </c>
      <c r="BA243" s="401" t="b">
        <f t="shared" si="91"/>
        <v>0</v>
      </c>
      <c r="BC243" t="str">
        <f>'Ashed teabags wet'!A241</f>
        <v>G681</v>
      </c>
      <c r="BD243" t="str">
        <f>'Ashed teabags wet'!A658</f>
        <v>R475</v>
      </c>
      <c r="BE243" t="b">
        <f t="shared" si="92"/>
        <v>0</v>
      </c>
      <c r="BF243" t="b">
        <f t="shared" si="93"/>
        <v>0</v>
      </c>
      <c r="BG243">
        <f>IFERROR('Ashed teabags wet'!C241,"")</f>
        <v>118</v>
      </c>
      <c r="BH243">
        <f>IFERROR('Ashed teabags wet'!C658,"")</f>
        <v>104</v>
      </c>
      <c r="BI243">
        <f>'Ashed teabags wet'!AB241</f>
        <v>117</v>
      </c>
      <c r="BJ243" t="str">
        <f>'Ashed teabags wet'!AC241</f>
        <v/>
      </c>
      <c r="BK243" t="str">
        <f>'Ashed teabags wet'!AD658</f>
        <v/>
      </c>
      <c r="BL243">
        <f>'Ashed teabags wet'!AE658</f>
        <v>103</v>
      </c>
      <c r="BN243" t="str">
        <f t="shared" si="94"/>
        <v>G680</v>
      </c>
      <c r="BO243" t="b">
        <f t="shared" si="95"/>
        <v>1</v>
      </c>
    </row>
    <row r="244" spans="2:68" ht="12" customHeight="1">
      <c r="B244" t="str">
        <f>TBIDry!H316</f>
        <v>G488</v>
      </c>
      <c r="C244" t="str">
        <f>TBIDry!I316</f>
        <v>R209</v>
      </c>
      <c r="D244" t="b">
        <f t="shared" si="72"/>
        <v>0</v>
      </c>
      <c r="E244" t="b">
        <f t="shared" si="73"/>
        <v>0</v>
      </c>
      <c r="G244" t="str">
        <f>TBIWet!H316</f>
        <v>G721</v>
      </c>
      <c r="H244" t="str">
        <f>TBIWet!I316</f>
        <v>R79</v>
      </c>
      <c r="I244" t="b">
        <f t="shared" si="74"/>
        <v>0</v>
      </c>
      <c r="J244" s="113" t="b">
        <f t="shared" si="75"/>
        <v>0</v>
      </c>
      <c r="L244" t="str">
        <f>'Both teabags AfterWet'!A243</f>
        <v>G681</v>
      </c>
      <c r="M244" t="str">
        <f>'Both teabags AfterWet'!A661</f>
        <v>R457</v>
      </c>
      <c r="N244" t="b">
        <f t="shared" si="76"/>
        <v>0</v>
      </c>
      <c r="O244" t="b">
        <f t="shared" si="77"/>
        <v>0</v>
      </c>
      <c r="P244">
        <f>IFERROR('Both teabags AfterWet'!B243,"")</f>
        <v>118</v>
      </c>
      <c r="Q244">
        <f>'Both teabags AfterWet'!B661</f>
        <v>216</v>
      </c>
      <c r="S244" s="401" t="b">
        <f t="shared" si="78"/>
        <v>0</v>
      </c>
      <c r="T244" s="401" t="b">
        <f t="shared" si="79"/>
        <v>0</v>
      </c>
      <c r="V244" t="str">
        <f>'Both teabags AfterDry'!A243</f>
        <v>G49</v>
      </c>
      <c r="W244" t="str">
        <f>'Both teabags AfterDry'!A580</f>
        <v>R728</v>
      </c>
      <c r="X244" t="b">
        <f t="shared" si="80"/>
        <v>0</v>
      </c>
      <c r="Y244" t="b">
        <f t="shared" si="81"/>
        <v>0</v>
      </c>
      <c r="AA244" t="str">
        <f>'Green_rooibos initial weight'!A245</f>
        <v>G241</v>
      </c>
      <c r="AB244" t="str">
        <f>'Green_rooibos initial weight'!A1149</f>
        <v>R241</v>
      </c>
      <c r="AC244" t="b">
        <f t="shared" si="82"/>
        <v>0</v>
      </c>
      <c r="AD244" t="b">
        <f t="shared" si="83"/>
        <v>0</v>
      </c>
      <c r="AG244" t="str">
        <f>'WetLitterbags placem_collection'!O23</f>
        <v>G721</v>
      </c>
      <c r="AH244" t="str">
        <f>'WetLitterbags placem_collection'!Q23</f>
        <v>R79</v>
      </c>
      <c r="AI244" t="b">
        <f t="shared" si="84"/>
        <v>0</v>
      </c>
      <c r="AJ244" t="b">
        <f t="shared" si="85"/>
        <v>0</v>
      </c>
      <c r="AK244">
        <f>'WetLitterbags placem_collection'!A23</f>
        <v>21</v>
      </c>
      <c r="AL244">
        <f>'WetLitterbags placem_collection'!A23</f>
        <v>21</v>
      </c>
      <c r="AN244">
        <f>IF('Dry_Litterbag Placem_Collection'!L23=0,"",'Dry_Litterbag Placem_Collection'!L23)</f>
        <v>488</v>
      </c>
      <c r="AO244">
        <f>IF('Dry_Litterbag Placem_Collection'!M23=0,"",'Dry_Litterbag Placem_Collection'!M23)</f>
        <v>209</v>
      </c>
      <c r="AP244" t="b">
        <f t="shared" si="86"/>
        <v>0</v>
      </c>
      <c r="AQ244" t="b">
        <f t="shared" si="87"/>
        <v>0</v>
      </c>
      <c r="AT244" t="str">
        <f>'Ashed teabags dry'!A242</f>
        <v>G490</v>
      </c>
      <c r="AU244" t="str">
        <f>'Ashed teabags dry'!A579</f>
        <v>R727</v>
      </c>
      <c r="AV244" t="b">
        <f t="shared" si="88"/>
        <v>0</v>
      </c>
      <c r="AW244" t="b">
        <f t="shared" si="89"/>
        <v>0</v>
      </c>
      <c r="AZ244" s="401" t="b">
        <f t="shared" si="90"/>
        <v>0</v>
      </c>
      <c r="BA244" s="401" t="b">
        <f t="shared" si="91"/>
        <v>0</v>
      </c>
      <c r="BC244" t="str">
        <f>'Ashed teabags wet'!A242</f>
        <v>G682</v>
      </c>
      <c r="BD244" t="str">
        <f>'Ashed teabags wet'!A659</f>
        <v>R477</v>
      </c>
      <c r="BE244" t="b">
        <f t="shared" si="92"/>
        <v>0</v>
      </c>
      <c r="BF244" t="b">
        <f t="shared" si="93"/>
        <v>0</v>
      </c>
      <c r="BG244">
        <f>IFERROR('Ashed teabags wet'!C242,"")</f>
        <v>124</v>
      </c>
      <c r="BH244">
        <f>IFERROR('Ashed teabags wet'!C659,"")</f>
        <v>132</v>
      </c>
      <c r="BI244" t="str">
        <f>'Ashed teabags wet'!AB242</f>
        <v/>
      </c>
      <c r="BJ244">
        <f>'Ashed teabags wet'!AC242</f>
        <v>123</v>
      </c>
      <c r="BK244" t="str">
        <f>'Ashed teabags wet'!AD659</f>
        <v/>
      </c>
      <c r="BL244">
        <f>'Ashed teabags wet'!AE659</f>
        <v>131</v>
      </c>
      <c r="BN244" t="str">
        <f t="shared" si="94"/>
        <v>G681</v>
      </c>
      <c r="BO244" t="b">
        <f t="shared" si="95"/>
        <v>1</v>
      </c>
    </row>
    <row r="245" spans="2:68" ht="12" customHeight="1">
      <c r="B245" t="str">
        <f>TBIDry!H317</f>
        <v>G750</v>
      </c>
      <c r="C245" t="str">
        <f>TBIDry!I317</f>
        <v>R646</v>
      </c>
      <c r="D245" t="b">
        <f t="shared" si="72"/>
        <v>0</v>
      </c>
      <c r="E245" t="b">
        <f t="shared" si="73"/>
        <v>0</v>
      </c>
      <c r="G245" t="str">
        <f>TBIWet!H317</f>
        <v>G552</v>
      </c>
      <c r="H245" t="str">
        <f>TBIWet!I317</f>
        <v>R45</v>
      </c>
      <c r="I245" t="b">
        <f t="shared" si="74"/>
        <v>0</v>
      </c>
      <c r="J245" t="b">
        <f t="shared" si="75"/>
        <v>0</v>
      </c>
      <c r="L245" t="str">
        <f>'Both teabags AfterWet'!A244</f>
        <v>G682</v>
      </c>
      <c r="M245" t="str">
        <f>'Both teabags AfterWet'!A662</f>
        <v>R458</v>
      </c>
      <c r="N245" t="b">
        <f t="shared" si="76"/>
        <v>0</v>
      </c>
      <c r="O245" t="b">
        <f t="shared" si="77"/>
        <v>0</v>
      </c>
      <c r="P245">
        <f>IFERROR('Both teabags AfterWet'!B244,"")</f>
        <v>124</v>
      </c>
      <c r="Q245">
        <f>'Both teabags AfterWet'!B662</f>
        <v>175</v>
      </c>
      <c r="S245" s="401" t="b">
        <f t="shared" si="78"/>
        <v>0</v>
      </c>
      <c r="T245" s="401" t="b">
        <f t="shared" si="79"/>
        <v>0</v>
      </c>
      <c r="V245" t="str">
        <f>'Both teabags AfterDry'!A244</f>
        <v>G490</v>
      </c>
      <c r="W245" t="str">
        <f>'Both teabags AfterDry'!A581</f>
        <v>R729</v>
      </c>
      <c r="X245" t="b">
        <f t="shared" si="80"/>
        <v>0</v>
      </c>
      <c r="Y245" t="b">
        <f t="shared" si="81"/>
        <v>0</v>
      </c>
      <c r="AA245" t="str">
        <f>'Green_rooibos initial weight'!A246</f>
        <v>G242</v>
      </c>
      <c r="AB245" t="str">
        <f>'Green_rooibos initial weight'!A1150</f>
        <v>R242</v>
      </c>
      <c r="AC245" t="b">
        <f t="shared" si="82"/>
        <v>0</v>
      </c>
      <c r="AD245" t="b">
        <f t="shared" si="83"/>
        <v>0</v>
      </c>
      <c r="AG245" t="str">
        <f>'WetLitterbags placem_collection'!O24</f>
        <v>G552</v>
      </c>
      <c r="AH245" t="str">
        <f>'WetLitterbags placem_collection'!Q24</f>
        <v>R45</v>
      </c>
      <c r="AI245" t="b">
        <f t="shared" si="84"/>
        <v>0</v>
      </c>
      <c r="AJ245" t="b">
        <f t="shared" si="85"/>
        <v>0</v>
      </c>
      <c r="AK245">
        <f>'WetLitterbags placem_collection'!A24</f>
        <v>22</v>
      </c>
      <c r="AL245">
        <f>'WetLitterbags placem_collection'!A24</f>
        <v>22</v>
      </c>
      <c r="AN245">
        <f>IF('Dry_Litterbag Placem_Collection'!L24=0,"",'Dry_Litterbag Placem_Collection'!L24)</f>
        <v>750</v>
      </c>
      <c r="AO245">
        <f>IF('Dry_Litterbag Placem_Collection'!M24=0,"",'Dry_Litterbag Placem_Collection'!M24)</f>
        <v>646</v>
      </c>
      <c r="AP245" t="b">
        <f t="shared" si="86"/>
        <v>0</v>
      </c>
      <c r="AQ245" t="b">
        <f t="shared" si="87"/>
        <v>0</v>
      </c>
      <c r="AT245" t="str">
        <f>'Ashed teabags dry'!A243</f>
        <v>G493</v>
      </c>
      <c r="AU245" t="str">
        <f>'Ashed teabags dry'!A580</f>
        <v>R728</v>
      </c>
      <c r="AV245" t="b">
        <f t="shared" si="88"/>
        <v>0</v>
      </c>
      <c r="AW245" t="b">
        <f t="shared" si="89"/>
        <v>0</v>
      </c>
      <c r="AZ245" s="401" t="b">
        <f t="shared" si="90"/>
        <v>0</v>
      </c>
      <c r="BA245" s="401" t="b">
        <f t="shared" si="91"/>
        <v>0</v>
      </c>
      <c r="BC245" t="str">
        <f>'Ashed teabags wet'!A243</f>
        <v>G684</v>
      </c>
      <c r="BD245" t="str">
        <f>'Ashed teabags wet'!A660</f>
        <v>R479</v>
      </c>
      <c r="BE245" t="b">
        <f t="shared" si="92"/>
        <v>0</v>
      </c>
      <c r="BF245" t="b">
        <f t="shared" si="93"/>
        <v>0</v>
      </c>
      <c r="BG245">
        <f>IFERROR('Ashed teabags wet'!C243,"")</f>
        <v>154</v>
      </c>
      <c r="BH245">
        <f>IFERROR('Ashed teabags wet'!C660,"")</f>
        <v>153</v>
      </c>
      <c r="BI245" t="str">
        <f>'Ashed teabags wet'!AB243</f>
        <v/>
      </c>
      <c r="BJ245">
        <f>'Ashed teabags wet'!AC243</f>
        <v>153</v>
      </c>
      <c r="BK245">
        <f>'Ashed teabags wet'!AD660</f>
        <v>152</v>
      </c>
      <c r="BL245" t="str">
        <f>'Ashed teabags wet'!AE660</f>
        <v/>
      </c>
      <c r="BN245" t="str">
        <f t="shared" si="94"/>
        <v>G682</v>
      </c>
      <c r="BO245" t="b">
        <f t="shared" si="95"/>
        <v>1</v>
      </c>
    </row>
    <row r="246" spans="2:68" ht="12" customHeight="1">
      <c r="B246" t="str">
        <f>TBIDry!H318</f>
        <v/>
      </c>
      <c r="C246" t="str">
        <f>TBIDry!I318</f>
        <v/>
      </c>
      <c r="D246" t="b">
        <f t="shared" si="72"/>
        <v>1</v>
      </c>
      <c r="E246" t="b">
        <f t="shared" si="73"/>
        <v>1</v>
      </c>
      <c r="G246" t="str">
        <f>TBIWet!H318</f>
        <v>G456</v>
      </c>
      <c r="H246" t="str">
        <f>TBIWet!I318</f>
        <v>R132</v>
      </c>
      <c r="I246" t="b">
        <f t="shared" si="74"/>
        <v>0</v>
      </c>
      <c r="J246" t="b">
        <f t="shared" si="75"/>
        <v>0</v>
      </c>
      <c r="L246" t="str">
        <f>'Both teabags AfterWet'!A245</f>
        <v>G684</v>
      </c>
      <c r="M246" t="str">
        <f>'Both teabags AfterWet'!A663</f>
        <v>R459</v>
      </c>
      <c r="N246" t="b">
        <f t="shared" si="76"/>
        <v>0</v>
      </c>
      <c r="O246" t="b">
        <f t="shared" si="77"/>
        <v>0</v>
      </c>
      <c r="P246">
        <f>IFERROR('Both teabags AfterWet'!B245,"")</f>
        <v>154</v>
      </c>
      <c r="Q246">
        <f>'Both teabags AfterWet'!B663</f>
        <v>116</v>
      </c>
      <c r="S246" s="401" t="b">
        <f t="shared" si="78"/>
        <v>0</v>
      </c>
      <c r="T246" s="401" t="b">
        <f t="shared" si="79"/>
        <v>0</v>
      </c>
      <c r="V246" t="str">
        <f>'Both teabags AfterDry'!A245</f>
        <v>G5</v>
      </c>
      <c r="W246" t="str">
        <f>'Both teabags AfterDry'!A582</f>
        <v>R732</v>
      </c>
      <c r="X246" t="b">
        <f t="shared" si="80"/>
        <v>0</v>
      </c>
      <c r="Y246" t="b">
        <f t="shared" si="81"/>
        <v>0</v>
      </c>
      <c r="AA246" t="str">
        <f>'Green_rooibos initial weight'!A247</f>
        <v>G243</v>
      </c>
      <c r="AB246" t="str">
        <f>'Green_rooibos initial weight'!A1151</f>
        <v>R243</v>
      </c>
      <c r="AC246" t="b">
        <f t="shared" si="82"/>
        <v>0</v>
      </c>
      <c r="AD246" t="b">
        <f t="shared" si="83"/>
        <v>0</v>
      </c>
      <c r="AG246" t="str">
        <f>'WetLitterbags placem_collection'!O25</f>
        <v>G456</v>
      </c>
      <c r="AH246" t="str">
        <f>'WetLitterbags placem_collection'!Q25</f>
        <v>R132</v>
      </c>
      <c r="AI246" t="b">
        <f t="shared" si="84"/>
        <v>0</v>
      </c>
      <c r="AJ246" t="b">
        <f t="shared" si="85"/>
        <v>0</v>
      </c>
      <c r="AK246">
        <f>'WetLitterbags placem_collection'!A25</f>
        <v>23</v>
      </c>
      <c r="AL246">
        <f>'WetLitterbags placem_collection'!A25</f>
        <v>23</v>
      </c>
      <c r="AN246" t="str">
        <f>IF('Dry_Litterbag Placem_Collection'!L25=0,"",'Dry_Litterbag Placem_Collection'!L25)</f>
        <v/>
      </c>
      <c r="AO246" t="str">
        <f>IF('Dry_Litterbag Placem_Collection'!M25=0,"",'Dry_Litterbag Placem_Collection'!M25)</f>
        <v/>
      </c>
      <c r="AP246" t="b">
        <f t="shared" si="86"/>
        <v>1</v>
      </c>
      <c r="AQ246" t="b">
        <f t="shared" si="87"/>
        <v>1</v>
      </c>
      <c r="AT246" t="str">
        <f>'Ashed teabags dry'!A244</f>
        <v>G5</v>
      </c>
      <c r="AU246" t="str">
        <f>'Ashed teabags dry'!A581</f>
        <v>R729</v>
      </c>
      <c r="AV246" t="b">
        <f t="shared" si="88"/>
        <v>0</v>
      </c>
      <c r="AW246" t="b">
        <f t="shared" si="89"/>
        <v>0</v>
      </c>
      <c r="AZ246" s="401" t="b">
        <f t="shared" si="90"/>
        <v>0</v>
      </c>
      <c r="BA246" s="401" t="b">
        <f t="shared" si="91"/>
        <v>0</v>
      </c>
      <c r="BC246" t="str">
        <f>'Ashed teabags wet'!A244</f>
        <v>G685</v>
      </c>
      <c r="BD246" t="str">
        <f>'Ashed teabags wet'!A661</f>
        <v>R48</v>
      </c>
      <c r="BE246" t="b">
        <f t="shared" si="92"/>
        <v>0</v>
      </c>
      <c r="BF246" t="b">
        <f t="shared" si="93"/>
        <v>0</v>
      </c>
      <c r="BG246">
        <f>IFERROR('Ashed teabags wet'!C244,"")</f>
        <v>15</v>
      </c>
      <c r="BH246">
        <f>IFERROR('Ashed teabags wet'!C661,"")</f>
        <v>58</v>
      </c>
      <c r="BI246" t="str">
        <f>'Ashed teabags wet'!AB244</f>
        <v/>
      </c>
      <c r="BJ246">
        <f>'Ashed teabags wet'!AC244</f>
        <v>14</v>
      </c>
      <c r="BK246">
        <f>'Ashed teabags wet'!AD661</f>
        <v>57</v>
      </c>
      <c r="BL246" t="str">
        <f>'Ashed teabags wet'!AE661</f>
        <v/>
      </c>
      <c r="BN246" t="str">
        <f t="shared" si="94"/>
        <v>G684</v>
      </c>
      <c r="BO246" t="b">
        <f t="shared" si="95"/>
        <v>1</v>
      </c>
    </row>
    <row r="247" spans="2:68" ht="12" customHeight="1">
      <c r="B247" t="str">
        <f>TBIDry!H319</f>
        <v>G562</v>
      </c>
      <c r="C247" t="str">
        <f>TBIDry!I319</f>
        <v>R650</v>
      </c>
      <c r="D247" t="b">
        <f t="shared" si="72"/>
        <v>0</v>
      </c>
      <c r="E247" t="b">
        <f t="shared" si="73"/>
        <v>0</v>
      </c>
      <c r="G247" t="str">
        <f>TBIWet!H319</f>
        <v>G421</v>
      </c>
      <c r="H247" t="str">
        <f>TBIWet!I319</f>
        <v>R71</v>
      </c>
      <c r="I247" t="b">
        <f t="shared" si="74"/>
        <v>0</v>
      </c>
      <c r="J247" t="b">
        <f t="shared" si="75"/>
        <v>0</v>
      </c>
      <c r="L247" t="str">
        <f>'Both teabags AfterWet'!A246</f>
        <v>G685</v>
      </c>
      <c r="M247" t="str">
        <f>'Both teabags AfterWet'!A664</f>
        <v>R46</v>
      </c>
      <c r="N247" t="b">
        <f t="shared" si="76"/>
        <v>0</v>
      </c>
      <c r="O247" t="b">
        <f t="shared" si="77"/>
        <v>0</v>
      </c>
      <c r="P247">
        <f>IFERROR('Both teabags AfterWet'!B246,"")</f>
        <v>15</v>
      </c>
      <c r="Q247">
        <f>'Both teabags AfterWet'!B664</f>
        <v>129</v>
      </c>
      <c r="S247" s="401" t="b">
        <f t="shared" si="78"/>
        <v>0</v>
      </c>
      <c r="T247" s="401" t="b">
        <f t="shared" si="79"/>
        <v>0</v>
      </c>
      <c r="V247" t="str">
        <f>'Both teabags AfterDry'!A246</f>
        <v>G50</v>
      </c>
      <c r="W247" t="str">
        <f>'Both teabags AfterDry'!A583</f>
        <v>R733</v>
      </c>
      <c r="X247" t="b">
        <f t="shared" si="80"/>
        <v>0</v>
      </c>
      <c r="Y247" t="b">
        <f t="shared" si="81"/>
        <v>0</v>
      </c>
      <c r="AA247" t="str">
        <f>'Green_rooibos initial weight'!A248</f>
        <v>G244</v>
      </c>
      <c r="AB247" t="str">
        <f>'Green_rooibos initial weight'!A1152</f>
        <v>R244</v>
      </c>
      <c r="AC247" t="b">
        <f t="shared" si="82"/>
        <v>0</v>
      </c>
      <c r="AD247" t="b">
        <f t="shared" si="83"/>
        <v>0</v>
      </c>
      <c r="AG247" t="str">
        <f>'WetLitterbags placem_collection'!O26</f>
        <v>G421</v>
      </c>
      <c r="AH247" t="str">
        <f>'WetLitterbags placem_collection'!Q26</f>
        <v>R71</v>
      </c>
      <c r="AI247" t="b">
        <f t="shared" si="84"/>
        <v>0</v>
      </c>
      <c r="AJ247" t="b">
        <f t="shared" si="85"/>
        <v>0</v>
      </c>
      <c r="AK247">
        <f>'WetLitterbags placem_collection'!A26</f>
        <v>24</v>
      </c>
      <c r="AL247">
        <f>'WetLitterbags placem_collection'!A26</f>
        <v>24</v>
      </c>
      <c r="AN247">
        <f>IF('Dry_Litterbag Placem_Collection'!L26=0,"",'Dry_Litterbag Placem_Collection'!L26)</f>
        <v>562</v>
      </c>
      <c r="AO247">
        <f>IF('Dry_Litterbag Placem_Collection'!M26=0,"",'Dry_Litterbag Placem_Collection'!M26)</f>
        <v>650</v>
      </c>
      <c r="AP247" t="b">
        <f t="shared" si="86"/>
        <v>0</v>
      </c>
      <c r="AQ247" t="b">
        <f t="shared" si="87"/>
        <v>0</v>
      </c>
      <c r="AT247" t="str">
        <f>'Ashed teabags dry'!A245</f>
        <v>G50</v>
      </c>
      <c r="AU247" t="str">
        <f>'Ashed teabags dry'!A582</f>
        <v>R732</v>
      </c>
      <c r="AV247" t="b">
        <f t="shared" si="88"/>
        <v>0</v>
      </c>
      <c r="AW247" t="b">
        <f t="shared" si="89"/>
        <v>0</v>
      </c>
      <c r="AZ247" s="401" t="b">
        <f t="shared" si="90"/>
        <v>0</v>
      </c>
      <c r="BA247" s="401" t="b">
        <f t="shared" si="91"/>
        <v>0</v>
      </c>
      <c r="BC247" t="str">
        <f>'Ashed teabags wet'!A245</f>
        <v>G686</v>
      </c>
      <c r="BD247" t="str">
        <f>'Ashed teabags wet'!A662</f>
        <v>R480</v>
      </c>
      <c r="BE247" t="b">
        <f t="shared" si="92"/>
        <v>0</v>
      </c>
      <c r="BF247" t="b">
        <f t="shared" si="93"/>
        <v>0</v>
      </c>
      <c r="BG247">
        <f>IFERROR('Ashed teabags wet'!C245,"")</f>
        <v>164</v>
      </c>
      <c r="BH247">
        <f>IFERROR('Ashed teabags wet'!C662,"")</f>
        <v>116</v>
      </c>
      <c r="BI247">
        <f>'Ashed teabags wet'!AB245</f>
        <v>163</v>
      </c>
      <c r="BJ247" t="str">
        <f>'Ashed teabags wet'!AC245</f>
        <v/>
      </c>
      <c r="BK247" t="str">
        <f>'Ashed teabags wet'!AD662</f>
        <v/>
      </c>
      <c r="BL247">
        <f>'Ashed teabags wet'!AE662</f>
        <v>115</v>
      </c>
      <c r="BN247" t="str">
        <f t="shared" si="94"/>
        <v>G685</v>
      </c>
      <c r="BO247" t="b">
        <f t="shared" si="95"/>
        <v>1</v>
      </c>
    </row>
    <row r="248" spans="2:68" ht="12" customHeight="1">
      <c r="B248" t="str">
        <f>TBIDry!H320</f>
        <v>G156</v>
      </c>
      <c r="C248" t="str">
        <f>TBIDry!I320</f>
        <v>R230</v>
      </c>
      <c r="D248" t="b">
        <f t="shared" si="72"/>
        <v>0</v>
      </c>
      <c r="E248" t="b">
        <f t="shared" si="73"/>
        <v>0</v>
      </c>
      <c r="G248" t="str">
        <f>TBIWet!H320</f>
        <v>G864</v>
      </c>
      <c r="H248" t="str">
        <f>TBIWet!I320</f>
        <v>R104</v>
      </c>
      <c r="I248" t="b">
        <f t="shared" si="74"/>
        <v>0</v>
      </c>
      <c r="J248" t="b">
        <f t="shared" si="75"/>
        <v>0</v>
      </c>
      <c r="L248" t="str">
        <f>'Both teabags AfterWet'!A247</f>
        <v>G686</v>
      </c>
      <c r="M248" t="str">
        <f>'Both teabags AfterWet'!A665</f>
        <v>R460</v>
      </c>
      <c r="N248" t="b">
        <f t="shared" si="76"/>
        <v>0</v>
      </c>
      <c r="O248" t="b">
        <f t="shared" si="77"/>
        <v>0</v>
      </c>
      <c r="P248">
        <f>IFERROR('Both teabags AfterWet'!B247,"")</f>
        <v>64</v>
      </c>
      <c r="Q248">
        <f>'Both teabags AfterWet'!B665</f>
        <v>142</v>
      </c>
      <c r="S248" s="401" t="b">
        <f t="shared" si="78"/>
        <v>0</v>
      </c>
      <c r="T248" s="401" t="b">
        <f t="shared" si="79"/>
        <v>0</v>
      </c>
      <c r="V248" t="str">
        <f>'Both teabags AfterDry'!A247</f>
        <v>G501</v>
      </c>
      <c r="W248" t="str">
        <f>'Both teabags AfterDry'!A584</f>
        <v>R734</v>
      </c>
      <c r="X248" t="b">
        <f t="shared" si="80"/>
        <v>0</v>
      </c>
      <c r="Y248" t="b">
        <f t="shared" si="81"/>
        <v>0</v>
      </c>
      <c r="AA248" t="str">
        <f>'Green_rooibos initial weight'!A249</f>
        <v>G245</v>
      </c>
      <c r="AB248" t="str">
        <f>'Green_rooibos initial weight'!A1153</f>
        <v>R245</v>
      </c>
      <c r="AC248" t="b">
        <f t="shared" si="82"/>
        <v>0</v>
      </c>
      <c r="AD248" t="b">
        <f t="shared" si="83"/>
        <v>0</v>
      </c>
      <c r="AG248" t="str">
        <f>'WetLitterbags placem_collection'!O27</f>
        <v>G864</v>
      </c>
      <c r="AH248" t="str">
        <f>'WetLitterbags placem_collection'!Q27</f>
        <v>R104</v>
      </c>
      <c r="AI248" t="b">
        <f t="shared" si="84"/>
        <v>0</v>
      </c>
      <c r="AJ248" t="b">
        <f t="shared" si="85"/>
        <v>0</v>
      </c>
      <c r="AK248">
        <f>'WetLitterbags placem_collection'!A27</f>
        <v>25</v>
      </c>
      <c r="AL248">
        <f>'WetLitterbags placem_collection'!A27</f>
        <v>25</v>
      </c>
      <c r="AN248">
        <f>IF('Dry_Litterbag Placem_Collection'!L27=0,"",'Dry_Litterbag Placem_Collection'!L27)</f>
        <v>156</v>
      </c>
      <c r="AO248">
        <f>IF('Dry_Litterbag Placem_Collection'!M27=0,"",'Dry_Litterbag Placem_Collection'!M27)</f>
        <v>230</v>
      </c>
      <c r="AP248" t="b">
        <f t="shared" si="86"/>
        <v>0</v>
      </c>
      <c r="AQ248" t="b">
        <f t="shared" si="87"/>
        <v>0</v>
      </c>
      <c r="AT248" t="str">
        <f>'Ashed teabags dry'!A246</f>
        <v>G501</v>
      </c>
      <c r="AU248" t="str">
        <f>'Ashed teabags dry'!A583</f>
        <v>R733</v>
      </c>
      <c r="AV248" t="b">
        <f t="shared" si="88"/>
        <v>0</v>
      </c>
      <c r="AW248" t="b">
        <f t="shared" si="89"/>
        <v>0</v>
      </c>
      <c r="AZ248" s="401" t="b">
        <f t="shared" si="90"/>
        <v>0</v>
      </c>
      <c r="BA248" s="401" t="b">
        <f t="shared" si="91"/>
        <v>0</v>
      </c>
      <c r="BC248" t="str">
        <f>'Ashed teabags wet'!A246</f>
        <v>G687</v>
      </c>
      <c r="BD248" t="str">
        <f>'Ashed teabags wet'!A663</f>
        <v>R481</v>
      </c>
      <c r="BE248" t="b">
        <f t="shared" si="92"/>
        <v>0</v>
      </c>
      <c r="BF248" t="b">
        <f t="shared" si="93"/>
        <v>0</v>
      </c>
      <c r="BG248">
        <f>IFERROR('Ashed teabags wet'!C246,"")</f>
        <v>127</v>
      </c>
      <c r="BH248">
        <f>IFERROR('Ashed teabags wet'!C663,"")</f>
        <v>175</v>
      </c>
      <c r="BI248" t="str">
        <f>'Ashed teabags wet'!AB246</f>
        <v/>
      </c>
      <c r="BJ248">
        <f>'Ashed teabags wet'!AC246</f>
        <v>126</v>
      </c>
      <c r="BK248" t="str">
        <f>'Ashed teabags wet'!AD663</f>
        <v/>
      </c>
      <c r="BL248">
        <f>'Ashed teabags wet'!AE663</f>
        <v>174</v>
      </c>
      <c r="BN248" t="str">
        <f t="shared" si="94"/>
        <v>G686</v>
      </c>
      <c r="BO248" t="b">
        <f t="shared" si="95"/>
        <v>1</v>
      </c>
    </row>
    <row r="249" spans="2:68" ht="12" customHeight="1">
      <c r="B249" t="str">
        <f>TBIDry!H321</f>
        <v>G555</v>
      </c>
      <c r="C249" t="str">
        <f>TBIDry!I321</f>
        <v>R642</v>
      </c>
      <c r="D249" t="b">
        <f t="shared" si="72"/>
        <v>0</v>
      </c>
      <c r="E249" t="b">
        <f t="shared" si="73"/>
        <v>0</v>
      </c>
      <c r="G249" t="str">
        <f>TBIWet!H321</f>
        <v>G506</v>
      </c>
      <c r="H249" t="str">
        <f>TBIWet!I321</f>
        <v>R189</v>
      </c>
      <c r="I249" t="b">
        <f t="shared" si="74"/>
        <v>0</v>
      </c>
      <c r="J249" t="b">
        <f t="shared" si="75"/>
        <v>0</v>
      </c>
      <c r="L249" t="str">
        <f>'Both teabags AfterWet'!A248</f>
        <v>G687</v>
      </c>
      <c r="M249" t="str">
        <f>'Both teabags AfterWet'!A666</f>
        <v>R461</v>
      </c>
      <c r="N249" t="b">
        <f t="shared" si="76"/>
        <v>0</v>
      </c>
      <c r="O249" t="b">
        <f t="shared" si="77"/>
        <v>0</v>
      </c>
      <c r="P249">
        <f>IFERROR('Both teabags AfterWet'!B248,"")</f>
        <v>127</v>
      </c>
      <c r="Q249">
        <f>'Both teabags AfterWet'!B666</f>
        <v>160</v>
      </c>
      <c r="S249" s="401" t="b">
        <f t="shared" si="78"/>
        <v>0</v>
      </c>
      <c r="T249" s="401" t="b">
        <f t="shared" si="79"/>
        <v>0</v>
      </c>
      <c r="V249" t="str">
        <f>'Both teabags AfterDry'!A248</f>
        <v>G51</v>
      </c>
      <c r="W249" t="str">
        <f>'Both teabags AfterDry'!A585</f>
        <v>R735</v>
      </c>
      <c r="X249" t="b">
        <f t="shared" si="80"/>
        <v>0</v>
      </c>
      <c r="Y249" t="b">
        <f t="shared" si="81"/>
        <v>0</v>
      </c>
      <c r="AA249" t="str">
        <f>'Green_rooibos initial weight'!A250</f>
        <v>G246</v>
      </c>
      <c r="AB249" t="str">
        <f>'Green_rooibos initial weight'!A1154</f>
        <v>R246</v>
      </c>
      <c r="AC249" t="b">
        <f t="shared" si="82"/>
        <v>0</v>
      </c>
      <c r="AD249" t="b">
        <f t="shared" si="83"/>
        <v>0</v>
      </c>
      <c r="AG249" t="str">
        <f>'WetLitterbags placem_collection'!O28</f>
        <v>G506</v>
      </c>
      <c r="AH249" t="str">
        <f>'WetLitterbags placem_collection'!Q28</f>
        <v>R189</v>
      </c>
      <c r="AI249" t="b">
        <f t="shared" si="84"/>
        <v>0</v>
      </c>
      <c r="AJ249" t="b">
        <f t="shared" si="85"/>
        <v>0</v>
      </c>
      <c r="AK249">
        <f>'WetLitterbags placem_collection'!A28</f>
        <v>26</v>
      </c>
      <c r="AL249">
        <f>'WetLitterbags placem_collection'!A28</f>
        <v>26</v>
      </c>
      <c r="AN249">
        <f>IF('Dry_Litterbag Placem_Collection'!L28=0,"",'Dry_Litterbag Placem_Collection'!L28)</f>
        <v>555</v>
      </c>
      <c r="AO249">
        <f>IF('Dry_Litterbag Placem_Collection'!M28=0,"",'Dry_Litterbag Placem_Collection'!M28)</f>
        <v>642</v>
      </c>
      <c r="AP249" t="b">
        <f t="shared" si="86"/>
        <v>0</v>
      </c>
      <c r="AQ249" t="b">
        <f t="shared" si="87"/>
        <v>0</v>
      </c>
      <c r="AT249" t="str">
        <f>'Ashed teabags dry'!A247</f>
        <v>G51</v>
      </c>
      <c r="AU249" t="str">
        <f>'Ashed teabags dry'!A584</f>
        <v>R734</v>
      </c>
      <c r="AV249" t="b">
        <f t="shared" si="88"/>
        <v>0</v>
      </c>
      <c r="AW249" t="b">
        <f t="shared" si="89"/>
        <v>0</v>
      </c>
      <c r="AZ249" s="401" t="b">
        <f t="shared" si="90"/>
        <v>0</v>
      </c>
      <c r="BA249" s="401" t="b">
        <f t="shared" si="91"/>
        <v>0</v>
      </c>
      <c r="BC249" t="str">
        <f>'Ashed teabags wet'!A247</f>
        <v>G688</v>
      </c>
      <c r="BD249" t="str">
        <f>'Ashed teabags wet'!A664</f>
        <v>R482</v>
      </c>
      <c r="BE249" t="b">
        <f t="shared" si="92"/>
        <v>0</v>
      </c>
      <c r="BF249" t="b">
        <f t="shared" si="93"/>
        <v>0</v>
      </c>
      <c r="BG249">
        <f>IFERROR('Ashed teabags wet'!C247,"")</f>
        <v>107</v>
      </c>
      <c r="BH249">
        <f>IFERROR('Ashed teabags wet'!C664,"")</f>
        <v>101</v>
      </c>
      <c r="BI249">
        <f>'Ashed teabags wet'!AB247</f>
        <v>106</v>
      </c>
      <c r="BJ249" t="str">
        <f>'Ashed teabags wet'!AC247</f>
        <v/>
      </c>
      <c r="BK249">
        <f>'Ashed teabags wet'!AD664</f>
        <v>100</v>
      </c>
      <c r="BL249" t="str">
        <f>'Ashed teabags wet'!AE664</f>
        <v/>
      </c>
      <c r="BN249" t="str">
        <f t="shared" si="94"/>
        <v>G687</v>
      </c>
      <c r="BO249" t="b">
        <f t="shared" si="95"/>
        <v>1</v>
      </c>
    </row>
    <row r="250" spans="2:68" ht="12" customHeight="1">
      <c r="B250" t="str">
        <f>TBIDry!H322</f>
        <v>G378</v>
      </c>
      <c r="C250" t="str">
        <f>TBIDry!I322</f>
        <v>R199</v>
      </c>
      <c r="D250" t="b">
        <f t="shared" si="72"/>
        <v>0</v>
      </c>
      <c r="E250" t="b">
        <f t="shared" si="73"/>
        <v>0</v>
      </c>
      <c r="G250" t="str">
        <f>TBIWet!H322</f>
        <v>G449</v>
      </c>
      <c r="H250" t="str">
        <f>TBIWet!I322</f>
        <v>R217</v>
      </c>
      <c r="I250" t="b">
        <f t="shared" si="74"/>
        <v>0</v>
      </c>
      <c r="J250" t="b">
        <f t="shared" si="75"/>
        <v>0</v>
      </c>
      <c r="L250" t="str">
        <f>'Both teabags AfterWet'!A249</f>
        <v>G688</v>
      </c>
      <c r="M250" t="str">
        <f>'Both teabags AfterWet'!A667</f>
        <v>R462</v>
      </c>
      <c r="N250" t="b">
        <f t="shared" si="76"/>
        <v>0</v>
      </c>
      <c r="O250" t="b">
        <f t="shared" si="77"/>
        <v>0</v>
      </c>
      <c r="P250">
        <f>IFERROR('Both teabags AfterWet'!B249,"")</f>
        <v>107</v>
      </c>
      <c r="Q250" t="str">
        <f>'Both teabags AfterWet'!B667</f>
        <v>n.a</v>
      </c>
      <c r="S250" s="401" t="b">
        <f t="shared" si="78"/>
        <v>0</v>
      </c>
      <c r="T250" s="401" t="b">
        <f t="shared" si="79"/>
        <v>0</v>
      </c>
      <c r="V250" t="str">
        <f>'Both teabags AfterDry'!A249</f>
        <v>G515</v>
      </c>
      <c r="W250" t="str">
        <f>'Both teabags AfterDry'!A586</f>
        <v>R736</v>
      </c>
      <c r="X250" t="b">
        <f t="shared" si="80"/>
        <v>0</v>
      </c>
      <c r="Y250" t="b">
        <f t="shared" si="81"/>
        <v>0</v>
      </c>
      <c r="AA250" t="str">
        <f>'Green_rooibos initial weight'!A251</f>
        <v>G247</v>
      </c>
      <c r="AB250" t="str">
        <f>'Green_rooibos initial weight'!A1155</f>
        <v>R247</v>
      </c>
      <c r="AC250" t="b">
        <f t="shared" si="82"/>
        <v>0</v>
      </c>
      <c r="AD250" t="b">
        <f t="shared" si="83"/>
        <v>0</v>
      </c>
      <c r="AG250" t="str">
        <f>'WetLitterbags placem_collection'!O29</f>
        <v>G449</v>
      </c>
      <c r="AH250" t="str">
        <f>'WetLitterbags placem_collection'!Q29</f>
        <v>R217</v>
      </c>
      <c r="AI250" t="b">
        <f t="shared" si="84"/>
        <v>0</v>
      </c>
      <c r="AJ250" t="b">
        <f t="shared" si="85"/>
        <v>0</v>
      </c>
      <c r="AK250">
        <f>'WetLitterbags placem_collection'!A29</f>
        <v>27</v>
      </c>
      <c r="AL250">
        <f>'WetLitterbags placem_collection'!A29</f>
        <v>27</v>
      </c>
      <c r="AN250">
        <f>IF('Dry_Litterbag Placem_Collection'!L29=0,"",'Dry_Litterbag Placem_Collection'!L29)</f>
        <v>378</v>
      </c>
      <c r="AO250">
        <f>IF('Dry_Litterbag Placem_Collection'!M29=0,"",'Dry_Litterbag Placem_Collection'!M29)</f>
        <v>199</v>
      </c>
      <c r="AP250" t="b">
        <f t="shared" si="86"/>
        <v>0</v>
      </c>
      <c r="AQ250" t="b">
        <f t="shared" si="87"/>
        <v>0</v>
      </c>
      <c r="AT250" t="str">
        <f>'Ashed teabags dry'!A248</f>
        <v>G515</v>
      </c>
      <c r="AU250" t="str">
        <f>'Ashed teabags dry'!A585</f>
        <v>R735</v>
      </c>
      <c r="AV250" t="b">
        <f t="shared" si="88"/>
        <v>0</v>
      </c>
      <c r="AW250" t="b">
        <f t="shared" si="89"/>
        <v>0</v>
      </c>
      <c r="AZ250" s="401" t="b">
        <f t="shared" si="90"/>
        <v>0</v>
      </c>
      <c r="BA250" s="401" t="b">
        <f t="shared" si="91"/>
        <v>0</v>
      </c>
      <c r="BC250" t="str">
        <f>'Ashed teabags wet'!A248</f>
        <v>G689</v>
      </c>
      <c r="BD250" t="str">
        <f>'Ashed teabags wet'!A665</f>
        <v>R483</v>
      </c>
      <c r="BE250" t="b">
        <f t="shared" si="92"/>
        <v>0</v>
      </c>
      <c r="BF250" t="b">
        <f t="shared" si="93"/>
        <v>0</v>
      </c>
      <c r="BG250">
        <f>IFERROR('Ashed teabags wet'!C248,"")</f>
        <v>146</v>
      </c>
      <c r="BH250">
        <f>IFERROR('Ashed teabags wet'!C665,"")</f>
        <v>137</v>
      </c>
      <c r="BI250">
        <f>'Ashed teabags wet'!AB248</f>
        <v>145</v>
      </c>
      <c r="BJ250" t="str">
        <f>'Ashed teabags wet'!AC248</f>
        <v/>
      </c>
      <c r="BK250" t="str">
        <f>'Ashed teabags wet'!AD665</f>
        <v/>
      </c>
      <c r="BL250">
        <f>'Ashed teabags wet'!AE665</f>
        <v>136</v>
      </c>
      <c r="BN250" t="str">
        <f t="shared" si="94"/>
        <v>G688</v>
      </c>
      <c r="BO250" t="b">
        <f t="shared" si="95"/>
        <v>1</v>
      </c>
    </row>
    <row r="251" spans="2:68" ht="12" customHeight="1">
      <c r="B251" t="str">
        <f>TBIDry!H323</f>
        <v>G46</v>
      </c>
      <c r="C251" t="str">
        <f>TBIDry!I323</f>
        <v>R162</v>
      </c>
      <c r="D251" t="b">
        <f t="shared" si="72"/>
        <v>0</v>
      </c>
      <c r="E251" t="b">
        <f t="shared" si="73"/>
        <v>0</v>
      </c>
      <c r="G251" t="str">
        <f>TBIWet!H323</f>
        <v>G502</v>
      </c>
      <c r="H251" t="str">
        <f>TBIWet!I323</f>
        <v>R172</v>
      </c>
      <c r="I251" t="b">
        <f t="shared" si="74"/>
        <v>0</v>
      </c>
      <c r="J251" t="b">
        <f t="shared" si="75"/>
        <v>0</v>
      </c>
      <c r="L251" t="str">
        <f>'Both teabags AfterWet'!A250</f>
        <v>G689</v>
      </c>
      <c r="M251" t="str">
        <f>'Both teabags AfterWet'!A668</f>
        <v>R463</v>
      </c>
      <c r="N251" t="b">
        <f t="shared" si="76"/>
        <v>0</v>
      </c>
      <c r="O251" t="b">
        <f t="shared" si="77"/>
        <v>0</v>
      </c>
      <c r="P251">
        <f>IFERROR('Both teabags AfterWet'!B250,"")</f>
        <v>146</v>
      </c>
      <c r="Q251">
        <f>'Both teabags AfterWet'!B668</f>
        <v>198</v>
      </c>
      <c r="S251" s="401" t="b">
        <f t="shared" si="78"/>
        <v>0</v>
      </c>
      <c r="T251" s="401" t="b">
        <f t="shared" si="79"/>
        <v>0</v>
      </c>
      <c r="V251" t="str">
        <f>'Both teabags AfterDry'!A250</f>
        <v>G517</v>
      </c>
      <c r="W251" t="str">
        <f>'Both teabags AfterDry'!A587</f>
        <v>R737</v>
      </c>
      <c r="X251" t="b">
        <f t="shared" si="80"/>
        <v>0</v>
      </c>
      <c r="Y251" t="b">
        <f t="shared" si="81"/>
        <v>0</v>
      </c>
      <c r="AA251" t="str">
        <f>'Green_rooibos initial weight'!A252</f>
        <v>G248</v>
      </c>
      <c r="AB251" t="str">
        <f>'Green_rooibos initial weight'!A1156</f>
        <v>R248</v>
      </c>
      <c r="AC251" t="b">
        <f t="shared" si="82"/>
        <v>0</v>
      </c>
      <c r="AD251" t="b">
        <f t="shared" si="83"/>
        <v>0</v>
      </c>
      <c r="AG251" t="str">
        <f>'WetLitterbags placem_collection'!O30</f>
        <v>G502</v>
      </c>
      <c r="AH251" t="str">
        <f>'WetLitterbags placem_collection'!Q30</f>
        <v>R172</v>
      </c>
      <c r="AI251" t="b">
        <f t="shared" si="84"/>
        <v>0</v>
      </c>
      <c r="AJ251" t="b">
        <f t="shared" si="85"/>
        <v>0</v>
      </c>
      <c r="AK251">
        <f>'WetLitterbags placem_collection'!A30</f>
        <v>28</v>
      </c>
      <c r="AL251">
        <f>'WetLitterbags placem_collection'!A30</f>
        <v>28</v>
      </c>
      <c r="AN251">
        <f>IF('Dry_Litterbag Placem_Collection'!L30=0,"",'Dry_Litterbag Placem_Collection'!L30)</f>
        <v>46</v>
      </c>
      <c r="AO251">
        <f>IF('Dry_Litterbag Placem_Collection'!M30=0,"",'Dry_Litterbag Placem_Collection'!M30)</f>
        <v>162</v>
      </c>
      <c r="AP251" t="b">
        <f t="shared" si="86"/>
        <v>0</v>
      </c>
      <c r="AQ251" t="b">
        <f t="shared" si="87"/>
        <v>0</v>
      </c>
      <c r="AT251" t="str">
        <f>'Ashed teabags dry'!A249</f>
        <v>G517</v>
      </c>
      <c r="AU251" t="str">
        <f>'Ashed teabags dry'!A586</f>
        <v>R736</v>
      </c>
      <c r="AV251" t="b">
        <f t="shared" si="88"/>
        <v>0</v>
      </c>
      <c r="AW251" t="b">
        <f t="shared" si="89"/>
        <v>0</v>
      </c>
      <c r="AZ251" s="401" t="b">
        <f t="shared" si="90"/>
        <v>0</v>
      </c>
      <c r="BA251" s="401" t="b">
        <f t="shared" si="91"/>
        <v>0</v>
      </c>
      <c r="BC251" t="str">
        <f>'Ashed teabags wet'!A249</f>
        <v>G691</v>
      </c>
      <c r="BD251" t="str">
        <f>'Ashed teabags wet'!A666</f>
        <v>R484</v>
      </c>
      <c r="BE251" t="b">
        <f t="shared" si="92"/>
        <v>0</v>
      </c>
      <c r="BF251" t="b">
        <f t="shared" si="93"/>
        <v>0</v>
      </c>
      <c r="BG251">
        <f>IFERROR('Ashed teabags wet'!C249,"")</f>
        <v>99</v>
      </c>
      <c r="BH251">
        <f>IFERROR('Ashed teabags wet'!C666,"")</f>
        <v>155</v>
      </c>
      <c r="BI251" t="str">
        <f>'Ashed teabags wet'!AB249</f>
        <v/>
      </c>
      <c r="BJ251">
        <f>'Ashed teabags wet'!AC249</f>
        <v>98</v>
      </c>
      <c r="BK251">
        <f>'Ashed teabags wet'!AD666</f>
        <v>154</v>
      </c>
      <c r="BL251" t="str">
        <f>'Ashed teabags wet'!AE666</f>
        <v/>
      </c>
      <c r="BN251" t="str">
        <f t="shared" si="94"/>
        <v>G689</v>
      </c>
      <c r="BO251" t="b">
        <f t="shared" si="95"/>
        <v>1</v>
      </c>
    </row>
    <row r="252" spans="2:68" ht="12" customHeight="1">
      <c r="B252" t="str">
        <f>TBIDry!H324</f>
        <v>G397</v>
      </c>
      <c r="C252" t="str">
        <f>TBIDry!I324</f>
        <v>R163</v>
      </c>
      <c r="D252" t="b">
        <f t="shared" si="72"/>
        <v>0</v>
      </c>
      <c r="E252" t="b">
        <f t="shared" si="73"/>
        <v>0</v>
      </c>
      <c r="G252" t="str">
        <f>TBIWet!H324</f>
        <v>G345</v>
      </c>
      <c r="H252" t="str">
        <f>TBIWet!I324</f>
        <v>R349</v>
      </c>
      <c r="I252" t="b">
        <f t="shared" si="74"/>
        <v>0</v>
      </c>
      <c r="J252" t="b">
        <f t="shared" si="75"/>
        <v>0</v>
      </c>
      <c r="L252" t="str">
        <f>'Both teabags AfterWet'!A251</f>
        <v>G690</v>
      </c>
      <c r="M252" t="str">
        <f>'Both teabags AfterWet'!A669</f>
        <v>R464</v>
      </c>
      <c r="N252" t="b">
        <f t="shared" si="76"/>
        <v>0</v>
      </c>
      <c r="O252" t="b">
        <f t="shared" si="77"/>
        <v>0</v>
      </c>
      <c r="P252">
        <f>IFERROR('Both teabags AfterWet'!B251,"")</f>
        <v>43</v>
      </c>
      <c r="Q252">
        <f>'Both teabags AfterWet'!B669</f>
        <v>156</v>
      </c>
      <c r="S252" s="401" t="b">
        <f t="shared" si="78"/>
        <v>0</v>
      </c>
      <c r="T252" s="401" t="b">
        <f t="shared" si="79"/>
        <v>0</v>
      </c>
      <c r="V252" t="str">
        <f>'Both teabags AfterDry'!A251</f>
        <v>G531</v>
      </c>
      <c r="W252" t="str">
        <f>'Both teabags AfterDry'!A588</f>
        <v>R739</v>
      </c>
      <c r="X252" t="b">
        <f t="shared" si="80"/>
        <v>0</v>
      </c>
      <c r="Y252" t="b">
        <f t="shared" si="81"/>
        <v>0</v>
      </c>
      <c r="AA252" t="str">
        <f>'Green_rooibos initial weight'!A253</f>
        <v>G249</v>
      </c>
      <c r="AB252" t="str">
        <f>'Green_rooibos initial weight'!A1157</f>
        <v>R249</v>
      </c>
      <c r="AC252" t="b">
        <f t="shared" si="82"/>
        <v>0</v>
      </c>
      <c r="AD252" t="b">
        <f t="shared" si="83"/>
        <v>0</v>
      </c>
      <c r="AG252" t="str">
        <f>'WetLitterbags placem_collection'!O31</f>
        <v>G345</v>
      </c>
      <c r="AH252" t="str">
        <f>'WetLitterbags placem_collection'!Q31</f>
        <v>R349</v>
      </c>
      <c r="AI252" t="b">
        <f t="shared" si="84"/>
        <v>0</v>
      </c>
      <c r="AJ252" t="b">
        <f t="shared" si="85"/>
        <v>0</v>
      </c>
      <c r="AK252">
        <f>'WetLitterbags placem_collection'!A31</f>
        <v>29</v>
      </c>
      <c r="AL252">
        <f>'WetLitterbags placem_collection'!A31</f>
        <v>29</v>
      </c>
      <c r="AN252">
        <f>IF('Dry_Litterbag Placem_Collection'!L31=0,"",'Dry_Litterbag Placem_Collection'!L31)</f>
        <v>397</v>
      </c>
      <c r="AO252">
        <f>IF('Dry_Litterbag Placem_Collection'!M31=0,"",'Dry_Litterbag Placem_Collection'!M31)</f>
        <v>163</v>
      </c>
      <c r="AP252" t="b">
        <f t="shared" si="86"/>
        <v>0</v>
      </c>
      <c r="AQ252" t="b">
        <f t="shared" si="87"/>
        <v>0</v>
      </c>
      <c r="AT252" t="str">
        <f>'Ashed teabags dry'!A250</f>
        <v>G531</v>
      </c>
      <c r="AU252" t="str">
        <f>'Ashed teabags dry'!A587</f>
        <v>R737</v>
      </c>
      <c r="AV252" t="b">
        <f t="shared" si="88"/>
        <v>0</v>
      </c>
      <c r="AW252" t="b">
        <f t="shared" si="89"/>
        <v>0</v>
      </c>
      <c r="AZ252" s="401" t="b">
        <f t="shared" si="90"/>
        <v>0</v>
      </c>
      <c r="BA252" s="401" t="b">
        <f t="shared" si="91"/>
        <v>0</v>
      </c>
      <c r="BC252" t="str">
        <f>'Ashed teabags wet'!A250</f>
        <v>G692</v>
      </c>
      <c r="BD252" t="str">
        <f>'Ashed teabags wet'!A667</f>
        <v>R485</v>
      </c>
      <c r="BE252" t="b">
        <f t="shared" si="92"/>
        <v>0</v>
      </c>
      <c r="BF252" t="b">
        <f t="shared" si="93"/>
        <v>0</v>
      </c>
      <c r="BG252">
        <f>IFERROR('Ashed teabags wet'!C250,"")</f>
        <v>103</v>
      </c>
      <c r="BH252">
        <f>IFERROR('Ashed teabags wet'!C667,"")</f>
        <v>154</v>
      </c>
      <c r="BI252" t="str">
        <f>'Ashed teabags wet'!AB250</f>
        <v/>
      </c>
      <c r="BJ252">
        <f>'Ashed teabags wet'!AC250</f>
        <v>102</v>
      </c>
      <c r="BK252" t="str">
        <f>'Ashed teabags wet'!AD667</f>
        <v/>
      </c>
      <c r="BL252">
        <f>'Ashed teabags wet'!AE667</f>
        <v>153</v>
      </c>
      <c r="BN252" t="str">
        <f t="shared" si="94"/>
        <v>G691</v>
      </c>
      <c r="BO252" t="b">
        <f t="shared" si="95"/>
        <v>1</v>
      </c>
    </row>
    <row r="253" spans="2:68" ht="12" customHeight="1">
      <c r="B253" t="str">
        <f>TBIDry!H325</f>
        <v>G166</v>
      </c>
      <c r="C253" t="str">
        <f>TBIDry!I325</f>
        <v>R345</v>
      </c>
      <c r="D253" t="b">
        <f t="shared" si="72"/>
        <v>0</v>
      </c>
      <c r="E253" t="b">
        <f t="shared" si="73"/>
        <v>0</v>
      </c>
      <c r="G253" t="str">
        <f>TBIWet!H325</f>
        <v>G500</v>
      </c>
      <c r="H253" t="str">
        <f>TBIWet!I325</f>
        <v>R296</v>
      </c>
      <c r="I253" t="b">
        <f t="shared" si="74"/>
        <v>0</v>
      </c>
      <c r="J253" t="b">
        <f t="shared" si="75"/>
        <v>0</v>
      </c>
      <c r="L253" t="str">
        <f>'Both teabags AfterWet'!A252</f>
        <v>G691</v>
      </c>
      <c r="M253" t="str">
        <f>'Both teabags AfterWet'!A670</f>
        <v>R465</v>
      </c>
      <c r="N253" t="b">
        <f t="shared" si="76"/>
        <v>0</v>
      </c>
      <c r="O253" t="b">
        <f t="shared" si="77"/>
        <v>0</v>
      </c>
      <c r="P253">
        <f>IFERROR('Both teabags AfterWet'!B252,"")</f>
        <v>99</v>
      </c>
      <c r="Q253">
        <f>'Both teabags AfterWet'!B670</f>
        <v>141</v>
      </c>
      <c r="S253" s="401" t="b">
        <f t="shared" si="78"/>
        <v>0</v>
      </c>
      <c r="T253" s="401" t="b">
        <f t="shared" si="79"/>
        <v>0</v>
      </c>
      <c r="V253" t="str">
        <f>'Both teabags AfterDry'!A252</f>
        <v>G55</v>
      </c>
      <c r="W253" t="str">
        <f>'Both teabags AfterDry'!A589</f>
        <v>R740</v>
      </c>
      <c r="X253" t="b">
        <f t="shared" si="80"/>
        <v>0</v>
      </c>
      <c r="Y253" t="b">
        <f t="shared" si="81"/>
        <v>0</v>
      </c>
      <c r="AA253" t="str">
        <f>'Green_rooibos initial weight'!A254</f>
        <v>G250</v>
      </c>
      <c r="AB253" t="str">
        <f>'Green_rooibos initial weight'!A1158</f>
        <v>R250</v>
      </c>
      <c r="AC253" t="b">
        <f t="shared" si="82"/>
        <v>0</v>
      </c>
      <c r="AD253" t="b">
        <f t="shared" si="83"/>
        <v>0</v>
      </c>
      <c r="AG253" t="str">
        <f>'WetLitterbags placem_collection'!O32</f>
        <v>G500</v>
      </c>
      <c r="AH253" t="str">
        <f>'WetLitterbags placem_collection'!Q32</f>
        <v>R296</v>
      </c>
      <c r="AI253" t="b">
        <f t="shared" si="84"/>
        <v>0</v>
      </c>
      <c r="AJ253" t="b">
        <f t="shared" si="85"/>
        <v>0</v>
      </c>
      <c r="AK253">
        <f>'WetLitterbags placem_collection'!A32</f>
        <v>30</v>
      </c>
      <c r="AL253">
        <f>'WetLitterbags placem_collection'!A32</f>
        <v>30</v>
      </c>
      <c r="AN253">
        <f>IF('Dry_Litterbag Placem_Collection'!L32=0,"",'Dry_Litterbag Placem_Collection'!L32)</f>
        <v>166</v>
      </c>
      <c r="AO253">
        <f>IF('Dry_Litterbag Placem_Collection'!M32=0,"",'Dry_Litterbag Placem_Collection'!M32)</f>
        <v>345</v>
      </c>
      <c r="AP253" t="b">
        <f t="shared" si="86"/>
        <v>0</v>
      </c>
      <c r="AQ253" t="b">
        <f t="shared" si="87"/>
        <v>0</v>
      </c>
      <c r="AT253" t="str">
        <f>'Ashed teabags dry'!A251</f>
        <v>G55</v>
      </c>
      <c r="AU253" t="str">
        <f>'Ashed teabags dry'!A588</f>
        <v>R739</v>
      </c>
      <c r="AV253" t="b">
        <f t="shared" si="88"/>
        <v>0</v>
      </c>
      <c r="AW253" t="b">
        <f t="shared" si="89"/>
        <v>0</v>
      </c>
      <c r="AZ253" s="401" t="b">
        <f t="shared" si="90"/>
        <v>0</v>
      </c>
      <c r="BA253" s="401" t="b">
        <f t="shared" si="91"/>
        <v>0</v>
      </c>
      <c r="BC253" t="str">
        <f>'Ashed teabags wet'!A251</f>
        <v>G693</v>
      </c>
      <c r="BD253" t="str">
        <f>'Ashed teabags wet'!A668</f>
        <v>R486</v>
      </c>
      <c r="BE253" t="b">
        <f t="shared" si="92"/>
        <v>0</v>
      </c>
      <c r="BF253" t="b">
        <f t="shared" si="93"/>
        <v>0</v>
      </c>
      <c r="BG253">
        <f>IFERROR('Ashed teabags wet'!C251,"")</f>
        <v>115</v>
      </c>
      <c r="BH253">
        <f>IFERROR('Ashed teabags wet'!C668,"")</f>
        <v>125</v>
      </c>
      <c r="BI253">
        <f>'Ashed teabags wet'!AB251</f>
        <v>114</v>
      </c>
      <c r="BJ253" t="str">
        <f>'Ashed teabags wet'!AC251</f>
        <v/>
      </c>
      <c r="BK253" t="str">
        <f>'Ashed teabags wet'!AD668</f>
        <v/>
      </c>
      <c r="BL253">
        <f>'Ashed teabags wet'!AE668</f>
        <v>124</v>
      </c>
      <c r="BN253" t="str">
        <f t="shared" si="94"/>
        <v>G692</v>
      </c>
      <c r="BO253" t="b">
        <f t="shared" si="95"/>
        <v>1</v>
      </c>
      <c r="BP253" s="402"/>
    </row>
    <row r="254" spans="2:68" ht="12" customHeight="1">
      <c r="B254" t="str">
        <f>TBIDry!H326</f>
        <v/>
      </c>
      <c r="C254" t="str">
        <f>TBIDry!I326</f>
        <v/>
      </c>
      <c r="D254" t="b">
        <f t="shared" si="72"/>
        <v>1</v>
      </c>
      <c r="E254" t="b">
        <f t="shared" si="73"/>
        <v>1</v>
      </c>
      <c r="G254" t="str">
        <f>TBIWet!H326</f>
        <v>G521</v>
      </c>
      <c r="H254" t="str">
        <f>TBIWet!I326</f>
        <v>R323</v>
      </c>
      <c r="I254" t="b">
        <f t="shared" si="74"/>
        <v>0</v>
      </c>
      <c r="J254" t="b">
        <f t="shared" si="75"/>
        <v>0</v>
      </c>
      <c r="L254" t="str">
        <f>'Both teabags AfterWet'!A253</f>
        <v>G692</v>
      </c>
      <c r="M254" t="str">
        <f>'Both teabags AfterWet'!A671</f>
        <v>R466</v>
      </c>
      <c r="N254" t="b">
        <f t="shared" si="76"/>
        <v>0</v>
      </c>
      <c r="O254" t="b">
        <f t="shared" si="77"/>
        <v>0</v>
      </c>
      <c r="P254">
        <f>IFERROR('Both teabags AfterWet'!B253,"")</f>
        <v>103</v>
      </c>
      <c r="Q254">
        <f>'Both teabags AfterWet'!B671</f>
        <v>123</v>
      </c>
      <c r="S254" s="401" t="b">
        <f t="shared" si="78"/>
        <v>0</v>
      </c>
      <c r="T254" s="401" t="b">
        <f t="shared" si="79"/>
        <v>0</v>
      </c>
      <c r="V254" t="str">
        <f>'Both teabags AfterDry'!A253</f>
        <v>G555</v>
      </c>
      <c r="W254" t="str">
        <f>'Both teabags AfterDry'!A590</f>
        <v>R741</v>
      </c>
      <c r="X254" t="b">
        <f t="shared" si="80"/>
        <v>0</v>
      </c>
      <c r="Y254" t="b">
        <f t="shared" si="81"/>
        <v>0</v>
      </c>
      <c r="AA254" t="str">
        <f>'Green_rooibos initial weight'!A255</f>
        <v>G251</v>
      </c>
      <c r="AB254" t="str">
        <f>'Green_rooibos initial weight'!A1159</f>
        <v>R251</v>
      </c>
      <c r="AC254" t="b">
        <f t="shared" si="82"/>
        <v>0</v>
      </c>
      <c r="AD254" t="b">
        <f t="shared" si="83"/>
        <v>0</v>
      </c>
      <c r="AG254" t="str">
        <f>'WetLitterbags placem_collection'!O33</f>
        <v>G521</v>
      </c>
      <c r="AH254" t="str">
        <f>'WetLitterbags placem_collection'!Q33</f>
        <v>R323</v>
      </c>
      <c r="AI254" t="b">
        <f t="shared" si="84"/>
        <v>0</v>
      </c>
      <c r="AJ254" t="b">
        <f t="shared" si="85"/>
        <v>0</v>
      </c>
      <c r="AK254">
        <f>'WetLitterbags placem_collection'!A33</f>
        <v>31</v>
      </c>
      <c r="AL254">
        <f>'WetLitterbags placem_collection'!A33</f>
        <v>31</v>
      </c>
      <c r="AN254" t="str">
        <f>IF('Dry_Litterbag Placem_Collection'!L33=0,"",'Dry_Litterbag Placem_Collection'!L33)</f>
        <v/>
      </c>
      <c r="AO254" t="str">
        <f>IF('Dry_Litterbag Placem_Collection'!M33=0,"",'Dry_Litterbag Placem_Collection'!M33)</f>
        <v/>
      </c>
      <c r="AP254" t="b">
        <f t="shared" si="86"/>
        <v>1</v>
      </c>
      <c r="AQ254" t="b">
        <f t="shared" si="87"/>
        <v>1</v>
      </c>
      <c r="AT254" t="str">
        <f>'Ashed teabags dry'!A252</f>
        <v>G555</v>
      </c>
      <c r="AU254" t="str">
        <f>'Ashed teabags dry'!A589</f>
        <v>R740</v>
      </c>
      <c r="AV254" t="b">
        <f t="shared" si="88"/>
        <v>0</v>
      </c>
      <c r="AW254" t="b">
        <f t="shared" si="89"/>
        <v>0</v>
      </c>
      <c r="AZ254" s="401" t="b">
        <f t="shared" si="90"/>
        <v>0</v>
      </c>
      <c r="BA254" s="401" t="b">
        <f t="shared" si="91"/>
        <v>0</v>
      </c>
      <c r="BC254" t="str">
        <f>'Ashed teabags wet'!A252</f>
        <v>G694</v>
      </c>
      <c r="BD254" t="str">
        <f>'Ashed teabags wet'!A669</f>
        <v>R487</v>
      </c>
      <c r="BE254" t="b">
        <f t="shared" si="92"/>
        <v>0</v>
      </c>
      <c r="BF254" t="b">
        <f t="shared" si="93"/>
        <v>0</v>
      </c>
      <c r="BG254">
        <f>IFERROR('Ashed teabags wet'!C252,"")</f>
        <v>123</v>
      </c>
      <c r="BH254">
        <f>IFERROR('Ashed teabags wet'!C669,"")</f>
        <v>111</v>
      </c>
      <c r="BI254">
        <f>'Ashed teabags wet'!AB252</f>
        <v>122</v>
      </c>
      <c r="BJ254" t="str">
        <f>'Ashed teabags wet'!AC252</f>
        <v/>
      </c>
      <c r="BK254" t="str">
        <f>'Ashed teabags wet'!AD669</f>
        <v/>
      </c>
      <c r="BL254">
        <f>'Ashed teabags wet'!AE669</f>
        <v>110</v>
      </c>
      <c r="BN254" t="str">
        <f t="shared" si="94"/>
        <v>G693</v>
      </c>
      <c r="BO254" t="b">
        <f t="shared" si="95"/>
        <v>1</v>
      </c>
    </row>
    <row r="255" spans="2:68" ht="12" customHeight="1">
      <c r="B255" t="str">
        <f>TBIDry!H327</f>
        <v>G293</v>
      </c>
      <c r="C255" t="str">
        <f>TBIDry!I327</f>
        <v>R660</v>
      </c>
      <c r="D255" t="b">
        <f t="shared" si="72"/>
        <v>0</v>
      </c>
      <c r="E255" t="b">
        <f t="shared" si="73"/>
        <v>0</v>
      </c>
      <c r="G255" t="str">
        <f>TBIWet!H327</f>
        <v>G201</v>
      </c>
      <c r="H255" t="str">
        <f>TBIWet!I327</f>
        <v>R156</v>
      </c>
      <c r="I255" t="b">
        <f t="shared" si="74"/>
        <v>0</v>
      </c>
      <c r="J255" t="b">
        <f t="shared" si="75"/>
        <v>0</v>
      </c>
      <c r="L255" t="str">
        <f>'Both teabags AfterWet'!A254</f>
        <v>G693</v>
      </c>
      <c r="M255" t="str">
        <f>'Both teabags AfterWet'!A672</f>
        <v>R467</v>
      </c>
      <c r="N255" t="b">
        <f t="shared" si="76"/>
        <v>0</v>
      </c>
      <c r="O255" t="b">
        <f t="shared" si="77"/>
        <v>0</v>
      </c>
      <c r="P255">
        <f>IFERROR('Both teabags AfterWet'!B254,"")</f>
        <v>115</v>
      </c>
      <c r="Q255">
        <f>'Both teabags AfterWet'!B672</f>
        <v>134</v>
      </c>
      <c r="S255" s="401" t="b">
        <f t="shared" si="78"/>
        <v>0</v>
      </c>
      <c r="T255" s="401" t="b">
        <f t="shared" si="79"/>
        <v>0</v>
      </c>
      <c r="V255" t="str">
        <f>'Both teabags AfterDry'!A254</f>
        <v>G558</v>
      </c>
      <c r="W255" t="str">
        <f>'Both teabags AfterDry'!A591</f>
        <v>R742</v>
      </c>
      <c r="X255" t="b">
        <f t="shared" si="80"/>
        <v>0</v>
      </c>
      <c r="Y255" t="b">
        <f t="shared" si="81"/>
        <v>0</v>
      </c>
      <c r="AA255" t="str">
        <f>'Green_rooibos initial weight'!A256</f>
        <v>G252</v>
      </c>
      <c r="AB255" t="str">
        <f>'Green_rooibos initial weight'!A1160</f>
        <v>R252</v>
      </c>
      <c r="AC255" t="b">
        <f t="shared" si="82"/>
        <v>0</v>
      </c>
      <c r="AD255" t="b">
        <f t="shared" si="83"/>
        <v>0</v>
      </c>
      <c r="AG255" t="str">
        <f>'WetLitterbags placem_collection'!O34</f>
        <v>G201</v>
      </c>
      <c r="AH255" t="str">
        <f>'WetLitterbags placem_collection'!Q34</f>
        <v>R156</v>
      </c>
      <c r="AI255" t="b">
        <f t="shared" si="84"/>
        <v>0</v>
      </c>
      <c r="AJ255" t="b">
        <f t="shared" si="85"/>
        <v>0</v>
      </c>
      <c r="AK255">
        <f>'WetLitterbags placem_collection'!A34</f>
        <v>32</v>
      </c>
      <c r="AL255">
        <f>'WetLitterbags placem_collection'!A34</f>
        <v>32</v>
      </c>
      <c r="AN255">
        <f>IF('Dry_Litterbag Placem_Collection'!L34=0,"",'Dry_Litterbag Placem_Collection'!L34)</f>
        <v>293</v>
      </c>
      <c r="AO255">
        <f>IF('Dry_Litterbag Placem_Collection'!M34=0,"",'Dry_Litterbag Placem_Collection'!M34)</f>
        <v>660</v>
      </c>
      <c r="AP255" t="b">
        <f t="shared" si="86"/>
        <v>0</v>
      </c>
      <c r="AQ255" t="b">
        <f t="shared" si="87"/>
        <v>0</v>
      </c>
      <c r="AT255" t="str">
        <f>'Ashed teabags dry'!A253</f>
        <v>G558</v>
      </c>
      <c r="AU255" t="str">
        <f>'Ashed teabags dry'!A590</f>
        <v>R741</v>
      </c>
      <c r="AV255" t="b">
        <f t="shared" si="88"/>
        <v>0</v>
      </c>
      <c r="AW255" t="b">
        <f t="shared" si="89"/>
        <v>0</v>
      </c>
      <c r="AZ255" s="401" t="b">
        <f t="shared" si="90"/>
        <v>0</v>
      </c>
      <c r="BA255" s="401" t="b">
        <f t="shared" si="91"/>
        <v>0</v>
      </c>
      <c r="BC255" t="str">
        <f>'Ashed teabags wet'!A253</f>
        <v>G695</v>
      </c>
      <c r="BD255" t="str">
        <f>'Ashed teabags wet'!A670</f>
        <v>R488</v>
      </c>
      <c r="BE255" t="b">
        <f t="shared" si="92"/>
        <v>0</v>
      </c>
      <c r="BF255" t="b">
        <f t="shared" si="93"/>
        <v>0</v>
      </c>
      <c r="BG255">
        <f>IFERROR('Ashed teabags wet'!C253,"")</f>
        <v>111</v>
      </c>
      <c r="BH255">
        <f>IFERROR('Ashed teabags wet'!C670,"")</f>
        <v>178</v>
      </c>
      <c r="BI255" t="str">
        <f>'Ashed teabags wet'!AB253</f>
        <v/>
      </c>
      <c r="BJ255">
        <f>'Ashed teabags wet'!AC253</f>
        <v>110</v>
      </c>
      <c r="BK255" t="str">
        <f>'Ashed teabags wet'!AD670</f>
        <v/>
      </c>
      <c r="BL255">
        <f>'Ashed teabags wet'!AE670</f>
        <v>177</v>
      </c>
      <c r="BN255" t="str">
        <f t="shared" si="94"/>
        <v>G694</v>
      </c>
      <c r="BO255" t="b">
        <f t="shared" si="95"/>
        <v>1</v>
      </c>
    </row>
    <row r="256" spans="2:68" ht="12" customHeight="1">
      <c r="B256" t="str">
        <f>TBIDry!H328</f>
        <v>G139</v>
      </c>
      <c r="C256" t="str">
        <f>TBIDry!I328</f>
        <v>R712</v>
      </c>
      <c r="D256" t="b">
        <f t="shared" si="72"/>
        <v>0</v>
      </c>
      <c r="E256" t="b">
        <f t="shared" si="73"/>
        <v>0</v>
      </c>
      <c r="G256" t="str">
        <f>TBIWet!H328</f>
        <v>G556</v>
      </c>
      <c r="H256" t="str">
        <f>TBIWet!I328</f>
        <v>R452</v>
      </c>
      <c r="I256" t="b">
        <f t="shared" si="74"/>
        <v>0</v>
      </c>
      <c r="J256" t="b">
        <f t="shared" si="75"/>
        <v>0</v>
      </c>
      <c r="L256" t="str">
        <f>'Both teabags AfterWet'!A255</f>
        <v>G694</v>
      </c>
      <c r="M256" t="str">
        <f>'Both teabags AfterWet'!A673</f>
        <v>R468</v>
      </c>
      <c r="N256" t="b">
        <f t="shared" si="76"/>
        <v>0</v>
      </c>
      <c r="O256" t="b">
        <f t="shared" si="77"/>
        <v>0</v>
      </c>
      <c r="P256">
        <f>IFERROR('Both teabags AfterWet'!B255,"")</f>
        <v>123</v>
      </c>
      <c r="Q256">
        <f>'Both teabags AfterWet'!B673</f>
        <v>146</v>
      </c>
      <c r="S256" s="401" t="b">
        <f t="shared" si="78"/>
        <v>0</v>
      </c>
      <c r="T256" s="401" t="b">
        <f t="shared" si="79"/>
        <v>0</v>
      </c>
      <c r="V256" t="str">
        <f>'Both teabags AfterDry'!A255</f>
        <v>G56</v>
      </c>
      <c r="W256" t="str">
        <f>'Both teabags AfterDry'!A592</f>
        <v>R743</v>
      </c>
      <c r="X256" t="b">
        <f t="shared" si="80"/>
        <v>0</v>
      </c>
      <c r="Y256" t="b">
        <f t="shared" si="81"/>
        <v>0</v>
      </c>
      <c r="AA256" t="str">
        <f>'Green_rooibos initial weight'!A257</f>
        <v>G253</v>
      </c>
      <c r="AB256" t="str">
        <f>'Green_rooibos initial weight'!A1161</f>
        <v>R253</v>
      </c>
      <c r="AC256" t="b">
        <f t="shared" si="82"/>
        <v>0</v>
      </c>
      <c r="AD256" t="b">
        <f t="shared" si="83"/>
        <v>0</v>
      </c>
      <c r="AG256" t="str">
        <f>'WetLitterbags placem_collection'!O35</f>
        <v>G556</v>
      </c>
      <c r="AH256" t="str">
        <f>'WetLitterbags placem_collection'!Q35</f>
        <v>R452</v>
      </c>
      <c r="AI256" t="b">
        <f t="shared" si="84"/>
        <v>0</v>
      </c>
      <c r="AJ256" t="b">
        <f t="shared" si="85"/>
        <v>0</v>
      </c>
      <c r="AK256">
        <f>'WetLitterbags placem_collection'!A35</f>
        <v>33</v>
      </c>
      <c r="AL256">
        <f>'WetLitterbags placem_collection'!A35</f>
        <v>33</v>
      </c>
      <c r="AN256">
        <f>IF('Dry_Litterbag Placem_Collection'!L35=0,"",'Dry_Litterbag Placem_Collection'!L35)</f>
        <v>139</v>
      </c>
      <c r="AO256">
        <f>IF('Dry_Litterbag Placem_Collection'!M35=0,"",'Dry_Litterbag Placem_Collection'!M35)</f>
        <v>712</v>
      </c>
      <c r="AP256" t="b">
        <f t="shared" si="86"/>
        <v>0</v>
      </c>
      <c r="AQ256" t="b">
        <f t="shared" si="87"/>
        <v>0</v>
      </c>
      <c r="AT256" t="str">
        <f>'Ashed teabags dry'!A254</f>
        <v>G56</v>
      </c>
      <c r="AU256" t="str">
        <f>'Ashed teabags dry'!A591</f>
        <v>R742</v>
      </c>
      <c r="AV256" t="b">
        <f t="shared" si="88"/>
        <v>0</v>
      </c>
      <c r="AW256" t="b">
        <f t="shared" si="89"/>
        <v>0</v>
      </c>
      <c r="AZ256" s="401" t="b">
        <f t="shared" si="90"/>
        <v>0</v>
      </c>
      <c r="BA256" s="401" t="b">
        <f t="shared" si="91"/>
        <v>0</v>
      </c>
      <c r="BC256" t="str">
        <f>'Ashed teabags wet'!A254</f>
        <v>G696</v>
      </c>
      <c r="BD256" t="str">
        <f>'Ashed teabags wet'!A671</f>
        <v>R489</v>
      </c>
      <c r="BE256" t="b">
        <f t="shared" si="92"/>
        <v>0</v>
      </c>
      <c r="BF256" t="b">
        <f t="shared" si="93"/>
        <v>0</v>
      </c>
      <c r="BG256">
        <f>IFERROR('Ashed teabags wet'!C254,"")</f>
        <v>149</v>
      </c>
      <c r="BH256">
        <f>IFERROR('Ashed teabags wet'!C671,"")</f>
        <v>98</v>
      </c>
      <c r="BI256" t="str">
        <f>'Ashed teabags wet'!AB254</f>
        <v/>
      </c>
      <c r="BJ256">
        <f>'Ashed teabags wet'!AC254</f>
        <v>148</v>
      </c>
      <c r="BK256">
        <f>'Ashed teabags wet'!AD671</f>
        <v>97</v>
      </c>
      <c r="BL256" t="str">
        <f>'Ashed teabags wet'!AE671</f>
        <v/>
      </c>
      <c r="BN256" t="str">
        <f t="shared" si="94"/>
        <v>G695</v>
      </c>
      <c r="BO256" t="b">
        <f t="shared" si="95"/>
        <v>1</v>
      </c>
    </row>
    <row r="257" spans="2:67" ht="12" customHeight="1">
      <c r="B257" t="str">
        <f>TBIDry!H329</f>
        <v>G487</v>
      </c>
      <c r="C257" t="str">
        <f>TBIDry!I329</f>
        <v>R324</v>
      </c>
      <c r="D257" t="b">
        <f t="shared" si="72"/>
        <v>0</v>
      </c>
      <c r="E257" t="b">
        <f t="shared" si="73"/>
        <v>0</v>
      </c>
      <c r="G257" t="str">
        <f>TBIWet!H329</f>
        <v>G649</v>
      </c>
      <c r="H257" t="str">
        <f>TBIWet!I329</f>
        <v>R24</v>
      </c>
      <c r="I257" t="b">
        <f t="shared" si="74"/>
        <v>0</v>
      </c>
      <c r="J257" t="b">
        <f t="shared" si="75"/>
        <v>0</v>
      </c>
      <c r="L257" t="str">
        <f>'Both teabags AfterWet'!A256</f>
        <v>G695</v>
      </c>
      <c r="M257" t="str">
        <f>'Both teabags AfterWet'!A674</f>
        <v>R469</v>
      </c>
      <c r="N257" t="b">
        <f t="shared" si="76"/>
        <v>0</v>
      </c>
      <c r="O257" t="b">
        <f t="shared" si="77"/>
        <v>0</v>
      </c>
      <c r="P257">
        <f>IFERROR('Both teabags AfterWet'!B256,"")</f>
        <v>111</v>
      </c>
      <c r="Q257">
        <f>'Both teabags AfterWet'!B674</f>
        <v>45</v>
      </c>
      <c r="S257" s="401" t="b">
        <f t="shared" si="78"/>
        <v>0</v>
      </c>
      <c r="T257" s="401" t="b">
        <f t="shared" si="79"/>
        <v>0</v>
      </c>
      <c r="V257" t="str">
        <f>'Both teabags AfterDry'!A256</f>
        <v>G562</v>
      </c>
      <c r="W257" t="str">
        <f>'Both teabags AfterDry'!A593</f>
        <v>R744</v>
      </c>
      <c r="X257" t="b">
        <f t="shared" si="80"/>
        <v>0</v>
      </c>
      <c r="Y257" t="b">
        <f t="shared" si="81"/>
        <v>0</v>
      </c>
      <c r="AA257" t="str">
        <f>'Green_rooibos initial weight'!A258</f>
        <v>G254</v>
      </c>
      <c r="AB257" t="str">
        <f>'Green_rooibos initial weight'!A1162</f>
        <v>R254</v>
      </c>
      <c r="AC257" t="b">
        <f t="shared" si="82"/>
        <v>0</v>
      </c>
      <c r="AD257" t="b">
        <f t="shared" si="83"/>
        <v>0</v>
      </c>
      <c r="AG257" t="str">
        <f>'WetLitterbags placem_collection'!O36</f>
        <v>G649</v>
      </c>
      <c r="AH257" t="str">
        <f>'WetLitterbags placem_collection'!Q36</f>
        <v>R24</v>
      </c>
      <c r="AI257" t="b">
        <f t="shared" si="84"/>
        <v>0</v>
      </c>
      <c r="AJ257" t="b">
        <f t="shared" si="85"/>
        <v>0</v>
      </c>
      <c r="AK257">
        <f>'WetLitterbags placem_collection'!A36</f>
        <v>34</v>
      </c>
      <c r="AL257">
        <f>'WetLitterbags placem_collection'!A36</f>
        <v>34</v>
      </c>
      <c r="AN257">
        <f>IF('Dry_Litterbag Placem_Collection'!L36=0,"",'Dry_Litterbag Placem_Collection'!L36)</f>
        <v>487</v>
      </c>
      <c r="AO257">
        <f>IF('Dry_Litterbag Placem_Collection'!M36=0,"",'Dry_Litterbag Placem_Collection'!M36)</f>
        <v>324</v>
      </c>
      <c r="AP257" t="b">
        <f t="shared" si="86"/>
        <v>0</v>
      </c>
      <c r="AQ257" t="b">
        <f t="shared" si="87"/>
        <v>0</v>
      </c>
      <c r="AT257" t="str">
        <f>'Ashed teabags dry'!A255</f>
        <v>G562</v>
      </c>
      <c r="AU257" t="str">
        <f>'Ashed teabags dry'!A592</f>
        <v>R743</v>
      </c>
      <c r="AV257" t="b">
        <f t="shared" si="88"/>
        <v>0</v>
      </c>
      <c r="AW257" t="b">
        <f t="shared" si="89"/>
        <v>0</v>
      </c>
      <c r="AZ257" s="401" t="b">
        <f t="shared" si="90"/>
        <v>0</v>
      </c>
      <c r="BA257" s="401" t="b">
        <f t="shared" si="91"/>
        <v>0</v>
      </c>
      <c r="BC257" t="str">
        <f>'Ashed teabags wet'!A255</f>
        <v>G697</v>
      </c>
      <c r="BD257" t="str">
        <f>'Ashed teabags wet'!A672</f>
        <v>R49</v>
      </c>
      <c r="BE257" t="b">
        <f t="shared" si="92"/>
        <v>0</v>
      </c>
      <c r="BF257" t="b">
        <f t="shared" si="93"/>
        <v>0</v>
      </c>
      <c r="BG257">
        <f>IFERROR('Ashed teabags wet'!C255,"")</f>
        <v>143</v>
      </c>
      <c r="BH257">
        <f>IFERROR('Ashed teabags wet'!C672,"")</f>
        <v>84</v>
      </c>
      <c r="BI257" t="str">
        <f>'Ashed teabags wet'!AB255</f>
        <v/>
      </c>
      <c r="BJ257">
        <f>'Ashed teabags wet'!AC255</f>
        <v>142</v>
      </c>
      <c r="BK257">
        <f>'Ashed teabags wet'!AD672</f>
        <v>83</v>
      </c>
      <c r="BL257" t="str">
        <f>'Ashed teabags wet'!AE672</f>
        <v/>
      </c>
      <c r="BN257" t="str">
        <f t="shared" si="94"/>
        <v>G696</v>
      </c>
      <c r="BO257" t="b">
        <f t="shared" si="95"/>
        <v>1</v>
      </c>
    </row>
    <row r="258" spans="2:67" ht="12" customHeight="1">
      <c r="B258" t="str">
        <f>TBIDry!H330</f>
        <v>G717</v>
      </c>
      <c r="C258" t="str">
        <f>TBIDry!I330</f>
        <v>R108</v>
      </c>
      <c r="D258" t="b">
        <f t="shared" si="72"/>
        <v>0</v>
      </c>
      <c r="E258" t="b">
        <f t="shared" si="73"/>
        <v>0</v>
      </c>
      <c r="G258" t="str">
        <f>TBIWet!H330</f>
        <v>G732</v>
      </c>
      <c r="H258" t="str">
        <f>TBIWet!I330</f>
        <v>R69</v>
      </c>
      <c r="I258" t="b">
        <f t="shared" si="74"/>
        <v>0</v>
      </c>
      <c r="J258" t="b">
        <f t="shared" si="75"/>
        <v>0</v>
      </c>
      <c r="L258" t="str">
        <f>'Both teabags AfterWet'!A257</f>
        <v>G696</v>
      </c>
      <c r="M258" t="str">
        <f>'Both teabags AfterWet'!A675</f>
        <v>R470</v>
      </c>
      <c r="N258" t="b">
        <f t="shared" si="76"/>
        <v>0</v>
      </c>
      <c r="O258" t="b">
        <f t="shared" si="77"/>
        <v>0</v>
      </c>
      <c r="P258" t="str">
        <f>IFERROR('Both teabags AfterWet'!B257,"")</f>
        <v>n.a</v>
      </c>
      <c r="Q258">
        <f>'Both teabags AfterWet'!B675</f>
        <v>177</v>
      </c>
      <c r="S258" s="401" t="b">
        <f t="shared" si="78"/>
        <v>0</v>
      </c>
      <c r="T258" s="401" t="b">
        <f t="shared" si="79"/>
        <v>0</v>
      </c>
      <c r="V258" t="str">
        <f>'Both teabags AfterDry'!A257</f>
        <v>G569</v>
      </c>
      <c r="W258" t="str">
        <f>'Both teabags AfterDry'!A594</f>
        <v>R746</v>
      </c>
      <c r="X258" t="b">
        <f t="shared" si="80"/>
        <v>0</v>
      </c>
      <c r="Y258" t="b">
        <f t="shared" si="81"/>
        <v>0</v>
      </c>
      <c r="AA258" t="str">
        <f>'Green_rooibos initial weight'!A259</f>
        <v>G255</v>
      </c>
      <c r="AB258" t="str">
        <f>'Green_rooibos initial weight'!A1163</f>
        <v>R255</v>
      </c>
      <c r="AC258" t="b">
        <f t="shared" si="82"/>
        <v>0</v>
      </c>
      <c r="AD258" t="b">
        <f t="shared" si="83"/>
        <v>0</v>
      </c>
      <c r="AG258" t="str">
        <f>'WetLitterbags placem_collection'!O37</f>
        <v>G732</v>
      </c>
      <c r="AH258" t="str">
        <f>'WetLitterbags placem_collection'!Q37</f>
        <v>R69</v>
      </c>
      <c r="AI258" t="b">
        <f t="shared" si="84"/>
        <v>0</v>
      </c>
      <c r="AJ258" t="b">
        <f t="shared" si="85"/>
        <v>0</v>
      </c>
      <c r="AK258">
        <f>'WetLitterbags placem_collection'!A37</f>
        <v>35</v>
      </c>
      <c r="AL258">
        <f>'WetLitterbags placem_collection'!A37</f>
        <v>35</v>
      </c>
      <c r="AN258">
        <f>IF('Dry_Litterbag Placem_Collection'!L37=0,"",'Dry_Litterbag Placem_Collection'!L37)</f>
        <v>717</v>
      </c>
      <c r="AO258">
        <f>IF('Dry_Litterbag Placem_Collection'!M37=0,"",'Dry_Litterbag Placem_Collection'!M37)</f>
        <v>108</v>
      </c>
      <c r="AP258" t="b">
        <f t="shared" si="86"/>
        <v>0</v>
      </c>
      <c r="AQ258" t="b">
        <f t="shared" si="87"/>
        <v>0</v>
      </c>
      <c r="AT258" t="str">
        <f>'Ashed teabags dry'!A256</f>
        <v>G569</v>
      </c>
      <c r="AU258" t="str">
        <f>'Ashed teabags dry'!A593</f>
        <v>R744</v>
      </c>
      <c r="AV258" t="b">
        <f t="shared" si="88"/>
        <v>0</v>
      </c>
      <c r="AW258" t="b">
        <f t="shared" si="89"/>
        <v>0</v>
      </c>
      <c r="AZ258" s="401" t="b">
        <f t="shared" si="90"/>
        <v>0</v>
      </c>
      <c r="BA258" s="401" t="b">
        <f t="shared" si="91"/>
        <v>0</v>
      </c>
      <c r="BC258" t="str">
        <f>'Ashed teabags wet'!A256</f>
        <v>G698</v>
      </c>
      <c r="BD258" t="str">
        <f>'Ashed teabags wet'!A673</f>
        <v>R490</v>
      </c>
      <c r="BE258" t="b">
        <f t="shared" si="92"/>
        <v>0</v>
      </c>
      <c r="BF258" t="b">
        <f t="shared" si="93"/>
        <v>0</v>
      </c>
      <c r="BG258">
        <f>IFERROR('Ashed teabags wet'!C256,"")</f>
        <v>120</v>
      </c>
      <c r="BH258">
        <f>IFERROR('Ashed teabags wet'!C673,"")</f>
        <v>176</v>
      </c>
      <c r="BI258" t="str">
        <f>'Ashed teabags wet'!AB256</f>
        <v/>
      </c>
      <c r="BJ258">
        <f>'Ashed teabags wet'!AC256</f>
        <v>119</v>
      </c>
      <c r="BK258" t="str">
        <f>'Ashed teabags wet'!AD673</f>
        <v/>
      </c>
      <c r="BL258">
        <f>'Ashed teabags wet'!AE673</f>
        <v>175</v>
      </c>
      <c r="BN258" t="str">
        <f t="shared" si="94"/>
        <v>G697</v>
      </c>
      <c r="BO258" t="b">
        <f t="shared" si="95"/>
        <v>1</v>
      </c>
    </row>
    <row r="259" spans="2:67" ht="12" customHeight="1">
      <c r="B259" t="str">
        <f>TBIDry!H331</f>
        <v>G767</v>
      </c>
      <c r="C259" t="str">
        <f>TBIDry!I331</f>
        <v>R152</v>
      </c>
      <c r="D259" t="b">
        <f t="shared" si="72"/>
        <v>0</v>
      </c>
      <c r="E259" t="b">
        <f t="shared" si="73"/>
        <v>0</v>
      </c>
      <c r="G259" t="str">
        <f>TBIWet!H331</f>
        <v>G550</v>
      </c>
      <c r="H259" t="str">
        <f>TBIWet!I331</f>
        <v>R97</v>
      </c>
      <c r="I259" t="b">
        <f t="shared" si="74"/>
        <v>0</v>
      </c>
      <c r="J259" t="b">
        <f t="shared" si="75"/>
        <v>0</v>
      </c>
      <c r="L259" t="str">
        <f>'Both teabags AfterWet'!A258</f>
        <v>G697</v>
      </c>
      <c r="M259" t="str">
        <f>'Both teabags AfterWet'!A676</f>
        <v>R471</v>
      </c>
      <c r="N259" t="b">
        <f t="shared" si="76"/>
        <v>0</v>
      </c>
      <c r="O259" t="b">
        <f t="shared" si="77"/>
        <v>0</v>
      </c>
      <c r="P259">
        <f>IFERROR('Both teabags AfterWet'!B258,"")</f>
        <v>143</v>
      </c>
      <c r="Q259">
        <f>'Both teabags AfterWet'!B676</f>
        <v>124</v>
      </c>
      <c r="S259" s="401" t="b">
        <f t="shared" si="78"/>
        <v>0</v>
      </c>
      <c r="T259" s="401" t="b">
        <f t="shared" si="79"/>
        <v>0</v>
      </c>
      <c r="V259" t="str">
        <f>'Both teabags AfterDry'!A258</f>
        <v>G57</v>
      </c>
      <c r="W259" t="str">
        <f>'Both teabags AfterDry'!A595</f>
        <v>R748</v>
      </c>
      <c r="X259" t="b">
        <f t="shared" si="80"/>
        <v>0</v>
      </c>
      <c r="Y259" t="b">
        <f t="shared" si="81"/>
        <v>0</v>
      </c>
      <c r="AA259" t="str">
        <f>'Green_rooibos initial weight'!A260</f>
        <v>G256</v>
      </c>
      <c r="AB259" t="str">
        <f>'Green_rooibos initial weight'!A1164</f>
        <v>R256</v>
      </c>
      <c r="AC259" t="b">
        <f t="shared" si="82"/>
        <v>0</v>
      </c>
      <c r="AD259" t="b">
        <f t="shared" si="83"/>
        <v>0</v>
      </c>
      <c r="AG259" t="str">
        <f>'WetLitterbags placem_collection'!O38</f>
        <v>G550</v>
      </c>
      <c r="AH259" t="str">
        <f>'WetLitterbags placem_collection'!Q38</f>
        <v>R97</v>
      </c>
      <c r="AI259" t="b">
        <f t="shared" si="84"/>
        <v>0</v>
      </c>
      <c r="AJ259" t="b">
        <f t="shared" si="85"/>
        <v>0</v>
      </c>
      <c r="AK259">
        <f>'WetLitterbags placem_collection'!A38</f>
        <v>36</v>
      </c>
      <c r="AL259">
        <f>'WetLitterbags placem_collection'!A38</f>
        <v>36</v>
      </c>
      <c r="AN259">
        <f>IF('Dry_Litterbag Placem_Collection'!L38=0,"",'Dry_Litterbag Placem_Collection'!L38)</f>
        <v>767</v>
      </c>
      <c r="AO259">
        <f>IF('Dry_Litterbag Placem_Collection'!M38=0,"",'Dry_Litterbag Placem_Collection'!M38)</f>
        <v>152</v>
      </c>
      <c r="AP259" t="b">
        <f t="shared" si="86"/>
        <v>0</v>
      </c>
      <c r="AQ259" t="b">
        <f t="shared" si="87"/>
        <v>0</v>
      </c>
      <c r="AT259" t="str">
        <f>'Ashed teabags dry'!A257</f>
        <v>G57</v>
      </c>
      <c r="AU259" t="str">
        <f>'Ashed teabags dry'!A594</f>
        <v>R746</v>
      </c>
      <c r="AV259" t="b">
        <f t="shared" si="88"/>
        <v>0</v>
      </c>
      <c r="AW259" t="b">
        <f t="shared" si="89"/>
        <v>0</v>
      </c>
      <c r="AZ259" s="401" t="b">
        <f t="shared" si="90"/>
        <v>0</v>
      </c>
      <c r="BA259" s="401" t="b">
        <f t="shared" si="91"/>
        <v>0</v>
      </c>
      <c r="BC259" t="str">
        <f>'Ashed teabags wet'!A257</f>
        <v>G699</v>
      </c>
      <c r="BD259" t="str">
        <f>'Ashed teabags wet'!A674</f>
        <v>R492</v>
      </c>
      <c r="BE259" t="b">
        <f t="shared" si="92"/>
        <v>0</v>
      </c>
      <c r="BF259" t="b">
        <f t="shared" si="93"/>
        <v>0</v>
      </c>
      <c r="BG259">
        <f>IFERROR('Ashed teabags wet'!C257,"")</f>
        <v>21</v>
      </c>
      <c r="BH259">
        <f>IFERROR('Ashed teabags wet'!C674,"")</f>
        <v>146</v>
      </c>
      <c r="BI259">
        <f>'Ashed teabags wet'!AB257</f>
        <v>20</v>
      </c>
      <c r="BJ259" t="str">
        <f>'Ashed teabags wet'!AC257</f>
        <v/>
      </c>
      <c r="BK259">
        <f>'Ashed teabags wet'!AD674</f>
        <v>145</v>
      </c>
      <c r="BL259" t="str">
        <f>'Ashed teabags wet'!AE674</f>
        <v/>
      </c>
      <c r="BN259" t="str">
        <f t="shared" si="94"/>
        <v>G698</v>
      </c>
      <c r="BO259" t="b">
        <f t="shared" si="95"/>
        <v>1</v>
      </c>
    </row>
    <row r="260" spans="2:67" ht="12" customHeight="1">
      <c r="B260" t="str">
        <f>TBIDry!H332</f>
        <v>G473</v>
      </c>
      <c r="C260" t="str">
        <f>TBIDry!I332</f>
        <v>R681</v>
      </c>
      <c r="D260" t="b">
        <f t="shared" si="72"/>
        <v>0</v>
      </c>
      <c r="E260" t="b">
        <f t="shared" si="73"/>
        <v>0</v>
      </c>
      <c r="G260" t="str">
        <f>TBIWet!H332</f>
        <v>G528</v>
      </c>
      <c r="H260" t="str">
        <f>TBIWet!I332</f>
        <v>R89</v>
      </c>
      <c r="I260" t="b">
        <f t="shared" si="74"/>
        <v>0</v>
      </c>
      <c r="J260" t="b">
        <f t="shared" si="75"/>
        <v>0</v>
      </c>
      <c r="L260" t="str">
        <f>'Both teabags AfterWet'!A259</f>
        <v>G698</v>
      </c>
      <c r="M260" t="str">
        <f>'Both teabags AfterWet'!A677</f>
        <v>R472</v>
      </c>
      <c r="N260" t="b">
        <f t="shared" si="76"/>
        <v>0</v>
      </c>
      <c r="O260" t="b">
        <f t="shared" si="77"/>
        <v>0</v>
      </c>
      <c r="P260">
        <f>IFERROR('Both teabags AfterWet'!B259,"")</f>
        <v>120</v>
      </c>
      <c r="Q260" t="str">
        <f>'Both teabags AfterWet'!B677</f>
        <v>n.a</v>
      </c>
      <c r="S260" s="401" t="b">
        <f t="shared" si="78"/>
        <v>0</v>
      </c>
      <c r="T260" s="401" t="b">
        <f t="shared" si="79"/>
        <v>0</v>
      </c>
      <c r="V260" t="str">
        <f>'Both teabags AfterDry'!A259</f>
        <v>G570</v>
      </c>
      <c r="W260" t="str">
        <f>'Both teabags AfterDry'!A596</f>
        <v>R749</v>
      </c>
      <c r="X260" t="b">
        <f t="shared" si="80"/>
        <v>0</v>
      </c>
      <c r="Y260" t="b">
        <f t="shared" si="81"/>
        <v>0</v>
      </c>
      <c r="AA260" t="str">
        <f>'Green_rooibos initial weight'!A261</f>
        <v>G257</v>
      </c>
      <c r="AB260" t="str">
        <f>'Green_rooibos initial weight'!A1165</f>
        <v>R257</v>
      </c>
      <c r="AC260" t="b">
        <f t="shared" si="82"/>
        <v>0</v>
      </c>
      <c r="AD260" t="b">
        <f t="shared" si="83"/>
        <v>0</v>
      </c>
      <c r="AG260" t="str">
        <f>'WetLitterbags placem_collection'!O39</f>
        <v>G528</v>
      </c>
      <c r="AH260" t="str">
        <f>'WetLitterbags placem_collection'!Q39</f>
        <v>R89</v>
      </c>
      <c r="AI260" t="b">
        <f t="shared" si="84"/>
        <v>0</v>
      </c>
      <c r="AJ260" t="b">
        <f t="shared" si="85"/>
        <v>0</v>
      </c>
      <c r="AK260">
        <f>'WetLitterbags placem_collection'!A39</f>
        <v>37</v>
      </c>
      <c r="AL260">
        <f>'WetLitterbags placem_collection'!A39</f>
        <v>37</v>
      </c>
      <c r="AN260">
        <f>IF('Dry_Litterbag Placem_Collection'!L39=0,"",'Dry_Litterbag Placem_Collection'!L39)</f>
        <v>473</v>
      </c>
      <c r="AO260">
        <f>IF('Dry_Litterbag Placem_Collection'!M39=0,"",'Dry_Litterbag Placem_Collection'!M39)</f>
        <v>681</v>
      </c>
      <c r="AP260" t="b">
        <f t="shared" si="86"/>
        <v>0</v>
      </c>
      <c r="AQ260" t="b">
        <f t="shared" si="87"/>
        <v>0</v>
      </c>
      <c r="AT260" t="str">
        <f>'Ashed teabags dry'!A258</f>
        <v>G570</v>
      </c>
      <c r="AU260" t="str">
        <f>'Ashed teabags dry'!A595</f>
        <v>R748</v>
      </c>
      <c r="AV260" t="b">
        <f t="shared" si="88"/>
        <v>0</v>
      </c>
      <c r="AW260" t="b">
        <f t="shared" si="89"/>
        <v>0</v>
      </c>
      <c r="AZ260" s="401" t="b">
        <f t="shared" si="90"/>
        <v>0</v>
      </c>
      <c r="BA260" s="401" t="b">
        <f t="shared" si="91"/>
        <v>0</v>
      </c>
      <c r="BC260" t="str">
        <f>'Ashed teabags wet'!A258</f>
        <v>G700</v>
      </c>
      <c r="BD260" t="str">
        <f>'Ashed teabags wet'!A675</f>
        <v>R494</v>
      </c>
      <c r="BE260" t="b">
        <f t="shared" si="92"/>
        <v>0</v>
      </c>
      <c r="BF260" t="b">
        <f t="shared" si="93"/>
        <v>0</v>
      </c>
      <c r="BG260">
        <f>IFERROR('Ashed teabags wet'!C258,"")</f>
        <v>65</v>
      </c>
      <c r="BH260">
        <f>IFERROR('Ashed teabags wet'!C675,"")</f>
        <v>103</v>
      </c>
      <c r="BI260" t="str">
        <f>'Ashed teabags wet'!AB258</f>
        <v/>
      </c>
      <c r="BJ260">
        <f>'Ashed teabags wet'!AC258</f>
        <v>64</v>
      </c>
      <c r="BK260" t="str">
        <f>'Ashed teabags wet'!AD675</f>
        <v/>
      </c>
      <c r="BL260">
        <f>'Ashed teabags wet'!AE675</f>
        <v>102</v>
      </c>
      <c r="BN260" t="str">
        <f t="shared" si="94"/>
        <v>G699</v>
      </c>
      <c r="BO260" t="b">
        <f t="shared" si="95"/>
        <v>1</v>
      </c>
    </row>
    <row r="261" spans="2:67" ht="12" customHeight="1">
      <c r="B261" t="str">
        <f>TBIDry!H333</f>
        <v>G111</v>
      </c>
      <c r="C261" t="str">
        <f>TBIDry!I333</f>
        <v>R260</v>
      </c>
      <c r="D261" t="b">
        <f t="shared" ref="D261:D324" si="96">COUNTIF($B$4:$B$2000, B261)&gt;1</f>
        <v>0</v>
      </c>
      <c r="E261" t="b">
        <f t="shared" ref="E261:E324" si="97">COUNTIF($C$4:$C$2000, C261)&gt;1</f>
        <v>0</v>
      </c>
      <c r="G261" t="str">
        <f>TBIWet!H333</f>
        <v>G703</v>
      </c>
      <c r="H261" t="str">
        <f>TBIWet!I333</f>
        <v>R147</v>
      </c>
      <c r="I261" t="b">
        <f t="shared" ref="I261:I324" si="98">COUNTIF($G$4:$G$2000, G261)&gt;1</f>
        <v>0</v>
      </c>
      <c r="J261" t="b">
        <f t="shared" ref="J261:J324" si="99">COUNTIF($H$4:$H$2000, H261)&gt;1</f>
        <v>0</v>
      </c>
      <c r="L261" t="str">
        <f>'Both teabags AfterWet'!A260</f>
        <v>G699</v>
      </c>
      <c r="M261" t="str">
        <f>'Both teabags AfterWet'!A678</f>
        <v>R474</v>
      </c>
      <c r="N261" t="b">
        <f t="shared" ref="N261:N324" si="100">COUNTIF($L$4:$L$2000, L261)&gt;1</f>
        <v>0</v>
      </c>
      <c r="O261" t="b">
        <f t="shared" ref="O261:O324" si="101">COUNTIF($M$4:$M$2000, M261)&gt;1</f>
        <v>0</v>
      </c>
      <c r="P261">
        <f>IFERROR('Both teabags AfterWet'!B260,"")</f>
        <v>21</v>
      </c>
      <c r="Q261">
        <f>'Both teabags AfterWet'!B678</f>
        <v>136</v>
      </c>
      <c r="S261" s="401" t="b">
        <f t="shared" ref="S261:S324" si="102">COUNTIF($V$4:$V$2000, L261)=1</f>
        <v>0</v>
      </c>
      <c r="T261" s="401" t="b">
        <f t="shared" ref="T261:T324" si="103">COUNTIF($W$4:$W$2000, M261)=1</f>
        <v>0</v>
      </c>
      <c r="V261" t="str">
        <f>'Both teabags AfterDry'!A260</f>
        <v>G58</v>
      </c>
      <c r="W261" t="str">
        <f>'Both teabags AfterDry'!A597</f>
        <v>R75</v>
      </c>
      <c r="X261" t="b">
        <f t="shared" ref="X261:X324" si="104">COUNTIF($V$4:$V$2000, V261)&gt;1</f>
        <v>0</v>
      </c>
      <c r="Y261" t="b">
        <f t="shared" ref="Y261:Y324" si="105">COUNTIF($W$4:$W$2000, W261)&gt;1</f>
        <v>0</v>
      </c>
      <c r="AA261" t="str">
        <f>'Green_rooibos initial weight'!A262</f>
        <v>G258</v>
      </c>
      <c r="AB261" t="str">
        <f>'Green_rooibos initial weight'!A1166</f>
        <v>R258</v>
      </c>
      <c r="AC261" t="b">
        <f t="shared" ref="AC261:AC324" si="106">COUNTIF($AA$4:$AA$2000, AA261)&gt;1</f>
        <v>0</v>
      </c>
      <c r="AD261" t="b">
        <f t="shared" ref="AD261:AD324" si="107">COUNTIF($AB$4:$AB$2000, AB261)&gt;1</f>
        <v>0</v>
      </c>
      <c r="AG261" t="str">
        <f>'WetLitterbags placem_collection'!O40</f>
        <v>G703</v>
      </c>
      <c r="AH261" t="str">
        <f>'WetLitterbags placem_collection'!Q40</f>
        <v>R147</v>
      </c>
      <c r="AI261" t="b">
        <f t="shared" ref="AI261:AI324" si="108">COUNTIF($AG$4:$AG$2000, AG261)&gt;1</f>
        <v>0</v>
      </c>
      <c r="AJ261" t="b">
        <f t="shared" ref="AJ261:AJ324" si="109">COUNTIF($AH$4:$AH$2000, AH261)&gt;1</f>
        <v>0</v>
      </c>
      <c r="AK261">
        <f>'WetLitterbags placem_collection'!A40</f>
        <v>38</v>
      </c>
      <c r="AL261">
        <f>'WetLitterbags placem_collection'!A40</f>
        <v>38</v>
      </c>
      <c r="AN261">
        <f>IF('Dry_Litterbag Placem_Collection'!L40=0,"",'Dry_Litterbag Placem_Collection'!L40)</f>
        <v>111</v>
      </c>
      <c r="AO261">
        <f>IF('Dry_Litterbag Placem_Collection'!M40=0,"",'Dry_Litterbag Placem_Collection'!M40)</f>
        <v>260</v>
      </c>
      <c r="AP261" t="b">
        <f t="shared" ref="AP261:AP324" si="110">COUNTIF($AN$4:$AN$2000, AN261)&gt;1</f>
        <v>0</v>
      </c>
      <c r="AQ261" t="b">
        <f t="shared" ref="AQ261:AQ324" si="111">COUNTIF($AO$4:$AO$2000, AO261)&gt;1</f>
        <v>0</v>
      </c>
      <c r="AT261" t="str">
        <f>'Ashed teabags dry'!A259</f>
        <v>G58</v>
      </c>
      <c r="AU261" t="str">
        <f>'Ashed teabags dry'!A596</f>
        <v>R749</v>
      </c>
      <c r="AV261" t="b">
        <f t="shared" ref="AV261:AV324" si="112">COUNTIF($AT$4:$AT$2000, AT261)&gt;1</f>
        <v>0</v>
      </c>
      <c r="AW261" t="b">
        <f t="shared" ref="AW261:AW324" si="113">COUNTIF($AU$4:$AU$2000, AU261)&gt;1</f>
        <v>0</v>
      </c>
      <c r="AZ261" s="401" t="b">
        <f t="shared" ref="AZ261:AZ324" si="114">COUNTIF($BC$4:$BC$2000, AT261)=1</f>
        <v>0</v>
      </c>
      <c r="BA261" s="401" t="b">
        <f t="shared" ref="BA261:BA324" si="115">COUNTIF($BD$4:$BD$2000, AU261)=1</f>
        <v>0</v>
      </c>
      <c r="BC261" t="str">
        <f>'Ashed teabags wet'!A259</f>
        <v>G701</v>
      </c>
      <c r="BD261" t="str">
        <f>'Ashed teabags wet'!A676</f>
        <v>R495</v>
      </c>
      <c r="BE261" t="b">
        <f t="shared" ref="BE261:BE324" si="116">COUNTIF($BC$4:$BC$2000, BC261)&gt;1</f>
        <v>0</v>
      </c>
      <c r="BF261" t="b">
        <f t="shared" ref="BF261:BF324" si="117">COUNTIF($BD$4:$BD$2000, BD261)&gt;1</f>
        <v>0</v>
      </c>
      <c r="BG261">
        <f>IFERROR('Ashed teabags wet'!C259,"")</f>
        <v>8</v>
      </c>
      <c r="BH261">
        <f>IFERROR('Ashed teabags wet'!C676,"")</f>
        <v>118</v>
      </c>
      <c r="BI261" t="str">
        <f>'Ashed teabags wet'!AB259</f>
        <v/>
      </c>
      <c r="BJ261">
        <f>'Ashed teabags wet'!AC259</f>
        <v>7</v>
      </c>
      <c r="BK261">
        <f>'Ashed teabags wet'!AD676</f>
        <v>117</v>
      </c>
      <c r="BL261" t="str">
        <f>'Ashed teabags wet'!AE676</f>
        <v/>
      </c>
      <c r="BN261" t="str">
        <f t="shared" ref="BN261:BN324" si="118">BC260</f>
        <v>G700</v>
      </c>
      <c r="BO261" t="b">
        <f t="shared" si="95"/>
        <v>1</v>
      </c>
    </row>
    <row r="262" spans="2:67" ht="12" customHeight="1">
      <c r="B262" t="str">
        <f>TBIDry!H334</f>
        <v/>
      </c>
      <c r="C262" t="str">
        <f>TBIDry!I334</f>
        <v/>
      </c>
      <c r="D262" t="b">
        <f t="shared" si="96"/>
        <v>1</v>
      </c>
      <c r="E262" t="b">
        <f t="shared" si="97"/>
        <v>1</v>
      </c>
      <c r="G262" t="str">
        <f>TBIWet!H334</f>
        <v>G566</v>
      </c>
      <c r="H262" t="str">
        <f>TBIWet!I334</f>
        <v>R65</v>
      </c>
      <c r="I262" t="b">
        <f t="shared" si="98"/>
        <v>0</v>
      </c>
      <c r="J262" t="b">
        <f t="shared" si="99"/>
        <v>0</v>
      </c>
      <c r="L262" t="str">
        <f>'Both teabags AfterWet'!A261</f>
        <v>G700</v>
      </c>
      <c r="M262" t="str">
        <f>'Both teabags AfterWet'!A679</f>
        <v>R475</v>
      </c>
      <c r="N262" t="b">
        <f t="shared" si="100"/>
        <v>0</v>
      </c>
      <c r="O262" t="b">
        <f t="shared" si="101"/>
        <v>0</v>
      </c>
      <c r="P262">
        <f>IFERROR('Both teabags AfterWet'!B261,"")</f>
        <v>65</v>
      </c>
      <c r="Q262">
        <f>'Both teabags AfterWet'!B679</f>
        <v>104</v>
      </c>
      <c r="S262" s="401" t="b">
        <f t="shared" si="102"/>
        <v>0</v>
      </c>
      <c r="T262" s="401" t="b">
        <f t="shared" si="103"/>
        <v>0</v>
      </c>
      <c r="V262" t="str">
        <f>'Both teabags AfterDry'!A261</f>
        <v>G580</v>
      </c>
      <c r="W262" t="str">
        <f>'Both teabags AfterDry'!A598</f>
        <v>R751</v>
      </c>
      <c r="X262" t="b">
        <f t="shared" si="104"/>
        <v>0</v>
      </c>
      <c r="Y262" t="b">
        <f t="shared" si="105"/>
        <v>0</v>
      </c>
      <c r="AA262" t="str">
        <f>'Green_rooibos initial weight'!A263</f>
        <v>G259</v>
      </c>
      <c r="AB262" t="str">
        <f>'Green_rooibos initial weight'!A1167</f>
        <v>R259</v>
      </c>
      <c r="AC262" t="b">
        <f t="shared" si="106"/>
        <v>0</v>
      </c>
      <c r="AD262" t="b">
        <f t="shared" si="107"/>
        <v>0</v>
      </c>
      <c r="AG262" t="str">
        <f>'WetLitterbags placem_collection'!O41</f>
        <v>G566</v>
      </c>
      <c r="AH262" t="str">
        <f>'WetLitterbags placem_collection'!Q41</f>
        <v>R65</v>
      </c>
      <c r="AI262" t="b">
        <f t="shared" si="108"/>
        <v>0</v>
      </c>
      <c r="AJ262" t="b">
        <f t="shared" si="109"/>
        <v>0</v>
      </c>
      <c r="AK262">
        <f>'WetLitterbags placem_collection'!A41</f>
        <v>39</v>
      </c>
      <c r="AL262">
        <f>'WetLitterbags placem_collection'!A41</f>
        <v>39</v>
      </c>
      <c r="AN262" t="str">
        <f>IF('Dry_Litterbag Placem_Collection'!L41=0,"",'Dry_Litterbag Placem_Collection'!L41)</f>
        <v/>
      </c>
      <c r="AO262" t="str">
        <f>IF('Dry_Litterbag Placem_Collection'!M41=0,"",'Dry_Litterbag Placem_Collection'!M41)</f>
        <v/>
      </c>
      <c r="AP262" t="b">
        <f t="shared" si="110"/>
        <v>1</v>
      </c>
      <c r="AQ262" t="b">
        <f t="shared" si="111"/>
        <v>1</v>
      </c>
      <c r="AT262" t="str">
        <f>'Ashed teabags dry'!A260</f>
        <v>G580</v>
      </c>
      <c r="AU262" t="str">
        <f>'Ashed teabags dry'!A597</f>
        <v>R75</v>
      </c>
      <c r="AV262" t="b">
        <f t="shared" si="112"/>
        <v>0</v>
      </c>
      <c r="AW262" t="b">
        <f t="shared" si="113"/>
        <v>0</v>
      </c>
      <c r="AZ262" s="401" t="b">
        <f t="shared" si="114"/>
        <v>0</v>
      </c>
      <c r="BA262" s="401" t="b">
        <f t="shared" si="115"/>
        <v>0</v>
      </c>
      <c r="BC262" t="str">
        <f>'Ashed teabags wet'!A260</f>
        <v>G702</v>
      </c>
      <c r="BD262" t="str">
        <f>'Ashed teabags wet'!A677</f>
        <v>R496</v>
      </c>
      <c r="BE262" t="b">
        <f t="shared" si="116"/>
        <v>0</v>
      </c>
      <c r="BF262" t="b">
        <f t="shared" si="117"/>
        <v>0</v>
      </c>
      <c r="BG262">
        <f>IFERROR('Ashed teabags wet'!C260,"")</f>
        <v>28</v>
      </c>
      <c r="BH262">
        <f>IFERROR('Ashed teabags wet'!C677,"")</f>
        <v>99</v>
      </c>
      <c r="BI262">
        <f>'Ashed teabags wet'!AB260</f>
        <v>27</v>
      </c>
      <c r="BJ262" t="str">
        <f>'Ashed teabags wet'!AC260</f>
        <v/>
      </c>
      <c r="BK262" t="str">
        <f>'Ashed teabags wet'!AD677</f>
        <v/>
      </c>
      <c r="BL262">
        <f>'Ashed teabags wet'!AE677</f>
        <v>98</v>
      </c>
      <c r="BN262" t="str">
        <f t="shared" si="118"/>
        <v>G701</v>
      </c>
      <c r="BO262" t="b">
        <f t="shared" ref="BO262:BO325" si="119">COUNTIF($BN$5:$BN$2000, BN262)&gt;1</f>
        <v>1</v>
      </c>
    </row>
    <row r="263" spans="2:67" ht="12" customHeight="1">
      <c r="B263" t="str">
        <f>TBIDry!H335</f>
        <v>G646</v>
      </c>
      <c r="C263" t="str">
        <f>TBIDry!I335</f>
        <v>R402</v>
      </c>
      <c r="D263" t="b">
        <f t="shared" si="96"/>
        <v>0</v>
      </c>
      <c r="E263" t="b">
        <f t="shared" si="97"/>
        <v>0</v>
      </c>
      <c r="G263" t="str">
        <f>TBIWet!H335</f>
        <v>G619</v>
      </c>
      <c r="H263" t="str">
        <f>TBIWet!I335</f>
        <v>R420</v>
      </c>
      <c r="I263" t="b">
        <f t="shared" si="98"/>
        <v>0</v>
      </c>
      <c r="J263" t="b">
        <f t="shared" si="99"/>
        <v>0</v>
      </c>
      <c r="L263" t="str">
        <f>'Both teabags AfterWet'!A262</f>
        <v>G701</v>
      </c>
      <c r="M263" t="str">
        <f>'Both teabags AfterWet'!A680</f>
        <v>R476</v>
      </c>
      <c r="N263" t="b">
        <f t="shared" si="100"/>
        <v>0</v>
      </c>
      <c r="O263" t="b">
        <f t="shared" si="101"/>
        <v>0</v>
      </c>
      <c r="P263" t="str">
        <f>IFERROR('Both teabags AfterWet'!B262,"")</f>
        <v>n.a</v>
      </c>
      <c r="Q263">
        <f>'Both teabags AfterWet'!B680</f>
        <v>131</v>
      </c>
      <c r="S263" s="401" t="b">
        <f t="shared" si="102"/>
        <v>0</v>
      </c>
      <c r="T263" s="401" t="b">
        <f t="shared" si="103"/>
        <v>0</v>
      </c>
      <c r="V263" t="str">
        <f>'Both teabags AfterDry'!A262</f>
        <v>G59</v>
      </c>
      <c r="W263" t="str">
        <f>'Both teabags AfterDry'!A599</f>
        <v>R752</v>
      </c>
      <c r="X263" t="b">
        <f t="shared" si="104"/>
        <v>0</v>
      </c>
      <c r="Y263" t="b">
        <f t="shared" si="105"/>
        <v>0</v>
      </c>
      <c r="AA263" t="str">
        <f>'Green_rooibos initial weight'!A264</f>
        <v>G260</v>
      </c>
      <c r="AB263" t="str">
        <f>'Green_rooibos initial weight'!A1168</f>
        <v>R260</v>
      </c>
      <c r="AC263" t="b">
        <f t="shared" si="106"/>
        <v>0</v>
      </c>
      <c r="AD263" t="b">
        <f t="shared" si="107"/>
        <v>0</v>
      </c>
      <c r="AG263" t="str">
        <f>'WetLitterbags placem_collection'!O42</f>
        <v>G619</v>
      </c>
      <c r="AH263" t="str">
        <f>'WetLitterbags placem_collection'!Q42</f>
        <v>R420</v>
      </c>
      <c r="AI263" t="b">
        <f t="shared" si="108"/>
        <v>0</v>
      </c>
      <c r="AJ263" t="b">
        <f t="shared" si="109"/>
        <v>0</v>
      </c>
      <c r="AK263">
        <f>'WetLitterbags placem_collection'!A42</f>
        <v>40</v>
      </c>
      <c r="AL263">
        <f>'WetLitterbags placem_collection'!A42</f>
        <v>40</v>
      </c>
      <c r="AN263">
        <f>IF('Dry_Litterbag Placem_Collection'!L42=0,"",'Dry_Litterbag Placem_Collection'!L42)</f>
        <v>646</v>
      </c>
      <c r="AO263">
        <f>IF('Dry_Litterbag Placem_Collection'!M42=0,"",'Dry_Litterbag Placem_Collection'!M42)</f>
        <v>402</v>
      </c>
      <c r="AP263" t="b">
        <f t="shared" si="110"/>
        <v>0</v>
      </c>
      <c r="AQ263" t="b">
        <f t="shared" si="111"/>
        <v>0</v>
      </c>
      <c r="AT263" t="str">
        <f>'Ashed teabags dry'!A261</f>
        <v>G59</v>
      </c>
      <c r="AU263" t="str">
        <f>'Ashed teabags dry'!A598</f>
        <v>R751</v>
      </c>
      <c r="AV263" t="b">
        <f t="shared" si="112"/>
        <v>0</v>
      </c>
      <c r="AW263" t="b">
        <f t="shared" si="113"/>
        <v>0</v>
      </c>
      <c r="AZ263" s="401" t="b">
        <f t="shared" si="114"/>
        <v>0</v>
      </c>
      <c r="BA263" s="401" t="b">
        <f t="shared" si="115"/>
        <v>0</v>
      </c>
      <c r="BC263" t="str">
        <f>'Ashed teabags wet'!A261</f>
        <v>G703</v>
      </c>
      <c r="BD263" t="str">
        <f>'Ashed teabags wet'!A678</f>
        <v>R497</v>
      </c>
      <c r="BE263" t="b">
        <f t="shared" si="116"/>
        <v>0</v>
      </c>
      <c r="BF263" t="b">
        <f t="shared" si="117"/>
        <v>0</v>
      </c>
      <c r="BG263">
        <f>IFERROR('Ashed teabags wet'!C261,"")</f>
        <v>38</v>
      </c>
      <c r="BH263">
        <f>IFERROR('Ashed teabags wet'!C678,"")</f>
        <v>100</v>
      </c>
      <c r="BI263" t="str">
        <f>'Ashed teabags wet'!AB261</f>
        <v/>
      </c>
      <c r="BJ263">
        <f>'Ashed teabags wet'!AC261</f>
        <v>37</v>
      </c>
      <c r="BK263" t="str">
        <f>'Ashed teabags wet'!AD678</f>
        <v/>
      </c>
      <c r="BL263">
        <f>'Ashed teabags wet'!AE678</f>
        <v>99</v>
      </c>
      <c r="BN263" t="str">
        <f t="shared" si="118"/>
        <v>G702</v>
      </c>
      <c r="BO263" t="b">
        <f t="shared" si="119"/>
        <v>1</v>
      </c>
    </row>
    <row r="264" spans="2:67" ht="12" customHeight="1">
      <c r="B264" t="str">
        <f>TBIDry!H336</f>
        <v>G43</v>
      </c>
      <c r="C264" t="str">
        <f>TBIDry!I336</f>
        <v>R648</v>
      </c>
      <c r="D264" t="b">
        <f t="shared" si="96"/>
        <v>0</v>
      </c>
      <c r="E264" t="b">
        <f t="shared" si="97"/>
        <v>1</v>
      </c>
      <c r="G264" t="str">
        <f>TBIWet!H336</f>
        <v>G626</v>
      </c>
      <c r="H264" t="str">
        <f>TBIWet!I336</f>
        <v>R77</v>
      </c>
      <c r="I264" t="b">
        <f t="shared" si="98"/>
        <v>0</v>
      </c>
      <c r="J264" t="b">
        <f t="shared" si="99"/>
        <v>0</v>
      </c>
      <c r="L264" t="str">
        <f>'Both teabags AfterWet'!A263</f>
        <v>G702</v>
      </c>
      <c r="M264" t="str">
        <f>'Both teabags AfterWet'!A681</f>
        <v>R477</v>
      </c>
      <c r="N264" t="b">
        <f t="shared" si="100"/>
        <v>0</v>
      </c>
      <c r="O264" t="b">
        <f t="shared" si="101"/>
        <v>0</v>
      </c>
      <c r="P264" t="str">
        <f>IFERROR('Both teabags AfterWet'!B263,"")</f>
        <v>n.a</v>
      </c>
      <c r="Q264">
        <f>'Both teabags AfterWet'!B681</f>
        <v>132</v>
      </c>
      <c r="S264" s="401" t="b">
        <f t="shared" si="102"/>
        <v>0</v>
      </c>
      <c r="T264" s="401" t="b">
        <f t="shared" si="103"/>
        <v>0</v>
      </c>
      <c r="V264" t="str">
        <f>'Both teabags AfterDry'!A263</f>
        <v>G596</v>
      </c>
      <c r="W264" t="str">
        <f>'Both teabags AfterDry'!A600</f>
        <v>R756</v>
      </c>
      <c r="X264" t="b">
        <f t="shared" si="104"/>
        <v>0</v>
      </c>
      <c r="Y264" t="b">
        <f t="shared" si="105"/>
        <v>0</v>
      </c>
      <c r="AA264" t="str">
        <f>'Green_rooibos initial weight'!A265</f>
        <v>G261</v>
      </c>
      <c r="AB264" t="str">
        <f>'Green_rooibos initial weight'!A1169</f>
        <v>R261</v>
      </c>
      <c r="AC264" t="b">
        <f t="shared" si="106"/>
        <v>0</v>
      </c>
      <c r="AD264" t="b">
        <f t="shared" si="107"/>
        <v>0</v>
      </c>
      <c r="AG264" t="str">
        <f>'WetLitterbags placem_collection'!O43</f>
        <v>G626</v>
      </c>
      <c r="AH264" t="str">
        <f>'WetLitterbags placem_collection'!Q43</f>
        <v>R77</v>
      </c>
      <c r="AI264" t="b">
        <f t="shared" si="108"/>
        <v>0</v>
      </c>
      <c r="AJ264" t="b">
        <f t="shared" si="109"/>
        <v>0</v>
      </c>
      <c r="AK264">
        <f>'WetLitterbags placem_collection'!A43</f>
        <v>41</v>
      </c>
      <c r="AL264">
        <f>'WetLitterbags placem_collection'!A43</f>
        <v>41</v>
      </c>
      <c r="AN264">
        <f>IF('Dry_Litterbag Placem_Collection'!L43=0,"",'Dry_Litterbag Placem_Collection'!L43)</f>
        <v>43</v>
      </c>
      <c r="AO264">
        <f>IF('Dry_Litterbag Placem_Collection'!M43=0,"",'Dry_Litterbag Placem_Collection'!M43)</f>
        <v>648</v>
      </c>
      <c r="AP264" t="b">
        <f t="shared" si="110"/>
        <v>0</v>
      </c>
      <c r="AQ264" t="b">
        <f t="shared" si="111"/>
        <v>1</v>
      </c>
      <c r="AT264" t="str">
        <f>'Ashed teabags dry'!A262</f>
        <v>G596</v>
      </c>
      <c r="AU264" t="str">
        <f>'Ashed teabags dry'!A599</f>
        <v>R752</v>
      </c>
      <c r="AV264" t="b">
        <f t="shared" si="112"/>
        <v>0</v>
      </c>
      <c r="AW264" t="b">
        <f t="shared" si="113"/>
        <v>0</v>
      </c>
      <c r="AZ264" s="401" t="b">
        <f t="shared" si="114"/>
        <v>0</v>
      </c>
      <c r="BA264" s="401" t="b">
        <f t="shared" si="115"/>
        <v>0</v>
      </c>
      <c r="BC264" t="str">
        <f>'Ashed teabags wet'!A262</f>
        <v>G704</v>
      </c>
      <c r="BD264" t="str">
        <f>'Ashed teabags wet'!A679</f>
        <v>R50</v>
      </c>
      <c r="BE264" t="b">
        <f t="shared" si="116"/>
        <v>0</v>
      </c>
      <c r="BF264" t="b">
        <f t="shared" si="117"/>
        <v>0</v>
      </c>
      <c r="BG264">
        <f>IFERROR('Ashed teabags wet'!C262,"")</f>
        <v>106</v>
      </c>
      <c r="BH264">
        <f>IFERROR('Ashed teabags wet'!C679,"")</f>
        <v>20</v>
      </c>
      <c r="BI264">
        <f>'Ashed teabags wet'!AB262</f>
        <v>108</v>
      </c>
      <c r="BJ264" t="str">
        <f>'Ashed teabags wet'!AC262</f>
        <v/>
      </c>
      <c r="BK264">
        <f>'Ashed teabags wet'!AD679</f>
        <v>19</v>
      </c>
      <c r="BL264" t="str">
        <f>'Ashed teabags wet'!AE679</f>
        <v/>
      </c>
      <c r="BN264" t="str">
        <f t="shared" si="118"/>
        <v>G703</v>
      </c>
      <c r="BO264" t="b">
        <f t="shared" si="119"/>
        <v>1</v>
      </c>
    </row>
    <row r="265" spans="2:67" ht="12" customHeight="1">
      <c r="B265" t="str">
        <f>TBIDry!H337</f>
        <v>G268</v>
      </c>
      <c r="C265" t="str">
        <f>TBIDry!I337</f>
        <v>R257</v>
      </c>
      <c r="D265" t="b">
        <f t="shared" si="96"/>
        <v>0</v>
      </c>
      <c r="E265" t="b">
        <f t="shared" si="97"/>
        <v>0</v>
      </c>
      <c r="G265" t="str">
        <f>TBIWet!H337</f>
        <v>G437</v>
      </c>
      <c r="H265" t="str">
        <f>TBIWet!I337</f>
        <v>R81</v>
      </c>
      <c r="I265" t="b">
        <f t="shared" si="98"/>
        <v>0</v>
      </c>
      <c r="J265" t="b">
        <f t="shared" si="99"/>
        <v>0</v>
      </c>
      <c r="L265" t="str">
        <f>'Both teabags AfterWet'!A264</f>
        <v>G703</v>
      </c>
      <c r="M265" t="str">
        <f>'Both teabags AfterWet'!A682</f>
        <v>R479</v>
      </c>
      <c r="N265" t="b">
        <f t="shared" si="100"/>
        <v>0</v>
      </c>
      <c r="O265" t="b">
        <f t="shared" si="101"/>
        <v>0</v>
      </c>
      <c r="P265">
        <f>IFERROR('Both teabags AfterWet'!B264,"")</f>
        <v>38</v>
      </c>
      <c r="Q265" t="str">
        <f>'Both teabags AfterWet'!B682</f>
        <v>na</v>
      </c>
      <c r="S265" s="401" t="b">
        <f t="shared" si="102"/>
        <v>0</v>
      </c>
      <c r="T265" s="401" t="b">
        <f t="shared" si="103"/>
        <v>0</v>
      </c>
      <c r="V265" t="str">
        <f>'Both teabags AfterDry'!A264</f>
        <v>G598</v>
      </c>
      <c r="W265" t="str">
        <f>'Both teabags AfterDry'!A601</f>
        <v>R757</v>
      </c>
      <c r="X265" t="b">
        <f t="shared" si="104"/>
        <v>0</v>
      </c>
      <c r="Y265" t="b">
        <f t="shared" si="105"/>
        <v>0</v>
      </c>
      <c r="AA265" t="str">
        <f>'Green_rooibos initial weight'!A266</f>
        <v>G262</v>
      </c>
      <c r="AB265" t="str">
        <f>'Green_rooibos initial weight'!A1170</f>
        <v>R262</v>
      </c>
      <c r="AC265" t="b">
        <f t="shared" si="106"/>
        <v>0</v>
      </c>
      <c r="AD265" t="b">
        <f t="shared" si="107"/>
        <v>0</v>
      </c>
      <c r="AG265" t="str">
        <f>'WetLitterbags placem_collection'!O44</f>
        <v>G437</v>
      </c>
      <c r="AH265" t="str">
        <f>'WetLitterbags placem_collection'!Q44</f>
        <v>R81</v>
      </c>
      <c r="AI265" t="b">
        <f t="shared" si="108"/>
        <v>0</v>
      </c>
      <c r="AJ265" t="b">
        <f t="shared" si="109"/>
        <v>0</v>
      </c>
      <c r="AK265">
        <f>'WetLitterbags placem_collection'!A44</f>
        <v>42</v>
      </c>
      <c r="AL265">
        <f>'WetLitterbags placem_collection'!A44</f>
        <v>42</v>
      </c>
      <c r="AN265">
        <f>IF('Dry_Litterbag Placem_Collection'!L44=0,"",'Dry_Litterbag Placem_Collection'!L44)</f>
        <v>268</v>
      </c>
      <c r="AO265">
        <f>IF('Dry_Litterbag Placem_Collection'!M44=0,"",'Dry_Litterbag Placem_Collection'!M44)</f>
        <v>257</v>
      </c>
      <c r="AP265" t="b">
        <f t="shared" si="110"/>
        <v>0</v>
      </c>
      <c r="AQ265" t="b">
        <f t="shared" si="111"/>
        <v>0</v>
      </c>
      <c r="AT265" t="str">
        <f>'Ashed teabags dry'!A263</f>
        <v>G598</v>
      </c>
      <c r="AU265" t="str">
        <f>'Ashed teabags dry'!A600</f>
        <v>R756</v>
      </c>
      <c r="AV265" t="b">
        <f t="shared" si="112"/>
        <v>0</v>
      </c>
      <c r="AW265" t="b">
        <f t="shared" si="113"/>
        <v>0</v>
      </c>
      <c r="AZ265" s="401" t="b">
        <f t="shared" si="114"/>
        <v>0</v>
      </c>
      <c r="BA265" s="401" t="b">
        <f t="shared" si="115"/>
        <v>0</v>
      </c>
      <c r="BC265" t="str">
        <f>'Ashed teabags wet'!A263</f>
        <v>G706</v>
      </c>
      <c r="BD265" t="str">
        <f>'Ashed teabags wet'!A680</f>
        <v>R500</v>
      </c>
      <c r="BE265" t="b">
        <f t="shared" si="116"/>
        <v>0</v>
      </c>
      <c r="BF265" t="b">
        <f t="shared" si="117"/>
        <v>0</v>
      </c>
      <c r="BG265">
        <f>IFERROR('Ashed teabags wet'!C263,"")</f>
        <v>140</v>
      </c>
      <c r="BH265">
        <f>IFERROR('Ashed teabags wet'!C680,"")</f>
        <v>100</v>
      </c>
      <c r="BI265" t="str">
        <f>'Ashed teabags wet'!AB263</f>
        <v/>
      </c>
      <c r="BJ265">
        <f>'Ashed teabags wet'!AC263</f>
        <v>139</v>
      </c>
      <c r="BK265">
        <f>'Ashed teabags wet'!AD680</f>
        <v>99</v>
      </c>
      <c r="BL265" t="str">
        <f>'Ashed teabags wet'!AE680</f>
        <v/>
      </c>
      <c r="BN265" t="str">
        <f t="shared" si="118"/>
        <v>G704</v>
      </c>
      <c r="BO265" t="b">
        <f t="shared" si="119"/>
        <v>1</v>
      </c>
    </row>
    <row r="266" spans="2:67" ht="12" customHeight="1">
      <c r="B266" t="str">
        <f>TBIDry!H338</f>
        <v>G300</v>
      </c>
      <c r="C266" t="str">
        <f>TBIDry!I338</f>
        <v>R691</v>
      </c>
      <c r="D266" t="b">
        <f t="shared" si="96"/>
        <v>0</v>
      </c>
      <c r="E266" t="b">
        <f t="shared" si="97"/>
        <v>0</v>
      </c>
      <c r="G266" t="str">
        <f>TBIWet!H338</f>
        <v>G643</v>
      </c>
      <c r="H266" t="str">
        <f>TBIWet!I338</f>
        <v>R117</v>
      </c>
      <c r="I266" t="b">
        <f t="shared" si="98"/>
        <v>0</v>
      </c>
      <c r="J266" t="b">
        <f t="shared" si="99"/>
        <v>0</v>
      </c>
      <c r="L266" t="str">
        <f>'Both teabags AfterWet'!A265</f>
        <v>G704</v>
      </c>
      <c r="M266" t="str">
        <f>'Both teabags AfterWet'!A683</f>
        <v>R48</v>
      </c>
      <c r="N266" t="b">
        <f t="shared" si="100"/>
        <v>0</v>
      </c>
      <c r="O266" t="b">
        <f t="shared" si="101"/>
        <v>0</v>
      </c>
      <c r="P266">
        <f>IFERROR('Both teabags AfterWet'!B265,"")</f>
        <v>109</v>
      </c>
      <c r="Q266">
        <f>'Both teabags AfterWet'!B683</f>
        <v>58</v>
      </c>
      <c r="S266" s="401" t="b">
        <f t="shared" si="102"/>
        <v>0</v>
      </c>
      <c r="T266" s="401" t="b">
        <f t="shared" si="103"/>
        <v>0</v>
      </c>
      <c r="V266" t="str">
        <f>'Both teabags AfterDry'!A265</f>
        <v>G6</v>
      </c>
      <c r="W266" t="str">
        <f>'Both teabags AfterDry'!A602</f>
        <v>R758</v>
      </c>
      <c r="X266" t="b">
        <f t="shared" si="104"/>
        <v>0</v>
      </c>
      <c r="Y266" t="b">
        <f t="shared" si="105"/>
        <v>0</v>
      </c>
      <c r="AA266" t="str">
        <f>'Green_rooibos initial weight'!A267</f>
        <v>G263</v>
      </c>
      <c r="AB266" t="str">
        <f>'Green_rooibos initial weight'!A1171</f>
        <v>R263</v>
      </c>
      <c r="AC266" t="b">
        <f t="shared" si="106"/>
        <v>0</v>
      </c>
      <c r="AD266" t="b">
        <f t="shared" si="107"/>
        <v>0</v>
      </c>
      <c r="AG266" t="str">
        <f>'WetLitterbags placem_collection'!O45</f>
        <v>G643</v>
      </c>
      <c r="AH266" t="str">
        <f>'WetLitterbags placem_collection'!Q45</f>
        <v>R117</v>
      </c>
      <c r="AI266" t="b">
        <f t="shared" si="108"/>
        <v>0</v>
      </c>
      <c r="AJ266" t="b">
        <f t="shared" si="109"/>
        <v>0</v>
      </c>
      <c r="AK266">
        <f>'WetLitterbags placem_collection'!A45</f>
        <v>43</v>
      </c>
      <c r="AL266">
        <f>'WetLitterbags placem_collection'!A45</f>
        <v>43</v>
      </c>
      <c r="AN266">
        <f>IF('Dry_Litterbag Placem_Collection'!L45=0,"",'Dry_Litterbag Placem_Collection'!L45)</f>
        <v>300</v>
      </c>
      <c r="AO266">
        <f>IF('Dry_Litterbag Placem_Collection'!M45=0,"",'Dry_Litterbag Placem_Collection'!M45)</f>
        <v>691</v>
      </c>
      <c r="AP266" t="b">
        <f t="shared" si="110"/>
        <v>0</v>
      </c>
      <c r="AQ266" t="b">
        <f t="shared" si="111"/>
        <v>0</v>
      </c>
      <c r="AT266" t="str">
        <f>'Ashed teabags dry'!A264</f>
        <v>G6</v>
      </c>
      <c r="AU266" t="str">
        <f>'Ashed teabags dry'!A601</f>
        <v>R757</v>
      </c>
      <c r="AV266" t="b">
        <f t="shared" si="112"/>
        <v>0</v>
      </c>
      <c r="AW266" t="b">
        <f t="shared" si="113"/>
        <v>0</v>
      </c>
      <c r="AZ266" s="401" t="b">
        <f t="shared" si="114"/>
        <v>0</v>
      </c>
      <c r="BA266" s="401" t="b">
        <f t="shared" si="115"/>
        <v>0</v>
      </c>
      <c r="BC266" t="str">
        <f>'Ashed teabags wet'!A264</f>
        <v>G707</v>
      </c>
      <c r="BD266" t="str">
        <f>'Ashed teabags wet'!A681</f>
        <v>R501</v>
      </c>
      <c r="BE266" t="b">
        <f t="shared" si="116"/>
        <v>0</v>
      </c>
      <c r="BF266" t="b">
        <f t="shared" si="117"/>
        <v>0</v>
      </c>
      <c r="BG266">
        <f>IFERROR('Ashed teabags wet'!C264,"")</f>
        <v>201</v>
      </c>
      <c r="BH266">
        <f>IFERROR('Ashed teabags wet'!C681,"")</f>
        <v>75</v>
      </c>
      <c r="BI266" t="str">
        <f>'Ashed teabags wet'!AB264</f>
        <v/>
      </c>
      <c r="BJ266">
        <f>'Ashed teabags wet'!AC264</f>
        <v>200</v>
      </c>
      <c r="BK266">
        <f>'Ashed teabags wet'!AD681</f>
        <v>75</v>
      </c>
      <c r="BL266" t="str">
        <f>'Ashed teabags wet'!AE681</f>
        <v/>
      </c>
      <c r="BN266" t="str">
        <f t="shared" si="118"/>
        <v>G706</v>
      </c>
      <c r="BO266" t="b">
        <f t="shared" si="119"/>
        <v>1</v>
      </c>
    </row>
    <row r="267" spans="2:67" ht="12" customHeight="1">
      <c r="B267" t="str">
        <f>TBIDry!H339</f>
        <v>G823</v>
      </c>
      <c r="C267" t="str">
        <f>TBIDry!I339</f>
        <v>R716</v>
      </c>
      <c r="D267" t="b">
        <f t="shared" si="96"/>
        <v>0</v>
      </c>
      <c r="E267" t="b">
        <f t="shared" si="97"/>
        <v>0</v>
      </c>
      <c r="G267" t="str">
        <f>TBIWet!H339</f>
        <v>G283</v>
      </c>
      <c r="H267" t="str">
        <f>TBIWet!I339</f>
        <v>R6</v>
      </c>
      <c r="I267" t="b">
        <f t="shared" si="98"/>
        <v>0</v>
      </c>
      <c r="J267" t="b">
        <f t="shared" si="99"/>
        <v>0</v>
      </c>
      <c r="L267" t="str">
        <f>'Both teabags AfterWet'!A266</f>
        <v>G706</v>
      </c>
      <c r="M267" t="str">
        <f>'Both teabags AfterWet'!A684</f>
        <v>R480</v>
      </c>
      <c r="N267" t="b">
        <f t="shared" si="100"/>
        <v>0</v>
      </c>
      <c r="O267" t="b">
        <f t="shared" si="101"/>
        <v>0</v>
      </c>
      <c r="P267">
        <f>IFERROR('Both teabags AfterWet'!B266,"")</f>
        <v>140</v>
      </c>
      <c r="Q267">
        <f>'Both teabags AfterWet'!B684</f>
        <v>125</v>
      </c>
      <c r="S267" s="401" t="b">
        <f t="shared" si="102"/>
        <v>0</v>
      </c>
      <c r="T267" s="401" t="b">
        <f t="shared" si="103"/>
        <v>0</v>
      </c>
      <c r="V267" t="str">
        <f>'Both teabags AfterDry'!A266</f>
        <v>G60</v>
      </c>
      <c r="W267" t="str">
        <f>'Both teabags AfterDry'!A603</f>
        <v>R759</v>
      </c>
      <c r="X267" t="b">
        <f t="shared" si="104"/>
        <v>0</v>
      </c>
      <c r="Y267" t="b">
        <f t="shared" si="105"/>
        <v>0</v>
      </c>
      <c r="AA267" t="str">
        <f>'Green_rooibos initial weight'!A268</f>
        <v>G264</v>
      </c>
      <c r="AB267" t="str">
        <f>'Green_rooibos initial weight'!A1172</f>
        <v>R264</v>
      </c>
      <c r="AC267" t="b">
        <f t="shared" si="106"/>
        <v>0</v>
      </c>
      <c r="AD267" t="b">
        <f t="shared" si="107"/>
        <v>0</v>
      </c>
      <c r="AG267" t="str">
        <f>'WetLitterbags placem_collection'!O46</f>
        <v>G283</v>
      </c>
      <c r="AH267" t="str">
        <f>'WetLitterbags placem_collection'!Q46</f>
        <v>R6</v>
      </c>
      <c r="AI267" t="b">
        <f t="shared" si="108"/>
        <v>0</v>
      </c>
      <c r="AJ267" t="b">
        <f t="shared" si="109"/>
        <v>0</v>
      </c>
      <c r="AK267">
        <f>'WetLitterbags placem_collection'!A46</f>
        <v>44</v>
      </c>
      <c r="AL267">
        <f>'WetLitterbags placem_collection'!A46</f>
        <v>44</v>
      </c>
      <c r="AN267">
        <f>IF('Dry_Litterbag Placem_Collection'!L46=0,"",'Dry_Litterbag Placem_Collection'!L46)</f>
        <v>823</v>
      </c>
      <c r="AO267">
        <f>IF('Dry_Litterbag Placem_Collection'!M46=0,"",'Dry_Litterbag Placem_Collection'!M46)</f>
        <v>716</v>
      </c>
      <c r="AP267" t="b">
        <f t="shared" si="110"/>
        <v>0</v>
      </c>
      <c r="AQ267" t="b">
        <f t="shared" si="111"/>
        <v>0</v>
      </c>
      <c r="AT267" t="str">
        <f>'Ashed teabags dry'!A265</f>
        <v>G60</v>
      </c>
      <c r="AU267" t="str">
        <f>'Ashed teabags dry'!A602</f>
        <v>R758</v>
      </c>
      <c r="AV267" t="b">
        <f t="shared" si="112"/>
        <v>0</v>
      </c>
      <c r="AW267" t="b">
        <f t="shared" si="113"/>
        <v>0</v>
      </c>
      <c r="AZ267" s="401" t="b">
        <f t="shared" si="114"/>
        <v>0</v>
      </c>
      <c r="BA267" s="401" t="b">
        <f t="shared" si="115"/>
        <v>0</v>
      </c>
      <c r="BC267" t="str">
        <f>'Ashed teabags wet'!A265</f>
        <v>G708</v>
      </c>
      <c r="BD267" t="str">
        <f>'Ashed teabags wet'!A682</f>
        <v>R502</v>
      </c>
      <c r="BE267" t="b">
        <f t="shared" si="116"/>
        <v>0</v>
      </c>
      <c r="BF267" t="b">
        <f t="shared" si="117"/>
        <v>0</v>
      </c>
      <c r="BG267">
        <f>IFERROR('Ashed teabags wet'!C265,"")</f>
        <v>130</v>
      </c>
      <c r="BH267">
        <f>IFERROR('Ashed teabags wet'!C682,"")</f>
        <v>5</v>
      </c>
      <c r="BI267" t="str">
        <f>'Ashed teabags wet'!AB265</f>
        <v/>
      </c>
      <c r="BJ267">
        <f>'Ashed teabags wet'!AC265</f>
        <v>129</v>
      </c>
      <c r="BK267">
        <f>'Ashed teabags wet'!AD682</f>
        <v>4</v>
      </c>
      <c r="BL267" t="str">
        <f>'Ashed teabags wet'!AE682</f>
        <v/>
      </c>
      <c r="BN267" t="str">
        <f t="shared" si="118"/>
        <v>G707</v>
      </c>
      <c r="BO267" t="b">
        <f t="shared" si="119"/>
        <v>1</v>
      </c>
    </row>
    <row r="268" spans="2:67" ht="12" customHeight="1">
      <c r="B268" t="str">
        <f>TBIDry!H340</f>
        <v>G354</v>
      </c>
      <c r="C268" t="str">
        <f>TBIDry!I340</f>
        <v>R631</v>
      </c>
      <c r="D268" t="b">
        <f t="shared" si="96"/>
        <v>0</v>
      </c>
      <c r="E268" t="b">
        <f t="shared" si="97"/>
        <v>0</v>
      </c>
      <c r="G268" t="str">
        <f>TBIWet!H340</f>
        <v>G602</v>
      </c>
      <c r="H268" t="str">
        <f>TBIWet!I340</f>
        <v>R74</v>
      </c>
      <c r="I268" t="b">
        <f t="shared" si="98"/>
        <v>0</v>
      </c>
      <c r="J268" t="b">
        <f t="shared" si="99"/>
        <v>0</v>
      </c>
      <c r="L268" t="str">
        <f>'Both teabags AfterWet'!A267</f>
        <v>G707</v>
      </c>
      <c r="M268" t="str">
        <f>'Both teabags AfterWet'!A685</f>
        <v>R481</v>
      </c>
      <c r="N268" t="b">
        <f t="shared" si="100"/>
        <v>0</v>
      </c>
      <c r="O268" t="b">
        <f t="shared" si="101"/>
        <v>0</v>
      </c>
      <c r="P268">
        <f>IFERROR('Both teabags AfterWet'!B267,"")</f>
        <v>201</v>
      </c>
      <c r="Q268">
        <f>'Both teabags AfterWet'!B685</f>
        <v>175</v>
      </c>
      <c r="S268" s="401" t="b">
        <f t="shared" si="102"/>
        <v>0</v>
      </c>
      <c r="T268" s="401" t="b">
        <f t="shared" si="103"/>
        <v>0</v>
      </c>
      <c r="V268" t="str">
        <f>'Both teabags AfterDry'!A267</f>
        <v>G601</v>
      </c>
      <c r="W268" t="str">
        <f>'Both teabags AfterDry'!A604</f>
        <v>R760</v>
      </c>
      <c r="X268" t="b">
        <f t="shared" si="104"/>
        <v>0</v>
      </c>
      <c r="Y268" t="b">
        <f t="shared" si="105"/>
        <v>0</v>
      </c>
      <c r="AA268" t="str">
        <f>'Green_rooibos initial weight'!A269</f>
        <v>G265</v>
      </c>
      <c r="AB268" t="str">
        <f>'Green_rooibos initial weight'!A1173</f>
        <v>R265</v>
      </c>
      <c r="AC268" t="b">
        <f t="shared" si="106"/>
        <v>0</v>
      </c>
      <c r="AD268" t="b">
        <f t="shared" si="107"/>
        <v>0</v>
      </c>
      <c r="AG268" t="str">
        <f>'WetLitterbags placem_collection'!O47</f>
        <v>G602</v>
      </c>
      <c r="AH268" t="str">
        <f>'WetLitterbags placem_collection'!Q47</f>
        <v>R74</v>
      </c>
      <c r="AI268" t="b">
        <f t="shared" si="108"/>
        <v>0</v>
      </c>
      <c r="AJ268" t="b">
        <f t="shared" si="109"/>
        <v>0</v>
      </c>
      <c r="AK268">
        <f>'WetLitterbags placem_collection'!A47</f>
        <v>45</v>
      </c>
      <c r="AL268">
        <f>'WetLitterbags placem_collection'!A47</f>
        <v>45</v>
      </c>
      <c r="AN268">
        <f>IF('Dry_Litterbag Placem_Collection'!L47=0,"",'Dry_Litterbag Placem_Collection'!L47)</f>
        <v>354</v>
      </c>
      <c r="AO268">
        <f>IF('Dry_Litterbag Placem_Collection'!M47=0,"",'Dry_Litterbag Placem_Collection'!M47)</f>
        <v>631</v>
      </c>
      <c r="AP268" t="b">
        <f t="shared" si="110"/>
        <v>0</v>
      </c>
      <c r="AQ268" t="b">
        <f t="shared" si="111"/>
        <v>0</v>
      </c>
      <c r="AT268" t="str">
        <f>'Ashed teabags dry'!A266</f>
        <v>G601</v>
      </c>
      <c r="AU268" t="str">
        <f>'Ashed teabags dry'!A603</f>
        <v>R759</v>
      </c>
      <c r="AV268" t="b">
        <f t="shared" si="112"/>
        <v>0</v>
      </c>
      <c r="AW268" t="b">
        <f t="shared" si="113"/>
        <v>0</v>
      </c>
      <c r="AZ268" s="401" t="b">
        <f t="shared" si="114"/>
        <v>0</v>
      </c>
      <c r="BA268" s="401" t="b">
        <f t="shared" si="115"/>
        <v>0</v>
      </c>
      <c r="BC268" t="str">
        <f>'Ashed teabags wet'!A266</f>
        <v>G709</v>
      </c>
      <c r="BD268" t="str">
        <f>'Ashed teabags wet'!A683</f>
        <v>R504</v>
      </c>
      <c r="BE268" t="b">
        <f t="shared" si="116"/>
        <v>0</v>
      </c>
      <c r="BF268" t="b">
        <f t="shared" si="117"/>
        <v>0</v>
      </c>
      <c r="BG268">
        <f>IFERROR('Ashed teabags wet'!C266,"")</f>
        <v>200</v>
      </c>
      <c r="BH268">
        <f>IFERROR('Ashed teabags wet'!C683,"")</f>
        <v>151</v>
      </c>
      <c r="BI268" t="str">
        <f>'Ashed teabags wet'!AB266</f>
        <v/>
      </c>
      <c r="BJ268">
        <f>'Ashed teabags wet'!AC266</f>
        <v>199</v>
      </c>
      <c r="BK268" t="str">
        <f>'Ashed teabags wet'!AD683</f>
        <v/>
      </c>
      <c r="BL268">
        <f>'Ashed teabags wet'!AE683</f>
        <v>150</v>
      </c>
      <c r="BN268" t="str">
        <f t="shared" si="118"/>
        <v>G708</v>
      </c>
      <c r="BO268" t="b">
        <f t="shared" si="119"/>
        <v>1</v>
      </c>
    </row>
    <row r="269" spans="2:67" ht="12" customHeight="1">
      <c r="B269" t="str">
        <f>TBIDry!H341</f>
        <v/>
      </c>
      <c r="C269" t="str">
        <f>TBIDry!I341</f>
        <v/>
      </c>
      <c r="D269" t="b">
        <f t="shared" si="96"/>
        <v>1</v>
      </c>
      <c r="E269" t="b">
        <f t="shared" si="97"/>
        <v>1</v>
      </c>
      <c r="G269" t="str">
        <f>TBIWet!H341</f>
        <v>G427</v>
      </c>
      <c r="H269" t="str">
        <f>TBIWet!I341</f>
        <v>R102</v>
      </c>
      <c r="I269" t="b">
        <f t="shared" si="98"/>
        <v>0</v>
      </c>
      <c r="J269" t="b">
        <f t="shared" si="99"/>
        <v>0</v>
      </c>
      <c r="L269" t="str">
        <f>'Both teabags AfterWet'!A268</f>
        <v>G708</v>
      </c>
      <c r="M269" t="str">
        <f>'Both teabags AfterWet'!A686</f>
        <v>R482</v>
      </c>
      <c r="N269" t="b">
        <f t="shared" si="100"/>
        <v>0</v>
      </c>
      <c r="O269" t="b">
        <f t="shared" si="101"/>
        <v>0</v>
      </c>
      <c r="P269">
        <f>IFERROR('Both teabags AfterWet'!B268,"")</f>
        <v>130</v>
      </c>
      <c r="Q269" t="str">
        <f>'Both teabags AfterWet'!B686</f>
        <v>n.a</v>
      </c>
      <c r="S269" s="401" t="b">
        <f t="shared" si="102"/>
        <v>0</v>
      </c>
      <c r="T269" s="401" t="b">
        <f t="shared" si="103"/>
        <v>0</v>
      </c>
      <c r="V269" t="str">
        <f>'Both teabags AfterDry'!A268</f>
        <v>G61</v>
      </c>
      <c r="W269" t="str">
        <f>'Both teabags AfterDry'!A605</f>
        <v>R761</v>
      </c>
      <c r="X269" t="b">
        <f t="shared" si="104"/>
        <v>0</v>
      </c>
      <c r="Y269" t="b">
        <f t="shared" si="105"/>
        <v>0</v>
      </c>
      <c r="AA269" t="str">
        <f>'Green_rooibos initial weight'!A270</f>
        <v>G266</v>
      </c>
      <c r="AB269" t="str">
        <f>'Green_rooibos initial weight'!A1174</f>
        <v>R266</v>
      </c>
      <c r="AC269" t="b">
        <f t="shared" si="106"/>
        <v>0</v>
      </c>
      <c r="AD269" t="b">
        <f t="shared" si="107"/>
        <v>0</v>
      </c>
      <c r="AG269" t="str">
        <f>'WetLitterbags placem_collection'!O48</f>
        <v>G427</v>
      </c>
      <c r="AH269" t="str">
        <f>'WetLitterbags placem_collection'!Q48</f>
        <v>R102</v>
      </c>
      <c r="AI269" t="b">
        <f t="shared" si="108"/>
        <v>0</v>
      </c>
      <c r="AJ269" t="b">
        <f t="shared" si="109"/>
        <v>0</v>
      </c>
      <c r="AK269">
        <f>'WetLitterbags placem_collection'!A48</f>
        <v>46</v>
      </c>
      <c r="AL269">
        <f>'WetLitterbags placem_collection'!A48</f>
        <v>46</v>
      </c>
      <c r="AN269" t="str">
        <f>IF('Dry_Litterbag Placem_Collection'!L48=0,"",'Dry_Litterbag Placem_Collection'!L48)</f>
        <v/>
      </c>
      <c r="AO269" t="str">
        <f>IF('Dry_Litterbag Placem_Collection'!M48=0,"",'Dry_Litterbag Placem_Collection'!M48)</f>
        <v/>
      </c>
      <c r="AP269" t="b">
        <f t="shared" si="110"/>
        <v>1</v>
      </c>
      <c r="AQ269" t="b">
        <f t="shared" si="111"/>
        <v>1</v>
      </c>
      <c r="AT269" t="str">
        <f>'Ashed teabags dry'!A267</f>
        <v>G61</v>
      </c>
      <c r="AU269" t="str">
        <f>'Ashed teabags dry'!A604</f>
        <v>R760</v>
      </c>
      <c r="AV269" t="b">
        <f t="shared" si="112"/>
        <v>0</v>
      </c>
      <c r="AW269" t="b">
        <f t="shared" si="113"/>
        <v>0</v>
      </c>
      <c r="AZ269" s="401" t="b">
        <f t="shared" si="114"/>
        <v>0</v>
      </c>
      <c r="BA269" s="401" t="b">
        <f t="shared" si="115"/>
        <v>0</v>
      </c>
      <c r="BC269" t="str">
        <f>'Ashed teabags wet'!A267</f>
        <v>G710</v>
      </c>
      <c r="BD269" t="str">
        <f>'Ashed teabags wet'!A684</f>
        <v>R505</v>
      </c>
      <c r="BE269" t="b">
        <f t="shared" si="116"/>
        <v>0</v>
      </c>
      <c r="BF269" t="b">
        <f t="shared" si="117"/>
        <v>0</v>
      </c>
      <c r="BG269">
        <f>IFERROR('Ashed teabags wet'!C267,"")</f>
        <v>208</v>
      </c>
      <c r="BH269">
        <f>IFERROR('Ashed teabags wet'!C684,"")</f>
        <v>111</v>
      </c>
      <c r="BI269">
        <f>'Ashed teabags wet'!AB267</f>
        <v>207</v>
      </c>
      <c r="BJ269" t="str">
        <f>'Ashed teabags wet'!AC267</f>
        <v/>
      </c>
      <c r="BK269">
        <f>'Ashed teabags wet'!AD684</f>
        <v>110</v>
      </c>
      <c r="BL269" t="str">
        <f>'Ashed teabags wet'!AE684</f>
        <v/>
      </c>
      <c r="BN269" t="str">
        <f t="shared" si="118"/>
        <v>G709</v>
      </c>
      <c r="BO269" t="b">
        <f t="shared" si="119"/>
        <v>1</v>
      </c>
    </row>
    <row r="270" spans="2:67" ht="12" customHeight="1">
      <c r="B270" t="str">
        <f>TBIDry!H342</f>
        <v>G659</v>
      </c>
      <c r="C270" t="str">
        <f>TBIDry!I342</f>
        <v>R606</v>
      </c>
      <c r="D270" t="b">
        <f t="shared" si="96"/>
        <v>0</v>
      </c>
      <c r="E270" t="b">
        <f t="shared" si="97"/>
        <v>0</v>
      </c>
      <c r="G270" t="str">
        <f>TBIWet!H342</f>
        <v>G512</v>
      </c>
      <c r="H270" t="str">
        <f>TBIWet!I342</f>
        <v>R76</v>
      </c>
      <c r="I270" t="b">
        <f t="shared" si="98"/>
        <v>0</v>
      </c>
      <c r="J270" t="b">
        <f t="shared" si="99"/>
        <v>0</v>
      </c>
      <c r="L270" t="str">
        <f>'Both teabags AfterWet'!A269</f>
        <v>G709</v>
      </c>
      <c r="M270" t="str">
        <f>'Both teabags AfterWet'!A687</f>
        <v>R483</v>
      </c>
      <c r="N270" t="b">
        <f t="shared" si="100"/>
        <v>0</v>
      </c>
      <c r="O270" t="b">
        <f t="shared" si="101"/>
        <v>0</v>
      </c>
      <c r="P270" t="str">
        <f>IFERROR('Both teabags AfterWet'!B269,"")</f>
        <v>n.a</v>
      </c>
      <c r="Q270">
        <f>'Both teabags AfterWet'!B687</f>
        <v>137</v>
      </c>
      <c r="S270" s="401" t="b">
        <f t="shared" si="102"/>
        <v>0</v>
      </c>
      <c r="T270" s="401" t="b">
        <f t="shared" si="103"/>
        <v>0</v>
      </c>
      <c r="V270" t="str">
        <f>'Both teabags AfterDry'!A269</f>
        <v>G611</v>
      </c>
      <c r="W270" t="str">
        <f>'Both teabags AfterDry'!A606</f>
        <v>R762</v>
      </c>
      <c r="X270" t="b">
        <f t="shared" si="104"/>
        <v>0</v>
      </c>
      <c r="Y270" t="b">
        <f t="shared" si="105"/>
        <v>0</v>
      </c>
      <c r="AA270" t="str">
        <f>'Green_rooibos initial weight'!A271</f>
        <v>G267</v>
      </c>
      <c r="AB270" t="str">
        <f>'Green_rooibos initial weight'!A1175</f>
        <v>R267</v>
      </c>
      <c r="AC270" t="b">
        <f t="shared" si="106"/>
        <v>0</v>
      </c>
      <c r="AD270" t="b">
        <f t="shared" si="107"/>
        <v>0</v>
      </c>
      <c r="AG270" t="str">
        <f>'WetLitterbags placem_collection'!O49</f>
        <v>G512</v>
      </c>
      <c r="AH270" t="str">
        <f>'WetLitterbags placem_collection'!Q49</f>
        <v>R76</v>
      </c>
      <c r="AI270" t="b">
        <f t="shared" si="108"/>
        <v>0</v>
      </c>
      <c r="AJ270" t="b">
        <f t="shared" si="109"/>
        <v>0</v>
      </c>
      <c r="AK270">
        <f>'WetLitterbags placem_collection'!A49</f>
        <v>47</v>
      </c>
      <c r="AL270">
        <f>'WetLitterbags placem_collection'!A49</f>
        <v>47</v>
      </c>
      <c r="AN270">
        <f>IF('Dry_Litterbag Placem_Collection'!L49=0,"",'Dry_Litterbag Placem_Collection'!L49)</f>
        <v>659</v>
      </c>
      <c r="AO270">
        <f>IF('Dry_Litterbag Placem_Collection'!M49=0,"",'Dry_Litterbag Placem_Collection'!M49)</f>
        <v>606</v>
      </c>
      <c r="AP270" t="b">
        <f t="shared" si="110"/>
        <v>0</v>
      </c>
      <c r="AQ270" t="b">
        <f t="shared" si="111"/>
        <v>0</v>
      </c>
      <c r="AT270" t="str">
        <f>'Ashed teabags dry'!A268</f>
        <v>G611</v>
      </c>
      <c r="AU270" t="str">
        <f>'Ashed teabags dry'!A605</f>
        <v>R761</v>
      </c>
      <c r="AV270" t="b">
        <f t="shared" si="112"/>
        <v>0</v>
      </c>
      <c r="AW270" t="b">
        <f t="shared" si="113"/>
        <v>0</v>
      </c>
      <c r="AZ270" s="401" t="b">
        <f t="shared" si="114"/>
        <v>0</v>
      </c>
      <c r="BA270" s="401" t="b">
        <f t="shared" si="115"/>
        <v>0</v>
      </c>
      <c r="BC270" t="str">
        <f>'Ashed teabags wet'!A268</f>
        <v>G712</v>
      </c>
      <c r="BD270" t="str">
        <f>'Ashed teabags wet'!A685</f>
        <v>R506</v>
      </c>
      <c r="BE270" t="b">
        <f t="shared" si="116"/>
        <v>0</v>
      </c>
      <c r="BF270" t="b">
        <f t="shared" si="117"/>
        <v>0</v>
      </c>
      <c r="BG270">
        <f>IFERROR('Ashed teabags wet'!C268,"")</f>
        <v>199</v>
      </c>
      <c r="BH270">
        <f>IFERROR('Ashed teabags wet'!C685,"")</f>
        <v>127</v>
      </c>
      <c r="BI270" t="str">
        <f>'Ashed teabags wet'!AB268</f>
        <v/>
      </c>
      <c r="BJ270">
        <f>'Ashed teabags wet'!AC268</f>
        <v>198</v>
      </c>
      <c r="BK270">
        <f>'Ashed teabags wet'!AD685</f>
        <v>126</v>
      </c>
      <c r="BL270" t="str">
        <f>'Ashed teabags wet'!AE685</f>
        <v/>
      </c>
      <c r="BN270" t="str">
        <f t="shared" si="118"/>
        <v>G710</v>
      </c>
      <c r="BO270" t="b">
        <f t="shared" si="119"/>
        <v>1</v>
      </c>
    </row>
    <row r="271" spans="2:67" ht="12" customHeight="1">
      <c r="B271" t="str">
        <f>TBIDry!H343</f>
        <v>G267</v>
      </c>
      <c r="C271" t="str">
        <f>TBIDry!I343</f>
        <v>R221</v>
      </c>
      <c r="D271" t="b">
        <f t="shared" si="96"/>
        <v>0</v>
      </c>
      <c r="E271" t="b">
        <f t="shared" si="97"/>
        <v>0</v>
      </c>
      <c r="G271" t="str">
        <f>TBIWet!H343</f>
        <v>G299</v>
      </c>
      <c r="H271" t="str">
        <f>TBIWet!I343</f>
        <v>R107</v>
      </c>
      <c r="I271" t="b">
        <f t="shared" si="98"/>
        <v>0</v>
      </c>
      <c r="J271" t="b">
        <f t="shared" si="99"/>
        <v>0</v>
      </c>
      <c r="L271" t="str">
        <f>'Both teabags AfterWet'!A270</f>
        <v>G710</v>
      </c>
      <c r="M271" t="str">
        <f>'Both teabags AfterWet'!A688</f>
        <v>R484</v>
      </c>
      <c r="N271" t="b">
        <f t="shared" si="100"/>
        <v>0</v>
      </c>
      <c r="O271" t="b">
        <f t="shared" si="101"/>
        <v>0</v>
      </c>
      <c r="P271">
        <f>IFERROR('Both teabags AfterWet'!B270,"")</f>
        <v>208</v>
      </c>
      <c r="Q271">
        <f>'Both teabags AfterWet'!B688</f>
        <v>155</v>
      </c>
      <c r="S271" s="401" t="b">
        <f t="shared" si="102"/>
        <v>0</v>
      </c>
      <c r="T271" s="401" t="b">
        <f t="shared" si="103"/>
        <v>0</v>
      </c>
      <c r="V271" t="str">
        <f>'Both teabags AfterDry'!A270</f>
        <v>G612</v>
      </c>
      <c r="W271" t="str">
        <f>'Both teabags AfterDry'!A607</f>
        <v>R763</v>
      </c>
      <c r="X271" t="b">
        <f t="shared" si="104"/>
        <v>0</v>
      </c>
      <c r="Y271" t="b">
        <f t="shared" si="105"/>
        <v>0</v>
      </c>
      <c r="AA271" t="str">
        <f>'Green_rooibos initial weight'!A272</f>
        <v>G268</v>
      </c>
      <c r="AB271" t="str">
        <f>'Green_rooibos initial weight'!A1176</f>
        <v>R268</v>
      </c>
      <c r="AC271" t="b">
        <f t="shared" si="106"/>
        <v>0</v>
      </c>
      <c r="AD271" t="b">
        <f t="shared" si="107"/>
        <v>0</v>
      </c>
      <c r="AG271" t="str">
        <f>'WetLitterbags placem_collection'!O50</f>
        <v>G299</v>
      </c>
      <c r="AH271" t="str">
        <f>'WetLitterbags placem_collection'!Q50</f>
        <v>R107</v>
      </c>
      <c r="AI271" t="b">
        <f t="shared" si="108"/>
        <v>0</v>
      </c>
      <c r="AJ271" t="b">
        <f t="shared" si="109"/>
        <v>0</v>
      </c>
      <c r="AK271">
        <f>'WetLitterbags placem_collection'!A50</f>
        <v>48</v>
      </c>
      <c r="AL271">
        <f>'WetLitterbags placem_collection'!A50</f>
        <v>48</v>
      </c>
      <c r="AN271">
        <f>IF('Dry_Litterbag Placem_Collection'!L50=0,"",'Dry_Litterbag Placem_Collection'!L50)</f>
        <v>267</v>
      </c>
      <c r="AO271">
        <f>IF('Dry_Litterbag Placem_Collection'!M50=0,"",'Dry_Litterbag Placem_Collection'!M50)</f>
        <v>221</v>
      </c>
      <c r="AP271" t="b">
        <f t="shared" si="110"/>
        <v>0</v>
      </c>
      <c r="AQ271" t="b">
        <f t="shared" si="111"/>
        <v>0</v>
      </c>
      <c r="AT271" t="str">
        <f>'Ashed teabags dry'!A269</f>
        <v>G612</v>
      </c>
      <c r="AU271" t="str">
        <f>'Ashed teabags dry'!A606</f>
        <v>R762</v>
      </c>
      <c r="AV271" t="b">
        <f t="shared" si="112"/>
        <v>0</v>
      </c>
      <c r="AW271" t="b">
        <f t="shared" si="113"/>
        <v>0</v>
      </c>
      <c r="AZ271" s="401" t="b">
        <f t="shared" si="114"/>
        <v>0</v>
      </c>
      <c r="BA271" s="401" t="b">
        <f t="shared" si="115"/>
        <v>0</v>
      </c>
      <c r="BC271" t="str">
        <f>'Ashed teabags wet'!A269</f>
        <v>G713</v>
      </c>
      <c r="BD271" t="str">
        <f>'Ashed teabags wet'!A686</f>
        <v>R507</v>
      </c>
      <c r="BE271" t="b">
        <f t="shared" si="116"/>
        <v>0</v>
      </c>
      <c r="BF271" t="b">
        <f t="shared" si="117"/>
        <v>0</v>
      </c>
      <c r="BG271">
        <f>IFERROR('Ashed teabags wet'!C269,"")</f>
        <v>194</v>
      </c>
      <c r="BH271">
        <f>IFERROR('Ashed teabags wet'!C686,"")</f>
        <v>30</v>
      </c>
      <c r="BI271" t="str">
        <f>'Ashed teabags wet'!AB269</f>
        <v/>
      </c>
      <c r="BJ271">
        <f>'Ashed teabags wet'!AC269</f>
        <v>193</v>
      </c>
      <c r="BK271">
        <f>'Ashed teabags wet'!AD686</f>
        <v>29</v>
      </c>
      <c r="BL271" t="str">
        <f>'Ashed teabags wet'!AE686</f>
        <v/>
      </c>
      <c r="BN271" t="str">
        <f t="shared" si="118"/>
        <v>G712</v>
      </c>
      <c r="BO271" t="b">
        <f t="shared" si="119"/>
        <v>1</v>
      </c>
    </row>
    <row r="272" spans="2:67" ht="12" customHeight="1">
      <c r="B272" t="str">
        <f>TBIDry!H344</f>
        <v>G812</v>
      </c>
      <c r="C272" t="str">
        <f>TBIDry!I344</f>
        <v>R308</v>
      </c>
      <c r="D272" t="b">
        <f t="shared" si="96"/>
        <v>0</v>
      </c>
      <c r="E272" t="b">
        <f t="shared" si="97"/>
        <v>0</v>
      </c>
      <c r="G272" t="str">
        <f>TBIWet!H344</f>
        <v>G739</v>
      </c>
      <c r="H272" t="str">
        <f>TBIWet!I344</f>
        <v>R155</v>
      </c>
      <c r="I272" t="b">
        <f t="shared" si="98"/>
        <v>0</v>
      </c>
      <c r="J272" t="b">
        <f t="shared" si="99"/>
        <v>0</v>
      </c>
      <c r="L272" t="str">
        <f>'Both teabags AfterWet'!A271</f>
        <v>G712</v>
      </c>
      <c r="M272" t="str">
        <f>'Both teabags AfterWet'!A689</f>
        <v>R485</v>
      </c>
      <c r="N272" t="b">
        <f t="shared" si="100"/>
        <v>0</v>
      </c>
      <c r="O272" t="b">
        <f t="shared" si="101"/>
        <v>0</v>
      </c>
      <c r="P272">
        <f>IFERROR('Both teabags AfterWet'!B271,"")</f>
        <v>109</v>
      </c>
      <c r="Q272">
        <f>'Both teabags AfterWet'!B689</f>
        <v>154</v>
      </c>
      <c r="S272" s="401" t="b">
        <f t="shared" si="102"/>
        <v>0</v>
      </c>
      <c r="T272" s="401" t="b">
        <f t="shared" si="103"/>
        <v>0</v>
      </c>
      <c r="V272" t="str">
        <f>'Both teabags AfterDry'!A271</f>
        <v>G617</v>
      </c>
      <c r="W272" t="str">
        <f>'Both teabags AfterDry'!A608</f>
        <v>R764</v>
      </c>
      <c r="X272" t="b">
        <f t="shared" si="104"/>
        <v>0</v>
      </c>
      <c r="Y272" t="b">
        <f t="shared" si="105"/>
        <v>0</v>
      </c>
      <c r="AA272" t="str">
        <f>'Green_rooibos initial weight'!A273</f>
        <v>G269</v>
      </c>
      <c r="AB272" t="str">
        <f>'Green_rooibos initial weight'!A1177</f>
        <v>R269</v>
      </c>
      <c r="AC272" t="b">
        <f t="shared" si="106"/>
        <v>0</v>
      </c>
      <c r="AD272" t="b">
        <f t="shared" si="107"/>
        <v>0</v>
      </c>
      <c r="AG272" t="str">
        <f>'WetLitterbags placem_collection'!O51</f>
        <v>G739</v>
      </c>
      <c r="AH272" t="str">
        <f>'WetLitterbags placem_collection'!Q51</f>
        <v>R155</v>
      </c>
      <c r="AI272" t="b">
        <f t="shared" si="108"/>
        <v>0</v>
      </c>
      <c r="AJ272" t="b">
        <f t="shared" si="109"/>
        <v>0</v>
      </c>
      <c r="AK272">
        <f>'WetLitterbags placem_collection'!A51</f>
        <v>49</v>
      </c>
      <c r="AL272">
        <f>'WetLitterbags placem_collection'!A51</f>
        <v>49</v>
      </c>
      <c r="AN272">
        <f>IF('Dry_Litterbag Placem_Collection'!L51=0,"",'Dry_Litterbag Placem_Collection'!L51)</f>
        <v>812</v>
      </c>
      <c r="AO272">
        <f>IF('Dry_Litterbag Placem_Collection'!M51=0,"",'Dry_Litterbag Placem_Collection'!M51)</f>
        <v>308</v>
      </c>
      <c r="AP272" t="b">
        <f t="shared" si="110"/>
        <v>0</v>
      </c>
      <c r="AQ272" t="b">
        <f t="shared" si="111"/>
        <v>0</v>
      </c>
      <c r="AT272" s="113" t="str">
        <f>'Ashed teabags dry'!A270</f>
        <v>G619</v>
      </c>
      <c r="AU272" t="str">
        <f>'Ashed teabags dry'!A607</f>
        <v>R763</v>
      </c>
      <c r="AV272" t="b">
        <f t="shared" si="112"/>
        <v>0</v>
      </c>
      <c r="AW272" t="b">
        <f t="shared" si="113"/>
        <v>0</v>
      </c>
      <c r="AZ272" s="113" t="b">
        <f t="shared" si="114"/>
        <v>1</v>
      </c>
      <c r="BA272" s="401" t="b">
        <f t="shared" si="115"/>
        <v>0</v>
      </c>
      <c r="BC272" t="str">
        <f>'Ashed teabags wet'!A270</f>
        <v>G715</v>
      </c>
      <c r="BD272" t="str">
        <f>'Ashed teabags wet'!A687</f>
        <v>R508</v>
      </c>
      <c r="BE272" t="b">
        <f t="shared" si="116"/>
        <v>0</v>
      </c>
      <c r="BF272" t="b">
        <f t="shared" si="117"/>
        <v>0</v>
      </c>
      <c r="BG272">
        <f>IFERROR('Ashed teabags wet'!C270,"")</f>
        <v>197</v>
      </c>
      <c r="BH272">
        <f>IFERROR('Ashed teabags wet'!C687,"")</f>
        <v>4</v>
      </c>
      <c r="BI272">
        <f>'Ashed teabags wet'!AB270</f>
        <v>196</v>
      </c>
      <c r="BJ272" t="str">
        <f>'Ashed teabags wet'!AC270</f>
        <v/>
      </c>
      <c r="BK272" t="str">
        <f>'Ashed teabags wet'!AD687</f>
        <v/>
      </c>
      <c r="BL272">
        <f>'Ashed teabags wet'!AE687</f>
        <v>3</v>
      </c>
      <c r="BN272" t="str">
        <f t="shared" si="118"/>
        <v>G713</v>
      </c>
      <c r="BO272" t="b">
        <f t="shared" si="119"/>
        <v>1</v>
      </c>
    </row>
    <row r="273" spans="2:67" ht="12" customHeight="1">
      <c r="B273" t="str">
        <f>TBIDry!H345</f>
        <v>G212</v>
      </c>
      <c r="C273" t="str">
        <f>TBIDry!I345</f>
        <v>R644</v>
      </c>
      <c r="D273" t="b">
        <f t="shared" si="96"/>
        <v>0</v>
      </c>
      <c r="E273" t="b">
        <f t="shared" si="97"/>
        <v>0</v>
      </c>
      <c r="G273" t="str">
        <f>TBIWet!H345</f>
        <v>G559</v>
      </c>
      <c r="H273" t="str">
        <f>TBIWet!I345</f>
        <v>R98</v>
      </c>
      <c r="I273" t="b">
        <f t="shared" si="98"/>
        <v>0</v>
      </c>
      <c r="J273" t="b">
        <f t="shared" si="99"/>
        <v>0</v>
      </c>
      <c r="L273" t="str">
        <f>'Both teabags AfterWet'!A272</f>
        <v>G713</v>
      </c>
      <c r="M273" t="str">
        <f>'Both teabags AfterWet'!A690</f>
        <v>R487</v>
      </c>
      <c r="N273" t="b">
        <f t="shared" si="100"/>
        <v>0</v>
      </c>
      <c r="O273" t="b">
        <f t="shared" si="101"/>
        <v>0</v>
      </c>
      <c r="P273">
        <f>IFERROR('Both teabags AfterWet'!B272,"")</f>
        <v>104</v>
      </c>
      <c r="Q273">
        <f>'Both teabags AfterWet'!B690</f>
        <v>111</v>
      </c>
      <c r="S273" s="401" t="b">
        <f t="shared" si="102"/>
        <v>0</v>
      </c>
      <c r="T273" s="401" t="b">
        <f t="shared" si="103"/>
        <v>0</v>
      </c>
      <c r="V273" t="str">
        <f>'Both teabags AfterDry'!A272</f>
        <v>G62</v>
      </c>
      <c r="W273" t="str">
        <f>'Both teabags AfterDry'!A609</f>
        <v>R765</v>
      </c>
      <c r="X273" t="b">
        <f t="shared" si="104"/>
        <v>0</v>
      </c>
      <c r="Y273" t="b">
        <f t="shared" si="105"/>
        <v>0</v>
      </c>
      <c r="AA273" t="str">
        <f>'Green_rooibos initial weight'!A274</f>
        <v>G270</v>
      </c>
      <c r="AB273" t="str">
        <f>'Green_rooibos initial weight'!A1178</f>
        <v>R270</v>
      </c>
      <c r="AC273" t="b">
        <f t="shared" si="106"/>
        <v>0</v>
      </c>
      <c r="AD273" t="b">
        <f t="shared" si="107"/>
        <v>0</v>
      </c>
      <c r="AG273" t="str">
        <f>'WetLitterbags placem_collection'!O52</f>
        <v>G559</v>
      </c>
      <c r="AH273" t="str">
        <f>'WetLitterbags placem_collection'!Q52</f>
        <v>R98</v>
      </c>
      <c r="AI273" t="b">
        <f t="shared" si="108"/>
        <v>0</v>
      </c>
      <c r="AJ273" t="b">
        <f t="shared" si="109"/>
        <v>0</v>
      </c>
      <c r="AK273">
        <f>'WetLitterbags placem_collection'!A52</f>
        <v>50</v>
      </c>
      <c r="AL273">
        <f>'WetLitterbags placem_collection'!A52</f>
        <v>50</v>
      </c>
      <c r="AN273">
        <f>IF('Dry_Litterbag Placem_Collection'!L52=0,"",'Dry_Litterbag Placem_Collection'!L52)</f>
        <v>212</v>
      </c>
      <c r="AO273">
        <f>IF('Dry_Litterbag Placem_Collection'!M52=0,"",'Dry_Litterbag Placem_Collection'!M52)</f>
        <v>644</v>
      </c>
      <c r="AP273" t="b">
        <f t="shared" si="110"/>
        <v>0</v>
      </c>
      <c r="AQ273" t="b">
        <f t="shared" si="111"/>
        <v>0</v>
      </c>
      <c r="AT273" t="str">
        <f>'Ashed teabags dry'!A271</f>
        <v>G62</v>
      </c>
      <c r="AU273" t="str">
        <f>'Ashed teabags dry'!A608</f>
        <v>R764</v>
      </c>
      <c r="AV273" t="b">
        <f t="shared" si="112"/>
        <v>0</v>
      </c>
      <c r="AW273" t="b">
        <f t="shared" si="113"/>
        <v>0</v>
      </c>
      <c r="AZ273" s="401" t="b">
        <f t="shared" si="114"/>
        <v>0</v>
      </c>
      <c r="BA273" s="401" t="b">
        <f t="shared" si="115"/>
        <v>0</v>
      </c>
      <c r="BC273" t="str">
        <f>'Ashed teabags wet'!A271</f>
        <v>G716</v>
      </c>
      <c r="BD273" t="str">
        <f>'Ashed teabags wet'!A688</f>
        <v>R509</v>
      </c>
      <c r="BE273" t="b">
        <f t="shared" si="116"/>
        <v>0</v>
      </c>
      <c r="BF273" t="b">
        <f t="shared" si="117"/>
        <v>0</v>
      </c>
      <c r="BG273">
        <f>IFERROR('Ashed teabags wet'!C271,"")</f>
        <v>213</v>
      </c>
      <c r="BH273">
        <f>IFERROR('Ashed teabags wet'!C688,"")</f>
        <v>108</v>
      </c>
      <c r="BI273" t="str">
        <f>'Ashed teabags wet'!AB271</f>
        <v/>
      </c>
      <c r="BJ273">
        <f>'Ashed teabags wet'!AC271</f>
        <v>212</v>
      </c>
      <c r="BK273" t="str">
        <f>'Ashed teabags wet'!AD688</f>
        <v/>
      </c>
      <c r="BL273">
        <f>'Ashed teabags wet'!AE688</f>
        <v>107</v>
      </c>
      <c r="BN273" t="str">
        <f t="shared" si="118"/>
        <v>G715</v>
      </c>
      <c r="BO273" t="b">
        <f t="shared" si="119"/>
        <v>1</v>
      </c>
    </row>
    <row r="274" spans="2:67" ht="12" customHeight="1">
      <c r="B274" t="str">
        <f>TBIDry!H346</f>
        <v>G598</v>
      </c>
      <c r="C274" t="str">
        <f>TBIDry!I346</f>
        <v>R242</v>
      </c>
      <c r="D274" t="b">
        <f t="shared" si="96"/>
        <v>0</v>
      </c>
      <c r="E274" t="b">
        <f t="shared" si="97"/>
        <v>0</v>
      </c>
      <c r="G274" t="str">
        <f>TBIWet!H346</f>
        <v>G856</v>
      </c>
      <c r="H274" t="str">
        <f>TBIWet!I346</f>
        <v>R29</v>
      </c>
      <c r="I274" t="b">
        <f t="shared" si="98"/>
        <v>0</v>
      </c>
      <c r="J274" t="b">
        <f t="shared" si="99"/>
        <v>0</v>
      </c>
      <c r="L274" t="str">
        <f>'Both teabags AfterWet'!A273</f>
        <v>G715</v>
      </c>
      <c r="M274" t="str">
        <f>'Both teabags AfterWet'!A691</f>
        <v>R488</v>
      </c>
      <c r="N274" t="b">
        <f t="shared" si="100"/>
        <v>0</v>
      </c>
      <c r="O274" t="b">
        <f t="shared" si="101"/>
        <v>0</v>
      </c>
      <c r="P274" t="str">
        <f>IFERROR('Both teabags AfterWet'!B273,"")</f>
        <v>n.a</v>
      </c>
      <c r="Q274">
        <f>'Both teabags AfterWet'!B691</f>
        <v>178</v>
      </c>
      <c r="S274" s="401" t="b">
        <f t="shared" si="102"/>
        <v>0</v>
      </c>
      <c r="T274" s="401" t="b">
        <f t="shared" si="103"/>
        <v>0</v>
      </c>
      <c r="V274" t="str">
        <f>'Both teabags AfterDry'!A273</f>
        <v>G624</v>
      </c>
      <c r="W274" t="str">
        <f>'Both teabags AfterDry'!A610</f>
        <v>R766</v>
      </c>
      <c r="X274" t="b">
        <f t="shared" si="104"/>
        <v>0</v>
      </c>
      <c r="Y274" t="b">
        <f t="shared" si="105"/>
        <v>0</v>
      </c>
      <c r="AA274" t="str">
        <f>'Green_rooibos initial weight'!A275</f>
        <v>G271</v>
      </c>
      <c r="AB274" t="str">
        <f>'Green_rooibos initial weight'!A1179</f>
        <v>R271</v>
      </c>
      <c r="AC274" t="b">
        <f t="shared" si="106"/>
        <v>0</v>
      </c>
      <c r="AD274" t="b">
        <f t="shared" si="107"/>
        <v>0</v>
      </c>
      <c r="AG274" t="str">
        <f>'WetLitterbags placem_collection'!O53</f>
        <v>G856</v>
      </c>
      <c r="AH274" t="str">
        <f>'WetLitterbags placem_collection'!Q53</f>
        <v>R29</v>
      </c>
      <c r="AI274" t="b">
        <f t="shared" si="108"/>
        <v>0</v>
      </c>
      <c r="AJ274" t="b">
        <f t="shared" si="109"/>
        <v>0</v>
      </c>
      <c r="AK274">
        <f>'WetLitterbags placem_collection'!A53</f>
        <v>51</v>
      </c>
      <c r="AL274">
        <f>'WetLitterbags placem_collection'!A53</f>
        <v>51</v>
      </c>
      <c r="AN274">
        <f>IF('Dry_Litterbag Placem_Collection'!L53=0,"",'Dry_Litterbag Placem_Collection'!L53)</f>
        <v>598</v>
      </c>
      <c r="AO274">
        <f>IF('Dry_Litterbag Placem_Collection'!M53=0,"",'Dry_Litterbag Placem_Collection'!M53)</f>
        <v>242</v>
      </c>
      <c r="AP274" t="b">
        <f t="shared" si="110"/>
        <v>0</v>
      </c>
      <c r="AQ274" t="b">
        <f t="shared" si="111"/>
        <v>0</v>
      </c>
      <c r="AT274" t="str">
        <f>'Ashed teabags dry'!A272</f>
        <v>G624</v>
      </c>
      <c r="AU274" t="str">
        <f>'Ashed teabags dry'!A609</f>
        <v>R765</v>
      </c>
      <c r="AV274" t="b">
        <f t="shared" si="112"/>
        <v>0</v>
      </c>
      <c r="AW274" t="b">
        <f t="shared" si="113"/>
        <v>0</v>
      </c>
      <c r="AZ274" s="401" t="b">
        <f t="shared" si="114"/>
        <v>0</v>
      </c>
      <c r="BA274" s="401" t="b">
        <f t="shared" si="115"/>
        <v>0</v>
      </c>
      <c r="BC274" t="str">
        <f>'Ashed teabags wet'!A272</f>
        <v>G718</v>
      </c>
      <c r="BD274" t="str">
        <f>'Ashed teabags wet'!A689</f>
        <v>R51</v>
      </c>
      <c r="BE274" t="b">
        <f t="shared" si="116"/>
        <v>0</v>
      </c>
      <c r="BF274" t="b">
        <f t="shared" si="117"/>
        <v>0</v>
      </c>
      <c r="BG274">
        <f>IFERROR('Ashed teabags wet'!C272,"")</f>
        <v>215</v>
      </c>
      <c r="BH274">
        <f>IFERROR('Ashed teabags wet'!C689,"")</f>
        <v>185</v>
      </c>
      <c r="BI274" t="str">
        <f>'Ashed teabags wet'!AB272</f>
        <v/>
      </c>
      <c r="BJ274">
        <f>'Ashed teabags wet'!AC272</f>
        <v>214</v>
      </c>
      <c r="BK274">
        <f>'Ashed teabags wet'!AD689</f>
        <v>184</v>
      </c>
      <c r="BL274" t="str">
        <f>'Ashed teabags wet'!AE689</f>
        <v/>
      </c>
      <c r="BN274" t="str">
        <f t="shared" si="118"/>
        <v>G716</v>
      </c>
      <c r="BO274" t="b">
        <f t="shared" si="119"/>
        <v>1</v>
      </c>
    </row>
    <row r="275" spans="2:67" ht="12" customHeight="1">
      <c r="B275" t="str">
        <f>TBIDry!H347</f>
        <v>G848</v>
      </c>
      <c r="C275" t="str">
        <f>TBIDry!I347</f>
        <v>R648</v>
      </c>
      <c r="D275" t="b">
        <f t="shared" si="96"/>
        <v>0</v>
      </c>
      <c r="E275" t="b">
        <f t="shared" si="97"/>
        <v>1</v>
      </c>
      <c r="G275" t="str">
        <f>TBIWet!H347</f>
        <v>G599</v>
      </c>
      <c r="H275" t="str">
        <f>TBIWet!I347</f>
        <v>R312</v>
      </c>
      <c r="I275" t="b">
        <f t="shared" si="98"/>
        <v>0</v>
      </c>
      <c r="J275" t="b">
        <f t="shared" si="99"/>
        <v>0</v>
      </c>
      <c r="L275" t="str">
        <f>'Both teabags AfterWet'!A274</f>
        <v>G716</v>
      </c>
      <c r="M275" t="str">
        <f>'Both teabags AfterWet'!A692</f>
        <v>R489</v>
      </c>
      <c r="N275" t="b">
        <f t="shared" si="100"/>
        <v>0</v>
      </c>
      <c r="O275" t="b">
        <f t="shared" si="101"/>
        <v>0</v>
      </c>
      <c r="P275">
        <f>IFERROR('Both teabags AfterWet'!B274,"")</f>
        <v>213</v>
      </c>
      <c r="Q275">
        <f>'Both teabags AfterWet'!B692</f>
        <v>98</v>
      </c>
      <c r="S275" s="401" t="b">
        <f t="shared" si="102"/>
        <v>0</v>
      </c>
      <c r="T275" s="401" t="b">
        <f t="shared" si="103"/>
        <v>0</v>
      </c>
      <c r="V275" t="str">
        <f>'Both teabags AfterDry'!A274</f>
        <v>G625</v>
      </c>
      <c r="W275" t="str">
        <f>'Both teabags AfterDry'!A611</f>
        <v>R768</v>
      </c>
      <c r="X275" t="b">
        <f t="shared" si="104"/>
        <v>0</v>
      </c>
      <c r="Y275" t="b">
        <f t="shared" si="105"/>
        <v>0</v>
      </c>
      <c r="AA275" t="str">
        <f>'Green_rooibos initial weight'!A276</f>
        <v>G272</v>
      </c>
      <c r="AB275" t="str">
        <f>'Green_rooibos initial weight'!A1180</f>
        <v>R272</v>
      </c>
      <c r="AC275" t="b">
        <f t="shared" si="106"/>
        <v>0</v>
      </c>
      <c r="AD275" t="b">
        <f t="shared" si="107"/>
        <v>0</v>
      </c>
      <c r="AG275" t="str">
        <f>'WetLitterbags placem_collection'!O54</f>
        <v>G599</v>
      </c>
      <c r="AH275" t="str">
        <f>'WetLitterbags placem_collection'!Q54</f>
        <v>R312</v>
      </c>
      <c r="AI275" t="b">
        <f t="shared" si="108"/>
        <v>0</v>
      </c>
      <c r="AJ275" t="b">
        <f t="shared" si="109"/>
        <v>0</v>
      </c>
      <c r="AK275">
        <f>'WetLitterbags placem_collection'!A54</f>
        <v>52</v>
      </c>
      <c r="AL275">
        <f>'WetLitterbags placem_collection'!A54</f>
        <v>52</v>
      </c>
      <c r="AN275">
        <f>IF('Dry_Litterbag Placem_Collection'!L54=0,"",'Dry_Litterbag Placem_Collection'!L54)</f>
        <v>848</v>
      </c>
      <c r="AO275">
        <f>IF('Dry_Litterbag Placem_Collection'!M54=0,"",'Dry_Litterbag Placem_Collection'!M54)</f>
        <v>648</v>
      </c>
      <c r="AP275" t="b">
        <f t="shared" si="110"/>
        <v>0</v>
      </c>
      <c r="AQ275" t="b">
        <f t="shared" si="111"/>
        <v>1</v>
      </c>
      <c r="AT275" t="str">
        <f>'Ashed teabags dry'!A273</f>
        <v>G625</v>
      </c>
      <c r="AU275" t="str">
        <f>'Ashed teabags dry'!A610</f>
        <v>R766</v>
      </c>
      <c r="AV275" t="b">
        <f t="shared" si="112"/>
        <v>0</v>
      </c>
      <c r="AW275" t="b">
        <f t="shared" si="113"/>
        <v>0</v>
      </c>
      <c r="AZ275" s="401" t="b">
        <f t="shared" si="114"/>
        <v>0</v>
      </c>
      <c r="BA275" s="401" t="b">
        <f t="shared" si="115"/>
        <v>0</v>
      </c>
      <c r="BC275" t="str">
        <f>'Ashed teabags wet'!A273</f>
        <v>G720</v>
      </c>
      <c r="BD275" t="str">
        <f>'Ashed teabags wet'!A690</f>
        <v>R510</v>
      </c>
      <c r="BE275" t="b">
        <f t="shared" si="116"/>
        <v>0</v>
      </c>
      <c r="BF275" t="b">
        <f t="shared" si="117"/>
        <v>0</v>
      </c>
      <c r="BG275">
        <f>IFERROR('Ashed teabags wet'!C273,"")</f>
        <v>210</v>
      </c>
      <c r="BH275">
        <f>IFERROR('Ashed teabags wet'!C690,"")</f>
        <v>107</v>
      </c>
      <c r="BI275" t="str">
        <f>'Ashed teabags wet'!AB273</f>
        <v/>
      </c>
      <c r="BJ275">
        <f>'Ashed teabags wet'!AC273</f>
        <v>209</v>
      </c>
      <c r="BK275" t="str">
        <f>'Ashed teabags wet'!AD690</f>
        <v/>
      </c>
      <c r="BL275">
        <f>'Ashed teabags wet'!AE690</f>
        <v>106</v>
      </c>
      <c r="BN275" t="str">
        <f t="shared" si="118"/>
        <v>G718</v>
      </c>
      <c r="BO275" t="b">
        <f t="shared" si="119"/>
        <v>1</v>
      </c>
    </row>
    <row r="276" spans="2:67" ht="12" customHeight="1">
      <c r="B276" t="str">
        <f>TBIDry!H348</f>
        <v>G759</v>
      </c>
      <c r="C276" t="str">
        <f>TBIDry!I348</f>
        <v>R140</v>
      </c>
      <c r="D276" t="b">
        <f t="shared" si="96"/>
        <v>0</v>
      </c>
      <c r="E276" t="b">
        <f t="shared" si="97"/>
        <v>0</v>
      </c>
      <c r="G276" t="str">
        <f>TBIWet!H348</f>
        <v>G683</v>
      </c>
      <c r="H276" t="str">
        <f>TBIWet!I348</f>
        <v>R113</v>
      </c>
      <c r="I276" t="b">
        <f t="shared" si="98"/>
        <v>0</v>
      </c>
      <c r="J276" t="b">
        <f t="shared" si="99"/>
        <v>0</v>
      </c>
      <c r="L276" t="str">
        <f>'Both teabags AfterWet'!A275</f>
        <v>G718</v>
      </c>
      <c r="M276" t="str">
        <f>'Both teabags AfterWet'!A693</f>
        <v>R49</v>
      </c>
      <c r="N276" t="b">
        <f t="shared" si="100"/>
        <v>0</v>
      </c>
      <c r="O276" t="b">
        <f t="shared" si="101"/>
        <v>0</v>
      </c>
      <c r="P276" t="str">
        <f>IFERROR('Both teabags AfterWet'!B275,"")</f>
        <v>n.a</v>
      </c>
      <c r="Q276">
        <f>'Both teabags AfterWet'!B693</f>
        <v>84</v>
      </c>
      <c r="S276" s="401" t="b">
        <f t="shared" si="102"/>
        <v>0</v>
      </c>
      <c r="T276" s="401" t="b">
        <f t="shared" si="103"/>
        <v>0</v>
      </c>
      <c r="V276" t="str">
        <f>'Both teabags AfterDry'!A275</f>
        <v>G629</v>
      </c>
      <c r="W276" t="str">
        <f>'Both teabags AfterDry'!A612</f>
        <v>R769</v>
      </c>
      <c r="X276" t="b">
        <f t="shared" si="104"/>
        <v>0</v>
      </c>
      <c r="Y276" t="b">
        <f t="shared" si="105"/>
        <v>0</v>
      </c>
      <c r="AA276" t="str">
        <f>'Green_rooibos initial weight'!A277</f>
        <v>G273</v>
      </c>
      <c r="AB276" t="str">
        <f>'Green_rooibos initial weight'!A1181</f>
        <v>R273</v>
      </c>
      <c r="AC276" t="b">
        <f t="shared" si="106"/>
        <v>0</v>
      </c>
      <c r="AD276" t="b">
        <f t="shared" si="107"/>
        <v>0</v>
      </c>
      <c r="AG276" t="str">
        <f>'WetLitterbags placem_collection'!O55</f>
        <v>G683</v>
      </c>
      <c r="AH276" t="str">
        <f>'WetLitterbags placem_collection'!Q55</f>
        <v>R113</v>
      </c>
      <c r="AI276" t="b">
        <f t="shared" si="108"/>
        <v>0</v>
      </c>
      <c r="AJ276" t="b">
        <f t="shared" si="109"/>
        <v>0</v>
      </c>
      <c r="AK276">
        <f>'WetLitterbags placem_collection'!A55</f>
        <v>53</v>
      </c>
      <c r="AL276">
        <f>'WetLitterbags placem_collection'!A55</f>
        <v>53</v>
      </c>
      <c r="AN276">
        <f>IF('Dry_Litterbag Placem_Collection'!L55=0,"",'Dry_Litterbag Placem_Collection'!L55)</f>
        <v>759</v>
      </c>
      <c r="AO276">
        <f>IF('Dry_Litterbag Placem_Collection'!M55=0,"",'Dry_Litterbag Placem_Collection'!M55)</f>
        <v>140</v>
      </c>
      <c r="AP276" t="b">
        <f t="shared" si="110"/>
        <v>0</v>
      </c>
      <c r="AQ276" t="b">
        <f t="shared" si="111"/>
        <v>0</v>
      </c>
      <c r="AT276" t="str">
        <f>'Ashed teabags dry'!A274</f>
        <v>G629</v>
      </c>
      <c r="AU276" t="str">
        <f>'Ashed teabags dry'!A611</f>
        <v>R768</v>
      </c>
      <c r="AV276" t="b">
        <f t="shared" si="112"/>
        <v>0</v>
      </c>
      <c r="AW276" t="b">
        <f t="shared" si="113"/>
        <v>0</v>
      </c>
      <c r="AZ276" s="401" t="b">
        <f t="shared" si="114"/>
        <v>0</v>
      </c>
      <c r="BA276" s="401" t="b">
        <f t="shared" si="115"/>
        <v>0</v>
      </c>
      <c r="BC276" t="str">
        <f>'Ashed teabags wet'!A274</f>
        <v>G721</v>
      </c>
      <c r="BD276" t="str">
        <f>'Ashed teabags wet'!A691</f>
        <v>R511</v>
      </c>
      <c r="BE276" t="b">
        <f t="shared" si="116"/>
        <v>0</v>
      </c>
      <c r="BF276" t="b">
        <f t="shared" si="117"/>
        <v>0</v>
      </c>
      <c r="BG276">
        <f>IFERROR('Ashed teabags wet'!C274,"")</f>
        <v>21</v>
      </c>
      <c r="BH276">
        <f>IFERROR('Ashed teabags wet'!C691,"")</f>
        <v>117</v>
      </c>
      <c r="BI276" t="str">
        <f>'Ashed teabags wet'!AB274</f>
        <v/>
      </c>
      <c r="BJ276">
        <f>'Ashed teabags wet'!AC274</f>
        <v>20</v>
      </c>
      <c r="BK276">
        <f>'Ashed teabags wet'!AD691</f>
        <v>116</v>
      </c>
      <c r="BL276" t="str">
        <f>'Ashed teabags wet'!AE691</f>
        <v/>
      </c>
      <c r="BN276" t="str">
        <f t="shared" si="118"/>
        <v>G720</v>
      </c>
      <c r="BO276" t="b">
        <f t="shared" si="119"/>
        <v>1</v>
      </c>
    </row>
    <row r="277" spans="2:67" ht="12" customHeight="1">
      <c r="B277" t="str">
        <f>TBIDry!H349</f>
        <v/>
      </c>
      <c r="C277" t="str">
        <f>TBIDry!I349</f>
        <v/>
      </c>
      <c r="D277" t="b">
        <f t="shared" si="96"/>
        <v>1</v>
      </c>
      <c r="E277" t="b">
        <f t="shared" si="97"/>
        <v>1</v>
      </c>
      <c r="G277" t="str">
        <f>TBIWet!H349</f>
        <v>G288</v>
      </c>
      <c r="H277" t="str">
        <f>TBIWet!I349</f>
        <v>R441</v>
      </c>
      <c r="I277" t="b">
        <f t="shared" si="98"/>
        <v>0</v>
      </c>
      <c r="J277" t="b">
        <f t="shared" si="99"/>
        <v>0</v>
      </c>
      <c r="L277" t="str">
        <f>'Both teabags AfterWet'!A276</f>
        <v>G720</v>
      </c>
      <c r="M277" t="str">
        <f>'Both teabags AfterWet'!A694</f>
        <v>R490</v>
      </c>
      <c r="N277" t="b">
        <f t="shared" si="100"/>
        <v>0</v>
      </c>
      <c r="O277" t="b">
        <f t="shared" si="101"/>
        <v>0</v>
      </c>
      <c r="P277" t="str">
        <f>IFERROR('Both teabags AfterWet'!B276,"")</f>
        <v>n.a</v>
      </c>
      <c r="Q277">
        <f>'Both teabags AfterWet'!B694</f>
        <v>176</v>
      </c>
      <c r="S277" s="401" t="b">
        <f t="shared" si="102"/>
        <v>0</v>
      </c>
      <c r="T277" s="401" t="b">
        <f t="shared" si="103"/>
        <v>0</v>
      </c>
      <c r="V277" t="str">
        <f>'Both teabags AfterDry'!A276</f>
        <v>G63</v>
      </c>
      <c r="W277" t="str">
        <f>'Both teabags AfterDry'!A613</f>
        <v>R770</v>
      </c>
      <c r="X277" t="b">
        <f t="shared" si="104"/>
        <v>0</v>
      </c>
      <c r="Y277" t="b">
        <f t="shared" si="105"/>
        <v>0</v>
      </c>
      <c r="AA277" t="str">
        <f>'Green_rooibos initial weight'!A278</f>
        <v>G274</v>
      </c>
      <c r="AB277" t="str">
        <f>'Green_rooibos initial weight'!A1182</f>
        <v>R274</v>
      </c>
      <c r="AC277" t="b">
        <f t="shared" si="106"/>
        <v>0</v>
      </c>
      <c r="AD277" t="b">
        <f t="shared" si="107"/>
        <v>0</v>
      </c>
      <c r="AG277" t="str">
        <f>'WetLitterbags placem_collection'!O56</f>
        <v>G288</v>
      </c>
      <c r="AH277" t="str">
        <f>'WetLitterbags placem_collection'!Q56</f>
        <v>R441</v>
      </c>
      <c r="AI277" t="b">
        <f t="shared" si="108"/>
        <v>0</v>
      </c>
      <c r="AJ277" t="b">
        <f t="shared" si="109"/>
        <v>0</v>
      </c>
      <c r="AK277">
        <f>'WetLitterbags placem_collection'!A56</f>
        <v>54</v>
      </c>
      <c r="AL277">
        <f>'WetLitterbags placem_collection'!A56</f>
        <v>54</v>
      </c>
      <c r="AN277" t="str">
        <f>IF('Dry_Litterbag Placem_Collection'!L56=0,"",'Dry_Litterbag Placem_Collection'!L56)</f>
        <v/>
      </c>
      <c r="AO277" t="str">
        <f>IF('Dry_Litterbag Placem_Collection'!M56=0,"",'Dry_Litterbag Placem_Collection'!M56)</f>
        <v/>
      </c>
      <c r="AP277" t="b">
        <f t="shared" si="110"/>
        <v>1</v>
      </c>
      <c r="AQ277" t="b">
        <f t="shared" si="111"/>
        <v>1</v>
      </c>
      <c r="AT277" t="str">
        <f>'Ashed teabags dry'!A275</f>
        <v>G63</v>
      </c>
      <c r="AU277" t="str">
        <f>'Ashed teabags dry'!A612</f>
        <v>R769</v>
      </c>
      <c r="AV277" t="b">
        <f t="shared" si="112"/>
        <v>0</v>
      </c>
      <c r="AW277" t="b">
        <f t="shared" si="113"/>
        <v>0</v>
      </c>
      <c r="AZ277" s="401" t="b">
        <f t="shared" si="114"/>
        <v>0</v>
      </c>
      <c r="BA277" s="401" t="b">
        <f t="shared" si="115"/>
        <v>0</v>
      </c>
      <c r="BC277" t="str">
        <f>'Ashed teabags wet'!A275</f>
        <v>G723</v>
      </c>
      <c r="BD277" t="str">
        <f>'Ashed teabags wet'!A692</f>
        <v>R512</v>
      </c>
      <c r="BE277" t="b">
        <f t="shared" si="116"/>
        <v>0</v>
      </c>
      <c r="BF277" t="b">
        <f t="shared" si="117"/>
        <v>0</v>
      </c>
      <c r="BG277">
        <f>IFERROR('Ashed teabags wet'!C275,"")</f>
        <v>86</v>
      </c>
      <c r="BH277">
        <f>IFERROR('Ashed teabags wet'!C692,"")</f>
        <v>8</v>
      </c>
      <c r="BI277">
        <f>'Ashed teabags wet'!AB275</f>
        <v>85</v>
      </c>
      <c r="BJ277" t="str">
        <f>'Ashed teabags wet'!AC275</f>
        <v/>
      </c>
      <c r="BK277" t="str">
        <f>'Ashed teabags wet'!AD692</f>
        <v/>
      </c>
      <c r="BL277">
        <f>'Ashed teabags wet'!AE692</f>
        <v>7</v>
      </c>
      <c r="BN277" t="str">
        <f t="shared" si="118"/>
        <v>G721</v>
      </c>
      <c r="BO277" t="b">
        <f t="shared" si="119"/>
        <v>1</v>
      </c>
    </row>
    <row r="278" spans="2:67" ht="12" customHeight="1">
      <c r="B278" t="str">
        <f>TBIDry!H350</f>
        <v>G260</v>
      </c>
      <c r="C278" t="str">
        <f>TBIDry!I350</f>
        <v>R192</v>
      </c>
      <c r="D278" t="b">
        <f t="shared" si="96"/>
        <v>0</v>
      </c>
      <c r="E278" t="b">
        <f t="shared" si="97"/>
        <v>0</v>
      </c>
      <c r="G278" t="str">
        <f>TBIWet!H350</f>
        <v>G616</v>
      </c>
      <c r="H278" t="str">
        <f>TBIWet!I350</f>
        <v>R54b</v>
      </c>
      <c r="I278" t="b">
        <f t="shared" si="98"/>
        <v>0</v>
      </c>
      <c r="J278" t="b">
        <f t="shared" si="99"/>
        <v>0</v>
      </c>
      <c r="L278" t="str">
        <f>'Both teabags AfterWet'!A277</f>
        <v>G721</v>
      </c>
      <c r="M278" t="str">
        <f>'Both teabags AfterWet'!A695</f>
        <v>R492</v>
      </c>
      <c r="N278" t="b">
        <f t="shared" si="100"/>
        <v>0</v>
      </c>
      <c r="O278" t="b">
        <f t="shared" si="101"/>
        <v>0</v>
      </c>
      <c r="P278">
        <f>IFERROR('Both teabags AfterWet'!B277,"")</f>
        <v>21</v>
      </c>
      <c r="Q278">
        <f>'Both teabags AfterWet'!B695</f>
        <v>146</v>
      </c>
      <c r="S278" s="401" t="b">
        <f t="shared" si="102"/>
        <v>0</v>
      </c>
      <c r="T278" s="401" t="b">
        <f t="shared" si="103"/>
        <v>0</v>
      </c>
      <c r="V278" t="str">
        <f>'Both teabags AfterDry'!A277</f>
        <v>G630</v>
      </c>
      <c r="W278" t="str">
        <f>'Both teabags AfterDry'!A614</f>
        <v>R771</v>
      </c>
      <c r="X278" t="b">
        <f t="shared" si="104"/>
        <v>0</v>
      </c>
      <c r="Y278" t="b">
        <f t="shared" si="105"/>
        <v>0</v>
      </c>
      <c r="AA278" t="str">
        <f>'Green_rooibos initial weight'!A279</f>
        <v>G275</v>
      </c>
      <c r="AB278" t="str">
        <f>'Green_rooibos initial weight'!A1183</f>
        <v>R275</v>
      </c>
      <c r="AC278" t="b">
        <f t="shared" si="106"/>
        <v>0</v>
      </c>
      <c r="AD278" t="b">
        <f t="shared" si="107"/>
        <v>0</v>
      </c>
      <c r="AG278" t="str">
        <f>'WetLitterbags placem_collection'!O57</f>
        <v>G616</v>
      </c>
      <c r="AH278" t="str">
        <f>'WetLitterbags placem_collection'!Q57</f>
        <v>R54b</v>
      </c>
      <c r="AI278" t="b">
        <f t="shared" si="108"/>
        <v>0</v>
      </c>
      <c r="AJ278" t="b">
        <f t="shared" si="109"/>
        <v>0</v>
      </c>
      <c r="AK278">
        <f>'WetLitterbags placem_collection'!A57</f>
        <v>55</v>
      </c>
      <c r="AL278">
        <f>'WetLitterbags placem_collection'!A57</f>
        <v>55</v>
      </c>
      <c r="AN278">
        <f>IF('Dry_Litterbag Placem_Collection'!L57=0,"",'Dry_Litterbag Placem_Collection'!L57)</f>
        <v>260</v>
      </c>
      <c r="AO278">
        <f>IF('Dry_Litterbag Placem_Collection'!M57=0,"",'Dry_Litterbag Placem_Collection'!M57)</f>
        <v>192</v>
      </c>
      <c r="AP278" t="b">
        <f t="shared" si="110"/>
        <v>0</v>
      </c>
      <c r="AQ278" t="b">
        <f t="shared" si="111"/>
        <v>0</v>
      </c>
      <c r="AT278" t="str">
        <f>'Ashed teabags dry'!A276</f>
        <v>G630</v>
      </c>
      <c r="AU278" t="str">
        <f>'Ashed teabags dry'!A613</f>
        <v>R770</v>
      </c>
      <c r="AV278" t="b">
        <f t="shared" si="112"/>
        <v>0</v>
      </c>
      <c r="AW278" t="b">
        <f t="shared" si="113"/>
        <v>0</v>
      </c>
      <c r="AZ278" s="401" t="b">
        <f t="shared" si="114"/>
        <v>0</v>
      </c>
      <c r="BA278" s="401" t="b">
        <f t="shared" si="115"/>
        <v>0</v>
      </c>
      <c r="BC278" t="str">
        <f>'Ashed teabags wet'!A276</f>
        <v>G724</v>
      </c>
      <c r="BD278" t="str">
        <f>'Ashed teabags wet'!A693</f>
        <v>R513</v>
      </c>
      <c r="BE278" t="b">
        <f t="shared" si="116"/>
        <v>0</v>
      </c>
      <c r="BF278" t="b">
        <f t="shared" si="117"/>
        <v>0</v>
      </c>
      <c r="BG278">
        <f>IFERROR('Ashed teabags wet'!C276,"")</f>
        <v>113</v>
      </c>
      <c r="BH278">
        <f>IFERROR('Ashed teabags wet'!C693,"")</f>
        <v>52</v>
      </c>
      <c r="BI278">
        <f>'Ashed teabags wet'!AB276</f>
        <v>112</v>
      </c>
      <c r="BJ278" t="str">
        <f>'Ashed teabags wet'!AC276</f>
        <v/>
      </c>
      <c r="BK278">
        <f>'Ashed teabags wet'!AD693</f>
        <v>51</v>
      </c>
      <c r="BL278" t="str">
        <f>'Ashed teabags wet'!AE693</f>
        <v/>
      </c>
      <c r="BN278" t="str">
        <f t="shared" si="118"/>
        <v>G723</v>
      </c>
      <c r="BO278" t="b">
        <f t="shared" si="119"/>
        <v>1</v>
      </c>
    </row>
    <row r="279" spans="2:67" ht="12" customHeight="1">
      <c r="B279" t="str">
        <f>TBIDry!H351</f>
        <v>G493</v>
      </c>
      <c r="C279" t="str">
        <f>TBIDry!I351</f>
        <v>R227</v>
      </c>
      <c r="D279" t="b">
        <f t="shared" si="96"/>
        <v>0</v>
      </c>
      <c r="E279" t="b">
        <f t="shared" si="97"/>
        <v>0</v>
      </c>
      <c r="G279" t="str">
        <f>TBIWet!H351</f>
        <v>G557</v>
      </c>
      <c r="H279" t="str">
        <f>TBIWet!I351</f>
        <v>R58</v>
      </c>
      <c r="I279" t="b">
        <f t="shared" si="98"/>
        <v>0</v>
      </c>
      <c r="J279" t="b">
        <f t="shared" si="99"/>
        <v>0</v>
      </c>
      <c r="L279" t="str">
        <f>'Both teabags AfterWet'!A278</f>
        <v>G723</v>
      </c>
      <c r="M279" s="113" t="str">
        <f>'Both teabags AfterWet'!A696</f>
        <v>R493</v>
      </c>
      <c r="N279" t="b">
        <f t="shared" si="100"/>
        <v>0</v>
      </c>
      <c r="O279" t="b">
        <f t="shared" si="101"/>
        <v>0</v>
      </c>
      <c r="P279">
        <f>IFERROR('Both teabags AfterWet'!B278,"")</f>
        <v>86</v>
      </c>
      <c r="Q279">
        <f>'Both teabags AfterWet'!B696</f>
        <v>154</v>
      </c>
      <c r="S279" s="401" t="b">
        <f t="shared" si="102"/>
        <v>0</v>
      </c>
      <c r="T279" s="113" t="b">
        <f t="shared" si="103"/>
        <v>1</v>
      </c>
      <c r="V279" t="str">
        <f>'Both teabags AfterDry'!A278</f>
        <v>G64</v>
      </c>
      <c r="W279" t="str">
        <f>'Both teabags AfterDry'!A615</f>
        <v>R772</v>
      </c>
      <c r="X279" t="b">
        <f t="shared" si="104"/>
        <v>0</v>
      </c>
      <c r="Y279" t="b">
        <f t="shared" si="105"/>
        <v>0</v>
      </c>
      <c r="AA279" t="str">
        <f>'Green_rooibos initial weight'!A280</f>
        <v>G276</v>
      </c>
      <c r="AB279" t="str">
        <f>'Green_rooibos initial weight'!A1184</f>
        <v>R276</v>
      </c>
      <c r="AC279" t="b">
        <f t="shared" si="106"/>
        <v>0</v>
      </c>
      <c r="AD279" t="b">
        <f t="shared" si="107"/>
        <v>0</v>
      </c>
      <c r="AG279" t="str">
        <f>'WetLitterbags placem_collection'!O58</f>
        <v>G557</v>
      </c>
      <c r="AH279" t="str">
        <f>'WetLitterbags placem_collection'!Q58</f>
        <v>R58</v>
      </c>
      <c r="AI279" t="b">
        <f t="shared" si="108"/>
        <v>0</v>
      </c>
      <c r="AJ279" t="b">
        <f t="shared" si="109"/>
        <v>0</v>
      </c>
      <c r="AK279">
        <f>'WetLitterbags placem_collection'!A58</f>
        <v>56</v>
      </c>
      <c r="AL279">
        <f>'WetLitterbags placem_collection'!A58</f>
        <v>56</v>
      </c>
      <c r="AN279">
        <f>IF('Dry_Litterbag Placem_Collection'!L58=0,"",'Dry_Litterbag Placem_Collection'!L58)</f>
        <v>493</v>
      </c>
      <c r="AO279">
        <f>IF('Dry_Litterbag Placem_Collection'!M58=0,"",'Dry_Litterbag Placem_Collection'!M58)</f>
        <v>227</v>
      </c>
      <c r="AP279" t="b">
        <f t="shared" si="110"/>
        <v>0</v>
      </c>
      <c r="AQ279" t="b">
        <f t="shared" si="111"/>
        <v>0</v>
      </c>
      <c r="AT279" t="str">
        <f>'Ashed teabags dry'!A277</f>
        <v>G64</v>
      </c>
      <c r="AU279" t="str">
        <f>'Ashed teabags dry'!A614</f>
        <v>R771</v>
      </c>
      <c r="AV279" t="b">
        <f t="shared" si="112"/>
        <v>0</v>
      </c>
      <c r="AW279" t="b">
        <f t="shared" si="113"/>
        <v>0</v>
      </c>
      <c r="AZ279" s="401" t="b">
        <f t="shared" si="114"/>
        <v>0</v>
      </c>
      <c r="BA279" s="401" t="b">
        <f t="shared" si="115"/>
        <v>0</v>
      </c>
      <c r="BC279" t="str">
        <f>'Ashed teabags wet'!A277</f>
        <v>G725</v>
      </c>
      <c r="BD279" t="str">
        <f>'Ashed teabags wet'!A694</f>
        <v>R515</v>
      </c>
      <c r="BE279" t="b">
        <f t="shared" si="116"/>
        <v>0</v>
      </c>
      <c r="BF279" t="b">
        <f t="shared" si="117"/>
        <v>0</v>
      </c>
      <c r="BG279">
        <f>IFERROR('Ashed teabags wet'!C277,"")</f>
        <v>132</v>
      </c>
      <c r="BH279">
        <f>IFERROR('Ashed teabags wet'!C694,"")</f>
        <v>10</v>
      </c>
      <c r="BI279">
        <f>'Ashed teabags wet'!AB277</f>
        <v>131</v>
      </c>
      <c r="BJ279" t="str">
        <f>'Ashed teabags wet'!AC277</f>
        <v/>
      </c>
      <c r="BK279" t="str">
        <f>'Ashed teabags wet'!AD694</f>
        <v/>
      </c>
      <c r="BL279">
        <f>'Ashed teabags wet'!AE694</f>
        <v>9</v>
      </c>
      <c r="BN279" t="str">
        <f t="shared" si="118"/>
        <v>G724</v>
      </c>
      <c r="BO279" t="b">
        <f t="shared" si="119"/>
        <v>1</v>
      </c>
    </row>
    <row r="280" spans="2:67" ht="12" customHeight="1">
      <c r="B280" t="str">
        <f>TBIDry!H352</f>
        <v>G342</v>
      </c>
      <c r="C280" t="str">
        <f>TBIDry!I352</f>
        <v>R416</v>
      </c>
      <c r="D280" t="b">
        <f t="shared" si="96"/>
        <v>0</v>
      </c>
      <c r="E280" t="b">
        <f t="shared" si="97"/>
        <v>0</v>
      </c>
      <c r="G280" t="str">
        <f>TBIWet!H352</f>
        <v>G618</v>
      </c>
      <c r="H280" t="str">
        <f>TBIWet!I352</f>
        <v>R435</v>
      </c>
      <c r="I280" t="b">
        <f t="shared" si="98"/>
        <v>0</v>
      </c>
      <c r="J280" t="b">
        <f t="shared" si="99"/>
        <v>0</v>
      </c>
      <c r="L280" t="str">
        <f>'Both teabags AfterWet'!A279</f>
        <v>G724</v>
      </c>
      <c r="M280" t="str">
        <f>'Both teabags AfterWet'!A697</f>
        <v>R494</v>
      </c>
      <c r="N280" t="b">
        <f t="shared" si="100"/>
        <v>0</v>
      </c>
      <c r="O280" t="b">
        <f t="shared" si="101"/>
        <v>0</v>
      </c>
      <c r="P280">
        <f>IFERROR('Both teabags AfterWet'!B279,"")</f>
        <v>113</v>
      </c>
      <c r="Q280">
        <f>'Both teabags AfterWet'!B697</f>
        <v>103</v>
      </c>
      <c r="S280" s="401" t="b">
        <f t="shared" si="102"/>
        <v>0</v>
      </c>
      <c r="T280" s="401" t="b">
        <f t="shared" si="103"/>
        <v>0</v>
      </c>
      <c r="V280" t="str">
        <f>'Both teabags AfterDry'!A279</f>
        <v>G646</v>
      </c>
      <c r="W280" t="str">
        <f>'Both teabags AfterDry'!A616</f>
        <v>R773</v>
      </c>
      <c r="X280" t="b">
        <f t="shared" si="104"/>
        <v>0</v>
      </c>
      <c r="Y280" t="b">
        <f t="shared" si="105"/>
        <v>0</v>
      </c>
      <c r="AA280" t="str">
        <f>'Green_rooibos initial weight'!A281</f>
        <v>G277</v>
      </c>
      <c r="AB280" t="str">
        <f>'Green_rooibos initial weight'!A1185</f>
        <v>R277</v>
      </c>
      <c r="AC280" t="b">
        <f t="shared" si="106"/>
        <v>0</v>
      </c>
      <c r="AD280" t="b">
        <f t="shared" si="107"/>
        <v>0</v>
      </c>
      <c r="AG280" t="str">
        <f>'WetLitterbags placem_collection'!O59</f>
        <v>G618</v>
      </c>
      <c r="AH280" t="str">
        <f>'WetLitterbags placem_collection'!Q59</f>
        <v>R435</v>
      </c>
      <c r="AI280" t="b">
        <f t="shared" si="108"/>
        <v>0</v>
      </c>
      <c r="AJ280" t="b">
        <f t="shared" si="109"/>
        <v>0</v>
      </c>
      <c r="AK280">
        <f>'WetLitterbags placem_collection'!A59</f>
        <v>57</v>
      </c>
      <c r="AL280">
        <f>'WetLitterbags placem_collection'!A59</f>
        <v>57</v>
      </c>
      <c r="AN280">
        <f>IF('Dry_Litterbag Placem_Collection'!L59=0,"",'Dry_Litterbag Placem_Collection'!L59)</f>
        <v>342</v>
      </c>
      <c r="AO280">
        <f>IF('Dry_Litterbag Placem_Collection'!M59=0,"",'Dry_Litterbag Placem_Collection'!M59)</f>
        <v>416</v>
      </c>
      <c r="AP280" t="b">
        <f t="shared" si="110"/>
        <v>0</v>
      </c>
      <c r="AQ280" t="b">
        <f t="shared" si="111"/>
        <v>0</v>
      </c>
      <c r="AT280" t="str">
        <f>'Ashed teabags dry'!A278</f>
        <v>G646</v>
      </c>
      <c r="AU280" t="str">
        <f>'Ashed teabags dry'!A615</f>
        <v>R772</v>
      </c>
      <c r="AV280" t="b">
        <f t="shared" si="112"/>
        <v>0</v>
      </c>
      <c r="AW280" t="b">
        <f t="shared" si="113"/>
        <v>0</v>
      </c>
      <c r="AZ280" s="401" t="b">
        <f t="shared" si="114"/>
        <v>0</v>
      </c>
      <c r="BA280" s="401" t="b">
        <f t="shared" si="115"/>
        <v>0</v>
      </c>
      <c r="BC280" t="str">
        <f>'Ashed teabags wet'!A278</f>
        <v>G727</v>
      </c>
      <c r="BD280" t="str">
        <f>'Ashed teabags wet'!A695</f>
        <v>R517</v>
      </c>
      <c r="BE280" t="b">
        <f t="shared" si="116"/>
        <v>0</v>
      </c>
      <c r="BF280" t="b">
        <f t="shared" si="117"/>
        <v>0</v>
      </c>
      <c r="BG280">
        <f>IFERROR('Ashed teabags wet'!C278,"")</f>
        <v>219</v>
      </c>
      <c r="BH280">
        <f>IFERROR('Ashed teabags wet'!C695,"")</f>
        <v>90</v>
      </c>
      <c r="BI280">
        <f>'Ashed teabags wet'!AB278</f>
        <v>218</v>
      </c>
      <c r="BJ280" t="str">
        <f>'Ashed teabags wet'!AC278</f>
        <v/>
      </c>
      <c r="BK280" t="str">
        <f>'Ashed teabags wet'!AD695</f>
        <v/>
      </c>
      <c r="BL280">
        <f>'Ashed teabags wet'!AE695</f>
        <v>89</v>
      </c>
      <c r="BN280" t="str">
        <f t="shared" si="118"/>
        <v>G725</v>
      </c>
      <c r="BO280" t="b">
        <f t="shared" si="119"/>
        <v>1</v>
      </c>
    </row>
    <row r="281" spans="2:67" ht="12" customHeight="1">
      <c r="B281" t="str">
        <f>TBIDry!H353</f>
        <v>G735</v>
      </c>
      <c r="C281" t="str">
        <f>TBIDry!I353</f>
        <v>R689</v>
      </c>
      <c r="D281" t="b">
        <f t="shared" si="96"/>
        <v>0</v>
      </c>
      <c r="E281" t="b">
        <f t="shared" si="97"/>
        <v>0</v>
      </c>
      <c r="G281" t="str">
        <f>TBIWet!H353</f>
        <v>G593</v>
      </c>
      <c r="H281" t="str">
        <f>TBIWet!I353</f>
        <v>R31</v>
      </c>
      <c r="I281" t="b">
        <f t="shared" si="98"/>
        <v>0</v>
      </c>
      <c r="J281" t="b">
        <f t="shared" si="99"/>
        <v>0</v>
      </c>
      <c r="L281" t="str">
        <f>'Both teabags AfterWet'!A280</f>
        <v>G725</v>
      </c>
      <c r="M281" t="str">
        <f>'Both teabags AfterWet'!A698</f>
        <v>R495</v>
      </c>
      <c r="N281" t="b">
        <f t="shared" si="100"/>
        <v>0</v>
      </c>
      <c r="O281" t="b">
        <f t="shared" si="101"/>
        <v>0</v>
      </c>
      <c r="P281">
        <f>IFERROR('Both teabags AfterWet'!B280,"")</f>
        <v>132</v>
      </c>
      <c r="Q281">
        <f>'Both teabags AfterWet'!B698</f>
        <v>118</v>
      </c>
      <c r="S281" s="401" t="b">
        <f t="shared" si="102"/>
        <v>0</v>
      </c>
      <c r="T281" s="401" t="b">
        <f t="shared" si="103"/>
        <v>0</v>
      </c>
      <c r="V281" t="str">
        <f>'Both teabags AfterDry'!A280</f>
        <v>G65</v>
      </c>
      <c r="W281" t="str">
        <f>'Both teabags AfterDry'!A617</f>
        <v>R774</v>
      </c>
      <c r="X281" t="b">
        <f t="shared" si="104"/>
        <v>0</v>
      </c>
      <c r="Y281" t="b">
        <f t="shared" si="105"/>
        <v>0</v>
      </c>
      <c r="AA281" t="str">
        <f>'Green_rooibos initial weight'!A282</f>
        <v>G278</v>
      </c>
      <c r="AB281" t="str">
        <f>'Green_rooibos initial weight'!A1186</f>
        <v>R278</v>
      </c>
      <c r="AC281" t="b">
        <f t="shared" si="106"/>
        <v>0</v>
      </c>
      <c r="AD281" t="b">
        <f t="shared" si="107"/>
        <v>0</v>
      </c>
      <c r="AG281" t="str">
        <f>'WetLitterbags placem_collection'!O60</f>
        <v>G593</v>
      </c>
      <c r="AH281" t="str">
        <f>'WetLitterbags placem_collection'!Q60</f>
        <v>R31</v>
      </c>
      <c r="AI281" t="b">
        <f t="shared" si="108"/>
        <v>0</v>
      </c>
      <c r="AJ281" t="b">
        <f t="shared" si="109"/>
        <v>0</v>
      </c>
      <c r="AK281">
        <f>'WetLitterbags placem_collection'!A60</f>
        <v>58</v>
      </c>
      <c r="AL281">
        <f>'WetLitterbags placem_collection'!A60</f>
        <v>58</v>
      </c>
      <c r="AN281">
        <f>IF('Dry_Litterbag Placem_Collection'!L60=0,"",'Dry_Litterbag Placem_Collection'!L60)</f>
        <v>735</v>
      </c>
      <c r="AO281">
        <f>IF('Dry_Litterbag Placem_Collection'!M60=0,"",'Dry_Litterbag Placem_Collection'!M60)</f>
        <v>689</v>
      </c>
      <c r="AP281" t="b">
        <f t="shared" si="110"/>
        <v>0</v>
      </c>
      <c r="AQ281" t="b">
        <f t="shared" si="111"/>
        <v>0</v>
      </c>
      <c r="AT281" t="str">
        <f>'Ashed teabags dry'!A279</f>
        <v>G65</v>
      </c>
      <c r="AU281" t="str">
        <f>'Ashed teabags dry'!A616</f>
        <v>R773</v>
      </c>
      <c r="AV281" t="b">
        <f t="shared" si="112"/>
        <v>0</v>
      </c>
      <c r="AW281" t="b">
        <f t="shared" si="113"/>
        <v>0</v>
      </c>
      <c r="AZ281" s="401" t="b">
        <f t="shared" si="114"/>
        <v>0</v>
      </c>
      <c r="BA281" s="401" t="b">
        <f t="shared" si="115"/>
        <v>0</v>
      </c>
      <c r="BC281" t="str">
        <f>'Ashed teabags wet'!A279</f>
        <v>G728</v>
      </c>
      <c r="BD281" t="str">
        <f>'Ashed teabags wet'!A696</f>
        <v>R519</v>
      </c>
      <c r="BE281" t="b">
        <f t="shared" si="116"/>
        <v>0</v>
      </c>
      <c r="BF281" t="b">
        <f t="shared" si="117"/>
        <v>0</v>
      </c>
      <c r="BG281">
        <f>IFERROR('Ashed teabags wet'!C279,"")</f>
        <v>100</v>
      </c>
      <c r="BH281">
        <f>IFERROR('Ashed teabags wet'!C696,"")</f>
        <v>16</v>
      </c>
      <c r="BI281">
        <f>'Ashed teabags wet'!AB279</f>
        <v>99</v>
      </c>
      <c r="BJ281" t="str">
        <f>'Ashed teabags wet'!AC279</f>
        <v/>
      </c>
      <c r="BK281">
        <f>'Ashed teabags wet'!AD696</f>
        <v>15</v>
      </c>
      <c r="BL281" t="str">
        <f>'Ashed teabags wet'!AE696</f>
        <v/>
      </c>
      <c r="BN281" t="str">
        <f t="shared" si="118"/>
        <v>G727</v>
      </c>
      <c r="BO281" t="b">
        <f t="shared" si="119"/>
        <v>1</v>
      </c>
    </row>
    <row r="282" spans="2:67" ht="12" customHeight="1">
      <c r="B282" t="str">
        <f>TBIDry!H354</f>
        <v>G558</v>
      </c>
      <c r="C282" t="str">
        <f>TBIDry!I354</f>
        <v>R231</v>
      </c>
      <c r="D282" t="b">
        <f t="shared" si="96"/>
        <v>0</v>
      </c>
      <c r="E282" t="b">
        <f t="shared" si="97"/>
        <v>0</v>
      </c>
      <c r="G282" t="str">
        <f>TBIWet!H354</f>
        <v>G600</v>
      </c>
      <c r="H282" t="str">
        <f>TBIWet!I354</f>
        <v>R120</v>
      </c>
      <c r="I282" t="b">
        <f t="shared" si="98"/>
        <v>0</v>
      </c>
      <c r="J282" t="b">
        <f t="shared" si="99"/>
        <v>0</v>
      </c>
      <c r="L282" t="str">
        <f>'Both teabags AfterWet'!A281</f>
        <v>G727</v>
      </c>
      <c r="M282" t="str">
        <f>'Both teabags AfterWet'!A699</f>
        <v>R496</v>
      </c>
      <c r="N282" t="b">
        <f t="shared" si="100"/>
        <v>0</v>
      </c>
      <c r="O282" t="b">
        <f t="shared" si="101"/>
        <v>0</v>
      </c>
      <c r="P282">
        <f>IFERROR('Both teabags AfterWet'!B281,"")</f>
        <v>219</v>
      </c>
      <c r="Q282">
        <f>'Both teabags AfterWet'!B699</f>
        <v>99</v>
      </c>
      <c r="S282" s="401" t="b">
        <f t="shared" si="102"/>
        <v>0</v>
      </c>
      <c r="T282" s="401" t="b">
        <f t="shared" si="103"/>
        <v>0</v>
      </c>
      <c r="V282" t="str">
        <f>'Both teabags AfterDry'!A281</f>
        <v>G650</v>
      </c>
      <c r="W282" t="str">
        <f>'Both teabags AfterDry'!A618</f>
        <v>R776</v>
      </c>
      <c r="X282" t="b">
        <f t="shared" si="104"/>
        <v>0</v>
      </c>
      <c r="Y282" t="b">
        <f t="shared" si="105"/>
        <v>0</v>
      </c>
      <c r="AA282" t="str">
        <f>'Green_rooibos initial weight'!A283</f>
        <v>G279</v>
      </c>
      <c r="AB282" t="str">
        <f>'Green_rooibos initial weight'!A1187</f>
        <v>R279</v>
      </c>
      <c r="AC282" t="b">
        <f t="shared" si="106"/>
        <v>0</v>
      </c>
      <c r="AD282" t="b">
        <f t="shared" si="107"/>
        <v>0</v>
      </c>
      <c r="AG282" t="str">
        <f>'WetLitterbags placem_collection'!O61</f>
        <v>G600</v>
      </c>
      <c r="AH282" t="str">
        <f>'WetLitterbags placem_collection'!Q61</f>
        <v>R120</v>
      </c>
      <c r="AI282" t="b">
        <f t="shared" si="108"/>
        <v>0</v>
      </c>
      <c r="AJ282" t="b">
        <f t="shared" si="109"/>
        <v>0</v>
      </c>
      <c r="AK282">
        <f>'WetLitterbags placem_collection'!A61</f>
        <v>59</v>
      </c>
      <c r="AL282">
        <f>'WetLitterbags placem_collection'!A61</f>
        <v>59</v>
      </c>
      <c r="AN282">
        <f>IF('Dry_Litterbag Placem_Collection'!L61=0,"",'Dry_Litterbag Placem_Collection'!L61)</f>
        <v>558</v>
      </c>
      <c r="AO282">
        <f>IF('Dry_Litterbag Placem_Collection'!M61=0,"",'Dry_Litterbag Placem_Collection'!M61)</f>
        <v>231</v>
      </c>
      <c r="AP282" t="b">
        <f t="shared" si="110"/>
        <v>0</v>
      </c>
      <c r="AQ282" t="b">
        <f t="shared" si="111"/>
        <v>0</v>
      </c>
      <c r="AT282" t="str">
        <f>'Ashed teabags dry'!A280</f>
        <v>G650</v>
      </c>
      <c r="AU282" t="str">
        <f>'Ashed teabags dry'!A617</f>
        <v>R774</v>
      </c>
      <c r="AV282" t="b">
        <f t="shared" si="112"/>
        <v>0</v>
      </c>
      <c r="AW282" t="b">
        <f t="shared" si="113"/>
        <v>0</v>
      </c>
      <c r="AZ282" s="401" t="b">
        <f t="shared" si="114"/>
        <v>0</v>
      </c>
      <c r="BA282" s="401" t="b">
        <f t="shared" si="115"/>
        <v>0</v>
      </c>
      <c r="BC282" t="str">
        <f>'Ashed teabags wet'!A280</f>
        <v>G729</v>
      </c>
      <c r="BD282" t="str">
        <f>'Ashed teabags wet'!A697</f>
        <v>R520</v>
      </c>
      <c r="BE282" t="b">
        <f t="shared" si="116"/>
        <v>0</v>
      </c>
      <c r="BF282" t="b">
        <f t="shared" si="117"/>
        <v>0</v>
      </c>
      <c r="BG282">
        <f>IFERROR('Ashed teabags wet'!C280,"")</f>
        <v>105</v>
      </c>
      <c r="BH282">
        <f>IFERROR('Ashed teabags wet'!C697,"")</f>
        <v>129</v>
      </c>
      <c r="BI282">
        <f>'Ashed teabags wet'!AB280</f>
        <v>104</v>
      </c>
      <c r="BJ282" t="str">
        <f>'Ashed teabags wet'!AC280</f>
        <v/>
      </c>
      <c r="BK282" t="str">
        <f>'Ashed teabags wet'!AD697</f>
        <v/>
      </c>
      <c r="BL282">
        <f>'Ashed teabags wet'!AE697</f>
        <v>128</v>
      </c>
      <c r="BN282" t="str">
        <f t="shared" si="118"/>
        <v>G728</v>
      </c>
      <c r="BO282" t="b">
        <f t="shared" si="119"/>
        <v>1</v>
      </c>
    </row>
    <row r="283" spans="2:67" ht="12" customHeight="1">
      <c r="B283" t="str">
        <f>TBIDry!H355</f>
        <v>G751</v>
      </c>
      <c r="C283" t="str">
        <f>TBIDry!I355</f>
        <v>R297</v>
      </c>
      <c r="D283" t="b">
        <f t="shared" si="96"/>
        <v>0</v>
      </c>
      <c r="E283" t="b">
        <f t="shared" si="97"/>
        <v>0</v>
      </c>
      <c r="G283" t="str">
        <f>TBIWet!H355</f>
        <v>G535</v>
      </c>
      <c r="H283" t="str">
        <f>TBIWet!I355</f>
        <v>R390</v>
      </c>
      <c r="I283" t="b">
        <f t="shared" si="98"/>
        <v>0</v>
      </c>
      <c r="J283" t="b">
        <f t="shared" si="99"/>
        <v>0</v>
      </c>
      <c r="L283" t="str">
        <f>'Both teabags AfterWet'!A282</f>
        <v>G728</v>
      </c>
      <c r="M283" t="str">
        <f>'Both teabags AfterWet'!A700</f>
        <v>R497</v>
      </c>
      <c r="N283" t="b">
        <f t="shared" si="100"/>
        <v>0</v>
      </c>
      <c r="O283" t="b">
        <f t="shared" si="101"/>
        <v>0</v>
      </c>
      <c r="P283">
        <f>IFERROR('Both teabags AfterWet'!B282,"")</f>
        <v>100</v>
      </c>
      <c r="Q283">
        <f>'Both teabags AfterWet'!B700</f>
        <v>100</v>
      </c>
      <c r="S283" s="401" t="b">
        <f t="shared" si="102"/>
        <v>0</v>
      </c>
      <c r="T283" s="401" t="b">
        <f t="shared" si="103"/>
        <v>0</v>
      </c>
      <c r="V283" t="str">
        <f>'Both teabags AfterDry'!A282</f>
        <v>G659</v>
      </c>
      <c r="W283" t="str">
        <f>'Both teabags AfterDry'!A619</f>
        <v>R777</v>
      </c>
      <c r="X283" t="b">
        <f t="shared" si="104"/>
        <v>0</v>
      </c>
      <c r="Y283" t="b">
        <f t="shared" si="105"/>
        <v>0</v>
      </c>
      <c r="AA283" t="str">
        <f>'Green_rooibos initial weight'!A284</f>
        <v>G280</v>
      </c>
      <c r="AB283" t="str">
        <f>'Green_rooibos initial weight'!A1188</f>
        <v>R280</v>
      </c>
      <c r="AC283" t="b">
        <f t="shared" si="106"/>
        <v>0</v>
      </c>
      <c r="AD283" t="b">
        <f t="shared" si="107"/>
        <v>0</v>
      </c>
      <c r="AG283" t="str">
        <f>'WetLitterbags placem_collection'!O62</f>
        <v>G535</v>
      </c>
      <c r="AH283" t="str">
        <f>'WetLitterbags placem_collection'!Q62</f>
        <v>R390</v>
      </c>
      <c r="AI283" t="b">
        <f t="shared" si="108"/>
        <v>0</v>
      </c>
      <c r="AJ283" t="b">
        <f t="shared" si="109"/>
        <v>0</v>
      </c>
      <c r="AK283">
        <f>'WetLitterbags placem_collection'!A62</f>
        <v>60</v>
      </c>
      <c r="AL283">
        <f>'WetLitterbags placem_collection'!A62</f>
        <v>60</v>
      </c>
      <c r="AN283">
        <f>IF('Dry_Litterbag Placem_Collection'!L62=0,"",'Dry_Litterbag Placem_Collection'!L62)</f>
        <v>751</v>
      </c>
      <c r="AO283">
        <f>IF('Dry_Litterbag Placem_Collection'!M62=0,"",'Dry_Litterbag Placem_Collection'!M62)</f>
        <v>297</v>
      </c>
      <c r="AP283" t="b">
        <f t="shared" si="110"/>
        <v>0</v>
      </c>
      <c r="AQ283" t="b">
        <f t="shared" si="111"/>
        <v>0</v>
      </c>
      <c r="AT283" t="str">
        <f>'Ashed teabags dry'!A281</f>
        <v>G659</v>
      </c>
      <c r="AU283" t="str">
        <f>'Ashed teabags dry'!A618</f>
        <v>R776</v>
      </c>
      <c r="AV283" t="b">
        <f t="shared" si="112"/>
        <v>0</v>
      </c>
      <c r="AW283" t="b">
        <f t="shared" si="113"/>
        <v>0</v>
      </c>
      <c r="AZ283" s="401" t="b">
        <f t="shared" si="114"/>
        <v>0</v>
      </c>
      <c r="BA283" s="401" t="b">
        <f t="shared" si="115"/>
        <v>0</v>
      </c>
      <c r="BC283" t="str">
        <f>'Ashed teabags wet'!A281</f>
        <v>G730</v>
      </c>
      <c r="BD283" t="str">
        <f>'Ashed teabags wet'!A698</f>
        <v>R521</v>
      </c>
      <c r="BE283" t="b">
        <f t="shared" si="116"/>
        <v>0</v>
      </c>
      <c r="BF283" t="b">
        <f t="shared" si="117"/>
        <v>0</v>
      </c>
      <c r="BG283">
        <f>IFERROR('Ashed teabags wet'!C281,"")</f>
        <v>98</v>
      </c>
      <c r="BH283">
        <f>IFERROR('Ashed teabags wet'!C698,"")</f>
        <v>41</v>
      </c>
      <c r="BI283" t="str">
        <f>'Ashed teabags wet'!AB281</f>
        <v/>
      </c>
      <c r="BJ283">
        <f>'Ashed teabags wet'!AC281</f>
        <v>97</v>
      </c>
      <c r="BK283">
        <f>'Ashed teabags wet'!AD698</f>
        <v>40</v>
      </c>
      <c r="BL283" t="str">
        <f>'Ashed teabags wet'!AE698</f>
        <v/>
      </c>
      <c r="BN283" t="str">
        <f t="shared" si="118"/>
        <v>G729</v>
      </c>
      <c r="BO283" t="b">
        <f t="shared" si="119"/>
        <v>1</v>
      </c>
    </row>
    <row r="284" spans="2:67" ht="12" customHeight="1">
      <c r="B284" t="str">
        <f>TBIDry!H356</f>
        <v>G748</v>
      </c>
      <c r="C284" t="str">
        <f>TBIDry!I356</f>
        <v>R200</v>
      </c>
      <c r="D284" t="b">
        <f t="shared" si="96"/>
        <v>0</v>
      </c>
      <c r="E284" t="b">
        <f t="shared" si="97"/>
        <v>0</v>
      </c>
      <c r="G284" t="str">
        <f>TBIWet!H356</f>
        <v>G391</v>
      </c>
      <c r="H284" t="str">
        <f>TBIWet!I356</f>
        <v>R143</v>
      </c>
      <c r="I284" t="b">
        <f t="shared" si="98"/>
        <v>0</v>
      </c>
      <c r="J284" t="b">
        <f t="shared" si="99"/>
        <v>0</v>
      </c>
      <c r="L284" t="str">
        <f>'Both teabags AfterWet'!A283</f>
        <v>G729</v>
      </c>
      <c r="M284" t="str">
        <f>'Both teabags AfterWet'!A701</f>
        <v>R50</v>
      </c>
      <c r="N284" t="b">
        <f t="shared" si="100"/>
        <v>0</v>
      </c>
      <c r="O284" t="b">
        <f t="shared" si="101"/>
        <v>0</v>
      </c>
      <c r="P284">
        <f>IFERROR('Both teabags AfterWet'!B283,"")</f>
        <v>105</v>
      </c>
      <c r="Q284">
        <f>'Both teabags AfterWet'!B701</f>
        <v>20</v>
      </c>
      <c r="S284" s="401" t="b">
        <f t="shared" si="102"/>
        <v>0</v>
      </c>
      <c r="T284" s="401" t="b">
        <f t="shared" si="103"/>
        <v>0</v>
      </c>
      <c r="V284" t="str">
        <f>'Both teabags AfterDry'!A283</f>
        <v>G66</v>
      </c>
      <c r="W284" t="str">
        <f>'Both teabags AfterDry'!A620</f>
        <v>R778</v>
      </c>
      <c r="X284" t="b">
        <f t="shared" si="104"/>
        <v>0</v>
      </c>
      <c r="Y284" t="b">
        <f t="shared" si="105"/>
        <v>0</v>
      </c>
      <c r="AA284" t="str">
        <f>'Green_rooibos initial weight'!A285</f>
        <v>G281</v>
      </c>
      <c r="AB284" t="str">
        <f>'Green_rooibos initial weight'!A1189</f>
        <v>R281</v>
      </c>
      <c r="AC284" t="b">
        <f t="shared" si="106"/>
        <v>0</v>
      </c>
      <c r="AD284" t="b">
        <f t="shared" si="107"/>
        <v>0</v>
      </c>
      <c r="AG284" t="str">
        <f>'WetLitterbags placem_collection'!O63</f>
        <v>G391</v>
      </c>
      <c r="AH284" t="str">
        <f>'WetLitterbags placem_collection'!Q63</f>
        <v>R143</v>
      </c>
      <c r="AI284" t="b">
        <f t="shared" si="108"/>
        <v>0</v>
      </c>
      <c r="AJ284" t="b">
        <f t="shared" si="109"/>
        <v>0</v>
      </c>
      <c r="AK284">
        <f>'WetLitterbags placem_collection'!A63</f>
        <v>61</v>
      </c>
      <c r="AL284">
        <f>'WetLitterbags placem_collection'!A63</f>
        <v>61</v>
      </c>
      <c r="AN284">
        <f>IF('Dry_Litterbag Placem_Collection'!L63=0,"",'Dry_Litterbag Placem_Collection'!L63)</f>
        <v>748</v>
      </c>
      <c r="AO284">
        <f>IF('Dry_Litterbag Placem_Collection'!M63=0,"",'Dry_Litterbag Placem_Collection'!M63)</f>
        <v>200</v>
      </c>
      <c r="AP284" t="b">
        <f t="shared" si="110"/>
        <v>0</v>
      </c>
      <c r="AQ284" t="b">
        <f t="shared" si="111"/>
        <v>0</v>
      </c>
      <c r="AT284" t="str">
        <f>'Ashed teabags dry'!A282</f>
        <v>G66</v>
      </c>
      <c r="AU284" t="str">
        <f>'Ashed teabags dry'!A619</f>
        <v>R777</v>
      </c>
      <c r="AV284" t="b">
        <f t="shared" si="112"/>
        <v>0</v>
      </c>
      <c r="AW284" t="b">
        <f t="shared" si="113"/>
        <v>0</v>
      </c>
      <c r="AZ284" s="401" t="b">
        <f t="shared" si="114"/>
        <v>0</v>
      </c>
      <c r="BA284" s="401" t="b">
        <f t="shared" si="115"/>
        <v>0</v>
      </c>
      <c r="BC284" t="str">
        <f>'Ashed teabags wet'!A282</f>
        <v>G732</v>
      </c>
      <c r="BD284" t="str">
        <f>'Ashed teabags wet'!A699</f>
        <v>R522</v>
      </c>
      <c r="BE284" t="b">
        <f t="shared" si="116"/>
        <v>0</v>
      </c>
      <c r="BF284" t="b">
        <f t="shared" si="117"/>
        <v>0</v>
      </c>
      <c r="BG284">
        <f>IFERROR('Ashed teabags wet'!C282,"")</f>
        <v>35</v>
      </c>
      <c r="BH284">
        <f>IFERROR('Ashed teabags wet'!C699,"")</f>
        <v>115</v>
      </c>
      <c r="BI284" t="str">
        <f>'Ashed teabags wet'!AB282</f>
        <v/>
      </c>
      <c r="BJ284">
        <f>'Ashed teabags wet'!AC282</f>
        <v>34</v>
      </c>
      <c r="BK284" t="str">
        <f>'Ashed teabags wet'!AD699</f>
        <v/>
      </c>
      <c r="BL284">
        <f>'Ashed teabags wet'!AE699</f>
        <v>114</v>
      </c>
      <c r="BN284" t="str">
        <f t="shared" si="118"/>
        <v>G730</v>
      </c>
      <c r="BO284" t="b">
        <f t="shared" si="119"/>
        <v>1</v>
      </c>
    </row>
    <row r="285" spans="2:67" ht="12" customHeight="1">
      <c r="B285" t="str">
        <f>TBIDry!H357</f>
        <v/>
      </c>
      <c r="C285" t="str">
        <f>TBIDry!I357</f>
        <v/>
      </c>
      <c r="D285" t="b">
        <f t="shared" si="96"/>
        <v>1</v>
      </c>
      <c r="E285" t="b">
        <f t="shared" si="97"/>
        <v>1</v>
      </c>
      <c r="G285" t="str">
        <f>TBIWet!H357</f>
        <v>G445</v>
      </c>
      <c r="H285" t="str">
        <f>TBIWet!I357</f>
        <v>R448</v>
      </c>
      <c r="I285" t="b">
        <f t="shared" si="98"/>
        <v>0</v>
      </c>
      <c r="J285" t="b">
        <f t="shared" si="99"/>
        <v>0</v>
      </c>
      <c r="L285" t="str">
        <f>'Both teabags AfterWet'!A284</f>
        <v>G730</v>
      </c>
      <c r="M285" t="str">
        <f>'Both teabags AfterWet'!A702</f>
        <v>R500</v>
      </c>
      <c r="N285" t="b">
        <f t="shared" si="100"/>
        <v>0</v>
      </c>
      <c r="O285" t="b">
        <f t="shared" si="101"/>
        <v>0</v>
      </c>
      <c r="P285">
        <f>IFERROR('Both teabags AfterWet'!B284,"")</f>
        <v>98</v>
      </c>
      <c r="Q285">
        <f>'Both teabags AfterWet'!B702</f>
        <v>100</v>
      </c>
      <c r="S285" s="401" t="b">
        <f t="shared" si="102"/>
        <v>0</v>
      </c>
      <c r="T285" s="401" t="b">
        <f t="shared" si="103"/>
        <v>0</v>
      </c>
      <c r="V285" t="str">
        <f>'Both teabags AfterDry'!A284</f>
        <v>G663</v>
      </c>
      <c r="W285" t="str">
        <f>'Both teabags AfterDry'!A621</f>
        <v>R779</v>
      </c>
      <c r="X285" t="b">
        <f t="shared" si="104"/>
        <v>0</v>
      </c>
      <c r="Y285" t="b">
        <f t="shared" si="105"/>
        <v>0</v>
      </c>
      <c r="AA285" t="str">
        <f>'Green_rooibos initial weight'!A286</f>
        <v>G282</v>
      </c>
      <c r="AB285" t="str">
        <f>'Green_rooibos initial weight'!A1190</f>
        <v>R282</v>
      </c>
      <c r="AC285" t="b">
        <f t="shared" si="106"/>
        <v>0</v>
      </c>
      <c r="AD285" t="b">
        <f t="shared" si="107"/>
        <v>0</v>
      </c>
      <c r="AG285" t="str">
        <f>'WetLitterbags placem_collection'!O64</f>
        <v>G445</v>
      </c>
      <c r="AH285" t="str">
        <f>'WetLitterbags placem_collection'!Q64</f>
        <v>R448</v>
      </c>
      <c r="AI285" t="b">
        <f t="shared" si="108"/>
        <v>0</v>
      </c>
      <c r="AJ285" t="b">
        <f t="shared" si="109"/>
        <v>0</v>
      </c>
      <c r="AK285">
        <f>'WetLitterbags placem_collection'!A64</f>
        <v>62</v>
      </c>
      <c r="AL285">
        <f>'WetLitterbags placem_collection'!A64</f>
        <v>62</v>
      </c>
      <c r="AN285" t="str">
        <f>IF('Dry_Litterbag Placem_Collection'!L64=0,"",'Dry_Litterbag Placem_Collection'!L64)</f>
        <v/>
      </c>
      <c r="AO285" t="str">
        <f>IF('Dry_Litterbag Placem_Collection'!M64=0,"",'Dry_Litterbag Placem_Collection'!M64)</f>
        <v/>
      </c>
      <c r="AP285" t="b">
        <f t="shared" si="110"/>
        <v>1</v>
      </c>
      <c r="AQ285" t="b">
        <f t="shared" si="111"/>
        <v>1</v>
      </c>
      <c r="AT285" t="str">
        <f>'Ashed teabags dry'!A283</f>
        <v>G663</v>
      </c>
      <c r="AU285" t="str">
        <f>'Ashed teabags dry'!A620</f>
        <v>R778</v>
      </c>
      <c r="AV285" t="b">
        <f t="shared" si="112"/>
        <v>0</v>
      </c>
      <c r="AW285" t="b">
        <f t="shared" si="113"/>
        <v>0</v>
      </c>
      <c r="AZ285" s="401" t="b">
        <f t="shared" si="114"/>
        <v>0</v>
      </c>
      <c r="BA285" s="401" t="b">
        <f t="shared" si="115"/>
        <v>0</v>
      </c>
      <c r="BC285" t="str">
        <f>'Ashed teabags wet'!A283</f>
        <v>G733</v>
      </c>
      <c r="BD285" t="str">
        <f>'Ashed teabags wet'!A700</f>
        <v>R523</v>
      </c>
      <c r="BE285" t="b">
        <f t="shared" si="116"/>
        <v>0</v>
      </c>
      <c r="BF285" t="b">
        <f t="shared" si="117"/>
        <v>0</v>
      </c>
      <c r="BG285">
        <f>IFERROR('Ashed teabags wet'!C283,"")</f>
        <v>149</v>
      </c>
      <c r="BH285">
        <f>IFERROR('Ashed teabags wet'!C700,"")</f>
        <v>0</v>
      </c>
      <c r="BI285">
        <f>'Ashed teabags wet'!AB283</f>
        <v>148</v>
      </c>
      <c r="BJ285" t="str">
        <f>'Ashed teabags wet'!AC283</f>
        <v/>
      </c>
      <c r="BK285">
        <f>'Ashed teabags wet'!AD700</f>
        <v>187</v>
      </c>
      <c r="BL285" t="str">
        <f>'Ashed teabags wet'!AE700</f>
        <v/>
      </c>
      <c r="BN285" t="str">
        <f t="shared" si="118"/>
        <v>G732</v>
      </c>
      <c r="BO285" t="b">
        <f t="shared" si="119"/>
        <v>1</v>
      </c>
    </row>
    <row r="286" spans="2:67" ht="12" customHeight="1">
      <c r="B286" t="str">
        <f>TBIDry!H358</f>
        <v>G629</v>
      </c>
      <c r="C286" t="str">
        <f>TBIDry!I358</f>
        <v>R713</v>
      </c>
      <c r="D286" t="b">
        <f t="shared" si="96"/>
        <v>0</v>
      </c>
      <c r="E286" t="b">
        <f t="shared" si="97"/>
        <v>0</v>
      </c>
      <c r="G286" t="str">
        <f>TBIWet!H358</f>
        <v>G440</v>
      </c>
      <c r="H286" t="str">
        <f>TBIWet!I358</f>
        <v>R423</v>
      </c>
      <c r="I286" t="b">
        <f t="shared" si="98"/>
        <v>0</v>
      </c>
      <c r="J286" t="b">
        <f t="shared" si="99"/>
        <v>0</v>
      </c>
      <c r="L286" t="str">
        <f>'Both teabags AfterWet'!A285</f>
        <v>G732</v>
      </c>
      <c r="M286" t="str">
        <f>'Both teabags AfterWet'!A703</f>
        <v>R501</v>
      </c>
      <c r="N286" t="b">
        <f t="shared" si="100"/>
        <v>0</v>
      </c>
      <c r="O286" t="b">
        <f t="shared" si="101"/>
        <v>0</v>
      </c>
      <c r="P286">
        <f>IFERROR('Both teabags AfterWet'!B285,"")</f>
        <v>35</v>
      </c>
      <c r="Q286">
        <f>'Both teabags AfterWet'!B703</f>
        <v>75</v>
      </c>
      <c r="S286" s="401" t="b">
        <f t="shared" si="102"/>
        <v>0</v>
      </c>
      <c r="T286" s="401" t="b">
        <f t="shared" si="103"/>
        <v>0</v>
      </c>
      <c r="V286" t="str">
        <f>'Both teabags AfterDry'!A285</f>
        <v>G67</v>
      </c>
      <c r="W286" t="str">
        <f>'Both teabags AfterDry'!A622</f>
        <v>R780</v>
      </c>
      <c r="X286" t="b">
        <f t="shared" si="104"/>
        <v>0</v>
      </c>
      <c r="Y286" t="b">
        <f t="shared" si="105"/>
        <v>0</v>
      </c>
      <c r="AA286" t="str">
        <f>'Green_rooibos initial weight'!A287</f>
        <v>G283</v>
      </c>
      <c r="AB286" t="str">
        <f>'Green_rooibos initial weight'!A1191</f>
        <v>R283</v>
      </c>
      <c r="AC286" t="b">
        <f t="shared" si="106"/>
        <v>0</v>
      </c>
      <c r="AD286" t="b">
        <f t="shared" si="107"/>
        <v>0</v>
      </c>
      <c r="AG286" t="str">
        <f>'WetLitterbags placem_collection'!O65</f>
        <v>G440</v>
      </c>
      <c r="AH286" t="str">
        <f>'WetLitterbags placem_collection'!Q65</f>
        <v>R423</v>
      </c>
      <c r="AI286" t="b">
        <f t="shared" si="108"/>
        <v>0</v>
      </c>
      <c r="AJ286" t="b">
        <f t="shared" si="109"/>
        <v>0</v>
      </c>
      <c r="AK286">
        <f>'WetLitterbags placem_collection'!A65</f>
        <v>63</v>
      </c>
      <c r="AL286">
        <f>'WetLitterbags placem_collection'!A65</f>
        <v>63</v>
      </c>
      <c r="AN286">
        <f>IF('Dry_Litterbag Placem_Collection'!L65=0,"",'Dry_Litterbag Placem_Collection'!L65)</f>
        <v>629</v>
      </c>
      <c r="AO286">
        <f>IF('Dry_Litterbag Placem_Collection'!M65=0,"",'Dry_Litterbag Placem_Collection'!M65)</f>
        <v>713</v>
      </c>
      <c r="AP286" t="b">
        <f t="shared" si="110"/>
        <v>0</v>
      </c>
      <c r="AQ286" t="b">
        <f t="shared" si="111"/>
        <v>0</v>
      </c>
      <c r="AT286" t="str">
        <f>'Ashed teabags dry'!A284</f>
        <v>G67</v>
      </c>
      <c r="AU286" t="str">
        <f>'Ashed teabags dry'!A621</f>
        <v>R779</v>
      </c>
      <c r="AV286" t="b">
        <f t="shared" si="112"/>
        <v>0</v>
      </c>
      <c r="AW286" t="b">
        <f t="shared" si="113"/>
        <v>0</v>
      </c>
      <c r="AZ286" s="401" t="b">
        <f t="shared" si="114"/>
        <v>0</v>
      </c>
      <c r="BA286" s="401" t="b">
        <f t="shared" si="115"/>
        <v>0</v>
      </c>
      <c r="BC286" t="str">
        <f>'Ashed teabags wet'!A284</f>
        <v>G736</v>
      </c>
      <c r="BD286" t="str">
        <f>'Ashed teabags wet'!A701</f>
        <v>R524</v>
      </c>
      <c r="BE286" t="b">
        <f t="shared" si="116"/>
        <v>0</v>
      </c>
      <c r="BF286" t="b">
        <f t="shared" si="117"/>
        <v>0</v>
      </c>
      <c r="BG286">
        <f>IFERROR('Ashed teabags wet'!C284,"")</f>
        <v>174</v>
      </c>
      <c r="BH286">
        <f>IFERROR('Ashed teabags wet'!C701,"")</f>
        <v>133</v>
      </c>
      <c r="BI286" t="str">
        <f>'Ashed teabags wet'!AB284</f>
        <v/>
      </c>
      <c r="BJ286">
        <f>'Ashed teabags wet'!AC284</f>
        <v>173</v>
      </c>
      <c r="BK286">
        <f>'Ashed teabags wet'!AD701</f>
        <v>132</v>
      </c>
      <c r="BL286" t="str">
        <f>'Ashed teabags wet'!AE701</f>
        <v/>
      </c>
      <c r="BN286" t="str">
        <f t="shared" si="118"/>
        <v>G733</v>
      </c>
      <c r="BO286" t="b">
        <f t="shared" si="119"/>
        <v>1</v>
      </c>
    </row>
    <row r="287" spans="2:67" ht="12" customHeight="1">
      <c r="B287" t="str">
        <f>TBIDry!H359</f>
        <v>G84</v>
      </c>
      <c r="C287" t="str">
        <f>TBIDry!I359</f>
        <v>R237</v>
      </c>
      <c r="D287" t="b">
        <f t="shared" si="96"/>
        <v>0</v>
      </c>
      <c r="E287" t="b">
        <f t="shared" si="97"/>
        <v>0</v>
      </c>
      <c r="G287" t="str">
        <f>TBIWet!H359</f>
        <v>G673</v>
      </c>
      <c r="H287" t="str">
        <f>TBIWet!I359</f>
        <v>R550</v>
      </c>
      <c r="I287" t="b">
        <f t="shared" si="98"/>
        <v>0</v>
      </c>
      <c r="J287" t="b">
        <f t="shared" si="99"/>
        <v>0</v>
      </c>
      <c r="L287" t="str">
        <f>'Both teabags AfterWet'!A286</f>
        <v>G733</v>
      </c>
      <c r="M287" t="str">
        <f>'Both teabags AfterWet'!A704</f>
        <v>R502</v>
      </c>
      <c r="N287" t="b">
        <f t="shared" si="100"/>
        <v>0</v>
      </c>
      <c r="O287" t="b">
        <f t="shared" si="101"/>
        <v>0</v>
      </c>
      <c r="P287" t="str">
        <f>IFERROR('Both teabags AfterWet'!B286,"")</f>
        <v>n.a</v>
      </c>
      <c r="Q287" t="str">
        <f>'Both teabags AfterWet'!B704</f>
        <v>n.a</v>
      </c>
      <c r="S287" s="401" t="b">
        <f t="shared" si="102"/>
        <v>0</v>
      </c>
      <c r="T287" s="401" t="b">
        <f t="shared" si="103"/>
        <v>0</v>
      </c>
      <c r="V287" t="str">
        <f>'Both teabags AfterDry'!A286</f>
        <v>G671</v>
      </c>
      <c r="W287" t="str">
        <f>'Both teabags AfterDry'!A623</f>
        <v>R781</v>
      </c>
      <c r="X287" t="b">
        <f t="shared" si="104"/>
        <v>0</v>
      </c>
      <c r="Y287" t="b">
        <f t="shared" si="105"/>
        <v>0</v>
      </c>
      <c r="AA287" t="str">
        <f>'Green_rooibos initial weight'!A288</f>
        <v>G284</v>
      </c>
      <c r="AB287" t="str">
        <f>'Green_rooibos initial weight'!A1192</f>
        <v>R284</v>
      </c>
      <c r="AC287" t="b">
        <f t="shared" si="106"/>
        <v>0</v>
      </c>
      <c r="AD287" t="b">
        <f t="shared" si="107"/>
        <v>0</v>
      </c>
      <c r="AG287" t="str">
        <f>'WetLitterbags placem_collection'!O66</f>
        <v>G673</v>
      </c>
      <c r="AH287" t="str">
        <f>'WetLitterbags placem_collection'!Q66</f>
        <v>R550</v>
      </c>
      <c r="AI287" t="b">
        <f t="shared" si="108"/>
        <v>0</v>
      </c>
      <c r="AJ287" t="b">
        <f t="shared" si="109"/>
        <v>0</v>
      </c>
      <c r="AK287">
        <f>'WetLitterbags placem_collection'!A66</f>
        <v>64</v>
      </c>
      <c r="AL287">
        <f>'WetLitterbags placem_collection'!A66</f>
        <v>64</v>
      </c>
      <c r="AN287">
        <f>IF('Dry_Litterbag Placem_Collection'!L66=0,"",'Dry_Litterbag Placem_Collection'!L66)</f>
        <v>84</v>
      </c>
      <c r="AO287">
        <f>IF('Dry_Litterbag Placem_Collection'!M66=0,"",'Dry_Litterbag Placem_Collection'!M66)</f>
        <v>237</v>
      </c>
      <c r="AP287" t="b">
        <f t="shared" si="110"/>
        <v>0</v>
      </c>
      <c r="AQ287" t="b">
        <f t="shared" si="111"/>
        <v>0</v>
      </c>
      <c r="AT287" t="str">
        <f>'Ashed teabags dry'!A285</f>
        <v>G671</v>
      </c>
      <c r="AU287" t="str">
        <f>'Ashed teabags dry'!A622</f>
        <v>R780</v>
      </c>
      <c r="AV287" t="b">
        <f t="shared" si="112"/>
        <v>0</v>
      </c>
      <c r="AW287" t="b">
        <f t="shared" si="113"/>
        <v>0</v>
      </c>
      <c r="AZ287" s="401" t="b">
        <f t="shared" si="114"/>
        <v>0</v>
      </c>
      <c r="BA287" s="401" t="b">
        <f t="shared" si="115"/>
        <v>0</v>
      </c>
      <c r="BC287" t="str">
        <f>'Ashed teabags wet'!A285</f>
        <v>G737</v>
      </c>
      <c r="BD287" t="str">
        <f>'Ashed teabags wet'!A702</f>
        <v>R525</v>
      </c>
      <c r="BE287" t="b">
        <f t="shared" si="116"/>
        <v>0</v>
      </c>
      <c r="BF287" t="b">
        <f t="shared" si="117"/>
        <v>0</v>
      </c>
      <c r="BG287">
        <f>IFERROR('Ashed teabags wet'!C285,"")</f>
        <v>2</v>
      </c>
      <c r="BH287">
        <f>IFERROR('Ashed teabags wet'!C702,"")</f>
        <v>65</v>
      </c>
      <c r="BI287" t="str">
        <f>'Ashed teabags wet'!AB285</f>
        <v/>
      </c>
      <c r="BJ287">
        <f>'Ashed teabags wet'!AC285</f>
        <v>1</v>
      </c>
      <c r="BK287">
        <f>'Ashed teabags wet'!AD702</f>
        <v>64</v>
      </c>
      <c r="BL287" t="str">
        <f>'Ashed teabags wet'!AE702</f>
        <v/>
      </c>
      <c r="BN287" t="str">
        <f t="shared" si="118"/>
        <v>G736</v>
      </c>
      <c r="BO287" t="b">
        <f t="shared" si="119"/>
        <v>1</v>
      </c>
    </row>
    <row r="288" spans="2:67" ht="12" customHeight="1">
      <c r="B288" t="str">
        <f>TBIDry!H360</f>
        <v>G586</v>
      </c>
      <c r="C288" t="str">
        <f>TBIDry!I360</f>
        <v>R654</v>
      </c>
      <c r="D288" t="b">
        <f t="shared" si="96"/>
        <v>0</v>
      </c>
      <c r="E288" t="b">
        <f t="shared" si="97"/>
        <v>0</v>
      </c>
      <c r="G288" t="str">
        <f>TBIWet!H360</f>
        <v>G700</v>
      </c>
      <c r="H288" t="str">
        <f>TBIWet!I360</f>
        <v>R333</v>
      </c>
      <c r="I288" t="b">
        <f t="shared" si="98"/>
        <v>0</v>
      </c>
      <c r="J288" t="b">
        <f t="shared" si="99"/>
        <v>0</v>
      </c>
      <c r="L288" t="str">
        <f>'Both teabags AfterWet'!A287</f>
        <v>G736</v>
      </c>
      <c r="M288" t="str">
        <f>'Both teabags AfterWet'!A705</f>
        <v>R504</v>
      </c>
      <c r="N288" t="b">
        <f t="shared" si="100"/>
        <v>0</v>
      </c>
      <c r="O288" t="b">
        <f t="shared" si="101"/>
        <v>0</v>
      </c>
      <c r="P288">
        <f>IFERROR('Both teabags AfterWet'!B287,"")</f>
        <v>174</v>
      </c>
      <c r="Q288">
        <f>'Both teabags AfterWet'!B705</f>
        <v>151</v>
      </c>
      <c r="S288" s="401" t="b">
        <f t="shared" si="102"/>
        <v>0</v>
      </c>
      <c r="T288" s="401" t="b">
        <f t="shared" si="103"/>
        <v>0</v>
      </c>
      <c r="V288" t="str">
        <f>'Both teabags AfterDry'!A287</f>
        <v>G672</v>
      </c>
      <c r="W288" t="str">
        <f>'Both teabags AfterDry'!A624</f>
        <v>R782</v>
      </c>
      <c r="X288" t="b">
        <f t="shared" si="104"/>
        <v>0</v>
      </c>
      <c r="Y288" t="b">
        <f t="shared" si="105"/>
        <v>0</v>
      </c>
      <c r="AA288" t="str">
        <f>'Green_rooibos initial weight'!A289</f>
        <v>G285</v>
      </c>
      <c r="AB288" t="str">
        <f>'Green_rooibos initial weight'!A1193</f>
        <v>R285</v>
      </c>
      <c r="AC288" t="b">
        <f t="shared" si="106"/>
        <v>0</v>
      </c>
      <c r="AD288" t="b">
        <f t="shared" si="107"/>
        <v>0</v>
      </c>
      <c r="AG288" t="str">
        <f>'WetLitterbags placem_collection'!O67</f>
        <v>G700</v>
      </c>
      <c r="AH288" t="str">
        <f>'WetLitterbags placem_collection'!Q67</f>
        <v>R333</v>
      </c>
      <c r="AI288" t="b">
        <f t="shared" si="108"/>
        <v>0</v>
      </c>
      <c r="AJ288" t="b">
        <f t="shared" si="109"/>
        <v>0</v>
      </c>
      <c r="AK288">
        <f>'WetLitterbags placem_collection'!A67</f>
        <v>65</v>
      </c>
      <c r="AL288">
        <f>'WetLitterbags placem_collection'!A67</f>
        <v>65</v>
      </c>
      <c r="AN288">
        <f>IF('Dry_Litterbag Placem_Collection'!L67=0,"",'Dry_Litterbag Placem_Collection'!L67)</f>
        <v>586</v>
      </c>
      <c r="AO288">
        <f>IF('Dry_Litterbag Placem_Collection'!M67=0,"",'Dry_Litterbag Placem_Collection'!M67)</f>
        <v>654</v>
      </c>
      <c r="AP288" t="b">
        <f t="shared" si="110"/>
        <v>0</v>
      </c>
      <c r="AQ288" t="b">
        <f t="shared" si="111"/>
        <v>0</v>
      </c>
      <c r="AT288" t="str">
        <f>'Ashed teabags dry'!A286</f>
        <v>G672</v>
      </c>
      <c r="AU288" t="str">
        <f>'Ashed teabags dry'!A623</f>
        <v>R781</v>
      </c>
      <c r="AV288" t="b">
        <f t="shared" si="112"/>
        <v>0</v>
      </c>
      <c r="AW288" t="b">
        <f t="shared" si="113"/>
        <v>0</v>
      </c>
      <c r="AZ288" s="401" t="b">
        <f t="shared" si="114"/>
        <v>0</v>
      </c>
      <c r="BA288" s="401" t="b">
        <f t="shared" si="115"/>
        <v>0</v>
      </c>
      <c r="BC288" t="str">
        <f>'Ashed teabags wet'!A286</f>
        <v>G738</v>
      </c>
      <c r="BD288" t="str">
        <f>'Ashed teabags wet'!A703</f>
        <v>R526</v>
      </c>
      <c r="BE288" t="b">
        <f t="shared" si="116"/>
        <v>0</v>
      </c>
      <c r="BF288" t="b">
        <f t="shared" si="117"/>
        <v>0</v>
      </c>
      <c r="BG288">
        <f>IFERROR('Ashed teabags wet'!C286,"")</f>
        <v>106</v>
      </c>
      <c r="BH288">
        <f>IFERROR('Ashed teabags wet'!C703,"")</f>
        <v>119</v>
      </c>
      <c r="BI288" t="str">
        <f>'Ashed teabags wet'!AB286</f>
        <v/>
      </c>
      <c r="BJ288">
        <f>'Ashed teabags wet'!AC286</f>
        <v>105</v>
      </c>
      <c r="BK288" t="str">
        <f>'Ashed teabags wet'!AD703</f>
        <v/>
      </c>
      <c r="BL288">
        <f>'Ashed teabags wet'!AE703</f>
        <v>118</v>
      </c>
      <c r="BN288" t="str">
        <f t="shared" si="118"/>
        <v>G737</v>
      </c>
      <c r="BO288" t="b">
        <f t="shared" si="119"/>
        <v>1</v>
      </c>
    </row>
    <row r="289" spans="2:67" ht="12" customHeight="1">
      <c r="B289" t="str">
        <f>TBIDry!H361</f>
        <v>G851</v>
      </c>
      <c r="C289" t="str">
        <f>TBIDry!I361</f>
        <v>R634</v>
      </c>
      <c r="D289" t="b">
        <f t="shared" si="96"/>
        <v>0</v>
      </c>
      <c r="E289" t="b">
        <f t="shared" si="97"/>
        <v>0</v>
      </c>
      <c r="G289" t="str">
        <f>TBIWet!H361</f>
        <v>G760</v>
      </c>
      <c r="H289" t="str">
        <f>TBIWet!I361</f>
        <v>R252</v>
      </c>
      <c r="I289" t="b">
        <f t="shared" si="98"/>
        <v>0</v>
      </c>
      <c r="J289" t="b">
        <f t="shared" si="99"/>
        <v>0</v>
      </c>
      <c r="L289" t="str">
        <f>'Both teabags AfterWet'!A288</f>
        <v>G737</v>
      </c>
      <c r="M289" t="str">
        <f>'Both teabags AfterWet'!A706</f>
        <v>R505</v>
      </c>
      <c r="N289" t="b">
        <f t="shared" si="100"/>
        <v>0</v>
      </c>
      <c r="O289" t="b">
        <f t="shared" si="101"/>
        <v>0</v>
      </c>
      <c r="P289" t="str">
        <f>IFERROR('Both teabags AfterWet'!B288,"")</f>
        <v>n.a</v>
      </c>
      <c r="Q289">
        <f>'Both teabags AfterWet'!B706</f>
        <v>111</v>
      </c>
      <c r="S289" s="401" t="b">
        <f t="shared" si="102"/>
        <v>0</v>
      </c>
      <c r="T289" s="401" t="b">
        <f t="shared" si="103"/>
        <v>0</v>
      </c>
      <c r="V289" t="str">
        <f>'Both teabags AfterDry'!A288</f>
        <v>G68</v>
      </c>
      <c r="W289" t="str">
        <f>'Both teabags AfterDry'!A625</f>
        <v>R783</v>
      </c>
      <c r="X289" t="b">
        <f t="shared" si="104"/>
        <v>0</v>
      </c>
      <c r="Y289" t="b">
        <f t="shared" si="105"/>
        <v>0</v>
      </c>
      <c r="AA289" t="str">
        <f>'Green_rooibos initial weight'!A290</f>
        <v>G286</v>
      </c>
      <c r="AB289" t="str">
        <f>'Green_rooibos initial weight'!A1194</f>
        <v>R286</v>
      </c>
      <c r="AC289" t="b">
        <f t="shared" si="106"/>
        <v>0</v>
      </c>
      <c r="AD289" t="b">
        <f t="shared" si="107"/>
        <v>0</v>
      </c>
      <c r="AG289" t="str">
        <f>'WetLitterbags placem_collection'!O68</f>
        <v>G760</v>
      </c>
      <c r="AH289" t="str">
        <f>'WetLitterbags placem_collection'!Q68</f>
        <v>R252</v>
      </c>
      <c r="AI289" t="b">
        <f t="shared" si="108"/>
        <v>0</v>
      </c>
      <c r="AJ289" t="b">
        <f t="shared" si="109"/>
        <v>0</v>
      </c>
      <c r="AK289">
        <f>'WetLitterbags placem_collection'!A68</f>
        <v>66</v>
      </c>
      <c r="AL289">
        <f>'WetLitterbags placem_collection'!A68</f>
        <v>66</v>
      </c>
      <c r="AN289">
        <f>IF('Dry_Litterbag Placem_Collection'!L68=0,"",'Dry_Litterbag Placem_Collection'!L68)</f>
        <v>851</v>
      </c>
      <c r="AO289">
        <f>IF('Dry_Litterbag Placem_Collection'!M68=0,"",'Dry_Litterbag Placem_Collection'!M68)</f>
        <v>634</v>
      </c>
      <c r="AP289" t="b">
        <f t="shared" si="110"/>
        <v>0</v>
      </c>
      <c r="AQ289" t="b">
        <f t="shared" si="111"/>
        <v>0</v>
      </c>
      <c r="AT289" t="str">
        <f>'Ashed teabags dry'!A287</f>
        <v>G68</v>
      </c>
      <c r="AU289" t="str">
        <f>'Ashed teabags dry'!A624</f>
        <v>R782</v>
      </c>
      <c r="AV289" t="b">
        <f t="shared" si="112"/>
        <v>0</v>
      </c>
      <c r="AW289" t="b">
        <f t="shared" si="113"/>
        <v>0</v>
      </c>
      <c r="AZ289" s="401" t="b">
        <f t="shared" si="114"/>
        <v>0</v>
      </c>
      <c r="BA289" s="401" t="b">
        <f t="shared" si="115"/>
        <v>0</v>
      </c>
      <c r="BC289" t="str">
        <f>'Ashed teabags wet'!A287</f>
        <v>G739</v>
      </c>
      <c r="BD289" t="str">
        <f>'Ashed teabags wet'!A704</f>
        <v>R527</v>
      </c>
      <c r="BE289" t="b">
        <f t="shared" si="116"/>
        <v>0</v>
      </c>
      <c r="BF289" t="b">
        <f t="shared" si="117"/>
        <v>0</v>
      </c>
      <c r="BG289">
        <f>IFERROR('Ashed teabags wet'!C287,"")</f>
        <v>49</v>
      </c>
      <c r="BH289">
        <f>IFERROR('Ashed teabags wet'!C704,"")</f>
        <v>2</v>
      </c>
      <c r="BI289" t="str">
        <f>'Ashed teabags wet'!AB287</f>
        <v/>
      </c>
      <c r="BJ289">
        <f>'Ashed teabags wet'!AC287</f>
        <v>48</v>
      </c>
      <c r="BK289" t="str">
        <f>'Ashed teabags wet'!AD704</f>
        <v/>
      </c>
      <c r="BL289">
        <f>'Ashed teabags wet'!AE704</f>
        <v>1</v>
      </c>
      <c r="BN289" t="str">
        <f t="shared" si="118"/>
        <v>G738</v>
      </c>
      <c r="BO289" t="b">
        <f t="shared" si="119"/>
        <v>1</v>
      </c>
    </row>
    <row r="290" spans="2:67" ht="12" customHeight="1">
      <c r="B290" t="str">
        <f>TBIDry!H362</f>
        <v/>
      </c>
      <c r="C290" t="str">
        <f>TBIDry!I362</f>
        <v/>
      </c>
      <c r="D290" t="b">
        <f t="shared" si="96"/>
        <v>1</v>
      </c>
      <c r="E290" t="b">
        <f t="shared" si="97"/>
        <v>1</v>
      </c>
      <c r="G290" t="str">
        <f>TBIWet!H362</f>
        <v>G660</v>
      </c>
      <c r="H290" t="str">
        <f>TBIWet!I362</f>
        <v>R44</v>
      </c>
      <c r="I290" t="b">
        <f t="shared" si="98"/>
        <v>0</v>
      </c>
      <c r="J290" t="b">
        <f t="shared" si="99"/>
        <v>0</v>
      </c>
      <c r="L290" t="str">
        <f>'Both teabags AfterWet'!A289</f>
        <v>G738</v>
      </c>
      <c r="M290" t="str">
        <f>'Both teabags AfterWet'!A707</f>
        <v>R506</v>
      </c>
      <c r="N290" t="b">
        <f t="shared" si="100"/>
        <v>0</v>
      </c>
      <c r="O290" t="b">
        <f t="shared" si="101"/>
        <v>0</v>
      </c>
      <c r="P290" t="str">
        <f>IFERROR('Both teabags AfterWet'!B289,"")</f>
        <v>N.A</v>
      </c>
      <c r="Q290">
        <f>'Both teabags AfterWet'!B707</f>
        <v>127</v>
      </c>
      <c r="S290" s="401" t="b">
        <f t="shared" si="102"/>
        <v>0</v>
      </c>
      <c r="T290" s="401" t="b">
        <f t="shared" si="103"/>
        <v>0</v>
      </c>
      <c r="V290" t="str">
        <f>'Both teabags AfterDry'!A289</f>
        <v>G7</v>
      </c>
      <c r="W290" t="str">
        <f>'Both teabags AfterDry'!A626</f>
        <v>R784</v>
      </c>
      <c r="X290" t="b">
        <f t="shared" si="104"/>
        <v>0</v>
      </c>
      <c r="Y290" t="b">
        <f t="shared" si="105"/>
        <v>0</v>
      </c>
      <c r="AA290" t="str">
        <f>'Green_rooibos initial weight'!A291</f>
        <v>G287</v>
      </c>
      <c r="AB290" t="str">
        <f>'Green_rooibos initial weight'!A1195</f>
        <v>R287</v>
      </c>
      <c r="AC290" t="b">
        <f t="shared" si="106"/>
        <v>0</v>
      </c>
      <c r="AD290" t="b">
        <f t="shared" si="107"/>
        <v>0</v>
      </c>
      <c r="AG290" t="str">
        <f>'WetLitterbags placem_collection'!O69</f>
        <v>G660</v>
      </c>
      <c r="AH290" t="str">
        <f>'WetLitterbags placem_collection'!Q69</f>
        <v>R44</v>
      </c>
      <c r="AI290" t="b">
        <f t="shared" si="108"/>
        <v>0</v>
      </c>
      <c r="AJ290" t="b">
        <f t="shared" si="109"/>
        <v>0</v>
      </c>
      <c r="AK290">
        <f>'WetLitterbags placem_collection'!A69</f>
        <v>67</v>
      </c>
      <c r="AL290">
        <f>'WetLitterbags placem_collection'!A69</f>
        <v>67</v>
      </c>
      <c r="AN290" t="str">
        <f>IF('Dry_Litterbag Placem_Collection'!L69=0,"",'Dry_Litterbag Placem_Collection'!L69)</f>
        <v/>
      </c>
      <c r="AO290" t="str">
        <f>IF('Dry_Litterbag Placem_Collection'!M69=0,"",'Dry_Litterbag Placem_Collection'!M69)</f>
        <v/>
      </c>
      <c r="AP290" t="b">
        <f t="shared" si="110"/>
        <v>1</v>
      </c>
      <c r="AQ290" t="b">
        <f t="shared" si="111"/>
        <v>1</v>
      </c>
      <c r="AT290" t="str">
        <f>'Ashed teabags dry'!A288</f>
        <v>G7</v>
      </c>
      <c r="AU290" t="str">
        <f>'Ashed teabags dry'!A625</f>
        <v>R783</v>
      </c>
      <c r="AV290" t="b">
        <f t="shared" si="112"/>
        <v>0</v>
      </c>
      <c r="AW290" t="b">
        <f t="shared" si="113"/>
        <v>0</v>
      </c>
      <c r="AZ290" s="401" t="b">
        <f t="shared" si="114"/>
        <v>0</v>
      </c>
      <c r="BA290" s="401" t="b">
        <f t="shared" si="115"/>
        <v>0</v>
      </c>
      <c r="BC290" t="str">
        <f>'Ashed teabags wet'!A288</f>
        <v>G740</v>
      </c>
      <c r="BD290" t="str">
        <f>'Ashed teabags wet'!A705</f>
        <v>R528</v>
      </c>
      <c r="BE290" t="b">
        <f t="shared" si="116"/>
        <v>0</v>
      </c>
      <c r="BF290" t="b">
        <f t="shared" si="117"/>
        <v>0</v>
      </c>
      <c r="BG290">
        <f>IFERROR('Ashed teabags wet'!C288,"")</f>
        <v>125</v>
      </c>
      <c r="BH290">
        <f>IFERROR('Ashed teabags wet'!C705,"")</f>
        <v>71</v>
      </c>
      <c r="BI290" t="str">
        <f>'Ashed teabags wet'!AB288</f>
        <v/>
      </c>
      <c r="BJ290">
        <f>'Ashed teabags wet'!AC288</f>
        <v>124</v>
      </c>
      <c r="BK290" t="str">
        <f>'Ashed teabags wet'!AD705</f>
        <v/>
      </c>
      <c r="BL290">
        <f>'Ashed teabags wet'!AE705</f>
        <v>70</v>
      </c>
      <c r="BN290" t="str">
        <f t="shared" si="118"/>
        <v>G739</v>
      </c>
      <c r="BO290" t="b">
        <f t="shared" si="119"/>
        <v>1</v>
      </c>
    </row>
    <row r="291" spans="2:67" ht="12" customHeight="1">
      <c r="B291" t="str">
        <f>TBIDry!H363</f>
        <v>G467</v>
      </c>
      <c r="C291" t="str">
        <f>TBIDry!I363</f>
        <v>R201</v>
      </c>
      <c r="D291" t="b">
        <f t="shared" si="96"/>
        <v>0</v>
      </c>
      <c r="E291" t="b">
        <f t="shared" si="97"/>
        <v>0</v>
      </c>
      <c r="G291" t="str">
        <f>TBIWet!H363</f>
        <v>G477</v>
      </c>
      <c r="H291" t="str">
        <f>TBIWet!I363</f>
        <v>R9</v>
      </c>
      <c r="I291" t="b">
        <f t="shared" si="98"/>
        <v>0</v>
      </c>
      <c r="J291" t="b">
        <f t="shared" si="99"/>
        <v>0</v>
      </c>
      <c r="L291" t="str">
        <f>'Both teabags AfterWet'!A290</f>
        <v>G739</v>
      </c>
      <c r="M291" t="str">
        <f>'Both teabags AfterWet'!A708</f>
        <v>R507</v>
      </c>
      <c r="N291" t="b">
        <f t="shared" si="100"/>
        <v>0</v>
      </c>
      <c r="O291" t="b">
        <f t="shared" si="101"/>
        <v>0</v>
      </c>
      <c r="P291" t="str">
        <f>IFERROR('Both teabags AfterWet'!B290,"")</f>
        <v>n.a</v>
      </c>
      <c r="Q291" t="str">
        <f>'Both teabags AfterWet'!B708</f>
        <v>n.a</v>
      </c>
      <c r="S291" s="401" t="b">
        <f t="shared" si="102"/>
        <v>0</v>
      </c>
      <c r="T291" s="401" t="b">
        <f t="shared" si="103"/>
        <v>0</v>
      </c>
      <c r="V291" t="str">
        <f>'Both teabags AfterDry'!A290</f>
        <v>G705</v>
      </c>
      <c r="W291" t="str">
        <f>'Both teabags AfterDry'!A627</f>
        <v>R785</v>
      </c>
      <c r="X291" t="b">
        <f t="shared" si="104"/>
        <v>0</v>
      </c>
      <c r="Y291" t="b">
        <f t="shared" si="105"/>
        <v>0</v>
      </c>
      <c r="AA291" t="str">
        <f>'Green_rooibos initial weight'!A292</f>
        <v>G288</v>
      </c>
      <c r="AB291" t="str">
        <f>'Green_rooibos initial weight'!A1196</f>
        <v>R288</v>
      </c>
      <c r="AC291" t="b">
        <f t="shared" si="106"/>
        <v>0</v>
      </c>
      <c r="AD291" t="b">
        <f t="shared" si="107"/>
        <v>0</v>
      </c>
      <c r="AG291" t="str">
        <f>'WetLitterbags placem_collection'!O70</f>
        <v>G477</v>
      </c>
      <c r="AH291" t="str">
        <f>'WetLitterbags placem_collection'!Q70</f>
        <v>R9</v>
      </c>
      <c r="AI291" t="b">
        <f t="shared" si="108"/>
        <v>0</v>
      </c>
      <c r="AJ291" t="b">
        <f t="shared" si="109"/>
        <v>0</v>
      </c>
      <c r="AK291">
        <f>'WetLitterbags placem_collection'!A70</f>
        <v>68</v>
      </c>
      <c r="AL291">
        <f>'WetLitterbags placem_collection'!A70</f>
        <v>68</v>
      </c>
      <c r="AN291">
        <f>IF('Dry_Litterbag Placem_Collection'!L70=0,"",'Dry_Litterbag Placem_Collection'!L70)</f>
        <v>467</v>
      </c>
      <c r="AO291">
        <f>IF('Dry_Litterbag Placem_Collection'!M70=0,"",'Dry_Litterbag Placem_Collection'!M70)</f>
        <v>201</v>
      </c>
      <c r="AP291" t="b">
        <f t="shared" si="110"/>
        <v>0</v>
      </c>
      <c r="AQ291" t="b">
        <f t="shared" si="111"/>
        <v>0</v>
      </c>
      <c r="AT291" t="str">
        <f>'Ashed teabags dry'!A289</f>
        <v>G705</v>
      </c>
      <c r="AU291" t="str">
        <f>'Ashed teabags dry'!A626</f>
        <v>R784</v>
      </c>
      <c r="AV291" t="b">
        <f t="shared" si="112"/>
        <v>0</v>
      </c>
      <c r="AW291" t="b">
        <f t="shared" si="113"/>
        <v>0</v>
      </c>
      <c r="AZ291" s="401" t="b">
        <f t="shared" si="114"/>
        <v>0</v>
      </c>
      <c r="BA291" s="401" t="b">
        <f t="shared" si="115"/>
        <v>0</v>
      </c>
      <c r="BC291" t="str">
        <f>'Ashed teabags wet'!A289</f>
        <v>G741</v>
      </c>
      <c r="BD291" t="str">
        <f>'Ashed teabags wet'!A706</f>
        <v>R529</v>
      </c>
      <c r="BE291" t="b">
        <f t="shared" si="116"/>
        <v>0</v>
      </c>
      <c r="BF291" t="b">
        <f t="shared" si="117"/>
        <v>0</v>
      </c>
      <c r="BG291">
        <f>IFERROR('Ashed teabags wet'!C289,"")</f>
        <v>97</v>
      </c>
      <c r="BH291">
        <f>IFERROR('Ashed teabags wet'!C706,"")</f>
        <v>21</v>
      </c>
      <c r="BI291">
        <f>'Ashed teabags wet'!AB289</f>
        <v>96</v>
      </c>
      <c r="BJ291" t="str">
        <f>'Ashed teabags wet'!AC289</f>
        <v/>
      </c>
      <c r="BK291">
        <f>'Ashed teabags wet'!AD706</f>
        <v>20</v>
      </c>
      <c r="BL291" t="str">
        <f>'Ashed teabags wet'!AE706</f>
        <v/>
      </c>
      <c r="BN291" t="str">
        <f t="shared" si="118"/>
        <v>G740</v>
      </c>
      <c r="BO291" t="b">
        <f t="shared" si="119"/>
        <v>1</v>
      </c>
    </row>
    <row r="292" spans="2:67" ht="12" customHeight="1">
      <c r="B292" t="str">
        <f>TBIDry!H364</f>
        <v>G766</v>
      </c>
      <c r="C292" t="str">
        <f>TBIDry!I364</f>
        <v>R174</v>
      </c>
      <c r="D292" t="b">
        <f t="shared" si="96"/>
        <v>0</v>
      </c>
      <c r="E292" t="b">
        <f t="shared" si="97"/>
        <v>0</v>
      </c>
      <c r="G292" t="str">
        <f>TBIWet!H364</f>
        <v>G386</v>
      </c>
      <c r="H292" t="str">
        <f>TBIWet!I364</f>
        <v>R251</v>
      </c>
      <c r="I292" t="b">
        <f t="shared" si="98"/>
        <v>0</v>
      </c>
      <c r="J292" t="b">
        <f t="shared" si="99"/>
        <v>0</v>
      </c>
      <c r="L292" t="str">
        <f>'Both teabags AfterWet'!A291</f>
        <v>G740</v>
      </c>
      <c r="M292" t="str">
        <f>'Both teabags AfterWet'!A709</f>
        <v>R508</v>
      </c>
      <c r="N292" t="b">
        <f t="shared" si="100"/>
        <v>0</v>
      </c>
      <c r="O292" t="b">
        <f t="shared" si="101"/>
        <v>0</v>
      </c>
      <c r="P292">
        <f>IFERROR('Both teabags AfterWet'!B291,"")</f>
        <v>125</v>
      </c>
      <c r="Q292" t="str">
        <f>'Both teabags AfterWet'!B709</f>
        <v>n.a</v>
      </c>
      <c r="S292" s="401" t="b">
        <f t="shared" si="102"/>
        <v>0</v>
      </c>
      <c r="T292" s="401" t="b">
        <f t="shared" si="103"/>
        <v>0</v>
      </c>
      <c r="V292" t="str">
        <f>'Both teabags AfterDry'!A291</f>
        <v>G714</v>
      </c>
      <c r="W292" t="str">
        <f>'Both teabags AfterDry'!A628</f>
        <v>R786</v>
      </c>
      <c r="X292" t="b">
        <f t="shared" si="104"/>
        <v>0</v>
      </c>
      <c r="Y292" t="b">
        <f t="shared" si="105"/>
        <v>0</v>
      </c>
      <c r="AA292" t="str">
        <f>'Green_rooibos initial weight'!A293</f>
        <v>G289</v>
      </c>
      <c r="AB292" t="str">
        <f>'Green_rooibos initial weight'!A1197</f>
        <v>R289</v>
      </c>
      <c r="AC292" t="b">
        <f t="shared" si="106"/>
        <v>0</v>
      </c>
      <c r="AD292" t="b">
        <f t="shared" si="107"/>
        <v>0</v>
      </c>
      <c r="AG292" t="str">
        <f>'WetLitterbags placem_collection'!O71</f>
        <v>G386</v>
      </c>
      <c r="AH292" t="str">
        <f>'WetLitterbags placem_collection'!Q71</f>
        <v>R251</v>
      </c>
      <c r="AI292" t="b">
        <f t="shared" si="108"/>
        <v>0</v>
      </c>
      <c r="AJ292" t="b">
        <f t="shared" si="109"/>
        <v>0</v>
      </c>
      <c r="AK292">
        <f>'WetLitterbags placem_collection'!A71</f>
        <v>69</v>
      </c>
      <c r="AL292">
        <f>'WetLitterbags placem_collection'!A71</f>
        <v>69</v>
      </c>
      <c r="AN292">
        <f>IF('Dry_Litterbag Placem_Collection'!L71=0,"",'Dry_Litterbag Placem_Collection'!L71)</f>
        <v>766</v>
      </c>
      <c r="AO292">
        <f>IF('Dry_Litterbag Placem_Collection'!M71=0,"",'Dry_Litterbag Placem_Collection'!M71)</f>
        <v>174</v>
      </c>
      <c r="AP292" t="b">
        <f t="shared" si="110"/>
        <v>0</v>
      </c>
      <c r="AQ292" t="b">
        <f t="shared" si="111"/>
        <v>0</v>
      </c>
      <c r="AT292" t="str">
        <f>'Ashed teabags dry'!A290</f>
        <v>G714</v>
      </c>
      <c r="AU292" t="str">
        <f>'Ashed teabags dry'!A627</f>
        <v>R785</v>
      </c>
      <c r="AV292" t="b">
        <f t="shared" si="112"/>
        <v>0</v>
      </c>
      <c r="AW292" t="b">
        <f t="shared" si="113"/>
        <v>0</v>
      </c>
      <c r="AZ292" s="401" t="b">
        <f t="shared" si="114"/>
        <v>0</v>
      </c>
      <c r="BA292" s="401" t="b">
        <f t="shared" si="115"/>
        <v>0</v>
      </c>
      <c r="BC292" t="str">
        <f>'Ashed teabags wet'!A290</f>
        <v>G742</v>
      </c>
      <c r="BD292" t="str">
        <f>'Ashed teabags wet'!A707</f>
        <v>R530</v>
      </c>
      <c r="BE292" t="b">
        <f t="shared" si="116"/>
        <v>0</v>
      </c>
      <c r="BF292" t="b">
        <f t="shared" si="117"/>
        <v>0</v>
      </c>
      <c r="BG292">
        <f>IFERROR('Ashed teabags wet'!C290,"")</f>
        <v>110</v>
      </c>
      <c r="BH292">
        <f>IFERROR('Ashed teabags wet'!C707,"")</f>
        <v>112</v>
      </c>
      <c r="BI292">
        <f>'Ashed teabags wet'!AB290</f>
        <v>109</v>
      </c>
      <c r="BJ292" t="str">
        <f>'Ashed teabags wet'!AC290</f>
        <v/>
      </c>
      <c r="BK292" t="str">
        <f>'Ashed teabags wet'!AD707</f>
        <v/>
      </c>
      <c r="BL292">
        <f>'Ashed teabags wet'!AE707</f>
        <v>111</v>
      </c>
      <c r="BN292" t="str">
        <f t="shared" si="118"/>
        <v>G741</v>
      </c>
      <c r="BO292" t="b">
        <f t="shared" si="119"/>
        <v>1</v>
      </c>
    </row>
    <row r="293" spans="2:67" ht="12" customHeight="1">
      <c r="B293" t="str">
        <f>TBIDry!H365</f>
        <v>G430</v>
      </c>
      <c r="C293" t="str">
        <f>TBIDry!I365</f>
        <v>R261</v>
      </c>
      <c r="D293" t="b">
        <f t="shared" si="96"/>
        <v>0</v>
      </c>
      <c r="E293" t="b">
        <f t="shared" si="97"/>
        <v>0</v>
      </c>
      <c r="G293" t="str">
        <f>TBIWet!H365</f>
        <v>G414</v>
      </c>
      <c r="H293" t="str">
        <f>TBIWet!I365</f>
        <v>R266</v>
      </c>
      <c r="I293" t="b">
        <f t="shared" si="98"/>
        <v>0</v>
      </c>
      <c r="J293" t="b">
        <f t="shared" si="99"/>
        <v>0</v>
      </c>
      <c r="L293" t="str">
        <f>'Both teabags AfterWet'!A292</f>
        <v>G741</v>
      </c>
      <c r="M293" t="str">
        <f>'Both teabags AfterWet'!A710</f>
        <v>R509</v>
      </c>
      <c r="N293" t="b">
        <f t="shared" si="100"/>
        <v>0</v>
      </c>
      <c r="O293" t="b">
        <f t="shared" si="101"/>
        <v>0</v>
      </c>
      <c r="P293" t="str">
        <f>IFERROR('Both teabags AfterWet'!B292,"")</f>
        <v>n.a</v>
      </c>
      <c r="Q293">
        <f>'Both teabags AfterWet'!B710</f>
        <v>108</v>
      </c>
      <c r="S293" s="401" t="b">
        <f t="shared" si="102"/>
        <v>0</v>
      </c>
      <c r="T293" s="401" t="b">
        <f t="shared" si="103"/>
        <v>0</v>
      </c>
      <c r="V293" t="str">
        <f>'Both teabags AfterDry'!A292</f>
        <v>G717</v>
      </c>
      <c r="W293" t="str">
        <f>'Both teabags AfterDry'!A629</f>
        <v>R787</v>
      </c>
      <c r="X293" t="b">
        <f t="shared" si="104"/>
        <v>0</v>
      </c>
      <c r="Y293" t="b">
        <f t="shared" si="105"/>
        <v>0</v>
      </c>
      <c r="AA293" t="str">
        <f>'Green_rooibos initial weight'!A294</f>
        <v>G290</v>
      </c>
      <c r="AB293" t="str">
        <f>'Green_rooibos initial weight'!A1198</f>
        <v>R290</v>
      </c>
      <c r="AC293" t="b">
        <f t="shared" si="106"/>
        <v>0</v>
      </c>
      <c r="AD293" t="b">
        <f t="shared" si="107"/>
        <v>0</v>
      </c>
      <c r="AG293" t="str">
        <f>'WetLitterbags placem_collection'!O72</f>
        <v>G414</v>
      </c>
      <c r="AH293" t="str">
        <f>'WetLitterbags placem_collection'!Q72</f>
        <v>R266</v>
      </c>
      <c r="AI293" t="b">
        <f t="shared" si="108"/>
        <v>0</v>
      </c>
      <c r="AJ293" t="b">
        <f t="shared" si="109"/>
        <v>0</v>
      </c>
      <c r="AK293">
        <f>'WetLitterbags placem_collection'!A72</f>
        <v>70</v>
      </c>
      <c r="AL293">
        <f>'WetLitterbags placem_collection'!A72</f>
        <v>70</v>
      </c>
      <c r="AN293">
        <f>IF('Dry_Litterbag Placem_Collection'!L72=0,"",'Dry_Litterbag Placem_Collection'!L72)</f>
        <v>430</v>
      </c>
      <c r="AO293">
        <f>IF('Dry_Litterbag Placem_Collection'!M72=0,"",'Dry_Litterbag Placem_Collection'!M72)</f>
        <v>261</v>
      </c>
      <c r="AP293" t="b">
        <f t="shared" si="110"/>
        <v>0</v>
      </c>
      <c r="AQ293" t="b">
        <f t="shared" si="111"/>
        <v>0</v>
      </c>
      <c r="AT293" t="str">
        <f>'Ashed teabags dry'!A291</f>
        <v>G717</v>
      </c>
      <c r="AU293" t="str">
        <f>'Ashed teabags dry'!A628</f>
        <v>R786</v>
      </c>
      <c r="AV293" t="b">
        <f t="shared" si="112"/>
        <v>0</v>
      </c>
      <c r="AW293" t="b">
        <f t="shared" si="113"/>
        <v>0</v>
      </c>
      <c r="AZ293" s="401" t="b">
        <f t="shared" si="114"/>
        <v>0</v>
      </c>
      <c r="BA293" s="401" t="b">
        <f t="shared" si="115"/>
        <v>0</v>
      </c>
      <c r="BC293" t="str">
        <f>'Ashed teabags wet'!A291</f>
        <v>G743</v>
      </c>
      <c r="BD293" t="str">
        <f>'Ashed teabags wet'!A708</f>
        <v>R531</v>
      </c>
      <c r="BE293" t="b">
        <f t="shared" si="116"/>
        <v>0</v>
      </c>
      <c r="BF293" t="b">
        <f t="shared" si="117"/>
        <v>0</v>
      </c>
      <c r="BG293">
        <f>IFERROR('Ashed teabags wet'!C291,"")</f>
        <v>163</v>
      </c>
      <c r="BH293">
        <f>IFERROR('Ashed teabags wet'!C708,"")</f>
        <v>7</v>
      </c>
      <c r="BI293" t="str">
        <f>'Ashed teabags wet'!AB291</f>
        <v/>
      </c>
      <c r="BJ293">
        <f>'Ashed teabags wet'!AC291</f>
        <v>162</v>
      </c>
      <c r="BK293">
        <f>'Ashed teabags wet'!AD708</f>
        <v>6</v>
      </c>
      <c r="BL293" t="str">
        <f>'Ashed teabags wet'!AE708</f>
        <v/>
      </c>
      <c r="BN293" t="str">
        <f t="shared" si="118"/>
        <v>G742</v>
      </c>
      <c r="BO293" t="b">
        <f t="shared" si="119"/>
        <v>1</v>
      </c>
    </row>
    <row r="294" spans="2:67" ht="12" customHeight="1">
      <c r="B294" t="str">
        <f>TBIDry!H366</f>
        <v>G174</v>
      </c>
      <c r="C294" t="str">
        <f>TBIDry!I366</f>
        <v>R203</v>
      </c>
      <c r="D294" t="b">
        <f t="shared" si="96"/>
        <v>0</v>
      </c>
      <c r="E294" t="b">
        <f t="shared" si="97"/>
        <v>0</v>
      </c>
      <c r="G294" t="str">
        <f>TBIWet!H366</f>
        <v>G459</v>
      </c>
      <c r="H294" t="str">
        <f>TBIWet!I366</f>
        <v>R528</v>
      </c>
      <c r="I294" t="b">
        <f t="shared" si="98"/>
        <v>0</v>
      </c>
      <c r="J294" t="b">
        <f t="shared" si="99"/>
        <v>0</v>
      </c>
      <c r="L294" t="str">
        <f>'Both teabags AfterWet'!A293</f>
        <v>G742</v>
      </c>
      <c r="M294" t="str">
        <f>'Both teabags AfterWet'!A711</f>
        <v>R51</v>
      </c>
      <c r="N294" t="b">
        <f t="shared" si="100"/>
        <v>0</v>
      </c>
      <c r="O294" t="b">
        <f t="shared" si="101"/>
        <v>0</v>
      </c>
      <c r="P294" t="str">
        <f>IFERROR('Both teabags AfterWet'!B293,"")</f>
        <v>n.a</v>
      </c>
      <c r="Q294" t="str">
        <f>'Both teabags AfterWet'!B711</f>
        <v>n.a</v>
      </c>
      <c r="S294" s="401" t="b">
        <f t="shared" si="102"/>
        <v>0</v>
      </c>
      <c r="T294" s="401" t="b">
        <f t="shared" si="103"/>
        <v>0</v>
      </c>
      <c r="V294" t="str">
        <f>'Both teabags AfterDry'!A293</f>
        <v>G719</v>
      </c>
      <c r="W294" t="str">
        <f>'Both teabags AfterDry'!A630</f>
        <v>R788</v>
      </c>
      <c r="X294" t="b">
        <f t="shared" si="104"/>
        <v>0</v>
      </c>
      <c r="Y294" t="b">
        <f t="shared" si="105"/>
        <v>0</v>
      </c>
      <c r="AA294" t="str">
        <f>'Green_rooibos initial weight'!A295</f>
        <v>G291</v>
      </c>
      <c r="AB294" t="str">
        <f>'Green_rooibos initial weight'!A1199</f>
        <v>R291</v>
      </c>
      <c r="AC294" t="b">
        <f t="shared" si="106"/>
        <v>0</v>
      </c>
      <c r="AD294" t="b">
        <f t="shared" si="107"/>
        <v>0</v>
      </c>
      <c r="AG294" t="str">
        <f>'WetLitterbags placem_collection'!O73</f>
        <v>G459</v>
      </c>
      <c r="AH294" t="str">
        <f>'WetLitterbags placem_collection'!Q73</f>
        <v>R528</v>
      </c>
      <c r="AI294" t="b">
        <f t="shared" si="108"/>
        <v>0</v>
      </c>
      <c r="AJ294" t="b">
        <f t="shared" si="109"/>
        <v>0</v>
      </c>
      <c r="AK294">
        <f>'WetLitterbags placem_collection'!A73</f>
        <v>71</v>
      </c>
      <c r="AL294">
        <f>'WetLitterbags placem_collection'!A73</f>
        <v>71</v>
      </c>
      <c r="AN294">
        <f>IF('Dry_Litterbag Placem_Collection'!L73=0,"",'Dry_Litterbag Placem_Collection'!L73)</f>
        <v>174</v>
      </c>
      <c r="AO294">
        <f>IF('Dry_Litterbag Placem_Collection'!M73=0,"",'Dry_Litterbag Placem_Collection'!M73)</f>
        <v>203</v>
      </c>
      <c r="AP294" t="b">
        <f t="shared" si="110"/>
        <v>0</v>
      </c>
      <c r="AQ294" t="b">
        <f t="shared" si="111"/>
        <v>0</v>
      </c>
      <c r="AT294" t="str">
        <f>'Ashed teabags dry'!A292</f>
        <v>G719</v>
      </c>
      <c r="AU294" t="str">
        <f>'Ashed teabags dry'!A629</f>
        <v>R787</v>
      </c>
      <c r="AV294" t="b">
        <f t="shared" si="112"/>
        <v>0</v>
      </c>
      <c r="AW294" t="b">
        <f t="shared" si="113"/>
        <v>0</v>
      </c>
      <c r="AZ294" s="401" t="b">
        <f t="shared" si="114"/>
        <v>0</v>
      </c>
      <c r="BA294" s="401" t="b">
        <f t="shared" si="115"/>
        <v>0</v>
      </c>
      <c r="BC294" t="str">
        <f>'Ashed teabags wet'!A292</f>
        <v>G744</v>
      </c>
      <c r="BD294" t="str">
        <f>'Ashed teabags wet'!A709</f>
        <v>R532</v>
      </c>
      <c r="BE294" t="b">
        <f t="shared" si="116"/>
        <v>0</v>
      </c>
      <c r="BF294" t="b">
        <f t="shared" si="117"/>
        <v>0</v>
      </c>
      <c r="BG294">
        <f>IFERROR('Ashed teabags wet'!C292,"")</f>
        <v>152</v>
      </c>
      <c r="BH294">
        <f>IFERROR('Ashed teabags wet'!C709,"")</f>
        <v>121</v>
      </c>
      <c r="BI294" t="str">
        <f>'Ashed teabags wet'!AB292</f>
        <v/>
      </c>
      <c r="BJ294">
        <f>'Ashed teabags wet'!AC292</f>
        <v>151</v>
      </c>
      <c r="BK294">
        <f>'Ashed teabags wet'!AD709</f>
        <v>120</v>
      </c>
      <c r="BL294" t="str">
        <f>'Ashed teabags wet'!AE709</f>
        <v/>
      </c>
      <c r="BN294" t="str">
        <f t="shared" si="118"/>
        <v>G743</v>
      </c>
      <c r="BO294" t="b">
        <f t="shared" si="119"/>
        <v>1</v>
      </c>
    </row>
    <row r="295" spans="2:67" ht="12" customHeight="1">
      <c r="B295" t="str">
        <f>TBIDry!H367</f>
        <v>G714</v>
      </c>
      <c r="C295" t="str">
        <f>TBIDry!I367</f>
        <v>R191</v>
      </c>
      <c r="D295" t="b">
        <f t="shared" si="96"/>
        <v>0</v>
      </c>
      <c r="E295" t="b">
        <f t="shared" si="97"/>
        <v>0</v>
      </c>
      <c r="G295" t="str">
        <f>TBIWet!H367</f>
        <v>G627</v>
      </c>
      <c r="H295" t="str">
        <f>TBIWet!I367</f>
        <v>R14</v>
      </c>
      <c r="I295" t="b">
        <f t="shared" si="98"/>
        <v>0</v>
      </c>
      <c r="J295" t="b">
        <f t="shared" si="99"/>
        <v>0</v>
      </c>
      <c r="L295" t="str">
        <f>'Both teabags AfterWet'!A294</f>
        <v>G743</v>
      </c>
      <c r="M295" t="str">
        <f>'Both teabags AfterWet'!A712</f>
        <v>R510</v>
      </c>
      <c r="N295" t="b">
        <f t="shared" si="100"/>
        <v>0</v>
      </c>
      <c r="O295" t="b">
        <f t="shared" si="101"/>
        <v>0</v>
      </c>
      <c r="P295">
        <f>IFERROR('Both teabags AfterWet'!B294,"")</f>
        <v>163</v>
      </c>
      <c r="Q295">
        <f>'Both teabags AfterWet'!B712</f>
        <v>107</v>
      </c>
      <c r="S295" s="401" t="b">
        <f t="shared" si="102"/>
        <v>0</v>
      </c>
      <c r="T295" s="401" t="b">
        <f t="shared" si="103"/>
        <v>0</v>
      </c>
      <c r="V295" t="str">
        <f>'Both teabags AfterDry'!A294</f>
        <v>G72</v>
      </c>
      <c r="W295" t="str">
        <f>'Both teabags AfterDry'!A631</f>
        <v>R789</v>
      </c>
      <c r="X295" t="b">
        <f t="shared" si="104"/>
        <v>0</v>
      </c>
      <c r="Y295" t="b">
        <f t="shared" si="105"/>
        <v>0</v>
      </c>
      <c r="AA295" t="str">
        <f>'Green_rooibos initial weight'!A296</f>
        <v>G292</v>
      </c>
      <c r="AB295" t="str">
        <f>'Green_rooibos initial weight'!A1200</f>
        <v>R292</v>
      </c>
      <c r="AC295" t="b">
        <f t="shared" si="106"/>
        <v>0</v>
      </c>
      <c r="AD295" t="b">
        <f t="shared" si="107"/>
        <v>0</v>
      </c>
      <c r="AG295" t="str">
        <f>'WetLitterbags placem_collection'!O74</f>
        <v>G627</v>
      </c>
      <c r="AH295" t="str">
        <f>'WetLitterbags placem_collection'!Q74</f>
        <v>R14</v>
      </c>
      <c r="AI295" t="b">
        <f t="shared" si="108"/>
        <v>0</v>
      </c>
      <c r="AJ295" t="b">
        <f t="shared" si="109"/>
        <v>0</v>
      </c>
      <c r="AK295">
        <f>'WetLitterbags placem_collection'!A74</f>
        <v>72</v>
      </c>
      <c r="AL295">
        <f>'WetLitterbags placem_collection'!A74</f>
        <v>72</v>
      </c>
      <c r="AN295">
        <f>IF('Dry_Litterbag Placem_Collection'!L74=0,"",'Dry_Litterbag Placem_Collection'!L74)</f>
        <v>714</v>
      </c>
      <c r="AO295">
        <f>IF('Dry_Litterbag Placem_Collection'!M74=0,"",'Dry_Litterbag Placem_Collection'!M74)</f>
        <v>191</v>
      </c>
      <c r="AP295" t="b">
        <f t="shared" si="110"/>
        <v>0</v>
      </c>
      <c r="AQ295" t="b">
        <f t="shared" si="111"/>
        <v>0</v>
      </c>
      <c r="AT295" t="str">
        <f>'Ashed teabags dry'!A293</f>
        <v>G72</v>
      </c>
      <c r="AU295" t="str">
        <f>'Ashed teabags dry'!A630</f>
        <v>R788</v>
      </c>
      <c r="AV295" t="b">
        <f t="shared" si="112"/>
        <v>0</v>
      </c>
      <c r="AW295" t="b">
        <f t="shared" si="113"/>
        <v>0</v>
      </c>
      <c r="AZ295" s="401" t="b">
        <f t="shared" si="114"/>
        <v>0</v>
      </c>
      <c r="BA295" s="401" t="b">
        <f t="shared" si="115"/>
        <v>0</v>
      </c>
      <c r="BC295" t="str">
        <f>'Ashed teabags wet'!A293</f>
        <v>G745</v>
      </c>
      <c r="BD295" t="str">
        <f>'Ashed teabags wet'!A710</f>
        <v>R533</v>
      </c>
      <c r="BE295" t="b">
        <f t="shared" si="116"/>
        <v>0</v>
      </c>
      <c r="BF295" t="b">
        <f t="shared" si="117"/>
        <v>0</v>
      </c>
      <c r="BG295">
        <f>IFERROR('Ashed teabags wet'!C293,"")</f>
        <v>135</v>
      </c>
      <c r="BH295">
        <f>IFERROR('Ashed teabags wet'!C710,"")</f>
        <v>149</v>
      </c>
      <c r="BI295">
        <f>'Ashed teabags wet'!AB293</f>
        <v>134</v>
      </c>
      <c r="BJ295" t="str">
        <f>'Ashed teabags wet'!AC293</f>
        <v/>
      </c>
      <c r="BK295" t="str">
        <f>'Ashed teabags wet'!AD710</f>
        <v/>
      </c>
      <c r="BL295">
        <f>'Ashed teabags wet'!AE710</f>
        <v>148</v>
      </c>
      <c r="BN295" t="str">
        <f t="shared" si="118"/>
        <v>G744</v>
      </c>
      <c r="BO295" t="b">
        <f t="shared" si="119"/>
        <v>1</v>
      </c>
    </row>
    <row r="296" spans="2:67" ht="12" customHeight="1">
      <c r="B296" t="str">
        <f>TBIDry!H368</f>
        <v>G726</v>
      </c>
      <c r="C296" t="str">
        <f>TBIDry!I368</f>
        <v>R160</v>
      </c>
      <c r="D296" t="b">
        <f t="shared" si="96"/>
        <v>0</v>
      </c>
      <c r="E296" t="b">
        <f t="shared" si="97"/>
        <v>0</v>
      </c>
      <c r="G296" t="str">
        <f>TBIWet!H368</f>
        <v>G498</v>
      </c>
      <c r="H296" t="str">
        <f>TBIWet!I368</f>
        <v>R393</v>
      </c>
      <c r="I296" t="b">
        <f t="shared" si="98"/>
        <v>0</v>
      </c>
      <c r="J296" t="b">
        <f t="shared" si="99"/>
        <v>0</v>
      </c>
      <c r="L296" t="str">
        <f>'Both teabags AfterWet'!A295</f>
        <v>G744</v>
      </c>
      <c r="M296" t="str">
        <f>'Both teabags AfterWet'!A713</f>
        <v>R511</v>
      </c>
      <c r="N296" t="b">
        <f t="shared" si="100"/>
        <v>0</v>
      </c>
      <c r="O296" t="b">
        <f t="shared" si="101"/>
        <v>0</v>
      </c>
      <c r="P296" t="str">
        <f>IFERROR('Both teabags AfterWet'!B295,"")</f>
        <v>n.a</v>
      </c>
      <c r="Q296">
        <f>'Both teabags AfterWet'!B713</f>
        <v>117</v>
      </c>
      <c r="S296" s="401" t="b">
        <f t="shared" si="102"/>
        <v>0</v>
      </c>
      <c r="T296" s="401" t="b">
        <f t="shared" si="103"/>
        <v>0</v>
      </c>
      <c r="V296" t="str">
        <f>'Both teabags AfterDry'!A295</f>
        <v>G722</v>
      </c>
      <c r="W296" t="str">
        <f>'Both teabags AfterDry'!A632</f>
        <v>R790</v>
      </c>
      <c r="X296" t="b">
        <f t="shared" si="104"/>
        <v>0</v>
      </c>
      <c r="Y296" t="b">
        <f t="shared" si="105"/>
        <v>0</v>
      </c>
      <c r="AA296" t="str">
        <f>'Green_rooibos initial weight'!A297</f>
        <v>G293</v>
      </c>
      <c r="AB296" t="str">
        <f>'Green_rooibos initial weight'!A1201</f>
        <v>R293</v>
      </c>
      <c r="AC296" t="b">
        <f t="shared" si="106"/>
        <v>0</v>
      </c>
      <c r="AD296" t="b">
        <f t="shared" si="107"/>
        <v>0</v>
      </c>
      <c r="AG296" t="str">
        <f>'WetLitterbags placem_collection'!O75</f>
        <v>G498</v>
      </c>
      <c r="AH296" t="str">
        <f>'WetLitterbags placem_collection'!Q75</f>
        <v>R393</v>
      </c>
      <c r="AI296" t="b">
        <f t="shared" si="108"/>
        <v>0</v>
      </c>
      <c r="AJ296" t="b">
        <f t="shared" si="109"/>
        <v>0</v>
      </c>
      <c r="AK296">
        <f>'WetLitterbags placem_collection'!A75</f>
        <v>73</v>
      </c>
      <c r="AL296">
        <f>'WetLitterbags placem_collection'!A75</f>
        <v>73</v>
      </c>
      <c r="AN296">
        <f>IF('Dry_Litterbag Placem_Collection'!L75=0,"",'Dry_Litterbag Placem_Collection'!L75)</f>
        <v>726</v>
      </c>
      <c r="AO296">
        <f>IF('Dry_Litterbag Placem_Collection'!M75=0,"",'Dry_Litterbag Placem_Collection'!M75)</f>
        <v>160</v>
      </c>
      <c r="AP296" t="b">
        <f t="shared" si="110"/>
        <v>0</v>
      </c>
      <c r="AQ296" t="b">
        <f t="shared" si="111"/>
        <v>0</v>
      </c>
      <c r="AT296" t="str">
        <f>'Ashed teabags dry'!A294</f>
        <v>G722</v>
      </c>
      <c r="AU296" t="str">
        <f>'Ashed teabags dry'!A631</f>
        <v>R789</v>
      </c>
      <c r="AV296" t="b">
        <f t="shared" si="112"/>
        <v>0</v>
      </c>
      <c r="AW296" t="b">
        <f t="shared" si="113"/>
        <v>0</v>
      </c>
      <c r="AZ296" s="401" t="b">
        <f t="shared" si="114"/>
        <v>0</v>
      </c>
      <c r="BA296" s="401" t="b">
        <f t="shared" si="115"/>
        <v>0</v>
      </c>
      <c r="BC296" t="str">
        <f>'Ashed teabags wet'!A294</f>
        <v>G746</v>
      </c>
      <c r="BD296" t="str">
        <f>'Ashed teabags wet'!A711</f>
        <v>R534</v>
      </c>
      <c r="BE296" t="b">
        <f t="shared" si="116"/>
        <v>0</v>
      </c>
      <c r="BF296" t="b">
        <f t="shared" si="117"/>
        <v>0</v>
      </c>
      <c r="BG296">
        <f>IFERROR('Ashed teabags wet'!C294,"")</f>
        <v>131</v>
      </c>
      <c r="BH296">
        <f>IFERROR('Ashed teabags wet'!C711,"")</f>
        <v>168</v>
      </c>
      <c r="BI296">
        <f>'Ashed teabags wet'!AB294</f>
        <v>130</v>
      </c>
      <c r="BJ296" t="str">
        <f>'Ashed teabags wet'!AC294</f>
        <v/>
      </c>
      <c r="BK296">
        <f>'Ashed teabags wet'!AD711</f>
        <v>167</v>
      </c>
      <c r="BL296" t="str">
        <f>'Ashed teabags wet'!AE711</f>
        <v/>
      </c>
      <c r="BN296" t="str">
        <f t="shared" si="118"/>
        <v>G745</v>
      </c>
      <c r="BO296" t="b">
        <f t="shared" si="119"/>
        <v>1</v>
      </c>
    </row>
    <row r="297" spans="2:67" ht="12" customHeight="1">
      <c r="B297" t="str">
        <f>TBIDry!H369</f>
        <v>G866</v>
      </c>
      <c r="C297" t="str">
        <f>TBIDry!I369</f>
        <v>R275</v>
      </c>
      <c r="D297" t="b">
        <f t="shared" si="96"/>
        <v>0</v>
      </c>
      <c r="E297" t="b">
        <f t="shared" si="97"/>
        <v>0</v>
      </c>
      <c r="G297" t="str">
        <f>TBIWet!H369</f>
        <v>G579</v>
      </c>
      <c r="H297" t="str">
        <f>TBIWet!I369</f>
        <v>R138</v>
      </c>
      <c r="I297" t="b">
        <f t="shared" si="98"/>
        <v>0</v>
      </c>
      <c r="J297" t="b">
        <f t="shared" si="99"/>
        <v>0</v>
      </c>
      <c r="L297" t="str">
        <f>'Both teabags AfterWet'!A296</f>
        <v>G745</v>
      </c>
      <c r="M297" t="str">
        <f>'Both teabags AfterWet'!A714</f>
        <v>R512</v>
      </c>
      <c r="N297" t="b">
        <f t="shared" si="100"/>
        <v>0</v>
      </c>
      <c r="O297" t="b">
        <f t="shared" si="101"/>
        <v>0</v>
      </c>
      <c r="P297">
        <f>IFERROR('Both teabags AfterWet'!B296,"")</f>
        <v>135</v>
      </c>
      <c r="Q297" t="str">
        <f>'Both teabags AfterWet'!B714</f>
        <v>n.a</v>
      </c>
      <c r="S297" s="401" t="b">
        <f t="shared" si="102"/>
        <v>0</v>
      </c>
      <c r="T297" s="401" t="b">
        <f t="shared" si="103"/>
        <v>0</v>
      </c>
      <c r="V297" t="str">
        <f>'Both teabags AfterDry'!A296</f>
        <v>G735</v>
      </c>
      <c r="W297" t="str">
        <f>'Both teabags AfterDry'!A633</f>
        <v>R791</v>
      </c>
      <c r="X297" t="b">
        <f t="shared" si="104"/>
        <v>0</v>
      </c>
      <c r="Y297" t="b">
        <f t="shared" si="105"/>
        <v>0</v>
      </c>
      <c r="AA297" t="str">
        <f>'Green_rooibos initial weight'!A298</f>
        <v>G294</v>
      </c>
      <c r="AB297" t="str">
        <f>'Green_rooibos initial weight'!A1202</f>
        <v>R294</v>
      </c>
      <c r="AC297" t="b">
        <f t="shared" si="106"/>
        <v>0</v>
      </c>
      <c r="AD297" t="b">
        <f t="shared" si="107"/>
        <v>0</v>
      </c>
      <c r="AG297" t="str">
        <f>'WetLitterbags placem_collection'!O76</f>
        <v>G579</v>
      </c>
      <c r="AH297" t="str">
        <f>'WetLitterbags placem_collection'!Q76</f>
        <v>R138</v>
      </c>
      <c r="AI297" t="b">
        <f t="shared" si="108"/>
        <v>0</v>
      </c>
      <c r="AJ297" t="b">
        <f t="shared" si="109"/>
        <v>0</v>
      </c>
      <c r="AK297">
        <f>'WetLitterbags placem_collection'!A76</f>
        <v>74</v>
      </c>
      <c r="AL297">
        <f>'WetLitterbags placem_collection'!A76</f>
        <v>74</v>
      </c>
      <c r="AN297">
        <f>IF('Dry_Litterbag Placem_Collection'!L76=0,"",'Dry_Litterbag Placem_Collection'!L76)</f>
        <v>866</v>
      </c>
      <c r="AO297">
        <f>IF('Dry_Litterbag Placem_Collection'!M76=0,"",'Dry_Litterbag Placem_Collection'!M76)</f>
        <v>275</v>
      </c>
      <c r="AP297" t="b">
        <f t="shared" si="110"/>
        <v>0</v>
      </c>
      <c r="AQ297" t="b">
        <f t="shared" si="111"/>
        <v>0</v>
      </c>
      <c r="AT297" t="str">
        <f>'Ashed teabags dry'!A295</f>
        <v>G735</v>
      </c>
      <c r="AU297" t="str">
        <f>'Ashed teabags dry'!A632</f>
        <v>R790</v>
      </c>
      <c r="AV297" t="b">
        <f t="shared" si="112"/>
        <v>0</v>
      </c>
      <c r="AW297" t="b">
        <f t="shared" si="113"/>
        <v>0</v>
      </c>
      <c r="AZ297" s="401" t="b">
        <f t="shared" si="114"/>
        <v>0</v>
      </c>
      <c r="BA297" s="401" t="b">
        <f t="shared" si="115"/>
        <v>0</v>
      </c>
      <c r="BC297" t="str">
        <f>'Ashed teabags wet'!A295</f>
        <v>G747</v>
      </c>
      <c r="BD297" t="str">
        <f>'Ashed teabags wet'!A712</f>
        <v>R535</v>
      </c>
      <c r="BE297" t="b">
        <f t="shared" si="116"/>
        <v>0</v>
      </c>
      <c r="BF297" t="b">
        <f t="shared" si="117"/>
        <v>1</v>
      </c>
      <c r="BG297">
        <f>IFERROR('Ashed teabags wet'!C295,"")</f>
        <v>136</v>
      </c>
      <c r="BH297">
        <f>IFERROR('Ashed teabags wet'!C712,"")</f>
        <v>140</v>
      </c>
      <c r="BI297" t="str">
        <f>'Ashed teabags wet'!AB295</f>
        <v/>
      </c>
      <c r="BJ297">
        <f>'Ashed teabags wet'!AC295</f>
        <v>135</v>
      </c>
      <c r="BK297">
        <f>'Ashed teabags wet'!AD712</f>
        <v>139</v>
      </c>
      <c r="BL297" t="str">
        <f>'Ashed teabags wet'!AE712</f>
        <v/>
      </c>
      <c r="BN297" t="str">
        <f t="shared" si="118"/>
        <v>G746</v>
      </c>
      <c r="BO297" t="b">
        <f t="shared" si="119"/>
        <v>1</v>
      </c>
    </row>
    <row r="298" spans="2:67" ht="12" customHeight="1">
      <c r="B298" t="str">
        <f>TBIDry!H370</f>
        <v>G705</v>
      </c>
      <c r="C298" t="str">
        <f>TBIDry!I370</f>
        <v>R657</v>
      </c>
      <c r="D298" t="b">
        <f t="shared" si="96"/>
        <v>0</v>
      </c>
      <c r="E298" t="b">
        <f t="shared" si="97"/>
        <v>0</v>
      </c>
      <c r="G298" t="str">
        <f>TBIWet!H370</f>
        <v>G373</v>
      </c>
      <c r="H298" t="str">
        <f>TBIWet!I370</f>
        <v>R311</v>
      </c>
      <c r="I298" t="b">
        <f t="shared" si="98"/>
        <v>0</v>
      </c>
      <c r="J298" t="b">
        <f t="shared" si="99"/>
        <v>0</v>
      </c>
      <c r="L298" t="str">
        <f>'Both teabags AfterWet'!A297</f>
        <v>G746</v>
      </c>
      <c r="M298" t="str">
        <f>'Both teabags AfterWet'!A715</f>
        <v>R513</v>
      </c>
      <c r="N298" t="b">
        <f t="shared" si="100"/>
        <v>0</v>
      </c>
      <c r="O298" t="b">
        <f t="shared" si="101"/>
        <v>0</v>
      </c>
      <c r="P298">
        <f>IFERROR('Both teabags AfterWet'!B297,"")</f>
        <v>131</v>
      </c>
      <c r="Q298">
        <f>'Both teabags AfterWet'!B715</f>
        <v>52</v>
      </c>
      <c r="S298" s="401" t="b">
        <f t="shared" si="102"/>
        <v>0</v>
      </c>
      <c r="T298" s="401" t="b">
        <f t="shared" si="103"/>
        <v>0</v>
      </c>
      <c r="V298" t="str">
        <f>'Both teabags AfterDry'!A297</f>
        <v>G750</v>
      </c>
      <c r="W298" t="str">
        <f>'Both teabags AfterDry'!A634</f>
        <v>R792</v>
      </c>
      <c r="X298" t="b">
        <f t="shared" si="104"/>
        <v>0</v>
      </c>
      <c r="Y298" t="b">
        <f t="shared" si="105"/>
        <v>0</v>
      </c>
      <c r="AA298" t="str">
        <f>'Green_rooibos initial weight'!A299</f>
        <v>G295</v>
      </c>
      <c r="AB298" t="str">
        <f>'Green_rooibos initial weight'!A1203</f>
        <v>R295</v>
      </c>
      <c r="AC298" t="b">
        <f t="shared" si="106"/>
        <v>0</v>
      </c>
      <c r="AD298" t="b">
        <f t="shared" si="107"/>
        <v>0</v>
      </c>
      <c r="AG298" t="str">
        <f>'WetLitterbags placem_collection'!O77</f>
        <v>G373</v>
      </c>
      <c r="AH298" t="str">
        <f>'WetLitterbags placem_collection'!Q77</f>
        <v>R311</v>
      </c>
      <c r="AI298" t="b">
        <f t="shared" si="108"/>
        <v>0</v>
      </c>
      <c r="AJ298" t="b">
        <f t="shared" si="109"/>
        <v>0</v>
      </c>
      <c r="AK298">
        <f>'WetLitterbags placem_collection'!A77</f>
        <v>75</v>
      </c>
      <c r="AL298">
        <f>'WetLitterbags placem_collection'!A77</f>
        <v>75</v>
      </c>
      <c r="AN298">
        <f>IF('Dry_Litterbag Placem_Collection'!L77=0,"",'Dry_Litterbag Placem_Collection'!L77)</f>
        <v>705</v>
      </c>
      <c r="AO298">
        <f>IF('Dry_Litterbag Placem_Collection'!M77=0,"",'Dry_Litterbag Placem_Collection'!M77)</f>
        <v>657</v>
      </c>
      <c r="AP298" t="b">
        <f t="shared" si="110"/>
        <v>0</v>
      </c>
      <c r="AQ298" t="b">
        <f t="shared" si="111"/>
        <v>0</v>
      </c>
      <c r="AT298" t="str">
        <f>'Ashed teabags dry'!A296</f>
        <v>G750</v>
      </c>
      <c r="AU298" t="str">
        <f>'Ashed teabags dry'!A633</f>
        <v>R791</v>
      </c>
      <c r="AV298" t="b">
        <f t="shared" si="112"/>
        <v>0</v>
      </c>
      <c r="AW298" t="b">
        <f t="shared" si="113"/>
        <v>0</v>
      </c>
      <c r="AZ298" s="401" t="b">
        <f t="shared" si="114"/>
        <v>0</v>
      </c>
      <c r="BA298" s="401" t="b">
        <f t="shared" si="115"/>
        <v>0</v>
      </c>
      <c r="BC298" t="str">
        <f>'Ashed teabags wet'!A296</f>
        <v>G749</v>
      </c>
      <c r="BD298" t="str">
        <f>'Ashed teabags wet'!A713</f>
        <v>R535</v>
      </c>
      <c r="BE298" t="b">
        <f t="shared" si="116"/>
        <v>0</v>
      </c>
      <c r="BF298" t="b">
        <f t="shared" si="117"/>
        <v>1</v>
      </c>
      <c r="BG298">
        <f>IFERROR('Ashed teabags wet'!C296,"")</f>
        <v>126</v>
      </c>
      <c r="BH298">
        <f>IFERROR('Ashed teabags wet'!C713,"")</f>
        <v>172</v>
      </c>
      <c r="BI298">
        <f>'Ashed teabags wet'!AB296</f>
        <v>125</v>
      </c>
      <c r="BJ298" t="str">
        <f>'Ashed teabags wet'!AC296</f>
        <v/>
      </c>
      <c r="BK298">
        <f>'Ashed teabags wet'!AD713</f>
        <v>139</v>
      </c>
      <c r="BL298" t="str">
        <f>'Ashed teabags wet'!AE713</f>
        <v/>
      </c>
      <c r="BN298" t="str">
        <f t="shared" si="118"/>
        <v>G747</v>
      </c>
      <c r="BO298" t="b">
        <f t="shared" si="119"/>
        <v>1</v>
      </c>
    </row>
    <row r="299" spans="2:67" ht="12" customHeight="1">
      <c r="B299" t="str">
        <f>TBIDry!H371</f>
        <v>G601</v>
      </c>
      <c r="C299" t="str">
        <f>TBIDry!I371</f>
        <v>R306</v>
      </c>
      <c r="D299" t="b">
        <f t="shared" si="96"/>
        <v>0</v>
      </c>
      <c r="E299" t="b">
        <f t="shared" si="97"/>
        <v>0</v>
      </c>
      <c r="G299" t="str">
        <f>TBIWet!H371</f>
        <v>G603</v>
      </c>
      <c r="H299" t="str">
        <f>TBIWet!I371</f>
        <v>R183</v>
      </c>
      <c r="I299" t="b">
        <f t="shared" si="98"/>
        <v>0</v>
      </c>
      <c r="J299" t="b">
        <f t="shared" si="99"/>
        <v>0</v>
      </c>
      <c r="L299" t="str">
        <f>'Both teabags AfterWet'!A298</f>
        <v>G747</v>
      </c>
      <c r="M299" t="str">
        <f>'Both teabags AfterWet'!A716</f>
        <v>R515</v>
      </c>
      <c r="N299" t="b">
        <f t="shared" si="100"/>
        <v>0</v>
      </c>
      <c r="O299" t="b">
        <f t="shared" si="101"/>
        <v>0</v>
      </c>
      <c r="P299">
        <f>IFERROR('Both teabags AfterWet'!B298,"")</f>
        <v>136</v>
      </c>
      <c r="Q299" t="str">
        <f>'Both teabags AfterWet'!B716</f>
        <v>n.a</v>
      </c>
      <c r="S299" s="401" t="b">
        <f t="shared" si="102"/>
        <v>0</v>
      </c>
      <c r="T299" s="401" t="b">
        <f t="shared" si="103"/>
        <v>0</v>
      </c>
      <c r="V299" t="str">
        <f>'Both teabags AfterDry'!A298</f>
        <v>G757</v>
      </c>
      <c r="W299" t="str">
        <f>'Both teabags AfterDry'!A635</f>
        <v>R793</v>
      </c>
      <c r="X299" t="b">
        <f t="shared" si="104"/>
        <v>0</v>
      </c>
      <c r="Y299" t="b">
        <f t="shared" si="105"/>
        <v>0</v>
      </c>
      <c r="AA299" t="str">
        <f>'Green_rooibos initial weight'!A300</f>
        <v>G296</v>
      </c>
      <c r="AB299" t="str">
        <f>'Green_rooibos initial weight'!A1204</f>
        <v>R296</v>
      </c>
      <c r="AC299" t="b">
        <f t="shared" si="106"/>
        <v>0</v>
      </c>
      <c r="AD299" t="b">
        <f t="shared" si="107"/>
        <v>0</v>
      </c>
      <c r="AG299" t="str">
        <f>'WetLitterbags placem_collection'!O78</f>
        <v>G603</v>
      </c>
      <c r="AH299" t="str">
        <f>'WetLitterbags placem_collection'!Q78</f>
        <v>R183</v>
      </c>
      <c r="AI299" t="b">
        <f t="shared" si="108"/>
        <v>0</v>
      </c>
      <c r="AJ299" t="b">
        <f t="shared" si="109"/>
        <v>0</v>
      </c>
      <c r="AK299">
        <f>'WetLitterbags placem_collection'!A78</f>
        <v>76</v>
      </c>
      <c r="AL299">
        <f>'WetLitterbags placem_collection'!A78</f>
        <v>76</v>
      </c>
      <c r="AN299">
        <f>IF('Dry_Litterbag Placem_Collection'!L78=0,"",'Dry_Litterbag Placem_Collection'!L78)</f>
        <v>601</v>
      </c>
      <c r="AO299">
        <f>IF('Dry_Litterbag Placem_Collection'!M78=0,"",'Dry_Litterbag Placem_Collection'!M78)</f>
        <v>306</v>
      </c>
      <c r="AP299" t="b">
        <f t="shared" si="110"/>
        <v>0</v>
      </c>
      <c r="AQ299" t="b">
        <f t="shared" si="111"/>
        <v>0</v>
      </c>
      <c r="AT299" t="str">
        <f>'Ashed teabags dry'!A297</f>
        <v>G757</v>
      </c>
      <c r="AU299" t="str">
        <f>'Ashed teabags dry'!A634</f>
        <v>R792</v>
      </c>
      <c r="AV299" t="b">
        <f t="shared" si="112"/>
        <v>0</v>
      </c>
      <c r="AW299" t="b">
        <f t="shared" si="113"/>
        <v>0</v>
      </c>
      <c r="AZ299" s="401" t="b">
        <f t="shared" si="114"/>
        <v>0</v>
      </c>
      <c r="BA299" s="401" t="b">
        <f t="shared" si="115"/>
        <v>0</v>
      </c>
      <c r="BC299" t="str">
        <f>'Ashed teabags wet'!A297</f>
        <v>G752</v>
      </c>
      <c r="BD299" t="str">
        <f>'Ashed teabags wet'!A714</f>
        <v>R536</v>
      </c>
      <c r="BE299" t="b">
        <f t="shared" si="116"/>
        <v>0</v>
      </c>
      <c r="BF299" t="b">
        <f t="shared" si="117"/>
        <v>0</v>
      </c>
      <c r="BG299">
        <f>IFERROR('Ashed teabags wet'!C297,"")</f>
        <v>1</v>
      </c>
      <c r="BH299">
        <f>IFERROR('Ashed teabags wet'!C714,"")</f>
        <v>132</v>
      </c>
      <c r="BI299" t="str">
        <f>'Ashed teabags wet'!AB297</f>
        <v/>
      </c>
      <c r="BJ299" t="str">
        <f>'Ashed teabags wet'!AC297</f>
        <v/>
      </c>
      <c r="BK299">
        <f>'Ashed teabags wet'!AD714</f>
        <v>131</v>
      </c>
      <c r="BL299" t="str">
        <f>'Ashed teabags wet'!AE714</f>
        <v/>
      </c>
      <c r="BN299" t="str">
        <f t="shared" si="118"/>
        <v>G749</v>
      </c>
      <c r="BO299" t="b">
        <f t="shared" si="119"/>
        <v>1</v>
      </c>
    </row>
    <row r="300" spans="2:67" ht="12" customHeight="1">
      <c r="B300" t="str">
        <f>TBIDry!H372</f>
        <v/>
      </c>
      <c r="C300" t="str">
        <f>TBIDry!I372</f>
        <v/>
      </c>
      <c r="D300" t="b">
        <f t="shared" si="96"/>
        <v>1</v>
      </c>
      <c r="E300" t="b">
        <f t="shared" si="97"/>
        <v>1</v>
      </c>
      <c r="G300" t="str">
        <f>TBIWet!H372</f>
        <v>G509</v>
      </c>
      <c r="H300" t="str">
        <f>TBIWet!I372</f>
        <v>R228</v>
      </c>
      <c r="I300" t="b">
        <f t="shared" si="98"/>
        <v>0</v>
      </c>
      <c r="J300" t="b">
        <f t="shared" si="99"/>
        <v>0</v>
      </c>
      <c r="L300" t="str">
        <f>'Both teabags AfterWet'!A299</f>
        <v>G749</v>
      </c>
      <c r="M300" s="113" t="str">
        <f>'Both teabags AfterWet'!A717</f>
        <v>R516</v>
      </c>
      <c r="N300" t="b">
        <f t="shared" si="100"/>
        <v>0</v>
      </c>
      <c r="O300" t="b">
        <f t="shared" si="101"/>
        <v>0</v>
      </c>
      <c r="P300">
        <f>IFERROR('Both teabags AfterWet'!B299,"")</f>
        <v>126</v>
      </c>
      <c r="Q300" t="str">
        <f>'Both teabags AfterWet'!B717</f>
        <v>na</v>
      </c>
      <c r="S300" s="401" t="b">
        <f t="shared" si="102"/>
        <v>0</v>
      </c>
      <c r="T300" s="113" t="b">
        <f t="shared" si="103"/>
        <v>1</v>
      </c>
      <c r="V300" t="str">
        <f>'Both teabags AfterDry'!A299</f>
        <v>G759</v>
      </c>
      <c r="W300" t="str">
        <f>'Both teabags AfterDry'!A636</f>
        <v>R794</v>
      </c>
      <c r="X300" t="b">
        <f t="shared" si="104"/>
        <v>0</v>
      </c>
      <c r="Y300" t="b">
        <f t="shared" si="105"/>
        <v>0</v>
      </c>
      <c r="AA300" t="str">
        <f>'Green_rooibos initial weight'!A301</f>
        <v>G297</v>
      </c>
      <c r="AB300" t="str">
        <f>'Green_rooibos initial weight'!A1205</f>
        <v>R297</v>
      </c>
      <c r="AC300" t="b">
        <f t="shared" si="106"/>
        <v>0</v>
      </c>
      <c r="AD300" t="b">
        <f t="shared" si="107"/>
        <v>0</v>
      </c>
      <c r="AG300" t="str">
        <f>'WetLitterbags placem_collection'!O79</f>
        <v>G509</v>
      </c>
      <c r="AH300" t="str">
        <f>'WetLitterbags placem_collection'!Q79</f>
        <v>R228</v>
      </c>
      <c r="AI300" t="b">
        <f t="shared" si="108"/>
        <v>0</v>
      </c>
      <c r="AJ300" t="b">
        <f t="shared" si="109"/>
        <v>0</v>
      </c>
      <c r="AK300">
        <f>'WetLitterbags placem_collection'!A79</f>
        <v>77</v>
      </c>
      <c r="AL300">
        <f>'WetLitterbags placem_collection'!A79</f>
        <v>77</v>
      </c>
      <c r="AN300" t="str">
        <f>IF('Dry_Litterbag Placem_Collection'!L79=0,"",'Dry_Litterbag Placem_Collection'!L79)</f>
        <v/>
      </c>
      <c r="AO300" t="str">
        <f>IF('Dry_Litterbag Placem_Collection'!M79=0,"",'Dry_Litterbag Placem_Collection'!M79)</f>
        <v/>
      </c>
      <c r="AP300" t="b">
        <f t="shared" si="110"/>
        <v>1</v>
      </c>
      <c r="AQ300" t="b">
        <f t="shared" si="111"/>
        <v>1</v>
      </c>
      <c r="AT300" t="str">
        <f>'Ashed teabags dry'!A298</f>
        <v>G759</v>
      </c>
      <c r="AU300" t="str">
        <f>'Ashed teabags dry'!A635</f>
        <v>R793</v>
      </c>
      <c r="AV300" t="b">
        <f t="shared" si="112"/>
        <v>0</v>
      </c>
      <c r="AW300" t="b">
        <f t="shared" si="113"/>
        <v>0</v>
      </c>
      <c r="AZ300" s="401" t="b">
        <f t="shared" si="114"/>
        <v>0</v>
      </c>
      <c r="BA300" s="401" t="b">
        <f t="shared" si="115"/>
        <v>0</v>
      </c>
      <c r="BC300" t="str">
        <f>'Ashed teabags wet'!A298</f>
        <v>G753</v>
      </c>
      <c r="BD300" t="str">
        <f>'Ashed teabags wet'!A715</f>
        <v>R537</v>
      </c>
      <c r="BE300" t="b">
        <f t="shared" si="116"/>
        <v>0</v>
      </c>
      <c r="BF300" t="b">
        <f t="shared" si="117"/>
        <v>0</v>
      </c>
      <c r="BG300">
        <f>IFERROR('Ashed teabags wet'!C298,"")</f>
        <v>203</v>
      </c>
      <c r="BH300">
        <f>IFERROR('Ashed teabags wet'!C715,"")</f>
        <v>182</v>
      </c>
      <c r="BI300" t="str">
        <f>'Ashed teabags wet'!AB298</f>
        <v/>
      </c>
      <c r="BJ300">
        <f>'Ashed teabags wet'!AC298</f>
        <v>202</v>
      </c>
      <c r="BK300" t="str">
        <f>'Ashed teabags wet'!AD715</f>
        <v/>
      </c>
      <c r="BL300">
        <f>'Ashed teabags wet'!AE715</f>
        <v>181</v>
      </c>
      <c r="BN300" t="str">
        <f t="shared" si="118"/>
        <v>G752</v>
      </c>
      <c r="BO300" t="b">
        <f t="shared" si="119"/>
        <v>1</v>
      </c>
    </row>
    <row r="301" spans="2:67" ht="12" customHeight="1">
      <c r="B301" t="str">
        <f>TBIDry!H373</f>
        <v>G157</v>
      </c>
      <c r="C301" t="str">
        <f>TBIDry!I373</f>
        <v>R377</v>
      </c>
      <c r="D301" t="b">
        <f t="shared" si="96"/>
        <v>0</v>
      </c>
      <c r="E301" t="b">
        <f t="shared" si="97"/>
        <v>0</v>
      </c>
      <c r="G301" t="str">
        <f>TBIWet!H373</f>
        <v>G446</v>
      </c>
      <c r="H301" t="str">
        <f>TBIWet!I373</f>
        <v>R100</v>
      </c>
      <c r="I301" t="b">
        <f t="shared" si="98"/>
        <v>0</v>
      </c>
      <c r="J301" t="b">
        <f t="shared" si="99"/>
        <v>0</v>
      </c>
      <c r="L301" t="str">
        <f>'Both teabags AfterWet'!A300</f>
        <v>G752</v>
      </c>
      <c r="M301" t="str">
        <f>'Both teabags AfterWet'!A718</f>
        <v>R517</v>
      </c>
      <c r="N301" t="b">
        <f t="shared" si="100"/>
        <v>0</v>
      </c>
      <c r="O301" t="b">
        <f t="shared" si="101"/>
        <v>0</v>
      </c>
      <c r="P301" t="str">
        <f>IFERROR('Both teabags AfterWet'!B300,"")</f>
        <v>n.a</v>
      </c>
      <c r="Q301">
        <f>'Both teabags AfterWet'!B718</f>
        <v>90</v>
      </c>
      <c r="S301" s="401" t="b">
        <f t="shared" si="102"/>
        <v>0</v>
      </c>
      <c r="T301" s="401" t="b">
        <f t="shared" si="103"/>
        <v>0</v>
      </c>
      <c r="V301" t="str">
        <f>'Both teabags AfterDry'!A300</f>
        <v>G76</v>
      </c>
      <c r="W301" t="str">
        <f>'Both teabags AfterDry'!A637</f>
        <v>R795</v>
      </c>
      <c r="X301" t="b">
        <f t="shared" si="104"/>
        <v>0</v>
      </c>
      <c r="Y301" t="b">
        <f t="shared" si="105"/>
        <v>0</v>
      </c>
      <c r="AA301" t="str">
        <f>'Green_rooibos initial weight'!A302</f>
        <v>G298</v>
      </c>
      <c r="AB301" t="str">
        <f>'Green_rooibos initial weight'!A1206</f>
        <v>R298</v>
      </c>
      <c r="AC301" t="b">
        <f t="shared" si="106"/>
        <v>0</v>
      </c>
      <c r="AD301" t="b">
        <f t="shared" si="107"/>
        <v>0</v>
      </c>
      <c r="AG301" t="str">
        <f>'WetLitterbags placem_collection'!O80</f>
        <v>G446</v>
      </c>
      <c r="AH301" t="str">
        <f>'WetLitterbags placem_collection'!Q80</f>
        <v>R100</v>
      </c>
      <c r="AI301" t="b">
        <f t="shared" si="108"/>
        <v>0</v>
      </c>
      <c r="AJ301" t="b">
        <f t="shared" si="109"/>
        <v>0</v>
      </c>
      <c r="AK301">
        <f>'WetLitterbags placem_collection'!A80</f>
        <v>78</v>
      </c>
      <c r="AL301">
        <f>'WetLitterbags placem_collection'!A80</f>
        <v>78</v>
      </c>
      <c r="AN301">
        <f>IF('Dry_Litterbag Placem_Collection'!L80=0,"",'Dry_Litterbag Placem_Collection'!L80)</f>
        <v>157</v>
      </c>
      <c r="AO301">
        <f>IF('Dry_Litterbag Placem_Collection'!M80=0,"",'Dry_Litterbag Placem_Collection'!M80)</f>
        <v>377</v>
      </c>
      <c r="AP301" t="b">
        <f t="shared" si="110"/>
        <v>0</v>
      </c>
      <c r="AQ301" t="b">
        <f t="shared" si="111"/>
        <v>0</v>
      </c>
      <c r="AT301" t="str">
        <f>'Ashed teabags dry'!A299</f>
        <v>G76</v>
      </c>
      <c r="AU301" t="str">
        <f>'Ashed teabags dry'!A636</f>
        <v>R794</v>
      </c>
      <c r="AV301" t="b">
        <f t="shared" si="112"/>
        <v>0</v>
      </c>
      <c r="AW301" t="b">
        <f t="shared" si="113"/>
        <v>0</v>
      </c>
      <c r="AZ301" s="401" t="b">
        <f t="shared" si="114"/>
        <v>0</v>
      </c>
      <c r="BA301" s="401" t="b">
        <f t="shared" si="115"/>
        <v>0</v>
      </c>
      <c r="BC301" t="str">
        <f>'Ashed teabags wet'!A299</f>
        <v>G754</v>
      </c>
      <c r="BD301" t="str">
        <f>'Ashed teabags wet'!A716</f>
        <v>R538</v>
      </c>
      <c r="BE301" t="b">
        <f t="shared" si="116"/>
        <v>0</v>
      </c>
      <c r="BF301" t="b">
        <f t="shared" si="117"/>
        <v>0</v>
      </c>
      <c r="BG301">
        <f>IFERROR('Ashed teabags wet'!C299,"")</f>
        <v>196</v>
      </c>
      <c r="BH301">
        <f>IFERROR('Ashed teabags wet'!C716,"")</f>
        <v>139</v>
      </c>
      <c r="BI301">
        <f>'Ashed teabags wet'!AB299</f>
        <v>195</v>
      </c>
      <c r="BJ301" t="str">
        <f>'Ashed teabags wet'!AC299</f>
        <v/>
      </c>
      <c r="BK301" t="str">
        <f>'Ashed teabags wet'!AD716</f>
        <v/>
      </c>
      <c r="BL301">
        <f>'Ashed teabags wet'!AE716</f>
        <v>138</v>
      </c>
      <c r="BN301" t="str">
        <f t="shared" si="118"/>
        <v>G753</v>
      </c>
      <c r="BO301" t="b">
        <f t="shared" si="119"/>
        <v>1</v>
      </c>
    </row>
    <row r="302" spans="2:67" ht="12" customHeight="1">
      <c r="B302" t="str">
        <f>TBIDry!H374</f>
        <v>G226</v>
      </c>
      <c r="C302" t="str">
        <f>TBIDry!I374</f>
        <v>R61</v>
      </c>
      <c r="D302" t="b">
        <f t="shared" si="96"/>
        <v>0</v>
      </c>
      <c r="E302" t="b">
        <f t="shared" si="97"/>
        <v>0</v>
      </c>
      <c r="G302" t="str">
        <f>TBIWet!H374</f>
        <v>G249</v>
      </c>
      <c r="H302" t="str">
        <f>TBIWet!I374</f>
        <v>R56</v>
      </c>
      <c r="I302" t="b">
        <f t="shared" si="98"/>
        <v>0</v>
      </c>
      <c r="J302" t="b">
        <f t="shared" si="99"/>
        <v>0</v>
      </c>
      <c r="L302" t="str">
        <f>'Both teabags AfterWet'!A301</f>
        <v>G753</v>
      </c>
      <c r="M302" t="str">
        <f>'Both teabags AfterWet'!A719</f>
        <v>R518</v>
      </c>
      <c r="N302" t="b">
        <f t="shared" si="100"/>
        <v>0</v>
      </c>
      <c r="O302" t="b">
        <f t="shared" si="101"/>
        <v>0</v>
      </c>
      <c r="P302" t="str">
        <f>IFERROR('Both teabags AfterWet'!B301,"")</f>
        <v>n.a</v>
      </c>
      <c r="Q302" t="str">
        <f>'Both teabags AfterWet'!B719</f>
        <v>n.a</v>
      </c>
      <c r="S302" s="401" t="b">
        <f t="shared" si="102"/>
        <v>0</v>
      </c>
      <c r="T302" s="401" t="b">
        <f t="shared" si="103"/>
        <v>0</v>
      </c>
      <c r="V302" t="str">
        <f>'Both teabags AfterDry'!A301</f>
        <v>G766</v>
      </c>
      <c r="W302" t="str">
        <f>'Both teabags AfterDry'!A638</f>
        <v>R796</v>
      </c>
      <c r="X302" t="b">
        <f t="shared" si="104"/>
        <v>0</v>
      </c>
      <c r="Y302" t="b">
        <f t="shared" si="105"/>
        <v>0</v>
      </c>
      <c r="AA302" t="str">
        <f>'Green_rooibos initial weight'!A303</f>
        <v>G299</v>
      </c>
      <c r="AB302" t="str">
        <f>'Green_rooibos initial weight'!A1207</f>
        <v>R299</v>
      </c>
      <c r="AC302" t="b">
        <f t="shared" si="106"/>
        <v>0</v>
      </c>
      <c r="AD302" t="b">
        <f t="shared" si="107"/>
        <v>0</v>
      </c>
      <c r="AG302" t="str">
        <f>'WetLitterbags placem_collection'!O81</f>
        <v>G249</v>
      </c>
      <c r="AH302" t="str">
        <f>'WetLitterbags placem_collection'!Q81</f>
        <v>R56</v>
      </c>
      <c r="AI302" t="b">
        <f t="shared" si="108"/>
        <v>0</v>
      </c>
      <c r="AJ302" t="b">
        <f t="shared" si="109"/>
        <v>0</v>
      </c>
      <c r="AK302">
        <f>'WetLitterbags placem_collection'!A81</f>
        <v>79</v>
      </c>
      <c r="AL302">
        <f>'WetLitterbags placem_collection'!A81</f>
        <v>79</v>
      </c>
      <c r="AN302">
        <f>IF('Dry_Litterbag Placem_Collection'!L81=0,"",'Dry_Litterbag Placem_Collection'!L81)</f>
        <v>226</v>
      </c>
      <c r="AO302">
        <f>IF('Dry_Litterbag Placem_Collection'!M81=0,"",'Dry_Litterbag Placem_Collection'!M81)</f>
        <v>61</v>
      </c>
      <c r="AP302" t="b">
        <f t="shared" si="110"/>
        <v>0</v>
      </c>
      <c r="AQ302" t="b">
        <f t="shared" si="111"/>
        <v>0</v>
      </c>
      <c r="AT302" t="str">
        <f>'Ashed teabags dry'!A300</f>
        <v>G766</v>
      </c>
      <c r="AU302" t="str">
        <f>'Ashed teabags dry'!A637</f>
        <v>R795</v>
      </c>
      <c r="AV302" t="b">
        <f t="shared" si="112"/>
        <v>0</v>
      </c>
      <c r="AW302" t="b">
        <f t="shared" si="113"/>
        <v>0</v>
      </c>
      <c r="AZ302" s="401" t="b">
        <f t="shared" si="114"/>
        <v>0</v>
      </c>
      <c r="BA302" s="401" t="b">
        <f t="shared" si="115"/>
        <v>0</v>
      </c>
      <c r="BC302" t="str">
        <f>'Ashed teabags wet'!A300</f>
        <v>G755</v>
      </c>
      <c r="BD302" t="str">
        <f>'Ashed teabags wet'!A717</f>
        <v>R539</v>
      </c>
      <c r="BE302" t="b">
        <f t="shared" si="116"/>
        <v>0</v>
      </c>
      <c r="BF302" t="b">
        <f t="shared" si="117"/>
        <v>0</v>
      </c>
      <c r="BG302">
        <f>IFERROR('Ashed teabags wet'!C300,"")</f>
        <v>216</v>
      </c>
      <c r="BH302">
        <f>IFERROR('Ashed teabags wet'!C717,"")</f>
        <v>185</v>
      </c>
      <c r="BI302">
        <f>'Ashed teabags wet'!AB300</f>
        <v>215</v>
      </c>
      <c r="BJ302" t="str">
        <f>'Ashed teabags wet'!AC300</f>
        <v/>
      </c>
      <c r="BK302" t="str">
        <f>'Ashed teabags wet'!AD717</f>
        <v/>
      </c>
      <c r="BL302">
        <f>'Ashed teabags wet'!AE717</f>
        <v>184</v>
      </c>
      <c r="BN302" t="str">
        <f t="shared" si="118"/>
        <v>G754</v>
      </c>
      <c r="BO302" t="b">
        <f t="shared" si="119"/>
        <v>1</v>
      </c>
    </row>
    <row r="303" spans="2:67" ht="12" customHeight="1">
      <c r="B303" t="str">
        <f>TBIDry!H375</f>
        <v>G855</v>
      </c>
      <c r="C303" t="str">
        <f>TBIDry!I375</f>
        <v>R620</v>
      </c>
      <c r="D303" t="b">
        <f t="shared" si="96"/>
        <v>0</v>
      </c>
      <c r="E303" t="b">
        <f t="shared" si="97"/>
        <v>0</v>
      </c>
      <c r="G303" t="str">
        <f>TBIWet!H375</f>
        <v>G474</v>
      </c>
      <c r="H303" t="str">
        <f>TBIWet!I375</f>
        <v>R68</v>
      </c>
      <c r="I303" t="b">
        <f t="shared" si="98"/>
        <v>0</v>
      </c>
      <c r="J303" t="b">
        <f t="shared" si="99"/>
        <v>0</v>
      </c>
      <c r="L303" t="str">
        <f>'Both teabags AfterWet'!A302</f>
        <v>G754</v>
      </c>
      <c r="M303" t="str">
        <f>'Both teabags AfterWet'!A720</f>
        <v>R519</v>
      </c>
      <c r="N303" t="b">
        <f t="shared" si="100"/>
        <v>0</v>
      </c>
      <c r="O303" t="b">
        <f t="shared" si="101"/>
        <v>0</v>
      </c>
      <c r="P303" t="str">
        <f>IFERROR('Both teabags AfterWet'!B302,"")</f>
        <v>n.a</v>
      </c>
      <c r="Q303" t="str">
        <f>'Both teabags AfterWet'!B720</f>
        <v>n.a</v>
      </c>
      <c r="S303" s="401" t="b">
        <f t="shared" si="102"/>
        <v>0</v>
      </c>
      <c r="T303" s="401" t="b">
        <f t="shared" si="103"/>
        <v>0</v>
      </c>
      <c r="V303" t="str">
        <f>'Both teabags AfterDry'!A302</f>
        <v>G767</v>
      </c>
      <c r="W303" t="str">
        <f>'Both teabags AfterDry'!A639</f>
        <v>R797</v>
      </c>
      <c r="X303" t="b">
        <f t="shared" si="104"/>
        <v>0</v>
      </c>
      <c r="Y303" t="b">
        <f t="shared" si="105"/>
        <v>0</v>
      </c>
      <c r="AA303" t="str">
        <f>'Green_rooibos initial weight'!A304</f>
        <v>G300</v>
      </c>
      <c r="AB303" t="str">
        <f>'Green_rooibos initial weight'!A1208</f>
        <v>R300</v>
      </c>
      <c r="AC303" t="b">
        <f t="shared" si="106"/>
        <v>0</v>
      </c>
      <c r="AD303" t="b">
        <f t="shared" si="107"/>
        <v>0</v>
      </c>
      <c r="AG303" t="str">
        <f>'WetLitterbags placem_collection'!O82</f>
        <v>G474</v>
      </c>
      <c r="AH303" t="str">
        <f>'WetLitterbags placem_collection'!Q82</f>
        <v>R68</v>
      </c>
      <c r="AI303" t="b">
        <f t="shared" si="108"/>
        <v>0</v>
      </c>
      <c r="AJ303" t="b">
        <f t="shared" si="109"/>
        <v>0</v>
      </c>
      <c r="AK303">
        <f>'WetLitterbags placem_collection'!A82</f>
        <v>80</v>
      </c>
      <c r="AL303">
        <f>'WetLitterbags placem_collection'!A82</f>
        <v>80</v>
      </c>
      <c r="AN303">
        <f>IF('Dry_Litterbag Placem_Collection'!L82=0,"",'Dry_Litterbag Placem_Collection'!L82)</f>
        <v>855</v>
      </c>
      <c r="AO303">
        <f>IF('Dry_Litterbag Placem_Collection'!M82=0,"",'Dry_Litterbag Placem_Collection'!M82)</f>
        <v>620</v>
      </c>
      <c r="AP303" t="b">
        <f t="shared" si="110"/>
        <v>0</v>
      </c>
      <c r="AQ303" t="b">
        <f t="shared" si="111"/>
        <v>0</v>
      </c>
      <c r="AT303" t="str">
        <f>'Ashed teabags dry'!A301</f>
        <v>G767</v>
      </c>
      <c r="AU303" t="str">
        <f>'Ashed teabags dry'!A638</f>
        <v>R796</v>
      </c>
      <c r="AV303" t="b">
        <f t="shared" si="112"/>
        <v>0</v>
      </c>
      <c r="AW303" t="b">
        <f t="shared" si="113"/>
        <v>0</v>
      </c>
      <c r="AZ303" s="401" t="b">
        <f t="shared" si="114"/>
        <v>0</v>
      </c>
      <c r="BA303" s="401" t="b">
        <f t="shared" si="115"/>
        <v>0</v>
      </c>
      <c r="BC303" t="str">
        <f>'Ashed teabags wet'!A301</f>
        <v>G756</v>
      </c>
      <c r="BD303" t="str">
        <f>'Ashed teabags wet'!A718</f>
        <v>R540</v>
      </c>
      <c r="BE303" t="b">
        <f t="shared" si="116"/>
        <v>0</v>
      </c>
      <c r="BF303" t="b">
        <f t="shared" si="117"/>
        <v>0</v>
      </c>
      <c r="BG303">
        <f>IFERROR('Ashed teabags wet'!C301,"")</f>
        <v>134</v>
      </c>
      <c r="BH303">
        <f>IFERROR('Ashed teabags wet'!C718,"")</f>
        <v>105</v>
      </c>
      <c r="BI303">
        <f>'Ashed teabags wet'!AB301</f>
        <v>133</v>
      </c>
      <c r="BJ303" t="str">
        <f>'Ashed teabags wet'!AC301</f>
        <v/>
      </c>
      <c r="BK303" t="str">
        <f>'Ashed teabags wet'!AD718</f>
        <v/>
      </c>
      <c r="BL303">
        <f>'Ashed teabags wet'!AE718</f>
        <v>104</v>
      </c>
      <c r="BN303" t="str">
        <f t="shared" si="118"/>
        <v>G755</v>
      </c>
      <c r="BO303" t="b">
        <f t="shared" si="119"/>
        <v>1</v>
      </c>
    </row>
    <row r="304" spans="2:67" ht="12" customHeight="1">
      <c r="B304" t="str">
        <f>TBIDry!H376</f>
        <v>G413</v>
      </c>
      <c r="C304" t="str">
        <f>TBIDry!I376</f>
        <v>R366</v>
      </c>
      <c r="D304" t="b">
        <f t="shared" si="96"/>
        <v>0</v>
      </c>
      <c r="E304" t="b">
        <f t="shared" si="97"/>
        <v>0</v>
      </c>
      <c r="G304" t="str">
        <f>TBIWet!H376</f>
        <v>G475</v>
      </c>
      <c r="H304" t="str">
        <f>TBIWet!I376</f>
        <v>R293</v>
      </c>
      <c r="I304" t="b">
        <f t="shared" si="98"/>
        <v>0</v>
      </c>
      <c r="J304" t="b">
        <f t="shared" si="99"/>
        <v>0</v>
      </c>
      <c r="L304" t="str">
        <f>'Both teabags AfterWet'!A303</f>
        <v>G755</v>
      </c>
      <c r="M304" t="str">
        <f>'Both teabags AfterWet'!A721</f>
        <v>R520</v>
      </c>
      <c r="N304" t="b">
        <f t="shared" si="100"/>
        <v>0</v>
      </c>
      <c r="O304" t="b">
        <f t="shared" si="101"/>
        <v>0</v>
      </c>
      <c r="P304">
        <f>IFERROR('Both teabags AfterWet'!B303,"")</f>
        <v>216</v>
      </c>
      <c r="Q304">
        <f>'Both teabags AfterWet'!B721</f>
        <v>129</v>
      </c>
      <c r="S304" s="401" t="b">
        <f t="shared" si="102"/>
        <v>0</v>
      </c>
      <c r="T304" s="401" t="b">
        <f t="shared" si="103"/>
        <v>0</v>
      </c>
      <c r="V304" t="str">
        <f>'Both teabags AfterDry'!A303</f>
        <v>G77</v>
      </c>
      <c r="W304" t="str">
        <f>'Both teabags AfterDry'!A640</f>
        <v>R798</v>
      </c>
      <c r="X304" t="b">
        <f t="shared" si="104"/>
        <v>0</v>
      </c>
      <c r="Y304" t="b">
        <f t="shared" si="105"/>
        <v>0</v>
      </c>
      <c r="AA304" t="str">
        <f>'Green_rooibos initial weight'!A305</f>
        <v>G301</v>
      </c>
      <c r="AB304" t="str">
        <f>'Green_rooibos initial weight'!A1209</f>
        <v>R301</v>
      </c>
      <c r="AC304" t="b">
        <f t="shared" si="106"/>
        <v>0</v>
      </c>
      <c r="AD304" t="b">
        <f t="shared" si="107"/>
        <v>0</v>
      </c>
      <c r="AG304" t="str">
        <f>'WetLitterbags placem_collection'!O83</f>
        <v>G475</v>
      </c>
      <c r="AH304" t="str">
        <f>'WetLitterbags placem_collection'!Q83</f>
        <v>R293</v>
      </c>
      <c r="AI304" t="b">
        <f t="shared" si="108"/>
        <v>0</v>
      </c>
      <c r="AJ304" t="b">
        <f t="shared" si="109"/>
        <v>0</v>
      </c>
      <c r="AK304">
        <f>'WetLitterbags placem_collection'!A83</f>
        <v>81</v>
      </c>
      <c r="AL304">
        <f>'WetLitterbags placem_collection'!A83</f>
        <v>81</v>
      </c>
      <c r="AN304">
        <f>IF('Dry_Litterbag Placem_Collection'!L83=0,"",'Dry_Litterbag Placem_Collection'!L83)</f>
        <v>413</v>
      </c>
      <c r="AO304">
        <f>IF('Dry_Litterbag Placem_Collection'!M83=0,"",'Dry_Litterbag Placem_Collection'!M83)</f>
        <v>366</v>
      </c>
      <c r="AP304" t="b">
        <f t="shared" si="110"/>
        <v>0</v>
      </c>
      <c r="AQ304" t="b">
        <f t="shared" si="111"/>
        <v>0</v>
      </c>
      <c r="AT304" t="str">
        <f>'Ashed teabags dry'!A302</f>
        <v>G77</v>
      </c>
      <c r="AU304" t="str">
        <f>'Ashed teabags dry'!A639</f>
        <v>R797</v>
      </c>
      <c r="AV304" t="b">
        <f t="shared" si="112"/>
        <v>0</v>
      </c>
      <c r="AW304" t="b">
        <f t="shared" si="113"/>
        <v>0</v>
      </c>
      <c r="AZ304" s="401" t="b">
        <f t="shared" si="114"/>
        <v>0</v>
      </c>
      <c r="BA304" s="401" t="b">
        <f t="shared" si="115"/>
        <v>0</v>
      </c>
      <c r="BC304" t="str">
        <f>'Ashed teabags wet'!A302</f>
        <v>G758</v>
      </c>
      <c r="BD304" t="str">
        <f>'Ashed teabags wet'!A719</f>
        <v>R541</v>
      </c>
      <c r="BE304" t="b">
        <f t="shared" si="116"/>
        <v>0</v>
      </c>
      <c r="BF304" t="b">
        <f t="shared" si="117"/>
        <v>0</v>
      </c>
      <c r="BG304">
        <f>IFERROR('Ashed teabags wet'!C302,"")</f>
        <v>120</v>
      </c>
      <c r="BH304">
        <f>IFERROR('Ashed teabags wet'!C719,"")</f>
        <v>184</v>
      </c>
      <c r="BI304">
        <f>'Ashed teabags wet'!AB302</f>
        <v>119</v>
      </c>
      <c r="BJ304" t="str">
        <f>'Ashed teabags wet'!AC302</f>
        <v/>
      </c>
      <c r="BK304">
        <f>'Ashed teabags wet'!AD719</f>
        <v>183</v>
      </c>
      <c r="BL304" t="str">
        <f>'Ashed teabags wet'!AE719</f>
        <v/>
      </c>
      <c r="BN304" t="str">
        <f t="shared" si="118"/>
        <v>G756</v>
      </c>
      <c r="BO304" t="b">
        <f t="shared" si="119"/>
        <v>1</v>
      </c>
    </row>
    <row r="305" spans="2:67" ht="12" customHeight="1">
      <c r="B305" t="str">
        <f>TBIDry!H377</f>
        <v>G370</v>
      </c>
      <c r="C305" t="str">
        <f>TBIDry!I377</f>
        <v>R610</v>
      </c>
      <c r="D305" t="b">
        <f t="shared" si="96"/>
        <v>0</v>
      </c>
      <c r="E305" t="b">
        <f t="shared" si="97"/>
        <v>0</v>
      </c>
      <c r="G305" t="str">
        <f>TBIWet!H377</f>
        <v>G840</v>
      </c>
      <c r="H305" t="str">
        <f>TBIWet!I377</f>
        <v>R368</v>
      </c>
      <c r="I305" t="b">
        <f t="shared" si="98"/>
        <v>0</v>
      </c>
      <c r="J305" t="b">
        <f t="shared" si="99"/>
        <v>0</v>
      </c>
      <c r="L305" t="str">
        <f>'Both teabags AfterWet'!A304</f>
        <v>G756</v>
      </c>
      <c r="M305" t="str">
        <f>'Both teabags AfterWet'!A722</f>
        <v>R521</v>
      </c>
      <c r="N305" t="b">
        <f t="shared" si="100"/>
        <v>0</v>
      </c>
      <c r="O305" t="b">
        <f t="shared" si="101"/>
        <v>0</v>
      </c>
      <c r="P305">
        <f>IFERROR('Both teabags AfterWet'!B304,"")</f>
        <v>134</v>
      </c>
      <c r="Q305">
        <f>'Both teabags AfterWet'!B722</f>
        <v>41</v>
      </c>
      <c r="S305" s="401" t="b">
        <f t="shared" si="102"/>
        <v>0</v>
      </c>
      <c r="T305" s="401" t="b">
        <f t="shared" si="103"/>
        <v>0</v>
      </c>
      <c r="V305" t="str">
        <f>'Both teabags AfterDry'!A304</f>
        <v>G771</v>
      </c>
      <c r="W305" t="str">
        <f>'Both teabags AfterDry'!A641</f>
        <v>R799</v>
      </c>
      <c r="X305" t="b">
        <f t="shared" si="104"/>
        <v>0</v>
      </c>
      <c r="Y305" t="b">
        <f t="shared" si="105"/>
        <v>0</v>
      </c>
      <c r="AA305" t="str">
        <f>'Green_rooibos initial weight'!A306</f>
        <v>G302</v>
      </c>
      <c r="AB305" t="str">
        <f>'Green_rooibos initial weight'!A1210</f>
        <v>R302</v>
      </c>
      <c r="AC305" t="b">
        <f t="shared" si="106"/>
        <v>0</v>
      </c>
      <c r="AD305" t="b">
        <f t="shared" si="107"/>
        <v>0</v>
      </c>
      <c r="AG305" t="str">
        <f>'WetLitterbags placem_collection'!O84</f>
        <v>G840</v>
      </c>
      <c r="AH305" t="str">
        <f>'WetLitterbags placem_collection'!Q84</f>
        <v>R368</v>
      </c>
      <c r="AI305" t="b">
        <f t="shared" si="108"/>
        <v>0</v>
      </c>
      <c r="AJ305" t="b">
        <f t="shared" si="109"/>
        <v>0</v>
      </c>
      <c r="AK305">
        <f>'WetLitterbags placem_collection'!A84</f>
        <v>82</v>
      </c>
      <c r="AL305">
        <f>'WetLitterbags placem_collection'!A84</f>
        <v>82</v>
      </c>
      <c r="AN305">
        <f>IF('Dry_Litterbag Placem_Collection'!L84=0,"",'Dry_Litterbag Placem_Collection'!L84)</f>
        <v>370</v>
      </c>
      <c r="AO305">
        <f>IF('Dry_Litterbag Placem_Collection'!M84=0,"",'Dry_Litterbag Placem_Collection'!M84)</f>
        <v>610</v>
      </c>
      <c r="AP305" t="b">
        <f t="shared" si="110"/>
        <v>0</v>
      </c>
      <c r="AQ305" t="b">
        <f t="shared" si="111"/>
        <v>0</v>
      </c>
      <c r="AT305" t="str">
        <f>'Ashed teabags dry'!A303</f>
        <v>G771</v>
      </c>
      <c r="AU305" t="str">
        <f>'Ashed teabags dry'!A640</f>
        <v>R798</v>
      </c>
      <c r="AV305" t="b">
        <f t="shared" si="112"/>
        <v>0</v>
      </c>
      <c r="AW305" t="b">
        <f t="shared" si="113"/>
        <v>0</v>
      </c>
      <c r="AZ305" s="401" t="b">
        <f t="shared" si="114"/>
        <v>0</v>
      </c>
      <c r="BA305" s="401" t="b">
        <f t="shared" si="115"/>
        <v>0</v>
      </c>
      <c r="BC305" t="str">
        <f>'Ashed teabags wet'!A303</f>
        <v>G760</v>
      </c>
      <c r="BD305" t="str">
        <f>'Ashed teabags wet'!A720</f>
        <v>R542</v>
      </c>
      <c r="BE305" t="b">
        <f t="shared" si="116"/>
        <v>0</v>
      </c>
      <c r="BF305" t="b">
        <f t="shared" si="117"/>
        <v>0</v>
      </c>
      <c r="BG305">
        <f>IFERROR('Ashed teabags wet'!C303,"")</f>
        <v>66</v>
      </c>
      <c r="BH305">
        <f>IFERROR('Ashed teabags wet'!C720,"")</f>
        <v>17</v>
      </c>
      <c r="BI305" t="str">
        <f>'Ashed teabags wet'!AB303</f>
        <v/>
      </c>
      <c r="BJ305">
        <f>'Ashed teabags wet'!AC303</f>
        <v>65</v>
      </c>
      <c r="BK305">
        <f>'Ashed teabags wet'!AD720</f>
        <v>16</v>
      </c>
      <c r="BL305" t="str">
        <f>'Ashed teabags wet'!AE720</f>
        <v/>
      </c>
      <c r="BN305" t="str">
        <f t="shared" si="118"/>
        <v>G758</v>
      </c>
      <c r="BO305" t="b">
        <f t="shared" si="119"/>
        <v>1</v>
      </c>
    </row>
    <row r="306" spans="2:67" ht="12" customHeight="1">
      <c r="B306" t="str">
        <f>TBIDry!H378</f>
        <v>G879</v>
      </c>
      <c r="C306" t="str">
        <f>TBIDry!I378</f>
        <v>R614</v>
      </c>
      <c r="D306" t="b">
        <f t="shared" si="96"/>
        <v>0</v>
      </c>
      <c r="E306" t="b">
        <f t="shared" si="97"/>
        <v>0</v>
      </c>
      <c r="G306" t="str">
        <f>TBIWet!H378</f>
        <v>G298</v>
      </c>
      <c r="H306" t="str">
        <f>TBIWet!I378</f>
        <v>R22</v>
      </c>
      <c r="I306" t="b">
        <f t="shared" si="98"/>
        <v>0</v>
      </c>
      <c r="J306" t="b">
        <f t="shared" si="99"/>
        <v>0</v>
      </c>
      <c r="L306" t="str">
        <f>'Both teabags AfterWet'!A305</f>
        <v>G758</v>
      </c>
      <c r="M306" t="str">
        <f>'Both teabags AfterWet'!A723</f>
        <v>R522</v>
      </c>
      <c r="N306" t="b">
        <f t="shared" si="100"/>
        <v>0</v>
      </c>
      <c r="O306" t="b">
        <f t="shared" si="101"/>
        <v>0</v>
      </c>
      <c r="P306">
        <f>IFERROR('Both teabags AfterWet'!B305,"")</f>
        <v>120</v>
      </c>
      <c r="Q306">
        <f>'Both teabags AfterWet'!B723</f>
        <v>115</v>
      </c>
      <c r="S306" s="401" t="b">
        <f t="shared" si="102"/>
        <v>0</v>
      </c>
      <c r="T306" s="401" t="b">
        <f t="shared" si="103"/>
        <v>0</v>
      </c>
      <c r="V306" t="str">
        <f>'Both teabags AfterDry'!A305</f>
        <v>G776</v>
      </c>
      <c r="W306" t="str">
        <f>'Both teabags AfterDry'!A642</f>
        <v>R80</v>
      </c>
      <c r="X306" t="b">
        <f t="shared" si="104"/>
        <v>0</v>
      </c>
      <c r="Y306" t="b">
        <f t="shared" si="105"/>
        <v>0</v>
      </c>
      <c r="AA306" t="str">
        <f>'Green_rooibos initial weight'!A307</f>
        <v>G303</v>
      </c>
      <c r="AB306" t="str">
        <f>'Green_rooibos initial weight'!A1211</f>
        <v>R303</v>
      </c>
      <c r="AC306" t="b">
        <f t="shared" si="106"/>
        <v>0</v>
      </c>
      <c r="AD306" t="b">
        <f t="shared" si="107"/>
        <v>0</v>
      </c>
      <c r="AG306" t="str">
        <f>'WetLitterbags placem_collection'!O85</f>
        <v>G298</v>
      </c>
      <c r="AH306" t="str">
        <f>'WetLitterbags placem_collection'!Q85</f>
        <v>R22</v>
      </c>
      <c r="AI306" t="b">
        <f t="shared" si="108"/>
        <v>0</v>
      </c>
      <c r="AJ306" t="b">
        <f t="shared" si="109"/>
        <v>0</v>
      </c>
      <c r="AK306">
        <f>'WetLitterbags placem_collection'!A85</f>
        <v>83</v>
      </c>
      <c r="AL306">
        <f>'WetLitterbags placem_collection'!A85</f>
        <v>83</v>
      </c>
      <c r="AN306">
        <f>IF('Dry_Litterbag Placem_Collection'!L85=0,"",'Dry_Litterbag Placem_Collection'!L85)</f>
        <v>879</v>
      </c>
      <c r="AO306">
        <f>IF('Dry_Litterbag Placem_Collection'!M85=0,"",'Dry_Litterbag Placem_Collection'!M85)</f>
        <v>614</v>
      </c>
      <c r="AP306" t="b">
        <f t="shared" si="110"/>
        <v>0</v>
      </c>
      <c r="AQ306" t="b">
        <f t="shared" si="111"/>
        <v>0</v>
      </c>
      <c r="AT306" t="str">
        <f>'Ashed teabags dry'!A304</f>
        <v>G776</v>
      </c>
      <c r="AU306" t="str">
        <f>'Ashed teabags dry'!A641</f>
        <v>R799</v>
      </c>
      <c r="AV306" t="b">
        <f t="shared" si="112"/>
        <v>0</v>
      </c>
      <c r="AW306" t="b">
        <f t="shared" si="113"/>
        <v>0</v>
      </c>
      <c r="AZ306" s="401" t="b">
        <f t="shared" si="114"/>
        <v>0</v>
      </c>
      <c r="BA306" s="401" t="b">
        <f t="shared" si="115"/>
        <v>0</v>
      </c>
      <c r="BC306" t="str">
        <f>'Ashed teabags wet'!A304</f>
        <v>G761</v>
      </c>
      <c r="BD306" t="str">
        <f>'Ashed teabags wet'!A721</f>
        <v>R543</v>
      </c>
      <c r="BE306" t="b">
        <f t="shared" si="116"/>
        <v>0</v>
      </c>
      <c r="BF306" t="b">
        <f t="shared" si="117"/>
        <v>0</v>
      </c>
      <c r="BG306">
        <f>IFERROR('Ashed teabags wet'!C304,"")</f>
        <v>214</v>
      </c>
      <c r="BH306">
        <f>IFERROR('Ashed teabags wet'!C721,"")</f>
        <v>136</v>
      </c>
      <c r="BI306">
        <f>'Ashed teabags wet'!AB304</f>
        <v>213</v>
      </c>
      <c r="BJ306" t="str">
        <f>'Ashed teabags wet'!AC304</f>
        <v/>
      </c>
      <c r="BK306" t="str">
        <f>'Ashed teabags wet'!AD721</f>
        <v/>
      </c>
      <c r="BL306">
        <f>'Ashed teabags wet'!AE721</f>
        <v>135</v>
      </c>
      <c r="BN306" t="str">
        <f t="shared" si="118"/>
        <v>G760</v>
      </c>
      <c r="BO306" t="b">
        <f t="shared" si="119"/>
        <v>1</v>
      </c>
    </row>
    <row r="307" spans="2:67" ht="12" customHeight="1">
      <c r="B307" t="str">
        <f>TBIDry!H379</f>
        <v>G854</v>
      </c>
      <c r="C307" t="str">
        <f>TBIDry!I379</f>
        <v>R720</v>
      </c>
      <c r="D307" t="b">
        <f t="shared" si="96"/>
        <v>0</v>
      </c>
      <c r="E307" t="b">
        <f t="shared" si="97"/>
        <v>0</v>
      </c>
      <c r="G307" t="str">
        <f>TBIWet!H379</f>
        <v>G520</v>
      </c>
      <c r="H307" t="str">
        <f>TBIWet!I379</f>
        <v>R417</v>
      </c>
      <c r="I307" t="b">
        <f t="shared" si="98"/>
        <v>0</v>
      </c>
      <c r="J307" t="b">
        <f t="shared" si="99"/>
        <v>0</v>
      </c>
      <c r="L307" t="str">
        <f>'Both teabags AfterWet'!A306</f>
        <v>G760</v>
      </c>
      <c r="M307" t="str">
        <f>'Both teabags AfterWet'!A724</f>
        <v>R523</v>
      </c>
      <c r="N307" t="b">
        <f t="shared" si="100"/>
        <v>0</v>
      </c>
      <c r="O307" t="b">
        <f t="shared" si="101"/>
        <v>0</v>
      </c>
      <c r="P307" t="str">
        <f>IFERROR('Both teabags AfterWet'!B306,"")</f>
        <v>n.a</v>
      </c>
      <c r="Q307" t="str">
        <f>'Both teabags AfterWet'!B724</f>
        <v>n.a</v>
      </c>
      <c r="S307" s="401" t="b">
        <f t="shared" si="102"/>
        <v>0</v>
      </c>
      <c r="T307" s="401" t="b">
        <f t="shared" si="103"/>
        <v>0</v>
      </c>
      <c r="V307" t="str">
        <f>'Both teabags AfterDry'!A306</f>
        <v>G78</v>
      </c>
      <c r="W307" t="str">
        <f>'Both teabags AfterDry'!A643</f>
        <v>R800</v>
      </c>
      <c r="X307" t="b">
        <f t="shared" si="104"/>
        <v>0</v>
      </c>
      <c r="Y307" t="b">
        <f t="shared" si="105"/>
        <v>0</v>
      </c>
      <c r="AA307" t="str">
        <f>'Green_rooibos initial weight'!A308</f>
        <v>G304</v>
      </c>
      <c r="AB307" t="str">
        <f>'Green_rooibos initial weight'!A1212</f>
        <v>R304</v>
      </c>
      <c r="AC307" t="b">
        <f t="shared" si="106"/>
        <v>0</v>
      </c>
      <c r="AD307" t="b">
        <f t="shared" si="107"/>
        <v>0</v>
      </c>
      <c r="AG307" t="str">
        <f>'WetLitterbags placem_collection'!O86</f>
        <v>G520</v>
      </c>
      <c r="AH307" t="str">
        <f>'WetLitterbags placem_collection'!Q86</f>
        <v>R417</v>
      </c>
      <c r="AI307" t="b">
        <f t="shared" si="108"/>
        <v>0</v>
      </c>
      <c r="AJ307" t="b">
        <f t="shared" si="109"/>
        <v>0</v>
      </c>
      <c r="AK307">
        <f>'WetLitterbags placem_collection'!A86</f>
        <v>84</v>
      </c>
      <c r="AL307">
        <f>'WetLitterbags placem_collection'!A86</f>
        <v>84</v>
      </c>
      <c r="AN307">
        <f>IF('Dry_Litterbag Placem_Collection'!L86=0,"",'Dry_Litterbag Placem_Collection'!L86)</f>
        <v>854</v>
      </c>
      <c r="AO307">
        <f>IF('Dry_Litterbag Placem_Collection'!M86=0,"",'Dry_Litterbag Placem_Collection'!M86)</f>
        <v>720</v>
      </c>
      <c r="AP307" t="b">
        <f t="shared" si="110"/>
        <v>0</v>
      </c>
      <c r="AQ307" t="b">
        <f t="shared" si="111"/>
        <v>0</v>
      </c>
      <c r="AT307" t="str">
        <f>'Ashed teabags dry'!A305</f>
        <v>G78</v>
      </c>
      <c r="AU307" t="str">
        <f>'Ashed teabags dry'!A642</f>
        <v>R80</v>
      </c>
      <c r="AV307" t="b">
        <f t="shared" si="112"/>
        <v>0</v>
      </c>
      <c r="AW307" t="b">
        <f t="shared" si="113"/>
        <v>0</v>
      </c>
      <c r="AZ307" s="401" t="b">
        <f t="shared" si="114"/>
        <v>0</v>
      </c>
      <c r="BA307" s="401" t="b">
        <f t="shared" si="115"/>
        <v>0</v>
      </c>
      <c r="BC307" t="str">
        <f>'Ashed teabags wet'!A305</f>
        <v>G762</v>
      </c>
      <c r="BD307" t="str">
        <f>'Ashed teabags wet'!A722</f>
        <v>R544</v>
      </c>
      <c r="BE307" t="b">
        <f t="shared" si="116"/>
        <v>0</v>
      </c>
      <c r="BF307" t="b">
        <f t="shared" si="117"/>
        <v>0</v>
      </c>
      <c r="BG307">
        <f>IFERROR('Ashed teabags wet'!C305,"")</f>
        <v>146</v>
      </c>
      <c r="BH307">
        <f>IFERROR('Ashed teabags wet'!C722,"")</f>
        <v>118</v>
      </c>
      <c r="BI307" t="str">
        <f>'Ashed teabags wet'!AB305</f>
        <v/>
      </c>
      <c r="BJ307">
        <f>'Ashed teabags wet'!AC305</f>
        <v>145</v>
      </c>
      <c r="BK307" t="str">
        <f>'Ashed teabags wet'!AD722</f>
        <v/>
      </c>
      <c r="BL307">
        <f>'Ashed teabags wet'!AE722</f>
        <v>117</v>
      </c>
      <c r="BN307" t="str">
        <f t="shared" si="118"/>
        <v>G761</v>
      </c>
      <c r="BO307" t="b">
        <f t="shared" si="119"/>
        <v>1</v>
      </c>
    </row>
    <row r="308" spans="2:67" ht="12" customHeight="1">
      <c r="B308" t="str">
        <f>TBIDry!H380</f>
        <v/>
      </c>
      <c r="C308" t="str">
        <f>TBIDry!I380</f>
        <v/>
      </c>
      <c r="D308" t="b">
        <f t="shared" si="96"/>
        <v>1</v>
      </c>
      <c r="E308" t="b">
        <f t="shared" si="97"/>
        <v>1</v>
      </c>
      <c r="G308" t="str">
        <f>TBIWet!H380</f>
        <v>G441</v>
      </c>
      <c r="H308" t="str">
        <f>TBIWet!I380</f>
        <v>R391</v>
      </c>
      <c r="I308" t="b">
        <f t="shared" si="98"/>
        <v>0</v>
      </c>
      <c r="J308" t="b">
        <f t="shared" si="99"/>
        <v>0</v>
      </c>
      <c r="L308" t="str">
        <f>'Both teabags AfterWet'!A307</f>
        <v>G761</v>
      </c>
      <c r="M308" t="str">
        <f>'Both teabags AfterWet'!A725</f>
        <v>R524</v>
      </c>
      <c r="N308" t="b">
        <f t="shared" si="100"/>
        <v>0</v>
      </c>
      <c r="O308" t="b">
        <f t="shared" si="101"/>
        <v>0</v>
      </c>
      <c r="P308">
        <f>IFERROR('Both teabags AfterWet'!B307,"")</f>
        <v>214</v>
      </c>
      <c r="Q308" t="str">
        <f>'Both teabags AfterWet'!B725</f>
        <v>n.a</v>
      </c>
      <c r="S308" s="401" t="b">
        <f t="shared" si="102"/>
        <v>0</v>
      </c>
      <c r="T308" s="401" t="b">
        <f t="shared" si="103"/>
        <v>0</v>
      </c>
      <c r="V308" t="str">
        <f>'Both teabags AfterDry'!A307</f>
        <v>G780</v>
      </c>
      <c r="W308" t="str">
        <f>'Both teabags AfterDry'!A644</f>
        <v>R802</v>
      </c>
      <c r="X308" t="b">
        <f t="shared" si="104"/>
        <v>0</v>
      </c>
      <c r="Y308" t="b">
        <f t="shared" si="105"/>
        <v>0</v>
      </c>
      <c r="AA308" t="str">
        <f>'Green_rooibos initial weight'!A309</f>
        <v>G305</v>
      </c>
      <c r="AB308" t="str">
        <f>'Green_rooibos initial weight'!A1213</f>
        <v>R305</v>
      </c>
      <c r="AC308" t="b">
        <f t="shared" si="106"/>
        <v>0</v>
      </c>
      <c r="AD308" t="b">
        <f t="shared" si="107"/>
        <v>0</v>
      </c>
      <c r="AG308" t="str">
        <f>'WetLitterbags placem_collection'!O87</f>
        <v>G441</v>
      </c>
      <c r="AH308" t="str">
        <f>'WetLitterbags placem_collection'!Q87</f>
        <v>R391</v>
      </c>
      <c r="AI308" t="b">
        <f t="shared" si="108"/>
        <v>0</v>
      </c>
      <c r="AJ308" t="b">
        <f t="shared" si="109"/>
        <v>0</v>
      </c>
      <c r="AK308">
        <f>'WetLitterbags placem_collection'!A87</f>
        <v>85</v>
      </c>
      <c r="AL308">
        <f>'WetLitterbags placem_collection'!A87</f>
        <v>85</v>
      </c>
      <c r="AN308" t="str">
        <f>IF('Dry_Litterbag Placem_Collection'!L87=0,"",'Dry_Litterbag Placem_Collection'!L87)</f>
        <v/>
      </c>
      <c r="AO308" t="str">
        <f>IF('Dry_Litterbag Placem_Collection'!M87=0,"",'Dry_Litterbag Placem_Collection'!M87)</f>
        <v/>
      </c>
      <c r="AP308" t="b">
        <f t="shared" si="110"/>
        <v>1</v>
      </c>
      <c r="AQ308" t="b">
        <f t="shared" si="111"/>
        <v>1</v>
      </c>
      <c r="AT308" t="str">
        <f>'Ashed teabags dry'!A306</f>
        <v>G780</v>
      </c>
      <c r="AU308" t="str">
        <f>'Ashed teabags dry'!A643</f>
        <v>R800</v>
      </c>
      <c r="AV308" t="b">
        <f t="shared" si="112"/>
        <v>0</v>
      </c>
      <c r="AW308" t="b">
        <f t="shared" si="113"/>
        <v>0</v>
      </c>
      <c r="AZ308" s="401" t="b">
        <f t="shared" si="114"/>
        <v>0</v>
      </c>
      <c r="BA308" s="401" t="b">
        <f t="shared" si="115"/>
        <v>0</v>
      </c>
      <c r="BC308" t="str">
        <f>'Ashed teabags wet'!A306</f>
        <v>G763</v>
      </c>
      <c r="BD308" t="str">
        <f>'Ashed teabags wet'!A723</f>
        <v>R545</v>
      </c>
      <c r="BE308" t="b">
        <f t="shared" si="116"/>
        <v>0</v>
      </c>
      <c r="BF308" t="b">
        <f t="shared" si="117"/>
        <v>0</v>
      </c>
      <c r="BG308">
        <f>IFERROR('Ashed teabags wet'!C306,"")</f>
        <v>92</v>
      </c>
      <c r="BH308">
        <f>IFERROR('Ashed teabags wet'!C723,"")</f>
        <v>149</v>
      </c>
      <c r="BI308" t="str">
        <f>'Ashed teabags wet'!AB306</f>
        <v/>
      </c>
      <c r="BJ308">
        <f>'Ashed teabags wet'!AC306</f>
        <v>91</v>
      </c>
      <c r="BK308">
        <f>'Ashed teabags wet'!AD723</f>
        <v>148</v>
      </c>
      <c r="BL308" t="str">
        <f>'Ashed teabags wet'!AE723</f>
        <v/>
      </c>
      <c r="BN308" t="str">
        <f t="shared" si="118"/>
        <v>G762</v>
      </c>
      <c r="BO308" t="b">
        <f t="shared" si="119"/>
        <v>1</v>
      </c>
    </row>
    <row r="309" spans="2:67" ht="12" customHeight="1">
      <c r="B309" t="str">
        <f>TBIDry!H381</f>
        <v>G788</v>
      </c>
      <c r="C309" t="str">
        <f>TBIDry!I381</f>
        <v>R643</v>
      </c>
      <c r="D309" t="b">
        <f t="shared" si="96"/>
        <v>0</v>
      </c>
      <c r="E309" t="b">
        <f t="shared" si="97"/>
        <v>0</v>
      </c>
      <c r="G309" t="str">
        <f>TBIWet!H381</f>
        <v>G561</v>
      </c>
      <c r="H309" t="str">
        <f>TBIWet!I381</f>
        <v>R62</v>
      </c>
      <c r="I309" t="b">
        <f t="shared" si="98"/>
        <v>0</v>
      </c>
      <c r="J309" t="b">
        <f t="shared" si="99"/>
        <v>0</v>
      </c>
      <c r="L309" t="str">
        <f>'Both teabags AfterWet'!A308</f>
        <v>G762</v>
      </c>
      <c r="M309" t="str">
        <f>'Both teabags AfterWet'!A726</f>
        <v>R525</v>
      </c>
      <c r="N309" t="b">
        <f t="shared" si="100"/>
        <v>0</v>
      </c>
      <c r="O309" t="b">
        <f t="shared" si="101"/>
        <v>0</v>
      </c>
      <c r="P309">
        <f>IFERROR('Both teabags AfterWet'!B308,"")</f>
        <v>146</v>
      </c>
      <c r="Q309">
        <f>'Both teabags AfterWet'!B726</f>
        <v>65</v>
      </c>
      <c r="S309" s="401" t="b">
        <f t="shared" si="102"/>
        <v>0</v>
      </c>
      <c r="T309" s="401" t="b">
        <f t="shared" si="103"/>
        <v>0</v>
      </c>
      <c r="V309" t="str">
        <f>'Both teabags AfterDry'!A308</f>
        <v>G79</v>
      </c>
      <c r="W309" t="str">
        <f>'Both teabags AfterDry'!A645</f>
        <v>R803</v>
      </c>
      <c r="X309" t="b">
        <f t="shared" si="104"/>
        <v>0</v>
      </c>
      <c r="Y309" t="b">
        <f t="shared" si="105"/>
        <v>0</v>
      </c>
      <c r="AA309" t="str">
        <f>'Green_rooibos initial weight'!A310</f>
        <v>G306</v>
      </c>
      <c r="AB309" t="str">
        <f>'Green_rooibos initial weight'!A1214</f>
        <v>R306</v>
      </c>
      <c r="AC309" t="b">
        <f t="shared" si="106"/>
        <v>0</v>
      </c>
      <c r="AD309" t="b">
        <f t="shared" si="107"/>
        <v>0</v>
      </c>
      <c r="AG309" t="str">
        <f>'WetLitterbags placem_collection'!O88</f>
        <v>G561</v>
      </c>
      <c r="AH309" t="str">
        <f>'WetLitterbags placem_collection'!Q88</f>
        <v>R62</v>
      </c>
      <c r="AI309" t="b">
        <f t="shared" si="108"/>
        <v>0</v>
      </c>
      <c r="AJ309" t="b">
        <f t="shared" si="109"/>
        <v>0</v>
      </c>
      <c r="AK309">
        <f>'WetLitterbags placem_collection'!A88</f>
        <v>86</v>
      </c>
      <c r="AL309">
        <f>'WetLitterbags placem_collection'!A88</f>
        <v>86</v>
      </c>
      <c r="AN309">
        <f>IF('Dry_Litterbag Placem_Collection'!L88=0,"",'Dry_Litterbag Placem_Collection'!L88)</f>
        <v>788</v>
      </c>
      <c r="AO309">
        <f>IF('Dry_Litterbag Placem_Collection'!M88=0,"",'Dry_Litterbag Placem_Collection'!M88)</f>
        <v>643</v>
      </c>
      <c r="AP309" t="b">
        <f t="shared" si="110"/>
        <v>0</v>
      </c>
      <c r="AQ309" t="b">
        <f t="shared" si="111"/>
        <v>0</v>
      </c>
      <c r="AT309" t="str">
        <f>'Ashed teabags dry'!A307</f>
        <v>G79</v>
      </c>
      <c r="AU309" t="str">
        <f>'Ashed teabags dry'!A644</f>
        <v>R802</v>
      </c>
      <c r="AV309" t="b">
        <f t="shared" si="112"/>
        <v>0</v>
      </c>
      <c r="AW309" t="b">
        <f t="shared" si="113"/>
        <v>0</v>
      </c>
      <c r="AZ309" s="401" t="b">
        <f t="shared" si="114"/>
        <v>0</v>
      </c>
      <c r="BA309" s="401" t="b">
        <f t="shared" si="115"/>
        <v>0</v>
      </c>
      <c r="BC309" t="str">
        <f>'Ashed teabags wet'!A307</f>
        <v>G764</v>
      </c>
      <c r="BD309" t="str">
        <f>'Ashed teabags wet'!A724</f>
        <v>R546</v>
      </c>
      <c r="BE309" t="b">
        <f t="shared" si="116"/>
        <v>0</v>
      </c>
      <c r="BF309" t="b">
        <f t="shared" si="117"/>
        <v>0</v>
      </c>
      <c r="BG309">
        <f>IFERROR('Ashed teabags wet'!C307,"")</f>
        <v>42</v>
      </c>
      <c r="BH309">
        <f>IFERROR('Ashed teabags wet'!C724,"")</f>
        <v>72</v>
      </c>
      <c r="BI309">
        <f>'Ashed teabags wet'!AB307</f>
        <v>41</v>
      </c>
      <c r="BJ309" t="str">
        <f>'Ashed teabags wet'!AC307</f>
        <v/>
      </c>
      <c r="BK309">
        <f>'Ashed teabags wet'!AD724</f>
        <v>71</v>
      </c>
      <c r="BL309" t="str">
        <f>'Ashed teabags wet'!AE724</f>
        <v/>
      </c>
      <c r="BN309" s="180" t="str">
        <f t="shared" si="118"/>
        <v>G763</v>
      </c>
      <c r="BO309" s="113" t="b">
        <f t="shared" si="119"/>
        <v>0</v>
      </c>
    </row>
    <row r="310" spans="2:67" ht="12" customHeight="1">
      <c r="B310" t="str">
        <f>TBIDry!H382</f>
        <v>G91</v>
      </c>
      <c r="C310" t="str">
        <f>TBIDry!I382</f>
        <v>R277</v>
      </c>
      <c r="D310" t="b">
        <f t="shared" si="96"/>
        <v>0</v>
      </c>
      <c r="E310" t="b">
        <f t="shared" si="97"/>
        <v>0</v>
      </c>
      <c r="G310" t="str">
        <f>TBIWet!H382</f>
        <v>G632</v>
      </c>
      <c r="H310" t="str">
        <f>TBIWet!I382</f>
        <v>R329</v>
      </c>
      <c r="I310" t="b">
        <f t="shared" si="98"/>
        <v>0</v>
      </c>
      <c r="J310" t="b">
        <f t="shared" si="99"/>
        <v>0</v>
      </c>
      <c r="L310" t="str">
        <f>'Both teabags AfterWet'!A309</f>
        <v>G764</v>
      </c>
      <c r="M310" t="str">
        <f>'Both teabags AfterWet'!A727</f>
        <v>R526</v>
      </c>
      <c r="N310" t="b">
        <f t="shared" si="100"/>
        <v>0</v>
      </c>
      <c r="O310" t="b">
        <f t="shared" si="101"/>
        <v>0</v>
      </c>
      <c r="P310">
        <f>IFERROR('Both teabags AfterWet'!B309,"")</f>
        <v>42</v>
      </c>
      <c r="Q310">
        <f>'Both teabags AfterWet'!B727</f>
        <v>119</v>
      </c>
      <c r="S310" s="401" t="b">
        <f t="shared" si="102"/>
        <v>0</v>
      </c>
      <c r="T310" s="401" t="b">
        <f t="shared" si="103"/>
        <v>0</v>
      </c>
      <c r="V310" t="str">
        <f>'Both teabags AfterDry'!A309</f>
        <v>G792</v>
      </c>
      <c r="W310" t="str">
        <f>'Both teabags AfterDry'!A646</f>
        <v>R804</v>
      </c>
      <c r="X310" t="b">
        <f t="shared" si="104"/>
        <v>0</v>
      </c>
      <c r="Y310" t="b">
        <f t="shared" si="105"/>
        <v>0</v>
      </c>
      <c r="AA310" t="str">
        <f>'Green_rooibos initial weight'!A311</f>
        <v>G307</v>
      </c>
      <c r="AB310" t="str">
        <f>'Green_rooibos initial weight'!A1215</f>
        <v>R307</v>
      </c>
      <c r="AC310" t="b">
        <f t="shared" si="106"/>
        <v>0</v>
      </c>
      <c r="AD310" t="b">
        <f t="shared" si="107"/>
        <v>0</v>
      </c>
      <c r="AG310" t="str">
        <f>'WetLitterbags placem_collection'!O89</f>
        <v>G632</v>
      </c>
      <c r="AH310" t="str">
        <f>'WetLitterbags placem_collection'!Q89</f>
        <v>R329</v>
      </c>
      <c r="AI310" t="b">
        <f t="shared" si="108"/>
        <v>0</v>
      </c>
      <c r="AJ310" t="b">
        <f t="shared" si="109"/>
        <v>0</v>
      </c>
      <c r="AK310">
        <f>'WetLitterbags placem_collection'!A89</f>
        <v>87</v>
      </c>
      <c r="AL310">
        <f>'WetLitterbags placem_collection'!A89</f>
        <v>87</v>
      </c>
      <c r="AN310">
        <f>IF('Dry_Litterbag Placem_Collection'!L89=0,"",'Dry_Litterbag Placem_Collection'!L89)</f>
        <v>91</v>
      </c>
      <c r="AO310">
        <f>IF('Dry_Litterbag Placem_Collection'!M89=0,"",'Dry_Litterbag Placem_Collection'!M89)</f>
        <v>277</v>
      </c>
      <c r="AP310" t="b">
        <f t="shared" si="110"/>
        <v>0</v>
      </c>
      <c r="AQ310" t="b">
        <f t="shared" si="111"/>
        <v>0</v>
      </c>
      <c r="AT310" t="str">
        <f>'Ashed teabags dry'!A308</f>
        <v>G792</v>
      </c>
      <c r="AU310" t="str">
        <f>'Ashed teabags dry'!A645</f>
        <v>R803</v>
      </c>
      <c r="AV310" t="b">
        <f t="shared" si="112"/>
        <v>0</v>
      </c>
      <c r="AW310" t="b">
        <f t="shared" si="113"/>
        <v>0</v>
      </c>
      <c r="AZ310" s="401" t="b">
        <f t="shared" si="114"/>
        <v>0</v>
      </c>
      <c r="BA310" s="401" t="b">
        <f t="shared" si="115"/>
        <v>0</v>
      </c>
      <c r="BC310" t="str">
        <f>'Ashed teabags wet'!A308</f>
        <v>G765</v>
      </c>
      <c r="BD310" t="str">
        <f>'Ashed teabags wet'!A725</f>
        <v>R547</v>
      </c>
      <c r="BE310" t="b">
        <f t="shared" si="116"/>
        <v>0</v>
      </c>
      <c r="BF310" t="b">
        <f t="shared" si="117"/>
        <v>0</v>
      </c>
      <c r="BG310">
        <f>IFERROR('Ashed teabags wet'!C308,"")</f>
        <v>99</v>
      </c>
      <c r="BH310">
        <f>IFERROR('Ashed teabags wet'!C725,"")</f>
        <v>95</v>
      </c>
      <c r="BI310">
        <f>'Ashed teabags wet'!AB308</f>
        <v>98</v>
      </c>
      <c r="BJ310" t="str">
        <f>'Ashed teabags wet'!AC308</f>
        <v/>
      </c>
      <c r="BK310" t="str">
        <f>'Ashed teabags wet'!AD725</f>
        <v/>
      </c>
      <c r="BL310">
        <f>'Ashed teabags wet'!AE725</f>
        <v>94</v>
      </c>
      <c r="BN310" t="str">
        <f t="shared" si="118"/>
        <v>G764</v>
      </c>
      <c r="BO310" t="b">
        <f t="shared" si="119"/>
        <v>1</v>
      </c>
    </row>
    <row r="311" spans="2:67" ht="12" customHeight="1">
      <c r="B311" t="str">
        <f>TBIDry!H383</f>
        <v>G364</v>
      </c>
      <c r="C311" t="str">
        <f>TBIDry!I383</f>
        <v>R197</v>
      </c>
      <c r="D311" t="b">
        <f t="shared" si="96"/>
        <v>0</v>
      </c>
      <c r="E311" t="b">
        <f t="shared" si="97"/>
        <v>0</v>
      </c>
      <c r="G311" t="str">
        <f>TBIWet!H383</f>
        <v>G611</v>
      </c>
      <c r="H311" t="str">
        <f>TBIWet!I383</f>
        <v>R288</v>
      </c>
      <c r="I311" t="b">
        <f t="shared" si="98"/>
        <v>0</v>
      </c>
      <c r="J311" t="b">
        <f t="shared" si="99"/>
        <v>0</v>
      </c>
      <c r="L311" t="str">
        <f>'Both teabags AfterWet'!A310</f>
        <v>G765</v>
      </c>
      <c r="M311" t="str">
        <f>'Both teabags AfterWet'!A728</f>
        <v>R527</v>
      </c>
      <c r="N311" t="b">
        <f t="shared" si="100"/>
        <v>0</v>
      </c>
      <c r="O311" t="b">
        <f t="shared" si="101"/>
        <v>0</v>
      </c>
      <c r="P311">
        <f>IFERROR('Both teabags AfterWet'!B310,"")</f>
        <v>99</v>
      </c>
      <c r="Q311" t="str">
        <f>'Both teabags AfterWet'!B728</f>
        <v>n.a</v>
      </c>
      <c r="S311" s="401" t="b">
        <f t="shared" si="102"/>
        <v>0</v>
      </c>
      <c r="T311" s="401" t="b">
        <f t="shared" si="103"/>
        <v>0</v>
      </c>
      <c r="V311" t="str">
        <f>'Both teabags AfterDry'!A310</f>
        <v>G8</v>
      </c>
      <c r="W311" t="str">
        <f>'Both teabags AfterDry'!A647</f>
        <v>R806</v>
      </c>
      <c r="X311" t="b">
        <f t="shared" si="104"/>
        <v>0</v>
      </c>
      <c r="Y311" t="b">
        <f t="shared" si="105"/>
        <v>0</v>
      </c>
      <c r="AA311" t="str">
        <f>'Green_rooibos initial weight'!A312</f>
        <v>G308</v>
      </c>
      <c r="AB311" t="str">
        <f>'Green_rooibos initial weight'!A1216</f>
        <v>R308</v>
      </c>
      <c r="AC311" t="b">
        <f t="shared" si="106"/>
        <v>0</v>
      </c>
      <c r="AD311" t="b">
        <f t="shared" si="107"/>
        <v>0</v>
      </c>
      <c r="AG311" t="str">
        <f>'WetLitterbags placem_collection'!O90</f>
        <v>G611</v>
      </c>
      <c r="AH311" t="str">
        <f>'WetLitterbags placem_collection'!Q90</f>
        <v>R288</v>
      </c>
      <c r="AI311" t="b">
        <f t="shared" si="108"/>
        <v>0</v>
      </c>
      <c r="AJ311" t="b">
        <f t="shared" si="109"/>
        <v>0</v>
      </c>
      <c r="AK311">
        <f>'WetLitterbags placem_collection'!A90</f>
        <v>88</v>
      </c>
      <c r="AL311">
        <f>'WetLitterbags placem_collection'!A90</f>
        <v>88</v>
      </c>
      <c r="AN311">
        <f>IF('Dry_Litterbag Placem_Collection'!L90=0,"",'Dry_Litterbag Placem_Collection'!L90)</f>
        <v>364</v>
      </c>
      <c r="AO311">
        <f>IF('Dry_Litterbag Placem_Collection'!M90=0,"",'Dry_Litterbag Placem_Collection'!M90)</f>
        <v>197</v>
      </c>
      <c r="AP311" t="b">
        <f t="shared" si="110"/>
        <v>0</v>
      </c>
      <c r="AQ311" t="b">
        <f t="shared" si="111"/>
        <v>0</v>
      </c>
      <c r="AT311" t="str">
        <f>'Ashed teabags dry'!A309</f>
        <v>G8</v>
      </c>
      <c r="AU311" t="str">
        <f>'Ashed teabags dry'!A646</f>
        <v>R804</v>
      </c>
      <c r="AV311" t="b">
        <f t="shared" si="112"/>
        <v>0</v>
      </c>
      <c r="AW311" t="b">
        <f t="shared" si="113"/>
        <v>0</v>
      </c>
      <c r="AZ311" s="401" t="b">
        <f t="shared" si="114"/>
        <v>0</v>
      </c>
      <c r="BA311" s="401" t="b">
        <f t="shared" si="115"/>
        <v>0</v>
      </c>
      <c r="BC311" t="str">
        <f>'Ashed teabags wet'!A309</f>
        <v>G768</v>
      </c>
      <c r="BD311" t="str">
        <f>'Ashed teabags wet'!A726</f>
        <v>R548</v>
      </c>
      <c r="BE311" t="b">
        <f t="shared" si="116"/>
        <v>0</v>
      </c>
      <c r="BF311" t="b">
        <f t="shared" si="117"/>
        <v>0</v>
      </c>
      <c r="BG311">
        <f>IFERROR('Ashed teabags wet'!C309,"")</f>
        <v>131</v>
      </c>
      <c r="BH311">
        <f>IFERROR('Ashed teabags wet'!C726,"")</f>
        <v>105</v>
      </c>
      <c r="BI311" t="str">
        <f>'Ashed teabags wet'!AB309</f>
        <v/>
      </c>
      <c r="BJ311">
        <f>'Ashed teabags wet'!AC309</f>
        <v>130</v>
      </c>
      <c r="BK311">
        <f>'Ashed teabags wet'!AD726</f>
        <v>104</v>
      </c>
      <c r="BL311" t="str">
        <f>'Ashed teabags wet'!AE726</f>
        <v/>
      </c>
      <c r="BN311" t="str">
        <f t="shared" si="118"/>
        <v>G765</v>
      </c>
      <c r="BO311" t="b">
        <f t="shared" si="119"/>
        <v>1</v>
      </c>
    </row>
    <row r="312" spans="2:67" ht="12" customHeight="1">
      <c r="B312" t="str">
        <f>TBIDry!H384</f>
        <v>G862</v>
      </c>
      <c r="C312" t="str">
        <f>TBIDry!I384</f>
        <v>R841</v>
      </c>
      <c r="D312" t="b">
        <f t="shared" si="96"/>
        <v>0</v>
      </c>
      <c r="E312" t="b">
        <f t="shared" si="97"/>
        <v>0</v>
      </c>
      <c r="G312" t="str">
        <f>TBIWet!H384</f>
        <v>G469</v>
      </c>
      <c r="H312" t="str">
        <f>TBIWet!I384</f>
        <v>R171</v>
      </c>
      <c r="I312" t="b">
        <f t="shared" si="98"/>
        <v>0</v>
      </c>
      <c r="J312" t="b">
        <f t="shared" si="99"/>
        <v>0</v>
      </c>
      <c r="L312" t="str">
        <f>'Both teabags AfterWet'!A311</f>
        <v>G768</v>
      </c>
      <c r="M312" t="str">
        <f>'Both teabags AfterWet'!A729</f>
        <v>R528</v>
      </c>
      <c r="N312" t="b">
        <f t="shared" si="100"/>
        <v>0</v>
      </c>
      <c r="O312" t="b">
        <f t="shared" si="101"/>
        <v>0</v>
      </c>
      <c r="P312">
        <f>IFERROR('Both teabags AfterWet'!B311,"")</f>
        <v>131</v>
      </c>
      <c r="Q312" t="str">
        <f>'Both teabags AfterWet'!B729</f>
        <v>n.a</v>
      </c>
      <c r="S312" s="401" t="b">
        <f t="shared" si="102"/>
        <v>0</v>
      </c>
      <c r="T312" s="401" t="b">
        <f t="shared" si="103"/>
        <v>0</v>
      </c>
      <c r="V312" t="str">
        <f>'Both teabags AfterDry'!A311</f>
        <v>G80</v>
      </c>
      <c r="W312" t="str">
        <f>'Both teabags AfterDry'!A648</f>
        <v>R807</v>
      </c>
      <c r="X312" t="b">
        <f t="shared" si="104"/>
        <v>0</v>
      </c>
      <c r="Y312" t="b">
        <f t="shared" si="105"/>
        <v>0</v>
      </c>
      <c r="AA312" t="str">
        <f>'Green_rooibos initial weight'!A313</f>
        <v>G309</v>
      </c>
      <c r="AB312" t="str">
        <f>'Green_rooibos initial weight'!A1217</f>
        <v>R309</v>
      </c>
      <c r="AC312" t="b">
        <f t="shared" si="106"/>
        <v>0</v>
      </c>
      <c r="AD312" t="b">
        <f t="shared" si="107"/>
        <v>0</v>
      </c>
      <c r="AG312" t="str">
        <f>'WetLitterbags placem_collection'!O91</f>
        <v>G469</v>
      </c>
      <c r="AH312" t="str">
        <f>'WetLitterbags placem_collection'!Q91</f>
        <v>R171</v>
      </c>
      <c r="AI312" t="b">
        <f t="shared" si="108"/>
        <v>0</v>
      </c>
      <c r="AJ312" t="b">
        <f t="shared" si="109"/>
        <v>0</v>
      </c>
      <c r="AK312">
        <f>'WetLitterbags placem_collection'!A91</f>
        <v>89</v>
      </c>
      <c r="AL312">
        <f>'WetLitterbags placem_collection'!A91</f>
        <v>89</v>
      </c>
      <c r="AN312">
        <f>IF('Dry_Litterbag Placem_Collection'!L91=0,"",'Dry_Litterbag Placem_Collection'!L91)</f>
        <v>862</v>
      </c>
      <c r="AO312">
        <f>IF('Dry_Litterbag Placem_Collection'!M91=0,"",'Dry_Litterbag Placem_Collection'!M91)</f>
        <v>841</v>
      </c>
      <c r="AP312" t="b">
        <f t="shared" si="110"/>
        <v>0</v>
      </c>
      <c r="AQ312" t="b">
        <f t="shared" si="111"/>
        <v>0</v>
      </c>
      <c r="AT312" t="str">
        <f>'Ashed teabags dry'!A310</f>
        <v>G80</v>
      </c>
      <c r="AU312" t="str">
        <f>'Ashed teabags dry'!A647</f>
        <v>R806</v>
      </c>
      <c r="AV312" t="b">
        <f t="shared" si="112"/>
        <v>0</v>
      </c>
      <c r="AW312" t="b">
        <f t="shared" si="113"/>
        <v>0</v>
      </c>
      <c r="AZ312" s="401" t="b">
        <f t="shared" si="114"/>
        <v>0</v>
      </c>
      <c r="BA312" s="401" t="b">
        <f t="shared" si="115"/>
        <v>0</v>
      </c>
      <c r="BC312" t="str">
        <f>'Ashed teabags wet'!A310</f>
        <v>G769</v>
      </c>
      <c r="BD312" t="str">
        <f>'Ashed teabags wet'!A727</f>
        <v>R549</v>
      </c>
      <c r="BE312" t="b">
        <f t="shared" si="116"/>
        <v>0</v>
      </c>
      <c r="BF312" t="b">
        <f t="shared" si="117"/>
        <v>0</v>
      </c>
      <c r="BG312">
        <f>IFERROR('Ashed teabags wet'!C310,"")</f>
        <v>113</v>
      </c>
      <c r="BH312">
        <f>IFERROR('Ashed teabags wet'!C727,"")</f>
        <v>99</v>
      </c>
      <c r="BI312" t="str">
        <f>'Ashed teabags wet'!AB310</f>
        <v/>
      </c>
      <c r="BJ312">
        <f>'Ashed teabags wet'!AC310</f>
        <v>112</v>
      </c>
      <c r="BK312">
        <f>'Ashed teabags wet'!AD727</f>
        <v>98</v>
      </c>
      <c r="BL312" t="str">
        <f>'Ashed teabags wet'!AE727</f>
        <v/>
      </c>
      <c r="BN312" t="str">
        <f t="shared" si="118"/>
        <v>G768</v>
      </c>
      <c r="BO312" t="b">
        <f t="shared" si="119"/>
        <v>1</v>
      </c>
    </row>
    <row r="313" spans="2:67" ht="12" customHeight="1">
      <c r="B313" t="str">
        <f>TBIDry!H385</f>
        <v>G330</v>
      </c>
      <c r="C313" t="str">
        <f>TBIDry!I385</f>
        <v>R220</v>
      </c>
      <c r="D313" t="b">
        <f t="shared" si="96"/>
        <v>0</v>
      </c>
      <c r="E313" t="b">
        <f t="shared" si="97"/>
        <v>0</v>
      </c>
      <c r="G313" t="str">
        <f>TBIWet!H385</f>
        <v>G355</v>
      </c>
      <c r="H313" t="str">
        <f>TBIWet!I385</f>
        <v>R517</v>
      </c>
      <c r="I313" t="b">
        <f t="shared" si="98"/>
        <v>0</v>
      </c>
      <c r="J313" t="b">
        <f t="shared" si="99"/>
        <v>0</v>
      </c>
      <c r="L313" t="str">
        <f>'Both teabags AfterWet'!A312</f>
        <v>G769</v>
      </c>
      <c r="M313" t="str">
        <f>'Both teabags AfterWet'!A730</f>
        <v>R529</v>
      </c>
      <c r="N313" t="b">
        <f t="shared" si="100"/>
        <v>0</v>
      </c>
      <c r="O313" t="b">
        <f t="shared" si="101"/>
        <v>0</v>
      </c>
      <c r="P313">
        <f>IFERROR('Both teabags AfterWet'!B312,"")</f>
        <v>113</v>
      </c>
      <c r="Q313">
        <f>'Both teabags AfterWet'!B730</f>
        <v>21</v>
      </c>
      <c r="S313" s="401" t="b">
        <f t="shared" si="102"/>
        <v>0</v>
      </c>
      <c r="T313" s="401" t="b">
        <f t="shared" si="103"/>
        <v>0</v>
      </c>
      <c r="V313" t="str">
        <f>'Both teabags AfterDry'!A312</f>
        <v>G816</v>
      </c>
      <c r="W313" t="str">
        <f>'Both teabags AfterDry'!A649</f>
        <v>R808</v>
      </c>
      <c r="X313" t="b">
        <f t="shared" si="104"/>
        <v>0</v>
      </c>
      <c r="Y313" t="b">
        <f t="shared" si="105"/>
        <v>0</v>
      </c>
      <c r="AA313" t="str">
        <f>'Green_rooibos initial weight'!A314</f>
        <v>G310</v>
      </c>
      <c r="AB313" t="str">
        <f>'Green_rooibos initial weight'!A1218</f>
        <v>R310</v>
      </c>
      <c r="AC313" t="b">
        <f t="shared" si="106"/>
        <v>0</v>
      </c>
      <c r="AD313" t="b">
        <f t="shared" si="107"/>
        <v>0</v>
      </c>
      <c r="AG313" t="str">
        <f>'WetLitterbags placem_collection'!O92</f>
        <v>G355</v>
      </c>
      <c r="AH313" t="str">
        <f>'WetLitterbags placem_collection'!Q92</f>
        <v>R517</v>
      </c>
      <c r="AI313" t="b">
        <f t="shared" si="108"/>
        <v>0</v>
      </c>
      <c r="AJ313" t="b">
        <f t="shared" si="109"/>
        <v>0</v>
      </c>
      <c r="AK313">
        <f>'WetLitterbags placem_collection'!A92</f>
        <v>90</v>
      </c>
      <c r="AL313">
        <f>'WetLitterbags placem_collection'!A92</f>
        <v>90</v>
      </c>
      <c r="AN313">
        <f>IF('Dry_Litterbag Placem_Collection'!L92=0,"",'Dry_Litterbag Placem_Collection'!L92)</f>
        <v>330</v>
      </c>
      <c r="AO313">
        <f>IF('Dry_Litterbag Placem_Collection'!M92=0,"",'Dry_Litterbag Placem_Collection'!M92)</f>
        <v>220</v>
      </c>
      <c r="AP313" t="b">
        <f t="shared" si="110"/>
        <v>0</v>
      </c>
      <c r="AQ313" t="b">
        <f t="shared" si="111"/>
        <v>0</v>
      </c>
      <c r="AT313" t="str">
        <f>'Ashed teabags dry'!A311</f>
        <v>G823</v>
      </c>
      <c r="AU313" t="str">
        <f>'Ashed teabags dry'!A648</f>
        <v>R807</v>
      </c>
      <c r="AV313" t="b">
        <f t="shared" si="112"/>
        <v>0</v>
      </c>
      <c r="AW313" t="b">
        <f t="shared" si="113"/>
        <v>0</v>
      </c>
      <c r="AZ313" s="401" t="b">
        <f t="shared" si="114"/>
        <v>0</v>
      </c>
      <c r="BA313" s="401" t="b">
        <f t="shared" si="115"/>
        <v>0</v>
      </c>
      <c r="BC313" t="str">
        <f>'Ashed teabags wet'!A311</f>
        <v>G770</v>
      </c>
      <c r="BD313" t="str">
        <f>'Ashed teabags wet'!A728</f>
        <v>R54A</v>
      </c>
      <c r="BE313" t="b">
        <f t="shared" si="116"/>
        <v>0</v>
      </c>
      <c r="BF313" t="b">
        <f t="shared" si="117"/>
        <v>0</v>
      </c>
      <c r="BG313">
        <f>IFERROR('Ashed teabags wet'!C311,"")</f>
        <v>202</v>
      </c>
      <c r="BH313">
        <f>IFERROR('Ashed teabags wet'!C728,"")</f>
        <v>110</v>
      </c>
      <c r="BI313" t="str">
        <f>'Ashed teabags wet'!AB311</f>
        <v/>
      </c>
      <c r="BJ313">
        <f>'Ashed teabags wet'!AC311</f>
        <v>201</v>
      </c>
      <c r="BK313" t="str">
        <f>'Ashed teabags wet'!AD728</f>
        <v/>
      </c>
      <c r="BL313">
        <f>'Ashed teabags wet'!AE728</f>
        <v>109</v>
      </c>
      <c r="BN313" t="str">
        <f t="shared" si="118"/>
        <v>G769</v>
      </c>
      <c r="BO313" t="b">
        <f t="shared" si="119"/>
        <v>1</v>
      </c>
    </row>
    <row r="314" spans="2:67" ht="12" customHeight="1">
      <c r="B314" t="str">
        <f>TBIDry!H386</f>
        <v>G596</v>
      </c>
      <c r="C314" t="str">
        <f>TBIDry!I386</f>
        <v>R659</v>
      </c>
      <c r="D314" t="b">
        <f t="shared" si="96"/>
        <v>0</v>
      </c>
      <c r="E314" t="b">
        <f t="shared" si="97"/>
        <v>0</v>
      </c>
      <c r="G314" t="str">
        <f>TBIWet!H386</f>
        <v>G547</v>
      </c>
      <c r="H314" t="str">
        <f>TBIWet!I386</f>
        <v>R73</v>
      </c>
      <c r="I314" t="b">
        <f t="shared" si="98"/>
        <v>0</v>
      </c>
      <c r="J314" t="b">
        <f t="shared" si="99"/>
        <v>0</v>
      </c>
      <c r="L314" t="str">
        <f>'Both teabags AfterWet'!A313</f>
        <v>G770</v>
      </c>
      <c r="M314" t="str">
        <f>'Both teabags AfterWet'!A731</f>
        <v>R530</v>
      </c>
      <c r="N314" t="b">
        <f t="shared" si="100"/>
        <v>0</v>
      </c>
      <c r="O314" t="b">
        <f t="shared" si="101"/>
        <v>0</v>
      </c>
      <c r="P314">
        <f>IFERROR('Both teabags AfterWet'!B313,"")</f>
        <v>202</v>
      </c>
      <c r="Q314">
        <f>'Both teabags AfterWet'!B731</f>
        <v>112</v>
      </c>
      <c r="S314" s="401" t="b">
        <f t="shared" si="102"/>
        <v>0</v>
      </c>
      <c r="T314" s="401" t="b">
        <f t="shared" si="103"/>
        <v>0</v>
      </c>
      <c r="V314" t="str">
        <f>'Both teabags AfterDry'!A313</f>
        <v>G823</v>
      </c>
      <c r="W314" t="str">
        <f>'Both teabags AfterDry'!A650</f>
        <v>R811</v>
      </c>
      <c r="X314" t="b">
        <f t="shared" si="104"/>
        <v>0</v>
      </c>
      <c r="Y314" t="b">
        <f t="shared" si="105"/>
        <v>0</v>
      </c>
      <c r="AA314" t="str">
        <f>'Green_rooibos initial weight'!A315</f>
        <v>G311</v>
      </c>
      <c r="AB314" t="str">
        <f>'Green_rooibos initial weight'!A1219</f>
        <v>R311</v>
      </c>
      <c r="AC314" t="b">
        <f t="shared" si="106"/>
        <v>0</v>
      </c>
      <c r="AD314" t="b">
        <f t="shared" si="107"/>
        <v>0</v>
      </c>
      <c r="AG314" t="str">
        <f>'WetLitterbags placem_collection'!O93</f>
        <v>G547</v>
      </c>
      <c r="AH314" t="str">
        <f>'WetLitterbags placem_collection'!Q93</f>
        <v>R73</v>
      </c>
      <c r="AI314" t="b">
        <f t="shared" si="108"/>
        <v>0</v>
      </c>
      <c r="AJ314" t="b">
        <f t="shared" si="109"/>
        <v>0</v>
      </c>
      <c r="AK314">
        <f>'WetLitterbags placem_collection'!A93</f>
        <v>91</v>
      </c>
      <c r="AL314">
        <f>'WetLitterbags placem_collection'!A93</f>
        <v>91</v>
      </c>
      <c r="AN314">
        <f>IF('Dry_Litterbag Placem_Collection'!L93=0,"",'Dry_Litterbag Placem_Collection'!L93)</f>
        <v>596</v>
      </c>
      <c r="AO314">
        <f>IF('Dry_Litterbag Placem_Collection'!M93=0,"",'Dry_Litterbag Placem_Collection'!M93)</f>
        <v>659</v>
      </c>
      <c r="AP314" t="b">
        <f t="shared" si="110"/>
        <v>0</v>
      </c>
      <c r="AQ314" t="b">
        <f t="shared" si="111"/>
        <v>0</v>
      </c>
      <c r="AT314" t="str">
        <f>'Ashed teabags dry'!A312</f>
        <v>G83</v>
      </c>
      <c r="AU314" t="str">
        <f>'Ashed teabags dry'!A649</f>
        <v>R809</v>
      </c>
      <c r="AV314" t="b">
        <f t="shared" si="112"/>
        <v>0</v>
      </c>
      <c r="AW314" t="b">
        <f t="shared" si="113"/>
        <v>0</v>
      </c>
      <c r="AZ314" s="401" t="b">
        <f t="shared" si="114"/>
        <v>0</v>
      </c>
      <c r="BA314" s="401" t="b">
        <f t="shared" si="115"/>
        <v>0</v>
      </c>
      <c r="BC314" t="str">
        <f>'Ashed teabags wet'!A312</f>
        <v>G772</v>
      </c>
      <c r="BD314" t="str">
        <f>'Ashed teabags wet'!A729</f>
        <v>R54b</v>
      </c>
      <c r="BE314" t="b">
        <f t="shared" si="116"/>
        <v>0</v>
      </c>
      <c r="BF314" t="b">
        <f t="shared" si="117"/>
        <v>0</v>
      </c>
      <c r="BG314">
        <f>IFERROR('Ashed teabags wet'!C312,"")</f>
        <v>175</v>
      </c>
      <c r="BH314">
        <f>IFERROR('Ashed teabags wet'!C729,"")</f>
        <v>55</v>
      </c>
      <c r="BI314" t="str">
        <f>'Ashed teabags wet'!AB312</f>
        <v/>
      </c>
      <c r="BJ314" t="str">
        <f>'Ashed teabags wet'!AC312</f>
        <v/>
      </c>
      <c r="BK314" t="str">
        <f>'Ashed teabags wet'!AD729</f>
        <v/>
      </c>
      <c r="BL314">
        <f>'Ashed teabags wet'!AE729</f>
        <v>54</v>
      </c>
      <c r="BN314" t="str">
        <f t="shared" si="118"/>
        <v>G770</v>
      </c>
      <c r="BO314" t="b">
        <f t="shared" si="119"/>
        <v>1</v>
      </c>
    </row>
    <row r="315" spans="2:67" ht="12" customHeight="1">
      <c r="B315" t="str">
        <f>TBIDry!H387</f>
        <v>G380</v>
      </c>
      <c r="C315" t="str">
        <f>TBIDry!I387</f>
        <v>R619</v>
      </c>
      <c r="D315" t="b">
        <f t="shared" si="96"/>
        <v>0</v>
      </c>
      <c r="E315" t="b">
        <f t="shared" si="97"/>
        <v>0</v>
      </c>
      <c r="G315" t="str">
        <f>TBIWet!H387</f>
        <v>G763</v>
      </c>
      <c r="H315" t="str">
        <f>TBIWet!I387</f>
        <v>R4</v>
      </c>
      <c r="I315" t="b">
        <f t="shared" si="98"/>
        <v>0</v>
      </c>
      <c r="J315" t="b">
        <f t="shared" si="99"/>
        <v>0</v>
      </c>
      <c r="L315" t="str">
        <f>'Both teabags AfterWet'!A314</f>
        <v>G772</v>
      </c>
      <c r="M315" t="str">
        <f>'Both teabags AfterWet'!A732</f>
        <v>R531</v>
      </c>
      <c r="N315" t="b">
        <f t="shared" si="100"/>
        <v>0</v>
      </c>
      <c r="O315" t="b">
        <f t="shared" si="101"/>
        <v>0</v>
      </c>
      <c r="P315">
        <f>IFERROR('Both teabags AfterWet'!B314,"")</f>
        <v>175</v>
      </c>
      <c r="Q315">
        <f>'Both teabags AfterWet'!B732</f>
        <v>7</v>
      </c>
      <c r="S315" s="401" t="b">
        <f t="shared" si="102"/>
        <v>0</v>
      </c>
      <c r="T315" s="401" t="b">
        <f t="shared" si="103"/>
        <v>0</v>
      </c>
      <c r="V315" t="str">
        <f>'Both teabags AfterDry'!A314</f>
        <v>G83</v>
      </c>
      <c r="W315" t="str">
        <f>'Both teabags AfterDry'!A651</f>
        <v>R812</v>
      </c>
      <c r="X315" t="b">
        <f t="shared" si="104"/>
        <v>0</v>
      </c>
      <c r="Y315" t="b">
        <f t="shared" si="105"/>
        <v>0</v>
      </c>
      <c r="AA315" t="str">
        <f>'Green_rooibos initial weight'!A316</f>
        <v>G312</v>
      </c>
      <c r="AB315" t="str">
        <f>'Green_rooibos initial weight'!A1220</f>
        <v>R312</v>
      </c>
      <c r="AC315" t="b">
        <f t="shared" si="106"/>
        <v>0</v>
      </c>
      <c r="AD315" t="b">
        <f t="shared" si="107"/>
        <v>0</v>
      </c>
      <c r="AG315" t="str">
        <f>'WetLitterbags placem_collection'!O94</f>
        <v>G763</v>
      </c>
      <c r="AH315" t="str">
        <f>'WetLitterbags placem_collection'!Q94</f>
        <v>R4</v>
      </c>
      <c r="AI315" t="b">
        <f t="shared" si="108"/>
        <v>0</v>
      </c>
      <c r="AJ315" t="b">
        <f t="shared" si="109"/>
        <v>0</v>
      </c>
      <c r="AK315">
        <f>'WetLitterbags placem_collection'!A94</f>
        <v>92</v>
      </c>
      <c r="AL315">
        <f>'WetLitterbags placem_collection'!A94</f>
        <v>92</v>
      </c>
      <c r="AN315">
        <f>IF('Dry_Litterbag Placem_Collection'!L94=0,"",'Dry_Litterbag Placem_Collection'!L94)</f>
        <v>380</v>
      </c>
      <c r="AO315">
        <f>IF('Dry_Litterbag Placem_Collection'!M94=0,"",'Dry_Litterbag Placem_Collection'!M94)</f>
        <v>619</v>
      </c>
      <c r="AP315" t="b">
        <f t="shared" si="110"/>
        <v>0</v>
      </c>
      <c r="AQ315" t="b">
        <f t="shared" si="111"/>
        <v>0</v>
      </c>
      <c r="AT315" t="str">
        <f>'Ashed teabags dry'!A313</f>
        <v>G84</v>
      </c>
      <c r="AU315" t="str">
        <f>'Ashed teabags dry'!A650</f>
        <v>R811</v>
      </c>
      <c r="AV315" t="b">
        <f t="shared" si="112"/>
        <v>0</v>
      </c>
      <c r="AW315" t="b">
        <f t="shared" si="113"/>
        <v>0</v>
      </c>
      <c r="AZ315" s="401" t="b">
        <f t="shared" si="114"/>
        <v>0</v>
      </c>
      <c r="BA315" s="401" t="b">
        <f t="shared" si="115"/>
        <v>0</v>
      </c>
      <c r="BC315" t="str">
        <f>'Ashed teabags wet'!A313</f>
        <v>G773</v>
      </c>
      <c r="BD315" t="str">
        <f>'Ashed teabags wet'!A730</f>
        <v>R55</v>
      </c>
      <c r="BE315" t="b">
        <f t="shared" si="116"/>
        <v>0</v>
      </c>
      <c r="BF315" t="b">
        <f t="shared" si="117"/>
        <v>0</v>
      </c>
      <c r="BG315">
        <f>IFERROR('Ashed teabags wet'!C313,"")</f>
        <v>202</v>
      </c>
      <c r="BH315">
        <f>IFERROR('Ashed teabags wet'!C730,"")</f>
        <v>126</v>
      </c>
      <c r="BI315">
        <f>'Ashed teabags wet'!AB313</f>
        <v>201</v>
      </c>
      <c r="BJ315" t="str">
        <f>'Ashed teabags wet'!AC313</f>
        <v/>
      </c>
      <c r="BK315" t="str">
        <f>'Ashed teabags wet'!AD730</f>
        <v/>
      </c>
      <c r="BL315">
        <f>'Ashed teabags wet'!AE730</f>
        <v>125</v>
      </c>
      <c r="BN315" t="str">
        <f t="shared" si="118"/>
        <v>G772</v>
      </c>
      <c r="BO315" t="b">
        <f t="shared" si="119"/>
        <v>1</v>
      </c>
    </row>
    <row r="316" spans="2:67" ht="12" customHeight="1">
      <c r="B316" t="str">
        <f>TBIDry!H388</f>
        <v>G872</v>
      </c>
      <c r="C316" t="str">
        <f>TBIDry!I388</f>
        <v>R106</v>
      </c>
      <c r="D316" t="b">
        <f t="shared" si="96"/>
        <v>0</v>
      </c>
      <c r="E316" t="b">
        <f t="shared" si="97"/>
        <v>0</v>
      </c>
      <c r="G316" t="str">
        <f>TBIWet!H388</f>
        <v>G424</v>
      </c>
      <c r="H316" t="str">
        <f>TBIWet!I388</f>
        <v>R136</v>
      </c>
      <c r="I316" t="b">
        <f t="shared" si="98"/>
        <v>0</v>
      </c>
      <c r="J316" t="b">
        <f t="shared" si="99"/>
        <v>0</v>
      </c>
      <c r="L316" t="str">
        <f>'Both teabags AfterWet'!A315</f>
        <v>G773</v>
      </c>
      <c r="M316" t="str">
        <f>'Both teabags AfterWet'!A733</f>
        <v>R532</v>
      </c>
      <c r="N316" t="b">
        <f t="shared" si="100"/>
        <v>0</v>
      </c>
      <c r="O316" t="b">
        <f t="shared" si="101"/>
        <v>0</v>
      </c>
      <c r="P316">
        <f>IFERROR('Both teabags AfterWet'!B315,"")</f>
        <v>202</v>
      </c>
      <c r="Q316">
        <f>'Both teabags AfterWet'!B733</f>
        <v>121</v>
      </c>
      <c r="S316" s="401" t="b">
        <f t="shared" si="102"/>
        <v>0</v>
      </c>
      <c r="T316" s="401" t="b">
        <f t="shared" si="103"/>
        <v>0</v>
      </c>
      <c r="V316" t="str">
        <f>'Both teabags AfterDry'!A315</f>
        <v>G84</v>
      </c>
      <c r="W316" t="str">
        <f>'Both teabags AfterDry'!A652</f>
        <v>R813</v>
      </c>
      <c r="X316" t="b">
        <f t="shared" si="104"/>
        <v>0</v>
      </c>
      <c r="Y316" t="b">
        <f t="shared" si="105"/>
        <v>0</v>
      </c>
      <c r="AA316" t="str">
        <f>'Green_rooibos initial weight'!A317</f>
        <v>G313</v>
      </c>
      <c r="AB316" t="str">
        <f>'Green_rooibos initial weight'!A1221</f>
        <v>R313</v>
      </c>
      <c r="AC316" t="b">
        <f t="shared" si="106"/>
        <v>0</v>
      </c>
      <c r="AD316" t="b">
        <f t="shared" si="107"/>
        <v>0</v>
      </c>
      <c r="AG316" t="str">
        <f>'WetLitterbags placem_collection'!O95</f>
        <v>G424</v>
      </c>
      <c r="AH316" t="str">
        <f>'WetLitterbags placem_collection'!Q95</f>
        <v>R136</v>
      </c>
      <c r="AI316" t="b">
        <f t="shared" si="108"/>
        <v>0</v>
      </c>
      <c r="AJ316" t="b">
        <f t="shared" si="109"/>
        <v>0</v>
      </c>
      <c r="AK316">
        <f>'WetLitterbags placem_collection'!A95</f>
        <v>93</v>
      </c>
      <c r="AL316">
        <f>'WetLitterbags placem_collection'!A95</f>
        <v>93</v>
      </c>
      <c r="AN316">
        <f>IF('Dry_Litterbag Placem_Collection'!L95=0,"",'Dry_Litterbag Placem_Collection'!L95)</f>
        <v>872</v>
      </c>
      <c r="AO316">
        <f>IF('Dry_Litterbag Placem_Collection'!M95=0,"",'Dry_Litterbag Placem_Collection'!M95)</f>
        <v>106</v>
      </c>
      <c r="AP316" t="b">
        <f t="shared" si="110"/>
        <v>0</v>
      </c>
      <c r="AQ316" t="b">
        <f t="shared" si="111"/>
        <v>0</v>
      </c>
      <c r="AT316" t="str">
        <f>'Ashed teabags dry'!A314</f>
        <v>G844</v>
      </c>
      <c r="AU316" t="str">
        <f>'Ashed teabags dry'!A651</f>
        <v>R812</v>
      </c>
      <c r="AV316" t="b">
        <f t="shared" si="112"/>
        <v>0</v>
      </c>
      <c r="AW316" t="b">
        <f t="shared" si="113"/>
        <v>0</v>
      </c>
      <c r="AZ316" s="401" t="b">
        <f t="shared" si="114"/>
        <v>0</v>
      </c>
      <c r="BA316" s="401" t="b">
        <f t="shared" si="115"/>
        <v>0</v>
      </c>
      <c r="BC316" t="str">
        <f>'Ashed teabags wet'!A314</f>
        <v>G774</v>
      </c>
      <c r="BD316" t="str">
        <f>'Ashed teabags wet'!A731</f>
        <v>R550</v>
      </c>
      <c r="BE316" t="b">
        <f t="shared" si="116"/>
        <v>0</v>
      </c>
      <c r="BF316" t="b">
        <f t="shared" si="117"/>
        <v>0</v>
      </c>
      <c r="BG316">
        <f>IFERROR('Ashed teabags wet'!C314,"")</f>
        <v>44</v>
      </c>
      <c r="BH316">
        <f>IFERROR('Ashed teabags wet'!C731,"")</f>
        <v>64</v>
      </c>
      <c r="BI316">
        <f>'Ashed teabags wet'!AB314</f>
        <v>43</v>
      </c>
      <c r="BJ316" t="str">
        <f>'Ashed teabags wet'!AC314</f>
        <v/>
      </c>
      <c r="BK316" t="str">
        <f>'Ashed teabags wet'!AD731</f>
        <v/>
      </c>
      <c r="BL316">
        <f>'Ashed teabags wet'!AE731</f>
        <v>63</v>
      </c>
      <c r="BN316" t="str">
        <f t="shared" si="118"/>
        <v>G773</v>
      </c>
      <c r="BO316" t="b">
        <f t="shared" si="119"/>
        <v>1</v>
      </c>
    </row>
    <row r="317" spans="2:67" ht="12" customHeight="1">
      <c r="B317" t="str">
        <f>TBIDry!H389</f>
        <v/>
      </c>
      <c r="C317" t="str">
        <f>TBIDry!I389</f>
        <v/>
      </c>
      <c r="D317" t="b">
        <f t="shared" si="96"/>
        <v>1</v>
      </c>
      <c r="E317" t="b">
        <f t="shared" si="97"/>
        <v>1</v>
      </c>
      <c r="G317" t="str">
        <f>TBIWet!H389</f>
        <v>G588</v>
      </c>
      <c r="H317" t="str">
        <f>TBIWet!I389</f>
        <v>R358</v>
      </c>
      <c r="I317" t="b">
        <f t="shared" si="98"/>
        <v>0</v>
      </c>
      <c r="J317" t="b">
        <f t="shared" si="99"/>
        <v>0</v>
      </c>
      <c r="L317" t="str">
        <f>'Both teabags AfterWet'!A316</f>
        <v>G774</v>
      </c>
      <c r="M317" t="str">
        <f>'Both teabags AfterWet'!A734</f>
        <v>R533</v>
      </c>
      <c r="N317" t="b">
        <f t="shared" si="100"/>
        <v>0</v>
      </c>
      <c r="O317" t="b">
        <f t="shared" si="101"/>
        <v>0</v>
      </c>
      <c r="P317">
        <f>IFERROR('Both teabags AfterWet'!B316,"")</f>
        <v>44</v>
      </c>
      <c r="Q317" t="str">
        <f>'Both teabags AfterWet'!B734</f>
        <v>n.a</v>
      </c>
      <c r="S317" s="401" t="b">
        <f t="shared" si="102"/>
        <v>0</v>
      </c>
      <c r="T317" s="401" t="b">
        <f t="shared" si="103"/>
        <v>0</v>
      </c>
      <c r="V317" t="str">
        <f>'Both teabags AfterDry'!A316</f>
        <v>G844</v>
      </c>
      <c r="W317" t="str">
        <f>'Both teabags AfterDry'!A653</f>
        <v>R814</v>
      </c>
      <c r="X317" t="b">
        <f t="shared" si="104"/>
        <v>0</v>
      </c>
      <c r="Y317" t="b">
        <f t="shared" si="105"/>
        <v>0</v>
      </c>
      <c r="AA317" t="str">
        <f>'Green_rooibos initial weight'!A318</f>
        <v>G314</v>
      </c>
      <c r="AB317" t="str">
        <f>'Green_rooibos initial weight'!A1222</f>
        <v>R314</v>
      </c>
      <c r="AC317" t="b">
        <f t="shared" si="106"/>
        <v>0</v>
      </c>
      <c r="AD317" t="b">
        <f t="shared" si="107"/>
        <v>0</v>
      </c>
      <c r="AG317" t="str">
        <f>'WetLitterbags placem_collection'!O96</f>
        <v>G588</v>
      </c>
      <c r="AH317" t="str">
        <f>'WetLitterbags placem_collection'!Q96</f>
        <v>R358</v>
      </c>
      <c r="AI317" t="b">
        <f t="shared" si="108"/>
        <v>0</v>
      </c>
      <c r="AJ317" t="b">
        <f t="shared" si="109"/>
        <v>0</v>
      </c>
      <c r="AK317">
        <f>'WetLitterbags placem_collection'!A96</f>
        <v>94</v>
      </c>
      <c r="AL317">
        <f>'WetLitterbags placem_collection'!A96</f>
        <v>94</v>
      </c>
      <c r="AN317" t="str">
        <f>IF('Dry_Litterbag Placem_Collection'!L96=0,"",'Dry_Litterbag Placem_Collection'!L96)</f>
        <v/>
      </c>
      <c r="AO317" t="str">
        <f>IF('Dry_Litterbag Placem_Collection'!M96=0,"",'Dry_Litterbag Placem_Collection'!M96)</f>
        <v/>
      </c>
      <c r="AP317" t="b">
        <f t="shared" si="110"/>
        <v>1</v>
      </c>
      <c r="AQ317" t="b">
        <f t="shared" si="111"/>
        <v>1</v>
      </c>
      <c r="AT317" t="str">
        <f>'Ashed teabags dry'!A315</f>
        <v>G848</v>
      </c>
      <c r="AU317" t="str">
        <f>'Ashed teabags dry'!A652</f>
        <v>R813</v>
      </c>
      <c r="AV317" t="b">
        <f t="shared" si="112"/>
        <v>0</v>
      </c>
      <c r="AW317" t="b">
        <f t="shared" si="113"/>
        <v>0</v>
      </c>
      <c r="AZ317" s="401" t="b">
        <f t="shared" si="114"/>
        <v>0</v>
      </c>
      <c r="BA317" s="401" t="b">
        <f t="shared" si="115"/>
        <v>0</v>
      </c>
      <c r="BC317" t="str">
        <f>'Ashed teabags wet'!A315</f>
        <v>G775</v>
      </c>
      <c r="BD317" t="str">
        <f>'Ashed teabags wet'!A732</f>
        <v>R552</v>
      </c>
      <c r="BE317" t="b">
        <f t="shared" si="116"/>
        <v>0</v>
      </c>
      <c r="BF317" t="b">
        <f t="shared" si="117"/>
        <v>0</v>
      </c>
      <c r="BG317">
        <f>IFERROR('Ashed teabags wet'!C315,"")</f>
        <v>141</v>
      </c>
      <c r="BH317">
        <f>IFERROR('Ashed teabags wet'!C732,"")</f>
        <v>106</v>
      </c>
      <c r="BI317" t="str">
        <f>'Ashed teabags wet'!AB315</f>
        <v/>
      </c>
      <c r="BJ317">
        <f>'Ashed teabags wet'!AC315</f>
        <v>140</v>
      </c>
      <c r="BK317">
        <f>'Ashed teabags wet'!AD732</f>
        <v>108</v>
      </c>
      <c r="BL317" t="str">
        <f>'Ashed teabags wet'!AE732</f>
        <v/>
      </c>
      <c r="BN317" t="str">
        <f t="shared" si="118"/>
        <v>G774</v>
      </c>
      <c r="BO317" t="b">
        <f t="shared" si="119"/>
        <v>1</v>
      </c>
    </row>
    <row r="318" spans="2:67" ht="12" customHeight="1">
      <c r="B318" t="str">
        <f>TBIDry!H390</f>
        <v>G844</v>
      </c>
      <c r="C318" t="str">
        <f>TBIDry!I390</f>
        <v>R233</v>
      </c>
      <c r="D318" t="b">
        <f t="shared" si="96"/>
        <v>0</v>
      </c>
      <c r="E318" t="b">
        <f t="shared" si="97"/>
        <v>0</v>
      </c>
      <c r="G318" t="str">
        <f>TBIWet!H390</f>
        <v>G486</v>
      </c>
      <c r="H318" t="str">
        <f>TBIWet!I390</f>
        <v>R547</v>
      </c>
      <c r="I318" t="b">
        <f t="shared" si="98"/>
        <v>0</v>
      </c>
      <c r="J318" t="b">
        <f t="shared" si="99"/>
        <v>0</v>
      </c>
      <c r="L318" t="str">
        <f>'Both teabags AfterWet'!A317</f>
        <v>G775</v>
      </c>
      <c r="M318" t="str">
        <f>'Both teabags AfterWet'!A735</f>
        <v>R534</v>
      </c>
      <c r="N318" t="b">
        <f t="shared" si="100"/>
        <v>0</v>
      </c>
      <c r="O318" t="b">
        <f t="shared" si="101"/>
        <v>0</v>
      </c>
      <c r="P318">
        <f>IFERROR('Both teabags AfterWet'!B317,"")</f>
        <v>141</v>
      </c>
      <c r="Q318">
        <f>'Both teabags AfterWet'!B735</f>
        <v>168</v>
      </c>
      <c r="S318" s="401" t="b">
        <f t="shared" si="102"/>
        <v>0</v>
      </c>
      <c r="T318" s="401" t="b">
        <f t="shared" si="103"/>
        <v>0</v>
      </c>
      <c r="V318" t="str">
        <f>'Both teabags AfterDry'!A317</f>
        <v>G848</v>
      </c>
      <c r="W318" t="str">
        <f>'Both teabags AfterDry'!A654</f>
        <v>R815</v>
      </c>
      <c r="X318" t="b">
        <f t="shared" si="104"/>
        <v>0</v>
      </c>
      <c r="Y318" t="b">
        <f t="shared" si="105"/>
        <v>0</v>
      </c>
      <c r="AA318" t="str">
        <f>'Green_rooibos initial weight'!A319</f>
        <v>G315</v>
      </c>
      <c r="AB318" t="str">
        <f>'Green_rooibos initial weight'!A1223</f>
        <v>R315</v>
      </c>
      <c r="AC318" t="b">
        <f t="shared" si="106"/>
        <v>0</v>
      </c>
      <c r="AD318" t="b">
        <f t="shared" si="107"/>
        <v>0</v>
      </c>
      <c r="AG318" t="str">
        <f>'WetLitterbags placem_collection'!O97</f>
        <v>G486</v>
      </c>
      <c r="AH318" t="str">
        <f>'WetLitterbags placem_collection'!Q97</f>
        <v>R547</v>
      </c>
      <c r="AI318" t="b">
        <f t="shared" si="108"/>
        <v>0</v>
      </c>
      <c r="AJ318" t="b">
        <f t="shared" si="109"/>
        <v>0</v>
      </c>
      <c r="AK318">
        <f>'WetLitterbags placem_collection'!A97</f>
        <v>95</v>
      </c>
      <c r="AL318">
        <f>'WetLitterbags placem_collection'!A97</f>
        <v>95</v>
      </c>
      <c r="AN318">
        <f>IF('Dry_Litterbag Placem_Collection'!L97=0,"",'Dry_Litterbag Placem_Collection'!L97)</f>
        <v>844</v>
      </c>
      <c r="AO318">
        <f>IF('Dry_Litterbag Placem_Collection'!M97=0,"",'Dry_Litterbag Placem_Collection'!M97)</f>
        <v>233</v>
      </c>
      <c r="AP318" t="b">
        <f t="shared" si="110"/>
        <v>0</v>
      </c>
      <c r="AQ318" t="b">
        <f t="shared" si="111"/>
        <v>0</v>
      </c>
      <c r="AT318" t="str">
        <f>'Ashed teabags dry'!A316</f>
        <v>G85</v>
      </c>
      <c r="AU318" t="str">
        <f>'Ashed teabags dry'!A653</f>
        <v>R814</v>
      </c>
      <c r="AV318" t="b">
        <f t="shared" si="112"/>
        <v>0</v>
      </c>
      <c r="AW318" t="b">
        <f t="shared" si="113"/>
        <v>0</v>
      </c>
      <c r="AZ318" s="401" t="b">
        <f t="shared" si="114"/>
        <v>0</v>
      </c>
      <c r="BA318" s="401" t="b">
        <f t="shared" si="115"/>
        <v>0</v>
      </c>
      <c r="BC318" t="str">
        <f>'Ashed teabags wet'!A316</f>
        <v>G777</v>
      </c>
      <c r="BD318" t="str">
        <f>'Ashed teabags wet'!A733</f>
        <v>R553</v>
      </c>
      <c r="BE318" t="b">
        <f t="shared" si="116"/>
        <v>0</v>
      </c>
      <c r="BF318" t="b">
        <f t="shared" si="117"/>
        <v>0</v>
      </c>
      <c r="BG318">
        <f>IFERROR('Ashed teabags wet'!C316,"")</f>
        <v>157</v>
      </c>
      <c r="BH318">
        <f>IFERROR('Ashed teabags wet'!C733,"")</f>
        <v>115</v>
      </c>
      <c r="BI318" t="str">
        <f>'Ashed teabags wet'!AB316</f>
        <v/>
      </c>
      <c r="BJ318">
        <f>'Ashed teabags wet'!AC316</f>
        <v>156</v>
      </c>
      <c r="BK318">
        <f>'Ashed teabags wet'!AD733</f>
        <v>114</v>
      </c>
      <c r="BL318" t="str">
        <f>'Ashed teabags wet'!AE733</f>
        <v/>
      </c>
      <c r="BN318" t="str">
        <f t="shared" si="118"/>
        <v>G775</v>
      </c>
      <c r="BO318" t="b">
        <f t="shared" si="119"/>
        <v>1</v>
      </c>
    </row>
    <row r="319" spans="2:67" ht="12" customHeight="1">
      <c r="B319" t="str">
        <f>TBIDry!H391</f>
        <v>G372</v>
      </c>
      <c r="C319" t="str">
        <f>TBIDry!I391</f>
        <v>R698</v>
      </c>
      <c r="D319" t="b">
        <f t="shared" si="96"/>
        <v>0</v>
      </c>
      <c r="E319" t="b">
        <f t="shared" si="97"/>
        <v>0</v>
      </c>
      <c r="G319" t="str">
        <f>TBIWet!H391</f>
        <v>G545</v>
      </c>
      <c r="H319" t="str">
        <f>TBIWet!I391</f>
        <v>R588</v>
      </c>
      <c r="I319" t="b">
        <f t="shared" si="98"/>
        <v>0</v>
      </c>
      <c r="J319" t="b">
        <f t="shared" si="99"/>
        <v>0</v>
      </c>
      <c r="L319" t="str">
        <f>'Both teabags AfterWet'!A318</f>
        <v>G777</v>
      </c>
      <c r="M319" t="str">
        <f>'Both teabags AfterWet'!A736</f>
        <v>R535</v>
      </c>
      <c r="N319" t="b">
        <f t="shared" si="100"/>
        <v>0</v>
      </c>
      <c r="O319" t="b">
        <f t="shared" si="101"/>
        <v>0</v>
      </c>
      <c r="P319">
        <f>IFERROR('Both teabags AfterWet'!B318,"")</f>
        <v>157</v>
      </c>
      <c r="Q319">
        <f>'Both teabags AfterWet'!B736</f>
        <v>140</v>
      </c>
      <c r="S319" s="401" t="b">
        <f t="shared" si="102"/>
        <v>0</v>
      </c>
      <c r="T319" s="401" t="b">
        <f t="shared" si="103"/>
        <v>0</v>
      </c>
      <c r="V319" t="str">
        <f>'Both teabags AfterDry'!A318</f>
        <v>G85</v>
      </c>
      <c r="W319" t="str">
        <f>'Both teabags AfterDry'!A655</f>
        <v>R818</v>
      </c>
      <c r="X319" t="b">
        <f t="shared" si="104"/>
        <v>0</v>
      </c>
      <c r="Y319" t="b">
        <f t="shared" si="105"/>
        <v>0</v>
      </c>
      <c r="AA319" t="str">
        <f>'Green_rooibos initial weight'!A320</f>
        <v>G316</v>
      </c>
      <c r="AB319" t="str">
        <f>'Green_rooibos initial weight'!A1224</f>
        <v>R316</v>
      </c>
      <c r="AC319" t="b">
        <f t="shared" si="106"/>
        <v>0</v>
      </c>
      <c r="AD319" t="b">
        <f t="shared" si="107"/>
        <v>0</v>
      </c>
      <c r="AG319" t="str">
        <f>'WetLitterbags placem_collection'!O98</f>
        <v>G545</v>
      </c>
      <c r="AH319" t="str">
        <f>'WetLitterbags placem_collection'!Q98</f>
        <v>R588</v>
      </c>
      <c r="AI319" t="b">
        <f t="shared" si="108"/>
        <v>0</v>
      </c>
      <c r="AJ319" t="b">
        <f t="shared" si="109"/>
        <v>0</v>
      </c>
      <c r="AK319">
        <f>'WetLitterbags placem_collection'!A98</f>
        <v>96</v>
      </c>
      <c r="AL319">
        <f>'WetLitterbags placem_collection'!A98</f>
        <v>96</v>
      </c>
      <c r="AN319">
        <f>IF('Dry_Litterbag Placem_Collection'!L98=0,"",'Dry_Litterbag Placem_Collection'!L98)</f>
        <v>372</v>
      </c>
      <c r="AO319">
        <f>IF('Dry_Litterbag Placem_Collection'!M98=0,"",'Dry_Litterbag Placem_Collection'!M98)</f>
        <v>698</v>
      </c>
      <c r="AP319" t="b">
        <f t="shared" si="110"/>
        <v>0</v>
      </c>
      <c r="AQ319" t="b">
        <f t="shared" si="111"/>
        <v>0</v>
      </c>
      <c r="AT319" t="str">
        <f>'Ashed teabags dry'!A317</f>
        <v>G851</v>
      </c>
      <c r="AU319" t="str">
        <f>'Ashed teabags dry'!A654</f>
        <v>R815</v>
      </c>
      <c r="AV319" t="b">
        <f t="shared" si="112"/>
        <v>0</v>
      </c>
      <c r="AW319" t="b">
        <f t="shared" si="113"/>
        <v>0</v>
      </c>
      <c r="AZ319" s="401" t="b">
        <f t="shared" si="114"/>
        <v>0</v>
      </c>
      <c r="BA319" s="401" t="b">
        <f t="shared" si="115"/>
        <v>0</v>
      </c>
      <c r="BC319" t="str">
        <f>'Ashed teabags wet'!A317</f>
        <v>G778</v>
      </c>
      <c r="BD319" t="str">
        <f>'Ashed teabags wet'!A734</f>
        <v>R554</v>
      </c>
      <c r="BE319" t="b">
        <f t="shared" si="116"/>
        <v>0</v>
      </c>
      <c r="BF319" t="b">
        <f t="shared" si="117"/>
        <v>0</v>
      </c>
      <c r="BG319">
        <f>IFERROR('Ashed teabags wet'!C317,"")</f>
        <v>115</v>
      </c>
      <c r="BH319">
        <f>IFERROR('Ashed teabags wet'!C734,"")</f>
        <v>128</v>
      </c>
      <c r="BI319" t="str">
        <f>'Ashed teabags wet'!AB317</f>
        <v/>
      </c>
      <c r="BJ319">
        <f>'Ashed teabags wet'!AC317</f>
        <v>114</v>
      </c>
      <c r="BK319">
        <f>'Ashed teabags wet'!AD734</f>
        <v>127</v>
      </c>
      <c r="BL319" t="str">
        <f>'Ashed teabags wet'!AE734</f>
        <v/>
      </c>
      <c r="BN319" t="str">
        <f t="shared" si="118"/>
        <v>G777</v>
      </c>
      <c r="BO319" t="b">
        <f t="shared" si="119"/>
        <v>1</v>
      </c>
    </row>
    <row r="320" spans="2:67" ht="12" customHeight="1">
      <c r="B320" t="str">
        <f>TBIDry!H392</f>
        <v>G3</v>
      </c>
      <c r="C320" t="str">
        <f>TBIDry!I392</f>
        <v>R47</v>
      </c>
      <c r="D320" t="b">
        <f t="shared" si="96"/>
        <v>0</v>
      </c>
      <c r="E320" t="b">
        <f t="shared" si="97"/>
        <v>0</v>
      </c>
      <c r="G320" t="str">
        <f>TBIWet!H392</f>
        <v>G847</v>
      </c>
      <c r="H320" t="str">
        <f>TBIWet!I392</f>
        <v>R576</v>
      </c>
      <c r="I320" t="b">
        <f t="shared" si="98"/>
        <v>0</v>
      </c>
      <c r="J320" t="b">
        <f t="shared" si="99"/>
        <v>0</v>
      </c>
      <c r="L320" t="str">
        <f>'Both teabags AfterWet'!A319</f>
        <v>G778</v>
      </c>
      <c r="M320" t="str">
        <f>'Both teabags AfterWet'!A737</f>
        <v>R536</v>
      </c>
      <c r="N320" t="b">
        <f t="shared" si="100"/>
        <v>0</v>
      </c>
      <c r="O320" t="b">
        <f t="shared" si="101"/>
        <v>0</v>
      </c>
      <c r="P320">
        <f>IFERROR('Both teabags AfterWet'!B319,"")</f>
        <v>115</v>
      </c>
      <c r="Q320">
        <f>'Both teabags AfterWet'!B737</f>
        <v>132</v>
      </c>
      <c r="S320" s="401" t="b">
        <f t="shared" si="102"/>
        <v>0</v>
      </c>
      <c r="T320" s="401" t="b">
        <f t="shared" si="103"/>
        <v>0</v>
      </c>
      <c r="V320" t="str">
        <f>'Both teabags AfterDry'!A319</f>
        <v>G851</v>
      </c>
      <c r="W320" t="str">
        <f>'Both teabags AfterDry'!A656</f>
        <v>R819</v>
      </c>
      <c r="X320" t="b">
        <f t="shared" si="104"/>
        <v>0</v>
      </c>
      <c r="Y320" t="b">
        <f t="shared" si="105"/>
        <v>0</v>
      </c>
      <c r="AA320" t="str">
        <f>'Green_rooibos initial weight'!A321</f>
        <v>G317</v>
      </c>
      <c r="AB320" t="str">
        <f>'Green_rooibos initial weight'!A1225</f>
        <v>R317</v>
      </c>
      <c r="AC320" t="b">
        <f t="shared" si="106"/>
        <v>0</v>
      </c>
      <c r="AD320" t="b">
        <f t="shared" si="107"/>
        <v>0</v>
      </c>
      <c r="AG320" t="str">
        <f>'WetLitterbags placem_collection'!O99</f>
        <v>G847</v>
      </c>
      <c r="AH320" t="str">
        <f>'WetLitterbags placem_collection'!Q99</f>
        <v>R576</v>
      </c>
      <c r="AI320" t="b">
        <f t="shared" si="108"/>
        <v>0</v>
      </c>
      <c r="AJ320" t="b">
        <f t="shared" si="109"/>
        <v>0</v>
      </c>
      <c r="AK320">
        <f>'WetLitterbags placem_collection'!A99</f>
        <v>97</v>
      </c>
      <c r="AL320">
        <f>'WetLitterbags placem_collection'!A99</f>
        <v>97</v>
      </c>
      <c r="AN320">
        <f>IF('Dry_Litterbag Placem_Collection'!L99=0,"",'Dry_Litterbag Placem_Collection'!L99)</f>
        <v>3</v>
      </c>
      <c r="AO320">
        <f>IF('Dry_Litterbag Placem_Collection'!M99=0,"",'Dry_Litterbag Placem_Collection'!M99)</f>
        <v>47</v>
      </c>
      <c r="AP320" t="b">
        <f t="shared" si="110"/>
        <v>0</v>
      </c>
      <c r="AQ320" t="b">
        <f t="shared" si="111"/>
        <v>0</v>
      </c>
      <c r="AT320" t="str">
        <f>'Ashed teabags dry'!A318</f>
        <v>G854</v>
      </c>
      <c r="AU320" t="str">
        <f>'Ashed teabags dry'!A655</f>
        <v>R816</v>
      </c>
      <c r="AV320" t="b">
        <f t="shared" si="112"/>
        <v>0</v>
      </c>
      <c r="AW320" t="b">
        <f t="shared" si="113"/>
        <v>0</v>
      </c>
      <c r="AZ320" s="401" t="b">
        <f t="shared" si="114"/>
        <v>0</v>
      </c>
      <c r="BA320" s="401" t="b">
        <f t="shared" si="115"/>
        <v>0</v>
      </c>
      <c r="BC320" t="str">
        <f>'Ashed teabags wet'!A318</f>
        <v>G779</v>
      </c>
      <c r="BD320" t="str">
        <f>'Ashed teabags wet'!A735</f>
        <v>R555</v>
      </c>
      <c r="BE320" t="b">
        <f t="shared" si="116"/>
        <v>0</v>
      </c>
      <c r="BF320" t="b">
        <f t="shared" si="117"/>
        <v>0</v>
      </c>
      <c r="BG320">
        <f>IFERROR('Ashed teabags wet'!C318,"")</f>
        <v>132</v>
      </c>
      <c r="BH320">
        <f>IFERROR('Ashed teabags wet'!C735,"")</f>
        <v>184</v>
      </c>
      <c r="BI320" t="str">
        <f>'Ashed teabags wet'!AB318</f>
        <v/>
      </c>
      <c r="BJ320">
        <f>'Ashed teabags wet'!AC318</f>
        <v>131</v>
      </c>
      <c r="BK320" t="str">
        <f>'Ashed teabags wet'!AD735</f>
        <v/>
      </c>
      <c r="BL320">
        <f>'Ashed teabags wet'!AE735</f>
        <v>183</v>
      </c>
      <c r="BN320" t="str">
        <f t="shared" si="118"/>
        <v>G778</v>
      </c>
      <c r="BO320" t="b">
        <f t="shared" si="119"/>
        <v>1</v>
      </c>
    </row>
    <row r="321" spans="2:67" ht="12" customHeight="1">
      <c r="B321" t="str">
        <f>TBIDry!H393</f>
        <v>G25</v>
      </c>
      <c r="C321" t="str">
        <f>TBIDry!I393</f>
        <v>R707</v>
      </c>
      <c r="D321" t="b">
        <f t="shared" si="96"/>
        <v>0</v>
      </c>
      <c r="E321" t="b">
        <f t="shared" si="97"/>
        <v>0</v>
      </c>
      <c r="G321" t="str">
        <f>TBIWet!H393</f>
        <v>G730</v>
      </c>
      <c r="H321" t="str">
        <f>TBIWet!I393</f>
        <v>R561</v>
      </c>
      <c r="I321" t="b">
        <f t="shared" si="98"/>
        <v>0</v>
      </c>
      <c r="J321" t="b">
        <f t="shared" si="99"/>
        <v>0</v>
      </c>
      <c r="L321" t="str">
        <f>'Both teabags AfterWet'!A320</f>
        <v>G779</v>
      </c>
      <c r="M321" t="str">
        <f>'Both teabags AfterWet'!A738</f>
        <v>R537</v>
      </c>
      <c r="N321" t="b">
        <f t="shared" si="100"/>
        <v>0</v>
      </c>
      <c r="O321" t="b">
        <f t="shared" si="101"/>
        <v>0</v>
      </c>
      <c r="P321">
        <f>IFERROR('Both teabags AfterWet'!B320,"")</f>
        <v>132</v>
      </c>
      <c r="Q321" t="str">
        <f>'Both teabags AfterWet'!B738</f>
        <v>n.a</v>
      </c>
      <c r="S321" s="401" t="b">
        <f t="shared" si="102"/>
        <v>0</v>
      </c>
      <c r="T321" s="401" t="b">
        <f t="shared" si="103"/>
        <v>0</v>
      </c>
      <c r="V321" t="str">
        <f>'Both teabags AfterDry'!A320</f>
        <v>G854</v>
      </c>
      <c r="W321" t="str">
        <f>'Both teabags AfterDry'!A657</f>
        <v>R820</v>
      </c>
      <c r="X321" t="b">
        <f t="shared" si="104"/>
        <v>0</v>
      </c>
      <c r="Y321" t="b">
        <f t="shared" si="105"/>
        <v>0</v>
      </c>
      <c r="AA321" t="str">
        <f>'Green_rooibos initial weight'!A322</f>
        <v>G318</v>
      </c>
      <c r="AB321" t="str">
        <f>'Green_rooibos initial weight'!A1226</f>
        <v>R318</v>
      </c>
      <c r="AC321" t="b">
        <f t="shared" si="106"/>
        <v>0</v>
      </c>
      <c r="AD321" t="b">
        <f t="shared" si="107"/>
        <v>0</v>
      </c>
      <c r="AG321" t="str">
        <f>'WetLitterbags placem_collection'!O100</f>
        <v>G730</v>
      </c>
      <c r="AH321" t="str">
        <f>'WetLitterbags placem_collection'!Q100</f>
        <v>R561</v>
      </c>
      <c r="AI321" t="b">
        <f t="shared" si="108"/>
        <v>0</v>
      </c>
      <c r="AJ321" t="b">
        <f t="shared" si="109"/>
        <v>0</v>
      </c>
      <c r="AK321">
        <f>'WetLitterbags placem_collection'!A100</f>
        <v>98</v>
      </c>
      <c r="AL321">
        <f>'WetLitterbags placem_collection'!A100</f>
        <v>98</v>
      </c>
      <c r="AN321">
        <f>IF('Dry_Litterbag Placem_Collection'!L100=0,"",'Dry_Litterbag Placem_Collection'!L100)</f>
        <v>25</v>
      </c>
      <c r="AO321">
        <f>IF('Dry_Litterbag Placem_Collection'!M100=0,"",'Dry_Litterbag Placem_Collection'!M100)</f>
        <v>707</v>
      </c>
      <c r="AP321" t="b">
        <f t="shared" si="110"/>
        <v>0</v>
      </c>
      <c r="AQ321" t="b">
        <f t="shared" si="111"/>
        <v>0</v>
      </c>
      <c r="AT321" t="str">
        <f>'Ashed teabags dry'!A319</f>
        <v>G855</v>
      </c>
      <c r="AU321" t="str">
        <f>'Ashed teabags dry'!A656</f>
        <v>R818</v>
      </c>
      <c r="AV321" t="b">
        <f t="shared" si="112"/>
        <v>0</v>
      </c>
      <c r="AW321" t="b">
        <f t="shared" si="113"/>
        <v>0</v>
      </c>
      <c r="AZ321" s="401" t="b">
        <f t="shared" si="114"/>
        <v>0</v>
      </c>
      <c r="BA321" s="401" t="b">
        <f t="shared" si="115"/>
        <v>0</v>
      </c>
      <c r="BC321" t="str">
        <f>'Ashed teabags wet'!A319</f>
        <v>G781</v>
      </c>
      <c r="BD321" t="str">
        <f>'Ashed teabags wet'!A736</f>
        <v>R556</v>
      </c>
      <c r="BE321" t="b">
        <f t="shared" si="116"/>
        <v>0</v>
      </c>
      <c r="BF321" t="b">
        <f t="shared" si="117"/>
        <v>0</v>
      </c>
      <c r="BG321">
        <f>IFERROR('Ashed teabags wet'!C319,"")</f>
        <v>178</v>
      </c>
      <c r="BH321">
        <f>IFERROR('Ashed teabags wet'!C736,"")</f>
        <v>155</v>
      </c>
      <c r="BI321">
        <f>'Ashed teabags wet'!AB319</f>
        <v>177</v>
      </c>
      <c r="BJ321" t="str">
        <f>'Ashed teabags wet'!AC319</f>
        <v/>
      </c>
      <c r="BK321" t="str">
        <f>'Ashed teabags wet'!AD736</f>
        <v/>
      </c>
      <c r="BL321">
        <f>'Ashed teabags wet'!AE736</f>
        <v>154</v>
      </c>
      <c r="BN321" t="str">
        <f t="shared" si="118"/>
        <v>G779</v>
      </c>
      <c r="BO321" t="b">
        <f t="shared" si="119"/>
        <v>1</v>
      </c>
    </row>
    <row r="322" spans="2:67" ht="12" customHeight="1">
      <c r="B322" t="str">
        <f>TBIDry!H394</f>
        <v/>
      </c>
      <c r="C322" t="str">
        <f>TBIDry!I394</f>
        <v/>
      </c>
      <c r="D322" t="b">
        <f t="shared" si="96"/>
        <v>1</v>
      </c>
      <c r="E322" t="b">
        <f t="shared" si="97"/>
        <v>1</v>
      </c>
      <c r="G322" t="str">
        <f>TBIWet!H394</f>
        <v>G691</v>
      </c>
      <c r="H322" t="str">
        <f>TBIWet!I394</f>
        <v>R496</v>
      </c>
      <c r="I322" t="b">
        <f t="shared" si="98"/>
        <v>0</v>
      </c>
      <c r="J322" t="b">
        <f t="shared" si="99"/>
        <v>0</v>
      </c>
      <c r="L322" t="str">
        <f>'Both teabags AfterWet'!A321</f>
        <v>G781</v>
      </c>
      <c r="M322" t="str">
        <f>'Both teabags AfterWet'!A739</f>
        <v>R538</v>
      </c>
      <c r="N322" t="b">
        <f t="shared" si="100"/>
        <v>0</v>
      </c>
      <c r="O322" t="b">
        <f t="shared" si="101"/>
        <v>0</v>
      </c>
      <c r="P322">
        <f>IFERROR('Both teabags AfterWet'!B321,"")</f>
        <v>178</v>
      </c>
      <c r="Q322">
        <f>'Both teabags AfterWet'!B739</f>
        <v>139</v>
      </c>
      <c r="S322" s="401" t="b">
        <f t="shared" si="102"/>
        <v>0</v>
      </c>
      <c r="T322" s="401" t="b">
        <f t="shared" si="103"/>
        <v>0</v>
      </c>
      <c r="V322" t="str">
        <f>'Both teabags AfterDry'!A321</f>
        <v>G855</v>
      </c>
      <c r="W322" t="str">
        <f>'Both teabags AfterDry'!A658</f>
        <v>R821</v>
      </c>
      <c r="X322" t="b">
        <f t="shared" si="104"/>
        <v>0</v>
      </c>
      <c r="Y322" t="b">
        <f t="shared" si="105"/>
        <v>0</v>
      </c>
      <c r="AA322" t="str">
        <f>'Green_rooibos initial weight'!A323</f>
        <v>G319</v>
      </c>
      <c r="AB322" t="str">
        <f>'Green_rooibos initial weight'!A1227</f>
        <v>R319</v>
      </c>
      <c r="AC322" t="b">
        <f t="shared" si="106"/>
        <v>0</v>
      </c>
      <c r="AD322" t="b">
        <f t="shared" si="107"/>
        <v>0</v>
      </c>
      <c r="AG322" t="str">
        <f>'WetLitterbags placem_collection'!O101</f>
        <v>G691</v>
      </c>
      <c r="AH322" t="str">
        <f>'WetLitterbags placem_collection'!Q101</f>
        <v>R496</v>
      </c>
      <c r="AI322" t="b">
        <f t="shared" si="108"/>
        <v>0</v>
      </c>
      <c r="AJ322" t="b">
        <f t="shared" si="109"/>
        <v>0</v>
      </c>
      <c r="AK322">
        <f>'WetLitterbags placem_collection'!A101</f>
        <v>99</v>
      </c>
      <c r="AL322">
        <f>'WetLitterbags placem_collection'!A101</f>
        <v>99</v>
      </c>
      <c r="AN322" t="str">
        <f>IF('Dry_Litterbag Placem_Collection'!L101=0,"",'Dry_Litterbag Placem_Collection'!L101)</f>
        <v/>
      </c>
      <c r="AO322" t="str">
        <f>IF('Dry_Litterbag Placem_Collection'!M101=0,"",'Dry_Litterbag Placem_Collection'!M101)</f>
        <v/>
      </c>
      <c r="AP322" t="b">
        <f t="shared" si="110"/>
        <v>1</v>
      </c>
      <c r="AQ322" t="b">
        <f t="shared" si="111"/>
        <v>1</v>
      </c>
      <c r="AT322" t="str">
        <f>'Ashed teabags dry'!A320</f>
        <v>G86</v>
      </c>
      <c r="AU322" t="str">
        <f>'Ashed teabags dry'!A657</f>
        <v>R819</v>
      </c>
      <c r="AV322" t="b">
        <f t="shared" si="112"/>
        <v>0</v>
      </c>
      <c r="AW322" t="b">
        <f t="shared" si="113"/>
        <v>0</v>
      </c>
      <c r="AZ322" s="401" t="b">
        <f t="shared" si="114"/>
        <v>0</v>
      </c>
      <c r="BA322" s="401" t="b">
        <f t="shared" si="115"/>
        <v>0</v>
      </c>
      <c r="BC322" t="str">
        <f>'Ashed teabags wet'!A320</f>
        <v>G782</v>
      </c>
      <c r="BD322" t="str">
        <f>'Ashed teabags wet'!A737</f>
        <v>R557</v>
      </c>
      <c r="BE322" t="b">
        <f t="shared" si="116"/>
        <v>0</v>
      </c>
      <c r="BF322" t="b">
        <f t="shared" si="117"/>
        <v>0</v>
      </c>
      <c r="BG322">
        <f>IFERROR('Ashed teabags wet'!C320,"")</f>
        <v>220</v>
      </c>
      <c r="BH322">
        <f>IFERROR('Ashed teabags wet'!C737,"")</f>
        <v>186</v>
      </c>
      <c r="BI322">
        <f>'Ashed teabags wet'!AB320</f>
        <v>219</v>
      </c>
      <c r="BJ322" t="str">
        <f>'Ashed teabags wet'!AC320</f>
        <v/>
      </c>
      <c r="BK322">
        <f>'Ashed teabags wet'!AD737</f>
        <v>185</v>
      </c>
      <c r="BL322" t="str">
        <f>'Ashed teabags wet'!AE737</f>
        <v/>
      </c>
      <c r="BN322" t="str">
        <f t="shared" si="118"/>
        <v>G781</v>
      </c>
      <c r="BO322" t="b">
        <f t="shared" si="119"/>
        <v>1</v>
      </c>
    </row>
    <row r="323" spans="2:67" ht="12" customHeight="1">
      <c r="B323" t="str">
        <f>TBIDry!H395</f>
        <v>G187</v>
      </c>
      <c r="C323" t="str">
        <f>TBIDry!I395</f>
        <v>R641</v>
      </c>
      <c r="D323" t="b">
        <f t="shared" si="96"/>
        <v>0</v>
      </c>
      <c r="E323" t="b">
        <f t="shared" si="97"/>
        <v>0</v>
      </c>
      <c r="G323" t="str">
        <f>TBIWet!H395</f>
        <v>G828</v>
      </c>
      <c r="H323" t="str">
        <f>TBIWet!I395</f>
        <v>R497</v>
      </c>
      <c r="I323" t="b">
        <f t="shared" si="98"/>
        <v>0</v>
      </c>
      <c r="J323" t="b">
        <f t="shared" si="99"/>
        <v>0</v>
      </c>
      <c r="L323" t="str">
        <f>'Both teabags AfterWet'!A322</f>
        <v>G782</v>
      </c>
      <c r="M323" t="str">
        <f>'Both teabags AfterWet'!A740</f>
        <v>R539</v>
      </c>
      <c r="N323" t="b">
        <f t="shared" si="100"/>
        <v>0</v>
      </c>
      <c r="O323" t="b">
        <f t="shared" si="101"/>
        <v>0</v>
      </c>
      <c r="P323" t="str">
        <f>IFERROR('Both teabags AfterWet'!B322,"")</f>
        <v>n.a</v>
      </c>
      <c r="Q323" t="str">
        <f>'Both teabags AfterWet'!B740</f>
        <v>n.a</v>
      </c>
      <c r="S323" s="401" t="b">
        <f t="shared" si="102"/>
        <v>0</v>
      </c>
      <c r="T323" s="401" t="b">
        <f t="shared" si="103"/>
        <v>0</v>
      </c>
      <c r="V323" t="str">
        <f>'Both teabags AfterDry'!A322</f>
        <v>G86</v>
      </c>
      <c r="W323" t="str">
        <f>'Both teabags AfterDry'!A659</f>
        <v>R823</v>
      </c>
      <c r="X323" t="b">
        <f t="shared" si="104"/>
        <v>0</v>
      </c>
      <c r="Y323" t="b">
        <f t="shared" si="105"/>
        <v>0</v>
      </c>
      <c r="AA323" t="str">
        <f>'Green_rooibos initial weight'!A324</f>
        <v>G320</v>
      </c>
      <c r="AB323" t="str">
        <f>'Green_rooibos initial weight'!A1228</f>
        <v>R320</v>
      </c>
      <c r="AC323" t="b">
        <f t="shared" si="106"/>
        <v>0</v>
      </c>
      <c r="AD323" t="b">
        <f t="shared" si="107"/>
        <v>0</v>
      </c>
      <c r="AG323" t="str">
        <f>'WetLitterbags placem_collection'!O102</f>
        <v>G828</v>
      </c>
      <c r="AH323" t="str">
        <f>'WetLitterbags placem_collection'!Q102</f>
        <v>R497</v>
      </c>
      <c r="AI323" t="b">
        <f t="shared" si="108"/>
        <v>0</v>
      </c>
      <c r="AJ323" t="b">
        <f t="shared" si="109"/>
        <v>0</v>
      </c>
      <c r="AK323">
        <f>'WetLitterbags placem_collection'!A102</f>
        <v>100</v>
      </c>
      <c r="AL323">
        <f>'WetLitterbags placem_collection'!A102</f>
        <v>100</v>
      </c>
      <c r="AN323">
        <f>IF('Dry_Litterbag Placem_Collection'!L102=0,"",'Dry_Litterbag Placem_Collection'!L102)</f>
        <v>187</v>
      </c>
      <c r="AO323">
        <f>IF('Dry_Litterbag Placem_Collection'!M102=0,"",'Dry_Litterbag Placem_Collection'!M102)</f>
        <v>641</v>
      </c>
      <c r="AP323" t="b">
        <f t="shared" si="110"/>
        <v>0</v>
      </c>
      <c r="AQ323" t="b">
        <f t="shared" si="111"/>
        <v>0</v>
      </c>
      <c r="AT323" t="str">
        <f>'Ashed teabags dry'!A321</f>
        <v>G862</v>
      </c>
      <c r="AU323" t="str">
        <f>'Ashed teabags dry'!A658</f>
        <v>R820</v>
      </c>
      <c r="AV323" t="b">
        <f t="shared" si="112"/>
        <v>0</v>
      </c>
      <c r="AW323" t="b">
        <f t="shared" si="113"/>
        <v>0</v>
      </c>
      <c r="AZ323" s="401" t="b">
        <f t="shared" si="114"/>
        <v>0</v>
      </c>
      <c r="BA323" s="401" t="b">
        <f t="shared" si="115"/>
        <v>0</v>
      </c>
      <c r="BC323" t="str">
        <f>'Ashed teabags wet'!A321</f>
        <v>G783</v>
      </c>
      <c r="BD323" t="str">
        <f>'Ashed teabags wet'!A738</f>
        <v>R558</v>
      </c>
      <c r="BE323" t="b">
        <f t="shared" si="116"/>
        <v>0</v>
      </c>
      <c r="BF323" t="b">
        <f t="shared" si="117"/>
        <v>0</v>
      </c>
      <c r="BG323">
        <f>IFERROR('Ashed teabags wet'!C321,"")</f>
        <v>180</v>
      </c>
      <c r="BH323">
        <f>IFERROR('Ashed teabags wet'!C738,"")</f>
        <v>171</v>
      </c>
      <c r="BI323" t="str">
        <f>'Ashed teabags wet'!AB321</f>
        <v/>
      </c>
      <c r="BJ323">
        <f>'Ashed teabags wet'!AC321</f>
        <v>179</v>
      </c>
      <c r="BK323">
        <f>'Ashed teabags wet'!AD738</f>
        <v>170</v>
      </c>
      <c r="BL323" t="str">
        <f>'Ashed teabags wet'!AE738</f>
        <v/>
      </c>
      <c r="BN323" t="str">
        <f t="shared" si="118"/>
        <v>G782</v>
      </c>
      <c r="BO323" t="b">
        <f t="shared" si="119"/>
        <v>1</v>
      </c>
    </row>
    <row r="324" spans="2:67" ht="12" customHeight="1">
      <c r="B324" t="str">
        <f>TBIDry!H396</f>
        <v>G398</v>
      </c>
      <c r="C324" t="str">
        <f>TBIDry!I396</f>
        <v>R245</v>
      </c>
      <c r="D324" t="b">
        <f t="shared" si="96"/>
        <v>0</v>
      </c>
      <c r="E324" t="b">
        <f t="shared" si="97"/>
        <v>0</v>
      </c>
      <c r="G324" t="str">
        <f>TBIWet!H396</f>
        <v>G875</v>
      </c>
      <c r="H324" t="str">
        <f>TBIWet!I396</f>
        <v>R10</v>
      </c>
      <c r="I324" t="b">
        <f t="shared" si="98"/>
        <v>0</v>
      </c>
      <c r="J324" t="b">
        <f t="shared" si="99"/>
        <v>0</v>
      </c>
      <c r="L324" t="str">
        <f>'Both teabags AfterWet'!A323</f>
        <v>G783</v>
      </c>
      <c r="M324" t="str">
        <f>'Both teabags AfterWet'!A741</f>
        <v>R540</v>
      </c>
      <c r="N324" t="b">
        <f t="shared" si="100"/>
        <v>0</v>
      </c>
      <c r="O324" t="b">
        <f t="shared" si="101"/>
        <v>0</v>
      </c>
      <c r="P324">
        <f>IFERROR('Both teabags AfterWet'!B323,"")</f>
        <v>180</v>
      </c>
      <c r="Q324">
        <f>'Both teabags AfterWet'!B741</f>
        <v>105</v>
      </c>
      <c r="S324" s="401" t="b">
        <f t="shared" si="102"/>
        <v>0</v>
      </c>
      <c r="T324" s="401" t="b">
        <f t="shared" si="103"/>
        <v>0</v>
      </c>
      <c r="V324" t="str">
        <f>'Both teabags AfterDry'!A323</f>
        <v>G862</v>
      </c>
      <c r="W324" t="str">
        <f>'Both teabags AfterDry'!A660</f>
        <v>R824</v>
      </c>
      <c r="X324" t="b">
        <f t="shared" si="104"/>
        <v>0</v>
      </c>
      <c r="Y324" t="b">
        <f t="shared" si="105"/>
        <v>0</v>
      </c>
      <c r="AA324" t="str">
        <f>'Green_rooibos initial weight'!A325</f>
        <v>G321</v>
      </c>
      <c r="AB324" t="str">
        <f>'Green_rooibos initial weight'!A1229</f>
        <v>R321</v>
      </c>
      <c r="AC324" t="b">
        <f t="shared" si="106"/>
        <v>0</v>
      </c>
      <c r="AD324" t="b">
        <f t="shared" si="107"/>
        <v>0</v>
      </c>
      <c r="AG324" t="str">
        <f>'WetLitterbags placem_collection'!O103</f>
        <v>G875</v>
      </c>
      <c r="AH324" t="str">
        <f>'WetLitterbags placem_collection'!Q103</f>
        <v>R10</v>
      </c>
      <c r="AI324" t="b">
        <f t="shared" si="108"/>
        <v>0</v>
      </c>
      <c r="AJ324" t="b">
        <f t="shared" si="109"/>
        <v>0</v>
      </c>
      <c r="AK324">
        <f>'WetLitterbags placem_collection'!A103</f>
        <v>101</v>
      </c>
      <c r="AL324">
        <f>'WetLitterbags placem_collection'!A103</f>
        <v>101</v>
      </c>
      <c r="AN324">
        <f>IF('Dry_Litterbag Placem_Collection'!L103=0,"",'Dry_Litterbag Placem_Collection'!L103)</f>
        <v>398</v>
      </c>
      <c r="AO324">
        <f>IF('Dry_Litterbag Placem_Collection'!M103=0,"",'Dry_Litterbag Placem_Collection'!M103)</f>
        <v>245</v>
      </c>
      <c r="AP324" t="b">
        <f t="shared" si="110"/>
        <v>0</v>
      </c>
      <c r="AQ324" t="b">
        <f t="shared" si="111"/>
        <v>0</v>
      </c>
      <c r="AT324" t="str">
        <f>'Ashed teabags dry'!A322</f>
        <v>G866</v>
      </c>
      <c r="AU324" t="str">
        <f>'Ashed teabags dry'!A659</f>
        <v>R821</v>
      </c>
      <c r="AV324" t="b">
        <f t="shared" si="112"/>
        <v>0</v>
      </c>
      <c r="AW324" t="b">
        <f t="shared" si="113"/>
        <v>0</v>
      </c>
      <c r="AZ324" s="401" t="b">
        <f t="shared" si="114"/>
        <v>0</v>
      </c>
      <c r="BA324" s="401" t="b">
        <f t="shared" si="115"/>
        <v>0</v>
      </c>
      <c r="BC324" t="str">
        <f>'Ashed teabags wet'!A322</f>
        <v>G784</v>
      </c>
      <c r="BD324" t="str">
        <f>'Ashed teabags wet'!A739</f>
        <v>R559</v>
      </c>
      <c r="BE324" t="b">
        <f t="shared" si="116"/>
        <v>0</v>
      </c>
      <c r="BF324" t="b">
        <f t="shared" si="117"/>
        <v>0</v>
      </c>
      <c r="BG324">
        <f>IFERROR('Ashed teabags wet'!C322,"")</f>
        <v>144</v>
      </c>
      <c r="BH324">
        <f>IFERROR('Ashed teabags wet'!C739,"")</f>
        <v>140</v>
      </c>
      <c r="BI324">
        <f>'Ashed teabags wet'!AB322</f>
        <v>143</v>
      </c>
      <c r="BJ324" t="str">
        <f>'Ashed teabags wet'!AC322</f>
        <v/>
      </c>
      <c r="BK324" t="str">
        <f>'Ashed teabags wet'!AD739</f>
        <v/>
      </c>
      <c r="BL324">
        <f>'Ashed teabags wet'!AE739</f>
        <v>139</v>
      </c>
      <c r="BN324" t="str">
        <f t="shared" si="118"/>
        <v>G783</v>
      </c>
      <c r="BO324" t="b">
        <f t="shared" si="119"/>
        <v>1</v>
      </c>
    </row>
    <row r="325" spans="2:67" ht="12" customHeight="1">
      <c r="B325" t="str">
        <f>TBIDry!H397</f>
        <v>G120</v>
      </c>
      <c r="C325" t="str">
        <f>TBIDry!I397</f>
        <v>R714</v>
      </c>
      <c r="D325" s="113" t="b">
        <f t="shared" ref="D325:D388" si="120">COUNTIF($B$4:$B$2000, B325)&gt;1</f>
        <v>0</v>
      </c>
      <c r="E325" t="b">
        <f t="shared" ref="E325:E388" si="121">COUNTIF($C$4:$C$2000, C325)&gt;1</f>
        <v>0</v>
      </c>
      <c r="G325" t="str">
        <f>TBIWet!H397</f>
        <v>G824</v>
      </c>
      <c r="H325" t="str">
        <f>TBIWet!I397</f>
        <v>R26</v>
      </c>
      <c r="I325" t="b">
        <f t="shared" ref="I325:I388" si="122">COUNTIF($G$4:$G$2000, G325)&gt;1</f>
        <v>0</v>
      </c>
      <c r="J325" t="b">
        <f t="shared" ref="J325:J388" si="123">COUNTIF($H$4:$H$2000, H325)&gt;1</f>
        <v>0</v>
      </c>
      <c r="L325" t="str">
        <f>'Both teabags AfterWet'!A324</f>
        <v>G784</v>
      </c>
      <c r="M325" t="str">
        <f>'Both teabags AfterWet'!A742</f>
        <v>R541</v>
      </c>
      <c r="N325" t="b">
        <f t="shared" ref="N325:N388" si="124">COUNTIF($L$4:$L$2000, L325)&gt;1</f>
        <v>0</v>
      </c>
      <c r="O325" t="b">
        <f t="shared" ref="O325:O388" si="125">COUNTIF($M$4:$M$2000, M325)&gt;1</f>
        <v>0</v>
      </c>
      <c r="P325">
        <f>IFERROR('Both teabags AfterWet'!B324,"")</f>
        <v>144</v>
      </c>
      <c r="Q325" t="str">
        <f>'Both teabags AfterWet'!B742</f>
        <v>n.a</v>
      </c>
      <c r="S325" s="401" t="b">
        <f t="shared" ref="S325:S388" si="126">COUNTIF($V$4:$V$2000, L325)=1</f>
        <v>0</v>
      </c>
      <c r="T325" s="401" t="b">
        <f t="shared" ref="T325:T388" si="127">COUNTIF($W$4:$W$2000, M325)=1</f>
        <v>0</v>
      </c>
      <c r="V325" t="str">
        <f>'Both teabags AfterDry'!A324</f>
        <v>G866</v>
      </c>
      <c r="W325" t="str">
        <f>'Both teabags AfterDry'!A661</f>
        <v>R825</v>
      </c>
      <c r="X325" t="b">
        <f t="shared" ref="X325:X346" si="128">COUNTIF($V$4:$V$2000, V325)&gt;1</f>
        <v>0</v>
      </c>
      <c r="Y325" t="b">
        <f t="shared" ref="Y325:Y346" si="129">COUNTIF($W$4:$W$2000, W325)&gt;1</f>
        <v>0</v>
      </c>
      <c r="AA325" t="str">
        <f>'Green_rooibos initial weight'!A326</f>
        <v>G322</v>
      </c>
      <c r="AB325" t="str">
        <f>'Green_rooibos initial weight'!A1230</f>
        <v>R322</v>
      </c>
      <c r="AC325" t="b">
        <f t="shared" ref="AC325:AC388" si="130">COUNTIF($AA$4:$AA$2000, AA325)&gt;1</f>
        <v>0</v>
      </c>
      <c r="AD325" t="b">
        <f t="shared" ref="AD325:AD388" si="131">COUNTIF($AB$4:$AB$2000, AB325)&gt;1</f>
        <v>0</v>
      </c>
      <c r="AG325" t="str">
        <f>'WetLitterbags placem_collection'!O104</f>
        <v>G824</v>
      </c>
      <c r="AH325" t="str">
        <f>'WetLitterbags placem_collection'!Q104</f>
        <v>R26</v>
      </c>
      <c r="AI325" t="b">
        <f t="shared" ref="AI325:AI388" si="132">COUNTIF($AG$4:$AG$2000, AG325)&gt;1</f>
        <v>0</v>
      </c>
      <c r="AJ325" t="b">
        <f t="shared" ref="AJ325:AJ388" si="133">COUNTIF($AH$4:$AH$2000, AH325)&gt;1</f>
        <v>0</v>
      </c>
      <c r="AK325">
        <f>'WetLitterbags placem_collection'!A104</f>
        <v>102</v>
      </c>
      <c r="AL325">
        <f>'WetLitterbags placem_collection'!A104</f>
        <v>102</v>
      </c>
      <c r="AN325">
        <f>IF('Dry_Litterbag Placem_Collection'!L104=0,"",'Dry_Litterbag Placem_Collection'!L104)</f>
        <v>120</v>
      </c>
      <c r="AO325">
        <f>IF('Dry_Litterbag Placem_Collection'!M104=0,"",'Dry_Litterbag Placem_Collection'!M104)</f>
        <v>714</v>
      </c>
      <c r="AP325" t="b">
        <f t="shared" ref="AP325:AP388" si="134">COUNTIF($AN$4:$AN$2000, AN325)&gt;1</f>
        <v>0</v>
      </c>
      <c r="AQ325" t="b">
        <f t="shared" ref="AQ325:AQ388" si="135">COUNTIF($AO$4:$AO$2000, AO325)&gt;1</f>
        <v>0</v>
      </c>
      <c r="AT325" t="str">
        <f>'Ashed teabags dry'!A323</f>
        <v>G868</v>
      </c>
      <c r="AU325" t="str">
        <f>'Ashed teabags dry'!A660</f>
        <v>R823</v>
      </c>
      <c r="AV325" t="b">
        <f t="shared" ref="AV325:AV344" si="136">COUNTIF($AT$4:$AT$2000, AT325)&gt;1</f>
        <v>0</v>
      </c>
      <c r="AW325" t="b">
        <f t="shared" ref="AW325:AW344" si="137">COUNTIF($AU$4:$AU$2000, AU325)&gt;1</f>
        <v>0</v>
      </c>
      <c r="AZ325" s="401" t="b">
        <f t="shared" ref="AZ325:AZ388" si="138">COUNTIF($BC$4:$BC$2000, AT325)=1</f>
        <v>0</v>
      </c>
      <c r="BA325" s="401" t="b">
        <f t="shared" ref="BA325:BA388" si="139">COUNTIF($BD$4:$BD$2000, AU325)=1</f>
        <v>0</v>
      </c>
      <c r="BC325" t="str">
        <f>'Ashed teabags wet'!A323</f>
        <v>G785</v>
      </c>
      <c r="BD325" t="str">
        <f>'Ashed teabags wet'!A740</f>
        <v>R56</v>
      </c>
      <c r="BE325" t="b">
        <f t="shared" ref="BE325:BE388" si="140">COUNTIF($BC$4:$BC$2000, BC325)&gt;1</f>
        <v>0</v>
      </c>
      <c r="BF325" t="b">
        <f t="shared" ref="BF325:BF388" si="141">COUNTIF($BD$4:$BD$2000, BD325)&gt;1</f>
        <v>0</v>
      </c>
      <c r="BG325">
        <f>IFERROR('Ashed teabags wet'!C323,"")</f>
        <v>198</v>
      </c>
      <c r="BH325">
        <f>IFERROR('Ashed teabags wet'!C740,"")</f>
        <v>79</v>
      </c>
      <c r="BI325">
        <f>'Ashed teabags wet'!AB323</f>
        <v>197</v>
      </c>
      <c r="BJ325" t="str">
        <f>'Ashed teabags wet'!AC323</f>
        <v/>
      </c>
      <c r="BK325" t="str">
        <f>'Ashed teabags wet'!AD740</f>
        <v/>
      </c>
      <c r="BL325">
        <f>'Ashed teabags wet'!AE740</f>
        <v>78</v>
      </c>
      <c r="BN325" t="str">
        <f t="shared" ref="BN325:BN388" si="142">BC324</f>
        <v>G784</v>
      </c>
      <c r="BO325" t="b">
        <f t="shared" si="119"/>
        <v>1</v>
      </c>
    </row>
    <row r="326" spans="2:67" ht="12" customHeight="1">
      <c r="B326" t="str">
        <f>TBIDry!H398</f>
        <v>G145</v>
      </c>
      <c r="C326" t="str">
        <f>TBIDry!I398</f>
        <v>R701</v>
      </c>
      <c r="D326" t="b">
        <f t="shared" si="120"/>
        <v>0</v>
      </c>
      <c r="E326" t="b">
        <f t="shared" si="121"/>
        <v>0</v>
      </c>
      <c r="G326" t="str">
        <f>TBIWet!H398</f>
        <v>G692</v>
      </c>
      <c r="H326" t="str">
        <f>TBIWet!I398</f>
        <v>R494</v>
      </c>
      <c r="I326" t="b">
        <f t="shared" si="122"/>
        <v>0</v>
      </c>
      <c r="J326" t="b">
        <f t="shared" si="123"/>
        <v>0</v>
      </c>
      <c r="L326" t="str">
        <f>'Both teabags AfterWet'!A325</f>
        <v>G785</v>
      </c>
      <c r="M326" t="str">
        <f>'Both teabags AfterWet'!A743</f>
        <v>R542</v>
      </c>
      <c r="N326" t="b">
        <f t="shared" si="124"/>
        <v>0</v>
      </c>
      <c r="O326" t="b">
        <f t="shared" si="125"/>
        <v>0</v>
      </c>
      <c r="P326">
        <f>IFERROR('Both teabags AfterWet'!B325,"")</f>
        <v>198</v>
      </c>
      <c r="Q326" t="str">
        <f>'Both teabags AfterWet'!B743</f>
        <v>n.a</v>
      </c>
      <c r="S326" s="401" t="b">
        <f t="shared" si="126"/>
        <v>0</v>
      </c>
      <c r="T326" s="401" t="b">
        <f t="shared" si="127"/>
        <v>0</v>
      </c>
      <c r="V326" t="str">
        <f>'Both teabags AfterDry'!A325</f>
        <v>G868</v>
      </c>
      <c r="W326" t="str">
        <f>'Both teabags AfterDry'!A662</f>
        <v>R826</v>
      </c>
      <c r="X326" t="b">
        <f t="shared" si="128"/>
        <v>0</v>
      </c>
      <c r="Y326" t="b">
        <f t="shared" si="129"/>
        <v>0</v>
      </c>
      <c r="AA326" t="str">
        <f>'Green_rooibos initial weight'!A327</f>
        <v>G323</v>
      </c>
      <c r="AB326" t="str">
        <f>'Green_rooibos initial weight'!A1231</f>
        <v>R323</v>
      </c>
      <c r="AC326" t="b">
        <f t="shared" si="130"/>
        <v>0</v>
      </c>
      <c r="AD326" t="b">
        <f t="shared" si="131"/>
        <v>0</v>
      </c>
      <c r="AG326" t="str">
        <f>'WetLitterbags placem_collection'!O105</f>
        <v>G692</v>
      </c>
      <c r="AH326" t="str">
        <f>'WetLitterbags placem_collection'!Q105</f>
        <v>R494</v>
      </c>
      <c r="AI326" t="b">
        <f t="shared" si="132"/>
        <v>0</v>
      </c>
      <c r="AJ326" t="b">
        <f t="shared" si="133"/>
        <v>0</v>
      </c>
      <c r="AK326">
        <f>'WetLitterbags placem_collection'!A105</f>
        <v>103</v>
      </c>
      <c r="AL326">
        <f>'WetLitterbags placem_collection'!A105</f>
        <v>103</v>
      </c>
      <c r="AN326">
        <f>IF('Dry_Litterbag Placem_Collection'!L105=0,"",'Dry_Litterbag Placem_Collection'!L105)</f>
        <v>145</v>
      </c>
      <c r="AO326">
        <f>IF('Dry_Litterbag Placem_Collection'!M105=0,"",'Dry_Litterbag Placem_Collection'!M105)</f>
        <v>701</v>
      </c>
      <c r="AP326" t="b">
        <f t="shared" si="134"/>
        <v>0</v>
      </c>
      <c r="AQ326" t="b">
        <f t="shared" si="135"/>
        <v>0</v>
      </c>
      <c r="AT326" t="str">
        <f>'Ashed teabags dry'!A324</f>
        <v>G870</v>
      </c>
      <c r="AU326" t="str">
        <f>'Ashed teabags dry'!A661</f>
        <v>R824</v>
      </c>
      <c r="AV326" t="b">
        <f t="shared" si="136"/>
        <v>0</v>
      </c>
      <c r="AW326" t="b">
        <f t="shared" si="137"/>
        <v>0</v>
      </c>
      <c r="AZ326" s="401" t="b">
        <f t="shared" si="138"/>
        <v>0</v>
      </c>
      <c r="BA326" s="401" t="b">
        <f t="shared" si="139"/>
        <v>0</v>
      </c>
      <c r="BC326" t="str">
        <f>'Ashed teabags wet'!A324</f>
        <v>G786</v>
      </c>
      <c r="BD326" t="str">
        <f>'Ashed teabags wet'!A741</f>
        <v>R560</v>
      </c>
      <c r="BE326" t="b">
        <f t="shared" si="140"/>
        <v>0</v>
      </c>
      <c r="BF326" t="b">
        <f t="shared" si="141"/>
        <v>0</v>
      </c>
      <c r="BG326">
        <f>IFERROR('Ashed teabags wet'!C324,"")</f>
        <v>212</v>
      </c>
      <c r="BH326">
        <f>IFERROR('Ashed teabags wet'!C741,"")</f>
        <v>125</v>
      </c>
      <c r="BI326">
        <f>'Ashed teabags wet'!AB324</f>
        <v>211</v>
      </c>
      <c r="BJ326" t="str">
        <f>'Ashed teabags wet'!AC324</f>
        <v/>
      </c>
      <c r="BK326">
        <f>'Ashed teabags wet'!AD741</f>
        <v>124</v>
      </c>
      <c r="BL326" t="str">
        <f>'Ashed teabags wet'!AE741</f>
        <v/>
      </c>
      <c r="BN326" t="str">
        <f t="shared" si="142"/>
        <v>G785</v>
      </c>
      <c r="BO326" t="b">
        <f t="shared" ref="BO326:BO389" si="143">COUNTIF($BN$5:$BN$2000, BN326)&gt;1</f>
        <v>1</v>
      </c>
    </row>
    <row r="327" spans="2:67" ht="12" customHeight="1">
      <c r="B327" t="str">
        <f>TBIDry!H399</f>
        <v>G76</v>
      </c>
      <c r="C327" t="str">
        <f>TBIDry!I399</f>
        <v>R365</v>
      </c>
      <c r="D327" t="b">
        <f t="shared" si="120"/>
        <v>0</v>
      </c>
      <c r="E327" t="b">
        <f t="shared" si="121"/>
        <v>0</v>
      </c>
      <c r="G327" t="str">
        <f>TBIWet!H399</f>
        <v>G806</v>
      </c>
      <c r="H327" t="str">
        <f>TBIWet!I399</f>
        <v>R475</v>
      </c>
      <c r="I327" t="b">
        <f t="shared" si="122"/>
        <v>0</v>
      </c>
      <c r="J327" t="b">
        <f t="shared" si="123"/>
        <v>0</v>
      </c>
      <c r="L327" t="str">
        <f>'Both teabags AfterWet'!A326</f>
        <v>G786</v>
      </c>
      <c r="M327" t="str">
        <f>'Both teabags AfterWet'!A744</f>
        <v>R543</v>
      </c>
      <c r="N327" t="b">
        <f t="shared" si="124"/>
        <v>0</v>
      </c>
      <c r="O327" t="b">
        <f t="shared" si="125"/>
        <v>0</v>
      </c>
      <c r="P327">
        <f>IFERROR('Both teabags AfterWet'!B326,"")</f>
        <v>212</v>
      </c>
      <c r="Q327">
        <f>'Both teabags AfterWet'!B744</f>
        <v>136</v>
      </c>
      <c r="S327" s="401" t="b">
        <f t="shared" si="126"/>
        <v>0</v>
      </c>
      <c r="T327" s="401" t="b">
        <f t="shared" si="127"/>
        <v>0</v>
      </c>
      <c r="V327" t="str">
        <f>'Both teabags AfterDry'!A326</f>
        <v>G870</v>
      </c>
      <c r="W327" t="str">
        <f>'Both teabags AfterDry'!A663</f>
        <v>R828</v>
      </c>
      <c r="X327" t="b">
        <f t="shared" si="128"/>
        <v>0</v>
      </c>
      <c r="Y327" t="b">
        <f t="shared" si="129"/>
        <v>0</v>
      </c>
      <c r="AA327" t="str">
        <f>'Green_rooibos initial weight'!A328</f>
        <v>G324</v>
      </c>
      <c r="AB327" t="str">
        <f>'Green_rooibos initial weight'!A1232</f>
        <v>R324</v>
      </c>
      <c r="AC327" t="b">
        <f t="shared" si="130"/>
        <v>0</v>
      </c>
      <c r="AD327" t="b">
        <f t="shared" si="131"/>
        <v>0</v>
      </c>
      <c r="AG327" t="str">
        <f>'WetLitterbags placem_collection'!O106</f>
        <v>G806</v>
      </c>
      <c r="AH327" t="str">
        <f>'WetLitterbags placem_collection'!Q106</f>
        <v>R475</v>
      </c>
      <c r="AI327" t="b">
        <f t="shared" si="132"/>
        <v>0</v>
      </c>
      <c r="AJ327" t="b">
        <f t="shared" si="133"/>
        <v>0</v>
      </c>
      <c r="AK327">
        <f>'WetLitterbags placem_collection'!A106</f>
        <v>104</v>
      </c>
      <c r="AL327">
        <f>'WetLitterbags placem_collection'!A106</f>
        <v>104</v>
      </c>
      <c r="AN327">
        <f>IF('Dry_Litterbag Placem_Collection'!L106=0,"",'Dry_Litterbag Placem_Collection'!L106)</f>
        <v>76</v>
      </c>
      <c r="AO327">
        <f>IF('Dry_Litterbag Placem_Collection'!M106=0,"",'Dry_Litterbag Placem_Collection'!M106)</f>
        <v>365</v>
      </c>
      <c r="AP327" t="b">
        <f t="shared" si="134"/>
        <v>0</v>
      </c>
      <c r="AQ327" t="b">
        <f t="shared" si="135"/>
        <v>0</v>
      </c>
      <c r="AT327" t="str">
        <f>'Ashed teabags dry'!A325</f>
        <v>G872</v>
      </c>
      <c r="AU327" t="str">
        <f>'Ashed teabags dry'!A662</f>
        <v>R825</v>
      </c>
      <c r="AV327" t="b">
        <f t="shared" si="136"/>
        <v>0</v>
      </c>
      <c r="AW327" t="b">
        <f t="shared" si="137"/>
        <v>0</v>
      </c>
      <c r="AZ327" s="401" t="b">
        <f t="shared" si="138"/>
        <v>0</v>
      </c>
      <c r="BA327" s="401" t="b">
        <f t="shared" si="139"/>
        <v>0</v>
      </c>
      <c r="BC327" t="str">
        <f>'Ashed teabags wet'!A325</f>
        <v>G787</v>
      </c>
      <c r="BD327" t="str">
        <f>'Ashed teabags wet'!A742</f>
        <v>R561</v>
      </c>
      <c r="BE327" t="b">
        <f t="shared" si="140"/>
        <v>0</v>
      </c>
      <c r="BF327" t="b">
        <f t="shared" si="141"/>
        <v>0</v>
      </c>
      <c r="BG327">
        <f>IFERROR('Ashed teabags wet'!C325,"")</f>
        <v>140</v>
      </c>
      <c r="BH327">
        <f>IFERROR('Ashed teabags wet'!C742,"")</f>
        <v>98</v>
      </c>
      <c r="BI327">
        <f>'Ashed teabags wet'!AB325</f>
        <v>139</v>
      </c>
      <c r="BJ327" t="str">
        <f>'Ashed teabags wet'!AC325</f>
        <v/>
      </c>
      <c r="BK327" t="str">
        <f>'Ashed teabags wet'!AD742</f>
        <v/>
      </c>
      <c r="BL327">
        <f>'Ashed teabags wet'!AE742</f>
        <v>97</v>
      </c>
      <c r="BN327" t="str">
        <f t="shared" si="142"/>
        <v>G786</v>
      </c>
      <c r="BO327" t="b">
        <f t="shared" si="143"/>
        <v>1</v>
      </c>
    </row>
    <row r="328" spans="2:67" ht="12" customHeight="1">
      <c r="B328" t="str">
        <f>TBIDry!H400</f>
        <v>G57</v>
      </c>
      <c r="C328" t="str">
        <f>TBIDry!I400</f>
        <v>R212</v>
      </c>
      <c r="D328" t="b">
        <f t="shared" si="120"/>
        <v>0</v>
      </c>
      <c r="E328" t="b">
        <f t="shared" si="121"/>
        <v>0</v>
      </c>
      <c r="G328" t="str">
        <f>TBIWet!H400</f>
        <v>G861</v>
      </c>
      <c r="H328" t="str">
        <f>TBIWet!I400</f>
        <v>R540</v>
      </c>
      <c r="I328" t="b">
        <f t="shared" si="122"/>
        <v>0</v>
      </c>
      <c r="J328" t="b">
        <f t="shared" si="123"/>
        <v>0</v>
      </c>
      <c r="L328" t="str">
        <f>'Both teabags AfterWet'!A327</f>
        <v>G787</v>
      </c>
      <c r="M328" t="str">
        <f>'Both teabags AfterWet'!A745</f>
        <v>R544</v>
      </c>
      <c r="N328" t="b">
        <f t="shared" si="124"/>
        <v>0</v>
      </c>
      <c r="O328" t="b">
        <f t="shared" si="125"/>
        <v>0</v>
      </c>
      <c r="P328">
        <f>IFERROR('Both teabags AfterWet'!B327,"")</f>
        <v>140</v>
      </c>
      <c r="Q328">
        <f>'Both teabags AfterWet'!B745</f>
        <v>118</v>
      </c>
      <c r="S328" s="401" t="b">
        <f t="shared" si="126"/>
        <v>0</v>
      </c>
      <c r="T328" s="401" t="b">
        <f t="shared" si="127"/>
        <v>0</v>
      </c>
      <c r="V328" t="str">
        <f>'Both teabags AfterDry'!A327</f>
        <v>G872</v>
      </c>
      <c r="W328" t="str">
        <f>'Both teabags AfterDry'!A664</f>
        <v>R829</v>
      </c>
      <c r="X328" t="b">
        <f t="shared" si="128"/>
        <v>0</v>
      </c>
      <c r="Y328" t="b">
        <f t="shared" si="129"/>
        <v>0</v>
      </c>
      <c r="AA328" t="str">
        <f>'Green_rooibos initial weight'!A329</f>
        <v>G325</v>
      </c>
      <c r="AB328" t="str">
        <f>'Green_rooibos initial weight'!A1233</f>
        <v>R325</v>
      </c>
      <c r="AC328" t="b">
        <f t="shared" si="130"/>
        <v>0</v>
      </c>
      <c r="AD328" t="b">
        <f t="shared" si="131"/>
        <v>0</v>
      </c>
      <c r="AG328" t="str">
        <f>'WetLitterbags placem_collection'!O107</f>
        <v>G861</v>
      </c>
      <c r="AH328" t="str">
        <f>'WetLitterbags placem_collection'!Q107</f>
        <v>R540</v>
      </c>
      <c r="AI328" t="b">
        <f t="shared" si="132"/>
        <v>0</v>
      </c>
      <c r="AJ328" t="b">
        <f t="shared" si="133"/>
        <v>0</v>
      </c>
      <c r="AK328">
        <f>'WetLitterbags placem_collection'!A107</f>
        <v>105</v>
      </c>
      <c r="AL328">
        <f>'WetLitterbags placem_collection'!A107</f>
        <v>105</v>
      </c>
      <c r="AN328">
        <f>IF('Dry_Litterbag Placem_Collection'!L107=0,"",'Dry_Litterbag Placem_Collection'!L107)</f>
        <v>57</v>
      </c>
      <c r="AO328">
        <f>IF('Dry_Litterbag Placem_Collection'!M107=0,"",'Dry_Litterbag Placem_Collection'!M107)</f>
        <v>212</v>
      </c>
      <c r="AP328" t="b">
        <f t="shared" si="134"/>
        <v>0</v>
      </c>
      <c r="AQ328" t="b">
        <f t="shared" si="135"/>
        <v>0</v>
      </c>
      <c r="AT328" t="str">
        <f>'Ashed teabags dry'!A326</f>
        <v>G873</v>
      </c>
      <c r="AU328" t="str">
        <f>'Ashed teabags dry'!A663</f>
        <v>R826</v>
      </c>
      <c r="AV328" t="b">
        <f t="shared" si="136"/>
        <v>0</v>
      </c>
      <c r="AW328" t="b">
        <f t="shared" si="137"/>
        <v>0</v>
      </c>
      <c r="AZ328" s="401" t="b">
        <f t="shared" si="138"/>
        <v>0</v>
      </c>
      <c r="BA328" s="401" t="b">
        <f t="shared" si="139"/>
        <v>0</v>
      </c>
      <c r="BC328" t="str">
        <f>'Ashed teabags wet'!A326</f>
        <v>G789</v>
      </c>
      <c r="BD328" t="str">
        <f>'Ashed teabags wet'!A743</f>
        <v>R563</v>
      </c>
      <c r="BE328" t="b">
        <f t="shared" si="140"/>
        <v>0</v>
      </c>
      <c r="BF328" t="b">
        <f t="shared" si="141"/>
        <v>0</v>
      </c>
      <c r="BG328">
        <f>IFERROR('Ashed teabags wet'!C326,"")</f>
        <v>117</v>
      </c>
      <c r="BH328">
        <f>IFERROR('Ashed teabags wet'!C743,"")</f>
        <v>139</v>
      </c>
      <c r="BI328">
        <f>'Ashed teabags wet'!AB326</f>
        <v>116</v>
      </c>
      <c r="BJ328" t="str">
        <f>'Ashed teabags wet'!AC326</f>
        <v/>
      </c>
      <c r="BK328">
        <f>'Ashed teabags wet'!AD743</f>
        <v>138</v>
      </c>
      <c r="BL328" t="str">
        <f>'Ashed teabags wet'!AE743</f>
        <v/>
      </c>
      <c r="BN328" t="str">
        <f t="shared" si="142"/>
        <v>G787</v>
      </c>
      <c r="BO328" t="b">
        <f t="shared" si="143"/>
        <v>1</v>
      </c>
    </row>
    <row r="329" spans="2:67" ht="12" customHeight="1">
      <c r="B329" t="str">
        <f>TBIDry!H401</f>
        <v>G167</v>
      </c>
      <c r="C329" t="str">
        <f>TBIDry!I401</f>
        <v>R66</v>
      </c>
      <c r="D329" t="b">
        <f t="shared" si="120"/>
        <v>0</v>
      </c>
      <c r="E329" t="b">
        <f t="shared" si="121"/>
        <v>0</v>
      </c>
      <c r="G329" t="str">
        <f>TBIWet!H401</f>
        <v>G738</v>
      </c>
      <c r="H329" t="str">
        <f>TBIWet!I401</f>
        <v>R593</v>
      </c>
      <c r="I329" t="b">
        <f t="shared" si="122"/>
        <v>0</v>
      </c>
      <c r="J329" t="b">
        <f t="shared" si="123"/>
        <v>0</v>
      </c>
      <c r="L329" t="str">
        <f>'Both teabags AfterWet'!A328</f>
        <v>G789</v>
      </c>
      <c r="M329" t="str">
        <f>'Both teabags AfterWet'!A746</f>
        <v>R545</v>
      </c>
      <c r="N329" t="b">
        <f t="shared" si="124"/>
        <v>0</v>
      </c>
      <c r="O329" t="b">
        <f t="shared" si="125"/>
        <v>0</v>
      </c>
      <c r="P329">
        <f>IFERROR('Both teabags AfterWet'!B328,"")</f>
        <v>117</v>
      </c>
      <c r="Q329" t="str">
        <f>'Both teabags AfterWet'!B746</f>
        <v>n.a</v>
      </c>
      <c r="S329" s="401" t="b">
        <f t="shared" si="126"/>
        <v>0</v>
      </c>
      <c r="T329" s="401" t="b">
        <f t="shared" si="127"/>
        <v>0</v>
      </c>
      <c r="V329" t="str">
        <f>'Both teabags AfterDry'!A328</f>
        <v>G873</v>
      </c>
      <c r="W329" t="str">
        <f>'Both teabags AfterDry'!A665</f>
        <v>R830</v>
      </c>
      <c r="X329" t="b">
        <f t="shared" si="128"/>
        <v>0</v>
      </c>
      <c r="Y329" t="b">
        <f t="shared" si="129"/>
        <v>0</v>
      </c>
      <c r="AA329" t="str">
        <f>'Green_rooibos initial weight'!A330</f>
        <v>G326</v>
      </c>
      <c r="AB329" t="str">
        <f>'Green_rooibos initial weight'!A1234</f>
        <v>R326</v>
      </c>
      <c r="AC329" t="b">
        <f t="shared" si="130"/>
        <v>0</v>
      </c>
      <c r="AD329" t="b">
        <f t="shared" si="131"/>
        <v>0</v>
      </c>
      <c r="AG329" t="str">
        <f>'WetLitterbags placem_collection'!O108</f>
        <v>G738</v>
      </c>
      <c r="AH329" t="str">
        <f>'WetLitterbags placem_collection'!Q108</f>
        <v>R593</v>
      </c>
      <c r="AI329" t="b">
        <f t="shared" si="132"/>
        <v>0</v>
      </c>
      <c r="AJ329" t="b">
        <f t="shared" si="133"/>
        <v>0</v>
      </c>
      <c r="AK329">
        <f>'WetLitterbags placem_collection'!A108</f>
        <v>106</v>
      </c>
      <c r="AL329">
        <f>'WetLitterbags placem_collection'!A108</f>
        <v>106</v>
      </c>
      <c r="AN329">
        <f>IF('Dry_Litterbag Placem_Collection'!L108=0,"",'Dry_Litterbag Placem_Collection'!L108)</f>
        <v>167</v>
      </c>
      <c r="AO329">
        <f>IF('Dry_Litterbag Placem_Collection'!M108=0,"",'Dry_Litterbag Placem_Collection'!M108)</f>
        <v>66</v>
      </c>
      <c r="AP329" t="b">
        <f t="shared" si="134"/>
        <v>0</v>
      </c>
      <c r="AQ329" t="b">
        <f t="shared" si="135"/>
        <v>0</v>
      </c>
      <c r="AT329" t="str">
        <f>'Ashed teabags dry'!A327</f>
        <v>G874</v>
      </c>
      <c r="AU329" t="str">
        <f>'Ashed teabags dry'!A664</f>
        <v>R828</v>
      </c>
      <c r="AV329" t="b">
        <f t="shared" si="136"/>
        <v>0</v>
      </c>
      <c r="AW329" t="b">
        <f t="shared" si="137"/>
        <v>0</v>
      </c>
      <c r="AZ329" s="401" t="b">
        <f t="shared" si="138"/>
        <v>0</v>
      </c>
      <c r="BA329" s="401" t="b">
        <f t="shared" si="139"/>
        <v>0</v>
      </c>
      <c r="BC329" t="str">
        <f>'Ashed teabags wet'!A327</f>
        <v>G791</v>
      </c>
      <c r="BD329" t="str">
        <f>'Ashed teabags wet'!A744</f>
        <v>R564</v>
      </c>
      <c r="BE329" t="b">
        <f t="shared" si="140"/>
        <v>0</v>
      </c>
      <c r="BF329" t="b">
        <f t="shared" si="141"/>
        <v>0</v>
      </c>
      <c r="BG329">
        <f>IFERROR('Ashed teabags wet'!C327,"")</f>
        <v>118</v>
      </c>
      <c r="BH329">
        <f>IFERROR('Ashed teabags wet'!C744,"")</f>
        <v>121</v>
      </c>
      <c r="BI329" t="str">
        <f>'Ashed teabags wet'!AB327</f>
        <v/>
      </c>
      <c r="BJ329">
        <f>'Ashed teabags wet'!AC327</f>
        <v>117</v>
      </c>
      <c r="BK329" t="str">
        <f>'Ashed teabags wet'!AD744</f>
        <v/>
      </c>
      <c r="BL329">
        <f>'Ashed teabags wet'!AE744</f>
        <v>120</v>
      </c>
      <c r="BN329" t="str">
        <f t="shared" si="142"/>
        <v>G789</v>
      </c>
      <c r="BO329" t="b">
        <f t="shared" si="143"/>
        <v>1</v>
      </c>
    </row>
    <row r="330" spans="2:67" ht="12" customHeight="1">
      <c r="B330" t="str">
        <f>TBIDry!H402</f>
        <v>G208</v>
      </c>
      <c r="C330" t="str">
        <f>TBIDry!I402</f>
        <v>R347</v>
      </c>
      <c r="D330" t="b">
        <f t="shared" si="120"/>
        <v>0</v>
      </c>
      <c r="E330" t="b">
        <f t="shared" si="121"/>
        <v>0</v>
      </c>
      <c r="G330" t="str">
        <f>TBIWet!H402</f>
        <v>G676</v>
      </c>
      <c r="H330" t="str">
        <f>TBIWet!I402</f>
        <v>R510</v>
      </c>
      <c r="I330" t="b">
        <f t="shared" si="122"/>
        <v>0</v>
      </c>
      <c r="J330" t="b">
        <f t="shared" si="123"/>
        <v>0</v>
      </c>
      <c r="L330" t="str">
        <f>'Both teabags AfterWet'!A329</f>
        <v>G791</v>
      </c>
      <c r="M330" t="str">
        <f>'Both teabags AfterWet'!A747</f>
        <v>R547</v>
      </c>
      <c r="N330" t="b">
        <f t="shared" si="124"/>
        <v>0</v>
      </c>
      <c r="O330" t="b">
        <f t="shared" si="125"/>
        <v>0</v>
      </c>
      <c r="P330">
        <f>IFERROR('Both teabags AfterWet'!B329,"")</f>
        <v>118</v>
      </c>
      <c r="Q330">
        <f>'Both teabags AfterWet'!B747</f>
        <v>95</v>
      </c>
      <c r="S330" s="401" t="b">
        <f t="shared" si="126"/>
        <v>0</v>
      </c>
      <c r="T330" s="401" t="b">
        <f t="shared" si="127"/>
        <v>0</v>
      </c>
      <c r="V330" t="str">
        <f>'Both teabags AfterDry'!A329</f>
        <v>G874</v>
      </c>
      <c r="W330" t="str">
        <f>'Both teabags AfterDry'!A666</f>
        <v>R831</v>
      </c>
      <c r="X330" t="b">
        <f t="shared" si="128"/>
        <v>0</v>
      </c>
      <c r="Y330" t="b">
        <f t="shared" si="129"/>
        <v>0</v>
      </c>
      <c r="AA330" t="str">
        <f>'Green_rooibos initial weight'!A331</f>
        <v>G327</v>
      </c>
      <c r="AB330" t="str">
        <f>'Green_rooibos initial weight'!A1235</f>
        <v>R327</v>
      </c>
      <c r="AC330" t="b">
        <f t="shared" si="130"/>
        <v>0</v>
      </c>
      <c r="AD330" t="b">
        <f t="shared" si="131"/>
        <v>0</v>
      </c>
      <c r="AG330" t="str">
        <f>'WetLitterbags placem_collection'!O109</f>
        <v>G676</v>
      </c>
      <c r="AH330" t="str">
        <f>'WetLitterbags placem_collection'!Q109</f>
        <v>R510</v>
      </c>
      <c r="AI330" t="b">
        <f t="shared" si="132"/>
        <v>0</v>
      </c>
      <c r="AJ330" t="b">
        <f t="shared" si="133"/>
        <v>0</v>
      </c>
      <c r="AK330">
        <f>'WetLitterbags placem_collection'!A109</f>
        <v>107</v>
      </c>
      <c r="AL330">
        <f>'WetLitterbags placem_collection'!A109</f>
        <v>107</v>
      </c>
      <c r="AN330">
        <f>IF('Dry_Litterbag Placem_Collection'!L109=0,"",'Dry_Litterbag Placem_Collection'!L109)</f>
        <v>208</v>
      </c>
      <c r="AO330">
        <f>IF('Dry_Litterbag Placem_Collection'!M109=0,"",'Dry_Litterbag Placem_Collection'!M109)</f>
        <v>347</v>
      </c>
      <c r="AP330" t="b">
        <f t="shared" si="134"/>
        <v>0</v>
      </c>
      <c r="AQ330" t="b">
        <f t="shared" si="135"/>
        <v>0</v>
      </c>
      <c r="AT330" t="str">
        <f>'Ashed teabags dry'!A328</f>
        <v>G879</v>
      </c>
      <c r="AU330" t="str">
        <f>'Ashed teabags dry'!A665</f>
        <v>R829</v>
      </c>
      <c r="AV330" t="b">
        <f t="shared" si="136"/>
        <v>0</v>
      </c>
      <c r="AW330" t="b">
        <f t="shared" si="137"/>
        <v>0</v>
      </c>
      <c r="AZ330" s="401" t="b">
        <f t="shared" si="138"/>
        <v>0</v>
      </c>
      <c r="BA330" s="401" t="b">
        <f t="shared" si="139"/>
        <v>0</v>
      </c>
      <c r="BC330" t="str">
        <f>'Ashed teabags wet'!A328</f>
        <v>G793</v>
      </c>
      <c r="BD330" t="str">
        <f>'Ashed teabags wet'!A745</f>
        <v>R566</v>
      </c>
      <c r="BE330" t="b">
        <f t="shared" si="140"/>
        <v>0</v>
      </c>
      <c r="BF330" t="b">
        <f t="shared" si="141"/>
        <v>0</v>
      </c>
      <c r="BG330">
        <f>IFERROR('Ashed teabags wet'!C328,"")</f>
        <v>125</v>
      </c>
      <c r="BH330">
        <f>IFERROR('Ashed teabags wet'!C745,"")</f>
        <v>19</v>
      </c>
      <c r="BI330">
        <f>'Ashed teabags wet'!AB328</f>
        <v>124</v>
      </c>
      <c r="BJ330" t="str">
        <f>'Ashed teabags wet'!AC328</f>
        <v/>
      </c>
      <c r="BK330" t="str">
        <f>'Ashed teabags wet'!AD745</f>
        <v/>
      </c>
      <c r="BL330">
        <f>'Ashed teabags wet'!AE745</f>
        <v>18</v>
      </c>
      <c r="BN330" t="str">
        <f t="shared" si="142"/>
        <v>G791</v>
      </c>
      <c r="BO330" t="b">
        <f t="shared" si="143"/>
        <v>1</v>
      </c>
    </row>
    <row r="331" spans="2:67" ht="12" customHeight="1">
      <c r="B331" t="str">
        <f>TBIDry!H403</f>
        <v>G62</v>
      </c>
      <c r="C331" t="str">
        <f>TBIDry!I403</f>
        <v>R206</v>
      </c>
      <c r="D331" t="b">
        <f t="shared" si="120"/>
        <v>0</v>
      </c>
      <c r="E331" t="b">
        <f t="shared" si="121"/>
        <v>0</v>
      </c>
      <c r="G331" t="str">
        <f>TBIWet!H403</f>
        <v>G845</v>
      </c>
      <c r="H331" t="str">
        <f>TBIWet!I403</f>
        <v>R509</v>
      </c>
      <c r="I331" t="b">
        <f t="shared" si="122"/>
        <v>0</v>
      </c>
      <c r="J331" t="b">
        <f t="shared" si="123"/>
        <v>0</v>
      </c>
      <c r="L331" t="str">
        <f>'Both teabags AfterWet'!A330</f>
        <v>G793</v>
      </c>
      <c r="M331" t="str">
        <f>'Both teabags AfterWet'!A748</f>
        <v>R548</v>
      </c>
      <c r="N331" t="b">
        <f t="shared" si="124"/>
        <v>0</v>
      </c>
      <c r="O331" t="b">
        <f t="shared" si="125"/>
        <v>0</v>
      </c>
      <c r="P331">
        <f>IFERROR('Both teabags AfterWet'!B330,"")</f>
        <v>125</v>
      </c>
      <c r="Q331">
        <f>'Both teabags AfterWet'!B748</f>
        <v>105</v>
      </c>
      <c r="S331" s="401" t="b">
        <f t="shared" si="126"/>
        <v>0</v>
      </c>
      <c r="T331" s="401" t="b">
        <f t="shared" si="127"/>
        <v>0</v>
      </c>
      <c r="V331" t="str">
        <f>'Both teabags AfterDry'!A330</f>
        <v>G879</v>
      </c>
      <c r="W331" t="str">
        <f>'Both teabags AfterDry'!A667</f>
        <v>R832</v>
      </c>
      <c r="X331" t="b">
        <f t="shared" si="128"/>
        <v>0</v>
      </c>
      <c r="Y331" t="b">
        <f t="shared" si="129"/>
        <v>0</v>
      </c>
      <c r="AA331" t="str">
        <f>'Green_rooibos initial weight'!A332</f>
        <v>G328</v>
      </c>
      <c r="AB331" t="str">
        <f>'Green_rooibos initial weight'!A1236</f>
        <v>R328</v>
      </c>
      <c r="AC331" t="b">
        <f t="shared" si="130"/>
        <v>0</v>
      </c>
      <c r="AD331" t="b">
        <f t="shared" si="131"/>
        <v>0</v>
      </c>
      <c r="AG331" t="str">
        <f>'WetLitterbags placem_collection'!O110</f>
        <v>G845</v>
      </c>
      <c r="AH331" t="str">
        <f>'WetLitterbags placem_collection'!Q110</f>
        <v>R509</v>
      </c>
      <c r="AI331" t="b">
        <f t="shared" si="132"/>
        <v>0</v>
      </c>
      <c r="AJ331" t="b">
        <f t="shared" si="133"/>
        <v>0</v>
      </c>
      <c r="AK331">
        <f>'WetLitterbags placem_collection'!A110</f>
        <v>108</v>
      </c>
      <c r="AL331">
        <f>'WetLitterbags placem_collection'!A110</f>
        <v>108</v>
      </c>
      <c r="AN331">
        <f>IF('Dry_Litterbag Placem_Collection'!L110=0,"",'Dry_Litterbag Placem_Collection'!L110)</f>
        <v>62</v>
      </c>
      <c r="AO331">
        <f>IF('Dry_Litterbag Placem_Collection'!M110=0,"",'Dry_Litterbag Placem_Collection'!M110)</f>
        <v>206</v>
      </c>
      <c r="AP331" t="b">
        <f t="shared" si="134"/>
        <v>0</v>
      </c>
      <c r="AQ331" t="b">
        <f t="shared" si="135"/>
        <v>0</v>
      </c>
      <c r="AT331" t="str">
        <f>'Ashed teabags dry'!A329</f>
        <v>G88</v>
      </c>
      <c r="AU331" t="str">
        <f>'Ashed teabags dry'!A666</f>
        <v>R830</v>
      </c>
      <c r="AV331" t="b">
        <f t="shared" si="136"/>
        <v>0</v>
      </c>
      <c r="AW331" t="b">
        <f t="shared" si="137"/>
        <v>0</v>
      </c>
      <c r="AZ331" s="401" t="b">
        <f t="shared" si="138"/>
        <v>0</v>
      </c>
      <c r="BA331" s="401" t="b">
        <f t="shared" si="139"/>
        <v>0</v>
      </c>
      <c r="BC331" t="str">
        <f>'Ashed teabags wet'!A329</f>
        <v>G795</v>
      </c>
      <c r="BD331" t="str">
        <f>'Ashed teabags wet'!A746</f>
        <v>R567</v>
      </c>
      <c r="BE331" t="b">
        <f t="shared" si="140"/>
        <v>0</v>
      </c>
      <c r="BF331" t="b">
        <f t="shared" si="141"/>
        <v>0</v>
      </c>
      <c r="BG331">
        <f>IFERROR('Ashed teabags wet'!C329,"")</f>
        <v>217</v>
      </c>
      <c r="BH331">
        <f>IFERROR('Ashed teabags wet'!C746,"")</f>
        <v>143</v>
      </c>
      <c r="BI331">
        <f>'Ashed teabags wet'!AB329</f>
        <v>216</v>
      </c>
      <c r="BJ331" t="str">
        <f>'Ashed teabags wet'!AC329</f>
        <v/>
      </c>
      <c r="BK331" t="str">
        <f>'Ashed teabags wet'!AD746</f>
        <v/>
      </c>
      <c r="BL331">
        <f>'Ashed teabags wet'!AE746</f>
        <v>142</v>
      </c>
      <c r="BN331" t="str">
        <f t="shared" si="142"/>
        <v>G793</v>
      </c>
      <c r="BO331" t="b">
        <f t="shared" si="143"/>
        <v>1</v>
      </c>
    </row>
    <row r="332" spans="2:67" ht="12" customHeight="1">
      <c r="B332" t="str">
        <f>TBIDry!H404</f>
        <v>G102</v>
      </c>
      <c r="C332" t="str">
        <f>TBIDry!I404</f>
        <v>R299</v>
      </c>
      <c r="D332" t="b">
        <f t="shared" si="120"/>
        <v>0</v>
      </c>
      <c r="E332" t="b">
        <f t="shared" si="121"/>
        <v>0</v>
      </c>
      <c r="G332" t="str">
        <f>TBIWet!H404</f>
        <v>G887</v>
      </c>
      <c r="H332" t="str">
        <f>TBIWet!I404</f>
        <v>R33</v>
      </c>
      <c r="I332" t="b">
        <f t="shared" si="122"/>
        <v>0</v>
      </c>
      <c r="J332" t="b">
        <f t="shared" si="123"/>
        <v>0</v>
      </c>
      <c r="L332" t="str">
        <f>'Both teabags AfterWet'!A331</f>
        <v>G795</v>
      </c>
      <c r="M332" t="str">
        <f>'Both teabags AfterWet'!A749</f>
        <v>R549</v>
      </c>
      <c r="N332" t="b">
        <f t="shared" si="124"/>
        <v>0</v>
      </c>
      <c r="O332" t="b">
        <f t="shared" si="125"/>
        <v>0</v>
      </c>
      <c r="P332">
        <f>IFERROR('Both teabags AfterWet'!B331,"")</f>
        <v>217</v>
      </c>
      <c r="Q332">
        <f>'Both teabags AfterWet'!B749</f>
        <v>99</v>
      </c>
      <c r="S332" s="401" t="b">
        <f t="shared" si="126"/>
        <v>0</v>
      </c>
      <c r="T332" s="401" t="b">
        <f t="shared" si="127"/>
        <v>0</v>
      </c>
      <c r="V332" t="str">
        <f>'Both teabags AfterDry'!A331</f>
        <v>G88</v>
      </c>
      <c r="W332" t="str">
        <f>'Both teabags AfterDry'!A668</f>
        <v>R833</v>
      </c>
      <c r="X332" t="b">
        <f t="shared" si="128"/>
        <v>0</v>
      </c>
      <c r="Y332" t="b">
        <f t="shared" si="129"/>
        <v>0</v>
      </c>
      <c r="AA332" t="str">
        <f>'Green_rooibos initial weight'!A333</f>
        <v>G329</v>
      </c>
      <c r="AB332" t="str">
        <f>'Green_rooibos initial weight'!A1237</f>
        <v>R329</v>
      </c>
      <c r="AC332" t="b">
        <f t="shared" si="130"/>
        <v>0</v>
      </c>
      <c r="AD332" t="b">
        <f t="shared" si="131"/>
        <v>0</v>
      </c>
      <c r="AG332" t="str">
        <f>'WetLitterbags placem_collection'!O111</f>
        <v>G887</v>
      </c>
      <c r="AH332" t="str">
        <f>'WetLitterbags placem_collection'!Q111</f>
        <v>R33</v>
      </c>
      <c r="AI332" t="b">
        <f t="shared" si="132"/>
        <v>0</v>
      </c>
      <c r="AJ332" t="b">
        <f t="shared" si="133"/>
        <v>0</v>
      </c>
      <c r="AK332">
        <f>'WetLitterbags placem_collection'!A111</f>
        <v>109</v>
      </c>
      <c r="AL332">
        <f>'WetLitterbags placem_collection'!A111</f>
        <v>109</v>
      </c>
      <c r="AN332">
        <f>IF('Dry_Litterbag Placem_Collection'!L111=0,"",'Dry_Litterbag Placem_Collection'!L111)</f>
        <v>102</v>
      </c>
      <c r="AO332">
        <f>IF('Dry_Litterbag Placem_Collection'!M111=0,"",'Dry_Litterbag Placem_Collection'!M111)</f>
        <v>299</v>
      </c>
      <c r="AP332" t="b">
        <f t="shared" si="134"/>
        <v>0</v>
      </c>
      <c r="AQ332" t="b">
        <f t="shared" si="135"/>
        <v>0</v>
      </c>
      <c r="AT332" t="str">
        <f>'Ashed teabags dry'!A330</f>
        <v>G90</v>
      </c>
      <c r="AU332" t="str">
        <f>'Ashed teabags dry'!A667</f>
        <v>R831</v>
      </c>
      <c r="AV332" t="b">
        <f t="shared" si="136"/>
        <v>0</v>
      </c>
      <c r="AW332" t="b">
        <f t="shared" si="137"/>
        <v>0</v>
      </c>
      <c r="AZ332" s="401" t="b">
        <f t="shared" si="138"/>
        <v>0</v>
      </c>
      <c r="BA332" s="401" t="b">
        <f t="shared" si="139"/>
        <v>0</v>
      </c>
      <c r="BC332" t="str">
        <f>'Ashed teabags wet'!A330</f>
        <v>G796</v>
      </c>
      <c r="BD332" t="str">
        <f>'Ashed teabags wet'!A747</f>
        <v>R569</v>
      </c>
      <c r="BE332" t="b">
        <f t="shared" si="140"/>
        <v>0</v>
      </c>
      <c r="BF332" t="b">
        <f t="shared" si="141"/>
        <v>0</v>
      </c>
      <c r="BG332">
        <f>IFERROR('Ashed teabags wet'!C330,"")</f>
        <v>211</v>
      </c>
      <c r="BH332">
        <f>IFERROR('Ashed teabags wet'!C747,"")</f>
        <v>102</v>
      </c>
      <c r="BI332" t="str">
        <f>'Ashed teabags wet'!AB330</f>
        <v/>
      </c>
      <c r="BJ332">
        <f>'Ashed teabags wet'!AC330</f>
        <v>210</v>
      </c>
      <c r="BK332">
        <f>'Ashed teabags wet'!AD747</f>
        <v>101</v>
      </c>
      <c r="BL332" t="str">
        <f>'Ashed teabags wet'!AE747</f>
        <v/>
      </c>
      <c r="BN332" t="str">
        <f t="shared" si="142"/>
        <v>G795</v>
      </c>
      <c r="BO332" t="b">
        <f t="shared" si="143"/>
        <v>1</v>
      </c>
    </row>
    <row r="333" spans="2:67" ht="12" customHeight="1">
      <c r="B333" t="str">
        <f>TBIDry!H405</f>
        <v>G265</v>
      </c>
      <c r="C333" t="str">
        <f>TBIDry!I405</f>
        <v>R636</v>
      </c>
      <c r="D333" t="b">
        <f t="shared" si="120"/>
        <v>0</v>
      </c>
      <c r="E333" t="b">
        <f t="shared" si="121"/>
        <v>0</v>
      </c>
      <c r="G333" t="str">
        <f>TBIWet!H405</f>
        <v>G882</v>
      </c>
      <c r="H333" t="str">
        <f>TBIWet!I405</f>
        <v>R54a</v>
      </c>
      <c r="I333" t="b">
        <f t="shared" si="122"/>
        <v>0</v>
      </c>
      <c r="J333" t="b">
        <f t="shared" si="123"/>
        <v>0</v>
      </c>
      <c r="L333" t="str">
        <f>'Both teabags AfterWet'!A332</f>
        <v>G796</v>
      </c>
      <c r="M333" t="str">
        <f>'Both teabags AfterWet'!A750</f>
        <v>R54a</v>
      </c>
      <c r="N333" t="b">
        <f t="shared" si="124"/>
        <v>0</v>
      </c>
      <c r="O333" t="b">
        <f t="shared" si="125"/>
        <v>0</v>
      </c>
      <c r="P333">
        <f>IFERROR('Both teabags AfterWet'!B332,"")</f>
        <v>221</v>
      </c>
      <c r="Q333" t="str">
        <f>'Both teabags AfterWet'!B750</f>
        <v>n.a</v>
      </c>
      <c r="S333" s="401" t="b">
        <f t="shared" si="126"/>
        <v>0</v>
      </c>
      <c r="T333" s="401" t="b">
        <f t="shared" si="127"/>
        <v>0</v>
      </c>
      <c r="V333" t="str">
        <f>'Both teabags AfterDry'!A332</f>
        <v>G90</v>
      </c>
      <c r="W333" t="str">
        <f>'Both teabags AfterDry'!A669</f>
        <v>R835</v>
      </c>
      <c r="X333" t="b">
        <f t="shared" si="128"/>
        <v>0</v>
      </c>
      <c r="Y333" t="b">
        <f t="shared" si="129"/>
        <v>0</v>
      </c>
      <c r="AA333" t="str">
        <f>'Green_rooibos initial weight'!A334</f>
        <v>G330</v>
      </c>
      <c r="AB333" t="str">
        <f>'Green_rooibos initial weight'!A1238</f>
        <v>R330</v>
      </c>
      <c r="AC333" t="b">
        <f t="shared" si="130"/>
        <v>0</v>
      </c>
      <c r="AD333" t="b">
        <f t="shared" si="131"/>
        <v>0</v>
      </c>
      <c r="AG333" t="str">
        <f>'WetLitterbags placem_collection'!O112</f>
        <v>G882</v>
      </c>
      <c r="AH333" t="str">
        <f>'WetLitterbags placem_collection'!Q112</f>
        <v>R54a</v>
      </c>
      <c r="AI333" t="b">
        <f t="shared" si="132"/>
        <v>0</v>
      </c>
      <c r="AJ333" t="b">
        <f t="shared" si="133"/>
        <v>0</v>
      </c>
      <c r="AK333">
        <f>'WetLitterbags placem_collection'!A112</f>
        <v>110</v>
      </c>
      <c r="AL333">
        <f>'WetLitterbags placem_collection'!A112</f>
        <v>110</v>
      </c>
      <c r="AN333">
        <f>IF('Dry_Litterbag Placem_Collection'!L112=0,"",'Dry_Litterbag Placem_Collection'!L112)</f>
        <v>265</v>
      </c>
      <c r="AO333">
        <f>IF('Dry_Litterbag Placem_Collection'!M112=0,"",'Dry_Litterbag Placem_Collection'!M112)</f>
        <v>636</v>
      </c>
      <c r="AP333" t="b">
        <f t="shared" si="134"/>
        <v>0</v>
      </c>
      <c r="AQ333" t="b">
        <f t="shared" si="135"/>
        <v>0</v>
      </c>
      <c r="AT333" t="str">
        <f>'Ashed teabags dry'!A331</f>
        <v>G91</v>
      </c>
      <c r="AU333" t="str">
        <f>'Ashed teabags dry'!A668</f>
        <v>R832</v>
      </c>
      <c r="AV333" t="b">
        <f t="shared" si="136"/>
        <v>0</v>
      </c>
      <c r="AW333" t="b">
        <f t="shared" si="137"/>
        <v>0</v>
      </c>
      <c r="AZ333" s="401" t="b">
        <f t="shared" si="138"/>
        <v>0</v>
      </c>
      <c r="BA333" s="401" t="b">
        <f t="shared" si="139"/>
        <v>0</v>
      </c>
      <c r="BC333" t="str">
        <f>'Ashed teabags wet'!A331</f>
        <v>G798</v>
      </c>
      <c r="BD333" t="str">
        <f>'Ashed teabags wet'!A748</f>
        <v>R570</v>
      </c>
      <c r="BE333" t="b">
        <f t="shared" si="140"/>
        <v>0</v>
      </c>
      <c r="BF333" t="b">
        <f t="shared" si="141"/>
        <v>0</v>
      </c>
      <c r="BG333">
        <f>IFERROR('Ashed teabags wet'!C331,"")</f>
        <v>139</v>
      </c>
      <c r="BH333">
        <f>IFERROR('Ashed teabags wet'!C748,"")</f>
        <v>158</v>
      </c>
      <c r="BI333">
        <f>'Ashed teabags wet'!AB331</f>
        <v>138</v>
      </c>
      <c r="BJ333" t="str">
        <f>'Ashed teabags wet'!AC331</f>
        <v/>
      </c>
      <c r="BK333" t="str">
        <f>'Ashed teabags wet'!AD748</f>
        <v/>
      </c>
      <c r="BL333">
        <f>'Ashed teabags wet'!AE748</f>
        <v>157</v>
      </c>
      <c r="BN333" t="str">
        <f t="shared" si="142"/>
        <v>G796</v>
      </c>
      <c r="BO333" t="b">
        <f t="shared" si="143"/>
        <v>1</v>
      </c>
    </row>
    <row r="334" spans="2:67" ht="12" customHeight="1">
      <c r="B334" t="str">
        <f>TBIDry!H406</f>
        <v>G455</v>
      </c>
      <c r="C334" t="str">
        <f>TBIDry!I406</f>
        <v>R239</v>
      </c>
      <c r="D334" t="b">
        <f t="shared" si="120"/>
        <v>0</v>
      </c>
      <c r="E334" t="b">
        <f t="shared" si="121"/>
        <v>0</v>
      </c>
      <c r="G334" t="str">
        <f>TBIWet!H406</f>
        <v>G695</v>
      </c>
      <c r="H334" t="str">
        <f>TBIWet!I406</f>
        <v>R487</v>
      </c>
      <c r="I334" t="b">
        <f t="shared" si="122"/>
        <v>0</v>
      </c>
      <c r="J334" t="b">
        <f t="shared" si="123"/>
        <v>0</v>
      </c>
      <c r="L334" t="str">
        <f>'Both teabags AfterWet'!A333</f>
        <v>G798</v>
      </c>
      <c r="M334" t="str">
        <f>'Both teabags AfterWet'!A751</f>
        <v>R54b</v>
      </c>
      <c r="N334" t="b">
        <f t="shared" si="124"/>
        <v>0</v>
      </c>
      <c r="O334" t="b">
        <f t="shared" si="125"/>
        <v>0</v>
      </c>
      <c r="P334">
        <f>IFERROR('Both teabags AfterWet'!B333,"")</f>
        <v>139</v>
      </c>
      <c r="Q334">
        <f>'Both teabags AfterWet'!B751</f>
        <v>55</v>
      </c>
      <c r="S334" s="401" t="b">
        <f t="shared" si="126"/>
        <v>0</v>
      </c>
      <c r="T334" s="401" t="b">
        <f t="shared" si="127"/>
        <v>0</v>
      </c>
      <c r="V334" t="str">
        <f>'Both teabags AfterDry'!A333</f>
        <v>G91</v>
      </c>
      <c r="W334" t="str">
        <f>'Both teabags AfterDry'!A670</f>
        <v>R836</v>
      </c>
      <c r="X334" t="b">
        <f t="shared" si="128"/>
        <v>0</v>
      </c>
      <c r="Y334" t="b">
        <f t="shared" si="129"/>
        <v>0</v>
      </c>
      <c r="AA334" t="str">
        <f>'Green_rooibos initial weight'!A335</f>
        <v>G331</v>
      </c>
      <c r="AB334" t="str">
        <f>'Green_rooibos initial weight'!A1239</f>
        <v>R331</v>
      </c>
      <c r="AC334" t="b">
        <f t="shared" si="130"/>
        <v>0</v>
      </c>
      <c r="AD334" t="b">
        <f t="shared" si="131"/>
        <v>0</v>
      </c>
      <c r="AG334" t="str">
        <f>'WetLitterbags placem_collection'!O113</f>
        <v>G695</v>
      </c>
      <c r="AH334" t="str">
        <f>'WetLitterbags placem_collection'!Q113</f>
        <v>R487</v>
      </c>
      <c r="AI334" t="b">
        <f t="shared" si="132"/>
        <v>0</v>
      </c>
      <c r="AJ334" t="b">
        <f t="shared" si="133"/>
        <v>0</v>
      </c>
      <c r="AK334">
        <f>'WetLitterbags placem_collection'!A113</f>
        <v>111</v>
      </c>
      <c r="AL334">
        <f>'WetLitterbags placem_collection'!A113</f>
        <v>111</v>
      </c>
      <c r="AN334">
        <f>IF('Dry_Litterbag Placem_Collection'!L113=0,"",'Dry_Litterbag Placem_Collection'!L113)</f>
        <v>455</v>
      </c>
      <c r="AO334">
        <f>IF('Dry_Litterbag Placem_Collection'!M113=0,"",'Dry_Litterbag Placem_Collection'!M113)</f>
        <v>239</v>
      </c>
      <c r="AP334" t="b">
        <f t="shared" si="134"/>
        <v>0</v>
      </c>
      <c r="AQ334" t="b">
        <f t="shared" si="135"/>
        <v>0</v>
      </c>
      <c r="AT334" t="str">
        <f>'Ashed teabags dry'!A332</f>
        <v>G92</v>
      </c>
      <c r="AU334" t="str">
        <f>'Ashed teabags dry'!A669</f>
        <v>R833</v>
      </c>
      <c r="AV334" t="b">
        <f t="shared" si="136"/>
        <v>0</v>
      </c>
      <c r="AW334" t="b">
        <f t="shared" si="137"/>
        <v>0</v>
      </c>
      <c r="AZ334" s="401" t="b">
        <f t="shared" si="138"/>
        <v>0</v>
      </c>
      <c r="BA334" s="401" t="b">
        <f t="shared" si="139"/>
        <v>0</v>
      </c>
      <c r="BC334" t="str">
        <f>'Ashed teabags wet'!A332</f>
        <v>G799</v>
      </c>
      <c r="BD334" t="str">
        <f>'Ashed teabags wet'!A749</f>
        <v>R571</v>
      </c>
      <c r="BE334" t="b">
        <f t="shared" si="140"/>
        <v>0</v>
      </c>
      <c r="BF334" t="b">
        <f t="shared" si="141"/>
        <v>0</v>
      </c>
      <c r="BG334">
        <f>IFERROR('Ashed teabags wet'!C332,"")</f>
        <v>133</v>
      </c>
      <c r="BH334">
        <f>IFERROR('Ashed teabags wet'!C749,"")</f>
        <v>144</v>
      </c>
      <c r="BI334" t="str">
        <f>'Ashed teabags wet'!AB332</f>
        <v/>
      </c>
      <c r="BJ334">
        <f>'Ashed teabags wet'!AC332</f>
        <v>132</v>
      </c>
      <c r="BK334">
        <f>'Ashed teabags wet'!AD749</f>
        <v>143</v>
      </c>
      <c r="BL334" t="str">
        <f>'Ashed teabags wet'!AE749</f>
        <v/>
      </c>
      <c r="BN334" t="str">
        <f t="shared" si="142"/>
        <v>G798</v>
      </c>
      <c r="BO334" t="b">
        <f t="shared" si="143"/>
        <v>1</v>
      </c>
    </row>
    <row r="335" spans="2:67" ht="12" customHeight="1">
      <c r="B335" t="str">
        <f>TBIDry!H407</f>
        <v/>
      </c>
      <c r="C335" t="str">
        <f>TBIDry!I407</f>
        <v/>
      </c>
      <c r="D335" t="b">
        <f t="shared" si="120"/>
        <v>1</v>
      </c>
      <c r="E335" t="b">
        <f t="shared" si="121"/>
        <v>1</v>
      </c>
      <c r="G335" t="str">
        <f>TBIWet!H407</f>
        <v>G852</v>
      </c>
      <c r="H335" t="str">
        <f>TBIWet!I407</f>
        <v>R530</v>
      </c>
      <c r="I335" t="b">
        <f t="shared" si="122"/>
        <v>0</v>
      </c>
      <c r="J335" t="b">
        <f t="shared" si="123"/>
        <v>0</v>
      </c>
      <c r="L335" t="str">
        <f>'Both teabags AfterWet'!A334</f>
        <v>G799</v>
      </c>
      <c r="M335" t="str">
        <f>'Both teabags AfterWet'!A752</f>
        <v>R55</v>
      </c>
      <c r="N335" t="b">
        <f t="shared" si="124"/>
        <v>0</v>
      </c>
      <c r="O335" t="b">
        <f t="shared" si="125"/>
        <v>0</v>
      </c>
      <c r="P335" t="str">
        <f>IFERROR('Both teabags AfterWet'!B334,"")</f>
        <v>n.a</v>
      </c>
      <c r="Q335">
        <f>'Both teabags AfterWet'!B752</f>
        <v>126</v>
      </c>
      <c r="S335" s="401" t="b">
        <f t="shared" si="126"/>
        <v>0</v>
      </c>
      <c r="T335" s="401" t="b">
        <f t="shared" si="127"/>
        <v>0</v>
      </c>
      <c r="V335" t="str">
        <f>'Both teabags AfterDry'!A334</f>
        <v>G92</v>
      </c>
      <c r="W335" t="str">
        <f>'Both teabags AfterDry'!A671</f>
        <v>R837</v>
      </c>
      <c r="X335" t="b">
        <f t="shared" si="128"/>
        <v>0</v>
      </c>
      <c r="Y335" t="b">
        <f t="shared" si="129"/>
        <v>0</v>
      </c>
      <c r="AA335" t="str">
        <f>'Green_rooibos initial weight'!A336</f>
        <v>G332</v>
      </c>
      <c r="AB335" t="str">
        <f>'Green_rooibos initial weight'!A1240</f>
        <v>R332</v>
      </c>
      <c r="AC335" t="b">
        <f t="shared" si="130"/>
        <v>0</v>
      </c>
      <c r="AD335" t="b">
        <f t="shared" si="131"/>
        <v>0</v>
      </c>
      <c r="AG335" t="str">
        <f>'WetLitterbags placem_collection'!O114</f>
        <v>G852</v>
      </c>
      <c r="AH335" t="str">
        <f>'WetLitterbags placem_collection'!Q114</f>
        <v>R530</v>
      </c>
      <c r="AI335" t="b">
        <f t="shared" si="132"/>
        <v>0</v>
      </c>
      <c r="AJ335" t="b">
        <f t="shared" si="133"/>
        <v>0</v>
      </c>
      <c r="AK335">
        <f>'WetLitterbags placem_collection'!A114</f>
        <v>112</v>
      </c>
      <c r="AL335">
        <f>'WetLitterbags placem_collection'!A114</f>
        <v>112</v>
      </c>
      <c r="AN335" t="str">
        <f>IF('Dry_Litterbag Placem_Collection'!L114=0,"",'Dry_Litterbag Placem_Collection'!L114)</f>
        <v/>
      </c>
      <c r="AO335" t="str">
        <f>IF('Dry_Litterbag Placem_Collection'!M114=0,"",'Dry_Litterbag Placem_Collection'!M114)</f>
        <v/>
      </c>
      <c r="AP335" t="b">
        <f t="shared" si="134"/>
        <v>1</v>
      </c>
      <c r="AQ335" t="b">
        <f t="shared" si="135"/>
        <v>1</v>
      </c>
      <c r="AT335" t="str">
        <f>'Ashed teabags dry'!A333</f>
        <v>G93</v>
      </c>
      <c r="AU335" t="str">
        <f>'Ashed teabags dry'!A670</f>
        <v>R835</v>
      </c>
      <c r="AV335" t="b">
        <f t="shared" si="136"/>
        <v>0</v>
      </c>
      <c r="AW335" t="b">
        <f t="shared" si="137"/>
        <v>0</v>
      </c>
      <c r="AZ335" s="401" t="b">
        <f t="shared" si="138"/>
        <v>0</v>
      </c>
      <c r="BA335" s="401" t="b">
        <f t="shared" si="139"/>
        <v>0</v>
      </c>
      <c r="BC335" t="str">
        <f>'Ashed teabags wet'!A333</f>
        <v>G800</v>
      </c>
      <c r="BD335" t="str">
        <f>'Ashed teabags wet'!A750</f>
        <v>R572</v>
      </c>
      <c r="BE335" t="b">
        <f t="shared" si="140"/>
        <v>0</v>
      </c>
      <c r="BF335" t="b">
        <f t="shared" si="141"/>
        <v>0</v>
      </c>
      <c r="BG335">
        <f>IFERROR('Ashed teabags wet'!C333,"")</f>
        <v>153</v>
      </c>
      <c r="BH335">
        <f>IFERROR('Ashed teabags wet'!C750,"")</f>
        <v>150</v>
      </c>
      <c r="BI335">
        <f>'Ashed teabags wet'!AB333</f>
        <v>152</v>
      </c>
      <c r="BJ335" t="str">
        <f>'Ashed teabags wet'!AC333</f>
        <v/>
      </c>
      <c r="BK335" t="str">
        <f>'Ashed teabags wet'!AD750</f>
        <v/>
      </c>
      <c r="BL335">
        <f>'Ashed teabags wet'!AE750</f>
        <v>149</v>
      </c>
      <c r="BN335" t="str">
        <f t="shared" si="142"/>
        <v>G799</v>
      </c>
      <c r="BO335" t="b">
        <f t="shared" si="143"/>
        <v>1</v>
      </c>
    </row>
    <row r="336" spans="2:67" ht="12" customHeight="1">
      <c r="B336" t="str">
        <f>TBIDry!H408</f>
        <v>G490</v>
      </c>
      <c r="C336" t="str">
        <f>TBIDry!I408</f>
        <v>R313</v>
      </c>
      <c r="D336" t="b">
        <f t="shared" si="120"/>
        <v>0</v>
      </c>
      <c r="E336" t="b">
        <f t="shared" si="121"/>
        <v>0</v>
      </c>
      <c r="G336" t="str">
        <f>TBIWet!H408</f>
        <v>G769</v>
      </c>
      <c r="H336" t="str">
        <f>TBIWet!I408</f>
        <v>R578</v>
      </c>
      <c r="I336" t="b">
        <f t="shared" si="122"/>
        <v>0</v>
      </c>
      <c r="J336" t="b">
        <f t="shared" si="123"/>
        <v>0</v>
      </c>
      <c r="L336" t="str">
        <f>'Both teabags AfterWet'!A335</f>
        <v>G800</v>
      </c>
      <c r="M336" t="str">
        <f>'Both teabags AfterWet'!A753</f>
        <v>R550</v>
      </c>
      <c r="N336" t="b">
        <f t="shared" si="124"/>
        <v>0</v>
      </c>
      <c r="O336" t="b">
        <f t="shared" si="125"/>
        <v>0</v>
      </c>
      <c r="P336" t="str">
        <f>IFERROR('Both teabags AfterWet'!B335,"")</f>
        <v>n.a</v>
      </c>
      <c r="Q336">
        <f>'Both teabags AfterWet'!B753</f>
        <v>64</v>
      </c>
      <c r="S336" s="401" t="b">
        <f t="shared" si="126"/>
        <v>0</v>
      </c>
      <c r="T336" s="401" t="b">
        <f t="shared" si="127"/>
        <v>0</v>
      </c>
      <c r="V336" t="str">
        <f>'Both teabags AfterDry'!A335</f>
        <v>G93</v>
      </c>
      <c r="W336" t="str">
        <f>'Both teabags AfterDry'!A672</f>
        <v>R838</v>
      </c>
      <c r="X336" t="b">
        <f t="shared" si="128"/>
        <v>0</v>
      </c>
      <c r="Y336" t="b">
        <f t="shared" si="129"/>
        <v>0</v>
      </c>
      <c r="AA336" t="str">
        <f>'Green_rooibos initial weight'!A337</f>
        <v>G333</v>
      </c>
      <c r="AB336" t="str">
        <f>'Green_rooibos initial weight'!A1241</f>
        <v>R333</v>
      </c>
      <c r="AC336" t="b">
        <f t="shared" si="130"/>
        <v>0</v>
      </c>
      <c r="AD336" t="b">
        <f t="shared" si="131"/>
        <v>0</v>
      </c>
      <c r="AG336" t="str">
        <f>'WetLitterbags placem_collection'!O115</f>
        <v>G769</v>
      </c>
      <c r="AH336" t="str">
        <f>'WetLitterbags placem_collection'!Q115</f>
        <v>R578</v>
      </c>
      <c r="AI336" t="b">
        <f t="shared" si="132"/>
        <v>0</v>
      </c>
      <c r="AJ336" t="b">
        <f t="shared" si="133"/>
        <v>0</v>
      </c>
      <c r="AK336">
        <f>'WetLitterbags placem_collection'!A115</f>
        <v>113</v>
      </c>
      <c r="AL336">
        <f>'WetLitterbags placem_collection'!A115</f>
        <v>113</v>
      </c>
      <c r="AN336">
        <f>IF('Dry_Litterbag Placem_Collection'!L115=0,"",'Dry_Litterbag Placem_Collection'!L115)</f>
        <v>490</v>
      </c>
      <c r="AO336">
        <f>IF('Dry_Litterbag Placem_Collection'!M115=0,"",'Dry_Litterbag Placem_Collection'!M115)</f>
        <v>313</v>
      </c>
      <c r="AP336" t="b">
        <f t="shared" si="134"/>
        <v>0</v>
      </c>
      <c r="AQ336" t="b">
        <f t="shared" si="135"/>
        <v>0</v>
      </c>
      <c r="AT336" t="str">
        <f>'Ashed teabags dry'!A334</f>
        <v>G94</v>
      </c>
      <c r="AU336" t="str">
        <f>'Ashed teabags dry'!A671</f>
        <v>R836</v>
      </c>
      <c r="AV336" t="b">
        <f t="shared" si="136"/>
        <v>0</v>
      </c>
      <c r="AW336" t="b">
        <f t="shared" si="137"/>
        <v>0</v>
      </c>
      <c r="AZ336" s="401" t="b">
        <f t="shared" si="138"/>
        <v>0</v>
      </c>
      <c r="BA336" s="401" t="b">
        <f t="shared" si="139"/>
        <v>0</v>
      </c>
      <c r="BC336" t="str">
        <f>'Ashed teabags wet'!A334</f>
        <v>G801</v>
      </c>
      <c r="BD336" t="str">
        <f>'Ashed teabags wet'!A751</f>
        <v>R573</v>
      </c>
      <c r="BE336" t="b">
        <f t="shared" si="140"/>
        <v>0</v>
      </c>
      <c r="BF336" t="b">
        <f t="shared" si="141"/>
        <v>0</v>
      </c>
      <c r="BG336">
        <f>IFERROR('Ashed teabags wet'!C334,"")</f>
        <v>150</v>
      </c>
      <c r="BH336">
        <f>IFERROR('Ashed teabags wet'!C751,"")</f>
        <v>147</v>
      </c>
      <c r="BI336" t="str">
        <f>'Ashed teabags wet'!AB334</f>
        <v/>
      </c>
      <c r="BJ336">
        <f>'Ashed teabags wet'!AC334</f>
        <v>149</v>
      </c>
      <c r="BK336">
        <f>'Ashed teabags wet'!AD751</f>
        <v>146</v>
      </c>
      <c r="BL336" t="str">
        <f>'Ashed teabags wet'!AE751</f>
        <v/>
      </c>
      <c r="BN336" t="str">
        <f t="shared" si="142"/>
        <v>G800</v>
      </c>
      <c r="BO336" t="b">
        <f t="shared" si="143"/>
        <v>1</v>
      </c>
    </row>
    <row r="337" spans="2:67" ht="12" customHeight="1">
      <c r="B337" t="str">
        <f>TBIDry!H409</f>
        <v>G650</v>
      </c>
      <c r="C337" t="str">
        <f>TBIDry!I409</f>
        <v>R247</v>
      </c>
      <c r="D337" t="b">
        <f t="shared" si="120"/>
        <v>0</v>
      </c>
      <c r="E337" t="b">
        <f t="shared" si="121"/>
        <v>0</v>
      </c>
      <c r="G337" t="str">
        <f>TBIWet!H409</f>
        <v>G889</v>
      </c>
      <c r="H337" t="str">
        <f>TBIWet!I409</f>
        <v>R37</v>
      </c>
      <c r="I337" t="b">
        <f t="shared" si="122"/>
        <v>0</v>
      </c>
      <c r="J337" t="b">
        <f t="shared" si="123"/>
        <v>0</v>
      </c>
      <c r="L337" t="str">
        <f>'Both teabags AfterWet'!A336</f>
        <v>G801</v>
      </c>
      <c r="M337" t="str">
        <f>'Both teabags AfterWet'!A754</f>
        <v>R552</v>
      </c>
      <c r="N337" t="b">
        <f t="shared" si="124"/>
        <v>0</v>
      </c>
      <c r="O337" t="b">
        <f t="shared" si="125"/>
        <v>0</v>
      </c>
      <c r="P337">
        <f>IFERROR('Both teabags AfterWet'!B336,"")</f>
        <v>150</v>
      </c>
      <c r="Q337">
        <f>'Both teabags AfterWet'!B754</f>
        <v>109</v>
      </c>
      <c r="S337" s="401" t="b">
        <f t="shared" si="126"/>
        <v>0</v>
      </c>
      <c r="T337" s="401" t="b">
        <f t="shared" si="127"/>
        <v>0</v>
      </c>
      <c r="V337" t="str">
        <f>'Both teabags AfterDry'!A336</f>
        <v>G95</v>
      </c>
      <c r="W337" t="str">
        <f>'Both teabags AfterDry'!A673</f>
        <v>R839</v>
      </c>
      <c r="X337" t="b">
        <f t="shared" si="128"/>
        <v>0</v>
      </c>
      <c r="Y337" t="b">
        <f t="shared" si="129"/>
        <v>0</v>
      </c>
      <c r="AA337" t="str">
        <f>'Green_rooibos initial weight'!A338</f>
        <v>G334</v>
      </c>
      <c r="AB337" t="str">
        <f>'Green_rooibos initial weight'!A1242</f>
        <v>R334</v>
      </c>
      <c r="AC337" t="b">
        <f t="shared" si="130"/>
        <v>0</v>
      </c>
      <c r="AD337" t="b">
        <f t="shared" si="131"/>
        <v>0</v>
      </c>
      <c r="AG337" t="str">
        <f>'WetLitterbags placem_collection'!O116</f>
        <v>G889</v>
      </c>
      <c r="AH337" t="str">
        <f>'WetLitterbags placem_collection'!Q116</f>
        <v>R37</v>
      </c>
      <c r="AI337" t="b">
        <f t="shared" si="132"/>
        <v>0</v>
      </c>
      <c r="AJ337" t="b">
        <f t="shared" si="133"/>
        <v>0</v>
      </c>
      <c r="AK337">
        <f>'WetLitterbags placem_collection'!A116</f>
        <v>114</v>
      </c>
      <c r="AL337">
        <f>'WetLitterbags placem_collection'!A116</f>
        <v>114</v>
      </c>
      <c r="AN337">
        <f>IF('Dry_Litterbag Placem_Collection'!L116=0,"",'Dry_Litterbag Placem_Collection'!L116)</f>
        <v>650</v>
      </c>
      <c r="AO337">
        <f>IF('Dry_Litterbag Placem_Collection'!M116=0,"",'Dry_Litterbag Placem_Collection'!M116)</f>
        <v>247</v>
      </c>
      <c r="AP337" t="b">
        <f t="shared" si="134"/>
        <v>0</v>
      </c>
      <c r="AQ337" t="b">
        <f t="shared" si="135"/>
        <v>0</v>
      </c>
      <c r="AT337" t="str">
        <f>'Ashed teabags dry'!A335</f>
        <v>G95</v>
      </c>
      <c r="AU337" t="str">
        <f>'Ashed teabags dry'!A672</f>
        <v>R837</v>
      </c>
      <c r="AV337" t="b">
        <f t="shared" si="136"/>
        <v>0</v>
      </c>
      <c r="AW337" t="b">
        <f t="shared" si="137"/>
        <v>0</v>
      </c>
      <c r="AZ337" s="401" t="b">
        <f t="shared" si="138"/>
        <v>0</v>
      </c>
      <c r="BA337" s="401" t="b">
        <f t="shared" si="139"/>
        <v>0</v>
      </c>
      <c r="BC337" t="str">
        <f>'Ashed teabags wet'!A335</f>
        <v>G802</v>
      </c>
      <c r="BD337" t="str">
        <f>'Ashed teabags wet'!A752</f>
        <v>R574</v>
      </c>
      <c r="BE337" t="b">
        <f t="shared" si="140"/>
        <v>0</v>
      </c>
      <c r="BF337" t="b">
        <f t="shared" si="141"/>
        <v>0</v>
      </c>
      <c r="BG337">
        <f>IFERROR('Ashed teabags wet'!C335,"")</f>
        <v>119</v>
      </c>
      <c r="BH337">
        <f>IFERROR('Ashed teabags wet'!C752,"")</f>
        <v>107</v>
      </c>
      <c r="BI337" t="str">
        <f>'Ashed teabags wet'!AB335</f>
        <v/>
      </c>
      <c r="BJ337">
        <f>'Ashed teabags wet'!AC335</f>
        <v>118</v>
      </c>
      <c r="BK337">
        <f>'Ashed teabags wet'!AD752</f>
        <v>106</v>
      </c>
      <c r="BL337" t="str">
        <f>'Ashed teabags wet'!AE752</f>
        <v/>
      </c>
      <c r="BN337" t="str">
        <f t="shared" si="142"/>
        <v>G801</v>
      </c>
      <c r="BO337" t="b">
        <f t="shared" si="143"/>
        <v>1</v>
      </c>
    </row>
    <row r="338" spans="2:67" ht="12" customHeight="1">
      <c r="B338" t="str">
        <f>TBIDry!H410</f>
        <v>G873</v>
      </c>
      <c r="C338" t="str">
        <f>TBIDry!I410</f>
        <v>R671</v>
      </c>
      <c r="D338" t="b">
        <f t="shared" si="120"/>
        <v>0</v>
      </c>
      <c r="E338" t="b">
        <f t="shared" si="121"/>
        <v>0</v>
      </c>
      <c r="G338" t="str">
        <f>TBIWet!H410</f>
        <v>G778</v>
      </c>
      <c r="H338" t="str">
        <f>TBIWet!I410</f>
        <v>R522</v>
      </c>
      <c r="I338" t="b">
        <f t="shared" si="122"/>
        <v>0</v>
      </c>
      <c r="J338" t="b">
        <f t="shared" si="123"/>
        <v>0</v>
      </c>
      <c r="L338" t="str">
        <f>'Both teabags AfterWet'!A337</f>
        <v>G802</v>
      </c>
      <c r="M338" t="str">
        <f>'Both teabags AfterWet'!A755</f>
        <v>R553</v>
      </c>
      <c r="N338" t="b">
        <f t="shared" si="124"/>
        <v>0</v>
      </c>
      <c r="O338" t="b">
        <f t="shared" si="125"/>
        <v>0</v>
      </c>
      <c r="P338">
        <f>IFERROR('Both teabags AfterWet'!B337,"")</f>
        <v>119</v>
      </c>
      <c r="Q338">
        <f>'Both teabags AfterWet'!B755</f>
        <v>115</v>
      </c>
      <c r="S338" s="401" t="b">
        <f t="shared" si="126"/>
        <v>0</v>
      </c>
      <c r="T338" s="401" t="b">
        <f t="shared" si="127"/>
        <v>0</v>
      </c>
      <c r="V338" t="str">
        <f>'Both teabags AfterDry'!A337</f>
        <v>G96</v>
      </c>
      <c r="W338" t="str">
        <f>'Both teabags AfterDry'!A674</f>
        <v>R84</v>
      </c>
      <c r="X338" t="b">
        <f t="shared" si="128"/>
        <v>0</v>
      </c>
      <c r="Y338" t="b">
        <f t="shared" si="129"/>
        <v>0</v>
      </c>
      <c r="AA338" t="str">
        <f>'Green_rooibos initial weight'!A339</f>
        <v>G335</v>
      </c>
      <c r="AB338" t="str">
        <f>'Green_rooibos initial weight'!A1243</f>
        <v>R335</v>
      </c>
      <c r="AC338" t="b">
        <f t="shared" si="130"/>
        <v>0</v>
      </c>
      <c r="AD338" t="b">
        <f t="shared" si="131"/>
        <v>0</v>
      </c>
      <c r="AG338" t="str">
        <f>'WetLitterbags placem_collection'!O117</f>
        <v>G778</v>
      </c>
      <c r="AH338" t="str">
        <f>'WetLitterbags placem_collection'!Q117</f>
        <v>R522</v>
      </c>
      <c r="AI338" t="b">
        <f t="shared" si="132"/>
        <v>0</v>
      </c>
      <c r="AJ338" t="b">
        <f t="shared" si="133"/>
        <v>0</v>
      </c>
      <c r="AK338">
        <f>'WetLitterbags placem_collection'!A117</f>
        <v>115</v>
      </c>
      <c r="AL338">
        <f>'WetLitterbags placem_collection'!A117</f>
        <v>115</v>
      </c>
      <c r="AN338">
        <f>IF('Dry_Litterbag Placem_Collection'!L117=0,"",'Dry_Litterbag Placem_Collection'!L117)</f>
        <v>873</v>
      </c>
      <c r="AO338">
        <f>IF('Dry_Litterbag Placem_Collection'!M117=0,"",'Dry_Litterbag Placem_Collection'!M117)</f>
        <v>671</v>
      </c>
      <c r="AP338" t="b">
        <f t="shared" si="134"/>
        <v>0</v>
      </c>
      <c r="AQ338" t="b">
        <f t="shared" si="135"/>
        <v>0</v>
      </c>
      <c r="AT338" t="str">
        <f>'Ashed teabags dry'!A336</f>
        <v>G96</v>
      </c>
      <c r="AU338" t="str">
        <f>'Ashed teabags dry'!A673</f>
        <v>R838</v>
      </c>
      <c r="AV338" t="b">
        <f t="shared" si="136"/>
        <v>0</v>
      </c>
      <c r="AW338" t="b">
        <f t="shared" si="137"/>
        <v>0</v>
      </c>
      <c r="AZ338" s="401" t="b">
        <f t="shared" si="138"/>
        <v>0</v>
      </c>
      <c r="BA338" s="401" t="b">
        <f t="shared" si="139"/>
        <v>0</v>
      </c>
      <c r="BC338" t="str">
        <f>'Ashed teabags wet'!A336</f>
        <v>G803</v>
      </c>
      <c r="BD338" t="str">
        <f>'Ashed teabags wet'!A753</f>
        <v>R575</v>
      </c>
      <c r="BE338" t="b">
        <f t="shared" si="140"/>
        <v>0</v>
      </c>
      <c r="BF338" t="b">
        <f t="shared" si="141"/>
        <v>0</v>
      </c>
      <c r="BG338">
        <f>IFERROR('Ashed teabags wet'!C336,"")</f>
        <v>114</v>
      </c>
      <c r="BH338">
        <f>IFERROR('Ashed teabags wet'!C753,"")</f>
        <v>123</v>
      </c>
      <c r="BI338">
        <f>'Ashed teabags wet'!AB336</f>
        <v>113</v>
      </c>
      <c r="BJ338" t="str">
        <f>'Ashed teabags wet'!AC336</f>
        <v/>
      </c>
      <c r="BK338">
        <f>'Ashed teabags wet'!AD753</f>
        <v>122</v>
      </c>
      <c r="BL338" t="str">
        <f>'Ashed teabags wet'!AE753</f>
        <v/>
      </c>
      <c r="BN338" t="str">
        <f t="shared" si="142"/>
        <v>G802</v>
      </c>
      <c r="BO338" t="b">
        <f t="shared" si="143"/>
        <v>1</v>
      </c>
    </row>
    <row r="339" spans="2:67" ht="12" customHeight="1">
      <c r="B339" t="str">
        <f>TBIDry!H411</f>
        <v>G206</v>
      </c>
      <c r="C339" t="str">
        <f>TBIDry!I411</f>
        <v>R638</v>
      </c>
      <c r="D339" t="b">
        <f t="shared" si="120"/>
        <v>0</v>
      </c>
      <c r="E339" t="b">
        <f t="shared" si="121"/>
        <v>0</v>
      </c>
      <c r="G339" t="str">
        <f>TBIWet!H411</f>
        <v>G563</v>
      </c>
      <c r="H339" t="str">
        <f>TBIWet!I411</f>
        <v>R480</v>
      </c>
      <c r="I339" t="b">
        <f t="shared" si="122"/>
        <v>0</v>
      </c>
      <c r="J339" t="b">
        <f t="shared" si="123"/>
        <v>0</v>
      </c>
      <c r="L339" t="str">
        <f>'Both teabags AfterWet'!A338</f>
        <v>G803</v>
      </c>
      <c r="M339" t="str">
        <f>'Both teabags AfterWet'!A756</f>
        <v>R554</v>
      </c>
      <c r="N339" t="b">
        <f t="shared" si="124"/>
        <v>0</v>
      </c>
      <c r="O339" t="b">
        <f t="shared" si="125"/>
        <v>0</v>
      </c>
      <c r="P339">
        <f>IFERROR('Both teabags AfterWet'!B338,"")</f>
        <v>114</v>
      </c>
      <c r="Q339">
        <f>'Both teabags AfterWet'!B756</f>
        <v>128</v>
      </c>
      <c r="S339" s="401" t="b">
        <f t="shared" si="126"/>
        <v>0</v>
      </c>
      <c r="T339" s="401" t="b">
        <f t="shared" si="127"/>
        <v>0</v>
      </c>
      <c r="V339" t="str">
        <f>'Both teabags AfterDry'!A338</f>
        <v>G97</v>
      </c>
      <c r="W339" t="str">
        <f>'Both teabags AfterDry'!A675</f>
        <v>R840</v>
      </c>
      <c r="X339" t="b">
        <f t="shared" si="128"/>
        <v>0</v>
      </c>
      <c r="Y339" t="b">
        <f t="shared" si="129"/>
        <v>0</v>
      </c>
      <c r="AA339" t="str">
        <f>'Green_rooibos initial weight'!A340</f>
        <v>G336</v>
      </c>
      <c r="AB339" t="str">
        <f>'Green_rooibos initial weight'!A1244</f>
        <v>R336</v>
      </c>
      <c r="AC339" t="b">
        <f t="shared" si="130"/>
        <v>0</v>
      </c>
      <c r="AD339" t="b">
        <f t="shared" si="131"/>
        <v>0</v>
      </c>
      <c r="AG339" t="str">
        <f>'WetLitterbags placem_collection'!O118</f>
        <v>G563</v>
      </c>
      <c r="AH339" t="str">
        <f>'WetLitterbags placem_collection'!Q118</f>
        <v>R480</v>
      </c>
      <c r="AI339" t="b">
        <f t="shared" si="132"/>
        <v>0</v>
      </c>
      <c r="AJ339" t="b">
        <f t="shared" si="133"/>
        <v>0</v>
      </c>
      <c r="AK339">
        <f>'WetLitterbags placem_collection'!A118</f>
        <v>116</v>
      </c>
      <c r="AL339">
        <f>'WetLitterbags placem_collection'!A118</f>
        <v>116</v>
      </c>
      <c r="AN339">
        <f>IF('Dry_Litterbag Placem_Collection'!L118=0,"",'Dry_Litterbag Placem_Collection'!L118)</f>
        <v>206</v>
      </c>
      <c r="AO339">
        <f>IF('Dry_Litterbag Placem_Collection'!M118=0,"",'Dry_Litterbag Placem_Collection'!M118)</f>
        <v>638</v>
      </c>
      <c r="AP339" t="b">
        <f t="shared" si="134"/>
        <v>0</v>
      </c>
      <c r="AQ339" t="b">
        <f t="shared" si="135"/>
        <v>0</v>
      </c>
      <c r="AT339" t="str">
        <f>'Ashed teabags dry'!A337</f>
        <v>G97</v>
      </c>
      <c r="AU339" t="str">
        <f>'Ashed teabags dry'!A674</f>
        <v>R839</v>
      </c>
      <c r="AV339" t="b">
        <f t="shared" si="136"/>
        <v>0</v>
      </c>
      <c r="AW339" t="b">
        <f t="shared" si="137"/>
        <v>0</v>
      </c>
      <c r="AZ339" s="401" t="b">
        <f t="shared" si="138"/>
        <v>0</v>
      </c>
      <c r="BA339" s="401" t="b">
        <f t="shared" si="139"/>
        <v>0</v>
      </c>
      <c r="BC339" t="str">
        <f>'Ashed teabags wet'!A337</f>
        <v>G804</v>
      </c>
      <c r="BD339" t="str">
        <f>'Ashed teabags wet'!A754</f>
        <v>R576</v>
      </c>
      <c r="BE339" t="b">
        <f t="shared" si="140"/>
        <v>0</v>
      </c>
      <c r="BF339" t="b">
        <f t="shared" si="141"/>
        <v>0</v>
      </c>
      <c r="BG339">
        <f>IFERROR('Ashed teabags wet'!C337,"")</f>
        <v>217</v>
      </c>
      <c r="BH339">
        <f>IFERROR('Ashed teabags wet'!C754,"")</f>
        <v>97</v>
      </c>
      <c r="BI339" t="str">
        <f>'Ashed teabags wet'!AB337</f>
        <v/>
      </c>
      <c r="BJ339">
        <f>'Ashed teabags wet'!AC337</f>
        <v>216</v>
      </c>
      <c r="BK339" t="str">
        <f>'Ashed teabags wet'!AD754</f>
        <v/>
      </c>
      <c r="BL339">
        <f>'Ashed teabags wet'!AE754</f>
        <v>96</v>
      </c>
      <c r="BN339" t="str">
        <f t="shared" si="142"/>
        <v>G803</v>
      </c>
      <c r="BO339" t="b">
        <f t="shared" si="143"/>
        <v>1</v>
      </c>
    </row>
    <row r="340" spans="2:67" ht="12" customHeight="1">
      <c r="B340" t="str">
        <f>TBIDry!H412</f>
        <v>G163</v>
      </c>
      <c r="C340" t="str">
        <f>TBIDry!I412</f>
        <v>R719</v>
      </c>
      <c r="D340" t="b">
        <f t="shared" si="120"/>
        <v>0</v>
      </c>
      <c r="E340" t="b">
        <f t="shared" si="121"/>
        <v>0</v>
      </c>
      <c r="G340" t="str">
        <f>TBIWet!H412</f>
        <v>G901</v>
      </c>
      <c r="H340" t="str">
        <f>TBIWet!I412</f>
        <v>R565</v>
      </c>
      <c r="I340" t="b">
        <f t="shared" si="122"/>
        <v>0</v>
      </c>
      <c r="J340" t="b">
        <f t="shared" si="123"/>
        <v>0</v>
      </c>
      <c r="L340" t="str">
        <f>'Both teabags AfterWet'!A339</f>
        <v>G804</v>
      </c>
      <c r="M340" t="str">
        <f>'Both teabags AfterWet'!A757</f>
        <v>R555</v>
      </c>
      <c r="N340" t="b">
        <f t="shared" si="124"/>
        <v>0</v>
      </c>
      <c r="O340" t="b">
        <f t="shared" si="125"/>
        <v>0</v>
      </c>
      <c r="P340">
        <f>IFERROR('Both teabags AfterWet'!B339,"")</f>
        <v>217</v>
      </c>
      <c r="Q340" t="str">
        <f>'Both teabags AfterWet'!B757</f>
        <v>n.a</v>
      </c>
      <c r="S340" s="401" t="b">
        <f t="shared" si="126"/>
        <v>0</v>
      </c>
      <c r="T340" s="401" t="b">
        <f t="shared" si="127"/>
        <v>0</v>
      </c>
      <c r="V340" t="str">
        <f>'Both teabags AfterDry'!A339</f>
        <v>G99</v>
      </c>
      <c r="W340" t="str">
        <f>'Both teabags AfterDry'!A676</f>
        <v>R94</v>
      </c>
      <c r="X340" t="b">
        <f t="shared" si="128"/>
        <v>0</v>
      </c>
      <c r="Y340" t="b">
        <f t="shared" si="129"/>
        <v>0</v>
      </c>
      <c r="AA340" t="str">
        <f>'Green_rooibos initial weight'!A341</f>
        <v>G337</v>
      </c>
      <c r="AB340" t="str">
        <f>'Green_rooibos initial weight'!A1245</f>
        <v>R337</v>
      </c>
      <c r="AC340" t="b">
        <f t="shared" si="130"/>
        <v>0</v>
      </c>
      <c r="AD340" t="b">
        <f t="shared" si="131"/>
        <v>0</v>
      </c>
      <c r="AG340" t="str">
        <f>'WetLitterbags placem_collection'!O119</f>
        <v>G901</v>
      </c>
      <c r="AH340" t="str">
        <f>'WetLitterbags placem_collection'!Q119</f>
        <v>R565</v>
      </c>
      <c r="AI340" t="b">
        <f t="shared" si="132"/>
        <v>0</v>
      </c>
      <c r="AJ340" t="b">
        <f t="shared" si="133"/>
        <v>0</v>
      </c>
      <c r="AK340">
        <f>'WetLitterbags placem_collection'!A119</f>
        <v>117</v>
      </c>
      <c r="AL340">
        <f>'WetLitterbags placem_collection'!A119</f>
        <v>117</v>
      </c>
      <c r="AN340">
        <f>IF('Dry_Litterbag Placem_Collection'!L119=0,"",'Dry_Litterbag Placem_Collection'!L119)</f>
        <v>163</v>
      </c>
      <c r="AO340">
        <f>IF('Dry_Litterbag Placem_Collection'!M119=0,"",'Dry_Litterbag Placem_Collection'!M119)</f>
        <v>719</v>
      </c>
      <c r="AP340" t="b">
        <f t="shared" si="134"/>
        <v>0</v>
      </c>
      <c r="AQ340" t="b">
        <f t="shared" si="135"/>
        <v>0</v>
      </c>
      <c r="AT340" t="str">
        <f>'Ashed teabags dry'!A338</f>
        <v>G99</v>
      </c>
      <c r="AU340" t="str">
        <f>'Ashed teabags dry'!A675</f>
        <v>R84</v>
      </c>
      <c r="AV340" t="b">
        <f t="shared" si="136"/>
        <v>0</v>
      </c>
      <c r="AW340" t="b">
        <f t="shared" si="137"/>
        <v>0</v>
      </c>
      <c r="AZ340" s="401" t="b">
        <f t="shared" si="138"/>
        <v>0</v>
      </c>
      <c r="BA340" s="401" t="b">
        <f t="shared" si="139"/>
        <v>0</v>
      </c>
      <c r="BC340" t="str">
        <f>'Ashed teabags wet'!A338</f>
        <v>G805</v>
      </c>
      <c r="BD340" t="str">
        <f>'Ashed teabags wet'!A755</f>
        <v>R577</v>
      </c>
      <c r="BE340" t="b">
        <f t="shared" si="140"/>
        <v>0</v>
      </c>
      <c r="BF340" t="b">
        <f t="shared" si="141"/>
        <v>0</v>
      </c>
      <c r="BG340">
        <f>IFERROR('Ashed teabags wet'!C338,"")</f>
        <v>137</v>
      </c>
      <c r="BH340">
        <f>IFERROR('Ashed teabags wet'!C755,"")</f>
        <v>104</v>
      </c>
      <c r="BI340">
        <f>'Ashed teabags wet'!AB338</f>
        <v>136</v>
      </c>
      <c r="BJ340" t="str">
        <f>'Ashed teabags wet'!AC338</f>
        <v/>
      </c>
      <c r="BK340">
        <f>'Ashed teabags wet'!AD755</f>
        <v>103</v>
      </c>
      <c r="BL340" t="str">
        <f>'Ashed teabags wet'!AE755</f>
        <v/>
      </c>
      <c r="BN340" t="str">
        <f t="shared" si="142"/>
        <v>G804</v>
      </c>
      <c r="BO340" t="b">
        <f t="shared" si="143"/>
        <v>1</v>
      </c>
    </row>
    <row r="341" spans="2:67" ht="12" customHeight="1">
      <c r="B341" t="str">
        <f>TBIDry!H413</f>
        <v>G83</v>
      </c>
      <c r="C341" t="str">
        <f>TBIDry!I413</f>
        <v>R173</v>
      </c>
      <c r="D341" t="b">
        <f t="shared" si="120"/>
        <v>0</v>
      </c>
      <c r="E341" t="b">
        <f t="shared" si="121"/>
        <v>0</v>
      </c>
      <c r="G341" t="str">
        <f>TBIWet!H413</f>
        <v>G791</v>
      </c>
      <c r="H341" t="str">
        <f>TBIWet!I413</f>
        <v>R544</v>
      </c>
      <c r="I341" t="b">
        <f t="shared" si="122"/>
        <v>0</v>
      </c>
      <c r="J341" t="b">
        <f t="shared" si="123"/>
        <v>0</v>
      </c>
      <c r="L341" t="str">
        <f>'Both teabags AfterWet'!A340</f>
        <v>G805</v>
      </c>
      <c r="M341" t="str">
        <f>'Both teabags AfterWet'!A758</f>
        <v>R556</v>
      </c>
      <c r="N341" t="b">
        <f t="shared" si="124"/>
        <v>0</v>
      </c>
      <c r="O341" t="b">
        <f t="shared" si="125"/>
        <v>0</v>
      </c>
      <c r="P341">
        <f>IFERROR('Both teabags AfterWet'!B340,"")</f>
        <v>137</v>
      </c>
      <c r="Q341">
        <f>'Both teabags AfterWet'!B758</f>
        <v>155</v>
      </c>
      <c r="S341" s="401" t="b">
        <f t="shared" si="126"/>
        <v>0</v>
      </c>
      <c r="T341" s="401" t="b">
        <f t="shared" si="127"/>
        <v>0</v>
      </c>
      <c r="W341">
        <f>'Both teabags AfterDry'!A677</f>
        <v>0</v>
      </c>
      <c r="X341" t="b">
        <f t="shared" si="128"/>
        <v>0</v>
      </c>
      <c r="Y341" t="b">
        <f t="shared" si="129"/>
        <v>1</v>
      </c>
      <c r="AA341" t="str">
        <f>'Green_rooibos initial weight'!A342</f>
        <v>G338</v>
      </c>
      <c r="AB341" t="str">
        <f>'Green_rooibos initial weight'!A1246</f>
        <v>R338</v>
      </c>
      <c r="AC341" t="b">
        <f t="shared" si="130"/>
        <v>0</v>
      </c>
      <c r="AD341" t="b">
        <f t="shared" si="131"/>
        <v>0</v>
      </c>
      <c r="AG341" t="str">
        <f>'WetLitterbags placem_collection'!O120</f>
        <v>G791</v>
      </c>
      <c r="AH341" t="str">
        <f>'WetLitterbags placem_collection'!Q120</f>
        <v>R544</v>
      </c>
      <c r="AI341" t="b">
        <f t="shared" si="132"/>
        <v>0</v>
      </c>
      <c r="AJ341" t="b">
        <f t="shared" si="133"/>
        <v>0</v>
      </c>
      <c r="AK341">
        <f>'WetLitterbags placem_collection'!A120</f>
        <v>118</v>
      </c>
      <c r="AL341">
        <f>'WetLitterbags placem_collection'!A120</f>
        <v>118</v>
      </c>
      <c r="AN341">
        <f>IF('Dry_Litterbag Placem_Collection'!L120=0,"",'Dry_Litterbag Placem_Collection'!L120)</f>
        <v>83</v>
      </c>
      <c r="AO341">
        <f>IF('Dry_Litterbag Placem_Collection'!M120=0,"",'Dry_Litterbag Placem_Collection'!M120)</f>
        <v>173</v>
      </c>
      <c r="AP341" t="b">
        <f t="shared" si="134"/>
        <v>0</v>
      </c>
      <c r="AQ341" t="b">
        <f t="shared" si="135"/>
        <v>0</v>
      </c>
      <c r="AU341" t="str">
        <f>'Ashed teabags dry'!A676</f>
        <v>R840</v>
      </c>
      <c r="AV341" t="b">
        <f t="shared" si="136"/>
        <v>0</v>
      </c>
      <c r="AW341" t="b">
        <f t="shared" si="137"/>
        <v>0</v>
      </c>
      <c r="AZ341" s="401" t="b">
        <f t="shared" si="138"/>
        <v>0</v>
      </c>
      <c r="BA341" s="401" t="b">
        <f t="shared" si="139"/>
        <v>0</v>
      </c>
      <c r="BC341" t="str">
        <f>'Ashed teabags wet'!A339</f>
        <v>G806</v>
      </c>
      <c r="BD341" t="str">
        <f>'Ashed teabags wet'!A756</f>
        <v>R578</v>
      </c>
      <c r="BE341" t="b">
        <f t="shared" si="140"/>
        <v>0</v>
      </c>
      <c r="BF341" t="b">
        <f t="shared" si="141"/>
        <v>0</v>
      </c>
      <c r="BG341">
        <f>IFERROR('Ashed teabags wet'!C339,"")</f>
        <v>104</v>
      </c>
      <c r="BH341">
        <f>IFERROR('Ashed teabags wet'!C756,"")</f>
        <v>113</v>
      </c>
      <c r="BI341" t="str">
        <f>'Ashed teabags wet'!AB339</f>
        <v/>
      </c>
      <c r="BJ341">
        <f>'Ashed teabags wet'!AC339</f>
        <v>103</v>
      </c>
      <c r="BK341" t="str">
        <f>'Ashed teabags wet'!AD756</f>
        <v/>
      </c>
      <c r="BL341">
        <f>'Ashed teabags wet'!AE756</f>
        <v>112</v>
      </c>
      <c r="BN341" t="str">
        <f t="shared" si="142"/>
        <v>G805</v>
      </c>
      <c r="BO341" t="b">
        <f t="shared" si="143"/>
        <v>1</v>
      </c>
    </row>
    <row r="342" spans="2:67" ht="12" customHeight="1">
      <c r="B342" t="str">
        <f>TBIDry!H414</f>
        <v>G159</v>
      </c>
      <c r="C342" t="str">
        <f>TBIDry!I414</f>
        <v>R373</v>
      </c>
      <c r="D342" t="b">
        <f t="shared" si="120"/>
        <v>0</v>
      </c>
      <c r="E342" t="b">
        <f t="shared" si="121"/>
        <v>0</v>
      </c>
      <c r="G342" t="str">
        <f>TBIWet!H414</f>
        <v>G802</v>
      </c>
      <c r="H342" t="str">
        <f>TBIWet!I414</f>
        <v>R526</v>
      </c>
      <c r="I342" t="b">
        <f t="shared" si="122"/>
        <v>0</v>
      </c>
      <c r="J342" t="b">
        <f t="shared" si="123"/>
        <v>0</v>
      </c>
      <c r="L342" t="str">
        <f>'Both teabags AfterWet'!A341</f>
        <v>G806</v>
      </c>
      <c r="M342" t="str">
        <f>'Both teabags AfterWet'!A759</f>
        <v>R557</v>
      </c>
      <c r="N342" t="b">
        <f t="shared" si="124"/>
        <v>0</v>
      </c>
      <c r="O342" t="b">
        <f t="shared" si="125"/>
        <v>0</v>
      </c>
      <c r="P342">
        <f>IFERROR('Both teabags AfterWet'!B341,"")</f>
        <v>104</v>
      </c>
      <c r="Q342">
        <f>'Both teabags AfterWet'!B759</f>
        <v>186</v>
      </c>
      <c r="S342" s="401" t="b">
        <f t="shared" si="126"/>
        <v>0</v>
      </c>
      <c r="T342" s="401" t="b">
        <f t="shared" si="127"/>
        <v>0</v>
      </c>
      <c r="W342">
        <f>'Both teabags AfterDry'!A678</f>
        <v>0</v>
      </c>
      <c r="X342" t="b">
        <f t="shared" si="128"/>
        <v>0</v>
      </c>
      <c r="Y342" t="b">
        <f t="shared" si="129"/>
        <v>1</v>
      </c>
      <c r="AA342" t="str">
        <f>'Green_rooibos initial weight'!A343</f>
        <v>G339</v>
      </c>
      <c r="AB342" t="str">
        <f>'Green_rooibos initial weight'!A1247</f>
        <v>R339</v>
      </c>
      <c r="AC342" t="b">
        <f t="shared" si="130"/>
        <v>0</v>
      </c>
      <c r="AD342" t="b">
        <f t="shared" si="131"/>
        <v>0</v>
      </c>
      <c r="AG342" t="str">
        <f>'WetLitterbags placem_collection'!O121</f>
        <v>G802</v>
      </c>
      <c r="AH342" t="str">
        <f>'WetLitterbags placem_collection'!Q121</f>
        <v>R526</v>
      </c>
      <c r="AI342" t="b">
        <f t="shared" si="132"/>
        <v>0</v>
      </c>
      <c r="AJ342" t="b">
        <f t="shared" si="133"/>
        <v>0</v>
      </c>
      <c r="AK342">
        <f>'WetLitterbags placem_collection'!A121</f>
        <v>119</v>
      </c>
      <c r="AL342">
        <f>'WetLitterbags placem_collection'!A121</f>
        <v>119</v>
      </c>
      <c r="AN342">
        <f>IF('Dry_Litterbag Placem_Collection'!L121=0,"",'Dry_Litterbag Placem_Collection'!L121)</f>
        <v>159</v>
      </c>
      <c r="AO342">
        <f>IF('Dry_Litterbag Placem_Collection'!M121=0,"",'Dry_Litterbag Placem_Collection'!M121)</f>
        <v>373</v>
      </c>
      <c r="AP342" t="b">
        <f t="shared" si="134"/>
        <v>0</v>
      </c>
      <c r="AQ342" t="b">
        <f t="shared" si="135"/>
        <v>0</v>
      </c>
      <c r="AU342">
        <f>'Ashed teabags dry'!A677</f>
        <v>0</v>
      </c>
      <c r="AV342" t="b">
        <f t="shared" si="136"/>
        <v>0</v>
      </c>
      <c r="AW342" t="b">
        <f t="shared" si="137"/>
        <v>1</v>
      </c>
      <c r="AZ342" s="401" t="b">
        <f t="shared" si="138"/>
        <v>0</v>
      </c>
      <c r="BA342" s="401" t="b">
        <f t="shared" si="139"/>
        <v>0</v>
      </c>
      <c r="BC342" t="str">
        <f>'Ashed teabags wet'!A340</f>
        <v>G807</v>
      </c>
      <c r="BD342" t="str">
        <f>'Ashed teabags wet'!A757</f>
        <v>R579</v>
      </c>
      <c r="BE342" t="b">
        <f t="shared" si="140"/>
        <v>0</v>
      </c>
      <c r="BF342" t="b">
        <f t="shared" si="141"/>
        <v>0</v>
      </c>
      <c r="BG342">
        <f>IFERROR('Ashed teabags wet'!C340,"")</f>
        <v>148</v>
      </c>
      <c r="BH342">
        <f>IFERROR('Ashed teabags wet'!C757,"")</f>
        <v>152</v>
      </c>
      <c r="BI342" t="str">
        <f>'Ashed teabags wet'!AB340</f>
        <v/>
      </c>
      <c r="BJ342">
        <f>'Ashed teabags wet'!AC340</f>
        <v>147</v>
      </c>
      <c r="BK342" t="str">
        <f>'Ashed teabags wet'!AD757</f>
        <v/>
      </c>
      <c r="BL342">
        <f>'Ashed teabags wet'!AE757</f>
        <v>151</v>
      </c>
      <c r="BN342" t="str">
        <f t="shared" si="142"/>
        <v>G806</v>
      </c>
      <c r="BO342" t="b">
        <f t="shared" si="143"/>
        <v>1</v>
      </c>
    </row>
    <row r="343" spans="2:67" ht="12" customHeight="1">
      <c r="B343" t="str">
        <f>TBIDry!H415</f>
        <v/>
      </c>
      <c r="C343" t="str">
        <f>TBIDry!I415</f>
        <v/>
      </c>
      <c r="D343" t="b">
        <f t="shared" si="120"/>
        <v>1</v>
      </c>
      <c r="E343" t="b">
        <f t="shared" si="121"/>
        <v>1</v>
      </c>
      <c r="G343" t="str">
        <f>TBIWet!H415</f>
        <v>G698</v>
      </c>
      <c r="H343" t="str">
        <f>TBIWet!I415</f>
        <v>R594</v>
      </c>
      <c r="I343" t="b">
        <f t="shared" si="122"/>
        <v>0</v>
      </c>
      <c r="J343" t="b">
        <f t="shared" si="123"/>
        <v>0</v>
      </c>
      <c r="L343" t="str">
        <f>'Both teabags AfterWet'!A342</f>
        <v>G807</v>
      </c>
      <c r="M343" t="str">
        <f>'Both teabags AfterWet'!A760</f>
        <v>R558</v>
      </c>
      <c r="N343" t="b">
        <f t="shared" si="124"/>
        <v>0</v>
      </c>
      <c r="O343" t="b">
        <f t="shared" si="125"/>
        <v>0</v>
      </c>
      <c r="P343" t="str">
        <f>IFERROR('Both teabags AfterWet'!B342,"")</f>
        <v>n.a</v>
      </c>
      <c r="Q343">
        <f>'Both teabags AfterWet'!B760</f>
        <v>171</v>
      </c>
      <c r="S343" s="401" t="b">
        <f t="shared" si="126"/>
        <v>0</v>
      </c>
      <c r="T343" s="401" t="b">
        <f t="shared" si="127"/>
        <v>0</v>
      </c>
      <c r="W343">
        <f>'Both teabags AfterDry'!A679</f>
        <v>0</v>
      </c>
      <c r="X343" t="b">
        <f t="shared" si="128"/>
        <v>0</v>
      </c>
      <c r="Y343" t="b">
        <f t="shared" si="129"/>
        <v>1</v>
      </c>
      <c r="AA343" t="str">
        <f>'Green_rooibos initial weight'!A344</f>
        <v>G340</v>
      </c>
      <c r="AB343" t="str">
        <f>'Green_rooibos initial weight'!A1248</f>
        <v>R340</v>
      </c>
      <c r="AC343" t="b">
        <f t="shared" si="130"/>
        <v>0</v>
      </c>
      <c r="AD343" t="b">
        <f t="shared" si="131"/>
        <v>0</v>
      </c>
      <c r="AG343" t="str">
        <f>'WetLitterbags placem_collection'!O122</f>
        <v>G698</v>
      </c>
      <c r="AH343" t="str">
        <f>'WetLitterbags placem_collection'!Q122</f>
        <v>R594</v>
      </c>
      <c r="AI343" t="b">
        <f t="shared" si="132"/>
        <v>0</v>
      </c>
      <c r="AJ343" t="b">
        <f t="shared" si="133"/>
        <v>0</v>
      </c>
      <c r="AK343">
        <f>'WetLitterbags placem_collection'!A122</f>
        <v>120</v>
      </c>
      <c r="AL343">
        <f>'WetLitterbags placem_collection'!A122</f>
        <v>120</v>
      </c>
      <c r="AN343" t="str">
        <f>IF('Dry_Litterbag Placem_Collection'!L122=0,"",'Dry_Litterbag Placem_Collection'!L122)</f>
        <v/>
      </c>
      <c r="AO343" t="str">
        <f>IF('Dry_Litterbag Placem_Collection'!M122=0,"",'Dry_Litterbag Placem_Collection'!M122)</f>
        <v/>
      </c>
      <c r="AP343" t="b">
        <f t="shared" si="134"/>
        <v>1</v>
      </c>
      <c r="AQ343" t="b">
        <f t="shared" si="135"/>
        <v>1</v>
      </c>
      <c r="AU343">
        <f>'Ashed teabags dry'!A678</f>
        <v>0</v>
      </c>
      <c r="AV343" t="b">
        <f t="shared" si="136"/>
        <v>0</v>
      </c>
      <c r="AW343" t="b">
        <f t="shared" si="137"/>
        <v>1</v>
      </c>
      <c r="AZ343" s="401" t="b">
        <f t="shared" si="138"/>
        <v>0</v>
      </c>
      <c r="BA343" s="401" t="b">
        <f t="shared" si="139"/>
        <v>0</v>
      </c>
      <c r="BC343" t="str">
        <f>'Ashed teabags wet'!A341</f>
        <v>G808</v>
      </c>
      <c r="BD343" t="str">
        <f>'Ashed teabags wet'!A758</f>
        <v>R58</v>
      </c>
      <c r="BE343" t="b">
        <f t="shared" si="140"/>
        <v>0</v>
      </c>
      <c r="BF343" t="b">
        <f t="shared" si="141"/>
        <v>0</v>
      </c>
      <c r="BG343">
        <f>IFERROR('Ashed teabags wet'!C341,"")</f>
        <v>101</v>
      </c>
      <c r="BH343">
        <f>IFERROR('Ashed teabags wet'!C758,"")</f>
        <v>56</v>
      </c>
      <c r="BI343">
        <f>'Ashed teabags wet'!AB341</f>
        <v>100</v>
      </c>
      <c r="BJ343" t="str">
        <f>'Ashed teabags wet'!AC341</f>
        <v/>
      </c>
      <c r="BK343" t="str">
        <f>'Ashed teabags wet'!AD758</f>
        <v/>
      </c>
      <c r="BL343">
        <f>'Ashed teabags wet'!AE758</f>
        <v>55</v>
      </c>
      <c r="BN343" t="str">
        <f t="shared" si="142"/>
        <v>G807</v>
      </c>
      <c r="BO343" t="b">
        <f t="shared" si="143"/>
        <v>1</v>
      </c>
    </row>
    <row r="344" spans="2:67" ht="12" customHeight="1">
      <c r="B344" t="str">
        <f>TBIDry!H416</f>
        <v>G16</v>
      </c>
      <c r="C344" t="str">
        <f>TBIDry!I416</f>
        <v>R374</v>
      </c>
      <c r="D344" t="b">
        <f t="shared" si="120"/>
        <v>0</v>
      </c>
      <c r="E344" t="b">
        <f t="shared" si="121"/>
        <v>0</v>
      </c>
      <c r="G344" t="str">
        <f>TBIWet!H416</f>
        <v>G825</v>
      </c>
      <c r="H344" t="str">
        <f>TBIWet!I416</f>
        <v>R564</v>
      </c>
      <c r="I344" t="b">
        <f t="shared" si="122"/>
        <v>0</v>
      </c>
      <c r="J344" t="b">
        <f t="shared" si="123"/>
        <v>0</v>
      </c>
      <c r="L344" t="str">
        <f>'Both teabags AfterWet'!A343</f>
        <v>G808</v>
      </c>
      <c r="M344" t="str">
        <f>'Both teabags AfterWet'!A761</f>
        <v>R559</v>
      </c>
      <c r="N344" t="b">
        <f t="shared" si="124"/>
        <v>0</v>
      </c>
      <c r="O344" t="b">
        <f t="shared" si="125"/>
        <v>0</v>
      </c>
      <c r="P344" t="str">
        <f>IFERROR('Both teabags AfterWet'!B343,"")</f>
        <v>na</v>
      </c>
      <c r="Q344">
        <f>'Both teabags AfterWet'!B761</f>
        <v>140</v>
      </c>
      <c r="S344" s="401" t="b">
        <f t="shared" si="126"/>
        <v>0</v>
      </c>
      <c r="T344" s="401" t="b">
        <f t="shared" si="127"/>
        <v>0</v>
      </c>
      <c r="W344">
        <f>'Both teabags AfterDry'!A680</f>
        <v>0</v>
      </c>
      <c r="X344" t="b">
        <f t="shared" si="128"/>
        <v>0</v>
      </c>
      <c r="Y344" t="b">
        <f t="shared" si="129"/>
        <v>1</v>
      </c>
      <c r="AA344" t="str">
        <f>'Green_rooibos initial weight'!A345</f>
        <v>G341</v>
      </c>
      <c r="AB344" t="str">
        <f>'Green_rooibos initial weight'!A1249</f>
        <v>R341</v>
      </c>
      <c r="AC344" t="b">
        <f t="shared" si="130"/>
        <v>0</v>
      </c>
      <c r="AD344" t="b">
        <f t="shared" si="131"/>
        <v>0</v>
      </c>
      <c r="AG344" t="str">
        <f>'WetLitterbags placem_collection'!O123</f>
        <v>G825</v>
      </c>
      <c r="AH344" t="str">
        <f>'WetLitterbags placem_collection'!Q123</f>
        <v>R564</v>
      </c>
      <c r="AI344" t="b">
        <f t="shared" si="132"/>
        <v>0</v>
      </c>
      <c r="AJ344" t="b">
        <f t="shared" si="133"/>
        <v>0</v>
      </c>
      <c r="AK344">
        <f>'WetLitterbags placem_collection'!A123</f>
        <v>121</v>
      </c>
      <c r="AL344">
        <f>'WetLitterbags placem_collection'!A123</f>
        <v>121</v>
      </c>
      <c r="AN344">
        <f>IF('Dry_Litterbag Placem_Collection'!L123=0,"",'Dry_Litterbag Placem_Collection'!L123)</f>
        <v>16</v>
      </c>
      <c r="AO344">
        <f>IF('Dry_Litterbag Placem_Collection'!M123=0,"",'Dry_Litterbag Placem_Collection'!M123)</f>
        <v>374</v>
      </c>
      <c r="AP344" t="b">
        <f t="shared" si="134"/>
        <v>0</v>
      </c>
      <c r="AQ344" t="b">
        <f t="shared" si="135"/>
        <v>0</v>
      </c>
      <c r="AU344">
        <f>'Ashed teabags dry'!A679</f>
        <v>0</v>
      </c>
      <c r="AV344" t="b">
        <f t="shared" si="136"/>
        <v>0</v>
      </c>
      <c r="AW344" t="b">
        <f t="shared" si="137"/>
        <v>1</v>
      </c>
      <c r="AZ344" s="401" t="b">
        <f t="shared" si="138"/>
        <v>0</v>
      </c>
      <c r="BA344" s="401" t="b">
        <f t="shared" si="139"/>
        <v>0</v>
      </c>
      <c r="BC344" t="str">
        <f>'Ashed teabags wet'!A342</f>
        <v>G809</v>
      </c>
      <c r="BD344" t="str">
        <f>'Ashed teabags wet'!A759</f>
        <v>R580</v>
      </c>
      <c r="BE344" t="b">
        <f t="shared" si="140"/>
        <v>0</v>
      </c>
      <c r="BF344" t="b">
        <f t="shared" si="141"/>
        <v>0</v>
      </c>
      <c r="BG344">
        <f>IFERROR('Ashed teabags wet'!C342,"")</f>
        <v>160</v>
      </c>
      <c r="BH344">
        <f>IFERROR('Ashed teabags wet'!C759,"")</f>
        <v>187</v>
      </c>
      <c r="BI344">
        <f>'Ashed teabags wet'!AB342</f>
        <v>159</v>
      </c>
      <c r="BJ344" t="str">
        <f>'Ashed teabags wet'!AC342</f>
        <v/>
      </c>
      <c r="BK344" t="str">
        <f>'Ashed teabags wet'!AD759</f>
        <v/>
      </c>
      <c r="BL344">
        <f>'Ashed teabags wet'!AE759</f>
        <v>186</v>
      </c>
      <c r="BN344" t="str">
        <f t="shared" si="142"/>
        <v>G808</v>
      </c>
      <c r="BO344" t="b">
        <f t="shared" si="143"/>
        <v>1</v>
      </c>
    </row>
    <row r="345" spans="2:67" ht="12" customHeight="1">
      <c r="B345" t="str">
        <f>TBIDry!H417</f>
        <v>G109</v>
      </c>
      <c r="C345" t="str">
        <f>TBIDry!I417</f>
        <v>R388</v>
      </c>
      <c r="D345" t="b">
        <f t="shared" si="120"/>
        <v>0</v>
      </c>
      <c r="E345" t="b">
        <f t="shared" si="121"/>
        <v>0</v>
      </c>
      <c r="G345" t="str">
        <f>TBIWet!H417</f>
        <v>G839</v>
      </c>
      <c r="H345" t="str">
        <f>TBIWet!I417</f>
        <v>R429</v>
      </c>
      <c r="I345" t="b">
        <f t="shared" si="122"/>
        <v>0</v>
      </c>
      <c r="J345" t="b">
        <f t="shared" si="123"/>
        <v>0</v>
      </c>
      <c r="L345" t="str">
        <f>'Both teabags AfterWet'!A344</f>
        <v>G809</v>
      </c>
      <c r="M345" t="str">
        <f>'Both teabags AfterWet'!A762</f>
        <v>R56</v>
      </c>
      <c r="N345" t="b">
        <f t="shared" si="124"/>
        <v>0</v>
      </c>
      <c r="O345" t="b">
        <f t="shared" si="125"/>
        <v>0</v>
      </c>
      <c r="P345">
        <f>IFERROR('Both teabags AfterWet'!B344,"")</f>
        <v>160</v>
      </c>
      <c r="Q345">
        <f>'Both teabags AfterWet'!B762</f>
        <v>79</v>
      </c>
      <c r="S345" s="401" t="b">
        <f t="shared" si="126"/>
        <v>0</v>
      </c>
      <c r="T345" s="401" t="b">
        <f t="shared" si="127"/>
        <v>0</v>
      </c>
      <c r="W345">
        <f>'Both teabags AfterDry'!A681</f>
        <v>0</v>
      </c>
      <c r="X345" t="b">
        <f t="shared" si="128"/>
        <v>0</v>
      </c>
      <c r="Y345" t="b">
        <f t="shared" si="129"/>
        <v>1</v>
      </c>
      <c r="AA345" t="str">
        <f>'Green_rooibos initial weight'!A346</f>
        <v>G342</v>
      </c>
      <c r="AB345" t="str">
        <f>'Green_rooibos initial weight'!A1250</f>
        <v>R342</v>
      </c>
      <c r="AC345" t="b">
        <f t="shared" si="130"/>
        <v>0</v>
      </c>
      <c r="AD345" t="b">
        <f t="shared" si="131"/>
        <v>0</v>
      </c>
      <c r="AG345" t="str">
        <f>'WetLitterbags placem_collection'!O124</f>
        <v>G839</v>
      </c>
      <c r="AH345" t="str">
        <f>'WetLitterbags placem_collection'!Q124</f>
        <v>R429</v>
      </c>
      <c r="AI345" t="b">
        <f t="shared" si="132"/>
        <v>0</v>
      </c>
      <c r="AJ345" t="b">
        <f t="shared" si="133"/>
        <v>0</v>
      </c>
      <c r="AK345">
        <f>'WetLitterbags placem_collection'!A124</f>
        <v>122</v>
      </c>
      <c r="AL345">
        <f>'WetLitterbags placem_collection'!A124</f>
        <v>122</v>
      </c>
      <c r="AN345">
        <f>IF('Dry_Litterbag Placem_Collection'!L124=0,"",'Dry_Litterbag Placem_Collection'!L124)</f>
        <v>109</v>
      </c>
      <c r="AO345">
        <f>IF('Dry_Litterbag Placem_Collection'!M124=0,"",'Dry_Litterbag Placem_Collection'!M124)</f>
        <v>388</v>
      </c>
      <c r="AP345" t="b">
        <f t="shared" si="134"/>
        <v>0</v>
      </c>
      <c r="AQ345" t="b">
        <f t="shared" si="135"/>
        <v>0</v>
      </c>
      <c r="AZ345" s="401" t="b">
        <f t="shared" si="138"/>
        <v>0</v>
      </c>
      <c r="BA345" s="401" t="b">
        <f t="shared" si="139"/>
        <v>0</v>
      </c>
      <c r="BC345" t="str">
        <f>'Ashed teabags wet'!A343</f>
        <v>G810</v>
      </c>
      <c r="BD345" t="str">
        <f>'Ashed teabags wet'!A760</f>
        <v>R581</v>
      </c>
      <c r="BE345" t="b">
        <f t="shared" si="140"/>
        <v>0</v>
      </c>
      <c r="BF345" t="b">
        <f t="shared" si="141"/>
        <v>0</v>
      </c>
      <c r="BG345">
        <f>IFERROR('Ashed teabags wet'!C343,"")</f>
        <v>165</v>
      </c>
      <c r="BH345">
        <f>IFERROR('Ashed teabags wet'!C760,"")</f>
        <v>141</v>
      </c>
      <c r="BI345" t="str">
        <f>'Ashed teabags wet'!AB343</f>
        <v/>
      </c>
      <c r="BJ345">
        <f>'Ashed teabags wet'!AC343</f>
        <v>164</v>
      </c>
      <c r="BK345">
        <f>'Ashed teabags wet'!AD760</f>
        <v>140</v>
      </c>
      <c r="BL345" t="str">
        <f>'Ashed teabags wet'!AE760</f>
        <v/>
      </c>
      <c r="BN345" t="str">
        <f t="shared" si="142"/>
        <v>G809</v>
      </c>
      <c r="BO345" t="b">
        <f t="shared" si="143"/>
        <v>1</v>
      </c>
    </row>
    <row r="346" spans="2:67" ht="12" customHeight="1">
      <c r="B346" t="str">
        <f>TBIDry!H418</f>
        <v>G344</v>
      </c>
      <c r="C346" t="str">
        <f>TBIDry!I418</f>
        <v>R281</v>
      </c>
      <c r="D346" t="b">
        <f t="shared" si="120"/>
        <v>0</v>
      </c>
      <c r="E346" t="b">
        <f t="shared" si="121"/>
        <v>0</v>
      </c>
      <c r="G346" t="str">
        <f>TBIWet!H418</f>
        <v>G895</v>
      </c>
      <c r="H346" t="str">
        <f>TBIWet!I418</f>
        <v>R466</v>
      </c>
      <c r="I346" t="b">
        <f t="shared" si="122"/>
        <v>0</v>
      </c>
      <c r="J346" t="b">
        <f t="shared" si="123"/>
        <v>0</v>
      </c>
      <c r="L346" t="str">
        <f>'Both teabags AfterWet'!A345</f>
        <v>G810</v>
      </c>
      <c r="M346" t="str">
        <f>'Both teabags AfterWet'!A763</f>
        <v>R560</v>
      </c>
      <c r="N346" t="b">
        <f t="shared" si="124"/>
        <v>0</v>
      </c>
      <c r="O346" t="b">
        <f t="shared" si="125"/>
        <v>0</v>
      </c>
      <c r="P346">
        <f>IFERROR('Both teabags AfterWet'!B345,"")</f>
        <v>165</v>
      </c>
      <c r="Q346">
        <f>'Both teabags AfterWet'!B763</f>
        <v>125</v>
      </c>
      <c r="S346" s="401" t="b">
        <f t="shared" si="126"/>
        <v>0</v>
      </c>
      <c r="T346" s="401" t="b">
        <f t="shared" si="127"/>
        <v>0</v>
      </c>
      <c r="W346">
        <f>'Both teabags AfterDry'!A682</f>
        <v>0</v>
      </c>
      <c r="X346" t="b">
        <f t="shared" si="128"/>
        <v>0</v>
      </c>
      <c r="Y346" t="b">
        <f t="shared" si="129"/>
        <v>1</v>
      </c>
      <c r="AA346" t="str">
        <f>'Green_rooibos initial weight'!A347</f>
        <v>G343</v>
      </c>
      <c r="AB346" t="str">
        <f>'Green_rooibos initial weight'!A1251</f>
        <v>R343</v>
      </c>
      <c r="AC346" t="b">
        <f t="shared" si="130"/>
        <v>0</v>
      </c>
      <c r="AD346" t="b">
        <f t="shared" si="131"/>
        <v>0</v>
      </c>
      <c r="AG346" t="str">
        <f>'WetLitterbags placem_collection'!O125</f>
        <v>G895</v>
      </c>
      <c r="AH346" t="str">
        <f>'WetLitterbags placem_collection'!Q125</f>
        <v>R466</v>
      </c>
      <c r="AI346" t="b">
        <f t="shared" si="132"/>
        <v>0</v>
      </c>
      <c r="AJ346" t="b">
        <f t="shared" si="133"/>
        <v>0</v>
      </c>
      <c r="AK346">
        <f>'WetLitterbags placem_collection'!A125</f>
        <v>123</v>
      </c>
      <c r="AL346">
        <f>'WetLitterbags placem_collection'!A125</f>
        <v>123</v>
      </c>
      <c r="AN346">
        <f>IF('Dry_Litterbag Placem_Collection'!L125=0,"",'Dry_Litterbag Placem_Collection'!L125)</f>
        <v>344</v>
      </c>
      <c r="AO346">
        <f>IF('Dry_Litterbag Placem_Collection'!M125=0,"",'Dry_Litterbag Placem_Collection'!M125)</f>
        <v>281</v>
      </c>
      <c r="AP346" t="b">
        <f t="shared" si="134"/>
        <v>0</v>
      </c>
      <c r="AQ346" t="b">
        <f t="shared" si="135"/>
        <v>0</v>
      </c>
      <c r="AZ346" s="401" t="b">
        <f t="shared" si="138"/>
        <v>0</v>
      </c>
      <c r="BA346" s="401" t="b">
        <f t="shared" si="139"/>
        <v>0</v>
      </c>
      <c r="BC346" t="str">
        <f>'Ashed teabags wet'!A344</f>
        <v>G811</v>
      </c>
      <c r="BD346" t="str">
        <f>'Ashed teabags wet'!A761</f>
        <v>R582</v>
      </c>
      <c r="BE346" t="b">
        <f t="shared" si="140"/>
        <v>0</v>
      </c>
      <c r="BF346" t="b">
        <f t="shared" si="141"/>
        <v>0</v>
      </c>
      <c r="BG346">
        <f>IFERROR('Ashed teabags wet'!C344,"")</f>
        <v>201</v>
      </c>
      <c r="BH346">
        <f>IFERROR('Ashed teabags wet'!C761,"")</f>
        <v>147</v>
      </c>
      <c r="BI346">
        <f>'Ashed teabags wet'!AB344</f>
        <v>200</v>
      </c>
      <c r="BJ346" t="str">
        <f>'Ashed teabags wet'!AC344</f>
        <v/>
      </c>
      <c r="BK346" t="str">
        <f>'Ashed teabags wet'!AD761</f>
        <v/>
      </c>
      <c r="BL346">
        <f>'Ashed teabags wet'!AE761</f>
        <v>146</v>
      </c>
      <c r="BN346" t="str">
        <f t="shared" si="142"/>
        <v>G810</v>
      </c>
      <c r="BO346" t="b">
        <f t="shared" si="143"/>
        <v>1</v>
      </c>
    </row>
    <row r="347" spans="2:67" ht="12" customHeight="1">
      <c r="B347" t="str">
        <f>TBIDry!H419</f>
        <v>G221</v>
      </c>
      <c r="C347" t="str">
        <f>TBIDry!I419</f>
        <v>R443</v>
      </c>
      <c r="D347" t="b">
        <f t="shared" si="120"/>
        <v>0</v>
      </c>
      <c r="E347" t="b">
        <f t="shared" si="121"/>
        <v>0</v>
      </c>
      <c r="G347" t="str">
        <f>TBIWet!H419</f>
        <v>G682</v>
      </c>
      <c r="H347" t="str">
        <f>TBIWet!I419</f>
        <v>R471</v>
      </c>
      <c r="I347" t="b">
        <f t="shared" si="122"/>
        <v>0</v>
      </c>
      <c r="J347" t="b">
        <f t="shared" si="123"/>
        <v>0</v>
      </c>
      <c r="L347" t="str">
        <f>'Both teabags AfterWet'!A346</f>
        <v>G811</v>
      </c>
      <c r="M347" t="str">
        <f>'Both teabags AfterWet'!A764</f>
        <v>R561</v>
      </c>
      <c r="N347" t="b">
        <f t="shared" si="124"/>
        <v>0</v>
      </c>
      <c r="O347" t="b">
        <f t="shared" si="125"/>
        <v>0</v>
      </c>
      <c r="P347">
        <f>IFERROR('Both teabags AfterWet'!B346,"")</f>
        <v>201</v>
      </c>
      <c r="Q347">
        <f>'Both teabags AfterWet'!B764</f>
        <v>98</v>
      </c>
      <c r="S347" s="401" t="b">
        <f t="shared" si="126"/>
        <v>0</v>
      </c>
      <c r="T347" s="401" t="b">
        <f t="shared" si="127"/>
        <v>0</v>
      </c>
      <c r="AA347" t="str">
        <f>'Green_rooibos initial weight'!A348</f>
        <v>G344</v>
      </c>
      <c r="AB347" t="str">
        <f>'Green_rooibos initial weight'!A1252</f>
        <v>R344</v>
      </c>
      <c r="AC347" t="b">
        <f t="shared" si="130"/>
        <v>0</v>
      </c>
      <c r="AD347" t="b">
        <f t="shared" si="131"/>
        <v>0</v>
      </c>
      <c r="AG347" t="str">
        <f>'WetLitterbags placem_collection'!O126</f>
        <v>G682</v>
      </c>
      <c r="AH347" t="str">
        <f>'WetLitterbags placem_collection'!Q126</f>
        <v>R471</v>
      </c>
      <c r="AI347" t="b">
        <f t="shared" si="132"/>
        <v>0</v>
      </c>
      <c r="AJ347" t="b">
        <f t="shared" si="133"/>
        <v>0</v>
      </c>
      <c r="AK347">
        <f>'WetLitterbags placem_collection'!A126</f>
        <v>124</v>
      </c>
      <c r="AL347">
        <f>'WetLitterbags placem_collection'!A126</f>
        <v>124</v>
      </c>
      <c r="AN347">
        <f>IF('Dry_Litterbag Placem_Collection'!L126=0,"",'Dry_Litterbag Placem_Collection'!L126)</f>
        <v>221</v>
      </c>
      <c r="AO347">
        <f>IF('Dry_Litterbag Placem_Collection'!M126=0,"",'Dry_Litterbag Placem_Collection'!M126)</f>
        <v>443</v>
      </c>
      <c r="AP347" t="b">
        <f t="shared" si="134"/>
        <v>0</v>
      </c>
      <c r="AQ347" t="b">
        <f t="shared" si="135"/>
        <v>0</v>
      </c>
      <c r="AZ347" s="401" t="b">
        <f t="shared" si="138"/>
        <v>0</v>
      </c>
      <c r="BA347" s="401" t="b">
        <f t="shared" si="139"/>
        <v>0</v>
      </c>
      <c r="BC347" t="str">
        <f>'Ashed teabags wet'!A345</f>
        <v>G813</v>
      </c>
      <c r="BD347" t="str">
        <f>'Ashed teabags wet'!A762</f>
        <v>R583</v>
      </c>
      <c r="BE347" t="b">
        <f t="shared" si="140"/>
        <v>0</v>
      </c>
      <c r="BF347" t="b">
        <f t="shared" si="141"/>
        <v>0</v>
      </c>
      <c r="BG347">
        <f>IFERROR('Ashed teabags wet'!C345,"")</f>
        <v>24</v>
      </c>
      <c r="BH347">
        <f>IFERROR('Ashed teabags wet'!C762,"")</f>
        <v>170</v>
      </c>
      <c r="BI347">
        <f>'Ashed teabags wet'!AB345</f>
        <v>23</v>
      </c>
      <c r="BJ347" t="str">
        <f>'Ashed teabags wet'!AC345</f>
        <v/>
      </c>
      <c r="BK347" t="str">
        <f>'Ashed teabags wet'!AD762</f>
        <v/>
      </c>
      <c r="BL347">
        <f>'Ashed teabags wet'!AE762</f>
        <v>169</v>
      </c>
      <c r="BN347" t="str">
        <f t="shared" si="142"/>
        <v>G811</v>
      </c>
      <c r="BO347" t="b">
        <f t="shared" si="143"/>
        <v>1</v>
      </c>
    </row>
    <row r="348" spans="2:67" ht="12" customHeight="1">
      <c r="B348" t="str">
        <f>TBIDry!H420</f>
        <v>G757</v>
      </c>
      <c r="C348" t="str">
        <f>TBIDry!I420</f>
        <v>R180</v>
      </c>
      <c r="D348" t="b">
        <f t="shared" si="120"/>
        <v>0</v>
      </c>
      <c r="E348" t="b">
        <f t="shared" si="121"/>
        <v>0</v>
      </c>
      <c r="G348" t="str">
        <f>TBIWet!H420</f>
        <v>G740</v>
      </c>
      <c r="H348" t="str">
        <f>TBIWet!I420</f>
        <v>R486</v>
      </c>
      <c r="I348" t="b">
        <f t="shared" si="122"/>
        <v>0</v>
      </c>
      <c r="J348" t="b">
        <f t="shared" si="123"/>
        <v>0</v>
      </c>
      <c r="L348" t="str">
        <f>'Both teabags AfterWet'!A347</f>
        <v>G813</v>
      </c>
      <c r="M348" t="str">
        <f>'Both teabags AfterWet'!A765</f>
        <v>R562</v>
      </c>
      <c r="N348" t="b">
        <f t="shared" si="124"/>
        <v>0</v>
      </c>
      <c r="O348" t="b">
        <f t="shared" si="125"/>
        <v>0</v>
      </c>
      <c r="P348">
        <f>IFERROR('Both teabags AfterWet'!B347,"")</f>
        <v>24</v>
      </c>
      <c r="Q348">
        <f>'Both teabags AfterWet'!B765</f>
        <v>126</v>
      </c>
      <c r="S348" s="401" t="b">
        <f t="shared" si="126"/>
        <v>0</v>
      </c>
      <c r="T348" s="401" t="b">
        <f t="shared" si="127"/>
        <v>0</v>
      </c>
      <c r="AA348" t="str">
        <f>'Green_rooibos initial weight'!A349</f>
        <v>G345</v>
      </c>
      <c r="AB348" t="str">
        <f>'Green_rooibos initial weight'!A1253</f>
        <v>R345</v>
      </c>
      <c r="AC348" t="b">
        <f t="shared" si="130"/>
        <v>0</v>
      </c>
      <c r="AD348" t="b">
        <f t="shared" si="131"/>
        <v>0</v>
      </c>
      <c r="AG348" t="str">
        <f>'WetLitterbags placem_collection'!O127</f>
        <v>G740</v>
      </c>
      <c r="AH348" t="str">
        <f>'WetLitterbags placem_collection'!Q127</f>
        <v>R486</v>
      </c>
      <c r="AI348" t="b">
        <f t="shared" si="132"/>
        <v>0</v>
      </c>
      <c r="AJ348" t="b">
        <f t="shared" si="133"/>
        <v>0</v>
      </c>
      <c r="AK348">
        <f>'WetLitterbags placem_collection'!A127</f>
        <v>125</v>
      </c>
      <c r="AL348">
        <f>'WetLitterbags placem_collection'!A127</f>
        <v>125</v>
      </c>
      <c r="AN348">
        <f>IF('Dry_Litterbag Placem_Collection'!L127=0,"",'Dry_Litterbag Placem_Collection'!L127)</f>
        <v>757</v>
      </c>
      <c r="AO348">
        <f>IF('Dry_Litterbag Placem_Collection'!M127=0,"",'Dry_Litterbag Placem_Collection'!M127)</f>
        <v>180</v>
      </c>
      <c r="AP348" t="b">
        <f t="shared" si="134"/>
        <v>0</v>
      </c>
      <c r="AQ348" t="b">
        <f t="shared" si="135"/>
        <v>0</v>
      </c>
      <c r="AZ348" s="401" t="b">
        <f t="shared" si="138"/>
        <v>0</v>
      </c>
      <c r="BA348" s="401" t="b">
        <f t="shared" si="139"/>
        <v>0</v>
      </c>
      <c r="BC348" t="str">
        <f>'Ashed teabags wet'!A346</f>
        <v>G814</v>
      </c>
      <c r="BD348" t="str">
        <f>'Ashed teabags wet'!A763</f>
        <v>R585</v>
      </c>
      <c r="BE348" t="b">
        <f t="shared" si="140"/>
        <v>0</v>
      </c>
      <c r="BF348" t="b">
        <f t="shared" si="141"/>
        <v>0</v>
      </c>
      <c r="BG348">
        <f>IFERROR('Ashed teabags wet'!C346,"")</f>
        <v>204</v>
      </c>
      <c r="BH348">
        <f>IFERROR('Ashed teabags wet'!C763,"")</f>
        <v>130</v>
      </c>
      <c r="BI348">
        <f>'Ashed teabags wet'!AB346</f>
        <v>203</v>
      </c>
      <c r="BJ348" t="str">
        <f>'Ashed teabags wet'!AC346</f>
        <v/>
      </c>
      <c r="BK348">
        <f>'Ashed teabags wet'!AD763</f>
        <v>129</v>
      </c>
      <c r="BL348" t="str">
        <f>'Ashed teabags wet'!AE763</f>
        <v/>
      </c>
      <c r="BN348" t="str">
        <f t="shared" si="142"/>
        <v>G813</v>
      </c>
      <c r="BO348" t="b">
        <f t="shared" si="143"/>
        <v>1</v>
      </c>
    </row>
    <row r="349" spans="2:67" ht="12" customHeight="1">
      <c r="B349" t="str">
        <f>TBIDry!H421</f>
        <v/>
      </c>
      <c r="C349" t="str">
        <f>TBIDry!I421</f>
        <v/>
      </c>
      <c r="D349" t="b">
        <f t="shared" si="120"/>
        <v>1</v>
      </c>
      <c r="E349" t="b">
        <f t="shared" si="121"/>
        <v>1</v>
      </c>
      <c r="G349" t="str">
        <f>TBIWet!H421</f>
        <v>G841</v>
      </c>
      <c r="H349" t="str">
        <f>TBIWet!I421</f>
        <v>R55</v>
      </c>
      <c r="I349" t="b">
        <f t="shared" si="122"/>
        <v>0</v>
      </c>
      <c r="J349" t="b">
        <f t="shared" si="123"/>
        <v>0</v>
      </c>
      <c r="L349" t="str">
        <f>'Both teabags AfterWet'!A348</f>
        <v>G814</v>
      </c>
      <c r="M349" t="str">
        <f>'Both teabags AfterWet'!A766</f>
        <v>R563</v>
      </c>
      <c r="N349" t="b">
        <f t="shared" si="124"/>
        <v>0</v>
      </c>
      <c r="O349" t="b">
        <f t="shared" si="125"/>
        <v>0</v>
      </c>
      <c r="P349" t="str">
        <f>IFERROR('Both teabags AfterWet'!B348,"")</f>
        <v>n.a</v>
      </c>
      <c r="Q349">
        <f>'Both teabags AfterWet'!B766</f>
        <v>139</v>
      </c>
      <c r="S349" s="401" t="b">
        <f t="shared" si="126"/>
        <v>0</v>
      </c>
      <c r="T349" s="401" t="b">
        <f t="shared" si="127"/>
        <v>0</v>
      </c>
      <c r="AA349" t="str">
        <f>'Green_rooibos initial weight'!A350</f>
        <v>G346</v>
      </c>
      <c r="AB349" t="str">
        <f>'Green_rooibos initial weight'!A1254</f>
        <v>R346</v>
      </c>
      <c r="AC349" t="b">
        <f t="shared" si="130"/>
        <v>0</v>
      </c>
      <c r="AD349" t="b">
        <f t="shared" si="131"/>
        <v>0</v>
      </c>
      <c r="AG349" t="str">
        <f>'WetLitterbags placem_collection'!O128</f>
        <v>G841</v>
      </c>
      <c r="AH349" t="str">
        <f>'WetLitterbags placem_collection'!Q128</f>
        <v>R55</v>
      </c>
      <c r="AI349" t="b">
        <f t="shared" si="132"/>
        <v>0</v>
      </c>
      <c r="AJ349" t="b">
        <f t="shared" si="133"/>
        <v>0</v>
      </c>
      <c r="AK349">
        <f>'WetLitterbags placem_collection'!A128</f>
        <v>126</v>
      </c>
      <c r="AL349">
        <f>'WetLitterbags placem_collection'!A128</f>
        <v>126</v>
      </c>
      <c r="AN349" t="str">
        <f>IF('Dry_Litterbag Placem_Collection'!L128=0,"",'Dry_Litterbag Placem_Collection'!L128)</f>
        <v/>
      </c>
      <c r="AO349" t="str">
        <f>IF('Dry_Litterbag Placem_Collection'!M128=0,"",'Dry_Litterbag Placem_Collection'!M128)</f>
        <v/>
      </c>
      <c r="AP349" t="b">
        <f t="shared" si="134"/>
        <v>1</v>
      </c>
      <c r="AQ349" t="b">
        <f t="shared" si="135"/>
        <v>1</v>
      </c>
      <c r="AZ349" s="401" t="b">
        <f t="shared" si="138"/>
        <v>0</v>
      </c>
      <c r="BA349" s="401" t="b">
        <f t="shared" si="139"/>
        <v>0</v>
      </c>
      <c r="BC349" t="str">
        <f>'Ashed teabags wet'!A347</f>
        <v>G815</v>
      </c>
      <c r="BD349" t="str">
        <f>'Ashed teabags wet'!A764</f>
        <v>R587</v>
      </c>
      <c r="BE349" t="b">
        <f t="shared" si="140"/>
        <v>0</v>
      </c>
      <c r="BF349" t="b">
        <f t="shared" si="141"/>
        <v>0</v>
      </c>
      <c r="BG349">
        <f>IFERROR('Ashed teabags wet'!C347,"")</f>
        <v>138</v>
      </c>
      <c r="BH349">
        <f>IFERROR('Ashed teabags wet'!C764,"")</f>
        <v>181</v>
      </c>
      <c r="BI349">
        <f>'Ashed teabags wet'!AB347</f>
        <v>137</v>
      </c>
      <c r="BJ349" t="str">
        <f>'Ashed teabags wet'!AC347</f>
        <v/>
      </c>
      <c r="BK349">
        <f>'Ashed teabags wet'!AD764</f>
        <v>180</v>
      </c>
      <c r="BL349" t="str">
        <f>'Ashed teabags wet'!AE764</f>
        <v/>
      </c>
      <c r="BN349" t="str">
        <f t="shared" si="142"/>
        <v>G814</v>
      </c>
      <c r="BO349" t="b">
        <f t="shared" si="143"/>
        <v>1</v>
      </c>
    </row>
    <row r="350" spans="2:67" ht="12" customHeight="1">
      <c r="B350" t="str">
        <f>TBIDry!H422</f>
        <v>G96</v>
      </c>
      <c r="C350" t="str">
        <f>TBIDry!I422</f>
        <v>R229</v>
      </c>
      <c r="D350" t="b">
        <f t="shared" si="120"/>
        <v>0</v>
      </c>
      <c r="E350" t="b">
        <f t="shared" si="121"/>
        <v>0</v>
      </c>
      <c r="G350" t="str">
        <f>TBIWet!H422</f>
        <v>G687</v>
      </c>
      <c r="H350" t="str">
        <f>TBIWet!I422</f>
        <v>R424</v>
      </c>
      <c r="I350" t="b">
        <f t="shared" si="122"/>
        <v>0</v>
      </c>
      <c r="J350" t="b">
        <f t="shared" si="123"/>
        <v>0</v>
      </c>
      <c r="L350" t="str">
        <f>'Both teabags AfterWet'!A349</f>
        <v>G815</v>
      </c>
      <c r="M350" t="str">
        <f>'Both teabags AfterWet'!A767</f>
        <v>R564</v>
      </c>
      <c r="N350" t="b">
        <f t="shared" si="124"/>
        <v>0</v>
      </c>
      <c r="O350" t="b">
        <f t="shared" si="125"/>
        <v>0</v>
      </c>
      <c r="P350">
        <f>IFERROR('Both teabags AfterWet'!B349,"")</f>
        <v>138</v>
      </c>
      <c r="Q350">
        <f>'Both teabags AfterWet'!B767</f>
        <v>121</v>
      </c>
      <c r="S350" s="401" t="b">
        <f t="shared" si="126"/>
        <v>0</v>
      </c>
      <c r="T350" s="401" t="b">
        <f t="shared" si="127"/>
        <v>0</v>
      </c>
      <c r="AA350" t="str">
        <f>'Green_rooibos initial weight'!A351</f>
        <v>G347</v>
      </c>
      <c r="AB350" t="str">
        <f>'Green_rooibos initial weight'!A1255</f>
        <v>R347</v>
      </c>
      <c r="AC350" t="b">
        <f t="shared" si="130"/>
        <v>0</v>
      </c>
      <c r="AD350" t="b">
        <f t="shared" si="131"/>
        <v>0</v>
      </c>
      <c r="AG350" t="str">
        <f>'WetLitterbags placem_collection'!O129</f>
        <v>G687</v>
      </c>
      <c r="AH350" t="str">
        <f>'WetLitterbags placem_collection'!Q129</f>
        <v>R424</v>
      </c>
      <c r="AI350" t="b">
        <f t="shared" si="132"/>
        <v>0</v>
      </c>
      <c r="AJ350" t="b">
        <f t="shared" si="133"/>
        <v>0</v>
      </c>
      <c r="AK350">
        <f>'WetLitterbags placem_collection'!A129</f>
        <v>127</v>
      </c>
      <c r="AL350">
        <f>'WetLitterbags placem_collection'!A129</f>
        <v>127</v>
      </c>
      <c r="AN350">
        <f>IF('Dry_Litterbag Placem_Collection'!L129=0,"",'Dry_Litterbag Placem_Collection'!L129)</f>
        <v>96</v>
      </c>
      <c r="AO350">
        <f>IF('Dry_Litterbag Placem_Collection'!M129=0,"",'Dry_Litterbag Placem_Collection'!M129)</f>
        <v>229</v>
      </c>
      <c r="AP350" t="b">
        <f t="shared" si="134"/>
        <v>0</v>
      </c>
      <c r="AQ350" t="b">
        <f t="shared" si="135"/>
        <v>0</v>
      </c>
      <c r="AZ350" s="401" t="b">
        <f t="shared" si="138"/>
        <v>0</v>
      </c>
      <c r="BA350" s="401" t="b">
        <f t="shared" si="139"/>
        <v>0</v>
      </c>
      <c r="BC350" t="str">
        <f>'Ashed teabags wet'!A348</f>
        <v>G816</v>
      </c>
      <c r="BD350" t="str">
        <f>'Ashed teabags wet'!A765</f>
        <v>R588</v>
      </c>
      <c r="BE350" t="b">
        <f t="shared" si="140"/>
        <v>0</v>
      </c>
      <c r="BF350" t="b">
        <f t="shared" si="141"/>
        <v>0</v>
      </c>
      <c r="BG350">
        <f>IFERROR('Ashed teabags wet'!C348,"")</f>
        <v>200</v>
      </c>
      <c r="BH350">
        <f>IFERROR('Ashed teabags wet'!C765,"")</f>
        <v>96</v>
      </c>
      <c r="BI350">
        <f>'Ashed teabags wet'!AB348</f>
        <v>199</v>
      </c>
      <c r="BJ350" t="str">
        <f>'Ashed teabags wet'!AC348</f>
        <v/>
      </c>
      <c r="BK350" t="str">
        <f>'Ashed teabags wet'!AD765</f>
        <v/>
      </c>
      <c r="BL350">
        <f>'Ashed teabags wet'!AE765</f>
        <v>95</v>
      </c>
      <c r="BN350" t="str">
        <f t="shared" si="142"/>
        <v>G815</v>
      </c>
      <c r="BO350" t="b">
        <f t="shared" si="143"/>
        <v>1</v>
      </c>
    </row>
    <row r="351" spans="2:67" ht="12" customHeight="1">
      <c r="B351" t="str">
        <f>TBIDry!H423</f>
        <v>G134</v>
      </c>
      <c r="C351" t="str">
        <f>TBIDry!I423</f>
        <v>R272</v>
      </c>
      <c r="D351" t="b">
        <f t="shared" si="120"/>
        <v>0</v>
      </c>
      <c r="E351" t="b">
        <f t="shared" si="121"/>
        <v>0</v>
      </c>
      <c r="G351" t="str">
        <f>TBIWet!H423</f>
        <v>G833</v>
      </c>
      <c r="H351" t="str">
        <f>TBIWet!I423</f>
        <v>R418</v>
      </c>
      <c r="I351" t="b">
        <f t="shared" si="122"/>
        <v>0</v>
      </c>
      <c r="J351" t="b">
        <f t="shared" si="123"/>
        <v>0</v>
      </c>
      <c r="L351" s="113" t="str">
        <f>'Both teabags AfterWet'!A350</f>
        <v>G816</v>
      </c>
      <c r="M351" t="str">
        <f>'Both teabags AfterWet'!A768</f>
        <v>R565</v>
      </c>
      <c r="N351" t="b">
        <f t="shared" si="124"/>
        <v>0</v>
      </c>
      <c r="O351" t="b">
        <f t="shared" si="125"/>
        <v>0</v>
      </c>
      <c r="P351" t="str">
        <f>IFERROR('Both teabags AfterWet'!B350,"")</f>
        <v>n.a</v>
      </c>
      <c r="Q351">
        <f>'Both teabags AfterWet'!B768</f>
        <v>117</v>
      </c>
      <c r="S351" s="113" t="b">
        <f t="shared" si="126"/>
        <v>1</v>
      </c>
      <c r="T351" s="401" t="b">
        <f t="shared" si="127"/>
        <v>0</v>
      </c>
      <c r="AA351" t="str">
        <f>'Green_rooibos initial weight'!A352</f>
        <v>G348</v>
      </c>
      <c r="AB351" t="str">
        <f>'Green_rooibos initial weight'!A1256</f>
        <v>R348</v>
      </c>
      <c r="AC351" t="b">
        <f t="shared" si="130"/>
        <v>0</v>
      </c>
      <c r="AD351" t="b">
        <f t="shared" si="131"/>
        <v>0</v>
      </c>
      <c r="AG351" t="str">
        <f>'WetLitterbags placem_collection'!O130</f>
        <v>G833</v>
      </c>
      <c r="AH351" t="str">
        <f>'WetLitterbags placem_collection'!Q130</f>
        <v>R418</v>
      </c>
      <c r="AI351" t="b">
        <f t="shared" si="132"/>
        <v>0</v>
      </c>
      <c r="AJ351" t="b">
        <f t="shared" si="133"/>
        <v>0</v>
      </c>
      <c r="AK351">
        <f>'WetLitterbags placem_collection'!A130</f>
        <v>128</v>
      </c>
      <c r="AL351">
        <f>'WetLitterbags placem_collection'!A130</f>
        <v>128</v>
      </c>
      <c r="AN351">
        <f>IF('Dry_Litterbag Placem_Collection'!L130=0,"",'Dry_Litterbag Placem_Collection'!L130)</f>
        <v>134</v>
      </c>
      <c r="AO351">
        <f>IF('Dry_Litterbag Placem_Collection'!M130=0,"",'Dry_Litterbag Placem_Collection'!M130)</f>
        <v>272</v>
      </c>
      <c r="AP351" t="b">
        <f t="shared" si="134"/>
        <v>0</v>
      </c>
      <c r="AQ351" t="b">
        <f t="shared" si="135"/>
        <v>0</v>
      </c>
      <c r="AZ351" s="401" t="b">
        <f t="shared" si="138"/>
        <v>0</v>
      </c>
      <c r="BA351" s="401" t="b">
        <f t="shared" si="139"/>
        <v>0</v>
      </c>
      <c r="BC351" t="str">
        <f>'Ashed teabags wet'!A349</f>
        <v>G817</v>
      </c>
      <c r="BD351" t="str">
        <f>'Ashed teabags wet'!A766</f>
        <v>R589</v>
      </c>
      <c r="BE351" t="b">
        <f t="shared" si="140"/>
        <v>0</v>
      </c>
      <c r="BF351" t="b">
        <f t="shared" si="141"/>
        <v>0</v>
      </c>
      <c r="BG351">
        <f>IFERROR('Ashed teabags wet'!C349,"")</f>
        <v>142</v>
      </c>
      <c r="BH351">
        <f>IFERROR('Ashed teabags wet'!C766,"")</f>
        <v>211</v>
      </c>
      <c r="BI351">
        <f>'Ashed teabags wet'!AB349</f>
        <v>141</v>
      </c>
      <c r="BJ351" t="str">
        <f>'Ashed teabags wet'!AC349</f>
        <v/>
      </c>
      <c r="BK351" t="str">
        <f>'Ashed teabags wet'!AD766</f>
        <v/>
      </c>
      <c r="BL351">
        <f>'Ashed teabags wet'!AE766</f>
        <v>210</v>
      </c>
      <c r="BN351" t="str">
        <f t="shared" si="142"/>
        <v>G816</v>
      </c>
      <c r="BO351" t="b">
        <f t="shared" si="143"/>
        <v>1</v>
      </c>
    </row>
    <row r="352" spans="2:67" ht="12" customHeight="1">
      <c r="B352" t="str">
        <f>TBIDry!H424</f>
        <v>G671</v>
      </c>
      <c r="C352" t="str">
        <f>TBIDry!I424</f>
        <v>R207</v>
      </c>
      <c r="D352" t="b">
        <f t="shared" si="120"/>
        <v>0</v>
      </c>
      <c r="E352" t="b">
        <f t="shared" si="121"/>
        <v>0</v>
      </c>
      <c r="G352" t="str">
        <f>TBIWet!H424</f>
        <v>G888</v>
      </c>
      <c r="H352" t="str">
        <f>TBIWet!I424</f>
        <v>R520</v>
      </c>
      <c r="I352" t="b">
        <f t="shared" si="122"/>
        <v>0</v>
      </c>
      <c r="J352" t="b">
        <f t="shared" si="123"/>
        <v>0</v>
      </c>
      <c r="L352" t="str">
        <f>'Both teabags AfterWet'!A351</f>
        <v>G817</v>
      </c>
      <c r="M352" t="str">
        <f>'Both teabags AfterWet'!A769</f>
        <v>R566</v>
      </c>
      <c r="N352" t="b">
        <f t="shared" si="124"/>
        <v>0</v>
      </c>
      <c r="O352" t="b">
        <f t="shared" si="125"/>
        <v>0</v>
      </c>
      <c r="P352">
        <f>IFERROR('Both teabags AfterWet'!B351,"")</f>
        <v>142</v>
      </c>
      <c r="Q352" t="str">
        <f>'Both teabags AfterWet'!B769</f>
        <v>n.a</v>
      </c>
      <c r="S352" s="401" t="b">
        <f t="shared" si="126"/>
        <v>0</v>
      </c>
      <c r="T352" s="401" t="b">
        <f t="shared" si="127"/>
        <v>0</v>
      </c>
      <c r="AA352" t="str">
        <f>'Green_rooibos initial weight'!A353</f>
        <v>G349</v>
      </c>
      <c r="AB352" t="str">
        <f>'Green_rooibos initial weight'!A1257</f>
        <v>R349</v>
      </c>
      <c r="AC352" t="b">
        <f t="shared" si="130"/>
        <v>0</v>
      </c>
      <c r="AD352" t="b">
        <f t="shared" si="131"/>
        <v>0</v>
      </c>
      <c r="AG352" t="str">
        <f>'WetLitterbags placem_collection'!O131</f>
        <v>G888</v>
      </c>
      <c r="AH352" t="str">
        <f>'WetLitterbags placem_collection'!Q131</f>
        <v>R520</v>
      </c>
      <c r="AI352" t="b">
        <f t="shared" si="132"/>
        <v>0</v>
      </c>
      <c r="AJ352" t="b">
        <f t="shared" si="133"/>
        <v>0</v>
      </c>
      <c r="AK352">
        <f>'WetLitterbags placem_collection'!A131</f>
        <v>129</v>
      </c>
      <c r="AL352">
        <f>'WetLitterbags placem_collection'!A131</f>
        <v>129</v>
      </c>
      <c r="AN352">
        <f>IF('Dry_Litterbag Placem_Collection'!L131=0,"",'Dry_Litterbag Placem_Collection'!L131)</f>
        <v>671</v>
      </c>
      <c r="AO352">
        <f>IF('Dry_Litterbag Placem_Collection'!M131=0,"",'Dry_Litterbag Placem_Collection'!M131)</f>
        <v>207</v>
      </c>
      <c r="AP352" t="b">
        <f t="shared" si="134"/>
        <v>0</v>
      </c>
      <c r="AQ352" t="b">
        <f t="shared" si="135"/>
        <v>0</v>
      </c>
      <c r="AZ352" s="401" t="b">
        <f t="shared" si="138"/>
        <v>0</v>
      </c>
      <c r="BA352" s="401" t="b">
        <f t="shared" si="139"/>
        <v>0</v>
      </c>
      <c r="BC352" t="str">
        <f>'Ashed teabags wet'!A350</f>
        <v>G818</v>
      </c>
      <c r="BD352" t="str">
        <f>'Ashed teabags wet'!A767</f>
        <v>R59</v>
      </c>
      <c r="BE352" t="b">
        <f t="shared" si="140"/>
        <v>0</v>
      </c>
      <c r="BF352" t="b">
        <f t="shared" si="141"/>
        <v>0</v>
      </c>
      <c r="BG352">
        <f>IFERROR('Ashed teabags wet'!C350,"")</f>
        <v>182</v>
      </c>
      <c r="BH352">
        <f>IFERROR('Ashed teabags wet'!C767,"")</f>
        <v>6</v>
      </c>
      <c r="BI352" t="str">
        <f>'Ashed teabags wet'!AB350</f>
        <v/>
      </c>
      <c r="BJ352">
        <f>'Ashed teabags wet'!AC350</f>
        <v>181</v>
      </c>
      <c r="BK352" t="str">
        <f>'Ashed teabags wet'!AD767</f>
        <v/>
      </c>
      <c r="BL352">
        <f>'Ashed teabags wet'!AE767</f>
        <v>5</v>
      </c>
      <c r="BN352" t="str">
        <f t="shared" si="142"/>
        <v>G817</v>
      </c>
      <c r="BO352" t="b">
        <f t="shared" si="143"/>
        <v>1</v>
      </c>
    </row>
    <row r="353" spans="2:68" ht="12" customHeight="1">
      <c r="B353" t="str">
        <f>TBIDry!H425</f>
        <v>G400</v>
      </c>
      <c r="C353" t="str">
        <f>TBIDry!I425</f>
        <v>R193</v>
      </c>
      <c r="D353" t="b">
        <f t="shared" si="120"/>
        <v>0</v>
      </c>
      <c r="E353" t="b">
        <f t="shared" si="121"/>
        <v>0</v>
      </c>
      <c r="G353" t="str">
        <f>TBIWet!H425</f>
        <v>G708</v>
      </c>
      <c r="H353" t="str">
        <f>TBIWet!I425</f>
        <v>R433</v>
      </c>
      <c r="I353" t="b">
        <f t="shared" si="122"/>
        <v>0</v>
      </c>
      <c r="J353" t="b">
        <f t="shared" si="123"/>
        <v>0</v>
      </c>
      <c r="L353" t="str">
        <f>'Both teabags AfterWet'!A352</f>
        <v>G818</v>
      </c>
      <c r="M353" t="str">
        <f>'Both teabags AfterWet'!A770</f>
        <v>R567</v>
      </c>
      <c r="N353" t="b">
        <f t="shared" si="124"/>
        <v>0</v>
      </c>
      <c r="O353" t="b">
        <f t="shared" si="125"/>
        <v>0</v>
      </c>
      <c r="P353" t="str">
        <f>IFERROR('Both teabags AfterWet'!B352,"")</f>
        <v>n.a</v>
      </c>
      <c r="Q353">
        <f>'Both teabags AfterWet'!B770</f>
        <v>143</v>
      </c>
      <c r="S353" s="401" t="b">
        <f t="shared" si="126"/>
        <v>0</v>
      </c>
      <c r="T353" s="401" t="b">
        <f t="shared" si="127"/>
        <v>0</v>
      </c>
      <c r="AA353" t="str">
        <f>'Green_rooibos initial weight'!A354</f>
        <v>G350</v>
      </c>
      <c r="AB353" t="str">
        <f>'Green_rooibos initial weight'!A1258</f>
        <v>R350</v>
      </c>
      <c r="AC353" t="b">
        <f t="shared" si="130"/>
        <v>0</v>
      </c>
      <c r="AD353" t="b">
        <f t="shared" si="131"/>
        <v>0</v>
      </c>
      <c r="AG353" t="str">
        <f>'WetLitterbags placem_collection'!O132</f>
        <v>G708</v>
      </c>
      <c r="AH353" t="str">
        <f>'WetLitterbags placem_collection'!Q132</f>
        <v>R433</v>
      </c>
      <c r="AI353" t="b">
        <f t="shared" si="132"/>
        <v>0</v>
      </c>
      <c r="AJ353" t="b">
        <f t="shared" si="133"/>
        <v>0</v>
      </c>
      <c r="AK353">
        <f>'WetLitterbags placem_collection'!A132</f>
        <v>130</v>
      </c>
      <c r="AL353">
        <f>'WetLitterbags placem_collection'!A132</f>
        <v>130</v>
      </c>
      <c r="AN353">
        <f>IF('Dry_Litterbag Placem_Collection'!L132=0,"",'Dry_Litterbag Placem_Collection'!L132)</f>
        <v>400</v>
      </c>
      <c r="AO353">
        <f>IF('Dry_Litterbag Placem_Collection'!M132=0,"",'Dry_Litterbag Placem_Collection'!M132)</f>
        <v>193</v>
      </c>
      <c r="AP353" t="b">
        <f t="shared" si="134"/>
        <v>0</v>
      </c>
      <c r="AQ353" t="b">
        <f t="shared" si="135"/>
        <v>0</v>
      </c>
      <c r="AZ353" s="401" t="b">
        <f t="shared" si="138"/>
        <v>0</v>
      </c>
      <c r="BA353" s="401" t="b">
        <f t="shared" si="139"/>
        <v>0</v>
      </c>
      <c r="BC353" t="str">
        <f>'Ashed teabags wet'!A351</f>
        <v>G819</v>
      </c>
      <c r="BD353" t="str">
        <f>'Ashed teabags wet'!A768</f>
        <v>R590</v>
      </c>
      <c r="BE353" t="b">
        <f t="shared" si="140"/>
        <v>0</v>
      </c>
      <c r="BF353" t="b">
        <f t="shared" si="141"/>
        <v>0</v>
      </c>
      <c r="BG353">
        <f>IFERROR('Ashed teabags wet'!C351,"")</f>
        <v>129</v>
      </c>
      <c r="BH353">
        <f>IFERROR('Ashed teabags wet'!C768,"")</f>
        <v>106</v>
      </c>
      <c r="BI353">
        <f>'Ashed teabags wet'!AB351</f>
        <v>128</v>
      </c>
      <c r="BJ353" t="str">
        <f>'Ashed teabags wet'!AC351</f>
        <v/>
      </c>
      <c r="BK353">
        <f>'Ashed teabags wet'!AD768</f>
        <v>105</v>
      </c>
      <c r="BL353" t="str">
        <f>'Ashed teabags wet'!AE768</f>
        <v/>
      </c>
      <c r="BN353" t="str">
        <f t="shared" si="142"/>
        <v>G818</v>
      </c>
      <c r="BO353" t="b">
        <f t="shared" si="143"/>
        <v>1</v>
      </c>
    </row>
    <row r="354" spans="2:68" ht="12" customHeight="1">
      <c r="B354" t="str">
        <f>TBIDry!H426</f>
        <v>G48</v>
      </c>
      <c r="C354" t="str">
        <f>TBIDry!I426</f>
        <v>R188</v>
      </c>
      <c r="D354" t="b">
        <f t="shared" si="120"/>
        <v>0</v>
      </c>
      <c r="E354" t="b">
        <f t="shared" si="121"/>
        <v>0</v>
      </c>
      <c r="G354" t="str">
        <f>TBIWet!H426</f>
        <v>G768</v>
      </c>
      <c r="H354" t="str">
        <f>TBIWet!I426</f>
        <v>R592</v>
      </c>
      <c r="I354" t="b">
        <f t="shared" si="122"/>
        <v>0</v>
      </c>
      <c r="J354" t="b">
        <f t="shared" si="123"/>
        <v>0</v>
      </c>
      <c r="L354" t="str">
        <f>'Both teabags AfterWet'!A353</f>
        <v>G819</v>
      </c>
      <c r="M354" t="str">
        <f>'Both teabags AfterWet'!A771</f>
        <v>R568</v>
      </c>
      <c r="N354" t="b">
        <f t="shared" si="124"/>
        <v>0</v>
      </c>
      <c r="O354" t="b">
        <f t="shared" si="125"/>
        <v>0</v>
      </c>
      <c r="P354">
        <f>IFERROR('Both teabags AfterWet'!B353,"")</f>
        <v>129</v>
      </c>
      <c r="Q354">
        <f>'Both teabags AfterWet'!B771</f>
        <v>183</v>
      </c>
      <c r="S354" s="401" t="b">
        <f t="shared" si="126"/>
        <v>0</v>
      </c>
      <c r="T354" s="401" t="b">
        <f t="shared" si="127"/>
        <v>0</v>
      </c>
      <c r="AA354" t="str">
        <f>'Green_rooibos initial weight'!A355</f>
        <v>G351</v>
      </c>
      <c r="AB354" t="str">
        <f>'Green_rooibos initial weight'!A1259</f>
        <v>R351</v>
      </c>
      <c r="AC354" t="b">
        <f t="shared" si="130"/>
        <v>0</v>
      </c>
      <c r="AD354" t="b">
        <f t="shared" si="131"/>
        <v>0</v>
      </c>
      <c r="AG354" t="str">
        <f>'WetLitterbags placem_collection'!O133</f>
        <v>G768</v>
      </c>
      <c r="AH354" t="str">
        <f>'WetLitterbags placem_collection'!Q133</f>
        <v>R592</v>
      </c>
      <c r="AI354" t="b">
        <f t="shared" si="132"/>
        <v>0</v>
      </c>
      <c r="AJ354" t="b">
        <f t="shared" si="133"/>
        <v>0</v>
      </c>
      <c r="AK354">
        <f>'WetLitterbags placem_collection'!A133</f>
        <v>131</v>
      </c>
      <c r="AL354">
        <f>'WetLitterbags placem_collection'!A133</f>
        <v>131</v>
      </c>
      <c r="AN354">
        <f>IF('Dry_Litterbag Placem_Collection'!L133=0,"",'Dry_Litterbag Placem_Collection'!L133)</f>
        <v>48</v>
      </c>
      <c r="AO354">
        <f>IF('Dry_Litterbag Placem_Collection'!M133=0,"",'Dry_Litterbag Placem_Collection'!M133)</f>
        <v>188</v>
      </c>
      <c r="AP354" t="b">
        <f t="shared" si="134"/>
        <v>0</v>
      </c>
      <c r="AQ354" t="b">
        <f t="shared" si="135"/>
        <v>0</v>
      </c>
      <c r="AZ354" s="401" t="b">
        <f t="shared" si="138"/>
        <v>0</v>
      </c>
      <c r="BA354" s="401" t="b">
        <f t="shared" si="139"/>
        <v>0</v>
      </c>
      <c r="BC354" t="str">
        <f>'Ashed teabags wet'!A352</f>
        <v>G820</v>
      </c>
      <c r="BD354" t="str">
        <f>'Ashed teabags wet'!A769</f>
        <v>R591</v>
      </c>
      <c r="BE354" t="b">
        <f t="shared" si="140"/>
        <v>0</v>
      </c>
      <c r="BF354" t="b">
        <f t="shared" si="141"/>
        <v>0</v>
      </c>
      <c r="BG354">
        <f>IFERROR('Ashed teabags wet'!C352,"")</f>
        <v>134</v>
      </c>
      <c r="BH354">
        <f>IFERROR('Ashed teabags wet'!C769,"")</f>
        <v>152</v>
      </c>
      <c r="BI354" t="str">
        <f>'Ashed teabags wet'!AB352</f>
        <v/>
      </c>
      <c r="BJ354">
        <f>'Ashed teabags wet'!AC352</f>
        <v>133</v>
      </c>
      <c r="BK354">
        <f>'Ashed teabags wet'!AD769</f>
        <v>151</v>
      </c>
      <c r="BL354" t="str">
        <f>'Ashed teabags wet'!AE769</f>
        <v/>
      </c>
      <c r="BN354" t="str">
        <f t="shared" si="142"/>
        <v>G819</v>
      </c>
      <c r="BO354" t="b">
        <f t="shared" si="143"/>
        <v>1</v>
      </c>
    </row>
    <row r="355" spans="2:68" ht="12" customHeight="1">
      <c r="B355" t="str">
        <f>TBIDry!H427</f>
        <v/>
      </c>
      <c r="C355" t="str">
        <f>TBIDry!I427</f>
        <v/>
      </c>
      <c r="D355" t="b">
        <f t="shared" si="120"/>
        <v>1</v>
      </c>
      <c r="E355" t="b">
        <f t="shared" si="121"/>
        <v>1</v>
      </c>
      <c r="G355" t="str">
        <f>TBIWet!H427</f>
        <v>G779</v>
      </c>
      <c r="H355" t="str">
        <f>TBIWet!I427</f>
        <v>R477</v>
      </c>
      <c r="I355" t="b">
        <f t="shared" si="122"/>
        <v>0</v>
      </c>
      <c r="J355" t="b">
        <f t="shared" si="123"/>
        <v>0</v>
      </c>
      <c r="L355" t="str">
        <f>'Both teabags AfterWet'!A354</f>
        <v>G820</v>
      </c>
      <c r="M355" t="str">
        <f>'Both teabags AfterWet'!A772</f>
        <v>R569</v>
      </c>
      <c r="N355" t="b">
        <f t="shared" si="124"/>
        <v>0</v>
      </c>
      <c r="O355" t="b">
        <f t="shared" si="125"/>
        <v>0</v>
      </c>
      <c r="P355">
        <f>IFERROR('Both teabags AfterWet'!B354,"")</f>
        <v>134</v>
      </c>
      <c r="Q355">
        <f>'Both teabags AfterWet'!B772</f>
        <v>102</v>
      </c>
      <c r="S355" s="401" t="b">
        <f t="shared" si="126"/>
        <v>0</v>
      </c>
      <c r="T355" s="401" t="b">
        <f t="shared" si="127"/>
        <v>0</v>
      </c>
      <c r="AA355" t="str">
        <f>'Green_rooibos initial weight'!A356</f>
        <v>G352</v>
      </c>
      <c r="AB355" t="str">
        <f>'Green_rooibos initial weight'!A1260</f>
        <v>R352</v>
      </c>
      <c r="AC355" t="b">
        <f t="shared" si="130"/>
        <v>0</v>
      </c>
      <c r="AD355" t="b">
        <f t="shared" si="131"/>
        <v>0</v>
      </c>
      <c r="AG355" t="str">
        <f>'WetLitterbags placem_collection'!O134</f>
        <v>G779</v>
      </c>
      <c r="AH355" t="str">
        <f>'WetLitterbags placem_collection'!Q134</f>
        <v>R477</v>
      </c>
      <c r="AI355" t="b">
        <f t="shared" si="132"/>
        <v>0</v>
      </c>
      <c r="AJ355" t="b">
        <f t="shared" si="133"/>
        <v>0</v>
      </c>
      <c r="AK355">
        <f>'WetLitterbags placem_collection'!A134</f>
        <v>132</v>
      </c>
      <c r="AL355">
        <f>'WetLitterbags placem_collection'!A134</f>
        <v>132</v>
      </c>
      <c r="AN355" t="str">
        <f>IF('Dry_Litterbag Placem_Collection'!L134=0,"",'Dry_Litterbag Placem_Collection'!L134)</f>
        <v/>
      </c>
      <c r="AO355" t="str">
        <f>IF('Dry_Litterbag Placem_Collection'!M134=0,"",'Dry_Litterbag Placem_Collection'!M134)</f>
        <v/>
      </c>
      <c r="AP355" t="b">
        <f t="shared" si="134"/>
        <v>1</v>
      </c>
      <c r="AQ355" t="b">
        <f t="shared" si="135"/>
        <v>1</v>
      </c>
      <c r="AZ355" s="401" t="b">
        <f t="shared" si="138"/>
        <v>0</v>
      </c>
      <c r="BA355" s="401" t="b">
        <f t="shared" si="139"/>
        <v>0</v>
      </c>
      <c r="BC355" t="str">
        <f>'Ashed teabags wet'!A353</f>
        <v>G821</v>
      </c>
      <c r="BD355" t="str">
        <f>'Ashed teabags wet'!A770</f>
        <v>R592</v>
      </c>
      <c r="BE355" t="b">
        <f t="shared" si="140"/>
        <v>0</v>
      </c>
      <c r="BF355" t="b">
        <f t="shared" si="141"/>
        <v>0</v>
      </c>
      <c r="BG355">
        <f>IFERROR('Ashed teabags wet'!C353,"")</f>
        <v>195</v>
      </c>
      <c r="BH355">
        <f>IFERROR('Ashed teabags wet'!C770,"")</f>
        <v>131</v>
      </c>
      <c r="BI355">
        <f>'Ashed teabags wet'!AB353</f>
        <v>194</v>
      </c>
      <c r="BJ355" t="str">
        <f>'Ashed teabags wet'!AC353</f>
        <v/>
      </c>
      <c r="BK355" t="str">
        <f>'Ashed teabags wet'!AD770</f>
        <v/>
      </c>
      <c r="BL355">
        <f>'Ashed teabags wet'!AE770</f>
        <v>130</v>
      </c>
      <c r="BN355" t="str">
        <f t="shared" si="142"/>
        <v>G820</v>
      </c>
      <c r="BO355" t="b">
        <f t="shared" si="143"/>
        <v>1</v>
      </c>
    </row>
    <row r="356" spans="2:68" ht="12" customHeight="1">
      <c r="B356" t="str">
        <f>TBIDry!H428</f>
        <v>G210</v>
      </c>
      <c r="C356" t="str">
        <f>TBIDry!I428</f>
        <v>R683</v>
      </c>
      <c r="D356" t="b">
        <f t="shared" si="120"/>
        <v>0</v>
      </c>
      <c r="E356" t="b">
        <f t="shared" si="121"/>
        <v>0</v>
      </c>
      <c r="G356" t="str">
        <f>TBIWet!H428</f>
        <v>G799</v>
      </c>
      <c r="H356" t="str">
        <f>TBIWet!I428</f>
        <v>R597</v>
      </c>
      <c r="I356" t="b">
        <f t="shared" si="122"/>
        <v>0</v>
      </c>
      <c r="J356" t="b">
        <f t="shared" si="123"/>
        <v>0</v>
      </c>
      <c r="L356" t="str">
        <f>'Both teabags AfterWet'!A355</f>
        <v>G821</v>
      </c>
      <c r="M356" t="str">
        <f>'Both teabags AfterWet'!A773</f>
        <v>R570</v>
      </c>
      <c r="N356" t="b">
        <f t="shared" si="124"/>
        <v>0</v>
      </c>
      <c r="O356" t="b">
        <f t="shared" si="125"/>
        <v>0</v>
      </c>
      <c r="P356">
        <f>IFERROR('Both teabags AfterWet'!B355,"")</f>
        <v>195</v>
      </c>
      <c r="Q356">
        <f>'Both teabags AfterWet'!B773</f>
        <v>158</v>
      </c>
      <c r="S356" s="401" t="b">
        <f t="shared" si="126"/>
        <v>0</v>
      </c>
      <c r="T356" s="401" t="b">
        <f t="shared" si="127"/>
        <v>0</v>
      </c>
      <c r="AA356" t="str">
        <f>'Green_rooibos initial weight'!A357</f>
        <v>G353</v>
      </c>
      <c r="AB356" t="str">
        <f>'Green_rooibos initial weight'!A1261</f>
        <v>R353</v>
      </c>
      <c r="AC356" t="b">
        <f t="shared" si="130"/>
        <v>0</v>
      </c>
      <c r="AD356" t="b">
        <f t="shared" si="131"/>
        <v>0</v>
      </c>
      <c r="AG356" t="str">
        <f>'WetLitterbags placem_collection'!O135</f>
        <v>G799</v>
      </c>
      <c r="AH356" t="str">
        <f>'WetLitterbags placem_collection'!Q135</f>
        <v>R597</v>
      </c>
      <c r="AI356" t="b">
        <f t="shared" si="132"/>
        <v>0</v>
      </c>
      <c r="AJ356" t="b">
        <f t="shared" si="133"/>
        <v>0</v>
      </c>
      <c r="AK356">
        <f>'WetLitterbags placem_collection'!A135</f>
        <v>133</v>
      </c>
      <c r="AL356">
        <f>'WetLitterbags placem_collection'!A135</f>
        <v>133</v>
      </c>
      <c r="AN356">
        <f>IF('Dry_Litterbag Placem_Collection'!L135=0,"",'Dry_Litterbag Placem_Collection'!L135)</f>
        <v>210</v>
      </c>
      <c r="AO356">
        <f>IF('Dry_Litterbag Placem_Collection'!M135=0,"",'Dry_Litterbag Placem_Collection'!M135)</f>
        <v>683</v>
      </c>
      <c r="AP356" t="b">
        <f t="shared" si="134"/>
        <v>0</v>
      </c>
      <c r="AQ356" t="b">
        <f t="shared" si="135"/>
        <v>0</v>
      </c>
      <c r="AZ356" s="401" t="b">
        <f t="shared" si="138"/>
        <v>0</v>
      </c>
      <c r="BA356" s="401" t="b">
        <f t="shared" si="139"/>
        <v>0</v>
      </c>
      <c r="BC356" t="str">
        <f>'Ashed teabags wet'!A354</f>
        <v>G822</v>
      </c>
      <c r="BD356" t="str">
        <f>'Ashed teabags wet'!A771</f>
        <v>R593</v>
      </c>
      <c r="BE356" t="b">
        <f t="shared" si="140"/>
        <v>0</v>
      </c>
      <c r="BF356" t="b">
        <f t="shared" si="141"/>
        <v>0</v>
      </c>
      <c r="BG356">
        <f>IFERROR('Ashed teabags wet'!C354,"")</f>
        <v>211</v>
      </c>
      <c r="BH356">
        <f>IFERROR('Ashed teabags wet'!C771,"")</f>
        <v>106</v>
      </c>
      <c r="BI356">
        <f>'Ashed teabags wet'!AB354</f>
        <v>210</v>
      </c>
      <c r="BJ356" t="str">
        <f>'Ashed teabags wet'!AC354</f>
        <v/>
      </c>
      <c r="BK356" t="str">
        <f>'Ashed teabags wet'!AD771</f>
        <v/>
      </c>
      <c r="BL356">
        <f>'Ashed teabags wet'!AE771</f>
        <v>105</v>
      </c>
      <c r="BN356" t="str">
        <f t="shared" si="142"/>
        <v>G821</v>
      </c>
      <c r="BO356" t="b">
        <f t="shared" si="143"/>
        <v>1</v>
      </c>
    </row>
    <row r="357" spans="2:68" ht="12" customHeight="1">
      <c r="B357" t="str">
        <f>TBIDry!H429</f>
        <v>G40</v>
      </c>
      <c r="C357" t="str">
        <f>TBIDry!I429</f>
        <v>R649</v>
      </c>
      <c r="D357" t="b">
        <f t="shared" si="120"/>
        <v>0</v>
      </c>
      <c r="E357" t="b">
        <f t="shared" si="121"/>
        <v>0</v>
      </c>
      <c r="G357" t="str">
        <f>TBIWet!H429</f>
        <v>G820</v>
      </c>
      <c r="H357" t="str">
        <f>TBIWet!I429</f>
        <v>R467</v>
      </c>
      <c r="I357" t="b">
        <f t="shared" si="122"/>
        <v>0</v>
      </c>
      <c r="J357" t="b">
        <f t="shared" si="123"/>
        <v>0</v>
      </c>
      <c r="L357" t="str">
        <f>'Both teabags AfterWet'!A356</f>
        <v>G822</v>
      </c>
      <c r="M357" t="str">
        <f>'Both teabags AfterWet'!A774</f>
        <v>R571</v>
      </c>
      <c r="N357" t="b">
        <f t="shared" si="124"/>
        <v>0</v>
      </c>
      <c r="O357" t="b">
        <f t="shared" si="125"/>
        <v>0</v>
      </c>
      <c r="P357">
        <f>IFERROR('Both teabags AfterWet'!B356,"")</f>
        <v>221</v>
      </c>
      <c r="Q357">
        <f>'Both teabags AfterWet'!B774</f>
        <v>144</v>
      </c>
      <c r="S357" s="401" t="b">
        <f t="shared" si="126"/>
        <v>0</v>
      </c>
      <c r="T357" s="401" t="b">
        <f t="shared" si="127"/>
        <v>0</v>
      </c>
      <c r="AA357" t="str">
        <f>'Green_rooibos initial weight'!A358</f>
        <v>G354</v>
      </c>
      <c r="AB357" t="str">
        <f>'Green_rooibos initial weight'!A1262</f>
        <v>R354</v>
      </c>
      <c r="AC357" t="b">
        <f t="shared" si="130"/>
        <v>0</v>
      </c>
      <c r="AD357" t="b">
        <f t="shared" si="131"/>
        <v>0</v>
      </c>
      <c r="AG357" t="str">
        <f>'WetLitterbags placem_collection'!O136</f>
        <v>G820</v>
      </c>
      <c r="AH357" t="str">
        <f>'WetLitterbags placem_collection'!Q136</f>
        <v>R467</v>
      </c>
      <c r="AI357" t="b">
        <f t="shared" si="132"/>
        <v>0</v>
      </c>
      <c r="AJ357" t="b">
        <f t="shared" si="133"/>
        <v>0</v>
      </c>
      <c r="AK357">
        <f>'WetLitterbags placem_collection'!A136</f>
        <v>134</v>
      </c>
      <c r="AL357">
        <f>'WetLitterbags placem_collection'!A136</f>
        <v>134</v>
      </c>
      <c r="AN357">
        <f>IF('Dry_Litterbag Placem_Collection'!L136=0,"",'Dry_Litterbag Placem_Collection'!L136)</f>
        <v>40</v>
      </c>
      <c r="AO357">
        <f>IF('Dry_Litterbag Placem_Collection'!M136=0,"",'Dry_Litterbag Placem_Collection'!M136)</f>
        <v>649</v>
      </c>
      <c r="AP357" t="b">
        <f t="shared" si="134"/>
        <v>0</v>
      </c>
      <c r="AQ357" t="b">
        <f t="shared" si="135"/>
        <v>0</v>
      </c>
      <c r="AZ357" s="401" t="b">
        <f t="shared" si="138"/>
        <v>0</v>
      </c>
      <c r="BA357" s="401" t="b">
        <f t="shared" si="139"/>
        <v>0</v>
      </c>
      <c r="BC357" t="str">
        <f>'Ashed teabags wet'!A355</f>
        <v>G824</v>
      </c>
      <c r="BD357" t="str">
        <f>'Ashed teabags wet'!A772</f>
        <v>R594</v>
      </c>
      <c r="BE357" t="b">
        <f t="shared" si="140"/>
        <v>0</v>
      </c>
      <c r="BF357" t="b">
        <f t="shared" si="141"/>
        <v>0</v>
      </c>
      <c r="BG357">
        <f>IFERROR('Ashed teabags wet'!C355,"")</f>
        <v>102</v>
      </c>
      <c r="BH357">
        <f>IFERROR('Ashed teabags wet'!C772,"")</f>
        <v>120</v>
      </c>
      <c r="BI357" t="str">
        <f>'Ashed teabags wet'!AB355</f>
        <v/>
      </c>
      <c r="BJ357">
        <f>'Ashed teabags wet'!AC355</f>
        <v>101</v>
      </c>
      <c r="BK357" t="str">
        <f>'Ashed teabags wet'!AD772</f>
        <v/>
      </c>
      <c r="BL357">
        <f>'Ashed teabags wet'!AE772</f>
        <v>119</v>
      </c>
      <c r="BN357" t="str">
        <f t="shared" si="142"/>
        <v>G822</v>
      </c>
      <c r="BO357" t="b">
        <f t="shared" si="143"/>
        <v>1</v>
      </c>
    </row>
    <row r="358" spans="2:68" ht="12" customHeight="1">
      <c r="B358" t="str">
        <f>TBIDry!H430</f>
        <v>G517</v>
      </c>
      <c r="C358" t="str">
        <f>TBIDry!I430</f>
        <v>R223</v>
      </c>
      <c r="D358" t="b">
        <f t="shared" si="120"/>
        <v>0</v>
      </c>
      <c r="E358" t="b">
        <f t="shared" si="121"/>
        <v>0</v>
      </c>
      <c r="G358" t="str">
        <f>TBIWet!H430</f>
        <v>G842</v>
      </c>
      <c r="H358" t="str">
        <f>TBIWet!I430</f>
        <v>R596</v>
      </c>
      <c r="I358" t="b">
        <f t="shared" si="122"/>
        <v>0</v>
      </c>
      <c r="J358" t="b">
        <f t="shared" si="123"/>
        <v>0</v>
      </c>
      <c r="L358" t="str">
        <f>'Both teabags AfterWet'!A357</f>
        <v>G824</v>
      </c>
      <c r="M358" t="str">
        <f>'Both teabags AfterWet'!A775</f>
        <v>R572</v>
      </c>
      <c r="N358" t="b">
        <f t="shared" si="124"/>
        <v>0</v>
      </c>
      <c r="O358" t="b">
        <f t="shared" si="125"/>
        <v>0</v>
      </c>
      <c r="P358">
        <f>IFERROR('Both teabags AfterWet'!B357,"")</f>
        <v>155</v>
      </c>
      <c r="Q358">
        <f>'Both teabags AfterWet'!B775</f>
        <v>150</v>
      </c>
      <c r="S358" s="401" t="b">
        <f t="shared" si="126"/>
        <v>0</v>
      </c>
      <c r="T358" s="401" t="b">
        <f t="shared" si="127"/>
        <v>0</v>
      </c>
      <c r="AA358" t="str">
        <f>'Green_rooibos initial weight'!A359</f>
        <v>G355</v>
      </c>
      <c r="AB358" t="str">
        <f>'Green_rooibos initial weight'!A1263</f>
        <v>R355</v>
      </c>
      <c r="AC358" t="b">
        <f t="shared" si="130"/>
        <v>0</v>
      </c>
      <c r="AD358" t="b">
        <f t="shared" si="131"/>
        <v>0</v>
      </c>
      <c r="AG358" t="str">
        <f>'WetLitterbags placem_collection'!O137</f>
        <v>G842</v>
      </c>
      <c r="AH358" t="str">
        <f>'WetLitterbags placem_collection'!Q137</f>
        <v>R596</v>
      </c>
      <c r="AI358" t="b">
        <f t="shared" si="132"/>
        <v>0</v>
      </c>
      <c r="AJ358" t="b">
        <f t="shared" si="133"/>
        <v>0</v>
      </c>
      <c r="AK358">
        <f>'WetLitterbags placem_collection'!A137</f>
        <v>135</v>
      </c>
      <c r="AL358">
        <f>'WetLitterbags placem_collection'!A137</f>
        <v>135</v>
      </c>
      <c r="AN358">
        <f>IF('Dry_Litterbag Placem_Collection'!L137=0,"",'Dry_Litterbag Placem_Collection'!L137)</f>
        <v>517</v>
      </c>
      <c r="AO358">
        <f>IF('Dry_Litterbag Placem_Collection'!M137=0,"",'Dry_Litterbag Placem_Collection'!M137)</f>
        <v>223</v>
      </c>
      <c r="AP358" t="b">
        <f t="shared" si="134"/>
        <v>0</v>
      </c>
      <c r="AQ358" t="b">
        <f t="shared" si="135"/>
        <v>0</v>
      </c>
      <c r="AZ358" s="401" t="b">
        <f t="shared" si="138"/>
        <v>0</v>
      </c>
      <c r="BA358" s="401" t="b">
        <f t="shared" si="139"/>
        <v>0</v>
      </c>
      <c r="BC358" t="str">
        <f>'Ashed teabags wet'!A356</f>
        <v>G825</v>
      </c>
      <c r="BD358" t="str">
        <f>'Ashed teabags wet'!A773</f>
        <v>R596</v>
      </c>
      <c r="BE358" t="b">
        <f t="shared" si="140"/>
        <v>0</v>
      </c>
      <c r="BF358" t="b">
        <f t="shared" si="141"/>
        <v>0</v>
      </c>
      <c r="BG358">
        <f>IFERROR('Ashed teabags wet'!C356,"")</f>
        <v>121</v>
      </c>
      <c r="BH358">
        <f>IFERROR('Ashed teabags wet'!C773,"")</f>
        <v>135</v>
      </c>
      <c r="BI358" t="str">
        <f>'Ashed teabags wet'!AB356</f>
        <v/>
      </c>
      <c r="BJ358">
        <f>'Ashed teabags wet'!AC356</f>
        <v>120</v>
      </c>
      <c r="BK358" t="str">
        <f>'Ashed teabags wet'!AD773</f>
        <v/>
      </c>
      <c r="BL358">
        <f>'Ashed teabags wet'!AE773</f>
        <v>134</v>
      </c>
      <c r="BN358" t="str">
        <f t="shared" si="142"/>
        <v>G824</v>
      </c>
      <c r="BO358" t="b">
        <f t="shared" si="143"/>
        <v>1</v>
      </c>
    </row>
    <row r="359" spans="2:68" ht="12" customHeight="1">
      <c r="B359" t="str">
        <f>TBIDry!H431</f>
        <v>G67</v>
      </c>
      <c r="C359" t="str">
        <f>TBIDry!I431</f>
        <v>R214</v>
      </c>
      <c r="D359" t="b">
        <f t="shared" si="120"/>
        <v>0</v>
      </c>
      <c r="E359" t="b">
        <f t="shared" si="121"/>
        <v>0</v>
      </c>
      <c r="G359" t="str">
        <f>TBIWet!H431</f>
        <v>G747</v>
      </c>
      <c r="H359" t="str">
        <f>TBIWet!I431</f>
        <v>R543</v>
      </c>
      <c r="I359" t="b">
        <f t="shared" si="122"/>
        <v>0</v>
      </c>
      <c r="J359" t="b">
        <f t="shared" si="123"/>
        <v>0</v>
      </c>
      <c r="L359" t="str">
        <f>'Both teabags AfterWet'!A358</f>
        <v>G825</v>
      </c>
      <c r="M359" t="str">
        <f>'Both teabags AfterWet'!A776</f>
        <v>R573</v>
      </c>
      <c r="N359" t="b">
        <f t="shared" si="124"/>
        <v>0</v>
      </c>
      <c r="O359" t="b">
        <f t="shared" si="125"/>
        <v>0</v>
      </c>
      <c r="P359">
        <f>IFERROR('Both teabags AfterWet'!B358,"")</f>
        <v>121</v>
      </c>
      <c r="Q359">
        <f>'Both teabags AfterWet'!B776</f>
        <v>147</v>
      </c>
      <c r="S359" s="401" t="b">
        <f t="shared" si="126"/>
        <v>0</v>
      </c>
      <c r="T359" s="401" t="b">
        <f t="shared" si="127"/>
        <v>0</v>
      </c>
      <c r="AA359" t="str">
        <f>'Green_rooibos initial weight'!A360</f>
        <v>G356</v>
      </c>
      <c r="AB359" t="str">
        <f>'Green_rooibos initial weight'!A1264</f>
        <v>R356</v>
      </c>
      <c r="AC359" t="b">
        <f t="shared" si="130"/>
        <v>0</v>
      </c>
      <c r="AD359" t="b">
        <f t="shared" si="131"/>
        <v>0</v>
      </c>
      <c r="AG359" t="str">
        <f>'WetLitterbags placem_collection'!O138</f>
        <v>G747</v>
      </c>
      <c r="AH359" t="str">
        <f>'WetLitterbags placem_collection'!Q138</f>
        <v>R543</v>
      </c>
      <c r="AI359" t="b">
        <f t="shared" si="132"/>
        <v>0</v>
      </c>
      <c r="AJ359" t="b">
        <f t="shared" si="133"/>
        <v>0</v>
      </c>
      <c r="AK359">
        <f>'WetLitterbags placem_collection'!A138</f>
        <v>136</v>
      </c>
      <c r="AL359">
        <f>'WetLitterbags placem_collection'!A138</f>
        <v>136</v>
      </c>
      <c r="AN359">
        <f>IF('Dry_Litterbag Placem_Collection'!L138=0,"",'Dry_Litterbag Placem_Collection'!L138)</f>
        <v>67</v>
      </c>
      <c r="AO359">
        <f>IF('Dry_Litterbag Placem_Collection'!M138=0,"",'Dry_Litterbag Placem_Collection'!M138)</f>
        <v>214</v>
      </c>
      <c r="AP359" t="b">
        <f t="shared" si="134"/>
        <v>0</v>
      </c>
      <c r="AQ359" t="b">
        <f t="shared" si="135"/>
        <v>0</v>
      </c>
      <c r="AZ359" s="401" t="b">
        <f t="shared" si="138"/>
        <v>0</v>
      </c>
      <c r="BA359" s="401" t="b">
        <f t="shared" si="139"/>
        <v>0</v>
      </c>
      <c r="BC359" t="str">
        <f>'Ashed teabags wet'!A357</f>
        <v>G826</v>
      </c>
      <c r="BD359" t="str">
        <f>'Ashed teabags wet'!A774</f>
        <v>R597</v>
      </c>
      <c r="BE359" t="b">
        <f t="shared" si="140"/>
        <v>0</v>
      </c>
      <c r="BF359" t="b">
        <f t="shared" si="141"/>
        <v>0</v>
      </c>
      <c r="BG359">
        <f>IFERROR('Ashed teabags wet'!C357,"")</f>
        <v>179</v>
      </c>
      <c r="BH359">
        <f>IFERROR('Ashed teabags wet'!C774,"")</f>
        <v>133</v>
      </c>
      <c r="BI359" t="str">
        <f>'Ashed teabags wet'!AB357</f>
        <v/>
      </c>
      <c r="BJ359">
        <f>'Ashed teabags wet'!AC357</f>
        <v>178</v>
      </c>
      <c r="BK359" t="str">
        <f>'Ashed teabags wet'!AD774</f>
        <v/>
      </c>
      <c r="BL359">
        <f>'Ashed teabags wet'!AE774</f>
        <v>132</v>
      </c>
      <c r="BN359" t="str">
        <f t="shared" si="142"/>
        <v>G825</v>
      </c>
      <c r="BO359" t="b">
        <f t="shared" si="143"/>
        <v>1</v>
      </c>
    </row>
    <row r="360" spans="2:68" ht="12" customHeight="1">
      <c r="B360" t="str">
        <f>TBIDry!H432</f>
        <v>G335</v>
      </c>
      <c r="C360" t="str">
        <f>TBIDry!I432</f>
        <v>R628</v>
      </c>
      <c r="D360" t="b">
        <f t="shared" si="120"/>
        <v>0</v>
      </c>
      <c r="E360" t="b">
        <f t="shared" si="121"/>
        <v>0</v>
      </c>
      <c r="G360" t="str">
        <f>TBIWet!H432</f>
        <v>G857</v>
      </c>
      <c r="H360" t="str">
        <f>TBIWet!I432</f>
        <v>R483</v>
      </c>
      <c r="I360" t="b">
        <f t="shared" si="122"/>
        <v>0</v>
      </c>
      <c r="J360" t="b">
        <f t="shared" si="123"/>
        <v>0</v>
      </c>
      <c r="L360" t="str">
        <f>'Both teabags AfterWet'!A359</f>
        <v>G826</v>
      </c>
      <c r="M360" t="str">
        <f>'Both teabags AfterWet'!A777</f>
        <v>R574</v>
      </c>
      <c r="N360" t="b">
        <f t="shared" si="124"/>
        <v>0</v>
      </c>
      <c r="O360" t="b">
        <f t="shared" si="125"/>
        <v>0</v>
      </c>
      <c r="P360" t="str">
        <f>IFERROR('Both teabags AfterWet'!B359,"")</f>
        <v>n.a</v>
      </c>
      <c r="Q360">
        <f>'Both teabags AfterWet'!B777</f>
        <v>107</v>
      </c>
      <c r="S360" s="401" t="b">
        <f t="shared" si="126"/>
        <v>0</v>
      </c>
      <c r="T360" s="401" t="b">
        <f t="shared" si="127"/>
        <v>0</v>
      </c>
      <c r="AA360" t="str">
        <f>'Green_rooibos initial weight'!A361</f>
        <v>G357</v>
      </c>
      <c r="AB360" t="str">
        <f>'Green_rooibos initial weight'!A1265</f>
        <v>R357</v>
      </c>
      <c r="AC360" t="b">
        <f t="shared" si="130"/>
        <v>0</v>
      </c>
      <c r="AD360" t="b">
        <f t="shared" si="131"/>
        <v>0</v>
      </c>
      <c r="AG360" t="str">
        <f>'WetLitterbags placem_collection'!O139</f>
        <v>G857</v>
      </c>
      <c r="AH360" t="str">
        <f>'WetLitterbags placem_collection'!Q139</f>
        <v>R483</v>
      </c>
      <c r="AI360" t="b">
        <f t="shared" si="132"/>
        <v>0</v>
      </c>
      <c r="AJ360" t="b">
        <f t="shared" si="133"/>
        <v>0</v>
      </c>
      <c r="AK360">
        <f>'WetLitterbags placem_collection'!A139</f>
        <v>137</v>
      </c>
      <c r="AL360">
        <f>'WetLitterbags placem_collection'!A139</f>
        <v>137</v>
      </c>
      <c r="AN360">
        <f>IF('Dry_Litterbag Placem_Collection'!L139=0,"",'Dry_Litterbag Placem_Collection'!L139)</f>
        <v>335</v>
      </c>
      <c r="AO360">
        <f>IF('Dry_Litterbag Placem_Collection'!M139=0,"",'Dry_Litterbag Placem_Collection'!M139)</f>
        <v>628</v>
      </c>
      <c r="AP360" t="b">
        <f t="shared" si="134"/>
        <v>0</v>
      </c>
      <c r="AQ360" t="b">
        <f t="shared" si="135"/>
        <v>0</v>
      </c>
      <c r="AZ360" s="401" t="b">
        <f t="shared" si="138"/>
        <v>0</v>
      </c>
      <c r="BA360" s="401" t="b">
        <f t="shared" si="139"/>
        <v>0</v>
      </c>
      <c r="BC360" t="str">
        <f>'Ashed teabags wet'!A358</f>
        <v>G827</v>
      </c>
      <c r="BD360" t="str">
        <f>'Ashed teabags wet'!A775</f>
        <v>R598</v>
      </c>
      <c r="BE360" t="b">
        <f t="shared" si="140"/>
        <v>0</v>
      </c>
      <c r="BF360" t="b">
        <f t="shared" si="141"/>
        <v>0</v>
      </c>
      <c r="BG360">
        <f>IFERROR('Ashed teabags wet'!C358,"")</f>
        <v>155</v>
      </c>
      <c r="BH360">
        <f>IFERROR('Ashed teabags wet'!C775,"")</f>
        <v>156</v>
      </c>
      <c r="BI360" t="str">
        <f>'Ashed teabags wet'!AB358</f>
        <v/>
      </c>
      <c r="BJ360">
        <f>'Ashed teabags wet'!AC358</f>
        <v>154</v>
      </c>
      <c r="BK360">
        <f>'Ashed teabags wet'!AD775</f>
        <v>155</v>
      </c>
      <c r="BL360" t="str">
        <f>'Ashed teabags wet'!AE775</f>
        <v/>
      </c>
      <c r="BN360" t="str">
        <f t="shared" si="142"/>
        <v>G826</v>
      </c>
      <c r="BO360" t="b">
        <f t="shared" si="143"/>
        <v>1</v>
      </c>
    </row>
    <row r="361" spans="2:68" ht="12" customHeight="1">
      <c r="B361" t="str">
        <f>TBIDry!H433</f>
        <v>G484</v>
      </c>
      <c r="C361" t="str">
        <f>TBIDry!I433</f>
        <v>R198</v>
      </c>
      <c r="D361" t="b">
        <f t="shared" si="120"/>
        <v>0</v>
      </c>
      <c r="E361" t="b">
        <f t="shared" si="121"/>
        <v>0</v>
      </c>
      <c r="G361" t="str">
        <f>TBIWet!H433</f>
        <v>G623</v>
      </c>
      <c r="H361" t="str">
        <f>TBIWet!I433</f>
        <v>R21</v>
      </c>
      <c r="I361" t="b">
        <f t="shared" si="122"/>
        <v>0</v>
      </c>
      <c r="J361" t="b">
        <f t="shared" si="123"/>
        <v>0</v>
      </c>
      <c r="L361" t="str">
        <f>'Both teabags AfterWet'!A360</f>
        <v>G828</v>
      </c>
      <c r="M361" t="str">
        <f>'Both teabags AfterWet'!A778</f>
        <v>R575</v>
      </c>
      <c r="N361" t="b">
        <f t="shared" si="124"/>
        <v>0</v>
      </c>
      <c r="O361" t="b">
        <f t="shared" si="125"/>
        <v>0</v>
      </c>
      <c r="P361">
        <f>IFERROR('Both teabags AfterWet'!B360,"")</f>
        <v>100</v>
      </c>
      <c r="Q361" t="str">
        <f>'Both teabags AfterWet'!B778</f>
        <v>n.a</v>
      </c>
      <c r="S361" s="401" t="b">
        <f t="shared" si="126"/>
        <v>0</v>
      </c>
      <c r="T361" s="401" t="b">
        <f t="shared" si="127"/>
        <v>0</v>
      </c>
      <c r="AA361" t="str">
        <f>'Green_rooibos initial weight'!A362</f>
        <v>G358</v>
      </c>
      <c r="AB361" t="str">
        <f>'Green_rooibos initial weight'!A1266</f>
        <v>R358</v>
      </c>
      <c r="AC361" t="b">
        <f t="shared" si="130"/>
        <v>0</v>
      </c>
      <c r="AD361" t="b">
        <f t="shared" si="131"/>
        <v>0</v>
      </c>
      <c r="AG361" t="str">
        <f>'WetLitterbags placem_collection'!O140</f>
        <v>G623</v>
      </c>
      <c r="AH361" t="str">
        <f>'WetLitterbags placem_collection'!Q140</f>
        <v>R21</v>
      </c>
      <c r="AI361" t="b">
        <f t="shared" si="132"/>
        <v>0</v>
      </c>
      <c r="AJ361" t="b">
        <f t="shared" si="133"/>
        <v>0</v>
      </c>
      <c r="AK361">
        <f>'WetLitterbags placem_collection'!A140</f>
        <v>138</v>
      </c>
      <c r="AL361">
        <f>'WetLitterbags placem_collection'!A140</f>
        <v>138</v>
      </c>
      <c r="AN361">
        <f>IF('Dry_Litterbag Placem_Collection'!L140=0,"",'Dry_Litterbag Placem_Collection'!L140)</f>
        <v>484</v>
      </c>
      <c r="AO361">
        <f>IF('Dry_Litterbag Placem_Collection'!M140=0,"",'Dry_Litterbag Placem_Collection'!M140)</f>
        <v>198</v>
      </c>
      <c r="AP361" t="b">
        <f t="shared" si="134"/>
        <v>0</v>
      </c>
      <c r="AQ361" t="b">
        <f t="shared" si="135"/>
        <v>0</v>
      </c>
      <c r="AZ361" s="401" t="b">
        <f t="shared" si="138"/>
        <v>0</v>
      </c>
      <c r="BA361" s="401" t="b">
        <f t="shared" si="139"/>
        <v>0</v>
      </c>
      <c r="BC361" t="str">
        <f>'Ashed teabags wet'!A359</f>
        <v>G828</v>
      </c>
      <c r="BD361" t="str">
        <f>'Ashed teabags wet'!A776</f>
        <v>R6</v>
      </c>
      <c r="BE361" t="b">
        <f t="shared" si="140"/>
        <v>0</v>
      </c>
      <c r="BF361" t="b">
        <f t="shared" si="141"/>
        <v>0</v>
      </c>
      <c r="BG361">
        <f>IFERROR('Ashed teabags wet'!C359,"")</f>
        <v>100</v>
      </c>
      <c r="BH361">
        <f>IFERROR('Ashed teabags wet'!C776,"")</f>
        <v>44</v>
      </c>
      <c r="BI361" t="str">
        <f>'Ashed teabags wet'!AB359</f>
        <v/>
      </c>
      <c r="BJ361">
        <f>'Ashed teabags wet'!AC359</f>
        <v>99</v>
      </c>
      <c r="BK361" t="str">
        <f>'Ashed teabags wet'!AD776</f>
        <v/>
      </c>
      <c r="BL361">
        <f>'Ashed teabags wet'!AE776</f>
        <v>43</v>
      </c>
      <c r="BN361" s="180" t="str">
        <f t="shared" si="142"/>
        <v>G827</v>
      </c>
      <c r="BO361" s="113" t="b">
        <f t="shared" si="143"/>
        <v>0</v>
      </c>
    </row>
    <row r="362" spans="2:68" ht="12" customHeight="1">
      <c r="B362" t="str">
        <f>TBIDry!H434</f>
        <v>G868</v>
      </c>
      <c r="C362" t="str">
        <f>TBIDry!I434</f>
        <v>R706</v>
      </c>
      <c r="D362" t="b">
        <f t="shared" si="120"/>
        <v>0</v>
      </c>
      <c r="E362" t="b">
        <f t="shared" si="121"/>
        <v>0</v>
      </c>
      <c r="G362" t="str">
        <f>TBIWet!H434</f>
        <v>G880</v>
      </c>
      <c r="H362" t="str">
        <f>TBIWet!I434</f>
        <v>R538</v>
      </c>
      <c r="I362" t="b">
        <f t="shared" si="122"/>
        <v>0</v>
      </c>
      <c r="J362" t="b">
        <f t="shared" si="123"/>
        <v>0</v>
      </c>
      <c r="L362" t="str">
        <f>'Both teabags AfterWet'!A361</f>
        <v>G829</v>
      </c>
      <c r="M362" t="str">
        <f>'Both teabags AfterWet'!A779</f>
        <v>R577</v>
      </c>
      <c r="N362" t="b">
        <f t="shared" si="124"/>
        <v>0</v>
      </c>
      <c r="O362" t="b">
        <f t="shared" si="125"/>
        <v>0</v>
      </c>
      <c r="P362">
        <f>IFERROR('Both teabags AfterWet'!B361,"")</f>
        <v>102</v>
      </c>
      <c r="Q362">
        <f>'Both teabags AfterWet'!B779</f>
        <v>104</v>
      </c>
      <c r="S362" s="401" t="b">
        <f t="shared" si="126"/>
        <v>0</v>
      </c>
      <c r="T362" s="401" t="b">
        <f t="shared" si="127"/>
        <v>0</v>
      </c>
      <c r="AA362" t="str">
        <f>'Green_rooibos initial weight'!A363</f>
        <v>G359</v>
      </c>
      <c r="AB362" t="str">
        <f>'Green_rooibos initial weight'!A1267</f>
        <v>R359</v>
      </c>
      <c r="AC362" t="b">
        <f t="shared" si="130"/>
        <v>0</v>
      </c>
      <c r="AD362" t="b">
        <f t="shared" si="131"/>
        <v>0</v>
      </c>
      <c r="AG362" t="str">
        <f>'WetLitterbags placem_collection'!O141</f>
        <v>G880</v>
      </c>
      <c r="AH362" t="str">
        <f>'WetLitterbags placem_collection'!Q141</f>
        <v>R538</v>
      </c>
      <c r="AI362" t="b">
        <f t="shared" si="132"/>
        <v>0</v>
      </c>
      <c r="AJ362" t="b">
        <f t="shared" si="133"/>
        <v>0</v>
      </c>
      <c r="AK362">
        <f>'WetLitterbags placem_collection'!A141</f>
        <v>139</v>
      </c>
      <c r="AL362">
        <f>'WetLitterbags placem_collection'!A141</f>
        <v>139</v>
      </c>
      <c r="AN362">
        <f>IF('Dry_Litterbag Placem_Collection'!L141=0,"",'Dry_Litterbag Placem_Collection'!L141)</f>
        <v>868</v>
      </c>
      <c r="AO362">
        <f>IF('Dry_Litterbag Placem_Collection'!M141=0,"",'Dry_Litterbag Placem_Collection'!M141)</f>
        <v>706</v>
      </c>
      <c r="AP362" t="b">
        <f t="shared" si="134"/>
        <v>0</v>
      </c>
      <c r="AQ362" t="b">
        <f t="shared" si="135"/>
        <v>0</v>
      </c>
      <c r="AZ362" s="401" t="b">
        <f t="shared" si="138"/>
        <v>0</v>
      </c>
      <c r="BA362" s="401" t="b">
        <f t="shared" si="139"/>
        <v>0</v>
      </c>
      <c r="BC362" t="str">
        <f>'Ashed teabags wet'!A360</f>
        <v>G830</v>
      </c>
      <c r="BD362" t="str">
        <f>'Ashed teabags wet'!A777</f>
        <v>R60</v>
      </c>
      <c r="BE362" t="b">
        <f t="shared" si="140"/>
        <v>0</v>
      </c>
      <c r="BF362" t="b">
        <f t="shared" si="141"/>
        <v>0</v>
      </c>
      <c r="BG362">
        <f>IFERROR('Ashed teabags wet'!C360,"")</f>
        <v>130</v>
      </c>
      <c r="BH362">
        <f>IFERROR('Ashed teabags wet'!C777,"")</f>
        <v>56</v>
      </c>
      <c r="BI362">
        <f>'Ashed teabags wet'!AB360</f>
        <v>129</v>
      </c>
      <c r="BJ362" t="str">
        <f>'Ashed teabags wet'!AC360</f>
        <v/>
      </c>
      <c r="BK362">
        <f>'Ashed teabags wet'!AD777</f>
        <v>55</v>
      </c>
      <c r="BL362" t="str">
        <f>'Ashed teabags wet'!AE777</f>
        <v/>
      </c>
      <c r="BN362" t="str">
        <f t="shared" si="142"/>
        <v>G828</v>
      </c>
      <c r="BO362" t="b">
        <f t="shared" si="143"/>
        <v>1</v>
      </c>
    </row>
    <row r="363" spans="2:68" ht="12" customHeight="1">
      <c r="B363" t="str">
        <f>TBIDry!H435</f>
        <v>G792</v>
      </c>
      <c r="C363" t="str">
        <f>TBIDry!I435</f>
        <v>R710</v>
      </c>
      <c r="D363" t="b">
        <f t="shared" si="120"/>
        <v>0</v>
      </c>
      <c r="E363" t="b">
        <f t="shared" si="121"/>
        <v>0</v>
      </c>
      <c r="G363" t="str">
        <f>TBIWet!H435</f>
        <v>G706</v>
      </c>
      <c r="H363" t="str">
        <f>TBIWet!I435</f>
        <v>R559</v>
      </c>
      <c r="I363" t="b">
        <f t="shared" si="122"/>
        <v>0</v>
      </c>
      <c r="J363" t="b">
        <f t="shared" si="123"/>
        <v>0</v>
      </c>
      <c r="L363" t="str">
        <f>'Both teabags AfterWet'!A362</f>
        <v>G830</v>
      </c>
      <c r="M363" t="str">
        <f>'Both teabags AfterWet'!A780</f>
        <v>R578</v>
      </c>
      <c r="N363" t="b">
        <f t="shared" si="124"/>
        <v>0</v>
      </c>
      <c r="O363" s="113" t="b">
        <f t="shared" si="125"/>
        <v>1</v>
      </c>
      <c r="P363">
        <f>IFERROR('Both teabags AfterWet'!B362,"")</f>
        <v>130</v>
      </c>
      <c r="Q363">
        <f>'Both teabags AfterWet'!B780</f>
        <v>113</v>
      </c>
      <c r="S363" s="401" t="b">
        <f t="shared" si="126"/>
        <v>0</v>
      </c>
      <c r="T363" s="401" t="b">
        <f t="shared" si="127"/>
        <v>0</v>
      </c>
      <c r="AA363" t="str">
        <f>'Green_rooibos initial weight'!A364</f>
        <v>G360</v>
      </c>
      <c r="AB363" t="str">
        <f>'Green_rooibos initial weight'!A1268</f>
        <v>R360</v>
      </c>
      <c r="AC363" t="b">
        <f t="shared" si="130"/>
        <v>0</v>
      </c>
      <c r="AD363" t="b">
        <f t="shared" si="131"/>
        <v>0</v>
      </c>
      <c r="AG363" t="str">
        <f>'WetLitterbags placem_collection'!O142</f>
        <v>G706</v>
      </c>
      <c r="AH363" t="str">
        <f>'WetLitterbags placem_collection'!Q142</f>
        <v>R559</v>
      </c>
      <c r="AI363" t="b">
        <f t="shared" si="132"/>
        <v>0</v>
      </c>
      <c r="AJ363" t="b">
        <f t="shared" si="133"/>
        <v>0</v>
      </c>
      <c r="AK363">
        <f>'WetLitterbags placem_collection'!A142</f>
        <v>140</v>
      </c>
      <c r="AL363">
        <f>'WetLitterbags placem_collection'!A142</f>
        <v>140</v>
      </c>
      <c r="AN363">
        <f>IF('Dry_Litterbag Placem_Collection'!L142=0,"",'Dry_Litterbag Placem_Collection'!L142)</f>
        <v>792</v>
      </c>
      <c r="AO363">
        <f>IF('Dry_Litterbag Placem_Collection'!M142=0,"",'Dry_Litterbag Placem_Collection'!M142)</f>
        <v>710</v>
      </c>
      <c r="AP363" t="b">
        <f t="shared" si="134"/>
        <v>0</v>
      </c>
      <c r="AQ363" t="b">
        <f t="shared" si="135"/>
        <v>0</v>
      </c>
      <c r="AZ363" s="401" t="b">
        <f t="shared" si="138"/>
        <v>0</v>
      </c>
      <c r="BA363" s="401" t="b">
        <f t="shared" si="139"/>
        <v>0</v>
      </c>
      <c r="BC363" t="str">
        <f>'Ashed teabags wet'!A361</f>
        <v>G831</v>
      </c>
      <c r="BD363" t="str">
        <f>'Ashed teabags wet'!A778</f>
        <v>R600</v>
      </c>
      <c r="BE363" t="b">
        <f t="shared" si="140"/>
        <v>0</v>
      </c>
      <c r="BF363" t="b">
        <f t="shared" si="141"/>
        <v>0</v>
      </c>
      <c r="BG363">
        <f>IFERROR('Ashed teabags wet'!C361,"")</f>
        <v>111</v>
      </c>
      <c r="BH363">
        <f>IFERROR('Ashed teabags wet'!C778,"")</f>
        <v>134</v>
      </c>
      <c r="BI363">
        <f>'Ashed teabags wet'!AB361</f>
        <v>110</v>
      </c>
      <c r="BJ363" t="str">
        <f>'Ashed teabags wet'!AC361</f>
        <v/>
      </c>
      <c r="BK363">
        <f>'Ashed teabags wet'!AD778</f>
        <v>133</v>
      </c>
      <c r="BL363" t="str">
        <f>'Ashed teabags wet'!AE778</f>
        <v/>
      </c>
      <c r="BN363" t="str">
        <f t="shared" si="142"/>
        <v>G830</v>
      </c>
      <c r="BO363" t="b">
        <f t="shared" si="143"/>
        <v>1</v>
      </c>
      <c r="BP363" s="402"/>
    </row>
    <row r="364" spans="2:68" ht="12" customHeight="1">
      <c r="B364" t="str">
        <f>TBIDry!H436</f>
        <v/>
      </c>
      <c r="C364" t="str">
        <f>TBIDry!I436</f>
        <v/>
      </c>
      <c r="D364" t="b">
        <f t="shared" si="120"/>
        <v>1</v>
      </c>
      <c r="E364" t="b">
        <f t="shared" si="121"/>
        <v>1</v>
      </c>
      <c r="G364" t="str">
        <f>TBIWet!H436</f>
        <v>G775</v>
      </c>
      <c r="H364" t="str">
        <f>TBIWet!I436</f>
        <v>R465</v>
      </c>
      <c r="I364" t="b">
        <f t="shared" si="122"/>
        <v>0</v>
      </c>
      <c r="J364" t="b">
        <f t="shared" si="123"/>
        <v>0</v>
      </c>
      <c r="L364" t="str">
        <f>'Both teabags AfterWet'!A363</f>
        <v>G832</v>
      </c>
      <c r="M364" t="str">
        <f>'Both teabags AfterWet'!A781</f>
        <v>R578</v>
      </c>
      <c r="N364" t="b">
        <f t="shared" si="124"/>
        <v>0</v>
      </c>
      <c r="O364" s="113" t="b">
        <f t="shared" si="125"/>
        <v>1</v>
      </c>
      <c r="P364">
        <f>IFERROR('Both teabags AfterWet'!B363,"")</f>
        <v>136</v>
      </c>
      <c r="Q364" t="str">
        <f>'Both teabags AfterWet'!B781</f>
        <v>n.a</v>
      </c>
      <c r="S364" s="401" t="b">
        <f t="shared" si="126"/>
        <v>0</v>
      </c>
      <c r="T364" s="401" t="b">
        <f t="shared" si="127"/>
        <v>0</v>
      </c>
      <c r="AA364" t="str">
        <f>'Green_rooibos initial weight'!A365</f>
        <v>G361</v>
      </c>
      <c r="AB364" t="str">
        <f>'Green_rooibos initial weight'!A1269</f>
        <v>R361</v>
      </c>
      <c r="AC364" t="b">
        <f t="shared" si="130"/>
        <v>0</v>
      </c>
      <c r="AD364" t="b">
        <f t="shared" si="131"/>
        <v>0</v>
      </c>
      <c r="AG364" t="str">
        <f>'WetLitterbags placem_collection'!O143</f>
        <v>G775</v>
      </c>
      <c r="AH364" t="str">
        <f>'WetLitterbags placem_collection'!Q143</f>
        <v>R465</v>
      </c>
      <c r="AI364" t="b">
        <f t="shared" si="132"/>
        <v>0</v>
      </c>
      <c r="AJ364" t="b">
        <f t="shared" si="133"/>
        <v>0</v>
      </c>
      <c r="AK364">
        <f>'WetLitterbags placem_collection'!A143</f>
        <v>141</v>
      </c>
      <c r="AL364">
        <f>'WetLitterbags placem_collection'!A143</f>
        <v>141</v>
      </c>
      <c r="AN364" t="str">
        <f>IF('Dry_Litterbag Placem_Collection'!L143=0,"",'Dry_Litterbag Placem_Collection'!L143)</f>
        <v/>
      </c>
      <c r="AO364" t="str">
        <f>IF('Dry_Litterbag Placem_Collection'!M143=0,"",'Dry_Litterbag Placem_Collection'!M143)</f>
        <v/>
      </c>
      <c r="AP364" t="b">
        <f t="shared" si="134"/>
        <v>1</v>
      </c>
      <c r="AQ364" t="b">
        <f t="shared" si="135"/>
        <v>1</v>
      </c>
      <c r="AZ364" s="401" t="b">
        <f t="shared" si="138"/>
        <v>0</v>
      </c>
      <c r="BA364" s="401" t="b">
        <f t="shared" si="139"/>
        <v>0</v>
      </c>
      <c r="BC364" t="str">
        <f>'Ashed teabags wet'!A362</f>
        <v>G832</v>
      </c>
      <c r="BD364" t="str">
        <f>'Ashed teabags wet'!A779</f>
        <v>R601</v>
      </c>
      <c r="BE364" t="b">
        <f t="shared" si="140"/>
        <v>0</v>
      </c>
      <c r="BF364" t="b">
        <f t="shared" si="141"/>
        <v>0</v>
      </c>
      <c r="BG364">
        <f>IFERROR('Ashed teabags wet'!C362,"")</f>
        <v>136</v>
      </c>
      <c r="BH364">
        <f>IFERROR('Ashed teabags wet'!C779,"")</f>
        <v>114</v>
      </c>
      <c r="BI364">
        <f>'Ashed teabags wet'!AB362</f>
        <v>135</v>
      </c>
      <c r="BJ364" t="str">
        <f>'Ashed teabags wet'!AC362</f>
        <v/>
      </c>
      <c r="BK364">
        <f>'Ashed teabags wet'!AD779</f>
        <v>113</v>
      </c>
      <c r="BL364" t="str">
        <f>'Ashed teabags wet'!AE779</f>
        <v/>
      </c>
      <c r="BN364" t="str">
        <f t="shared" si="142"/>
        <v>G831</v>
      </c>
      <c r="BO364" t="b">
        <f t="shared" si="143"/>
        <v>1</v>
      </c>
    </row>
    <row r="365" spans="2:68" ht="12" customHeight="1">
      <c r="B365" t="str">
        <f>TBIDry!H437</f>
        <v>G711</v>
      </c>
      <c r="C365" t="str">
        <f>TBIDry!I437</f>
        <v>R626</v>
      </c>
      <c r="D365" t="b">
        <f t="shared" si="120"/>
        <v>0</v>
      </c>
      <c r="E365" t="b">
        <f t="shared" si="121"/>
        <v>0</v>
      </c>
      <c r="G365" t="str">
        <f>TBIWet!H437</f>
        <v>G850</v>
      </c>
      <c r="H365" t="str">
        <f>TBIWet!I437</f>
        <v>R503</v>
      </c>
      <c r="I365" t="b">
        <f t="shared" si="122"/>
        <v>0</v>
      </c>
      <c r="J365" t="b">
        <f t="shared" si="123"/>
        <v>0</v>
      </c>
      <c r="L365" t="str">
        <f>'Both teabags AfterWet'!A364</f>
        <v>G833</v>
      </c>
      <c r="M365" t="str">
        <f>'Both teabags AfterWet'!A782</f>
        <v>R579</v>
      </c>
      <c r="N365" t="b">
        <f t="shared" si="124"/>
        <v>0</v>
      </c>
      <c r="O365" t="b">
        <f t="shared" si="125"/>
        <v>0</v>
      </c>
      <c r="P365">
        <f>IFERROR('Both teabags AfterWet'!B364,"")</f>
        <v>128</v>
      </c>
      <c r="Q365" t="str">
        <f>'Both teabags AfterWet'!B782</f>
        <v>n.a</v>
      </c>
      <c r="S365" s="401" t="b">
        <f t="shared" si="126"/>
        <v>0</v>
      </c>
      <c r="T365" s="401" t="b">
        <f t="shared" si="127"/>
        <v>0</v>
      </c>
      <c r="AA365" t="str">
        <f>'Green_rooibos initial weight'!A366</f>
        <v>G362</v>
      </c>
      <c r="AB365" t="str">
        <f>'Green_rooibos initial weight'!A1270</f>
        <v>R362</v>
      </c>
      <c r="AC365" t="b">
        <f t="shared" si="130"/>
        <v>0</v>
      </c>
      <c r="AD365" t="b">
        <f t="shared" si="131"/>
        <v>0</v>
      </c>
      <c r="AG365" t="str">
        <f>'WetLitterbags placem_collection'!O144</f>
        <v>G850</v>
      </c>
      <c r="AH365" t="str">
        <f>'WetLitterbags placem_collection'!Q144</f>
        <v>R503</v>
      </c>
      <c r="AI365" t="b">
        <f t="shared" si="132"/>
        <v>0</v>
      </c>
      <c r="AJ365" t="b">
        <f t="shared" si="133"/>
        <v>0</v>
      </c>
      <c r="AK365">
        <f>'WetLitterbags placem_collection'!A144</f>
        <v>142</v>
      </c>
      <c r="AL365">
        <f>'WetLitterbags placem_collection'!A144</f>
        <v>142</v>
      </c>
      <c r="AN365">
        <f>IF('Dry_Litterbag Placem_Collection'!L144=0,"",'Dry_Litterbag Placem_Collection'!L144)</f>
        <v>711</v>
      </c>
      <c r="AO365">
        <f>IF('Dry_Litterbag Placem_Collection'!M144=0,"",'Dry_Litterbag Placem_Collection'!M144)</f>
        <v>626</v>
      </c>
      <c r="AP365" t="b">
        <f t="shared" si="134"/>
        <v>0</v>
      </c>
      <c r="AQ365" t="b">
        <f t="shared" si="135"/>
        <v>0</v>
      </c>
      <c r="AZ365" s="401" t="b">
        <f t="shared" si="138"/>
        <v>0</v>
      </c>
      <c r="BA365" s="401" t="b">
        <f t="shared" si="139"/>
        <v>0</v>
      </c>
      <c r="BC365" t="str">
        <f>'Ashed teabags wet'!A363</f>
        <v>G833</v>
      </c>
      <c r="BD365" t="str">
        <f>'Ashed teabags wet'!A780</f>
        <v>R62</v>
      </c>
      <c r="BE365" t="b">
        <f t="shared" si="140"/>
        <v>0</v>
      </c>
      <c r="BF365" t="b">
        <f t="shared" si="141"/>
        <v>0</v>
      </c>
      <c r="BG365">
        <f>IFERROR('Ashed teabags wet'!C363,"")</f>
        <v>128</v>
      </c>
      <c r="BH365">
        <f>IFERROR('Ashed teabags wet'!C780,"")</f>
        <v>86</v>
      </c>
      <c r="BI365" t="str">
        <f>'Ashed teabags wet'!AB363</f>
        <v/>
      </c>
      <c r="BJ365">
        <f>'Ashed teabags wet'!AC363</f>
        <v>127</v>
      </c>
      <c r="BK365" t="str">
        <f>'Ashed teabags wet'!AD780</f>
        <v/>
      </c>
      <c r="BL365">
        <f>'Ashed teabags wet'!AE780</f>
        <v>85</v>
      </c>
      <c r="BN365" t="str">
        <f t="shared" si="142"/>
        <v>G832</v>
      </c>
      <c r="BO365" t="b">
        <f t="shared" si="143"/>
        <v>1</v>
      </c>
    </row>
    <row r="366" spans="2:68" ht="12" customHeight="1">
      <c r="B366" t="str">
        <f>TBIDry!H438</f>
        <v>G205</v>
      </c>
      <c r="C366" t="str">
        <f>TBIDry!I438</f>
        <v>R195</v>
      </c>
      <c r="D366" t="b">
        <f t="shared" si="120"/>
        <v>0</v>
      </c>
      <c r="E366" t="b">
        <f t="shared" si="121"/>
        <v>0</v>
      </c>
      <c r="G366" t="str">
        <f>TBIWet!H438</f>
        <v>G697</v>
      </c>
      <c r="H366" t="str">
        <f>TBIWet!I438</f>
        <v>R567</v>
      </c>
      <c r="I366" t="b">
        <f t="shared" si="122"/>
        <v>0</v>
      </c>
      <c r="J366" t="b">
        <f t="shared" si="123"/>
        <v>0</v>
      </c>
      <c r="L366" t="str">
        <f>'Both teabags AfterWet'!A365</f>
        <v>G834</v>
      </c>
      <c r="M366" t="str">
        <f>'Both teabags AfterWet'!A783</f>
        <v>R58</v>
      </c>
      <c r="N366" t="b">
        <f t="shared" si="124"/>
        <v>0</v>
      </c>
      <c r="O366" t="b">
        <f t="shared" si="125"/>
        <v>0</v>
      </c>
      <c r="P366">
        <f>IFERROR('Both teabags AfterWet'!B365,"")</f>
        <v>128</v>
      </c>
      <c r="Q366">
        <f>'Both teabags AfterWet'!B783</f>
        <v>56</v>
      </c>
      <c r="S366" s="401" t="b">
        <f t="shared" si="126"/>
        <v>0</v>
      </c>
      <c r="T366" s="401" t="b">
        <f t="shared" si="127"/>
        <v>0</v>
      </c>
      <c r="AA366" t="str">
        <f>'Green_rooibos initial weight'!A367</f>
        <v>G363</v>
      </c>
      <c r="AB366" t="str">
        <f>'Green_rooibos initial weight'!A1271</f>
        <v>R363</v>
      </c>
      <c r="AC366" t="b">
        <f t="shared" si="130"/>
        <v>0</v>
      </c>
      <c r="AD366" t="b">
        <f t="shared" si="131"/>
        <v>0</v>
      </c>
      <c r="AG366" t="str">
        <f>'WetLitterbags placem_collection'!O145</f>
        <v>G697</v>
      </c>
      <c r="AH366" t="str">
        <f>'WetLitterbags placem_collection'!Q145</f>
        <v>R567</v>
      </c>
      <c r="AI366" t="b">
        <f t="shared" si="132"/>
        <v>0</v>
      </c>
      <c r="AJ366" t="b">
        <f t="shared" si="133"/>
        <v>0</v>
      </c>
      <c r="AK366">
        <f>'WetLitterbags placem_collection'!A145</f>
        <v>143</v>
      </c>
      <c r="AL366">
        <f>'WetLitterbags placem_collection'!A145</f>
        <v>143</v>
      </c>
      <c r="AN366">
        <f>IF('Dry_Litterbag Placem_Collection'!L145=0,"",'Dry_Litterbag Placem_Collection'!L145)</f>
        <v>205</v>
      </c>
      <c r="AO366">
        <f>IF('Dry_Litterbag Placem_Collection'!M145=0,"",'Dry_Litterbag Placem_Collection'!M145)</f>
        <v>195</v>
      </c>
      <c r="AP366" t="b">
        <f t="shared" si="134"/>
        <v>0</v>
      </c>
      <c r="AQ366" t="b">
        <f t="shared" si="135"/>
        <v>0</v>
      </c>
      <c r="AZ366" s="401" t="b">
        <f t="shared" si="138"/>
        <v>0</v>
      </c>
      <c r="BA366" s="401" t="b">
        <f t="shared" si="139"/>
        <v>0</v>
      </c>
      <c r="BC366" t="str">
        <f>'Ashed teabags wet'!A364</f>
        <v>G834</v>
      </c>
      <c r="BD366" t="str">
        <f>'Ashed teabags wet'!A781</f>
        <v>R63</v>
      </c>
      <c r="BE366" t="b">
        <f t="shared" si="140"/>
        <v>0</v>
      </c>
      <c r="BF366" t="b">
        <f t="shared" si="141"/>
        <v>0</v>
      </c>
      <c r="BG366">
        <f>IFERROR('Ashed teabags wet'!C364,"")</f>
        <v>128</v>
      </c>
      <c r="BH366">
        <f>IFERROR('Ashed teabags wet'!C781,"")</f>
        <v>37</v>
      </c>
      <c r="BI366">
        <f>'Ashed teabags wet'!AB364</f>
        <v>127</v>
      </c>
      <c r="BJ366" t="str">
        <f>'Ashed teabags wet'!AC364</f>
        <v/>
      </c>
      <c r="BK366">
        <f>'Ashed teabags wet'!AD781</f>
        <v>36</v>
      </c>
      <c r="BL366" t="str">
        <f>'Ashed teabags wet'!AE781</f>
        <v/>
      </c>
      <c r="BN366" t="str">
        <f t="shared" si="142"/>
        <v>G833</v>
      </c>
      <c r="BO366" t="b">
        <f t="shared" si="143"/>
        <v>1</v>
      </c>
    </row>
    <row r="367" spans="2:68" ht="12" customHeight="1">
      <c r="B367" t="str">
        <f>TBIDry!H439</f>
        <v>G384</v>
      </c>
      <c r="C367" t="str">
        <f>TBIDry!I439</f>
        <v>R295</v>
      </c>
      <c r="D367" t="b">
        <f t="shared" si="120"/>
        <v>0</v>
      </c>
      <c r="E367" t="b">
        <f t="shared" si="121"/>
        <v>0</v>
      </c>
      <c r="G367" t="str">
        <f>TBIWet!H439</f>
        <v>G894</v>
      </c>
      <c r="H367" t="str">
        <f>TBIWet!I439</f>
        <v>R15</v>
      </c>
      <c r="I367" t="b">
        <f t="shared" si="122"/>
        <v>0</v>
      </c>
      <c r="J367" t="b">
        <f t="shared" si="123"/>
        <v>0</v>
      </c>
      <c r="L367" t="str">
        <f>'Both teabags AfterWet'!A366</f>
        <v>G835</v>
      </c>
      <c r="M367" t="str">
        <f>'Both teabags AfterWet'!A784</f>
        <v>R580</v>
      </c>
      <c r="N367" t="b">
        <f t="shared" si="124"/>
        <v>0</v>
      </c>
      <c r="O367" t="b">
        <f t="shared" si="125"/>
        <v>0</v>
      </c>
      <c r="P367" t="str">
        <f>IFERROR('Both teabags AfterWet'!B366,"")</f>
        <v>n.a</v>
      </c>
      <c r="Q367" t="str">
        <f>'Both teabags AfterWet'!B784</f>
        <v>n.a</v>
      </c>
      <c r="S367" s="401" t="b">
        <f t="shared" si="126"/>
        <v>0</v>
      </c>
      <c r="T367" s="401" t="b">
        <f t="shared" si="127"/>
        <v>0</v>
      </c>
      <c r="AA367" t="str">
        <f>'Green_rooibos initial weight'!A368</f>
        <v>G364</v>
      </c>
      <c r="AB367" t="str">
        <f>'Green_rooibos initial weight'!A1272</f>
        <v>R364</v>
      </c>
      <c r="AC367" t="b">
        <f t="shared" si="130"/>
        <v>0</v>
      </c>
      <c r="AD367" t="b">
        <f t="shared" si="131"/>
        <v>0</v>
      </c>
      <c r="AG367" t="str">
        <f>'WetLitterbags placem_collection'!O146</f>
        <v>G894</v>
      </c>
      <c r="AH367" t="str">
        <f>'WetLitterbags placem_collection'!Q146</f>
        <v>R15</v>
      </c>
      <c r="AI367" t="b">
        <f t="shared" si="132"/>
        <v>0</v>
      </c>
      <c r="AJ367" t="b">
        <f t="shared" si="133"/>
        <v>0</v>
      </c>
      <c r="AK367">
        <f>'WetLitterbags placem_collection'!A146</f>
        <v>144</v>
      </c>
      <c r="AL367">
        <f>'WetLitterbags placem_collection'!A146</f>
        <v>144</v>
      </c>
      <c r="AN367">
        <f>IF('Dry_Litterbag Placem_Collection'!L146=0,"",'Dry_Litterbag Placem_Collection'!L146)</f>
        <v>384</v>
      </c>
      <c r="AO367">
        <f>IF('Dry_Litterbag Placem_Collection'!M146=0,"",'Dry_Litterbag Placem_Collection'!M146)</f>
        <v>295</v>
      </c>
      <c r="AP367" t="b">
        <f t="shared" si="134"/>
        <v>0</v>
      </c>
      <c r="AQ367" t="b">
        <f t="shared" si="135"/>
        <v>0</v>
      </c>
      <c r="AZ367" s="401" t="b">
        <f t="shared" si="138"/>
        <v>0</v>
      </c>
      <c r="BA367" s="401" t="b">
        <f t="shared" si="139"/>
        <v>0</v>
      </c>
      <c r="BC367" t="str">
        <f>'Ashed teabags wet'!A365</f>
        <v>G836</v>
      </c>
      <c r="BD367" t="str">
        <f>'Ashed teabags wet'!A782</f>
        <v>R64</v>
      </c>
      <c r="BE367" t="b">
        <f t="shared" si="140"/>
        <v>0</v>
      </c>
      <c r="BF367" t="b">
        <f t="shared" si="141"/>
        <v>0</v>
      </c>
      <c r="BG367">
        <f>IFERROR('Ashed teabags wet'!C365,"")</f>
        <v>143</v>
      </c>
      <c r="BH367">
        <f>IFERROR('Ashed teabags wet'!C782,"")</f>
        <v>35</v>
      </c>
      <c r="BI367">
        <f>'Ashed teabags wet'!AB365</f>
        <v>142</v>
      </c>
      <c r="BJ367" t="str">
        <f>'Ashed teabags wet'!AC365</f>
        <v/>
      </c>
      <c r="BK367">
        <f>'Ashed teabags wet'!AD782</f>
        <v>34</v>
      </c>
      <c r="BL367" t="str">
        <f>'Ashed teabags wet'!AE782</f>
        <v/>
      </c>
      <c r="BN367" t="str">
        <f t="shared" si="142"/>
        <v>G834</v>
      </c>
      <c r="BO367" t="b">
        <f t="shared" si="143"/>
        <v>1</v>
      </c>
    </row>
    <row r="368" spans="2:68" ht="12" customHeight="1">
      <c r="B368" t="str">
        <f>TBIDry!H440</f>
        <v>G72</v>
      </c>
      <c r="C368" t="str">
        <f>TBIDry!I440</f>
        <v>R609</v>
      </c>
      <c r="D368" t="b">
        <f t="shared" si="120"/>
        <v>0</v>
      </c>
      <c r="E368" t="b">
        <f t="shared" si="121"/>
        <v>0</v>
      </c>
      <c r="G368" t="str">
        <f>TBIWet!H440</f>
        <v>G653</v>
      </c>
      <c r="H368" t="str">
        <f>TBIWet!I440</f>
        <v>R40</v>
      </c>
      <c r="I368" t="b">
        <f t="shared" si="122"/>
        <v>0</v>
      </c>
      <c r="J368" t="b">
        <f t="shared" si="123"/>
        <v>0</v>
      </c>
      <c r="L368" t="str">
        <f>'Both teabags AfterWet'!A367</f>
        <v>G836</v>
      </c>
      <c r="M368" t="str">
        <f>'Both teabags AfterWet'!A785</f>
        <v>R581</v>
      </c>
      <c r="N368" t="b">
        <f t="shared" si="124"/>
        <v>0</v>
      </c>
      <c r="O368" t="b">
        <f t="shared" si="125"/>
        <v>0</v>
      </c>
      <c r="P368">
        <f>IFERROR('Both teabags AfterWet'!B367,"")</f>
        <v>143</v>
      </c>
      <c r="Q368">
        <f>'Both teabags AfterWet'!B785</f>
        <v>141</v>
      </c>
      <c r="S368" s="401" t="b">
        <f t="shared" si="126"/>
        <v>0</v>
      </c>
      <c r="T368" s="401" t="b">
        <f t="shared" si="127"/>
        <v>0</v>
      </c>
      <c r="AA368" t="str">
        <f>'Green_rooibos initial weight'!A369</f>
        <v>G365</v>
      </c>
      <c r="AB368" t="str">
        <f>'Green_rooibos initial weight'!A1273</f>
        <v>R365</v>
      </c>
      <c r="AC368" t="b">
        <f t="shared" si="130"/>
        <v>0</v>
      </c>
      <c r="AD368" t="b">
        <f t="shared" si="131"/>
        <v>0</v>
      </c>
      <c r="AG368" t="str">
        <f>'WetLitterbags placem_collection'!O147</f>
        <v>G653</v>
      </c>
      <c r="AH368" t="str">
        <f>'WetLitterbags placem_collection'!Q147</f>
        <v>R40</v>
      </c>
      <c r="AI368" t="b">
        <f t="shared" si="132"/>
        <v>0</v>
      </c>
      <c r="AJ368" t="b">
        <f t="shared" si="133"/>
        <v>0</v>
      </c>
      <c r="AK368">
        <f>'WetLitterbags placem_collection'!A147</f>
        <v>145</v>
      </c>
      <c r="AL368">
        <f>'WetLitterbags placem_collection'!A147</f>
        <v>145</v>
      </c>
      <c r="AN368">
        <f>IF('Dry_Litterbag Placem_Collection'!L147=0,"",'Dry_Litterbag Placem_Collection'!L147)</f>
        <v>72</v>
      </c>
      <c r="AO368">
        <f>IF('Dry_Litterbag Placem_Collection'!M147=0,"",'Dry_Litterbag Placem_Collection'!M147)</f>
        <v>609</v>
      </c>
      <c r="AP368" t="b">
        <f t="shared" si="134"/>
        <v>0</v>
      </c>
      <c r="AQ368" t="b">
        <f t="shared" si="135"/>
        <v>0</v>
      </c>
      <c r="AZ368" s="401" t="b">
        <f t="shared" si="138"/>
        <v>0</v>
      </c>
      <c r="BA368" s="401" t="b">
        <f t="shared" si="139"/>
        <v>0</v>
      </c>
      <c r="BC368" t="str">
        <f>'Ashed teabags wet'!A366</f>
        <v>G837</v>
      </c>
      <c r="BD368" t="str">
        <f>'Ashed teabags wet'!A783</f>
        <v>R65</v>
      </c>
      <c r="BE368" t="b">
        <f t="shared" si="140"/>
        <v>0</v>
      </c>
      <c r="BF368" t="b">
        <f t="shared" si="141"/>
        <v>0</v>
      </c>
      <c r="BG368">
        <f>IFERROR('Ashed teabags wet'!C366,"")</f>
        <v>106</v>
      </c>
      <c r="BH368">
        <f>IFERROR('Ashed teabags wet'!C783,"")</f>
        <v>39</v>
      </c>
      <c r="BI368">
        <f>'Ashed teabags wet'!AB366</f>
        <v>105</v>
      </c>
      <c r="BJ368" t="str">
        <f>'Ashed teabags wet'!AC366</f>
        <v/>
      </c>
      <c r="BK368" t="str">
        <f>'Ashed teabags wet'!AD783</f>
        <v/>
      </c>
      <c r="BL368">
        <f>'Ashed teabags wet'!AE783</f>
        <v>38</v>
      </c>
      <c r="BN368" t="str">
        <f t="shared" si="142"/>
        <v>G836</v>
      </c>
      <c r="BO368" t="b">
        <f t="shared" si="143"/>
        <v>1</v>
      </c>
      <c r="BP368" s="402"/>
    </row>
    <row r="369" spans="2:68" ht="12" customHeight="1">
      <c r="B369" t="str">
        <f>TBIDry!H441</f>
        <v>G336</v>
      </c>
      <c r="C369" t="str">
        <f>TBIDry!I441</f>
        <v>R292</v>
      </c>
      <c r="D369" t="b">
        <f t="shared" si="120"/>
        <v>0</v>
      </c>
      <c r="E369" t="b">
        <f t="shared" si="121"/>
        <v>0</v>
      </c>
      <c r="G369" t="str">
        <f>TBIWet!H441</f>
        <v>G762</v>
      </c>
      <c r="H369" t="str">
        <f>TBIWet!I441</f>
        <v>R468</v>
      </c>
      <c r="I369" t="b">
        <f t="shared" si="122"/>
        <v>0</v>
      </c>
      <c r="J369" t="b">
        <f t="shared" si="123"/>
        <v>0</v>
      </c>
      <c r="L369" t="str">
        <f>'Both teabags AfterWet'!A368</f>
        <v>G837</v>
      </c>
      <c r="M369" t="str">
        <f>'Both teabags AfterWet'!A786</f>
        <v>R582</v>
      </c>
      <c r="N369" t="b">
        <f t="shared" si="124"/>
        <v>0</v>
      </c>
      <c r="O369" t="b">
        <f t="shared" si="125"/>
        <v>0</v>
      </c>
      <c r="P369" t="str">
        <f>IFERROR('Both teabags AfterWet'!B368,"")</f>
        <v>N.A</v>
      </c>
      <c r="Q369">
        <f>'Both teabags AfterWet'!B786</f>
        <v>147</v>
      </c>
      <c r="S369" s="401" t="b">
        <f t="shared" si="126"/>
        <v>0</v>
      </c>
      <c r="T369" s="401" t="b">
        <f t="shared" si="127"/>
        <v>0</v>
      </c>
      <c r="AA369" t="str">
        <f>'Green_rooibos initial weight'!A370</f>
        <v>G366</v>
      </c>
      <c r="AB369" t="str">
        <f>'Green_rooibos initial weight'!A1274</f>
        <v>R366</v>
      </c>
      <c r="AC369" t="b">
        <f t="shared" si="130"/>
        <v>0</v>
      </c>
      <c r="AD369" t="b">
        <f t="shared" si="131"/>
        <v>0</v>
      </c>
      <c r="AG369" t="str">
        <f>'WetLitterbags placem_collection'!O148</f>
        <v>G762</v>
      </c>
      <c r="AH369" t="str">
        <f>'WetLitterbags placem_collection'!Q148</f>
        <v>R468</v>
      </c>
      <c r="AI369" t="b">
        <f t="shared" si="132"/>
        <v>0</v>
      </c>
      <c r="AJ369" t="b">
        <f t="shared" si="133"/>
        <v>0</v>
      </c>
      <c r="AK369">
        <f>'WetLitterbags placem_collection'!A148</f>
        <v>146</v>
      </c>
      <c r="AL369">
        <f>'WetLitterbags placem_collection'!A148</f>
        <v>146</v>
      </c>
      <c r="AN369">
        <f>IF('Dry_Litterbag Placem_Collection'!L148=0,"",'Dry_Litterbag Placem_Collection'!L148)</f>
        <v>336</v>
      </c>
      <c r="AO369">
        <f>IF('Dry_Litterbag Placem_Collection'!M148=0,"",'Dry_Litterbag Placem_Collection'!M148)</f>
        <v>292</v>
      </c>
      <c r="AP369" t="b">
        <f t="shared" si="134"/>
        <v>0</v>
      </c>
      <c r="AQ369" t="b">
        <f t="shared" si="135"/>
        <v>0</v>
      </c>
      <c r="AZ369" s="401" t="b">
        <f t="shared" si="138"/>
        <v>0</v>
      </c>
      <c r="BA369" s="401" t="b">
        <f t="shared" si="139"/>
        <v>0</v>
      </c>
      <c r="BC369" t="str">
        <f>'Ashed teabags wet'!A367</f>
        <v>G838</v>
      </c>
      <c r="BD369" t="str">
        <f>'Ashed teabags wet'!A784</f>
        <v>R68</v>
      </c>
      <c r="BE369" t="b">
        <f t="shared" si="140"/>
        <v>0</v>
      </c>
      <c r="BF369" t="b">
        <f t="shared" si="141"/>
        <v>0</v>
      </c>
      <c r="BG369">
        <f>IFERROR('Ashed teabags wet'!C367,"")</f>
        <v>29</v>
      </c>
      <c r="BH369">
        <f>IFERROR('Ashed teabags wet'!C784,"")</f>
        <v>80</v>
      </c>
      <c r="BI369">
        <f>'Ashed teabags wet'!AB367</f>
        <v>28</v>
      </c>
      <c r="BJ369" t="str">
        <f>'Ashed teabags wet'!AC367</f>
        <v/>
      </c>
      <c r="BK369" t="str">
        <f>'Ashed teabags wet'!AD784</f>
        <v/>
      </c>
      <c r="BL369">
        <f>'Ashed teabags wet'!AE784</f>
        <v>79</v>
      </c>
      <c r="BN369" t="str">
        <f t="shared" si="142"/>
        <v>G837</v>
      </c>
      <c r="BO369" t="b">
        <f t="shared" si="143"/>
        <v>1</v>
      </c>
    </row>
    <row r="370" spans="2:68" ht="12" customHeight="1">
      <c r="B370" t="str">
        <f>TBIDry!H442</f>
        <v>G303</v>
      </c>
      <c r="C370" t="str">
        <f>TBIDry!I442</f>
        <v>R243</v>
      </c>
      <c r="D370" t="b">
        <f t="shared" si="120"/>
        <v>0</v>
      </c>
      <c r="E370" t="b">
        <f t="shared" si="121"/>
        <v>0</v>
      </c>
      <c r="G370" t="str">
        <f>TBIWet!H442</f>
        <v>G878</v>
      </c>
      <c r="H370" t="str">
        <f>TBIWet!I442</f>
        <v>R582</v>
      </c>
      <c r="I370" t="b">
        <f t="shared" si="122"/>
        <v>0</v>
      </c>
      <c r="J370" t="b">
        <f t="shared" si="123"/>
        <v>0</v>
      </c>
      <c r="L370" t="str">
        <f>'Both teabags AfterWet'!A369</f>
        <v>G838</v>
      </c>
      <c r="M370" t="str">
        <f>'Both teabags AfterWet'!A787</f>
        <v>R583</v>
      </c>
      <c r="N370" t="b">
        <f t="shared" si="124"/>
        <v>0</v>
      </c>
      <c r="O370" t="b">
        <f t="shared" si="125"/>
        <v>0</v>
      </c>
      <c r="P370" t="str">
        <f>IFERROR('Both teabags AfterWet'!B369,"")</f>
        <v>n.a</v>
      </c>
      <c r="Q370">
        <f>'Both teabags AfterWet'!B787</f>
        <v>170</v>
      </c>
      <c r="S370" s="401" t="b">
        <f t="shared" si="126"/>
        <v>0</v>
      </c>
      <c r="T370" s="401" t="b">
        <f t="shared" si="127"/>
        <v>0</v>
      </c>
      <c r="AA370" t="str">
        <f>'Green_rooibos initial weight'!A371</f>
        <v>G367</v>
      </c>
      <c r="AB370" t="str">
        <f>'Green_rooibos initial weight'!A1275</f>
        <v>R367</v>
      </c>
      <c r="AC370" t="b">
        <f t="shared" si="130"/>
        <v>0</v>
      </c>
      <c r="AD370" t="b">
        <f t="shared" si="131"/>
        <v>0</v>
      </c>
      <c r="AG370" t="str">
        <f>'WetLitterbags placem_collection'!O149</f>
        <v>G878</v>
      </c>
      <c r="AH370" t="str">
        <f>'WetLitterbags placem_collection'!Q149</f>
        <v>R582</v>
      </c>
      <c r="AI370" t="b">
        <f t="shared" si="132"/>
        <v>0</v>
      </c>
      <c r="AJ370" t="b">
        <f t="shared" si="133"/>
        <v>0</v>
      </c>
      <c r="AK370">
        <f>'WetLitterbags placem_collection'!A149</f>
        <v>147</v>
      </c>
      <c r="AL370">
        <f>'WetLitterbags placem_collection'!A149</f>
        <v>147</v>
      </c>
      <c r="AN370">
        <f>IF('Dry_Litterbag Placem_Collection'!L149=0,"",'Dry_Litterbag Placem_Collection'!L149)</f>
        <v>303</v>
      </c>
      <c r="AO370">
        <f>IF('Dry_Litterbag Placem_Collection'!M149=0,"",'Dry_Litterbag Placem_Collection'!M149)</f>
        <v>243</v>
      </c>
      <c r="AP370" t="b">
        <f t="shared" si="134"/>
        <v>0</v>
      </c>
      <c r="AQ370" t="b">
        <f t="shared" si="135"/>
        <v>0</v>
      </c>
      <c r="AZ370" s="401" t="b">
        <f t="shared" si="138"/>
        <v>0</v>
      </c>
      <c r="BA370" s="401" t="b">
        <f t="shared" si="139"/>
        <v>0</v>
      </c>
      <c r="BC370" t="str">
        <f>'Ashed teabags wet'!A368</f>
        <v>G839</v>
      </c>
      <c r="BD370" t="str">
        <f>'Ashed teabags wet'!A785</f>
        <v>R69</v>
      </c>
      <c r="BE370" t="b">
        <f t="shared" si="140"/>
        <v>0</v>
      </c>
      <c r="BF370" t="b">
        <f t="shared" si="141"/>
        <v>0</v>
      </c>
      <c r="BG370">
        <f>IFERROR('Ashed teabags wet'!C368,"")</f>
        <v>122</v>
      </c>
      <c r="BH370">
        <f>IFERROR('Ashed teabags wet'!C785,"")</f>
        <v>35</v>
      </c>
      <c r="BI370" t="str">
        <f>'Ashed teabags wet'!AB368</f>
        <v/>
      </c>
      <c r="BJ370">
        <f>'Ashed teabags wet'!AC368</f>
        <v>121</v>
      </c>
      <c r="BK370" t="str">
        <f>'Ashed teabags wet'!AD785</f>
        <v/>
      </c>
      <c r="BL370">
        <f>'Ashed teabags wet'!AE785</f>
        <v>34</v>
      </c>
      <c r="BN370" t="str">
        <f t="shared" si="142"/>
        <v>G838</v>
      </c>
      <c r="BO370" t="b">
        <f t="shared" si="143"/>
        <v>1</v>
      </c>
    </row>
    <row r="371" spans="2:68" ht="12" customHeight="1">
      <c r="B371" t="str">
        <f>TBIDry!H443</f>
        <v>G161</v>
      </c>
      <c r="C371" t="str">
        <f>TBIDry!I443</f>
        <v>R422</v>
      </c>
      <c r="D371" t="b">
        <f t="shared" si="120"/>
        <v>0</v>
      </c>
      <c r="E371" t="b">
        <f t="shared" si="121"/>
        <v>0</v>
      </c>
      <c r="G371" t="str">
        <f>TBIWet!H443</f>
        <v>G807</v>
      </c>
      <c r="H371" t="str">
        <f>TBIWet!I443</f>
        <v>R20</v>
      </c>
      <c r="I371" t="b">
        <f t="shared" si="122"/>
        <v>0</v>
      </c>
      <c r="J371" t="b">
        <f t="shared" si="123"/>
        <v>0</v>
      </c>
      <c r="L371" t="str">
        <f>'Both teabags AfterWet'!A370</f>
        <v>G839</v>
      </c>
      <c r="M371" t="str">
        <f>'Both teabags AfterWet'!A788</f>
        <v>R584</v>
      </c>
      <c r="N371" t="b">
        <f t="shared" si="124"/>
        <v>0</v>
      </c>
      <c r="O371" t="b">
        <f t="shared" si="125"/>
        <v>0</v>
      </c>
      <c r="P371">
        <f>IFERROR('Both teabags AfterWet'!B370,"")</f>
        <v>122</v>
      </c>
      <c r="Q371">
        <f>'Both teabags AfterWet'!B788</f>
        <v>119</v>
      </c>
      <c r="S371" s="401" t="b">
        <f t="shared" si="126"/>
        <v>0</v>
      </c>
      <c r="T371" s="401" t="b">
        <f t="shared" si="127"/>
        <v>0</v>
      </c>
      <c r="AA371" t="str">
        <f>'Green_rooibos initial weight'!A372</f>
        <v>G368</v>
      </c>
      <c r="AB371" t="str">
        <f>'Green_rooibos initial weight'!A1276</f>
        <v>R368</v>
      </c>
      <c r="AC371" t="b">
        <f t="shared" si="130"/>
        <v>0</v>
      </c>
      <c r="AD371" t="b">
        <f t="shared" si="131"/>
        <v>0</v>
      </c>
      <c r="AG371" t="str">
        <f>'WetLitterbags placem_collection'!O150</f>
        <v>G807</v>
      </c>
      <c r="AH371" t="str">
        <f>'WetLitterbags placem_collection'!Q150</f>
        <v>R20</v>
      </c>
      <c r="AI371" t="b">
        <f t="shared" si="132"/>
        <v>0</v>
      </c>
      <c r="AJ371" t="b">
        <f t="shared" si="133"/>
        <v>0</v>
      </c>
      <c r="AK371">
        <f>'WetLitterbags placem_collection'!A150</f>
        <v>148</v>
      </c>
      <c r="AL371">
        <f>'WetLitterbags placem_collection'!A150</f>
        <v>148</v>
      </c>
      <c r="AN371">
        <f>IF('Dry_Litterbag Placem_Collection'!L150=0,"",'Dry_Litterbag Placem_Collection'!L150)</f>
        <v>161</v>
      </c>
      <c r="AO371">
        <f>IF('Dry_Litterbag Placem_Collection'!M150=0,"",'Dry_Litterbag Placem_Collection'!M150)</f>
        <v>422</v>
      </c>
      <c r="AP371" t="b">
        <f t="shared" si="134"/>
        <v>0</v>
      </c>
      <c r="AQ371" t="b">
        <f t="shared" si="135"/>
        <v>0</v>
      </c>
      <c r="AZ371" s="401" t="b">
        <f t="shared" si="138"/>
        <v>0</v>
      </c>
      <c r="BA371" s="401" t="b">
        <f t="shared" si="139"/>
        <v>0</v>
      </c>
      <c r="BC371" t="str">
        <f>'Ashed teabags wet'!A369</f>
        <v>G840</v>
      </c>
      <c r="BD371" t="str">
        <f>'Ashed teabags wet'!A786</f>
        <v>R7</v>
      </c>
      <c r="BE371" t="b">
        <f t="shared" si="140"/>
        <v>0</v>
      </c>
      <c r="BF371" t="b">
        <f t="shared" si="141"/>
        <v>0</v>
      </c>
      <c r="BG371">
        <f>IFERROR('Ashed teabags wet'!C369,"")</f>
        <v>82</v>
      </c>
      <c r="BH371">
        <f>IFERROR('Ashed teabags wet'!C786,"")</f>
        <v>150</v>
      </c>
      <c r="BI371" t="str">
        <f>'Ashed teabags wet'!AB369</f>
        <v/>
      </c>
      <c r="BJ371">
        <f>'Ashed teabags wet'!AC369</f>
        <v>81</v>
      </c>
      <c r="BK371">
        <f>'Ashed teabags wet'!AD786</f>
        <v>149</v>
      </c>
      <c r="BL371" t="str">
        <f>'Ashed teabags wet'!AE786</f>
        <v/>
      </c>
      <c r="BN371" t="str">
        <f t="shared" si="142"/>
        <v>G839</v>
      </c>
      <c r="BO371" t="b">
        <f t="shared" si="143"/>
        <v>1</v>
      </c>
    </row>
    <row r="372" spans="2:68" ht="12" customHeight="1">
      <c r="B372" t="str">
        <f>TBIDry!H444</f>
        <v>G464</v>
      </c>
      <c r="C372" t="str">
        <f>TBIDry!I444</f>
        <v>R664</v>
      </c>
      <c r="D372" t="b">
        <f t="shared" si="120"/>
        <v>0</v>
      </c>
      <c r="E372" t="b">
        <f t="shared" si="121"/>
        <v>0</v>
      </c>
      <c r="G372" t="str">
        <f>TBIWet!H444</f>
        <v>G696</v>
      </c>
      <c r="H372" t="str">
        <f>TBIWet!I444</f>
        <v>R533</v>
      </c>
      <c r="I372" t="b">
        <f t="shared" si="122"/>
        <v>0</v>
      </c>
      <c r="J372" t="b">
        <f t="shared" si="123"/>
        <v>0</v>
      </c>
      <c r="L372" t="str">
        <f>'Both teabags AfterWet'!A371</f>
        <v>G840</v>
      </c>
      <c r="M372" t="str">
        <f>'Both teabags AfterWet'!A789</f>
        <v>R585</v>
      </c>
      <c r="N372" t="b">
        <f t="shared" si="124"/>
        <v>0</v>
      </c>
      <c r="O372" t="b">
        <f t="shared" si="125"/>
        <v>0</v>
      </c>
      <c r="P372">
        <f>IFERROR('Both teabags AfterWet'!B371,"")</f>
        <v>82</v>
      </c>
      <c r="Q372">
        <f>'Both teabags AfterWet'!B789</f>
        <v>130</v>
      </c>
      <c r="S372" s="401" t="b">
        <f t="shared" si="126"/>
        <v>0</v>
      </c>
      <c r="T372" s="401" t="b">
        <f t="shared" si="127"/>
        <v>0</v>
      </c>
      <c r="AA372" t="str">
        <f>'Green_rooibos initial weight'!A373</f>
        <v>G369</v>
      </c>
      <c r="AB372" t="str">
        <f>'Green_rooibos initial weight'!A1277</f>
        <v>R369</v>
      </c>
      <c r="AC372" t="b">
        <f t="shared" si="130"/>
        <v>0</v>
      </c>
      <c r="AD372" t="b">
        <f t="shared" si="131"/>
        <v>0</v>
      </c>
      <c r="AG372" t="str">
        <f>'WetLitterbags placem_collection'!O151</f>
        <v>G696</v>
      </c>
      <c r="AH372" t="str">
        <f>'WetLitterbags placem_collection'!Q151</f>
        <v>R533</v>
      </c>
      <c r="AI372" t="b">
        <f t="shared" si="132"/>
        <v>0</v>
      </c>
      <c r="AJ372" t="b">
        <f t="shared" si="133"/>
        <v>0</v>
      </c>
      <c r="AK372">
        <f>'WetLitterbags placem_collection'!A151</f>
        <v>149</v>
      </c>
      <c r="AL372">
        <f>'WetLitterbags placem_collection'!A151</f>
        <v>149</v>
      </c>
      <c r="AN372">
        <f>IF('Dry_Litterbag Placem_Collection'!L151=0,"",'Dry_Litterbag Placem_Collection'!L151)</f>
        <v>464</v>
      </c>
      <c r="AO372">
        <f>IF('Dry_Litterbag Placem_Collection'!M151=0,"",'Dry_Litterbag Placem_Collection'!M151)</f>
        <v>664</v>
      </c>
      <c r="AP372" t="b">
        <f t="shared" si="134"/>
        <v>0</v>
      </c>
      <c r="AQ372" t="b">
        <f t="shared" si="135"/>
        <v>0</v>
      </c>
      <c r="AZ372" s="401" t="b">
        <f t="shared" si="138"/>
        <v>0</v>
      </c>
      <c r="BA372" s="401" t="b">
        <f t="shared" si="139"/>
        <v>0</v>
      </c>
      <c r="BC372" t="str">
        <f>'Ashed teabags wet'!A370</f>
        <v>G841</v>
      </c>
      <c r="BD372" t="str">
        <f>'Ashed teabags wet'!A787</f>
        <v>R71</v>
      </c>
      <c r="BE372" t="b">
        <f t="shared" si="140"/>
        <v>0</v>
      </c>
      <c r="BF372" t="b">
        <f t="shared" si="141"/>
        <v>0</v>
      </c>
      <c r="BG372">
        <f>IFERROR('Ashed teabags wet'!C370,"")</f>
        <v>126</v>
      </c>
      <c r="BH372">
        <f>IFERROR('Ashed teabags wet'!C787,"")</f>
        <v>24</v>
      </c>
      <c r="BI372" t="str">
        <f>'Ashed teabags wet'!AB370</f>
        <v/>
      </c>
      <c r="BJ372">
        <f>'Ashed teabags wet'!AC370</f>
        <v>125</v>
      </c>
      <c r="BK372" t="str">
        <f>'Ashed teabags wet'!AD787</f>
        <v/>
      </c>
      <c r="BL372">
        <f>'Ashed teabags wet'!AE787</f>
        <v>23</v>
      </c>
      <c r="BN372" t="str">
        <f t="shared" si="142"/>
        <v>G840</v>
      </c>
      <c r="BO372" t="b">
        <f t="shared" si="143"/>
        <v>1</v>
      </c>
    </row>
    <row r="373" spans="2:68" ht="12" customHeight="1">
      <c r="B373" t="str">
        <f>TBIDry!H445</f>
        <v>G843</v>
      </c>
      <c r="C373" t="str">
        <f>TBIDry!I445</f>
        <v>R316</v>
      </c>
      <c r="D373" t="b">
        <f t="shared" si="120"/>
        <v>0</v>
      </c>
      <c r="E373" t="b">
        <f t="shared" si="121"/>
        <v>0</v>
      </c>
      <c r="G373" t="str">
        <f>TBIWet!H445</f>
        <v>G801</v>
      </c>
      <c r="H373" t="str">
        <f>TBIWet!I445</f>
        <v>R572</v>
      </c>
      <c r="I373" t="b">
        <f t="shared" si="122"/>
        <v>0</v>
      </c>
      <c r="J373" t="b">
        <f t="shared" si="123"/>
        <v>0</v>
      </c>
      <c r="L373" t="str">
        <f>'Both teabags AfterWet'!A372</f>
        <v>G841</v>
      </c>
      <c r="M373" t="str">
        <f>'Both teabags AfterWet'!A790</f>
        <v>R587</v>
      </c>
      <c r="N373" t="b">
        <f t="shared" si="124"/>
        <v>0</v>
      </c>
      <c r="O373" t="b">
        <f t="shared" si="125"/>
        <v>0</v>
      </c>
      <c r="P373">
        <f>IFERROR('Both teabags AfterWet'!B372,"")</f>
        <v>126</v>
      </c>
      <c r="Q373" t="str">
        <f>'Both teabags AfterWet'!B790</f>
        <v>n.a</v>
      </c>
      <c r="S373" s="401" t="b">
        <f t="shared" si="126"/>
        <v>0</v>
      </c>
      <c r="T373" s="401" t="b">
        <f t="shared" si="127"/>
        <v>0</v>
      </c>
      <c r="AA373" t="str">
        <f>'Green_rooibos initial weight'!A374</f>
        <v>G370</v>
      </c>
      <c r="AB373" t="str">
        <f>'Green_rooibos initial weight'!A1278</f>
        <v>R370</v>
      </c>
      <c r="AC373" t="b">
        <f t="shared" si="130"/>
        <v>0</v>
      </c>
      <c r="AD373" t="b">
        <f t="shared" si="131"/>
        <v>0</v>
      </c>
      <c r="AG373" t="str">
        <f>'WetLitterbags placem_collection'!O152</f>
        <v>G801</v>
      </c>
      <c r="AH373" t="str">
        <f>'WetLitterbags placem_collection'!Q152</f>
        <v>R572</v>
      </c>
      <c r="AI373" t="b">
        <f t="shared" si="132"/>
        <v>0</v>
      </c>
      <c r="AJ373" t="b">
        <f t="shared" si="133"/>
        <v>0</v>
      </c>
      <c r="AK373">
        <f>'WetLitterbags placem_collection'!A152</f>
        <v>150</v>
      </c>
      <c r="AL373">
        <f>'WetLitterbags placem_collection'!A152</f>
        <v>150</v>
      </c>
      <c r="AN373">
        <f>IF('Dry_Litterbag Placem_Collection'!L152=0,"",'Dry_Litterbag Placem_Collection'!L152)</f>
        <v>843</v>
      </c>
      <c r="AO373">
        <f>IF('Dry_Litterbag Placem_Collection'!M152=0,"",'Dry_Litterbag Placem_Collection'!M152)</f>
        <v>316</v>
      </c>
      <c r="AP373" t="b">
        <f t="shared" si="134"/>
        <v>0</v>
      </c>
      <c r="AQ373" t="b">
        <f t="shared" si="135"/>
        <v>0</v>
      </c>
      <c r="AZ373" s="401" t="b">
        <f t="shared" si="138"/>
        <v>0</v>
      </c>
      <c r="BA373" s="401" t="b">
        <f t="shared" si="139"/>
        <v>0</v>
      </c>
      <c r="BC373" t="str">
        <f>'Ashed teabags wet'!A371</f>
        <v>G842</v>
      </c>
      <c r="BD373" t="str">
        <f>'Ashed teabags wet'!A788</f>
        <v>R72</v>
      </c>
      <c r="BE373" t="b">
        <f t="shared" si="140"/>
        <v>0</v>
      </c>
      <c r="BF373" t="b">
        <f t="shared" si="141"/>
        <v>0</v>
      </c>
      <c r="BG373">
        <f>IFERROR('Ashed teabags wet'!C371,"")</f>
        <v>135</v>
      </c>
      <c r="BH373">
        <f>IFERROR('Ashed teabags wet'!C788,"")</f>
        <v>48</v>
      </c>
      <c r="BI373" t="str">
        <f>'Ashed teabags wet'!AB371</f>
        <v/>
      </c>
      <c r="BJ373">
        <f>'Ashed teabags wet'!AC371</f>
        <v>134</v>
      </c>
      <c r="BK373">
        <f>'Ashed teabags wet'!AD788</f>
        <v>47</v>
      </c>
      <c r="BL373" t="str">
        <f>'Ashed teabags wet'!AE788</f>
        <v/>
      </c>
      <c r="BN373" t="str">
        <f t="shared" si="142"/>
        <v>G841</v>
      </c>
      <c r="BO373" t="b">
        <f t="shared" si="143"/>
        <v>1</v>
      </c>
    </row>
    <row r="374" spans="2:68" ht="12" customHeight="1">
      <c r="B374" t="str">
        <f>TBIDry!H446</f>
        <v/>
      </c>
      <c r="C374" t="str">
        <f>TBIDry!I446</f>
        <v/>
      </c>
      <c r="D374" t="b">
        <f t="shared" si="120"/>
        <v>1</v>
      </c>
      <c r="E374" t="b">
        <f t="shared" si="121"/>
        <v>1</v>
      </c>
      <c r="G374" t="str">
        <f>TBIWet!H446</f>
        <v>G647</v>
      </c>
      <c r="H374" t="str">
        <f>TBIWet!I446</f>
        <v>R504</v>
      </c>
      <c r="I374" t="b">
        <f t="shared" si="122"/>
        <v>0</v>
      </c>
      <c r="J374" t="b">
        <f t="shared" si="123"/>
        <v>0</v>
      </c>
      <c r="L374" t="str">
        <f>'Both teabags AfterWet'!A373</f>
        <v>G845</v>
      </c>
      <c r="M374" t="str">
        <f>'Both teabags AfterWet'!A791</f>
        <v>R588</v>
      </c>
      <c r="N374" t="b">
        <f t="shared" si="124"/>
        <v>0</v>
      </c>
      <c r="O374" t="b">
        <f t="shared" si="125"/>
        <v>0</v>
      </c>
      <c r="P374">
        <f>IFERROR('Both teabags AfterWet'!B373,"")</f>
        <v>108</v>
      </c>
      <c r="Q374" t="str">
        <f>'Both teabags AfterWet'!B791</f>
        <v>n.a</v>
      </c>
      <c r="S374" s="401" t="b">
        <f t="shared" si="126"/>
        <v>0</v>
      </c>
      <c r="T374" s="401" t="b">
        <f t="shared" si="127"/>
        <v>0</v>
      </c>
      <c r="AA374" t="str">
        <f>'Green_rooibos initial weight'!A375</f>
        <v>G371</v>
      </c>
      <c r="AB374" t="str">
        <f>'Green_rooibos initial weight'!A1279</f>
        <v>R371</v>
      </c>
      <c r="AC374" t="b">
        <f t="shared" si="130"/>
        <v>0</v>
      </c>
      <c r="AD374" t="b">
        <f t="shared" si="131"/>
        <v>0</v>
      </c>
      <c r="AG374" t="str">
        <f>'WetLitterbags placem_collection'!O153</f>
        <v>G647</v>
      </c>
      <c r="AH374" t="str">
        <f>'WetLitterbags placem_collection'!Q153</f>
        <v>R504</v>
      </c>
      <c r="AI374" t="b">
        <f t="shared" si="132"/>
        <v>0</v>
      </c>
      <c r="AJ374" t="b">
        <f t="shared" si="133"/>
        <v>0</v>
      </c>
      <c r="AK374">
        <f>'WetLitterbags placem_collection'!A153</f>
        <v>151</v>
      </c>
      <c r="AL374">
        <f>'WetLitterbags placem_collection'!A153</f>
        <v>151</v>
      </c>
      <c r="AN374" t="str">
        <f>IF('Dry_Litterbag Placem_Collection'!L153=0,"",'Dry_Litterbag Placem_Collection'!L153)</f>
        <v/>
      </c>
      <c r="AO374" t="str">
        <f>IF('Dry_Litterbag Placem_Collection'!M153=0,"",'Dry_Litterbag Placem_Collection'!M153)</f>
        <v/>
      </c>
      <c r="AP374" t="b">
        <f t="shared" si="134"/>
        <v>1</v>
      </c>
      <c r="AQ374" t="b">
        <f t="shared" si="135"/>
        <v>1</v>
      </c>
      <c r="AZ374" s="401" t="b">
        <f t="shared" si="138"/>
        <v>0</v>
      </c>
      <c r="BA374" s="401" t="b">
        <f t="shared" si="139"/>
        <v>0</v>
      </c>
      <c r="BC374" t="str">
        <f>'Ashed teabags wet'!A372</f>
        <v>G845</v>
      </c>
      <c r="BD374" t="str">
        <f>'Ashed teabags wet'!A789</f>
        <v>R73</v>
      </c>
      <c r="BE374" t="b">
        <f t="shared" si="140"/>
        <v>0</v>
      </c>
      <c r="BF374" t="b">
        <f t="shared" si="141"/>
        <v>0</v>
      </c>
      <c r="BG374">
        <f>IFERROR('Ashed teabags wet'!C372,"")</f>
        <v>108</v>
      </c>
      <c r="BH374">
        <f>IFERROR('Ashed teabags wet'!C789,"")</f>
        <v>91</v>
      </c>
      <c r="BI374" t="str">
        <f>'Ashed teabags wet'!AB372</f>
        <v/>
      </c>
      <c r="BJ374">
        <f>'Ashed teabags wet'!AC372</f>
        <v>107</v>
      </c>
      <c r="BK374" t="str">
        <f>'Ashed teabags wet'!AD789</f>
        <v/>
      </c>
      <c r="BL374">
        <f>'Ashed teabags wet'!AE789</f>
        <v>90</v>
      </c>
      <c r="BN374" t="str">
        <f t="shared" si="142"/>
        <v>G842</v>
      </c>
      <c r="BO374" t="b">
        <f t="shared" si="143"/>
        <v>1</v>
      </c>
    </row>
    <row r="375" spans="2:68" ht="12" customHeight="1">
      <c r="B375" t="str">
        <f>TBIDry!H447</f>
        <v>G617</v>
      </c>
      <c r="C375" t="str">
        <f>TBIDry!I447</f>
        <v>R635</v>
      </c>
      <c r="D375" t="b">
        <f t="shared" si="120"/>
        <v>0</v>
      </c>
      <c r="E375" t="b">
        <f t="shared" si="121"/>
        <v>0</v>
      </c>
      <c r="G375" t="str">
        <f>TBIWet!H447</f>
        <v>G744</v>
      </c>
      <c r="H375" t="str">
        <f>TBIWet!I447</f>
        <v>R579</v>
      </c>
      <c r="I375" t="b">
        <f t="shared" si="122"/>
        <v>0</v>
      </c>
      <c r="J375" t="b">
        <f t="shared" si="123"/>
        <v>0</v>
      </c>
      <c r="L375" t="str">
        <f>'Both teabags AfterWet'!A374</f>
        <v>G846</v>
      </c>
      <c r="M375" t="str">
        <f>'Both teabags AfterWet'!A792</f>
        <v>R589</v>
      </c>
      <c r="N375" t="b">
        <f t="shared" si="124"/>
        <v>0</v>
      </c>
      <c r="O375" t="b">
        <f t="shared" si="125"/>
        <v>0</v>
      </c>
      <c r="P375" t="str">
        <f>IFERROR('Both teabags AfterWet'!B374,"")</f>
        <v>n.a</v>
      </c>
      <c r="Q375">
        <f>'Both teabags AfterWet'!B792</f>
        <v>221</v>
      </c>
      <c r="S375" s="401" t="b">
        <f t="shared" si="126"/>
        <v>0</v>
      </c>
      <c r="T375" s="401" t="b">
        <f t="shared" si="127"/>
        <v>0</v>
      </c>
      <c r="AA375" t="str">
        <f>'Green_rooibos initial weight'!A376</f>
        <v>G372</v>
      </c>
      <c r="AB375" t="str">
        <f>'Green_rooibos initial weight'!A1280</f>
        <v>R372</v>
      </c>
      <c r="AC375" t="b">
        <f t="shared" si="130"/>
        <v>0</v>
      </c>
      <c r="AD375" t="b">
        <f t="shared" si="131"/>
        <v>0</v>
      </c>
      <c r="AG375" t="str">
        <f>'WetLitterbags placem_collection'!O154</f>
        <v>G744</v>
      </c>
      <c r="AH375" t="str">
        <f>'WetLitterbags placem_collection'!Q154</f>
        <v>R579</v>
      </c>
      <c r="AI375" t="b">
        <f t="shared" si="132"/>
        <v>0</v>
      </c>
      <c r="AJ375" t="b">
        <f t="shared" si="133"/>
        <v>0</v>
      </c>
      <c r="AK375">
        <f>'WetLitterbags placem_collection'!A154</f>
        <v>152</v>
      </c>
      <c r="AL375">
        <f>'WetLitterbags placem_collection'!A154</f>
        <v>152</v>
      </c>
      <c r="AN375">
        <f>IF('Dry_Litterbag Placem_Collection'!L154=0,"",'Dry_Litterbag Placem_Collection'!L154)</f>
        <v>617</v>
      </c>
      <c r="AO375">
        <f>IF('Dry_Litterbag Placem_Collection'!M154=0,"",'Dry_Litterbag Placem_Collection'!M154)</f>
        <v>635</v>
      </c>
      <c r="AP375" t="b">
        <f t="shared" si="134"/>
        <v>0</v>
      </c>
      <c r="AQ375" t="b">
        <f t="shared" si="135"/>
        <v>0</v>
      </c>
      <c r="AZ375" s="401" t="b">
        <f t="shared" si="138"/>
        <v>0</v>
      </c>
      <c r="BA375" s="401" t="b">
        <f t="shared" si="139"/>
        <v>0</v>
      </c>
      <c r="BC375" t="str">
        <f>'Ashed teabags wet'!A373</f>
        <v>G846</v>
      </c>
      <c r="BD375" t="str">
        <f>'Ashed teabags wet'!A790</f>
        <v>R74</v>
      </c>
      <c r="BE375" t="b">
        <f t="shared" si="140"/>
        <v>0</v>
      </c>
      <c r="BF375" t="b">
        <f t="shared" si="141"/>
        <v>0</v>
      </c>
      <c r="BG375">
        <f>IFERROR('Ashed teabags wet'!C373,"")</f>
        <v>133</v>
      </c>
      <c r="BH375">
        <f>IFERROR('Ashed teabags wet'!C790,"")</f>
        <v>45</v>
      </c>
      <c r="BI375">
        <f>'Ashed teabags wet'!AB373</f>
        <v>132</v>
      </c>
      <c r="BJ375" t="str">
        <f>'Ashed teabags wet'!AC373</f>
        <v/>
      </c>
      <c r="BK375" t="str">
        <f>'Ashed teabags wet'!AD790</f>
        <v/>
      </c>
      <c r="BL375">
        <f>'Ashed teabags wet'!AE790</f>
        <v>44</v>
      </c>
      <c r="BN375" t="str">
        <f t="shared" si="142"/>
        <v>G845</v>
      </c>
      <c r="BO375" t="b">
        <f t="shared" si="143"/>
        <v>1</v>
      </c>
    </row>
    <row r="376" spans="2:68" ht="12" customHeight="1">
      <c r="B376" t="str">
        <f>TBIDry!H448</f>
        <v>G19</v>
      </c>
      <c r="C376" t="str">
        <f>TBIDry!I448</f>
        <v>R651</v>
      </c>
      <c r="D376" t="b">
        <f t="shared" si="120"/>
        <v>0</v>
      </c>
      <c r="E376" t="b">
        <f t="shared" si="121"/>
        <v>0</v>
      </c>
      <c r="G376" t="str">
        <f>TBIWet!H448</f>
        <v>G885</v>
      </c>
      <c r="H376" t="str">
        <f>TBIWet!I448</f>
        <v>R440</v>
      </c>
      <c r="I376" t="b">
        <f t="shared" si="122"/>
        <v>0</v>
      </c>
      <c r="J376" t="b">
        <f t="shared" si="123"/>
        <v>0</v>
      </c>
      <c r="L376" t="str">
        <f>'Both teabags AfterWet'!A375</f>
        <v>G847</v>
      </c>
      <c r="M376" t="str">
        <f>'Both teabags AfterWet'!A793</f>
        <v>R59</v>
      </c>
      <c r="N376" t="b">
        <f t="shared" si="124"/>
        <v>0</v>
      </c>
      <c r="O376" t="b">
        <f t="shared" si="125"/>
        <v>0</v>
      </c>
      <c r="P376" t="str">
        <f>IFERROR('Both teabags AfterWet'!B375,"")</f>
        <v>n.a</v>
      </c>
      <c r="Q376" t="str">
        <f>'Both teabags AfterWet'!B793</f>
        <v>n.a</v>
      </c>
      <c r="S376" s="401" t="b">
        <f t="shared" si="126"/>
        <v>0</v>
      </c>
      <c r="T376" s="401" t="b">
        <f t="shared" si="127"/>
        <v>0</v>
      </c>
      <c r="AA376" t="str">
        <f>'Green_rooibos initial weight'!A377</f>
        <v>G373</v>
      </c>
      <c r="AB376" t="str">
        <f>'Green_rooibos initial weight'!A1281</f>
        <v>R373</v>
      </c>
      <c r="AC376" t="b">
        <f t="shared" si="130"/>
        <v>0</v>
      </c>
      <c r="AD376" t="b">
        <f t="shared" si="131"/>
        <v>0</v>
      </c>
      <c r="AG376" t="str">
        <f>'WetLitterbags placem_collection'!O155</f>
        <v>G885</v>
      </c>
      <c r="AH376" t="str">
        <f>'WetLitterbags placem_collection'!Q155</f>
        <v>R440</v>
      </c>
      <c r="AI376" t="b">
        <f t="shared" si="132"/>
        <v>0</v>
      </c>
      <c r="AJ376" t="b">
        <f t="shared" si="133"/>
        <v>0</v>
      </c>
      <c r="AK376">
        <f>'WetLitterbags placem_collection'!A155</f>
        <v>153</v>
      </c>
      <c r="AL376">
        <f>'WetLitterbags placem_collection'!A155</f>
        <v>153</v>
      </c>
      <c r="AN376">
        <f>IF('Dry_Litterbag Placem_Collection'!L155=0,"",'Dry_Litterbag Placem_Collection'!L155)</f>
        <v>19</v>
      </c>
      <c r="AO376">
        <f>IF('Dry_Litterbag Placem_Collection'!M155=0,"",'Dry_Litterbag Placem_Collection'!M155)</f>
        <v>651</v>
      </c>
      <c r="AP376" t="b">
        <f t="shared" si="134"/>
        <v>0</v>
      </c>
      <c r="AQ376" t="b">
        <f t="shared" si="135"/>
        <v>0</v>
      </c>
      <c r="AZ376" s="401" t="b">
        <f t="shared" si="138"/>
        <v>0</v>
      </c>
      <c r="BA376" s="401" t="b">
        <f t="shared" si="139"/>
        <v>0</v>
      </c>
      <c r="BC376" t="str">
        <f>'Ashed teabags wet'!A374</f>
        <v>G847</v>
      </c>
      <c r="BD376" t="str">
        <f>'Ashed teabags wet'!A791</f>
        <v>R76</v>
      </c>
      <c r="BE376" t="b">
        <f t="shared" si="140"/>
        <v>0</v>
      </c>
      <c r="BF376" t="b">
        <f t="shared" si="141"/>
        <v>0</v>
      </c>
      <c r="BG376">
        <f>IFERROR('Ashed teabags wet'!C374,"")</f>
        <v>97</v>
      </c>
      <c r="BH376">
        <f>IFERROR('Ashed teabags wet'!C791,"")</f>
        <v>47</v>
      </c>
      <c r="BI376" t="str">
        <f>'Ashed teabags wet'!AB374</f>
        <v/>
      </c>
      <c r="BJ376">
        <f>'Ashed teabags wet'!AC374</f>
        <v>96</v>
      </c>
      <c r="BK376" t="str">
        <f>'Ashed teabags wet'!AD791</f>
        <v/>
      </c>
      <c r="BL376">
        <f>'Ashed teabags wet'!AE791</f>
        <v>46</v>
      </c>
      <c r="BN376" t="str">
        <f t="shared" si="142"/>
        <v>G846</v>
      </c>
      <c r="BO376" t="b">
        <f t="shared" si="143"/>
        <v>1</v>
      </c>
    </row>
    <row r="377" spans="2:68" ht="12" customHeight="1">
      <c r="B377" t="str">
        <f>TBIDry!H449</f>
        <v>G275</v>
      </c>
      <c r="C377" t="str">
        <f>TBIDry!I449</f>
        <v>R367</v>
      </c>
      <c r="D377" t="b">
        <f t="shared" si="120"/>
        <v>0</v>
      </c>
      <c r="E377" t="b">
        <f t="shared" si="121"/>
        <v>0</v>
      </c>
      <c r="G377" t="str">
        <f>TBIWet!H449</f>
        <v>G684</v>
      </c>
      <c r="H377" t="str">
        <f>TBIWet!I449</f>
        <v>R485</v>
      </c>
      <c r="I377" t="b">
        <f t="shared" si="122"/>
        <v>0</v>
      </c>
      <c r="J377" t="b">
        <f t="shared" si="123"/>
        <v>0</v>
      </c>
      <c r="L377" t="str">
        <f>'Both teabags AfterWet'!A376</f>
        <v>G849</v>
      </c>
      <c r="M377" t="str">
        <f>'Both teabags AfterWet'!A794</f>
        <v>R590</v>
      </c>
      <c r="N377" t="b">
        <f t="shared" si="124"/>
        <v>0</v>
      </c>
      <c r="O377" t="b">
        <f t="shared" si="125"/>
        <v>0</v>
      </c>
      <c r="P377" t="str">
        <f>IFERROR('Both teabags AfterWet'!B376,"")</f>
        <v>n.a</v>
      </c>
      <c r="Q377" t="str">
        <f>'Both teabags AfterWet'!B794</f>
        <v>N.A</v>
      </c>
      <c r="S377" s="401" t="b">
        <f t="shared" si="126"/>
        <v>0</v>
      </c>
      <c r="T377" s="401" t="b">
        <f t="shared" si="127"/>
        <v>0</v>
      </c>
      <c r="AA377" t="str">
        <f>'Green_rooibos initial weight'!A378</f>
        <v>G374</v>
      </c>
      <c r="AB377" t="str">
        <f>'Green_rooibos initial weight'!A1282</f>
        <v>R374</v>
      </c>
      <c r="AC377" t="b">
        <f t="shared" si="130"/>
        <v>0</v>
      </c>
      <c r="AD377" t="b">
        <f t="shared" si="131"/>
        <v>0</v>
      </c>
      <c r="AG377" t="str">
        <f>'WetLitterbags placem_collection'!O156</f>
        <v>G684</v>
      </c>
      <c r="AH377" t="str">
        <f>'WetLitterbags placem_collection'!Q156</f>
        <v>R485</v>
      </c>
      <c r="AI377" t="b">
        <f t="shared" si="132"/>
        <v>0</v>
      </c>
      <c r="AJ377" t="b">
        <f t="shared" si="133"/>
        <v>0</v>
      </c>
      <c r="AK377">
        <f>'WetLitterbags placem_collection'!A156</f>
        <v>154</v>
      </c>
      <c r="AL377">
        <f>'WetLitterbags placem_collection'!A156</f>
        <v>154</v>
      </c>
      <c r="AN377">
        <f>IF('Dry_Litterbag Placem_Collection'!L156=0,"",'Dry_Litterbag Placem_Collection'!L156)</f>
        <v>275</v>
      </c>
      <c r="AO377">
        <f>IF('Dry_Litterbag Placem_Collection'!M156=0,"",'Dry_Litterbag Placem_Collection'!M156)</f>
        <v>367</v>
      </c>
      <c r="AP377" t="b">
        <f t="shared" si="134"/>
        <v>0</v>
      </c>
      <c r="AQ377" t="b">
        <f t="shared" si="135"/>
        <v>0</v>
      </c>
      <c r="AZ377" s="401" t="b">
        <f t="shared" si="138"/>
        <v>0</v>
      </c>
      <c r="BA377" s="401" t="b">
        <f t="shared" si="139"/>
        <v>0</v>
      </c>
      <c r="BC377" t="str">
        <f>'Ashed teabags wet'!A375</f>
        <v>G849</v>
      </c>
      <c r="BD377" t="str">
        <f>'Ashed teabags wet'!A792</f>
        <v>R77</v>
      </c>
      <c r="BE377" t="b">
        <f t="shared" si="140"/>
        <v>0</v>
      </c>
      <c r="BF377" t="b">
        <f t="shared" si="141"/>
        <v>0</v>
      </c>
      <c r="BG377">
        <f>IFERROR('Ashed teabags wet'!C375,"")</f>
        <v>220</v>
      </c>
      <c r="BH377">
        <f>IFERROR('Ashed teabags wet'!C792,"")</f>
        <v>41</v>
      </c>
      <c r="BI377" t="str">
        <f>'Ashed teabags wet'!AB375</f>
        <v/>
      </c>
      <c r="BJ377">
        <f>'Ashed teabags wet'!AC375</f>
        <v>219</v>
      </c>
      <c r="BK377" t="str">
        <f>'Ashed teabags wet'!AD792</f>
        <v/>
      </c>
      <c r="BL377">
        <f>'Ashed teabags wet'!AE792</f>
        <v>40</v>
      </c>
      <c r="BN377" t="str">
        <f t="shared" si="142"/>
        <v>G847</v>
      </c>
      <c r="BO377" t="b">
        <f t="shared" si="143"/>
        <v>1</v>
      </c>
    </row>
    <row r="378" spans="2:68" ht="12" customHeight="1">
      <c r="B378" t="str">
        <f>TBIDry!H450</f>
        <v>G289</v>
      </c>
      <c r="C378" t="str">
        <f>TBIDry!I450</f>
        <v>R617</v>
      </c>
      <c r="D378" t="b">
        <f t="shared" si="120"/>
        <v>0</v>
      </c>
      <c r="E378" t="b">
        <f t="shared" si="121"/>
        <v>0</v>
      </c>
      <c r="G378" t="str">
        <f>TBIWet!H450</f>
        <v>G827</v>
      </c>
      <c r="H378" t="str">
        <f>TBIWet!I450</f>
        <v>R556</v>
      </c>
      <c r="I378" t="b">
        <f t="shared" si="122"/>
        <v>0</v>
      </c>
      <c r="J378" t="b">
        <f t="shared" si="123"/>
        <v>0</v>
      </c>
      <c r="L378" t="str">
        <f>'Both teabags AfterWet'!A377</f>
        <v>G850</v>
      </c>
      <c r="M378" t="str">
        <f>'Both teabags AfterWet'!A795</f>
        <v>R591</v>
      </c>
      <c r="N378" t="b">
        <f t="shared" si="124"/>
        <v>0</v>
      </c>
      <c r="O378" t="b">
        <f t="shared" si="125"/>
        <v>0</v>
      </c>
      <c r="P378">
        <f>IFERROR('Both teabags AfterWet'!B377,"")</f>
        <v>142</v>
      </c>
      <c r="Q378" t="str">
        <f>'Both teabags AfterWet'!B795</f>
        <v>n.a</v>
      </c>
      <c r="S378" t="b">
        <f t="shared" si="126"/>
        <v>0</v>
      </c>
      <c r="T378" s="401" t="b">
        <f t="shared" si="127"/>
        <v>0</v>
      </c>
      <c r="AA378" t="str">
        <f>'Green_rooibos initial weight'!A379</f>
        <v>G375</v>
      </c>
      <c r="AB378" t="str">
        <f>'Green_rooibos initial weight'!A1283</f>
        <v>R375</v>
      </c>
      <c r="AC378" t="b">
        <f t="shared" si="130"/>
        <v>0</v>
      </c>
      <c r="AD378" t="b">
        <f t="shared" si="131"/>
        <v>0</v>
      </c>
      <c r="AG378" t="str">
        <f>'WetLitterbags placem_collection'!O157</f>
        <v>G827</v>
      </c>
      <c r="AH378" t="str">
        <f>'WetLitterbags placem_collection'!Q157</f>
        <v>R556</v>
      </c>
      <c r="AI378" t="b">
        <f t="shared" si="132"/>
        <v>0</v>
      </c>
      <c r="AJ378" t="b">
        <f t="shared" si="133"/>
        <v>0</v>
      </c>
      <c r="AK378">
        <f>'WetLitterbags placem_collection'!A157</f>
        <v>155</v>
      </c>
      <c r="AL378">
        <f>'WetLitterbags placem_collection'!A157</f>
        <v>155</v>
      </c>
      <c r="AN378">
        <f>IF('Dry_Litterbag Placem_Collection'!L157=0,"",'Dry_Litterbag Placem_Collection'!L157)</f>
        <v>289</v>
      </c>
      <c r="AO378">
        <f>IF('Dry_Litterbag Placem_Collection'!M157=0,"",'Dry_Litterbag Placem_Collection'!M157)</f>
        <v>617</v>
      </c>
      <c r="AP378" t="b">
        <f t="shared" si="134"/>
        <v>0</v>
      </c>
      <c r="AQ378" t="b">
        <f t="shared" si="135"/>
        <v>0</v>
      </c>
      <c r="AZ378" s="401" t="b">
        <f t="shared" si="138"/>
        <v>0</v>
      </c>
      <c r="BA378" s="401" t="b">
        <f t="shared" si="139"/>
        <v>0</v>
      </c>
      <c r="BC378" t="str">
        <f>'Ashed teabags wet'!A376</f>
        <v>G850</v>
      </c>
      <c r="BD378" t="str">
        <f>'Ashed teabags wet'!A793</f>
        <v>R78</v>
      </c>
      <c r="BE378" t="b">
        <f t="shared" si="140"/>
        <v>0</v>
      </c>
      <c r="BF378" t="b">
        <f t="shared" si="141"/>
        <v>0</v>
      </c>
      <c r="BG378">
        <f>IFERROR('Ashed teabags wet'!C376,"")</f>
        <v>142</v>
      </c>
      <c r="BH378">
        <f>IFERROR('Ashed teabags wet'!C793,"")</f>
        <v>60</v>
      </c>
      <c r="BI378" t="str">
        <f>'Ashed teabags wet'!AB376</f>
        <v/>
      </c>
      <c r="BJ378">
        <f>'Ashed teabags wet'!AC376</f>
        <v>141</v>
      </c>
      <c r="BK378">
        <f>'Ashed teabags wet'!AD793</f>
        <v>59</v>
      </c>
      <c r="BL378" t="str">
        <f>'Ashed teabags wet'!AE793</f>
        <v/>
      </c>
      <c r="BN378" t="str">
        <f t="shared" si="142"/>
        <v>G849</v>
      </c>
      <c r="BO378" t="b">
        <f t="shared" si="143"/>
        <v>1</v>
      </c>
    </row>
    <row r="379" spans="2:68" ht="12" customHeight="1">
      <c r="B379" t="str">
        <f>TBIDry!H451</f>
        <v>G65</v>
      </c>
      <c r="C379" t="str">
        <f>TBIDry!I451</f>
        <v>R84</v>
      </c>
      <c r="D379" t="b">
        <f t="shared" si="120"/>
        <v>0</v>
      </c>
      <c r="E379" t="b">
        <f t="shared" si="121"/>
        <v>0</v>
      </c>
      <c r="G379" t="str">
        <f>TBIWet!H451</f>
        <v>G667</v>
      </c>
      <c r="H379" t="str">
        <f>TBIWet!I451</f>
        <v>R464</v>
      </c>
      <c r="I379" t="b">
        <f t="shared" si="122"/>
        <v>0</v>
      </c>
      <c r="J379" t="b">
        <f t="shared" si="123"/>
        <v>0</v>
      </c>
      <c r="L379" t="str">
        <f>'Both teabags AfterWet'!A378</f>
        <v>G852</v>
      </c>
      <c r="M379" t="str">
        <f>'Both teabags AfterWet'!A796</f>
        <v>R592</v>
      </c>
      <c r="N379" t="b">
        <f t="shared" si="124"/>
        <v>0</v>
      </c>
      <c r="O379" t="b">
        <f t="shared" si="125"/>
        <v>0</v>
      </c>
      <c r="P379">
        <f>IFERROR('Both teabags AfterWet'!B378,"")</f>
        <v>112</v>
      </c>
      <c r="Q379">
        <f>'Both teabags AfterWet'!B796</f>
        <v>131</v>
      </c>
      <c r="S379" s="401" t="b">
        <f t="shared" si="126"/>
        <v>0</v>
      </c>
      <c r="T379" s="401" t="b">
        <f t="shared" si="127"/>
        <v>0</v>
      </c>
      <c r="AA379" t="str">
        <f>'Green_rooibos initial weight'!A380</f>
        <v>G376</v>
      </c>
      <c r="AB379" t="str">
        <f>'Green_rooibos initial weight'!A1284</f>
        <v>R376</v>
      </c>
      <c r="AC379" t="b">
        <f t="shared" si="130"/>
        <v>0</v>
      </c>
      <c r="AD379" t="b">
        <f t="shared" si="131"/>
        <v>0</v>
      </c>
      <c r="AG379" t="str">
        <f>'WetLitterbags placem_collection'!O158</f>
        <v>G667</v>
      </c>
      <c r="AH379" t="str">
        <f>'WetLitterbags placem_collection'!Q158</f>
        <v>R464</v>
      </c>
      <c r="AI379" t="b">
        <f t="shared" si="132"/>
        <v>0</v>
      </c>
      <c r="AJ379" t="b">
        <f t="shared" si="133"/>
        <v>0</v>
      </c>
      <c r="AK379">
        <f>'WetLitterbags placem_collection'!A158</f>
        <v>156</v>
      </c>
      <c r="AL379">
        <f>'WetLitterbags placem_collection'!A158</f>
        <v>156</v>
      </c>
      <c r="AN379">
        <f>IF('Dry_Litterbag Placem_Collection'!L158=0,"",'Dry_Litterbag Placem_Collection'!L158)</f>
        <v>65</v>
      </c>
      <c r="AO379">
        <f>IF('Dry_Litterbag Placem_Collection'!M158=0,"",'Dry_Litterbag Placem_Collection'!M158)</f>
        <v>84</v>
      </c>
      <c r="AP379" t="b">
        <f t="shared" si="134"/>
        <v>0</v>
      </c>
      <c r="AQ379" t="b">
        <f t="shared" si="135"/>
        <v>0</v>
      </c>
      <c r="AZ379" s="401" t="b">
        <f t="shared" si="138"/>
        <v>0</v>
      </c>
      <c r="BA379" s="401" t="b">
        <f t="shared" si="139"/>
        <v>0</v>
      </c>
      <c r="BC379" t="str">
        <f>'Ashed teabags wet'!A377</f>
        <v>G852</v>
      </c>
      <c r="BD379" t="str">
        <f>'Ashed teabags wet'!A794</f>
        <v>R79</v>
      </c>
      <c r="BE379" t="b">
        <f t="shared" si="140"/>
        <v>0</v>
      </c>
      <c r="BF379" t="b">
        <f t="shared" si="141"/>
        <v>0</v>
      </c>
      <c r="BG379">
        <f>IFERROR('Ashed teabags wet'!C377,"")</f>
        <v>112</v>
      </c>
      <c r="BH379">
        <f>IFERROR('Ashed teabags wet'!C794,"")</f>
        <v>0</v>
      </c>
      <c r="BI379" t="str">
        <f>'Ashed teabags wet'!AB377</f>
        <v/>
      </c>
      <c r="BJ379">
        <f>'Ashed teabags wet'!AC377</f>
        <v>111</v>
      </c>
      <c r="BK379" t="str">
        <f>'Ashed teabags wet'!AD794</f>
        <v/>
      </c>
      <c r="BL379">
        <f>'Ashed teabags wet'!AE794</f>
        <v>20</v>
      </c>
      <c r="BN379" t="str">
        <f t="shared" si="142"/>
        <v>G850</v>
      </c>
      <c r="BO379" t="b">
        <f t="shared" si="143"/>
        <v>1</v>
      </c>
      <c r="BP379" s="402"/>
    </row>
    <row r="380" spans="2:68" ht="12" customHeight="1">
      <c r="B380" t="str">
        <f>TBIDry!H452</f>
        <v>G33</v>
      </c>
      <c r="C380" t="str">
        <f>TBIDry!I452</f>
        <v>R248</v>
      </c>
      <c r="D380" t="b">
        <f t="shared" si="120"/>
        <v>0</v>
      </c>
      <c r="E380" t="b">
        <f t="shared" si="121"/>
        <v>0</v>
      </c>
      <c r="G380" t="str">
        <f>TBIWet!H452</f>
        <v>G777</v>
      </c>
      <c r="H380" t="str">
        <f>TBIWet!I452</f>
        <v>R35</v>
      </c>
      <c r="I380" t="b">
        <f t="shared" si="122"/>
        <v>0</v>
      </c>
      <c r="J380" t="b">
        <f t="shared" si="123"/>
        <v>0</v>
      </c>
      <c r="L380" t="str">
        <f>'Both teabags AfterWet'!A379</f>
        <v>G853</v>
      </c>
      <c r="M380" t="str">
        <f>'Both teabags AfterWet'!A797</f>
        <v>R593</v>
      </c>
      <c r="N380" t="b">
        <f t="shared" si="124"/>
        <v>0</v>
      </c>
      <c r="O380" t="b">
        <f t="shared" si="125"/>
        <v>0</v>
      </c>
      <c r="P380" t="str">
        <f>IFERROR('Both teabags AfterWet'!B379,"")</f>
        <v>n.a</v>
      </c>
      <c r="Q380" t="str">
        <f>'Both teabags AfterWet'!B797</f>
        <v>N.A</v>
      </c>
      <c r="S380" s="401" t="b">
        <f t="shared" si="126"/>
        <v>0</v>
      </c>
      <c r="T380" s="401" t="b">
        <f t="shared" si="127"/>
        <v>0</v>
      </c>
      <c r="AA380" t="str">
        <f>'Green_rooibos initial weight'!A381</f>
        <v>G377</v>
      </c>
      <c r="AB380" t="str">
        <f>'Green_rooibos initial weight'!A1285</f>
        <v>R377</v>
      </c>
      <c r="AC380" t="b">
        <f t="shared" si="130"/>
        <v>0</v>
      </c>
      <c r="AD380" t="b">
        <f t="shared" si="131"/>
        <v>0</v>
      </c>
      <c r="AG380" t="str">
        <f>'WetLitterbags placem_collection'!O159</f>
        <v>G777</v>
      </c>
      <c r="AH380" t="str">
        <f>'WetLitterbags placem_collection'!Q159</f>
        <v>R35</v>
      </c>
      <c r="AI380" t="b">
        <f t="shared" si="132"/>
        <v>0</v>
      </c>
      <c r="AJ380" t="b">
        <f t="shared" si="133"/>
        <v>0</v>
      </c>
      <c r="AK380">
        <f>'WetLitterbags placem_collection'!A159</f>
        <v>157</v>
      </c>
      <c r="AL380">
        <f>'WetLitterbags placem_collection'!A159</f>
        <v>157</v>
      </c>
      <c r="AN380">
        <f>IF('Dry_Litterbag Placem_Collection'!L159=0,"",'Dry_Litterbag Placem_Collection'!L159)</f>
        <v>33</v>
      </c>
      <c r="AO380">
        <f>IF('Dry_Litterbag Placem_Collection'!M159=0,"",'Dry_Litterbag Placem_Collection'!M159)</f>
        <v>248</v>
      </c>
      <c r="AP380" t="b">
        <f t="shared" si="134"/>
        <v>0</v>
      </c>
      <c r="AQ380" t="b">
        <f t="shared" si="135"/>
        <v>0</v>
      </c>
      <c r="AZ380" s="401" t="b">
        <f t="shared" si="138"/>
        <v>0</v>
      </c>
      <c r="BA380" s="401" t="b">
        <f t="shared" si="139"/>
        <v>0</v>
      </c>
      <c r="BC380" t="str">
        <f>'Ashed teabags wet'!A378</f>
        <v>G853</v>
      </c>
      <c r="BD380" t="str">
        <f>'Ashed teabags wet'!A795</f>
        <v>R8</v>
      </c>
      <c r="BE380" t="b">
        <f t="shared" si="140"/>
        <v>0</v>
      </c>
      <c r="BF380" t="b">
        <f t="shared" si="141"/>
        <v>0</v>
      </c>
      <c r="BG380">
        <f>IFERROR('Ashed teabags wet'!C378,"")</f>
        <v>152</v>
      </c>
      <c r="BH380">
        <f>IFERROR('Ashed teabags wet'!C795,"")</f>
        <v>108</v>
      </c>
      <c r="BI380">
        <f>'Ashed teabags wet'!AB378</f>
        <v>151</v>
      </c>
      <c r="BJ380" t="str">
        <f>'Ashed teabags wet'!AC378</f>
        <v/>
      </c>
      <c r="BK380">
        <f>'Ashed teabags wet'!AD795</f>
        <v>107</v>
      </c>
      <c r="BL380" t="str">
        <f>'Ashed teabags wet'!AE795</f>
        <v/>
      </c>
      <c r="BN380" t="str">
        <f t="shared" si="142"/>
        <v>G852</v>
      </c>
      <c r="BO380" t="b">
        <f t="shared" si="143"/>
        <v>1</v>
      </c>
    </row>
    <row r="381" spans="2:68" ht="12" customHeight="1">
      <c r="B381" t="str">
        <f>TBIDry!H453</f>
        <v>G153</v>
      </c>
      <c r="C381" t="str">
        <f>TBIDry!I453</f>
        <v>R238</v>
      </c>
      <c r="D381" t="b">
        <f t="shared" si="120"/>
        <v>0</v>
      </c>
      <c r="E381" t="b">
        <f t="shared" si="121"/>
        <v>0</v>
      </c>
      <c r="G381" t="str">
        <f>TBIWet!H453</f>
        <v>G884</v>
      </c>
      <c r="H381" t="str">
        <f>TBIWet!I453</f>
        <v>R570</v>
      </c>
      <c r="I381" t="b">
        <f t="shared" si="122"/>
        <v>0</v>
      </c>
      <c r="J381" t="b">
        <f t="shared" si="123"/>
        <v>0</v>
      </c>
      <c r="L381" t="str">
        <f>'Both teabags AfterWet'!A380</f>
        <v>G856</v>
      </c>
      <c r="M381" t="str">
        <f>'Both teabags AfterWet'!A798</f>
        <v>R594</v>
      </c>
      <c r="N381" t="b">
        <f t="shared" si="124"/>
        <v>0</v>
      </c>
      <c r="O381" t="b">
        <f t="shared" si="125"/>
        <v>0</v>
      </c>
      <c r="P381">
        <f>IFERROR('Both teabags AfterWet'!B380,"")</f>
        <v>51</v>
      </c>
      <c r="Q381">
        <f>'Both teabags AfterWet'!B798</f>
        <v>120</v>
      </c>
      <c r="S381" s="401" t="b">
        <f t="shared" si="126"/>
        <v>0</v>
      </c>
      <c r="T381" s="401" t="b">
        <f t="shared" si="127"/>
        <v>0</v>
      </c>
      <c r="AA381" t="str">
        <f>'Green_rooibos initial weight'!A382</f>
        <v>G378</v>
      </c>
      <c r="AB381" t="str">
        <f>'Green_rooibos initial weight'!A1286</f>
        <v>R378</v>
      </c>
      <c r="AC381" t="b">
        <f t="shared" si="130"/>
        <v>0</v>
      </c>
      <c r="AD381" t="b">
        <f t="shared" si="131"/>
        <v>0</v>
      </c>
      <c r="AG381" t="str">
        <f>'WetLitterbags placem_collection'!O160</f>
        <v>G884</v>
      </c>
      <c r="AH381" t="str">
        <f>'WetLitterbags placem_collection'!Q160</f>
        <v>R570</v>
      </c>
      <c r="AI381" t="b">
        <f t="shared" si="132"/>
        <v>0</v>
      </c>
      <c r="AJ381" t="b">
        <f t="shared" si="133"/>
        <v>0</v>
      </c>
      <c r="AK381">
        <f>'WetLitterbags placem_collection'!A160</f>
        <v>158</v>
      </c>
      <c r="AL381">
        <f>'WetLitterbags placem_collection'!A160</f>
        <v>158</v>
      </c>
      <c r="AN381">
        <f>IF('Dry_Litterbag Placem_Collection'!L160=0,"",'Dry_Litterbag Placem_Collection'!L160)</f>
        <v>153</v>
      </c>
      <c r="AO381">
        <f>IF('Dry_Litterbag Placem_Collection'!M160=0,"",'Dry_Litterbag Placem_Collection'!M160)</f>
        <v>238</v>
      </c>
      <c r="AP381" t="b">
        <f t="shared" si="134"/>
        <v>0</v>
      </c>
      <c r="AQ381" t="b">
        <f t="shared" si="135"/>
        <v>0</v>
      </c>
      <c r="AZ381" s="401" t="b">
        <f t="shared" si="138"/>
        <v>0</v>
      </c>
      <c r="BA381" s="401" t="b">
        <f t="shared" si="139"/>
        <v>0</v>
      </c>
      <c r="BC381" t="str">
        <f>'Ashed teabags wet'!A379</f>
        <v>G856</v>
      </c>
      <c r="BD381" t="str">
        <f>'Ashed teabags wet'!A796</f>
        <v>R81</v>
      </c>
      <c r="BE381" t="b">
        <f t="shared" si="140"/>
        <v>0</v>
      </c>
      <c r="BF381" t="b">
        <f t="shared" si="141"/>
        <v>0</v>
      </c>
      <c r="BG381">
        <f>IFERROR('Ashed teabags wet'!C379,"")</f>
        <v>51</v>
      </c>
      <c r="BH381">
        <f>IFERROR('Ashed teabags wet'!C796,"")</f>
        <v>42</v>
      </c>
      <c r="BI381" t="str">
        <f>'Ashed teabags wet'!AB379</f>
        <v/>
      </c>
      <c r="BJ381">
        <f>'Ashed teabags wet'!AC379</f>
        <v>50</v>
      </c>
      <c r="BK381" t="str">
        <f>'Ashed teabags wet'!AD796</f>
        <v/>
      </c>
      <c r="BL381">
        <f>'Ashed teabags wet'!AE796</f>
        <v>41</v>
      </c>
      <c r="BN381" t="str">
        <f t="shared" si="142"/>
        <v>G853</v>
      </c>
      <c r="BO381" t="b">
        <f t="shared" si="143"/>
        <v>1</v>
      </c>
    </row>
    <row r="382" spans="2:68" ht="12" customHeight="1">
      <c r="B382" t="str">
        <f>TBIDry!H454</f>
        <v/>
      </c>
      <c r="C382" t="str">
        <f>TBIDry!I454</f>
        <v/>
      </c>
      <c r="D382" t="b">
        <f t="shared" si="120"/>
        <v>1</v>
      </c>
      <c r="E382" t="b">
        <f t="shared" si="121"/>
        <v>1</v>
      </c>
      <c r="G382" t="str">
        <f>TBIWet!H454</f>
        <v>G731</v>
      </c>
      <c r="H382" t="str">
        <f>TBIWet!I454</f>
        <v>R439</v>
      </c>
      <c r="I382" t="b">
        <f t="shared" si="122"/>
        <v>0</v>
      </c>
      <c r="J382" t="b">
        <f t="shared" si="123"/>
        <v>0</v>
      </c>
      <c r="L382" t="str">
        <f>'Both teabags AfterWet'!A381</f>
        <v>G857</v>
      </c>
      <c r="M382" t="str">
        <f>'Both teabags AfterWet'!A799</f>
        <v>R596</v>
      </c>
      <c r="N382" t="b">
        <f t="shared" si="124"/>
        <v>0</v>
      </c>
      <c r="O382" t="b">
        <f t="shared" si="125"/>
        <v>0</v>
      </c>
      <c r="P382">
        <f>IFERROR('Both teabags AfterWet'!B381,"")</f>
        <v>137</v>
      </c>
      <c r="Q382">
        <f>'Both teabags AfterWet'!B799</f>
        <v>135</v>
      </c>
      <c r="S382" s="401" t="b">
        <f t="shared" si="126"/>
        <v>0</v>
      </c>
      <c r="T382" s="401" t="b">
        <f t="shared" si="127"/>
        <v>0</v>
      </c>
      <c r="AA382" t="str">
        <f>'Green_rooibos initial weight'!A383</f>
        <v>G379</v>
      </c>
      <c r="AB382" t="str">
        <f>'Green_rooibos initial weight'!A1287</f>
        <v>R379</v>
      </c>
      <c r="AC382" t="b">
        <f t="shared" si="130"/>
        <v>0</v>
      </c>
      <c r="AD382" t="b">
        <f t="shared" si="131"/>
        <v>0</v>
      </c>
      <c r="AG382" t="str">
        <f>'WetLitterbags placem_collection'!O161</f>
        <v>G731</v>
      </c>
      <c r="AH382" t="str">
        <f>'WetLitterbags placem_collection'!Q161</f>
        <v>R439</v>
      </c>
      <c r="AI382" t="b">
        <f t="shared" si="132"/>
        <v>0</v>
      </c>
      <c r="AJ382" t="b">
        <f t="shared" si="133"/>
        <v>0</v>
      </c>
      <c r="AK382">
        <f>'WetLitterbags placem_collection'!A161</f>
        <v>159</v>
      </c>
      <c r="AL382">
        <f>'WetLitterbags placem_collection'!A161</f>
        <v>159</v>
      </c>
      <c r="AN382" t="str">
        <f>IF('Dry_Litterbag Placem_Collection'!L161=0,"",'Dry_Litterbag Placem_Collection'!L161)</f>
        <v/>
      </c>
      <c r="AO382" t="str">
        <f>IF('Dry_Litterbag Placem_Collection'!M161=0,"",'Dry_Litterbag Placem_Collection'!M161)</f>
        <v/>
      </c>
      <c r="AP382" t="b">
        <f t="shared" si="134"/>
        <v>1</v>
      </c>
      <c r="AQ382" t="b">
        <f t="shared" si="135"/>
        <v>1</v>
      </c>
      <c r="AZ382" s="401" t="b">
        <f t="shared" si="138"/>
        <v>0</v>
      </c>
      <c r="BA382" s="401" t="b">
        <f t="shared" si="139"/>
        <v>0</v>
      </c>
      <c r="BC382" t="str">
        <f>'Ashed teabags wet'!A380</f>
        <v>G857</v>
      </c>
      <c r="BD382" t="str">
        <f>'Ashed teabags wet'!A797</f>
        <v>R82</v>
      </c>
      <c r="BE382" t="b">
        <f t="shared" si="140"/>
        <v>0</v>
      </c>
      <c r="BF382" t="b">
        <f t="shared" si="141"/>
        <v>0</v>
      </c>
      <c r="BG382">
        <f>IFERROR('Ashed teabags wet'!C380,"")</f>
        <v>137</v>
      </c>
      <c r="BH382">
        <f>IFERROR('Ashed teabags wet'!C797,"")</f>
        <v>19</v>
      </c>
      <c r="BI382" t="str">
        <f>'Ashed teabags wet'!AB380</f>
        <v/>
      </c>
      <c r="BJ382">
        <f>'Ashed teabags wet'!AC380</f>
        <v>136</v>
      </c>
      <c r="BK382">
        <f>'Ashed teabags wet'!AD797</f>
        <v>18</v>
      </c>
      <c r="BL382" t="str">
        <f>'Ashed teabags wet'!AE797</f>
        <v/>
      </c>
      <c r="BN382" t="str">
        <f t="shared" si="142"/>
        <v>G856</v>
      </c>
      <c r="BO382" t="b">
        <f t="shared" si="143"/>
        <v>1</v>
      </c>
    </row>
    <row r="383" spans="2:68" ht="12" customHeight="1">
      <c r="B383" t="str">
        <f>TBIDry!H455</f>
        <v>G175</v>
      </c>
      <c r="C383" t="str">
        <f>TBIDry!I455</f>
        <v>R350</v>
      </c>
      <c r="D383" t="b">
        <f t="shared" si="120"/>
        <v>0</v>
      </c>
      <c r="E383" t="b">
        <f t="shared" si="121"/>
        <v>0</v>
      </c>
      <c r="G383" t="str">
        <f>TBIWet!H455</f>
        <v>G876</v>
      </c>
      <c r="H383" t="str">
        <f>TBIWet!I455</f>
        <v>R461</v>
      </c>
      <c r="I383" t="b">
        <f t="shared" si="122"/>
        <v>0</v>
      </c>
      <c r="J383" t="b">
        <f t="shared" si="123"/>
        <v>0</v>
      </c>
      <c r="L383" t="str">
        <f>'Both teabags AfterWet'!A382</f>
        <v>G858</v>
      </c>
      <c r="M383" t="str">
        <f>'Both teabags AfterWet'!A800</f>
        <v>R597</v>
      </c>
      <c r="N383" t="b">
        <f t="shared" si="124"/>
        <v>0</v>
      </c>
      <c r="O383" t="b">
        <f t="shared" si="125"/>
        <v>0</v>
      </c>
      <c r="P383" t="str">
        <f>IFERROR('Both teabags AfterWet'!B382,"")</f>
        <v>n.a</v>
      </c>
      <c r="Q383" t="str">
        <f>'Both teabags AfterWet'!B800</f>
        <v>n.a</v>
      </c>
      <c r="S383" s="401" t="b">
        <f t="shared" si="126"/>
        <v>0</v>
      </c>
      <c r="T383" s="401" t="b">
        <f t="shared" si="127"/>
        <v>0</v>
      </c>
      <c r="AA383" t="str">
        <f>'Green_rooibos initial weight'!A384</f>
        <v>G380</v>
      </c>
      <c r="AB383" t="str">
        <f>'Green_rooibos initial weight'!A1288</f>
        <v>R380</v>
      </c>
      <c r="AC383" t="b">
        <f t="shared" si="130"/>
        <v>0</v>
      </c>
      <c r="AD383" t="b">
        <f t="shared" si="131"/>
        <v>0</v>
      </c>
      <c r="AG383" t="str">
        <f>'WetLitterbags placem_collection'!O162</f>
        <v>G876</v>
      </c>
      <c r="AH383" t="str">
        <f>'WetLitterbags placem_collection'!Q162</f>
        <v>R461</v>
      </c>
      <c r="AI383" t="b">
        <f t="shared" si="132"/>
        <v>0</v>
      </c>
      <c r="AJ383" t="b">
        <f t="shared" si="133"/>
        <v>0</v>
      </c>
      <c r="AK383">
        <f>'WetLitterbags placem_collection'!A162</f>
        <v>160</v>
      </c>
      <c r="AL383">
        <f>'WetLitterbags placem_collection'!A162</f>
        <v>160</v>
      </c>
      <c r="AN383">
        <f>IF('Dry_Litterbag Placem_Collection'!L162=0,"",'Dry_Litterbag Placem_Collection'!L162)</f>
        <v>175</v>
      </c>
      <c r="AO383">
        <f>IF('Dry_Litterbag Placem_Collection'!M162=0,"",'Dry_Litterbag Placem_Collection'!M162)</f>
        <v>350</v>
      </c>
      <c r="AP383" t="b">
        <f t="shared" si="134"/>
        <v>0</v>
      </c>
      <c r="AQ383" t="b">
        <f t="shared" si="135"/>
        <v>0</v>
      </c>
      <c r="AZ383" s="401" t="b">
        <f t="shared" si="138"/>
        <v>0</v>
      </c>
      <c r="BA383" s="401" t="b">
        <f t="shared" si="139"/>
        <v>0</v>
      </c>
      <c r="BC383" t="str">
        <f>'Ashed teabags wet'!A381</f>
        <v>G858</v>
      </c>
      <c r="BD383" t="str">
        <f>'Ashed teabags wet'!A798</f>
        <v>R83</v>
      </c>
      <c r="BE383" t="b">
        <f t="shared" si="140"/>
        <v>0</v>
      </c>
      <c r="BF383" t="b">
        <f t="shared" si="141"/>
        <v>0</v>
      </c>
      <c r="BG383">
        <f>IFERROR('Ashed teabags wet'!C381,"")</f>
        <v>215</v>
      </c>
      <c r="BH383">
        <f>IFERROR('Ashed teabags wet'!C798,"")</f>
        <v>82</v>
      </c>
      <c r="BI383">
        <f>'Ashed teabags wet'!AB381</f>
        <v>214</v>
      </c>
      <c r="BJ383" t="str">
        <f>'Ashed teabags wet'!AC381</f>
        <v/>
      </c>
      <c r="BK383">
        <f>'Ashed teabags wet'!AD798</f>
        <v>81</v>
      </c>
      <c r="BL383" t="str">
        <f>'Ashed teabags wet'!AE798</f>
        <v/>
      </c>
      <c r="BN383" t="str">
        <f t="shared" si="142"/>
        <v>G857</v>
      </c>
      <c r="BO383" t="b">
        <f t="shared" si="143"/>
        <v>1</v>
      </c>
    </row>
    <row r="384" spans="2:68" ht="12" customHeight="1">
      <c r="B384" t="str">
        <f>TBIDry!H456</f>
        <v>G207</v>
      </c>
      <c r="C384" t="str">
        <f>TBIDry!I456</f>
        <v>R314</v>
      </c>
      <c r="D384" t="b">
        <f t="shared" si="120"/>
        <v>0</v>
      </c>
      <c r="E384" t="b">
        <f t="shared" si="121"/>
        <v>0</v>
      </c>
      <c r="G384" t="str">
        <f>TBIWet!H456</f>
        <v>G351</v>
      </c>
      <c r="H384" t="str">
        <f>TBIWet!I456</f>
        <v>R253</v>
      </c>
      <c r="I384" t="b">
        <f t="shared" si="122"/>
        <v>0</v>
      </c>
      <c r="J384" t="b">
        <f t="shared" si="123"/>
        <v>0</v>
      </c>
      <c r="L384" t="str">
        <f>'Both teabags AfterWet'!A383</f>
        <v>G859</v>
      </c>
      <c r="M384" t="str">
        <f>'Both teabags AfterWet'!A801</f>
        <v>R598</v>
      </c>
      <c r="N384" t="b">
        <f t="shared" si="124"/>
        <v>0</v>
      </c>
      <c r="O384" t="b">
        <f t="shared" si="125"/>
        <v>0</v>
      </c>
      <c r="P384">
        <f>IFERROR('Both teabags AfterWet'!B383,"")</f>
        <v>155</v>
      </c>
      <c r="Q384">
        <f>'Both teabags AfterWet'!B801</f>
        <v>156</v>
      </c>
      <c r="S384" s="401" t="b">
        <f t="shared" si="126"/>
        <v>0</v>
      </c>
      <c r="T384" s="401" t="b">
        <f t="shared" si="127"/>
        <v>0</v>
      </c>
      <c r="AA384" t="str">
        <f>'Green_rooibos initial weight'!A385</f>
        <v>G381</v>
      </c>
      <c r="AB384" t="str">
        <f>'Green_rooibos initial weight'!A1289</f>
        <v>R381</v>
      </c>
      <c r="AC384" t="b">
        <f t="shared" si="130"/>
        <v>0</v>
      </c>
      <c r="AD384" t="b">
        <f t="shared" si="131"/>
        <v>0</v>
      </c>
      <c r="AG384" t="str">
        <f>'WetLitterbags placem_collection'!O163</f>
        <v>G351</v>
      </c>
      <c r="AH384" t="str">
        <f>'WetLitterbags placem_collection'!Q163</f>
        <v>R253</v>
      </c>
      <c r="AI384" t="b">
        <f t="shared" si="132"/>
        <v>0</v>
      </c>
      <c r="AJ384" t="b">
        <f t="shared" si="133"/>
        <v>0</v>
      </c>
      <c r="AK384">
        <f>'WetLitterbags placem_collection'!A163</f>
        <v>161</v>
      </c>
      <c r="AL384">
        <f>'WetLitterbags placem_collection'!A163</f>
        <v>161</v>
      </c>
      <c r="AN384">
        <f>IF('Dry_Litterbag Placem_Collection'!L163=0,"",'Dry_Litterbag Placem_Collection'!L163)</f>
        <v>207</v>
      </c>
      <c r="AO384">
        <f>IF('Dry_Litterbag Placem_Collection'!M163=0,"",'Dry_Litterbag Placem_Collection'!M163)</f>
        <v>314</v>
      </c>
      <c r="AP384" t="b">
        <f t="shared" si="134"/>
        <v>0</v>
      </c>
      <c r="AQ384" t="b">
        <f t="shared" si="135"/>
        <v>0</v>
      </c>
      <c r="AZ384" s="401" t="b">
        <f t="shared" si="138"/>
        <v>0</v>
      </c>
      <c r="BA384" s="401" t="b">
        <f t="shared" si="139"/>
        <v>0</v>
      </c>
      <c r="BC384" t="str">
        <f>'Ashed teabags wet'!A382</f>
        <v>G859</v>
      </c>
      <c r="BD384" t="str">
        <f>'Ashed teabags wet'!A799</f>
        <v>R85</v>
      </c>
      <c r="BE384" t="b">
        <f t="shared" si="140"/>
        <v>0</v>
      </c>
      <c r="BF384" t="b">
        <f t="shared" si="141"/>
        <v>0</v>
      </c>
      <c r="BG384">
        <f>IFERROR('Ashed teabags wet'!C382,"")</f>
        <v>155</v>
      </c>
      <c r="BH384">
        <f>IFERROR('Ashed teabags wet'!C799,"")</f>
        <v>51</v>
      </c>
      <c r="BI384">
        <f>'Ashed teabags wet'!AB382</f>
        <v>154</v>
      </c>
      <c r="BJ384" t="str">
        <f>'Ashed teabags wet'!AC382</f>
        <v/>
      </c>
      <c r="BK384">
        <f>'Ashed teabags wet'!AD799</f>
        <v>50</v>
      </c>
      <c r="BL384" t="str">
        <f>'Ashed teabags wet'!AE799</f>
        <v/>
      </c>
      <c r="BN384" t="str">
        <f t="shared" si="142"/>
        <v>G858</v>
      </c>
      <c r="BO384" t="b">
        <f t="shared" si="143"/>
        <v>1</v>
      </c>
    </row>
    <row r="385" spans="2:68" ht="12" customHeight="1">
      <c r="B385" t="str">
        <f>TBIDry!H457</f>
        <v>G580</v>
      </c>
      <c r="C385" t="str">
        <f>TBIDry!I457</f>
        <v>R425</v>
      </c>
      <c r="D385" t="b">
        <f t="shared" si="120"/>
        <v>0</v>
      </c>
      <c r="E385" t="b">
        <f t="shared" si="121"/>
        <v>0</v>
      </c>
      <c r="G385" t="str">
        <f>TBIWet!H457</f>
        <v>G442</v>
      </c>
      <c r="H385" t="str">
        <f>TBIWet!I457</f>
        <v>R285</v>
      </c>
      <c r="I385" t="b">
        <f t="shared" si="122"/>
        <v>0</v>
      </c>
      <c r="J385" t="b">
        <f t="shared" si="123"/>
        <v>0</v>
      </c>
      <c r="L385" t="str">
        <f>'Both teabags AfterWet'!A384</f>
        <v>G860</v>
      </c>
      <c r="M385" t="str">
        <f>'Both teabags AfterWet'!A802</f>
        <v>R6</v>
      </c>
      <c r="N385" t="b">
        <f t="shared" si="124"/>
        <v>0</v>
      </c>
      <c r="O385" t="b">
        <f t="shared" si="125"/>
        <v>0</v>
      </c>
      <c r="P385">
        <f>IFERROR('Both teabags AfterWet'!B384,"")</f>
        <v>122</v>
      </c>
      <c r="Q385">
        <f>'Both teabags AfterWet'!B802</f>
        <v>44</v>
      </c>
      <c r="S385" s="401" t="b">
        <f t="shared" si="126"/>
        <v>0</v>
      </c>
      <c r="T385" s="401" t="b">
        <f t="shared" si="127"/>
        <v>0</v>
      </c>
      <c r="AA385" t="str">
        <f>'Green_rooibos initial weight'!A386</f>
        <v>G382</v>
      </c>
      <c r="AB385" t="str">
        <f>'Green_rooibos initial weight'!A1290</f>
        <v>R382</v>
      </c>
      <c r="AC385" t="b">
        <f t="shared" si="130"/>
        <v>0</v>
      </c>
      <c r="AD385" t="b">
        <f t="shared" si="131"/>
        <v>0</v>
      </c>
      <c r="AG385" t="str">
        <f>'WetLitterbags placem_collection'!O164</f>
        <v>G442</v>
      </c>
      <c r="AH385" t="str">
        <f>'WetLitterbags placem_collection'!Q164</f>
        <v>R285</v>
      </c>
      <c r="AI385" t="b">
        <f t="shared" si="132"/>
        <v>0</v>
      </c>
      <c r="AJ385" t="b">
        <f t="shared" si="133"/>
        <v>0</v>
      </c>
      <c r="AK385">
        <f>'WetLitterbags placem_collection'!A164</f>
        <v>162</v>
      </c>
      <c r="AL385">
        <f>'WetLitterbags placem_collection'!A164</f>
        <v>162</v>
      </c>
      <c r="AN385">
        <f>IF('Dry_Litterbag Placem_Collection'!L164=0,"",'Dry_Litterbag Placem_Collection'!L164)</f>
        <v>580</v>
      </c>
      <c r="AO385">
        <f>IF('Dry_Litterbag Placem_Collection'!M164=0,"",'Dry_Litterbag Placem_Collection'!M164)</f>
        <v>425</v>
      </c>
      <c r="AP385" t="b">
        <f t="shared" si="134"/>
        <v>0</v>
      </c>
      <c r="AQ385" t="b">
        <f t="shared" si="135"/>
        <v>0</v>
      </c>
      <c r="AZ385" s="401" t="b">
        <f t="shared" si="138"/>
        <v>0</v>
      </c>
      <c r="BA385" s="401" t="b">
        <f t="shared" si="139"/>
        <v>0</v>
      </c>
      <c r="BC385" t="str">
        <f>'Ashed teabags wet'!A383</f>
        <v>G860</v>
      </c>
      <c r="BD385" t="str">
        <f>'Ashed teabags wet'!A800</f>
        <v>R87</v>
      </c>
      <c r="BE385" t="b">
        <f t="shared" si="140"/>
        <v>0</v>
      </c>
      <c r="BF385" t="b">
        <f t="shared" si="141"/>
        <v>0</v>
      </c>
      <c r="BG385">
        <f>IFERROR('Ashed teabags wet'!C383,"")</f>
        <v>122</v>
      </c>
      <c r="BH385">
        <f>IFERROR('Ashed teabags wet'!C800,"")</f>
        <v>38</v>
      </c>
      <c r="BI385">
        <f>'Ashed teabags wet'!AB383</f>
        <v>121</v>
      </c>
      <c r="BJ385" t="str">
        <f>'Ashed teabags wet'!AC383</f>
        <v/>
      </c>
      <c r="BK385">
        <f>'Ashed teabags wet'!AD800</f>
        <v>37</v>
      </c>
      <c r="BL385" t="str">
        <f>'Ashed teabags wet'!AE800</f>
        <v/>
      </c>
      <c r="BN385" t="str">
        <f t="shared" si="142"/>
        <v>G859</v>
      </c>
      <c r="BO385" t="b">
        <f t="shared" si="143"/>
        <v>1</v>
      </c>
    </row>
    <row r="386" spans="2:68" ht="12" customHeight="1">
      <c r="B386" t="str">
        <f>TBIDry!H458</f>
        <v>G722</v>
      </c>
      <c r="C386" t="str">
        <f>TBIDry!I458</f>
        <v>R267</v>
      </c>
      <c r="D386" t="b">
        <f t="shared" si="120"/>
        <v>0</v>
      </c>
      <c r="E386" t="b">
        <f t="shared" si="121"/>
        <v>0</v>
      </c>
      <c r="G386" t="str">
        <f>TBIWet!H458</f>
        <v>G743</v>
      </c>
      <c r="H386" t="str">
        <f>TBIWet!I458</f>
        <v>R341</v>
      </c>
      <c r="I386" t="b">
        <f t="shared" si="122"/>
        <v>0</v>
      </c>
      <c r="J386" t="b">
        <f t="shared" si="123"/>
        <v>0</v>
      </c>
      <c r="L386" t="str">
        <f>'Both teabags AfterWet'!A385</f>
        <v>G861</v>
      </c>
      <c r="M386" t="str">
        <f>'Both teabags AfterWet'!A803</f>
        <v>R60</v>
      </c>
      <c r="N386" t="b">
        <f t="shared" si="124"/>
        <v>0</v>
      </c>
      <c r="O386" t="b">
        <f t="shared" si="125"/>
        <v>0</v>
      </c>
      <c r="P386">
        <f>IFERROR('Both teabags AfterWet'!B385,"")</f>
        <v>105</v>
      </c>
      <c r="Q386">
        <f>'Both teabags AfterWet'!B803</f>
        <v>56</v>
      </c>
      <c r="S386" s="401" t="b">
        <f t="shared" si="126"/>
        <v>0</v>
      </c>
      <c r="T386" s="401" t="b">
        <f t="shared" si="127"/>
        <v>0</v>
      </c>
      <c r="AA386" t="str">
        <f>'Green_rooibos initial weight'!A387</f>
        <v>G383</v>
      </c>
      <c r="AB386" t="str">
        <f>'Green_rooibos initial weight'!A1291</f>
        <v>R383</v>
      </c>
      <c r="AC386" t="b">
        <f t="shared" si="130"/>
        <v>0</v>
      </c>
      <c r="AD386" t="b">
        <f t="shared" si="131"/>
        <v>0</v>
      </c>
      <c r="AG386" t="str">
        <f>'WetLitterbags placem_collection'!O165</f>
        <v>G743</v>
      </c>
      <c r="AH386" t="str">
        <f>'WetLitterbags placem_collection'!Q165</f>
        <v>R341</v>
      </c>
      <c r="AI386" t="b">
        <f t="shared" si="132"/>
        <v>0</v>
      </c>
      <c r="AJ386" t="b">
        <f t="shared" si="133"/>
        <v>0</v>
      </c>
      <c r="AK386">
        <f>'WetLitterbags placem_collection'!A165</f>
        <v>163</v>
      </c>
      <c r="AL386">
        <f>'WetLitterbags placem_collection'!A165</f>
        <v>163</v>
      </c>
      <c r="AN386">
        <f>IF('Dry_Litterbag Placem_Collection'!L165=0,"",'Dry_Litterbag Placem_Collection'!L165)</f>
        <v>722</v>
      </c>
      <c r="AO386">
        <f>IF('Dry_Litterbag Placem_Collection'!M165=0,"",'Dry_Litterbag Placem_Collection'!M165)</f>
        <v>267</v>
      </c>
      <c r="AP386" t="b">
        <f t="shared" si="134"/>
        <v>0</v>
      </c>
      <c r="AQ386" t="b">
        <f t="shared" si="135"/>
        <v>0</v>
      </c>
      <c r="AZ386" s="401" t="b">
        <f t="shared" si="138"/>
        <v>0</v>
      </c>
      <c r="BA386" s="401" t="b">
        <f t="shared" si="139"/>
        <v>0</v>
      </c>
      <c r="BC386" t="str">
        <f>'Ashed teabags wet'!A384</f>
        <v>G861</v>
      </c>
      <c r="BD386" t="str">
        <f>'Ashed teabags wet'!A801</f>
        <v>R88</v>
      </c>
      <c r="BE386" t="b">
        <f t="shared" si="140"/>
        <v>0</v>
      </c>
      <c r="BF386" t="b">
        <f t="shared" si="141"/>
        <v>0</v>
      </c>
      <c r="BG386">
        <f>IFERROR('Ashed teabags wet'!C384,"")</f>
        <v>105</v>
      </c>
      <c r="BH386">
        <f>IFERROR('Ashed teabags wet'!C801,"")</f>
        <v>213</v>
      </c>
      <c r="BI386" t="str">
        <f>'Ashed teabags wet'!AB384</f>
        <v/>
      </c>
      <c r="BJ386">
        <f>'Ashed teabags wet'!AC384</f>
        <v>104</v>
      </c>
      <c r="BK386">
        <f>'Ashed teabags wet'!AD801</f>
        <v>212</v>
      </c>
      <c r="BL386" t="str">
        <f>'Ashed teabags wet'!AE801</f>
        <v/>
      </c>
      <c r="BN386" t="str">
        <f t="shared" si="142"/>
        <v>G860</v>
      </c>
      <c r="BO386" t="b">
        <f t="shared" si="143"/>
        <v>1</v>
      </c>
    </row>
    <row r="387" spans="2:68" ht="12" customHeight="1">
      <c r="B387" t="str">
        <f>TBIDry!H459</f>
        <v>G239</v>
      </c>
      <c r="C387" t="str">
        <f>TBIDry!I459</f>
        <v>R211</v>
      </c>
      <c r="D387" t="b">
        <f t="shared" si="120"/>
        <v>0</v>
      </c>
      <c r="E387" t="b">
        <f t="shared" si="121"/>
        <v>0</v>
      </c>
      <c r="G387" t="str">
        <f>TBIWet!H459</f>
        <v>G390</v>
      </c>
      <c r="H387" t="str">
        <f>TBIWet!I459</f>
        <v>R264</v>
      </c>
      <c r="I387" t="b">
        <f t="shared" si="122"/>
        <v>0</v>
      </c>
      <c r="J387" t="b">
        <f t="shared" si="123"/>
        <v>0</v>
      </c>
      <c r="L387" s="113" t="str">
        <f>'Both teabags AfterWet'!A386</f>
        <v>G862</v>
      </c>
      <c r="M387" t="str">
        <f>'Both teabags AfterWet'!A804</f>
        <v>R600</v>
      </c>
      <c r="N387" t="b">
        <f t="shared" si="124"/>
        <v>0</v>
      </c>
      <c r="O387" t="b">
        <f t="shared" si="125"/>
        <v>0</v>
      </c>
      <c r="P387">
        <f>IFERROR('Both teabags AfterWet'!B386,"")</f>
        <v>124</v>
      </c>
      <c r="Q387">
        <f>'Both teabags AfterWet'!B804</f>
        <v>134</v>
      </c>
      <c r="S387" s="113" t="b">
        <f t="shared" si="126"/>
        <v>1</v>
      </c>
      <c r="T387" s="401" t="b">
        <f t="shared" si="127"/>
        <v>0</v>
      </c>
      <c r="AA387" t="str">
        <f>'Green_rooibos initial weight'!A388</f>
        <v>G384</v>
      </c>
      <c r="AB387" t="str">
        <f>'Green_rooibos initial weight'!A1292</f>
        <v>R384</v>
      </c>
      <c r="AC387" t="b">
        <f t="shared" si="130"/>
        <v>0</v>
      </c>
      <c r="AD387" t="b">
        <f t="shared" si="131"/>
        <v>0</v>
      </c>
      <c r="AG387" t="str">
        <f>'WetLitterbags placem_collection'!O166</f>
        <v>G390</v>
      </c>
      <c r="AH387" t="str">
        <f>'WetLitterbags placem_collection'!Q166</f>
        <v>R264</v>
      </c>
      <c r="AI387" t="b">
        <f t="shared" si="132"/>
        <v>0</v>
      </c>
      <c r="AJ387" t="b">
        <f t="shared" si="133"/>
        <v>0</v>
      </c>
      <c r="AK387">
        <f>'WetLitterbags placem_collection'!A166</f>
        <v>164</v>
      </c>
      <c r="AL387">
        <f>'WetLitterbags placem_collection'!A166</f>
        <v>164</v>
      </c>
      <c r="AN387">
        <f>IF('Dry_Litterbag Placem_Collection'!L166=0,"",'Dry_Litterbag Placem_Collection'!L166)</f>
        <v>239</v>
      </c>
      <c r="AO387">
        <f>IF('Dry_Litterbag Placem_Collection'!M166=0,"",'Dry_Litterbag Placem_Collection'!M166)</f>
        <v>211</v>
      </c>
      <c r="AP387" t="b">
        <f t="shared" si="134"/>
        <v>0</v>
      </c>
      <c r="AQ387" t="b">
        <f t="shared" si="135"/>
        <v>0</v>
      </c>
      <c r="AZ387" s="401" t="b">
        <f t="shared" si="138"/>
        <v>0</v>
      </c>
      <c r="BA387" s="401" t="b">
        <f t="shared" si="139"/>
        <v>0</v>
      </c>
      <c r="BC387" t="str">
        <f>'Ashed teabags wet'!A385</f>
        <v>G863</v>
      </c>
      <c r="BD387" t="str">
        <f>'Ashed teabags wet'!A802</f>
        <v>R89</v>
      </c>
      <c r="BE387" t="b">
        <f t="shared" si="140"/>
        <v>0</v>
      </c>
      <c r="BF387" t="b">
        <f t="shared" si="141"/>
        <v>0</v>
      </c>
      <c r="BG387">
        <f>IFERROR('Ashed teabags wet'!C385,"")</f>
        <v>193</v>
      </c>
      <c r="BH387">
        <f>IFERROR('Ashed teabags wet'!C802,"")</f>
        <v>37</v>
      </c>
      <c r="BI387">
        <f>'Ashed teabags wet'!AB385</f>
        <v>192</v>
      </c>
      <c r="BJ387" t="str">
        <f>'Ashed teabags wet'!AC385</f>
        <v/>
      </c>
      <c r="BK387" t="str">
        <f>'Ashed teabags wet'!AD802</f>
        <v/>
      </c>
      <c r="BL387">
        <f>'Ashed teabags wet'!AE802</f>
        <v>36</v>
      </c>
      <c r="BN387" t="str">
        <f t="shared" si="142"/>
        <v>G861</v>
      </c>
      <c r="BO387" t="b">
        <f t="shared" si="143"/>
        <v>1</v>
      </c>
    </row>
    <row r="388" spans="2:68" ht="12" customHeight="1">
      <c r="B388" t="str">
        <f>TBIDry!H460</f>
        <v>G343</v>
      </c>
      <c r="C388" t="str">
        <f>TBIDry!I460</f>
        <v>R310</v>
      </c>
      <c r="D388" t="b">
        <f t="shared" si="120"/>
        <v>0</v>
      </c>
      <c r="E388" t="b">
        <f t="shared" si="121"/>
        <v>0</v>
      </c>
      <c r="G388" t="str">
        <f>TBIWet!H460</f>
        <v>G810</v>
      </c>
      <c r="H388" t="str">
        <f>TBIWet!I460</f>
        <v>R411</v>
      </c>
      <c r="I388" t="b">
        <f t="shared" si="122"/>
        <v>0</v>
      </c>
      <c r="J388" t="b">
        <f t="shared" si="123"/>
        <v>0</v>
      </c>
      <c r="L388" t="str">
        <f>'Both teabags AfterWet'!A387</f>
        <v>G863</v>
      </c>
      <c r="M388" t="str">
        <f>'Both teabags AfterWet'!A805</f>
        <v>R601</v>
      </c>
      <c r="N388" t="b">
        <f t="shared" si="124"/>
        <v>0</v>
      </c>
      <c r="O388" t="b">
        <f t="shared" si="125"/>
        <v>0</v>
      </c>
      <c r="P388" t="str">
        <f>IFERROR('Both teabags AfterWet'!B387,"")</f>
        <v>n.a</v>
      </c>
      <c r="Q388">
        <f>'Both teabags AfterWet'!B805</f>
        <v>114</v>
      </c>
      <c r="S388" s="401" t="b">
        <f t="shared" si="126"/>
        <v>0</v>
      </c>
      <c r="T388" s="401" t="b">
        <f t="shared" si="127"/>
        <v>0</v>
      </c>
      <c r="AA388" t="str">
        <f>'Green_rooibos initial weight'!A389</f>
        <v>G385</v>
      </c>
      <c r="AB388" t="str">
        <f>'Green_rooibos initial weight'!A1293</f>
        <v>R385</v>
      </c>
      <c r="AC388" t="b">
        <f t="shared" si="130"/>
        <v>0</v>
      </c>
      <c r="AD388" t="b">
        <f t="shared" si="131"/>
        <v>0</v>
      </c>
      <c r="AG388" t="str">
        <f>'WetLitterbags placem_collection'!O167</f>
        <v>G810</v>
      </c>
      <c r="AH388" t="str">
        <f>'WetLitterbags placem_collection'!Q167</f>
        <v>R411</v>
      </c>
      <c r="AI388" t="b">
        <f t="shared" si="132"/>
        <v>0</v>
      </c>
      <c r="AJ388" t="b">
        <f t="shared" si="133"/>
        <v>0</v>
      </c>
      <c r="AK388">
        <f>'WetLitterbags placem_collection'!A167</f>
        <v>165</v>
      </c>
      <c r="AL388">
        <f>'WetLitterbags placem_collection'!A167</f>
        <v>165</v>
      </c>
      <c r="AN388">
        <f>IF('Dry_Litterbag Placem_Collection'!L167=0,"",'Dry_Litterbag Placem_Collection'!L167)</f>
        <v>343</v>
      </c>
      <c r="AO388">
        <f>IF('Dry_Litterbag Placem_Collection'!M167=0,"",'Dry_Litterbag Placem_Collection'!M167)</f>
        <v>310</v>
      </c>
      <c r="AP388" t="b">
        <f t="shared" si="134"/>
        <v>0</v>
      </c>
      <c r="AQ388" t="b">
        <f t="shared" si="135"/>
        <v>0</v>
      </c>
      <c r="AZ388" s="401" t="b">
        <f t="shared" si="138"/>
        <v>0</v>
      </c>
      <c r="BA388" s="401" t="b">
        <f t="shared" si="139"/>
        <v>0</v>
      </c>
      <c r="BC388" t="str">
        <f>'Ashed teabags wet'!A386</f>
        <v>G864</v>
      </c>
      <c r="BD388" t="str">
        <f>'Ashed teabags wet'!A803</f>
        <v>R9</v>
      </c>
      <c r="BE388" t="b">
        <f t="shared" si="140"/>
        <v>0</v>
      </c>
      <c r="BF388" t="b">
        <f t="shared" si="141"/>
        <v>0</v>
      </c>
      <c r="BG388">
        <f>IFERROR('Ashed teabags wet'!C386,"")</f>
        <v>25</v>
      </c>
      <c r="BH388">
        <f>IFERROR('Ashed teabags wet'!C803,"")</f>
        <v>68</v>
      </c>
      <c r="BI388" t="str">
        <f>'Ashed teabags wet'!AB386</f>
        <v/>
      </c>
      <c r="BJ388">
        <f>'Ashed teabags wet'!AC386</f>
        <v>24</v>
      </c>
      <c r="BK388" t="str">
        <f>'Ashed teabags wet'!AD803</f>
        <v/>
      </c>
      <c r="BL388">
        <f>'Ashed teabags wet'!AE803</f>
        <v>67</v>
      </c>
      <c r="BN388" t="str">
        <f t="shared" si="142"/>
        <v>G863</v>
      </c>
      <c r="BO388" t="b">
        <f t="shared" si="143"/>
        <v>1</v>
      </c>
      <c r="BP388" s="402"/>
    </row>
    <row r="389" spans="2:68" ht="12" customHeight="1">
      <c r="B389" t="str">
        <f>TBIDry!H461</f>
        <v>G409</v>
      </c>
      <c r="C389" t="str">
        <f>TBIDry!I461</f>
        <v>R269</v>
      </c>
      <c r="D389" t="b">
        <f t="shared" ref="D389:D452" si="144">COUNTIF($B$4:$B$2000, B389)&gt;1</f>
        <v>0</v>
      </c>
      <c r="E389" t="b">
        <f t="shared" ref="E389:E452" si="145">COUNTIF($C$4:$C$2000, C389)&gt;1</f>
        <v>0</v>
      </c>
      <c r="G389" t="str">
        <f>TBIWet!H461</f>
        <v>G287</v>
      </c>
      <c r="H389" t="str">
        <f>TBIWet!I461</f>
        <v>R259</v>
      </c>
      <c r="I389" t="b">
        <f t="shared" ref="I389:I452" si="146">COUNTIF($G$4:$G$2000, G389)&gt;1</f>
        <v>0</v>
      </c>
      <c r="J389" t="b">
        <f t="shared" ref="J389:J452" si="147">COUNTIF($H$4:$H$2000, H389)&gt;1</f>
        <v>0</v>
      </c>
      <c r="L389" t="str">
        <f>'Both teabags AfterWet'!A388</f>
        <v>G864</v>
      </c>
      <c r="M389" s="113" t="str">
        <f>'Both teabags AfterWet'!A806</f>
        <v>R608</v>
      </c>
      <c r="N389" t="b">
        <f t="shared" ref="N389:N427" si="148">COUNTIF($L$4:$L$2000, L389)&gt;1</f>
        <v>0</v>
      </c>
      <c r="O389" t="b">
        <f t="shared" ref="O389:O427" si="149">COUNTIF($M$4:$M$2000, M389)&gt;1</f>
        <v>0</v>
      </c>
      <c r="P389" t="str">
        <f>IFERROR('Both teabags AfterWet'!B388,"")</f>
        <v>n.a</v>
      </c>
      <c r="Q389">
        <f>'Both teabags AfterWet'!B806</f>
        <v>186</v>
      </c>
      <c r="S389" s="401" t="b">
        <f t="shared" ref="S389:S452" si="150">COUNTIF($V$4:$V$2000, L389)=1</f>
        <v>0</v>
      </c>
      <c r="T389" s="113" t="b">
        <f t="shared" ref="T389:T452" si="151">COUNTIF($W$4:$W$2000, M389)=1</f>
        <v>1</v>
      </c>
      <c r="AA389" t="str">
        <f>'Green_rooibos initial weight'!A390</f>
        <v>G386</v>
      </c>
      <c r="AB389" t="str">
        <f>'Green_rooibos initial weight'!A1294</f>
        <v>R386</v>
      </c>
      <c r="AC389" t="b">
        <f t="shared" ref="AC389:AC452" si="152">COUNTIF($AA$4:$AA$2000, AA389)&gt;1</f>
        <v>0</v>
      </c>
      <c r="AD389" t="b">
        <f t="shared" ref="AD389:AD452" si="153">COUNTIF($AB$4:$AB$2000, AB389)&gt;1</f>
        <v>0</v>
      </c>
      <c r="AG389" t="str">
        <f>'WetLitterbags placem_collection'!O168</f>
        <v>G287</v>
      </c>
      <c r="AH389" t="str">
        <f>'WetLitterbags placem_collection'!Q168</f>
        <v>R259</v>
      </c>
      <c r="AI389" t="b">
        <f t="shared" ref="AI389:AI448" si="154">COUNTIF($AG$4:$AG$2000, AG389)&gt;1</f>
        <v>0</v>
      </c>
      <c r="AJ389" t="b">
        <f t="shared" ref="AJ389:AJ448" si="155">COUNTIF($AH$4:$AH$2000, AH389)&gt;1</f>
        <v>0</v>
      </c>
      <c r="AK389">
        <f>'WetLitterbags placem_collection'!A168</f>
        <v>166</v>
      </c>
      <c r="AL389">
        <f>'WetLitterbags placem_collection'!A168</f>
        <v>166</v>
      </c>
      <c r="AN389">
        <f>IF('Dry_Litterbag Placem_Collection'!L168=0,"",'Dry_Litterbag Placem_Collection'!L168)</f>
        <v>409</v>
      </c>
      <c r="AO389">
        <f>IF('Dry_Litterbag Placem_Collection'!M168=0,"",'Dry_Litterbag Placem_Collection'!M168)</f>
        <v>269</v>
      </c>
      <c r="AP389" t="b">
        <f t="shared" ref="AP389:AP447" si="156">COUNTIF($AN$4:$AN$2000, AN389)&gt;1</f>
        <v>0</v>
      </c>
      <c r="AQ389" t="b">
        <f t="shared" ref="AQ389:AQ447" si="157">COUNTIF($AO$4:$AO$2000, AO389)&gt;1</f>
        <v>0</v>
      </c>
      <c r="AZ389" s="401" t="b">
        <f t="shared" ref="AZ389:AZ452" si="158">COUNTIF($BC$4:$BC$2000, AT389)=1</f>
        <v>0</v>
      </c>
      <c r="BA389" s="401" t="b">
        <f t="shared" ref="BA389:BA452" si="159">COUNTIF($BD$4:$BD$2000, AU389)=1</f>
        <v>0</v>
      </c>
      <c r="BC389" t="str">
        <f>'Ashed teabags wet'!A387</f>
        <v>G865</v>
      </c>
      <c r="BD389" t="str">
        <f>'Ashed teabags wet'!A804</f>
        <v>R91</v>
      </c>
      <c r="BE389" t="b">
        <f t="shared" ref="BE389:BE420" si="160">COUNTIF($BC$4:$BC$2000, BC389)&gt;1</f>
        <v>0</v>
      </c>
      <c r="BF389" t="b">
        <f t="shared" ref="BF389:BF420" si="161">COUNTIF($BD$4:$BD$2000, BD389)&gt;1</f>
        <v>0</v>
      </c>
      <c r="BG389">
        <f>IFERROR('Ashed teabags wet'!C387,"")</f>
        <v>173</v>
      </c>
      <c r="BH389">
        <f>IFERROR('Ashed teabags wet'!C804,"")</f>
        <v>10</v>
      </c>
      <c r="BI389" t="str">
        <f>'Ashed teabags wet'!AB387</f>
        <v/>
      </c>
      <c r="BJ389">
        <f>'Ashed teabags wet'!AC387</f>
        <v>172</v>
      </c>
      <c r="BK389">
        <f>'Ashed teabags wet'!AD804</f>
        <v>9</v>
      </c>
      <c r="BL389" t="str">
        <f>'Ashed teabags wet'!AE804</f>
        <v/>
      </c>
      <c r="BN389" t="str">
        <f t="shared" ref="BN389:BN421" si="162">BC388</f>
        <v>G864</v>
      </c>
      <c r="BO389" t="b">
        <f t="shared" si="143"/>
        <v>1</v>
      </c>
    </row>
    <row r="390" spans="2:68" ht="12" customHeight="1">
      <c r="B390" t="str">
        <f>TBIDry!H462</f>
        <v/>
      </c>
      <c r="C390" t="str">
        <f>TBIDry!I462</f>
        <v/>
      </c>
      <c r="D390" t="b">
        <f t="shared" si="144"/>
        <v>1</v>
      </c>
      <c r="E390" t="b">
        <f t="shared" si="145"/>
        <v>1</v>
      </c>
      <c r="G390" t="str">
        <f>TBIWet!H462</f>
        <v>G443</v>
      </c>
      <c r="H390" t="str">
        <f>TBIWet!I462</f>
        <v>R215</v>
      </c>
      <c r="I390" t="b">
        <f t="shared" si="146"/>
        <v>0</v>
      </c>
      <c r="J390" t="b">
        <f t="shared" si="147"/>
        <v>0</v>
      </c>
      <c r="L390" t="str">
        <f>'Both teabags AfterWet'!A389</f>
        <v>G865</v>
      </c>
      <c r="M390" s="113" t="str">
        <f>'Both teabags AfterWet'!A807</f>
        <v>R615</v>
      </c>
      <c r="N390" t="b">
        <f t="shared" si="148"/>
        <v>0</v>
      </c>
      <c r="O390" t="b">
        <f t="shared" si="149"/>
        <v>0</v>
      </c>
      <c r="P390">
        <f>IFERROR('Both teabags AfterWet'!B389,"")</f>
        <v>173</v>
      </c>
      <c r="Q390">
        <f>'Both teabags AfterWet'!B807</f>
        <v>104</v>
      </c>
      <c r="S390" s="401" t="b">
        <f t="shared" si="150"/>
        <v>0</v>
      </c>
      <c r="T390" s="113" t="b">
        <f t="shared" si="151"/>
        <v>1</v>
      </c>
      <c r="AA390" t="str">
        <f>'Green_rooibos initial weight'!A391</f>
        <v>G387</v>
      </c>
      <c r="AB390" t="str">
        <f>'Green_rooibos initial weight'!A1295</f>
        <v>R387</v>
      </c>
      <c r="AC390" t="b">
        <f t="shared" si="152"/>
        <v>0</v>
      </c>
      <c r="AD390" t="b">
        <f t="shared" si="153"/>
        <v>0</v>
      </c>
      <c r="AG390" t="str">
        <f>'WetLitterbags placem_collection'!O169</f>
        <v>G443</v>
      </c>
      <c r="AH390" t="str">
        <f>'WetLitterbags placem_collection'!Q169</f>
        <v>R215</v>
      </c>
      <c r="AI390" t="b">
        <f t="shared" si="154"/>
        <v>0</v>
      </c>
      <c r="AJ390" t="b">
        <f t="shared" si="155"/>
        <v>0</v>
      </c>
      <c r="AK390">
        <f>'WetLitterbags placem_collection'!A169</f>
        <v>167</v>
      </c>
      <c r="AL390">
        <f>'WetLitterbags placem_collection'!A169</f>
        <v>167</v>
      </c>
      <c r="AN390" t="str">
        <f>IF('Dry_Litterbag Placem_Collection'!L169=0,"",'Dry_Litterbag Placem_Collection'!L169)</f>
        <v/>
      </c>
      <c r="AO390" t="str">
        <f>IF('Dry_Litterbag Placem_Collection'!M169=0,"",'Dry_Litterbag Placem_Collection'!M169)</f>
        <v/>
      </c>
      <c r="AP390" t="b">
        <f t="shared" si="156"/>
        <v>1</v>
      </c>
      <c r="AQ390" t="b">
        <f t="shared" si="157"/>
        <v>1</v>
      </c>
      <c r="AZ390" s="401" t="b">
        <f t="shared" si="158"/>
        <v>0</v>
      </c>
      <c r="BA390" s="401" t="b">
        <f t="shared" si="159"/>
        <v>0</v>
      </c>
      <c r="BC390" t="str">
        <f>'Ashed teabags wet'!A388</f>
        <v>G867</v>
      </c>
      <c r="BD390" t="str">
        <f>'Ashed teabags wet'!A805</f>
        <v>R92</v>
      </c>
      <c r="BE390" t="b">
        <f t="shared" si="160"/>
        <v>0</v>
      </c>
      <c r="BF390" t="b">
        <f t="shared" si="161"/>
        <v>0</v>
      </c>
      <c r="BG390">
        <f>IFERROR('Ashed teabags wet'!C388,"")</f>
        <v>124</v>
      </c>
      <c r="BH390">
        <f>IFERROR('Ashed teabags wet'!C805,"")</f>
        <v>205</v>
      </c>
      <c r="BI390">
        <f>'Ashed teabags wet'!AB388</f>
        <v>123</v>
      </c>
      <c r="BJ390" t="str">
        <f>'Ashed teabags wet'!AC388</f>
        <v/>
      </c>
      <c r="BK390" t="str">
        <f>'Ashed teabags wet'!AD805</f>
        <v/>
      </c>
      <c r="BL390">
        <f>'Ashed teabags wet'!AE805</f>
        <v>204</v>
      </c>
      <c r="BN390" t="str">
        <f t="shared" si="162"/>
        <v>G865</v>
      </c>
      <c r="BO390" t="b">
        <f t="shared" ref="BO390:BO422" si="163">COUNTIF($BN$5:$BN$2000, BN390)&gt;1</f>
        <v>1</v>
      </c>
    </row>
    <row r="391" spans="2:68" ht="12" customHeight="1">
      <c r="B391" t="str">
        <f>TBIDry!H463</f>
        <v>G304</v>
      </c>
      <c r="C391" t="str">
        <f>TBIDry!I463</f>
        <v>R413</v>
      </c>
      <c r="D391" t="b">
        <f t="shared" si="144"/>
        <v>0</v>
      </c>
      <c r="E391" t="b">
        <f t="shared" si="145"/>
        <v>0</v>
      </c>
      <c r="G391" t="str">
        <f>TBIWet!H463</f>
        <v>G680</v>
      </c>
      <c r="H391" t="str">
        <f>TBIWet!I463</f>
        <v>R322</v>
      </c>
      <c r="I391" t="b">
        <f t="shared" si="146"/>
        <v>0</v>
      </c>
      <c r="J391" t="b">
        <f t="shared" si="147"/>
        <v>0</v>
      </c>
      <c r="L391" t="str">
        <f>'Both teabags AfterWet'!A390</f>
        <v>G869</v>
      </c>
      <c r="M391" t="str">
        <f>'Both teabags AfterWet'!A808</f>
        <v>R62</v>
      </c>
      <c r="N391" t="b">
        <f t="shared" si="148"/>
        <v>0</v>
      </c>
      <c r="O391" t="b">
        <f t="shared" si="149"/>
        <v>0</v>
      </c>
      <c r="P391">
        <f>IFERROR('Both teabags AfterWet'!B390,"")</f>
        <v>103</v>
      </c>
      <c r="Q391">
        <f>'Both teabags AfterWet'!B808</f>
        <v>86</v>
      </c>
      <c r="S391" s="401" t="b">
        <f t="shared" si="150"/>
        <v>0</v>
      </c>
      <c r="T391" s="401" t="b">
        <f t="shared" si="151"/>
        <v>0</v>
      </c>
      <c r="AA391" t="str">
        <f>'Green_rooibos initial weight'!A392</f>
        <v>G388</v>
      </c>
      <c r="AB391" t="str">
        <f>'Green_rooibos initial weight'!A1296</f>
        <v>R388</v>
      </c>
      <c r="AC391" t="b">
        <f t="shared" si="152"/>
        <v>0</v>
      </c>
      <c r="AD391" t="b">
        <f t="shared" si="153"/>
        <v>0</v>
      </c>
      <c r="AG391" t="str">
        <f>'WetLitterbags placem_collection'!O170</f>
        <v>G680</v>
      </c>
      <c r="AH391" t="str">
        <f>'WetLitterbags placem_collection'!Q170</f>
        <v>R322</v>
      </c>
      <c r="AI391" t="b">
        <f t="shared" si="154"/>
        <v>0</v>
      </c>
      <c r="AJ391" t="b">
        <f t="shared" si="155"/>
        <v>0</v>
      </c>
      <c r="AK391">
        <f>'WetLitterbags placem_collection'!A170</f>
        <v>168</v>
      </c>
      <c r="AL391">
        <f>'WetLitterbags placem_collection'!A170</f>
        <v>168</v>
      </c>
      <c r="AN391">
        <f>IF('Dry_Litterbag Placem_Collection'!L170=0,"",'Dry_Litterbag Placem_Collection'!L170)</f>
        <v>304</v>
      </c>
      <c r="AO391">
        <f>IF('Dry_Litterbag Placem_Collection'!M170=0,"",'Dry_Litterbag Placem_Collection'!M170)</f>
        <v>413</v>
      </c>
      <c r="AP391" t="b">
        <f t="shared" si="156"/>
        <v>0</v>
      </c>
      <c r="AQ391" t="b">
        <f t="shared" si="157"/>
        <v>0</v>
      </c>
      <c r="AZ391" s="401" t="b">
        <f t="shared" si="158"/>
        <v>0</v>
      </c>
      <c r="BA391" s="401" t="b">
        <f t="shared" si="159"/>
        <v>0</v>
      </c>
      <c r="BC391" t="str">
        <f>'Ashed teabags wet'!A389</f>
        <v>G869</v>
      </c>
      <c r="BD391" t="str">
        <f>'Ashed teabags wet'!A806</f>
        <v>R93</v>
      </c>
      <c r="BE391" t="b">
        <f t="shared" si="160"/>
        <v>0</v>
      </c>
      <c r="BF391" t="b">
        <f t="shared" si="161"/>
        <v>0</v>
      </c>
      <c r="BG391">
        <f>IFERROR('Ashed teabags wet'!C389,"")</f>
        <v>103</v>
      </c>
      <c r="BH391">
        <f>IFERROR('Ashed teabags wet'!C806,"")</f>
        <v>212</v>
      </c>
      <c r="BI391">
        <f>'Ashed teabags wet'!AB389</f>
        <v>102</v>
      </c>
      <c r="BJ391" t="str">
        <f>'Ashed teabags wet'!AC389</f>
        <v/>
      </c>
      <c r="BK391">
        <f>'Ashed teabags wet'!AD806</f>
        <v>211</v>
      </c>
      <c r="BL391" t="str">
        <f>'Ashed teabags wet'!AE806</f>
        <v/>
      </c>
      <c r="BN391" s="180" t="str">
        <f t="shared" si="162"/>
        <v>G867</v>
      </c>
      <c r="BO391" s="113" t="b">
        <f t="shared" si="163"/>
        <v>0</v>
      </c>
    </row>
    <row r="392" spans="2:68" ht="12" customHeight="1">
      <c r="B392" t="str">
        <f>TBIDry!H464</f>
        <v>G135</v>
      </c>
      <c r="C392" t="str">
        <f>TBIDry!I464</f>
        <v>R80</v>
      </c>
      <c r="D392" t="b">
        <f t="shared" si="144"/>
        <v>0</v>
      </c>
      <c r="E392" t="b">
        <f t="shared" si="145"/>
        <v>0</v>
      </c>
      <c r="G392" t="str">
        <f>TBIWet!H464</f>
        <v>G496</v>
      </c>
      <c r="H392" t="str">
        <f>TBIWet!I464</f>
        <v>R403</v>
      </c>
      <c r="I392" t="b">
        <f t="shared" si="146"/>
        <v>0</v>
      </c>
      <c r="J392" t="b">
        <f t="shared" si="147"/>
        <v>0</v>
      </c>
      <c r="L392" t="str">
        <f>'Both teabags AfterWet'!A391</f>
        <v>G871</v>
      </c>
      <c r="M392" t="str">
        <f>'Both teabags AfterWet'!A809</f>
        <v>R626</v>
      </c>
      <c r="N392" t="b">
        <f t="shared" si="148"/>
        <v>0</v>
      </c>
      <c r="O392" t="b">
        <f t="shared" si="149"/>
        <v>0</v>
      </c>
      <c r="P392" t="str">
        <f>IFERROR('Both teabags AfterWet'!B391,"")</f>
        <v>n.a</v>
      </c>
      <c r="Q392">
        <f>'Both teabags AfterWet'!B809</f>
        <v>41</v>
      </c>
      <c r="S392" s="401" t="b">
        <f t="shared" si="150"/>
        <v>0</v>
      </c>
      <c r="T392" s="401" t="b">
        <f t="shared" si="151"/>
        <v>0</v>
      </c>
      <c r="AA392" t="str">
        <f>'Green_rooibos initial weight'!A393</f>
        <v>G389</v>
      </c>
      <c r="AB392" t="str">
        <f>'Green_rooibos initial weight'!A1297</f>
        <v>R389</v>
      </c>
      <c r="AC392" t="b">
        <f t="shared" si="152"/>
        <v>0</v>
      </c>
      <c r="AD392" t="b">
        <f t="shared" si="153"/>
        <v>0</v>
      </c>
      <c r="AG392" t="str">
        <f>'WetLitterbags placem_collection'!O171</f>
        <v>G496</v>
      </c>
      <c r="AH392" t="str">
        <f>'WetLitterbags placem_collection'!Q171</f>
        <v>R403</v>
      </c>
      <c r="AI392" t="b">
        <f t="shared" si="154"/>
        <v>0</v>
      </c>
      <c r="AJ392" t="b">
        <f t="shared" si="155"/>
        <v>0</v>
      </c>
      <c r="AK392">
        <f>'WetLitterbags placem_collection'!A171</f>
        <v>169</v>
      </c>
      <c r="AL392">
        <f>'WetLitterbags placem_collection'!A171</f>
        <v>169</v>
      </c>
      <c r="AN392">
        <f>IF('Dry_Litterbag Placem_Collection'!L171=0,"",'Dry_Litterbag Placem_Collection'!L171)</f>
        <v>135</v>
      </c>
      <c r="AO392">
        <f>IF('Dry_Litterbag Placem_Collection'!M171=0,"",'Dry_Litterbag Placem_Collection'!M171)</f>
        <v>80</v>
      </c>
      <c r="AP392" t="b">
        <f t="shared" si="156"/>
        <v>0</v>
      </c>
      <c r="AQ392" t="b">
        <f t="shared" si="157"/>
        <v>0</v>
      </c>
      <c r="AZ392" s="401" t="b">
        <f t="shared" si="158"/>
        <v>0</v>
      </c>
      <c r="BA392" s="401" t="b">
        <f t="shared" si="159"/>
        <v>0</v>
      </c>
      <c r="BC392" t="str">
        <f>'Ashed teabags wet'!A390</f>
        <v>G871</v>
      </c>
      <c r="BD392" t="str">
        <f>'Ashed teabags wet'!A807</f>
        <v>R94</v>
      </c>
      <c r="BE392" t="b">
        <f t="shared" si="160"/>
        <v>0</v>
      </c>
      <c r="BF392" t="b">
        <f t="shared" si="161"/>
        <v>0</v>
      </c>
      <c r="BG392">
        <f>IFERROR('Ashed teabags wet'!C390,"")</f>
        <v>210</v>
      </c>
      <c r="BH392">
        <f>IFERROR('Ashed teabags wet'!C807,"")</f>
        <v>90</v>
      </c>
      <c r="BI392">
        <f>'Ashed teabags wet'!AB390</f>
        <v>209</v>
      </c>
      <c r="BJ392" t="str">
        <f>'Ashed teabags wet'!AC390</f>
        <v/>
      </c>
      <c r="BK392">
        <f>'Ashed teabags wet'!AD807</f>
        <v>89</v>
      </c>
      <c r="BL392" t="str">
        <f>'Ashed teabags wet'!AE807</f>
        <v/>
      </c>
      <c r="BN392" t="str">
        <f t="shared" si="162"/>
        <v>G869</v>
      </c>
      <c r="BO392" t="b">
        <f t="shared" si="163"/>
        <v>1</v>
      </c>
    </row>
    <row r="393" spans="2:68" ht="12" customHeight="1">
      <c r="B393" t="str">
        <f>TBIDry!H465</f>
        <v>G515</v>
      </c>
      <c r="C393" t="str">
        <f>TBIDry!I465</f>
        <v>R208</v>
      </c>
      <c r="D393" t="b">
        <f t="shared" si="144"/>
        <v>0</v>
      </c>
      <c r="E393" t="b">
        <f t="shared" si="145"/>
        <v>0</v>
      </c>
      <c r="G393" t="str">
        <f>TBIWet!H465</f>
        <v>G674</v>
      </c>
      <c r="H393" t="str">
        <f>TBIWet!I465</f>
        <v>R583</v>
      </c>
      <c r="I393" t="b">
        <f t="shared" si="146"/>
        <v>0</v>
      </c>
      <c r="J393" t="b">
        <f t="shared" si="147"/>
        <v>0</v>
      </c>
      <c r="L393" t="str">
        <f>'Both teabags AfterWet'!A392</f>
        <v>G875</v>
      </c>
      <c r="M393" t="str">
        <f>'Both teabags AfterWet'!A810</f>
        <v>R63</v>
      </c>
      <c r="N393" t="b">
        <f t="shared" si="148"/>
        <v>0</v>
      </c>
      <c r="O393" t="b">
        <f t="shared" si="149"/>
        <v>0</v>
      </c>
      <c r="P393" t="str">
        <f>IFERROR('Both teabags AfterWet'!B392,"")</f>
        <v>n.a</v>
      </c>
      <c r="Q393">
        <f>'Both teabags AfterWet'!B810</f>
        <v>37</v>
      </c>
      <c r="S393" s="401" t="b">
        <f t="shared" si="150"/>
        <v>0</v>
      </c>
      <c r="T393" s="401" t="b">
        <f t="shared" si="151"/>
        <v>0</v>
      </c>
      <c r="AA393" t="str">
        <f>'Green_rooibos initial weight'!A394</f>
        <v>G390</v>
      </c>
      <c r="AB393" t="str">
        <f>'Green_rooibos initial weight'!A1298</f>
        <v>R390</v>
      </c>
      <c r="AC393" t="b">
        <f t="shared" si="152"/>
        <v>0</v>
      </c>
      <c r="AD393" t="b">
        <f t="shared" si="153"/>
        <v>0</v>
      </c>
      <c r="AG393" t="str">
        <f>'WetLitterbags placem_collection'!O172</f>
        <v>G674</v>
      </c>
      <c r="AH393" t="str">
        <f>'WetLitterbags placem_collection'!Q172</f>
        <v>R583</v>
      </c>
      <c r="AI393" t="b">
        <f t="shared" si="154"/>
        <v>0</v>
      </c>
      <c r="AJ393" t="b">
        <f t="shared" si="155"/>
        <v>0</v>
      </c>
      <c r="AK393">
        <f>'WetLitterbags placem_collection'!A172</f>
        <v>170</v>
      </c>
      <c r="AL393">
        <f>'WetLitterbags placem_collection'!A172</f>
        <v>170</v>
      </c>
      <c r="AN393">
        <f>IF('Dry_Litterbag Placem_Collection'!L172=0,"",'Dry_Litterbag Placem_Collection'!L172)</f>
        <v>515</v>
      </c>
      <c r="AO393">
        <f>IF('Dry_Litterbag Placem_Collection'!M172=0,"",'Dry_Litterbag Placem_Collection'!M172)</f>
        <v>208</v>
      </c>
      <c r="AP393" t="b">
        <f t="shared" si="156"/>
        <v>0</v>
      </c>
      <c r="AQ393" t="b">
        <f t="shared" si="157"/>
        <v>0</v>
      </c>
      <c r="AZ393" s="401" t="b">
        <f t="shared" si="158"/>
        <v>0</v>
      </c>
      <c r="BA393" s="401" t="b">
        <f t="shared" si="159"/>
        <v>0</v>
      </c>
      <c r="BC393" t="str">
        <f>'Ashed teabags wet'!A391</f>
        <v>G875</v>
      </c>
      <c r="BD393" t="str">
        <f>'Ashed teabags wet'!A808</f>
        <v>R95</v>
      </c>
      <c r="BE393" t="b">
        <f t="shared" si="160"/>
        <v>0</v>
      </c>
      <c r="BF393" t="b">
        <f t="shared" si="161"/>
        <v>0</v>
      </c>
      <c r="BG393">
        <f>IFERROR('Ashed teabags wet'!C391,"")</f>
        <v>101</v>
      </c>
      <c r="BH393">
        <f>IFERROR('Ashed teabags wet'!C808,"")</f>
        <v>71</v>
      </c>
      <c r="BI393" t="str">
        <f>'Ashed teabags wet'!AB391</f>
        <v/>
      </c>
      <c r="BJ393">
        <f>'Ashed teabags wet'!AC391</f>
        <v>100</v>
      </c>
      <c r="BK393">
        <f>'Ashed teabags wet'!AD808</f>
        <v>70</v>
      </c>
      <c r="BL393" t="str">
        <f>'Ashed teabags wet'!AE808</f>
        <v/>
      </c>
      <c r="BN393" t="str">
        <f t="shared" si="162"/>
        <v>G871</v>
      </c>
      <c r="BO393" t="b">
        <f t="shared" si="163"/>
        <v>1</v>
      </c>
    </row>
    <row r="394" spans="2:68" ht="12" customHeight="1">
      <c r="B394" t="str">
        <f>TBIDry!H466</f>
        <v>G348</v>
      </c>
      <c r="C394" t="str">
        <f>TBIDry!I466</f>
        <v>R633</v>
      </c>
      <c r="D394" t="b">
        <f t="shared" si="144"/>
        <v>0</v>
      </c>
      <c r="E394" t="b">
        <f t="shared" si="145"/>
        <v>0</v>
      </c>
      <c r="G394" t="str">
        <f>TBIWet!H466</f>
        <v>G504</v>
      </c>
      <c r="H394" t="str">
        <f>TBIWet!I466</f>
        <v>R451</v>
      </c>
      <c r="I394" t="b">
        <f t="shared" si="146"/>
        <v>0</v>
      </c>
      <c r="J394" t="b">
        <f t="shared" si="147"/>
        <v>0</v>
      </c>
      <c r="L394" t="str">
        <f>'Both teabags AfterWet'!A393</f>
        <v>G876</v>
      </c>
      <c r="M394" t="str">
        <f>'Both teabags AfterWet'!A811</f>
        <v>R64</v>
      </c>
      <c r="N394" t="b">
        <f t="shared" si="148"/>
        <v>0</v>
      </c>
      <c r="O394" t="b">
        <f t="shared" si="149"/>
        <v>0</v>
      </c>
      <c r="P394">
        <f>IFERROR('Both teabags AfterWet'!B393,"")</f>
        <v>160</v>
      </c>
      <c r="Q394">
        <f>'Both teabags AfterWet'!B811</f>
        <v>35</v>
      </c>
      <c r="S394" s="401" t="b">
        <f t="shared" si="150"/>
        <v>0</v>
      </c>
      <c r="T394" s="401" t="b">
        <f t="shared" si="151"/>
        <v>0</v>
      </c>
      <c r="AA394" t="str">
        <f>'Green_rooibos initial weight'!A395</f>
        <v>G391</v>
      </c>
      <c r="AB394" t="str">
        <f>'Green_rooibos initial weight'!A1299</f>
        <v>R391</v>
      </c>
      <c r="AC394" t="b">
        <f t="shared" si="152"/>
        <v>0</v>
      </c>
      <c r="AD394" t="b">
        <f t="shared" si="153"/>
        <v>0</v>
      </c>
      <c r="AG394" t="str">
        <f>'WetLitterbags placem_collection'!O173</f>
        <v>G504</v>
      </c>
      <c r="AH394" t="str">
        <f>'WetLitterbags placem_collection'!Q173</f>
        <v>R451</v>
      </c>
      <c r="AI394" t="b">
        <f t="shared" si="154"/>
        <v>0</v>
      </c>
      <c r="AJ394" t="b">
        <f t="shared" si="155"/>
        <v>0</v>
      </c>
      <c r="AK394">
        <f>'WetLitterbags placem_collection'!A173</f>
        <v>171</v>
      </c>
      <c r="AL394">
        <f>'WetLitterbags placem_collection'!A173</f>
        <v>171</v>
      </c>
      <c r="AN394">
        <f>IF('Dry_Litterbag Placem_Collection'!L173=0,"",'Dry_Litterbag Placem_Collection'!L173)</f>
        <v>348</v>
      </c>
      <c r="AO394">
        <f>IF('Dry_Litterbag Placem_Collection'!M173=0,"",'Dry_Litterbag Placem_Collection'!M173)</f>
        <v>633</v>
      </c>
      <c r="AP394" t="b">
        <f t="shared" si="156"/>
        <v>0</v>
      </c>
      <c r="AQ394" t="b">
        <f t="shared" si="157"/>
        <v>0</v>
      </c>
      <c r="AZ394" s="401" t="b">
        <f t="shared" si="158"/>
        <v>0</v>
      </c>
      <c r="BA394" s="401" t="b">
        <f t="shared" si="159"/>
        <v>0</v>
      </c>
      <c r="BC394" t="str">
        <f>'Ashed teabags wet'!A392</f>
        <v>G876</v>
      </c>
      <c r="BD394" t="str">
        <f>'Ashed teabags wet'!A809</f>
        <v>R96</v>
      </c>
      <c r="BE394" t="b">
        <f t="shared" si="160"/>
        <v>0</v>
      </c>
      <c r="BF394" t="b">
        <f t="shared" si="161"/>
        <v>0</v>
      </c>
      <c r="BG394">
        <f>IFERROR('Ashed teabags wet'!C392,"")</f>
        <v>160</v>
      </c>
      <c r="BH394">
        <f>IFERROR('Ashed teabags wet'!C809,"")</f>
        <v>163</v>
      </c>
      <c r="BI394" t="str">
        <f>'Ashed teabags wet'!AB392</f>
        <v/>
      </c>
      <c r="BJ394">
        <f>'Ashed teabags wet'!AC392</f>
        <v>159</v>
      </c>
      <c r="BK394">
        <f>'Ashed teabags wet'!AD809</f>
        <v>162</v>
      </c>
      <c r="BL394" t="str">
        <f>'Ashed teabags wet'!AE809</f>
        <v/>
      </c>
      <c r="BN394" t="str">
        <f t="shared" si="162"/>
        <v>G875</v>
      </c>
      <c r="BO394" t="b">
        <f t="shared" si="163"/>
        <v>1</v>
      </c>
    </row>
    <row r="395" spans="2:68" ht="12" customHeight="1">
      <c r="B395" t="str">
        <f>TBIDry!H467</f>
        <v/>
      </c>
      <c r="C395" t="str">
        <f>TBIDry!I467</f>
        <v/>
      </c>
      <c r="D395" t="b">
        <f t="shared" si="144"/>
        <v>1</v>
      </c>
      <c r="E395" t="b">
        <f t="shared" si="145"/>
        <v>1</v>
      </c>
      <c r="G395" t="str">
        <f>TBIWet!H467</f>
        <v>G439</v>
      </c>
      <c r="H395" t="str">
        <f>TBIWet!I467</f>
        <v>R353</v>
      </c>
      <c r="I395" t="b">
        <f t="shared" si="146"/>
        <v>0</v>
      </c>
      <c r="J395" t="b">
        <f t="shared" si="147"/>
        <v>0</v>
      </c>
      <c r="L395" t="str">
        <f>'Both teabags AfterWet'!A394</f>
        <v>G877</v>
      </c>
      <c r="M395" t="str">
        <f>'Both teabags AfterWet'!A812</f>
        <v>R65</v>
      </c>
      <c r="N395" t="b">
        <f t="shared" si="148"/>
        <v>0</v>
      </c>
      <c r="O395" t="b">
        <f t="shared" si="149"/>
        <v>0</v>
      </c>
      <c r="P395">
        <f>IFERROR('Both teabags AfterWet'!B394,"")</f>
        <v>109</v>
      </c>
      <c r="Q395">
        <f>'Both teabags AfterWet'!B812</f>
        <v>39</v>
      </c>
      <c r="S395" s="401" t="b">
        <f t="shared" si="150"/>
        <v>0</v>
      </c>
      <c r="T395" s="401" t="b">
        <f t="shared" si="151"/>
        <v>0</v>
      </c>
      <c r="AA395" t="str">
        <f>'Green_rooibos initial weight'!A396</f>
        <v>G392</v>
      </c>
      <c r="AB395" t="str">
        <f>'Green_rooibos initial weight'!A1300</f>
        <v>R392</v>
      </c>
      <c r="AC395" t="b">
        <f t="shared" si="152"/>
        <v>0</v>
      </c>
      <c r="AD395" t="b">
        <f t="shared" si="153"/>
        <v>0</v>
      </c>
      <c r="AG395" t="str">
        <f>'WetLitterbags placem_collection'!O174</f>
        <v>G439</v>
      </c>
      <c r="AH395" t="str">
        <f>'WetLitterbags placem_collection'!Q174</f>
        <v>R353</v>
      </c>
      <c r="AI395" t="b">
        <f t="shared" si="154"/>
        <v>0</v>
      </c>
      <c r="AJ395" t="b">
        <f t="shared" si="155"/>
        <v>0</v>
      </c>
      <c r="AK395">
        <f>'WetLitterbags placem_collection'!A174</f>
        <v>172</v>
      </c>
      <c r="AL395">
        <f>'WetLitterbags placem_collection'!A174</f>
        <v>172</v>
      </c>
      <c r="AN395" t="str">
        <f>IF('Dry_Litterbag Placem_Collection'!L174=0,"",'Dry_Litterbag Placem_Collection'!L174)</f>
        <v/>
      </c>
      <c r="AO395" t="str">
        <f>IF('Dry_Litterbag Placem_Collection'!M174=0,"",'Dry_Litterbag Placem_Collection'!M174)</f>
        <v/>
      </c>
      <c r="AP395" t="b">
        <f t="shared" si="156"/>
        <v>1</v>
      </c>
      <c r="AQ395" t="b">
        <f t="shared" si="157"/>
        <v>1</v>
      </c>
      <c r="AZ395" s="401" t="b">
        <f t="shared" si="158"/>
        <v>0</v>
      </c>
      <c r="BA395" s="401" t="b">
        <f t="shared" si="159"/>
        <v>0</v>
      </c>
      <c r="BC395" t="str">
        <f>'Ashed teabags wet'!A393</f>
        <v>G877</v>
      </c>
      <c r="BD395" t="str">
        <f>'Ashed teabags wet'!A810</f>
        <v>R97</v>
      </c>
      <c r="BE395" t="b">
        <f t="shared" si="160"/>
        <v>0</v>
      </c>
      <c r="BF395" t="b">
        <f t="shared" si="161"/>
        <v>0</v>
      </c>
      <c r="BG395">
        <f>IFERROR('Ashed teabags wet'!C393,"")</f>
        <v>199</v>
      </c>
      <c r="BH395">
        <f>IFERROR('Ashed teabags wet'!C810,"")</f>
        <v>36</v>
      </c>
      <c r="BI395">
        <f>'Ashed teabags wet'!AB393</f>
        <v>198</v>
      </c>
      <c r="BJ395" t="str">
        <f>'Ashed teabags wet'!AC393</f>
        <v/>
      </c>
      <c r="BK395" t="str">
        <f>'Ashed teabags wet'!AD810</f>
        <v/>
      </c>
      <c r="BL395">
        <f>'Ashed teabags wet'!AE810</f>
        <v>35</v>
      </c>
      <c r="BN395" t="str">
        <f t="shared" si="162"/>
        <v>G876</v>
      </c>
      <c r="BO395" t="b">
        <f t="shared" si="163"/>
        <v>1</v>
      </c>
    </row>
    <row r="396" spans="2:68" ht="12" customHeight="1">
      <c r="B396" t="str">
        <f>TBIDry!H468</f>
        <v>G307</v>
      </c>
      <c r="C396" t="str">
        <f>TBIDry!I468</f>
        <v>R473</v>
      </c>
      <c r="D396" t="b">
        <f t="shared" si="144"/>
        <v>0</v>
      </c>
      <c r="E396" t="b">
        <f t="shared" si="145"/>
        <v>0</v>
      </c>
      <c r="G396" t="str">
        <f>TBIWet!H468</f>
        <v>G865</v>
      </c>
      <c r="H396" t="str">
        <f>TBIWet!I468</f>
        <v>R105</v>
      </c>
      <c r="I396" t="b">
        <f t="shared" si="146"/>
        <v>0</v>
      </c>
      <c r="J396" t="b">
        <f t="shared" si="147"/>
        <v>0</v>
      </c>
      <c r="L396" t="str">
        <f>'Both teabags AfterWet'!A395</f>
        <v>G878</v>
      </c>
      <c r="M396" t="str">
        <f>'Both teabags AfterWet'!A813</f>
        <v>R68</v>
      </c>
      <c r="N396" t="b">
        <f t="shared" si="148"/>
        <v>0</v>
      </c>
      <c r="O396" t="b">
        <f t="shared" si="149"/>
        <v>0</v>
      </c>
      <c r="P396">
        <f>IFERROR('Both teabags AfterWet'!B395,"")</f>
        <v>147</v>
      </c>
      <c r="Q396">
        <f>'Both teabags AfterWet'!B813</f>
        <v>80</v>
      </c>
      <c r="S396" s="401" t="b">
        <f t="shared" si="150"/>
        <v>0</v>
      </c>
      <c r="T396" s="401" t="b">
        <f t="shared" si="151"/>
        <v>0</v>
      </c>
      <c r="AA396" t="str">
        <f>'Green_rooibos initial weight'!A397</f>
        <v>G393</v>
      </c>
      <c r="AB396" t="str">
        <f>'Green_rooibos initial weight'!A1301</f>
        <v>R393</v>
      </c>
      <c r="AC396" t="b">
        <f t="shared" si="152"/>
        <v>0</v>
      </c>
      <c r="AD396" t="b">
        <f t="shared" si="153"/>
        <v>0</v>
      </c>
      <c r="AG396" t="str">
        <f>'WetLitterbags placem_collection'!O175</f>
        <v>G865</v>
      </c>
      <c r="AH396" t="str">
        <f>'WetLitterbags placem_collection'!Q175</f>
        <v>R105</v>
      </c>
      <c r="AI396" t="b">
        <f t="shared" si="154"/>
        <v>0</v>
      </c>
      <c r="AJ396" t="b">
        <f t="shared" si="155"/>
        <v>0</v>
      </c>
      <c r="AK396">
        <f>'WetLitterbags placem_collection'!A175</f>
        <v>173</v>
      </c>
      <c r="AL396">
        <f>'WetLitterbags placem_collection'!A175</f>
        <v>173</v>
      </c>
      <c r="AN396">
        <f>IF('Dry_Litterbag Placem_Collection'!L175=0,"",'Dry_Litterbag Placem_Collection'!L175)</f>
        <v>307</v>
      </c>
      <c r="AO396">
        <f>IF('Dry_Litterbag Placem_Collection'!M175=0,"",'Dry_Litterbag Placem_Collection'!M175)</f>
        <v>473</v>
      </c>
      <c r="AP396" t="b">
        <f t="shared" si="156"/>
        <v>0</v>
      </c>
      <c r="AQ396" t="b">
        <f t="shared" si="157"/>
        <v>0</v>
      </c>
      <c r="AZ396" s="401" t="b">
        <f t="shared" si="158"/>
        <v>0</v>
      </c>
      <c r="BA396" s="401" t="b">
        <f t="shared" si="159"/>
        <v>0</v>
      </c>
      <c r="BC396" t="str">
        <f>'Ashed teabags wet'!A394</f>
        <v>G878</v>
      </c>
      <c r="BD396" t="str">
        <f>'Ashed teabags wet'!A811</f>
        <v>R99</v>
      </c>
      <c r="BE396" t="b">
        <f t="shared" si="160"/>
        <v>0</v>
      </c>
      <c r="BF396" t="b">
        <f t="shared" si="161"/>
        <v>0</v>
      </c>
      <c r="BG396">
        <f>IFERROR('Ashed teabags wet'!C394,"")</f>
        <v>147</v>
      </c>
      <c r="BH396">
        <f>IFERROR('Ashed teabags wet'!C811,"")</f>
        <v>15</v>
      </c>
      <c r="BI396" t="str">
        <f>'Ashed teabags wet'!AB394</f>
        <v/>
      </c>
      <c r="BJ396">
        <f>'Ashed teabags wet'!AC394</f>
        <v>146</v>
      </c>
      <c r="BK396" t="str">
        <f>'Ashed teabags wet'!AD811</f>
        <v/>
      </c>
      <c r="BL396">
        <f>'Ashed teabags wet'!AE811</f>
        <v>14</v>
      </c>
      <c r="BN396" t="str">
        <f t="shared" si="162"/>
        <v>G877</v>
      </c>
      <c r="BO396" t="b">
        <f t="shared" si="163"/>
        <v>1</v>
      </c>
    </row>
    <row r="397" spans="2:68" ht="12" customHeight="1">
      <c r="B397" t="str">
        <f>TBIDry!H469</f>
        <v>G155</v>
      </c>
      <c r="C397" t="str">
        <f>TBIDry!I469</f>
        <v>R702</v>
      </c>
      <c r="D397" t="b">
        <f t="shared" si="144"/>
        <v>0</v>
      </c>
      <c r="E397" t="b">
        <f t="shared" si="145"/>
        <v>0</v>
      </c>
      <c r="G397" t="str">
        <f>TBIWet!H469</f>
        <v>G736</v>
      </c>
      <c r="H397" t="str">
        <f>TBIWet!I469</f>
        <v>R384</v>
      </c>
      <c r="I397" t="b">
        <f t="shared" si="146"/>
        <v>0</v>
      </c>
      <c r="J397" t="b">
        <f t="shared" si="147"/>
        <v>0</v>
      </c>
      <c r="L397" t="str">
        <f>'Both teabags AfterWet'!A396</f>
        <v>G880</v>
      </c>
      <c r="M397" t="str">
        <f>'Both teabags AfterWet'!A814</f>
        <v>R69</v>
      </c>
      <c r="N397" t="b">
        <f t="shared" si="148"/>
        <v>0</v>
      </c>
      <c r="O397" t="b">
        <f t="shared" si="149"/>
        <v>0</v>
      </c>
      <c r="P397">
        <f>IFERROR('Both teabags AfterWet'!B396,"")</f>
        <v>139</v>
      </c>
      <c r="Q397">
        <f>'Both teabags AfterWet'!B814</f>
        <v>35</v>
      </c>
      <c r="S397" s="401" t="b">
        <f t="shared" si="150"/>
        <v>0</v>
      </c>
      <c r="T397" s="401" t="b">
        <f t="shared" si="151"/>
        <v>0</v>
      </c>
      <c r="AA397" t="str">
        <f>'Green_rooibos initial weight'!A398</f>
        <v>G394</v>
      </c>
      <c r="AB397" t="str">
        <f>'Green_rooibos initial weight'!A1302</f>
        <v>R394</v>
      </c>
      <c r="AC397" t="b">
        <f t="shared" si="152"/>
        <v>0</v>
      </c>
      <c r="AD397" t="b">
        <f t="shared" si="153"/>
        <v>0</v>
      </c>
      <c r="AG397" t="str">
        <f>'WetLitterbags placem_collection'!O176</f>
        <v>G736</v>
      </c>
      <c r="AH397" t="str">
        <f>'WetLitterbags placem_collection'!Q176</f>
        <v>R384</v>
      </c>
      <c r="AI397" t="b">
        <f t="shared" si="154"/>
        <v>0</v>
      </c>
      <c r="AJ397" t="b">
        <f t="shared" si="155"/>
        <v>0</v>
      </c>
      <c r="AK397">
        <f>'WetLitterbags placem_collection'!A176</f>
        <v>174</v>
      </c>
      <c r="AL397">
        <f>'WetLitterbags placem_collection'!A176</f>
        <v>174</v>
      </c>
      <c r="AN397">
        <f>IF('Dry_Litterbag Placem_Collection'!L176=0,"",'Dry_Litterbag Placem_Collection'!L176)</f>
        <v>155</v>
      </c>
      <c r="AO397">
        <f>IF('Dry_Litterbag Placem_Collection'!M176=0,"",'Dry_Litterbag Placem_Collection'!M176)</f>
        <v>702</v>
      </c>
      <c r="AP397" t="b">
        <f t="shared" si="156"/>
        <v>0</v>
      </c>
      <c r="AQ397" t="b">
        <f t="shared" si="157"/>
        <v>0</v>
      </c>
      <c r="AZ397" s="401" t="b">
        <f t="shared" si="158"/>
        <v>0</v>
      </c>
      <c r="BA397" s="401" t="b">
        <f t="shared" si="159"/>
        <v>0</v>
      </c>
      <c r="BC397" t="str">
        <f>'Ashed teabags wet'!A395</f>
        <v>G880</v>
      </c>
      <c r="BD397" t="str">
        <f>'Ashed teabags wet'!A812</f>
        <v>RA</v>
      </c>
      <c r="BE397" t="b">
        <f t="shared" si="160"/>
        <v>0</v>
      </c>
      <c r="BF397" t="b">
        <f t="shared" si="161"/>
        <v>0</v>
      </c>
      <c r="BG397">
        <f>IFERROR('Ashed teabags wet'!C395,"")</f>
        <v>139</v>
      </c>
      <c r="BH397">
        <f>IFERROR('Ashed teabags wet'!C812,"")</f>
        <v>0</v>
      </c>
      <c r="BI397" t="str">
        <f>'Ashed teabags wet'!AB395</f>
        <v/>
      </c>
      <c r="BJ397">
        <f>'Ashed teabags wet'!AC395</f>
        <v>138</v>
      </c>
      <c r="BK397" t="str">
        <f>'Ashed teabags wet'!AD812</f>
        <v/>
      </c>
      <c r="BL397" t="str">
        <f>'Ashed teabags wet'!AE812</f>
        <v/>
      </c>
      <c r="BN397" t="str">
        <f t="shared" si="162"/>
        <v>G878</v>
      </c>
      <c r="BO397" t="b">
        <f t="shared" si="163"/>
        <v>1</v>
      </c>
    </row>
    <row r="398" spans="2:68" ht="12" customHeight="1">
      <c r="B398" t="str">
        <f>TBIDry!H470</f>
        <v>G719</v>
      </c>
      <c r="C398" t="str">
        <f>TBIDry!I470</f>
        <v>R175</v>
      </c>
      <c r="D398" t="b">
        <f t="shared" si="144"/>
        <v>0</v>
      </c>
      <c r="E398" t="b">
        <f t="shared" si="145"/>
        <v>0</v>
      </c>
      <c r="G398" t="str">
        <f>TBIWet!H470</f>
        <v>G792</v>
      </c>
      <c r="H398" t="str">
        <f>TBIWet!I470</f>
        <v>R481</v>
      </c>
      <c r="I398" t="b">
        <f t="shared" si="146"/>
        <v>0</v>
      </c>
      <c r="J398" t="b">
        <f t="shared" si="147"/>
        <v>0</v>
      </c>
      <c r="L398" t="str">
        <f>'Both teabags AfterWet'!A397</f>
        <v>G881</v>
      </c>
      <c r="M398" t="str">
        <f>'Both teabags AfterWet'!A815</f>
        <v>R7</v>
      </c>
      <c r="N398" t="b">
        <f t="shared" si="148"/>
        <v>0</v>
      </c>
      <c r="O398" t="b">
        <f t="shared" si="149"/>
        <v>0</v>
      </c>
      <c r="P398">
        <f>IFERROR('Both teabags AfterWet'!B397,"")</f>
        <v>104</v>
      </c>
      <c r="Q398">
        <f>'Both teabags AfterWet'!B815</f>
        <v>150</v>
      </c>
      <c r="S398" s="401" t="b">
        <f t="shared" si="150"/>
        <v>0</v>
      </c>
      <c r="T398" s="401" t="b">
        <f t="shared" si="151"/>
        <v>0</v>
      </c>
      <c r="AA398" t="str">
        <f>'Green_rooibos initial weight'!A399</f>
        <v>G395</v>
      </c>
      <c r="AB398" t="str">
        <f>'Green_rooibos initial weight'!A1303</f>
        <v>R395</v>
      </c>
      <c r="AC398" t="b">
        <f t="shared" si="152"/>
        <v>0</v>
      </c>
      <c r="AD398" t="b">
        <f t="shared" si="153"/>
        <v>0</v>
      </c>
      <c r="AG398" t="str">
        <f>'WetLitterbags placem_collection'!O177</f>
        <v>G792</v>
      </c>
      <c r="AH398" t="str">
        <f>'WetLitterbags placem_collection'!Q177</f>
        <v>R481</v>
      </c>
      <c r="AI398" t="b">
        <f t="shared" si="154"/>
        <v>0</v>
      </c>
      <c r="AJ398" t="b">
        <f t="shared" si="155"/>
        <v>0</v>
      </c>
      <c r="AK398">
        <f>'WetLitterbags placem_collection'!A177</f>
        <v>175</v>
      </c>
      <c r="AL398">
        <f>'WetLitterbags placem_collection'!A177</f>
        <v>175</v>
      </c>
      <c r="AN398">
        <f>IF('Dry_Litterbag Placem_Collection'!L177=0,"",'Dry_Litterbag Placem_Collection'!L177)</f>
        <v>719</v>
      </c>
      <c r="AO398">
        <f>IF('Dry_Litterbag Placem_Collection'!M177=0,"",'Dry_Litterbag Placem_Collection'!M177)</f>
        <v>175</v>
      </c>
      <c r="AP398" t="b">
        <f t="shared" si="156"/>
        <v>0</v>
      </c>
      <c r="AQ398" t="b">
        <f t="shared" si="157"/>
        <v>0</v>
      </c>
      <c r="AZ398" s="401" t="b">
        <f t="shared" si="158"/>
        <v>0</v>
      </c>
      <c r="BA398" s="401" t="b">
        <f t="shared" si="159"/>
        <v>0</v>
      </c>
      <c r="BC398" t="str">
        <f>'Ashed teabags wet'!A396</f>
        <v>G881</v>
      </c>
      <c r="BD398">
        <f>'Ashed teabags wet'!A813</f>
        <v>0</v>
      </c>
      <c r="BE398" t="b">
        <f t="shared" si="160"/>
        <v>0</v>
      </c>
      <c r="BF398" t="b">
        <f t="shared" si="161"/>
        <v>1</v>
      </c>
      <c r="BG398">
        <f>IFERROR('Ashed teabags wet'!C396,"")</f>
        <v>104</v>
      </c>
      <c r="BH398">
        <f>IFERROR('Ashed teabags wet'!C813,"")</f>
        <v>0</v>
      </c>
      <c r="BI398">
        <f>'Ashed teabags wet'!AB396</f>
        <v>103</v>
      </c>
      <c r="BJ398" t="str">
        <f>'Ashed teabags wet'!AC396</f>
        <v/>
      </c>
      <c r="BK398" t="str">
        <f>'Ashed teabags wet'!AD813</f>
        <v/>
      </c>
      <c r="BL398" t="str">
        <f>'Ashed teabags wet'!AE813</f>
        <v/>
      </c>
      <c r="BN398" t="str">
        <f t="shared" si="162"/>
        <v>G880</v>
      </c>
      <c r="BO398" t="b">
        <f t="shared" si="163"/>
        <v>1</v>
      </c>
    </row>
    <row r="399" spans="2:68" ht="12" customHeight="1">
      <c r="B399" t="str">
        <f>TBIDry!H471</f>
        <v>G323</v>
      </c>
      <c r="C399" t="str">
        <f>TBIDry!I471</f>
        <v>R332</v>
      </c>
      <c r="D399" t="b">
        <f t="shared" si="144"/>
        <v>0</v>
      </c>
      <c r="E399" t="b">
        <f t="shared" si="145"/>
        <v>0</v>
      </c>
      <c r="G399" t="str">
        <f>TBIWet!H471</f>
        <v>G470</v>
      </c>
      <c r="H399" t="str">
        <f>TBIWet!I471</f>
        <v>R490</v>
      </c>
      <c r="I399" t="b">
        <f t="shared" si="146"/>
        <v>0</v>
      </c>
      <c r="J399" t="b">
        <f t="shared" si="147"/>
        <v>0</v>
      </c>
      <c r="L399" t="str">
        <f>'Both teabags AfterWet'!A398</f>
        <v>G882</v>
      </c>
      <c r="M399" t="str">
        <f>'Both teabags AfterWet'!A816</f>
        <v>R71</v>
      </c>
      <c r="N399" t="b">
        <f t="shared" si="148"/>
        <v>0</v>
      </c>
      <c r="O399" t="b">
        <f t="shared" si="149"/>
        <v>0</v>
      </c>
      <c r="P399" t="str">
        <f>IFERROR('Both teabags AfterWet'!B398,"")</f>
        <v>n.a</v>
      </c>
      <c r="Q399">
        <f>'Both teabags AfterWet'!B816</f>
        <v>24</v>
      </c>
      <c r="S399" s="401" t="b">
        <f t="shared" si="150"/>
        <v>0</v>
      </c>
      <c r="T399" s="401" t="b">
        <f t="shared" si="151"/>
        <v>0</v>
      </c>
      <c r="AA399" t="str">
        <f>'Green_rooibos initial weight'!A400</f>
        <v>G396</v>
      </c>
      <c r="AB399" t="str">
        <f>'Green_rooibos initial weight'!A1304</f>
        <v>R396</v>
      </c>
      <c r="AC399" t="b">
        <f t="shared" si="152"/>
        <v>0</v>
      </c>
      <c r="AD399" t="b">
        <f t="shared" si="153"/>
        <v>0</v>
      </c>
      <c r="AG399" t="str">
        <f>'WetLitterbags placem_collection'!O178</f>
        <v>G470</v>
      </c>
      <c r="AH399" t="str">
        <f>'WetLitterbags placem_collection'!Q178</f>
        <v>R490</v>
      </c>
      <c r="AI399" t="b">
        <f t="shared" si="154"/>
        <v>0</v>
      </c>
      <c r="AJ399" t="b">
        <f t="shared" si="155"/>
        <v>0</v>
      </c>
      <c r="AK399">
        <f>'WetLitterbags placem_collection'!A178</f>
        <v>176</v>
      </c>
      <c r="AL399">
        <f>'WetLitterbags placem_collection'!A178</f>
        <v>176</v>
      </c>
      <c r="AN399">
        <f>IF('Dry_Litterbag Placem_Collection'!L178=0,"",'Dry_Litterbag Placem_Collection'!L178)</f>
        <v>323</v>
      </c>
      <c r="AO399">
        <f>IF('Dry_Litterbag Placem_Collection'!M178=0,"",'Dry_Litterbag Placem_Collection'!M178)</f>
        <v>332</v>
      </c>
      <c r="AP399" t="b">
        <f t="shared" si="156"/>
        <v>0</v>
      </c>
      <c r="AQ399" t="b">
        <f t="shared" si="157"/>
        <v>0</v>
      </c>
      <c r="AZ399" s="401" t="b">
        <f t="shared" si="158"/>
        <v>0</v>
      </c>
      <c r="BA399" s="401" t="b">
        <f t="shared" si="159"/>
        <v>0</v>
      </c>
      <c r="BC399" t="str">
        <f>'Ashed teabags wet'!A397</f>
        <v>G882</v>
      </c>
      <c r="BD399">
        <f>'Ashed teabags wet'!A814</f>
        <v>0</v>
      </c>
      <c r="BE399" t="b">
        <f t="shared" si="160"/>
        <v>0</v>
      </c>
      <c r="BF399" t="b">
        <f t="shared" si="161"/>
        <v>1</v>
      </c>
      <c r="BG399">
        <f>IFERROR('Ashed teabags wet'!C397,"")</f>
        <v>110</v>
      </c>
      <c r="BH399">
        <f>IFERROR('Ashed teabags wet'!C814,"")</f>
        <v>0</v>
      </c>
      <c r="BI399" t="str">
        <f>'Ashed teabags wet'!AB397</f>
        <v/>
      </c>
      <c r="BJ399">
        <f>'Ashed teabags wet'!AC397</f>
        <v>109</v>
      </c>
      <c r="BK399" t="str">
        <f>'Ashed teabags wet'!AD814</f>
        <v/>
      </c>
      <c r="BL399" t="str">
        <f>'Ashed teabags wet'!AE814</f>
        <v/>
      </c>
      <c r="BN399" t="str">
        <f t="shared" si="162"/>
        <v>G881</v>
      </c>
      <c r="BO399" t="b">
        <f t="shared" si="163"/>
        <v>1</v>
      </c>
    </row>
    <row r="400" spans="2:68" ht="12" customHeight="1">
      <c r="B400" t="str">
        <f>TBIDry!H472</f>
        <v>G14</v>
      </c>
      <c r="C400" t="str">
        <f>TBIDry!I472</f>
        <v>R279</v>
      </c>
      <c r="D400" t="b">
        <f t="shared" si="144"/>
        <v>0</v>
      </c>
      <c r="E400" t="b">
        <f t="shared" si="145"/>
        <v>0</v>
      </c>
      <c r="G400" t="str">
        <f>TBIWet!H472</f>
        <v>G483</v>
      </c>
      <c r="H400" t="str">
        <f>TBIWet!I472</f>
        <v>R470</v>
      </c>
      <c r="I400" t="b">
        <f t="shared" si="146"/>
        <v>0</v>
      </c>
      <c r="J400" t="b">
        <f t="shared" si="147"/>
        <v>0</v>
      </c>
      <c r="L400" t="str">
        <f>'Both teabags AfterWet'!A399</f>
        <v>G883</v>
      </c>
      <c r="M400" t="str">
        <f>'Both teabags AfterWet'!A817</f>
        <v>R72</v>
      </c>
      <c r="N400" t="b">
        <f t="shared" si="148"/>
        <v>0</v>
      </c>
      <c r="O400" t="b">
        <f t="shared" si="149"/>
        <v>0</v>
      </c>
      <c r="P400">
        <f>IFERROR('Both teabags AfterWet'!B399,"")</f>
        <v>108</v>
      </c>
      <c r="Q400">
        <f>'Both teabags AfterWet'!B817</f>
        <v>46</v>
      </c>
      <c r="S400" s="401" t="b">
        <f t="shared" si="150"/>
        <v>0</v>
      </c>
      <c r="T400" s="401" t="b">
        <f t="shared" si="151"/>
        <v>0</v>
      </c>
      <c r="AA400" t="str">
        <f>'Green_rooibos initial weight'!A401</f>
        <v>G397</v>
      </c>
      <c r="AB400" t="str">
        <f>'Green_rooibos initial weight'!A1305</f>
        <v>R397</v>
      </c>
      <c r="AC400" t="b">
        <f t="shared" si="152"/>
        <v>0</v>
      </c>
      <c r="AD400" t="b">
        <f t="shared" si="153"/>
        <v>0</v>
      </c>
      <c r="AG400" t="str">
        <f>'WetLitterbags placem_collection'!O179</f>
        <v>G483</v>
      </c>
      <c r="AH400" t="str">
        <f>'WetLitterbags placem_collection'!Q179</f>
        <v>R470</v>
      </c>
      <c r="AI400" t="b">
        <f t="shared" si="154"/>
        <v>0</v>
      </c>
      <c r="AJ400" t="b">
        <f t="shared" si="155"/>
        <v>0</v>
      </c>
      <c r="AK400">
        <f>'WetLitterbags placem_collection'!A179</f>
        <v>177</v>
      </c>
      <c r="AL400">
        <f>'WetLitterbags placem_collection'!A179</f>
        <v>177</v>
      </c>
      <c r="AN400">
        <f>IF('Dry_Litterbag Placem_Collection'!L179=0,"",'Dry_Litterbag Placem_Collection'!L179)</f>
        <v>14</v>
      </c>
      <c r="AO400">
        <f>IF('Dry_Litterbag Placem_Collection'!M179=0,"",'Dry_Litterbag Placem_Collection'!M179)</f>
        <v>279</v>
      </c>
      <c r="AP400" t="b">
        <f t="shared" si="156"/>
        <v>0</v>
      </c>
      <c r="AQ400" t="b">
        <f t="shared" si="157"/>
        <v>0</v>
      </c>
      <c r="AZ400" s="401" t="b">
        <f t="shared" si="158"/>
        <v>0</v>
      </c>
      <c r="BA400" s="401" t="b">
        <f t="shared" si="159"/>
        <v>0</v>
      </c>
      <c r="BC400" t="str">
        <f>'Ashed teabags wet'!A398</f>
        <v>G883</v>
      </c>
      <c r="BD400">
        <f>'Ashed teabags wet'!A815</f>
        <v>0</v>
      </c>
      <c r="BE400" t="b">
        <f t="shared" si="160"/>
        <v>0</v>
      </c>
      <c r="BF400" t="b">
        <f t="shared" si="161"/>
        <v>1</v>
      </c>
      <c r="BG400">
        <f>IFERROR('Ashed teabags wet'!C398,"")</f>
        <v>108</v>
      </c>
      <c r="BH400">
        <f>IFERROR('Ashed teabags wet'!C815,"")</f>
        <v>0</v>
      </c>
      <c r="BI400">
        <f>'Ashed teabags wet'!AB398</f>
        <v>107</v>
      </c>
      <c r="BJ400" t="str">
        <f>'Ashed teabags wet'!AC398</f>
        <v/>
      </c>
      <c r="BK400" t="str">
        <f>'Ashed teabags wet'!AD815</f>
        <v/>
      </c>
      <c r="BL400" t="str">
        <f>'Ashed teabags wet'!AE815</f>
        <v/>
      </c>
      <c r="BN400" t="str">
        <f t="shared" si="162"/>
        <v>G882</v>
      </c>
      <c r="BO400" t="b">
        <f t="shared" si="163"/>
        <v>1</v>
      </c>
    </row>
    <row r="401" spans="2:67" ht="12" customHeight="1">
      <c r="B401" t="str">
        <f>TBIDry!H473</f>
        <v>G410</v>
      </c>
      <c r="C401" t="str">
        <f>TBIDry!I473</f>
        <v>R718</v>
      </c>
      <c r="D401" t="b">
        <f t="shared" si="144"/>
        <v>0</v>
      </c>
      <c r="E401" t="b">
        <f t="shared" si="145"/>
        <v>0</v>
      </c>
      <c r="G401" t="str">
        <f>TBIWet!H473</f>
        <v>G893</v>
      </c>
      <c r="H401" t="str">
        <f>TBIWet!I473</f>
        <v>R488</v>
      </c>
      <c r="I401" t="b">
        <f t="shared" si="146"/>
        <v>0</v>
      </c>
      <c r="J401" t="b">
        <f t="shared" si="147"/>
        <v>0</v>
      </c>
      <c r="L401" t="str">
        <f>'Both teabags AfterWet'!A400</f>
        <v>G884</v>
      </c>
      <c r="M401" t="str">
        <f>'Both teabags AfterWet'!A818</f>
        <v>R73</v>
      </c>
      <c r="N401" t="b">
        <f t="shared" si="148"/>
        <v>0</v>
      </c>
      <c r="O401" t="b">
        <f t="shared" si="149"/>
        <v>0</v>
      </c>
      <c r="P401">
        <f>IFERROR('Both teabags AfterWet'!B400,"")</f>
        <v>158</v>
      </c>
      <c r="Q401">
        <f>'Both teabags AfterWet'!B818</f>
        <v>91</v>
      </c>
      <c r="S401" s="401" t="b">
        <f t="shared" si="150"/>
        <v>0</v>
      </c>
      <c r="T401" s="401" t="b">
        <f t="shared" si="151"/>
        <v>0</v>
      </c>
      <c r="AA401" t="str">
        <f>'Green_rooibos initial weight'!A402</f>
        <v>G398</v>
      </c>
      <c r="AB401" t="str">
        <f>'Green_rooibos initial weight'!A1306</f>
        <v>R398</v>
      </c>
      <c r="AC401" t="b">
        <f t="shared" si="152"/>
        <v>0</v>
      </c>
      <c r="AD401" t="b">
        <f t="shared" si="153"/>
        <v>0</v>
      </c>
      <c r="AG401" t="str">
        <f>'WetLitterbags placem_collection'!O180</f>
        <v>G893</v>
      </c>
      <c r="AH401" t="str">
        <f>'WetLitterbags placem_collection'!Q180</f>
        <v>R488</v>
      </c>
      <c r="AI401" t="b">
        <f t="shared" si="154"/>
        <v>0</v>
      </c>
      <c r="AJ401" t="b">
        <f t="shared" si="155"/>
        <v>0</v>
      </c>
      <c r="AK401">
        <f>'WetLitterbags placem_collection'!A180</f>
        <v>178</v>
      </c>
      <c r="AL401">
        <f>'WetLitterbags placem_collection'!A180</f>
        <v>178</v>
      </c>
      <c r="AN401">
        <f>IF('Dry_Litterbag Placem_Collection'!L180=0,"",'Dry_Litterbag Placem_Collection'!L180)</f>
        <v>410</v>
      </c>
      <c r="AO401">
        <f>IF('Dry_Litterbag Placem_Collection'!M180=0,"",'Dry_Litterbag Placem_Collection'!M180)</f>
        <v>718</v>
      </c>
      <c r="AP401" t="b">
        <f t="shared" si="156"/>
        <v>0</v>
      </c>
      <c r="AQ401" t="b">
        <f t="shared" si="157"/>
        <v>0</v>
      </c>
      <c r="AZ401" s="401" t="b">
        <f t="shared" si="158"/>
        <v>0</v>
      </c>
      <c r="BA401" s="401" t="b">
        <f t="shared" si="159"/>
        <v>0</v>
      </c>
      <c r="BC401" t="str">
        <f>'Ashed teabags wet'!A399</f>
        <v>G884</v>
      </c>
      <c r="BD401">
        <f>'Ashed teabags wet'!A816</f>
        <v>0</v>
      </c>
      <c r="BE401" t="b">
        <f t="shared" si="160"/>
        <v>0</v>
      </c>
      <c r="BF401" t="b">
        <f t="shared" si="161"/>
        <v>1</v>
      </c>
      <c r="BG401">
        <f>IFERROR('Ashed teabags wet'!C399,"")</f>
        <v>158</v>
      </c>
      <c r="BH401">
        <f>IFERROR('Ashed teabags wet'!C816,"")</f>
        <v>0</v>
      </c>
      <c r="BI401" t="str">
        <f>'Ashed teabags wet'!AB399</f>
        <v/>
      </c>
      <c r="BJ401">
        <f>'Ashed teabags wet'!AC399</f>
        <v>157</v>
      </c>
      <c r="BK401" t="str">
        <f>'Ashed teabags wet'!AD816</f>
        <v/>
      </c>
      <c r="BL401" t="str">
        <f>'Ashed teabags wet'!AE816</f>
        <v/>
      </c>
      <c r="BN401" t="str">
        <f t="shared" si="162"/>
        <v>G883</v>
      </c>
      <c r="BO401" t="b">
        <f t="shared" si="163"/>
        <v>1</v>
      </c>
    </row>
    <row r="402" spans="2:67" ht="12" customHeight="1">
      <c r="B402" t="str">
        <f>TBIDry!H474</f>
        <v>G78</v>
      </c>
      <c r="C402" t="str">
        <f>TBIDry!I474</f>
        <v>R640</v>
      </c>
      <c r="D402" t="b">
        <f t="shared" si="144"/>
        <v>0</v>
      </c>
      <c r="E402" t="b">
        <f t="shared" si="145"/>
        <v>0</v>
      </c>
      <c r="G402" t="str">
        <f>TBIWet!H474</f>
        <v>G826</v>
      </c>
      <c r="H402" t="str">
        <f>TBIWet!I474</f>
        <v>R273</v>
      </c>
      <c r="I402" t="b">
        <f t="shared" si="146"/>
        <v>0</v>
      </c>
      <c r="J402" t="b">
        <f t="shared" si="147"/>
        <v>0</v>
      </c>
      <c r="L402" t="str">
        <f>'Both teabags AfterWet'!A401</f>
        <v>G885</v>
      </c>
      <c r="M402" t="str">
        <f>'Both teabags AfterWet'!A819</f>
        <v>R74</v>
      </c>
      <c r="N402" t="b">
        <f t="shared" si="148"/>
        <v>0</v>
      </c>
      <c r="O402" t="b">
        <f t="shared" si="149"/>
        <v>0</v>
      </c>
      <c r="P402" t="str">
        <f>IFERROR('Both teabags AfterWet'!B401,"")</f>
        <v>n.a</v>
      </c>
      <c r="Q402">
        <f>'Both teabags AfterWet'!B819</f>
        <v>45</v>
      </c>
      <c r="S402" s="401" t="b">
        <f t="shared" si="150"/>
        <v>0</v>
      </c>
      <c r="T402" s="401" t="b">
        <f t="shared" si="151"/>
        <v>0</v>
      </c>
      <c r="AA402" t="str">
        <f>'Green_rooibos initial weight'!A403</f>
        <v>G399</v>
      </c>
      <c r="AB402" t="str">
        <f>'Green_rooibos initial weight'!A1307</f>
        <v>R399</v>
      </c>
      <c r="AC402" t="b">
        <f t="shared" si="152"/>
        <v>0</v>
      </c>
      <c r="AD402" t="b">
        <f t="shared" si="153"/>
        <v>0</v>
      </c>
      <c r="AG402" t="str">
        <f>'WetLitterbags placem_collection'!O181</f>
        <v>G826</v>
      </c>
      <c r="AH402" t="str">
        <f>'WetLitterbags placem_collection'!Q181</f>
        <v>R273</v>
      </c>
      <c r="AI402" t="b">
        <f t="shared" si="154"/>
        <v>0</v>
      </c>
      <c r="AJ402" t="b">
        <f t="shared" si="155"/>
        <v>0</v>
      </c>
      <c r="AK402">
        <f>'WetLitterbags placem_collection'!A181</f>
        <v>179</v>
      </c>
      <c r="AL402">
        <f>'WetLitterbags placem_collection'!A181</f>
        <v>179</v>
      </c>
      <c r="AN402">
        <f>IF('Dry_Litterbag Placem_Collection'!L181=0,"",'Dry_Litterbag Placem_Collection'!L181)</f>
        <v>78</v>
      </c>
      <c r="AO402">
        <f>IF('Dry_Litterbag Placem_Collection'!M181=0,"",'Dry_Litterbag Placem_Collection'!M181)</f>
        <v>640</v>
      </c>
      <c r="AP402" t="b">
        <f t="shared" si="156"/>
        <v>0</v>
      </c>
      <c r="AQ402" t="b">
        <f t="shared" si="157"/>
        <v>0</v>
      </c>
      <c r="AZ402" s="401" t="b">
        <f t="shared" si="158"/>
        <v>0</v>
      </c>
      <c r="BA402" s="401" t="b">
        <f t="shared" si="159"/>
        <v>0</v>
      </c>
      <c r="BC402" t="str">
        <f>'Ashed teabags wet'!A400</f>
        <v>G885</v>
      </c>
      <c r="BD402">
        <f>'Ashed teabags wet'!A817</f>
        <v>0</v>
      </c>
      <c r="BE402" t="b">
        <f t="shared" si="160"/>
        <v>0</v>
      </c>
      <c r="BF402" t="b">
        <f t="shared" si="161"/>
        <v>1</v>
      </c>
      <c r="BG402">
        <f>IFERROR('Ashed teabags wet'!C400,"")</f>
        <v>153</v>
      </c>
      <c r="BH402">
        <f>IFERROR('Ashed teabags wet'!C817,"")</f>
        <v>0</v>
      </c>
      <c r="BI402" t="str">
        <f>'Ashed teabags wet'!AB400</f>
        <v/>
      </c>
      <c r="BJ402">
        <f>'Ashed teabags wet'!AC400</f>
        <v>152</v>
      </c>
      <c r="BK402" t="str">
        <f>'Ashed teabags wet'!AD817</f>
        <v/>
      </c>
      <c r="BL402" t="str">
        <f>'Ashed teabags wet'!AE817</f>
        <v/>
      </c>
      <c r="BN402" t="str">
        <f t="shared" si="162"/>
        <v>G884</v>
      </c>
      <c r="BO402" t="b">
        <f t="shared" si="163"/>
        <v>1</v>
      </c>
    </row>
    <row r="403" spans="2:67" ht="12" customHeight="1">
      <c r="B403" t="str">
        <f>TBIDry!H475</f>
        <v>G422</v>
      </c>
      <c r="C403" t="str">
        <f>TBIDry!I475</f>
        <v>R669</v>
      </c>
      <c r="D403" t="b">
        <f t="shared" si="144"/>
        <v>0</v>
      </c>
      <c r="E403" t="b">
        <f t="shared" si="145"/>
        <v>0</v>
      </c>
      <c r="G403" t="str">
        <f>TBIWet!H475</f>
        <v>G783</v>
      </c>
      <c r="H403" t="str">
        <f>TBIWet!I475</f>
        <v>R301</v>
      </c>
      <c r="I403" t="b">
        <f t="shared" si="146"/>
        <v>0</v>
      </c>
      <c r="J403" t="b">
        <f t="shared" si="147"/>
        <v>0</v>
      </c>
      <c r="L403" t="str">
        <f>'Both teabags AfterWet'!A402</f>
        <v>G886</v>
      </c>
      <c r="M403" t="str">
        <f>'Both teabags AfterWet'!A820</f>
        <v>R76</v>
      </c>
      <c r="N403" t="b">
        <f t="shared" si="148"/>
        <v>0</v>
      </c>
      <c r="O403" t="b">
        <f t="shared" si="149"/>
        <v>0</v>
      </c>
      <c r="P403" t="str">
        <f>IFERROR('Both teabags AfterWet'!B402,"")</f>
        <v>n.a</v>
      </c>
      <c r="Q403">
        <f>'Both teabags AfterWet'!B820</f>
        <v>47</v>
      </c>
      <c r="S403" s="401" t="b">
        <f t="shared" si="150"/>
        <v>0</v>
      </c>
      <c r="T403" s="401" t="b">
        <f t="shared" si="151"/>
        <v>0</v>
      </c>
      <c r="AA403" t="str">
        <f>'Green_rooibos initial weight'!A404</f>
        <v>G400</v>
      </c>
      <c r="AB403" t="str">
        <f>'Green_rooibos initial weight'!A1308</f>
        <v>R400</v>
      </c>
      <c r="AC403" t="b">
        <f t="shared" si="152"/>
        <v>0</v>
      </c>
      <c r="AD403" t="b">
        <f t="shared" si="153"/>
        <v>0</v>
      </c>
      <c r="AG403" t="str">
        <f>'WetLitterbags placem_collection'!O182</f>
        <v>G783</v>
      </c>
      <c r="AH403" t="str">
        <f>'WetLitterbags placem_collection'!Q182</f>
        <v>R301</v>
      </c>
      <c r="AI403" t="b">
        <f t="shared" si="154"/>
        <v>0</v>
      </c>
      <c r="AJ403" t="b">
        <f t="shared" si="155"/>
        <v>0</v>
      </c>
      <c r="AK403">
        <f>'WetLitterbags placem_collection'!A182</f>
        <v>180</v>
      </c>
      <c r="AL403">
        <f>'WetLitterbags placem_collection'!A182</f>
        <v>180</v>
      </c>
      <c r="AN403">
        <f>IF('Dry_Litterbag Placem_Collection'!L182=0,"",'Dry_Litterbag Placem_Collection'!L182)</f>
        <v>422</v>
      </c>
      <c r="AO403">
        <f>IF('Dry_Litterbag Placem_Collection'!M182=0,"",'Dry_Litterbag Placem_Collection'!M182)</f>
        <v>669</v>
      </c>
      <c r="AP403" t="b">
        <f t="shared" si="156"/>
        <v>0</v>
      </c>
      <c r="AQ403" t="b">
        <f t="shared" si="157"/>
        <v>0</v>
      </c>
      <c r="AZ403" s="401" t="b">
        <f t="shared" si="158"/>
        <v>0</v>
      </c>
      <c r="BA403" s="401" t="b">
        <f t="shared" si="159"/>
        <v>0</v>
      </c>
      <c r="BC403" t="str">
        <f>'Ashed teabags wet'!A401</f>
        <v>G886</v>
      </c>
      <c r="BD403">
        <f>'Ashed teabags wet'!A818</f>
        <v>0</v>
      </c>
      <c r="BE403" t="b">
        <f t="shared" si="160"/>
        <v>0</v>
      </c>
      <c r="BF403" t="b">
        <f t="shared" si="161"/>
        <v>1</v>
      </c>
      <c r="BG403">
        <f>IFERROR('Ashed teabags wet'!C401,"")</f>
        <v>196</v>
      </c>
      <c r="BH403">
        <f>IFERROR('Ashed teabags wet'!C818,"")</f>
        <v>0</v>
      </c>
      <c r="BI403" t="str">
        <f>'Ashed teabags wet'!AB401</f>
        <v/>
      </c>
      <c r="BJ403">
        <f>'Ashed teabags wet'!AC401</f>
        <v>195</v>
      </c>
      <c r="BK403" t="str">
        <f>'Ashed teabags wet'!AD818</f>
        <v/>
      </c>
      <c r="BL403" t="str">
        <f>'Ashed teabags wet'!AE818</f>
        <v/>
      </c>
      <c r="BN403" t="str">
        <f t="shared" si="162"/>
        <v>G885</v>
      </c>
      <c r="BO403" t="b">
        <f t="shared" si="163"/>
        <v>1</v>
      </c>
    </row>
    <row r="404" spans="2:67" ht="12" customHeight="1">
      <c r="B404" t="str">
        <f>TBIDry!H476</f>
        <v>G870</v>
      </c>
      <c r="C404" t="str">
        <f>TBIDry!I476</f>
        <v>R170</v>
      </c>
      <c r="D404" t="b">
        <f t="shared" si="144"/>
        <v>0</v>
      </c>
      <c r="E404" t="b">
        <f t="shared" si="145"/>
        <v>0</v>
      </c>
      <c r="G404" t="str">
        <f>TBIWet!H476</f>
        <v>G551</v>
      </c>
      <c r="H404" t="str">
        <f>TBIWet!I476</f>
        <v>R291</v>
      </c>
      <c r="I404" t="b">
        <f t="shared" si="146"/>
        <v>0</v>
      </c>
      <c r="J404" t="b">
        <f t="shared" si="147"/>
        <v>0</v>
      </c>
      <c r="L404" t="str">
        <f>'Both teabags AfterWet'!A403</f>
        <v>G887</v>
      </c>
      <c r="M404" s="113" t="str">
        <f>'Both teabags AfterWet'!A821</f>
        <v>R763</v>
      </c>
      <c r="N404" t="b">
        <f t="shared" si="148"/>
        <v>0</v>
      </c>
      <c r="O404" t="b">
        <f t="shared" si="149"/>
        <v>0</v>
      </c>
      <c r="P404">
        <f>IFERROR('Both teabags AfterWet'!B403,"")</f>
        <v>109</v>
      </c>
      <c r="Q404">
        <f>'Both teabags AfterWet'!B821</f>
        <v>92</v>
      </c>
      <c r="S404" s="401" t="b">
        <f t="shared" si="150"/>
        <v>0</v>
      </c>
      <c r="T404" s="113" t="b">
        <f t="shared" si="151"/>
        <v>1</v>
      </c>
      <c r="AA404" t="str">
        <f>'Green_rooibos initial weight'!A405</f>
        <v>G401</v>
      </c>
      <c r="AB404" t="str">
        <f>'Green_rooibos initial weight'!A1309</f>
        <v>R401</v>
      </c>
      <c r="AC404" t="b">
        <f t="shared" si="152"/>
        <v>0</v>
      </c>
      <c r="AD404" t="b">
        <f t="shared" si="153"/>
        <v>0</v>
      </c>
      <c r="AG404" t="str">
        <f>'WetLitterbags placem_collection'!O183</f>
        <v>G551</v>
      </c>
      <c r="AH404" t="str">
        <f>'WetLitterbags placem_collection'!Q183</f>
        <v>R291</v>
      </c>
      <c r="AI404" t="b">
        <f t="shared" si="154"/>
        <v>0</v>
      </c>
      <c r="AJ404" t="b">
        <f t="shared" si="155"/>
        <v>0</v>
      </c>
      <c r="AK404">
        <f>'WetLitterbags placem_collection'!A183</f>
        <v>181</v>
      </c>
      <c r="AL404">
        <f>'WetLitterbags placem_collection'!A183</f>
        <v>181</v>
      </c>
      <c r="AN404">
        <f>IF('Dry_Litterbag Placem_Collection'!L183=0,"",'Dry_Litterbag Placem_Collection'!L183)</f>
        <v>870</v>
      </c>
      <c r="AO404">
        <f>IF('Dry_Litterbag Placem_Collection'!M183=0,"",'Dry_Litterbag Placem_Collection'!M183)</f>
        <v>170</v>
      </c>
      <c r="AP404" t="b">
        <f t="shared" si="156"/>
        <v>0</v>
      </c>
      <c r="AQ404" t="b">
        <f t="shared" si="157"/>
        <v>0</v>
      </c>
      <c r="AZ404" s="401" t="b">
        <f t="shared" si="158"/>
        <v>0</v>
      </c>
      <c r="BA404" s="401" t="b">
        <f t="shared" si="159"/>
        <v>0</v>
      </c>
      <c r="BC404" t="str">
        <f>'Ashed teabags wet'!A402</f>
        <v>G887</v>
      </c>
      <c r="BD404">
        <f>'Ashed teabags wet'!A819</f>
        <v>0</v>
      </c>
      <c r="BE404" t="b">
        <f t="shared" si="160"/>
        <v>0</v>
      </c>
      <c r="BF404" t="b">
        <f t="shared" si="161"/>
        <v>1</v>
      </c>
      <c r="BG404">
        <f>IFERROR('Ashed teabags wet'!C402,"")</f>
        <v>106</v>
      </c>
      <c r="BH404">
        <f>IFERROR('Ashed teabags wet'!C819,"")</f>
        <v>0</v>
      </c>
      <c r="BI404" t="str">
        <f>'Ashed teabags wet'!AB402</f>
        <v/>
      </c>
      <c r="BJ404">
        <f>'Ashed teabags wet'!AC402</f>
        <v>108</v>
      </c>
      <c r="BK404" t="str">
        <f>'Ashed teabags wet'!AD819</f>
        <v/>
      </c>
      <c r="BL404" t="str">
        <f>'Ashed teabags wet'!AE819</f>
        <v/>
      </c>
      <c r="BN404" t="str">
        <f t="shared" si="162"/>
        <v>G886</v>
      </c>
      <c r="BO404" t="b">
        <f t="shared" si="163"/>
        <v>1</v>
      </c>
    </row>
    <row r="405" spans="2:67" ht="12" customHeight="1">
      <c r="B405" t="str">
        <f>TBIDry!H477</f>
        <v>G136</v>
      </c>
      <c r="C405" t="str">
        <f>TBIDry!I477</f>
        <v>R697</v>
      </c>
      <c r="D405" t="b">
        <f t="shared" si="144"/>
        <v>0</v>
      </c>
      <c r="E405" t="b">
        <f t="shared" si="145"/>
        <v>0</v>
      </c>
      <c r="G405" t="str">
        <f>TBIWet!H477</f>
        <v>G818</v>
      </c>
      <c r="H405" t="str">
        <f>TBIWet!I477</f>
        <v>R537</v>
      </c>
      <c r="I405" t="b">
        <f t="shared" si="146"/>
        <v>0</v>
      </c>
      <c r="J405" t="b">
        <f t="shared" si="147"/>
        <v>0</v>
      </c>
      <c r="L405" t="str">
        <f>'Both teabags AfterWet'!A404</f>
        <v>G888</v>
      </c>
      <c r="M405" t="str">
        <f>'Both teabags AfterWet'!A822</f>
        <v>R77</v>
      </c>
      <c r="N405" t="b">
        <f t="shared" si="148"/>
        <v>0</v>
      </c>
      <c r="O405" t="b">
        <f t="shared" si="149"/>
        <v>0</v>
      </c>
      <c r="P405">
        <f>IFERROR('Both teabags AfterWet'!B404,"")</f>
        <v>129</v>
      </c>
      <c r="Q405">
        <f>'Both teabags AfterWet'!B822</f>
        <v>41</v>
      </c>
      <c r="S405" s="401" t="b">
        <f t="shared" si="150"/>
        <v>0</v>
      </c>
      <c r="T405" s="401" t="b">
        <f t="shared" si="151"/>
        <v>0</v>
      </c>
      <c r="AA405" t="str">
        <f>'Green_rooibos initial weight'!A406</f>
        <v>G402</v>
      </c>
      <c r="AB405" t="str">
        <f>'Green_rooibos initial weight'!A1310</f>
        <v>R402</v>
      </c>
      <c r="AC405" t="b">
        <f t="shared" si="152"/>
        <v>0</v>
      </c>
      <c r="AD405" t="b">
        <f t="shared" si="153"/>
        <v>0</v>
      </c>
      <c r="AG405" t="str">
        <f>'WetLitterbags placem_collection'!O184</f>
        <v>G818</v>
      </c>
      <c r="AH405" t="str">
        <f>'WetLitterbags placem_collection'!Q184</f>
        <v>R537</v>
      </c>
      <c r="AI405" t="b">
        <f t="shared" si="154"/>
        <v>0</v>
      </c>
      <c r="AJ405" t="b">
        <f t="shared" si="155"/>
        <v>0</v>
      </c>
      <c r="AK405">
        <f>'WetLitterbags placem_collection'!A184</f>
        <v>182</v>
      </c>
      <c r="AL405">
        <f>'WetLitterbags placem_collection'!A184</f>
        <v>182</v>
      </c>
      <c r="AN405">
        <f>IF('Dry_Litterbag Placem_Collection'!L184=0,"",'Dry_Litterbag Placem_Collection'!L184)</f>
        <v>136</v>
      </c>
      <c r="AO405">
        <f>IF('Dry_Litterbag Placem_Collection'!M184=0,"",'Dry_Litterbag Placem_Collection'!M184)</f>
        <v>697</v>
      </c>
      <c r="AP405" t="b">
        <f t="shared" si="156"/>
        <v>0</v>
      </c>
      <c r="AQ405" t="b">
        <f t="shared" si="157"/>
        <v>0</v>
      </c>
      <c r="AZ405" s="401" t="b">
        <f t="shared" si="158"/>
        <v>0</v>
      </c>
      <c r="BA405" s="401" t="b">
        <f t="shared" si="159"/>
        <v>0</v>
      </c>
      <c r="BC405" t="str">
        <f>'Ashed teabags wet'!A403</f>
        <v>G888</v>
      </c>
      <c r="BD405">
        <f>'Ashed teabags wet'!A820</f>
        <v>0</v>
      </c>
      <c r="BE405" t="b">
        <f t="shared" si="160"/>
        <v>0</v>
      </c>
      <c r="BF405" t="b">
        <f t="shared" si="161"/>
        <v>1</v>
      </c>
      <c r="BG405">
        <f>IFERROR('Ashed teabags wet'!C403,"")</f>
        <v>129</v>
      </c>
      <c r="BH405">
        <f>IFERROR('Ashed teabags wet'!C820,"")</f>
        <v>0</v>
      </c>
      <c r="BI405" t="str">
        <f>'Ashed teabags wet'!AB403</f>
        <v/>
      </c>
      <c r="BJ405">
        <f>'Ashed teabags wet'!AC403</f>
        <v>128</v>
      </c>
      <c r="BK405">
        <f>'Ashed teabags wet'!AD820</f>
        <v>0</v>
      </c>
      <c r="BL405">
        <f>'Ashed teabags wet'!AE820</f>
        <v>0</v>
      </c>
      <c r="BN405" t="str">
        <f t="shared" si="162"/>
        <v>G887</v>
      </c>
      <c r="BO405" t="b">
        <f t="shared" si="163"/>
        <v>1</v>
      </c>
    </row>
    <row r="406" spans="2:67" ht="12" customHeight="1">
      <c r="B406" t="str">
        <f>TBIDry!H478</f>
        <v/>
      </c>
      <c r="C406" t="str">
        <f>TBIDry!I478</f>
        <v/>
      </c>
      <c r="D406" t="b">
        <f t="shared" si="144"/>
        <v>1</v>
      </c>
      <c r="E406" t="b">
        <f t="shared" si="145"/>
        <v>1</v>
      </c>
      <c r="G406" t="str">
        <f>TBIWet!H478</f>
        <v>G896</v>
      </c>
      <c r="H406" t="str">
        <f>TBIWet!I478</f>
        <v>R290</v>
      </c>
      <c r="I406" t="b">
        <f t="shared" si="146"/>
        <v>0</v>
      </c>
      <c r="J406" t="b">
        <f t="shared" si="147"/>
        <v>0</v>
      </c>
      <c r="L406" t="str">
        <f>'Both teabags AfterWet'!A405</f>
        <v>G889</v>
      </c>
      <c r="M406" t="str">
        <f>'Both teabags AfterWet'!A823</f>
        <v>R78</v>
      </c>
      <c r="N406" t="b">
        <f t="shared" si="148"/>
        <v>0</v>
      </c>
      <c r="O406" t="b">
        <f t="shared" si="149"/>
        <v>0</v>
      </c>
      <c r="P406">
        <f>IFERROR('Both teabags AfterWet'!B405,"")</f>
        <v>114</v>
      </c>
      <c r="Q406">
        <f>'Both teabags AfterWet'!B823</f>
        <v>60</v>
      </c>
      <c r="S406" s="401" t="b">
        <f t="shared" si="150"/>
        <v>0</v>
      </c>
      <c r="T406" s="401" t="b">
        <f t="shared" si="151"/>
        <v>0</v>
      </c>
      <c r="AA406" t="str">
        <f>'Green_rooibos initial weight'!A407</f>
        <v>G403</v>
      </c>
      <c r="AB406" t="str">
        <f>'Green_rooibos initial weight'!A1311</f>
        <v>R403</v>
      </c>
      <c r="AC406" t="b">
        <f t="shared" si="152"/>
        <v>0</v>
      </c>
      <c r="AD406" t="b">
        <f t="shared" si="153"/>
        <v>0</v>
      </c>
      <c r="AG406" t="str">
        <f>'WetLitterbags placem_collection'!O185</f>
        <v>G896</v>
      </c>
      <c r="AH406" t="str">
        <f>'WetLitterbags placem_collection'!Q185</f>
        <v>R290</v>
      </c>
      <c r="AI406" t="b">
        <f t="shared" si="154"/>
        <v>0</v>
      </c>
      <c r="AJ406" t="b">
        <f t="shared" si="155"/>
        <v>0</v>
      </c>
      <c r="AK406">
        <f>'WetLitterbags placem_collection'!A185</f>
        <v>183</v>
      </c>
      <c r="AL406">
        <f>'WetLitterbags placem_collection'!A185</f>
        <v>183</v>
      </c>
      <c r="AN406" t="str">
        <f>IF('Dry_Litterbag Placem_Collection'!L185=0,"",'Dry_Litterbag Placem_Collection'!L185)</f>
        <v/>
      </c>
      <c r="AO406" t="str">
        <f>IF('Dry_Litterbag Placem_Collection'!M185=0,"",'Dry_Litterbag Placem_Collection'!M185)</f>
        <v/>
      </c>
      <c r="AP406" t="b">
        <f t="shared" si="156"/>
        <v>1</v>
      </c>
      <c r="AQ406" t="b">
        <f t="shared" si="157"/>
        <v>1</v>
      </c>
      <c r="AZ406" s="401" t="b">
        <f t="shared" si="158"/>
        <v>0</v>
      </c>
      <c r="BA406" s="401" t="b">
        <f t="shared" si="159"/>
        <v>0</v>
      </c>
      <c r="BC406" t="str">
        <f>'Ashed teabags wet'!A404</f>
        <v>G889</v>
      </c>
      <c r="BD406">
        <f>'Ashed teabags wet'!A821</f>
        <v>0</v>
      </c>
      <c r="BE406" t="b">
        <f t="shared" si="160"/>
        <v>0</v>
      </c>
      <c r="BF406" t="b">
        <f t="shared" si="161"/>
        <v>1</v>
      </c>
      <c r="BG406">
        <f>IFERROR('Ashed teabags wet'!C404,"")</f>
        <v>114</v>
      </c>
      <c r="BH406">
        <f>IFERROR('Ashed teabags wet'!C821,"")</f>
        <v>0</v>
      </c>
      <c r="BI406" t="str">
        <f>'Ashed teabags wet'!AB404</f>
        <v/>
      </c>
      <c r="BJ406">
        <f>'Ashed teabags wet'!AC404</f>
        <v>113</v>
      </c>
      <c r="BK406">
        <f>'Ashed teabags wet'!AD821</f>
        <v>0</v>
      </c>
      <c r="BL406">
        <f>'Ashed teabags wet'!AE821</f>
        <v>0</v>
      </c>
      <c r="BN406" t="str">
        <f t="shared" si="162"/>
        <v>G888</v>
      </c>
      <c r="BO406" t="b">
        <f t="shared" si="163"/>
        <v>1</v>
      </c>
    </row>
    <row r="407" spans="2:67" ht="12" customHeight="1">
      <c r="B407" t="str">
        <f>TBIDry!H479</f>
        <v>G266</v>
      </c>
      <c r="C407" t="str">
        <f>TBIDry!I479</f>
        <v>R674</v>
      </c>
      <c r="D407" t="b">
        <f t="shared" si="144"/>
        <v>0</v>
      </c>
      <c r="E407" t="b">
        <f t="shared" si="145"/>
        <v>0</v>
      </c>
      <c r="G407" t="str">
        <f>TBIWet!H479</f>
        <v>G337</v>
      </c>
      <c r="H407" t="str">
        <f>TBIWet!I479</f>
        <v>R555</v>
      </c>
      <c r="I407" t="b">
        <f t="shared" si="146"/>
        <v>0</v>
      </c>
      <c r="J407" t="b">
        <f t="shared" si="147"/>
        <v>0</v>
      </c>
      <c r="L407" t="str">
        <f>'Both teabags AfterWet'!A406</f>
        <v>G890</v>
      </c>
      <c r="M407" t="str">
        <f>'Both teabags AfterWet'!A824</f>
        <v>R79</v>
      </c>
      <c r="N407" t="b">
        <f t="shared" si="148"/>
        <v>0</v>
      </c>
      <c r="O407" t="b">
        <f t="shared" si="149"/>
        <v>0</v>
      </c>
      <c r="P407">
        <f>IFERROR('Both teabags AfterWet'!B406,"")</f>
        <v>157</v>
      </c>
      <c r="Q407">
        <f>'Both teabags AfterWet'!B824</f>
        <v>21</v>
      </c>
      <c r="S407" s="401" t="b">
        <f t="shared" si="150"/>
        <v>0</v>
      </c>
      <c r="T407" s="401" t="b">
        <f t="shared" si="151"/>
        <v>0</v>
      </c>
      <c r="AA407" t="str">
        <f>'Green_rooibos initial weight'!A408</f>
        <v>G404</v>
      </c>
      <c r="AB407" t="str">
        <f>'Green_rooibos initial weight'!A1312</f>
        <v>R404</v>
      </c>
      <c r="AC407" t="b">
        <f t="shared" si="152"/>
        <v>0</v>
      </c>
      <c r="AD407" t="b">
        <f t="shared" si="153"/>
        <v>0</v>
      </c>
      <c r="AG407" t="str">
        <f>'WetLitterbags placem_collection'!O186</f>
        <v>G337</v>
      </c>
      <c r="AH407" t="str">
        <f>'WetLitterbags placem_collection'!Q186</f>
        <v>R555</v>
      </c>
      <c r="AI407" t="b">
        <f t="shared" si="154"/>
        <v>0</v>
      </c>
      <c r="AJ407" t="b">
        <f t="shared" si="155"/>
        <v>0</v>
      </c>
      <c r="AK407">
        <f>'WetLitterbags placem_collection'!A186</f>
        <v>184</v>
      </c>
      <c r="AL407">
        <f>'WetLitterbags placem_collection'!A186</f>
        <v>184</v>
      </c>
      <c r="AN407">
        <f>IF('Dry_Litterbag Placem_Collection'!L186=0,"",'Dry_Litterbag Placem_Collection'!L186)</f>
        <v>266</v>
      </c>
      <c r="AO407">
        <f>IF('Dry_Litterbag Placem_Collection'!M186=0,"",'Dry_Litterbag Placem_Collection'!M186)</f>
        <v>674</v>
      </c>
      <c r="AP407" t="b">
        <f t="shared" si="156"/>
        <v>0</v>
      </c>
      <c r="AQ407" t="b">
        <f t="shared" si="157"/>
        <v>0</v>
      </c>
      <c r="AZ407" s="401" t="b">
        <f t="shared" si="158"/>
        <v>0</v>
      </c>
      <c r="BA407" s="401" t="b">
        <f t="shared" si="159"/>
        <v>0</v>
      </c>
      <c r="BC407" t="str">
        <f>'Ashed teabags wet'!A405</f>
        <v>G890</v>
      </c>
      <c r="BD407">
        <f>'Ashed teabags wet'!A822</f>
        <v>0</v>
      </c>
      <c r="BE407" t="b">
        <f t="shared" si="160"/>
        <v>0</v>
      </c>
      <c r="BF407" t="b">
        <f t="shared" si="161"/>
        <v>1</v>
      </c>
      <c r="BG407">
        <f>IFERROR('Ashed teabags wet'!C405,"")</f>
        <v>157</v>
      </c>
      <c r="BH407">
        <f>IFERROR('Ashed teabags wet'!C822,"")</f>
        <v>0</v>
      </c>
      <c r="BI407">
        <f>'Ashed teabags wet'!AB405</f>
        <v>156</v>
      </c>
      <c r="BJ407" t="str">
        <f>'Ashed teabags wet'!AC405</f>
        <v/>
      </c>
      <c r="BK407">
        <f>'Ashed teabags wet'!AD822</f>
        <v>0</v>
      </c>
      <c r="BL407">
        <f>'Ashed teabags wet'!AE822</f>
        <v>0</v>
      </c>
      <c r="BN407" t="str">
        <f t="shared" si="162"/>
        <v>G889</v>
      </c>
      <c r="BO407" t="b">
        <f t="shared" si="163"/>
        <v>1</v>
      </c>
    </row>
    <row r="408" spans="2:67" ht="12" customHeight="1">
      <c r="B408" t="str">
        <f>TBIDry!H480</f>
        <v>G165</v>
      </c>
      <c r="C408" t="str">
        <f>TBIDry!I480</f>
        <v>R607</v>
      </c>
      <c r="D408" t="b">
        <f t="shared" si="144"/>
        <v>0</v>
      </c>
      <c r="E408" t="b">
        <f t="shared" si="145"/>
        <v>0</v>
      </c>
      <c r="G408" t="str">
        <f>TBIWet!H480</f>
        <v>G564</v>
      </c>
      <c r="H408" t="str">
        <f>TBIWet!I480</f>
        <v>R539</v>
      </c>
      <c r="I408" t="b">
        <f t="shared" si="146"/>
        <v>0</v>
      </c>
      <c r="J408" t="b">
        <f t="shared" si="147"/>
        <v>0</v>
      </c>
      <c r="L408" t="str">
        <f>'Both teabags AfterWet'!A407</f>
        <v>G891</v>
      </c>
      <c r="M408" t="str">
        <f>'Both teabags AfterWet'!A825</f>
        <v>R8</v>
      </c>
      <c r="N408" t="b">
        <f t="shared" si="148"/>
        <v>0</v>
      </c>
      <c r="O408" t="b">
        <f t="shared" si="149"/>
        <v>0</v>
      </c>
      <c r="P408">
        <f>IFERROR('Both teabags AfterWet'!B407,"")</f>
        <v>207</v>
      </c>
      <c r="Q408">
        <f>'Both teabags AfterWet'!B825</f>
        <v>108</v>
      </c>
      <c r="S408" s="401" t="b">
        <f t="shared" si="150"/>
        <v>0</v>
      </c>
      <c r="T408" s="401" t="b">
        <f t="shared" si="151"/>
        <v>0</v>
      </c>
      <c r="AA408" t="str">
        <f>'Green_rooibos initial weight'!A409</f>
        <v>G405</v>
      </c>
      <c r="AB408" t="str">
        <f>'Green_rooibos initial weight'!A1313</f>
        <v>R405</v>
      </c>
      <c r="AC408" t="b">
        <f t="shared" si="152"/>
        <v>0</v>
      </c>
      <c r="AD408" t="b">
        <f t="shared" si="153"/>
        <v>0</v>
      </c>
      <c r="AG408" t="str">
        <f>'WetLitterbags placem_collection'!O187</f>
        <v>G564</v>
      </c>
      <c r="AH408" t="str">
        <f>'WetLitterbags placem_collection'!Q187</f>
        <v>R539</v>
      </c>
      <c r="AI408" t="b">
        <f t="shared" si="154"/>
        <v>0</v>
      </c>
      <c r="AJ408" t="b">
        <f t="shared" si="155"/>
        <v>0</v>
      </c>
      <c r="AK408">
        <f>'WetLitterbags placem_collection'!A187</f>
        <v>185</v>
      </c>
      <c r="AL408">
        <f>'WetLitterbags placem_collection'!A187</f>
        <v>185</v>
      </c>
      <c r="AN408">
        <f>IF('Dry_Litterbag Placem_Collection'!L187=0,"",'Dry_Litterbag Placem_Collection'!L187)</f>
        <v>165</v>
      </c>
      <c r="AO408">
        <f>IF('Dry_Litterbag Placem_Collection'!M187=0,"",'Dry_Litterbag Placem_Collection'!M187)</f>
        <v>607</v>
      </c>
      <c r="AP408" t="b">
        <f t="shared" si="156"/>
        <v>0</v>
      </c>
      <c r="AQ408" t="b">
        <f t="shared" si="157"/>
        <v>0</v>
      </c>
      <c r="AZ408" s="401" t="b">
        <f t="shared" si="158"/>
        <v>0</v>
      </c>
      <c r="BA408" s="401" t="b">
        <f t="shared" si="159"/>
        <v>0</v>
      </c>
      <c r="BC408" t="str">
        <f>'Ashed teabags wet'!A406</f>
        <v>G891</v>
      </c>
      <c r="BE408" t="b">
        <f t="shared" si="160"/>
        <v>0</v>
      </c>
      <c r="BF408" t="b">
        <f t="shared" si="161"/>
        <v>1</v>
      </c>
      <c r="BG408">
        <f>IFERROR('Ashed teabags wet'!C406,"")</f>
        <v>206</v>
      </c>
      <c r="BH408">
        <f>IFERROR('Ashed teabags wet'!C823,"")</f>
        <v>0</v>
      </c>
      <c r="BI408" t="str">
        <f>'Ashed teabags wet'!AB406</f>
        <v/>
      </c>
      <c r="BJ408">
        <f>'Ashed teabags wet'!AC406</f>
        <v>205</v>
      </c>
      <c r="BK408">
        <f>'Ashed teabags wet'!AD823</f>
        <v>0</v>
      </c>
      <c r="BL408">
        <f>'Ashed teabags wet'!AE823</f>
        <v>0</v>
      </c>
      <c r="BN408" t="str">
        <f t="shared" si="162"/>
        <v>G890</v>
      </c>
      <c r="BO408" t="b">
        <f t="shared" si="163"/>
        <v>1</v>
      </c>
    </row>
    <row r="409" spans="2:67" ht="12" customHeight="1">
      <c r="B409" t="str">
        <f>TBIDry!H481</f>
        <v>G22</v>
      </c>
      <c r="C409" t="str">
        <f>TBIDry!I481</f>
        <v>R629</v>
      </c>
      <c r="D409" t="b">
        <f t="shared" si="144"/>
        <v>0</v>
      </c>
      <c r="E409" t="b">
        <f t="shared" si="145"/>
        <v>0</v>
      </c>
      <c r="G409" t="str">
        <f>TBIWet!H481</f>
        <v>G608</v>
      </c>
      <c r="H409" t="str">
        <f>TBIWet!I481</f>
        <v>R186</v>
      </c>
      <c r="I409" t="b">
        <f t="shared" si="146"/>
        <v>0</v>
      </c>
      <c r="J409" t="b">
        <f t="shared" si="147"/>
        <v>0</v>
      </c>
      <c r="L409" t="str">
        <f>'Both teabags AfterWet'!A408</f>
        <v>G892</v>
      </c>
      <c r="M409" t="str">
        <f>'Both teabags AfterWet'!A826</f>
        <v>R81</v>
      </c>
      <c r="N409" t="b">
        <f t="shared" si="148"/>
        <v>0</v>
      </c>
      <c r="O409" t="b">
        <f t="shared" si="149"/>
        <v>0</v>
      </c>
      <c r="P409">
        <f>IFERROR('Both teabags AfterWet'!B408,"")</f>
        <v>102</v>
      </c>
      <c r="Q409">
        <f>'Both teabags AfterWet'!B826</f>
        <v>42</v>
      </c>
      <c r="S409" s="401" t="b">
        <f t="shared" si="150"/>
        <v>0</v>
      </c>
      <c r="T409" s="401" t="b">
        <f t="shared" si="151"/>
        <v>0</v>
      </c>
      <c r="AA409" t="str">
        <f>'Green_rooibos initial weight'!A410</f>
        <v>G406</v>
      </c>
      <c r="AB409" t="str">
        <f>'Green_rooibos initial weight'!A1314</f>
        <v>R406</v>
      </c>
      <c r="AC409" t="b">
        <f t="shared" si="152"/>
        <v>0</v>
      </c>
      <c r="AD409" t="b">
        <f t="shared" si="153"/>
        <v>0</v>
      </c>
      <c r="AG409" t="str">
        <f>'WetLitterbags placem_collection'!O188</f>
        <v>G608</v>
      </c>
      <c r="AH409" t="str">
        <f>'WetLitterbags placem_collection'!Q188</f>
        <v>R186</v>
      </c>
      <c r="AI409" t="b">
        <f t="shared" si="154"/>
        <v>0</v>
      </c>
      <c r="AJ409" t="b">
        <f t="shared" si="155"/>
        <v>0</v>
      </c>
      <c r="AK409">
        <f>'WetLitterbags placem_collection'!A188</f>
        <v>186</v>
      </c>
      <c r="AL409">
        <f>'WetLitterbags placem_collection'!A188</f>
        <v>186</v>
      </c>
      <c r="AN409">
        <f>IF('Dry_Litterbag Placem_Collection'!L188=0,"",'Dry_Litterbag Placem_Collection'!L188)</f>
        <v>22</v>
      </c>
      <c r="AO409">
        <f>IF('Dry_Litterbag Placem_Collection'!M188=0,"",'Dry_Litterbag Placem_Collection'!M188)</f>
        <v>629</v>
      </c>
      <c r="AP409" t="b">
        <f t="shared" si="156"/>
        <v>0</v>
      </c>
      <c r="AQ409" t="b">
        <f t="shared" si="157"/>
        <v>0</v>
      </c>
      <c r="AZ409" s="401" t="b">
        <f t="shared" si="158"/>
        <v>0</v>
      </c>
      <c r="BA409" s="401" t="b">
        <f t="shared" si="159"/>
        <v>0</v>
      </c>
      <c r="BC409" t="str">
        <f>'Ashed teabags wet'!A407</f>
        <v>G892</v>
      </c>
      <c r="BE409" t="b">
        <f t="shared" si="160"/>
        <v>0</v>
      </c>
      <c r="BF409" t="b">
        <f t="shared" si="161"/>
        <v>1</v>
      </c>
      <c r="BG409">
        <f>IFERROR('Ashed teabags wet'!C407,"")</f>
        <v>102</v>
      </c>
      <c r="BH409">
        <f>IFERROR('Ashed teabags wet'!C824,"")</f>
        <v>0</v>
      </c>
      <c r="BI409">
        <f>'Ashed teabags wet'!AB407</f>
        <v>101</v>
      </c>
      <c r="BJ409" t="str">
        <f>'Ashed teabags wet'!AC407</f>
        <v/>
      </c>
      <c r="BK409">
        <f>'Ashed teabags wet'!AD824</f>
        <v>0</v>
      </c>
      <c r="BL409">
        <f>'Ashed teabags wet'!AE824</f>
        <v>0</v>
      </c>
      <c r="BN409" t="str">
        <f t="shared" si="162"/>
        <v>G891</v>
      </c>
      <c r="BO409" t="b">
        <f t="shared" si="163"/>
        <v>1</v>
      </c>
    </row>
    <row r="410" spans="2:67" ht="12" customHeight="1">
      <c r="B410" t="str">
        <f>TBIDry!H482</f>
        <v>G371</v>
      </c>
      <c r="C410" t="str">
        <f>TBIDry!I482</f>
        <v>R679</v>
      </c>
      <c r="D410" t="b">
        <f t="shared" si="144"/>
        <v>0</v>
      </c>
      <c r="E410" t="b">
        <f t="shared" si="145"/>
        <v>0</v>
      </c>
      <c r="G410" t="str">
        <f>TBIWet!H482</f>
        <v>G365</v>
      </c>
      <c r="H410" t="str">
        <f>TBIWet!I482</f>
        <v>R580</v>
      </c>
      <c r="I410" t="b">
        <f t="shared" si="146"/>
        <v>0</v>
      </c>
      <c r="J410" t="b">
        <f t="shared" si="147"/>
        <v>0</v>
      </c>
      <c r="L410" t="str">
        <f>'Both teabags AfterWet'!A409</f>
        <v>G893</v>
      </c>
      <c r="M410" t="str">
        <f>'Both teabags AfterWet'!A827</f>
        <v>R82</v>
      </c>
      <c r="N410" t="b">
        <f t="shared" si="148"/>
        <v>0</v>
      </c>
      <c r="O410" t="b">
        <f t="shared" si="149"/>
        <v>0</v>
      </c>
      <c r="P410">
        <f>IFERROR('Both teabags AfterWet'!B409,"")</f>
        <v>178</v>
      </c>
      <c r="Q410" t="str">
        <f>'Both teabags AfterWet'!B827</f>
        <v>n.a</v>
      </c>
      <c r="S410" s="401" t="b">
        <f t="shared" si="150"/>
        <v>0</v>
      </c>
      <c r="T410" s="401" t="b">
        <f t="shared" si="151"/>
        <v>0</v>
      </c>
      <c r="AA410" t="str">
        <f>'Green_rooibos initial weight'!A411</f>
        <v>G407</v>
      </c>
      <c r="AB410" t="str">
        <f>'Green_rooibos initial weight'!A1315</f>
        <v>R407</v>
      </c>
      <c r="AC410" t="b">
        <f t="shared" si="152"/>
        <v>0</v>
      </c>
      <c r="AD410" t="b">
        <f t="shared" si="153"/>
        <v>0</v>
      </c>
      <c r="AG410" t="str">
        <f>'WetLitterbags placem_collection'!O189</f>
        <v>G365</v>
      </c>
      <c r="AH410" t="str">
        <f>'WetLitterbags placem_collection'!Q189</f>
        <v>R580</v>
      </c>
      <c r="AI410" t="b">
        <f t="shared" si="154"/>
        <v>0</v>
      </c>
      <c r="AJ410" t="b">
        <f t="shared" si="155"/>
        <v>0</v>
      </c>
      <c r="AK410">
        <f>'WetLitterbags placem_collection'!A189</f>
        <v>187</v>
      </c>
      <c r="AL410">
        <f>'WetLitterbags placem_collection'!A189</f>
        <v>187</v>
      </c>
      <c r="AN410">
        <f>IF('Dry_Litterbag Placem_Collection'!L189=0,"",'Dry_Litterbag Placem_Collection'!L189)</f>
        <v>371</v>
      </c>
      <c r="AO410">
        <f>IF('Dry_Litterbag Placem_Collection'!M189=0,"",'Dry_Litterbag Placem_Collection'!M189)</f>
        <v>679</v>
      </c>
      <c r="AP410" t="b">
        <f t="shared" si="156"/>
        <v>0</v>
      </c>
      <c r="AQ410" t="b">
        <f t="shared" si="157"/>
        <v>0</v>
      </c>
      <c r="AZ410" s="401" t="b">
        <f t="shared" si="158"/>
        <v>0</v>
      </c>
      <c r="BA410" s="401" t="b">
        <f t="shared" si="159"/>
        <v>0</v>
      </c>
      <c r="BC410" t="str">
        <f>'Ashed teabags wet'!A408</f>
        <v>G893</v>
      </c>
      <c r="BE410" t="b">
        <f t="shared" si="160"/>
        <v>0</v>
      </c>
      <c r="BF410" t="b">
        <f t="shared" si="161"/>
        <v>1</v>
      </c>
      <c r="BG410">
        <f>IFERROR('Ashed teabags wet'!C408,"")</f>
        <v>178</v>
      </c>
      <c r="BH410">
        <f>IFERROR('Ashed teabags wet'!C825,"")</f>
        <v>0</v>
      </c>
      <c r="BI410" t="str">
        <f>'Ashed teabags wet'!AB408</f>
        <v/>
      </c>
      <c r="BJ410">
        <f>'Ashed teabags wet'!AC408</f>
        <v>177</v>
      </c>
      <c r="BK410">
        <f>'Ashed teabags wet'!AD825</f>
        <v>0</v>
      </c>
      <c r="BL410">
        <f>'Ashed teabags wet'!AE825</f>
        <v>0</v>
      </c>
      <c r="BN410" t="str">
        <f t="shared" si="162"/>
        <v>G892</v>
      </c>
      <c r="BO410" t="b">
        <f t="shared" si="163"/>
        <v>1</v>
      </c>
    </row>
    <row r="411" spans="2:67" ht="12" customHeight="1">
      <c r="B411" t="str">
        <f>TBIDry!H483</f>
        <v>G185</v>
      </c>
      <c r="C411" t="str">
        <f>TBIDry!I483</f>
        <v>R682</v>
      </c>
      <c r="D411" t="b">
        <f t="shared" si="144"/>
        <v>0</v>
      </c>
      <c r="E411" t="b">
        <f t="shared" si="145"/>
        <v>0</v>
      </c>
      <c r="G411" t="str">
        <f>TBIWet!H483</f>
        <v>G375</v>
      </c>
      <c r="H411" t="str">
        <f>TBIWet!I483</f>
        <v>R222</v>
      </c>
      <c r="I411" t="b">
        <f t="shared" si="146"/>
        <v>0</v>
      </c>
      <c r="J411" t="b">
        <f t="shared" si="147"/>
        <v>0</v>
      </c>
      <c r="L411" t="str">
        <f>'Both teabags AfterWet'!A410</f>
        <v>G894</v>
      </c>
      <c r="M411" t="str">
        <f>'Both teabags AfterWet'!A828</f>
        <v>R83</v>
      </c>
      <c r="N411" t="b">
        <f t="shared" si="148"/>
        <v>0</v>
      </c>
      <c r="O411" t="b">
        <f t="shared" si="149"/>
        <v>0</v>
      </c>
      <c r="P411">
        <f>IFERROR('Both teabags AfterWet'!B410,"")</f>
        <v>144</v>
      </c>
      <c r="Q411">
        <f>'Both teabags AfterWet'!B828</f>
        <v>82</v>
      </c>
      <c r="S411" s="401" t="b">
        <f t="shared" si="150"/>
        <v>0</v>
      </c>
      <c r="T411" s="401" t="b">
        <f t="shared" si="151"/>
        <v>0</v>
      </c>
      <c r="AA411" t="str">
        <f>'Green_rooibos initial weight'!A412</f>
        <v>G408</v>
      </c>
      <c r="AB411" t="str">
        <f>'Green_rooibos initial weight'!A1316</f>
        <v>R408</v>
      </c>
      <c r="AC411" t="b">
        <f t="shared" si="152"/>
        <v>0</v>
      </c>
      <c r="AD411" t="b">
        <f t="shared" si="153"/>
        <v>0</v>
      </c>
      <c r="AG411" t="str">
        <f>'WetLitterbags placem_collection'!O190</f>
        <v>G375</v>
      </c>
      <c r="AH411" t="str">
        <f>'WetLitterbags placem_collection'!Q190</f>
        <v>R222</v>
      </c>
      <c r="AI411" t="b">
        <f t="shared" si="154"/>
        <v>0</v>
      </c>
      <c r="AJ411" t="b">
        <f t="shared" si="155"/>
        <v>0</v>
      </c>
      <c r="AK411">
        <f>'WetLitterbags placem_collection'!A190</f>
        <v>188</v>
      </c>
      <c r="AL411">
        <f>'WetLitterbags placem_collection'!A190</f>
        <v>188</v>
      </c>
      <c r="AN411">
        <f>IF('Dry_Litterbag Placem_Collection'!L190=0,"",'Dry_Litterbag Placem_Collection'!L190)</f>
        <v>185</v>
      </c>
      <c r="AO411">
        <f>IF('Dry_Litterbag Placem_Collection'!M190=0,"",'Dry_Litterbag Placem_Collection'!M190)</f>
        <v>682</v>
      </c>
      <c r="AP411" t="b">
        <f t="shared" si="156"/>
        <v>0</v>
      </c>
      <c r="AQ411" t="b">
        <f t="shared" si="157"/>
        <v>0</v>
      </c>
      <c r="AZ411" s="401" t="b">
        <f t="shared" si="158"/>
        <v>0</v>
      </c>
      <c r="BA411" s="401" t="b">
        <f t="shared" si="159"/>
        <v>0</v>
      </c>
      <c r="BC411" t="str">
        <f>'Ashed teabags wet'!A409</f>
        <v>G894</v>
      </c>
      <c r="BE411" t="b">
        <f t="shared" si="160"/>
        <v>0</v>
      </c>
      <c r="BF411" t="b">
        <f t="shared" si="161"/>
        <v>1</v>
      </c>
      <c r="BG411">
        <f>IFERROR('Ashed teabags wet'!C409,"")</f>
        <v>144</v>
      </c>
      <c r="BH411">
        <f>IFERROR('Ashed teabags wet'!C826,"")</f>
        <v>0</v>
      </c>
      <c r="BI411" t="str">
        <f>'Ashed teabags wet'!AB409</f>
        <v/>
      </c>
      <c r="BJ411">
        <f>'Ashed teabags wet'!AC409</f>
        <v>143</v>
      </c>
      <c r="BK411">
        <f>'Ashed teabags wet'!AD826</f>
        <v>0</v>
      </c>
      <c r="BL411">
        <f>'Ashed teabags wet'!AE826</f>
        <v>0</v>
      </c>
      <c r="BN411" t="str">
        <f t="shared" si="162"/>
        <v>G893</v>
      </c>
      <c r="BO411" t="b">
        <f t="shared" si="163"/>
        <v>1</v>
      </c>
    </row>
    <row r="412" spans="2:67" ht="12" customHeight="1">
      <c r="B412" t="str">
        <f>TBIDry!H484</f>
        <v>G301</v>
      </c>
      <c r="C412" t="str">
        <f>TBIDry!I484</f>
        <v>R693</v>
      </c>
      <c r="D412" t="b">
        <f t="shared" si="144"/>
        <v>0</v>
      </c>
      <c r="E412" t="b">
        <f t="shared" si="145"/>
        <v>0</v>
      </c>
      <c r="G412" t="str">
        <f>TBIWet!H484</f>
        <v>G537</v>
      </c>
      <c r="H412" t="str">
        <f>TBIWet!I484</f>
        <v>R216</v>
      </c>
      <c r="I412" t="b">
        <f t="shared" si="146"/>
        <v>0</v>
      </c>
      <c r="J412" t="b">
        <f t="shared" si="147"/>
        <v>0</v>
      </c>
      <c r="L412" t="str">
        <f>'Both teabags AfterWet'!A411</f>
        <v>G895</v>
      </c>
      <c r="M412" t="str">
        <f>'Both teabags AfterWet'!A829</f>
        <v>R85</v>
      </c>
      <c r="N412" t="b">
        <f t="shared" si="148"/>
        <v>0</v>
      </c>
      <c r="O412" t="b">
        <f t="shared" si="149"/>
        <v>0</v>
      </c>
      <c r="P412">
        <f>IFERROR('Both teabags AfterWet'!B411,"")</f>
        <v>123</v>
      </c>
      <c r="Q412">
        <f>'Both teabags AfterWet'!B829</f>
        <v>51</v>
      </c>
      <c r="S412" s="401" t="b">
        <f t="shared" si="150"/>
        <v>0</v>
      </c>
      <c r="T412" s="401" t="b">
        <f t="shared" si="151"/>
        <v>0</v>
      </c>
      <c r="AA412" t="str">
        <f>'Green_rooibos initial weight'!A413</f>
        <v>G409</v>
      </c>
      <c r="AB412" t="str">
        <f>'Green_rooibos initial weight'!A1317</f>
        <v>R409</v>
      </c>
      <c r="AC412" t="b">
        <f t="shared" si="152"/>
        <v>0</v>
      </c>
      <c r="AD412" t="b">
        <f t="shared" si="153"/>
        <v>0</v>
      </c>
      <c r="AG412" t="str">
        <f>'WetLitterbags placem_collection'!O191</f>
        <v>G537</v>
      </c>
      <c r="AH412" t="str">
        <f>'WetLitterbags placem_collection'!Q191</f>
        <v>R216</v>
      </c>
      <c r="AI412" t="b">
        <f t="shared" si="154"/>
        <v>0</v>
      </c>
      <c r="AJ412" t="b">
        <f t="shared" si="155"/>
        <v>0</v>
      </c>
      <c r="AK412">
        <f>'WetLitterbags placem_collection'!A191</f>
        <v>189</v>
      </c>
      <c r="AL412">
        <f>'WetLitterbags placem_collection'!A191</f>
        <v>189</v>
      </c>
      <c r="AN412">
        <f>IF('Dry_Litterbag Placem_Collection'!L191=0,"",'Dry_Litterbag Placem_Collection'!L191)</f>
        <v>301</v>
      </c>
      <c r="AO412">
        <f>IF('Dry_Litterbag Placem_Collection'!M191=0,"",'Dry_Litterbag Placem_Collection'!M191)</f>
        <v>693</v>
      </c>
      <c r="AP412" t="b">
        <f t="shared" si="156"/>
        <v>0</v>
      </c>
      <c r="AQ412" t="b">
        <f t="shared" si="157"/>
        <v>0</v>
      </c>
      <c r="AZ412" s="401" t="b">
        <f t="shared" si="158"/>
        <v>0</v>
      </c>
      <c r="BA412" s="401" t="b">
        <f t="shared" si="159"/>
        <v>0</v>
      </c>
      <c r="BC412" t="str">
        <f>'Ashed teabags wet'!A410</f>
        <v>G895</v>
      </c>
      <c r="BE412" t="b">
        <f t="shared" si="160"/>
        <v>0</v>
      </c>
      <c r="BF412" t="b">
        <f t="shared" si="161"/>
        <v>1</v>
      </c>
      <c r="BG412">
        <f>IFERROR('Ashed teabags wet'!C410,"")</f>
        <v>123</v>
      </c>
      <c r="BH412">
        <f>IFERROR('Ashed teabags wet'!C827,"")</f>
        <v>0</v>
      </c>
      <c r="BI412" t="str">
        <f>'Ashed teabags wet'!AB410</f>
        <v/>
      </c>
      <c r="BJ412">
        <f>'Ashed teabags wet'!AC410</f>
        <v>122</v>
      </c>
      <c r="BK412">
        <f>'Ashed teabags wet'!AD827</f>
        <v>0</v>
      </c>
      <c r="BL412">
        <f>'Ashed teabags wet'!AE827</f>
        <v>0</v>
      </c>
      <c r="BN412" t="str">
        <f t="shared" si="162"/>
        <v>G894</v>
      </c>
      <c r="BO412" t="b">
        <f t="shared" si="163"/>
        <v>1</v>
      </c>
    </row>
    <row r="413" spans="2:67" ht="12" customHeight="1">
      <c r="B413" t="str">
        <f>TBIDry!H485</f>
        <v>G466</v>
      </c>
      <c r="C413" t="str">
        <f>TBIDry!I485</f>
        <v>R605</v>
      </c>
      <c r="D413" t="b">
        <f t="shared" si="144"/>
        <v>0</v>
      </c>
      <c r="E413" t="b">
        <f t="shared" si="145"/>
        <v>0</v>
      </c>
      <c r="G413" t="str">
        <f>TBIWet!H485</f>
        <v>G393</v>
      </c>
      <c r="H413" t="str">
        <f>TBIWet!I485</f>
        <v>R232</v>
      </c>
      <c r="I413" t="b">
        <f t="shared" si="146"/>
        <v>0</v>
      </c>
      <c r="J413" t="b">
        <f t="shared" si="147"/>
        <v>0</v>
      </c>
      <c r="L413" t="str">
        <f>'Both teabags AfterWet'!A412</f>
        <v>G896</v>
      </c>
      <c r="M413" t="str">
        <f>'Both teabags AfterWet'!A830</f>
        <v>R87</v>
      </c>
      <c r="N413" t="b">
        <f t="shared" si="148"/>
        <v>0</v>
      </c>
      <c r="O413" t="b">
        <f t="shared" si="149"/>
        <v>0</v>
      </c>
      <c r="P413">
        <f>IFERROR('Both teabags AfterWet'!B412,"")</f>
        <v>183</v>
      </c>
      <c r="Q413">
        <f>'Both teabags AfterWet'!B830</f>
        <v>38</v>
      </c>
      <c r="S413" s="401" t="b">
        <f t="shared" si="150"/>
        <v>0</v>
      </c>
      <c r="T413" s="401" t="b">
        <f t="shared" si="151"/>
        <v>0</v>
      </c>
      <c r="AA413" t="str">
        <f>'Green_rooibos initial weight'!A414</f>
        <v>G410</v>
      </c>
      <c r="AB413" t="str">
        <f>'Green_rooibos initial weight'!A1318</f>
        <v>R410</v>
      </c>
      <c r="AC413" t="b">
        <f t="shared" si="152"/>
        <v>0</v>
      </c>
      <c r="AD413" t="b">
        <f t="shared" si="153"/>
        <v>0</v>
      </c>
      <c r="AG413" t="str">
        <f>'WetLitterbags placem_collection'!O192</f>
        <v>G393</v>
      </c>
      <c r="AH413" t="str">
        <f>'WetLitterbags placem_collection'!Q192</f>
        <v>R232</v>
      </c>
      <c r="AI413" t="b">
        <f t="shared" si="154"/>
        <v>0</v>
      </c>
      <c r="AJ413" t="b">
        <f t="shared" si="155"/>
        <v>0</v>
      </c>
      <c r="AK413">
        <f>'WetLitterbags placem_collection'!A192</f>
        <v>190</v>
      </c>
      <c r="AL413">
        <f>'WetLitterbags placem_collection'!A192</f>
        <v>190</v>
      </c>
      <c r="AN413">
        <f>IF('Dry_Litterbag Placem_Collection'!L192=0,"",'Dry_Litterbag Placem_Collection'!L192)</f>
        <v>466</v>
      </c>
      <c r="AO413">
        <f>IF('Dry_Litterbag Placem_Collection'!M192=0,"",'Dry_Litterbag Placem_Collection'!M192)</f>
        <v>605</v>
      </c>
      <c r="AP413" t="b">
        <f t="shared" si="156"/>
        <v>0</v>
      </c>
      <c r="AQ413" t="b">
        <f t="shared" si="157"/>
        <v>0</v>
      </c>
      <c r="AZ413" s="401" t="b">
        <f t="shared" si="158"/>
        <v>0</v>
      </c>
      <c r="BA413" s="401" t="b">
        <f t="shared" si="159"/>
        <v>0</v>
      </c>
      <c r="BC413" t="str">
        <f>'Ashed teabags wet'!A411</f>
        <v>G896</v>
      </c>
      <c r="BE413" t="b">
        <f t="shared" si="160"/>
        <v>0</v>
      </c>
      <c r="BF413" t="b">
        <f t="shared" si="161"/>
        <v>1</v>
      </c>
      <c r="BG413">
        <f>IFERROR('Ashed teabags wet'!C411,"")</f>
        <v>183</v>
      </c>
      <c r="BH413">
        <f>IFERROR('Ashed teabags wet'!C828,"")</f>
        <v>0</v>
      </c>
      <c r="BI413" t="str">
        <f>'Ashed teabags wet'!AB411</f>
        <v/>
      </c>
      <c r="BJ413">
        <f>'Ashed teabags wet'!AC411</f>
        <v>182</v>
      </c>
      <c r="BK413">
        <f>'Ashed teabags wet'!AD828</f>
        <v>0</v>
      </c>
      <c r="BL413">
        <f>'Ashed teabags wet'!AE828</f>
        <v>0</v>
      </c>
      <c r="BN413" t="str">
        <f t="shared" si="162"/>
        <v>G895</v>
      </c>
      <c r="BO413" t="b">
        <f t="shared" si="163"/>
        <v>1</v>
      </c>
    </row>
    <row r="414" spans="2:67" ht="12" customHeight="1">
      <c r="B414" t="str">
        <f>TBIDry!H486</f>
        <v>G32</v>
      </c>
      <c r="C414" t="str">
        <f>TBIDry!I486</f>
        <v>R240</v>
      </c>
      <c r="D414" t="b">
        <f t="shared" si="144"/>
        <v>0</v>
      </c>
      <c r="E414" t="b">
        <f t="shared" si="145"/>
        <v>0</v>
      </c>
      <c r="G414" t="str">
        <f>TBIWet!H486</f>
        <v>G417</v>
      </c>
      <c r="H414" t="str">
        <f>TBIWet!I486</f>
        <v>R387</v>
      </c>
      <c r="I414" t="b">
        <f t="shared" si="146"/>
        <v>0</v>
      </c>
      <c r="J414" t="b">
        <f t="shared" si="147"/>
        <v>0</v>
      </c>
      <c r="L414" t="str">
        <f>'Both teabags AfterWet'!A413</f>
        <v>G897</v>
      </c>
      <c r="M414" t="str">
        <f>'Both teabags AfterWet'!A831</f>
        <v>R88</v>
      </c>
      <c r="N414" t="b">
        <f t="shared" si="148"/>
        <v>0</v>
      </c>
      <c r="O414" t="b">
        <f t="shared" si="149"/>
        <v>0</v>
      </c>
      <c r="P414">
        <f>IFERROR('Both teabags AfterWet'!B413,"")</f>
        <v>116</v>
      </c>
      <c r="Q414">
        <f>'Both teabags AfterWet'!B831</f>
        <v>213</v>
      </c>
      <c r="S414" s="401" t="b">
        <f t="shared" si="150"/>
        <v>0</v>
      </c>
      <c r="T414" s="401" t="b">
        <f t="shared" si="151"/>
        <v>0</v>
      </c>
      <c r="AA414" t="str">
        <f>'Green_rooibos initial weight'!A415</f>
        <v>G411</v>
      </c>
      <c r="AB414" t="str">
        <f>'Green_rooibos initial weight'!A1319</f>
        <v>R411</v>
      </c>
      <c r="AC414" t="b">
        <f t="shared" si="152"/>
        <v>0</v>
      </c>
      <c r="AD414" t="b">
        <f t="shared" si="153"/>
        <v>0</v>
      </c>
      <c r="AG414" t="str">
        <f>'WetLitterbags placem_collection'!O193</f>
        <v>G417</v>
      </c>
      <c r="AH414" t="str">
        <f>'WetLitterbags placem_collection'!Q193</f>
        <v>R387</v>
      </c>
      <c r="AI414" t="b">
        <f t="shared" si="154"/>
        <v>0</v>
      </c>
      <c r="AJ414" t="b">
        <f t="shared" si="155"/>
        <v>0</v>
      </c>
      <c r="AK414">
        <f>'WetLitterbags placem_collection'!A193</f>
        <v>191</v>
      </c>
      <c r="AL414">
        <f>'WetLitterbags placem_collection'!A193</f>
        <v>191</v>
      </c>
      <c r="AN414">
        <f>IF('Dry_Litterbag Placem_Collection'!L193=0,"",'Dry_Litterbag Placem_Collection'!L193)</f>
        <v>32</v>
      </c>
      <c r="AO414">
        <f>IF('Dry_Litterbag Placem_Collection'!M193=0,"",'Dry_Litterbag Placem_Collection'!M193)</f>
        <v>240</v>
      </c>
      <c r="AP414" t="b">
        <f t="shared" si="156"/>
        <v>0</v>
      </c>
      <c r="AQ414" t="b">
        <f t="shared" si="157"/>
        <v>0</v>
      </c>
      <c r="AZ414" s="401" t="b">
        <f t="shared" si="158"/>
        <v>0</v>
      </c>
      <c r="BA414" s="401" t="b">
        <f t="shared" si="159"/>
        <v>0</v>
      </c>
      <c r="BC414" t="str">
        <f>'Ashed teabags wet'!A412</f>
        <v>G897</v>
      </c>
      <c r="BE414" t="b">
        <f t="shared" si="160"/>
        <v>0</v>
      </c>
      <c r="BF414" t="b">
        <f t="shared" si="161"/>
        <v>1</v>
      </c>
      <c r="BG414">
        <f>IFERROR('Ashed teabags wet'!C412,"")</f>
        <v>116</v>
      </c>
      <c r="BH414">
        <f>IFERROR('Ashed teabags wet'!C829,"")</f>
        <v>0</v>
      </c>
      <c r="BI414">
        <f>'Ashed teabags wet'!AB412</f>
        <v>115</v>
      </c>
      <c r="BJ414" t="str">
        <f>'Ashed teabags wet'!AC412</f>
        <v/>
      </c>
      <c r="BK414">
        <f>'Ashed teabags wet'!AD829</f>
        <v>0</v>
      </c>
      <c r="BL414">
        <f>'Ashed teabags wet'!AE829</f>
        <v>0</v>
      </c>
      <c r="BN414" t="str">
        <f t="shared" si="162"/>
        <v>G896</v>
      </c>
      <c r="BO414" t="b">
        <f t="shared" si="163"/>
        <v>1</v>
      </c>
    </row>
    <row r="415" spans="2:67" ht="12" customHeight="1">
      <c r="B415" t="str">
        <f>TBIDry!H487</f>
        <v/>
      </c>
      <c r="C415" t="str">
        <f>TBIDry!I487</f>
        <v/>
      </c>
      <c r="D415" t="b">
        <f t="shared" si="144"/>
        <v>1</v>
      </c>
      <c r="E415" t="b">
        <f t="shared" si="145"/>
        <v>1</v>
      </c>
      <c r="G415" t="str">
        <f>TBIWet!H487</f>
        <v>G297</v>
      </c>
      <c r="H415" t="str">
        <f>TBIWet!I487</f>
        <v>R346</v>
      </c>
      <c r="I415" t="b">
        <f t="shared" si="146"/>
        <v>0</v>
      </c>
      <c r="J415" t="b">
        <f t="shared" si="147"/>
        <v>0</v>
      </c>
      <c r="L415" t="str">
        <f>'Both teabags AfterWet'!A414</f>
        <v>G898</v>
      </c>
      <c r="M415" t="str">
        <f>'Both teabags AfterWet'!A832</f>
        <v>R89</v>
      </c>
      <c r="N415" t="b">
        <f t="shared" si="148"/>
        <v>0</v>
      </c>
      <c r="O415" t="b">
        <f t="shared" si="149"/>
        <v>0</v>
      </c>
      <c r="P415">
        <f>IFERROR('Both teabags AfterWet'!B414,"")</f>
        <v>127</v>
      </c>
      <c r="Q415">
        <f>'Both teabags AfterWet'!B832</f>
        <v>37</v>
      </c>
      <c r="S415" s="401" t="b">
        <f t="shared" si="150"/>
        <v>0</v>
      </c>
      <c r="T415" s="401" t="b">
        <f t="shared" si="151"/>
        <v>0</v>
      </c>
      <c r="AA415" t="str">
        <f>'Green_rooibos initial weight'!A416</f>
        <v>G412</v>
      </c>
      <c r="AB415" t="str">
        <f>'Green_rooibos initial weight'!A1320</f>
        <v>R412</v>
      </c>
      <c r="AC415" t="b">
        <f t="shared" si="152"/>
        <v>0</v>
      </c>
      <c r="AD415" t="b">
        <f t="shared" si="153"/>
        <v>0</v>
      </c>
      <c r="AG415" t="str">
        <f>'WetLitterbags placem_collection'!O194</f>
        <v>G297</v>
      </c>
      <c r="AH415" t="str">
        <f>'WetLitterbags placem_collection'!Q194</f>
        <v>R346</v>
      </c>
      <c r="AI415" t="b">
        <f t="shared" si="154"/>
        <v>0</v>
      </c>
      <c r="AJ415" t="b">
        <f t="shared" si="155"/>
        <v>0</v>
      </c>
      <c r="AK415">
        <f>'WetLitterbags placem_collection'!A194</f>
        <v>192</v>
      </c>
      <c r="AL415">
        <f>'WetLitterbags placem_collection'!A194</f>
        <v>192</v>
      </c>
      <c r="AN415" t="str">
        <f>IF('Dry_Litterbag Placem_Collection'!L194=0,"",'Dry_Litterbag Placem_Collection'!L194)</f>
        <v/>
      </c>
      <c r="AO415" t="str">
        <f>IF('Dry_Litterbag Placem_Collection'!M194=0,"",'Dry_Litterbag Placem_Collection'!M194)</f>
        <v/>
      </c>
      <c r="AP415" t="b">
        <f t="shared" si="156"/>
        <v>1</v>
      </c>
      <c r="AQ415" t="b">
        <f t="shared" si="157"/>
        <v>1</v>
      </c>
      <c r="AZ415" s="401" t="b">
        <f t="shared" si="158"/>
        <v>0</v>
      </c>
      <c r="BA415" s="401" t="b">
        <f t="shared" si="159"/>
        <v>0</v>
      </c>
      <c r="BC415" t="str">
        <f>'Ashed teabags wet'!A413</f>
        <v>G898</v>
      </c>
      <c r="BE415" t="b">
        <f t="shared" si="160"/>
        <v>0</v>
      </c>
      <c r="BF415" t="b">
        <f t="shared" si="161"/>
        <v>1</v>
      </c>
      <c r="BG415">
        <f>IFERROR('Ashed teabags wet'!C413,"")</f>
        <v>127</v>
      </c>
      <c r="BH415">
        <f>IFERROR('Ashed teabags wet'!C830,"")</f>
        <v>0</v>
      </c>
      <c r="BI415">
        <f>'Ashed teabags wet'!AB413</f>
        <v>126</v>
      </c>
      <c r="BJ415" t="str">
        <f>'Ashed teabags wet'!AC413</f>
        <v/>
      </c>
      <c r="BK415">
        <f>'Ashed teabags wet'!AD830</f>
        <v>0</v>
      </c>
      <c r="BL415">
        <f>'Ashed teabags wet'!AE830</f>
        <v>0</v>
      </c>
      <c r="BN415" t="str">
        <f t="shared" si="162"/>
        <v>G897</v>
      </c>
      <c r="BO415" t="b">
        <f t="shared" si="163"/>
        <v>1</v>
      </c>
    </row>
    <row r="416" spans="2:67" ht="12" customHeight="1">
      <c r="B416" t="str">
        <f>TBIDry!H488</f>
        <v>G45</v>
      </c>
      <c r="C416" t="str">
        <f>TBIDry!I488</f>
        <v>R623</v>
      </c>
      <c r="D416" t="b">
        <f t="shared" si="144"/>
        <v>0</v>
      </c>
      <c r="E416" t="b">
        <f t="shared" si="145"/>
        <v>0</v>
      </c>
      <c r="G416" t="str">
        <f>TBIWet!H488</f>
        <v>G584</v>
      </c>
      <c r="H416" t="str">
        <f>TBIWet!I488</f>
        <v>R364</v>
      </c>
      <c r="I416" t="b">
        <f t="shared" si="146"/>
        <v>0</v>
      </c>
      <c r="J416" t="b">
        <f t="shared" si="147"/>
        <v>0</v>
      </c>
      <c r="L416" t="str">
        <f>'Both teabags AfterWet'!A415</f>
        <v>G899</v>
      </c>
      <c r="M416" t="str">
        <f>'Both teabags AfterWet'!A833</f>
        <v>R9</v>
      </c>
      <c r="N416" t="b">
        <f t="shared" si="148"/>
        <v>0</v>
      </c>
      <c r="O416" t="b">
        <f t="shared" si="149"/>
        <v>0</v>
      </c>
      <c r="P416">
        <f>IFERROR('Both teabags AfterWet'!B415,"")</f>
        <v>112</v>
      </c>
      <c r="Q416">
        <f>'Both teabags AfterWet'!B833</f>
        <v>68</v>
      </c>
      <c r="S416" s="401" t="b">
        <f t="shared" si="150"/>
        <v>0</v>
      </c>
      <c r="T416" s="401" t="b">
        <f t="shared" si="151"/>
        <v>0</v>
      </c>
      <c r="AA416" t="str">
        <f>'Green_rooibos initial weight'!A417</f>
        <v>G413</v>
      </c>
      <c r="AB416" t="str">
        <f>'Green_rooibos initial weight'!A1321</f>
        <v>R413</v>
      </c>
      <c r="AC416" t="b">
        <f t="shared" si="152"/>
        <v>0</v>
      </c>
      <c r="AD416" t="b">
        <f t="shared" si="153"/>
        <v>0</v>
      </c>
      <c r="AG416" t="str">
        <f>'WetLitterbags placem_collection'!O195</f>
        <v>G584</v>
      </c>
      <c r="AH416" t="str">
        <f>'WetLitterbags placem_collection'!Q195</f>
        <v>R364</v>
      </c>
      <c r="AI416" t="b">
        <f t="shared" si="154"/>
        <v>0</v>
      </c>
      <c r="AJ416" t="b">
        <f t="shared" si="155"/>
        <v>0</v>
      </c>
      <c r="AK416">
        <f>'WetLitterbags placem_collection'!A195</f>
        <v>193</v>
      </c>
      <c r="AL416">
        <f>'WetLitterbags placem_collection'!A195</f>
        <v>193</v>
      </c>
      <c r="AN416">
        <f>IF('Dry_Litterbag Placem_Collection'!L195=0,"",'Dry_Litterbag Placem_Collection'!L195)</f>
        <v>45</v>
      </c>
      <c r="AO416">
        <f>IF('Dry_Litterbag Placem_Collection'!M195=0,"",'Dry_Litterbag Placem_Collection'!M195)</f>
        <v>623</v>
      </c>
      <c r="AP416" t="b">
        <f t="shared" si="156"/>
        <v>0</v>
      </c>
      <c r="AQ416" t="b">
        <f t="shared" si="157"/>
        <v>0</v>
      </c>
      <c r="AZ416" s="401" t="b">
        <f t="shared" si="158"/>
        <v>0</v>
      </c>
      <c r="BA416" s="401" t="b">
        <f t="shared" si="159"/>
        <v>0</v>
      </c>
      <c r="BC416" t="str">
        <f>'Ashed teabags wet'!A414</f>
        <v>G899</v>
      </c>
      <c r="BE416" t="b">
        <f t="shared" si="160"/>
        <v>0</v>
      </c>
      <c r="BF416" t="b">
        <f t="shared" si="161"/>
        <v>1</v>
      </c>
      <c r="BG416">
        <f>IFERROR('Ashed teabags wet'!C414,"")</f>
        <v>112</v>
      </c>
      <c r="BH416">
        <f>IFERROR('Ashed teabags wet'!C831,"")</f>
        <v>0</v>
      </c>
      <c r="BI416">
        <f>'Ashed teabags wet'!AB414</f>
        <v>111</v>
      </c>
      <c r="BJ416" t="str">
        <f>'Ashed teabags wet'!AC414</f>
        <v/>
      </c>
      <c r="BK416">
        <f>'Ashed teabags wet'!AD831</f>
        <v>0</v>
      </c>
      <c r="BL416">
        <f>'Ashed teabags wet'!AE831</f>
        <v>0</v>
      </c>
      <c r="BN416" t="str">
        <f t="shared" si="162"/>
        <v>G898</v>
      </c>
      <c r="BO416" t="b">
        <f t="shared" si="163"/>
        <v>1</v>
      </c>
    </row>
    <row r="417" spans="2:68" ht="12" customHeight="1">
      <c r="B417" t="str">
        <f>TBIDry!H489</f>
        <v>G90</v>
      </c>
      <c r="C417" t="str">
        <f>TBIDry!I489</f>
        <v>R611</v>
      </c>
      <c r="D417" t="b">
        <f t="shared" si="144"/>
        <v>0</v>
      </c>
      <c r="E417" t="b">
        <f t="shared" si="145"/>
        <v>0</v>
      </c>
      <c r="G417" t="str">
        <f>TBIWet!H489</f>
        <v>G713</v>
      </c>
      <c r="H417" t="str">
        <f>TBIWet!I489</f>
        <v>R167</v>
      </c>
      <c r="I417" t="b">
        <f t="shared" si="146"/>
        <v>0</v>
      </c>
      <c r="J417" t="b">
        <f t="shared" si="147"/>
        <v>0</v>
      </c>
      <c r="L417" t="str">
        <f>'Both teabags AfterWet'!A416</f>
        <v>G900</v>
      </c>
      <c r="M417" t="str">
        <f>'Both teabags AfterWet'!A834</f>
        <v>R91</v>
      </c>
      <c r="N417" t="b">
        <f t="shared" si="148"/>
        <v>0</v>
      </c>
      <c r="O417" t="b">
        <f t="shared" si="149"/>
        <v>0</v>
      </c>
      <c r="P417">
        <f>IFERROR('Both teabags AfterWet'!B416,"")</f>
        <v>141</v>
      </c>
      <c r="Q417" t="str">
        <f>'Both teabags AfterWet'!B834</f>
        <v>n.a</v>
      </c>
      <c r="S417" s="401" t="b">
        <f t="shared" si="150"/>
        <v>0</v>
      </c>
      <c r="T417" s="401" t="b">
        <f t="shared" si="151"/>
        <v>0</v>
      </c>
      <c r="AA417" t="str">
        <f>'Green_rooibos initial weight'!A418</f>
        <v>G414</v>
      </c>
      <c r="AB417" t="str">
        <f>'Green_rooibos initial weight'!A1322</f>
        <v>R414</v>
      </c>
      <c r="AC417" t="b">
        <f t="shared" si="152"/>
        <v>0</v>
      </c>
      <c r="AD417" t="b">
        <f t="shared" si="153"/>
        <v>0</v>
      </c>
      <c r="AG417" t="str">
        <f>'WetLitterbags placem_collection'!O196</f>
        <v>G713</v>
      </c>
      <c r="AH417" t="str">
        <f>'WetLitterbags placem_collection'!Q196</f>
        <v>R167</v>
      </c>
      <c r="AI417" t="b">
        <f t="shared" si="154"/>
        <v>0</v>
      </c>
      <c r="AJ417" t="b">
        <f t="shared" si="155"/>
        <v>0</v>
      </c>
      <c r="AK417">
        <f>'WetLitterbags placem_collection'!A196</f>
        <v>194</v>
      </c>
      <c r="AL417">
        <f>'WetLitterbags placem_collection'!A196</f>
        <v>194</v>
      </c>
      <c r="AN417">
        <f>IF('Dry_Litterbag Placem_Collection'!L196=0,"",'Dry_Litterbag Placem_Collection'!L196)</f>
        <v>90</v>
      </c>
      <c r="AO417">
        <f>IF('Dry_Litterbag Placem_Collection'!M196=0,"",'Dry_Litterbag Placem_Collection'!M196)</f>
        <v>611</v>
      </c>
      <c r="AP417" t="b">
        <f t="shared" si="156"/>
        <v>0</v>
      </c>
      <c r="AQ417" t="b">
        <f t="shared" si="157"/>
        <v>0</v>
      </c>
      <c r="AZ417" s="401" t="b">
        <f t="shared" si="158"/>
        <v>0</v>
      </c>
      <c r="BA417" s="401" t="b">
        <f t="shared" si="159"/>
        <v>0</v>
      </c>
      <c r="BC417" t="str">
        <f>'Ashed teabags wet'!A415</f>
        <v>G690</v>
      </c>
      <c r="BE417" t="b">
        <f t="shared" si="160"/>
        <v>0</v>
      </c>
      <c r="BF417" t="b">
        <f t="shared" si="161"/>
        <v>1</v>
      </c>
      <c r="BG417">
        <f>IFERROR('Ashed teabags wet'!C415,"")</f>
        <v>43</v>
      </c>
      <c r="BH417">
        <f>IFERROR('Ashed teabags wet'!C832,"")</f>
        <v>0</v>
      </c>
      <c r="BI417">
        <f>'Ashed teabags wet'!AB415</f>
        <v>42</v>
      </c>
      <c r="BJ417" t="str">
        <f>'Ashed teabags wet'!AC415</f>
        <v/>
      </c>
      <c r="BK417">
        <f>'Ashed teabags wet'!AD832</f>
        <v>0</v>
      </c>
      <c r="BL417">
        <f>'Ashed teabags wet'!AE832</f>
        <v>0</v>
      </c>
      <c r="BN417" t="str">
        <f t="shared" si="162"/>
        <v>G899</v>
      </c>
      <c r="BO417" t="b">
        <f t="shared" si="163"/>
        <v>1</v>
      </c>
    </row>
    <row r="418" spans="2:68" ht="12" customHeight="1">
      <c r="B418" t="str">
        <f>TBIDry!H490</f>
        <v>G338</v>
      </c>
      <c r="C418" t="str">
        <f>TBIDry!I490</f>
        <v>R645</v>
      </c>
      <c r="D418" t="b">
        <f t="shared" si="144"/>
        <v>0</v>
      </c>
      <c r="E418" t="b">
        <f t="shared" si="145"/>
        <v>0</v>
      </c>
      <c r="G418" t="str">
        <f>TBIWet!H490</f>
        <v>G525</v>
      </c>
      <c r="H418" t="str">
        <f>TBIWet!I490</f>
        <v>R25</v>
      </c>
      <c r="I418" t="b">
        <f t="shared" si="146"/>
        <v>0</v>
      </c>
      <c r="J418" t="b">
        <f t="shared" si="147"/>
        <v>0</v>
      </c>
      <c r="L418" t="str">
        <f>'Both teabags AfterWet'!A417</f>
        <v>G901</v>
      </c>
      <c r="M418" t="str">
        <f>'Both teabags AfterWet'!A835</f>
        <v>R92</v>
      </c>
      <c r="N418" t="b">
        <f t="shared" si="148"/>
        <v>0</v>
      </c>
      <c r="O418" t="b">
        <f t="shared" si="149"/>
        <v>0</v>
      </c>
      <c r="P418">
        <f>IFERROR('Both teabags AfterWet'!B417,"")</f>
        <v>117</v>
      </c>
      <c r="Q418">
        <f>'Both teabags AfterWet'!B835</f>
        <v>205</v>
      </c>
      <c r="S418" s="401" t="b">
        <f t="shared" si="150"/>
        <v>0</v>
      </c>
      <c r="T418" s="401" t="b">
        <f t="shared" si="151"/>
        <v>0</v>
      </c>
      <c r="AA418" t="str">
        <f>'Green_rooibos initial weight'!A419</f>
        <v>G415</v>
      </c>
      <c r="AB418" t="str">
        <f>'Green_rooibos initial weight'!A1323</f>
        <v>R415</v>
      </c>
      <c r="AC418" t="b">
        <f t="shared" si="152"/>
        <v>0</v>
      </c>
      <c r="AD418" t="b">
        <f t="shared" si="153"/>
        <v>0</v>
      </c>
      <c r="AG418" t="str">
        <f>'WetLitterbags placem_collection'!O197</f>
        <v>G525</v>
      </c>
      <c r="AH418" t="str">
        <f>'WetLitterbags placem_collection'!Q197</f>
        <v>R25</v>
      </c>
      <c r="AI418" t="b">
        <f t="shared" si="154"/>
        <v>0</v>
      </c>
      <c r="AJ418" t="b">
        <f t="shared" si="155"/>
        <v>0</v>
      </c>
      <c r="AK418">
        <f>'WetLitterbags placem_collection'!A197</f>
        <v>195</v>
      </c>
      <c r="AL418">
        <f>'WetLitterbags placem_collection'!A197</f>
        <v>195</v>
      </c>
      <c r="AN418">
        <f>IF('Dry_Litterbag Placem_Collection'!L197=0,"",'Dry_Litterbag Placem_Collection'!L197)</f>
        <v>338</v>
      </c>
      <c r="AO418">
        <f>IF('Dry_Litterbag Placem_Collection'!M197=0,"",'Dry_Litterbag Placem_Collection'!M197)</f>
        <v>645</v>
      </c>
      <c r="AP418" t="b">
        <f t="shared" si="156"/>
        <v>0</v>
      </c>
      <c r="AQ418" t="b">
        <f t="shared" si="157"/>
        <v>0</v>
      </c>
      <c r="AZ418" s="401" t="b">
        <f t="shared" si="158"/>
        <v>0</v>
      </c>
      <c r="BA418" s="401" t="b">
        <f t="shared" si="159"/>
        <v>0</v>
      </c>
      <c r="BC418" t="str">
        <f>'Ashed teabags wet'!A416</f>
        <v>G900</v>
      </c>
      <c r="BE418" t="b">
        <f t="shared" si="160"/>
        <v>0</v>
      </c>
      <c r="BF418" t="b">
        <f t="shared" si="161"/>
        <v>1</v>
      </c>
      <c r="BG418">
        <f>IFERROR('Ashed teabags wet'!C416,"")</f>
        <v>141</v>
      </c>
      <c r="BH418">
        <f>IFERROR('Ashed teabags wet'!C833,"")</f>
        <v>0</v>
      </c>
      <c r="BI418">
        <f>'Ashed teabags wet'!AB416</f>
        <v>140</v>
      </c>
      <c r="BJ418" t="str">
        <f>'Ashed teabags wet'!AC416</f>
        <v/>
      </c>
      <c r="BK418">
        <f>'Ashed teabags wet'!AD833</f>
        <v>0</v>
      </c>
      <c r="BL418">
        <f>'Ashed teabags wet'!AE833</f>
        <v>0</v>
      </c>
      <c r="BN418" t="str">
        <f t="shared" si="162"/>
        <v>G690</v>
      </c>
      <c r="BO418" t="b">
        <f t="shared" si="163"/>
        <v>1</v>
      </c>
    </row>
    <row r="419" spans="2:68" ht="12" customHeight="1">
      <c r="B419" t="str">
        <f>TBIDry!H491</f>
        <v>G243</v>
      </c>
      <c r="C419" t="str">
        <f>TBIDry!I491</f>
        <v>R709</v>
      </c>
      <c r="D419" t="b">
        <f t="shared" si="144"/>
        <v>0</v>
      </c>
      <c r="E419" t="b">
        <f t="shared" si="145"/>
        <v>0</v>
      </c>
      <c r="G419" t="str">
        <f>TBIWet!H491</f>
        <v>G886</v>
      </c>
      <c r="H419" t="str">
        <f>TBIWet!I491</f>
        <v>R362</v>
      </c>
      <c r="I419" t="b">
        <f t="shared" si="146"/>
        <v>0</v>
      </c>
      <c r="J419" t="b">
        <f t="shared" si="147"/>
        <v>0</v>
      </c>
      <c r="L419" t="str">
        <f>'Both teabags AfterWet'!A418</f>
        <v>G902</v>
      </c>
      <c r="M419" t="str">
        <f>'Both teabags AfterWet'!A836</f>
        <v>R93</v>
      </c>
      <c r="N419" t="b">
        <f t="shared" si="148"/>
        <v>0</v>
      </c>
      <c r="O419" t="b">
        <f t="shared" si="149"/>
        <v>0</v>
      </c>
      <c r="P419">
        <f>IFERROR('Both teabags AfterWet'!B418,"")</f>
        <v>145</v>
      </c>
      <c r="Q419">
        <f>'Both teabags AfterWet'!B836</f>
        <v>212</v>
      </c>
      <c r="S419" s="401" t="b">
        <f t="shared" si="150"/>
        <v>0</v>
      </c>
      <c r="T419" s="401" t="b">
        <f t="shared" si="151"/>
        <v>0</v>
      </c>
      <c r="AA419" t="str">
        <f>'Green_rooibos initial weight'!A420</f>
        <v>G416</v>
      </c>
      <c r="AB419" t="str">
        <f>'Green_rooibos initial weight'!A1324</f>
        <v>R416</v>
      </c>
      <c r="AC419" t="b">
        <f t="shared" si="152"/>
        <v>0</v>
      </c>
      <c r="AD419" t="b">
        <f t="shared" si="153"/>
        <v>0</v>
      </c>
      <c r="AG419" t="str">
        <f>'WetLitterbags placem_collection'!O198</f>
        <v>G886</v>
      </c>
      <c r="AH419" t="str">
        <f>'WetLitterbags placem_collection'!Q198</f>
        <v>R362</v>
      </c>
      <c r="AI419" t="b">
        <f t="shared" si="154"/>
        <v>0</v>
      </c>
      <c r="AJ419" t="b">
        <f t="shared" si="155"/>
        <v>0</v>
      </c>
      <c r="AK419">
        <f>'WetLitterbags placem_collection'!A198</f>
        <v>196</v>
      </c>
      <c r="AL419">
        <f>'WetLitterbags placem_collection'!A198</f>
        <v>196</v>
      </c>
      <c r="AN419">
        <f>IF('Dry_Litterbag Placem_Collection'!L198=0,"",'Dry_Litterbag Placem_Collection'!L198)</f>
        <v>243</v>
      </c>
      <c r="AO419">
        <f>IF('Dry_Litterbag Placem_Collection'!M198=0,"",'Dry_Litterbag Placem_Collection'!M198)</f>
        <v>709</v>
      </c>
      <c r="AP419" t="b">
        <f t="shared" si="156"/>
        <v>0</v>
      </c>
      <c r="AQ419" t="b">
        <f t="shared" si="157"/>
        <v>0</v>
      </c>
      <c r="AZ419" s="401" t="b">
        <f t="shared" si="158"/>
        <v>0</v>
      </c>
      <c r="BA419" s="401" t="b">
        <f t="shared" si="159"/>
        <v>0</v>
      </c>
      <c r="BC419" t="str">
        <f>'Ashed teabags wet'!A417</f>
        <v>G901</v>
      </c>
      <c r="BE419" t="b">
        <f t="shared" si="160"/>
        <v>0</v>
      </c>
      <c r="BF419" t="b">
        <f t="shared" si="161"/>
        <v>1</v>
      </c>
      <c r="BG419">
        <f>IFERROR('Ashed teabags wet'!C417,"")</f>
        <v>117</v>
      </c>
      <c r="BH419">
        <f>IFERROR('Ashed teabags wet'!C834,"")</f>
        <v>0</v>
      </c>
      <c r="BI419" t="str">
        <f>'Ashed teabags wet'!AB417</f>
        <v/>
      </c>
      <c r="BJ419">
        <f>'Ashed teabags wet'!AC417</f>
        <v>116</v>
      </c>
      <c r="BK419">
        <f>'Ashed teabags wet'!AD834</f>
        <v>0</v>
      </c>
      <c r="BL419">
        <f>'Ashed teabags wet'!AE834</f>
        <v>0</v>
      </c>
      <c r="BN419" t="str">
        <f t="shared" si="162"/>
        <v>G900</v>
      </c>
      <c r="BO419" t="b">
        <f t="shared" si="163"/>
        <v>1</v>
      </c>
    </row>
    <row r="420" spans="2:68" ht="12" customHeight="1">
      <c r="B420" t="str">
        <f>TBIDry!H492</f>
        <v>G254</v>
      </c>
      <c r="C420" t="str">
        <f>TBIDry!I492</f>
        <v>R131</v>
      </c>
      <c r="D420" t="b">
        <f t="shared" si="144"/>
        <v>0</v>
      </c>
      <c r="E420" t="b">
        <f t="shared" si="145"/>
        <v>0</v>
      </c>
      <c r="G420" t="str">
        <f>TBIWet!H492</f>
        <v>G388</v>
      </c>
      <c r="H420" t="str">
        <f>TBIWet!I492</f>
        <v>R370</v>
      </c>
      <c r="I420" t="b">
        <f t="shared" si="146"/>
        <v>0</v>
      </c>
      <c r="J420" t="b">
        <f t="shared" si="147"/>
        <v>0</v>
      </c>
      <c r="L420" t="str">
        <f>'Both teabags AfterWet'!A419</f>
        <v>N.A.</v>
      </c>
      <c r="M420" s="113" t="str">
        <f>'Both teabags AfterWet'!A837</f>
        <v>R94</v>
      </c>
      <c r="N420" t="b">
        <f t="shared" si="148"/>
        <v>0</v>
      </c>
      <c r="O420" t="b">
        <f t="shared" si="149"/>
        <v>0</v>
      </c>
      <c r="P420">
        <f>IFERROR('Both teabags AfterWet'!B419,"")</f>
        <v>173</v>
      </c>
      <c r="Q420">
        <f>'Both teabags AfterWet'!B837</f>
        <v>90</v>
      </c>
      <c r="S420" s="401" t="b">
        <f t="shared" si="150"/>
        <v>0</v>
      </c>
      <c r="T420" s="113" t="b">
        <f t="shared" si="151"/>
        <v>1</v>
      </c>
      <c r="AA420" t="str">
        <f>'Green_rooibos initial weight'!A421</f>
        <v>G417</v>
      </c>
      <c r="AB420" t="str">
        <f>'Green_rooibos initial weight'!A1325</f>
        <v>R417</v>
      </c>
      <c r="AC420" t="b">
        <f t="shared" si="152"/>
        <v>0</v>
      </c>
      <c r="AD420" t="b">
        <f t="shared" si="153"/>
        <v>0</v>
      </c>
      <c r="AG420" t="str">
        <f>'WetLitterbags placem_collection'!O199</f>
        <v>G388</v>
      </c>
      <c r="AH420" t="str">
        <f>'WetLitterbags placem_collection'!Q199</f>
        <v>R370</v>
      </c>
      <c r="AI420" t="b">
        <f t="shared" si="154"/>
        <v>0</v>
      </c>
      <c r="AJ420" t="b">
        <f t="shared" si="155"/>
        <v>0</v>
      </c>
      <c r="AK420">
        <f>'WetLitterbags placem_collection'!A199</f>
        <v>197</v>
      </c>
      <c r="AL420">
        <f>'WetLitterbags placem_collection'!A199</f>
        <v>197</v>
      </c>
      <c r="AN420">
        <f>IF('Dry_Litterbag Placem_Collection'!L199=0,"",'Dry_Litterbag Placem_Collection'!L199)</f>
        <v>254</v>
      </c>
      <c r="AO420">
        <f>IF('Dry_Litterbag Placem_Collection'!M199=0,"",'Dry_Litterbag Placem_Collection'!M199)</f>
        <v>131</v>
      </c>
      <c r="AP420" t="b">
        <f t="shared" si="156"/>
        <v>0</v>
      </c>
      <c r="AQ420" t="b">
        <f t="shared" si="157"/>
        <v>0</v>
      </c>
      <c r="AZ420" s="401" t="b">
        <f t="shared" si="158"/>
        <v>0</v>
      </c>
      <c r="BA420" s="401" t="b">
        <f t="shared" si="159"/>
        <v>0</v>
      </c>
      <c r="BC420" t="str">
        <f>'Ashed teabags wet'!A418</f>
        <v>G902</v>
      </c>
      <c r="BE420" t="b">
        <f t="shared" si="160"/>
        <v>0</v>
      </c>
      <c r="BF420" t="b">
        <f t="shared" si="161"/>
        <v>1</v>
      </c>
      <c r="BG420">
        <f>IFERROR('Ashed teabags wet'!C418,"")</f>
        <v>145</v>
      </c>
      <c r="BH420">
        <f>IFERROR('Ashed teabags wet'!C835,"")</f>
        <v>0</v>
      </c>
      <c r="BI420">
        <f>'Ashed teabags wet'!AB418</f>
        <v>144</v>
      </c>
      <c r="BJ420" t="str">
        <f>'Ashed teabags wet'!AC418</f>
        <v/>
      </c>
      <c r="BK420">
        <f>'Ashed teabags wet'!AD835</f>
        <v>0</v>
      </c>
      <c r="BL420">
        <f>'Ashed teabags wet'!AE835</f>
        <v>0</v>
      </c>
      <c r="BN420" t="str">
        <f t="shared" si="162"/>
        <v>G901</v>
      </c>
      <c r="BO420" t="b">
        <f t="shared" si="163"/>
        <v>1</v>
      </c>
    </row>
    <row r="421" spans="2:68" ht="12" customHeight="1">
      <c r="B421" t="str">
        <f>TBIDry!H493</f>
        <v>G780</v>
      </c>
      <c r="C421" t="str">
        <f>TBIDry!I493</f>
        <v>R711</v>
      </c>
      <c r="D421" t="b">
        <f t="shared" si="144"/>
        <v>0</v>
      </c>
      <c r="E421" t="b">
        <f t="shared" si="145"/>
        <v>0</v>
      </c>
      <c r="G421" t="str">
        <f>TBIWet!H493</f>
        <v>G462</v>
      </c>
      <c r="H421" t="str">
        <f>TBIWet!I493</f>
        <v>R168</v>
      </c>
      <c r="I421" t="b">
        <f t="shared" si="146"/>
        <v>0</v>
      </c>
      <c r="J421" t="b">
        <f t="shared" si="147"/>
        <v>0</v>
      </c>
      <c r="L421" t="str">
        <f>'Both teabags AfterWet'!A420</f>
        <v>NA</v>
      </c>
      <c r="M421" t="str">
        <f>'Both teabags AfterWet'!A838</f>
        <v>R95</v>
      </c>
      <c r="N421" t="b">
        <f t="shared" si="148"/>
        <v>0</v>
      </c>
      <c r="O421" t="b">
        <f t="shared" si="149"/>
        <v>0</v>
      </c>
      <c r="P421">
        <f>IFERROR('Both teabags AfterWet'!B420,"")</f>
        <v>142</v>
      </c>
      <c r="Q421" t="str">
        <f>'Both teabags AfterWet'!B838</f>
        <v>n.a</v>
      </c>
      <c r="S421" s="401" t="b">
        <f t="shared" si="150"/>
        <v>0</v>
      </c>
      <c r="T421" s="401" t="b">
        <f t="shared" si="151"/>
        <v>0</v>
      </c>
      <c r="AA421" t="str">
        <f>'Green_rooibos initial weight'!A422</f>
        <v>G418</v>
      </c>
      <c r="AB421" t="str">
        <f>'Green_rooibos initial weight'!A1326</f>
        <v>R418</v>
      </c>
      <c r="AC421" t="b">
        <f t="shared" si="152"/>
        <v>0</v>
      </c>
      <c r="AD421" t="b">
        <f t="shared" si="153"/>
        <v>0</v>
      </c>
      <c r="AG421" t="str">
        <f>'WetLitterbags placem_collection'!O200</f>
        <v>G462</v>
      </c>
      <c r="AH421" t="str">
        <f>'WetLitterbags placem_collection'!Q200</f>
        <v>R168</v>
      </c>
      <c r="AI421" t="b">
        <f t="shared" si="154"/>
        <v>0</v>
      </c>
      <c r="AJ421" t="b">
        <f t="shared" si="155"/>
        <v>0</v>
      </c>
      <c r="AK421">
        <f>'WetLitterbags placem_collection'!A200</f>
        <v>198</v>
      </c>
      <c r="AL421">
        <f>'WetLitterbags placem_collection'!A200</f>
        <v>198</v>
      </c>
      <c r="AN421">
        <f>IF('Dry_Litterbag Placem_Collection'!L200=0,"",'Dry_Litterbag Placem_Collection'!L200)</f>
        <v>780</v>
      </c>
      <c r="AO421">
        <f>IF('Dry_Litterbag Placem_Collection'!M200=0,"",'Dry_Litterbag Placem_Collection'!M200)</f>
        <v>711</v>
      </c>
      <c r="AP421" t="b">
        <f t="shared" si="156"/>
        <v>0</v>
      </c>
      <c r="AQ421" t="b">
        <f t="shared" si="157"/>
        <v>0</v>
      </c>
      <c r="AZ421" s="401" t="b">
        <f t="shared" si="158"/>
        <v>0</v>
      </c>
      <c r="BA421" s="401" t="b">
        <f t="shared" si="159"/>
        <v>0</v>
      </c>
      <c r="BN421" t="str">
        <f t="shared" si="162"/>
        <v>G902</v>
      </c>
      <c r="BO421" t="b">
        <f t="shared" si="163"/>
        <v>1</v>
      </c>
      <c r="BP421" s="402"/>
    </row>
    <row r="422" spans="2:68" ht="12" customHeight="1">
      <c r="B422" t="str">
        <f>TBIDry!H494</f>
        <v>G182</v>
      </c>
      <c r="C422" t="str">
        <f>TBIDry!I494</f>
        <v>R236</v>
      </c>
      <c r="D422" t="b">
        <f t="shared" si="144"/>
        <v>0</v>
      </c>
      <c r="E422" t="b">
        <f t="shared" si="145"/>
        <v>0</v>
      </c>
      <c r="G422" t="str">
        <f>TBIWet!H494</f>
        <v>G712</v>
      </c>
      <c r="H422" t="str">
        <f>TBIWet!I494</f>
        <v>R369</v>
      </c>
      <c r="I422" t="b">
        <f t="shared" si="146"/>
        <v>0</v>
      </c>
      <c r="J422" t="b">
        <f t="shared" si="147"/>
        <v>0</v>
      </c>
      <c r="M422" t="str">
        <f>'Both teabags AfterWet'!A839</f>
        <v>R96</v>
      </c>
      <c r="N422" t="b">
        <f t="shared" si="148"/>
        <v>0</v>
      </c>
      <c r="O422" t="b">
        <f t="shared" si="149"/>
        <v>0</v>
      </c>
      <c r="P422">
        <f>IFERROR('Both teabags AfterWet'!B421,"")</f>
        <v>86</v>
      </c>
      <c r="Q422">
        <f>'Both teabags AfterWet'!B839</f>
        <v>163</v>
      </c>
      <c r="S422" s="401" t="b">
        <f t="shared" si="150"/>
        <v>0</v>
      </c>
      <c r="T422" s="401" t="b">
        <f t="shared" si="151"/>
        <v>0</v>
      </c>
      <c r="AA422" t="str">
        <f>'Green_rooibos initial weight'!A423</f>
        <v>G419</v>
      </c>
      <c r="AB422" t="str">
        <f>'Green_rooibos initial weight'!A1327</f>
        <v>R419</v>
      </c>
      <c r="AC422" t="b">
        <f t="shared" si="152"/>
        <v>0</v>
      </c>
      <c r="AD422" t="b">
        <f t="shared" si="153"/>
        <v>0</v>
      </c>
      <c r="AG422" t="str">
        <f>'WetLitterbags placem_collection'!O201</f>
        <v>G712</v>
      </c>
      <c r="AH422" t="str">
        <f>'WetLitterbags placem_collection'!Q201</f>
        <v>R369</v>
      </c>
      <c r="AI422" t="b">
        <f t="shared" si="154"/>
        <v>0</v>
      </c>
      <c r="AJ422" t="b">
        <f t="shared" si="155"/>
        <v>0</v>
      </c>
      <c r="AK422">
        <f>'WetLitterbags placem_collection'!A201</f>
        <v>199</v>
      </c>
      <c r="AL422">
        <f>'WetLitterbags placem_collection'!A201</f>
        <v>199</v>
      </c>
      <c r="AN422">
        <f>IF('Dry_Litterbag Placem_Collection'!L201=0,"",'Dry_Litterbag Placem_Collection'!L201)</f>
        <v>182</v>
      </c>
      <c r="AO422">
        <f>IF('Dry_Litterbag Placem_Collection'!M201=0,"",'Dry_Litterbag Placem_Collection'!M201)</f>
        <v>236</v>
      </c>
      <c r="AP422" t="b">
        <f t="shared" si="156"/>
        <v>0</v>
      </c>
      <c r="AQ422" t="b">
        <f t="shared" si="157"/>
        <v>0</v>
      </c>
      <c r="AZ422" s="401" t="b">
        <f t="shared" si="158"/>
        <v>0</v>
      </c>
      <c r="BA422" s="401" t="b">
        <f t="shared" si="159"/>
        <v>0</v>
      </c>
      <c r="BO422" t="b">
        <f t="shared" si="163"/>
        <v>0</v>
      </c>
      <c r="BP422" s="402"/>
    </row>
    <row r="423" spans="2:68" ht="12" customHeight="1">
      <c r="B423" t="str">
        <f>TBIDry!H495</f>
        <v>G186</v>
      </c>
      <c r="C423" t="str">
        <f>TBIDry!I495</f>
        <v>R205</v>
      </c>
      <c r="D423" t="b">
        <f t="shared" si="144"/>
        <v>0</v>
      </c>
      <c r="E423" t="b">
        <f t="shared" si="145"/>
        <v>0</v>
      </c>
      <c r="G423" t="str">
        <f>TBIWet!H495</f>
        <v>G709</v>
      </c>
      <c r="H423" t="str">
        <f>TBIWet!I495</f>
        <v>R359</v>
      </c>
      <c r="I423" t="b">
        <f t="shared" si="146"/>
        <v>0</v>
      </c>
      <c r="J423" t="b">
        <f t="shared" si="147"/>
        <v>0</v>
      </c>
      <c r="M423" t="str">
        <f>'Both teabags AfterWet'!A840</f>
        <v>R97</v>
      </c>
      <c r="N423" t="b">
        <f t="shared" si="148"/>
        <v>0</v>
      </c>
      <c r="O423" t="b">
        <f t="shared" si="149"/>
        <v>0</v>
      </c>
      <c r="P423" t="str">
        <f>IFERROR('Both teabags AfterWet'!B422,"")</f>
        <v>n.a</v>
      </c>
      <c r="Q423">
        <f>'Both teabags AfterWet'!B840</f>
        <v>36</v>
      </c>
      <c r="S423" s="401" t="b">
        <f t="shared" si="150"/>
        <v>0</v>
      </c>
      <c r="T423" s="401" t="b">
        <f t="shared" si="151"/>
        <v>0</v>
      </c>
      <c r="AA423" t="str">
        <f>'Green_rooibos initial weight'!A424</f>
        <v>G420</v>
      </c>
      <c r="AB423" t="str">
        <f>'Green_rooibos initial weight'!A1328</f>
        <v>R420</v>
      </c>
      <c r="AC423" t="b">
        <f t="shared" si="152"/>
        <v>0</v>
      </c>
      <c r="AD423" t="b">
        <f t="shared" si="153"/>
        <v>0</v>
      </c>
      <c r="AG423" t="str">
        <f>'WetLitterbags placem_collection'!O202</f>
        <v>G709</v>
      </c>
      <c r="AH423" t="str">
        <f>'WetLitterbags placem_collection'!Q202</f>
        <v>R359</v>
      </c>
      <c r="AI423" t="b">
        <f t="shared" si="154"/>
        <v>0</v>
      </c>
      <c r="AJ423" t="b">
        <f t="shared" si="155"/>
        <v>0</v>
      </c>
      <c r="AK423">
        <f>'WetLitterbags placem_collection'!A202</f>
        <v>200</v>
      </c>
      <c r="AL423">
        <f>'WetLitterbags placem_collection'!A202</f>
        <v>200</v>
      </c>
      <c r="AN423">
        <f>IF('Dry_Litterbag Placem_Collection'!L202=0,"",'Dry_Litterbag Placem_Collection'!L202)</f>
        <v>186</v>
      </c>
      <c r="AO423">
        <f>IF('Dry_Litterbag Placem_Collection'!M202=0,"",'Dry_Litterbag Placem_Collection'!M202)</f>
        <v>205</v>
      </c>
      <c r="AP423" t="b">
        <f t="shared" si="156"/>
        <v>0</v>
      </c>
      <c r="AQ423" t="b">
        <f t="shared" si="157"/>
        <v>0</v>
      </c>
      <c r="AZ423" s="401" t="b">
        <f t="shared" si="158"/>
        <v>0</v>
      </c>
      <c r="BA423" s="401" t="b">
        <f t="shared" si="159"/>
        <v>0</v>
      </c>
    </row>
    <row r="424" spans="2:68" ht="12" customHeight="1">
      <c r="B424" t="str">
        <f>TBIDry!H496</f>
        <v>G315</v>
      </c>
      <c r="C424" t="str">
        <f>TBIDry!I496</f>
        <v>R665</v>
      </c>
      <c r="D424" t="b">
        <f t="shared" si="144"/>
        <v>0</v>
      </c>
      <c r="E424" t="b">
        <f t="shared" si="145"/>
        <v>0</v>
      </c>
      <c r="G424" t="str">
        <f>TBIWet!H496</f>
        <v>G707</v>
      </c>
      <c r="H424" t="str">
        <f>TBIWet!I496</f>
        <v>R395</v>
      </c>
      <c r="I424" t="b">
        <f t="shared" si="146"/>
        <v>0</v>
      </c>
      <c r="J424" t="b">
        <f t="shared" si="147"/>
        <v>0</v>
      </c>
      <c r="M424" t="str">
        <f>'Both teabags AfterWet'!A841</f>
        <v>R99</v>
      </c>
      <c r="N424" t="b">
        <f t="shared" si="148"/>
        <v>0</v>
      </c>
      <c r="O424" t="b">
        <f t="shared" si="149"/>
        <v>0</v>
      </c>
      <c r="P424" t="str">
        <f>IFERROR('Both teabags AfterWet'!B423,"")</f>
        <v>n.a</v>
      </c>
      <c r="Q424">
        <f>'Both teabags AfterWet'!B841</f>
        <v>15</v>
      </c>
      <c r="S424" s="401" t="b">
        <f t="shared" si="150"/>
        <v>0</v>
      </c>
      <c r="T424" s="401" t="b">
        <f t="shared" si="151"/>
        <v>0</v>
      </c>
      <c r="AA424" t="str">
        <f>'Green_rooibos initial weight'!A425</f>
        <v>G421</v>
      </c>
      <c r="AB424" t="str">
        <f>'Green_rooibos initial weight'!A1329</f>
        <v>R421</v>
      </c>
      <c r="AC424" t="b">
        <f t="shared" si="152"/>
        <v>0</v>
      </c>
      <c r="AD424" t="b">
        <f t="shared" si="153"/>
        <v>0</v>
      </c>
      <c r="AG424" t="str">
        <f>'WetLitterbags placem_collection'!O203</f>
        <v>G707</v>
      </c>
      <c r="AH424" t="str">
        <f>'WetLitterbags placem_collection'!Q203</f>
        <v>R395</v>
      </c>
      <c r="AI424" t="b">
        <f t="shared" si="154"/>
        <v>0</v>
      </c>
      <c r="AJ424" t="b">
        <f t="shared" si="155"/>
        <v>0</v>
      </c>
      <c r="AK424">
        <f>'WetLitterbags placem_collection'!A203</f>
        <v>201</v>
      </c>
      <c r="AL424">
        <f>'WetLitterbags placem_collection'!A203</f>
        <v>201</v>
      </c>
      <c r="AN424">
        <f>IF('Dry_Litterbag Placem_Collection'!L203=0,"",'Dry_Litterbag Placem_Collection'!L203)</f>
        <v>315</v>
      </c>
      <c r="AO424">
        <f>IF('Dry_Litterbag Placem_Collection'!M203=0,"",'Dry_Litterbag Placem_Collection'!M203)</f>
        <v>665</v>
      </c>
      <c r="AP424" t="b">
        <f t="shared" si="156"/>
        <v>0</v>
      </c>
      <c r="AQ424" t="b">
        <f t="shared" si="157"/>
        <v>0</v>
      </c>
      <c r="AZ424" s="401" t="b">
        <f t="shared" si="158"/>
        <v>0</v>
      </c>
      <c r="BA424" s="401" t="b">
        <f t="shared" si="159"/>
        <v>0</v>
      </c>
      <c r="BN424" t="s">
        <v>3912</v>
      </c>
    </row>
    <row r="425" spans="2:68" ht="12" customHeight="1">
      <c r="B425" t="str">
        <f>TBIDry!H497</f>
        <v>G147</v>
      </c>
      <c r="C425" t="str">
        <f>TBIDry!I497</f>
        <v>R224</v>
      </c>
      <c r="D425" t="b">
        <f t="shared" si="144"/>
        <v>0</v>
      </c>
      <c r="E425" t="b">
        <f t="shared" si="145"/>
        <v>0</v>
      </c>
      <c r="G425" t="str">
        <f>TBIWet!H497</f>
        <v>G770</v>
      </c>
      <c r="H425" t="str">
        <f>TBIWet!I497</f>
        <v>R182</v>
      </c>
      <c r="I425" t="b">
        <f t="shared" si="146"/>
        <v>0</v>
      </c>
      <c r="J425" t="b">
        <f t="shared" si="147"/>
        <v>0</v>
      </c>
      <c r="M425">
        <f>'Both teabags AfterWet'!A842</f>
        <v>0</v>
      </c>
      <c r="N425" t="b">
        <f t="shared" si="148"/>
        <v>0</v>
      </c>
      <c r="O425" t="b">
        <f t="shared" si="149"/>
        <v>1</v>
      </c>
      <c r="P425" t="str">
        <f>IFERROR('Both teabags AfterWet'!B424,"")</f>
        <v>n.a</v>
      </c>
      <c r="Q425">
        <f>'Both teabags AfterWet'!B842</f>
        <v>0</v>
      </c>
      <c r="S425" s="401" t="b">
        <f t="shared" si="150"/>
        <v>0</v>
      </c>
      <c r="T425" s="401" t="b">
        <f t="shared" si="151"/>
        <v>0</v>
      </c>
      <c r="AA425" t="str">
        <f>'Green_rooibos initial weight'!A426</f>
        <v>G422</v>
      </c>
      <c r="AB425" t="str">
        <f>'Green_rooibos initial weight'!A1330</f>
        <v>R422</v>
      </c>
      <c r="AC425" t="b">
        <f t="shared" si="152"/>
        <v>0</v>
      </c>
      <c r="AD425" t="b">
        <f t="shared" si="153"/>
        <v>0</v>
      </c>
      <c r="AG425" t="str">
        <f>'WetLitterbags placem_collection'!O204</f>
        <v>G770</v>
      </c>
      <c r="AH425" t="str">
        <f>'WetLitterbags placem_collection'!Q204</f>
        <v>R182</v>
      </c>
      <c r="AI425" t="b">
        <f t="shared" si="154"/>
        <v>0</v>
      </c>
      <c r="AJ425" t="b">
        <f t="shared" si="155"/>
        <v>0</v>
      </c>
      <c r="AK425">
        <f>'WetLitterbags placem_collection'!A204</f>
        <v>202</v>
      </c>
      <c r="AL425">
        <f>'WetLitterbags placem_collection'!A204</f>
        <v>202</v>
      </c>
      <c r="AN425">
        <f>IF('Dry_Litterbag Placem_Collection'!L204=0,"",'Dry_Litterbag Placem_Collection'!L204)</f>
        <v>147</v>
      </c>
      <c r="AO425">
        <f>IF('Dry_Litterbag Placem_Collection'!M204=0,"",'Dry_Litterbag Placem_Collection'!M204)</f>
        <v>224</v>
      </c>
      <c r="AP425" t="b">
        <f t="shared" si="156"/>
        <v>0</v>
      </c>
      <c r="AQ425" t="b">
        <f t="shared" si="157"/>
        <v>0</v>
      </c>
      <c r="AZ425" s="401" t="b">
        <f t="shared" si="158"/>
        <v>0</v>
      </c>
      <c r="BA425" s="401" t="b">
        <f t="shared" si="159"/>
        <v>0</v>
      </c>
      <c r="BN425" s="401" t="str">
        <f t="shared" ref="BN425:BN488" si="164">L4</f>
        <v>G154</v>
      </c>
    </row>
    <row r="426" spans="2:68" ht="12" customHeight="1">
      <c r="B426" t="str">
        <f>TBIDry!H498</f>
        <v>G168</v>
      </c>
      <c r="C426" t="str">
        <f>TBIDry!I498</f>
        <v>R621</v>
      </c>
      <c r="D426" t="b">
        <f t="shared" si="144"/>
        <v>0</v>
      </c>
      <c r="E426" t="b">
        <f t="shared" si="145"/>
        <v>0</v>
      </c>
      <c r="G426" t="str">
        <f>TBIWet!H498</f>
        <v>G753</v>
      </c>
      <c r="H426" t="str">
        <f>TBIWet!I498</f>
        <v>R342</v>
      </c>
      <c r="I426" t="b">
        <f t="shared" si="146"/>
        <v>0</v>
      </c>
      <c r="J426" t="b">
        <f t="shared" si="147"/>
        <v>0</v>
      </c>
      <c r="M426">
        <f>'Both teabags AfterWet'!A842</f>
        <v>0</v>
      </c>
      <c r="N426" t="b">
        <f t="shared" si="148"/>
        <v>0</v>
      </c>
      <c r="O426" t="b">
        <f t="shared" si="149"/>
        <v>1</v>
      </c>
      <c r="P426" t="str">
        <f>IFERROR('Both teabags AfterWet'!B425,"")</f>
        <v>n.a</v>
      </c>
      <c r="Q426">
        <f>'Both teabags AfterWet'!B843</f>
        <v>0</v>
      </c>
      <c r="S426" s="401" t="b">
        <f t="shared" si="150"/>
        <v>0</v>
      </c>
      <c r="T426" s="401" t="b">
        <f t="shared" si="151"/>
        <v>0</v>
      </c>
      <c r="AA426" t="str">
        <f>'Green_rooibos initial weight'!A427</f>
        <v>G423</v>
      </c>
      <c r="AB426" t="str">
        <f>'Green_rooibos initial weight'!A1331</f>
        <v>R423</v>
      </c>
      <c r="AC426" t="b">
        <f t="shared" si="152"/>
        <v>0</v>
      </c>
      <c r="AD426" t="b">
        <f t="shared" si="153"/>
        <v>0</v>
      </c>
      <c r="AG426" t="str">
        <f>'WetLitterbags placem_collection'!O205</f>
        <v>G753</v>
      </c>
      <c r="AH426" t="str">
        <f>'WetLitterbags placem_collection'!Q205</f>
        <v>R342</v>
      </c>
      <c r="AI426" t="b">
        <f t="shared" si="154"/>
        <v>0</v>
      </c>
      <c r="AJ426" t="b">
        <f t="shared" si="155"/>
        <v>0</v>
      </c>
      <c r="AK426">
        <f>'WetLitterbags placem_collection'!A205</f>
        <v>203</v>
      </c>
      <c r="AL426">
        <f>'WetLitterbags placem_collection'!A205</f>
        <v>203</v>
      </c>
      <c r="AN426">
        <f>IF('Dry_Litterbag Placem_Collection'!L205=0,"",'Dry_Litterbag Placem_Collection'!L205)</f>
        <v>168</v>
      </c>
      <c r="AO426">
        <f>IF('Dry_Litterbag Placem_Collection'!M205=0,"",'Dry_Litterbag Placem_Collection'!M205)</f>
        <v>621</v>
      </c>
      <c r="AP426" t="b">
        <f t="shared" si="156"/>
        <v>0</v>
      </c>
      <c r="AQ426" t="b">
        <f t="shared" si="157"/>
        <v>0</v>
      </c>
      <c r="AZ426" s="401" t="b">
        <f t="shared" si="158"/>
        <v>0</v>
      </c>
      <c r="BA426" s="401" t="b">
        <f t="shared" si="159"/>
        <v>0</v>
      </c>
      <c r="BN426" t="str">
        <f t="shared" si="164"/>
        <v>G201</v>
      </c>
    </row>
    <row r="427" spans="2:68" ht="12" customHeight="1">
      <c r="B427" t="str">
        <f>TBIDry!H499</f>
        <v>G672</v>
      </c>
      <c r="C427" t="str">
        <f>TBIDry!I499</f>
        <v>R708</v>
      </c>
      <c r="D427" t="b">
        <f t="shared" si="144"/>
        <v>0</v>
      </c>
      <c r="E427" t="b">
        <f t="shared" si="145"/>
        <v>0</v>
      </c>
      <c r="G427" t="str">
        <f>TBIWet!H499</f>
        <v>G640</v>
      </c>
      <c r="H427" t="str">
        <f>TBIWet!I499</f>
        <v>R139</v>
      </c>
      <c r="I427" t="b">
        <f t="shared" si="146"/>
        <v>0</v>
      </c>
      <c r="J427" t="b">
        <f t="shared" si="147"/>
        <v>0</v>
      </c>
      <c r="M427">
        <f>'Both teabags AfterWet'!A843</f>
        <v>0</v>
      </c>
      <c r="N427" t="b">
        <f t="shared" si="148"/>
        <v>0</v>
      </c>
      <c r="O427" t="b">
        <f t="shared" si="149"/>
        <v>1</v>
      </c>
      <c r="P427" t="str">
        <f>IFERROR('Both teabags AfterWet'!B426,"")</f>
        <v>n.a</v>
      </c>
      <c r="Q427">
        <f>'Both teabags AfterWet'!B844</f>
        <v>0</v>
      </c>
      <c r="S427" s="401" t="b">
        <f t="shared" si="150"/>
        <v>0</v>
      </c>
      <c r="T427" s="401" t="b">
        <f t="shared" si="151"/>
        <v>0</v>
      </c>
      <c r="AA427" t="str">
        <f>'Green_rooibos initial weight'!A428</f>
        <v>G424</v>
      </c>
      <c r="AB427" t="str">
        <f>'Green_rooibos initial weight'!A1332</f>
        <v>R424</v>
      </c>
      <c r="AC427" t="b">
        <f t="shared" si="152"/>
        <v>0</v>
      </c>
      <c r="AD427" t="b">
        <f t="shared" si="153"/>
        <v>0</v>
      </c>
      <c r="AG427" t="str">
        <f>'WetLitterbags placem_collection'!O206</f>
        <v>G640</v>
      </c>
      <c r="AH427" t="str">
        <f>'WetLitterbags placem_collection'!Q206</f>
        <v>R139</v>
      </c>
      <c r="AI427" t="b">
        <f t="shared" si="154"/>
        <v>0</v>
      </c>
      <c r="AJ427" t="b">
        <f t="shared" si="155"/>
        <v>0</v>
      </c>
      <c r="AK427">
        <f>'WetLitterbags placem_collection'!A206</f>
        <v>204</v>
      </c>
      <c r="AL427">
        <f>'WetLitterbags placem_collection'!A206</f>
        <v>204</v>
      </c>
      <c r="AN427">
        <f>IF('Dry_Litterbag Placem_Collection'!L206=0,"",'Dry_Litterbag Placem_Collection'!L206)</f>
        <v>672</v>
      </c>
      <c r="AO427">
        <f>IF('Dry_Litterbag Placem_Collection'!M206=0,"",'Dry_Litterbag Placem_Collection'!M206)</f>
        <v>708</v>
      </c>
      <c r="AP427" t="b">
        <f t="shared" si="156"/>
        <v>0</v>
      </c>
      <c r="AQ427" t="b">
        <f t="shared" si="157"/>
        <v>0</v>
      </c>
      <c r="AZ427" s="401" t="b">
        <f t="shared" si="158"/>
        <v>0</v>
      </c>
      <c r="BA427" s="401" t="b">
        <f t="shared" si="159"/>
        <v>0</v>
      </c>
      <c r="BN427" t="str">
        <f t="shared" si="164"/>
        <v>G202</v>
      </c>
    </row>
    <row r="428" spans="2:68" ht="12" customHeight="1">
      <c r="B428" t="str">
        <f>TBIDry!H500</f>
        <v>G173</v>
      </c>
      <c r="C428" t="str">
        <f>TBIDry!I500</f>
        <v>R637</v>
      </c>
      <c r="D428" t="b">
        <f t="shared" si="144"/>
        <v>0</v>
      </c>
      <c r="E428" t="b">
        <f t="shared" si="145"/>
        <v>0</v>
      </c>
      <c r="G428" t="str">
        <f>TBIWet!H500</f>
        <v>G668</v>
      </c>
      <c r="H428" t="str">
        <f>TBIWet!I500</f>
        <v>R92</v>
      </c>
      <c r="I428" t="b">
        <f t="shared" si="146"/>
        <v>0</v>
      </c>
      <c r="J428" t="b">
        <f t="shared" si="147"/>
        <v>0</v>
      </c>
      <c r="S428" s="401" t="b">
        <f t="shared" si="150"/>
        <v>0</v>
      </c>
      <c r="T428" s="401" t="b">
        <f t="shared" si="151"/>
        <v>0</v>
      </c>
      <c r="AA428" t="str">
        <f>'Green_rooibos initial weight'!A429</f>
        <v>G425</v>
      </c>
      <c r="AB428" t="str">
        <f>'Green_rooibos initial weight'!A1333</f>
        <v>R425</v>
      </c>
      <c r="AC428" t="b">
        <f t="shared" si="152"/>
        <v>0</v>
      </c>
      <c r="AD428" t="b">
        <f t="shared" si="153"/>
        <v>0</v>
      </c>
      <c r="AG428" t="str">
        <f>'WetLitterbags placem_collection'!O207</f>
        <v>G668</v>
      </c>
      <c r="AH428" t="str">
        <f>'WetLitterbags placem_collection'!Q207</f>
        <v>R92</v>
      </c>
      <c r="AI428" t="b">
        <f t="shared" si="154"/>
        <v>0</v>
      </c>
      <c r="AJ428" t="b">
        <f t="shared" si="155"/>
        <v>0</v>
      </c>
      <c r="AK428">
        <f>'WetLitterbags placem_collection'!A207</f>
        <v>205</v>
      </c>
      <c r="AL428">
        <f>'WetLitterbags placem_collection'!A207</f>
        <v>205</v>
      </c>
      <c r="AN428">
        <f>IF('Dry_Litterbag Placem_Collection'!L207=0,"",'Dry_Litterbag Placem_Collection'!L207)</f>
        <v>173</v>
      </c>
      <c r="AO428">
        <f>IF('Dry_Litterbag Placem_Collection'!M207=0,"",'Dry_Litterbag Placem_Collection'!M207)</f>
        <v>637</v>
      </c>
      <c r="AP428" t="b">
        <f t="shared" si="156"/>
        <v>0</v>
      </c>
      <c r="AQ428" t="b">
        <f t="shared" si="157"/>
        <v>0</v>
      </c>
      <c r="AZ428" s="401" t="b">
        <f t="shared" si="158"/>
        <v>0</v>
      </c>
      <c r="BA428" s="401" t="b">
        <f t="shared" si="159"/>
        <v>0</v>
      </c>
      <c r="BN428" t="str">
        <f t="shared" si="164"/>
        <v>G214</v>
      </c>
    </row>
    <row r="429" spans="2:68" ht="12" customHeight="1">
      <c r="B429" t="str">
        <f>TBIDry!H501</f>
        <v>G262</v>
      </c>
      <c r="C429" t="str">
        <f>TBIDry!I501</f>
        <v>R284</v>
      </c>
      <c r="D429" t="b">
        <f t="shared" si="144"/>
        <v>0</v>
      </c>
      <c r="E429" t="b">
        <f t="shared" si="145"/>
        <v>0</v>
      </c>
      <c r="G429" t="str">
        <f>TBIWet!H501</f>
        <v>G891</v>
      </c>
      <c r="H429" t="str">
        <f>TBIWet!I501</f>
        <v>R328</v>
      </c>
      <c r="I429" t="b">
        <f t="shared" si="146"/>
        <v>0</v>
      </c>
      <c r="J429" t="b">
        <f t="shared" si="147"/>
        <v>0</v>
      </c>
      <c r="S429" s="401" t="b">
        <f t="shared" si="150"/>
        <v>0</v>
      </c>
      <c r="T429" s="401" t="b">
        <f t="shared" si="151"/>
        <v>0</v>
      </c>
      <c r="AA429" t="str">
        <f>'Green_rooibos initial weight'!A430</f>
        <v>G426</v>
      </c>
      <c r="AB429" t="str">
        <f>'Green_rooibos initial weight'!A1334</f>
        <v>R426</v>
      </c>
      <c r="AC429" t="b">
        <f t="shared" si="152"/>
        <v>0</v>
      </c>
      <c r="AD429" t="b">
        <f t="shared" si="153"/>
        <v>0</v>
      </c>
      <c r="AG429" t="str">
        <f>'WetLitterbags placem_collection'!O208</f>
        <v>G891</v>
      </c>
      <c r="AH429" t="str">
        <f>'WetLitterbags placem_collection'!Q208</f>
        <v>R328</v>
      </c>
      <c r="AI429" t="b">
        <f t="shared" si="154"/>
        <v>0</v>
      </c>
      <c r="AJ429" t="b">
        <f t="shared" si="155"/>
        <v>0</v>
      </c>
      <c r="AK429">
        <f>'WetLitterbags placem_collection'!A208</f>
        <v>206</v>
      </c>
      <c r="AL429">
        <f>'WetLitterbags placem_collection'!A208</f>
        <v>206</v>
      </c>
      <c r="AN429">
        <f>IF('Dry_Litterbag Placem_Collection'!L208=0,"",'Dry_Litterbag Placem_Collection'!L208)</f>
        <v>262</v>
      </c>
      <c r="AO429">
        <f>IF('Dry_Litterbag Placem_Collection'!M208=0,"",'Dry_Litterbag Placem_Collection'!M208)</f>
        <v>284</v>
      </c>
      <c r="AP429" t="b">
        <f t="shared" si="156"/>
        <v>0</v>
      </c>
      <c r="AQ429" t="b">
        <f t="shared" si="157"/>
        <v>0</v>
      </c>
      <c r="AZ429" s="401" t="b">
        <f t="shared" si="158"/>
        <v>0</v>
      </c>
      <c r="BA429" s="401" t="b">
        <f t="shared" si="159"/>
        <v>0</v>
      </c>
      <c r="BN429" t="str">
        <f t="shared" si="164"/>
        <v>G216</v>
      </c>
    </row>
    <row r="430" spans="2:68" ht="12" customHeight="1">
      <c r="B430" t="str">
        <f>TBIDry!H502</f>
        <v>G230</v>
      </c>
      <c r="C430" t="str">
        <f>TBIDry!I502</f>
        <v>R604</v>
      </c>
      <c r="D430" t="b">
        <f t="shared" si="144"/>
        <v>0</v>
      </c>
      <c r="E430" t="b">
        <f t="shared" si="145"/>
        <v>0</v>
      </c>
      <c r="G430" t="str">
        <f>TBIWet!H502</f>
        <v>G540</v>
      </c>
      <c r="H430" t="str">
        <f>TBIWet!I502</f>
        <v>R149</v>
      </c>
      <c r="I430" s="113" t="b">
        <f t="shared" si="146"/>
        <v>0</v>
      </c>
      <c r="J430" t="b">
        <f t="shared" si="147"/>
        <v>0</v>
      </c>
      <c r="S430" s="401" t="b">
        <f t="shared" si="150"/>
        <v>0</v>
      </c>
      <c r="T430" s="401" t="b">
        <f t="shared" si="151"/>
        <v>0</v>
      </c>
      <c r="AA430" t="str">
        <f>'Green_rooibos initial weight'!A431</f>
        <v>G427</v>
      </c>
      <c r="AB430" t="str">
        <f>'Green_rooibos initial weight'!A1335</f>
        <v>R427</v>
      </c>
      <c r="AC430" t="b">
        <f t="shared" si="152"/>
        <v>0</v>
      </c>
      <c r="AD430" t="b">
        <f t="shared" si="153"/>
        <v>0</v>
      </c>
      <c r="AG430" t="str">
        <f>'WetLitterbags placem_collection'!O209</f>
        <v>G540</v>
      </c>
      <c r="AH430" t="str">
        <f>'WetLitterbags placem_collection'!Q209</f>
        <v>R149</v>
      </c>
      <c r="AI430" s="113" t="b">
        <f t="shared" si="154"/>
        <v>0</v>
      </c>
      <c r="AJ430" t="b">
        <f t="shared" si="155"/>
        <v>0</v>
      </c>
      <c r="AK430">
        <f>'WetLitterbags placem_collection'!A209</f>
        <v>207</v>
      </c>
      <c r="AL430">
        <f>'WetLitterbags placem_collection'!A209</f>
        <v>207</v>
      </c>
      <c r="AN430">
        <f>IF('Dry_Litterbag Placem_Collection'!L209=0,"",'Dry_Litterbag Placem_Collection'!L209)</f>
        <v>230</v>
      </c>
      <c r="AO430">
        <f>IF('Dry_Litterbag Placem_Collection'!M209=0,"",'Dry_Litterbag Placem_Collection'!M209)</f>
        <v>604</v>
      </c>
      <c r="AP430" t="b">
        <f t="shared" si="156"/>
        <v>0</v>
      </c>
      <c r="AQ430" t="b">
        <f t="shared" si="157"/>
        <v>0</v>
      </c>
      <c r="AZ430" s="401" t="b">
        <f t="shared" si="158"/>
        <v>0</v>
      </c>
      <c r="BA430" s="401" t="b">
        <f t="shared" si="159"/>
        <v>0</v>
      </c>
      <c r="BN430" t="str">
        <f t="shared" si="164"/>
        <v>G217</v>
      </c>
    </row>
    <row r="431" spans="2:68" ht="12" customHeight="1">
      <c r="B431" t="str">
        <f>TBIDry!H503</f>
        <v>G140</v>
      </c>
      <c r="C431" t="str">
        <f>TBIDry!I503</f>
        <v>R625</v>
      </c>
      <c r="D431" t="b">
        <f t="shared" si="144"/>
        <v>0</v>
      </c>
      <c r="E431" t="b">
        <f t="shared" si="145"/>
        <v>0</v>
      </c>
      <c r="G431" t="str">
        <f>TBIWet!H503</f>
        <v>G508</v>
      </c>
      <c r="H431" t="str">
        <f>TBIWet!I503</f>
        <v>R449</v>
      </c>
      <c r="I431" t="b">
        <f t="shared" si="146"/>
        <v>0</v>
      </c>
      <c r="J431" t="b">
        <f t="shared" si="147"/>
        <v>0</v>
      </c>
      <c r="S431" s="401" t="b">
        <f t="shared" si="150"/>
        <v>0</v>
      </c>
      <c r="T431" s="401" t="b">
        <f t="shared" si="151"/>
        <v>0</v>
      </c>
      <c r="AA431" t="str">
        <f>'Green_rooibos initial weight'!A432</f>
        <v>G428</v>
      </c>
      <c r="AB431" t="str">
        <f>'Green_rooibos initial weight'!A1336</f>
        <v>R428</v>
      </c>
      <c r="AC431" t="b">
        <f t="shared" si="152"/>
        <v>0</v>
      </c>
      <c r="AD431" t="b">
        <f t="shared" si="153"/>
        <v>0</v>
      </c>
      <c r="AG431" t="str">
        <f>'WetLitterbags placem_collection'!O210</f>
        <v>G508</v>
      </c>
      <c r="AH431" t="str">
        <f>'WetLitterbags placem_collection'!Q210</f>
        <v>R449</v>
      </c>
      <c r="AI431" t="b">
        <f t="shared" si="154"/>
        <v>0</v>
      </c>
      <c r="AJ431" t="b">
        <f t="shared" si="155"/>
        <v>0</v>
      </c>
      <c r="AK431">
        <f>'WetLitterbags placem_collection'!A210</f>
        <v>208</v>
      </c>
      <c r="AL431">
        <f>'WetLitterbags placem_collection'!A210</f>
        <v>208</v>
      </c>
      <c r="AN431">
        <f>IF('Dry_Litterbag Placem_Collection'!L210=0,"",'Dry_Litterbag Placem_Collection'!L210)</f>
        <v>140</v>
      </c>
      <c r="AO431">
        <f>IF('Dry_Litterbag Placem_Collection'!M210=0,"",'Dry_Litterbag Placem_Collection'!M210)</f>
        <v>625</v>
      </c>
      <c r="AP431" t="b">
        <f t="shared" si="156"/>
        <v>0</v>
      </c>
      <c r="AQ431" t="b">
        <f t="shared" si="157"/>
        <v>0</v>
      </c>
      <c r="AZ431" s="401" t="b">
        <f t="shared" si="158"/>
        <v>0</v>
      </c>
      <c r="BA431" s="401" t="b">
        <f t="shared" si="159"/>
        <v>0</v>
      </c>
      <c r="BN431" t="str">
        <f t="shared" si="164"/>
        <v>G222</v>
      </c>
    </row>
    <row r="432" spans="2:68" ht="12" customHeight="1">
      <c r="B432" t="str">
        <f>TBIDry!H504</f>
        <v>G92</v>
      </c>
      <c r="C432" t="str">
        <f>TBIDry!I504</f>
        <v>R647</v>
      </c>
      <c r="D432" t="b">
        <f t="shared" si="144"/>
        <v>0</v>
      </c>
      <c r="E432" t="b">
        <f t="shared" si="145"/>
        <v>0</v>
      </c>
      <c r="G432" t="str">
        <f>TBIWet!H504</f>
        <v>G637</v>
      </c>
      <c r="H432" t="str">
        <f>TBIWet!I504</f>
        <v>R142</v>
      </c>
      <c r="I432" t="b">
        <f t="shared" si="146"/>
        <v>0</v>
      </c>
      <c r="J432" t="b">
        <f t="shared" si="147"/>
        <v>0</v>
      </c>
      <c r="S432" s="401" t="b">
        <f t="shared" si="150"/>
        <v>0</v>
      </c>
      <c r="T432" s="401" t="b">
        <f t="shared" si="151"/>
        <v>0</v>
      </c>
      <c r="AA432" t="str">
        <f>'Green_rooibos initial weight'!A433</f>
        <v>G429</v>
      </c>
      <c r="AB432" t="str">
        <f>'Green_rooibos initial weight'!A1337</f>
        <v>R429</v>
      </c>
      <c r="AC432" t="b">
        <f t="shared" si="152"/>
        <v>0</v>
      </c>
      <c r="AD432" t="b">
        <f t="shared" si="153"/>
        <v>0</v>
      </c>
      <c r="AG432" t="str">
        <f>'WetLitterbags placem_collection'!O211</f>
        <v>G637</v>
      </c>
      <c r="AH432" t="str">
        <f>'WetLitterbags placem_collection'!Q211</f>
        <v>R142</v>
      </c>
      <c r="AI432" t="b">
        <f t="shared" si="154"/>
        <v>0</v>
      </c>
      <c r="AJ432" t="b">
        <f t="shared" si="155"/>
        <v>0</v>
      </c>
      <c r="AK432">
        <f>'WetLitterbags placem_collection'!A211</f>
        <v>209</v>
      </c>
      <c r="AL432">
        <f>'WetLitterbags placem_collection'!A211</f>
        <v>209</v>
      </c>
      <c r="AN432">
        <f>IF('Dry_Litterbag Placem_Collection'!L211=0,"",'Dry_Litterbag Placem_Collection'!L211)</f>
        <v>92</v>
      </c>
      <c r="AO432">
        <f>IF('Dry_Litterbag Placem_Collection'!M211=0,"",'Dry_Litterbag Placem_Collection'!M211)</f>
        <v>647</v>
      </c>
      <c r="AP432" t="b">
        <f t="shared" si="156"/>
        <v>0</v>
      </c>
      <c r="AQ432" t="b">
        <f t="shared" si="157"/>
        <v>0</v>
      </c>
      <c r="AZ432" s="401" t="b">
        <f t="shared" si="158"/>
        <v>0</v>
      </c>
      <c r="BA432" s="401" t="b">
        <f t="shared" si="159"/>
        <v>0</v>
      </c>
      <c r="BN432" t="str">
        <f t="shared" si="164"/>
        <v>G240</v>
      </c>
    </row>
    <row r="433" spans="2:66" ht="12" customHeight="1">
      <c r="B433" t="str">
        <f>TBIDry!H505</f>
        <v>G36</v>
      </c>
      <c r="C433" t="str">
        <f>TBIDry!I505</f>
        <v>R599</v>
      </c>
      <c r="D433" t="b">
        <f t="shared" si="144"/>
        <v>0</v>
      </c>
      <c r="E433" t="b">
        <f t="shared" si="145"/>
        <v>0</v>
      </c>
      <c r="G433" t="str">
        <f>TBIWet!H505</f>
        <v>G720</v>
      </c>
      <c r="H433" t="str">
        <f>TBIWet!I505</f>
        <v>R392</v>
      </c>
      <c r="I433" t="b">
        <f t="shared" si="146"/>
        <v>0</v>
      </c>
      <c r="J433" t="b">
        <f t="shared" si="147"/>
        <v>0</v>
      </c>
      <c r="S433" s="401" t="b">
        <f t="shared" si="150"/>
        <v>0</v>
      </c>
      <c r="T433" s="401" t="b">
        <f t="shared" si="151"/>
        <v>0</v>
      </c>
      <c r="AA433" t="str">
        <f>'Green_rooibos initial weight'!A434</f>
        <v>G430</v>
      </c>
      <c r="AB433" t="str">
        <f>'Green_rooibos initial weight'!A1338</f>
        <v>R430</v>
      </c>
      <c r="AC433" t="b">
        <f t="shared" si="152"/>
        <v>0</v>
      </c>
      <c r="AD433" t="b">
        <f t="shared" si="153"/>
        <v>0</v>
      </c>
      <c r="AG433" t="str">
        <f>'WetLitterbags placem_collection'!O212</f>
        <v>G720</v>
      </c>
      <c r="AH433" t="str">
        <f>'WetLitterbags placem_collection'!Q212</f>
        <v>R392</v>
      </c>
      <c r="AI433" t="b">
        <f t="shared" si="154"/>
        <v>0</v>
      </c>
      <c r="AJ433" t="b">
        <f t="shared" si="155"/>
        <v>0</v>
      </c>
      <c r="AK433">
        <f>'WetLitterbags placem_collection'!A212</f>
        <v>210</v>
      </c>
      <c r="AL433">
        <f>'WetLitterbags placem_collection'!A212</f>
        <v>210</v>
      </c>
      <c r="AN433">
        <f>IF('Dry_Litterbag Placem_Collection'!L212=0,"",'Dry_Litterbag Placem_Collection'!L212)</f>
        <v>36</v>
      </c>
      <c r="AO433">
        <f>IF('Dry_Litterbag Placem_Collection'!M212=0,"",'Dry_Litterbag Placem_Collection'!M212)</f>
        <v>599</v>
      </c>
      <c r="AP433" t="b">
        <f t="shared" si="156"/>
        <v>0</v>
      </c>
      <c r="AQ433" t="b">
        <f t="shared" si="157"/>
        <v>0</v>
      </c>
      <c r="AZ433" s="401" t="b">
        <f t="shared" si="158"/>
        <v>0</v>
      </c>
      <c r="BA433" s="401" t="b">
        <f t="shared" si="159"/>
        <v>0</v>
      </c>
      <c r="BN433" t="str">
        <f t="shared" si="164"/>
        <v>G241</v>
      </c>
    </row>
    <row r="434" spans="2:66" ht="12" customHeight="1">
      <c r="B434" t="str">
        <f>TBIDry!H506</f>
        <v>G434</v>
      </c>
      <c r="C434" t="str">
        <f>TBIDry!I506</f>
        <v>R670</v>
      </c>
      <c r="D434" t="b">
        <f t="shared" si="144"/>
        <v>0</v>
      </c>
      <c r="E434" t="b">
        <f t="shared" si="145"/>
        <v>0</v>
      </c>
      <c r="G434" t="str">
        <f>TBIWet!H506</f>
        <v>G796</v>
      </c>
      <c r="H434" t="str">
        <f>TBIWet!I506</f>
        <v>R589</v>
      </c>
      <c r="I434" t="b">
        <f t="shared" si="146"/>
        <v>0</v>
      </c>
      <c r="J434" t="b">
        <f t="shared" si="147"/>
        <v>0</v>
      </c>
      <c r="S434" s="401" t="b">
        <f t="shared" si="150"/>
        <v>0</v>
      </c>
      <c r="T434" s="401" t="b">
        <f t="shared" si="151"/>
        <v>0</v>
      </c>
      <c r="AA434" t="str">
        <f>'Green_rooibos initial weight'!A435</f>
        <v>G431</v>
      </c>
      <c r="AB434" t="str">
        <f>'Green_rooibos initial weight'!A1339</f>
        <v>R431</v>
      </c>
      <c r="AC434" t="b">
        <f t="shared" si="152"/>
        <v>0</v>
      </c>
      <c r="AD434" t="b">
        <f t="shared" si="153"/>
        <v>0</v>
      </c>
      <c r="AG434" t="str">
        <f>'WetLitterbags placem_collection'!O213</f>
        <v>G796</v>
      </c>
      <c r="AH434" t="str">
        <f>'WetLitterbags placem_collection'!Q213</f>
        <v>R589</v>
      </c>
      <c r="AI434" t="b">
        <f t="shared" si="154"/>
        <v>0</v>
      </c>
      <c r="AJ434" t="b">
        <f t="shared" si="155"/>
        <v>0</v>
      </c>
      <c r="AK434">
        <f>'WetLitterbags placem_collection'!A213</f>
        <v>211</v>
      </c>
      <c r="AL434">
        <f>'WetLitterbags placem_collection'!A213</f>
        <v>211</v>
      </c>
      <c r="AN434">
        <f>IF('Dry_Litterbag Placem_Collection'!L213=0,"",'Dry_Litterbag Placem_Collection'!L213)</f>
        <v>434</v>
      </c>
      <c r="AO434">
        <f>IF('Dry_Litterbag Placem_Collection'!M213=0,"",'Dry_Litterbag Placem_Collection'!M213)</f>
        <v>670</v>
      </c>
      <c r="AP434" t="b">
        <f t="shared" si="156"/>
        <v>0</v>
      </c>
      <c r="AQ434" t="b">
        <f t="shared" si="157"/>
        <v>0</v>
      </c>
      <c r="AZ434" s="401" t="b">
        <f t="shared" si="158"/>
        <v>0</v>
      </c>
      <c r="BA434" s="401" t="b">
        <f t="shared" si="159"/>
        <v>0</v>
      </c>
      <c r="BN434" t="str">
        <f t="shared" si="164"/>
        <v>G249</v>
      </c>
    </row>
    <row r="435" spans="2:66" ht="12" customHeight="1">
      <c r="B435" t="str">
        <f>TBIDry!H507</f>
        <v>G56</v>
      </c>
      <c r="C435" t="str">
        <f>TBIDry!I507</f>
        <v>R256</v>
      </c>
      <c r="D435" t="b">
        <f t="shared" si="144"/>
        <v>0</v>
      </c>
      <c r="E435" t="b">
        <f t="shared" si="145"/>
        <v>0</v>
      </c>
      <c r="G435" t="str">
        <f>TBIWet!H507</f>
        <v>G560</v>
      </c>
      <c r="H435" t="str">
        <f>TBIWet!I507</f>
        <v>R130</v>
      </c>
      <c r="I435" t="b">
        <f t="shared" si="146"/>
        <v>0</v>
      </c>
      <c r="J435" t="b">
        <f t="shared" si="147"/>
        <v>0</v>
      </c>
      <c r="S435" s="401" t="b">
        <f t="shared" si="150"/>
        <v>0</v>
      </c>
      <c r="T435" s="401" t="b">
        <f t="shared" si="151"/>
        <v>0</v>
      </c>
      <c r="AA435" t="str">
        <f>'Green_rooibos initial weight'!A436</f>
        <v>G432</v>
      </c>
      <c r="AB435" t="str">
        <f>'Green_rooibos initial weight'!A1340</f>
        <v>R432</v>
      </c>
      <c r="AC435" t="b">
        <f t="shared" si="152"/>
        <v>0</v>
      </c>
      <c r="AD435" t="b">
        <f t="shared" si="153"/>
        <v>0</v>
      </c>
      <c r="AG435" t="str">
        <f>'WetLitterbags placem_collection'!O214</f>
        <v>G560</v>
      </c>
      <c r="AH435" t="str">
        <f>'WetLitterbags placem_collection'!Q214</f>
        <v>R130</v>
      </c>
      <c r="AI435" t="b">
        <f t="shared" si="154"/>
        <v>0</v>
      </c>
      <c r="AJ435" t="b">
        <f t="shared" si="155"/>
        <v>0</v>
      </c>
      <c r="AK435">
        <f>'WetLitterbags placem_collection'!A214</f>
        <v>212</v>
      </c>
      <c r="AL435">
        <f>'WetLitterbags placem_collection'!A214</f>
        <v>212</v>
      </c>
      <c r="AN435">
        <f>IF('Dry_Litterbag Placem_Collection'!L214=0,"",'Dry_Litterbag Placem_Collection'!L214)</f>
        <v>56</v>
      </c>
      <c r="AO435">
        <f>IF('Dry_Litterbag Placem_Collection'!M214=0,"",'Dry_Litterbag Placem_Collection'!M214)</f>
        <v>256</v>
      </c>
      <c r="AP435" t="b">
        <f t="shared" si="156"/>
        <v>0</v>
      </c>
      <c r="AQ435" t="b">
        <f t="shared" si="157"/>
        <v>0</v>
      </c>
      <c r="AZ435" s="401" t="b">
        <f t="shared" si="158"/>
        <v>0</v>
      </c>
      <c r="BA435" s="401" t="b">
        <f t="shared" si="159"/>
        <v>0</v>
      </c>
      <c r="BN435" t="str">
        <f t="shared" si="164"/>
        <v>G251</v>
      </c>
    </row>
    <row r="436" spans="2:66" ht="12" customHeight="1">
      <c r="B436" t="str">
        <f>TBIDry!H508</f>
        <v>G363</v>
      </c>
      <c r="C436" t="str">
        <f>TBIDry!I508</f>
        <v>R658</v>
      </c>
      <c r="D436" t="b">
        <f t="shared" si="144"/>
        <v>0</v>
      </c>
      <c r="E436" t="b">
        <f t="shared" si="145"/>
        <v>0</v>
      </c>
      <c r="G436" t="str">
        <f>TBIWet!H508</f>
        <v>G716</v>
      </c>
      <c r="H436" t="str">
        <f>TBIWet!I508</f>
        <v>R111</v>
      </c>
      <c r="I436" t="b">
        <f t="shared" si="146"/>
        <v>0</v>
      </c>
      <c r="J436" t="b">
        <f t="shared" si="147"/>
        <v>0</v>
      </c>
      <c r="S436" s="401" t="b">
        <f t="shared" si="150"/>
        <v>0</v>
      </c>
      <c r="T436" s="401" t="b">
        <f t="shared" si="151"/>
        <v>0</v>
      </c>
      <c r="AA436" t="str">
        <f>'Green_rooibos initial weight'!A437</f>
        <v>G433</v>
      </c>
      <c r="AB436" t="str">
        <f>'Green_rooibos initial weight'!A1341</f>
        <v>R433</v>
      </c>
      <c r="AC436" t="b">
        <f t="shared" si="152"/>
        <v>0</v>
      </c>
      <c r="AD436" t="b">
        <f t="shared" si="153"/>
        <v>0</v>
      </c>
      <c r="AG436" t="str">
        <f>'WetLitterbags placem_collection'!O215</f>
        <v>G716</v>
      </c>
      <c r="AH436" t="str">
        <f>'WetLitterbags placem_collection'!Q215</f>
        <v>R111</v>
      </c>
      <c r="AI436" t="b">
        <f t="shared" si="154"/>
        <v>0</v>
      </c>
      <c r="AJ436" t="b">
        <f t="shared" si="155"/>
        <v>0</v>
      </c>
      <c r="AK436">
        <f>'WetLitterbags placem_collection'!A215</f>
        <v>213</v>
      </c>
      <c r="AL436">
        <f>'WetLitterbags placem_collection'!A215</f>
        <v>213</v>
      </c>
      <c r="AN436">
        <f>IF('Dry_Litterbag Placem_Collection'!L215=0,"",'Dry_Litterbag Placem_Collection'!L215)</f>
        <v>363</v>
      </c>
      <c r="AO436">
        <f>IF('Dry_Litterbag Placem_Collection'!M215=0,"",'Dry_Litterbag Placem_Collection'!M215)</f>
        <v>658</v>
      </c>
      <c r="AP436" t="b">
        <f t="shared" si="156"/>
        <v>0</v>
      </c>
      <c r="AQ436" t="b">
        <f t="shared" si="157"/>
        <v>0</v>
      </c>
      <c r="AZ436" s="401" t="b">
        <f t="shared" si="158"/>
        <v>0</v>
      </c>
      <c r="BA436" s="401" t="b">
        <f t="shared" si="159"/>
        <v>0</v>
      </c>
      <c r="BN436" t="str">
        <f t="shared" si="164"/>
        <v>G269</v>
      </c>
    </row>
    <row r="437" spans="2:66" ht="12" customHeight="1">
      <c r="B437" t="str">
        <f>TBIDry!H509</f>
        <v>G5</v>
      </c>
      <c r="C437" t="str">
        <f>TBIDry!I509</f>
        <v>R699</v>
      </c>
      <c r="D437" t="b">
        <f t="shared" si="144"/>
        <v>0</v>
      </c>
      <c r="E437" t="b">
        <f t="shared" si="145"/>
        <v>0</v>
      </c>
      <c r="G437" t="str">
        <f>TBIWet!H509</f>
        <v>G581</v>
      </c>
      <c r="H437" t="str">
        <f>TBIWet!I509</f>
        <v>R412</v>
      </c>
      <c r="I437" t="b">
        <f t="shared" si="146"/>
        <v>0</v>
      </c>
      <c r="J437" t="b">
        <f t="shared" si="147"/>
        <v>0</v>
      </c>
      <c r="S437" s="401" t="b">
        <f t="shared" si="150"/>
        <v>0</v>
      </c>
      <c r="T437" s="401" t="b">
        <f t="shared" si="151"/>
        <v>0</v>
      </c>
      <c r="AA437" t="str">
        <f>'Green_rooibos initial weight'!A438</f>
        <v>G434</v>
      </c>
      <c r="AB437" t="str">
        <f>'Green_rooibos initial weight'!A1342</f>
        <v>R434</v>
      </c>
      <c r="AC437" t="b">
        <f t="shared" si="152"/>
        <v>0</v>
      </c>
      <c r="AD437" t="b">
        <f t="shared" si="153"/>
        <v>0</v>
      </c>
      <c r="AG437" t="str">
        <f>'WetLitterbags placem_collection'!O216</f>
        <v>G581</v>
      </c>
      <c r="AH437" t="str">
        <f>'WetLitterbags placem_collection'!Q216</f>
        <v>R412</v>
      </c>
      <c r="AI437" t="b">
        <f t="shared" si="154"/>
        <v>0</v>
      </c>
      <c r="AJ437" t="b">
        <f t="shared" si="155"/>
        <v>0</v>
      </c>
      <c r="AK437">
        <f>'WetLitterbags placem_collection'!A216</f>
        <v>214</v>
      </c>
      <c r="AL437">
        <f>'WetLitterbags placem_collection'!A216</f>
        <v>214</v>
      </c>
      <c r="AN437">
        <f>IF('Dry_Litterbag Placem_Collection'!L216=0,"",'Dry_Litterbag Placem_Collection'!L216)</f>
        <v>5</v>
      </c>
      <c r="AO437">
        <f>IF('Dry_Litterbag Placem_Collection'!M216=0,"",'Dry_Litterbag Placem_Collection'!M216)</f>
        <v>699</v>
      </c>
      <c r="AP437" t="b">
        <f t="shared" si="156"/>
        <v>0</v>
      </c>
      <c r="AQ437" t="b">
        <f t="shared" si="157"/>
        <v>0</v>
      </c>
      <c r="AZ437" s="401" t="b">
        <f t="shared" si="158"/>
        <v>0</v>
      </c>
      <c r="BA437" s="401" t="b">
        <f t="shared" si="159"/>
        <v>0</v>
      </c>
      <c r="BN437" t="str">
        <f t="shared" si="164"/>
        <v>G281</v>
      </c>
    </row>
    <row r="438" spans="2:66" ht="12" customHeight="1">
      <c r="B438" t="str">
        <f>TBIDry!H510</f>
        <v>G771</v>
      </c>
      <c r="C438" t="str">
        <f>TBIDry!I510</f>
        <v>R663</v>
      </c>
      <c r="D438" t="b">
        <f t="shared" si="144"/>
        <v>0</v>
      </c>
      <c r="E438" t="b">
        <f t="shared" si="145"/>
        <v>0</v>
      </c>
      <c r="G438" t="str">
        <f>TBIWet!H510</f>
        <v>G718</v>
      </c>
      <c r="H438" t="str">
        <f>TBIWet!I510</f>
        <v>R434</v>
      </c>
      <c r="I438" t="b">
        <f t="shared" si="146"/>
        <v>0</v>
      </c>
      <c r="J438" t="b">
        <f t="shared" si="147"/>
        <v>0</v>
      </c>
      <c r="S438" s="401" t="b">
        <f t="shared" si="150"/>
        <v>0</v>
      </c>
      <c r="T438" s="401" t="b">
        <f t="shared" si="151"/>
        <v>0</v>
      </c>
      <c r="AA438" t="str">
        <f>'Green_rooibos initial weight'!A439</f>
        <v>G435</v>
      </c>
      <c r="AB438" t="str">
        <f>'Green_rooibos initial weight'!A1343</f>
        <v>R435</v>
      </c>
      <c r="AC438" t="b">
        <f t="shared" si="152"/>
        <v>0</v>
      </c>
      <c r="AD438" t="b">
        <f t="shared" si="153"/>
        <v>0</v>
      </c>
      <c r="AG438" t="str">
        <f>'WetLitterbags placem_collection'!O217</f>
        <v>G718</v>
      </c>
      <c r="AH438" t="str">
        <f>'WetLitterbags placem_collection'!Q217</f>
        <v>R434</v>
      </c>
      <c r="AI438" t="b">
        <f t="shared" si="154"/>
        <v>0</v>
      </c>
      <c r="AJ438" t="b">
        <f t="shared" si="155"/>
        <v>0</v>
      </c>
      <c r="AK438">
        <f>'WetLitterbags placem_collection'!A217</f>
        <v>215</v>
      </c>
      <c r="AL438">
        <f>'WetLitterbags placem_collection'!A217</f>
        <v>215</v>
      </c>
      <c r="AN438">
        <f>IF('Dry_Litterbag Placem_Collection'!L217=0,"",'Dry_Litterbag Placem_Collection'!L217)</f>
        <v>771</v>
      </c>
      <c r="AO438">
        <f>IF('Dry_Litterbag Placem_Collection'!M217=0,"",'Dry_Litterbag Placem_Collection'!M217)</f>
        <v>663</v>
      </c>
      <c r="AP438" t="b">
        <f t="shared" si="156"/>
        <v>0</v>
      </c>
      <c r="AQ438" t="b">
        <f t="shared" si="157"/>
        <v>0</v>
      </c>
      <c r="AZ438" s="401" t="b">
        <f t="shared" si="158"/>
        <v>0</v>
      </c>
      <c r="BA438" s="401" t="b">
        <f t="shared" si="159"/>
        <v>0</v>
      </c>
      <c r="BN438" t="str">
        <f t="shared" si="164"/>
        <v>G282</v>
      </c>
    </row>
    <row r="439" spans="2:66" ht="12" customHeight="1">
      <c r="B439" t="str">
        <f>TBIDry!H511</f>
        <v>G361</v>
      </c>
      <c r="C439" t="str">
        <f>TBIDry!I511</f>
        <v>R622</v>
      </c>
      <c r="D439" t="b">
        <f t="shared" si="144"/>
        <v>0</v>
      </c>
      <c r="E439" t="b">
        <f t="shared" si="145"/>
        <v>0</v>
      </c>
      <c r="G439" t="str">
        <f>TBIWet!H511</f>
        <v>G613</v>
      </c>
      <c r="H439" t="str">
        <f>TBIWet!I511</f>
        <v>R457</v>
      </c>
      <c r="I439" t="b">
        <f t="shared" si="146"/>
        <v>0</v>
      </c>
      <c r="J439" t="b">
        <f t="shared" si="147"/>
        <v>0</v>
      </c>
      <c r="S439" s="401" t="b">
        <f t="shared" si="150"/>
        <v>0</v>
      </c>
      <c r="T439" s="401" t="b">
        <f t="shared" si="151"/>
        <v>0</v>
      </c>
      <c r="AA439" t="str">
        <f>'Green_rooibos initial weight'!A440</f>
        <v>G436</v>
      </c>
      <c r="AB439" t="str">
        <f>'Green_rooibos initial weight'!A1344</f>
        <v>R436</v>
      </c>
      <c r="AC439" t="b">
        <f t="shared" si="152"/>
        <v>0</v>
      </c>
      <c r="AD439" t="b">
        <f t="shared" si="153"/>
        <v>0</v>
      </c>
      <c r="AG439" t="str">
        <f>'WetLitterbags placem_collection'!O218</f>
        <v>G613</v>
      </c>
      <c r="AH439" t="str">
        <f>'WetLitterbags placem_collection'!Q218</f>
        <v>R457</v>
      </c>
      <c r="AI439" t="b">
        <f t="shared" si="154"/>
        <v>0</v>
      </c>
      <c r="AJ439" t="b">
        <f t="shared" si="155"/>
        <v>0</v>
      </c>
      <c r="AK439">
        <f>'WetLitterbags placem_collection'!A218</f>
        <v>216</v>
      </c>
      <c r="AL439">
        <f>'WetLitterbags placem_collection'!A218</f>
        <v>216</v>
      </c>
      <c r="AN439">
        <f>IF('Dry_Litterbag Placem_Collection'!L218=0,"",'Dry_Litterbag Placem_Collection'!L218)</f>
        <v>361</v>
      </c>
      <c r="AO439">
        <f>IF('Dry_Litterbag Placem_Collection'!M218=0,"",'Dry_Litterbag Placem_Collection'!M218)</f>
        <v>622</v>
      </c>
      <c r="AP439" t="b">
        <f t="shared" si="156"/>
        <v>0</v>
      </c>
      <c r="AQ439" t="b">
        <f t="shared" si="157"/>
        <v>0</v>
      </c>
      <c r="AZ439" s="401" t="b">
        <f t="shared" si="158"/>
        <v>0</v>
      </c>
      <c r="BA439" s="401" t="b">
        <f t="shared" si="159"/>
        <v>0</v>
      </c>
      <c r="BN439" t="str">
        <f t="shared" si="164"/>
        <v>G283</v>
      </c>
    </row>
    <row r="440" spans="2:66" ht="12" customHeight="1">
      <c r="B440" t="str">
        <f>TBIDry!H512</f>
        <v>G204</v>
      </c>
      <c r="C440" t="str">
        <f>TBIDry!I512</f>
        <v>R608</v>
      </c>
      <c r="D440" t="b">
        <f t="shared" si="144"/>
        <v>0</v>
      </c>
      <c r="E440" t="b">
        <f t="shared" si="145"/>
        <v>0</v>
      </c>
      <c r="G440" t="str">
        <f>TBIWet!H512</f>
        <v>G804</v>
      </c>
      <c r="H440" t="str">
        <f>TBIWet!I512</f>
        <v>R410</v>
      </c>
      <c r="I440" t="b">
        <f t="shared" si="146"/>
        <v>0</v>
      </c>
      <c r="J440" t="b">
        <f t="shared" si="147"/>
        <v>0</v>
      </c>
      <c r="S440" s="401" t="b">
        <f t="shared" si="150"/>
        <v>0</v>
      </c>
      <c r="T440" s="401" t="b">
        <f t="shared" si="151"/>
        <v>0</v>
      </c>
      <c r="AA440" t="str">
        <f>'Green_rooibos initial weight'!A441</f>
        <v>G437</v>
      </c>
      <c r="AB440" t="str">
        <f>'Green_rooibos initial weight'!A1345</f>
        <v>R437</v>
      </c>
      <c r="AC440" t="b">
        <f t="shared" si="152"/>
        <v>0</v>
      </c>
      <c r="AD440" t="b">
        <f t="shared" si="153"/>
        <v>0</v>
      </c>
      <c r="AG440" t="str">
        <f>'WetLitterbags placem_collection'!O219</f>
        <v>G804</v>
      </c>
      <c r="AH440" t="str">
        <f>'WetLitterbags placem_collection'!Q219</f>
        <v>R410</v>
      </c>
      <c r="AI440" t="b">
        <f t="shared" si="154"/>
        <v>0</v>
      </c>
      <c r="AJ440" t="b">
        <f t="shared" si="155"/>
        <v>0</v>
      </c>
      <c r="AK440">
        <f>'WetLitterbags placem_collection'!A219</f>
        <v>217</v>
      </c>
      <c r="AL440">
        <f>'WetLitterbags placem_collection'!A219</f>
        <v>217</v>
      </c>
      <c r="AN440">
        <f>IF('Dry_Litterbag Placem_Collection'!L219=0,"",'Dry_Litterbag Placem_Collection'!L219)</f>
        <v>204</v>
      </c>
      <c r="AO440">
        <f>IF('Dry_Litterbag Placem_Collection'!M219=0,"",'Dry_Litterbag Placem_Collection'!M219)</f>
        <v>608</v>
      </c>
      <c r="AP440" t="b">
        <f t="shared" si="156"/>
        <v>0</v>
      </c>
      <c r="AQ440" t="b">
        <f t="shared" si="157"/>
        <v>0</v>
      </c>
      <c r="AZ440" s="401" t="b">
        <f t="shared" si="158"/>
        <v>0</v>
      </c>
      <c r="BA440" s="401" t="b">
        <f t="shared" si="159"/>
        <v>0</v>
      </c>
      <c r="BN440" t="str">
        <f t="shared" si="164"/>
        <v>G286</v>
      </c>
    </row>
    <row r="441" spans="2:66" ht="12" customHeight="1">
      <c r="B441" t="str">
        <f>TBIDry!H513</f>
        <v>G170</v>
      </c>
      <c r="C441" t="str">
        <f>TBIDry!I513</f>
        <v>R639</v>
      </c>
      <c r="D441" t="b">
        <f t="shared" si="144"/>
        <v>0</v>
      </c>
      <c r="E441" t="b">
        <f t="shared" si="145"/>
        <v>0</v>
      </c>
      <c r="G441" t="str">
        <f>TBIWet!H513</f>
        <v>G587</v>
      </c>
      <c r="H441" t="str">
        <f>TBIWet!I513</f>
        <v>R103</v>
      </c>
      <c r="I441" t="b">
        <f t="shared" si="146"/>
        <v>0</v>
      </c>
      <c r="J441" t="b">
        <f t="shared" si="147"/>
        <v>0</v>
      </c>
      <c r="S441" s="401" t="b">
        <f t="shared" si="150"/>
        <v>0</v>
      </c>
      <c r="T441" s="401" t="b">
        <f t="shared" si="151"/>
        <v>0</v>
      </c>
      <c r="AA441" t="str">
        <f>'Green_rooibos initial weight'!A442</f>
        <v>G438</v>
      </c>
      <c r="AB441" t="str">
        <f>'Green_rooibos initial weight'!A1346</f>
        <v>R438</v>
      </c>
      <c r="AC441" t="b">
        <f t="shared" si="152"/>
        <v>0</v>
      </c>
      <c r="AD441" t="b">
        <f t="shared" si="153"/>
        <v>0</v>
      </c>
      <c r="AG441" t="str">
        <f>'WetLitterbags placem_collection'!O220</f>
        <v>G587</v>
      </c>
      <c r="AH441" t="str">
        <f>'WetLitterbags placem_collection'!Q220</f>
        <v>R103</v>
      </c>
      <c r="AI441" t="b">
        <f t="shared" si="154"/>
        <v>0</v>
      </c>
      <c r="AJ441" t="b">
        <f t="shared" si="155"/>
        <v>0</v>
      </c>
      <c r="AK441">
        <f>'WetLitterbags placem_collection'!A220</f>
        <v>218</v>
      </c>
      <c r="AL441">
        <f>'WetLitterbags placem_collection'!A220</f>
        <v>218</v>
      </c>
      <c r="AN441">
        <f>IF('Dry_Litterbag Placem_Collection'!L220=0,"",'Dry_Litterbag Placem_Collection'!L220)</f>
        <v>170</v>
      </c>
      <c r="AO441">
        <f>IF('Dry_Litterbag Placem_Collection'!M220=0,"",'Dry_Litterbag Placem_Collection'!M220)</f>
        <v>639</v>
      </c>
      <c r="AP441" t="b">
        <f t="shared" si="156"/>
        <v>0</v>
      </c>
      <c r="AQ441" t="b">
        <f t="shared" si="157"/>
        <v>0</v>
      </c>
      <c r="AZ441" s="401" t="b">
        <f t="shared" si="158"/>
        <v>0</v>
      </c>
      <c r="BA441" s="401" t="b">
        <f t="shared" si="159"/>
        <v>0</v>
      </c>
      <c r="BN441" t="str">
        <f t="shared" si="164"/>
        <v>G287</v>
      </c>
    </row>
    <row r="442" spans="2:66" ht="12" customHeight="1">
      <c r="B442" t="str">
        <f>TBIDry!H514</f>
        <v>G123</v>
      </c>
      <c r="C442" t="str">
        <f>TBIDry!I514</f>
        <v>R246</v>
      </c>
      <c r="D442" t="b">
        <f t="shared" si="144"/>
        <v>0</v>
      </c>
      <c r="E442" t="b">
        <f t="shared" si="145"/>
        <v>0</v>
      </c>
      <c r="G442" t="str">
        <f>TBIWet!H514</f>
        <v>G491</v>
      </c>
      <c r="H442" t="str">
        <f>TBIWet!I514</f>
        <v>R356</v>
      </c>
      <c r="I442" t="b">
        <f t="shared" si="146"/>
        <v>0</v>
      </c>
      <c r="J442" t="b">
        <f t="shared" si="147"/>
        <v>0</v>
      </c>
      <c r="S442" s="401" t="b">
        <f t="shared" si="150"/>
        <v>0</v>
      </c>
      <c r="T442" s="401" t="b">
        <f t="shared" si="151"/>
        <v>0</v>
      </c>
      <c r="AA442" t="str">
        <f>'Green_rooibos initial weight'!A443</f>
        <v>G439</v>
      </c>
      <c r="AB442" t="str">
        <f>'Green_rooibos initial weight'!A1347</f>
        <v>R439</v>
      </c>
      <c r="AC442" t="b">
        <f t="shared" si="152"/>
        <v>0</v>
      </c>
      <c r="AD442" t="b">
        <f t="shared" si="153"/>
        <v>0</v>
      </c>
      <c r="AG442" t="str">
        <f>'WetLitterbags placem_collection'!O221</f>
        <v>G491</v>
      </c>
      <c r="AH442" t="str">
        <f>'WetLitterbags placem_collection'!Q221</f>
        <v>R356</v>
      </c>
      <c r="AI442" t="b">
        <f t="shared" si="154"/>
        <v>0</v>
      </c>
      <c r="AJ442" t="b">
        <f t="shared" si="155"/>
        <v>0</v>
      </c>
      <c r="AK442">
        <f>'WetLitterbags placem_collection'!A221</f>
        <v>219</v>
      </c>
      <c r="AL442">
        <f>'WetLitterbags placem_collection'!A221</f>
        <v>219</v>
      </c>
      <c r="AN442">
        <f>IF('Dry_Litterbag Placem_Collection'!L221=0,"",'Dry_Litterbag Placem_Collection'!L221)</f>
        <v>123</v>
      </c>
      <c r="AO442">
        <f>IF('Dry_Litterbag Placem_Collection'!M221=0,"",'Dry_Litterbag Placem_Collection'!M221)</f>
        <v>246</v>
      </c>
      <c r="AP442" t="b">
        <f t="shared" si="156"/>
        <v>0</v>
      </c>
      <c r="AQ442" t="b">
        <f t="shared" si="157"/>
        <v>0</v>
      </c>
      <c r="AZ442" s="401" t="b">
        <f t="shared" si="158"/>
        <v>0</v>
      </c>
      <c r="BA442" s="401" t="b">
        <f t="shared" si="159"/>
        <v>0</v>
      </c>
      <c r="BN442" t="str">
        <f t="shared" si="164"/>
        <v>G291</v>
      </c>
    </row>
    <row r="443" spans="2:66" ht="12" customHeight="1">
      <c r="B443" t="str">
        <f>TBIDry!H515</f>
        <v>G53</v>
      </c>
      <c r="C443" t="str">
        <f>TBIDry!I515</f>
        <v>R672</v>
      </c>
      <c r="D443" t="b">
        <f t="shared" si="144"/>
        <v>0</v>
      </c>
      <c r="E443" t="b">
        <f t="shared" si="145"/>
        <v>0</v>
      </c>
      <c r="G443" t="str">
        <f>TBIWet!H515</f>
        <v>G849</v>
      </c>
      <c r="H443" t="str">
        <f>TBIWet!I515</f>
        <v>R319</v>
      </c>
      <c r="I443" t="b">
        <f t="shared" si="146"/>
        <v>0</v>
      </c>
      <c r="J443" t="b">
        <f t="shared" si="147"/>
        <v>0</v>
      </c>
      <c r="S443" s="401" t="b">
        <f t="shared" si="150"/>
        <v>0</v>
      </c>
      <c r="T443" s="401" t="b">
        <f t="shared" si="151"/>
        <v>0</v>
      </c>
      <c r="AA443" t="str">
        <f>'Green_rooibos initial weight'!A444</f>
        <v>G440</v>
      </c>
      <c r="AB443" t="str">
        <f>'Green_rooibos initial weight'!A1348</f>
        <v>R440</v>
      </c>
      <c r="AC443" t="b">
        <f t="shared" si="152"/>
        <v>0</v>
      </c>
      <c r="AD443" t="b">
        <f t="shared" si="153"/>
        <v>0</v>
      </c>
      <c r="AG443" t="str">
        <f>'WetLitterbags placem_collection'!O222</f>
        <v>G849</v>
      </c>
      <c r="AH443" t="str">
        <f>'WetLitterbags placem_collection'!Q222</f>
        <v>R319</v>
      </c>
      <c r="AI443" t="b">
        <f t="shared" si="154"/>
        <v>0</v>
      </c>
      <c r="AJ443" t="b">
        <f t="shared" si="155"/>
        <v>0</v>
      </c>
      <c r="AK443">
        <f>'WetLitterbags placem_collection'!A222</f>
        <v>220</v>
      </c>
      <c r="AL443">
        <f>'WetLitterbags placem_collection'!A222</f>
        <v>220</v>
      </c>
      <c r="AN443">
        <f>IF('Dry_Litterbag Placem_Collection'!L222=0,"",'Dry_Litterbag Placem_Collection'!L222)</f>
        <v>53</v>
      </c>
      <c r="AO443">
        <f>IF('Dry_Litterbag Placem_Collection'!M222=0,"",'Dry_Litterbag Placem_Collection'!M222)</f>
        <v>672</v>
      </c>
      <c r="AP443" t="b">
        <f t="shared" si="156"/>
        <v>0</v>
      </c>
      <c r="AQ443" t="b">
        <f t="shared" si="157"/>
        <v>0</v>
      </c>
      <c r="AZ443" s="401" t="b">
        <f t="shared" si="158"/>
        <v>0</v>
      </c>
      <c r="BA443" s="401" t="b">
        <f t="shared" si="159"/>
        <v>0</v>
      </c>
      <c r="BN443" t="str">
        <f t="shared" si="164"/>
        <v>G297</v>
      </c>
    </row>
    <row r="444" spans="2:66" ht="12" customHeight="1">
      <c r="B444">
        <f>TBIDry!H516</f>
        <v>0</v>
      </c>
      <c r="C444">
        <f>TBIDry!I516</f>
        <v>0</v>
      </c>
      <c r="D444" t="b">
        <f t="shared" si="144"/>
        <v>1</v>
      </c>
      <c r="E444" t="b">
        <f t="shared" si="145"/>
        <v>1</v>
      </c>
      <c r="G444">
        <f>TBIWet!H516</f>
        <v>0</v>
      </c>
      <c r="H444">
        <f>TBIWet!I516</f>
        <v>0</v>
      </c>
      <c r="I444" t="b">
        <f t="shared" si="146"/>
        <v>1</v>
      </c>
      <c r="J444" t="b">
        <f t="shared" si="147"/>
        <v>1</v>
      </c>
      <c r="S444" s="401" t="b">
        <f t="shared" si="150"/>
        <v>0</v>
      </c>
      <c r="T444" s="401" t="b">
        <f t="shared" si="151"/>
        <v>0</v>
      </c>
      <c r="AA444" t="str">
        <f>'Green_rooibos initial weight'!A445</f>
        <v>G441</v>
      </c>
      <c r="AB444" t="str">
        <f>'Green_rooibos initial weight'!A1349</f>
        <v>R441</v>
      </c>
      <c r="AC444" t="b">
        <f t="shared" si="152"/>
        <v>0</v>
      </c>
      <c r="AD444" t="b">
        <f t="shared" si="153"/>
        <v>0</v>
      </c>
      <c r="AG444">
        <f>'WetLitterbags placem_collection'!O223</f>
        <v>0</v>
      </c>
      <c r="AH444">
        <f>'WetLitterbags placem_collection'!Q223</f>
        <v>0</v>
      </c>
      <c r="AI444" t="b">
        <f t="shared" si="154"/>
        <v>1</v>
      </c>
      <c r="AJ444" t="b">
        <f t="shared" si="155"/>
        <v>1</v>
      </c>
      <c r="AN444" t="str">
        <f>IF('Dry_Litterbag Placem_Collection'!L223=0,"",'Dry_Litterbag Placem_Collection'!L223)</f>
        <v/>
      </c>
      <c r="AO444" t="str">
        <f>IF('Dry_Litterbag Placem_Collection'!M223=0,"",'Dry_Litterbag Placem_Collection'!M223)</f>
        <v/>
      </c>
      <c r="AP444" t="b">
        <f t="shared" si="156"/>
        <v>1</v>
      </c>
      <c r="AQ444" t="b">
        <f t="shared" si="157"/>
        <v>1</v>
      </c>
      <c r="AZ444" s="401" t="b">
        <f t="shared" si="158"/>
        <v>0</v>
      </c>
      <c r="BA444" s="401" t="b">
        <f t="shared" si="159"/>
        <v>0</v>
      </c>
      <c r="BN444" t="str">
        <f t="shared" si="164"/>
        <v>G298</v>
      </c>
    </row>
    <row r="445" spans="2:66" ht="12" customHeight="1">
      <c r="B445">
        <f>TBIDry!H517</f>
        <v>0</v>
      </c>
      <c r="C445">
        <f>TBIDry!I517</f>
        <v>0</v>
      </c>
      <c r="D445" t="b">
        <f t="shared" si="144"/>
        <v>1</v>
      </c>
      <c r="E445" t="b">
        <f t="shared" si="145"/>
        <v>1</v>
      </c>
      <c r="G445">
        <f>TBIWet!H517</f>
        <v>0</v>
      </c>
      <c r="H445">
        <f>TBIWet!I517</f>
        <v>0</v>
      </c>
      <c r="I445" t="b">
        <f t="shared" si="146"/>
        <v>1</v>
      </c>
      <c r="J445" t="b">
        <f t="shared" si="147"/>
        <v>1</v>
      </c>
      <c r="S445" s="401" t="b">
        <f t="shared" si="150"/>
        <v>0</v>
      </c>
      <c r="T445" s="401" t="b">
        <f t="shared" si="151"/>
        <v>0</v>
      </c>
      <c r="AA445" t="str">
        <f>'Green_rooibos initial weight'!A446</f>
        <v>G442</v>
      </c>
      <c r="AB445" t="str">
        <f>'Green_rooibos initial weight'!A1350</f>
        <v>R442</v>
      </c>
      <c r="AC445" t="b">
        <f t="shared" si="152"/>
        <v>0</v>
      </c>
      <c r="AD445" t="b">
        <f t="shared" si="153"/>
        <v>0</v>
      </c>
      <c r="AG445">
        <f>'WetLitterbags placem_collection'!O224</f>
        <v>0</v>
      </c>
      <c r="AH445">
        <f>'WetLitterbags placem_collection'!Q224</f>
        <v>0</v>
      </c>
      <c r="AI445" t="b">
        <f t="shared" si="154"/>
        <v>1</v>
      </c>
      <c r="AJ445" t="b">
        <f t="shared" si="155"/>
        <v>1</v>
      </c>
      <c r="AN445" t="str">
        <f>IF('Dry_Litterbag Placem_Collection'!L224=0,"",'Dry_Litterbag Placem_Collection'!L224)</f>
        <v/>
      </c>
      <c r="AP445" t="b">
        <f t="shared" si="156"/>
        <v>1</v>
      </c>
      <c r="AQ445" t="b">
        <f t="shared" si="157"/>
        <v>0</v>
      </c>
      <c r="AZ445" s="401" t="b">
        <f t="shared" si="158"/>
        <v>0</v>
      </c>
      <c r="BA445" s="401" t="b">
        <f t="shared" si="159"/>
        <v>0</v>
      </c>
      <c r="BN445" t="str">
        <f t="shared" si="164"/>
        <v>G299</v>
      </c>
    </row>
    <row r="446" spans="2:66" ht="12" customHeight="1">
      <c r="B446">
        <f>TBIDry!H518</f>
        <v>0</v>
      </c>
      <c r="C446">
        <f>TBIDry!I518</f>
        <v>0</v>
      </c>
      <c r="D446" t="b">
        <f t="shared" si="144"/>
        <v>1</v>
      </c>
      <c r="E446" t="b">
        <f t="shared" si="145"/>
        <v>1</v>
      </c>
      <c r="G446">
        <f>TBIWet!H518</f>
        <v>0</v>
      </c>
      <c r="H446">
        <f>TBIWet!I518</f>
        <v>0</v>
      </c>
      <c r="I446" t="b">
        <f t="shared" si="146"/>
        <v>1</v>
      </c>
      <c r="J446" t="b">
        <f t="shared" si="147"/>
        <v>1</v>
      </c>
      <c r="S446" s="401" t="b">
        <f t="shared" si="150"/>
        <v>0</v>
      </c>
      <c r="T446" s="401" t="b">
        <f t="shared" si="151"/>
        <v>0</v>
      </c>
      <c r="AA446" t="str">
        <f>'Green_rooibos initial weight'!A447</f>
        <v>G443</v>
      </c>
      <c r="AB446" t="str">
        <f>'Green_rooibos initial weight'!A1351</f>
        <v>R443</v>
      </c>
      <c r="AC446" t="b">
        <f t="shared" si="152"/>
        <v>0</v>
      </c>
      <c r="AD446" t="b">
        <f t="shared" si="153"/>
        <v>0</v>
      </c>
      <c r="AG446">
        <f>'WetLitterbags placem_collection'!O225</f>
        <v>0</v>
      </c>
      <c r="AH446">
        <f>'WetLitterbags placem_collection'!Q225</f>
        <v>0</v>
      </c>
      <c r="AI446" t="b">
        <f t="shared" si="154"/>
        <v>1</v>
      </c>
      <c r="AJ446" t="b">
        <f t="shared" si="155"/>
        <v>1</v>
      </c>
      <c r="AN446" t="str">
        <f>IF('Dry_Litterbag Placem_Collection'!L225=0,"",'Dry_Litterbag Placem_Collection'!L225)</f>
        <v/>
      </c>
      <c r="AP446" t="b">
        <f t="shared" si="156"/>
        <v>1</v>
      </c>
      <c r="AQ446" t="b">
        <f t="shared" si="157"/>
        <v>0</v>
      </c>
      <c r="AZ446" s="401" t="b">
        <f t="shared" si="158"/>
        <v>0</v>
      </c>
      <c r="BA446" s="401" t="b">
        <f t="shared" si="159"/>
        <v>0</v>
      </c>
      <c r="BN446" t="str">
        <f t="shared" si="164"/>
        <v>G308</v>
      </c>
    </row>
    <row r="447" spans="2:66" ht="12" customHeight="1">
      <c r="B447">
        <f>TBIDry!H519</f>
        <v>0</v>
      </c>
      <c r="C447">
        <f>TBIDry!I519</f>
        <v>0</v>
      </c>
      <c r="D447" t="b">
        <f t="shared" si="144"/>
        <v>1</v>
      </c>
      <c r="E447" t="b">
        <f t="shared" si="145"/>
        <v>1</v>
      </c>
      <c r="G447">
        <f>TBIWet!H519</f>
        <v>0</v>
      </c>
      <c r="H447">
        <f>TBIWet!I519</f>
        <v>0</v>
      </c>
      <c r="I447" t="b">
        <f t="shared" si="146"/>
        <v>1</v>
      </c>
      <c r="J447" t="b">
        <f t="shared" si="147"/>
        <v>1</v>
      </c>
      <c r="S447" s="401" t="b">
        <f t="shared" si="150"/>
        <v>0</v>
      </c>
      <c r="T447" s="401" t="b">
        <f t="shared" si="151"/>
        <v>0</v>
      </c>
      <c r="AA447" t="str">
        <f>'Green_rooibos initial weight'!A448</f>
        <v>G444</v>
      </c>
      <c r="AB447" t="str">
        <f>'Green_rooibos initial weight'!A1352</f>
        <v>R444</v>
      </c>
      <c r="AC447" t="b">
        <f t="shared" si="152"/>
        <v>0</v>
      </c>
      <c r="AD447" t="b">
        <f t="shared" si="153"/>
        <v>0</v>
      </c>
      <c r="AG447">
        <f>'WetLitterbags placem_collection'!O226</f>
        <v>0</v>
      </c>
      <c r="AH447">
        <f>'WetLitterbags placem_collection'!Q226</f>
        <v>0</v>
      </c>
      <c r="AI447" t="b">
        <f t="shared" si="154"/>
        <v>1</v>
      </c>
      <c r="AJ447" t="b">
        <f t="shared" si="155"/>
        <v>1</v>
      </c>
      <c r="AN447" t="str">
        <f>IF('Dry_Litterbag Placem_Collection'!L226=0,"",'Dry_Litterbag Placem_Collection'!L226)</f>
        <v/>
      </c>
      <c r="AP447" t="b">
        <f t="shared" si="156"/>
        <v>1</v>
      </c>
      <c r="AQ447" t="b">
        <f t="shared" si="157"/>
        <v>0</v>
      </c>
      <c r="AZ447" s="401" t="b">
        <f t="shared" si="158"/>
        <v>0</v>
      </c>
      <c r="BA447" s="401" t="b">
        <f t="shared" si="159"/>
        <v>0</v>
      </c>
      <c r="BN447" t="str">
        <f t="shared" si="164"/>
        <v>G334</v>
      </c>
    </row>
    <row r="448" spans="2:66" ht="12" customHeight="1">
      <c r="B448">
        <f>TBIDry!H520</f>
        <v>0</v>
      </c>
      <c r="C448">
        <f>TBIDry!I520</f>
        <v>0</v>
      </c>
      <c r="D448" t="b">
        <f t="shared" si="144"/>
        <v>1</v>
      </c>
      <c r="E448" t="b">
        <f t="shared" si="145"/>
        <v>1</v>
      </c>
      <c r="G448">
        <f>TBIWet!H520</f>
        <v>0</v>
      </c>
      <c r="H448">
        <f>TBIWet!I520</f>
        <v>0</v>
      </c>
      <c r="I448" t="b">
        <f t="shared" si="146"/>
        <v>1</v>
      </c>
      <c r="J448" t="b">
        <f t="shared" si="147"/>
        <v>1</v>
      </c>
      <c r="S448" s="401" t="b">
        <f t="shared" si="150"/>
        <v>0</v>
      </c>
      <c r="T448" s="401" t="b">
        <f t="shared" si="151"/>
        <v>0</v>
      </c>
      <c r="AA448" t="str">
        <f>'Green_rooibos initial weight'!A449</f>
        <v>G445</v>
      </c>
      <c r="AB448" t="str">
        <f>'Green_rooibos initial weight'!A1353</f>
        <v>R445</v>
      </c>
      <c r="AC448" t="b">
        <f t="shared" si="152"/>
        <v>0</v>
      </c>
      <c r="AD448" t="b">
        <f t="shared" si="153"/>
        <v>0</v>
      </c>
      <c r="AG448">
        <f>'WetLitterbags placem_collection'!O227</f>
        <v>0</v>
      </c>
      <c r="AH448">
        <f>'WetLitterbags placem_collection'!Q227</f>
        <v>0</v>
      </c>
      <c r="AI448" t="b">
        <f t="shared" si="154"/>
        <v>1</v>
      </c>
      <c r="AJ448" t="b">
        <f t="shared" si="155"/>
        <v>1</v>
      </c>
      <c r="AZ448" s="401" t="b">
        <f t="shared" si="158"/>
        <v>0</v>
      </c>
      <c r="BA448" s="401" t="b">
        <f t="shared" si="159"/>
        <v>0</v>
      </c>
      <c r="BN448" t="str">
        <f t="shared" si="164"/>
        <v>G337</v>
      </c>
    </row>
    <row r="449" spans="2:66" ht="12" customHeight="1">
      <c r="B449">
        <f>TBIDry!H521</f>
        <v>0</v>
      </c>
      <c r="C449">
        <f>TBIDry!I521</f>
        <v>0</v>
      </c>
      <c r="D449" t="b">
        <f t="shared" si="144"/>
        <v>1</v>
      </c>
      <c r="E449" t="b">
        <f t="shared" si="145"/>
        <v>1</v>
      </c>
      <c r="G449">
        <f>TBIWet!H521</f>
        <v>0</v>
      </c>
      <c r="H449">
        <f>TBIWet!I521</f>
        <v>0</v>
      </c>
      <c r="I449" t="b">
        <f t="shared" si="146"/>
        <v>1</v>
      </c>
      <c r="J449" t="b">
        <f t="shared" si="147"/>
        <v>1</v>
      </c>
      <c r="S449" s="401" t="b">
        <f t="shared" si="150"/>
        <v>0</v>
      </c>
      <c r="T449" s="401" t="b">
        <f t="shared" si="151"/>
        <v>0</v>
      </c>
      <c r="AA449" t="str">
        <f>'Green_rooibos initial weight'!A450</f>
        <v>G446</v>
      </c>
      <c r="AB449" t="str">
        <f>'Green_rooibos initial weight'!A1354</f>
        <v>R446</v>
      </c>
      <c r="AC449" t="b">
        <f t="shared" si="152"/>
        <v>0</v>
      </c>
      <c r="AD449" t="b">
        <f t="shared" si="153"/>
        <v>0</v>
      </c>
      <c r="AZ449" s="401" t="b">
        <f t="shared" si="158"/>
        <v>0</v>
      </c>
      <c r="BA449" s="401" t="b">
        <f t="shared" si="159"/>
        <v>0</v>
      </c>
      <c r="BN449" t="str">
        <f t="shared" si="164"/>
        <v>G345</v>
      </c>
    </row>
    <row r="450" spans="2:66" ht="12" customHeight="1">
      <c r="B450">
        <f>TBIDry!H522</f>
        <v>0</v>
      </c>
      <c r="C450">
        <f>TBIDry!I522</f>
        <v>0</v>
      </c>
      <c r="D450" t="b">
        <f t="shared" si="144"/>
        <v>1</v>
      </c>
      <c r="E450" t="b">
        <f t="shared" si="145"/>
        <v>1</v>
      </c>
      <c r="G450">
        <f>TBIWet!H522</f>
        <v>0</v>
      </c>
      <c r="H450">
        <f>TBIWet!I522</f>
        <v>0</v>
      </c>
      <c r="I450" t="b">
        <f t="shared" si="146"/>
        <v>1</v>
      </c>
      <c r="J450" t="b">
        <f t="shared" si="147"/>
        <v>1</v>
      </c>
      <c r="S450" s="401" t="b">
        <f t="shared" si="150"/>
        <v>0</v>
      </c>
      <c r="T450" s="401" t="b">
        <f t="shared" si="151"/>
        <v>0</v>
      </c>
      <c r="AA450" t="str">
        <f>'Green_rooibos initial weight'!A451</f>
        <v>G447</v>
      </c>
      <c r="AB450" t="str">
        <f>'Green_rooibos initial weight'!A1355</f>
        <v>R447</v>
      </c>
      <c r="AC450" t="b">
        <f t="shared" si="152"/>
        <v>0</v>
      </c>
      <c r="AD450" t="b">
        <f t="shared" si="153"/>
        <v>0</v>
      </c>
      <c r="AZ450" s="401" t="b">
        <f t="shared" si="158"/>
        <v>0</v>
      </c>
      <c r="BA450" s="401" t="b">
        <f t="shared" si="159"/>
        <v>0</v>
      </c>
      <c r="BN450" t="str">
        <f t="shared" si="164"/>
        <v>G346</v>
      </c>
    </row>
    <row r="451" spans="2:66" ht="12" customHeight="1">
      <c r="B451">
        <f>TBIDry!H523</f>
        <v>0</v>
      </c>
      <c r="C451">
        <f>TBIDry!I523</f>
        <v>0</v>
      </c>
      <c r="D451" t="b">
        <f t="shared" si="144"/>
        <v>1</v>
      </c>
      <c r="E451" t="b">
        <f t="shared" si="145"/>
        <v>1</v>
      </c>
      <c r="G451">
        <f>TBIWet!H523</f>
        <v>0</v>
      </c>
      <c r="H451">
        <f>TBIWet!I523</f>
        <v>0</v>
      </c>
      <c r="I451" t="b">
        <f t="shared" si="146"/>
        <v>1</v>
      </c>
      <c r="J451" t="b">
        <f t="shared" si="147"/>
        <v>1</v>
      </c>
      <c r="S451" s="401" t="b">
        <f t="shared" si="150"/>
        <v>0</v>
      </c>
      <c r="T451" s="401" t="b">
        <f t="shared" si="151"/>
        <v>0</v>
      </c>
      <c r="AA451" t="str">
        <f>'Green_rooibos initial weight'!A452</f>
        <v>G448</v>
      </c>
      <c r="AB451" t="str">
        <f>'Green_rooibos initial weight'!A1356</f>
        <v>R448</v>
      </c>
      <c r="AC451" t="b">
        <f t="shared" si="152"/>
        <v>0</v>
      </c>
      <c r="AD451" t="b">
        <f t="shared" si="153"/>
        <v>0</v>
      </c>
      <c r="AZ451" s="401" t="b">
        <f t="shared" si="158"/>
        <v>0</v>
      </c>
      <c r="BA451" s="401" t="b">
        <f t="shared" si="159"/>
        <v>0</v>
      </c>
      <c r="BN451" t="str">
        <f t="shared" si="164"/>
        <v>G499</v>
      </c>
    </row>
    <row r="452" spans="2:66" ht="12" customHeight="1">
      <c r="B452">
        <f>TBIDry!H524</f>
        <v>0</v>
      </c>
      <c r="C452">
        <f>TBIDry!I524</f>
        <v>0</v>
      </c>
      <c r="D452" t="b">
        <f t="shared" si="144"/>
        <v>1</v>
      </c>
      <c r="E452" t="b">
        <f t="shared" si="145"/>
        <v>1</v>
      </c>
      <c r="G452">
        <f>TBIWet!H524</f>
        <v>0</v>
      </c>
      <c r="H452">
        <f>TBIWet!I524</f>
        <v>0</v>
      </c>
      <c r="I452" t="b">
        <f t="shared" si="146"/>
        <v>1</v>
      </c>
      <c r="J452" t="b">
        <f t="shared" si="147"/>
        <v>1</v>
      </c>
      <c r="S452" s="401" t="b">
        <f t="shared" si="150"/>
        <v>0</v>
      </c>
      <c r="T452" s="401" t="b">
        <f t="shared" si="151"/>
        <v>0</v>
      </c>
      <c r="AA452" t="str">
        <f>'Green_rooibos initial weight'!A453</f>
        <v>G449</v>
      </c>
      <c r="AB452" t="str">
        <f>'Green_rooibos initial weight'!A1357</f>
        <v>R449</v>
      </c>
      <c r="AC452" t="b">
        <f t="shared" si="152"/>
        <v>0</v>
      </c>
      <c r="AD452" t="b">
        <f t="shared" si="153"/>
        <v>0</v>
      </c>
      <c r="AZ452" s="401" t="b">
        <f t="shared" si="158"/>
        <v>0</v>
      </c>
      <c r="BA452" s="401" t="b">
        <f t="shared" si="159"/>
        <v>0</v>
      </c>
      <c r="BN452" t="str">
        <f t="shared" si="164"/>
        <v>G351</v>
      </c>
    </row>
    <row r="453" spans="2:66" ht="12" customHeight="1">
      <c r="B453">
        <f>TBIDry!H525</f>
        <v>0</v>
      </c>
      <c r="C453">
        <f>TBIDry!I525</f>
        <v>0</v>
      </c>
      <c r="D453" t="b">
        <f t="shared" ref="D453:D516" si="165">COUNTIF($B$4:$B$2000, B453)&gt;1</f>
        <v>1</v>
      </c>
      <c r="E453" t="b">
        <f t="shared" ref="E453:E516" si="166">COUNTIF($C$4:$C$2000, C453)&gt;1</f>
        <v>1</v>
      </c>
      <c r="G453">
        <f>TBIWet!H525</f>
        <v>0</v>
      </c>
      <c r="H453">
        <f>TBIWet!I525</f>
        <v>0</v>
      </c>
      <c r="I453" t="b">
        <f t="shared" ref="I453:I454" si="167">COUNTIF($G$4:$G$2000, G453)&gt;1</f>
        <v>1</v>
      </c>
      <c r="J453" t="b">
        <f t="shared" ref="J453:J454" si="168">COUNTIF($H$4:$H$2000, H453)&gt;1</f>
        <v>1</v>
      </c>
      <c r="S453" s="401" t="b">
        <f t="shared" ref="S453:S516" si="169">COUNTIF($V$4:$V$2000, L453)=1</f>
        <v>0</v>
      </c>
      <c r="T453" s="401" t="b">
        <f t="shared" ref="T453:T516" si="170">COUNTIF($W$4:$W$2000, M453)=1</f>
        <v>0</v>
      </c>
      <c r="AA453" t="str">
        <f>'Green_rooibos initial weight'!A454</f>
        <v>G450</v>
      </c>
      <c r="AB453" t="str">
        <f>'Green_rooibos initial weight'!A1358</f>
        <v>R450</v>
      </c>
      <c r="AC453" t="b">
        <f t="shared" ref="AC453:AC516" si="171">COUNTIF($AA$4:$AA$2000, AA453)&gt;1</f>
        <v>0</v>
      </c>
      <c r="AD453" t="b">
        <f t="shared" ref="AD453:AD516" si="172">COUNTIF($AB$4:$AB$2000, AB453)&gt;1</f>
        <v>0</v>
      </c>
      <c r="AZ453" s="401" t="b">
        <f t="shared" ref="AZ453:AZ516" si="173">COUNTIF($BC$4:$BC$2000, AT453)=1</f>
        <v>0</v>
      </c>
      <c r="BA453" s="401" t="b">
        <f t="shared" ref="BA453:BA516" si="174">COUNTIF($BD$4:$BD$2000, AU453)=1</f>
        <v>0</v>
      </c>
      <c r="BN453" t="str">
        <f t="shared" si="164"/>
        <v>G352</v>
      </c>
    </row>
    <row r="454" spans="2:66" ht="12" customHeight="1">
      <c r="B454">
        <f>TBIDry!H526</f>
        <v>0</v>
      </c>
      <c r="C454">
        <f>TBIDry!I526</f>
        <v>0</v>
      </c>
      <c r="D454" t="b">
        <f t="shared" si="165"/>
        <v>1</v>
      </c>
      <c r="E454" t="b">
        <f t="shared" si="166"/>
        <v>1</v>
      </c>
      <c r="G454">
        <f>TBIWet!H526</f>
        <v>0</v>
      </c>
      <c r="H454">
        <f>TBIWet!I526</f>
        <v>0</v>
      </c>
      <c r="I454" t="b">
        <f t="shared" si="167"/>
        <v>1</v>
      </c>
      <c r="J454" t="b">
        <f t="shared" si="168"/>
        <v>1</v>
      </c>
      <c r="S454" s="401" t="b">
        <f t="shared" si="169"/>
        <v>0</v>
      </c>
      <c r="T454" s="401" t="b">
        <f t="shared" si="170"/>
        <v>0</v>
      </c>
      <c r="AA454" t="str">
        <f>'Green_rooibos initial weight'!A455</f>
        <v>G451</v>
      </c>
      <c r="AB454" t="str">
        <f>'Green_rooibos initial weight'!A1359</f>
        <v>R451</v>
      </c>
      <c r="AC454" t="b">
        <f t="shared" si="171"/>
        <v>0</v>
      </c>
      <c r="AD454" t="b">
        <f t="shared" si="172"/>
        <v>0</v>
      </c>
      <c r="AZ454" s="401" t="b">
        <f t="shared" si="173"/>
        <v>0</v>
      </c>
      <c r="BA454" s="401" t="b">
        <f t="shared" si="174"/>
        <v>0</v>
      </c>
      <c r="BN454" t="str">
        <f t="shared" si="164"/>
        <v>G355</v>
      </c>
    </row>
    <row r="455" spans="2:66" ht="12" customHeight="1">
      <c r="B455">
        <f>TBIDry!H527</f>
        <v>0</v>
      </c>
      <c r="C455">
        <f>TBIDry!I527</f>
        <v>0</v>
      </c>
      <c r="D455" t="b">
        <f t="shared" si="165"/>
        <v>1</v>
      </c>
      <c r="E455" t="b">
        <f t="shared" si="166"/>
        <v>1</v>
      </c>
      <c r="S455" s="401" t="b">
        <f t="shared" si="169"/>
        <v>0</v>
      </c>
      <c r="T455" s="401" t="b">
        <f t="shared" si="170"/>
        <v>0</v>
      </c>
      <c r="AA455" t="str">
        <f>'Green_rooibos initial weight'!A456</f>
        <v>G452</v>
      </c>
      <c r="AB455" t="str">
        <f>'Green_rooibos initial weight'!A1360</f>
        <v>R452</v>
      </c>
      <c r="AC455" t="b">
        <f t="shared" si="171"/>
        <v>0</v>
      </c>
      <c r="AD455" t="b">
        <f t="shared" si="172"/>
        <v>0</v>
      </c>
      <c r="AZ455" s="401" t="b">
        <f t="shared" si="173"/>
        <v>0</v>
      </c>
      <c r="BA455" s="401" t="b">
        <f t="shared" si="174"/>
        <v>0</v>
      </c>
      <c r="BN455" t="str">
        <f t="shared" si="164"/>
        <v>G556</v>
      </c>
    </row>
    <row r="456" spans="2:66" ht="12" customHeight="1">
      <c r="B456">
        <f>TBIDry!H528</f>
        <v>0</v>
      </c>
      <c r="C456">
        <f>TBIDry!I528</f>
        <v>0</v>
      </c>
      <c r="D456" t="b">
        <f t="shared" si="165"/>
        <v>1</v>
      </c>
      <c r="E456" t="b">
        <f t="shared" si="166"/>
        <v>1</v>
      </c>
      <c r="S456" s="401" t="b">
        <f t="shared" si="169"/>
        <v>0</v>
      </c>
      <c r="T456" s="401" t="b">
        <f t="shared" si="170"/>
        <v>0</v>
      </c>
      <c r="AA456" t="str">
        <f>'Green_rooibos initial weight'!A457</f>
        <v>G453</v>
      </c>
      <c r="AB456" t="str">
        <f>'Green_rooibos initial weight'!A1361</f>
        <v>R453</v>
      </c>
      <c r="AC456" t="b">
        <f t="shared" si="171"/>
        <v>0</v>
      </c>
      <c r="AD456" t="b">
        <f t="shared" si="172"/>
        <v>0</v>
      </c>
      <c r="AZ456" s="401" t="b">
        <f t="shared" si="173"/>
        <v>0</v>
      </c>
      <c r="BA456" s="401" t="b">
        <f t="shared" si="174"/>
        <v>0</v>
      </c>
      <c r="BN456" t="str">
        <f t="shared" si="164"/>
        <v>G358</v>
      </c>
    </row>
    <row r="457" spans="2:66" ht="12" customHeight="1">
      <c r="B457">
        <f>TBIDry!H529</f>
        <v>0</v>
      </c>
      <c r="C457">
        <f>TBIDry!I529</f>
        <v>0</v>
      </c>
      <c r="D457" t="b">
        <f t="shared" si="165"/>
        <v>1</v>
      </c>
      <c r="E457" t="b">
        <f t="shared" si="166"/>
        <v>1</v>
      </c>
      <c r="S457" s="401" t="b">
        <f t="shared" si="169"/>
        <v>0</v>
      </c>
      <c r="T457" s="401" t="b">
        <f t="shared" si="170"/>
        <v>0</v>
      </c>
      <c r="AA457" t="str">
        <f>'Green_rooibos initial weight'!A458</f>
        <v>G454</v>
      </c>
      <c r="AB457" t="str">
        <f>'Green_rooibos initial weight'!A1362</f>
        <v>R454</v>
      </c>
      <c r="AC457" t="b">
        <f t="shared" si="171"/>
        <v>0</v>
      </c>
      <c r="AD457" t="b">
        <f t="shared" si="172"/>
        <v>0</v>
      </c>
      <c r="AZ457" s="401" t="b">
        <f t="shared" si="173"/>
        <v>0</v>
      </c>
      <c r="BA457" s="401" t="b">
        <f t="shared" si="174"/>
        <v>0</v>
      </c>
      <c r="BN457" t="str">
        <f t="shared" si="164"/>
        <v>G359</v>
      </c>
    </row>
    <row r="458" spans="2:66" ht="12" customHeight="1">
      <c r="B458">
        <f>TBIDry!H530</f>
        <v>0</v>
      </c>
      <c r="C458">
        <f>TBIDry!I530</f>
        <v>0</v>
      </c>
      <c r="D458" t="b">
        <f t="shared" si="165"/>
        <v>1</v>
      </c>
      <c r="E458" t="b">
        <f t="shared" si="166"/>
        <v>1</v>
      </c>
      <c r="S458" s="401" t="b">
        <f t="shared" si="169"/>
        <v>0</v>
      </c>
      <c r="T458" s="401" t="b">
        <f t="shared" si="170"/>
        <v>0</v>
      </c>
      <c r="AA458" t="str">
        <f>'Green_rooibos initial weight'!A459</f>
        <v>G455</v>
      </c>
      <c r="AB458" t="str">
        <f>'Green_rooibos initial weight'!A1363</f>
        <v>R455</v>
      </c>
      <c r="AC458" t="b">
        <f t="shared" si="171"/>
        <v>0</v>
      </c>
      <c r="AD458" t="b">
        <f t="shared" si="172"/>
        <v>0</v>
      </c>
      <c r="AZ458" s="401" t="b">
        <f t="shared" si="173"/>
        <v>0</v>
      </c>
      <c r="BA458" s="401" t="b">
        <f t="shared" si="174"/>
        <v>0</v>
      </c>
      <c r="BN458" t="str">
        <f t="shared" si="164"/>
        <v>G360</v>
      </c>
    </row>
    <row r="459" spans="2:66" ht="12" customHeight="1">
      <c r="B459">
        <f>TBIDry!H531</f>
        <v>0</v>
      </c>
      <c r="C459">
        <f>TBIDry!I531</f>
        <v>0</v>
      </c>
      <c r="D459" t="b">
        <f t="shared" si="165"/>
        <v>1</v>
      </c>
      <c r="E459" t="b">
        <f t="shared" si="166"/>
        <v>1</v>
      </c>
      <c r="S459" s="401" t="b">
        <f t="shared" si="169"/>
        <v>0</v>
      </c>
      <c r="T459" s="401" t="b">
        <f t="shared" si="170"/>
        <v>0</v>
      </c>
      <c r="AA459" t="str">
        <f>'Green_rooibos initial weight'!A460</f>
        <v>G456</v>
      </c>
      <c r="AB459" t="str">
        <f>'Green_rooibos initial weight'!A1364</f>
        <v>R456</v>
      </c>
      <c r="AC459" t="b">
        <f t="shared" si="171"/>
        <v>0</v>
      </c>
      <c r="AD459" t="b">
        <f t="shared" si="172"/>
        <v>0</v>
      </c>
      <c r="AZ459" s="401" t="b">
        <f t="shared" si="173"/>
        <v>0</v>
      </c>
      <c r="BA459" s="401" t="b">
        <f t="shared" si="174"/>
        <v>0</v>
      </c>
      <c r="BN459" t="str">
        <f t="shared" si="164"/>
        <v>G365</v>
      </c>
    </row>
    <row r="460" spans="2:66" ht="12" customHeight="1">
      <c r="B460">
        <f>TBIDry!H532</f>
        <v>0</v>
      </c>
      <c r="C460">
        <f>TBIDry!I532</f>
        <v>0</v>
      </c>
      <c r="D460" t="b">
        <f t="shared" si="165"/>
        <v>1</v>
      </c>
      <c r="E460" t="b">
        <f t="shared" si="166"/>
        <v>1</v>
      </c>
      <c r="S460" s="401" t="b">
        <f t="shared" si="169"/>
        <v>0</v>
      </c>
      <c r="T460" s="401" t="b">
        <f t="shared" si="170"/>
        <v>0</v>
      </c>
      <c r="AA460" t="str">
        <f>'Green_rooibos initial weight'!A461</f>
        <v>G457</v>
      </c>
      <c r="AB460" t="str">
        <f>'Green_rooibos initial weight'!A1365</f>
        <v>R457</v>
      </c>
      <c r="AC460" t="b">
        <f t="shared" si="171"/>
        <v>0</v>
      </c>
      <c r="AD460" t="b">
        <f t="shared" si="172"/>
        <v>0</v>
      </c>
      <c r="AZ460" s="401" t="b">
        <f t="shared" si="173"/>
        <v>0</v>
      </c>
      <c r="BA460" s="401" t="b">
        <f t="shared" si="174"/>
        <v>0</v>
      </c>
      <c r="BN460" t="str">
        <f t="shared" si="164"/>
        <v>G366</v>
      </c>
    </row>
    <row r="461" spans="2:66" ht="12" customHeight="1">
      <c r="B461">
        <f>TBIDry!H533</f>
        <v>0</v>
      </c>
      <c r="C461">
        <f>TBIDry!I533</f>
        <v>0</v>
      </c>
      <c r="D461" t="b">
        <f t="shared" si="165"/>
        <v>1</v>
      </c>
      <c r="E461" t="b">
        <f t="shared" si="166"/>
        <v>1</v>
      </c>
      <c r="S461" s="401" t="b">
        <f t="shared" si="169"/>
        <v>0</v>
      </c>
      <c r="T461" s="401" t="b">
        <f t="shared" si="170"/>
        <v>0</v>
      </c>
      <c r="AA461" t="str">
        <f>'Green_rooibos initial weight'!A462</f>
        <v>G458</v>
      </c>
      <c r="AB461" t="str">
        <f>'Green_rooibos initial weight'!A1366</f>
        <v>R458</v>
      </c>
      <c r="AC461" t="b">
        <f t="shared" si="171"/>
        <v>0</v>
      </c>
      <c r="AD461" t="b">
        <f t="shared" si="172"/>
        <v>0</v>
      </c>
      <c r="AZ461" s="401" t="b">
        <f t="shared" si="173"/>
        <v>0</v>
      </c>
      <c r="BA461" s="401" t="b">
        <f t="shared" si="174"/>
        <v>0</v>
      </c>
      <c r="BN461" t="str">
        <f t="shared" si="164"/>
        <v>G367</v>
      </c>
    </row>
    <row r="462" spans="2:66" ht="12" customHeight="1">
      <c r="B462">
        <f>TBIDry!H534</f>
        <v>0</v>
      </c>
      <c r="C462">
        <f>TBIDry!I534</f>
        <v>0</v>
      </c>
      <c r="D462" t="b">
        <f t="shared" si="165"/>
        <v>1</v>
      </c>
      <c r="E462" t="b">
        <f t="shared" si="166"/>
        <v>1</v>
      </c>
      <c r="S462" s="401" t="b">
        <f t="shared" si="169"/>
        <v>0</v>
      </c>
      <c r="T462" s="401" t="b">
        <f t="shared" si="170"/>
        <v>0</v>
      </c>
      <c r="AA462" t="str">
        <f>'Green_rooibos initial weight'!A463</f>
        <v>G459</v>
      </c>
      <c r="AB462" t="str">
        <f>'Green_rooibos initial weight'!A1367</f>
        <v>R459</v>
      </c>
      <c r="AC462" t="b">
        <f t="shared" si="171"/>
        <v>0</v>
      </c>
      <c r="AD462" t="b">
        <f t="shared" si="172"/>
        <v>0</v>
      </c>
      <c r="AZ462" s="401" t="b">
        <f t="shared" si="173"/>
        <v>0</v>
      </c>
      <c r="BA462" s="401" t="b">
        <f t="shared" si="174"/>
        <v>0</v>
      </c>
      <c r="BN462" t="str">
        <f t="shared" si="164"/>
        <v>G368</v>
      </c>
    </row>
    <row r="463" spans="2:66" ht="12" customHeight="1">
      <c r="B463">
        <f>TBIDry!H535</f>
        <v>0</v>
      </c>
      <c r="C463">
        <f>TBIDry!I535</f>
        <v>0</v>
      </c>
      <c r="D463" t="b">
        <f t="shared" si="165"/>
        <v>1</v>
      </c>
      <c r="E463" t="b">
        <f t="shared" si="166"/>
        <v>1</v>
      </c>
      <c r="S463" s="401" t="b">
        <f t="shared" si="169"/>
        <v>0</v>
      </c>
      <c r="T463" s="401" t="b">
        <f t="shared" si="170"/>
        <v>0</v>
      </c>
      <c r="AA463" t="str">
        <f>'Green_rooibos initial weight'!A464</f>
        <v>G460</v>
      </c>
      <c r="AB463" t="str">
        <f>'Green_rooibos initial weight'!A1368</f>
        <v>R460</v>
      </c>
      <c r="AC463" t="b">
        <f t="shared" si="171"/>
        <v>0</v>
      </c>
      <c r="AD463" t="b">
        <f t="shared" si="172"/>
        <v>0</v>
      </c>
      <c r="AZ463" s="401" t="b">
        <f t="shared" si="173"/>
        <v>0</v>
      </c>
      <c r="BA463" s="401" t="b">
        <f t="shared" si="174"/>
        <v>0</v>
      </c>
      <c r="BN463" t="str">
        <f t="shared" si="164"/>
        <v>G373</v>
      </c>
    </row>
    <row r="464" spans="2:66" ht="12" customHeight="1">
      <c r="B464">
        <f>TBIDry!H536</f>
        <v>0</v>
      </c>
      <c r="C464">
        <f>TBIDry!I536</f>
        <v>0</v>
      </c>
      <c r="D464" t="b">
        <f t="shared" si="165"/>
        <v>1</v>
      </c>
      <c r="E464" t="b">
        <f t="shared" si="166"/>
        <v>1</v>
      </c>
      <c r="S464" s="401" t="b">
        <f t="shared" si="169"/>
        <v>0</v>
      </c>
      <c r="T464" s="401" t="b">
        <f t="shared" si="170"/>
        <v>0</v>
      </c>
      <c r="AA464" t="str">
        <f>'Green_rooibos initial weight'!A465</f>
        <v>G461</v>
      </c>
      <c r="AB464" t="str">
        <f>'Green_rooibos initial weight'!A1369</f>
        <v>R461</v>
      </c>
      <c r="AC464" t="b">
        <f t="shared" si="171"/>
        <v>0</v>
      </c>
      <c r="AD464" t="b">
        <f t="shared" si="172"/>
        <v>0</v>
      </c>
      <c r="AZ464" s="401" t="b">
        <f t="shared" si="173"/>
        <v>0</v>
      </c>
      <c r="BA464" s="401" t="b">
        <f t="shared" si="174"/>
        <v>0</v>
      </c>
      <c r="BN464" t="str">
        <f t="shared" si="164"/>
        <v>G375</v>
      </c>
    </row>
    <row r="465" spans="2:66" ht="12" customHeight="1">
      <c r="B465">
        <f>TBIDry!H537</f>
        <v>0</v>
      </c>
      <c r="C465">
        <f>TBIDry!I537</f>
        <v>0</v>
      </c>
      <c r="D465" t="b">
        <f t="shared" si="165"/>
        <v>1</v>
      </c>
      <c r="E465" t="b">
        <f t="shared" si="166"/>
        <v>1</v>
      </c>
      <c r="S465" s="401" t="b">
        <f t="shared" si="169"/>
        <v>0</v>
      </c>
      <c r="T465" s="401" t="b">
        <f t="shared" si="170"/>
        <v>0</v>
      </c>
      <c r="AA465" t="str">
        <f>'Green_rooibos initial weight'!A466</f>
        <v>G462</v>
      </c>
      <c r="AB465" t="str">
        <f>'Green_rooibos initial weight'!A1370</f>
        <v>R462</v>
      </c>
      <c r="AC465" t="b">
        <f t="shared" si="171"/>
        <v>0</v>
      </c>
      <c r="AD465" t="b">
        <f t="shared" si="172"/>
        <v>0</v>
      </c>
      <c r="AZ465" s="401" t="b">
        <f t="shared" si="173"/>
        <v>0</v>
      </c>
      <c r="BA465" s="401" t="b">
        <f t="shared" si="174"/>
        <v>0</v>
      </c>
      <c r="BN465" t="str">
        <f t="shared" si="164"/>
        <v>G831</v>
      </c>
    </row>
    <row r="466" spans="2:66" ht="12" customHeight="1">
      <c r="B466">
        <f>TBIDry!H538</f>
        <v>0</v>
      </c>
      <c r="C466">
        <f>TBIDry!I538</f>
        <v>0</v>
      </c>
      <c r="D466" t="b">
        <f t="shared" si="165"/>
        <v>1</v>
      </c>
      <c r="E466" t="b">
        <f t="shared" si="166"/>
        <v>1</v>
      </c>
      <c r="S466" s="401" t="b">
        <f t="shared" si="169"/>
        <v>0</v>
      </c>
      <c r="T466" s="401" t="b">
        <f t="shared" si="170"/>
        <v>0</v>
      </c>
      <c r="AA466" t="str">
        <f>'Green_rooibos initial weight'!A467</f>
        <v>G463</v>
      </c>
      <c r="AB466" t="str">
        <f>'Green_rooibos initial weight'!A1371</f>
        <v>R463</v>
      </c>
      <c r="AC466" t="b">
        <f t="shared" si="171"/>
        <v>0</v>
      </c>
      <c r="AD466" t="b">
        <f t="shared" si="172"/>
        <v>0</v>
      </c>
      <c r="AZ466" s="401" t="b">
        <f t="shared" si="173"/>
        <v>0</v>
      </c>
      <c r="BA466" s="401" t="b">
        <f t="shared" si="174"/>
        <v>0</v>
      </c>
      <c r="BN466" t="str">
        <f t="shared" si="164"/>
        <v>G383</v>
      </c>
    </row>
    <row r="467" spans="2:66" ht="12" customHeight="1">
      <c r="B467">
        <f>TBIDry!H539</f>
        <v>0</v>
      </c>
      <c r="C467">
        <f>TBIDry!I539</f>
        <v>0</v>
      </c>
      <c r="D467" t="b">
        <f t="shared" si="165"/>
        <v>1</v>
      </c>
      <c r="E467" t="b">
        <f t="shared" si="166"/>
        <v>1</v>
      </c>
      <c r="S467" s="401" t="b">
        <f t="shared" si="169"/>
        <v>0</v>
      </c>
      <c r="T467" s="401" t="b">
        <f t="shared" si="170"/>
        <v>0</v>
      </c>
      <c r="AA467" t="str">
        <f>'Green_rooibos initial weight'!A468</f>
        <v>G464</v>
      </c>
      <c r="AB467" t="str">
        <f>'Green_rooibos initial weight'!A1372</f>
        <v>R464</v>
      </c>
      <c r="AC467" t="b">
        <f t="shared" si="171"/>
        <v>0</v>
      </c>
      <c r="AD467" t="b">
        <f t="shared" si="172"/>
        <v>0</v>
      </c>
      <c r="AZ467" s="401" t="b">
        <f t="shared" si="173"/>
        <v>0</v>
      </c>
      <c r="BA467" s="401" t="b">
        <f t="shared" si="174"/>
        <v>0</v>
      </c>
      <c r="BN467" t="str">
        <f t="shared" si="164"/>
        <v>G385</v>
      </c>
    </row>
    <row r="468" spans="2:66" ht="12" customHeight="1">
      <c r="B468">
        <f>TBIDry!H540</f>
        <v>0</v>
      </c>
      <c r="C468">
        <f>TBIDry!I540</f>
        <v>0</v>
      </c>
      <c r="D468" t="b">
        <f t="shared" si="165"/>
        <v>1</v>
      </c>
      <c r="E468" t="b">
        <f t="shared" si="166"/>
        <v>1</v>
      </c>
      <c r="S468" s="401" t="b">
        <f t="shared" si="169"/>
        <v>0</v>
      </c>
      <c r="T468" s="401" t="b">
        <f t="shared" si="170"/>
        <v>0</v>
      </c>
      <c r="AA468" t="str">
        <f>'Green_rooibos initial weight'!A469</f>
        <v>G465</v>
      </c>
      <c r="AB468" t="str">
        <f>'Green_rooibos initial weight'!A1373</f>
        <v>R465</v>
      </c>
      <c r="AC468" t="b">
        <f t="shared" si="171"/>
        <v>0</v>
      </c>
      <c r="AD468" t="b">
        <f t="shared" si="172"/>
        <v>0</v>
      </c>
      <c r="AZ468" s="401" t="b">
        <f t="shared" si="173"/>
        <v>0</v>
      </c>
      <c r="BA468" s="401" t="b">
        <f t="shared" si="174"/>
        <v>0</v>
      </c>
      <c r="BN468" t="str">
        <f t="shared" si="164"/>
        <v>G386</v>
      </c>
    </row>
    <row r="469" spans="2:66" ht="12" customHeight="1">
      <c r="B469">
        <f>TBIDry!H541</f>
        <v>0</v>
      </c>
      <c r="C469">
        <f>TBIDry!I541</f>
        <v>0</v>
      </c>
      <c r="D469" t="b">
        <f t="shared" si="165"/>
        <v>1</v>
      </c>
      <c r="E469" t="b">
        <f t="shared" si="166"/>
        <v>1</v>
      </c>
      <c r="S469" s="401" t="b">
        <f t="shared" si="169"/>
        <v>0</v>
      </c>
      <c r="T469" s="401" t="b">
        <f t="shared" si="170"/>
        <v>0</v>
      </c>
      <c r="AA469" t="str">
        <f>'Green_rooibos initial weight'!A470</f>
        <v>G466</v>
      </c>
      <c r="AB469" t="str">
        <f>'Green_rooibos initial weight'!A1374</f>
        <v>R466</v>
      </c>
      <c r="AC469" t="b">
        <f t="shared" si="171"/>
        <v>0</v>
      </c>
      <c r="AD469" t="b">
        <f t="shared" si="172"/>
        <v>0</v>
      </c>
      <c r="AZ469" s="401" t="b">
        <f t="shared" si="173"/>
        <v>0</v>
      </c>
      <c r="BA469" s="401" t="b">
        <f t="shared" si="174"/>
        <v>0</v>
      </c>
      <c r="BN469" t="str">
        <f t="shared" si="164"/>
        <v>G387</v>
      </c>
    </row>
    <row r="470" spans="2:66" ht="12" customHeight="1">
      <c r="B470">
        <f>TBIDry!H542</f>
        <v>0</v>
      </c>
      <c r="C470">
        <f>TBIDry!I542</f>
        <v>0</v>
      </c>
      <c r="D470" t="b">
        <f t="shared" si="165"/>
        <v>1</v>
      </c>
      <c r="E470" t="b">
        <f t="shared" si="166"/>
        <v>1</v>
      </c>
      <c r="S470" s="401" t="b">
        <f t="shared" si="169"/>
        <v>0</v>
      </c>
      <c r="T470" s="401" t="b">
        <f t="shared" si="170"/>
        <v>0</v>
      </c>
      <c r="AA470" t="str">
        <f>'Green_rooibos initial weight'!A471</f>
        <v>G467</v>
      </c>
      <c r="AB470" t="str">
        <f>'Green_rooibos initial weight'!A1375</f>
        <v>R467</v>
      </c>
      <c r="AC470" t="b">
        <f t="shared" si="171"/>
        <v>0</v>
      </c>
      <c r="AD470" t="b">
        <f t="shared" si="172"/>
        <v>0</v>
      </c>
      <c r="AZ470" s="401" t="b">
        <f t="shared" si="173"/>
        <v>0</v>
      </c>
      <c r="BA470" s="401" t="b">
        <f t="shared" si="174"/>
        <v>0</v>
      </c>
      <c r="BN470" t="str">
        <f t="shared" si="164"/>
        <v>G388</v>
      </c>
    </row>
    <row r="471" spans="2:66" ht="12" customHeight="1">
      <c r="B471">
        <f>TBIDry!H543</f>
        <v>0</v>
      </c>
      <c r="C471">
        <f>TBIDry!I543</f>
        <v>0</v>
      </c>
      <c r="D471" t="b">
        <f t="shared" si="165"/>
        <v>1</v>
      </c>
      <c r="E471" t="b">
        <f t="shared" si="166"/>
        <v>1</v>
      </c>
      <c r="S471" s="401" t="b">
        <f t="shared" si="169"/>
        <v>0</v>
      </c>
      <c r="T471" s="401" t="b">
        <f t="shared" si="170"/>
        <v>0</v>
      </c>
      <c r="AA471" t="str">
        <f>'Green_rooibos initial weight'!A472</f>
        <v>G468</v>
      </c>
      <c r="AB471" t="str">
        <f>'Green_rooibos initial weight'!A1376</f>
        <v>R468</v>
      </c>
      <c r="AC471" t="b">
        <f t="shared" si="171"/>
        <v>0</v>
      </c>
      <c r="AD471" t="b">
        <f t="shared" si="172"/>
        <v>0</v>
      </c>
      <c r="AZ471" s="401" t="b">
        <f t="shared" si="173"/>
        <v>0</v>
      </c>
      <c r="BA471" s="401" t="b">
        <f t="shared" si="174"/>
        <v>0</v>
      </c>
      <c r="BN471" t="str">
        <f t="shared" si="164"/>
        <v>G389</v>
      </c>
    </row>
    <row r="472" spans="2:66" ht="12" customHeight="1">
      <c r="B472">
        <f>TBIDry!H544</f>
        <v>0</v>
      </c>
      <c r="C472">
        <f>TBIDry!I544</f>
        <v>0</v>
      </c>
      <c r="D472" t="b">
        <f t="shared" si="165"/>
        <v>1</v>
      </c>
      <c r="E472" t="b">
        <f t="shared" si="166"/>
        <v>1</v>
      </c>
      <c r="S472" s="401" t="b">
        <f t="shared" si="169"/>
        <v>0</v>
      </c>
      <c r="T472" s="401" t="b">
        <f t="shared" si="170"/>
        <v>0</v>
      </c>
      <c r="AA472" t="str">
        <f>'Green_rooibos initial weight'!A473</f>
        <v>G469</v>
      </c>
      <c r="AB472" t="str">
        <f>'Green_rooibos initial weight'!A1377</f>
        <v>R469</v>
      </c>
      <c r="AC472" t="b">
        <f t="shared" si="171"/>
        <v>0</v>
      </c>
      <c r="AD472" t="b">
        <f t="shared" si="172"/>
        <v>0</v>
      </c>
      <c r="AZ472" s="401" t="b">
        <f t="shared" si="173"/>
        <v>0</v>
      </c>
      <c r="BA472" s="401" t="b">
        <f t="shared" si="174"/>
        <v>0</v>
      </c>
      <c r="BN472" t="str">
        <f t="shared" si="164"/>
        <v>G390</v>
      </c>
    </row>
    <row r="473" spans="2:66" ht="12" customHeight="1">
      <c r="B473">
        <f>TBIDry!H545</f>
        <v>0</v>
      </c>
      <c r="C473">
        <f>TBIDry!I545</f>
        <v>0</v>
      </c>
      <c r="D473" t="b">
        <f t="shared" si="165"/>
        <v>1</v>
      </c>
      <c r="E473" t="b">
        <f t="shared" si="166"/>
        <v>1</v>
      </c>
      <c r="S473" s="401" t="b">
        <f t="shared" si="169"/>
        <v>0</v>
      </c>
      <c r="T473" s="401" t="b">
        <f t="shared" si="170"/>
        <v>0</v>
      </c>
      <c r="AA473" t="str">
        <f>'Green_rooibos initial weight'!A474</f>
        <v>G470</v>
      </c>
      <c r="AB473" t="str">
        <f>'Green_rooibos initial weight'!A1378</f>
        <v>R470</v>
      </c>
      <c r="AC473" t="b">
        <f t="shared" si="171"/>
        <v>0</v>
      </c>
      <c r="AD473" t="b">
        <f t="shared" si="172"/>
        <v>0</v>
      </c>
      <c r="AZ473" s="401" t="b">
        <f t="shared" si="173"/>
        <v>0</v>
      </c>
      <c r="BA473" s="401" t="b">
        <f t="shared" si="174"/>
        <v>0</v>
      </c>
      <c r="BN473" t="str">
        <f t="shared" si="164"/>
        <v>G391</v>
      </c>
    </row>
    <row r="474" spans="2:66" ht="12" customHeight="1">
      <c r="B474">
        <f>TBIDry!H546</f>
        <v>0</v>
      </c>
      <c r="C474">
        <f>TBIDry!I546</f>
        <v>0</v>
      </c>
      <c r="D474" t="b">
        <f t="shared" si="165"/>
        <v>1</v>
      </c>
      <c r="E474" t="b">
        <f t="shared" si="166"/>
        <v>1</v>
      </c>
      <c r="S474" s="401" t="b">
        <f t="shared" si="169"/>
        <v>0</v>
      </c>
      <c r="T474" s="401" t="b">
        <f t="shared" si="170"/>
        <v>0</v>
      </c>
      <c r="AA474" t="str">
        <f>'Green_rooibos initial weight'!A475</f>
        <v>G471</v>
      </c>
      <c r="AB474" t="str">
        <f>'Green_rooibos initial weight'!A1379</f>
        <v>R471</v>
      </c>
      <c r="AC474" t="b">
        <f t="shared" si="171"/>
        <v>0</v>
      </c>
      <c r="AD474" t="b">
        <f t="shared" si="172"/>
        <v>0</v>
      </c>
      <c r="AZ474" s="401" t="b">
        <f t="shared" si="173"/>
        <v>0</v>
      </c>
      <c r="BA474" s="401" t="b">
        <f t="shared" si="174"/>
        <v>0</v>
      </c>
      <c r="BN474" t="str">
        <f t="shared" si="164"/>
        <v>G393</v>
      </c>
    </row>
    <row r="475" spans="2:66" ht="12" customHeight="1">
      <c r="B475">
        <f>TBIDry!H547</f>
        <v>0</v>
      </c>
      <c r="C475">
        <f>TBIDry!I547</f>
        <v>0</v>
      </c>
      <c r="D475" t="b">
        <f t="shared" si="165"/>
        <v>1</v>
      </c>
      <c r="E475" t="b">
        <f t="shared" si="166"/>
        <v>1</v>
      </c>
      <c r="S475" s="401" t="b">
        <f t="shared" si="169"/>
        <v>0</v>
      </c>
      <c r="T475" s="401" t="b">
        <f t="shared" si="170"/>
        <v>0</v>
      </c>
      <c r="AA475" t="str">
        <f>'Green_rooibos initial weight'!A476</f>
        <v>G472</v>
      </c>
      <c r="AB475" t="str">
        <f>'Green_rooibos initial weight'!A1380</f>
        <v>R472</v>
      </c>
      <c r="AC475" t="b">
        <f t="shared" si="171"/>
        <v>0</v>
      </c>
      <c r="AD475" t="b">
        <f t="shared" si="172"/>
        <v>0</v>
      </c>
      <c r="AZ475" s="401" t="b">
        <f t="shared" si="173"/>
        <v>0</v>
      </c>
      <c r="BA475" s="401" t="b">
        <f t="shared" si="174"/>
        <v>0</v>
      </c>
      <c r="BN475" t="str">
        <f t="shared" si="164"/>
        <v>G403</v>
      </c>
    </row>
    <row r="476" spans="2:66" ht="12" customHeight="1">
      <c r="B476">
        <f>TBIDry!H548</f>
        <v>0</v>
      </c>
      <c r="C476">
        <f>TBIDry!I548</f>
        <v>0</v>
      </c>
      <c r="D476" t="b">
        <f t="shared" si="165"/>
        <v>1</v>
      </c>
      <c r="E476" t="b">
        <f t="shared" si="166"/>
        <v>1</v>
      </c>
      <c r="S476" s="401" t="b">
        <f t="shared" si="169"/>
        <v>0</v>
      </c>
      <c r="T476" s="401" t="b">
        <f t="shared" si="170"/>
        <v>0</v>
      </c>
      <c r="AA476" t="str">
        <f>'Green_rooibos initial weight'!A477</f>
        <v>G473</v>
      </c>
      <c r="AB476" t="str">
        <f>'Green_rooibos initial weight'!A1381</f>
        <v>R473</v>
      </c>
      <c r="AC476" t="b">
        <f t="shared" si="171"/>
        <v>0</v>
      </c>
      <c r="AD476" t="b">
        <f t="shared" si="172"/>
        <v>0</v>
      </c>
      <c r="AZ476" s="401" t="b">
        <f t="shared" si="173"/>
        <v>0</v>
      </c>
      <c r="BA476" s="401" t="b">
        <f t="shared" si="174"/>
        <v>0</v>
      </c>
      <c r="BN476" t="str">
        <f t="shared" si="164"/>
        <v>G404</v>
      </c>
    </row>
    <row r="477" spans="2:66" ht="12" customHeight="1">
      <c r="B477">
        <f>TBIDry!H549</f>
        <v>0</v>
      </c>
      <c r="C477">
        <f>TBIDry!I549</f>
        <v>0</v>
      </c>
      <c r="D477" t="b">
        <f t="shared" si="165"/>
        <v>1</v>
      </c>
      <c r="E477" t="b">
        <f t="shared" si="166"/>
        <v>1</v>
      </c>
      <c r="S477" s="401" t="b">
        <f t="shared" si="169"/>
        <v>0</v>
      </c>
      <c r="T477" s="401" t="b">
        <f t="shared" si="170"/>
        <v>0</v>
      </c>
      <c r="AA477" t="str">
        <f>'Green_rooibos initial weight'!A478</f>
        <v>G474</v>
      </c>
      <c r="AB477" t="str">
        <f>'Green_rooibos initial weight'!A1382</f>
        <v>R474</v>
      </c>
      <c r="AC477" t="b">
        <f t="shared" si="171"/>
        <v>0</v>
      </c>
      <c r="AD477" t="b">
        <f t="shared" si="172"/>
        <v>0</v>
      </c>
      <c r="AZ477" s="401" t="b">
        <f t="shared" si="173"/>
        <v>0</v>
      </c>
      <c r="BA477" s="401" t="b">
        <f t="shared" si="174"/>
        <v>0</v>
      </c>
      <c r="BN477" t="str">
        <f t="shared" si="164"/>
        <v>G405</v>
      </c>
    </row>
    <row r="478" spans="2:66" ht="12" customHeight="1">
      <c r="B478">
        <f>TBIDry!H550</f>
        <v>0</v>
      </c>
      <c r="C478">
        <f>TBIDry!I550</f>
        <v>0</v>
      </c>
      <c r="D478" t="b">
        <f t="shared" si="165"/>
        <v>1</v>
      </c>
      <c r="E478" t="b">
        <f t="shared" si="166"/>
        <v>1</v>
      </c>
      <c r="S478" s="401" t="b">
        <f t="shared" si="169"/>
        <v>0</v>
      </c>
      <c r="T478" s="401" t="b">
        <f t="shared" si="170"/>
        <v>0</v>
      </c>
      <c r="AA478" t="str">
        <f>'Green_rooibos initial weight'!A479</f>
        <v>G475</v>
      </c>
      <c r="AB478" t="str">
        <f>'Green_rooibos initial weight'!A1383</f>
        <v>R475</v>
      </c>
      <c r="AC478" t="b">
        <f t="shared" si="171"/>
        <v>0</v>
      </c>
      <c r="AD478" t="b">
        <f t="shared" si="172"/>
        <v>0</v>
      </c>
      <c r="AZ478" s="401" t="b">
        <f t="shared" si="173"/>
        <v>0</v>
      </c>
      <c r="BA478" s="401" t="b">
        <f t="shared" si="174"/>
        <v>0</v>
      </c>
      <c r="BN478" t="str">
        <f t="shared" si="164"/>
        <v>G406</v>
      </c>
    </row>
    <row r="479" spans="2:66" ht="12" customHeight="1">
      <c r="B479">
        <f>TBIDry!H551</f>
        <v>0</v>
      </c>
      <c r="C479">
        <f>TBIDry!I551</f>
        <v>0</v>
      </c>
      <c r="D479" t="b">
        <f t="shared" si="165"/>
        <v>1</v>
      </c>
      <c r="E479" t="b">
        <f t="shared" si="166"/>
        <v>1</v>
      </c>
      <c r="S479" s="401" t="b">
        <f t="shared" si="169"/>
        <v>0</v>
      </c>
      <c r="T479" s="401" t="b">
        <f t="shared" si="170"/>
        <v>0</v>
      </c>
      <c r="AA479" t="str">
        <f>'Green_rooibos initial weight'!A480</f>
        <v>G476</v>
      </c>
      <c r="AB479" t="str">
        <f>'Green_rooibos initial weight'!A1384</f>
        <v>R476</v>
      </c>
      <c r="AC479" t="b">
        <f t="shared" si="171"/>
        <v>0</v>
      </c>
      <c r="AD479" t="b">
        <f t="shared" si="172"/>
        <v>0</v>
      </c>
      <c r="AZ479" s="401" t="b">
        <f t="shared" si="173"/>
        <v>0</v>
      </c>
      <c r="BA479" s="401" t="b">
        <f t="shared" si="174"/>
        <v>0</v>
      </c>
      <c r="BN479" t="str">
        <f t="shared" si="164"/>
        <v>G408</v>
      </c>
    </row>
    <row r="480" spans="2:66" ht="12" customHeight="1">
      <c r="B480">
        <f>TBIDry!H552</f>
        <v>0</v>
      </c>
      <c r="C480">
        <f>TBIDry!I552</f>
        <v>0</v>
      </c>
      <c r="D480" t="b">
        <f t="shared" si="165"/>
        <v>1</v>
      </c>
      <c r="E480" t="b">
        <f t="shared" si="166"/>
        <v>1</v>
      </c>
      <c r="S480" s="401" t="b">
        <f t="shared" si="169"/>
        <v>0</v>
      </c>
      <c r="T480" s="401" t="b">
        <f t="shared" si="170"/>
        <v>0</v>
      </c>
      <c r="AA480" t="str">
        <f>'Green_rooibos initial weight'!A481</f>
        <v>G477</v>
      </c>
      <c r="AB480" t="str">
        <f>'Green_rooibos initial weight'!A1385</f>
        <v>R477</v>
      </c>
      <c r="AC480" t="b">
        <f t="shared" si="171"/>
        <v>0</v>
      </c>
      <c r="AD480" t="b">
        <f t="shared" si="172"/>
        <v>0</v>
      </c>
      <c r="AZ480" s="401" t="b">
        <f t="shared" si="173"/>
        <v>0</v>
      </c>
      <c r="BA480" s="401" t="b">
        <f t="shared" si="174"/>
        <v>0</v>
      </c>
      <c r="BN480" t="str">
        <f t="shared" si="164"/>
        <v>G414</v>
      </c>
    </row>
    <row r="481" spans="2:66" ht="12" customHeight="1">
      <c r="B481">
        <f>TBIDry!H553</f>
        <v>0</v>
      </c>
      <c r="C481">
        <f>TBIDry!I553</f>
        <v>0</v>
      </c>
      <c r="D481" t="b">
        <f t="shared" si="165"/>
        <v>1</v>
      </c>
      <c r="E481" t="b">
        <f t="shared" si="166"/>
        <v>1</v>
      </c>
      <c r="S481" s="401" t="b">
        <f t="shared" si="169"/>
        <v>0</v>
      </c>
      <c r="T481" s="401" t="b">
        <f t="shared" si="170"/>
        <v>0</v>
      </c>
      <c r="AA481" t="str">
        <f>'Green_rooibos initial weight'!A482</f>
        <v>G478</v>
      </c>
      <c r="AB481" t="str">
        <f>'Green_rooibos initial weight'!A1386</f>
        <v>R478</v>
      </c>
      <c r="AC481" t="b">
        <f t="shared" si="171"/>
        <v>0</v>
      </c>
      <c r="AD481" t="b">
        <f t="shared" si="172"/>
        <v>0</v>
      </c>
      <c r="AZ481" s="401" t="b">
        <f t="shared" si="173"/>
        <v>0</v>
      </c>
      <c r="BA481" s="401" t="b">
        <f t="shared" si="174"/>
        <v>0</v>
      </c>
      <c r="BN481" t="str">
        <f t="shared" si="164"/>
        <v>G416</v>
      </c>
    </row>
    <row r="482" spans="2:66" ht="12" customHeight="1">
      <c r="B482">
        <f>TBIDry!H554</f>
        <v>0</v>
      </c>
      <c r="C482">
        <f>TBIDry!I554</f>
        <v>0</v>
      </c>
      <c r="D482" t="b">
        <f t="shared" si="165"/>
        <v>1</v>
      </c>
      <c r="E482" t="b">
        <f t="shared" si="166"/>
        <v>1</v>
      </c>
      <c r="S482" s="401" t="b">
        <f t="shared" si="169"/>
        <v>0</v>
      </c>
      <c r="T482" s="401" t="b">
        <f t="shared" si="170"/>
        <v>0</v>
      </c>
      <c r="AA482" t="str">
        <f>'Green_rooibos initial weight'!A483</f>
        <v>G479</v>
      </c>
      <c r="AB482" t="str">
        <f>'Green_rooibos initial weight'!A1387</f>
        <v>R479</v>
      </c>
      <c r="AC482" t="b">
        <f t="shared" si="171"/>
        <v>0</v>
      </c>
      <c r="AD482" t="b">
        <f t="shared" si="172"/>
        <v>0</v>
      </c>
      <c r="AZ482" s="401" t="b">
        <f t="shared" si="173"/>
        <v>0</v>
      </c>
      <c r="BA482" s="401" t="b">
        <f t="shared" si="174"/>
        <v>0</v>
      </c>
      <c r="BN482" t="str">
        <f t="shared" si="164"/>
        <v>G417</v>
      </c>
    </row>
    <row r="483" spans="2:66" ht="12" customHeight="1">
      <c r="B483">
        <f>TBIDry!H555</f>
        <v>0</v>
      </c>
      <c r="C483">
        <f>TBIDry!I555</f>
        <v>0</v>
      </c>
      <c r="D483" t="b">
        <f t="shared" si="165"/>
        <v>1</v>
      </c>
      <c r="E483" t="b">
        <f t="shared" si="166"/>
        <v>1</v>
      </c>
      <c r="S483" s="401" t="b">
        <f t="shared" si="169"/>
        <v>0</v>
      </c>
      <c r="T483" s="401" t="b">
        <f t="shared" si="170"/>
        <v>0</v>
      </c>
      <c r="AA483" t="str">
        <f>'Green_rooibos initial weight'!A484</f>
        <v>G480</v>
      </c>
      <c r="AB483" t="str">
        <f>'Green_rooibos initial weight'!A1388</f>
        <v>R480</v>
      </c>
      <c r="AC483" t="b">
        <f t="shared" si="171"/>
        <v>0</v>
      </c>
      <c r="AD483" t="b">
        <f t="shared" si="172"/>
        <v>0</v>
      </c>
      <c r="AZ483" s="401" t="b">
        <f t="shared" si="173"/>
        <v>0</v>
      </c>
      <c r="BA483" s="401" t="b">
        <f t="shared" si="174"/>
        <v>0</v>
      </c>
      <c r="BN483" t="str">
        <f t="shared" si="164"/>
        <v>G419</v>
      </c>
    </row>
    <row r="484" spans="2:66" ht="12" customHeight="1">
      <c r="B484">
        <f>TBIDry!H556</f>
        <v>0</v>
      </c>
      <c r="C484">
        <f>TBIDry!I556</f>
        <v>0</v>
      </c>
      <c r="D484" t="b">
        <f t="shared" si="165"/>
        <v>1</v>
      </c>
      <c r="E484" t="b">
        <f t="shared" si="166"/>
        <v>1</v>
      </c>
      <c r="S484" s="401" t="b">
        <f t="shared" si="169"/>
        <v>0</v>
      </c>
      <c r="T484" s="401" t="b">
        <f t="shared" si="170"/>
        <v>0</v>
      </c>
      <c r="AA484" t="str">
        <f>'Green_rooibos initial weight'!A485</f>
        <v>G481</v>
      </c>
      <c r="AB484" t="str">
        <f>'Green_rooibos initial weight'!A1389</f>
        <v>R481</v>
      </c>
      <c r="AC484" t="b">
        <f t="shared" si="171"/>
        <v>0</v>
      </c>
      <c r="AD484" t="b">
        <f t="shared" si="172"/>
        <v>0</v>
      </c>
      <c r="AZ484" s="401" t="b">
        <f t="shared" si="173"/>
        <v>0</v>
      </c>
      <c r="BA484" s="401" t="b">
        <f t="shared" si="174"/>
        <v>0</v>
      </c>
      <c r="BN484" t="str">
        <f t="shared" si="164"/>
        <v>G420</v>
      </c>
    </row>
    <row r="485" spans="2:66" ht="12" customHeight="1">
      <c r="B485">
        <f>TBIDry!H557</f>
        <v>0</v>
      </c>
      <c r="C485">
        <f>TBIDry!I557</f>
        <v>0</v>
      </c>
      <c r="D485" t="b">
        <f t="shared" si="165"/>
        <v>1</v>
      </c>
      <c r="E485" t="b">
        <f t="shared" si="166"/>
        <v>1</v>
      </c>
      <c r="S485" s="401" t="b">
        <f t="shared" si="169"/>
        <v>0</v>
      </c>
      <c r="T485" s="401" t="b">
        <f t="shared" si="170"/>
        <v>0</v>
      </c>
      <c r="AA485" t="str">
        <f>'Green_rooibos initial weight'!A486</f>
        <v>G482</v>
      </c>
      <c r="AB485" t="str">
        <f>'Green_rooibos initial weight'!A1390</f>
        <v>R482</v>
      </c>
      <c r="AC485" t="b">
        <f t="shared" si="171"/>
        <v>0</v>
      </c>
      <c r="AD485" t="b">
        <f t="shared" si="172"/>
        <v>0</v>
      </c>
      <c r="AZ485" s="401" t="b">
        <f t="shared" si="173"/>
        <v>0</v>
      </c>
      <c r="BA485" s="401" t="b">
        <f t="shared" si="174"/>
        <v>0</v>
      </c>
      <c r="BN485" t="str">
        <f t="shared" si="164"/>
        <v>G421</v>
      </c>
    </row>
    <row r="486" spans="2:66" ht="12" customHeight="1">
      <c r="B486">
        <f>TBIDry!H558</f>
        <v>0</v>
      </c>
      <c r="C486">
        <f>TBIDry!I558</f>
        <v>0</v>
      </c>
      <c r="D486" t="b">
        <f t="shared" si="165"/>
        <v>1</v>
      </c>
      <c r="E486" t="b">
        <f t="shared" si="166"/>
        <v>1</v>
      </c>
      <c r="S486" s="401" t="b">
        <f t="shared" si="169"/>
        <v>0</v>
      </c>
      <c r="T486" s="401" t="b">
        <f t="shared" si="170"/>
        <v>0</v>
      </c>
      <c r="AA486" t="str">
        <f>'Green_rooibos initial weight'!A487</f>
        <v>G483</v>
      </c>
      <c r="AB486" t="str">
        <f>'Green_rooibos initial weight'!A1391</f>
        <v>R483</v>
      </c>
      <c r="AC486" t="b">
        <f t="shared" si="171"/>
        <v>0</v>
      </c>
      <c r="AD486" t="b">
        <f t="shared" si="172"/>
        <v>0</v>
      </c>
      <c r="AZ486" s="401" t="b">
        <f t="shared" si="173"/>
        <v>0</v>
      </c>
      <c r="BA486" s="401" t="b">
        <f t="shared" si="174"/>
        <v>0</v>
      </c>
      <c r="BN486" t="str">
        <f t="shared" si="164"/>
        <v>G423</v>
      </c>
    </row>
    <row r="487" spans="2:66" ht="12" customHeight="1">
      <c r="B487">
        <f>TBIDry!H559</f>
        <v>0</v>
      </c>
      <c r="C487">
        <f>TBIDry!I559</f>
        <v>0</v>
      </c>
      <c r="D487" t="b">
        <f t="shared" si="165"/>
        <v>1</v>
      </c>
      <c r="E487" t="b">
        <f t="shared" si="166"/>
        <v>1</v>
      </c>
      <c r="S487" s="401" t="b">
        <f t="shared" si="169"/>
        <v>0</v>
      </c>
      <c r="T487" s="401" t="b">
        <f t="shared" si="170"/>
        <v>0</v>
      </c>
      <c r="AA487" t="str">
        <f>'Green_rooibos initial weight'!A488</f>
        <v>G484</v>
      </c>
      <c r="AB487" t="str">
        <f>'Green_rooibos initial weight'!A1392</f>
        <v>R484</v>
      </c>
      <c r="AC487" t="b">
        <f t="shared" si="171"/>
        <v>0</v>
      </c>
      <c r="AD487" t="b">
        <f t="shared" si="172"/>
        <v>0</v>
      </c>
      <c r="AZ487" s="401" t="b">
        <f t="shared" si="173"/>
        <v>0</v>
      </c>
      <c r="BA487" s="401" t="b">
        <f t="shared" si="174"/>
        <v>0</v>
      </c>
      <c r="BN487" t="str">
        <f t="shared" si="164"/>
        <v>G424</v>
      </c>
    </row>
    <row r="488" spans="2:66" ht="12" customHeight="1">
      <c r="B488">
        <f>TBIDry!H560</f>
        <v>0</v>
      </c>
      <c r="C488">
        <f>TBIDry!I560</f>
        <v>0</v>
      </c>
      <c r="D488" t="b">
        <f t="shared" si="165"/>
        <v>1</v>
      </c>
      <c r="E488" t="b">
        <f t="shared" si="166"/>
        <v>1</v>
      </c>
      <c r="S488" s="401" t="b">
        <f t="shared" si="169"/>
        <v>0</v>
      </c>
      <c r="T488" s="401" t="b">
        <f t="shared" si="170"/>
        <v>0</v>
      </c>
      <c r="AA488" t="str">
        <f>'Green_rooibos initial weight'!A489</f>
        <v>G485</v>
      </c>
      <c r="AB488" t="str">
        <f>'Green_rooibos initial weight'!A1393</f>
        <v>R485</v>
      </c>
      <c r="AC488" t="b">
        <f t="shared" si="171"/>
        <v>0</v>
      </c>
      <c r="AD488" t="b">
        <f t="shared" si="172"/>
        <v>0</v>
      </c>
      <c r="AZ488" s="401" t="b">
        <f t="shared" si="173"/>
        <v>0</v>
      </c>
      <c r="BA488" s="401" t="b">
        <f t="shared" si="174"/>
        <v>0</v>
      </c>
      <c r="BN488" t="str">
        <f t="shared" si="164"/>
        <v>G425</v>
      </c>
    </row>
    <row r="489" spans="2:66" ht="12" customHeight="1">
      <c r="B489">
        <f>TBIDry!H561</f>
        <v>0</v>
      </c>
      <c r="C489">
        <f>TBIDry!I561</f>
        <v>0</v>
      </c>
      <c r="D489" t="b">
        <f t="shared" si="165"/>
        <v>1</v>
      </c>
      <c r="E489" t="b">
        <f t="shared" si="166"/>
        <v>1</v>
      </c>
      <c r="S489" s="401" t="b">
        <f t="shared" si="169"/>
        <v>0</v>
      </c>
      <c r="T489" s="401" t="b">
        <f t="shared" si="170"/>
        <v>0</v>
      </c>
      <c r="AA489" t="str">
        <f>'Green_rooibos initial weight'!A490</f>
        <v>G486</v>
      </c>
      <c r="AB489" t="str">
        <f>'Green_rooibos initial weight'!A1394</f>
        <v>R486</v>
      </c>
      <c r="AC489" t="b">
        <f t="shared" si="171"/>
        <v>0</v>
      </c>
      <c r="AD489" t="b">
        <f t="shared" si="172"/>
        <v>0</v>
      </c>
      <c r="AZ489" s="401" t="b">
        <f t="shared" si="173"/>
        <v>0</v>
      </c>
      <c r="BA489" s="401" t="b">
        <f t="shared" si="174"/>
        <v>0</v>
      </c>
      <c r="BN489" t="str">
        <f t="shared" ref="BN489:BN552" si="175">L68</f>
        <v>G429</v>
      </c>
    </row>
    <row r="490" spans="2:66" ht="12" customHeight="1">
      <c r="B490">
        <f>TBIDry!H562</f>
        <v>0</v>
      </c>
      <c r="C490">
        <f>TBIDry!I562</f>
        <v>0</v>
      </c>
      <c r="D490" t="b">
        <f t="shared" si="165"/>
        <v>1</v>
      </c>
      <c r="E490" t="b">
        <f t="shared" si="166"/>
        <v>1</v>
      </c>
      <c r="S490" s="401" t="b">
        <f t="shared" si="169"/>
        <v>0</v>
      </c>
      <c r="T490" s="401" t="b">
        <f t="shared" si="170"/>
        <v>0</v>
      </c>
      <c r="AA490" t="str">
        <f>'Green_rooibos initial weight'!A491</f>
        <v>G487</v>
      </c>
      <c r="AB490" t="str">
        <f>'Green_rooibos initial weight'!A1395</f>
        <v>R487</v>
      </c>
      <c r="AC490" t="b">
        <f t="shared" si="171"/>
        <v>0</v>
      </c>
      <c r="AD490" t="b">
        <f t="shared" si="172"/>
        <v>0</v>
      </c>
      <c r="AZ490" s="401" t="b">
        <f t="shared" si="173"/>
        <v>0</v>
      </c>
      <c r="BA490" s="401" t="b">
        <f t="shared" si="174"/>
        <v>0</v>
      </c>
      <c r="BN490" t="str">
        <f t="shared" si="175"/>
        <v>G433</v>
      </c>
    </row>
    <row r="491" spans="2:66" ht="12" customHeight="1">
      <c r="B491">
        <f>TBIDry!H563</f>
        <v>0</v>
      </c>
      <c r="C491">
        <f>TBIDry!I563</f>
        <v>0</v>
      </c>
      <c r="D491" t="b">
        <f t="shared" si="165"/>
        <v>1</v>
      </c>
      <c r="E491" t="b">
        <f t="shared" si="166"/>
        <v>1</v>
      </c>
      <c r="S491" s="401" t="b">
        <f t="shared" si="169"/>
        <v>0</v>
      </c>
      <c r="T491" s="401" t="b">
        <f t="shared" si="170"/>
        <v>0</v>
      </c>
      <c r="AA491" t="str">
        <f>'Green_rooibos initial weight'!A492</f>
        <v>G488</v>
      </c>
      <c r="AB491" t="str">
        <f>'Green_rooibos initial weight'!A1396</f>
        <v>R488</v>
      </c>
      <c r="AC491" t="b">
        <f t="shared" si="171"/>
        <v>0</v>
      </c>
      <c r="AD491" t="b">
        <f t="shared" si="172"/>
        <v>0</v>
      </c>
      <c r="AZ491" s="401" t="b">
        <f t="shared" si="173"/>
        <v>0</v>
      </c>
      <c r="BA491" s="401" t="b">
        <f t="shared" si="174"/>
        <v>0</v>
      </c>
      <c r="BN491" t="str">
        <f t="shared" si="175"/>
        <v>G436</v>
      </c>
    </row>
    <row r="492" spans="2:66" ht="12" customHeight="1">
      <c r="B492">
        <f>TBIDry!H564</f>
        <v>0</v>
      </c>
      <c r="C492">
        <f>TBIDry!I564</f>
        <v>0</v>
      </c>
      <c r="D492" t="b">
        <f t="shared" si="165"/>
        <v>1</v>
      </c>
      <c r="E492" t="b">
        <f t="shared" si="166"/>
        <v>1</v>
      </c>
      <c r="S492" s="401" t="b">
        <f t="shared" si="169"/>
        <v>0</v>
      </c>
      <c r="T492" s="401" t="b">
        <f t="shared" si="170"/>
        <v>0</v>
      </c>
      <c r="AA492" t="str">
        <f>'Green_rooibos initial weight'!A493</f>
        <v>G489</v>
      </c>
      <c r="AB492" t="str">
        <f>'Green_rooibos initial weight'!A1397</f>
        <v>R489</v>
      </c>
      <c r="AC492" t="b">
        <f t="shared" si="171"/>
        <v>0</v>
      </c>
      <c r="AD492" t="b">
        <f t="shared" si="172"/>
        <v>0</v>
      </c>
      <c r="AZ492" s="401" t="b">
        <f t="shared" si="173"/>
        <v>0</v>
      </c>
      <c r="BA492" s="401" t="b">
        <f t="shared" si="174"/>
        <v>0</v>
      </c>
      <c r="BN492" t="str">
        <f t="shared" si="175"/>
        <v>G437</v>
      </c>
    </row>
    <row r="493" spans="2:66" ht="12" customHeight="1">
      <c r="B493">
        <f>TBIDry!H565</f>
        <v>0</v>
      </c>
      <c r="C493">
        <f>TBIDry!I565</f>
        <v>0</v>
      </c>
      <c r="D493" t="b">
        <f t="shared" si="165"/>
        <v>1</v>
      </c>
      <c r="E493" t="b">
        <f t="shared" si="166"/>
        <v>1</v>
      </c>
      <c r="S493" s="401" t="b">
        <f t="shared" si="169"/>
        <v>0</v>
      </c>
      <c r="T493" s="401" t="b">
        <f t="shared" si="170"/>
        <v>0</v>
      </c>
      <c r="AA493" t="str">
        <f>'Green_rooibos initial weight'!A494</f>
        <v>G490</v>
      </c>
      <c r="AB493" t="str">
        <f>'Green_rooibos initial weight'!A1398</f>
        <v>R490</v>
      </c>
      <c r="AC493" t="b">
        <f t="shared" si="171"/>
        <v>0</v>
      </c>
      <c r="AD493" t="b">
        <f t="shared" si="172"/>
        <v>0</v>
      </c>
      <c r="AZ493" s="401" t="b">
        <f t="shared" si="173"/>
        <v>0</v>
      </c>
      <c r="BA493" s="401" t="b">
        <f t="shared" si="174"/>
        <v>0</v>
      </c>
      <c r="BN493" t="str">
        <f t="shared" si="175"/>
        <v>G439</v>
      </c>
    </row>
    <row r="494" spans="2:66" ht="12" customHeight="1">
      <c r="B494">
        <f>TBIDry!H566</f>
        <v>0</v>
      </c>
      <c r="C494">
        <f>TBIDry!I566</f>
        <v>0</v>
      </c>
      <c r="D494" t="b">
        <f t="shared" si="165"/>
        <v>1</v>
      </c>
      <c r="E494" t="b">
        <f t="shared" si="166"/>
        <v>1</v>
      </c>
      <c r="S494" s="401" t="b">
        <f t="shared" si="169"/>
        <v>0</v>
      </c>
      <c r="T494" s="401" t="b">
        <f t="shared" si="170"/>
        <v>0</v>
      </c>
      <c r="AA494" t="str">
        <f>'Green_rooibos initial weight'!A495</f>
        <v>G491</v>
      </c>
      <c r="AB494" t="str">
        <f>'Green_rooibos initial weight'!A1399</f>
        <v>R491</v>
      </c>
      <c r="AC494" t="b">
        <f t="shared" si="171"/>
        <v>0</v>
      </c>
      <c r="AD494" t="b">
        <f t="shared" si="172"/>
        <v>0</v>
      </c>
      <c r="AZ494" s="401" t="b">
        <f t="shared" si="173"/>
        <v>0</v>
      </c>
      <c r="BA494" s="401" t="b">
        <f t="shared" si="174"/>
        <v>0</v>
      </c>
      <c r="BN494" t="str">
        <f t="shared" si="175"/>
        <v>G440</v>
      </c>
    </row>
    <row r="495" spans="2:66" ht="12" customHeight="1">
      <c r="B495">
        <f>TBIDry!H567</f>
        <v>0</v>
      </c>
      <c r="C495">
        <f>TBIDry!I567</f>
        <v>0</v>
      </c>
      <c r="D495" t="b">
        <f t="shared" si="165"/>
        <v>1</v>
      </c>
      <c r="E495" t="b">
        <f t="shared" si="166"/>
        <v>1</v>
      </c>
      <c r="S495" s="401" t="b">
        <f t="shared" si="169"/>
        <v>0</v>
      </c>
      <c r="T495" s="401" t="b">
        <f t="shared" si="170"/>
        <v>0</v>
      </c>
      <c r="AA495" t="str">
        <f>'Green_rooibos initial weight'!A496</f>
        <v>G492</v>
      </c>
      <c r="AB495" t="str">
        <f>'Green_rooibos initial weight'!A1400</f>
        <v>R492</v>
      </c>
      <c r="AC495" t="b">
        <f t="shared" si="171"/>
        <v>0</v>
      </c>
      <c r="AD495" t="b">
        <f t="shared" si="172"/>
        <v>0</v>
      </c>
      <c r="AZ495" s="401" t="b">
        <f t="shared" si="173"/>
        <v>0</v>
      </c>
      <c r="BA495" s="401" t="b">
        <f t="shared" si="174"/>
        <v>0</v>
      </c>
      <c r="BN495" t="str">
        <f t="shared" si="175"/>
        <v>G441</v>
      </c>
    </row>
    <row r="496" spans="2:66" ht="12" customHeight="1">
      <c r="B496">
        <f>TBIDry!H568</f>
        <v>0</v>
      </c>
      <c r="C496">
        <f>TBIDry!I568</f>
        <v>0</v>
      </c>
      <c r="D496" t="b">
        <f t="shared" si="165"/>
        <v>1</v>
      </c>
      <c r="E496" t="b">
        <f t="shared" si="166"/>
        <v>1</v>
      </c>
      <c r="S496" s="401" t="b">
        <f t="shared" si="169"/>
        <v>0</v>
      </c>
      <c r="T496" s="401" t="b">
        <f t="shared" si="170"/>
        <v>0</v>
      </c>
      <c r="AA496" t="str">
        <f>'Green_rooibos initial weight'!A497</f>
        <v>G493</v>
      </c>
      <c r="AB496" t="str">
        <f>'Green_rooibos initial weight'!A1401</f>
        <v>R493</v>
      </c>
      <c r="AC496" t="b">
        <f t="shared" si="171"/>
        <v>0</v>
      </c>
      <c r="AD496" t="b">
        <f t="shared" si="172"/>
        <v>0</v>
      </c>
      <c r="AZ496" s="401" t="b">
        <f t="shared" si="173"/>
        <v>0</v>
      </c>
      <c r="BA496" s="401" t="b">
        <f t="shared" si="174"/>
        <v>0</v>
      </c>
      <c r="BN496" t="str">
        <f t="shared" si="175"/>
        <v>G442</v>
      </c>
    </row>
    <row r="497" spans="2:66" ht="12" customHeight="1">
      <c r="B497">
        <f>TBIDry!H569</f>
        <v>0</v>
      </c>
      <c r="C497">
        <f>TBIDry!I569</f>
        <v>0</v>
      </c>
      <c r="D497" t="b">
        <f t="shared" si="165"/>
        <v>1</v>
      </c>
      <c r="E497" t="b">
        <f t="shared" si="166"/>
        <v>1</v>
      </c>
      <c r="S497" s="401" t="b">
        <f t="shared" si="169"/>
        <v>0</v>
      </c>
      <c r="T497" s="401" t="b">
        <f t="shared" si="170"/>
        <v>0</v>
      </c>
      <c r="AA497" t="str">
        <f>'Green_rooibos initial weight'!A498</f>
        <v>G494</v>
      </c>
      <c r="AB497" t="str">
        <f>'Green_rooibos initial weight'!A1402</f>
        <v>R494</v>
      </c>
      <c r="AC497" t="b">
        <f t="shared" si="171"/>
        <v>0</v>
      </c>
      <c r="AD497" t="b">
        <f t="shared" si="172"/>
        <v>0</v>
      </c>
      <c r="AZ497" s="401" t="b">
        <f t="shared" si="173"/>
        <v>0</v>
      </c>
      <c r="BA497" s="401" t="b">
        <f t="shared" si="174"/>
        <v>0</v>
      </c>
      <c r="BN497" t="str">
        <f t="shared" si="175"/>
        <v>G443</v>
      </c>
    </row>
    <row r="498" spans="2:66" ht="12" customHeight="1">
      <c r="B498">
        <f>TBIDry!H570</f>
        <v>0</v>
      </c>
      <c r="C498">
        <f>TBIDry!I570</f>
        <v>0</v>
      </c>
      <c r="D498" t="b">
        <f t="shared" si="165"/>
        <v>1</v>
      </c>
      <c r="E498" t="b">
        <f t="shared" si="166"/>
        <v>1</v>
      </c>
      <c r="S498" s="401" t="b">
        <f t="shared" si="169"/>
        <v>0</v>
      </c>
      <c r="T498" s="401" t="b">
        <f t="shared" si="170"/>
        <v>0</v>
      </c>
      <c r="AA498" t="str">
        <f>'Green_rooibos initial weight'!A499</f>
        <v>G495</v>
      </c>
      <c r="AB498" t="str">
        <f>'Green_rooibos initial weight'!A1403</f>
        <v>R495</v>
      </c>
      <c r="AC498" t="b">
        <f t="shared" si="171"/>
        <v>0</v>
      </c>
      <c r="AD498" t="b">
        <f t="shared" si="172"/>
        <v>0</v>
      </c>
      <c r="AZ498" s="401" t="b">
        <f t="shared" si="173"/>
        <v>0</v>
      </c>
      <c r="BA498" s="401" t="b">
        <f t="shared" si="174"/>
        <v>0</v>
      </c>
      <c r="BN498" t="str">
        <f t="shared" si="175"/>
        <v>G445</v>
      </c>
    </row>
    <row r="499" spans="2:66" ht="12" customHeight="1">
      <c r="B499">
        <f>TBIDry!H571</f>
        <v>0</v>
      </c>
      <c r="C499">
        <f>TBIDry!I571</f>
        <v>0</v>
      </c>
      <c r="D499" t="b">
        <f t="shared" si="165"/>
        <v>1</v>
      </c>
      <c r="E499" t="b">
        <f t="shared" si="166"/>
        <v>1</v>
      </c>
      <c r="S499" s="401" t="b">
        <f t="shared" si="169"/>
        <v>0</v>
      </c>
      <c r="T499" s="401" t="b">
        <f t="shared" si="170"/>
        <v>0</v>
      </c>
      <c r="AA499" t="str">
        <f>'Green_rooibos initial weight'!A500</f>
        <v>G496</v>
      </c>
      <c r="AB499" t="str">
        <f>'Green_rooibos initial weight'!A1404</f>
        <v>R496</v>
      </c>
      <c r="AC499" t="b">
        <f t="shared" si="171"/>
        <v>0</v>
      </c>
      <c r="AD499" t="b">
        <f t="shared" si="172"/>
        <v>0</v>
      </c>
      <c r="AZ499" s="401" t="b">
        <f t="shared" si="173"/>
        <v>0</v>
      </c>
      <c r="BA499" s="401" t="b">
        <f t="shared" si="174"/>
        <v>0</v>
      </c>
      <c r="BN499" t="str">
        <f t="shared" si="175"/>
        <v>G446</v>
      </c>
    </row>
    <row r="500" spans="2:66" ht="12" customHeight="1">
      <c r="B500">
        <f>TBIDry!H572</f>
        <v>0</v>
      </c>
      <c r="C500">
        <f>TBIDry!I572</f>
        <v>0</v>
      </c>
      <c r="D500" t="b">
        <f t="shared" si="165"/>
        <v>1</v>
      </c>
      <c r="E500" t="b">
        <f t="shared" si="166"/>
        <v>1</v>
      </c>
      <c r="S500" s="401" t="b">
        <f t="shared" si="169"/>
        <v>0</v>
      </c>
      <c r="T500" s="401" t="b">
        <f t="shared" si="170"/>
        <v>0</v>
      </c>
      <c r="AA500" t="str">
        <f>'Green_rooibos initial weight'!A501</f>
        <v>G497</v>
      </c>
      <c r="AB500" t="str">
        <f>'Green_rooibos initial weight'!A1405</f>
        <v>R497</v>
      </c>
      <c r="AC500" t="b">
        <f t="shared" si="171"/>
        <v>0</v>
      </c>
      <c r="AD500" t="b">
        <f t="shared" si="172"/>
        <v>0</v>
      </c>
      <c r="AZ500" s="401" t="b">
        <f t="shared" si="173"/>
        <v>0</v>
      </c>
      <c r="BA500" s="401" t="b">
        <f t="shared" si="174"/>
        <v>0</v>
      </c>
      <c r="BN500" t="str">
        <f t="shared" si="175"/>
        <v>G447</v>
      </c>
    </row>
    <row r="501" spans="2:66" ht="12" customHeight="1">
      <c r="B501">
        <f>TBIDry!H573</f>
        <v>0</v>
      </c>
      <c r="C501">
        <f>TBIDry!I573</f>
        <v>0</v>
      </c>
      <c r="D501" t="b">
        <f t="shared" si="165"/>
        <v>1</v>
      </c>
      <c r="E501" t="b">
        <f t="shared" si="166"/>
        <v>1</v>
      </c>
      <c r="S501" s="401" t="b">
        <f t="shared" si="169"/>
        <v>0</v>
      </c>
      <c r="T501" s="401" t="b">
        <f t="shared" si="170"/>
        <v>0</v>
      </c>
      <c r="AA501" t="str">
        <f>'Green_rooibos initial weight'!A502</f>
        <v>G498</v>
      </c>
      <c r="AB501" t="str">
        <f>'Green_rooibos initial weight'!A1406</f>
        <v>R498</v>
      </c>
      <c r="AC501" t="b">
        <f t="shared" si="171"/>
        <v>0</v>
      </c>
      <c r="AD501" t="b">
        <f t="shared" si="172"/>
        <v>0</v>
      </c>
      <c r="AZ501" s="401" t="b">
        <f t="shared" si="173"/>
        <v>0</v>
      </c>
      <c r="BA501" s="401" t="b">
        <f t="shared" si="174"/>
        <v>0</v>
      </c>
      <c r="BN501" t="str">
        <f t="shared" si="175"/>
        <v>G448</v>
      </c>
    </row>
    <row r="502" spans="2:66" ht="12" customHeight="1">
      <c r="B502">
        <f>TBIDry!H574</f>
        <v>0</v>
      </c>
      <c r="C502">
        <f>TBIDry!I574</f>
        <v>0</v>
      </c>
      <c r="D502" t="b">
        <f t="shared" si="165"/>
        <v>1</v>
      </c>
      <c r="E502" t="b">
        <f t="shared" si="166"/>
        <v>1</v>
      </c>
      <c r="S502" s="401" t="b">
        <f t="shared" si="169"/>
        <v>0</v>
      </c>
      <c r="T502" s="401" t="b">
        <f t="shared" si="170"/>
        <v>0</v>
      </c>
      <c r="AA502" t="str">
        <f>'Green_rooibos initial weight'!A503</f>
        <v>G499</v>
      </c>
      <c r="AB502" t="str">
        <f>'Green_rooibos initial weight'!A1407</f>
        <v>R499</v>
      </c>
      <c r="AC502" t="b">
        <f t="shared" si="171"/>
        <v>0</v>
      </c>
      <c r="AD502" t="b">
        <f t="shared" si="172"/>
        <v>0</v>
      </c>
      <c r="AZ502" s="401" t="b">
        <f t="shared" si="173"/>
        <v>0</v>
      </c>
      <c r="BA502" s="401" t="b">
        <f t="shared" si="174"/>
        <v>0</v>
      </c>
      <c r="BN502" t="str">
        <f t="shared" si="175"/>
        <v>G449</v>
      </c>
    </row>
    <row r="503" spans="2:66" ht="12" customHeight="1">
      <c r="B503">
        <f>TBIDry!H575</f>
        <v>0</v>
      </c>
      <c r="C503">
        <f>TBIDry!I575</f>
        <v>0</v>
      </c>
      <c r="D503" t="b">
        <f t="shared" si="165"/>
        <v>1</v>
      </c>
      <c r="E503" t="b">
        <f t="shared" si="166"/>
        <v>1</v>
      </c>
      <c r="S503" s="401" t="b">
        <f t="shared" si="169"/>
        <v>0</v>
      </c>
      <c r="T503" s="401" t="b">
        <f t="shared" si="170"/>
        <v>0</v>
      </c>
      <c r="AA503" t="str">
        <f>'Green_rooibos initial weight'!A504</f>
        <v>G500</v>
      </c>
      <c r="AB503" t="str">
        <f>'Green_rooibos initial weight'!A1408</f>
        <v>R500</v>
      </c>
      <c r="AC503" t="b">
        <f t="shared" si="171"/>
        <v>0</v>
      </c>
      <c r="AD503" t="b">
        <f t="shared" si="172"/>
        <v>0</v>
      </c>
      <c r="AZ503" s="401" t="b">
        <f t="shared" si="173"/>
        <v>0</v>
      </c>
      <c r="BA503" s="401" t="b">
        <f t="shared" si="174"/>
        <v>0</v>
      </c>
      <c r="BN503" t="str">
        <f t="shared" si="175"/>
        <v>G450</v>
      </c>
    </row>
    <row r="504" spans="2:66" ht="12" customHeight="1">
      <c r="B504">
        <f>TBIDry!H576</f>
        <v>0</v>
      </c>
      <c r="C504">
        <f>TBIDry!I576</f>
        <v>0</v>
      </c>
      <c r="D504" t="b">
        <f t="shared" si="165"/>
        <v>1</v>
      </c>
      <c r="E504" t="b">
        <f t="shared" si="166"/>
        <v>1</v>
      </c>
      <c r="S504" s="401" t="b">
        <f t="shared" si="169"/>
        <v>0</v>
      </c>
      <c r="T504" s="401" t="b">
        <f t="shared" si="170"/>
        <v>0</v>
      </c>
      <c r="AA504" t="str">
        <f>'Green_rooibos initial weight'!A505</f>
        <v>G501</v>
      </c>
      <c r="AB504" t="str">
        <f>'Green_rooibos initial weight'!A1409</f>
        <v>R501</v>
      </c>
      <c r="AC504" t="b">
        <f t="shared" si="171"/>
        <v>0</v>
      </c>
      <c r="AD504" t="b">
        <f t="shared" si="172"/>
        <v>0</v>
      </c>
      <c r="AZ504" s="401" t="b">
        <f t="shared" si="173"/>
        <v>0</v>
      </c>
      <c r="BA504" s="401" t="b">
        <f t="shared" si="174"/>
        <v>0</v>
      </c>
      <c r="BN504" t="str">
        <f t="shared" si="175"/>
        <v>G451</v>
      </c>
    </row>
    <row r="505" spans="2:66" ht="12" customHeight="1">
      <c r="B505">
        <f>TBIDry!H577</f>
        <v>0</v>
      </c>
      <c r="C505">
        <f>TBIDry!I577</f>
        <v>0</v>
      </c>
      <c r="D505" t="b">
        <f t="shared" si="165"/>
        <v>1</v>
      </c>
      <c r="E505" t="b">
        <f t="shared" si="166"/>
        <v>1</v>
      </c>
      <c r="S505" s="401" t="b">
        <f t="shared" si="169"/>
        <v>0</v>
      </c>
      <c r="T505" s="401" t="b">
        <f t="shared" si="170"/>
        <v>0</v>
      </c>
      <c r="AA505" t="str">
        <f>'Green_rooibos initial weight'!A506</f>
        <v>G502</v>
      </c>
      <c r="AB505" t="str">
        <f>'Green_rooibos initial weight'!A1410</f>
        <v>R502</v>
      </c>
      <c r="AC505" t="b">
        <f t="shared" si="171"/>
        <v>0</v>
      </c>
      <c r="AD505" t="b">
        <f t="shared" si="172"/>
        <v>0</v>
      </c>
      <c r="AZ505" s="401" t="b">
        <f t="shared" si="173"/>
        <v>0</v>
      </c>
      <c r="BA505" s="401" t="b">
        <f t="shared" si="174"/>
        <v>0</v>
      </c>
      <c r="BN505" t="str">
        <f t="shared" si="175"/>
        <v>G452</v>
      </c>
    </row>
    <row r="506" spans="2:66" ht="12" customHeight="1">
      <c r="B506">
        <f>TBIDry!H578</f>
        <v>0</v>
      </c>
      <c r="C506">
        <f>TBIDry!I578</f>
        <v>0</v>
      </c>
      <c r="D506" t="b">
        <f t="shared" si="165"/>
        <v>1</v>
      </c>
      <c r="E506" t="b">
        <f t="shared" si="166"/>
        <v>1</v>
      </c>
      <c r="S506" s="401" t="b">
        <f t="shared" si="169"/>
        <v>0</v>
      </c>
      <c r="T506" s="401" t="b">
        <f t="shared" si="170"/>
        <v>0</v>
      </c>
      <c r="AA506" t="str">
        <f>'Green_rooibos initial weight'!A507</f>
        <v>G503</v>
      </c>
      <c r="AB506" t="str">
        <f>'Green_rooibos initial weight'!A1411</f>
        <v>R503</v>
      </c>
      <c r="AC506" t="b">
        <f t="shared" si="171"/>
        <v>0</v>
      </c>
      <c r="AD506" t="b">
        <f t="shared" si="172"/>
        <v>0</v>
      </c>
      <c r="AZ506" s="401" t="b">
        <f t="shared" si="173"/>
        <v>0</v>
      </c>
      <c r="BA506" s="401" t="b">
        <f t="shared" si="174"/>
        <v>0</v>
      </c>
      <c r="BN506" t="str">
        <f t="shared" si="175"/>
        <v>G453</v>
      </c>
    </row>
    <row r="507" spans="2:66" ht="12" customHeight="1">
      <c r="B507">
        <f>TBIDry!H579</f>
        <v>0</v>
      </c>
      <c r="C507">
        <f>TBIDry!I579</f>
        <v>0</v>
      </c>
      <c r="D507" t="b">
        <f t="shared" si="165"/>
        <v>1</v>
      </c>
      <c r="E507" t="b">
        <f t="shared" si="166"/>
        <v>1</v>
      </c>
      <c r="S507" s="401" t="b">
        <f t="shared" si="169"/>
        <v>0</v>
      </c>
      <c r="T507" s="401" t="b">
        <f t="shared" si="170"/>
        <v>0</v>
      </c>
      <c r="AA507" t="str">
        <f>'Green_rooibos initial weight'!A508</f>
        <v>G504</v>
      </c>
      <c r="AB507" t="str">
        <f>'Green_rooibos initial weight'!A1412</f>
        <v>R504</v>
      </c>
      <c r="AC507" t="b">
        <f t="shared" si="171"/>
        <v>0</v>
      </c>
      <c r="AD507" t="b">
        <f t="shared" si="172"/>
        <v>0</v>
      </c>
      <c r="AZ507" s="401" t="b">
        <f t="shared" si="173"/>
        <v>0</v>
      </c>
      <c r="BA507" s="401" t="b">
        <f t="shared" si="174"/>
        <v>0</v>
      </c>
      <c r="BN507" t="str">
        <f t="shared" si="175"/>
        <v>G454</v>
      </c>
    </row>
    <row r="508" spans="2:66" ht="12" customHeight="1">
      <c r="B508">
        <f>TBIDry!H580</f>
        <v>0</v>
      </c>
      <c r="C508">
        <f>TBIDry!I580</f>
        <v>0</v>
      </c>
      <c r="D508" t="b">
        <f t="shared" si="165"/>
        <v>1</v>
      </c>
      <c r="E508" t="b">
        <f t="shared" si="166"/>
        <v>1</v>
      </c>
      <c r="S508" s="401" t="b">
        <f t="shared" si="169"/>
        <v>0</v>
      </c>
      <c r="T508" s="401" t="b">
        <f t="shared" si="170"/>
        <v>0</v>
      </c>
      <c r="AA508" t="str">
        <f>'Green_rooibos initial weight'!A509</f>
        <v>G505</v>
      </c>
      <c r="AB508" t="str">
        <f>'Green_rooibos initial weight'!A1413</f>
        <v>R505</v>
      </c>
      <c r="AC508" t="b">
        <f t="shared" si="171"/>
        <v>0</v>
      </c>
      <c r="AD508" t="b">
        <f t="shared" si="172"/>
        <v>0</v>
      </c>
      <c r="AZ508" s="401" t="b">
        <f t="shared" si="173"/>
        <v>0</v>
      </c>
      <c r="BA508" s="401" t="b">
        <f t="shared" si="174"/>
        <v>0</v>
      </c>
      <c r="BN508" t="str">
        <f t="shared" si="175"/>
        <v>G456</v>
      </c>
    </row>
    <row r="509" spans="2:66" ht="12" customHeight="1">
      <c r="B509">
        <f>TBIDry!H581</f>
        <v>0</v>
      </c>
      <c r="C509">
        <f>TBIDry!I581</f>
        <v>0</v>
      </c>
      <c r="D509" t="b">
        <f t="shared" si="165"/>
        <v>1</v>
      </c>
      <c r="E509" t="b">
        <f t="shared" si="166"/>
        <v>1</v>
      </c>
      <c r="S509" s="401" t="b">
        <f t="shared" si="169"/>
        <v>0</v>
      </c>
      <c r="T509" s="401" t="b">
        <f t="shared" si="170"/>
        <v>0</v>
      </c>
      <c r="AA509" t="str">
        <f>'Green_rooibos initial weight'!A510</f>
        <v>G506</v>
      </c>
      <c r="AB509" t="str">
        <f>'Green_rooibos initial weight'!A1414</f>
        <v>R506</v>
      </c>
      <c r="AC509" t="b">
        <f t="shared" si="171"/>
        <v>0</v>
      </c>
      <c r="AD509" t="b">
        <f t="shared" si="172"/>
        <v>0</v>
      </c>
      <c r="AZ509" s="401" t="b">
        <f t="shared" si="173"/>
        <v>0</v>
      </c>
      <c r="BA509" s="401" t="b">
        <f t="shared" si="174"/>
        <v>0</v>
      </c>
      <c r="BN509" t="str">
        <f t="shared" si="175"/>
        <v>G457</v>
      </c>
    </row>
    <row r="510" spans="2:66" ht="12" customHeight="1">
      <c r="B510">
        <f>TBIDry!H582</f>
        <v>0</v>
      </c>
      <c r="C510">
        <f>TBIDry!I582</f>
        <v>0</v>
      </c>
      <c r="D510" t="b">
        <f t="shared" si="165"/>
        <v>1</v>
      </c>
      <c r="E510" t="b">
        <f t="shared" si="166"/>
        <v>1</v>
      </c>
      <c r="S510" s="401" t="b">
        <f t="shared" si="169"/>
        <v>0</v>
      </c>
      <c r="T510" s="401" t="b">
        <f t="shared" si="170"/>
        <v>0</v>
      </c>
      <c r="AA510" t="str">
        <f>'Green_rooibos initial weight'!A511</f>
        <v>G507</v>
      </c>
      <c r="AB510" t="str">
        <f>'Green_rooibos initial weight'!A1415</f>
        <v>R507</v>
      </c>
      <c r="AC510" t="b">
        <f t="shared" si="171"/>
        <v>0</v>
      </c>
      <c r="AD510" t="b">
        <f t="shared" si="172"/>
        <v>0</v>
      </c>
      <c r="AZ510" s="401" t="b">
        <f t="shared" si="173"/>
        <v>0</v>
      </c>
      <c r="BA510" s="401" t="b">
        <f t="shared" si="174"/>
        <v>0</v>
      </c>
      <c r="BN510" t="str">
        <f t="shared" si="175"/>
        <v>G458</v>
      </c>
    </row>
    <row r="511" spans="2:66" ht="12" customHeight="1">
      <c r="B511">
        <f>TBIDry!H583</f>
        <v>0</v>
      </c>
      <c r="C511">
        <f>TBIDry!I583</f>
        <v>0</v>
      </c>
      <c r="D511" t="b">
        <f t="shared" si="165"/>
        <v>1</v>
      </c>
      <c r="E511" t="b">
        <f t="shared" si="166"/>
        <v>1</v>
      </c>
      <c r="S511" s="401" t="b">
        <f t="shared" si="169"/>
        <v>0</v>
      </c>
      <c r="T511" s="401" t="b">
        <f t="shared" si="170"/>
        <v>0</v>
      </c>
      <c r="AA511" t="str">
        <f>'Green_rooibos initial weight'!A512</f>
        <v>G508</v>
      </c>
      <c r="AB511" t="str">
        <f>'Green_rooibos initial weight'!A1416</f>
        <v>R508</v>
      </c>
      <c r="AC511" t="b">
        <f t="shared" si="171"/>
        <v>0</v>
      </c>
      <c r="AD511" t="b">
        <f t="shared" si="172"/>
        <v>0</v>
      </c>
      <c r="AZ511" s="401" t="b">
        <f t="shared" si="173"/>
        <v>0</v>
      </c>
      <c r="BA511" s="401" t="b">
        <f t="shared" si="174"/>
        <v>0</v>
      </c>
      <c r="BN511" t="str">
        <f t="shared" si="175"/>
        <v>G459</v>
      </c>
    </row>
    <row r="512" spans="2:66" ht="12" customHeight="1">
      <c r="B512">
        <f>TBIDry!H584</f>
        <v>0</v>
      </c>
      <c r="C512">
        <f>TBIDry!I584</f>
        <v>0</v>
      </c>
      <c r="D512" t="b">
        <f t="shared" si="165"/>
        <v>1</v>
      </c>
      <c r="E512" t="b">
        <f t="shared" si="166"/>
        <v>1</v>
      </c>
      <c r="S512" s="401" t="b">
        <f t="shared" si="169"/>
        <v>0</v>
      </c>
      <c r="T512" s="401" t="b">
        <f t="shared" si="170"/>
        <v>0</v>
      </c>
      <c r="AA512" t="str">
        <f>'Green_rooibos initial weight'!A513</f>
        <v>G509</v>
      </c>
      <c r="AB512" t="str">
        <f>'Green_rooibos initial weight'!A1417</f>
        <v>R509</v>
      </c>
      <c r="AC512" t="b">
        <f t="shared" si="171"/>
        <v>0</v>
      </c>
      <c r="AD512" t="b">
        <f t="shared" si="172"/>
        <v>0</v>
      </c>
      <c r="AZ512" s="401" t="b">
        <f t="shared" si="173"/>
        <v>0</v>
      </c>
      <c r="BA512" s="401" t="b">
        <f t="shared" si="174"/>
        <v>0</v>
      </c>
      <c r="BN512" t="str">
        <f t="shared" si="175"/>
        <v>G460</v>
      </c>
    </row>
    <row r="513" spans="2:66" ht="12" customHeight="1">
      <c r="B513">
        <f>TBIDry!H585</f>
        <v>0</v>
      </c>
      <c r="C513">
        <f>TBIDry!I585</f>
        <v>0</v>
      </c>
      <c r="D513" t="b">
        <f t="shared" si="165"/>
        <v>1</v>
      </c>
      <c r="E513" t="b">
        <f t="shared" si="166"/>
        <v>1</v>
      </c>
      <c r="S513" s="401" t="b">
        <f t="shared" si="169"/>
        <v>0</v>
      </c>
      <c r="T513" s="401" t="b">
        <f t="shared" si="170"/>
        <v>0</v>
      </c>
      <c r="AA513" t="str">
        <f>'Green_rooibos initial weight'!A514</f>
        <v>G510</v>
      </c>
      <c r="AB513" t="str">
        <f>'Green_rooibos initial weight'!A1418</f>
        <v>R510</v>
      </c>
      <c r="AC513" t="b">
        <f t="shared" si="171"/>
        <v>0</v>
      </c>
      <c r="AD513" t="b">
        <f t="shared" si="172"/>
        <v>0</v>
      </c>
      <c r="AZ513" s="401" t="b">
        <f t="shared" si="173"/>
        <v>0</v>
      </c>
      <c r="BA513" s="401" t="b">
        <f t="shared" si="174"/>
        <v>0</v>
      </c>
      <c r="BN513" t="str">
        <f t="shared" si="175"/>
        <v>G461</v>
      </c>
    </row>
    <row r="514" spans="2:66" ht="12" customHeight="1">
      <c r="B514">
        <f>TBIDry!H586</f>
        <v>0</v>
      </c>
      <c r="C514">
        <f>TBIDry!I586</f>
        <v>0</v>
      </c>
      <c r="D514" t="b">
        <f t="shared" si="165"/>
        <v>1</v>
      </c>
      <c r="E514" t="b">
        <f t="shared" si="166"/>
        <v>1</v>
      </c>
      <c r="S514" s="401" t="b">
        <f t="shared" si="169"/>
        <v>0</v>
      </c>
      <c r="T514" s="401" t="b">
        <f t="shared" si="170"/>
        <v>0</v>
      </c>
      <c r="AA514" t="str">
        <f>'Green_rooibos initial weight'!A515</f>
        <v>G511</v>
      </c>
      <c r="AB514" t="str">
        <f>'Green_rooibos initial weight'!A1419</f>
        <v>R511</v>
      </c>
      <c r="AC514" t="b">
        <f t="shared" si="171"/>
        <v>0</v>
      </c>
      <c r="AD514" t="b">
        <f t="shared" si="172"/>
        <v>0</v>
      </c>
      <c r="AZ514" s="401" t="b">
        <f t="shared" si="173"/>
        <v>0</v>
      </c>
      <c r="BA514" s="401" t="b">
        <f t="shared" si="174"/>
        <v>0</v>
      </c>
      <c r="BN514" t="str">
        <f t="shared" si="175"/>
        <v>G462</v>
      </c>
    </row>
    <row r="515" spans="2:66" ht="12" customHeight="1">
      <c r="B515">
        <f>TBIDry!H587</f>
        <v>0</v>
      </c>
      <c r="C515">
        <f>TBIDry!I587</f>
        <v>0</v>
      </c>
      <c r="D515" t="b">
        <f t="shared" si="165"/>
        <v>1</v>
      </c>
      <c r="E515" t="b">
        <f t="shared" si="166"/>
        <v>1</v>
      </c>
      <c r="S515" s="401" t="b">
        <f t="shared" si="169"/>
        <v>0</v>
      </c>
      <c r="T515" s="401" t="b">
        <f t="shared" si="170"/>
        <v>0</v>
      </c>
      <c r="AA515" t="str">
        <f>'Green_rooibos initial weight'!A516</f>
        <v>G512</v>
      </c>
      <c r="AB515" t="str">
        <f>'Green_rooibos initial weight'!A1420</f>
        <v>R512</v>
      </c>
      <c r="AC515" t="b">
        <f t="shared" si="171"/>
        <v>0</v>
      </c>
      <c r="AD515" t="b">
        <f t="shared" si="172"/>
        <v>0</v>
      </c>
      <c r="AZ515" s="401" t="b">
        <f t="shared" si="173"/>
        <v>0</v>
      </c>
      <c r="BA515" s="401" t="b">
        <f t="shared" si="174"/>
        <v>0</v>
      </c>
      <c r="BN515" t="str">
        <f t="shared" si="175"/>
        <v>G469</v>
      </c>
    </row>
    <row r="516" spans="2:66" ht="12" customHeight="1">
      <c r="B516">
        <f>TBIDry!H588</f>
        <v>0</v>
      </c>
      <c r="C516">
        <f>TBIDry!I588</f>
        <v>0</v>
      </c>
      <c r="D516" t="b">
        <f t="shared" si="165"/>
        <v>1</v>
      </c>
      <c r="E516" t="b">
        <f t="shared" si="166"/>
        <v>1</v>
      </c>
      <c r="S516" s="401" t="b">
        <f t="shared" si="169"/>
        <v>0</v>
      </c>
      <c r="T516" s="401" t="b">
        <f t="shared" si="170"/>
        <v>0</v>
      </c>
      <c r="AA516" t="str">
        <f>'Green_rooibos initial weight'!A517</f>
        <v>G513</v>
      </c>
      <c r="AB516" t="str">
        <f>'Green_rooibos initial weight'!A1421</f>
        <v>R513</v>
      </c>
      <c r="AC516" t="b">
        <f t="shared" si="171"/>
        <v>0</v>
      </c>
      <c r="AD516" t="b">
        <f t="shared" si="172"/>
        <v>0</v>
      </c>
      <c r="AZ516" s="401" t="b">
        <f t="shared" si="173"/>
        <v>0</v>
      </c>
      <c r="BA516" s="401" t="b">
        <f t="shared" si="174"/>
        <v>0</v>
      </c>
      <c r="BN516" t="str">
        <f t="shared" si="175"/>
        <v>G470</v>
      </c>
    </row>
    <row r="517" spans="2:66" ht="12" customHeight="1">
      <c r="B517">
        <f>TBIDry!H589</f>
        <v>0</v>
      </c>
      <c r="C517">
        <f>TBIDry!I589</f>
        <v>0</v>
      </c>
      <c r="D517" t="b">
        <f t="shared" ref="D517:D580" si="176">COUNTIF($B$4:$B$2000, B517)&gt;1</f>
        <v>1</v>
      </c>
      <c r="E517" t="b">
        <f t="shared" ref="E517:E580" si="177">COUNTIF($C$4:$C$2000, C517)&gt;1</f>
        <v>1</v>
      </c>
      <c r="S517" s="401" t="b">
        <f t="shared" ref="S517:S525" si="178">COUNTIF($V$4:$V$2000, L517)=1</f>
        <v>0</v>
      </c>
      <c r="T517" s="401" t="b">
        <f t="shared" ref="T517:T525" si="179">COUNTIF($W$4:$W$2000, M517)=1</f>
        <v>0</v>
      </c>
      <c r="AA517" t="str">
        <f>'Green_rooibos initial weight'!A518</f>
        <v>G514</v>
      </c>
      <c r="AB517" t="str">
        <f>'Green_rooibos initial weight'!A1422</f>
        <v>R514</v>
      </c>
      <c r="AC517" t="b">
        <f t="shared" ref="AC517:AC580" si="180">COUNTIF($AA$4:$AA$2000, AA517)&gt;1</f>
        <v>0</v>
      </c>
      <c r="AD517" t="b">
        <f t="shared" ref="AD517:AD580" si="181">COUNTIF($AB$4:$AB$2000, AB517)&gt;1</f>
        <v>0</v>
      </c>
      <c r="AZ517" s="401" t="b">
        <f t="shared" ref="AZ517:AZ525" si="182">COUNTIF($BC$4:$BC$2000, AT517)=1</f>
        <v>0</v>
      </c>
      <c r="BA517" s="401" t="b">
        <f t="shared" ref="BA517:BA525" si="183">COUNTIF($BD$4:$BD$2000, AU517)=1</f>
        <v>0</v>
      </c>
      <c r="BN517" t="str">
        <f t="shared" si="175"/>
        <v>G472</v>
      </c>
    </row>
    <row r="518" spans="2:66" ht="12" customHeight="1">
      <c r="B518">
        <f>TBIDry!H590</f>
        <v>0</v>
      </c>
      <c r="C518">
        <f>TBIDry!I590</f>
        <v>0</v>
      </c>
      <c r="D518" t="b">
        <f t="shared" si="176"/>
        <v>1</v>
      </c>
      <c r="E518" t="b">
        <f t="shared" si="177"/>
        <v>1</v>
      </c>
      <c r="S518" s="401" t="b">
        <f t="shared" si="178"/>
        <v>0</v>
      </c>
      <c r="T518" s="401" t="b">
        <f t="shared" si="179"/>
        <v>0</v>
      </c>
      <c r="AA518" t="str">
        <f>'Green_rooibos initial weight'!A519</f>
        <v>G515</v>
      </c>
      <c r="AB518" t="str">
        <f>'Green_rooibos initial weight'!A1423</f>
        <v>R515</v>
      </c>
      <c r="AC518" t="b">
        <f t="shared" si="180"/>
        <v>0</v>
      </c>
      <c r="AD518" t="b">
        <f t="shared" si="181"/>
        <v>0</v>
      </c>
      <c r="AZ518" s="401" t="b">
        <f t="shared" si="182"/>
        <v>0</v>
      </c>
      <c r="BA518" s="401" t="b">
        <f t="shared" si="183"/>
        <v>0</v>
      </c>
      <c r="BN518" t="str">
        <f t="shared" si="175"/>
        <v>G474</v>
      </c>
    </row>
    <row r="519" spans="2:66" ht="12" customHeight="1">
      <c r="B519">
        <f>TBIDry!H591</f>
        <v>0</v>
      </c>
      <c r="C519">
        <f>TBIDry!I591</f>
        <v>0</v>
      </c>
      <c r="D519" t="b">
        <f t="shared" si="176"/>
        <v>1</v>
      </c>
      <c r="E519" t="b">
        <f t="shared" si="177"/>
        <v>1</v>
      </c>
      <c r="S519" s="401" t="b">
        <f t="shared" si="178"/>
        <v>0</v>
      </c>
      <c r="T519" s="401" t="b">
        <f t="shared" si="179"/>
        <v>0</v>
      </c>
      <c r="AA519" t="str">
        <f>'Green_rooibos initial weight'!A520</f>
        <v>G516</v>
      </c>
      <c r="AB519" t="str">
        <f>'Green_rooibos initial weight'!A1424</f>
        <v>R516</v>
      </c>
      <c r="AC519" t="b">
        <f t="shared" si="180"/>
        <v>0</v>
      </c>
      <c r="AD519" t="b">
        <f t="shared" si="181"/>
        <v>0</v>
      </c>
      <c r="AZ519" s="401" t="b">
        <f t="shared" si="182"/>
        <v>0</v>
      </c>
      <c r="BA519" s="401" t="b">
        <f t="shared" si="183"/>
        <v>0</v>
      </c>
      <c r="BN519" t="str">
        <f t="shared" si="175"/>
        <v>G475</v>
      </c>
    </row>
    <row r="520" spans="2:66" ht="12" customHeight="1">
      <c r="B520">
        <f>TBIDry!H592</f>
        <v>0</v>
      </c>
      <c r="C520">
        <f>TBIDry!I592</f>
        <v>0</v>
      </c>
      <c r="D520" t="b">
        <f t="shared" si="176"/>
        <v>1</v>
      </c>
      <c r="E520" t="b">
        <f t="shared" si="177"/>
        <v>1</v>
      </c>
      <c r="S520" s="401" t="b">
        <f t="shared" si="178"/>
        <v>0</v>
      </c>
      <c r="T520" s="401" t="b">
        <f t="shared" si="179"/>
        <v>0</v>
      </c>
      <c r="AA520" t="str">
        <f>'Green_rooibos initial weight'!A521</f>
        <v>G517</v>
      </c>
      <c r="AB520" t="str">
        <f>'Green_rooibos initial weight'!A1425</f>
        <v>R517</v>
      </c>
      <c r="AC520" t="b">
        <f t="shared" si="180"/>
        <v>0</v>
      </c>
      <c r="AD520" t="b">
        <f t="shared" si="181"/>
        <v>0</v>
      </c>
      <c r="AZ520" s="401" t="b">
        <f t="shared" si="182"/>
        <v>0</v>
      </c>
      <c r="BA520" s="401" t="b">
        <f t="shared" si="183"/>
        <v>0</v>
      </c>
      <c r="BN520" t="str">
        <f t="shared" si="175"/>
        <v>G476</v>
      </c>
    </row>
    <row r="521" spans="2:66" ht="12" customHeight="1">
      <c r="B521">
        <f>TBIDry!H593</f>
        <v>0</v>
      </c>
      <c r="C521">
        <f>TBIDry!I593</f>
        <v>0</v>
      </c>
      <c r="D521" t="b">
        <f t="shared" si="176"/>
        <v>1</v>
      </c>
      <c r="E521" t="b">
        <f t="shared" si="177"/>
        <v>1</v>
      </c>
      <c r="S521" s="401" t="b">
        <f t="shared" si="178"/>
        <v>0</v>
      </c>
      <c r="T521" s="401" t="b">
        <f t="shared" si="179"/>
        <v>0</v>
      </c>
      <c r="AA521" t="str">
        <f>'Green_rooibos initial weight'!A522</f>
        <v>G518</v>
      </c>
      <c r="AB521" t="str">
        <f>'Green_rooibos initial weight'!A1426</f>
        <v>R518</v>
      </c>
      <c r="AC521" t="b">
        <f t="shared" si="180"/>
        <v>0</v>
      </c>
      <c r="AD521" t="b">
        <f t="shared" si="181"/>
        <v>0</v>
      </c>
      <c r="AZ521" s="401" t="b">
        <f t="shared" si="182"/>
        <v>0</v>
      </c>
      <c r="BA521" s="401" t="b">
        <f t="shared" si="183"/>
        <v>0</v>
      </c>
      <c r="BN521" t="str">
        <f t="shared" si="175"/>
        <v>G477</v>
      </c>
    </row>
    <row r="522" spans="2:66" ht="12" customHeight="1">
      <c r="B522">
        <f>TBIDry!H594</f>
        <v>0</v>
      </c>
      <c r="C522">
        <f>TBIDry!I594</f>
        <v>0</v>
      </c>
      <c r="D522" t="b">
        <f t="shared" si="176"/>
        <v>1</v>
      </c>
      <c r="E522" t="b">
        <f t="shared" si="177"/>
        <v>1</v>
      </c>
      <c r="S522" s="401" t="b">
        <f t="shared" si="178"/>
        <v>0</v>
      </c>
      <c r="T522" s="401" t="b">
        <f t="shared" si="179"/>
        <v>0</v>
      </c>
      <c r="AA522" t="str">
        <f>'Green_rooibos initial weight'!A523</f>
        <v>G519</v>
      </c>
      <c r="AB522" t="str">
        <f>'Green_rooibos initial weight'!A1427</f>
        <v>R519</v>
      </c>
      <c r="AC522" t="b">
        <f t="shared" si="180"/>
        <v>0</v>
      </c>
      <c r="AD522" t="b">
        <f t="shared" si="181"/>
        <v>0</v>
      </c>
      <c r="AZ522" s="401" t="b">
        <f t="shared" si="182"/>
        <v>0</v>
      </c>
      <c r="BA522" s="401" t="b">
        <f t="shared" si="183"/>
        <v>0</v>
      </c>
      <c r="BN522" t="str">
        <f t="shared" si="175"/>
        <v>G479</v>
      </c>
    </row>
    <row r="523" spans="2:66" ht="12" customHeight="1">
      <c r="B523">
        <f>TBIDry!H595</f>
        <v>0</v>
      </c>
      <c r="C523">
        <f>TBIDry!I595</f>
        <v>0</v>
      </c>
      <c r="D523" t="b">
        <f t="shared" si="176"/>
        <v>1</v>
      </c>
      <c r="E523" t="b">
        <f t="shared" si="177"/>
        <v>1</v>
      </c>
      <c r="S523" s="401" t="b">
        <f t="shared" si="178"/>
        <v>0</v>
      </c>
      <c r="T523" s="401" t="b">
        <f t="shared" si="179"/>
        <v>0</v>
      </c>
      <c r="AA523" t="str">
        <f>'Green_rooibos initial weight'!A524</f>
        <v>G520</v>
      </c>
      <c r="AB523" t="str">
        <f>'Green_rooibos initial weight'!A1428</f>
        <v>R520</v>
      </c>
      <c r="AC523" t="b">
        <f t="shared" si="180"/>
        <v>0</v>
      </c>
      <c r="AD523" t="b">
        <f t="shared" si="181"/>
        <v>0</v>
      </c>
      <c r="AZ523" s="401" t="b">
        <f t="shared" si="182"/>
        <v>0</v>
      </c>
      <c r="BA523" s="401" t="b">
        <f t="shared" si="183"/>
        <v>0</v>
      </c>
      <c r="BN523" t="str">
        <f t="shared" si="175"/>
        <v>G480</v>
      </c>
    </row>
    <row r="524" spans="2:66" ht="12" customHeight="1">
      <c r="B524">
        <f>TBIDry!H596</f>
        <v>0</v>
      </c>
      <c r="C524">
        <f>TBIDry!I596</f>
        <v>0</v>
      </c>
      <c r="D524" t="b">
        <f t="shared" si="176"/>
        <v>1</v>
      </c>
      <c r="E524" t="b">
        <f t="shared" si="177"/>
        <v>1</v>
      </c>
      <c r="S524" s="401" t="b">
        <f t="shared" si="178"/>
        <v>0</v>
      </c>
      <c r="T524" s="401" t="b">
        <f t="shared" si="179"/>
        <v>0</v>
      </c>
      <c r="AA524" t="str">
        <f>'Green_rooibos initial weight'!A525</f>
        <v>G521</v>
      </c>
      <c r="AB524" t="str">
        <f>'Green_rooibos initial weight'!A1429</f>
        <v>R521</v>
      </c>
      <c r="AC524" t="b">
        <f t="shared" si="180"/>
        <v>0</v>
      </c>
      <c r="AD524" t="b">
        <f t="shared" si="181"/>
        <v>0</v>
      </c>
      <c r="AZ524" s="401" t="b">
        <f t="shared" si="182"/>
        <v>0</v>
      </c>
      <c r="BA524" s="401" t="b">
        <f t="shared" si="183"/>
        <v>0</v>
      </c>
      <c r="BN524" t="str">
        <f t="shared" si="175"/>
        <v>G842</v>
      </c>
    </row>
    <row r="525" spans="2:66" ht="12" customHeight="1">
      <c r="B525">
        <f>TBIDry!H597</f>
        <v>0</v>
      </c>
      <c r="C525">
        <f>TBIDry!I597</f>
        <v>0</v>
      </c>
      <c r="D525" t="b">
        <f t="shared" si="176"/>
        <v>1</v>
      </c>
      <c r="E525" t="b">
        <f t="shared" si="177"/>
        <v>1</v>
      </c>
      <c r="S525" s="401" t="b">
        <f t="shared" si="178"/>
        <v>0</v>
      </c>
      <c r="T525" s="401" t="b">
        <f t="shared" si="179"/>
        <v>0</v>
      </c>
      <c r="AA525" t="str">
        <f>'Green_rooibos initial weight'!A526</f>
        <v>G522</v>
      </c>
      <c r="AB525" t="str">
        <f>'Green_rooibos initial weight'!A1430</f>
        <v>R522</v>
      </c>
      <c r="AC525" t="b">
        <f t="shared" si="180"/>
        <v>0</v>
      </c>
      <c r="AD525" t="b">
        <f t="shared" si="181"/>
        <v>0</v>
      </c>
      <c r="AZ525" s="401" t="b">
        <f t="shared" si="182"/>
        <v>0</v>
      </c>
      <c r="BA525" s="401" t="b">
        <f t="shared" si="183"/>
        <v>0</v>
      </c>
      <c r="BN525" t="str">
        <f t="shared" si="175"/>
        <v>G483</v>
      </c>
    </row>
    <row r="526" spans="2:66" ht="12" customHeight="1">
      <c r="B526">
        <f>TBIDry!H598</f>
        <v>0</v>
      </c>
      <c r="C526">
        <f>TBIDry!I598</f>
        <v>0</v>
      </c>
      <c r="D526" t="b">
        <f t="shared" si="176"/>
        <v>1</v>
      </c>
      <c r="E526" t="b">
        <f t="shared" si="177"/>
        <v>1</v>
      </c>
      <c r="AA526" t="str">
        <f>'Green_rooibos initial weight'!A527</f>
        <v>G523</v>
      </c>
      <c r="AB526" t="str">
        <f>'Green_rooibos initial weight'!A1431</f>
        <v>R523</v>
      </c>
      <c r="AC526" t="b">
        <f t="shared" si="180"/>
        <v>0</v>
      </c>
      <c r="AD526" t="b">
        <f t="shared" si="181"/>
        <v>0</v>
      </c>
      <c r="BN526" t="str">
        <f t="shared" si="175"/>
        <v>G486</v>
      </c>
    </row>
    <row r="527" spans="2:66" ht="12" customHeight="1">
      <c r="B527">
        <f>TBIDry!H599</f>
        <v>0</v>
      </c>
      <c r="C527">
        <f>TBIDry!I599</f>
        <v>0</v>
      </c>
      <c r="D527" t="b">
        <f t="shared" si="176"/>
        <v>1</v>
      </c>
      <c r="E527" t="b">
        <f t="shared" si="177"/>
        <v>1</v>
      </c>
      <c r="AA527" t="str">
        <f>'Green_rooibos initial weight'!A528</f>
        <v>G524</v>
      </c>
      <c r="AB527" t="str">
        <f>'Green_rooibos initial weight'!A1432</f>
        <v>R524</v>
      </c>
      <c r="AC527" t="b">
        <f t="shared" si="180"/>
        <v>0</v>
      </c>
      <c r="AD527" t="b">
        <f t="shared" si="181"/>
        <v>0</v>
      </c>
      <c r="BN527" t="str">
        <f t="shared" si="175"/>
        <v>G489</v>
      </c>
    </row>
    <row r="528" spans="2:66" ht="12" customHeight="1">
      <c r="B528">
        <f>TBIDry!H600</f>
        <v>0</v>
      </c>
      <c r="C528">
        <f>TBIDry!I600</f>
        <v>0</v>
      </c>
      <c r="D528" t="b">
        <f t="shared" si="176"/>
        <v>1</v>
      </c>
      <c r="E528" t="b">
        <f t="shared" si="177"/>
        <v>1</v>
      </c>
      <c r="AA528" t="str">
        <f>'Green_rooibos initial weight'!A529</f>
        <v>G525</v>
      </c>
      <c r="AB528" t="str">
        <f>'Green_rooibos initial weight'!A1433</f>
        <v>R525</v>
      </c>
      <c r="AC528" t="b">
        <f t="shared" si="180"/>
        <v>0</v>
      </c>
      <c r="AD528" t="b">
        <f t="shared" si="181"/>
        <v>0</v>
      </c>
      <c r="BN528" t="str">
        <f t="shared" si="175"/>
        <v>G491</v>
      </c>
    </row>
    <row r="529" spans="2:66" ht="12" customHeight="1">
      <c r="B529">
        <f>TBIDry!H601</f>
        <v>0</v>
      </c>
      <c r="C529">
        <f>TBIDry!I601</f>
        <v>0</v>
      </c>
      <c r="D529" t="b">
        <f t="shared" si="176"/>
        <v>1</v>
      </c>
      <c r="E529" t="b">
        <f t="shared" si="177"/>
        <v>1</v>
      </c>
      <c r="AA529" t="str">
        <f>'Green_rooibos initial weight'!A530</f>
        <v>G526</v>
      </c>
      <c r="AB529" t="str">
        <f>'Green_rooibos initial weight'!A1434</f>
        <v>R526</v>
      </c>
      <c r="AC529" t="b">
        <f t="shared" si="180"/>
        <v>0</v>
      </c>
      <c r="AD529" t="b">
        <f t="shared" si="181"/>
        <v>0</v>
      </c>
      <c r="BN529" t="str">
        <f t="shared" si="175"/>
        <v>G492</v>
      </c>
    </row>
    <row r="530" spans="2:66" ht="12" customHeight="1">
      <c r="B530">
        <f>TBIDry!H602</f>
        <v>0</v>
      </c>
      <c r="C530">
        <f>TBIDry!I602</f>
        <v>0</v>
      </c>
      <c r="D530" t="b">
        <f t="shared" si="176"/>
        <v>1</v>
      </c>
      <c r="E530" t="b">
        <f t="shared" si="177"/>
        <v>1</v>
      </c>
      <c r="AA530" t="str">
        <f>'Green_rooibos initial weight'!A531</f>
        <v>G527</v>
      </c>
      <c r="AB530" t="str">
        <f>'Green_rooibos initial weight'!A1435</f>
        <v>R527</v>
      </c>
      <c r="AC530" t="b">
        <f t="shared" si="180"/>
        <v>0</v>
      </c>
      <c r="AD530" t="b">
        <f t="shared" si="181"/>
        <v>0</v>
      </c>
      <c r="BN530" t="str">
        <f t="shared" si="175"/>
        <v>G494</v>
      </c>
    </row>
    <row r="531" spans="2:66" ht="12" customHeight="1">
      <c r="B531">
        <f>TBIDry!H603</f>
        <v>0</v>
      </c>
      <c r="C531">
        <f>TBIDry!I603</f>
        <v>0</v>
      </c>
      <c r="D531" t="b">
        <f t="shared" si="176"/>
        <v>1</v>
      </c>
      <c r="E531" t="b">
        <f t="shared" si="177"/>
        <v>1</v>
      </c>
      <c r="AA531" t="str">
        <f>'Green_rooibos initial weight'!A532</f>
        <v>G528</v>
      </c>
      <c r="AB531" t="str">
        <f>'Green_rooibos initial weight'!A1436</f>
        <v>R528</v>
      </c>
      <c r="AC531" t="b">
        <f t="shared" si="180"/>
        <v>0</v>
      </c>
      <c r="AD531" t="b">
        <f t="shared" si="181"/>
        <v>0</v>
      </c>
      <c r="BN531" t="str">
        <f t="shared" si="175"/>
        <v>G496</v>
      </c>
    </row>
    <row r="532" spans="2:66" ht="12" customHeight="1">
      <c r="B532">
        <f>TBIDry!H604</f>
        <v>0</v>
      </c>
      <c r="C532">
        <f>TBIDry!I604</f>
        <v>0</v>
      </c>
      <c r="D532" t="b">
        <f t="shared" si="176"/>
        <v>1</v>
      </c>
      <c r="E532" t="b">
        <f t="shared" si="177"/>
        <v>1</v>
      </c>
      <c r="AA532" t="str">
        <f>'Green_rooibos initial weight'!A533</f>
        <v>G529</v>
      </c>
      <c r="AB532" t="str">
        <f>'Green_rooibos initial weight'!A1437</f>
        <v>R529</v>
      </c>
      <c r="AC532" t="b">
        <f t="shared" si="180"/>
        <v>0</v>
      </c>
      <c r="AD532" t="b">
        <f t="shared" si="181"/>
        <v>0</v>
      </c>
      <c r="BN532" t="str">
        <f t="shared" si="175"/>
        <v>G497</v>
      </c>
    </row>
    <row r="533" spans="2:66" ht="12" customHeight="1">
      <c r="B533">
        <f>TBIDry!H605</f>
        <v>0</v>
      </c>
      <c r="C533">
        <f>TBIDry!I605</f>
        <v>0</v>
      </c>
      <c r="D533" t="b">
        <f t="shared" si="176"/>
        <v>1</v>
      </c>
      <c r="E533" t="b">
        <f t="shared" si="177"/>
        <v>1</v>
      </c>
      <c r="AA533" t="str">
        <f>'Green_rooibos initial weight'!A534</f>
        <v>G530</v>
      </c>
      <c r="AB533" t="str">
        <f>'Green_rooibos initial weight'!A1438</f>
        <v>R530</v>
      </c>
      <c r="AC533" t="b">
        <f t="shared" si="180"/>
        <v>0</v>
      </c>
      <c r="AD533" t="b">
        <f t="shared" si="181"/>
        <v>0</v>
      </c>
      <c r="BN533" t="str">
        <f t="shared" si="175"/>
        <v>G498</v>
      </c>
    </row>
    <row r="534" spans="2:66" ht="12" customHeight="1">
      <c r="B534">
        <f>TBIDry!H606</f>
        <v>0</v>
      </c>
      <c r="C534">
        <f>TBIDry!I606</f>
        <v>0</v>
      </c>
      <c r="D534" t="b">
        <f t="shared" si="176"/>
        <v>1</v>
      </c>
      <c r="E534" t="b">
        <f t="shared" si="177"/>
        <v>1</v>
      </c>
      <c r="AA534" t="str">
        <f>'Green_rooibos initial weight'!A535</f>
        <v>G531</v>
      </c>
      <c r="AB534" t="str">
        <f>'Green_rooibos initial weight'!A1439</f>
        <v>R531</v>
      </c>
      <c r="AC534" t="b">
        <f t="shared" si="180"/>
        <v>0</v>
      </c>
      <c r="AD534" t="b">
        <f t="shared" si="181"/>
        <v>0</v>
      </c>
      <c r="BN534" t="str">
        <f t="shared" si="175"/>
        <v>G500</v>
      </c>
    </row>
    <row r="535" spans="2:66" ht="12" customHeight="1">
      <c r="B535">
        <f>TBIDry!H607</f>
        <v>0</v>
      </c>
      <c r="C535">
        <f>TBIDry!I607</f>
        <v>0</v>
      </c>
      <c r="D535" t="b">
        <f t="shared" si="176"/>
        <v>1</v>
      </c>
      <c r="E535" t="b">
        <f t="shared" si="177"/>
        <v>1</v>
      </c>
      <c r="AA535" t="str">
        <f>'Green_rooibos initial weight'!A536</f>
        <v>G532</v>
      </c>
      <c r="AB535" t="str">
        <f>'Green_rooibos initial weight'!A1440</f>
        <v>R532</v>
      </c>
      <c r="AC535" t="b">
        <f t="shared" si="180"/>
        <v>0</v>
      </c>
      <c r="AD535" t="b">
        <f t="shared" si="181"/>
        <v>0</v>
      </c>
      <c r="BN535" t="str">
        <f t="shared" si="175"/>
        <v>G502</v>
      </c>
    </row>
    <row r="536" spans="2:66" ht="12" customHeight="1">
      <c r="B536">
        <f>TBIDry!H608</f>
        <v>0</v>
      </c>
      <c r="C536">
        <f>TBIDry!I608</f>
        <v>0</v>
      </c>
      <c r="D536" t="b">
        <f t="shared" si="176"/>
        <v>1</v>
      </c>
      <c r="E536" t="b">
        <f t="shared" si="177"/>
        <v>1</v>
      </c>
      <c r="AA536" t="str">
        <f>'Green_rooibos initial weight'!A537</f>
        <v>G533</v>
      </c>
      <c r="AB536" t="str">
        <f>'Green_rooibos initial weight'!A1441</f>
        <v>R533</v>
      </c>
      <c r="AC536" t="b">
        <f t="shared" si="180"/>
        <v>0</v>
      </c>
      <c r="AD536" t="b">
        <f t="shared" si="181"/>
        <v>0</v>
      </c>
      <c r="BN536" t="str">
        <f t="shared" si="175"/>
        <v>G503</v>
      </c>
    </row>
    <row r="537" spans="2:66" ht="12" customHeight="1">
      <c r="B537">
        <f>TBIDry!H609</f>
        <v>0</v>
      </c>
      <c r="C537">
        <f>TBIDry!I609</f>
        <v>0</v>
      </c>
      <c r="D537" t="b">
        <f t="shared" si="176"/>
        <v>1</v>
      </c>
      <c r="E537" t="b">
        <f t="shared" si="177"/>
        <v>1</v>
      </c>
      <c r="AA537" t="str">
        <f>'Green_rooibos initial weight'!A538</f>
        <v>G534</v>
      </c>
      <c r="AB537" t="str">
        <f>'Green_rooibos initial weight'!A1442</f>
        <v>R534</v>
      </c>
      <c r="AC537" t="b">
        <f t="shared" si="180"/>
        <v>0</v>
      </c>
      <c r="AD537" t="b">
        <f t="shared" si="181"/>
        <v>0</v>
      </c>
      <c r="BN537" t="str">
        <f t="shared" si="175"/>
        <v>G504</v>
      </c>
    </row>
    <row r="538" spans="2:66" ht="12" customHeight="1">
      <c r="B538">
        <f>TBIDry!H610</f>
        <v>0</v>
      </c>
      <c r="C538">
        <f>TBIDry!I610</f>
        <v>0</v>
      </c>
      <c r="D538" t="b">
        <f t="shared" si="176"/>
        <v>1</v>
      </c>
      <c r="E538" t="b">
        <f t="shared" si="177"/>
        <v>1</v>
      </c>
      <c r="AA538" t="str">
        <f>'Green_rooibos initial weight'!A539</f>
        <v>G535</v>
      </c>
      <c r="AB538" t="str">
        <f>'Green_rooibos initial weight'!A1443</f>
        <v>R535</v>
      </c>
      <c r="AC538" t="b">
        <f t="shared" si="180"/>
        <v>0</v>
      </c>
      <c r="AD538" t="b">
        <f t="shared" si="181"/>
        <v>0</v>
      </c>
      <c r="BN538" t="str">
        <f t="shared" si="175"/>
        <v>G505</v>
      </c>
    </row>
    <row r="539" spans="2:66" ht="12" customHeight="1">
      <c r="B539">
        <f>TBIDry!H611</f>
        <v>0</v>
      </c>
      <c r="C539">
        <f>TBIDry!I611</f>
        <v>0</v>
      </c>
      <c r="D539" t="b">
        <f t="shared" si="176"/>
        <v>1</v>
      </c>
      <c r="E539" t="b">
        <f t="shared" si="177"/>
        <v>1</v>
      </c>
      <c r="AA539" t="str">
        <f>'Green_rooibos initial weight'!A540</f>
        <v>G536</v>
      </c>
      <c r="AB539" t="str">
        <f>'Green_rooibos initial weight'!A1444</f>
        <v>R536</v>
      </c>
      <c r="AC539" t="b">
        <f t="shared" si="180"/>
        <v>0</v>
      </c>
      <c r="AD539" t="b">
        <f t="shared" si="181"/>
        <v>0</v>
      </c>
      <c r="BN539" t="str">
        <f t="shared" si="175"/>
        <v>G506</v>
      </c>
    </row>
    <row r="540" spans="2:66" ht="12" customHeight="1">
      <c r="B540">
        <f>TBIDry!H612</f>
        <v>0</v>
      </c>
      <c r="C540">
        <f>TBIDry!I612</f>
        <v>0</v>
      </c>
      <c r="D540" t="b">
        <f t="shared" si="176"/>
        <v>1</v>
      </c>
      <c r="E540" t="b">
        <f t="shared" si="177"/>
        <v>1</v>
      </c>
      <c r="AA540" t="str">
        <f>'Green_rooibos initial weight'!A541</f>
        <v>G537</v>
      </c>
      <c r="AB540" t="str">
        <f>'Green_rooibos initial weight'!A1445</f>
        <v>R537</v>
      </c>
      <c r="AC540" t="b">
        <f t="shared" si="180"/>
        <v>0</v>
      </c>
      <c r="AD540" t="b">
        <f t="shared" si="181"/>
        <v>0</v>
      </c>
      <c r="BN540" t="str">
        <f t="shared" si="175"/>
        <v>G507</v>
      </c>
    </row>
    <row r="541" spans="2:66" ht="12" customHeight="1">
      <c r="B541">
        <f>TBIDry!H613</f>
        <v>0</v>
      </c>
      <c r="C541">
        <f>TBIDry!I613</f>
        <v>0</v>
      </c>
      <c r="D541" t="b">
        <f t="shared" si="176"/>
        <v>1</v>
      </c>
      <c r="E541" t="b">
        <f t="shared" si="177"/>
        <v>1</v>
      </c>
      <c r="AA541" t="str">
        <f>'Green_rooibos initial weight'!A542</f>
        <v>G538</v>
      </c>
      <c r="AB541" t="str">
        <f>'Green_rooibos initial weight'!A1446</f>
        <v>R538</v>
      </c>
      <c r="AC541" t="b">
        <f t="shared" si="180"/>
        <v>0</v>
      </c>
      <c r="AD541" t="b">
        <f t="shared" si="181"/>
        <v>0</v>
      </c>
      <c r="BN541" t="str">
        <f t="shared" si="175"/>
        <v>G508</v>
      </c>
    </row>
    <row r="542" spans="2:66" ht="12" customHeight="1">
      <c r="B542">
        <f>TBIDry!H614</f>
        <v>0</v>
      </c>
      <c r="C542">
        <f>TBIDry!I614</f>
        <v>0</v>
      </c>
      <c r="D542" t="b">
        <f t="shared" si="176"/>
        <v>1</v>
      </c>
      <c r="E542" t="b">
        <f t="shared" si="177"/>
        <v>1</v>
      </c>
      <c r="AA542" t="str">
        <f>'Green_rooibos initial weight'!A543</f>
        <v>G539</v>
      </c>
      <c r="AB542" t="str">
        <f>'Green_rooibos initial weight'!A1447</f>
        <v>R539</v>
      </c>
      <c r="AC542" t="b">
        <f t="shared" si="180"/>
        <v>0</v>
      </c>
      <c r="AD542" t="b">
        <f t="shared" si="181"/>
        <v>0</v>
      </c>
      <c r="BN542" t="str">
        <f t="shared" si="175"/>
        <v>G511</v>
      </c>
    </row>
    <row r="543" spans="2:66" ht="12" customHeight="1">
      <c r="B543">
        <f>TBIDry!H615</f>
        <v>0</v>
      </c>
      <c r="C543">
        <f>TBIDry!I615</f>
        <v>0</v>
      </c>
      <c r="D543" t="b">
        <f t="shared" si="176"/>
        <v>1</v>
      </c>
      <c r="E543" t="b">
        <f t="shared" si="177"/>
        <v>1</v>
      </c>
      <c r="AA543" t="str">
        <f>'Green_rooibos initial weight'!A544</f>
        <v>G540</v>
      </c>
      <c r="AB543" t="str">
        <f>'Green_rooibos initial weight'!A1448</f>
        <v>R540</v>
      </c>
      <c r="AC543" t="b">
        <f t="shared" si="180"/>
        <v>0</v>
      </c>
      <c r="AD543" t="b">
        <f t="shared" si="181"/>
        <v>0</v>
      </c>
      <c r="BN543" t="str">
        <f t="shared" si="175"/>
        <v>G512</v>
      </c>
    </row>
    <row r="544" spans="2:66" ht="12" customHeight="1">
      <c r="B544">
        <f>TBIDry!H616</f>
        <v>0</v>
      </c>
      <c r="C544">
        <f>TBIDry!I616</f>
        <v>0</v>
      </c>
      <c r="D544" t="b">
        <f t="shared" si="176"/>
        <v>1</v>
      </c>
      <c r="E544" t="b">
        <f t="shared" si="177"/>
        <v>1</v>
      </c>
      <c r="AA544" t="str">
        <f>'Green_rooibos initial weight'!A545</f>
        <v>G541</v>
      </c>
      <c r="AB544" t="str">
        <f>'Green_rooibos initial weight'!A1449</f>
        <v>R541</v>
      </c>
      <c r="AC544" t="b">
        <f t="shared" si="180"/>
        <v>0</v>
      </c>
      <c r="AD544" t="b">
        <f t="shared" si="181"/>
        <v>0</v>
      </c>
      <c r="BN544" t="str">
        <f t="shared" si="175"/>
        <v>G513</v>
      </c>
    </row>
    <row r="545" spans="2:66" ht="12" customHeight="1">
      <c r="B545">
        <f>TBIDry!H617</f>
        <v>0</v>
      </c>
      <c r="C545">
        <f>TBIDry!I617</f>
        <v>0</v>
      </c>
      <c r="D545" t="b">
        <f t="shared" si="176"/>
        <v>1</v>
      </c>
      <c r="E545" t="b">
        <f t="shared" si="177"/>
        <v>1</v>
      </c>
      <c r="AA545" t="str">
        <f>'Green_rooibos initial weight'!A546</f>
        <v>G542</v>
      </c>
      <c r="AB545" t="str">
        <f>'Green_rooibos initial weight'!A1450</f>
        <v>R542</v>
      </c>
      <c r="AC545" t="b">
        <f t="shared" si="180"/>
        <v>0</v>
      </c>
      <c r="AD545" t="b">
        <f t="shared" si="181"/>
        <v>0</v>
      </c>
      <c r="BN545" t="str">
        <f t="shared" si="175"/>
        <v>G516</v>
      </c>
    </row>
    <row r="546" spans="2:66" ht="12" customHeight="1">
      <c r="B546">
        <f>TBIDry!H618</f>
        <v>0</v>
      </c>
      <c r="C546">
        <f>TBIDry!I618</f>
        <v>0</v>
      </c>
      <c r="D546" t="b">
        <f t="shared" si="176"/>
        <v>1</v>
      </c>
      <c r="E546" t="b">
        <f t="shared" si="177"/>
        <v>1</v>
      </c>
      <c r="AA546" t="str">
        <f>'Green_rooibos initial weight'!A547</f>
        <v>G543</v>
      </c>
      <c r="AB546" t="str">
        <f>'Green_rooibos initial weight'!A1451</f>
        <v>R543</v>
      </c>
      <c r="AC546" t="b">
        <f t="shared" si="180"/>
        <v>0</v>
      </c>
      <c r="AD546" t="b">
        <f t="shared" si="181"/>
        <v>0</v>
      </c>
      <c r="BN546" t="str">
        <f t="shared" si="175"/>
        <v>G518</v>
      </c>
    </row>
    <row r="547" spans="2:66" ht="12" customHeight="1">
      <c r="B547">
        <f>TBIDry!H619</f>
        <v>0</v>
      </c>
      <c r="C547">
        <f>TBIDry!I619</f>
        <v>0</v>
      </c>
      <c r="D547" t="b">
        <f t="shared" si="176"/>
        <v>1</v>
      </c>
      <c r="E547" t="b">
        <f t="shared" si="177"/>
        <v>1</v>
      </c>
      <c r="AA547" t="str">
        <f>'Green_rooibos initial weight'!A548</f>
        <v>G544</v>
      </c>
      <c r="AB547" t="str">
        <f>'Green_rooibos initial weight'!A1452</f>
        <v>R544</v>
      </c>
      <c r="AC547" t="b">
        <f t="shared" si="180"/>
        <v>0</v>
      </c>
      <c r="AD547" t="b">
        <f t="shared" si="181"/>
        <v>0</v>
      </c>
      <c r="BN547" t="str">
        <f t="shared" si="175"/>
        <v>G519</v>
      </c>
    </row>
    <row r="548" spans="2:66" ht="12" customHeight="1">
      <c r="B548">
        <f>TBIDry!H620</f>
        <v>0</v>
      </c>
      <c r="C548">
        <f>TBIDry!I620</f>
        <v>0</v>
      </c>
      <c r="D548" t="b">
        <f t="shared" si="176"/>
        <v>1</v>
      </c>
      <c r="E548" t="b">
        <f t="shared" si="177"/>
        <v>1</v>
      </c>
      <c r="AA548" t="str">
        <f>'Green_rooibos initial weight'!A549</f>
        <v>G545</v>
      </c>
      <c r="AB548" t="str">
        <f>'Green_rooibos initial weight'!A1453</f>
        <v>R545</v>
      </c>
      <c r="AC548" t="b">
        <f t="shared" si="180"/>
        <v>0</v>
      </c>
      <c r="AD548" t="b">
        <f t="shared" si="181"/>
        <v>0</v>
      </c>
      <c r="BN548" t="str">
        <f t="shared" si="175"/>
        <v>G520</v>
      </c>
    </row>
    <row r="549" spans="2:66" ht="12" customHeight="1">
      <c r="B549">
        <f>TBIDry!H621</f>
        <v>0</v>
      </c>
      <c r="C549">
        <f>TBIDry!I621</f>
        <v>0</v>
      </c>
      <c r="D549" t="b">
        <f t="shared" si="176"/>
        <v>1</v>
      </c>
      <c r="E549" t="b">
        <f t="shared" si="177"/>
        <v>1</v>
      </c>
      <c r="AA549" t="str">
        <f>'Green_rooibos initial weight'!A550</f>
        <v>G546</v>
      </c>
      <c r="AB549" t="str">
        <f>'Green_rooibos initial weight'!A1454</f>
        <v>R546</v>
      </c>
      <c r="AC549" t="b">
        <f t="shared" si="180"/>
        <v>0</v>
      </c>
      <c r="AD549" t="b">
        <f t="shared" si="181"/>
        <v>0</v>
      </c>
      <c r="BN549" t="str">
        <f t="shared" si="175"/>
        <v>G521</v>
      </c>
    </row>
    <row r="550" spans="2:66" ht="12" customHeight="1">
      <c r="B550">
        <f>TBIDry!H622</f>
        <v>0</v>
      </c>
      <c r="C550">
        <f>TBIDry!I622</f>
        <v>0</v>
      </c>
      <c r="D550" t="b">
        <f t="shared" si="176"/>
        <v>1</v>
      </c>
      <c r="E550" t="b">
        <f t="shared" si="177"/>
        <v>1</v>
      </c>
      <c r="AA550" t="str">
        <f>'Green_rooibos initial weight'!A551</f>
        <v>G547</v>
      </c>
      <c r="AB550" t="str">
        <f>'Green_rooibos initial weight'!A1455</f>
        <v>R547</v>
      </c>
      <c r="AC550" t="b">
        <f t="shared" si="180"/>
        <v>0</v>
      </c>
      <c r="AD550" t="b">
        <f t="shared" si="181"/>
        <v>0</v>
      </c>
      <c r="BN550" t="str">
        <f t="shared" si="175"/>
        <v>G522</v>
      </c>
    </row>
    <row r="551" spans="2:66" ht="12" customHeight="1">
      <c r="B551">
        <f>TBIDry!H623</f>
        <v>0</v>
      </c>
      <c r="C551">
        <f>TBIDry!I623</f>
        <v>0</v>
      </c>
      <c r="D551" t="b">
        <f t="shared" si="176"/>
        <v>1</v>
      </c>
      <c r="E551" t="b">
        <f t="shared" si="177"/>
        <v>1</v>
      </c>
      <c r="AA551" t="str">
        <f>'Green_rooibos initial weight'!A552</f>
        <v>G548</v>
      </c>
      <c r="AB551" t="str">
        <f>'Green_rooibos initial weight'!A1456</f>
        <v>R548</v>
      </c>
      <c r="AC551" t="b">
        <f t="shared" si="180"/>
        <v>0</v>
      </c>
      <c r="AD551" t="b">
        <f t="shared" si="181"/>
        <v>0</v>
      </c>
      <c r="BN551" t="str">
        <f t="shared" si="175"/>
        <v>G523</v>
      </c>
    </row>
    <row r="552" spans="2:66" ht="12" customHeight="1">
      <c r="B552">
        <f>TBIDry!H624</f>
        <v>0</v>
      </c>
      <c r="C552">
        <f>TBIDry!I624</f>
        <v>0</v>
      </c>
      <c r="D552" t="b">
        <f t="shared" si="176"/>
        <v>1</v>
      </c>
      <c r="E552" t="b">
        <f t="shared" si="177"/>
        <v>1</v>
      </c>
      <c r="AA552" t="str">
        <f>'Green_rooibos initial weight'!A553</f>
        <v>G549</v>
      </c>
      <c r="AB552" t="str">
        <f>'Green_rooibos initial weight'!A1457</f>
        <v>R549</v>
      </c>
      <c r="AC552" t="b">
        <f t="shared" si="180"/>
        <v>0</v>
      </c>
      <c r="AD552" t="b">
        <f t="shared" si="181"/>
        <v>0</v>
      </c>
      <c r="BN552" t="str">
        <f t="shared" si="175"/>
        <v>G524</v>
      </c>
    </row>
    <row r="553" spans="2:66" ht="12" customHeight="1">
      <c r="B553">
        <f>TBIDry!H625</f>
        <v>0</v>
      </c>
      <c r="C553">
        <f>TBIDry!I625</f>
        <v>0</v>
      </c>
      <c r="D553" t="b">
        <f t="shared" si="176"/>
        <v>1</v>
      </c>
      <c r="E553" t="b">
        <f t="shared" si="177"/>
        <v>1</v>
      </c>
      <c r="AA553" t="str">
        <f>'Green_rooibos initial weight'!A554</f>
        <v>G550</v>
      </c>
      <c r="AB553" t="str">
        <f>'Green_rooibos initial weight'!A1458</f>
        <v>R550</v>
      </c>
      <c r="AC553" t="b">
        <f t="shared" si="180"/>
        <v>0</v>
      </c>
      <c r="AD553" t="b">
        <f t="shared" si="181"/>
        <v>0</v>
      </c>
      <c r="BN553" t="str">
        <f t="shared" ref="BN553:BN616" si="184">L132</f>
        <v>G525</v>
      </c>
    </row>
    <row r="554" spans="2:66" ht="12" customHeight="1">
      <c r="B554">
        <f>TBIDry!H626</f>
        <v>0</v>
      </c>
      <c r="C554">
        <f>TBIDry!I626</f>
        <v>0</v>
      </c>
      <c r="D554" t="b">
        <f t="shared" si="176"/>
        <v>1</v>
      </c>
      <c r="E554" t="b">
        <f t="shared" si="177"/>
        <v>1</v>
      </c>
      <c r="AA554" t="str">
        <f>'Green_rooibos initial weight'!A555</f>
        <v>G551</v>
      </c>
      <c r="AB554" t="str">
        <f>'Green_rooibos initial weight'!A1459</f>
        <v>R551</v>
      </c>
      <c r="AC554" t="b">
        <f t="shared" si="180"/>
        <v>0</v>
      </c>
      <c r="AD554" t="b">
        <f t="shared" si="181"/>
        <v>0</v>
      </c>
      <c r="BN554" t="str">
        <f t="shared" si="184"/>
        <v>G526</v>
      </c>
    </row>
    <row r="555" spans="2:66" ht="12" customHeight="1">
      <c r="B555">
        <f>TBIDry!H627</f>
        <v>0</v>
      </c>
      <c r="C555">
        <f>TBIDry!I627</f>
        <v>0</v>
      </c>
      <c r="D555" t="b">
        <f t="shared" si="176"/>
        <v>1</v>
      </c>
      <c r="E555" t="b">
        <f t="shared" si="177"/>
        <v>1</v>
      </c>
      <c r="AA555" t="str">
        <f>'Green_rooibos initial weight'!A556</f>
        <v>G552</v>
      </c>
      <c r="AB555" t="str">
        <f>'Green_rooibos initial weight'!A1460</f>
        <v>R552</v>
      </c>
      <c r="AC555" t="b">
        <f t="shared" si="180"/>
        <v>0</v>
      </c>
      <c r="AD555" t="b">
        <f t="shared" si="181"/>
        <v>0</v>
      </c>
      <c r="BN555" t="str">
        <f t="shared" si="184"/>
        <v>G527</v>
      </c>
    </row>
    <row r="556" spans="2:66" ht="12" customHeight="1">
      <c r="B556">
        <f>TBIDry!H628</f>
        <v>0</v>
      </c>
      <c r="C556">
        <f>TBIDry!I628</f>
        <v>0</v>
      </c>
      <c r="D556" t="b">
        <f t="shared" si="176"/>
        <v>1</v>
      </c>
      <c r="E556" t="b">
        <f t="shared" si="177"/>
        <v>1</v>
      </c>
      <c r="AA556" t="str">
        <f>'Green_rooibos initial weight'!A557</f>
        <v>G553</v>
      </c>
      <c r="AB556" t="str">
        <f>'Green_rooibos initial weight'!A1461</f>
        <v>R553</v>
      </c>
      <c r="AC556" t="b">
        <f t="shared" si="180"/>
        <v>0</v>
      </c>
      <c r="AD556" t="b">
        <f t="shared" si="181"/>
        <v>0</v>
      </c>
      <c r="BN556" t="str">
        <f t="shared" si="184"/>
        <v>G528</v>
      </c>
    </row>
    <row r="557" spans="2:66" ht="12" customHeight="1">
      <c r="B557">
        <f>TBIDry!H629</f>
        <v>0</v>
      </c>
      <c r="C557">
        <f>TBIDry!I629</f>
        <v>0</v>
      </c>
      <c r="D557" t="b">
        <f t="shared" si="176"/>
        <v>1</v>
      </c>
      <c r="E557" t="b">
        <f t="shared" si="177"/>
        <v>1</v>
      </c>
      <c r="AA557" t="str">
        <f>'Green_rooibos initial weight'!A558</f>
        <v>G554</v>
      </c>
      <c r="AB557" t="str">
        <f>'Green_rooibos initial weight'!A1462</f>
        <v>R554</v>
      </c>
      <c r="AC557" t="b">
        <f t="shared" si="180"/>
        <v>0</v>
      </c>
      <c r="AD557" t="b">
        <f t="shared" si="181"/>
        <v>0</v>
      </c>
      <c r="BN557" t="str">
        <f t="shared" si="184"/>
        <v>G529</v>
      </c>
    </row>
    <row r="558" spans="2:66" ht="12" customHeight="1">
      <c r="B558">
        <f>TBIDry!H630</f>
        <v>0</v>
      </c>
      <c r="C558">
        <f>TBIDry!I630</f>
        <v>0</v>
      </c>
      <c r="D558" t="b">
        <f t="shared" si="176"/>
        <v>1</v>
      </c>
      <c r="E558" t="b">
        <f t="shared" si="177"/>
        <v>1</v>
      </c>
      <c r="AA558" t="str">
        <f>'Green_rooibos initial weight'!A559</f>
        <v>G555</v>
      </c>
      <c r="AB558" t="str">
        <f>'Green_rooibos initial weight'!A1463</f>
        <v>R555</v>
      </c>
      <c r="AC558" t="b">
        <f t="shared" si="180"/>
        <v>0</v>
      </c>
      <c r="AD558" t="b">
        <f t="shared" si="181"/>
        <v>0</v>
      </c>
      <c r="BN558" t="str">
        <f t="shared" si="184"/>
        <v>G532</v>
      </c>
    </row>
    <row r="559" spans="2:66" ht="12" customHeight="1">
      <c r="B559">
        <f>TBIDry!H631</f>
        <v>0</v>
      </c>
      <c r="C559">
        <f>TBIDry!I631</f>
        <v>0</v>
      </c>
      <c r="D559" t="b">
        <f t="shared" si="176"/>
        <v>1</v>
      </c>
      <c r="E559" t="b">
        <f t="shared" si="177"/>
        <v>1</v>
      </c>
      <c r="AA559" t="str">
        <f>'Green_rooibos initial weight'!A560</f>
        <v>G556</v>
      </c>
      <c r="AB559" t="str">
        <f>'Green_rooibos initial weight'!A1464</f>
        <v>R556</v>
      </c>
      <c r="AC559" t="b">
        <f t="shared" si="180"/>
        <v>0</v>
      </c>
      <c r="AD559" t="b">
        <f t="shared" si="181"/>
        <v>0</v>
      </c>
      <c r="BN559" t="str">
        <f t="shared" si="184"/>
        <v>G535</v>
      </c>
    </row>
    <row r="560" spans="2:66" ht="12" customHeight="1">
      <c r="B560">
        <f>TBIDry!H632</f>
        <v>0</v>
      </c>
      <c r="C560">
        <f>TBIDry!I632</f>
        <v>0</v>
      </c>
      <c r="D560" t="b">
        <f t="shared" si="176"/>
        <v>1</v>
      </c>
      <c r="E560" t="b">
        <f t="shared" si="177"/>
        <v>1</v>
      </c>
      <c r="AA560" t="str">
        <f>'Green_rooibos initial weight'!A561</f>
        <v>G557</v>
      </c>
      <c r="AB560" t="str">
        <f>'Green_rooibos initial weight'!A1465</f>
        <v>R557</v>
      </c>
      <c r="AC560" t="b">
        <f t="shared" si="180"/>
        <v>0</v>
      </c>
      <c r="AD560" t="b">
        <f t="shared" si="181"/>
        <v>0</v>
      </c>
      <c r="BN560" t="str">
        <f t="shared" si="184"/>
        <v>G536</v>
      </c>
    </row>
    <row r="561" spans="2:66" ht="12" customHeight="1">
      <c r="B561">
        <f>TBIDry!H633</f>
        <v>0</v>
      </c>
      <c r="C561">
        <f>TBIDry!I633</f>
        <v>0</v>
      </c>
      <c r="D561" t="b">
        <f t="shared" si="176"/>
        <v>1</v>
      </c>
      <c r="E561" t="b">
        <f t="shared" si="177"/>
        <v>1</v>
      </c>
      <c r="AA561" t="str">
        <f>'Green_rooibos initial weight'!A562</f>
        <v>G558</v>
      </c>
      <c r="AB561" t="str">
        <f>'Green_rooibos initial weight'!A1466</f>
        <v>R558</v>
      </c>
      <c r="AC561" t="b">
        <f t="shared" si="180"/>
        <v>0</v>
      </c>
      <c r="AD561" t="b">
        <f t="shared" si="181"/>
        <v>0</v>
      </c>
      <c r="BN561" t="str">
        <f t="shared" si="184"/>
        <v>G537</v>
      </c>
    </row>
    <row r="562" spans="2:66" ht="12" customHeight="1">
      <c r="B562">
        <f>TBIDry!H634</f>
        <v>0</v>
      </c>
      <c r="C562">
        <f>TBIDry!I634</f>
        <v>0</v>
      </c>
      <c r="D562" t="b">
        <f t="shared" si="176"/>
        <v>1</v>
      </c>
      <c r="E562" t="b">
        <f t="shared" si="177"/>
        <v>1</v>
      </c>
      <c r="AA562" t="str">
        <f>'Green_rooibos initial weight'!A563</f>
        <v>G559</v>
      </c>
      <c r="AB562" t="str">
        <f>'Green_rooibos initial weight'!A1467</f>
        <v>R559</v>
      </c>
      <c r="AC562" t="b">
        <f t="shared" si="180"/>
        <v>0</v>
      </c>
      <c r="AD562" t="b">
        <f t="shared" si="181"/>
        <v>0</v>
      </c>
      <c r="BN562" t="str">
        <f t="shared" si="184"/>
        <v>G538</v>
      </c>
    </row>
    <row r="563" spans="2:66" ht="12" customHeight="1">
      <c r="B563">
        <f>TBIDry!H635</f>
        <v>0</v>
      </c>
      <c r="C563">
        <f>TBIDry!I635</f>
        <v>0</v>
      </c>
      <c r="D563" t="b">
        <f t="shared" si="176"/>
        <v>1</v>
      </c>
      <c r="E563" t="b">
        <f t="shared" si="177"/>
        <v>1</v>
      </c>
      <c r="AA563" t="str">
        <f>'Green_rooibos initial weight'!A564</f>
        <v>G560</v>
      </c>
      <c r="AB563" t="str">
        <f>'Green_rooibos initial weight'!A1468</f>
        <v>R560</v>
      </c>
      <c r="AC563" t="b">
        <f t="shared" si="180"/>
        <v>0</v>
      </c>
      <c r="AD563" t="b">
        <f t="shared" si="181"/>
        <v>0</v>
      </c>
      <c r="BN563" t="str">
        <f t="shared" si="184"/>
        <v>G539</v>
      </c>
    </row>
    <row r="564" spans="2:66" ht="12" customHeight="1">
      <c r="B564">
        <f>TBIDry!H636</f>
        <v>0</v>
      </c>
      <c r="C564">
        <f>TBIDry!I636</f>
        <v>0</v>
      </c>
      <c r="D564" t="b">
        <f t="shared" si="176"/>
        <v>1</v>
      </c>
      <c r="E564" t="b">
        <f t="shared" si="177"/>
        <v>1</v>
      </c>
      <c r="AA564" t="str">
        <f>'Green_rooibos initial weight'!A565</f>
        <v>G561</v>
      </c>
      <c r="AB564" t="str">
        <f>'Green_rooibos initial weight'!A1469</f>
        <v>R561</v>
      </c>
      <c r="AC564" t="b">
        <f t="shared" si="180"/>
        <v>0</v>
      </c>
      <c r="AD564" t="b">
        <f t="shared" si="181"/>
        <v>0</v>
      </c>
      <c r="BN564" t="str">
        <f t="shared" si="184"/>
        <v>G540</v>
      </c>
    </row>
    <row r="565" spans="2:66" ht="12" customHeight="1">
      <c r="B565">
        <f>TBIDry!H637</f>
        <v>0</v>
      </c>
      <c r="C565">
        <f>TBIDry!I637</f>
        <v>0</v>
      </c>
      <c r="D565" t="b">
        <f t="shared" si="176"/>
        <v>1</v>
      </c>
      <c r="E565" t="b">
        <f t="shared" si="177"/>
        <v>1</v>
      </c>
      <c r="AA565" t="str">
        <f>'Green_rooibos initial weight'!A566</f>
        <v>G562</v>
      </c>
      <c r="AB565" t="str">
        <f>'Green_rooibos initial weight'!A1470</f>
        <v>R562</v>
      </c>
      <c r="AC565" t="b">
        <f t="shared" si="180"/>
        <v>0</v>
      </c>
      <c r="AD565" t="b">
        <f t="shared" si="181"/>
        <v>0</v>
      </c>
      <c r="BN565" t="str">
        <f t="shared" si="184"/>
        <v>G541</v>
      </c>
    </row>
    <row r="566" spans="2:66" ht="12" customHeight="1">
      <c r="B566">
        <f>TBIDry!H638</f>
        <v>0</v>
      </c>
      <c r="C566">
        <f>TBIDry!I638</f>
        <v>0</v>
      </c>
      <c r="D566" t="b">
        <f t="shared" si="176"/>
        <v>1</v>
      </c>
      <c r="E566" t="b">
        <f t="shared" si="177"/>
        <v>1</v>
      </c>
      <c r="AA566" t="str">
        <f>'Green_rooibos initial weight'!A567</f>
        <v>G563</v>
      </c>
      <c r="AB566" t="str">
        <f>'Green_rooibos initial weight'!A1471</f>
        <v>R563</v>
      </c>
      <c r="AC566" t="b">
        <f t="shared" si="180"/>
        <v>0</v>
      </c>
      <c r="AD566" t="b">
        <f t="shared" si="181"/>
        <v>0</v>
      </c>
      <c r="BN566" t="str">
        <f t="shared" si="184"/>
        <v>G542</v>
      </c>
    </row>
    <row r="567" spans="2:66" ht="12" customHeight="1">
      <c r="B567">
        <f>TBIDry!H639</f>
        <v>0</v>
      </c>
      <c r="C567">
        <f>TBIDry!I639</f>
        <v>0</v>
      </c>
      <c r="D567" t="b">
        <f t="shared" si="176"/>
        <v>1</v>
      </c>
      <c r="E567" t="b">
        <f t="shared" si="177"/>
        <v>1</v>
      </c>
      <c r="AA567" t="str">
        <f>'Green_rooibos initial weight'!A568</f>
        <v>G564</v>
      </c>
      <c r="AB567" t="str">
        <f>'Green_rooibos initial weight'!A1472</f>
        <v>R564</v>
      </c>
      <c r="AC567" t="b">
        <f t="shared" si="180"/>
        <v>0</v>
      </c>
      <c r="AD567" t="b">
        <f t="shared" si="181"/>
        <v>0</v>
      </c>
      <c r="BN567" t="str">
        <f t="shared" si="184"/>
        <v>G543</v>
      </c>
    </row>
    <row r="568" spans="2:66" ht="12" customHeight="1">
      <c r="B568">
        <f>TBIDry!H640</f>
        <v>0</v>
      </c>
      <c r="C568">
        <f>TBIDry!I640</f>
        <v>0</v>
      </c>
      <c r="D568" t="b">
        <f t="shared" si="176"/>
        <v>1</v>
      </c>
      <c r="E568" t="b">
        <f t="shared" si="177"/>
        <v>1</v>
      </c>
      <c r="AA568" t="str">
        <f>'Green_rooibos initial weight'!A569</f>
        <v>G565</v>
      </c>
      <c r="AB568" t="str">
        <f>'Green_rooibos initial weight'!A1473</f>
        <v>R565</v>
      </c>
      <c r="AC568" t="b">
        <f t="shared" si="180"/>
        <v>0</v>
      </c>
      <c r="AD568" t="b">
        <f t="shared" si="181"/>
        <v>0</v>
      </c>
      <c r="BN568" t="str">
        <f t="shared" si="184"/>
        <v>G544</v>
      </c>
    </row>
    <row r="569" spans="2:66" ht="12" customHeight="1">
      <c r="B569">
        <f>TBIDry!H641</f>
        <v>0</v>
      </c>
      <c r="C569">
        <f>TBIDry!I641</f>
        <v>0</v>
      </c>
      <c r="D569" t="b">
        <f t="shared" si="176"/>
        <v>1</v>
      </c>
      <c r="E569" t="b">
        <f t="shared" si="177"/>
        <v>1</v>
      </c>
      <c r="AA569" t="str">
        <f>'Green_rooibos initial weight'!A570</f>
        <v>G566</v>
      </c>
      <c r="AB569" t="str">
        <f>'Green_rooibos initial weight'!A1474</f>
        <v>R566</v>
      </c>
      <c r="AC569" t="b">
        <f t="shared" si="180"/>
        <v>0</v>
      </c>
      <c r="AD569" t="b">
        <f t="shared" si="181"/>
        <v>0</v>
      </c>
      <c r="BN569" t="str">
        <f t="shared" si="184"/>
        <v>G545</v>
      </c>
    </row>
    <row r="570" spans="2:66" ht="12" customHeight="1">
      <c r="B570">
        <f>TBIDry!H642</f>
        <v>0</v>
      </c>
      <c r="C570">
        <f>TBIDry!I642</f>
        <v>0</v>
      </c>
      <c r="D570" t="b">
        <f t="shared" si="176"/>
        <v>1</v>
      </c>
      <c r="E570" t="b">
        <f t="shared" si="177"/>
        <v>1</v>
      </c>
      <c r="AA570" t="str">
        <f>'Green_rooibos initial weight'!A571</f>
        <v>G567</v>
      </c>
      <c r="AB570" t="str">
        <f>'Green_rooibos initial weight'!A1475</f>
        <v>R567</v>
      </c>
      <c r="AC570" t="b">
        <f t="shared" si="180"/>
        <v>0</v>
      </c>
      <c r="AD570" t="b">
        <f t="shared" si="181"/>
        <v>0</v>
      </c>
      <c r="BN570" t="str">
        <f t="shared" si="184"/>
        <v>G546</v>
      </c>
    </row>
    <row r="571" spans="2:66" ht="12" customHeight="1">
      <c r="B571">
        <f>TBIDry!H643</f>
        <v>0</v>
      </c>
      <c r="C571">
        <f>TBIDry!I643</f>
        <v>0</v>
      </c>
      <c r="D571" t="b">
        <f t="shared" si="176"/>
        <v>1</v>
      </c>
      <c r="E571" t="b">
        <f t="shared" si="177"/>
        <v>1</v>
      </c>
      <c r="AA571" t="str">
        <f>'Green_rooibos initial weight'!A572</f>
        <v>G568</v>
      </c>
      <c r="AB571" t="str">
        <f>'Green_rooibos initial weight'!A1476</f>
        <v>R568</v>
      </c>
      <c r="AC571" t="b">
        <f t="shared" si="180"/>
        <v>0</v>
      </c>
      <c r="AD571" t="b">
        <f t="shared" si="181"/>
        <v>0</v>
      </c>
      <c r="BN571" t="str">
        <f t="shared" si="184"/>
        <v>G547</v>
      </c>
    </row>
    <row r="572" spans="2:66" ht="12" customHeight="1">
      <c r="B572">
        <f>TBIDry!H644</f>
        <v>0</v>
      </c>
      <c r="C572">
        <f>TBIDry!I644</f>
        <v>0</v>
      </c>
      <c r="D572" t="b">
        <f t="shared" si="176"/>
        <v>1</v>
      </c>
      <c r="E572" t="b">
        <f t="shared" si="177"/>
        <v>1</v>
      </c>
      <c r="AA572" t="str">
        <f>'Green_rooibos initial weight'!A573</f>
        <v>G569</v>
      </c>
      <c r="AB572" t="str">
        <f>'Green_rooibos initial weight'!A1477</f>
        <v>R569</v>
      </c>
      <c r="AC572" t="b">
        <f t="shared" si="180"/>
        <v>0</v>
      </c>
      <c r="AD572" t="b">
        <f t="shared" si="181"/>
        <v>0</v>
      </c>
      <c r="BN572" t="str">
        <f t="shared" si="184"/>
        <v>G548</v>
      </c>
    </row>
    <row r="573" spans="2:66" ht="12" customHeight="1">
      <c r="B573">
        <f>TBIDry!H645</f>
        <v>0</v>
      </c>
      <c r="C573">
        <f>TBIDry!I645</f>
        <v>0</v>
      </c>
      <c r="D573" t="b">
        <f t="shared" si="176"/>
        <v>1</v>
      </c>
      <c r="E573" t="b">
        <f t="shared" si="177"/>
        <v>1</v>
      </c>
      <c r="AA573" t="str">
        <f>'Green_rooibos initial weight'!A574</f>
        <v>G570</v>
      </c>
      <c r="AB573" t="str">
        <f>'Green_rooibos initial weight'!A1478</f>
        <v>R570</v>
      </c>
      <c r="AC573" t="b">
        <f t="shared" si="180"/>
        <v>0</v>
      </c>
      <c r="AD573" t="b">
        <f t="shared" si="181"/>
        <v>0</v>
      </c>
      <c r="BN573" t="str">
        <f t="shared" si="184"/>
        <v>G549</v>
      </c>
    </row>
    <row r="574" spans="2:66" ht="12" customHeight="1">
      <c r="B574">
        <f>TBIDry!H646</f>
        <v>0</v>
      </c>
      <c r="C574">
        <f>TBIDry!I646</f>
        <v>0</v>
      </c>
      <c r="D574" t="b">
        <f t="shared" si="176"/>
        <v>1</v>
      </c>
      <c r="E574" t="b">
        <f t="shared" si="177"/>
        <v>1</v>
      </c>
      <c r="AA574" t="str">
        <f>'Green_rooibos initial weight'!A575</f>
        <v>G571</v>
      </c>
      <c r="AB574" t="str">
        <f>'Green_rooibos initial weight'!A1479</f>
        <v>R571</v>
      </c>
      <c r="AC574" t="b">
        <f t="shared" si="180"/>
        <v>0</v>
      </c>
      <c r="AD574" t="b">
        <f t="shared" si="181"/>
        <v>0</v>
      </c>
      <c r="BN574" t="str">
        <f t="shared" si="184"/>
        <v>G550</v>
      </c>
    </row>
    <row r="575" spans="2:66" ht="12" customHeight="1">
      <c r="B575">
        <f>TBIDry!H647</f>
        <v>0</v>
      </c>
      <c r="C575">
        <f>TBIDry!I647</f>
        <v>0</v>
      </c>
      <c r="D575" t="b">
        <f t="shared" si="176"/>
        <v>1</v>
      </c>
      <c r="E575" t="b">
        <f t="shared" si="177"/>
        <v>1</v>
      </c>
      <c r="AA575" t="str">
        <f>'Green_rooibos initial weight'!A576</f>
        <v>G572</v>
      </c>
      <c r="AB575" t="str">
        <f>'Green_rooibos initial weight'!A1480</f>
        <v>R572</v>
      </c>
      <c r="AC575" t="b">
        <f t="shared" si="180"/>
        <v>0</v>
      </c>
      <c r="AD575" t="b">
        <f t="shared" si="181"/>
        <v>0</v>
      </c>
      <c r="BN575" t="str">
        <f t="shared" si="184"/>
        <v>G551</v>
      </c>
    </row>
    <row r="576" spans="2:66" ht="12" customHeight="1">
      <c r="B576">
        <f>TBIDry!H648</f>
        <v>0</v>
      </c>
      <c r="C576">
        <f>TBIDry!I648</f>
        <v>0</v>
      </c>
      <c r="D576" t="b">
        <f t="shared" si="176"/>
        <v>1</v>
      </c>
      <c r="E576" t="b">
        <f t="shared" si="177"/>
        <v>1</v>
      </c>
      <c r="AA576" t="str">
        <f>'Green_rooibos initial weight'!A577</f>
        <v>G573</v>
      </c>
      <c r="AB576" t="str">
        <f>'Green_rooibos initial weight'!A1481</f>
        <v>R573</v>
      </c>
      <c r="AC576" t="b">
        <f t="shared" si="180"/>
        <v>0</v>
      </c>
      <c r="AD576" t="b">
        <f t="shared" si="181"/>
        <v>0</v>
      </c>
      <c r="BN576" t="str">
        <f t="shared" si="184"/>
        <v>G552</v>
      </c>
    </row>
    <row r="577" spans="2:66" ht="12" customHeight="1">
      <c r="B577">
        <f>TBIDry!H649</f>
        <v>0</v>
      </c>
      <c r="C577">
        <f>TBIDry!I649</f>
        <v>0</v>
      </c>
      <c r="D577" t="b">
        <f t="shared" si="176"/>
        <v>1</v>
      </c>
      <c r="E577" t="b">
        <f t="shared" si="177"/>
        <v>1</v>
      </c>
      <c r="AA577" t="str">
        <f>'Green_rooibos initial weight'!A578</f>
        <v>G574</v>
      </c>
      <c r="AB577" t="str">
        <f>'Green_rooibos initial weight'!A1482</f>
        <v>R574</v>
      </c>
      <c r="AC577" t="b">
        <f t="shared" si="180"/>
        <v>0</v>
      </c>
      <c r="AD577" t="b">
        <f t="shared" si="181"/>
        <v>0</v>
      </c>
      <c r="BN577" t="str">
        <f t="shared" si="184"/>
        <v>G554</v>
      </c>
    </row>
    <row r="578" spans="2:66" ht="12" customHeight="1">
      <c r="B578">
        <f>TBIDry!H650</f>
        <v>0</v>
      </c>
      <c r="C578">
        <f>TBIDry!I650</f>
        <v>0</v>
      </c>
      <c r="D578" t="b">
        <f t="shared" si="176"/>
        <v>1</v>
      </c>
      <c r="E578" t="b">
        <f t="shared" si="177"/>
        <v>1</v>
      </c>
      <c r="AA578" t="str">
        <f>'Green_rooibos initial weight'!A579</f>
        <v>G575</v>
      </c>
      <c r="AB578" t="str">
        <f>'Green_rooibos initial weight'!A1483</f>
        <v>R575</v>
      </c>
      <c r="AC578" t="b">
        <f t="shared" si="180"/>
        <v>0</v>
      </c>
      <c r="AD578" t="b">
        <f t="shared" si="181"/>
        <v>0</v>
      </c>
      <c r="BN578" t="str">
        <f t="shared" si="184"/>
        <v>G557</v>
      </c>
    </row>
    <row r="579" spans="2:66" ht="12" customHeight="1">
      <c r="B579">
        <f>TBIDry!H651</f>
        <v>0</v>
      </c>
      <c r="C579">
        <f>TBIDry!I651</f>
        <v>0</v>
      </c>
      <c r="D579" t="b">
        <f t="shared" si="176"/>
        <v>1</v>
      </c>
      <c r="E579" t="b">
        <f t="shared" si="177"/>
        <v>1</v>
      </c>
      <c r="AA579" t="str">
        <f>'Green_rooibos initial weight'!A580</f>
        <v>G576</v>
      </c>
      <c r="AB579" t="str">
        <f>'Green_rooibos initial weight'!A1484</f>
        <v>R576</v>
      </c>
      <c r="AC579" t="b">
        <f t="shared" si="180"/>
        <v>0</v>
      </c>
      <c r="AD579" t="b">
        <f t="shared" si="181"/>
        <v>0</v>
      </c>
      <c r="BN579" t="str">
        <f t="shared" si="184"/>
        <v>G560</v>
      </c>
    </row>
    <row r="580" spans="2:66" ht="12" customHeight="1">
      <c r="B580">
        <f>TBIDry!H652</f>
        <v>0</v>
      </c>
      <c r="C580">
        <f>TBIDry!I652</f>
        <v>0</v>
      </c>
      <c r="D580" t="b">
        <f t="shared" si="176"/>
        <v>1</v>
      </c>
      <c r="E580" t="b">
        <f t="shared" si="177"/>
        <v>1</v>
      </c>
      <c r="AA580" t="str">
        <f>'Green_rooibos initial weight'!A581</f>
        <v>G577</v>
      </c>
      <c r="AB580" t="str">
        <f>'Green_rooibos initial weight'!A1485</f>
        <v>R577</v>
      </c>
      <c r="AC580" t="b">
        <f t="shared" si="180"/>
        <v>0</v>
      </c>
      <c r="AD580" t="b">
        <f t="shared" si="181"/>
        <v>0</v>
      </c>
      <c r="BN580" t="str">
        <f t="shared" si="184"/>
        <v>G561</v>
      </c>
    </row>
    <row r="581" spans="2:66" ht="12" customHeight="1">
      <c r="B581">
        <f>TBIDry!H653</f>
        <v>0</v>
      </c>
      <c r="C581">
        <f>TBIDry!I653</f>
        <v>0</v>
      </c>
      <c r="D581" t="b">
        <f t="shared" ref="D581:D644" si="185">COUNTIF($B$4:$B$2000, B581)&gt;1</f>
        <v>1</v>
      </c>
      <c r="E581" t="b">
        <f t="shared" ref="E581:E644" si="186">COUNTIF($C$4:$C$2000, C581)&gt;1</f>
        <v>1</v>
      </c>
      <c r="AA581" t="str">
        <f>'Green_rooibos initial weight'!A582</f>
        <v>G578</v>
      </c>
      <c r="AB581" t="str">
        <f>'Green_rooibos initial weight'!A1486</f>
        <v>R578</v>
      </c>
      <c r="AC581" t="b">
        <f t="shared" ref="AC581:AC644" si="187">COUNTIF($AA$4:$AA$2000, AA581)&gt;1</f>
        <v>0</v>
      </c>
      <c r="AD581" t="b">
        <f t="shared" ref="AD581:AD644" si="188">COUNTIF($AB$4:$AB$2000, AB581)&gt;1</f>
        <v>0</v>
      </c>
      <c r="BN581" t="str">
        <f t="shared" si="184"/>
        <v>G362</v>
      </c>
    </row>
    <row r="582" spans="2:66" ht="12" customHeight="1">
      <c r="B582">
        <f>TBIDry!H654</f>
        <v>0</v>
      </c>
      <c r="C582">
        <f>TBIDry!I654</f>
        <v>0</v>
      </c>
      <c r="D582" t="b">
        <f t="shared" si="185"/>
        <v>1</v>
      </c>
      <c r="E582" t="b">
        <f t="shared" si="186"/>
        <v>1</v>
      </c>
      <c r="AA582" t="str">
        <f>'Green_rooibos initial weight'!A583</f>
        <v>G579</v>
      </c>
      <c r="AB582" t="str">
        <f>'Green_rooibos initial weight'!A1487</f>
        <v>R579</v>
      </c>
      <c r="AC582" t="b">
        <f t="shared" si="187"/>
        <v>0</v>
      </c>
      <c r="AD582" t="b">
        <f t="shared" si="188"/>
        <v>0</v>
      </c>
      <c r="BN582" t="str">
        <f t="shared" si="184"/>
        <v>G563</v>
      </c>
    </row>
    <row r="583" spans="2:66" ht="12" customHeight="1">
      <c r="B583">
        <f>TBIDry!H655</f>
        <v>0</v>
      </c>
      <c r="C583">
        <f>TBIDry!I655</f>
        <v>0</v>
      </c>
      <c r="D583" t="b">
        <f t="shared" si="185"/>
        <v>1</v>
      </c>
      <c r="E583" t="b">
        <f t="shared" si="186"/>
        <v>1</v>
      </c>
      <c r="AA583" t="str">
        <f>'Green_rooibos initial weight'!A584</f>
        <v>G580</v>
      </c>
      <c r="AB583" t="str">
        <f>'Green_rooibos initial weight'!A1488</f>
        <v>R580</v>
      </c>
      <c r="AC583" t="b">
        <f t="shared" si="187"/>
        <v>0</v>
      </c>
      <c r="AD583" t="b">
        <f t="shared" si="188"/>
        <v>0</v>
      </c>
      <c r="BN583" t="str">
        <f t="shared" si="184"/>
        <v>G564</v>
      </c>
    </row>
    <row r="584" spans="2:66" ht="12" customHeight="1">
      <c r="B584">
        <f>TBIDry!H656</f>
        <v>0</v>
      </c>
      <c r="C584">
        <f>TBIDry!I656</f>
        <v>0</v>
      </c>
      <c r="D584" t="b">
        <f t="shared" si="185"/>
        <v>1</v>
      </c>
      <c r="E584" t="b">
        <f t="shared" si="186"/>
        <v>1</v>
      </c>
      <c r="AA584" t="str">
        <f>'Green_rooibos initial weight'!A585</f>
        <v>G581</v>
      </c>
      <c r="AB584" t="str">
        <f>'Green_rooibos initial weight'!A1489</f>
        <v>R581</v>
      </c>
      <c r="AC584" t="b">
        <f t="shared" si="187"/>
        <v>0</v>
      </c>
      <c r="AD584" t="b">
        <f t="shared" si="188"/>
        <v>0</v>
      </c>
      <c r="BN584" t="str">
        <f t="shared" si="184"/>
        <v>G565</v>
      </c>
    </row>
    <row r="585" spans="2:66" ht="12" customHeight="1">
      <c r="B585">
        <f>TBIDry!H657</f>
        <v>0</v>
      </c>
      <c r="C585">
        <f>TBIDry!I657</f>
        <v>0</v>
      </c>
      <c r="D585" t="b">
        <f t="shared" si="185"/>
        <v>1</v>
      </c>
      <c r="E585" t="b">
        <f t="shared" si="186"/>
        <v>1</v>
      </c>
      <c r="AA585" t="str">
        <f>'Green_rooibos initial weight'!A586</f>
        <v>G582</v>
      </c>
      <c r="AB585" t="str">
        <f>'Green_rooibos initial weight'!A1490</f>
        <v>R582</v>
      </c>
      <c r="AC585" t="b">
        <f t="shared" si="187"/>
        <v>0</v>
      </c>
      <c r="AD585" t="b">
        <f t="shared" si="188"/>
        <v>0</v>
      </c>
      <c r="BN585" t="str">
        <f t="shared" si="184"/>
        <v>G566</v>
      </c>
    </row>
    <row r="586" spans="2:66" ht="12" customHeight="1">
      <c r="B586">
        <f>TBIDry!H658</f>
        <v>0</v>
      </c>
      <c r="C586">
        <f>TBIDry!I658</f>
        <v>0</v>
      </c>
      <c r="D586" t="b">
        <f t="shared" si="185"/>
        <v>1</v>
      </c>
      <c r="E586" t="b">
        <f t="shared" si="186"/>
        <v>1</v>
      </c>
      <c r="AA586" t="str">
        <f>'Green_rooibos initial weight'!A587</f>
        <v>G583</v>
      </c>
      <c r="AB586" t="str">
        <f>'Green_rooibos initial weight'!A1491</f>
        <v>R583</v>
      </c>
      <c r="AC586" t="b">
        <f t="shared" si="187"/>
        <v>0</v>
      </c>
      <c r="AD586" t="b">
        <f t="shared" si="188"/>
        <v>0</v>
      </c>
      <c r="BN586" t="str">
        <f t="shared" si="184"/>
        <v>G567</v>
      </c>
    </row>
    <row r="587" spans="2:66" ht="12" customHeight="1">
      <c r="B587">
        <f>TBIDry!H659</f>
        <v>0</v>
      </c>
      <c r="C587">
        <f>TBIDry!I659</f>
        <v>0</v>
      </c>
      <c r="D587" t="b">
        <f t="shared" si="185"/>
        <v>1</v>
      </c>
      <c r="E587" t="b">
        <f t="shared" si="186"/>
        <v>1</v>
      </c>
      <c r="AA587" t="str">
        <f>'Green_rooibos initial weight'!A588</f>
        <v>G584</v>
      </c>
      <c r="AB587" t="str">
        <f>'Green_rooibos initial weight'!A1492</f>
        <v>R584</v>
      </c>
      <c r="AC587" t="b">
        <f t="shared" si="187"/>
        <v>0</v>
      </c>
      <c r="AD587" t="b">
        <f t="shared" si="188"/>
        <v>0</v>
      </c>
      <c r="BN587" t="str">
        <f t="shared" si="184"/>
        <v>G568</v>
      </c>
    </row>
    <row r="588" spans="2:66" ht="12" customHeight="1">
      <c r="B588">
        <f>TBIDry!H660</f>
        <v>0</v>
      </c>
      <c r="C588">
        <f>TBIDry!I660</f>
        <v>0</v>
      </c>
      <c r="D588" t="b">
        <f t="shared" si="185"/>
        <v>1</v>
      </c>
      <c r="E588" t="b">
        <f t="shared" si="186"/>
        <v>1</v>
      </c>
      <c r="AA588" t="str">
        <f>'Green_rooibos initial weight'!A589</f>
        <v>G585</v>
      </c>
      <c r="AB588" t="str">
        <f>'Green_rooibos initial weight'!A1493</f>
        <v>R585</v>
      </c>
      <c r="AC588" t="b">
        <f t="shared" si="187"/>
        <v>0</v>
      </c>
      <c r="AD588" t="b">
        <f t="shared" si="188"/>
        <v>0</v>
      </c>
      <c r="BN588" t="str">
        <f t="shared" si="184"/>
        <v>G509</v>
      </c>
    </row>
    <row r="589" spans="2:66" ht="12" customHeight="1">
      <c r="B589">
        <f>TBIDry!H661</f>
        <v>0</v>
      </c>
      <c r="C589">
        <f>TBIDry!I661</f>
        <v>0</v>
      </c>
      <c r="D589" t="b">
        <f t="shared" si="185"/>
        <v>1</v>
      </c>
      <c r="E589" t="b">
        <f t="shared" si="186"/>
        <v>1</v>
      </c>
      <c r="AA589" t="str">
        <f>'Green_rooibos initial weight'!A590</f>
        <v>G586</v>
      </c>
      <c r="AB589" t="str">
        <f>'Green_rooibos initial weight'!A1494</f>
        <v>R586</v>
      </c>
      <c r="AC589" t="b">
        <f t="shared" si="187"/>
        <v>0</v>
      </c>
      <c r="AD589" t="b">
        <f t="shared" si="188"/>
        <v>0</v>
      </c>
      <c r="BN589" t="str">
        <f t="shared" si="184"/>
        <v>G571</v>
      </c>
    </row>
    <row r="590" spans="2:66" ht="12" customHeight="1">
      <c r="B590">
        <f>TBIDry!H662</f>
        <v>0</v>
      </c>
      <c r="C590">
        <f>TBIDry!I662</f>
        <v>0</v>
      </c>
      <c r="D590" t="b">
        <f t="shared" si="185"/>
        <v>1</v>
      </c>
      <c r="E590" t="b">
        <f t="shared" si="186"/>
        <v>1</v>
      </c>
      <c r="AA590" t="str">
        <f>'Green_rooibos initial weight'!A591</f>
        <v>G587</v>
      </c>
      <c r="AB590" t="str">
        <f>'Green_rooibos initial weight'!A1495</f>
        <v>R587</v>
      </c>
      <c r="AC590" t="b">
        <f t="shared" si="187"/>
        <v>0</v>
      </c>
      <c r="AD590" t="b">
        <f t="shared" si="188"/>
        <v>0</v>
      </c>
      <c r="BN590" t="str">
        <f t="shared" si="184"/>
        <v>G572</v>
      </c>
    </row>
    <row r="591" spans="2:66" ht="12" customHeight="1">
      <c r="B591">
        <f>TBIDry!H663</f>
        <v>0</v>
      </c>
      <c r="C591">
        <f>TBIDry!I663</f>
        <v>0</v>
      </c>
      <c r="D591" t="b">
        <f t="shared" si="185"/>
        <v>1</v>
      </c>
      <c r="E591" t="b">
        <f t="shared" si="186"/>
        <v>1</v>
      </c>
      <c r="AA591" t="str">
        <f>'Green_rooibos initial weight'!A592</f>
        <v>G588</v>
      </c>
      <c r="AB591" t="str">
        <f>'Green_rooibos initial weight'!A1496</f>
        <v>R588</v>
      </c>
      <c r="AC591" t="b">
        <f t="shared" si="187"/>
        <v>0</v>
      </c>
      <c r="AD591" t="b">
        <f t="shared" si="188"/>
        <v>0</v>
      </c>
      <c r="BN591" t="str">
        <f t="shared" si="184"/>
        <v>G573</v>
      </c>
    </row>
    <row r="592" spans="2:66" ht="12" customHeight="1">
      <c r="B592">
        <f>TBIDry!H664</f>
        <v>0</v>
      </c>
      <c r="C592">
        <f>TBIDry!I664</f>
        <v>0</v>
      </c>
      <c r="D592" t="b">
        <f t="shared" si="185"/>
        <v>1</v>
      </c>
      <c r="E592" t="b">
        <f t="shared" si="186"/>
        <v>1</v>
      </c>
      <c r="AA592" t="str">
        <f>'Green_rooibos initial weight'!A593</f>
        <v>G589</v>
      </c>
      <c r="AB592" t="str">
        <f>'Green_rooibos initial weight'!A1497</f>
        <v>R589</v>
      </c>
      <c r="AC592" t="b">
        <f t="shared" si="187"/>
        <v>0</v>
      </c>
      <c r="AD592" t="b">
        <f t="shared" si="188"/>
        <v>0</v>
      </c>
      <c r="BN592" t="str">
        <f t="shared" si="184"/>
        <v>G574</v>
      </c>
    </row>
    <row r="593" spans="2:66" ht="12" customHeight="1">
      <c r="B593">
        <f>TBIDry!H665</f>
        <v>0</v>
      </c>
      <c r="C593">
        <f>TBIDry!I665</f>
        <v>0</v>
      </c>
      <c r="D593" t="b">
        <f t="shared" si="185"/>
        <v>1</v>
      </c>
      <c r="E593" t="b">
        <f t="shared" si="186"/>
        <v>1</v>
      </c>
      <c r="AA593" t="str">
        <f>'Green_rooibos initial weight'!A594</f>
        <v>G590</v>
      </c>
      <c r="AB593" t="str">
        <f>'Green_rooibos initial weight'!A1498</f>
        <v>R590</v>
      </c>
      <c r="AC593" t="b">
        <f t="shared" si="187"/>
        <v>0</v>
      </c>
      <c r="AD593" t="b">
        <f t="shared" si="188"/>
        <v>0</v>
      </c>
      <c r="BN593" t="str">
        <f t="shared" si="184"/>
        <v>G575</v>
      </c>
    </row>
    <row r="594" spans="2:66" ht="12" customHeight="1">
      <c r="B594">
        <f>TBIDry!H666</f>
        <v>0</v>
      </c>
      <c r="C594">
        <f>TBIDry!I666</f>
        <v>0</v>
      </c>
      <c r="D594" t="b">
        <f t="shared" si="185"/>
        <v>1</v>
      </c>
      <c r="E594" t="b">
        <f t="shared" si="186"/>
        <v>1</v>
      </c>
      <c r="AA594" t="str">
        <f>'Green_rooibos initial weight'!A595</f>
        <v>G591</v>
      </c>
      <c r="AB594" t="str">
        <f>'Green_rooibos initial weight'!A1499</f>
        <v>R591</v>
      </c>
      <c r="AC594" t="b">
        <f t="shared" si="187"/>
        <v>0</v>
      </c>
      <c r="AD594" t="b">
        <f t="shared" si="188"/>
        <v>0</v>
      </c>
      <c r="BN594" t="str">
        <f t="shared" si="184"/>
        <v>G576</v>
      </c>
    </row>
    <row r="595" spans="2:66" ht="12" customHeight="1">
      <c r="B595">
        <f>TBIDry!H667</f>
        <v>0</v>
      </c>
      <c r="C595">
        <f>TBIDry!I667</f>
        <v>0</v>
      </c>
      <c r="D595" t="b">
        <f t="shared" si="185"/>
        <v>1</v>
      </c>
      <c r="E595" t="b">
        <f t="shared" si="186"/>
        <v>1</v>
      </c>
      <c r="AA595" t="str">
        <f>'Green_rooibos initial weight'!A596</f>
        <v>G592</v>
      </c>
      <c r="AB595" t="str">
        <f>'Green_rooibos initial weight'!A1500</f>
        <v>R592</v>
      </c>
      <c r="AC595" t="b">
        <f t="shared" si="187"/>
        <v>0</v>
      </c>
      <c r="AD595" t="b">
        <f t="shared" si="188"/>
        <v>0</v>
      </c>
      <c r="BN595" t="str">
        <f t="shared" si="184"/>
        <v>G577</v>
      </c>
    </row>
    <row r="596" spans="2:66" ht="12" customHeight="1">
      <c r="B596">
        <f>TBIDry!H668</f>
        <v>0</v>
      </c>
      <c r="C596">
        <f>TBIDry!I668</f>
        <v>0</v>
      </c>
      <c r="D596" t="b">
        <f t="shared" si="185"/>
        <v>1</v>
      </c>
      <c r="E596" t="b">
        <f t="shared" si="186"/>
        <v>1</v>
      </c>
      <c r="AA596" t="str">
        <f>'Green_rooibos initial weight'!A597</f>
        <v>G593</v>
      </c>
      <c r="AB596" t="str">
        <f>'Green_rooibos initial weight'!A1501</f>
        <v>R593</v>
      </c>
      <c r="AC596" t="b">
        <f t="shared" si="187"/>
        <v>0</v>
      </c>
      <c r="AD596" t="b">
        <f t="shared" si="188"/>
        <v>0</v>
      </c>
      <c r="BN596" t="str">
        <f t="shared" si="184"/>
        <v>G579</v>
      </c>
    </row>
    <row r="597" spans="2:66" ht="12" customHeight="1">
      <c r="B597">
        <f>TBIDry!H669</f>
        <v>0</v>
      </c>
      <c r="C597">
        <f>TBIDry!I669</f>
        <v>0</v>
      </c>
      <c r="D597" t="b">
        <f t="shared" si="185"/>
        <v>1</v>
      </c>
      <c r="E597" t="b">
        <f t="shared" si="186"/>
        <v>1</v>
      </c>
      <c r="AA597" t="str">
        <f>'Green_rooibos initial weight'!A598</f>
        <v>G594</v>
      </c>
      <c r="AB597" t="str">
        <f>'Green_rooibos initial weight'!A1502</f>
        <v>R594</v>
      </c>
      <c r="AC597" t="b">
        <f t="shared" si="187"/>
        <v>0</v>
      </c>
      <c r="AD597" t="b">
        <f t="shared" si="188"/>
        <v>0</v>
      </c>
      <c r="BN597" t="str">
        <f t="shared" si="184"/>
        <v>G581</v>
      </c>
    </row>
    <row r="598" spans="2:66" ht="12" customHeight="1">
      <c r="B598">
        <f>TBIDry!H670</f>
        <v>0</v>
      </c>
      <c r="C598">
        <f>TBIDry!I670</f>
        <v>0</v>
      </c>
      <c r="D598" t="b">
        <f t="shared" si="185"/>
        <v>1</v>
      </c>
      <c r="E598" t="b">
        <f t="shared" si="186"/>
        <v>1</v>
      </c>
      <c r="AA598" t="str">
        <f>'Green_rooibos initial weight'!A599</f>
        <v>G595</v>
      </c>
      <c r="AB598" t="str">
        <f>'Green_rooibos initial weight'!A1503</f>
        <v>R595</v>
      </c>
      <c r="AC598" t="b">
        <f t="shared" si="187"/>
        <v>0</v>
      </c>
      <c r="AD598" t="b">
        <f t="shared" si="188"/>
        <v>0</v>
      </c>
      <c r="BN598" t="str">
        <f t="shared" si="184"/>
        <v>G582</v>
      </c>
    </row>
    <row r="599" spans="2:66" ht="12" customHeight="1">
      <c r="B599">
        <f>TBIDry!H671</f>
        <v>0</v>
      </c>
      <c r="C599">
        <f>TBIDry!I671</f>
        <v>0</v>
      </c>
      <c r="D599" t="b">
        <f t="shared" si="185"/>
        <v>1</v>
      </c>
      <c r="E599" t="b">
        <f t="shared" si="186"/>
        <v>1</v>
      </c>
      <c r="AA599" t="str">
        <f>'Green_rooibos initial weight'!A600</f>
        <v>G596</v>
      </c>
      <c r="AB599" t="str">
        <f>'Green_rooibos initial weight'!A1504</f>
        <v>R596</v>
      </c>
      <c r="AC599" t="b">
        <f t="shared" si="187"/>
        <v>0</v>
      </c>
      <c r="AD599" t="b">
        <f t="shared" si="188"/>
        <v>0</v>
      </c>
      <c r="BN599" t="str">
        <f t="shared" si="184"/>
        <v>G583</v>
      </c>
    </row>
    <row r="600" spans="2:66" ht="12" customHeight="1">
      <c r="B600">
        <f>TBIDry!H672</f>
        <v>0</v>
      </c>
      <c r="C600">
        <f>TBIDry!I672</f>
        <v>0</v>
      </c>
      <c r="D600" t="b">
        <f t="shared" si="185"/>
        <v>1</v>
      </c>
      <c r="E600" t="b">
        <f t="shared" si="186"/>
        <v>1</v>
      </c>
      <c r="AA600" t="str">
        <f>'Green_rooibos initial weight'!A601</f>
        <v>G597</v>
      </c>
      <c r="AB600" t="str">
        <f>'Green_rooibos initial weight'!A1505</f>
        <v>R597</v>
      </c>
      <c r="AC600" t="b">
        <f t="shared" si="187"/>
        <v>0</v>
      </c>
      <c r="AD600" t="b">
        <f t="shared" si="188"/>
        <v>0</v>
      </c>
      <c r="BN600" t="str">
        <f t="shared" si="184"/>
        <v>G584</v>
      </c>
    </row>
    <row r="601" spans="2:66" ht="12" customHeight="1">
      <c r="B601">
        <f>TBIDry!H673</f>
        <v>0</v>
      </c>
      <c r="C601">
        <f>TBIDry!I673</f>
        <v>0</v>
      </c>
      <c r="D601" t="b">
        <f t="shared" si="185"/>
        <v>1</v>
      </c>
      <c r="E601" t="b">
        <f t="shared" si="186"/>
        <v>1</v>
      </c>
      <c r="AA601" t="str">
        <f>'Green_rooibos initial weight'!A602</f>
        <v>G598</v>
      </c>
      <c r="AB601" t="str">
        <f>'Green_rooibos initial weight'!A1506</f>
        <v>R598</v>
      </c>
      <c r="AC601" t="b">
        <f t="shared" si="187"/>
        <v>0</v>
      </c>
      <c r="AD601" t="b">
        <f t="shared" si="188"/>
        <v>0</v>
      </c>
      <c r="BN601" t="str">
        <f t="shared" si="184"/>
        <v>G585</v>
      </c>
    </row>
    <row r="602" spans="2:66" ht="12" customHeight="1">
      <c r="B602">
        <f>TBIDry!H674</f>
        <v>0</v>
      </c>
      <c r="C602">
        <f>TBIDry!I674</f>
        <v>0</v>
      </c>
      <c r="D602" t="b">
        <f t="shared" si="185"/>
        <v>1</v>
      </c>
      <c r="E602" t="b">
        <f t="shared" si="186"/>
        <v>1</v>
      </c>
      <c r="AA602" t="str">
        <f>'Green_rooibos initial weight'!A603</f>
        <v>G599</v>
      </c>
      <c r="AB602" t="str">
        <f>'Green_rooibos initial weight'!A1507</f>
        <v>R599</v>
      </c>
      <c r="AC602" t="b">
        <f t="shared" si="187"/>
        <v>0</v>
      </c>
      <c r="AD602" t="b">
        <f t="shared" si="188"/>
        <v>0</v>
      </c>
      <c r="BN602" t="str">
        <f t="shared" si="184"/>
        <v>G587</v>
      </c>
    </row>
    <row r="603" spans="2:66" ht="12" customHeight="1">
      <c r="B603">
        <f>TBIDry!H675</f>
        <v>0</v>
      </c>
      <c r="C603">
        <f>TBIDry!I675</f>
        <v>0</v>
      </c>
      <c r="D603" t="b">
        <f t="shared" si="185"/>
        <v>1</v>
      </c>
      <c r="E603" t="b">
        <f t="shared" si="186"/>
        <v>1</v>
      </c>
      <c r="AA603" t="str">
        <f>'Green_rooibos initial weight'!A604</f>
        <v>G600</v>
      </c>
      <c r="AB603" t="str">
        <f>'Green_rooibos initial weight'!A1508</f>
        <v>R600</v>
      </c>
      <c r="AC603" t="b">
        <f t="shared" si="187"/>
        <v>0</v>
      </c>
      <c r="AD603" t="b">
        <f t="shared" si="188"/>
        <v>0</v>
      </c>
      <c r="BN603" t="str">
        <f t="shared" si="184"/>
        <v>G591</v>
      </c>
    </row>
    <row r="604" spans="2:66" ht="12" customHeight="1">
      <c r="B604">
        <f>TBIDry!H676</f>
        <v>0</v>
      </c>
      <c r="C604">
        <f>TBIDry!I676</f>
        <v>0</v>
      </c>
      <c r="D604" t="b">
        <f t="shared" si="185"/>
        <v>1</v>
      </c>
      <c r="E604" t="b">
        <f t="shared" si="186"/>
        <v>1</v>
      </c>
      <c r="AA604" t="str">
        <f>'Green_rooibos initial weight'!A605</f>
        <v>G601</v>
      </c>
      <c r="AB604" t="str">
        <f>'Green_rooibos initial weight'!A1509</f>
        <v>R601</v>
      </c>
      <c r="AC604" t="b">
        <f t="shared" si="187"/>
        <v>0</v>
      </c>
      <c r="AD604" t="b">
        <f t="shared" si="188"/>
        <v>0</v>
      </c>
      <c r="BN604" t="str">
        <f t="shared" si="184"/>
        <v>G592</v>
      </c>
    </row>
    <row r="605" spans="2:66" ht="12" customHeight="1">
      <c r="B605">
        <f>TBIDry!H677</f>
        <v>0</v>
      </c>
      <c r="C605">
        <f>TBIDry!I677</f>
        <v>0</v>
      </c>
      <c r="D605" t="b">
        <f t="shared" si="185"/>
        <v>1</v>
      </c>
      <c r="E605" t="b">
        <f t="shared" si="186"/>
        <v>1</v>
      </c>
      <c r="AA605" t="str">
        <f>'Green_rooibos initial weight'!A606</f>
        <v>G602</v>
      </c>
      <c r="AB605" t="str">
        <f>'Green_rooibos initial weight'!A1510</f>
        <v>R841</v>
      </c>
      <c r="AC605" t="b">
        <f t="shared" si="187"/>
        <v>0</v>
      </c>
      <c r="AD605" t="b">
        <f t="shared" si="188"/>
        <v>0</v>
      </c>
      <c r="BN605" t="str">
        <f t="shared" si="184"/>
        <v>G593</v>
      </c>
    </row>
    <row r="606" spans="2:66" ht="12" customHeight="1">
      <c r="B606">
        <f>TBIDry!H678</f>
        <v>0</v>
      </c>
      <c r="C606">
        <f>TBIDry!I678</f>
        <v>0</v>
      </c>
      <c r="D606" t="b">
        <f t="shared" si="185"/>
        <v>1</v>
      </c>
      <c r="E606" t="b">
        <f t="shared" si="186"/>
        <v>1</v>
      </c>
      <c r="AA606" t="str">
        <f>'Green_rooibos initial weight'!A607</f>
        <v>G603</v>
      </c>
      <c r="AB606" t="str">
        <f>'Green_rooibos initial weight'!A1511</f>
        <v>R602</v>
      </c>
      <c r="AC606" t="b">
        <f t="shared" si="187"/>
        <v>0</v>
      </c>
      <c r="AD606" t="b">
        <f t="shared" si="188"/>
        <v>0</v>
      </c>
      <c r="BN606" t="str">
        <f t="shared" si="184"/>
        <v>G594</v>
      </c>
    </row>
    <row r="607" spans="2:66" ht="12" customHeight="1">
      <c r="B607">
        <f>TBIDry!H679</f>
        <v>0</v>
      </c>
      <c r="C607">
        <f>TBIDry!I679</f>
        <v>0</v>
      </c>
      <c r="D607" t="b">
        <f t="shared" si="185"/>
        <v>1</v>
      </c>
      <c r="E607" t="b">
        <f t="shared" si="186"/>
        <v>1</v>
      </c>
      <c r="AA607" t="str">
        <f>'Green_rooibos initial weight'!A608</f>
        <v>G604</v>
      </c>
      <c r="AB607" t="str">
        <f>'Green_rooibos initial weight'!A1512</f>
        <v>R603</v>
      </c>
      <c r="AC607" t="b">
        <f t="shared" si="187"/>
        <v>0</v>
      </c>
      <c r="AD607" t="b">
        <f t="shared" si="188"/>
        <v>0</v>
      </c>
      <c r="BN607" t="str">
        <f t="shared" si="184"/>
        <v>G595</v>
      </c>
    </row>
    <row r="608" spans="2:66" ht="12" customHeight="1">
      <c r="B608">
        <f>TBIDry!H680</f>
        <v>0</v>
      </c>
      <c r="C608">
        <f>TBIDry!I680</f>
        <v>0</v>
      </c>
      <c r="D608" t="b">
        <f t="shared" si="185"/>
        <v>1</v>
      </c>
      <c r="E608" t="b">
        <f t="shared" si="186"/>
        <v>1</v>
      </c>
      <c r="AA608" t="str">
        <f>'Green_rooibos initial weight'!A609</f>
        <v>G605</v>
      </c>
      <c r="AB608" t="str">
        <f>'Green_rooibos initial weight'!A1513</f>
        <v>R604</v>
      </c>
      <c r="AC608" t="b">
        <f t="shared" si="187"/>
        <v>0</v>
      </c>
      <c r="AD608" t="b">
        <f t="shared" si="188"/>
        <v>0</v>
      </c>
      <c r="BN608" t="str">
        <f t="shared" si="184"/>
        <v>G599</v>
      </c>
    </row>
    <row r="609" spans="2:66" ht="12" customHeight="1">
      <c r="B609">
        <f>TBIDry!H681</f>
        <v>0</v>
      </c>
      <c r="C609">
        <f>TBIDry!I681</f>
        <v>0</v>
      </c>
      <c r="D609" t="b">
        <f t="shared" si="185"/>
        <v>1</v>
      </c>
      <c r="E609" t="b">
        <f t="shared" si="186"/>
        <v>1</v>
      </c>
      <c r="AA609" t="str">
        <f>'Green_rooibos initial weight'!A610</f>
        <v>G606</v>
      </c>
      <c r="AB609" t="str">
        <f>'Green_rooibos initial weight'!A1514</f>
        <v>R605</v>
      </c>
      <c r="AC609" t="b">
        <f t="shared" si="187"/>
        <v>0</v>
      </c>
      <c r="AD609" t="b">
        <f t="shared" si="188"/>
        <v>0</v>
      </c>
      <c r="BN609" t="str">
        <f t="shared" si="184"/>
        <v>G600</v>
      </c>
    </row>
    <row r="610" spans="2:66" ht="12" customHeight="1">
      <c r="B610">
        <f>TBIDry!H682</f>
        <v>0</v>
      </c>
      <c r="C610">
        <f>TBIDry!I682</f>
        <v>0</v>
      </c>
      <c r="D610" t="b">
        <f t="shared" si="185"/>
        <v>1</v>
      </c>
      <c r="E610" t="b">
        <f t="shared" si="186"/>
        <v>1</v>
      </c>
      <c r="AA610" t="str">
        <f>'Green_rooibos initial weight'!A611</f>
        <v>G607</v>
      </c>
      <c r="AB610" t="str">
        <f>'Green_rooibos initial weight'!A1515</f>
        <v>R606</v>
      </c>
      <c r="AC610" t="b">
        <f t="shared" si="187"/>
        <v>0</v>
      </c>
      <c r="AD610" t="b">
        <f t="shared" si="188"/>
        <v>0</v>
      </c>
      <c r="BN610" t="str">
        <f t="shared" si="184"/>
        <v>G602</v>
      </c>
    </row>
    <row r="611" spans="2:66" ht="12" customHeight="1">
      <c r="B611">
        <f>TBIDry!H683</f>
        <v>0</v>
      </c>
      <c r="C611">
        <f>TBIDry!I683</f>
        <v>0</v>
      </c>
      <c r="D611" t="b">
        <f t="shared" si="185"/>
        <v>1</v>
      </c>
      <c r="E611" t="b">
        <f t="shared" si="186"/>
        <v>1</v>
      </c>
      <c r="AA611" t="str">
        <f>'Green_rooibos initial weight'!A612</f>
        <v>G608</v>
      </c>
      <c r="AB611" t="str">
        <f>'Green_rooibos initial weight'!A1516</f>
        <v>R607</v>
      </c>
      <c r="AC611" t="b">
        <f t="shared" si="187"/>
        <v>0</v>
      </c>
      <c r="AD611" t="b">
        <f t="shared" si="188"/>
        <v>0</v>
      </c>
      <c r="BN611" t="str">
        <f t="shared" si="184"/>
        <v>G603</v>
      </c>
    </row>
    <row r="612" spans="2:66" ht="12" customHeight="1">
      <c r="B612">
        <f>TBIDry!H684</f>
        <v>0</v>
      </c>
      <c r="C612">
        <f>TBIDry!I684</f>
        <v>0</v>
      </c>
      <c r="D612" t="b">
        <f t="shared" si="185"/>
        <v>1</v>
      </c>
      <c r="E612" t="b">
        <f t="shared" si="186"/>
        <v>1</v>
      </c>
      <c r="AA612" t="str">
        <f>'Green_rooibos initial weight'!A613</f>
        <v>G609</v>
      </c>
      <c r="AB612" t="str">
        <f>'Green_rooibos initial weight'!A1517</f>
        <v>R608</v>
      </c>
      <c r="AC612" t="b">
        <f t="shared" si="187"/>
        <v>0</v>
      </c>
      <c r="AD612" t="b">
        <f t="shared" si="188"/>
        <v>0</v>
      </c>
      <c r="BN612" t="str">
        <f t="shared" si="184"/>
        <v>G604</v>
      </c>
    </row>
    <row r="613" spans="2:66" ht="12" customHeight="1">
      <c r="B613">
        <f>TBIDry!H685</f>
        <v>0</v>
      </c>
      <c r="C613">
        <f>TBIDry!I685</f>
        <v>0</v>
      </c>
      <c r="D613" t="b">
        <f t="shared" si="185"/>
        <v>1</v>
      </c>
      <c r="E613" t="b">
        <f t="shared" si="186"/>
        <v>1</v>
      </c>
      <c r="AA613" t="str">
        <f>'Green_rooibos initial weight'!A614</f>
        <v>G610</v>
      </c>
      <c r="AB613" t="str">
        <f>'Green_rooibos initial weight'!A1518</f>
        <v>R609</v>
      </c>
      <c r="AC613" t="b">
        <f t="shared" si="187"/>
        <v>0</v>
      </c>
      <c r="AD613" t="b">
        <f t="shared" si="188"/>
        <v>0</v>
      </c>
      <c r="BN613" t="str">
        <f t="shared" si="184"/>
        <v>G605</v>
      </c>
    </row>
    <row r="614" spans="2:66" ht="12" customHeight="1">
      <c r="B614">
        <f>TBIDry!H686</f>
        <v>0</v>
      </c>
      <c r="C614">
        <f>TBIDry!I686</f>
        <v>0</v>
      </c>
      <c r="D614" t="b">
        <f t="shared" si="185"/>
        <v>1</v>
      </c>
      <c r="E614" t="b">
        <f t="shared" si="186"/>
        <v>1</v>
      </c>
      <c r="AA614" t="str">
        <f>'Green_rooibos initial weight'!A615</f>
        <v>G611</v>
      </c>
      <c r="AB614" t="str">
        <f>'Green_rooibos initial weight'!A1519</f>
        <v>R610</v>
      </c>
      <c r="AC614" t="b">
        <f t="shared" si="187"/>
        <v>0</v>
      </c>
      <c r="AD614" t="b">
        <f t="shared" si="188"/>
        <v>0</v>
      </c>
      <c r="BN614" t="str">
        <f t="shared" si="184"/>
        <v>G606</v>
      </c>
    </row>
    <row r="615" spans="2:66" ht="12" customHeight="1">
      <c r="B615">
        <f>TBIDry!H687</f>
        <v>0</v>
      </c>
      <c r="C615">
        <f>TBIDry!I687</f>
        <v>0</v>
      </c>
      <c r="D615" t="b">
        <f t="shared" si="185"/>
        <v>1</v>
      </c>
      <c r="E615" t="b">
        <f t="shared" si="186"/>
        <v>1</v>
      </c>
      <c r="AA615" t="str">
        <f>'Green_rooibos initial weight'!A616</f>
        <v>G612</v>
      </c>
      <c r="AB615" t="str">
        <f>'Green_rooibos initial weight'!A1520</f>
        <v>R611</v>
      </c>
      <c r="AC615" t="b">
        <f t="shared" si="187"/>
        <v>0</v>
      </c>
      <c r="AD615" t="b">
        <f t="shared" si="188"/>
        <v>0</v>
      </c>
      <c r="BN615" t="str">
        <f t="shared" si="184"/>
        <v>G607</v>
      </c>
    </row>
    <row r="616" spans="2:66" ht="12" customHeight="1">
      <c r="B616">
        <f>TBIDry!H688</f>
        <v>0</v>
      </c>
      <c r="C616">
        <f>TBIDry!I688</f>
        <v>0</v>
      </c>
      <c r="D616" t="b">
        <f t="shared" si="185"/>
        <v>1</v>
      </c>
      <c r="E616" t="b">
        <f t="shared" si="186"/>
        <v>1</v>
      </c>
      <c r="AA616" t="str">
        <f>'Green_rooibos initial weight'!A617</f>
        <v>G613</v>
      </c>
      <c r="AB616" t="str">
        <f>'Green_rooibos initial weight'!A1521</f>
        <v>R612</v>
      </c>
      <c r="AC616" t="b">
        <f t="shared" si="187"/>
        <v>0</v>
      </c>
      <c r="AD616" t="b">
        <f t="shared" si="188"/>
        <v>0</v>
      </c>
      <c r="BN616" t="str">
        <f t="shared" si="184"/>
        <v>G609</v>
      </c>
    </row>
    <row r="617" spans="2:66" ht="12" customHeight="1">
      <c r="B617">
        <f>TBIDry!H689</f>
        <v>0</v>
      </c>
      <c r="C617">
        <f>TBIDry!I689</f>
        <v>0</v>
      </c>
      <c r="D617" t="b">
        <f t="shared" si="185"/>
        <v>1</v>
      </c>
      <c r="E617" t="b">
        <f t="shared" si="186"/>
        <v>1</v>
      </c>
      <c r="AA617" t="str">
        <f>'Green_rooibos initial weight'!A618</f>
        <v>G614</v>
      </c>
      <c r="AB617" t="str">
        <f>'Green_rooibos initial weight'!A1522</f>
        <v>R613</v>
      </c>
      <c r="AC617" t="b">
        <f t="shared" si="187"/>
        <v>0</v>
      </c>
      <c r="AD617" t="b">
        <f t="shared" si="188"/>
        <v>0</v>
      </c>
      <c r="BN617" t="str">
        <f t="shared" ref="BN617:BN680" si="189">L196</f>
        <v>G610</v>
      </c>
    </row>
    <row r="618" spans="2:66" ht="12" customHeight="1">
      <c r="B618">
        <f>TBIDry!H690</f>
        <v>0</v>
      </c>
      <c r="C618">
        <f>TBIDry!I690</f>
        <v>0</v>
      </c>
      <c r="D618" t="b">
        <f t="shared" si="185"/>
        <v>1</v>
      </c>
      <c r="E618" t="b">
        <f t="shared" si="186"/>
        <v>1</v>
      </c>
      <c r="AA618" t="str">
        <f>'Green_rooibos initial weight'!A619</f>
        <v>G615</v>
      </c>
      <c r="AB618" t="str">
        <f>'Green_rooibos initial weight'!A1523</f>
        <v>R614</v>
      </c>
      <c r="AC618" t="b">
        <f t="shared" si="187"/>
        <v>0</v>
      </c>
      <c r="AD618" t="b">
        <f t="shared" si="188"/>
        <v>0</v>
      </c>
      <c r="BN618" t="str">
        <f t="shared" si="189"/>
        <v>G613</v>
      </c>
    </row>
    <row r="619" spans="2:66" ht="12" customHeight="1">
      <c r="B619">
        <f>TBIDry!H691</f>
        <v>0</v>
      </c>
      <c r="C619">
        <f>TBIDry!I691</f>
        <v>0</v>
      </c>
      <c r="D619" t="b">
        <f t="shared" si="185"/>
        <v>1</v>
      </c>
      <c r="E619" t="b">
        <f t="shared" si="186"/>
        <v>1</v>
      </c>
      <c r="AA619" t="str">
        <f>'Green_rooibos initial weight'!A620</f>
        <v>G616</v>
      </c>
      <c r="AB619" t="str">
        <f>'Green_rooibos initial weight'!A1524</f>
        <v>R615</v>
      </c>
      <c r="AC619" t="b">
        <f t="shared" si="187"/>
        <v>0</v>
      </c>
      <c r="AD619" t="b">
        <f t="shared" si="188"/>
        <v>0</v>
      </c>
      <c r="BN619" t="str">
        <f t="shared" si="189"/>
        <v>G614</v>
      </c>
    </row>
    <row r="620" spans="2:66" ht="12" customHeight="1">
      <c r="B620">
        <f>TBIDry!H692</f>
        <v>0</v>
      </c>
      <c r="C620">
        <f>TBIDry!I692</f>
        <v>0</v>
      </c>
      <c r="D620" t="b">
        <f t="shared" si="185"/>
        <v>1</v>
      </c>
      <c r="E620" t="b">
        <f t="shared" si="186"/>
        <v>1</v>
      </c>
      <c r="AA620" t="str">
        <f>'Green_rooibos initial weight'!A621</f>
        <v>G617</v>
      </c>
      <c r="AB620" t="str">
        <f>'Green_rooibos initial weight'!A1525</f>
        <v>R616</v>
      </c>
      <c r="AC620" t="b">
        <f t="shared" si="187"/>
        <v>0</v>
      </c>
      <c r="AD620" t="b">
        <f t="shared" si="188"/>
        <v>0</v>
      </c>
      <c r="BN620" t="str">
        <f t="shared" si="189"/>
        <v>G616</v>
      </c>
    </row>
    <row r="621" spans="2:66" ht="12" customHeight="1">
      <c r="B621">
        <f>TBIDry!H693</f>
        <v>0</v>
      </c>
      <c r="C621">
        <f>TBIDry!I693</f>
        <v>0</v>
      </c>
      <c r="D621" t="b">
        <f t="shared" si="185"/>
        <v>1</v>
      </c>
      <c r="E621" t="b">
        <f t="shared" si="186"/>
        <v>1</v>
      </c>
      <c r="AA621" t="str">
        <f>'Green_rooibos initial weight'!A622</f>
        <v>G618</v>
      </c>
      <c r="AB621" t="str">
        <f>'Green_rooibos initial weight'!A1526</f>
        <v>R617</v>
      </c>
      <c r="AC621" t="b">
        <f t="shared" si="187"/>
        <v>0</v>
      </c>
      <c r="AD621" t="b">
        <f t="shared" si="188"/>
        <v>0</v>
      </c>
      <c r="BN621" t="str">
        <f t="shared" si="189"/>
        <v>G618</v>
      </c>
    </row>
    <row r="622" spans="2:66" ht="12" customHeight="1">
      <c r="B622">
        <f>TBIDry!H694</f>
        <v>0</v>
      </c>
      <c r="C622">
        <f>TBIDry!I694</f>
        <v>0</v>
      </c>
      <c r="D622" t="b">
        <f t="shared" si="185"/>
        <v>1</v>
      </c>
      <c r="E622" t="b">
        <f t="shared" si="186"/>
        <v>1</v>
      </c>
      <c r="AA622" t="str">
        <f>'Green_rooibos initial weight'!A623</f>
        <v>G619</v>
      </c>
      <c r="AB622" t="str">
        <f>'Green_rooibos initial weight'!A1527</f>
        <v>R618</v>
      </c>
      <c r="AC622" t="b">
        <f t="shared" si="187"/>
        <v>0</v>
      </c>
      <c r="AD622" t="b">
        <f t="shared" si="188"/>
        <v>0</v>
      </c>
      <c r="BN622" t="str">
        <f t="shared" si="189"/>
        <v>G619</v>
      </c>
    </row>
    <row r="623" spans="2:66" ht="12" customHeight="1">
      <c r="B623">
        <f>TBIDry!H695</f>
        <v>0</v>
      </c>
      <c r="C623">
        <f>TBIDry!I695</f>
        <v>0</v>
      </c>
      <c r="D623" t="b">
        <f t="shared" si="185"/>
        <v>1</v>
      </c>
      <c r="E623" t="b">
        <f t="shared" si="186"/>
        <v>1</v>
      </c>
      <c r="AA623" t="str">
        <f>'Green_rooibos initial weight'!A624</f>
        <v>G620</v>
      </c>
      <c r="AB623" t="str">
        <f>'Green_rooibos initial weight'!A1528</f>
        <v>R619</v>
      </c>
      <c r="AC623" t="b">
        <f t="shared" si="187"/>
        <v>0</v>
      </c>
      <c r="AD623" t="b">
        <f t="shared" si="188"/>
        <v>0</v>
      </c>
      <c r="BN623" t="str">
        <f t="shared" si="189"/>
        <v>G620</v>
      </c>
    </row>
    <row r="624" spans="2:66" ht="12" customHeight="1">
      <c r="B624">
        <f>TBIDry!H696</f>
        <v>0</v>
      </c>
      <c r="C624">
        <f>TBIDry!I696</f>
        <v>0</v>
      </c>
      <c r="D624" t="b">
        <f t="shared" si="185"/>
        <v>1</v>
      </c>
      <c r="E624" t="b">
        <f t="shared" si="186"/>
        <v>1</v>
      </c>
      <c r="AA624" t="str">
        <f>'Green_rooibos initial weight'!A625</f>
        <v>G621</v>
      </c>
      <c r="AB624" t="str">
        <f>'Green_rooibos initial weight'!A1529</f>
        <v>R620</v>
      </c>
      <c r="AC624" t="b">
        <f t="shared" si="187"/>
        <v>0</v>
      </c>
      <c r="AD624" t="b">
        <f t="shared" si="188"/>
        <v>0</v>
      </c>
      <c r="BN624" t="str">
        <f t="shared" si="189"/>
        <v>G621</v>
      </c>
    </row>
    <row r="625" spans="2:66" ht="12" customHeight="1">
      <c r="B625">
        <f>TBIDry!H697</f>
        <v>0</v>
      </c>
      <c r="C625">
        <f>TBIDry!I697</f>
        <v>0</v>
      </c>
      <c r="D625" t="b">
        <f t="shared" si="185"/>
        <v>1</v>
      </c>
      <c r="E625" t="b">
        <f t="shared" si="186"/>
        <v>1</v>
      </c>
      <c r="AA625" t="str">
        <f>'Green_rooibos initial weight'!A626</f>
        <v>G622</v>
      </c>
      <c r="AB625" t="str">
        <f>'Green_rooibos initial weight'!A1530</f>
        <v>R621</v>
      </c>
      <c r="AC625" t="b">
        <f t="shared" si="187"/>
        <v>0</v>
      </c>
      <c r="AD625" t="b">
        <f t="shared" si="188"/>
        <v>0</v>
      </c>
      <c r="BN625" t="str">
        <f t="shared" si="189"/>
        <v>G623</v>
      </c>
    </row>
    <row r="626" spans="2:66" ht="12" customHeight="1">
      <c r="B626">
        <f>TBIDry!H698</f>
        <v>0</v>
      </c>
      <c r="C626">
        <f>TBIDry!I698</f>
        <v>0</v>
      </c>
      <c r="D626" t="b">
        <f t="shared" si="185"/>
        <v>1</v>
      </c>
      <c r="E626" t="b">
        <f t="shared" si="186"/>
        <v>1</v>
      </c>
      <c r="AA626" t="str">
        <f>'Green_rooibos initial weight'!A627</f>
        <v>G623</v>
      </c>
      <c r="AB626" t="str">
        <f>'Green_rooibos initial weight'!A1531</f>
        <v>R622</v>
      </c>
      <c r="AC626" t="b">
        <f t="shared" si="187"/>
        <v>0</v>
      </c>
      <c r="AD626" t="b">
        <f t="shared" si="188"/>
        <v>0</v>
      </c>
      <c r="BN626" t="str">
        <f t="shared" si="189"/>
        <v>G627</v>
      </c>
    </row>
    <row r="627" spans="2:66" ht="12" customHeight="1">
      <c r="B627">
        <f>TBIDry!H699</f>
        <v>0</v>
      </c>
      <c r="C627">
        <f>TBIDry!I699</f>
        <v>0</v>
      </c>
      <c r="D627" t="b">
        <f t="shared" si="185"/>
        <v>1</v>
      </c>
      <c r="E627" t="b">
        <f t="shared" si="186"/>
        <v>1</v>
      </c>
      <c r="AA627" t="str">
        <f>'Green_rooibos initial weight'!A628</f>
        <v>G624</v>
      </c>
      <c r="AB627" t="str">
        <f>'Green_rooibos initial weight'!A1532</f>
        <v>R623</v>
      </c>
      <c r="AC627" t="b">
        <f t="shared" si="187"/>
        <v>0</v>
      </c>
      <c r="AD627" t="b">
        <f t="shared" si="188"/>
        <v>0</v>
      </c>
      <c r="BN627" t="str">
        <f t="shared" si="189"/>
        <v>G628</v>
      </c>
    </row>
    <row r="628" spans="2:66" ht="12" customHeight="1">
      <c r="B628">
        <f>TBIDry!H700</f>
        <v>0</v>
      </c>
      <c r="C628">
        <f>TBIDry!I700</f>
        <v>0</v>
      </c>
      <c r="D628" t="b">
        <f t="shared" si="185"/>
        <v>1</v>
      </c>
      <c r="E628" t="b">
        <f t="shared" si="186"/>
        <v>1</v>
      </c>
      <c r="AA628" t="str">
        <f>'Green_rooibos initial weight'!A629</f>
        <v>G625</v>
      </c>
      <c r="AB628" t="str">
        <f>'Green_rooibos initial weight'!A1533</f>
        <v>R624</v>
      </c>
      <c r="AC628" t="b">
        <f t="shared" si="187"/>
        <v>0</v>
      </c>
      <c r="AD628" t="b">
        <f t="shared" si="188"/>
        <v>0</v>
      </c>
      <c r="BN628" t="str">
        <f t="shared" si="189"/>
        <v>G632</v>
      </c>
    </row>
    <row r="629" spans="2:66" ht="12" customHeight="1">
      <c r="B629">
        <f>TBIDry!H701</f>
        <v>0</v>
      </c>
      <c r="C629">
        <f>TBIDry!I701</f>
        <v>0</v>
      </c>
      <c r="D629" t="b">
        <f t="shared" si="185"/>
        <v>1</v>
      </c>
      <c r="E629" t="b">
        <f t="shared" si="186"/>
        <v>1</v>
      </c>
      <c r="AA629" t="str">
        <f>'Green_rooibos initial weight'!A630</f>
        <v>G626</v>
      </c>
      <c r="AB629" t="str">
        <f>'Green_rooibos initial weight'!A1534</f>
        <v>R625</v>
      </c>
      <c r="AC629" t="b">
        <f t="shared" si="187"/>
        <v>0</v>
      </c>
      <c r="AD629" t="b">
        <f t="shared" si="188"/>
        <v>0</v>
      </c>
      <c r="BN629" t="str">
        <f t="shared" si="189"/>
        <v>G633</v>
      </c>
    </row>
    <row r="630" spans="2:66" ht="12" customHeight="1">
      <c r="B630">
        <f>TBIDry!H702</f>
        <v>0</v>
      </c>
      <c r="C630">
        <f>TBIDry!I702</f>
        <v>0</v>
      </c>
      <c r="D630" t="b">
        <f t="shared" si="185"/>
        <v>1</v>
      </c>
      <c r="E630" t="b">
        <f t="shared" si="186"/>
        <v>1</v>
      </c>
      <c r="AA630" t="str">
        <f>'Green_rooibos initial weight'!A631</f>
        <v>G627</v>
      </c>
      <c r="AB630" t="str">
        <f>'Green_rooibos initial weight'!A1535</f>
        <v>R626</v>
      </c>
      <c r="AC630" t="b">
        <f t="shared" si="187"/>
        <v>0</v>
      </c>
      <c r="AD630" t="b">
        <f t="shared" si="188"/>
        <v>0</v>
      </c>
      <c r="BN630" t="str">
        <f t="shared" si="189"/>
        <v>G634</v>
      </c>
    </row>
    <row r="631" spans="2:66" ht="12" customHeight="1">
      <c r="B631">
        <f>TBIDry!H703</f>
        <v>0</v>
      </c>
      <c r="C631">
        <f>TBIDry!I703</f>
        <v>0</v>
      </c>
      <c r="D631" t="b">
        <f t="shared" si="185"/>
        <v>1</v>
      </c>
      <c r="E631" t="b">
        <f t="shared" si="186"/>
        <v>1</v>
      </c>
      <c r="AA631" t="str">
        <f>'Green_rooibos initial weight'!A632</f>
        <v>G628</v>
      </c>
      <c r="AB631" t="str">
        <f>'Green_rooibos initial weight'!A1536</f>
        <v>R627</v>
      </c>
      <c r="AC631" t="b">
        <f t="shared" si="187"/>
        <v>0</v>
      </c>
      <c r="AD631" t="b">
        <f t="shared" si="188"/>
        <v>0</v>
      </c>
      <c r="BN631" t="str">
        <f t="shared" si="189"/>
        <v>G636</v>
      </c>
    </row>
    <row r="632" spans="2:66" ht="12" customHeight="1">
      <c r="B632">
        <f>TBIDry!H704</f>
        <v>0</v>
      </c>
      <c r="C632">
        <f>TBIDry!I704</f>
        <v>0</v>
      </c>
      <c r="D632" t="b">
        <f t="shared" si="185"/>
        <v>1</v>
      </c>
      <c r="E632" t="b">
        <f t="shared" si="186"/>
        <v>1</v>
      </c>
      <c r="AA632" t="str">
        <f>'Green_rooibos initial weight'!A633</f>
        <v>G629</v>
      </c>
      <c r="AB632" t="str">
        <f>'Green_rooibos initial weight'!A1537</f>
        <v>R628</v>
      </c>
      <c r="AC632" t="b">
        <f t="shared" si="187"/>
        <v>0</v>
      </c>
      <c r="AD632" t="b">
        <f t="shared" si="188"/>
        <v>0</v>
      </c>
      <c r="BN632" t="str">
        <f t="shared" si="189"/>
        <v>G637</v>
      </c>
    </row>
    <row r="633" spans="2:66" ht="12" customHeight="1">
      <c r="B633">
        <f>TBIDry!H705</f>
        <v>0</v>
      </c>
      <c r="C633">
        <f>TBIDry!I705</f>
        <v>0</v>
      </c>
      <c r="D633" t="b">
        <f t="shared" si="185"/>
        <v>1</v>
      </c>
      <c r="E633" t="b">
        <f t="shared" si="186"/>
        <v>1</v>
      </c>
      <c r="AA633" t="str">
        <f>'Green_rooibos initial weight'!A634</f>
        <v>G630</v>
      </c>
      <c r="AB633" t="str">
        <f>'Green_rooibos initial weight'!A1538</f>
        <v>R629</v>
      </c>
      <c r="AC633" t="b">
        <f t="shared" si="187"/>
        <v>0</v>
      </c>
      <c r="AD633" t="b">
        <f t="shared" si="188"/>
        <v>0</v>
      </c>
      <c r="BN633" t="str">
        <f t="shared" si="189"/>
        <v>G638</v>
      </c>
    </row>
    <row r="634" spans="2:66" ht="12" customHeight="1">
      <c r="B634">
        <f>TBIDry!H706</f>
        <v>0</v>
      </c>
      <c r="C634">
        <f>TBIDry!I706</f>
        <v>0</v>
      </c>
      <c r="D634" t="b">
        <f t="shared" si="185"/>
        <v>1</v>
      </c>
      <c r="E634" t="b">
        <f t="shared" si="186"/>
        <v>1</v>
      </c>
      <c r="AA634" t="str">
        <f>'Green_rooibos initial weight'!A635</f>
        <v>G631</v>
      </c>
      <c r="AB634" t="str">
        <f>'Green_rooibos initial weight'!A1539</f>
        <v>R630</v>
      </c>
      <c r="AC634" t="b">
        <f t="shared" si="187"/>
        <v>0</v>
      </c>
      <c r="AD634" t="b">
        <f t="shared" si="188"/>
        <v>0</v>
      </c>
      <c r="BN634" t="str">
        <f t="shared" si="189"/>
        <v>G639</v>
      </c>
    </row>
    <row r="635" spans="2:66" ht="12" customHeight="1">
      <c r="B635">
        <f>TBIDry!H707</f>
        <v>0</v>
      </c>
      <c r="C635">
        <f>TBIDry!I707</f>
        <v>0</v>
      </c>
      <c r="D635" t="b">
        <f t="shared" si="185"/>
        <v>1</v>
      </c>
      <c r="E635" t="b">
        <f t="shared" si="186"/>
        <v>1</v>
      </c>
      <c r="AA635" t="str">
        <f>'Green_rooibos initial weight'!A636</f>
        <v>G632</v>
      </c>
      <c r="AB635" t="str">
        <f>'Green_rooibos initial weight'!A1540</f>
        <v>R631</v>
      </c>
      <c r="AC635" t="b">
        <f t="shared" si="187"/>
        <v>0</v>
      </c>
      <c r="AD635" t="b">
        <f t="shared" si="188"/>
        <v>0</v>
      </c>
      <c r="BN635" t="str">
        <f t="shared" si="189"/>
        <v>G640</v>
      </c>
    </row>
    <row r="636" spans="2:66" ht="12" customHeight="1">
      <c r="B636">
        <f>TBIDry!H708</f>
        <v>0</v>
      </c>
      <c r="C636">
        <f>TBIDry!I708</f>
        <v>0</v>
      </c>
      <c r="D636" t="b">
        <f t="shared" si="185"/>
        <v>1</v>
      </c>
      <c r="E636" t="b">
        <f t="shared" si="186"/>
        <v>1</v>
      </c>
      <c r="AA636" t="str">
        <f>'Green_rooibos initial weight'!A637</f>
        <v>G633</v>
      </c>
      <c r="AB636" t="str">
        <f>'Green_rooibos initial weight'!A1541</f>
        <v>R632</v>
      </c>
      <c r="AC636" t="b">
        <f t="shared" si="187"/>
        <v>0</v>
      </c>
      <c r="AD636" t="b">
        <f t="shared" si="188"/>
        <v>0</v>
      </c>
      <c r="BN636" t="str">
        <f t="shared" si="189"/>
        <v>G641</v>
      </c>
    </row>
    <row r="637" spans="2:66" ht="12" customHeight="1">
      <c r="B637">
        <f>TBIDry!H709</f>
        <v>0</v>
      </c>
      <c r="C637">
        <f>TBIDry!I709</f>
        <v>0</v>
      </c>
      <c r="D637" t="b">
        <f t="shared" si="185"/>
        <v>1</v>
      </c>
      <c r="E637" t="b">
        <f t="shared" si="186"/>
        <v>1</v>
      </c>
      <c r="AA637" t="str">
        <f>'Green_rooibos initial weight'!A638</f>
        <v>G634</v>
      </c>
      <c r="AB637" t="str">
        <f>'Green_rooibos initial weight'!A1542</f>
        <v>R633</v>
      </c>
      <c r="AC637" t="b">
        <f t="shared" si="187"/>
        <v>0</v>
      </c>
      <c r="AD637" t="b">
        <f t="shared" si="188"/>
        <v>0</v>
      </c>
      <c r="BN637" t="str">
        <f t="shared" si="189"/>
        <v>G643</v>
      </c>
    </row>
    <row r="638" spans="2:66" ht="12" customHeight="1">
      <c r="B638">
        <f>TBIDry!H710</f>
        <v>0</v>
      </c>
      <c r="C638">
        <f>TBIDry!I710</f>
        <v>0</v>
      </c>
      <c r="D638" t="b">
        <f t="shared" si="185"/>
        <v>1</v>
      </c>
      <c r="E638" t="b">
        <f t="shared" si="186"/>
        <v>1</v>
      </c>
      <c r="AA638" t="str">
        <f>'Green_rooibos initial weight'!A639</f>
        <v>G635</v>
      </c>
      <c r="AB638" t="str">
        <f>'Green_rooibos initial weight'!A1543</f>
        <v>R634</v>
      </c>
      <c r="AC638" t="b">
        <f t="shared" si="187"/>
        <v>0</v>
      </c>
      <c r="AD638" t="b">
        <f t="shared" si="188"/>
        <v>0</v>
      </c>
      <c r="BN638" t="str">
        <f t="shared" si="189"/>
        <v>G644</v>
      </c>
    </row>
    <row r="639" spans="2:66" ht="12" customHeight="1">
      <c r="B639">
        <f>TBIDry!H711</f>
        <v>0</v>
      </c>
      <c r="C639">
        <f>TBIDry!I711</f>
        <v>0</v>
      </c>
      <c r="D639" t="b">
        <f t="shared" si="185"/>
        <v>1</v>
      </c>
      <c r="E639" t="b">
        <f t="shared" si="186"/>
        <v>1</v>
      </c>
      <c r="AA639" t="str">
        <f>'Green_rooibos initial weight'!A640</f>
        <v>G636</v>
      </c>
      <c r="AB639" t="str">
        <f>'Green_rooibos initial weight'!A1544</f>
        <v>R635</v>
      </c>
      <c r="AC639" t="b">
        <f t="shared" si="187"/>
        <v>0</v>
      </c>
      <c r="AD639" t="b">
        <f t="shared" si="188"/>
        <v>0</v>
      </c>
      <c r="BN639" t="str">
        <f t="shared" si="189"/>
        <v>G645</v>
      </c>
    </row>
    <row r="640" spans="2:66" ht="12" customHeight="1">
      <c r="B640">
        <f>TBIDry!H712</f>
        <v>0</v>
      </c>
      <c r="C640">
        <f>TBIDry!I712</f>
        <v>0</v>
      </c>
      <c r="D640" t="b">
        <f t="shared" si="185"/>
        <v>1</v>
      </c>
      <c r="E640" t="b">
        <f t="shared" si="186"/>
        <v>1</v>
      </c>
      <c r="AA640" t="str">
        <f>'Green_rooibos initial weight'!A641</f>
        <v>G637</v>
      </c>
      <c r="AB640" t="str">
        <f>'Green_rooibos initial weight'!A1545</f>
        <v>R636</v>
      </c>
      <c r="AC640" t="b">
        <f t="shared" si="187"/>
        <v>0</v>
      </c>
      <c r="AD640" t="b">
        <f t="shared" si="188"/>
        <v>0</v>
      </c>
      <c r="BN640" t="str">
        <f t="shared" si="189"/>
        <v>G647</v>
      </c>
    </row>
    <row r="641" spans="2:66" ht="12" customHeight="1">
      <c r="B641">
        <f>TBIDry!H713</f>
        <v>0</v>
      </c>
      <c r="C641">
        <f>TBIDry!I713</f>
        <v>0</v>
      </c>
      <c r="D641" t="b">
        <f t="shared" si="185"/>
        <v>1</v>
      </c>
      <c r="E641" t="b">
        <f t="shared" si="186"/>
        <v>1</v>
      </c>
      <c r="AA641" t="str">
        <f>'Green_rooibos initial weight'!A642</f>
        <v>G638</v>
      </c>
      <c r="AB641" t="str">
        <f>'Green_rooibos initial weight'!A1546</f>
        <v>R637</v>
      </c>
      <c r="AC641" t="b">
        <f t="shared" si="187"/>
        <v>0</v>
      </c>
      <c r="AD641" t="b">
        <f t="shared" si="188"/>
        <v>0</v>
      </c>
      <c r="BN641" t="str">
        <f t="shared" si="189"/>
        <v>G648</v>
      </c>
    </row>
    <row r="642" spans="2:66" ht="12" customHeight="1">
      <c r="B642">
        <f>TBIDry!H714</f>
        <v>0</v>
      </c>
      <c r="C642">
        <f>TBIDry!I714</f>
        <v>0</v>
      </c>
      <c r="D642" t="b">
        <f t="shared" si="185"/>
        <v>1</v>
      </c>
      <c r="E642" t="b">
        <f t="shared" si="186"/>
        <v>1</v>
      </c>
      <c r="AA642" t="str">
        <f>'Green_rooibos initial weight'!A643</f>
        <v>G639</v>
      </c>
      <c r="AB642" t="str">
        <f>'Green_rooibos initial weight'!A1547</f>
        <v>R638</v>
      </c>
      <c r="AC642" t="b">
        <f t="shared" si="187"/>
        <v>0</v>
      </c>
      <c r="AD642" t="b">
        <f t="shared" si="188"/>
        <v>0</v>
      </c>
      <c r="BN642" t="str">
        <f t="shared" si="189"/>
        <v>G649</v>
      </c>
    </row>
    <row r="643" spans="2:66" ht="12" customHeight="1">
      <c r="B643">
        <f>TBIDry!H715</f>
        <v>0</v>
      </c>
      <c r="C643">
        <f>TBIDry!I715</f>
        <v>0</v>
      </c>
      <c r="D643" t="b">
        <f t="shared" si="185"/>
        <v>1</v>
      </c>
      <c r="E643" t="b">
        <f t="shared" si="186"/>
        <v>1</v>
      </c>
      <c r="AA643" t="str">
        <f>'Green_rooibos initial weight'!A644</f>
        <v>G640</v>
      </c>
      <c r="AB643" t="str">
        <f>'Green_rooibos initial weight'!A1548</f>
        <v>R639</v>
      </c>
      <c r="AC643" t="b">
        <f t="shared" si="187"/>
        <v>0</v>
      </c>
      <c r="AD643" t="b">
        <f t="shared" si="188"/>
        <v>0</v>
      </c>
      <c r="BN643" t="str">
        <f t="shared" si="189"/>
        <v>G651</v>
      </c>
    </row>
    <row r="644" spans="2:66" ht="12" customHeight="1">
      <c r="B644">
        <f>TBIDry!H716</f>
        <v>0</v>
      </c>
      <c r="C644">
        <f>TBIDry!I716</f>
        <v>0</v>
      </c>
      <c r="D644" t="b">
        <f t="shared" si="185"/>
        <v>1</v>
      </c>
      <c r="E644" t="b">
        <f t="shared" si="186"/>
        <v>1</v>
      </c>
      <c r="AA644" t="str">
        <f>'Green_rooibos initial weight'!A645</f>
        <v>G641</v>
      </c>
      <c r="AB644" t="str">
        <f>'Green_rooibos initial weight'!A1549</f>
        <v>R640</v>
      </c>
      <c r="AC644" t="b">
        <f t="shared" si="187"/>
        <v>0</v>
      </c>
      <c r="AD644" t="b">
        <f t="shared" si="188"/>
        <v>0</v>
      </c>
      <c r="BN644" t="str">
        <f t="shared" si="189"/>
        <v>G653</v>
      </c>
    </row>
    <row r="645" spans="2:66" ht="12" customHeight="1">
      <c r="B645">
        <f>TBIDry!H717</f>
        <v>0</v>
      </c>
      <c r="C645">
        <f>TBIDry!I717</f>
        <v>0</v>
      </c>
      <c r="D645" t="b">
        <f t="shared" ref="D645:D662" si="190">COUNTIF($B$4:$B$2000, B645)&gt;1</f>
        <v>1</v>
      </c>
      <c r="E645" t="b">
        <f t="shared" ref="E645:E662" si="191">COUNTIF($C$4:$C$2000, C645)&gt;1</f>
        <v>1</v>
      </c>
      <c r="AA645" t="str">
        <f>'Green_rooibos initial weight'!A646</f>
        <v>G642</v>
      </c>
      <c r="AB645" t="str">
        <f>'Green_rooibos initial weight'!A1550</f>
        <v>R641</v>
      </c>
      <c r="AC645" t="b">
        <f t="shared" ref="AC645:AC708" si="192">COUNTIF($AA$4:$AA$2000, AA645)&gt;1</f>
        <v>0</v>
      </c>
      <c r="AD645" t="b">
        <f t="shared" ref="AD645:AD708" si="193">COUNTIF($AB$4:$AB$2000, AB645)&gt;1</f>
        <v>0</v>
      </c>
      <c r="BN645" t="str">
        <f t="shared" si="189"/>
        <v>G654</v>
      </c>
    </row>
    <row r="646" spans="2:66" ht="12" customHeight="1">
      <c r="B646">
        <f>TBIDry!H718</f>
        <v>0</v>
      </c>
      <c r="C646">
        <f>TBIDry!I718</f>
        <v>0</v>
      </c>
      <c r="D646" t="b">
        <f t="shared" si="190"/>
        <v>1</v>
      </c>
      <c r="E646" t="b">
        <f t="shared" si="191"/>
        <v>1</v>
      </c>
      <c r="AA646" t="str">
        <f>'Green_rooibos initial weight'!A647</f>
        <v>G643</v>
      </c>
      <c r="AB646" t="str">
        <f>'Green_rooibos initial weight'!A1551</f>
        <v>R642</v>
      </c>
      <c r="AC646" t="b">
        <f t="shared" si="192"/>
        <v>0</v>
      </c>
      <c r="AD646" t="b">
        <f t="shared" si="193"/>
        <v>0</v>
      </c>
      <c r="BN646" t="str">
        <f t="shared" si="189"/>
        <v>G655</v>
      </c>
    </row>
    <row r="647" spans="2:66" ht="12" customHeight="1">
      <c r="B647">
        <f>TBIDry!H719</f>
        <v>0</v>
      </c>
      <c r="C647">
        <f>TBIDry!I719</f>
        <v>0</v>
      </c>
      <c r="D647" t="b">
        <f t="shared" si="190"/>
        <v>1</v>
      </c>
      <c r="E647" t="b">
        <f t="shared" si="191"/>
        <v>1</v>
      </c>
      <c r="AA647" t="str">
        <f>'Green_rooibos initial weight'!A648</f>
        <v>G644</v>
      </c>
      <c r="AB647" t="str">
        <f>'Green_rooibos initial weight'!A1552</f>
        <v>R643</v>
      </c>
      <c r="AC647" t="b">
        <f t="shared" si="192"/>
        <v>0</v>
      </c>
      <c r="AD647" t="b">
        <f t="shared" si="193"/>
        <v>0</v>
      </c>
      <c r="BN647" t="str">
        <f t="shared" si="189"/>
        <v>G656</v>
      </c>
    </row>
    <row r="648" spans="2:66" ht="12" customHeight="1">
      <c r="B648">
        <f>TBIDry!H720</f>
        <v>0</v>
      </c>
      <c r="C648">
        <f>TBIDry!I720</f>
        <v>0</v>
      </c>
      <c r="D648" t="b">
        <f t="shared" si="190"/>
        <v>1</v>
      </c>
      <c r="E648" t="b">
        <f t="shared" si="191"/>
        <v>1</v>
      </c>
      <c r="AA648" t="str">
        <f>'Green_rooibos initial weight'!A649</f>
        <v>G645</v>
      </c>
      <c r="AB648" t="str">
        <f>'Green_rooibos initial weight'!A1553</f>
        <v>R644</v>
      </c>
      <c r="AC648" t="b">
        <f t="shared" si="192"/>
        <v>0</v>
      </c>
      <c r="AD648" t="b">
        <f t="shared" si="193"/>
        <v>0</v>
      </c>
      <c r="BN648" t="str">
        <f t="shared" si="189"/>
        <v>G657</v>
      </c>
    </row>
    <row r="649" spans="2:66" ht="12" customHeight="1">
      <c r="B649">
        <f>TBIDry!H721</f>
        <v>0</v>
      </c>
      <c r="C649">
        <f>TBIDry!I721</f>
        <v>0</v>
      </c>
      <c r="D649" t="b">
        <f t="shared" si="190"/>
        <v>1</v>
      </c>
      <c r="E649" t="b">
        <f t="shared" si="191"/>
        <v>1</v>
      </c>
      <c r="AA649" t="str">
        <f>'Green_rooibos initial weight'!A650</f>
        <v>G646</v>
      </c>
      <c r="AB649" t="str">
        <f>'Green_rooibos initial weight'!A1554</f>
        <v>R645</v>
      </c>
      <c r="AC649" t="b">
        <f t="shared" si="192"/>
        <v>0</v>
      </c>
      <c r="AD649" t="b">
        <f t="shared" si="193"/>
        <v>0</v>
      </c>
      <c r="BN649" t="str">
        <f t="shared" si="189"/>
        <v>G658</v>
      </c>
    </row>
    <row r="650" spans="2:66" ht="12" customHeight="1">
      <c r="B650">
        <f>TBIDry!H722</f>
        <v>0</v>
      </c>
      <c r="C650">
        <f>TBIDry!I722</f>
        <v>0</v>
      </c>
      <c r="D650" t="b">
        <f t="shared" si="190"/>
        <v>1</v>
      </c>
      <c r="E650" t="b">
        <f t="shared" si="191"/>
        <v>1</v>
      </c>
      <c r="AA650" t="str">
        <f>'Green_rooibos initial weight'!A651</f>
        <v>G647</v>
      </c>
      <c r="AB650" t="str">
        <f>'Green_rooibos initial weight'!A1555</f>
        <v>R646</v>
      </c>
      <c r="AC650" t="b">
        <f t="shared" si="192"/>
        <v>0</v>
      </c>
      <c r="AD650" t="b">
        <f t="shared" si="193"/>
        <v>0</v>
      </c>
      <c r="BN650" t="str">
        <f t="shared" si="189"/>
        <v>G660</v>
      </c>
    </row>
    <row r="651" spans="2:66" ht="12" customHeight="1">
      <c r="B651">
        <f>TBIDry!H723</f>
        <v>0</v>
      </c>
      <c r="C651">
        <f>TBIDry!I723</f>
        <v>0</v>
      </c>
      <c r="D651" t="b">
        <f t="shared" si="190"/>
        <v>1</v>
      </c>
      <c r="E651" t="b">
        <f t="shared" si="191"/>
        <v>1</v>
      </c>
      <c r="AA651" t="str">
        <f>'Green_rooibos initial weight'!A652</f>
        <v>G648</v>
      </c>
      <c r="AB651" t="str">
        <f>'Green_rooibos initial weight'!A1556</f>
        <v>R647</v>
      </c>
      <c r="AC651" t="b">
        <f t="shared" si="192"/>
        <v>0</v>
      </c>
      <c r="AD651" t="b">
        <f t="shared" si="193"/>
        <v>0</v>
      </c>
      <c r="BN651" t="str">
        <f t="shared" si="189"/>
        <v>G665</v>
      </c>
    </row>
    <row r="652" spans="2:66" ht="12" customHeight="1">
      <c r="B652">
        <f>TBIDry!H724</f>
        <v>0</v>
      </c>
      <c r="C652">
        <f>TBIDry!I724</f>
        <v>0</v>
      </c>
      <c r="D652" t="b">
        <f t="shared" si="190"/>
        <v>1</v>
      </c>
      <c r="E652" t="b">
        <f t="shared" si="191"/>
        <v>1</v>
      </c>
      <c r="AA652" t="str">
        <f>'Green_rooibos initial weight'!A653</f>
        <v>G649</v>
      </c>
      <c r="AB652" t="str">
        <f>'Green_rooibos initial weight'!A1557</f>
        <v>R648</v>
      </c>
      <c r="AC652" t="b">
        <f t="shared" si="192"/>
        <v>0</v>
      </c>
      <c r="AD652" t="b">
        <f t="shared" si="193"/>
        <v>0</v>
      </c>
      <c r="BN652" t="str">
        <f t="shared" si="189"/>
        <v>G666</v>
      </c>
    </row>
    <row r="653" spans="2:66" ht="12" customHeight="1">
      <c r="B653">
        <f>TBIDry!H725</f>
        <v>0</v>
      </c>
      <c r="C653">
        <f>TBIDry!I725</f>
        <v>0</v>
      </c>
      <c r="D653" t="b">
        <f t="shared" si="190"/>
        <v>1</v>
      </c>
      <c r="E653" t="b">
        <f t="shared" si="191"/>
        <v>1</v>
      </c>
      <c r="AA653" t="str">
        <f>'Green_rooibos initial weight'!A654</f>
        <v>G650</v>
      </c>
      <c r="AB653" t="str">
        <f>'Green_rooibos initial weight'!A1558</f>
        <v>R649</v>
      </c>
      <c r="AC653" t="b">
        <f t="shared" si="192"/>
        <v>0</v>
      </c>
      <c r="AD653" t="b">
        <f t="shared" si="193"/>
        <v>0</v>
      </c>
      <c r="BN653" t="str">
        <f t="shared" si="189"/>
        <v>G667</v>
      </c>
    </row>
    <row r="654" spans="2:66" ht="12" customHeight="1">
      <c r="B654">
        <f>TBIDry!H726</f>
        <v>0</v>
      </c>
      <c r="C654">
        <f>TBIDry!I726</f>
        <v>0</v>
      </c>
      <c r="D654" t="b">
        <f t="shared" si="190"/>
        <v>1</v>
      </c>
      <c r="E654" t="b">
        <f t="shared" si="191"/>
        <v>1</v>
      </c>
      <c r="AA654" t="str">
        <f>'Green_rooibos initial weight'!A655</f>
        <v>G651</v>
      </c>
      <c r="AB654" t="str">
        <f>'Green_rooibos initial weight'!A1559</f>
        <v>R650</v>
      </c>
      <c r="AC654" t="b">
        <f t="shared" si="192"/>
        <v>0</v>
      </c>
      <c r="AD654" t="b">
        <f t="shared" si="193"/>
        <v>0</v>
      </c>
      <c r="BN654" t="str">
        <f t="shared" si="189"/>
        <v>G668</v>
      </c>
    </row>
    <row r="655" spans="2:66" ht="12" customHeight="1">
      <c r="B655">
        <f>TBIDry!H727</f>
        <v>0</v>
      </c>
      <c r="C655">
        <f>TBIDry!I727</f>
        <v>0</v>
      </c>
      <c r="D655" t="b">
        <f t="shared" si="190"/>
        <v>1</v>
      </c>
      <c r="E655" t="b">
        <f t="shared" si="191"/>
        <v>1</v>
      </c>
      <c r="AA655" t="str">
        <f>'Green_rooibos initial weight'!A656</f>
        <v>G652</v>
      </c>
      <c r="AB655" t="str">
        <f>'Green_rooibos initial weight'!A1560</f>
        <v>R651</v>
      </c>
      <c r="AC655" t="b">
        <f t="shared" si="192"/>
        <v>0</v>
      </c>
      <c r="AD655" t="b">
        <f t="shared" si="193"/>
        <v>0</v>
      </c>
      <c r="BN655" t="str">
        <f t="shared" si="189"/>
        <v>G669</v>
      </c>
    </row>
    <row r="656" spans="2:66" ht="12" customHeight="1">
      <c r="B656">
        <f>TBIDry!H728</f>
        <v>0</v>
      </c>
      <c r="C656">
        <f>TBIDry!I728</f>
        <v>0</v>
      </c>
      <c r="D656" t="b">
        <f t="shared" si="190"/>
        <v>1</v>
      </c>
      <c r="E656" t="b">
        <f t="shared" si="191"/>
        <v>1</v>
      </c>
      <c r="AA656" t="str">
        <f>'Green_rooibos initial weight'!A657</f>
        <v>G653</v>
      </c>
      <c r="AB656" t="str">
        <f>'Green_rooibos initial weight'!A1561</f>
        <v>R652</v>
      </c>
      <c r="AC656" t="b">
        <f t="shared" si="192"/>
        <v>0</v>
      </c>
      <c r="AD656" t="b">
        <f t="shared" si="193"/>
        <v>0</v>
      </c>
      <c r="BN656" t="str">
        <f t="shared" si="189"/>
        <v>G670</v>
      </c>
    </row>
    <row r="657" spans="2:66" ht="12" customHeight="1">
      <c r="B657">
        <f>TBIDry!H729</f>
        <v>0</v>
      </c>
      <c r="C657">
        <f>TBIDry!I729</f>
        <v>0</v>
      </c>
      <c r="D657" t="b">
        <f t="shared" si="190"/>
        <v>1</v>
      </c>
      <c r="E657" t="b">
        <f t="shared" si="191"/>
        <v>1</v>
      </c>
      <c r="AA657" t="str">
        <f>'Green_rooibos initial weight'!A658</f>
        <v>G654</v>
      </c>
      <c r="AB657" t="str">
        <f>'Green_rooibos initial weight'!A1562</f>
        <v>R653</v>
      </c>
      <c r="AC657" t="b">
        <f t="shared" si="192"/>
        <v>0</v>
      </c>
      <c r="AD657" t="b">
        <f t="shared" si="193"/>
        <v>0</v>
      </c>
      <c r="BN657" t="str">
        <f t="shared" si="189"/>
        <v>G673</v>
      </c>
    </row>
    <row r="658" spans="2:66" ht="12" customHeight="1">
      <c r="B658">
        <f>TBIDry!H730</f>
        <v>0</v>
      </c>
      <c r="C658">
        <f>TBIDry!I730</f>
        <v>0</v>
      </c>
      <c r="D658" t="b">
        <f t="shared" si="190"/>
        <v>1</v>
      </c>
      <c r="E658" t="b">
        <f t="shared" si="191"/>
        <v>1</v>
      </c>
      <c r="AA658" t="str">
        <f>'Green_rooibos initial weight'!A659</f>
        <v>G655</v>
      </c>
      <c r="AB658" t="str">
        <f>'Green_rooibos initial weight'!A1563</f>
        <v>R654</v>
      </c>
      <c r="AC658" t="b">
        <f t="shared" si="192"/>
        <v>0</v>
      </c>
      <c r="AD658" t="b">
        <f t="shared" si="193"/>
        <v>0</v>
      </c>
      <c r="BN658" t="str">
        <f t="shared" si="189"/>
        <v>G674</v>
      </c>
    </row>
    <row r="659" spans="2:66" ht="12" customHeight="1">
      <c r="B659">
        <f>TBIDry!H731</f>
        <v>0</v>
      </c>
      <c r="C659">
        <f>TBIDry!I731</f>
        <v>0</v>
      </c>
      <c r="D659" t="b">
        <f t="shared" si="190"/>
        <v>1</v>
      </c>
      <c r="E659" t="b">
        <f t="shared" si="191"/>
        <v>1</v>
      </c>
      <c r="AA659" t="str">
        <f>'Green_rooibos initial weight'!A660</f>
        <v>G656</v>
      </c>
      <c r="AB659" t="str">
        <f>'Green_rooibos initial weight'!A1564</f>
        <v>R655</v>
      </c>
      <c r="AC659" t="b">
        <f t="shared" si="192"/>
        <v>0</v>
      </c>
      <c r="AD659" t="b">
        <f t="shared" si="193"/>
        <v>0</v>
      </c>
      <c r="BN659" t="str">
        <f t="shared" si="189"/>
        <v>G675</v>
      </c>
    </row>
    <row r="660" spans="2:66" ht="12" customHeight="1">
      <c r="B660">
        <f>TBIDry!H732</f>
        <v>0</v>
      </c>
      <c r="C660">
        <f>TBIDry!I732</f>
        <v>0</v>
      </c>
      <c r="D660" t="b">
        <f t="shared" si="190"/>
        <v>1</v>
      </c>
      <c r="E660" t="b">
        <f t="shared" si="191"/>
        <v>1</v>
      </c>
      <c r="AA660" t="str">
        <f>'Green_rooibos initial weight'!A661</f>
        <v>G657</v>
      </c>
      <c r="AB660" t="str">
        <f>'Green_rooibos initial weight'!A1565</f>
        <v>R656</v>
      </c>
      <c r="AC660" t="b">
        <f t="shared" si="192"/>
        <v>0</v>
      </c>
      <c r="AD660" t="b">
        <f t="shared" si="193"/>
        <v>0</v>
      </c>
      <c r="BN660" t="str">
        <f t="shared" si="189"/>
        <v>G676</v>
      </c>
    </row>
    <row r="661" spans="2:66" ht="12" customHeight="1">
      <c r="B661">
        <f>TBIDry!H733</f>
        <v>0</v>
      </c>
      <c r="C661">
        <f>TBIDry!I733</f>
        <v>0</v>
      </c>
      <c r="D661" t="b">
        <f t="shared" si="190"/>
        <v>1</v>
      </c>
      <c r="E661" t="b">
        <f t="shared" si="191"/>
        <v>1</v>
      </c>
      <c r="AA661" t="str">
        <f>'Green_rooibos initial weight'!A662</f>
        <v>G658</v>
      </c>
      <c r="AB661" t="str">
        <f>'Green_rooibos initial weight'!A1566</f>
        <v>R657</v>
      </c>
      <c r="AC661" t="b">
        <f t="shared" si="192"/>
        <v>0</v>
      </c>
      <c r="AD661" t="b">
        <f t="shared" si="193"/>
        <v>0</v>
      </c>
      <c r="BN661" t="str">
        <f t="shared" si="189"/>
        <v>G677</v>
      </c>
    </row>
    <row r="662" spans="2:66" ht="12" customHeight="1">
      <c r="B662">
        <f>TBIDry!H734</f>
        <v>0</v>
      </c>
      <c r="C662">
        <f>TBIDry!I734</f>
        <v>0</v>
      </c>
      <c r="D662" t="b">
        <f t="shared" si="190"/>
        <v>1</v>
      </c>
      <c r="E662" t="b">
        <f t="shared" si="191"/>
        <v>1</v>
      </c>
      <c r="AA662" t="str">
        <f>'Green_rooibos initial weight'!A663</f>
        <v>G659</v>
      </c>
      <c r="AB662" t="str">
        <f>'Green_rooibos initial weight'!A1567</f>
        <v>R658</v>
      </c>
      <c r="AC662" t="b">
        <f t="shared" si="192"/>
        <v>0</v>
      </c>
      <c r="AD662" t="b">
        <f t="shared" si="193"/>
        <v>0</v>
      </c>
      <c r="BN662" t="str">
        <f t="shared" si="189"/>
        <v>G678</v>
      </c>
    </row>
    <row r="663" spans="2:66" ht="12" customHeight="1">
      <c r="AA663" t="str">
        <f>'Green_rooibos initial weight'!A664</f>
        <v>G660</v>
      </c>
      <c r="AB663" t="str">
        <f>'Green_rooibos initial weight'!A1568</f>
        <v>R659</v>
      </c>
      <c r="AC663" t="b">
        <f t="shared" si="192"/>
        <v>0</v>
      </c>
      <c r="AD663" t="b">
        <f t="shared" si="193"/>
        <v>0</v>
      </c>
      <c r="BN663" t="str">
        <f t="shared" si="189"/>
        <v>G679</v>
      </c>
    </row>
    <row r="664" spans="2:66" ht="12" customHeight="1">
      <c r="AA664" t="str">
        <f>'Green_rooibos initial weight'!A665</f>
        <v>G661</v>
      </c>
      <c r="AB664" t="str">
        <f>'Green_rooibos initial weight'!A1569</f>
        <v>R660</v>
      </c>
      <c r="AC664" t="b">
        <f t="shared" si="192"/>
        <v>0</v>
      </c>
      <c r="AD664" t="b">
        <f t="shared" si="193"/>
        <v>0</v>
      </c>
      <c r="BN664" t="str">
        <f t="shared" si="189"/>
        <v>G680</v>
      </c>
    </row>
    <row r="665" spans="2:66" ht="12" customHeight="1">
      <c r="AA665" t="str">
        <f>'Green_rooibos initial weight'!A666</f>
        <v>G662</v>
      </c>
      <c r="AB665" t="str">
        <f>'Green_rooibos initial weight'!A1570</f>
        <v>R661</v>
      </c>
      <c r="AC665" t="b">
        <f t="shared" si="192"/>
        <v>0</v>
      </c>
      <c r="AD665" t="b">
        <f t="shared" si="193"/>
        <v>0</v>
      </c>
      <c r="BN665" t="str">
        <f t="shared" si="189"/>
        <v>G681</v>
      </c>
    </row>
    <row r="666" spans="2:66" ht="12" customHeight="1">
      <c r="AA666" t="str">
        <f>'Green_rooibos initial weight'!A667</f>
        <v>G663</v>
      </c>
      <c r="AB666" t="str">
        <f>'Green_rooibos initial weight'!A1571</f>
        <v>R662</v>
      </c>
      <c r="AC666" t="b">
        <f t="shared" si="192"/>
        <v>0</v>
      </c>
      <c r="AD666" t="b">
        <f t="shared" si="193"/>
        <v>0</v>
      </c>
      <c r="BN666" t="str">
        <f t="shared" si="189"/>
        <v>G682</v>
      </c>
    </row>
    <row r="667" spans="2:66" ht="12" customHeight="1">
      <c r="AA667" t="str">
        <f>'Green_rooibos initial weight'!A668</f>
        <v>G664</v>
      </c>
      <c r="AB667" t="str">
        <f>'Green_rooibos initial weight'!A1572</f>
        <v>R663</v>
      </c>
      <c r="AC667" t="b">
        <f t="shared" si="192"/>
        <v>0</v>
      </c>
      <c r="AD667" t="b">
        <f t="shared" si="193"/>
        <v>0</v>
      </c>
      <c r="BN667" t="str">
        <f t="shared" si="189"/>
        <v>G684</v>
      </c>
    </row>
    <row r="668" spans="2:66" ht="12" customHeight="1">
      <c r="AA668" t="str">
        <f>'Green_rooibos initial weight'!A669</f>
        <v>G665</v>
      </c>
      <c r="AB668" t="str">
        <f>'Green_rooibos initial weight'!A1573</f>
        <v>R664</v>
      </c>
      <c r="AC668" t="b">
        <f t="shared" si="192"/>
        <v>0</v>
      </c>
      <c r="AD668" t="b">
        <f t="shared" si="193"/>
        <v>0</v>
      </c>
      <c r="BN668" t="str">
        <f t="shared" si="189"/>
        <v>G685</v>
      </c>
    </row>
    <row r="669" spans="2:66" ht="12" customHeight="1">
      <c r="AA669" t="str">
        <f>'Green_rooibos initial weight'!A670</f>
        <v>G666</v>
      </c>
      <c r="AB669" t="str">
        <f>'Green_rooibos initial weight'!A1574</f>
        <v>R665</v>
      </c>
      <c r="AC669" t="b">
        <f t="shared" si="192"/>
        <v>0</v>
      </c>
      <c r="AD669" t="b">
        <f t="shared" si="193"/>
        <v>0</v>
      </c>
      <c r="BN669" t="str">
        <f t="shared" si="189"/>
        <v>G686</v>
      </c>
    </row>
    <row r="670" spans="2:66" ht="12" customHeight="1">
      <c r="AA670" t="str">
        <f>'Green_rooibos initial weight'!A671</f>
        <v>G667</v>
      </c>
      <c r="AB670" t="str">
        <f>'Green_rooibos initial weight'!A1575</f>
        <v>R666</v>
      </c>
      <c r="AC670" t="b">
        <f t="shared" si="192"/>
        <v>0</v>
      </c>
      <c r="AD670" t="b">
        <f t="shared" si="193"/>
        <v>0</v>
      </c>
      <c r="BN670" t="str">
        <f t="shared" si="189"/>
        <v>G687</v>
      </c>
    </row>
    <row r="671" spans="2:66" ht="12" customHeight="1">
      <c r="AA671" t="str">
        <f>'Green_rooibos initial weight'!A672</f>
        <v>G668</v>
      </c>
      <c r="AB671" t="str">
        <f>'Green_rooibos initial weight'!A1576</f>
        <v>R667</v>
      </c>
      <c r="AC671" t="b">
        <f t="shared" si="192"/>
        <v>0</v>
      </c>
      <c r="AD671" t="b">
        <f t="shared" si="193"/>
        <v>0</v>
      </c>
      <c r="BN671" t="str">
        <f t="shared" si="189"/>
        <v>G688</v>
      </c>
    </row>
    <row r="672" spans="2:66" ht="12" customHeight="1">
      <c r="AA672" t="str">
        <f>'Green_rooibos initial weight'!A673</f>
        <v>G669</v>
      </c>
      <c r="AB672" t="str">
        <f>'Green_rooibos initial weight'!A1577</f>
        <v>R668</v>
      </c>
      <c r="AC672" t="b">
        <f t="shared" si="192"/>
        <v>0</v>
      </c>
      <c r="AD672" t="b">
        <f t="shared" si="193"/>
        <v>0</v>
      </c>
      <c r="BN672" t="str">
        <f t="shared" si="189"/>
        <v>G689</v>
      </c>
    </row>
    <row r="673" spans="27:66" ht="12" customHeight="1">
      <c r="AA673" t="str">
        <f>'Green_rooibos initial weight'!A674</f>
        <v>G670</v>
      </c>
      <c r="AB673" t="str">
        <f>'Green_rooibos initial weight'!A1578</f>
        <v>R669</v>
      </c>
      <c r="AC673" t="b">
        <f t="shared" si="192"/>
        <v>0</v>
      </c>
      <c r="AD673" t="b">
        <f t="shared" si="193"/>
        <v>0</v>
      </c>
      <c r="BN673" t="str">
        <f t="shared" si="189"/>
        <v>G690</v>
      </c>
    </row>
    <row r="674" spans="27:66" ht="12" customHeight="1">
      <c r="AA674" t="str">
        <f>'Green_rooibos initial weight'!A675</f>
        <v>G671</v>
      </c>
      <c r="AB674" t="str">
        <f>'Green_rooibos initial weight'!A1579</f>
        <v>R670</v>
      </c>
      <c r="AC674" t="b">
        <f t="shared" si="192"/>
        <v>0</v>
      </c>
      <c r="AD674" t="b">
        <f t="shared" si="193"/>
        <v>0</v>
      </c>
      <c r="BN674" t="str">
        <f t="shared" si="189"/>
        <v>G691</v>
      </c>
    </row>
    <row r="675" spans="27:66" ht="12" customHeight="1">
      <c r="AA675" t="str">
        <f>'Green_rooibos initial weight'!A676</f>
        <v>G672</v>
      </c>
      <c r="AB675" t="str">
        <f>'Green_rooibos initial weight'!A1580</f>
        <v>R671</v>
      </c>
      <c r="AC675" t="b">
        <f t="shared" si="192"/>
        <v>0</v>
      </c>
      <c r="AD675" t="b">
        <f t="shared" si="193"/>
        <v>0</v>
      </c>
      <c r="BN675" t="str">
        <f t="shared" si="189"/>
        <v>G692</v>
      </c>
    </row>
    <row r="676" spans="27:66" ht="12" customHeight="1">
      <c r="AA676" t="str">
        <f>'Green_rooibos initial weight'!A677</f>
        <v>G673</v>
      </c>
      <c r="AB676" t="str">
        <f>'Green_rooibos initial weight'!A1581</f>
        <v>R672</v>
      </c>
      <c r="AC676" t="b">
        <f t="shared" si="192"/>
        <v>0</v>
      </c>
      <c r="AD676" t="b">
        <f t="shared" si="193"/>
        <v>0</v>
      </c>
      <c r="BN676" t="str">
        <f t="shared" si="189"/>
        <v>G693</v>
      </c>
    </row>
    <row r="677" spans="27:66" ht="12" customHeight="1">
      <c r="AA677" t="str">
        <f>'Green_rooibos initial weight'!A678</f>
        <v>G674</v>
      </c>
      <c r="AB677" t="str">
        <f>'Green_rooibos initial weight'!A1582</f>
        <v>R673</v>
      </c>
      <c r="AC677" t="b">
        <f t="shared" si="192"/>
        <v>0</v>
      </c>
      <c r="AD677" t="b">
        <f t="shared" si="193"/>
        <v>0</v>
      </c>
      <c r="BN677" t="str">
        <f t="shared" si="189"/>
        <v>G694</v>
      </c>
    </row>
    <row r="678" spans="27:66" ht="12" customHeight="1">
      <c r="AA678" t="str">
        <f>'Green_rooibos initial weight'!A679</f>
        <v>G675</v>
      </c>
      <c r="AB678" t="str">
        <f>'Green_rooibos initial weight'!A1583</f>
        <v>R674</v>
      </c>
      <c r="AC678" t="b">
        <f t="shared" si="192"/>
        <v>0</v>
      </c>
      <c r="AD678" t="b">
        <f t="shared" si="193"/>
        <v>0</v>
      </c>
      <c r="BN678" t="str">
        <f t="shared" si="189"/>
        <v>G695</v>
      </c>
    </row>
    <row r="679" spans="27:66" ht="12" customHeight="1">
      <c r="AA679" t="str">
        <f>'Green_rooibos initial weight'!A680</f>
        <v>G676</v>
      </c>
      <c r="AB679" t="str">
        <f>'Green_rooibos initial weight'!A1584</f>
        <v>R675</v>
      </c>
      <c r="AC679" t="b">
        <f t="shared" si="192"/>
        <v>0</v>
      </c>
      <c r="AD679" t="b">
        <f t="shared" si="193"/>
        <v>0</v>
      </c>
      <c r="BN679" t="str">
        <f t="shared" si="189"/>
        <v>G696</v>
      </c>
    </row>
    <row r="680" spans="27:66" ht="12" customHeight="1">
      <c r="AA680" t="str">
        <f>'Green_rooibos initial weight'!A681</f>
        <v>G677</v>
      </c>
      <c r="AB680" t="str">
        <f>'Green_rooibos initial weight'!A1585</f>
        <v>R676</v>
      </c>
      <c r="AC680" t="b">
        <f t="shared" si="192"/>
        <v>0</v>
      </c>
      <c r="AD680" t="b">
        <f t="shared" si="193"/>
        <v>0</v>
      </c>
      <c r="BN680" t="str">
        <f t="shared" si="189"/>
        <v>G697</v>
      </c>
    </row>
    <row r="681" spans="27:66" ht="12" customHeight="1">
      <c r="AA681" t="str">
        <f>'Green_rooibos initial weight'!A682</f>
        <v>G678</v>
      </c>
      <c r="AB681" t="str">
        <f>'Green_rooibos initial weight'!A1586</f>
        <v>R677</v>
      </c>
      <c r="AC681" t="b">
        <f t="shared" si="192"/>
        <v>0</v>
      </c>
      <c r="AD681" t="b">
        <f t="shared" si="193"/>
        <v>0</v>
      </c>
      <c r="BN681" t="str">
        <f t="shared" ref="BN681:BN744" si="194">L260</f>
        <v>G698</v>
      </c>
    </row>
    <row r="682" spans="27:66" ht="12" customHeight="1">
      <c r="AA682" t="str">
        <f>'Green_rooibos initial weight'!A683</f>
        <v>G679</v>
      </c>
      <c r="AB682" t="str">
        <f>'Green_rooibos initial weight'!A1587</f>
        <v>R678</v>
      </c>
      <c r="AC682" t="b">
        <f t="shared" si="192"/>
        <v>0</v>
      </c>
      <c r="AD682" t="b">
        <f t="shared" si="193"/>
        <v>0</v>
      </c>
      <c r="BN682" t="str">
        <f t="shared" si="194"/>
        <v>G699</v>
      </c>
    </row>
    <row r="683" spans="27:66" ht="12" customHeight="1">
      <c r="AA683" t="str">
        <f>'Green_rooibos initial weight'!A684</f>
        <v>G680</v>
      </c>
      <c r="AB683" t="str">
        <f>'Green_rooibos initial weight'!A1588</f>
        <v>R679</v>
      </c>
      <c r="AC683" t="b">
        <f t="shared" si="192"/>
        <v>0</v>
      </c>
      <c r="AD683" t="b">
        <f t="shared" si="193"/>
        <v>0</v>
      </c>
      <c r="BN683" t="str">
        <f t="shared" si="194"/>
        <v>G700</v>
      </c>
    </row>
    <row r="684" spans="27:66" ht="12" customHeight="1">
      <c r="AA684" t="str">
        <f>'Green_rooibos initial weight'!A685</f>
        <v>G681</v>
      </c>
      <c r="AB684" t="str">
        <f>'Green_rooibos initial weight'!A1589</f>
        <v>R680</v>
      </c>
      <c r="AC684" t="b">
        <f t="shared" si="192"/>
        <v>0</v>
      </c>
      <c r="AD684" t="b">
        <f t="shared" si="193"/>
        <v>0</v>
      </c>
      <c r="BN684" t="str">
        <f t="shared" si="194"/>
        <v>G701</v>
      </c>
    </row>
    <row r="685" spans="27:66" ht="12" customHeight="1">
      <c r="AA685" t="str">
        <f>'Green_rooibos initial weight'!A686</f>
        <v>G682</v>
      </c>
      <c r="AB685" t="str">
        <f>'Green_rooibos initial weight'!A1590</f>
        <v>R681</v>
      </c>
      <c r="AC685" t="b">
        <f t="shared" si="192"/>
        <v>0</v>
      </c>
      <c r="AD685" t="b">
        <f t="shared" si="193"/>
        <v>0</v>
      </c>
      <c r="BN685" t="str">
        <f t="shared" si="194"/>
        <v>G702</v>
      </c>
    </row>
    <row r="686" spans="27:66" ht="12" customHeight="1">
      <c r="AA686" t="str">
        <f>'Green_rooibos initial weight'!A687</f>
        <v>G683</v>
      </c>
      <c r="AB686" t="str">
        <f>'Green_rooibos initial weight'!A1591</f>
        <v>R682</v>
      </c>
      <c r="AC686" t="b">
        <f t="shared" si="192"/>
        <v>0</v>
      </c>
      <c r="AD686" t="b">
        <f t="shared" si="193"/>
        <v>0</v>
      </c>
      <c r="BN686" t="str">
        <f t="shared" si="194"/>
        <v>G703</v>
      </c>
    </row>
    <row r="687" spans="27:66" ht="12" customHeight="1">
      <c r="AA687" t="str">
        <f>'Green_rooibos initial weight'!A688</f>
        <v>G684</v>
      </c>
      <c r="AB687" t="str">
        <f>'Green_rooibos initial weight'!A1592</f>
        <v>R683</v>
      </c>
      <c r="AC687" t="b">
        <f t="shared" si="192"/>
        <v>0</v>
      </c>
      <c r="AD687" t="b">
        <f t="shared" si="193"/>
        <v>0</v>
      </c>
      <c r="BN687" t="str">
        <f t="shared" si="194"/>
        <v>G704</v>
      </c>
    </row>
    <row r="688" spans="27:66" ht="12" customHeight="1">
      <c r="AA688" t="str">
        <f>'Green_rooibos initial weight'!A689</f>
        <v>G685</v>
      </c>
      <c r="AB688" t="str">
        <f>'Green_rooibos initial weight'!A1593</f>
        <v>R684</v>
      </c>
      <c r="AC688" t="b">
        <f t="shared" si="192"/>
        <v>0</v>
      </c>
      <c r="AD688" t="b">
        <f t="shared" si="193"/>
        <v>0</v>
      </c>
      <c r="BN688" t="str">
        <f t="shared" si="194"/>
        <v>G706</v>
      </c>
    </row>
    <row r="689" spans="27:66" ht="12" customHeight="1">
      <c r="AA689" t="str">
        <f>'Green_rooibos initial weight'!A690</f>
        <v>G686</v>
      </c>
      <c r="AB689" t="str">
        <f>'Green_rooibos initial weight'!A1594</f>
        <v>R685</v>
      </c>
      <c r="AC689" t="b">
        <f t="shared" si="192"/>
        <v>0</v>
      </c>
      <c r="AD689" t="b">
        <f t="shared" si="193"/>
        <v>0</v>
      </c>
      <c r="BN689" t="str">
        <f t="shared" si="194"/>
        <v>G707</v>
      </c>
    </row>
    <row r="690" spans="27:66" ht="12" customHeight="1">
      <c r="AA690" t="str">
        <f>'Green_rooibos initial weight'!A691</f>
        <v>G687</v>
      </c>
      <c r="AB690" t="str">
        <f>'Green_rooibos initial weight'!A1595</f>
        <v>R686</v>
      </c>
      <c r="AC690" t="b">
        <f t="shared" si="192"/>
        <v>0</v>
      </c>
      <c r="AD690" t="b">
        <f t="shared" si="193"/>
        <v>0</v>
      </c>
      <c r="BN690" t="str">
        <f t="shared" si="194"/>
        <v>G708</v>
      </c>
    </row>
    <row r="691" spans="27:66" ht="12" customHeight="1">
      <c r="AA691" t="str">
        <f>'Green_rooibos initial weight'!A692</f>
        <v>G688</v>
      </c>
      <c r="AB691" t="str">
        <f>'Green_rooibos initial weight'!A1596</f>
        <v>R687</v>
      </c>
      <c r="AC691" t="b">
        <f t="shared" si="192"/>
        <v>0</v>
      </c>
      <c r="AD691" t="b">
        <f t="shared" si="193"/>
        <v>0</v>
      </c>
      <c r="BN691" t="str">
        <f t="shared" si="194"/>
        <v>G709</v>
      </c>
    </row>
    <row r="692" spans="27:66" ht="12" customHeight="1">
      <c r="AA692" t="str">
        <f>'Green_rooibos initial weight'!A693</f>
        <v>G689</v>
      </c>
      <c r="AB692" t="str">
        <f>'Green_rooibos initial weight'!A1597</f>
        <v>R688</v>
      </c>
      <c r="AC692" t="b">
        <f t="shared" si="192"/>
        <v>0</v>
      </c>
      <c r="AD692" t="b">
        <f t="shared" si="193"/>
        <v>0</v>
      </c>
      <c r="BN692" t="str">
        <f t="shared" si="194"/>
        <v>G710</v>
      </c>
    </row>
    <row r="693" spans="27:66" ht="12" customHeight="1">
      <c r="AA693" t="str">
        <f>'Green_rooibos initial weight'!A694</f>
        <v>G690</v>
      </c>
      <c r="AB693" t="str">
        <f>'Green_rooibos initial weight'!A1598</f>
        <v>R689</v>
      </c>
      <c r="AC693" t="b">
        <f t="shared" si="192"/>
        <v>0</v>
      </c>
      <c r="AD693" t="b">
        <f t="shared" si="193"/>
        <v>0</v>
      </c>
      <c r="BN693" t="str">
        <f t="shared" si="194"/>
        <v>G712</v>
      </c>
    </row>
    <row r="694" spans="27:66" ht="12" customHeight="1">
      <c r="AA694" t="str">
        <f>'Green_rooibos initial weight'!A695</f>
        <v>G691</v>
      </c>
      <c r="AB694" t="str">
        <f>'Green_rooibos initial weight'!A1599</f>
        <v>R690</v>
      </c>
      <c r="AC694" t="b">
        <f t="shared" si="192"/>
        <v>0</v>
      </c>
      <c r="AD694" t="b">
        <f t="shared" si="193"/>
        <v>0</v>
      </c>
      <c r="BN694" t="str">
        <f t="shared" si="194"/>
        <v>G713</v>
      </c>
    </row>
    <row r="695" spans="27:66" ht="12" customHeight="1">
      <c r="AA695" t="str">
        <f>'Green_rooibos initial weight'!A696</f>
        <v>G692</v>
      </c>
      <c r="AB695" t="str">
        <f>'Green_rooibos initial weight'!A1600</f>
        <v>R691</v>
      </c>
      <c r="AC695" t="b">
        <f t="shared" si="192"/>
        <v>0</v>
      </c>
      <c r="AD695" t="b">
        <f t="shared" si="193"/>
        <v>0</v>
      </c>
      <c r="BN695" t="str">
        <f t="shared" si="194"/>
        <v>G715</v>
      </c>
    </row>
    <row r="696" spans="27:66" ht="12" customHeight="1">
      <c r="AA696" t="str">
        <f>'Green_rooibos initial weight'!A697</f>
        <v>G693</v>
      </c>
      <c r="AB696" t="str">
        <f>'Green_rooibos initial weight'!A1601</f>
        <v>R692</v>
      </c>
      <c r="AC696" t="b">
        <f t="shared" si="192"/>
        <v>0</v>
      </c>
      <c r="AD696" t="b">
        <f t="shared" si="193"/>
        <v>0</v>
      </c>
      <c r="BN696" t="str">
        <f t="shared" si="194"/>
        <v>G716</v>
      </c>
    </row>
    <row r="697" spans="27:66" ht="12" customHeight="1">
      <c r="AA697" t="str">
        <f>'Green_rooibos initial weight'!A698</f>
        <v>G694</v>
      </c>
      <c r="AB697" t="str">
        <f>'Green_rooibos initial weight'!A1602</f>
        <v>R693</v>
      </c>
      <c r="AC697" t="b">
        <f t="shared" si="192"/>
        <v>0</v>
      </c>
      <c r="AD697" t="b">
        <f t="shared" si="193"/>
        <v>0</v>
      </c>
      <c r="BN697" t="str">
        <f t="shared" si="194"/>
        <v>G718</v>
      </c>
    </row>
    <row r="698" spans="27:66" ht="12" customHeight="1">
      <c r="AA698" t="str">
        <f>'Green_rooibos initial weight'!A699</f>
        <v>G695</v>
      </c>
      <c r="AB698" t="str">
        <f>'Green_rooibos initial weight'!A1603</f>
        <v>R694</v>
      </c>
      <c r="AC698" t="b">
        <f t="shared" si="192"/>
        <v>0</v>
      </c>
      <c r="AD698" t="b">
        <f t="shared" si="193"/>
        <v>0</v>
      </c>
      <c r="BN698" t="str">
        <f t="shared" si="194"/>
        <v>G720</v>
      </c>
    </row>
    <row r="699" spans="27:66" ht="12" customHeight="1">
      <c r="AA699" t="str">
        <f>'Green_rooibos initial weight'!A700</f>
        <v>G696</v>
      </c>
      <c r="AB699" t="str">
        <f>'Green_rooibos initial weight'!A1604</f>
        <v>R695</v>
      </c>
      <c r="AC699" t="b">
        <f t="shared" si="192"/>
        <v>0</v>
      </c>
      <c r="AD699" t="b">
        <f t="shared" si="193"/>
        <v>0</v>
      </c>
      <c r="BN699" t="str">
        <f t="shared" si="194"/>
        <v>G721</v>
      </c>
    </row>
    <row r="700" spans="27:66" ht="12" customHeight="1">
      <c r="AA700" t="str">
        <f>'Green_rooibos initial weight'!A701</f>
        <v>G697</v>
      </c>
      <c r="AB700" t="str">
        <f>'Green_rooibos initial weight'!A1605</f>
        <v>R696</v>
      </c>
      <c r="AC700" t="b">
        <f t="shared" si="192"/>
        <v>0</v>
      </c>
      <c r="AD700" t="b">
        <f t="shared" si="193"/>
        <v>0</v>
      </c>
      <c r="BN700" t="str">
        <f t="shared" si="194"/>
        <v>G723</v>
      </c>
    </row>
    <row r="701" spans="27:66" ht="12" customHeight="1">
      <c r="AA701" t="str">
        <f>'Green_rooibos initial weight'!A702</f>
        <v>G698</v>
      </c>
      <c r="AB701" t="str">
        <f>'Green_rooibos initial weight'!A1606</f>
        <v>R697</v>
      </c>
      <c r="AC701" t="b">
        <f t="shared" si="192"/>
        <v>0</v>
      </c>
      <c r="AD701" t="b">
        <f t="shared" si="193"/>
        <v>0</v>
      </c>
      <c r="BN701" t="str">
        <f t="shared" si="194"/>
        <v>G724</v>
      </c>
    </row>
    <row r="702" spans="27:66" ht="12" customHeight="1">
      <c r="AA702" t="str">
        <f>'Green_rooibos initial weight'!A703</f>
        <v>G699</v>
      </c>
      <c r="AB702" t="str">
        <f>'Green_rooibos initial weight'!A1607</f>
        <v>R698</v>
      </c>
      <c r="AC702" t="b">
        <f t="shared" si="192"/>
        <v>0</v>
      </c>
      <c r="AD702" t="b">
        <f t="shared" si="193"/>
        <v>0</v>
      </c>
      <c r="BN702" t="str">
        <f t="shared" si="194"/>
        <v>G725</v>
      </c>
    </row>
    <row r="703" spans="27:66" ht="12" customHeight="1">
      <c r="AA703" t="str">
        <f>'Green_rooibos initial weight'!A704</f>
        <v>G700</v>
      </c>
      <c r="AB703" t="str">
        <f>'Green_rooibos initial weight'!A1608</f>
        <v>R699</v>
      </c>
      <c r="AC703" t="b">
        <f t="shared" si="192"/>
        <v>0</v>
      </c>
      <c r="AD703" t="b">
        <f t="shared" si="193"/>
        <v>0</v>
      </c>
      <c r="BN703" t="str">
        <f t="shared" si="194"/>
        <v>G727</v>
      </c>
    </row>
    <row r="704" spans="27:66" ht="12" customHeight="1">
      <c r="AA704" t="str">
        <f>'Green_rooibos initial weight'!A705</f>
        <v>G701</v>
      </c>
      <c r="AB704" t="str">
        <f>'Green_rooibos initial weight'!A1609</f>
        <v>R700</v>
      </c>
      <c r="AC704" t="b">
        <f t="shared" si="192"/>
        <v>0</v>
      </c>
      <c r="AD704" t="b">
        <f t="shared" si="193"/>
        <v>0</v>
      </c>
      <c r="BN704" t="str">
        <f t="shared" si="194"/>
        <v>G728</v>
      </c>
    </row>
    <row r="705" spans="27:66" ht="12" customHeight="1">
      <c r="AA705" t="str">
        <f>'Green_rooibos initial weight'!A706</f>
        <v>G702</v>
      </c>
      <c r="AB705" t="str">
        <f>'Green_rooibos initial weight'!A1610</f>
        <v>R701</v>
      </c>
      <c r="AC705" t="b">
        <f t="shared" si="192"/>
        <v>0</v>
      </c>
      <c r="AD705" t="b">
        <f t="shared" si="193"/>
        <v>0</v>
      </c>
      <c r="BN705" t="str">
        <f t="shared" si="194"/>
        <v>G729</v>
      </c>
    </row>
    <row r="706" spans="27:66" ht="12" customHeight="1">
      <c r="AA706" t="str">
        <f>'Green_rooibos initial weight'!A707</f>
        <v>G703</v>
      </c>
      <c r="AB706" t="str">
        <f>'Green_rooibos initial weight'!A1611</f>
        <v>R702</v>
      </c>
      <c r="AC706" t="b">
        <f t="shared" si="192"/>
        <v>0</v>
      </c>
      <c r="AD706" t="b">
        <f t="shared" si="193"/>
        <v>0</v>
      </c>
      <c r="BN706" t="str">
        <f t="shared" si="194"/>
        <v>G730</v>
      </c>
    </row>
    <row r="707" spans="27:66" ht="12" customHeight="1">
      <c r="AA707" t="str">
        <f>'Green_rooibos initial weight'!A708</f>
        <v>G704</v>
      </c>
      <c r="AB707" t="str">
        <f>'Green_rooibos initial weight'!A1612</f>
        <v>R703</v>
      </c>
      <c r="AC707" t="b">
        <f t="shared" si="192"/>
        <v>0</v>
      </c>
      <c r="AD707" t="b">
        <f t="shared" si="193"/>
        <v>0</v>
      </c>
      <c r="BN707" t="str">
        <f t="shared" si="194"/>
        <v>G732</v>
      </c>
    </row>
    <row r="708" spans="27:66" ht="12" customHeight="1">
      <c r="AA708" t="str">
        <f>'Green_rooibos initial weight'!A709</f>
        <v>G705</v>
      </c>
      <c r="AB708" t="str">
        <f>'Green_rooibos initial weight'!A1613</f>
        <v>R704</v>
      </c>
      <c r="AC708" t="b">
        <f t="shared" si="192"/>
        <v>0</v>
      </c>
      <c r="AD708" t="b">
        <f t="shared" si="193"/>
        <v>0</v>
      </c>
      <c r="BN708" t="str">
        <f t="shared" si="194"/>
        <v>G733</v>
      </c>
    </row>
    <row r="709" spans="27:66" ht="12" customHeight="1">
      <c r="AA709" t="str">
        <f>'Green_rooibos initial weight'!A710</f>
        <v>G706</v>
      </c>
      <c r="AB709" t="str">
        <f>'Green_rooibos initial weight'!A1614</f>
        <v>R705</v>
      </c>
      <c r="AC709" t="b">
        <f t="shared" ref="AC709:AC772" si="195">COUNTIF($AA$4:$AA$2000, AA709)&gt;1</f>
        <v>0</v>
      </c>
      <c r="AD709" t="b">
        <f t="shared" ref="AD709:AD772" si="196">COUNTIF($AB$4:$AB$2000, AB709)&gt;1</f>
        <v>0</v>
      </c>
      <c r="BN709" t="str">
        <f t="shared" si="194"/>
        <v>G736</v>
      </c>
    </row>
    <row r="710" spans="27:66" ht="12" customHeight="1">
      <c r="AA710" t="str">
        <f>'Green_rooibos initial weight'!A711</f>
        <v>G707</v>
      </c>
      <c r="AB710" t="str">
        <f>'Green_rooibos initial weight'!A1615</f>
        <v>R706</v>
      </c>
      <c r="AC710" t="b">
        <f t="shared" si="195"/>
        <v>0</v>
      </c>
      <c r="AD710" t="b">
        <f t="shared" si="196"/>
        <v>0</v>
      </c>
      <c r="BN710" t="str">
        <f t="shared" si="194"/>
        <v>G737</v>
      </c>
    </row>
    <row r="711" spans="27:66" ht="12" customHeight="1">
      <c r="AA711" t="str">
        <f>'Green_rooibos initial weight'!A712</f>
        <v>G708</v>
      </c>
      <c r="AB711" t="str">
        <f>'Green_rooibos initial weight'!A1616</f>
        <v>R707</v>
      </c>
      <c r="AC711" t="b">
        <f t="shared" si="195"/>
        <v>0</v>
      </c>
      <c r="AD711" t="b">
        <f t="shared" si="196"/>
        <v>0</v>
      </c>
      <c r="BN711" t="str">
        <f t="shared" si="194"/>
        <v>G738</v>
      </c>
    </row>
    <row r="712" spans="27:66" ht="12" customHeight="1">
      <c r="AA712" t="str">
        <f>'Green_rooibos initial weight'!A713</f>
        <v>G709</v>
      </c>
      <c r="AB712" t="str">
        <f>'Green_rooibos initial weight'!A1617</f>
        <v>R708</v>
      </c>
      <c r="AC712" t="b">
        <f t="shared" si="195"/>
        <v>0</v>
      </c>
      <c r="AD712" t="b">
        <f t="shared" si="196"/>
        <v>0</v>
      </c>
      <c r="BN712" t="str">
        <f t="shared" si="194"/>
        <v>G739</v>
      </c>
    </row>
    <row r="713" spans="27:66" ht="12" customHeight="1">
      <c r="AA713" t="str">
        <f>'Green_rooibos initial weight'!A714</f>
        <v>G710</v>
      </c>
      <c r="AB713" t="str">
        <f>'Green_rooibos initial weight'!A1618</f>
        <v>R709</v>
      </c>
      <c r="AC713" t="b">
        <f t="shared" si="195"/>
        <v>0</v>
      </c>
      <c r="AD713" t="b">
        <f t="shared" si="196"/>
        <v>0</v>
      </c>
      <c r="BN713" t="str">
        <f t="shared" si="194"/>
        <v>G740</v>
      </c>
    </row>
    <row r="714" spans="27:66" ht="12" customHeight="1">
      <c r="AA714" t="str">
        <f>'Green_rooibos initial weight'!A715</f>
        <v>G711</v>
      </c>
      <c r="AB714" t="str">
        <f>'Green_rooibos initial weight'!A1619</f>
        <v>R710</v>
      </c>
      <c r="AC714" t="b">
        <f t="shared" si="195"/>
        <v>0</v>
      </c>
      <c r="AD714" t="b">
        <f t="shared" si="196"/>
        <v>0</v>
      </c>
      <c r="BN714" t="str">
        <f t="shared" si="194"/>
        <v>G741</v>
      </c>
    </row>
    <row r="715" spans="27:66" ht="12" customHeight="1">
      <c r="AA715" t="str">
        <f>'Green_rooibos initial weight'!A716</f>
        <v>G712</v>
      </c>
      <c r="AB715" t="str">
        <f>'Green_rooibos initial weight'!A1620</f>
        <v>R711</v>
      </c>
      <c r="AC715" t="b">
        <f t="shared" si="195"/>
        <v>0</v>
      </c>
      <c r="AD715" t="b">
        <f t="shared" si="196"/>
        <v>0</v>
      </c>
      <c r="BN715" t="str">
        <f t="shared" si="194"/>
        <v>G742</v>
      </c>
    </row>
    <row r="716" spans="27:66" ht="12" customHeight="1">
      <c r="AA716" t="str">
        <f>'Green_rooibos initial weight'!A717</f>
        <v>G713</v>
      </c>
      <c r="AB716" t="str">
        <f>'Green_rooibos initial weight'!A1621</f>
        <v>R712</v>
      </c>
      <c r="AC716" t="b">
        <f t="shared" si="195"/>
        <v>0</v>
      </c>
      <c r="AD716" t="b">
        <f t="shared" si="196"/>
        <v>0</v>
      </c>
      <c r="BN716" t="str">
        <f t="shared" si="194"/>
        <v>G743</v>
      </c>
    </row>
    <row r="717" spans="27:66" ht="12" customHeight="1">
      <c r="AA717" t="str">
        <f>'Green_rooibos initial weight'!A718</f>
        <v>G714</v>
      </c>
      <c r="AB717" t="str">
        <f>'Green_rooibos initial weight'!A1622</f>
        <v>R713</v>
      </c>
      <c r="AC717" t="b">
        <f t="shared" si="195"/>
        <v>0</v>
      </c>
      <c r="AD717" t="b">
        <f t="shared" si="196"/>
        <v>0</v>
      </c>
      <c r="BN717" t="str">
        <f t="shared" si="194"/>
        <v>G744</v>
      </c>
    </row>
    <row r="718" spans="27:66" ht="12" customHeight="1">
      <c r="AA718" t="str">
        <f>'Green_rooibos initial weight'!A719</f>
        <v>G715</v>
      </c>
      <c r="AB718" t="str">
        <f>'Green_rooibos initial weight'!A1623</f>
        <v>R714</v>
      </c>
      <c r="AC718" t="b">
        <f t="shared" si="195"/>
        <v>0</v>
      </c>
      <c r="AD718" t="b">
        <f t="shared" si="196"/>
        <v>0</v>
      </c>
      <c r="BN718" t="str">
        <f t="shared" si="194"/>
        <v>G745</v>
      </c>
    </row>
    <row r="719" spans="27:66" ht="12" customHeight="1">
      <c r="AA719" t="str">
        <f>'Green_rooibos initial weight'!A720</f>
        <v>G716</v>
      </c>
      <c r="AB719" t="str">
        <f>'Green_rooibos initial weight'!A1624</f>
        <v>R715</v>
      </c>
      <c r="AC719" t="b">
        <f t="shared" si="195"/>
        <v>0</v>
      </c>
      <c r="AD719" t="b">
        <f t="shared" si="196"/>
        <v>0</v>
      </c>
      <c r="BN719" t="str">
        <f t="shared" si="194"/>
        <v>G746</v>
      </c>
    </row>
    <row r="720" spans="27:66" ht="12" customHeight="1">
      <c r="AA720" t="str">
        <f>'Green_rooibos initial weight'!A721</f>
        <v>G717</v>
      </c>
      <c r="AB720" t="str">
        <f>'Green_rooibos initial weight'!A1625</f>
        <v>R716</v>
      </c>
      <c r="AC720" t="b">
        <f t="shared" si="195"/>
        <v>0</v>
      </c>
      <c r="AD720" t="b">
        <f t="shared" si="196"/>
        <v>0</v>
      </c>
      <c r="BN720" t="str">
        <f t="shared" si="194"/>
        <v>G747</v>
      </c>
    </row>
    <row r="721" spans="27:66" ht="12" customHeight="1">
      <c r="AA721" t="str">
        <f>'Green_rooibos initial weight'!A722</f>
        <v>G718</v>
      </c>
      <c r="AB721" t="str">
        <f>'Green_rooibos initial weight'!A1626</f>
        <v>R717</v>
      </c>
      <c r="AC721" t="b">
        <f t="shared" si="195"/>
        <v>0</v>
      </c>
      <c r="AD721" t="b">
        <f t="shared" si="196"/>
        <v>0</v>
      </c>
      <c r="BN721" t="str">
        <f t="shared" si="194"/>
        <v>G749</v>
      </c>
    </row>
    <row r="722" spans="27:66" ht="12" customHeight="1">
      <c r="AA722" t="str">
        <f>'Green_rooibos initial weight'!A723</f>
        <v>G719</v>
      </c>
      <c r="AB722" t="str">
        <f>'Green_rooibos initial weight'!A1627</f>
        <v>R718</v>
      </c>
      <c r="AC722" t="b">
        <f t="shared" si="195"/>
        <v>0</v>
      </c>
      <c r="AD722" t="b">
        <f t="shared" si="196"/>
        <v>0</v>
      </c>
      <c r="BN722" t="str">
        <f t="shared" si="194"/>
        <v>G752</v>
      </c>
    </row>
    <row r="723" spans="27:66" ht="12" customHeight="1">
      <c r="AA723" t="str">
        <f>'Green_rooibos initial weight'!A724</f>
        <v>G720</v>
      </c>
      <c r="AB723" t="str">
        <f>'Green_rooibos initial weight'!A1628</f>
        <v>R719</v>
      </c>
      <c r="AC723" t="b">
        <f t="shared" si="195"/>
        <v>0</v>
      </c>
      <c r="AD723" t="b">
        <f t="shared" si="196"/>
        <v>0</v>
      </c>
      <c r="BN723" t="str">
        <f t="shared" si="194"/>
        <v>G753</v>
      </c>
    </row>
    <row r="724" spans="27:66" ht="12" customHeight="1">
      <c r="AA724" t="str">
        <f>'Green_rooibos initial weight'!A725</f>
        <v>G721</v>
      </c>
      <c r="AB724" t="str">
        <f>'Green_rooibos initial weight'!A1629</f>
        <v>R720</v>
      </c>
      <c r="AC724" t="b">
        <f t="shared" si="195"/>
        <v>0</v>
      </c>
      <c r="AD724" t="b">
        <f t="shared" si="196"/>
        <v>0</v>
      </c>
      <c r="BN724" t="str">
        <f t="shared" si="194"/>
        <v>G754</v>
      </c>
    </row>
    <row r="725" spans="27:66" ht="12" customHeight="1">
      <c r="AA725" t="str">
        <f>'Green_rooibos initial weight'!A726</f>
        <v>G722</v>
      </c>
      <c r="AB725" t="str">
        <f>'Green_rooibos initial weight'!A1630</f>
        <v>R721</v>
      </c>
      <c r="AC725" t="b">
        <f t="shared" si="195"/>
        <v>0</v>
      </c>
      <c r="AD725" t="b">
        <f t="shared" si="196"/>
        <v>0</v>
      </c>
      <c r="BN725" t="str">
        <f t="shared" si="194"/>
        <v>G755</v>
      </c>
    </row>
    <row r="726" spans="27:66" ht="12" customHeight="1">
      <c r="AA726" t="str">
        <f>'Green_rooibos initial weight'!A727</f>
        <v>G723</v>
      </c>
      <c r="AB726" t="str">
        <f>'Green_rooibos initial weight'!A1631</f>
        <v>R722</v>
      </c>
      <c r="AC726" t="b">
        <f t="shared" si="195"/>
        <v>0</v>
      </c>
      <c r="AD726" t="b">
        <f t="shared" si="196"/>
        <v>0</v>
      </c>
      <c r="BN726" t="str">
        <f t="shared" si="194"/>
        <v>G756</v>
      </c>
    </row>
    <row r="727" spans="27:66" ht="12" customHeight="1">
      <c r="AA727" t="str">
        <f>'Green_rooibos initial weight'!A728</f>
        <v>G724</v>
      </c>
      <c r="AB727" t="str">
        <f>'Green_rooibos initial weight'!A1632</f>
        <v>R723</v>
      </c>
      <c r="AC727" t="b">
        <f t="shared" si="195"/>
        <v>0</v>
      </c>
      <c r="AD727" t="b">
        <f t="shared" si="196"/>
        <v>0</v>
      </c>
      <c r="BN727" t="str">
        <f t="shared" si="194"/>
        <v>G758</v>
      </c>
    </row>
    <row r="728" spans="27:66" ht="12" customHeight="1">
      <c r="AA728" t="str">
        <f>'Green_rooibos initial weight'!A729</f>
        <v>G725</v>
      </c>
      <c r="AB728" t="str">
        <f>'Green_rooibos initial weight'!A1633</f>
        <v>R724</v>
      </c>
      <c r="AC728" t="b">
        <f t="shared" si="195"/>
        <v>0</v>
      </c>
      <c r="AD728" t="b">
        <f t="shared" si="196"/>
        <v>0</v>
      </c>
      <c r="BN728" t="str">
        <f t="shared" si="194"/>
        <v>G760</v>
      </c>
    </row>
    <row r="729" spans="27:66" ht="12" customHeight="1">
      <c r="AA729" t="str">
        <f>'Green_rooibos initial weight'!A730</f>
        <v>G726</v>
      </c>
      <c r="AB729" t="str">
        <f>'Green_rooibos initial weight'!A1634</f>
        <v>R725</v>
      </c>
      <c r="AC729" t="b">
        <f t="shared" si="195"/>
        <v>0</v>
      </c>
      <c r="AD729" t="b">
        <f t="shared" si="196"/>
        <v>0</v>
      </c>
      <c r="BN729" t="str">
        <f t="shared" si="194"/>
        <v>G761</v>
      </c>
    </row>
    <row r="730" spans="27:66" ht="12" customHeight="1">
      <c r="AA730" t="str">
        <f>'Green_rooibos initial weight'!A731</f>
        <v>G727</v>
      </c>
      <c r="AB730" t="str">
        <f>'Green_rooibos initial weight'!A1635</f>
        <v>R726</v>
      </c>
      <c r="AC730" t="b">
        <f t="shared" si="195"/>
        <v>0</v>
      </c>
      <c r="AD730" t="b">
        <f t="shared" si="196"/>
        <v>0</v>
      </c>
      <c r="BN730" t="str">
        <f t="shared" si="194"/>
        <v>G762</v>
      </c>
    </row>
    <row r="731" spans="27:66" ht="12" customHeight="1">
      <c r="AA731" t="str">
        <f>'Green_rooibos initial weight'!A732</f>
        <v>G728</v>
      </c>
      <c r="AB731" t="str">
        <f>'Green_rooibos initial weight'!A1636</f>
        <v>R727</v>
      </c>
      <c r="AC731" t="b">
        <f t="shared" si="195"/>
        <v>0</v>
      </c>
      <c r="AD731" t="b">
        <f t="shared" si="196"/>
        <v>0</v>
      </c>
      <c r="BN731" t="str">
        <f t="shared" si="194"/>
        <v>G764</v>
      </c>
    </row>
    <row r="732" spans="27:66" ht="12" customHeight="1">
      <c r="AA732" t="str">
        <f>'Green_rooibos initial weight'!A733</f>
        <v>G729</v>
      </c>
      <c r="AB732" t="str">
        <f>'Green_rooibos initial weight'!A1637</f>
        <v>R728</v>
      </c>
      <c r="AC732" t="b">
        <f t="shared" si="195"/>
        <v>0</v>
      </c>
      <c r="AD732" t="b">
        <f t="shared" si="196"/>
        <v>0</v>
      </c>
      <c r="BN732" t="str">
        <f t="shared" si="194"/>
        <v>G765</v>
      </c>
    </row>
    <row r="733" spans="27:66" ht="12" customHeight="1">
      <c r="AA733" t="str">
        <f>'Green_rooibos initial weight'!A734</f>
        <v>G730</v>
      </c>
      <c r="AB733" t="str">
        <f>'Green_rooibos initial weight'!A1638</f>
        <v>R729</v>
      </c>
      <c r="AC733" t="b">
        <f t="shared" si="195"/>
        <v>0</v>
      </c>
      <c r="AD733" t="b">
        <f t="shared" si="196"/>
        <v>0</v>
      </c>
      <c r="BN733" t="str">
        <f t="shared" si="194"/>
        <v>G768</v>
      </c>
    </row>
    <row r="734" spans="27:66" ht="12" customHeight="1">
      <c r="AA734" t="str">
        <f>'Green_rooibos initial weight'!A735</f>
        <v>G731</v>
      </c>
      <c r="AB734" t="str">
        <f>'Green_rooibos initial weight'!A1639</f>
        <v>R730</v>
      </c>
      <c r="AC734" t="b">
        <f t="shared" si="195"/>
        <v>0</v>
      </c>
      <c r="AD734" t="b">
        <f t="shared" si="196"/>
        <v>0</v>
      </c>
      <c r="BN734" t="str">
        <f t="shared" si="194"/>
        <v>G769</v>
      </c>
    </row>
    <row r="735" spans="27:66" ht="12" customHeight="1">
      <c r="AA735" t="str">
        <f>'Green_rooibos initial weight'!A736</f>
        <v>G732</v>
      </c>
      <c r="AB735" t="str">
        <f>'Green_rooibos initial weight'!A1640</f>
        <v>R731</v>
      </c>
      <c r="AC735" t="b">
        <f t="shared" si="195"/>
        <v>0</v>
      </c>
      <c r="AD735" t="b">
        <f t="shared" si="196"/>
        <v>0</v>
      </c>
      <c r="BN735" t="str">
        <f t="shared" si="194"/>
        <v>G770</v>
      </c>
    </row>
    <row r="736" spans="27:66" ht="12" customHeight="1">
      <c r="AA736" t="str">
        <f>'Green_rooibos initial weight'!A737</f>
        <v>G733</v>
      </c>
      <c r="AB736" t="str">
        <f>'Green_rooibos initial weight'!A1641</f>
        <v>R732</v>
      </c>
      <c r="AC736" t="b">
        <f t="shared" si="195"/>
        <v>0</v>
      </c>
      <c r="AD736" t="b">
        <f t="shared" si="196"/>
        <v>0</v>
      </c>
      <c r="BN736" t="str">
        <f t="shared" si="194"/>
        <v>G772</v>
      </c>
    </row>
    <row r="737" spans="27:66" ht="12" customHeight="1">
      <c r="AA737" t="str">
        <f>'Green_rooibos initial weight'!A738</f>
        <v>G734</v>
      </c>
      <c r="AB737" t="str">
        <f>'Green_rooibos initial weight'!A1642</f>
        <v>R733</v>
      </c>
      <c r="AC737" t="b">
        <f t="shared" si="195"/>
        <v>0</v>
      </c>
      <c r="AD737" t="b">
        <f t="shared" si="196"/>
        <v>0</v>
      </c>
      <c r="BN737" t="str">
        <f t="shared" si="194"/>
        <v>G773</v>
      </c>
    </row>
    <row r="738" spans="27:66" ht="12" customHeight="1">
      <c r="AA738" t="str">
        <f>'Green_rooibos initial weight'!A739</f>
        <v>G735</v>
      </c>
      <c r="AB738" t="str">
        <f>'Green_rooibos initial weight'!A1643</f>
        <v>R734</v>
      </c>
      <c r="AC738" t="b">
        <f t="shared" si="195"/>
        <v>0</v>
      </c>
      <c r="AD738" t="b">
        <f t="shared" si="196"/>
        <v>0</v>
      </c>
      <c r="BN738" t="str">
        <f t="shared" si="194"/>
        <v>G774</v>
      </c>
    </row>
    <row r="739" spans="27:66" ht="12" customHeight="1">
      <c r="AA739" t="str">
        <f>'Green_rooibos initial weight'!A740</f>
        <v>G736</v>
      </c>
      <c r="AB739" t="str">
        <f>'Green_rooibos initial weight'!A1644</f>
        <v>R735</v>
      </c>
      <c r="AC739" t="b">
        <f t="shared" si="195"/>
        <v>0</v>
      </c>
      <c r="AD739" t="b">
        <f t="shared" si="196"/>
        <v>0</v>
      </c>
      <c r="BN739" t="str">
        <f t="shared" si="194"/>
        <v>G775</v>
      </c>
    </row>
    <row r="740" spans="27:66" ht="12" customHeight="1">
      <c r="AA740" t="str">
        <f>'Green_rooibos initial weight'!A741</f>
        <v>G737</v>
      </c>
      <c r="AB740" t="str">
        <f>'Green_rooibos initial weight'!A1645</f>
        <v>R736</v>
      </c>
      <c r="AC740" t="b">
        <f t="shared" si="195"/>
        <v>0</v>
      </c>
      <c r="AD740" t="b">
        <f t="shared" si="196"/>
        <v>0</v>
      </c>
      <c r="BN740" t="str">
        <f t="shared" si="194"/>
        <v>G777</v>
      </c>
    </row>
    <row r="741" spans="27:66" ht="12" customHeight="1">
      <c r="AA741" t="str">
        <f>'Green_rooibos initial weight'!A742</f>
        <v>G738</v>
      </c>
      <c r="AB741" t="str">
        <f>'Green_rooibos initial weight'!A1646</f>
        <v>R737</v>
      </c>
      <c r="AC741" t="b">
        <f t="shared" si="195"/>
        <v>0</v>
      </c>
      <c r="AD741" t="b">
        <f t="shared" si="196"/>
        <v>0</v>
      </c>
      <c r="BN741" t="str">
        <f t="shared" si="194"/>
        <v>G778</v>
      </c>
    </row>
    <row r="742" spans="27:66" ht="12" customHeight="1">
      <c r="AA742" t="str">
        <f>'Green_rooibos initial weight'!A743</f>
        <v>G739</v>
      </c>
      <c r="AB742" t="str">
        <f>'Green_rooibos initial weight'!A1647</f>
        <v>R738</v>
      </c>
      <c r="AC742" t="b">
        <f t="shared" si="195"/>
        <v>0</v>
      </c>
      <c r="AD742" t="b">
        <f t="shared" si="196"/>
        <v>0</v>
      </c>
      <c r="BN742" t="str">
        <f t="shared" si="194"/>
        <v>G779</v>
      </c>
    </row>
    <row r="743" spans="27:66" ht="12" customHeight="1">
      <c r="AA743" t="str">
        <f>'Green_rooibos initial weight'!A744</f>
        <v>G740</v>
      </c>
      <c r="AB743" t="str">
        <f>'Green_rooibos initial weight'!A1648</f>
        <v>R739</v>
      </c>
      <c r="AC743" t="b">
        <f t="shared" si="195"/>
        <v>0</v>
      </c>
      <c r="AD743" t="b">
        <f t="shared" si="196"/>
        <v>0</v>
      </c>
      <c r="BN743" t="str">
        <f t="shared" si="194"/>
        <v>G781</v>
      </c>
    </row>
    <row r="744" spans="27:66" ht="12" customHeight="1">
      <c r="AA744" t="str">
        <f>'Green_rooibos initial weight'!A745</f>
        <v>G741</v>
      </c>
      <c r="AB744" t="str">
        <f>'Green_rooibos initial weight'!A1649</f>
        <v>R740</v>
      </c>
      <c r="AC744" t="b">
        <f t="shared" si="195"/>
        <v>0</v>
      </c>
      <c r="AD744" t="b">
        <f t="shared" si="196"/>
        <v>0</v>
      </c>
      <c r="BN744" t="str">
        <f t="shared" si="194"/>
        <v>G782</v>
      </c>
    </row>
    <row r="745" spans="27:66" ht="12" customHeight="1">
      <c r="AA745" t="str">
        <f>'Green_rooibos initial weight'!A746</f>
        <v>G742</v>
      </c>
      <c r="AB745" t="str">
        <f>'Green_rooibos initial weight'!A1650</f>
        <v>R741</v>
      </c>
      <c r="AC745" t="b">
        <f t="shared" si="195"/>
        <v>0</v>
      </c>
      <c r="AD745" t="b">
        <f t="shared" si="196"/>
        <v>0</v>
      </c>
      <c r="BN745" t="str">
        <f t="shared" ref="BN745:BN808" si="197">L324</f>
        <v>G783</v>
      </c>
    </row>
    <row r="746" spans="27:66" ht="12" customHeight="1">
      <c r="AA746" t="str">
        <f>'Green_rooibos initial weight'!A747</f>
        <v>G743</v>
      </c>
      <c r="AB746" t="str">
        <f>'Green_rooibos initial weight'!A1651</f>
        <v>R742</v>
      </c>
      <c r="AC746" t="b">
        <f t="shared" si="195"/>
        <v>0</v>
      </c>
      <c r="AD746" t="b">
        <f t="shared" si="196"/>
        <v>0</v>
      </c>
      <c r="BN746" t="str">
        <f t="shared" si="197"/>
        <v>G784</v>
      </c>
    </row>
    <row r="747" spans="27:66" ht="12" customHeight="1">
      <c r="AA747" t="str">
        <f>'Green_rooibos initial weight'!A748</f>
        <v>G744</v>
      </c>
      <c r="AB747" t="str">
        <f>'Green_rooibos initial weight'!A1652</f>
        <v>R743</v>
      </c>
      <c r="AC747" t="b">
        <f t="shared" si="195"/>
        <v>0</v>
      </c>
      <c r="AD747" t="b">
        <f t="shared" si="196"/>
        <v>0</v>
      </c>
      <c r="BN747" t="str">
        <f t="shared" si="197"/>
        <v>G785</v>
      </c>
    </row>
    <row r="748" spans="27:66" ht="12" customHeight="1">
      <c r="AA748" t="str">
        <f>'Green_rooibos initial weight'!A749</f>
        <v>G745</v>
      </c>
      <c r="AB748" t="str">
        <f>'Green_rooibos initial weight'!A1653</f>
        <v>R744</v>
      </c>
      <c r="AC748" t="b">
        <f t="shared" si="195"/>
        <v>0</v>
      </c>
      <c r="AD748" t="b">
        <f t="shared" si="196"/>
        <v>0</v>
      </c>
      <c r="BN748" t="str">
        <f t="shared" si="197"/>
        <v>G786</v>
      </c>
    </row>
    <row r="749" spans="27:66" ht="12" customHeight="1">
      <c r="AA749" t="str">
        <f>'Green_rooibos initial weight'!A750</f>
        <v>G746</v>
      </c>
      <c r="AB749" t="str">
        <f>'Green_rooibos initial weight'!A1654</f>
        <v>R745</v>
      </c>
      <c r="AC749" t="b">
        <f t="shared" si="195"/>
        <v>0</v>
      </c>
      <c r="AD749" t="b">
        <f t="shared" si="196"/>
        <v>0</v>
      </c>
      <c r="BN749" t="str">
        <f t="shared" si="197"/>
        <v>G787</v>
      </c>
    </row>
    <row r="750" spans="27:66" ht="12" customHeight="1">
      <c r="AA750" t="str">
        <f>'Green_rooibos initial weight'!A751</f>
        <v>G747</v>
      </c>
      <c r="AB750" t="str">
        <f>'Green_rooibos initial weight'!A1655</f>
        <v>R746</v>
      </c>
      <c r="AC750" t="b">
        <f t="shared" si="195"/>
        <v>0</v>
      </c>
      <c r="AD750" t="b">
        <f t="shared" si="196"/>
        <v>0</v>
      </c>
      <c r="BN750" t="str">
        <f t="shared" si="197"/>
        <v>G789</v>
      </c>
    </row>
    <row r="751" spans="27:66" ht="12" customHeight="1">
      <c r="AA751" t="str">
        <f>'Green_rooibos initial weight'!A752</f>
        <v>G748</v>
      </c>
      <c r="AB751" t="str">
        <f>'Green_rooibos initial weight'!A1656</f>
        <v>R747</v>
      </c>
      <c r="AC751" t="b">
        <f t="shared" si="195"/>
        <v>0</v>
      </c>
      <c r="AD751" t="b">
        <f t="shared" si="196"/>
        <v>0</v>
      </c>
      <c r="BN751" t="str">
        <f t="shared" si="197"/>
        <v>G791</v>
      </c>
    </row>
    <row r="752" spans="27:66" ht="12" customHeight="1">
      <c r="AA752" t="str">
        <f>'Green_rooibos initial weight'!A753</f>
        <v>G749</v>
      </c>
      <c r="AB752" t="str">
        <f>'Green_rooibos initial weight'!A1657</f>
        <v>R748</v>
      </c>
      <c r="AC752" t="b">
        <f t="shared" si="195"/>
        <v>0</v>
      </c>
      <c r="AD752" t="b">
        <f t="shared" si="196"/>
        <v>0</v>
      </c>
      <c r="BN752" t="str">
        <f t="shared" si="197"/>
        <v>G793</v>
      </c>
    </row>
    <row r="753" spans="27:66" ht="12" customHeight="1">
      <c r="AA753" t="str">
        <f>'Green_rooibos initial weight'!A754</f>
        <v>G750</v>
      </c>
      <c r="AB753" t="str">
        <f>'Green_rooibos initial weight'!A1658</f>
        <v>R749</v>
      </c>
      <c r="AC753" t="b">
        <f t="shared" si="195"/>
        <v>0</v>
      </c>
      <c r="AD753" t="b">
        <f t="shared" si="196"/>
        <v>0</v>
      </c>
      <c r="BN753" t="str">
        <f t="shared" si="197"/>
        <v>G795</v>
      </c>
    </row>
    <row r="754" spans="27:66" ht="12" customHeight="1">
      <c r="AA754" t="str">
        <f>'Green_rooibos initial weight'!A755</f>
        <v>G751</v>
      </c>
      <c r="AB754" t="str">
        <f>'Green_rooibos initial weight'!A1659</f>
        <v>R750</v>
      </c>
      <c r="AC754" t="b">
        <f t="shared" si="195"/>
        <v>0</v>
      </c>
      <c r="AD754" t="b">
        <f t="shared" si="196"/>
        <v>0</v>
      </c>
      <c r="BN754" t="str">
        <f t="shared" si="197"/>
        <v>G796</v>
      </c>
    </row>
    <row r="755" spans="27:66" ht="12" customHeight="1">
      <c r="AA755" t="str">
        <f>'Green_rooibos initial weight'!A756</f>
        <v>G752</v>
      </c>
      <c r="AB755" t="str">
        <f>'Green_rooibos initial weight'!A1660</f>
        <v>R751</v>
      </c>
      <c r="AC755" t="b">
        <f t="shared" si="195"/>
        <v>0</v>
      </c>
      <c r="AD755" t="b">
        <f t="shared" si="196"/>
        <v>0</v>
      </c>
      <c r="BN755" t="str">
        <f t="shared" si="197"/>
        <v>G798</v>
      </c>
    </row>
    <row r="756" spans="27:66" ht="12" customHeight="1">
      <c r="AA756" t="str">
        <f>'Green_rooibos initial weight'!A757</f>
        <v>G753</v>
      </c>
      <c r="AB756" t="str">
        <f>'Green_rooibos initial weight'!A1661</f>
        <v>R752</v>
      </c>
      <c r="AC756" t="b">
        <f t="shared" si="195"/>
        <v>0</v>
      </c>
      <c r="AD756" t="b">
        <f t="shared" si="196"/>
        <v>0</v>
      </c>
      <c r="BN756" t="str">
        <f t="shared" si="197"/>
        <v>G799</v>
      </c>
    </row>
    <row r="757" spans="27:66" ht="12" customHeight="1">
      <c r="AA757" t="str">
        <f>'Green_rooibos initial weight'!A758</f>
        <v>G754</v>
      </c>
      <c r="AB757" t="str">
        <f>'Green_rooibos initial weight'!A1662</f>
        <v>R753</v>
      </c>
      <c r="AC757" t="b">
        <f t="shared" si="195"/>
        <v>0</v>
      </c>
      <c r="AD757" t="b">
        <f t="shared" si="196"/>
        <v>0</v>
      </c>
      <c r="BN757" t="str">
        <f t="shared" si="197"/>
        <v>G800</v>
      </c>
    </row>
    <row r="758" spans="27:66" ht="12" customHeight="1">
      <c r="AA758" t="str">
        <f>'Green_rooibos initial weight'!A759</f>
        <v>G755</v>
      </c>
      <c r="AB758" t="str">
        <f>'Green_rooibos initial weight'!A1663</f>
        <v>R754</v>
      </c>
      <c r="AC758" t="b">
        <f t="shared" si="195"/>
        <v>0</v>
      </c>
      <c r="AD758" t="b">
        <f t="shared" si="196"/>
        <v>0</v>
      </c>
      <c r="BN758" t="str">
        <f t="shared" si="197"/>
        <v>G801</v>
      </c>
    </row>
    <row r="759" spans="27:66" ht="12" customHeight="1">
      <c r="AA759" t="str">
        <f>'Green_rooibos initial weight'!A760</f>
        <v>G756</v>
      </c>
      <c r="AB759" t="str">
        <f>'Green_rooibos initial weight'!A1664</f>
        <v>R755</v>
      </c>
      <c r="AC759" t="b">
        <f t="shared" si="195"/>
        <v>0</v>
      </c>
      <c r="AD759" t="b">
        <f t="shared" si="196"/>
        <v>0</v>
      </c>
      <c r="BN759" t="str">
        <f t="shared" si="197"/>
        <v>G802</v>
      </c>
    </row>
    <row r="760" spans="27:66" ht="12" customHeight="1">
      <c r="AA760" t="str">
        <f>'Green_rooibos initial weight'!A761</f>
        <v>G757</v>
      </c>
      <c r="AB760" t="str">
        <f>'Green_rooibos initial weight'!A1665</f>
        <v>R756</v>
      </c>
      <c r="AC760" t="b">
        <f t="shared" si="195"/>
        <v>0</v>
      </c>
      <c r="AD760" t="b">
        <f t="shared" si="196"/>
        <v>0</v>
      </c>
      <c r="BN760" t="str">
        <f t="shared" si="197"/>
        <v>G803</v>
      </c>
    </row>
    <row r="761" spans="27:66" ht="12" customHeight="1">
      <c r="AA761" t="str">
        <f>'Green_rooibos initial weight'!A762</f>
        <v>G758</v>
      </c>
      <c r="AB761" t="str">
        <f>'Green_rooibos initial weight'!A1666</f>
        <v>R757</v>
      </c>
      <c r="AC761" t="b">
        <f t="shared" si="195"/>
        <v>0</v>
      </c>
      <c r="AD761" t="b">
        <f t="shared" si="196"/>
        <v>0</v>
      </c>
      <c r="BN761" t="str">
        <f t="shared" si="197"/>
        <v>G804</v>
      </c>
    </row>
    <row r="762" spans="27:66" ht="12" customHeight="1">
      <c r="AA762" t="str">
        <f>'Green_rooibos initial weight'!A763</f>
        <v>G759</v>
      </c>
      <c r="AB762" t="str">
        <f>'Green_rooibos initial weight'!A1667</f>
        <v>R758</v>
      </c>
      <c r="AC762" t="b">
        <f t="shared" si="195"/>
        <v>0</v>
      </c>
      <c r="AD762" t="b">
        <f t="shared" si="196"/>
        <v>0</v>
      </c>
      <c r="BN762" t="str">
        <f t="shared" si="197"/>
        <v>G805</v>
      </c>
    </row>
    <row r="763" spans="27:66" ht="12" customHeight="1">
      <c r="AA763" t="str">
        <f>'Green_rooibos initial weight'!A764</f>
        <v>G760</v>
      </c>
      <c r="AB763" t="str">
        <f>'Green_rooibos initial weight'!A1668</f>
        <v>R759</v>
      </c>
      <c r="AC763" t="b">
        <f t="shared" si="195"/>
        <v>0</v>
      </c>
      <c r="AD763" t="b">
        <f t="shared" si="196"/>
        <v>0</v>
      </c>
      <c r="BN763" t="str">
        <f t="shared" si="197"/>
        <v>G806</v>
      </c>
    </row>
    <row r="764" spans="27:66" ht="12" customHeight="1">
      <c r="AA764" t="str">
        <f>'Green_rooibos initial weight'!A765</f>
        <v>G761</v>
      </c>
      <c r="AB764" t="str">
        <f>'Green_rooibos initial weight'!A1669</f>
        <v>R760</v>
      </c>
      <c r="AC764" t="b">
        <f t="shared" si="195"/>
        <v>0</v>
      </c>
      <c r="AD764" t="b">
        <f t="shared" si="196"/>
        <v>0</v>
      </c>
      <c r="BN764" t="str">
        <f t="shared" si="197"/>
        <v>G807</v>
      </c>
    </row>
    <row r="765" spans="27:66" ht="12" customHeight="1">
      <c r="AA765" t="str">
        <f>'Green_rooibos initial weight'!A766</f>
        <v>G762</v>
      </c>
      <c r="AB765" t="str">
        <f>'Green_rooibos initial weight'!A1670</f>
        <v>R761</v>
      </c>
      <c r="AC765" t="b">
        <f t="shared" si="195"/>
        <v>0</v>
      </c>
      <c r="AD765" t="b">
        <f t="shared" si="196"/>
        <v>0</v>
      </c>
      <c r="BN765" t="str">
        <f t="shared" si="197"/>
        <v>G808</v>
      </c>
    </row>
    <row r="766" spans="27:66" ht="12" customHeight="1">
      <c r="AA766" t="str">
        <f>'Green_rooibos initial weight'!A767</f>
        <v>G763</v>
      </c>
      <c r="AB766" t="str">
        <f>'Green_rooibos initial weight'!A1671</f>
        <v>R762</v>
      </c>
      <c r="AC766" t="b">
        <f t="shared" si="195"/>
        <v>0</v>
      </c>
      <c r="AD766" t="b">
        <f t="shared" si="196"/>
        <v>0</v>
      </c>
      <c r="BN766" t="str">
        <f t="shared" si="197"/>
        <v>G809</v>
      </c>
    </row>
    <row r="767" spans="27:66" ht="12" customHeight="1">
      <c r="AA767" t="str">
        <f>'Green_rooibos initial weight'!A768</f>
        <v>G764</v>
      </c>
      <c r="AB767" t="str">
        <f>'Green_rooibos initial weight'!A1672</f>
        <v>R763</v>
      </c>
      <c r="AC767" t="b">
        <f t="shared" si="195"/>
        <v>0</v>
      </c>
      <c r="AD767" t="b">
        <f t="shared" si="196"/>
        <v>0</v>
      </c>
      <c r="BN767" t="str">
        <f t="shared" si="197"/>
        <v>G810</v>
      </c>
    </row>
    <row r="768" spans="27:66" ht="12" customHeight="1">
      <c r="AA768" t="str">
        <f>'Green_rooibos initial weight'!A769</f>
        <v>G765</v>
      </c>
      <c r="AB768" t="str">
        <f>'Green_rooibos initial weight'!A1673</f>
        <v>R764</v>
      </c>
      <c r="AC768" t="b">
        <f t="shared" si="195"/>
        <v>0</v>
      </c>
      <c r="AD768" t="b">
        <f t="shared" si="196"/>
        <v>0</v>
      </c>
      <c r="BN768" t="str">
        <f t="shared" si="197"/>
        <v>G811</v>
      </c>
    </row>
    <row r="769" spans="27:66" ht="12" customHeight="1">
      <c r="AA769" t="str">
        <f>'Green_rooibos initial weight'!A770</f>
        <v>G766</v>
      </c>
      <c r="AB769" t="str">
        <f>'Green_rooibos initial weight'!A1674</f>
        <v>R765</v>
      </c>
      <c r="AC769" t="b">
        <f t="shared" si="195"/>
        <v>0</v>
      </c>
      <c r="AD769" t="b">
        <f t="shared" si="196"/>
        <v>0</v>
      </c>
      <c r="BN769" t="str">
        <f t="shared" si="197"/>
        <v>G813</v>
      </c>
    </row>
    <row r="770" spans="27:66" ht="12" customHeight="1">
      <c r="AA770" t="str">
        <f>'Green_rooibos initial weight'!A771</f>
        <v>G767</v>
      </c>
      <c r="AB770" t="str">
        <f>'Green_rooibos initial weight'!A1675</f>
        <v>R766</v>
      </c>
      <c r="AC770" t="b">
        <f t="shared" si="195"/>
        <v>0</v>
      </c>
      <c r="AD770" t="b">
        <f t="shared" si="196"/>
        <v>0</v>
      </c>
      <c r="BN770" t="str">
        <f t="shared" si="197"/>
        <v>G814</v>
      </c>
    </row>
    <row r="771" spans="27:66" ht="12" customHeight="1">
      <c r="AA771" t="str">
        <f>'Green_rooibos initial weight'!A772</f>
        <v>G768</v>
      </c>
      <c r="AB771" t="str">
        <f>'Green_rooibos initial weight'!A1676</f>
        <v>R767</v>
      </c>
      <c r="AC771" t="b">
        <f t="shared" si="195"/>
        <v>0</v>
      </c>
      <c r="AD771" t="b">
        <f t="shared" si="196"/>
        <v>0</v>
      </c>
      <c r="BN771" t="str">
        <f t="shared" si="197"/>
        <v>G815</v>
      </c>
    </row>
    <row r="772" spans="27:66" ht="12" customHeight="1">
      <c r="AA772" t="str">
        <f>'Green_rooibos initial weight'!A773</f>
        <v>G769</v>
      </c>
      <c r="AB772" t="str">
        <f>'Green_rooibos initial weight'!A1677</f>
        <v>R768</v>
      </c>
      <c r="AC772" t="b">
        <f t="shared" si="195"/>
        <v>0</v>
      </c>
      <c r="AD772" t="b">
        <f t="shared" si="196"/>
        <v>0</v>
      </c>
      <c r="BN772" t="str">
        <f t="shared" si="197"/>
        <v>G816</v>
      </c>
    </row>
    <row r="773" spans="27:66" ht="12" customHeight="1">
      <c r="AA773" t="str">
        <f>'Green_rooibos initial weight'!A774</f>
        <v>G770</v>
      </c>
      <c r="AB773" t="str">
        <f>'Green_rooibos initial weight'!A1678</f>
        <v>R769</v>
      </c>
      <c r="AC773" t="b">
        <f t="shared" ref="AC773:AC836" si="198">COUNTIF($AA$4:$AA$2000, AA773)&gt;1</f>
        <v>0</v>
      </c>
      <c r="AD773" t="b">
        <f t="shared" ref="AD773:AD836" si="199">COUNTIF($AB$4:$AB$2000, AB773)&gt;1</f>
        <v>0</v>
      </c>
      <c r="BN773" t="str">
        <f t="shared" si="197"/>
        <v>G817</v>
      </c>
    </row>
    <row r="774" spans="27:66" ht="12" customHeight="1">
      <c r="AA774" t="str">
        <f>'Green_rooibos initial weight'!A775</f>
        <v>G771</v>
      </c>
      <c r="AB774" t="str">
        <f>'Green_rooibos initial weight'!A1679</f>
        <v>R770</v>
      </c>
      <c r="AC774" t="b">
        <f t="shared" si="198"/>
        <v>0</v>
      </c>
      <c r="AD774" t="b">
        <f t="shared" si="199"/>
        <v>0</v>
      </c>
      <c r="BN774" t="str">
        <f t="shared" si="197"/>
        <v>G818</v>
      </c>
    </row>
    <row r="775" spans="27:66" ht="12" customHeight="1">
      <c r="AA775" t="str">
        <f>'Green_rooibos initial weight'!A776</f>
        <v>G772</v>
      </c>
      <c r="AB775" t="str">
        <f>'Green_rooibos initial weight'!A1680</f>
        <v>R771</v>
      </c>
      <c r="AC775" t="b">
        <f t="shared" si="198"/>
        <v>0</v>
      </c>
      <c r="AD775" t="b">
        <f t="shared" si="199"/>
        <v>0</v>
      </c>
      <c r="BN775" t="str">
        <f t="shared" si="197"/>
        <v>G819</v>
      </c>
    </row>
    <row r="776" spans="27:66" ht="12" customHeight="1">
      <c r="AA776" t="str">
        <f>'Green_rooibos initial weight'!A777</f>
        <v>G773</v>
      </c>
      <c r="AB776" t="str">
        <f>'Green_rooibos initial weight'!A1681</f>
        <v>R772</v>
      </c>
      <c r="AC776" t="b">
        <f t="shared" si="198"/>
        <v>0</v>
      </c>
      <c r="AD776" t="b">
        <f t="shared" si="199"/>
        <v>0</v>
      </c>
      <c r="BN776" t="str">
        <f t="shared" si="197"/>
        <v>G820</v>
      </c>
    </row>
    <row r="777" spans="27:66" ht="12" customHeight="1">
      <c r="AA777" t="str">
        <f>'Green_rooibos initial weight'!A778</f>
        <v>G774</v>
      </c>
      <c r="AB777" t="str">
        <f>'Green_rooibos initial weight'!A1682</f>
        <v>R773</v>
      </c>
      <c r="AC777" t="b">
        <f t="shared" si="198"/>
        <v>0</v>
      </c>
      <c r="AD777" t="b">
        <f t="shared" si="199"/>
        <v>0</v>
      </c>
      <c r="BN777" t="str">
        <f t="shared" si="197"/>
        <v>G821</v>
      </c>
    </row>
    <row r="778" spans="27:66" ht="12" customHeight="1">
      <c r="AA778" t="str">
        <f>'Green_rooibos initial weight'!A779</f>
        <v>G775</v>
      </c>
      <c r="AB778" t="str">
        <f>'Green_rooibos initial weight'!A1683</f>
        <v>R774</v>
      </c>
      <c r="AC778" t="b">
        <f t="shared" si="198"/>
        <v>0</v>
      </c>
      <c r="AD778" t="b">
        <f t="shared" si="199"/>
        <v>0</v>
      </c>
      <c r="BN778" t="str">
        <f t="shared" si="197"/>
        <v>G822</v>
      </c>
    </row>
    <row r="779" spans="27:66" ht="12" customHeight="1">
      <c r="AA779" t="str">
        <f>'Green_rooibos initial weight'!A780</f>
        <v>G776</v>
      </c>
      <c r="AB779" t="str">
        <f>'Green_rooibos initial weight'!A1684</f>
        <v>R775</v>
      </c>
      <c r="AC779" t="b">
        <f t="shared" si="198"/>
        <v>0</v>
      </c>
      <c r="AD779" t="b">
        <f t="shared" si="199"/>
        <v>0</v>
      </c>
      <c r="BN779" t="str">
        <f t="shared" si="197"/>
        <v>G824</v>
      </c>
    </row>
    <row r="780" spans="27:66" ht="12" customHeight="1">
      <c r="AA780" t="str">
        <f>'Green_rooibos initial weight'!A781</f>
        <v>G777</v>
      </c>
      <c r="AB780" t="str">
        <f>'Green_rooibos initial weight'!A1685</f>
        <v>R776</v>
      </c>
      <c r="AC780" t="b">
        <f t="shared" si="198"/>
        <v>0</v>
      </c>
      <c r="AD780" t="b">
        <f t="shared" si="199"/>
        <v>0</v>
      </c>
      <c r="BN780" t="str">
        <f t="shared" si="197"/>
        <v>G825</v>
      </c>
    </row>
    <row r="781" spans="27:66" ht="12" customHeight="1">
      <c r="AA781" t="str">
        <f>'Green_rooibos initial weight'!A782</f>
        <v>G778</v>
      </c>
      <c r="AB781" t="str">
        <f>'Green_rooibos initial weight'!A1686</f>
        <v>R777</v>
      </c>
      <c r="AC781" t="b">
        <f t="shared" si="198"/>
        <v>0</v>
      </c>
      <c r="AD781" t="b">
        <f t="shared" si="199"/>
        <v>0</v>
      </c>
      <c r="BN781" t="str">
        <f t="shared" si="197"/>
        <v>G826</v>
      </c>
    </row>
    <row r="782" spans="27:66" ht="12" customHeight="1">
      <c r="AA782" t="str">
        <f>'Green_rooibos initial weight'!A783</f>
        <v>G779</v>
      </c>
      <c r="AB782" t="str">
        <f>'Green_rooibos initial weight'!A1687</f>
        <v>R778</v>
      </c>
      <c r="AC782" t="b">
        <f t="shared" si="198"/>
        <v>0</v>
      </c>
      <c r="AD782" t="b">
        <f t="shared" si="199"/>
        <v>0</v>
      </c>
      <c r="BN782" t="str">
        <f t="shared" si="197"/>
        <v>G828</v>
      </c>
    </row>
    <row r="783" spans="27:66" ht="12" customHeight="1">
      <c r="AA783" t="str">
        <f>'Green_rooibos initial weight'!A784</f>
        <v>G780</v>
      </c>
      <c r="AB783" t="str">
        <f>'Green_rooibos initial weight'!A1688</f>
        <v>R779</v>
      </c>
      <c r="AC783" t="b">
        <f t="shared" si="198"/>
        <v>0</v>
      </c>
      <c r="AD783" t="b">
        <f t="shared" si="199"/>
        <v>0</v>
      </c>
      <c r="BN783" t="str">
        <f t="shared" si="197"/>
        <v>G829</v>
      </c>
    </row>
    <row r="784" spans="27:66" ht="12" customHeight="1">
      <c r="AA784" t="str">
        <f>'Green_rooibos initial weight'!A785</f>
        <v>G781</v>
      </c>
      <c r="AB784" t="str">
        <f>'Green_rooibos initial weight'!A1689</f>
        <v>R780</v>
      </c>
      <c r="AC784" t="b">
        <f t="shared" si="198"/>
        <v>0</v>
      </c>
      <c r="AD784" t="b">
        <f t="shared" si="199"/>
        <v>0</v>
      </c>
      <c r="BN784" t="str">
        <f t="shared" si="197"/>
        <v>G830</v>
      </c>
    </row>
    <row r="785" spans="27:66" ht="12" customHeight="1">
      <c r="AA785" t="str">
        <f>'Green_rooibos initial weight'!A786</f>
        <v>G782</v>
      </c>
      <c r="AB785" t="str">
        <f>'Green_rooibos initial weight'!A1690</f>
        <v>R781</v>
      </c>
      <c r="AC785" t="b">
        <f t="shared" si="198"/>
        <v>0</v>
      </c>
      <c r="AD785" t="b">
        <f t="shared" si="199"/>
        <v>0</v>
      </c>
      <c r="BN785" t="str">
        <f t="shared" si="197"/>
        <v>G832</v>
      </c>
    </row>
    <row r="786" spans="27:66" ht="12" customHeight="1">
      <c r="AA786" t="str">
        <f>'Green_rooibos initial weight'!A787</f>
        <v>G783</v>
      </c>
      <c r="AB786" t="str">
        <f>'Green_rooibos initial weight'!A1691</f>
        <v>R782</v>
      </c>
      <c r="AC786" t="b">
        <f t="shared" si="198"/>
        <v>0</v>
      </c>
      <c r="AD786" t="b">
        <f t="shared" si="199"/>
        <v>0</v>
      </c>
      <c r="BN786" t="str">
        <f t="shared" si="197"/>
        <v>G833</v>
      </c>
    </row>
    <row r="787" spans="27:66" ht="12" customHeight="1">
      <c r="AA787" t="str">
        <f>'Green_rooibos initial weight'!A788</f>
        <v>G784</v>
      </c>
      <c r="AB787" t="str">
        <f>'Green_rooibos initial weight'!A1692</f>
        <v>R783</v>
      </c>
      <c r="AC787" t="b">
        <f t="shared" si="198"/>
        <v>0</v>
      </c>
      <c r="AD787" t="b">
        <f t="shared" si="199"/>
        <v>0</v>
      </c>
      <c r="BN787" t="str">
        <f t="shared" si="197"/>
        <v>G834</v>
      </c>
    </row>
    <row r="788" spans="27:66" ht="12" customHeight="1">
      <c r="AA788" t="str">
        <f>'Green_rooibos initial weight'!A789</f>
        <v>G785</v>
      </c>
      <c r="AB788" t="str">
        <f>'Green_rooibos initial weight'!A1693</f>
        <v>R784</v>
      </c>
      <c r="AC788" t="b">
        <f t="shared" si="198"/>
        <v>0</v>
      </c>
      <c r="AD788" t="b">
        <f t="shared" si="199"/>
        <v>0</v>
      </c>
      <c r="BN788" t="str">
        <f t="shared" si="197"/>
        <v>G835</v>
      </c>
    </row>
    <row r="789" spans="27:66" ht="12" customHeight="1">
      <c r="AA789" t="str">
        <f>'Green_rooibos initial weight'!A790</f>
        <v>G786</v>
      </c>
      <c r="AB789" t="str">
        <f>'Green_rooibos initial weight'!A1694</f>
        <v>R785</v>
      </c>
      <c r="AC789" t="b">
        <f t="shared" si="198"/>
        <v>0</v>
      </c>
      <c r="AD789" t="b">
        <f t="shared" si="199"/>
        <v>0</v>
      </c>
      <c r="BN789" t="str">
        <f t="shared" si="197"/>
        <v>G836</v>
      </c>
    </row>
    <row r="790" spans="27:66" ht="12" customHeight="1">
      <c r="AA790" t="str">
        <f>'Green_rooibos initial weight'!A791</f>
        <v>G787</v>
      </c>
      <c r="AB790" t="str">
        <f>'Green_rooibos initial weight'!A1695</f>
        <v>R786</v>
      </c>
      <c r="AC790" t="b">
        <f t="shared" si="198"/>
        <v>0</v>
      </c>
      <c r="AD790" t="b">
        <f t="shared" si="199"/>
        <v>0</v>
      </c>
      <c r="BN790" t="str">
        <f t="shared" si="197"/>
        <v>G837</v>
      </c>
    </row>
    <row r="791" spans="27:66" ht="12" customHeight="1">
      <c r="AA791" t="str">
        <f>'Green_rooibos initial weight'!A792</f>
        <v>G788</v>
      </c>
      <c r="AB791" t="str">
        <f>'Green_rooibos initial weight'!A1696</f>
        <v>R787</v>
      </c>
      <c r="AC791" t="b">
        <f t="shared" si="198"/>
        <v>0</v>
      </c>
      <c r="AD791" t="b">
        <f t="shared" si="199"/>
        <v>0</v>
      </c>
      <c r="BN791" t="str">
        <f t="shared" si="197"/>
        <v>G838</v>
      </c>
    </row>
    <row r="792" spans="27:66" ht="12" customHeight="1">
      <c r="AA792" t="str">
        <f>'Green_rooibos initial weight'!A793</f>
        <v>G789</v>
      </c>
      <c r="AB792" t="str">
        <f>'Green_rooibos initial weight'!A1697</f>
        <v>R788</v>
      </c>
      <c r="AC792" t="b">
        <f t="shared" si="198"/>
        <v>0</v>
      </c>
      <c r="AD792" t="b">
        <f t="shared" si="199"/>
        <v>0</v>
      </c>
      <c r="BN792" t="str">
        <f t="shared" si="197"/>
        <v>G839</v>
      </c>
    </row>
    <row r="793" spans="27:66" ht="12" customHeight="1">
      <c r="AA793" t="str">
        <f>'Green_rooibos initial weight'!A794</f>
        <v>G790</v>
      </c>
      <c r="AB793" t="str">
        <f>'Green_rooibos initial weight'!A1698</f>
        <v>R789</v>
      </c>
      <c r="AC793" t="b">
        <f t="shared" si="198"/>
        <v>0</v>
      </c>
      <c r="AD793" t="b">
        <f t="shared" si="199"/>
        <v>0</v>
      </c>
      <c r="BN793" t="str">
        <f t="shared" si="197"/>
        <v>G840</v>
      </c>
    </row>
    <row r="794" spans="27:66" ht="12" customHeight="1">
      <c r="AA794" t="str">
        <f>'Green_rooibos initial weight'!A795</f>
        <v>G791</v>
      </c>
      <c r="AB794" t="str">
        <f>'Green_rooibos initial weight'!A1699</f>
        <v>R790</v>
      </c>
      <c r="AC794" t="b">
        <f t="shared" si="198"/>
        <v>0</v>
      </c>
      <c r="AD794" t="b">
        <f t="shared" si="199"/>
        <v>0</v>
      </c>
      <c r="BN794" t="str">
        <f t="shared" si="197"/>
        <v>G841</v>
      </c>
    </row>
    <row r="795" spans="27:66" ht="12" customHeight="1">
      <c r="AA795" t="str">
        <f>'Green_rooibos initial weight'!A796</f>
        <v>G792</v>
      </c>
      <c r="AB795" t="str">
        <f>'Green_rooibos initial weight'!A1700</f>
        <v>R791</v>
      </c>
      <c r="AC795" t="b">
        <f t="shared" si="198"/>
        <v>0</v>
      </c>
      <c r="AD795" t="b">
        <f t="shared" si="199"/>
        <v>0</v>
      </c>
      <c r="BN795" t="str">
        <f t="shared" si="197"/>
        <v>G845</v>
      </c>
    </row>
    <row r="796" spans="27:66" ht="12" customHeight="1">
      <c r="AA796" t="str">
        <f>'Green_rooibos initial weight'!A797</f>
        <v>G793</v>
      </c>
      <c r="AB796" t="str">
        <f>'Green_rooibos initial weight'!A1701</f>
        <v>R792</v>
      </c>
      <c r="AC796" t="b">
        <f t="shared" si="198"/>
        <v>0</v>
      </c>
      <c r="AD796" t="b">
        <f t="shared" si="199"/>
        <v>0</v>
      </c>
      <c r="BN796" t="str">
        <f t="shared" si="197"/>
        <v>G846</v>
      </c>
    </row>
    <row r="797" spans="27:66" ht="12" customHeight="1">
      <c r="AA797" t="str">
        <f>'Green_rooibos initial weight'!A798</f>
        <v>G794</v>
      </c>
      <c r="AB797" t="str">
        <f>'Green_rooibos initial weight'!A1702</f>
        <v>R793</v>
      </c>
      <c r="AC797" t="b">
        <f t="shared" si="198"/>
        <v>0</v>
      </c>
      <c r="AD797" t="b">
        <f t="shared" si="199"/>
        <v>0</v>
      </c>
      <c r="BN797" t="str">
        <f t="shared" si="197"/>
        <v>G847</v>
      </c>
    </row>
    <row r="798" spans="27:66" ht="12" customHeight="1">
      <c r="AA798" t="str">
        <f>'Green_rooibos initial weight'!A799</f>
        <v>G795</v>
      </c>
      <c r="AB798" t="str">
        <f>'Green_rooibos initial weight'!A1703</f>
        <v>R794</v>
      </c>
      <c r="AC798" t="b">
        <f t="shared" si="198"/>
        <v>0</v>
      </c>
      <c r="AD798" t="b">
        <f t="shared" si="199"/>
        <v>0</v>
      </c>
      <c r="BN798" t="str">
        <f t="shared" si="197"/>
        <v>G849</v>
      </c>
    </row>
    <row r="799" spans="27:66" ht="12" customHeight="1">
      <c r="AA799" t="str">
        <f>'Green_rooibos initial weight'!A800</f>
        <v>G796</v>
      </c>
      <c r="AB799" t="str">
        <f>'Green_rooibos initial weight'!A1704</f>
        <v>R795</v>
      </c>
      <c r="AC799" t="b">
        <f t="shared" si="198"/>
        <v>0</v>
      </c>
      <c r="AD799" t="b">
        <f t="shared" si="199"/>
        <v>0</v>
      </c>
      <c r="BN799" t="str">
        <f t="shared" si="197"/>
        <v>G850</v>
      </c>
    </row>
    <row r="800" spans="27:66" ht="12" customHeight="1">
      <c r="AA800" t="str">
        <f>'Green_rooibos initial weight'!A801</f>
        <v>G797</v>
      </c>
      <c r="AB800" t="str">
        <f>'Green_rooibos initial weight'!A1705</f>
        <v>R796</v>
      </c>
      <c r="AC800" t="b">
        <f t="shared" si="198"/>
        <v>0</v>
      </c>
      <c r="AD800" t="b">
        <f t="shared" si="199"/>
        <v>0</v>
      </c>
      <c r="BN800" t="str">
        <f t="shared" si="197"/>
        <v>G852</v>
      </c>
    </row>
    <row r="801" spans="27:66" ht="12" customHeight="1">
      <c r="AA801" t="str">
        <f>'Green_rooibos initial weight'!A802</f>
        <v>G798</v>
      </c>
      <c r="AB801" t="str">
        <f>'Green_rooibos initial weight'!A1706</f>
        <v>R797</v>
      </c>
      <c r="AC801" t="b">
        <f t="shared" si="198"/>
        <v>0</v>
      </c>
      <c r="AD801" t="b">
        <f t="shared" si="199"/>
        <v>0</v>
      </c>
      <c r="BN801" t="str">
        <f t="shared" si="197"/>
        <v>G853</v>
      </c>
    </row>
    <row r="802" spans="27:66" ht="12" customHeight="1">
      <c r="AA802" t="str">
        <f>'Green_rooibos initial weight'!A803</f>
        <v>G799</v>
      </c>
      <c r="AB802" t="str">
        <f>'Green_rooibos initial weight'!A1707</f>
        <v>R798</v>
      </c>
      <c r="AC802" t="b">
        <f t="shared" si="198"/>
        <v>0</v>
      </c>
      <c r="AD802" t="b">
        <f t="shared" si="199"/>
        <v>0</v>
      </c>
      <c r="BN802" t="str">
        <f t="shared" si="197"/>
        <v>G856</v>
      </c>
    </row>
    <row r="803" spans="27:66" ht="12" customHeight="1">
      <c r="AA803" t="str">
        <f>'Green_rooibos initial weight'!A804</f>
        <v>G800</v>
      </c>
      <c r="AB803" t="str">
        <f>'Green_rooibos initial weight'!A1708</f>
        <v>R799</v>
      </c>
      <c r="AC803" t="b">
        <f t="shared" si="198"/>
        <v>0</v>
      </c>
      <c r="AD803" t="b">
        <f t="shared" si="199"/>
        <v>0</v>
      </c>
      <c r="BN803" t="str">
        <f t="shared" si="197"/>
        <v>G857</v>
      </c>
    </row>
    <row r="804" spans="27:66" ht="12" customHeight="1">
      <c r="AA804" t="str">
        <f>'Green_rooibos initial weight'!A805</f>
        <v>G801</v>
      </c>
      <c r="AB804" t="str">
        <f>'Green_rooibos initial weight'!A1709</f>
        <v>R800</v>
      </c>
      <c r="AC804" t="b">
        <f t="shared" si="198"/>
        <v>0</v>
      </c>
      <c r="AD804" t="b">
        <f t="shared" si="199"/>
        <v>0</v>
      </c>
      <c r="BN804" t="str">
        <f t="shared" si="197"/>
        <v>G858</v>
      </c>
    </row>
    <row r="805" spans="27:66" ht="12" customHeight="1">
      <c r="AA805" t="str">
        <f>'Green_rooibos initial weight'!A806</f>
        <v>G802</v>
      </c>
      <c r="AB805" t="str">
        <f>'Green_rooibos initial weight'!A1710</f>
        <v>R801</v>
      </c>
      <c r="AC805" t="b">
        <f t="shared" si="198"/>
        <v>0</v>
      </c>
      <c r="AD805" t="b">
        <f t="shared" si="199"/>
        <v>0</v>
      </c>
      <c r="BN805" t="str">
        <f t="shared" si="197"/>
        <v>G859</v>
      </c>
    </row>
    <row r="806" spans="27:66" ht="12" customHeight="1">
      <c r="AA806" t="str">
        <f>'Green_rooibos initial weight'!A807</f>
        <v>G803</v>
      </c>
      <c r="AB806" t="str">
        <f>'Green_rooibos initial weight'!A1711</f>
        <v>R802</v>
      </c>
      <c r="AC806" t="b">
        <f t="shared" si="198"/>
        <v>0</v>
      </c>
      <c r="AD806" t="b">
        <f t="shared" si="199"/>
        <v>0</v>
      </c>
      <c r="BN806" t="str">
        <f t="shared" si="197"/>
        <v>G860</v>
      </c>
    </row>
    <row r="807" spans="27:66" ht="12" customHeight="1">
      <c r="AA807" t="str">
        <f>'Green_rooibos initial weight'!A808</f>
        <v>G804</v>
      </c>
      <c r="AB807" t="str">
        <f>'Green_rooibos initial weight'!A1712</f>
        <v>R803</v>
      </c>
      <c r="AC807" t="b">
        <f t="shared" si="198"/>
        <v>0</v>
      </c>
      <c r="AD807" t="b">
        <f t="shared" si="199"/>
        <v>0</v>
      </c>
      <c r="BN807" t="str">
        <f t="shared" si="197"/>
        <v>G861</v>
      </c>
    </row>
    <row r="808" spans="27:66" ht="12" customHeight="1">
      <c r="AA808" t="str">
        <f>'Green_rooibos initial weight'!A809</f>
        <v>G805</v>
      </c>
      <c r="AB808" t="str">
        <f>'Green_rooibos initial weight'!A1713</f>
        <v>R804</v>
      </c>
      <c r="AC808" t="b">
        <f t="shared" si="198"/>
        <v>0</v>
      </c>
      <c r="AD808" t="b">
        <f t="shared" si="199"/>
        <v>0</v>
      </c>
      <c r="BN808" t="str">
        <f t="shared" si="197"/>
        <v>G862</v>
      </c>
    </row>
    <row r="809" spans="27:66" ht="12" customHeight="1">
      <c r="AA809" t="str">
        <f>'Green_rooibos initial weight'!A810</f>
        <v>G806</v>
      </c>
      <c r="AB809" t="str">
        <f>'Green_rooibos initial weight'!A1714</f>
        <v>R805</v>
      </c>
      <c r="AC809" t="b">
        <f t="shared" si="198"/>
        <v>0</v>
      </c>
      <c r="AD809" t="b">
        <f t="shared" si="199"/>
        <v>0</v>
      </c>
      <c r="BN809" t="str">
        <f t="shared" ref="BN809:BN842" si="200">L388</f>
        <v>G863</v>
      </c>
    </row>
    <row r="810" spans="27:66" ht="12" customHeight="1">
      <c r="AA810" t="str">
        <f>'Green_rooibos initial weight'!A811</f>
        <v>G807</v>
      </c>
      <c r="AB810" t="str">
        <f>'Green_rooibos initial weight'!A1715</f>
        <v>R806</v>
      </c>
      <c r="AC810" t="b">
        <f t="shared" si="198"/>
        <v>0</v>
      </c>
      <c r="AD810" t="b">
        <f t="shared" si="199"/>
        <v>0</v>
      </c>
      <c r="BN810" t="str">
        <f t="shared" si="200"/>
        <v>G864</v>
      </c>
    </row>
    <row r="811" spans="27:66" ht="12" customHeight="1">
      <c r="AA811" t="str">
        <f>'Green_rooibos initial weight'!A812</f>
        <v>G808</v>
      </c>
      <c r="AB811" t="str">
        <f>'Green_rooibos initial weight'!A1716</f>
        <v>R807</v>
      </c>
      <c r="AC811" t="b">
        <f t="shared" si="198"/>
        <v>0</v>
      </c>
      <c r="AD811" t="b">
        <f t="shared" si="199"/>
        <v>0</v>
      </c>
      <c r="BN811" t="str">
        <f t="shared" si="200"/>
        <v>G865</v>
      </c>
    </row>
    <row r="812" spans="27:66" ht="12" customHeight="1">
      <c r="AA812" t="str">
        <f>'Green_rooibos initial weight'!A813</f>
        <v>G809</v>
      </c>
      <c r="AB812" t="str">
        <f>'Green_rooibos initial weight'!A1717</f>
        <v>R808</v>
      </c>
      <c r="AC812" t="b">
        <f t="shared" si="198"/>
        <v>0</v>
      </c>
      <c r="AD812" t="b">
        <f t="shared" si="199"/>
        <v>0</v>
      </c>
      <c r="BN812" t="str">
        <f t="shared" si="200"/>
        <v>G869</v>
      </c>
    </row>
    <row r="813" spans="27:66" ht="12" customHeight="1">
      <c r="AA813" t="str">
        <f>'Green_rooibos initial weight'!A814</f>
        <v>G810</v>
      </c>
      <c r="AB813" t="str">
        <f>'Green_rooibos initial weight'!A1718</f>
        <v>R809</v>
      </c>
      <c r="AC813" t="b">
        <f t="shared" si="198"/>
        <v>0</v>
      </c>
      <c r="AD813" t="b">
        <f t="shared" si="199"/>
        <v>0</v>
      </c>
      <c r="BN813" t="str">
        <f t="shared" si="200"/>
        <v>G871</v>
      </c>
    </row>
    <row r="814" spans="27:66" ht="12" customHeight="1">
      <c r="AA814" t="str">
        <f>'Green_rooibos initial weight'!A815</f>
        <v>G811</v>
      </c>
      <c r="AB814" t="str">
        <f>'Green_rooibos initial weight'!A1719</f>
        <v>R810</v>
      </c>
      <c r="AC814" t="b">
        <f t="shared" si="198"/>
        <v>0</v>
      </c>
      <c r="AD814" t="b">
        <f t="shared" si="199"/>
        <v>0</v>
      </c>
      <c r="BN814" t="str">
        <f t="shared" si="200"/>
        <v>G875</v>
      </c>
    </row>
    <row r="815" spans="27:66" ht="12" customHeight="1">
      <c r="AA815" t="str">
        <f>'Green_rooibos initial weight'!A816</f>
        <v>G812</v>
      </c>
      <c r="AB815" t="str">
        <f>'Green_rooibos initial weight'!A1720</f>
        <v>R811</v>
      </c>
      <c r="AC815" t="b">
        <f t="shared" si="198"/>
        <v>0</v>
      </c>
      <c r="AD815" t="b">
        <f t="shared" si="199"/>
        <v>0</v>
      </c>
      <c r="BN815" t="str">
        <f t="shared" si="200"/>
        <v>G876</v>
      </c>
    </row>
    <row r="816" spans="27:66" ht="12" customHeight="1">
      <c r="AA816" t="str">
        <f>'Green_rooibos initial weight'!A817</f>
        <v>G813</v>
      </c>
      <c r="AB816" t="str">
        <f>'Green_rooibos initial weight'!A1721</f>
        <v>R812</v>
      </c>
      <c r="AC816" t="b">
        <f t="shared" si="198"/>
        <v>0</v>
      </c>
      <c r="AD816" t="b">
        <f t="shared" si="199"/>
        <v>0</v>
      </c>
      <c r="BN816" t="str">
        <f t="shared" si="200"/>
        <v>G877</v>
      </c>
    </row>
    <row r="817" spans="27:66" ht="12" customHeight="1">
      <c r="AA817" t="str">
        <f>'Green_rooibos initial weight'!A818</f>
        <v>G814</v>
      </c>
      <c r="AB817" t="str">
        <f>'Green_rooibos initial weight'!A1722</f>
        <v>R813</v>
      </c>
      <c r="AC817" t="b">
        <f t="shared" si="198"/>
        <v>0</v>
      </c>
      <c r="AD817" t="b">
        <f t="shared" si="199"/>
        <v>0</v>
      </c>
      <c r="BN817" t="str">
        <f t="shared" si="200"/>
        <v>G878</v>
      </c>
    </row>
    <row r="818" spans="27:66" ht="12" customHeight="1">
      <c r="AA818" t="str">
        <f>'Green_rooibos initial weight'!A819</f>
        <v>G815</v>
      </c>
      <c r="AB818" t="str">
        <f>'Green_rooibos initial weight'!A1723</f>
        <v>R814</v>
      </c>
      <c r="AC818" t="b">
        <f t="shared" si="198"/>
        <v>0</v>
      </c>
      <c r="AD818" t="b">
        <f t="shared" si="199"/>
        <v>0</v>
      </c>
      <c r="BN818" t="str">
        <f t="shared" si="200"/>
        <v>G880</v>
      </c>
    </row>
    <row r="819" spans="27:66" ht="12" customHeight="1">
      <c r="AA819" t="str">
        <f>'Green_rooibos initial weight'!A820</f>
        <v>G816</v>
      </c>
      <c r="AB819" t="str">
        <f>'Green_rooibos initial weight'!A1724</f>
        <v>R815</v>
      </c>
      <c r="AC819" t="b">
        <f t="shared" si="198"/>
        <v>0</v>
      </c>
      <c r="AD819" t="b">
        <f t="shared" si="199"/>
        <v>0</v>
      </c>
      <c r="BN819" t="str">
        <f t="shared" si="200"/>
        <v>G881</v>
      </c>
    </row>
    <row r="820" spans="27:66" ht="12" customHeight="1">
      <c r="AA820" t="str">
        <f>'Green_rooibos initial weight'!A821</f>
        <v>G817</v>
      </c>
      <c r="AB820" t="str">
        <f>'Green_rooibos initial weight'!A1725</f>
        <v>R816</v>
      </c>
      <c r="AC820" t="b">
        <f t="shared" si="198"/>
        <v>0</v>
      </c>
      <c r="AD820" t="b">
        <f t="shared" si="199"/>
        <v>0</v>
      </c>
      <c r="BN820" t="str">
        <f t="shared" si="200"/>
        <v>G882</v>
      </c>
    </row>
    <row r="821" spans="27:66" ht="12" customHeight="1">
      <c r="AA821" t="str">
        <f>'Green_rooibos initial weight'!A822</f>
        <v>G818</v>
      </c>
      <c r="AB821" t="str">
        <f>'Green_rooibos initial weight'!A1726</f>
        <v>R817</v>
      </c>
      <c r="AC821" t="b">
        <f t="shared" si="198"/>
        <v>0</v>
      </c>
      <c r="AD821" t="b">
        <f t="shared" si="199"/>
        <v>0</v>
      </c>
      <c r="BN821" t="str">
        <f t="shared" si="200"/>
        <v>G883</v>
      </c>
    </row>
    <row r="822" spans="27:66" ht="12" customHeight="1">
      <c r="AA822" t="str">
        <f>'Green_rooibos initial weight'!A823</f>
        <v>G819</v>
      </c>
      <c r="AB822" t="str">
        <f>'Green_rooibos initial weight'!A1727</f>
        <v>R818</v>
      </c>
      <c r="AC822" t="b">
        <f t="shared" si="198"/>
        <v>0</v>
      </c>
      <c r="AD822" t="b">
        <f t="shared" si="199"/>
        <v>0</v>
      </c>
      <c r="BN822" t="str">
        <f t="shared" si="200"/>
        <v>G884</v>
      </c>
    </row>
    <row r="823" spans="27:66" ht="12" customHeight="1">
      <c r="AA823" t="str">
        <f>'Green_rooibos initial weight'!A824</f>
        <v>G820</v>
      </c>
      <c r="AB823" t="str">
        <f>'Green_rooibos initial weight'!A1728</f>
        <v>R819</v>
      </c>
      <c r="AC823" t="b">
        <f t="shared" si="198"/>
        <v>0</v>
      </c>
      <c r="AD823" t="b">
        <f t="shared" si="199"/>
        <v>0</v>
      </c>
      <c r="BN823" t="str">
        <f t="shared" si="200"/>
        <v>G885</v>
      </c>
    </row>
    <row r="824" spans="27:66" ht="12" customHeight="1">
      <c r="AA824" t="str">
        <f>'Green_rooibos initial weight'!A825</f>
        <v>G821</v>
      </c>
      <c r="AB824" t="str">
        <f>'Green_rooibos initial weight'!A1729</f>
        <v>R820</v>
      </c>
      <c r="AC824" t="b">
        <f t="shared" si="198"/>
        <v>0</v>
      </c>
      <c r="AD824" t="b">
        <f t="shared" si="199"/>
        <v>0</v>
      </c>
      <c r="BN824" t="str">
        <f t="shared" si="200"/>
        <v>G886</v>
      </c>
    </row>
    <row r="825" spans="27:66" ht="12" customHeight="1">
      <c r="AA825" t="str">
        <f>'Green_rooibos initial weight'!A826</f>
        <v>G822</v>
      </c>
      <c r="AB825" t="str">
        <f>'Green_rooibos initial weight'!A1730</f>
        <v>R821</v>
      </c>
      <c r="AC825" t="b">
        <f t="shared" si="198"/>
        <v>0</v>
      </c>
      <c r="AD825" t="b">
        <f t="shared" si="199"/>
        <v>0</v>
      </c>
      <c r="BN825" t="str">
        <f t="shared" si="200"/>
        <v>G887</v>
      </c>
    </row>
    <row r="826" spans="27:66" ht="12" customHeight="1">
      <c r="AA826" t="str">
        <f>'Green_rooibos initial weight'!A827</f>
        <v>G823</v>
      </c>
      <c r="AB826" t="str">
        <f>'Green_rooibos initial weight'!A1731</f>
        <v>R822</v>
      </c>
      <c r="AC826" t="b">
        <f t="shared" si="198"/>
        <v>0</v>
      </c>
      <c r="AD826" t="b">
        <f t="shared" si="199"/>
        <v>0</v>
      </c>
      <c r="BN826" t="str">
        <f t="shared" si="200"/>
        <v>G888</v>
      </c>
    </row>
    <row r="827" spans="27:66" ht="12" customHeight="1">
      <c r="AA827" t="str">
        <f>'Green_rooibos initial weight'!A828</f>
        <v>G824</v>
      </c>
      <c r="AB827" t="str">
        <f>'Green_rooibos initial weight'!A1732</f>
        <v>R823</v>
      </c>
      <c r="AC827" t="b">
        <f t="shared" si="198"/>
        <v>0</v>
      </c>
      <c r="AD827" t="b">
        <f t="shared" si="199"/>
        <v>0</v>
      </c>
      <c r="BN827" t="str">
        <f t="shared" si="200"/>
        <v>G889</v>
      </c>
    </row>
    <row r="828" spans="27:66" ht="12" customHeight="1">
      <c r="AA828" t="str">
        <f>'Green_rooibos initial weight'!A829</f>
        <v>G825</v>
      </c>
      <c r="AB828" t="str">
        <f>'Green_rooibos initial weight'!A1733</f>
        <v>R824</v>
      </c>
      <c r="AC828" t="b">
        <f t="shared" si="198"/>
        <v>0</v>
      </c>
      <c r="AD828" t="b">
        <f t="shared" si="199"/>
        <v>0</v>
      </c>
      <c r="BN828" t="str">
        <f t="shared" si="200"/>
        <v>G890</v>
      </c>
    </row>
    <row r="829" spans="27:66" ht="12" customHeight="1">
      <c r="AA829" t="str">
        <f>'Green_rooibos initial weight'!A830</f>
        <v>G826</v>
      </c>
      <c r="AB829" t="str">
        <f>'Green_rooibos initial weight'!A1734</f>
        <v>R825</v>
      </c>
      <c r="AC829" t="b">
        <f t="shared" si="198"/>
        <v>0</v>
      </c>
      <c r="AD829" t="b">
        <f t="shared" si="199"/>
        <v>0</v>
      </c>
      <c r="BN829" t="str">
        <f t="shared" si="200"/>
        <v>G891</v>
      </c>
    </row>
    <row r="830" spans="27:66" ht="12" customHeight="1">
      <c r="AA830" t="str">
        <f>'Green_rooibos initial weight'!A831</f>
        <v>G827</v>
      </c>
      <c r="AB830" t="str">
        <f>'Green_rooibos initial weight'!A1735</f>
        <v>R826</v>
      </c>
      <c r="AC830" t="b">
        <f t="shared" si="198"/>
        <v>0</v>
      </c>
      <c r="AD830" t="b">
        <f t="shared" si="199"/>
        <v>0</v>
      </c>
      <c r="BN830" t="str">
        <f t="shared" si="200"/>
        <v>G892</v>
      </c>
    </row>
    <row r="831" spans="27:66" ht="12" customHeight="1">
      <c r="AA831" t="str">
        <f>'Green_rooibos initial weight'!A832</f>
        <v>G828</v>
      </c>
      <c r="AB831" t="str">
        <f>'Green_rooibos initial weight'!A1736</f>
        <v>R827</v>
      </c>
      <c r="AC831" t="b">
        <f t="shared" si="198"/>
        <v>0</v>
      </c>
      <c r="AD831" t="b">
        <f t="shared" si="199"/>
        <v>0</v>
      </c>
      <c r="BN831" t="str">
        <f t="shared" si="200"/>
        <v>G893</v>
      </c>
    </row>
    <row r="832" spans="27:66" ht="12" customHeight="1">
      <c r="AA832" t="str">
        <f>'Green_rooibos initial weight'!A833</f>
        <v>G829</v>
      </c>
      <c r="AB832" t="str">
        <f>'Green_rooibos initial weight'!A1737</f>
        <v>R828</v>
      </c>
      <c r="AC832" t="b">
        <f t="shared" si="198"/>
        <v>0</v>
      </c>
      <c r="AD832" t="b">
        <f t="shared" si="199"/>
        <v>0</v>
      </c>
      <c r="BN832" t="str">
        <f t="shared" si="200"/>
        <v>G894</v>
      </c>
    </row>
    <row r="833" spans="27:66" ht="12" customHeight="1">
      <c r="AA833" t="str">
        <f>'Green_rooibos initial weight'!A834</f>
        <v>G830</v>
      </c>
      <c r="AB833" t="str">
        <f>'Green_rooibos initial weight'!A1738</f>
        <v>R829</v>
      </c>
      <c r="AC833" t="b">
        <f t="shared" si="198"/>
        <v>0</v>
      </c>
      <c r="AD833" t="b">
        <f t="shared" si="199"/>
        <v>0</v>
      </c>
      <c r="BN833" t="str">
        <f t="shared" si="200"/>
        <v>G895</v>
      </c>
    </row>
    <row r="834" spans="27:66" ht="12" customHeight="1">
      <c r="AA834" t="str">
        <f>'Green_rooibos initial weight'!A835</f>
        <v>G831</v>
      </c>
      <c r="AB834" t="str">
        <f>'Green_rooibos initial weight'!A1739</f>
        <v>R830</v>
      </c>
      <c r="AC834" t="b">
        <f t="shared" si="198"/>
        <v>0</v>
      </c>
      <c r="AD834" t="b">
        <f t="shared" si="199"/>
        <v>0</v>
      </c>
      <c r="BN834" t="str">
        <f t="shared" si="200"/>
        <v>G896</v>
      </c>
    </row>
    <row r="835" spans="27:66" ht="12" customHeight="1">
      <c r="AA835" t="str">
        <f>'Green_rooibos initial weight'!A836</f>
        <v>G832</v>
      </c>
      <c r="AB835" t="str">
        <f>'Green_rooibos initial weight'!A1740</f>
        <v>R831</v>
      </c>
      <c r="AC835" t="b">
        <f t="shared" si="198"/>
        <v>0</v>
      </c>
      <c r="AD835" t="b">
        <f t="shared" si="199"/>
        <v>0</v>
      </c>
      <c r="BN835" t="str">
        <f t="shared" si="200"/>
        <v>G897</v>
      </c>
    </row>
    <row r="836" spans="27:66" ht="12" customHeight="1">
      <c r="AA836" t="str">
        <f>'Green_rooibos initial weight'!A837</f>
        <v>G833</v>
      </c>
      <c r="AB836" t="str">
        <f>'Green_rooibos initial weight'!A1741</f>
        <v>R832</v>
      </c>
      <c r="AC836" t="b">
        <f t="shared" si="198"/>
        <v>0</v>
      </c>
      <c r="AD836" t="b">
        <f t="shared" si="199"/>
        <v>0</v>
      </c>
      <c r="BN836" t="str">
        <f t="shared" si="200"/>
        <v>G898</v>
      </c>
    </row>
    <row r="837" spans="27:66" ht="12" customHeight="1">
      <c r="AA837" t="str">
        <f>'Green_rooibos initial weight'!A838</f>
        <v>G834</v>
      </c>
      <c r="AB837" t="str">
        <f>'Green_rooibos initial weight'!A1742</f>
        <v>R833</v>
      </c>
      <c r="AC837" t="b">
        <f t="shared" ref="AC837:AC900" si="201">COUNTIF($AA$4:$AA$2000, AA837)&gt;1</f>
        <v>0</v>
      </c>
      <c r="AD837" t="b">
        <f t="shared" ref="AD837:AD900" si="202">COUNTIF($AB$4:$AB$2000, AB837)&gt;1</f>
        <v>0</v>
      </c>
      <c r="BN837" t="str">
        <f t="shared" si="200"/>
        <v>G899</v>
      </c>
    </row>
    <row r="838" spans="27:66" ht="12" customHeight="1">
      <c r="AA838" t="str">
        <f>'Green_rooibos initial weight'!A839</f>
        <v>G835</v>
      </c>
      <c r="AB838" t="str">
        <f>'Green_rooibos initial weight'!A1743</f>
        <v>R834</v>
      </c>
      <c r="AC838" t="b">
        <f t="shared" si="201"/>
        <v>0</v>
      </c>
      <c r="AD838" t="b">
        <f t="shared" si="202"/>
        <v>0</v>
      </c>
      <c r="BN838" t="str">
        <f t="shared" si="200"/>
        <v>G900</v>
      </c>
    </row>
    <row r="839" spans="27:66" ht="12" customHeight="1">
      <c r="AA839" t="str">
        <f>'Green_rooibos initial weight'!A840</f>
        <v>G836</v>
      </c>
      <c r="AB839" t="str">
        <f>'Green_rooibos initial weight'!A1744</f>
        <v>R835</v>
      </c>
      <c r="AC839" t="b">
        <f t="shared" si="201"/>
        <v>0</v>
      </c>
      <c r="AD839" t="b">
        <f t="shared" si="202"/>
        <v>0</v>
      </c>
      <c r="BN839" t="str">
        <f t="shared" si="200"/>
        <v>G901</v>
      </c>
    </row>
    <row r="840" spans="27:66" ht="12" customHeight="1">
      <c r="AA840" t="str">
        <f>'Green_rooibos initial weight'!A841</f>
        <v>G837</v>
      </c>
      <c r="AB840" t="str">
        <f>'Green_rooibos initial weight'!A1745</f>
        <v>R836</v>
      </c>
      <c r="AC840" t="b">
        <f t="shared" si="201"/>
        <v>0</v>
      </c>
      <c r="AD840" t="b">
        <f t="shared" si="202"/>
        <v>0</v>
      </c>
      <c r="BN840" t="str">
        <f t="shared" si="200"/>
        <v>G902</v>
      </c>
    </row>
    <row r="841" spans="27:66" ht="12" customHeight="1">
      <c r="AA841" t="str">
        <f>'Green_rooibos initial weight'!A842</f>
        <v>G838</v>
      </c>
      <c r="AB841" t="str">
        <f>'Green_rooibos initial weight'!A1746</f>
        <v>R837</v>
      </c>
      <c r="AC841" t="b">
        <f t="shared" si="201"/>
        <v>0</v>
      </c>
      <c r="AD841" t="b">
        <f t="shared" si="202"/>
        <v>0</v>
      </c>
      <c r="BN841" t="str">
        <f t="shared" si="200"/>
        <v>N.A.</v>
      </c>
    </row>
    <row r="842" spans="27:66" ht="12" customHeight="1">
      <c r="AA842" t="str">
        <f>'Green_rooibos initial weight'!A843</f>
        <v>G839</v>
      </c>
      <c r="AB842" t="str">
        <f>'Green_rooibos initial weight'!A1747</f>
        <v>R838</v>
      </c>
      <c r="AC842" t="b">
        <f t="shared" si="201"/>
        <v>0</v>
      </c>
      <c r="AD842" t="b">
        <f t="shared" si="202"/>
        <v>0</v>
      </c>
      <c r="BN842" t="str">
        <f t="shared" si="200"/>
        <v>NA</v>
      </c>
    </row>
    <row r="843" spans="27:66" ht="12" customHeight="1">
      <c r="AA843" t="str">
        <f>'Green_rooibos initial weight'!A844</f>
        <v>G840</v>
      </c>
      <c r="AB843" t="str">
        <f>'Green_rooibos initial weight'!A1748</f>
        <v>R839</v>
      </c>
      <c r="AC843" t="b">
        <f t="shared" si="201"/>
        <v>0</v>
      </c>
      <c r="AD843" t="b">
        <f t="shared" si="202"/>
        <v>0</v>
      </c>
    </row>
    <row r="844" spans="27:66" ht="12" customHeight="1">
      <c r="AA844" t="str">
        <f>'Green_rooibos initial weight'!A845</f>
        <v>G841</v>
      </c>
      <c r="AB844" t="str">
        <f>'Green_rooibos initial weight'!A1749</f>
        <v>R840</v>
      </c>
      <c r="AC844" t="b">
        <f t="shared" si="201"/>
        <v>0</v>
      </c>
      <c r="AD844" t="b">
        <f t="shared" si="202"/>
        <v>0</v>
      </c>
    </row>
    <row r="845" spans="27:66" ht="12" customHeight="1">
      <c r="AA845" t="str">
        <f>'Green_rooibos initial weight'!A846</f>
        <v>G842</v>
      </c>
      <c r="AB845">
        <f>'Green_rooibos initial weight'!A1750</f>
        <v>0</v>
      </c>
      <c r="AC845" t="b">
        <f t="shared" si="201"/>
        <v>0</v>
      </c>
      <c r="AD845" t="b">
        <f t="shared" si="202"/>
        <v>1</v>
      </c>
    </row>
    <row r="846" spans="27:66" ht="12" customHeight="1">
      <c r="AA846" t="str">
        <f>'Green_rooibos initial weight'!A847</f>
        <v>G843</v>
      </c>
      <c r="AB846">
        <f>'Green_rooibos initial weight'!A1751</f>
        <v>0</v>
      </c>
      <c r="AC846" t="b">
        <f t="shared" si="201"/>
        <v>0</v>
      </c>
      <c r="AD846" t="b">
        <f t="shared" si="202"/>
        <v>1</v>
      </c>
    </row>
    <row r="847" spans="27:66" ht="12" customHeight="1">
      <c r="AA847" t="str">
        <f>'Green_rooibos initial weight'!A848</f>
        <v>G844</v>
      </c>
      <c r="AB847">
        <f>'Green_rooibos initial weight'!A1752</f>
        <v>0</v>
      </c>
      <c r="AC847" t="b">
        <f t="shared" si="201"/>
        <v>0</v>
      </c>
      <c r="AD847" t="b">
        <f t="shared" si="202"/>
        <v>1</v>
      </c>
    </row>
    <row r="848" spans="27:66" ht="12" customHeight="1">
      <c r="AA848" t="str">
        <f>'Green_rooibos initial weight'!A849</f>
        <v>G845</v>
      </c>
      <c r="AB848">
        <f>'Green_rooibos initial weight'!A1753</f>
        <v>0</v>
      </c>
      <c r="AC848" t="b">
        <f t="shared" si="201"/>
        <v>0</v>
      </c>
      <c r="AD848" t="b">
        <f t="shared" si="202"/>
        <v>1</v>
      </c>
    </row>
    <row r="849" spans="27:30" ht="12" customHeight="1">
      <c r="AA849" t="str">
        <f>'Green_rooibos initial weight'!A850</f>
        <v>G846</v>
      </c>
      <c r="AB849">
        <f>'Green_rooibos initial weight'!A1754</f>
        <v>0</v>
      </c>
      <c r="AC849" t="b">
        <f t="shared" si="201"/>
        <v>0</v>
      </c>
      <c r="AD849" t="b">
        <f t="shared" si="202"/>
        <v>1</v>
      </c>
    </row>
    <row r="850" spans="27:30" ht="12" customHeight="1">
      <c r="AA850" t="str">
        <f>'Green_rooibos initial weight'!A851</f>
        <v>G847</v>
      </c>
      <c r="AB850">
        <f>'Green_rooibos initial weight'!A1755</f>
        <v>0</v>
      </c>
      <c r="AC850" t="b">
        <f t="shared" si="201"/>
        <v>0</v>
      </c>
      <c r="AD850" t="b">
        <f t="shared" si="202"/>
        <v>1</v>
      </c>
    </row>
    <row r="851" spans="27:30" ht="12" customHeight="1">
      <c r="AA851" t="str">
        <f>'Green_rooibos initial weight'!A852</f>
        <v>G848</v>
      </c>
      <c r="AB851">
        <f>'Green_rooibos initial weight'!A1756</f>
        <v>0</v>
      </c>
      <c r="AC851" t="b">
        <f t="shared" si="201"/>
        <v>0</v>
      </c>
      <c r="AD851" t="b">
        <f t="shared" si="202"/>
        <v>1</v>
      </c>
    </row>
    <row r="852" spans="27:30" ht="12" customHeight="1">
      <c r="AA852" t="str">
        <f>'Green_rooibos initial weight'!A853</f>
        <v>G849</v>
      </c>
      <c r="AB852">
        <f>'Green_rooibos initial weight'!A1757</f>
        <v>0</v>
      </c>
      <c r="AC852" t="b">
        <f t="shared" si="201"/>
        <v>0</v>
      </c>
      <c r="AD852" t="b">
        <f t="shared" si="202"/>
        <v>1</v>
      </c>
    </row>
    <row r="853" spans="27:30" ht="12" customHeight="1">
      <c r="AA853" t="str">
        <f>'Green_rooibos initial weight'!A854</f>
        <v>G850</v>
      </c>
      <c r="AB853">
        <f>'Green_rooibos initial weight'!A1758</f>
        <v>0</v>
      </c>
      <c r="AC853" t="b">
        <f t="shared" si="201"/>
        <v>0</v>
      </c>
      <c r="AD853" t="b">
        <f t="shared" si="202"/>
        <v>1</v>
      </c>
    </row>
    <row r="854" spans="27:30" ht="12" customHeight="1">
      <c r="AA854" t="str">
        <f>'Green_rooibos initial weight'!A855</f>
        <v>G851</v>
      </c>
      <c r="AB854">
        <f>'Green_rooibos initial weight'!A1759</f>
        <v>0</v>
      </c>
      <c r="AC854" t="b">
        <f t="shared" si="201"/>
        <v>0</v>
      </c>
      <c r="AD854" t="b">
        <f t="shared" si="202"/>
        <v>1</v>
      </c>
    </row>
    <row r="855" spans="27:30" ht="12" customHeight="1">
      <c r="AA855" t="str">
        <f>'Green_rooibos initial weight'!A856</f>
        <v>G852</v>
      </c>
      <c r="AB855">
        <f>'Green_rooibos initial weight'!A1760</f>
        <v>0</v>
      </c>
      <c r="AC855" t="b">
        <f t="shared" si="201"/>
        <v>0</v>
      </c>
      <c r="AD855" t="b">
        <f t="shared" si="202"/>
        <v>1</v>
      </c>
    </row>
    <row r="856" spans="27:30" ht="12" customHeight="1">
      <c r="AA856" t="str">
        <f>'Green_rooibos initial weight'!A857</f>
        <v>G853</v>
      </c>
      <c r="AB856">
        <f>'Green_rooibos initial weight'!A1761</f>
        <v>0</v>
      </c>
      <c r="AC856" t="b">
        <f t="shared" si="201"/>
        <v>0</v>
      </c>
      <c r="AD856" t="b">
        <f t="shared" si="202"/>
        <v>1</v>
      </c>
    </row>
    <row r="857" spans="27:30" ht="12" customHeight="1">
      <c r="AA857" t="str">
        <f>'Green_rooibos initial weight'!A858</f>
        <v>G854</v>
      </c>
      <c r="AB857">
        <f>'Green_rooibos initial weight'!A1762</f>
        <v>0</v>
      </c>
      <c r="AC857" t="b">
        <f t="shared" si="201"/>
        <v>0</v>
      </c>
      <c r="AD857" t="b">
        <f t="shared" si="202"/>
        <v>1</v>
      </c>
    </row>
    <row r="858" spans="27:30" ht="12" customHeight="1">
      <c r="AA858" t="str">
        <f>'Green_rooibos initial weight'!A859</f>
        <v>G855</v>
      </c>
      <c r="AB858">
        <f>'Green_rooibos initial weight'!A1763</f>
        <v>0</v>
      </c>
      <c r="AC858" t="b">
        <f t="shared" si="201"/>
        <v>0</v>
      </c>
      <c r="AD858" t="b">
        <f t="shared" si="202"/>
        <v>1</v>
      </c>
    </row>
    <row r="859" spans="27:30" ht="12" customHeight="1">
      <c r="AA859" t="str">
        <f>'Green_rooibos initial weight'!A860</f>
        <v>G856</v>
      </c>
      <c r="AB859">
        <f>'Green_rooibos initial weight'!A1764</f>
        <v>0</v>
      </c>
      <c r="AC859" t="b">
        <f t="shared" si="201"/>
        <v>0</v>
      </c>
      <c r="AD859" t="b">
        <f t="shared" si="202"/>
        <v>1</v>
      </c>
    </row>
    <row r="860" spans="27:30" ht="12" customHeight="1">
      <c r="AA860" t="str">
        <f>'Green_rooibos initial weight'!A861</f>
        <v>G857</v>
      </c>
      <c r="AB860">
        <f>'Green_rooibos initial weight'!A1765</f>
        <v>0</v>
      </c>
      <c r="AC860" t="b">
        <f t="shared" si="201"/>
        <v>0</v>
      </c>
      <c r="AD860" t="b">
        <f t="shared" si="202"/>
        <v>1</v>
      </c>
    </row>
    <row r="861" spans="27:30" ht="12" customHeight="1">
      <c r="AA861" t="str">
        <f>'Green_rooibos initial weight'!A862</f>
        <v>G858</v>
      </c>
      <c r="AB861">
        <f>'Green_rooibos initial weight'!A1766</f>
        <v>0</v>
      </c>
      <c r="AC861" t="b">
        <f t="shared" si="201"/>
        <v>0</v>
      </c>
      <c r="AD861" t="b">
        <f t="shared" si="202"/>
        <v>1</v>
      </c>
    </row>
    <row r="862" spans="27:30" ht="12" customHeight="1">
      <c r="AA862" t="str">
        <f>'Green_rooibos initial weight'!A863</f>
        <v>G859</v>
      </c>
      <c r="AB862">
        <f>'Green_rooibos initial weight'!A1767</f>
        <v>0</v>
      </c>
      <c r="AC862" t="b">
        <f t="shared" si="201"/>
        <v>0</v>
      </c>
      <c r="AD862" t="b">
        <f t="shared" si="202"/>
        <v>1</v>
      </c>
    </row>
    <row r="863" spans="27:30" ht="12" customHeight="1">
      <c r="AA863" t="str">
        <f>'Green_rooibos initial weight'!A864</f>
        <v>G860</v>
      </c>
      <c r="AB863">
        <f>'Green_rooibos initial weight'!A1768</f>
        <v>0</v>
      </c>
      <c r="AC863" t="b">
        <f t="shared" si="201"/>
        <v>0</v>
      </c>
      <c r="AD863" t="b">
        <f t="shared" si="202"/>
        <v>1</v>
      </c>
    </row>
    <row r="864" spans="27:30" ht="12" customHeight="1">
      <c r="AA864" t="str">
        <f>'Green_rooibos initial weight'!A865</f>
        <v>G861</v>
      </c>
      <c r="AB864">
        <f>'Green_rooibos initial weight'!A1769</f>
        <v>0</v>
      </c>
      <c r="AC864" t="b">
        <f t="shared" si="201"/>
        <v>0</v>
      </c>
      <c r="AD864" t="b">
        <f t="shared" si="202"/>
        <v>1</v>
      </c>
    </row>
    <row r="865" spans="27:30" ht="12" customHeight="1">
      <c r="AA865" t="str">
        <f>'Green_rooibos initial weight'!A866</f>
        <v>G862</v>
      </c>
      <c r="AB865">
        <f>'Green_rooibos initial weight'!A1770</f>
        <v>0</v>
      </c>
      <c r="AC865" t="b">
        <f t="shared" si="201"/>
        <v>0</v>
      </c>
      <c r="AD865" t="b">
        <f t="shared" si="202"/>
        <v>1</v>
      </c>
    </row>
    <row r="866" spans="27:30" ht="12" customHeight="1">
      <c r="AA866" t="str">
        <f>'Green_rooibos initial weight'!A867</f>
        <v>G863</v>
      </c>
      <c r="AB866">
        <f>'Green_rooibos initial weight'!A1771</f>
        <v>0</v>
      </c>
      <c r="AC866" t="b">
        <f t="shared" si="201"/>
        <v>0</v>
      </c>
      <c r="AD866" t="b">
        <f t="shared" si="202"/>
        <v>1</v>
      </c>
    </row>
    <row r="867" spans="27:30" ht="12" customHeight="1">
      <c r="AA867" t="str">
        <f>'Green_rooibos initial weight'!A868</f>
        <v>G864</v>
      </c>
      <c r="AB867">
        <f>'Green_rooibos initial weight'!A1772</f>
        <v>0</v>
      </c>
      <c r="AC867" t="b">
        <f t="shared" si="201"/>
        <v>0</v>
      </c>
      <c r="AD867" t="b">
        <f t="shared" si="202"/>
        <v>1</v>
      </c>
    </row>
    <row r="868" spans="27:30" ht="12" customHeight="1">
      <c r="AA868" t="str">
        <f>'Green_rooibos initial weight'!A869</f>
        <v>G865</v>
      </c>
      <c r="AB868">
        <f>'Green_rooibos initial weight'!A1773</f>
        <v>0</v>
      </c>
      <c r="AC868" t="b">
        <f t="shared" si="201"/>
        <v>0</v>
      </c>
      <c r="AD868" t="b">
        <f t="shared" si="202"/>
        <v>1</v>
      </c>
    </row>
    <row r="869" spans="27:30" ht="12" customHeight="1">
      <c r="AA869" t="str">
        <f>'Green_rooibos initial weight'!A870</f>
        <v>G866</v>
      </c>
      <c r="AB869">
        <f>'Green_rooibos initial weight'!A1774</f>
        <v>0</v>
      </c>
      <c r="AC869" t="b">
        <f t="shared" si="201"/>
        <v>0</v>
      </c>
      <c r="AD869" t="b">
        <f t="shared" si="202"/>
        <v>1</v>
      </c>
    </row>
    <row r="870" spans="27:30" ht="12" customHeight="1">
      <c r="AA870" t="str">
        <f>'Green_rooibos initial weight'!A871</f>
        <v>G867</v>
      </c>
      <c r="AB870">
        <f>'Green_rooibos initial weight'!A1775</f>
        <v>0</v>
      </c>
      <c r="AC870" t="b">
        <f t="shared" si="201"/>
        <v>0</v>
      </c>
      <c r="AD870" t="b">
        <f t="shared" si="202"/>
        <v>1</v>
      </c>
    </row>
    <row r="871" spans="27:30" ht="12" customHeight="1">
      <c r="AA871" t="str">
        <f>'Green_rooibos initial weight'!A872</f>
        <v>G868</v>
      </c>
      <c r="AB871">
        <f>'Green_rooibos initial weight'!A1776</f>
        <v>0</v>
      </c>
      <c r="AC871" t="b">
        <f t="shared" si="201"/>
        <v>0</v>
      </c>
      <c r="AD871" t="b">
        <f t="shared" si="202"/>
        <v>1</v>
      </c>
    </row>
    <row r="872" spans="27:30" ht="12" customHeight="1">
      <c r="AA872" t="str">
        <f>'Green_rooibos initial weight'!A873</f>
        <v>G869</v>
      </c>
      <c r="AB872">
        <f>'Green_rooibos initial weight'!A1777</f>
        <v>0</v>
      </c>
      <c r="AC872" t="b">
        <f t="shared" si="201"/>
        <v>0</v>
      </c>
      <c r="AD872" t="b">
        <f t="shared" si="202"/>
        <v>1</v>
      </c>
    </row>
    <row r="873" spans="27:30" ht="12" customHeight="1">
      <c r="AA873" t="str">
        <f>'Green_rooibos initial weight'!A874</f>
        <v>G870</v>
      </c>
      <c r="AB873">
        <f>'Green_rooibos initial weight'!A1778</f>
        <v>0</v>
      </c>
      <c r="AC873" t="b">
        <f t="shared" si="201"/>
        <v>0</v>
      </c>
      <c r="AD873" t="b">
        <f t="shared" si="202"/>
        <v>1</v>
      </c>
    </row>
    <row r="874" spans="27:30" ht="12" customHeight="1">
      <c r="AA874" t="str">
        <f>'Green_rooibos initial weight'!A875</f>
        <v>G871</v>
      </c>
      <c r="AB874">
        <f>'Green_rooibos initial weight'!A1779</f>
        <v>0</v>
      </c>
      <c r="AC874" t="b">
        <f t="shared" si="201"/>
        <v>0</v>
      </c>
      <c r="AD874" t="b">
        <f t="shared" si="202"/>
        <v>1</v>
      </c>
    </row>
    <row r="875" spans="27:30" ht="12" customHeight="1">
      <c r="AA875" t="str">
        <f>'Green_rooibos initial weight'!A876</f>
        <v>G872</v>
      </c>
      <c r="AB875">
        <f>'Green_rooibos initial weight'!A1780</f>
        <v>0</v>
      </c>
      <c r="AC875" t="b">
        <f t="shared" si="201"/>
        <v>0</v>
      </c>
      <c r="AD875" t="b">
        <f t="shared" si="202"/>
        <v>1</v>
      </c>
    </row>
    <row r="876" spans="27:30" ht="12" customHeight="1">
      <c r="AA876" t="str">
        <f>'Green_rooibos initial weight'!A877</f>
        <v>G873</v>
      </c>
      <c r="AB876">
        <f>'Green_rooibos initial weight'!A1781</f>
        <v>0</v>
      </c>
      <c r="AC876" t="b">
        <f t="shared" si="201"/>
        <v>0</v>
      </c>
      <c r="AD876" t="b">
        <f t="shared" si="202"/>
        <v>1</v>
      </c>
    </row>
    <row r="877" spans="27:30" ht="12" customHeight="1">
      <c r="AA877" t="str">
        <f>'Green_rooibos initial weight'!A878</f>
        <v>G874</v>
      </c>
      <c r="AB877">
        <f>'Green_rooibos initial weight'!A1782</f>
        <v>0</v>
      </c>
      <c r="AC877" t="b">
        <f t="shared" si="201"/>
        <v>0</v>
      </c>
      <c r="AD877" t="b">
        <f t="shared" si="202"/>
        <v>1</v>
      </c>
    </row>
    <row r="878" spans="27:30" ht="12" customHeight="1">
      <c r="AA878" t="str">
        <f>'Green_rooibos initial weight'!A879</f>
        <v>G875</v>
      </c>
      <c r="AB878">
        <f>'Green_rooibos initial weight'!A1783</f>
        <v>0</v>
      </c>
      <c r="AC878" t="b">
        <f t="shared" si="201"/>
        <v>0</v>
      </c>
      <c r="AD878" t="b">
        <f t="shared" si="202"/>
        <v>1</v>
      </c>
    </row>
    <row r="879" spans="27:30" ht="12" customHeight="1">
      <c r="AA879" t="str">
        <f>'Green_rooibos initial weight'!A880</f>
        <v>G876</v>
      </c>
      <c r="AB879">
        <f>'Green_rooibos initial weight'!A1784</f>
        <v>0</v>
      </c>
      <c r="AC879" t="b">
        <f t="shared" si="201"/>
        <v>0</v>
      </c>
      <c r="AD879" t="b">
        <f t="shared" si="202"/>
        <v>1</v>
      </c>
    </row>
    <row r="880" spans="27:30" ht="12" customHeight="1">
      <c r="AA880" t="str">
        <f>'Green_rooibos initial weight'!A881</f>
        <v>G877</v>
      </c>
      <c r="AB880">
        <f>'Green_rooibos initial weight'!A1785</f>
        <v>0</v>
      </c>
      <c r="AC880" t="b">
        <f t="shared" si="201"/>
        <v>0</v>
      </c>
      <c r="AD880" t="b">
        <f t="shared" si="202"/>
        <v>1</v>
      </c>
    </row>
    <row r="881" spans="27:30" ht="12" customHeight="1">
      <c r="AA881" t="str">
        <f>'Green_rooibos initial weight'!A882</f>
        <v>G878</v>
      </c>
      <c r="AB881">
        <f>'Green_rooibos initial weight'!A1786</f>
        <v>0</v>
      </c>
      <c r="AC881" t="b">
        <f t="shared" si="201"/>
        <v>0</v>
      </c>
      <c r="AD881" t="b">
        <f t="shared" si="202"/>
        <v>1</v>
      </c>
    </row>
    <row r="882" spans="27:30" ht="12" customHeight="1">
      <c r="AA882" t="str">
        <f>'Green_rooibos initial weight'!A883</f>
        <v>G879</v>
      </c>
      <c r="AB882">
        <f>'Green_rooibos initial weight'!A1787</f>
        <v>0</v>
      </c>
      <c r="AC882" t="b">
        <f t="shared" si="201"/>
        <v>0</v>
      </c>
      <c r="AD882" t="b">
        <f t="shared" si="202"/>
        <v>1</v>
      </c>
    </row>
    <row r="883" spans="27:30" ht="12" customHeight="1">
      <c r="AA883" t="str">
        <f>'Green_rooibos initial weight'!A884</f>
        <v>G880</v>
      </c>
      <c r="AB883">
        <f>'Green_rooibos initial weight'!A1788</f>
        <v>0</v>
      </c>
      <c r="AC883" t="b">
        <f t="shared" si="201"/>
        <v>0</v>
      </c>
      <c r="AD883" t="b">
        <f t="shared" si="202"/>
        <v>1</v>
      </c>
    </row>
    <row r="884" spans="27:30" ht="12" customHeight="1">
      <c r="AA884" t="str">
        <f>'Green_rooibos initial weight'!A885</f>
        <v>G881</v>
      </c>
      <c r="AB884">
        <f>'Green_rooibos initial weight'!A1789</f>
        <v>0</v>
      </c>
      <c r="AC884" t="b">
        <f t="shared" si="201"/>
        <v>0</v>
      </c>
      <c r="AD884" t="b">
        <f t="shared" si="202"/>
        <v>1</v>
      </c>
    </row>
    <row r="885" spans="27:30" ht="12" customHeight="1">
      <c r="AA885" t="str">
        <f>'Green_rooibos initial weight'!A886</f>
        <v>G882</v>
      </c>
      <c r="AB885">
        <f>'Green_rooibos initial weight'!A1790</f>
        <v>0</v>
      </c>
      <c r="AC885" t="b">
        <f t="shared" si="201"/>
        <v>0</v>
      </c>
      <c r="AD885" t="b">
        <f t="shared" si="202"/>
        <v>1</v>
      </c>
    </row>
    <row r="886" spans="27:30" ht="12" customHeight="1">
      <c r="AA886" t="str">
        <f>'Green_rooibos initial weight'!A887</f>
        <v>G883</v>
      </c>
      <c r="AB886">
        <f>'Green_rooibos initial weight'!A1791</f>
        <v>0</v>
      </c>
      <c r="AC886" t="b">
        <f t="shared" si="201"/>
        <v>0</v>
      </c>
      <c r="AD886" t="b">
        <f t="shared" si="202"/>
        <v>1</v>
      </c>
    </row>
    <row r="887" spans="27:30" ht="12" customHeight="1">
      <c r="AA887" t="str">
        <f>'Green_rooibos initial weight'!A888</f>
        <v>G884</v>
      </c>
      <c r="AB887">
        <f>'Green_rooibos initial weight'!A1792</f>
        <v>0</v>
      </c>
      <c r="AC887" t="b">
        <f t="shared" si="201"/>
        <v>0</v>
      </c>
      <c r="AD887" t="b">
        <f t="shared" si="202"/>
        <v>1</v>
      </c>
    </row>
    <row r="888" spans="27:30" ht="12" customHeight="1">
      <c r="AA888" t="str">
        <f>'Green_rooibos initial weight'!A889</f>
        <v>G885</v>
      </c>
      <c r="AB888">
        <f>'Green_rooibos initial weight'!A1793</f>
        <v>0</v>
      </c>
      <c r="AC888" t="b">
        <f t="shared" si="201"/>
        <v>0</v>
      </c>
      <c r="AD888" t="b">
        <f t="shared" si="202"/>
        <v>1</v>
      </c>
    </row>
    <row r="889" spans="27:30" ht="12" customHeight="1">
      <c r="AA889" t="str">
        <f>'Green_rooibos initial weight'!A890</f>
        <v>G886</v>
      </c>
      <c r="AB889">
        <f>'Green_rooibos initial weight'!A1794</f>
        <v>0</v>
      </c>
      <c r="AC889" t="b">
        <f t="shared" si="201"/>
        <v>0</v>
      </c>
      <c r="AD889" t="b">
        <f t="shared" si="202"/>
        <v>1</v>
      </c>
    </row>
    <row r="890" spans="27:30" ht="12" customHeight="1">
      <c r="AA890" t="str">
        <f>'Green_rooibos initial weight'!A891</f>
        <v>G887</v>
      </c>
      <c r="AB890">
        <f>'Green_rooibos initial weight'!A1795</f>
        <v>0</v>
      </c>
      <c r="AC890" t="b">
        <f t="shared" si="201"/>
        <v>0</v>
      </c>
      <c r="AD890" t="b">
        <f t="shared" si="202"/>
        <v>1</v>
      </c>
    </row>
    <row r="891" spans="27:30" ht="12" customHeight="1">
      <c r="AA891" t="str">
        <f>'Green_rooibos initial weight'!A892</f>
        <v>G888</v>
      </c>
      <c r="AB891">
        <f>'Green_rooibos initial weight'!A1796</f>
        <v>0</v>
      </c>
      <c r="AC891" t="b">
        <f t="shared" si="201"/>
        <v>0</v>
      </c>
      <c r="AD891" t="b">
        <f t="shared" si="202"/>
        <v>1</v>
      </c>
    </row>
    <row r="892" spans="27:30" ht="12" customHeight="1">
      <c r="AA892" t="str">
        <f>'Green_rooibos initial weight'!A893</f>
        <v>G889</v>
      </c>
      <c r="AB892">
        <f>'Green_rooibos initial weight'!A1797</f>
        <v>0</v>
      </c>
      <c r="AC892" t="b">
        <f t="shared" si="201"/>
        <v>0</v>
      </c>
      <c r="AD892" t="b">
        <f t="shared" si="202"/>
        <v>1</v>
      </c>
    </row>
    <row r="893" spans="27:30" ht="12" customHeight="1">
      <c r="AA893" t="str">
        <f>'Green_rooibos initial weight'!A894</f>
        <v>G890</v>
      </c>
      <c r="AB893">
        <f>'Green_rooibos initial weight'!A1798</f>
        <v>0</v>
      </c>
      <c r="AC893" t="b">
        <f t="shared" si="201"/>
        <v>0</v>
      </c>
      <c r="AD893" t="b">
        <f t="shared" si="202"/>
        <v>1</v>
      </c>
    </row>
    <row r="894" spans="27:30" ht="12" customHeight="1">
      <c r="AA894" t="str">
        <f>'Green_rooibos initial weight'!A895</f>
        <v>G891</v>
      </c>
      <c r="AB894">
        <f>'Green_rooibos initial weight'!A1799</f>
        <v>0</v>
      </c>
      <c r="AC894" t="b">
        <f t="shared" si="201"/>
        <v>0</v>
      </c>
      <c r="AD894" t="b">
        <f t="shared" si="202"/>
        <v>1</v>
      </c>
    </row>
    <row r="895" spans="27:30" ht="12" customHeight="1">
      <c r="AA895" t="str">
        <f>'Green_rooibos initial weight'!A896</f>
        <v>G892</v>
      </c>
      <c r="AC895" t="b">
        <f t="shared" si="201"/>
        <v>0</v>
      </c>
      <c r="AD895" t="b">
        <f t="shared" si="202"/>
        <v>1</v>
      </c>
    </row>
    <row r="896" spans="27:30" ht="12" customHeight="1">
      <c r="AA896" t="str">
        <f>'Green_rooibos initial weight'!A897</f>
        <v>G893</v>
      </c>
      <c r="AC896" t="b">
        <f t="shared" si="201"/>
        <v>0</v>
      </c>
      <c r="AD896" t="b">
        <f t="shared" si="202"/>
        <v>1</v>
      </c>
    </row>
    <row r="897" spans="27:30" ht="12" customHeight="1">
      <c r="AA897" t="str">
        <f>'Green_rooibos initial weight'!A898</f>
        <v>G894</v>
      </c>
      <c r="AC897" t="b">
        <f t="shared" si="201"/>
        <v>0</v>
      </c>
      <c r="AD897" t="b">
        <f t="shared" si="202"/>
        <v>1</v>
      </c>
    </row>
    <row r="898" spans="27:30" ht="12" customHeight="1">
      <c r="AA898" t="str">
        <f>'Green_rooibos initial weight'!A899</f>
        <v>G895</v>
      </c>
      <c r="AC898" t="b">
        <f t="shared" si="201"/>
        <v>0</v>
      </c>
      <c r="AD898" t="b">
        <f t="shared" si="202"/>
        <v>1</v>
      </c>
    </row>
    <row r="899" spans="27:30" ht="12" customHeight="1">
      <c r="AA899" t="str">
        <f>'Green_rooibos initial weight'!A900</f>
        <v>G896</v>
      </c>
      <c r="AC899" t="b">
        <f t="shared" si="201"/>
        <v>0</v>
      </c>
      <c r="AD899" t="b">
        <f t="shared" si="202"/>
        <v>1</v>
      </c>
    </row>
    <row r="900" spans="27:30" ht="12" customHeight="1">
      <c r="AA900" t="str">
        <f>'Green_rooibos initial weight'!A901</f>
        <v>G897</v>
      </c>
      <c r="AC900" t="b">
        <f t="shared" si="201"/>
        <v>0</v>
      </c>
      <c r="AD900" t="b">
        <f t="shared" si="202"/>
        <v>1</v>
      </c>
    </row>
    <row r="901" spans="27:30" ht="12" customHeight="1">
      <c r="AA901" t="str">
        <f>'Green_rooibos initial weight'!A902</f>
        <v>G898</v>
      </c>
      <c r="AC901" t="b">
        <f t="shared" ref="AC901:AC907" si="203">COUNTIF($AA$4:$AA$2000, AA901)&gt;1</f>
        <v>0</v>
      </c>
      <c r="AD901" t="b">
        <f t="shared" ref="AD901:AD907" si="204">COUNTIF($AB$4:$AB$2000, AB901)&gt;1</f>
        <v>1</v>
      </c>
    </row>
    <row r="902" spans="27:30" ht="12" customHeight="1">
      <c r="AA902" t="str">
        <f>'Green_rooibos initial weight'!A903</f>
        <v>G899</v>
      </c>
      <c r="AC902" t="b">
        <f t="shared" si="203"/>
        <v>0</v>
      </c>
      <c r="AD902" t="b">
        <f t="shared" si="204"/>
        <v>1</v>
      </c>
    </row>
    <row r="903" spans="27:30" ht="12" customHeight="1">
      <c r="AA903" t="str">
        <f>'Green_rooibos initial weight'!A904</f>
        <v>G900</v>
      </c>
      <c r="AC903" t="b">
        <f t="shared" si="203"/>
        <v>0</v>
      </c>
      <c r="AD903" t="b">
        <f t="shared" si="204"/>
        <v>1</v>
      </c>
    </row>
    <row r="904" spans="27:30" ht="12" customHeight="1">
      <c r="AA904" t="str">
        <f>'Green_rooibos initial weight'!A905</f>
        <v>G901</v>
      </c>
      <c r="AC904" t="b">
        <f t="shared" si="203"/>
        <v>0</v>
      </c>
      <c r="AD904" t="b">
        <f t="shared" si="204"/>
        <v>1</v>
      </c>
    </row>
    <row r="905" spans="27:30" ht="12" customHeight="1">
      <c r="AA905" t="str">
        <f>'Green_rooibos initial weight'!A906</f>
        <v>G902</v>
      </c>
      <c r="AC905" t="b">
        <f t="shared" si="203"/>
        <v>0</v>
      </c>
      <c r="AD905" t="b">
        <f t="shared" si="204"/>
        <v>1</v>
      </c>
    </row>
    <row r="906" spans="27:30" ht="12" customHeight="1">
      <c r="AA906" t="str">
        <f>'Green_rooibos initial weight'!A907</f>
        <v>G903</v>
      </c>
      <c r="AC906" t="b">
        <f t="shared" si="203"/>
        <v>0</v>
      </c>
      <c r="AD906" t="b">
        <f t="shared" si="204"/>
        <v>1</v>
      </c>
    </row>
    <row r="907" spans="27:30" ht="12" customHeight="1">
      <c r="AA907" t="str">
        <f>'Green_rooibos initial weight'!A908</f>
        <v>G904</v>
      </c>
      <c r="AC907" t="b">
        <f t="shared" si="203"/>
        <v>0</v>
      </c>
      <c r="AD907" t="b">
        <f t="shared" si="204"/>
        <v>1</v>
      </c>
    </row>
  </sheetData>
  <sortState ref="BN5:BO422">
    <sortCondition ref="BN5"/>
  </sortState>
  <mergeCells count="2">
    <mergeCell ref="G1:H1"/>
    <mergeCell ref="B1:C1"/>
  </mergeCells>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3DAAD-46F1-42A3-B132-B1E41519BE1A}">
  <dimension ref="A1:AX819"/>
  <sheetViews>
    <sheetView zoomScaleNormal="100" workbookViewId="0">
      <pane ySplit="1" topLeftCell="A684" activePane="bottomLeft" state="frozen"/>
      <selection pane="bottomLeft" activeCell="K680" sqref="K680"/>
    </sheetView>
  </sheetViews>
  <sheetFormatPr baseColWidth="10" defaultColWidth="11.44140625" defaultRowHeight="14.4"/>
  <cols>
    <col min="1" max="1" width="11.44140625" style="197"/>
    <col min="3" max="3" width="21.109375" style="197" customWidth="1"/>
    <col min="4" max="5" width="11.44140625" style="197"/>
    <col min="6" max="6" width="17" style="197" customWidth="1"/>
    <col min="7" max="9" width="11.44140625" style="197"/>
    <col min="10" max="10" width="19.33203125" style="197" customWidth="1"/>
    <col min="11" max="12" width="11.44140625" style="197"/>
    <col min="13" max="13" width="15.6640625" style="197" customWidth="1"/>
    <col min="14" max="14" width="21.88671875" style="197" customWidth="1"/>
    <col min="15" max="15" width="11.44140625" style="197"/>
    <col min="16" max="16" width="22.44140625" style="197" bestFit="1" customWidth="1"/>
    <col min="17" max="16384" width="11.44140625" style="197"/>
  </cols>
  <sheetData>
    <row r="1" spans="1:50" ht="100.8">
      <c r="A1" s="211" t="s">
        <v>2609</v>
      </c>
      <c r="B1" s="166" t="s">
        <v>2485</v>
      </c>
      <c r="C1" s="211" t="s">
        <v>2610</v>
      </c>
      <c r="D1" s="211" t="s">
        <v>2589</v>
      </c>
      <c r="E1" s="211" t="s">
        <v>2608</v>
      </c>
      <c r="F1" s="211" t="s">
        <v>2607</v>
      </c>
      <c r="G1" s="211" t="s">
        <v>2606</v>
      </c>
      <c r="H1" s="211" t="s">
        <v>2605</v>
      </c>
      <c r="I1" s="210" t="s">
        <v>2644</v>
      </c>
      <c r="J1" s="210" t="s">
        <v>2645</v>
      </c>
      <c r="K1" s="210" t="s">
        <v>2646</v>
      </c>
      <c r="L1" s="210" t="s">
        <v>2604</v>
      </c>
      <c r="M1" s="210" t="s">
        <v>2603</v>
      </c>
      <c r="N1" s="210" t="s">
        <v>2602</v>
      </c>
      <c r="O1" s="210" t="s">
        <v>2601</v>
      </c>
      <c r="P1" s="210" t="s">
        <v>2147</v>
      </c>
      <c r="AA1" s="405" t="s">
        <v>3923</v>
      </c>
      <c r="AB1" s="404" t="s">
        <v>3918</v>
      </c>
      <c r="AC1" s="404" t="s">
        <v>3919</v>
      </c>
      <c r="AD1" s="404" t="s">
        <v>3920</v>
      </c>
      <c r="AE1" s="404" t="s">
        <v>3921</v>
      </c>
    </row>
    <row r="2" spans="1:50">
      <c r="A2" s="197" t="s">
        <v>1849</v>
      </c>
      <c r="C2" s="198">
        <v>32</v>
      </c>
      <c r="D2" s="197">
        <v>0.48409999999999997</v>
      </c>
      <c r="E2" s="202">
        <v>7.4744999999999999</v>
      </c>
      <c r="F2" s="202">
        <v>0.20019999999999999</v>
      </c>
      <c r="G2" s="201">
        <f t="shared" ref="G2:G33" si="0">E2+F2</f>
        <v>7.6746999999999996</v>
      </c>
      <c r="H2" s="201">
        <v>7.4890999999999996</v>
      </c>
      <c r="I2" s="201">
        <f t="shared" ref="I2:I33" si="1">(G2-H2)</f>
        <v>0.18559999999999999</v>
      </c>
      <c r="J2" s="201">
        <f t="shared" ref="J2:J33" si="2">F2-I2</f>
        <v>1.4600000000000002E-2</v>
      </c>
      <c r="K2" s="280">
        <f t="shared" ref="K2:K33" si="3">(J2/F2)*100</f>
        <v>7.292707292707294</v>
      </c>
      <c r="L2" s="201">
        <v>26</v>
      </c>
      <c r="M2" s="204">
        <v>43221</v>
      </c>
      <c r="N2" s="204">
        <v>43221</v>
      </c>
      <c r="AA2"/>
      <c r="AB2" s="110" t="str">
        <f>IFERROR(INDEX('WetLitterbags placem_collection'!$A$3:$A$500,MATCH($A2,'WetLitterbags placem_collection'!$K$4:$K$500,0)),"")</f>
        <v/>
      </c>
      <c r="AC2" s="110" t="str">
        <f>IFERROR(INDEX('WetLitterbags placem_collection'!$A$3:$A$500,MATCH($A2,'WetLitterbags placem_collection'!$K$4:$K$500,0)),"")</f>
        <v/>
      </c>
      <c r="AD2" s="110" t="str">
        <f>IFERROR(INDEX('WetLitterbags placem_collection'!$A$3:$A$500,MATCH($A2,'WetLitterbags placem_collection'!$K$4:$K$500,0)),"")</f>
        <v/>
      </c>
      <c r="AE2" s="110" t="str">
        <f>IFERROR(INDEX('WetLitterbags placem_collection'!$A$3:$A$500,MATCH($A2,'WetLitterbags placem_collection'!$K$4:$K$500,0)),"")</f>
        <v/>
      </c>
    </row>
    <row r="3" spans="1:50">
      <c r="A3" s="201" t="s">
        <v>1848</v>
      </c>
      <c r="C3" s="201">
        <v>163</v>
      </c>
      <c r="D3" s="201">
        <v>0.45610000000000001</v>
      </c>
      <c r="E3" s="202">
        <v>10.503399999999999</v>
      </c>
      <c r="F3" s="202">
        <v>0.20180000000000001</v>
      </c>
      <c r="G3" s="201">
        <f t="shared" si="0"/>
        <v>10.7052</v>
      </c>
      <c r="H3" s="201">
        <v>10.522399999999999</v>
      </c>
      <c r="I3" s="201">
        <f t="shared" si="1"/>
        <v>0.1828000000000003</v>
      </c>
      <c r="J3" s="201">
        <f t="shared" si="2"/>
        <v>1.8999999999999712E-2</v>
      </c>
      <c r="K3" s="280">
        <f t="shared" si="3"/>
        <v>9.4152626362733951</v>
      </c>
      <c r="L3" s="201">
        <v>31</v>
      </c>
      <c r="M3" s="207">
        <v>43186.458333333336</v>
      </c>
      <c r="N3" s="207">
        <v>43186.625</v>
      </c>
      <c r="O3" s="197" t="s">
        <v>2550</v>
      </c>
      <c r="P3" s="201"/>
      <c r="AB3" s="110">
        <f>IFERROR(INDEX('WetLitterbags placem_collection'!$A$3:$A$500,MATCH(A3,'WetLitterbags placem_collection'!$K$4:$K$500,0)),"")</f>
        <v>162</v>
      </c>
      <c r="AC3" s="110" t="str">
        <f>IFERROR(INDEX('WetLitterbags placem_collection'!$A$3:$A$500,MATCH($A3,'WetLitterbags placem_collection'!$O$4:$O$500,0)),"")</f>
        <v/>
      </c>
      <c r="AD3" s="110" t="str">
        <f>IFERROR(INDEX('WetLitterbags placem_collection'!$A$3:$A$500,MATCH($A3,'WetLitterbags placem_collection'!$M$4:$M$500,0)),"")</f>
        <v/>
      </c>
      <c r="AE3" s="110" t="str">
        <f>IFERROR(INDEX('WetLitterbags placem_collection'!$A$3:$A$500,MATCH($A3,'WetLitterbags placem_collection'!$Q$4:$Q$500,0)),"")</f>
        <v/>
      </c>
    </row>
    <row r="4" spans="1:50">
      <c r="A4" s="197" t="s">
        <v>1836</v>
      </c>
      <c r="C4" s="197">
        <v>39</v>
      </c>
      <c r="D4" s="197">
        <v>0.60909999999999997</v>
      </c>
      <c r="E4" s="197">
        <v>8.4418000000000006</v>
      </c>
      <c r="F4" s="197">
        <v>0.2041</v>
      </c>
      <c r="G4" s="197">
        <f t="shared" si="0"/>
        <v>8.645900000000001</v>
      </c>
      <c r="H4" s="197">
        <v>8.4620999999999995</v>
      </c>
      <c r="I4" s="197">
        <f t="shared" si="1"/>
        <v>0.18380000000000152</v>
      </c>
      <c r="J4" s="201">
        <f t="shared" si="2"/>
        <v>2.0299999999998486E-2</v>
      </c>
      <c r="K4" s="280">
        <f t="shared" si="3"/>
        <v>9.9461048505627083</v>
      </c>
      <c r="L4" s="197">
        <v>26</v>
      </c>
      <c r="M4" s="197" t="s">
        <v>2586</v>
      </c>
      <c r="N4" s="197" t="s">
        <v>2585</v>
      </c>
      <c r="O4" s="197" t="s">
        <v>2550</v>
      </c>
      <c r="AB4" s="110">
        <f>IFERROR(INDEX('WetLitterbags placem_collection'!$A$3:$A$500,MATCH(A4,'WetLitterbags placem_collection'!$K$4:$K$500,0)),"")</f>
        <v>38</v>
      </c>
      <c r="AC4" s="110" t="str">
        <f>IFERROR(INDEX('WetLitterbags placem_collection'!$A$3:$A$500,MATCH($A4,'WetLitterbags placem_collection'!$O$4:$O$500,0)),"")</f>
        <v/>
      </c>
      <c r="AD4" s="110" t="str">
        <f>IFERROR(INDEX('WetLitterbags placem_collection'!$A$3:$A$500,MATCH($A4,'WetLitterbags placem_collection'!$M$4:$M$500,0)),"")</f>
        <v/>
      </c>
      <c r="AE4" s="110" t="str">
        <f>IFERROR(INDEX('WetLitterbags placem_collection'!$A$3:$A$500,MATCH($A4,'WetLitterbags placem_collection'!$Q$4:$Q$500,0)),"")</f>
        <v/>
      </c>
      <c r="AX4" s="197" t="str">
        <f>IFERROR(INDEX('Ashed teabags wet'!A2:$A$500,MATCH(A398,'WetLitterbags placem_collection'!$K$4:$K$500,0)),"")</f>
        <v>G503</v>
      </c>
    </row>
    <row r="5" spans="1:50">
      <c r="A5" s="201" t="s">
        <v>1834</v>
      </c>
      <c r="C5" s="201">
        <v>173</v>
      </c>
      <c r="D5" s="202">
        <v>0.39800000000000002</v>
      </c>
      <c r="E5" s="202">
        <v>7.7735000000000003</v>
      </c>
      <c r="F5" s="202">
        <v>0.20319999999999999</v>
      </c>
      <c r="G5" s="201">
        <f t="shared" si="0"/>
        <v>7.9767000000000001</v>
      </c>
      <c r="H5" s="201">
        <v>7.7927999999999997</v>
      </c>
      <c r="I5" s="201">
        <f t="shared" si="1"/>
        <v>0.1839000000000004</v>
      </c>
      <c r="J5" s="201">
        <f t="shared" si="2"/>
        <v>1.9299999999999595E-2</v>
      </c>
      <c r="K5" s="280">
        <f t="shared" si="3"/>
        <v>9.4980314960627936</v>
      </c>
      <c r="L5" s="201">
        <v>24</v>
      </c>
      <c r="M5" s="203">
        <v>43181.645833333336</v>
      </c>
      <c r="N5" s="203">
        <v>43181.833333333336</v>
      </c>
      <c r="O5" s="201" t="s">
        <v>2556</v>
      </c>
      <c r="P5" s="208" t="s">
        <v>2560</v>
      </c>
      <c r="AB5" s="110">
        <f>IFERROR(INDEX('WetLitterbags placem_collection'!$A$3:$A$500,MATCH(A5,'WetLitterbags placem_collection'!$K$4:$K$500,0)),"")</f>
        <v>172</v>
      </c>
      <c r="AC5" s="110" t="str">
        <f>IFERROR(INDEX('WetLitterbags placem_collection'!$A$3:$A$500,MATCH($A5,'WetLitterbags placem_collection'!$O$4:$O$500,0)),"")</f>
        <v/>
      </c>
      <c r="AD5" s="110" t="str">
        <f>IFERROR(INDEX('WetLitterbags placem_collection'!$A$3:$A$500,MATCH($A5,'WetLitterbags placem_collection'!$M$4:$M$500,0)),"")</f>
        <v/>
      </c>
      <c r="AE5" s="110" t="str">
        <f>IFERROR(INDEX('WetLitterbags placem_collection'!$A$3:$A$500,MATCH($A5,'WetLitterbags placem_collection'!$Q$4:$Q$500,0)),"")</f>
        <v/>
      </c>
    </row>
    <row r="6" spans="1:50">
      <c r="A6" s="197" t="s">
        <v>1833</v>
      </c>
      <c r="C6" s="197">
        <v>79</v>
      </c>
      <c r="D6" s="197">
        <v>0.63249999999999995</v>
      </c>
      <c r="E6" s="197">
        <v>19.399899999999999</v>
      </c>
      <c r="F6" s="197">
        <v>0.2059</v>
      </c>
      <c r="G6" s="197">
        <f t="shared" si="0"/>
        <v>19.605799999999999</v>
      </c>
      <c r="H6" s="197">
        <v>19.431000000000001</v>
      </c>
      <c r="I6" s="197">
        <f t="shared" si="1"/>
        <v>0.17479999999999762</v>
      </c>
      <c r="J6" s="201">
        <f t="shared" si="2"/>
        <v>3.1100000000002376E-2</v>
      </c>
      <c r="K6" s="280">
        <f t="shared" si="3"/>
        <v>15.104419621176483</v>
      </c>
      <c r="L6" s="197">
        <v>1</v>
      </c>
      <c r="M6" s="197" t="s">
        <v>2576</v>
      </c>
      <c r="N6" s="197">
        <v>43153.729166666664</v>
      </c>
      <c r="O6" s="197" t="s">
        <v>2550</v>
      </c>
      <c r="P6" s="197" t="s">
        <v>2574</v>
      </c>
      <c r="AB6" s="110">
        <f>IFERROR(INDEX('WetLitterbags placem_collection'!$A$3:$A$500,MATCH(A6,'WetLitterbags placem_collection'!$K$4:$K$500,0)),"")</f>
        <v>78</v>
      </c>
      <c r="AC6" s="110" t="str">
        <f>IFERROR(INDEX('WetLitterbags placem_collection'!$A$3:$A$500,MATCH($A6,'WetLitterbags placem_collection'!$O$4:$O$500,0)),"")</f>
        <v/>
      </c>
      <c r="AD6" s="110" t="str">
        <f>IFERROR(INDEX('WetLitterbags placem_collection'!$A$3:$A$500,MATCH($A6,'WetLitterbags placem_collection'!$M$4:$M$500,0)),"")</f>
        <v/>
      </c>
      <c r="AE6" s="110" t="str">
        <f>IFERROR(INDEX('WetLitterbags placem_collection'!$A$3:$A$500,MATCH($A6,'WetLitterbags placem_collection'!$Q$4:$Q$500,0)),"")</f>
        <v/>
      </c>
    </row>
    <row r="7" spans="1:50">
      <c r="A7" s="201" t="s">
        <v>1828</v>
      </c>
      <c r="C7" s="201">
        <v>15</v>
      </c>
      <c r="D7" s="201">
        <v>0.48280000000000001</v>
      </c>
      <c r="E7" s="202">
        <v>9.0032999999999994</v>
      </c>
      <c r="F7" s="202">
        <v>0.20119999999999999</v>
      </c>
      <c r="G7" s="201">
        <f t="shared" si="0"/>
        <v>9.2044999999999995</v>
      </c>
      <c r="H7" s="201">
        <v>9.0350999999999999</v>
      </c>
      <c r="I7" s="201">
        <f t="shared" si="1"/>
        <v>0.16939999999999955</v>
      </c>
      <c r="J7" s="201">
        <f t="shared" si="2"/>
        <v>3.1800000000000439E-2</v>
      </c>
      <c r="K7" s="280">
        <f t="shared" si="3"/>
        <v>15.805168986083718</v>
      </c>
      <c r="L7" s="201">
        <v>33</v>
      </c>
      <c r="M7" s="207">
        <v>43185.385416666664</v>
      </c>
      <c r="N7" s="201"/>
      <c r="O7" s="201" t="s">
        <v>2556</v>
      </c>
      <c r="P7" s="201"/>
      <c r="AB7" s="110">
        <f>IFERROR(INDEX('WetLitterbags placem_collection'!$A$3:$A$500,MATCH(A7,'WetLitterbags placem_collection'!$K$4:$K$500,0)),"")</f>
        <v>14</v>
      </c>
      <c r="AC7" s="110" t="str">
        <f>IFERROR(INDEX('WetLitterbags placem_collection'!$A$3:$A$500,MATCH($A7,'WetLitterbags placem_collection'!$O$4:$O$500,0)),"")</f>
        <v/>
      </c>
      <c r="AD7" s="110" t="str">
        <f>IFERROR(INDEX('WetLitterbags placem_collection'!$A$3:$A$500,MATCH($A7,'WetLitterbags placem_collection'!$M$4:$M$500,0)),"")</f>
        <v/>
      </c>
      <c r="AE7" s="110" t="str">
        <f>IFERROR(INDEX('WetLitterbags placem_collection'!$A$3:$A$500,MATCH($A7,'WetLitterbags placem_collection'!$Q$4:$Q$500,0)),"")</f>
        <v/>
      </c>
    </row>
    <row r="8" spans="1:50">
      <c r="A8" s="197" t="s">
        <v>1810</v>
      </c>
      <c r="C8" s="198">
        <v>19</v>
      </c>
      <c r="D8" s="197">
        <v>0.65710000000000002</v>
      </c>
      <c r="E8" s="202">
        <v>8.1326000000000001</v>
      </c>
      <c r="F8" s="202">
        <v>0.20399999999999999</v>
      </c>
      <c r="G8" s="201">
        <f t="shared" si="0"/>
        <v>8.3366000000000007</v>
      </c>
      <c r="H8" s="201">
        <v>8.1702999999999992</v>
      </c>
      <c r="I8" s="201">
        <f t="shared" si="1"/>
        <v>0.16630000000000145</v>
      </c>
      <c r="J8" s="201">
        <f t="shared" si="2"/>
        <v>3.769999999999854E-2</v>
      </c>
      <c r="K8" s="280">
        <f t="shared" si="3"/>
        <v>18.480392156862031</v>
      </c>
      <c r="L8" s="201">
        <v>5</v>
      </c>
      <c r="M8" s="204">
        <v>43221</v>
      </c>
      <c r="N8" s="204">
        <v>43221</v>
      </c>
      <c r="AB8" s="110">
        <f>IFERROR(INDEX('WetLitterbags placem_collection'!$A$3:$A$500,MATCH(A8,'WetLitterbags placem_collection'!$K$4:$K$500,0)),"")</f>
        <v>18</v>
      </c>
      <c r="AC8" s="110" t="str">
        <f>IFERROR(INDEX('WetLitterbags placem_collection'!$A$3:$A$500,MATCH($A8,'WetLitterbags placem_collection'!$O$4:$O$500,0)),"")</f>
        <v/>
      </c>
      <c r="AD8" s="110" t="str">
        <f>IFERROR(INDEX('WetLitterbags placem_collection'!$A$3:$A$500,MATCH($A8,'WetLitterbags placem_collection'!$M$4:$M$500,0)),"")</f>
        <v/>
      </c>
      <c r="AE8" s="110" t="str">
        <f>IFERROR(INDEX('WetLitterbags placem_collection'!$A$3:$A$500,MATCH($A8,'WetLitterbags placem_collection'!$Q$4:$Q$500,0)),"")</f>
        <v/>
      </c>
    </row>
    <row r="9" spans="1:50">
      <c r="A9" s="197" t="s">
        <v>1809</v>
      </c>
      <c r="C9" s="198">
        <v>13</v>
      </c>
      <c r="D9" s="197">
        <v>0.33510000000000001</v>
      </c>
      <c r="E9" s="202">
        <v>7.9612999999999996</v>
      </c>
      <c r="F9" s="202">
        <v>0.2031</v>
      </c>
      <c r="G9" s="201">
        <f t="shared" si="0"/>
        <v>8.1643999999999988</v>
      </c>
      <c r="H9" s="201">
        <v>7.9976000000000003</v>
      </c>
      <c r="I9" s="201">
        <f t="shared" si="1"/>
        <v>0.16679999999999851</v>
      </c>
      <c r="J9" s="201">
        <f t="shared" si="2"/>
        <v>3.6300000000001498E-2</v>
      </c>
      <c r="K9" s="280">
        <f t="shared" si="3"/>
        <v>17.872968980798372</v>
      </c>
      <c r="L9" s="201">
        <v>36</v>
      </c>
      <c r="M9" s="204">
        <v>43221</v>
      </c>
      <c r="N9" s="204">
        <v>43221</v>
      </c>
      <c r="AB9" s="110" t="str">
        <f>IFERROR(INDEX('WetLitterbags placem_collection'!$A$3:$A$500,MATCH(A9,'WetLitterbags placem_collection'!$K$4:$K$500,0)),"")</f>
        <v/>
      </c>
      <c r="AC9" s="110">
        <f>IFERROR(INDEX('WetLitterbags placem_collection'!$A$3:$A$500,MATCH($A9,'WetLitterbags placem_collection'!$O$4:$O$500,0)),"")</f>
        <v>12</v>
      </c>
      <c r="AD9" s="110" t="str">
        <f>IFERROR(INDEX('WetLitterbags placem_collection'!$A$3:$A$500,MATCH($A9,'WetLitterbags placem_collection'!$M$4:$M$500,0)),"")</f>
        <v/>
      </c>
      <c r="AE9" s="110" t="str">
        <f>IFERROR(INDEX('WetLitterbags placem_collection'!$A$3:$A$500,MATCH($A9,'WetLitterbags placem_collection'!$Q$4:$Q$500,0)),"")</f>
        <v/>
      </c>
    </row>
    <row r="10" spans="1:50">
      <c r="A10" s="197" t="s">
        <v>1801</v>
      </c>
      <c r="C10" s="197">
        <v>79</v>
      </c>
      <c r="D10" s="197">
        <v>0.74250000000000005</v>
      </c>
      <c r="E10" s="197">
        <v>20.931899999999999</v>
      </c>
      <c r="F10" s="197">
        <v>0.19889999999999999</v>
      </c>
      <c r="G10" s="197">
        <f t="shared" si="0"/>
        <v>21.130799999999997</v>
      </c>
      <c r="H10" s="197">
        <v>20.969100000000001</v>
      </c>
      <c r="I10" s="197">
        <f t="shared" si="1"/>
        <v>0.16169999999999618</v>
      </c>
      <c r="J10" s="201">
        <f t="shared" si="2"/>
        <v>3.7200000000003813E-2</v>
      </c>
      <c r="K10" s="280">
        <f t="shared" si="3"/>
        <v>18.702865761691211</v>
      </c>
      <c r="L10" s="197">
        <v>23</v>
      </c>
      <c r="M10" s="197" t="s">
        <v>2580</v>
      </c>
      <c r="N10" s="197" t="s">
        <v>2579</v>
      </c>
      <c r="O10" s="197" t="s">
        <v>2556</v>
      </c>
      <c r="AB10" s="110" t="str">
        <f>IFERROR(INDEX('WetLitterbags placem_collection'!$A$3:$A$500,MATCH(A10,'WetLitterbags placem_collection'!$K$4:$K$500,0)),"")</f>
        <v/>
      </c>
      <c r="AC10" s="110">
        <f>IFERROR(INDEX('WetLitterbags placem_collection'!$A$3:$A$500,MATCH($A10,'WetLitterbags placem_collection'!$O$4:$O$500,0)),"")</f>
        <v>78</v>
      </c>
      <c r="AD10" s="110" t="str">
        <f>IFERROR(INDEX('WetLitterbags placem_collection'!$A$3:$A$500,MATCH($A10,'WetLitterbags placem_collection'!$M$4:$M$500,0)),"")</f>
        <v/>
      </c>
      <c r="AE10" s="110" t="str">
        <f>IFERROR(INDEX('WetLitterbags placem_collection'!$A$3:$A$500,MATCH($A10,'WetLitterbags placem_collection'!$Q$4:$Q$500,0)),"")</f>
        <v/>
      </c>
    </row>
    <row r="11" spans="1:50">
      <c r="A11" s="197" t="s">
        <v>1799</v>
      </c>
      <c r="C11" s="198">
        <v>218</v>
      </c>
      <c r="D11" s="197">
        <v>0.56159999999999999</v>
      </c>
      <c r="E11" s="202">
        <v>11.032400000000001</v>
      </c>
      <c r="F11" s="202">
        <v>0.20150000000000001</v>
      </c>
      <c r="G11" s="201">
        <f t="shared" si="0"/>
        <v>11.2339</v>
      </c>
      <c r="H11" s="201">
        <v>11.058299999999999</v>
      </c>
      <c r="I11" s="201">
        <f t="shared" si="1"/>
        <v>0.17560000000000109</v>
      </c>
      <c r="J11" s="201">
        <f t="shared" si="2"/>
        <v>2.5899999999998924E-2</v>
      </c>
      <c r="K11" s="280">
        <f t="shared" si="3"/>
        <v>12.853598014887801</v>
      </c>
      <c r="L11" s="201">
        <v>5</v>
      </c>
      <c r="AB11" s="110">
        <f>IFERROR(INDEX('WetLitterbags placem_collection'!$A$3:$A$500,MATCH(A11,'WetLitterbags placem_collection'!$K$4:$K$500,0)),"")</f>
        <v>217</v>
      </c>
      <c r="AC11" s="110" t="str">
        <f>IFERROR(INDEX('WetLitterbags placem_collection'!$A$3:$A$500,MATCH($A11,'WetLitterbags placem_collection'!$O$4:$O$500,0)),"")</f>
        <v/>
      </c>
      <c r="AD11" s="110" t="str">
        <f>IFERROR(INDEX('WetLitterbags placem_collection'!$A$3:$A$500,MATCH($A11,'WetLitterbags placem_collection'!$M$4:$M$500,0)),"")</f>
        <v/>
      </c>
      <c r="AE11" s="110" t="str">
        <f>IFERROR(INDEX('WetLitterbags placem_collection'!$A$3:$A$500,MATCH($A11,'WetLitterbags placem_collection'!$Q$4:$Q$500,0)),"")</f>
        <v/>
      </c>
    </row>
    <row r="12" spans="1:50">
      <c r="A12" s="206" t="s">
        <v>1781</v>
      </c>
      <c r="C12" s="201">
        <v>68</v>
      </c>
      <c r="D12" s="201">
        <v>0.74239999999999995</v>
      </c>
      <c r="E12" s="202">
        <v>11.4541</v>
      </c>
      <c r="F12" s="202">
        <v>0.20430000000000001</v>
      </c>
      <c r="G12" s="201">
        <f t="shared" si="0"/>
        <v>11.6584</v>
      </c>
      <c r="H12" s="201">
        <v>11.493</v>
      </c>
      <c r="I12" s="201">
        <f t="shared" si="1"/>
        <v>0.16539999999999999</v>
      </c>
      <c r="J12" s="201">
        <f t="shared" si="2"/>
        <v>3.8900000000000018E-2</v>
      </c>
      <c r="K12" s="280">
        <f t="shared" si="3"/>
        <v>19.040626529613323</v>
      </c>
      <c r="L12" s="201">
        <v>19</v>
      </c>
      <c r="M12" s="205">
        <v>43199</v>
      </c>
      <c r="N12" s="205">
        <v>43199</v>
      </c>
      <c r="O12" s="201"/>
      <c r="P12" s="201"/>
      <c r="AB12" s="110">
        <f>IFERROR(INDEX('WetLitterbags placem_collection'!$A$3:$A$500,MATCH(A12,'WetLitterbags placem_collection'!$K$4:$K$500,0)),"")</f>
        <v>67</v>
      </c>
      <c r="AC12" s="110" t="str">
        <f>IFERROR(INDEX('WetLitterbags placem_collection'!$A$3:$A$500,MATCH($A12,'WetLitterbags placem_collection'!$O$4:$O$500,0)),"")</f>
        <v/>
      </c>
      <c r="AD12" s="110" t="str">
        <f>IFERROR(INDEX('WetLitterbags placem_collection'!$A$3:$A$500,MATCH($A12,'WetLitterbags placem_collection'!$M$4:$M$500,0)),"")</f>
        <v/>
      </c>
      <c r="AE12" s="110" t="str">
        <f>IFERROR(INDEX('WetLitterbags placem_collection'!$A$3:$A$500,MATCH($A12,'WetLitterbags placem_collection'!$Q$4:$Q$500,0)),"")</f>
        <v/>
      </c>
    </row>
    <row r="13" spans="1:50">
      <c r="A13" s="201" t="s">
        <v>1769</v>
      </c>
      <c r="C13" s="201">
        <v>172</v>
      </c>
      <c r="D13" s="201">
        <f>0.2997+F13</f>
        <v>0.50160000000000005</v>
      </c>
      <c r="E13" s="202">
        <v>10.1441</v>
      </c>
      <c r="F13" s="202">
        <v>0.2019</v>
      </c>
      <c r="G13" s="201">
        <f t="shared" si="0"/>
        <v>10.346</v>
      </c>
      <c r="H13" s="201">
        <v>10.1615</v>
      </c>
      <c r="I13" s="201">
        <f t="shared" si="1"/>
        <v>0.18449999999999989</v>
      </c>
      <c r="J13" s="201">
        <f t="shared" si="2"/>
        <v>1.740000000000011E-2</v>
      </c>
      <c r="K13" s="280">
        <f t="shared" si="3"/>
        <v>8.6181277860327441</v>
      </c>
      <c r="L13" s="201">
        <v>21</v>
      </c>
      <c r="M13" s="205">
        <v>43174</v>
      </c>
      <c r="N13" s="205">
        <v>43174</v>
      </c>
      <c r="O13" s="201" t="s">
        <v>2556</v>
      </c>
      <c r="P13" s="201" t="s">
        <v>2551</v>
      </c>
      <c r="AB13" s="110">
        <f>IFERROR(INDEX('WetLitterbags placem_collection'!$A$3:$A$500,MATCH(A13,'WetLitterbags placem_collection'!$K$4:$K$500,0)),"")</f>
        <v>171</v>
      </c>
      <c r="AC13" s="110" t="str">
        <f>IFERROR(INDEX('WetLitterbags placem_collection'!$A$3:$A$500,MATCH($A13,'WetLitterbags placem_collection'!$O$4:$O$500,0)),"")</f>
        <v/>
      </c>
      <c r="AD13" s="110" t="str">
        <f>IFERROR(INDEX('WetLitterbags placem_collection'!$A$3:$A$500,MATCH($A13,'WetLitterbags placem_collection'!$M$4:$M$500,0)),"")</f>
        <v/>
      </c>
      <c r="AE13" s="110" t="str">
        <f>IFERROR(INDEX('WetLitterbags placem_collection'!$A$3:$A$500,MATCH($A13,'WetLitterbags placem_collection'!$Q$4:$Q$500,0)),"")</f>
        <v/>
      </c>
    </row>
    <row r="14" spans="1:50">
      <c r="A14" s="197" t="s">
        <v>1768</v>
      </c>
      <c r="C14" s="197">
        <v>66</v>
      </c>
      <c r="D14" s="197">
        <v>0.92320000000000002</v>
      </c>
      <c r="E14" s="202">
        <v>9.8215000000000003</v>
      </c>
      <c r="F14" s="202">
        <v>0.2084</v>
      </c>
      <c r="G14" s="201">
        <f t="shared" si="0"/>
        <v>10.0299</v>
      </c>
      <c r="H14" s="201">
        <v>9.8864999999999998</v>
      </c>
      <c r="I14" s="201">
        <f t="shared" si="1"/>
        <v>0.14339999999999975</v>
      </c>
      <c r="J14" s="201">
        <f t="shared" si="2"/>
        <v>6.5000000000000252E-2</v>
      </c>
      <c r="K14" s="280">
        <f t="shared" si="3"/>
        <v>31.190019193858088</v>
      </c>
      <c r="L14" s="201">
        <v>14</v>
      </c>
      <c r="AB14" s="110">
        <f>IFERROR(INDEX('WetLitterbags placem_collection'!$A$3:$A$500,MATCH(A14,'WetLitterbags placem_collection'!$K$4:$K$500,0)),"")</f>
        <v>65</v>
      </c>
      <c r="AC14" s="110" t="str">
        <f>IFERROR(INDEX('WetLitterbags placem_collection'!$A$3:$A$500,MATCH($A14,'WetLitterbags placem_collection'!$O$4:$O$500,0)),"")</f>
        <v/>
      </c>
      <c r="AD14" s="110" t="str">
        <f>IFERROR(INDEX('WetLitterbags placem_collection'!$A$3:$A$500,MATCH($A14,'WetLitterbags placem_collection'!$M$4:$M$500,0)),"")</f>
        <v/>
      </c>
      <c r="AE14" s="110" t="str">
        <f>IFERROR(INDEX('WetLitterbags placem_collection'!$A$3:$A$500,MATCH($A14,'WetLitterbags placem_collection'!$Q$4:$Q$500,0)),"")</f>
        <v/>
      </c>
    </row>
    <row r="15" spans="1:50">
      <c r="A15" s="197" t="s">
        <v>1767</v>
      </c>
      <c r="C15" s="197">
        <v>44</v>
      </c>
      <c r="D15" s="197">
        <v>0.60719999999999996</v>
      </c>
      <c r="E15" s="197">
        <v>8.0626999999999995</v>
      </c>
      <c r="F15" s="197">
        <v>0.20580000000000001</v>
      </c>
      <c r="G15" s="197">
        <f t="shared" si="0"/>
        <v>8.2684999999999995</v>
      </c>
      <c r="H15" s="197">
        <v>8.0844000000000005</v>
      </c>
      <c r="I15" s="197">
        <f t="shared" si="1"/>
        <v>0.18409999999999904</v>
      </c>
      <c r="J15" s="201">
        <f t="shared" si="2"/>
        <v>2.1700000000000969E-2</v>
      </c>
      <c r="K15" s="280">
        <f t="shared" si="3"/>
        <v>10.544217687075299</v>
      </c>
      <c r="L15" s="197">
        <v>30</v>
      </c>
      <c r="M15" s="197" t="s">
        <v>2586</v>
      </c>
      <c r="N15" s="197" t="s">
        <v>2585</v>
      </c>
      <c r="O15" s="197" t="s">
        <v>2550</v>
      </c>
      <c r="AB15" s="110" t="str">
        <f>IFERROR(INDEX('WetLitterbags placem_collection'!$A$3:$A$500,MATCH(A15,'WetLitterbags placem_collection'!$K$4:$K$500,0)),"")</f>
        <v/>
      </c>
      <c r="AC15" s="110">
        <f>IFERROR(INDEX('WetLitterbags placem_collection'!$A$3:$A$500,MATCH($A15,'WetLitterbags placem_collection'!$O$4:$O$500,0)),"")</f>
        <v>43</v>
      </c>
      <c r="AD15" s="110" t="str">
        <f>IFERROR(INDEX('WetLitterbags placem_collection'!$A$3:$A$500,MATCH($A15,'WetLitterbags placem_collection'!$M$4:$M$500,0)),"")</f>
        <v/>
      </c>
      <c r="AE15" s="110" t="str">
        <f>IFERROR(INDEX('WetLitterbags placem_collection'!$A$3:$A$500,MATCH($A15,'WetLitterbags placem_collection'!$Q$4:$Q$500,0)),"")</f>
        <v/>
      </c>
    </row>
    <row r="16" spans="1:50">
      <c r="A16" s="197" t="s">
        <v>1764</v>
      </c>
      <c r="C16" s="198">
        <v>10</v>
      </c>
      <c r="D16" s="197">
        <v>0.59770000000000001</v>
      </c>
      <c r="E16" s="201">
        <v>8.8447999999999993</v>
      </c>
      <c r="F16" s="202">
        <v>0.2011</v>
      </c>
      <c r="G16" s="201">
        <f t="shared" si="0"/>
        <v>9.0458999999999996</v>
      </c>
      <c r="H16" s="201">
        <v>8.8735999999999997</v>
      </c>
      <c r="I16" s="201">
        <f t="shared" si="1"/>
        <v>0.1722999999999999</v>
      </c>
      <c r="J16" s="201">
        <f t="shared" si="2"/>
        <v>2.8800000000000103E-2</v>
      </c>
      <c r="K16" s="280">
        <f t="shared" si="3"/>
        <v>14.321233217304874</v>
      </c>
      <c r="L16" s="201">
        <v>1</v>
      </c>
      <c r="M16" s="204">
        <v>43213</v>
      </c>
      <c r="N16" s="204">
        <v>43213</v>
      </c>
      <c r="AB16" s="110">
        <f>IFERROR(INDEX('WetLitterbags placem_collection'!$A$3:$A$500,MATCH(A16,'WetLitterbags placem_collection'!$K$4:$K$500,0)),"")</f>
        <v>9</v>
      </c>
      <c r="AC16" s="110" t="str">
        <f>IFERROR(INDEX('WetLitterbags placem_collection'!$A$3:$A$500,MATCH($A16,'WetLitterbags placem_collection'!$O$4:$O$500,0)),"")</f>
        <v/>
      </c>
      <c r="AD16" s="110" t="str">
        <f>IFERROR(INDEX('WetLitterbags placem_collection'!$A$3:$A$500,MATCH($A16,'WetLitterbags placem_collection'!$M$4:$M$500,0)),"")</f>
        <v/>
      </c>
      <c r="AE16" s="110" t="str">
        <f>IFERROR(INDEX('WetLitterbags placem_collection'!$A$3:$A$500,MATCH($A16,'WetLitterbags placem_collection'!$Q$4:$Q$500,0)),"")</f>
        <v/>
      </c>
    </row>
    <row r="17" spans="1:31">
      <c r="A17" s="197" t="s">
        <v>1763</v>
      </c>
      <c r="C17" s="198">
        <v>166</v>
      </c>
      <c r="D17" s="197">
        <v>0.53959999999999997</v>
      </c>
      <c r="E17" s="201">
        <v>8.0640000000000001</v>
      </c>
      <c r="F17" s="202">
        <v>0.20080000000000001</v>
      </c>
      <c r="G17" s="201">
        <f t="shared" si="0"/>
        <v>8.2647999999999993</v>
      </c>
      <c r="H17" s="201">
        <v>8.0802999999999994</v>
      </c>
      <c r="I17" s="201">
        <f t="shared" si="1"/>
        <v>0.18449999999999989</v>
      </c>
      <c r="J17" s="201">
        <f t="shared" si="2"/>
        <v>1.630000000000012E-2</v>
      </c>
      <c r="K17" s="280">
        <f t="shared" si="3"/>
        <v>8.1175298804781466</v>
      </c>
      <c r="L17" s="201">
        <v>7</v>
      </c>
      <c r="M17" s="204">
        <v>43212</v>
      </c>
      <c r="AB17" s="110" t="str">
        <f>IFERROR(INDEX('WetLitterbags placem_collection'!$A$3:$A$500,MATCH(A17,'WetLitterbags placem_collection'!$K$4:$K$500,0)),"")</f>
        <v/>
      </c>
      <c r="AC17" s="110">
        <f>IFERROR(INDEX('WetLitterbags placem_collection'!$A$3:$A$500,MATCH($A17,'WetLitterbags placem_collection'!$O$4:$O$500,0)),"")</f>
        <v>165</v>
      </c>
      <c r="AD17" s="110" t="str">
        <f>IFERROR(INDEX('WetLitterbags placem_collection'!$A$3:$A$500,MATCH($A17,'WetLitterbags placem_collection'!$M$4:$M$500,0)),"")</f>
        <v/>
      </c>
      <c r="AE17" s="110" t="str">
        <f>IFERROR(INDEX('WetLitterbags placem_collection'!$A$3:$A$500,MATCH($A17,'WetLitterbags placem_collection'!$Q$4:$Q$500,0)),"")</f>
        <v/>
      </c>
    </row>
    <row r="18" spans="1:31">
      <c r="A18" s="206" t="s">
        <v>1759</v>
      </c>
      <c r="C18" s="201">
        <v>84</v>
      </c>
      <c r="D18" s="201">
        <v>0.67900000000000005</v>
      </c>
      <c r="E18" s="202">
        <v>7.5281000000000002</v>
      </c>
      <c r="F18" s="202">
        <v>0.20130000000000001</v>
      </c>
      <c r="G18" s="201">
        <f t="shared" si="0"/>
        <v>7.7294</v>
      </c>
      <c r="H18" s="201">
        <v>7.5521000000000003</v>
      </c>
      <c r="I18" s="201">
        <f t="shared" si="1"/>
        <v>0.17729999999999979</v>
      </c>
      <c r="J18" s="201">
        <f t="shared" si="2"/>
        <v>2.4000000000000216E-2</v>
      </c>
      <c r="K18" s="280">
        <f t="shared" si="3"/>
        <v>11.922503725782521</v>
      </c>
      <c r="L18" s="201">
        <v>6</v>
      </c>
      <c r="M18" s="207">
        <v>43186.458333333336</v>
      </c>
      <c r="N18" s="207">
        <v>43186.625</v>
      </c>
      <c r="O18" s="197" t="s">
        <v>2550</v>
      </c>
      <c r="P18" s="201"/>
      <c r="AB18" s="110">
        <f>IFERROR(INDEX('WetLitterbags placem_collection'!$A$3:$A$500,MATCH(A18,'WetLitterbags placem_collection'!$K$4:$K$500,0)),"")</f>
        <v>83</v>
      </c>
      <c r="AC18" s="110" t="str">
        <f>IFERROR(INDEX('WetLitterbags placem_collection'!$A$3:$A$500,MATCH($A18,'WetLitterbags placem_collection'!$O$4:$O$500,0)),"")</f>
        <v/>
      </c>
      <c r="AD18" s="110" t="str">
        <f>IFERROR(INDEX('WetLitterbags placem_collection'!$A$3:$A$500,MATCH($A18,'WetLitterbags placem_collection'!$M$4:$M$500,0)),"")</f>
        <v/>
      </c>
      <c r="AE18" s="110" t="str">
        <f>IFERROR(INDEX('WetLitterbags placem_collection'!$A$3:$A$500,MATCH($A18,'WetLitterbags placem_collection'!$Q$4:$Q$500,0)),"")</f>
        <v/>
      </c>
    </row>
    <row r="19" spans="1:31">
      <c r="A19" s="206" t="s">
        <v>1753</v>
      </c>
      <c r="C19" s="201">
        <v>192</v>
      </c>
      <c r="D19" s="201">
        <v>0.42030000000000001</v>
      </c>
      <c r="E19" s="202">
        <v>9.5191999999999997</v>
      </c>
      <c r="F19" s="202">
        <v>0.20019999999999999</v>
      </c>
      <c r="G19" s="201">
        <f t="shared" si="0"/>
        <v>9.7194000000000003</v>
      </c>
      <c r="H19" s="201">
        <v>9.5379000000000005</v>
      </c>
      <c r="I19" s="201">
        <f t="shared" si="1"/>
        <v>0.18149999999999977</v>
      </c>
      <c r="J19" s="201">
        <f t="shared" si="2"/>
        <v>1.8700000000000216E-2</v>
      </c>
      <c r="K19" s="280">
        <f t="shared" si="3"/>
        <v>9.3406593406594496</v>
      </c>
      <c r="L19" s="201">
        <v>16</v>
      </c>
      <c r="M19" s="207">
        <v>43185.385416666664</v>
      </c>
      <c r="N19" s="201"/>
      <c r="O19" s="201" t="s">
        <v>2556</v>
      </c>
      <c r="P19" s="201"/>
      <c r="AB19" s="110" t="str">
        <f>IFERROR(INDEX('WetLitterbags placem_collection'!$A$3:$A$500,MATCH(A19,'WetLitterbags placem_collection'!$K$4:$K$500,0)),"")</f>
        <v/>
      </c>
      <c r="AC19" s="110">
        <f>IFERROR(INDEX('WetLitterbags placem_collection'!$A$3:$A$500,MATCH($A19,'WetLitterbags placem_collection'!$O$4:$O$500,0)),"")</f>
        <v>191</v>
      </c>
      <c r="AD19" s="110" t="str">
        <f>IFERROR(INDEX('WetLitterbags placem_collection'!$A$3:$A$500,MATCH($A19,'WetLitterbags placem_collection'!$M$4:$M$500,0)),"")</f>
        <v/>
      </c>
      <c r="AE19" s="110" t="str">
        <f>IFERROR(INDEX('WetLitterbags placem_collection'!$A$3:$A$500,MATCH($A19,'WetLitterbags placem_collection'!$Q$4:$Q$500,0)),"")</f>
        <v/>
      </c>
    </row>
    <row r="20" spans="1:31">
      <c r="A20" s="201" t="s">
        <v>1752</v>
      </c>
      <c r="C20" s="201">
        <v>83</v>
      </c>
      <c r="D20" s="202">
        <v>0.66410000000000002</v>
      </c>
      <c r="E20" s="201">
        <v>9.4853000000000005</v>
      </c>
      <c r="F20" s="202">
        <v>0.2054</v>
      </c>
      <c r="G20" s="201">
        <f t="shared" si="0"/>
        <v>9.6906999999999996</v>
      </c>
      <c r="H20" s="201">
        <v>9.5158000000000005</v>
      </c>
      <c r="I20" s="201">
        <f t="shared" si="1"/>
        <v>0.17489999999999917</v>
      </c>
      <c r="J20" s="201">
        <f t="shared" si="2"/>
        <v>3.0500000000000832E-2</v>
      </c>
      <c r="K20" s="280">
        <f t="shared" si="3"/>
        <v>14.849074975657658</v>
      </c>
      <c r="L20" s="201">
        <v>3</v>
      </c>
      <c r="M20" s="205">
        <v>43206</v>
      </c>
      <c r="N20" s="205">
        <v>43206</v>
      </c>
      <c r="O20" s="201"/>
      <c r="P20" s="201"/>
      <c r="AB20" s="110" t="str">
        <f>IFERROR(INDEX('WetLitterbags placem_collection'!$A$3:$A$500,MATCH(A20,'WetLitterbags placem_collection'!$K$4:$K$500,0)),"")</f>
        <v/>
      </c>
      <c r="AC20" s="110">
        <f>IFERROR(INDEX('WetLitterbags placem_collection'!$A$3:$A$500,MATCH($A20,'WetLitterbags placem_collection'!$O$4:$O$500,0)),"")</f>
        <v>82</v>
      </c>
      <c r="AD20" s="110" t="str">
        <f>IFERROR(INDEX('WetLitterbags placem_collection'!$A$3:$A$500,MATCH($A20,'WetLitterbags placem_collection'!$M$4:$M$500,0)),"")</f>
        <v/>
      </c>
      <c r="AE20" s="110" t="str">
        <f>IFERROR(INDEX('WetLitterbags placem_collection'!$A$3:$A$500,MATCH($A20,'WetLitterbags placem_collection'!$Q$4:$Q$500,0)),"")</f>
        <v/>
      </c>
    </row>
    <row r="21" spans="1:31">
      <c r="A21" s="206" t="s">
        <v>1751</v>
      </c>
      <c r="C21" s="201">
        <v>48</v>
      </c>
      <c r="D21" s="201">
        <v>0.66920000000000002</v>
      </c>
      <c r="E21" s="201">
        <v>7.5284000000000004</v>
      </c>
      <c r="F21" s="202">
        <v>0.2036</v>
      </c>
      <c r="G21" s="201">
        <f t="shared" si="0"/>
        <v>7.7320000000000002</v>
      </c>
      <c r="H21" s="201">
        <v>7.5435999999999996</v>
      </c>
      <c r="I21" s="201">
        <f t="shared" si="1"/>
        <v>0.18840000000000057</v>
      </c>
      <c r="J21" s="201">
        <f t="shared" si="2"/>
        <v>1.5199999999999436E-2</v>
      </c>
      <c r="K21" s="280">
        <f t="shared" si="3"/>
        <v>7.4656188605105287</v>
      </c>
      <c r="L21" s="201">
        <v>13</v>
      </c>
      <c r="M21" s="205">
        <v>43211</v>
      </c>
      <c r="R21" s="197">
        <v>1</v>
      </c>
      <c r="S21" s="197">
        <v>0.65400000000000003</v>
      </c>
      <c r="T21" s="197">
        <f>AVERAGE(S21:S30)</f>
        <v>0.65125</v>
      </c>
      <c r="U21" s="202" t="s">
        <v>1593</v>
      </c>
      <c r="V21" s="197">
        <v>0.91849999999999998</v>
      </c>
      <c r="W21" s="197">
        <f>(V21-$T$175+F19)</f>
        <v>1.1187</v>
      </c>
      <c r="AB21" s="110" t="str">
        <f>IFERROR(INDEX('WetLitterbags placem_collection'!$A$3:$A$500,MATCH(A21,'WetLitterbags placem_collection'!$K$4:$K$500,0)),"")</f>
        <v/>
      </c>
      <c r="AC21" s="110">
        <f>IFERROR(INDEX('WetLitterbags placem_collection'!$A$3:$A$500,MATCH($A21,'WetLitterbags placem_collection'!$O$4:$O$500,0)),"")</f>
        <v>47</v>
      </c>
      <c r="AD21" s="110" t="str">
        <f>IFERROR(INDEX('WetLitterbags placem_collection'!$A$3:$A$500,MATCH($A21,'WetLitterbags placem_collection'!$M$4:$M$500,0)),"")</f>
        <v/>
      </c>
      <c r="AE21" s="110" t="str">
        <f>IFERROR(INDEX('WetLitterbags placem_collection'!$A$3:$A$500,MATCH($A21,'WetLitterbags placem_collection'!$Q$4:$Q$500,0)),"")</f>
        <v/>
      </c>
    </row>
    <row r="22" spans="1:31">
      <c r="A22" s="201" t="s">
        <v>1742</v>
      </c>
      <c r="C22" s="201">
        <v>85</v>
      </c>
      <c r="D22" s="201">
        <v>0.98040000000000005</v>
      </c>
      <c r="E22" s="202">
        <v>8.1328999999999994</v>
      </c>
      <c r="F22" s="202">
        <v>0.20200000000000001</v>
      </c>
      <c r="G22" s="201">
        <f t="shared" si="0"/>
        <v>8.3348999999999993</v>
      </c>
      <c r="H22" s="201">
        <v>8.2133000000000003</v>
      </c>
      <c r="I22" s="201">
        <f t="shared" si="1"/>
        <v>0.12159999999999904</v>
      </c>
      <c r="J22" s="201">
        <f t="shared" si="2"/>
        <v>8.0400000000000971E-2</v>
      </c>
      <c r="K22" s="280">
        <f t="shared" si="3"/>
        <v>39.801980198020281</v>
      </c>
      <c r="L22" s="201">
        <v>43</v>
      </c>
      <c r="M22" s="207">
        <v>43186.458333333336</v>
      </c>
      <c r="N22" s="207">
        <v>43186.625</v>
      </c>
      <c r="O22" s="197" t="s">
        <v>2550</v>
      </c>
      <c r="P22" s="201"/>
      <c r="AB22" s="110">
        <f>IFERROR(INDEX('WetLitterbags placem_collection'!$A$3:$A$500,MATCH(A22,'WetLitterbags placem_collection'!$K$4:$K$500,0)),"")</f>
        <v>84</v>
      </c>
      <c r="AC22" s="110" t="str">
        <f>IFERROR(INDEX('WetLitterbags placem_collection'!$A$3:$A$500,MATCH($A22,'WetLitterbags placem_collection'!$O$4:$O$500,0)),"")</f>
        <v/>
      </c>
      <c r="AD22" s="110" t="str">
        <f>IFERROR(INDEX('WetLitterbags placem_collection'!$A$3:$A$500,MATCH($A22,'WetLitterbags placem_collection'!$M$4:$M$500,0)),"")</f>
        <v/>
      </c>
      <c r="AE22" s="110" t="str">
        <f>IFERROR(INDEX('WetLitterbags placem_collection'!$A$3:$A$500,MATCH($A22,'WetLitterbags placem_collection'!$Q$4:$Q$500,0)),"")</f>
        <v/>
      </c>
    </row>
    <row r="23" spans="1:31">
      <c r="A23" s="197" t="s">
        <v>1716</v>
      </c>
      <c r="C23" s="198">
        <v>166</v>
      </c>
      <c r="D23" s="197">
        <v>0.60729999999999995</v>
      </c>
      <c r="E23" s="197">
        <v>8.0645000000000007</v>
      </c>
      <c r="F23" s="202">
        <v>0.20250000000000001</v>
      </c>
      <c r="G23" s="201">
        <f t="shared" si="0"/>
        <v>8.2670000000000012</v>
      </c>
      <c r="H23" s="201">
        <v>8.0913000000000004</v>
      </c>
      <c r="I23" s="201">
        <f t="shared" si="1"/>
        <v>0.17570000000000086</v>
      </c>
      <c r="J23" s="201">
        <f t="shared" si="2"/>
        <v>2.6799999999999158E-2</v>
      </c>
      <c r="K23" s="280">
        <f t="shared" si="3"/>
        <v>13.234567901234151</v>
      </c>
      <c r="L23" s="201">
        <v>3</v>
      </c>
      <c r="AB23" s="110">
        <f>IFERROR(INDEX('WetLitterbags placem_collection'!$A$3:$A$500,MATCH(A23,'WetLitterbags placem_collection'!$K$4:$K$500,0)),"")</f>
        <v>165</v>
      </c>
      <c r="AC23" s="110" t="str">
        <f>IFERROR(INDEX('WetLitterbags placem_collection'!$A$3:$A$500,MATCH($A23,'WetLitterbags placem_collection'!$O$4:$O$500,0)),"")</f>
        <v/>
      </c>
      <c r="AD23" s="110" t="str">
        <f>IFERROR(INDEX('WetLitterbags placem_collection'!$A$3:$A$500,MATCH($A23,'WetLitterbags placem_collection'!$M$4:$M$500,0)),"")</f>
        <v/>
      </c>
      <c r="AE23" s="110" t="str">
        <f>IFERROR(INDEX('WetLitterbags placem_collection'!$A$3:$A$500,MATCH($A23,'WetLitterbags placem_collection'!$Q$4:$Q$500,0)),"")</f>
        <v/>
      </c>
    </row>
    <row r="24" spans="1:31">
      <c r="A24" s="197" t="s">
        <v>1713</v>
      </c>
      <c r="C24" s="198">
        <v>184</v>
      </c>
      <c r="D24" s="197">
        <v>0.46029999999999999</v>
      </c>
      <c r="E24" s="197">
        <v>8.1677999999999997</v>
      </c>
      <c r="F24" s="202">
        <v>0.2014</v>
      </c>
      <c r="G24" s="201">
        <f t="shared" si="0"/>
        <v>8.3691999999999993</v>
      </c>
      <c r="H24" s="201">
        <v>8.1896000000000004</v>
      </c>
      <c r="I24" s="201">
        <f t="shared" si="1"/>
        <v>0.17959999999999887</v>
      </c>
      <c r="J24" s="201">
        <f t="shared" si="2"/>
        <v>2.1800000000001124E-2</v>
      </c>
      <c r="K24" s="280">
        <f t="shared" si="3"/>
        <v>10.824230387289536</v>
      </c>
      <c r="L24" s="201">
        <v>20</v>
      </c>
      <c r="AB24" s="110" t="str">
        <f>IFERROR(INDEX('WetLitterbags placem_collection'!$A$3:$A$500,MATCH(A24,'WetLitterbags placem_collection'!$K$4:$K$500,0)),"")</f>
        <v/>
      </c>
      <c r="AC24" s="110">
        <f>IFERROR(INDEX('WetLitterbags placem_collection'!$A$3:$A$500,MATCH($A24,'WetLitterbags placem_collection'!$O$4:$O$500,0)),"")</f>
        <v>183</v>
      </c>
      <c r="AD24" s="110" t="str">
        <f>IFERROR(INDEX('WetLitterbags placem_collection'!$A$3:$A$500,MATCH($A24,'WetLitterbags placem_collection'!$M$4:$M$500,0)),"")</f>
        <v/>
      </c>
      <c r="AE24" s="110" t="str">
        <f>IFERROR(INDEX('WetLitterbags placem_collection'!$A$3:$A$500,MATCH($A24,'WetLitterbags placem_collection'!$Q$4:$Q$500,0)),"")</f>
        <v/>
      </c>
    </row>
    <row r="25" spans="1:31">
      <c r="A25" s="197" t="s">
        <v>1705</v>
      </c>
      <c r="C25" s="198">
        <v>29</v>
      </c>
      <c r="D25" s="197">
        <v>0.45800000000000002</v>
      </c>
      <c r="E25" s="201">
        <v>11.154400000000001</v>
      </c>
      <c r="F25" s="202">
        <v>0.20430000000000001</v>
      </c>
      <c r="G25" s="201">
        <f t="shared" si="0"/>
        <v>11.358700000000001</v>
      </c>
      <c r="H25" s="201">
        <v>11.173999999999999</v>
      </c>
      <c r="I25" s="201">
        <f t="shared" si="1"/>
        <v>0.1847000000000012</v>
      </c>
      <c r="J25" s="201">
        <f t="shared" si="2"/>
        <v>1.9599999999998813E-2</v>
      </c>
      <c r="K25" s="280">
        <f t="shared" si="3"/>
        <v>9.5937347038662821</v>
      </c>
      <c r="L25" s="201">
        <v>8</v>
      </c>
      <c r="M25" s="204">
        <v>43212</v>
      </c>
      <c r="AB25" s="110" t="str">
        <f>IFERROR(INDEX('WetLitterbags placem_collection'!$A$3:$A$500,MATCH(A25,'WetLitterbags placem_collection'!$K$4:$K$500,0)),"")</f>
        <v/>
      </c>
      <c r="AC25" s="110">
        <f>IFERROR(INDEX('WetLitterbags placem_collection'!$A$3:$A$500,MATCH($A25,'WetLitterbags placem_collection'!$O$4:$O$500,0)),"")</f>
        <v>28</v>
      </c>
      <c r="AD25" s="110" t="str">
        <f>IFERROR(INDEX('WetLitterbags placem_collection'!$A$3:$A$500,MATCH($A25,'WetLitterbags placem_collection'!$M$4:$M$500,0)),"")</f>
        <v/>
      </c>
      <c r="AE25" s="110" t="str">
        <f>IFERROR(INDEX('WetLitterbags placem_collection'!$A$3:$A$500,MATCH($A25,'WetLitterbags placem_collection'!$Q$4:$Q$500,0)),"")</f>
        <v/>
      </c>
    </row>
    <row r="26" spans="1:31">
      <c r="A26" s="197" t="s">
        <v>1704</v>
      </c>
      <c r="C26" s="201">
        <v>49</v>
      </c>
      <c r="D26" s="197">
        <v>0.75149999999999995</v>
      </c>
      <c r="E26" s="201">
        <v>10.634499999999999</v>
      </c>
      <c r="F26" s="202">
        <v>0.20230000000000001</v>
      </c>
      <c r="G26" s="201">
        <f t="shared" si="0"/>
        <v>10.836799999999998</v>
      </c>
      <c r="H26" s="201">
        <v>10.6754</v>
      </c>
      <c r="I26" s="201">
        <f t="shared" si="1"/>
        <v>0.16139999999999866</v>
      </c>
      <c r="J26" s="201">
        <f t="shared" si="2"/>
        <v>4.0900000000001352E-2</v>
      </c>
      <c r="K26" s="280">
        <f t="shared" si="3"/>
        <v>20.217498764212234</v>
      </c>
      <c r="L26" s="201">
        <v>34</v>
      </c>
      <c r="M26" s="205">
        <v>43211</v>
      </c>
      <c r="R26" s="197">
        <v>3</v>
      </c>
      <c r="S26" s="197">
        <v>0.64849999999999997</v>
      </c>
      <c r="U26" s="202" t="s">
        <v>1278</v>
      </c>
      <c r="V26" s="197">
        <v>0.83420000000000005</v>
      </c>
      <c r="W26" s="197">
        <f>(V26-$T$175+F24)</f>
        <v>1.0356000000000001</v>
      </c>
      <c r="AB26" s="110">
        <f>IFERROR(INDEX('WetLitterbags placem_collection'!$A$3:$A$500,MATCH(A26,'WetLitterbags placem_collection'!$K$4:$K$500,0)),"")</f>
        <v>48</v>
      </c>
      <c r="AC26" s="110" t="str">
        <f>IFERROR(INDEX('WetLitterbags placem_collection'!$A$3:$A$500,MATCH($A26,'WetLitterbags placem_collection'!$O$4:$O$500,0)),"")</f>
        <v/>
      </c>
      <c r="AD26" s="110" t="str">
        <f>IFERROR(INDEX('WetLitterbags placem_collection'!$A$3:$A$500,MATCH($A26,'WetLitterbags placem_collection'!$M$4:$M$500,0)),"")</f>
        <v/>
      </c>
      <c r="AE26" s="110" t="str">
        <f>IFERROR(INDEX('WetLitterbags placem_collection'!$A$3:$A$500,MATCH($A26,'WetLitterbags placem_collection'!$Q$4:$Q$500,0)),"")</f>
        <v/>
      </c>
    </row>
    <row r="27" spans="1:31">
      <c r="A27" s="197" t="s">
        <v>1699</v>
      </c>
      <c r="C27" s="201">
        <v>161</v>
      </c>
      <c r="D27" s="197">
        <v>0.3921</v>
      </c>
      <c r="E27" s="197">
        <v>8.8637999999999995</v>
      </c>
      <c r="F27" s="197">
        <v>0.20130000000000001</v>
      </c>
      <c r="G27" s="197">
        <f t="shared" si="0"/>
        <v>9.0650999999999993</v>
      </c>
      <c r="H27" s="197">
        <v>8.8859999999999992</v>
      </c>
      <c r="I27" s="197">
        <f t="shared" si="1"/>
        <v>0.17910000000000004</v>
      </c>
      <c r="J27" s="201">
        <f t="shared" si="2"/>
        <v>2.219999999999997E-2</v>
      </c>
      <c r="K27" s="280">
        <f t="shared" si="3"/>
        <v>11.028315946348718</v>
      </c>
      <c r="L27" s="197">
        <v>3</v>
      </c>
      <c r="M27" s="207">
        <v>43160.520833333336</v>
      </c>
      <c r="N27" s="207">
        <v>43160.6875</v>
      </c>
      <c r="O27" s="197" t="s">
        <v>2550</v>
      </c>
      <c r="AB27" s="110" t="str">
        <f>IFERROR(INDEX('WetLitterbags placem_collection'!$A$3:$A$500,MATCH(A27,'WetLitterbags placem_collection'!$K$4:$K$500,0)),"")</f>
        <v/>
      </c>
      <c r="AC27" s="110">
        <f>IFERROR(INDEX('WetLitterbags placem_collection'!$A$3:$A$500,MATCH($A27,'WetLitterbags placem_collection'!$O$4:$O$500,0)),"")</f>
        <v>160</v>
      </c>
      <c r="AD27" s="110" t="str">
        <f>IFERROR(INDEX('WetLitterbags placem_collection'!$A$3:$A$500,MATCH($A27,'WetLitterbags placem_collection'!$M$4:$M$500,0)),"")</f>
        <v/>
      </c>
      <c r="AE27" s="110" t="str">
        <f>IFERROR(INDEX('WetLitterbags placem_collection'!$A$3:$A$500,MATCH($A27,'WetLitterbags placem_collection'!$Q$4:$Q$500,0)),"")</f>
        <v/>
      </c>
    </row>
    <row r="28" spans="1:31">
      <c r="A28" s="197" t="s">
        <v>1698</v>
      </c>
      <c r="C28" s="201">
        <v>161</v>
      </c>
      <c r="D28" s="197">
        <v>0.39190000000000003</v>
      </c>
      <c r="E28" s="197">
        <v>8.1366999999999994</v>
      </c>
      <c r="F28" s="197">
        <v>0.20119999999999999</v>
      </c>
      <c r="G28" s="197">
        <f t="shared" si="0"/>
        <v>8.3378999999999994</v>
      </c>
      <c r="H28" s="197">
        <v>8.1506000000000007</v>
      </c>
      <c r="I28" s="197">
        <f t="shared" si="1"/>
        <v>0.18729999999999869</v>
      </c>
      <c r="J28" s="201">
        <f t="shared" si="2"/>
        <v>1.39000000000013E-2</v>
      </c>
      <c r="K28" s="280">
        <f t="shared" si="3"/>
        <v>6.9085487077541252</v>
      </c>
      <c r="L28" s="197">
        <v>4</v>
      </c>
      <c r="M28" s="207">
        <v>43160.520833333336</v>
      </c>
      <c r="N28" s="207">
        <v>43160.6875</v>
      </c>
      <c r="O28" s="197" t="s">
        <v>2550</v>
      </c>
      <c r="AB28" s="110" t="str">
        <f>IFERROR(INDEX('WetLitterbags placem_collection'!$A$3:$A$500,MATCH(A28,'WetLitterbags placem_collection'!$K$4:$K$500,0)),"")</f>
        <v/>
      </c>
      <c r="AC28" s="110" t="str">
        <f>IFERROR(INDEX('WetLitterbags placem_collection'!$A$3:$A$500,MATCH($A28,'WetLitterbags placem_collection'!$O$4:$O$500,0)),"")</f>
        <v/>
      </c>
      <c r="AD28" s="110" t="str">
        <f>IFERROR(INDEX('WetLitterbags placem_collection'!$A$3:$A$500,MATCH($A28,'WetLitterbags placem_collection'!$M$4:$M$500,0)),"")</f>
        <v/>
      </c>
      <c r="AE28" s="110" t="str">
        <f>IFERROR(INDEX('WetLitterbags placem_collection'!$A$3:$A$500,MATCH($A28,'WetLitterbags placem_collection'!$Q$4:$Q$500,0)),"")</f>
        <v/>
      </c>
    </row>
    <row r="29" spans="1:31">
      <c r="A29" s="197" t="s">
        <v>1695</v>
      </c>
      <c r="C29" s="197">
        <v>90</v>
      </c>
      <c r="D29" s="197">
        <v>0.54079999999999995</v>
      </c>
      <c r="E29" s="197">
        <v>20.934799999999999</v>
      </c>
      <c r="F29" s="197">
        <v>0.1933</v>
      </c>
      <c r="G29" s="197">
        <f t="shared" si="0"/>
        <v>21.1281</v>
      </c>
      <c r="H29" s="197">
        <v>20.947700000000001</v>
      </c>
      <c r="I29" s="197">
        <f t="shared" si="1"/>
        <v>0.18039999999999878</v>
      </c>
      <c r="J29" s="201">
        <f t="shared" si="2"/>
        <v>1.2900000000001216E-2</v>
      </c>
      <c r="K29" s="280">
        <f t="shared" si="3"/>
        <v>6.6735644076571221</v>
      </c>
      <c r="L29" s="197">
        <v>19</v>
      </c>
      <c r="M29" s="197" t="s">
        <v>2580</v>
      </c>
      <c r="N29" s="197" t="s">
        <v>2579</v>
      </c>
      <c r="O29" s="197" t="s">
        <v>2556</v>
      </c>
      <c r="AB29" s="110" t="str">
        <f>IFERROR(INDEX('WetLitterbags placem_collection'!$A$3:$A$500,MATCH(A29,'WetLitterbags placem_collection'!$K$4:$K$500,0)),"")</f>
        <v/>
      </c>
      <c r="AC29" s="110">
        <f>IFERROR(INDEX('WetLitterbags placem_collection'!$A$3:$A$500,MATCH($A29,'WetLitterbags placem_collection'!$O$4:$O$500,0)),"")</f>
        <v>89</v>
      </c>
      <c r="AD29" s="110" t="str">
        <f>IFERROR(INDEX('WetLitterbags placem_collection'!$A$3:$A$500,MATCH($A29,'WetLitterbags placem_collection'!$M$4:$M$500,0)),"")</f>
        <v/>
      </c>
      <c r="AE29" s="110" t="str">
        <f>IFERROR(INDEX('WetLitterbags placem_collection'!$A$3:$A$500,MATCH($A29,'WetLitterbags placem_collection'!$Q$4:$Q$500,0)),"")</f>
        <v/>
      </c>
    </row>
    <row r="30" spans="1:31">
      <c r="A30" s="206" t="s">
        <v>1692</v>
      </c>
      <c r="C30" s="201">
        <v>70</v>
      </c>
      <c r="D30" s="201">
        <v>0.621</v>
      </c>
      <c r="E30" s="202">
        <v>8.7317999999999998</v>
      </c>
      <c r="F30" s="202">
        <v>0.20780000000000001</v>
      </c>
      <c r="G30" s="201">
        <f t="shared" si="0"/>
        <v>8.9396000000000004</v>
      </c>
      <c r="H30" s="201">
        <v>8.76</v>
      </c>
      <c r="I30" s="201">
        <f t="shared" si="1"/>
        <v>0.17960000000000065</v>
      </c>
      <c r="J30" s="201">
        <f t="shared" si="2"/>
        <v>2.8199999999999364E-2</v>
      </c>
      <c r="K30" s="280">
        <f t="shared" si="3"/>
        <v>13.570741097208547</v>
      </c>
      <c r="L30" s="201">
        <v>12</v>
      </c>
      <c r="M30" s="203">
        <v>43181.645833333336</v>
      </c>
      <c r="N30" s="203">
        <v>43181.833333333336</v>
      </c>
      <c r="O30" s="201" t="s">
        <v>2556</v>
      </c>
      <c r="P30" s="201" t="s">
        <v>2572</v>
      </c>
      <c r="AB30" s="110">
        <f>IFERROR(INDEX('WetLitterbags placem_collection'!$A$3:$A$500,MATCH(A30,'WetLitterbags placem_collection'!$K$4:$K$500,0)),"")</f>
        <v>69</v>
      </c>
      <c r="AC30" s="110" t="str">
        <f>IFERROR(INDEX('WetLitterbags placem_collection'!$A$3:$A$500,MATCH($A30,'WetLitterbags placem_collection'!$O$4:$O$500,0)),"")</f>
        <v/>
      </c>
      <c r="AD30" s="110" t="str">
        <f>IFERROR(INDEX('WetLitterbags placem_collection'!$A$3:$A$500,MATCH($A30,'WetLitterbags placem_collection'!$M$4:$M$500,0)),"")</f>
        <v/>
      </c>
      <c r="AE30" s="110" t="str">
        <f>IFERROR(INDEX('WetLitterbags placem_collection'!$A$3:$A$500,MATCH($A30,'WetLitterbags placem_collection'!$Q$4:$Q$500,0)),"")</f>
        <v/>
      </c>
    </row>
    <row r="31" spans="1:31">
      <c r="A31" s="201" t="s">
        <v>1691</v>
      </c>
      <c r="C31" s="201">
        <v>37</v>
      </c>
      <c r="D31" s="201">
        <v>0.66649999999999998</v>
      </c>
      <c r="E31" s="201">
        <v>11.0029</v>
      </c>
      <c r="F31" s="201">
        <v>0.2034</v>
      </c>
      <c r="G31" s="201">
        <f t="shared" si="0"/>
        <v>11.206300000000001</v>
      </c>
      <c r="H31" s="201">
        <v>11.0541</v>
      </c>
      <c r="I31" s="201">
        <f t="shared" si="1"/>
        <v>0.15220000000000056</v>
      </c>
      <c r="J31" s="201">
        <f t="shared" si="2"/>
        <v>5.119999999999944E-2</v>
      </c>
      <c r="K31" s="280">
        <f t="shared" si="3"/>
        <v>25.172074729596577</v>
      </c>
      <c r="L31" s="201">
        <v>24</v>
      </c>
      <c r="M31" s="205">
        <v>43188</v>
      </c>
      <c r="N31" s="205">
        <v>43188</v>
      </c>
      <c r="O31" s="201"/>
      <c r="P31" s="201"/>
      <c r="AB31" s="110">
        <f>IFERROR(INDEX('WetLitterbags placem_collection'!$A$3:$A$500,MATCH(A31,'WetLitterbags placem_collection'!$K$4:$K$500,0)),"")</f>
        <v>36</v>
      </c>
      <c r="AC31" s="110" t="str">
        <f>IFERROR(INDEX('WetLitterbags placem_collection'!$A$3:$A$500,MATCH($A31,'WetLitterbags placem_collection'!$O$4:$O$500,0)),"")</f>
        <v/>
      </c>
      <c r="AD31" s="110" t="str">
        <f>IFERROR(INDEX('WetLitterbags placem_collection'!$A$3:$A$500,MATCH($A31,'WetLitterbags placem_collection'!$M$4:$M$500,0)),"")</f>
        <v/>
      </c>
      <c r="AE31" s="110" t="str">
        <f>IFERROR(INDEX('WetLitterbags placem_collection'!$A$3:$A$500,MATCH($A31,'WetLitterbags placem_collection'!$Q$4:$Q$500,0)),"")</f>
        <v/>
      </c>
    </row>
    <row r="32" spans="1:31">
      <c r="A32" s="197" t="s">
        <v>1690</v>
      </c>
      <c r="C32" s="201">
        <v>180</v>
      </c>
      <c r="D32" s="197">
        <v>0.43020000000000003</v>
      </c>
      <c r="E32" s="201">
        <v>11.4535</v>
      </c>
      <c r="F32" s="202">
        <v>0.20649999999999999</v>
      </c>
      <c r="G32" s="201">
        <f t="shared" si="0"/>
        <v>11.66</v>
      </c>
      <c r="H32" s="201">
        <v>11.4724</v>
      </c>
      <c r="I32" s="201">
        <f t="shared" si="1"/>
        <v>0.18759999999999977</v>
      </c>
      <c r="J32" s="201">
        <f t="shared" si="2"/>
        <v>1.8900000000000222E-2</v>
      </c>
      <c r="K32" s="280">
        <f t="shared" si="3"/>
        <v>9.1525423728814648</v>
      </c>
      <c r="L32" s="201">
        <v>38</v>
      </c>
      <c r="M32" s="205">
        <v>43211</v>
      </c>
      <c r="AB32" s="110">
        <f>IFERROR(INDEX('WetLitterbags placem_collection'!$A$3:$A$500,MATCH(A32,'WetLitterbags placem_collection'!$K$4:$K$500,0)),"")</f>
        <v>179</v>
      </c>
      <c r="AC32" s="110" t="str">
        <f>IFERROR(INDEX('WetLitterbags placem_collection'!$A$3:$A$500,MATCH($A32,'WetLitterbags placem_collection'!$O$4:$O$500,0)),"")</f>
        <v/>
      </c>
      <c r="AD32" s="110" t="str">
        <f>IFERROR(INDEX('WetLitterbags placem_collection'!$A$3:$A$500,MATCH($A32,'WetLitterbags placem_collection'!$M$4:$M$500,0)),"")</f>
        <v/>
      </c>
      <c r="AE32" s="110" t="str">
        <f>IFERROR(INDEX('WetLitterbags placem_collection'!$A$3:$A$500,MATCH($A32,'WetLitterbags placem_collection'!$Q$4:$Q$500,0)),"")</f>
        <v/>
      </c>
    </row>
    <row r="33" spans="1:31">
      <c r="A33" s="201" t="s">
        <v>1688</v>
      </c>
      <c r="C33" s="201">
        <v>177</v>
      </c>
      <c r="D33" s="201">
        <v>0.42699999999999999</v>
      </c>
      <c r="E33" s="201">
        <v>9.0031999999999996</v>
      </c>
      <c r="F33" s="202">
        <v>0.20569999999999999</v>
      </c>
      <c r="G33" s="201">
        <f t="shared" si="0"/>
        <v>9.2088999999999999</v>
      </c>
      <c r="H33" s="201">
        <v>9.0220000000000002</v>
      </c>
      <c r="I33" s="201">
        <f t="shared" si="1"/>
        <v>0.18689999999999962</v>
      </c>
      <c r="J33" s="201">
        <f t="shared" si="2"/>
        <v>1.8800000000000372E-2</v>
      </c>
      <c r="K33" s="280">
        <f t="shared" si="3"/>
        <v>9.1395235780264326</v>
      </c>
      <c r="L33" s="201">
        <v>39</v>
      </c>
      <c r="M33" s="205">
        <v>43187</v>
      </c>
      <c r="N33" s="205">
        <v>43187</v>
      </c>
      <c r="O33" s="201"/>
      <c r="P33" s="201"/>
      <c r="AB33" s="110">
        <f>IFERROR(INDEX('WetLitterbags placem_collection'!$A$3:$A$500,MATCH(A33,'WetLitterbags placem_collection'!$K$4:$K$500,0)),"")</f>
        <v>176</v>
      </c>
      <c r="AC33" s="110" t="str">
        <f>IFERROR(INDEX('WetLitterbags placem_collection'!$A$3:$A$500,MATCH($A33,'WetLitterbags placem_collection'!$O$4:$O$500,0)),"")</f>
        <v/>
      </c>
      <c r="AD33" s="110" t="str">
        <f>IFERROR(INDEX('WetLitterbags placem_collection'!$A$3:$A$500,MATCH($A33,'WetLitterbags placem_collection'!$M$4:$M$500,0)),"")</f>
        <v/>
      </c>
      <c r="AE33" s="110" t="str">
        <f>IFERROR(INDEX('WetLitterbags placem_collection'!$A$3:$A$500,MATCH($A33,'WetLitterbags placem_collection'!$Q$4:$Q$500,0)),"")</f>
        <v/>
      </c>
    </row>
    <row r="34" spans="1:31">
      <c r="A34" s="197" t="s">
        <v>1685</v>
      </c>
      <c r="C34" s="197">
        <v>187</v>
      </c>
      <c r="D34" s="197">
        <v>0.46639999999999998</v>
      </c>
      <c r="E34" s="201">
        <v>11.1212</v>
      </c>
      <c r="F34" s="202">
        <v>0.2019</v>
      </c>
      <c r="G34" s="201">
        <f t="shared" ref="G34:G65" si="4">E34+F34</f>
        <v>11.3231</v>
      </c>
      <c r="H34" s="201">
        <v>11.138999999999999</v>
      </c>
      <c r="I34" s="201">
        <f t="shared" ref="I34:I65" si="5">(G34-H34)</f>
        <v>0.18410000000000082</v>
      </c>
      <c r="J34" s="201">
        <f t="shared" ref="J34:J65" si="6">F34-I34</f>
        <v>1.7799999999999178E-2</v>
      </c>
      <c r="K34" s="280">
        <f t="shared" ref="K34:K65" si="7">(J34/F34)*100</f>
        <v>8.8162456661709641</v>
      </c>
      <c r="L34" s="201">
        <v>37</v>
      </c>
      <c r="M34" s="204">
        <v>43212</v>
      </c>
      <c r="AB34" s="110" t="str">
        <f>IFERROR(INDEX('WetLitterbags placem_collection'!$A$3:$A$500,MATCH(A34,'WetLitterbags placem_collection'!$K$4:$K$500,0)),"")</f>
        <v/>
      </c>
      <c r="AC34" s="110">
        <f>IFERROR(INDEX('WetLitterbags placem_collection'!$A$3:$A$500,MATCH($A34,'WetLitterbags placem_collection'!$O$4:$O$500,0)),"")</f>
        <v>186</v>
      </c>
      <c r="AD34" s="110" t="str">
        <f>IFERROR(INDEX('WetLitterbags placem_collection'!$A$3:$A$500,MATCH($A34,'WetLitterbags placem_collection'!$M$4:$M$500,0)),"")</f>
        <v/>
      </c>
      <c r="AE34" s="110" t="str">
        <f>IFERROR(INDEX('WetLitterbags placem_collection'!$A$3:$A$500,MATCH($A34,'WetLitterbags placem_collection'!$Q$4:$Q$500,0)),"")</f>
        <v/>
      </c>
    </row>
    <row r="35" spans="1:31">
      <c r="A35" s="201" t="s">
        <v>1684</v>
      </c>
      <c r="C35" s="197">
        <v>33</v>
      </c>
      <c r="D35" s="201">
        <v>0.54310000000000003</v>
      </c>
      <c r="E35" s="202">
        <v>9.2353000000000005</v>
      </c>
      <c r="F35" s="202">
        <v>0.20069999999999999</v>
      </c>
      <c r="G35" s="201">
        <f t="shared" si="4"/>
        <v>9.4359999999999999</v>
      </c>
      <c r="H35" s="201">
        <v>9.2540999999999993</v>
      </c>
      <c r="I35" s="201">
        <f t="shared" si="5"/>
        <v>0.18190000000000062</v>
      </c>
      <c r="J35" s="201">
        <f t="shared" si="6"/>
        <v>1.8799999999999373E-2</v>
      </c>
      <c r="K35" s="280">
        <f t="shared" si="7"/>
        <v>9.3672147483803556</v>
      </c>
      <c r="L35" s="201">
        <v>19</v>
      </c>
      <c r="M35" s="207">
        <v>43186.458333333336</v>
      </c>
      <c r="N35" s="207">
        <v>43186.625</v>
      </c>
      <c r="O35" s="197" t="s">
        <v>2550</v>
      </c>
      <c r="P35" s="201"/>
      <c r="AB35" s="110">
        <f>IFERROR(INDEX('WetLitterbags placem_collection'!$A$3:$A$500,MATCH(A35,'WetLitterbags placem_collection'!$K$4:$K$500,0)),"")</f>
        <v>32</v>
      </c>
      <c r="AC35" s="110" t="str">
        <f>IFERROR(INDEX('WetLitterbags placem_collection'!$A$3:$A$500,MATCH($A35,'WetLitterbags placem_collection'!$O$4:$O$500,0)),"")</f>
        <v/>
      </c>
      <c r="AD35" s="110" t="str">
        <f>IFERROR(INDEX('WetLitterbags placem_collection'!$A$3:$A$500,MATCH($A35,'WetLitterbags placem_collection'!$M$4:$M$500,0)),"")</f>
        <v/>
      </c>
      <c r="AE35" s="110" t="str">
        <f>IFERROR(INDEX('WetLitterbags placem_collection'!$A$3:$A$500,MATCH($A35,'WetLitterbags placem_collection'!$Q$4:$Q$500,0)),"")</f>
        <v/>
      </c>
    </row>
    <row r="36" spans="1:31">
      <c r="A36" s="201" t="s">
        <v>1683</v>
      </c>
      <c r="C36" s="201">
        <v>189</v>
      </c>
      <c r="D36" s="202">
        <v>0.60070000000000001</v>
      </c>
      <c r="E36" s="202">
        <v>11.7463</v>
      </c>
      <c r="F36" s="202">
        <v>0.2014</v>
      </c>
      <c r="G36" s="201">
        <f t="shared" si="4"/>
        <v>11.947699999999999</v>
      </c>
      <c r="H36" s="201">
        <v>11.7652</v>
      </c>
      <c r="I36" s="201">
        <f t="shared" si="5"/>
        <v>0.18249999999999922</v>
      </c>
      <c r="J36" s="201">
        <f t="shared" si="6"/>
        <v>1.8900000000000777E-2</v>
      </c>
      <c r="K36" s="280">
        <f t="shared" si="7"/>
        <v>9.3843098311821134</v>
      </c>
      <c r="L36" s="201">
        <v>16</v>
      </c>
      <c r="M36" s="201"/>
      <c r="N36" s="201"/>
      <c r="O36" s="201"/>
      <c r="P36" s="201"/>
      <c r="AB36" s="110">
        <f>IFERROR(INDEX('WetLitterbags placem_collection'!$A$3:$A$500,MATCH(A36,'WetLitterbags placem_collection'!$K$4:$K$500,0)),"")</f>
        <v>188</v>
      </c>
      <c r="AC36" s="110" t="str">
        <f>IFERROR(INDEX('WetLitterbags placem_collection'!$A$3:$A$500,MATCH($A36,'WetLitterbags placem_collection'!$O$4:$O$500,0)),"")</f>
        <v/>
      </c>
      <c r="AD36" s="110" t="str">
        <f>IFERROR(INDEX('WetLitterbags placem_collection'!$A$3:$A$500,MATCH($A36,'WetLitterbags placem_collection'!$M$4:$M$500,0)),"")</f>
        <v/>
      </c>
      <c r="AE36" s="110" t="str">
        <f>IFERROR(INDEX('WetLitterbags placem_collection'!$A$3:$A$500,MATCH($A36,'WetLitterbags placem_collection'!$Q$4:$Q$500,0)),"")</f>
        <v/>
      </c>
    </row>
    <row r="37" spans="1:31">
      <c r="A37" s="201" t="s">
        <v>1682</v>
      </c>
      <c r="C37" s="201">
        <v>165</v>
      </c>
      <c r="D37" s="201">
        <v>0.53839999999999999</v>
      </c>
      <c r="E37" s="201">
        <v>8.0638000000000005</v>
      </c>
      <c r="F37" s="201">
        <v>0.20449999999999999</v>
      </c>
      <c r="G37" s="201">
        <f t="shared" si="4"/>
        <v>8.2683</v>
      </c>
      <c r="H37" s="201">
        <v>8.0785999999999998</v>
      </c>
      <c r="I37" s="201">
        <f t="shared" si="5"/>
        <v>0.1897000000000002</v>
      </c>
      <c r="J37" s="201">
        <f t="shared" si="6"/>
        <v>1.4799999999999786E-2</v>
      </c>
      <c r="K37" s="280">
        <f t="shared" si="7"/>
        <v>7.2371638141808248</v>
      </c>
      <c r="L37" s="201">
        <v>20</v>
      </c>
      <c r="M37" s="203">
        <v>43164.628472222219</v>
      </c>
      <c r="N37" s="203">
        <v>43164.795138888891</v>
      </c>
      <c r="O37" s="197" t="s">
        <v>2550</v>
      </c>
      <c r="P37" s="201"/>
      <c r="AB37" s="110">
        <f>IFERROR(INDEX('WetLitterbags placem_collection'!$A$3:$A$500,MATCH(A37,'WetLitterbags placem_collection'!$K$4:$K$500,0)),"")</f>
        <v>164</v>
      </c>
      <c r="AC37" s="110" t="str">
        <f>IFERROR(INDEX('WetLitterbags placem_collection'!$A$3:$A$500,MATCH($A37,'WetLitterbags placem_collection'!$O$4:$O$500,0)),"")</f>
        <v/>
      </c>
      <c r="AD37" s="110" t="str">
        <f>IFERROR(INDEX('WetLitterbags placem_collection'!$A$3:$A$500,MATCH($A37,'WetLitterbags placem_collection'!$M$4:$M$500,0)),"")</f>
        <v/>
      </c>
      <c r="AE37" s="110" t="str">
        <f>IFERROR(INDEX('WetLitterbags placem_collection'!$A$3:$A$500,MATCH($A37,'WetLitterbags placem_collection'!$Q$4:$Q$500,0)),"")</f>
        <v/>
      </c>
    </row>
    <row r="38" spans="1:31">
      <c r="A38" s="197" t="s">
        <v>1677</v>
      </c>
      <c r="C38" s="198">
        <v>75</v>
      </c>
      <c r="D38" s="197">
        <v>0.71379999999999999</v>
      </c>
      <c r="E38" s="201">
        <v>9.3428000000000004</v>
      </c>
      <c r="F38" s="202">
        <v>0.20100000000000001</v>
      </c>
      <c r="G38" s="201">
        <f t="shared" si="4"/>
        <v>9.5438000000000009</v>
      </c>
      <c r="H38" s="201">
        <v>9.3640000000000008</v>
      </c>
      <c r="I38" s="201">
        <f t="shared" si="5"/>
        <v>0.17980000000000018</v>
      </c>
      <c r="J38" s="201">
        <f t="shared" si="6"/>
        <v>2.119999999999983E-2</v>
      </c>
      <c r="K38" s="280">
        <f t="shared" si="7"/>
        <v>10.547263681591955</v>
      </c>
      <c r="L38" s="201">
        <v>19</v>
      </c>
      <c r="M38" s="204">
        <v>43213</v>
      </c>
      <c r="N38" s="204">
        <v>43213</v>
      </c>
      <c r="AB38" s="110" t="str">
        <f>IFERROR(INDEX('WetLitterbags placem_collection'!$A$3:$A$500,MATCH(A38,'WetLitterbags placem_collection'!$K$4:$K$500,0)),"")</f>
        <v/>
      </c>
      <c r="AC38" s="110">
        <f>IFERROR(INDEX('WetLitterbags placem_collection'!$A$3:$A$500,MATCH($A38,'WetLitterbags placem_collection'!$O$4:$O$500,0)),"")</f>
        <v>74</v>
      </c>
      <c r="AD38" s="110" t="str">
        <f>IFERROR(INDEX('WetLitterbags placem_collection'!$A$3:$A$500,MATCH($A38,'WetLitterbags placem_collection'!$M$4:$M$500,0)),"")</f>
        <v/>
      </c>
      <c r="AE38" s="110" t="str">
        <f>IFERROR(INDEX('WetLitterbags placem_collection'!$A$3:$A$500,MATCH($A38,'WetLitterbags placem_collection'!$Q$4:$Q$500,0)),"")</f>
        <v/>
      </c>
    </row>
    <row r="39" spans="1:31">
      <c r="A39" s="197" t="s">
        <v>1675</v>
      </c>
      <c r="C39" s="198">
        <v>188</v>
      </c>
      <c r="D39" s="197">
        <v>0.37780000000000002</v>
      </c>
      <c r="E39" s="202">
        <v>7.0929000000000002</v>
      </c>
      <c r="F39" s="202">
        <v>0.20569999999999999</v>
      </c>
      <c r="G39" s="201">
        <f t="shared" si="4"/>
        <v>7.2986000000000004</v>
      </c>
      <c r="H39" s="201">
        <v>7.11</v>
      </c>
      <c r="I39" s="201">
        <f t="shared" si="5"/>
        <v>0.1886000000000001</v>
      </c>
      <c r="J39" s="201">
        <f t="shared" si="6"/>
        <v>1.7099999999999893E-2</v>
      </c>
      <c r="K39" s="280">
        <f t="shared" si="7"/>
        <v>8.3130772970344644</v>
      </c>
      <c r="L39" s="201">
        <v>33</v>
      </c>
      <c r="AB39" s="110" t="str">
        <f>IFERROR(INDEX('WetLitterbags placem_collection'!$A$3:$A$500,MATCH(A39,'WetLitterbags placem_collection'!$K$4:$K$500,0)),"")</f>
        <v/>
      </c>
      <c r="AC39" s="110">
        <f>IFERROR(INDEX('WetLitterbags placem_collection'!$A$3:$A$500,MATCH($A39,'WetLitterbags placem_collection'!$O$4:$O$500,0)),"")</f>
        <v>187</v>
      </c>
      <c r="AD39" s="110" t="str">
        <f>IFERROR(INDEX('WetLitterbags placem_collection'!$A$3:$A$500,MATCH($A39,'WetLitterbags placem_collection'!$M$4:$M$500,0)),"")</f>
        <v/>
      </c>
      <c r="AE39" s="110" t="str">
        <f>IFERROR(INDEX('WetLitterbags placem_collection'!$A$3:$A$500,MATCH($A39,'WetLitterbags placem_collection'!$Q$4:$Q$500,0)),"")</f>
        <v/>
      </c>
    </row>
    <row r="40" spans="1:31">
      <c r="A40" s="197" t="s">
        <v>1667</v>
      </c>
      <c r="C40" s="198">
        <v>72</v>
      </c>
      <c r="D40" s="197">
        <v>0.65190000000000003</v>
      </c>
      <c r="E40" s="201">
        <v>10.675000000000001</v>
      </c>
      <c r="F40" s="202">
        <v>0.20200000000000001</v>
      </c>
      <c r="G40" s="201">
        <f t="shared" si="4"/>
        <v>10.877000000000001</v>
      </c>
      <c r="H40" s="201">
        <v>10.693099999999999</v>
      </c>
      <c r="I40" s="201">
        <f t="shared" si="5"/>
        <v>0.18390000000000128</v>
      </c>
      <c r="J40" s="201">
        <f t="shared" si="6"/>
        <v>1.8099999999998728E-2</v>
      </c>
      <c r="K40" s="280">
        <f t="shared" si="7"/>
        <v>8.9603960396033298</v>
      </c>
      <c r="L40" s="201">
        <v>2</v>
      </c>
      <c r="M40" s="204">
        <v>43213</v>
      </c>
      <c r="N40" s="204">
        <v>43213</v>
      </c>
      <c r="AB40" s="110">
        <f>IFERROR(INDEX('WetLitterbags placem_collection'!$A$3:$A$500,MATCH(A40,'WetLitterbags placem_collection'!$K$4:$K$500,0)),"")</f>
        <v>71</v>
      </c>
      <c r="AC40" s="110" t="str">
        <f>IFERROR(INDEX('WetLitterbags placem_collection'!$A$3:$A$500,MATCH($A40,'WetLitterbags placem_collection'!$O$4:$O$500,0)),"")</f>
        <v/>
      </c>
      <c r="AD40" s="110" t="str">
        <f>IFERROR(INDEX('WetLitterbags placem_collection'!$A$3:$A$500,MATCH($A40,'WetLitterbags placem_collection'!$M$4:$M$500,0)),"")</f>
        <v/>
      </c>
      <c r="AE40" s="110" t="str">
        <f>IFERROR(INDEX('WetLitterbags placem_collection'!$A$3:$A$500,MATCH($A40,'WetLitterbags placem_collection'!$Q$4:$Q$500,0)),"")</f>
        <v/>
      </c>
    </row>
    <row r="41" spans="1:31">
      <c r="A41" s="197" t="s">
        <v>1665</v>
      </c>
      <c r="C41" s="198">
        <v>162</v>
      </c>
      <c r="D41" s="197">
        <v>0.44819999999999999</v>
      </c>
      <c r="E41" s="202">
        <v>10.635</v>
      </c>
      <c r="F41" s="202">
        <v>0.2034</v>
      </c>
      <c r="G41" s="201">
        <f t="shared" si="4"/>
        <v>10.8384</v>
      </c>
      <c r="H41" s="201">
        <v>10.6524</v>
      </c>
      <c r="I41" s="201">
        <f t="shared" si="5"/>
        <v>0.18599999999999994</v>
      </c>
      <c r="J41" s="201">
        <f t="shared" si="6"/>
        <v>1.7400000000000054E-2</v>
      </c>
      <c r="K41" s="280">
        <f t="shared" si="7"/>
        <v>8.5545722713864567</v>
      </c>
      <c r="L41" s="201">
        <v>28</v>
      </c>
      <c r="M41" s="204">
        <v>43221</v>
      </c>
      <c r="N41" s="204">
        <v>43221</v>
      </c>
      <c r="AB41" s="110">
        <f>IFERROR(INDEX('WetLitterbags placem_collection'!$A$3:$A$500,MATCH(A41,'WetLitterbags placem_collection'!$K$4:$K$500,0)),"")</f>
        <v>161</v>
      </c>
      <c r="AC41" s="110" t="str">
        <f>IFERROR(INDEX('WetLitterbags placem_collection'!$A$3:$A$500,MATCH($A41,'WetLitterbags placem_collection'!$O$4:$O$500,0)),"")</f>
        <v/>
      </c>
      <c r="AD41" s="110" t="str">
        <f>IFERROR(INDEX('WetLitterbags placem_collection'!$A$3:$A$500,MATCH($A41,'WetLitterbags placem_collection'!$M$4:$M$500,0)),"")</f>
        <v/>
      </c>
      <c r="AE41" s="110" t="str">
        <f>IFERROR(INDEX('WetLitterbags placem_collection'!$A$3:$A$500,MATCH($A41,'WetLitterbags placem_collection'!$Q$4:$Q$500,0)),"")</f>
        <v/>
      </c>
    </row>
    <row r="42" spans="1:31">
      <c r="A42" s="201" t="s">
        <v>1664</v>
      </c>
      <c r="C42" s="201">
        <v>69</v>
      </c>
      <c r="D42" s="202">
        <v>0.74609999999999999</v>
      </c>
      <c r="E42" s="202">
        <v>8.9581</v>
      </c>
      <c r="F42" s="202">
        <v>0.2014</v>
      </c>
      <c r="G42" s="201">
        <f t="shared" si="4"/>
        <v>9.1594999999999995</v>
      </c>
      <c r="H42" s="201">
        <v>9.0158000000000005</v>
      </c>
      <c r="I42" s="201">
        <f t="shared" si="5"/>
        <v>0.14369999999999905</v>
      </c>
      <c r="J42" s="201">
        <f t="shared" si="6"/>
        <v>5.7700000000000945E-2</v>
      </c>
      <c r="K42" s="280">
        <f t="shared" si="7"/>
        <v>28.64945382323781</v>
      </c>
      <c r="L42" s="201">
        <v>19</v>
      </c>
      <c r="M42" s="203">
        <v>43181.645833333336</v>
      </c>
      <c r="N42" s="203">
        <v>43181.833333333336</v>
      </c>
      <c r="O42" s="201" t="s">
        <v>2556</v>
      </c>
      <c r="P42" s="201" t="s">
        <v>2569</v>
      </c>
      <c r="AB42" s="110" t="str">
        <f>IFERROR(INDEX('WetLitterbags placem_collection'!$A$3:$A$500,MATCH(A42,'WetLitterbags placem_collection'!$K$4:$K$500,0)),"")</f>
        <v/>
      </c>
      <c r="AC42" s="110">
        <f>IFERROR(INDEX('WetLitterbags placem_collection'!$A$3:$A$500,MATCH($A42,'WetLitterbags placem_collection'!$O$4:$O$500,0)),"")</f>
        <v>68</v>
      </c>
      <c r="AD42" s="110" t="str">
        <f>IFERROR(INDEX('WetLitterbags placem_collection'!$A$3:$A$500,MATCH($A42,'WetLitterbags placem_collection'!$M$4:$M$500,0)),"")</f>
        <v/>
      </c>
      <c r="AE42" s="110" t="str">
        <f>IFERROR(INDEX('WetLitterbags placem_collection'!$A$3:$A$500,MATCH($A42,'WetLitterbags placem_collection'!$Q$4:$Q$500,0)),"")</f>
        <v/>
      </c>
    </row>
    <row r="43" spans="1:31">
      <c r="A43" s="197" t="s">
        <v>1663</v>
      </c>
      <c r="C43" s="201">
        <v>63</v>
      </c>
      <c r="D43" s="202">
        <v>0.8407</v>
      </c>
      <c r="E43" s="202">
        <v>11.106</v>
      </c>
      <c r="F43" s="202">
        <v>0.20569999999999999</v>
      </c>
      <c r="G43" s="201">
        <f t="shared" si="4"/>
        <v>11.3117</v>
      </c>
      <c r="H43" s="201">
        <v>11.148199999999999</v>
      </c>
      <c r="I43" s="201">
        <f t="shared" si="5"/>
        <v>0.16350000000000087</v>
      </c>
      <c r="J43" s="201">
        <f t="shared" si="6"/>
        <v>4.2199999999999127E-2</v>
      </c>
      <c r="K43" s="280">
        <f t="shared" si="7"/>
        <v>20.515313563441481</v>
      </c>
      <c r="L43" s="201">
        <v>8</v>
      </c>
      <c r="M43" s="201"/>
      <c r="N43" s="201"/>
      <c r="O43" s="201"/>
      <c r="P43" s="201"/>
      <c r="AB43" s="110">
        <f>IFERROR(INDEX('WetLitterbags placem_collection'!$A$3:$A$500,MATCH(A43,'WetLitterbags placem_collection'!$K$4:$K$500,0)),"")</f>
        <v>62</v>
      </c>
      <c r="AC43" s="110" t="str">
        <f>IFERROR(INDEX('WetLitterbags placem_collection'!$A$3:$A$500,MATCH($A43,'WetLitterbags placem_collection'!$O$4:$O$500,0)),"")</f>
        <v/>
      </c>
      <c r="AD43" s="110" t="str">
        <f>IFERROR(INDEX('WetLitterbags placem_collection'!$A$3:$A$500,MATCH($A43,'WetLitterbags placem_collection'!$M$4:$M$500,0)),"")</f>
        <v/>
      </c>
      <c r="AE43" s="110" t="str">
        <f>IFERROR(INDEX('WetLitterbags placem_collection'!$A$3:$A$500,MATCH($A43,'WetLitterbags placem_collection'!$Q$4:$Q$500,0)),"")</f>
        <v/>
      </c>
    </row>
    <row r="44" spans="1:31">
      <c r="A44" s="197" t="s">
        <v>1662</v>
      </c>
      <c r="C44" s="198">
        <v>197</v>
      </c>
      <c r="D44" s="197">
        <v>0.50419999999999998</v>
      </c>
      <c r="E44" s="201">
        <v>8.9580000000000002</v>
      </c>
      <c r="F44" s="202">
        <v>0.20349999999999999</v>
      </c>
      <c r="G44" s="201">
        <f t="shared" si="4"/>
        <v>9.1615000000000002</v>
      </c>
      <c r="H44" s="201">
        <v>8.9794999999999998</v>
      </c>
      <c r="I44" s="201">
        <f t="shared" si="5"/>
        <v>0.18200000000000038</v>
      </c>
      <c r="J44" s="201">
        <f t="shared" si="6"/>
        <v>2.1499999999999603E-2</v>
      </c>
      <c r="K44" s="280">
        <f t="shared" si="7"/>
        <v>10.565110565110372</v>
      </c>
      <c r="L44" s="201">
        <v>3</v>
      </c>
      <c r="M44" s="204">
        <v>43213</v>
      </c>
      <c r="N44" s="204">
        <v>43213</v>
      </c>
      <c r="AB44" s="110" t="str">
        <f>IFERROR(INDEX('WetLitterbags placem_collection'!$A$3:$A$500,MATCH(A44,'WetLitterbags placem_collection'!$K$4:$K$500,0)),"")</f>
        <v/>
      </c>
      <c r="AC44" s="110">
        <f>IFERROR(INDEX('WetLitterbags placem_collection'!$A$3:$A$500,MATCH($A44,'WetLitterbags placem_collection'!$O$4:$O$500,0)),"")</f>
        <v>196</v>
      </c>
      <c r="AD44" s="110" t="str">
        <f>IFERROR(INDEX('WetLitterbags placem_collection'!$A$3:$A$500,MATCH($A44,'WetLitterbags placem_collection'!$M$4:$M$500,0)),"")</f>
        <v/>
      </c>
      <c r="AE44" s="110" t="str">
        <f>IFERROR(INDEX('WetLitterbags placem_collection'!$A$3:$A$500,MATCH($A44,'WetLitterbags placem_collection'!$Q$4:$Q$500,0)),"")</f>
        <v/>
      </c>
    </row>
    <row r="45" spans="1:31">
      <c r="A45" s="197" t="s">
        <v>1661</v>
      </c>
      <c r="C45" s="197">
        <v>8</v>
      </c>
      <c r="D45" s="197">
        <v>0.42562</v>
      </c>
      <c r="E45" s="197">
        <v>8.1182999999999996</v>
      </c>
      <c r="F45" s="197">
        <v>0.2006</v>
      </c>
      <c r="G45" s="197">
        <f t="shared" si="4"/>
        <v>8.3188999999999993</v>
      </c>
      <c r="H45" s="197">
        <v>8.1379000000000001</v>
      </c>
      <c r="I45" s="197">
        <f t="shared" si="5"/>
        <v>0.18099999999999916</v>
      </c>
      <c r="J45" s="201">
        <f t="shared" si="6"/>
        <v>1.9600000000000839E-2</v>
      </c>
      <c r="K45" s="280">
        <f t="shared" si="7"/>
        <v>9.7706879361918428</v>
      </c>
      <c r="L45" s="197">
        <v>4</v>
      </c>
      <c r="M45" s="197" t="s">
        <v>2586</v>
      </c>
      <c r="N45" s="197" t="s">
        <v>2585</v>
      </c>
      <c r="O45" s="197" t="s">
        <v>2550</v>
      </c>
      <c r="AB45" s="110">
        <f>IFERROR(INDEX('WetLitterbags placem_collection'!$A$3:$A$500,MATCH(A45,'WetLitterbags placem_collection'!$K$4:$K$500,0)),"")</f>
        <v>7</v>
      </c>
      <c r="AC45" s="110" t="str">
        <f>IFERROR(INDEX('WetLitterbags placem_collection'!$A$3:$A$500,MATCH($A45,'WetLitterbags placem_collection'!$O$4:$O$500,0)),"")</f>
        <v/>
      </c>
      <c r="AD45" s="110" t="str">
        <f>IFERROR(INDEX('WetLitterbags placem_collection'!$A$3:$A$500,MATCH($A45,'WetLitterbags placem_collection'!$M$4:$M$500,0)),"")</f>
        <v/>
      </c>
      <c r="AE45" s="110" t="str">
        <f>IFERROR(INDEX('WetLitterbags placem_collection'!$A$3:$A$500,MATCH($A45,'WetLitterbags placem_collection'!$Q$4:$Q$500,0)),"")</f>
        <v/>
      </c>
    </row>
    <row r="46" spans="1:31">
      <c r="A46" s="206" t="s">
        <v>1660</v>
      </c>
      <c r="C46" s="201">
        <v>164</v>
      </c>
      <c r="D46" s="201">
        <v>0.45400000000000001</v>
      </c>
      <c r="E46" s="201">
        <v>10.312900000000001</v>
      </c>
      <c r="F46" s="202">
        <v>0.20069999999999999</v>
      </c>
      <c r="G46" s="201">
        <f t="shared" si="4"/>
        <v>10.5136</v>
      </c>
      <c r="H46" s="201">
        <v>10.331200000000001</v>
      </c>
      <c r="I46" s="201">
        <f t="shared" si="5"/>
        <v>0.18239999999999945</v>
      </c>
      <c r="J46" s="201">
        <f t="shared" si="6"/>
        <v>1.8300000000000538E-2</v>
      </c>
      <c r="K46" s="280">
        <f t="shared" si="7"/>
        <v>9.1180866965623011</v>
      </c>
      <c r="L46" s="201">
        <v>26</v>
      </c>
      <c r="M46" s="205">
        <v>43187</v>
      </c>
      <c r="N46" s="205">
        <v>43187</v>
      </c>
      <c r="O46" s="201"/>
      <c r="P46" s="201"/>
      <c r="AB46" s="110" t="str">
        <f>IFERROR(INDEX('WetLitterbags placem_collection'!$A$3:$A$500,MATCH(A46,'WetLitterbags placem_collection'!$K$4:$K$500,0)),"")</f>
        <v/>
      </c>
      <c r="AC46" s="110">
        <f>IFERROR(INDEX('WetLitterbags placem_collection'!$A$3:$A$500,MATCH($A46,'WetLitterbags placem_collection'!$O$4:$O$500,0)),"")</f>
        <v>163</v>
      </c>
      <c r="AD46" s="110" t="str">
        <f>IFERROR(INDEX('WetLitterbags placem_collection'!$A$3:$A$500,MATCH($A46,'WetLitterbags placem_collection'!$M$4:$M$500,0)),"")</f>
        <v/>
      </c>
      <c r="AE46" s="110" t="str">
        <f>IFERROR(INDEX('WetLitterbags placem_collection'!$A$3:$A$500,MATCH($A46,'WetLitterbags placem_collection'!$Q$4:$Q$500,0)),"")</f>
        <v/>
      </c>
    </row>
    <row r="47" spans="1:31">
      <c r="A47" s="197" t="s">
        <v>1659</v>
      </c>
      <c r="C47" s="197">
        <v>61</v>
      </c>
      <c r="D47" s="197">
        <v>0.43340000000000001</v>
      </c>
      <c r="E47" s="197">
        <v>7.8392999999999997</v>
      </c>
      <c r="F47" s="197">
        <v>0.2024</v>
      </c>
      <c r="G47" s="197">
        <f t="shared" si="4"/>
        <v>8.0417000000000005</v>
      </c>
      <c r="H47" s="197">
        <v>7.8555999999999999</v>
      </c>
      <c r="I47" s="197">
        <f t="shared" si="5"/>
        <v>0.1861000000000006</v>
      </c>
      <c r="J47" s="201">
        <f t="shared" si="6"/>
        <v>1.6299999999999398E-2</v>
      </c>
      <c r="K47" s="280">
        <f t="shared" si="7"/>
        <v>8.0533596837941683</v>
      </c>
      <c r="L47" s="197">
        <v>41</v>
      </c>
      <c r="M47" s="197" t="s">
        <v>2586</v>
      </c>
      <c r="N47" s="197" t="s">
        <v>2585</v>
      </c>
      <c r="O47" s="197" t="s">
        <v>2550</v>
      </c>
      <c r="AB47" s="110" t="str">
        <f>IFERROR(INDEX('WetLitterbags placem_collection'!$A$3:$A$500,MATCH(A47,'WetLitterbags placem_collection'!$K$4:$K$500,0)),"")</f>
        <v/>
      </c>
      <c r="AC47" s="110">
        <f>IFERROR(INDEX('WetLitterbags placem_collection'!$A$3:$A$500,MATCH($A47,'WetLitterbags placem_collection'!$O$4:$O$500,0)),"")</f>
        <v>60</v>
      </c>
      <c r="AD47" s="110" t="str">
        <f>IFERROR(INDEX('WetLitterbags placem_collection'!$A$3:$A$500,MATCH($A47,'WetLitterbags placem_collection'!$M$4:$M$500,0)),"")</f>
        <v/>
      </c>
      <c r="AE47" s="110" t="str">
        <f>IFERROR(INDEX('WetLitterbags placem_collection'!$A$3:$A$500,MATCH($A47,'WetLitterbags placem_collection'!$Q$4:$Q$500,0)),"")</f>
        <v/>
      </c>
    </row>
    <row r="48" spans="1:31" s="201" customFormat="1">
      <c r="A48" s="197" t="s">
        <v>1657</v>
      </c>
      <c r="B48"/>
      <c r="C48" s="198">
        <v>190</v>
      </c>
      <c r="D48" s="197">
        <v>0.4425</v>
      </c>
      <c r="E48" s="202">
        <v>8.1195000000000004</v>
      </c>
      <c r="F48" s="202">
        <v>0.2021</v>
      </c>
      <c r="G48" s="201">
        <f t="shared" si="4"/>
        <v>8.3216000000000001</v>
      </c>
      <c r="H48" s="201">
        <v>8.1387999999999998</v>
      </c>
      <c r="I48" s="201">
        <f t="shared" si="5"/>
        <v>0.1828000000000003</v>
      </c>
      <c r="J48" s="201">
        <f t="shared" si="6"/>
        <v>1.9299999999999706E-2</v>
      </c>
      <c r="K48" s="280">
        <f t="shared" si="7"/>
        <v>9.5497278574961424</v>
      </c>
      <c r="L48" s="201">
        <v>39</v>
      </c>
      <c r="M48" s="204">
        <v>43221</v>
      </c>
      <c r="N48" s="204">
        <v>43221</v>
      </c>
      <c r="O48" s="197"/>
      <c r="P48" s="197"/>
      <c r="Q48" s="197"/>
      <c r="R48" s="197"/>
      <c r="S48" s="197"/>
      <c r="T48" s="197"/>
      <c r="U48" s="197"/>
      <c r="V48" s="197"/>
      <c r="W48" s="197"/>
      <c r="AB48" s="110" t="str">
        <f>IFERROR(INDEX('WetLitterbags placem_collection'!$A$3:$A$500,MATCH(A48,'WetLitterbags placem_collection'!$K$4:$K$500,0)),"")</f>
        <v/>
      </c>
      <c r="AC48" s="110">
        <f>IFERROR(INDEX('WetLitterbags placem_collection'!$A$3:$A$500,MATCH($A48,'WetLitterbags placem_collection'!$O$4:$O$500,0)),"")</f>
        <v>189</v>
      </c>
      <c r="AD48" s="110" t="str">
        <f>IFERROR(INDEX('WetLitterbags placem_collection'!$A$3:$A$500,MATCH($A48,'WetLitterbags placem_collection'!$M$4:$M$500,0)),"")</f>
        <v/>
      </c>
      <c r="AE48" s="110" t="str">
        <f>IFERROR(INDEX('WetLitterbags placem_collection'!$A$3:$A$500,MATCH($A48,'WetLitterbags placem_collection'!$Q$4:$Q$500,0)),"")</f>
        <v/>
      </c>
    </row>
    <row r="49" spans="1:31" s="201" customFormat="1">
      <c r="A49" s="197" t="s">
        <v>1647</v>
      </c>
      <c r="B49"/>
      <c r="C49" s="198">
        <v>182</v>
      </c>
      <c r="D49" s="197">
        <v>0.50329999999999997</v>
      </c>
      <c r="E49" s="202">
        <v>9.8215000000000003</v>
      </c>
      <c r="F49" s="202">
        <v>0.2026</v>
      </c>
      <c r="G49" s="201">
        <f t="shared" si="4"/>
        <v>10.024100000000001</v>
      </c>
      <c r="H49" s="201">
        <v>9.8394999999999992</v>
      </c>
      <c r="I49" s="201">
        <f t="shared" si="5"/>
        <v>0.18460000000000143</v>
      </c>
      <c r="J49" s="201">
        <f t="shared" si="6"/>
        <v>1.7999999999998573E-2</v>
      </c>
      <c r="K49" s="280">
        <f t="shared" si="7"/>
        <v>8.8845014807495417</v>
      </c>
      <c r="L49" s="201">
        <v>16</v>
      </c>
      <c r="M49" s="204">
        <v>43221</v>
      </c>
      <c r="N49" s="204">
        <v>43221</v>
      </c>
      <c r="O49" s="197"/>
      <c r="P49" s="197"/>
      <c r="Q49" s="197"/>
      <c r="R49" s="197"/>
      <c r="S49" s="197"/>
      <c r="T49" s="197"/>
      <c r="U49" s="197"/>
      <c r="V49" s="197"/>
      <c r="W49" s="197"/>
      <c r="AB49" s="110">
        <f>IFERROR(INDEX('WetLitterbags placem_collection'!$A$3:$A$500,MATCH(A49,'WetLitterbags placem_collection'!$K$4:$K$500,0)),"")</f>
        <v>181</v>
      </c>
      <c r="AC49" s="110" t="str">
        <f>IFERROR(INDEX('WetLitterbags placem_collection'!$A$3:$A$500,MATCH($A49,'WetLitterbags placem_collection'!$O$4:$O$500,0)),"")</f>
        <v/>
      </c>
      <c r="AD49" s="110" t="str">
        <f>IFERROR(INDEX('WetLitterbags placem_collection'!$A$3:$A$500,MATCH($A49,'WetLitterbags placem_collection'!$M$4:$M$500,0)),"")</f>
        <v/>
      </c>
      <c r="AE49" s="110" t="str">
        <f>IFERROR(INDEX('WetLitterbags placem_collection'!$A$3:$A$500,MATCH($A49,'WetLitterbags placem_collection'!$Q$4:$Q$500,0)),"")</f>
        <v/>
      </c>
    </row>
    <row r="50" spans="1:31">
      <c r="A50" s="206" t="s">
        <v>1646</v>
      </c>
      <c r="C50" s="201">
        <v>31</v>
      </c>
      <c r="D50" s="201">
        <v>0.56530000000000002</v>
      </c>
      <c r="E50" s="201">
        <v>9.8215000000000003</v>
      </c>
      <c r="F50" s="202">
        <v>0.2089</v>
      </c>
      <c r="G50" s="201">
        <f t="shared" si="4"/>
        <v>10.0304</v>
      </c>
      <c r="H50" s="201">
        <v>9.8506</v>
      </c>
      <c r="I50" s="201">
        <f t="shared" si="5"/>
        <v>0.17980000000000018</v>
      </c>
      <c r="J50" s="201">
        <f t="shared" si="6"/>
        <v>2.909999999999982E-2</v>
      </c>
      <c r="K50" s="280">
        <f t="shared" si="7"/>
        <v>13.930110100526482</v>
      </c>
      <c r="L50" s="201">
        <v>33</v>
      </c>
      <c r="M50" s="205">
        <v>43211</v>
      </c>
      <c r="AB50" s="110">
        <f>IFERROR(INDEX('WetLitterbags placem_collection'!$A$3:$A$500,MATCH(A50,'WetLitterbags placem_collection'!$K$4:$K$500,0)),"")</f>
        <v>30</v>
      </c>
      <c r="AC50" s="110" t="str">
        <f>IFERROR(INDEX('WetLitterbags placem_collection'!$A$3:$A$500,MATCH($A50,'WetLitterbags placem_collection'!$O$4:$O$500,0)),"")</f>
        <v/>
      </c>
      <c r="AD50" s="110" t="str">
        <f>IFERROR(INDEX('WetLitterbags placem_collection'!$A$3:$A$500,MATCH($A50,'WetLitterbags placem_collection'!$M$4:$M$500,0)),"")</f>
        <v/>
      </c>
      <c r="AE50" s="110" t="str">
        <f>IFERROR(INDEX('WetLitterbags placem_collection'!$A$3:$A$500,MATCH($A50,'WetLitterbags placem_collection'!$Q$4:$Q$500,0)),"")</f>
        <v/>
      </c>
    </row>
    <row r="51" spans="1:31">
      <c r="A51" s="197" t="s">
        <v>1645</v>
      </c>
      <c r="C51" s="198">
        <v>16</v>
      </c>
      <c r="D51" s="197">
        <v>0.49869999999999998</v>
      </c>
      <c r="E51" s="197">
        <v>9.1374999999999993</v>
      </c>
      <c r="F51" s="202">
        <v>0.2054</v>
      </c>
      <c r="G51" s="201">
        <f t="shared" si="4"/>
        <v>9.3428999999999984</v>
      </c>
      <c r="H51" s="201">
        <v>9.1698000000000004</v>
      </c>
      <c r="I51" s="201">
        <f t="shared" si="5"/>
        <v>0.17309999999999803</v>
      </c>
      <c r="J51" s="201">
        <f t="shared" si="6"/>
        <v>3.2300000000001966E-2</v>
      </c>
      <c r="K51" s="280">
        <f t="shared" si="7"/>
        <v>15.725413826680606</v>
      </c>
      <c r="L51" s="201">
        <v>19</v>
      </c>
      <c r="AB51" s="110">
        <f>IFERROR(INDEX('WetLitterbags placem_collection'!$A$3:$A$500,MATCH(A51,'WetLitterbags placem_collection'!$K$4:$K$500,0)),"")</f>
        <v>15</v>
      </c>
      <c r="AC51" s="110" t="str">
        <f>IFERROR(INDEX('WetLitterbags placem_collection'!$A$3:$A$500,MATCH($A51,'WetLitterbags placem_collection'!$O$4:$O$500,0)),"")</f>
        <v/>
      </c>
      <c r="AD51" s="110" t="str">
        <f>IFERROR(INDEX('WetLitterbags placem_collection'!$A$3:$A$500,MATCH($A51,'WetLitterbags placem_collection'!$M$4:$M$500,0)),"")</f>
        <v/>
      </c>
      <c r="AE51" s="110" t="str">
        <f>IFERROR(INDEX('WetLitterbags placem_collection'!$A$3:$A$500,MATCH($A51,'WetLitterbags placem_collection'!$Q$4:$Q$500,0)),"")</f>
        <v/>
      </c>
    </row>
    <row r="52" spans="1:31">
      <c r="A52" s="197" t="s">
        <v>1644</v>
      </c>
      <c r="C52" s="198">
        <v>25</v>
      </c>
      <c r="D52" s="197">
        <v>0.47620000000000001</v>
      </c>
      <c r="E52" s="201">
        <v>10.855700000000001</v>
      </c>
      <c r="F52" s="202">
        <v>0.20100000000000001</v>
      </c>
      <c r="G52" s="201">
        <f t="shared" si="4"/>
        <v>11.056700000000001</v>
      </c>
      <c r="H52" s="201">
        <v>10.8809</v>
      </c>
      <c r="I52" s="201">
        <f t="shared" si="5"/>
        <v>0.17580000000000062</v>
      </c>
      <c r="J52" s="201">
        <f t="shared" si="6"/>
        <v>2.519999999999939E-2</v>
      </c>
      <c r="K52" s="280">
        <f t="shared" si="7"/>
        <v>12.537313432835518</v>
      </c>
      <c r="L52" s="201">
        <v>33</v>
      </c>
      <c r="M52" s="204">
        <v>43212</v>
      </c>
      <c r="AB52" s="110">
        <f>IFERROR(INDEX('WetLitterbags placem_collection'!$A$3:$A$500,MATCH(A52,'WetLitterbags placem_collection'!$K$4:$K$500,0)),"")</f>
        <v>24</v>
      </c>
      <c r="AC52" s="110" t="str">
        <f>IFERROR(INDEX('WetLitterbags placem_collection'!$A$3:$A$500,MATCH($A52,'WetLitterbags placem_collection'!$O$4:$O$500,0)),"")</f>
        <v/>
      </c>
      <c r="AD52" s="110" t="str">
        <f>IFERROR(INDEX('WetLitterbags placem_collection'!$A$3:$A$500,MATCH($A52,'WetLitterbags placem_collection'!$M$4:$M$500,0)),"")</f>
        <v/>
      </c>
      <c r="AE52" s="110" t="str">
        <f>IFERROR(INDEX('WetLitterbags placem_collection'!$A$3:$A$500,MATCH($A52,'WetLitterbags placem_collection'!$Q$4:$Q$500,0)),"")</f>
        <v/>
      </c>
    </row>
    <row r="53" spans="1:31">
      <c r="A53" s="197" t="s">
        <v>1642</v>
      </c>
      <c r="C53" s="197">
        <v>75</v>
      </c>
      <c r="D53" s="197">
        <v>0.64600000000000002</v>
      </c>
      <c r="E53" s="197">
        <v>7.9611000000000001</v>
      </c>
      <c r="F53" s="202">
        <v>0.20069999999999999</v>
      </c>
      <c r="G53" s="201">
        <f t="shared" si="4"/>
        <v>8.1617999999999995</v>
      </c>
      <c r="H53" s="201">
        <v>7.9828000000000001</v>
      </c>
      <c r="I53" s="201">
        <f t="shared" si="5"/>
        <v>0.17899999999999938</v>
      </c>
      <c r="J53" s="201">
        <f t="shared" si="6"/>
        <v>2.1700000000000608E-2</v>
      </c>
      <c r="K53" s="280">
        <f t="shared" si="7"/>
        <v>10.812157448929053</v>
      </c>
      <c r="L53" s="201">
        <v>8</v>
      </c>
      <c r="P53" s="197" t="s">
        <v>2582</v>
      </c>
      <c r="AB53" s="110">
        <f>IFERROR(INDEX('WetLitterbags placem_collection'!$A$3:$A$500,MATCH(A53,'WetLitterbags placem_collection'!$K$4:$K$500,0)),"")</f>
        <v>74</v>
      </c>
      <c r="AC53" s="110" t="str">
        <f>IFERROR(INDEX('WetLitterbags placem_collection'!$A$3:$A$500,MATCH($A53,'WetLitterbags placem_collection'!$O$4:$O$500,0)),"")</f>
        <v/>
      </c>
      <c r="AD53" s="110" t="str">
        <f>IFERROR(INDEX('WetLitterbags placem_collection'!$A$3:$A$500,MATCH($A53,'WetLitterbags placem_collection'!$M$4:$M$500,0)),"")</f>
        <v/>
      </c>
      <c r="AE53" s="110" t="str">
        <f>IFERROR(INDEX('WetLitterbags placem_collection'!$A$3:$A$500,MATCH($A53,'WetLitterbags placem_collection'!$Q$4:$Q$500,0)),"")</f>
        <v/>
      </c>
    </row>
    <row r="54" spans="1:31">
      <c r="A54" s="206" t="s">
        <v>1636</v>
      </c>
      <c r="C54" s="201">
        <v>70</v>
      </c>
      <c r="D54" s="201">
        <v>0.63049999999999995</v>
      </c>
      <c r="E54" s="202">
        <v>8.0645000000000007</v>
      </c>
      <c r="F54" s="202">
        <v>0.20230000000000001</v>
      </c>
      <c r="G54" s="201">
        <f t="shared" si="4"/>
        <v>8.2667999999999999</v>
      </c>
      <c r="H54" s="201">
        <v>8.0822000000000003</v>
      </c>
      <c r="I54" s="201">
        <f t="shared" si="5"/>
        <v>0.18459999999999965</v>
      </c>
      <c r="J54" s="201">
        <f t="shared" si="6"/>
        <v>1.7700000000000354E-2</v>
      </c>
      <c r="K54" s="280">
        <f t="shared" si="7"/>
        <v>8.7493821057836652</v>
      </c>
      <c r="L54" s="201">
        <v>11</v>
      </c>
      <c r="M54" s="203">
        <v>43181.645833333336</v>
      </c>
      <c r="N54" s="203">
        <v>43181.833333333336</v>
      </c>
      <c r="O54" s="201" t="s">
        <v>2556</v>
      </c>
      <c r="P54" s="201"/>
      <c r="AB54" s="110" t="str">
        <f>IFERROR(INDEX('WetLitterbags placem_collection'!$A$3:$A$500,MATCH(A54,'WetLitterbags placem_collection'!$K$4:$K$500,0)),"")</f>
        <v/>
      </c>
      <c r="AC54" s="110">
        <f>IFERROR(INDEX('WetLitterbags placem_collection'!$A$3:$A$500,MATCH($A54,'WetLitterbags placem_collection'!$O$4:$O$500,0)),"")</f>
        <v>69</v>
      </c>
      <c r="AD54" s="110" t="str">
        <f>IFERROR(INDEX('WetLitterbags placem_collection'!$A$3:$A$500,MATCH($A54,'WetLitterbags placem_collection'!$M$4:$M$500,0)),"")</f>
        <v/>
      </c>
      <c r="AE54" s="110" t="str">
        <f>IFERROR(INDEX('WetLitterbags placem_collection'!$A$3:$A$500,MATCH($A54,'WetLitterbags placem_collection'!$Q$4:$Q$500,0)),"")</f>
        <v/>
      </c>
    </row>
    <row r="55" spans="1:31">
      <c r="A55" s="202" t="s">
        <v>1634</v>
      </c>
      <c r="C55" s="201">
        <v>75</v>
      </c>
      <c r="D55" s="201">
        <v>0.69669999999999987</v>
      </c>
      <c r="E55" s="201">
        <v>9.3219999999999992</v>
      </c>
      <c r="F55" s="201">
        <v>0.20119999999999999</v>
      </c>
      <c r="G55" s="201">
        <f t="shared" si="4"/>
        <v>9.5231999999999992</v>
      </c>
      <c r="H55" s="201">
        <v>9.3515999999999995</v>
      </c>
      <c r="I55" s="201">
        <f t="shared" si="5"/>
        <v>0.17159999999999975</v>
      </c>
      <c r="J55" s="201">
        <f t="shared" si="6"/>
        <v>2.9600000000000237E-2</v>
      </c>
      <c r="K55" s="280">
        <f t="shared" si="7"/>
        <v>14.711729622266519</v>
      </c>
      <c r="L55" s="201">
        <v>12</v>
      </c>
      <c r="M55" s="205">
        <v>43173</v>
      </c>
      <c r="N55" s="205">
        <v>43173</v>
      </c>
      <c r="O55" s="201" t="s">
        <v>2556</v>
      </c>
      <c r="P55" s="201" t="s">
        <v>2555</v>
      </c>
      <c r="AB55" s="110">
        <f>IFERROR(INDEX('WetLitterbags placem_collection'!$A$3:$A$500,MATCH(A55,'WetLitterbags placem_collection'!$K$4:$K$500,0)),"")</f>
        <v>75</v>
      </c>
      <c r="AC55" s="110" t="str">
        <f>IFERROR(INDEX('WetLitterbags placem_collection'!$A$3:$A$500,MATCH($A55,'WetLitterbags placem_collection'!$O$4:$O$500,0)),"")</f>
        <v/>
      </c>
      <c r="AD55" s="110" t="str">
        <f>IFERROR(INDEX('WetLitterbags placem_collection'!$A$3:$A$500,MATCH($A55,'WetLitterbags placem_collection'!$M$4:$M$500,0)),"")</f>
        <v/>
      </c>
      <c r="AE55" s="110" t="str">
        <f>IFERROR(INDEX('WetLitterbags placem_collection'!$A$3:$A$500,MATCH($A55,'WetLitterbags placem_collection'!$Q$4:$Q$500,0)),"")</f>
        <v/>
      </c>
    </row>
    <row r="56" spans="1:31">
      <c r="A56" s="197" t="s">
        <v>1633</v>
      </c>
      <c r="C56" s="201">
        <v>191</v>
      </c>
      <c r="D56" s="197">
        <v>0.44040000000000001</v>
      </c>
      <c r="E56" s="201">
        <v>9.5192999999999994</v>
      </c>
      <c r="F56" s="202">
        <v>0.20100000000000001</v>
      </c>
      <c r="G56" s="201">
        <f t="shared" si="4"/>
        <v>9.7202999999999999</v>
      </c>
      <c r="H56" s="201">
        <v>9.5374999999999996</v>
      </c>
      <c r="I56" s="201">
        <f t="shared" si="5"/>
        <v>0.1828000000000003</v>
      </c>
      <c r="J56" s="201">
        <f t="shared" si="6"/>
        <v>1.8199999999999716E-2</v>
      </c>
      <c r="K56" s="280">
        <f t="shared" si="7"/>
        <v>9.0547263681590628</v>
      </c>
      <c r="L56" s="201">
        <v>35</v>
      </c>
      <c r="M56" s="205">
        <v>43211</v>
      </c>
      <c r="AB56" s="110" t="str">
        <f>IFERROR(INDEX('WetLitterbags placem_collection'!$A$3:$A$500,MATCH(A56,'WetLitterbags placem_collection'!$K$4:$K$500,0)),"")</f>
        <v/>
      </c>
      <c r="AC56" s="110">
        <f>IFERROR(INDEX('WetLitterbags placem_collection'!$A$3:$A$500,MATCH($A56,'WetLitterbags placem_collection'!$O$4:$O$500,0)),"")</f>
        <v>190</v>
      </c>
      <c r="AD56" s="110" t="str">
        <f>IFERROR(INDEX('WetLitterbags placem_collection'!$A$3:$A$500,MATCH($A56,'WetLitterbags placem_collection'!$M$4:$M$500,0)),"")</f>
        <v/>
      </c>
      <c r="AE56" s="110" t="str">
        <f>IFERROR(INDEX('WetLitterbags placem_collection'!$A$3:$A$500,MATCH($A56,'WetLitterbags placem_collection'!$Q$4:$Q$500,0)),"")</f>
        <v/>
      </c>
    </row>
    <row r="57" spans="1:31">
      <c r="A57" s="206" t="s">
        <v>1631</v>
      </c>
      <c r="C57" s="201">
        <v>18</v>
      </c>
      <c r="D57" s="201">
        <v>0.55220000000000002</v>
      </c>
      <c r="E57" s="201">
        <v>7.3170000000000002</v>
      </c>
      <c r="F57" s="202">
        <v>0.2044</v>
      </c>
      <c r="G57" s="201">
        <f t="shared" si="4"/>
        <v>7.5213999999999999</v>
      </c>
      <c r="H57" s="201">
        <v>7.3479999999999999</v>
      </c>
      <c r="I57" s="201">
        <f t="shared" si="5"/>
        <v>0.1734</v>
      </c>
      <c r="J57" s="201">
        <f t="shared" si="6"/>
        <v>3.1E-2</v>
      </c>
      <c r="K57" s="280">
        <f t="shared" si="7"/>
        <v>15.166340508806261</v>
      </c>
      <c r="L57" s="201">
        <v>10</v>
      </c>
      <c r="M57" s="205">
        <v>43187</v>
      </c>
      <c r="N57" s="205">
        <v>43187</v>
      </c>
      <c r="O57" s="201"/>
      <c r="P57" s="201"/>
      <c r="AB57" s="110">
        <f>IFERROR(INDEX('WetLitterbags placem_collection'!$A$3:$A$500,MATCH(A57,'WetLitterbags placem_collection'!$K$4:$K$500,0)),"")</f>
        <v>17</v>
      </c>
      <c r="AC57" s="110" t="str">
        <f>IFERROR(INDEX('WetLitterbags placem_collection'!$A$3:$A$500,MATCH($A57,'WetLitterbags placem_collection'!$O$4:$O$500,0)),"")</f>
        <v/>
      </c>
      <c r="AD57" s="110" t="str">
        <f>IFERROR(INDEX('WetLitterbags placem_collection'!$A$3:$A$500,MATCH($A57,'WetLitterbags placem_collection'!$M$4:$M$500,0)),"")</f>
        <v/>
      </c>
      <c r="AE57" s="110" t="str">
        <f>IFERROR(INDEX('WetLitterbags placem_collection'!$A$3:$A$500,MATCH($A57,'WetLitterbags placem_collection'!$Q$4:$Q$500,0)),"")</f>
        <v/>
      </c>
    </row>
    <row r="58" spans="1:31">
      <c r="A58" s="197" t="s">
        <v>1630</v>
      </c>
      <c r="C58" s="198">
        <v>188</v>
      </c>
      <c r="D58" s="197">
        <v>0.18920000000000001</v>
      </c>
      <c r="E58" s="197">
        <v>10.1435</v>
      </c>
      <c r="F58" s="202">
        <v>0.17380000000000001</v>
      </c>
      <c r="G58" s="201">
        <f t="shared" si="4"/>
        <v>10.317299999999999</v>
      </c>
      <c r="H58" s="201">
        <v>10.164899999999999</v>
      </c>
      <c r="I58" s="201">
        <f t="shared" si="5"/>
        <v>0.15240000000000009</v>
      </c>
      <c r="J58" s="201">
        <f t="shared" si="6"/>
        <v>2.1399999999999919E-2</v>
      </c>
      <c r="K58" s="280">
        <f t="shared" si="7"/>
        <v>12.313003452243912</v>
      </c>
      <c r="L58" s="201">
        <v>5</v>
      </c>
      <c r="P58" s="197" t="s">
        <v>2559</v>
      </c>
      <c r="AB58" s="110">
        <f>IFERROR(INDEX('WetLitterbags placem_collection'!$A$3:$A$500,MATCH(A58,'WetLitterbags placem_collection'!$K$4:$K$500,0)),"")</f>
        <v>187</v>
      </c>
      <c r="AC58" s="110" t="str">
        <f>IFERROR(INDEX('WetLitterbags placem_collection'!$A$3:$A$500,MATCH($A58,'WetLitterbags placem_collection'!$O$4:$O$500,0)),"")</f>
        <v/>
      </c>
      <c r="AD58" s="110" t="str">
        <f>IFERROR(INDEX('WetLitterbags placem_collection'!$A$3:$A$500,MATCH($A58,'WetLitterbags placem_collection'!$M$4:$M$500,0)),"")</f>
        <v/>
      </c>
      <c r="AE58" s="110" t="str">
        <f>IFERROR(INDEX('WetLitterbags placem_collection'!$A$3:$A$500,MATCH($A58,'WetLitterbags placem_collection'!$Q$4:$Q$500,0)),"")</f>
        <v/>
      </c>
    </row>
    <row r="59" spans="1:31">
      <c r="A59" s="197" t="s">
        <v>1629</v>
      </c>
      <c r="C59" s="201">
        <v>24</v>
      </c>
      <c r="D59" s="197">
        <v>0.46389999999999998</v>
      </c>
      <c r="E59" s="201">
        <v>9.0213000000000001</v>
      </c>
      <c r="F59" s="202">
        <v>0.2026</v>
      </c>
      <c r="G59" s="201">
        <f t="shared" si="4"/>
        <v>9.2239000000000004</v>
      </c>
      <c r="H59" s="201">
        <v>9.0434999999999999</v>
      </c>
      <c r="I59" s="201">
        <f t="shared" si="5"/>
        <v>0.18040000000000056</v>
      </c>
      <c r="J59" s="201">
        <f t="shared" si="6"/>
        <v>2.2199999999999442E-2</v>
      </c>
      <c r="K59" s="280">
        <f t="shared" si="7"/>
        <v>10.957551826258362</v>
      </c>
      <c r="L59" s="201">
        <v>39</v>
      </c>
      <c r="M59" s="205">
        <v>43211</v>
      </c>
      <c r="AB59" s="110" t="str">
        <f>IFERROR(INDEX('WetLitterbags placem_collection'!$A$3:$A$500,MATCH(A59,'WetLitterbags placem_collection'!$K$4:$K$500,0)),"")</f>
        <v/>
      </c>
      <c r="AC59" s="110">
        <f>IFERROR(INDEX('WetLitterbags placem_collection'!$A$3:$A$500,MATCH($A59,'WetLitterbags placem_collection'!$O$4:$O$500,0)),"")</f>
        <v>23</v>
      </c>
      <c r="AD59" s="110" t="str">
        <f>IFERROR(INDEX('WetLitterbags placem_collection'!$A$3:$A$500,MATCH($A59,'WetLitterbags placem_collection'!$M$4:$M$500,0)),"")</f>
        <v/>
      </c>
      <c r="AE59" s="110" t="str">
        <f>IFERROR(INDEX('WetLitterbags placem_collection'!$A$3:$A$500,MATCH($A59,'WetLitterbags placem_collection'!$Q$4:$Q$500,0)),"")</f>
        <v/>
      </c>
    </row>
    <row r="60" spans="1:31">
      <c r="A60" s="206" t="s">
        <v>1627</v>
      </c>
      <c r="C60" s="201">
        <v>185</v>
      </c>
      <c r="D60" s="201">
        <v>0.44009999999999999</v>
      </c>
      <c r="E60" s="201">
        <v>10.1159</v>
      </c>
      <c r="F60" s="202">
        <v>0.2036</v>
      </c>
      <c r="G60" s="201">
        <f t="shared" si="4"/>
        <v>10.3195</v>
      </c>
      <c r="H60" s="201">
        <v>10.135199999999999</v>
      </c>
      <c r="I60" s="201">
        <f t="shared" si="5"/>
        <v>0.18430000000000035</v>
      </c>
      <c r="J60" s="201">
        <f t="shared" si="6"/>
        <v>1.9299999999999651E-2</v>
      </c>
      <c r="K60" s="280">
        <f t="shared" si="7"/>
        <v>9.4793713163063114</v>
      </c>
      <c r="L60" s="201">
        <v>28</v>
      </c>
      <c r="M60" s="205">
        <v>43211</v>
      </c>
      <c r="AB60" s="110">
        <f>IFERROR(INDEX('WetLitterbags placem_collection'!$A$3:$A$500,MATCH(A60,'WetLitterbags placem_collection'!$K$4:$K$500,0)),"")</f>
        <v>184</v>
      </c>
      <c r="AC60" s="110" t="str">
        <f>IFERROR(INDEX('WetLitterbags placem_collection'!$A$3:$A$500,MATCH($A60,'WetLitterbags placem_collection'!$O$4:$O$500,0)),"")</f>
        <v/>
      </c>
      <c r="AD60" s="110" t="str">
        <f>IFERROR(INDEX('WetLitterbags placem_collection'!$A$3:$A$500,MATCH($A60,'WetLitterbags placem_collection'!$M$4:$M$500,0)),"")</f>
        <v/>
      </c>
      <c r="AE60" s="110" t="str">
        <f>IFERROR(INDEX('WetLitterbags placem_collection'!$A$3:$A$500,MATCH($A60,'WetLitterbags placem_collection'!$Q$4:$Q$500,0)),"")</f>
        <v/>
      </c>
    </row>
    <row r="61" spans="1:31">
      <c r="A61" s="197" t="s">
        <v>1626</v>
      </c>
      <c r="C61" s="198">
        <v>93</v>
      </c>
      <c r="D61" s="197">
        <v>0.47660000000000002</v>
      </c>
      <c r="E61" s="201">
        <v>10.313599999999999</v>
      </c>
      <c r="F61" s="202">
        <v>0.20069999999999999</v>
      </c>
      <c r="G61" s="201">
        <f t="shared" si="4"/>
        <v>10.514299999999999</v>
      </c>
      <c r="H61" s="201">
        <v>10.332700000000001</v>
      </c>
      <c r="I61" s="201">
        <f t="shared" si="5"/>
        <v>0.18159999999999776</v>
      </c>
      <c r="J61" s="201">
        <f t="shared" si="6"/>
        <v>1.9100000000002226E-2</v>
      </c>
      <c r="K61" s="280">
        <f t="shared" si="7"/>
        <v>9.5166915794729583</v>
      </c>
      <c r="L61" s="201">
        <v>15</v>
      </c>
      <c r="M61" s="204">
        <v>43213</v>
      </c>
      <c r="N61" s="204">
        <v>43213</v>
      </c>
      <c r="AB61" s="110" t="str">
        <f>IFERROR(INDEX('WetLitterbags placem_collection'!$A$3:$A$500,MATCH(A61,'WetLitterbags placem_collection'!$K$4:$K$500,0)),"")</f>
        <v/>
      </c>
      <c r="AC61" s="110">
        <f>IFERROR(INDEX('WetLitterbags placem_collection'!$A$3:$A$500,MATCH($A61,'WetLitterbags placem_collection'!$O$4:$O$500,0)),"")</f>
        <v>92</v>
      </c>
      <c r="AD61" s="110" t="str">
        <f>IFERROR(INDEX('WetLitterbags placem_collection'!$A$3:$A$500,MATCH($A61,'WetLitterbags placem_collection'!$M$4:$M$500,0)),"")</f>
        <v/>
      </c>
      <c r="AE61" s="110" t="str">
        <f>IFERROR(INDEX('WetLitterbags placem_collection'!$A$3:$A$500,MATCH($A61,'WetLitterbags placem_collection'!$Q$4:$Q$500,0)),"")</f>
        <v/>
      </c>
    </row>
    <row r="62" spans="1:31">
      <c r="A62" s="201" t="s">
        <v>1625</v>
      </c>
      <c r="C62" s="201">
        <v>169</v>
      </c>
      <c r="D62" s="201">
        <v>0.4572</v>
      </c>
      <c r="E62" s="201">
        <v>9.3218999999999994</v>
      </c>
      <c r="F62" s="202">
        <v>0.20080000000000001</v>
      </c>
      <c r="G62" s="201">
        <f t="shared" si="4"/>
        <v>9.5226999999999986</v>
      </c>
      <c r="H62" s="201">
        <v>9.3447999999999993</v>
      </c>
      <c r="I62" s="197">
        <f t="shared" si="5"/>
        <v>0.17789999999999928</v>
      </c>
      <c r="J62" s="201">
        <f t="shared" si="6"/>
        <v>2.2900000000000725E-2</v>
      </c>
      <c r="K62" s="280">
        <f t="shared" si="7"/>
        <v>11.404382470119883</v>
      </c>
      <c r="L62" s="201">
        <v>23</v>
      </c>
      <c r="M62" s="205">
        <v>43187</v>
      </c>
      <c r="N62" s="205">
        <v>43187</v>
      </c>
      <c r="O62" s="201"/>
      <c r="P62" s="201"/>
      <c r="AB62" s="110">
        <f>IFERROR(INDEX('WetLitterbags placem_collection'!$A$3:$A$500,MATCH(A62,'WetLitterbags placem_collection'!$K$4:$K$500,0)),"")</f>
        <v>168</v>
      </c>
      <c r="AC62" s="110" t="str">
        <f>IFERROR(INDEX('WetLitterbags placem_collection'!$A$3:$A$500,MATCH($A62,'WetLitterbags placem_collection'!$O$4:$O$500,0)),"")</f>
        <v/>
      </c>
      <c r="AD62" s="110" t="str">
        <f>IFERROR(INDEX('WetLitterbags placem_collection'!$A$3:$A$500,MATCH($A62,'WetLitterbags placem_collection'!$M$4:$M$500,0)),"")</f>
        <v/>
      </c>
      <c r="AE62" s="110" t="str">
        <f>IFERROR(INDEX('WetLitterbags placem_collection'!$A$3:$A$500,MATCH($A62,'WetLitterbags placem_collection'!$Q$4:$Q$500,0)),"")</f>
        <v/>
      </c>
    </row>
    <row r="63" spans="1:31">
      <c r="A63" s="197" t="s">
        <v>1621</v>
      </c>
      <c r="C63" s="197">
        <v>167</v>
      </c>
      <c r="D63" s="197">
        <v>0.48499999999999999</v>
      </c>
      <c r="E63" s="202">
        <v>10.202</v>
      </c>
      <c r="F63" s="202">
        <v>0.2014</v>
      </c>
      <c r="G63" s="201">
        <f t="shared" si="4"/>
        <v>10.4034</v>
      </c>
      <c r="H63" s="201">
        <v>10.218999999999999</v>
      </c>
      <c r="I63" s="201">
        <f t="shared" si="5"/>
        <v>0.18440000000000012</v>
      </c>
      <c r="J63" s="201">
        <f t="shared" si="6"/>
        <v>1.6999999999999876E-2</v>
      </c>
      <c r="K63" s="280">
        <f t="shared" si="7"/>
        <v>8.4409136047665729</v>
      </c>
      <c r="L63" s="201">
        <v>36</v>
      </c>
      <c r="AB63" s="110">
        <f>IFERROR(INDEX('WetLitterbags placem_collection'!$A$3:$A$500,MATCH(A63,'WetLitterbags placem_collection'!$K$4:$K$500,0)),"")</f>
        <v>166</v>
      </c>
      <c r="AC63" s="110" t="str">
        <f>IFERROR(INDEX('WetLitterbags placem_collection'!$A$3:$A$500,MATCH($A63,'WetLitterbags placem_collection'!$O$4:$O$500,0)),"")</f>
        <v/>
      </c>
      <c r="AD63" s="110" t="str">
        <f>IFERROR(INDEX('WetLitterbags placem_collection'!$A$3:$A$500,MATCH($A63,'WetLitterbags placem_collection'!$M$4:$M$500,0)),"")</f>
        <v/>
      </c>
      <c r="AE63" s="110" t="str">
        <f>IFERROR(INDEX('WetLitterbags placem_collection'!$A$3:$A$500,MATCH($A63,'WetLitterbags placem_collection'!$Q$4:$Q$500,0)),"")</f>
        <v/>
      </c>
    </row>
    <row r="64" spans="1:31">
      <c r="A64" s="201" t="s">
        <v>1617</v>
      </c>
      <c r="C64" s="201">
        <v>170</v>
      </c>
      <c r="D64" s="201">
        <v>0.44679999999999997</v>
      </c>
      <c r="E64" s="201">
        <v>8.8449000000000009</v>
      </c>
      <c r="F64" s="202">
        <v>0.2014</v>
      </c>
      <c r="G64" s="201">
        <f t="shared" si="4"/>
        <v>9.0463000000000005</v>
      </c>
      <c r="H64" s="201">
        <v>8.8640000000000008</v>
      </c>
      <c r="I64" s="201">
        <f t="shared" si="5"/>
        <v>0.18229999999999968</v>
      </c>
      <c r="J64" s="201">
        <f t="shared" si="6"/>
        <v>1.9100000000000311E-2</v>
      </c>
      <c r="K64" s="280">
        <f t="shared" si="7"/>
        <v>9.4836146971203146</v>
      </c>
      <c r="L64" s="201">
        <v>4</v>
      </c>
      <c r="M64" s="205">
        <v>43187</v>
      </c>
      <c r="N64" s="205">
        <v>43187</v>
      </c>
      <c r="O64" s="201"/>
      <c r="P64" s="201"/>
      <c r="AB64" s="110">
        <f>IFERROR(INDEX('WetLitterbags placem_collection'!$A$3:$A$500,MATCH(A64,'WetLitterbags placem_collection'!$K$4:$K$500,0)),"")</f>
        <v>169</v>
      </c>
      <c r="AC64" s="110" t="str">
        <f>IFERROR(INDEX('WetLitterbags placem_collection'!$A$3:$A$500,MATCH($A64,'WetLitterbags placem_collection'!$O$4:$O$500,0)),"")</f>
        <v/>
      </c>
      <c r="AD64" s="110" t="str">
        <f>IFERROR(INDEX('WetLitterbags placem_collection'!$A$3:$A$500,MATCH($A64,'WetLitterbags placem_collection'!$M$4:$M$500,0)),"")</f>
        <v/>
      </c>
      <c r="AE64" s="110" t="str">
        <f>IFERROR(INDEX('WetLitterbags placem_collection'!$A$3:$A$500,MATCH($A64,'WetLitterbags placem_collection'!$Q$4:$Q$500,0)),"")</f>
        <v/>
      </c>
    </row>
    <row r="65" spans="1:31">
      <c r="A65" s="197" t="s">
        <v>1614</v>
      </c>
      <c r="C65" s="197">
        <v>1</v>
      </c>
      <c r="D65" s="197">
        <v>0.28660000000000002</v>
      </c>
      <c r="E65" s="197">
        <v>9.9175000000000004</v>
      </c>
      <c r="F65" s="202">
        <v>0.20119999999999999</v>
      </c>
      <c r="G65" s="201">
        <f t="shared" si="4"/>
        <v>10.1187</v>
      </c>
      <c r="H65" s="201">
        <v>9.9732000000000003</v>
      </c>
      <c r="I65" s="201">
        <f t="shared" si="5"/>
        <v>0.14550000000000018</v>
      </c>
      <c r="J65" s="201">
        <f t="shared" si="6"/>
        <v>5.5699999999999805E-2</v>
      </c>
      <c r="K65" s="280">
        <f t="shared" si="7"/>
        <v>27.683896620278237</v>
      </c>
      <c r="L65" s="201">
        <v>11</v>
      </c>
      <c r="T65" s="204"/>
      <c r="U65" s="204"/>
      <c r="AB65" s="110" t="str">
        <f>IFERROR(INDEX('WetLitterbags placem_collection'!$A$3:$A$500,MATCH(A65,'WetLitterbags placem_collection'!$K$4:$K$500,0)),"")</f>
        <v/>
      </c>
      <c r="AC65" s="110" t="str">
        <f>IFERROR(INDEX('WetLitterbags placem_collection'!$A$3:$A$500,MATCH($A65,'WetLitterbags placem_collection'!$O$4:$O$500,0)),"")</f>
        <v/>
      </c>
      <c r="AD65" s="110" t="str">
        <f>IFERROR(INDEX('WetLitterbags placem_collection'!$A$3:$A$500,MATCH($A65,'WetLitterbags placem_collection'!$M$4:$M$500,0)),"")</f>
        <v/>
      </c>
      <c r="AE65" s="110" t="str">
        <f>IFERROR(INDEX('WetLitterbags placem_collection'!$A$3:$A$500,MATCH($A65,'WetLitterbags placem_collection'!$Q$4:$Q$500,0)),"")</f>
        <v/>
      </c>
    </row>
    <row r="66" spans="1:31">
      <c r="A66" s="206" t="s">
        <v>1613</v>
      </c>
      <c r="C66" s="201">
        <v>42</v>
      </c>
      <c r="D66" s="202">
        <v>0.42959999999999998</v>
      </c>
      <c r="E66" s="201">
        <v>8.0954999999999995</v>
      </c>
      <c r="F66" s="202">
        <v>0.2039</v>
      </c>
      <c r="G66" s="201">
        <f t="shared" ref="G66:G97" si="8">E66+F66</f>
        <v>8.2994000000000003</v>
      </c>
      <c r="H66" s="201">
        <v>8.1128999999999998</v>
      </c>
      <c r="I66" s="201">
        <f t="shared" ref="I66:I97" si="9">(G66-H66)</f>
        <v>0.18650000000000055</v>
      </c>
      <c r="J66" s="201">
        <f t="shared" ref="J66:J97" si="10">F66-I66</f>
        <v>1.7399999999999444E-2</v>
      </c>
      <c r="K66" s="280">
        <f t="shared" ref="K66:K97" si="11">(J66/F66)*100</f>
        <v>8.5335948994602457</v>
      </c>
      <c r="L66" s="201">
        <v>11</v>
      </c>
      <c r="M66" s="205">
        <v>43206</v>
      </c>
      <c r="N66" s="205">
        <v>43206</v>
      </c>
      <c r="O66" s="201"/>
      <c r="P66" s="201"/>
      <c r="AB66" s="110" t="str">
        <f>IFERROR(INDEX('WetLitterbags placem_collection'!$A$3:$A$500,MATCH(A66,'WetLitterbags placem_collection'!$K$4:$K$500,0)),"")</f>
        <v/>
      </c>
      <c r="AC66" s="110">
        <f>IFERROR(INDEX('WetLitterbags placem_collection'!$A$3:$A$500,MATCH($A66,'WetLitterbags placem_collection'!$O$4:$O$500,0)),"")</f>
        <v>41</v>
      </c>
      <c r="AD66" s="110" t="str">
        <f>IFERROR(INDEX('WetLitterbags placem_collection'!$A$3:$A$500,MATCH($A66,'WetLitterbags placem_collection'!$M$4:$M$500,0)),"")</f>
        <v/>
      </c>
      <c r="AE66" s="110" t="str">
        <f>IFERROR(INDEX('WetLitterbags placem_collection'!$A$3:$A$500,MATCH($A66,'WetLitterbags placem_collection'!$Q$4:$Q$500,0)),"")</f>
        <v/>
      </c>
    </row>
    <row r="67" spans="1:31">
      <c r="A67" s="201" t="s">
        <v>1611</v>
      </c>
      <c r="C67" s="201">
        <v>172</v>
      </c>
      <c r="D67" s="201">
        <f>0.203+F67</f>
        <v>0.41049999999999998</v>
      </c>
      <c r="E67" s="202">
        <v>9.343</v>
      </c>
      <c r="F67" s="202">
        <v>0.20749999999999999</v>
      </c>
      <c r="G67" s="201">
        <f t="shared" si="8"/>
        <v>9.5504999999999995</v>
      </c>
      <c r="H67" s="201">
        <v>9.3618000000000006</v>
      </c>
      <c r="I67" s="201">
        <f t="shared" si="9"/>
        <v>0.18869999999999898</v>
      </c>
      <c r="J67" s="201">
        <f t="shared" si="10"/>
        <v>1.880000000000101E-2</v>
      </c>
      <c r="K67" s="280">
        <f t="shared" si="11"/>
        <v>9.0602409638559092</v>
      </c>
      <c r="L67" s="201">
        <v>19</v>
      </c>
      <c r="M67" s="205">
        <v>43174</v>
      </c>
      <c r="N67" s="205">
        <v>43174</v>
      </c>
      <c r="O67" s="201" t="s">
        <v>2556</v>
      </c>
      <c r="P67" s="201" t="s">
        <v>2551</v>
      </c>
      <c r="AB67" s="110" t="str">
        <f>IFERROR(INDEX('WetLitterbags placem_collection'!$A$3:$A$500,MATCH(A67,'WetLitterbags placem_collection'!$K$4:$K$500,0)),"")</f>
        <v/>
      </c>
      <c r="AC67" s="110">
        <f>IFERROR(INDEX('WetLitterbags placem_collection'!$A$3:$A$500,MATCH($A67,'WetLitterbags placem_collection'!$O$4:$O$500,0)),"")</f>
        <v>171</v>
      </c>
      <c r="AD67" s="110" t="str">
        <f>IFERROR(INDEX('WetLitterbags placem_collection'!$A$3:$A$500,MATCH($A67,'WetLitterbags placem_collection'!$M$4:$M$500,0)),"")</f>
        <v/>
      </c>
      <c r="AE67" s="110" t="str">
        <f>IFERROR(INDEX('WetLitterbags placem_collection'!$A$3:$A$500,MATCH($A67,'WetLitterbags placem_collection'!$Q$4:$Q$500,0)),"")</f>
        <v/>
      </c>
    </row>
    <row r="68" spans="1:31">
      <c r="A68" s="197" t="s">
        <v>1610</v>
      </c>
      <c r="C68" s="201">
        <v>63</v>
      </c>
      <c r="D68" s="202">
        <v>0.72370000000000001</v>
      </c>
      <c r="E68" s="202">
        <v>10.0556</v>
      </c>
      <c r="F68" s="202">
        <v>0.20449999999999999</v>
      </c>
      <c r="G68" s="201">
        <f t="shared" si="8"/>
        <v>10.2601</v>
      </c>
      <c r="H68" s="201">
        <v>10.0848</v>
      </c>
      <c r="I68" s="201">
        <f t="shared" si="9"/>
        <v>0.17530000000000001</v>
      </c>
      <c r="J68" s="201">
        <f t="shared" si="10"/>
        <v>2.9199999999999976E-2</v>
      </c>
      <c r="K68" s="280">
        <f t="shared" si="11"/>
        <v>14.278728606356959</v>
      </c>
      <c r="L68" s="201">
        <v>7</v>
      </c>
      <c r="M68" s="201"/>
      <c r="N68" s="201"/>
      <c r="O68" s="201"/>
      <c r="P68" s="201"/>
      <c r="AB68" s="110" t="str">
        <f>IFERROR(INDEX('WetLitterbags placem_collection'!$A$3:$A$500,MATCH(A68,'WetLitterbags placem_collection'!$K$4:$K$500,0)),"")</f>
        <v/>
      </c>
      <c r="AC68" s="110">
        <f>IFERROR(INDEX('WetLitterbags placem_collection'!$A$3:$A$500,MATCH($A68,'WetLitterbags placem_collection'!$O$4:$O$500,0)),"")</f>
        <v>62</v>
      </c>
      <c r="AD68" s="110" t="str">
        <f>IFERROR(INDEX('WetLitterbags placem_collection'!$A$3:$A$500,MATCH($A68,'WetLitterbags placem_collection'!$M$4:$M$500,0)),"")</f>
        <v/>
      </c>
      <c r="AE68" s="110" t="str">
        <f>IFERROR(INDEX('WetLitterbags placem_collection'!$A$3:$A$500,MATCH($A68,'WetLitterbags placem_collection'!$Q$4:$Q$500,0)),"")</f>
        <v/>
      </c>
    </row>
    <row r="69" spans="1:31">
      <c r="A69" s="201" t="s">
        <v>1609</v>
      </c>
      <c r="C69" s="201">
        <v>85</v>
      </c>
      <c r="D69" s="201">
        <v>0.73919999999999997</v>
      </c>
      <c r="E69" s="202">
        <v>9.0315999999999992</v>
      </c>
      <c r="F69" s="202">
        <v>0.20180000000000001</v>
      </c>
      <c r="G69" s="201">
        <f t="shared" si="8"/>
        <v>9.2333999999999996</v>
      </c>
      <c r="H69" s="201">
        <v>9.0549999999999997</v>
      </c>
      <c r="I69" s="201">
        <f t="shared" si="9"/>
        <v>0.17839999999999989</v>
      </c>
      <c r="J69" s="201">
        <f t="shared" si="10"/>
        <v>2.3400000000000115E-2</v>
      </c>
      <c r="K69" s="280">
        <f t="shared" si="11"/>
        <v>11.595639246779045</v>
      </c>
      <c r="L69" s="201">
        <v>42</v>
      </c>
      <c r="M69" s="207">
        <v>43186.458333333336</v>
      </c>
      <c r="N69" s="207">
        <v>43186.625</v>
      </c>
      <c r="O69" s="197" t="s">
        <v>2550</v>
      </c>
      <c r="P69" s="201"/>
      <c r="AB69" s="110" t="str">
        <f>IFERROR(INDEX('WetLitterbags placem_collection'!$A$3:$A$500,MATCH(A69,'WetLitterbags placem_collection'!$K$4:$K$500,0)),"")</f>
        <v/>
      </c>
      <c r="AC69" s="110">
        <f>IFERROR(INDEX('WetLitterbags placem_collection'!$A$3:$A$500,MATCH($A69,'WetLitterbags placem_collection'!$O$4:$O$500,0)),"")</f>
        <v>84</v>
      </c>
      <c r="AD69" s="110" t="str">
        <f>IFERROR(INDEX('WetLitterbags placem_collection'!$A$3:$A$500,MATCH($A69,'WetLitterbags placem_collection'!$M$4:$M$500,0)),"")</f>
        <v/>
      </c>
      <c r="AE69" s="110" t="str">
        <f>IFERROR(INDEX('WetLitterbags placem_collection'!$A$3:$A$500,MATCH($A69,'WetLitterbags placem_collection'!$Q$4:$Q$500,0)),"")</f>
        <v/>
      </c>
    </row>
    <row r="70" spans="1:31">
      <c r="A70" s="197" t="s">
        <v>1608</v>
      </c>
      <c r="C70" s="197">
        <v>162</v>
      </c>
      <c r="D70" s="197">
        <v>0.47949999999999998</v>
      </c>
      <c r="E70" s="201">
        <v>9.6789000000000005</v>
      </c>
      <c r="F70" s="202">
        <v>0.2021</v>
      </c>
      <c r="G70" s="201">
        <f t="shared" si="8"/>
        <v>9.8810000000000002</v>
      </c>
      <c r="H70" s="201">
        <v>9.6943000000000001</v>
      </c>
      <c r="I70" s="201">
        <f t="shared" si="9"/>
        <v>0.18670000000000009</v>
      </c>
      <c r="J70" s="201">
        <f t="shared" si="10"/>
        <v>1.5399999999999914E-2</v>
      </c>
      <c r="K70" s="280">
        <f t="shared" si="11"/>
        <v>7.6199901039089131</v>
      </c>
      <c r="L70" s="201">
        <v>10</v>
      </c>
      <c r="M70" s="204">
        <v>43212</v>
      </c>
      <c r="AB70" s="110" t="str">
        <f>IFERROR(INDEX('WetLitterbags placem_collection'!$A$3:$A$500,MATCH(A70,'WetLitterbags placem_collection'!$K$4:$K$500,0)),"")</f>
        <v/>
      </c>
      <c r="AC70" s="110">
        <f>IFERROR(INDEX('WetLitterbags placem_collection'!$A$3:$A$500,MATCH($A70,'WetLitterbags placem_collection'!$O$4:$O$500,0)),"")</f>
        <v>161</v>
      </c>
      <c r="AD70" s="110" t="str">
        <f>IFERROR(INDEX('WetLitterbags placem_collection'!$A$3:$A$500,MATCH($A70,'WetLitterbags placem_collection'!$M$4:$M$500,0)),"")</f>
        <v/>
      </c>
      <c r="AE70" s="110" t="str">
        <f>IFERROR(INDEX('WetLitterbags placem_collection'!$A$3:$A$500,MATCH($A70,'WetLitterbags placem_collection'!$Q$4:$Q$500,0)),"")</f>
        <v/>
      </c>
    </row>
    <row r="71" spans="1:31">
      <c r="A71" s="206" t="s">
        <v>1607</v>
      </c>
      <c r="C71" s="201">
        <v>167</v>
      </c>
      <c r="D71" s="201">
        <v>0.51249999999999996</v>
      </c>
      <c r="E71" s="201">
        <v>10.1244</v>
      </c>
      <c r="F71" s="202">
        <v>0.20119999999999999</v>
      </c>
      <c r="G71" s="201">
        <f t="shared" si="8"/>
        <v>10.3256</v>
      </c>
      <c r="H71" s="201">
        <v>10.1416</v>
      </c>
      <c r="I71" s="201">
        <f t="shared" si="9"/>
        <v>0.18399999999999928</v>
      </c>
      <c r="J71" s="201">
        <f t="shared" si="10"/>
        <v>1.7200000000000715E-2</v>
      </c>
      <c r="K71" s="280">
        <f t="shared" si="11"/>
        <v>8.5487077534794818</v>
      </c>
      <c r="L71" s="201">
        <v>31</v>
      </c>
      <c r="M71" s="205">
        <v>43211</v>
      </c>
      <c r="AB71" s="110" t="str">
        <f>IFERROR(INDEX('WetLitterbags placem_collection'!$A$3:$A$500,MATCH(A71,'WetLitterbags placem_collection'!$K$4:$K$500,0)),"")</f>
        <v/>
      </c>
      <c r="AC71" s="110">
        <f>IFERROR(INDEX('WetLitterbags placem_collection'!$A$3:$A$500,MATCH($A71,'WetLitterbags placem_collection'!$O$4:$O$500,0)),"")</f>
        <v>166</v>
      </c>
      <c r="AD71" s="110" t="str">
        <f>IFERROR(INDEX('WetLitterbags placem_collection'!$A$3:$A$500,MATCH($A71,'WetLitterbags placem_collection'!$M$4:$M$500,0)),"")</f>
        <v/>
      </c>
      <c r="AE71" s="110" t="str">
        <f>IFERROR(INDEX('WetLitterbags placem_collection'!$A$3:$A$500,MATCH($A71,'WetLitterbags placem_collection'!$Q$4:$Q$500,0)),"")</f>
        <v/>
      </c>
    </row>
    <row r="72" spans="1:31">
      <c r="A72" s="197" t="s">
        <v>1605</v>
      </c>
      <c r="C72" s="197">
        <v>62</v>
      </c>
      <c r="D72" s="197">
        <v>0.59640000000000004</v>
      </c>
      <c r="E72" s="197">
        <v>7.9943999999999997</v>
      </c>
      <c r="F72" s="197">
        <v>0.1978</v>
      </c>
      <c r="G72" s="197">
        <f t="shared" si="8"/>
        <v>8.1921999999999997</v>
      </c>
      <c r="H72" s="197">
        <v>8.0189000000000004</v>
      </c>
      <c r="I72" s="197">
        <f t="shared" si="9"/>
        <v>0.17329999999999934</v>
      </c>
      <c r="J72" s="201">
        <f t="shared" si="10"/>
        <v>2.450000000000066E-2</v>
      </c>
      <c r="K72" s="280">
        <f t="shared" si="11"/>
        <v>12.3862487360974</v>
      </c>
      <c r="L72" s="197">
        <v>46</v>
      </c>
      <c r="M72" s="197" t="s">
        <v>2586</v>
      </c>
      <c r="N72" s="197" t="s">
        <v>2585</v>
      </c>
      <c r="O72" s="197" t="s">
        <v>2550</v>
      </c>
      <c r="AB72" s="110" t="str">
        <f>IFERROR(INDEX('WetLitterbags placem_collection'!$A$3:$A$500,MATCH(A72,'WetLitterbags placem_collection'!$K$4:$K$500,0)),"")</f>
        <v/>
      </c>
      <c r="AC72" s="110">
        <f>IFERROR(INDEX('WetLitterbags placem_collection'!$A$3:$A$500,MATCH($A72,'WetLitterbags placem_collection'!$O$4:$O$500,0)),"")</f>
        <v>61</v>
      </c>
      <c r="AD72" s="110" t="str">
        <f>IFERROR(INDEX('WetLitterbags placem_collection'!$A$3:$A$500,MATCH($A72,'WetLitterbags placem_collection'!$M$4:$M$500,0)),"")</f>
        <v/>
      </c>
      <c r="AE72" s="110" t="str">
        <f>IFERROR(INDEX('WetLitterbags placem_collection'!$A$3:$A$500,MATCH($A72,'WetLitterbags placem_collection'!$Q$4:$Q$500,0)),"")</f>
        <v/>
      </c>
    </row>
    <row r="73" spans="1:31">
      <c r="A73" s="197" t="s">
        <v>1604</v>
      </c>
      <c r="C73" s="198">
        <v>78</v>
      </c>
      <c r="D73" s="197">
        <v>0.58260000000000001</v>
      </c>
      <c r="E73" s="202">
        <v>10.1439</v>
      </c>
      <c r="F73" s="202">
        <v>0.2001</v>
      </c>
      <c r="G73" s="201">
        <f t="shared" si="8"/>
        <v>10.344000000000001</v>
      </c>
      <c r="H73" s="201">
        <v>10.1632</v>
      </c>
      <c r="I73" s="201">
        <f t="shared" si="9"/>
        <v>0.1808000000000014</v>
      </c>
      <c r="J73" s="201">
        <f t="shared" si="10"/>
        <v>1.9299999999998596E-2</v>
      </c>
      <c r="K73" s="280">
        <f t="shared" si="11"/>
        <v>9.6451774112936519</v>
      </c>
      <c r="L73" s="201">
        <v>33</v>
      </c>
      <c r="M73" s="204">
        <v>43221</v>
      </c>
      <c r="N73" s="204">
        <v>43221</v>
      </c>
      <c r="AB73" s="110" t="str">
        <f>IFERROR(INDEX('WetLitterbags placem_collection'!$A$3:$A$500,MATCH(A73,'WetLitterbags placem_collection'!$K$4:$K$500,0)),"")</f>
        <v/>
      </c>
      <c r="AC73" s="110">
        <f>IFERROR(INDEX('WetLitterbags placem_collection'!$A$3:$A$500,MATCH($A73,'WetLitterbags placem_collection'!$O$4:$O$500,0)),"")</f>
        <v>77</v>
      </c>
      <c r="AD73" s="110" t="str">
        <f>IFERROR(INDEX('WetLitterbags placem_collection'!$A$3:$A$500,MATCH($A73,'WetLitterbags placem_collection'!$M$4:$M$500,0)),"")</f>
        <v/>
      </c>
      <c r="AE73" s="110" t="str">
        <f>IFERROR(INDEX('WetLitterbags placem_collection'!$A$3:$A$500,MATCH($A73,'WetLitterbags placem_collection'!$Q$4:$Q$500,0)),"")</f>
        <v/>
      </c>
    </row>
    <row r="74" spans="1:31">
      <c r="A74" s="197" t="s">
        <v>1603</v>
      </c>
      <c r="C74" s="198">
        <v>6</v>
      </c>
      <c r="D74" s="197">
        <v>0.48459999999999998</v>
      </c>
      <c r="E74" s="202">
        <v>7.8593999999999999</v>
      </c>
      <c r="F74" s="202">
        <v>0.1996</v>
      </c>
      <c r="G74" s="201">
        <f t="shared" si="8"/>
        <v>8.0589999999999993</v>
      </c>
      <c r="H74" s="201">
        <v>7.8822999999999999</v>
      </c>
      <c r="I74" s="201">
        <f t="shared" si="9"/>
        <v>0.17669999999999941</v>
      </c>
      <c r="J74" s="201">
        <f t="shared" si="10"/>
        <v>2.2900000000000587E-2</v>
      </c>
      <c r="K74" s="280">
        <f t="shared" si="11"/>
        <v>11.472945891783862</v>
      </c>
      <c r="L74" s="201">
        <v>17</v>
      </c>
      <c r="AB74" s="110">
        <f>IFERROR(INDEX('WetLitterbags placem_collection'!$A$3:$A$500,MATCH(A74,'WetLitterbags placem_collection'!$K$4:$K$500,0)),"")</f>
        <v>5</v>
      </c>
      <c r="AC74" s="110" t="str">
        <f>IFERROR(INDEX('WetLitterbags placem_collection'!$A$3:$A$500,MATCH($A74,'WetLitterbags placem_collection'!$O$4:$O$500,0)),"")</f>
        <v/>
      </c>
      <c r="AD74" s="110" t="str">
        <f>IFERROR(INDEX('WetLitterbags placem_collection'!$A$3:$A$500,MATCH($A74,'WetLitterbags placem_collection'!$M$4:$M$500,0)),"")</f>
        <v/>
      </c>
      <c r="AE74" s="110" t="str">
        <f>IFERROR(INDEX('WetLitterbags placem_collection'!$A$3:$A$500,MATCH($A74,'WetLitterbags placem_collection'!$Q$4:$Q$500,0)),"")</f>
        <v/>
      </c>
    </row>
    <row r="75" spans="1:31">
      <c r="A75" s="197" t="s">
        <v>1601</v>
      </c>
      <c r="C75" s="198">
        <v>27</v>
      </c>
      <c r="D75" s="197">
        <v>0.5333</v>
      </c>
      <c r="E75" s="202">
        <v>7.7735000000000003</v>
      </c>
      <c r="F75" s="202">
        <v>0.2001</v>
      </c>
      <c r="G75" s="201">
        <f t="shared" si="8"/>
        <v>7.9736000000000002</v>
      </c>
      <c r="H75" s="201">
        <v>7.7944000000000004</v>
      </c>
      <c r="I75" s="201">
        <f t="shared" si="9"/>
        <v>0.1791999999999998</v>
      </c>
      <c r="J75" s="201">
        <f t="shared" si="10"/>
        <v>2.0900000000000196E-2</v>
      </c>
      <c r="K75" s="280">
        <f t="shared" si="11"/>
        <v>10.444777611194501</v>
      </c>
      <c r="L75" s="201">
        <v>34</v>
      </c>
      <c r="M75" s="204">
        <v>43221</v>
      </c>
      <c r="N75" s="204">
        <v>43221</v>
      </c>
      <c r="AB75" s="110" t="str">
        <f>IFERROR(INDEX('WetLitterbags placem_collection'!$A$3:$A$500,MATCH(A75,'WetLitterbags placem_collection'!$K$4:$K$500,0)),"")</f>
        <v/>
      </c>
      <c r="AC75" s="110">
        <f>IFERROR(INDEX('WetLitterbags placem_collection'!$A$3:$A$500,MATCH($A75,'WetLitterbags placem_collection'!$O$4:$O$500,0)),"")</f>
        <v>26</v>
      </c>
      <c r="AD75" s="110" t="str">
        <f>IFERROR(INDEX('WetLitterbags placem_collection'!$A$3:$A$500,MATCH($A75,'WetLitterbags placem_collection'!$M$4:$M$500,0)),"")</f>
        <v/>
      </c>
      <c r="AE75" s="110" t="str">
        <f>IFERROR(INDEX('WetLitterbags placem_collection'!$A$3:$A$500,MATCH($A75,'WetLitterbags placem_collection'!$Q$4:$Q$500,0)),"")</f>
        <v/>
      </c>
    </row>
    <row r="76" spans="1:31">
      <c r="A76" s="197" t="s">
        <v>1600</v>
      </c>
      <c r="C76" s="197">
        <v>67</v>
      </c>
      <c r="D76" s="197">
        <v>0.65029999999999999</v>
      </c>
      <c r="E76" s="197">
        <v>9.3425999999999991</v>
      </c>
      <c r="F76" s="197">
        <v>0.2049</v>
      </c>
      <c r="G76" s="197">
        <f t="shared" si="8"/>
        <v>9.5474999999999994</v>
      </c>
      <c r="H76" s="197">
        <v>9.3710000000000004</v>
      </c>
      <c r="I76" s="197">
        <f t="shared" si="9"/>
        <v>0.17649999999999899</v>
      </c>
      <c r="J76" s="201">
        <f t="shared" si="10"/>
        <v>2.8400000000001008E-2</v>
      </c>
      <c r="K76" s="280">
        <f t="shared" si="11"/>
        <v>13.860419716935581</v>
      </c>
      <c r="L76" s="197">
        <v>3</v>
      </c>
      <c r="M76" s="197" t="s">
        <v>2580</v>
      </c>
      <c r="N76" s="197" t="s">
        <v>2579</v>
      </c>
      <c r="O76" s="197" t="s">
        <v>2556</v>
      </c>
      <c r="AB76" s="110">
        <f>IFERROR(INDEX('WetLitterbags placem_collection'!$A$3:$A$500,MATCH(A76,'WetLitterbags placem_collection'!$K$4:$K$500,0)),"")</f>
        <v>66</v>
      </c>
      <c r="AC76" s="110" t="str">
        <f>IFERROR(INDEX('WetLitterbags placem_collection'!$A$3:$A$500,MATCH($A76,'WetLitterbags placem_collection'!$O$4:$O$500,0)),"")</f>
        <v/>
      </c>
      <c r="AD76" s="110" t="str">
        <f>IFERROR(INDEX('WetLitterbags placem_collection'!$A$3:$A$500,MATCH($A76,'WetLitterbags placem_collection'!$M$4:$M$500,0)),"")</f>
        <v/>
      </c>
      <c r="AE76" s="110" t="str">
        <f>IFERROR(INDEX('WetLitterbags placem_collection'!$A$3:$A$500,MATCH($A76,'WetLitterbags placem_collection'!$Q$4:$Q$500,0)),"")</f>
        <v/>
      </c>
    </row>
    <row r="77" spans="1:31">
      <c r="A77" s="197" t="s">
        <v>1599</v>
      </c>
      <c r="C77" s="197">
        <v>179</v>
      </c>
      <c r="D77" s="197">
        <v>0.43290000000000001</v>
      </c>
      <c r="E77" s="202">
        <v>9.0517000000000003</v>
      </c>
      <c r="F77" s="202">
        <v>0.2079</v>
      </c>
      <c r="G77" s="201">
        <f t="shared" si="8"/>
        <v>9.2596000000000007</v>
      </c>
      <c r="H77" s="201">
        <v>9.0702999999999996</v>
      </c>
      <c r="I77" s="201">
        <f t="shared" si="9"/>
        <v>0.18930000000000113</v>
      </c>
      <c r="J77" s="201">
        <f t="shared" si="10"/>
        <v>1.8599999999998867E-2</v>
      </c>
      <c r="K77" s="280">
        <f t="shared" si="11"/>
        <v>8.9466089466084018</v>
      </c>
      <c r="L77" s="201">
        <v>18</v>
      </c>
      <c r="AB77" s="110">
        <f>IFERROR(INDEX('WetLitterbags placem_collection'!$A$3:$A$500,MATCH(A77,'WetLitterbags placem_collection'!$K$4:$K$500,0)),"")</f>
        <v>178</v>
      </c>
      <c r="AC77" s="110" t="str">
        <f>IFERROR(INDEX('WetLitterbags placem_collection'!$A$3:$A$500,MATCH($A77,'WetLitterbags placem_collection'!$O$4:$O$500,0)),"")</f>
        <v/>
      </c>
      <c r="AD77" s="110" t="str">
        <f>IFERROR(INDEX('WetLitterbags placem_collection'!$A$3:$A$500,MATCH($A77,'WetLitterbags placem_collection'!$M$4:$M$500,0)),"")</f>
        <v/>
      </c>
      <c r="AE77" s="110" t="str">
        <f>IFERROR(INDEX('WetLitterbags placem_collection'!$A$3:$A$500,MATCH($A77,'WetLitterbags placem_collection'!$Q$4:$Q$500,0)),"")</f>
        <v/>
      </c>
    </row>
    <row r="78" spans="1:31">
      <c r="A78" s="201" t="s">
        <v>1598</v>
      </c>
      <c r="C78" s="201">
        <v>7</v>
      </c>
      <c r="D78" s="201">
        <v>0.46970000000000001</v>
      </c>
      <c r="E78" s="202">
        <v>11.0025</v>
      </c>
      <c r="F78" s="202">
        <v>0.19969999999999999</v>
      </c>
      <c r="G78" s="201">
        <f t="shared" si="8"/>
        <v>11.202199999999999</v>
      </c>
      <c r="H78" s="201">
        <v>11.0252</v>
      </c>
      <c r="I78" s="201">
        <f t="shared" si="9"/>
        <v>0.1769999999999996</v>
      </c>
      <c r="J78" s="201">
        <f t="shared" si="10"/>
        <v>2.2700000000000387E-2</v>
      </c>
      <c r="K78" s="280">
        <f t="shared" si="11"/>
        <v>11.36705057586399</v>
      </c>
      <c r="L78" s="201">
        <v>5</v>
      </c>
      <c r="M78" s="207">
        <v>43185.385416666664</v>
      </c>
      <c r="N78" s="201"/>
      <c r="O78" s="201" t="s">
        <v>2556</v>
      </c>
      <c r="P78" s="201"/>
      <c r="AB78" s="110">
        <f>IFERROR(INDEX('WetLitterbags placem_collection'!$A$3:$A$500,MATCH(A78,'WetLitterbags placem_collection'!$K$4:$K$500,0)),"")</f>
        <v>6</v>
      </c>
      <c r="AC78" s="110" t="str">
        <f>IFERROR(INDEX('WetLitterbags placem_collection'!$A$3:$A$500,MATCH($A78,'WetLitterbags placem_collection'!$O$4:$O$500,0)),"")</f>
        <v/>
      </c>
      <c r="AD78" s="110" t="str">
        <f>IFERROR(INDEX('WetLitterbags placem_collection'!$A$3:$A$500,MATCH($A78,'WetLitterbags placem_collection'!$M$4:$M$500,0)),"")</f>
        <v/>
      </c>
      <c r="AE78" s="110" t="str">
        <f>IFERROR(INDEX('WetLitterbags placem_collection'!$A$3:$A$500,MATCH($A78,'WetLitterbags placem_collection'!$Q$4:$Q$500,0)),"")</f>
        <v/>
      </c>
    </row>
    <row r="79" spans="1:31">
      <c r="A79" s="201" t="s">
        <v>1597</v>
      </c>
      <c r="C79" s="201">
        <v>41</v>
      </c>
      <c r="D79" s="202">
        <v>0.82640000000000002</v>
      </c>
      <c r="E79" s="201">
        <v>8.1179000000000006</v>
      </c>
      <c r="F79" s="202">
        <v>0.20219999999999999</v>
      </c>
      <c r="G79" s="201">
        <f t="shared" si="8"/>
        <v>8.3201000000000001</v>
      </c>
      <c r="H79" s="201">
        <v>8.1584000000000003</v>
      </c>
      <c r="I79" s="201">
        <f t="shared" si="9"/>
        <v>0.16169999999999973</v>
      </c>
      <c r="J79" s="201">
        <f t="shared" si="10"/>
        <v>4.0500000000000258E-2</v>
      </c>
      <c r="K79" s="280">
        <f t="shared" si="11"/>
        <v>20.029673590504579</v>
      </c>
      <c r="L79" s="201">
        <v>32</v>
      </c>
      <c r="M79" s="201"/>
      <c r="N79" s="201"/>
      <c r="O79" s="201"/>
      <c r="P79" s="201"/>
      <c r="AB79" s="110">
        <f>IFERROR(INDEX('WetLitterbags placem_collection'!$A$3:$A$500,MATCH(A79,'WetLitterbags placem_collection'!$K$4:$K$500,0)),"")</f>
        <v>40</v>
      </c>
      <c r="AC79" s="110" t="str">
        <f>IFERROR(INDEX('WetLitterbags placem_collection'!$A$3:$A$500,MATCH($A79,'WetLitterbags placem_collection'!$O$4:$O$500,0)),"")</f>
        <v/>
      </c>
      <c r="AD79" s="110" t="str">
        <f>IFERROR(INDEX('WetLitterbags placem_collection'!$A$3:$A$500,MATCH($A79,'WetLitterbags placem_collection'!$M$4:$M$500,0)),"")</f>
        <v/>
      </c>
      <c r="AE79" s="110" t="str">
        <f>IFERROR(INDEX('WetLitterbags placem_collection'!$A$3:$A$500,MATCH($A79,'WetLitterbags placem_collection'!$Q$4:$Q$500,0)),"")</f>
        <v/>
      </c>
    </row>
    <row r="80" spans="1:31">
      <c r="A80" s="202" t="s">
        <v>1596</v>
      </c>
      <c r="C80" s="201">
        <v>176</v>
      </c>
      <c r="D80" s="201">
        <v>0.46539999999999981</v>
      </c>
      <c r="E80" s="201">
        <v>9.1382999999999992</v>
      </c>
      <c r="F80" s="201">
        <v>0.20399999999999999</v>
      </c>
      <c r="G80" s="201">
        <f t="shared" si="8"/>
        <v>9.3422999999999998</v>
      </c>
      <c r="H80" s="201">
        <v>9.1598000000000006</v>
      </c>
      <c r="I80" s="201">
        <f t="shared" si="9"/>
        <v>0.18249999999999922</v>
      </c>
      <c r="J80" s="201">
        <f t="shared" si="10"/>
        <v>2.1500000000000768E-2</v>
      </c>
      <c r="K80" s="280">
        <f t="shared" si="11"/>
        <v>10.539215686274888</v>
      </c>
      <c r="L80" s="201">
        <v>19</v>
      </c>
      <c r="M80" s="205">
        <v>43173</v>
      </c>
      <c r="N80" s="205">
        <v>43173</v>
      </c>
      <c r="O80" s="201" t="s">
        <v>2556</v>
      </c>
      <c r="P80" s="201" t="s">
        <v>2555</v>
      </c>
      <c r="AB80" s="110">
        <f>IFERROR(INDEX('WetLitterbags placem_collection'!$A$3:$A$500,MATCH(A80,'WetLitterbags placem_collection'!$K$4:$K$500,0)),"")</f>
        <v>175</v>
      </c>
      <c r="AC80" s="110" t="str">
        <f>IFERROR(INDEX('WetLitterbags placem_collection'!$A$3:$A$500,MATCH($A80,'WetLitterbags placem_collection'!$O$4:$O$500,0)),"")</f>
        <v/>
      </c>
      <c r="AD80" s="110" t="str">
        <f>IFERROR(INDEX('WetLitterbags placem_collection'!$A$3:$A$500,MATCH($A80,'WetLitterbags placem_collection'!$M$4:$M$500,0)),"")</f>
        <v/>
      </c>
      <c r="AE80" s="110" t="str">
        <f>IFERROR(INDEX('WetLitterbags placem_collection'!$A$3:$A$500,MATCH($A80,'WetLitterbags placem_collection'!$Q$4:$Q$500,0)),"")</f>
        <v/>
      </c>
    </row>
    <row r="81" spans="1:31">
      <c r="A81" s="197" t="s">
        <v>1594</v>
      </c>
      <c r="C81" s="197">
        <v>23</v>
      </c>
      <c r="D81" s="197">
        <v>0.51790000000000003</v>
      </c>
      <c r="E81" s="197">
        <v>8.7737999999999996</v>
      </c>
      <c r="F81" s="197">
        <v>0.1953</v>
      </c>
      <c r="G81" s="197">
        <f t="shared" si="8"/>
        <v>8.9690999999999992</v>
      </c>
      <c r="H81" s="197">
        <v>8.7844999999999995</v>
      </c>
      <c r="I81" s="197">
        <f t="shared" si="9"/>
        <v>0.18459999999999965</v>
      </c>
      <c r="J81" s="201">
        <f t="shared" si="10"/>
        <v>1.0700000000000348E-2</v>
      </c>
      <c r="K81" s="280">
        <f t="shared" si="11"/>
        <v>5.4787506400411408</v>
      </c>
      <c r="L81" s="197">
        <v>22</v>
      </c>
      <c r="M81" s="197" t="s">
        <v>2586</v>
      </c>
      <c r="N81" s="197" t="s">
        <v>2585</v>
      </c>
      <c r="O81" s="197" t="s">
        <v>2550</v>
      </c>
      <c r="AB81" s="110" t="str">
        <f>IFERROR(INDEX('WetLitterbags placem_collection'!$A$3:$A$500,MATCH(A81,'WetLitterbags placem_collection'!$K$4:$K$500,0)),"")</f>
        <v/>
      </c>
      <c r="AC81" s="110">
        <f>IFERROR(INDEX('WetLitterbags placem_collection'!$A$3:$A$500,MATCH($A81,'WetLitterbags placem_collection'!$O$4:$O$500,0)),"")</f>
        <v>22</v>
      </c>
      <c r="AD81" s="110" t="str">
        <f>IFERROR(INDEX('WetLitterbags placem_collection'!$A$3:$A$500,MATCH($A81,'WetLitterbags placem_collection'!$M$4:$M$500,0)),"")</f>
        <v/>
      </c>
      <c r="AE81" s="110" t="str">
        <f>IFERROR(INDEX('WetLitterbags placem_collection'!$A$3:$A$500,MATCH($A81,'WetLitterbags placem_collection'!$Q$4:$Q$500,0)),"")</f>
        <v/>
      </c>
    </row>
    <row r="82" spans="1:31">
      <c r="A82" s="202" t="s">
        <v>1593</v>
      </c>
      <c r="C82" s="201">
        <v>175</v>
      </c>
      <c r="D82" s="201">
        <v>0.49159999999999987</v>
      </c>
      <c r="E82" s="201">
        <v>7.8007</v>
      </c>
      <c r="F82" s="201">
        <v>0.20119999999999999</v>
      </c>
      <c r="G82" s="201">
        <f t="shared" si="8"/>
        <v>8.0018999999999991</v>
      </c>
      <c r="H82" s="201">
        <v>7.8201999999999998</v>
      </c>
      <c r="I82" s="201">
        <f t="shared" si="9"/>
        <v>0.18169999999999931</v>
      </c>
      <c r="J82" s="201">
        <f t="shared" si="10"/>
        <v>1.9500000000000683E-2</v>
      </c>
      <c r="K82" s="280">
        <f t="shared" si="11"/>
        <v>9.6918489065609759</v>
      </c>
      <c r="L82" s="201">
        <v>1</v>
      </c>
      <c r="M82" s="205">
        <v>43173</v>
      </c>
      <c r="N82" s="205">
        <v>43173</v>
      </c>
      <c r="O82" s="201" t="s">
        <v>2556</v>
      </c>
      <c r="P82" s="201"/>
      <c r="AB82" s="110">
        <f>IFERROR(INDEX('WetLitterbags placem_collection'!$A$3:$A$500,MATCH(A82,'WetLitterbags placem_collection'!$K$4:$K$500,0)),"")</f>
        <v>174</v>
      </c>
      <c r="AC82" s="110" t="str">
        <f>IFERROR(INDEX('WetLitterbags placem_collection'!$A$3:$A$500,MATCH($A82,'WetLitterbags placem_collection'!$O$4:$O$500,0)),"")</f>
        <v/>
      </c>
      <c r="AD82" s="110" t="str">
        <f>IFERROR(INDEX('WetLitterbags placem_collection'!$A$3:$A$500,MATCH($A82,'WetLitterbags placem_collection'!$M$4:$M$500,0)),"")</f>
        <v/>
      </c>
      <c r="AE82" s="110" t="str">
        <f>IFERROR(INDEX('WetLitterbags placem_collection'!$A$3:$A$500,MATCH($A82,'WetLitterbags placem_collection'!$Q$4:$Q$500,0)),"")</f>
        <v/>
      </c>
    </row>
    <row r="83" spans="1:31">
      <c r="A83" s="197" t="s">
        <v>1592</v>
      </c>
      <c r="C83" s="198">
        <v>181</v>
      </c>
      <c r="D83" s="197">
        <v>0.4042</v>
      </c>
      <c r="E83" s="197">
        <v>10.6159</v>
      </c>
      <c r="F83" s="202">
        <v>0.20250000000000001</v>
      </c>
      <c r="G83" s="201">
        <f t="shared" si="8"/>
        <v>10.8184</v>
      </c>
      <c r="H83" s="201">
        <v>10.634399999999999</v>
      </c>
      <c r="I83" s="201">
        <f t="shared" si="9"/>
        <v>0.18400000000000105</v>
      </c>
      <c r="J83" s="201">
        <f t="shared" si="10"/>
        <v>1.8499999999998962E-2</v>
      </c>
      <c r="K83" s="280">
        <f t="shared" si="11"/>
        <v>9.1358024691352888</v>
      </c>
      <c r="L83" s="201">
        <v>9</v>
      </c>
      <c r="AB83" s="110">
        <f>IFERROR(INDEX('WetLitterbags placem_collection'!$A$3:$A$500,MATCH(A83,'WetLitterbags placem_collection'!$K$4:$K$500,0)),"")</f>
        <v>180</v>
      </c>
      <c r="AC83" s="110" t="str">
        <f>IFERROR(INDEX('WetLitterbags placem_collection'!$A$3:$A$500,MATCH($A83,'WetLitterbags placem_collection'!$O$4:$O$500,0)),"")</f>
        <v/>
      </c>
      <c r="AD83" s="110" t="str">
        <f>IFERROR(INDEX('WetLitterbags placem_collection'!$A$3:$A$500,MATCH($A83,'WetLitterbags placem_collection'!$M$4:$M$500,0)),"")</f>
        <v/>
      </c>
      <c r="AE83" s="110" t="str">
        <f>IFERROR(INDEX('WetLitterbags placem_collection'!$A$3:$A$500,MATCH($A83,'WetLitterbags placem_collection'!$Q$4:$Q$500,0)),"")</f>
        <v/>
      </c>
    </row>
    <row r="84" spans="1:31">
      <c r="A84" s="197" t="s">
        <v>1591</v>
      </c>
      <c r="C84" s="198">
        <v>71</v>
      </c>
      <c r="D84" s="197">
        <v>0.68149999999999999</v>
      </c>
      <c r="E84" s="201">
        <v>11.0892</v>
      </c>
      <c r="F84" s="202">
        <v>0.2064</v>
      </c>
      <c r="G84" s="201">
        <f t="shared" si="8"/>
        <v>11.2956</v>
      </c>
      <c r="H84" s="201">
        <v>11.1052</v>
      </c>
      <c r="I84" s="201">
        <f t="shared" si="9"/>
        <v>0.19040000000000035</v>
      </c>
      <c r="J84" s="201">
        <f t="shared" si="10"/>
        <v>1.5999999999999653E-2</v>
      </c>
      <c r="K84" s="280">
        <f t="shared" si="11"/>
        <v>7.7519379844959557</v>
      </c>
      <c r="L84" s="201">
        <v>9</v>
      </c>
      <c r="M84" s="204">
        <v>43213</v>
      </c>
      <c r="N84" s="204">
        <v>43213</v>
      </c>
      <c r="AB84" s="110" t="str">
        <f>IFERROR(INDEX('WetLitterbags placem_collection'!$A$3:$A$500,MATCH(A84,'WetLitterbags placem_collection'!$K$4:$K$500,0)),"")</f>
        <v/>
      </c>
      <c r="AC84" s="110">
        <f>IFERROR(INDEX('WetLitterbags placem_collection'!$A$3:$A$500,MATCH($A84,'WetLitterbags placem_collection'!$O$4:$O$500,0)),"")</f>
        <v>70</v>
      </c>
      <c r="AD84" s="110" t="str">
        <f>IFERROR(INDEX('WetLitterbags placem_collection'!$A$3:$A$500,MATCH($A84,'WetLitterbags placem_collection'!$M$4:$M$500,0)),"")</f>
        <v/>
      </c>
      <c r="AE84" s="110" t="str">
        <f>IFERROR(INDEX('WetLitterbags placem_collection'!$A$3:$A$500,MATCH($A84,'WetLitterbags placem_collection'!$Q$4:$Q$500,0)),"")</f>
        <v/>
      </c>
    </row>
    <row r="85" spans="1:31">
      <c r="A85" s="197" t="s">
        <v>1590</v>
      </c>
      <c r="C85" s="198">
        <v>78</v>
      </c>
      <c r="D85" s="197">
        <v>0.69499999999999995</v>
      </c>
      <c r="E85" s="201">
        <v>10.9214</v>
      </c>
      <c r="F85" s="202">
        <v>0.2006</v>
      </c>
      <c r="G85" s="201">
        <f t="shared" si="8"/>
        <v>11.122</v>
      </c>
      <c r="H85" s="201">
        <v>10.941599999999999</v>
      </c>
      <c r="I85" s="201">
        <f t="shared" si="9"/>
        <v>0.18040000000000056</v>
      </c>
      <c r="J85" s="201">
        <f t="shared" si="10"/>
        <v>2.0199999999999441E-2</v>
      </c>
      <c r="K85" s="280">
        <f t="shared" si="11"/>
        <v>10.069790628115374</v>
      </c>
      <c r="L85" s="201">
        <v>7</v>
      </c>
      <c r="M85" s="204">
        <v>43213</v>
      </c>
      <c r="N85" s="204">
        <v>43213</v>
      </c>
      <c r="AB85" s="110">
        <f>IFERROR(INDEX('WetLitterbags placem_collection'!$A$3:$A$500,MATCH(A85,'WetLitterbags placem_collection'!$K$4:$K$500,0)),"")</f>
        <v>77</v>
      </c>
      <c r="AC85" s="110" t="str">
        <f>IFERROR(INDEX('WetLitterbags placem_collection'!$A$3:$A$500,MATCH($A85,'WetLitterbags placem_collection'!$O$4:$O$500,0)),"")</f>
        <v/>
      </c>
      <c r="AD85" s="110" t="str">
        <f>IFERROR(INDEX('WetLitterbags placem_collection'!$A$3:$A$500,MATCH($A85,'WetLitterbags placem_collection'!$M$4:$M$500,0)),"")</f>
        <v/>
      </c>
      <c r="AE85" s="110" t="str">
        <f>IFERROR(INDEX('WetLitterbags placem_collection'!$A$3:$A$500,MATCH($A85,'WetLitterbags placem_collection'!$Q$4:$Q$500,0)),"")</f>
        <v/>
      </c>
    </row>
    <row r="86" spans="1:31">
      <c r="A86" s="206" t="s">
        <v>1589</v>
      </c>
      <c r="C86" s="201">
        <v>168</v>
      </c>
      <c r="D86" s="201">
        <v>0.5857</v>
      </c>
      <c r="E86" s="202">
        <v>9.8872999999999998</v>
      </c>
      <c r="F86" s="202">
        <v>0.20119999999999999</v>
      </c>
      <c r="G86" s="201">
        <f t="shared" si="8"/>
        <v>10.0885</v>
      </c>
      <c r="H86" s="201">
        <v>9.9053000000000004</v>
      </c>
      <c r="I86" s="201">
        <f t="shared" si="9"/>
        <v>0.18319999999999936</v>
      </c>
      <c r="J86" s="201">
        <f t="shared" si="10"/>
        <v>1.8000000000000627E-2</v>
      </c>
      <c r="K86" s="280">
        <f t="shared" si="11"/>
        <v>8.9463220675947444</v>
      </c>
      <c r="L86" s="201">
        <v>13</v>
      </c>
      <c r="M86" s="207">
        <v>43185.385416666664</v>
      </c>
      <c r="N86" s="201"/>
      <c r="O86" s="201" t="s">
        <v>2556</v>
      </c>
      <c r="P86" s="201"/>
      <c r="AB86" s="110">
        <f>IFERROR(INDEX('WetLitterbags placem_collection'!$A$3:$A$500,MATCH(A86,'WetLitterbags placem_collection'!$K$4:$K$500,0)),"")</f>
        <v>167</v>
      </c>
      <c r="AC86" s="110" t="str">
        <f>IFERROR(INDEX('WetLitterbags placem_collection'!$A$3:$A$500,MATCH($A86,'WetLitterbags placem_collection'!$O$4:$O$500,0)),"")</f>
        <v/>
      </c>
      <c r="AD86" s="110" t="str">
        <f>IFERROR(INDEX('WetLitterbags placem_collection'!$A$3:$A$500,MATCH($A86,'WetLitterbags placem_collection'!$M$4:$M$500,0)),"")</f>
        <v/>
      </c>
      <c r="AE86" s="110" t="str">
        <f>IFERROR(INDEX('WetLitterbags placem_collection'!$A$3:$A$500,MATCH($A86,'WetLitterbags placem_collection'!$Q$4:$Q$500,0)),"")</f>
        <v/>
      </c>
    </row>
    <row r="87" spans="1:31">
      <c r="A87" s="206" t="s">
        <v>1588</v>
      </c>
      <c r="C87" s="201">
        <v>198</v>
      </c>
      <c r="D87" s="201">
        <v>0.52729999999999999</v>
      </c>
      <c r="E87" s="201">
        <v>7.8711000000000002</v>
      </c>
      <c r="F87" s="201">
        <v>0.20219999999999999</v>
      </c>
      <c r="G87" s="201">
        <f t="shared" si="8"/>
        <v>8.0732999999999997</v>
      </c>
      <c r="H87" s="201">
        <v>7.8887999999999998</v>
      </c>
      <c r="I87" s="201">
        <f t="shared" si="9"/>
        <v>0.18449999999999989</v>
      </c>
      <c r="J87" s="201">
        <f t="shared" si="10"/>
        <v>1.7700000000000105E-2</v>
      </c>
      <c r="K87" s="280">
        <f t="shared" si="11"/>
        <v>8.7537091988131088</v>
      </c>
      <c r="L87" s="201">
        <v>23</v>
      </c>
      <c r="M87" s="203">
        <v>43164.628472222219</v>
      </c>
      <c r="N87" s="203">
        <v>43164.795138888891</v>
      </c>
      <c r="O87" s="197" t="s">
        <v>2550</v>
      </c>
      <c r="P87" s="201"/>
      <c r="AB87" s="110" t="str">
        <f>IFERROR(INDEX('WetLitterbags placem_collection'!$A$3:$A$500,MATCH(A87,'WetLitterbags placem_collection'!$K$4:$K$500,0)),"")</f>
        <v/>
      </c>
      <c r="AC87" s="110">
        <f>IFERROR(INDEX('WetLitterbags placem_collection'!$A$3:$A$500,MATCH($A87,'WetLitterbags placem_collection'!$O$4:$O$500,0)),"")</f>
        <v>197</v>
      </c>
      <c r="AD87" s="110" t="str">
        <f>IFERROR(INDEX('WetLitterbags placem_collection'!$A$3:$A$500,MATCH($A87,'WetLitterbags placem_collection'!$M$4:$M$500,0)),"")</f>
        <v/>
      </c>
      <c r="AE87" s="110" t="str">
        <f>IFERROR(INDEX('WetLitterbags placem_collection'!$A$3:$A$500,MATCH($A87,'WetLitterbags placem_collection'!$Q$4:$Q$500,0)),"")</f>
        <v/>
      </c>
    </row>
    <row r="88" spans="1:31">
      <c r="A88" s="201" t="s">
        <v>1581</v>
      </c>
      <c r="C88" s="201">
        <v>89</v>
      </c>
      <c r="D88" s="201">
        <v>1.1642999999999999</v>
      </c>
      <c r="E88" s="201">
        <v>8.1176999999999992</v>
      </c>
      <c r="F88" s="202">
        <v>0.2046</v>
      </c>
      <c r="G88" s="201">
        <f t="shared" si="8"/>
        <v>8.3222999999999985</v>
      </c>
      <c r="H88" s="201">
        <v>8.2159999999999993</v>
      </c>
      <c r="I88" s="201">
        <f t="shared" si="9"/>
        <v>0.10629999999999917</v>
      </c>
      <c r="J88" s="201">
        <f t="shared" si="10"/>
        <v>9.8300000000000831E-2</v>
      </c>
      <c r="K88" s="280">
        <f t="shared" si="11"/>
        <v>48.044965786901678</v>
      </c>
      <c r="L88" s="201">
        <v>6</v>
      </c>
      <c r="M88" s="205">
        <v>43187</v>
      </c>
      <c r="N88" s="205">
        <v>43187</v>
      </c>
      <c r="O88" s="201"/>
      <c r="P88" s="201"/>
      <c r="AB88" s="110" t="str">
        <f>IFERROR(INDEX('WetLitterbags placem_collection'!$A$3:$A$500,MATCH(A88,'WetLitterbags placem_collection'!$K$4:$K$500,0)),"")</f>
        <v/>
      </c>
      <c r="AC88" s="110">
        <f>IFERROR(INDEX('WetLitterbags placem_collection'!$A$3:$A$500,MATCH($A88,'WetLitterbags placem_collection'!$O$4:$O$500,0)),"")</f>
        <v>88</v>
      </c>
      <c r="AD88" s="110" t="str">
        <f>IFERROR(INDEX('WetLitterbags placem_collection'!$A$3:$A$500,MATCH($A88,'WetLitterbags placem_collection'!$M$4:$M$500,0)),"")</f>
        <v/>
      </c>
      <c r="AE88" s="110" t="str">
        <f>IFERROR(INDEX('WetLitterbags placem_collection'!$A$3:$A$500,MATCH($A88,'WetLitterbags placem_collection'!$Q$4:$Q$500,0)),"")</f>
        <v/>
      </c>
    </row>
    <row r="89" spans="1:31">
      <c r="A89" s="202" t="s">
        <v>1580</v>
      </c>
      <c r="C89" s="201">
        <v>176</v>
      </c>
      <c r="D89" s="201">
        <v>0.42199999999999993</v>
      </c>
      <c r="E89" s="201">
        <v>8.1182999999999996</v>
      </c>
      <c r="F89" s="201">
        <v>0.1956</v>
      </c>
      <c r="G89" s="201">
        <f t="shared" si="8"/>
        <v>8.3139000000000003</v>
      </c>
      <c r="H89" s="201">
        <v>8.1365999999999996</v>
      </c>
      <c r="I89" s="201">
        <f t="shared" si="9"/>
        <v>0.17730000000000068</v>
      </c>
      <c r="J89" s="201">
        <f t="shared" si="10"/>
        <v>1.8299999999999317E-2</v>
      </c>
      <c r="K89" s="280">
        <f t="shared" si="11"/>
        <v>9.3558282208585464</v>
      </c>
      <c r="L89" s="201">
        <v>18</v>
      </c>
      <c r="M89" s="205">
        <v>43173</v>
      </c>
      <c r="N89" s="205">
        <v>43173</v>
      </c>
      <c r="O89" s="201" t="s">
        <v>2556</v>
      </c>
      <c r="P89" s="201" t="s">
        <v>2555</v>
      </c>
      <c r="AB89" s="110" t="str">
        <f>IFERROR(INDEX('WetLitterbags placem_collection'!$A$3:$A$500,MATCH(A89,'WetLitterbags placem_collection'!$K$4:$K$500,0)),"")</f>
        <v/>
      </c>
      <c r="AC89" s="110">
        <f>IFERROR(INDEX('WetLitterbags placem_collection'!$A$3:$A$500,MATCH($A89,'WetLitterbags placem_collection'!$O$4:$O$500,0)),"")</f>
        <v>175</v>
      </c>
      <c r="AD89" s="110" t="str">
        <f>IFERROR(INDEX('WetLitterbags placem_collection'!$A$3:$A$500,MATCH($A89,'WetLitterbags placem_collection'!$M$4:$M$500,0)),"")</f>
        <v/>
      </c>
      <c r="AE89" s="110" t="str">
        <f>IFERROR(INDEX('WetLitterbags placem_collection'!$A$3:$A$500,MATCH($A89,'WetLitterbags placem_collection'!$Q$4:$Q$500,0)),"")</f>
        <v/>
      </c>
    </row>
    <row r="90" spans="1:31">
      <c r="A90" s="202" t="s">
        <v>1578</v>
      </c>
      <c r="C90" s="201">
        <v>91</v>
      </c>
      <c r="D90" s="201">
        <v>0.51639999999999986</v>
      </c>
      <c r="E90" s="201">
        <v>8.0459999999999994</v>
      </c>
      <c r="F90" s="201">
        <v>0.19969999999999999</v>
      </c>
      <c r="G90" s="201">
        <f t="shared" si="8"/>
        <v>8.2456999999999994</v>
      </c>
      <c r="H90" s="201">
        <v>8.0721000000000007</v>
      </c>
      <c r="I90" s="201">
        <f t="shared" si="9"/>
        <v>0.17359999999999864</v>
      </c>
      <c r="J90" s="201">
        <f t="shared" si="10"/>
        <v>2.6100000000001344E-2</v>
      </c>
      <c r="K90" s="280">
        <f t="shared" si="11"/>
        <v>13.069604406610589</v>
      </c>
      <c r="L90" s="201">
        <v>5</v>
      </c>
      <c r="M90" s="205">
        <v>43173</v>
      </c>
      <c r="N90" s="205">
        <v>43173</v>
      </c>
      <c r="O90" s="201" t="s">
        <v>2556</v>
      </c>
      <c r="P90" s="201" t="s">
        <v>2555</v>
      </c>
      <c r="AB90" s="110">
        <f>IFERROR(INDEX('WetLitterbags placem_collection'!$A$3:$A$500,MATCH(A90,'WetLitterbags placem_collection'!$K$4:$K$500,0)),"")</f>
        <v>90</v>
      </c>
      <c r="AC90" s="110" t="str">
        <f>IFERROR(INDEX('WetLitterbags placem_collection'!$A$3:$A$500,MATCH($A90,'WetLitterbags placem_collection'!$O$4:$O$500,0)),"")</f>
        <v/>
      </c>
      <c r="AD90" s="110" t="str">
        <f>IFERROR(INDEX('WetLitterbags placem_collection'!$A$3:$A$500,MATCH($A90,'WetLitterbags placem_collection'!$M$4:$M$500,0)),"")</f>
        <v/>
      </c>
      <c r="AE90" s="110" t="str">
        <f>IFERROR(INDEX('WetLitterbags placem_collection'!$A$3:$A$500,MATCH($A90,'WetLitterbags placem_collection'!$Q$4:$Q$500,0)),"")</f>
        <v/>
      </c>
    </row>
    <row r="91" spans="1:31">
      <c r="A91" s="197" t="s">
        <v>1576</v>
      </c>
      <c r="C91" s="197">
        <v>80</v>
      </c>
      <c r="D91" s="197">
        <v>0.7772</v>
      </c>
      <c r="E91" s="197">
        <v>7.8582000000000001</v>
      </c>
      <c r="F91" s="197">
        <v>0.20050000000000001</v>
      </c>
      <c r="G91" s="197">
        <f t="shared" si="8"/>
        <v>8.0587</v>
      </c>
      <c r="H91" s="197">
        <v>7.8699000000000003</v>
      </c>
      <c r="I91" s="197">
        <f t="shared" si="9"/>
        <v>0.18879999999999963</v>
      </c>
      <c r="J91" s="201">
        <f t="shared" si="10"/>
        <v>1.1700000000000377E-2</v>
      </c>
      <c r="K91" s="280">
        <f t="shared" si="11"/>
        <v>5.8354114713218834</v>
      </c>
      <c r="L91" s="197">
        <v>9</v>
      </c>
      <c r="M91" s="197" t="s">
        <v>2580</v>
      </c>
      <c r="N91" s="197" t="s">
        <v>2579</v>
      </c>
      <c r="O91" s="197" t="s">
        <v>2556</v>
      </c>
      <c r="AB91" s="110" t="str">
        <f>IFERROR(INDEX('WetLitterbags placem_collection'!$A$3:$A$500,MATCH(A91,'WetLitterbags placem_collection'!$K$4:$K$500,0)),"")</f>
        <v/>
      </c>
      <c r="AC91" s="110">
        <f>IFERROR(INDEX('WetLitterbags placem_collection'!$A$3:$A$500,MATCH($A91,'WetLitterbags placem_collection'!$O$4:$O$500,0)),"")</f>
        <v>79</v>
      </c>
      <c r="AD91" s="110" t="str">
        <f>IFERROR(INDEX('WetLitterbags placem_collection'!$A$3:$A$500,MATCH($A91,'WetLitterbags placem_collection'!$M$4:$M$500,0)),"")</f>
        <v/>
      </c>
      <c r="AE91" s="110" t="str">
        <f>IFERROR(INDEX('WetLitterbags placem_collection'!$A$3:$A$500,MATCH($A91,'WetLitterbags placem_collection'!$Q$4:$Q$500,0)),"")</f>
        <v/>
      </c>
    </row>
    <row r="92" spans="1:31">
      <c r="A92" s="201" t="s">
        <v>1575</v>
      </c>
      <c r="C92" s="201">
        <v>81</v>
      </c>
      <c r="D92" s="202">
        <v>0.45200000000000001</v>
      </c>
      <c r="E92" s="202">
        <v>10.739000000000001</v>
      </c>
      <c r="F92" s="202">
        <v>0.20030000000000001</v>
      </c>
      <c r="G92" s="201">
        <f t="shared" si="8"/>
        <v>10.939300000000001</v>
      </c>
      <c r="H92" s="201">
        <v>10.7622</v>
      </c>
      <c r="I92" s="201">
        <f t="shared" si="9"/>
        <v>0.17710000000000115</v>
      </c>
      <c r="J92" s="201">
        <f t="shared" si="10"/>
        <v>2.319999999999886E-2</v>
      </c>
      <c r="K92" s="280">
        <f t="shared" si="11"/>
        <v>11.582626060908067</v>
      </c>
      <c r="L92" s="201">
        <v>31</v>
      </c>
      <c r="M92" s="203">
        <v>43181.645833333336</v>
      </c>
      <c r="N92" s="203">
        <v>43181.833333333336</v>
      </c>
      <c r="O92" s="201" t="s">
        <v>2556</v>
      </c>
      <c r="P92" s="201"/>
      <c r="AB92" s="110" t="str">
        <f>IFERROR(INDEX('WetLitterbags placem_collection'!$A$3:$A$500,MATCH(A92,'WetLitterbags placem_collection'!$K$4:$K$500,0)),"")</f>
        <v/>
      </c>
      <c r="AC92" s="110">
        <f>IFERROR(INDEX('WetLitterbags placem_collection'!$A$3:$A$500,MATCH($A92,'WetLitterbags placem_collection'!$O$4:$O$500,0)),"")</f>
        <v>80</v>
      </c>
      <c r="AD92" s="110" t="str">
        <f>IFERROR(INDEX('WetLitterbags placem_collection'!$A$3:$A$500,MATCH($A92,'WetLitterbags placem_collection'!$M$4:$M$500,0)),"")</f>
        <v/>
      </c>
      <c r="AE92" s="110" t="str">
        <f>IFERROR(INDEX('WetLitterbags placem_collection'!$A$3:$A$500,MATCH($A92,'WetLitterbags placem_collection'!$Q$4:$Q$500,0)),"")</f>
        <v/>
      </c>
    </row>
    <row r="93" spans="1:31">
      <c r="A93" s="197" t="s">
        <v>1574</v>
      </c>
      <c r="C93" s="198">
        <v>9</v>
      </c>
      <c r="D93" s="197">
        <v>0.46850000000000003</v>
      </c>
      <c r="E93" s="202">
        <v>10.519600000000001</v>
      </c>
      <c r="F93" s="202">
        <v>0.2016</v>
      </c>
      <c r="G93" s="201">
        <f t="shared" si="8"/>
        <v>10.7212</v>
      </c>
      <c r="H93" s="201">
        <v>10.555999999999999</v>
      </c>
      <c r="I93" s="201">
        <f t="shared" si="9"/>
        <v>0.16520000000000046</v>
      </c>
      <c r="J93" s="201">
        <f t="shared" si="10"/>
        <v>3.6399999999999544E-2</v>
      </c>
      <c r="K93" s="280">
        <f t="shared" si="11"/>
        <v>18.05555555555533</v>
      </c>
      <c r="L93" s="201">
        <v>9</v>
      </c>
      <c r="M93" s="204">
        <v>43221</v>
      </c>
      <c r="N93" s="204">
        <v>43221</v>
      </c>
      <c r="AB93" s="110" t="str">
        <f>IFERROR(INDEX('WetLitterbags placem_collection'!$A$3:$A$500,MATCH(A93,'WetLitterbags placem_collection'!$K$4:$K$500,0)),"")</f>
        <v/>
      </c>
      <c r="AC93" s="110">
        <f>IFERROR(INDEX('WetLitterbags placem_collection'!$A$3:$A$500,MATCH($A93,'WetLitterbags placem_collection'!$O$4:$O$500,0)),"")</f>
        <v>8</v>
      </c>
      <c r="AD93" s="110" t="str">
        <f>IFERROR(INDEX('WetLitterbags placem_collection'!$A$3:$A$500,MATCH($A93,'WetLitterbags placem_collection'!$M$4:$M$500,0)),"")</f>
        <v/>
      </c>
      <c r="AE93" s="110" t="str">
        <f>IFERROR(INDEX('WetLitterbags placem_collection'!$A$3:$A$500,MATCH($A93,'WetLitterbags placem_collection'!$Q$4:$Q$500,0)),"")</f>
        <v/>
      </c>
    </row>
    <row r="94" spans="1:31">
      <c r="A94" s="206" t="s">
        <v>1573</v>
      </c>
      <c r="C94" s="201">
        <v>68</v>
      </c>
      <c r="D94" s="201">
        <v>0.7016</v>
      </c>
      <c r="E94" s="202">
        <v>8.8606999999999996</v>
      </c>
      <c r="F94" s="202">
        <v>0.20250000000000001</v>
      </c>
      <c r="G94" s="201">
        <f t="shared" si="8"/>
        <v>9.0632000000000001</v>
      </c>
      <c r="H94" s="201">
        <v>8.8945000000000007</v>
      </c>
      <c r="I94" s="201">
        <f t="shared" si="9"/>
        <v>0.16869999999999941</v>
      </c>
      <c r="J94" s="201">
        <f t="shared" si="10"/>
        <v>3.3800000000000607E-2</v>
      </c>
      <c r="K94" s="280">
        <f t="shared" si="11"/>
        <v>16.691358024691656</v>
      </c>
      <c r="L94" s="201">
        <v>18</v>
      </c>
      <c r="M94" s="205">
        <v>43199</v>
      </c>
      <c r="N94" s="205">
        <v>43199</v>
      </c>
      <c r="O94" s="201"/>
      <c r="P94" s="201"/>
      <c r="AB94" s="110" t="str">
        <f>IFERROR(INDEX('WetLitterbags placem_collection'!$A$3:$A$500,MATCH(A94,'WetLitterbags placem_collection'!$K$4:$K$500,0)),"")</f>
        <v/>
      </c>
      <c r="AC94" s="110">
        <f>IFERROR(INDEX('WetLitterbags placem_collection'!$A$3:$A$500,MATCH($A94,'WetLitterbags placem_collection'!$O$4:$O$500,0)),"")</f>
        <v>67</v>
      </c>
      <c r="AD94" s="110" t="str">
        <f>IFERROR(INDEX('WetLitterbags placem_collection'!$A$3:$A$500,MATCH($A94,'WetLitterbags placem_collection'!$M$4:$M$500,0)),"")</f>
        <v/>
      </c>
      <c r="AE94" s="110" t="str">
        <f>IFERROR(INDEX('WetLitterbags placem_collection'!$A$3:$A$500,MATCH($A94,'WetLitterbags placem_collection'!$Q$4:$Q$500,0)),"")</f>
        <v/>
      </c>
    </row>
    <row r="95" spans="1:31">
      <c r="A95" s="197" t="s">
        <v>1571</v>
      </c>
      <c r="C95" s="198">
        <v>96</v>
      </c>
      <c r="D95" s="197">
        <v>0.73119999999999996</v>
      </c>
      <c r="E95" s="202">
        <v>8.8449000000000009</v>
      </c>
      <c r="F95" s="202">
        <v>0.20250000000000001</v>
      </c>
      <c r="G95" s="201">
        <f t="shared" si="8"/>
        <v>9.0474000000000014</v>
      </c>
      <c r="H95" s="201">
        <v>8.8789999999999996</v>
      </c>
      <c r="I95" s="201">
        <f t="shared" si="9"/>
        <v>0.16840000000000188</v>
      </c>
      <c r="J95" s="201">
        <f t="shared" si="10"/>
        <v>3.4099999999998132E-2</v>
      </c>
      <c r="K95" s="280">
        <f t="shared" si="11"/>
        <v>16.839506172838583</v>
      </c>
      <c r="L95" s="201">
        <v>38</v>
      </c>
      <c r="AB95" s="110">
        <f>IFERROR(INDEX('WetLitterbags placem_collection'!$A$3:$A$500,MATCH(A95,'WetLitterbags placem_collection'!$K$4:$K$500,0)),"")</f>
        <v>95</v>
      </c>
      <c r="AC95" s="110" t="str">
        <f>IFERROR(INDEX('WetLitterbags placem_collection'!$A$3:$A$500,MATCH($A95,'WetLitterbags placem_collection'!$O$4:$O$500,0)),"")</f>
        <v/>
      </c>
      <c r="AD95" s="110" t="str">
        <f>IFERROR(INDEX('WetLitterbags placem_collection'!$A$3:$A$500,MATCH($A95,'WetLitterbags placem_collection'!$M$4:$M$500,0)),"")</f>
        <v/>
      </c>
      <c r="AE95" s="110" t="str">
        <f>IFERROR(INDEX('WetLitterbags placem_collection'!$A$3:$A$500,MATCH($A95,'WetLitterbags placem_collection'!$Q$4:$Q$500,0)),"")</f>
        <v/>
      </c>
    </row>
    <row r="96" spans="1:31">
      <c r="A96" s="201" t="s">
        <v>1567</v>
      </c>
      <c r="C96" s="201">
        <v>177</v>
      </c>
      <c r="D96" s="201">
        <v>0.39500000000000002</v>
      </c>
      <c r="E96" s="201">
        <v>7.7146999999999997</v>
      </c>
      <c r="F96" s="202">
        <v>0.1996</v>
      </c>
      <c r="G96" s="201">
        <f t="shared" si="8"/>
        <v>7.9142999999999999</v>
      </c>
      <c r="H96" s="201">
        <v>7.7317</v>
      </c>
      <c r="I96" s="201">
        <f t="shared" si="9"/>
        <v>0.18259999999999987</v>
      </c>
      <c r="J96" s="201">
        <f t="shared" si="10"/>
        <v>1.7000000000000126E-2</v>
      </c>
      <c r="K96" s="280">
        <f t="shared" si="11"/>
        <v>8.5170340681363346</v>
      </c>
      <c r="L96" s="201">
        <v>38</v>
      </c>
      <c r="M96" s="205">
        <v>43187</v>
      </c>
      <c r="N96" s="205">
        <v>43187</v>
      </c>
      <c r="O96" s="201"/>
      <c r="P96" s="201"/>
      <c r="AB96" s="110" t="str">
        <f>IFERROR(INDEX('WetLitterbags placem_collection'!$A$3:$A$500,MATCH(A96,'WetLitterbags placem_collection'!$K$4:$K$500,0)),"")</f>
        <v/>
      </c>
      <c r="AC96" s="110">
        <f>IFERROR(INDEX('WetLitterbags placem_collection'!$A$3:$A$500,MATCH($A96,'WetLitterbags placem_collection'!$O$4:$O$500,0)),"")</f>
        <v>176</v>
      </c>
      <c r="AD96" s="110" t="str">
        <f>IFERROR(INDEX('WetLitterbags placem_collection'!$A$3:$A$500,MATCH($A96,'WetLitterbags placem_collection'!$M$4:$M$500,0)),"")</f>
        <v/>
      </c>
      <c r="AE96" s="110" t="str">
        <f>IFERROR(INDEX('WetLitterbags placem_collection'!$A$3:$A$500,MATCH($A96,'WetLitterbags placem_collection'!$Q$4:$Q$500,0)),"")</f>
        <v/>
      </c>
    </row>
    <row r="97" spans="1:31">
      <c r="A97" s="201" t="s">
        <v>1564</v>
      </c>
      <c r="C97" s="201">
        <v>95</v>
      </c>
      <c r="D97" s="201">
        <f>0.4463+F97</f>
        <v>0.65189999999999992</v>
      </c>
      <c r="E97" s="202">
        <v>7.7142999999999997</v>
      </c>
      <c r="F97" s="202">
        <v>0.2056</v>
      </c>
      <c r="G97" s="201">
        <f t="shared" si="8"/>
        <v>7.9199000000000002</v>
      </c>
      <c r="H97" s="201">
        <v>7.7495000000000003</v>
      </c>
      <c r="I97" s="201">
        <f t="shared" si="9"/>
        <v>0.17039999999999988</v>
      </c>
      <c r="J97" s="201">
        <f t="shared" si="10"/>
        <v>3.520000000000012E-2</v>
      </c>
      <c r="K97" s="280">
        <f t="shared" si="11"/>
        <v>17.120622568093445</v>
      </c>
      <c r="L97" s="201">
        <v>17</v>
      </c>
      <c r="M97" s="205">
        <v>43174</v>
      </c>
      <c r="N97" s="205">
        <v>43174</v>
      </c>
      <c r="O97" s="201" t="s">
        <v>2556</v>
      </c>
      <c r="P97" s="201" t="s">
        <v>2551</v>
      </c>
      <c r="AB97" s="110" t="str">
        <f>IFERROR(INDEX('WetLitterbags placem_collection'!$A$3:$A$500,MATCH(A97,'WetLitterbags placem_collection'!$K$4:$K$500,0)),"")</f>
        <v/>
      </c>
      <c r="AC97" s="110">
        <f>IFERROR(INDEX('WetLitterbags placem_collection'!$A$3:$A$500,MATCH($A97,'WetLitterbags placem_collection'!$O$4:$O$500,0)),"")</f>
        <v>94</v>
      </c>
      <c r="AD97" s="110" t="str">
        <f>IFERROR(INDEX('WetLitterbags placem_collection'!$A$3:$A$500,MATCH($A97,'WetLitterbags placem_collection'!$M$4:$M$500,0)),"")</f>
        <v/>
      </c>
      <c r="AE97" s="110" t="str">
        <f>IFERROR(INDEX('WetLitterbags placem_collection'!$A$3:$A$500,MATCH($A97,'WetLitterbags placem_collection'!$Q$4:$Q$500,0)),"")</f>
        <v/>
      </c>
    </row>
    <row r="98" spans="1:31">
      <c r="A98" s="201" t="s">
        <v>1561</v>
      </c>
      <c r="C98" s="201">
        <v>59</v>
      </c>
      <c r="D98" s="201">
        <v>0.69230000000000003</v>
      </c>
      <c r="E98" s="201">
        <v>9.8870000000000005</v>
      </c>
      <c r="F98" s="201">
        <v>0.20100000000000001</v>
      </c>
      <c r="G98" s="201">
        <f t="shared" ref="G98:G113" si="12">E98+F98</f>
        <v>10.088000000000001</v>
      </c>
      <c r="H98" s="201">
        <v>9.9093999999999998</v>
      </c>
      <c r="I98" s="201">
        <f t="shared" ref="I98:I113" si="13">(G98-H98)</f>
        <v>0.1786000000000012</v>
      </c>
      <c r="J98" s="201">
        <f t="shared" ref="J98:J113" si="14">F98-I98</f>
        <v>2.239999999999881E-2</v>
      </c>
      <c r="K98" s="280">
        <f t="shared" ref="K98:K113" si="15">(J98/F98)*100</f>
        <v>11.144278606964582</v>
      </c>
      <c r="L98" s="201">
        <v>4</v>
      </c>
      <c r="M98" s="205">
        <v>43188</v>
      </c>
      <c r="N98" s="205">
        <v>43188</v>
      </c>
      <c r="O98" s="201"/>
      <c r="P98" s="201"/>
      <c r="U98" s="202" t="s">
        <v>630</v>
      </c>
      <c r="V98" s="197">
        <v>0.72919999999999996</v>
      </c>
      <c r="W98" s="197">
        <f>(V98-$T$175+F96)</f>
        <v>0.92879999999999996</v>
      </c>
      <c r="AB98" s="110">
        <f>IFERROR(INDEX('WetLitterbags placem_collection'!$A$3:$A$500,MATCH(A98,'WetLitterbags placem_collection'!$K$4:$K$500,0)),"")</f>
        <v>58</v>
      </c>
      <c r="AC98" s="110" t="str">
        <f>IFERROR(INDEX('WetLitterbags placem_collection'!$A$3:$A$500,MATCH($A98,'WetLitterbags placem_collection'!$O$4:$O$500,0)),"")</f>
        <v/>
      </c>
      <c r="AD98" s="110" t="str">
        <f>IFERROR(INDEX('WetLitterbags placem_collection'!$A$3:$A$500,MATCH($A98,'WetLitterbags placem_collection'!$M$4:$M$500,0)),"")</f>
        <v/>
      </c>
      <c r="AE98" s="110" t="str">
        <f>IFERROR(INDEX('WetLitterbags placem_collection'!$A$3:$A$500,MATCH($A98,'WetLitterbags placem_collection'!$Q$4:$Q$500,0)),"")</f>
        <v/>
      </c>
    </row>
    <row r="99" spans="1:31">
      <c r="A99" s="197" t="s">
        <v>1559</v>
      </c>
      <c r="C99" s="201">
        <v>219</v>
      </c>
      <c r="D99" s="201">
        <v>0.4577</v>
      </c>
      <c r="E99" s="201">
        <v>7.8586999999999998</v>
      </c>
      <c r="F99" s="201">
        <v>0.2044</v>
      </c>
      <c r="G99" s="201">
        <f t="shared" si="12"/>
        <v>8.0631000000000004</v>
      </c>
      <c r="H99" s="201">
        <v>7.8825000000000003</v>
      </c>
      <c r="I99" s="201">
        <f t="shared" si="13"/>
        <v>0.18060000000000009</v>
      </c>
      <c r="J99" s="201">
        <f t="shared" si="14"/>
        <v>2.3799999999999905E-2</v>
      </c>
      <c r="K99" s="280">
        <f t="shared" si="15"/>
        <v>11.643835616438309</v>
      </c>
      <c r="L99" s="201">
        <v>11</v>
      </c>
      <c r="M99" s="203">
        <v>43164.628472222219</v>
      </c>
      <c r="N99" s="203">
        <v>43164.795138888891</v>
      </c>
      <c r="O99" s="197" t="s">
        <v>2550</v>
      </c>
      <c r="P99" s="201"/>
      <c r="AB99" s="110" t="str">
        <f>IFERROR(INDEX('WetLitterbags placem_collection'!$A$3:$A$500,MATCH(A99,'WetLitterbags placem_collection'!$K$4:$K$500,0)),"")</f>
        <v/>
      </c>
      <c r="AC99" s="110">
        <f>IFERROR(INDEX('WetLitterbags placem_collection'!$A$3:$A$500,MATCH($A99,'WetLitterbags placem_collection'!$O$4:$O$500,0)),"")</f>
        <v>218</v>
      </c>
      <c r="AD99" s="110" t="str">
        <f>IFERROR(INDEX('WetLitterbags placem_collection'!$A$3:$A$500,MATCH($A99,'WetLitterbags placem_collection'!$M$4:$M$500,0)),"")</f>
        <v/>
      </c>
      <c r="AE99" s="110" t="str">
        <f>IFERROR(INDEX('WetLitterbags placem_collection'!$A$3:$A$500,MATCH($A99,'WetLitterbags placem_collection'!$Q$4:$Q$500,0)),"")</f>
        <v/>
      </c>
    </row>
    <row r="100" spans="1:31">
      <c r="A100" s="197" t="s">
        <v>1558</v>
      </c>
      <c r="C100" s="197">
        <v>23</v>
      </c>
      <c r="D100" s="197">
        <v>0.55379999999999996</v>
      </c>
      <c r="E100" s="197">
        <v>8.2187999999999999</v>
      </c>
      <c r="F100" s="197">
        <v>0.19950000000000001</v>
      </c>
      <c r="G100" s="197">
        <f t="shared" si="12"/>
        <v>8.4183000000000003</v>
      </c>
      <c r="H100" s="197">
        <v>8.2416999999999998</v>
      </c>
      <c r="I100" s="197">
        <f t="shared" si="13"/>
        <v>0.17660000000000053</v>
      </c>
      <c r="J100" s="201">
        <f t="shared" si="14"/>
        <v>2.2899999999999476E-2</v>
      </c>
      <c r="K100" s="280">
        <f t="shared" si="15"/>
        <v>11.478696741854373</v>
      </c>
      <c r="L100" s="197">
        <v>23</v>
      </c>
      <c r="M100" s="197" t="s">
        <v>2586</v>
      </c>
      <c r="N100" s="197" t="s">
        <v>2585</v>
      </c>
      <c r="O100" s="197" t="s">
        <v>2550</v>
      </c>
      <c r="AB100" s="110">
        <f>IFERROR(INDEX('WetLitterbags placem_collection'!$A$3:$A$500,MATCH(A100,'WetLitterbags placem_collection'!$K$4:$K$500,0)),"")</f>
        <v>22</v>
      </c>
      <c r="AC100" s="110" t="str">
        <f>IFERROR(INDEX('WetLitterbags placem_collection'!$A$3:$A$500,MATCH($A100,'WetLitterbags placem_collection'!$O$4:$O$500,0)),"")</f>
        <v/>
      </c>
      <c r="AD100" s="110" t="str">
        <f>IFERROR(INDEX('WetLitterbags placem_collection'!$A$3:$A$500,MATCH($A100,'WetLitterbags placem_collection'!$M$4:$M$500,0)),"")</f>
        <v/>
      </c>
      <c r="AE100" s="110" t="str">
        <f>IFERROR(INDEX('WetLitterbags placem_collection'!$A$3:$A$500,MATCH($A100,'WetLitterbags placem_collection'!$Q$4:$Q$500,0)),"")</f>
        <v/>
      </c>
    </row>
    <row r="101" spans="1:31">
      <c r="A101" s="201" t="s">
        <v>1556</v>
      </c>
      <c r="C101" s="201">
        <v>83</v>
      </c>
      <c r="D101" s="202">
        <v>0.66449999999999998</v>
      </c>
      <c r="E101" s="201">
        <v>9.3219999999999992</v>
      </c>
      <c r="F101" s="202">
        <v>0.20349999999999999</v>
      </c>
      <c r="G101" s="201">
        <f t="shared" si="12"/>
        <v>9.5254999999999992</v>
      </c>
      <c r="H101" s="201">
        <v>9.3597000000000001</v>
      </c>
      <c r="I101" s="201">
        <f t="shared" si="13"/>
        <v>0.16579999999999906</v>
      </c>
      <c r="J101" s="201">
        <f t="shared" si="14"/>
        <v>3.7700000000000927E-2</v>
      </c>
      <c r="K101" s="280">
        <f t="shared" si="15"/>
        <v>18.525798525798983</v>
      </c>
      <c r="L101" s="201">
        <v>4</v>
      </c>
      <c r="M101" s="205">
        <v>43206</v>
      </c>
      <c r="N101" s="205">
        <v>43206</v>
      </c>
      <c r="O101" s="201"/>
      <c r="P101" s="201"/>
      <c r="AB101" s="110">
        <f>IFERROR(INDEX('WetLitterbags placem_collection'!$A$3:$A$500,MATCH(A101,'WetLitterbags placem_collection'!$K$4:$K$500,0)),"")</f>
        <v>82</v>
      </c>
      <c r="AC101" s="110" t="str">
        <f>IFERROR(INDEX('WetLitterbags placem_collection'!$A$3:$A$500,MATCH($A101,'WetLitterbags placem_collection'!$O$4:$O$500,0)),"")</f>
        <v/>
      </c>
      <c r="AD101" s="110" t="str">
        <f>IFERROR(INDEX('WetLitterbags placem_collection'!$A$3:$A$500,MATCH($A101,'WetLitterbags placem_collection'!$M$4:$M$500,0)),"")</f>
        <v/>
      </c>
      <c r="AE101" s="110" t="str">
        <f>IFERROR(INDEX('WetLitterbags placem_collection'!$A$3:$A$500,MATCH($A101,'WetLitterbags placem_collection'!$Q$4:$Q$500,0)),"")</f>
        <v/>
      </c>
    </row>
    <row r="102" spans="1:31">
      <c r="A102" s="201" t="s">
        <v>1554</v>
      </c>
      <c r="C102" s="201">
        <v>169</v>
      </c>
      <c r="D102" s="201">
        <v>0.37340000000000001</v>
      </c>
      <c r="E102" s="201">
        <v>11.0869</v>
      </c>
      <c r="F102" s="202">
        <v>0.20369999999999999</v>
      </c>
      <c r="G102" s="201">
        <f t="shared" si="12"/>
        <v>11.2906</v>
      </c>
      <c r="H102" s="201">
        <v>11.1061</v>
      </c>
      <c r="I102" s="197">
        <f t="shared" si="13"/>
        <v>0.18449999999999989</v>
      </c>
      <c r="J102" s="201">
        <f t="shared" si="14"/>
        <v>1.9200000000000106E-2</v>
      </c>
      <c r="K102" s="280">
        <f t="shared" si="15"/>
        <v>9.4256259204713331</v>
      </c>
      <c r="L102" s="201">
        <v>22</v>
      </c>
      <c r="M102" s="205">
        <v>43187</v>
      </c>
      <c r="N102" s="205">
        <v>43187</v>
      </c>
      <c r="O102" s="201"/>
      <c r="P102" s="201"/>
      <c r="AB102" s="110" t="str">
        <f>IFERROR(INDEX('WetLitterbags placem_collection'!$A$3:$A$500,MATCH(A102,'WetLitterbags placem_collection'!$K$4:$K$500,0)),"")</f>
        <v/>
      </c>
      <c r="AC102" s="110">
        <f>IFERROR(INDEX('WetLitterbags placem_collection'!$A$3:$A$500,MATCH($A102,'WetLitterbags placem_collection'!$O$4:$O$500,0)),"")</f>
        <v>168</v>
      </c>
      <c r="AD102" s="110" t="str">
        <f>IFERROR(INDEX('WetLitterbags placem_collection'!$A$3:$A$500,MATCH($A102,'WetLitterbags placem_collection'!$M$4:$M$500,0)),"")</f>
        <v/>
      </c>
      <c r="AE102" s="110" t="str">
        <f>IFERROR(INDEX('WetLitterbags placem_collection'!$A$3:$A$500,MATCH($A102,'WetLitterbags placem_collection'!$Q$4:$Q$500,0)),"")</f>
        <v/>
      </c>
    </row>
    <row r="103" spans="1:31">
      <c r="A103" s="197" t="s">
        <v>1553</v>
      </c>
      <c r="C103" s="197">
        <v>5</v>
      </c>
      <c r="D103" s="197">
        <v>0.27200000000000002</v>
      </c>
      <c r="E103" s="202">
        <v>8.7027000000000001</v>
      </c>
      <c r="F103" s="202">
        <v>0.20880000000000001</v>
      </c>
      <c r="G103" s="201">
        <f t="shared" si="12"/>
        <v>8.9115000000000002</v>
      </c>
      <c r="H103" s="201">
        <v>8.7432999999999996</v>
      </c>
      <c r="I103" s="201">
        <f t="shared" si="13"/>
        <v>0.16820000000000057</v>
      </c>
      <c r="J103" s="201">
        <f t="shared" si="14"/>
        <v>4.0599999999999442E-2</v>
      </c>
      <c r="K103" s="280">
        <f t="shared" si="15"/>
        <v>19.444444444444176</v>
      </c>
      <c r="L103" s="201">
        <v>12</v>
      </c>
      <c r="M103" s="204">
        <v>43221</v>
      </c>
      <c r="N103" s="204">
        <v>43221</v>
      </c>
      <c r="AB103" s="110">
        <f>IFERROR(INDEX('WetLitterbags placem_collection'!$A$3:$A$500,MATCH(A103,'WetLitterbags placem_collection'!$K$4:$K$500,0)),"")</f>
        <v>4</v>
      </c>
      <c r="AC103" s="110" t="str">
        <f>IFERROR(INDEX('WetLitterbags placem_collection'!$A$3:$A$500,MATCH($A103,'WetLitterbags placem_collection'!$O$4:$O$500,0)),"")</f>
        <v/>
      </c>
      <c r="AD103" s="110" t="str">
        <f>IFERROR(INDEX('WetLitterbags placem_collection'!$A$3:$A$500,MATCH($A103,'WetLitterbags placem_collection'!$M$4:$M$500,0)),"")</f>
        <v/>
      </c>
      <c r="AE103" s="110" t="str">
        <f>IFERROR(INDEX('WetLitterbags placem_collection'!$A$3:$A$500,MATCH($A103,'WetLitterbags placem_collection'!$Q$4:$Q$500,0)),"")</f>
        <v/>
      </c>
    </row>
    <row r="104" spans="1:31">
      <c r="A104" s="197" t="s">
        <v>1552</v>
      </c>
      <c r="C104" s="198">
        <v>73</v>
      </c>
      <c r="D104" s="197">
        <v>0.52549999999999997</v>
      </c>
      <c r="E104" s="201">
        <v>11.033200000000001</v>
      </c>
      <c r="F104" s="202">
        <v>0.19969999999999999</v>
      </c>
      <c r="G104" s="201">
        <f t="shared" si="12"/>
        <v>11.232900000000001</v>
      </c>
      <c r="H104" s="201">
        <v>11.0496</v>
      </c>
      <c r="I104" s="201">
        <f t="shared" si="13"/>
        <v>0.18330000000000091</v>
      </c>
      <c r="J104" s="201">
        <f t="shared" si="14"/>
        <v>1.6399999999999082E-2</v>
      </c>
      <c r="K104" s="280">
        <f t="shared" si="15"/>
        <v>8.2123184777161153</v>
      </c>
      <c r="L104" s="201">
        <v>6</v>
      </c>
      <c r="M104" s="204">
        <v>43213</v>
      </c>
      <c r="N104" s="204">
        <v>43213</v>
      </c>
      <c r="AB104" s="110" t="str">
        <f>IFERROR(INDEX('WetLitterbags placem_collection'!$A$3:$A$500,MATCH(A104,'WetLitterbags placem_collection'!$K$4:$K$500,0)),"")</f>
        <v/>
      </c>
      <c r="AC104" s="110">
        <f>IFERROR(INDEX('WetLitterbags placem_collection'!$A$3:$A$500,MATCH($A104,'WetLitterbags placem_collection'!$O$4:$O$500,0)),"")</f>
        <v>72</v>
      </c>
      <c r="AD104" s="110" t="str">
        <f>IFERROR(INDEX('WetLitterbags placem_collection'!$A$3:$A$500,MATCH($A104,'WetLitterbags placem_collection'!$M$4:$M$500,0)),"")</f>
        <v/>
      </c>
      <c r="AE104" s="110" t="str">
        <f>IFERROR(INDEX('WetLitterbags placem_collection'!$A$3:$A$500,MATCH($A104,'WetLitterbags placem_collection'!$Q$4:$Q$500,0)),"")</f>
        <v/>
      </c>
    </row>
    <row r="105" spans="1:31">
      <c r="A105" s="206" t="s">
        <v>1551</v>
      </c>
      <c r="C105" s="201">
        <v>38</v>
      </c>
      <c r="D105" s="201">
        <v>0.53339999999999999</v>
      </c>
      <c r="E105" s="202">
        <v>7.0739999999999998</v>
      </c>
      <c r="F105" s="202">
        <v>0.20050000000000001</v>
      </c>
      <c r="G105" s="201">
        <f t="shared" si="12"/>
        <v>7.2744999999999997</v>
      </c>
      <c r="H105" s="201">
        <v>7.1116999999999999</v>
      </c>
      <c r="I105" s="201">
        <f t="shared" si="13"/>
        <v>0.16279999999999983</v>
      </c>
      <c r="J105" s="201">
        <f t="shared" si="14"/>
        <v>3.7700000000000178E-2</v>
      </c>
      <c r="K105" s="280">
        <f t="shared" si="15"/>
        <v>18.802992518703331</v>
      </c>
      <c r="L105" s="201">
        <v>29</v>
      </c>
      <c r="M105" s="205">
        <v>43188</v>
      </c>
      <c r="N105" s="205">
        <v>43188</v>
      </c>
      <c r="O105" s="201"/>
      <c r="P105" s="201"/>
      <c r="AB105" s="110">
        <f>IFERROR(INDEX('WetLitterbags placem_collection'!$A$3:$A$500,MATCH(A105,'WetLitterbags placem_collection'!$K$4:$K$500,0)),"")</f>
        <v>37</v>
      </c>
      <c r="AC105" s="110" t="str">
        <f>IFERROR(INDEX('WetLitterbags placem_collection'!$A$3:$A$500,MATCH($A105,'WetLitterbags placem_collection'!$O$4:$O$500,0)),"")</f>
        <v/>
      </c>
      <c r="AD105" s="110" t="str">
        <f>IFERROR(INDEX('WetLitterbags placem_collection'!$A$3:$A$500,MATCH($A105,'WetLitterbags placem_collection'!$M$4:$M$500,0)),"")</f>
        <v/>
      </c>
      <c r="AE105" s="110" t="str">
        <f>IFERROR(INDEX('WetLitterbags placem_collection'!$A$3:$A$500,MATCH($A105,'WetLitterbags placem_collection'!$Q$4:$Q$500,0)),"")</f>
        <v/>
      </c>
    </row>
    <row r="106" spans="1:31">
      <c r="A106" s="197" t="s">
        <v>1550</v>
      </c>
      <c r="C106" s="197">
        <v>30</v>
      </c>
      <c r="D106" s="197">
        <v>0.42280000000000001</v>
      </c>
      <c r="E106" s="202">
        <v>7.8388999999999998</v>
      </c>
      <c r="F106" s="202">
        <v>0.2036</v>
      </c>
      <c r="G106" s="201">
        <f t="shared" si="12"/>
        <v>8.0425000000000004</v>
      </c>
      <c r="H106" s="201">
        <v>7.8612000000000002</v>
      </c>
      <c r="I106" s="201">
        <f t="shared" si="13"/>
        <v>0.18130000000000024</v>
      </c>
      <c r="J106" s="201">
        <f t="shared" si="14"/>
        <v>2.2299999999999764E-2</v>
      </c>
      <c r="K106" s="280">
        <f t="shared" si="15"/>
        <v>10.952848722986133</v>
      </c>
      <c r="L106" s="201">
        <v>2</v>
      </c>
      <c r="AB106" s="110" t="str">
        <f>IFERROR(INDEX('WetLitterbags placem_collection'!$A$3:$A$500,MATCH(A106,'WetLitterbags placem_collection'!$K$4:$K$500,0)),"")</f>
        <v/>
      </c>
      <c r="AC106" s="110">
        <f>IFERROR(INDEX('WetLitterbags placem_collection'!$A$3:$A$500,MATCH($A106,'WetLitterbags placem_collection'!$O$4:$O$500,0)),"")</f>
        <v>29</v>
      </c>
      <c r="AD106" s="110" t="str">
        <f>IFERROR(INDEX('WetLitterbags placem_collection'!$A$3:$A$500,MATCH($A106,'WetLitterbags placem_collection'!$M$4:$M$500,0)),"")</f>
        <v/>
      </c>
      <c r="AE106" s="110" t="str">
        <f>IFERROR(INDEX('WetLitterbags placem_collection'!$A$3:$A$500,MATCH($A106,'WetLitterbags placem_collection'!$Q$4:$Q$500,0)),"")</f>
        <v/>
      </c>
    </row>
    <row r="107" spans="1:31">
      <c r="A107" s="197" t="s">
        <v>1548</v>
      </c>
      <c r="C107" s="198">
        <v>28</v>
      </c>
      <c r="D107" s="197">
        <v>0.41510000000000002</v>
      </c>
      <c r="E107" s="202">
        <v>7.19</v>
      </c>
      <c r="F107" s="202">
        <v>0.20469999999999999</v>
      </c>
      <c r="G107" s="201">
        <f t="shared" si="12"/>
        <v>7.3947000000000003</v>
      </c>
      <c r="H107" s="201">
        <v>7.2107999999999999</v>
      </c>
      <c r="I107" s="201">
        <f t="shared" si="13"/>
        <v>0.1839000000000004</v>
      </c>
      <c r="J107" s="201">
        <f t="shared" si="14"/>
        <v>2.0799999999999597E-2</v>
      </c>
      <c r="K107" s="280">
        <f t="shared" si="15"/>
        <v>10.16121152906673</v>
      </c>
      <c r="L107" s="201">
        <v>1</v>
      </c>
      <c r="M107" s="204">
        <v>43221</v>
      </c>
      <c r="N107" s="204">
        <v>43221</v>
      </c>
      <c r="AB107" s="110" t="str">
        <f>IFERROR(INDEX('WetLitterbags placem_collection'!$A$3:$A$500,MATCH(A107,'WetLitterbags placem_collection'!$K$4:$K$500,0)),"")</f>
        <v/>
      </c>
      <c r="AC107" s="110">
        <f>IFERROR(INDEX('WetLitterbags placem_collection'!$A$3:$A$500,MATCH($A107,'WetLitterbags placem_collection'!$O$4:$O$500,0)),"")</f>
        <v>27</v>
      </c>
      <c r="AD107" s="110" t="str">
        <f>IFERROR(INDEX('WetLitterbags placem_collection'!$A$3:$A$500,MATCH($A107,'WetLitterbags placem_collection'!$M$4:$M$500,0)),"")</f>
        <v/>
      </c>
      <c r="AE107" s="110" t="str">
        <f>IFERROR(INDEX('WetLitterbags placem_collection'!$A$3:$A$500,MATCH($A107,'WetLitterbags placem_collection'!$Q$4:$Q$500,0)),"")</f>
        <v/>
      </c>
    </row>
    <row r="108" spans="1:31">
      <c r="A108" s="206" t="s">
        <v>1547</v>
      </c>
      <c r="C108" s="197">
        <v>14</v>
      </c>
      <c r="D108" s="202">
        <v>0.31840000000000002</v>
      </c>
      <c r="E108" s="202">
        <v>9.2353000000000005</v>
      </c>
      <c r="F108" s="202">
        <v>0.20200000000000001</v>
      </c>
      <c r="G108" s="201">
        <f t="shared" si="12"/>
        <v>9.4373000000000005</v>
      </c>
      <c r="H108" s="201">
        <v>9.2614999999999998</v>
      </c>
      <c r="I108" s="201">
        <f t="shared" si="13"/>
        <v>0.17580000000000062</v>
      </c>
      <c r="J108" s="201">
        <f t="shared" si="14"/>
        <v>2.619999999999939E-2</v>
      </c>
      <c r="K108" s="280">
        <f t="shared" si="15"/>
        <v>12.970297029702667</v>
      </c>
      <c r="L108" s="201">
        <v>26</v>
      </c>
      <c r="M108" s="205">
        <v>43199</v>
      </c>
      <c r="N108" s="205">
        <v>43199</v>
      </c>
      <c r="O108" s="201"/>
      <c r="P108" s="201"/>
      <c r="AB108" s="110" t="str">
        <f>IFERROR(INDEX('WetLitterbags placem_collection'!$A$3:$A$500,MATCH(A108,'WetLitterbags placem_collection'!$K$4:$K$500,0)),"")</f>
        <v/>
      </c>
      <c r="AC108" s="110">
        <f>IFERROR(INDEX('WetLitterbags placem_collection'!$A$3:$A$500,MATCH($A108,'WetLitterbags placem_collection'!$O$4:$O$500,0)),"")</f>
        <v>13</v>
      </c>
      <c r="AD108" s="110" t="str">
        <f>IFERROR(INDEX('WetLitterbags placem_collection'!$A$3:$A$500,MATCH($A108,'WetLitterbags placem_collection'!$M$4:$M$500,0)),"")</f>
        <v/>
      </c>
      <c r="AE108" s="110" t="str">
        <f>IFERROR(INDEX('WetLitterbags placem_collection'!$A$3:$A$500,MATCH($A108,'WetLitterbags placem_collection'!$Q$4:$Q$500,0)),"")</f>
        <v/>
      </c>
    </row>
    <row r="109" spans="1:31">
      <c r="A109" s="201" t="s">
        <v>1546</v>
      </c>
      <c r="C109" s="201">
        <v>171</v>
      </c>
      <c r="D109" s="201">
        <v>0.36259999999999998</v>
      </c>
      <c r="E109" s="202">
        <v>8.8628999999999998</v>
      </c>
      <c r="F109" s="202">
        <v>0.20030000000000001</v>
      </c>
      <c r="G109" s="201">
        <f t="shared" si="12"/>
        <v>9.0632000000000001</v>
      </c>
      <c r="H109" s="201">
        <v>8.8802000000000003</v>
      </c>
      <c r="I109" s="201">
        <f t="shared" si="13"/>
        <v>0.18299999999999983</v>
      </c>
      <c r="J109" s="201">
        <f t="shared" si="14"/>
        <v>1.7300000000000176E-2</v>
      </c>
      <c r="K109" s="280">
        <f t="shared" si="15"/>
        <v>8.6370444333500629</v>
      </c>
      <c r="L109" s="201">
        <v>10</v>
      </c>
      <c r="M109" s="205">
        <v>43174</v>
      </c>
      <c r="N109" s="205">
        <v>43174</v>
      </c>
      <c r="O109" s="201" t="s">
        <v>2556</v>
      </c>
      <c r="P109" s="201" t="s">
        <v>2551</v>
      </c>
      <c r="AB109" s="110" t="str">
        <f>IFERROR(INDEX('WetLitterbags placem_collection'!$A$3:$A$500,MATCH(A109,'WetLitterbags placem_collection'!$K$4:$K$500,0)),"")</f>
        <v/>
      </c>
      <c r="AC109" s="110">
        <f>IFERROR(INDEX('WetLitterbags placem_collection'!$A$3:$A$500,MATCH($A109,'WetLitterbags placem_collection'!$O$4:$O$500,0)),"")</f>
        <v>170</v>
      </c>
      <c r="AD109" s="110" t="str">
        <f>IFERROR(INDEX('WetLitterbags placem_collection'!$A$3:$A$500,MATCH($A109,'WetLitterbags placem_collection'!$M$4:$M$500,0)),"")</f>
        <v/>
      </c>
      <c r="AE109" s="110" t="str">
        <f>IFERROR(INDEX('WetLitterbags placem_collection'!$A$3:$A$500,MATCH($A109,'WetLitterbags placem_collection'!$Q$4:$Q$500,0)),"")</f>
        <v/>
      </c>
    </row>
    <row r="110" spans="1:31">
      <c r="A110" s="197" t="s">
        <v>1545</v>
      </c>
      <c r="C110" s="197">
        <v>20</v>
      </c>
      <c r="D110" s="197">
        <v>0.4824</v>
      </c>
      <c r="E110" s="197">
        <v>7.7733999999999996</v>
      </c>
      <c r="F110" s="197">
        <v>0.20100000000000001</v>
      </c>
      <c r="G110" s="197">
        <f t="shared" si="12"/>
        <v>7.9743999999999993</v>
      </c>
      <c r="H110" s="197">
        <v>7.7953999999999999</v>
      </c>
      <c r="I110" s="197">
        <f t="shared" si="13"/>
        <v>0.17899999999999938</v>
      </c>
      <c r="J110" s="201">
        <f t="shared" si="14"/>
        <v>2.200000000000063E-2</v>
      </c>
      <c r="K110" s="280">
        <f t="shared" si="15"/>
        <v>10.945273631841108</v>
      </c>
      <c r="L110" s="197">
        <v>8</v>
      </c>
      <c r="M110" s="197" t="s">
        <v>2586</v>
      </c>
      <c r="N110" s="197" t="s">
        <v>2585</v>
      </c>
      <c r="O110" s="197" t="s">
        <v>2550</v>
      </c>
      <c r="AB110" s="110" t="str">
        <f>IFERROR(INDEX('WetLitterbags placem_collection'!$A$3:$A$500,MATCH(A110,'WetLitterbags placem_collection'!$K$4:$K$500,0)),"")</f>
        <v/>
      </c>
      <c r="AC110" s="110">
        <f>IFERROR(INDEX('WetLitterbags placem_collection'!$A$3:$A$500,MATCH($A110,'WetLitterbags placem_collection'!$O$4:$O$500,0)),"")</f>
        <v>19</v>
      </c>
      <c r="AD110" s="110" t="str">
        <f>IFERROR(INDEX('WetLitterbags placem_collection'!$A$3:$A$500,MATCH($A110,'WetLitterbags placem_collection'!$M$4:$M$500,0)),"")</f>
        <v/>
      </c>
      <c r="AE110" s="110" t="str">
        <f>IFERROR(INDEX('WetLitterbags placem_collection'!$A$3:$A$500,MATCH($A110,'WetLitterbags placem_collection'!$Q$4:$Q$500,0)),"")</f>
        <v/>
      </c>
    </row>
    <row r="111" spans="1:31">
      <c r="A111" s="197" t="s">
        <v>1544</v>
      </c>
      <c r="C111" s="198">
        <v>26</v>
      </c>
      <c r="D111" s="197">
        <v>0.47610000000000002</v>
      </c>
      <c r="E111" s="202">
        <v>10.617699999999999</v>
      </c>
      <c r="F111" s="202">
        <v>0.2009</v>
      </c>
      <c r="G111" s="201">
        <f t="shared" si="12"/>
        <v>10.8186</v>
      </c>
      <c r="H111" s="201">
        <v>10.6349</v>
      </c>
      <c r="I111" s="201">
        <f t="shared" si="13"/>
        <v>0.18369999999999997</v>
      </c>
      <c r="J111" s="201">
        <f t="shared" si="14"/>
        <v>1.7200000000000021E-2</v>
      </c>
      <c r="K111" s="280">
        <f t="shared" si="15"/>
        <v>8.561473369835749</v>
      </c>
      <c r="L111" s="201">
        <v>31</v>
      </c>
      <c r="M111" s="204">
        <v>43221</v>
      </c>
      <c r="N111" s="204">
        <v>43221</v>
      </c>
      <c r="AB111" s="110" t="str">
        <f>IFERROR(INDEX('WetLitterbags placem_collection'!$A$3:$A$500,MATCH(A111,'WetLitterbags placem_collection'!$K$4:$K$500,0)),"")</f>
        <v/>
      </c>
      <c r="AC111" s="110">
        <f>IFERROR(INDEX('WetLitterbags placem_collection'!$A$3:$A$500,MATCH($A111,'WetLitterbags placem_collection'!$O$4:$O$500,0)),"")</f>
        <v>25</v>
      </c>
      <c r="AD111" s="110" t="str">
        <f>IFERROR(INDEX('WetLitterbags placem_collection'!$A$3:$A$500,MATCH($A111,'WetLitterbags placem_collection'!$M$4:$M$500,0)),"")</f>
        <v/>
      </c>
      <c r="AE111" s="110" t="str">
        <f>IFERROR(INDEX('WetLitterbags placem_collection'!$A$3:$A$500,MATCH($A111,'WetLitterbags placem_collection'!$Q$4:$Q$500,0)),"")</f>
        <v/>
      </c>
    </row>
    <row r="112" spans="1:31">
      <c r="A112" s="206" t="s">
        <v>1543</v>
      </c>
      <c r="C112" s="201">
        <v>36</v>
      </c>
      <c r="D112" s="202">
        <v>0.48480000000000001</v>
      </c>
      <c r="E112" s="202">
        <v>10.521000000000001</v>
      </c>
      <c r="F112" s="202">
        <v>0.20599999999999999</v>
      </c>
      <c r="G112" s="201">
        <f t="shared" si="12"/>
        <v>10.727</v>
      </c>
      <c r="H112" s="201">
        <v>10.5381</v>
      </c>
      <c r="I112" s="201">
        <f t="shared" si="13"/>
        <v>0.18890000000000029</v>
      </c>
      <c r="J112" s="201">
        <f t="shared" si="14"/>
        <v>1.7099999999999699E-2</v>
      </c>
      <c r="K112" s="280">
        <f t="shared" si="15"/>
        <v>8.3009708737862624</v>
      </c>
      <c r="L112" s="201">
        <v>23</v>
      </c>
      <c r="M112" s="205">
        <v>43199</v>
      </c>
      <c r="N112" s="205">
        <v>43199</v>
      </c>
      <c r="O112" s="201"/>
      <c r="P112" s="206" t="s">
        <v>2595</v>
      </c>
      <c r="AB112" s="110">
        <f>IFERROR(INDEX('WetLitterbags placem_collection'!$A$3:$A$500,MATCH(A112,'WetLitterbags placem_collection'!$K$4:$K$500,0)),"")</f>
        <v>35</v>
      </c>
      <c r="AC112" s="110" t="str">
        <f>IFERROR(INDEX('WetLitterbags placem_collection'!$A$3:$A$500,MATCH($A112,'WetLitterbags placem_collection'!$O$4:$O$500,0)),"")</f>
        <v/>
      </c>
      <c r="AD112" s="110" t="str">
        <f>IFERROR(INDEX('WetLitterbags placem_collection'!$A$3:$A$500,MATCH($A112,'WetLitterbags placem_collection'!$M$4:$M$500,0)),"")</f>
        <v/>
      </c>
      <c r="AE112" s="110" t="str">
        <f>IFERROR(INDEX('WetLitterbags placem_collection'!$A$3:$A$500,MATCH($A112,'WetLitterbags placem_collection'!$Q$4:$Q$500,0)),"")</f>
        <v/>
      </c>
    </row>
    <row r="113" spans="1:31">
      <c r="A113" s="206" t="s">
        <v>1542</v>
      </c>
      <c r="C113" s="201">
        <v>208</v>
      </c>
      <c r="D113" s="201">
        <v>0.60719999999999996</v>
      </c>
      <c r="E113" s="201">
        <v>7.0932000000000004</v>
      </c>
      <c r="F113" s="201">
        <v>0.20119999999999999</v>
      </c>
      <c r="G113" s="201">
        <f t="shared" si="12"/>
        <v>7.2944000000000004</v>
      </c>
      <c r="H113" s="201">
        <v>7.1178999999999997</v>
      </c>
      <c r="I113" s="201">
        <f t="shared" si="13"/>
        <v>0.17650000000000077</v>
      </c>
      <c r="J113" s="201">
        <f t="shared" si="14"/>
        <v>2.4699999999999223E-2</v>
      </c>
      <c r="K113" s="280">
        <f t="shared" si="15"/>
        <v>12.276341948309753</v>
      </c>
      <c r="L113" s="201">
        <v>7</v>
      </c>
      <c r="M113" s="203">
        <v>43171.520833333336</v>
      </c>
      <c r="N113" s="203">
        <v>43171.6875</v>
      </c>
      <c r="O113" s="197" t="s">
        <v>2550</v>
      </c>
      <c r="P113" s="201"/>
      <c r="AB113" s="110" t="str">
        <f>IFERROR(INDEX('WetLitterbags placem_collection'!$A$3:$A$500,MATCH(A113,'WetLitterbags placem_collection'!$K$4:$K$500,0)),"")</f>
        <v/>
      </c>
      <c r="AC113" s="110">
        <f>IFERROR(INDEX('WetLitterbags placem_collection'!$A$3:$A$500,MATCH($A113,'WetLitterbags placem_collection'!$O$4:$O$500,0)),"")</f>
        <v>207</v>
      </c>
      <c r="AD113" s="110" t="str">
        <f>IFERROR(INDEX('WetLitterbags placem_collection'!$A$3:$A$500,MATCH($A113,'WetLitterbags placem_collection'!$M$4:$M$500,0)),"")</f>
        <v/>
      </c>
      <c r="AE113" s="110" t="str">
        <f>IFERROR(INDEX('WetLitterbags placem_collection'!$A$3:$A$500,MATCH($A113,'WetLitterbags placem_collection'!$Q$4:$Q$500,0)),"")</f>
        <v/>
      </c>
    </row>
    <row r="114" spans="1:31">
      <c r="A114" t="s">
        <v>1541</v>
      </c>
      <c r="C114">
        <v>77</v>
      </c>
      <c r="D114">
        <v>0.77639999999999998</v>
      </c>
      <c r="E114">
        <v>11.032999999999999</v>
      </c>
      <c r="F114">
        <v>0.20580000000000001</v>
      </c>
      <c r="G114">
        <v>9.0523000000000007</v>
      </c>
      <c r="H114">
        <v>0.21</v>
      </c>
      <c r="I114">
        <f>G114+H114</f>
        <v>9.2623000000000015</v>
      </c>
      <c r="J114">
        <v>9.0776000000000003</v>
      </c>
      <c r="K114">
        <f>I114-J114</f>
        <v>0.1847000000000012</v>
      </c>
      <c r="L114">
        <v>34</v>
      </c>
      <c r="M114">
        <v>43187</v>
      </c>
      <c r="N114">
        <v>43187</v>
      </c>
      <c r="O114"/>
      <c r="P114"/>
      <c r="Q114"/>
      <c r="R114"/>
      <c r="AB114" s="110" t="str">
        <f>IFERROR(INDEX('WetLitterbags placem_collection'!$A$3:$A$500,MATCH(A114,'WetLitterbags placem_collection'!$K$4:$K$500,0)),"")</f>
        <v/>
      </c>
      <c r="AC114" s="110">
        <f>IFERROR(INDEX('WetLitterbags placem_collection'!$A$3:$A$500,MATCH($A114,'WetLitterbags placem_collection'!$O$4:$O$500,0)),"")</f>
        <v>76</v>
      </c>
      <c r="AD114" s="110" t="str">
        <f>IFERROR(INDEX('WetLitterbags placem_collection'!$A$3:$A$500,MATCH($A114,'WetLitterbags placem_collection'!$M$4:$M$500,0)),"")</f>
        <v/>
      </c>
      <c r="AE114" s="110" t="str">
        <f>IFERROR(INDEX('WetLitterbags placem_collection'!$A$3:$A$500,MATCH($A114,'WetLitterbags placem_collection'!$Q$4:$Q$500,0)),"")</f>
        <v/>
      </c>
    </row>
    <row r="115" spans="1:31">
      <c r="A115" s="197" t="s">
        <v>1539</v>
      </c>
      <c r="C115" s="197">
        <v>71</v>
      </c>
      <c r="D115" s="197">
        <v>0.65559999999999996</v>
      </c>
      <c r="E115" s="202">
        <v>8.1356999999999999</v>
      </c>
      <c r="F115" s="202">
        <v>0.20030000000000001</v>
      </c>
      <c r="G115" s="201">
        <f t="shared" ref="G115:G178" si="16">E115+F115</f>
        <v>8.3360000000000003</v>
      </c>
      <c r="H115" s="201">
        <v>8.1544000000000008</v>
      </c>
      <c r="I115" s="201">
        <f t="shared" ref="I115:I178" si="17">(G115-H115)</f>
        <v>0.18159999999999954</v>
      </c>
      <c r="J115" s="201">
        <f t="shared" ref="J115:J178" si="18">F115-I115</f>
        <v>1.8700000000000466E-2</v>
      </c>
      <c r="K115" s="280">
        <f t="shared" ref="K115:K178" si="19">(J115/F115)*100</f>
        <v>9.3359960059912463</v>
      </c>
      <c r="L115" s="201">
        <v>18</v>
      </c>
      <c r="AB115" s="110">
        <f>IFERROR(INDEX('WetLitterbags placem_collection'!$A$3:$A$500,MATCH(A115,'WetLitterbags placem_collection'!$K$4:$K$500,0)),"")</f>
        <v>70</v>
      </c>
      <c r="AC115" s="110" t="str">
        <f>IFERROR(INDEX('WetLitterbags placem_collection'!$A$3:$A$500,MATCH($A115,'WetLitterbags placem_collection'!$O$4:$O$500,0)),"")</f>
        <v/>
      </c>
      <c r="AD115" s="110" t="str">
        <f>IFERROR(INDEX('WetLitterbags placem_collection'!$A$3:$A$500,MATCH($A115,'WetLitterbags placem_collection'!$M$4:$M$500,0)),"")</f>
        <v/>
      </c>
      <c r="AE115" s="110" t="str">
        <f>IFERROR(INDEX('WetLitterbags placem_collection'!$A$3:$A$500,MATCH($A115,'WetLitterbags placem_collection'!$Q$4:$Q$500,0)),"")</f>
        <v/>
      </c>
    </row>
    <row r="116" spans="1:31">
      <c r="A116" s="197" t="s">
        <v>1538</v>
      </c>
      <c r="C116" s="201">
        <v>47</v>
      </c>
      <c r="D116" s="201">
        <v>0.56459999999999999</v>
      </c>
      <c r="E116" s="201">
        <v>8.7022999999999993</v>
      </c>
      <c r="F116" s="202">
        <v>0.19969999999999999</v>
      </c>
      <c r="G116" s="201">
        <f t="shared" si="16"/>
        <v>8.9019999999999992</v>
      </c>
      <c r="H116" s="201">
        <v>8.7187000000000001</v>
      </c>
      <c r="I116" s="201">
        <f t="shared" si="17"/>
        <v>0.18329999999999913</v>
      </c>
      <c r="J116" s="201">
        <f t="shared" si="18"/>
        <v>1.6400000000000858E-2</v>
      </c>
      <c r="K116" s="280">
        <f t="shared" si="19"/>
        <v>8.2123184777170053</v>
      </c>
      <c r="L116" s="201">
        <v>20</v>
      </c>
      <c r="M116" s="205">
        <v>43211</v>
      </c>
      <c r="AB116" s="110" t="str">
        <f>IFERROR(INDEX('WetLitterbags placem_collection'!$A$3:$A$500,MATCH(A116,'WetLitterbags placem_collection'!$K$4:$K$500,0)),"")</f>
        <v/>
      </c>
      <c r="AC116" s="110">
        <f>IFERROR(INDEX('WetLitterbags placem_collection'!$A$3:$A$500,MATCH($A116,'WetLitterbags placem_collection'!$O$4:$O$500,0)),"")</f>
        <v>46</v>
      </c>
      <c r="AD116" s="110" t="str">
        <f>IFERROR(INDEX('WetLitterbags placem_collection'!$A$3:$A$500,MATCH($A116,'WetLitterbags placem_collection'!$M$4:$M$500,0)),"")</f>
        <v/>
      </c>
      <c r="AE116" s="110" t="str">
        <f>IFERROR(INDEX('WetLitterbags placem_collection'!$A$3:$A$500,MATCH($A116,'WetLitterbags placem_collection'!$Q$4:$Q$500,0)),"")</f>
        <v/>
      </c>
    </row>
    <row r="117" spans="1:31">
      <c r="A117" s="197" t="s">
        <v>1537</v>
      </c>
      <c r="C117" s="197">
        <v>58</v>
      </c>
      <c r="D117" s="197">
        <v>0.69220000000000004</v>
      </c>
      <c r="E117" s="197">
        <v>7.0768000000000004</v>
      </c>
      <c r="F117" s="197">
        <v>0.2016</v>
      </c>
      <c r="G117" s="197">
        <f t="shared" si="16"/>
        <v>7.2784000000000004</v>
      </c>
      <c r="H117" s="197">
        <v>7.1125999999999996</v>
      </c>
      <c r="I117" s="197">
        <f t="shared" si="17"/>
        <v>0.16580000000000084</v>
      </c>
      <c r="J117" s="201">
        <f t="shared" si="18"/>
        <v>3.5799999999999166E-2</v>
      </c>
      <c r="K117" s="280">
        <f t="shared" si="19"/>
        <v>17.757936507936094</v>
      </c>
      <c r="L117" s="197">
        <v>38</v>
      </c>
      <c r="M117" s="197" t="s">
        <v>2586</v>
      </c>
      <c r="N117" s="197" t="s">
        <v>2585</v>
      </c>
      <c r="O117" s="197" t="s">
        <v>2550</v>
      </c>
      <c r="U117" s="202" t="s">
        <v>1101</v>
      </c>
      <c r="V117" s="197">
        <v>1.7727999999999999</v>
      </c>
      <c r="W117" s="197">
        <f>(V117-$T$175+F115)</f>
        <v>1.9730999999999999</v>
      </c>
      <c r="AB117" s="110">
        <f>IFERROR(INDEX('WetLitterbags placem_collection'!$A$3:$A$500,MATCH(A117,'WetLitterbags placem_collection'!$K$4:$K$500,0)),"")</f>
        <v>57</v>
      </c>
      <c r="AC117" s="110" t="str">
        <f>IFERROR(INDEX('WetLitterbags placem_collection'!$A$3:$A$500,MATCH($A117,'WetLitterbags placem_collection'!$O$4:$O$500,0)),"")</f>
        <v/>
      </c>
      <c r="AD117" s="110" t="str">
        <f>IFERROR(INDEX('WetLitterbags placem_collection'!$A$3:$A$500,MATCH($A117,'WetLitterbags placem_collection'!$M$4:$M$500,0)),"")</f>
        <v/>
      </c>
      <c r="AE117" s="110" t="str">
        <f>IFERROR(INDEX('WetLitterbags placem_collection'!$A$3:$A$500,MATCH($A117,'WetLitterbags placem_collection'!$Q$4:$Q$500,0)),"")</f>
        <v/>
      </c>
    </row>
    <row r="118" spans="1:31">
      <c r="A118" s="197" t="s">
        <v>1536</v>
      </c>
      <c r="C118" s="198">
        <v>9</v>
      </c>
      <c r="D118" s="197">
        <v>0.43419999999999997</v>
      </c>
      <c r="E118" s="202">
        <v>9.7262000000000004</v>
      </c>
      <c r="F118" s="202">
        <v>0.20660000000000001</v>
      </c>
      <c r="G118" s="201">
        <f t="shared" si="16"/>
        <v>9.9328000000000003</v>
      </c>
      <c r="H118" s="201">
        <v>9.7454000000000001</v>
      </c>
      <c r="I118" s="201">
        <f t="shared" si="17"/>
        <v>0.18740000000000023</v>
      </c>
      <c r="J118" s="201">
        <f t="shared" si="18"/>
        <v>1.9199999999999773E-2</v>
      </c>
      <c r="K118" s="280">
        <f t="shared" si="19"/>
        <v>9.2933204259437421</v>
      </c>
      <c r="L118" s="201">
        <v>14</v>
      </c>
      <c r="M118" s="204">
        <v>43221</v>
      </c>
      <c r="N118" s="204">
        <v>43221</v>
      </c>
      <c r="AB118" s="110">
        <f>IFERROR(INDEX('WetLitterbags placem_collection'!$A$3:$A$500,MATCH(A118,'WetLitterbags placem_collection'!$K$4:$K$500,0)),"")</f>
        <v>8</v>
      </c>
      <c r="AC118" s="110" t="str">
        <f>IFERROR(INDEX('WetLitterbags placem_collection'!$A$3:$A$500,MATCH($A118,'WetLitterbags placem_collection'!$O$4:$O$500,0)),"")</f>
        <v/>
      </c>
      <c r="AD118" s="110" t="str">
        <f>IFERROR(INDEX('WetLitterbags placem_collection'!$A$3:$A$500,MATCH($A118,'WetLitterbags placem_collection'!$M$4:$M$500,0)),"")</f>
        <v/>
      </c>
      <c r="AE118" s="110" t="str">
        <f>IFERROR(INDEX('WetLitterbags placem_collection'!$A$3:$A$500,MATCH($A118,'WetLitterbags placem_collection'!$Q$4:$Q$500,0)),"")</f>
        <v/>
      </c>
    </row>
    <row r="119" spans="1:31">
      <c r="A119" s="197" t="s">
        <v>1534</v>
      </c>
      <c r="C119" s="197">
        <v>34</v>
      </c>
      <c r="D119" s="197">
        <v>0.70489999999999997</v>
      </c>
      <c r="E119" s="197">
        <v>8.8455999999999992</v>
      </c>
      <c r="F119" s="197">
        <v>0.20119999999999999</v>
      </c>
      <c r="G119" s="197">
        <f t="shared" si="16"/>
        <v>9.0467999999999993</v>
      </c>
      <c r="H119" s="197">
        <v>8.9246999999999996</v>
      </c>
      <c r="I119" s="197">
        <f t="shared" si="17"/>
        <v>0.12209999999999965</v>
      </c>
      <c r="J119" s="201">
        <f t="shared" si="18"/>
        <v>7.9100000000000337E-2</v>
      </c>
      <c r="K119" s="280">
        <f t="shared" si="19"/>
        <v>39.314115308151266</v>
      </c>
      <c r="L119" s="197">
        <v>11</v>
      </c>
      <c r="M119" s="197" t="s">
        <v>2586</v>
      </c>
      <c r="N119" s="197" t="s">
        <v>2585</v>
      </c>
      <c r="O119" s="197" t="s">
        <v>2550</v>
      </c>
      <c r="AB119" s="110">
        <f>IFERROR(INDEX('WetLitterbags placem_collection'!$A$3:$A$500,MATCH(A119,'WetLitterbags placem_collection'!$K$4:$K$500,0)),"")</f>
        <v>33</v>
      </c>
      <c r="AC119" s="110" t="str">
        <f>IFERROR(INDEX('WetLitterbags placem_collection'!$A$3:$A$500,MATCH($A119,'WetLitterbags placem_collection'!$O$4:$O$500,0)),"")</f>
        <v/>
      </c>
      <c r="AD119" s="110" t="str">
        <f>IFERROR(INDEX('WetLitterbags placem_collection'!$A$3:$A$500,MATCH($A119,'WetLitterbags placem_collection'!$M$4:$M$500,0)),"")</f>
        <v/>
      </c>
      <c r="AE119" s="110" t="str">
        <f>IFERROR(INDEX('WetLitterbags placem_collection'!$A$3:$A$500,MATCH($A119,'WetLitterbags placem_collection'!$Q$4:$Q$500,0)),"")</f>
        <v/>
      </c>
    </row>
    <row r="120" spans="1:31">
      <c r="A120" s="197" t="s">
        <v>1532</v>
      </c>
      <c r="C120" s="197">
        <v>30</v>
      </c>
      <c r="D120" s="197">
        <v>0.4824</v>
      </c>
      <c r="E120" s="202">
        <v>11.003</v>
      </c>
      <c r="F120" s="202">
        <v>0.20799999999999999</v>
      </c>
      <c r="G120" s="201">
        <f t="shared" si="16"/>
        <v>11.211</v>
      </c>
      <c r="H120" s="201">
        <v>11.0259</v>
      </c>
      <c r="I120" s="201">
        <f t="shared" si="17"/>
        <v>0.18510000000000026</v>
      </c>
      <c r="J120" s="201">
        <f t="shared" si="18"/>
        <v>2.2899999999999726E-2</v>
      </c>
      <c r="K120" s="280">
        <f t="shared" si="19"/>
        <v>11.009615384615254</v>
      </c>
      <c r="L120" s="201">
        <v>7</v>
      </c>
      <c r="M120" s="204">
        <v>43221</v>
      </c>
      <c r="N120" s="204">
        <v>43221</v>
      </c>
      <c r="AB120" s="110">
        <f>IFERROR(INDEX('WetLitterbags placem_collection'!$A$3:$A$500,MATCH(A120,'WetLitterbags placem_collection'!$K$4:$K$500,0)),"")</f>
        <v>29</v>
      </c>
      <c r="AC120" s="110" t="str">
        <f>IFERROR(INDEX('WetLitterbags placem_collection'!$A$3:$A$500,MATCH($A120,'WetLitterbags placem_collection'!$O$4:$O$500,0)),"")</f>
        <v/>
      </c>
      <c r="AD120" s="110" t="str">
        <f>IFERROR(INDEX('WetLitterbags placem_collection'!$A$3:$A$500,MATCH($A120,'WetLitterbags placem_collection'!$M$4:$M$500,0)),"")</f>
        <v/>
      </c>
      <c r="AE120" s="110" t="str">
        <f>IFERROR(INDEX('WetLitterbags placem_collection'!$A$3:$A$500,MATCH($A120,'WetLitterbags placem_collection'!$Q$4:$Q$500,0)),"")</f>
        <v/>
      </c>
    </row>
    <row r="121" spans="1:31">
      <c r="A121" s="197" t="s">
        <v>1531</v>
      </c>
      <c r="C121" s="197">
        <v>45</v>
      </c>
      <c r="D121" s="197">
        <v>0.56710000000000005</v>
      </c>
      <c r="E121" s="197">
        <v>9.0525000000000002</v>
      </c>
      <c r="F121" s="197">
        <v>0.20050000000000001</v>
      </c>
      <c r="G121" s="197">
        <f t="shared" si="16"/>
        <v>9.2530000000000001</v>
      </c>
      <c r="H121" s="197">
        <v>9.0713000000000008</v>
      </c>
      <c r="I121" s="197">
        <f t="shared" si="17"/>
        <v>0.18169999999999931</v>
      </c>
      <c r="J121" s="201">
        <f t="shared" si="18"/>
        <v>1.8800000000000705E-2</v>
      </c>
      <c r="K121" s="280">
        <f t="shared" si="19"/>
        <v>9.376558603491624</v>
      </c>
      <c r="L121" s="197">
        <v>19</v>
      </c>
      <c r="M121" s="197" t="s">
        <v>2586</v>
      </c>
      <c r="N121" s="197" t="s">
        <v>2585</v>
      </c>
      <c r="O121" s="197" t="s">
        <v>2550</v>
      </c>
      <c r="AB121" s="110">
        <f>IFERROR(INDEX('WetLitterbags placem_collection'!$A$3:$A$500,MATCH(A121,'WetLitterbags placem_collection'!$K$4:$K$500,0)),"")</f>
        <v>44</v>
      </c>
      <c r="AC121" s="110" t="str">
        <f>IFERROR(INDEX('WetLitterbags placem_collection'!$A$3:$A$500,MATCH($A121,'WetLitterbags placem_collection'!$O$4:$O$500,0)),"")</f>
        <v/>
      </c>
      <c r="AD121" s="110" t="str">
        <f>IFERROR(INDEX('WetLitterbags placem_collection'!$A$3:$A$500,MATCH($A121,'WetLitterbags placem_collection'!$M$4:$M$500,0)),"")</f>
        <v/>
      </c>
      <c r="AE121" s="110" t="str">
        <f>IFERROR(INDEX('WetLitterbags placem_collection'!$A$3:$A$500,MATCH($A121,'WetLitterbags placem_collection'!$Q$4:$Q$500,0)),"")</f>
        <v/>
      </c>
    </row>
    <row r="122" spans="1:31">
      <c r="A122" s="206" t="s">
        <v>1530</v>
      </c>
      <c r="C122" s="201">
        <v>84</v>
      </c>
      <c r="D122" s="201">
        <v>0.59250000000000003</v>
      </c>
      <c r="E122" s="202">
        <v>10.702500000000001</v>
      </c>
      <c r="F122" s="202">
        <v>0.20050000000000001</v>
      </c>
      <c r="G122" s="201">
        <f t="shared" si="16"/>
        <v>10.903</v>
      </c>
      <c r="H122" s="201">
        <v>10.724</v>
      </c>
      <c r="I122" s="201">
        <f t="shared" si="17"/>
        <v>0.17900000000000027</v>
      </c>
      <c r="J122" s="201">
        <f t="shared" si="18"/>
        <v>2.1499999999999742E-2</v>
      </c>
      <c r="K122" s="280">
        <f t="shared" si="19"/>
        <v>10.723192019949995</v>
      </c>
      <c r="L122" s="201">
        <v>5</v>
      </c>
      <c r="M122" s="207">
        <v>43186.458333333336</v>
      </c>
      <c r="N122" s="207">
        <v>43186.625</v>
      </c>
      <c r="O122" s="197" t="s">
        <v>2550</v>
      </c>
      <c r="P122" s="201"/>
      <c r="AB122" s="110" t="str">
        <f>IFERROR(INDEX('WetLitterbags placem_collection'!$A$3:$A$500,MATCH(A122,'WetLitterbags placem_collection'!$K$4:$K$500,0)),"")</f>
        <v/>
      </c>
      <c r="AC122" s="110">
        <f>IFERROR(INDEX('WetLitterbags placem_collection'!$A$3:$A$500,MATCH($A122,'WetLitterbags placem_collection'!$O$4:$O$500,0)),"")</f>
        <v>83</v>
      </c>
      <c r="AD122" s="110" t="str">
        <f>IFERROR(INDEX('WetLitterbags placem_collection'!$A$3:$A$500,MATCH($A122,'WetLitterbags placem_collection'!$M$4:$M$500,0)),"")</f>
        <v/>
      </c>
      <c r="AE122" s="110" t="str">
        <f>IFERROR(INDEX('WetLitterbags placem_collection'!$A$3:$A$500,MATCH($A122,'WetLitterbags placem_collection'!$Q$4:$Q$500,0)),"")</f>
        <v/>
      </c>
    </row>
    <row r="123" spans="1:31">
      <c r="A123" s="197" t="s">
        <v>1529</v>
      </c>
      <c r="C123" s="198">
        <v>31</v>
      </c>
      <c r="D123" s="197">
        <v>0.50560000000000005</v>
      </c>
      <c r="E123" s="201">
        <v>10.201499999999999</v>
      </c>
      <c r="F123" s="202">
        <v>0.20619999999999999</v>
      </c>
      <c r="G123" s="201">
        <f t="shared" si="16"/>
        <v>10.4077</v>
      </c>
      <c r="H123" s="201">
        <v>10.230700000000001</v>
      </c>
      <c r="I123" s="201">
        <f t="shared" si="17"/>
        <v>0.1769999999999996</v>
      </c>
      <c r="J123" s="201">
        <f t="shared" si="18"/>
        <v>2.9200000000000392E-2</v>
      </c>
      <c r="K123" s="280">
        <f t="shared" si="19"/>
        <v>14.161008729389133</v>
      </c>
      <c r="L123" s="201">
        <v>11</v>
      </c>
      <c r="M123" s="204">
        <v>43213</v>
      </c>
      <c r="N123" s="204">
        <v>43213</v>
      </c>
      <c r="AB123" s="110" t="str">
        <f>IFERROR(INDEX('WetLitterbags placem_collection'!$A$3:$A$500,MATCH(A123,'WetLitterbags placem_collection'!$K$4:$K$500,0)),"")</f>
        <v/>
      </c>
      <c r="AC123" s="110">
        <f>IFERROR(INDEX('WetLitterbags placem_collection'!$A$3:$A$500,MATCH($A123,'WetLitterbags placem_collection'!$O$4:$O$500,0)),"")</f>
        <v>30</v>
      </c>
      <c r="AD123" s="110" t="str">
        <f>IFERROR(INDEX('WetLitterbags placem_collection'!$A$3:$A$500,MATCH($A123,'WetLitterbags placem_collection'!$M$4:$M$500,0)),"")</f>
        <v/>
      </c>
      <c r="AE123" s="110" t="str">
        <f>IFERROR(INDEX('WetLitterbags placem_collection'!$A$3:$A$500,MATCH($A123,'WetLitterbags placem_collection'!$Q$4:$Q$500,0)),"")</f>
        <v/>
      </c>
    </row>
    <row r="124" spans="1:31">
      <c r="A124" s="197" t="s">
        <v>1528</v>
      </c>
      <c r="C124" s="198">
        <v>191</v>
      </c>
      <c r="D124" s="197">
        <v>0.43</v>
      </c>
      <c r="E124" s="201">
        <v>9.7736000000000001</v>
      </c>
      <c r="F124" s="202">
        <v>0.20030000000000001</v>
      </c>
      <c r="G124" s="201">
        <f t="shared" si="16"/>
        <v>9.9739000000000004</v>
      </c>
      <c r="H124" s="201">
        <v>9.7920999999999996</v>
      </c>
      <c r="I124" s="201">
        <f t="shared" si="17"/>
        <v>0.18180000000000085</v>
      </c>
      <c r="J124" s="201">
        <f t="shared" si="18"/>
        <v>1.8499999999999156E-2</v>
      </c>
      <c r="K124" s="280">
        <f t="shared" si="19"/>
        <v>9.2361457813275862</v>
      </c>
      <c r="L124" s="201">
        <v>36</v>
      </c>
      <c r="M124" s="204">
        <v>43212</v>
      </c>
      <c r="AB124" s="110">
        <f>IFERROR(INDEX('WetLitterbags placem_collection'!$A$3:$A$500,MATCH(A124,'WetLitterbags placem_collection'!$K$4:$K$500,0)),"")</f>
        <v>190</v>
      </c>
      <c r="AC124" s="110" t="str">
        <f>IFERROR(INDEX('WetLitterbags placem_collection'!$A$3:$A$500,MATCH($A124,'WetLitterbags placem_collection'!$O$4:$O$500,0)),"")</f>
        <v/>
      </c>
      <c r="AD124" s="110" t="str">
        <f>IFERROR(INDEX('WetLitterbags placem_collection'!$A$3:$A$500,MATCH($A124,'WetLitterbags placem_collection'!$M$4:$M$500,0)),"")</f>
        <v/>
      </c>
      <c r="AE124" s="110" t="str">
        <f>IFERROR(INDEX('WetLitterbags placem_collection'!$A$3:$A$500,MATCH($A124,'WetLitterbags placem_collection'!$Q$4:$Q$500,0)),"")</f>
        <v/>
      </c>
    </row>
    <row r="125" spans="1:31">
      <c r="A125" s="197" t="s">
        <v>1527</v>
      </c>
      <c r="C125" s="197">
        <v>11</v>
      </c>
      <c r="D125" s="197">
        <v>0.4375</v>
      </c>
      <c r="E125" s="202">
        <v>7.9939999999999998</v>
      </c>
      <c r="F125" s="202">
        <v>0.2016</v>
      </c>
      <c r="G125" s="201">
        <f t="shared" si="16"/>
        <v>8.1955999999999989</v>
      </c>
      <c r="H125" s="201">
        <v>8.0132999999999992</v>
      </c>
      <c r="I125" s="201">
        <f t="shared" si="17"/>
        <v>0.18229999999999968</v>
      </c>
      <c r="J125" s="201">
        <f t="shared" si="18"/>
        <v>1.9300000000000317E-2</v>
      </c>
      <c r="K125" s="280">
        <f t="shared" si="19"/>
        <v>9.5734126984128558</v>
      </c>
      <c r="L125" s="201">
        <v>31</v>
      </c>
      <c r="M125" s="204">
        <v>43213</v>
      </c>
      <c r="N125" s="204">
        <v>43213</v>
      </c>
      <c r="AB125" s="110" t="str">
        <f>IFERROR(INDEX('WetLitterbags placem_collection'!$A$3:$A$500,MATCH(A125,'WetLitterbags placem_collection'!$K$4:$K$500,0)),"")</f>
        <v/>
      </c>
      <c r="AC125" s="110">
        <f>IFERROR(INDEX('WetLitterbags placem_collection'!$A$3:$A$500,MATCH($A125,'WetLitterbags placem_collection'!$O$4:$O$500,0)),"")</f>
        <v>10</v>
      </c>
      <c r="AD125" s="110" t="str">
        <f>IFERROR(INDEX('WetLitterbags placem_collection'!$A$3:$A$500,MATCH($A125,'WetLitterbags placem_collection'!$M$4:$M$500,0)),"")</f>
        <v/>
      </c>
      <c r="AE125" s="110" t="str">
        <f>IFERROR(INDEX('WetLitterbags placem_collection'!$A$3:$A$500,MATCH($A125,'WetLitterbags placem_collection'!$Q$4:$Q$500,0)),"")</f>
        <v/>
      </c>
    </row>
    <row r="126" spans="1:31">
      <c r="A126" s="197" t="s">
        <v>1526</v>
      </c>
      <c r="C126" s="197">
        <v>20</v>
      </c>
      <c r="D126" s="197">
        <v>0.49459999999999998</v>
      </c>
      <c r="E126" s="197">
        <v>7.5282</v>
      </c>
      <c r="F126" s="197">
        <v>0.2056</v>
      </c>
      <c r="G126" s="197">
        <f t="shared" si="16"/>
        <v>7.7338000000000005</v>
      </c>
      <c r="H126" s="197">
        <v>7.5548999999999999</v>
      </c>
      <c r="I126" s="197">
        <f t="shared" si="17"/>
        <v>0.1789000000000005</v>
      </c>
      <c r="J126" s="201">
        <f t="shared" si="18"/>
        <v>2.6699999999999502E-2</v>
      </c>
      <c r="K126" s="280">
        <f t="shared" si="19"/>
        <v>12.986381322956955</v>
      </c>
      <c r="L126" s="197">
        <v>7</v>
      </c>
      <c r="M126" s="197" t="s">
        <v>2586</v>
      </c>
      <c r="N126" s="197" t="s">
        <v>2585</v>
      </c>
      <c r="O126" s="197" t="s">
        <v>2550</v>
      </c>
      <c r="AB126" s="110">
        <f>IFERROR(INDEX('WetLitterbags placem_collection'!$A$3:$A$500,MATCH(A126,'WetLitterbags placem_collection'!$K$4:$K$500,0)),"")</f>
        <v>19</v>
      </c>
      <c r="AC126" s="110" t="str">
        <f>IFERROR(INDEX('WetLitterbags placem_collection'!$A$3:$A$500,MATCH($A126,'WetLitterbags placem_collection'!$O$4:$O$500,0)),"")</f>
        <v/>
      </c>
      <c r="AD126" s="110" t="str">
        <f>IFERROR(INDEX('WetLitterbags placem_collection'!$A$3:$A$500,MATCH($A126,'WetLitterbags placem_collection'!$M$4:$M$500,0)),"")</f>
        <v/>
      </c>
      <c r="AE126" s="110" t="str">
        <f>IFERROR(INDEX('WetLitterbags placem_collection'!$A$3:$A$500,MATCH($A126,'WetLitterbags placem_collection'!$Q$4:$Q$500,0)),"")</f>
        <v/>
      </c>
    </row>
    <row r="127" spans="1:31">
      <c r="A127" s="201" t="s">
        <v>1525</v>
      </c>
      <c r="C127" s="201">
        <v>195</v>
      </c>
      <c r="D127" s="201">
        <v>0.4844</v>
      </c>
      <c r="E127" s="201">
        <v>9.2359000000000009</v>
      </c>
      <c r="F127" s="201">
        <v>0.2001</v>
      </c>
      <c r="G127" s="201">
        <f t="shared" si="16"/>
        <v>9.4360000000000017</v>
      </c>
      <c r="H127" s="201">
        <v>9.2614999999999998</v>
      </c>
      <c r="I127" s="201">
        <f t="shared" si="17"/>
        <v>0.17450000000000188</v>
      </c>
      <c r="J127" s="201">
        <f t="shared" si="18"/>
        <v>2.5599999999998124E-2</v>
      </c>
      <c r="K127" s="280">
        <f t="shared" si="19"/>
        <v>12.793603198399861</v>
      </c>
      <c r="L127" s="201">
        <v>15</v>
      </c>
      <c r="M127" s="203">
        <v>43164.628472222219</v>
      </c>
      <c r="N127" s="203">
        <v>43164.795138888891</v>
      </c>
      <c r="O127" s="197" t="s">
        <v>2550</v>
      </c>
      <c r="P127" s="201"/>
      <c r="AB127" s="110" t="str">
        <f>IFERROR(INDEX('WetLitterbags placem_collection'!$A$3:$A$500,MATCH(A127,'WetLitterbags placem_collection'!$K$4:$K$500,0)),"")</f>
        <v/>
      </c>
      <c r="AC127" s="110">
        <f>IFERROR(INDEX('WetLitterbags placem_collection'!$A$3:$A$500,MATCH($A127,'WetLitterbags placem_collection'!$O$4:$O$500,0)),"")</f>
        <v>194</v>
      </c>
      <c r="AD127" s="110" t="str">
        <f>IFERROR(INDEX('WetLitterbags placem_collection'!$A$3:$A$500,MATCH($A127,'WetLitterbags placem_collection'!$M$4:$M$500,0)),"")</f>
        <v/>
      </c>
      <c r="AE127" s="110" t="str">
        <f>IFERROR(INDEX('WetLitterbags placem_collection'!$A$3:$A$500,MATCH($A127,'WetLitterbags placem_collection'!$Q$4:$Q$500,0)),"")</f>
        <v/>
      </c>
    </row>
    <row r="128" spans="1:31">
      <c r="A128" s="197" t="s">
        <v>1524</v>
      </c>
      <c r="C128" s="198">
        <v>190</v>
      </c>
      <c r="D128" s="197">
        <v>0.43909999999999999</v>
      </c>
      <c r="E128" s="202">
        <v>9.2203999999999997</v>
      </c>
      <c r="F128" s="202">
        <v>0.20039999999999999</v>
      </c>
      <c r="G128" s="201">
        <f t="shared" si="16"/>
        <v>9.4207999999999998</v>
      </c>
      <c r="H128" s="201">
        <v>9.24</v>
      </c>
      <c r="I128" s="201">
        <f t="shared" si="17"/>
        <v>0.18079999999999963</v>
      </c>
      <c r="J128" s="201">
        <f t="shared" si="18"/>
        <v>1.9600000000000367E-2</v>
      </c>
      <c r="K128" s="280">
        <f t="shared" si="19"/>
        <v>9.78043912175667</v>
      </c>
      <c r="L128" s="201">
        <v>14</v>
      </c>
      <c r="AB128" s="110">
        <f>IFERROR(INDEX('WetLitterbags placem_collection'!$A$3:$A$500,MATCH(A128,'WetLitterbags placem_collection'!$K$4:$K$500,0)),"")</f>
        <v>189</v>
      </c>
      <c r="AC128" s="110" t="str">
        <f>IFERROR(INDEX('WetLitterbags placem_collection'!$A$3:$A$500,MATCH($A128,'WetLitterbags placem_collection'!$O$4:$O$500,0)),"")</f>
        <v/>
      </c>
      <c r="AD128" s="110" t="str">
        <f>IFERROR(INDEX('WetLitterbags placem_collection'!$A$3:$A$500,MATCH($A128,'WetLitterbags placem_collection'!$M$4:$M$500,0)),"")</f>
        <v/>
      </c>
      <c r="AE128" s="110" t="str">
        <f>IFERROR(INDEX('WetLitterbags placem_collection'!$A$3:$A$500,MATCH($A128,'WetLitterbags placem_collection'!$Q$4:$Q$500,0)),"")</f>
        <v/>
      </c>
    </row>
    <row r="129" spans="1:31">
      <c r="A129" s="197" t="s">
        <v>1523</v>
      </c>
      <c r="C129" s="197">
        <v>32</v>
      </c>
      <c r="D129" s="197">
        <v>0.47810000000000002</v>
      </c>
      <c r="E129" s="202">
        <v>10.3132</v>
      </c>
      <c r="F129" s="202">
        <v>0.20019999999999999</v>
      </c>
      <c r="G129" s="201">
        <f t="shared" si="16"/>
        <v>10.513400000000001</v>
      </c>
      <c r="H129" s="201">
        <v>10.3302</v>
      </c>
      <c r="I129" s="201">
        <f t="shared" si="17"/>
        <v>0.18320000000000114</v>
      </c>
      <c r="J129" s="201">
        <f t="shared" si="18"/>
        <v>1.6999999999998849E-2</v>
      </c>
      <c r="K129" s="280">
        <f t="shared" si="19"/>
        <v>8.4915084915079166</v>
      </c>
      <c r="L129" s="201">
        <v>1</v>
      </c>
      <c r="AB129" s="110">
        <f>IFERROR(INDEX('WetLitterbags placem_collection'!$A$3:$A$500,MATCH(A129,'WetLitterbags placem_collection'!$K$4:$K$500,0)),"")</f>
        <v>31</v>
      </c>
      <c r="AC129" s="110" t="str">
        <f>IFERROR(INDEX('WetLitterbags placem_collection'!$A$3:$A$500,MATCH($A129,'WetLitterbags placem_collection'!$O$4:$O$500,0)),"")</f>
        <v/>
      </c>
      <c r="AD129" s="110" t="str">
        <f>IFERROR(INDEX('WetLitterbags placem_collection'!$A$3:$A$500,MATCH($A129,'WetLitterbags placem_collection'!$M$4:$M$500,0)),"")</f>
        <v/>
      </c>
      <c r="AE129" s="110" t="str">
        <f>IFERROR(INDEX('WetLitterbags placem_collection'!$A$3:$A$500,MATCH($A129,'WetLitterbags placem_collection'!$Q$4:$Q$500,0)),"")</f>
        <v/>
      </c>
    </row>
    <row r="130" spans="1:31">
      <c r="A130" s="201" t="s">
        <v>1522</v>
      </c>
      <c r="C130" s="201">
        <v>37</v>
      </c>
      <c r="D130" s="201">
        <v>0.66790000000000005</v>
      </c>
      <c r="E130" s="201">
        <v>10.7432</v>
      </c>
      <c r="F130" s="201">
        <v>0.2009</v>
      </c>
      <c r="G130" s="201">
        <f t="shared" si="16"/>
        <v>10.944100000000001</v>
      </c>
      <c r="H130" s="201">
        <v>10.773400000000001</v>
      </c>
      <c r="I130" s="201">
        <f t="shared" si="17"/>
        <v>0.17070000000000007</v>
      </c>
      <c r="J130" s="201">
        <f t="shared" si="18"/>
        <v>3.0199999999999921E-2</v>
      </c>
      <c r="K130" s="280">
        <f t="shared" si="19"/>
        <v>15.032354405176665</v>
      </c>
      <c r="L130" s="201">
        <v>23</v>
      </c>
      <c r="M130" s="205">
        <v>43188</v>
      </c>
      <c r="N130" s="205">
        <v>43188</v>
      </c>
      <c r="O130" s="201"/>
      <c r="P130" s="201"/>
      <c r="AB130" s="110" t="str">
        <f>IFERROR(INDEX('WetLitterbags placem_collection'!$A$3:$A$500,MATCH(A130,'WetLitterbags placem_collection'!$K$4:$K$500,0)),"")</f>
        <v/>
      </c>
      <c r="AC130" s="110">
        <f>IFERROR(INDEX('WetLitterbags placem_collection'!$A$3:$A$500,MATCH($A130,'WetLitterbags placem_collection'!$O$4:$O$500,0)),"")</f>
        <v>36</v>
      </c>
      <c r="AD130" s="110" t="str">
        <f>IFERROR(INDEX('WetLitterbags placem_collection'!$A$3:$A$500,MATCH($A130,'WetLitterbags placem_collection'!$M$4:$M$500,0)),"")</f>
        <v/>
      </c>
      <c r="AE130" s="110" t="str">
        <f>IFERROR(INDEX('WetLitterbags placem_collection'!$A$3:$A$500,MATCH($A130,'WetLitterbags placem_collection'!$Q$4:$Q$500,0)),"")</f>
        <v/>
      </c>
    </row>
    <row r="131" spans="1:31">
      <c r="A131" s="206" t="s">
        <v>1521</v>
      </c>
      <c r="C131" s="197">
        <v>92</v>
      </c>
      <c r="D131" s="201">
        <v>0.55920000000000003</v>
      </c>
      <c r="E131" s="202">
        <v>7.8711000000000002</v>
      </c>
      <c r="F131" s="202">
        <v>0.20979999999999999</v>
      </c>
      <c r="G131" s="201">
        <f t="shared" si="16"/>
        <v>8.0808999999999997</v>
      </c>
      <c r="H131" s="201">
        <v>7.8959999999999999</v>
      </c>
      <c r="I131" s="201">
        <f t="shared" si="17"/>
        <v>0.18489999999999984</v>
      </c>
      <c r="J131" s="201">
        <f t="shared" si="18"/>
        <v>2.4900000000000144E-2</v>
      </c>
      <c r="K131" s="280">
        <f t="shared" si="19"/>
        <v>11.868446139180241</v>
      </c>
      <c r="L131" s="201">
        <v>16</v>
      </c>
      <c r="M131" s="207">
        <v>43186.458333333336</v>
      </c>
      <c r="N131" s="207">
        <v>43186.625</v>
      </c>
      <c r="O131" s="197" t="s">
        <v>2550</v>
      </c>
      <c r="P131" s="201"/>
      <c r="AB131" s="110">
        <f>IFERROR(INDEX('WetLitterbags placem_collection'!$A$3:$A$500,MATCH(A131,'WetLitterbags placem_collection'!$K$4:$K$500,0)),"")</f>
        <v>91</v>
      </c>
      <c r="AC131" s="110" t="str">
        <f>IFERROR(INDEX('WetLitterbags placem_collection'!$A$3:$A$500,MATCH($A131,'WetLitterbags placem_collection'!$O$4:$O$500,0)),"")</f>
        <v/>
      </c>
      <c r="AD131" s="110" t="str">
        <f>IFERROR(INDEX('WetLitterbags placem_collection'!$A$3:$A$500,MATCH($A131,'WetLitterbags placem_collection'!$M$4:$M$500,0)),"")</f>
        <v/>
      </c>
      <c r="AE131" s="110" t="str">
        <f>IFERROR(INDEX('WetLitterbags placem_collection'!$A$3:$A$500,MATCH($A131,'WetLitterbags placem_collection'!$Q$4:$Q$500,0)),"")</f>
        <v/>
      </c>
    </row>
    <row r="132" spans="1:31">
      <c r="A132" s="197" t="s">
        <v>1518</v>
      </c>
      <c r="C132" s="198">
        <v>4</v>
      </c>
      <c r="D132" s="197">
        <v>0.37980000000000003</v>
      </c>
      <c r="E132" s="201">
        <v>9.2204999999999995</v>
      </c>
      <c r="F132" s="202">
        <v>0.20780000000000001</v>
      </c>
      <c r="G132" s="201">
        <f t="shared" si="16"/>
        <v>9.4283000000000001</v>
      </c>
      <c r="H132" s="201">
        <v>9.2402999999999995</v>
      </c>
      <c r="I132" s="201">
        <f t="shared" si="17"/>
        <v>0.18800000000000061</v>
      </c>
      <c r="J132" s="201">
        <f t="shared" si="18"/>
        <v>1.9799999999999401E-2</v>
      </c>
      <c r="K132" s="280">
        <f t="shared" si="19"/>
        <v>9.5283926852740137</v>
      </c>
      <c r="L132" s="201">
        <v>3</v>
      </c>
      <c r="M132" s="204">
        <v>43212</v>
      </c>
      <c r="AB132" s="110" t="str">
        <f>IFERROR(INDEX('WetLitterbags placem_collection'!$A$3:$A$500,MATCH(A132,'WetLitterbags placem_collection'!$K$4:$K$500,0)),"")</f>
        <v/>
      </c>
      <c r="AC132" s="110">
        <f>IFERROR(INDEX('WetLitterbags placem_collection'!$A$3:$A$500,MATCH($A132,'WetLitterbags placem_collection'!$O$4:$O$500,0)),"")</f>
        <v>3</v>
      </c>
      <c r="AD132" s="110" t="str">
        <f>IFERROR(INDEX('WetLitterbags placem_collection'!$A$3:$A$500,MATCH($A132,'WetLitterbags placem_collection'!$M$4:$M$500,0)),"")</f>
        <v/>
      </c>
      <c r="AE132" s="110" t="str">
        <f>IFERROR(INDEX('WetLitterbags placem_collection'!$A$3:$A$500,MATCH($A132,'WetLitterbags placem_collection'!$Q$4:$Q$500,0)),"")</f>
        <v/>
      </c>
    </row>
    <row r="133" spans="1:31">
      <c r="A133" s="197" t="s">
        <v>1515</v>
      </c>
      <c r="C133" s="201">
        <v>60</v>
      </c>
      <c r="D133" s="201">
        <v>0.56169999999999987</v>
      </c>
      <c r="E133" s="201">
        <v>8.1683000000000003</v>
      </c>
      <c r="F133" s="201">
        <v>0.20200000000000001</v>
      </c>
      <c r="G133" s="201">
        <f t="shared" si="16"/>
        <v>8.3703000000000003</v>
      </c>
      <c r="H133" s="201">
        <v>8.1887000000000008</v>
      </c>
      <c r="I133" s="201">
        <f t="shared" si="17"/>
        <v>0.18159999999999954</v>
      </c>
      <c r="J133" s="201">
        <f t="shared" si="18"/>
        <v>2.0400000000000473E-2</v>
      </c>
      <c r="K133" s="280">
        <f t="shared" si="19"/>
        <v>10.099009900990334</v>
      </c>
      <c r="L133" s="201">
        <v>21</v>
      </c>
      <c r="M133" s="205">
        <v>43173</v>
      </c>
      <c r="N133" s="205">
        <v>43173</v>
      </c>
      <c r="O133" s="201" t="s">
        <v>2556</v>
      </c>
      <c r="P133" s="201" t="s">
        <v>2555</v>
      </c>
      <c r="U133" s="202" t="s">
        <v>1261</v>
      </c>
      <c r="V133" s="197">
        <v>1.1045</v>
      </c>
      <c r="W133" s="197">
        <f>(V133-$T$175+F131)</f>
        <v>1.3143</v>
      </c>
      <c r="AB133" s="110" t="str">
        <f>IFERROR(INDEX('WetLitterbags placem_collection'!$A$3:$A$500,MATCH(A133,'WetLitterbags placem_collection'!$K$4:$K$500,0)),"")</f>
        <v/>
      </c>
      <c r="AC133" s="110">
        <f>IFERROR(INDEX('WetLitterbags placem_collection'!$A$3:$A$500,MATCH($A133,'WetLitterbags placem_collection'!$O$4:$O$500,0)),"")</f>
        <v>59</v>
      </c>
      <c r="AD133" s="110" t="str">
        <f>IFERROR(INDEX('WetLitterbags placem_collection'!$A$3:$A$500,MATCH($A133,'WetLitterbags placem_collection'!$M$4:$M$500,0)),"")</f>
        <v/>
      </c>
      <c r="AE133" s="110" t="str">
        <f>IFERROR(INDEX('WetLitterbags placem_collection'!$A$3:$A$500,MATCH($A133,'WetLitterbags placem_collection'!$Q$4:$Q$500,0)),"")</f>
        <v/>
      </c>
    </row>
    <row r="134" spans="1:31">
      <c r="A134" s="206" t="s">
        <v>1514</v>
      </c>
      <c r="C134" s="201">
        <v>82</v>
      </c>
      <c r="D134" s="201">
        <v>0.57340000000000002</v>
      </c>
      <c r="E134" s="202">
        <v>9.0313999999999997</v>
      </c>
      <c r="F134" s="202">
        <v>0.20449999999999999</v>
      </c>
      <c r="G134" s="201">
        <f t="shared" si="16"/>
        <v>9.2358999999999991</v>
      </c>
      <c r="H134" s="201">
        <v>9.0525000000000002</v>
      </c>
      <c r="I134" s="201">
        <f t="shared" si="17"/>
        <v>0.1833999999999989</v>
      </c>
      <c r="J134" s="201">
        <f t="shared" si="18"/>
        <v>2.110000000000109E-2</v>
      </c>
      <c r="K134" s="280">
        <f t="shared" si="19"/>
        <v>10.317848410758481</v>
      </c>
      <c r="L134" s="201">
        <v>20</v>
      </c>
      <c r="M134" s="205">
        <v>43197</v>
      </c>
      <c r="N134" s="205">
        <v>43197</v>
      </c>
      <c r="O134" s="201"/>
      <c r="P134" s="201"/>
      <c r="AB134" s="110">
        <f>IFERROR(INDEX('WetLitterbags placem_collection'!$A$3:$A$500,MATCH(A134,'WetLitterbags placem_collection'!$K$4:$K$500,0)),"")</f>
        <v>81</v>
      </c>
      <c r="AC134" s="110" t="str">
        <f>IFERROR(INDEX('WetLitterbags placem_collection'!$A$3:$A$500,MATCH($A134,'WetLitterbags placem_collection'!$O$4:$O$500,0)),"")</f>
        <v/>
      </c>
      <c r="AD134" s="110" t="str">
        <f>IFERROR(INDEX('WetLitterbags placem_collection'!$A$3:$A$500,MATCH($A134,'WetLitterbags placem_collection'!$M$4:$M$500,0)),"")</f>
        <v/>
      </c>
      <c r="AE134" s="110" t="str">
        <f>IFERROR(INDEX('WetLitterbags placem_collection'!$A$3:$A$500,MATCH($A134,'WetLitterbags placem_collection'!$Q$4:$Q$500,0)),"")</f>
        <v/>
      </c>
    </row>
    <row r="135" spans="1:31">
      <c r="A135" s="201" t="s">
        <v>1513</v>
      </c>
      <c r="C135" s="201">
        <v>189</v>
      </c>
      <c r="D135" s="202">
        <v>0.50870000000000004</v>
      </c>
      <c r="E135" s="202">
        <v>10.201499999999999</v>
      </c>
      <c r="F135" s="202">
        <v>0.20849999999999999</v>
      </c>
      <c r="G135" s="201">
        <f t="shared" si="16"/>
        <v>10.41</v>
      </c>
      <c r="H135" s="201">
        <v>10.2203</v>
      </c>
      <c r="I135" s="201">
        <f t="shared" si="17"/>
        <v>0.1897000000000002</v>
      </c>
      <c r="J135" s="201">
        <f t="shared" si="18"/>
        <v>1.8799999999999789E-2</v>
      </c>
      <c r="K135" s="280">
        <f t="shared" si="19"/>
        <v>9.0167865707433048</v>
      </c>
      <c r="L135" s="201">
        <v>15</v>
      </c>
      <c r="M135" s="201"/>
      <c r="N135" s="201"/>
      <c r="O135" s="201"/>
      <c r="P135" s="201"/>
      <c r="AB135" s="110" t="str">
        <f>IFERROR(INDEX('WetLitterbags placem_collection'!$A$3:$A$500,MATCH(A135,'WetLitterbags placem_collection'!$K$4:$K$500,0)),"")</f>
        <v/>
      </c>
      <c r="AC135" s="110">
        <f>IFERROR(INDEX('WetLitterbags placem_collection'!$A$3:$A$500,MATCH($A135,'WetLitterbags placem_collection'!$O$4:$O$500,0)),"")</f>
        <v>188</v>
      </c>
      <c r="AD135" s="110" t="str">
        <f>IFERROR(INDEX('WetLitterbags placem_collection'!$A$3:$A$500,MATCH($A135,'WetLitterbags placem_collection'!$M$4:$M$500,0)),"")</f>
        <v/>
      </c>
      <c r="AE135" s="110" t="str">
        <f>IFERROR(INDEX('WetLitterbags placem_collection'!$A$3:$A$500,MATCH($A135,'WetLitterbags placem_collection'!$Q$4:$Q$500,0)),"")</f>
        <v/>
      </c>
    </row>
    <row r="136" spans="1:31">
      <c r="A136" s="206" t="s">
        <v>1512</v>
      </c>
      <c r="C136" s="201">
        <v>56</v>
      </c>
      <c r="D136" s="202">
        <v>0.65329999999999999</v>
      </c>
      <c r="E136" s="202">
        <v>10.1075</v>
      </c>
      <c r="F136" s="202">
        <v>0.20730000000000001</v>
      </c>
      <c r="G136" s="201">
        <f t="shared" si="16"/>
        <v>10.3148</v>
      </c>
      <c r="H136" s="201">
        <v>10.152799999999999</v>
      </c>
      <c r="I136" s="201">
        <f t="shared" si="17"/>
        <v>0.16200000000000081</v>
      </c>
      <c r="J136" s="201">
        <f t="shared" si="18"/>
        <v>4.5299999999999202E-2</v>
      </c>
      <c r="K136" s="280">
        <f t="shared" si="19"/>
        <v>21.852387843704392</v>
      </c>
      <c r="L136" s="201">
        <v>12</v>
      </c>
      <c r="M136" s="201"/>
      <c r="N136" s="201"/>
      <c r="O136" s="201"/>
      <c r="P136" s="201"/>
      <c r="U136" s="202" t="s">
        <v>815</v>
      </c>
      <c r="V136" s="197">
        <v>1.8678999999999999</v>
      </c>
      <c r="W136" s="197">
        <f>(V136-$T$175+F134)</f>
        <v>2.0724</v>
      </c>
      <c r="AB136" s="110">
        <f>IFERROR(INDEX('WetLitterbags placem_collection'!$A$3:$A$500,MATCH(A136,'WetLitterbags placem_collection'!$K$4:$K$500,0)),"")</f>
        <v>55</v>
      </c>
      <c r="AC136" s="110" t="str">
        <f>IFERROR(INDEX('WetLitterbags placem_collection'!$A$3:$A$500,MATCH($A136,'WetLitterbags placem_collection'!$O$4:$O$500,0)),"")</f>
        <v/>
      </c>
      <c r="AD136" s="110" t="str">
        <f>IFERROR(INDEX('WetLitterbags placem_collection'!$A$3:$A$500,MATCH($A136,'WetLitterbags placem_collection'!$M$4:$M$500,0)),"")</f>
        <v/>
      </c>
      <c r="AE136" s="110" t="str">
        <f>IFERROR(INDEX('WetLitterbags placem_collection'!$A$3:$A$500,MATCH($A136,'WetLitterbags placem_collection'!$Q$4:$Q$500,0)),"")</f>
        <v/>
      </c>
    </row>
    <row r="137" spans="1:31">
      <c r="A137" s="197" t="s">
        <v>1511</v>
      </c>
      <c r="C137" s="201">
        <v>47</v>
      </c>
      <c r="D137" s="201">
        <v>0.58679999999999999</v>
      </c>
      <c r="E137" s="201">
        <v>9.9176000000000002</v>
      </c>
      <c r="F137" s="202">
        <v>0.20810000000000001</v>
      </c>
      <c r="G137" s="201">
        <f t="shared" si="16"/>
        <v>10.1257</v>
      </c>
      <c r="H137" s="201">
        <v>9.9423999999999992</v>
      </c>
      <c r="I137" s="201">
        <f t="shared" si="17"/>
        <v>0.18330000000000091</v>
      </c>
      <c r="J137" s="201">
        <f t="shared" si="18"/>
        <v>2.4799999999999101E-2</v>
      </c>
      <c r="K137" s="280">
        <f t="shared" si="19"/>
        <v>11.917347429120182</v>
      </c>
      <c r="L137" s="201">
        <v>21</v>
      </c>
      <c r="M137" s="205">
        <v>43211</v>
      </c>
      <c r="AB137" s="110">
        <f>IFERROR(INDEX('WetLitterbags placem_collection'!$A$3:$A$500,MATCH(A137,'WetLitterbags placem_collection'!$K$4:$K$500,0)),"")</f>
        <v>46</v>
      </c>
      <c r="AC137" s="110" t="str">
        <f>IFERROR(INDEX('WetLitterbags placem_collection'!$A$3:$A$500,MATCH($A137,'WetLitterbags placem_collection'!$O$4:$O$500,0)),"")</f>
        <v/>
      </c>
      <c r="AD137" s="110" t="str">
        <f>IFERROR(INDEX('WetLitterbags placem_collection'!$A$3:$A$500,MATCH($A137,'WetLitterbags placem_collection'!$M$4:$M$500,0)),"")</f>
        <v/>
      </c>
      <c r="AE137" s="110" t="str">
        <f>IFERROR(INDEX('WetLitterbags placem_collection'!$A$3:$A$500,MATCH($A137,'WetLitterbags placem_collection'!$Q$4:$Q$500,0)),"")</f>
        <v/>
      </c>
    </row>
    <row r="138" spans="1:31">
      <c r="A138" s="201" t="s">
        <v>1510</v>
      </c>
      <c r="C138" s="201">
        <v>207</v>
      </c>
      <c r="D138" s="201">
        <v>0.51390000000000002</v>
      </c>
      <c r="E138" s="202">
        <v>9.0518999999999998</v>
      </c>
      <c r="F138" s="202">
        <v>0.2</v>
      </c>
      <c r="G138" s="201">
        <f t="shared" si="16"/>
        <v>9.2518999999999991</v>
      </c>
      <c r="H138" s="201">
        <v>9.0950000000000006</v>
      </c>
      <c r="I138" s="201">
        <f t="shared" si="17"/>
        <v>0.15689999999999849</v>
      </c>
      <c r="J138" s="201">
        <f t="shared" si="18"/>
        <v>4.3100000000001526E-2</v>
      </c>
      <c r="K138" s="280">
        <f t="shared" si="19"/>
        <v>21.550000000000765</v>
      </c>
      <c r="L138" s="201">
        <v>7</v>
      </c>
      <c r="M138" s="205">
        <v>43197</v>
      </c>
      <c r="N138" s="205">
        <v>43197</v>
      </c>
      <c r="O138" s="201"/>
      <c r="P138" s="201"/>
      <c r="AB138" s="110" t="str">
        <f>IFERROR(INDEX('WetLitterbags placem_collection'!$A$3:$A$500,MATCH(A138,'WetLitterbags placem_collection'!$K$4:$K$500,0)),"")</f>
        <v/>
      </c>
      <c r="AC138" s="110">
        <f>IFERROR(INDEX('WetLitterbags placem_collection'!$A$3:$A$500,MATCH($A138,'WetLitterbags placem_collection'!$O$4:$O$500,0)),"")</f>
        <v>206</v>
      </c>
      <c r="AD138" s="110" t="str">
        <f>IFERROR(INDEX('WetLitterbags placem_collection'!$A$3:$A$500,MATCH($A138,'WetLitterbags placem_collection'!$M$4:$M$500,0)),"")</f>
        <v/>
      </c>
      <c r="AE138" s="110" t="str">
        <f>IFERROR(INDEX('WetLitterbags placem_collection'!$A$3:$A$500,MATCH($A138,'WetLitterbags placem_collection'!$Q$4:$Q$500,0)),"")</f>
        <v/>
      </c>
    </row>
    <row r="139" spans="1:31">
      <c r="A139" s="197" t="s">
        <v>1509</v>
      </c>
      <c r="C139" s="197">
        <v>61</v>
      </c>
      <c r="D139" s="197">
        <v>0.57769999999999999</v>
      </c>
      <c r="E139" s="197">
        <v>9.1861999999999995</v>
      </c>
      <c r="F139" s="197">
        <v>0.19719999999999999</v>
      </c>
      <c r="G139" s="197">
        <f t="shared" si="16"/>
        <v>9.3834</v>
      </c>
      <c r="H139" s="197">
        <v>9.2112999999999996</v>
      </c>
      <c r="I139" s="197">
        <f t="shared" si="17"/>
        <v>0.17210000000000036</v>
      </c>
      <c r="J139" s="201">
        <f t="shared" si="18"/>
        <v>2.5099999999999623E-2</v>
      </c>
      <c r="K139" s="280">
        <f t="shared" si="19"/>
        <v>12.728194726166139</v>
      </c>
      <c r="L139" s="197">
        <v>42</v>
      </c>
      <c r="M139" s="197" t="s">
        <v>2586</v>
      </c>
      <c r="N139" s="197" t="s">
        <v>2585</v>
      </c>
      <c r="O139" s="197" t="s">
        <v>2550</v>
      </c>
      <c r="AB139" s="110">
        <f>IFERROR(INDEX('WetLitterbags placem_collection'!$A$3:$A$500,MATCH(A139,'WetLitterbags placem_collection'!$K$4:$K$500,0)),"")</f>
        <v>60</v>
      </c>
      <c r="AC139" s="110" t="str">
        <f>IFERROR(INDEX('WetLitterbags placem_collection'!$A$3:$A$500,MATCH($A139,'WetLitterbags placem_collection'!$O$4:$O$500,0)),"")</f>
        <v/>
      </c>
      <c r="AD139" s="110" t="str">
        <f>IFERROR(INDEX('WetLitterbags placem_collection'!$A$3:$A$500,MATCH($A139,'WetLitterbags placem_collection'!$M$4:$M$500,0)),"")</f>
        <v/>
      </c>
      <c r="AE139" s="110" t="str">
        <f>IFERROR(INDEX('WetLitterbags placem_collection'!$A$3:$A$500,MATCH($A139,'WetLitterbags placem_collection'!$Q$4:$Q$500,0)),"")</f>
        <v/>
      </c>
    </row>
    <row r="140" spans="1:31">
      <c r="A140" s="201" t="s">
        <v>1508</v>
      </c>
      <c r="C140" s="201">
        <v>81</v>
      </c>
      <c r="D140" s="202">
        <v>0.62009999999999998</v>
      </c>
      <c r="E140" s="202">
        <v>11.087400000000001</v>
      </c>
      <c r="F140" s="202">
        <v>0.20119999999999999</v>
      </c>
      <c r="G140" s="201">
        <f t="shared" si="16"/>
        <v>11.288600000000001</v>
      </c>
      <c r="H140" s="201">
        <v>11.117599999999999</v>
      </c>
      <c r="I140" s="201">
        <f t="shared" si="17"/>
        <v>0.17100000000000115</v>
      </c>
      <c r="J140" s="201">
        <f t="shared" si="18"/>
        <v>3.0199999999998839E-2</v>
      </c>
      <c r="K140" s="280">
        <f t="shared" si="19"/>
        <v>15.009940357852306</v>
      </c>
      <c r="L140" s="201">
        <v>32</v>
      </c>
      <c r="M140" s="203">
        <v>43181.645833333336</v>
      </c>
      <c r="N140" s="203">
        <v>43181.833333333336</v>
      </c>
      <c r="O140" s="201" t="s">
        <v>2556</v>
      </c>
      <c r="P140" s="201"/>
      <c r="AB140" s="110">
        <f>IFERROR(INDEX('WetLitterbags placem_collection'!$A$3:$A$500,MATCH(A140,'WetLitterbags placem_collection'!$K$4:$K$500,0)),"")</f>
        <v>80</v>
      </c>
      <c r="AC140" s="110" t="str">
        <f>IFERROR(INDEX('WetLitterbags placem_collection'!$A$3:$A$500,MATCH($A140,'WetLitterbags placem_collection'!$O$4:$O$500,0)),"")</f>
        <v/>
      </c>
      <c r="AD140" s="110" t="str">
        <f>IFERROR(INDEX('WetLitterbags placem_collection'!$A$3:$A$500,MATCH($A140,'WetLitterbags placem_collection'!$M$4:$M$500,0)),"")</f>
        <v/>
      </c>
      <c r="AE140" s="110" t="str">
        <f>IFERROR(INDEX('WetLitterbags placem_collection'!$A$3:$A$500,MATCH($A140,'WetLitterbags placem_collection'!$Q$4:$Q$500,0)),"")</f>
        <v/>
      </c>
    </row>
    <row r="141" spans="1:31">
      <c r="A141" s="197" t="s">
        <v>1507</v>
      </c>
      <c r="C141" s="198">
        <v>11</v>
      </c>
      <c r="D141" s="197">
        <v>0.51180000000000003</v>
      </c>
      <c r="E141" s="202">
        <v>8.8618000000000006</v>
      </c>
      <c r="F141" s="202">
        <v>0.19919999999999999</v>
      </c>
      <c r="G141" s="201">
        <f t="shared" si="16"/>
        <v>9.0609999999999999</v>
      </c>
      <c r="H141" s="201">
        <v>8.8857999999999997</v>
      </c>
      <c r="I141" s="201">
        <f t="shared" si="17"/>
        <v>0.17520000000000024</v>
      </c>
      <c r="J141" s="201">
        <f t="shared" si="18"/>
        <v>2.3999999999999744E-2</v>
      </c>
      <c r="K141" s="280">
        <f t="shared" si="19"/>
        <v>12.04819277108421</v>
      </c>
      <c r="L141" s="201">
        <v>2</v>
      </c>
      <c r="M141" s="204">
        <v>43221</v>
      </c>
      <c r="N141" s="204">
        <v>43221</v>
      </c>
      <c r="AB141" s="110">
        <f>IFERROR(INDEX('WetLitterbags placem_collection'!$A$3:$A$500,MATCH(A141,'WetLitterbags placem_collection'!$K$4:$K$500,0)),"")</f>
        <v>10</v>
      </c>
      <c r="AC141" s="110" t="str">
        <f>IFERROR(INDEX('WetLitterbags placem_collection'!$A$3:$A$500,MATCH($A141,'WetLitterbags placem_collection'!$O$4:$O$500,0)),"")</f>
        <v/>
      </c>
      <c r="AD141" s="110" t="str">
        <f>IFERROR(INDEX('WetLitterbags placem_collection'!$A$3:$A$500,MATCH($A141,'WetLitterbags placem_collection'!$M$4:$M$500,0)),"")</f>
        <v/>
      </c>
      <c r="AE141" s="110" t="str">
        <f>IFERROR(INDEX('WetLitterbags placem_collection'!$A$3:$A$500,MATCH($A141,'WetLitterbags placem_collection'!$Q$4:$Q$500,0)),"")</f>
        <v/>
      </c>
    </row>
    <row r="142" spans="1:31">
      <c r="A142" s="206" t="s">
        <v>1506</v>
      </c>
      <c r="C142" s="201">
        <v>186</v>
      </c>
      <c r="D142" s="201">
        <v>0.48909999999999998</v>
      </c>
      <c r="E142" s="201">
        <v>11.171799999999999</v>
      </c>
      <c r="F142" s="202">
        <v>0.2044</v>
      </c>
      <c r="G142" s="201">
        <f t="shared" si="16"/>
        <v>11.376199999999999</v>
      </c>
      <c r="H142" s="201">
        <v>11.1913</v>
      </c>
      <c r="I142" s="201">
        <f t="shared" si="17"/>
        <v>0.18489999999999895</v>
      </c>
      <c r="J142" s="201">
        <f t="shared" si="18"/>
        <v>1.9500000000001044E-2</v>
      </c>
      <c r="K142" s="280">
        <f t="shared" si="19"/>
        <v>9.5401174168302578</v>
      </c>
      <c r="L142" s="201">
        <v>31</v>
      </c>
      <c r="M142" s="205">
        <v>43187</v>
      </c>
      <c r="N142" s="205">
        <v>43187</v>
      </c>
      <c r="O142" s="201"/>
      <c r="P142" s="201"/>
      <c r="AB142" s="110">
        <f>IFERROR(INDEX('WetLitterbags placem_collection'!$A$3:$A$500,MATCH(A142,'WetLitterbags placem_collection'!$K$4:$K$500,0)),"")</f>
        <v>185</v>
      </c>
      <c r="AC142" s="110" t="str">
        <f>IFERROR(INDEX('WetLitterbags placem_collection'!$A$3:$A$500,MATCH($A142,'WetLitterbags placem_collection'!$O$4:$O$500,0)),"")</f>
        <v/>
      </c>
      <c r="AD142" s="110" t="str">
        <f>IFERROR(INDEX('WetLitterbags placem_collection'!$A$3:$A$500,MATCH($A142,'WetLitterbags placem_collection'!$M$4:$M$500,0)),"")</f>
        <v/>
      </c>
      <c r="AE142" s="110" t="str">
        <f>IFERROR(INDEX('WetLitterbags placem_collection'!$A$3:$A$500,MATCH($A142,'WetLitterbags placem_collection'!$Q$4:$Q$500,0)),"")</f>
        <v/>
      </c>
    </row>
    <row r="143" spans="1:31">
      <c r="A143" s="197" t="s">
        <v>1505</v>
      </c>
      <c r="C143" s="198">
        <v>96</v>
      </c>
      <c r="D143" s="197">
        <v>0.57850000000000001</v>
      </c>
      <c r="E143" s="197">
        <v>8.4441000000000006</v>
      </c>
      <c r="F143" s="202">
        <v>0.2011</v>
      </c>
      <c r="G143" s="201">
        <f t="shared" si="16"/>
        <v>8.6452000000000009</v>
      </c>
      <c r="H143" s="201">
        <v>8.4710999999999999</v>
      </c>
      <c r="I143" s="201">
        <f t="shared" si="17"/>
        <v>0.17410000000000103</v>
      </c>
      <c r="J143" s="201">
        <f t="shared" si="18"/>
        <v>2.6999999999998969E-2</v>
      </c>
      <c r="K143" s="280">
        <f t="shared" si="19"/>
        <v>13.426156141222759</v>
      </c>
      <c r="L143" s="201">
        <v>22</v>
      </c>
      <c r="AB143" s="110" t="str">
        <f>IFERROR(INDEX('WetLitterbags placem_collection'!$A$3:$A$500,MATCH(A143,'WetLitterbags placem_collection'!$K$4:$K$500,0)),"")</f>
        <v/>
      </c>
      <c r="AC143" s="110">
        <f>IFERROR(INDEX('WetLitterbags placem_collection'!$A$3:$A$500,MATCH($A143,'WetLitterbags placem_collection'!$O$4:$O$500,0)),"")</f>
        <v>95</v>
      </c>
      <c r="AD143" s="110" t="str">
        <f>IFERROR(INDEX('WetLitterbags placem_collection'!$A$3:$A$500,MATCH($A143,'WetLitterbags placem_collection'!$M$4:$M$500,0)),"")</f>
        <v/>
      </c>
      <c r="AE143" s="110" t="str">
        <f>IFERROR(INDEX('WetLitterbags placem_collection'!$A$3:$A$500,MATCH($A143,'WetLitterbags placem_collection'!$Q$4:$Q$500,0)),"")</f>
        <v/>
      </c>
    </row>
    <row r="144" spans="1:31">
      <c r="A144" t="s">
        <v>1504</v>
      </c>
      <c r="C144" s="198"/>
      <c r="D144" s="197">
        <v>0.67520000000000002</v>
      </c>
      <c r="E144" s="202">
        <v>9.3188999999999993</v>
      </c>
      <c r="F144" s="202">
        <v>0.20599999999999999</v>
      </c>
      <c r="G144" s="201">
        <f t="shared" si="16"/>
        <v>9.5248999999999988</v>
      </c>
      <c r="H144" s="201">
        <v>9.3529999999999998</v>
      </c>
      <c r="I144" s="201">
        <f t="shared" si="17"/>
        <v>0.17189999999999905</v>
      </c>
      <c r="J144" s="201">
        <f t="shared" si="18"/>
        <v>3.4100000000000935E-2</v>
      </c>
      <c r="K144" s="280">
        <f t="shared" si="19"/>
        <v>16.553398058252881</v>
      </c>
      <c r="L144" s="201">
        <v>10</v>
      </c>
      <c r="AB144" s="110">
        <f>IFERROR(INDEX('WetLitterbags placem_collection'!$A$3:$A$500,MATCH(A144,'WetLitterbags placem_collection'!$K$4:$K$500,0)),"")</f>
        <v>56</v>
      </c>
      <c r="AC144" s="110" t="str">
        <f>IFERROR(INDEX('WetLitterbags placem_collection'!$A$3:$A$500,MATCH($A144,'WetLitterbags placem_collection'!$O$4:$O$500,0)),"")</f>
        <v/>
      </c>
      <c r="AD144" s="110" t="str">
        <f>IFERROR(INDEX('WetLitterbags placem_collection'!$A$3:$A$500,MATCH($A144,'WetLitterbags placem_collection'!$M$4:$M$500,0)),"")</f>
        <v/>
      </c>
      <c r="AE144" s="110" t="str">
        <f>IFERROR(INDEX('WetLitterbags placem_collection'!$A$3:$A$500,MATCH($A144,'WetLitterbags placem_collection'!$Q$4:$Q$500,0)),"")</f>
        <v/>
      </c>
    </row>
    <row r="145" spans="1:31">
      <c r="A145" s="202" t="s">
        <v>1503</v>
      </c>
      <c r="C145" s="201">
        <v>91</v>
      </c>
      <c r="D145" s="201">
        <v>0.81999999999999984</v>
      </c>
      <c r="E145" s="201">
        <v>7.9055</v>
      </c>
      <c r="F145" s="201">
        <v>0.20949999999999999</v>
      </c>
      <c r="G145" s="201">
        <f t="shared" si="16"/>
        <v>8.1150000000000002</v>
      </c>
      <c r="H145" s="201">
        <v>7.9607000000000001</v>
      </c>
      <c r="I145" s="201">
        <f t="shared" si="17"/>
        <v>0.1543000000000001</v>
      </c>
      <c r="J145" s="201">
        <f t="shared" si="18"/>
        <v>5.5199999999999888E-2</v>
      </c>
      <c r="K145" s="280">
        <f t="shared" si="19"/>
        <v>26.348448687350785</v>
      </c>
      <c r="L145" s="201">
        <v>7</v>
      </c>
      <c r="M145" s="205">
        <v>43173</v>
      </c>
      <c r="N145" s="205">
        <v>43173</v>
      </c>
      <c r="O145" s="201" t="s">
        <v>2556</v>
      </c>
      <c r="P145" s="201" t="s">
        <v>2555</v>
      </c>
      <c r="AB145" s="110" t="str">
        <f>IFERROR(INDEX('WetLitterbags placem_collection'!$A$3:$A$500,MATCH(A145,'WetLitterbags placem_collection'!$K$4:$K$500,0)),"")</f>
        <v/>
      </c>
      <c r="AC145" s="110">
        <f>IFERROR(INDEX('WetLitterbags placem_collection'!$A$3:$A$500,MATCH($A145,'WetLitterbags placem_collection'!$O$4:$O$500,0)),"")</f>
        <v>90</v>
      </c>
      <c r="AD145" s="110" t="str">
        <f>IFERROR(INDEX('WetLitterbags placem_collection'!$A$3:$A$500,MATCH($A145,'WetLitterbags placem_collection'!$M$4:$M$500,0)),"")</f>
        <v/>
      </c>
      <c r="AE145" s="110" t="str">
        <f>IFERROR(INDEX('WetLitterbags placem_collection'!$A$3:$A$500,MATCH($A145,'WetLitterbags placem_collection'!$Q$4:$Q$500,0)),"")</f>
        <v/>
      </c>
    </row>
    <row r="146" spans="1:31">
      <c r="A146" s="201" t="s">
        <v>1502</v>
      </c>
      <c r="C146" s="201">
        <v>51</v>
      </c>
      <c r="D146" s="202">
        <v>0.63549999999999995</v>
      </c>
      <c r="E146" s="201">
        <v>8.2193000000000005</v>
      </c>
      <c r="F146" s="202">
        <v>0.2001</v>
      </c>
      <c r="G146" s="201">
        <f t="shared" si="16"/>
        <v>8.4194000000000013</v>
      </c>
      <c r="H146" s="201">
        <v>8.2372999999999994</v>
      </c>
      <c r="I146" s="201">
        <f t="shared" si="17"/>
        <v>0.18210000000000193</v>
      </c>
      <c r="J146" s="201">
        <f t="shared" si="18"/>
        <v>1.7999999999998073E-2</v>
      </c>
      <c r="K146" s="280">
        <f t="shared" si="19"/>
        <v>8.9955022488745993</v>
      </c>
      <c r="L146" s="201">
        <v>24</v>
      </c>
      <c r="M146" s="201"/>
      <c r="N146" s="201"/>
      <c r="O146" s="201"/>
      <c r="P146" s="201"/>
      <c r="R146" s="197">
        <v>10</v>
      </c>
      <c r="S146" s="197">
        <v>0.62980000000000003</v>
      </c>
      <c r="U146" s="202" t="s">
        <v>958</v>
      </c>
      <c r="V146" s="197">
        <v>1.9059999999999999</v>
      </c>
      <c r="W146" s="197">
        <f>(V146-$T$175+F144)</f>
        <v>2.1120000000000001</v>
      </c>
      <c r="AB146" s="110">
        <f>IFERROR(INDEX('WetLitterbags placem_collection'!$A$3:$A$500,MATCH(A146,'WetLitterbags placem_collection'!$K$4:$K$500,0)),"")</f>
        <v>50</v>
      </c>
      <c r="AC146" s="110" t="str">
        <f>IFERROR(INDEX('WetLitterbags placem_collection'!$A$3:$A$500,MATCH($A146,'WetLitterbags placem_collection'!$O$4:$O$500,0)),"")</f>
        <v/>
      </c>
      <c r="AD146" s="110" t="str">
        <f>IFERROR(INDEX('WetLitterbags placem_collection'!$A$3:$A$500,MATCH($A146,'WetLitterbags placem_collection'!$M$4:$M$500,0)),"")</f>
        <v/>
      </c>
      <c r="AE146" s="110" t="str">
        <f>IFERROR(INDEX('WetLitterbags placem_collection'!$A$3:$A$500,MATCH($A146,'WetLitterbags placem_collection'!$Q$4:$Q$500,0)),"")</f>
        <v/>
      </c>
    </row>
    <row r="147" spans="1:31">
      <c r="A147" s="197" t="s">
        <v>1501</v>
      </c>
      <c r="C147" s="198">
        <v>73</v>
      </c>
      <c r="D147" s="197">
        <v>0.58309999999999995</v>
      </c>
      <c r="E147" s="197">
        <v>8.8618000000000006</v>
      </c>
      <c r="F147" s="202">
        <v>0.20399999999999999</v>
      </c>
      <c r="G147" s="201">
        <f t="shared" si="16"/>
        <v>9.0658000000000012</v>
      </c>
      <c r="H147" s="201">
        <v>8.8841999999999999</v>
      </c>
      <c r="I147" s="201">
        <f t="shared" si="17"/>
        <v>0.18160000000000132</v>
      </c>
      <c r="J147" s="201">
        <f t="shared" si="18"/>
        <v>2.2399999999998671E-2</v>
      </c>
      <c r="K147" s="280">
        <f t="shared" si="19"/>
        <v>10.980392156862093</v>
      </c>
      <c r="L147" s="201">
        <v>14</v>
      </c>
      <c r="P147" s="197" t="s">
        <v>2583</v>
      </c>
      <c r="AB147" s="110">
        <f>IFERROR(INDEX('WetLitterbags placem_collection'!$A$3:$A$500,MATCH(A147,'WetLitterbags placem_collection'!$K$4:$K$500,0)),"")</f>
        <v>72</v>
      </c>
      <c r="AC147" s="110" t="str">
        <f>IFERROR(INDEX('WetLitterbags placem_collection'!$A$3:$A$500,MATCH($A147,'WetLitterbags placem_collection'!$O$4:$O$500,0)),"")</f>
        <v/>
      </c>
      <c r="AD147" s="110" t="str">
        <f>IFERROR(INDEX('WetLitterbags placem_collection'!$A$3:$A$500,MATCH($A147,'WetLitterbags placem_collection'!$M$4:$M$500,0)),"")</f>
        <v/>
      </c>
      <c r="AE147" s="110" t="str">
        <f>IFERROR(INDEX('WetLitterbags placem_collection'!$A$3:$A$500,MATCH($A147,'WetLitterbags placem_collection'!$Q$4:$Q$500,0)),"")</f>
        <v/>
      </c>
    </row>
    <row r="148" spans="1:31">
      <c r="A148" s="206" t="s">
        <v>1500</v>
      </c>
      <c r="C148" s="201">
        <v>36</v>
      </c>
      <c r="D148" s="202">
        <v>0.51780000000000004</v>
      </c>
      <c r="E148" s="202">
        <v>10.1157</v>
      </c>
      <c r="F148" s="202">
        <v>0.20710000000000001</v>
      </c>
      <c r="G148" s="201">
        <f t="shared" si="16"/>
        <v>10.322800000000001</v>
      </c>
      <c r="H148" s="201">
        <v>10.1289</v>
      </c>
      <c r="I148" s="201">
        <f t="shared" si="17"/>
        <v>0.19390000000000107</v>
      </c>
      <c r="J148" s="201">
        <f t="shared" si="18"/>
        <v>1.3199999999998935E-2</v>
      </c>
      <c r="K148" s="280">
        <f t="shared" si="19"/>
        <v>6.3737324963780466</v>
      </c>
      <c r="L148" s="201">
        <v>22</v>
      </c>
      <c r="M148" s="205">
        <v>43199</v>
      </c>
      <c r="N148" s="205">
        <v>43199</v>
      </c>
      <c r="O148" s="201"/>
      <c r="P148" s="201"/>
      <c r="AB148" s="110" t="str">
        <f>IFERROR(INDEX('WetLitterbags placem_collection'!$A$3:$A$500,MATCH(A148,'WetLitterbags placem_collection'!$K$4:$K$500,0)),"")</f>
        <v/>
      </c>
      <c r="AC148" s="110">
        <f>IFERROR(INDEX('WetLitterbags placem_collection'!$A$3:$A$500,MATCH($A148,'WetLitterbags placem_collection'!$O$4:$O$500,0)),"")</f>
        <v>35</v>
      </c>
      <c r="AD148" s="110" t="str">
        <f>IFERROR(INDEX('WetLitterbags placem_collection'!$A$3:$A$500,MATCH($A148,'WetLitterbags placem_collection'!$M$4:$M$500,0)),"")</f>
        <v/>
      </c>
      <c r="AE148" s="110" t="str">
        <f>IFERROR(INDEX('WetLitterbags placem_collection'!$A$3:$A$500,MATCH($A148,'WetLitterbags placem_collection'!$Q$4:$Q$500,0)),"")</f>
        <v/>
      </c>
    </row>
    <row r="149" spans="1:31">
      <c r="A149" s="197" t="s">
        <v>1499</v>
      </c>
      <c r="C149" s="198">
        <v>181</v>
      </c>
      <c r="D149" s="197">
        <v>0.42820000000000003</v>
      </c>
      <c r="E149" s="201">
        <v>7.9611000000000001</v>
      </c>
      <c r="F149" s="202">
        <v>0.2046</v>
      </c>
      <c r="G149" s="201">
        <f t="shared" si="16"/>
        <v>8.1656999999999993</v>
      </c>
      <c r="H149" s="201">
        <v>7.9786000000000001</v>
      </c>
      <c r="I149" s="201">
        <f t="shared" si="17"/>
        <v>0.18709999999999916</v>
      </c>
      <c r="J149" s="201">
        <f t="shared" si="18"/>
        <v>1.7500000000000848E-2</v>
      </c>
      <c r="K149" s="280">
        <f t="shared" si="19"/>
        <v>8.5532746823073538</v>
      </c>
      <c r="L149" s="201">
        <v>39</v>
      </c>
      <c r="M149" s="204">
        <v>43212</v>
      </c>
      <c r="AB149" s="110" t="str">
        <f>IFERROR(INDEX('WetLitterbags placem_collection'!$A$3:$A$500,MATCH(A149,'WetLitterbags placem_collection'!$K$4:$K$500,0)),"")</f>
        <v/>
      </c>
      <c r="AC149" s="110">
        <f>IFERROR(INDEX('WetLitterbags placem_collection'!$A$3:$A$500,MATCH($A149,'WetLitterbags placem_collection'!$O$4:$O$500,0)),"")</f>
        <v>180</v>
      </c>
      <c r="AD149" s="110" t="str">
        <f>IFERROR(INDEX('WetLitterbags placem_collection'!$A$3:$A$500,MATCH($A149,'WetLitterbags placem_collection'!$M$4:$M$500,0)),"")</f>
        <v/>
      </c>
      <c r="AE149" s="110" t="str">
        <f>IFERROR(INDEX('WetLitterbags placem_collection'!$A$3:$A$500,MATCH($A149,'WetLitterbags placem_collection'!$Q$4:$Q$500,0)),"")</f>
        <v/>
      </c>
    </row>
    <row r="150" spans="1:31">
      <c r="A150" s="197" t="s">
        <v>1498</v>
      </c>
      <c r="C150" s="198">
        <v>22</v>
      </c>
      <c r="D150" s="197">
        <v>0.54759999999999998</v>
      </c>
      <c r="E150" s="202">
        <v>10.4162</v>
      </c>
      <c r="F150" s="202">
        <v>0.20300000000000001</v>
      </c>
      <c r="G150" s="201">
        <f t="shared" si="16"/>
        <v>10.619199999999999</v>
      </c>
      <c r="H150" s="201">
        <v>10.4407</v>
      </c>
      <c r="I150" s="201">
        <f t="shared" si="17"/>
        <v>0.17849999999999966</v>
      </c>
      <c r="J150" s="201">
        <f t="shared" si="18"/>
        <v>2.4500000000000355E-2</v>
      </c>
      <c r="K150" s="280">
        <f t="shared" si="19"/>
        <v>12.068965517241553</v>
      </c>
      <c r="L150" s="201">
        <v>39</v>
      </c>
      <c r="AB150" s="110" t="str">
        <f>IFERROR(INDEX('WetLitterbags placem_collection'!$A$3:$A$500,MATCH(A150,'WetLitterbags placem_collection'!$K$4:$K$500,0)),"")</f>
        <v/>
      </c>
      <c r="AC150" s="110">
        <f>IFERROR(INDEX('WetLitterbags placem_collection'!$A$3:$A$500,MATCH($A150,'WetLitterbags placem_collection'!$O$4:$O$500,0)),"")</f>
        <v>21</v>
      </c>
      <c r="AD150" s="110" t="str">
        <f>IFERROR(INDEX('WetLitterbags placem_collection'!$A$3:$A$500,MATCH($A150,'WetLitterbags placem_collection'!$M$4:$M$500,0)),"")</f>
        <v/>
      </c>
      <c r="AE150" s="110" t="str">
        <f>IFERROR(INDEX('WetLitterbags placem_collection'!$A$3:$A$500,MATCH($A150,'WetLitterbags placem_collection'!$Q$4:$Q$500,0)),"")</f>
        <v/>
      </c>
    </row>
    <row r="151" spans="1:31">
      <c r="A151" s="206" t="s">
        <v>1496</v>
      </c>
      <c r="C151" s="201">
        <v>64</v>
      </c>
      <c r="D151" s="202">
        <v>1.0066999999999999</v>
      </c>
      <c r="E151" s="201">
        <v>10.675000000000001</v>
      </c>
      <c r="F151" s="202">
        <v>0.20100000000000001</v>
      </c>
      <c r="G151" s="201">
        <f t="shared" si="16"/>
        <v>10.876000000000001</v>
      </c>
      <c r="H151" s="201">
        <v>10.749000000000001</v>
      </c>
      <c r="I151" s="201">
        <f t="shared" si="17"/>
        <v>0.12700000000000067</v>
      </c>
      <c r="J151" s="201">
        <f t="shared" si="18"/>
        <v>7.3999999999999344E-2</v>
      </c>
      <c r="K151" s="280">
        <f t="shared" si="19"/>
        <v>36.815920398009624</v>
      </c>
      <c r="L151" s="201">
        <v>20</v>
      </c>
      <c r="M151" s="205">
        <v>43206</v>
      </c>
      <c r="N151" s="205">
        <v>43206</v>
      </c>
      <c r="O151" s="201"/>
      <c r="P151" s="201"/>
      <c r="AB151" s="110">
        <f>IFERROR(INDEX('WetLitterbags placem_collection'!$A$3:$A$500,MATCH(A151,'WetLitterbags placem_collection'!$K$4:$K$500,0)),"")</f>
        <v>63</v>
      </c>
      <c r="AC151" s="110" t="str">
        <f>IFERROR(INDEX('WetLitterbags placem_collection'!$A$3:$A$500,MATCH($A151,'WetLitterbags placem_collection'!$O$4:$O$500,0)),"")</f>
        <v/>
      </c>
      <c r="AD151" s="110" t="str">
        <f>IFERROR(INDEX('WetLitterbags placem_collection'!$A$3:$A$500,MATCH($A151,'WetLitterbags placem_collection'!$M$4:$M$500,0)),"")</f>
        <v/>
      </c>
      <c r="AE151" s="110" t="str">
        <f>IFERROR(INDEX('WetLitterbags placem_collection'!$A$3:$A$500,MATCH($A151,'WetLitterbags placem_collection'!$Q$4:$Q$500,0)),"")</f>
        <v/>
      </c>
    </row>
    <row r="152" spans="1:31">
      <c r="A152" s="201" t="s">
        <v>1494</v>
      </c>
      <c r="C152" s="197">
        <v>33</v>
      </c>
      <c r="D152" s="201">
        <v>0.43240000000000001</v>
      </c>
      <c r="E152" s="202">
        <v>8.8607999999999993</v>
      </c>
      <c r="F152" s="202">
        <v>0.20230000000000001</v>
      </c>
      <c r="G152" s="201">
        <f t="shared" si="16"/>
        <v>9.0630999999999986</v>
      </c>
      <c r="H152" s="201">
        <v>8.8826000000000001</v>
      </c>
      <c r="I152" s="201">
        <f t="shared" si="17"/>
        <v>0.18049999999999855</v>
      </c>
      <c r="J152" s="201">
        <f t="shared" si="18"/>
        <v>2.1800000000001457E-2</v>
      </c>
      <c r="K152" s="280">
        <f t="shared" si="19"/>
        <v>10.776075135937448</v>
      </c>
      <c r="L152" s="201">
        <v>18</v>
      </c>
      <c r="M152" s="207">
        <v>43186.458333333336</v>
      </c>
      <c r="N152" s="207">
        <v>43186.625</v>
      </c>
      <c r="O152" s="197" t="s">
        <v>2550</v>
      </c>
      <c r="P152" s="201"/>
      <c r="AB152" s="110" t="str">
        <f>IFERROR(INDEX('WetLitterbags placem_collection'!$A$3:$A$500,MATCH(A152,'WetLitterbags placem_collection'!$K$4:$K$500,0)),"")</f>
        <v/>
      </c>
      <c r="AC152" s="110">
        <f>IFERROR(INDEX('WetLitterbags placem_collection'!$A$3:$A$500,MATCH($A152,'WetLitterbags placem_collection'!$O$4:$O$500,0)),"")</f>
        <v>32</v>
      </c>
      <c r="AD152" s="110" t="str">
        <f>IFERROR(INDEX('WetLitterbags placem_collection'!$A$3:$A$500,MATCH($A152,'WetLitterbags placem_collection'!$M$4:$M$500,0)),"")</f>
        <v/>
      </c>
      <c r="AE152" s="110" t="str">
        <f>IFERROR(INDEX('WetLitterbags placem_collection'!$A$3:$A$500,MATCH($A152,'WetLitterbags placem_collection'!$Q$4:$Q$500,0)),"")</f>
        <v/>
      </c>
    </row>
    <row r="153" spans="1:31">
      <c r="A153" s="206" t="s">
        <v>1493</v>
      </c>
      <c r="C153" s="201">
        <v>56</v>
      </c>
      <c r="D153" s="202">
        <v>0.53510000000000002</v>
      </c>
      <c r="E153" s="202">
        <v>10.503500000000001</v>
      </c>
      <c r="F153" s="202">
        <v>0.2056</v>
      </c>
      <c r="G153" s="201">
        <f t="shared" si="16"/>
        <v>10.709100000000001</v>
      </c>
      <c r="H153" s="201">
        <v>10.5266</v>
      </c>
      <c r="I153" s="201">
        <f t="shared" si="17"/>
        <v>0.18250000000000099</v>
      </c>
      <c r="J153" s="201">
        <f t="shared" si="18"/>
        <v>2.309999999999901E-2</v>
      </c>
      <c r="K153" s="280">
        <f t="shared" si="19"/>
        <v>11.235408560310804</v>
      </c>
      <c r="L153" s="201">
        <v>11</v>
      </c>
      <c r="M153" s="201"/>
      <c r="N153" s="201"/>
      <c r="O153" s="201"/>
      <c r="P153" s="201"/>
      <c r="U153" s="202" t="s">
        <v>1596</v>
      </c>
      <c r="V153" s="197">
        <v>0.88949999999999996</v>
      </c>
      <c r="W153" s="197">
        <f>(V153-$T$175+F151)</f>
        <v>1.0905</v>
      </c>
      <c r="AB153" s="110" t="str">
        <f>IFERROR(INDEX('WetLitterbags placem_collection'!$A$3:$A$500,MATCH(A153,'WetLitterbags placem_collection'!$K$4:$K$500,0)),"")</f>
        <v/>
      </c>
      <c r="AC153" s="110">
        <f>IFERROR(INDEX('WetLitterbags placem_collection'!$A$3:$A$500,MATCH($A153,'WetLitterbags placem_collection'!$O$4:$O$500,0)),"")</f>
        <v>55</v>
      </c>
      <c r="AD153" s="110" t="str">
        <f>IFERROR(INDEX('WetLitterbags placem_collection'!$A$3:$A$500,MATCH($A153,'WetLitterbags placem_collection'!$M$4:$M$500,0)),"")</f>
        <v/>
      </c>
      <c r="AE153" s="110" t="str">
        <f>IFERROR(INDEX('WetLitterbags placem_collection'!$A$3:$A$500,MATCH($A153,'WetLitterbags placem_collection'!$Q$4:$Q$500,0)),"")</f>
        <v/>
      </c>
    </row>
    <row r="154" spans="1:31">
      <c r="A154" s="206" t="s">
        <v>1490</v>
      </c>
      <c r="C154" s="201">
        <v>212</v>
      </c>
      <c r="D154" s="201">
        <v>1.1640999999999999</v>
      </c>
      <c r="E154" s="201">
        <v>8.1172000000000004</v>
      </c>
      <c r="F154" s="201">
        <v>0.20930000000000001</v>
      </c>
      <c r="G154" s="201">
        <f t="shared" si="16"/>
        <v>8.3265000000000011</v>
      </c>
      <c r="H154" s="201">
        <v>8.1989999999999998</v>
      </c>
      <c r="I154" s="201">
        <f t="shared" si="17"/>
        <v>0.12750000000000128</v>
      </c>
      <c r="J154" s="201">
        <f t="shared" si="18"/>
        <v>8.1799999999998735E-2</v>
      </c>
      <c r="K154" s="280">
        <f t="shared" si="19"/>
        <v>39.082656473960213</v>
      </c>
      <c r="L154" s="201">
        <v>3</v>
      </c>
      <c r="M154" s="203">
        <v>43171.520833333336</v>
      </c>
      <c r="N154" s="203">
        <v>43171.6875</v>
      </c>
      <c r="O154" s="197" t="s">
        <v>2550</v>
      </c>
      <c r="P154" s="201"/>
      <c r="AB154" s="110" t="str">
        <f>IFERROR(INDEX('WetLitterbags placem_collection'!$A$3:$A$500,MATCH(A154,'WetLitterbags placem_collection'!$K$4:$K$500,0)),"")</f>
        <v/>
      </c>
      <c r="AC154" s="110">
        <f>IFERROR(INDEX('WetLitterbags placem_collection'!$A$3:$A$500,MATCH($A154,'WetLitterbags placem_collection'!$O$4:$O$500,0)),"")</f>
        <v>211</v>
      </c>
      <c r="AD154" s="110" t="str">
        <f>IFERROR(INDEX('WetLitterbags placem_collection'!$A$3:$A$500,MATCH($A154,'WetLitterbags placem_collection'!$M$4:$M$500,0)),"")</f>
        <v/>
      </c>
      <c r="AE154" s="110" t="str">
        <f>IFERROR(INDEX('WetLitterbags placem_collection'!$A$3:$A$500,MATCH($A154,'WetLitterbags placem_collection'!$Q$4:$Q$500,0)),"")</f>
        <v/>
      </c>
    </row>
    <row r="155" spans="1:31">
      <c r="A155" s="197" t="s">
        <v>1489</v>
      </c>
      <c r="C155" s="197">
        <v>86</v>
      </c>
      <c r="D155" s="197">
        <v>0.55600000000000005</v>
      </c>
      <c r="E155" s="197">
        <v>19.649999999999999</v>
      </c>
      <c r="F155" s="197">
        <v>0.20119999999999999</v>
      </c>
      <c r="G155" s="197">
        <f t="shared" si="16"/>
        <v>19.851199999999999</v>
      </c>
      <c r="H155" s="197">
        <v>19.6675</v>
      </c>
      <c r="I155" s="197">
        <f t="shared" si="17"/>
        <v>0.1836999999999982</v>
      </c>
      <c r="J155" s="201">
        <f t="shared" si="18"/>
        <v>1.7500000000001792E-2</v>
      </c>
      <c r="K155" s="280">
        <f t="shared" si="19"/>
        <v>8.6978131212732563</v>
      </c>
      <c r="L155" s="197">
        <v>12</v>
      </c>
      <c r="M155" s="197" t="s">
        <v>2580</v>
      </c>
      <c r="N155" s="197" t="s">
        <v>2579</v>
      </c>
      <c r="O155" s="197" t="s">
        <v>2556</v>
      </c>
      <c r="AB155" s="110" t="str">
        <f>IFERROR(INDEX('WetLitterbags placem_collection'!$A$3:$A$500,MATCH(A155,'WetLitterbags placem_collection'!$K$4:$K$500,0)),"")</f>
        <v/>
      </c>
      <c r="AC155" s="110">
        <f>IFERROR(INDEX('WetLitterbags placem_collection'!$A$3:$A$500,MATCH($A155,'WetLitterbags placem_collection'!$O$4:$O$500,0)),"")</f>
        <v>85</v>
      </c>
      <c r="AD155" s="110" t="str">
        <f>IFERROR(INDEX('WetLitterbags placem_collection'!$A$3:$A$500,MATCH($A155,'WetLitterbags placem_collection'!$M$4:$M$500,0)),"")</f>
        <v/>
      </c>
      <c r="AE155" s="110" t="str">
        <f>IFERROR(INDEX('WetLitterbags placem_collection'!$A$3:$A$500,MATCH($A155,'WetLitterbags placem_collection'!$Q$4:$Q$500,0)),"")</f>
        <v/>
      </c>
    </row>
    <row r="156" spans="1:31">
      <c r="A156" s="206" t="s">
        <v>1487</v>
      </c>
      <c r="C156" s="201">
        <v>116</v>
      </c>
      <c r="D156" s="202">
        <v>0.43070000000000003</v>
      </c>
      <c r="E156" s="202">
        <v>7.1894999999999998</v>
      </c>
      <c r="F156" s="202">
        <v>0.20100000000000001</v>
      </c>
      <c r="G156" s="201">
        <f t="shared" si="16"/>
        <v>7.3904999999999994</v>
      </c>
      <c r="H156" s="201">
        <v>7.2225999999999999</v>
      </c>
      <c r="I156" s="201">
        <f t="shared" si="17"/>
        <v>0.16789999999999949</v>
      </c>
      <c r="J156" s="201">
        <f t="shared" si="18"/>
        <v>3.3100000000000518E-2</v>
      </c>
      <c r="K156" s="280">
        <f t="shared" si="19"/>
        <v>16.467661691542546</v>
      </c>
      <c r="L156" s="201">
        <v>15</v>
      </c>
      <c r="M156" s="203">
        <v>43181.645833333336</v>
      </c>
      <c r="N156" s="203">
        <v>43181.833333333336</v>
      </c>
      <c r="O156" s="201" t="s">
        <v>2556</v>
      </c>
      <c r="P156" s="201"/>
      <c r="AB156" s="110" t="str">
        <f>IFERROR(INDEX('WetLitterbags placem_collection'!$A$3:$A$500,MATCH(A156,'WetLitterbags placem_collection'!$K$4:$K$500,0)),"")</f>
        <v/>
      </c>
      <c r="AC156" s="110">
        <f>IFERROR(INDEX('WetLitterbags placem_collection'!$A$3:$A$500,MATCH($A156,'WetLitterbags placem_collection'!$O$4:$O$500,0)),"")</f>
        <v>115</v>
      </c>
      <c r="AD156" s="110" t="str">
        <f>IFERROR(INDEX('WetLitterbags placem_collection'!$A$3:$A$500,MATCH($A156,'WetLitterbags placem_collection'!$M$4:$M$500,0)),"")</f>
        <v/>
      </c>
      <c r="AE156" s="110" t="str">
        <f>IFERROR(INDEX('WetLitterbags placem_collection'!$A$3:$A$500,MATCH($A156,'WetLitterbags placem_collection'!$Q$4:$Q$500,0)),"")</f>
        <v/>
      </c>
    </row>
    <row r="157" spans="1:31">
      <c r="A157" s="197" t="s">
        <v>1486</v>
      </c>
      <c r="C157" s="198">
        <v>185</v>
      </c>
      <c r="D157" s="197">
        <v>0.44240000000000002</v>
      </c>
      <c r="E157" s="202">
        <v>10.0556</v>
      </c>
      <c r="F157" s="202">
        <v>0.2016</v>
      </c>
      <c r="G157" s="201">
        <f t="shared" si="16"/>
        <v>10.257200000000001</v>
      </c>
      <c r="H157" s="201">
        <v>10.0726</v>
      </c>
      <c r="I157" s="201">
        <f t="shared" si="17"/>
        <v>0.18460000000000143</v>
      </c>
      <c r="J157" s="201">
        <f t="shared" si="18"/>
        <v>1.6999999999998572E-2</v>
      </c>
      <c r="K157" s="280">
        <f t="shared" si="19"/>
        <v>8.4325396825389731</v>
      </c>
      <c r="L157" s="201">
        <v>3</v>
      </c>
      <c r="AB157" s="110" t="str">
        <f>IFERROR(INDEX('WetLitterbags placem_collection'!$A$3:$A$500,MATCH(A157,'WetLitterbags placem_collection'!$K$4:$K$500,0)),"")</f>
        <v/>
      </c>
      <c r="AC157" s="110">
        <f>IFERROR(INDEX('WetLitterbags placem_collection'!$A$3:$A$500,MATCH($A157,'WetLitterbags placem_collection'!$O$4:$O$500,0)),"")</f>
        <v>184</v>
      </c>
      <c r="AD157" s="110" t="str">
        <f>IFERROR(INDEX('WetLitterbags placem_collection'!$A$3:$A$500,MATCH($A157,'WetLitterbags placem_collection'!$M$4:$M$500,0)),"")</f>
        <v/>
      </c>
      <c r="AE157" s="110" t="str">
        <f>IFERROR(INDEX('WetLitterbags placem_collection'!$A$3:$A$500,MATCH($A157,'WetLitterbags placem_collection'!$Q$4:$Q$500,0)),"")</f>
        <v/>
      </c>
    </row>
    <row r="158" spans="1:31">
      <c r="A158" s="197" t="s">
        <v>1485</v>
      </c>
      <c r="C158" s="197">
        <v>62</v>
      </c>
      <c r="D158" s="197">
        <v>0.68069999999999997</v>
      </c>
      <c r="E158" s="197">
        <v>11.747999999999999</v>
      </c>
      <c r="F158" s="197">
        <v>0.20549999999999999</v>
      </c>
      <c r="G158" s="197">
        <f t="shared" si="16"/>
        <v>11.9535</v>
      </c>
      <c r="H158" s="197">
        <v>11.7906</v>
      </c>
      <c r="I158" s="197">
        <f t="shared" si="17"/>
        <v>0.16290000000000049</v>
      </c>
      <c r="J158" s="201">
        <f t="shared" si="18"/>
        <v>4.2599999999999499E-2</v>
      </c>
      <c r="K158" s="280">
        <f t="shared" si="19"/>
        <v>20.729927007299029</v>
      </c>
      <c r="L158" s="197">
        <v>45</v>
      </c>
      <c r="M158" s="197" t="s">
        <v>2586</v>
      </c>
      <c r="N158" s="197" t="s">
        <v>2585</v>
      </c>
      <c r="O158" s="197" t="s">
        <v>2550</v>
      </c>
      <c r="AB158" s="110">
        <f>IFERROR(INDEX('WetLitterbags placem_collection'!$A$3:$A$500,MATCH(A158,'WetLitterbags placem_collection'!$K$4:$K$500,0)),"")</f>
        <v>61</v>
      </c>
      <c r="AC158" s="110" t="str">
        <f>IFERROR(INDEX('WetLitterbags placem_collection'!$A$3:$A$500,MATCH($A158,'WetLitterbags placem_collection'!$O$4:$O$500,0)),"")</f>
        <v/>
      </c>
      <c r="AD158" s="110" t="str">
        <f>IFERROR(INDEX('WetLitterbags placem_collection'!$A$3:$A$500,MATCH($A158,'WetLitterbags placem_collection'!$M$4:$M$500,0)),"")</f>
        <v/>
      </c>
      <c r="AE158" s="110" t="str">
        <f>IFERROR(INDEX('WetLitterbags placem_collection'!$A$3:$A$500,MATCH($A158,'WetLitterbags placem_collection'!$Q$4:$Q$500,0)),"")</f>
        <v/>
      </c>
    </row>
    <row r="159" spans="1:31">
      <c r="A159" s="202" t="s">
        <v>1485</v>
      </c>
      <c r="C159" s="201">
        <v>117</v>
      </c>
      <c r="D159" s="201">
        <v>1.1574</v>
      </c>
      <c r="E159" s="201">
        <v>8.0631000000000004</v>
      </c>
      <c r="F159" s="201">
        <v>0.20119999999999999</v>
      </c>
      <c r="G159" s="201">
        <f t="shared" si="16"/>
        <v>8.2643000000000004</v>
      </c>
      <c r="H159" s="201">
        <v>8.0713000000000008</v>
      </c>
      <c r="I159" s="201">
        <f t="shared" si="17"/>
        <v>0.19299999999999962</v>
      </c>
      <c r="J159" s="201">
        <f t="shared" si="18"/>
        <v>8.2000000000003737E-3</v>
      </c>
      <c r="K159" s="280">
        <f t="shared" si="19"/>
        <v>4.0755467196820945</v>
      </c>
      <c r="L159" s="201">
        <v>30</v>
      </c>
      <c r="M159" s="205">
        <v>43173</v>
      </c>
      <c r="N159" s="205">
        <v>43173</v>
      </c>
      <c r="O159" s="201" t="s">
        <v>2556</v>
      </c>
      <c r="P159" s="201" t="s">
        <v>2555</v>
      </c>
      <c r="AB159" s="110">
        <f>IFERROR(INDEX('WetLitterbags placem_collection'!$A$3:$A$500,MATCH(A159,'WetLitterbags placem_collection'!$K$4:$K$500,0)),"")</f>
        <v>61</v>
      </c>
      <c r="AC159" s="110" t="str">
        <f>IFERROR(INDEX('WetLitterbags placem_collection'!$A$3:$A$500,MATCH($A159,'WetLitterbags placem_collection'!$O$4:$O$500,0)),"")</f>
        <v/>
      </c>
      <c r="AD159" s="110" t="str">
        <f>IFERROR(INDEX('WetLitterbags placem_collection'!$A$3:$A$500,MATCH($A159,'WetLitterbags placem_collection'!$M$4:$M$500,0)),"")</f>
        <v/>
      </c>
      <c r="AE159" s="110" t="str">
        <f>IFERROR(INDEX('WetLitterbags placem_collection'!$A$3:$A$500,MATCH($A159,'WetLitterbags placem_collection'!$Q$4:$Q$500,0)),"")</f>
        <v/>
      </c>
    </row>
    <row r="160" spans="1:31">
      <c r="A160" s="197" t="s">
        <v>1484</v>
      </c>
      <c r="C160" s="197">
        <v>39</v>
      </c>
      <c r="D160" s="197">
        <v>0.57299999999999995</v>
      </c>
      <c r="E160" s="197">
        <v>7.8696000000000002</v>
      </c>
      <c r="F160" s="197">
        <v>0.20100000000000001</v>
      </c>
      <c r="G160" s="197">
        <f t="shared" si="16"/>
        <v>8.0706000000000007</v>
      </c>
      <c r="H160" s="197">
        <v>7.8784999999999998</v>
      </c>
      <c r="I160" s="197">
        <f t="shared" si="17"/>
        <v>0.19210000000000083</v>
      </c>
      <c r="J160" s="201">
        <f t="shared" si="18"/>
        <v>8.8999999999991863E-3</v>
      </c>
      <c r="K160" s="280">
        <f t="shared" si="19"/>
        <v>4.4278606965170084</v>
      </c>
      <c r="L160" s="197">
        <v>27</v>
      </c>
      <c r="M160" s="197" t="s">
        <v>2586</v>
      </c>
      <c r="N160" s="197" t="s">
        <v>2585</v>
      </c>
      <c r="O160" s="197" t="s">
        <v>2550</v>
      </c>
      <c r="AB160" s="110" t="str">
        <f>IFERROR(INDEX('WetLitterbags placem_collection'!$A$3:$A$500,MATCH(A160,'WetLitterbags placem_collection'!$K$4:$K$500,0)),"")</f>
        <v/>
      </c>
      <c r="AC160" s="110">
        <f>IFERROR(INDEX('WetLitterbags placem_collection'!$A$3:$A$500,MATCH($A160,'WetLitterbags placem_collection'!$O$4:$O$500,0)),"")</f>
        <v>38</v>
      </c>
      <c r="AD160" s="110" t="str">
        <f>IFERROR(INDEX('WetLitterbags placem_collection'!$A$3:$A$500,MATCH($A160,'WetLitterbags placem_collection'!$M$4:$M$500,0)),"")</f>
        <v/>
      </c>
      <c r="AE160" s="110" t="str">
        <f>IFERROR(INDEX('WetLitterbags placem_collection'!$A$3:$A$500,MATCH($A160,'WetLitterbags placem_collection'!$Q$4:$Q$500,0)),"")</f>
        <v/>
      </c>
    </row>
    <row r="161" spans="1:31">
      <c r="A161" s="201" t="s">
        <v>1483</v>
      </c>
      <c r="C161" s="201">
        <v>151</v>
      </c>
      <c r="D161" s="197">
        <v>0.56779999999999997</v>
      </c>
      <c r="E161" s="197">
        <v>9.0214999999999996</v>
      </c>
      <c r="F161" s="197">
        <v>0.2077</v>
      </c>
      <c r="G161" s="197">
        <f t="shared" si="16"/>
        <v>9.2291999999999987</v>
      </c>
      <c r="H161" s="197">
        <v>9.0632000000000001</v>
      </c>
      <c r="I161" s="197">
        <f t="shared" si="17"/>
        <v>0.16599999999999859</v>
      </c>
      <c r="J161" s="201">
        <f t="shared" si="18"/>
        <v>4.1700000000001403E-2</v>
      </c>
      <c r="K161" s="280">
        <f t="shared" si="19"/>
        <v>20.077034183919789</v>
      </c>
      <c r="L161" s="197">
        <v>13</v>
      </c>
      <c r="M161" s="207">
        <v>43160.520833333336</v>
      </c>
      <c r="N161" s="207">
        <v>43160.6875</v>
      </c>
      <c r="O161" s="197" t="s">
        <v>2550</v>
      </c>
      <c r="AB161" s="110">
        <f>IFERROR(INDEX('WetLitterbags placem_collection'!$A$3:$A$500,MATCH(A161,'WetLitterbags placem_collection'!$K$4:$K$500,0)),"")</f>
        <v>150</v>
      </c>
      <c r="AC161" s="110" t="str">
        <f>IFERROR(INDEX('WetLitterbags placem_collection'!$A$3:$A$500,MATCH($A161,'WetLitterbags placem_collection'!$O$4:$O$500,0)),"")</f>
        <v/>
      </c>
      <c r="AD161" s="110" t="str">
        <f>IFERROR(INDEX('WetLitterbags placem_collection'!$A$3:$A$500,MATCH($A161,'WetLitterbags placem_collection'!$M$4:$M$500,0)),"")</f>
        <v/>
      </c>
      <c r="AE161" s="110" t="str">
        <f>IFERROR(INDEX('WetLitterbags placem_collection'!$A$3:$A$500,MATCH($A161,'WetLitterbags placem_collection'!$Q$4:$Q$500,0)),"")</f>
        <v/>
      </c>
    </row>
    <row r="162" spans="1:31">
      <c r="A162" s="197" t="s">
        <v>1482</v>
      </c>
      <c r="C162" s="198">
        <v>2</v>
      </c>
      <c r="D162" s="197">
        <v>0.44080000000000003</v>
      </c>
      <c r="E162" s="202">
        <v>10.1248</v>
      </c>
      <c r="F162" s="202">
        <v>0.2011</v>
      </c>
      <c r="G162" s="201">
        <f t="shared" si="16"/>
        <v>10.325900000000001</v>
      </c>
      <c r="H162" s="201">
        <v>10.1419</v>
      </c>
      <c r="I162" s="201">
        <f t="shared" si="17"/>
        <v>0.18400000000000105</v>
      </c>
      <c r="J162" s="201">
        <f t="shared" si="18"/>
        <v>1.7099999999998949E-2</v>
      </c>
      <c r="K162" s="280">
        <f t="shared" si="19"/>
        <v>8.5032322227742174</v>
      </c>
      <c r="L162" s="201">
        <v>8</v>
      </c>
      <c r="M162" s="204">
        <v>43221</v>
      </c>
      <c r="N162" s="204">
        <v>43221</v>
      </c>
      <c r="T162" s="204"/>
      <c r="U162" s="204"/>
      <c r="AB162" s="110">
        <f>IFERROR(INDEX('WetLitterbags placem_collection'!$A$3:$A$500,MATCH(A162,'WetLitterbags placem_collection'!$K$4:$K$500,0)),"")</f>
        <v>1</v>
      </c>
      <c r="AC162" s="110" t="str">
        <f>IFERROR(INDEX('WetLitterbags placem_collection'!$A$3:$A$500,MATCH($A162,'WetLitterbags placem_collection'!$O$4:$O$500,0)),"")</f>
        <v/>
      </c>
      <c r="AD162" s="110" t="str">
        <f>IFERROR(INDEX('WetLitterbags placem_collection'!$A$3:$A$500,MATCH($A162,'WetLitterbags placem_collection'!$M$4:$M$500,0)),"")</f>
        <v/>
      </c>
      <c r="AE162" s="110" t="str">
        <f>IFERROR(INDEX('WetLitterbags placem_collection'!$A$3:$A$500,MATCH($A162,'WetLitterbags placem_collection'!$Q$4:$Q$500,0)),"")</f>
        <v/>
      </c>
    </row>
    <row r="163" spans="1:31">
      <c r="A163" s="197" t="s">
        <v>1479</v>
      </c>
      <c r="C163" s="197">
        <v>17</v>
      </c>
      <c r="D163" s="197">
        <v>0.50049999999999994</v>
      </c>
      <c r="E163" s="201">
        <v>11.171799999999999</v>
      </c>
      <c r="F163" s="202">
        <v>0.20369999999999999</v>
      </c>
      <c r="G163" s="201">
        <f t="shared" si="16"/>
        <v>11.375499999999999</v>
      </c>
      <c r="H163" s="201">
        <v>11.1915</v>
      </c>
      <c r="I163" s="201">
        <f t="shared" si="17"/>
        <v>0.18399999999999928</v>
      </c>
      <c r="J163" s="201">
        <f t="shared" si="18"/>
        <v>1.9700000000000717E-2</v>
      </c>
      <c r="K163" s="280">
        <f t="shared" si="19"/>
        <v>9.6710849288172405</v>
      </c>
      <c r="L163" s="201">
        <v>18</v>
      </c>
      <c r="M163" s="204">
        <v>43213</v>
      </c>
      <c r="N163" s="204">
        <v>43213</v>
      </c>
      <c r="AB163" s="110">
        <f>IFERROR(INDEX('WetLitterbags placem_collection'!$A$3:$A$500,MATCH(A163,'WetLitterbags placem_collection'!$K$4:$K$500,0)),"")</f>
        <v>16</v>
      </c>
      <c r="AC163" s="110" t="str">
        <f>IFERROR(INDEX('WetLitterbags placem_collection'!$A$3:$A$500,MATCH($A163,'WetLitterbags placem_collection'!$O$4:$O$500,0)),"")</f>
        <v/>
      </c>
      <c r="AD163" s="110" t="str">
        <f>IFERROR(INDEX('WetLitterbags placem_collection'!$A$3:$A$500,MATCH($A163,'WetLitterbags placem_collection'!$M$4:$M$500,0)),"")</f>
        <v/>
      </c>
      <c r="AE163" s="110" t="str">
        <f>IFERROR(INDEX('WetLitterbags placem_collection'!$A$3:$A$500,MATCH($A163,'WetLitterbags placem_collection'!$Q$4:$Q$500,0)),"")</f>
        <v/>
      </c>
    </row>
    <row r="164" spans="1:31">
      <c r="A164" s="201" t="s">
        <v>1478</v>
      </c>
      <c r="C164" s="201">
        <v>213</v>
      </c>
      <c r="D164" s="201">
        <v>0.49080000000000001</v>
      </c>
      <c r="E164" s="201">
        <v>9.8213000000000008</v>
      </c>
      <c r="F164" s="201">
        <v>0.2019</v>
      </c>
      <c r="G164" s="201">
        <f t="shared" si="16"/>
        <v>10.023200000000001</v>
      </c>
      <c r="H164" s="201">
        <v>9.8420000000000005</v>
      </c>
      <c r="I164" s="201">
        <f t="shared" si="17"/>
        <v>0.18120000000000047</v>
      </c>
      <c r="J164" s="201">
        <f t="shared" si="18"/>
        <v>2.0699999999999524E-2</v>
      </c>
      <c r="K164" s="280">
        <f t="shared" si="19"/>
        <v>10.252600297176585</v>
      </c>
      <c r="L164" s="201">
        <v>8</v>
      </c>
      <c r="M164" s="205">
        <v>43188</v>
      </c>
      <c r="N164" s="205">
        <v>43188</v>
      </c>
      <c r="O164" s="201"/>
      <c r="P164" s="201"/>
      <c r="AB164" s="110">
        <f>IFERROR(INDEX('WetLitterbags placem_collection'!$A$3:$A$500,MATCH(A164,'WetLitterbags placem_collection'!$K$4:$K$500,0)),"")</f>
        <v>212</v>
      </c>
      <c r="AC164" s="110" t="str">
        <f>IFERROR(INDEX('WetLitterbags placem_collection'!$A$3:$A$500,MATCH($A164,'WetLitterbags placem_collection'!$O$4:$O$500,0)),"")</f>
        <v/>
      </c>
      <c r="AD164" s="110" t="str">
        <f>IFERROR(INDEX('WetLitterbags placem_collection'!$A$3:$A$500,MATCH($A164,'WetLitterbags placem_collection'!$M$4:$M$500,0)),"")</f>
        <v/>
      </c>
      <c r="AE164" s="110" t="str">
        <f>IFERROR(INDEX('WetLitterbags placem_collection'!$A$3:$A$500,MATCH($A164,'WetLitterbags placem_collection'!$Q$4:$Q$500,0)),"")</f>
        <v/>
      </c>
    </row>
    <row r="165" spans="1:31">
      <c r="A165" s="206" t="s">
        <v>1477</v>
      </c>
      <c r="C165" s="201">
        <v>18</v>
      </c>
      <c r="D165" s="201">
        <v>0.4874</v>
      </c>
      <c r="E165" s="201">
        <v>7.9055</v>
      </c>
      <c r="F165" s="202">
        <v>0.20780000000000001</v>
      </c>
      <c r="G165" s="201">
        <f t="shared" si="16"/>
        <v>8.1133000000000006</v>
      </c>
      <c r="H165" s="201">
        <v>7.9348000000000001</v>
      </c>
      <c r="I165" s="201">
        <f t="shared" si="17"/>
        <v>0.17850000000000055</v>
      </c>
      <c r="J165" s="201">
        <f t="shared" si="18"/>
        <v>2.9299999999999465E-2</v>
      </c>
      <c r="K165" s="280">
        <f t="shared" si="19"/>
        <v>14.100096246390503</v>
      </c>
      <c r="L165" s="201">
        <v>9</v>
      </c>
      <c r="M165" s="205">
        <v>43187</v>
      </c>
      <c r="N165" s="205">
        <v>43187</v>
      </c>
      <c r="O165" s="201"/>
      <c r="P165" s="201" t="s">
        <v>2490</v>
      </c>
      <c r="AB165" s="110" t="str">
        <f>IFERROR(INDEX('WetLitterbags placem_collection'!$A$3:$A$500,MATCH(A165,'WetLitterbags placem_collection'!$K$4:$K$500,0)),"")</f>
        <v/>
      </c>
      <c r="AC165" s="110">
        <f>IFERROR(INDEX('WetLitterbags placem_collection'!$A$3:$A$500,MATCH($A165,'WetLitterbags placem_collection'!$O$4:$O$500,0)),"")</f>
        <v>17</v>
      </c>
      <c r="AD165" s="110" t="str">
        <f>IFERROR(INDEX('WetLitterbags placem_collection'!$A$3:$A$500,MATCH($A165,'WetLitterbags placem_collection'!$M$4:$M$500,0)),"")</f>
        <v/>
      </c>
      <c r="AE165" s="110" t="str">
        <f>IFERROR(INDEX('WetLitterbags placem_collection'!$A$3:$A$500,MATCH($A165,'WetLitterbags placem_collection'!$Q$4:$Q$500,0)),"")</f>
        <v/>
      </c>
    </row>
    <row r="166" spans="1:31">
      <c r="A166" s="201" t="s">
        <v>1476</v>
      </c>
      <c r="C166" s="201">
        <v>207</v>
      </c>
      <c r="D166" s="201">
        <v>0.54110000000000003</v>
      </c>
      <c r="E166" s="202">
        <v>10.6175</v>
      </c>
      <c r="F166" s="202">
        <v>0.2</v>
      </c>
      <c r="G166" s="201">
        <f t="shared" si="16"/>
        <v>10.817499999999999</v>
      </c>
      <c r="H166" s="201">
        <v>10.6647</v>
      </c>
      <c r="I166" s="201">
        <f t="shared" si="17"/>
        <v>0.15279999999999916</v>
      </c>
      <c r="J166" s="201">
        <f t="shared" si="18"/>
        <v>4.7200000000000852E-2</v>
      </c>
      <c r="K166" s="280">
        <f t="shared" si="19"/>
        <v>23.600000000000428</v>
      </c>
      <c r="L166" s="201">
        <v>8</v>
      </c>
      <c r="M166" s="205">
        <v>43197</v>
      </c>
      <c r="N166" s="205">
        <v>43197</v>
      </c>
      <c r="O166" s="201"/>
      <c r="P166" s="201"/>
      <c r="AB166" s="110">
        <f>IFERROR(INDEX('WetLitterbags placem_collection'!$A$3:$A$500,MATCH(A166,'WetLitterbags placem_collection'!$K$4:$K$500,0)),"")</f>
        <v>206</v>
      </c>
      <c r="AC166" s="110" t="str">
        <f>IFERROR(INDEX('WetLitterbags placem_collection'!$A$3:$A$500,MATCH($A166,'WetLitterbags placem_collection'!$O$4:$O$500,0)),"")</f>
        <v/>
      </c>
      <c r="AD166" s="110" t="str">
        <f>IFERROR(INDEX('WetLitterbags placem_collection'!$A$3:$A$500,MATCH($A166,'WetLitterbags placem_collection'!$M$4:$M$500,0)),"")</f>
        <v/>
      </c>
      <c r="AE166" s="110" t="str">
        <f>IFERROR(INDEX('WetLitterbags placem_collection'!$A$3:$A$500,MATCH($A166,'WetLitterbags placem_collection'!$Q$4:$Q$500,0)),"")</f>
        <v/>
      </c>
    </row>
    <row r="167" spans="1:31">
      <c r="A167" s="197" t="s">
        <v>1475</v>
      </c>
      <c r="C167" s="198">
        <v>22</v>
      </c>
      <c r="D167" s="197">
        <v>0.53739999999999999</v>
      </c>
      <c r="E167" s="202">
        <v>9.7211999999999996</v>
      </c>
      <c r="F167" s="202">
        <v>0.20150000000000001</v>
      </c>
      <c r="G167" s="201">
        <f t="shared" si="16"/>
        <v>9.922699999999999</v>
      </c>
      <c r="H167" s="201">
        <v>9.7409999999999997</v>
      </c>
      <c r="I167" s="201">
        <f t="shared" si="17"/>
        <v>0.18169999999999931</v>
      </c>
      <c r="J167" s="201">
        <f t="shared" si="18"/>
        <v>1.9800000000000706E-2</v>
      </c>
      <c r="K167" s="280">
        <f t="shared" si="19"/>
        <v>9.8263027295288854</v>
      </c>
      <c r="L167" s="201">
        <v>8</v>
      </c>
      <c r="AB167" s="110">
        <f>IFERROR(INDEX('WetLitterbags placem_collection'!$A$3:$A$500,MATCH(A167,'WetLitterbags placem_collection'!$K$4:$K$500,0)),"")</f>
        <v>21</v>
      </c>
      <c r="AC167" s="110" t="str">
        <f>IFERROR(INDEX('WetLitterbags placem_collection'!$A$3:$A$500,MATCH($A167,'WetLitterbags placem_collection'!$O$4:$O$500,0)),"")</f>
        <v/>
      </c>
      <c r="AD167" s="110" t="str">
        <f>IFERROR(INDEX('WetLitterbags placem_collection'!$A$3:$A$500,MATCH($A167,'WetLitterbags placem_collection'!$M$4:$M$500,0)),"")</f>
        <v/>
      </c>
      <c r="AE167" s="110" t="str">
        <f>IFERROR(INDEX('WetLitterbags placem_collection'!$A$3:$A$500,MATCH($A167,'WetLitterbags placem_collection'!$Q$4:$Q$500,0)),"")</f>
        <v/>
      </c>
    </row>
    <row r="168" spans="1:31">
      <c r="A168" s="197" t="s">
        <v>1473</v>
      </c>
      <c r="C168" s="198">
        <v>5</v>
      </c>
      <c r="D168" s="197">
        <v>0.2429</v>
      </c>
      <c r="E168" s="202">
        <v>10.540100000000001</v>
      </c>
      <c r="F168" s="202">
        <v>0.20069999999999999</v>
      </c>
      <c r="G168" s="201">
        <f t="shared" si="16"/>
        <v>10.7408</v>
      </c>
      <c r="H168" s="201">
        <v>10.568899999999999</v>
      </c>
      <c r="I168" s="201">
        <f t="shared" si="17"/>
        <v>0.17190000000000083</v>
      </c>
      <c r="J168" s="201">
        <f t="shared" si="18"/>
        <v>2.879999999999916E-2</v>
      </c>
      <c r="K168" s="280">
        <f t="shared" si="19"/>
        <v>14.349775784752945</v>
      </c>
      <c r="L168" s="201">
        <v>22</v>
      </c>
      <c r="AB168" s="110" t="str">
        <f>IFERROR(INDEX('WetLitterbags placem_collection'!$A$3:$A$500,MATCH(A168,'WetLitterbags placem_collection'!$K$4:$K$500,0)),"")</f>
        <v/>
      </c>
      <c r="AC168" s="110">
        <f>IFERROR(INDEX('WetLitterbags placem_collection'!$A$3:$A$500,MATCH($A168,'WetLitterbags placem_collection'!$O$4:$O$500,0)),"")</f>
        <v>4</v>
      </c>
      <c r="AD168" s="110" t="str">
        <f>IFERROR(INDEX('WetLitterbags placem_collection'!$A$3:$A$500,MATCH($A168,'WetLitterbags placem_collection'!$M$4:$M$500,0)),"")</f>
        <v/>
      </c>
      <c r="AE168" s="110" t="str">
        <f>IFERROR(INDEX('WetLitterbags placem_collection'!$A$3:$A$500,MATCH($A168,'WetLitterbags placem_collection'!$Q$4:$Q$500,0)),"")</f>
        <v/>
      </c>
    </row>
    <row r="169" spans="1:31">
      <c r="A169" s="197" t="s">
        <v>1471</v>
      </c>
      <c r="C169" s="197">
        <v>74</v>
      </c>
      <c r="D169" s="197">
        <v>0.52349999999999997</v>
      </c>
      <c r="E169" s="197">
        <v>7.9614000000000003</v>
      </c>
      <c r="F169" s="197">
        <v>0.1993</v>
      </c>
      <c r="G169" s="197">
        <f t="shared" si="16"/>
        <v>8.1607000000000003</v>
      </c>
      <c r="H169" s="197">
        <v>7.9794999999999998</v>
      </c>
      <c r="I169" s="197">
        <f t="shared" si="17"/>
        <v>0.18120000000000047</v>
      </c>
      <c r="J169" s="201">
        <f t="shared" si="18"/>
        <v>1.8099999999999533E-2</v>
      </c>
      <c r="K169" s="280">
        <f t="shared" si="19"/>
        <v>9.0817862518813506</v>
      </c>
      <c r="L169" s="197">
        <v>6</v>
      </c>
      <c r="M169" s="197" t="s">
        <v>2580</v>
      </c>
      <c r="N169" s="197" t="s">
        <v>2579</v>
      </c>
      <c r="O169" s="197" t="s">
        <v>2556</v>
      </c>
      <c r="AB169" s="110" t="str">
        <f>IFERROR(INDEX('WetLitterbags placem_collection'!$A$3:$A$500,MATCH(A169,'WetLitterbags placem_collection'!$K$4:$K$500,0)),"")</f>
        <v/>
      </c>
      <c r="AC169" s="110">
        <f>IFERROR(INDEX('WetLitterbags placem_collection'!$A$3:$A$500,MATCH($A169,'WetLitterbags placem_collection'!$O$4:$O$500,0)),"")</f>
        <v>73</v>
      </c>
      <c r="AD169" s="110" t="str">
        <f>IFERROR(INDEX('WetLitterbags placem_collection'!$A$3:$A$500,MATCH($A169,'WetLitterbags placem_collection'!$M$4:$M$500,0)),"")</f>
        <v/>
      </c>
      <c r="AE169" s="110" t="str">
        <f>IFERROR(INDEX('WetLitterbags placem_collection'!$A$3:$A$500,MATCH($A169,'WetLitterbags placem_collection'!$Q$4:$Q$500,0)),"")</f>
        <v/>
      </c>
    </row>
    <row r="170" spans="1:31">
      <c r="A170" s="206" t="s">
        <v>1469</v>
      </c>
      <c r="C170" s="201">
        <v>214</v>
      </c>
      <c r="D170" s="201">
        <v>0.44280000000000003</v>
      </c>
      <c r="E170" s="201">
        <v>8.8611000000000004</v>
      </c>
      <c r="F170" s="201">
        <v>0.20580000000000001</v>
      </c>
      <c r="G170" s="201">
        <f t="shared" si="16"/>
        <v>9.0669000000000004</v>
      </c>
      <c r="H170" s="201">
        <v>8.8782999999999994</v>
      </c>
      <c r="I170" s="201">
        <f t="shared" si="17"/>
        <v>0.18860000000000099</v>
      </c>
      <c r="J170" s="201">
        <f t="shared" si="18"/>
        <v>1.7199999999999022E-2</v>
      </c>
      <c r="K170" s="280">
        <f t="shared" si="19"/>
        <v>8.3576287657915547</v>
      </c>
      <c r="L170" s="201">
        <v>7</v>
      </c>
      <c r="M170" s="203">
        <v>43164.628472222219</v>
      </c>
      <c r="N170" s="203">
        <v>43164.795138888891</v>
      </c>
      <c r="O170" s="197" t="s">
        <v>2550</v>
      </c>
      <c r="P170" s="201"/>
      <c r="AB170" s="110" t="str">
        <f>IFERROR(INDEX('WetLitterbags placem_collection'!$A$3:$A$500,MATCH(A170,'WetLitterbags placem_collection'!$K$4:$K$500,0)),"")</f>
        <v/>
      </c>
      <c r="AC170" s="110">
        <f>IFERROR(INDEX('WetLitterbags placem_collection'!$A$3:$A$500,MATCH($A170,'WetLitterbags placem_collection'!$O$4:$O$500,0)),"")</f>
        <v>213</v>
      </c>
      <c r="AD170" s="110" t="str">
        <f>IFERROR(INDEX('WetLitterbags placem_collection'!$A$3:$A$500,MATCH($A170,'WetLitterbags placem_collection'!$M$4:$M$500,0)),"")</f>
        <v/>
      </c>
      <c r="AE170" s="110" t="str">
        <f>IFERROR(INDEX('WetLitterbags placem_collection'!$A$3:$A$500,MATCH($A170,'WetLitterbags placem_collection'!$Q$4:$Q$500,0)),"")</f>
        <v/>
      </c>
    </row>
    <row r="171" spans="1:31">
      <c r="A171" s="206" t="s">
        <v>1468</v>
      </c>
      <c r="C171" s="201">
        <v>40</v>
      </c>
      <c r="D171" s="201">
        <v>0.65359999999999996</v>
      </c>
      <c r="E171" s="201">
        <v>9.3191000000000006</v>
      </c>
      <c r="F171" s="202">
        <v>0.1993</v>
      </c>
      <c r="G171" s="201">
        <f t="shared" si="16"/>
        <v>9.5183999999999997</v>
      </c>
      <c r="H171" s="201">
        <v>9.3520000000000003</v>
      </c>
      <c r="I171" s="201">
        <f t="shared" si="17"/>
        <v>0.16639999999999944</v>
      </c>
      <c r="J171" s="201">
        <f t="shared" si="18"/>
        <v>3.2900000000000568E-2</v>
      </c>
      <c r="K171" s="280">
        <f t="shared" si="19"/>
        <v>16.507777220271233</v>
      </c>
      <c r="L171" s="201">
        <v>10</v>
      </c>
      <c r="M171" s="205">
        <v>43211</v>
      </c>
      <c r="P171" s="201"/>
      <c r="AB171" s="110">
        <f>IFERROR(INDEX('WetLitterbags placem_collection'!$A$3:$A$500,MATCH(A171,'WetLitterbags placem_collection'!$K$4:$K$500,0)),"")</f>
        <v>39</v>
      </c>
      <c r="AC171" s="110" t="str">
        <f>IFERROR(INDEX('WetLitterbags placem_collection'!$A$3:$A$500,MATCH($A171,'WetLitterbags placem_collection'!$O$4:$O$500,0)),"")</f>
        <v/>
      </c>
      <c r="AD171" s="110" t="str">
        <f>IFERROR(INDEX('WetLitterbags placem_collection'!$A$3:$A$500,MATCH($A171,'WetLitterbags placem_collection'!$M$4:$M$500,0)),"")</f>
        <v/>
      </c>
      <c r="AE171" s="110" t="str">
        <f>IFERROR(INDEX('WetLitterbags placem_collection'!$A$3:$A$500,MATCH($A171,'WetLitterbags placem_collection'!$Q$4:$Q$500,0)),"")</f>
        <v/>
      </c>
    </row>
    <row r="172" spans="1:31">
      <c r="A172" s="197" t="s">
        <v>1467</v>
      </c>
      <c r="C172" s="197">
        <v>27</v>
      </c>
      <c r="D172" s="197">
        <v>0.45469999999999999</v>
      </c>
      <c r="E172" s="202">
        <v>7.9934000000000003</v>
      </c>
      <c r="F172" s="202">
        <v>0.2046</v>
      </c>
      <c r="G172" s="201">
        <f t="shared" si="16"/>
        <v>8.1980000000000004</v>
      </c>
      <c r="H172" s="201">
        <v>8.0195000000000007</v>
      </c>
      <c r="I172" s="201">
        <f t="shared" si="17"/>
        <v>0.17849999999999966</v>
      </c>
      <c r="J172" s="201">
        <f t="shared" si="18"/>
        <v>2.6100000000000345E-2</v>
      </c>
      <c r="K172" s="280">
        <f t="shared" si="19"/>
        <v>12.756598240469378</v>
      </c>
      <c r="L172" s="201">
        <v>10</v>
      </c>
      <c r="AB172" s="110">
        <f>IFERROR(INDEX('WetLitterbags placem_collection'!$A$3:$A$500,MATCH(A172,'WetLitterbags placem_collection'!$K$4:$K$500,0)),"")</f>
        <v>26</v>
      </c>
      <c r="AC172" s="110" t="str">
        <f>IFERROR(INDEX('WetLitterbags placem_collection'!$A$3:$A$500,MATCH($A172,'WetLitterbags placem_collection'!$O$4:$O$500,0)),"")</f>
        <v/>
      </c>
      <c r="AD172" s="110" t="str">
        <f>IFERROR(INDEX('WetLitterbags placem_collection'!$A$3:$A$500,MATCH($A172,'WetLitterbags placem_collection'!$M$4:$M$500,0)),"")</f>
        <v/>
      </c>
      <c r="AE172" s="110" t="str">
        <f>IFERROR(INDEX('WetLitterbags placem_collection'!$A$3:$A$500,MATCH($A172,'WetLitterbags placem_collection'!$Q$4:$Q$500,0)),"")</f>
        <v/>
      </c>
    </row>
    <row r="173" spans="1:31">
      <c r="A173" s="197" t="s">
        <v>1466</v>
      </c>
      <c r="C173" s="198">
        <v>193</v>
      </c>
      <c r="D173" s="197">
        <v>0.45090000000000002</v>
      </c>
      <c r="E173" s="202">
        <v>11.023</v>
      </c>
      <c r="F173" s="202">
        <v>0.20319999999999999</v>
      </c>
      <c r="G173" s="201">
        <f t="shared" si="16"/>
        <v>11.2262</v>
      </c>
      <c r="H173" s="201">
        <v>11.039099999999999</v>
      </c>
      <c r="I173" s="201">
        <f t="shared" si="17"/>
        <v>0.18710000000000093</v>
      </c>
      <c r="J173" s="201">
        <f t="shared" si="18"/>
        <v>1.609999999999906E-2</v>
      </c>
      <c r="K173" s="280">
        <f t="shared" si="19"/>
        <v>7.9232283464562308</v>
      </c>
      <c r="L173" s="201">
        <v>19</v>
      </c>
      <c r="AB173" s="110" t="str">
        <f>IFERROR(INDEX('WetLitterbags placem_collection'!$A$3:$A$500,MATCH(A173,'WetLitterbags placem_collection'!$K$4:$K$500,0)),"")</f>
        <v/>
      </c>
      <c r="AC173" s="110">
        <f>IFERROR(INDEX('WetLitterbags placem_collection'!$A$3:$A$500,MATCH($A173,'WetLitterbags placem_collection'!$O$4:$O$500,0)),"")</f>
        <v>192</v>
      </c>
      <c r="AD173" s="110" t="str">
        <f>IFERROR(INDEX('WetLitterbags placem_collection'!$A$3:$A$500,MATCH($A173,'WetLitterbags placem_collection'!$M$4:$M$500,0)),"")</f>
        <v/>
      </c>
      <c r="AE173" s="110" t="str">
        <f>IFERROR(INDEX('WetLitterbags placem_collection'!$A$3:$A$500,MATCH($A173,'WetLitterbags placem_collection'!$Q$4:$Q$500,0)),"")</f>
        <v/>
      </c>
    </row>
    <row r="174" spans="1:31">
      <c r="A174" s="201" t="s">
        <v>1465</v>
      </c>
      <c r="C174" s="197">
        <v>183</v>
      </c>
      <c r="D174" s="201">
        <v>0.51190000000000002</v>
      </c>
      <c r="E174" s="202">
        <v>10.1073</v>
      </c>
      <c r="F174" s="202">
        <v>0.20580000000000001</v>
      </c>
      <c r="G174" s="201">
        <f t="shared" si="16"/>
        <v>10.3131</v>
      </c>
      <c r="H174" s="201">
        <v>10.1282</v>
      </c>
      <c r="I174" s="201">
        <f t="shared" si="17"/>
        <v>0.18490000000000073</v>
      </c>
      <c r="J174" s="201">
        <f t="shared" si="18"/>
        <v>2.089999999999928E-2</v>
      </c>
      <c r="K174" s="280">
        <f t="shared" si="19"/>
        <v>10.155490767735316</v>
      </c>
      <c r="L174" s="201">
        <v>13</v>
      </c>
      <c r="M174" s="207">
        <v>43186.458333333336</v>
      </c>
      <c r="N174" s="207">
        <v>43186.625</v>
      </c>
      <c r="O174" s="197" t="s">
        <v>2550</v>
      </c>
      <c r="P174" s="201"/>
      <c r="AB174" s="110">
        <f>IFERROR(INDEX('WetLitterbags placem_collection'!$A$3:$A$500,MATCH(A174,'WetLitterbags placem_collection'!$K$4:$K$500,0)),"")</f>
        <v>182</v>
      </c>
      <c r="AC174" s="110" t="str">
        <f>IFERROR(INDEX('WetLitterbags placem_collection'!$A$3:$A$500,MATCH($A174,'WetLitterbags placem_collection'!$O$4:$O$500,0)),"")</f>
        <v/>
      </c>
      <c r="AD174" s="110" t="str">
        <f>IFERROR(INDEX('WetLitterbags placem_collection'!$A$3:$A$500,MATCH($A174,'WetLitterbags placem_collection'!$M$4:$M$500,0)),"")</f>
        <v/>
      </c>
      <c r="AE174" s="110" t="str">
        <f>IFERROR(INDEX('WetLitterbags placem_collection'!$A$3:$A$500,MATCH($A174,'WetLitterbags placem_collection'!$Q$4:$Q$500,0)),"")</f>
        <v/>
      </c>
    </row>
    <row r="175" spans="1:31">
      <c r="A175" s="197" t="s">
        <v>1463</v>
      </c>
      <c r="C175" s="198">
        <v>218</v>
      </c>
      <c r="D175" s="197">
        <v>0.53339999999999999</v>
      </c>
      <c r="E175" s="202">
        <v>11.903499999999999</v>
      </c>
      <c r="F175" s="202">
        <v>0.20280000000000001</v>
      </c>
      <c r="G175" s="201">
        <f t="shared" si="16"/>
        <v>12.106299999999999</v>
      </c>
      <c r="H175" s="201">
        <v>11.93</v>
      </c>
      <c r="I175" s="201">
        <f t="shared" si="17"/>
        <v>0.17629999999999946</v>
      </c>
      <c r="J175" s="201">
        <f t="shared" si="18"/>
        <v>2.6500000000000551E-2</v>
      </c>
      <c r="K175" s="280">
        <f t="shared" si="19"/>
        <v>13.067061143984493</v>
      </c>
      <c r="L175" s="201">
        <v>16</v>
      </c>
      <c r="AB175" s="110" t="str">
        <f>IFERROR(INDEX('WetLitterbags placem_collection'!$A$3:$A$500,MATCH(A175,'WetLitterbags placem_collection'!$K$4:$K$500,0)),"")</f>
        <v/>
      </c>
      <c r="AC175" s="110">
        <f>IFERROR(INDEX('WetLitterbags placem_collection'!$A$3:$A$500,MATCH($A175,'WetLitterbags placem_collection'!$O$4:$O$500,0)),"")</f>
        <v>217</v>
      </c>
      <c r="AD175" s="110" t="str">
        <f>IFERROR(INDEX('WetLitterbags placem_collection'!$A$3:$A$500,MATCH($A175,'WetLitterbags placem_collection'!$M$4:$M$500,0)),"")</f>
        <v/>
      </c>
      <c r="AE175" s="110" t="str">
        <f>IFERROR(INDEX('WetLitterbags placem_collection'!$A$3:$A$500,MATCH($A175,'WetLitterbags placem_collection'!$Q$4:$Q$500,0)),"")</f>
        <v/>
      </c>
    </row>
    <row r="176" spans="1:31">
      <c r="A176" s="206" t="s">
        <v>1459</v>
      </c>
      <c r="C176" s="201">
        <v>192</v>
      </c>
      <c r="D176" s="201">
        <v>0.45319999999999999</v>
      </c>
      <c r="E176" s="202">
        <v>10.115600000000001</v>
      </c>
      <c r="F176" s="202">
        <v>0.20150000000000001</v>
      </c>
      <c r="G176" s="201">
        <f t="shared" si="16"/>
        <v>10.3171</v>
      </c>
      <c r="H176" s="201">
        <v>10.1364</v>
      </c>
      <c r="I176" s="201">
        <f t="shared" si="17"/>
        <v>0.18069999999999986</v>
      </c>
      <c r="J176" s="201">
        <f t="shared" si="18"/>
        <v>2.0800000000000152E-2</v>
      </c>
      <c r="K176" s="280">
        <f t="shared" si="19"/>
        <v>10.322580645161365</v>
      </c>
      <c r="L176" s="201">
        <v>17</v>
      </c>
      <c r="M176" s="207">
        <v>43185.385416666664</v>
      </c>
      <c r="N176" s="201"/>
      <c r="O176" s="201" t="s">
        <v>2556</v>
      </c>
      <c r="P176" s="201"/>
      <c r="AB176" s="110">
        <f>IFERROR(INDEX('WetLitterbags placem_collection'!$A$3:$A$500,MATCH(A176,'WetLitterbags placem_collection'!$K$4:$K$500,0)),"")</f>
        <v>191</v>
      </c>
      <c r="AC176" s="110" t="str">
        <f>IFERROR(INDEX('WetLitterbags placem_collection'!$A$3:$A$500,MATCH($A176,'WetLitterbags placem_collection'!$O$4:$O$500,0)),"")</f>
        <v/>
      </c>
      <c r="AD176" s="110" t="str">
        <f>IFERROR(INDEX('WetLitterbags placem_collection'!$A$3:$A$500,MATCH($A176,'WetLitterbags placem_collection'!$M$4:$M$500,0)),"")</f>
        <v/>
      </c>
      <c r="AE176" s="110" t="str">
        <f>IFERROR(INDEX('WetLitterbags placem_collection'!$A$3:$A$500,MATCH($A176,'WetLitterbags placem_collection'!$Q$4:$Q$500,0)),"")</f>
        <v/>
      </c>
    </row>
    <row r="177" spans="1:31">
      <c r="A177" s="197" t="s">
        <v>1458</v>
      </c>
      <c r="C177" s="197">
        <v>90</v>
      </c>
      <c r="D177" s="197">
        <v>0.80169999999999997</v>
      </c>
      <c r="E177" s="197">
        <v>20.895399999999999</v>
      </c>
      <c r="F177" s="197">
        <v>0.19989999999999999</v>
      </c>
      <c r="G177" s="197">
        <f t="shared" si="16"/>
        <v>21.095299999999998</v>
      </c>
      <c r="H177" s="197">
        <v>20.9617</v>
      </c>
      <c r="I177" s="197">
        <f t="shared" si="17"/>
        <v>0.13359999999999772</v>
      </c>
      <c r="J177" s="201">
        <f t="shared" si="18"/>
        <v>6.6300000000002274E-2</v>
      </c>
      <c r="K177" s="280">
        <f t="shared" si="19"/>
        <v>33.166583291646958</v>
      </c>
      <c r="L177" s="197">
        <v>20</v>
      </c>
      <c r="M177" s="197" t="s">
        <v>2580</v>
      </c>
      <c r="N177" s="197" t="s">
        <v>2579</v>
      </c>
      <c r="O177" s="197" t="s">
        <v>2556</v>
      </c>
      <c r="AB177" s="110">
        <f>IFERROR(INDEX('WetLitterbags placem_collection'!$A$3:$A$500,MATCH(A177,'WetLitterbags placem_collection'!$K$4:$K$500,0)),"")</f>
        <v>89</v>
      </c>
      <c r="AC177" s="110" t="str">
        <f>IFERROR(INDEX('WetLitterbags placem_collection'!$A$3:$A$500,MATCH($A177,'WetLitterbags placem_collection'!$O$4:$O$500,0)),"")</f>
        <v/>
      </c>
      <c r="AD177" s="110" t="str">
        <f>IFERROR(INDEX('WetLitterbags placem_collection'!$A$3:$A$500,MATCH($A177,'WetLitterbags placem_collection'!$M$4:$M$500,0)),"")</f>
        <v/>
      </c>
      <c r="AE177" s="110" t="str">
        <f>IFERROR(INDEX('WetLitterbags placem_collection'!$A$3:$A$500,MATCH($A177,'WetLitterbags placem_collection'!$Q$4:$Q$500,0)),"")</f>
        <v/>
      </c>
    </row>
    <row r="178" spans="1:31">
      <c r="A178" s="197" t="s">
        <v>1457</v>
      </c>
      <c r="C178" s="197">
        <v>58</v>
      </c>
      <c r="D178" s="197">
        <v>0.74560000000000004</v>
      </c>
      <c r="E178" s="197">
        <v>7.1924000000000001</v>
      </c>
      <c r="F178" s="197">
        <v>0.2006</v>
      </c>
      <c r="G178" s="197">
        <f t="shared" si="16"/>
        <v>7.3929999999999998</v>
      </c>
      <c r="H178" s="197">
        <v>7.2172999999999998</v>
      </c>
      <c r="I178" s="197">
        <f t="shared" si="17"/>
        <v>0.17569999999999997</v>
      </c>
      <c r="J178" s="201">
        <f t="shared" si="18"/>
        <v>2.4900000000000033E-2</v>
      </c>
      <c r="K178" s="280">
        <f t="shared" si="19"/>
        <v>12.412761714855449</v>
      </c>
      <c r="L178" s="197">
        <v>39</v>
      </c>
      <c r="M178" s="197" t="s">
        <v>2586</v>
      </c>
      <c r="N178" s="197" t="s">
        <v>2585</v>
      </c>
      <c r="O178" s="197" t="s">
        <v>2550</v>
      </c>
      <c r="U178" s="202" t="s">
        <v>1114</v>
      </c>
      <c r="V178" s="197">
        <v>1.8498000000000001</v>
      </c>
      <c r="W178" s="197">
        <f>(V178-$T$175+F176)</f>
        <v>2.0513000000000003</v>
      </c>
      <c r="AB178" s="110" t="str">
        <f>IFERROR(INDEX('WetLitterbags placem_collection'!$A$3:$A$500,MATCH(A178,'WetLitterbags placem_collection'!$K$4:$K$500,0)),"")</f>
        <v/>
      </c>
      <c r="AC178" s="110">
        <f>IFERROR(INDEX('WetLitterbags placem_collection'!$A$3:$A$500,MATCH($A178,'WetLitterbags placem_collection'!$O$4:$O$500,0)),"")</f>
        <v>57</v>
      </c>
      <c r="AD178" s="110" t="str">
        <f>IFERROR(INDEX('WetLitterbags placem_collection'!$A$3:$A$500,MATCH($A178,'WetLitterbags placem_collection'!$M$4:$M$500,0)),"")</f>
        <v/>
      </c>
      <c r="AE178" s="110" t="str">
        <f>IFERROR(INDEX('WetLitterbags placem_collection'!$A$3:$A$500,MATCH($A178,'WetLitterbags placem_collection'!$Q$4:$Q$500,0)),"")</f>
        <v/>
      </c>
    </row>
    <row r="179" spans="1:31">
      <c r="A179" s="201" t="s">
        <v>1456</v>
      </c>
      <c r="C179" s="201">
        <v>77</v>
      </c>
      <c r="D179" s="201">
        <v>0.72550000000000003</v>
      </c>
      <c r="E179" s="201">
        <v>10.143700000000001</v>
      </c>
      <c r="F179" s="202">
        <v>0.20519999999999999</v>
      </c>
      <c r="G179" s="201">
        <f t="shared" ref="G179:G242" si="20">E179+F179</f>
        <v>10.3489</v>
      </c>
      <c r="H179" s="201">
        <v>10.1693</v>
      </c>
      <c r="I179" s="201">
        <f t="shared" ref="I179:I242" si="21">(G179-H179)</f>
        <v>0.17960000000000065</v>
      </c>
      <c r="J179" s="201">
        <f t="shared" ref="J179:J242" si="22">F179-I179</f>
        <v>2.5599999999999346E-2</v>
      </c>
      <c r="K179" s="280">
        <f t="shared" ref="K179:K242" si="23">(J179/F179)*100</f>
        <v>12.475633528264789</v>
      </c>
      <c r="L179" s="201">
        <v>35</v>
      </c>
      <c r="M179" s="205">
        <v>43187</v>
      </c>
      <c r="N179" s="205">
        <v>43187</v>
      </c>
      <c r="O179" s="201"/>
      <c r="P179" s="201"/>
      <c r="AB179" s="110">
        <f>IFERROR(INDEX('WetLitterbags placem_collection'!$A$3:$A$500,MATCH(A179,'WetLitterbags placem_collection'!$K$4:$K$500,0)),"")</f>
        <v>76</v>
      </c>
      <c r="AC179" s="110" t="str">
        <f>IFERROR(INDEX('WetLitterbags placem_collection'!$A$3:$A$500,MATCH($A179,'WetLitterbags placem_collection'!$O$4:$O$500,0)),"")</f>
        <v/>
      </c>
      <c r="AD179" s="110" t="str">
        <f>IFERROR(INDEX('WetLitterbags placem_collection'!$A$3:$A$500,MATCH($A179,'WetLitterbags placem_collection'!$M$4:$M$500,0)),"")</f>
        <v/>
      </c>
      <c r="AE179" s="110" t="str">
        <f>IFERROR(INDEX('WetLitterbags placem_collection'!$A$3:$A$500,MATCH($A179,'WetLitterbags placem_collection'!$Q$4:$Q$500,0)),"")</f>
        <v/>
      </c>
    </row>
    <row r="180" spans="1:31">
      <c r="A180" s="197" t="s">
        <v>1455</v>
      </c>
      <c r="C180" s="198">
        <v>13</v>
      </c>
      <c r="D180" s="197">
        <v>0.46210000000000001</v>
      </c>
      <c r="E180" s="197">
        <v>8.1326000000000001</v>
      </c>
      <c r="F180" s="202">
        <v>0.2009</v>
      </c>
      <c r="G180" s="201">
        <f t="shared" si="20"/>
        <v>8.3335000000000008</v>
      </c>
      <c r="H180" s="201">
        <v>8.1912000000000003</v>
      </c>
      <c r="I180" s="201">
        <f t="shared" si="21"/>
        <v>0.14230000000000054</v>
      </c>
      <c r="J180" s="201">
        <f t="shared" si="22"/>
        <v>5.8599999999999458E-2</v>
      </c>
      <c r="K180" s="280">
        <f t="shared" si="23"/>
        <v>29.168740666998239</v>
      </c>
      <c r="L180" s="201">
        <v>17</v>
      </c>
      <c r="AB180" s="110">
        <f>IFERROR(INDEX('WetLitterbags placem_collection'!$A$3:$A$500,MATCH(A180,'WetLitterbags placem_collection'!$K$4:$K$500,0)),"")</f>
        <v>12</v>
      </c>
      <c r="AC180" s="110" t="str">
        <f>IFERROR(INDEX('WetLitterbags placem_collection'!$A$3:$A$500,MATCH($A180,'WetLitterbags placem_collection'!$O$4:$O$500,0)),"")</f>
        <v/>
      </c>
      <c r="AD180" s="110" t="str">
        <f>IFERROR(INDEX('WetLitterbags placem_collection'!$A$3:$A$500,MATCH($A180,'WetLitterbags placem_collection'!$M$4:$M$500,0)),"")</f>
        <v/>
      </c>
      <c r="AE180" s="110" t="str">
        <f>IFERROR(INDEX('WetLitterbags placem_collection'!$A$3:$A$500,MATCH($A180,'WetLitterbags placem_collection'!$Q$4:$Q$500,0)),"")</f>
        <v/>
      </c>
    </row>
    <row r="181" spans="1:31">
      <c r="A181" s="197" t="s">
        <v>1451</v>
      </c>
      <c r="C181" s="197">
        <v>52</v>
      </c>
      <c r="D181" s="197">
        <v>0.64810000000000001</v>
      </c>
      <c r="E181" s="197">
        <v>7.4747000000000003</v>
      </c>
      <c r="F181" s="197">
        <v>0.2009</v>
      </c>
      <c r="G181" s="197">
        <f t="shared" si="20"/>
        <v>7.6756000000000002</v>
      </c>
      <c r="H181" s="197">
        <v>7.5034000000000001</v>
      </c>
      <c r="I181" s="197">
        <f t="shared" si="21"/>
        <v>0.17220000000000013</v>
      </c>
      <c r="J181" s="201">
        <f t="shared" si="22"/>
        <v>2.8699999999999865E-2</v>
      </c>
      <c r="K181" s="280">
        <f t="shared" si="23"/>
        <v>14.285714285714219</v>
      </c>
      <c r="L181" s="197">
        <v>34</v>
      </c>
      <c r="M181" s="197" t="s">
        <v>2586</v>
      </c>
      <c r="N181" s="197" t="s">
        <v>2585</v>
      </c>
      <c r="O181" s="197" t="s">
        <v>2550</v>
      </c>
      <c r="U181" s="202" t="s">
        <v>760</v>
      </c>
      <c r="V181" s="197">
        <v>1.6607000000000001</v>
      </c>
      <c r="W181" s="197">
        <f>(V181-$T$175+F179)</f>
        <v>1.8659000000000001</v>
      </c>
      <c r="AB181" s="110" t="str">
        <f>IFERROR(INDEX('WetLitterbags placem_collection'!$A$3:$A$500,MATCH(A181,'WetLitterbags placem_collection'!$K$4:$K$500,0)),"")</f>
        <v/>
      </c>
      <c r="AC181" s="110">
        <f>IFERROR(INDEX('WetLitterbags placem_collection'!$A$3:$A$500,MATCH($A181,'WetLitterbags placem_collection'!$O$4:$O$500,0)),"")</f>
        <v>51</v>
      </c>
      <c r="AD181" s="110" t="str">
        <f>IFERROR(INDEX('WetLitterbags placem_collection'!$A$3:$A$500,MATCH($A181,'WetLitterbags placem_collection'!$M$4:$M$500,0)),"")</f>
        <v/>
      </c>
      <c r="AE181" s="110" t="str">
        <f>IFERROR(INDEX('WetLitterbags placem_collection'!$A$3:$A$500,MATCH($A181,'WetLitterbags placem_collection'!$Q$4:$Q$500,0)),"")</f>
        <v/>
      </c>
    </row>
    <row r="182" spans="1:31">
      <c r="A182" s="201" t="s">
        <v>1450</v>
      </c>
      <c r="C182" s="201">
        <v>59</v>
      </c>
      <c r="D182" s="201">
        <v>0.66210000000000002</v>
      </c>
      <c r="E182" s="201">
        <v>10.634600000000001</v>
      </c>
      <c r="F182" s="201">
        <v>0.20369999999999999</v>
      </c>
      <c r="G182" s="201">
        <f t="shared" si="20"/>
        <v>10.8383</v>
      </c>
      <c r="H182" s="201">
        <v>10.663</v>
      </c>
      <c r="I182" s="201">
        <f t="shared" si="21"/>
        <v>0.17530000000000001</v>
      </c>
      <c r="J182" s="201">
        <f t="shared" si="22"/>
        <v>2.8399999999999981E-2</v>
      </c>
      <c r="K182" s="280">
        <f t="shared" si="23"/>
        <v>13.942071674030428</v>
      </c>
      <c r="L182" s="201">
        <v>3</v>
      </c>
      <c r="M182" s="205">
        <v>43188</v>
      </c>
      <c r="N182" s="205">
        <v>43188</v>
      </c>
      <c r="O182" s="201"/>
      <c r="P182" s="201"/>
      <c r="U182" s="202" t="s">
        <v>1485</v>
      </c>
      <c r="V182" s="197">
        <v>1.5843</v>
      </c>
      <c r="W182" s="197">
        <f>(V182-$T$175+F180)</f>
        <v>1.7852000000000001</v>
      </c>
      <c r="AB182" s="110" t="str">
        <f>IFERROR(INDEX('WetLitterbags placem_collection'!$A$3:$A$500,MATCH(A182,'WetLitterbags placem_collection'!$K$4:$K$500,0)),"")</f>
        <v/>
      </c>
      <c r="AC182" s="110">
        <f>IFERROR(INDEX('WetLitterbags placem_collection'!$A$3:$A$500,MATCH($A182,'WetLitterbags placem_collection'!$O$4:$O$500,0)),"")</f>
        <v>58</v>
      </c>
      <c r="AD182" s="110" t="str">
        <f>IFERROR(INDEX('WetLitterbags placem_collection'!$A$3:$A$500,MATCH($A182,'WetLitterbags placem_collection'!$M$4:$M$500,0)),"")</f>
        <v/>
      </c>
      <c r="AE182" s="110" t="str">
        <f>IFERROR(INDEX('WetLitterbags placem_collection'!$A$3:$A$500,MATCH($A182,'WetLitterbags placem_collection'!$Q$4:$Q$500,0)),"")</f>
        <v/>
      </c>
    </row>
    <row r="183" spans="1:31">
      <c r="A183" s="197" t="s">
        <v>1448</v>
      </c>
      <c r="C183" s="197">
        <v>45</v>
      </c>
      <c r="D183" s="197">
        <v>0.56820000000000004</v>
      </c>
      <c r="E183" s="197">
        <v>8.9586000000000006</v>
      </c>
      <c r="F183" s="197">
        <v>0.2024</v>
      </c>
      <c r="G183" s="197">
        <f t="shared" si="20"/>
        <v>9.1610000000000014</v>
      </c>
      <c r="H183" s="197">
        <v>8.9705999999999992</v>
      </c>
      <c r="I183" s="197">
        <f t="shared" si="21"/>
        <v>0.19040000000000212</v>
      </c>
      <c r="J183" s="201">
        <f t="shared" si="22"/>
        <v>1.1999999999997873E-2</v>
      </c>
      <c r="K183" s="280">
        <f t="shared" si="23"/>
        <v>5.9288537549396603</v>
      </c>
      <c r="L183" s="197">
        <v>18</v>
      </c>
      <c r="M183" s="197" t="s">
        <v>2586</v>
      </c>
      <c r="N183" s="197" t="s">
        <v>2585</v>
      </c>
      <c r="O183" s="197" t="s">
        <v>2550</v>
      </c>
      <c r="AB183" s="110" t="str">
        <f>IFERROR(INDEX('WetLitterbags placem_collection'!$A$3:$A$500,MATCH(A183,'WetLitterbags placem_collection'!$K$4:$K$500,0)),"")</f>
        <v/>
      </c>
      <c r="AC183" s="110">
        <f>IFERROR(INDEX('WetLitterbags placem_collection'!$A$3:$A$500,MATCH($A183,'WetLitterbags placem_collection'!$O$4:$O$500,0)),"")</f>
        <v>44</v>
      </c>
      <c r="AD183" s="110" t="str">
        <f>IFERROR(INDEX('WetLitterbags placem_collection'!$A$3:$A$500,MATCH($A183,'WetLitterbags placem_collection'!$M$4:$M$500,0)),"")</f>
        <v/>
      </c>
      <c r="AE183" s="110" t="str">
        <f>IFERROR(INDEX('WetLitterbags placem_collection'!$A$3:$A$500,MATCH($A183,'WetLitterbags placem_collection'!$Q$4:$Q$500,0)),"")</f>
        <v/>
      </c>
    </row>
    <row r="184" spans="1:31">
      <c r="A184" s="202" t="s">
        <v>1447</v>
      </c>
      <c r="C184" s="201">
        <v>75</v>
      </c>
      <c r="D184" s="201">
        <v>0.59799999999999986</v>
      </c>
      <c r="E184" s="201">
        <v>8.1327999999999996</v>
      </c>
      <c r="F184" s="201">
        <v>0.20150000000000001</v>
      </c>
      <c r="G184" s="201">
        <f t="shared" si="20"/>
        <v>8.3342999999999989</v>
      </c>
      <c r="H184" s="201">
        <v>8.1508000000000003</v>
      </c>
      <c r="I184" s="201">
        <f t="shared" si="21"/>
        <v>0.18349999999999866</v>
      </c>
      <c r="J184" s="201">
        <f t="shared" si="22"/>
        <v>1.8000000000001348E-2</v>
      </c>
      <c r="K184" s="280">
        <f t="shared" si="23"/>
        <v>8.9330024813902469</v>
      </c>
      <c r="L184" s="201">
        <v>11</v>
      </c>
      <c r="M184" s="205">
        <v>43173</v>
      </c>
      <c r="N184" s="205">
        <v>43173</v>
      </c>
      <c r="O184" s="201" t="s">
        <v>2556</v>
      </c>
      <c r="P184" s="201" t="s">
        <v>2555</v>
      </c>
      <c r="AB184" s="110" t="str">
        <f>IFERROR(INDEX('WetLitterbags placem_collection'!$A$3:$A$500,MATCH(A184,'WetLitterbags placem_collection'!$K$4:$K$500,0)),"")</f>
        <v/>
      </c>
      <c r="AC184" s="110">
        <f>IFERROR(INDEX('WetLitterbags placem_collection'!$A$3:$A$500,MATCH($A184,'WetLitterbags placem_collection'!$O$4:$O$500,0)),"")</f>
        <v>75</v>
      </c>
      <c r="AD184" s="110" t="str">
        <f>IFERROR(INDEX('WetLitterbags placem_collection'!$A$3:$A$500,MATCH($A184,'WetLitterbags placem_collection'!$M$4:$M$500,0)),"")</f>
        <v/>
      </c>
      <c r="AE184" s="110" t="str">
        <f>IFERROR(INDEX('WetLitterbags placem_collection'!$A$3:$A$500,MATCH($A184,'WetLitterbags placem_collection'!$Q$4:$Q$500,0)),"")</f>
        <v/>
      </c>
    </row>
    <row r="185" spans="1:31">
      <c r="A185" s="201" t="s">
        <v>1446</v>
      </c>
      <c r="C185" s="201">
        <v>209</v>
      </c>
      <c r="D185" s="201">
        <v>0.55049999999999999</v>
      </c>
      <c r="E185" s="201">
        <v>8.7682000000000002</v>
      </c>
      <c r="F185" s="201">
        <v>0.20119999999999999</v>
      </c>
      <c r="G185" s="201">
        <f t="shared" si="20"/>
        <v>8.9694000000000003</v>
      </c>
      <c r="H185" s="201">
        <v>8.8010999999999999</v>
      </c>
      <c r="I185" s="201">
        <f t="shared" si="21"/>
        <v>0.16830000000000034</v>
      </c>
      <c r="J185" s="201">
        <f t="shared" si="22"/>
        <v>3.2899999999999652E-2</v>
      </c>
      <c r="K185" s="280">
        <f t="shared" si="23"/>
        <v>16.351888667991876</v>
      </c>
      <c r="L185" s="201">
        <v>4</v>
      </c>
      <c r="M185" s="205">
        <v>43174</v>
      </c>
      <c r="N185" s="205">
        <v>43174</v>
      </c>
      <c r="O185" s="201" t="s">
        <v>2556</v>
      </c>
      <c r="P185" s="201" t="s">
        <v>2551</v>
      </c>
      <c r="AB185" s="110">
        <f>IFERROR(INDEX('WetLitterbags placem_collection'!$A$3:$A$500,MATCH(A185,'WetLitterbags placem_collection'!$K$4:$K$500,0)),"")</f>
        <v>208</v>
      </c>
      <c r="AC185" s="110" t="str">
        <f>IFERROR(INDEX('WetLitterbags placem_collection'!$A$3:$A$500,MATCH($A185,'WetLitterbags placem_collection'!$O$4:$O$500,0)),"")</f>
        <v/>
      </c>
      <c r="AD185" s="110" t="str">
        <f>IFERROR(INDEX('WetLitterbags placem_collection'!$A$3:$A$500,MATCH($A185,'WetLitterbags placem_collection'!$M$4:$M$500,0)),"")</f>
        <v/>
      </c>
      <c r="AE185" s="110" t="str">
        <f>IFERROR(INDEX('WetLitterbags placem_collection'!$A$3:$A$500,MATCH($A185,'WetLitterbags placem_collection'!$Q$4:$Q$500,0)),"")</f>
        <v/>
      </c>
    </row>
    <row r="186" spans="1:31">
      <c r="A186" s="197" t="s">
        <v>1445</v>
      </c>
      <c r="C186" s="197">
        <v>74</v>
      </c>
      <c r="D186" s="197">
        <v>0.7823</v>
      </c>
      <c r="E186" s="197">
        <v>8.7669999999999995</v>
      </c>
      <c r="F186" s="197">
        <v>0.20300000000000001</v>
      </c>
      <c r="G186" s="197">
        <f t="shared" si="20"/>
        <v>8.9699999999999989</v>
      </c>
      <c r="H186" s="197">
        <v>8.8939000000000004</v>
      </c>
      <c r="I186" s="197">
        <f t="shared" si="21"/>
        <v>7.6099999999998502E-2</v>
      </c>
      <c r="J186" s="201">
        <f t="shared" si="22"/>
        <v>0.12690000000000151</v>
      </c>
      <c r="K186" s="280">
        <f t="shared" si="23"/>
        <v>62.512315270936703</v>
      </c>
      <c r="L186" s="197">
        <v>7</v>
      </c>
      <c r="M186" s="197" t="s">
        <v>2580</v>
      </c>
      <c r="N186" s="197" t="s">
        <v>2579</v>
      </c>
      <c r="O186" s="197" t="s">
        <v>2556</v>
      </c>
      <c r="AB186" s="110">
        <f>IFERROR(INDEX('WetLitterbags placem_collection'!$A$3:$A$500,MATCH(A186,'WetLitterbags placem_collection'!$K$4:$K$500,0)),"")</f>
        <v>73</v>
      </c>
      <c r="AC186" s="110" t="str">
        <f>IFERROR(INDEX('WetLitterbags placem_collection'!$A$3:$A$500,MATCH($A186,'WetLitterbags placem_collection'!$O$4:$O$500,0)),"")</f>
        <v/>
      </c>
      <c r="AD186" s="110" t="str">
        <f>IFERROR(INDEX('WetLitterbags placem_collection'!$A$3:$A$500,MATCH($A186,'WetLitterbags placem_collection'!$M$4:$M$500,0)),"")</f>
        <v/>
      </c>
      <c r="AE186" s="110" t="str">
        <f>IFERROR(INDEX('WetLitterbags placem_collection'!$A$3:$A$500,MATCH($A186,'WetLitterbags placem_collection'!$Q$4:$Q$500,0)),"")</f>
        <v/>
      </c>
    </row>
    <row r="187" spans="1:31">
      <c r="A187" s="197" t="s">
        <v>1444</v>
      </c>
      <c r="C187" s="198">
        <v>10</v>
      </c>
      <c r="D187" s="197">
        <v>0.44159999999999999</v>
      </c>
      <c r="E187" s="202">
        <v>9.3192000000000004</v>
      </c>
      <c r="F187" s="202">
        <v>0.2064</v>
      </c>
      <c r="G187" s="201">
        <f t="shared" si="20"/>
        <v>9.5256000000000007</v>
      </c>
      <c r="H187" s="201">
        <v>9.3407</v>
      </c>
      <c r="I187" s="201">
        <f t="shared" si="21"/>
        <v>0.18490000000000073</v>
      </c>
      <c r="J187" s="201">
        <f t="shared" si="22"/>
        <v>2.149999999999927E-2</v>
      </c>
      <c r="K187" s="280">
        <f t="shared" si="23"/>
        <v>10.416666666666313</v>
      </c>
      <c r="L187" s="201">
        <v>32</v>
      </c>
      <c r="M187" s="204">
        <v>43213</v>
      </c>
      <c r="N187" s="204">
        <v>43213</v>
      </c>
      <c r="AB187" s="110" t="str">
        <f>IFERROR(INDEX('WetLitterbags placem_collection'!$A$3:$A$500,MATCH(A187,'WetLitterbags placem_collection'!$K$4:$K$500,0)),"")</f>
        <v/>
      </c>
      <c r="AC187" s="110">
        <f>IFERROR(INDEX('WetLitterbags placem_collection'!$A$3:$A$500,MATCH($A187,'WetLitterbags placem_collection'!$O$4:$O$500,0)),"")</f>
        <v>9</v>
      </c>
      <c r="AD187" s="110" t="str">
        <f>IFERROR(INDEX('WetLitterbags placem_collection'!$A$3:$A$500,MATCH($A187,'WetLitterbags placem_collection'!$M$4:$M$500,0)),"")</f>
        <v/>
      </c>
      <c r="AE187" s="110" t="str">
        <f>IFERROR(INDEX('WetLitterbags placem_collection'!$A$3:$A$500,MATCH($A187,'WetLitterbags placem_collection'!$Q$4:$Q$500,0)),"")</f>
        <v/>
      </c>
    </row>
    <row r="188" spans="1:31">
      <c r="A188" s="197" t="s">
        <v>1443</v>
      </c>
      <c r="C188" s="197">
        <v>80</v>
      </c>
      <c r="D188" s="197">
        <v>0.70750000000000002</v>
      </c>
      <c r="E188" s="197">
        <v>7.7138</v>
      </c>
      <c r="F188" s="197">
        <v>0.19089999999999999</v>
      </c>
      <c r="G188" s="197">
        <f t="shared" si="20"/>
        <v>7.9047000000000001</v>
      </c>
      <c r="H188" s="197">
        <v>7.7397999999999998</v>
      </c>
      <c r="I188" s="197">
        <f t="shared" si="21"/>
        <v>0.16490000000000027</v>
      </c>
      <c r="J188" s="201">
        <f t="shared" si="22"/>
        <v>2.5999999999999718E-2</v>
      </c>
      <c r="K188" s="280">
        <f t="shared" si="23"/>
        <v>13.619696176008233</v>
      </c>
      <c r="L188" s="197">
        <v>10</v>
      </c>
      <c r="M188" s="197" t="s">
        <v>2580</v>
      </c>
      <c r="N188" s="197" t="s">
        <v>2579</v>
      </c>
      <c r="O188" s="197" t="s">
        <v>2556</v>
      </c>
      <c r="AB188" s="110">
        <f>IFERROR(INDEX('WetLitterbags placem_collection'!$A$3:$A$500,MATCH(A188,'WetLitterbags placem_collection'!$K$4:$K$500,0)),"")</f>
        <v>79</v>
      </c>
      <c r="AC188" s="110" t="str">
        <f>IFERROR(INDEX('WetLitterbags placem_collection'!$A$3:$A$500,MATCH($A188,'WetLitterbags placem_collection'!$O$4:$O$500,0)),"")</f>
        <v/>
      </c>
      <c r="AD188" s="110" t="str">
        <f>IFERROR(INDEX('WetLitterbags placem_collection'!$A$3:$A$500,MATCH($A188,'WetLitterbags placem_collection'!$M$4:$M$500,0)),"")</f>
        <v/>
      </c>
      <c r="AE188" s="110" t="str">
        <f>IFERROR(INDEX('WetLitterbags placem_collection'!$A$3:$A$500,MATCH($A188,'WetLitterbags placem_collection'!$Q$4:$Q$500,0)),"")</f>
        <v/>
      </c>
    </row>
    <row r="189" spans="1:31">
      <c r="A189" s="206" t="s">
        <v>1442</v>
      </c>
      <c r="C189" s="201">
        <v>186</v>
      </c>
      <c r="D189" s="201">
        <v>0.4279</v>
      </c>
      <c r="E189" s="201">
        <v>10.6746</v>
      </c>
      <c r="F189" s="202">
        <v>0.20050000000000001</v>
      </c>
      <c r="G189" s="201">
        <f t="shared" si="20"/>
        <v>10.8751</v>
      </c>
      <c r="H189" s="201">
        <v>10.6927</v>
      </c>
      <c r="I189" s="201">
        <f t="shared" si="21"/>
        <v>0.18239999999999945</v>
      </c>
      <c r="J189" s="201">
        <f t="shared" si="22"/>
        <v>1.810000000000056E-2</v>
      </c>
      <c r="K189" s="280">
        <f t="shared" si="23"/>
        <v>9.0274314214466642</v>
      </c>
      <c r="L189" s="201">
        <v>30</v>
      </c>
      <c r="M189" s="205">
        <v>43187</v>
      </c>
      <c r="N189" s="205">
        <v>43187</v>
      </c>
      <c r="O189" s="201"/>
      <c r="P189" s="201"/>
      <c r="AB189" s="110" t="str">
        <f>IFERROR(INDEX('WetLitterbags placem_collection'!$A$3:$A$500,MATCH(A189,'WetLitterbags placem_collection'!$K$4:$K$500,0)),"")</f>
        <v/>
      </c>
      <c r="AC189" s="110">
        <f>IFERROR(INDEX('WetLitterbags placem_collection'!$A$3:$A$500,MATCH($A189,'WetLitterbags placem_collection'!$O$4:$O$500,0)),"")</f>
        <v>185</v>
      </c>
      <c r="AD189" s="110" t="str">
        <f>IFERROR(INDEX('WetLitterbags placem_collection'!$A$3:$A$500,MATCH($A189,'WetLitterbags placem_collection'!$M$4:$M$500,0)),"")</f>
        <v/>
      </c>
      <c r="AE189" s="110" t="str">
        <f>IFERROR(INDEX('WetLitterbags placem_collection'!$A$3:$A$500,MATCH($A189,'WetLitterbags placem_collection'!$Q$4:$Q$500,0)),"")</f>
        <v/>
      </c>
    </row>
    <row r="190" spans="1:31">
      <c r="A190" s="206" t="s">
        <v>1441</v>
      </c>
      <c r="C190" s="197">
        <v>14</v>
      </c>
      <c r="D190" s="202">
        <v>0.309</v>
      </c>
      <c r="E190" s="202">
        <v>11.023</v>
      </c>
      <c r="F190" s="202">
        <v>0.20019999999999999</v>
      </c>
      <c r="G190" s="201">
        <f t="shared" si="20"/>
        <v>11.2232</v>
      </c>
      <c r="H190" s="201">
        <v>11.055099999999999</v>
      </c>
      <c r="I190" s="201">
        <f t="shared" si="21"/>
        <v>0.1681000000000008</v>
      </c>
      <c r="J190" s="201">
        <f t="shared" si="22"/>
        <v>3.2099999999999185E-2</v>
      </c>
      <c r="K190" s="280">
        <f t="shared" si="23"/>
        <v>16.033966033965626</v>
      </c>
      <c r="L190" s="201">
        <v>27</v>
      </c>
      <c r="M190" s="205">
        <v>43199</v>
      </c>
      <c r="N190" s="205">
        <v>43199</v>
      </c>
      <c r="O190" s="201"/>
      <c r="P190" s="201"/>
      <c r="AB190" s="110">
        <f>IFERROR(INDEX('WetLitterbags placem_collection'!$A$3:$A$500,MATCH(A190,'WetLitterbags placem_collection'!$K$4:$K$500,0)),"")</f>
        <v>13</v>
      </c>
      <c r="AC190" s="110" t="str">
        <f>IFERROR(INDEX('WetLitterbags placem_collection'!$A$3:$A$500,MATCH($A190,'WetLitterbags placem_collection'!$O$4:$O$500,0)),"")</f>
        <v/>
      </c>
      <c r="AD190" s="110" t="str">
        <f>IFERROR(INDEX('WetLitterbags placem_collection'!$A$3:$A$500,MATCH($A190,'WetLitterbags placem_collection'!$M$4:$M$500,0)),"")</f>
        <v/>
      </c>
      <c r="AE190" s="110" t="str">
        <f>IFERROR(INDEX('WetLitterbags placem_collection'!$A$3:$A$500,MATCH($A190,'WetLitterbags placem_collection'!$Q$4:$Q$500,0)),"")</f>
        <v/>
      </c>
    </row>
    <row r="191" spans="1:31">
      <c r="A191" s="206" t="s">
        <v>1440</v>
      </c>
      <c r="C191" s="201">
        <v>98</v>
      </c>
      <c r="D191" s="201">
        <v>0.37019999999999997</v>
      </c>
      <c r="E191" s="202">
        <v>9.2207000000000008</v>
      </c>
      <c r="F191" s="202">
        <v>0.2016</v>
      </c>
      <c r="G191" s="201">
        <f t="shared" si="20"/>
        <v>9.4222999999999999</v>
      </c>
      <c r="H191" s="201">
        <v>9.2502999999999993</v>
      </c>
      <c r="I191" s="201">
        <f t="shared" si="21"/>
        <v>0.1720000000000006</v>
      </c>
      <c r="J191" s="201">
        <f t="shared" si="22"/>
        <v>2.9599999999999405E-2</v>
      </c>
      <c r="K191" s="280">
        <f t="shared" si="23"/>
        <v>14.682539682539385</v>
      </c>
      <c r="L191" s="201">
        <v>25</v>
      </c>
      <c r="M191" s="207">
        <v>43185.385416666664</v>
      </c>
      <c r="N191" s="201"/>
      <c r="O191" s="201" t="s">
        <v>2556</v>
      </c>
      <c r="P191" s="201"/>
      <c r="AB191" s="110">
        <f>IFERROR(INDEX('WetLitterbags placem_collection'!$A$3:$A$500,MATCH(A191,'WetLitterbags placem_collection'!$K$4:$K$500,0)),"")</f>
        <v>97</v>
      </c>
      <c r="AC191" s="110" t="str">
        <f>IFERROR(INDEX('WetLitterbags placem_collection'!$A$3:$A$500,MATCH($A191,'WetLitterbags placem_collection'!$O$4:$O$500,0)),"")</f>
        <v/>
      </c>
      <c r="AD191" s="110" t="str">
        <f>IFERROR(INDEX('WetLitterbags placem_collection'!$A$3:$A$500,MATCH($A191,'WetLitterbags placem_collection'!$M$4:$M$500,0)),"")</f>
        <v/>
      </c>
      <c r="AE191" s="110" t="str">
        <f>IFERROR(INDEX('WetLitterbags placem_collection'!$A$3:$A$500,MATCH($A191,'WetLitterbags placem_collection'!$Q$4:$Q$500,0)),"")</f>
        <v/>
      </c>
    </row>
    <row r="192" spans="1:31">
      <c r="A192" s="206" t="s">
        <v>1437</v>
      </c>
      <c r="C192" s="201">
        <v>216</v>
      </c>
      <c r="D192" s="201">
        <v>0.61939999999999995</v>
      </c>
      <c r="E192" s="201">
        <v>9.2355</v>
      </c>
      <c r="F192" s="202">
        <v>0.20699999999999999</v>
      </c>
      <c r="G192" s="201">
        <f t="shared" si="20"/>
        <v>9.4425000000000008</v>
      </c>
      <c r="H192" s="201">
        <v>9.2507000000000001</v>
      </c>
      <c r="I192" s="201">
        <f t="shared" si="21"/>
        <v>0.19180000000000064</v>
      </c>
      <c r="J192" s="201">
        <f t="shared" si="22"/>
        <v>1.5199999999999353E-2</v>
      </c>
      <c r="K192" s="280">
        <f t="shared" si="23"/>
        <v>7.3429951690818136</v>
      </c>
      <c r="L192" s="201">
        <v>24</v>
      </c>
      <c r="M192" s="205">
        <v>43211</v>
      </c>
      <c r="AB192" s="110" t="str">
        <f>IFERROR(INDEX('WetLitterbags placem_collection'!$A$3:$A$500,MATCH(A192,'WetLitterbags placem_collection'!$K$4:$K$500,0)),"")</f>
        <v/>
      </c>
      <c r="AC192" s="110">
        <f>IFERROR(INDEX('WetLitterbags placem_collection'!$A$3:$A$500,MATCH($A192,'WetLitterbags placem_collection'!$O$4:$O$500,0)),"")</f>
        <v>215</v>
      </c>
      <c r="AD192" s="110" t="str">
        <f>IFERROR(INDEX('WetLitterbags placem_collection'!$A$3:$A$500,MATCH($A192,'WetLitterbags placem_collection'!$M$4:$M$500,0)),"")</f>
        <v/>
      </c>
      <c r="AE192" s="110" t="str">
        <f>IFERROR(INDEX('WetLitterbags placem_collection'!$A$3:$A$500,MATCH($A192,'WetLitterbags placem_collection'!$Q$4:$Q$500,0)),"")</f>
        <v/>
      </c>
    </row>
    <row r="193" spans="1:31">
      <c r="A193" s="201" t="s">
        <v>1436</v>
      </c>
      <c r="C193" s="201">
        <v>65</v>
      </c>
      <c r="D193" s="201">
        <v>0.72089999999999999</v>
      </c>
      <c r="E193" s="202">
        <v>10.6349</v>
      </c>
      <c r="F193" s="202">
        <v>0.2016</v>
      </c>
      <c r="G193" s="201">
        <f t="shared" si="20"/>
        <v>10.836500000000001</v>
      </c>
      <c r="H193" s="201">
        <v>10.666499999999999</v>
      </c>
      <c r="I193" s="201">
        <f t="shared" si="21"/>
        <v>0.17000000000000171</v>
      </c>
      <c r="J193" s="201">
        <f t="shared" si="22"/>
        <v>3.1599999999998296E-2</v>
      </c>
      <c r="K193" s="280">
        <f t="shared" si="23"/>
        <v>15.67460317460233</v>
      </c>
      <c r="L193" s="201">
        <v>4</v>
      </c>
      <c r="M193" s="205">
        <v>43199</v>
      </c>
      <c r="N193" s="205">
        <v>43199</v>
      </c>
      <c r="O193" s="201"/>
      <c r="P193" s="201"/>
      <c r="AB193" s="110">
        <f>IFERROR(INDEX('WetLitterbags placem_collection'!$A$3:$A$500,MATCH(A193,'WetLitterbags placem_collection'!$K$4:$K$500,0)),"")</f>
        <v>64</v>
      </c>
      <c r="AC193" s="110" t="str">
        <f>IFERROR(INDEX('WetLitterbags placem_collection'!$A$3:$A$500,MATCH($A193,'WetLitterbags placem_collection'!$O$4:$O$500,0)),"")</f>
        <v/>
      </c>
      <c r="AD193" s="110" t="str">
        <f>IFERROR(INDEX('WetLitterbags placem_collection'!$A$3:$A$500,MATCH($A193,'WetLitterbags placem_collection'!$M$4:$M$500,0)),"")</f>
        <v/>
      </c>
      <c r="AE193" s="110" t="str">
        <f>IFERROR(INDEX('WetLitterbags placem_collection'!$A$3:$A$500,MATCH($A193,'WetLitterbags placem_collection'!$Q$4:$Q$500,0)),"")</f>
        <v/>
      </c>
    </row>
    <row r="194" spans="1:31">
      <c r="A194" s="206" t="s">
        <v>1435</v>
      </c>
      <c r="C194" s="197">
        <v>194</v>
      </c>
      <c r="D194" s="201">
        <v>0.42880000000000001</v>
      </c>
      <c r="E194" s="202">
        <v>9.0518999999999998</v>
      </c>
      <c r="F194" s="202">
        <v>0.2029</v>
      </c>
      <c r="G194" s="201">
        <f t="shared" si="20"/>
        <v>9.2547999999999995</v>
      </c>
      <c r="H194" s="201">
        <v>9.0746000000000002</v>
      </c>
      <c r="I194" s="201">
        <f t="shared" si="21"/>
        <v>0.18019999999999925</v>
      </c>
      <c r="J194" s="201">
        <f t="shared" si="22"/>
        <v>2.2700000000000747E-2</v>
      </c>
      <c r="K194" s="280">
        <f t="shared" si="23"/>
        <v>11.187777230163009</v>
      </c>
      <c r="L194" s="201">
        <v>23</v>
      </c>
      <c r="M194" s="207">
        <v>43186.458333333336</v>
      </c>
      <c r="N194" s="207">
        <v>43186.625</v>
      </c>
      <c r="O194" s="197" t="s">
        <v>2550</v>
      </c>
      <c r="P194" s="201"/>
      <c r="AB194" s="110">
        <f>IFERROR(INDEX('WetLitterbags placem_collection'!$A$3:$A$500,MATCH(A194,'WetLitterbags placem_collection'!$K$4:$K$500,0)),"")</f>
        <v>193</v>
      </c>
      <c r="AC194" s="110" t="str">
        <f>IFERROR(INDEX('WetLitterbags placem_collection'!$A$3:$A$500,MATCH($A194,'WetLitterbags placem_collection'!$O$4:$O$500,0)),"")</f>
        <v/>
      </c>
      <c r="AD194" s="110" t="str">
        <f>IFERROR(INDEX('WetLitterbags placem_collection'!$A$3:$A$500,MATCH($A194,'WetLitterbags placem_collection'!$M$4:$M$500,0)),"")</f>
        <v/>
      </c>
      <c r="AE194" s="110" t="str">
        <f>IFERROR(INDEX('WetLitterbags placem_collection'!$A$3:$A$500,MATCH($A194,'WetLitterbags placem_collection'!$Q$4:$Q$500,0)),"")</f>
        <v/>
      </c>
    </row>
    <row r="195" spans="1:31">
      <c r="A195" s="201" t="s">
        <v>1434</v>
      </c>
      <c r="C195" s="201">
        <v>55</v>
      </c>
      <c r="D195" s="201">
        <v>0.68020000000000003</v>
      </c>
      <c r="E195" s="201">
        <v>8.0879999999999992</v>
      </c>
      <c r="F195" s="202">
        <v>0.20480000000000001</v>
      </c>
      <c r="G195" s="201">
        <f t="shared" si="20"/>
        <v>8.2927999999999997</v>
      </c>
      <c r="H195" s="201">
        <v>8.1410999999999998</v>
      </c>
      <c r="I195" s="201">
        <f t="shared" si="21"/>
        <v>0.15169999999999995</v>
      </c>
      <c r="J195" s="201">
        <f t="shared" si="22"/>
        <v>5.3100000000000064E-2</v>
      </c>
      <c r="K195" s="280">
        <f t="shared" si="23"/>
        <v>25.927734375000028</v>
      </c>
      <c r="L195" s="201">
        <v>16</v>
      </c>
      <c r="M195" s="205">
        <v>43187</v>
      </c>
      <c r="N195" s="205">
        <v>43187</v>
      </c>
      <c r="O195" s="201"/>
      <c r="P195" s="201"/>
      <c r="U195" s="202" t="s">
        <v>552</v>
      </c>
      <c r="V195" s="197">
        <v>1.7441</v>
      </c>
      <c r="W195" s="197">
        <f>(V195-$T$175+F193)</f>
        <v>1.9457</v>
      </c>
      <c r="AB195" s="110" t="str">
        <f>IFERROR(INDEX('WetLitterbags placem_collection'!$A$3:$A$500,MATCH(A195,'WetLitterbags placem_collection'!$K$4:$K$500,0)),"")</f>
        <v/>
      </c>
      <c r="AC195" s="110">
        <f>IFERROR(INDEX('WetLitterbags placem_collection'!$A$3:$A$500,MATCH($A195,'WetLitterbags placem_collection'!$O$4:$O$500,0)),"")</f>
        <v>54</v>
      </c>
      <c r="AD195" s="110" t="str">
        <f>IFERROR(INDEX('WetLitterbags placem_collection'!$A$3:$A$500,MATCH($A195,'WetLitterbags placem_collection'!$M$4:$M$500,0)),"")</f>
        <v/>
      </c>
      <c r="AE195" s="110" t="str">
        <f>IFERROR(INDEX('WetLitterbags placem_collection'!$A$3:$A$500,MATCH($A195,'WetLitterbags placem_collection'!$Q$4:$Q$500,0)),"")</f>
        <v/>
      </c>
    </row>
    <row r="196" spans="1:31">
      <c r="A196" s="197" t="s">
        <v>1432</v>
      </c>
      <c r="C196" s="198">
        <v>57</v>
      </c>
      <c r="D196" s="197">
        <v>0.70320000000000005</v>
      </c>
      <c r="E196" s="202">
        <v>10.115500000000001</v>
      </c>
      <c r="F196" s="202">
        <v>0.20200000000000001</v>
      </c>
      <c r="G196" s="201">
        <f t="shared" si="20"/>
        <v>10.317500000000001</v>
      </c>
      <c r="H196" s="201">
        <v>10.1388</v>
      </c>
      <c r="I196" s="201">
        <f t="shared" si="21"/>
        <v>0.17870000000000097</v>
      </c>
      <c r="J196" s="201">
        <f t="shared" si="22"/>
        <v>2.3299999999999044E-2</v>
      </c>
      <c r="K196" s="280">
        <f t="shared" si="23"/>
        <v>11.534653465346061</v>
      </c>
      <c r="L196" s="201">
        <v>1</v>
      </c>
      <c r="U196" s="113" t="s">
        <v>2587</v>
      </c>
      <c r="V196" s="197">
        <v>1.7248000000000001</v>
      </c>
      <c r="W196" s="197">
        <f>(V196-$T$175+F194)</f>
        <v>1.9277000000000002</v>
      </c>
      <c r="AB196" s="110" t="str">
        <f>IFERROR(INDEX('WetLitterbags placem_collection'!$A$3:$A$500,MATCH(A196,'WetLitterbags placem_collection'!$K$4:$K$500,0)),"")</f>
        <v/>
      </c>
      <c r="AC196" s="110">
        <f>IFERROR(INDEX('WetLitterbags placem_collection'!$A$3:$A$500,MATCH($A196,'WetLitterbags placem_collection'!$O$4:$O$500,0)),"")</f>
        <v>56</v>
      </c>
      <c r="AD196" s="110" t="str">
        <f>IFERROR(INDEX('WetLitterbags placem_collection'!$A$3:$A$500,MATCH($A196,'WetLitterbags placem_collection'!$M$4:$M$500,0)),"")</f>
        <v/>
      </c>
      <c r="AE196" s="110" t="str">
        <f>IFERROR(INDEX('WetLitterbags placem_collection'!$A$3:$A$500,MATCH($A196,'WetLitterbags placem_collection'!$Q$4:$Q$500,0)),"")</f>
        <v/>
      </c>
    </row>
    <row r="197" spans="1:31">
      <c r="A197" s="206" t="s">
        <v>1431</v>
      </c>
      <c r="C197" s="201">
        <v>40</v>
      </c>
      <c r="D197" s="201">
        <v>0.50349999999999995</v>
      </c>
      <c r="E197" s="201">
        <v>7.774</v>
      </c>
      <c r="F197" s="202">
        <v>0.20580000000000001</v>
      </c>
      <c r="G197" s="201">
        <f t="shared" si="20"/>
        <v>7.9798</v>
      </c>
      <c r="H197" s="201">
        <v>7.7916999999999996</v>
      </c>
      <c r="I197" s="201">
        <f t="shared" si="21"/>
        <v>0.18810000000000038</v>
      </c>
      <c r="J197" s="201">
        <f t="shared" si="22"/>
        <v>1.7699999999999633E-2</v>
      </c>
      <c r="K197" s="280">
        <f t="shared" si="23"/>
        <v>8.6005830903788301</v>
      </c>
      <c r="L197" s="201">
        <v>9</v>
      </c>
      <c r="M197" s="205">
        <v>43211</v>
      </c>
      <c r="P197" s="201"/>
      <c r="AB197" s="110" t="str">
        <f>IFERROR(INDEX('WetLitterbags placem_collection'!$A$3:$A$500,MATCH(A197,'WetLitterbags placem_collection'!$K$4:$K$500,0)),"")</f>
        <v/>
      </c>
      <c r="AC197" s="110">
        <f>IFERROR(INDEX('WetLitterbags placem_collection'!$A$3:$A$500,MATCH($A197,'WetLitterbags placem_collection'!$O$4:$O$500,0)),"")</f>
        <v>39</v>
      </c>
      <c r="AD197" s="110" t="str">
        <f>IFERROR(INDEX('WetLitterbags placem_collection'!$A$3:$A$500,MATCH($A197,'WetLitterbags placem_collection'!$M$4:$M$500,0)),"")</f>
        <v/>
      </c>
      <c r="AE197" s="110" t="str">
        <f>IFERROR(INDEX('WetLitterbags placem_collection'!$A$3:$A$500,MATCH($A197,'WetLitterbags placem_collection'!$Q$4:$Q$500,0)),"")</f>
        <v/>
      </c>
    </row>
    <row r="198" spans="1:31">
      <c r="A198" s="197" t="s">
        <v>1430</v>
      </c>
      <c r="C198" s="198">
        <v>187</v>
      </c>
      <c r="D198" s="197">
        <v>0.40920000000000001</v>
      </c>
      <c r="E198" s="202">
        <v>8.7684999999999995</v>
      </c>
      <c r="F198" s="202">
        <v>0.20630000000000001</v>
      </c>
      <c r="G198" s="201">
        <f t="shared" si="20"/>
        <v>8.9748000000000001</v>
      </c>
      <c r="H198" s="201">
        <v>8.7864000000000004</v>
      </c>
      <c r="I198" s="201">
        <f t="shared" si="21"/>
        <v>0.18839999999999968</v>
      </c>
      <c r="J198" s="201">
        <f t="shared" si="22"/>
        <v>1.7900000000000332E-2</v>
      </c>
      <c r="K198" s="280">
        <f t="shared" si="23"/>
        <v>8.6766844401358867</v>
      </c>
      <c r="L198" s="201">
        <v>22</v>
      </c>
      <c r="M198" s="204">
        <v>43221</v>
      </c>
      <c r="N198" s="204">
        <v>43221</v>
      </c>
      <c r="AB198" s="110">
        <f>IFERROR(INDEX('WetLitterbags placem_collection'!$A$3:$A$500,MATCH(A198,'WetLitterbags placem_collection'!$K$4:$K$500,0)),"")</f>
        <v>186</v>
      </c>
      <c r="AC198" s="110" t="str">
        <f>IFERROR(INDEX('WetLitterbags placem_collection'!$A$3:$A$500,MATCH($A198,'WetLitterbags placem_collection'!$O$4:$O$500,0)),"")</f>
        <v/>
      </c>
      <c r="AD198" s="110" t="str">
        <f>IFERROR(INDEX('WetLitterbags placem_collection'!$A$3:$A$500,MATCH($A198,'WetLitterbags placem_collection'!$M$4:$M$500,0)),"")</f>
        <v/>
      </c>
      <c r="AE198" s="110" t="str">
        <f>IFERROR(INDEX('WetLitterbags placem_collection'!$A$3:$A$500,MATCH($A198,'WetLitterbags placem_collection'!$Q$4:$Q$500,0)),"")</f>
        <v/>
      </c>
    </row>
    <row r="199" spans="1:31">
      <c r="A199" s="201" t="s">
        <v>1429</v>
      </c>
      <c r="C199" s="201">
        <v>205</v>
      </c>
      <c r="D199" s="197">
        <v>0.52459999999999996</v>
      </c>
      <c r="E199" s="197">
        <v>11.0524</v>
      </c>
      <c r="F199" s="197">
        <v>0.20369999999999999</v>
      </c>
      <c r="G199" s="197">
        <f t="shared" si="20"/>
        <v>11.2561</v>
      </c>
      <c r="H199" s="197">
        <v>11.097300000000001</v>
      </c>
      <c r="I199" s="197">
        <f t="shared" si="21"/>
        <v>0.15879999999999939</v>
      </c>
      <c r="J199" s="201">
        <f t="shared" si="22"/>
        <v>4.4900000000000606E-2</v>
      </c>
      <c r="K199" s="280">
        <f t="shared" si="23"/>
        <v>22.042218949435743</v>
      </c>
      <c r="L199" s="197">
        <v>8</v>
      </c>
      <c r="M199" s="207">
        <v>43160.520833333336</v>
      </c>
      <c r="N199" s="207">
        <v>43160.6875</v>
      </c>
      <c r="O199" s="197" t="s">
        <v>2550</v>
      </c>
      <c r="AB199" s="110">
        <f>IFERROR(INDEX('WetLitterbags placem_collection'!$A$3:$A$500,MATCH(A199,'WetLitterbags placem_collection'!$K$4:$K$500,0)),"")</f>
        <v>204</v>
      </c>
      <c r="AC199" s="110" t="str">
        <f>IFERROR(INDEX('WetLitterbags placem_collection'!$A$3:$A$500,MATCH($A199,'WetLitterbags placem_collection'!$O$4:$O$500,0)),"")</f>
        <v/>
      </c>
      <c r="AD199" s="110" t="str">
        <f>IFERROR(INDEX('WetLitterbags placem_collection'!$A$3:$A$500,MATCH($A199,'WetLitterbags placem_collection'!$M$4:$M$500,0)),"")</f>
        <v/>
      </c>
      <c r="AE199" s="110" t="str">
        <f>IFERROR(INDEX('WetLitterbags placem_collection'!$A$3:$A$500,MATCH($A199,'WetLitterbags placem_collection'!$Q$4:$Q$500,0)),"")</f>
        <v/>
      </c>
    </row>
    <row r="200" spans="1:31">
      <c r="A200" s="206" t="s">
        <v>1427</v>
      </c>
      <c r="C200" s="201">
        <v>138</v>
      </c>
      <c r="D200" s="201">
        <v>0.45350000000000001</v>
      </c>
      <c r="E200" s="202">
        <v>10.6175</v>
      </c>
      <c r="F200" s="202">
        <v>0.2009</v>
      </c>
      <c r="G200" s="201">
        <f t="shared" si="20"/>
        <v>10.8184</v>
      </c>
      <c r="H200" s="201">
        <v>10.6435</v>
      </c>
      <c r="I200" s="201">
        <f t="shared" si="21"/>
        <v>0.17490000000000094</v>
      </c>
      <c r="J200" s="201">
        <f t="shared" si="22"/>
        <v>2.5999999999999052E-2</v>
      </c>
      <c r="K200" s="280">
        <f t="shared" si="23"/>
        <v>12.94176207068146</v>
      </c>
      <c r="L200" s="201">
        <v>34</v>
      </c>
      <c r="M200" s="207">
        <v>43186.458333333336</v>
      </c>
      <c r="N200" s="207">
        <v>43186.625</v>
      </c>
      <c r="O200" s="197" t="s">
        <v>2550</v>
      </c>
      <c r="P200" s="201"/>
      <c r="AB200" s="110" t="str">
        <f>IFERROR(INDEX('WetLitterbags placem_collection'!$A$3:$A$500,MATCH(A200,'WetLitterbags placem_collection'!$K$4:$K$500,0)),"")</f>
        <v/>
      </c>
      <c r="AC200" s="110">
        <f>IFERROR(INDEX('WetLitterbags placem_collection'!$A$3:$A$500,MATCH($A200,'WetLitterbags placem_collection'!$O$4:$O$500,0)),"")</f>
        <v>137</v>
      </c>
      <c r="AD200" s="110" t="str">
        <f>IFERROR(INDEX('WetLitterbags placem_collection'!$A$3:$A$500,MATCH($A200,'WetLitterbags placem_collection'!$M$4:$M$500,0)),"")</f>
        <v/>
      </c>
      <c r="AE200" s="110" t="str">
        <f>IFERROR(INDEX('WetLitterbags placem_collection'!$A$3:$A$500,MATCH($A200,'WetLitterbags placem_collection'!$Q$4:$Q$500,0)),"")</f>
        <v/>
      </c>
    </row>
    <row r="201" spans="1:31">
      <c r="A201" s="201" t="s">
        <v>1424</v>
      </c>
      <c r="C201" s="201">
        <v>41</v>
      </c>
      <c r="D201" s="202">
        <v>0.62419999999999998</v>
      </c>
      <c r="E201" s="201">
        <v>10.3134</v>
      </c>
      <c r="F201" s="202">
        <v>0.2079</v>
      </c>
      <c r="G201" s="201">
        <f t="shared" si="20"/>
        <v>10.5213</v>
      </c>
      <c r="H201" s="201">
        <v>10.3363</v>
      </c>
      <c r="I201" s="201">
        <f t="shared" si="21"/>
        <v>0.1850000000000005</v>
      </c>
      <c r="J201" s="201">
        <f t="shared" si="22"/>
        <v>2.2899999999999504E-2</v>
      </c>
      <c r="K201" s="280">
        <f t="shared" si="23"/>
        <v>11.014911014910776</v>
      </c>
      <c r="L201" s="201">
        <v>31</v>
      </c>
      <c r="M201" s="201"/>
      <c r="N201" s="201"/>
      <c r="O201" s="201"/>
      <c r="P201" s="201"/>
      <c r="AB201" s="110" t="str">
        <f>IFERROR(INDEX('WetLitterbags placem_collection'!$A$3:$A$500,MATCH(A201,'WetLitterbags placem_collection'!$K$4:$K$500,0)),"")</f>
        <v/>
      </c>
      <c r="AC201" s="110">
        <f>IFERROR(INDEX('WetLitterbags placem_collection'!$A$3:$A$500,MATCH($A201,'WetLitterbags placem_collection'!$O$4:$O$500,0)),"")</f>
        <v>40</v>
      </c>
      <c r="AD201" s="110" t="str">
        <f>IFERROR(INDEX('WetLitterbags placem_collection'!$A$3:$A$500,MATCH($A201,'WetLitterbags placem_collection'!$M$4:$M$500,0)),"")</f>
        <v/>
      </c>
      <c r="AE201" s="110" t="str">
        <f>IFERROR(INDEX('WetLitterbags placem_collection'!$A$3:$A$500,MATCH($A201,'WetLitterbags placem_collection'!$Q$4:$Q$500,0)),"")</f>
        <v/>
      </c>
    </row>
    <row r="202" spans="1:31">
      <c r="A202" s="197" t="s">
        <v>1423</v>
      </c>
      <c r="C202" s="198">
        <v>72</v>
      </c>
      <c r="D202" s="197">
        <v>0.66139999999999999</v>
      </c>
      <c r="E202" s="202">
        <v>8.9581</v>
      </c>
      <c r="F202" s="202">
        <v>0.2089</v>
      </c>
      <c r="G202" s="201">
        <f t="shared" si="20"/>
        <v>9.1669999999999998</v>
      </c>
      <c r="H202" s="201">
        <v>8.9749999999999996</v>
      </c>
      <c r="I202" s="201">
        <f t="shared" si="21"/>
        <v>0.19200000000000017</v>
      </c>
      <c r="J202" s="201">
        <f t="shared" si="22"/>
        <v>1.6899999999999832E-2</v>
      </c>
      <c r="K202" s="280">
        <f t="shared" si="23"/>
        <v>8.0899952130205044</v>
      </c>
      <c r="L202" s="201">
        <v>40</v>
      </c>
      <c r="AB202" s="110" t="str">
        <f>IFERROR(INDEX('WetLitterbags placem_collection'!$A$3:$A$500,MATCH(A202,'WetLitterbags placem_collection'!$K$4:$K$500,0)),"")</f>
        <v/>
      </c>
      <c r="AC202" s="110">
        <f>IFERROR(INDEX('WetLitterbags placem_collection'!$A$3:$A$500,MATCH($A202,'WetLitterbags placem_collection'!$O$4:$O$500,0)),"")</f>
        <v>71</v>
      </c>
      <c r="AD202" s="110" t="str">
        <f>IFERROR(INDEX('WetLitterbags placem_collection'!$A$3:$A$500,MATCH($A202,'WetLitterbags placem_collection'!$M$4:$M$500,0)),"")</f>
        <v/>
      </c>
      <c r="AE202" s="110" t="str">
        <f>IFERROR(INDEX('WetLitterbags placem_collection'!$A$3:$A$500,MATCH($A202,'WetLitterbags placem_collection'!$Q$4:$Q$500,0)),"")</f>
        <v/>
      </c>
    </row>
    <row r="203" spans="1:31">
      <c r="A203" s="197" t="s">
        <v>1422</v>
      </c>
      <c r="C203" s="197">
        <v>87</v>
      </c>
      <c r="D203" s="197">
        <v>0.62929999999999997</v>
      </c>
      <c r="E203" s="197">
        <v>19.727699999999999</v>
      </c>
      <c r="F203" s="197">
        <v>0.20799999999999999</v>
      </c>
      <c r="G203" s="197">
        <f t="shared" si="20"/>
        <v>19.935699999999997</v>
      </c>
      <c r="H203" s="197">
        <v>19.754200000000001</v>
      </c>
      <c r="I203" s="197">
        <f t="shared" si="21"/>
        <v>0.18149999999999622</v>
      </c>
      <c r="J203" s="201">
        <f t="shared" si="22"/>
        <v>2.6500000000003771E-2</v>
      </c>
      <c r="K203" s="280">
        <f t="shared" si="23"/>
        <v>12.74038461538643</v>
      </c>
      <c r="L203" s="197">
        <v>15</v>
      </c>
      <c r="M203" s="197" t="s">
        <v>2580</v>
      </c>
      <c r="N203" s="197" t="s">
        <v>2579</v>
      </c>
      <c r="O203" s="197" t="s">
        <v>2556</v>
      </c>
      <c r="AB203" s="110">
        <f>IFERROR(INDEX('WetLitterbags placem_collection'!$A$3:$A$500,MATCH(A203,'WetLitterbags placem_collection'!$K$4:$K$500,0)),"")</f>
        <v>86</v>
      </c>
      <c r="AC203" s="110" t="str">
        <f>IFERROR(INDEX('WetLitterbags placem_collection'!$A$3:$A$500,MATCH($A203,'WetLitterbags placem_collection'!$O$4:$O$500,0)),"")</f>
        <v/>
      </c>
      <c r="AD203" s="110" t="str">
        <f>IFERROR(INDEX('WetLitterbags placem_collection'!$A$3:$A$500,MATCH($A203,'WetLitterbags placem_collection'!$M$4:$M$500,0)),"")</f>
        <v/>
      </c>
      <c r="AE203" s="110" t="str">
        <f>IFERROR(INDEX('WetLitterbags placem_collection'!$A$3:$A$500,MATCH($A203,'WetLitterbags placem_collection'!$Q$4:$Q$500,0)),"")</f>
        <v/>
      </c>
    </row>
    <row r="204" spans="1:31">
      <c r="A204" s="197" t="s">
        <v>1418</v>
      </c>
      <c r="C204" s="197">
        <v>87</v>
      </c>
      <c r="D204" s="197">
        <v>0.59950000000000003</v>
      </c>
      <c r="E204" s="197">
        <v>20.7624</v>
      </c>
      <c r="F204" s="197">
        <v>0.21010000000000001</v>
      </c>
      <c r="G204" s="197">
        <f t="shared" si="20"/>
        <v>20.9725</v>
      </c>
      <c r="H204" s="197">
        <v>20.792999999999999</v>
      </c>
      <c r="I204" s="197">
        <f t="shared" si="21"/>
        <v>0.17950000000000088</v>
      </c>
      <c r="J204" s="201">
        <f t="shared" si="22"/>
        <v>3.0599999999999128E-2</v>
      </c>
      <c r="K204" s="280">
        <f t="shared" si="23"/>
        <v>14.564493098524098</v>
      </c>
      <c r="L204" s="197">
        <v>16</v>
      </c>
      <c r="M204" s="197" t="s">
        <v>2580</v>
      </c>
      <c r="N204" s="197" t="s">
        <v>2579</v>
      </c>
      <c r="O204" s="197" t="s">
        <v>2556</v>
      </c>
      <c r="AB204" s="110" t="str">
        <f>IFERROR(INDEX('WetLitterbags placem_collection'!$A$3:$A$500,MATCH(A204,'WetLitterbags placem_collection'!$K$4:$K$500,0)),"")</f>
        <v/>
      </c>
      <c r="AC204" s="110">
        <f>IFERROR(INDEX('WetLitterbags placem_collection'!$A$3:$A$500,MATCH($A204,'WetLitterbags placem_collection'!$O$4:$O$500,0)),"")</f>
        <v>86</v>
      </c>
      <c r="AD204" s="110" t="str">
        <f>IFERROR(INDEX('WetLitterbags placem_collection'!$A$3:$A$500,MATCH($A204,'WetLitterbags placem_collection'!$M$4:$M$500,0)),"")</f>
        <v/>
      </c>
      <c r="AE204" s="110" t="str">
        <f>IFERROR(INDEX('WetLitterbags placem_collection'!$A$3:$A$500,MATCH($A204,'WetLitterbags placem_collection'!$Q$4:$Q$500,0)),"")</f>
        <v/>
      </c>
    </row>
    <row r="205" spans="1:31">
      <c r="A205" s="202" t="s">
        <v>1417</v>
      </c>
      <c r="C205" s="201">
        <v>60</v>
      </c>
      <c r="D205" s="201">
        <v>0.6016999999999999</v>
      </c>
      <c r="E205" s="201">
        <v>7.4808000000000003</v>
      </c>
      <c r="F205" s="201">
        <v>0.20580000000000001</v>
      </c>
      <c r="G205" s="201">
        <f t="shared" si="20"/>
        <v>7.6866000000000003</v>
      </c>
      <c r="H205" s="201">
        <v>7.5072000000000001</v>
      </c>
      <c r="I205" s="201">
        <f t="shared" si="21"/>
        <v>0.17940000000000023</v>
      </c>
      <c r="J205" s="201">
        <f t="shared" si="22"/>
        <v>2.6399999999999785E-2</v>
      </c>
      <c r="K205" s="280">
        <f t="shared" si="23"/>
        <v>12.827988338192315</v>
      </c>
      <c r="L205" s="201">
        <v>24</v>
      </c>
      <c r="M205" s="205">
        <v>43173</v>
      </c>
      <c r="N205" s="205">
        <v>43173</v>
      </c>
      <c r="O205" s="201" t="s">
        <v>2556</v>
      </c>
      <c r="P205" s="201" t="s">
        <v>2555</v>
      </c>
      <c r="AB205" s="110">
        <f>IFERROR(INDEX('WetLitterbags placem_collection'!$A$3:$A$500,MATCH(A205,'WetLitterbags placem_collection'!$K$4:$K$500,0)),"")</f>
        <v>59</v>
      </c>
      <c r="AC205" s="110" t="str">
        <f>IFERROR(INDEX('WetLitterbags placem_collection'!$A$3:$A$500,MATCH($A205,'WetLitterbags placem_collection'!$O$4:$O$500,0)),"")</f>
        <v/>
      </c>
      <c r="AD205" s="110" t="str">
        <f>IFERROR(INDEX('WetLitterbags placem_collection'!$A$3:$A$500,MATCH($A205,'WetLitterbags placem_collection'!$M$4:$M$500,0)),"")</f>
        <v/>
      </c>
      <c r="AE205" s="110" t="str">
        <f>IFERROR(INDEX('WetLitterbags placem_collection'!$A$3:$A$500,MATCH($A205,'WetLitterbags placem_collection'!$Q$4:$Q$500,0)),"")</f>
        <v/>
      </c>
    </row>
    <row r="206" spans="1:31">
      <c r="A206" s="197" t="s">
        <v>1416</v>
      </c>
      <c r="C206" s="198">
        <v>6</v>
      </c>
      <c r="D206" s="197">
        <v>0.41160000000000002</v>
      </c>
      <c r="E206" s="202">
        <v>7.3536999999999999</v>
      </c>
      <c r="F206" s="202">
        <v>0.20180000000000001</v>
      </c>
      <c r="G206" s="201">
        <f t="shared" si="20"/>
        <v>7.5555000000000003</v>
      </c>
      <c r="H206" s="201">
        <v>7.3731999999999998</v>
      </c>
      <c r="I206" s="201">
        <f t="shared" si="21"/>
        <v>0.18230000000000057</v>
      </c>
      <c r="J206" s="201">
        <f t="shared" si="22"/>
        <v>1.9499999999999434E-2</v>
      </c>
      <c r="K206" s="280">
        <f t="shared" si="23"/>
        <v>9.6630327056488774</v>
      </c>
      <c r="L206" s="201">
        <v>13</v>
      </c>
      <c r="AB206" s="110" t="str">
        <f>IFERROR(INDEX('WetLitterbags placem_collection'!$A$3:$A$500,MATCH(A206,'WetLitterbags placem_collection'!$K$4:$K$500,0)),"")</f>
        <v/>
      </c>
      <c r="AC206" s="110">
        <f>IFERROR(INDEX('WetLitterbags placem_collection'!$A$3:$A$500,MATCH($A206,'WetLitterbags placem_collection'!$O$4:$O$500,0)),"")</f>
        <v>5</v>
      </c>
      <c r="AD206" s="110" t="str">
        <f>IFERROR(INDEX('WetLitterbags placem_collection'!$A$3:$A$500,MATCH($A206,'WetLitterbags placem_collection'!$M$4:$M$500,0)),"")</f>
        <v/>
      </c>
      <c r="AE206" s="110" t="str">
        <f>IFERROR(INDEX('WetLitterbags placem_collection'!$A$3:$A$500,MATCH($A206,'WetLitterbags placem_collection'!$Q$4:$Q$500,0)),"")</f>
        <v/>
      </c>
    </row>
    <row r="207" spans="1:31">
      <c r="A207" s="197" t="s">
        <v>1414</v>
      </c>
      <c r="C207" s="198">
        <v>93</v>
      </c>
      <c r="D207" s="197">
        <v>0.5998</v>
      </c>
      <c r="E207" s="201">
        <v>11.8621</v>
      </c>
      <c r="F207" s="202">
        <v>0.20330000000000001</v>
      </c>
      <c r="G207" s="201">
        <f t="shared" si="20"/>
        <v>12.0654</v>
      </c>
      <c r="H207" s="201">
        <v>11.8895</v>
      </c>
      <c r="I207" s="201">
        <f t="shared" si="21"/>
        <v>0.17590000000000039</v>
      </c>
      <c r="J207" s="201">
        <f t="shared" si="22"/>
        <v>2.7399999999999619E-2</v>
      </c>
      <c r="K207" s="280">
        <f t="shared" si="23"/>
        <v>13.477619281849297</v>
      </c>
      <c r="L207" s="201">
        <v>25</v>
      </c>
      <c r="M207" s="204">
        <v>43212</v>
      </c>
      <c r="AB207" s="110">
        <f>IFERROR(INDEX('WetLitterbags placem_collection'!$A$3:$A$500,MATCH(A207,'WetLitterbags placem_collection'!$K$4:$K$500,0)),"")</f>
        <v>92</v>
      </c>
      <c r="AC207" s="110" t="str">
        <f>IFERROR(INDEX('WetLitterbags placem_collection'!$A$3:$A$500,MATCH($A207,'WetLitterbags placem_collection'!$O$4:$O$500,0)),"")</f>
        <v/>
      </c>
      <c r="AD207" s="110" t="str">
        <f>IFERROR(INDEX('WetLitterbags placem_collection'!$A$3:$A$500,MATCH($A207,'WetLitterbags placem_collection'!$M$4:$M$500,0)),"")</f>
        <v/>
      </c>
      <c r="AE207" s="110" t="str">
        <f>IFERROR(INDEX('WetLitterbags placem_collection'!$A$3:$A$500,MATCH($A207,'WetLitterbags placem_collection'!$Q$4:$Q$500,0)),"")</f>
        <v/>
      </c>
    </row>
    <row r="208" spans="1:31">
      <c r="A208" s="201" t="s">
        <v>1413</v>
      </c>
      <c r="C208" s="201">
        <v>209</v>
      </c>
      <c r="D208" s="201">
        <v>0.6653</v>
      </c>
      <c r="E208" s="201">
        <v>7.0747</v>
      </c>
      <c r="F208" s="201">
        <v>0.2049</v>
      </c>
      <c r="G208" s="201">
        <f t="shared" si="20"/>
        <v>7.2796000000000003</v>
      </c>
      <c r="H208" s="201">
        <v>7.1105</v>
      </c>
      <c r="I208" s="201">
        <f t="shared" si="21"/>
        <v>0.16910000000000025</v>
      </c>
      <c r="J208" s="201">
        <f t="shared" si="22"/>
        <v>3.5799999999999749E-2</v>
      </c>
      <c r="K208" s="280">
        <f t="shared" si="23"/>
        <v>17.471937530502561</v>
      </c>
      <c r="L208" s="201">
        <v>3</v>
      </c>
      <c r="M208" s="205">
        <v>43174</v>
      </c>
      <c r="N208" s="205">
        <v>43174</v>
      </c>
      <c r="O208" s="201" t="s">
        <v>2556</v>
      </c>
      <c r="P208" s="201" t="s">
        <v>2551</v>
      </c>
      <c r="AB208" s="110" t="str">
        <f>IFERROR(INDEX('WetLitterbags placem_collection'!$A$3:$A$500,MATCH(A208,'WetLitterbags placem_collection'!$K$4:$K$500,0)),"")</f>
        <v/>
      </c>
      <c r="AC208" s="110">
        <f>IFERROR(INDEX('WetLitterbags placem_collection'!$A$3:$A$500,MATCH($A208,'WetLitterbags placem_collection'!$O$4:$O$500,0)),"")</f>
        <v>208</v>
      </c>
      <c r="AD208" s="110" t="str">
        <f>IFERROR(INDEX('WetLitterbags placem_collection'!$A$3:$A$500,MATCH($A208,'WetLitterbags placem_collection'!$M$4:$M$500,0)),"")</f>
        <v/>
      </c>
      <c r="AE208" s="110" t="str">
        <f>IFERROR(INDEX('WetLitterbags placem_collection'!$A$3:$A$500,MATCH($A208,'WetLitterbags placem_collection'!$Q$4:$Q$500,0)),"")</f>
        <v/>
      </c>
    </row>
    <row r="209" spans="1:31">
      <c r="A209" s="197" t="s">
        <v>1412</v>
      </c>
      <c r="C209" s="197">
        <v>52</v>
      </c>
      <c r="D209" s="197">
        <v>0.76990000000000003</v>
      </c>
      <c r="E209" s="197">
        <v>7.9055</v>
      </c>
      <c r="F209" s="197">
        <v>0.2016</v>
      </c>
      <c r="G209" s="197">
        <f t="shared" si="20"/>
        <v>8.1070999999999991</v>
      </c>
      <c r="H209" s="197">
        <v>7.9672999999999998</v>
      </c>
      <c r="I209" s="197">
        <f t="shared" si="21"/>
        <v>0.13979999999999926</v>
      </c>
      <c r="J209" s="201">
        <f t="shared" si="22"/>
        <v>6.1800000000000743E-2</v>
      </c>
      <c r="K209" s="280">
        <f t="shared" si="23"/>
        <v>30.654761904762275</v>
      </c>
      <c r="L209" s="197">
        <v>35</v>
      </c>
      <c r="M209" s="197" t="s">
        <v>2586</v>
      </c>
      <c r="N209" s="197" t="s">
        <v>2585</v>
      </c>
      <c r="O209" s="197" t="s">
        <v>2550</v>
      </c>
      <c r="U209" s="202" t="s">
        <v>1228</v>
      </c>
      <c r="V209" s="197">
        <v>1.05</v>
      </c>
      <c r="W209" s="197">
        <f>(V209-$T$175+F207)</f>
        <v>1.2533000000000001</v>
      </c>
      <c r="AB209" s="110">
        <f>IFERROR(INDEX('WetLitterbags placem_collection'!$A$3:$A$500,MATCH(A209,'WetLitterbags placem_collection'!$K$4:$K$500,0)),"")</f>
        <v>51</v>
      </c>
      <c r="AC209" s="110" t="str">
        <f>IFERROR(INDEX('WetLitterbags placem_collection'!$A$3:$A$500,MATCH($A209,'WetLitterbags placem_collection'!$O$4:$O$500,0)),"")</f>
        <v/>
      </c>
      <c r="AD209" s="110" t="str">
        <f>IFERROR(INDEX('WetLitterbags placem_collection'!$A$3:$A$500,MATCH($A209,'WetLitterbags placem_collection'!$M$4:$M$500,0)),"")</f>
        <v/>
      </c>
      <c r="AE209" s="110" t="str">
        <f>IFERROR(INDEX('WetLitterbags placem_collection'!$A$3:$A$500,MATCH($A209,'WetLitterbags placem_collection'!$Q$4:$Q$500,0)),"")</f>
        <v/>
      </c>
    </row>
    <row r="210" spans="1:31">
      <c r="A210" s="197" t="s">
        <v>1411</v>
      </c>
      <c r="C210" s="198">
        <v>19</v>
      </c>
      <c r="D210" s="197">
        <v>0.6804</v>
      </c>
      <c r="E210" s="202">
        <v>10.565799999999999</v>
      </c>
      <c r="F210" s="202">
        <v>0.19980000000000001</v>
      </c>
      <c r="G210" s="201">
        <f t="shared" si="20"/>
        <v>10.765599999999999</v>
      </c>
      <c r="H210" s="201">
        <v>10.599</v>
      </c>
      <c r="I210" s="201">
        <f t="shared" si="21"/>
        <v>0.16659999999999897</v>
      </c>
      <c r="J210" s="201">
        <f t="shared" si="22"/>
        <v>3.3200000000001034E-2</v>
      </c>
      <c r="K210" s="280">
        <f t="shared" si="23"/>
        <v>16.616616616617133</v>
      </c>
      <c r="L210" s="201">
        <v>30</v>
      </c>
      <c r="AB210" s="110" t="str">
        <f>IFERROR(INDEX('WetLitterbags placem_collection'!$A$3:$A$500,MATCH(A210,'WetLitterbags placem_collection'!$K$4:$K$500,0)),"")</f>
        <v/>
      </c>
      <c r="AC210" s="110">
        <f>IFERROR(INDEX('WetLitterbags placem_collection'!$A$3:$A$500,MATCH($A210,'WetLitterbags placem_collection'!$O$4:$O$500,0)),"")</f>
        <v>18</v>
      </c>
      <c r="AD210" s="110" t="str">
        <f>IFERROR(INDEX('WetLitterbags placem_collection'!$A$3:$A$500,MATCH($A210,'WetLitterbags placem_collection'!$M$4:$M$500,0)),"")</f>
        <v/>
      </c>
      <c r="AE210" s="110" t="str">
        <f>IFERROR(INDEX('WetLitterbags placem_collection'!$A$3:$A$500,MATCH($A210,'WetLitterbags placem_collection'!$Q$4:$Q$500,0)),"")</f>
        <v/>
      </c>
    </row>
    <row r="211" spans="1:31">
      <c r="A211" s="197" t="s">
        <v>1410</v>
      </c>
      <c r="C211" s="198">
        <v>204</v>
      </c>
      <c r="D211" s="197">
        <v>0.52149999999999996</v>
      </c>
      <c r="E211" s="201">
        <v>9.0312999999999999</v>
      </c>
      <c r="F211" s="202">
        <v>0.20649999999999999</v>
      </c>
      <c r="G211" s="201">
        <f t="shared" si="20"/>
        <v>9.2378</v>
      </c>
      <c r="H211" s="201">
        <v>9.0551999999999992</v>
      </c>
      <c r="I211" s="201">
        <f t="shared" si="21"/>
        <v>0.18260000000000076</v>
      </c>
      <c r="J211" s="201">
        <f t="shared" si="22"/>
        <v>2.3899999999999227E-2</v>
      </c>
      <c r="K211" s="280">
        <f t="shared" si="23"/>
        <v>11.573849878934253</v>
      </c>
      <c r="L211" s="201">
        <v>17</v>
      </c>
      <c r="M211" s="204">
        <v>43212</v>
      </c>
      <c r="AB211" s="110" t="str">
        <f>IFERROR(INDEX('WetLitterbags placem_collection'!$A$3:$A$500,MATCH(A211,'WetLitterbags placem_collection'!$K$4:$K$500,0)),"")</f>
        <v/>
      </c>
      <c r="AC211" s="110">
        <f>IFERROR(INDEX('WetLitterbags placem_collection'!$A$3:$A$500,MATCH($A211,'WetLitterbags placem_collection'!$O$4:$O$500,0)),"")</f>
        <v>203</v>
      </c>
      <c r="AD211" s="110" t="str">
        <f>IFERROR(INDEX('WetLitterbags placem_collection'!$A$3:$A$500,MATCH($A211,'WetLitterbags placem_collection'!$M$4:$M$500,0)),"")</f>
        <v/>
      </c>
      <c r="AE211" s="110" t="str">
        <f>IFERROR(INDEX('WetLitterbags placem_collection'!$A$3:$A$500,MATCH($A211,'WetLitterbags placem_collection'!$Q$4:$Q$500,0)),"")</f>
        <v/>
      </c>
    </row>
    <row r="212" spans="1:31">
      <c r="A212" s="201" t="s">
        <v>1409</v>
      </c>
      <c r="C212" s="201">
        <v>95</v>
      </c>
      <c r="D212" s="201">
        <f>0.7539+F212</f>
        <v>0.95789999999999997</v>
      </c>
      <c r="E212" s="202">
        <v>7.8712</v>
      </c>
      <c r="F212" s="202">
        <v>0.20399999999999999</v>
      </c>
      <c r="G212" s="201">
        <f t="shared" si="20"/>
        <v>8.0752000000000006</v>
      </c>
      <c r="H212" s="201">
        <v>7.9390000000000001</v>
      </c>
      <c r="I212" s="201">
        <f t="shared" si="21"/>
        <v>0.13620000000000054</v>
      </c>
      <c r="J212" s="201">
        <f t="shared" si="22"/>
        <v>6.7799999999999444E-2</v>
      </c>
      <c r="K212" s="280">
        <f t="shared" si="23"/>
        <v>33.235294117646788</v>
      </c>
      <c r="L212" s="201">
        <v>18</v>
      </c>
      <c r="M212" s="205">
        <v>43174</v>
      </c>
      <c r="N212" s="205">
        <v>43174</v>
      </c>
      <c r="O212" s="201" t="s">
        <v>2556</v>
      </c>
      <c r="P212" s="201" t="s">
        <v>2551</v>
      </c>
      <c r="AB212" s="110">
        <f>IFERROR(INDEX('WetLitterbags placem_collection'!$A$3:$A$500,MATCH(A212,'WetLitterbags placem_collection'!$K$4:$K$500,0)),"")</f>
        <v>94</v>
      </c>
      <c r="AC212" s="110" t="str">
        <f>IFERROR(INDEX('WetLitterbags placem_collection'!$A$3:$A$500,MATCH($A212,'WetLitterbags placem_collection'!$O$4:$O$500,0)),"")</f>
        <v/>
      </c>
      <c r="AD212" s="110" t="str">
        <f>IFERROR(INDEX('WetLitterbags placem_collection'!$A$3:$A$500,MATCH($A212,'WetLitterbags placem_collection'!$M$4:$M$500,0)),"")</f>
        <v/>
      </c>
      <c r="AE212" s="110" t="str">
        <f>IFERROR(INDEX('WetLitterbags placem_collection'!$A$3:$A$500,MATCH($A212,'WetLitterbags placem_collection'!$Q$4:$Q$500,0)),"")</f>
        <v/>
      </c>
    </row>
    <row r="213" spans="1:31">
      <c r="A213" s="197" t="s">
        <v>1407</v>
      </c>
      <c r="C213" s="197">
        <v>43</v>
      </c>
      <c r="D213" s="197">
        <v>0.54469999999999996</v>
      </c>
      <c r="E213" s="197">
        <v>8.8613999999999997</v>
      </c>
      <c r="F213" s="197">
        <v>0.20349999999999999</v>
      </c>
      <c r="G213" s="197">
        <f t="shared" si="20"/>
        <v>9.0648999999999997</v>
      </c>
      <c r="H213" s="197">
        <v>8.8770000000000007</v>
      </c>
      <c r="I213" s="197">
        <f t="shared" si="21"/>
        <v>0.18789999999999907</v>
      </c>
      <c r="J213" s="201">
        <f t="shared" si="22"/>
        <v>1.5600000000000919E-2</v>
      </c>
      <c r="K213" s="280">
        <f t="shared" si="23"/>
        <v>7.6658476658481174</v>
      </c>
      <c r="L213" s="197">
        <v>14</v>
      </c>
      <c r="M213" s="197" t="s">
        <v>2586</v>
      </c>
      <c r="N213" s="197" t="s">
        <v>2585</v>
      </c>
      <c r="O213" s="197" t="s">
        <v>2550</v>
      </c>
      <c r="AB213" s="110" t="str">
        <f>IFERROR(INDEX('WetLitterbags placem_collection'!$A$3:$A$500,MATCH(A213,'WetLitterbags placem_collection'!$K$4:$K$500,0)),"")</f>
        <v/>
      </c>
      <c r="AC213" s="110">
        <f>IFERROR(INDEX('WetLitterbags placem_collection'!$A$3:$A$500,MATCH($A213,'WetLitterbags placem_collection'!$O$4:$O$500,0)),"")</f>
        <v>42</v>
      </c>
      <c r="AD213" s="110" t="str">
        <f>IFERROR(INDEX('WetLitterbags placem_collection'!$A$3:$A$500,MATCH($A213,'WetLitterbags placem_collection'!$M$4:$M$500,0)),"")</f>
        <v/>
      </c>
      <c r="AE213" s="110" t="str">
        <f>IFERROR(INDEX('WetLitterbags placem_collection'!$A$3:$A$500,MATCH($A213,'WetLitterbags placem_collection'!$Q$4:$Q$500,0)),"")</f>
        <v/>
      </c>
    </row>
    <row r="214" spans="1:31">
      <c r="A214" s="197" t="s">
        <v>1406</v>
      </c>
      <c r="C214" s="198">
        <v>16</v>
      </c>
      <c r="D214" s="197">
        <v>0.40689999999999998</v>
      </c>
      <c r="E214" s="202">
        <v>11.1591</v>
      </c>
      <c r="F214" s="202">
        <v>0.2044</v>
      </c>
      <c r="G214" s="201">
        <f t="shared" si="20"/>
        <v>11.3635</v>
      </c>
      <c r="H214" s="201">
        <v>11.177199999999999</v>
      </c>
      <c r="I214" s="201">
        <f t="shared" si="21"/>
        <v>0.18630000000000102</v>
      </c>
      <c r="J214" s="201">
        <f t="shared" si="22"/>
        <v>1.8099999999998978E-2</v>
      </c>
      <c r="K214" s="280">
        <f t="shared" si="23"/>
        <v>8.8551859099799302</v>
      </c>
      <c r="L214" s="201">
        <v>8</v>
      </c>
      <c r="AB214" s="110" t="str">
        <f>IFERROR(INDEX('WetLitterbags placem_collection'!$A$3:$A$500,MATCH(A214,'WetLitterbags placem_collection'!$K$4:$K$500,0)),"")</f>
        <v/>
      </c>
      <c r="AC214" s="110">
        <f>IFERROR(INDEX('WetLitterbags placem_collection'!$A$3:$A$500,MATCH($A214,'WetLitterbags placem_collection'!$O$4:$O$500,0)),"")</f>
        <v>15</v>
      </c>
      <c r="AD214" s="110" t="str">
        <f>IFERROR(INDEX('WetLitterbags placem_collection'!$A$3:$A$500,MATCH($A214,'WetLitterbags placem_collection'!$M$4:$M$500,0)),"")</f>
        <v/>
      </c>
      <c r="AE214" s="110" t="str">
        <f>IFERROR(INDEX('WetLitterbags placem_collection'!$A$3:$A$500,MATCH($A214,'WetLitterbags placem_collection'!$Q$4:$Q$500,0)),"")</f>
        <v/>
      </c>
    </row>
    <row r="215" spans="1:31">
      <c r="A215" s="197" t="s">
        <v>1405</v>
      </c>
      <c r="C215" s="198">
        <v>203</v>
      </c>
      <c r="D215" s="197">
        <v>0.60440000000000005</v>
      </c>
      <c r="E215" s="201">
        <v>10.271599999999999</v>
      </c>
      <c r="F215" s="202">
        <v>0.20330000000000001</v>
      </c>
      <c r="G215" s="201">
        <f t="shared" si="20"/>
        <v>10.4749</v>
      </c>
      <c r="H215" s="201">
        <v>10.2941</v>
      </c>
      <c r="I215" s="201">
        <f t="shared" si="21"/>
        <v>0.18079999999999963</v>
      </c>
      <c r="J215" s="201">
        <f t="shared" si="22"/>
        <v>2.2500000000000381E-2</v>
      </c>
      <c r="K215" s="280">
        <f t="shared" si="23"/>
        <v>11.067388096409434</v>
      </c>
      <c r="L215" s="201">
        <v>14</v>
      </c>
      <c r="M215" s="204">
        <v>43212</v>
      </c>
      <c r="AB215" s="110">
        <f>IFERROR(INDEX('WetLitterbags placem_collection'!$A$3:$A$500,MATCH(A215,'WetLitterbags placem_collection'!$K$4:$K$500,0)),"")</f>
        <v>202</v>
      </c>
      <c r="AC215" s="110" t="str">
        <f>IFERROR(INDEX('WetLitterbags placem_collection'!$A$3:$A$500,MATCH($A215,'WetLitterbags placem_collection'!$O$4:$O$500,0)),"")</f>
        <v/>
      </c>
      <c r="AD215" s="110" t="str">
        <f>IFERROR(INDEX('WetLitterbags placem_collection'!$A$3:$A$500,MATCH($A215,'WetLitterbags placem_collection'!$M$4:$M$500,0)),"")</f>
        <v/>
      </c>
      <c r="AE215" s="110" t="str">
        <f>IFERROR(INDEX('WetLitterbags placem_collection'!$A$3:$A$500,MATCH($A215,'WetLitterbags placem_collection'!$Q$4:$Q$500,0)),"")</f>
        <v/>
      </c>
    </row>
    <row r="216" spans="1:31">
      <c r="A216" s="201" t="s">
        <v>1403</v>
      </c>
      <c r="C216" s="201">
        <v>151</v>
      </c>
      <c r="D216" s="197">
        <v>0.54200000000000004</v>
      </c>
      <c r="E216" s="197">
        <v>8.7667999999999999</v>
      </c>
      <c r="F216" s="197">
        <v>0.20930000000000001</v>
      </c>
      <c r="G216" s="197">
        <f t="shared" si="20"/>
        <v>8.9761000000000006</v>
      </c>
      <c r="H216" s="197">
        <v>8.8093000000000004</v>
      </c>
      <c r="I216" s="197">
        <f t="shared" si="21"/>
        <v>0.16680000000000028</v>
      </c>
      <c r="J216" s="201">
        <f t="shared" si="22"/>
        <v>4.2499999999999732E-2</v>
      </c>
      <c r="K216" s="280">
        <f t="shared" si="23"/>
        <v>20.305781175346262</v>
      </c>
      <c r="L216" s="197">
        <v>12</v>
      </c>
      <c r="M216" s="207">
        <v>43160.520833333336</v>
      </c>
      <c r="N216" s="207">
        <v>43160.6875</v>
      </c>
      <c r="O216" s="197" t="s">
        <v>2550</v>
      </c>
      <c r="AB216" s="110" t="str">
        <f>IFERROR(INDEX('WetLitterbags placem_collection'!$A$3:$A$500,MATCH(A216,'WetLitterbags placem_collection'!$K$4:$K$500,0)),"")</f>
        <v/>
      </c>
      <c r="AC216" s="110">
        <f>IFERROR(INDEX('WetLitterbags placem_collection'!$A$3:$A$500,MATCH($A216,'WetLitterbags placem_collection'!$O$4:$O$500,0)),"")</f>
        <v>150</v>
      </c>
      <c r="AD216" s="110" t="str">
        <f>IFERROR(INDEX('WetLitterbags placem_collection'!$A$3:$A$500,MATCH($A216,'WetLitterbags placem_collection'!$M$4:$M$500,0)),"")</f>
        <v/>
      </c>
      <c r="AE216" s="110" t="str">
        <f>IFERROR(INDEX('WetLitterbags placem_collection'!$A$3:$A$500,MATCH($A216,'WetLitterbags placem_collection'!$Q$4:$Q$500,0)),"")</f>
        <v/>
      </c>
    </row>
    <row r="217" spans="1:31">
      <c r="A217" s="197" t="s">
        <v>1402</v>
      </c>
      <c r="C217" s="198">
        <v>17</v>
      </c>
      <c r="D217" s="197">
        <v>0.495</v>
      </c>
      <c r="E217" s="202">
        <v>9.3422000000000001</v>
      </c>
      <c r="F217" s="202">
        <v>0.20319999999999999</v>
      </c>
      <c r="G217" s="201">
        <f t="shared" si="20"/>
        <v>9.5454000000000008</v>
      </c>
      <c r="H217" s="201">
        <v>9.3627000000000002</v>
      </c>
      <c r="I217" s="201">
        <f t="shared" si="21"/>
        <v>0.18270000000000053</v>
      </c>
      <c r="J217" s="201">
        <f t="shared" si="22"/>
        <v>2.0499999999999463E-2</v>
      </c>
      <c r="K217" s="280">
        <f t="shared" si="23"/>
        <v>10.088582677165091</v>
      </c>
      <c r="L217" s="201">
        <v>1</v>
      </c>
      <c r="AB217" s="110" t="str">
        <f>IFERROR(INDEX('WetLitterbags placem_collection'!$A$3:$A$500,MATCH(A217,'WetLitterbags placem_collection'!$K$4:$K$500,0)),"")</f>
        <v/>
      </c>
      <c r="AC217" s="110">
        <f>IFERROR(INDEX('WetLitterbags placem_collection'!$A$3:$A$500,MATCH($A217,'WetLitterbags placem_collection'!$O$4:$O$500,0)),"")</f>
        <v>16</v>
      </c>
      <c r="AD217" s="110" t="str">
        <f>IFERROR(INDEX('WetLitterbags placem_collection'!$A$3:$A$500,MATCH($A217,'WetLitterbags placem_collection'!$M$4:$M$500,0)),"")</f>
        <v/>
      </c>
      <c r="AE217" s="110" t="str">
        <f>IFERROR(INDEX('WetLitterbags placem_collection'!$A$3:$A$500,MATCH($A217,'WetLitterbags placem_collection'!$Q$4:$Q$500,0)),"")</f>
        <v/>
      </c>
    </row>
    <row r="218" spans="1:31">
      <c r="A218" s="197" t="s">
        <v>1401</v>
      </c>
      <c r="C218" s="197">
        <v>34</v>
      </c>
      <c r="D218" s="197">
        <v>0.58889999999999998</v>
      </c>
      <c r="E218" s="197">
        <v>9.2355</v>
      </c>
      <c r="F218" s="197">
        <v>0.20250000000000001</v>
      </c>
      <c r="G218" s="197">
        <f t="shared" si="20"/>
        <v>9.4380000000000006</v>
      </c>
      <c r="H218" s="197">
        <v>9.2577999999999996</v>
      </c>
      <c r="I218" s="197">
        <f t="shared" si="21"/>
        <v>0.18020000000000103</v>
      </c>
      <c r="J218" s="201">
        <f t="shared" si="22"/>
        <v>2.2299999999998987E-2</v>
      </c>
      <c r="K218" s="280">
        <f t="shared" si="23"/>
        <v>11.012345679011846</v>
      </c>
      <c r="L218" s="197">
        <v>10</v>
      </c>
      <c r="M218" s="197" t="s">
        <v>2586</v>
      </c>
      <c r="N218" s="197" t="s">
        <v>2585</v>
      </c>
      <c r="O218" s="197" t="s">
        <v>2550</v>
      </c>
      <c r="AB218" s="110" t="str">
        <f>IFERROR(INDEX('WetLitterbags placem_collection'!$A$3:$A$500,MATCH(A218,'WetLitterbags placem_collection'!$K$4:$K$500,0)),"")</f>
        <v/>
      </c>
      <c r="AC218" s="110">
        <f>IFERROR(INDEX('WetLitterbags placem_collection'!$A$3:$A$500,MATCH($A218,'WetLitterbags placem_collection'!$O$4:$O$500,0)),"")</f>
        <v>33</v>
      </c>
      <c r="AD218" s="110" t="str">
        <f>IFERROR(INDEX('WetLitterbags placem_collection'!$A$3:$A$500,MATCH($A218,'WetLitterbags placem_collection'!$M$4:$M$500,0)),"")</f>
        <v/>
      </c>
      <c r="AE218" s="110" t="str">
        <f>IFERROR(INDEX('WetLitterbags placem_collection'!$A$3:$A$500,MATCH($A218,'WetLitterbags placem_collection'!$Q$4:$Q$500,0)),"")</f>
        <v/>
      </c>
    </row>
    <row r="219" spans="1:31">
      <c r="A219" s="197" t="s">
        <v>1399</v>
      </c>
      <c r="C219" s="198">
        <v>26</v>
      </c>
      <c r="D219" s="197">
        <v>0.57050000000000001</v>
      </c>
      <c r="E219" s="202">
        <v>8.2188999999999997</v>
      </c>
      <c r="F219" s="202">
        <v>0.2046</v>
      </c>
      <c r="G219" s="201">
        <f t="shared" si="20"/>
        <v>8.4234999999999989</v>
      </c>
      <c r="H219" s="201">
        <v>8.2445000000000004</v>
      </c>
      <c r="I219" s="201">
        <f t="shared" si="21"/>
        <v>0.17899999999999849</v>
      </c>
      <c r="J219" s="201">
        <f t="shared" si="22"/>
        <v>2.560000000000151E-2</v>
      </c>
      <c r="K219" s="280">
        <f t="shared" si="23"/>
        <v>12.512218963832606</v>
      </c>
      <c r="L219" s="201">
        <v>24</v>
      </c>
      <c r="AB219" s="110">
        <f>IFERROR(INDEX('WetLitterbags placem_collection'!$A$3:$A$500,MATCH(A219,'WetLitterbags placem_collection'!$K$4:$K$500,0)),"")</f>
        <v>25</v>
      </c>
      <c r="AC219" s="110" t="str">
        <f>IFERROR(INDEX('WetLitterbags placem_collection'!$A$3:$A$500,MATCH($A219,'WetLitterbags placem_collection'!$O$4:$O$500,0)),"")</f>
        <v/>
      </c>
      <c r="AD219" s="110" t="str">
        <f>IFERROR(INDEX('WetLitterbags placem_collection'!$A$3:$A$500,MATCH($A219,'WetLitterbags placem_collection'!$M$4:$M$500,0)),"")</f>
        <v/>
      </c>
      <c r="AE219" s="110" t="str">
        <f>IFERROR(INDEX('WetLitterbags placem_collection'!$A$3:$A$500,MATCH($A219,'WetLitterbags placem_collection'!$Q$4:$Q$500,0)),"")</f>
        <v/>
      </c>
    </row>
    <row r="220" spans="1:31">
      <c r="A220" s="202" t="s">
        <v>1397</v>
      </c>
      <c r="C220" s="201">
        <v>145</v>
      </c>
      <c r="D220" s="201">
        <v>0.49199999999999988</v>
      </c>
      <c r="E220" s="201">
        <v>7.7736999999999998</v>
      </c>
      <c r="F220" s="201">
        <v>0.20580000000000001</v>
      </c>
      <c r="G220" s="201">
        <f t="shared" si="20"/>
        <v>7.9794999999999998</v>
      </c>
      <c r="H220" s="201">
        <v>7.8140999999999998</v>
      </c>
      <c r="I220" s="201">
        <f t="shared" si="21"/>
        <v>0.16539999999999999</v>
      </c>
      <c r="J220" s="201">
        <f t="shared" si="22"/>
        <v>4.0400000000000019E-2</v>
      </c>
      <c r="K220" s="280">
        <f t="shared" si="23"/>
        <v>19.630709426627803</v>
      </c>
      <c r="L220" s="201">
        <v>28</v>
      </c>
      <c r="M220" s="205">
        <v>43173</v>
      </c>
      <c r="N220" s="205">
        <v>43173</v>
      </c>
      <c r="O220" s="201" t="s">
        <v>2556</v>
      </c>
      <c r="P220" s="201" t="s">
        <v>2555</v>
      </c>
      <c r="AB220" s="110" t="str">
        <f>IFERROR(INDEX('WetLitterbags placem_collection'!$A$3:$A$500,MATCH(A220,'WetLitterbags placem_collection'!$K$4:$K$500,0)),"")</f>
        <v/>
      </c>
      <c r="AC220" s="110">
        <f>IFERROR(INDEX('WetLitterbags placem_collection'!$A$3:$A$500,MATCH($A220,'WetLitterbags placem_collection'!$O$4:$O$500,0)),"")</f>
        <v>144</v>
      </c>
      <c r="AD220" s="110" t="str">
        <f>IFERROR(INDEX('WetLitterbags placem_collection'!$A$3:$A$500,MATCH($A220,'WetLitterbags placem_collection'!$M$4:$M$500,0)),"")</f>
        <v/>
      </c>
      <c r="AE220" s="110" t="str">
        <f>IFERROR(INDEX('WetLitterbags placem_collection'!$A$3:$A$500,MATCH($A220,'WetLitterbags placem_collection'!$Q$4:$Q$500,0)),"")</f>
        <v/>
      </c>
    </row>
    <row r="221" spans="1:31">
      <c r="A221" s="206" t="s">
        <v>1396</v>
      </c>
      <c r="C221" s="201">
        <v>156</v>
      </c>
      <c r="D221" s="201">
        <v>0.51719999999999999</v>
      </c>
      <c r="E221" s="201">
        <v>8.1660000000000004</v>
      </c>
      <c r="F221" s="201">
        <v>0.2077</v>
      </c>
      <c r="G221" s="201">
        <f t="shared" si="20"/>
        <v>8.3736999999999995</v>
      </c>
      <c r="H221" s="201">
        <v>8.218</v>
      </c>
      <c r="I221" s="201">
        <f t="shared" si="21"/>
        <v>0.15569999999999951</v>
      </c>
      <c r="J221" s="201">
        <f t="shared" si="22"/>
        <v>5.200000000000049E-2</v>
      </c>
      <c r="K221" s="280">
        <f t="shared" si="23"/>
        <v>25.036109773712322</v>
      </c>
      <c r="L221" s="201">
        <v>16</v>
      </c>
      <c r="M221" s="203">
        <v>43171.520833333336</v>
      </c>
      <c r="N221" s="203">
        <v>43171.6875</v>
      </c>
      <c r="O221" s="197" t="s">
        <v>2550</v>
      </c>
      <c r="P221" s="201"/>
      <c r="AB221" s="110">
        <f>IFERROR(INDEX('WetLitterbags placem_collection'!$A$3:$A$500,MATCH(A221,'WetLitterbags placem_collection'!$K$4:$K$500,0)),"")</f>
        <v>155</v>
      </c>
      <c r="AC221" s="110" t="str">
        <f>IFERROR(INDEX('WetLitterbags placem_collection'!$A$3:$A$500,MATCH($A221,'WetLitterbags placem_collection'!$O$4:$O$500,0)),"")</f>
        <v/>
      </c>
      <c r="AD221" s="110" t="str">
        <f>IFERROR(INDEX('WetLitterbags placem_collection'!$A$3:$A$500,MATCH($A221,'WetLitterbags placem_collection'!$M$4:$M$500,0)),"")</f>
        <v/>
      </c>
      <c r="AE221" s="110" t="str">
        <f>IFERROR(INDEX('WetLitterbags placem_collection'!$A$3:$A$500,MATCH($A221,'WetLitterbags placem_collection'!$Q$4:$Q$500,0)),"")</f>
        <v/>
      </c>
    </row>
    <row r="222" spans="1:31">
      <c r="A222" s="206" t="s">
        <v>1395</v>
      </c>
      <c r="C222" s="201">
        <v>174</v>
      </c>
      <c r="D222" s="201">
        <v>0.48580000000000001</v>
      </c>
      <c r="E222" s="202">
        <v>8.1355000000000004</v>
      </c>
      <c r="F222" s="202">
        <v>0.20269999999999999</v>
      </c>
      <c r="G222" s="201">
        <f t="shared" si="20"/>
        <v>8.3382000000000005</v>
      </c>
      <c r="H222" s="201">
        <v>8.1510999999999996</v>
      </c>
      <c r="I222" s="201">
        <f t="shared" si="21"/>
        <v>0.18710000000000093</v>
      </c>
      <c r="J222" s="201">
        <f t="shared" si="22"/>
        <v>1.5599999999999059E-2</v>
      </c>
      <c r="K222" s="280">
        <f t="shared" si="23"/>
        <v>7.6961026147010658</v>
      </c>
      <c r="L222" s="201">
        <v>10</v>
      </c>
      <c r="M222" s="207">
        <v>43186.458333333336</v>
      </c>
      <c r="N222" s="207">
        <v>43186.625</v>
      </c>
      <c r="O222" s="197" t="s">
        <v>2550</v>
      </c>
      <c r="P222" s="201"/>
      <c r="AB222" s="110">
        <f>IFERROR(INDEX('WetLitterbags placem_collection'!$A$3:$A$500,MATCH(A222,'WetLitterbags placem_collection'!$K$4:$K$500,0)),"")</f>
        <v>173</v>
      </c>
      <c r="AC222" s="110" t="str">
        <f>IFERROR(INDEX('WetLitterbags placem_collection'!$A$3:$A$500,MATCH($A222,'WetLitterbags placem_collection'!$O$4:$O$500,0)),"")</f>
        <v/>
      </c>
      <c r="AD222" s="110" t="str">
        <f>IFERROR(INDEX('WetLitterbags placem_collection'!$A$3:$A$500,MATCH($A222,'WetLitterbags placem_collection'!$M$4:$M$500,0)),"")</f>
        <v/>
      </c>
      <c r="AE222" s="110" t="str">
        <f>IFERROR(INDEX('WetLitterbags placem_collection'!$A$3:$A$500,MATCH($A222,'WetLitterbags placem_collection'!$Q$4:$Q$500,0)),"")</f>
        <v/>
      </c>
    </row>
    <row r="223" spans="1:31">
      <c r="A223" s="201" t="s">
        <v>1394</v>
      </c>
      <c r="C223" s="201">
        <v>171</v>
      </c>
      <c r="D223" s="201">
        <v>0.46429999999999999</v>
      </c>
      <c r="E223" s="202">
        <v>7.4753999999999996</v>
      </c>
      <c r="F223" s="202">
        <v>0.2019</v>
      </c>
      <c r="G223" s="201">
        <f t="shared" si="20"/>
        <v>7.6772999999999998</v>
      </c>
      <c r="H223" s="201">
        <v>7.5002000000000004</v>
      </c>
      <c r="I223" s="201">
        <f t="shared" si="21"/>
        <v>0.17709999999999937</v>
      </c>
      <c r="J223" s="201">
        <f t="shared" si="22"/>
        <v>2.4800000000000627E-2</v>
      </c>
      <c r="K223" s="280">
        <f t="shared" si="23"/>
        <v>12.283308568598626</v>
      </c>
      <c r="L223" s="201">
        <v>11</v>
      </c>
      <c r="M223" s="205">
        <v>43174</v>
      </c>
      <c r="N223" s="205">
        <v>43174</v>
      </c>
      <c r="O223" s="201" t="s">
        <v>2556</v>
      </c>
      <c r="P223" s="201" t="s">
        <v>2551</v>
      </c>
      <c r="AB223" s="110">
        <f>IFERROR(INDEX('WetLitterbags placem_collection'!$A$3:$A$500,MATCH(A223,'WetLitterbags placem_collection'!$K$4:$K$500,0)),"")</f>
        <v>170</v>
      </c>
      <c r="AC223" s="110" t="str">
        <f>IFERROR(INDEX('WetLitterbags placem_collection'!$A$3:$A$500,MATCH($A223,'WetLitterbags placem_collection'!$O$4:$O$500,0)),"")</f>
        <v/>
      </c>
      <c r="AD223" s="110" t="str">
        <f>IFERROR(INDEX('WetLitterbags placem_collection'!$A$3:$A$500,MATCH($A223,'WetLitterbags placem_collection'!$M$4:$M$500,0)),"")</f>
        <v/>
      </c>
      <c r="AE223" s="110" t="str">
        <f>IFERROR(INDEX('WetLitterbags placem_collection'!$A$3:$A$500,MATCH($A223,'WetLitterbags placem_collection'!$Q$4:$Q$500,0)),"")</f>
        <v/>
      </c>
    </row>
    <row r="224" spans="1:31">
      <c r="A224" s="201" t="s">
        <v>1393</v>
      </c>
      <c r="C224" s="201">
        <v>119</v>
      </c>
      <c r="D224" s="201">
        <v>0.46510000000000001</v>
      </c>
      <c r="E224" s="202">
        <v>9.6732999999999993</v>
      </c>
      <c r="F224" s="202">
        <v>0.2094</v>
      </c>
      <c r="G224" s="201">
        <f t="shared" si="20"/>
        <v>9.8826999999999998</v>
      </c>
      <c r="H224" s="201">
        <v>9.7062000000000008</v>
      </c>
      <c r="I224" s="201">
        <f t="shared" si="21"/>
        <v>0.17649999999999899</v>
      </c>
      <c r="J224" s="201">
        <f t="shared" si="22"/>
        <v>3.2900000000001012E-2</v>
      </c>
      <c r="K224" s="280">
        <f t="shared" si="23"/>
        <v>15.711556829035821</v>
      </c>
      <c r="L224" s="201">
        <v>27</v>
      </c>
      <c r="M224" s="205">
        <v>43197</v>
      </c>
      <c r="N224" s="205">
        <v>43197</v>
      </c>
      <c r="O224" s="201"/>
      <c r="P224" s="201"/>
      <c r="AB224" s="110">
        <f>IFERROR(INDEX('WetLitterbags placem_collection'!$A$3:$A$500,MATCH(A224,'WetLitterbags placem_collection'!$K$4:$K$500,0)),"")</f>
        <v>118</v>
      </c>
      <c r="AC224" s="110" t="str">
        <f>IFERROR(INDEX('WetLitterbags placem_collection'!$A$3:$A$500,MATCH($A224,'WetLitterbags placem_collection'!$O$4:$O$500,0)),"")</f>
        <v/>
      </c>
      <c r="AD224" s="110" t="str">
        <f>IFERROR(INDEX('WetLitterbags placem_collection'!$A$3:$A$500,MATCH($A224,'WetLitterbags placem_collection'!$M$4:$M$500,0)),"")</f>
        <v/>
      </c>
      <c r="AE224" s="110" t="str">
        <f>IFERROR(INDEX('WetLitterbags placem_collection'!$A$3:$A$500,MATCH($A224,'WetLitterbags placem_collection'!$Q$4:$Q$500,0)),"")</f>
        <v/>
      </c>
    </row>
    <row r="225" spans="1:31">
      <c r="A225" s="206" t="s">
        <v>1392</v>
      </c>
      <c r="C225" s="201">
        <v>150</v>
      </c>
      <c r="D225" s="201">
        <v>0.48359999999999997</v>
      </c>
      <c r="E225" s="202">
        <v>10.539899999999999</v>
      </c>
      <c r="F225" s="202">
        <v>0.20069999999999999</v>
      </c>
      <c r="G225" s="201">
        <f t="shared" si="20"/>
        <v>10.740599999999999</v>
      </c>
      <c r="H225" s="201">
        <v>10.5875</v>
      </c>
      <c r="I225" s="201">
        <f t="shared" si="21"/>
        <v>0.15309999999999846</v>
      </c>
      <c r="J225" s="201">
        <f t="shared" si="22"/>
        <v>4.760000000000153E-2</v>
      </c>
      <c r="K225" s="280">
        <f t="shared" si="23"/>
        <v>23.716990533134794</v>
      </c>
      <c r="L225" s="201">
        <v>12</v>
      </c>
      <c r="M225" s="205">
        <v>43199</v>
      </c>
      <c r="N225" s="205">
        <v>43199</v>
      </c>
      <c r="O225" s="201"/>
      <c r="P225" s="201"/>
      <c r="AB225" s="110">
        <f>IFERROR(INDEX('WetLitterbags placem_collection'!$A$3:$A$500,MATCH(A225,'WetLitterbags placem_collection'!$K$4:$K$500,0)),"")</f>
        <v>149</v>
      </c>
      <c r="AC225" s="110" t="str">
        <f>IFERROR(INDEX('WetLitterbags placem_collection'!$A$3:$A$500,MATCH($A225,'WetLitterbags placem_collection'!$O$4:$O$500,0)),"")</f>
        <v/>
      </c>
      <c r="AD225" s="110" t="str">
        <f>IFERROR(INDEX('WetLitterbags placem_collection'!$A$3:$A$500,MATCH($A225,'WetLitterbags placem_collection'!$M$4:$M$500,0)),"")</f>
        <v/>
      </c>
      <c r="AE225" s="110" t="str">
        <f>IFERROR(INDEX('WetLitterbags placem_collection'!$A$3:$A$500,MATCH($A225,'WetLitterbags placem_collection'!$Q$4:$Q$500,0)),"")</f>
        <v/>
      </c>
    </row>
    <row r="226" spans="1:31">
      <c r="A226" s="197" t="s">
        <v>1390</v>
      </c>
      <c r="C226" s="197">
        <v>67</v>
      </c>
      <c r="D226" s="197">
        <v>0.68069999999999997</v>
      </c>
      <c r="E226" s="197">
        <v>8.1334</v>
      </c>
      <c r="F226" s="197">
        <v>0.20860000000000001</v>
      </c>
      <c r="G226" s="197">
        <f t="shared" si="20"/>
        <v>8.3420000000000005</v>
      </c>
      <c r="H226" s="197">
        <v>8.1550999999999991</v>
      </c>
      <c r="I226" s="197">
        <f t="shared" si="21"/>
        <v>0.1869000000000014</v>
      </c>
      <c r="J226" s="201">
        <f t="shared" si="22"/>
        <v>2.1699999999998609E-2</v>
      </c>
      <c r="K226" s="280">
        <f t="shared" si="23"/>
        <v>10.402684563757722</v>
      </c>
      <c r="L226" s="197">
        <v>4</v>
      </c>
      <c r="M226" s="197" t="s">
        <v>2580</v>
      </c>
      <c r="N226" s="197" t="s">
        <v>2579</v>
      </c>
      <c r="O226" s="197" t="s">
        <v>2556</v>
      </c>
      <c r="AB226" s="110" t="str">
        <f>IFERROR(INDEX('WetLitterbags placem_collection'!$A$3:$A$500,MATCH(A226,'WetLitterbags placem_collection'!$K$4:$K$500,0)),"")</f>
        <v/>
      </c>
      <c r="AC226" s="110">
        <f>IFERROR(INDEX('WetLitterbags placem_collection'!$A$3:$A$500,MATCH($A226,'WetLitterbags placem_collection'!$O$4:$O$500,0)),"")</f>
        <v>66</v>
      </c>
      <c r="AD226" s="110" t="str">
        <f>IFERROR(INDEX('WetLitterbags placem_collection'!$A$3:$A$500,MATCH($A226,'WetLitterbags placem_collection'!$M$4:$M$500,0)),"")</f>
        <v/>
      </c>
      <c r="AE226" s="110" t="str">
        <f>IFERROR(INDEX('WetLitterbags placem_collection'!$A$3:$A$500,MATCH($A226,'WetLitterbags placem_collection'!$Q$4:$Q$500,0)),"")</f>
        <v/>
      </c>
    </row>
    <row r="227" spans="1:31">
      <c r="A227" s="201" t="s">
        <v>1385</v>
      </c>
      <c r="C227" s="201">
        <v>7</v>
      </c>
      <c r="D227" s="201">
        <v>0.37419999999999998</v>
      </c>
      <c r="E227" s="202">
        <v>9.7736000000000001</v>
      </c>
      <c r="F227" s="202">
        <v>0.2029</v>
      </c>
      <c r="G227" s="201">
        <f t="shared" si="20"/>
        <v>9.9764999999999997</v>
      </c>
      <c r="H227" s="201">
        <v>9.7952999999999992</v>
      </c>
      <c r="I227" s="201">
        <f t="shared" si="21"/>
        <v>0.18120000000000047</v>
      </c>
      <c r="J227" s="201">
        <f t="shared" si="22"/>
        <v>2.1699999999999525E-2</v>
      </c>
      <c r="K227" s="280">
        <f t="shared" si="23"/>
        <v>10.694923607688283</v>
      </c>
      <c r="L227" s="201">
        <v>4</v>
      </c>
      <c r="M227" s="207">
        <v>43185.385416666664</v>
      </c>
      <c r="N227" s="201"/>
      <c r="O227" s="201" t="s">
        <v>2556</v>
      </c>
      <c r="P227" s="197" t="s">
        <v>2600</v>
      </c>
      <c r="AB227" s="110" t="str">
        <f>IFERROR(INDEX('WetLitterbags placem_collection'!$A$3:$A$500,MATCH(A227,'WetLitterbags placem_collection'!$K$4:$K$500,0)),"")</f>
        <v/>
      </c>
      <c r="AC227" s="110">
        <f>IFERROR(INDEX('WetLitterbags placem_collection'!$A$3:$A$500,MATCH($A227,'WetLitterbags placem_collection'!$O$4:$O$500,0)),"")</f>
        <v>6</v>
      </c>
      <c r="AD227" s="110" t="str">
        <f>IFERROR(INDEX('WetLitterbags placem_collection'!$A$3:$A$500,MATCH($A227,'WetLitterbags placem_collection'!$M$4:$M$500,0)),"")</f>
        <v/>
      </c>
      <c r="AE227" s="110" t="str">
        <f>IFERROR(INDEX('WetLitterbags placem_collection'!$A$3:$A$500,MATCH($A227,'WetLitterbags placem_collection'!$Q$4:$Q$500,0)),"")</f>
        <v/>
      </c>
    </row>
    <row r="228" spans="1:31">
      <c r="A228" s="201" t="s">
        <v>1384</v>
      </c>
      <c r="C228" s="201">
        <v>121</v>
      </c>
      <c r="D228" s="201">
        <v>0.438</v>
      </c>
      <c r="E228" s="201">
        <v>11.453799999999999</v>
      </c>
      <c r="F228" s="201">
        <v>0.20799999999999999</v>
      </c>
      <c r="G228" s="201">
        <f t="shared" si="20"/>
        <v>11.661799999999999</v>
      </c>
      <c r="H228" s="201">
        <v>11.4787</v>
      </c>
      <c r="I228" s="201">
        <f t="shared" si="21"/>
        <v>0.1830999999999996</v>
      </c>
      <c r="J228" s="201">
        <f t="shared" si="22"/>
        <v>2.4900000000000394E-2</v>
      </c>
      <c r="K228" s="280">
        <f t="shared" si="23"/>
        <v>11.971153846154037</v>
      </c>
      <c r="L228" s="201">
        <v>12</v>
      </c>
      <c r="M228" s="205">
        <v>43188</v>
      </c>
      <c r="N228" s="205">
        <v>43188</v>
      </c>
      <c r="O228" s="201"/>
      <c r="P228" s="201"/>
      <c r="AB228" s="110">
        <f>IFERROR(INDEX('WetLitterbags placem_collection'!$A$3:$A$500,MATCH(A228,'WetLitterbags placem_collection'!$K$4:$K$500,0)),"")</f>
        <v>120</v>
      </c>
      <c r="AC228" s="110" t="str">
        <f>IFERROR(INDEX('WetLitterbags placem_collection'!$A$3:$A$500,MATCH($A228,'WetLitterbags placem_collection'!$O$4:$O$500,0)),"")</f>
        <v/>
      </c>
      <c r="AD228" s="110" t="str">
        <f>IFERROR(INDEX('WetLitterbags placem_collection'!$A$3:$A$500,MATCH($A228,'WetLitterbags placem_collection'!$M$4:$M$500,0)),"")</f>
        <v/>
      </c>
      <c r="AE228" s="110" t="str">
        <f>IFERROR(INDEX('WetLitterbags placem_collection'!$A$3:$A$500,MATCH($A228,'WetLitterbags placem_collection'!$Q$4:$Q$500,0)),"")</f>
        <v/>
      </c>
    </row>
    <row r="229" spans="1:31">
      <c r="A229" s="201" t="s">
        <v>1383</v>
      </c>
      <c r="C229" s="201">
        <v>156</v>
      </c>
      <c r="D229" s="201">
        <v>0.43380000000000002</v>
      </c>
      <c r="E229" s="201">
        <v>8.7672000000000008</v>
      </c>
      <c r="F229" s="202">
        <v>0.16839999999999999</v>
      </c>
      <c r="G229" s="201">
        <f t="shared" si="20"/>
        <v>8.9356000000000009</v>
      </c>
      <c r="H229" s="201">
        <v>8.8134999999999994</v>
      </c>
      <c r="I229" s="201">
        <f t="shared" si="21"/>
        <v>0.12210000000000143</v>
      </c>
      <c r="J229" s="201">
        <f t="shared" si="22"/>
        <v>4.6299999999998565E-2</v>
      </c>
      <c r="K229" s="280">
        <f t="shared" si="23"/>
        <v>27.494061757718864</v>
      </c>
      <c r="L229" s="201">
        <v>2</v>
      </c>
      <c r="M229" s="205">
        <v>43211</v>
      </c>
      <c r="N229" s="201"/>
      <c r="O229" s="201"/>
      <c r="P229" s="201"/>
      <c r="AB229" s="110" t="str">
        <f>IFERROR(INDEX('WetLitterbags placem_collection'!$A$3:$A$500,MATCH(A229,'WetLitterbags placem_collection'!$K$4:$K$500,0)),"")</f>
        <v/>
      </c>
      <c r="AC229" s="110">
        <f>IFERROR(INDEX('WetLitterbags placem_collection'!$A$3:$A$500,MATCH($A229,'WetLitterbags placem_collection'!$O$4:$O$500,0)),"")</f>
        <v>155</v>
      </c>
      <c r="AD229" s="110" t="str">
        <f>IFERROR(INDEX('WetLitterbags placem_collection'!$A$3:$A$500,MATCH($A229,'WetLitterbags placem_collection'!$M$4:$M$500,0)),"")</f>
        <v/>
      </c>
      <c r="AE229" s="110" t="str">
        <f>IFERROR(INDEX('WetLitterbags placem_collection'!$A$3:$A$500,MATCH($A229,'WetLitterbags placem_collection'!$Q$4:$Q$500,0)),"")</f>
        <v/>
      </c>
    </row>
    <row r="230" spans="1:31">
      <c r="A230" s="201" t="s">
        <v>1382</v>
      </c>
      <c r="C230" s="201">
        <v>205</v>
      </c>
      <c r="D230" s="197">
        <v>0.4955</v>
      </c>
      <c r="E230" s="197">
        <v>8.1356999999999999</v>
      </c>
      <c r="F230" s="197">
        <v>0.2049</v>
      </c>
      <c r="G230" s="197">
        <f t="shared" si="20"/>
        <v>8.3406000000000002</v>
      </c>
      <c r="H230" s="197">
        <v>8.1722000000000001</v>
      </c>
      <c r="I230" s="197">
        <f t="shared" si="21"/>
        <v>0.16840000000000011</v>
      </c>
      <c r="J230" s="201">
        <f t="shared" si="22"/>
        <v>3.6499999999999894E-2</v>
      </c>
      <c r="K230" s="280">
        <f t="shared" si="23"/>
        <v>17.813567593948214</v>
      </c>
      <c r="L230" s="197">
        <v>7</v>
      </c>
      <c r="M230" s="207">
        <v>43160.520833333336</v>
      </c>
      <c r="N230" s="207">
        <v>43160.6875</v>
      </c>
      <c r="O230" s="197" t="s">
        <v>2550</v>
      </c>
      <c r="AB230" s="110" t="str">
        <f>IFERROR(INDEX('WetLitterbags placem_collection'!$A$3:$A$500,MATCH(A230,'WetLitterbags placem_collection'!$K$4:$K$500,0)),"")</f>
        <v/>
      </c>
      <c r="AC230" s="110">
        <f>IFERROR(INDEX('WetLitterbags placem_collection'!$A$3:$A$500,MATCH($A230,'WetLitterbags placem_collection'!$O$4:$O$500,0)),"")</f>
        <v>204</v>
      </c>
      <c r="AD230" s="110" t="str">
        <f>IFERROR(INDEX('WetLitterbags placem_collection'!$A$3:$A$500,MATCH($A230,'WetLitterbags placem_collection'!$M$4:$M$500,0)),"")</f>
        <v/>
      </c>
      <c r="AE230" s="110" t="str">
        <f>IFERROR(INDEX('WetLitterbags placem_collection'!$A$3:$A$500,MATCH($A230,'WetLitterbags placem_collection'!$Q$4:$Q$500,0)),"")</f>
        <v/>
      </c>
    </row>
    <row r="231" spans="1:31">
      <c r="A231" s="197" t="s">
        <v>1381</v>
      </c>
      <c r="C231" s="198">
        <v>184</v>
      </c>
      <c r="D231" s="197">
        <v>0.5524</v>
      </c>
      <c r="E231" s="201">
        <v>10.540100000000001</v>
      </c>
      <c r="F231" s="202">
        <v>0.2019</v>
      </c>
      <c r="G231" s="201">
        <f t="shared" si="20"/>
        <v>10.742000000000001</v>
      </c>
      <c r="H231" s="201">
        <v>10.557700000000001</v>
      </c>
      <c r="I231" s="201">
        <f t="shared" si="21"/>
        <v>0.18430000000000035</v>
      </c>
      <c r="J231" s="201">
        <f t="shared" si="22"/>
        <v>1.7599999999999644E-2</v>
      </c>
      <c r="K231" s="280">
        <f t="shared" si="23"/>
        <v>8.7171867261018541</v>
      </c>
      <c r="L231" s="201">
        <v>2</v>
      </c>
      <c r="M231" s="204">
        <v>43212</v>
      </c>
      <c r="AB231" s="110">
        <f>IFERROR(INDEX('WetLitterbags placem_collection'!$A$3:$A$500,MATCH(A231,'WetLitterbags placem_collection'!$K$4:$K$500,0)),"")</f>
        <v>183</v>
      </c>
      <c r="AC231" s="110" t="str">
        <f>IFERROR(INDEX('WetLitterbags placem_collection'!$A$3:$A$500,MATCH($A231,'WetLitterbags placem_collection'!$O$4:$O$500,0)),"")</f>
        <v/>
      </c>
      <c r="AD231" s="110" t="str">
        <f>IFERROR(INDEX('WetLitterbags placem_collection'!$A$3:$A$500,MATCH($A231,'WetLitterbags placem_collection'!$M$4:$M$500,0)),"")</f>
        <v/>
      </c>
      <c r="AE231" s="110" t="str">
        <f>IFERROR(INDEX('WetLitterbags placem_collection'!$A$3:$A$500,MATCH($A231,'WetLitterbags placem_collection'!$Q$4:$Q$500,0)),"")</f>
        <v/>
      </c>
    </row>
    <row r="232" spans="1:31">
      <c r="A232" s="201" t="s">
        <v>1380</v>
      </c>
      <c r="C232" s="201">
        <v>35</v>
      </c>
      <c r="D232" s="202">
        <v>0.61919999999999997</v>
      </c>
      <c r="E232" s="201">
        <v>8.1677999999999997</v>
      </c>
      <c r="F232" s="202">
        <v>0.20930000000000001</v>
      </c>
      <c r="G232" s="201">
        <f t="shared" si="20"/>
        <v>8.3771000000000004</v>
      </c>
      <c r="H232" s="201">
        <v>8.2066999999999997</v>
      </c>
      <c r="I232" s="201">
        <f t="shared" si="21"/>
        <v>0.17040000000000077</v>
      </c>
      <c r="J232" s="201">
        <f t="shared" si="22"/>
        <v>3.8899999999999241E-2</v>
      </c>
      <c r="K232" s="280">
        <f t="shared" si="23"/>
        <v>18.585762064022571</v>
      </c>
      <c r="L232" s="201">
        <v>16</v>
      </c>
      <c r="M232" s="205">
        <v>43206</v>
      </c>
      <c r="N232" s="205">
        <v>43206</v>
      </c>
      <c r="O232" s="201"/>
      <c r="P232" s="201"/>
      <c r="AB232" s="110">
        <f>IFERROR(INDEX('WetLitterbags placem_collection'!$A$3:$A$500,MATCH(A232,'WetLitterbags placem_collection'!$K$4:$K$500,0)),"")</f>
        <v>34</v>
      </c>
      <c r="AC232" s="110" t="str">
        <f>IFERROR(INDEX('WetLitterbags placem_collection'!$A$3:$A$500,MATCH($A232,'WetLitterbags placem_collection'!$O$4:$O$500,0)),"")</f>
        <v/>
      </c>
      <c r="AD232" s="110" t="str">
        <f>IFERROR(INDEX('WetLitterbags placem_collection'!$A$3:$A$500,MATCH($A232,'WetLitterbags placem_collection'!$M$4:$M$500,0)),"")</f>
        <v/>
      </c>
      <c r="AE232" s="110" t="str">
        <f>IFERROR(INDEX('WetLitterbags placem_collection'!$A$3:$A$500,MATCH($A232,'WetLitterbags placem_collection'!$Q$4:$Q$500,0)),"")</f>
        <v/>
      </c>
    </row>
    <row r="233" spans="1:31">
      <c r="A233" s="206" t="s">
        <v>1377</v>
      </c>
      <c r="C233" s="201">
        <v>64</v>
      </c>
      <c r="D233" s="202">
        <v>0.78049999999999997</v>
      </c>
      <c r="E233" s="201">
        <v>8.7334999999999994</v>
      </c>
      <c r="F233" s="202">
        <v>0.20580000000000001</v>
      </c>
      <c r="G233" s="201">
        <f t="shared" si="20"/>
        <v>8.9392999999999994</v>
      </c>
      <c r="H233" s="201">
        <v>8.7824000000000009</v>
      </c>
      <c r="I233" s="201">
        <f t="shared" si="21"/>
        <v>0.15689999999999849</v>
      </c>
      <c r="J233" s="201">
        <f t="shared" si="22"/>
        <v>4.8900000000001526E-2</v>
      </c>
      <c r="K233" s="280">
        <f t="shared" si="23"/>
        <v>23.760932944607156</v>
      </c>
      <c r="L233" s="201">
        <v>19</v>
      </c>
      <c r="M233" s="205">
        <v>43206</v>
      </c>
      <c r="N233" s="205">
        <v>43206</v>
      </c>
      <c r="O233" s="201"/>
      <c r="P233" s="201"/>
      <c r="AB233" s="110" t="str">
        <f>IFERROR(INDEX('WetLitterbags placem_collection'!$A$3:$A$500,MATCH(A233,'WetLitterbags placem_collection'!$K$4:$K$500,0)),"")</f>
        <v/>
      </c>
      <c r="AC233" s="110">
        <f>IFERROR(INDEX('WetLitterbags placem_collection'!$A$3:$A$500,MATCH($A233,'WetLitterbags placem_collection'!$O$4:$O$500,0)),"")</f>
        <v>63</v>
      </c>
      <c r="AD233" s="110" t="str">
        <f>IFERROR(INDEX('WetLitterbags placem_collection'!$A$3:$A$500,MATCH($A233,'WetLitterbags placem_collection'!$M$4:$M$500,0)),"")</f>
        <v/>
      </c>
      <c r="AE233" s="110" t="str">
        <f>IFERROR(INDEX('WetLitterbags placem_collection'!$A$3:$A$500,MATCH($A233,'WetLitterbags placem_collection'!$Q$4:$Q$500,0)),"")</f>
        <v/>
      </c>
    </row>
    <row r="234" spans="1:31">
      <c r="A234" s="201" t="s">
        <v>1376</v>
      </c>
      <c r="C234" s="201">
        <v>170</v>
      </c>
      <c r="D234" s="201">
        <v>0.42299999999999999</v>
      </c>
      <c r="E234" s="201">
        <v>10.739000000000001</v>
      </c>
      <c r="F234" s="202">
        <v>0.2026</v>
      </c>
      <c r="G234" s="201">
        <f t="shared" si="20"/>
        <v>10.941600000000001</v>
      </c>
      <c r="H234" s="201">
        <v>10.7568</v>
      </c>
      <c r="I234" s="201">
        <f t="shared" si="21"/>
        <v>0.18480000000000096</v>
      </c>
      <c r="J234" s="201">
        <f t="shared" si="22"/>
        <v>1.7799999999999039E-2</v>
      </c>
      <c r="K234" s="280">
        <f t="shared" si="23"/>
        <v>8.7857847976303241</v>
      </c>
      <c r="L234" s="201">
        <v>3</v>
      </c>
      <c r="M234" s="205">
        <v>43187</v>
      </c>
      <c r="N234" s="205">
        <v>43187</v>
      </c>
      <c r="O234" s="201"/>
      <c r="P234" s="201"/>
      <c r="AB234" s="110" t="str">
        <f>IFERROR(INDEX('WetLitterbags placem_collection'!$A$3:$A$500,MATCH(A234,'WetLitterbags placem_collection'!$K$4:$K$500,0)),"")</f>
        <v/>
      </c>
      <c r="AC234" s="110">
        <f>IFERROR(INDEX('WetLitterbags placem_collection'!$A$3:$A$500,MATCH($A234,'WetLitterbags placem_collection'!$O$4:$O$500,0)),"")</f>
        <v>169</v>
      </c>
      <c r="AD234" s="110" t="str">
        <f>IFERROR(INDEX('WetLitterbags placem_collection'!$A$3:$A$500,MATCH($A234,'WetLitterbags placem_collection'!$M$4:$M$500,0)),"")</f>
        <v/>
      </c>
      <c r="AE234" s="110" t="str">
        <f>IFERROR(INDEX('WetLitterbags placem_collection'!$A$3:$A$500,MATCH($A234,'WetLitterbags placem_collection'!$Q$4:$Q$500,0)),"")</f>
        <v/>
      </c>
    </row>
    <row r="235" spans="1:31">
      <c r="A235" s="206" t="s">
        <v>1375</v>
      </c>
      <c r="C235" s="201">
        <v>154</v>
      </c>
      <c r="D235" s="201">
        <v>0.37</v>
      </c>
      <c r="E235" s="202">
        <v>7.4812000000000003</v>
      </c>
      <c r="F235" s="202">
        <v>0.20849999999999999</v>
      </c>
      <c r="G235" s="201">
        <f t="shared" si="20"/>
        <v>7.6897000000000002</v>
      </c>
      <c r="H235" s="201">
        <v>7.5187999999999997</v>
      </c>
      <c r="I235" s="201">
        <f t="shared" si="21"/>
        <v>0.1709000000000005</v>
      </c>
      <c r="J235" s="201">
        <f t="shared" si="22"/>
        <v>3.7599999999999495E-2</v>
      </c>
      <c r="K235" s="280">
        <f t="shared" si="23"/>
        <v>18.033573141486571</v>
      </c>
      <c r="L235" s="201">
        <v>26</v>
      </c>
      <c r="M235" s="207">
        <v>43186.458333333336</v>
      </c>
      <c r="N235" s="207">
        <v>43186.625</v>
      </c>
      <c r="O235" s="197" t="s">
        <v>2550</v>
      </c>
      <c r="P235" s="201"/>
      <c r="AB235" s="110">
        <f>IFERROR(INDEX('WetLitterbags placem_collection'!$A$3:$A$500,MATCH(A235,'WetLitterbags placem_collection'!$K$4:$K$500,0)),"")</f>
        <v>153</v>
      </c>
      <c r="AC235" s="110" t="str">
        <f>IFERROR(INDEX('WetLitterbags placem_collection'!$A$3:$A$500,MATCH($A235,'WetLitterbags placem_collection'!$O$4:$O$500,0)),"")</f>
        <v/>
      </c>
      <c r="AD235" s="110" t="str">
        <f>IFERROR(INDEX('WetLitterbags placem_collection'!$A$3:$A$500,MATCH($A235,'WetLitterbags placem_collection'!$M$4:$M$500,0)),"")</f>
        <v/>
      </c>
      <c r="AE235" s="110" t="str">
        <f>IFERROR(INDEX('WetLitterbags placem_collection'!$A$3:$A$500,MATCH($A235,'WetLitterbags placem_collection'!$Q$4:$Q$500,0)),"")</f>
        <v/>
      </c>
    </row>
    <row r="236" spans="1:31">
      <c r="A236" s="201" t="s">
        <v>1374</v>
      </c>
      <c r="C236" s="201">
        <v>107</v>
      </c>
      <c r="D236" s="201">
        <v>0.45179999999999998</v>
      </c>
      <c r="E236" s="202">
        <v>11.1061</v>
      </c>
      <c r="F236" s="202">
        <v>0.20130000000000001</v>
      </c>
      <c r="G236" s="201">
        <f t="shared" si="20"/>
        <v>11.307399999999999</v>
      </c>
      <c r="H236" s="201">
        <v>11.139099999999999</v>
      </c>
      <c r="I236" s="201">
        <f t="shared" si="21"/>
        <v>0.16830000000000034</v>
      </c>
      <c r="J236" s="201">
        <f t="shared" si="22"/>
        <v>3.2999999999999668E-2</v>
      </c>
      <c r="K236" s="280">
        <f t="shared" si="23"/>
        <v>16.393442622950655</v>
      </c>
      <c r="L236" s="201">
        <v>4</v>
      </c>
      <c r="M236" s="203">
        <v>43178.395833333336</v>
      </c>
      <c r="N236" s="203">
        <v>43178.5625</v>
      </c>
      <c r="O236" s="197" t="s">
        <v>2550</v>
      </c>
      <c r="P236" s="201"/>
      <c r="AB236" s="110" t="str">
        <f>IFERROR(INDEX('WetLitterbags placem_collection'!$A$3:$A$500,MATCH(A236,'WetLitterbags placem_collection'!$K$4:$K$500,0)),"")</f>
        <v/>
      </c>
      <c r="AC236" s="110">
        <f>IFERROR(INDEX('WetLitterbags placem_collection'!$A$3:$A$500,MATCH($A236,'WetLitterbags placem_collection'!$O$4:$O$500,0)),"")</f>
        <v>106</v>
      </c>
      <c r="AD236" s="110" t="str">
        <f>IFERROR(INDEX('WetLitterbags placem_collection'!$A$3:$A$500,MATCH($A236,'WetLitterbags placem_collection'!$M$4:$M$500,0)),"")</f>
        <v/>
      </c>
      <c r="AE236" s="110" t="str">
        <f>IFERROR(INDEX('WetLitterbags placem_collection'!$A$3:$A$500,MATCH($A236,'WetLitterbags placem_collection'!$Q$4:$Q$500,0)),"")</f>
        <v/>
      </c>
    </row>
    <row r="237" spans="1:31">
      <c r="A237" s="206" t="s">
        <v>1373</v>
      </c>
      <c r="C237" s="201">
        <v>206</v>
      </c>
      <c r="D237" s="201">
        <v>0.61060000000000003</v>
      </c>
      <c r="E237" s="201">
        <v>9.4850999999999992</v>
      </c>
      <c r="F237" s="202">
        <v>0.2019</v>
      </c>
      <c r="G237" s="201">
        <f t="shared" si="20"/>
        <v>9.6869999999999994</v>
      </c>
      <c r="H237" s="201">
        <v>9.5200999999999993</v>
      </c>
      <c r="I237" s="201">
        <f t="shared" si="21"/>
        <v>0.16690000000000005</v>
      </c>
      <c r="J237" s="201">
        <f t="shared" si="22"/>
        <v>3.4999999999999948E-2</v>
      </c>
      <c r="K237" s="280">
        <f t="shared" si="23"/>
        <v>17.335314512134694</v>
      </c>
      <c r="L237" s="201">
        <v>14</v>
      </c>
      <c r="M237" s="205">
        <v>43187</v>
      </c>
      <c r="N237" s="205">
        <v>43187</v>
      </c>
      <c r="O237" s="201"/>
      <c r="P237" s="201"/>
      <c r="AB237" s="110">
        <f>IFERROR(INDEX('WetLitterbags placem_collection'!$A$3:$A$500,MATCH(A237,'WetLitterbags placem_collection'!$K$4:$K$500,0)),"")</f>
        <v>205</v>
      </c>
      <c r="AC237" s="110" t="str">
        <f>IFERROR(INDEX('WetLitterbags placem_collection'!$A$3:$A$500,MATCH($A237,'WetLitterbags placem_collection'!$O$4:$O$500,0)),"")</f>
        <v/>
      </c>
      <c r="AD237" s="110" t="str">
        <f>IFERROR(INDEX('WetLitterbags placem_collection'!$A$3:$A$500,MATCH($A237,'WetLitterbags placem_collection'!$M$4:$M$500,0)),"")</f>
        <v/>
      </c>
      <c r="AE237" s="110" t="str">
        <f>IFERROR(INDEX('WetLitterbags placem_collection'!$A$3:$A$500,MATCH($A237,'WetLitterbags placem_collection'!$Q$4:$Q$500,0)),"")</f>
        <v/>
      </c>
    </row>
    <row r="238" spans="1:31">
      <c r="A238" s="201" t="s">
        <v>1372</v>
      </c>
      <c r="C238" s="201">
        <v>147</v>
      </c>
      <c r="D238" s="201">
        <v>0.49569999999999997</v>
      </c>
      <c r="E238" s="202">
        <v>8.4428999999999998</v>
      </c>
      <c r="F238" s="202">
        <v>0.20019999999999999</v>
      </c>
      <c r="G238" s="201">
        <f t="shared" si="20"/>
        <v>8.6431000000000004</v>
      </c>
      <c r="H238" s="201">
        <v>8.4756</v>
      </c>
      <c r="I238" s="201">
        <f t="shared" si="21"/>
        <v>0.16750000000000043</v>
      </c>
      <c r="J238" s="201">
        <f t="shared" si="22"/>
        <v>3.2699999999999563E-2</v>
      </c>
      <c r="K238" s="280">
        <f t="shared" si="23"/>
        <v>16.333666333666116</v>
      </c>
      <c r="L238" s="201">
        <v>24</v>
      </c>
      <c r="M238" s="205">
        <v>43197</v>
      </c>
      <c r="N238" s="205">
        <v>43197</v>
      </c>
      <c r="O238" s="201"/>
      <c r="P238" s="201"/>
      <c r="AB238" s="110">
        <f>IFERROR(INDEX('WetLitterbags placem_collection'!$A$3:$A$500,MATCH(A238,'WetLitterbags placem_collection'!$K$4:$K$500,0)),"")</f>
        <v>146</v>
      </c>
      <c r="AC238" s="110" t="str">
        <f>IFERROR(INDEX('WetLitterbags placem_collection'!$A$3:$A$500,MATCH($A238,'WetLitterbags placem_collection'!$O$4:$O$500,0)),"")</f>
        <v/>
      </c>
      <c r="AD238" s="110" t="str">
        <f>IFERROR(INDEX('WetLitterbags placem_collection'!$A$3:$A$500,MATCH($A238,'WetLitterbags placem_collection'!$M$4:$M$500,0)),"")</f>
        <v/>
      </c>
      <c r="AE238" s="110" t="str">
        <f>IFERROR(INDEX('WetLitterbags placem_collection'!$A$3:$A$500,MATCH($A238,'WetLitterbags placem_collection'!$Q$4:$Q$500,0)),"")</f>
        <v/>
      </c>
    </row>
    <row r="239" spans="1:31">
      <c r="A239" s="206" t="s">
        <v>1371</v>
      </c>
      <c r="C239" s="201">
        <v>48</v>
      </c>
      <c r="D239" s="201">
        <v>0.6129</v>
      </c>
      <c r="E239" s="201">
        <v>11.904299999999999</v>
      </c>
      <c r="F239" s="202">
        <v>0.20449999999999999</v>
      </c>
      <c r="G239" s="201">
        <f t="shared" si="20"/>
        <v>12.108799999999999</v>
      </c>
      <c r="H239" s="201">
        <v>11.9199</v>
      </c>
      <c r="I239" s="201">
        <f t="shared" si="21"/>
        <v>0.18889999999999851</v>
      </c>
      <c r="J239" s="201">
        <f t="shared" si="22"/>
        <v>1.5600000000001474E-2</v>
      </c>
      <c r="K239" s="280">
        <f t="shared" si="23"/>
        <v>7.6283618581914308</v>
      </c>
      <c r="L239" s="201">
        <v>14</v>
      </c>
      <c r="M239" s="205">
        <v>43211</v>
      </c>
      <c r="R239" s="197">
        <v>2</v>
      </c>
      <c r="S239" s="197">
        <v>0.61550000000000005</v>
      </c>
      <c r="U239" s="202" t="s">
        <v>660</v>
      </c>
      <c r="V239" s="197">
        <v>1.8808</v>
      </c>
      <c r="W239" s="197">
        <f>(V239-$T$175+F237)</f>
        <v>2.0827</v>
      </c>
      <c r="AB239" s="110">
        <f>IFERROR(INDEX('WetLitterbags placem_collection'!$A$3:$A$500,MATCH(A239,'WetLitterbags placem_collection'!$K$4:$K$500,0)),"")</f>
        <v>47</v>
      </c>
      <c r="AC239" s="110" t="str">
        <f>IFERROR(INDEX('WetLitterbags placem_collection'!$A$3:$A$500,MATCH($A239,'WetLitterbags placem_collection'!$O$4:$O$500,0)),"")</f>
        <v/>
      </c>
      <c r="AD239" s="110" t="str">
        <f>IFERROR(INDEX('WetLitterbags placem_collection'!$A$3:$A$500,MATCH($A239,'WetLitterbags placem_collection'!$M$4:$M$500,0)),"")</f>
        <v/>
      </c>
      <c r="AE239" s="110" t="str">
        <f>IFERROR(INDEX('WetLitterbags placem_collection'!$A$3:$A$500,MATCH($A239,'WetLitterbags placem_collection'!$Q$4:$Q$500,0)),"")</f>
        <v/>
      </c>
    </row>
    <row r="240" spans="1:31">
      <c r="A240" s="206" t="s">
        <v>1370</v>
      </c>
      <c r="C240" s="201">
        <v>168</v>
      </c>
      <c r="D240" s="201">
        <v>0.76470000000000005</v>
      </c>
      <c r="E240" s="202">
        <v>10.2715</v>
      </c>
      <c r="F240" s="202">
        <v>0.2087</v>
      </c>
      <c r="G240" s="201">
        <f t="shared" si="20"/>
        <v>10.4802</v>
      </c>
      <c r="H240" s="201">
        <v>10.2873</v>
      </c>
      <c r="I240" s="201">
        <f t="shared" si="21"/>
        <v>0.19289999999999985</v>
      </c>
      <c r="J240" s="201">
        <f t="shared" si="22"/>
        <v>1.5800000000000147E-2</v>
      </c>
      <c r="K240" s="280">
        <f t="shared" si="23"/>
        <v>7.5706756109248428</v>
      </c>
      <c r="L240" s="201">
        <v>12</v>
      </c>
      <c r="M240" s="207">
        <v>43185.385416666664</v>
      </c>
      <c r="N240" s="201"/>
      <c r="O240" s="201" t="s">
        <v>2556</v>
      </c>
      <c r="P240" s="201"/>
      <c r="AB240" s="110" t="str">
        <f>IFERROR(INDEX('WetLitterbags placem_collection'!$A$3:$A$500,MATCH(A240,'WetLitterbags placem_collection'!$K$4:$K$500,0)),"")</f>
        <v/>
      </c>
      <c r="AC240" s="110">
        <f>IFERROR(INDEX('WetLitterbags placem_collection'!$A$3:$A$500,MATCH($A240,'WetLitterbags placem_collection'!$O$4:$O$500,0)),"")</f>
        <v>167</v>
      </c>
      <c r="AD240" s="110" t="str">
        <f>IFERROR(INDEX('WetLitterbags placem_collection'!$A$3:$A$500,MATCH($A240,'WetLitterbags placem_collection'!$M$4:$M$500,0)),"")</f>
        <v/>
      </c>
      <c r="AE240" s="110" t="str">
        <f>IFERROR(INDEX('WetLitterbags placem_collection'!$A$3:$A$500,MATCH($A240,'WetLitterbags placem_collection'!$Q$4:$Q$500,0)),"")</f>
        <v/>
      </c>
    </row>
    <row r="241" spans="1:31">
      <c r="A241" s="206" t="s">
        <v>1369</v>
      </c>
      <c r="C241" s="201">
        <v>118</v>
      </c>
      <c r="D241" s="202">
        <v>0.379</v>
      </c>
      <c r="E241" s="201">
        <v>8.0647000000000002</v>
      </c>
      <c r="F241" s="202">
        <v>0.20280000000000001</v>
      </c>
      <c r="G241" s="201">
        <f t="shared" si="20"/>
        <v>8.2675000000000001</v>
      </c>
      <c r="H241" s="201">
        <v>8.0952000000000002</v>
      </c>
      <c r="I241" s="201">
        <f t="shared" si="21"/>
        <v>0.1722999999999999</v>
      </c>
      <c r="J241" s="201">
        <f t="shared" si="22"/>
        <v>3.050000000000011E-2</v>
      </c>
      <c r="K241" s="280">
        <f t="shared" si="23"/>
        <v>15.039447731755478</v>
      </c>
      <c r="L241" s="201">
        <v>20</v>
      </c>
      <c r="M241" s="201"/>
      <c r="N241" s="201"/>
      <c r="O241" s="201"/>
      <c r="P241" s="201"/>
      <c r="AB241" s="110">
        <f>IFERROR(INDEX('WetLitterbags placem_collection'!$A$3:$A$500,MATCH(A241,'WetLitterbags placem_collection'!$K$4:$K$500,0)),"")</f>
        <v>117</v>
      </c>
      <c r="AC241" s="110" t="str">
        <f>IFERROR(INDEX('WetLitterbags placem_collection'!$A$3:$A$500,MATCH($A241,'WetLitterbags placem_collection'!$O$4:$O$500,0)),"")</f>
        <v/>
      </c>
      <c r="AD241" s="110" t="str">
        <f>IFERROR(INDEX('WetLitterbags placem_collection'!$A$3:$A$500,MATCH($A241,'WetLitterbags placem_collection'!$M$4:$M$500,0)),"")</f>
        <v/>
      </c>
      <c r="AE241" s="110" t="str">
        <f>IFERROR(INDEX('WetLitterbags placem_collection'!$A$3:$A$500,MATCH($A241,'WetLitterbags placem_collection'!$Q$4:$Q$500,0)),"")</f>
        <v/>
      </c>
    </row>
    <row r="242" spans="1:31">
      <c r="A242" s="206" t="s">
        <v>1368</v>
      </c>
      <c r="C242" s="201">
        <v>124</v>
      </c>
      <c r="D242" s="201">
        <v>0.40920000000000001</v>
      </c>
      <c r="E242" s="202">
        <v>10.0756</v>
      </c>
      <c r="F242" s="202">
        <v>0.20080000000000001</v>
      </c>
      <c r="G242" s="201">
        <f t="shared" si="20"/>
        <v>10.276399999999999</v>
      </c>
      <c r="H242" s="201">
        <v>10.100300000000001</v>
      </c>
      <c r="I242" s="201">
        <f t="shared" si="21"/>
        <v>0.17609999999999815</v>
      </c>
      <c r="J242" s="201">
        <f t="shared" si="22"/>
        <v>2.4700000000001859E-2</v>
      </c>
      <c r="K242" s="280">
        <f t="shared" si="23"/>
        <v>12.30079681274993</v>
      </c>
      <c r="L242" s="201">
        <v>8</v>
      </c>
      <c r="M242" s="207">
        <v>43185.385416666664</v>
      </c>
      <c r="N242" s="201"/>
      <c r="O242" s="201" t="s">
        <v>2556</v>
      </c>
      <c r="P242" s="201"/>
      <c r="AB242" s="110" t="str">
        <f>IFERROR(INDEX('WetLitterbags placem_collection'!$A$3:$A$500,MATCH(A242,'WetLitterbags placem_collection'!$K$4:$K$500,0)),"")</f>
        <v/>
      </c>
      <c r="AC242" s="110">
        <f>IFERROR(INDEX('WetLitterbags placem_collection'!$A$3:$A$500,MATCH($A242,'WetLitterbags placem_collection'!$O$4:$O$500,0)),"")</f>
        <v>123</v>
      </c>
      <c r="AD242" s="110" t="str">
        <f>IFERROR(INDEX('WetLitterbags placem_collection'!$A$3:$A$500,MATCH($A242,'WetLitterbags placem_collection'!$M$4:$M$500,0)),"")</f>
        <v/>
      </c>
      <c r="AE242" s="110" t="str">
        <f>IFERROR(INDEX('WetLitterbags placem_collection'!$A$3:$A$500,MATCH($A242,'WetLitterbags placem_collection'!$Q$4:$Q$500,0)),"")</f>
        <v/>
      </c>
    </row>
    <row r="243" spans="1:31">
      <c r="A243" s="206" t="s">
        <v>1366</v>
      </c>
      <c r="C243" s="201">
        <v>154</v>
      </c>
      <c r="D243" s="201">
        <v>0.37980000000000003</v>
      </c>
      <c r="E243" s="202">
        <v>11.105499999999999</v>
      </c>
      <c r="F243" s="202">
        <v>0.19839999999999999</v>
      </c>
      <c r="G243" s="201">
        <f t="shared" ref="G243:G306" si="24">E243+F243</f>
        <v>11.303899999999999</v>
      </c>
      <c r="H243" s="201">
        <v>11.1403</v>
      </c>
      <c r="I243" s="201">
        <f t="shared" ref="I243:I306" si="25">(G243-H243)</f>
        <v>0.16359999999999886</v>
      </c>
      <c r="J243" s="201">
        <f t="shared" ref="J243:J306" si="26">F243-I243</f>
        <v>3.4800000000001136E-2</v>
      </c>
      <c r="K243" s="280">
        <f t="shared" ref="K243:K306" si="27">(J243/F243)*100</f>
        <v>17.540322580645736</v>
      </c>
      <c r="L243" s="201">
        <v>25</v>
      </c>
      <c r="M243" s="207">
        <v>43186.458333333336</v>
      </c>
      <c r="N243" s="207">
        <v>43186.625</v>
      </c>
      <c r="O243" s="197" t="s">
        <v>2550</v>
      </c>
      <c r="P243" s="201"/>
      <c r="AB243" s="110" t="str">
        <f>IFERROR(INDEX('WetLitterbags placem_collection'!$A$3:$A$500,MATCH(A243,'WetLitterbags placem_collection'!$K$4:$K$500,0)),"")</f>
        <v/>
      </c>
      <c r="AC243" s="110">
        <f>IFERROR(INDEX('WetLitterbags placem_collection'!$A$3:$A$500,MATCH($A243,'WetLitterbags placem_collection'!$O$4:$O$500,0)),"")</f>
        <v>153</v>
      </c>
      <c r="AD243" s="110" t="str">
        <f>IFERROR(INDEX('WetLitterbags placem_collection'!$A$3:$A$500,MATCH($A243,'WetLitterbags placem_collection'!$M$4:$M$500,0)),"")</f>
        <v/>
      </c>
      <c r="AE243" s="110" t="str">
        <f>IFERROR(INDEX('WetLitterbags placem_collection'!$A$3:$A$500,MATCH($A243,'WetLitterbags placem_collection'!$Q$4:$Q$500,0)),"")</f>
        <v/>
      </c>
    </row>
    <row r="244" spans="1:31">
      <c r="A244" s="201" t="s">
        <v>1365</v>
      </c>
      <c r="C244" s="201">
        <v>15</v>
      </c>
      <c r="D244" s="201">
        <v>0.5202</v>
      </c>
      <c r="E244" s="202">
        <v>10.144500000000001</v>
      </c>
      <c r="F244" s="202">
        <v>0.20250000000000001</v>
      </c>
      <c r="G244" s="201">
        <f t="shared" si="24"/>
        <v>10.347000000000001</v>
      </c>
      <c r="H244" s="201">
        <v>10.1905</v>
      </c>
      <c r="I244" s="201">
        <f t="shared" si="25"/>
        <v>0.15650000000000119</v>
      </c>
      <c r="J244" s="201">
        <f t="shared" si="26"/>
        <v>4.599999999999882E-2</v>
      </c>
      <c r="K244" s="280">
        <f t="shared" si="27"/>
        <v>22.716049382715465</v>
      </c>
      <c r="L244" s="201">
        <v>32</v>
      </c>
      <c r="M244" s="207">
        <v>43185.385416666664</v>
      </c>
      <c r="N244" s="201"/>
      <c r="O244" s="201" t="s">
        <v>2556</v>
      </c>
      <c r="P244" s="201"/>
      <c r="AB244" s="110" t="str">
        <f>IFERROR(INDEX('WetLitterbags placem_collection'!$A$3:$A$500,MATCH(A244,'WetLitterbags placem_collection'!$K$4:$K$500,0)),"")</f>
        <v/>
      </c>
      <c r="AC244" s="110">
        <f>IFERROR(INDEX('WetLitterbags placem_collection'!$A$3:$A$500,MATCH($A244,'WetLitterbags placem_collection'!$O$4:$O$500,0)),"")</f>
        <v>14</v>
      </c>
      <c r="AD244" s="110" t="str">
        <f>IFERROR(INDEX('WetLitterbags placem_collection'!$A$3:$A$500,MATCH($A244,'WetLitterbags placem_collection'!$M$4:$M$500,0)),"")</f>
        <v/>
      </c>
      <c r="AE244" s="110" t="str">
        <f>IFERROR(INDEX('WetLitterbags placem_collection'!$A$3:$A$500,MATCH($A244,'WetLitterbags placem_collection'!$Q$4:$Q$500,0)),"")</f>
        <v/>
      </c>
    </row>
    <row r="245" spans="1:31">
      <c r="A245" s="206" t="s">
        <v>1364</v>
      </c>
      <c r="C245" s="201">
        <v>164</v>
      </c>
      <c r="D245" s="201">
        <v>0.44059999999999999</v>
      </c>
      <c r="E245" s="201">
        <v>10.855700000000001</v>
      </c>
      <c r="F245" s="202">
        <v>0.2087</v>
      </c>
      <c r="G245" s="201">
        <f t="shared" si="24"/>
        <v>11.064400000000001</v>
      </c>
      <c r="H245" s="201">
        <v>10.875999999999999</v>
      </c>
      <c r="I245" s="201">
        <f t="shared" si="25"/>
        <v>0.18840000000000146</v>
      </c>
      <c r="J245" s="201">
        <f t="shared" si="26"/>
        <v>2.0299999999998541E-2</v>
      </c>
      <c r="K245" s="280">
        <f t="shared" si="27"/>
        <v>9.7268806899849256</v>
      </c>
      <c r="L245" s="201">
        <v>27</v>
      </c>
      <c r="M245" s="205">
        <v>43187</v>
      </c>
      <c r="N245" s="205">
        <v>43187</v>
      </c>
      <c r="O245" s="201"/>
      <c r="P245" s="201"/>
      <c r="AB245" s="110">
        <f>IFERROR(INDEX('WetLitterbags placem_collection'!$A$3:$A$500,MATCH(A245,'WetLitterbags placem_collection'!$K$4:$K$500,0)),"")</f>
        <v>163</v>
      </c>
      <c r="AC245" s="110" t="str">
        <f>IFERROR(INDEX('WetLitterbags placem_collection'!$A$3:$A$500,MATCH($A245,'WetLitterbags placem_collection'!$O$4:$O$500,0)),"")</f>
        <v/>
      </c>
      <c r="AD245" s="110" t="str">
        <f>IFERROR(INDEX('WetLitterbags placem_collection'!$A$3:$A$500,MATCH($A245,'WetLitterbags placem_collection'!$M$4:$M$500,0)),"")</f>
        <v/>
      </c>
      <c r="AE245" s="110" t="str">
        <f>IFERROR(INDEX('WetLitterbags placem_collection'!$A$3:$A$500,MATCH($A245,'WetLitterbags placem_collection'!$Q$4:$Q$500,0)),"")</f>
        <v/>
      </c>
    </row>
    <row r="246" spans="1:31">
      <c r="A246" s="201" t="s">
        <v>1363</v>
      </c>
      <c r="C246" s="201">
        <v>127</v>
      </c>
      <c r="D246" s="202">
        <v>0.39150000000000001</v>
      </c>
      <c r="E246" s="201">
        <v>11.863099999999999</v>
      </c>
      <c r="F246" s="202">
        <v>0.20269999999999999</v>
      </c>
      <c r="G246" s="201">
        <f t="shared" si="24"/>
        <v>12.065799999999999</v>
      </c>
      <c r="H246" s="201">
        <v>11.8986</v>
      </c>
      <c r="I246" s="201">
        <f t="shared" si="25"/>
        <v>0.16719999999999935</v>
      </c>
      <c r="J246" s="201">
        <f t="shared" si="26"/>
        <v>3.5500000000000642E-2</v>
      </c>
      <c r="K246" s="280">
        <f t="shared" si="27"/>
        <v>17.513566847558284</v>
      </c>
      <c r="L246" s="201">
        <v>7</v>
      </c>
      <c r="M246" s="205">
        <v>43206</v>
      </c>
      <c r="N246" s="205">
        <v>43206</v>
      </c>
      <c r="O246" s="201"/>
      <c r="P246" s="201"/>
      <c r="AB246" s="110" t="str">
        <f>IFERROR(INDEX('WetLitterbags placem_collection'!$A$3:$A$500,MATCH(A246,'WetLitterbags placem_collection'!$K$4:$K$500,0)),"")</f>
        <v/>
      </c>
      <c r="AC246" s="110">
        <f>IFERROR(INDEX('WetLitterbags placem_collection'!$A$3:$A$500,MATCH($A246,'WetLitterbags placem_collection'!$O$4:$O$500,0)),"")</f>
        <v>126</v>
      </c>
      <c r="AD246" s="110" t="str">
        <f>IFERROR(INDEX('WetLitterbags placem_collection'!$A$3:$A$500,MATCH($A246,'WetLitterbags placem_collection'!$M$4:$M$500,0)),"")</f>
        <v/>
      </c>
      <c r="AE246" s="110" t="str">
        <f>IFERROR(INDEX('WetLitterbags placem_collection'!$A$3:$A$500,MATCH($A246,'WetLitterbags placem_collection'!$Q$4:$Q$500,0)),"")</f>
        <v/>
      </c>
    </row>
    <row r="247" spans="1:31">
      <c r="A247" s="201" t="s">
        <v>1362</v>
      </c>
      <c r="C247" s="201">
        <v>107</v>
      </c>
      <c r="D247" s="201">
        <v>0.40689999999999998</v>
      </c>
      <c r="E247" s="202">
        <v>11.119</v>
      </c>
      <c r="F247" s="202">
        <v>0.20200000000000001</v>
      </c>
      <c r="G247" s="201">
        <f t="shared" si="24"/>
        <v>11.321</v>
      </c>
      <c r="H247" s="201">
        <v>11.148300000000001</v>
      </c>
      <c r="I247" s="201">
        <f t="shared" si="25"/>
        <v>0.17269999999999897</v>
      </c>
      <c r="J247" s="201">
        <f t="shared" si="26"/>
        <v>2.9300000000001047E-2</v>
      </c>
      <c r="K247" s="280">
        <f t="shared" si="27"/>
        <v>14.504950495050023</v>
      </c>
      <c r="L247" s="201">
        <v>5</v>
      </c>
      <c r="M247" s="203">
        <v>43178.395833333336</v>
      </c>
      <c r="N247" s="203">
        <v>43178.5625</v>
      </c>
      <c r="O247" s="197" t="s">
        <v>2550</v>
      </c>
      <c r="P247" s="201"/>
      <c r="AB247" s="110">
        <f>IFERROR(INDEX('WetLitterbags placem_collection'!$A$3:$A$500,MATCH(A247,'WetLitterbags placem_collection'!$K$4:$K$500,0)),"")</f>
        <v>106</v>
      </c>
      <c r="AC247" s="110" t="str">
        <f>IFERROR(INDEX('WetLitterbags placem_collection'!$A$3:$A$500,MATCH($A247,'WetLitterbags placem_collection'!$O$4:$O$500,0)),"")</f>
        <v/>
      </c>
      <c r="AD247" s="110" t="str">
        <f>IFERROR(INDEX('WetLitterbags placem_collection'!$A$3:$A$500,MATCH($A247,'WetLitterbags placem_collection'!$M$4:$M$500,0)),"")</f>
        <v/>
      </c>
      <c r="AE247" s="110" t="str">
        <f>IFERROR(INDEX('WetLitterbags placem_collection'!$A$3:$A$500,MATCH($A247,'WetLitterbags placem_collection'!$Q$4:$Q$500,0)),"")</f>
        <v/>
      </c>
    </row>
    <row r="248" spans="1:31">
      <c r="A248" s="197" t="s">
        <v>1361</v>
      </c>
      <c r="C248" s="197">
        <v>146</v>
      </c>
      <c r="D248" s="197">
        <v>0.35870000000000002</v>
      </c>
      <c r="E248" s="197">
        <v>8.7056000000000004</v>
      </c>
      <c r="F248" s="197">
        <v>0.20649999999999999</v>
      </c>
      <c r="G248" s="197">
        <f t="shared" si="24"/>
        <v>8.9121000000000006</v>
      </c>
      <c r="H248" s="197">
        <v>8.7347000000000001</v>
      </c>
      <c r="I248" s="197">
        <f t="shared" si="25"/>
        <v>0.17740000000000045</v>
      </c>
      <c r="J248" s="201">
        <f t="shared" si="26"/>
        <v>2.9099999999999543E-2</v>
      </c>
      <c r="K248" s="280">
        <f t="shared" si="27"/>
        <v>14.092009685229803</v>
      </c>
      <c r="L248" s="197">
        <v>15</v>
      </c>
      <c r="M248" s="197">
        <v>43157.527777777781</v>
      </c>
      <c r="N248" s="197">
        <v>43157.694444444445</v>
      </c>
      <c r="O248" s="197" t="s">
        <v>2556</v>
      </c>
      <c r="AB248" s="110">
        <f>IFERROR(INDEX('WetLitterbags placem_collection'!$A$3:$A$500,MATCH(A248,'WetLitterbags placem_collection'!$K$4:$K$500,0)),"")</f>
        <v>145</v>
      </c>
      <c r="AC248" s="110" t="str">
        <f>IFERROR(INDEX('WetLitterbags placem_collection'!$A$3:$A$500,MATCH($A248,'WetLitterbags placem_collection'!$O$4:$O$500,0)),"")</f>
        <v/>
      </c>
      <c r="AD248" s="110" t="str">
        <f>IFERROR(INDEX('WetLitterbags placem_collection'!$A$3:$A$500,MATCH($A248,'WetLitterbags placem_collection'!$M$4:$M$500,0)),"")</f>
        <v/>
      </c>
      <c r="AE248" s="110" t="str">
        <f>IFERROR(INDEX('WetLitterbags placem_collection'!$A$3:$A$500,MATCH($A248,'WetLitterbags placem_collection'!$Q$4:$Q$500,0)),"")</f>
        <v/>
      </c>
    </row>
    <row r="249" spans="1:31">
      <c r="A249" s="197" t="s">
        <v>1359</v>
      </c>
      <c r="C249" s="197">
        <v>99</v>
      </c>
      <c r="D249" s="197">
        <v>0.34420000000000001</v>
      </c>
      <c r="E249" s="197">
        <v>19.667300000000001</v>
      </c>
      <c r="F249" s="197">
        <v>9.3799999999999994E-2</v>
      </c>
      <c r="G249" s="197">
        <f t="shared" si="24"/>
        <v>19.761100000000003</v>
      </c>
      <c r="H249" s="197">
        <v>19.677199999999999</v>
      </c>
      <c r="I249" s="197">
        <f t="shared" si="25"/>
        <v>8.3900000000003416E-2</v>
      </c>
      <c r="J249" s="201">
        <f t="shared" si="26"/>
        <v>9.8999999999965782E-3</v>
      </c>
      <c r="K249" s="280">
        <f t="shared" si="27"/>
        <v>10.554371002128548</v>
      </c>
      <c r="L249" s="197">
        <v>4</v>
      </c>
      <c r="M249" s="197" t="s">
        <v>2576</v>
      </c>
      <c r="N249" s="197">
        <v>43153.729166666664</v>
      </c>
      <c r="O249" s="197" t="s">
        <v>2550</v>
      </c>
      <c r="P249" s="197" t="s">
        <v>2575</v>
      </c>
      <c r="AB249" s="110" t="str">
        <f>IFERROR(INDEX('WetLitterbags placem_collection'!$A$3:$A$500,MATCH(A249,'WetLitterbags placem_collection'!$K$4:$K$500,0)),"")</f>
        <v/>
      </c>
      <c r="AC249" s="110">
        <f>IFERROR(INDEX('WetLitterbags placem_collection'!$A$3:$A$500,MATCH($A249,'WetLitterbags placem_collection'!$O$4:$O$500,0)),"")</f>
        <v>98</v>
      </c>
      <c r="AD249" s="110" t="str">
        <f>IFERROR(INDEX('WetLitterbags placem_collection'!$A$3:$A$500,MATCH($A249,'WetLitterbags placem_collection'!$M$4:$M$500,0)),"")</f>
        <v/>
      </c>
      <c r="AE249" s="110" t="str">
        <f>IFERROR(INDEX('WetLitterbags placem_collection'!$A$3:$A$500,MATCH($A249,'WetLitterbags placem_collection'!$Q$4:$Q$500,0)),"")</f>
        <v/>
      </c>
    </row>
    <row r="250" spans="1:31">
      <c r="A250" s="201" t="s">
        <v>1358</v>
      </c>
      <c r="C250" s="201">
        <v>103</v>
      </c>
      <c r="D250" s="202">
        <v>0.38019999999999998</v>
      </c>
      <c r="E250" s="201">
        <v>7.9055</v>
      </c>
      <c r="F250" s="202">
        <v>0.2001</v>
      </c>
      <c r="G250" s="201">
        <f t="shared" si="24"/>
        <v>8.1056000000000008</v>
      </c>
      <c r="H250" s="201">
        <v>7.9330999999999996</v>
      </c>
      <c r="I250" s="201">
        <f t="shared" si="25"/>
        <v>0.17250000000000121</v>
      </c>
      <c r="J250" s="201">
        <f t="shared" si="26"/>
        <v>2.7599999999998792E-2</v>
      </c>
      <c r="K250" s="280">
        <f t="shared" si="27"/>
        <v>13.793103448275259</v>
      </c>
      <c r="L250" s="201">
        <v>27</v>
      </c>
      <c r="M250" s="201"/>
      <c r="N250" s="201"/>
      <c r="O250" s="201"/>
      <c r="P250" s="201"/>
      <c r="AB250" s="110" t="str">
        <f>IFERROR(INDEX('WetLitterbags placem_collection'!$A$3:$A$500,MATCH(A250,'WetLitterbags placem_collection'!$K$4:$K$500,0)),"")</f>
        <v/>
      </c>
      <c r="AC250" s="110">
        <f>IFERROR(INDEX('WetLitterbags placem_collection'!$A$3:$A$500,MATCH($A250,'WetLitterbags placem_collection'!$O$4:$O$500,0)),"")</f>
        <v>102</v>
      </c>
      <c r="AD250" s="110" t="str">
        <f>IFERROR(INDEX('WetLitterbags placem_collection'!$A$3:$A$500,MATCH($A250,'WetLitterbags placem_collection'!$M$4:$M$500,0)),"")</f>
        <v/>
      </c>
      <c r="AE250" s="110" t="str">
        <f>IFERROR(INDEX('WetLitterbags placem_collection'!$A$3:$A$500,MATCH($A250,'WetLitterbags placem_collection'!$Q$4:$Q$500,0)),"")</f>
        <v/>
      </c>
    </row>
    <row r="251" spans="1:31">
      <c r="A251" s="197" t="s">
        <v>1357</v>
      </c>
      <c r="C251" s="197">
        <v>115</v>
      </c>
      <c r="D251" s="197">
        <v>0.4234</v>
      </c>
      <c r="E251" s="197">
        <v>11.861499999999999</v>
      </c>
      <c r="F251" s="197">
        <v>0.18770000000000001</v>
      </c>
      <c r="G251" s="197">
        <f t="shared" si="24"/>
        <v>12.049199999999999</v>
      </c>
      <c r="H251" s="197">
        <v>11.8926</v>
      </c>
      <c r="I251" s="197">
        <f t="shared" si="25"/>
        <v>0.15659999999999918</v>
      </c>
      <c r="J251" s="201">
        <f t="shared" si="26"/>
        <v>3.1100000000000821E-2</v>
      </c>
      <c r="K251" s="280">
        <f t="shared" si="27"/>
        <v>16.568993074054781</v>
      </c>
      <c r="L251" s="197">
        <v>1</v>
      </c>
      <c r="M251" s="197">
        <v>43157.395833333336</v>
      </c>
      <c r="N251" s="197">
        <v>43157.569444444445</v>
      </c>
      <c r="O251" s="197" t="s">
        <v>2550</v>
      </c>
      <c r="P251" s="197" t="s">
        <v>2575</v>
      </c>
      <c r="AB251" s="110">
        <f>IFERROR(INDEX('WetLitterbags placem_collection'!$A$3:$A$500,MATCH(A251,'WetLitterbags placem_collection'!$K$4:$K$500,0)),"")</f>
        <v>114</v>
      </c>
      <c r="AC251" s="110" t="str">
        <f>IFERROR(INDEX('WetLitterbags placem_collection'!$A$3:$A$500,MATCH($A251,'WetLitterbags placem_collection'!$O$4:$O$500,0)),"")</f>
        <v/>
      </c>
      <c r="AD251" s="110" t="str">
        <f>IFERROR(INDEX('WetLitterbags placem_collection'!$A$3:$A$500,MATCH($A251,'WetLitterbags placem_collection'!$M$4:$M$500,0)),"")</f>
        <v/>
      </c>
      <c r="AE251" s="110" t="str">
        <f>IFERROR(INDEX('WetLitterbags placem_collection'!$A$3:$A$500,MATCH($A251,'WetLitterbags placem_collection'!$Q$4:$Q$500,0)),"")</f>
        <v/>
      </c>
    </row>
    <row r="252" spans="1:31">
      <c r="A252" s="201" t="s">
        <v>1356</v>
      </c>
      <c r="C252" s="201">
        <v>123</v>
      </c>
      <c r="D252" s="201">
        <v>0.40899999999999997</v>
      </c>
      <c r="E252" s="202">
        <v>9.2202000000000002</v>
      </c>
      <c r="F252" s="202">
        <v>0.2029</v>
      </c>
      <c r="G252" s="201">
        <f t="shared" si="24"/>
        <v>9.4230999999999998</v>
      </c>
      <c r="H252" s="201">
        <v>9.2517999999999994</v>
      </c>
      <c r="I252" s="201">
        <f t="shared" si="25"/>
        <v>0.17130000000000045</v>
      </c>
      <c r="J252" s="201">
        <f t="shared" si="26"/>
        <v>3.1599999999999545E-2</v>
      </c>
      <c r="K252" s="280">
        <f t="shared" si="27"/>
        <v>15.574174470182131</v>
      </c>
      <c r="L252" s="201">
        <v>15</v>
      </c>
      <c r="M252" s="205">
        <v>43199</v>
      </c>
      <c r="N252" s="205">
        <v>43199</v>
      </c>
      <c r="O252" s="201"/>
      <c r="P252" s="201"/>
      <c r="AB252" s="110">
        <f>IFERROR(INDEX('WetLitterbags placem_collection'!$A$3:$A$500,MATCH(A252,'WetLitterbags placem_collection'!$K$4:$K$500,0)),"")</f>
        <v>122</v>
      </c>
      <c r="AC252" s="110" t="str">
        <f>IFERROR(INDEX('WetLitterbags placem_collection'!$A$3:$A$500,MATCH($A252,'WetLitterbags placem_collection'!$O$4:$O$500,0)),"")</f>
        <v/>
      </c>
      <c r="AD252" s="110" t="str">
        <f>IFERROR(INDEX('WetLitterbags placem_collection'!$A$3:$A$500,MATCH($A252,'WetLitterbags placem_collection'!$M$4:$M$500,0)),"")</f>
        <v/>
      </c>
      <c r="AE252" s="110" t="str">
        <f>IFERROR(INDEX('WetLitterbags placem_collection'!$A$3:$A$500,MATCH($A252,'WetLitterbags placem_collection'!$Q$4:$Q$500,0)),"")</f>
        <v/>
      </c>
    </row>
    <row r="253" spans="1:31">
      <c r="A253" s="201" t="s">
        <v>1355</v>
      </c>
      <c r="C253" s="201">
        <v>111</v>
      </c>
      <c r="D253" s="201">
        <v>0.41639999999999999</v>
      </c>
      <c r="E253" s="202">
        <v>10.055400000000001</v>
      </c>
      <c r="F253" s="202">
        <v>0.20250000000000001</v>
      </c>
      <c r="G253" s="201">
        <f t="shared" si="24"/>
        <v>10.257900000000001</v>
      </c>
      <c r="H253" s="201">
        <v>10.082100000000001</v>
      </c>
      <c r="I253" s="201">
        <f t="shared" si="25"/>
        <v>0.17580000000000062</v>
      </c>
      <c r="J253" s="201">
        <f t="shared" si="26"/>
        <v>2.6699999999999391E-2</v>
      </c>
      <c r="K253" s="280">
        <f t="shared" si="27"/>
        <v>13.185185185184883</v>
      </c>
      <c r="L253" s="201">
        <v>46</v>
      </c>
      <c r="M253" s="207">
        <v>43186.458333333336</v>
      </c>
      <c r="N253" s="207">
        <v>43186.625</v>
      </c>
      <c r="O253" s="197" t="s">
        <v>2550</v>
      </c>
      <c r="P253" s="201"/>
      <c r="AB253" s="110" t="str">
        <f>IFERROR(INDEX('WetLitterbags placem_collection'!$A$3:$A$500,MATCH(A253,'WetLitterbags placem_collection'!$K$4:$K$500,0)),"")</f>
        <v/>
      </c>
      <c r="AC253" s="110">
        <f>IFERROR(INDEX('WetLitterbags placem_collection'!$A$3:$A$500,MATCH($A253,'WetLitterbags placem_collection'!$O$4:$O$500,0)),"")</f>
        <v>110</v>
      </c>
      <c r="AD253" s="110" t="str">
        <f>IFERROR(INDEX('WetLitterbags placem_collection'!$A$3:$A$500,MATCH($A253,'WetLitterbags placem_collection'!$M$4:$M$500,0)),"")</f>
        <v/>
      </c>
      <c r="AE253" s="110" t="str">
        <f>IFERROR(INDEX('WetLitterbags placem_collection'!$A$3:$A$500,MATCH($A253,'WetLitterbags placem_collection'!$Q$4:$Q$500,0)),"")</f>
        <v/>
      </c>
    </row>
    <row r="254" spans="1:31">
      <c r="A254" s="197" t="s">
        <v>1354</v>
      </c>
      <c r="C254" s="198">
        <v>149</v>
      </c>
      <c r="D254" s="197">
        <v>0.63670000000000004</v>
      </c>
      <c r="E254" s="202">
        <v>11.158799999999999</v>
      </c>
      <c r="F254" s="202">
        <v>0.20519999999999999</v>
      </c>
      <c r="G254" s="201">
        <f t="shared" si="24"/>
        <v>11.363999999999999</v>
      </c>
      <c r="H254" s="201">
        <v>11.222899999999999</v>
      </c>
      <c r="I254" s="201">
        <f t="shared" si="25"/>
        <v>0.14109999999999978</v>
      </c>
      <c r="J254" s="201">
        <f t="shared" si="26"/>
        <v>6.4100000000000212E-2</v>
      </c>
      <c r="K254" s="280">
        <f t="shared" si="27"/>
        <v>31.23781676413266</v>
      </c>
      <c r="L254" s="201">
        <v>23</v>
      </c>
      <c r="M254" s="204">
        <v>43221</v>
      </c>
      <c r="N254" s="204">
        <v>43221</v>
      </c>
      <c r="AB254" s="110" t="str">
        <f>IFERROR(INDEX('WetLitterbags placem_collection'!$A$3:$A$500,MATCH(A254,'WetLitterbags placem_collection'!$K$4:$K$500,0)),"")</f>
        <v/>
      </c>
      <c r="AC254" s="110">
        <f>IFERROR(INDEX('WetLitterbags placem_collection'!$A$3:$A$500,MATCH($A254,'WetLitterbags placem_collection'!$O$4:$O$500,0)),"")</f>
        <v>148</v>
      </c>
      <c r="AD254" s="110" t="str">
        <f>IFERROR(INDEX('WetLitterbags placem_collection'!$A$3:$A$500,MATCH($A254,'WetLitterbags placem_collection'!$M$4:$M$500,0)),"")</f>
        <v/>
      </c>
      <c r="AE254" s="110" t="str">
        <f>IFERROR(INDEX('WetLitterbags placem_collection'!$A$3:$A$500,MATCH($A254,'WetLitterbags placem_collection'!$Q$4:$Q$500,0)),"")</f>
        <v/>
      </c>
    </row>
    <row r="255" spans="1:31">
      <c r="A255" s="201" t="s">
        <v>1353</v>
      </c>
      <c r="C255" s="201">
        <v>143</v>
      </c>
      <c r="D255" s="201">
        <v>0.48530000000000001</v>
      </c>
      <c r="E255" s="201">
        <v>8.8457000000000008</v>
      </c>
      <c r="F255" s="201">
        <v>0.20080000000000001</v>
      </c>
      <c r="G255" s="201">
        <f t="shared" si="24"/>
        <v>9.0465</v>
      </c>
      <c r="H255" s="201">
        <v>8.8809000000000005</v>
      </c>
      <c r="I255" s="201">
        <f t="shared" si="25"/>
        <v>0.16559999999999953</v>
      </c>
      <c r="J255" s="201">
        <f t="shared" si="26"/>
        <v>3.5200000000000481E-2</v>
      </c>
      <c r="K255" s="280">
        <f t="shared" si="27"/>
        <v>17.52988047808789</v>
      </c>
      <c r="L255" s="201">
        <v>11</v>
      </c>
      <c r="M255" s="203">
        <v>43171.520833333336</v>
      </c>
      <c r="N255" s="203">
        <v>43171.6875</v>
      </c>
      <c r="O255" s="197" t="s">
        <v>2550</v>
      </c>
      <c r="P255" s="201"/>
      <c r="AB255" s="110" t="str">
        <f>IFERROR(INDEX('WetLitterbags placem_collection'!$A$3:$A$500,MATCH(A255,'WetLitterbags placem_collection'!$K$4:$K$500,0)),"")</f>
        <v/>
      </c>
      <c r="AC255" s="110">
        <f>IFERROR(INDEX('WetLitterbags placem_collection'!$A$3:$A$500,MATCH($A255,'WetLitterbags placem_collection'!$O$4:$O$500,0)),"")</f>
        <v>142</v>
      </c>
      <c r="AD255" s="110" t="str">
        <f>IFERROR(INDEX('WetLitterbags placem_collection'!$A$3:$A$500,MATCH($A255,'WetLitterbags placem_collection'!$M$4:$M$500,0)),"")</f>
        <v/>
      </c>
      <c r="AE255" s="110" t="str">
        <f>IFERROR(INDEX('WetLitterbags placem_collection'!$A$3:$A$500,MATCH($A255,'WetLitterbags placem_collection'!$Q$4:$Q$500,0)),"")</f>
        <v/>
      </c>
    </row>
    <row r="256" spans="1:31">
      <c r="A256" s="206" t="s">
        <v>1352</v>
      </c>
      <c r="C256" s="201">
        <v>120</v>
      </c>
      <c r="D256" s="201">
        <v>0.36299999999999999</v>
      </c>
      <c r="E256" s="201">
        <v>9.1562000000000001</v>
      </c>
      <c r="F256" s="201">
        <v>0.20130000000000001</v>
      </c>
      <c r="G256" s="201">
        <f t="shared" si="24"/>
        <v>9.3574999999999999</v>
      </c>
      <c r="H256" s="201">
        <v>9.1860999999999997</v>
      </c>
      <c r="I256" s="201">
        <f t="shared" si="25"/>
        <v>0.17140000000000022</v>
      </c>
      <c r="J256" s="201">
        <f t="shared" si="26"/>
        <v>2.9899999999999788E-2</v>
      </c>
      <c r="K256" s="280">
        <f t="shared" si="27"/>
        <v>14.853452558370487</v>
      </c>
      <c r="L256" s="201">
        <v>6</v>
      </c>
      <c r="M256" s="205">
        <v>43174</v>
      </c>
      <c r="N256" s="205">
        <v>43174</v>
      </c>
      <c r="O256" s="201" t="s">
        <v>2556</v>
      </c>
      <c r="P256" s="201" t="s">
        <v>2551</v>
      </c>
      <c r="AB256" s="110" t="str">
        <f>IFERROR(INDEX('WetLitterbags placem_collection'!$A$3:$A$500,MATCH(A256,'WetLitterbags placem_collection'!$K$4:$K$500,0)),"")</f>
        <v/>
      </c>
      <c r="AC256" s="110">
        <f>IFERROR(INDEX('WetLitterbags placem_collection'!$A$3:$A$500,MATCH($A256,'WetLitterbags placem_collection'!$O$4:$O$500,0)),"")</f>
        <v>119</v>
      </c>
      <c r="AD256" s="110" t="str">
        <f>IFERROR(INDEX('WetLitterbags placem_collection'!$A$3:$A$500,MATCH($A256,'WetLitterbags placem_collection'!$M$4:$M$500,0)),"")</f>
        <v/>
      </c>
      <c r="AE256" s="110" t="str">
        <f>IFERROR(INDEX('WetLitterbags placem_collection'!$A$3:$A$500,MATCH($A256,'WetLitterbags placem_collection'!$Q$4:$Q$500,0)),"")</f>
        <v/>
      </c>
    </row>
    <row r="257" spans="1:31">
      <c r="A257" s="197" t="s">
        <v>1351</v>
      </c>
      <c r="C257" s="198">
        <v>21</v>
      </c>
      <c r="D257" s="197">
        <v>0.53790000000000004</v>
      </c>
      <c r="E257" s="202">
        <v>10.075900000000001</v>
      </c>
      <c r="F257" s="202">
        <v>0.20200000000000001</v>
      </c>
      <c r="G257" s="201">
        <f t="shared" si="24"/>
        <v>10.277900000000001</v>
      </c>
      <c r="H257" s="201">
        <v>10.096299999999999</v>
      </c>
      <c r="I257" s="201">
        <f t="shared" si="25"/>
        <v>0.18160000000000132</v>
      </c>
      <c r="J257" s="201">
        <f t="shared" si="26"/>
        <v>2.0399999999998697E-2</v>
      </c>
      <c r="K257" s="280">
        <f t="shared" si="27"/>
        <v>10.099009900989453</v>
      </c>
      <c r="L257" s="201">
        <v>4</v>
      </c>
      <c r="AB257" s="110">
        <f>IFERROR(INDEX('WetLitterbags placem_collection'!$A$3:$A$500,MATCH(A257,'WetLitterbags placem_collection'!$K$4:$K$500,0)),"")</f>
        <v>20</v>
      </c>
      <c r="AC257" s="110" t="str">
        <f>IFERROR(INDEX('WetLitterbags placem_collection'!$A$3:$A$500,MATCH($A257,'WetLitterbags placem_collection'!$O$4:$O$500,0)),"")</f>
        <v/>
      </c>
      <c r="AD257" s="110" t="str">
        <f>IFERROR(INDEX('WetLitterbags placem_collection'!$A$3:$A$500,MATCH($A257,'WetLitterbags placem_collection'!$M$4:$M$500,0)),"")</f>
        <v/>
      </c>
      <c r="AE257" s="110" t="str">
        <f>IFERROR(INDEX('WetLitterbags placem_collection'!$A$3:$A$500,MATCH($A257,'WetLitterbags placem_collection'!$Q$4:$Q$500,0)),"")</f>
        <v/>
      </c>
    </row>
    <row r="258" spans="1:31">
      <c r="A258" s="201" t="s">
        <v>1350</v>
      </c>
      <c r="C258" s="201">
        <v>65</v>
      </c>
      <c r="D258" s="201">
        <v>0.58609999999999995</v>
      </c>
      <c r="E258" s="202">
        <v>7.0753000000000004</v>
      </c>
      <c r="F258" s="202">
        <v>0.20030000000000001</v>
      </c>
      <c r="G258" s="201">
        <f t="shared" si="24"/>
        <v>7.2756000000000007</v>
      </c>
      <c r="H258" s="201">
        <v>7.1066000000000003</v>
      </c>
      <c r="I258" s="201">
        <f t="shared" si="25"/>
        <v>0.16900000000000048</v>
      </c>
      <c r="J258" s="201">
        <f t="shared" si="26"/>
        <v>3.1299999999999523E-2</v>
      </c>
      <c r="K258" s="280">
        <f t="shared" si="27"/>
        <v>15.626560159760119</v>
      </c>
      <c r="L258" s="201">
        <v>3</v>
      </c>
      <c r="M258" s="205">
        <v>43199</v>
      </c>
      <c r="N258" s="205">
        <v>43199</v>
      </c>
      <c r="O258" s="201"/>
      <c r="P258" s="201"/>
      <c r="AB258" s="110" t="str">
        <f>IFERROR(INDEX('WetLitterbags placem_collection'!$A$3:$A$500,MATCH(A258,'WetLitterbags placem_collection'!$K$4:$K$500,0)),"")</f>
        <v/>
      </c>
      <c r="AC258" s="110">
        <f>IFERROR(INDEX('WetLitterbags placem_collection'!$A$3:$A$500,MATCH($A258,'WetLitterbags placem_collection'!$O$4:$O$500,0)),"")</f>
        <v>64</v>
      </c>
      <c r="AD258" s="110" t="str">
        <f>IFERROR(INDEX('WetLitterbags placem_collection'!$A$3:$A$500,MATCH($A258,'WetLitterbags placem_collection'!$M$4:$M$500,0)),"")</f>
        <v/>
      </c>
      <c r="AE258" s="110" t="str">
        <f>IFERROR(INDEX('WetLitterbags placem_collection'!$A$3:$A$500,MATCH($A258,'WetLitterbags placem_collection'!$Q$4:$Q$500,0)),"")</f>
        <v/>
      </c>
    </row>
    <row r="259" spans="1:31">
      <c r="A259" s="197" t="s">
        <v>1349</v>
      </c>
      <c r="C259" s="197">
        <v>8</v>
      </c>
      <c r="D259" s="197">
        <v>0.40389999999999998</v>
      </c>
      <c r="E259" s="197">
        <v>7.3167999999999997</v>
      </c>
      <c r="F259" s="197">
        <v>0.20530000000000001</v>
      </c>
      <c r="G259" s="197">
        <f t="shared" si="24"/>
        <v>7.5221</v>
      </c>
      <c r="H259" s="197">
        <v>7.3349000000000002</v>
      </c>
      <c r="I259" s="197">
        <f t="shared" si="25"/>
        <v>0.18719999999999981</v>
      </c>
      <c r="J259" s="201">
        <f t="shared" si="26"/>
        <v>1.8100000000000199E-2</v>
      </c>
      <c r="K259" s="280">
        <f t="shared" si="27"/>
        <v>8.8163662932295175</v>
      </c>
      <c r="L259" s="197">
        <v>3</v>
      </c>
      <c r="M259" s="197" t="s">
        <v>2586</v>
      </c>
      <c r="N259" s="197" t="s">
        <v>2585</v>
      </c>
      <c r="O259" s="197" t="s">
        <v>2550</v>
      </c>
      <c r="AB259" s="110" t="str">
        <f>IFERROR(INDEX('WetLitterbags placem_collection'!$A$3:$A$500,MATCH(A259,'WetLitterbags placem_collection'!$K$4:$K$500,0)),"")</f>
        <v/>
      </c>
      <c r="AC259" s="110">
        <f>IFERROR(INDEX('WetLitterbags placem_collection'!$A$3:$A$500,MATCH($A259,'WetLitterbags placem_collection'!$O$4:$O$500,0)),"")</f>
        <v>7</v>
      </c>
      <c r="AD259" s="110" t="str">
        <f>IFERROR(INDEX('WetLitterbags placem_collection'!$A$3:$A$500,MATCH($A259,'WetLitterbags placem_collection'!$M$4:$M$500,0)),"")</f>
        <v/>
      </c>
      <c r="AE259" s="110" t="str">
        <f>IFERROR(INDEX('WetLitterbags placem_collection'!$A$3:$A$500,MATCH($A259,'WetLitterbags placem_collection'!$Q$4:$Q$500,0)),"")</f>
        <v/>
      </c>
    </row>
    <row r="260" spans="1:31">
      <c r="A260" s="197" t="s">
        <v>1348</v>
      </c>
      <c r="C260" s="197">
        <v>28</v>
      </c>
      <c r="D260" s="197">
        <v>0.52159999999999995</v>
      </c>
      <c r="E260" s="202">
        <v>10.9023</v>
      </c>
      <c r="F260" s="202">
        <v>0.2026</v>
      </c>
      <c r="G260" s="201">
        <f t="shared" si="24"/>
        <v>11.104900000000001</v>
      </c>
      <c r="H260" s="201">
        <v>10.923999999999999</v>
      </c>
      <c r="I260" s="201">
        <f t="shared" si="25"/>
        <v>0.18090000000000117</v>
      </c>
      <c r="J260" s="201">
        <f t="shared" si="26"/>
        <v>2.1699999999998831E-2</v>
      </c>
      <c r="K260" s="280">
        <f t="shared" si="27"/>
        <v>10.710760118459444</v>
      </c>
      <c r="L260" s="201">
        <v>15</v>
      </c>
      <c r="AB260" s="110">
        <f>IFERROR(INDEX('WetLitterbags placem_collection'!$A$3:$A$500,MATCH(A260,'WetLitterbags placem_collection'!$K$4:$K$500,0)),"")</f>
        <v>27</v>
      </c>
      <c r="AC260" s="110" t="str">
        <f>IFERROR(INDEX('WetLitterbags placem_collection'!$A$3:$A$500,MATCH($A260,'WetLitterbags placem_collection'!$O$4:$O$500,0)),"")</f>
        <v/>
      </c>
      <c r="AD260" s="110" t="str">
        <f>IFERROR(INDEX('WetLitterbags placem_collection'!$A$3:$A$500,MATCH($A260,'WetLitterbags placem_collection'!$M$4:$M$500,0)),"")</f>
        <v/>
      </c>
      <c r="AE260" s="110" t="str">
        <f>IFERROR(INDEX('WetLitterbags placem_collection'!$A$3:$A$500,MATCH($A260,'WetLitterbags placem_collection'!$Q$4:$Q$500,0)),"")</f>
        <v/>
      </c>
    </row>
    <row r="261" spans="1:31">
      <c r="A261" s="206" t="s">
        <v>1347</v>
      </c>
      <c r="C261" s="201">
        <v>38</v>
      </c>
      <c r="D261" s="201">
        <v>0.59689999999999999</v>
      </c>
      <c r="E261" s="202">
        <v>7.4748000000000001</v>
      </c>
      <c r="F261" s="202">
        <v>0.20180000000000001</v>
      </c>
      <c r="G261" s="201">
        <f t="shared" si="24"/>
        <v>7.6766000000000005</v>
      </c>
      <c r="H261" s="201">
        <v>7.5014000000000003</v>
      </c>
      <c r="I261" s="201">
        <f t="shared" si="25"/>
        <v>0.17520000000000024</v>
      </c>
      <c r="J261" s="201">
        <f t="shared" si="26"/>
        <v>2.6599999999999763E-2</v>
      </c>
      <c r="K261" s="280">
        <f t="shared" si="27"/>
        <v>13.181367690782835</v>
      </c>
      <c r="L261" s="201">
        <v>28</v>
      </c>
      <c r="M261" s="205">
        <v>43188</v>
      </c>
      <c r="N261" s="205">
        <v>43188</v>
      </c>
      <c r="O261" s="201"/>
      <c r="P261" s="201"/>
      <c r="AB261" s="110" t="str">
        <f>IFERROR(INDEX('WetLitterbags placem_collection'!$A$3:$A$500,MATCH(A261,'WetLitterbags placem_collection'!$K$4:$K$500,0)),"")</f>
        <v/>
      </c>
      <c r="AC261" s="110">
        <f>IFERROR(INDEX('WetLitterbags placem_collection'!$A$3:$A$500,MATCH($A261,'WetLitterbags placem_collection'!$O$4:$O$500,0)),"")</f>
        <v>37</v>
      </c>
      <c r="AD261" s="110" t="str">
        <f>IFERROR(INDEX('WetLitterbags placem_collection'!$A$3:$A$500,MATCH($A261,'WetLitterbags placem_collection'!$M$4:$M$500,0)),"")</f>
        <v/>
      </c>
      <c r="AE261" s="110" t="str">
        <f>IFERROR(INDEX('WetLitterbags placem_collection'!$A$3:$A$500,MATCH($A261,'WetLitterbags placem_collection'!$Q$4:$Q$500,0)),"")</f>
        <v/>
      </c>
    </row>
    <row r="262" spans="1:31">
      <c r="A262" s="197" t="s">
        <v>1346</v>
      </c>
      <c r="C262" s="197">
        <v>106</v>
      </c>
      <c r="D262" s="197">
        <v>0.41220000000000001</v>
      </c>
      <c r="E262" s="197">
        <v>9.3457000000000008</v>
      </c>
      <c r="F262" s="197">
        <v>0.20300000000000001</v>
      </c>
      <c r="G262" s="197">
        <f t="shared" si="24"/>
        <v>9.5487000000000002</v>
      </c>
      <c r="H262" s="197">
        <v>9.3613999999999997</v>
      </c>
      <c r="I262" s="197">
        <f t="shared" si="25"/>
        <v>0.18730000000000047</v>
      </c>
      <c r="J262" s="201">
        <f t="shared" si="26"/>
        <v>1.5699999999999548E-2</v>
      </c>
      <c r="K262" s="280">
        <f t="shared" si="27"/>
        <v>7.733990147783028</v>
      </c>
      <c r="L262" s="197">
        <v>5</v>
      </c>
      <c r="M262" s="197">
        <v>43157.395833333336</v>
      </c>
      <c r="N262" s="197">
        <v>43157.569444444445</v>
      </c>
      <c r="O262" s="197" t="s">
        <v>2550</v>
      </c>
      <c r="AB262" s="110">
        <f>IFERROR(INDEX('WetLitterbags placem_collection'!$A$3:$A$500,MATCH(A262,'WetLitterbags placem_collection'!$K$4:$K$500,0)),"")</f>
        <v>108</v>
      </c>
      <c r="AC262" s="110" t="str">
        <f>IFERROR(INDEX('WetLitterbags placem_collection'!$A$3:$A$500,MATCH($A262,'WetLitterbags placem_collection'!$O$4:$O$500,0)),"")</f>
        <v/>
      </c>
      <c r="AD262" s="110" t="str">
        <f>IFERROR(INDEX('WetLitterbags placem_collection'!$A$3:$A$500,MATCH($A262,'WetLitterbags placem_collection'!$M$4:$M$500,0)),"")</f>
        <v/>
      </c>
      <c r="AE262" s="110" t="str">
        <f>IFERROR(INDEX('WetLitterbags placem_collection'!$A$3:$A$500,MATCH($A262,'WetLitterbags placem_collection'!$Q$4:$Q$500,0)),"")</f>
        <v/>
      </c>
    </row>
    <row r="263" spans="1:31">
      <c r="A263" s="206" t="s">
        <v>1344</v>
      </c>
      <c r="C263" s="201">
        <v>140</v>
      </c>
      <c r="D263" s="201">
        <v>0.41689999999999999</v>
      </c>
      <c r="E263" s="201">
        <v>7.7732000000000001</v>
      </c>
      <c r="F263" s="201">
        <v>0.20130000000000001</v>
      </c>
      <c r="G263" s="201">
        <f t="shared" si="24"/>
        <v>7.9744999999999999</v>
      </c>
      <c r="H263" s="201">
        <v>7.8083999999999998</v>
      </c>
      <c r="I263" s="201">
        <f t="shared" si="25"/>
        <v>0.16610000000000014</v>
      </c>
      <c r="J263" s="201">
        <f t="shared" si="26"/>
        <v>3.519999999999987E-2</v>
      </c>
      <c r="K263" s="280">
        <f t="shared" si="27"/>
        <v>17.486338797814145</v>
      </c>
      <c r="L263" s="201">
        <v>3</v>
      </c>
      <c r="M263" s="203">
        <v>43164.628472222219</v>
      </c>
      <c r="N263" s="203">
        <v>43164.795138888891</v>
      </c>
      <c r="O263" s="197" t="s">
        <v>2550</v>
      </c>
      <c r="P263" s="201"/>
      <c r="AB263" s="110" t="str">
        <f>IFERROR(INDEX('WetLitterbags placem_collection'!$A$3:$A$500,MATCH(A263,'WetLitterbags placem_collection'!$K$4:$K$500,0)),"")</f>
        <v/>
      </c>
      <c r="AC263" s="110">
        <f>IFERROR(INDEX('WetLitterbags placem_collection'!$A$3:$A$500,MATCH($A263,'WetLitterbags placem_collection'!$O$4:$O$500,0)),"")</f>
        <v>139</v>
      </c>
      <c r="AD263" s="110" t="str">
        <f>IFERROR(INDEX('WetLitterbags placem_collection'!$A$3:$A$500,MATCH($A263,'WetLitterbags placem_collection'!$M$4:$M$500,0)),"")</f>
        <v/>
      </c>
      <c r="AE263" s="110" t="str">
        <f>IFERROR(INDEX('WetLitterbags placem_collection'!$A$3:$A$500,MATCH($A263,'WetLitterbags placem_collection'!$Q$4:$Q$500,0)),"")</f>
        <v/>
      </c>
    </row>
    <row r="264" spans="1:31">
      <c r="A264" s="197" t="s">
        <v>1343</v>
      </c>
      <c r="C264" s="198">
        <v>201</v>
      </c>
      <c r="D264" s="197">
        <v>0.45</v>
      </c>
      <c r="E264" s="201">
        <v>8.7733000000000008</v>
      </c>
      <c r="F264" s="202">
        <v>0.20749999999999999</v>
      </c>
      <c r="G264" s="201">
        <f t="shared" si="24"/>
        <v>8.9808000000000003</v>
      </c>
      <c r="H264" s="201">
        <v>8.7985000000000007</v>
      </c>
      <c r="I264" s="201">
        <f t="shared" si="25"/>
        <v>0.18229999999999968</v>
      </c>
      <c r="J264" s="201">
        <f t="shared" si="26"/>
        <v>2.5200000000000305E-2</v>
      </c>
      <c r="K264" s="280">
        <f t="shared" si="27"/>
        <v>12.14457831325316</v>
      </c>
      <c r="L264" s="201">
        <v>20</v>
      </c>
      <c r="M264" s="204">
        <v>43213</v>
      </c>
      <c r="N264" s="204">
        <v>43213</v>
      </c>
      <c r="AB264" s="110" t="str">
        <f>IFERROR(INDEX('WetLitterbags placem_collection'!$A$3:$A$500,MATCH(A264,'WetLitterbags placem_collection'!$K$4:$K$500,0)),"")</f>
        <v/>
      </c>
      <c r="AC264" s="110">
        <f>IFERROR(INDEX('WetLitterbags placem_collection'!$A$3:$A$500,MATCH($A264,'WetLitterbags placem_collection'!$O$4:$O$500,0)),"")</f>
        <v>200</v>
      </c>
      <c r="AD264" s="110" t="str">
        <f>IFERROR(INDEX('WetLitterbags placem_collection'!$A$3:$A$500,MATCH($A264,'WetLitterbags placem_collection'!$M$4:$M$500,0)),"")</f>
        <v/>
      </c>
      <c r="AE264" s="110" t="str">
        <f>IFERROR(INDEX('WetLitterbags placem_collection'!$A$3:$A$500,MATCH($A264,'WetLitterbags placem_collection'!$Q$4:$Q$500,0)),"")</f>
        <v/>
      </c>
    </row>
    <row r="265" spans="1:31">
      <c r="A265" s="206" t="s">
        <v>1342</v>
      </c>
      <c r="C265" s="201">
        <v>130</v>
      </c>
      <c r="D265" s="202">
        <v>0.3836</v>
      </c>
      <c r="E265" s="202">
        <v>9.7257999999999996</v>
      </c>
      <c r="F265" s="202">
        <v>0.20069999999999999</v>
      </c>
      <c r="G265" s="201">
        <f t="shared" si="24"/>
        <v>9.926499999999999</v>
      </c>
      <c r="H265" s="201">
        <v>9.7614000000000001</v>
      </c>
      <c r="I265" s="201">
        <f t="shared" si="25"/>
        <v>0.16509999999999891</v>
      </c>
      <c r="J265" s="201">
        <f t="shared" si="26"/>
        <v>3.5600000000001075E-2</v>
      </c>
      <c r="K265" s="280">
        <f t="shared" si="27"/>
        <v>17.737917289487331</v>
      </c>
      <c r="L265" s="201">
        <v>35</v>
      </c>
      <c r="M265" s="203">
        <v>43181.645833333336</v>
      </c>
      <c r="N265" s="203">
        <v>43181.833333333336</v>
      </c>
      <c r="O265" s="201" t="s">
        <v>2556</v>
      </c>
      <c r="P265" s="201"/>
      <c r="AB265" s="110" t="str">
        <f>IFERROR(INDEX('WetLitterbags placem_collection'!$A$3:$A$500,MATCH(A265,'WetLitterbags placem_collection'!$K$4:$K$500,0)),"")</f>
        <v/>
      </c>
      <c r="AC265" s="110">
        <f>IFERROR(INDEX('WetLitterbags placem_collection'!$A$3:$A$500,MATCH($A265,'WetLitterbags placem_collection'!$O$4:$O$500,0)),"")</f>
        <v>129</v>
      </c>
      <c r="AD265" s="110" t="str">
        <f>IFERROR(INDEX('WetLitterbags placem_collection'!$A$3:$A$500,MATCH($A265,'WetLitterbags placem_collection'!$M$4:$M$500,0)),"")</f>
        <v/>
      </c>
      <c r="AE265" s="110" t="str">
        <f>IFERROR(INDEX('WetLitterbags placem_collection'!$A$3:$A$500,MATCH($A265,'WetLitterbags placem_collection'!$Q$4:$Q$500,0)),"")</f>
        <v/>
      </c>
    </row>
    <row r="266" spans="1:31">
      <c r="A266" s="197" t="s">
        <v>1341</v>
      </c>
      <c r="C266" s="198">
        <v>200</v>
      </c>
      <c r="D266" s="197">
        <v>0.41339999999999999</v>
      </c>
      <c r="E266" s="202">
        <v>9.3222000000000005</v>
      </c>
      <c r="F266" s="202">
        <v>0.20119999999999999</v>
      </c>
      <c r="G266" s="201">
        <f t="shared" si="24"/>
        <v>9.5234000000000005</v>
      </c>
      <c r="H266" s="201">
        <v>9.3420000000000005</v>
      </c>
      <c r="I266" s="201">
        <f t="shared" si="25"/>
        <v>0.18140000000000001</v>
      </c>
      <c r="J266" s="201">
        <f t="shared" si="26"/>
        <v>1.9799999999999984E-2</v>
      </c>
      <c r="K266" s="280">
        <f t="shared" si="27"/>
        <v>9.8409542743538694</v>
      </c>
      <c r="L266" s="201">
        <v>16</v>
      </c>
      <c r="AB266" s="110" t="str">
        <f>IFERROR(INDEX('WetLitterbags placem_collection'!$A$3:$A$500,MATCH(A266,'WetLitterbags placem_collection'!$K$4:$K$500,0)),"")</f>
        <v/>
      </c>
      <c r="AC266" s="110">
        <f>IFERROR(INDEX('WetLitterbags placem_collection'!$A$3:$A$500,MATCH($A266,'WetLitterbags placem_collection'!$O$4:$O$500,0)),"")</f>
        <v>199</v>
      </c>
      <c r="AD266" s="110" t="str">
        <f>IFERROR(INDEX('WetLitterbags placem_collection'!$A$3:$A$500,MATCH($A266,'WetLitterbags placem_collection'!$M$4:$M$500,0)),"")</f>
        <v/>
      </c>
      <c r="AE266" s="110" t="str">
        <f>IFERROR(INDEX('WetLitterbags placem_collection'!$A$3:$A$500,MATCH($A266,'WetLitterbags placem_collection'!$Q$4:$Q$500,0)),"")</f>
        <v/>
      </c>
    </row>
    <row r="267" spans="1:31">
      <c r="A267" s="206" t="s">
        <v>1340</v>
      </c>
      <c r="C267" s="201">
        <v>208</v>
      </c>
      <c r="D267" s="201">
        <v>0.63100000000000001</v>
      </c>
      <c r="E267" s="201">
        <v>8.1204000000000001</v>
      </c>
      <c r="F267" s="201">
        <v>0.20069999999999999</v>
      </c>
      <c r="G267" s="201">
        <f t="shared" si="24"/>
        <v>8.3210999999999995</v>
      </c>
      <c r="H267" s="201">
        <v>8.1574000000000009</v>
      </c>
      <c r="I267" s="201">
        <f t="shared" si="25"/>
        <v>0.16369999999999862</v>
      </c>
      <c r="J267" s="201">
        <f t="shared" si="26"/>
        <v>3.7000000000001365E-2</v>
      </c>
      <c r="K267" s="280">
        <f t="shared" si="27"/>
        <v>18.435475834579655</v>
      </c>
      <c r="L267" s="201">
        <v>8</v>
      </c>
      <c r="M267" s="203">
        <v>43171.520833333336</v>
      </c>
      <c r="N267" s="203">
        <v>43171.6875</v>
      </c>
      <c r="O267" s="197" t="s">
        <v>2550</v>
      </c>
      <c r="P267" s="201"/>
      <c r="AB267" s="110">
        <f>IFERROR(INDEX('WetLitterbags placem_collection'!$A$3:$A$500,MATCH(A267,'WetLitterbags placem_collection'!$K$4:$K$500,0)),"")</f>
        <v>207</v>
      </c>
      <c r="AC267" s="110" t="str">
        <f>IFERROR(INDEX('WetLitterbags placem_collection'!$A$3:$A$500,MATCH($A267,'WetLitterbags placem_collection'!$O$4:$O$500,0)),"")</f>
        <v/>
      </c>
      <c r="AD267" s="110" t="str">
        <f>IFERROR(INDEX('WetLitterbags placem_collection'!$A$3:$A$500,MATCH($A267,'WetLitterbags placem_collection'!$M$4:$M$500,0)),"")</f>
        <v/>
      </c>
      <c r="AE267" s="110" t="str">
        <f>IFERROR(INDEX('WetLitterbags placem_collection'!$A$3:$A$500,MATCH($A267,'WetLitterbags placem_collection'!$Q$4:$Q$500,0)),"")</f>
        <v/>
      </c>
    </row>
    <row r="268" spans="1:31">
      <c r="A268" s="197" t="s">
        <v>1338</v>
      </c>
      <c r="C268" s="201">
        <v>199</v>
      </c>
      <c r="D268" s="202">
        <v>0.46410000000000001</v>
      </c>
      <c r="E268" s="202">
        <v>8.1358999999999995</v>
      </c>
      <c r="F268" s="202">
        <v>0.2074</v>
      </c>
      <c r="G268" s="201">
        <f t="shared" si="24"/>
        <v>8.3432999999999993</v>
      </c>
      <c r="H268" s="201">
        <v>8.1542999999999992</v>
      </c>
      <c r="I268" s="201">
        <f t="shared" si="25"/>
        <v>0.18900000000000006</v>
      </c>
      <c r="J268" s="201">
        <f t="shared" si="26"/>
        <v>1.8399999999999944E-2</v>
      </c>
      <c r="K268" s="280">
        <f t="shared" si="27"/>
        <v>8.8717454194792413</v>
      </c>
      <c r="L268" s="201">
        <v>3</v>
      </c>
      <c r="M268" s="201"/>
      <c r="N268" s="201"/>
      <c r="O268" s="201"/>
      <c r="P268" s="201"/>
      <c r="AB268" s="110" t="str">
        <f>IFERROR(INDEX('WetLitterbags placem_collection'!$A$3:$A$500,MATCH(A268,'WetLitterbags placem_collection'!$K$4:$K$500,0)),"")</f>
        <v/>
      </c>
      <c r="AC268" s="110">
        <f>IFERROR(INDEX('WetLitterbags placem_collection'!$A$3:$A$500,MATCH($A268,'WetLitterbags placem_collection'!$O$4:$O$500,0)),"")</f>
        <v>198</v>
      </c>
      <c r="AD268" s="110" t="str">
        <f>IFERROR(INDEX('WetLitterbags placem_collection'!$A$3:$A$500,MATCH($A268,'WetLitterbags placem_collection'!$M$4:$M$500,0)),"")</f>
        <v/>
      </c>
      <c r="AE268" s="110" t="str">
        <f>IFERROR(INDEX('WetLitterbags placem_collection'!$A$3:$A$500,MATCH($A268,'WetLitterbags placem_collection'!$Q$4:$Q$500,0)),"")</f>
        <v/>
      </c>
    </row>
    <row r="269" spans="1:31">
      <c r="A269" s="206" t="s">
        <v>1337</v>
      </c>
      <c r="C269" s="197">
        <v>194</v>
      </c>
      <c r="D269" s="201">
        <v>0.42909999999999998</v>
      </c>
      <c r="E269" s="202">
        <v>11.258699999999999</v>
      </c>
      <c r="F269" s="202">
        <v>0.20100000000000001</v>
      </c>
      <c r="G269" s="201">
        <f t="shared" si="24"/>
        <v>11.4597</v>
      </c>
      <c r="H269" s="201">
        <v>11.2761</v>
      </c>
      <c r="I269" s="201">
        <f t="shared" si="25"/>
        <v>0.18360000000000021</v>
      </c>
      <c r="J269" s="201">
        <f t="shared" si="26"/>
        <v>1.7399999999999805E-2</v>
      </c>
      <c r="K269" s="280">
        <f t="shared" si="27"/>
        <v>8.6567164179103493</v>
      </c>
      <c r="L269" s="201">
        <v>22</v>
      </c>
      <c r="M269" s="207">
        <v>43186.458333333336</v>
      </c>
      <c r="N269" s="207">
        <v>43186.625</v>
      </c>
      <c r="O269" s="197" t="s">
        <v>2550</v>
      </c>
      <c r="P269" s="201"/>
      <c r="AB269" s="110" t="str">
        <f>IFERROR(INDEX('WetLitterbags placem_collection'!$A$3:$A$500,MATCH(A269,'WetLitterbags placem_collection'!$K$4:$K$500,0)),"")</f>
        <v/>
      </c>
      <c r="AC269" s="110">
        <f>IFERROR(INDEX('WetLitterbags placem_collection'!$A$3:$A$500,MATCH($A269,'WetLitterbags placem_collection'!$O$4:$O$500,0)),"")</f>
        <v>193</v>
      </c>
      <c r="AD269" s="110" t="str">
        <f>IFERROR(INDEX('WetLitterbags placem_collection'!$A$3:$A$500,MATCH($A269,'WetLitterbags placem_collection'!$M$4:$M$500,0)),"")</f>
        <v/>
      </c>
      <c r="AE269" s="110" t="str">
        <f>IFERROR(INDEX('WetLitterbags placem_collection'!$A$3:$A$500,MATCH($A269,'WetLitterbags placem_collection'!$Q$4:$Q$500,0)),"")</f>
        <v/>
      </c>
    </row>
    <row r="270" spans="1:31">
      <c r="A270" s="197" t="s">
        <v>1335</v>
      </c>
      <c r="C270" s="198">
        <v>197</v>
      </c>
      <c r="D270" s="197">
        <v>0.49</v>
      </c>
      <c r="E270" s="202">
        <v>11.2583</v>
      </c>
      <c r="F270" s="202">
        <v>0.20200000000000001</v>
      </c>
      <c r="G270" s="201">
        <f t="shared" si="24"/>
        <v>11.4603</v>
      </c>
      <c r="H270" s="201">
        <v>11.283200000000001</v>
      </c>
      <c r="I270" s="201">
        <f t="shared" si="25"/>
        <v>0.17709999999999937</v>
      </c>
      <c r="J270" s="201">
        <f t="shared" si="26"/>
        <v>2.4900000000000644E-2</v>
      </c>
      <c r="K270" s="280">
        <f t="shared" si="27"/>
        <v>12.326732673267644</v>
      </c>
      <c r="L270" s="201">
        <v>10</v>
      </c>
      <c r="AB270" s="110">
        <f>IFERROR(INDEX('WetLitterbags placem_collection'!$A$3:$A$500,MATCH(A270,'WetLitterbags placem_collection'!$K$4:$K$500,0)),"")</f>
        <v>196</v>
      </c>
      <c r="AC270" s="110" t="str">
        <f>IFERROR(INDEX('WetLitterbags placem_collection'!$A$3:$A$500,MATCH($A270,'WetLitterbags placem_collection'!$O$4:$O$500,0)),"")</f>
        <v/>
      </c>
      <c r="AD270" s="110" t="str">
        <f>IFERROR(INDEX('WetLitterbags placem_collection'!$A$3:$A$500,MATCH($A270,'WetLitterbags placem_collection'!$M$4:$M$500,0)),"")</f>
        <v/>
      </c>
      <c r="AE270" s="110" t="str">
        <f>IFERROR(INDEX('WetLitterbags placem_collection'!$A$3:$A$500,MATCH($A270,'WetLitterbags placem_collection'!$Q$4:$Q$500,0)),"")</f>
        <v/>
      </c>
    </row>
    <row r="271" spans="1:31">
      <c r="A271" s="201" t="s">
        <v>1334</v>
      </c>
      <c r="C271" s="201">
        <v>213</v>
      </c>
      <c r="D271" s="201">
        <v>0.6149</v>
      </c>
      <c r="E271" s="201">
        <v>10.1242</v>
      </c>
      <c r="F271" s="201">
        <v>0.2026</v>
      </c>
      <c r="G271" s="201">
        <f t="shared" si="24"/>
        <v>10.3268</v>
      </c>
      <c r="H271" s="201">
        <v>10.141</v>
      </c>
      <c r="I271" s="201">
        <f t="shared" si="25"/>
        <v>0.18580000000000041</v>
      </c>
      <c r="J271" s="201">
        <f t="shared" si="26"/>
        <v>1.6799999999999593E-2</v>
      </c>
      <c r="K271" s="280">
        <f t="shared" si="27"/>
        <v>8.2922013820333618</v>
      </c>
      <c r="L271" s="201">
        <v>7</v>
      </c>
      <c r="M271" s="205">
        <v>43188</v>
      </c>
      <c r="N271" s="205">
        <v>43188</v>
      </c>
      <c r="O271" s="201"/>
      <c r="P271" s="201"/>
      <c r="AB271" s="110" t="str">
        <f>IFERROR(INDEX('WetLitterbags placem_collection'!$A$3:$A$500,MATCH(A271,'WetLitterbags placem_collection'!$K$4:$K$500,0)),"")</f>
        <v/>
      </c>
      <c r="AC271" s="110">
        <f>IFERROR(INDEX('WetLitterbags placem_collection'!$A$3:$A$500,MATCH($A271,'WetLitterbags placem_collection'!$O$4:$O$500,0)),"")</f>
        <v>212</v>
      </c>
      <c r="AD271" s="110" t="str">
        <f>IFERROR(INDEX('WetLitterbags placem_collection'!$A$3:$A$500,MATCH($A271,'WetLitterbags placem_collection'!$M$4:$M$500,0)),"")</f>
        <v/>
      </c>
      <c r="AE271" s="110" t="str">
        <f>IFERROR(INDEX('WetLitterbags placem_collection'!$A$3:$A$500,MATCH($A271,'WetLitterbags placem_collection'!$Q$4:$Q$500,0)),"")</f>
        <v/>
      </c>
    </row>
    <row r="272" spans="1:31">
      <c r="A272" s="197" t="s">
        <v>1332</v>
      </c>
      <c r="C272" s="197">
        <v>215</v>
      </c>
      <c r="D272" s="197">
        <v>0.4864</v>
      </c>
      <c r="E272" s="202">
        <v>11.4543</v>
      </c>
      <c r="F272" s="202">
        <v>0.2029</v>
      </c>
      <c r="G272" s="201">
        <f t="shared" si="24"/>
        <v>11.6572</v>
      </c>
      <c r="H272" s="201">
        <v>11.469099999999999</v>
      </c>
      <c r="I272" s="201">
        <f t="shared" si="25"/>
        <v>0.18810000000000038</v>
      </c>
      <c r="J272" s="201">
        <f t="shared" si="26"/>
        <v>1.4799999999999619E-2</v>
      </c>
      <c r="K272" s="280">
        <f t="shared" si="27"/>
        <v>7.2942336126168659</v>
      </c>
      <c r="L272" s="201">
        <v>4</v>
      </c>
      <c r="M272" s="204">
        <v>43221</v>
      </c>
      <c r="N272" s="204">
        <v>43221</v>
      </c>
      <c r="AB272" s="110" t="str">
        <f>IFERROR(INDEX('WetLitterbags placem_collection'!$A$3:$A$500,MATCH(A272,'WetLitterbags placem_collection'!$K$4:$K$500,0)),"")</f>
        <v/>
      </c>
      <c r="AC272" s="110">
        <f>IFERROR(INDEX('WetLitterbags placem_collection'!$A$3:$A$500,MATCH($A272,'WetLitterbags placem_collection'!$O$4:$O$500,0)),"")</f>
        <v>214</v>
      </c>
      <c r="AD272" s="110" t="str">
        <f>IFERROR(INDEX('WetLitterbags placem_collection'!$A$3:$A$500,MATCH($A272,'WetLitterbags placem_collection'!$M$4:$M$500,0)),"")</f>
        <v/>
      </c>
      <c r="AE272" s="110" t="str">
        <f>IFERROR(INDEX('WetLitterbags placem_collection'!$A$3:$A$500,MATCH($A272,'WetLitterbags placem_collection'!$Q$4:$Q$500,0)),"")</f>
        <v/>
      </c>
    </row>
    <row r="273" spans="1:31">
      <c r="A273" s="197" t="s">
        <v>1330</v>
      </c>
      <c r="C273" s="198">
        <v>210</v>
      </c>
      <c r="D273" s="197">
        <v>0.5302</v>
      </c>
      <c r="E273" s="202">
        <v>8.8605</v>
      </c>
      <c r="F273" s="202">
        <v>0.20799999999999999</v>
      </c>
      <c r="G273" s="201">
        <f t="shared" si="24"/>
        <v>9.0685000000000002</v>
      </c>
      <c r="H273" s="201">
        <v>8.8939000000000004</v>
      </c>
      <c r="I273" s="201">
        <f t="shared" si="25"/>
        <v>0.17459999999999987</v>
      </c>
      <c r="J273" s="201">
        <f t="shared" si="26"/>
        <v>3.3400000000000124E-2</v>
      </c>
      <c r="K273" s="280">
        <f t="shared" si="27"/>
        <v>16.057692307692367</v>
      </c>
      <c r="L273" s="201">
        <v>11</v>
      </c>
      <c r="M273" s="204">
        <v>43221</v>
      </c>
      <c r="N273" s="204">
        <v>43221</v>
      </c>
      <c r="AB273" s="110" t="str">
        <f>IFERROR(INDEX('WetLitterbags placem_collection'!$A$3:$A$500,MATCH(A273,'WetLitterbags placem_collection'!$K$4:$K$500,0)),"")</f>
        <v/>
      </c>
      <c r="AC273" s="110">
        <f>IFERROR(INDEX('WetLitterbags placem_collection'!$A$3:$A$500,MATCH($A273,'WetLitterbags placem_collection'!$O$4:$O$500,0)),"")</f>
        <v>209</v>
      </c>
      <c r="AD273" s="110" t="str">
        <f>IFERROR(INDEX('WetLitterbags placem_collection'!$A$3:$A$500,MATCH($A273,'WetLitterbags placem_collection'!$M$4:$M$500,0)),"")</f>
        <v/>
      </c>
      <c r="AE273" s="110" t="str">
        <f>IFERROR(INDEX('WetLitterbags placem_collection'!$A$3:$A$500,MATCH($A273,'WetLitterbags placem_collection'!$Q$4:$Q$500,0)),"")</f>
        <v/>
      </c>
    </row>
    <row r="274" spans="1:31">
      <c r="A274" s="197" t="s">
        <v>1329</v>
      </c>
      <c r="C274" s="197">
        <v>21</v>
      </c>
      <c r="D274" s="197">
        <v>0.46500000000000002</v>
      </c>
      <c r="E274" s="202">
        <v>11.1058</v>
      </c>
      <c r="F274" s="202">
        <v>0.19969999999999999</v>
      </c>
      <c r="G274" s="201">
        <f t="shared" si="24"/>
        <v>11.3055</v>
      </c>
      <c r="H274" s="201">
        <v>11.1266</v>
      </c>
      <c r="I274" s="201">
        <f t="shared" si="25"/>
        <v>0.1789000000000005</v>
      </c>
      <c r="J274" s="201">
        <f t="shared" si="26"/>
        <v>2.0799999999999486E-2</v>
      </c>
      <c r="K274" s="280">
        <f t="shared" si="27"/>
        <v>10.415623435152472</v>
      </c>
      <c r="L274" s="201">
        <v>31</v>
      </c>
      <c r="AB274" s="110" t="str">
        <f>IFERROR(INDEX('WetLitterbags placem_collection'!$A$3:$A$500,MATCH(A274,'WetLitterbags placem_collection'!$K$4:$K$500,0)),"")</f>
        <v/>
      </c>
      <c r="AC274" s="110">
        <f>IFERROR(INDEX('WetLitterbags placem_collection'!$A$3:$A$500,MATCH($A274,'WetLitterbags placem_collection'!$O$4:$O$500,0)),"")</f>
        <v>20</v>
      </c>
      <c r="AD274" s="110" t="str">
        <f>IFERROR(INDEX('WetLitterbags placem_collection'!$A$3:$A$500,MATCH($A274,'WetLitterbags placem_collection'!$M$4:$M$500,0)),"")</f>
        <v/>
      </c>
      <c r="AE274" s="110" t="str">
        <f>IFERROR(INDEX('WetLitterbags placem_collection'!$A$3:$A$500,MATCH($A274,'WetLitterbags placem_collection'!$Q$4:$Q$500,0)),"")</f>
        <v/>
      </c>
    </row>
    <row r="275" spans="1:31">
      <c r="A275" s="197" t="s">
        <v>1327</v>
      </c>
      <c r="C275" s="197">
        <v>86</v>
      </c>
      <c r="D275" s="197">
        <v>0.57269999999999999</v>
      </c>
      <c r="E275" s="197">
        <v>18.046900000000001</v>
      </c>
      <c r="F275" s="197">
        <v>0.19550000000000001</v>
      </c>
      <c r="G275" s="197">
        <f t="shared" si="24"/>
        <v>18.2424</v>
      </c>
      <c r="H275" s="197">
        <v>18.061499999999999</v>
      </c>
      <c r="I275" s="197">
        <f t="shared" si="25"/>
        <v>0.18090000000000117</v>
      </c>
      <c r="J275" s="201">
        <f t="shared" si="26"/>
        <v>1.4599999999998836E-2</v>
      </c>
      <c r="K275" s="280">
        <f t="shared" si="27"/>
        <v>7.4680306905364882</v>
      </c>
      <c r="L275" s="197">
        <v>13</v>
      </c>
      <c r="M275" s="197" t="s">
        <v>2580</v>
      </c>
      <c r="N275" s="197" t="s">
        <v>2579</v>
      </c>
      <c r="O275" s="197" t="s">
        <v>2556</v>
      </c>
      <c r="AB275" s="110">
        <f>IFERROR(INDEX('WetLitterbags placem_collection'!$A$3:$A$500,MATCH(A275,'WetLitterbags placem_collection'!$K$4:$K$500,0)),"")</f>
        <v>85</v>
      </c>
      <c r="AC275" s="110" t="str">
        <f>IFERROR(INDEX('WetLitterbags placem_collection'!$A$3:$A$500,MATCH($A275,'WetLitterbags placem_collection'!$O$4:$O$500,0)),"")</f>
        <v/>
      </c>
      <c r="AD275" s="110" t="str">
        <f>IFERROR(INDEX('WetLitterbags placem_collection'!$A$3:$A$500,MATCH($A275,'WetLitterbags placem_collection'!$M$4:$M$500,0)),"")</f>
        <v/>
      </c>
      <c r="AE275" s="110" t="str">
        <f>IFERROR(INDEX('WetLitterbags placem_collection'!$A$3:$A$500,MATCH($A275,'WetLitterbags placem_collection'!$Q$4:$Q$500,0)),"")</f>
        <v/>
      </c>
    </row>
    <row r="276" spans="1:31">
      <c r="A276" s="201" t="s">
        <v>1326</v>
      </c>
      <c r="C276" s="201">
        <v>113</v>
      </c>
      <c r="D276" s="197">
        <v>0.41270000000000001</v>
      </c>
      <c r="E276" s="201">
        <v>7.8388</v>
      </c>
      <c r="F276" s="202">
        <v>0.2089</v>
      </c>
      <c r="G276" s="201">
        <f t="shared" si="24"/>
        <v>8.0477000000000007</v>
      </c>
      <c r="H276" s="197">
        <v>7.8710000000000004</v>
      </c>
      <c r="I276" s="197">
        <f t="shared" si="25"/>
        <v>0.1767000000000003</v>
      </c>
      <c r="J276" s="201">
        <f t="shared" si="26"/>
        <v>3.2199999999999701E-2</v>
      </c>
      <c r="K276" s="280">
        <f t="shared" si="27"/>
        <v>15.414073719482863</v>
      </c>
      <c r="L276" s="201">
        <v>20</v>
      </c>
      <c r="M276" s="205">
        <v>43187</v>
      </c>
      <c r="N276" s="205">
        <v>43187</v>
      </c>
      <c r="O276" s="201"/>
      <c r="P276" s="201"/>
      <c r="AB276" s="110">
        <f>IFERROR(INDEX('WetLitterbags placem_collection'!$A$3:$A$500,MATCH(A276,'WetLitterbags placem_collection'!$K$4:$K$500,0)),"")</f>
        <v>112</v>
      </c>
      <c r="AC276" s="110" t="str">
        <f>IFERROR(INDEX('WetLitterbags placem_collection'!$A$3:$A$500,MATCH($A276,'WetLitterbags placem_collection'!$O$4:$O$500,0)),"")</f>
        <v/>
      </c>
      <c r="AD276" s="110" t="str">
        <f>IFERROR(INDEX('WetLitterbags placem_collection'!$A$3:$A$500,MATCH($A276,'WetLitterbags placem_collection'!$M$4:$M$500,0)),"")</f>
        <v/>
      </c>
      <c r="AE276" s="110" t="str">
        <f>IFERROR(INDEX('WetLitterbags placem_collection'!$A$3:$A$500,MATCH($A276,'WetLitterbags placem_collection'!$Q$4:$Q$500,0)),"")</f>
        <v/>
      </c>
    </row>
    <row r="277" spans="1:31">
      <c r="A277" s="206" t="s">
        <v>1325</v>
      </c>
      <c r="C277" s="201">
        <v>132</v>
      </c>
      <c r="D277" s="201">
        <v>0.39979999999999999</v>
      </c>
      <c r="E277" s="201">
        <v>11.023</v>
      </c>
      <c r="F277" s="201">
        <v>0.2034</v>
      </c>
      <c r="G277" s="201">
        <f t="shared" si="24"/>
        <v>11.2264</v>
      </c>
      <c r="H277" s="201">
        <v>11.052199999999999</v>
      </c>
      <c r="I277" s="201">
        <f t="shared" si="25"/>
        <v>0.1742000000000008</v>
      </c>
      <c r="J277" s="201">
        <f t="shared" si="26"/>
        <v>2.9199999999999199E-2</v>
      </c>
      <c r="K277" s="280">
        <f t="shared" si="27"/>
        <v>14.355948869222813</v>
      </c>
      <c r="L277" s="201">
        <v>16</v>
      </c>
      <c r="M277" s="205">
        <v>43188</v>
      </c>
      <c r="N277" s="205">
        <v>43188</v>
      </c>
      <c r="O277" s="201"/>
      <c r="P277" s="201"/>
      <c r="AB277" s="110">
        <f>IFERROR(INDEX('WetLitterbags placem_collection'!$A$3:$A$500,MATCH(A277,'WetLitterbags placem_collection'!$K$4:$K$500,0)),"")</f>
        <v>131</v>
      </c>
      <c r="AC277" s="110" t="str">
        <f>IFERROR(INDEX('WetLitterbags placem_collection'!$A$3:$A$500,MATCH($A277,'WetLitterbags placem_collection'!$O$4:$O$500,0)),"")</f>
        <v/>
      </c>
      <c r="AD277" s="110" t="str">
        <f>IFERROR(INDEX('WetLitterbags placem_collection'!$A$3:$A$500,MATCH($A277,'WetLitterbags placem_collection'!$M$4:$M$500,0)),"")</f>
        <v/>
      </c>
      <c r="AE277" s="110" t="str">
        <f>IFERROR(INDEX('WetLitterbags placem_collection'!$A$3:$A$500,MATCH($A277,'WetLitterbags placem_collection'!$Q$4:$Q$500,0)),"")</f>
        <v/>
      </c>
    </row>
    <row r="278" spans="1:31">
      <c r="A278" s="201" t="s">
        <v>1323</v>
      </c>
      <c r="C278" s="201">
        <v>219</v>
      </c>
      <c r="D278" s="201">
        <v>0.50029999999999997</v>
      </c>
      <c r="E278" s="201">
        <v>7.3544</v>
      </c>
      <c r="F278" s="201">
        <v>0.19819999999999999</v>
      </c>
      <c r="G278" s="201">
        <f t="shared" si="24"/>
        <v>7.5526</v>
      </c>
      <c r="H278" s="201">
        <v>7.3773999999999997</v>
      </c>
      <c r="I278" s="201">
        <f t="shared" si="25"/>
        <v>0.17520000000000024</v>
      </c>
      <c r="J278" s="201">
        <f t="shared" si="26"/>
        <v>2.2999999999999743E-2</v>
      </c>
      <c r="K278" s="280">
        <f t="shared" si="27"/>
        <v>11.604439959636602</v>
      </c>
      <c r="L278" s="201">
        <v>12</v>
      </c>
      <c r="M278" s="203">
        <v>43164.628472222219</v>
      </c>
      <c r="N278" s="203">
        <v>43164.795138888891</v>
      </c>
      <c r="O278" s="197" t="s">
        <v>2550</v>
      </c>
      <c r="P278" s="201"/>
      <c r="AB278" s="110">
        <f>IFERROR(INDEX('WetLitterbags placem_collection'!$A$3:$A$500,MATCH(A278,'WetLitterbags placem_collection'!$K$4:$K$500,0)),"")</f>
        <v>218</v>
      </c>
      <c r="AC278" s="110" t="str">
        <f>IFERROR(INDEX('WetLitterbags placem_collection'!$A$3:$A$500,MATCH($A278,'WetLitterbags placem_collection'!$O$4:$O$500,0)),"")</f>
        <v/>
      </c>
      <c r="AD278" s="110" t="str">
        <f>IFERROR(INDEX('WetLitterbags placem_collection'!$A$3:$A$500,MATCH($A278,'WetLitterbags placem_collection'!$M$4:$M$500,0)),"")</f>
        <v/>
      </c>
      <c r="AE278" s="110" t="str">
        <f>IFERROR(INDEX('WetLitterbags placem_collection'!$A$3:$A$500,MATCH($A278,'WetLitterbags placem_collection'!$Q$4:$Q$500,0)),"")</f>
        <v/>
      </c>
    </row>
    <row r="279" spans="1:31">
      <c r="A279" s="206" t="s">
        <v>1322</v>
      </c>
      <c r="C279" s="201">
        <v>100</v>
      </c>
      <c r="D279" s="201">
        <v>0.38440000000000002</v>
      </c>
      <c r="E279" s="201">
        <v>7.4805999999999999</v>
      </c>
      <c r="F279" s="201">
        <v>0.20399999999999999</v>
      </c>
      <c r="G279" s="201">
        <f t="shared" si="24"/>
        <v>7.6845999999999997</v>
      </c>
      <c r="H279" s="201">
        <v>7.5067000000000004</v>
      </c>
      <c r="I279" s="201">
        <f t="shared" si="25"/>
        <v>0.17789999999999928</v>
      </c>
      <c r="J279" s="201">
        <f t="shared" si="26"/>
        <v>2.6100000000000706E-2</v>
      </c>
      <c r="K279" s="280">
        <f t="shared" si="27"/>
        <v>12.794117647059169</v>
      </c>
      <c r="L279" s="201">
        <v>20</v>
      </c>
      <c r="M279" s="205">
        <v>43188</v>
      </c>
      <c r="N279" s="205">
        <v>43188</v>
      </c>
      <c r="O279" s="201"/>
      <c r="P279" s="201"/>
      <c r="AB279" s="110">
        <f>IFERROR(INDEX('WetLitterbags placem_collection'!$A$3:$A$500,MATCH(A279,'WetLitterbags placem_collection'!$K$4:$K$500,0)),"")</f>
        <v>99</v>
      </c>
      <c r="AC279" s="110" t="str">
        <f>IFERROR(INDEX('WetLitterbags placem_collection'!$A$3:$A$500,MATCH($A279,'WetLitterbags placem_collection'!$O$4:$O$500,0)),"")</f>
        <v/>
      </c>
      <c r="AD279" s="110" t="str">
        <f>IFERROR(INDEX('WetLitterbags placem_collection'!$A$3:$A$500,MATCH($A279,'WetLitterbags placem_collection'!$M$4:$M$500,0)),"")</f>
        <v/>
      </c>
      <c r="AE279" s="110" t="str">
        <f>IFERROR(INDEX('WetLitterbags placem_collection'!$A$3:$A$500,MATCH($A279,'WetLitterbags placem_collection'!$Q$4:$Q$500,0)),"")</f>
        <v/>
      </c>
    </row>
    <row r="280" spans="1:31">
      <c r="A280" s="197" t="s">
        <v>1321</v>
      </c>
      <c r="C280" s="197">
        <v>105</v>
      </c>
      <c r="D280" s="197">
        <v>0.43609999999999999</v>
      </c>
      <c r="E280" s="197">
        <v>19.694500000000001</v>
      </c>
      <c r="F280" s="197">
        <v>0.19270000000000001</v>
      </c>
      <c r="G280" s="197">
        <f t="shared" si="24"/>
        <v>19.8872</v>
      </c>
      <c r="H280" s="197">
        <v>19.732500000000002</v>
      </c>
      <c r="I280" s="197">
        <f t="shared" si="25"/>
        <v>0.15469999999999828</v>
      </c>
      <c r="J280" s="201">
        <f t="shared" si="26"/>
        <v>3.8000000000001727E-2</v>
      </c>
      <c r="K280" s="280">
        <f t="shared" si="27"/>
        <v>19.719771665802661</v>
      </c>
      <c r="L280" s="197">
        <v>8</v>
      </c>
      <c r="M280" s="197" t="s">
        <v>2576</v>
      </c>
      <c r="N280" s="197">
        <v>43153.729166666664</v>
      </c>
      <c r="O280" s="197" t="s">
        <v>2550</v>
      </c>
      <c r="P280" s="197" t="s">
        <v>2574</v>
      </c>
      <c r="AB280" s="110">
        <f>IFERROR(INDEX('WetLitterbags placem_collection'!$A$3:$A$500,MATCH(A280,'WetLitterbags placem_collection'!$K$4:$K$500,0)),"")</f>
        <v>104</v>
      </c>
      <c r="AC280" s="110" t="str">
        <f>IFERROR(INDEX('WetLitterbags placem_collection'!$A$3:$A$500,MATCH($A280,'WetLitterbags placem_collection'!$O$4:$O$500,0)),"")</f>
        <v/>
      </c>
      <c r="AD280" s="110" t="str">
        <f>IFERROR(INDEX('WetLitterbags placem_collection'!$A$3:$A$500,MATCH($A280,'WetLitterbags placem_collection'!$M$4:$M$500,0)),"")</f>
        <v/>
      </c>
      <c r="AE280" s="110" t="str">
        <f>IFERROR(INDEX('WetLitterbags placem_collection'!$A$3:$A$500,MATCH($A280,'WetLitterbags placem_collection'!$Q$4:$Q$500,0)),"")</f>
        <v/>
      </c>
    </row>
    <row r="281" spans="1:31">
      <c r="A281" s="206" t="s">
        <v>1320</v>
      </c>
      <c r="C281" s="201">
        <v>98</v>
      </c>
      <c r="D281" s="201">
        <v>0.4178</v>
      </c>
      <c r="E281" s="202">
        <v>11.1591</v>
      </c>
      <c r="F281" s="202">
        <v>0.20319999999999999</v>
      </c>
      <c r="G281" s="201">
        <f t="shared" si="24"/>
        <v>11.362300000000001</v>
      </c>
      <c r="H281" s="201">
        <v>11.19</v>
      </c>
      <c r="I281" s="201">
        <f t="shared" si="25"/>
        <v>0.17230000000000167</v>
      </c>
      <c r="J281" s="201">
        <f t="shared" si="26"/>
        <v>3.0899999999998318E-2</v>
      </c>
      <c r="K281" s="280">
        <f t="shared" si="27"/>
        <v>15.206692913385</v>
      </c>
      <c r="L281" s="201">
        <v>24</v>
      </c>
      <c r="M281" s="207">
        <v>43185.385416666664</v>
      </c>
      <c r="N281" s="201"/>
      <c r="O281" s="201" t="s">
        <v>2556</v>
      </c>
      <c r="P281" s="201"/>
      <c r="AB281" s="110" t="str">
        <f>IFERROR(INDEX('WetLitterbags placem_collection'!$A$3:$A$500,MATCH(A281,'WetLitterbags placem_collection'!$K$4:$K$500,0)),"")</f>
        <v/>
      </c>
      <c r="AC281" s="110">
        <f>IFERROR(INDEX('WetLitterbags placem_collection'!$A$3:$A$500,MATCH($A281,'WetLitterbags placem_collection'!$O$4:$O$500,0)),"")</f>
        <v>97</v>
      </c>
      <c r="AD281" s="110" t="str">
        <f>IFERROR(INDEX('WetLitterbags placem_collection'!$A$3:$A$500,MATCH($A281,'WetLitterbags placem_collection'!$M$4:$M$500,0)),"")</f>
        <v/>
      </c>
      <c r="AE281" s="110" t="str">
        <f>IFERROR(INDEX('WetLitterbags placem_collection'!$A$3:$A$500,MATCH($A281,'WetLitterbags placem_collection'!$Q$4:$Q$500,0)),"")</f>
        <v/>
      </c>
    </row>
    <row r="282" spans="1:31">
      <c r="A282" s="201" t="s">
        <v>1318</v>
      </c>
      <c r="C282" s="201">
        <v>35</v>
      </c>
      <c r="D282" s="202">
        <v>0.52159999999999995</v>
      </c>
      <c r="E282" s="201">
        <v>7.3171999999999997</v>
      </c>
      <c r="F282" s="202">
        <v>0.20230000000000001</v>
      </c>
      <c r="G282" s="201">
        <f t="shared" si="24"/>
        <v>7.5194999999999999</v>
      </c>
      <c r="H282" s="201">
        <v>7.3377999999999997</v>
      </c>
      <c r="I282" s="201">
        <f t="shared" si="25"/>
        <v>0.18170000000000019</v>
      </c>
      <c r="J282" s="201">
        <f t="shared" si="26"/>
        <v>2.0599999999999813E-2</v>
      </c>
      <c r="K282" s="280">
        <f t="shared" si="27"/>
        <v>10.182896688086906</v>
      </c>
      <c r="L282" s="201">
        <v>15</v>
      </c>
      <c r="M282" s="205">
        <v>43206</v>
      </c>
      <c r="N282" s="205">
        <v>43206</v>
      </c>
      <c r="O282" s="201"/>
      <c r="P282" s="201"/>
      <c r="Q282" s="181" t="s">
        <v>2596</v>
      </c>
      <c r="AB282" s="110" t="str">
        <f>IFERROR(INDEX('WetLitterbags placem_collection'!$A$3:$A$500,MATCH(A282,'WetLitterbags placem_collection'!$K$4:$K$500,0)),"")</f>
        <v/>
      </c>
      <c r="AC282" s="110">
        <f>IFERROR(INDEX('WetLitterbags placem_collection'!$A$3:$A$500,MATCH($A282,'WetLitterbags placem_collection'!$O$4:$O$500,0)),"")</f>
        <v>34</v>
      </c>
      <c r="AD282" s="110" t="str">
        <f>IFERROR(INDEX('WetLitterbags placem_collection'!$A$3:$A$500,MATCH($A282,'WetLitterbags placem_collection'!$M$4:$M$500,0)),"")</f>
        <v/>
      </c>
      <c r="AE282" s="110" t="str">
        <f>IFERROR(INDEX('WetLitterbags placem_collection'!$A$3:$A$500,MATCH($A282,'WetLitterbags placem_collection'!$Q$4:$Q$500,0)),"")</f>
        <v/>
      </c>
    </row>
    <row r="283" spans="1:31">
      <c r="A283" s="197" t="s">
        <v>1317</v>
      </c>
      <c r="C283" s="198">
        <v>149</v>
      </c>
      <c r="D283" s="201">
        <v>0.56620000000000004</v>
      </c>
      <c r="E283" s="202">
        <v>9.1377000000000006</v>
      </c>
      <c r="F283" s="202">
        <v>0.2019</v>
      </c>
      <c r="G283" s="201">
        <f t="shared" si="24"/>
        <v>9.3396000000000008</v>
      </c>
      <c r="H283" s="201">
        <v>9.1988000000000003</v>
      </c>
      <c r="I283" s="201">
        <f t="shared" si="25"/>
        <v>0.14080000000000048</v>
      </c>
      <c r="J283" s="201">
        <f t="shared" si="26"/>
        <v>6.1099999999999516E-2</v>
      </c>
      <c r="K283" s="280">
        <f t="shared" si="27"/>
        <v>30.262506191183512</v>
      </c>
      <c r="L283" s="201">
        <v>21</v>
      </c>
      <c r="M283" s="204">
        <v>43213</v>
      </c>
      <c r="N283" s="204">
        <v>43213</v>
      </c>
      <c r="AB283" s="110">
        <f>IFERROR(INDEX('WetLitterbags placem_collection'!$A$3:$A$500,MATCH(A283,'WetLitterbags placem_collection'!$K$4:$K$500,0)),"")</f>
        <v>148</v>
      </c>
      <c r="AC283" s="110" t="str">
        <f>IFERROR(INDEX('WetLitterbags placem_collection'!$A$3:$A$500,MATCH($A283,'WetLitterbags placem_collection'!$O$4:$O$500,0)),"")</f>
        <v/>
      </c>
      <c r="AD283" s="110" t="str">
        <f>IFERROR(INDEX('WetLitterbags placem_collection'!$A$3:$A$500,MATCH($A283,'WetLitterbags placem_collection'!$M$4:$M$500,0)),"")</f>
        <v/>
      </c>
      <c r="AE283" s="110" t="str">
        <f>IFERROR(INDEX('WetLitterbags placem_collection'!$A$3:$A$500,MATCH($A283,'WetLitterbags placem_collection'!$Q$4:$Q$500,0)),"")</f>
        <v/>
      </c>
    </row>
    <row r="284" spans="1:31">
      <c r="A284" s="206" t="s">
        <v>1314</v>
      </c>
      <c r="C284" s="201">
        <v>174</v>
      </c>
      <c r="D284" s="201">
        <v>0.42899999999999999</v>
      </c>
      <c r="E284" s="202">
        <v>7.0749000000000004</v>
      </c>
      <c r="F284" s="202">
        <v>0.2029</v>
      </c>
      <c r="G284" s="201">
        <f t="shared" si="24"/>
        <v>7.2778</v>
      </c>
      <c r="H284" s="201">
        <v>7.0926999999999998</v>
      </c>
      <c r="I284" s="201">
        <f t="shared" si="25"/>
        <v>0.18510000000000026</v>
      </c>
      <c r="J284" s="201">
        <f t="shared" si="26"/>
        <v>1.7799999999999733E-2</v>
      </c>
      <c r="K284" s="280">
        <f t="shared" si="27"/>
        <v>8.7727944800392965</v>
      </c>
      <c r="L284" s="201">
        <v>9</v>
      </c>
      <c r="M284" s="207">
        <v>43186.458333333336</v>
      </c>
      <c r="N284" s="207">
        <v>43186.625</v>
      </c>
      <c r="O284" s="197" t="s">
        <v>2550</v>
      </c>
      <c r="P284" s="201"/>
      <c r="AB284" s="110" t="str">
        <f>IFERROR(INDEX('WetLitterbags placem_collection'!$A$3:$A$500,MATCH(A284,'WetLitterbags placem_collection'!$K$4:$K$500,0)),"")</f>
        <v/>
      </c>
      <c r="AC284" s="110">
        <f>IFERROR(INDEX('WetLitterbags placem_collection'!$A$3:$A$500,MATCH($A284,'WetLitterbags placem_collection'!$O$4:$O$500,0)),"")</f>
        <v>173</v>
      </c>
      <c r="AD284" s="110" t="str">
        <f>IFERROR(INDEX('WetLitterbags placem_collection'!$A$3:$A$500,MATCH($A284,'WetLitterbags placem_collection'!$M$4:$M$500,0)),"")</f>
        <v/>
      </c>
      <c r="AE284" s="110" t="str">
        <f>IFERROR(INDEX('WetLitterbags placem_collection'!$A$3:$A$500,MATCH($A284,'WetLitterbags placem_collection'!$Q$4:$Q$500,0)),"")</f>
        <v/>
      </c>
    </row>
    <row r="285" spans="1:31">
      <c r="A285" s="197" t="s">
        <v>1313</v>
      </c>
      <c r="C285" s="198">
        <v>2</v>
      </c>
      <c r="D285" s="197">
        <v>0.38719999999999999</v>
      </c>
      <c r="E285" s="202">
        <v>11.258100000000001</v>
      </c>
      <c r="F285" s="202">
        <v>0.20039999999999999</v>
      </c>
      <c r="G285" s="201">
        <f t="shared" si="24"/>
        <v>11.458500000000001</v>
      </c>
      <c r="H285" s="201">
        <v>11.2744</v>
      </c>
      <c r="I285" s="201">
        <f t="shared" si="25"/>
        <v>0.18410000000000082</v>
      </c>
      <c r="J285" s="201">
        <f t="shared" si="26"/>
        <v>1.6299999999999176E-2</v>
      </c>
      <c r="K285" s="280">
        <f t="shared" si="27"/>
        <v>8.1337325349297291</v>
      </c>
      <c r="L285" s="201">
        <v>17</v>
      </c>
      <c r="M285" s="204">
        <v>43221</v>
      </c>
      <c r="N285" s="204">
        <v>43221</v>
      </c>
      <c r="T285" s="204"/>
      <c r="U285" s="204"/>
      <c r="AB285" s="110" t="str">
        <f>IFERROR(INDEX('WetLitterbags placem_collection'!$A$3:$A$500,MATCH(A285,'WetLitterbags placem_collection'!$K$4:$K$500,0)),"")</f>
        <v/>
      </c>
      <c r="AC285" s="110">
        <f>IFERROR(INDEX('WetLitterbags placem_collection'!$A$3:$A$500,MATCH($A285,'WetLitterbags placem_collection'!$O$4:$O$500,0)),"")</f>
        <v>1</v>
      </c>
      <c r="AD285" s="110" t="str">
        <f>IFERROR(INDEX('WetLitterbags placem_collection'!$A$3:$A$500,MATCH($A285,'WetLitterbags placem_collection'!$M$4:$M$500,0)),"")</f>
        <v/>
      </c>
      <c r="AE285" s="110" t="str">
        <f>IFERROR(INDEX('WetLitterbags placem_collection'!$A$3:$A$500,MATCH($A285,'WetLitterbags placem_collection'!$Q$4:$Q$500,0)),"")</f>
        <v/>
      </c>
    </row>
    <row r="286" spans="1:31">
      <c r="A286" s="206" t="s">
        <v>1312</v>
      </c>
      <c r="C286" s="201">
        <v>106</v>
      </c>
      <c r="D286" s="202">
        <v>0.40279999999999999</v>
      </c>
      <c r="E286" s="202">
        <v>9.7216000000000005</v>
      </c>
      <c r="F286" s="202">
        <v>0.20039999999999999</v>
      </c>
      <c r="G286" s="201">
        <f t="shared" si="24"/>
        <v>9.9220000000000006</v>
      </c>
      <c r="H286" s="201">
        <v>9.7525999999999993</v>
      </c>
      <c r="I286" s="201">
        <f t="shared" si="25"/>
        <v>0.16940000000000133</v>
      </c>
      <c r="J286" s="201">
        <f t="shared" si="26"/>
        <v>3.0999999999998668E-2</v>
      </c>
      <c r="K286" s="280">
        <f t="shared" si="27"/>
        <v>15.46906187624684</v>
      </c>
      <c r="L286" s="201">
        <v>39</v>
      </c>
      <c r="M286" s="203">
        <v>43181.645833333336</v>
      </c>
      <c r="N286" s="203">
        <v>43181.833333333336</v>
      </c>
      <c r="O286" s="201" t="s">
        <v>2556</v>
      </c>
      <c r="P286" s="201"/>
      <c r="AB286" s="110" t="str">
        <f>IFERROR(INDEX('WetLitterbags placem_collection'!$A$3:$A$500,MATCH(A286,'WetLitterbags placem_collection'!$K$4:$K$500,0)),"")</f>
        <v/>
      </c>
      <c r="AC286" s="110">
        <f>IFERROR(INDEX('WetLitterbags placem_collection'!$A$3:$A$500,MATCH($A286,'WetLitterbags placem_collection'!$O$4:$O$500,0)),"")</f>
        <v>105</v>
      </c>
      <c r="AD286" s="110" t="str">
        <f>IFERROR(INDEX('WetLitterbags placem_collection'!$A$3:$A$500,MATCH($A286,'WetLitterbags placem_collection'!$M$4:$M$500,0)),"")</f>
        <v/>
      </c>
      <c r="AE286" s="110" t="str">
        <f>IFERROR(INDEX('WetLitterbags placem_collection'!$A$3:$A$500,MATCH($A286,'WetLitterbags placem_collection'!$Q$4:$Q$500,0)),"")</f>
        <v/>
      </c>
    </row>
    <row r="287" spans="1:31">
      <c r="A287" s="197" t="s">
        <v>1311</v>
      </c>
      <c r="C287" s="198">
        <v>49</v>
      </c>
      <c r="D287" s="201">
        <v>0.65700000000000003</v>
      </c>
      <c r="E287" s="202">
        <v>7.4809999999999999</v>
      </c>
      <c r="F287" s="202">
        <v>0.20380000000000001</v>
      </c>
      <c r="G287" s="201">
        <f t="shared" si="24"/>
        <v>7.6848000000000001</v>
      </c>
      <c r="H287" s="201">
        <v>7.5145999999999997</v>
      </c>
      <c r="I287" s="201">
        <f t="shared" si="25"/>
        <v>0.17020000000000035</v>
      </c>
      <c r="J287" s="201">
        <f t="shared" si="26"/>
        <v>3.3599999999999658E-2</v>
      </c>
      <c r="K287" s="280">
        <f t="shared" si="27"/>
        <v>16.486751717369803</v>
      </c>
      <c r="L287" s="201">
        <v>28</v>
      </c>
      <c r="M287" s="204">
        <v>43213</v>
      </c>
      <c r="N287" s="204">
        <v>43213</v>
      </c>
      <c r="R287" s="197">
        <v>5</v>
      </c>
      <c r="S287" s="197">
        <v>0.61660000000000004</v>
      </c>
      <c r="U287" s="202" t="s">
        <v>1578</v>
      </c>
      <c r="V287" s="197">
        <v>0.94479999999999997</v>
      </c>
      <c r="W287" s="197">
        <f>(V287-$T$175+F285)</f>
        <v>1.1452</v>
      </c>
      <c r="AB287" s="110" t="str">
        <f>IFERROR(INDEX('WetLitterbags placem_collection'!$A$3:$A$500,MATCH(A287,'WetLitterbags placem_collection'!$K$4:$K$500,0)),"")</f>
        <v/>
      </c>
      <c r="AC287" s="110">
        <f>IFERROR(INDEX('WetLitterbags placem_collection'!$A$3:$A$500,MATCH($A287,'WetLitterbags placem_collection'!$O$4:$O$500,0)),"")</f>
        <v>48</v>
      </c>
      <c r="AD287" s="110" t="str">
        <f>IFERROR(INDEX('WetLitterbags placem_collection'!$A$3:$A$500,MATCH($A287,'WetLitterbags placem_collection'!$M$4:$M$500,0)),"")</f>
        <v/>
      </c>
      <c r="AE287" s="110" t="str">
        <f>IFERROR(INDEX('WetLitterbags placem_collection'!$A$3:$A$500,MATCH($A287,'WetLitterbags placem_collection'!$Q$4:$Q$500,0)),"")</f>
        <v/>
      </c>
    </row>
    <row r="288" spans="1:31">
      <c r="A288" s="201" t="s">
        <v>1310</v>
      </c>
      <c r="C288" s="201">
        <v>125</v>
      </c>
      <c r="D288" s="201">
        <v>0.40610000000000002</v>
      </c>
      <c r="E288" s="202">
        <v>7.9610000000000003</v>
      </c>
      <c r="F288" s="202">
        <v>0.2039</v>
      </c>
      <c r="G288" s="201">
        <f t="shared" si="24"/>
        <v>8.1649000000000012</v>
      </c>
      <c r="H288" s="201">
        <v>7.99</v>
      </c>
      <c r="I288" s="201">
        <f t="shared" si="25"/>
        <v>0.17490000000000094</v>
      </c>
      <c r="J288" s="201">
        <f t="shared" si="26"/>
        <v>2.8999999999999054E-2</v>
      </c>
      <c r="K288" s="280">
        <f t="shared" si="27"/>
        <v>14.222658165767069</v>
      </c>
      <c r="L288" s="201">
        <v>15</v>
      </c>
      <c r="M288" s="205">
        <v>43197</v>
      </c>
      <c r="N288" s="205">
        <v>43197</v>
      </c>
      <c r="O288" s="201"/>
      <c r="P288" s="201"/>
      <c r="AB288" s="110" t="str">
        <f>IFERROR(INDEX('WetLitterbags placem_collection'!$A$3:$A$500,MATCH(A288,'WetLitterbags placem_collection'!$K$4:$K$500,0)),"")</f>
        <v/>
      </c>
      <c r="AC288" s="110">
        <f>IFERROR(INDEX('WetLitterbags placem_collection'!$A$3:$A$500,MATCH($A288,'WetLitterbags placem_collection'!$O$4:$O$500,0)),"")</f>
        <v>124</v>
      </c>
      <c r="AD288" s="110" t="str">
        <f>IFERROR(INDEX('WetLitterbags placem_collection'!$A$3:$A$500,MATCH($A288,'WetLitterbags placem_collection'!$M$4:$M$500,0)),"")</f>
        <v/>
      </c>
      <c r="AE288" s="110" t="str">
        <f>IFERROR(INDEX('WetLitterbags placem_collection'!$A$3:$A$500,MATCH($A288,'WetLitterbags placem_collection'!$Q$4:$Q$500,0)),"")</f>
        <v/>
      </c>
    </row>
    <row r="289" spans="1:31">
      <c r="A289" s="197" t="s">
        <v>1309</v>
      </c>
      <c r="C289" s="198">
        <v>97</v>
      </c>
      <c r="D289" s="197">
        <v>0.42520000000000002</v>
      </c>
      <c r="E289" s="201">
        <v>10.4161</v>
      </c>
      <c r="F289" s="202">
        <v>0.20080000000000001</v>
      </c>
      <c r="G289" s="201">
        <f t="shared" si="24"/>
        <v>10.616899999999999</v>
      </c>
      <c r="H289" s="201">
        <v>10.4573</v>
      </c>
      <c r="I289" s="201">
        <f t="shared" si="25"/>
        <v>0.1595999999999993</v>
      </c>
      <c r="J289" s="201">
        <f t="shared" si="26"/>
        <v>4.1200000000000708E-2</v>
      </c>
      <c r="K289" s="280">
        <f t="shared" si="27"/>
        <v>20.517928286852939</v>
      </c>
      <c r="L289" s="201">
        <v>4</v>
      </c>
      <c r="M289" s="204">
        <v>43213</v>
      </c>
      <c r="N289" s="204">
        <v>43213</v>
      </c>
      <c r="AB289" s="110">
        <f>IFERROR(INDEX('WetLitterbags placem_collection'!$A$3:$A$500,MATCH(A289,'WetLitterbags placem_collection'!$K$4:$K$500,0)),"")</f>
        <v>96</v>
      </c>
      <c r="AC289" s="110" t="str">
        <f>IFERROR(INDEX('WetLitterbags placem_collection'!$A$3:$A$500,MATCH($A289,'WetLitterbags placem_collection'!$O$4:$O$500,0)),"")</f>
        <v/>
      </c>
      <c r="AD289" s="110" t="str">
        <f>IFERROR(INDEX('WetLitterbags placem_collection'!$A$3:$A$500,MATCH($A289,'WetLitterbags placem_collection'!$M$4:$M$500,0)),"")</f>
        <v/>
      </c>
      <c r="AE289" s="110" t="str">
        <f>IFERROR(INDEX('WetLitterbags placem_collection'!$A$3:$A$500,MATCH($A289,'WetLitterbags placem_collection'!$Q$4:$Q$500,0)),"")</f>
        <v/>
      </c>
    </row>
    <row r="290" spans="1:31">
      <c r="A290" s="197" t="s">
        <v>1308</v>
      </c>
      <c r="C290" s="198">
        <v>110</v>
      </c>
      <c r="D290" s="197">
        <v>0.42480000000000001</v>
      </c>
      <c r="E290" s="202">
        <v>10.5655</v>
      </c>
      <c r="F290" s="202">
        <v>0.20069999999999999</v>
      </c>
      <c r="G290" s="201">
        <f t="shared" si="24"/>
        <v>10.7662</v>
      </c>
      <c r="H290" s="201">
        <v>10.5921</v>
      </c>
      <c r="I290" s="201">
        <f t="shared" si="25"/>
        <v>0.17409999999999926</v>
      </c>
      <c r="J290" s="201">
        <f t="shared" si="26"/>
        <v>2.6600000000000734E-2</v>
      </c>
      <c r="K290" s="280">
        <f t="shared" si="27"/>
        <v>13.253612356751738</v>
      </c>
      <c r="L290" s="201">
        <v>30</v>
      </c>
      <c r="M290" s="204">
        <v>43213</v>
      </c>
      <c r="N290" s="204">
        <v>43213</v>
      </c>
      <c r="AB290" s="110">
        <f>IFERROR(INDEX('WetLitterbags placem_collection'!$A$3:$A$500,MATCH(A290,'WetLitterbags placem_collection'!$K$4:$K$500,0)),"")</f>
        <v>109</v>
      </c>
      <c r="AC290" s="110" t="str">
        <f>IFERROR(INDEX('WetLitterbags placem_collection'!$A$3:$A$500,MATCH($A290,'WetLitterbags placem_collection'!$O$4:$O$500,0)),"")</f>
        <v/>
      </c>
      <c r="AD290" s="110" t="str">
        <f>IFERROR(INDEX('WetLitterbags placem_collection'!$A$3:$A$500,MATCH($A290,'WetLitterbags placem_collection'!$M$4:$M$500,0)),"")</f>
        <v/>
      </c>
      <c r="AE290" s="110" t="str">
        <f>IFERROR(INDEX('WetLitterbags placem_collection'!$A$3:$A$500,MATCH($A290,'WetLitterbags placem_collection'!$Q$4:$Q$500,0)),"")</f>
        <v/>
      </c>
    </row>
    <row r="291" spans="1:31">
      <c r="A291" s="201" t="s">
        <v>1307</v>
      </c>
      <c r="C291" s="201">
        <v>163</v>
      </c>
      <c r="D291" s="201">
        <v>0.49299999999999999</v>
      </c>
      <c r="E291" s="202">
        <v>11.120900000000001</v>
      </c>
      <c r="F291" s="202">
        <v>0.20039999999999999</v>
      </c>
      <c r="G291" s="201">
        <f t="shared" si="24"/>
        <v>11.321300000000001</v>
      </c>
      <c r="H291" s="201">
        <v>11.1366</v>
      </c>
      <c r="I291" s="201">
        <f t="shared" si="25"/>
        <v>0.1847000000000012</v>
      </c>
      <c r="J291" s="201">
        <f t="shared" si="26"/>
        <v>1.5699999999998798E-2</v>
      </c>
      <c r="K291" s="280">
        <f t="shared" si="27"/>
        <v>7.8343313373247501</v>
      </c>
      <c r="L291" s="201">
        <v>30</v>
      </c>
      <c r="M291" s="207">
        <v>43186.458333333336</v>
      </c>
      <c r="N291" s="207">
        <v>43186.625</v>
      </c>
      <c r="O291" s="197" t="s">
        <v>2550</v>
      </c>
      <c r="P291" s="201"/>
      <c r="AB291" s="110" t="str">
        <f>IFERROR(INDEX('WetLitterbags placem_collection'!$A$3:$A$500,MATCH(A291,'WetLitterbags placem_collection'!$K$4:$K$500,0)),"")</f>
        <v/>
      </c>
      <c r="AC291" s="110">
        <f>IFERROR(INDEX('WetLitterbags placem_collection'!$A$3:$A$500,MATCH($A291,'WetLitterbags placem_collection'!$O$4:$O$500,0)),"")</f>
        <v>162</v>
      </c>
      <c r="AD291" s="110" t="str">
        <f>IFERROR(INDEX('WetLitterbags placem_collection'!$A$3:$A$500,MATCH($A291,'WetLitterbags placem_collection'!$M$4:$M$500,0)),"")</f>
        <v/>
      </c>
      <c r="AE291" s="110" t="str">
        <f>IFERROR(INDEX('WetLitterbags placem_collection'!$A$3:$A$500,MATCH($A291,'WetLitterbags placem_collection'!$Q$4:$Q$500,0)),"")</f>
        <v/>
      </c>
    </row>
    <row r="292" spans="1:31">
      <c r="A292" s="197" t="s">
        <v>1306</v>
      </c>
      <c r="C292" s="198">
        <v>152</v>
      </c>
      <c r="D292" s="197">
        <v>0.44969999999999999</v>
      </c>
      <c r="E292" s="201">
        <v>8.7333999999999996</v>
      </c>
      <c r="F292" s="202">
        <v>0.20399999999999999</v>
      </c>
      <c r="G292" s="201">
        <f t="shared" si="24"/>
        <v>8.9374000000000002</v>
      </c>
      <c r="H292" s="201">
        <v>8.7609999999999992</v>
      </c>
      <c r="I292" s="201">
        <f t="shared" si="25"/>
        <v>0.176400000000001</v>
      </c>
      <c r="J292" s="201">
        <f t="shared" si="26"/>
        <v>2.7599999999998986E-2</v>
      </c>
      <c r="K292" s="280">
        <f t="shared" si="27"/>
        <v>13.529411764705387</v>
      </c>
      <c r="L292" s="201">
        <v>26</v>
      </c>
      <c r="M292" s="204">
        <v>43212</v>
      </c>
      <c r="AB292" s="110" t="str">
        <f>IFERROR(INDEX('WetLitterbags placem_collection'!$A$3:$A$500,MATCH(A292,'WetLitterbags placem_collection'!$K$4:$K$500,0)),"")</f>
        <v/>
      </c>
      <c r="AC292" s="110">
        <f>IFERROR(INDEX('WetLitterbags placem_collection'!$A$3:$A$500,MATCH($A292,'WetLitterbags placem_collection'!$O$4:$O$500,0)),"")</f>
        <v>151</v>
      </c>
      <c r="AD292" s="110" t="str">
        <f>IFERROR(INDEX('WetLitterbags placem_collection'!$A$3:$A$500,MATCH($A292,'WetLitterbags placem_collection'!$M$4:$M$500,0)),"")</f>
        <v/>
      </c>
      <c r="AE292" s="110" t="str">
        <f>IFERROR(INDEX('WetLitterbags placem_collection'!$A$3:$A$500,MATCH($A292,'WetLitterbags placem_collection'!$Q$4:$Q$500,0)),"")</f>
        <v/>
      </c>
    </row>
    <row r="293" spans="1:31">
      <c r="A293" s="201" t="s">
        <v>1305</v>
      </c>
      <c r="C293" s="201">
        <v>135</v>
      </c>
      <c r="D293" s="201">
        <f>0.2029+F293</f>
        <v>0.4073</v>
      </c>
      <c r="E293" s="202">
        <v>8.1356999999999999</v>
      </c>
      <c r="F293" s="202">
        <v>0.2044</v>
      </c>
      <c r="G293" s="201">
        <f t="shared" si="24"/>
        <v>8.3400999999999996</v>
      </c>
      <c r="H293" s="201">
        <v>8.1649999999999991</v>
      </c>
      <c r="I293" s="201">
        <f t="shared" si="25"/>
        <v>0.17510000000000048</v>
      </c>
      <c r="J293" s="201">
        <f t="shared" si="26"/>
        <v>2.9299999999999521E-2</v>
      </c>
      <c r="K293" s="280">
        <f t="shared" si="27"/>
        <v>14.334637964774716</v>
      </c>
      <c r="L293" s="201">
        <v>26</v>
      </c>
      <c r="M293" s="205">
        <v>43174</v>
      </c>
      <c r="N293" s="205">
        <v>43174</v>
      </c>
      <c r="O293" s="201" t="s">
        <v>2556</v>
      </c>
      <c r="P293" s="201" t="s">
        <v>2551</v>
      </c>
      <c r="AB293" s="110">
        <f>IFERROR(INDEX('WetLitterbags placem_collection'!$A$3:$A$500,MATCH(A293,'WetLitterbags placem_collection'!$K$4:$K$500,0)),"")</f>
        <v>134</v>
      </c>
      <c r="AC293" s="110" t="str">
        <f>IFERROR(INDEX('WetLitterbags placem_collection'!$A$3:$A$500,MATCH($A293,'WetLitterbags placem_collection'!$O$4:$O$500,0)),"")</f>
        <v/>
      </c>
      <c r="AD293" s="110" t="str">
        <f>IFERROR(INDEX('WetLitterbags placem_collection'!$A$3:$A$500,MATCH($A293,'WetLitterbags placem_collection'!$M$4:$M$500,0)),"")</f>
        <v/>
      </c>
      <c r="AE293" s="110" t="str">
        <f>IFERROR(INDEX('WetLitterbags placem_collection'!$A$3:$A$500,MATCH($A293,'WetLitterbags placem_collection'!$Q$4:$Q$500,0)),"")</f>
        <v/>
      </c>
    </row>
    <row r="294" spans="1:31">
      <c r="A294" s="197" t="s">
        <v>1304</v>
      </c>
      <c r="C294" s="197">
        <v>131</v>
      </c>
      <c r="D294" s="197">
        <v>0.43230000000000002</v>
      </c>
      <c r="E294" s="197">
        <v>7.5270000000000001</v>
      </c>
      <c r="F294" s="197">
        <v>0.20150000000000001</v>
      </c>
      <c r="G294" s="197">
        <f t="shared" si="24"/>
        <v>7.7285000000000004</v>
      </c>
      <c r="H294" s="197">
        <v>7.5606999999999998</v>
      </c>
      <c r="I294" s="197">
        <f t="shared" si="25"/>
        <v>0.16780000000000062</v>
      </c>
      <c r="J294" s="201">
        <f t="shared" si="26"/>
        <v>3.3699999999999397E-2</v>
      </c>
      <c r="K294" s="280">
        <f t="shared" si="27"/>
        <v>16.72456575682352</v>
      </c>
      <c r="L294" s="197">
        <v>12</v>
      </c>
      <c r="M294" s="197">
        <v>43157.395833333336</v>
      </c>
      <c r="N294" s="197">
        <v>43157.569444444445</v>
      </c>
      <c r="O294" s="197" t="s">
        <v>2550</v>
      </c>
      <c r="AB294" s="110">
        <f>IFERROR(INDEX('WetLitterbags placem_collection'!$A$3:$A$500,MATCH(A294,'WetLitterbags placem_collection'!$K$4:$K$500,0)),"")</f>
        <v>130</v>
      </c>
      <c r="AC294" s="110" t="str">
        <f>IFERROR(INDEX('WetLitterbags placem_collection'!$A$3:$A$500,MATCH($A294,'WetLitterbags placem_collection'!$O$4:$O$500,0)),"")</f>
        <v/>
      </c>
      <c r="AD294" s="110" t="str">
        <f>IFERROR(INDEX('WetLitterbags placem_collection'!$A$3:$A$500,MATCH($A294,'WetLitterbags placem_collection'!$M$4:$M$500,0)),"")</f>
        <v/>
      </c>
      <c r="AE294" s="110" t="str">
        <f>IFERROR(INDEX('WetLitterbags placem_collection'!$A$3:$A$500,MATCH($A294,'WetLitterbags placem_collection'!$Q$4:$Q$500,0)),"")</f>
        <v/>
      </c>
    </row>
    <row r="295" spans="1:31">
      <c r="A295" s="197" t="s">
        <v>1303</v>
      </c>
      <c r="C295" s="197">
        <v>136</v>
      </c>
      <c r="D295" s="197">
        <v>0.40770000000000001</v>
      </c>
      <c r="E295" s="197">
        <v>9.1958000000000002</v>
      </c>
      <c r="F295" s="197">
        <v>0.2059</v>
      </c>
      <c r="G295" s="197">
        <f t="shared" si="24"/>
        <v>9.4016999999999999</v>
      </c>
      <c r="H295" s="197">
        <v>9.2218999999999998</v>
      </c>
      <c r="I295" s="197">
        <f t="shared" si="25"/>
        <v>0.17980000000000018</v>
      </c>
      <c r="J295" s="201">
        <f t="shared" si="26"/>
        <v>2.6099999999999818E-2</v>
      </c>
      <c r="K295" s="280">
        <f t="shared" si="27"/>
        <v>12.676056338028079</v>
      </c>
      <c r="L295" s="197">
        <v>6</v>
      </c>
      <c r="M295" s="197">
        <v>43157.527777777781</v>
      </c>
      <c r="N295" s="197">
        <v>43157.694444444445</v>
      </c>
      <c r="O295" s="197" t="s">
        <v>2556</v>
      </c>
      <c r="AB295" s="110" t="str">
        <f>IFERROR(INDEX('WetLitterbags placem_collection'!$A$3:$A$500,MATCH(A295,'WetLitterbags placem_collection'!$K$4:$K$500,0)),"")</f>
        <v/>
      </c>
      <c r="AC295" s="110">
        <f>IFERROR(INDEX('WetLitterbags placem_collection'!$A$3:$A$500,MATCH($A295,'WetLitterbags placem_collection'!$O$4:$O$500,0)),"")</f>
        <v>135</v>
      </c>
      <c r="AD295" s="110" t="str">
        <f>IFERROR(INDEX('WetLitterbags placem_collection'!$A$3:$A$500,MATCH($A295,'WetLitterbags placem_collection'!$M$4:$M$500,0)),"")</f>
        <v/>
      </c>
      <c r="AE295" s="110" t="str">
        <f>IFERROR(INDEX('WetLitterbags placem_collection'!$A$3:$A$500,MATCH($A295,'WetLitterbags placem_collection'!$Q$4:$Q$500,0)),"")</f>
        <v/>
      </c>
    </row>
    <row r="296" spans="1:31">
      <c r="A296" s="197" t="s">
        <v>1301</v>
      </c>
      <c r="C296" s="197">
        <v>126</v>
      </c>
      <c r="D296" s="197">
        <v>0.46610000000000001</v>
      </c>
      <c r="E296" s="197">
        <v>8.8634000000000004</v>
      </c>
      <c r="F296" s="197">
        <v>0.2009</v>
      </c>
      <c r="G296" s="197">
        <f t="shared" si="24"/>
        <v>9.0643000000000011</v>
      </c>
      <c r="H296" s="197">
        <v>8.8925000000000001</v>
      </c>
      <c r="I296" s="197">
        <f t="shared" si="25"/>
        <v>0.17180000000000106</v>
      </c>
      <c r="J296" s="201">
        <f t="shared" si="26"/>
        <v>2.9099999999998932E-2</v>
      </c>
      <c r="K296" s="280">
        <f t="shared" si="27"/>
        <v>14.484818317570399</v>
      </c>
      <c r="L296" s="197">
        <v>3</v>
      </c>
      <c r="M296" s="197">
        <v>43157.527777777781</v>
      </c>
      <c r="N296" s="197">
        <v>43157.694444444445</v>
      </c>
      <c r="O296" s="197" t="s">
        <v>2556</v>
      </c>
      <c r="AB296" s="110">
        <f>IFERROR(INDEX('WetLitterbags placem_collection'!$A$3:$A$500,MATCH(A296,'WetLitterbags placem_collection'!$K$4:$K$500,0)),"")</f>
        <v>125</v>
      </c>
      <c r="AC296" s="110" t="str">
        <f>IFERROR(INDEX('WetLitterbags placem_collection'!$A$3:$A$500,MATCH($A296,'WetLitterbags placem_collection'!$O$4:$O$500,0)),"")</f>
        <v/>
      </c>
      <c r="AD296" s="110" t="str">
        <f>IFERROR(INDEX('WetLitterbags placem_collection'!$A$3:$A$500,MATCH($A296,'WetLitterbags placem_collection'!$M$4:$M$500,0)),"")</f>
        <v/>
      </c>
      <c r="AE296" s="110" t="str">
        <f>IFERROR(INDEX('WetLitterbags placem_collection'!$A$3:$A$500,MATCH($A296,'WetLitterbags placem_collection'!$Q$4:$Q$500,0)),"")</f>
        <v/>
      </c>
    </row>
    <row r="297" spans="1:31">
      <c r="A297" s="197" t="s">
        <v>1298</v>
      </c>
      <c r="C297" s="198">
        <v>1</v>
      </c>
      <c r="D297" s="197">
        <v>0.29089999999999999</v>
      </c>
      <c r="E297" s="202">
        <v>8.1681000000000008</v>
      </c>
      <c r="F297" s="202">
        <v>0.20300000000000001</v>
      </c>
      <c r="G297" s="201">
        <f t="shared" si="24"/>
        <v>8.3711000000000002</v>
      </c>
      <c r="H297" s="201">
        <v>8.1989999999999998</v>
      </c>
      <c r="I297" s="201">
        <f t="shared" si="25"/>
        <v>0.17210000000000036</v>
      </c>
      <c r="J297" s="201">
        <f t="shared" si="26"/>
        <v>3.089999999999965E-2</v>
      </c>
      <c r="K297" s="280">
        <f t="shared" si="27"/>
        <v>15.221674876847116</v>
      </c>
      <c r="L297" s="201">
        <v>16</v>
      </c>
      <c r="T297" s="204"/>
      <c r="U297" s="204"/>
      <c r="AB297" s="110" t="str">
        <f>IFERROR(INDEX('WetLitterbags placem_collection'!$A$3:$A$500,MATCH(A297,'WetLitterbags placem_collection'!$K$4:$K$500,0)),"")</f>
        <v/>
      </c>
      <c r="AC297" s="110" t="str">
        <f>IFERROR(INDEX('WetLitterbags placem_collection'!$A$3:$A$500,MATCH($A297,'WetLitterbags placem_collection'!$O$4:$O$500,0)),"")</f>
        <v/>
      </c>
      <c r="AD297" s="110" t="str">
        <f>IFERROR(INDEX('WetLitterbags placem_collection'!$A$3:$A$500,MATCH($A297,'WetLitterbags placem_collection'!$M$4:$M$500,0)),"")</f>
        <v/>
      </c>
      <c r="AE297" s="110" t="str">
        <f>IFERROR(INDEX('WetLitterbags placem_collection'!$A$3:$A$500,MATCH($A297,'WetLitterbags placem_collection'!$Q$4:$Q$500,0)),"")</f>
        <v/>
      </c>
    </row>
    <row r="298" spans="1:31">
      <c r="A298" s="197" t="s">
        <v>1297</v>
      </c>
      <c r="C298" s="198">
        <v>203</v>
      </c>
      <c r="D298" s="197">
        <v>0.57879999999999998</v>
      </c>
      <c r="E298" s="201">
        <v>10.1075</v>
      </c>
      <c r="F298" s="202">
        <v>0.1993</v>
      </c>
      <c r="G298" s="201">
        <f t="shared" si="24"/>
        <v>10.306799999999999</v>
      </c>
      <c r="H298" s="201">
        <v>10.126300000000001</v>
      </c>
      <c r="I298" s="201">
        <f t="shared" si="25"/>
        <v>0.18049999999999855</v>
      </c>
      <c r="J298" s="201">
        <f t="shared" si="26"/>
        <v>1.8800000000001454E-2</v>
      </c>
      <c r="K298" s="280">
        <f t="shared" si="27"/>
        <v>9.4330155544412708</v>
      </c>
      <c r="L298" s="201">
        <v>12</v>
      </c>
      <c r="M298" s="204">
        <v>43212</v>
      </c>
      <c r="AB298" s="110" t="str">
        <f>IFERROR(INDEX('WetLitterbags placem_collection'!$A$3:$A$500,MATCH(A298,'WetLitterbags placem_collection'!$K$4:$K$500,0)),"")</f>
        <v/>
      </c>
      <c r="AC298" s="110">
        <f>IFERROR(INDEX('WetLitterbags placem_collection'!$A$3:$A$500,MATCH($A298,'WetLitterbags placem_collection'!$O$4:$O$500,0)),"")</f>
        <v>202</v>
      </c>
      <c r="AD298" s="110" t="str">
        <f>IFERROR(INDEX('WetLitterbags placem_collection'!$A$3:$A$500,MATCH($A298,'WetLitterbags placem_collection'!$M$4:$M$500,0)),"")</f>
        <v/>
      </c>
      <c r="AE298" s="110" t="str">
        <f>IFERROR(INDEX('WetLitterbags placem_collection'!$A$3:$A$500,MATCH($A298,'WetLitterbags placem_collection'!$Q$4:$Q$500,0)),"")</f>
        <v/>
      </c>
    </row>
    <row r="299" spans="1:31">
      <c r="A299" s="197" t="s">
        <v>1296</v>
      </c>
      <c r="C299" s="198">
        <v>196</v>
      </c>
      <c r="D299" s="197">
        <v>0.48659999999999998</v>
      </c>
      <c r="E299" s="201">
        <v>11.106199999999999</v>
      </c>
      <c r="F299" s="202">
        <v>0.20669999999999999</v>
      </c>
      <c r="G299" s="201">
        <f t="shared" si="24"/>
        <v>11.312899999999999</v>
      </c>
      <c r="H299" s="201">
        <v>11.1279</v>
      </c>
      <c r="I299" s="201">
        <f t="shared" si="25"/>
        <v>0.18499999999999872</v>
      </c>
      <c r="J299" s="201">
        <f t="shared" si="26"/>
        <v>2.1700000000001274E-2</v>
      </c>
      <c r="K299" s="280">
        <f t="shared" si="27"/>
        <v>10.498306724722434</v>
      </c>
      <c r="L299" s="201">
        <v>41</v>
      </c>
      <c r="M299" s="204">
        <v>43212</v>
      </c>
      <c r="AB299" s="110">
        <f>IFERROR(INDEX('WetLitterbags placem_collection'!$A$3:$A$500,MATCH(A299,'WetLitterbags placem_collection'!$K$4:$K$500,0)),"")</f>
        <v>195</v>
      </c>
      <c r="AC299" s="110" t="str">
        <f>IFERROR(INDEX('WetLitterbags placem_collection'!$A$3:$A$500,MATCH($A299,'WetLitterbags placem_collection'!$O$4:$O$500,0)),"")</f>
        <v/>
      </c>
      <c r="AD299" s="110" t="str">
        <f>IFERROR(INDEX('WetLitterbags placem_collection'!$A$3:$A$500,MATCH($A299,'WetLitterbags placem_collection'!$M$4:$M$500,0)),"")</f>
        <v/>
      </c>
      <c r="AE299" s="110" t="str">
        <f>IFERROR(INDEX('WetLitterbags placem_collection'!$A$3:$A$500,MATCH($A299,'WetLitterbags placem_collection'!$Q$4:$Q$500,0)),"")</f>
        <v/>
      </c>
    </row>
    <row r="300" spans="1:31">
      <c r="A300" s="206" t="s">
        <v>1295</v>
      </c>
      <c r="C300" s="201">
        <v>216</v>
      </c>
      <c r="D300" s="201">
        <v>0.66800000000000004</v>
      </c>
      <c r="E300" s="201">
        <v>11.023300000000001</v>
      </c>
      <c r="F300" s="202">
        <v>0.2036</v>
      </c>
      <c r="G300" s="201">
        <f t="shared" si="24"/>
        <v>11.226900000000001</v>
      </c>
      <c r="H300" s="201">
        <v>11.0402</v>
      </c>
      <c r="I300" s="201">
        <f t="shared" si="25"/>
        <v>0.18670000000000009</v>
      </c>
      <c r="J300" s="201">
        <f t="shared" si="26"/>
        <v>1.6899999999999915E-2</v>
      </c>
      <c r="K300" s="280">
        <f t="shared" si="27"/>
        <v>8.3005893909626298</v>
      </c>
      <c r="L300" s="201">
        <v>25</v>
      </c>
      <c r="M300" s="205">
        <v>43211</v>
      </c>
      <c r="AB300" s="110">
        <f>IFERROR(INDEX('WetLitterbags placem_collection'!$A$3:$A$500,MATCH(A300,'WetLitterbags placem_collection'!$K$4:$K$500,0)),"")</f>
        <v>215</v>
      </c>
      <c r="AC300" s="110" t="str">
        <f>IFERROR(INDEX('WetLitterbags placem_collection'!$A$3:$A$500,MATCH($A300,'WetLitterbags placem_collection'!$O$4:$O$500,0)),"")</f>
        <v/>
      </c>
      <c r="AD300" s="110" t="str">
        <f>IFERROR(INDEX('WetLitterbags placem_collection'!$A$3:$A$500,MATCH($A300,'WetLitterbags placem_collection'!$M$4:$M$500,0)),"")</f>
        <v/>
      </c>
      <c r="AE300" s="110" t="str">
        <f>IFERROR(INDEX('WetLitterbags placem_collection'!$A$3:$A$500,MATCH($A300,'WetLitterbags placem_collection'!$Q$4:$Q$500,0)),"")</f>
        <v/>
      </c>
    </row>
    <row r="301" spans="1:31">
      <c r="A301" s="206" t="s">
        <v>1294</v>
      </c>
      <c r="C301" s="201">
        <v>134</v>
      </c>
      <c r="D301" s="201">
        <v>0.47770000000000001</v>
      </c>
      <c r="E301" s="202">
        <v>11.258599999999999</v>
      </c>
      <c r="F301" s="202">
        <v>0.20100000000000001</v>
      </c>
      <c r="G301" s="201">
        <f t="shared" si="24"/>
        <v>11.4596</v>
      </c>
      <c r="H301" s="201">
        <v>11.293200000000001</v>
      </c>
      <c r="I301" s="201">
        <f t="shared" si="25"/>
        <v>0.16639999999999944</v>
      </c>
      <c r="J301" s="201">
        <f t="shared" si="26"/>
        <v>3.4600000000000575E-2</v>
      </c>
      <c r="K301" s="280">
        <f t="shared" si="27"/>
        <v>17.213930348258991</v>
      </c>
      <c r="L301" s="201">
        <v>12</v>
      </c>
      <c r="M301" s="205">
        <v>43197</v>
      </c>
      <c r="N301" s="205">
        <v>43197</v>
      </c>
      <c r="O301" s="201"/>
      <c r="P301" s="201"/>
      <c r="AB301" s="110">
        <f>IFERROR(INDEX('WetLitterbags placem_collection'!$A$3:$A$500,MATCH(A301,'WetLitterbags placem_collection'!$K$4:$K$500,0)),"")</f>
        <v>133</v>
      </c>
      <c r="AC301" s="110" t="str">
        <f>IFERROR(INDEX('WetLitterbags placem_collection'!$A$3:$A$500,MATCH($A301,'WetLitterbags placem_collection'!$O$4:$O$500,0)),"")</f>
        <v/>
      </c>
      <c r="AD301" s="110" t="str">
        <f>IFERROR(INDEX('WetLitterbags placem_collection'!$A$3:$A$500,MATCH($A301,'WetLitterbags placem_collection'!$M$4:$M$500,0)),"")</f>
        <v/>
      </c>
      <c r="AE301" s="110" t="str">
        <f>IFERROR(INDEX('WetLitterbags placem_collection'!$A$3:$A$500,MATCH($A301,'WetLitterbags placem_collection'!$Q$4:$Q$500,0)),"")</f>
        <v/>
      </c>
    </row>
    <row r="302" spans="1:31">
      <c r="A302" s="206" t="s">
        <v>1292</v>
      </c>
      <c r="C302" s="201">
        <v>120</v>
      </c>
      <c r="D302" s="201">
        <v>0.44650000000000001</v>
      </c>
      <c r="E302" s="201">
        <v>8.4435000000000002</v>
      </c>
      <c r="F302" s="201">
        <v>0.21010000000000001</v>
      </c>
      <c r="G302" s="201">
        <f t="shared" si="24"/>
        <v>8.6536000000000008</v>
      </c>
      <c r="H302" s="201">
        <v>8.4864999999999995</v>
      </c>
      <c r="I302" s="201">
        <f t="shared" si="25"/>
        <v>0.16710000000000136</v>
      </c>
      <c r="J302" s="201">
        <f t="shared" si="26"/>
        <v>4.299999999999865E-2</v>
      </c>
      <c r="K302" s="280">
        <f t="shared" si="27"/>
        <v>20.466444550213541</v>
      </c>
      <c r="L302" s="201">
        <v>7</v>
      </c>
      <c r="M302" s="205">
        <v>43174</v>
      </c>
      <c r="N302" s="205">
        <v>43174</v>
      </c>
      <c r="O302" s="201" t="s">
        <v>2556</v>
      </c>
      <c r="P302" s="201" t="s">
        <v>2551</v>
      </c>
      <c r="AB302" s="110">
        <f>IFERROR(INDEX('WetLitterbags placem_collection'!$A$3:$A$500,MATCH(A302,'WetLitterbags placem_collection'!$K$4:$K$500,0)),"")</f>
        <v>119</v>
      </c>
      <c r="AC302" s="110" t="str">
        <f>IFERROR(INDEX('WetLitterbags placem_collection'!$A$3:$A$500,MATCH($A302,'WetLitterbags placem_collection'!$O$4:$O$500,0)),"")</f>
        <v/>
      </c>
      <c r="AD302" s="110" t="str">
        <f>IFERROR(INDEX('WetLitterbags placem_collection'!$A$3:$A$500,MATCH($A302,'WetLitterbags placem_collection'!$M$4:$M$500,0)),"")</f>
        <v/>
      </c>
      <c r="AE302" s="110" t="str">
        <f>IFERROR(INDEX('WetLitterbags placem_collection'!$A$3:$A$500,MATCH($A302,'WetLitterbags placem_collection'!$Q$4:$Q$500,0)),"")</f>
        <v/>
      </c>
    </row>
    <row r="303" spans="1:31">
      <c r="A303" s="197" t="s">
        <v>1290</v>
      </c>
      <c r="C303" s="198">
        <v>66</v>
      </c>
      <c r="D303" s="197">
        <v>0.73129999999999995</v>
      </c>
      <c r="E303" s="202">
        <v>11.087400000000001</v>
      </c>
      <c r="F303" s="202">
        <v>0.2051</v>
      </c>
      <c r="G303" s="201">
        <f t="shared" si="24"/>
        <v>11.2925</v>
      </c>
      <c r="H303" s="201">
        <v>11.1129</v>
      </c>
      <c r="I303" s="201">
        <f t="shared" si="25"/>
        <v>0.17960000000000065</v>
      </c>
      <c r="J303" s="201">
        <f t="shared" si="26"/>
        <v>2.5499999999999357E-2</v>
      </c>
      <c r="K303" s="280">
        <f t="shared" si="27"/>
        <v>12.432959531935326</v>
      </c>
      <c r="L303" s="201">
        <v>15</v>
      </c>
      <c r="AB303" s="110" t="str">
        <f>IFERROR(INDEX('WetLitterbags placem_collection'!$A$3:$A$500,MATCH(A303,'WetLitterbags placem_collection'!$K$4:$K$500,0)),"")</f>
        <v/>
      </c>
      <c r="AC303" s="110">
        <f>IFERROR(INDEX('WetLitterbags placem_collection'!$A$3:$A$500,MATCH($A303,'WetLitterbags placem_collection'!$O$4:$O$500,0)),"")</f>
        <v>65</v>
      </c>
      <c r="AD303" s="110" t="str">
        <f>IFERROR(INDEX('WetLitterbags placem_collection'!$A$3:$A$500,MATCH($A303,'WetLitterbags placem_collection'!$M$4:$M$500,0)),"")</f>
        <v/>
      </c>
      <c r="AE303" s="110" t="str">
        <f>IFERROR(INDEX('WetLitterbags placem_collection'!$A$3:$A$500,MATCH($A303,'WetLitterbags placem_collection'!$Q$4:$Q$500,0)),"")</f>
        <v/>
      </c>
    </row>
    <row r="304" spans="1:31">
      <c r="A304" s="206" t="s">
        <v>1289</v>
      </c>
      <c r="C304" s="201">
        <v>214</v>
      </c>
      <c r="D304" s="201">
        <v>0.52159999999999995</v>
      </c>
      <c r="E304" s="201">
        <v>9.0526</v>
      </c>
      <c r="F304" s="201">
        <v>0.20019999999999999</v>
      </c>
      <c r="G304" s="201">
        <f t="shared" si="24"/>
        <v>9.2528000000000006</v>
      </c>
      <c r="H304" s="201">
        <v>9.0746000000000002</v>
      </c>
      <c r="I304" s="201">
        <f t="shared" si="25"/>
        <v>0.17820000000000036</v>
      </c>
      <c r="J304" s="201">
        <f t="shared" si="26"/>
        <v>2.1999999999999631E-2</v>
      </c>
      <c r="K304" s="280">
        <f t="shared" si="27"/>
        <v>10.989010989010806</v>
      </c>
      <c r="L304" s="201">
        <v>8</v>
      </c>
      <c r="M304" s="203">
        <v>43164.628472222219</v>
      </c>
      <c r="N304" s="203">
        <v>43164.795138888891</v>
      </c>
      <c r="O304" s="197" t="s">
        <v>2550</v>
      </c>
      <c r="P304" s="201"/>
      <c r="AB304" s="110">
        <f>IFERROR(INDEX('WetLitterbags placem_collection'!$A$3:$A$500,MATCH(A304,'WetLitterbags placem_collection'!$K$4:$K$500,0)),"")</f>
        <v>213</v>
      </c>
      <c r="AC304" s="110" t="str">
        <f>IFERROR(INDEX('WetLitterbags placem_collection'!$A$3:$A$500,MATCH($A304,'WetLitterbags placem_collection'!$O$4:$O$500,0)),"")</f>
        <v/>
      </c>
      <c r="AD304" s="110" t="str">
        <f>IFERROR(INDEX('WetLitterbags placem_collection'!$A$3:$A$500,MATCH($A304,'WetLitterbags placem_collection'!$M$4:$M$500,0)),"")</f>
        <v/>
      </c>
      <c r="AE304" s="110" t="str">
        <f>IFERROR(INDEX('WetLitterbags placem_collection'!$A$3:$A$500,MATCH($A304,'WetLitterbags placem_collection'!$Q$4:$Q$500,0)),"")</f>
        <v/>
      </c>
    </row>
    <row r="305" spans="1:31">
      <c r="A305" s="197" t="s">
        <v>1288</v>
      </c>
      <c r="C305" s="197">
        <v>146</v>
      </c>
      <c r="D305" s="197">
        <v>0.41170000000000001</v>
      </c>
      <c r="E305" s="197">
        <v>9.0025999999999993</v>
      </c>
      <c r="F305" s="197">
        <v>0.20610000000000001</v>
      </c>
      <c r="G305" s="197">
        <f t="shared" si="24"/>
        <v>9.2086999999999986</v>
      </c>
      <c r="H305" s="197">
        <v>9.0376999999999992</v>
      </c>
      <c r="I305" s="197">
        <f t="shared" si="25"/>
        <v>0.17099999999999937</v>
      </c>
      <c r="J305" s="201">
        <f t="shared" si="26"/>
        <v>3.5100000000000631E-2</v>
      </c>
      <c r="K305" s="280">
        <f t="shared" si="27"/>
        <v>17.030567685589826</v>
      </c>
      <c r="L305" s="197">
        <v>14</v>
      </c>
      <c r="M305" s="197">
        <v>43157.527777777781</v>
      </c>
      <c r="N305" s="197">
        <v>43157.694444444445</v>
      </c>
      <c r="O305" s="197" t="s">
        <v>2556</v>
      </c>
      <c r="AB305" s="110" t="str">
        <f>IFERROR(INDEX('WetLitterbags placem_collection'!$A$3:$A$500,MATCH(A305,'WetLitterbags placem_collection'!$K$4:$K$500,0)),"")</f>
        <v/>
      </c>
      <c r="AC305" s="110">
        <f>IFERROR(INDEX('WetLitterbags placem_collection'!$A$3:$A$500,MATCH($A305,'WetLitterbags placem_collection'!$O$4:$O$500,0)),"")</f>
        <v>145</v>
      </c>
      <c r="AD305" s="110" t="str">
        <f>IFERROR(INDEX('WetLitterbags placem_collection'!$A$3:$A$500,MATCH($A305,'WetLitterbags placem_collection'!$M$4:$M$500,0)),"")</f>
        <v/>
      </c>
      <c r="AE305" s="110" t="str">
        <f>IFERROR(INDEX('WetLitterbags placem_collection'!$A$3:$A$500,MATCH($A305,'WetLitterbags placem_collection'!$Q$4:$Q$500,0)),"")</f>
        <v/>
      </c>
    </row>
    <row r="306" spans="1:31">
      <c r="A306" s="206" t="s">
        <v>1287</v>
      </c>
      <c r="C306" s="197">
        <v>92</v>
      </c>
      <c r="D306" s="201">
        <v>1.1095999999999999</v>
      </c>
      <c r="E306" s="202">
        <v>11.4429</v>
      </c>
      <c r="F306" s="202">
        <v>0.20319999999999999</v>
      </c>
      <c r="G306" s="201">
        <f t="shared" si="24"/>
        <v>11.646100000000001</v>
      </c>
      <c r="H306" s="201">
        <v>11.523099999999999</v>
      </c>
      <c r="I306" s="201">
        <f t="shared" si="25"/>
        <v>0.12300000000000111</v>
      </c>
      <c r="J306" s="201">
        <f t="shared" si="26"/>
        <v>8.0199999999998883E-2</v>
      </c>
      <c r="K306" s="280">
        <f t="shared" si="27"/>
        <v>39.468503937007327</v>
      </c>
      <c r="L306" s="201">
        <v>15</v>
      </c>
      <c r="M306" s="207">
        <v>43186.458333333336</v>
      </c>
      <c r="N306" s="207">
        <v>43186.625</v>
      </c>
      <c r="O306" s="197" t="s">
        <v>2550</v>
      </c>
      <c r="P306" s="201"/>
      <c r="AB306" s="110" t="str">
        <f>IFERROR(INDEX('WetLitterbags placem_collection'!$A$3:$A$500,MATCH(A306,'WetLitterbags placem_collection'!$K$4:$K$500,0)),"")</f>
        <v/>
      </c>
      <c r="AC306" s="110">
        <f>IFERROR(INDEX('WetLitterbags placem_collection'!$A$3:$A$500,MATCH($A306,'WetLitterbags placem_collection'!$O$4:$O$500,0)),"")</f>
        <v>91</v>
      </c>
      <c r="AD306" s="110" t="str">
        <f>IFERROR(INDEX('WetLitterbags placem_collection'!$A$3:$A$500,MATCH($A306,'WetLitterbags placem_collection'!$M$4:$M$500,0)),"")</f>
        <v/>
      </c>
      <c r="AE306" s="110" t="str">
        <f>IFERROR(INDEX('WetLitterbags placem_collection'!$A$3:$A$500,MATCH($A306,'WetLitterbags placem_collection'!$Q$4:$Q$500,0)),"")</f>
        <v/>
      </c>
    </row>
    <row r="307" spans="1:31">
      <c r="A307" s="206" t="s">
        <v>1286</v>
      </c>
      <c r="C307" s="201">
        <v>42</v>
      </c>
      <c r="D307" s="202">
        <v>0.52049999999999996</v>
      </c>
      <c r="E307" s="201">
        <v>8.1195000000000004</v>
      </c>
      <c r="F307" s="202">
        <v>0.2044</v>
      </c>
      <c r="G307" s="201">
        <f t="shared" ref="G307:G370" si="28">E307+F307</f>
        <v>8.3239000000000001</v>
      </c>
      <c r="H307" s="201">
        <v>8.1486000000000001</v>
      </c>
      <c r="I307" s="201">
        <f t="shared" ref="I307:I370" si="29">(G307-H307)</f>
        <v>0.17530000000000001</v>
      </c>
      <c r="J307" s="201">
        <f t="shared" ref="J307:J370" si="30">F307-I307</f>
        <v>2.9099999999999987E-2</v>
      </c>
      <c r="K307" s="280">
        <f t="shared" ref="K307:K370" si="31">(J307/F307)*100</f>
        <v>14.236790606653615</v>
      </c>
      <c r="L307" s="201">
        <v>12</v>
      </c>
      <c r="M307" s="205">
        <v>43206</v>
      </c>
      <c r="N307" s="205">
        <v>43206</v>
      </c>
      <c r="O307" s="201"/>
      <c r="P307" s="201"/>
      <c r="AB307" s="110">
        <f>IFERROR(INDEX('WetLitterbags placem_collection'!$A$3:$A$500,MATCH(A307,'WetLitterbags placem_collection'!$K$4:$K$500,0)),"")</f>
        <v>41</v>
      </c>
      <c r="AC307" s="110" t="str">
        <f>IFERROR(INDEX('WetLitterbags placem_collection'!$A$3:$A$500,MATCH($A307,'WetLitterbags placem_collection'!$O$4:$O$500,0)),"")</f>
        <v/>
      </c>
      <c r="AD307" s="110" t="str">
        <f>IFERROR(INDEX('WetLitterbags placem_collection'!$A$3:$A$500,MATCH($A307,'WetLitterbags placem_collection'!$M$4:$M$500,0)),"")</f>
        <v/>
      </c>
      <c r="AE307" s="110" t="str">
        <f>IFERROR(INDEX('WetLitterbags placem_collection'!$A$3:$A$500,MATCH($A307,'WetLitterbags placem_collection'!$Q$4:$Q$500,0)),"")</f>
        <v/>
      </c>
    </row>
    <row r="308" spans="1:31">
      <c r="A308" s="197" t="s">
        <v>1285</v>
      </c>
      <c r="C308" s="197">
        <v>99</v>
      </c>
      <c r="D308" s="197">
        <v>0.43369999999999997</v>
      </c>
      <c r="E308" s="197">
        <v>19.387699999999999</v>
      </c>
      <c r="F308" s="197">
        <v>0.17510000000000001</v>
      </c>
      <c r="G308" s="197">
        <f t="shared" si="28"/>
        <v>19.562799999999999</v>
      </c>
      <c r="H308" s="197">
        <v>19.417000000000002</v>
      </c>
      <c r="I308" s="197">
        <f t="shared" si="29"/>
        <v>0.14579999999999771</v>
      </c>
      <c r="J308" s="201">
        <f t="shared" si="30"/>
        <v>2.9300000000002296E-2</v>
      </c>
      <c r="K308" s="280">
        <f t="shared" si="31"/>
        <v>16.733295259852824</v>
      </c>
      <c r="L308" s="197">
        <v>5</v>
      </c>
      <c r="M308" s="197" t="s">
        <v>2576</v>
      </c>
      <c r="N308" s="197">
        <v>43153.729166666664</v>
      </c>
      <c r="O308" s="197" t="s">
        <v>2550</v>
      </c>
      <c r="P308" s="197" t="s">
        <v>2575</v>
      </c>
      <c r="AB308" s="110">
        <f>IFERROR(INDEX('WetLitterbags placem_collection'!$A$3:$A$500,MATCH(A308,'WetLitterbags placem_collection'!$K$4:$K$500,0)),"")</f>
        <v>98</v>
      </c>
      <c r="AC308" s="110" t="str">
        <f>IFERROR(INDEX('WetLitterbags placem_collection'!$A$3:$A$500,MATCH($A308,'WetLitterbags placem_collection'!$O$4:$O$500,0)),"")</f>
        <v/>
      </c>
      <c r="AD308" s="110" t="str">
        <f>IFERROR(INDEX('WetLitterbags placem_collection'!$A$3:$A$500,MATCH($A308,'WetLitterbags placem_collection'!$M$4:$M$500,0)),"")</f>
        <v/>
      </c>
      <c r="AE308" s="110" t="str">
        <f>IFERROR(INDEX('WetLitterbags placem_collection'!$A$3:$A$500,MATCH($A308,'WetLitterbags placem_collection'!$Q$4:$Q$500,0)),"")</f>
        <v/>
      </c>
    </row>
    <row r="309" spans="1:31">
      <c r="A309" s="197" t="s">
        <v>1282</v>
      </c>
      <c r="C309" s="197">
        <v>131</v>
      </c>
      <c r="D309" s="197">
        <v>0.42449999999999999</v>
      </c>
      <c r="E309" s="197">
        <v>7.7755999999999998</v>
      </c>
      <c r="F309" s="197">
        <v>0.20480000000000001</v>
      </c>
      <c r="G309" s="197">
        <f t="shared" si="28"/>
        <v>7.9803999999999995</v>
      </c>
      <c r="H309" s="197">
        <v>7.8036000000000003</v>
      </c>
      <c r="I309" s="197">
        <f t="shared" si="29"/>
        <v>0.17679999999999918</v>
      </c>
      <c r="J309" s="201">
        <f t="shared" si="30"/>
        <v>2.800000000000083E-2</v>
      </c>
      <c r="K309" s="280">
        <f t="shared" si="31"/>
        <v>13.671875000000405</v>
      </c>
      <c r="L309" s="197">
        <v>13</v>
      </c>
      <c r="M309" s="197">
        <v>43157.395833333336</v>
      </c>
      <c r="N309" s="197">
        <v>43157.569444444445</v>
      </c>
      <c r="O309" s="197" t="s">
        <v>2550</v>
      </c>
      <c r="AB309" s="110" t="str">
        <f>IFERROR(INDEX('WetLitterbags placem_collection'!$A$3:$A$500,MATCH(A309,'WetLitterbags placem_collection'!$K$4:$K$500,0)),"")</f>
        <v/>
      </c>
      <c r="AC309" s="110">
        <f>IFERROR(INDEX('WetLitterbags placem_collection'!$A$3:$A$500,MATCH($A309,'WetLitterbags placem_collection'!$O$4:$O$500,0)),"")</f>
        <v>130</v>
      </c>
      <c r="AD309" s="110" t="str">
        <f>IFERROR(INDEX('WetLitterbags placem_collection'!$A$3:$A$500,MATCH($A309,'WetLitterbags placem_collection'!$M$4:$M$500,0)),"")</f>
        <v/>
      </c>
      <c r="AE309" s="110" t="str">
        <f>IFERROR(INDEX('WetLitterbags placem_collection'!$A$3:$A$500,MATCH($A309,'WetLitterbags placem_collection'!$Q$4:$Q$500,0)),"")</f>
        <v/>
      </c>
    </row>
    <row r="310" spans="1:31">
      <c r="A310" s="201" t="s">
        <v>1281</v>
      </c>
      <c r="C310" s="201">
        <v>113</v>
      </c>
      <c r="D310" s="201">
        <v>0.50229999999999997</v>
      </c>
      <c r="E310" s="201">
        <v>10.2014</v>
      </c>
      <c r="F310" s="202">
        <v>0.2077</v>
      </c>
      <c r="G310" s="201">
        <f t="shared" si="28"/>
        <v>10.409099999999999</v>
      </c>
      <c r="H310" s="197">
        <v>10.243</v>
      </c>
      <c r="I310" s="197">
        <f t="shared" si="29"/>
        <v>0.16609999999999836</v>
      </c>
      <c r="J310" s="201">
        <f t="shared" si="30"/>
        <v>4.1600000000001636E-2</v>
      </c>
      <c r="K310" s="280">
        <f t="shared" si="31"/>
        <v>20.028887818970457</v>
      </c>
      <c r="L310" s="201">
        <v>19</v>
      </c>
      <c r="M310" s="205">
        <v>43187</v>
      </c>
      <c r="N310" s="205">
        <v>43187</v>
      </c>
      <c r="O310" s="201"/>
      <c r="P310" s="201" t="s">
        <v>2501</v>
      </c>
      <c r="AB310" s="110" t="str">
        <f>IFERROR(INDEX('WetLitterbags placem_collection'!$A$3:$A$500,MATCH(A310,'WetLitterbags placem_collection'!$K$4:$K$500,0)),"")</f>
        <v/>
      </c>
      <c r="AC310" s="110">
        <f>IFERROR(INDEX('WetLitterbags placem_collection'!$A$3:$A$500,MATCH($A310,'WetLitterbags placem_collection'!$O$4:$O$500,0)),"")</f>
        <v>112</v>
      </c>
      <c r="AD310" s="110" t="str">
        <f>IFERROR(INDEX('WetLitterbags placem_collection'!$A$3:$A$500,MATCH($A310,'WetLitterbags placem_collection'!$M$4:$M$500,0)),"")</f>
        <v/>
      </c>
      <c r="AE310" s="110" t="str">
        <f>IFERROR(INDEX('WetLitterbags placem_collection'!$A$3:$A$500,MATCH($A310,'WetLitterbags placem_collection'!$Q$4:$Q$500,0)),"")</f>
        <v/>
      </c>
    </row>
    <row r="311" spans="1:31">
      <c r="A311" s="206" t="s">
        <v>1280</v>
      </c>
      <c r="C311" s="201">
        <v>202</v>
      </c>
      <c r="D311" s="201">
        <v>0.76239999999999997</v>
      </c>
      <c r="E311" s="202">
        <v>10.675000000000001</v>
      </c>
      <c r="F311" s="202">
        <v>0.20960000000000001</v>
      </c>
      <c r="G311" s="201">
        <f t="shared" si="28"/>
        <v>10.884600000000001</v>
      </c>
      <c r="H311" s="201">
        <v>10.742000000000001</v>
      </c>
      <c r="I311" s="201">
        <f t="shared" si="29"/>
        <v>0.14259999999999984</v>
      </c>
      <c r="J311" s="201">
        <f t="shared" si="30"/>
        <v>6.7000000000000171E-2</v>
      </c>
      <c r="K311" s="280">
        <f t="shared" si="31"/>
        <v>31.965648854961913</v>
      </c>
      <c r="L311" s="201">
        <v>20</v>
      </c>
      <c r="M311" s="207">
        <v>43185.385416666664</v>
      </c>
      <c r="N311" s="201"/>
      <c r="O311" s="201" t="s">
        <v>2556</v>
      </c>
      <c r="P311" s="201"/>
      <c r="AB311" s="110" t="str">
        <f>IFERROR(INDEX('WetLitterbags placem_collection'!$A$3:$A$500,MATCH(A311,'WetLitterbags placem_collection'!$K$4:$K$500,0)),"")</f>
        <v/>
      </c>
      <c r="AC311" s="110">
        <f>IFERROR(INDEX('WetLitterbags placem_collection'!$A$3:$A$500,MATCH($A311,'WetLitterbags placem_collection'!$O$4:$O$500,0)),"")</f>
        <v>201</v>
      </c>
      <c r="AD311" s="110" t="str">
        <f>IFERROR(INDEX('WetLitterbags placem_collection'!$A$3:$A$500,MATCH($A311,'WetLitterbags placem_collection'!$M$4:$M$500,0)),"")</f>
        <v/>
      </c>
      <c r="AE311" s="110" t="str">
        <f>IFERROR(INDEX('WetLitterbags placem_collection'!$A$3:$A$500,MATCH($A311,'WetLitterbags placem_collection'!$Q$4:$Q$500,0)),"")</f>
        <v/>
      </c>
    </row>
    <row r="312" spans="1:31">
      <c r="A312" s="202" t="s">
        <v>1278</v>
      </c>
      <c r="C312" s="201">
        <v>175</v>
      </c>
      <c r="D312" s="197">
        <v>0.40219999999999995</v>
      </c>
      <c r="E312" s="201">
        <v>8.3539999999999992</v>
      </c>
      <c r="F312" s="201">
        <v>0.1961</v>
      </c>
      <c r="G312" s="201">
        <f t="shared" si="28"/>
        <v>8.5500999999999987</v>
      </c>
      <c r="H312" s="201">
        <v>8.3718000000000004</v>
      </c>
      <c r="I312" s="201">
        <f t="shared" si="29"/>
        <v>0.17829999999999835</v>
      </c>
      <c r="J312" s="201">
        <f t="shared" si="30"/>
        <v>1.7800000000001648E-2</v>
      </c>
      <c r="K312" s="280">
        <f t="shared" si="31"/>
        <v>9.0770015298325593</v>
      </c>
      <c r="L312" s="201">
        <v>3</v>
      </c>
      <c r="M312" s="205">
        <v>43173</v>
      </c>
      <c r="N312" s="205">
        <v>43173</v>
      </c>
      <c r="O312" s="201" t="s">
        <v>2556</v>
      </c>
      <c r="P312" s="201" t="s">
        <v>2555</v>
      </c>
      <c r="AB312" s="110" t="str">
        <f>IFERROR(INDEX('WetLitterbags placem_collection'!$A$3:$A$500,MATCH(A312,'WetLitterbags placem_collection'!$K$4:$K$500,0)),"")</f>
        <v/>
      </c>
      <c r="AC312" s="110" t="str">
        <f>IFERROR(INDEX('WetLitterbags placem_collection'!$A$3:$A$500,MATCH($A312,'WetLitterbags placem_collection'!$O$4:$O$500,0)),"")</f>
        <v/>
      </c>
      <c r="AD312" s="110" t="str">
        <f>IFERROR(INDEX('WetLitterbags placem_collection'!$A$3:$A$500,MATCH($A312,'WetLitterbags placem_collection'!$M$4:$M$500,0)),"")</f>
        <v/>
      </c>
      <c r="AE312" s="110" t="str">
        <f>IFERROR(INDEX('WetLitterbags placem_collection'!$A$3:$A$500,MATCH($A312,'WetLitterbags placem_collection'!$Q$4:$Q$500,0)),"")</f>
        <v/>
      </c>
    </row>
    <row r="313" spans="1:31">
      <c r="A313" s="206" t="s">
        <v>1277</v>
      </c>
      <c r="C313" s="201">
        <v>202</v>
      </c>
      <c r="D313" s="201">
        <v>0.61229999999999996</v>
      </c>
      <c r="E313" s="202">
        <v>11.172000000000001</v>
      </c>
      <c r="F313" s="202">
        <v>0.2</v>
      </c>
      <c r="G313" s="201">
        <f t="shared" si="28"/>
        <v>11.372</v>
      </c>
      <c r="H313" s="201">
        <v>11.196400000000001</v>
      </c>
      <c r="I313" s="201">
        <f t="shared" si="29"/>
        <v>0.17559999999999931</v>
      </c>
      <c r="J313" s="201">
        <f t="shared" si="30"/>
        <v>2.4400000000000699E-2</v>
      </c>
      <c r="K313" s="280">
        <f t="shared" si="31"/>
        <v>12.200000000000349</v>
      </c>
      <c r="L313" s="201">
        <v>21</v>
      </c>
      <c r="M313" s="207">
        <v>43185.385416666664</v>
      </c>
      <c r="N313" s="201"/>
      <c r="O313" s="201" t="s">
        <v>2556</v>
      </c>
      <c r="P313" s="201"/>
      <c r="AB313" s="110">
        <f>IFERROR(INDEX('WetLitterbags placem_collection'!$A$3:$A$500,MATCH(A313,'WetLitterbags placem_collection'!$K$4:$K$500,0)),"")</f>
        <v>201</v>
      </c>
      <c r="AC313" s="110" t="str">
        <f>IFERROR(INDEX('WetLitterbags placem_collection'!$A$3:$A$500,MATCH($A313,'WetLitterbags placem_collection'!$O$4:$O$500,0)),"")</f>
        <v/>
      </c>
      <c r="AD313" s="110" t="str">
        <f>IFERROR(INDEX('WetLitterbags placem_collection'!$A$3:$A$500,MATCH($A313,'WetLitterbags placem_collection'!$M$4:$M$500,0)),"")</f>
        <v/>
      </c>
      <c r="AE313" s="110" t="str">
        <f>IFERROR(INDEX('WetLitterbags placem_collection'!$A$3:$A$500,MATCH($A313,'WetLitterbags placem_collection'!$Q$4:$Q$500,0)),"")</f>
        <v/>
      </c>
    </row>
    <row r="314" spans="1:31">
      <c r="A314" s="197" t="s">
        <v>1276</v>
      </c>
      <c r="C314" s="197">
        <v>44</v>
      </c>
      <c r="D314" s="197">
        <v>0.6744</v>
      </c>
      <c r="E314" s="197">
        <v>8.7050000000000001</v>
      </c>
      <c r="F314" s="197">
        <v>0.19289999999999999</v>
      </c>
      <c r="G314" s="197">
        <f t="shared" si="28"/>
        <v>8.8978999999999999</v>
      </c>
      <c r="H314" s="197">
        <v>8.7210999999999999</v>
      </c>
      <c r="I314" s="197">
        <f t="shared" si="29"/>
        <v>0.17680000000000007</v>
      </c>
      <c r="J314" s="201">
        <f t="shared" si="30"/>
        <v>1.609999999999992E-2</v>
      </c>
      <c r="K314" s="280">
        <f t="shared" si="31"/>
        <v>8.346293416277824</v>
      </c>
      <c r="L314" s="197">
        <v>31</v>
      </c>
      <c r="M314" s="197" t="s">
        <v>2586</v>
      </c>
      <c r="N314" s="197" t="s">
        <v>2585</v>
      </c>
      <c r="O314" s="197" t="s">
        <v>2550</v>
      </c>
      <c r="AB314" s="110">
        <f>IFERROR(INDEX('WetLitterbags placem_collection'!$A$3:$A$500,MATCH(A314,'WetLitterbags placem_collection'!$K$4:$K$500,0)),"")</f>
        <v>43</v>
      </c>
      <c r="AC314" s="110" t="str">
        <f>IFERROR(INDEX('WetLitterbags placem_collection'!$A$3:$A$500,MATCH($A314,'WetLitterbags placem_collection'!$O$4:$O$500,0)),"")</f>
        <v/>
      </c>
      <c r="AD314" s="110" t="str">
        <f>IFERROR(INDEX('WetLitterbags placem_collection'!$A$3:$A$500,MATCH($A314,'WetLitterbags placem_collection'!$M$4:$M$500,0)),"")</f>
        <v/>
      </c>
      <c r="AE314" s="110" t="str">
        <f>IFERROR(INDEX('WetLitterbags placem_collection'!$A$3:$A$500,MATCH($A314,'WetLitterbags placem_collection'!$Q$4:$Q$500,0)),"")</f>
        <v/>
      </c>
    </row>
    <row r="315" spans="1:31">
      <c r="A315" s="197" t="s">
        <v>1275</v>
      </c>
      <c r="C315" s="197">
        <v>141</v>
      </c>
      <c r="D315" s="197">
        <v>0.50260000000000005</v>
      </c>
      <c r="E315" s="197">
        <v>7.4752999999999998</v>
      </c>
      <c r="F315" s="197">
        <v>0.20319999999999999</v>
      </c>
      <c r="G315" s="197">
        <f t="shared" si="28"/>
        <v>7.6784999999999997</v>
      </c>
      <c r="H315" s="197">
        <v>7.5221</v>
      </c>
      <c r="I315" s="197">
        <f t="shared" si="29"/>
        <v>0.15639999999999965</v>
      </c>
      <c r="J315" s="201">
        <f t="shared" si="30"/>
        <v>4.6800000000000341E-2</v>
      </c>
      <c r="K315" s="280">
        <f t="shared" si="31"/>
        <v>23.031496062992296</v>
      </c>
      <c r="L315" s="197">
        <v>10</v>
      </c>
      <c r="M315" s="197">
        <v>43157.527777777781</v>
      </c>
      <c r="N315" s="197">
        <v>43157.694444444445</v>
      </c>
      <c r="O315" s="197" t="s">
        <v>2556</v>
      </c>
      <c r="AB315" s="110" t="str">
        <f>IFERROR(INDEX('WetLitterbags placem_collection'!$A$3:$A$500,MATCH(A315,'WetLitterbags placem_collection'!$K$4:$K$500,0)),"")</f>
        <v/>
      </c>
      <c r="AC315" s="110">
        <f>IFERROR(INDEX('WetLitterbags placem_collection'!$A$3:$A$500,MATCH($A315,'WetLitterbags placem_collection'!$O$4:$O$500,0)),"")</f>
        <v>140</v>
      </c>
      <c r="AD315" s="110" t="str">
        <f>IFERROR(INDEX('WetLitterbags placem_collection'!$A$3:$A$500,MATCH($A315,'WetLitterbags placem_collection'!$M$4:$M$500,0)),"")</f>
        <v/>
      </c>
      <c r="AE315" s="110" t="str">
        <f>IFERROR(INDEX('WetLitterbags placem_collection'!$A$3:$A$500,MATCH($A315,'WetLitterbags placem_collection'!$Q$4:$Q$500,0)),"")</f>
        <v/>
      </c>
    </row>
    <row r="316" spans="1:31">
      <c r="A316" s="201" t="s">
        <v>1273</v>
      </c>
      <c r="C316" s="201">
        <v>157</v>
      </c>
      <c r="D316" s="201">
        <v>0.51759999999999995</v>
      </c>
      <c r="E316" s="202">
        <v>11.0229</v>
      </c>
      <c r="F316" s="202">
        <v>0.20050000000000001</v>
      </c>
      <c r="G316" s="201">
        <f t="shared" si="28"/>
        <v>11.2234</v>
      </c>
      <c r="H316" s="201">
        <v>11.0542</v>
      </c>
      <c r="I316" s="201">
        <f t="shared" si="29"/>
        <v>0.16920000000000002</v>
      </c>
      <c r="J316" s="201">
        <f t="shared" si="30"/>
        <v>3.1299999999999994E-2</v>
      </c>
      <c r="K316" s="280">
        <f t="shared" si="31"/>
        <v>15.610972568578548</v>
      </c>
      <c r="L316" s="201">
        <v>28</v>
      </c>
      <c r="M316" s="207">
        <v>43185.385416666664</v>
      </c>
      <c r="N316" s="201"/>
      <c r="O316" s="201" t="s">
        <v>2556</v>
      </c>
      <c r="P316" s="201"/>
      <c r="AB316" s="110" t="str">
        <f>IFERROR(INDEX('WetLitterbags placem_collection'!$A$3:$A$500,MATCH(A316,'WetLitterbags placem_collection'!$K$4:$K$500,0)),"")</f>
        <v/>
      </c>
      <c r="AC316" s="110">
        <f>IFERROR(INDEX('WetLitterbags placem_collection'!$A$3:$A$500,MATCH($A316,'WetLitterbags placem_collection'!$O$4:$O$500,0)),"")</f>
        <v>156</v>
      </c>
      <c r="AD316" s="110" t="str">
        <f>IFERROR(INDEX('WetLitterbags placem_collection'!$A$3:$A$500,MATCH($A316,'WetLitterbags placem_collection'!$M$4:$M$500,0)),"")</f>
        <v/>
      </c>
      <c r="AE316" s="110" t="str">
        <f>IFERROR(INDEX('WetLitterbags placem_collection'!$A$3:$A$500,MATCH($A316,'WetLitterbags placem_collection'!$Q$4:$Q$500,0)),"")</f>
        <v/>
      </c>
    </row>
    <row r="317" spans="1:31">
      <c r="A317" s="197" t="s">
        <v>1272</v>
      </c>
      <c r="C317" s="197">
        <v>115</v>
      </c>
      <c r="D317" s="197">
        <v>0.48849999999999999</v>
      </c>
      <c r="E317" s="197">
        <v>11.055099999999999</v>
      </c>
      <c r="F317" s="197">
        <v>0.20469999999999999</v>
      </c>
      <c r="G317" s="197">
        <f t="shared" si="28"/>
        <v>11.2598</v>
      </c>
      <c r="H317" s="197">
        <v>11.109500000000001</v>
      </c>
      <c r="I317" s="197">
        <f t="shared" si="29"/>
        <v>0.15029999999999966</v>
      </c>
      <c r="J317" s="201">
        <f t="shared" si="30"/>
        <v>5.4400000000000337E-2</v>
      </c>
      <c r="K317" s="280">
        <f t="shared" si="31"/>
        <v>26.575476306790591</v>
      </c>
      <c r="L317" s="197">
        <v>2</v>
      </c>
      <c r="M317" s="197">
        <v>43157.395833333336</v>
      </c>
      <c r="N317" s="197">
        <v>43157.569444444445</v>
      </c>
      <c r="O317" s="197" t="s">
        <v>2550</v>
      </c>
      <c r="P317" s="197" t="s">
        <v>2574</v>
      </c>
      <c r="AB317" s="110" t="str">
        <f>IFERROR(INDEX('WetLitterbags placem_collection'!$A$3:$A$500,MATCH(A317,'WetLitterbags placem_collection'!$K$4:$K$500,0)),"")</f>
        <v/>
      </c>
      <c r="AC317" s="110">
        <f>IFERROR(INDEX('WetLitterbags placem_collection'!$A$3:$A$500,MATCH($A317,'WetLitterbags placem_collection'!$O$4:$O$500,0)),"")</f>
        <v>114</v>
      </c>
      <c r="AD317" s="110" t="str">
        <f>IFERROR(INDEX('WetLitterbags placem_collection'!$A$3:$A$500,MATCH($A317,'WetLitterbags placem_collection'!$M$4:$M$500,0)),"")</f>
        <v/>
      </c>
      <c r="AE317" s="110" t="str">
        <f>IFERROR(INDEX('WetLitterbags placem_collection'!$A$3:$A$500,MATCH($A317,'WetLitterbags placem_collection'!$Q$4:$Q$500,0)),"")</f>
        <v/>
      </c>
    </row>
    <row r="318" spans="1:31">
      <c r="A318" s="206" t="s">
        <v>1271</v>
      </c>
      <c r="C318" s="201">
        <v>132</v>
      </c>
      <c r="D318" s="201">
        <v>0.42670000000000002</v>
      </c>
      <c r="E318" s="201">
        <v>9.0214999999999996</v>
      </c>
      <c r="F318" s="201">
        <v>0.2014</v>
      </c>
      <c r="G318" s="201">
        <f t="shared" si="28"/>
        <v>9.2228999999999992</v>
      </c>
      <c r="H318" s="201">
        <v>9.0494000000000003</v>
      </c>
      <c r="I318" s="201">
        <f t="shared" si="29"/>
        <v>0.17349999999999888</v>
      </c>
      <c r="J318" s="201">
        <f t="shared" si="30"/>
        <v>2.7900000000001118E-2</v>
      </c>
      <c r="K318" s="280">
        <f t="shared" si="31"/>
        <v>13.853028798411678</v>
      </c>
      <c r="L318" s="201">
        <v>15</v>
      </c>
      <c r="M318" s="205">
        <v>43188</v>
      </c>
      <c r="N318" s="205">
        <v>43188</v>
      </c>
      <c r="O318" s="201"/>
      <c r="P318" s="201"/>
      <c r="AB318" s="110" t="str">
        <f>IFERROR(INDEX('WetLitterbags placem_collection'!$A$3:$A$500,MATCH(A318,'WetLitterbags placem_collection'!$K$4:$K$500,0)),"")</f>
        <v/>
      </c>
      <c r="AC318" s="110">
        <f>IFERROR(INDEX('WetLitterbags placem_collection'!$A$3:$A$500,MATCH($A318,'WetLitterbags placem_collection'!$O$4:$O$500,0)),"")</f>
        <v>131</v>
      </c>
      <c r="AD318" s="110" t="str">
        <f>IFERROR(INDEX('WetLitterbags placem_collection'!$A$3:$A$500,MATCH($A318,'WetLitterbags placem_collection'!$M$4:$M$500,0)),"")</f>
        <v/>
      </c>
      <c r="AE318" s="110" t="str">
        <f>IFERROR(INDEX('WetLitterbags placem_collection'!$A$3:$A$500,MATCH($A318,'WetLitterbags placem_collection'!$Q$4:$Q$500,0)),"")</f>
        <v/>
      </c>
    </row>
    <row r="319" spans="1:31">
      <c r="A319" s="201" t="s">
        <v>1269</v>
      </c>
      <c r="C319" s="201">
        <v>178</v>
      </c>
      <c r="D319" s="201">
        <v>0.43630000000000002</v>
      </c>
      <c r="E319" s="201">
        <v>9.2057000000000002</v>
      </c>
      <c r="F319" s="201">
        <v>0.20749999999999999</v>
      </c>
      <c r="G319" s="201">
        <f t="shared" si="28"/>
        <v>9.4131999999999998</v>
      </c>
      <c r="H319" s="197">
        <v>9.2203999999999997</v>
      </c>
      <c r="I319" s="197">
        <f t="shared" si="29"/>
        <v>0.19280000000000008</v>
      </c>
      <c r="J319" s="201">
        <f t="shared" si="30"/>
        <v>1.4699999999999908E-2</v>
      </c>
      <c r="K319" s="280">
        <f t="shared" si="31"/>
        <v>7.0843373493975461</v>
      </c>
      <c r="L319" s="201">
        <v>16</v>
      </c>
      <c r="M319" s="207">
        <v>43160.520833333336</v>
      </c>
      <c r="N319" s="207">
        <v>43160.6875</v>
      </c>
      <c r="O319" s="197" t="s">
        <v>2550</v>
      </c>
      <c r="AB319" s="110">
        <f>IFERROR(INDEX('WetLitterbags placem_collection'!$A$3:$A$500,MATCH(A319,'WetLitterbags placem_collection'!$K$4:$K$500,0)),"")</f>
        <v>177</v>
      </c>
      <c r="AC319" s="110" t="str">
        <f>IFERROR(INDEX('WetLitterbags placem_collection'!$A$3:$A$500,MATCH($A319,'WetLitterbags placem_collection'!$O$4:$O$500,0)),"")</f>
        <v/>
      </c>
      <c r="AD319" s="110" t="str">
        <f>IFERROR(INDEX('WetLitterbags placem_collection'!$A$3:$A$500,MATCH($A319,'WetLitterbags placem_collection'!$M$4:$M$500,0)),"")</f>
        <v/>
      </c>
      <c r="AE319" s="110" t="str">
        <f>IFERROR(INDEX('WetLitterbags placem_collection'!$A$3:$A$500,MATCH($A319,'WetLitterbags placem_collection'!$Q$4:$Q$500,0)),"")</f>
        <v/>
      </c>
    </row>
    <row r="320" spans="1:31">
      <c r="A320" s="197" t="s">
        <v>1268</v>
      </c>
      <c r="C320" s="198">
        <v>220</v>
      </c>
      <c r="D320" s="197">
        <v>0.46260000000000001</v>
      </c>
      <c r="E320" s="202">
        <v>8.8605999999999998</v>
      </c>
      <c r="F320" s="202">
        <v>0.20369999999999999</v>
      </c>
      <c r="G320" s="201">
        <f t="shared" si="28"/>
        <v>9.0642999999999994</v>
      </c>
      <c r="H320" s="201">
        <v>8.8831000000000007</v>
      </c>
      <c r="I320" s="201">
        <f t="shared" si="29"/>
        <v>0.1811999999999987</v>
      </c>
      <c r="J320" s="201">
        <f t="shared" si="30"/>
        <v>2.2500000000001297E-2</v>
      </c>
      <c r="K320" s="280">
        <f t="shared" si="31"/>
        <v>11.045655375552919</v>
      </c>
      <c r="L320" s="201">
        <v>2</v>
      </c>
      <c r="AB320" s="110">
        <f>IFERROR(INDEX('WetLitterbags placem_collection'!$A$3:$A$500,MATCH(A320,'WetLitterbags placem_collection'!$K$4:$K$500,0)),"")</f>
        <v>219</v>
      </c>
      <c r="AC320" s="110" t="str">
        <f>IFERROR(INDEX('WetLitterbags placem_collection'!$A$3:$A$500,MATCH($A320,'WetLitterbags placem_collection'!$O$4:$O$500,0)),"")</f>
        <v/>
      </c>
      <c r="AD320" s="110" t="str">
        <f>IFERROR(INDEX('WetLitterbags placem_collection'!$A$3:$A$500,MATCH($A320,'WetLitterbags placem_collection'!$M$4:$M$500,0)),"")</f>
        <v/>
      </c>
      <c r="AE320" s="110" t="str">
        <f>IFERROR(INDEX('WetLitterbags placem_collection'!$A$3:$A$500,MATCH($A320,'WetLitterbags placem_collection'!$Q$4:$Q$500,0)),"")</f>
        <v/>
      </c>
    </row>
    <row r="321" spans="1:31">
      <c r="A321" s="197" t="s">
        <v>1267</v>
      </c>
      <c r="C321" s="198">
        <v>180</v>
      </c>
      <c r="D321" s="201">
        <v>0.4501</v>
      </c>
      <c r="E321" s="202">
        <v>8.0470000000000006</v>
      </c>
      <c r="F321" s="202">
        <v>0.19950000000000001</v>
      </c>
      <c r="G321" s="201">
        <f t="shared" si="28"/>
        <v>8.2465000000000011</v>
      </c>
      <c r="H321" s="201">
        <v>8.0645000000000007</v>
      </c>
      <c r="I321" s="201">
        <f t="shared" si="29"/>
        <v>0.18200000000000038</v>
      </c>
      <c r="J321" s="201">
        <f t="shared" si="30"/>
        <v>1.7499999999999627E-2</v>
      </c>
      <c r="K321" s="280">
        <f t="shared" si="31"/>
        <v>8.7719298245612158</v>
      </c>
      <c r="L321" s="201">
        <v>24</v>
      </c>
      <c r="M321" s="204">
        <v>43213</v>
      </c>
      <c r="N321" s="204">
        <v>43213</v>
      </c>
      <c r="AB321" s="110" t="str">
        <f>IFERROR(INDEX('WetLitterbags placem_collection'!$A$3:$A$500,MATCH(A321,'WetLitterbags placem_collection'!$K$4:$K$500,0)),"")</f>
        <v/>
      </c>
      <c r="AC321" s="110">
        <f>IFERROR(INDEX('WetLitterbags placem_collection'!$A$3:$A$500,MATCH($A321,'WetLitterbags placem_collection'!$O$4:$O$500,0)),"")</f>
        <v>179</v>
      </c>
      <c r="AD321" s="110" t="str">
        <f>IFERROR(INDEX('WetLitterbags placem_collection'!$A$3:$A$500,MATCH($A321,'WetLitterbags placem_collection'!$M$4:$M$500,0)),"")</f>
        <v/>
      </c>
      <c r="AE321" s="110" t="str">
        <f>IFERROR(INDEX('WetLitterbags placem_collection'!$A$3:$A$500,MATCH($A321,'WetLitterbags placem_collection'!$Q$4:$Q$500,0)),"")</f>
        <v/>
      </c>
    </row>
    <row r="322" spans="1:31">
      <c r="A322" s="206" t="s">
        <v>1266</v>
      </c>
      <c r="C322" s="201">
        <v>144</v>
      </c>
      <c r="D322" s="201">
        <v>0.53890000000000005</v>
      </c>
      <c r="E322" s="202">
        <v>9.3190000000000008</v>
      </c>
      <c r="F322" s="202">
        <v>0.2011</v>
      </c>
      <c r="G322" s="201">
        <f t="shared" si="28"/>
        <v>9.5201000000000011</v>
      </c>
      <c r="H322" s="201">
        <v>9.3720999999999997</v>
      </c>
      <c r="I322" s="201">
        <f t="shared" si="29"/>
        <v>0.14800000000000146</v>
      </c>
      <c r="J322" s="201">
        <f t="shared" si="30"/>
        <v>5.3099999999998537E-2</v>
      </c>
      <c r="K322" s="280">
        <f t="shared" si="31"/>
        <v>26.404773744405041</v>
      </c>
      <c r="L322" s="201">
        <v>4</v>
      </c>
      <c r="M322" s="205">
        <v>43197</v>
      </c>
      <c r="N322" s="205">
        <v>43197</v>
      </c>
      <c r="O322" s="201"/>
      <c r="P322" s="201"/>
      <c r="AB322" s="110">
        <f>IFERROR(INDEX('WetLitterbags placem_collection'!$A$3:$A$500,MATCH(A322,'WetLitterbags placem_collection'!$K$4:$K$500,0)),"")</f>
        <v>143</v>
      </c>
      <c r="AC322" s="110" t="str">
        <f>IFERROR(INDEX('WetLitterbags placem_collection'!$A$3:$A$500,MATCH($A322,'WetLitterbags placem_collection'!$O$4:$O$500,0)),"")</f>
        <v/>
      </c>
      <c r="AD322" s="110" t="str">
        <f>IFERROR(INDEX('WetLitterbags placem_collection'!$A$3:$A$500,MATCH($A322,'WetLitterbags placem_collection'!$M$4:$M$500,0)),"")</f>
        <v/>
      </c>
      <c r="AE322" s="110" t="str">
        <f>IFERROR(INDEX('WetLitterbags placem_collection'!$A$3:$A$500,MATCH($A322,'WetLitterbags placem_collection'!$Q$4:$Q$500,0)),"")</f>
        <v/>
      </c>
    </row>
    <row r="323" spans="1:31">
      <c r="A323" s="206" t="s">
        <v>1265</v>
      </c>
      <c r="C323" s="201">
        <v>198</v>
      </c>
      <c r="D323" s="201">
        <v>0.46010000000000001</v>
      </c>
      <c r="E323" s="201">
        <v>8.2189999999999994</v>
      </c>
      <c r="F323" s="201">
        <v>0.2006</v>
      </c>
      <c r="G323" s="201">
        <f t="shared" si="28"/>
        <v>8.4195999999999991</v>
      </c>
      <c r="H323" s="201">
        <v>8.2378</v>
      </c>
      <c r="I323" s="201">
        <f t="shared" si="29"/>
        <v>0.18179999999999907</v>
      </c>
      <c r="J323" s="201">
        <f t="shared" si="30"/>
        <v>1.8800000000000927E-2</v>
      </c>
      <c r="K323" s="280">
        <f t="shared" si="31"/>
        <v>9.3718843469595843</v>
      </c>
      <c r="L323" s="201">
        <v>24</v>
      </c>
      <c r="M323" s="203">
        <v>43164.628472222219</v>
      </c>
      <c r="N323" s="203">
        <v>43164.795138888891</v>
      </c>
      <c r="O323" s="197" t="s">
        <v>2550</v>
      </c>
      <c r="P323" s="201"/>
      <c r="AB323" s="110">
        <f>IFERROR(INDEX('WetLitterbags placem_collection'!$A$3:$A$500,MATCH(A323,'WetLitterbags placem_collection'!$K$4:$K$500,0)),"")</f>
        <v>197</v>
      </c>
      <c r="AC323" s="110" t="str">
        <f>IFERROR(INDEX('WetLitterbags placem_collection'!$A$3:$A$500,MATCH($A323,'WetLitterbags placem_collection'!$O$4:$O$500,0)),"")</f>
        <v/>
      </c>
      <c r="AD323" s="110" t="str">
        <f>IFERROR(INDEX('WetLitterbags placem_collection'!$A$3:$A$500,MATCH($A323,'WetLitterbags placem_collection'!$M$4:$M$500,0)),"")</f>
        <v/>
      </c>
      <c r="AE323" s="110" t="str">
        <f>IFERROR(INDEX('WetLitterbags placem_collection'!$A$3:$A$500,MATCH($A323,'WetLitterbags placem_collection'!$Q$4:$Q$500,0)),"")</f>
        <v/>
      </c>
    </row>
    <row r="324" spans="1:31">
      <c r="A324" s="206" t="s">
        <v>1264</v>
      </c>
      <c r="C324" s="201">
        <v>212</v>
      </c>
      <c r="D324" s="201">
        <v>0.64780000000000004</v>
      </c>
      <c r="E324" s="201">
        <v>7.1905999999999999</v>
      </c>
      <c r="F324" s="201">
        <v>0.19969999999999999</v>
      </c>
      <c r="G324" s="201">
        <f t="shared" si="28"/>
        <v>7.3902999999999999</v>
      </c>
      <c r="H324" s="201">
        <v>7.2156000000000002</v>
      </c>
      <c r="I324" s="201">
        <f t="shared" si="29"/>
        <v>0.17469999999999963</v>
      </c>
      <c r="J324" s="201">
        <f t="shared" si="30"/>
        <v>2.5000000000000355E-2</v>
      </c>
      <c r="K324" s="280">
        <f t="shared" si="31"/>
        <v>12.518778167251055</v>
      </c>
      <c r="L324" s="201">
        <v>4</v>
      </c>
      <c r="M324" s="203">
        <v>43171.520833333336</v>
      </c>
      <c r="N324" s="203">
        <v>43171.6875</v>
      </c>
      <c r="O324" s="197" t="s">
        <v>2550</v>
      </c>
      <c r="P324" s="201"/>
      <c r="AB324" s="110">
        <f>IFERROR(INDEX('WetLitterbags placem_collection'!$A$3:$A$500,MATCH(A324,'WetLitterbags placem_collection'!$K$4:$K$500,0)),"")</f>
        <v>211</v>
      </c>
      <c r="AC324" s="110" t="str">
        <f>IFERROR(INDEX('WetLitterbags placem_collection'!$A$3:$A$500,MATCH($A324,'WetLitterbags placem_collection'!$O$4:$O$500,0)),"")</f>
        <v/>
      </c>
      <c r="AD324" s="110" t="str">
        <f>IFERROR(INDEX('WetLitterbags placem_collection'!$A$3:$A$500,MATCH($A324,'WetLitterbags placem_collection'!$M$4:$M$500,0)),"")</f>
        <v/>
      </c>
      <c r="AE324" s="110" t="str">
        <f>IFERROR(INDEX('WetLitterbags placem_collection'!$A$3:$A$500,MATCH($A324,'WetLitterbags placem_collection'!$Q$4:$Q$500,0)),"")</f>
        <v/>
      </c>
    </row>
    <row r="325" spans="1:31">
      <c r="A325" s="206" t="s">
        <v>1263</v>
      </c>
      <c r="C325" s="201">
        <v>140</v>
      </c>
      <c r="D325" s="201">
        <v>0.47910000000000003</v>
      </c>
      <c r="E325" s="201">
        <v>8.7053999999999991</v>
      </c>
      <c r="F325" s="201">
        <v>0.19919999999999999</v>
      </c>
      <c r="G325" s="201">
        <f t="shared" si="28"/>
        <v>8.9045999999999985</v>
      </c>
      <c r="H325" s="201">
        <v>8.7354000000000003</v>
      </c>
      <c r="I325" s="201">
        <f t="shared" si="29"/>
        <v>0.16919999999999824</v>
      </c>
      <c r="J325" s="201">
        <f t="shared" si="30"/>
        <v>3.0000000000001747E-2</v>
      </c>
      <c r="K325" s="280">
        <f t="shared" si="31"/>
        <v>15.0602409638563</v>
      </c>
      <c r="L325" s="201">
        <v>4</v>
      </c>
      <c r="M325" s="203">
        <v>43164.628472222219</v>
      </c>
      <c r="N325" s="203">
        <v>43164.795138888891</v>
      </c>
      <c r="O325" s="197" t="s">
        <v>2550</v>
      </c>
      <c r="P325" s="201"/>
      <c r="AB325" s="110">
        <f>IFERROR(INDEX('WetLitterbags placem_collection'!$A$3:$A$500,MATCH(A325,'WetLitterbags placem_collection'!$K$4:$K$500,0)),"")</f>
        <v>139</v>
      </c>
      <c r="AC325" s="110" t="str">
        <f>IFERROR(INDEX('WetLitterbags placem_collection'!$A$3:$A$500,MATCH($A325,'WetLitterbags placem_collection'!$O$4:$O$500,0)),"")</f>
        <v/>
      </c>
      <c r="AD325" s="110" t="str">
        <f>IFERROR(INDEX('WetLitterbags placem_collection'!$A$3:$A$500,MATCH($A325,'WetLitterbags placem_collection'!$M$4:$M$500,0)),"")</f>
        <v/>
      </c>
      <c r="AE325" s="110" t="str">
        <f>IFERROR(INDEX('WetLitterbags placem_collection'!$A$3:$A$500,MATCH($A325,'WetLitterbags placem_collection'!$Q$4:$Q$500,0)),"")</f>
        <v/>
      </c>
    </row>
    <row r="326" spans="1:31">
      <c r="A326" s="202" t="s">
        <v>1261</v>
      </c>
      <c r="C326" s="201">
        <v>117</v>
      </c>
      <c r="D326" s="201">
        <v>0.67699999999999994</v>
      </c>
      <c r="E326" s="201">
        <v>8.0625999999999998</v>
      </c>
      <c r="F326" s="201">
        <v>0.2006</v>
      </c>
      <c r="G326" s="201">
        <f t="shared" si="28"/>
        <v>8.2631999999999994</v>
      </c>
      <c r="H326" s="201">
        <v>8.1191999999999993</v>
      </c>
      <c r="I326" s="201">
        <f t="shared" si="29"/>
        <v>0.14400000000000013</v>
      </c>
      <c r="J326" s="201">
        <f t="shared" si="30"/>
        <v>5.6599999999999873E-2</v>
      </c>
      <c r="K326" s="280">
        <f t="shared" si="31"/>
        <v>28.215353938185377</v>
      </c>
      <c r="L326" s="201">
        <v>32</v>
      </c>
      <c r="M326" s="205">
        <v>43173</v>
      </c>
      <c r="N326" s="205">
        <v>43173</v>
      </c>
      <c r="O326" s="201" t="s">
        <v>2556</v>
      </c>
      <c r="P326" s="201" t="s">
        <v>2555</v>
      </c>
      <c r="AB326" s="110">
        <f>IFERROR(INDEX('WetLitterbags placem_collection'!$A$3:$A$500,MATCH(A326,'WetLitterbags placem_collection'!$K$4:$K$500,0)),"")</f>
        <v>116</v>
      </c>
      <c r="AC326" s="110" t="str">
        <f>IFERROR(INDEX('WetLitterbags placem_collection'!$A$3:$A$500,MATCH($A326,'WetLitterbags placem_collection'!$O$4:$O$500,0)),"")</f>
        <v/>
      </c>
      <c r="AD326" s="110" t="str">
        <f>IFERROR(INDEX('WetLitterbags placem_collection'!$A$3:$A$500,MATCH($A326,'WetLitterbags placem_collection'!$M$4:$M$500,0)),"")</f>
        <v/>
      </c>
      <c r="AE326" s="110" t="str">
        <f>IFERROR(INDEX('WetLitterbags placem_collection'!$A$3:$A$500,MATCH($A326,'WetLitterbags placem_collection'!$Q$4:$Q$500,0)),"")</f>
        <v/>
      </c>
    </row>
    <row r="327" spans="1:31">
      <c r="A327" s="206" t="s">
        <v>1259</v>
      </c>
      <c r="C327" s="201">
        <v>118</v>
      </c>
      <c r="D327" s="202">
        <v>0.46929999999999999</v>
      </c>
      <c r="E327" s="202">
        <v>7.7736999999999998</v>
      </c>
      <c r="F327" s="202">
        <v>0.20050000000000001</v>
      </c>
      <c r="G327" s="201">
        <f t="shared" si="28"/>
        <v>7.9741999999999997</v>
      </c>
      <c r="H327" s="201">
        <v>7.7986000000000004</v>
      </c>
      <c r="I327" s="201">
        <f t="shared" si="29"/>
        <v>0.17559999999999931</v>
      </c>
      <c r="J327" s="201">
        <f t="shared" si="30"/>
        <v>2.4900000000000699E-2</v>
      </c>
      <c r="K327" s="280">
        <f t="shared" si="31"/>
        <v>12.418952618454213</v>
      </c>
      <c r="L327" s="201">
        <v>19</v>
      </c>
      <c r="N327" s="201"/>
      <c r="O327" s="201"/>
      <c r="P327" s="201"/>
      <c r="AB327" s="110" t="str">
        <f>IFERROR(INDEX('WetLitterbags placem_collection'!$A$3:$A$500,MATCH(A327,'WetLitterbags placem_collection'!$K$4:$K$500,0)),"")</f>
        <v/>
      </c>
      <c r="AC327" s="110">
        <f>IFERROR(INDEX('WetLitterbags placem_collection'!$A$3:$A$500,MATCH($A327,'WetLitterbags placem_collection'!$O$4:$O$500,0)),"")</f>
        <v>117</v>
      </c>
      <c r="AD327" s="110" t="str">
        <f>IFERROR(INDEX('WetLitterbags placem_collection'!$A$3:$A$500,MATCH($A327,'WetLitterbags placem_collection'!$M$4:$M$500,0)),"")</f>
        <v/>
      </c>
      <c r="AE327" s="110" t="str">
        <f>IFERROR(INDEX('WetLitterbags placem_collection'!$A$3:$A$500,MATCH($A327,'WetLitterbags placem_collection'!$Q$4:$Q$500,0)),"")</f>
        <v/>
      </c>
    </row>
    <row r="328" spans="1:31">
      <c r="A328" s="201" t="s">
        <v>1257</v>
      </c>
      <c r="C328" s="201">
        <v>125</v>
      </c>
      <c r="D328" s="201">
        <v>0.58720000000000006</v>
      </c>
      <c r="E328" s="202">
        <v>7.0933000000000002</v>
      </c>
      <c r="F328" s="202">
        <v>0.20130000000000001</v>
      </c>
      <c r="G328" s="201">
        <f t="shared" si="28"/>
        <v>7.2946</v>
      </c>
      <c r="H328" s="201">
        <v>7.1494999999999997</v>
      </c>
      <c r="I328" s="201">
        <f t="shared" si="29"/>
        <v>0.14510000000000023</v>
      </c>
      <c r="J328" s="201">
        <f t="shared" si="30"/>
        <v>5.6199999999999778E-2</v>
      </c>
      <c r="K328" s="280">
        <f t="shared" si="31"/>
        <v>27.918529557873711</v>
      </c>
      <c r="L328" s="201">
        <v>16</v>
      </c>
      <c r="M328" s="205">
        <v>43197</v>
      </c>
      <c r="N328" s="205">
        <v>43197</v>
      </c>
      <c r="O328" s="201"/>
      <c r="P328" s="201"/>
      <c r="AB328" s="110">
        <f>IFERROR(INDEX('WetLitterbags placem_collection'!$A$3:$A$500,MATCH(A328,'WetLitterbags placem_collection'!$K$4:$K$500,0)),"")</f>
        <v>124</v>
      </c>
      <c r="AC328" s="110" t="str">
        <f>IFERROR(INDEX('WetLitterbags placem_collection'!$A$3:$A$500,MATCH($A328,'WetLitterbags placem_collection'!$O$4:$O$500,0)),"")</f>
        <v/>
      </c>
      <c r="AD328" s="110" t="str">
        <f>IFERROR(INDEX('WetLitterbags placem_collection'!$A$3:$A$500,MATCH($A328,'WetLitterbags placem_collection'!$M$4:$M$500,0)),"")</f>
        <v/>
      </c>
      <c r="AE328" s="110" t="str">
        <f>IFERROR(INDEX('WetLitterbags placem_collection'!$A$3:$A$500,MATCH($A328,'WetLitterbags placem_collection'!$Q$4:$Q$500,0)),"")</f>
        <v/>
      </c>
    </row>
    <row r="329" spans="1:31">
      <c r="A329" s="201" t="s">
        <v>1255</v>
      </c>
      <c r="C329" s="201">
        <v>217</v>
      </c>
      <c r="D329" s="201">
        <v>0.57120000000000004</v>
      </c>
      <c r="E329" s="201">
        <v>7.9939999999999998</v>
      </c>
      <c r="F329" s="202">
        <v>0.2056</v>
      </c>
      <c r="G329" s="201">
        <f t="shared" si="28"/>
        <v>8.1996000000000002</v>
      </c>
      <c r="H329" s="201">
        <v>8.0124999999999993</v>
      </c>
      <c r="I329" s="201">
        <f t="shared" si="29"/>
        <v>0.18710000000000093</v>
      </c>
      <c r="J329" s="201">
        <f t="shared" si="30"/>
        <v>1.8499999999999073E-2</v>
      </c>
      <c r="K329" s="280">
        <f t="shared" si="31"/>
        <v>8.99805447470772</v>
      </c>
      <c r="L329" s="201">
        <v>6</v>
      </c>
      <c r="M329" s="205">
        <v>43211</v>
      </c>
      <c r="N329" s="201"/>
      <c r="O329" s="201"/>
      <c r="P329" s="201"/>
      <c r="AB329" s="110">
        <f>IFERROR(INDEX('WetLitterbags placem_collection'!$A$3:$A$500,MATCH(A329,'WetLitterbags placem_collection'!$K$4:$K$500,0)),"")</f>
        <v>216</v>
      </c>
      <c r="AC329" s="110" t="str">
        <f>IFERROR(INDEX('WetLitterbags placem_collection'!$A$3:$A$500,MATCH($A329,'WetLitterbags placem_collection'!$O$4:$O$500,0)),"")</f>
        <v/>
      </c>
      <c r="AD329" s="110" t="str">
        <f>IFERROR(INDEX('WetLitterbags placem_collection'!$A$3:$A$500,MATCH($A329,'WetLitterbags placem_collection'!$M$4:$M$500,0)),"")</f>
        <v/>
      </c>
      <c r="AE329" s="110" t="str">
        <f>IFERROR(INDEX('WetLitterbags placem_collection'!$A$3:$A$500,MATCH($A329,'WetLitterbags placem_collection'!$Q$4:$Q$500,0)),"")</f>
        <v/>
      </c>
    </row>
    <row r="330" spans="1:31">
      <c r="A330" s="202" t="s">
        <v>1254</v>
      </c>
      <c r="C330" s="201">
        <v>211</v>
      </c>
      <c r="D330" s="201">
        <v>0.66139999999999988</v>
      </c>
      <c r="E330" s="201">
        <v>8.7333999999999996</v>
      </c>
      <c r="F330" s="201">
        <v>0.2026</v>
      </c>
      <c r="G330" s="201">
        <f t="shared" si="28"/>
        <v>8.9359999999999999</v>
      </c>
      <c r="H330" s="201">
        <v>8.8157999999999994</v>
      </c>
      <c r="I330" s="201">
        <f t="shared" si="29"/>
        <v>0.12020000000000053</v>
      </c>
      <c r="J330" s="201">
        <f t="shared" si="30"/>
        <v>8.2399999999999474E-2</v>
      </c>
      <c r="K330" s="280">
        <f t="shared" si="31"/>
        <v>40.67127344521198</v>
      </c>
      <c r="L330" s="201">
        <v>15</v>
      </c>
      <c r="M330" s="205">
        <v>43173</v>
      </c>
      <c r="N330" s="205">
        <v>43173</v>
      </c>
      <c r="O330" s="201" t="s">
        <v>2556</v>
      </c>
      <c r="P330" s="201" t="s">
        <v>2555</v>
      </c>
      <c r="AB330" s="110" t="str">
        <f>IFERROR(INDEX('WetLitterbags placem_collection'!$A$3:$A$500,MATCH(A330,'WetLitterbags placem_collection'!$K$4:$K$500,0)),"")</f>
        <v/>
      </c>
      <c r="AC330" s="110">
        <f>IFERROR(INDEX('WetLitterbags placem_collection'!$A$3:$A$500,MATCH($A330,'WetLitterbags placem_collection'!$O$4:$O$500,0)),"")</f>
        <v>210</v>
      </c>
      <c r="AD330" s="110" t="str">
        <f>IFERROR(INDEX('WetLitterbags placem_collection'!$A$3:$A$500,MATCH($A330,'WetLitterbags placem_collection'!$M$4:$M$500,0)),"")</f>
        <v/>
      </c>
      <c r="AE330" s="110" t="str">
        <f>IFERROR(INDEX('WetLitterbags placem_collection'!$A$3:$A$500,MATCH($A330,'WetLitterbags placem_collection'!$Q$4:$Q$500,0)),"")</f>
        <v/>
      </c>
    </row>
    <row r="331" spans="1:31">
      <c r="A331" s="201" t="s">
        <v>1252</v>
      </c>
      <c r="C331" s="201">
        <v>139</v>
      </c>
      <c r="D331" s="201">
        <v>0.4768</v>
      </c>
      <c r="E331" s="202">
        <v>7.4809999999999999</v>
      </c>
      <c r="F331" s="202">
        <v>0.20300000000000001</v>
      </c>
      <c r="G331" s="201">
        <f t="shared" si="28"/>
        <v>7.6840000000000002</v>
      </c>
      <c r="H331" s="201">
        <v>7.5209999999999999</v>
      </c>
      <c r="I331" s="201">
        <f t="shared" si="29"/>
        <v>0.16300000000000026</v>
      </c>
      <c r="J331" s="201">
        <f t="shared" si="30"/>
        <v>3.9999999999999758E-2</v>
      </c>
      <c r="K331" s="280">
        <f t="shared" si="31"/>
        <v>19.704433497536826</v>
      </c>
      <c r="L331" s="201">
        <v>8</v>
      </c>
      <c r="M331" s="205">
        <v>43199</v>
      </c>
      <c r="N331" s="205">
        <v>43199</v>
      </c>
      <c r="O331" s="201"/>
      <c r="P331" s="201" t="s">
        <v>2571</v>
      </c>
      <c r="AB331" s="110">
        <f>IFERROR(INDEX('WetLitterbags placem_collection'!$A$3:$A$500,MATCH(A331,'WetLitterbags placem_collection'!$K$4:$K$500,0)),"")</f>
        <v>138</v>
      </c>
      <c r="AC331" s="110" t="str">
        <f>IFERROR(INDEX('WetLitterbags placem_collection'!$A$3:$A$500,MATCH($A331,'WetLitterbags placem_collection'!$O$4:$O$500,0)),"")</f>
        <v/>
      </c>
      <c r="AD331" s="110" t="str">
        <f>IFERROR(INDEX('WetLitterbags placem_collection'!$A$3:$A$500,MATCH($A331,'WetLitterbags placem_collection'!$M$4:$M$500,0)),"")</f>
        <v/>
      </c>
      <c r="AE331" s="110" t="str">
        <f>IFERROR(INDEX('WetLitterbags placem_collection'!$A$3:$A$500,MATCH($A331,'WetLitterbags placem_collection'!$Q$4:$Q$500,0)),"")</f>
        <v/>
      </c>
    </row>
    <row r="332" spans="1:31">
      <c r="A332" s="197" t="s">
        <v>1251</v>
      </c>
      <c r="C332" s="197">
        <v>133</v>
      </c>
      <c r="D332" s="197">
        <v>0.43490000000000001</v>
      </c>
      <c r="E332" s="197">
        <v>8.1328999999999994</v>
      </c>
      <c r="F332" s="197">
        <v>0.20250000000000001</v>
      </c>
      <c r="G332" s="197">
        <f t="shared" si="28"/>
        <v>8.3353999999999999</v>
      </c>
      <c r="H332" s="197">
        <v>8.1613000000000007</v>
      </c>
      <c r="I332" s="197">
        <f t="shared" si="29"/>
        <v>0.17409999999999926</v>
      </c>
      <c r="J332" s="201">
        <f t="shared" si="30"/>
        <v>2.8400000000000758E-2</v>
      </c>
      <c r="K332" s="280">
        <f t="shared" si="31"/>
        <v>14.024691358025066</v>
      </c>
      <c r="L332" s="197">
        <v>16</v>
      </c>
      <c r="M332" s="197">
        <v>43157.395833333336</v>
      </c>
      <c r="N332" s="197">
        <v>43157.569444444445</v>
      </c>
      <c r="O332" s="197" t="s">
        <v>2550</v>
      </c>
      <c r="AB332" s="110" t="str">
        <f>IFERROR(INDEX('WetLitterbags placem_collection'!$A$3:$A$500,MATCH(A332,'WetLitterbags placem_collection'!$K$4:$K$500,0)),"")</f>
        <v/>
      </c>
      <c r="AC332" s="110">
        <f>IFERROR(INDEX('WetLitterbags placem_collection'!$A$3:$A$500,MATCH($A332,'WetLitterbags placem_collection'!$O$4:$O$500,0)),"")</f>
        <v>132</v>
      </c>
      <c r="AD332" s="110" t="str">
        <f>IFERROR(INDEX('WetLitterbags placem_collection'!$A$3:$A$500,MATCH($A332,'WetLitterbags placem_collection'!$M$4:$M$500,0)),"")</f>
        <v/>
      </c>
      <c r="AE332" s="110" t="str">
        <f>IFERROR(INDEX('WetLitterbags placem_collection'!$A$3:$A$500,MATCH($A332,'WetLitterbags placem_collection'!$Q$4:$Q$500,0)),"")</f>
        <v/>
      </c>
    </row>
    <row r="333" spans="1:31">
      <c r="A333" s="197" t="s">
        <v>1250</v>
      </c>
      <c r="C333" s="198">
        <v>153</v>
      </c>
      <c r="D333" s="197">
        <v>0.3836</v>
      </c>
      <c r="E333" s="201">
        <v>10.1531</v>
      </c>
      <c r="F333" s="202">
        <v>0.20330000000000001</v>
      </c>
      <c r="G333" s="201">
        <f t="shared" si="28"/>
        <v>10.356400000000001</v>
      </c>
      <c r="H333" s="201">
        <v>10.1874</v>
      </c>
      <c r="I333" s="201">
        <f t="shared" si="29"/>
        <v>0.16900000000000048</v>
      </c>
      <c r="J333" s="201">
        <f t="shared" si="30"/>
        <v>3.4299999999999525E-2</v>
      </c>
      <c r="K333" s="280">
        <f t="shared" si="31"/>
        <v>16.871618298081419</v>
      </c>
      <c r="L333" s="201">
        <v>13</v>
      </c>
      <c r="M333" s="204">
        <v>43212</v>
      </c>
      <c r="AB333" s="110">
        <f>IFERROR(INDEX('WetLitterbags placem_collection'!$A$3:$A$500,MATCH(A333,'WetLitterbags placem_collection'!$K$4:$K$500,0)),"")</f>
        <v>152</v>
      </c>
      <c r="AC333" s="110" t="str">
        <f>IFERROR(INDEX('WetLitterbags placem_collection'!$A$3:$A$500,MATCH($A333,'WetLitterbags placem_collection'!$O$4:$O$500,0)),"")</f>
        <v/>
      </c>
      <c r="AD333" s="110" t="str">
        <f>IFERROR(INDEX('WetLitterbags placem_collection'!$A$3:$A$500,MATCH($A333,'WetLitterbags placem_collection'!$M$4:$M$500,0)),"")</f>
        <v/>
      </c>
      <c r="AE333" s="110" t="str">
        <f>IFERROR(INDEX('WetLitterbags placem_collection'!$A$3:$A$500,MATCH($A333,'WetLitterbags placem_collection'!$Q$4:$Q$500,0)),"")</f>
        <v/>
      </c>
    </row>
    <row r="334" spans="1:31">
      <c r="A334" s="206" t="s">
        <v>1249</v>
      </c>
      <c r="C334" s="201">
        <v>150</v>
      </c>
      <c r="D334" s="201">
        <v>0.40389999999999998</v>
      </c>
      <c r="E334" s="202">
        <v>9.8871000000000002</v>
      </c>
      <c r="F334" s="202">
        <v>0.2031</v>
      </c>
      <c r="G334" s="201">
        <f t="shared" si="28"/>
        <v>10.090199999999999</v>
      </c>
      <c r="H334" s="201">
        <v>9.9278999999999993</v>
      </c>
      <c r="I334" s="201">
        <f t="shared" si="29"/>
        <v>0.16230000000000011</v>
      </c>
      <c r="J334" s="201">
        <f t="shared" si="30"/>
        <v>4.0799999999999892E-2</v>
      </c>
      <c r="K334" s="280">
        <f t="shared" si="31"/>
        <v>20.08862629246671</v>
      </c>
      <c r="L334" s="201">
        <v>11</v>
      </c>
      <c r="M334" s="205">
        <v>43199</v>
      </c>
      <c r="N334" s="205">
        <v>43199</v>
      </c>
      <c r="O334" s="201"/>
      <c r="P334" s="201"/>
      <c r="AB334" s="110" t="str">
        <f>IFERROR(INDEX('WetLitterbags placem_collection'!$A$3:$A$500,MATCH(A334,'WetLitterbags placem_collection'!$K$4:$K$500,0)),"")</f>
        <v/>
      </c>
      <c r="AC334" s="110">
        <f>IFERROR(INDEX('WetLitterbags placem_collection'!$A$3:$A$500,MATCH($A334,'WetLitterbags placem_collection'!$O$4:$O$500,0)),"")</f>
        <v>149</v>
      </c>
      <c r="AD334" s="110" t="str">
        <f>IFERROR(INDEX('WetLitterbags placem_collection'!$A$3:$A$500,MATCH($A334,'WetLitterbags placem_collection'!$M$4:$M$500,0)),"")</f>
        <v/>
      </c>
      <c r="AE334" s="110" t="str">
        <f>IFERROR(INDEX('WetLitterbags placem_collection'!$A$3:$A$500,MATCH($A334,'WetLitterbags placem_collection'!$Q$4:$Q$500,0)),"")</f>
        <v/>
      </c>
    </row>
    <row r="335" spans="1:31">
      <c r="A335" s="201" t="s">
        <v>1248</v>
      </c>
      <c r="C335" s="201">
        <v>119</v>
      </c>
      <c r="D335" s="201">
        <v>0.43930000000000002</v>
      </c>
      <c r="E335" s="202">
        <v>11.091799999999999</v>
      </c>
      <c r="F335" s="202">
        <v>0.20100000000000001</v>
      </c>
      <c r="G335" s="201">
        <f t="shared" si="28"/>
        <v>11.2928</v>
      </c>
      <c r="H335" s="201">
        <v>11.1129</v>
      </c>
      <c r="I335" s="201">
        <f t="shared" si="29"/>
        <v>0.17989999999999995</v>
      </c>
      <c r="J335" s="201">
        <f t="shared" si="30"/>
        <v>2.1100000000000063E-2</v>
      </c>
      <c r="K335" s="280">
        <f t="shared" si="31"/>
        <v>10.497512437810975</v>
      </c>
      <c r="L335" s="201">
        <v>26</v>
      </c>
      <c r="M335" s="205">
        <v>43197</v>
      </c>
      <c r="N335" s="205">
        <v>43197</v>
      </c>
      <c r="O335" s="201"/>
      <c r="P335" s="201"/>
      <c r="AB335" s="110" t="str">
        <f>IFERROR(INDEX('WetLitterbags placem_collection'!$A$3:$A$500,MATCH(A335,'WetLitterbags placem_collection'!$K$4:$K$500,0)),"")</f>
        <v/>
      </c>
      <c r="AC335" s="110">
        <f>IFERROR(INDEX('WetLitterbags placem_collection'!$A$3:$A$500,MATCH($A335,'WetLitterbags placem_collection'!$O$4:$O$500,0)),"")</f>
        <v>118</v>
      </c>
      <c r="AD335" s="110" t="str">
        <f>IFERROR(INDEX('WetLitterbags placem_collection'!$A$3:$A$500,MATCH($A335,'WetLitterbags placem_collection'!$M$4:$M$500,0)),"")</f>
        <v/>
      </c>
      <c r="AE335" s="110" t="str">
        <f>IFERROR(INDEX('WetLitterbags placem_collection'!$A$3:$A$500,MATCH($A335,'WetLitterbags placem_collection'!$Q$4:$Q$500,0)),"")</f>
        <v/>
      </c>
    </row>
    <row r="336" spans="1:31">
      <c r="A336" s="206" t="s">
        <v>1247</v>
      </c>
      <c r="C336" s="201">
        <v>114</v>
      </c>
      <c r="D336" s="202">
        <v>0.44309999999999999</v>
      </c>
      <c r="E336" s="202">
        <v>9.3219999999999992</v>
      </c>
      <c r="F336" s="202">
        <v>0.20019999999999999</v>
      </c>
      <c r="G336" s="201">
        <f t="shared" si="28"/>
        <v>9.5221999999999998</v>
      </c>
      <c r="H336" s="201">
        <v>9.3641000000000005</v>
      </c>
      <c r="I336" s="201">
        <f t="shared" si="29"/>
        <v>0.15809999999999924</v>
      </c>
      <c r="J336" s="201">
        <f t="shared" si="30"/>
        <v>4.2100000000000748E-2</v>
      </c>
      <c r="K336" s="280">
        <f t="shared" si="31"/>
        <v>21.028971028971405</v>
      </c>
      <c r="L336" s="201">
        <v>28</v>
      </c>
      <c r="M336" s="203">
        <v>43181.645833333336</v>
      </c>
      <c r="N336" s="203">
        <v>43181.833333333336</v>
      </c>
      <c r="O336" s="201" t="s">
        <v>2556</v>
      </c>
      <c r="AB336" s="110">
        <f>IFERROR(INDEX('WetLitterbags placem_collection'!$A$3:$A$500,MATCH(A336,'WetLitterbags placem_collection'!$K$4:$K$500,0)),"")</f>
        <v>113</v>
      </c>
      <c r="AC336" s="110" t="str">
        <f>IFERROR(INDEX('WetLitterbags placem_collection'!$A$3:$A$500,MATCH($A336,'WetLitterbags placem_collection'!$O$4:$O$500,0)),"")</f>
        <v/>
      </c>
      <c r="AD336" s="110" t="str">
        <f>IFERROR(INDEX('WetLitterbags placem_collection'!$A$3:$A$500,MATCH($A336,'WetLitterbags placem_collection'!$M$4:$M$500,0)),"")</f>
        <v/>
      </c>
      <c r="AE336" s="110" t="str">
        <f>IFERROR(INDEX('WetLitterbags placem_collection'!$A$3:$A$500,MATCH($A336,'WetLitterbags placem_collection'!$Q$4:$Q$500,0)),"")</f>
        <v/>
      </c>
    </row>
    <row r="337" spans="1:31">
      <c r="A337" s="201" t="s">
        <v>1246</v>
      </c>
      <c r="C337" s="201">
        <v>217</v>
      </c>
      <c r="D337" s="201">
        <v>0.4556</v>
      </c>
      <c r="E337" s="201">
        <v>10.617900000000001</v>
      </c>
      <c r="F337" s="202">
        <v>0.20169999999999999</v>
      </c>
      <c r="G337" s="201">
        <f t="shared" si="28"/>
        <v>10.819600000000001</v>
      </c>
      <c r="H337" s="201">
        <v>10.635199999999999</v>
      </c>
      <c r="I337" s="201">
        <f t="shared" si="29"/>
        <v>0.1844000000000019</v>
      </c>
      <c r="J337" s="201">
        <f t="shared" si="30"/>
        <v>1.7299999999998095E-2</v>
      </c>
      <c r="K337" s="280">
        <f t="shared" si="31"/>
        <v>8.5770946950907749</v>
      </c>
      <c r="L337" s="201">
        <v>5</v>
      </c>
      <c r="M337" s="205">
        <v>43211</v>
      </c>
      <c r="N337" s="201"/>
      <c r="O337" s="201"/>
      <c r="P337" s="201" t="s">
        <v>2552</v>
      </c>
      <c r="AB337" s="110" t="str">
        <f>IFERROR(INDEX('WetLitterbags placem_collection'!$A$3:$A$500,MATCH(A337,'WetLitterbags placem_collection'!$K$4:$K$500,0)),"")</f>
        <v/>
      </c>
      <c r="AC337" s="110">
        <f>IFERROR(INDEX('WetLitterbags placem_collection'!$A$3:$A$500,MATCH($A337,'WetLitterbags placem_collection'!$O$4:$O$500,0)),"")</f>
        <v>216</v>
      </c>
      <c r="AD337" s="110" t="str">
        <f>IFERROR(INDEX('WetLitterbags placem_collection'!$A$3:$A$500,MATCH($A337,'WetLitterbags placem_collection'!$M$4:$M$500,0)),"")</f>
        <v/>
      </c>
      <c r="AE337" s="110" t="str">
        <f>IFERROR(INDEX('WetLitterbags placem_collection'!$A$3:$A$500,MATCH($A337,'WetLitterbags placem_collection'!$Q$4:$Q$500,0)),"")</f>
        <v/>
      </c>
    </row>
    <row r="338" spans="1:31">
      <c r="A338" s="201" t="s">
        <v>1245</v>
      </c>
      <c r="C338" s="201">
        <v>137</v>
      </c>
      <c r="D338" s="202">
        <v>0.41139999999999999</v>
      </c>
      <c r="E338" s="201">
        <v>9.6789000000000005</v>
      </c>
      <c r="F338" s="202">
        <v>0.20749999999999999</v>
      </c>
      <c r="G338" s="201">
        <f t="shared" si="28"/>
        <v>9.8864000000000001</v>
      </c>
      <c r="H338" s="201">
        <v>9.7113999999999994</v>
      </c>
      <c r="I338" s="201">
        <f t="shared" si="29"/>
        <v>0.17500000000000071</v>
      </c>
      <c r="J338" s="201">
        <f t="shared" si="30"/>
        <v>3.2499999999999279E-2</v>
      </c>
      <c r="K338" s="280">
        <f t="shared" si="31"/>
        <v>15.662650602409292</v>
      </c>
      <c r="L338" s="201">
        <v>28</v>
      </c>
      <c r="M338" s="205">
        <v>43206</v>
      </c>
      <c r="N338" s="205">
        <v>43206</v>
      </c>
      <c r="O338" s="201"/>
      <c r="P338" s="201"/>
      <c r="AB338" s="110">
        <f>IFERROR(INDEX('WetLitterbags placem_collection'!$A$3:$A$500,MATCH(A338,'WetLitterbags placem_collection'!$K$4:$K$500,0)),"")</f>
        <v>136</v>
      </c>
      <c r="AC338" s="110" t="str">
        <f>IFERROR(INDEX('WetLitterbags placem_collection'!$A$3:$A$500,MATCH($A338,'WetLitterbags placem_collection'!$O$4:$O$500,0)),"")</f>
        <v/>
      </c>
      <c r="AD338" s="110" t="str">
        <f>IFERROR(INDEX('WetLitterbags placem_collection'!$A$3:$A$500,MATCH($A338,'WetLitterbags placem_collection'!$M$4:$M$500,0)),"")</f>
        <v/>
      </c>
      <c r="AE338" s="110" t="str">
        <f>IFERROR(INDEX('WetLitterbags placem_collection'!$A$3:$A$500,MATCH($A338,'WetLitterbags placem_collection'!$Q$4:$Q$500,0)),"")</f>
        <v/>
      </c>
    </row>
    <row r="339" spans="1:31">
      <c r="A339" s="201" t="s">
        <v>1244</v>
      </c>
      <c r="C339" s="201">
        <v>104</v>
      </c>
      <c r="D339" s="201">
        <f>0.322+F339</f>
        <v>0.52729999999999999</v>
      </c>
      <c r="E339" s="202">
        <v>11.023</v>
      </c>
      <c r="F339" s="202">
        <v>0.20530000000000001</v>
      </c>
      <c r="G339" s="201">
        <f t="shared" si="28"/>
        <v>11.228299999999999</v>
      </c>
      <c r="H339" s="201">
        <v>11.057600000000001</v>
      </c>
      <c r="I339" s="201">
        <f t="shared" si="29"/>
        <v>0.1706999999999983</v>
      </c>
      <c r="J339" s="201">
        <f t="shared" si="30"/>
        <v>3.4600000000001713E-2</v>
      </c>
      <c r="K339" s="280">
        <f t="shared" si="31"/>
        <v>16.853385289820611</v>
      </c>
      <c r="L339" s="201">
        <v>31</v>
      </c>
      <c r="M339" s="205">
        <v>43174</v>
      </c>
      <c r="N339" s="205">
        <v>43174</v>
      </c>
      <c r="O339" s="201" t="s">
        <v>2556</v>
      </c>
      <c r="P339" s="201" t="s">
        <v>2551</v>
      </c>
      <c r="AB339" s="110" t="str">
        <f>IFERROR(INDEX('WetLitterbags placem_collection'!$A$3:$A$500,MATCH(A339,'WetLitterbags placem_collection'!$K$4:$K$500,0)),"")</f>
        <v/>
      </c>
      <c r="AC339" s="110">
        <f>IFERROR(INDEX('WetLitterbags placem_collection'!$A$3:$A$500,MATCH($A339,'WetLitterbags placem_collection'!$O$4:$O$500,0)),"")</f>
        <v>103</v>
      </c>
      <c r="AD339" s="110" t="str">
        <f>IFERROR(INDEX('WetLitterbags placem_collection'!$A$3:$A$500,MATCH($A339,'WetLitterbags placem_collection'!$M$4:$M$500,0)),"")</f>
        <v/>
      </c>
      <c r="AE339" s="110" t="str">
        <f>IFERROR(INDEX('WetLitterbags placem_collection'!$A$3:$A$500,MATCH($A339,'WetLitterbags placem_collection'!$Q$4:$Q$500,0)),"")</f>
        <v/>
      </c>
    </row>
    <row r="340" spans="1:31">
      <c r="A340" s="206" t="s">
        <v>1243</v>
      </c>
      <c r="C340" s="201">
        <v>148</v>
      </c>
      <c r="D340" s="202">
        <v>0.52270000000000005</v>
      </c>
      <c r="E340" s="202">
        <v>11.7468</v>
      </c>
      <c r="F340" s="202">
        <v>0.20830000000000001</v>
      </c>
      <c r="G340" s="201">
        <f t="shared" si="28"/>
        <v>11.9551</v>
      </c>
      <c r="H340" s="201">
        <v>11.786799999999999</v>
      </c>
      <c r="I340" s="201">
        <f t="shared" si="29"/>
        <v>0.16830000000000034</v>
      </c>
      <c r="J340" s="201">
        <f t="shared" si="30"/>
        <v>3.9999999999999675E-2</v>
      </c>
      <c r="K340" s="280">
        <f t="shared" si="31"/>
        <v>19.203072491598501</v>
      </c>
      <c r="L340" s="201">
        <v>21</v>
      </c>
      <c r="M340" s="203">
        <v>43181.645833333336</v>
      </c>
      <c r="N340" s="203">
        <v>43181.833333333336</v>
      </c>
      <c r="O340" s="201" t="s">
        <v>2556</v>
      </c>
      <c r="P340" s="201" t="s">
        <v>2569</v>
      </c>
      <c r="AB340" s="110" t="str">
        <f>IFERROR(INDEX('WetLitterbags placem_collection'!$A$3:$A$500,MATCH(A340,'WetLitterbags placem_collection'!$K$4:$K$500,0)),"")</f>
        <v/>
      </c>
      <c r="AC340" s="110">
        <f>IFERROR(INDEX('WetLitterbags placem_collection'!$A$3:$A$500,MATCH($A340,'WetLitterbags placem_collection'!$O$4:$O$500,0)),"")</f>
        <v>147</v>
      </c>
      <c r="AD340" s="110" t="str">
        <f>IFERROR(INDEX('WetLitterbags placem_collection'!$A$3:$A$500,MATCH($A340,'WetLitterbags placem_collection'!$M$4:$M$500,0)),"")</f>
        <v/>
      </c>
      <c r="AE340" s="110" t="str">
        <f>IFERROR(INDEX('WetLitterbags placem_collection'!$A$3:$A$500,MATCH($A340,'WetLitterbags placem_collection'!$Q$4:$Q$500,0)),"")</f>
        <v/>
      </c>
    </row>
    <row r="341" spans="1:31">
      <c r="A341" s="197" t="s">
        <v>1242</v>
      </c>
      <c r="C341" s="198">
        <v>101</v>
      </c>
      <c r="D341" s="197">
        <v>0.37919999999999998</v>
      </c>
      <c r="E341" s="197">
        <v>10.6348</v>
      </c>
      <c r="F341" s="202">
        <v>0.2016</v>
      </c>
      <c r="G341" s="201">
        <f t="shared" si="28"/>
        <v>10.836400000000001</v>
      </c>
      <c r="H341" s="201">
        <v>10.668699999999999</v>
      </c>
      <c r="I341" s="201">
        <f t="shared" si="29"/>
        <v>0.16770000000000174</v>
      </c>
      <c r="J341" s="201">
        <f t="shared" si="30"/>
        <v>3.3899999999998265E-2</v>
      </c>
      <c r="K341" s="280">
        <f t="shared" si="31"/>
        <v>16.81547619047533</v>
      </c>
      <c r="L341" s="201">
        <v>6</v>
      </c>
      <c r="AB341" s="110">
        <f>IFERROR(INDEX('WetLitterbags placem_collection'!$A$3:$A$500,MATCH(A341,'WetLitterbags placem_collection'!$K$4:$K$500,0)),"")</f>
        <v>100</v>
      </c>
      <c r="AC341" s="110" t="str">
        <f>IFERROR(INDEX('WetLitterbags placem_collection'!$A$3:$A$500,MATCH($A341,'WetLitterbags placem_collection'!$O$4:$O$500,0)),"")</f>
        <v/>
      </c>
      <c r="AD341" s="110" t="str">
        <f>IFERROR(INDEX('WetLitterbags placem_collection'!$A$3:$A$500,MATCH($A341,'WetLitterbags placem_collection'!$M$4:$M$500,0)),"")</f>
        <v/>
      </c>
      <c r="AE341" s="110" t="str">
        <f>IFERROR(INDEX('WetLitterbags placem_collection'!$A$3:$A$500,MATCH($A341,'WetLitterbags placem_collection'!$Q$4:$Q$500,0)),"")</f>
        <v/>
      </c>
    </row>
    <row r="342" spans="1:31">
      <c r="A342" s="206" t="s">
        <v>1241</v>
      </c>
      <c r="C342" s="201">
        <v>160</v>
      </c>
      <c r="D342" s="201">
        <v>0.502</v>
      </c>
      <c r="E342" s="201">
        <v>8.1328999999999994</v>
      </c>
      <c r="F342" s="202">
        <v>0.20799999999999999</v>
      </c>
      <c r="G342" s="201">
        <f t="shared" si="28"/>
        <v>8.3408999999999995</v>
      </c>
      <c r="H342" s="201">
        <v>8.1625999999999994</v>
      </c>
      <c r="I342" s="201">
        <f t="shared" si="29"/>
        <v>0.17830000000000013</v>
      </c>
      <c r="J342" s="201">
        <f t="shared" si="30"/>
        <v>2.9699999999999865E-2</v>
      </c>
      <c r="K342" s="280">
        <f t="shared" si="31"/>
        <v>14.278846153846089</v>
      </c>
      <c r="L342" s="201">
        <v>18</v>
      </c>
      <c r="M342" s="205">
        <v>43211</v>
      </c>
      <c r="AB342" s="110">
        <f>IFERROR(INDEX('WetLitterbags placem_collection'!$A$3:$A$500,MATCH(A342,'WetLitterbags placem_collection'!$K$4:$K$500,0)),"")</f>
        <v>159</v>
      </c>
      <c r="AC342" s="110" t="str">
        <f>IFERROR(INDEX('WetLitterbags placem_collection'!$A$3:$A$500,MATCH($A342,'WetLitterbags placem_collection'!$O$4:$O$500,0)),"")</f>
        <v/>
      </c>
      <c r="AD342" s="110" t="str">
        <f>IFERROR(INDEX('WetLitterbags placem_collection'!$A$3:$A$500,MATCH($A342,'WetLitterbags placem_collection'!$M$4:$M$500,0)),"")</f>
        <v/>
      </c>
      <c r="AE342" s="110" t="str">
        <f>IFERROR(INDEX('WetLitterbags placem_collection'!$A$3:$A$500,MATCH($A342,'WetLitterbags placem_collection'!$Q$4:$Q$500,0)),"")</f>
        <v/>
      </c>
    </row>
    <row r="343" spans="1:31">
      <c r="A343" s="201" t="s">
        <v>1240</v>
      </c>
      <c r="C343" s="201">
        <v>165</v>
      </c>
      <c r="D343" s="201">
        <v>0.4632</v>
      </c>
      <c r="E343" s="201">
        <v>7.7762000000000002</v>
      </c>
      <c r="F343" s="201">
        <v>0.20080000000000001</v>
      </c>
      <c r="G343" s="201">
        <f t="shared" si="28"/>
        <v>7.9770000000000003</v>
      </c>
      <c r="H343" s="201">
        <v>7.7915999999999999</v>
      </c>
      <c r="I343" s="201">
        <f t="shared" si="29"/>
        <v>0.18540000000000045</v>
      </c>
      <c r="J343" s="201">
        <f t="shared" si="30"/>
        <v>1.5399999999999553E-2</v>
      </c>
      <c r="K343" s="280">
        <f t="shared" si="31"/>
        <v>7.6693227091631231</v>
      </c>
      <c r="L343" s="201">
        <v>19</v>
      </c>
      <c r="M343" s="203">
        <v>43164.628472222219</v>
      </c>
      <c r="N343" s="203">
        <v>43164.795138888891</v>
      </c>
      <c r="O343" s="197" t="s">
        <v>2550</v>
      </c>
      <c r="P343" s="201"/>
      <c r="AB343" s="110" t="str">
        <f>IFERROR(INDEX('WetLitterbags placem_collection'!$A$3:$A$500,MATCH(A343,'WetLitterbags placem_collection'!$K$4:$K$500,0)),"")</f>
        <v/>
      </c>
      <c r="AC343" s="110">
        <f>IFERROR(INDEX('WetLitterbags placem_collection'!$A$3:$A$500,MATCH($A343,'WetLitterbags placem_collection'!$O$4:$O$500,0)),"")</f>
        <v>164</v>
      </c>
      <c r="AD343" s="110" t="str">
        <f>IFERROR(INDEX('WetLitterbags placem_collection'!$A$3:$A$500,MATCH($A343,'WetLitterbags placem_collection'!$M$4:$M$500,0)),"")</f>
        <v/>
      </c>
      <c r="AE343" s="110" t="str">
        <f>IFERROR(INDEX('WetLitterbags placem_collection'!$A$3:$A$500,MATCH($A343,'WetLitterbags placem_collection'!$Q$4:$Q$500,0)),"")</f>
        <v/>
      </c>
    </row>
    <row r="344" spans="1:31">
      <c r="A344" s="197" t="s">
        <v>1239</v>
      </c>
      <c r="C344" s="197">
        <v>201</v>
      </c>
      <c r="D344" s="197">
        <v>0.41320000000000001</v>
      </c>
      <c r="E344" s="202">
        <v>9.7257999999999996</v>
      </c>
      <c r="F344" s="202">
        <v>0.20150000000000001</v>
      </c>
      <c r="G344" s="201">
        <f t="shared" si="28"/>
        <v>9.9272999999999989</v>
      </c>
      <c r="H344" s="201">
        <v>9.7493999999999996</v>
      </c>
      <c r="I344" s="201">
        <f t="shared" si="29"/>
        <v>0.17789999999999928</v>
      </c>
      <c r="J344" s="201">
        <f t="shared" si="30"/>
        <v>2.3600000000000732E-2</v>
      </c>
      <c r="K344" s="280">
        <f t="shared" si="31"/>
        <v>11.712158808933365</v>
      </c>
      <c r="L344" s="201">
        <v>21</v>
      </c>
      <c r="AB344" s="110">
        <f>IFERROR(INDEX('WetLitterbags placem_collection'!$A$3:$A$500,MATCH(A344,'WetLitterbags placem_collection'!$K$4:$K$500,0)),"")</f>
        <v>200</v>
      </c>
      <c r="AC344" s="110" t="str">
        <f>IFERROR(INDEX('WetLitterbags placem_collection'!$A$3:$A$500,MATCH($A344,'WetLitterbags placem_collection'!$O$4:$O$500,0)),"")</f>
        <v/>
      </c>
      <c r="AD344" s="110" t="str">
        <f>IFERROR(INDEX('WetLitterbags placem_collection'!$A$3:$A$500,MATCH($A344,'WetLitterbags placem_collection'!$M$4:$M$500,0)),"")</f>
        <v/>
      </c>
      <c r="AE344" s="110" t="str">
        <f>IFERROR(INDEX('WetLitterbags placem_collection'!$A$3:$A$500,MATCH($A344,'WetLitterbags placem_collection'!$Q$4:$Q$500,0)),"")</f>
        <v/>
      </c>
    </row>
    <row r="345" spans="1:31">
      <c r="A345" s="197" t="s">
        <v>1237</v>
      </c>
      <c r="C345" s="197">
        <v>24</v>
      </c>
      <c r="D345" s="197">
        <v>0.54449999999999998</v>
      </c>
      <c r="E345" s="202">
        <v>10.1074</v>
      </c>
      <c r="F345" s="202">
        <v>0.20200000000000001</v>
      </c>
      <c r="G345" s="201">
        <f t="shared" si="28"/>
        <v>10.3094</v>
      </c>
      <c r="H345" s="201">
        <v>10.130800000000001</v>
      </c>
      <c r="I345" s="201">
        <f t="shared" si="29"/>
        <v>0.17859999999999943</v>
      </c>
      <c r="J345" s="201">
        <f t="shared" si="30"/>
        <v>2.3400000000000587E-2</v>
      </c>
      <c r="K345" s="280">
        <f t="shared" si="31"/>
        <v>11.584158415841873</v>
      </c>
      <c r="L345" s="201">
        <v>23</v>
      </c>
      <c r="AB345" s="110">
        <f>IFERROR(INDEX('WetLitterbags placem_collection'!$A$3:$A$500,MATCH(A345,'WetLitterbags placem_collection'!$K$4:$K$500,0)),"")</f>
        <v>23</v>
      </c>
      <c r="AC345" s="110" t="str">
        <f>IFERROR(INDEX('WetLitterbags placem_collection'!$A$3:$A$500,MATCH($A345,'WetLitterbags placem_collection'!$O$4:$O$500,0)),"")</f>
        <v/>
      </c>
      <c r="AD345" s="110" t="str">
        <f>IFERROR(INDEX('WetLitterbags placem_collection'!$A$3:$A$500,MATCH($A345,'WetLitterbags placem_collection'!$M$4:$M$500,0)),"")</f>
        <v/>
      </c>
      <c r="AE345" s="110" t="str">
        <f>IFERROR(INDEX('WetLitterbags placem_collection'!$A$3:$A$500,MATCH($A345,'WetLitterbags placem_collection'!$Q$4:$Q$500,0)),"")</f>
        <v/>
      </c>
    </row>
    <row r="346" spans="1:31">
      <c r="A346" s="197" t="s">
        <v>1236</v>
      </c>
      <c r="C346" s="198">
        <v>204</v>
      </c>
      <c r="D346" s="197">
        <v>0.49020000000000002</v>
      </c>
      <c r="E346" s="202">
        <v>8.0884</v>
      </c>
      <c r="F346" s="202">
        <v>0.2</v>
      </c>
      <c r="G346" s="201">
        <f t="shared" si="28"/>
        <v>8.2883999999999993</v>
      </c>
      <c r="H346" s="201">
        <v>8.1113999999999997</v>
      </c>
      <c r="I346" s="201">
        <f t="shared" si="29"/>
        <v>0.1769999999999996</v>
      </c>
      <c r="J346" s="201">
        <f t="shared" si="30"/>
        <v>2.3000000000000409E-2</v>
      </c>
      <c r="K346" s="280">
        <f t="shared" si="31"/>
        <v>11.500000000000204</v>
      </c>
      <c r="L346" s="201">
        <v>2</v>
      </c>
      <c r="AB346" s="110">
        <f>IFERROR(INDEX('WetLitterbags placem_collection'!$A$3:$A$500,MATCH(A346,'WetLitterbags placem_collection'!$K$4:$K$500,0)),"")</f>
        <v>203</v>
      </c>
      <c r="AC346" s="110" t="str">
        <f>IFERROR(INDEX('WetLitterbags placem_collection'!$A$3:$A$500,MATCH($A346,'WetLitterbags placem_collection'!$O$4:$O$500,0)),"")</f>
        <v/>
      </c>
      <c r="AD346" s="110" t="str">
        <f>IFERROR(INDEX('WetLitterbags placem_collection'!$A$3:$A$500,MATCH($A346,'WetLitterbags placem_collection'!$M$4:$M$500,0)),"")</f>
        <v/>
      </c>
      <c r="AE346" s="110" t="str">
        <f>IFERROR(INDEX('WetLitterbags placem_collection'!$A$3:$A$500,MATCH($A346,'WetLitterbags placem_collection'!$Q$4:$Q$500,0)),"")</f>
        <v/>
      </c>
    </row>
    <row r="347" spans="1:31">
      <c r="A347" s="206" t="s">
        <v>1235</v>
      </c>
      <c r="C347" s="201">
        <v>138</v>
      </c>
      <c r="D347" s="201">
        <v>0.44069999999999998</v>
      </c>
      <c r="E347" s="202">
        <v>10.565799999999999</v>
      </c>
      <c r="F347" s="202">
        <v>0.20150000000000001</v>
      </c>
      <c r="G347" s="201">
        <f t="shared" si="28"/>
        <v>10.767299999999999</v>
      </c>
      <c r="H347" s="201">
        <v>10.594799999999999</v>
      </c>
      <c r="I347" s="201">
        <f t="shared" si="29"/>
        <v>0.17249999999999943</v>
      </c>
      <c r="J347" s="201">
        <f t="shared" si="30"/>
        <v>2.9000000000000581E-2</v>
      </c>
      <c r="K347" s="280">
        <f t="shared" si="31"/>
        <v>14.392059553350164</v>
      </c>
      <c r="L347" s="201">
        <v>35</v>
      </c>
      <c r="M347" s="207">
        <v>43186.458333333336</v>
      </c>
      <c r="N347" s="207">
        <v>43186.625</v>
      </c>
      <c r="O347" s="197" t="s">
        <v>2550</v>
      </c>
      <c r="P347" s="201"/>
      <c r="AB347" s="110">
        <f>IFERROR(INDEX('WetLitterbags placem_collection'!$A$3:$A$500,MATCH(A347,'WetLitterbags placem_collection'!$K$4:$K$500,0)),"")</f>
        <v>137</v>
      </c>
      <c r="AC347" s="110" t="str">
        <f>IFERROR(INDEX('WetLitterbags placem_collection'!$A$3:$A$500,MATCH($A347,'WetLitterbags placem_collection'!$O$4:$O$500,0)),"")</f>
        <v/>
      </c>
      <c r="AD347" s="110" t="str">
        <f>IFERROR(INDEX('WetLitterbags placem_collection'!$A$3:$A$500,MATCH($A347,'WetLitterbags placem_collection'!$M$4:$M$500,0)),"")</f>
        <v/>
      </c>
      <c r="AE347" s="110" t="str">
        <f>IFERROR(INDEX('WetLitterbags placem_collection'!$A$3:$A$500,MATCH($A347,'WetLitterbags placem_collection'!$Q$4:$Q$500,0)),"")</f>
        <v/>
      </c>
    </row>
    <row r="348" spans="1:31">
      <c r="A348" s="197" t="s">
        <v>1234</v>
      </c>
      <c r="C348" s="197">
        <v>200</v>
      </c>
      <c r="D348" s="197">
        <v>0.49859999999999999</v>
      </c>
      <c r="E348" s="202">
        <v>11.1541</v>
      </c>
      <c r="F348" s="202">
        <v>0.2029</v>
      </c>
      <c r="G348" s="201">
        <f t="shared" si="28"/>
        <v>11.356999999999999</v>
      </c>
      <c r="H348" s="201">
        <v>11.176600000000001</v>
      </c>
      <c r="I348" s="201">
        <f t="shared" si="29"/>
        <v>0.18039999999999878</v>
      </c>
      <c r="J348" s="201">
        <f t="shared" si="30"/>
        <v>2.2500000000001213E-2</v>
      </c>
      <c r="K348" s="280">
        <f t="shared" si="31"/>
        <v>11.089206505668416</v>
      </c>
      <c r="L348" s="201">
        <v>26</v>
      </c>
      <c r="AB348" s="110">
        <f>IFERROR(INDEX('WetLitterbags placem_collection'!$A$3:$A$500,MATCH(A348,'WetLitterbags placem_collection'!$K$4:$K$500,0)),"")</f>
        <v>199</v>
      </c>
      <c r="AC348" s="110" t="str">
        <f>IFERROR(INDEX('WetLitterbags placem_collection'!$A$3:$A$500,MATCH($A348,'WetLitterbags placem_collection'!$O$4:$O$500,0)),"")</f>
        <v/>
      </c>
      <c r="AD348" s="110" t="str">
        <f>IFERROR(INDEX('WetLitterbags placem_collection'!$A$3:$A$500,MATCH($A348,'WetLitterbags placem_collection'!$M$4:$M$500,0)),"")</f>
        <v/>
      </c>
      <c r="AE348" s="110" t="str">
        <f>IFERROR(INDEX('WetLitterbags placem_collection'!$A$3:$A$500,MATCH($A348,'WetLitterbags placem_collection'!$Q$4:$Q$500,0)),"")</f>
        <v/>
      </c>
    </row>
    <row r="349" spans="1:31">
      <c r="A349" s="206" t="s">
        <v>1233</v>
      </c>
      <c r="C349" s="201">
        <v>142</v>
      </c>
      <c r="D349" s="201">
        <v>0.84009999999999996</v>
      </c>
      <c r="E349" s="202">
        <v>9.3429000000000002</v>
      </c>
      <c r="F349" s="202">
        <v>0.2031</v>
      </c>
      <c r="G349" s="201">
        <f t="shared" si="28"/>
        <v>9.5459999999999994</v>
      </c>
      <c r="H349" s="201">
        <v>9.4362999999999992</v>
      </c>
      <c r="I349" s="201">
        <f t="shared" si="29"/>
        <v>0.10970000000000013</v>
      </c>
      <c r="J349" s="201">
        <f t="shared" si="30"/>
        <v>9.3399999999999872E-2</v>
      </c>
      <c r="K349" s="280">
        <f t="shared" si="31"/>
        <v>45.987198424421408</v>
      </c>
      <c r="L349" s="201">
        <v>1</v>
      </c>
      <c r="M349" s="207">
        <v>43186.458333333336</v>
      </c>
      <c r="N349" s="207">
        <v>43186.625</v>
      </c>
      <c r="O349" s="197" t="s">
        <v>2550</v>
      </c>
      <c r="P349" s="201" t="s">
        <v>2570</v>
      </c>
      <c r="AB349" s="110">
        <f>IFERROR(INDEX('WetLitterbags placem_collection'!$A$3:$A$500,MATCH(A349,'WetLitterbags placem_collection'!$K$4:$K$500,0)),"")</f>
        <v>141</v>
      </c>
      <c r="AC349" s="110" t="str">
        <f>IFERROR(INDEX('WetLitterbags placem_collection'!$A$3:$A$500,MATCH($A349,'WetLitterbags placem_collection'!$O$4:$O$500,0)),"")</f>
        <v/>
      </c>
      <c r="AD349" s="110" t="str">
        <f>IFERROR(INDEX('WetLitterbags placem_collection'!$A$3:$A$500,MATCH($A349,'WetLitterbags placem_collection'!$M$4:$M$500,0)),"")</f>
        <v/>
      </c>
      <c r="AE349" s="110" t="str">
        <f>IFERROR(INDEX('WetLitterbags placem_collection'!$A$3:$A$500,MATCH($A349,'WetLitterbags placem_collection'!$Q$4:$Q$500,0)),"")</f>
        <v/>
      </c>
    </row>
    <row r="350" spans="1:31">
      <c r="A350" s="197" t="s">
        <v>1232</v>
      </c>
      <c r="C350" s="198">
        <v>182</v>
      </c>
      <c r="D350" s="197">
        <v>0.42420000000000002</v>
      </c>
      <c r="E350" s="201">
        <v>8.0953999999999997</v>
      </c>
      <c r="F350" s="202">
        <v>0.2084</v>
      </c>
      <c r="G350" s="201">
        <f t="shared" si="28"/>
        <v>8.303799999999999</v>
      </c>
      <c r="H350" s="201">
        <v>8.1163000000000007</v>
      </c>
      <c r="I350" s="201">
        <f t="shared" si="29"/>
        <v>0.18749999999999822</v>
      </c>
      <c r="J350" s="201">
        <f t="shared" si="30"/>
        <v>2.0900000000001778E-2</v>
      </c>
      <c r="K350" s="280">
        <f t="shared" si="31"/>
        <v>10.028790786949029</v>
      </c>
      <c r="L350" s="201">
        <v>44</v>
      </c>
      <c r="M350" s="204">
        <v>43212</v>
      </c>
      <c r="AB350" s="110" t="str">
        <f>IFERROR(INDEX('WetLitterbags placem_collection'!$A$3:$A$500,MATCH(A350,'WetLitterbags placem_collection'!$K$4:$K$500,0)),"")</f>
        <v/>
      </c>
      <c r="AC350" s="110">
        <f>IFERROR(INDEX('WetLitterbags placem_collection'!$A$3:$A$500,MATCH($A350,'WetLitterbags placem_collection'!$O$4:$O$500,0)),"")</f>
        <v>181</v>
      </c>
      <c r="AD350" s="110" t="str">
        <f>IFERROR(INDEX('WetLitterbags placem_collection'!$A$3:$A$500,MATCH($A350,'WetLitterbags placem_collection'!$M$4:$M$500,0)),"")</f>
        <v/>
      </c>
      <c r="AE350" s="110" t="str">
        <f>IFERROR(INDEX('WetLitterbags placem_collection'!$A$3:$A$500,MATCH($A350,'WetLitterbags placem_collection'!$Q$4:$Q$500,0)),"")</f>
        <v/>
      </c>
    </row>
    <row r="351" spans="1:31">
      <c r="A351" s="201" t="s">
        <v>1231</v>
      </c>
      <c r="C351" s="201">
        <v>129</v>
      </c>
      <c r="D351" s="201">
        <v>0.39679999999999999</v>
      </c>
      <c r="E351" s="202">
        <v>9.0033999999999992</v>
      </c>
      <c r="F351" s="202">
        <v>0.2019</v>
      </c>
      <c r="G351" s="201">
        <f t="shared" si="28"/>
        <v>9.2052999999999994</v>
      </c>
      <c r="H351" s="201">
        <v>9.0358000000000001</v>
      </c>
      <c r="I351" s="201">
        <f t="shared" si="29"/>
        <v>0.16949999999999932</v>
      </c>
      <c r="J351" s="201">
        <f t="shared" si="30"/>
        <v>3.2400000000000678E-2</v>
      </c>
      <c r="K351" s="280">
        <f t="shared" si="31"/>
        <v>16.047548291233621</v>
      </c>
      <c r="L351" s="201">
        <v>14</v>
      </c>
      <c r="M351" s="205">
        <v>43174</v>
      </c>
      <c r="N351" s="205">
        <v>43174</v>
      </c>
      <c r="O351" s="201" t="s">
        <v>2556</v>
      </c>
      <c r="P351" s="201" t="s">
        <v>2551</v>
      </c>
      <c r="AB351" s="110">
        <f>IFERROR(INDEX('WetLitterbags placem_collection'!$A$3:$A$500,MATCH(A351,'WetLitterbags placem_collection'!$K$4:$K$500,0)),"")</f>
        <v>128</v>
      </c>
      <c r="AC351" s="110" t="str">
        <f>IFERROR(INDEX('WetLitterbags placem_collection'!$A$3:$A$500,MATCH($A351,'WetLitterbags placem_collection'!$O$4:$O$500,0)),"")</f>
        <v/>
      </c>
      <c r="AD351" s="110" t="str">
        <f>IFERROR(INDEX('WetLitterbags placem_collection'!$A$3:$A$500,MATCH($A351,'WetLitterbags placem_collection'!$M$4:$M$500,0)),"")</f>
        <v/>
      </c>
      <c r="AE351" s="110" t="str">
        <f>IFERROR(INDEX('WetLitterbags placem_collection'!$A$3:$A$500,MATCH($A351,'WetLitterbags placem_collection'!$Q$4:$Q$500,0)),"")</f>
        <v/>
      </c>
    </row>
    <row r="352" spans="1:31">
      <c r="A352" s="206" t="s">
        <v>1230</v>
      </c>
      <c r="C352" s="201">
        <v>134</v>
      </c>
      <c r="D352" s="201">
        <v>0.35370000000000001</v>
      </c>
      <c r="E352" s="202">
        <v>8.1324000000000005</v>
      </c>
      <c r="F352" s="202">
        <v>0.19989999999999999</v>
      </c>
      <c r="G352" s="201">
        <f t="shared" si="28"/>
        <v>8.3323</v>
      </c>
      <c r="H352" s="201">
        <v>8.1576000000000004</v>
      </c>
      <c r="I352" s="201">
        <f t="shared" si="29"/>
        <v>0.17469999999999963</v>
      </c>
      <c r="J352" s="201">
        <f t="shared" si="30"/>
        <v>2.5200000000000361E-2</v>
      </c>
      <c r="K352" s="280">
        <f t="shared" si="31"/>
        <v>12.606303151575968</v>
      </c>
      <c r="L352" s="201">
        <v>11</v>
      </c>
      <c r="M352" s="205">
        <v>43197</v>
      </c>
      <c r="N352" s="205">
        <v>43197</v>
      </c>
      <c r="O352" s="201"/>
      <c r="P352" s="201"/>
      <c r="AB352" s="110" t="str">
        <f>IFERROR(INDEX('WetLitterbags placem_collection'!$A$3:$A$500,MATCH(A352,'WetLitterbags placem_collection'!$K$4:$K$500,0)),"")</f>
        <v/>
      </c>
      <c r="AC352" s="110">
        <f>IFERROR(INDEX('WetLitterbags placem_collection'!$A$3:$A$500,MATCH($A352,'WetLitterbags placem_collection'!$O$4:$O$500,0)),"")</f>
        <v>133</v>
      </c>
      <c r="AD352" s="110" t="str">
        <f>IFERROR(INDEX('WetLitterbags placem_collection'!$A$3:$A$500,MATCH($A352,'WetLitterbags placem_collection'!$M$4:$M$500,0)),"")</f>
        <v/>
      </c>
      <c r="AE352" s="110" t="str">
        <f>IFERROR(INDEX('WetLitterbags placem_collection'!$A$3:$A$500,MATCH($A352,'WetLitterbags placem_collection'!$Q$4:$Q$500,0)),"")</f>
        <v/>
      </c>
    </row>
    <row r="353" spans="1:31">
      <c r="A353" s="201" t="s">
        <v>1229</v>
      </c>
      <c r="C353" s="201">
        <v>195</v>
      </c>
      <c r="D353" s="201">
        <v>0.54490000000000005</v>
      </c>
      <c r="E353" s="201">
        <v>11.905200000000001</v>
      </c>
      <c r="F353" s="201">
        <v>0.20069999999999999</v>
      </c>
      <c r="G353" s="201">
        <f t="shared" si="28"/>
        <v>12.1059</v>
      </c>
      <c r="H353" s="201">
        <v>11.935499999999999</v>
      </c>
      <c r="I353" s="201">
        <f t="shared" si="29"/>
        <v>0.17040000000000077</v>
      </c>
      <c r="J353" s="201">
        <f t="shared" si="30"/>
        <v>3.0299999999999216E-2</v>
      </c>
      <c r="K353" s="280">
        <f t="shared" si="31"/>
        <v>15.097159940208879</v>
      </c>
      <c r="L353" s="201">
        <v>16</v>
      </c>
      <c r="M353" s="203">
        <v>43164.628472222219</v>
      </c>
      <c r="N353" s="203">
        <v>43164.795138888891</v>
      </c>
      <c r="O353" s="197" t="s">
        <v>2550</v>
      </c>
      <c r="P353" s="201"/>
      <c r="AB353" s="110">
        <f>IFERROR(INDEX('WetLitterbags placem_collection'!$A$3:$A$500,MATCH(A353,'WetLitterbags placem_collection'!$K$4:$K$500,0)),"")</f>
        <v>194</v>
      </c>
      <c r="AC353" s="110" t="str">
        <f>IFERROR(INDEX('WetLitterbags placem_collection'!$A$3:$A$500,MATCH($A353,'WetLitterbags placem_collection'!$O$4:$O$500,0)),"")</f>
        <v/>
      </c>
      <c r="AD353" s="110" t="str">
        <f>IFERROR(INDEX('WetLitterbags placem_collection'!$A$3:$A$500,MATCH($A353,'WetLitterbags placem_collection'!$M$4:$M$500,0)),"")</f>
        <v/>
      </c>
      <c r="AE353" s="110" t="str">
        <f>IFERROR(INDEX('WetLitterbags placem_collection'!$A$3:$A$500,MATCH($A353,'WetLitterbags placem_collection'!$Q$4:$Q$500,0)),"")</f>
        <v/>
      </c>
    </row>
    <row r="354" spans="1:31">
      <c r="A354" s="202" t="s">
        <v>1228</v>
      </c>
      <c r="C354" s="201">
        <v>211</v>
      </c>
      <c r="D354" s="201">
        <v>0.62309999999999999</v>
      </c>
      <c r="E354" s="201">
        <v>9.0317000000000007</v>
      </c>
      <c r="F354" s="201">
        <v>0.20119999999999999</v>
      </c>
      <c r="G354" s="201">
        <f t="shared" si="28"/>
        <v>9.2329000000000008</v>
      </c>
      <c r="H354" s="201">
        <v>9.0663999999999998</v>
      </c>
      <c r="I354" s="201">
        <f t="shared" si="29"/>
        <v>0.16650000000000098</v>
      </c>
      <c r="J354" s="201">
        <f t="shared" si="30"/>
        <v>3.4699999999999009E-2</v>
      </c>
      <c r="K354" s="280">
        <f t="shared" si="31"/>
        <v>17.246520874750999</v>
      </c>
      <c r="L354" s="201">
        <v>14</v>
      </c>
      <c r="M354" s="205">
        <v>43173</v>
      </c>
      <c r="N354" s="205">
        <v>43173</v>
      </c>
      <c r="O354" s="201" t="s">
        <v>2556</v>
      </c>
      <c r="P354" s="201" t="s">
        <v>2555</v>
      </c>
      <c r="AB354" s="110">
        <f>IFERROR(INDEX('WetLitterbags placem_collection'!$A$3:$A$500,MATCH(A354,'WetLitterbags placem_collection'!$K$4:$K$500,0)),"")</f>
        <v>210</v>
      </c>
      <c r="AC354" s="110" t="str">
        <f>IFERROR(INDEX('WetLitterbags placem_collection'!$A$3:$A$500,MATCH($A354,'WetLitterbags placem_collection'!$O$4:$O$500,0)),"")</f>
        <v/>
      </c>
      <c r="AD354" s="110" t="str">
        <f>IFERROR(INDEX('WetLitterbags placem_collection'!$A$3:$A$500,MATCH($A354,'WetLitterbags placem_collection'!$M$4:$M$500,0)),"")</f>
        <v/>
      </c>
      <c r="AE354" s="110" t="str">
        <f>IFERROR(INDEX('WetLitterbags placem_collection'!$A$3:$A$500,MATCH($A354,'WetLitterbags placem_collection'!$Q$4:$Q$500,0)),"")</f>
        <v/>
      </c>
    </row>
    <row r="355" spans="1:31">
      <c r="A355" s="206" t="s">
        <v>1226</v>
      </c>
      <c r="C355" s="201">
        <v>102</v>
      </c>
      <c r="D355" s="201">
        <v>0.3619</v>
      </c>
      <c r="E355" s="202">
        <v>8.8450000000000006</v>
      </c>
      <c r="F355" s="202">
        <v>0.20219999999999999</v>
      </c>
      <c r="G355" s="201">
        <f t="shared" si="28"/>
        <v>9.0472000000000001</v>
      </c>
      <c r="H355" s="201">
        <v>8.8706999999999994</v>
      </c>
      <c r="I355" s="201">
        <f t="shared" si="29"/>
        <v>0.17650000000000077</v>
      </c>
      <c r="J355" s="201">
        <f t="shared" si="30"/>
        <v>2.5699999999999223E-2</v>
      </c>
      <c r="K355" s="280">
        <f t="shared" si="31"/>
        <v>12.710187932739478</v>
      </c>
      <c r="L355" s="201">
        <v>3</v>
      </c>
      <c r="M355" s="203">
        <v>43181.645833333336</v>
      </c>
      <c r="N355" s="203">
        <v>43181.833333333336</v>
      </c>
      <c r="O355" s="201" t="s">
        <v>2556</v>
      </c>
      <c r="P355" s="201"/>
      <c r="AB355" s="110" t="str">
        <f>IFERROR(INDEX('WetLitterbags placem_collection'!$A$3:$A$500,MATCH(A355,'WetLitterbags placem_collection'!$K$4:$K$500,0)),"")</f>
        <v/>
      </c>
      <c r="AC355" s="110">
        <f>IFERROR(INDEX('WetLitterbags placem_collection'!$A$3:$A$500,MATCH($A355,'WetLitterbags placem_collection'!$O$4:$O$500,0)),"")</f>
        <v>101</v>
      </c>
      <c r="AD355" s="110" t="str">
        <f>IFERROR(INDEX('WetLitterbags placem_collection'!$A$3:$A$500,MATCH($A355,'WetLitterbags placem_collection'!$M$4:$M$500,0)),"")</f>
        <v/>
      </c>
      <c r="AE355" s="110" t="str">
        <f>IFERROR(INDEX('WetLitterbags placem_collection'!$A$3:$A$500,MATCH($A355,'WetLitterbags placem_collection'!$Q$4:$Q$500,0)),"")</f>
        <v/>
      </c>
    </row>
    <row r="356" spans="1:31">
      <c r="A356" s="201" t="s">
        <v>1225</v>
      </c>
      <c r="C356" s="201">
        <v>121</v>
      </c>
      <c r="D356" s="201">
        <v>0.42509999999999998</v>
      </c>
      <c r="E356" s="201">
        <v>11.153499999999999</v>
      </c>
      <c r="F356" s="201">
        <v>0.20530000000000001</v>
      </c>
      <c r="G356" s="201">
        <f t="shared" si="28"/>
        <v>11.358799999999999</v>
      </c>
      <c r="H356" s="201">
        <v>11.174300000000001</v>
      </c>
      <c r="I356" s="201">
        <f t="shared" si="29"/>
        <v>0.18449999999999811</v>
      </c>
      <c r="J356" s="201">
        <f t="shared" si="30"/>
        <v>2.08000000000019E-2</v>
      </c>
      <c r="K356" s="280">
        <f t="shared" si="31"/>
        <v>10.131514856308767</v>
      </c>
      <c r="L356" s="201">
        <v>11</v>
      </c>
      <c r="M356" s="205">
        <v>43188</v>
      </c>
      <c r="N356" s="205">
        <v>43188</v>
      </c>
      <c r="O356" s="201"/>
      <c r="P356" s="201"/>
      <c r="AB356" s="110" t="str">
        <f>IFERROR(INDEX('WetLitterbags placem_collection'!$A$3:$A$500,MATCH(A356,'WetLitterbags placem_collection'!$K$4:$K$500,0)),"")</f>
        <v/>
      </c>
      <c r="AC356" s="110">
        <f>IFERROR(INDEX('WetLitterbags placem_collection'!$A$3:$A$500,MATCH($A356,'WetLitterbags placem_collection'!$O$4:$O$500,0)),"")</f>
        <v>120</v>
      </c>
      <c r="AD356" s="110" t="str">
        <f>IFERROR(INDEX('WetLitterbags placem_collection'!$A$3:$A$500,MATCH($A356,'WetLitterbags placem_collection'!$M$4:$M$500,0)),"")</f>
        <v/>
      </c>
      <c r="AE356" s="110" t="str">
        <f>IFERROR(INDEX('WetLitterbags placem_collection'!$A$3:$A$500,MATCH($A356,'WetLitterbags placem_collection'!$Q$4:$Q$500,0)),"")</f>
        <v/>
      </c>
    </row>
    <row r="357" spans="1:31">
      <c r="A357" s="197" t="s">
        <v>1224</v>
      </c>
      <c r="C357" s="197">
        <v>179</v>
      </c>
      <c r="D357" s="197">
        <v>0.4194</v>
      </c>
      <c r="E357" s="201">
        <v>10.0555</v>
      </c>
      <c r="F357" s="202">
        <v>0.20530000000000001</v>
      </c>
      <c r="G357" s="201">
        <f t="shared" si="28"/>
        <v>10.2608</v>
      </c>
      <c r="H357" s="201">
        <v>10.073499999999999</v>
      </c>
      <c r="I357" s="201">
        <f t="shared" si="29"/>
        <v>0.18730000000000047</v>
      </c>
      <c r="J357" s="201">
        <f t="shared" si="30"/>
        <v>1.7999999999999544E-2</v>
      </c>
      <c r="K357" s="280">
        <f t="shared" si="31"/>
        <v>8.7676570871892565</v>
      </c>
      <c r="L357" s="201">
        <v>29</v>
      </c>
      <c r="M357" s="204">
        <v>43212</v>
      </c>
      <c r="AB357" s="110" t="str">
        <f>IFERROR(INDEX('WetLitterbags placem_collection'!$A$3:$A$500,MATCH(A357,'WetLitterbags placem_collection'!$K$4:$K$500,0)),"")</f>
        <v/>
      </c>
      <c r="AC357" s="110">
        <f>IFERROR(INDEX('WetLitterbags placem_collection'!$A$3:$A$500,MATCH($A357,'WetLitterbags placem_collection'!$O$4:$O$500,0)),"")</f>
        <v>178</v>
      </c>
      <c r="AD357" s="110" t="str">
        <f>IFERROR(INDEX('WetLitterbags placem_collection'!$A$3:$A$500,MATCH($A357,'WetLitterbags placem_collection'!$M$4:$M$500,0)),"")</f>
        <v/>
      </c>
      <c r="AE357" s="110" t="str">
        <f>IFERROR(INDEX('WetLitterbags placem_collection'!$A$3:$A$500,MATCH($A357,'WetLitterbags placem_collection'!$Q$4:$Q$500,0)),"")</f>
        <v/>
      </c>
    </row>
    <row r="358" spans="1:31">
      <c r="A358" s="201" t="s">
        <v>1223</v>
      </c>
      <c r="C358" s="201">
        <v>155</v>
      </c>
      <c r="D358" s="202">
        <v>0.40339999999999998</v>
      </c>
      <c r="E358" s="201">
        <v>9.3427000000000007</v>
      </c>
      <c r="F358" s="202">
        <v>0.19980000000000001</v>
      </c>
      <c r="G358" s="201">
        <f t="shared" si="28"/>
        <v>9.5425000000000004</v>
      </c>
      <c r="H358" s="201">
        <v>9.3811</v>
      </c>
      <c r="I358" s="201">
        <f t="shared" si="29"/>
        <v>0.16140000000000043</v>
      </c>
      <c r="J358" s="201">
        <f t="shared" si="30"/>
        <v>3.8399999999999573E-2</v>
      </c>
      <c r="K358" s="280">
        <f t="shared" si="31"/>
        <v>19.219219219219006</v>
      </c>
      <c r="L358" s="201">
        <v>23</v>
      </c>
      <c r="M358" s="205">
        <v>43206</v>
      </c>
      <c r="N358" s="205">
        <v>43206</v>
      </c>
      <c r="O358" s="201"/>
      <c r="P358" s="201"/>
      <c r="AB358" s="110" t="str">
        <f>IFERROR(INDEX('WetLitterbags placem_collection'!$A$3:$A$500,MATCH(A358,'WetLitterbags placem_collection'!$K$4:$K$500,0)),"")</f>
        <v/>
      </c>
      <c r="AC358" s="110">
        <f>IFERROR(INDEX('WetLitterbags placem_collection'!$A$3:$A$500,MATCH($A358,'WetLitterbags placem_collection'!$O$4:$O$500,0)),"")</f>
        <v>154</v>
      </c>
      <c r="AD358" s="110" t="str">
        <f>IFERROR(INDEX('WetLitterbags placem_collection'!$A$3:$A$500,MATCH($A358,'WetLitterbags placem_collection'!$M$4:$M$500,0)),"")</f>
        <v/>
      </c>
      <c r="AE358" s="110" t="str">
        <f>IFERROR(INDEX('WetLitterbags placem_collection'!$A$3:$A$500,MATCH($A358,'WetLitterbags placem_collection'!$Q$4:$Q$500,0)),"")</f>
        <v/>
      </c>
    </row>
    <row r="359" spans="1:31">
      <c r="A359" s="206" t="s">
        <v>1222</v>
      </c>
      <c r="C359" s="201">
        <v>100</v>
      </c>
      <c r="D359" s="201">
        <v>0.36840000000000001</v>
      </c>
      <c r="E359" s="201">
        <v>7.1896000000000004</v>
      </c>
      <c r="F359" s="201">
        <v>0.19839999999999999</v>
      </c>
      <c r="G359" s="201">
        <f t="shared" si="28"/>
        <v>7.3880000000000008</v>
      </c>
      <c r="H359" s="201">
        <v>7.2173999999999996</v>
      </c>
      <c r="I359" s="201">
        <f t="shared" si="29"/>
        <v>0.1706000000000012</v>
      </c>
      <c r="J359" s="201">
        <f t="shared" si="30"/>
        <v>2.7799999999998798E-2</v>
      </c>
      <c r="K359" s="280">
        <f t="shared" si="31"/>
        <v>14.012096774192942</v>
      </c>
      <c r="L359" s="201">
        <v>19</v>
      </c>
      <c r="M359" s="205">
        <v>43188</v>
      </c>
      <c r="N359" s="205">
        <v>43188</v>
      </c>
      <c r="O359" s="201"/>
      <c r="P359" s="201"/>
      <c r="AB359" s="110" t="str">
        <f>IFERROR(INDEX('WetLitterbags placem_collection'!$A$3:$A$500,MATCH(A359,'WetLitterbags placem_collection'!$K$4:$K$500,0)),"")</f>
        <v/>
      </c>
      <c r="AC359" s="110">
        <f>IFERROR(INDEX('WetLitterbags placem_collection'!$A$3:$A$500,MATCH($A359,'WetLitterbags placem_collection'!$O$4:$O$500,0)),"")</f>
        <v>99</v>
      </c>
      <c r="AD359" s="110" t="str">
        <f>IFERROR(INDEX('WetLitterbags placem_collection'!$A$3:$A$500,MATCH($A359,'WetLitterbags placem_collection'!$M$4:$M$500,0)),"")</f>
        <v/>
      </c>
      <c r="AE359" s="110" t="str">
        <f>IFERROR(INDEX('WetLitterbags placem_collection'!$A$3:$A$500,MATCH($A359,'WetLitterbags placem_collection'!$Q$4:$Q$500,0)),"")</f>
        <v/>
      </c>
    </row>
    <row r="360" spans="1:31">
      <c r="A360" s="206" t="s">
        <v>1220</v>
      </c>
      <c r="C360" s="201">
        <v>130</v>
      </c>
      <c r="D360" s="202">
        <v>0.35759999999999997</v>
      </c>
      <c r="E360" s="202">
        <v>10.0557</v>
      </c>
      <c r="F360" s="202">
        <v>0.20030000000000001</v>
      </c>
      <c r="G360" s="201">
        <f t="shared" si="28"/>
        <v>10.256</v>
      </c>
      <c r="H360" s="201">
        <v>10.081099999999999</v>
      </c>
      <c r="I360" s="201">
        <f t="shared" si="29"/>
        <v>0.17490000000000094</v>
      </c>
      <c r="J360" s="201">
        <f t="shared" si="30"/>
        <v>2.5399999999999062E-2</v>
      </c>
      <c r="K360" s="280">
        <f t="shared" si="31"/>
        <v>12.680978532201229</v>
      </c>
      <c r="L360" s="201">
        <v>36</v>
      </c>
      <c r="M360" s="203">
        <v>43181.645833333336</v>
      </c>
      <c r="N360" s="203">
        <v>43181.833333333336</v>
      </c>
      <c r="O360" s="201" t="s">
        <v>2556</v>
      </c>
      <c r="P360" s="201"/>
      <c r="AB360" s="110">
        <f>IFERROR(INDEX('WetLitterbags placem_collection'!$A$3:$A$500,MATCH(A360,'WetLitterbags placem_collection'!$K$4:$K$500,0)),"")</f>
        <v>129</v>
      </c>
      <c r="AC360" s="110" t="str">
        <f>IFERROR(INDEX('WetLitterbags placem_collection'!$A$3:$A$500,MATCH($A360,'WetLitterbags placem_collection'!$O$4:$O$500,0)),"")</f>
        <v/>
      </c>
      <c r="AD360" s="110" t="str">
        <f>IFERROR(INDEX('WetLitterbags placem_collection'!$A$3:$A$500,MATCH($A360,'WetLitterbags placem_collection'!$M$4:$M$500,0)),"")</f>
        <v/>
      </c>
      <c r="AE360" s="110" t="str">
        <f>IFERROR(INDEX('WetLitterbags placem_collection'!$A$3:$A$500,MATCH($A360,'WetLitterbags placem_collection'!$Q$4:$Q$500,0)),"")</f>
        <v/>
      </c>
    </row>
    <row r="361" spans="1:31">
      <c r="A361" s="201" t="s">
        <v>1219</v>
      </c>
      <c r="C361" s="201">
        <v>111</v>
      </c>
      <c r="D361" s="201">
        <v>0.49049999999999999</v>
      </c>
      <c r="E361" s="202">
        <v>8.7337000000000007</v>
      </c>
      <c r="F361" s="202">
        <v>0.2054</v>
      </c>
      <c r="G361" s="201">
        <f t="shared" si="28"/>
        <v>8.9390999999999998</v>
      </c>
      <c r="H361" s="201">
        <v>8.7631999999999994</v>
      </c>
      <c r="I361" s="201">
        <f t="shared" si="29"/>
        <v>0.17590000000000039</v>
      </c>
      <c r="J361" s="201">
        <f t="shared" si="30"/>
        <v>2.949999999999961E-2</v>
      </c>
      <c r="K361" s="280">
        <f t="shared" si="31"/>
        <v>14.3622200584224</v>
      </c>
      <c r="L361" s="201">
        <v>47</v>
      </c>
      <c r="M361" s="207">
        <v>43186.458333333336</v>
      </c>
      <c r="N361" s="207">
        <v>43186.625</v>
      </c>
      <c r="O361" s="197" t="s">
        <v>2550</v>
      </c>
      <c r="P361" s="201"/>
      <c r="AB361" s="110">
        <f>IFERROR(INDEX('WetLitterbags placem_collection'!$A$3:$A$500,MATCH(A361,'WetLitterbags placem_collection'!$K$4:$K$500,0)),"")</f>
        <v>110</v>
      </c>
      <c r="AC361" s="110" t="str">
        <f>IFERROR(INDEX('WetLitterbags placem_collection'!$A$3:$A$500,MATCH($A361,'WetLitterbags placem_collection'!$O$4:$O$500,0)),"")</f>
        <v/>
      </c>
      <c r="AD361" s="110" t="str">
        <f>IFERROR(INDEX('WetLitterbags placem_collection'!$A$3:$A$500,MATCH($A361,'WetLitterbags placem_collection'!$M$4:$M$500,0)),"")</f>
        <v/>
      </c>
      <c r="AE361" s="110" t="str">
        <f>IFERROR(INDEX('WetLitterbags placem_collection'!$A$3:$A$500,MATCH($A361,'WetLitterbags placem_collection'!$Q$4:$Q$500,0)),"")</f>
        <v/>
      </c>
    </row>
    <row r="362" spans="1:31">
      <c r="A362" s="197" t="s">
        <v>1218</v>
      </c>
      <c r="C362" s="197">
        <v>136</v>
      </c>
      <c r="D362" s="197">
        <v>0.38069999999999998</v>
      </c>
      <c r="E362" s="197">
        <v>7.0791000000000004</v>
      </c>
      <c r="F362" s="197">
        <v>0.2029</v>
      </c>
      <c r="G362" s="197">
        <f t="shared" si="28"/>
        <v>7.282</v>
      </c>
      <c r="H362" s="197">
        <v>7.1097000000000001</v>
      </c>
      <c r="I362" s="197">
        <f t="shared" si="29"/>
        <v>0.1722999999999999</v>
      </c>
      <c r="J362" s="201">
        <f t="shared" si="30"/>
        <v>3.0600000000000099E-2</v>
      </c>
      <c r="K362" s="280">
        <f t="shared" si="31"/>
        <v>15.08132084770828</v>
      </c>
      <c r="L362" s="197">
        <v>7</v>
      </c>
      <c r="M362" s="197">
        <v>43157.527777777781</v>
      </c>
      <c r="N362" s="197">
        <v>43157.694444444445</v>
      </c>
      <c r="O362" s="197" t="s">
        <v>2556</v>
      </c>
      <c r="AB362" s="110">
        <f>IFERROR(INDEX('WetLitterbags placem_collection'!$A$3:$A$500,MATCH(A362,'WetLitterbags placem_collection'!$K$4:$K$500,0)),"")</f>
        <v>135</v>
      </c>
      <c r="AC362" s="110" t="str">
        <f>IFERROR(INDEX('WetLitterbags placem_collection'!$A$3:$A$500,MATCH($A362,'WetLitterbags placem_collection'!$O$4:$O$500,0)),"")</f>
        <v/>
      </c>
      <c r="AD362" s="110" t="str">
        <f>IFERROR(INDEX('WetLitterbags placem_collection'!$A$3:$A$500,MATCH($A362,'WetLitterbags placem_collection'!$M$4:$M$500,0)),"")</f>
        <v/>
      </c>
      <c r="AE362" s="110" t="str">
        <f>IFERROR(INDEX('WetLitterbags placem_collection'!$A$3:$A$500,MATCH($A362,'WetLitterbags placem_collection'!$Q$4:$Q$500,0)),"")</f>
        <v/>
      </c>
    </row>
    <row r="363" spans="1:31">
      <c r="A363" s="197" t="s">
        <v>1217</v>
      </c>
      <c r="C363" s="197">
        <v>128</v>
      </c>
      <c r="D363" s="197">
        <v>0.37309999999999999</v>
      </c>
      <c r="E363" s="197">
        <v>8.4431999999999992</v>
      </c>
      <c r="F363" s="197">
        <v>0.1978</v>
      </c>
      <c r="G363" s="197">
        <f t="shared" si="28"/>
        <v>8.641</v>
      </c>
      <c r="H363" s="197">
        <v>8.4629999999999992</v>
      </c>
      <c r="I363" s="197">
        <f t="shared" si="29"/>
        <v>0.17800000000000082</v>
      </c>
      <c r="J363" s="201">
        <f t="shared" si="30"/>
        <v>1.9799999999999179E-2</v>
      </c>
      <c r="K363" s="280">
        <f t="shared" si="31"/>
        <v>10.010111223457624</v>
      </c>
      <c r="L363" s="197">
        <v>10</v>
      </c>
      <c r="M363" s="197">
        <v>43157.395833333336</v>
      </c>
      <c r="N363" s="197">
        <v>43157.569444444445</v>
      </c>
      <c r="O363" s="197" t="s">
        <v>2550</v>
      </c>
      <c r="AB363" s="110" t="str">
        <f>IFERROR(INDEX('WetLitterbags placem_collection'!$A$3:$A$500,MATCH(A363,'WetLitterbags placem_collection'!$K$4:$K$500,0)),"")</f>
        <v/>
      </c>
      <c r="AC363" s="110">
        <f>IFERROR(INDEX('WetLitterbags placem_collection'!$A$3:$A$500,MATCH($A363,'WetLitterbags placem_collection'!$O$4:$O$500,0)),"")</f>
        <v>127</v>
      </c>
      <c r="AD363" s="110" t="str">
        <f>IFERROR(INDEX('WetLitterbags placem_collection'!$A$3:$A$500,MATCH($A363,'WetLitterbags placem_collection'!$M$4:$M$500,0)),"")</f>
        <v/>
      </c>
      <c r="AE363" s="110" t="str">
        <f>IFERROR(INDEX('WetLitterbags placem_collection'!$A$3:$A$500,MATCH($A363,'WetLitterbags placem_collection'!$Q$4:$Q$500,0)),"")</f>
        <v/>
      </c>
    </row>
    <row r="364" spans="1:31">
      <c r="A364" s="197" t="s">
        <v>1216</v>
      </c>
      <c r="C364" s="197">
        <v>128</v>
      </c>
      <c r="D364" s="197">
        <v>0.35189999999999999</v>
      </c>
      <c r="E364" s="197">
        <v>8.7677999999999994</v>
      </c>
      <c r="F364" s="197">
        <v>0.20730000000000001</v>
      </c>
      <c r="G364" s="197">
        <f t="shared" si="28"/>
        <v>8.9750999999999994</v>
      </c>
      <c r="H364" s="197">
        <v>8.7946000000000009</v>
      </c>
      <c r="I364" s="197">
        <f t="shared" si="29"/>
        <v>0.18049999999999855</v>
      </c>
      <c r="J364" s="201">
        <f t="shared" si="30"/>
        <v>2.6800000000001462E-2</v>
      </c>
      <c r="K364" s="280">
        <f t="shared" si="31"/>
        <v>12.928123492523619</v>
      </c>
      <c r="L364" s="197">
        <v>9</v>
      </c>
      <c r="M364" s="197">
        <v>43157.395833333336</v>
      </c>
      <c r="N364" s="197">
        <v>43157.569444444445</v>
      </c>
      <c r="O364" s="197" t="s">
        <v>2550</v>
      </c>
      <c r="AB364" s="110">
        <f>IFERROR(INDEX('WetLitterbags placem_collection'!$A$3:$A$500,MATCH(A364,'WetLitterbags placem_collection'!$K$4:$K$500,0)),"")</f>
        <v>127</v>
      </c>
      <c r="AC364" s="110" t="str">
        <f>IFERROR(INDEX('WetLitterbags placem_collection'!$A$3:$A$500,MATCH($A364,'WetLitterbags placem_collection'!$O$4:$O$500,0)),"")</f>
        <v/>
      </c>
      <c r="AD364" s="110" t="str">
        <f>IFERROR(INDEX('WetLitterbags placem_collection'!$A$3:$A$500,MATCH($A364,'WetLitterbags placem_collection'!$M$4:$M$500,0)),"")</f>
        <v/>
      </c>
      <c r="AE364" s="110" t="str">
        <f>IFERROR(INDEX('WetLitterbags placem_collection'!$A$3:$A$500,MATCH($A364,'WetLitterbags placem_collection'!$Q$4:$Q$500,0)),"")</f>
        <v/>
      </c>
    </row>
    <row r="365" spans="1:31">
      <c r="A365" s="201" t="s">
        <v>1214</v>
      </c>
      <c r="C365" s="201">
        <v>143</v>
      </c>
      <c r="D365" s="201">
        <v>0.42659999999999998</v>
      </c>
      <c r="E365" s="201">
        <v>9.0321999999999996</v>
      </c>
      <c r="F365" s="201">
        <v>0.20749999999999999</v>
      </c>
      <c r="G365" s="201">
        <f t="shared" si="28"/>
        <v>9.2396999999999991</v>
      </c>
      <c r="H365" s="201">
        <v>9.0593000000000004</v>
      </c>
      <c r="I365" s="201">
        <f t="shared" si="29"/>
        <v>0.18039999999999878</v>
      </c>
      <c r="J365" s="201">
        <f t="shared" si="30"/>
        <v>2.7100000000001206E-2</v>
      </c>
      <c r="K365" s="280">
        <f t="shared" si="31"/>
        <v>13.060240963856003</v>
      </c>
      <c r="L365" s="201">
        <v>12</v>
      </c>
      <c r="M365" s="203">
        <v>43171.520833333336</v>
      </c>
      <c r="N365" s="203">
        <v>43171.6875</v>
      </c>
      <c r="O365" s="197" t="s">
        <v>2550</v>
      </c>
      <c r="P365" s="201"/>
      <c r="AB365" s="110">
        <f>IFERROR(INDEX('WetLitterbags placem_collection'!$A$3:$A$500,MATCH(A365,'WetLitterbags placem_collection'!$K$4:$K$500,0)),"")</f>
        <v>142</v>
      </c>
      <c r="AC365" s="110" t="str">
        <f>IFERROR(INDEX('WetLitterbags placem_collection'!$A$3:$A$500,MATCH($A365,'WetLitterbags placem_collection'!$O$4:$O$500,0)),"")</f>
        <v/>
      </c>
      <c r="AD365" s="110" t="str">
        <f>IFERROR(INDEX('WetLitterbags placem_collection'!$A$3:$A$500,MATCH($A365,'WetLitterbags placem_collection'!$M$4:$M$500,0)),"")</f>
        <v/>
      </c>
      <c r="AE365" s="110" t="str">
        <f>IFERROR(INDEX('WetLitterbags placem_collection'!$A$3:$A$500,MATCH($A365,'WetLitterbags placem_collection'!$Q$4:$Q$500,0)),"")</f>
        <v/>
      </c>
    </row>
    <row r="366" spans="1:31">
      <c r="A366" s="206" t="s">
        <v>1213</v>
      </c>
      <c r="C366" s="201">
        <v>106</v>
      </c>
      <c r="D366" s="202">
        <v>0.39040000000000002</v>
      </c>
      <c r="E366" s="202">
        <v>10.7933</v>
      </c>
      <c r="F366" s="202">
        <v>0.20569999999999999</v>
      </c>
      <c r="G366" s="201">
        <f t="shared" si="28"/>
        <v>10.999000000000001</v>
      </c>
      <c r="H366" s="201">
        <v>10.821999999999999</v>
      </c>
      <c r="I366" s="201">
        <f t="shared" si="29"/>
        <v>0.17700000000000138</v>
      </c>
      <c r="J366" s="201">
        <f t="shared" si="30"/>
        <v>2.8699999999998616E-2</v>
      </c>
      <c r="K366" s="280">
        <f t="shared" si="31"/>
        <v>13.95235780262451</v>
      </c>
      <c r="L366" s="201">
        <v>40</v>
      </c>
      <c r="M366" s="203">
        <v>43181.645833333336</v>
      </c>
      <c r="N366" s="203">
        <v>43181.833333333336</v>
      </c>
      <c r="O366" s="201" t="s">
        <v>2556</v>
      </c>
      <c r="P366" s="201"/>
      <c r="AB366" s="110">
        <f>IFERROR(INDEX('WetLitterbags placem_collection'!$A$3:$A$500,MATCH(A366,'WetLitterbags placem_collection'!$K$4:$K$500,0)),"")</f>
        <v>105</v>
      </c>
      <c r="AC366" s="110" t="str">
        <f>IFERROR(INDEX('WetLitterbags placem_collection'!$A$3:$A$500,MATCH($A366,'WetLitterbags placem_collection'!$O$4:$O$500,0)),"")</f>
        <v/>
      </c>
      <c r="AD366" s="110" t="str">
        <f>IFERROR(INDEX('WetLitterbags placem_collection'!$A$3:$A$500,MATCH($A366,'WetLitterbags placem_collection'!$M$4:$M$500,0)),"")</f>
        <v/>
      </c>
      <c r="AE366" s="110" t="str">
        <f>IFERROR(INDEX('WetLitterbags placem_collection'!$A$3:$A$500,MATCH($A366,'WetLitterbags placem_collection'!$Q$4:$Q$500,0)),"")</f>
        <v/>
      </c>
    </row>
    <row r="367" spans="1:31">
      <c r="A367" s="197" t="s">
        <v>1212</v>
      </c>
      <c r="C367" s="198">
        <v>29</v>
      </c>
      <c r="D367" s="197">
        <v>0.51539999999999997</v>
      </c>
      <c r="E367" s="201">
        <v>8.1179000000000006</v>
      </c>
      <c r="F367" s="202">
        <v>0.20630000000000001</v>
      </c>
      <c r="G367" s="201">
        <f t="shared" si="28"/>
        <v>8.3242000000000012</v>
      </c>
      <c r="H367" s="201">
        <v>8.1349</v>
      </c>
      <c r="I367" s="201">
        <f t="shared" si="29"/>
        <v>0.18930000000000113</v>
      </c>
      <c r="J367" s="201">
        <f t="shared" si="30"/>
        <v>1.6999999999998877E-2</v>
      </c>
      <c r="K367" s="280">
        <f t="shared" si="31"/>
        <v>8.2404265632568467</v>
      </c>
      <c r="L367" s="201">
        <v>8</v>
      </c>
      <c r="M367" s="204">
        <v>43213</v>
      </c>
      <c r="N367" s="204">
        <v>43213</v>
      </c>
      <c r="AB367" s="110">
        <f>IFERROR(INDEX('WetLitterbags placem_collection'!$A$3:$A$500,MATCH(A367,'WetLitterbags placem_collection'!$K$4:$K$500,0)),"")</f>
        <v>28</v>
      </c>
      <c r="AC367" s="110" t="str">
        <f>IFERROR(INDEX('WetLitterbags placem_collection'!$A$3:$A$500,MATCH($A367,'WetLitterbags placem_collection'!$O$4:$O$500,0)),"")</f>
        <v/>
      </c>
      <c r="AD367" s="110" t="str">
        <f>IFERROR(INDEX('WetLitterbags placem_collection'!$A$3:$A$500,MATCH($A367,'WetLitterbags placem_collection'!$M$4:$M$500,0)),"")</f>
        <v/>
      </c>
      <c r="AE367" s="110" t="str">
        <f>IFERROR(INDEX('WetLitterbags placem_collection'!$A$3:$A$500,MATCH($A367,'WetLitterbags placem_collection'!$Q$4:$Q$500,0)),"")</f>
        <v/>
      </c>
    </row>
    <row r="368" spans="1:31">
      <c r="A368" s="206" t="s">
        <v>1211</v>
      </c>
      <c r="C368" s="201">
        <v>122</v>
      </c>
      <c r="D368" s="201">
        <v>0.41839999999999999</v>
      </c>
      <c r="E368" s="202">
        <v>8.2185000000000006</v>
      </c>
      <c r="F368" s="202">
        <v>0.20039999999999999</v>
      </c>
      <c r="G368" s="201">
        <f t="shared" si="28"/>
        <v>8.4189000000000007</v>
      </c>
      <c r="H368" s="201">
        <v>8.2510999999999992</v>
      </c>
      <c r="I368" s="201">
        <f t="shared" si="29"/>
        <v>0.1678000000000015</v>
      </c>
      <c r="J368" s="201">
        <f t="shared" si="30"/>
        <v>3.2599999999998491E-2</v>
      </c>
      <c r="K368" s="280">
        <f t="shared" si="31"/>
        <v>16.267465069859526</v>
      </c>
      <c r="L368" s="201">
        <v>7</v>
      </c>
      <c r="M368" s="203">
        <v>43181.645833333336</v>
      </c>
      <c r="N368" s="203">
        <v>43181.833333333336</v>
      </c>
      <c r="O368" s="201" t="s">
        <v>2556</v>
      </c>
      <c r="P368" s="201"/>
      <c r="AB368" s="110" t="str">
        <f>IFERROR(INDEX('WetLitterbags placem_collection'!$A$3:$A$500,MATCH(A368,'WetLitterbags placem_collection'!$K$4:$K$500,0)),"")</f>
        <v/>
      </c>
      <c r="AC368" s="110">
        <f>IFERROR(INDEX('WetLitterbags placem_collection'!$A$3:$A$500,MATCH($A368,'WetLitterbags placem_collection'!$O$4:$O$500,0)),"")</f>
        <v>121</v>
      </c>
      <c r="AD368" s="110" t="str">
        <f>IFERROR(INDEX('WetLitterbags placem_collection'!$A$3:$A$500,MATCH($A368,'WetLitterbags placem_collection'!$M$4:$M$500,0)),"")</f>
        <v/>
      </c>
      <c r="AE368" s="110" t="str">
        <f>IFERROR(INDEX('WetLitterbags placem_collection'!$A$3:$A$500,MATCH($A368,'WetLitterbags placem_collection'!$Q$4:$Q$500,0)),"")</f>
        <v/>
      </c>
    </row>
    <row r="369" spans="1:31">
      <c r="A369" s="206" t="s">
        <v>1210</v>
      </c>
      <c r="C369" s="201">
        <v>82</v>
      </c>
      <c r="D369" s="201">
        <v>0.53169999999999995</v>
      </c>
      <c r="E369" s="202">
        <v>9.7276000000000007</v>
      </c>
      <c r="F369" s="202">
        <v>0.2026</v>
      </c>
      <c r="G369" s="201">
        <f t="shared" si="28"/>
        <v>9.930200000000001</v>
      </c>
      <c r="H369" s="201">
        <v>9.7446000000000002</v>
      </c>
      <c r="I369" s="201">
        <f t="shared" si="29"/>
        <v>0.18560000000000088</v>
      </c>
      <c r="J369" s="201">
        <f t="shared" si="30"/>
        <v>1.6999999999999127E-2</v>
      </c>
      <c r="K369" s="280">
        <f t="shared" si="31"/>
        <v>8.3909180651525794</v>
      </c>
      <c r="L369" s="201">
        <v>19</v>
      </c>
      <c r="M369" s="205">
        <v>43197</v>
      </c>
      <c r="N369" s="205">
        <v>43197</v>
      </c>
      <c r="O369" s="201"/>
      <c r="P369" s="201"/>
      <c r="AB369" s="110" t="str">
        <f>IFERROR(INDEX('WetLitterbags placem_collection'!$A$3:$A$500,MATCH(A369,'WetLitterbags placem_collection'!$K$4:$K$500,0)),"")</f>
        <v/>
      </c>
      <c r="AC369" s="110">
        <f>IFERROR(INDEX('WetLitterbags placem_collection'!$A$3:$A$500,MATCH($A369,'WetLitterbags placem_collection'!$O$4:$O$500,0)),"")</f>
        <v>81</v>
      </c>
      <c r="AD369" s="110" t="str">
        <f>IFERROR(INDEX('WetLitterbags placem_collection'!$A$3:$A$500,MATCH($A369,'WetLitterbags placem_collection'!$M$4:$M$500,0)),"")</f>
        <v/>
      </c>
      <c r="AE369" s="110" t="str">
        <f>IFERROR(INDEX('WetLitterbags placem_collection'!$A$3:$A$500,MATCH($A369,'WetLitterbags placem_collection'!$Q$4:$Q$500,0)),"")</f>
        <v/>
      </c>
    </row>
    <row r="370" spans="1:31">
      <c r="A370" s="197" t="s">
        <v>1209</v>
      </c>
      <c r="C370" s="197">
        <v>126</v>
      </c>
      <c r="D370" s="197">
        <v>0.3841</v>
      </c>
      <c r="E370" s="197">
        <v>7.3541999999999996</v>
      </c>
      <c r="F370" s="197">
        <v>0.19570000000000001</v>
      </c>
      <c r="G370" s="197">
        <f t="shared" si="28"/>
        <v>7.5499000000000001</v>
      </c>
      <c r="H370" s="197">
        <v>7.3788</v>
      </c>
      <c r="I370" s="197">
        <f t="shared" si="29"/>
        <v>0.17110000000000003</v>
      </c>
      <c r="J370" s="201">
        <f t="shared" si="30"/>
        <v>2.4599999999999983E-2</v>
      </c>
      <c r="K370" s="280">
        <f t="shared" si="31"/>
        <v>12.570260602963709</v>
      </c>
      <c r="L370" s="197">
        <v>2</v>
      </c>
      <c r="M370" s="197">
        <v>43157.527777777781</v>
      </c>
      <c r="N370" s="197">
        <v>43157.694444444445</v>
      </c>
      <c r="O370" s="197" t="s">
        <v>2556</v>
      </c>
      <c r="AB370" s="110" t="str">
        <f>IFERROR(INDEX('WetLitterbags placem_collection'!$A$3:$A$500,MATCH(A370,'WetLitterbags placem_collection'!$K$4:$K$500,0)),"")</f>
        <v/>
      </c>
      <c r="AC370" s="110">
        <f>IFERROR(INDEX('WetLitterbags placem_collection'!$A$3:$A$500,MATCH($A370,'WetLitterbags placem_collection'!$O$4:$O$500,0)),"")</f>
        <v>125</v>
      </c>
      <c r="AD370" s="110" t="str">
        <f>IFERROR(INDEX('WetLitterbags placem_collection'!$A$3:$A$500,MATCH($A370,'WetLitterbags placem_collection'!$M$4:$M$500,0)),"")</f>
        <v/>
      </c>
      <c r="AE370" s="110" t="str">
        <f>IFERROR(INDEX('WetLitterbags placem_collection'!$A$3:$A$500,MATCH($A370,'WetLitterbags placem_collection'!$Q$4:$Q$500,0)),"")</f>
        <v/>
      </c>
    </row>
    <row r="371" spans="1:31">
      <c r="A371" s="201" t="s">
        <v>1208</v>
      </c>
      <c r="C371" s="201">
        <v>135</v>
      </c>
      <c r="D371" s="201">
        <f>0.17+F371</f>
        <v>0.37019999999999997</v>
      </c>
      <c r="E371" s="202">
        <v>10.107200000000001</v>
      </c>
      <c r="F371" s="202">
        <v>0.20019999999999999</v>
      </c>
      <c r="G371" s="201">
        <f t="shared" ref="G371:G434" si="32">E371+F371</f>
        <v>10.307400000000001</v>
      </c>
      <c r="H371" s="201">
        <v>10.135999999999999</v>
      </c>
      <c r="I371" s="201">
        <f t="shared" ref="I371:I434" si="33">(G371-H371)</f>
        <v>0.171400000000002</v>
      </c>
      <c r="J371" s="201">
        <f t="shared" ref="J371:J434" si="34">F371-I371</f>
        <v>2.8799999999997994E-2</v>
      </c>
      <c r="K371" s="280">
        <f t="shared" ref="K371:K434" si="35">(J371/F371)*100</f>
        <v>14.385614385613385</v>
      </c>
      <c r="L371" s="201">
        <v>27</v>
      </c>
      <c r="M371" s="205">
        <v>43174</v>
      </c>
      <c r="N371" s="205">
        <v>43174</v>
      </c>
      <c r="O371" s="201" t="s">
        <v>2556</v>
      </c>
      <c r="P371" s="201" t="s">
        <v>2551</v>
      </c>
      <c r="AB371" s="110" t="str">
        <f>IFERROR(INDEX('WetLitterbags placem_collection'!$A$3:$A$500,MATCH(A371,'WetLitterbags placem_collection'!$K$4:$K$500,0)),"")</f>
        <v/>
      </c>
      <c r="AC371" s="110">
        <f>IFERROR(INDEX('WetLitterbags placem_collection'!$A$3:$A$500,MATCH($A371,'WetLitterbags placem_collection'!$O$4:$O$500,0)),"")</f>
        <v>134</v>
      </c>
      <c r="AD371" s="110" t="str">
        <f>IFERROR(INDEX('WetLitterbags placem_collection'!$A$3:$A$500,MATCH($A371,'WetLitterbags placem_collection'!$M$4:$M$500,0)),"")</f>
        <v/>
      </c>
      <c r="AE371" s="110" t="str">
        <f>IFERROR(INDEX('WetLitterbags placem_collection'!$A$3:$A$500,MATCH($A371,'WetLitterbags placem_collection'!$Q$4:$Q$500,0)),"")</f>
        <v/>
      </c>
    </row>
    <row r="372" spans="1:31">
      <c r="A372" s="206" t="s">
        <v>1205</v>
      </c>
      <c r="C372" s="201">
        <v>108</v>
      </c>
      <c r="D372" s="201">
        <v>0.3609</v>
      </c>
      <c r="E372" s="202">
        <v>7.7736000000000001</v>
      </c>
      <c r="F372" s="202">
        <v>0.2011</v>
      </c>
      <c r="G372" s="201">
        <f t="shared" si="32"/>
        <v>7.9747000000000003</v>
      </c>
      <c r="H372" s="201">
        <v>7.7999000000000001</v>
      </c>
      <c r="I372" s="201">
        <f t="shared" si="33"/>
        <v>0.17480000000000029</v>
      </c>
      <c r="J372" s="201">
        <f t="shared" si="34"/>
        <v>2.6299999999999712E-2</v>
      </c>
      <c r="K372" s="280">
        <f t="shared" si="35"/>
        <v>13.078070611635859</v>
      </c>
      <c r="L372" s="201">
        <v>38</v>
      </c>
      <c r="M372" s="207">
        <v>43186.458333333336</v>
      </c>
      <c r="N372" s="207">
        <v>43186.625</v>
      </c>
      <c r="O372" s="197" t="s">
        <v>2550</v>
      </c>
      <c r="P372" s="201"/>
      <c r="AB372" s="110" t="str">
        <f>IFERROR(INDEX('WetLitterbags placem_collection'!$A$3:$A$500,MATCH(A372,'WetLitterbags placem_collection'!$K$4:$K$500,0)),"")</f>
        <v/>
      </c>
      <c r="AC372" s="110">
        <f>IFERROR(INDEX('WetLitterbags placem_collection'!$A$3:$A$500,MATCH($A372,'WetLitterbags placem_collection'!$O$4:$O$500,0)),"")</f>
        <v>107</v>
      </c>
      <c r="AD372" s="110" t="str">
        <f>IFERROR(INDEX('WetLitterbags placem_collection'!$A$3:$A$500,MATCH($A372,'WetLitterbags placem_collection'!$M$4:$M$500,0)),"")</f>
        <v/>
      </c>
      <c r="AE372" s="110" t="str">
        <f>IFERROR(INDEX('WetLitterbags placem_collection'!$A$3:$A$500,MATCH($A372,'WetLitterbags placem_collection'!$Q$4:$Q$500,0)),"")</f>
        <v/>
      </c>
    </row>
    <row r="373" spans="1:31">
      <c r="A373" s="197" t="s">
        <v>1204</v>
      </c>
      <c r="C373" s="197">
        <v>133</v>
      </c>
      <c r="D373" s="197">
        <v>0.38790000000000002</v>
      </c>
      <c r="E373" s="197">
        <v>9.0521999999999991</v>
      </c>
      <c r="F373" s="197">
        <v>0.20130000000000001</v>
      </c>
      <c r="G373" s="197">
        <f t="shared" si="32"/>
        <v>9.2534999999999989</v>
      </c>
      <c r="H373" s="197">
        <v>9.0749999999999993</v>
      </c>
      <c r="I373" s="197">
        <f t="shared" si="33"/>
        <v>0.17849999999999966</v>
      </c>
      <c r="J373" s="201">
        <f t="shared" si="34"/>
        <v>2.2800000000000348E-2</v>
      </c>
      <c r="K373" s="280">
        <f t="shared" si="35"/>
        <v>11.326378539493467</v>
      </c>
      <c r="L373" s="197">
        <v>17</v>
      </c>
      <c r="M373" s="197">
        <v>43157.395833333336</v>
      </c>
      <c r="N373" s="197">
        <v>43157.569444444445</v>
      </c>
      <c r="O373" s="197" t="s">
        <v>2550</v>
      </c>
      <c r="AB373" s="110">
        <f>IFERROR(INDEX('WetLitterbags placem_collection'!$A$3:$A$500,MATCH(A373,'WetLitterbags placem_collection'!$K$4:$K$500,0)),"")</f>
        <v>132</v>
      </c>
      <c r="AC373" s="110" t="str">
        <f>IFERROR(INDEX('WetLitterbags placem_collection'!$A$3:$A$500,MATCH($A373,'WetLitterbags placem_collection'!$O$4:$O$500,0)),"")</f>
        <v/>
      </c>
      <c r="AD373" s="110" t="str">
        <f>IFERROR(INDEX('WetLitterbags placem_collection'!$A$3:$A$500,MATCH($A373,'WetLitterbags placem_collection'!$M$4:$M$500,0)),"")</f>
        <v/>
      </c>
      <c r="AE373" s="110" t="str">
        <f>IFERROR(INDEX('WetLitterbags placem_collection'!$A$3:$A$500,MATCH($A373,'WetLitterbags placem_collection'!$Q$4:$Q$500,0)),"")</f>
        <v/>
      </c>
    </row>
    <row r="374" spans="1:31">
      <c r="A374" s="197" t="s">
        <v>1203</v>
      </c>
      <c r="C374" s="198">
        <v>97</v>
      </c>
      <c r="D374" s="197">
        <v>0.42770000000000002</v>
      </c>
      <c r="E374" s="202">
        <v>10.921200000000001</v>
      </c>
      <c r="F374" s="202">
        <v>0.20860000000000001</v>
      </c>
      <c r="G374" s="201">
        <f t="shared" si="32"/>
        <v>11.129800000000001</v>
      </c>
      <c r="H374" s="201">
        <v>10.9663</v>
      </c>
      <c r="I374" s="201">
        <f t="shared" si="33"/>
        <v>0.16350000000000087</v>
      </c>
      <c r="J374" s="201">
        <f t="shared" si="34"/>
        <v>4.5099999999999141E-2</v>
      </c>
      <c r="K374" s="280">
        <f t="shared" si="35"/>
        <v>21.620325982741679</v>
      </c>
      <c r="L374" s="201">
        <v>11</v>
      </c>
      <c r="AB374" s="110" t="str">
        <f>IFERROR(INDEX('WetLitterbags placem_collection'!$A$3:$A$500,MATCH(A374,'WetLitterbags placem_collection'!$K$4:$K$500,0)),"")</f>
        <v/>
      </c>
      <c r="AC374" s="110">
        <f>IFERROR(INDEX('WetLitterbags placem_collection'!$A$3:$A$500,MATCH($A374,'WetLitterbags placem_collection'!$O$4:$O$500,0)),"")</f>
        <v>96</v>
      </c>
      <c r="AD374" s="110" t="str">
        <f>IFERROR(INDEX('WetLitterbags placem_collection'!$A$3:$A$500,MATCH($A374,'WetLitterbags placem_collection'!$M$4:$M$500,0)),"")</f>
        <v/>
      </c>
      <c r="AE374" s="110" t="str">
        <f>IFERROR(INDEX('WetLitterbags placem_collection'!$A$3:$A$500,MATCH($A374,'WetLitterbags placem_collection'!$Q$4:$Q$500,0)),"")</f>
        <v/>
      </c>
    </row>
    <row r="375" spans="1:31">
      <c r="A375" s="197" t="s">
        <v>1201</v>
      </c>
      <c r="C375" s="197">
        <v>220</v>
      </c>
      <c r="D375" s="197">
        <v>0.46010000000000001</v>
      </c>
      <c r="E375" s="202">
        <v>7.9047999999999998</v>
      </c>
      <c r="F375" s="202">
        <v>0.20230000000000001</v>
      </c>
      <c r="G375" s="201">
        <f t="shared" si="32"/>
        <v>8.1070999999999991</v>
      </c>
      <c r="H375" s="201">
        <v>7.9282000000000004</v>
      </c>
      <c r="I375" s="201">
        <f t="shared" si="33"/>
        <v>0.17889999999999873</v>
      </c>
      <c r="J375" s="201">
        <f t="shared" si="34"/>
        <v>2.3400000000001281E-2</v>
      </c>
      <c r="K375" s="280">
        <f t="shared" si="35"/>
        <v>11.566979733070331</v>
      </c>
      <c r="L375" s="201">
        <v>17</v>
      </c>
      <c r="AB375" s="110" t="str">
        <f>IFERROR(INDEX('WetLitterbags placem_collection'!$A$3:$A$500,MATCH(A375,'WetLitterbags placem_collection'!$K$4:$K$500,0)),"")</f>
        <v/>
      </c>
      <c r="AC375" s="110">
        <f>IFERROR(INDEX('WetLitterbags placem_collection'!$A$3:$A$500,MATCH($A375,'WetLitterbags placem_collection'!$O$4:$O$500,0)),"")</f>
        <v>219</v>
      </c>
      <c r="AD375" s="110" t="str">
        <f>IFERROR(INDEX('WetLitterbags placem_collection'!$A$3:$A$500,MATCH($A375,'WetLitterbags placem_collection'!$M$4:$M$500,0)),"")</f>
        <v/>
      </c>
      <c r="AE375" s="110" t="str">
        <f>IFERROR(INDEX('WetLitterbags placem_collection'!$A$3:$A$500,MATCH($A375,'WetLitterbags placem_collection'!$Q$4:$Q$500,0)),"")</f>
        <v/>
      </c>
    </row>
    <row r="376" spans="1:31">
      <c r="A376" s="206" t="s">
        <v>1200</v>
      </c>
      <c r="C376" s="201">
        <v>142</v>
      </c>
      <c r="D376" s="201">
        <v>0.5554</v>
      </c>
      <c r="E376" s="202">
        <v>8.7684999999999995</v>
      </c>
      <c r="F376" s="202">
        <v>0.20230000000000001</v>
      </c>
      <c r="G376" s="201">
        <f t="shared" si="32"/>
        <v>8.9707999999999988</v>
      </c>
      <c r="H376" s="201">
        <v>8.7984000000000009</v>
      </c>
      <c r="I376" s="201">
        <f t="shared" si="33"/>
        <v>0.17239999999999789</v>
      </c>
      <c r="J376" s="201">
        <f t="shared" si="34"/>
        <v>2.9900000000002119E-2</v>
      </c>
      <c r="K376" s="280">
        <f t="shared" si="35"/>
        <v>14.780029658923441</v>
      </c>
      <c r="L376" s="201">
        <v>2</v>
      </c>
      <c r="M376" s="207">
        <v>43186.458333333336</v>
      </c>
      <c r="N376" s="207">
        <v>43186.625</v>
      </c>
      <c r="O376" s="197" t="s">
        <v>2550</v>
      </c>
      <c r="P376" s="201"/>
      <c r="AB376" s="110" t="str">
        <f>IFERROR(INDEX('WetLitterbags placem_collection'!$A$3:$A$500,MATCH(A376,'WetLitterbags placem_collection'!$K$4:$K$500,0)),"")</f>
        <v/>
      </c>
      <c r="AC376" s="110">
        <f>IFERROR(INDEX('WetLitterbags placem_collection'!$A$3:$A$500,MATCH($A376,'WetLitterbags placem_collection'!$O$4:$O$500,0)),"")</f>
        <v>141</v>
      </c>
      <c r="AD376" s="110" t="str">
        <f>IFERROR(INDEX('WetLitterbags placem_collection'!$A$3:$A$500,MATCH($A376,'WetLitterbags placem_collection'!$M$4:$M$500,0)),"")</f>
        <v/>
      </c>
      <c r="AE376" s="110" t="str">
        <f>IFERROR(INDEX('WetLitterbags placem_collection'!$A$3:$A$500,MATCH($A376,'WetLitterbags placem_collection'!$Q$4:$Q$500,0)),"")</f>
        <v/>
      </c>
    </row>
    <row r="377" spans="1:31">
      <c r="A377" s="197" t="s">
        <v>1198</v>
      </c>
      <c r="C377" s="197">
        <v>112</v>
      </c>
      <c r="D377" s="197">
        <v>0.48280000000000001</v>
      </c>
      <c r="E377" s="197">
        <v>20.991</v>
      </c>
      <c r="F377" s="197">
        <v>0.20369999999999999</v>
      </c>
      <c r="G377" s="197">
        <f t="shared" si="32"/>
        <v>21.194700000000001</v>
      </c>
      <c r="H377" s="197">
        <v>21.018999999999998</v>
      </c>
      <c r="I377" s="197">
        <f t="shared" si="33"/>
        <v>0.17570000000000263</v>
      </c>
      <c r="J377" s="201">
        <f t="shared" si="34"/>
        <v>2.799999999999736E-2</v>
      </c>
      <c r="K377" s="280">
        <f t="shared" si="35"/>
        <v>13.745704467352656</v>
      </c>
      <c r="L377" s="197">
        <v>12</v>
      </c>
      <c r="M377" s="197" t="s">
        <v>2576</v>
      </c>
      <c r="N377" s="197">
        <v>43153.729166666664</v>
      </c>
      <c r="O377" s="197" t="s">
        <v>2550</v>
      </c>
      <c r="P377" s="197" t="s">
        <v>2574</v>
      </c>
      <c r="AB377" s="110" t="str">
        <f>IFERROR(INDEX('WetLitterbags placem_collection'!$A$3:$A$500,MATCH(A377,'WetLitterbags placem_collection'!$K$4:$K$500,0)),"")</f>
        <v/>
      </c>
      <c r="AC377" s="110">
        <f>IFERROR(INDEX('WetLitterbags placem_collection'!$A$3:$A$500,MATCH($A377,'WetLitterbags placem_collection'!$O$4:$O$500,0)),"")</f>
        <v>111</v>
      </c>
      <c r="AD377" s="110" t="str">
        <f>IFERROR(INDEX('WetLitterbags placem_collection'!$A$3:$A$500,MATCH($A377,'WetLitterbags placem_collection'!$M$4:$M$500,0)),"")</f>
        <v/>
      </c>
      <c r="AE377" s="110" t="str">
        <f>IFERROR(INDEX('WetLitterbags placem_collection'!$A$3:$A$500,MATCH($A377,'WetLitterbags placem_collection'!$Q$4:$Q$500,0)),"")</f>
        <v/>
      </c>
    </row>
    <row r="378" spans="1:31">
      <c r="A378" s="197" t="s">
        <v>1197</v>
      </c>
      <c r="C378" s="198">
        <v>152</v>
      </c>
      <c r="D378" s="197">
        <v>0.38779999999999998</v>
      </c>
      <c r="E378" s="202">
        <v>10.794</v>
      </c>
      <c r="F378" s="202">
        <v>0.2019</v>
      </c>
      <c r="G378" s="201">
        <f t="shared" si="32"/>
        <v>10.995900000000001</v>
      </c>
      <c r="H378" s="201">
        <v>10.836</v>
      </c>
      <c r="I378" s="201">
        <f t="shared" si="33"/>
        <v>0.15990000000000038</v>
      </c>
      <c r="J378" s="201">
        <f t="shared" si="34"/>
        <v>4.1999999999999621E-2</v>
      </c>
      <c r="K378" s="280">
        <f t="shared" si="35"/>
        <v>20.802377414561477</v>
      </c>
      <c r="L378" s="201">
        <v>35</v>
      </c>
      <c r="M378" s="204">
        <v>43221</v>
      </c>
      <c r="N378" s="204">
        <v>43221</v>
      </c>
      <c r="AB378" s="110">
        <f>IFERROR(INDEX('WetLitterbags placem_collection'!$A$3:$A$500,MATCH(A378,'WetLitterbags placem_collection'!$K$4:$K$500,0)),"")</f>
        <v>151</v>
      </c>
      <c r="AC378" s="110" t="str">
        <f>IFERROR(INDEX('WetLitterbags placem_collection'!$A$3:$A$500,MATCH($A378,'WetLitterbags placem_collection'!$O$4:$O$500,0)),"")</f>
        <v/>
      </c>
      <c r="AD378" s="110" t="str">
        <f>IFERROR(INDEX('WetLitterbags placem_collection'!$A$3:$A$500,MATCH($A378,'WetLitterbags placem_collection'!$M$4:$M$500,0)),"")</f>
        <v/>
      </c>
      <c r="AE378" s="110" t="str">
        <f>IFERROR(INDEX('WetLitterbags placem_collection'!$A$3:$A$500,MATCH($A378,'WetLitterbags placem_collection'!$Q$4:$Q$500,0)),"")</f>
        <v/>
      </c>
    </row>
    <row r="379" spans="1:31">
      <c r="A379" s="201" t="s">
        <v>1194</v>
      </c>
      <c r="C379" s="201">
        <v>51</v>
      </c>
      <c r="D379" s="202">
        <v>0.56730000000000003</v>
      </c>
      <c r="E379" s="201">
        <v>10.153600000000001</v>
      </c>
      <c r="F379" s="202">
        <v>0.20530000000000001</v>
      </c>
      <c r="G379" s="201">
        <f t="shared" si="32"/>
        <v>10.3589</v>
      </c>
      <c r="H379" s="201">
        <v>10.173299999999999</v>
      </c>
      <c r="I379" s="201">
        <f t="shared" si="33"/>
        <v>0.18560000000000088</v>
      </c>
      <c r="J379" s="201">
        <f t="shared" si="34"/>
        <v>1.9699999999999135E-2</v>
      </c>
      <c r="K379" s="280">
        <f t="shared" si="35"/>
        <v>9.5957135898680637</v>
      </c>
      <c r="L379" s="201">
        <v>23</v>
      </c>
      <c r="M379" s="201"/>
      <c r="N379" s="201"/>
      <c r="O379" s="201"/>
      <c r="P379" s="201"/>
      <c r="R379" s="197">
        <v>9</v>
      </c>
      <c r="S379" s="197">
        <v>0.63880000000000003</v>
      </c>
      <c r="U379" s="202" t="s">
        <v>640</v>
      </c>
      <c r="V379" s="197">
        <v>0.68730000000000002</v>
      </c>
      <c r="W379" s="197">
        <f>(V379-$T$175+F377)</f>
        <v>0.89100000000000001</v>
      </c>
      <c r="AB379" s="110" t="str">
        <f>IFERROR(INDEX('WetLitterbags placem_collection'!$A$3:$A$500,MATCH(A379,'WetLitterbags placem_collection'!$K$4:$K$500,0)),"")</f>
        <v/>
      </c>
      <c r="AC379" s="110">
        <f>IFERROR(INDEX('WetLitterbags placem_collection'!$A$3:$A$500,MATCH($A379,'WetLitterbags placem_collection'!$O$4:$O$500,0)),"")</f>
        <v>50</v>
      </c>
      <c r="AD379" s="110" t="str">
        <f>IFERROR(INDEX('WetLitterbags placem_collection'!$A$3:$A$500,MATCH($A379,'WetLitterbags placem_collection'!$M$4:$M$500,0)),"")</f>
        <v/>
      </c>
      <c r="AE379" s="110" t="str">
        <f>IFERROR(INDEX('WetLitterbags placem_collection'!$A$3:$A$500,MATCH($A379,'WetLitterbags placem_collection'!$Q$4:$Q$500,0)),"")</f>
        <v/>
      </c>
    </row>
    <row r="380" spans="1:31">
      <c r="A380" s="201" t="s">
        <v>1193</v>
      </c>
      <c r="C380" s="201">
        <v>137</v>
      </c>
      <c r="D380" s="202">
        <v>0.41739999999999999</v>
      </c>
      <c r="E380" s="201">
        <v>9.0518999999999998</v>
      </c>
      <c r="F380" s="202">
        <v>0.20660000000000001</v>
      </c>
      <c r="G380" s="201">
        <f t="shared" si="32"/>
        <v>9.2584999999999997</v>
      </c>
      <c r="H380" s="201">
        <v>9.0825999999999993</v>
      </c>
      <c r="I380" s="201">
        <f t="shared" si="33"/>
        <v>0.17590000000000039</v>
      </c>
      <c r="J380" s="201">
        <f t="shared" si="34"/>
        <v>3.0699999999999616E-2</v>
      </c>
      <c r="K380" s="280">
        <f t="shared" si="35"/>
        <v>14.85963213939962</v>
      </c>
      <c r="L380" s="201">
        <v>27</v>
      </c>
      <c r="M380" s="205">
        <v>43206</v>
      </c>
      <c r="N380" s="205">
        <v>43206</v>
      </c>
      <c r="O380" s="201"/>
      <c r="P380" s="201"/>
      <c r="AB380" s="110" t="str">
        <f>IFERROR(INDEX('WetLitterbags placem_collection'!$A$3:$A$500,MATCH(A380,'WetLitterbags placem_collection'!$K$4:$K$500,0)),"")</f>
        <v/>
      </c>
      <c r="AC380" s="110">
        <f>IFERROR(INDEX('WetLitterbags placem_collection'!$A$3:$A$500,MATCH($A380,'WetLitterbags placem_collection'!$O$4:$O$500,0)),"")</f>
        <v>136</v>
      </c>
      <c r="AD380" s="110" t="str">
        <f>IFERROR(INDEX('WetLitterbags placem_collection'!$A$3:$A$500,MATCH($A380,'WetLitterbags placem_collection'!$M$4:$M$500,0)),"")</f>
        <v/>
      </c>
      <c r="AE380" s="110" t="str">
        <f>IFERROR(INDEX('WetLitterbags placem_collection'!$A$3:$A$500,MATCH($A380,'WetLitterbags placem_collection'!$Q$4:$Q$500,0)),"")</f>
        <v/>
      </c>
    </row>
    <row r="381" spans="1:31">
      <c r="A381" s="197" t="s">
        <v>1192</v>
      </c>
      <c r="C381" s="197">
        <v>215</v>
      </c>
      <c r="D381" s="197">
        <v>0.50380000000000003</v>
      </c>
      <c r="E381" s="202">
        <v>9.8874999999999993</v>
      </c>
      <c r="F381" s="202">
        <v>0.20039999999999999</v>
      </c>
      <c r="G381" s="201">
        <f t="shared" si="32"/>
        <v>10.087899999999999</v>
      </c>
      <c r="H381" s="201">
        <v>9.9017999999999997</v>
      </c>
      <c r="I381" s="201">
        <f t="shared" si="33"/>
        <v>0.18609999999999971</v>
      </c>
      <c r="J381" s="201">
        <f t="shared" si="34"/>
        <v>1.4300000000000285E-2</v>
      </c>
      <c r="K381" s="280">
        <f t="shared" si="35"/>
        <v>7.1357285429143147</v>
      </c>
      <c r="L381" s="201">
        <v>24</v>
      </c>
      <c r="M381" s="204">
        <v>43221</v>
      </c>
      <c r="N381" s="204">
        <v>43221</v>
      </c>
      <c r="AB381" s="110">
        <f>IFERROR(INDEX('WetLitterbags placem_collection'!$A$3:$A$500,MATCH(A381,'WetLitterbags placem_collection'!$K$4:$K$500,0)),"")</f>
        <v>214</v>
      </c>
      <c r="AC381" s="110" t="str">
        <f>IFERROR(INDEX('WetLitterbags placem_collection'!$A$3:$A$500,MATCH($A381,'WetLitterbags placem_collection'!$O$4:$O$500,0)),"")</f>
        <v/>
      </c>
      <c r="AD381" s="110" t="str">
        <f>IFERROR(INDEX('WetLitterbags placem_collection'!$A$3:$A$500,MATCH($A381,'WetLitterbags placem_collection'!$M$4:$M$500,0)),"")</f>
        <v/>
      </c>
      <c r="AE381" s="110" t="str">
        <f>IFERROR(INDEX('WetLitterbags placem_collection'!$A$3:$A$500,MATCH($A381,'WetLitterbags placem_collection'!$Q$4:$Q$500,0)),"")</f>
        <v/>
      </c>
    </row>
    <row r="382" spans="1:31">
      <c r="A382" s="201" t="s">
        <v>1191</v>
      </c>
      <c r="C382" s="201">
        <v>155</v>
      </c>
      <c r="D382" s="202">
        <v>0.46060000000000001</v>
      </c>
      <c r="E382" s="201">
        <v>9.0318000000000005</v>
      </c>
      <c r="F382" s="202">
        <v>0.2041</v>
      </c>
      <c r="G382" s="201">
        <f t="shared" si="32"/>
        <v>9.2359000000000009</v>
      </c>
      <c r="H382" s="201">
        <v>9.0668000000000006</v>
      </c>
      <c r="I382" s="201">
        <f t="shared" si="33"/>
        <v>0.16910000000000025</v>
      </c>
      <c r="J382" s="201">
        <f t="shared" si="34"/>
        <v>3.4999999999999754E-2</v>
      </c>
      <c r="K382" s="280">
        <f t="shared" si="35"/>
        <v>17.148456638902378</v>
      </c>
      <c r="L382" s="201">
        <v>24</v>
      </c>
      <c r="M382" s="205">
        <v>43206</v>
      </c>
      <c r="N382" s="205">
        <v>43206</v>
      </c>
      <c r="O382" s="201"/>
      <c r="P382" s="201"/>
      <c r="AB382" s="110">
        <f>IFERROR(INDEX('WetLitterbags placem_collection'!$A$3:$A$500,MATCH(A382,'WetLitterbags placem_collection'!$K$4:$K$500,0)),"")</f>
        <v>154</v>
      </c>
      <c r="AC382" s="110" t="str">
        <f>IFERROR(INDEX('WetLitterbags placem_collection'!$A$3:$A$500,MATCH($A382,'WetLitterbags placem_collection'!$O$4:$O$500,0)),"")</f>
        <v/>
      </c>
      <c r="AD382" s="110" t="str">
        <f>IFERROR(INDEX('WetLitterbags placem_collection'!$A$3:$A$500,MATCH($A382,'WetLitterbags placem_collection'!$M$4:$M$500,0)),"")</f>
        <v/>
      </c>
      <c r="AE382" s="110" t="str">
        <f>IFERROR(INDEX('WetLitterbags placem_collection'!$A$3:$A$500,MATCH($A382,'WetLitterbags placem_collection'!$Q$4:$Q$500,0)),"")</f>
        <v/>
      </c>
    </row>
    <row r="383" spans="1:31">
      <c r="A383" s="206" t="s">
        <v>1190</v>
      </c>
      <c r="C383" s="201">
        <v>122</v>
      </c>
      <c r="D383" s="201">
        <v>0.55149999999999999</v>
      </c>
      <c r="E383" s="202">
        <v>8.1179000000000006</v>
      </c>
      <c r="F383" s="202">
        <v>0.20180000000000001</v>
      </c>
      <c r="G383" s="201">
        <f t="shared" si="32"/>
        <v>8.319700000000001</v>
      </c>
      <c r="H383" s="201">
        <v>8.1837</v>
      </c>
      <c r="I383" s="201">
        <f t="shared" si="33"/>
        <v>0.13600000000000101</v>
      </c>
      <c r="J383" s="201">
        <f t="shared" si="34"/>
        <v>6.5799999999998998E-2</v>
      </c>
      <c r="K383" s="280">
        <f t="shared" si="35"/>
        <v>32.606541129831015</v>
      </c>
      <c r="L383" s="201">
        <v>8</v>
      </c>
      <c r="M383" s="203">
        <v>43181.645833333336</v>
      </c>
      <c r="N383" s="203">
        <v>43181.833333333336</v>
      </c>
      <c r="O383" s="201" t="s">
        <v>2556</v>
      </c>
      <c r="P383" s="201"/>
      <c r="AB383" s="110">
        <f>IFERROR(INDEX('WetLitterbags placem_collection'!$A$3:$A$500,MATCH(A383,'WetLitterbags placem_collection'!$K$4:$K$500,0)),"")</f>
        <v>121</v>
      </c>
      <c r="AC383" s="110" t="str">
        <f>IFERROR(INDEX('WetLitterbags placem_collection'!$A$3:$A$500,MATCH($A383,'WetLitterbags placem_collection'!$O$4:$O$500,0)),"")</f>
        <v/>
      </c>
      <c r="AD383" s="110" t="str">
        <f>IFERROR(INDEX('WetLitterbags placem_collection'!$A$3:$A$500,MATCH($A383,'WetLitterbags placem_collection'!$M$4:$M$500,0)),"")</f>
        <v/>
      </c>
      <c r="AE383" s="110" t="str">
        <f>IFERROR(INDEX('WetLitterbags placem_collection'!$A$3:$A$500,MATCH($A383,'WetLitterbags placem_collection'!$Q$4:$Q$500,0)),"")</f>
        <v/>
      </c>
    </row>
    <row r="384" spans="1:31">
      <c r="A384" s="197" t="s">
        <v>1189</v>
      </c>
      <c r="C384" s="197">
        <v>105</v>
      </c>
      <c r="D384" s="197">
        <v>0.39269999999999999</v>
      </c>
      <c r="E384" s="197">
        <v>20.041599999999999</v>
      </c>
      <c r="F384" s="197">
        <v>0.11600000000000001</v>
      </c>
      <c r="G384" s="197">
        <f t="shared" si="32"/>
        <v>20.157599999999999</v>
      </c>
      <c r="H384" s="197">
        <v>20.065300000000001</v>
      </c>
      <c r="I384" s="197">
        <f t="shared" si="33"/>
        <v>9.229999999999805E-2</v>
      </c>
      <c r="J384" s="201">
        <f t="shared" si="34"/>
        <v>2.3700000000001956E-2</v>
      </c>
      <c r="K384" s="280">
        <f t="shared" si="35"/>
        <v>20.431034482760303</v>
      </c>
      <c r="L384" s="197">
        <v>9</v>
      </c>
      <c r="M384" s="197" t="s">
        <v>2576</v>
      </c>
      <c r="N384" s="197">
        <v>43153.729166666664</v>
      </c>
      <c r="O384" s="197" t="s">
        <v>2550</v>
      </c>
      <c r="P384" s="197" t="s">
        <v>2575</v>
      </c>
      <c r="AB384" s="110" t="str">
        <f>IFERROR(INDEX('WetLitterbags placem_collection'!$A$3:$A$500,MATCH(A384,'WetLitterbags placem_collection'!$K$4:$K$500,0)),"")</f>
        <v/>
      </c>
      <c r="AC384" s="110">
        <f>IFERROR(INDEX('WetLitterbags placem_collection'!$A$3:$A$500,MATCH($A384,'WetLitterbags placem_collection'!$O$4:$O$500,0)),"")</f>
        <v>104</v>
      </c>
      <c r="AD384" s="110" t="str">
        <f>IFERROR(INDEX('WetLitterbags placem_collection'!$A$3:$A$500,MATCH($A384,'WetLitterbags placem_collection'!$M$4:$M$500,0)),"")</f>
        <v/>
      </c>
      <c r="AE384" s="110" t="str">
        <f>IFERROR(INDEX('WetLitterbags placem_collection'!$A$3:$A$500,MATCH($A384,'WetLitterbags placem_collection'!$Q$4:$Q$500,0)),"")</f>
        <v/>
      </c>
    </row>
    <row r="385" spans="1:31">
      <c r="A385" s="197" t="s">
        <v>1187</v>
      </c>
      <c r="C385" s="198">
        <v>193</v>
      </c>
      <c r="D385" s="197">
        <v>0.46110000000000001</v>
      </c>
      <c r="E385" s="202">
        <v>10.116099999999999</v>
      </c>
      <c r="F385" s="202">
        <v>0.20549999999999999</v>
      </c>
      <c r="G385" s="201">
        <f t="shared" si="32"/>
        <v>10.3216</v>
      </c>
      <c r="H385" s="201">
        <v>10.132999999999999</v>
      </c>
      <c r="I385" s="201">
        <f t="shared" si="33"/>
        <v>0.18860000000000099</v>
      </c>
      <c r="J385" s="201">
        <f t="shared" si="34"/>
        <v>1.6899999999998999E-2</v>
      </c>
      <c r="K385" s="280">
        <f t="shared" si="35"/>
        <v>8.2238442822379554</v>
      </c>
      <c r="L385" s="201">
        <v>27</v>
      </c>
      <c r="M385" s="204">
        <v>43221</v>
      </c>
      <c r="N385" s="204">
        <v>43221</v>
      </c>
      <c r="AB385" s="110">
        <f>IFERROR(INDEX('WetLitterbags placem_collection'!$A$3:$A$500,MATCH(A385,'WetLitterbags placem_collection'!$K$4:$K$500,0)),"")</f>
        <v>192</v>
      </c>
      <c r="AC385" s="110" t="str">
        <f>IFERROR(INDEX('WetLitterbags placem_collection'!$A$3:$A$500,MATCH($A385,'WetLitterbags placem_collection'!$O$4:$O$500,0)),"")</f>
        <v/>
      </c>
      <c r="AD385" s="110" t="str">
        <f>IFERROR(INDEX('WetLitterbags placem_collection'!$A$3:$A$500,MATCH($A385,'WetLitterbags placem_collection'!$M$4:$M$500,0)),"")</f>
        <v/>
      </c>
      <c r="AE385" s="110" t="str">
        <f>IFERROR(INDEX('WetLitterbags placem_collection'!$A$3:$A$500,MATCH($A385,'WetLitterbags placem_collection'!$Q$4:$Q$500,0)),"")</f>
        <v/>
      </c>
    </row>
    <row r="386" spans="1:31">
      <c r="A386" s="197" t="s">
        <v>1186</v>
      </c>
      <c r="C386" s="198">
        <v>25</v>
      </c>
      <c r="D386" s="197">
        <v>0.46579999999999999</v>
      </c>
      <c r="E386" s="201">
        <v>8.2188999999999997</v>
      </c>
      <c r="F386" s="202">
        <v>0.20449999999999999</v>
      </c>
      <c r="G386" s="201">
        <f t="shared" si="32"/>
        <v>8.4233999999999991</v>
      </c>
      <c r="H386" s="201">
        <v>8.2508999999999997</v>
      </c>
      <c r="I386" s="201">
        <f t="shared" si="33"/>
        <v>0.17249999999999943</v>
      </c>
      <c r="J386" s="201">
        <f t="shared" si="34"/>
        <v>3.2000000000000556E-2</v>
      </c>
      <c r="K386" s="280">
        <f t="shared" si="35"/>
        <v>15.647921760391469</v>
      </c>
      <c r="L386" s="201">
        <v>20</v>
      </c>
      <c r="M386" s="204">
        <v>43212</v>
      </c>
      <c r="AB386" s="110" t="str">
        <f>IFERROR(INDEX('WetLitterbags placem_collection'!$A$3:$A$500,MATCH(A386,'WetLitterbags placem_collection'!$K$4:$K$500,0)),"")</f>
        <v/>
      </c>
      <c r="AC386" s="110">
        <f>IFERROR(INDEX('WetLitterbags placem_collection'!$A$3:$A$500,MATCH($A386,'WetLitterbags placem_collection'!$O$4:$O$500,0)),"")</f>
        <v>24</v>
      </c>
      <c r="AD386" s="110" t="str">
        <f>IFERROR(INDEX('WetLitterbags placem_collection'!$A$3:$A$500,MATCH($A386,'WetLitterbags placem_collection'!$M$4:$M$500,0)),"")</f>
        <v/>
      </c>
      <c r="AE386" s="110" t="str">
        <f>IFERROR(INDEX('WetLitterbags placem_collection'!$A$3:$A$500,MATCH($A386,'WetLitterbags placem_collection'!$Q$4:$Q$500,0)),"")</f>
        <v/>
      </c>
    </row>
    <row r="387" spans="1:31">
      <c r="A387" s="201" t="s">
        <v>1185</v>
      </c>
      <c r="C387" s="201">
        <v>173</v>
      </c>
      <c r="D387" s="202">
        <v>0.45369999999999999</v>
      </c>
      <c r="E387" s="202">
        <v>9.0315999999999992</v>
      </c>
      <c r="F387" s="202">
        <v>0.20019999999999999</v>
      </c>
      <c r="G387" s="201">
        <f t="shared" si="32"/>
        <v>9.2317999999999998</v>
      </c>
      <c r="H387" s="201">
        <v>9.0498999999999992</v>
      </c>
      <c r="I387" s="201">
        <f t="shared" si="33"/>
        <v>0.18190000000000062</v>
      </c>
      <c r="J387" s="201">
        <f t="shared" si="34"/>
        <v>1.8299999999999372E-2</v>
      </c>
      <c r="K387" s="280">
        <f t="shared" si="35"/>
        <v>9.1408591408588276</v>
      </c>
      <c r="L387" s="201">
        <v>23</v>
      </c>
      <c r="M387" s="203">
        <v>43181.645833333336</v>
      </c>
      <c r="N387" s="203">
        <v>43181.833333333336</v>
      </c>
      <c r="O387" s="201" t="s">
        <v>2556</v>
      </c>
      <c r="P387" s="206" t="s">
        <v>2561</v>
      </c>
      <c r="AB387" s="110" t="str">
        <f>IFERROR(INDEX('WetLitterbags placem_collection'!$A$3:$A$500,MATCH(A387,'WetLitterbags placem_collection'!$K$4:$K$500,0)),"")</f>
        <v/>
      </c>
      <c r="AC387" s="110">
        <f>IFERROR(INDEX('WetLitterbags placem_collection'!$A$3:$A$500,MATCH($A387,'WetLitterbags placem_collection'!$O$4:$O$500,0)),"")</f>
        <v>172</v>
      </c>
      <c r="AD387" s="110" t="str">
        <f>IFERROR(INDEX('WetLitterbags placem_collection'!$A$3:$A$500,MATCH($A387,'WetLitterbags placem_collection'!$M$4:$M$500,0)),"")</f>
        <v/>
      </c>
      <c r="AE387" s="110" t="str">
        <f>IFERROR(INDEX('WetLitterbags placem_collection'!$A$3:$A$500,MATCH($A387,'WetLitterbags placem_collection'!$Q$4:$Q$500,0)),"")</f>
        <v/>
      </c>
    </row>
    <row r="388" spans="1:31">
      <c r="A388" s="206" t="s">
        <v>1183</v>
      </c>
      <c r="C388" s="201">
        <v>124</v>
      </c>
      <c r="D388" s="201">
        <v>0.56330000000000002</v>
      </c>
      <c r="E388" s="202">
        <v>9.8217999999999996</v>
      </c>
      <c r="F388" s="202">
        <v>0.20699999999999999</v>
      </c>
      <c r="G388" s="201">
        <f t="shared" si="32"/>
        <v>10.0288</v>
      </c>
      <c r="H388" s="201">
        <v>9.8872</v>
      </c>
      <c r="I388" s="201">
        <f t="shared" si="33"/>
        <v>0.14160000000000039</v>
      </c>
      <c r="J388" s="201">
        <f t="shared" si="34"/>
        <v>6.5399999999999597E-2</v>
      </c>
      <c r="K388" s="280">
        <f t="shared" si="35"/>
        <v>31.594202898550535</v>
      </c>
      <c r="L388" s="201">
        <v>9</v>
      </c>
      <c r="M388" s="207">
        <v>43185.385416666664</v>
      </c>
      <c r="N388" s="201"/>
      <c r="O388" s="201" t="s">
        <v>2556</v>
      </c>
      <c r="P388" s="201"/>
      <c r="AB388" s="110">
        <f>IFERROR(INDEX('WetLitterbags placem_collection'!$A$3:$A$500,MATCH(A388,'WetLitterbags placem_collection'!$K$4:$K$500,0)),"")</f>
        <v>123</v>
      </c>
      <c r="AC388" s="110" t="str">
        <f>IFERROR(INDEX('WetLitterbags placem_collection'!$A$3:$A$500,MATCH($A388,'WetLitterbags placem_collection'!$O$4:$O$500,0)),"")</f>
        <v/>
      </c>
      <c r="AD388" s="110" t="str">
        <f>IFERROR(INDEX('WetLitterbags placem_collection'!$A$3:$A$500,MATCH($A388,'WetLitterbags placem_collection'!$M$4:$M$500,0)),"")</f>
        <v/>
      </c>
      <c r="AE388" s="110" t="str">
        <f>IFERROR(INDEX('WetLitterbags placem_collection'!$A$3:$A$500,MATCH($A388,'WetLitterbags placem_collection'!$Q$4:$Q$500,0)),"")</f>
        <v/>
      </c>
    </row>
    <row r="389" spans="1:31">
      <c r="A389" s="201" t="s">
        <v>1181</v>
      </c>
      <c r="C389" s="201">
        <v>103</v>
      </c>
      <c r="D389" s="202">
        <v>0.40189999999999998</v>
      </c>
      <c r="E389" s="201">
        <v>10.9217</v>
      </c>
      <c r="F389" s="202">
        <v>0.20250000000000001</v>
      </c>
      <c r="G389" s="201">
        <f t="shared" si="32"/>
        <v>11.1242</v>
      </c>
      <c r="H389" s="201">
        <v>10.9499</v>
      </c>
      <c r="I389" s="201">
        <f t="shared" si="33"/>
        <v>0.17430000000000057</v>
      </c>
      <c r="J389" s="201">
        <f t="shared" si="34"/>
        <v>2.8199999999999448E-2</v>
      </c>
      <c r="K389" s="280">
        <f t="shared" si="35"/>
        <v>13.925925925925654</v>
      </c>
      <c r="L389" s="201">
        <v>28</v>
      </c>
      <c r="M389" s="201"/>
      <c r="N389" s="201"/>
      <c r="O389" s="201"/>
      <c r="P389" s="201"/>
      <c r="AB389" s="110">
        <f>IFERROR(INDEX('WetLitterbags placem_collection'!$A$3:$A$500,MATCH(A389,'WetLitterbags placem_collection'!$K$4:$K$500,0)),"")</f>
        <v>102</v>
      </c>
      <c r="AC389" s="110" t="str">
        <f>IFERROR(INDEX('WetLitterbags placem_collection'!$A$3:$A$500,MATCH($A389,'WetLitterbags placem_collection'!$O$4:$O$500,0)),"")</f>
        <v/>
      </c>
      <c r="AD389" s="110" t="str">
        <f>IFERROR(INDEX('WetLitterbags placem_collection'!$A$3:$A$500,MATCH($A389,'WetLitterbags placem_collection'!$M$4:$M$500,0)),"")</f>
        <v/>
      </c>
      <c r="AE389" s="110" t="str">
        <f>IFERROR(INDEX('WetLitterbags placem_collection'!$A$3:$A$500,MATCH($A389,'WetLitterbags placem_collection'!$Q$4:$Q$500,0)),"")</f>
        <v/>
      </c>
    </row>
    <row r="390" spans="1:31">
      <c r="A390" s="197" t="s">
        <v>1179</v>
      </c>
      <c r="C390" s="198">
        <v>210</v>
      </c>
      <c r="D390" s="197">
        <v>0.60350000000000004</v>
      </c>
      <c r="E390" s="202">
        <v>10.697900000000001</v>
      </c>
      <c r="F390" s="202">
        <v>0.2016</v>
      </c>
      <c r="G390" s="201">
        <f t="shared" si="32"/>
        <v>10.8995</v>
      </c>
      <c r="H390" s="201">
        <v>10.7323</v>
      </c>
      <c r="I390" s="201">
        <f t="shared" si="33"/>
        <v>0.16719999999999935</v>
      </c>
      <c r="J390" s="201">
        <f t="shared" si="34"/>
        <v>3.4400000000000652E-2</v>
      </c>
      <c r="K390" s="280">
        <f t="shared" si="35"/>
        <v>17.063492063492387</v>
      </c>
      <c r="L390" s="201">
        <v>21</v>
      </c>
      <c r="AB390" s="110">
        <f>IFERROR(INDEX('WetLitterbags placem_collection'!$A$3:$A$500,MATCH(A390,'WetLitterbags placem_collection'!$K$4:$K$500,0)),"")</f>
        <v>209</v>
      </c>
      <c r="AC390" s="110" t="str">
        <f>IFERROR(INDEX('WetLitterbags placem_collection'!$A$3:$A$500,MATCH($A390,'WetLitterbags placem_collection'!$O$4:$O$500,0)),"")</f>
        <v/>
      </c>
      <c r="AD390" s="110" t="str">
        <f>IFERROR(INDEX('WetLitterbags placem_collection'!$A$3:$A$500,MATCH($A390,'WetLitterbags placem_collection'!$M$4:$M$500,0)),"")</f>
        <v/>
      </c>
      <c r="AE390" s="110" t="str">
        <f>IFERROR(INDEX('WetLitterbags placem_collection'!$A$3:$A$500,MATCH($A390,'WetLitterbags placem_collection'!$Q$4:$Q$500,0)),"")</f>
        <v/>
      </c>
    </row>
    <row r="391" spans="1:31">
      <c r="A391" s="197" t="s">
        <v>1175</v>
      </c>
      <c r="C391" s="198">
        <v>101</v>
      </c>
      <c r="D391" s="197">
        <v>0.43169999999999997</v>
      </c>
      <c r="E391" s="202">
        <v>9.7734000000000005</v>
      </c>
      <c r="F391" s="202">
        <v>0.20599999999999999</v>
      </c>
      <c r="G391" s="201">
        <f t="shared" si="32"/>
        <v>9.9794</v>
      </c>
      <c r="H391" s="201">
        <v>9.8017000000000003</v>
      </c>
      <c r="I391" s="201">
        <f t="shared" si="33"/>
        <v>0.17769999999999975</v>
      </c>
      <c r="J391" s="201">
        <f t="shared" si="34"/>
        <v>2.8300000000000242E-2</v>
      </c>
      <c r="K391" s="280">
        <f t="shared" si="35"/>
        <v>13.73786407767002</v>
      </c>
      <c r="L391" s="201">
        <v>6</v>
      </c>
      <c r="AB391" s="110" t="str">
        <f>IFERROR(INDEX('WetLitterbags placem_collection'!$A$3:$A$500,MATCH(A391,'WetLitterbags placem_collection'!$K$4:$K$500,0)),"")</f>
        <v/>
      </c>
      <c r="AC391" s="110">
        <f>IFERROR(INDEX('WetLitterbags placem_collection'!$A$3:$A$500,MATCH($A391,'WetLitterbags placem_collection'!$O$4:$O$500,0)),"")</f>
        <v>100</v>
      </c>
      <c r="AD391" s="110" t="str">
        <f>IFERROR(INDEX('WetLitterbags placem_collection'!$A$3:$A$500,MATCH($A391,'WetLitterbags placem_collection'!$M$4:$M$500,0)),"")</f>
        <v/>
      </c>
      <c r="AE391" s="110" t="str">
        <f>IFERROR(INDEX('WetLitterbags placem_collection'!$A$3:$A$500,MATCH($A391,'WetLitterbags placem_collection'!$Q$4:$Q$500,0)),"")</f>
        <v/>
      </c>
    </row>
    <row r="392" spans="1:31">
      <c r="A392" s="206" t="s">
        <v>1174</v>
      </c>
      <c r="C392" s="201">
        <v>160</v>
      </c>
      <c r="D392" s="201">
        <v>0.47570000000000001</v>
      </c>
      <c r="E392" s="201">
        <v>8.3545999999999996</v>
      </c>
      <c r="F392" s="202">
        <v>0.20019999999999999</v>
      </c>
      <c r="G392" s="201">
        <f t="shared" si="32"/>
        <v>8.5548000000000002</v>
      </c>
      <c r="H392" s="201">
        <v>8.3789999999999996</v>
      </c>
      <c r="I392" s="201">
        <f t="shared" si="33"/>
        <v>0.17580000000000062</v>
      </c>
      <c r="J392" s="201">
        <f t="shared" si="34"/>
        <v>2.4399999999999367E-2</v>
      </c>
      <c r="K392" s="280">
        <f t="shared" si="35"/>
        <v>12.187812187811872</v>
      </c>
      <c r="L392" s="201">
        <v>17</v>
      </c>
      <c r="M392" s="205">
        <v>43211</v>
      </c>
      <c r="AB392" s="110" t="str">
        <f>IFERROR(INDEX('WetLitterbags placem_collection'!$A$3:$A$500,MATCH(A392,'WetLitterbags placem_collection'!$K$4:$K$500,0)),"")</f>
        <v/>
      </c>
      <c r="AC392" s="110">
        <f>IFERROR(INDEX('WetLitterbags placem_collection'!$A$3:$A$500,MATCH($A392,'WetLitterbags placem_collection'!$O$4:$O$500,0)),"")</f>
        <v>159</v>
      </c>
      <c r="AD392" s="110" t="str">
        <f>IFERROR(INDEX('WetLitterbags placem_collection'!$A$3:$A$500,MATCH($A392,'WetLitterbags placem_collection'!$M$4:$M$500,0)),"")</f>
        <v/>
      </c>
      <c r="AE392" s="110" t="str">
        <f>IFERROR(INDEX('WetLitterbags placem_collection'!$A$3:$A$500,MATCH($A392,'WetLitterbags placem_collection'!$Q$4:$Q$500,0)),"")</f>
        <v/>
      </c>
    </row>
    <row r="393" spans="1:31">
      <c r="A393" s="201" t="s">
        <v>1173</v>
      </c>
      <c r="C393" s="201">
        <v>199</v>
      </c>
      <c r="D393" s="202">
        <v>0.4622</v>
      </c>
      <c r="E393" s="202">
        <v>11.1212</v>
      </c>
      <c r="F393" s="202">
        <v>0.2011</v>
      </c>
      <c r="G393" s="201">
        <f t="shared" si="32"/>
        <v>11.3223</v>
      </c>
      <c r="H393" s="201">
        <v>11.144600000000001</v>
      </c>
      <c r="I393" s="201">
        <f t="shared" si="33"/>
        <v>0.17769999999999975</v>
      </c>
      <c r="J393" s="201">
        <f t="shared" si="34"/>
        <v>2.3400000000000254E-2</v>
      </c>
      <c r="K393" s="280">
        <f t="shared" si="35"/>
        <v>11.636001989060295</v>
      </c>
      <c r="L393" s="201">
        <v>4</v>
      </c>
      <c r="M393" s="201"/>
      <c r="N393" s="201"/>
      <c r="O393" s="201"/>
      <c r="P393" s="201"/>
      <c r="AB393" s="110">
        <f>IFERROR(INDEX('WetLitterbags placem_collection'!$A$3:$A$500,MATCH(A393,'WetLitterbags placem_collection'!$K$4:$K$500,0)),"")</f>
        <v>198</v>
      </c>
      <c r="AC393" s="110" t="str">
        <f>IFERROR(INDEX('WetLitterbags placem_collection'!$A$3:$A$500,MATCH($A393,'WetLitterbags placem_collection'!$O$4:$O$500,0)),"")</f>
        <v/>
      </c>
      <c r="AD393" s="110" t="str">
        <f>IFERROR(INDEX('WetLitterbags placem_collection'!$A$3:$A$500,MATCH($A393,'WetLitterbags placem_collection'!$M$4:$M$500,0)),"")</f>
        <v/>
      </c>
      <c r="AE393" s="110" t="str">
        <f>IFERROR(INDEX('WetLitterbags placem_collection'!$A$3:$A$500,MATCH($A393,'WetLitterbags placem_collection'!$Q$4:$Q$500,0)),"")</f>
        <v/>
      </c>
    </row>
    <row r="394" spans="1:31">
      <c r="A394" s="201" t="s">
        <v>1172</v>
      </c>
      <c r="C394" s="201">
        <v>147</v>
      </c>
      <c r="D394" s="201">
        <v>0.42459999999999998</v>
      </c>
      <c r="E394" s="202">
        <v>7.9916999999999998</v>
      </c>
      <c r="F394" s="202">
        <v>0.2036</v>
      </c>
      <c r="G394" s="201">
        <f t="shared" si="32"/>
        <v>8.1952999999999996</v>
      </c>
      <c r="H394" s="201">
        <v>8.0297000000000001</v>
      </c>
      <c r="I394" s="201">
        <f t="shared" si="33"/>
        <v>0.16559999999999953</v>
      </c>
      <c r="J394" s="201">
        <f t="shared" si="34"/>
        <v>3.8000000000000478E-2</v>
      </c>
      <c r="K394" s="280">
        <f t="shared" si="35"/>
        <v>18.664047151277249</v>
      </c>
      <c r="L394" s="201">
        <v>23</v>
      </c>
      <c r="M394" s="205">
        <v>43197</v>
      </c>
      <c r="N394" s="205">
        <v>43197</v>
      </c>
      <c r="O394" s="201"/>
      <c r="P394" s="201"/>
      <c r="AB394" s="110" t="str">
        <f>IFERROR(INDEX('WetLitterbags placem_collection'!$A$3:$A$500,MATCH(A394,'WetLitterbags placem_collection'!$K$4:$K$500,0)),"")</f>
        <v/>
      </c>
      <c r="AC394" s="110">
        <f>IFERROR(INDEX('WetLitterbags placem_collection'!$A$3:$A$500,MATCH($A394,'WetLitterbags placem_collection'!$O$4:$O$500,0)),"")</f>
        <v>146</v>
      </c>
      <c r="AD394" s="110" t="str">
        <f>IFERROR(INDEX('WetLitterbags placem_collection'!$A$3:$A$500,MATCH($A394,'WetLitterbags placem_collection'!$M$4:$M$500,0)),"")</f>
        <v/>
      </c>
      <c r="AE394" s="110" t="str">
        <f>IFERROR(INDEX('WetLitterbags placem_collection'!$A$3:$A$500,MATCH($A394,'WetLitterbags placem_collection'!$Q$4:$Q$500,0)),"")</f>
        <v/>
      </c>
    </row>
    <row r="395" spans="1:31">
      <c r="A395" s="201" t="s">
        <v>1170</v>
      </c>
      <c r="C395" s="201">
        <v>139</v>
      </c>
      <c r="D395" s="201">
        <v>0.51780000000000004</v>
      </c>
      <c r="E395" s="202">
        <v>11.443300000000001</v>
      </c>
      <c r="F395" s="202">
        <v>0.20019999999999999</v>
      </c>
      <c r="G395" s="201">
        <f t="shared" si="32"/>
        <v>11.643500000000001</v>
      </c>
      <c r="H395" s="201">
        <v>11.4955</v>
      </c>
      <c r="I395" s="201">
        <f t="shared" si="33"/>
        <v>0.14800000000000146</v>
      </c>
      <c r="J395" s="201">
        <f t="shared" si="34"/>
        <v>5.2199999999998525E-2</v>
      </c>
      <c r="K395" s="280">
        <f t="shared" si="35"/>
        <v>26.073926073925342</v>
      </c>
      <c r="L395" s="201">
        <v>7</v>
      </c>
      <c r="M395" s="205">
        <v>43199</v>
      </c>
      <c r="N395" s="205">
        <v>43199</v>
      </c>
      <c r="O395" s="201"/>
      <c r="P395" s="201"/>
      <c r="AB395" s="110" t="str">
        <f>IFERROR(INDEX('WetLitterbags placem_collection'!$A$3:$A$500,MATCH(A395,'WetLitterbags placem_collection'!$K$4:$K$500,0)),"")</f>
        <v/>
      </c>
      <c r="AC395" s="110">
        <f>IFERROR(INDEX('WetLitterbags placem_collection'!$A$3:$A$500,MATCH($A395,'WetLitterbags placem_collection'!$O$4:$O$500,0)),"")</f>
        <v>138</v>
      </c>
      <c r="AD395" s="110" t="str">
        <f>IFERROR(INDEX('WetLitterbags placem_collection'!$A$3:$A$500,MATCH($A395,'WetLitterbags placem_collection'!$M$4:$M$500,0)),"")</f>
        <v/>
      </c>
      <c r="AE395" s="110" t="str">
        <f>IFERROR(INDEX('WetLitterbags placem_collection'!$A$3:$A$500,MATCH($A395,'WetLitterbags placem_collection'!$Q$4:$Q$500,0)),"")</f>
        <v/>
      </c>
    </row>
    <row r="396" spans="1:31">
      <c r="A396" s="201" t="s">
        <v>1169</v>
      </c>
      <c r="C396" s="201">
        <v>104</v>
      </c>
      <c r="D396" s="201">
        <f>0.2214+F396</f>
        <v>0.42859999999999998</v>
      </c>
      <c r="E396" s="202">
        <v>11.4434</v>
      </c>
      <c r="F396" s="202">
        <v>0.2072</v>
      </c>
      <c r="G396" s="201">
        <f t="shared" si="32"/>
        <v>11.650600000000001</v>
      </c>
      <c r="H396" s="201">
        <v>11.471299999999999</v>
      </c>
      <c r="I396" s="201">
        <f t="shared" si="33"/>
        <v>0.17930000000000135</v>
      </c>
      <c r="J396" s="201">
        <f t="shared" si="34"/>
        <v>2.7899999999998648E-2</v>
      </c>
      <c r="K396" s="280">
        <f t="shared" si="35"/>
        <v>13.465250965250315</v>
      </c>
      <c r="L396" s="201">
        <v>28</v>
      </c>
      <c r="M396" s="205">
        <v>43174</v>
      </c>
      <c r="N396" s="205">
        <v>43174</v>
      </c>
      <c r="O396" s="201" t="s">
        <v>2556</v>
      </c>
      <c r="P396" s="201" t="s">
        <v>2551</v>
      </c>
      <c r="AB396" s="110">
        <f>IFERROR(INDEX('WetLitterbags placem_collection'!$A$3:$A$500,MATCH(A396,'WetLitterbags placem_collection'!$K$4:$K$500,0)),"")</f>
        <v>103</v>
      </c>
      <c r="AC396" s="110" t="str">
        <f>IFERROR(INDEX('WetLitterbags placem_collection'!$A$3:$A$500,MATCH($A396,'WetLitterbags placem_collection'!$O$4:$O$500,0)),"")</f>
        <v/>
      </c>
      <c r="AD396" s="110" t="str">
        <f>IFERROR(INDEX('WetLitterbags placem_collection'!$A$3:$A$500,MATCH($A396,'WetLitterbags placem_collection'!$M$4:$M$500,0)),"")</f>
        <v/>
      </c>
      <c r="AE396" s="110" t="str">
        <f>IFERROR(INDEX('WetLitterbags placem_collection'!$A$3:$A$500,MATCH($A396,'WetLitterbags placem_collection'!$Q$4:$Q$500,0)),"")</f>
        <v/>
      </c>
    </row>
    <row r="397" spans="1:31">
      <c r="A397" s="197" t="s">
        <v>1168</v>
      </c>
      <c r="C397" s="198">
        <v>110</v>
      </c>
      <c r="D397" s="197">
        <v>0.41610000000000003</v>
      </c>
      <c r="E397" s="202">
        <v>10.793100000000001</v>
      </c>
      <c r="F397" s="202">
        <v>0.20150000000000001</v>
      </c>
      <c r="G397" s="201">
        <f t="shared" si="32"/>
        <v>10.9946</v>
      </c>
      <c r="H397" s="201">
        <v>10.819900000000001</v>
      </c>
      <c r="I397" s="201">
        <f t="shared" si="33"/>
        <v>0.17469999999999963</v>
      </c>
      <c r="J397" s="201">
        <f t="shared" si="34"/>
        <v>2.6800000000000379E-2</v>
      </c>
      <c r="K397" s="280">
        <f t="shared" si="35"/>
        <v>13.300248138958004</v>
      </c>
      <c r="L397" s="201">
        <v>5</v>
      </c>
      <c r="AB397" s="110" t="str">
        <f>IFERROR(INDEX('WetLitterbags placem_collection'!$A$3:$A$500,MATCH(A397,'WetLitterbags placem_collection'!$K$4:$K$500,0)),"")</f>
        <v/>
      </c>
      <c r="AC397" s="110">
        <f>IFERROR(INDEX('WetLitterbags placem_collection'!$A$3:$A$500,MATCH($A397,'WetLitterbags placem_collection'!$O$4:$O$500,0)),"")</f>
        <v>109</v>
      </c>
      <c r="AD397" s="110" t="str">
        <f>IFERROR(INDEX('WetLitterbags placem_collection'!$A$3:$A$500,MATCH($A397,'WetLitterbags placem_collection'!$M$4:$M$500,0)),"")</f>
        <v/>
      </c>
      <c r="AE397" s="110" t="str">
        <f>IFERROR(INDEX('WetLitterbags placem_collection'!$A$3:$A$500,MATCH($A397,'WetLitterbags placem_collection'!$Q$4:$Q$500,0)),"")</f>
        <v/>
      </c>
    </row>
    <row r="398" spans="1:31">
      <c r="A398" s="206" t="s">
        <v>1167</v>
      </c>
      <c r="C398" s="201">
        <v>108</v>
      </c>
      <c r="D398" s="201">
        <v>0.43359999999999999</v>
      </c>
      <c r="E398" s="202">
        <v>8.0639000000000003</v>
      </c>
      <c r="F398" s="202">
        <v>0.20230000000000001</v>
      </c>
      <c r="G398" s="201">
        <f t="shared" si="32"/>
        <v>8.2661999999999995</v>
      </c>
      <c r="H398" s="201">
        <v>8.0939999999999994</v>
      </c>
      <c r="I398" s="201">
        <f t="shared" si="33"/>
        <v>0.17220000000000013</v>
      </c>
      <c r="J398" s="201">
        <f t="shared" si="34"/>
        <v>3.0099999999999877E-2</v>
      </c>
      <c r="K398" s="280">
        <f t="shared" si="35"/>
        <v>14.878892733563953</v>
      </c>
      <c r="L398" s="201">
        <v>39</v>
      </c>
      <c r="M398" s="207">
        <v>43186.458333333336</v>
      </c>
      <c r="N398" s="207">
        <v>43186.625</v>
      </c>
      <c r="O398" s="197" t="s">
        <v>2550</v>
      </c>
      <c r="P398" s="201"/>
      <c r="AB398" s="110">
        <f>IFERROR(INDEX('WetLitterbags placem_collection'!$A$3:$A$500,MATCH(A398,'WetLitterbags placem_collection'!$K$4:$K$500,0)),"")</f>
        <v>107</v>
      </c>
      <c r="AC398" s="110" t="str">
        <f>IFERROR(INDEX('WetLitterbags placem_collection'!$A$3:$A$500,MATCH($A398,'WetLitterbags placem_collection'!$O$4:$O$500,0)),"")</f>
        <v/>
      </c>
      <c r="AD398" s="110" t="str">
        <f>IFERROR(INDEX('WetLitterbags placem_collection'!$A$3:$A$500,MATCH($A398,'WetLitterbags placem_collection'!$M$4:$M$500,0)),"")</f>
        <v/>
      </c>
      <c r="AE398" s="110" t="str">
        <f>IFERROR(INDEX('WetLitterbags placem_collection'!$A$3:$A$500,MATCH($A398,'WetLitterbags placem_collection'!$Q$4:$Q$500,0)),"")</f>
        <v/>
      </c>
    </row>
    <row r="399" spans="1:31">
      <c r="A399" s="206" t="s">
        <v>1166</v>
      </c>
      <c r="C399" s="201">
        <v>158</v>
      </c>
      <c r="D399" s="202">
        <v>0.41439999999999999</v>
      </c>
      <c r="E399" s="202">
        <v>7.19</v>
      </c>
      <c r="F399" s="202">
        <v>0.20330000000000001</v>
      </c>
      <c r="G399" s="201">
        <f t="shared" si="32"/>
        <v>7.3933</v>
      </c>
      <c r="H399" s="201">
        <v>7.2130000000000001</v>
      </c>
      <c r="I399" s="201">
        <f t="shared" si="33"/>
        <v>0.1802999999999999</v>
      </c>
      <c r="J399" s="201">
        <f t="shared" si="34"/>
        <v>2.3000000000000104E-2</v>
      </c>
      <c r="K399" s="280">
        <f t="shared" si="35"/>
        <v>11.313330054107281</v>
      </c>
      <c r="L399" s="201">
        <v>22</v>
      </c>
      <c r="M399" s="205">
        <v>43199</v>
      </c>
      <c r="N399" s="205">
        <v>43199</v>
      </c>
      <c r="O399" s="201"/>
      <c r="P399" s="201"/>
      <c r="AB399" s="110" t="str">
        <f>IFERROR(INDEX('WetLitterbags placem_collection'!$A$3:$A$500,MATCH(A399,'WetLitterbags placem_collection'!$K$4:$K$500,0)),"")</f>
        <v/>
      </c>
      <c r="AC399" s="110">
        <f>IFERROR(INDEX('WetLitterbags placem_collection'!$A$3:$A$500,MATCH($A399,'WetLitterbags placem_collection'!$O$4:$O$500,0)),"")</f>
        <v>157</v>
      </c>
      <c r="AD399" s="110" t="str">
        <f>IFERROR(INDEX('WetLitterbags placem_collection'!$A$3:$A$500,MATCH($A399,'WetLitterbags placem_collection'!$M$4:$M$500,0)),"")</f>
        <v/>
      </c>
      <c r="AE399" s="110" t="str">
        <f>IFERROR(INDEX('WetLitterbags placem_collection'!$A$3:$A$500,MATCH($A399,'WetLitterbags placem_collection'!$Q$4:$Q$500,0)),"")</f>
        <v/>
      </c>
    </row>
    <row r="400" spans="1:31">
      <c r="A400" s="197" t="s">
        <v>1165</v>
      </c>
      <c r="C400" s="198">
        <v>153</v>
      </c>
      <c r="D400" s="197">
        <v>0.39190000000000003</v>
      </c>
      <c r="E400" s="202">
        <v>9.5187000000000008</v>
      </c>
      <c r="F400" s="202">
        <v>0.20050000000000001</v>
      </c>
      <c r="G400" s="201">
        <f t="shared" si="32"/>
        <v>9.7192000000000007</v>
      </c>
      <c r="H400" s="201">
        <v>9.5429999999999993</v>
      </c>
      <c r="I400" s="201">
        <f t="shared" si="33"/>
        <v>0.17620000000000147</v>
      </c>
      <c r="J400" s="201">
        <f t="shared" si="34"/>
        <v>2.4299999999998545E-2</v>
      </c>
      <c r="K400" s="280">
        <f t="shared" si="35"/>
        <v>12.119700748128949</v>
      </c>
      <c r="L400" s="201">
        <v>13</v>
      </c>
      <c r="AB400" s="110" t="str">
        <f>IFERROR(INDEX('WetLitterbags placem_collection'!$A$3:$A$500,MATCH(A400,'WetLitterbags placem_collection'!$K$4:$K$500,0)),"")</f>
        <v/>
      </c>
      <c r="AC400" s="110">
        <f>IFERROR(INDEX('WetLitterbags placem_collection'!$A$3:$A$500,MATCH($A400,'WetLitterbags placem_collection'!$O$4:$O$500,0)),"")</f>
        <v>152</v>
      </c>
      <c r="AD400" s="110" t="str">
        <f>IFERROR(INDEX('WetLitterbags placem_collection'!$A$3:$A$500,MATCH($A400,'WetLitterbags placem_collection'!$M$4:$M$500,0)),"")</f>
        <v/>
      </c>
      <c r="AE400" s="110" t="str">
        <f>IFERROR(INDEX('WetLitterbags placem_collection'!$A$3:$A$500,MATCH($A400,'WetLitterbags placem_collection'!$Q$4:$Q$500,0)),"")</f>
        <v/>
      </c>
    </row>
    <row r="401" spans="1:31">
      <c r="A401" s="197" t="s">
        <v>1164</v>
      </c>
      <c r="C401" s="197">
        <v>196</v>
      </c>
      <c r="D401" s="197">
        <v>0.39300000000000002</v>
      </c>
      <c r="E401" s="201">
        <v>9.7210999999999999</v>
      </c>
      <c r="F401" s="202">
        <v>0.20330000000000001</v>
      </c>
      <c r="G401" s="201">
        <f t="shared" si="32"/>
        <v>9.9244000000000003</v>
      </c>
      <c r="H401" s="201">
        <v>9.7446999999999999</v>
      </c>
      <c r="I401" s="201">
        <f t="shared" si="33"/>
        <v>0.17970000000000041</v>
      </c>
      <c r="J401" s="201">
        <f t="shared" si="34"/>
        <v>2.3599999999999594E-2</v>
      </c>
      <c r="K401" s="280">
        <f t="shared" si="35"/>
        <v>11.60846040334461</v>
      </c>
      <c r="L401" s="201">
        <v>10</v>
      </c>
      <c r="M401" s="204">
        <v>43213</v>
      </c>
      <c r="N401" s="204">
        <v>43213</v>
      </c>
      <c r="AB401" s="110" t="str">
        <f>IFERROR(INDEX('WetLitterbags placem_collection'!$A$3:$A$500,MATCH(A401,'WetLitterbags placem_collection'!$K$4:$K$500,0)),"")</f>
        <v/>
      </c>
      <c r="AC401" s="110">
        <f>IFERROR(INDEX('WetLitterbags placem_collection'!$A$3:$A$500,MATCH($A401,'WetLitterbags placem_collection'!$O$4:$O$500,0)),"")</f>
        <v>195</v>
      </c>
      <c r="AD401" s="110" t="str">
        <f>IFERROR(INDEX('WetLitterbags placem_collection'!$A$3:$A$500,MATCH($A401,'WetLitterbags placem_collection'!$M$4:$M$500,0)),"")</f>
        <v/>
      </c>
      <c r="AE401" s="110" t="str">
        <f>IFERROR(INDEX('WetLitterbags placem_collection'!$A$3:$A$500,MATCH($A401,'WetLitterbags placem_collection'!$Q$4:$Q$500,0)),"")</f>
        <v/>
      </c>
    </row>
    <row r="402" spans="1:31">
      <c r="A402" s="197" t="s">
        <v>1163</v>
      </c>
      <c r="C402" s="197">
        <v>106</v>
      </c>
      <c r="D402" s="197">
        <v>0.4148</v>
      </c>
      <c r="E402" s="197">
        <v>7.8631000000000002</v>
      </c>
      <c r="F402" s="197">
        <v>0.2064</v>
      </c>
      <c r="G402" s="197">
        <f t="shared" si="32"/>
        <v>8.0694999999999997</v>
      </c>
      <c r="H402" s="197">
        <v>7.8890000000000002</v>
      </c>
      <c r="I402" s="197">
        <f t="shared" si="33"/>
        <v>0.18049999999999944</v>
      </c>
      <c r="J402" s="201">
        <f t="shared" si="34"/>
        <v>2.5900000000000561E-2</v>
      </c>
      <c r="K402" s="280">
        <f t="shared" si="35"/>
        <v>12.548449612403372</v>
      </c>
      <c r="L402" s="197">
        <v>6</v>
      </c>
      <c r="M402" s="197">
        <v>43157.395833333336</v>
      </c>
      <c r="N402" s="197">
        <v>43157.569444444445</v>
      </c>
      <c r="O402" s="197" t="s">
        <v>2550</v>
      </c>
      <c r="AB402" s="110" t="str">
        <f>IFERROR(INDEX('WetLitterbags placem_collection'!$A$3:$A$500,MATCH(A402,'WetLitterbags placem_collection'!$K$4:$K$500,0)),"")</f>
        <v/>
      </c>
      <c r="AC402" s="110">
        <f>IFERROR(INDEX('WetLitterbags placem_collection'!$A$3:$A$500,MATCH($A402,'WetLitterbags placem_collection'!$O$4:$O$500,0)),"")</f>
        <v>108</v>
      </c>
      <c r="AD402" s="110" t="str">
        <f>IFERROR(INDEX('WetLitterbags placem_collection'!$A$3:$A$500,MATCH($A402,'WetLitterbags placem_collection'!$M$4:$M$500,0)),"")</f>
        <v/>
      </c>
      <c r="AE402" s="110" t="str">
        <f>IFERROR(INDEX('WetLitterbags placem_collection'!$A$3:$A$500,MATCH($A402,'WetLitterbags placem_collection'!$Q$4:$Q$500,0)),"")</f>
        <v/>
      </c>
    </row>
    <row r="403" spans="1:31">
      <c r="A403" s="201" t="s">
        <v>1162</v>
      </c>
      <c r="C403" s="201">
        <v>129</v>
      </c>
      <c r="D403" s="201">
        <v>0.39729999999999999</v>
      </c>
      <c r="E403" s="202">
        <v>11.2585</v>
      </c>
      <c r="F403" s="202">
        <v>0.20150000000000001</v>
      </c>
      <c r="G403" s="201">
        <f t="shared" si="32"/>
        <v>11.459999999999999</v>
      </c>
      <c r="H403" s="201">
        <v>11.289099999999999</v>
      </c>
      <c r="I403" s="201">
        <f t="shared" si="33"/>
        <v>0.17089999999999961</v>
      </c>
      <c r="J403" s="201">
        <f t="shared" si="34"/>
        <v>3.0600000000000405E-2</v>
      </c>
      <c r="K403" s="280">
        <f t="shared" si="35"/>
        <v>15.186104218362484</v>
      </c>
      <c r="L403" s="201">
        <v>13</v>
      </c>
      <c r="M403" s="205">
        <v>43174</v>
      </c>
      <c r="N403" s="205">
        <v>43174</v>
      </c>
      <c r="O403" s="201" t="s">
        <v>2556</v>
      </c>
      <c r="P403" s="201" t="s">
        <v>2551</v>
      </c>
      <c r="AB403" s="110" t="str">
        <f>IFERROR(INDEX('WetLitterbags placem_collection'!$A$3:$A$500,MATCH(A403,'WetLitterbags placem_collection'!$K$4:$K$500,0)),"")</f>
        <v/>
      </c>
      <c r="AC403" s="110">
        <f>IFERROR(INDEX('WetLitterbags placem_collection'!$A$3:$A$500,MATCH($A403,'WetLitterbags placem_collection'!$O$4:$O$500,0)),"")</f>
        <v>128</v>
      </c>
      <c r="AD403" s="110" t="str">
        <f>IFERROR(INDEX('WetLitterbags placem_collection'!$A$3:$A$500,MATCH($A403,'WetLitterbags placem_collection'!$M$4:$M$500,0)),"")</f>
        <v/>
      </c>
      <c r="AE403" s="110" t="str">
        <f>IFERROR(INDEX('WetLitterbags placem_collection'!$A$3:$A$500,MATCH($A403,'WetLitterbags placem_collection'!$Q$4:$Q$500,0)),"")</f>
        <v/>
      </c>
    </row>
    <row r="404" spans="1:31">
      <c r="A404" s="206" t="s">
        <v>1161</v>
      </c>
      <c r="C404" s="201">
        <v>114</v>
      </c>
      <c r="D404" s="202">
        <v>0.4541</v>
      </c>
      <c r="E404" s="202">
        <v>7.3170000000000002</v>
      </c>
      <c r="F404" s="202">
        <v>0.20749999999999999</v>
      </c>
      <c r="G404" s="201">
        <f t="shared" si="32"/>
        <v>7.5244999999999997</v>
      </c>
      <c r="H404" s="201">
        <v>7.3593999999999999</v>
      </c>
      <c r="I404" s="201">
        <f t="shared" si="33"/>
        <v>0.1650999999999998</v>
      </c>
      <c r="J404" s="201">
        <f t="shared" si="34"/>
        <v>4.2400000000000188E-2</v>
      </c>
      <c r="K404" s="280">
        <f t="shared" si="35"/>
        <v>20.433734939759127</v>
      </c>
      <c r="L404" s="201">
        <v>27</v>
      </c>
      <c r="M404" s="203">
        <v>43181.645833333336</v>
      </c>
      <c r="N404" s="203">
        <v>43181.833333333336</v>
      </c>
      <c r="O404" s="201" t="s">
        <v>2556</v>
      </c>
      <c r="P404" s="201"/>
      <c r="AB404" s="110" t="str">
        <f>IFERROR(INDEX('WetLitterbags placem_collection'!$A$3:$A$500,MATCH(A404,'WetLitterbags placem_collection'!$K$4:$K$500,0)),"")</f>
        <v/>
      </c>
      <c r="AC404" s="110">
        <f>IFERROR(INDEX('WetLitterbags placem_collection'!$A$3:$A$500,MATCH($A404,'WetLitterbags placem_collection'!$O$4:$O$500,0)),"")</f>
        <v>113</v>
      </c>
      <c r="AD404" s="110" t="str">
        <f>IFERROR(INDEX('WetLitterbags placem_collection'!$A$3:$A$500,MATCH($A404,'WetLitterbags placem_collection'!$M$4:$M$500,0)),"")</f>
        <v/>
      </c>
      <c r="AE404" s="110" t="str">
        <f>IFERROR(INDEX('WetLitterbags placem_collection'!$A$3:$A$500,MATCH($A404,'WetLitterbags placem_collection'!$Q$4:$Q$500,0)),"")</f>
        <v/>
      </c>
    </row>
    <row r="405" spans="1:31">
      <c r="A405" s="201" t="s">
        <v>1160</v>
      </c>
      <c r="C405" s="201">
        <v>157</v>
      </c>
      <c r="D405" s="201">
        <v>0.51929999999999998</v>
      </c>
      <c r="E405" s="202">
        <v>11.055300000000001</v>
      </c>
      <c r="F405" s="202">
        <v>0.2019</v>
      </c>
      <c r="G405" s="201">
        <f t="shared" si="32"/>
        <v>11.257200000000001</v>
      </c>
      <c r="H405" s="201">
        <v>11.0831</v>
      </c>
      <c r="I405" s="201">
        <f t="shared" si="33"/>
        <v>0.17410000000000103</v>
      </c>
      <c r="J405" s="201">
        <f t="shared" si="34"/>
        <v>2.7799999999998964E-2</v>
      </c>
      <c r="K405" s="280">
        <f t="shared" si="35"/>
        <v>13.769192669637922</v>
      </c>
      <c r="L405" s="201">
        <v>29</v>
      </c>
      <c r="M405" s="207">
        <v>43185.385416666664</v>
      </c>
      <c r="N405" s="201"/>
      <c r="O405" s="201" t="s">
        <v>2556</v>
      </c>
      <c r="P405" s="201"/>
      <c r="AB405" s="110">
        <f>IFERROR(INDEX('WetLitterbags placem_collection'!$A$3:$A$500,MATCH(A405,'WetLitterbags placem_collection'!$K$4:$K$500,0)),"")</f>
        <v>156</v>
      </c>
      <c r="AC405" s="110" t="str">
        <f>IFERROR(INDEX('WetLitterbags placem_collection'!$A$3:$A$500,MATCH($A405,'WetLitterbags placem_collection'!$O$4:$O$500,0)),"")</f>
        <v/>
      </c>
      <c r="AD405" s="110" t="str">
        <f>IFERROR(INDEX('WetLitterbags placem_collection'!$A$3:$A$500,MATCH($A405,'WetLitterbags placem_collection'!$M$4:$M$500,0)),"")</f>
        <v/>
      </c>
      <c r="AE405" s="110" t="str">
        <f>IFERROR(INDEX('WetLitterbags placem_collection'!$A$3:$A$500,MATCH($A405,'WetLitterbags placem_collection'!$Q$4:$Q$500,0)),"")</f>
        <v/>
      </c>
    </row>
    <row r="406" spans="1:31">
      <c r="A406" s="206" t="s">
        <v>1159</v>
      </c>
      <c r="C406" s="201">
        <v>206</v>
      </c>
      <c r="D406" s="201">
        <v>0.49709999999999999</v>
      </c>
      <c r="E406" s="201">
        <v>11.7463</v>
      </c>
      <c r="F406" s="202">
        <v>0.20200000000000001</v>
      </c>
      <c r="G406" s="201">
        <f t="shared" si="32"/>
        <v>11.9483</v>
      </c>
      <c r="H406" s="201">
        <v>11.773400000000001</v>
      </c>
      <c r="I406" s="201">
        <f t="shared" si="33"/>
        <v>0.17489999999999917</v>
      </c>
      <c r="J406" s="201">
        <f t="shared" si="34"/>
        <v>2.7100000000000846E-2</v>
      </c>
      <c r="K406" s="280">
        <f t="shared" si="35"/>
        <v>13.415841584158834</v>
      </c>
      <c r="L406" s="201">
        <v>13</v>
      </c>
      <c r="M406" s="205">
        <v>43187</v>
      </c>
      <c r="N406" s="205">
        <v>43187</v>
      </c>
      <c r="O406" s="201"/>
      <c r="P406" s="201"/>
      <c r="AB406" s="110" t="str">
        <f>IFERROR(INDEX('WetLitterbags placem_collection'!$A$3:$A$500,MATCH(A406,'WetLitterbags placem_collection'!$K$4:$K$500,0)),"")</f>
        <v/>
      </c>
      <c r="AC406" s="110">
        <f>IFERROR(INDEX('WetLitterbags placem_collection'!$A$3:$A$500,MATCH($A406,'WetLitterbags placem_collection'!$O$4:$O$500,0)),"")</f>
        <v>205</v>
      </c>
      <c r="AD406" s="110" t="str">
        <f>IFERROR(INDEX('WetLitterbags placem_collection'!$A$3:$A$500,MATCH($A406,'WetLitterbags placem_collection'!$M$4:$M$500,0)),"")</f>
        <v/>
      </c>
      <c r="AE406" s="110" t="str">
        <f>IFERROR(INDEX('WetLitterbags placem_collection'!$A$3:$A$500,MATCH($A406,'WetLitterbags placem_collection'!$Q$4:$Q$500,0)),"")</f>
        <v/>
      </c>
    </row>
    <row r="407" spans="1:31">
      <c r="A407" s="206" t="s">
        <v>1158</v>
      </c>
      <c r="C407" s="201">
        <v>102</v>
      </c>
      <c r="D407" s="201">
        <v>0.45950000000000002</v>
      </c>
      <c r="E407" s="202">
        <v>9.1373999999999995</v>
      </c>
      <c r="F407" s="202">
        <v>0.20230000000000001</v>
      </c>
      <c r="G407" s="201">
        <f t="shared" si="32"/>
        <v>9.3396999999999988</v>
      </c>
      <c r="H407" s="201">
        <v>9.1631</v>
      </c>
      <c r="I407" s="201">
        <f t="shared" si="33"/>
        <v>0.17659999999999876</v>
      </c>
      <c r="J407" s="201">
        <f t="shared" si="34"/>
        <v>2.570000000000125E-2</v>
      </c>
      <c r="K407" s="280">
        <f t="shared" si="35"/>
        <v>12.703905091448961</v>
      </c>
      <c r="L407" s="201">
        <v>4</v>
      </c>
      <c r="M407" s="203">
        <v>43181.645833333336</v>
      </c>
      <c r="N407" s="203">
        <v>43181.833333333336</v>
      </c>
      <c r="O407" s="201" t="s">
        <v>2556</v>
      </c>
      <c r="P407" s="201"/>
      <c r="AB407" s="110">
        <f>IFERROR(INDEX('WetLitterbags placem_collection'!$A$3:$A$500,MATCH(A407,'WetLitterbags placem_collection'!$K$4:$K$500,0)),"")</f>
        <v>101</v>
      </c>
      <c r="AC407" s="110" t="str">
        <f>IFERROR(INDEX('WetLitterbags placem_collection'!$A$3:$A$500,MATCH($A407,'WetLitterbags placem_collection'!$O$4:$O$500,0)),"")</f>
        <v/>
      </c>
      <c r="AD407" s="110" t="str">
        <f>IFERROR(INDEX('WetLitterbags placem_collection'!$A$3:$A$500,MATCH($A407,'WetLitterbags placem_collection'!$M$4:$M$500,0)),"")</f>
        <v/>
      </c>
      <c r="AE407" s="110" t="str">
        <f>IFERROR(INDEX('WetLitterbags placem_collection'!$A$3:$A$500,MATCH($A407,'WetLitterbags placem_collection'!$Q$4:$Q$500,0)),"")</f>
        <v/>
      </c>
    </row>
    <row r="408" spans="1:31">
      <c r="A408" s="201" t="s">
        <v>1157</v>
      </c>
      <c r="C408" s="201">
        <v>178</v>
      </c>
      <c r="D408" s="201">
        <v>0.3957</v>
      </c>
      <c r="E408" s="201">
        <v>7.4756</v>
      </c>
      <c r="F408" s="201">
        <v>0.20549999999999999</v>
      </c>
      <c r="G408" s="201">
        <f t="shared" si="32"/>
        <v>7.6810999999999998</v>
      </c>
      <c r="H408" s="197">
        <v>7.4923000000000002</v>
      </c>
      <c r="I408" s="197">
        <f t="shared" si="33"/>
        <v>0.18879999999999963</v>
      </c>
      <c r="J408" s="201">
        <f t="shared" si="34"/>
        <v>1.6700000000000353E-2</v>
      </c>
      <c r="K408" s="280">
        <f t="shared" si="35"/>
        <v>8.1265206812653794</v>
      </c>
      <c r="L408" s="201">
        <v>17</v>
      </c>
      <c r="M408" s="207">
        <v>43160.520833333336</v>
      </c>
      <c r="N408" s="207">
        <v>43160.6875</v>
      </c>
      <c r="O408" s="197" t="s">
        <v>2550</v>
      </c>
      <c r="P408" s="201"/>
      <c r="AB408" s="110" t="str">
        <f>IFERROR(INDEX('WetLitterbags placem_collection'!$A$3:$A$500,MATCH(A408,'WetLitterbags placem_collection'!$K$4:$K$500,0)),"")</f>
        <v/>
      </c>
      <c r="AC408" s="110">
        <f>IFERROR(INDEX('WetLitterbags placem_collection'!$A$3:$A$500,MATCH($A408,'WetLitterbags placem_collection'!$O$4:$O$500,0)),"")</f>
        <v>177</v>
      </c>
      <c r="AD408" s="110" t="str">
        <f>IFERROR(INDEX('WetLitterbags placem_collection'!$A$3:$A$500,MATCH($A408,'WetLitterbags placem_collection'!$M$4:$M$500,0)),"")</f>
        <v/>
      </c>
      <c r="AE408" s="110" t="str">
        <f>IFERROR(INDEX('WetLitterbags placem_collection'!$A$3:$A$500,MATCH($A408,'WetLitterbags placem_collection'!$Q$4:$Q$500,0)),"")</f>
        <v/>
      </c>
    </row>
    <row r="409" spans="1:31">
      <c r="A409" s="206" t="s">
        <v>1156</v>
      </c>
      <c r="C409" s="201">
        <v>144</v>
      </c>
      <c r="D409" s="201">
        <v>0.4632</v>
      </c>
      <c r="E409" s="202">
        <v>11.9041</v>
      </c>
      <c r="F409" s="202">
        <v>0.20180000000000001</v>
      </c>
      <c r="G409" s="201">
        <f t="shared" si="32"/>
        <v>12.1059</v>
      </c>
      <c r="H409" s="201">
        <v>11.9465</v>
      </c>
      <c r="I409" s="201">
        <f t="shared" si="33"/>
        <v>0.15939999999999976</v>
      </c>
      <c r="J409" s="201">
        <f t="shared" si="34"/>
        <v>4.2400000000000243E-2</v>
      </c>
      <c r="K409" s="280">
        <f t="shared" si="35"/>
        <v>21.010901883052647</v>
      </c>
      <c r="L409" s="201">
        <v>3</v>
      </c>
      <c r="M409" s="205">
        <v>43197</v>
      </c>
      <c r="N409" s="205">
        <v>43197</v>
      </c>
      <c r="O409" s="201"/>
      <c r="P409" s="201"/>
      <c r="AB409" s="110" t="str">
        <f>IFERROR(INDEX('WetLitterbags placem_collection'!$A$3:$A$500,MATCH(A409,'WetLitterbags placem_collection'!$K$4:$K$500,0)),"")</f>
        <v/>
      </c>
      <c r="AC409" s="110">
        <f>IFERROR(INDEX('WetLitterbags placem_collection'!$A$3:$A$500,MATCH($A409,'WetLitterbags placem_collection'!$O$4:$O$500,0)),"")</f>
        <v>143</v>
      </c>
      <c r="AD409" s="110" t="str">
        <f>IFERROR(INDEX('WetLitterbags placem_collection'!$A$3:$A$500,MATCH($A409,'WetLitterbags placem_collection'!$M$4:$M$500,0)),"")</f>
        <v/>
      </c>
      <c r="AE409" s="110" t="str">
        <f>IFERROR(INDEX('WetLitterbags placem_collection'!$A$3:$A$500,MATCH($A409,'WetLitterbags placem_collection'!$Q$4:$Q$500,0)),"")</f>
        <v/>
      </c>
    </row>
    <row r="410" spans="1:31">
      <c r="A410" s="201" t="s">
        <v>1155</v>
      </c>
      <c r="C410" s="201">
        <v>123</v>
      </c>
      <c r="D410" s="201">
        <v>0.63339999999999996</v>
      </c>
      <c r="E410" s="202">
        <v>11.1539</v>
      </c>
      <c r="F410" s="202">
        <v>0.20730000000000001</v>
      </c>
      <c r="G410" s="201">
        <f t="shared" si="32"/>
        <v>11.3612</v>
      </c>
      <c r="H410" s="201">
        <v>11.182</v>
      </c>
      <c r="I410" s="201">
        <f t="shared" si="33"/>
        <v>0.1791999999999998</v>
      </c>
      <c r="J410" s="201">
        <f t="shared" si="34"/>
        <v>2.8100000000000208E-2</v>
      </c>
      <c r="K410" s="280">
        <f t="shared" si="35"/>
        <v>13.555233960443902</v>
      </c>
      <c r="L410" s="201">
        <v>14</v>
      </c>
      <c r="M410" s="205">
        <v>43199</v>
      </c>
      <c r="N410" s="205">
        <v>43199</v>
      </c>
      <c r="O410" s="201"/>
      <c r="P410" s="201"/>
      <c r="AB410" s="110" t="str">
        <f>IFERROR(INDEX('WetLitterbags placem_collection'!$A$3:$A$500,MATCH(A410,'WetLitterbags placem_collection'!$K$4:$K$500,0)),"")</f>
        <v/>
      </c>
      <c r="AC410" s="110">
        <f>IFERROR(INDEX('WetLitterbags placem_collection'!$A$3:$A$500,MATCH($A410,'WetLitterbags placem_collection'!$O$4:$O$500,0)),"")</f>
        <v>122</v>
      </c>
      <c r="AD410" s="110" t="str">
        <f>IFERROR(INDEX('WetLitterbags placem_collection'!$A$3:$A$500,MATCH($A410,'WetLitterbags placem_collection'!$M$4:$M$500,0)),"")</f>
        <v/>
      </c>
      <c r="AE410" s="110" t="str">
        <f>IFERROR(INDEX('WetLitterbags placem_collection'!$A$3:$A$500,MATCH($A410,'WetLitterbags placem_collection'!$Q$4:$Q$500,0)),"")</f>
        <v/>
      </c>
    </row>
    <row r="411" spans="1:31">
      <c r="A411" s="201" t="s">
        <v>1154</v>
      </c>
      <c r="C411" s="197">
        <v>183</v>
      </c>
      <c r="D411" s="201">
        <v>0.4118</v>
      </c>
      <c r="E411" s="202">
        <v>8.7599</v>
      </c>
      <c r="F411" s="202">
        <v>0.20250000000000001</v>
      </c>
      <c r="G411" s="201">
        <f t="shared" si="32"/>
        <v>8.9624000000000006</v>
      </c>
      <c r="H411" s="201">
        <v>8.7789000000000001</v>
      </c>
      <c r="I411" s="201">
        <f t="shared" si="33"/>
        <v>0.18350000000000044</v>
      </c>
      <c r="J411" s="201">
        <f t="shared" si="34"/>
        <v>1.8999999999999573E-2</v>
      </c>
      <c r="K411" s="280">
        <f t="shared" si="35"/>
        <v>9.3827160493825037</v>
      </c>
      <c r="L411" s="201">
        <v>12</v>
      </c>
      <c r="M411" s="207">
        <v>43186.458333333336</v>
      </c>
      <c r="N411" s="207">
        <v>43186.625</v>
      </c>
      <c r="O411" s="197" t="s">
        <v>2550</v>
      </c>
      <c r="P411" s="201"/>
      <c r="AB411" s="110" t="str">
        <f>IFERROR(INDEX('WetLitterbags placem_collection'!$A$3:$A$500,MATCH(A411,'WetLitterbags placem_collection'!$K$4:$K$500,0)),"")</f>
        <v/>
      </c>
      <c r="AC411" s="110">
        <f>IFERROR(INDEX('WetLitterbags placem_collection'!$A$3:$A$500,MATCH($A411,'WetLitterbags placem_collection'!$O$4:$O$500,0)),"")</f>
        <v>182</v>
      </c>
      <c r="AD411" s="110" t="str">
        <f>IFERROR(INDEX('WetLitterbags placem_collection'!$A$3:$A$500,MATCH($A411,'WetLitterbags placem_collection'!$M$4:$M$500,0)),"")</f>
        <v/>
      </c>
      <c r="AE411" s="110" t="str">
        <f>IFERROR(INDEX('WetLitterbags placem_collection'!$A$3:$A$500,MATCH($A411,'WetLitterbags placem_collection'!$Q$4:$Q$500,0)),"")</f>
        <v/>
      </c>
    </row>
    <row r="412" spans="1:31">
      <c r="A412" s="206" t="s">
        <v>1153</v>
      </c>
      <c r="C412" s="201">
        <v>116</v>
      </c>
      <c r="D412" s="202">
        <v>0.4783</v>
      </c>
      <c r="E412" s="202">
        <v>7.9057000000000004</v>
      </c>
      <c r="F412" s="202">
        <v>0.19919999999999999</v>
      </c>
      <c r="G412" s="201">
        <f t="shared" si="32"/>
        <v>8.1049000000000007</v>
      </c>
      <c r="H412" s="201">
        <v>7.9379</v>
      </c>
      <c r="I412" s="201">
        <f t="shared" si="33"/>
        <v>0.1670000000000007</v>
      </c>
      <c r="J412" s="201">
        <f t="shared" si="34"/>
        <v>3.2199999999999285E-2</v>
      </c>
      <c r="K412" s="280">
        <f t="shared" si="35"/>
        <v>16.164658634537794</v>
      </c>
      <c r="L412" s="201">
        <v>16</v>
      </c>
      <c r="M412" s="203">
        <v>43181.645833333336</v>
      </c>
      <c r="N412" s="203">
        <v>43181.833333333336</v>
      </c>
      <c r="O412" s="201" t="s">
        <v>2556</v>
      </c>
      <c r="P412" s="201" t="s">
        <v>2572</v>
      </c>
      <c r="AB412" s="110">
        <f>IFERROR(INDEX('WetLitterbags placem_collection'!$A$3:$A$500,MATCH(A412,'WetLitterbags placem_collection'!$K$4:$K$500,0)),"")</f>
        <v>115</v>
      </c>
      <c r="AC412" s="110" t="str">
        <f>IFERROR(INDEX('WetLitterbags placem_collection'!$A$3:$A$500,MATCH($A412,'WetLitterbags placem_collection'!$O$4:$O$500,0)),"")</f>
        <v/>
      </c>
      <c r="AD412" s="110" t="str">
        <f>IFERROR(INDEX('WetLitterbags placem_collection'!$A$3:$A$500,MATCH($A412,'WetLitterbags placem_collection'!$M$4:$M$500,0)),"")</f>
        <v/>
      </c>
      <c r="AE412" s="110" t="str">
        <f>IFERROR(INDEX('WetLitterbags placem_collection'!$A$3:$A$500,MATCH($A412,'WetLitterbags placem_collection'!$Q$4:$Q$500,0)),"")</f>
        <v/>
      </c>
    </row>
    <row r="413" spans="1:31">
      <c r="A413" s="201" t="s">
        <v>1152</v>
      </c>
      <c r="C413" s="201">
        <v>127</v>
      </c>
      <c r="D413" s="202">
        <v>0.39700000000000002</v>
      </c>
      <c r="E413" s="201">
        <v>10.7934</v>
      </c>
      <c r="F413" s="202">
        <v>0.19889999999999999</v>
      </c>
      <c r="G413" s="201">
        <f t="shared" si="32"/>
        <v>10.9923</v>
      </c>
      <c r="H413" s="201">
        <v>10.829700000000001</v>
      </c>
      <c r="I413" s="201">
        <f t="shared" si="33"/>
        <v>0.16259999999999941</v>
      </c>
      <c r="J413" s="201">
        <f t="shared" si="34"/>
        <v>3.6300000000000582E-2</v>
      </c>
      <c r="K413" s="280">
        <f t="shared" si="35"/>
        <v>18.25037707390678</v>
      </c>
      <c r="L413" s="201">
        <v>8</v>
      </c>
      <c r="M413" s="205">
        <v>43206</v>
      </c>
      <c r="N413" s="205">
        <v>43206</v>
      </c>
      <c r="O413" s="201"/>
      <c r="P413" s="201"/>
      <c r="AB413" s="110">
        <f>IFERROR(INDEX('WetLitterbags placem_collection'!$A$3:$A$500,MATCH(A413,'WetLitterbags placem_collection'!$K$4:$K$500,0)),"")</f>
        <v>126</v>
      </c>
      <c r="AC413" s="110" t="str">
        <f>IFERROR(INDEX('WetLitterbags placem_collection'!$A$3:$A$500,MATCH($A413,'WetLitterbags placem_collection'!$O$4:$O$500,0)),"")</f>
        <v/>
      </c>
      <c r="AD413" s="110" t="str">
        <f>IFERROR(INDEX('WetLitterbags placem_collection'!$A$3:$A$500,MATCH($A413,'WetLitterbags placem_collection'!$M$4:$M$500,0)),"")</f>
        <v/>
      </c>
      <c r="AE413" s="110" t="str">
        <f>IFERROR(INDEX('WetLitterbags placem_collection'!$A$3:$A$500,MATCH($A413,'WetLitterbags placem_collection'!$Q$4:$Q$500,0)),"")</f>
        <v/>
      </c>
    </row>
    <row r="414" spans="1:31">
      <c r="A414" s="197" t="s">
        <v>1151</v>
      </c>
      <c r="C414" s="197">
        <v>112</v>
      </c>
      <c r="D414" s="197">
        <v>0.48120000000000002</v>
      </c>
      <c r="E414" s="197">
        <v>20.965499999999999</v>
      </c>
      <c r="F414" s="197">
        <v>0.2064</v>
      </c>
      <c r="G414" s="197">
        <f t="shared" si="32"/>
        <v>21.171899999999997</v>
      </c>
      <c r="H414" s="197">
        <v>21.018699999999999</v>
      </c>
      <c r="I414" s="197">
        <f t="shared" si="33"/>
        <v>0.15319999999999823</v>
      </c>
      <c r="J414" s="201">
        <f t="shared" si="34"/>
        <v>5.3200000000001774E-2</v>
      </c>
      <c r="K414" s="280">
        <f t="shared" si="35"/>
        <v>25.775193798450474</v>
      </c>
      <c r="L414" s="197">
        <v>13</v>
      </c>
      <c r="M414" s="197" t="s">
        <v>2576</v>
      </c>
      <c r="N414" s="197">
        <v>43153.729166666664</v>
      </c>
      <c r="O414" s="197" t="s">
        <v>2550</v>
      </c>
      <c r="P414" s="197" t="s">
        <v>2574</v>
      </c>
      <c r="AB414" s="110">
        <f>IFERROR(INDEX('WetLitterbags placem_collection'!$A$3:$A$500,MATCH(A414,'WetLitterbags placem_collection'!$K$4:$K$500,0)),"")</f>
        <v>111</v>
      </c>
      <c r="AC414" s="110" t="str">
        <f>IFERROR(INDEX('WetLitterbags placem_collection'!$A$3:$A$500,MATCH($A414,'WetLitterbags placem_collection'!$O$4:$O$500,0)),"")</f>
        <v/>
      </c>
      <c r="AD414" s="110" t="str">
        <f>IFERROR(INDEX('WetLitterbags placem_collection'!$A$3:$A$500,MATCH($A414,'WetLitterbags placem_collection'!$M$4:$M$500,0)),"")</f>
        <v/>
      </c>
      <c r="AE414" s="110" t="str">
        <f>IFERROR(INDEX('WetLitterbags placem_collection'!$A$3:$A$500,MATCH($A414,'WetLitterbags placem_collection'!$Q$4:$Q$500,0)),"")</f>
        <v/>
      </c>
    </row>
    <row r="415" spans="1:31">
      <c r="A415" s="197" t="s">
        <v>1360</v>
      </c>
      <c r="C415" s="197">
        <v>43</v>
      </c>
      <c r="D415" s="197">
        <v>0.49249999999999999</v>
      </c>
      <c r="E415" s="197">
        <v>8.1356000000000002</v>
      </c>
      <c r="F415" s="197">
        <v>0.20649999999999999</v>
      </c>
      <c r="G415" s="197">
        <f t="shared" si="32"/>
        <v>8.3421000000000003</v>
      </c>
      <c r="H415" s="197">
        <v>8.1575000000000006</v>
      </c>
      <c r="I415" s="197">
        <f t="shared" si="33"/>
        <v>0.18459999999999965</v>
      </c>
      <c r="J415" s="201">
        <f t="shared" si="34"/>
        <v>2.1900000000000336E-2</v>
      </c>
      <c r="K415" s="280">
        <f t="shared" si="35"/>
        <v>10.60532687651348</v>
      </c>
      <c r="L415" s="197">
        <v>15</v>
      </c>
      <c r="M415" s="197" t="s">
        <v>2586</v>
      </c>
      <c r="N415" s="197" t="s">
        <v>2585</v>
      </c>
      <c r="O415" s="197" t="s">
        <v>2550</v>
      </c>
      <c r="AB415" s="110">
        <f>IFERROR(INDEX('WetLitterbags placem_collection'!$A$3:$A$500,MATCH(A415,'WetLitterbags placem_collection'!$K$4:$K$500,0)),"")</f>
        <v>42</v>
      </c>
      <c r="AC415" s="110" t="str">
        <f>IFERROR(INDEX('WetLitterbags placem_collection'!$A$3:$A$500,MATCH($A415,'WetLitterbags placem_collection'!$O$4:$O$500,0)),"")</f>
        <v/>
      </c>
      <c r="AD415" s="110" t="str">
        <f>IFERROR(INDEX('WetLitterbags placem_collection'!$A$3:$A$500,MATCH($A415,'WetLitterbags placem_collection'!$M$4:$M$500,0)),"")</f>
        <v/>
      </c>
      <c r="AE415" s="110" t="str">
        <f>IFERROR(INDEX('WetLitterbags placem_collection'!$A$3:$A$500,MATCH($A415,'WetLitterbags placem_collection'!$Q$4:$Q$500,0)),"")</f>
        <v/>
      </c>
    </row>
    <row r="416" spans="1:31">
      <c r="A416" s="197" t="s">
        <v>1150</v>
      </c>
      <c r="C416" s="197">
        <v>141</v>
      </c>
      <c r="D416" s="197">
        <v>0.55530000000000002</v>
      </c>
      <c r="E416" s="197">
        <v>9.2356999999999996</v>
      </c>
      <c r="F416" s="197">
        <v>0.2072</v>
      </c>
      <c r="G416" s="197">
        <f t="shared" si="32"/>
        <v>9.4428999999999998</v>
      </c>
      <c r="H416" s="197">
        <v>9.3074999999999992</v>
      </c>
      <c r="I416" s="197">
        <f t="shared" si="33"/>
        <v>0.13540000000000063</v>
      </c>
      <c r="J416" s="201">
        <f t="shared" si="34"/>
        <v>7.1799999999999364E-2</v>
      </c>
      <c r="K416" s="280">
        <f t="shared" si="35"/>
        <v>34.652509652509345</v>
      </c>
      <c r="L416" s="197">
        <v>11</v>
      </c>
      <c r="M416" s="197">
        <v>43157.527777777781</v>
      </c>
      <c r="N416" s="197">
        <v>43157.694444444445</v>
      </c>
      <c r="O416" s="197" t="s">
        <v>2556</v>
      </c>
      <c r="AB416" s="110">
        <f>IFERROR(INDEX('WetLitterbags placem_collection'!$A$3:$A$500,MATCH(A416,'WetLitterbags placem_collection'!$K$4:$K$500,0)),"")</f>
        <v>140</v>
      </c>
      <c r="AC416" s="110" t="str">
        <f>IFERROR(INDEX('WetLitterbags placem_collection'!$A$3:$A$500,MATCH($A416,'WetLitterbags placem_collection'!$O$4:$O$500,0)),"")</f>
        <v/>
      </c>
      <c r="AD416" s="110" t="str">
        <f>IFERROR(INDEX('WetLitterbags placem_collection'!$A$3:$A$500,MATCH($A416,'WetLitterbags placem_collection'!$M$4:$M$500,0)),"")</f>
        <v/>
      </c>
      <c r="AE416" s="110" t="str">
        <f>IFERROR(INDEX('WetLitterbags placem_collection'!$A$3:$A$500,MATCH($A416,'WetLitterbags placem_collection'!$Q$4:$Q$500,0)),"")</f>
        <v/>
      </c>
    </row>
    <row r="417" spans="1:31">
      <c r="A417" s="202" t="s">
        <v>1149</v>
      </c>
      <c r="C417" s="201">
        <v>117</v>
      </c>
      <c r="D417" s="201">
        <v>0.42089999999999994</v>
      </c>
      <c r="E417" s="201">
        <v>7.7733999999999996</v>
      </c>
      <c r="F417" s="201">
        <v>0.2016</v>
      </c>
      <c r="G417" s="201">
        <f t="shared" si="32"/>
        <v>7.9749999999999996</v>
      </c>
      <c r="H417" s="201">
        <v>7.8000999999999996</v>
      </c>
      <c r="I417" s="201">
        <f t="shared" si="33"/>
        <v>0.17490000000000006</v>
      </c>
      <c r="J417" s="201">
        <f t="shared" si="34"/>
        <v>2.6699999999999946E-2</v>
      </c>
      <c r="K417" s="280">
        <f t="shared" si="35"/>
        <v>13.244047619047592</v>
      </c>
      <c r="L417" s="201">
        <v>29</v>
      </c>
      <c r="M417" s="205">
        <v>43173</v>
      </c>
      <c r="N417" s="205">
        <v>43173</v>
      </c>
      <c r="O417" s="201" t="s">
        <v>2556</v>
      </c>
      <c r="P417" s="201" t="s">
        <v>2555</v>
      </c>
      <c r="AB417" s="110" t="str">
        <f>IFERROR(INDEX('WetLitterbags placem_collection'!$A$3:$A$500,MATCH(A417,'WetLitterbags placem_collection'!$K$4:$K$500,0)),"")</f>
        <v/>
      </c>
      <c r="AC417" s="110">
        <f>IFERROR(INDEX('WetLitterbags placem_collection'!$A$3:$A$500,MATCH($A417,'WetLitterbags placem_collection'!$O$4:$O$500,0)),"")</f>
        <v>116</v>
      </c>
      <c r="AD417" s="110" t="str">
        <f>IFERROR(INDEX('WetLitterbags placem_collection'!$A$3:$A$500,MATCH($A417,'WetLitterbags placem_collection'!$M$4:$M$500,0)),"")</f>
        <v/>
      </c>
      <c r="AE417" s="110" t="str">
        <f>IFERROR(INDEX('WetLitterbags placem_collection'!$A$3:$A$500,MATCH($A417,'WetLitterbags placem_collection'!$Q$4:$Q$500,0)),"")</f>
        <v/>
      </c>
    </row>
    <row r="418" spans="1:31">
      <c r="A418" s="202" t="s">
        <v>1148</v>
      </c>
      <c r="C418" s="201">
        <v>145</v>
      </c>
      <c r="D418" s="201">
        <v>0.59219999999999995</v>
      </c>
      <c r="E418" s="201">
        <v>7.9939999999999998</v>
      </c>
      <c r="F418" s="201">
        <v>0.2024</v>
      </c>
      <c r="G418" s="201">
        <f t="shared" si="32"/>
        <v>8.1964000000000006</v>
      </c>
      <c r="H418" s="201">
        <v>8.0348000000000006</v>
      </c>
      <c r="I418" s="201">
        <f t="shared" si="33"/>
        <v>0.16159999999999997</v>
      </c>
      <c r="J418" s="201">
        <f t="shared" si="34"/>
        <v>4.0800000000000031E-2</v>
      </c>
      <c r="K418" s="280">
        <f t="shared" si="35"/>
        <v>20.158102766798436</v>
      </c>
      <c r="L418" s="201">
        <v>25</v>
      </c>
      <c r="M418" s="205">
        <v>43173</v>
      </c>
      <c r="N418" s="205">
        <v>43173</v>
      </c>
      <c r="O418" s="201" t="s">
        <v>2556</v>
      </c>
      <c r="P418" s="201" t="s">
        <v>2555</v>
      </c>
      <c r="AB418" s="110">
        <f>IFERROR(INDEX('WetLitterbags placem_collection'!$A$3:$A$500,MATCH(A418,'WetLitterbags placem_collection'!$K$4:$K$500,0)),"")</f>
        <v>144</v>
      </c>
      <c r="AC418" s="110" t="str">
        <f>IFERROR(INDEX('WetLitterbags placem_collection'!$A$3:$A$500,MATCH($A418,'WetLitterbags placem_collection'!$O$4:$O$500,0)),"")</f>
        <v/>
      </c>
      <c r="AD418" s="110" t="str">
        <f>IFERROR(INDEX('WetLitterbags placem_collection'!$A$3:$A$500,MATCH($A418,'WetLitterbags placem_collection'!$M$4:$M$500,0)),"")</f>
        <v/>
      </c>
      <c r="AE418" s="110" t="str">
        <f>IFERROR(INDEX('WetLitterbags placem_collection'!$A$3:$A$500,MATCH($A418,'WetLitterbags placem_collection'!$Q$4:$Q$500,0)),"")</f>
        <v/>
      </c>
    </row>
    <row r="419" spans="1:31">
      <c r="A419" s="197" t="s">
        <v>1131</v>
      </c>
      <c r="C419" s="198">
        <v>101</v>
      </c>
      <c r="D419" s="197">
        <v>1.3405</v>
      </c>
      <c r="E419" s="202">
        <v>11.1214</v>
      </c>
      <c r="F419" s="202">
        <v>0.20519999999999999</v>
      </c>
      <c r="G419" s="201">
        <f t="shared" si="32"/>
        <v>11.326599999999999</v>
      </c>
      <c r="H419" s="201">
        <v>11.136799999999999</v>
      </c>
      <c r="I419" s="201">
        <f t="shared" si="33"/>
        <v>0.18979999999999997</v>
      </c>
      <c r="J419" s="201">
        <f t="shared" si="34"/>
        <v>1.5400000000000025E-2</v>
      </c>
      <c r="K419" s="280">
        <f t="shared" si="35"/>
        <v>7.5048732943469902</v>
      </c>
      <c r="L419" s="201">
        <v>35</v>
      </c>
      <c r="AB419" s="110" t="str">
        <f>IFERROR(INDEX('WetLitterbags placem_collection'!$A$3:$A$500,MATCH(A419,'WetLitterbags placem_collection'!$K$4:$K$500,0)),"")</f>
        <v/>
      </c>
      <c r="AC419" s="110" t="str">
        <f>IFERROR(INDEX('WetLitterbags placem_collection'!$A$3:$A$500,MATCH($A419,'WetLitterbags placem_collection'!$O$4:$O$500,0)),"")</f>
        <v/>
      </c>
      <c r="AD419" s="110" t="str">
        <f>IFERROR(INDEX('WetLitterbags placem_collection'!$A$3:$A$500,MATCH($A419,'WetLitterbags placem_collection'!$M$4:$M$500,0)),"")</f>
        <v/>
      </c>
      <c r="AE419" s="110">
        <f>IFERROR(INDEX('WetLitterbags placem_collection'!$A$3:$A$500,MATCH($A419,'WetLitterbags placem_collection'!$Q$4:$Q$500,0)),"")</f>
        <v>100</v>
      </c>
    </row>
    <row r="420" spans="1:31">
      <c r="A420" s="197" t="s">
        <v>1041</v>
      </c>
      <c r="C420" s="198">
        <v>78</v>
      </c>
      <c r="D420" s="201">
        <v>1.4992000000000001</v>
      </c>
      <c r="E420" s="202">
        <v>9.2354000000000003</v>
      </c>
      <c r="F420" s="202">
        <v>0.20449999999999999</v>
      </c>
      <c r="G420" s="201">
        <f t="shared" si="32"/>
        <v>9.4398999999999997</v>
      </c>
      <c r="H420" s="201">
        <v>9.2411999999999992</v>
      </c>
      <c r="I420" s="201">
        <f t="shared" si="33"/>
        <v>0.19870000000000054</v>
      </c>
      <c r="J420" s="201">
        <f t="shared" si="34"/>
        <v>5.7999999999994445E-3</v>
      </c>
      <c r="K420" s="280">
        <f t="shared" si="35"/>
        <v>2.8361858190706335</v>
      </c>
      <c r="L420" s="201">
        <v>27</v>
      </c>
      <c r="M420" s="204">
        <v>43213</v>
      </c>
      <c r="N420" s="204">
        <v>43213</v>
      </c>
      <c r="AB420" s="110" t="str">
        <f>IFERROR(INDEX('WetLitterbags placem_collection'!$A$3:$A$500,MATCH(A420,'WetLitterbags placem_collection'!$K$4:$K$500,0)),"")</f>
        <v/>
      </c>
      <c r="AC420" s="110" t="str">
        <f>IFERROR(INDEX('WetLitterbags placem_collection'!$A$3:$A$500,MATCH($A420,'WetLitterbags placem_collection'!$O$4:$O$500,0)),"")</f>
        <v/>
      </c>
      <c r="AD420" s="110" t="str">
        <f>IFERROR(INDEX('WetLitterbags placem_collection'!$A$3:$A$500,MATCH($A420,'WetLitterbags placem_collection'!$M$4:$M$500,0)),"")</f>
        <v/>
      </c>
      <c r="AE420" s="110">
        <f>IFERROR(INDEX('WetLitterbags placem_collection'!$A$3:$A$500,MATCH($A420,'WetLitterbags placem_collection'!$Q$4:$Q$500,0)),"")</f>
        <v>77</v>
      </c>
    </row>
    <row r="421" spans="1:31">
      <c r="A421" s="197" t="s">
        <v>1040</v>
      </c>
      <c r="C421" s="198">
        <v>9</v>
      </c>
      <c r="D421" s="197">
        <v>1.3147</v>
      </c>
      <c r="E421" s="202">
        <v>10.702500000000001</v>
      </c>
      <c r="F421" s="202">
        <v>0.20180000000000001</v>
      </c>
      <c r="G421" s="201">
        <f t="shared" si="32"/>
        <v>10.904300000000001</v>
      </c>
      <c r="H421" s="201">
        <v>10.7149</v>
      </c>
      <c r="I421" s="201">
        <f t="shared" si="33"/>
        <v>0.1894000000000009</v>
      </c>
      <c r="J421" s="201">
        <f t="shared" si="34"/>
        <v>1.2399999999999106E-2</v>
      </c>
      <c r="K421" s="280">
        <f t="shared" si="35"/>
        <v>6.1446977205149187</v>
      </c>
      <c r="L421" s="201">
        <v>3</v>
      </c>
      <c r="AB421" s="110" t="str">
        <f>IFERROR(INDEX('WetLitterbags placem_collection'!$A$3:$A$500,MATCH(A421,'WetLitterbags placem_collection'!$K$4:$K$500,0)),"")</f>
        <v/>
      </c>
      <c r="AC421" s="110" t="str">
        <f>IFERROR(INDEX('WetLitterbags placem_collection'!$A$3:$A$500,MATCH($A421,'WetLitterbags placem_collection'!$O$4:$O$500,0)),"")</f>
        <v/>
      </c>
      <c r="AD421" s="110" t="str">
        <f>IFERROR(INDEX('WetLitterbags placem_collection'!$A$3:$A$500,MATCH($A421,'WetLitterbags placem_collection'!$M$4:$M$500,0)),"")</f>
        <v/>
      </c>
      <c r="AE421" s="110">
        <f>IFERROR(INDEX('WetLitterbags placem_collection'!$A$3:$A$500,MATCH($A421,'WetLitterbags placem_collection'!$Q$4:$Q$500,0)),"")</f>
        <v>8</v>
      </c>
    </row>
    <row r="422" spans="1:31">
      <c r="A422" s="197" t="s">
        <v>1038</v>
      </c>
      <c r="C422" s="198">
        <v>218</v>
      </c>
      <c r="D422" s="197">
        <v>1.2075</v>
      </c>
      <c r="E422" s="201">
        <v>10.698</v>
      </c>
      <c r="F422" s="202">
        <v>0.20280000000000001</v>
      </c>
      <c r="G422" s="201">
        <f t="shared" si="32"/>
        <v>10.9008</v>
      </c>
      <c r="H422" s="201">
        <v>10.7095</v>
      </c>
      <c r="I422" s="201">
        <f t="shared" si="33"/>
        <v>0.19130000000000003</v>
      </c>
      <c r="J422" s="201">
        <f t="shared" si="34"/>
        <v>1.1499999999999982E-2</v>
      </c>
      <c r="K422" s="280">
        <f t="shared" si="35"/>
        <v>5.6706114398422001</v>
      </c>
      <c r="L422" s="201">
        <v>19</v>
      </c>
      <c r="M422" s="204">
        <v>43212</v>
      </c>
      <c r="AB422" s="110" t="str">
        <f>IFERROR(INDEX('WetLitterbags placem_collection'!$A$3:$A$500,MATCH(A422,'WetLitterbags placem_collection'!$K$4:$K$500,0)),"")</f>
        <v/>
      </c>
      <c r="AC422" s="110" t="str">
        <f>IFERROR(INDEX('WetLitterbags placem_collection'!$A$3:$A$500,MATCH($A422,'WetLitterbags placem_collection'!$O$4:$O$500,0)),"")</f>
        <v/>
      </c>
      <c r="AD422" s="110" t="str">
        <f>IFERROR(INDEX('WetLitterbags placem_collection'!$A$3:$A$500,MATCH($A422,'WetLitterbags placem_collection'!$M$4:$M$500,0)),"")</f>
        <v/>
      </c>
      <c r="AE422" s="110">
        <f>IFERROR(INDEX('WetLitterbags placem_collection'!$A$3:$A$500,MATCH($A422,'WetLitterbags placem_collection'!$Q$4:$Q$500,0)),"")</f>
        <v>217</v>
      </c>
    </row>
    <row r="423" spans="1:31">
      <c r="A423" s="197" t="s">
        <v>1037</v>
      </c>
      <c r="C423" s="198">
        <v>25</v>
      </c>
      <c r="D423" s="197">
        <v>1.1997</v>
      </c>
      <c r="E423" s="201">
        <v>7.8597999999999999</v>
      </c>
      <c r="F423" s="202">
        <v>0.2016</v>
      </c>
      <c r="G423" s="201">
        <f t="shared" si="32"/>
        <v>8.061399999999999</v>
      </c>
      <c r="H423" s="201">
        <v>7.8674999999999997</v>
      </c>
      <c r="I423" s="201">
        <f t="shared" si="33"/>
        <v>0.1938999999999993</v>
      </c>
      <c r="J423" s="201">
        <f t="shared" si="34"/>
        <v>7.7000000000007063E-3</v>
      </c>
      <c r="K423" s="280">
        <f t="shared" si="35"/>
        <v>3.8194444444447946</v>
      </c>
      <c r="L423" s="201">
        <v>43</v>
      </c>
      <c r="M423" s="204">
        <v>43212</v>
      </c>
      <c r="AB423" s="110" t="str">
        <f>IFERROR(INDEX('WetLitterbags placem_collection'!$A$3:$A$500,MATCH(A423,'WetLitterbags placem_collection'!$K$4:$K$500,0)),"")</f>
        <v/>
      </c>
      <c r="AC423" s="110" t="str">
        <f>IFERROR(INDEX('WetLitterbags placem_collection'!$A$3:$A$500,MATCH($A423,'WetLitterbags placem_collection'!$O$4:$O$500,0)),"")</f>
        <v/>
      </c>
      <c r="AD423" s="110" t="str">
        <f>IFERROR(INDEX('WetLitterbags placem_collection'!$A$3:$A$500,MATCH($A423,'WetLitterbags placem_collection'!$M$4:$M$500,0)),"")</f>
        <v/>
      </c>
      <c r="AE423" s="110">
        <f>IFERROR(INDEX('WetLitterbags placem_collection'!$A$3:$A$500,MATCH($A423,'WetLitterbags placem_collection'!$Q$4:$Q$500,0)),"")</f>
        <v>24</v>
      </c>
    </row>
    <row r="424" spans="1:31">
      <c r="A424" s="201" t="s">
        <v>1036</v>
      </c>
      <c r="C424" s="201">
        <v>173</v>
      </c>
      <c r="D424" s="202">
        <v>1.4504999999999999</v>
      </c>
      <c r="E424" s="202">
        <v>8.0630000000000006</v>
      </c>
      <c r="F424" s="202">
        <v>0.20680000000000001</v>
      </c>
      <c r="G424" s="201">
        <f t="shared" si="32"/>
        <v>8.2698</v>
      </c>
      <c r="H424" s="201">
        <v>8.0683000000000007</v>
      </c>
      <c r="I424" s="201">
        <f t="shared" si="33"/>
        <v>0.20149999999999935</v>
      </c>
      <c r="J424" s="201">
        <f t="shared" si="34"/>
        <v>5.3000000000006653E-3</v>
      </c>
      <c r="K424" s="280">
        <f t="shared" si="35"/>
        <v>2.5628626692459697</v>
      </c>
      <c r="L424" s="201">
        <v>22</v>
      </c>
      <c r="M424" s="203">
        <v>43181.645833333336</v>
      </c>
      <c r="N424" s="203">
        <v>43181.833333333336</v>
      </c>
      <c r="O424" s="201" t="s">
        <v>2556</v>
      </c>
      <c r="P424" s="206" t="s">
        <v>2561</v>
      </c>
      <c r="AB424" s="110" t="str">
        <f>IFERROR(INDEX('WetLitterbags placem_collection'!$A$3:$A$500,MATCH(A424,'WetLitterbags placem_collection'!$K$4:$K$500,0)),"")</f>
        <v/>
      </c>
      <c r="AC424" s="110" t="str">
        <f>IFERROR(INDEX('WetLitterbags placem_collection'!$A$3:$A$500,MATCH($A424,'WetLitterbags placem_collection'!$O$4:$O$500,0)),"")</f>
        <v/>
      </c>
      <c r="AD424" s="110" t="str">
        <f>IFERROR(INDEX('WetLitterbags placem_collection'!$A$3:$A$500,MATCH($A424,'WetLitterbags placem_collection'!$M$4:$M$500,0)),"")</f>
        <v/>
      </c>
      <c r="AE424" s="110">
        <f>IFERROR(INDEX('WetLitterbags placem_collection'!$A$3:$A$500,MATCH($A424,'WetLitterbags placem_collection'!$Q$4:$Q$500,0)),"")</f>
        <v>172</v>
      </c>
    </row>
    <row r="425" spans="1:31">
      <c r="A425" s="206" t="s">
        <v>1034</v>
      </c>
      <c r="C425" s="181">
        <v>48</v>
      </c>
      <c r="D425" s="201">
        <v>1.2957000000000001</v>
      </c>
      <c r="E425" s="201">
        <v>8.4438999999999993</v>
      </c>
      <c r="F425" s="202">
        <v>0.20039999999999999</v>
      </c>
      <c r="G425" s="201">
        <f t="shared" si="32"/>
        <v>8.6442999999999994</v>
      </c>
      <c r="H425" s="201">
        <v>8.4507999999999992</v>
      </c>
      <c r="I425" s="201">
        <f t="shared" si="33"/>
        <v>0.19350000000000023</v>
      </c>
      <c r="J425" s="201">
        <f t="shared" si="34"/>
        <v>6.8999999999997674E-3</v>
      </c>
      <c r="K425" s="280">
        <f t="shared" si="35"/>
        <v>3.4431137724549741</v>
      </c>
      <c r="L425" s="201">
        <v>11</v>
      </c>
      <c r="M425" s="205">
        <v>43211</v>
      </c>
      <c r="S425" s="197" t="s">
        <v>2594</v>
      </c>
      <c r="AB425" s="110" t="str">
        <f>IFERROR(INDEX('WetLitterbags placem_collection'!$A$3:$A$500,MATCH(A425,'WetLitterbags placem_collection'!$K$4:$K$500,0)),"")</f>
        <v/>
      </c>
      <c r="AC425" s="110" t="str">
        <f>IFERROR(INDEX('WetLitterbags placem_collection'!$A$3:$A$500,MATCH($A425,'WetLitterbags placem_collection'!$O$4:$O$500,0)),"")</f>
        <v/>
      </c>
      <c r="AD425" s="110" t="str">
        <f>IFERROR(INDEX('WetLitterbags placem_collection'!$A$3:$A$500,MATCH($A425,'WetLitterbags placem_collection'!$M$4:$M$500,0)),"")</f>
        <v/>
      </c>
      <c r="AE425" s="110">
        <f>IFERROR(INDEX('WetLitterbags placem_collection'!$A$3:$A$500,MATCH($A425,'WetLitterbags placem_collection'!$Q$4:$Q$500,0)),"")</f>
        <v>47</v>
      </c>
    </row>
    <row r="426" spans="1:31">
      <c r="A426" s="206" t="s">
        <v>1130</v>
      </c>
      <c r="C426" s="201">
        <v>122</v>
      </c>
      <c r="D426" s="201">
        <v>0.99909999999999999</v>
      </c>
      <c r="E426" s="202">
        <v>8.0879999999999992</v>
      </c>
      <c r="F426" s="202">
        <v>0.1983</v>
      </c>
      <c r="G426" s="201">
        <f t="shared" si="32"/>
        <v>8.2862999999999989</v>
      </c>
      <c r="H426" s="201">
        <v>8.1047999999999991</v>
      </c>
      <c r="I426" s="201">
        <f t="shared" si="33"/>
        <v>0.18149999999999977</v>
      </c>
      <c r="J426" s="201">
        <f t="shared" si="34"/>
        <v>1.6800000000000231E-2</v>
      </c>
      <c r="K426" s="280">
        <f t="shared" si="35"/>
        <v>8.4720121028745492</v>
      </c>
      <c r="L426" s="201">
        <v>6</v>
      </c>
      <c r="M426" s="203">
        <v>43181.645833333336</v>
      </c>
      <c r="N426" s="203">
        <v>43181.833333333336</v>
      </c>
      <c r="O426" s="201" t="s">
        <v>2556</v>
      </c>
      <c r="P426" s="201"/>
      <c r="AB426" s="110" t="str">
        <f>IFERROR(INDEX('WetLitterbags placem_collection'!$A$3:$A$500,MATCH(A426,'WetLitterbags placem_collection'!$K$4:$K$500,0)),"")</f>
        <v/>
      </c>
      <c r="AC426" s="110" t="str">
        <f>IFERROR(INDEX('WetLitterbags placem_collection'!$A$3:$A$500,MATCH($A426,'WetLitterbags placem_collection'!$O$4:$O$500,0)),"")</f>
        <v/>
      </c>
      <c r="AD426" s="110">
        <f>IFERROR(INDEX('WetLitterbags placem_collection'!$A$3:$A$500,MATCH($A426,'WetLitterbags placem_collection'!$M$4:$M$500,0)),"")</f>
        <v>121</v>
      </c>
      <c r="AE426" s="110" t="str">
        <f>IFERROR(INDEX('WetLitterbags placem_collection'!$A$3:$A$500,MATCH($A426,'WetLitterbags placem_collection'!$Q$4:$Q$500,0)),"")</f>
        <v/>
      </c>
    </row>
    <row r="427" spans="1:31">
      <c r="A427" s="197" t="s">
        <v>1031</v>
      </c>
      <c r="C427" s="197">
        <v>20</v>
      </c>
      <c r="D427" s="197">
        <v>1.4414</v>
      </c>
      <c r="E427" s="197">
        <v>7.3536000000000001</v>
      </c>
      <c r="F427" s="197">
        <v>0.20780000000000001</v>
      </c>
      <c r="G427" s="197">
        <f t="shared" si="32"/>
        <v>7.5613999999999999</v>
      </c>
      <c r="H427" s="197">
        <v>7.3670999999999998</v>
      </c>
      <c r="I427" s="197">
        <f t="shared" si="33"/>
        <v>0.19430000000000014</v>
      </c>
      <c r="J427" s="201">
        <f t="shared" si="34"/>
        <v>1.3499999999999873E-2</v>
      </c>
      <c r="K427" s="280">
        <f t="shared" si="35"/>
        <v>6.496631376323327</v>
      </c>
      <c r="L427" s="197">
        <v>6</v>
      </c>
      <c r="M427" s="197" t="s">
        <v>2586</v>
      </c>
      <c r="N427" s="197" t="s">
        <v>2585</v>
      </c>
      <c r="O427" s="197" t="s">
        <v>2550</v>
      </c>
      <c r="AB427" s="110" t="str">
        <f>IFERROR(INDEX('WetLitterbags placem_collection'!$A$3:$A$500,MATCH(A427,'WetLitterbags placem_collection'!$K$4:$K$500,0)),"")</f>
        <v/>
      </c>
      <c r="AC427" s="110" t="str">
        <f>IFERROR(INDEX('WetLitterbags placem_collection'!$A$3:$A$500,MATCH($A427,'WetLitterbags placem_collection'!$O$4:$O$500,0)),"")</f>
        <v/>
      </c>
      <c r="AD427" s="110" t="str">
        <f>IFERROR(INDEX('WetLitterbags placem_collection'!$A$3:$A$500,MATCH($A427,'WetLitterbags placem_collection'!$M$4:$M$500,0)),"")</f>
        <v/>
      </c>
      <c r="AE427" s="110">
        <f>IFERROR(INDEX('WetLitterbags placem_collection'!$A$3:$A$500,MATCH($A427,'WetLitterbags placem_collection'!$Q$4:$Q$500,0)),"")</f>
        <v>19</v>
      </c>
    </row>
    <row r="428" spans="1:31">
      <c r="A428" s="201" t="s">
        <v>1030</v>
      </c>
      <c r="C428" s="201">
        <v>213</v>
      </c>
      <c r="D428" s="201">
        <v>1.3273999999999999</v>
      </c>
      <c r="E428" s="201">
        <v>9.5183999999999997</v>
      </c>
      <c r="F428" s="201">
        <v>0.20580000000000001</v>
      </c>
      <c r="G428" s="201">
        <f t="shared" si="32"/>
        <v>9.7241999999999997</v>
      </c>
      <c r="H428" s="201">
        <v>9.5253999999999994</v>
      </c>
      <c r="I428" s="201">
        <f t="shared" si="33"/>
        <v>0.19880000000000031</v>
      </c>
      <c r="J428" s="201">
        <f t="shared" si="34"/>
        <v>6.9999999999997009E-3</v>
      </c>
      <c r="K428" s="280">
        <f t="shared" si="35"/>
        <v>3.4013605442175416</v>
      </c>
      <c r="L428" s="201">
        <v>5</v>
      </c>
      <c r="M428" s="205">
        <v>43188</v>
      </c>
      <c r="N428" s="205">
        <v>43188</v>
      </c>
      <c r="O428" s="201"/>
      <c r="P428" s="201"/>
      <c r="AB428" s="110" t="str">
        <f>IFERROR(INDEX('WetLitterbags placem_collection'!$A$3:$A$500,MATCH(A428,'WetLitterbags placem_collection'!$K$4:$K$500,0)),"")</f>
        <v/>
      </c>
      <c r="AC428" s="110" t="str">
        <f>IFERROR(INDEX('WetLitterbags placem_collection'!$A$3:$A$500,MATCH($A428,'WetLitterbags placem_collection'!$O$4:$O$500,0)),"")</f>
        <v/>
      </c>
      <c r="AD428" s="110" t="str">
        <f>IFERROR(INDEX('WetLitterbags placem_collection'!$A$3:$A$500,MATCH($A428,'WetLitterbags placem_collection'!$M$4:$M$500,0)),"")</f>
        <v/>
      </c>
      <c r="AE428" s="110">
        <f>IFERROR(INDEX('WetLitterbags placem_collection'!$A$3:$A$500,MATCH($A428,'WetLitterbags placem_collection'!$Q$4:$Q$500,0)),"")</f>
        <v>212</v>
      </c>
    </row>
    <row r="429" spans="1:31">
      <c r="A429" s="197" t="s">
        <v>1029</v>
      </c>
      <c r="C429" s="198">
        <v>27</v>
      </c>
      <c r="D429" s="197">
        <v>1.1268</v>
      </c>
      <c r="E429" s="201">
        <v>8.1679999999999993</v>
      </c>
      <c r="F429" s="202">
        <v>0.20619999999999999</v>
      </c>
      <c r="G429" s="201">
        <f t="shared" si="32"/>
        <v>8.3742000000000001</v>
      </c>
      <c r="H429" s="201">
        <v>8.1806000000000001</v>
      </c>
      <c r="I429" s="201">
        <f t="shared" si="33"/>
        <v>0.19359999999999999</v>
      </c>
      <c r="J429" s="201">
        <f t="shared" si="34"/>
        <v>1.26E-2</v>
      </c>
      <c r="K429" s="280">
        <f t="shared" si="35"/>
        <v>6.1105722599418044</v>
      </c>
      <c r="L429" s="201">
        <v>35</v>
      </c>
      <c r="M429" s="204">
        <v>43212</v>
      </c>
      <c r="AB429" s="110" t="str">
        <f>IFERROR(INDEX('WetLitterbags placem_collection'!$A$3:$A$500,MATCH(A429,'WetLitterbags placem_collection'!$K$4:$K$500,0)),"")</f>
        <v/>
      </c>
      <c r="AC429" s="110" t="str">
        <f>IFERROR(INDEX('WetLitterbags placem_collection'!$A$3:$A$500,MATCH($A429,'WetLitterbags placem_collection'!$O$4:$O$500,0)),"")</f>
        <v/>
      </c>
      <c r="AD429" s="110">
        <f>IFERROR(INDEX('WetLitterbags placem_collection'!$A$3:$A$500,MATCH($A429,'WetLitterbags placem_collection'!$M$4:$M$500,0)),"")</f>
        <v>26</v>
      </c>
      <c r="AE429" s="110" t="str">
        <f>IFERROR(INDEX('WetLitterbags placem_collection'!$A$3:$A$500,MATCH($A429,'WetLitterbags placem_collection'!$Q$4:$Q$500,0)),"")</f>
        <v/>
      </c>
    </row>
    <row r="430" spans="1:31">
      <c r="A430" s="206" t="s">
        <v>1027</v>
      </c>
      <c r="C430" s="201">
        <v>40</v>
      </c>
      <c r="D430" s="201">
        <v>1.9709000000000001</v>
      </c>
      <c r="E430" s="201">
        <v>7.8711000000000002</v>
      </c>
      <c r="F430" s="202">
        <v>0.20180000000000001</v>
      </c>
      <c r="G430" s="201">
        <f t="shared" si="32"/>
        <v>8.0729000000000006</v>
      </c>
      <c r="H430" s="201">
        <v>7.9211999999999998</v>
      </c>
      <c r="I430" s="201">
        <f t="shared" si="33"/>
        <v>0.15170000000000083</v>
      </c>
      <c r="J430" s="201">
        <f t="shared" si="34"/>
        <v>5.0099999999999173E-2</v>
      </c>
      <c r="K430" s="280">
        <f t="shared" si="35"/>
        <v>24.826560951436655</v>
      </c>
      <c r="L430" s="201">
        <v>8</v>
      </c>
      <c r="M430" s="205">
        <v>43211</v>
      </c>
      <c r="P430" s="201"/>
      <c r="AB430" s="110" t="str">
        <f>IFERROR(INDEX('WetLitterbags placem_collection'!$A$3:$A$500,MATCH(A430,'WetLitterbags placem_collection'!$K$4:$K$500,0)),"")</f>
        <v/>
      </c>
      <c r="AC430" s="110" t="str">
        <f>IFERROR(INDEX('WetLitterbags placem_collection'!$A$3:$A$500,MATCH($A430,'WetLitterbags placem_collection'!$O$4:$O$500,0)),"")</f>
        <v/>
      </c>
      <c r="AD430" s="110">
        <f>IFERROR(INDEX('WetLitterbags placem_collection'!$A$3:$A$500,MATCH($A430,'WetLitterbags placem_collection'!$M$4:$M$500,0)),"")</f>
        <v>39</v>
      </c>
      <c r="AE430" s="110" t="str">
        <f>IFERROR(INDEX('WetLitterbags placem_collection'!$A$3:$A$500,MATCH($A430,'WetLitterbags placem_collection'!$Q$4:$Q$500,0)),"")</f>
        <v/>
      </c>
    </row>
    <row r="431" spans="1:31">
      <c r="A431" s="197" t="s">
        <v>1026</v>
      </c>
      <c r="C431" s="197">
        <v>4</v>
      </c>
      <c r="D431" s="197">
        <v>1.171</v>
      </c>
      <c r="E431" s="202">
        <v>8.1178000000000008</v>
      </c>
      <c r="F431" s="202">
        <v>0.20030000000000001</v>
      </c>
      <c r="G431" s="201">
        <f t="shared" si="32"/>
        <v>8.3181000000000012</v>
      </c>
      <c r="H431" s="201">
        <v>8.1286000000000005</v>
      </c>
      <c r="I431" s="201">
        <f t="shared" si="33"/>
        <v>0.18950000000000067</v>
      </c>
      <c r="J431" s="201">
        <f t="shared" si="34"/>
        <v>1.0799999999999338E-2</v>
      </c>
      <c r="K431" s="280">
        <f t="shared" si="35"/>
        <v>5.3919121318019663</v>
      </c>
      <c r="L431" s="201">
        <v>9</v>
      </c>
      <c r="AB431" s="110" t="str">
        <f>IFERROR(INDEX('WetLitterbags placem_collection'!$A$3:$A$500,MATCH(A431,'WetLitterbags placem_collection'!$K$4:$K$500,0)),"")</f>
        <v/>
      </c>
      <c r="AC431" s="110" t="str">
        <f>IFERROR(INDEX('WetLitterbags placem_collection'!$A$3:$A$500,MATCH($A431,'WetLitterbags placem_collection'!$O$4:$O$500,0)),"")</f>
        <v/>
      </c>
      <c r="AD431" s="110">
        <f>IFERROR(INDEX('WetLitterbags placem_collection'!$A$3:$A$500,MATCH($A431,'WetLitterbags placem_collection'!$M$4:$M$500,0)),"")</f>
        <v>3</v>
      </c>
      <c r="AE431" s="110" t="str">
        <f>IFERROR(INDEX('WetLitterbags placem_collection'!$A$3:$A$500,MATCH($A431,'WetLitterbags placem_collection'!$Q$4:$Q$500,0)),"")</f>
        <v/>
      </c>
    </row>
    <row r="432" spans="1:31">
      <c r="A432" s="197" t="s">
        <v>1024</v>
      </c>
      <c r="C432" s="197">
        <v>43</v>
      </c>
      <c r="D432" s="197">
        <v>1.3892</v>
      </c>
      <c r="E432" s="197">
        <v>7.4809000000000001</v>
      </c>
      <c r="F432" s="197">
        <v>0.20069999999999999</v>
      </c>
      <c r="G432" s="197">
        <f t="shared" si="32"/>
        <v>7.6816000000000004</v>
      </c>
      <c r="H432" s="197">
        <v>7.4846000000000004</v>
      </c>
      <c r="I432" s="197">
        <f t="shared" si="33"/>
        <v>0.19700000000000006</v>
      </c>
      <c r="J432" s="201">
        <f t="shared" si="34"/>
        <v>3.6999999999999256E-3</v>
      </c>
      <c r="K432" s="280">
        <f t="shared" si="35"/>
        <v>1.8435475834578603</v>
      </c>
      <c r="L432" s="197">
        <v>12</v>
      </c>
      <c r="M432" s="197" t="s">
        <v>2586</v>
      </c>
      <c r="N432" s="197" t="s">
        <v>2585</v>
      </c>
      <c r="O432" s="197" t="s">
        <v>2550</v>
      </c>
      <c r="AB432" s="110" t="str">
        <f>IFERROR(INDEX('WetLitterbags placem_collection'!$A$3:$A$500,MATCH(A432,'WetLitterbags placem_collection'!$K$4:$K$500,0)),"")</f>
        <v/>
      </c>
      <c r="AC432" s="110" t="str">
        <f>IFERROR(INDEX('WetLitterbags placem_collection'!$A$3:$A$500,MATCH($A432,'WetLitterbags placem_collection'!$O$4:$O$500,0)),"")</f>
        <v/>
      </c>
      <c r="AD432" s="110" t="str">
        <f>IFERROR(INDEX('WetLitterbags placem_collection'!$A$3:$A$500,MATCH($A432,'WetLitterbags placem_collection'!$M$4:$M$500,0)),"")</f>
        <v/>
      </c>
      <c r="AE432" s="110">
        <f>IFERROR(INDEX('WetLitterbags placem_collection'!$A$3:$A$500,MATCH($A432,'WetLitterbags placem_collection'!$Q$4:$Q$500,0)),"")</f>
        <v>42</v>
      </c>
    </row>
    <row r="433" spans="1:31">
      <c r="A433" s="197" t="s">
        <v>1022</v>
      </c>
      <c r="C433" s="197">
        <v>62</v>
      </c>
      <c r="D433" s="197">
        <v>1.3992</v>
      </c>
      <c r="E433" s="197">
        <v>8.1684000000000001</v>
      </c>
      <c r="F433" s="197">
        <v>0.19800000000000001</v>
      </c>
      <c r="G433" s="197">
        <f t="shared" si="32"/>
        <v>8.3664000000000005</v>
      </c>
      <c r="H433" s="197">
        <v>8.1851000000000003</v>
      </c>
      <c r="I433" s="197">
        <f t="shared" si="33"/>
        <v>0.18130000000000024</v>
      </c>
      <c r="J433" s="201">
        <f t="shared" si="34"/>
        <v>1.6699999999999771E-2</v>
      </c>
      <c r="K433" s="280">
        <f t="shared" si="35"/>
        <v>8.4343434343433188</v>
      </c>
      <c r="L433" s="197">
        <v>44</v>
      </c>
      <c r="M433" s="197" t="s">
        <v>2586</v>
      </c>
      <c r="N433" s="197" t="s">
        <v>2585</v>
      </c>
      <c r="O433" s="197" t="s">
        <v>2550</v>
      </c>
      <c r="AB433" s="110" t="str">
        <f>IFERROR(INDEX('WetLitterbags placem_collection'!$A$3:$A$500,MATCH(A433,'WetLitterbags placem_collection'!$K$4:$K$500,0)),"")</f>
        <v/>
      </c>
      <c r="AC433" s="110" t="str">
        <f>IFERROR(INDEX('WetLitterbags placem_collection'!$A$3:$A$500,MATCH($A433,'WetLitterbags placem_collection'!$O$4:$O$500,0)),"")</f>
        <v/>
      </c>
      <c r="AD433" s="110">
        <f>IFERROR(INDEX('WetLitterbags placem_collection'!$A$3:$A$500,MATCH($A433,'WetLitterbags placem_collection'!$M$4:$M$500,0)),"")</f>
        <v>61</v>
      </c>
      <c r="AE433" s="110" t="str">
        <f>IFERROR(INDEX('WetLitterbags placem_collection'!$A$3:$A$500,MATCH($A433,'WetLitterbags placem_collection'!$Q$4:$Q$500,0)),"")</f>
        <v/>
      </c>
    </row>
    <row r="434" spans="1:31">
      <c r="A434" s="201" t="s">
        <v>1021</v>
      </c>
      <c r="C434" s="201">
        <v>59</v>
      </c>
      <c r="D434" s="201">
        <v>1.2487999999999999</v>
      </c>
      <c r="E434" s="201">
        <v>10.539099999999999</v>
      </c>
      <c r="F434" s="202">
        <v>0.20069999999999999</v>
      </c>
      <c r="G434" s="201">
        <f t="shared" si="32"/>
        <v>10.739799999999999</v>
      </c>
      <c r="H434" s="201">
        <v>10.546799999999999</v>
      </c>
      <c r="I434" s="201">
        <f t="shared" si="33"/>
        <v>0.19299999999999962</v>
      </c>
      <c r="J434" s="201">
        <f t="shared" si="34"/>
        <v>7.7000000000003732E-3</v>
      </c>
      <c r="K434" s="280">
        <f t="shared" si="35"/>
        <v>3.836571998007162</v>
      </c>
      <c r="L434" s="201">
        <v>1</v>
      </c>
      <c r="M434" s="205">
        <v>43188</v>
      </c>
      <c r="N434" s="205">
        <v>43188</v>
      </c>
      <c r="O434" s="201"/>
      <c r="P434" s="201"/>
      <c r="U434" s="202" t="s">
        <v>1397</v>
      </c>
      <c r="V434" s="197">
        <v>0.9143</v>
      </c>
      <c r="W434" s="197">
        <f>(V434-$T$175+F432)</f>
        <v>1.115</v>
      </c>
      <c r="AB434" s="110" t="str">
        <f>IFERROR(INDEX('WetLitterbags placem_collection'!$A$3:$A$500,MATCH(A434,'WetLitterbags placem_collection'!$K$4:$K$500,0)),"")</f>
        <v/>
      </c>
      <c r="AC434" s="110" t="str">
        <f>IFERROR(INDEX('WetLitterbags placem_collection'!$A$3:$A$500,MATCH($A434,'WetLitterbags placem_collection'!$O$4:$O$500,0)),"")</f>
        <v/>
      </c>
      <c r="AD434" s="110" t="str">
        <f>IFERROR(INDEX('WetLitterbags placem_collection'!$A$3:$A$500,MATCH($A434,'WetLitterbags placem_collection'!$M$4:$M$500,0)),"")</f>
        <v/>
      </c>
      <c r="AE434" s="110">
        <f>IFERROR(INDEX('WetLitterbags placem_collection'!$A$3:$A$500,MATCH($A434,'WetLitterbags placem_collection'!$Q$4:$Q$500,0)),"")</f>
        <v>58</v>
      </c>
    </row>
    <row r="435" spans="1:31">
      <c r="A435" s="197" t="s">
        <v>1020</v>
      </c>
      <c r="C435" s="198">
        <v>2</v>
      </c>
      <c r="D435" s="197">
        <v>1.0841000000000001</v>
      </c>
      <c r="E435" s="202">
        <v>7.8714000000000004</v>
      </c>
      <c r="F435" s="202">
        <v>0.20100000000000001</v>
      </c>
      <c r="G435" s="201">
        <f t="shared" ref="G435:G498" si="36">E435+F435</f>
        <v>8.0724</v>
      </c>
      <c r="H435" s="201">
        <v>7.8826999999999998</v>
      </c>
      <c r="I435" s="201">
        <f t="shared" ref="I435:I459" si="37">(G435-H435)</f>
        <v>0.1897000000000002</v>
      </c>
      <c r="J435" s="201">
        <f t="shared" ref="J435:J498" si="38">F435-I435</f>
        <v>1.129999999999981E-2</v>
      </c>
      <c r="K435" s="280">
        <f t="shared" ref="K435:K498" si="39">(J435/F435)*100</f>
        <v>5.6218905472635869</v>
      </c>
      <c r="L435" s="201">
        <v>29</v>
      </c>
      <c r="M435" s="204">
        <v>43213</v>
      </c>
      <c r="N435" s="204">
        <v>43213</v>
      </c>
      <c r="T435" s="204"/>
      <c r="U435" s="204"/>
      <c r="AB435" s="110" t="str">
        <f>IFERROR(INDEX('WetLitterbags placem_collection'!$A$3:$A$500,MATCH(A435,'WetLitterbags placem_collection'!$K$4:$K$500,0)),"")</f>
        <v/>
      </c>
      <c r="AC435" s="110" t="str">
        <f>IFERROR(INDEX('WetLitterbags placem_collection'!$A$3:$A$500,MATCH($A435,'WetLitterbags placem_collection'!$O$4:$O$500,0)),"")</f>
        <v/>
      </c>
      <c r="AD435" s="110">
        <f>IFERROR(INDEX('WetLitterbags placem_collection'!$A$3:$A$500,MATCH($A435,'WetLitterbags placem_collection'!$M$4:$M$500,0)),"")</f>
        <v>1</v>
      </c>
      <c r="AE435" s="110" t="str">
        <f>IFERROR(INDEX('WetLitterbags placem_collection'!$A$3:$A$500,MATCH($A435,'WetLitterbags placem_collection'!$Q$4:$Q$500,0)),"")</f>
        <v/>
      </c>
    </row>
    <row r="436" spans="1:31">
      <c r="A436" s="197" t="s">
        <v>1017</v>
      </c>
      <c r="C436" s="197">
        <v>161</v>
      </c>
      <c r="D436" s="197">
        <v>1.4500999999999999</v>
      </c>
      <c r="E436" s="197">
        <v>8.7805999999999997</v>
      </c>
      <c r="F436" s="197">
        <v>0.20710000000000001</v>
      </c>
      <c r="G436" s="197">
        <f t="shared" si="36"/>
        <v>8.9877000000000002</v>
      </c>
      <c r="H436" s="197">
        <v>8.7827000000000002</v>
      </c>
      <c r="I436" s="197">
        <f t="shared" si="37"/>
        <v>0.20500000000000007</v>
      </c>
      <c r="J436" s="201">
        <f t="shared" si="38"/>
        <v>2.0999999999999353E-3</v>
      </c>
      <c r="K436" s="280">
        <f t="shared" si="39"/>
        <v>1.0140028971511033</v>
      </c>
      <c r="L436" s="197">
        <v>2</v>
      </c>
      <c r="M436" s="197">
        <v>43160.520833333336</v>
      </c>
      <c r="N436" s="197">
        <v>43160.6875</v>
      </c>
      <c r="O436" s="197" t="s">
        <v>2550</v>
      </c>
      <c r="AB436" s="110" t="str">
        <f>IFERROR(INDEX('WetLitterbags placem_collection'!$A$3:$A$500,MATCH(A436,'WetLitterbags placem_collection'!$K$4:$K$500,0)),"")</f>
        <v/>
      </c>
      <c r="AC436" s="110" t="str">
        <f>IFERROR(INDEX('WetLitterbags placem_collection'!$A$3:$A$500,MATCH($A436,'WetLitterbags placem_collection'!$O$4:$O$500,0)),"")</f>
        <v/>
      </c>
      <c r="AD436" s="110">
        <f>IFERROR(INDEX('WetLitterbags placem_collection'!$A$3:$A$500,MATCH($A436,'WetLitterbags placem_collection'!$M$4:$M$500,0)),"")</f>
        <v>160</v>
      </c>
      <c r="AE436" s="110" t="str">
        <f>IFERROR(INDEX('WetLitterbags placem_collection'!$A$3:$A$500,MATCH($A436,'WetLitterbags placem_collection'!$Q$4:$Q$500,0)),"")</f>
        <v/>
      </c>
    </row>
    <row r="437" spans="1:31">
      <c r="A437" s="197" t="s">
        <v>1016</v>
      </c>
      <c r="C437" s="198">
        <v>193</v>
      </c>
      <c r="D437" s="197">
        <v>1.0089999999999999</v>
      </c>
      <c r="E437" s="201">
        <v>9.4854000000000003</v>
      </c>
      <c r="F437" s="202">
        <v>0.20050000000000001</v>
      </c>
      <c r="G437" s="201">
        <f t="shared" si="36"/>
        <v>9.6859000000000002</v>
      </c>
      <c r="H437" s="201">
        <v>9.4951000000000008</v>
      </c>
      <c r="I437" s="201">
        <f t="shared" si="37"/>
        <v>0.19079999999999941</v>
      </c>
      <c r="J437" s="201">
        <f t="shared" si="38"/>
        <v>9.700000000000597E-3</v>
      </c>
      <c r="K437" s="280">
        <f t="shared" si="39"/>
        <v>4.8379052369080275</v>
      </c>
      <c r="L437" s="201">
        <v>22</v>
      </c>
      <c r="M437" s="204">
        <v>43212</v>
      </c>
      <c r="AB437" s="110" t="str">
        <f>IFERROR(INDEX('WetLitterbags placem_collection'!$A$3:$A$500,MATCH(A437,'WetLitterbags placem_collection'!$K$4:$K$500,0)),"")</f>
        <v/>
      </c>
      <c r="AC437" s="110" t="str">
        <f>IFERROR(INDEX('WetLitterbags placem_collection'!$A$3:$A$500,MATCH($A437,'WetLitterbags placem_collection'!$O$4:$O$500,0)),"")</f>
        <v/>
      </c>
      <c r="AD437" s="110">
        <f>IFERROR(INDEX('WetLitterbags placem_collection'!$A$3:$A$500,MATCH($A437,'WetLitterbags placem_collection'!$M$4:$M$500,0)),"")</f>
        <v>192</v>
      </c>
      <c r="AE437" s="110" t="str">
        <f>IFERROR(INDEX('WetLitterbags placem_collection'!$A$3:$A$500,MATCH($A437,'WetLitterbags placem_collection'!$Q$4:$Q$500,0)),"")</f>
        <v/>
      </c>
    </row>
    <row r="438" spans="1:31">
      <c r="A438" s="206" t="s">
        <v>1015</v>
      </c>
      <c r="C438" s="201">
        <v>36</v>
      </c>
      <c r="D438" s="201">
        <v>1.3523000000000001</v>
      </c>
      <c r="E438" s="201">
        <v>10.114000000000001</v>
      </c>
      <c r="F438" s="201">
        <v>0.20669999999999999</v>
      </c>
      <c r="G438" s="201">
        <f t="shared" si="36"/>
        <v>10.3207</v>
      </c>
      <c r="H438" s="201">
        <v>10.120799999999999</v>
      </c>
      <c r="I438" s="201">
        <f t="shared" si="37"/>
        <v>0.1999000000000013</v>
      </c>
      <c r="J438" s="201">
        <f t="shared" si="38"/>
        <v>6.799999999998696E-3</v>
      </c>
      <c r="K438" s="280">
        <f t="shared" si="39"/>
        <v>3.2897919690366213</v>
      </c>
      <c r="L438" s="201">
        <v>25</v>
      </c>
      <c r="M438" s="205">
        <v>43188</v>
      </c>
      <c r="N438" s="205">
        <v>43188</v>
      </c>
      <c r="O438" s="201"/>
      <c r="P438" s="201"/>
      <c r="AB438" s="110" t="str">
        <f>IFERROR(INDEX('WetLitterbags placem_collection'!$A$3:$A$500,MATCH(A438,'WetLitterbags placem_collection'!$K$4:$K$500,0)),"")</f>
        <v/>
      </c>
      <c r="AC438" s="110" t="str">
        <f>IFERROR(INDEX('WetLitterbags placem_collection'!$A$3:$A$500,MATCH($A438,'WetLitterbags placem_collection'!$O$4:$O$500,0)),"")</f>
        <v/>
      </c>
      <c r="AD438" s="110">
        <f>IFERROR(INDEX('WetLitterbags placem_collection'!$A$3:$A$500,MATCH($A438,'WetLitterbags placem_collection'!$M$4:$M$500,0)),"")</f>
        <v>35</v>
      </c>
      <c r="AE438" s="110" t="str">
        <f>IFERROR(INDEX('WetLitterbags placem_collection'!$A$3:$A$500,MATCH($A438,'WetLitterbags placem_collection'!$Q$4:$Q$500,0)),"")</f>
        <v/>
      </c>
    </row>
    <row r="439" spans="1:31">
      <c r="A439" s="206" t="s">
        <v>1013</v>
      </c>
      <c r="C439" s="201">
        <v>18</v>
      </c>
      <c r="D439" s="201">
        <v>1.5038</v>
      </c>
      <c r="E439" s="201">
        <v>8.7735000000000003</v>
      </c>
      <c r="F439" s="202">
        <v>0.2024</v>
      </c>
      <c r="G439" s="201">
        <f t="shared" si="36"/>
        <v>8.9759000000000011</v>
      </c>
      <c r="H439" s="201">
        <v>8.7866</v>
      </c>
      <c r="I439" s="201">
        <f t="shared" si="37"/>
        <v>0.18930000000000113</v>
      </c>
      <c r="J439" s="201">
        <f t="shared" si="38"/>
        <v>1.3099999999998863E-2</v>
      </c>
      <c r="K439" s="280">
        <f t="shared" si="39"/>
        <v>6.4723320158097151</v>
      </c>
      <c r="L439" s="201">
        <v>8</v>
      </c>
      <c r="M439" s="205">
        <v>43187</v>
      </c>
      <c r="N439" s="205">
        <v>43187</v>
      </c>
      <c r="O439" s="201"/>
      <c r="P439" s="201" t="s">
        <v>2598</v>
      </c>
      <c r="AB439" s="110" t="str">
        <f>IFERROR(INDEX('WetLitterbags placem_collection'!$A$3:$A$500,MATCH(A439,'WetLitterbags placem_collection'!$K$4:$K$500,0)),"")</f>
        <v/>
      </c>
      <c r="AC439" s="110" t="str">
        <f>IFERROR(INDEX('WetLitterbags placem_collection'!$A$3:$A$500,MATCH($A439,'WetLitterbags placem_collection'!$O$4:$O$500,0)),"")</f>
        <v/>
      </c>
      <c r="AD439" s="110">
        <f>IFERROR(INDEX('WetLitterbags placem_collection'!$A$3:$A$500,MATCH($A439,'WetLitterbags placem_collection'!$M$4:$M$500,0)),"")</f>
        <v>17</v>
      </c>
      <c r="AE439" s="110" t="str">
        <f>IFERROR(INDEX('WetLitterbags placem_collection'!$A$3:$A$500,MATCH($A439,'WetLitterbags placem_collection'!$Q$4:$Q$500,0)),"")</f>
        <v/>
      </c>
    </row>
    <row r="440" spans="1:31">
      <c r="A440" s="206" t="s">
        <v>1012</v>
      </c>
      <c r="C440" s="201">
        <v>68</v>
      </c>
      <c r="D440" s="201">
        <v>1.5619000000000001</v>
      </c>
      <c r="E440" s="202">
        <v>7.3540999999999999</v>
      </c>
      <c r="F440" s="202">
        <v>0.2029</v>
      </c>
      <c r="G440" s="201">
        <f t="shared" si="36"/>
        <v>7.5569999999999995</v>
      </c>
      <c r="H440" s="201">
        <v>7.3837999999999999</v>
      </c>
      <c r="I440" s="201">
        <f t="shared" si="37"/>
        <v>0.17319999999999958</v>
      </c>
      <c r="J440" s="201">
        <f t="shared" si="38"/>
        <v>2.9700000000000421E-2</v>
      </c>
      <c r="K440" s="280">
        <f t="shared" si="39"/>
        <v>14.637752587481726</v>
      </c>
      <c r="L440" s="201">
        <v>16</v>
      </c>
      <c r="M440" s="205">
        <v>43199</v>
      </c>
      <c r="N440" s="205">
        <v>43199</v>
      </c>
      <c r="O440" s="201"/>
      <c r="P440" s="201"/>
      <c r="AB440" s="110" t="str">
        <f>IFERROR(INDEX('WetLitterbags placem_collection'!$A$3:$A$500,MATCH(A440,'WetLitterbags placem_collection'!$K$4:$K$500,0)),"")</f>
        <v/>
      </c>
      <c r="AC440" s="110" t="str">
        <f>IFERROR(INDEX('WetLitterbags placem_collection'!$A$3:$A$500,MATCH($A440,'WetLitterbags placem_collection'!$O$4:$O$500,0)),"")</f>
        <v/>
      </c>
      <c r="AD440" s="110">
        <f>IFERROR(INDEX('WetLitterbags placem_collection'!$A$3:$A$500,MATCH($A440,'WetLitterbags placem_collection'!$M$4:$M$500,0)),"")</f>
        <v>67</v>
      </c>
      <c r="AE440" s="110" t="str">
        <f>IFERROR(INDEX('WetLitterbags placem_collection'!$A$3:$A$500,MATCH($A440,'WetLitterbags placem_collection'!$Q$4:$Q$500,0)),"")</f>
        <v/>
      </c>
    </row>
    <row r="441" spans="1:31">
      <c r="A441" s="206" t="s">
        <v>1011</v>
      </c>
      <c r="C441" s="201">
        <v>212</v>
      </c>
      <c r="D441" s="201">
        <v>1.45</v>
      </c>
      <c r="E441" s="201">
        <v>8.0891000000000002</v>
      </c>
      <c r="F441" s="201">
        <v>0.20219999999999999</v>
      </c>
      <c r="G441" s="201">
        <f t="shared" si="36"/>
        <v>8.2912999999999997</v>
      </c>
      <c r="H441" s="201">
        <v>8.1037999999999997</v>
      </c>
      <c r="I441" s="201">
        <f t="shared" si="37"/>
        <v>0.1875</v>
      </c>
      <c r="J441" s="201">
        <f t="shared" si="38"/>
        <v>1.4699999999999991E-2</v>
      </c>
      <c r="K441" s="280">
        <f t="shared" si="39"/>
        <v>7.2700296735904999</v>
      </c>
      <c r="L441" s="201">
        <v>1</v>
      </c>
      <c r="M441" s="203">
        <v>43171.520833333336</v>
      </c>
      <c r="N441" s="203">
        <v>43171.6875</v>
      </c>
      <c r="O441" s="197" t="s">
        <v>2550</v>
      </c>
      <c r="P441" s="201"/>
      <c r="AB441" s="110" t="str">
        <f>IFERROR(INDEX('WetLitterbags placem_collection'!$A$3:$A$500,MATCH(A441,'WetLitterbags placem_collection'!$K$4:$K$500,0)),"")</f>
        <v/>
      </c>
      <c r="AC441" s="110" t="str">
        <f>IFERROR(INDEX('WetLitterbags placem_collection'!$A$3:$A$500,MATCH($A441,'WetLitterbags placem_collection'!$O$4:$O$500,0)),"")</f>
        <v/>
      </c>
      <c r="AD441" s="110" t="str">
        <f>IFERROR(INDEX('WetLitterbags placem_collection'!$A$3:$A$500,MATCH($A441,'WetLitterbags placem_collection'!$M$4:$M$500,0)),"")</f>
        <v/>
      </c>
      <c r="AE441" s="110">
        <f>IFERROR(INDEX('WetLitterbags placem_collection'!$A$3:$A$500,MATCH($A441,'WetLitterbags placem_collection'!$Q$4:$Q$500,0)),"")</f>
        <v>211</v>
      </c>
    </row>
    <row r="442" spans="1:31">
      <c r="A442" s="197" t="s">
        <v>1009</v>
      </c>
      <c r="C442" s="197">
        <v>23</v>
      </c>
      <c r="D442" s="197">
        <v>1.3028999999999999</v>
      </c>
      <c r="E442" s="197">
        <v>9.032</v>
      </c>
      <c r="F442" s="197">
        <v>0.20019999999999999</v>
      </c>
      <c r="G442" s="197">
        <f t="shared" si="36"/>
        <v>9.2322000000000006</v>
      </c>
      <c r="H442" s="197">
        <v>9.0356000000000005</v>
      </c>
      <c r="I442" s="197">
        <f t="shared" si="37"/>
        <v>0.19660000000000011</v>
      </c>
      <c r="J442" s="201">
        <f t="shared" si="38"/>
        <v>3.5999999999998811E-3</v>
      </c>
      <c r="K442" s="280">
        <f t="shared" si="39"/>
        <v>1.7982017982017391</v>
      </c>
      <c r="L442" s="197">
        <v>21</v>
      </c>
      <c r="M442" s="197" t="s">
        <v>2586</v>
      </c>
      <c r="N442" s="197" t="s">
        <v>2585</v>
      </c>
      <c r="O442" s="197" t="s">
        <v>2550</v>
      </c>
      <c r="AB442" s="110" t="str">
        <f>IFERROR(INDEX('WetLitterbags placem_collection'!$A$3:$A$500,MATCH(A442,'WetLitterbags placem_collection'!$K$4:$K$500,0)),"")</f>
        <v/>
      </c>
      <c r="AC442" s="110" t="str">
        <f>IFERROR(INDEX('WetLitterbags placem_collection'!$A$3:$A$500,MATCH($A442,'WetLitterbags placem_collection'!$O$4:$O$500,0)),"")</f>
        <v/>
      </c>
      <c r="AD442" s="110" t="str">
        <f>IFERROR(INDEX('WetLitterbags placem_collection'!$A$3:$A$500,MATCH($A442,'WetLitterbags placem_collection'!$M$4:$M$500,0)),"")</f>
        <v/>
      </c>
      <c r="AE442" s="110">
        <f>IFERROR(INDEX('WetLitterbags placem_collection'!$A$3:$A$500,MATCH($A442,'WetLitterbags placem_collection'!$Q$4:$Q$500,0)),"")</f>
        <v>22</v>
      </c>
    </row>
    <row r="443" spans="1:31">
      <c r="A443" s="201" t="s">
        <v>1007</v>
      </c>
      <c r="C443" s="201">
        <v>83</v>
      </c>
      <c r="D443" s="202">
        <v>0.71630000000000005</v>
      </c>
      <c r="E443" s="201">
        <v>8.7734000000000005</v>
      </c>
      <c r="F443" s="202">
        <v>0.20419999999999999</v>
      </c>
      <c r="G443" s="201">
        <f t="shared" si="36"/>
        <v>8.9776000000000007</v>
      </c>
      <c r="H443" s="201">
        <v>8.9</v>
      </c>
      <c r="I443" s="201">
        <f t="shared" si="37"/>
        <v>7.7600000000000335E-2</v>
      </c>
      <c r="J443" s="201">
        <f t="shared" si="38"/>
        <v>0.12659999999999966</v>
      </c>
      <c r="K443" s="280">
        <f t="shared" si="39"/>
        <v>61.99804113614087</v>
      </c>
      <c r="L443" s="201">
        <v>2</v>
      </c>
      <c r="M443" s="205">
        <v>43206</v>
      </c>
      <c r="N443" s="205">
        <v>43206</v>
      </c>
      <c r="O443" s="201"/>
      <c r="P443" s="201"/>
      <c r="AB443" s="110" t="str">
        <f>IFERROR(INDEX('WetLitterbags placem_collection'!$A$3:$A$500,MATCH(A443,'WetLitterbags placem_collection'!$K$4:$K$500,0)),"")</f>
        <v/>
      </c>
      <c r="AC443" s="110" t="str">
        <f>IFERROR(INDEX('WetLitterbags placem_collection'!$A$3:$A$500,MATCH($A443,'WetLitterbags placem_collection'!$O$4:$O$500,0)),"")</f>
        <v/>
      </c>
      <c r="AD443" s="110">
        <f>IFERROR(INDEX('WetLitterbags placem_collection'!$A$3:$A$500,MATCH($A443,'WetLitterbags placem_collection'!$M$4:$M$500,0)),"")</f>
        <v>82</v>
      </c>
      <c r="AE443" s="110" t="str">
        <f>IFERROR(INDEX('WetLitterbags placem_collection'!$A$3:$A$500,MATCH($A443,'WetLitterbags placem_collection'!$Q$4:$Q$500,0)),"")</f>
        <v/>
      </c>
    </row>
    <row r="444" spans="1:31">
      <c r="A444" s="206" t="s">
        <v>1006</v>
      </c>
      <c r="C444" s="201">
        <v>202</v>
      </c>
      <c r="D444" s="201">
        <v>1.3778999999999999</v>
      </c>
      <c r="E444" s="202">
        <v>10.6349</v>
      </c>
      <c r="F444" s="202">
        <v>0.2041</v>
      </c>
      <c r="G444" s="201">
        <f t="shared" si="36"/>
        <v>10.839</v>
      </c>
      <c r="H444" s="201">
        <v>10.642899999999999</v>
      </c>
      <c r="I444" s="201">
        <f t="shared" si="37"/>
        <v>0.19610000000000127</v>
      </c>
      <c r="J444" s="201">
        <f t="shared" si="38"/>
        <v>7.9999999999987303E-3</v>
      </c>
      <c r="K444" s="280">
        <f t="shared" si="39"/>
        <v>3.9196472317485203</v>
      </c>
      <c r="L444" s="201">
        <v>19</v>
      </c>
      <c r="M444" s="207">
        <v>43185.385416666664</v>
      </c>
      <c r="N444" s="201"/>
      <c r="O444" s="201" t="s">
        <v>2556</v>
      </c>
      <c r="P444" s="201"/>
      <c r="AB444" s="110" t="str">
        <f>IFERROR(INDEX('WetLitterbags placem_collection'!$A$3:$A$500,MATCH(A444,'WetLitterbags placem_collection'!$K$4:$K$500,0)),"")</f>
        <v/>
      </c>
      <c r="AC444" s="110" t="str">
        <f>IFERROR(INDEX('WetLitterbags placem_collection'!$A$3:$A$500,MATCH($A444,'WetLitterbags placem_collection'!$O$4:$O$500,0)),"")</f>
        <v/>
      </c>
      <c r="AD444" s="110">
        <f>IFERROR(INDEX('WetLitterbags placem_collection'!$A$3:$A$500,MATCH($A444,'WetLitterbags placem_collection'!$M$4:$M$500,0)),"")</f>
        <v>201</v>
      </c>
      <c r="AE444" s="110" t="str">
        <f>IFERROR(INDEX('WetLitterbags placem_collection'!$A$3:$A$500,MATCH($A444,'WetLitterbags placem_collection'!$Q$4:$Q$500,0)),"")</f>
        <v/>
      </c>
    </row>
    <row r="445" spans="1:31">
      <c r="A445" s="197" t="s">
        <v>1005</v>
      </c>
      <c r="C445" s="198">
        <v>93</v>
      </c>
      <c r="D445" s="197">
        <v>1.4095</v>
      </c>
      <c r="E445" s="201">
        <v>8.1356000000000002</v>
      </c>
      <c r="F445" s="202">
        <v>0.2069</v>
      </c>
      <c r="G445" s="201">
        <f t="shared" si="36"/>
        <v>8.3424999999999994</v>
      </c>
      <c r="H445" s="201">
        <v>8.1402000000000001</v>
      </c>
      <c r="I445" s="201">
        <f t="shared" si="37"/>
        <v>0.20229999999999926</v>
      </c>
      <c r="J445" s="201">
        <f t="shared" si="38"/>
        <v>4.6000000000007424E-3</v>
      </c>
      <c r="K445" s="280">
        <f t="shared" si="39"/>
        <v>2.2232962783957189</v>
      </c>
      <c r="L445" s="201">
        <v>30</v>
      </c>
      <c r="M445" s="204">
        <v>43212</v>
      </c>
      <c r="AB445" s="110" t="str">
        <f>IFERROR(INDEX('WetLitterbags placem_collection'!$A$3:$A$500,MATCH(A445,'WetLitterbags placem_collection'!$K$4:$K$500,0)),"")</f>
        <v/>
      </c>
      <c r="AC445" s="110" t="str">
        <f>IFERROR(INDEX('WetLitterbags placem_collection'!$A$3:$A$500,MATCH($A445,'WetLitterbags placem_collection'!$O$4:$O$500,0)),"")</f>
        <v/>
      </c>
      <c r="AD445" s="110" t="str">
        <f>IFERROR(INDEX('WetLitterbags placem_collection'!$A$3:$A$500,MATCH($A445,'WetLitterbags placem_collection'!$M$4:$M$500,0)),"")</f>
        <v/>
      </c>
      <c r="AE445" s="110">
        <f>IFERROR(INDEX('WetLitterbags placem_collection'!$A$3:$A$500,MATCH($A445,'WetLitterbags placem_collection'!$Q$4:$Q$500,0)),"")</f>
        <v>92</v>
      </c>
    </row>
    <row r="446" spans="1:31">
      <c r="A446" s="201" t="s">
        <v>1004</v>
      </c>
      <c r="C446" s="201">
        <v>77</v>
      </c>
      <c r="D446" s="201">
        <v>1.4125000000000001</v>
      </c>
      <c r="E446" s="201">
        <v>10.5098</v>
      </c>
      <c r="F446" s="202">
        <v>0.2024</v>
      </c>
      <c r="G446" s="201">
        <f t="shared" si="36"/>
        <v>10.712200000000001</v>
      </c>
      <c r="H446" s="201">
        <v>10.5337</v>
      </c>
      <c r="I446" s="201">
        <f t="shared" si="37"/>
        <v>0.17850000000000144</v>
      </c>
      <c r="J446" s="201">
        <f t="shared" si="38"/>
        <v>2.3899999999998561E-2</v>
      </c>
      <c r="K446" s="280">
        <f t="shared" si="39"/>
        <v>11.808300395256206</v>
      </c>
      <c r="L446" s="201">
        <v>33</v>
      </c>
      <c r="M446" s="205">
        <v>43187</v>
      </c>
      <c r="N446" s="205">
        <v>43187</v>
      </c>
      <c r="O446" s="201"/>
      <c r="P446" s="201"/>
      <c r="AB446" s="110" t="str">
        <f>IFERROR(INDEX('WetLitterbags placem_collection'!$A$3:$A$500,MATCH(A446,'WetLitterbags placem_collection'!$K$4:$K$500,0)),"")</f>
        <v/>
      </c>
      <c r="AC446" s="110" t="str">
        <f>IFERROR(INDEX('WetLitterbags placem_collection'!$A$3:$A$500,MATCH($A446,'WetLitterbags placem_collection'!$O$4:$O$500,0)),"")</f>
        <v/>
      </c>
      <c r="AD446" s="110">
        <f>IFERROR(INDEX('WetLitterbags placem_collection'!$A$3:$A$500,MATCH($A446,'WetLitterbags placem_collection'!$M$4:$M$500,0)),"")</f>
        <v>76</v>
      </c>
      <c r="AE446" s="110" t="str">
        <f>IFERROR(INDEX('WetLitterbags placem_collection'!$A$3:$A$500,MATCH($A446,'WetLitterbags placem_collection'!$Q$4:$Q$500,0)),"")</f>
        <v/>
      </c>
    </row>
    <row r="447" spans="1:31">
      <c r="A447" s="197" t="s">
        <v>1003</v>
      </c>
      <c r="C447" s="197">
        <v>74</v>
      </c>
      <c r="D447" s="197">
        <v>1.4245000000000001</v>
      </c>
      <c r="E447" s="197">
        <v>8.7596000000000007</v>
      </c>
      <c r="F447" s="197">
        <v>0.2034</v>
      </c>
      <c r="G447" s="197">
        <f t="shared" si="36"/>
        <v>8.963000000000001</v>
      </c>
      <c r="H447" s="197">
        <v>8.7670999999999992</v>
      </c>
      <c r="I447" s="197">
        <f t="shared" si="37"/>
        <v>0.19590000000000174</v>
      </c>
      <c r="J447" s="201">
        <f t="shared" si="38"/>
        <v>7.4999999999982581E-3</v>
      </c>
      <c r="K447" s="280">
        <f t="shared" si="39"/>
        <v>3.6873156342174327</v>
      </c>
      <c r="L447" s="197">
        <v>5</v>
      </c>
      <c r="M447" s="197" t="s">
        <v>2580</v>
      </c>
      <c r="N447" s="197" t="s">
        <v>2579</v>
      </c>
      <c r="O447" s="197" t="s">
        <v>2556</v>
      </c>
      <c r="AB447" s="110" t="str">
        <f>IFERROR(INDEX('WetLitterbags placem_collection'!$A$3:$A$500,MATCH(A447,'WetLitterbags placem_collection'!$K$4:$K$500,0)),"")</f>
        <v/>
      </c>
      <c r="AC447" s="110" t="str">
        <f>IFERROR(INDEX('WetLitterbags placem_collection'!$A$3:$A$500,MATCH($A447,'WetLitterbags placem_collection'!$O$4:$O$500,0)),"")</f>
        <v/>
      </c>
      <c r="AD447" s="110" t="str">
        <f>IFERROR(INDEX('WetLitterbags placem_collection'!$A$3:$A$500,MATCH($A447,'WetLitterbags placem_collection'!$M$4:$M$500,0)),"")</f>
        <v/>
      </c>
      <c r="AE447" s="110">
        <f>IFERROR(INDEX('WetLitterbags placem_collection'!$A$3:$A$500,MATCH($A447,'WetLitterbags placem_collection'!$Q$4:$Q$500,0)),"")</f>
        <v>73</v>
      </c>
    </row>
    <row r="448" spans="1:31">
      <c r="A448" s="197" t="s">
        <v>1002</v>
      </c>
      <c r="C448" s="198">
        <v>204</v>
      </c>
      <c r="D448" s="197">
        <v>1.4052</v>
      </c>
      <c r="E448" s="201">
        <v>8.0645000000000007</v>
      </c>
      <c r="F448" s="202">
        <v>0.20349999999999999</v>
      </c>
      <c r="G448" s="201">
        <f t="shared" si="36"/>
        <v>8.2680000000000007</v>
      </c>
      <c r="H448" s="201">
        <v>8.0704999999999991</v>
      </c>
      <c r="I448" s="201">
        <f t="shared" si="37"/>
        <v>0.19750000000000156</v>
      </c>
      <c r="J448" s="201">
        <f t="shared" si="38"/>
        <v>5.9999999999984233E-3</v>
      </c>
      <c r="K448" s="280">
        <f t="shared" si="39"/>
        <v>2.9484029484021739</v>
      </c>
      <c r="L448" s="201">
        <v>34</v>
      </c>
      <c r="M448" s="204">
        <v>43212</v>
      </c>
      <c r="AB448" s="110" t="str">
        <f>IFERROR(INDEX('WetLitterbags placem_collection'!$A$3:$A$500,MATCH(A448,'WetLitterbags placem_collection'!$K$4:$K$500,0)),"")</f>
        <v/>
      </c>
      <c r="AC448" s="110" t="str">
        <f>IFERROR(INDEX('WetLitterbags placem_collection'!$A$3:$A$500,MATCH($A448,'WetLitterbags placem_collection'!$O$4:$O$500,0)),"")</f>
        <v/>
      </c>
      <c r="AD448" s="110" t="str">
        <f>IFERROR(INDEX('WetLitterbags placem_collection'!$A$3:$A$500,MATCH($A448,'WetLitterbags placem_collection'!$M$4:$M$500,0)),"")</f>
        <v/>
      </c>
      <c r="AE448" s="110">
        <f>IFERROR(INDEX('WetLitterbags placem_collection'!$A$3:$A$500,MATCH($A448,'WetLitterbags placem_collection'!$Q$4:$Q$500,0)),"")</f>
        <v>203</v>
      </c>
    </row>
    <row r="449" spans="1:31">
      <c r="A449" s="197" t="s">
        <v>1127</v>
      </c>
      <c r="C449" s="198">
        <v>72</v>
      </c>
      <c r="D449" s="197">
        <v>1.3372999999999999</v>
      </c>
      <c r="E449" s="201">
        <v>10.901899999999999</v>
      </c>
      <c r="F449" s="202">
        <v>0.20280000000000001</v>
      </c>
      <c r="G449" s="201">
        <f t="shared" si="36"/>
        <v>11.104699999999999</v>
      </c>
      <c r="H449" s="201">
        <v>10.908099999999999</v>
      </c>
      <c r="I449" s="201">
        <f t="shared" si="37"/>
        <v>0.19660000000000011</v>
      </c>
      <c r="J449" s="201">
        <f t="shared" si="38"/>
        <v>6.1999999999999E-3</v>
      </c>
      <c r="K449" s="280">
        <f t="shared" si="39"/>
        <v>3.0571992110453157</v>
      </c>
      <c r="L449" s="201">
        <v>31</v>
      </c>
      <c r="M449" s="204">
        <v>43212</v>
      </c>
      <c r="AB449" s="110" t="str">
        <f>IFERROR(INDEX('WetLitterbags placem_collection'!$A$3:$A$500,MATCH(A449,'WetLitterbags placem_collection'!$K$4:$K$500,0)),"")</f>
        <v/>
      </c>
      <c r="AC449" s="110" t="str">
        <f>IFERROR(INDEX('WetLitterbags placem_collection'!$A$3:$A$500,MATCH($A449,'WetLitterbags placem_collection'!$O$4:$O$500,0)),"")</f>
        <v/>
      </c>
      <c r="AD449" s="110" t="str">
        <f>IFERROR(INDEX('WetLitterbags placem_collection'!$A$3:$A$500,MATCH($A449,'WetLitterbags placem_collection'!$M$4:$M$500,0)),"")</f>
        <v/>
      </c>
      <c r="AE449" s="110">
        <f>IFERROR(INDEX('WetLitterbags placem_collection'!$A$3:$A$500,MATCH($A449,'WetLitterbags placem_collection'!$Q$4:$Q$500,0)),"")</f>
        <v>71</v>
      </c>
    </row>
    <row r="450" spans="1:31">
      <c r="A450" s="197" t="s">
        <v>1000</v>
      </c>
      <c r="C450" s="198">
        <v>31</v>
      </c>
      <c r="D450" s="197">
        <v>1.0949</v>
      </c>
      <c r="E450" s="202">
        <v>9.6783999999999999</v>
      </c>
      <c r="F450" s="202">
        <v>0.2054</v>
      </c>
      <c r="G450" s="201">
        <f t="shared" si="36"/>
        <v>9.883799999999999</v>
      </c>
      <c r="H450" s="201">
        <v>9.6898</v>
      </c>
      <c r="I450" s="201">
        <f t="shared" si="37"/>
        <v>0.19399999999999906</v>
      </c>
      <c r="J450" s="201">
        <f t="shared" si="38"/>
        <v>1.1400000000000937E-2</v>
      </c>
      <c r="K450" s="280">
        <f t="shared" si="39"/>
        <v>5.5501460564756266</v>
      </c>
      <c r="L450" s="201">
        <v>7</v>
      </c>
      <c r="AB450" s="110" t="str">
        <f>IFERROR(INDEX('WetLitterbags placem_collection'!$A$3:$A$500,MATCH(A450,'WetLitterbags placem_collection'!$K$4:$K$500,0)),"")</f>
        <v/>
      </c>
      <c r="AC450" s="110" t="str">
        <f>IFERROR(INDEX('WetLitterbags placem_collection'!$A$3:$A$500,MATCH($A450,'WetLitterbags placem_collection'!$O$4:$O$500,0)),"")</f>
        <v/>
      </c>
      <c r="AD450" s="110">
        <f>IFERROR(INDEX('WetLitterbags placem_collection'!$A$3:$A$500,MATCH($A450,'WetLitterbags placem_collection'!$M$4:$M$500,0)),"")</f>
        <v>30</v>
      </c>
      <c r="AE450" s="110" t="str">
        <f>IFERROR(INDEX('WetLitterbags placem_collection'!$A$3:$A$500,MATCH($A450,'WetLitterbags placem_collection'!$Q$4:$Q$500,0)),"")</f>
        <v/>
      </c>
    </row>
    <row r="451" spans="1:31">
      <c r="A451" s="201" t="s">
        <v>999</v>
      </c>
      <c r="C451" s="201">
        <v>209</v>
      </c>
      <c r="D451" s="201">
        <v>1.3449</v>
      </c>
      <c r="E451" s="201">
        <v>11.0547</v>
      </c>
      <c r="F451" s="201">
        <v>0.20760000000000001</v>
      </c>
      <c r="G451" s="201">
        <f t="shared" si="36"/>
        <v>11.2623</v>
      </c>
      <c r="H451" s="201">
        <v>11.0677</v>
      </c>
      <c r="I451" s="201">
        <f t="shared" si="37"/>
        <v>0.19459999999999944</v>
      </c>
      <c r="J451" s="201">
        <f t="shared" si="38"/>
        <v>1.3000000000000567E-2</v>
      </c>
      <c r="K451" s="280">
        <f t="shared" si="39"/>
        <v>6.2620423892102917</v>
      </c>
      <c r="L451" s="201">
        <v>1</v>
      </c>
      <c r="M451" s="205">
        <v>43174</v>
      </c>
      <c r="N451" s="205">
        <v>43174</v>
      </c>
      <c r="O451" s="201" t="s">
        <v>2556</v>
      </c>
      <c r="P451" s="201" t="s">
        <v>2555</v>
      </c>
      <c r="AB451" s="110" t="str">
        <f>IFERROR(INDEX('WetLitterbags placem_collection'!$A$3:$A$500,MATCH(A451,'WetLitterbags placem_collection'!$K$4:$K$500,0)),"")</f>
        <v/>
      </c>
      <c r="AC451" s="110" t="str">
        <f>IFERROR(INDEX('WetLitterbags placem_collection'!$A$3:$A$500,MATCH($A451,'WetLitterbags placem_collection'!$O$4:$O$500,0)),"")</f>
        <v/>
      </c>
      <c r="AD451" s="110" t="str">
        <f>IFERROR(INDEX('WetLitterbags placem_collection'!$A$3:$A$500,MATCH($A451,'WetLitterbags placem_collection'!$M$4:$M$500,0)),"")</f>
        <v/>
      </c>
      <c r="AE451" s="110">
        <f>IFERROR(INDEX('WetLitterbags placem_collection'!$A$3:$A$500,MATCH($A451,'WetLitterbags placem_collection'!$Q$4:$Q$500,0)),"")</f>
        <v>208</v>
      </c>
    </row>
    <row r="452" spans="1:31">
      <c r="A452" s="197" t="s">
        <v>998</v>
      </c>
      <c r="C452" s="197">
        <v>61</v>
      </c>
      <c r="D452" s="197">
        <v>1.3476999999999999</v>
      </c>
      <c r="E452" s="197">
        <v>9.1336999999999993</v>
      </c>
      <c r="F452" s="197">
        <v>0.2026</v>
      </c>
      <c r="G452" s="197">
        <f t="shared" si="36"/>
        <v>9.3362999999999996</v>
      </c>
      <c r="H452" s="197">
        <v>9.1452000000000009</v>
      </c>
      <c r="I452" s="197">
        <f t="shared" si="37"/>
        <v>0.19109999999999872</v>
      </c>
      <c r="J452" s="201">
        <f t="shared" si="38"/>
        <v>1.1500000000001287E-2</v>
      </c>
      <c r="K452" s="280">
        <f t="shared" si="39"/>
        <v>5.6762092793688481</v>
      </c>
      <c r="L452" s="197">
        <v>40</v>
      </c>
      <c r="M452" s="197" t="s">
        <v>2586</v>
      </c>
      <c r="N452" s="197" t="s">
        <v>2585</v>
      </c>
      <c r="O452" s="197" t="s">
        <v>2550</v>
      </c>
      <c r="AB452" s="110" t="str">
        <f>IFERROR(INDEX('WetLitterbags placem_collection'!$A$3:$A$500,MATCH(A452,'WetLitterbags placem_collection'!$K$4:$K$500,0)),"")</f>
        <v/>
      </c>
      <c r="AC452" s="110" t="str">
        <f>IFERROR(INDEX('WetLitterbags placem_collection'!$A$3:$A$500,MATCH($A452,'WetLitterbags placem_collection'!$O$4:$O$500,0)),"")</f>
        <v/>
      </c>
      <c r="AD452" s="110" t="str">
        <f>IFERROR(INDEX('WetLitterbags placem_collection'!$A$3:$A$500,MATCH($A452,'WetLitterbags placem_collection'!$M$4:$M$500,0)),"")</f>
        <v/>
      </c>
      <c r="AE452" s="110">
        <f>IFERROR(INDEX('WetLitterbags placem_collection'!$A$3:$A$500,MATCH($A452,'WetLitterbags placem_collection'!$Q$4:$Q$500,0)),"")</f>
        <v>60</v>
      </c>
    </row>
    <row r="453" spans="1:31">
      <c r="A453" s="197" t="s">
        <v>997</v>
      </c>
      <c r="C453" s="198">
        <v>24</v>
      </c>
      <c r="D453" s="201">
        <v>1.3768</v>
      </c>
      <c r="E453" s="202">
        <v>7.0932000000000004</v>
      </c>
      <c r="F453" s="202">
        <v>0.2034</v>
      </c>
      <c r="G453" s="201">
        <f t="shared" si="36"/>
        <v>7.2966000000000006</v>
      </c>
      <c r="H453" s="201">
        <v>7.1032999999999999</v>
      </c>
      <c r="I453" s="201">
        <f t="shared" si="37"/>
        <v>0.19330000000000069</v>
      </c>
      <c r="J453" s="201">
        <f t="shared" si="38"/>
        <v>1.0099999999999304E-2</v>
      </c>
      <c r="K453" s="280">
        <f t="shared" si="39"/>
        <v>4.9655850540802868</v>
      </c>
      <c r="L453" s="201">
        <v>22</v>
      </c>
      <c r="M453" s="204">
        <v>43213</v>
      </c>
      <c r="N453" s="204">
        <v>43213</v>
      </c>
      <c r="Q453" s="197" t="s">
        <v>2571</v>
      </c>
      <c r="R453" s="209"/>
      <c r="AB453" s="110" t="str">
        <f>IFERROR(INDEX('WetLitterbags placem_collection'!$A$3:$A$500,MATCH(A453,'WetLitterbags placem_collection'!$K$4:$K$500,0)),"")</f>
        <v/>
      </c>
      <c r="AC453" s="110" t="str">
        <f>IFERROR(INDEX('WetLitterbags placem_collection'!$A$3:$A$500,MATCH($A453,'WetLitterbags placem_collection'!$O$4:$O$500,0)),"")</f>
        <v/>
      </c>
      <c r="AD453" s="110">
        <f>IFERROR(INDEX('WetLitterbags placem_collection'!$A$3:$A$500,MATCH($A453,'WetLitterbags placem_collection'!$M$4:$M$500,0)),"")</f>
        <v>23</v>
      </c>
      <c r="AE453" s="110" t="str">
        <f>IFERROR(INDEX('WetLitterbags placem_collection'!$A$3:$A$500,MATCH($A453,'WetLitterbags placem_collection'!$Q$4:$Q$500,0)),"")</f>
        <v/>
      </c>
    </row>
    <row r="454" spans="1:31">
      <c r="A454" s="197" t="s">
        <v>996</v>
      </c>
      <c r="C454" s="197">
        <v>215</v>
      </c>
      <c r="D454" s="197">
        <v>1.3466</v>
      </c>
      <c r="E454" s="202">
        <v>7.7739000000000003</v>
      </c>
      <c r="F454" s="202">
        <v>0.20599999999999999</v>
      </c>
      <c r="G454" s="201">
        <f t="shared" si="36"/>
        <v>7.9799000000000007</v>
      </c>
      <c r="H454" s="201">
        <v>7.7789000000000001</v>
      </c>
      <c r="I454" s="201">
        <f t="shared" si="37"/>
        <v>0.20100000000000051</v>
      </c>
      <c r="J454" s="201">
        <f t="shared" si="38"/>
        <v>4.9999999999994771E-3</v>
      </c>
      <c r="K454" s="280">
        <f t="shared" si="39"/>
        <v>2.4271844660191637</v>
      </c>
      <c r="L454" s="201">
        <v>11</v>
      </c>
      <c r="AB454" s="110" t="str">
        <f>IFERROR(INDEX('WetLitterbags placem_collection'!$A$3:$A$500,MATCH(A454,'WetLitterbags placem_collection'!$K$4:$K$500,0)),"")</f>
        <v/>
      </c>
      <c r="AC454" s="110" t="str">
        <f>IFERROR(INDEX('WetLitterbags placem_collection'!$A$3:$A$500,MATCH($A454,'WetLitterbags placem_collection'!$O$4:$O$500,0)),"")</f>
        <v/>
      </c>
      <c r="AD454" s="110">
        <f>IFERROR(INDEX('WetLitterbags placem_collection'!$A$3:$A$500,MATCH($A454,'WetLitterbags placem_collection'!$M$4:$M$500,0)),"")</f>
        <v>214</v>
      </c>
      <c r="AE454" s="110" t="str">
        <f>IFERROR(INDEX('WetLitterbags placem_collection'!$A$3:$A$500,MATCH($A454,'WetLitterbags placem_collection'!$Q$4:$Q$500,0)),"")</f>
        <v/>
      </c>
    </row>
    <row r="455" spans="1:31">
      <c r="A455" s="206" t="s">
        <v>995</v>
      </c>
      <c r="C455" s="201">
        <v>47</v>
      </c>
      <c r="D455" s="201">
        <v>1.4187000000000001</v>
      </c>
      <c r="E455" s="202">
        <v>9.5541</v>
      </c>
      <c r="F455" s="202">
        <v>0.2079</v>
      </c>
      <c r="G455" s="201">
        <f t="shared" si="36"/>
        <v>9.7620000000000005</v>
      </c>
      <c r="H455" s="201">
        <v>9.5693999999999999</v>
      </c>
      <c r="I455" s="201">
        <f t="shared" si="37"/>
        <v>0.19260000000000055</v>
      </c>
      <c r="J455" s="201">
        <f t="shared" si="38"/>
        <v>1.5299999999999453E-2</v>
      </c>
      <c r="K455" s="280">
        <f t="shared" si="39"/>
        <v>7.3593073593070963</v>
      </c>
      <c r="L455" s="201">
        <v>30</v>
      </c>
      <c r="M455" s="205">
        <v>43188</v>
      </c>
      <c r="N455" s="205">
        <v>43188</v>
      </c>
      <c r="O455" s="201"/>
      <c r="P455" s="201"/>
      <c r="AB455" s="110" t="str">
        <f>IFERROR(INDEX('WetLitterbags placem_collection'!$A$3:$A$500,MATCH(A455,'WetLitterbags placem_collection'!$K$4:$K$500,0)),"")</f>
        <v/>
      </c>
      <c r="AC455" s="110" t="str">
        <f>IFERROR(INDEX('WetLitterbags placem_collection'!$A$3:$A$500,MATCH($A455,'WetLitterbags placem_collection'!$O$4:$O$500,0)),"")</f>
        <v/>
      </c>
      <c r="AD455" s="110">
        <f>IFERROR(INDEX('WetLitterbags placem_collection'!$A$3:$A$500,MATCH($A455,'WetLitterbags placem_collection'!$M$4:$M$500,0)),"")</f>
        <v>46</v>
      </c>
      <c r="AE455" s="110" t="str">
        <f>IFERROR(INDEX('WetLitterbags placem_collection'!$A$3:$A$500,MATCH($A455,'WetLitterbags placem_collection'!$Q$4:$Q$500,0)),"")</f>
        <v/>
      </c>
    </row>
    <row r="456" spans="1:31">
      <c r="A456" s="206" t="s">
        <v>994</v>
      </c>
      <c r="C456" s="201">
        <v>38</v>
      </c>
      <c r="D456" s="201">
        <v>1.1283000000000001</v>
      </c>
      <c r="E456" s="201">
        <v>8.8604000000000003</v>
      </c>
      <c r="F456" s="201">
        <v>0.2074</v>
      </c>
      <c r="G456" s="201">
        <f t="shared" si="36"/>
        <v>9.0678000000000001</v>
      </c>
      <c r="H456" s="201">
        <v>8.8747000000000007</v>
      </c>
      <c r="I456" s="201">
        <f t="shared" si="37"/>
        <v>0.19309999999999938</v>
      </c>
      <c r="J456" s="201">
        <f t="shared" si="38"/>
        <v>1.4300000000000618E-2</v>
      </c>
      <c r="K456" s="280">
        <f t="shared" si="39"/>
        <v>6.8948891031825541</v>
      </c>
      <c r="L456" s="201">
        <v>26</v>
      </c>
      <c r="M456" s="205">
        <v>43188</v>
      </c>
      <c r="N456" s="205">
        <v>43188</v>
      </c>
      <c r="O456" s="201"/>
      <c r="P456" s="201"/>
      <c r="AB456" s="110" t="str">
        <f>IFERROR(INDEX('WetLitterbags placem_collection'!$A$3:$A$500,MATCH(A456,'WetLitterbags placem_collection'!$K$4:$K$500,0)),"")</f>
        <v/>
      </c>
      <c r="AC456" s="110" t="str">
        <f>IFERROR(INDEX('WetLitterbags placem_collection'!$A$3:$A$500,MATCH($A456,'WetLitterbags placem_collection'!$O$4:$O$500,0)),"")</f>
        <v/>
      </c>
      <c r="AD456" s="110" t="str">
        <f>IFERROR(INDEX('WetLitterbags placem_collection'!$A$3:$A$500,MATCH($A456,'WetLitterbags placem_collection'!$M$4:$M$500,0)),"")</f>
        <v/>
      </c>
      <c r="AE456" s="110">
        <f>IFERROR(INDEX('WetLitterbags placem_collection'!$A$3:$A$500,MATCH($A456,'WetLitterbags placem_collection'!$Q$4:$Q$500,0)),"")</f>
        <v>37</v>
      </c>
    </row>
    <row r="457" spans="1:31">
      <c r="A457" s="197" t="s">
        <v>993</v>
      </c>
      <c r="C457" s="198">
        <v>26</v>
      </c>
      <c r="D457" s="197">
        <v>1.3535999999999999</v>
      </c>
      <c r="E457" s="202">
        <v>10.2719</v>
      </c>
      <c r="F457" s="202">
        <v>0.20019999999999999</v>
      </c>
      <c r="G457" s="201">
        <f t="shared" si="36"/>
        <v>10.472100000000001</v>
      </c>
      <c r="H457" s="201">
        <v>10.278600000000001</v>
      </c>
      <c r="I457" s="201">
        <f t="shared" si="37"/>
        <v>0.19350000000000023</v>
      </c>
      <c r="J457" s="201">
        <f t="shared" si="38"/>
        <v>6.6999999999997617E-3</v>
      </c>
      <c r="K457" s="280">
        <f t="shared" si="39"/>
        <v>3.3466533466532278</v>
      </c>
      <c r="L457" s="201">
        <v>27</v>
      </c>
      <c r="AB457" s="110" t="str">
        <f>IFERROR(INDEX('WetLitterbags placem_collection'!$A$3:$A$500,MATCH(A457,'WetLitterbags placem_collection'!$K$4:$K$500,0)),"")</f>
        <v/>
      </c>
      <c r="AC457" s="110" t="str">
        <f>IFERROR(INDEX('WetLitterbags placem_collection'!$A$3:$A$500,MATCH($A457,'WetLitterbags placem_collection'!$O$4:$O$500,0)),"")</f>
        <v/>
      </c>
      <c r="AD457" s="110">
        <f>IFERROR(INDEX('WetLitterbags placem_collection'!$A$3:$A$500,MATCH($A457,'WetLitterbags placem_collection'!$M$4:$M$500,0)),"")</f>
        <v>25</v>
      </c>
      <c r="AE457" s="110" t="str">
        <f>IFERROR(INDEX('WetLitterbags placem_collection'!$A$3:$A$500,MATCH($A457,'WetLitterbags placem_collection'!$Q$4:$Q$500,0)),"")</f>
        <v/>
      </c>
    </row>
    <row r="458" spans="1:31">
      <c r="A458" s="201" t="s">
        <v>992</v>
      </c>
      <c r="C458" s="201">
        <v>207</v>
      </c>
      <c r="D458" s="201">
        <v>1.1487000000000001</v>
      </c>
      <c r="E458" s="202">
        <v>10.565200000000001</v>
      </c>
      <c r="F458" s="202">
        <v>0.20499999999999999</v>
      </c>
      <c r="G458" s="201">
        <f t="shared" si="36"/>
        <v>10.770200000000001</v>
      </c>
      <c r="H458" s="201">
        <v>10.5845</v>
      </c>
      <c r="I458" s="201">
        <f t="shared" si="37"/>
        <v>0.18570000000000064</v>
      </c>
      <c r="J458" s="201">
        <f t="shared" si="38"/>
        <v>1.9299999999999345E-2</v>
      </c>
      <c r="K458" s="280">
        <f t="shared" si="39"/>
        <v>9.4146341463411449</v>
      </c>
      <c r="L458" s="201">
        <v>5</v>
      </c>
      <c r="M458" s="205">
        <v>43197</v>
      </c>
      <c r="N458" s="205">
        <v>43197</v>
      </c>
      <c r="O458" s="201"/>
      <c r="P458" s="201"/>
      <c r="AB458" s="110" t="str">
        <f>IFERROR(INDEX('WetLitterbags placem_collection'!$A$3:$A$500,MATCH(A458,'WetLitterbags placem_collection'!$K$4:$K$500,0)),"")</f>
        <v/>
      </c>
      <c r="AC458" s="110" t="str">
        <f>IFERROR(INDEX('WetLitterbags placem_collection'!$A$3:$A$500,MATCH($A458,'WetLitterbags placem_collection'!$O$4:$O$500,0)),"")</f>
        <v/>
      </c>
      <c r="AD458" s="110" t="str">
        <f>IFERROR(INDEX('WetLitterbags placem_collection'!$A$3:$A$500,MATCH($A458,'WetLitterbags placem_collection'!$M$4:$M$500,0)),"")</f>
        <v/>
      </c>
      <c r="AE458" s="110">
        <f>IFERROR(INDEX('WetLitterbags placem_collection'!$A$3:$A$500,MATCH($A458,'WetLitterbags placem_collection'!$Q$4:$Q$500,0)),"")</f>
        <v>206</v>
      </c>
    </row>
    <row r="459" spans="1:31">
      <c r="A459" s="206" t="s">
        <v>1126</v>
      </c>
      <c r="C459" s="201">
        <v>144</v>
      </c>
      <c r="D459" s="201">
        <v>1.3636999999999999</v>
      </c>
      <c r="E459" s="202">
        <v>7.8712</v>
      </c>
      <c r="F459" s="202">
        <v>0.20200000000000001</v>
      </c>
      <c r="G459" s="201">
        <f t="shared" si="36"/>
        <v>8.0731999999999999</v>
      </c>
      <c r="H459" s="201">
        <v>7.8936999999999999</v>
      </c>
      <c r="I459" s="201">
        <f t="shared" si="37"/>
        <v>0.17949999999999999</v>
      </c>
      <c r="J459" s="201">
        <f t="shared" si="38"/>
        <v>2.250000000000002E-2</v>
      </c>
      <c r="K459" s="280">
        <f t="shared" si="39"/>
        <v>11.138613861386148</v>
      </c>
      <c r="L459" s="201">
        <v>1</v>
      </c>
      <c r="M459" s="205">
        <v>43197</v>
      </c>
      <c r="N459" s="205">
        <v>43197</v>
      </c>
      <c r="O459" s="201"/>
      <c r="P459" s="201"/>
      <c r="AB459" s="110" t="str">
        <f>IFERROR(INDEX('WetLitterbags placem_collection'!$A$3:$A$500,MATCH(A459,'WetLitterbags placem_collection'!$K$4:$K$500,0)),"")</f>
        <v/>
      </c>
      <c r="AC459" s="110" t="str">
        <f>IFERROR(INDEX('WetLitterbags placem_collection'!$A$3:$A$500,MATCH($A459,'WetLitterbags placem_collection'!$O$4:$O$500,0)),"")</f>
        <v/>
      </c>
      <c r="AD459" s="110" t="str">
        <f>IFERROR(INDEX('WetLitterbags placem_collection'!$A$3:$A$500,MATCH($A459,'WetLitterbags placem_collection'!$M$4:$M$500,0)),"")</f>
        <v/>
      </c>
      <c r="AE459" s="110">
        <f>IFERROR(INDEX('WetLitterbags placem_collection'!$A$3:$A$500,MATCH($A459,'WetLitterbags placem_collection'!$Q$4:$Q$500,0)),"")</f>
        <v>143</v>
      </c>
    </row>
    <row r="460" spans="1:31">
      <c r="A460" s="197" t="s">
        <v>991</v>
      </c>
      <c r="C460" s="197">
        <v>66</v>
      </c>
      <c r="D460" s="197">
        <v>0</v>
      </c>
      <c r="E460" s="202">
        <v>0</v>
      </c>
      <c r="F460" s="202">
        <v>0</v>
      </c>
      <c r="G460" s="201">
        <f t="shared" si="36"/>
        <v>0</v>
      </c>
      <c r="J460" s="201">
        <f t="shared" si="38"/>
        <v>0</v>
      </c>
      <c r="K460" s="280" t="e">
        <f t="shared" si="39"/>
        <v>#DIV/0!</v>
      </c>
      <c r="L460" s="201">
        <v>0</v>
      </c>
      <c r="AB460" s="110" t="str">
        <f>IFERROR(INDEX('WetLitterbags placem_collection'!$A$3:$A$500,MATCH(A460,'WetLitterbags placem_collection'!$K$4:$K$500,0)),"")</f>
        <v/>
      </c>
      <c r="AC460" s="110" t="str">
        <f>IFERROR(INDEX('WetLitterbags placem_collection'!$A$3:$A$500,MATCH($A460,'WetLitterbags placem_collection'!$O$4:$O$500,0)),"")</f>
        <v/>
      </c>
      <c r="AD460" s="110">
        <f>IFERROR(INDEX('WetLitterbags placem_collection'!$A$3:$A$500,MATCH($A460,'WetLitterbags placem_collection'!$M$4:$M$500,0)),"")</f>
        <v>65</v>
      </c>
      <c r="AE460" s="110" t="str">
        <f>IFERROR(INDEX('WetLitterbags placem_collection'!$A$3:$A$500,MATCH($A460,'WetLitterbags placem_collection'!$Q$4:$Q$500,0)),"")</f>
        <v/>
      </c>
    </row>
    <row r="461" spans="1:31">
      <c r="A461" s="206" t="s">
        <v>990</v>
      </c>
      <c r="C461" s="201">
        <v>70</v>
      </c>
      <c r="D461" s="201">
        <v>1.1900999999999999</v>
      </c>
      <c r="E461" s="202">
        <v>7.8391000000000002</v>
      </c>
      <c r="F461" s="202">
        <v>0.20180000000000001</v>
      </c>
      <c r="G461" s="201">
        <f t="shared" si="36"/>
        <v>8.0409000000000006</v>
      </c>
      <c r="H461" s="201">
        <v>8.0188000000000006</v>
      </c>
      <c r="I461" s="201">
        <f t="shared" ref="I461:I492" si="40">(G461-H461)</f>
        <v>2.2100000000000009E-2</v>
      </c>
      <c r="J461" s="201">
        <f t="shared" si="38"/>
        <v>0.1797</v>
      </c>
      <c r="K461" s="280">
        <f t="shared" si="39"/>
        <v>89.048562933597623</v>
      </c>
      <c r="L461" s="201">
        <v>10</v>
      </c>
      <c r="M461" s="203">
        <v>43181.645833333336</v>
      </c>
      <c r="N461" s="203">
        <v>43181.833333333336</v>
      </c>
      <c r="O461" s="201" t="s">
        <v>2556</v>
      </c>
      <c r="P461" s="201"/>
      <c r="AB461" s="110" t="str">
        <f>IFERROR(INDEX('WetLitterbags placem_collection'!$A$3:$A$500,MATCH(A461,'WetLitterbags placem_collection'!$K$4:$K$500,0)),"")</f>
        <v/>
      </c>
      <c r="AC461" s="110" t="str">
        <f>IFERROR(INDEX('WetLitterbags placem_collection'!$A$3:$A$500,MATCH($A461,'WetLitterbags placem_collection'!$O$4:$O$500,0)),"")</f>
        <v/>
      </c>
      <c r="AD461" s="110">
        <f>IFERROR(INDEX('WetLitterbags placem_collection'!$A$3:$A$500,MATCH($A461,'WetLitterbags placem_collection'!$M$4:$M$500,0)),"")</f>
        <v>69</v>
      </c>
      <c r="AE461" s="110" t="str">
        <f>IFERROR(INDEX('WetLitterbags placem_collection'!$A$3:$A$500,MATCH($A461,'WetLitterbags placem_collection'!$Q$4:$Q$500,0)),"")</f>
        <v/>
      </c>
    </row>
    <row r="462" spans="1:31">
      <c r="A462" s="197" t="s">
        <v>987</v>
      </c>
      <c r="C462" s="198">
        <v>16</v>
      </c>
      <c r="D462" s="197">
        <v>1.2141</v>
      </c>
      <c r="E462" s="202">
        <v>7.8715999999999999</v>
      </c>
      <c r="F462" s="202">
        <v>0.20699999999999999</v>
      </c>
      <c r="G462" s="201">
        <f t="shared" si="36"/>
        <v>8.0785999999999998</v>
      </c>
      <c r="H462" s="201">
        <v>7.88</v>
      </c>
      <c r="I462" s="201">
        <f t="shared" si="40"/>
        <v>0.19859999999999989</v>
      </c>
      <c r="J462" s="201">
        <f t="shared" si="38"/>
        <v>8.4000000000001018E-3</v>
      </c>
      <c r="K462" s="280">
        <f t="shared" si="39"/>
        <v>4.0579710144928036</v>
      </c>
      <c r="L462" s="201">
        <v>20</v>
      </c>
      <c r="AB462" s="110" t="str">
        <f>IFERROR(INDEX('WetLitterbags placem_collection'!$A$3:$A$500,MATCH(A462,'WetLitterbags placem_collection'!$K$4:$K$500,0)),"")</f>
        <v/>
      </c>
      <c r="AC462" s="110" t="str">
        <f>IFERROR(INDEX('WetLitterbags placem_collection'!$A$3:$A$500,MATCH($A462,'WetLitterbags placem_collection'!$O$4:$O$500,0)),"")</f>
        <v/>
      </c>
      <c r="AD462" s="110" t="str">
        <f>IFERROR(INDEX('WetLitterbags placem_collection'!$A$3:$A$500,MATCH($A462,'WetLitterbags placem_collection'!$M$4:$M$500,0)),"")</f>
        <v/>
      </c>
      <c r="AE462" s="110">
        <f>IFERROR(INDEX('WetLitterbags placem_collection'!$A$3:$A$500,MATCH($A462,'WetLitterbags placem_collection'!$Q$4:$Q$500,0)),"")</f>
        <v>15</v>
      </c>
    </row>
    <row r="463" spans="1:31">
      <c r="A463" s="197" t="s">
        <v>986</v>
      </c>
      <c r="C463" s="198">
        <v>49</v>
      </c>
      <c r="D463" s="197">
        <v>1.3464</v>
      </c>
      <c r="E463" s="201">
        <v>10.7395</v>
      </c>
      <c r="F463" s="202">
        <v>0.19989999999999999</v>
      </c>
      <c r="G463" s="201">
        <f t="shared" si="36"/>
        <v>10.939399999999999</v>
      </c>
      <c r="H463" s="201">
        <v>10.760899999999999</v>
      </c>
      <c r="I463" s="201">
        <f t="shared" si="40"/>
        <v>0.17849999999999966</v>
      </c>
      <c r="J463" s="201">
        <f t="shared" si="38"/>
        <v>2.1400000000000335E-2</v>
      </c>
      <c r="K463" s="280">
        <f t="shared" si="39"/>
        <v>10.705352676338336</v>
      </c>
      <c r="L463" s="201">
        <v>28</v>
      </c>
      <c r="M463" s="204">
        <v>43212</v>
      </c>
      <c r="R463" s="197">
        <v>4</v>
      </c>
      <c r="S463" s="197">
        <v>0.63580000000000003</v>
      </c>
      <c r="U463" s="202" t="s">
        <v>683</v>
      </c>
      <c r="V463" s="197">
        <v>0.87729999999999997</v>
      </c>
      <c r="W463" s="197">
        <f>(V463-$T$175+F461)</f>
        <v>1.0790999999999999</v>
      </c>
      <c r="AB463" s="110" t="str">
        <f>IFERROR(INDEX('WetLitterbags placem_collection'!$A$3:$A$500,MATCH(A463,'WetLitterbags placem_collection'!$K$4:$K$500,0)),"")</f>
        <v/>
      </c>
      <c r="AC463" s="110" t="str">
        <f>IFERROR(INDEX('WetLitterbags placem_collection'!$A$3:$A$500,MATCH($A463,'WetLitterbags placem_collection'!$O$4:$O$500,0)),"")</f>
        <v/>
      </c>
      <c r="AD463" s="110" t="str">
        <f>IFERROR(INDEX('WetLitterbags placem_collection'!$A$3:$A$500,MATCH($A463,'WetLitterbags placem_collection'!$M$4:$M$500,0)),"")</f>
        <v/>
      </c>
      <c r="AE463" s="110">
        <f>IFERROR(INDEX('WetLitterbags placem_collection'!$A$3:$A$500,MATCH($A463,'WetLitterbags placem_collection'!$Q$4:$Q$500,0)),"")</f>
        <v>48</v>
      </c>
    </row>
    <row r="464" spans="1:31">
      <c r="A464" s="197" t="s">
        <v>985</v>
      </c>
      <c r="C464" s="198">
        <v>32</v>
      </c>
      <c r="D464" s="197">
        <v>1.0456000000000001</v>
      </c>
      <c r="E464" s="202">
        <v>10.153499999999999</v>
      </c>
      <c r="F464" s="202">
        <v>0.20519999999999999</v>
      </c>
      <c r="G464" s="201">
        <f t="shared" si="36"/>
        <v>10.358699999999999</v>
      </c>
      <c r="H464" s="201">
        <v>10.164899999999999</v>
      </c>
      <c r="I464" s="201">
        <f t="shared" si="40"/>
        <v>0.19379999999999953</v>
      </c>
      <c r="J464" s="201">
        <f t="shared" si="38"/>
        <v>1.1400000000000465E-2</v>
      </c>
      <c r="K464" s="280">
        <f t="shared" si="39"/>
        <v>5.5555555555557818</v>
      </c>
      <c r="L464" s="201">
        <v>25</v>
      </c>
      <c r="AB464" s="110" t="str">
        <f>IFERROR(INDEX('WetLitterbags placem_collection'!$A$3:$A$500,MATCH(A464,'WetLitterbags placem_collection'!$K$4:$K$500,0)),"")</f>
        <v/>
      </c>
      <c r="AC464" s="110" t="str">
        <f>IFERROR(INDEX('WetLitterbags placem_collection'!$A$3:$A$500,MATCH($A464,'WetLitterbags placem_collection'!$O$4:$O$500,0)),"")</f>
        <v/>
      </c>
      <c r="AD464" s="110" t="str">
        <f>IFERROR(INDEX('WetLitterbags placem_collection'!$A$3:$A$500,MATCH($A464,'WetLitterbags placem_collection'!$M$4:$M$500,0)),"")</f>
        <v/>
      </c>
      <c r="AE464" s="110">
        <f>IFERROR(INDEX('WetLitterbags placem_collection'!$A$3:$A$500,MATCH($A464,'WetLitterbags placem_collection'!$Q$4:$Q$500,0)),"")</f>
        <v>31</v>
      </c>
    </row>
    <row r="465" spans="1:31">
      <c r="A465" s="201" t="s">
        <v>984</v>
      </c>
      <c r="C465" s="201">
        <v>172</v>
      </c>
      <c r="D465" s="201">
        <f>1.2551+F465</f>
        <v>1.4623000000000002</v>
      </c>
      <c r="E465" s="202">
        <v>9.0211000000000006</v>
      </c>
      <c r="F465" s="202">
        <v>0.2072</v>
      </c>
      <c r="G465" s="201">
        <f t="shared" si="36"/>
        <v>9.2283000000000008</v>
      </c>
      <c r="H465" s="201">
        <v>9.0306999999999995</v>
      </c>
      <c r="I465" s="201">
        <f t="shared" si="40"/>
        <v>0.19760000000000133</v>
      </c>
      <c r="J465" s="201">
        <f t="shared" si="38"/>
        <v>9.5999999999986652E-3</v>
      </c>
      <c r="K465" s="280">
        <f t="shared" si="39"/>
        <v>4.6332046332039889</v>
      </c>
      <c r="L465" s="201">
        <v>22</v>
      </c>
      <c r="M465" s="205">
        <v>43174</v>
      </c>
      <c r="N465" s="205">
        <v>43174</v>
      </c>
      <c r="O465" s="201" t="s">
        <v>2556</v>
      </c>
      <c r="P465" s="201" t="s">
        <v>2551</v>
      </c>
      <c r="AB465" s="110" t="str">
        <f>IFERROR(INDEX('WetLitterbags placem_collection'!$A$3:$A$500,MATCH(A465,'WetLitterbags placem_collection'!$K$4:$K$500,0)),"")</f>
        <v/>
      </c>
      <c r="AC465" s="110" t="str">
        <f>IFERROR(INDEX('WetLitterbags placem_collection'!$A$3:$A$500,MATCH($A465,'WetLitterbags placem_collection'!$O$4:$O$500,0)),"")</f>
        <v/>
      </c>
      <c r="AD465" s="110">
        <f>IFERROR(INDEX('WetLitterbags placem_collection'!$A$3:$A$500,MATCH($A465,'WetLitterbags placem_collection'!$M$4:$M$500,0)),"")</f>
        <v>171</v>
      </c>
      <c r="AE465" s="110" t="str">
        <f>IFERROR(INDEX('WetLitterbags placem_collection'!$A$3:$A$500,MATCH($A465,'WetLitterbags placem_collection'!$Q$4:$Q$500,0)),"")</f>
        <v/>
      </c>
    </row>
    <row r="466" spans="1:31">
      <c r="A466" s="206" t="s">
        <v>982</v>
      </c>
      <c r="C466" s="201">
        <v>64</v>
      </c>
      <c r="D466" s="202">
        <v>0.96220000000000006</v>
      </c>
      <c r="E466" s="201">
        <v>8.0883000000000003</v>
      </c>
      <c r="F466" s="202">
        <v>0.2029</v>
      </c>
      <c r="G466" s="201">
        <f t="shared" si="36"/>
        <v>8.2911999999999999</v>
      </c>
      <c r="H466" s="201">
        <v>8.2555999999999994</v>
      </c>
      <c r="I466" s="201">
        <f t="shared" si="40"/>
        <v>3.560000000000052E-2</v>
      </c>
      <c r="J466" s="201">
        <f t="shared" si="38"/>
        <v>0.16729999999999948</v>
      </c>
      <c r="K466" s="280">
        <f t="shared" si="39"/>
        <v>82.454411039920885</v>
      </c>
      <c r="L466" s="201">
        <v>18</v>
      </c>
      <c r="M466" s="205">
        <v>43206</v>
      </c>
      <c r="N466" s="205">
        <v>43206</v>
      </c>
      <c r="O466" s="201"/>
      <c r="P466" s="201"/>
      <c r="AB466" s="110" t="str">
        <f>IFERROR(INDEX('WetLitterbags placem_collection'!$A$3:$A$500,MATCH(A466,'WetLitterbags placem_collection'!$K$4:$K$500,0)),"")</f>
        <v/>
      </c>
      <c r="AC466" s="110" t="str">
        <f>IFERROR(INDEX('WetLitterbags placem_collection'!$A$3:$A$500,MATCH($A466,'WetLitterbags placem_collection'!$O$4:$O$500,0)),"")</f>
        <v/>
      </c>
      <c r="AD466" s="110">
        <f>IFERROR(INDEX('WetLitterbags placem_collection'!$A$3:$A$500,MATCH($A466,'WetLitterbags placem_collection'!$M$4:$M$500,0)),"")</f>
        <v>63</v>
      </c>
      <c r="AE466" s="110" t="str">
        <f>IFERROR(INDEX('WetLitterbags placem_collection'!$A$3:$A$500,MATCH($A466,'WetLitterbags placem_collection'!$Q$4:$Q$500,0)),"")</f>
        <v/>
      </c>
    </row>
    <row r="467" spans="1:31">
      <c r="A467" s="206" t="s">
        <v>1125</v>
      </c>
      <c r="C467" s="201">
        <v>158</v>
      </c>
      <c r="D467" s="202">
        <v>1.5450999999999999</v>
      </c>
      <c r="E467" s="202">
        <v>11.1591</v>
      </c>
      <c r="F467" s="202">
        <v>0.2041</v>
      </c>
      <c r="G467" s="201">
        <f t="shared" si="36"/>
        <v>11.363200000000001</v>
      </c>
      <c r="H467" s="201">
        <v>11.169</v>
      </c>
      <c r="I467" s="201">
        <f t="shared" si="40"/>
        <v>0.19420000000000037</v>
      </c>
      <c r="J467" s="201">
        <f t="shared" si="38"/>
        <v>9.8999999999996313E-3</v>
      </c>
      <c r="K467" s="280">
        <f t="shared" si="39"/>
        <v>4.8505634492893828</v>
      </c>
      <c r="L467" s="201">
        <v>21</v>
      </c>
      <c r="M467" s="205">
        <v>43199</v>
      </c>
      <c r="N467" s="205">
        <v>43199</v>
      </c>
      <c r="O467" s="201"/>
      <c r="P467" s="201"/>
      <c r="AB467" s="110" t="str">
        <f>IFERROR(INDEX('WetLitterbags placem_collection'!$A$3:$A$500,MATCH(A467,'WetLitterbags placem_collection'!$K$4:$K$500,0)),"")</f>
        <v/>
      </c>
      <c r="AC467" s="110" t="str">
        <f>IFERROR(INDEX('WetLitterbags placem_collection'!$A$3:$A$500,MATCH($A467,'WetLitterbags placem_collection'!$O$4:$O$500,0)),"")</f>
        <v/>
      </c>
      <c r="AD467" s="110">
        <f>IFERROR(INDEX('WetLitterbags placem_collection'!$A$3:$A$500,MATCH($A467,'WetLitterbags placem_collection'!$M$4:$M$500,0)),"")</f>
        <v>157</v>
      </c>
      <c r="AE467" s="110" t="str">
        <f>IFERROR(INDEX('WetLitterbags placem_collection'!$A$3:$A$500,MATCH($A467,'WetLitterbags placem_collection'!$Q$4:$Q$500,0)),"")</f>
        <v/>
      </c>
    </row>
    <row r="468" spans="1:31">
      <c r="A468" s="197" t="s">
        <v>980</v>
      </c>
      <c r="C468" s="198">
        <v>57</v>
      </c>
      <c r="D468" s="197">
        <v>1.1411</v>
      </c>
      <c r="E468" s="197">
        <v>7.4744999999999999</v>
      </c>
      <c r="F468" s="202">
        <v>0.20649999999999999</v>
      </c>
      <c r="G468" s="201">
        <f t="shared" si="36"/>
        <v>7.681</v>
      </c>
      <c r="H468" s="201">
        <v>7.4943999999999997</v>
      </c>
      <c r="I468" s="201">
        <f t="shared" si="40"/>
        <v>0.18660000000000032</v>
      </c>
      <c r="J468" s="201">
        <f t="shared" si="38"/>
        <v>1.9899999999999668E-2</v>
      </c>
      <c r="K468" s="280">
        <f t="shared" si="39"/>
        <v>9.63680387409185</v>
      </c>
      <c r="L468" s="201">
        <v>10</v>
      </c>
      <c r="U468" s="202" t="s">
        <v>1063</v>
      </c>
      <c r="V468" s="197">
        <v>1.8218000000000001</v>
      </c>
      <c r="W468" s="197">
        <f>(V468-$T$175+F466)</f>
        <v>2.0247000000000002</v>
      </c>
      <c r="AB468" s="110" t="str">
        <f>IFERROR(INDEX('WetLitterbags placem_collection'!$A$3:$A$500,MATCH(A468,'WetLitterbags placem_collection'!$K$4:$K$500,0)),"")</f>
        <v/>
      </c>
      <c r="AC468" s="110" t="str">
        <f>IFERROR(INDEX('WetLitterbags placem_collection'!$A$3:$A$500,MATCH($A468,'WetLitterbags placem_collection'!$O$4:$O$500,0)),"")</f>
        <v/>
      </c>
      <c r="AD468" s="110">
        <f>IFERROR(INDEX('WetLitterbags placem_collection'!$A$3:$A$500,MATCH($A468,'WetLitterbags placem_collection'!$M$4:$M$500,0)),"")</f>
        <v>56</v>
      </c>
      <c r="AE468" s="110" t="str">
        <f>IFERROR(INDEX('WetLitterbags placem_collection'!$A$3:$A$500,MATCH($A468,'WetLitterbags placem_collection'!$Q$4:$Q$500,0)),"")</f>
        <v/>
      </c>
    </row>
    <row r="469" spans="1:31">
      <c r="A469" s="197" t="s">
        <v>977</v>
      </c>
      <c r="C469" s="197">
        <v>190</v>
      </c>
      <c r="D469" s="197">
        <v>1.4583999999999999</v>
      </c>
      <c r="E469" s="202">
        <v>7.7739000000000003</v>
      </c>
      <c r="F469" s="202">
        <v>0.20449999999999999</v>
      </c>
      <c r="G469" s="201">
        <f t="shared" si="36"/>
        <v>7.9784000000000006</v>
      </c>
      <c r="H469" s="201">
        <v>7.7792000000000003</v>
      </c>
      <c r="I469" s="201">
        <f t="shared" si="40"/>
        <v>0.19920000000000027</v>
      </c>
      <c r="J469" s="201">
        <f t="shared" si="38"/>
        <v>5.2999999999997216E-3</v>
      </c>
      <c r="K469" s="280">
        <f t="shared" si="39"/>
        <v>2.591687041564656</v>
      </c>
      <c r="L469" s="201">
        <v>23</v>
      </c>
      <c r="AB469" s="110" t="str">
        <f>IFERROR(INDEX('WetLitterbags placem_collection'!$A$3:$A$500,MATCH(A469,'WetLitterbags placem_collection'!$K$4:$K$500,0)),"")</f>
        <v/>
      </c>
      <c r="AC469" s="110" t="str">
        <f>IFERROR(INDEX('WetLitterbags placem_collection'!$A$3:$A$500,MATCH($A469,'WetLitterbags placem_collection'!$O$4:$O$500,0)),"")</f>
        <v/>
      </c>
      <c r="AD469" s="110">
        <f>IFERROR(INDEX('WetLitterbags placem_collection'!$A$3:$A$500,MATCH($A469,'WetLitterbags placem_collection'!$M$4:$M$500,0)),"")</f>
        <v>189</v>
      </c>
      <c r="AE469" s="110" t="str">
        <f>IFERROR(INDEX('WetLitterbags placem_collection'!$A$3:$A$500,MATCH($A469,'WetLitterbags placem_collection'!$Q$4:$Q$500,0)),"")</f>
        <v/>
      </c>
    </row>
    <row r="470" spans="1:31">
      <c r="A470" s="197" t="s">
        <v>976</v>
      </c>
      <c r="C470" s="197">
        <v>67</v>
      </c>
      <c r="D470" s="197">
        <v>1.2485999999999999</v>
      </c>
      <c r="E470" s="197">
        <v>8.0462000000000007</v>
      </c>
      <c r="F470" s="197">
        <v>0.2016</v>
      </c>
      <c r="G470" s="197">
        <f t="shared" si="36"/>
        <v>8.2478000000000016</v>
      </c>
      <c r="H470" s="197">
        <v>8.0561000000000007</v>
      </c>
      <c r="I470" s="197">
        <f t="shared" si="40"/>
        <v>0.19170000000000087</v>
      </c>
      <c r="J470" s="201">
        <f t="shared" si="38"/>
        <v>9.8999999999991317E-3</v>
      </c>
      <c r="K470" s="280">
        <f t="shared" si="39"/>
        <v>4.9107142857138548</v>
      </c>
      <c r="L470" s="197">
        <v>2</v>
      </c>
      <c r="M470" s="197" t="s">
        <v>2580</v>
      </c>
      <c r="N470" s="197" t="s">
        <v>2579</v>
      </c>
      <c r="O470" s="197" t="s">
        <v>2556</v>
      </c>
      <c r="AB470" s="110" t="str">
        <f>IFERROR(INDEX('WetLitterbags placem_collection'!$A$3:$A$500,MATCH(A470,'WetLitterbags placem_collection'!$K$4:$K$500,0)),"")</f>
        <v/>
      </c>
      <c r="AC470" s="110" t="str">
        <f>IFERROR(INDEX('WetLitterbags placem_collection'!$A$3:$A$500,MATCH($A470,'WetLitterbags placem_collection'!$O$4:$O$500,0)),"")</f>
        <v/>
      </c>
      <c r="AD470" s="110">
        <f>IFERROR(INDEX('WetLitterbags placem_collection'!$A$3:$A$500,MATCH($A470,'WetLitterbags placem_collection'!$M$4:$M$500,0)),"")</f>
        <v>66</v>
      </c>
      <c r="AE470" s="110" t="str">
        <f>IFERROR(INDEX('WetLitterbags placem_collection'!$A$3:$A$500,MATCH($A470,'WetLitterbags placem_collection'!$Q$4:$Q$500,0)),"")</f>
        <v/>
      </c>
    </row>
    <row r="471" spans="1:31">
      <c r="A471" s="197" t="s">
        <v>975</v>
      </c>
      <c r="C471" s="197">
        <v>44</v>
      </c>
      <c r="D471" s="197">
        <v>1.3684000000000001</v>
      </c>
      <c r="E471" s="197">
        <v>8.0656999999999996</v>
      </c>
      <c r="F471" s="197">
        <v>0.20130000000000001</v>
      </c>
      <c r="G471" s="197">
        <f t="shared" si="36"/>
        <v>8.2669999999999995</v>
      </c>
      <c r="H471" s="197">
        <v>8.0754999999999999</v>
      </c>
      <c r="I471" s="197">
        <f t="shared" si="40"/>
        <v>0.19149999999999956</v>
      </c>
      <c r="J471" s="201">
        <f t="shared" si="38"/>
        <v>9.8000000000004472E-3</v>
      </c>
      <c r="K471" s="280">
        <f t="shared" si="39"/>
        <v>4.868355688028041</v>
      </c>
      <c r="L471" s="197">
        <v>29</v>
      </c>
      <c r="M471" s="197" t="s">
        <v>2586</v>
      </c>
      <c r="N471" s="197" t="s">
        <v>2585</v>
      </c>
      <c r="O471" s="197" t="s">
        <v>2550</v>
      </c>
      <c r="AB471" s="110" t="str">
        <f>IFERROR(INDEX('WetLitterbags placem_collection'!$A$3:$A$500,MATCH(A471,'WetLitterbags placem_collection'!$K$4:$K$500,0)),"")</f>
        <v/>
      </c>
      <c r="AC471" s="110" t="str">
        <f>IFERROR(INDEX('WetLitterbags placem_collection'!$A$3:$A$500,MATCH($A471,'WetLitterbags placem_collection'!$O$4:$O$500,0)),"")</f>
        <v/>
      </c>
      <c r="AD471" s="110">
        <f>IFERROR(INDEX('WetLitterbags placem_collection'!$A$3:$A$500,MATCH($A471,'WetLitterbags placem_collection'!$M$4:$M$500,0)),"")</f>
        <v>43</v>
      </c>
      <c r="AE471" s="110" t="str">
        <f>IFERROR(INDEX('WetLitterbags placem_collection'!$A$3:$A$500,MATCH($A471,'WetLitterbags placem_collection'!$Q$4:$Q$500,0)),"")</f>
        <v/>
      </c>
    </row>
    <row r="472" spans="1:31">
      <c r="A472" s="206" t="s">
        <v>974</v>
      </c>
      <c r="C472" s="197">
        <v>194</v>
      </c>
      <c r="D472" s="201">
        <v>1.2291000000000001</v>
      </c>
      <c r="E472" s="202">
        <v>8.0465</v>
      </c>
      <c r="F472" s="202">
        <v>0.20039999999999999</v>
      </c>
      <c r="G472" s="201">
        <f t="shared" si="36"/>
        <v>8.2469000000000001</v>
      </c>
      <c r="H472" s="201">
        <v>8.0530000000000008</v>
      </c>
      <c r="I472" s="201">
        <f t="shared" si="40"/>
        <v>0.1938999999999993</v>
      </c>
      <c r="J472" s="201">
        <f t="shared" si="38"/>
        <v>6.5000000000006997E-3</v>
      </c>
      <c r="K472" s="280">
        <f t="shared" si="39"/>
        <v>3.2435129740522455</v>
      </c>
      <c r="L472" s="201">
        <v>20</v>
      </c>
      <c r="M472" s="207">
        <v>43186.458333333336</v>
      </c>
      <c r="N472" s="207">
        <v>43186.625</v>
      </c>
      <c r="O472" s="197" t="s">
        <v>2550</v>
      </c>
      <c r="P472" s="201" t="s">
        <v>2558</v>
      </c>
      <c r="AB472" s="110" t="str">
        <f>IFERROR(INDEX('WetLitterbags placem_collection'!$A$3:$A$500,MATCH(A472,'WetLitterbags placem_collection'!$K$4:$K$500,0)),"")</f>
        <v/>
      </c>
      <c r="AC472" s="110" t="str">
        <f>IFERROR(INDEX('WetLitterbags placem_collection'!$A$3:$A$500,MATCH($A472,'WetLitterbags placem_collection'!$O$4:$O$500,0)),"")</f>
        <v/>
      </c>
      <c r="AD472" s="110" t="str">
        <f>IFERROR(INDEX('WetLitterbags placem_collection'!$A$3:$A$500,MATCH($A472,'WetLitterbags placem_collection'!$M$4:$M$500,0)),"")</f>
        <v/>
      </c>
      <c r="AE472" s="110">
        <f>IFERROR(INDEX('WetLitterbags placem_collection'!$A$3:$A$500,MATCH($A472,'WetLitterbags placem_collection'!$Q$4:$Q$500,0)),"")</f>
        <v>193</v>
      </c>
    </row>
    <row r="473" spans="1:31">
      <c r="A473" s="197" t="s">
        <v>973</v>
      </c>
      <c r="C473" s="201">
        <v>198</v>
      </c>
      <c r="D473" s="201">
        <v>1.3452999999999999</v>
      </c>
      <c r="E473" s="201">
        <v>8.0958000000000006</v>
      </c>
      <c r="F473" s="201">
        <v>0.20519999999999999</v>
      </c>
      <c r="G473" s="201">
        <f t="shared" si="36"/>
        <v>8.3010000000000002</v>
      </c>
      <c r="H473" s="201">
        <v>8.1021999999999998</v>
      </c>
      <c r="I473" s="201">
        <f t="shared" si="40"/>
        <v>0.19880000000000031</v>
      </c>
      <c r="J473" s="201">
        <f t="shared" si="38"/>
        <v>6.3999999999996837E-3</v>
      </c>
      <c r="K473" s="280">
        <f t="shared" si="39"/>
        <v>3.118908382066123</v>
      </c>
      <c r="L473" s="201">
        <v>21</v>
      </c>
      <c r="M473" s="203">
        <v>43164.628472222219</v>
      </c>
      <c r="N473" s="203">
        <v>43164.795138888891</v>
      </c>
      <c r="O473" s="197" t="s">
        <v>2550</v>
      </c>
      <c r="P473" s="201"/>
      <c r="AB473" s="110" t="str">
        <f>IFERROR(INDEX('WetLitterbags placem_collection'!$A$3:$A$500,MATCH(A473,'WetLitterbags placem_collection'!$K$4:$K$500,0)),"")</f>
        <v/>
      </c>
      <c r="AC473" s="110" t="str">
        <f>IFERROR(INDEX('WetLitterbags placem_collection'!$A$3:$A$500,MATCH($A473,'WetLitterbags placem_collection'!$O$4:$O$500,0)),"")</f>
        <v/>
      </c>
      <c r="AD473" s="110" t="str">
        <f>IFERROR(INDEX('WetLitterbags placem_collection'!$A$3:$A$500,MATCH($A473,'WetLitterbags placem_collection'!$M$4:$M$500,0)),"")</f>
        <v/>
      </c>
      <c r="AE473" s="110">
        <f>IFERROR(INDEX('WetLitterbags placem_collection'!$A$3:$A$500,MATCH($A473,'WetLitterbags placem_collection'!$Q$4:$Q$500,0)),"")</f>
        <v>197</v>
      </c>
    </row>
    <row r="474" spans="1:31">
      <c r="A474" s="197" t="s">
        <v>972</v>
      </c>
      <c r="C474" s="197">
        <v>9</v>
      </c>
      <c r="D474" s="197">
        <v>2.444</v>
      </c>
      <c r="E474" s="197">
        <v>11.4542</v>
      </c>
      <c r="F474" s="202">
        <v>0.20580000000000001</v>
      </c>
      <c r="G474" s="201">
        <f t="shared" si="36"/>
        <v>11.66</v>
      </c>
      <c r="H474" s="201">
        <v>11.6503</v>
      </c>
      <c r="I474" s="201">
        <f t="shared" si="40"/>
        <v>9.700000000000486E-3</v>
      </c>
      <c r="J474" s="201">
        <f t="shared" si="38"/>
        <v>0.19609999999999952</v>
      </c>
      <c r="K474" s="280">
        <f t="shared" si="39"/>
        <v>95.2866861030124</v>
      </c>
      <c r="L474" s="201">
        <v>15</v>
      </c>
      <c r="AB474" s="110" t="str">
        <f>IFERROR(INDEX('WetLitterbags placem_collection'!$A$3:$A$500,MATCH(A474,'WetLitterbags placem_collection'!$K$4:$K$500,0)),"")</f>
        <v/>
      </c>
      <c r="AC474" s="110" t="str">
        <f>IFERROR(INDEX('WetLitterbags placem_collection'!$A$3:$A$500,MATCH($A474,'WetLitterbags placem_collection'!$O$4:$O$500,0)),"")</f>
        <v/>
      </c>
      <c r="AD474" s="110">
        <f>IFERROR(INDEX('WetLitterbags placem_collection'!$A$3:$A$500,MATCH($A474,'WetLitterbags placem_collection'!$M$4:$M$500,0)),"")</f>
        <v>8</v>
      </c>
      <c r="AE474" s="110" t="str">
        <f>IFERROR(INDEX('WetLitterbags placem_collection'!$A$3:$A$500,MATCH($A474,'WetLitterbags placem_collection'!$Q$4:$Q$500,0)),"")</f>
        <v/>
      </c>
    </row>
    <row r="475" spans="1:31">
      <c r="A475" s="197" t="s">
        <v>1124</v>
      </c>
      <c r="C475" s="198">
        <v>1</v>
      </c>
      <c r="D475" s="197">
        <v>0.83950000000000002</v>
      </c>
      <c r="E475" s="197">
        <v>9.4854000000000003</v>
      </c>
      <c r="F475" s="202">
        <v>0.20369999999999999</v>
      </c>
      <c r="G475" s="201">
        <f t="shared" si="36"/>
        <v>9.6890999999999998</v>
      </c>
      <c r="H475" s="201">
        <v>9.5219000000000005</v>
      </c>
      <c r="I475" s="201">
        <f t="shared" si="40"/>
        <v>0.16719999999999935</v>
      </c>
      <c r="J475" s="201">
        <f t="shared" si="38"/>
        <v>3.6500000000000643E-2</v>
      </c>
      <c r="K475" s="280">
        <f t="shared" si="39"/>
        <v>17.918507609229575</v>
      </c>
      <c r="L475" s="201">
        <v>7</v>
      </c>
      <c r="T475" s="204"/>
      <c r="U475" s="204"/>
      <c r="AB475" s="110" t="str">
        <f>IFERROR(INDEX('WetLitterbags placem_collection'!$A$3:$A$500,MATCH(A475,'WetLitterbags placem_collection'!$K$4:$K$500,0)),"")</f>
        <v/>
      </c>
      <c r="AC475" s="110" t="str">
        <f>IFERROR(INDEX('WetLitterbags placem_collection'!$A$3:$A$500,MATCH($A475,'WetLitterbags placem_collection'!$O$4:$O$500,0)),"")</f>
        <v/>
      </c>
      <c r="AD475" s="110" t="str">
        <f>IFERROR(INDEX('WetLitterbags placem_collection'!$A$3:$A$500,MATCH($A475,'WetLitterbags placem_collection'!$M$4:$M$500,0)),"")</f>
        <v/>
      </c>
      <c r="AE475" s="110" t="str">
        <f>IFERROR(INDEX('WetLitterbags placem_collection'!$A$3:$A$500,MATCH($A475,'WetLitterbags placem_collection'!$Q$4:$Q$500,0)),"")</f>
        <v/>
      </c>
    </row>
    <row r="476" spans="1:31">
      <c r="A476" s="201" t="s">
        <v>970</v>
      </c>
      <c r="C476" s="201">
        <v>89</v>
      </c>
      <c r="D476" s="201">
        <v>1.734</v>
      </c>
      <c r="E476" s="201">
        <v>8.1188000000000002</v>
      </c>
      <c r="F476" s="202">
        <v>0.2016</v>
      </c>
      <c r="G476" s="201">
        <f t="shared" si="36"/>
        <v>8.3203999999999994</v>
      </c>
      <c r="H476" s="201">
        <v>8.1588999999999992</v>
      </c>
      <c r="I476" s="201">
        <f t="shared" si="40"/>
        <v>0.1615000000000002</v>
      </c>
      <c r="J476" s="201">
        <f t="shared" si="38"/>
        <v>4.0099999999999802E-2</v>
      </c>
      <c r="K476" s="280">
        <f t="shared" si="39"/>
        <v>19.890873015872916</v>
      </c>
      <c r="L476" s="201">
        <v>5</v>
      </c>
      <c r="M476" s="205">
        <v>43187</v>
      </c>
      <c r="N476" s="205">
        <v>43187</v>
      </c>
      <c r="O476" s="201"/>
      <c r="P476" s="201"/>
      <c r="AB476" s="110" t="str">
        <f>IFERROR(INDEX('WetLitterbags placem_collection'!$A$3:$A$500,MATCH(A476,'WetLitterbags placem_collection'!$K$4:$K$500,0)),"")</f>
        <v/>
      </c>
      <c r="AC476" s="110" t="str">
        <f>IFERROR(INDEX('WetLitterbags placem_collection'!$A$3:$A$500,MATCH($A476,'WetLitterbags placem_collection'!$O$4:$O$500,0)),"")</f>
        <v/>
      </c>
      <c r="AD476" s="110" t="str">
        <f>IFERROR(INDEX('WetLitterbags placem_collection'!$A$3:$A$500,MATCH($A476,'WetLitterbags placem_collection'!$M$4:$M$500,0)),"")</f>
        <v/>
      </c>
      <c r="AE476" s="110">
        <f>IFERROR(INDEX('WetLitterbags placem_collection'!$A$3:$A$500,MATCH($A476,'WetLitterbags placem_collection'!$Q$4:$Q$500,0)),"")</f>
        <v>88</v>
      </c>
    </row>
    <row r="477" spans="1:31">
      <c r="A477" s="197" t="s">
        <v>969</v>
      </c>
      <c r="C477" s="198">
        <v>28</v>
      </c>
      <c r="D477" s="197">
        <v>1.2393000000000001</v>
      </c>
      <c r="E477" s="202">
        <v>10.6747</v>
      </c>
      <c r="F477" s="202">
        <v>0.19969999999999999</v>
      </c>
      <c r="G477" s="201">
        <f t="shared" si="36"/>
        <v>10.8744</v>
      </c>
      <c r="H477" s="201">
        <v>10.683999999999999</v>
      </c>
      <c r="I477" s="201">
        <f t="shared" si="40"/>
        <v>0.19040000000000035</v>
      </c>
      <c r="J477" s="201">
        <f t="shared" si="38"/>
        <v>9.2999999999996419E-3</v>
      </c>
      <c r="K477" s="280">
        <f t="shared" si="39"/>
        <v>4.6569854782171465</v>
      </c>
      <c r="L477" s="201">
        <v>37</v>
      </c>
      <c r="AB477" s="110" t="str">
        <f>IFERROR(INDEX('WetLitterbags placem_collection'!$A$3:$A$500,MATCH(A477,'WetLitterbags placem_collection'!$K$4:$K$500,0)),"")</f>
        <v/>
      </c>
      <c r="AC477" s="110" t="str">
        <f>IFERROR(INDEX('WetLitterbags placem_collection'!$A$3:$A$500,MATCH($A477,'WetLitterbags placem_collection'!$O$4:$O$500,0)),"")</f>
        <v/>
      </c>
      <c r="AD477" s="110" t="str">
        <f>IFERROR(INDEX('WetLitterbags placem_collection'!$A$3:$A$500,MATCH($A477,'WetLitterbags placem_collection'!$M$4:$M$500,0)),"")</f>
        <v/>
      </c>
      <c r="AE477" s="110">
        <f>IFERROR(INDEX('WetLitterbags placem_collection'!$A$3:$A$500,MATCH($A477,'WetLitterbags placem_collection'!$Q$4:$Q$500,0)),"")</f>
        <v>27</v>
      </c>
    </row>
    <row r="478" spans="1:31">
      <c r="A478" s="201" t="s">
        <v>965</v>
      </c>
      <c r="C478" s="201">
        <v>219</v>
      </c>
      <c r="D478" s="201">
        <v>1.1993</v>
      </c>
      <c r="E478" s="201">
        <v>7.7163000000000004</v>
      </c>
      <c r="F478" s="201">
        <v>0.20380000000000001</v>
      </c>
      <c r="G478" s="201">
        <f t="shared" si="36"/>
        <v>7.9201000000000006</v>
      </c>
      <c r="H478" s="201">
        <v>7.7293000000000003</v>
      </c>
      <c r="I478" s="201">
        <f t="shared" si="40"/>
        <v>0.1908000000000003</v>
      </c>
      <c r="J478" s="201">
        <f t="shared" si="38"/>
        <v>1.2999999999999706E-2</v>
      </c>
      <c r="K478" s="280">
        <f t="shared" si="39"/>
        <v>6.3788027477918092</v>
      </c>
      <c r="L478" s="201">
        <v>10</v>
      </c>
      <c r="M478" s="203">
        <v>43164.628472222219</v>
      </c>
      <c r="N478" s="203">
        <v>43164.795138888891</v>
      </c>
      <c r="O478" s="197" t="s">
        <v>2550</v>
      </c>
      <c r="P478" s="201"/>
      <c r="AB478" s="110" t="str">
        <f>IFERROR(INDEX('WetLitterbags placem_collection'!$A$3:$A$500,MATCH(A478,'WetLitterbags placem_collection'!$K$4:$K$500,0)),"")</f>
        <v/>
      </c>
      <c r="AC478" s="110" t="str">
        <f>IFERROR(INDEX('WetLitterbags placem_collection'!$A$3:$A$500,MATCH($A478,'WetLitterbags placem_collection'!$O$4:$O$500,0)),"")</f>
        <v/>
      </c>
      <c r="AD478" s="110">
        <f>IFERROR(INDEX('WetLitterbags placem_collection'!$A$3:$A$500,MATCH($A478,'WetLitterbags placem_collection'!$M$4:$M$500,0)),"")</f>
        <v>218</v>
      </c>
      <c r="AE478" s="110" t="str">
        <f>IFERROR(INDEX('WetLitterbags placem_collection'!$A$3:$A$500,MATCH($A478,'WetLitterbags placem_collection'!$Q$4:$Q$500,0)),"")</f>
        <v/>
      </c>
    </row>
    <row r="479" spans="1:31">
      <c r="A479" s="197" t="s">
        <v>964</v>
      </c>
      <c r="C479" s="197">
        <v>6</v>
      </c>
      <c r="D479" s="197">
        <v>1.1964999999999999</v>
      </c>
      <c r="E479" s="202">
        <v>7.3169000000000004</v>
      </c>
      <c r="F479" s="202">
        <v>0.19980000000000001</v>
      </c>
      <c r="G479" s="201">
        <f t="shared" si="36"/>
        <v>7.5167000000000002</v>
      </c>
      <c r="H479" s="201">
        <v>7.3457999999999997</v>
      </c>
      <c r="I479" s="201">
        <f t="shared" si="40"/>
        <v>0.1709000000000005</v>
      </c>
      <c r="J479" s="201">
        <f t="shared" si="38"/>
        <v>2.8899999999999509E-2</v>
      </c>
      <c r="K479" s="280">
        <f t="shared" si="39"/>
        <v>14.46446446446422</v>
      </c>
      <c r="L479" s="201">
        <v>14</v>
      </c>
      <c r="AB479" s="110" t="str">
        <f>IFERROR(INDEX('WetLitterbags placem_collection'!$A$3:$A$500,MATCH(A479,'WetLitterbags placem_collection'!$K$4:$K$500,0)),"")</f>
        <v/>
      </c>
      <c r="AC479" s="110" t="str">
        <f>IFERROR(INDEX('WetLitterbags placem_collection'!$A$3:$A$500,MATCH($A479,'WetLitterbags placem_collection'!$O$4:$O$500,0)),"")</f>
        <v/>
      </c>
      <c r="AD479" s="110">
        <f>IFERROR(INDEX('WetLitterbags placem_collection'!$A$3:$A$500,MATCH($A479,'WetLitterbags placem_collection'!$M$4:$M$500,0)),"")</f>
        <v>5</v>
      </c>
      <c r="AE479" s="110" t="str">
        <f>IFERROR(INDEX('WetLitterbags placem_collection'!$A$3:$A$500,MATCH($A479,'WetLitterbags placem_collection'!$Q$4:$Q$500,0)),"")</f>
        <v/>
      </c>
    </row>
    <row r="480" spans="1:31">
      <c r="A480" s="206" t="s">
        <v>959</v>
      </c>
      <c r="C480" s="201">
        <v>202</v>
      </c>
      <c r="D480" s="201">
        <v>1.417</v>
      </c>
      <c r="E480" s="202">
        <v>11.153</v>
      </c>
      <c r="F480" s="202">
        <v>0.2039</v>
      </c>
      <c r="G480" s="201">
        <f t="shared" si="36"/>
        <v>11.356900000000001</v>
      </c>
      <c r="H480" s="201">
        <v>11.161</v>
      </c>
      <c r="I480" s="201">
        <f t="shared" si="40"/>
        <v>0.19590000000000174</v>
      </c>
      <c r="J480" s="201">
        <f t="shared" si="38"/>
        <v>7.9999999999982585E-3</v>
      </c>
      <c r="K480" s="280">
        <f t="shared" si="39"/>
        <v>3.9234919077970858</v>
      </c>
      <c r="L480" s="201">
        <v>18</v>
      </c>
      <c r="M480" s="207">
        <v>43185.385416666664</v>
      </c>
      <c r="N480" s="201"/>
      <c r="O480" s="201" t="s">
        <v>2556</v>
      </c>
      <c r="P480" s="201"/>
      <c r="AB480" s="110" t="str">
        <f>IFERROR(INDEX('WetLitterbags placem_collection'!$A$3:$A$500,MATCH(A480,'WetLitterbags placem_collection'!$K$4:$K$500,0)),"")</f>
        <v/>
      </c>
      <c r="AC480" s="110" t="str">
        <f>IFERROR(INDEX('WetLitterbags placem_collection'!$A$3:$A$500,MATCH($A480,'WetLitterbags placem_collection'!$O$4:$O$500,0)),"")</f>
        <v/>
      </c>
      <c r="AD480" s="110" t="str">
        <f>IFERROR(INDEX('WetLitterbags placem_collection'!$A$3:$A$500,MATCH($A480,'WetLitterbags placem_collection'!$M$4:$M$500,0)),"")</f>
        <v/>
      </c>
      <c r="AE480" s="110">
        <f>IFERROR(INDEX('WetLitterbags placem_collection'!$A$3:$A$500,MATCH($A480,'WetLitterbags placem_collection'!$Q$4:$Q$500,0)),"")</f>
        <v>201</v>
      </c>
    </row>
    <row r="481" spans="1:31">
      <c r="A481" s="202" t="s">
        <v>958</v>
      </c>
      <c r="C481" s="201">
        <v>75</v>
      </c>
      <c r="D481" s="201">
        <v>1.4855999999999998</v>
      </c>
      <c r="E481" s="201">
        <v>9.1966999999999999</v>
      </c>
      <c r="F481" s="201">
        <v>0.2077</v>
      </c>
      <c r="G481" s="201">
        <f t="shared" si="36"/>
        <v>9.404399999999999</v>
      </c>
      <c r="H481" s="201">
        <v>9.2013999999999996</v>
      </c>
      <c r="I481" s="201">
        <f t="shared" si="40"/>
        <v>0.2029999999999994</v>
      </c>
      <c r="J481" s="201">
        <f t="shared" si="38"/>
        <v>4.7000000000005926E-3</v>
      </c>
      <c r="K481" s="280">
        <f t="shared" si="39"/>
        <v>2.262879152624262</v>
      </c>
      <c r="L481" s="201">
        <v>10</v>
      </c>
      <c r="M481" s="205">
        <v>43173</v>
      </c>
      <c r="N481" s="205">
        <v>43173</v>
      </c>
      <c r="O481" s="201" t="s">
        <v>2556</v>
      </c>
      <c r="P481" s="201" t="s">
        <v>2555</v>
      </c>
      <c r="AB481" s="110" t="str">
        <f>IFERROR(INDEX('WetLitterbags placem_collection'!$A$3:$A$500,MATCH(A481,'WetLitterbags placem_collection'!$K$4:$K$500,0)),"")</f>
        <v/>
      </c>
      <c r="AC481" s="110" t="str">
        <f>IFERROR(INDEX('WetLitterbags placem_collection'!$A$3:$A$500,MATCH($A481,'WetLitterbags placem_collection'!$O$4:$O$500,0)),"")</f>
        <v/>
      </c>
      <c r="AD481" s="110" t="str">
        <f>IFERROR(INDEX('WetLitterbags placem_collection'!$A$3:$A$500,MATCH($A481,'WetLitterbags placem_collection'!$M$4:$M$500,0)),"")</f>
        <v/>
      </c>
      <c r="AE481" s="110">
        <f>IFERROR(INDEX('WetLitterbags placem_collection'!$A$3:$A$500,MATCH($A481,'WetLitterbags placem_collection'!$Q$4:$Q$500,0)),"")</f>
        <v>75</v>
      </c>
    </row>
    <row r="482" spans="1:31">
      <c r="A482" s="197" t="s">
        <v>956</v>
      </c>
      <c r="C482" s="201">
        <v>63</v>
      </c>
      <c r="D482" s="202">
        <v>1.4281999999999999</v>
      </c>
      <c r="E482" s="202">
        <v>8.0640999999999998</v>
      </c>
      <c r="F482" s="202">
        <v>0.20319999999999999</v>
      </c>
      <c r="G482" s="201">
        <f t="shared" si="36"/>
        <v>8.2673000000000005</v>
      </c>
      <c r="H482" s="201">
        <v>8.0815999999999999</v>
      </c>
      <c r="I482" s="201">
        <f t="shared" si="40"/>
        <v>0.18570000000000064</v>
      </c>
      <c r="J482" s="201">
        <f t="shared" si="38"/>
        <v>1.7499999999999349E-2</v>
      </c>
      <c r="K482" s="280">
        <f t="shared" si="39"/>
        <v>8.6122047244091302</v>
      </c>
      <c r="L482" s="201">
        <v>6</v>
      </c>
      <c r="M482" s="201"/>
      <c r="N482" s="201"/>
      <c r="O482" s="201"/>
      <c r="P482" s="201"/>
      <c r="AB482" s="110" t="str">
        <f>IFERROR(INDEX('WetLitterbags placem_collection'!$A$3:$A$500,MATCH(A482,'WetLitterbags placem_collection'!$K$4:$K$500,0)),"")</f>
        <v/>
      </c>
      <c r="AC482" s="110" t="str">
        <f>IFERROR(INDEX('WetLitterbags placem_collection'!$A$3:$A$500,MATCH($A482,'WetLitterbags placem_collection'!$O$4:$O$500,0)),"")</f>
        <v/>
      </c>
      <c r="AD482" s="110">
        <f>IFERROR(INDEX('WetLitterbags placem_collection'!$A$3:$A$500,MATCH($A482,'WetLitterbags placem_collection'!$M$4:$M$500,0)),"")</f>
        <v>62</v>
      </c>
      <c r="AE482" s="110" t="str">
        <f>IFERROR(INDEX('WetLitterbags placem_collection'!$A$3:$A$500,MATCH($A482,'WetLitterbags placem_collection'!$Q$4:$Q$500,0)),"")</f>
        <v/>
      </c>
    </row>
    <row r="483" spans="1:31">
      <c r="A483" s="206" t="s">
        <v>955</v>
      </c>
      <c r="C483" s="201">
        <v>186</v>
      </c>
      <c r="D483" s="201">
        <v>1.5461</v>
      </c>
      <c r="E483" s="201">
        <v>10.270899999999999</v>
      </c>
      <c r="F483" s="202">
        <v>0.2019</v>
      </c>
      <c r="G483" s="201">
        <f t="shared" si="36"/>
        <v>10.472799999999999</v>
      </c>
      <c r="H483" s="201">
        <v>10.275499999999999</v>
      </c>
      <c r="I483" s="201">
        <f t="shared" si="40"/>
        <v>0.19730000000000025</v>
      </c>
      <c r="J483" s="201">
        <f t="shared" si="38"/>
        <v>4.5999999999997432E-3</v>
      </c>
      <c r="K483" s="280">
        <f t="shared" si="39"/>
        <v>2.2783556215947218</v>
      </c>
      <c r="L483" s="201">
        <v>28</v>
      </c>
      <c r="M483" s="205">
        <v>43187</v>
      </c>
      <c r="N483" s="205">
        <v>43187</v>
      </c>
      <c r="O483" s="201"/>
      <c r="P483" s="201"/>
      <c r="AB483" s="110" t="str">
        <f>IFERROR(INDEX('WetLitterbags placem_collection'!$A$3:$A$500,MATCH(A483,'WetLitterbags placem_collection'!$K$4:$K$500,0)),"")</f>
        <v/>
      </c>
      <c r="AC483" s="110" t="str">
        <f>IFERROR(INDEX('WetLitterbags placem_collection'!$A$3:$A$500,MATCH($A483,'WetLitterbags placem_collection'!$O$4:$O$500,0)),"")</f>
        <v/>
      </c>
      <c r="AD483" s="110" t="str">
        <f>IFERROR(INDEX('WetLitterbags placem_collection'!$A$3:$A$500,MATCH($A483,'WetLitterbags placem_collection'!$M$4:$M$500,0)),"")</f>
        <v/>
      </c>
      <c r="AE483" s="110">
        <f>IFERROR(INDEX('WetLitterbags placem_collection'!$A$3:$A$500,MATCH($A483,'WetLitterbags placem_collection'!$Q$4:$Q$500,0)),"")</f>
        <v>185</v>
      </c>
    </row>
    <row r="484" spans="1:31">
      <c r="A484" s="201" t="s">
        <v>954</v>
      </c>
      <c r="C484" s="201">
        <v>81</v>
      </c>
      <c r="D484" s="202">
        <v>1.5605</v>
      </c>
      <c r="E484" s="202">
        <v>10.201700000000001</v>
      </c>
      <c r="F484" s="202">
        <v>0.20169999999999999</v>
      </c>
      <c r="G484" s="201">
        <f t="shared" si="36"/>
        <v>10.403400000000001</v>
      </c>
      <c r="H484" s="201">
        <v>10.2102</v>
      </c>
      <c r="I484" s="201">
        <f t="shared" si="40"/>
        <v>0.19320000000000093</v>
      </c>
      <c r="J484" s="201">
        <f t="shared" si="38"/>
        <v>8.4999999999990639E-3</v>
      </c>
      <c r="K484" s="280">
        <f t="shared" si="39"/>
        <v>4.2141794744665662</v>
      </c>
      <c r="L484" s="201">
        <v>30</v>
      </c>
      <c r="M484" s="203">
        <v>43181.645833333336</v>
      </c>
      <c r="N484" s="203">
        <v>43181.833333333336</v>
      </c>
      <c r="O484" s="201" t="s">
        <v>2556</v>
      </c>
      <c r="P484" s="201"/>
      <c r="AB484" s="110" t="str">
        <f>IFERROR(INDEX('WetLitterbags placem_collection'!$A$3:$A$500,MATCH(A484,'WetLitterbags placem_collection'!$K$4:$K$500,0)),"")</f>
        <v/>
      </c>
      <c r="AC484" s="110" t="str">
        <f>IFERROR(INDEX('WetLitterbags placem_collection'!$A$3:$A$500,MATCH($A484,'WetLitterbags placem_collection'!$O$4:$O$500,0)),"")</f>
        <v/>
      </c>
      <c r="AD484" s="110">
        <f>IFERROR(INDEX('WetLitterbags placem_collection'!$A$3:$A$500,MATCH($A484,'WetLitterbags placem_collection'!$M$4:$M$500,0)),"")</f>
        <v>80</v>
      </c>
      <c r="AE484" s="110" t="str">
        <f>IFERROR(INDEX('WetLitterbags placem_collection'!$A$3:$A$500,MATCH($A484,'WetLitterbags placem_collection'!$Q$4:$Q$500,0)),"")</f>
        <v/>
      </c>
    </row>
    <row r="485" spans="1:31">
      <c r="A485" s="197" t="s">
        <v>952</v>
      </c>
      <c r="C485" s="197">
        <v>26</v>
      </c>
      <c r="D485" s="197">
        <v>1.25</v>
      </c>
      <c r="E485" s="202">
        <v>9.0510000000000002</v>
      </c>
      <c r="F485" s="202">
        <v>0.20860000000000001</v>
      </c>
      <c r="G485" s="201">
        <f t="shared" si="36"/>
        <v>9.2596000000000007</v>
      </c>
      <c r="H485" s="201">
        <v>9.0571999999999999</v>
      </c>
      <c r="I485" s="201">
        <f t="shared" si="40"/>
        <v>0.2024000000000008</v>
      </c>
      <c r="J485" s="201">
        <f t="shared" si="38"/>
        <v>6.1999999999992061E-3</v>
      </c>
      <c r="K485" s="280">
        <f t="shared" si="39"/>
        <v>2.9721955896448731</v>
      </c>
      <c r="L485" s="201">
        <v>29</v>
      </c>
      <c r="M485" s="204">
        <v>43221</v>
      </c>
      <c r="N485" s="204">
        <v>43221</v>
      </c>
      <c r="AB485" s="110" t="str">
        <f>IFERROR(INDEX('WetLitterbags placem_collection'!$A$3:$A$500,MATCH(A485,'WetLitterbags placem_collection'!$K$4:$K$500,0)),"")</f>
        <v/>
      </c>
      <c r="AC485" s="110" t="str">
        <f>IFERROR(INDEX('WetLitterbags placem_collection'!$A$3:$A$500,MATCH($A485,'WetLitterbags placem_collection'!$O$4:$O$500,0)),"")</f>
        <v/>
      </c>
      <c r="AD485" s="110" t="str">
        <f>IFERROR(INDEX('WetLitterbags placem_collection'!$A$3:$A$500,MATCH($A485,'WetLitterbags placem_collection'!$M$4:$M$500,0)),"")</f>
        <v/>
      </c>
      <c r="AE485" s="110">
        <f>IFERROR(INDEX('WetLitterbags placem_collection'!$A$3:$A$500,MATCH($A485,'WetLitterbags placem_collection'!$Q$4:$Q$500,0)),"")</f>
        <v>25</v>
      </c>
    </row>
    <row r="486" spans="1:31">
      <c r="A486" s="197" t="s">
        <v>951</v>
      </c>
      <c r="C486" s="197">
        <v>23</v>
      </c>
      <c r="D486" s="197">
        <v>1.2595000000000001</v>
      </c>
      <c r="E486" s="197">
        <v>11.262700000000001</v>
      </c>
      <c r="F486" s="197">
        <v>0.20730000000000001</v>
      </c>
      <c r="G486" s="197">
        <f t="shared" si="36"/>
        <v>11.47</v>
      </c>
      <c r="H486" s="197">
        <v>11.269</v>
      </c>
      <c r="I486" s="197">
        <f t="shared" si="40"/>
        <v>0.20100000000000051</v>
      </c>
      <c r="J486" s="201">
        <f t="shared" si="38"/>
        <v>6.2999999999995004E-3</v>
      </c>
      <c r="K486" s="280">
        <f t="shared" si="39"/>
        <v>3.0390738060779063</v>
      </c>
      <c r="L486" s="197">
        <v>20</v>
      </c>
      <c r="M486" s="197" t="s">
        <v>2586</v>
      </c>
      <c r="N486" s="197" t="s">
        <v>2585</v>
      </c>
      <c r="O486" s="197" t="s">
        <v>2550</v>
      </c>
      <c r="AB486" s="110" t="str">
        <f>IFERROR(INDEX('WetLitterbags placem_collection'!$A$3:$A$500,MATCH(A486,'WetLitterbags placem_collection'!$K$4:$K$500,0)),"")</f>
        <v/>
      </c>
      <c r="AC486" s="110" t="str">
        <f>IFERROR(INDEX('WetLitterbags placem_collection'!$A$3:$A$500,MATCH($A486,'WetLitterbags placem_collection'!$O$4:$O$500,0)),"")</f>
        <v/>
      </c>
      <c r="AD486" s="110">
        <f>IFERROR(INDEX('WetLitterbags placem_collection'!$A$3:$A$500,MATCH($A486,'WetLitterbags placem_collection'!$M$4:$M$500,0)),"")</f>
        <v>22</v>
      </c>
      <c r="AE486" s="110" t="str">
        <f>IFERROR(INDEX('WetLitterbags placem_collection'!$A$3:$A$500,MATCH($A486,'WetLitterbags placem_collection'!$Q$4:$Q$500,0)),"")</f>
        <v/>
      </c>
    </row>
    <row r="487" spans="1:31">
      <c r="A487" s="197" t="s">
        <v>1139</v>
      </c>
      <c r="C487" s="198">
        <v>11</v>
      </c>
      <c r="D487" s="197">
        <v>1.2079</v>
      </c>
      <c r="E487" s="201">
        <v>9.3221000000000007</v>
      </c>
      <c r="F487" s="202">
        <v>0.20830000000000001</v>
      </c>
      <c r="G487" s="201">
        <f t="shared" si="36"/>
        <v>9.5304000000000002</v>
      </c>
      <c r="H487" s="201">
        <v>9.3316999999999997</v>
      </c>
      <c r="I487" s="201">
        <f t="shared" si="40"/>
        <v>0.19870000000000054</v>
      </c>
      <c r="J487" s="201">
        <f t="shared" si="38"/>
        <v>9.5999999999994701E-3</v>
      </c>
      <c r="K487" s="280">
        <f t="shared" si="39"/>
        <v>4.6087373979834227</v>
      </c>
      <c r="L487" s="201">
        <v>14</v>
      </c>
      <c r="M487" s="204">
        <v>43213</v>
      </c>
      <c r="N487" s="204">
        <v>43213</v>
      </c>
      <c r="AB487" s="110" t="str">
        <f>IFERROR(INDEX('WetLitterbags placem_collection'!$A$3:$A$500,MATCH(A487,'WetLitterbags placem_collection'!$K$4:$K$500,0)),"")</f>
        <v/>
      </c>
      <c r="AC487" s="110" t="str">
        <f>IFERROR(INDEX('WetLitterbags placem_collection'!$A$3:$A$500,MATCH($A487,'WetLitterbags placem_collection'!$O$4:$O$500,0)),"")</f>
        <v/>
      </c>
      <c r="AD487" s="110" t="str">
        <f>IFERROR(INDEX('WetLitterbags placem_collection'!$A$3:$A$500,MATCH($A487,'WetLitterbags placem_collection'!$M$4:$M$500,0)),"")</f>
        <v/>
      </c>
      <c r="AE487" s="110">
        <f>IFERROR(INDEX('WetLitterbags placem_collection'!$A$3:$A$500,MATCH($A487,'WetLitterbags placem_collection'!$Q$4:$Q$500,0)),"")</f>
        <v>10</v>
      </c>
    </row>
    <row r="488" spans="1:31">
      <c r="A488" s="206" t="s">
        <v>1121</v>
      </c>
      <c r="C488" s="201">
        <v>148</v>
      </c>
      <c r="D488" s="202">
        <v>1.3778999999999999</v>
      </c>
      <c r="E488" s="202">
        <v>10.855600000000001</v>
      </c>
      <c r="F488" s="202">
        <v>2.1999999999999999E-2</v>
      </c>
      <c r="G488" s="201">
        <f t="shared" si="36"/>
        <v>10.877600000000001</v>
      </c>
      <c r="H488" s="201">
        <v>10.8681</v>
      </c>
      <c r="I488" s="201">
        <f t="shared" si="40"/>
        <v>9.5000000000009521E-3</v>
      </c>
      <c r="J488" s="201">
        <f t="shared" si="38"/>
        <v>1.2499999999999047E-2</v>
      </c>
      <c r="K488" s="280">
        <f t="shared" si="39"/>
        <v>56.818181818177493</v>
      </c>
      <c r="L488" s="201">
        <v>20</v>
      </c>
      <c r="M488" s="203">
        <v>43181.645833333336</v>
      </c>
      <c r="N488" s="203">
        <v>43181.833333333336</v>
      </c>
      <c r="O488" s="201" t="s">
        <v>2556</v>
      </c>
      <c r="P488" s="201" t="s">
        <v>2569</v>
      </c>
      <c r="AB488" s="110" t="str">
        <f>IFERROR(INDEX('WetLitterbags placem_collection'!$A$3:$A$500,MATCH(A488,'WetLitterbags placem_collection'!$K$4:$K$500,0)),"")</f>
        <v/>
      </c>
      <c r="AC488" s="110" t="str">
        <f>IFERROR(INDEX('WetLitterbags placem_collection'!$A$3:$A$500,MATCH($A488,'WetLitterbags placem_collection'!$O$4:$O$500,0)),"")</f>
        <v/>
      </c>
      <c r="AD488" s="110" t="str">
        <f>IFERROR(INDEX('WetLitterbags placem_collection'!$A$3:$A$500,MATCH($A488,'WetLitterbags placem_collection'!$M$4:$M$500,0)),"")</f>
        <v/>
      </c>
      <c r="AE488" s="110">
        <f>IFERROR(INDEX('WetLitterbags placem_collection'!$A$3:$A$500,MATCH($A488,'WetLitterbags placem_collection'!$Q$4:$Q$500,0)),"")</f>
        <v>147</v>
      </c>
    </row>
    <row r="489" spans="1:31">
      <c r="A489" s="206" t="s">
        <v>939</v>
      </c>
      <c r="C489" s="201">
        <v>162</v>
      </c>
      <c r="D489" s="201">
        <v>0.29349999999999998</v>
      </c>
      <c r="E489" s="202">
        <v>9.1972000000000005</v>
      </c>
      <c r="F489" s="202">
        <v>0.2001</v>
      </c>
      <c r="G489" s="201">
        <f t="shared" si="36"/>
        <v>9.3973000000000013</v>
      </c>
      <c r="H489" s="201">
        <v>9.3561999999999994</v>
      </c>
      <c r="I489" s="201">
        <f t="shared" si="40"/>
        <v>4.1100000000001913E-2</v>
      </c>
      <c r="J489" s="201">
        <f t="shared" si="38"/>
        <v>0.15899999999999809</v>
      </c>
      <c r="K489" s="280">
        <f t="shared" si="39"/>
        <v>79.460269865066508</v>
      </c>
      <c r="L489" s="201">
        <v>27</v>
      </c>
      <c r="M489" s="207">
        <v>43186.458333333336</v>
      </c>
      <c r="N489" s="207">
        <v>43186.625</v>
      </c>
      <c r="O489" s="197" t="s">
        <v>2550</v>
      </c>
      <c r="P489" s="201" t="s">
        <v>2563</v>
      </c>
      <c r="AB489" s="110" t="str">
        <f>IFERROR(INDEX('WetLitterbags placem_collection'!$A$3:$A$500,MATCH(A489,'WetLitterbags placem_collection'!$K$4:$K$500,0)),"")</f>
        <v/>
      </c>
      <c r="AC489" s="110" t="str">
        <f>IFERROR(INDEX('WetLitterbags placem_collection'!$A$3:$A$500,MATCH($A489,'WetLitterbags placem_collection'!$O$4:$O$500,0)),"")</f>
        <v/>
      </c>
      <c r="AD489" s="110">
        <f>IFERROR(INDEX('WetLitterbags placem_collection'!$A$3:$A$500,MATCH($A489,'WetLitterbags placem_collection'!$M$4:$M$500,0)),"")</f>
        <v>161</v>
      </c>
      <c r="AE489" s="110" t="str">
        <f>IFERROR(INDEX('WetLitterbags placem_collection'!$A$3:$A$500,MATCH($A489,'WetLitterbags placem_collection'!$Q$4:$Q$500,0)),"")</f>
        <v/>
      </c>
    </row>
    <row r="490" spans="1:31">
      <c r="A490" s="206" t="s">
        <v>1120</v>
      </c>
      <c r="C490" s="201">
        <v>138</v>
      </c>
      <c r="D490" s="201">
        <v>1.2708999999999999</v>
      </c>
      <c r="E490" s="202">
        <v>7.3539000000000003</v>
      </c>
      <c r="F490" s="202">
        <v>0.2044</v>
      </c>
      <c r="G490" s="201">
        <f t="shared" si="36"/>
        <v>7.5583</v>
      </c>
      <c r="H490" s="201">
        <v>7.3643999999999998</v>
      </c>
      <c r="I490" s="201">
        <f t="shared" si="40"/>
        <v>0.19390000000000018</v>
      </c>
      <c r="J490" s="201">
        <f t="shared" si="38"/>
        <v>1.0499999999999815E-2</v>
      </c>
      <c r="K490" s="280">
        <f t="shared" si="39"/>
        <v>5.1369863013697721</v>
      </c>
      <c r="L490" s="201">
        <v>32</v>
      </c>
      <c r="M490" s="207">
        <v>43186.458333333336</v>
      </c>
      <c r="N490" s="207">
        <v>43186.625</v>
      </c>
      <c r="O490" s="197" t="s">
        <v>2550</v>
      </c>
      <c r="P490" s="201"/>
      <c r="AB490" s="110" t="str">
        <f>IFERROR(INDEX('WetLitterbags placem_collection'!$A$3:$A$500,MATCH(A490,'WetLitterbags placem_collection'!$K$4:$K$500,0)),"")</f>
        <v/>
      </c>
      <c r="AC490" s="110" t="str">
        <f>IFERROR(INDEX('WetLitterbags placem_collection'!$A$3:$A$500,MATCH($A490,'WetLitterbags placem_collection'!$O$4:$O$500,0)),"")</f>
        <v/>
      </c>
      <c r="AD490" s="110" t="str">
        <f>IFERROR(INDEX('WetLitterbags placem_collection'!$A$3:$A$500,MATCH($A490,'WetLitterbags placem_collection'!$M$4:$M$500,0)),"")</f>
        <v/>
      </c>
      <c r="AE490" s="110">
        <f>IFERROR(INDEX('WetLitterbags placem_collection'!$A$3:$A$500,MATCH($A490,'WetLitterbags placem_collection'!$Q$4:$Q$500,0)),"")</f>
        <v>137</v>
      </c>
    </row>
    <row r="491" spans="1:31">
      <c r="A491" s="197" t="s">
        <v>926</v>
      </c>
      <c r="C491" s="198">
        <v>167</v>
      </c>
      <c r="D491" s="197">
        <v>1.5136000000000001</v>
      </c>
      <c r="E491" s="201">
        <v>9.0513999999999992</v>
      </c>
      <c r="F491" s="202">
        <v>0.20619999999999999</v>
      </c>
      <c r="G491" s="201">
        <f t="shared" si="36"/>
        <v>9.2576000000000001</v>
      </c>
      <c r="H491" s="201">
        <v>9.0551999999999992</v>
      </c>
      <c r="I491" s="201">
        <f t="shared" si="40"/>
        <v>0.2024000000000008</v>
      </c>
      <c r="J491" s="201">
        <f t="shared" si="38"/>
        <v>3.7999999999991929E-3</v>
      </c>
      <c r="K491" s="280">
        <f t="shared" si="39"/>
        <v>1.8428709990296765</v>
      </c>
      <c r="L491" s="201">
        <v>38</v>
      </c>
      <c r="M491" s="204">
        <v>43212</v>
      </c>
      <c r="AB491" s="110" t="str">
        <f>IFERROR(INDEX('WetLitterbags placem_collection'!$A$3:$A$500,MATCH(A491,'WetLitterbags placem_collection'!$K$4:$K$500,0)),"")</f>
        <v/>
      </c>
      <c r="AC491" s="110" t="str">
        <f>IFERROR(INDEX('WetLitterbags placem_collection'!$A$3:$A$500,MATCH($A491,'WetLitterbags placem_collection'!$O$4:$O$500,0)),"")</f>
        <v/>
      </c>
      <c r="AD491" s="110" t="str">
        <f>IFERROR(INDEX('WetLitterbags placem_collection'!$A$3:$A$500,MATCH($A491,'WetLitterbags placem_collection'!$M$4:$M$500,0)),"")</f>
        <v/>
      </c>
      <c r="AE491" s="110">
        <f>IFERROR(INDEX('WetLitterbags placem_collection'!$A$3:$A$500,MATCH($A491,'WetLitterbags placem_collection'!$Q$4:$Q$500,0)),"")</f>
        <v>166</v>
      </c>
    </row>
    <row r="492" spans="1:31">
      <c r="A492" s="201" t="s">
        <v>925</v>
      </c>
      <c r="C492" s="201">
        <v>189</v>
      </c>
      <c r="D492" s="202">
        <v>1.4669000000000001</v>
      </c>
      <c r="E492" s="202">
        <v>10.901400000000001</v>
      </c>
      <c r="F492" s="202">
        <v>0.20180000000000001</v>
      </c>
      <c r="G492" s="201">
        <f t="shared" si="36"/>
        <v>11.103200000000001</v>
      </c>
      <c r="H492" s="201">
        <v>10.9069</v>
      </c>
      <c r="I492" s="201">
        <f t="shared" si="40"/>
        <v>0.19630000000000081</v>
      </c>
      <c r="J492" s="201">
        <f t="shared" si="38"/>
        <v>5.4999999999992E-3</v>
      </c>
      <c r="K492" s="280">
        <f t="shared" si="39"/>
        <v>2.7254707631314172</v>
      </c>
      <c r="L492" s="201">
        <v>13</v>
      </c>
      <c r="M492" s="201"/>
      <c r="N492" s="201"/>
      <c r="O492" s="201"/>
      <c r="P492" s="201" t="s">
        <v>2557</v>
      </c>
      <c r="AB492" s="110" t="str">
        <f>IFERROR(INDEX('WetLitterbags placem_collection'!$A$3:$A$500,MATCH(A492,'WetLitterbags placem_collection'!$K$4:$K$500,0)),"")</f>
        <v/>
      </c>
      <c r="AC492" s="110" t="str">
        <f>IFERROR(INDEX('WetLitterbags placem_collection'!$A$3:$A$500,MATCH($A492,'WetLitterbags placem_collection'!$O$4:$O$500,0)),"")</f>
        <v/>
      </c>
      <c r="AD492" s="110" t="str">
        <f>IFERROR(INDEX('WetLitterbags placem_collection'!$A$3:$A$500,MATCH($A492,'WetLitterbags placem_collection'!$M$4:$M$500,0)),"")</f>
        <v/>
      </c>
      <c r="AE492" s="110">
        <f>IFERROR(INDEX('WetLitterbags placem_collection'!$A$3:$A$500,MATCH($A492,'WetLitterbags placem_collection'!$Q$4:$Q$500,0)),"")</f>
        <v>188</v>
      </c>
    </row>
    <row r="493" spans="1:31">
      <c r="A493" s="197" t="s">
        <v>924</v>
      </c>
      <c r="C493" s="197">
        <v>27</v>
      </c>
      <c r="D493" s="197">
        <v>1.3244</v>
      </c>
      <c r="E493" s="201">
        <v>8.7601999999999993</v>
      </c>
      <c r="F493" s="202">
        <v>0.20480000000000001</v>
      </c>
      <c r="G493" s="201">
        <f t="shared" si="36"/>
        <v>8.9649999999999999</v>
      </c>
      <c r="H493" s="201">
        <v>8.7674000000000003</v>
      </c>
      <c r="I493" s="201">
        <f t="shared" ref="I493:I524" si="41">(G493-H493)</f>
        <v>0.19759999999999955</v>
      </c>
      <c r="J493" s="201">
        <f t="shared" si="38"/>
        <v>7.200000000000456E-3</v>
      </c>
      <c r="K493" s="280">
        <f t="shared" si="39"/>
        <v>3.5156250000002229</v>
      </c>
      <c r="L493" s="201">
        <v>45</v>
      </c>
      <c r="M493" s="204">
        <v>43212</v>
      </c>
      <c r="AB493" s="110" t="str">
        <f>IFERROR(INDEX('WetLitterbags placem_collection'!$A$3:$A$500,MATCH(A493,'WetLitterbags placem_collection'!$K$4:$K$500,0)),"")</f>
        <v/>
      </c>
      <c r="AC493" s="110" t="str">
        <f>IFERROR(INDEX('WetLitterbags placem_collection'!$A$3:$A$500,MATCH($A493,'WetLitterbags placem_collection'!$O$4:$O$500,0)),"")</f>
        <v/>
      </c>
      <c r="AD493" s="110" t="str">
        <f>IFERROR(INDEX('WetLitterbags placem_collection'!$A$3:$A$500,MATCH($A493,'WetLitterbags placem_collection'!$M$4:$M$500,0)),"")</f>
        <v/>
      </c>
      <c r="AE493" s="110">
        <f>IFERROR(INDEX('WetLitterbags placem_collection'!$A$3:$A$500,MATCH($A493,'WetLitterbags placem_collection'!$Q$4:$Q$500,0)),"")</f>
        <v>26</v>
      </c>
    </row>
    <row r="494" spans="1:31">
      <c r="A494" s="197" t="s">
        <v>923</v>
      </c>
      <c r="C494" s="201">
        <v>201</v>
      </c>
      <c r="D494" s="197">
        <v>1.4213</v>
      </c>
      <c r="E494" s="201">
        <v>9.8872</v>
      </c>
      <c r="F494" s="202">
        <v>0.20599999999999999</v>
      </c>
      <c r="G494" s="201">
        <f t="shared" si="36"/>
        <v>10.0932</v>
      </c>
      <c r="H494" s="201">
        <v>9.8940000000000001</v>
      </c>
      <c r="I494" s="201">
        <f t="shared" si="41"/>
        <v>0.19919999999999938</v>
      </c>
      <c r="J494" s="201">
        <f t="shared" si="38"/>
        <v>6.8000000000006111E-3</v>
      </c>
      <c r="K494" s="280">
        <f t="shared" si="39"/>
        <v>3.3009708737867043</v>
      </c>
      <c r="L494" s="201">
        <v>37</v>
      </c>
      <c r="M494" s="205">
        <v>43211</v>
      </c>
      <c r="AB494" s="110" t="str">
        <f>IFERROR(INDEX('WetLitterbags placem_collection'!$A$3:$A$500,MATCH(A494,'WetLitterbags placem_collection'!$K$4:$K$500,0)),"")</f>
        <v/>
      </c>
      <c r="AC494" s="110" t="str">
        <f>IFERROR(INDEX('WetLitterbags placem_collection'!$A$3:$A$500,MATCH($A494,'WetLitterbags placem_collection'!$O$4:$O$500,0)),"")</f>
        <v/>
      </c>
      <c r="AD494" s="110">
        <f>IFERROR(INDEX('WetLitterbags placem_collection'!$A$3:$A$500,MATCH($A494,'WetLitterbags placem_collection'!$M$4:$M$500,0)),"")</f>
        <v>200</v>
      </c>
      <c r="AE494" s="110" t="str">
        <f>IFERROR(INDEX('WetLitterbags placem_collection'!$A$3:$A$500,MATCH($A494,'WetLitterbags placem_collection'!$Q$4:$Q$500,0)),"")</f>
        <v/>
      </c>
    </row>
    <row r="495" spans="1:31">
      <c r="A495" s="197" t="s">
        <v>922</v>
      </c>
      <c r="C495" s="198">
        <v>197</v>
      </c>
      <c r="D495" s="197">
        <v>1.3661000000000001</v>
      </c>
      <c r="E495" s="197">
        <v>10.510300000000001</v>
      </c>
      <c r="F495" s="202">
        <v>0.20469999999999999</v>
      </c>
      <c r="G495" s="201">
        <f t="shared" si="36"/>
        <v>10.715000000000002</v>
      </c>
      <c r="H495" s="201">
        <v>10.533799999999999</v>
      </c>
      <c r="I495" s="201">
        <f t="shared" si="41"/>
        <v>0.18120000000000225</v>
      </c>
      <c r="J495" s="201">
        <f t="shared" si="38"/>
        <v>2.3499999999997745E-2</v>
      </c>
      <c r="K495" s="280">
        <f t="shared" si="39"/>
        <v>11.480214948704322</v>
      </c>
      <c r="L495" s="201">
        <v>12</v>
      </c>
      <c r="AB495" s="110" t="str">
        <f>IFERROR(INDEX('WetLitterbags placem_collection'!$A$3:$A$500,MATCH(A495,'WetLitterbags placem_collection'!$K$4:$K$500,0)),"")</f>
        <v/>
      </c>
      <c r="AC495" s="110" t="str">
        <f>IFERROR(INDEX('WetLitterbags placem_collection'!$A$3:$A$500,MATCH($A495,'WetLitterbags placem_collection'!$O$4:$O$500,0)),"")</f>
        <v/>
      </c>
      <c r="AD495" s="110">
        <f>IFERROR(INDEX('WetLitterbags placem_collection'!$A$3:$A$500,MATCH($A495,'WetLitterbags placem_collection'!$M$4:$M$500,0)),"")</f>
        <v>196</v>
      </c>
      <c r="AE495" s="110" t="str">
        <f>IFERROR(INDEX('WetLitterbags placem_collection'!$A$3:$A$500,MATCH($A495,'WetLitterbags placem_collection'!$Q$4:$Q$500,0)),"")</f>
        <v/>
      </c>
    </row>
    <row r="496" spans="1:31">
      <c r="A496" s="201" t="s">
        <v>1119</v>
      </c>
      <c r="C496" s="201">
        <v>83</v>
      </c>
      <c r="D496" s="202">
        <v>1.367</v>
      </c>
      <c r="E496" s="201">
        <v>10.1439</v>
      </c>
      <c r="F496" s="202">
        <v>0.20180000000000001</v>
      </c>
      <c r="G496" s="201">
        <f t="shared" si="36"/>
        <v>10.345700000000001</v>
      </c>
      <c r="H496" s="201">
        <v>10.1587</v>
      </c>
      <c r="I496" s="201">
        <f t="shared" si="41"/>
        <v>0.18700000000000117</v>
      </c>
      <c r="J496" s="201">
        <f t="shared" si="38"/>
        <v>1.4799999999998842E-2</v>
      </c>
      <c r="K496" s="280">
        <f t="shared" si="39"/>
        <v>7.3339940535177606</v>
      </c>
      <c r="L496" s="201">
        <v>1</v>
      </c>
      <c r="M496" s="205">
        <v>43206</v>
      </c>
      <c r="N496" s="205">
        <v>43206</v>
      </c>
      <c r="O496" s="201"/>
      <c r="P496" s="201"/>
      <c r="AB496" s="110" t="str">
        <f>IFERROR(INDEX('WetLitterbags placem_collection'!$A$3:$A$500,MATCH(A496,'WetLitterbags placem_collection'!$K$4:$K$500,0)),"")</f>
        <v/>
      </c>
      <c r="AC496" s="110" t="str">
        <f>IFERROR(INDEX('WetLitterbags placem_collection'!$A$3:$A$500,MATCH($A496,'WetLitterbags placem_collection'!$O$4:$O$500,0)),"")</f>
        <v/>
      </c>
      <c r="AD496" s="110" t="str">
        <f>IFERROR(INDEX('WetLitterbags placem_collection'!$A$3:$A$500,MATCH($A496,'WetLitterbags placem_collection'!$M$4:$M$500,0)),"")</f>
        <v/>
      </c>
      <c r="AE496" s="110">
        <f>IFERROR(INDEX('WetLitterbags placem_collection'!$A$3:$A$500,MATCH($A496,'WetLitterbags placem_collection'!$Q$4:$Q$500,0)),"")</f>
        <v>82</v>
      </c>
    </row>
    <row r="497" spans="1:31">
      <c r="A497" s="197" t="s">
        <v>919</v>
      </c>
      <c r="C497" s="198">
        <v>188</v>
      </c>
      <c r="D497" s="197">
        <v>1.397</v>
      </c>
      <c r="E497" s="202">
        <v>8.7731999999999992</v>
      </c>
      <c r="F497" s="202">
        <v>0.20899999999999999</v>
      </c>
      <c r="G497" s="201">
        <f t="shared" si="36"/>
        <v>8.9821999999999989</v>
      </c>
      <c r="H497" s="201">
        <v>8.7799999999999994</v>
      </c>
      <c r="I497" s="201">
        <f t="shared" si="41"/>
        <v>0.20219999999999949</v>
      </c>
      <c r="J497" s="201">
        <f t="shared" si="38"/>
        <v>6.8000000000005001E-3</v>
      </c>
      <c r="K497" s="280">
        <f t="shared" si="39"/>
        <v>3.2535885167466505</v>
      </c>
      <c r="L497" s="201">
        <v>11</v>
      </c>
      <c r="AB497" s="110" t="str">
        <f>IFERROR(INDEX('WetLitterbags placem_collection'!$A$3:$A$500,MATCH(A497,'WetLitterbags placem_collection'!$K$4:$K$500,0)),"")</f>
        <v/>
      </c>
      <c r="AC497" s="110" t="str">
        <f>IFERROR(INDEX('WetLitterbags placem_collection'!$A$3:$A$500,MATCH($A497,'WetLitterbags placem_collection'!$O$4:$O$500,0)),"")</f>
        <v/>
      </c>
      <c r="AD497" s="110" t="str">
        <f>IFERROR(INDEX('WetLitterbags placem_collection'!$A$3:$A$500,MATCH($A497,'WetLitterbags placem_collection'!$M$4:$M$500,0)),"")</f>
        <v/>
      </c>
      <c r="AE497" s="110">
        <f>IFERROR(INDEX('WetLitterbags placem_collection'!$A$3:$A$500,MATCH($A497,'WetLitterbags placem_collection'!$Q$4:$Q$500,0)),"")</f>
        <v>187</v>
      </c>
    </row>
    <row r="498" spans="1:31">
      <c r="A498" s="201" t="s">
        <v>913</v>
      </c>
      <c r="C498" s="201">
        <v>77</v>
      </c>
      <c r="D498" s="201">
        <v>1.891</v>
      </c>
      <c r="E498" s="201">
        <v>10.921099999999999</v>
      </c>
      <c r="F498" s="202">
        <v>0.2026</v>
      </c>
      <c r="G498" s="201">
        <f t="shared" si="36"/>
        <v>11.123699999999999</v>
      </c>
      <c r="H498" s="201">
        <v>10.9733</v>
      </c>
      <c r="I498" s="201">
        <f t="shared" si="41"/>
        <v>0.15039999999999942</v>
      </c>
      <c r="J498" s="201">
        <f t="shared" si="38"/>
        <v>5.2200000000000579E-2</v>
      </c>
      <c r="K498" s="280">
        <f t="shared" si="39"/>
        <v>25.765054294176</v>
      </c>
      <c r="L498" s="201">
        <v>32</v>
      </c>
      <c r="M498" s="205">
        <v>43187</v>
      </c>
      <c r="N498" s="205">
        <v>43187</v>
      </c>
      <c r="O498" s="201"/>
      <c r="P498" s="201"/>
      <c r="AB498" s="110" t="str">
        <f>IFERROR(INDEX('WetLitterbags placem_collection'!$A$3:$A$500,MATCH(A498,'WetLitterbags placem_collection'!$K$4:$K$500,0)),"")</f>
        <v/>
      </c>
      <c r="AC498" s="110" t="str">
        <f>IFERROR(INDEX('WetLitterbags placem_collection'!$A$3:$A$500,MATCH($A498,'WetLitterbags placem_collection'!$O$4:$O$500,0)),"")</f>
        <v/>
      </c>
      <c r="AD498" s="110" t="str">
        <f>IFERROR(INDEX('WetLitterbags placem_collection'!$A$3:$A$500,MATCH($A498,'WetLitterbags placem_collection'!$M$4:$M$500,0)),"")</f>
        <v/>
      </c>
      <c r="AE498" s="110">
        <f>IFERROR(INDEX('WetLitterbags placem_collection'!$A$3:$A$500,MATCH($A498,'WetLitterbags placem_collection'!$Q$4:$Q$500,0)),"")</f>
        <v>76</v>
      </c>
    </row>
    <row r="499" spans="1:31">
      <c r="A499" s="201" t="s">
        <v>1118</v>
      </c>
      <c r="C499" s="201">
        <v>59</v>
      </c>
      <c r="D499" s="201">
        <v>1.1779999999999999</v>
      </c>
      <c r="E499" s="201">
        <v>11.1587</v>
      </c>
      <c r="F499" s="201">
        <v>0.19759999999999955</v>
      </c>
      <c r="G499" s="201">
        <f t="shared" ref="G499:G562" si="42">E499+F499</f>
        <v>11.356299999999999</v>
      </c>
      <c r="H499" s="201">
        <v>11.171099999999999</v>
      </c>
      <c r="I499" s="201">
        <f t="shared" si="41"/>
        <v>0.18520000000000003</v>
      </c>
      <c r="J499" s="201">
        <f t="shared" ref="J499:J562" si="43">F499-I499</f>
        <v>1.2399999999999523E-2</v>
      </c>
      <c r="K499" s="280">
        <f t="shared" ref="K499:K562" si="44">(J499/F499)*100</f>
        <v>6.2753036437244685</v>
      </c>
      <c r="L499" s="201">
        <v>2</v>
      </c>
      <c r="M499" s="205">
        <v>43188</v>
      </c>
      <c r="N499" s="205">
        <v>43188</v>
      </c>
      <c r="O499" s="201"/>
      <c r="P499" s="201"/>
      <c r="U499" s="202" t="s">
        <v>1149</v>
      </c>
      <c r="V499" s="197">
        <v>0.84740000000000004</v>
      </c>
      <c r="W499" s="197">
        <f>(V499-$T$175+F497)</f>
        <v>1.0564</v>
      </c>
      <c r="AB499" s="110" t="str">
        <f>IFERROR(INDEX('WetLitterbags placem_collection'!$A$3:$A$500,MATCH(A499,'WetLitterbags placem_collection'!$K$4:$K$500,0)),"")</f>
        <v/>
      </c>
      <c r="AC499" s="110" t="str">
        <f>IFERROR(INDEX('WetLitterbags placem_collection'!$A$3:$A$500,MATCH($A499,'WetLitterbags placem_collection'!$O$4:$O$500,0)),"")</f>
        <v/>
      </c>
      <c r="AD499" s="110">
        <f>IFERROR(INDEX('WetLitterbags placem_collection'!$A$3:$A$500,MATCH($A499,'WetLitterbags placem_collection'!$M$4:$M$500,0)),"")</f>
        <v>58</v>
      </c>
      <c r="AE499" s="110" t="str">
        <f>IFERROR(INDEX('WetLitterbags placem_collection'!$A$3:$A$500,MATCH($A499,'WetLitterbags placem_collection'!$Q$4:$Q$500,0)),"")</f>
        <v/>
      </c>
    </row>
    <row r="500" spans="1:31">
      <c r="A500" s="206" t="s">
        <v>909</v>
      </c>
      <c r="C500" s="201">
        <v>190</v>
      </c>
      <c r="D500" s="201">
        <v>1.5285</v>
      </c>
      <c r="E500" s="201">
        <v>7.1898999999999997</v>
      </c>
      <c r="F500" s="202">
        <v>0.20300000000000001</v>
      </c>
      <c r="G500" s="201">
        <f t="shared" si="42"/>
        <v>7.3929</v>
      </c>
      <c r="H500" s="201">
        <v>7.1943999999999999</v>
      </c>
      <c r="I500" s="201">
        <f t="shared" si="41"/>
        <v>0.19850000000000012</v>
      </c>
      <c r="J500" s="201">
        <f t="shared" si="43"/>
        <v>4.499999999999893E-3</v>
      </c>
      <c r="K500" s="280">
        <f t="shared" si="44"/>
        <v>2.2167487684728533</v>
      </c>
      <c r="L500" s="201">
        <v>32</v>
      </c>
      <c r="M500" s="205">
        <v>43211</v>
      </c>
      <c r="AB500" s="110" t="str">
        <f>IFERROR(INDEX('WetLitterbags placem_collection'!$A$3:$A$500,MATCH(A500,'WetLitterbags placem_collection'!$K$4:$K$500,0)),"")</f>
        <v/>
      </c>
      <c r="AC500" s="110" t="str">
        <f>IFERROR(INDEX('WetLitterbags placem_collection'!$A$3:$A$500,MATCH($A500,'WetLitterbags placem_collection'!$O$4:$O$500,0)),"")</f>
        <v/>
      </c>
      <c r="AD500" s="110" t="str">
        <f>IFERROR(INDEX('WetLitterbags placem_collection'!$A$3:$A$500,MATCH($A500,'WetLitterbags placem_collection'!$M$4:$M$500,0)),"")</f>
        <v/>
      </c>
      <c r="AE500" s="110">
        <f>IFERROR(INDEX('WetLitterbags placem_collection'!$A$3:$A$500,MATCH($A500,'WetLitterbags placem_collection'!$Q$4:$Q$500,0)),"")</f>
        <v>189</v>
      </c>
    </row>
    <row r="501" spans="1:31">
      <c r="A501" s="206" t="s">
        <v>907</v>
      </c>
      <c r="C501" s="201">
        <v>206</v>
      </c>
      <c r="D501" s="201">
        <v>1.468</v>
      </c>
      <c r="E501" s="201">
        <v>8.9577000000000009</v>
      </c>
      <c r="F501" s="202">
        <v>0.20619999999999999</v>
      </c>
      <c r="G501" s="201">
        <f t="shared" si="42"/>
        <v>9.1639000000000017</v>
      </c>
      <c r="H501" s="201">
        <v>8.9783000000000008</v>
      </c>
      <c r="I501" s="201">
        <f t="shared" si="41"/>
        <v>0.18560000000000088</v>
      </c>
      <c r="J501" s="201">
        <f t="shared" si="43"/>
        <v>2.0599999999999119E-2</v>
      </c>
      <c r="K501" s="280">
        <f t="shared" si="44"/>
        <v>9.9903006789520461</v>
      </c>
      <c r="L501" s="201">
        <v>12</v>
      </c>
      <c r="M501" s="205">
        <v>43187</v>
      </c>
      <c r="N501" s="205">
        <v>43187</v>
      </c>
      <c r="O501" s="201"/>
      <c r="P501" s="201"/>
      <c r="AB501" s="110" t="str">
        <f>IFERROR(INDEX('WetLitterbags placem_collection'!$A$3:$A$500,MATCH(A501,'WetLitterbags placem_collection'!$K$4:$K$500,0)),"")</f>
        <v/>
      </c>
      <c r="AC501" s="110" t="str">
        <f>IFERROR(INDEX('WetLitterbags placem_collection'!$A$3:$A$500,MATCH($A501,'WetLitterbags placem_collection'!$O$4:$O$500,0)),"")</f>
        <v/>
      </c>
      <c r="AD501" s="110">
        <f>IFERROR(INDEX('WetLitterbags placem_collection'!$A$3:$A$500,MATCH($A501,'WetLitterbags placem_collection'!$M$4:$M$500,0)),"")</f>
        <v>205</v>
      </c>
      <c r="AE501" s="110" t="str">
        <f>IFERROR(INDEX('WetLitterbags placem_collection'!$A$3:$A$500,MATCH($A501,'WetLitterbags placem_collection'!$Q$4:$Q$500,0)),"")</f>
        <v/>
      </c>
    </row>
    <row r="502" spans="1:31">
      <c r="A502" s="197" t="s">
        <v>906</v>
      </c>
      <c r="C502" s="197">
        <v>79</v>
      </c>
      <c r="D502" s="197">
        <v>1.3266</v>
      </c>
      <c r="E502" s="197">
        <v>19.690200000000001</v>
      </c>
      <c r="F502" s="197">
        <v>0.2044</v>
      </c>
      <c r="G502" s="197">
        <f t="shared" si="42"/>
        <v>19.894600000000001</v>
      </c>
      <c r="H502" s="197">
        <v>19.707999999999998</v>
      </c>
      <c r="I502" s="197">
        <f t="shared" si="41"/>
        <v>0.1866000000000021</v>
      </c>
      <c r="J502" s="201">
        <f t="shared" si="43"/>
        <v>1.7799999999997901E-2</v>
      </c>
      <c r="K502" s="280">
        <f t="shared" si="44"/>
        <v>8.7084148727974071</v>
      </c>
      <c r="L502" s="197">
        <v>22</v>
      </c>
      <c r="M502" s="197" t="s">
        <v>2580</v>
      </c>
      <c r="N502" s="197" t="s">
        <v>2579</v>
      </c>
      <c r="O502" s="197" t="s">
        <v>2556</v>
      </c>
      <c r="AB502" s="110" t="str">
        <f>IFERROR(INDEX('WetLitterbags placem_collection'!$A$3:$A$500,MATCH(A502,'WetLitterbags placem_collection'!$K$4:$K$500,0)),"")</f>
        <v/>
      </c>
      <c r="AC502" s="110" t="str">
        <f>IFERROR(INDEX('WetLitterbags placem_collection'!$A$3:$A$500,MATCH($A502,'WetLitterbags placem_collection'!$O$4:$O$500,0)),"")</f>
        <v/>
      </c>
      <c r="AD502" s="110">
        <f>IFERROR(INDEX('WetLitterbags placem_collection'!$A$3:$A$500,MATCH($A502,'WetLitterbags placem_collection'!$M$4:$M$500,0)),"")</f>
        <v>78</v>
      </c>
      <c r="AE502" s="110" t="str">
        <f>IFERROR(INDEX('WetLitterbags placem_collection'!$A$3:$A$500,MATCH($A502,'WetLitterbags placem_collection'!$Q$4:$Q$500,0)),"")</f>
        <v/>
      </c>
    </row>
    <row r="503" spans="1:31">
      <c r="A503" s="197" t="s">
        <v>1117</v>
      </c>
      <c r="C503" s="197">
        <v>34</v>
      </c>
      <c r="D503" s="197">
        <v>1.2261</v>
      </c>
      <c r="E503" s="197">
        <v>8.1184999999999992</v>
      </c>
      <c r="F503" s="197">
        <v>0.2031</v>
      </c>
      <c r="G503" s="197">
        <f t="shared" si="42"/>
        <v>8.3215999999999983</v>
      </c>
      <c r="H503" s="197">
        <v>8.1336999999999993</v>
      </c>
      <c r="I503" s="197">
        <f t="shared" si="41"/>
        <v>0.18789999999999907</v>
      </c>
      <c r="J503" s="201">
        <f t="shared" si="43"/>
        <v>1.5200000000000935E-2</v>
      </c>
      <c r="K503" s="280">
        <f t="shared" si="44"/>
        <v>7.4839980305272942</v>
      </c>
      <c r="L503" s="197">
        <v>9</v>
      </c>
      <c r="M503" s="197" t="s">
        <v>2586</v>
      </c>
      <c r="N503" s="197" t="s">
        <v>2585</v>
      </c>
      <c r="O503" s="197" t="s">
        <v>2550</v>
      </c>
      <c r="AB503" s="110" t="str">
        <f>IFERROR(INDEX('WetLitterbags placem_collection'!$A$3:$A$500,MATCH(A503,'WetLitterbags placem_collection'!$K$4:$K$500,0)),"")</f>
        <v/>
      </c>
      <c r="AC503" s="110" t="str">
        <f>IFERROR(INDEX('WetLitterbags placem_collection'!$A$3:$A$500,MATCH($A503,'WetLitterbags placem_collection'!$O$4:$O$500,0)),"")</f>
        <v/>
      </c>
      <c r="AD503" s="110" t="str">
        <f>IFERROR(INDEX('WetLitterbags placem_collection'!$A$3:$A$500,MATCH($A503,'WetLitterbags placem_collection'!$M$4:$M$500,0)),"")</f>
        <v/>
      </c>
      <c r="AE503" s="110">
        <f>IFERROR(INDEX('WetLitterbags placem_collection'!$A$3:$A$500,MATCH($A503,'WetLitterbags placem_collection'!$Q$4:$Q$500,0)),"")</f>
        <v>33</v>
      </c>
    </row>
    <row r="504" spans="1:31">
      <c r="A504" s="206" t="s">
        <v>900</v>
      </c>
      <c r="C504" s="201">
        <v>216</v>
      </c>
      <c r="D504" s="201">
        <v>1.2964</v>
      </c>
      <c r="E504" s="201">
        <v>9.1974999999999998</v>
      </c>
      <c r="F504" s="202">
        <v>0.2026</v>
      </c>
      <c r="G504" s="201">
        <f t="shared" si="42"/>
        <v>9.4001000000000001</v>
      </c>
      <c r="H504" s="201">
        <v>9.2410999999999994</v>
      </c>
      <c r="I504" s="201">
        <f t="shared" si="41"/>
        <v>0.1590000000000007</v>
      </c>
      <c r="J504" s="201">
        <f t="shared" si="43"/>
        <v>4.3599999999999306E-2</v>
      </c>
      <c r="K504" s="280">
        <f t="shared" si="44"/>
        <v>21.520236920039142</v>
      </c>
      <c r="L504" s="201">
        <v>23</v>
      </c>
      <c r="M504" s="205">
        <v>43211</v>
      </c>
      <c r="AB504" s="110" t="str">
        <f>IFERROR(INDEX('WetLitterbags placem_collection'!$A$3:$A$500,MATCH(A504,'WetLitterbags placem_collection'!$K$4:$K$500,0)),"")</f>
        <v/>
      </c>
      <c r="AC504" s="110" t="str">
        <f>IFERROR(INDEX('WetLitterbags placem_collection'!$A$3:$A$500,MATCH($A504,'WetLitterbags placem_collection'!$O$4:$O$500,0)),"")</f>
        <v/>
      </c>
      <c r="AD504" s="110">
        <f>IFERROR(INDEX('WetLitterbags placem_collection'!$A$3:$A$500,MATCH($A504,'WetLitterbags placem_collection'!$M$4:$M$500,0)),"")</f>
        <v>215</v>
      </c>
      <c r="AE504" s="110" t="str">
        <f>IFERROR(INDEX('WetLitterbags placem_collection'!$A$3:$A$500,MATCH($A504,'WetLitterbags placem_collection'!$Q$4:$Q$500,0)),"")</f>
        <v/>
      </c>
    </row>
    <row r="505" spans="1:31">
      <c r="A505" s="201" t="s">
        <v>1116</v>
      </c>
      <c r="C505" s="201">
        <v>195</v>
      </c>
      <c r="D505" s="201">
        <v>1.1187</v>
      </c>
      <c r="E505" s="201">
        <v>10.8569</v>
      </c>
      <c r="F505" s="201">
        <v>0.20469999999999999</v>
      </c>
      <c r="G505" s="201">
        <f t="shared" si="42"/>
        <v>11.0616</v>
      </c>
      <c r="H505" s="201">
        <v>10.866300000000001</v>
      </c>
      <c r="I505" s="201">
        <f t="shared" si="41"/>
        <v>0.19529999999999959</v>
      </c>
      <c r="J505" s="201">
        <f t="shared" si="43"/>
        <v>9.400000000000408E-3</v>
      </c>
      <c r="K505" s="280">
        <f t="shared" si="44"/>
        <v>4.592085979482369</v>
      </c>
      <c r="L505" s="201">
        <v>13</v>
      </c>
      <c r="M505" s="203">
        <v>43164.628472222219</v>
      </c>
      <c r="N505" s="203">
        <v>43164.795138888891</v>
      </c>
      <c r="O505" s="197" t="s">
        <v>2550</v>
      </c>
      <c r="P505" s="201"/>
      <c r="AB505" s="110" t="str">
        <f>IFERROR(INDEX('WetLitterbags placem_collection'!$A$3:$A$500,MATCH(A505,'WetLitterbags placem_collection'!$K$4:$K$500,0)),"")</f>
        <v/>
      </c>
      <c r="AC505" s="110" t="str">
        <f>IFERROR(INDEX('WetLitterbags placem_collection'!$A$3:$A$500,MATCH($A505,'WetLitterbags placem_collection'!$O$4:$O$500,0)),"")</f>
        <v/>
      </c>
      <c r="AD505" s="110" t="str">
        <f>IFERROR(INDEX('WetLitterbags placem_collection'!$A$3:$A$500,MATCH($A505,'WetLitterbags placem_collection'!$M$4:$M$500,0)),"")</f>
        <v/>
      </c>
      <c r="AE505" s="110">
        <f>IFERROR(INDEX('WetLitterbags placem_collection'!$A$3:$A$500,MATCH($A505,'WetLitterbags placem_collection'!$Q$4:$Q$500,0)),"")</f>
        <v>194</v>
      </c>
    </row>
    <row r="506" spans="1:31">
      <c r="A506" s="113" t="s">
        <v>1116</v>
      </c>
      <c r="C506" s="197">
        <v>195</v>
      </c>
      <c r="D506" s="197">
        <v>1.4236</v>
      </c>
      <c r="E506" s="201">
        <v>11.1591</v>
      </c>
      <c r="F506" s="202">
        <v>0.2039</v>
      </c>
      <c r="G506" s="201">
        <f t="shared" si="42"/>
        <v>11.363000000000001</v>
      </c>
      <c r="H506" s="201">
        <v>11.1755</v>
      </c>
      <c r="I506" s="201">
        <f t="shared" si="41"/>
        <v>0.18750000000000178</v>
      </c>
      <c r="J506" s="201">
        <f t="shared" si="43"/>
        <v>1.6399999999998222E-2</v>
      </c>
      <c r="K506" s="280">
        <f t="shared" si="44"/>
        <v>8.0431584109849048</v>
      </c>
      <c r="L506" s="201">
        <v>40</v>
      </c>
      <c r="M506" s="205">
        <v>43211</v>
      </c>
      <c r="AB506" s="110" t="str">
        <f>IFERROR(INDEX('WetLitterbags placem_collection'!$A$3:$A$500,MATCH(A506,'WetLitterbags placem_collection'!$K$4:$K$500,0)),"")</f>
        <v/>
      </c>
      <c r="AC506" s="110" t="str">
        <f>IFERROR(INDEX('WetLitterbags placem_collection'!$A$3:$A$500,MATCH($A506,'WetLitterbags placem_collection'!$O$4:$O$500,0)),"")</f>
        <v/>
      </c>
      <c r="AD506" s="110" t="str">
        <f>IFERROR(INDEX('WetLitterbags placem_collection'!$A$3:$A$500,MATCH($A506,'WetLitterbags placem_collection'!$M$4:$M$500,0)),"")</f>
        <v/>
      </c>
      <c r="AE506" s="110">
        <f>IFERROR(INDEX('WetLitterbags placem_collection'!$A$3:$A$500,MATCH($A506,'WetLitterbags placem_collection'!$Q$4:$Q$500,0)),"")</f>
        <v>194</v>
      </c>
    </row>
    <row r="507" spans="1:31">
      <c r="A507" s="197" t="s">
        <v>891</v>
      </c>
      <c r="C507" s="198">
        <v>220</v>
      </c>
      <c r="D507" s="197">
        <v>1.3202</v>
      </c>
      <c r="E507" s="202">
        <v>8.7681000000000004</v>
      </c>
      <c r="F507" s="202">
        <v>0.20599999999999999</v>
      </c>
      <c r="G507" s="201">
        <f t="shared" si="42"/>
        <v>8.9741</v>
      </c>
      <c r="H507" s="201">
        <v>8.7797000000000001</v>
      </c>
      <c r="I507" s="201">
        <f t="shared" si="41"/>
        <v>0.19439999999999991</v>
      </c>
      <c r="J507" s="201">
        <f t="shared" si="43"/>
        <v>1.1600000000000082E-2</v>
      </c>
      <c r="K507" s="280">
        <f t="shared" si="44"/>
        <v>5.6310679611650896</v>
      </c>
      <c r="L507" s="201">
        <v>6</v>
      </c>
      <c r="AB507" s="110" t="str">
        <f>IFERROR(INDEX('WetLitterbags placem_collection'!$A$3:$A$500,MATCH(A507,'WetLitterbags placem_collection'!$K$4:$K$500,0)),"")</f>
        <v/>
      </c>
      <c r="AC507" s="110" t="str">
        <f>IFERROR(INDEX('WetLitterbags placem_collection'!$A$3:$A$500,MATCH($A507,'WetLitterbags placem_collection'!$O$4:$O$500,0)),"")</f>
        <v/>
      </c>
      <c r="AD507" s="110">
        <f>IFERROR(INDEX('WetLitterbags placem_collection'!$A$3:$A$500,MATCH($A507,'WetLitterbags placem_collection'!$M$4:$M$500,0)),"")</f>
        <v>219</v>
      </c>
      <c r="AE507" s="110" t="str">
        <f>IFERROR(INDEX('WetLitterbags placem_collection'!$A$3:$A$500,MATCH($A507,'WetLitterbags placem_collection'!$Q$4:$Q$500,0)),"")</f>
        <v/>
      </c>
    </row>
    <row r="508" spans="1:31">
      <c r="A508" s="201" t="s">
        <v>890</v>
      </c>
      <c r="C508" s="201">
        <v>69</v>
      </c>
      <c r="D508" s="202">
        <v>1.5922000000000001</v>
      </c>
      <c r="E508" s="202">
        <v>7.8013000000000003</v>
      </c>
      <c r="F508" s="202">
        <v>0.2039</v>
      </c>
      <c r="G508" s="201">
        <f t="shared" si="42"/>
        <v>8.0052000000000003</v>
      </c>
      <c r="H508" s="201">
        <v>7.8299000000000003</v>
      </c>
      <c r="I508" s="201">
        <f t="shared" si="41"/>
        <v>0.17530000000000001</v>
      </c>
      <c r="J508" s="201">
        <f t="shared" si="43"/>
        <v>2.8599999999999987E-2</v>
      </c>
      <c r="K508" s="280">
        <f t="shared" si="44"/>
        <v>14.026483570377628</v>
      </c>
      <c r="L508" s="201">
        <v>17</v>
      </c>
      <c r="M508" s="203">
        <v>43181.645833333336</v>
      </c>
      <c r="N508" s="203">
        <v>43181.833333333336</v>
      </c>
      <c r="O508" s="201" t="s">
        <v>2556</v>
      </c>
      <c r="P508" s="201"/>
      <c r="AB508" s="110" t="str">
        <f>IFERROR(INDEX('WetLitterbags placem_collection'!$A$3:$A$500,MATCH(A508,'WetLitterbags placem_collection'!$K$4:$K$500,0)),"")</f>
        <v/>
      </c>
      <c r="AC508" s="110" t="str">
        <f>IFERROR(INDEX('WetLitterbags placem_collection'!$A$3:$A$500,MATCH($A508,'WetLitterbags placem_collection'!$O$4:$O$500,0)),"")</f>
        <v/>
      </c>
      <c r="AD508" s="110" t="str">
        <f>IFERROR(INDEX('WetLitterbags placem_collection'!$A$3:$A$500,MATCH($A508,'WetLitterbags placem_collection'!$M$4:$M$500,0)),"")</f>
        <v/>
      </c>
      <c r="AE508" s="110">
        <f>IFERROR(INDEX('WetLitterbags placem_collection'!$A$3:$A$500,MATCH($A508,'WetLitterbags placem_collection'!$Q$4:$Q$500,0)),"")</f>
        <v>68</v>
      </c>
    </row>
    <row r="509" spans="1:31">
      <c r="A509" s="197" t="s">
        <v>888</v>
      </c>
      <c r="C509" s="197">
        <v>161</v>
      </c>
      <c r="D509" s="197">
        <v>1.4676</v>
      </c>
      <c r="E509" s="197">
        <v>9.1572999999999993</v>
      </c>
      <c r="F509" s="197">
        <v>0.2084</v>
      </c>
      <c r="G509" s="197">
        <f t="shared" si="42"/>
        <v>9.3656999999999986</v>
      </c>
      <c r="H509" s="197">
        <v>9.1624999999999996</v>
      </c>
      <c r="I509" s="197">
        <f t="shared" si="41"/>
        <v>0.20319999999999894</v>
      </c>
      <c r="J509" s="201">
        <f t="shared" si="43"/>
        <v>5.2000000000010649E-3</v>
      </c>
      <c r="K509" s="280">
        <f t="shared" si="44"/>
        <v>2.4952015355091484</v>
      </c>
      <c r="L509" s="197">
        <v>1</v>
      </c>
      <c r="M509" s="197">
        <v>43160.520833333336</v>
      </c>
      <c r="N509" s="197">
        <v>43160.6875</v>
      </c>
      <c r="O509" s="197" t="s">
        <v>2550</v>
      </c>
      <c r="AB509" s="110" t="str">
        <f>IFERROR(INDEX('WetLitterbags placem_collection'!$A$3:$A$500,MATCH(A509,'WetLitterbags placem_collection'!$K$4:$K$500,0)),"")</f>
        <v/>
      </c>
      <c r="AC509" s="110" t="str">
        <f>IFERROR(INDEX('WetLitterbags placem_collection'!$A$3:$A$500,MATCH($A509,'WetLitterbags placem_collection'!$O$4:$O$500,0)),"")</f>
        <v/>
      </c>
      <c r="AD509" s="110" t="str">
        <f>IFERROR(INDEX('WetLitterbags placem_collection'!$A$3:$A$500,MATCH($A509,'WetLitterbags placem_collection'!$M$4:$M$500,0)),"")</f>
        <v/>
      </c>
      <c r="AE509" s="110">
        <f>IFERROR(INDEX('WetLitterbags placem_collection'!$A$3:$A$500,MATCH($A509,'WetLitterbags placem_collection'!$Q$4:$Q$500,0)),"")</f>
        <v>160</v>
      </c>
    </row>
    <row r="510" spans="1:31">
      <c r="A510" s="197" t="s">
        <v>886</v>
      </c>
      <c r="C510" s="198">
        <v>167</v>
      </c>
      <c r="D510" s="197">
        <v>1.5271999999999999</v>
      </c>
      <c r="E510" s="202">
        <v>8.0466999999999995</v>
      </c>
      <c r="F510" s="202">
        <v>0.20660000000000001</v>
      </c>
      <c r="G510" s="201">
        <f t="shared" si="42"/>
        <v>8.2532999999999994</v>
      </c>
      <c r="H510" s="201">
        <v>8.0503</v>
      </c>
      <c r="I510" s="201">
        <f t="shared" si="41"/>
        <v>0.2029999999999994</v>
      </c>
      <c r="J510" s="201">
        <f t="shared" si="43"/>
        <v>3.6000000000006027E-3</v>
      </c>
      <c r="K510" s="280">
        <f t="shared" si="44"/>
        <v>1.7424975798647639</v>
      </c>
      <c r="L510" s="201">
        <v>34</v>
      </c>
      <c r="AB510" s="110" t="str">
        <f>IFERROR(INDEX('WetLitterbags placem_collection'!$A$3:$A$500,MATCH(A510,'WetLitterbags placem_collection'!$K$4:$K$500,0)),"")</f>
        <v/>
      </c>
      <c r="AC510" s="110" t="str">
        <f>IFERROR(INDEX('WetLitterbags placem_collection'!$A$3:$A$500,MATCH($A510,'WetLitterbags placem_collection'!$O$4:$O$500,0)),"")</f>
        <v/>
      </c>
      <c r="AD510" s="110">
        <f>IFERROR(INDEX('WetLitterbags placem_collection'!$A$3:$A$500,MATCH($A510,'WetLitterbags placem_collection'!$M$4:$M$500,0)),"")</f>
        <v>166</v>
      </c>
      <c r="AE510" s="110" t="str">
        <f>IFERROR(INDEX('WetLitterbags placem_collection'!$A$3:$A$500,MATCH($A510,'WetLitterbags placem_collection'!$Q$4:$Q$500,0)),"")</f>
        <v/>
      </c>
    </row>
    <row r="511" spans="1:31">
      <c r="A511" s="201" t="s">
        <v>883</v>
      </c>
      <c r="C511" s="201">
        <v>207</v>
      </c>
      <c r="D511" s="201">
        <v>1.3046</v>
      </c>
      <c r="E511" s="202">
        <v>9.1372999999999998</v>
      </c>
      <c r="F511" s="202">
        <v>0.20169999999999999</v>
      </c>
      <c r="G511" s="201">
        <f t="shared" si="42"/>
        <v>9.3390000000000004</v>
      </c>
      <c r="H511" s="201">
        <v>9.1700999999999997</v>
      </c>
      <c r="I511" s="201">
        <f t="shared" si="41"/>
        <v>0.16890000000000072</v>
      </c>
      <c r="J511" s="201">
        <f t="shared" si="43"/>
        <v>3.2799999999999274E-2</v>
      </c>
      <c r="K511" s="280">
        <f t="shared" si="44"/>
        <v>16.261774913237122</v>
      </c>
      <c r="L511" s="201">
        <v>6</v>
      </c>
      <c r="M511" s="205">
        <v>43197</v>
      </c>
      <c r="N511" s="205">
        <v>43197</v>
      </c>
      <c r="O511" s="201"/>
      <c r="P511" s="201"/>
      <c r="AB511" s="110" t="str">
        <f>IFERROR(INDEX('WetLitterbags placem_collection'!$A$3:$A$500,MATCH(A511,'WetLitterbags placem_collection'!$K$4:$K$500,0)),"")</f>
        <v/>
      </c>
      <c r="AC511" s="110" t="str">
        <f>IFERROR(INDEX('WetLitterbags placem_collection'!$A$3:$A$500,MATCH($A511,'WetLitterbags placem_collection'!$O$4:$O$500,0)),"")</f>
        <v/>
      </c>
      <c r="AD511" s="110">
        <f>IFERROR(INDEX('WetLitterbags placem_collection'!$A$3:$A$500,MATCH($A511,'WetLitterbags placem_collection'!$M$4:$M$500,0)),"")</f>
        <v>206</v>
      </c>
      <c r="AE511" s="110" t="str">
        <f>IFERROR(INDEX('WetLitterbags placem_collection'!$A$3:$A$500,MATCH($A511,'WetLitterbags placem_collection'!$Q$4:$Q$500,0)),"")</f>
        <v/>
      </c>
    </row>
    <row r="512" spans="1:31">
      <c r="A512" s="197" t="s">
        <v>882</v>
      </c>
      <c r="C512" s="198">
        <v>166</v>
      </c>
      <c r="D512" s="197">
        <v>1.5031000000000001</v>
      </c>
      <c r="E512" s="202">
        <v>9.1373999999999995</v>
      </c>
      <c r="F512" s="202">
        <v>0.20180000000000001</v>
      </c>
      <c r="G512" s="201">
        <f t="shared" si="42"/>
        <v>9.3391999999999999</v>
      </c>
      <c r="H512" s="201">
        <v>9.1412999999999993</v>
      </c>
      <c r="I512" s="201">
        <f t="shared" si="41"/>
        <v>0.19790000000000063</v>
      </c>
      <c r="J512" s="201">
        <f t="shared" si="43"/>
        <v>3.8999999999993762E-3</v>
      </c>
      <c r="K512" s="280">
        <f t="shared" si="44"/>
        <v>1.9326065411295223</v>
      </c>
      <c r="L512" s="201">
        <v>15</v>
      </c>
      <c r="AB512" s="110" t="str">
        <f>IFERROR(INDEX('WetLitterbags placem_collection'!$A$3:$A$500,MATCH(A512,'WetLitterbags placem_collection'!$K$4:$K$500,0)),"")</f>
        <v/>
      </c>
      <c r="AC512" s="110" t="str">
        <f>IFERROR(INDEX('WetLitterbags placem_collection'!$A$3:$A$500,MATCH($A512,'WetLitterbags placem_collection'!$O$4:$O$500,0)),"")</f>
        <v/>
      </c>
      <c r="AD512" s="110" t="str">
        <f>IFERROR(INDEX('WetLitterbags placem_collection'!$A$3:$A$500,MATCH($A512,'WetLitterbags placem_collection'!$M$4:$M$500,0)),"")</f>
        <v/>
      </c>
      <c r="AE512" s="110">
        <f>IFERROR(INDEX('WetLitterbags placem_collection'!$A$3:$A$500,MATCH($A512,'WetLitterbags placem_collection'!$Q$4:$Q$500,0)),"")</f>
        <v>165</v>
      </c>
    </row>
    <row r="513" spans="1:31">
      <c r="A513" s="206" t="s">
        <v>1115</v>
      </c>
      <c r="C513" s="201">
        <v>102</v>
      </c>
      <c r="D513" s="201">
        <v>1.357</v>
      </c>
      <c r="E513" s="202">
        <v>8.1191999999999993</v>
      </c>
      <c r="F513" s="202">
        <v>0.20119999999999999</v>
      </c>
      <c r="G513" s="201">
        <f t="shared" si="42"/>
        <v>8.3203999999999994</v>
      </c>
      <c r="H513" s="201">
        <v>8.1302000000000003</v>
      </c>
      <c r="I513" s="201">
        <f t="shared" si="41"/>
        <v>0.19019999999999904</v>
      </c>
      <c r="J513" s="201">
        <f t="shared" si="43"/>
        <v>1.1000000000000953E-2</v>
      </c>
      <c r="K513" s="280">
        <f t="shared" si="44"/>
        <v>5.4671968190859612</v>
      </c>
      <c r="L513" s="201">
        <v>1</v>
      </c>
      <c r="M513" s="203">
        <v>43181.645833333336</v>
      </c>
      <c r="N513" s="203">
        <v>43181.833333333336</v>
      </c>
      <c r="O513" s="201" t="s">
        <v>2556</v>
      </c>
      <c r="P513" s="201"/>
      <c r="AB513" s="110" t="str">
        <f>IFERROR(INDEX('WetLitterbags placem_collection'!$A$3:$A$500,MATCH(A513,'WetLitterbags placem_collection'!$K$4:$K$500,0)),"")</f>
        <v/>
      </c>
      <c r="AC513" s="110" t="str">
        <f>IFERROR(INDEX('WetLitterbags placem_collection'!$A$3:$A$500,MATCH($A513,'WetLitterbags placem_collection'!$O$4:$O$500,0)),"")</f>
        <v/>
      </c>
      <c r="AD513" s="110" t="str">
        <f>IFERROR(INDEX('WetLitterbags placem_collection'!$A$3:$A$500,MATCH($A513,'WetLitterbags placem_collection'!$M$4:$M$500,0)),"")</f>
        <v/>
      </c>
      <c r="AE513" s="110">
        <f>IFERROR(INDEX('WetLitterbags placem_collection'!$A$3:$A$500,MATCH($A513,'WetLitterbags placem_collection'!$Q$4:$Q$500,0)),"")</f>
        <v>101</v>
      </c>
    </row>
    <row r="514" spans="1:31">
      <c r="A514" s="201" t="s">
        <v>879</v>
      </c>
      <c r="C514" s="201">
        <v>177</v>
      </c>
      <c r="D514" s="201">
        <v>1.4048</v>
      </c>
      <c r="E514" s="201">
        <v>9.7731999999999992</v>
      </c>
      <c r="F514" s="202">
        <v>0.20100000000000001</v>
      </c>
      <c r="G514" s="201">
        <f t="shared" si="42"/>
        <v>9.9741999999999997</v>
      </c>
      <c r="H514" s="201">
        <v>9.7787000000000006</v>
      </c>
      <c r="I514" s="201">
        <f t="shared" si="41"/>
        <v>0.19549999999999912</v>
      </c>
      <c r="J514" s="201">
        <f t="shared" si="43"/>
        <v>5.5000000000008931E-3</v>
      </c>
      <c r="K514" s="280">
        <f t="shared" si="44"/>
        <v>2.7363184079606433</v>
      </c>
      <c r="L514" s="201">
        <v>37</v>
      </c>
      <c r="M514" s="205">
        <v>43187</v>
      </c>
      <c r="N514" s="205">
        <v>43187</v>
      </c>
      <c r="O514" s="201"/>
      <c r="P514" s="201"/>
      <c r="AB514" s="110" t="str">
        <f>IFERROR(INDEX('WetLitterbags placem_collection'!$A$3:$A$500,MATCH(A514,'WetLitterbags placem_collection'!$K$4:$K$500,0)),"")</f>
        <v/>
      </c>
      <c r="AC514" s="110" t="str">
        <f>IFERROR(INDEX('WetLitterbags placem_collection'!$A$3:$A$500,MATCH($A514,'WetLitterbags placem_collection'!$O$4:$O$500,0)),"")</f>
        <v/>
      </c>
      <c r="AD514" s="110">
        <f>IFERROR(INDEX('WetLitterbags placem_collection'!$A$3:$A$500,MATCH($A514,'WetLitterbags placem_collection'!$M$4:$M$500,0)),"")</f>
        <v>176</v>
      </c>
      <c r="AE514" s="110" t="str">
        <f>IFERROR(INDEX('WetLitterbags placem_collection'!$A$3:$A$500,MATCH($A514,'WetLitterbags placem_collection'!$Q$4:$Q$500,0)),"")</f>
        <v/>
      </c>
    </row>
    <row r="515" spans="1:31">
      <c r="A515" s="206" t="s">
        <v>878</v>
      </c>
      <c r="C515" s="201">
        <v>192</v>
      </c>
      <c r="D515" s="201">
        <v>0.82550000000000001</v>
      </c>
      <c r="E515" s="202">
        <v>11.0334</v>
      </c>
      <c r="F515" s="202">
        <v>0.20669999999999999</v>
      </c>
      <c r="G515" s="201">
        <f t="shared" si="42"/>
        <v>11.2401</v>
      </c>
      <c r="H515" s="201">
        <v>11.125299999999999</v>
      </c>
      <c r="I515" s="201">
        <f t="shared" si="41"/>
        <v>0.11480000000000068</v>
      </c>
      <c r="J515" s="201">
        <f t="shared" si="43"/>
        <v>9.1899999999999316E-2</v>
      </c>
      <c r="K515" s="280">
        <f t="shared" si="44"/>
        <v>44.460570875664885</v>
      </c>
      <c r="L515" s="201">
        <v>15</v>
      </c>
      <c r="M515" s="207">
        <v>43185.385416666664</v>
      </c>
      <c r="N515" s="201"/>
      <c r="O515" s="201" t="s">
        <v>2556</v>
      </c>
      <c r="P515" s="201"/>
      <c r="AB515" s="110" t="str">
        <f>IFERROR(INDEX('WetLitterbags placem_collection'!$A$3:$A$500,MATCH(A515,'WetLitterbags placem_collection'!$K$4:$K$500,0)),"")</f>
        <v/>
      </c>
      <c r="AC515" s="110" t="str">
        <f>IFERROR(INDEX('WetLitterbags placem_collection'!$A$3:$A$500,MATCH($A515,'WetLitterbags placem_collection'!$O$4:$O$500,0)),"")</f>
        <v/>
      </c>
      <c r="AD515" s="110">
        <f>IFERROR(INDEX('WetLitterbags placem_collection'!$A$3:$A$500,MATCH($A515,'WetLitterbags placem_collection'!$M$4:$M$500,0)),"")</f>
        <v>191</v>
      </c>
      <c r="AE515" s="110" t="str">
        <f>IFERROR(INDEX('WetLitterbags placem_collection'!$A$3:$A$500,MATCH($A515,'WetLitterbags placem_collection'!$Q$4:$Q$500,0)),"")</f>
        <v/>
      </c>
    </row>
    <row r="516" spans="1:31">
      <c r="A516" s="206" t="s">
        <v>877</v>
      </c>
      <c r="C516" s="201">
        <v>164</v>
      </c>
      <c r="D516" s="201">
        <v>1.4674</v>
      </c>
      <c r="E516" s="201">
        <v>8.2187000000000001</v>
      </c>
      <c r="F516" s="202">
        <v>0.20730000000000001</v>
      </c>
      <c r="G516" s="201">
        <f t="shared" si="42"/>
        <v>8.4260000000000002</v>
      </c>
      <c r="H516" s="201">
        <v>8.2226999999999997</v>
      </c>
      <c r="I516" s="197">
        <f t="shared" si="41"/>
        <v>0.20330000000000048</v>
      </c>
      <c r="J516" s="201">
        <f t="shared" si="43"/>
        <v>3.9999999999995317E-3</v>
      </c>
      <c r="K516" s="280">
        <f t="shared" si="44"/>
        <v>1.9295706705255817</v>
      </c>
      <c r="L516" s="201">
        <v>24</v>
      </c>
      <c r="M516" s="205">
        <v>43187</v>
      </c>
      <c r="N516" s="205">
        <v>43187</v>
      </c>
      <c r="O516" s="201"/>
      <c r="P516" s="201" t="s">
        <v>2562</v>
      </c>
      <c r="AB516" s="110" t="str">
        <f>IFERROR(INDEX('WetLitterbags placem_collection'!$A$3:$A$500,MATCH(A516,'WetLitterbags placem_collection'!$K$4:$K$500,0)),"")</f>
        <v/>
      </c>
      <c r="AC516" s="110" t="str">
        <f>IFERROR(INDEX('WetLitterbags placem_collection'!$A$3:$A$500,MATCH($A516,'WetLitterbags placem_collection'!$O$4:$O$500,0)),"")</f>
        <v/>
      </c>
      <c r="AD516" s="110" t="str">
        <f>IFERROR(INDEX('WetLitterbags placem_collection'!$A$3:$A$500,MATCH($A516,'WetLitterbags placem_collection'!$M$4:$M$500,0)),"")</f>
        <v/>
      </c>
      <c r="AE516" s="110">
        <f>IFERROR(INDEX('WetLitterbags placem_collection'!$A$3:$A$500,MATCH($A516,'WetLitterbags placem_collection'!$Q$4:$Q$500,0)),"")</f>
        <v>163</v>
      </c>
    </row>
    <row r="517" spans="1:31">
      <c r="A517" s="201" t="s">
        <v>876</v>
      </c>
      <c r="C517" s="201">
        <v>205</v>
      </c>
      <c r="D517" s="197">
        <v>1.4040999999999999</v>
      </c>
      <c r="E517" s="197">
        <v>7.9531999999999998</v>
      </c>
      <c r="F517" s="197">
        <v>0.20480000000000001</v>
      </c>
      <c r="G517" s="197">
        <f t="shared" si="42"/>
        <v>8.1579999999999995</v>
      </c>
      <c r="H517" s="197">
        <v>7.9816000000000003</v>
      </c>
      <c r="I517" s="197">
        <f t="shared" si="41"/>
        <v>0.17639999999999922</v>
      </c>
      <c r="J517" s="201">
        <f t="shared" si="43"/>
        <v>2.8400000000000786E-2</v>
      </c>
      <c r="K517" s="280">
        <f t="shared" si="44"/>
        <v>13.867187500000384</v>
      </c>
      <c r="L517" s="197">
        <v>6</v>
      </c>
      <c r="M517" s="207">
        <v>43160.520833333336</v>
      </c>
      <c r="N517" s="207">
        <v>43160.6875</v>
      </c>
      <c r="O517" s="197" t="s">
        <v>2550</v>
      </c>
      <c r="AB517" s="110" t="str">
        <f>IFERROR(INDEX('WetLitterbags placem_collection'!$A$3:$A$500,MATCH(A517,'WetLitterbags placem_collection'!$K$4:$K$500,0)),"")</f>
        <v/>
      </c>
      <c r="AC517" s="110" t="str">
        <f>IFERROR(INDEX('WetLitterbags placem_collection'!$A$3:$A$500,MATCH($A517,'WetLitterbags placem_collection'!$O$4:$O$500,0)),"")</f>
        <v/>
      </c>
      <c r="AD517" s="110">
        <f>IFERROR(INDEX('WetLitterbags placem_collection'!$A$3:$A$500,MATCH($A517,'WetLitterbags placem_collection'!$M$4:$M$500,0)),"")</f>
        <v>204</v>
      </c>
      <c r="AE517" s="110" t="str">
        <f>IFERROR(INDEX('WetLitterbags placem_collection'!$A$3:$A$500,MATCH($A517,'WetLitterbags placem_collection'!$Q$4:$Q$500,0)),"")</f>
        <v/>
      </c>
    </row>
    <row r="518" spans="1:31">
      <c r="A518" s="206" t="s">
        <v>875</v>
      </c>
      <c r="C518" s="201">
        <v>70</v>
      </c>
      <c r="D518" s="201">
        <v>1.3751</v>
      </c>
      <c r="E518" s="202">
        <v>8.1325000000000003</v>
      </c>
      <c r="F518" s="202">
        <v>0.20069999999999999</v>
      </c>
      <c r="G518" s="201">
        <f t="shared" si="42"/>
        <v>8.3331999999999997</v>
      </c>
      <c r="H518" s="201">
        <v>8.1384000000000007</v>
      </c>
      <c r="I518" s="201">
        <f t="shared" si="41"/>
        <v>0.19479999999999897</v>
      </c>
      <c r="J518" s="201">
        <f t="shared" si="43"/>
        <v>5.9000000000010155E-3</v>
      </c>
      <c r="K518" s="280">
        <f t="shared" si="44"/>
        <v>2.9397110114603966</v>
      </c>
      <c r="L518" s="201">
        <v>9</v>
      </c>
      <c r="M518" s="203">
        <v>43181.645833333336</v>
      </c>
      <c r="N518" s="203">
        <v>43181.833333333336</v>
      </c>
      <c r="O518" s="201" t="s">
        <v>2556</v>
      </c>
      <c r="P518" s="201"/>
      <c r="AB518" s="110" t="str">
        <f>IFERROR(INDEX('WetLitterbags placem_collection'!$A$3:$A$500,MATCH(A518,'WetLitterbags placem_collection'!$K$4:$K$500,0)),"")</f>
        <v/>
      </c>
      <c r="AC518" s="110" t="str">
        <f>IFERROR(INDEX('WetLitterbags placem_collection'!$A$3:$A$500,MATCH($A518,'WetLitterbags placem_collection'!$O$4:$O$500,0)),"")</f>
        <v/>
      </c>
      <c r="AD518" s="110" t="str">
        <f>IFERROR(INDEX('WetLitterbags placem_collection'!$A$3:$A$500,MATCH($A518,'WetLitterbags placem_collection'!$M$4:$M$500,0)),"")</f>
        <v/>
      </c>
      <c r="AE518" s="110">
        <f>IFERROR(INDEX('WetLitterbags placem_collection'!$A$3:$A$500,MATCH($A518,'WetLitterbags placem_collection'!$Q$4:$Q$500,0)),"")</f>
        <v>69</v>
      </c>
    </row>
    <row r="519" spans="1:31">
      <c r="A519" s="197" t="s">
        <v>873</v>
      </c>
      <c r="C519" s="197">
        <v>180</v>
      </c>
      <c r="D519" s="201">
        <v>1.4306000000000001</v>
      </c>
      <c r="E519" s="202">
        <v>11.0229</v>
      </c>
      <c r="F519" s="202">
        <v>0.20399999999999999</v>
      </c>
      <c r="G519" s="201">
        <f t="shared" si="42"/>
        <v>11.226900000000001</v>
      </c>
      <c r="H519" s="201">
        <v>11.027100000000001</v>
      </c>
      <c r="I519" s="201">
        <f t="shared" si="41"/>
        <v>0.19979999999999976</v>
      </c>
      <c r="J519" s="201">
        <f t="shared" si="43"/>
        <v>4.2000000000002313E-3</v>
      </c>
      <c r="K519" s="280">
        <f t="shared" si="44"/>
        <v>2.0588235294118782</v>
      </c>
      <c r="L519" s="201">
        <v>26</v>
      </c>
      <c r="M519" s="204">
        <v>43213</v>
      </c>
      <c r="N519" s="204">
        <v>43213</v>
      </c>
      <c r="AB519" s="110" t="str">
        <f>IFERROR(INDEX('WetLitterbags placem_collection'!$A$3:$A$500,MATCH(A519,'WetLitterbags placem_collection'!$K$4:$K$500,0)),"")</f>
        <v/>
      </c>
      <c r="AC519" s="110" t="str">
        <f>IFERROR(INDEX('WetLitterbags placem_collection'!$A$3:$A$500,MATCH($A519,'WetLitterbags placem_collection'!$O$4:$O$500,0)),"")</f>
        <v/>
      </c>
      <c r="AD519" s="110">
        <f>IFERROR(INDEX('WetLitterbags placem_collection'!$A$3:$A$500,MATCH($A519,'WetLitterbags placem_collection'!$M$4:$M$500,0)),"")</f>
        <v>179</v>
      </c>
      <c r="AE519" s="110" t="str">
        <f>IFERROR(INDEX('WetLitterbags placem_collection'!$A$3:$A$500,MATCH($A519,'WetLitterbags placem_collection'!$Q$4:$Q$500,0)),"")</f>
        <v/>
      </c>
    </row>
    <row r="520" spans="1:31">
      <c r="A520" s="202" t="s">
        <v>1114</v>
      </c>
      <c r="C520" s="201">
        <v>145</v>
      </c>
      <c r="D520" s="201">
        <v>1.4273</v>
      </c>
      <c r="E520" s="201">
        <v>8.0883000000000003</v>
      </c>
      <c r="F520" s="201">
        <v>0.2056</v>
      </c>
      <c r="G520" s="201">
        <f t="shared" si="42"/>
        <v>8.2939000000000007</v>
      </c>
      <c r="H520" s="201">
        <v>8.1059000000000001</v>
      </c>
      <c r="I520" s="201">
        <f t="shared" si="41"/>
        <v>0.18800000000000061</v>
      </c>
      <c r="J520" s="201">
        <f t="shared" si="43"/>
        <v>1.7599999999999394E-2</v>
      </c>
      <c r="K520" s="280">
        <f t="shared" si="44"/>
        <v>8.5603112840463975</v>
      </c>
      <c r="L520" s="201">
        <v>27</v>
      </c>
      <c r="M520" s="205">
        <v>43173</v>
      </c>
      <c r="N520" s="205">
        <v>43173</v>
      </c>
      <c r="O520" s="201" t="s">
        <v>2556</v>
      </c>
      <c r="P520" s="201" t="s">
        <v>2555</v>
      </c>
      <c r="AB520" s="110" t="str">
        <f>IFERROR(INDEX('WetLitterbags placem_collection'!$A$3:$A$500,MATCH(A520,'WetLitterbags placem_collection'!$K$4:$K$500,0)),"")</f>
        <v/>
      </c>
      <c r="AC520" s="110" t="str">
        <f>IFERROR(INDEX('WetLitterbags placem_collection'!$A$3:$A$500,MATCH($A520,'WetLitterbags placem_collection'!$O$4:$O$500,0)),"")</f>
        <v/>
      </c>
      <c r="AD520" s="110">
        <f>IFERROR(INDEX('WetLitterbags placem_collection'!$A$3:$A$500,MATCH($A520,'WetLitterbags placem_collection'!$M$4:$M$500,0)),"")</f>
        <v>144</v>
      </c>
      <c r="AE520" s="110" t="str">
        <f>IFERROR(INDEX('WetLitterbags placem_collection'!$A$3:$A$500,MATCH($A520,'WetLitterbags placem_collection'!$Q$4:$Q$500,0)),"")</f>
        <v/>
      </c>
    </row>
    <row r="521" spans="1:31">
      <c r="A521" s="201" t="s">
        <v>870</v>
      </c>
      <c r="C521" s="201">
        <v>209</v>
      </c>
      <c r="D521" s="201">
        <v>1.4764999999999999</v>
      </c>
      <c r="E521" s="201">
        <v>11.862399999999999</v>
      </c>
      <c r="F521" s="201">
        <v>0.20419999999999999</v>
      </c>
      <c r="G521" s="201">
        <f t="shared" si="42"/>
        <v>12.066599999999999</v>
      </c>
      <c r="H521" s="201">
        <v>11.8809</v>
      </c>
      <c r="I521" s="201">
        <f t="shared" si="41"/>
        <v>0.18569999999999887</v>
      </c>
      <c r="J521" s="201">
        <f t="shared" si="43"/>
        <v>1.8500000000001127E-2</v>
      </c>
      <c r="K521" s="280">
        <f t="shared" si="44"/>
        <v>9.0597453476988878</v>
      </c>
      <c r="L521" s="201">
        <v>2</v>
      </c>
      <c r="M521" s="205">
        <v>43174</v>
      </c>
      <c r="N521" s="205">
        <v>43174</v>
      </c>
      <c r="O521" s="201" t="s">
        <v>2556</v>
      </c>
      <c r="P521" s="201" t="s">
        <v>2555</v>
      </c>
      <c r="AB521" s="110" t="str">
        <f>IFERROR(INDEX('WetLitterbags placem_collection'!$A$3:$A$500,MATCH(A521,'WetLitterbags placem_collection'!$K$4:$K$500,0)),"")</f>
        <v/>
      </c>
      <c r="AC521" s="110" t="str">
        <f>IFERROR(INDEX('WetLitterbags placem_collection'!$A$3:$A$500,MATCH($A521,'WetLitterbags placem_collection'!$O$4:$O$500,0)),"")</f>
        <v/>
      </c>
      <c r="AD521" s="110">
        <f>IFERROR(INDEX('WetLitterbags placem_collection'!$A$3:$A$500,MATCH($A521,'WetLitterbags placem_collection'!$M$4:$M$500,0)),"")</f>
        <v>208</v>
      </c>
      <c r="AE521" s="110" t="str">
        <f>IFERROR(INDEX('WetLitterbags placem_collection'!$A$3:$A$500,MATCH($A521,'WetLitterbags placem_collection'!$Q$4:$Q$500,0)),"")</f>
        <v/>
      </c>
    </row>
    <row r="522" spans="1:31">
      <c r="A522" s="197" t="s">
        <v>868</v>
      </c>
      <c r="C522" s="198">
        <v>179</v>
      </c>
      <c r="D522" s="197">
        <v>1.4451000000000001</v>
      </c>
      <c r="E522" s="202">
        <v>8.3543000000000003</v>
      </c>
      <c r="F522" s="202">
        <v>0.2059</v>
      </c>
      <c r="G522" s="201">
        <f t="shared" si="42"/>
        <v>8.5602</v>
      </c>
      <c r="H522" s="201">
        <v>8.3583999999999996</v>
      </c>
      <c r="I522" s="201">
        <f t="shared" si="41"/>
        <v>0.20180000000000042</v>
      </c>
      <c r="J522" s="201">
        <f t="shared" si="43"/>
        <v>4.0999999999995762E-3</v>
      </c>
      <c r="K522" s="280">
        <f t="shared" si="44"/>
        <v>1.9912578921804642</v>
      </c>
      <c r="L522" s="201">
        <v>25</v>
      </c>
      <c r="M522" s="204">
        <v>43221</v>
      </c>
      <c r="N522" s="204">
        <v>43221</v>
      </c>
      <c r="AB522" s="110" t="str">
        <f>IFERROR(INDEX('WetLitterbags placem_collection'!$A$3:$A$500,MATCH(A522,'WetLitterbags placem_collection'!$K$4:$K$500,0)),"")</f>
        <v/>
      </c>
      <c r="AC522" s="110" t="str">
        <f>IFERROR(INDEX('WetLitterbags placem_collection'!$A$3:$A$500,MATCH($A522,'WetLitterbags placem_collection'!$O$4:$O$500,0)),"")</f>
        <v/>
      </c>
      <c r="AD522" s="110" t="str">
        <f>IFERROR(INDEX('WetLitterbags placem_collection'!$A$3:$A$500,MATCH($A522,'WetLitterbags placem_collection'!$M$4:$M$500,0)),"")</f>
        <v/>
      </c>
      <c r="AE522" s="110">
        <f>IFERROR(INDEX('WetLitterbags placem_collection'!$A$3:$A$500,MATCH($A522,'WetLitterbags placem_collection'!$Q$4:$Q$500,0)),"")</f>
        <v>178</v>
      </c>
    </row>
    <row r="523" spans="1:31">
      <c r="A523" s="206" t="s">
        <v>867</v>
      </c>
      <c r="C523" s="201">
        <v>18</v>
      </c>
      <c r="D523" s="201">
        <v>1.3428</v>
      </c>
      <c r="E523" s="201">
        <v>8.0643999999999991</v>
      </c>
      <c r="F523" s="202">
        <v>0.20930000000000001</v>
      </c>
      <c r="G523" s="201">
        <f t="shared" si="42"/>
        <v>8.2736999999999998</v>
      </c>
      <c r="H523" s="201">
        <v>8.0740999999999996</v>
      </c>
      <c r="I523" s="201">
        <f t="shared" si="41"/>
        <v>0.19960000000000022</v>
      </c>
      <c r="J523" s="201">
        <f t="shared" si="43"/>
        <v>9.6999999999997921E-3</v>
      </c>
      <c r="K523" s="280">
        <f t="shared" si="44"/>
        <v>4.6344959388436653</v>
      </c>
      <c r="L523" s="201">
        <v>7</v>
      </c>
      <c r="M523" s="205">
        <v>43187</v>
      </c>
      <c r="N523" s="205">
        <v>43187</v>
      </c>
      <c r="O523" s="201"/>
      <c r="P523" s="201"/>
      <c r="AB523" s="110" t="str">
        <f>IFERROR(INDEX('WetLitterbags placem_collection'!$A$3:$A$500,MATCH(A523,'WetLitterbags placem_collection'!$K$4:$K$500,0)),"")</f>
        <v/>
      </c>
      <c r="AC523" s="110" t="str">
        <f>IFERROR(INDEX('WetLitterbags placem_collection'!$A$3:$A$500,MATCH($A523,'WetLitterbags placem_collection'!$O$4:$O$500,0)),"")</f>
        <v/>
      </c>
      <c r="AD523" s="110" t="str">
        <f>IFERROR(INDEX('WetLitterbags placem_collection'!$A$3:$A$500,MATCH($A523,'WetLitterbags placem_collection'!$M$4:$M$500,0)),"")</f>
        <v/>
      </c>
      <c r="AE523" s="110">
        <f>IFERROR(INDEX('WetLitterbags placem_collection'!$A$3:$A$500,MATCH($A523,'WetLitterbags placem_collection'!$Q$4:$Q$500,0)),"")</f>
        <v>17</v>
      </c>
    </row>
    <row r="524" spans="1:31">
      <c r="A524" s="197" t="s">
        <v>862</v>
      </c>
      <c r="C524" s="198">
        <v>25</v>
      </c>
      <c r="D524" s="197">
        <v>1.4685999999999999</v>
      </c>
      <c r="E524" s="202">
        <v>8.76</v>
      </c>
      <c r="F524" s="202">
        <v>0.20710000000000001</v>
      </c>
      <c r="G524" s="201">
        <f t="shared" si="42"/>
        <v>8.9671000000000003</v>
      </c>
      <c r="H524" s="201">
        <v>8.7655999999999992</v>
      </c>
      <c r="I524" s="201">
        <f t="shared" si="41"/>
        <v>0.20150000000000112</v>
      </c>
      <c r="J524" s="201">
        <f t="shared" si="43"/>
        <v>5.5999999999988836E-3</v>
      </c>
      <c r="K524" s="280">
        <f t="shared" si="44"/>
        <v>2.7040077257358202</v>
      </c>
      <c r="L524" s="201">
        <v>19</v>
      </c>
      <c r="AB524" s="110" t="str">
        <f>IFERROR(INDEX('WetLitterbags placem_collection'!$A$3:$A$500,MATCH(A524,'WetLitterbags placem_collection'!$K$4:$K$500,0)),"")</f>
        <v/>
      </c>
      <c r="AC524" s="110" t="str">
        <f>IFERROR(INDEX('WetLitterbags placem_collection'!$A$3:$A$500,MATCH($A524,'WetLitterbags placem_collection'!$O$4:$O$500,0)),"")</f>
        <v/>
      </c>
      <c r="AD524" s="110">
        <f>IFERROR(INDEX('WetLitterbags placem_collection'!$A$3:$A$500,MATCH($A524,'WetLitterbags placem_collection'!$M$4:$M$500,0)),"")</f>
        <v>24</v>
      </c>
      <c r="AE524" s="110" t="str">
        <f>IFERROR(INDEX('WetLitterbags placem_collection'!$A$3:$A$500,MATCH($A524,'WetLitterbags placem_collection'!$Q$4:$Q$500,0)),"")</f>
        <v/>
      </c>
    </row>
    <row r="525" spans="1:31">
      <c r="A525" s="197" t="s">
        <v>1113</v>
      </c>
      <c r="C525" s="197">
        <v>49</v>
      </c>
      <c r="D525" s="197">
        <v>1.3523000000000001</v>
      </c>
      <c r="E525" s="197">
        <v>10.5213</v>
      </c>
      <c r="F525" s="202">
        <v>0.20150000000000001</v>
      </c>
      <c r="G525" s="201">
        <f t="shared" si="42"/>
        <v>10.722799999999999</v>
      </c>
      <c r="H525" s="201">
        <v>10.544600000000001</v>
      </c>
      <c r="I525" s="201">
        <f t="shared" ref="I525:I556" si="45">(G525-H525)</f>
        <v>0.17819999999999858</v>
      </c>
      <c r="J525" s="201">
        <f t="shared" si="43"/>
        <v>2.3300000000001431E-2</v>
      </c>
      <c r="K525" s="280">
        <f t="shared" si="44"/>
        <v>11.563275434243886</v>
      </c>
      <c r="L525" s="201">
        <v>4</v>
      </c>
      <c r="R525" s="197">
        <v>6</v>
      </c>
      <c r="S525" s="197">
        <v>0.6008</v>
      </c>
      <c r="U525" s="202" t="s">
        <v>1068</v>
      </c>
      <c r="V525" s="197">
        <v>1.8647</v>
      </c>
      <c r="W525" s="197">
        <f>(V525-$T$175+F523)</f>
        <v>2.0739999999999998</v>
      </c>
      <c r="AB525" s="110" t="str">
        <f>IFERROR(INDEX('WetLitterbags placem_collection'!$A$3:$A$500,MATCH(A525,'WetLitterbags placem_collection'!$K$4:$K$500,0)),"")</f>
        <v/>
      </c>
      <c r="AC525" s="110" t="str">
        <f>IFERROR(INDEX('WetLitterbags placem_collection'!$A$3:$A$500,MATCH($A525,'WetLitterbags placem_collection'!$O$4:$O$500,0)),"")</f>
        <v/>
      </c>
      <c r="AD525" s="110">
        <f>IFERROR(INDEX('WetLitterbags placem_collection'!$A$3:$A$500,MATCH($A525,'WetLitterbags placem_collection'!$M$4:$M$500,0)),"")</f>
        <v>48</v>
      </c>
      <c r="AE525" s="110" t="str">
        <f>IFERROR(INDEX('WetLitterbags placem_collection'!$A$3:$A$500,MATCH($A525,'WetLitterbags placem_collection'!$Q$4:$Q$500,0)),"")</f>
        <v/>
      </c>
    </row>
    <row r="526" spans="1:31">
      <c r="A526" s="206" t="s">
        <v>859</v>
      </c>
      <c r="C526" s="197">
        <v>14</v>
      </c>
      <c r="D526" s="202">
        <v>1.3209</v>
      </c>
      <c r="E526" s="202">
        <v>9.5193999999999992</v>
      </c>
      <c r="F526" s="202">
        <v>0.20319999999999999</v>
      </c>
      <c r="G526" s="201">
        <f t="shared" si="42"/>
        <v>9.7225999999999999</v>
      </c>
      <c r="H526" s="201">
        <v>9.5252999999999997</v>
      </c>
      <c r="I526" s="201">
        <f t="shared" si="45"/>
        <v>0.19730000000000025</v>
      </c>
      <c r="J526" s="201">
        <f t="shared" si="43"/>
        <v>5.8999999999997388E-3</v>
      </c>
      <c r="K526" s="280">
        <f t="shared" si="44"/>
        <v>2.903543307086486</v>
      </c>
      <c r="L526" s="201">
        <v>24</v>
      </c>
      <c r="M526" s="205">
        <v>43199</v>
      </c>
      <c r="N526" s="205">
        <v>43199</v>
      </c>
      <c r="O526" s="201"/>
      <c r="P526" s="201"/>
      <c r="AB526" s="110" t="str">
        <f>IFERROR(INDEX('WetLitterbags placem_collection'!$A$3:$A$500,MATCH(A526,'WetLitterbags placem_collection'!$K$4:$K$500,0)),"")</f>
        <v/>
      </c>
      <c r="AC526" s="110" t="str">
        <f>IFERROR(INDEX('WetLitterbags placem_collection'!$A$3:$A$500,MATCH($A526,'WetLitterbags placem_collection'!$O$4:$O$500,0)),"")</f>
        <v/>
      </c>
      <c r="AD526" s="110" t="str">
        <f>IFERROR(INDEX('WetLitterbags placem_collection'!$A$3:$A$500,MATCH($A526,'WetLitterbags placem_collection'!$M$4:$M$500,0)),"")</f>
        <v/>
      </c>
      <c r="AE526" s="110">
        <f>IFERROR(INDEX('WetLitterbags placem_collection'!$A$3:$A$500,MATCH($A526,'WetLitterbags placem_collection'!$Q$4:$Q$500,0)),"")</f>
        <v>13</v>
      </c>
    </row>
    <row r="527" spans="1:31">
      <c r="A527" s="197" t="s">
        <v>856</v>
      </c>
      <c r="C527" s="198">
        <v>162</v>
      </c>
      <c r="D527" s="197">
        <v>1.4475</v>
      </c>
      <c r="E527" s="201">
        <v>9.1560000000000006</v>
      </c>
      <c r="F527" s="202">
        <v>0.20630000000000001</v>
      </c>
      <c r="G527" s="201">
        <f t="shared" si="42"/>
        <v>9.3623000000000012</v>
      </c>
      <c r="H527" s="201">
        <v>9.1598000000000006</v>
      </c>
      <c r="I527" s="201">
        <f t="shared" si="45"/>
        <v>0.20250000000000057</v>
      </c>
      <c r="J527" s="201">
        <f t="shared" si="43"/>
        <v>3.7999999999994427E-3</v>
      </c>
      <c r="K527" s="280">
        <f t="shared" si="44"/>
        <v>1.8419777023749115</v>
      </c>
      <c r="L527" s="201">
        <v>16</v>
      </c>
      <c r="M527" s="204">
        <v>43212</v>
      </c>
      <c r="AB527" s="110" t="str">
        <f>IFERROR(INDEX('WetLitterbags placem_collection'!$A$3:$A$500,MATCH(A527,'WetLitterbags placem_collection'!$K$4:$K$500,0)),"")</f>
        <v/>
      </c>
      <c r="AC527" s="110" t="str">
        <f>IFERROR(INDEX('WetLitterbags placem_collection'!$A$3:$A$500,MATCH($A527,'WetLitterbags placem_collection'!$O$4:$O$500,0)),"")</f>
        <v/>
      </c>
      <c r="AD527" s="110" t="str">
        <f>IFERROR(INDEX('WetLitterbags placem_collection'!$A$3:$A$500,MATCH($A527,'WetLitterbags placem_collection'!$M$4:$M$500,0)),"")</f>
        <v/>
      </c>
      <c r="AE527" s="110">
        <f>IFERROR(INDEX('WetLitterbags placem_collection'!$A$3:$A$500,MATCH($A527,'WetLitterbags placem_collection'!$Q$4:$Q$500,0)),"")</f>
        <v>161</v>
      </c>
    </row>
    <row r="528" spans="1:31">
      <c r="A528" s="197" t="s">
        <v>854</v>
      </c>
      <c r="C528" s="198">
        <v>166</v>
      </c>
      <c r="D528" s="197">
        <v>1.4665999999999999</v>
      </c>
      <c r="E528" s="202">
        <v>9.2353000000000005</v>
      </c>
      <c r="F528" s="202">
        <v>0.20380000000000001</v>
      </c>
      <c r="G528" s="201">
        <f t="shared" si="42"/>
        <v>9.4390999999999998</v>
      </c>
      <c r="H528" s="201">
        <v>9.2392000000000003</v>
      </c>
      <c r="I528" s="201">
        <f t="shared" si="45"/>
        <v>0.19989999999999952</v>
      </c>
      <c r="J528" s="201">
        <f t="shared" si="43"/>
        <v>3.9000000000004864E-3</v>
      </c>
      <c r="K528" s="280">
        <f t="shared" si="44"/>
        <v>1.9136408243378245</v>
      </c>
      <c r="L528" s="201">
        <v>8</v>
      </c>
      <c r="AB528" s="110" t="str">
        <f>IFERROR(INDEX('WetLitterbags placem_collection'!$A$3:$A$500,MATCH(A528,'WetLitterbags placem_collection'!$K$4:$K$500,0)),"")</f>
        <v/>
      </c>
      <c r="AC528" s="110" t="str">
        <f>IFERROR(INDEX('WetLitterbags placem_collection'!$A$3:$A$500,MATCH($A528,'WetLitterbags placem_collection'!$O$4:$O$500,0)),"")</f>
        <v/>
      </c>
      <c r="AD528" s="110">
        <f>IFERROR(INDEX('WetLitterbags placem_collection'!$A$3:$A$500,MATCH($A528,'WetLitterbags placem_collection'!$M$4:$M$500,0)),"")</f>
        <v>165</v>
      </c>
      <c r="AE528" s="110" t="str">
        <f>IFERROR(INDEX('WetLitterbags placem_collection'!$A$3:$A$500,MATCH($A528,'WetLitterbags placem_collection'!$Q$4:$Q$500,0)),"")</f>
        <v/>
      </c>
    </row>
    <row r="529" spans="1:31">
      <c r="A529" s="206" t="s">
        <v>852</v>
      </c>
      <c r="C529" s="197">
        <v>194</v>
      </c>
      <c r="D529" s="201">
        <v>1.2582</v>
      </c>
      <c r="E529" s="202">
        <v>9.5543999999999993</v>
      </c>
      <c r="F529" s="202">
        <v>0.20749999999999999</v>
      </c>
      <c r="G529" s="201">
        <f t="shared" si="42"/>
        <v>9.7618999999999989</v>
      </c>
      <c r="H529" s="201">
        <v>9.5617000000000001</v>
      </c>
      <c r="I529" s="201">
        <f t="shared" si="45"/>
        <v>0.20019999999999882</v>
      </c>
      <c r="J529" s="201">
        <f t="shared" si="43"/>
        <v>7.3000000000011667E-3</v>
      </c>
      <c r="K529" s="280">
        <f t="shared" si="44"/>
        <v>3.5180722891571889</v>
      </c>
      <c r="L529" s="201">
        <v>21</v>
      </c>
      <c r="M529" s="207">
        <v>43186.458333333336</v>
      </c>
      <c r="N529" s="207">
        <v>43186.625</v>
      </c>
      <c r="O529" s="197" t="s">
        <v>2550</v>
      </c>
      <c r="P529" s="201"/>
      <c r="AB529" s="110" t="str">
        <f>IFERROR(INDEX('WetLitterbags placem_collection'!$A$3:$A$500,MATCH(A529,'WetLitterbags placem_collection'!$K$4:$K$500,0)),"")</f>
        <v/>
      </c>
      <c r="AC529" s="110" t="str">
        <f>IFERROR(INDEX('WetLitterbags placem_collection'!$A$3:$A$500,MATCH($A529,'WetLitterbags placem_collection'!$O$4:$O$500,0)),"")</f>
        <v/>
      </c>
      <c r="AD529" s="110">
        <f>IFERROR(INDEX('WetLitterbags placem_collection'!$A$3:$A$500,MATCH($A529,'WetLitterbags placem_collection'!$M$4:$M$500,0)),"")</f>
        <v>193</v>
      </c>
      <c r="AE529" s="110" t="str">
        <f>IFERROR(INDEX('WetLitterbags placem_collection'!$A$3:$A$500,MATCH($A529,'WetLitterbags placem_collection'!$Q$4:$Q$500,0)),"")</f>
        <v/>
      </c>
    </row>
    <row r="530" spans="1:31">
      <c r="A530" s="201" t="s">
        <v>1112</v>
      </c>
      <c r="C530" s="201">
        <v>51</v>
      </c>
      <c r="D530" s="202">
        <v>1.2412000000000001</v>
      </c>
      <c r="E530" s="201">
        <v>10.509600000000001</v>
      </c>
      <c r="F530" s="202">
        <v>0.2009</v>
      </c>
      <c r="G530" s="201">
        <f t="shared" si="42"/>
        <v>10.710500000000001</v>
      </c>
      <c r="H530" s="201">
        <v>10.517300000000001</v>
      </c>
      <c r="I530" s="201">
        <f t="shared" si="45"/>
        <v>0.19320000000000093</v>
      </c>
      <c r="J530" s="201">
        <f t="shared" si="43"/>
        <v>7.6999999999990687E-3</v>
      </c>
      <c r="K530" s="280">
        <f t="shared" si="44"/>
        <v>3.8327526132399545</v>
      </c>
      <c r="L530" s="201">
        <v>21</v>
      </c>
      <c r="M530" s="201"/>
      <c r="N530" s="201"/>
      <c r="O530" s="201"/>
      <c r="P530" s="201" t="s">
        <v>2557</v>
      </c>
      <c r="R530" s="197">
        <v>7</v>
      </c>
      <c r="S530" s="197">
        <v>0.61399999999999999</v>
      </c>
      <c r="U530" s="202" t="s">
        <v>1503</v>
      </c>
      <c r="V530" s="197">
        <v>1.2385999999999999</v>
      </c>
      <c r="W530" s="197">
        <f>(V530-$T$175+F528)</f>
        <v>1.4423999999999999</v>
      </c>
      <c r="AB530" s="110" t="str">
        <f>IFERROR(INDEX('WetLitterbags placem_collection'!$A$3:$A$500,MATCH(A530,'WetLitterbags placem_collection'!$K$4:$K$500,0)),"")</f>
        <v/>
      </c>
      <c r="AC530" s="110" t="str">
        <f>IFERROR(INDEX('WetLitterbags placem_collection'!$A$3:$A$500,MATCH($A530,'WetLitterbags placem_collection'!$O$4:$O$500,0)),"")</f>
        <v/>
      </c>
      <c r="AD530" s="110" t="str">
        <f>IFERROR(INDEX('WetLitterbags placem_collection'!$A$3:$A$500,MATCH($A530,'WetLitterbags placem_collection'!$M$4:$M$500,0)),"")</f>
        <v/>
      </c>
      <c r="AE530" s="110">
        <f>IFERROR(INDEX('WetLitterbags placem_collection'!$A$3:$A$500,MATCH($A530,'WetLitterbags placem_collection'!$Q$4:$Q$500,0)),"")</f>
        <v>50</v>
      </c>
    </row>
    <row r="531" spans="1:31">
      <c r="A531" s="201" t="s">
        <v>851</v>
      </c>
      <c r="C531" s="197">
        <v>183</v>
      </c>
      <c r="D531" s="201">
        <v>1.4666999999999999</v>
      </c>
      <c r="E531" s="202">
        <v>9.0211000000000006</v>
      </c>
      <c r="F531" s="202">
        <v>0.20080000000000001</v>
      </c>
      <c r="G531" s="201">
        <f t="shared" si="42"/>
        <v>9.2218999999999998</v>
      </c>
      <c r="H531" s="201">
        <v>9.0264000000000006</v>
      </c>
      <c r="I531" s="201">
        <f t="shared" si="45"/>
        <v>0.19549999999999912</v>
      </c>
      <c r="J531" s="201">
        <f t="shared" si="43"/>
        <v>5.3000000000008873E-3</v>
      </c>
      <c r="K531" s="280">
        <f t="shared" si="44"/>
        <v>2.639442231076139</v>
      </c>
      <c r="L531" s="201">
        <v>11</v>
      </c>
      <c r="M531" s="207">
        <v>43186.458333333336</v>
      </c>
      <c r="N531" s="207">
        <v>43186.625</v>
      </c>
      <c r="O531" s="197" t="s">
        <v>2550</v>
      </c>
      <c r="P531" s="201"/>
      <c r="AB531" s="110" t="str">
        <f>IFERROR(INDEX('WetLitterbags placem_collection'!$A$3:$A$500,MATCH(A531,'WetLitterbags placem_collection'!$K$4:$K$500,0)),"")</f>
        <v/>
      </c>
      <c r="AC531" s="110" t="str">
        <f>IFERROR(INDEX('WetLitterbags placem_collection'!$A$3:$A$500,MATCH($A531,'WetLitterbags placem_collection'!$O$4:$O$500,0)),"")</f>
        <v/>
      </c>
      <c r="AD531" s="110" t="str">
        <f>IFERROR(INDEX('WetLitterbags placem_collection'!$A$3:$A$500,MATCH($A531,'WetLitterbags placem_collection'!$M$4:$M$500,0)),"")</f>
        <v/>
      </c>
      <c r="AE531" s="110">
        <f>IFERROR(INDEX('WetLitterbags placem_collection'!$A$3:$A$500,MATCH($A531,'WetLitterbags placem_collection'!$Q$4:$Q$500,0)),"")</f>
        <v>182</v>
      </c>
    </row>
    <row r="532" spans="1:31">
      <c r="A532" s="197" t="s">
        <v>850</v>
      </c>
      <c r="C532" s="197">
        <v>181</v>
      </c>
      <c r="D532" s="197">
        <v>1.4736</v>
      </c>
      <c r="E532" s="201">
        <v>7.8385999999999996</v>
      </c>
      <c r="F532" s="202">
        <v>0.20610000000000001</v>
      </c>
      <c r="G532" s="201">
        <f t="shared" si="42"/>
        <v>8.0446999999999989</v>
      </c>
      <c r="H532" s="201">
        <v>7.843</v>
      </c>
      <c r="I532" s="201">
        <f t="shared" si="45"/>
        <v>0.20169999999999888</v>
      </c>
      <c r="J532" s="201">
        <f t="shared" si="43"/>
        <v>4.4000000000011252E-3</v>
      </c>
      <c r="K532" s="280">
        <f t="shared" si="44"/>
        <v>2.1348859776812832</v>
      </c>
      <c r="L532" s="201">
        <v>5</v>
      </c>
      <c r="M532" s="204">
        <v>43212</v>
      </c>
      <c r="AB532" s="110" t="str">
        <f>IFERROR(INDEX('WetLitterbags placem_collection'!$A$3:$A$500,MATCH(A532,'WetLitterbags placem_collection'!$K$4:$K$500,0)),"")</f>
        <v/>
      </c>
      <c r="AC532" s="110" t="str">
        <f>IFERROR(INDEX('WetLitterbags placem_collection'!$A$3:$A$500,MATCH($A532,'WetLitterbags placem_collection'!$O$4:$O$500,0)),"")</f>
        <v/>
      </c>
      <c r="AD532" s="110" t="str">
        <f>IFERROR(INDEX('WetLitterbags placem_collection'!$A$3:$A$500,MATCH($A532,'WetLitterbags placem_collection'!$M$4:$M$500,0)),"")</f>
        <v/>
      </c>
      <c r="AE532" s="110">
        <f>IFERROR(INDEX('WetLitterbags placem_collection'!$A$3:$A$500,MATCH($A532,'WetLitterbags placem_collection'!$Q$4:$Q$500,0)),"")</f>
        <v>180</v>
      </c>
    </row>
    <row r="533" spans="1:31">
      <c r="A533" s="201" t="s">
        <v>848</v>
      </c>
      <c r="C533" s="201">
        <v>81</v>
      </c>
      <c r="D533" s="202">
        <v>1.4906999999999999</v>
      </c>
      <c r="E533" s="202">
        <v>10.155799999999999</v>
      </c>
      <c r="F533" s="202">
        <v>0.2044</v>
      </c>
      <c r="G533" s="201">
        <f t="shared" si="42"/>
        <v>10.360199999999999</v>
      </c>
      <c r="H533" s="201">
        <v>10.1601</v>
      </c>
      <c r="I533" s="201">
        <f t="shared" si="45"/>
        <v>0.20009999999999906</v>
      </c>
      <c r="J533" s="201">
        <f t="shared" si="43"/>
        <v>4.300000000000942E-3</v>
      </c>
      <c r="K533" s="280">
        <f t="shared" si="44"/>
        <v>2.1037181996090717</v>
      </c>
      <c r="L533" s="201">
        <v>29</v>
      </c>
      <c r="M533" s="203">
        <v>43181.645833333336</v>
      </c>
      <c r="N533" s="203">
        <v>43181.833333333336</v>
      </c>
      <c r="O533" s="201" t="s">
        <v>2556</v>
      </c>
      <c r="AB533" s="110" t="str">
        <f>IFERROR(INDEX('WetLitterbags placem_collection'!$A$3:$A$500,MATCH(A533,'WetLitterbags placem_collection'!$K$4:$K$500,0)),"")</f>
        <v/>
      </c>
      <c r="AC533" s="110" t="str">
        <f>IFERROR(INDEX('WetLitterbags placem_collection'!$A$3:$A$500,MATCH($A533,'WetLitterbags placem_collection'!$O$4:$O$500,0)),"")</f>
        <v/>
      </c>
      <c r="AD533" s="110" t="str">
        <f>IFERROR(INDEX('WetLitterbags placem_collection'!$A$3:$A$500,MATCH($A533,'WetLitterbags placem_collection'!$M$4:$M$500,0)),"")</f>
        <v/>
      </c>
      <c r="AE533" s="110">
        <f>IFERROR(INDEX('WetLitterbags placem_collection'!$A$3:$A$500,MATCH($A533,'WetLitterbags placem_collection'!$Q$4:$Q$500,0)),"")</f>
        <v>80</v>
      </c>
    </row>
    <row r="534" spans="1:31">
      <c r="A534" s="197" t="s">
        <v>845</v>
      </c>
      <c r="C534" s="198">
        <v>30</v>
      </c>
      <c r="D534" s="197">
        <v>1.1567000000000001</v>
      </c>
      <c r="E534" s="201">
        <v>8.0884</v>
      </c>
      <c r="F534" s="202">
        <v>0.20610000000000001</v>
      </c>
      <c r="G534" s="201">
        <f t="shared" si="42"/>
        <v>8.2944999999999993</v>
      </c>
      <c r="H534" s="201">
        <v>8.0965000000000007</v>
      </c>
      <c r="I534" s="201">
        <f t="shared" si="45"/>
        <v>0.19799999999999862</v>
      </c>
      <c r="J534" s="201">
        <f t="shared" si="43"/>
        <v>8.1000000000013839E-3</v>
      </c>
      <c r="K534" s="280">
        <f t="shared" si="44"/>
        <v>3.9301310043674835</v>
      </c>
      <c r="L534" s="201">
        <v>16</v>
      </c>
      <c r="M534" s="204">
        <v>43213</v>
      </c>
      <c r="N534" s="204">
        <v>43213</v>
      </c>
      <c r="AB534" s="110" t="str">
        <f>IFERROR(INDEX('WetLitterbags placem_collection'!$A$3:$A$500,MATCH(A534,'WetLitterbags placem_collection'!$K$4:$K$500,0)),"")</f>
        <v/>
      </c>
      <c r="AC534" s="110" t="str">
        <f>IFERROR(INDEX('WetLitterbags placem_collection'!$A$3:$A$500,MATCH($A534,'WetLitterbags placem_collection'!$O$4:$O$500,0)),"")</f>
        <v/>
      </c>
      <c r="AD534" s="110" t="str">
        <f>IFERROR(INDEX('WetLitterbags placem_collection'!$A$3:$A$500,MATCH($A534,'WetLitterbags placem_collection'!$M$4:$M$500,0)),"")</f>
        <v/>
      </c>
      <c r="AE534" s="110">
        <f>IFERROR(INDEX('WetLitterbags placem_collection'!$A$3:$A$500,MATCH($A534,'WetLitterbags placem_collection'!$Q$4:$Q$500,0)),"")</f>
        <v>29</v>
      </c>
    </row>
    <row r="535" spans="1:31">
      <c r="A535" s="197" t="s">
        <v>1138</v>
      </c>
      <c r="C535" s="197">
        <v>13</v>
      </c>
      <c r="D535" s="201">
        <v>1.2828999999999999</v>
      </c>
      <c r="E535" s="202">
        <v>7.3541999999999996</v>
      </c>
      <c r="F535" s="202">
        <v>0.20280000000000001</v>
      </c>
      <c r="G535" s="201">
        <f t="shared" si="42"/>
        <v>7.5569999999999995</v>
      </c>
      <c r="H535" s="201">
        <v>7.3602999999999996</v>
      </c>
      <c r="I535" s="201">
        <f t="shared" si="45"/>
        <v>0.19669999999999987</v>
      </c>
      <c r="J535" s="201">
        <f t="shared" si="43"/>
        <v>6.1000000000001331E-3</v>
      </c>
      <c r="K535" s="280">
        <f t="shared" si="44"/>
        <v>3.0078895463511506</v>
      </c>
      <c r="L535" s="201">
        <v>23</v>
      </c>
      <c r="M535" s="204">
        <v>43213</v>
      </c>
      <c r="N535" s="204">
        <v>43213</v>
      </c>
      <c r="AB535" s="110" t="str">
        <f>IFERROR(INDEX('WetLitterbags placem_collection'!$A$3:$A$500,MATCH(A535,'WetLitterbags placem_collection'!$K$4:$K$500,0)),"")</f>
        <v/>
      </c>
      <c r="AC535" s="110" t="str">
        <f>IFERROR(INDEX('WetLitterbags placem_collection'!$A$3:$A$500,MATCH($A535,'WetLitterbags placem_collection'!$O$4:$O$500,0)),"")</f>
        <v/>
      </c>
      <c r="AD535" s="110" t="str">
        <f>IFERROR(INDEX('WetLitterbags placem_collection'!$A$3:$A$500,MATCH($A535,'WetLitterbags placem_collection'!$M$4:$M$500,0)),"")</f>
        <v/>
      </c>
      <c r="AE535" s="110">
        <f>IFERROR(INDEX('WetLitterbags placem_collection'!$A$3:$A$500,MATCH($A535,'WetLitterbags placem_collection'!$Q$4:$Q$500,0)),"")</f>
        <v>12</v>
      </c>
    </row>
    <row r="536" spans="1:31">
      <c r="A536" s="201" t="s">
        <v>1111</v>
      </c>
      <c r="C536" s="201">
        <v>157</v>
      </c>
      <c r="D536" s="201">
        <v>1.5705</v>
      </c>
      <c r="E536" s="202">
        <v>7.4748000000000001</v>
      </c>
      <c r="F536" s="202">
        <v>0.20549999999999999</v>
      </c>
      <c r="G536" s="201">
        <f t="shared" si="42"/>
        <v>7.6802999999999999</v>
      </c>
      <c r="H536" s="201">
        <v>7.4926000000000004</v>
      </c>
      <c r="I536" s="201">
        <f t="shared" si="45"/>
        <v>0.18769999999999953</v>
      </c>
      <c r="J536" s="201">
        <f t="shared" si="43"/>
        <v>1.7800000000000454E-2</v>
      </c>
      <c r="K536" s="280">
        <f t="shared" si="44"/>
        <v>8.6618004866182261</v>
      </c>
      <c r="L536" s="201">
        <v>27</v>
      </c>
      <c r="M536" s="207">
        <v>43185.385416666664</v>
      </c>
      <c r="N536" s="201"/>
      <c r="O536" s="201" t="s">
        <v>2556</v>
      </c>
      <c r="P536" s="201"/>
      <c r="AB536" s="110" t="str">
        <f>IFERROR(INDEX('WetLitterbags placem_collection'!$A$3:$A$500,MATCH(A536,'WetLitterbags placem_collection'!$K$4:$K$500,0)),"")</f>
        <v/>
      </c>
      <c r="AC536" s="110" t="str">
        <f>IFERROR(INDEX('WetLitterbags placem_collection'!$A$3:$A$500,MATCH($A536,'WetLitterbags placem_collection'!$O$4:$O$500,0)),"")</f>
        <v/>
      </c>
      <c r="AD536" s="110">
        <f>IFERROR(INDEX('WetLitterbags placem_collection'!$A$3:$A$500,MATCH($A536,'WetLitterbags placem_collection'!$M$4:$M$500,0)),"")</f>
        <v>156</v>
      </c>
      <c r="AE536" s="110" t="str">
        <f>IFERROR(INDEX('WetLitterbags placem_collection'!$A$3:$A$500,MATCH($A536,'WetLitterbags placem_collection'!$Q$4:$Q$500,0)),"")</f>
        <v/>
      </c>
    </row>
    <row r="537" spans="1:31">
      <c r="A537" s="197" t="s">
        <v>840</v>
      </c>
      <c r="C537" s="198">
        <v>180</v>
      </c>
      <c r="D537" s="197">
        <v>1.4709000000000001</v>
      </c>
      <c r="E537" s="202">
        <v>10.510300000000001</v>
      </c>
      <c r="F537" s="202">
        <v>0.1996</v>
      </c>
      <c r="G537" s="201">
        <f t="shared" si="42"/>
        <v>10.709900000000001</v>
      </c>
      <c r="H537" s="201">
        <v>10.514099999999999</v>
      </c>
      <c r="I537" s="201">
        <f t="shared" si="45"/>
        <v>0.19580000000000197</v>
      </c>
      <c r="J537" s="201">
        <f t="shared" si="43"/>
        <v>3.7999999999980272E-3</v>
      </c>
      <c r="K537" s="280">
        <f t="shared" si="44"/>
        <v>1.9038076152294727</v>
      </c>
      <c r="L537" s="201">
        <v>40</v>
      </c>
      <c r="M537" s="204">
        <v>43221</v>
      </c>
      <c r="N537" s="204">
        <v>43221</v>
      </c>
      <c r="AB537" s="110" t="str">
        <f>IFERROR(INDEX('WetLitterbags placem_collection'!$A$3:$A$500,MATCH(A537,'WetLitterbags placem_collection'!$K$4:$K$500,0)),"")</f>
        <v/>
      </c>
      <c r="AC537" s="110" t="str">
        <f>IFERROR(INDEX('WetLitterbags placem_collection'!$A$3:$A$500,MATCH($A537,'WetLitterbags placem_collection'!$O$4:$O$500,0)),"")</f>
        <v/>
      </c>
      <c r="AD537" s="110" t="str">
        <f>IFERROR(INDEX('WetLitterbags placem_collection'!$A$3:$A$500,MATCH($A537,'WetLitterbags placem_collection'!$M$4:$M$500,0)),"")</f>
        <v/>
      </c>
      <c r="AE537" s="110">
        <f>IFERROR(INDEX('WetLitterbags placem_collection'!$A$3:$A$500,MATCH($A537,'WetLitterbags placem_collection'!$Q$4:$Q$500,0)),"")</f>
        <v>179</v>
      </c>
    </row>
    <row r="538" spans="1:31">
      <c r="A538" s="201" t="s">
        <v>839</v>
      </c>
      <c r="C538" s="201">
        <v>217</v>
      </c>
      <c r="D538" s="201">
        <v>1.1337999999999999</v>
      </c>
      <c r="E538" s="201">
        <v>9.7261000000000006</v>
      </c>
      <c r="F538" s="202">
        <v>0.2029</v>
      </c>
      <c r="G538" s="201">
        <f t="shared" si="42"/>
        <v>9.9290000000000003</v>
      </c>
      <c r="H538" s="201">
        <v>9.7372999999999994</v>
      </c>
      <c r="I538" s="201">
        <f t="shared" si="45"/>
        <v>0.19170000000000087</v>
      </c>
      <c r="J538" s="201">
        <f t="shared" si="43"/>
        <v>1.1199999999999127E-2</v>
      </c>
      <c r="K538" s="280">
        <f t="shared" si="44"/>
        <v>5.5199605717097722</v>
      </c>
      <c r="L538" s="201">
        <v>4</v>
      </c>
      <c r="M538" s="205">
        <v>43211</v>
      </c>
      <c r="N538" s="201"/>
      <c r="O538" s="201"/>
      <c r="P538" s="201" t="s">
        <v>2553</v>
      </c>
      <c r="AB538" s="110" t="str">
        <f>IFERROR(INDEX('WetLitterbags placem_collection'!$A$3:$A$500,MATCH(A538,'WetLitterbags placem_collection'!$K$4:$K$500,0)),"")</f>
        <v/>
      </c>
      <c r="AC538" s="110" t="str">
        <f>IFERROR(INDEX('WetLitterbags placem_collection'!$A$3:$A$500,MATCH($A538,'WetLitterbags placem_collection'!$O$4:$O$500,0)),"")</f>
        <v/>
      </c>
      <c r="AD538" s="110">
        <f>IFERROR(INDEX('WetLitterbags placem_collection'!$A$3:$A$500,MATCH($A538,'WetLitterbags placem_collection'!$M$4:$M$500,0)),"")</f>
        <v>216</v>
      </c>
      <c r="AE538" s="110" t="str">
        <f>IFERROR(INDEX('WetLitterbags placem_collection'!$A$3:$A$500,MATCH($A538,'WetLitterbags placem_collection'!$Q$4:$Q$500,0)),"")</f>
        <v/>
      </c>
    </row>
    <row r="539" spans="1:31">
      <c r="A539" s="197" t="s">
        <v>838</v>
      </c>
      <c r="C539" s="198">
        <v>200</v>
      </c>
      <c r="D539" s="197">
        <v>1.363</v>
      </c>
      <c r="E539" s="202">
        <v>11.7463</v>
      </c>
      <c r="F539" s="202">
        <v>0.20039999999999999</v>
      </c>
      <c r="G539" s="201">
        <f t="shared" si="42"/>
        <v>11.9467</v>
      </c>
      <c r="H539" s="201">
        <v>11.7552</v>
      </c>
      <c r="I539" s="201">
        <f t="shared" si="45"/>
        <v>0.19149999999999956</v>
      </c>
      <c r="J539" s="201">
        <f t="shared" si="43"/>
        <v>8.9000000000004353E-3</v>
      </c>
      <c r="K539" s="280">
        <f t="shared" si="44"/>
        <v>4.4411177644712749</v>
      </c>
      <c r="L539" s="201">
        <v>26</v>
      </c>
      <c r="AB539" s="110" t="str">
        <f>IFERROR(INDEX('WetLitterbags placem_collection'!$A$3:$A$500,MATCH(A539,'WetLitterbags placem_collection'!$K$4:$K$500,0)),"")</f>
        <v/>
      </c>
      <c r="AC539" s="110" t="str">
        <f>IFERROR(INDEX('WetLitterbags placem_collection'!$A$3:$A$500,MATCH($A539,'WetLitterbags placem_collection'!$O$4:$O$500,0)),"")</f>
        <v/>
      </c>
      <c r="AD539" s="110">
        <f>IFERROR(INDEX('WetLitterbags placem_collection'!$A$3:$A$500,MATCH($A539,'WetLitterbags placem_collection'!$M$4:$M$500,0)),"")</f>
        <v>199</v>
      </c>
      <c r="AE539" s="110" t="str">
        <f>IFERROR(INDEX('WetLitterbags placem_collection'!$A$3:$A$500,MATCH($A539,'WetLitterbags placem_collection'!$Q$4:$Q$500,0)),"")</f>
        <v/>
      </c>
    </row>
    <row r="540" spans="1:31">
      <c r="A540" s="206" t="s">
        <v>834</v>
      </c>
      <c r="C540" s="201">
        <v>174</v>
      </c>
      <c r="D540" s="201">
        <v>1.4733000000000001</v>
      </c>
      <c r="E540" s="202">
        <v>7.9611000000000001</v>
      </c>
      <c r="F540" s="202">
        <v>0.20150000000000001</v>
      </c>
      <c r="G540" s="201">
        <f t="shared" si="42"/>
        <v>8.1625999999999994</v>
      </c>
      <c r="H540" s="201">
        <v>7.9642999999999997</v>
      </c>
      <c r="I540" s="201">
        <f t="shared" si="45"/>
        <v>0.1982999999999997</v>
      </c>
      <c r="J540" s="201">
        <f t="shared" si="43"/>
        <v>3.2000000000003137E-3</v>
      </c>
      <c r="K540" s="280">
        <f t="shared" si="44"/>
        <v>1.5880893300249692</v>
      </c>
      <c r="L540" s="201">
        <v>8</v>
      </c>
      <c r="M540" s="207">
        <v>43186.458333333336</v>
      </c>
      <c r="N540" s="207">
        <v>43186.625</v>
      </c>
      <c r="O540" s="197" t="s">
        <v>2550</v>
      </c>
      <c r="P540" s="201"/>
      <c r="AB540" s="110" t="str">
        <f>IFERROR(INDEX('WetLitterbags placem_collection'!$A$3:$A$500,MATCH(A540,'WetLitterbags placem_collection'!$K$4:$K$500,0)),"")</f>
        <v/>
      </c>
      <c r="AC540" s="110" t="str">
        <f>IFERROR(INDEX('WetLitterbags placem_collection'!$A$3:$A$500,MATCH($A540,'WetLitterbags placem_collection'!$O$4:$O$500,0)),"")</f>
        <v/>
      </c>
      <c r="AD540" s="110">
        <f>IFERROR(INDEX('WetLitterbags placem_collection'!$A$3:$A$500,MATCH($A540,'WetLitterbags placem_collection'!$M$4:$M$500,0)),"")</f>
        <v>173</v>
      </c>
      <c r="AE540" s="110" t="str">
        <f>IFERROR(INDEX('WetLitterbags placem_collection'!$A$3:$A$500,MATCH($A540,'WetLitterbags placem_collection'!$Q$4:$Q$500,0)),"")</f>
        <v/>
      </c>
    </row>
    <row r="541" spans="1:31">
      <c r="A541" s="201" t="s">
        <v>832</v>
      </c>
      <c r="C541" s="201">
        <v>178</v>
      </c>
      <c r="D541" s="197">
        <v>1.4516</v>
      </c>
      <c r="E541" s="197">
        <v>8.7627000000000006</v>
      </c>
      <c r="F541" s="197">
        <v>0.2054</v>
      </c>
      <c r="G541" s="197">
        <f t="shared" si="42"/>
        <v>8.9680999999999997</v>
      </c>
      <c r="H541" s="197">
        <v>8.7645</v>
      </c>
      <c r="I541" s="197">
        <f t="shared" si="45"/>
        <v>0.20359999999999978</v>
      </c>
      <c r="J541" s="201">
        <f t="shared" si="43"/>
        <v>1.8000000000002181E-3</v>
      </c>
      <c r="K541" s="280">
        <f t="shared" si="44"/>
        <v>0.87633885102250153</v>
      </c>
      <c r="L541" s="197">
        <v>15</v>
      </c>
      <c r="M541" s="207">
        <v>43160.520833333336</v>
      </c>
      <c r="N541" s="207">
        <v>43160.6875</v>
      </c>
      <c r="O541" s="197" t="s">
        <v>2550</v>
      </c>
      <c r="AB541" s="110" t="str">
        <f>IFERROR(INDEX('WetLitterbags placem_collection'!$A$3:$A$500,MATCH(A541,'WetLitterbags placem_collection'!$K$4:$K$500,0)),"")</f>
        <v/>
      </c>
      <c r="AC541" s="110" t="str">
        <f>IFERROR(INDEX('WetLitterbags placem_collection'!$A$3:$A$500,MATCH($A541,'WetLitterbags placem_collection'!$O$4:$O$500,0)),"")</f>
        <v/>
      </c>
      <c r="AD541" s="110">
        <f>IFERROR(INDEX('WetLitterbags placem_collection'!$A$3:$A$500,MATCH($A541,'WetLitterbags placem_collection'!$M$4:$M$500,0)),"")</f>
        <v>177</v>
      </c>
      <c r="AE541" s="110" t="str">
        <f>IFERROR(INDEX('WetLitterbags placem_collection'!$A$3:$A$500,MATCH($A541,'WetLitterbags placem_collection'!$Q$4:$Q$500,0)),"")</f>
        <v/>
      </c>
    </row>
    <row r="542" spans="1:31">
      <c r="A542" s="197" t="s">
        <v>830</v>
      </c>
      <c r="C542" s="197">
        <v>75</v>
      </c>
      <c r="D542" s="197">
        <v>1.4560999999999999</v>
      </c>
      <c r="E542" s="202">
        <v>11.904</v>
      </c>
      <c r="F542" s="202">
        <v>0.2036</v>
      </c>
      <c r="G542" s="201">
        <f t="shared" si="42"/>
        <v>12.1076</v>
      </c>
      <c r="H542" s="201">
        <v>11.911199999999999</v>
      </c>
      <c r="I542" s="201">
        <f t="shared" si="45"/>
        <v>0.19640000000000057</v>
      </c>
      <c r="J542" s="201">
        <f t="shared" si="43"/>
        <v>7.1999999999994291E-3</v>
      </c>
      <c r="K542" s="280">
        <f t="shared" si="44"/>
        <v>3.5363457760311539</v>
      </c>
      <c r="L542" s="201">
        <v>19</v>
      </c>
      <c r="M542" s="204">
        <v>43221</v>
      </c>
      <c r="N542" s="204">
        <v>43221</v>
      </c>
      <c r="P542" s="197" t="s">
        <v>2145</v>
      </c>
      <c r="AB542" s="110" t="str">
        <f>IFERROR(INDEX('WetLitterbags placem_collection'!$A$3:$A$500,MATCH(A542,'WetLitterbags placem_collection'!$K$4:$K$500,0)),"")</f>
        <v/>
      </c>
      <c r="AC542" s="110" t="str">
        <f>IFERROR(INDEX('WetLitterbags placem_collection'!$A$3:$A$500,MATCH($A542,'WetLitterbags placem_collection'!$O$4:$O$500,0)),"")</f>
        <v/>
      </c>
      <c r="AD542" s="110" t="str">
        <f>IFERROR(INDEX('WetLitterbags placem_collection'!$A$3:$A$500,MATCH($A542,'WetLitterbags placem_collection'!$M$4:$M$500,0)),"")</f>
        <v/>
      </c>
      <c r="AE542" s="110">
        <f>IFERROR(INDEX('WetLitterbags placem_collection'!$A$3:$A$500,MATCH($A542,'WetLitterbags placem_collection'!$Q$4:$Q$500,0)),"")</f>
        <v>74</v>
      </c>
    </row>
    <row r="543" spans="1:31">
      <c r="A543" s="197" t="s">
        <v>829</v>
      </c>
      <c r="C543" s="197">
        <v>52</v>
      </c>
      <c r="D543" s="197">
        <v>1.2791999999999999</v>
      </c>
      <c r="E543" s="197">
        <v>10.855700000000001</v>
      </c>
      <c r="F543" s="197">
        <v>0.2097</v>
      </c>
      <c r="G543" s="197">
        <f t="shared" si="42"/>
        <v>11.0654</v>
      </c>
      <c r="H543" s="197">
        <v>10.876300000000001</v>
      </c>
      <c r="I543" s="197">
        <f t="shared" si="45"/>
        <v>0.18909999999999982</v>
      </c>
      <c r="J543" s="201">
        <f t="shared" si="43"/>
        <v>2.0600000000000174E-2</v>
      </c>
      <c r="K543" s="280">
        <f t="shared" si="44"/>
        <v>9.8235574630425244</v>
      </c>
      <c r="L543" s="197">
        <v>32</v>
      </c>
      <c r="M543" s="197" t="s">
        <v>2586</v>
      </c>
      <c r="N543" s="197" t="s">
        <v>2585</v>
      </c>
      <c r="O543" s="197" t="s">
        <v>2550</v>
      </c>
      <c r="U543" s="202" t="s">
        <v>1447</v>
      </c>
      <c r="V543" s="197">
        <v>1.0246</v>
      </c>
      <c r="W543" s="197">
        <f>(V543-$T$175+F541)</f>
        <v>1.23</v>
      </c>
      <c r="AB543" s="110" t="str">
        <f>IFERROR(INDEX('WetLitterbags placem_collection'!$A$3:$A$500,MATCH(A543,'WetLitterbags placem_collection'!$K$4:$K$500,0)),"")</f>
        <v/>
      </c>
      <c r="AC543" s="110" t="str">
        <f>IFERROR(INDEX('WetLitterbags placem_collection'!$A$3:$A$500,MATCH($A543,'WetLitterbags placem_collection'!$O$4:$O$500,0)),"")</f>
        <v/>
      </c>
      <c r="AD543" s="110" t="str">
        <f>IFERROR(INDEX('WetLitterbags placem_collection'!$A$3:$A$500,MATCH($A543,'WetLitterbags placem_collection'!$M$4:$M$500,0)),"")</f>
        <v/>
      </c>
      <c r="AE543" s="110">
        <f>IFERROR(INDEX('WetLitterbags placem_collection'!$A$3:$A$500,MATCH($A543,'WetLitterbags placem_collection'!$Q$4:$Q$500,0)),"")</f>
        <v>51</v>
      </c>
    </row>
    <row r="544" spans="1:31">
      <c r="A544" s="197" t="s">
        <v>829</v>
      </c>
      <c r="C544" s="197">
        <v>58</v>
      </c>
      <c r="D544" s="197">
        <v>0.96730000000000005</v>
      </c>
      <c r="E544" s="197">
        <v>9.3140999999999998</v>
      </c>
      <c r="F544" s="197">
        <v>0.19950000000000001</v>
      </c>
      <c r="G544" s="197">
        <f t="shared" si="42"/>
        <v>9.5136000000000003</v>
      </c>
      <c r="H544" s="197">
        <v>9.3429000000000002</v>
      </c>
      <c r="I544" s="197">
        <f t="shared" si="45"/>
        <v>0.17070000000000007</v>
      </c>
      <c r="J544" s="201">
        <f t="shared" si="43"/>
        <v>2.8799999999999937E-2</v>
      </c>
      <c r="K544" s="280">
        <f t="shared" si="44"/>
        <v>14.436090225563877</v>
      </c>
      <c r="L544" s="197">
        <v>37</v>
      </c>
      <c r="M544" s="197" t="s">
        <v>2586</v>
      </c>
      <c r="N544" s="197" t="s">
        <v>2585</v>
      </c>
      <c r="O544" s="197" t="s">
        <v>2550</v>
      </c>
      <c r="U544" s="202" t="s">
        <v>1148</v>
      </c>
      <c r="V544" s="197">
        <v>1.0179</v>
      </c>
      <c r="W544" s="197">
        <f>(V544-$T$175+F542)</f>
        <v>1.2215</v>
      </c>
      <c r="AB544" s="110" t="str">
        <f>IFERROR(INDEX('WetLitterbags placem_collection'!$A$3:$A$500,MATCH(A544,'WetLitterbags placem_collection'!$K$4:$K$500,0)),"")</f>
        <v/>
      </c>
      <c r="AC544" s="110" t="str">
        <f>IFERROR(INDEX('WetLitterbags placem_collection'!$A$3:$A$500,MATCH($A544,'WetLitterbags placem_collection'!$O$4:$O$500,0)),"")</f>
        <v/>
      </c>
      <c r="AD544" s="110" t="str">
        <f>IFERROR(INDEX('WetLitterbags placem_collection'!$A$3:$A$500,MATCH($A544,'WetLitterbags placem_collection'!$M$4:$M$500,0)),"")</f>
        <v/>
      </c>
      <c r="AE544" s="110">
        <f>IFERROR(INDEX('WetLitterbags placem_collection'!$A$3:$A$500,MATCH($A544,'WetLitterbags placem_collection'!$Q$4:$Q$500,0)),"")</f>
        <v>51</v>
      </c>
    </row>
    <row r="545" spans="1:31">
      <c r="A545" s="201" t="s">
        <v>826</v>
      </c>
      <c r="C545" s="201">
        <v>85</v>
      </c>
      <c r="D545" s="201">
        <v>1.2338</v>
      </c>
      <c r="E545" s="202">
        <v>9.7210999999999999</v>
      </c>
      <c r="F545" s="202">
        <v>0.20349999999999999</v>
      </c>
      <c r="G545" s="201">
        <f t="shared" si="42"/>
        <v>9.9245999999999999</v>
      </c>
      <c r="H545" s="201">
        <v>9.7422000000000004</v>
      </c>
      <c r="I545" s="201">
        <f t="shared" si="45"/>
        <v>0.18239999999999945</v>
      </c>
      <c r="J545" s="201">
        <f t="shared" si="43"/>
        <v>2.1100000000000535E-2</v>
      </c>
      <c r="K545" s="280">
        <f t="shared" si="44"/>
        <v>10.368550368550631</v>
      </c>
      <c r="L545" s="201">
        <v>41</v>
      </c>
      <c r="M545" s="207">
        <v>43186.458333333336</v>
      </c>
      <c r="N545" s="207">
        <v>43186.625</v>
      </c>
      <c r="O545" s="197" t="s">
        <v>2550</v>
      </c>
      <c r="P545" s="201"/>
      <c r="AB545" s="110" t="str">
        <f>IFERROR(INDEX('WetLitterbags placem_collection'!$A$3:$A$500,MATCH(A545,'WetLitterbags placem_collection'!$K$4:$K$500,0)),"")</f>
        <v/>
      </c>
      <c r="AC545" s="110" t="str">
        <f>IFERROR(INDEX('WetLitterbags placem_collection'!$A$3:$A$500,MATCH($A545,'WetLitterbags placem_collection'!$O$4:$O$500,0)),"")</f>
        <v/>
      </c>
      <c r="AD545" s="110">
        <f>IFERROR(INDEX('WetLitterbags placem_collection'!$A$3:$A$500,MATCH($A545,'WetLitterbags placem_collection'!$M$4:$M$500,0)),"")</f>
        <v>84</v>
      </c>
      <c r="AE545" s="110" t="str">
        <f>IFERROR(INDEX('WetLitterbags placem_collection'!$A$3:$A$500,MATCH($A545,'WetLitterbags placem_collection'!$Q$4:$Q$500,0)),"")</f>
        <v/>
      </c>
    </row>
    <row r="546" spans="1:31">
      <c r="A546" s="206" t="s">
        <v>824</v>
      </c>
      <c r="C546" s="201">
        <v>164</v>
      </c>
      <c r="D546" s="201">
        <v>1.4870000000000001</v>
      </c>
      <c r="E546" s="201">
        <v>7.8597999999999999</v>
      </c>
      <c r="F546" s="202">
        <v>0.2006</v>
      </c>
      <c r="G546" s="201">
        <f t="shared" si="42"/>
        <v>8.0603999999999996</v>
      </c>
      <c r="H546" s="201">
        <v>7.8639999999999999</v>
      </c>
      <c r="I546" s="201">
        <f t="shared" si="45"/>
        <v>0.19639999999999969</v>
      </c>
      <c r="J546" s="201">
        <f t="shared" si="43"/>
        <v>4.2000000000003146E-3</v>
      </c>
      <c r="K546" s="280">
        <f t="shared" si="44"/>
        <v>2.0937188434697482</v>
      </c>
      <c r="L546" s="201">
        <v>25</v>
      </c>
      <c r="M546" s="205">
        <v>43187</v>
      </c>
      <c r="N546" s="205">
        <v>43187</v>
      </c>
      <c r="O546" s="201"/>
      <c r="P546" s="201"/>
      <c r="AB546" s="110" t="str">
        <f>IFERROR(INDEX('WetLitterbags placem_collection'!$A$3:$A$500,MATCH(A546,'WetLitterbags placem_collection'!$K$4:$K$500,0)),"")</f>
        <v/>
      </c>
      <c r="AC546" s="110" t="str">
        <f>IFERROR(INDEX('WetLitterbags placem_collection'!$A$3:$A$500,MATCH($A546,'WetLitterbags placem_collection'!$O$4:$O$500,0)),"")</f>
        <v/>
      </c>
      <c r="AD546" s="110">
        <f>IFERROR(INDEX('WetLitterbags placem_collection'!$A$3:$A$500,MATCH($A546,'WetLitterbags placem_collection'!$M$4:$M$500,0)),"")</f>
        <v>163</v>
      </c>
      <c r="AE546" s="110" t="str">
        <f>IFERROR(INDEX('WetLitterbags placem_collection'!$A$3:$A$500,MATCH($A546,'WetLitterbags placem_collection'!$Q$4:$Q$500,0)),"")</f>
        <v/>
      </c>
    </row>
    <row r="547" spans="1:31">
      <c r="A547" s="197" t="s">
        <v>823</v>
      </c>
      <c r="C547" s="198">
        <v>96</v>
      </c>
      <c r="D547" s="197">
        <v>1.5516000000000001</v>
      </c>
      <c r="E547" s="197">
        <v>7.7140000000000004</v>
      </c>
      <c r="F547" s="202">
        <v>0.20130000000000001</v>
      </c>
      <c r="G547" s="201">
        <f t="shared" si="42"/>
        <v>7.9153000000000002</v>
      </c>
      <c r="H547" s="201">
        <v>7.7363999999999997</v>
      </c>
      <c r="I547" s="201">
        <f t="shared" si="45"/>
        <v>0.1789000000000005</v>
      </c>
      <c r="J547" s="201">
        <f t="shared" si="43"/>
        <v>2.2399999999999504E-2</v>
      </c>
      <c r="K547" s="280">
        <f t="shared" si="44"/>
        <v>11.127670144063339</v>
      </c>
      <c r="L547" s="201">
        <v>13</v>
      </c>
      <c r="AB547" s="110" t="str">
        <f>IFERROR(INDEX('WetLitterbags placem_collection'!$A$3:$A$500,MATCH(A547,'WetLitterbags placem_collection'!$K$4:$K$500,0)),"")</f>
        <v/>
      </c>
      <c r="AC547" s="110" t="str">
        <f>IFERROR(INDEX('WetLitterbags placem_collection'!$A$3:$A$500,MATCH($A547,'WetLitterbags placem_collection'!$O$4:$O$500,0)),"")</f>
        <v/>
      </c>
      <c r="AD547" s="110">
        <f>IFERROR(INDEX('WetLitterbags placem_collection'!$A$3:$A$500,MATCH($A547,'WetLitterbags placem_collection'!$M$4:$M$500,0)),"")</f>
        <v>95</v>
      </c>
      <c r="AE547" s="110" t="str">
        <f>IFERROR(INDEX('WetLitterbags placem_collection'!$A$3:$A$500,MATCH($A547,'WetLitterbags placem_collection'!$Q$4:$Q$500,0)),"")</f>
        <v/>
      </c>
    </row>
    <row r="548" spans="1:31">
      <c r="A548" s="197" t="s">
        <v>822</v>
      </c>
      <c r="C548" s="198">
        <v>220</v>
      </c>
      <c r="D548" s="197">
        <v>1.3140000000000001</v>
      </c>
      <c r="E548" s="202">
        <v>9.0319000000000003</v>
      </c>
      <c r="F548" s="202">
        <v>0.2011</v>
      </c>
      <c r="G548" s="201">
        <f t="shared" si="42"/>
        <v>9.2330000000000005</v>
      </c>
      <c r="H548" s="201">
        <v>9.0419999999999998</v>
      </c>
      <c r="I548" s="201">
        <f t="shared" si="45"/>
        <v>0.19100000000000072</v>
      </c>
      <c r="J548" s="201">
        <f t="shared" si="43"/>
        <v>1.0099999999999276E-2</v>
      </c>
      <c r="K548" s="280">
        <f t="shared" si="44"/>
        <v>5.0223769269016794</v>
      </c>
      <c r="L548" s="201">
        <v>20</v>
      </c>
      <c r="AB548" s="110" t="str">
        <f>IFERROR(INDEX('WetLitterbags placem_collection'!$A$3:$A$500,MATCH(A548,'WetLitterbags placem_collection'!$K$4:$K$500,0)),"")</f>
        <v/>
      </c>
      <c r="AC548" s="110" t="str">
        <f>IFERROR(INDEX('WetLitterbags placem_collection'!$A$3:$A$500,MATCH($A548,'WetLitterbags placem_collection'!$O$4:$O$500,0)),"")</f>
        <v/>
      </c>
      <c r="AD548" s="110" t="str">
        <f>IFERROR(INDEX('WetLitterbags placem_collection'!$A$3:$A$500,MATCH($A548,'WetLitterbags placem_collection'!$M$4:$M$500,0)),"")</f>
        <v/>
      </c>
      <c r="AE548" s="110">
        <f>IFERROR(INDEX('WetLitterbags placem_collection'!$A$3:$A$500,MATCH($A548,'WetLitterbags placem_collection'!$Q$4:$Q$500,0)),"")</f>
        <v>219</v>
      </c>
    </row>
    <row r="549" spans="1:31">
      <c r="A549" s="197" t="s">
        <v>1109</v>
      </c>
      <c r="C549" s="198">
        <v>179</v>
      </c>
      <c r="D549" s="197">
        <v>1.4331</v>
      </c>
      <c r="E549" s="202">
        <v>11.1722</v>
      </c>
      <c r="F549" s="202">
        <v>0.2056</v>
      </c>
      <c r="G549" s="201">
        <f t="shared" si="42"/>
        <v>11.377800000000001</v>
      </c>
      <c r="H549" s="201">
        <v>11.176</v>
      </c>
      <c r="I549" s="201">
        <f t="shared" si="45"/>
        <v>0.20180000000000042</v>
      </c>
      <c r="J549" s="201">
        <f t="shared" si="43"/>
        <v>3.7999999999995815E-3</v>
      </c>
      <c r="K549" s="280">
        <f t="shared" si="44"/>
        <v>1.8482490272371503</v>
      </c>
      <c r="L549" s="201">
        <v>7</v>
      </c>
      <c r="AB549" s="110" t="str">
        <f>IFERROR(INDEX('WetLitterbags placem_collection'!$A$3:$A$500,MATCH(A549,'WetLitterbags placem_collection'!$K$4:$K$500,0)),"")</f>
        <v/>
      </c>
      <c r="AC549" s="110" t="str">
        <f>IFERROR(INDEX('WetLitterbags placem_collection'!$A$3:$A$500,MATCH($A549,'WetLitterbags placem_collection'!$O$4:$O$500,0)),"")</f>
        <v/>
      </c>
      <c r="AD549" s="110">
        <f>IFERROR(INDEX('WetLitterbags placem_collection'!$A$3:$A$500,MATCH($A549,'WetLitterbags placem_collection'!$M$4:$M$500,0)),"")</f>
        <v>178</v>
      </c>
      <c r="AE549" s="110" t="str">
        <f>IFERROR(INDEX('WetLitterbags placem_collection'!$A$3:$A$500,MATCH($A549,'WetLitterbags placem_collection'!$Q$4:$Q$500,0)),"")</f>
        <v/>
      </c>
    </row>
    <row r="550" spans="1:31">
      <c r="A550" s="206" t="s">
        <v>819</v>
      </c>
      <c r="C550" s="201">
        <v>168</v>
      </c>
      <c r="D550" s="201">
        <v>1.4461999999999999</v>
      </c>
      <c r="E550" s="202">
        <v>10.520200000000001</v>
      </c>
      <c r="F550" s="202">
        <v>0.20119999999999999</v>
      </c>
      <c r="G550" s="201">
        <f t="shared" si="42"/>
        <v>10.721400000000001</v>
      </c>
      <c r="H550" s="201">
        <v>10.5245</v>
      </c>
      <c r="I550" s="201">
        <f t="shared" si="45"/>
        <v>0.19690000000000119</v>
      </c>
      <c r="J550" s="201">
        <f t="shared" si="43"/>
        <v>4.2999999999988048E-3</v>
      </c>
      <c r="K550" s="280">
        <f t="shared" si="44"/>
        <v>2.1371769383691874</v>
      </c>
      <c r="L550" s="201">
        <v>10</v>
      </c>
      <c r="M550" s="207">
        <v>43185.385416666664</v>
      </c>
      <c r="N550" s="201"/>
      <c r="O550" s="201" t="s">
        <v>2556</v>
      </c>
      <c r="P550" s="201"/>
      <c r="AB550" s="110" t="str">
        <f>IFERROR(INDEX('WetLitterbags placem_collection'!$A$3:$A$500,MATCH(A550,'WetLitterbags placem_collection'!$K$4:$K$500,0)),"")</f>
        <v/>
      </c>
      <c r="AC550" s="110" t="str">
        <f>IFERROR(INDEX('WetLitterbags placem_collection'!$A$3:$A$500,MATCH($A550,'WetLitterbags placem_collection'!$O$4:$O$500,0)),"")</f>
        <v/>
      </c>
      <c r="AD550" s="110" t="str">
        <f>IFERROR(INDEX('WetLitterbags placem_collection'!$A$3:$A$500,MATCH($A550,'WetLitterbags placem_collection'!$M$4:$M$500,0)),"")</f>
        <v/>
      </c>
      <c r="AE550" s="110">
        <f>IFERROR(INDEX('WetLitterbags placem_collection'!$A$3:$A$500,MATCH($A550,'WetLitterbags placem_collection'!$Q$4:$Q$500,0)),"")</f>
        <v>167</v>
      </c>
    </row>
    <row r="551" spans="1:31">
      <c r="A551" s="197" t="s">
        <v>818</v>
      </c>
      <c r="C551" s="198">
        <v>31</v>
      </c>
      <c r="D551" s="197">
        <v>1.2133</v>
      </c>
      <c r="E551" s="197">
        <v>11.443899999999999</v>
      </c>
      <c r="F551" s="202">
        <v>0.2064</v>
      </c>
      <c r="G551" s="201">
        <f t="shared" si="42"/>
        <v>11.6503</v>
      </c>
      <c r="H551" s="201">
        <v>11.485300000000001</v>
      </c>
      <c r="I551" s="201">
        <f t="shared" si="45"/>
        <v>0.16499999999999915</v>
      </c>
      <c r="J551" s="201">
        <f t="shared" si="43"/>
        <v>4.1400000000000853E-2</v>
      </c>
      <c r="K551" s="280">
        <f t="shared" si="44"/>
        <v>20.058139534884134</v>
      </c>
      <c r="L551" s="201">
        <v>23</v>
      </c>
      <c r="AB551" s="110" t="str">
        <f>IFERROR(INDEX('WetLitterbags placem_collection'!$A$3:$A$500,MATCH(A551,'WetLitterbags placem_collection'!$K$4:$K$500,0)),"")</f>
        <v/>
      </c>
      <c r="AC551" s="110" t="str">
        <f>IFERROR(INDEX('WetLitterbags placem_collection'!$A$3:$A$500,MATCH($A551,'WetLitterbags placem_collection'!$O$4:$O$500,0)),"")</f>
        <v/>
      </c>
      <c r="AD551" s="110" t="str">
        <f>IFERROR(INDEX('WetLitterbags placem_collection'!$A$3:$A$500,MATCH($A551,'WetLitterbags placem_collection'!$M$4:$M$500,0)),"")</f>
        <v/>
      </c>
      <c r="AE551" s="110">
        <f>IFERROR(INDEX('WetLitterbags placem_collection'!$A$3:$A$500,MATCH($A551,'WetLitterbags placem_collection'!$Q$4:$Q$500,0)),"")</f>
        <v>30</v>
      </c>
    </row>
    <row r="552" spans="1:31">
      <c r="A552" s="202" t="s">
        <v>815</v>
      </c>
      <c r="C552" s="201">
        <v>176</v>
      </c>
      <c r="D552" s="201">
        <v>1.4487999999999999</v>
      </c>
      <c r="E552" s="201">
        <v>8.1203000000000003</v>
      </c>
      <c r="F552" s="201">
        <v>0.20899999999999999</v>
      </c>
      <c r="G552" s="201">
        <f t="shared" si="42"/>
        <v>8.3292999999999999</v>
      </c>
      <c r="H552" s="201">
        <v>8.1327999999999996</v>
      </c>
      <c r="I552" s="201">
        <f t="shared" si="45"/>
        <v>0.19650000000000034</v>
      </c>
      <c r="J552" s="201">
        <f t="shared" si="43"/>
        <v>1.249999999999965E-2</v>
      </c>
      <c r="K552" s="280">
        <f t="shared" si="44"/>
        <v>5.9808612440189712</v>
      </c>
      <c r="L552" s="201">
        <v>20</v>
      </c>
      <c r="M552" s="205">
        <v>43173</v>
      </c>
      <c r="N552" s="205">
        <v>43173</v>
      </c>
      <c r="O552" s="201" t="s">
        <v>2556</v>
      </c>
      <c r="P552" s="201" t="s">
        <v>2555</v>
      </c>
      <c r="AB552" s="110" t="str">
        <f>IFERROR(INDEX('WetLitterbags placem_collection'!$A$3:$A$500,MATCH(A552,'WetLitterbags placem_collection'!$K$4:$K$500,0)),"")</f>
        <v/>
      </c>
      <c r="AC552" s="110" t="str">
        <f>IFERROR(INDEX('WetLitterbags placem_collection'!$A$3:$A$500,MATCH($A552,'WetLitterbags placem_collection'!$O$4:$O$500,0)),"")</f>
        <v/>
      </c>
      <c r="AD552" s="110">
        <f>IFERROR(INDEX('WetLitterbags placem_collection'!$A$3:$A$500,MATCH($A552,'WetLitterbags placem_collection'!$M$4:$M$500,0)),"")</f>
        <v>175</v>
      </c>
      <c r="AE552" s="110" t="str">
        <f>IFERROR(INDEX('WetLitterbags placem_collection'!$A$3:$A$500,MATCH($A552,'WetLitterbags placem_collection'!$Q$4:$Q$500,0)),"")</f>
        <v/>
      </c>
    </row>
    <row r="553" spans="1:31">
      <c r="A553" s="206" t="s">
        <v>813</v>
      </c>
      <c r="C553" s="201">
        <v>206</v>
      </c>
      <c r="D553" s="201">
        <v>1.3629</v>
      </c>
      <c r="E553" s="201">
        <v>8.0951000000000004</v>
      </c>
      <c r="F553" s="202">
        <v>0.2041</v>
      </c>
      <c r="G553" s="201">
        <f t="shared" si="42"/>
        <v>8.2992000000000008</v>
      </c>
      <c r="H553" s="201">
        <v>8.1071000000000009</v>
      </c>
      <c r="I553" s="201">
        <f t="shared" si="45"/>
        <v>0.19209999999999994</v>
      </c>
      <c r="J553" s="201">
        <f t="shared" si="43"/>
        <v>1.2000000000000066E-2</v>
      </c>
      <c r="K553" s="280">
        <f t="shared" si="44"/>
        <v>5.8794708476237458</v>
      </c>
      <c r="L553" s="201">
        <v>11</v>
      </c>
      <c r="M553" s="205">
        <v>43187</v>
      </c>
      <c r="N553" s="205">
        <v>43187</v>
      </c>
      <c r="O553" s="201"/>
      <c r="P553" s="201"/>
      <c r="AB553" s="110" t="str">
        <f>IFERROR(INDEX('WetLitterbags placem_collection'!$A$3:$A$500,MATCH(A553,'WetLitterbags placem_collection'!$K$4:$K$500,0)),"")</f>
        <v/>
      </c>
      <c r="AC553" s="110" t="str">
        <f>IFERROR(INDEX('WetLitterbags placem_collection'!$A$3:$A$500,MATCH($A553,'WetLitterbags placem_collection'!$O$4:$O$500,0)),"")</f>
        <v/>
      </c>
      <c r="AD553" s="110" t="str">
        <f>IFERROR(INDEX('WetLitterbags placem_collection'!$A$3:$A$500,MATCH($A553,'WetLitterbags placem_collection'!$M$4:$M$500,0)),"")</f>
        <v/>
      </c>
      <c r="AE553" s="110">
        <f>IFERROR(INDEX('WetLitterbags placem_collection'!$A$3:$A$500,MATCH($A553,'WetLitterbags placem_collection'!$Q$4:$Q$500,0)),"")</f>
        <v>205</v>
      </c>
    </row>
    <row r="554" spans="1:31">
      <c r="A554" s="197" t="s">
        <v>812</v>
      </c>
      <c r="C554" s="197">
        <v>87</v>
      </c>
      <c r="D554" s="197">
        <v>1.4715</v>
      </c>
      <c r="E554" s="197">
        <v>21.069500000000001</v>
      </c>
      <c r="F554" s="197">
        <v>0.2029</v>
      </c>
      <c r="G554" s="197">
        <f t="shared" si="42"/>
        <v>21.272400000000001</v>
      </c>
      <c r="H554" s="197">
        <v>21.081199999999999</v>
      </c>
      <c r="I554" s="197">
        <f t="shared" si="45"/>
        <v>0.19120000000000203</v>
      </c>
      <c r="J554" s="201">
        <f t="shared" si="43"/>
        <v>1.1699999999997962E-2</v>
      </c>
      <c r="K554" s="280">
        <f t="shared" si="44"/>
        <v>5.7663873829462604</v>
      </c>
      <c r="L554" s="197">
        <v>14</v>
      </c>
      <c r="M554" s="197" t="s">
        <v>2580</v>
      </c>
      <c r="N554" s="197" t="s">
        <v>2579</v>
      </c>
      <c r="O554" s="197" t="s">
        <v>2556</v>
      </c>
      <c r="AB554" s="110" t="str">
        <f>IFERROR(INDEX('WetLitterbags placem_collection'!$A$3:$A$500,MATCH(A554,'WetLitterbags placem_collection'!$K$4:$K$500,0)),"")</f>
        <v/>
      </c>
      <c r="AC554" s="110" t="str">
        <f>IFERROR(INDEX('WetLitterbags placem_collection'!$A$3:$A$500,MATCH($A554,'WetLitterbags placem_collection'!$O$4:$O$500,0)),"")</f>
        <v/>
      </c>
      <c r="AD554" s="110" t="str">
        <f>IFERROR(INDEX('WetLitterbags placem_collection'!$A$3:$A$500,MATCH($A554,'WetLitterbags placem_collection'!$M$4:$M$500,0)),"")</f>
        <v/>
      </c>
      <c r="AE554" s="110">
        <f>IFERROR(INDEX('WetLitterbags placem_collection'!$A$3:$A$500,MATCH($A554,'WetLitterbags placem_collection'!$Q$4:$Q$500,0)),"")</f>
        <v>86</v>
      </c>
    </row>
    <row r="555" spans="1:31">
      <c r="A555" s="197" t="s">
        <v>1108</v>
      </c>
      <c r="C555" s="197">
        <v>106</v>
      </c>
      <c r="D555" s="197">
        <v>1.3362000000000001</v>
      </c>
      <c r="E555" s="197">
        <v>7.7127999999999997</v>
      </c>
      <c r="F555" s="197">
        <v>0.2044</v>
      </c>
      <c r="G555" s="197">
        <f t="shared" si="42"/>
        <v>7.9171999999999993</v>
      </c>
      <c r="H555" s="197">
        <v>7.7276999999999996</v>
      </c>
      <c r="I555" s="197">
        <f t="shared" si="45"/>
        <v>0.18949999999999978</v>
      </c>
      <c r="J555" s="201">
        <f t="shared" si="43"/>
        <v>1.4900000000000219E-2</v>
      </c>
      <c r="K555" s="280">
        <f t="shared" si="44"/>
        <v>7.2896281800392453</v>
      </c>
      <c r="L555" s="197">
        <v>3</v>
      </c>
      <c r="M555" s="197">
        <v>43157.395833333336</v>
      </c>
      <c r="N555" s="197">
        <v>43157.569444444445</v>
      </c>
      <c r="O555" s="197" t="s">
        <v>2550</v>
      </c>
      <c r="AB555" s="110" t="str">
        <f>IFERROR(INDEX('WetLitterbags placem_collection'!$A$3:$A$500,MATCH(A555,'WetLitterbags placem_collection'!$K$4:$K$500,0)),"")</f>
        <v/>
      </c>
      <c r="AC555" s="110" t="str">
        <f>IFERROR(INDEX('WetLitterbags placem_collection'!$A$3:$A$500,MATCH($A555,'WetLitterbags placem_collection'!$O$4:$O$500,0)),"")</f>
        <v/>
      </c>
      <c r="AD555" s="110" t="str">
        <f>IFERROR(INDEX('WetLitterbags placem_collection'!$A$3:$A$500,MATCH($A555,'WetLitterbags placem_collection'!$M$4:$M$500,0)),"")</f>
        <v/>
      </c>
      <c r="AE555" s="110">
        <f>IFERROR(INDEX('WetLitterbags placem_collection'!$A$3:$A$500,MATCH($A555,'WetLitterbags placem_collection'!$Q$4:$Q$500,0)),"")</f>
        <v>108</v>
      </c>
    </row>
    <row r="556" spans="1:31">
      <c r="A556" s="201" t="s">
        <v>811</v>
      </c>
      <c r="C556" s="201">
        <v>170</v>
      </c>
      <c r="D556" s="201">
        <v>1.5392999999999999</v>
      </c>
      <c r="E556" s="201">
        <v>10.1532</v>
      </c>
      <c r="F556" s="202">
        <v>0.20330000000000001</v>
      </c>
      <c r="G556" s="201">
        <f t="shared" si="42"/>
        <v>10.3565</v>
      </c>
      <c r="H556" s="201">
        <v>10.1576</v>
      </c>
      <c r="I556" s="201">
        <f t="shared" si="45"/>
        <v>0.19890000000000008</v>
      </c>
      <c r="J556" s="201">
        <f t="shared" si="43"/>
        <v>4.3999999999999317E-3</v>
      </c>
      <c r="K556" s="280">
        <f t="shared" si="44"/>
        <v>2.1642892277422194</v>
      </c>
      <c r="L556" s="201">
        <v>2</v>
      </c>
      <c r="M556" s="205">
        <v>43187</v>
      </c>
      <c r="N556" s="205">
        <v>43187</v>
      </c>
      <c r="O556" s="201"/>
      <c r="P556" s="201"/>
      <c r="AB556" s="110" t="str">
        <f>IFERROR(INDEX('WetLitterbags placem_collection'!$A$3:$A$500,MATCH(A556,'WetLitterbags placem_collection'!$K$4:$K$500,0)),"")</f>
        <v/>
      </c>
      <c r="AC556" s="110" t="str">
        <f>IFERROR(INDEX('WetLitterbags placem_collection'!$A$3:$A$500,MATCH($A556,'WetLitterbags placem_collection'!$O$4:$O$500,0)),"")</f>
        <v/>
      </c>
      <c r="AD556" s="110">
        <f>IFERROR(INDEX('WetLitterbags placem_collection'!$A$3:$A$500,MATCH($A556,'WetLitterbags placem_collection'!$M$4:$M$500,0)),"")</f>
        <v>169</v>
      </c>
      <c r="AE556" s="110" t="str">
        <f>IFERROR(INDEX('WetLitterbags placem_collection'!$A$3:$A$500,MATCH($A556,'WetLitterbags placem_collection'!$Q$4:$Q$500,0)),"")</f>
        <v/>
      </c>
    </row>
    <row r="557" spans="1:31">
      <c r="A557" s="197" t="s">
        <v>810</v>
      </c>
      <c r="C557" s="201">
        <v>165</v>
      </c>
      <c r="D557" s="201">
        <v>1.4888999999999999</v>
      </c>
      <c r="E557" s="201">
        <v>10.677</v>
      </c>
      <c r="F557" s="201">
        <v>0.2185</v>
      </c>
      <c r="G557" s="201">
        <f t="shared" si="42"/>
        <v>10.8955</v>
      </c>
      <c r="H557" s="201">
        <v>10.682600000000001</v>
      </c>
      <c r="I557" s="201">
        <f t="shared" ref="I557:I588" si="46">(G557-H557)</f>
        <v>0.21289999999999942</v>
      </c>
      <c r="J557" s="201">
        <f t="shared" si="43"/>
        <v>5.6000000000005767E-3</v>
      </c>
      <c r="K557" s="280">
        <f t="shared" si="44"/>
        <v>2.562929061785161</v>
      </c>
      <c r="L557" s="201">
        <v>18</v>
      </c>
      <c r="M557" s="203">
        <v>43164.628472222219</v>
      </c>
      <c r="N557" s="203">
        <v>43164.795138888891</v>
      </c>
      <c r="O557" s="197" t="s">
        <v>2550</v>
      </c>
      <c r="P557"/>
      <c r="Q557"/>
      <c r="AB557" s="110" t="str">
        <f>IFERROR(INDEX('WetLitterbags placem_collection'!$A$3:$A$500,MATCH(A557,'WetLitterbags placem_collection'!$K$4:$K$500,0)),"")</f>
        <v/>
      </c>
      <c r="AC557" s="110" t="str">
        <f>IFERROR(INDEX('WetLitterbags placem_collection'!$A$3:$A$500,MATCH($A557,'WetLitterbags placem_collection'!$O$4:$O$500,0)),"")</f>
        <v/>
      </c>
      <c r="AD557" s="110">
        <f>IFERROR(INDEX('WetLitterbags placem_collection'!$A$3:$A$500,MATCH($A557,'WetLitterbags placem_collection'!$M$4:$M$500,0)),"")</f>
        <v>164</v>
      </c>
      <c r="AE557" s="110" t="str">
        <f>IFERROR(INDEX('WetLitterbags placem_collection'!$A$3:$A$500,MATCH($A557,'WetLitterbags placem_collection'!$Q$4:$Q$500,0)),"")</f>
        <v/>
      </c>
    </row>
    <row r="558" spans="1:31">
      <c r="A558" s="197" t="s">
        <v>808</v>
      </c>
      <c r="C558" s="201">
        <v>65</v>
      </c>
      <c r="D558" s="201">
        <v>1.3767</v>
      </c>
      <c r="E558" s="202">
        <v>9.8209999999999997</v>
      </c>
      <c r="F558" s="202">
        <v>0.20030000000000001</v>
      </c>
      <c r="G558" s="201">
        <f t="shared" si="42"/>
        <v>10.0213</v>
      </c>
      <c r="H558" s="201">
        <v>9.8289000000000009</v>
      </c>
      <c r="I558" s="201">
        <f t="shared" si="46"/>
        <v>0.19239999999999924</v>
      </c>
      <c r="J558" s="201">
        <f t="shared" si="43"/>
        <v>7.9000000000007675E-3</v>
      </c>
      <c r="K558" s="280">
        <f t="shared" si="44"/>
        <v>3.9440838741890998</v>
      </c>
      <c r="L558" s="201">
        <v>1</v>
      </c>
      <c r="M558" s="205">
        <v>43199</v>
      </c>
      <c r="N558" s="205">
        <v>43199</v>
      </c>
      <c r="O558" s="201"/>
      <c r="P558" s="201" t="s">
        <v>2584</v>
      </c>
      <c r="AB558" s="110" t="str">
        <f>IFERROR(INDEX('WetLitterbags placem_collection'!$A$3:$A$500,MATCH(A558,'WetLitterbags placem_collection'!$K$4:$K$500,0)),"")</f>
        <v/>
      </c>
      <c r="AC558" s="110" t="str">
        <f>IFERROR(INDEX('WetLitterbags placem_collection'!$A$3:$A$500,MATCH($A558,'WetLitterbags placem_collection'!$O$4:$O$500,0)),"")</f>
        <v/>
      </c>
      <c r="AD558" s="110" t="str">
        <f>IFERROR(INDEX('WetLitterbags placem_collection'!$A$3:$A$500,MATCH($A558,'WetLitterbags placem_collection'!$M$4:$M$500,0)),"")</f>
        <v/>
      </c>
      <c r="AE558" s="110">
        <f>IFERROR(INDEX('WetLitterbags placem_collection'!$A$3:$A$500,MATCH($A558,'WetLitterbags placem_collection'!$Q$4:$Q$500,0)),"")</f>
        <v>64</v>
      </c>
    </row>
    <row r="559" spans="1:31">
      <c r="A559" s="201" t="s">
        <v>807</v>
      </c>
      <c r="C559" s="181">
        <v>204</v>
      </c>
      <c r="D559" s="197">
        <v>1.3375999999999999</v>
      </c>
      <c r="E559" s="197">
        <v>7.0744999999999996</v>
      </c>
      <c r="F559" s="197">
        <v>0.20680000000000001</v>
      </c>
      <c r="G559" s="197">
        <f t="shared" si="42"/>
        <v>7.2812999999999999</v>
      </c>
      <c r="H559" s="197">
        <v>7.0857999999999999</v>
      </c>
      <c r="I559" s="197">
        <f t="shared" si="46"/>
        <v>0.19550000000000001</v>
      </c>
      <c r="J559" s="201">
        <f t="shared" si="43"/>
        <v>1.1300000000000004E-2</v>
      </c>
      <c r="K559" s="280">
        <f t="shared" si="44"/>
        <v>5.4642166344294019</v>
      </c>
      <c r="L559" s="197">
        <v>9</v>
      </c>
      <c r="M559" s="207">
        <v>43160.520833333336</v>
      </c>
      <c r="N559" s="207">
        <v>43160.6875</v>
      </c>
      <c r="O559" s="197" t="s">
        <v>2550</v>
      </c>
      <c r="AB559" s="110" t="str">
        <f>IFERROR(INDEX('WetLitterbags placem_collection'!$A$3:$A$500,MATCH(A559,'WetLitterbags placem_collection'!$K$4:$K$500,0)),"")</f>
        <v/>
      </c>
      <c r="AC559" s="110" t="str">
        <f>IFERROR(INDEX('WetLitterbags placem_collection'!$A$3:$A$500,MATCH($A559,'WetLitterbags placem_collection'!$O$4:$O$500,0)),"")</f>
        <v/>
      </c>
      <c r="AD559" s="110">
        <f>IFERROR(INDEX('WetLitterbags placem_collection'!$A$3:$A$500,MATCH($A559,'WetLitterbags placem_collection'!$M$4:$M$500,0)),"")</f>
        <v>203</v>
      </c>
      <c r="AE559" s="110" t="str">
        <f>IFERROR(INDEX('WetLitterbags placem_collection'!$A$3:$A$500,MATCH($A559,'WetLitterbags placem_collection'!$Q$4:$Q$500,0)),"")</f>
        <v/>
      </c>
    </row>
    <row r="560" spans="1:31">
      <c r="A560" s="197" t="s">
        <v>805</v>
      </c>
      <c r="C560" s="198">
        <v>191</v>
      </c>
      <c r="D560" s="197">
        <v>1.4473</v>
      </c>
      <c r="E560" s="202">
        <v>9.1560000000000006</v>
      </c>
      <c r="F560" s="202">
        <v>0.20430000000000001</v>
      </c>
      <c r="G560" s="201">
        <f t="shared" si="42"/>
        <v>9.3603000000000005</v>
      </c>
      <c r="H560" s="201">
        <v>9.1599000000000004</v>
      </c>
      <c r="I560" s="201">
        <f t="shared" si="46"/>
        <v>0.20040000000000013</v>
      </c>
      <c r="J560" s="201">
        <f t="shared" si="43"/>
        <v>3.8999999999998758E-3</v>
      </c>
      <c r="K560" s="280">
        <f t="shared" si="44"/>
        <v>1.9089574155652842</v>
      </c>
      <c r="L560" s="201">
        <v>21</v>
      </c>
      <c r="AB560" s="110" t="str">
        <f>IFERROR(INDEX('WetLitterbags placem_collection'!$A$3:$A$500,MATCH(A560,'WetLitterbags placem_collection'!$K$4:$K$500,0)),"")</f>
        <v/>
      </c>
      <c r="AC560" s="110" t="str">
        <f>IFERROR(INDEX('WetLitterbags placem_collection'!$A$3:$A$500,MATCH($A560,'WetLitterbags placem_collection'!$O$4:$O$500,0)),"")</f>
        <v/>
      </c>
      <c r="AD560" s="110">
        <f>IFERROR(INDEX('WetLitterbags placem_collection'!$A$3:$A$500,MATCH($A560,'WetLitterbags placem_collection'!$M$4:$M$500,0)),"")</f>
        <v>190</v>
      </c>
      <c r="AE560" s="110" t="str">
        <f>IFERROR(INDEX('WetLitterbags placem_collection'!$A$3:$A$500,MATCH($A560,'WetLitterbags placem_collection'!$Q$4:$Q$500,0)),"")</f>
        <v/>
      </c>
    </row>
    <row r="561" spans="1:31">
      <c r="A561" s="197" t="s">
        <v>802</v>
      </c>
      <c r="C561" s="201">
        <v>199</v>
      </c>
      <c r="D561" s="202">
        <v>1.3551</v>
      </c>
      <c r="E561" s="202">
        <v>10.743499999999999</v>
      </c>
      <c r="F561" s="201">
        <v>0.20610000000000001</v>
      </c>
      <c r="G561" s="201">
        <f t="shared" si="42"/>
        <v>10.949599999999998</v>
      </c>
      <c r="H561" s="201">
        <v>10.750999999999999</v>
      </c>
      <c r="I561" s="201">
        <f t="shared" si="46"/>
        <v>0.198599999999999</v>
      </c>
      <c r="J561" s="201">
        <f t="shared" si="43"/>
        <v>7.5000000000010059E-3</v>
      </c>
      <c r="K561" s="280">
        <f t="shared" si="44"/>
        <v>3.6390101892290181</v>
      </c>
      <c r="L561" s="201">
        <v>2</v>
      </c>
      <c r="M561" s="201"/>
      <c r="N561" s="201"/>
      <c r="O561" s="201"/>
      <c r="P561" s="201"/>
      <c r="AB561" s="110" t="str">
        <f>IFERROR(INDEX('WetLitterbags placem_collection'!$A$3:$A$500,MATCH(A561,'WetLitterbags placem_collection'!$K$4:$K$500,0)),"")</f>
        <v/>
      </c>
      <c r="AC561" s="110" t="str">
        <f>IFERROR(INDEX('WetLitterbags placem_collection'!$A$3:$A$500,MATCH($A561,'WetLitterbags placem_collection'!$O$4:$O$500,0)),"")</f>
        <v/>
      </c>
      <c r="AD561" s="110">
        <f>IFERROR(INDEX('WetLitterbags placem_collection'!$A$3:$A$500,MATCH($A561,'WetLitterbags placem_collection'!$M$4:$M$500,0)),"")</f>
        <v>198</v>
      </c>
      <c r="AE561" s="110" t="str">
        <f>IFERROR(INDEX('WetLitterbags placem_collection'!$A$3:$A$500,MATCH($A561,'WetLitterbags placem_collection'!$Q$4:$Q$500,0)),"")</f>
        <v/>
      </c>
    </row>
    <row r="562" spans="1:31">
      <c r="A562" s="201" t="s">
        <v>1107</v>
      </c>
      <c r="C562" s="201">
        <v>137</v>
      </c>
      <c r="D562" s="202">
        <v>1.3187</v>
      </c>
      <c r="E562" s="201">
        <v>8.0467999999999993</v>
      </c>
      <c r="F562" s="202">
        <v>0.2026</v>
      </c>
      <c r="G562" s="201">
        <f t="shared" si="42"/>
        <v>8.2493999999999996</v>
      </c>
      <c r="H562" s="201">
        <v>8.0627999999999993</v>
      </c>
      <c r="I562" s="201">
        <f t="shared" si="46"/>
        <v>0.18660000000000032</v>
      </c>
      <c r="J562" s="201">
        <f t="shared" si="43"/>
        <v>1.5999999999999681E-2</v>
      </c>
      <c r="K562" s="280">
        <f t="shared" si="44"/>
        <v>7.897334649555618</v>
      </c>
      <c r="L562" s="201">
        <v>26</v>
      </c>
      <c r="M562" s="205">
        <v>43206</v>
      </c>
      <c r="N562" s="205">
        <v>43206</v>
      </c>
      <c r="O562" s="201"/>
      <c r="P562" s="201"/>
      <c r="AB562" s="110" t="str">
        <f>IFERROR(INDEX('WetLitterbags placem_collection'!$A$3:$A$500,MATCH(A562,'WetLitterbags placem_collection'!$K$4:$K$500,0)),"")</f>
        <v/>
      </c>
      <c r="AC562" s="110" t="str">
        <f>IFERROR(INDEX('WetLitterbags placem_collection'!$A$3:$A$500,MATCH($A562,'WetLitterbags placem_collection'!$O$4:$O$500,0)),"")</f>
        <v/>
      </c>
      <c r="AD562" s="110">
        <f>IFERROR(INDEX('WetLitterbags placem_collection'!$A$3:$A$500,MATCH($A562,'WetLitterbags placem_collection'!$M$4:$M$500,0)),"")</f>
        <v>136</v>
      </c>
      <c r="AE562" s="110" t="str">
        <f>IFERROR(INDEX('WetLitterbags placem_collection'!$A$3:$A$500,MATCH($A562,'WetLitterbags placem_collection'!$Q$4:$Q$500,0)),"")</f>
        <v/>
      </c>
    </row>
    <row r="563" spans="1:31">
      <c r="A563" s="197" t="s">
        <v>801</v>
      </c>
      <c r="C563" s="197">
        <v>210</v>
      </c>
      <c r="D563" s="197">
        <v>1.3895</v>
      </c>
      <c r="E563" s="201">
        <v>8.1191999999999993</v>
      </c>
      <c r="F563" s="202">
        <v>0.20680000000000001</v>
      </c>
      <c r="G563" s="201">
        <f t="shared" ref="G563:G626" si="47">E563+F563</f>
        <v>8.3259999999999987</v>
      </c>
      <c r="H563" s="201">
        <v>8.141</v>
      </c>
      <c r="I563" s="201">
        <f t="shared" si="46"/>
        <v>0.18499999999999872</v>
      </c>
      <c r="J563" s="201">
        <f t="shared" ref="J563:J626" si="48">F563-I563</f>
        <v>2.1800000000001291E-2</v>
      </c>
      <c r="K563" s="280">
        <f t="shared" ref="K563:K626" si="49">(J563/F563)*100</f>
        <v>10.541586073501591</v>
      </c>
      <c r="L563" s="201">
        <v>42</v>
      </c>
      <c r="M563" s="204">
        <v>43212</v>
      </c>
      <c r="AB563" s="110" t="str">
        <f>IFERROR(INDEX('WetLitterbags placem_collection'!$A$3:$A$500,MATCH(A563,'WetLitterbags placem_collection'!$K$4:$K$500,0)),"")</f>
        <v/>
      </c>
      <c r="AC563" s="110" t="str">
        <f>IFERROR(INDEX('WetLitterbags placem_collection'!$A$3:$A$500,MATCH($A563,'WetLitterbags placem_collection'!$O$4:$O$500,0)),"")</f>
        <v/>
      </c>
      <c r="AD563" s="110">
        <f>IFERROR(INDEX('WetLitterbags placem_collection'!$A$3:$A$500,MATCH($A563,'WetLitterbags placem_collection'!$M$4:$M$500,0)),"")</f>
        <v>209</v>
      </c>
      <c r="AE563" s="110" t="str">
        <f>IFERROR(INDEX('WetLitterbags placem_collection'!$A$3:$A$500,MATCH($A563,'WetLitterbags placem_collection'!$Q$4:$Q$500,0)),"")</f>
        <v/>
      </c>
    </row>
    <row r="564" spans="1:31">
      <c r="A564" s="201" t="s">
        <v>800</v>
      </c>
      <c r="C564" s="201">
        <v>163</v>
      </c>
      <c r="D564" s="201">
        <v>1.4843</v>
      </c>
      <c r="E564" s="202">
        <v>9.6784999999999997</v>
      </c>
      <c r="F564" s="202">
        <v>0.20050000000000001</v>
      </c>
      <c r="G564" s="201">
        <f t="shared" si="47"/>
        <v>9.8789999999999996</v>
      </c>
      <c r="H564" s="201">
        <v>9.6830999999999996</v>
      </c>
      <c r="I564" s="201">
        <f t="shared" si="46"/>
        <v>0.19589999999999996</v>
      </c>
      <c r="J564" s="201">
        <f t="shared" si="48"/>
        <v>4.6000000000000485E-3</v>
      </c>
      <c r="K564" s="280">
        <f t="shared" si="49"/>
        <v>2.2942643391521438</v>
      </c>
      <c r="L564" s="201">
        <v>28</v>
      </c>
      <c r="M564" s="207">
        <v>43186.458333333336</v>
      </c>
      <c r="N564" s="207">
        <v>43186.625</v>
      </c>
      <c r="O564" s="197" t="s">
        <v>2550</v>
      </c>
      <c r="P564" s="201"/>
      <c r="AB564" s="110" t="str">
        <f>IFERROR(INDEX('WetLitterbags placem_collection'!$A$3:$A$500,MATCH(A564,'WetLitterbags placem_collection'!$K$4:$K$500,0)),"")</f>
        <v/>
      </c>
      <c r="AC564" s="110" t="str">
        <f>IFERROR(INDEX('WetLitterbags placem_collection'!$A$3:$A$500,MATCH($A564,'WetLitterbags placem_collection'!$O$4:$O$500,0)),"")</f>
        <v/>
      </c>
      <c r="AD564" s="110" t="str">
        <f>IFERROR(INDEX('WetLitterbags placem_collection'!$A$3:$A$500,MATCH($A564,'WetLitterbags placem_collection'!$M$4:$M$500,0)),"")</f>
        <v/>
      </c>
      <c r="AE564" s="110">
        <f>IFERROR(INDEX('WetLitterbags placem_collection'!$A$3:$A$500,MATCH($A564,'WetLitterbags placem_collection'!$Q$4:$Q$500,0)),"")</f>
        <v>162</v>
      </c>
    </row>
    <row r="565" spans="1:31">
      <c r="A565" s="197" t="s">
        <v>799</v>
      </c>
      <c r="C565" s="198">
        <v>203</v>
      </c>
      <c r="D565" s="201">
        <v>1.3754999999999999</v>
      </c>
      <c r="E565" s="202">
        <v>7.7732999999999999</v>
      </c>
      <c r="F565" s="202">
        <v>0.20039999999999999</v>
      </c>
      <c r="G565" s="201">
        <f t="shared" si="47"/>
        <v>7.9737</v>
      </c>
      <c r="H565" s="201">
        <v>7.7805999999999997</v>
      </c>
      <c r="I565" s="201">
        <f t="shared" si="46"/>
        <v>0.19310000000000027</v>
      </c>
      <c r="J565" s="201">
        <f t="shared" si="48"/>
        <v>7.2999999999997234E-3</v>
      </c>
      <c r="K565" s="280">
        <f t="shared" si="49"/>
        <v>3.642714570858145</v>
      </c>
      <c r="L565" s="201">
        <v>25</v>
      </c>
      <c r="M565" s="204">
        <v>43213</v>
      </c>
      <c r="N565" s="204">
        <v>43213</v>
      </c>
      <c r="AB565" s="110" t="str">
        <f>IFERROR(INDEX('WetLitterbags placem_collection'!$A$3:$A$500,MATCH(A565,'WetLitterbags placem_collection'!$K$4:$K$500,0)),"")</f>
        <v/>
      </c>
      <c r="AC565" s="110" t="str">
        <f>IFERROR(INDEX('WetLitterbags placem_collection'!$A$3:$A$500,MATCH($A565,'WetLitterbags placem_collection'!$O$4:$O$500,0)),"")</f>
        <v/>
      </c>
      <c r="AD565" s="110" t="str">
        <f>IFERROR(INDEX('WetLitterbags placem_collection'!$A$3:$A$500,MATCH($A565,'WetLitterbags placem_collection'!$M$4:$M$500,0)),"")</f>
        <v/>
      </c>
      <c r="AE565" s="110">
        <f>IFERROR(INDEX('WetLitterbags placem_collection'!$A$3:$A$500,MATCH($A565,'WetLitterbags placem_collection'!$Q$4:$Q$500,0)),"")</f>
        <v>202</v>
      </c>
    </row>
    <row r="566" spans="1:31">
      <c r="A566" s="202" t="s">
        <v>798</v>
      </c>
      <c r="C566" s="201">
        <v>91</v>
      </c>
      <c r="D566" s="201">
        <v>0.48569999999999985</v>
      </c>
      <c r="E566" s="201">
        <v>7.1898</v>
      </c>
      <c r="F566" s="201">
        <v>0.2072</v>
      </c>
      <c r="G566" s="201">
        <f t="shared" si="47"/>
        <v>7.3970000000000002</v>
      </c>
      <c r="H566" s="201">
        <v>7.3638000000000003</v>
      </c>
      <c r="I566" s="201">
        <f t="shared" si="46"/>
        <v>3.3199999999999896E-2</v>
      </c>
      <c r="J566" s="201">
        <f t="shared" si="48"/>
        <v>0.1740000000000001</v>
      </c>
      <c r="K566" s="280">
        <f t="shared" si="49"/>
        <v>83.97683397683403</v>
      </c>
      <c r="L566" s="201">
        <v>8</v>
      </c>
      <c r="M566" s="205">
        <v>43173</v>
      </c>
      <c r="N566" s="205">
        <v>43173</v>
      </c>
      <c r="O566" s="201" t="s">
        <v>2556</v>
      </c>
      <c r="P566" s="201" t="s">
        <v>2555</v>
      </c>
      <c r="AB566" s="110" t="str">
        <f>IFERROR(INDEX('WetLitterbags placem_collection'!$A$3:$A$500,MATCH(A566,'WetLitterbags placem_collection'!$K$4:$K$500,0)),"")</f>
        <v/>
      </c>
      <c r="AC566" s="110" t="str">
        <f>IFERROR(INDEX('WetLitterbags placem_collection'!$A$3:$A$500,MATCH($A566,'WetLitterbags placem_collection'!$O$4:$O$500,0)),"")</f>
        <v/>
      </c>
      <c r="AD566" s="110">
        <f>IFERROR(INDEX('WetLitterbags placem_collection'!$A$3:$A$500,MATCH($A566,'WetLitterbags placem_collection'!$M$4:$M$500,0)),"")</f>
        <v>90</v>
      </c>
      <c r="AE566" s="110" t="str">
        <f>IFERROR(INDEX('WetLitterbags placem_collection'!$A$3:$A$500,MATCH($A566,'WetLitterbags placem_collection'!$Q$4:$Q$500,0)),"")</f>
        <v/>
      </c>
    </row>
    <row r="567" spans="1:31">
      <c r="A567" s="206" t="s">
        <v>797</v>
      </c>
      <c r="C567" s="201">
        <v>208</v>
      </c>
      <c r="D567" s="201">
        <v>1.2427999999999999</v>
      </c>
      <c r="E567" s="201">
        <v>7.4835000000000003</v>
      </c>
      <c r="F567" s="201">
        <v>0.20280000000000001</v>
      </c>
      <c r="G567" s="201">
        <f t="shared" si="47"/>
        <v>7.6863000000000001</v>
      </c>
      <c r="H567" s="201">
        <v>7.5007999999999999</v>
      </c>
      <c r="I567" s="201">
        <f t="shared" si="46"/>
        <v>0.18550000000000022</v>
      </c>
      <c r="J567" s="201">
        <f t="shared" si="48"/>
        <v>1.7299999999999788E-2</v>
      </c>
      <c r="K567" s="280">
        <f t="shared" si="49"/>
        <v>8.5305719921103496</v>
      </c>
      <c r="L567" s="201">
        <v>6</v>
      </c>
      <c r="M567" s="203">
        <v>43171.520833333336</v>
      </c>
      <c r="N567" s="203">
        <v>43171.6875</v>
      </c>
      <c r="O567" s="197" t="s">
        <v>2550</v>
      </c>
      <c r="P567" s="201"/>
      <c r="AB567" s="110" t="str">
        <f>IFERROR(INDEX('WetLitterbags placem_collection'!$A$3:$A$500,MATCH(A567,'WetLitterbags placem_collection'!$K$4:$K$500,0)),"")</f>
        <v/>
      </c>
      <c r="AC567" s="110" t="str">
        <f>IFERROR(INDEX('WetLitterbags placem_collection'!$A$3:$A$500,MATCH($A567,'WetLitterbags placem_collection'!$O$4:$O$500,0)),"")</f>
        <v/>
      </c>
      <c r="AD567" s="110">
        <f>IFERROR(INDEX('WetLitterbags placem_collection'!$A$3:$A$500,MATCH($A567,'WetLitterbags placem_collection'!$M$4:$M$500,0)),"")</f>
        <v>207</v>
      </c>
      <c r="AE567" s="110" t="str">
        <f>IFERROR(INDEX('WetLitterbags placem_collection'!$A$3:$A$500,MATCH($A567,'WetLitterbags placem_collection'!$Q$4:$Q$500,0)),"")</f>
        <v/>
      </c>
    </row>
    <row r="568" spans="1:31">
      <c r="A568" s="206" t="s">
        <v>795</v>
      </c>
      <c r="C568" s="201">
        <v>192</v>
      </c>
      <c r="D568" s="201">
        <v>1.4165000000000001</v>
      </c>
      <c r="E568" s="202">
        <v>10.697800000000001</v>
      </c>
      <c r="F568" s="202">
        <v>0.20599999999999999</v>
      </c>
      <c r="G568" s="201">
        <f t="shared" si="47"/>
        <v>10.9038</v>
      </c>
      <c r="H568" s="201">
        <v>10.7037</v>
      </c>
      <c r="I568" s="201">
        <f t="shared" si="46"/>
        <v>0.20010000000000083</v>
      </c>
      <c r="J568" s="201">
        <f t="shared" si="48"/>
        <v>5.8999999999991559E-3</v>
      </c>
      <c r="K568" s="280">
        <f t="shared" si="49"/>
        <v>2.8640776699025032</v>
      </c>
      <c r="L568" s="201">
        <v>14</v>
      </c>
      <c r="M568" s="207">
        <v>43185.385416666664</v>
      </c>
      <c r="N568" s="201"/>
      <c r="O568" s="201" t="s">
        <v>2556</v>
      </c>
      <c r="P568" s="201"/>
      <c r="AB568" s="110" t="str">
        <f>IFERROR(INDEX('WetLitterbags placem_collection'!$A$3:$A$500,MATCH(A568,'WetLitterbags placem_collection'!$K$4:$K$500,0)),"")</f>
        <v/>
      </c>
      <c r="AC568" s="110" t="str">
        <f>IFERROR(INDEX('WetLitterbags placem_collection'!$A$3:$A$500,MATCH($A568,'WetLitterbags placem_collection'!$O$4:$O$500,0)),"")</f>
        <v/>
      </c>
      <c r="AD568" s="110" t="str">
        <f>IFERROR(INDEX('WetLitterbags placem_collection'!$A$3:$A$500,MATCH($A568,'WetLitterbags placem_collection'!$M$4:$M$500,0)),"")</f>
        <v/>
      </c>
      <c r="AE568" s="110">
        <f>IFERROR(INDEX('WetLitterbags placem_collection'!$A$3:$A$500,MATCH($A568,'WetLitterbags placem_collection'!$Q$4:$Q$500,0)),"")</f>
        <v>191</v>
      </c>
    </row>
    <row r="569" spans="1:31">
      <c r="A569" s="197" t="s">
        <v>792</v>
      </c>
      <c r="C569" s="198">
        <v>29</v>
      </c>
      <c r="D569" s="197">
        <v>1.2602</v>
      </c>
      <c r="E569" s="201">
        <v>7.7144000000000004</v>
      </c>
      <c r="F569" s="202">
        <v>0.2044</v>
      </c>
      <c r="G569" s="201">
        <f t="shared" si="47"/>
        <v>7.9188000000000001</v>
      </c>
      <c r="H569" s="201">
        <v>7.7206999999999999</v>
      </c>
      <c r="I569" s="201">
        <f t="shared" si="46"/>
        <v>0.19810000000000016</v>
      </c>
      <c r="J569" s="201">
        <f t="shared" si="48"/>
        <v>6.2999999999998335E-3</v>
      </c>
      <c r="K569" s="280">
        <f t="shared" si="49"/>
        <v>3.0821917808218364</v>
      </c>
      <c r="L569" s="201">
        <v>17</v>
      </c>
      <c r="M569" s="204">
        <v>43213</v>
      </c>
      <c r="N569" s="204">
        <v>43213</v>
      </c>
      <c r="AB569" s="110" t="str">
        <f>IFERROR(INDEX('WetLitterbags placem_collection'!$A$3:$A$500,MATCH(A569,'WetLitterbags placem_collection'!$K$4:$K$500,0)),"")</f>
        <v/>
      </c>
      <c r="AC569" s="110" t="str">
        <f>IFERROR(INDEX('WetLitterbags placem_collection'!$A$3:$A$500,MATCH($A569,'WetLitterbags placem_collection'!$O$4:$O$500,0)),"")</f>
        <v/>
      </c>
      <c r="AD569" s="110" t="str">
        <f>IFERROR(INDEX('WetLitterbags placem_collection'!$A$3:$A$500,MATCH($A569,'WetLitterbags placem_collection'!$M$4:$M$500,0)),"")</f>
        <v/>
      </c>
      <c r="AE569" s="110">
        <f>IFERROR(INDEX('WetLitterbags placem_collection'!$A$3:$A$500,MATCH($A569,'WetLitterbags placem_collection'!$Q$4:$Q$500,0)),"")</f>
        <v>28</v>
      </c>
    </row>
    <row r="570" spans="1:31">
      <c r="A570" s="201" t="s">
        <v>1106</v>
      </c>
      <c r="C570" s="201">
        <v>157</v>
      </c>
      <c r="D570" s="201">
        <v>1.6922999999999999</v>
      </c>
      <c r="E570" s="202">
        <v>7.8589000000000002</v>
      </c>
      <c r="F570" s="202">
        <v>0.2026</v>
      </c>
      <c r="G570" s="201">
        <f t="shared" si="47"/>
        <v>8.0615000000000006</v>
      </c>
      <c r="H570" s="201">
        <v>7.8792</v>
      </c>
      <c r="I570" s="201">
        <f t="shared" si="46"/>
        <v>0.18230000000000057</v>
      </c>
      <c r="J570" s="201">
        <f t="shared" si="48"/>
        <v>2.029999999999943E-2</v>
      </c>
      <c r="K570" s="280">
        <f t="shared" si="49"/>
        <v>10.019743336623607</v>
      </c>
      <c r="L570" s="201">
        <v>26</v>
      </c>
      <c r="M570" s="207">
        <v>43185.385416666664</v>
      </c>
      <c r="N570" s="201"/>
      <c r="O570" s="201" t="s">
        <v>2556</v>
      </c>
      <c r="P570" s="201"/>
      <c r="AB570" s="110" t="str">
        <f>IFERROR(INDEX('WetLitterbags placem_collection'!$A$3:$A$500,MATCH(A570,'WetLitterbags placem_collection'!$K$4:$K$500,0)),"")</f>
        <v/>
      </c>
      <c r="AC570" s="110" t="str">
        <f>IFERROR(INDEX('WetLitterbags placem_collection'!$A$3:$A$500,MATCH($A570,'WetLitterbags placem_collection'!$O$4:$O$500,0)),"")</f>
        <v/>
      </c>
      <c r="AD570" s="110" t="str">
        <f>IFERROR(INDEX('WetLitterbags placem_collection'!$A$3:$A$500,MATCH($A570,'WetLitterbags placem_collection'!$M$4:$M$500,0)),"")</f>
        <v/>
      </c>
      <c r="AE570" s="110">
        <f>IFERROR(INDEX('WetLitterbags placem_collection'!$A$3:$A$500,MATCH($A570,'WetLitterbags placem_collection'!$Q$4:$Q$500,0)),"")</f>
        <v>156</v>
      </c>
    </row>
    <row r="571" spans="1:31">
      <c r="A571" s="201" t="s">
        <v>787</v>
      </c>
      <c r="C571" s="201">
        <v>189</v>
      </c>
      <c r="D571" s="202">
        <v>1.5351999999999999</v>
      </c>
      <c r="E571" s="202">
        <v>9.7731999999999992</v>
      </c>
      <c r="F571" s="202">
        <v>0.20169999999999999</v>
      </c>
      <c r="G571" s="201">
        <f t="shared" si="47"/>
        <v>9.9748999999999999</v>
      </c>
      <c r="H571" s="201">
        <v>9.7782</v>
      </c>
      <c r="I571" s="201">
        <f t="shared" si="46"/>
        <v>0.19669999999999987</v>
      </c>
      <c r="J571" s="201">
        <f t="shared" si="48"/>
        <v>5.0000000000001155E-3</v>
      </c>
      <c r="K571" s="280">
        <f t="shared" si="49"/>
        <v>2.4789291026277223</v>
      </c>
      <c r="L571" s="201">
        <v>14</v>
      </c>
      <c r="M571" s="201"/>
      <c r="N571" s="201"/>
      <c r="O571" s="201"/>
      <c r="P571" s="201"/>
      <c r="AB571" s="110" t="str">
        <f>IFERROR(INDEX('WetLitterbags placem_collection'!$A$3:$A$500,MATCH(A571,'WetLitterbags placem_collection'!$K$4:$K$500,0)),"")</f>
        <v/>
      </c>
      <c r="AC571" s="110" t="str">
        <f>IFERROR(INDEX('WetLitterbags placem_collection'!$A$3:$A$500,MATCH($A571,'WetLitterbags placem_collection'!$O$4:$O$500,0)),"")</f>
        <v/>
      </c>
      <c r="AD571" s="110">
        <f>IFERROR(INDEX('WetLitterbags placem_collection'!$A$3:$A$500,MATCH($A571,'WetLitterbags placem_collection'!$M$4:$M$500,0)),"")</f>
        <v>188</v>
      </c>
      <c r="AE571" s="110" t="str">
        <f>IFERROR(INDEX('WetLitterbags placem_collection'!$A$3:$A$500,MATCH($A571,'WetLitterbags placem_collection'!$Q$4:$Q$500,0)),"")</f>
        <v/>
      </c>
    </row>
    <row r="572" spans="1:31">
      <c r="A572" s="201" t="s">
        <v>785</v>
      </c>
      <c r="C572" s="201">
        <v>219</v>
      </c>
      <c r="D572" s="201">
        <v>1.2475000000000001</v>
      </c>
      <c r="E572" s="201">
        <v>9.3215000000000003</v>
      </c>
      <c r="F572" s="201">
        <v>0.2087</v>
      </c>
      <c r="G572" s="201">
        <f t="shared" si="47"/>
        <v>9.5302000000000007</v>
      </c>
      <c r="H572" s="201">
        <v>9.3369999999999997</v>
      </c>
      <c r="I572" s="201">
        <f t="shared" si="46"/>
        <v>0.19320000000000093</v>
      </c>
      <c r="J572" s="201">
        <f t="shared" si="48"/>
        <v>1.549999999999907E-2</v>
      </c>
      <c r="K572" s="280">
        <f t="shared" si="49"/>
        <v>7.426928605653603</v>
      </c>
      <c r="L572" s="201">
        <v>9</v>
      </c>
      <c r="M572" s="203">
        <v>43164.628472222219</v>
      </c>
      <c r="N572" s="203">
        <v>43164.795138888891</v>
      </c>
      <c r="O572" s="197" t="s">
        <v>2550</v>
      </c>
      <c r="P572" s="201"/>
      <c r="AB572" s="110" t="str">
        <f>IFERROR(INDEX('WetLitterbags placem_collection'!$A$3:$A$500,MATCH(A572,'WetLitterbags placem_collection'!$K$4:$K$500,0)),"")</f>
        <v/>
      </c>
      <c r="AC572" s="110" t="str">
        <f>IFERROR(INDEX('WetLitterbags placem_collection'!$A$3:$A$500,MATCH($A572,'WetLitterbags placem_collection'!$O$4:$O$500,0)),"")</f>
        <v/>
      </c>
      <c r="AD572" s="110" t="str">
        <f>IFERROR(INDEX('WetLitterbags placem_collection'!$A$3:$A$500,MATCH($A572,'WetLitterbags placem_collection'!$M$4:$M$500,0)),"")</f>
        <v/>
      </c>
      <c r="AE572" s="110">
        <f>IFERROR(INDEX('WetLitterbags placem_collection'!$A$3:$A$500,MATCH($A572,'WetLitterbags placem_collection'!$Q$4:$Q$500,0)),"")</f>
        <v>218</v>
      </c>
    </row>
    <row r="573" spans="1:31">
      <c r="A573" s="197" t="s">
        <v>782</v>
      </c>
      <c r="C573" s="198">
        <v>200</v>
      </c>
      <c r="D573" s="197">
        <v>1.3246</v>
      </c>
      <c r="E573" s="202">
        <v>11.055</v>
      </c>
      <c r="F573" s="202">
        <v>0.20599999999999999</v>
      </c>
      <c r="G573" s="201">
        <f t="shared" si="47"/>
        <v>11.260999999999999</v>
      </c>
      <c r="H573" s="201">
        <v>11.0633</v>
      </c>
      <c r="I573" s="201">
        <f t="shared" si="46"/>
        <v>0.19769999999999932</v>
      </c>
      <c r="J573" s="201">
        <f t="shared" si="48"/>
        <v>8.300000000000668E-3</v>
      </c>
      <c r="K573" s="280">
        <f t="shared" si="49"/>
        <v>4.0291262135925576</v>
      </c>
      <c r="L573" s="201">
        <v>19</v>
      </c>
      <c r="AB573" s="110" t="str">
        <f>IFERROR(INDEX('WetLitterbags placem_collection'!$A$3:$A$500,MATCH(A573,'WetLitterbags placem_collection'!$K$4:$K$500,0)),"")</f>
        <v/>
      </c>
      <c r="AC573" s="110" t="str">
        <f>IFERROR(INDEX('WetLitterbags placem_collection'!$A$3:$A$500,MATCH($A573,'WetLitterbags placem_collection'!$O$4:$O$500,0)),"")</f>
        <v/>
      </c>
      <c r="AD573" s="110" t="str">
        <f>IFERROR(INDEX('WetLitterbags placem_collection'!$A$3:$A$500,MATCH($A573,'WetLitterbags placem_collection'!$M$4:$M$500,0)),"")</f>
        <v/>
      </c>
      <c r="AE573" s="110">
        <f>IFERROR(INDEX('WetLitterbags placem_collection'!$A$3:$A$500,MATCH($A573,'WetLitterbags placem_collection'!$Q$4:$Q$500,0)),"")</f>
        <v>199</v>
      </c>
    </row>
    <row r="574" spans="1:31">
      <c r="A574" s="201" t="s">
        <v>781</v>
      </c>
      <c r="C574" s="201">
        <v>95</v>
      </c>
      <c r="D574" s="201">
        <f>0.3847+F574</f>
        <v>0.51400000000000001</v>
      </c>
      <c r="E574" s="202">
        <v>7.8590999999999998</v>
      </c>
      <c r="F574" s="202">
        <v>0.1293</v>
      </c>
      <c r="G574" s="201">
        <f t="shared" si="47"/>
        <v>7.9883999999999995</v>
      </c>
      <c r="H574" s="201">
        <v>7.9745999999999997</v>
      </c>
      <c r="I574" s="201">
        <f t="shared" si="46"/>
        <v>1.3799999999999812E-2</v>
      </c>
      <c r="J574" s="201">
        <f t="shared" si="48"/>
        <v>0.11550000000000019</v>
      </c>
      <c r="K574" s="280">
        <f t="shared" si="49"/>
        <v>89.327146171693883</v>
      </c>
      <c r="L574" s="201">
        <v>15</v>
      </c>
      <c r="M574" s="205">
        <v>43174</v>
      </c>
      <c r="N574" s="205">
        <v>43174</v>
      </c>
      <c r="O574" s="201" t="s">
        <v>2556</v>
      </c>
      <c r="P574" s="201" t="s">
        <v>2551</v>
      </c>
      <c r="AB574" s="110" t="str">
        <f>IFERROR(INDEX('WetLitterbags placem_collection'!$A$3:$A$500,MATCH(A574,'WetLitterbags placem_collection'!$K$4:$K$500,0)),"")</f>
        <v/>
      </c>
      <c r="AC574" s="110" t="str">
        <f>IFERROR(INDEX('WetLitterbags placem_collection'!$A$3:$A$500,MATCH($A574,'WetLitterbags placem_collection'!$O$4:$O$500,0)),"")</f>
        <v/>
      </c>
      <c r="AD574" s="110">
        <f>IFERROR(INDEX('WetLitterbags placem_collection'!$A$3:$A$500,MATCH($A574,'WetLitterbags placem_collection'!$M$4:$M$500,0)),"")</f>
        <v>94</v>
      </c>
      <c r="AE574" s="110" t="str">
        <f>IFERROR(INDEX('WetLitterbags placem_collection'!$A$3:$A$500,MATCH($A574,'WetLitterbags placem_collection'!$Q$4:$Q$500,0)),"")</f>
        <v/>
      </c>
    </row>
    <row r="575" spans="1:31">
      <c r="A575" s="197" t="s">
        <v>779</v>
      </c>
      <c r="C575" s="198">
        <v>196</v>
      </c>
      <c r="D575" s="197">
        <v>1.2983</v>
      </c>
      <c r="E575" s="202">
        <v>9.9158000000000008</v>
      </c>
      <c r="F575" s="202">
        <v>0.20319999999999999</v>
      </c>
      <c r="G575" s="201">
        <f t="shared" si="47"/>
        <v>10.119000000000002</v>
      </c>
      <c r="H575" s="201">
        <v>9.9232999999999993</v>
      </c>
      <c r="I575" s="201">
        <f t="shared" si="46"/>
        <v>0.19570000000000221</v>
      </c>
      <c r="J575" s="201">
        <f t="shared" si="48"/>
        <v>7.4999999999977862E-3</v>
      </c>
      <c r="K575" s="280">
        <f t="shared" si="49"/>
        <v>3.690944881888675</v>
      </c>
      <c r="L575" s="201">
        <v>13</v>
      </c>
      <c r="M575" s="204">
        <v>43221</v>
      </c>
      <c r="N575" s="204">
        <v>43221</v>
      </c>
      <c r="AB575" s="110" t="str">
        <f>IFERROR(INDEX('WetLitterbags placem_collection'!$A$3:$A$500,MATCH(A575,'WetLitterbags placem_collection'!$K$4:$K$500,0)),"")</f>
        <v/>
      </c>
      <c r="AC575" s="110" t="str">
        <f>IFERROR(INDEX('WetLitterbags placem_collection'!$A$3:$A$500,MATCH($A575,'WetLitterbags placem_collection'!$O$4:$O$500,0)),"")</f>
        <v/>
      </c>
      <c r="AD575" s="110" t="str">
        <f>IFERROR(INDEX('WetLitterbags placem_collection'!$A$3:$A$500,MATCH($A575,'WetLitterbags placem_collection'!$M$4:$M$500,0)),"")</f>
        <v/>
      </c>
      <c r="AE575" s="110">
        <f>IFERROR(INDEX('WetLitterbags placem_collection'!$A$3:$A$500,MATCH($A575,'WetLitterbags placem_collection'!$Q$4:$Q$500,0)),"")</f>
        <v>195</v>
      </c>
    </row>
    <row r="576" spans="1:31">
      <c r="A576" s="197" t="s">
        <v>778</v>
      </c>
      <c r="C576" s="197">
        <v>22</v>
      </c>
      <c r="D576" s="197">
        <v>1.2951999999999999</v>
      </c>
      <c r="E576" s="202">
        <v>8.0641999999999996</v>
      </c>
      <c r="F576" s="202">
        <v>0.2024</v>
      </c>
      <c r="G576" s="201">
        <f t="shared" si="47"/>
        <v>8.2666000000000004</v>
      </c>
      <c r="H576" s="201">
        <v>8.0713000000000008</v>
      </c>
      <c r="I576" s="201">
        <f t="shared" si="46"/>
        <v>0.19529999999999959</v>
      </c>
      <c r="J576" s="201">
        <f t="shared" si="48"/>
        <v>7.1000000000004115E-3</v>
      </c>
      <c r="K576" s="280">
        <f t="shared" si="49"/>
        <v>3.5079051383401243</v>
      </c>
      <c r="L576" s="201">
        <v>37</v>
      </c>
      <c r="M576" s="204">
        <v>43221</v>
      </c>
      <c r="N576" s="204">
        <v>43221</v>
      </c>
      <c r="AB576" s="110" t="str">
        <f>IFERROR(INDEX('WetLitterbags placem_collection'!$A$3:$A$500,MATCH(A576,'WetLitterbags placem_collection'!$K$4:$K$500,0)),"")</f>
        <v/>
      </c>
      <c r="AC576" s="110" t="str">
        <f>IFERROR(INDEX('WetLitterbags placem_collection'!$A$3:$A$500,MATCH($A576,'WetLitterbags placem_collection'!$O$4:$O$500,0)),"")</f>
        <v/>
      </c>
      <c r="AD576" s="110">
        <f>IFERROR(INDEX('WetLitterbags placem_collection'!$A$3:$A$500,MATCH($A576,'WetLitterbags placem_collection'!$M$4:$M$500,0)),"")</f>
        <v>21</v>
      </c>
      <c r="AE576" s="110" t="str">
        <f>IFERROR(INDEX('WetLitterbags placem_collection'!$A$3:$A$500,MATCH($A576,'WetLitterbags placem_collection'!$Q$4:$Q$500,0)),"")</f>
        <v/>
      </c>
    </row>
    <row r="577" spans="1:31">
      <c r="A577" s="197" t="s">
        <v>777</v>
      </c>
      <c r="C577" s="197">
        <v>193</v>
      </c>
      <c r="D577" s="197">
        <v>1.1823999999999999</v>
      </c>
      <c r="E577" s="202">
        <v>8.7326999999999995</v>
      </c>
      <c r="F577" s="202">
        <v>0.2051</v>
      </c>
      <c r="G577" s="201">
        <f t="shared" si="47"/>
        <v>8.9377999999999993</v>
      </c>
      <c r="H577" s="201">
        <v>8.7398000000000007</v>
      </c>
      <c r="I577" s="201">
        <f t="shared" si="46"/>
        <v>0.19799999999999862</v>
      </c>
      <c r="J577" s="201">
        <f t="shared" si="48"/>
        <v>7.100000000001383E-3</v>
      </c>
      <c r="K577" s="280">
        <f t="shared" si="49"/>
        <v>3.461725987323931</v>
      </c>
      <c r="L577" s="201">
        <v>5</v>
      </c>
      <c r="AB577" s="110" t="str">
        <f>IFERROR(INDEX('WetLitterbags placem_collection'!$A$3:$A$500,MATCH(A577,'WetLitterbags placem_collection'!$K$4:$K$500,0)),"")</f>
        <v/>
      </c>
      <c r="AC577" s="110" t="str">
        <f>IFERROR(INDEX('WetLitterbags placem_collection'!$A$3:$A$500,MATCH($A577,'WetLitterbags placem_collection'!$O$4:$O$500,0)),"")</f>
        <v/>
      </c>
      <c r="AD577" s="110" t="str">
        <f>IFERROR(INDEX('WetLitterbags placem_collection'!$A$3:$A$500,MATCH($A577,'WetLitterbags placem_collection'!$M$4:$M$500,0)),"")</f>
        <v/>
      </c>
      <c r="AE577" s="110">
        <f>IFERROR(INDEX('WetLitterbags placem_collection'!$A$3:$A$500,MATCH($A577,'WetLitterbags placem_collection'!$Q$4:$Q$500,0)),"")</f>
        <v>192</v>
      </c>
    </row>
    <row r="578" spans="1:31">
      <c r="A578" s="197" t="s">
        <v>774</v>
      </c>
      <c r="C578" s="201">
        <v>199</v>
      </c>
      <c r="D578" s="202">
        <v>1.4128000000000001</v>
      </c>
      <c r="E578" s="202">
        <v>10.702299999999999</v>
      </c>
      <c r="F578" s="202">
        <v>0.20180000000000001</v>
      </c>
      <c r="G578" s="201">
        <f t="shared" si="47"/>
        <v>10.9041</v>
      </c>
      <c r="H578" s="201">
        <v>10.708</v>
      </c>
      <c r="I578" s="201">
        <f t="shared" si="46"/>
        <v>0.1960999999999995</v>
      </c>
      <c r="J578" s="201">
        <f t="shared" si="48"/>
        <v>5.7000000000005102E-3</v>
      </c>
      <c r="K578" s="280">
        <f t="shared" si="49"/>
        <v>2.8245787908823141</v>
      </c>
      <c r="L578" s="201">
        <v>1</v>
      </c>
      <c r="O578" s="201"/>
      <c r="P578" s="201" t="s">
        <v>2557</v>
      </c>
      <c r="AB578" s="110" t="str">
        <f>IFERROR(INDEX('WetLitterbags placem_collection'!$A$3:$A$500,MATCH(A578,'WetLitterbags placem_collection'!$K$4:$K$500,0)),"")</f>
        <v/>
      </c>
      <c r="AC578" s="110" t="str">
        <f>IFERROR(INDEX('WetLitterbags placem_collection'!$A$3:$A$500,MATCH($A578,'WetLitterbags placem_collection'!$O$4:$O$500,0)),"")</f>
        <v/>
      </c>
      <c r="AD578" s="110" t="str">
        <f>IFERROR(INDEX('WetLitterbags placem_collection'!$A$3:$A$500,MATCH($A578,'WetLitterbags placem_collection'!$M$4:$M$500,0)),"")</f>
        <v/>
      </c>
      <c r="AE578" s="110" t="str">
        <f>IFERROR(INDEX('WetLitterbags placem_collection'!$A$3:$A$500,MATCH($A578,'WetLitterbags placem_collection'!$Q$4:$Q$500,0)),"")</f>
        <v/>
      </c>
    </row>
    <row r="579" spans="1:31">
      <c r="A579" s="206" t="s">
        <v>773</v>
      </c>
      <c r="C579" s="201">
        <v>82</v>
      </c>
      <c r="D579" s="201">
        <v>1.448</v>
      </c>
      <c r="E579" s="202">
        <v>8.0456000000000003</v>
      </c>
      <c r="F579" s="202">
        <v>0.20610000000000001</v>
      </c>
      <c r="G579" s="201">
        <f t="shared" si="47"/>
        <v>8.2516999999999996</v>
      </c>
      <c r="H579" s="201">
        <v>8.0540000000000003</v>
      </c>
      <c r="I579" s="201">
        <f t="shared" si="46"/>
        <v>0.19769999999999932</v>
      </c>
      <c r="J579" s="201">
        <f t="shared" si="48"/>
        <v>8.4000000000006847E-3</v>
      </c>
      <c r="K579" s="280">
        <f t="shared" si="49"/>
        <v>4.0756914119362859</v>
      </c>
      <c r="L579" s="201">
        <v>17</v>
      </c>
      <c r="M579" s="205">
        <v>43197</v>
      </c>
      <c r="N579" s="205">
        <v>43197</v>
      </c>
      <c r="O579" s="201"/>
      <c r="P579" s="201" t="s">
        <v>2581</v>
      </c>
      <c r="AB579" s="110" t="str">
        <f>IFERROR(INDEX('WetLitterbags placem_collection'!$A$3:$A$500,MATCH(A579,'WetLitterbags placem_collection'!$K$4:$K$500,0)),"")</f>
        <v/>
      </c>
      <c r="AC579" s="110" t="str">
        <f>IFERROR(INDEX('WetLitterbags placem_collection'!$A$3:$A$500,MATCH($A579,'WetLitterbags placem_collection'!$O$4:$O$500,0)),"")</f>
        <v/>
      </c>
      <c r="AD579" s="110" t="str">
        <f>IFERROR(INDEX('WetLitterbags placem_collection'!$A$3:$A$500,MATCH($A579,'WetLitterbags placem_collection'!$M$4:$M$500,0)),"")</f>
        <v/>
      </c>
      <c r="AE579" s="110">
        <f>IFERROR(INDEX('WetLitterbags placem_collection'!$A$3:$A$500,MATCH($A579,'WetLitterbags placem_collection'!$Q$4:$Q$500,0)),"")</f>
        <v>81</v>
      </c>
    </row>
    <row r="580" spans="1:31">
      <c r="A580" s="206" t="s">
        <v>1104</v>
      </c>
      <c r="C580" s="201">
        <v>114</v>
      </c>
      <c r="D580" s="202">
        <v>1.2744</v>
      </c>
      <c r="E580" s="202">
        <v>7.9939</v>
      </c>
      <c r="F580" s="202">
        <v>0.19969999999999999</v>
      </c>
      <c r="G580" s="201">
        <f t="shared" si="47"/>
        <v>8.1936</v>
      </c>
      <c r="H580" s="201">
        <v>8.0173000000000005</v>
      </c>
      <c r="I580" s="201">
        <f t="shared" si="46"/>
        <v>0.17629999999999946</v>
      </c>
      <c r="J580" s="201">
        <f t="shared" si="48"/>
        <v>2.3400000000000531E-2</v>
      </c>
      <c r="K580" s="280">
        <f t="shared" si="49"/>
        <v>11.717576364547087</v>
      </c>
      <c r="L580" s="201">
        <v>25</v>
      </c>
      <c r="M580" s="203">
        <v>43181.645833333336</v>
      </c>
      <c r="N580" s="203">
        <v>43181.833333333336</v>
      </c>
      <c r="O580" s="201" t="s">
        <v>2556</v>
      </c>
      <c r="P580" s="206"/>
      <c r="AB580" s="110" t="str">
        <f>IFERROR(INDEX('WetLitterbags placem_collection'!$A$3:$A$500,MATCH(A580,'WetLitterbags placem_collection'!$K$4:$K$500,0)),"")</f>
        <v/>
      </c>
      <c r="AC580" s="110" t="str">
        <f>IFERROR(INDEX('WetLitterbags placem_collection'!$A$3:$A$500,MATCH($A580,'WetLitterbags placem_collection'!$O$4:$O$500,0)),"")</f>
        <v/>
      </c>
      <c r="AD580" s="110" t="str">
        <f>IFERROR(INDEX('WetLitterbags placem_collection'!$A$3:$A$500,MATCH($A580,'WetLitterbags placem_collection'!$M$4:$M$500,0)),"")</f>
        <v/>
      </c>
      <c r="AE580" s="110">
        <f>IFERROR(INDEX('WetLitterbags placem_collection'!$A$3:$A$500,MATCH($A580,'WetLitterbags placem_collection'!$Q$4:$Q$500,0)),"")</f>
        <v>113</v>
      </c>
    </row>
    <row r="581" spans="1:31">
      <c r="A581" s="197" t="s">
        <v>771</v>
      </c>
      <c r="C581" s="198">
        <v>197</v>
      </c>
      <c r="D581" s="197">
        <v>1.2739</v>
      </c>
      <c r="E581" s="202">
        <v>8.0947999999999993</v>
      </c>
      <c r="F581" s="202">
        <v>0.20519999999999999</v>
      </c>
      <c r="G581" s="201">
        <f t="shared" si="47"/>
        <v>8.2999999999999989</v>
      </c>
      <c r="H581" s="201">
        <v>8.1052</v>
      </c>
      <c r="I581" s="201">
        <f t="shared" si="46"/>
        <v>0.19479999999999897</v>
      </c>
      <c r="J581" s="201">
        <f t="shared" si="48"/>
        <v>1.040000000000102E-2</v>
      </c>
      <c r="K581" s="280">
        <f t="shared" si="49"/>
        <v>5.0682261208581973</v>
      </c>
      <c r="L581" s="201">
        <v>22</v>
      </c>
      <c r="AB581" s="110" t="str">
        <f>IFERROR(INDEX('WetLitterbags placem_collection'!$A$3:$A$500,MATCH(A581,'WetLitterbags placem_collection'!$K$4:$K$500,0)),"")</f>
        <v/>
      </c>
      <c r="AC581" s="110" t="str">
        <f>IFERROR(INDEX('WetLitterbags placem_collection'!$A$3:$A$500,MATCH($A581,'WetLitterbags placem_collection'!$O$4:$O$500,0)),"")</f>
        <v/>
      </c>
      <c r="AD581" s="110" t="str">
        <f>IFERROR(INDEX('WetLitterbags placem_collection'!$A$3:$A$500,MATCH($A581,'WetLitterbags placem_collection'!$M$4:$M$500,0)),"")</f>
        <v/>
      </c>
      <c r="AE581" s="110">
        <f>IFERROR(INDEX('WetLitterbags placem_collection'!$A$3:$A$500,MATCH($A581,'WetLitterbags placem_collection'!$Q$4:$Q$500,0)),"")</f>
        <v>196</v>
      </c>
    </row>
    <row r="582" spans="1:31">
      <c r="A582" s="206" t="s">
        <v>770</v>
      </c>
      <c r="C582" s="201">
        <v>42</v>
      </c>
      <c r="D582" s="202">
        <v>1.3915999999999999</v>
      </c>
      <c r="E582" s="201">
        <v>7.8391000000000002</v>
      </c>
      <c r="F582" s="202">
        <v>0.20280000000000001</v>
      </c>
      <c r="G582" s="201">
        <f t="shared" si="47"/>
        <v>8.0419</v>
      </c>
      <c r="H582" s="201">
        <v>7.8445</v>
      </c>
      <c r="I582" s="201">
        <f t="shared" si="46"/>
        <v>0.19740000000000002</v>
      </c>
      <c r="J582" s="201">
        <f t="shared" si="48"/>
        <v>5.3999999999999881E-3</v>
      </c>
      <c r="K582" s="280">
        <f t="shared" si="49"/>
        <v>2.6627218934911183</v>
      </c>
      <c r="L582" s="201">
        <v>10</v>
      </c>
      <c r="M582" s="205">
        <v>43206</v>
      </c>
      <c r="N582" s="205">
        <v>43206</v>
      </c>
      <c r="O582" s="201"/>
      <c r="P582" s="201"/>
      <c r="AB582" s="110" t="str">
        <f>IFERROR(INDEX('WetLitterbags placem_collection'!$A$3:$A$500,MATCH(A582,'WetLitterbags placem_collection'!$K$4:$K$500,0)),"")</f>
        <v/>
      </c>
      <c r="AC582" s="110" t="str">
        <f>IFERROR(INDEX('WetLitterbags placem_collection'!$A$3:$A$500,MATCH($A582,'WetLitterbags placem_collection'!$O$4:$O$500,0)),"")</f>
        <v/>
      </c>
      <c r="AD582" s="110">
        <f>IFERROR(INDEX('WetLitterbags placem_collection'!$A$3:$A$500,MATCH($A582,'WetLitterbags placem_collection'!$M$4:$M$500,0)),"")</f>
        <v>41</v>
      </c>
      <c r="AE582" s="110" t="str">
        <f>IFERROR(INDEX('WetLitterbags placem_collection'!$A$3:$A$500,MATCH($A582,'WetLitterbags placem_collection'!$Q$4:$Q$500,0)),"")</f>
        <v/>
      </c>
    </row>
    <row r="583" spans="1:31">
      <c r="A583" s="197" t="s">
        <v>769</v>
      </c>
      <c r="C583" s="198">
        <v>203</v>
      </c>
      <c r="D583" s="197">
        <v>1.3894</v>
      </c>
      <c r="E583" s="202">
        <v>9.1971000000000007</v>
      </c>
      <c r="F583" s="202">
        <v>0.20019999999999999</v>
      </c>
      <c r="G583" s="201">
        <f t="shared" si="47"/>
        <v>9.3973000000000013</v>
      </c>
      <c r="H583" s="201">
        <v>9.2055000000000007</v>
      </c>
      <c r="I583" s="201">
        <f t="shared" si="46"/>
        <v>0.19180000000000064</v>
      </c>
      <c r="J583" s="201">
        <f t="shared" si="48"/>
        <v>8.3999999999993524E-3</v>
      </c>
      <c r="K583" s="280">
        <f t="shared" si="49"/>
        <v>4.1958041958038725</v>
      </c>
      <c r="L583" s="201">
        <v>18</v>
      </c>
      <c r="M583" s="204">
        <v>43221</v>
      </c>
      <c r="N583" s="204">
        <v>43221</v>
      </c>
      <c r="AB583" s="110" t="str">
        <f>IFERROR(INDEX('WetLitterbags placem_collection'!$A$3:$A$500,MATCH(A583,'WetLitterbags placem_collection'!$K$4:$K$500,0)),"")</f>
        <v/>
      </c>
      <c r="AC583" s="110" t="str">
        <f>IFERROR(INDEX('WetLitterbags placem_collection'!$A$3:$A$500,MATCH($A583,'WetLitterbags placem_collection'!$O$4:$O$500,0)),"")</f>
        <v/>
      </c>
      <c r="AD583" s="110">
        <f>IFERROR(INDEX('WetLitterbags placem_collection'!$A$3:$A$500,MATCH($A583,'WetLitterbags placem_collection'!$M$4:$M$500,0)),"")</f>
        <v>202</v>
      </c>
      <c r="AE583" s="110" t="str">
        <f>IFERROR(INDEX('WetLitterbags placem_collection'!$A$3:$A$500,MATCH($A583,'WetLitterbags placem_collection'!$Q$4:$Q$500,0)),"")</f>
        <v/>
      </c>
    </row>
    <row r="584" spans="1:31">
      <c r="A584" s="197" t="s">
        <v>766</v>
      </c>
      <c r="C584" s="198">
        <v>196</v>
      </c>
      <c r="D584" s="197">
        <v>1.1523000000000001</v>
      </c>
      <c r="E584" s="201">
        <v>10.0762</v>
      </c>
      <c r="F584" s="202">
        <v>0.20669999999999999</v>
      </c>
      <c r="G584" s="201">
        <f t="shared" si="47"/>
        <v>10.2829</v>
      </c>
      <c r="H584" s="201">
        <v>10.086600000000001</v>
      </c>
      <c r="I584" s="201">
        <f t="shared" si="46"/>
        <v>0.19629999999999903</v>
      </c>
      <c r="J584" s="201">
        <f t="shared" si="48"/>
        <v>1.0400000000000964E-2</v>
      </c>
      <c r="K584" s="280">
        <f t="shared" si="49"/>
        <v>5.0314465408809701</v>
      </c>
      <c r="L584" s="201">
        <v>4</v>
      </c>
      <c r="M584" s="204">
        <v>43212</v>
      </c>
      <c r="AB584" s="110" t="str">
        <f>IFERROR(INDEX('WetLitterbags placem_collection'!$A$3:$A$500,MATCH(A584,'WetLitterbags placem_collection'!$K$4:$K$500,0)),"")</f>
        <v/>
      </c>
      <c r="AC584" s="110" t="str">
        <f>IFERROR(INDEX('WetLitterbags placem_collection'!$A$3:$A$500,MATCH($A584,'WetLitterbags placem_collection'!$O$4:$O$500,0)),"")</f>
        <v/>
      </c>
      <c r="AD584" s="110">
        <f>IFERROR(INDEX('WetLitterbags placem_collection'!$A$3:$A$500,MATCH($A584,'WetLitterbags placem_collection'!$M$4:$M$500,0)),"")</f>
        <v>195</v>
      </c>
      <c r="AE584" s="110" t="str">
        <f>IFERROR(INDEX('WetLitterbags placem_collection'!$A$3:$A$500,MATCH($A584,'WetLitterbags placem_collection'!$Q$4:$Q$500,0)),"")</f>
        <v/>
      </c>
    </row>
    <row r="585" spans="1:31">
      <c r="A585" s="197" t="s">
        <v>765</v>
      </c>
      <c r="C585" s="197">
        <v>43</v>
      </c>
      <c r="D585" s="197">
        <v>1.1131</v>
      </c>
      <c r="E585" s="197">
        <v>8.8632000000000009</v>
      </c>
      <c r="F585" s="197">
        <v>0.20799999999999999</v>
      </c>
      <c r="G585" s="197">
        <f t="shared" si="47"/>
        <v>9.071200000000001</v>
      </c>
      <c r="H585" s="197">
        <v>8.8773</v>
      </c>
      <c r="I585" s="197">
        <f t="shared" si="46"/>
        <v>0.19390000000000107</v>
      </c>
      <c r="J585" s="201">
        <f t="shared" si="48"/>
        <v>1.4099999999998919E-2</v>
      </c>
      <c r="K585" s="280">
        <f t="shared" si="49"/>
        <v>6.7788461538456346</v>
      </c>
      <c r="L585" s="197">
        <v>13</v>
      </c>
      <c r="M585" s="197" t="s">
        <v>2586</v>
      </c>
      <c r="N585" s="197" t="s">
        <v>2585</v>
      </c>
      <c r="O585" s="197" t="s">
        <v>2550</v>
      </c>
      <c r="AB585" s="110" t="str">
        <f>IFERROR(INDEX('WetLitterbags placem_collection'!$A$3:$A$500,MATCH(A585,'WetLitterbags placem_collection'!$K$4:$K$500,0)),"")</f>
        <v/>
      </c>
      <c r="AC585" s="110" t="str">
        <f>IFERROR(INDEX('WetLitterbags placem_collection'!$A$3:$A$500,MATCH($A585,'WetLitterbags placem_collection'!$O$4:$O$500,0)),"")</f>
        <v/>
      </c>
      <c r="AD585" s="110">
        <f>IFERROR(INDEX('WetLitterbags placem_collection'!$A$3:$A$500,MATCH($A585,'WetLitterbags placem_collection'!$M$4:$M$500,0)),"")</f>
        <v>42</v>
      </c>
      <c r="AE585" s="110" t="str">
        <f>IFERROR(INDEX('WetLitterbags placem_collection'!$A$3:$A$500,MATCH($A585,'WetLitterbags placem_collection'!$Q$4:$Q$500,0)),"")</f>
        <v/>
      </c>
    </row>
    <row r="586" spans="1:31">
      <c r="A586" s="201" t="s">
        <v>763</v>
      </c>
      <c r="C586" s="201">
        <v>195</v>
      </c>
      <c r="D586" s="201">
        <v>1.2686999999999999</v>
      </c>
      <c r="E586" s="201">
        <v>8.7335999999999991</v>
      </c>
      <c r="F586" s="201">
        <v>0.2026</v>
      </c>
      <c r="G586" s="201">
        <f t="shared" si="47"/>
        <v>8.9361999999999995</v>
      </c>
      <c r="H586" s="201">
        <v>8.7361000000000004</v>
      </c>
      <c r="I586" s="201">
        <f t="shared" si="46"/>
        <v>0.20009999999999906</v>
      </c>
      <c r="J586" s="201">
        <f t="shared" si="48"/>
        <v>2.5000000000009459E-3</v>
      </c>
      <c r="K586" s="280">
        <f t="shared" si="49"/>
        <v>1.2339585389935566</v>
      </c>
      <c r="L586" s="201">
        <v>14</v>
      </c>
      <c r="M586" s="203">
        <v>43164.628472222219</v>
      </c>
      <c r="N586" s="203">
        <v>43164.795138888891</v>
      </c>
      <c r="O586" s="197" t="s">
        <v>2550</v>
      </c>
      <c r="P586" s="201"/>
      <c r="AB586" s="110" t="str">
        <f>IFERROR(INDEX('WetLitterbags placem_collection'!$A$3:$A$500,MATCH(A586,'WetLitterbags placem_collection'!$K$4:$K$500,0)),"")</f>
        <v/>
      </c>
      <c r="AC586" s="110" t="str">
        <f>IFERROR(INDEX('WetLitterbags placem_collection'!$A$3:$A$500,MATCH($A586,'WetLitterbags placem_collection'!$O$4:$O$500,0)),"")</f>
        <v/>
      </c>
      <c r="AD586" s="110">
        <f>IFERROR(INDEX('WetLitterbags placem_collection'!$A$3:$A$500,MATCH($A586,'WetLitterbags placem_collection'!$M$4:$M$500,0)),"")</f>
        <v>194</v>
      </c>
      <c r="AE586" s="110" t="str">
        <f>IFERROR(INDEX('WetLitterbags placem_collection'!$A$3:$A$500,MATCH($A586,'WetLitterbags placem_collection'!$Q$4:$Q$500,0)),"")</f>
        <v/>
      </c>
    </row>
    <row r="587" spans="1:31">
      <c r="A587" s="197" t="s">
        <v>1103</v>
      </c>
      <c r="C587" s="198">
        <v>5</v>
      </c>
      <c r="D587" s="197">
        <v>1.0426</v>
      </c>
      <c r="E587" s="202">
        <v>9.4855999999999998</v>
      </c>
      <c r="F587" s="202">
        <v>0.20319999999999999</v>
      </c>
      <c r="G587" s="201">
        <f t="shared" si="47"/>
        <v>9.6888000000000005</v>
      </c>
      <c r="H587" s="201">
        <v>9.4974000000000007</v>
      </c>
      <c r="I587" s="201">
        <f t="shared" si="46"/>
        <v>0.19139999999999979</v>
      </c>
      <c r="J587" s="201">
        <f t="shared" si="48"/>
        <v>1.1800000000000199E-2</v>
      </c>
      <c r="K587" s="280">
        <f t="shared" si="49"/>
        <v>5.8070866141733264</v>
      </c>
      <c r="L587" s="201">
        <v>38</v>
      </c>
      <c r="M587" s="204">
        <v>43221</v>
      </c>
      <c r="N587" s="204">
        <v>43221</v>
      </c>
      <c r="AB587" s="110" t="str">
        <f>IFERROR(INDEX('WetLitterbags placem_collection'!$A$3:$A$500,MATCH(A587,'WetLitterbags placem_collection'!$K$4:$K$500,0)),"")</f>
        <v/>
      </c>
      <c r="AC587" s="110" t="str">
        <f>IFERROR(INDEX('WetLitterbags placem_collection'!$A$3:$A$500,MATCH($A587,'WetLitterbags placem_collection'!$O$4:$O$500,0)),"")</f>
        <v/>
      </c>
      <c r="AD587" s="110" t="str">
        <f>IFERROR(INDEX('WetLitterbags placem_collection'!$A$3:$A$500,MATCH($A587,'WetLitterbags placem_collection'!$M$4:$M$500,0)),"")</f>
        <v/>
      </c>
      <c r="AE587" s="110">
        <f>IFERROR(INDEX('WetLitterbags placem_collection'!$A$3:$A$500,MATCH($A587,'WetLitterbags placem_collection'!$Q$4:$Q$500,0)),"")</f>
        <v>4</v>
      </c>
    </row>
    <row r="588" spans="1:31">
      <c r="A588" s="206" t="s">
        <v>761</v>
      </c>
      <c r="C588" s="201">
        <v>17</v>
      </c>
      <c r="D588" s="201">
        <v>1.4234</v>
      </c>
      <c r="E588" s="201">
        <v>7.4806999999999997</v>
      </c>
      <c r="F588" s="202">
        <v>0.19939999999999999</v>
      </c>
      <c r="G588" s="201">
        <f t="shared" si="47"/>
        <v>7.6800999999999995</v>
      </c>
      <c r="H588" s="201">
        <v>7.4874000000000001</v>
      </c>
      <c r="I588" s="201">
        <f t="shared" si="46"/>
        <v>0.19269999999999943</v>
      </c>
      <c r="J588" s="201">
        <f t="shared" si="48"/>
        <v>6.7000000000005666E-3</v>
      </c>
      <c r="K588" s="280">
        <f t="shared" si="49"/>
        <v>3.3600802407224508</v>
      </c>
      <c r="L588" s="201">
        <v>26</v>
      </c>
      <c r="M588" s="205">
        <v>43211</v>
      </c>
      <c r="AB588" s="110" t="str">
        <f>IFERROR(INDEX('WetLitterbags placem_collection'!$A$3:$A$500,MATCH(A588,'WetLitterbags placem_collection'!$K$4:$K$500,0)),"")</f>
        <v/>
      </c>
      <c r="AC588" s="110" t="str">
        <f>IFERROR(INDEX('WetLitterbags placem_collection'!$A$3:$A$500,MATCH($A588,'WetLitterbags placem_collection'!$O$4:$O$500,0)),"")</f>
        <v/>
      </c>
      <c r="AD588" s="110" t="str">
        <f>IFERROR(INDEX('WetLitterbags placem_collection'!$A$3:$A$500,MATCH($A588,'WetLitterbags placem_collection'!$M$4:$M$500,0)),"")</f>
        <v/>
      </c>
      <c r="AE588" s="110">
        <f>IFERROR(INDEX('WetLitterbags placem_collection'!$A$3:$A$500,MATCH($A588,'WetLitterbags placem_collection'!$Q$4:$Q$500,0)),"")</f>
        <v>16</v>
      </c>
    </row>
    <row r="589" spans="1:31">
      <c r="A589" s="202" t="s">
        <v>760</v>
      </c>
      <c r="C589" s="201">
        <v>211</v>
      </c>
      <c r="D589" s="201">
        <v>1.2363</v>
      </c>
      <c r="E589" s="201">
        <v>8.0954999999999995</v>
      </c>
      <c r="F589" s="201">
        <v>0.20369999999999999</v>
      </c>
      <c r="G589" s="201">
        <f t="shared" si="47"/>
        <v>8.299199999999999</v>
      </c>
      <c r="H589" s="201">
        <v>8.1160999999999994</v>
      </c>
      <c r="I589" s="201">
        <f t="shared" ref="I589:I590" si="50">(G589-H589)</f>
        <v>0.1830999999999996</v>
      </c>
      <c r="J589" s="201">
        <f t="shared" si="48"/>
        <v>2.0600000000000396E-2</v>
      </c>
      <c r="K589" s="280">
        <f t="shared" si="49"/>
        <v>10.112911143839174</v>
      </c>
      <c r="L589" s="201">
        <v>13</v>
      </c>
      <c r="M589" s="205">
        <v>43173</v>
      </c>
      <c r="N589" s="205">
        <v>43173</v>
      </c>
      <c r="O589" s="201" t="s">
        <v>2556</v>
      </c>
      <c r="P589" s="201" t="s">
        <v>2555</v>
      </c>
      <c r="AB589" s="110" t="str">
        <f>IFERROR(INDEX('WetLitterbags placem_collection'!$A$3:$A$500,MATCH(A589,'WetLitterbags placem_collection'!$K$4:$K$500,0)),"")</f>
        <v/>
      </c>
      <c r="AC589" s="110" t="str">
        <f>IFERROR(INDEX('WetLitterbags placem_collection'!$A$3:$A$500,MATCH($A589,'WetLitterbags placem_collection'!$O$4:$O$500,0)),"")</f>
        <v/>
      </c>
      <c r="AD589" s="110">
        <f>IFERROR(INDEX('WetLitterbags placem_collection'!$A$3:$A$500,MATCH($A589,'WetLitterbags placem_collection'!$M$4:$M$500,0)),"")</f>
        <v>210</v>
      </c>
      <c r="AE589" s="110" t="str">
        <f>IFERROR(INDEX('WetLitterbags placem_collection'!$A$3:$A$500,MATCH($A589,'WetLitterbags placem_collection'!$Q$4:$Q$500,0)),"")</f>
        <v/>
      </c>
    </row>
    <row r="590" spans="1:31">
      <c r="A590" s="206" t="s">
        <v>759</v>
      </c>
      <c r="C590" s="197">
        <v>14</v>
      </c>
      <c r="D590" s="202">
        <v>1.4352</v>
      </c>
      <c r="E590" s="202">
        <v>9.0213000000000001</v>
      </c>
      <c r="F590" s="202">
        <v>0.20810000000000001</v>
      </c>
      <c r="G590" s="201">
        <f t="shared" si="47"/>
        <v>9.2294</v>
      </c>
      <c r="H590" s="201">
        <v>9.2042000000000002</v>
      </c>
      <c r="I590" s="201">
        <f t="shared" si="50"/>
        <v>2.5199999999999889E-2</v>
      </c>
      <c r="J590" s="201">
        <f t="shared" si="48"/>
        <v>0.18290000000000012</v>
      </c>
      <c r="K590" s="280">
        <f t="shared" si="49"/>
        <v>87.890437289764591</v>
      </c>
      <c r="L590" s="201">
        <v>25</v>
      </c>
      <c r="M590" s="205">
        <v>43199</v>
      </c>
      <c r="N590" s="205">
        <v>43199</v>
      </c>
      <c r="O590" s="201"/>
      <c r="P590" s="201"/>
      <c r="AB590" s="110" t="str">
        <f>IFERROR(INDEX('WetLitterbags placem_collection'!$A$3:$A$500,MATCH(A590,'WetLitterbags placem_collection'!$K$4:$K$500,0)),"")</f>
        <v/>
      </c>
      <c r="AC590" s="110" t="str">
        <f>IFERROR(INDEX('WetLitterbags placem_collection'!$A$3:$A$500,MATCH($A590,'WetLitterbags placem_collection'!$O$4:$O$500,0)),"")</f>
        <v/>
      </c>
      <c r="AD590" s="110">
        <f>IFERROR(INDEX('WetLitterbags placem_collection'!$A$3:$A$500,MATCH($A590,'WetLitterbags placem_collection'!$M$4:$M$500,0)),"")</f>
        <v>13</v>
      </c>
      <c r="AE590" s="110" t="str">
        <f>IFERROR(INDEX('WetLitterbags placem_collection'!$A$3:$A$500,MATCH($A590,'WetLitterbags placem_collection'!$Q$4:$Q$500,0)),"")</f>
        <v/>
      </c>
    </row>
    <row r="591" spans="1:31">
      <c r="A591" t="s">
        <v>758</v>
      </c>
      <c r="C591">
        <v>214</v>
      </c>
      <c r="D591">
        <v>1.3544</v>
      </c>
      <c r="E591">
        <v>7.8731</v>
      </c>
      <c r="F591">
        <v>0.21</v>
      </c>
      <c r="G591">
        <f t="shared" si="47"/>
        <v>8.0831</v>
      </c>
      <c r="H591">
        <v>7.883</v>
      </c>
      <c r="I591">
        <f>G591-H591</f>
        <v>0.20009999999999994</v>
      </c>
      <c r="J591">
        <f t="shared" si="48"/>
        <v>9.9000000000000477E-3</v>
      </c>
      <c r="K591" s="280">
        <f t="shared" si="49"/>
        <v>4.7142857142857366</v>
      </c>
      <c r="L591" s="201">
        <v>6</v>
      </c>
      <c r="M591" s="203">
        <v>43164.628472222219</v>
      </c>
      <c r="N591" s="203">
        <v>43164.795138888891</v>
      </c>
      <c r="O591" s="197" t="s">
        <v>2550</v>
      </c>
      <c r="P591"/>
      <c r="AB591" s="110" t="str">
        <f>IFERROR(INDEX('WetLitterbags placem_collection'!$A$3:$A$500,MATCH(A591,'WetLitterbags placem_collection'!$K$4:$K$500,0)),"")</f>
        <v/>
      </c>
      <c r="AC591" s="110" t="str">
        <f>IFERROR(INDEX('WetLitterbags placem_collection'!$A$3:$A$500,MATCH($A591,'WetLitterbags placem_collection'!$O$4:$O$500,0)),"")</f>
        <v/>
      </c>
      <c r="AD591" s="110">
        <f>IFERROR(INDEX('WetLitterbags placem_collection'!$A$3:$A$500,MATCH($A591,'WetLitterbags placem_collection'!$M$4:$M$500,0)),"")</f>
        <v>213</v>
      </c>
      <c r="AE591" s="110" t="str">
        <f>IFERROR(INDEX('WetLitterbags placem_collection'!$A$3:$A$500,MATCH($A591,'WetLitterbags placem_collection'!$Q$4:$Q$500,0)),"")</f>
        <v/>
      </c>
    </row>
    <row r="592" spans="1:31">
      <c r="A592" s="206" t="s">
        <v>757</v>
      </c>
      <c r="C592" s="201">
        <v>174</v>
      </c>
      <c r="D592" s="201">
        <v>1.5111000000000001</v>
      </c>
      <c r="E592" s="202">
        <v>8.4430999999999994</v>
      </c>
      <c r="F592" s="202">
        <v>0.2092</v>
      </c>
      <c r="G592" s="201">
        <f t="shared" si="47"/>
        <v>8.6522999999999985</v>
      </c>
      <c r="H592" s="201">
        <v>8.4474999999999998</v>
      </c>
      <c r="I592" s="201">
        <f t="shared" ref="I592:I623" si="51">(G592-H592)</f>
        <v>0.20479999999999876</v>
      </c>
      <c r="J592" s="201">
        <f t="shared" si="48"/>
        <v>4.4000000000012363E-3</v>
      </c>
      <c r="K592" s="280">
        <f t="shared" si="49"/>
        <v>2.1032504780120633</v>
      </c>
      <c r="L592" s="201">
        <v>7</v>
      </c>
      <c r="M592" s="207">
        <v>43186.458333333336</v>
      </c>
      <c r="N592" s="207">
        <v>43186.625</v>
      </c>
      <c r="O592" s="197" t="s">
        <v>2550</v>
      </c>
      <c r="P592" s="201"/>
      <c r="AB592" s="110" t="str">
        <f>IFERROR(INDEX('WetLitterbags placem_collection'!$A$3:$A$500,MATCH(A592,'WetLitterbags placem_collection'!$K$4:$K$500,0)),"")</f>
        <v/>
      </c>
      <c r="AC592" s="110" t="str">
        <f>IFERROR(INDEX('WetLitterbags placem_collection'!$A$3:$A$500,MATCH($A592,'WetLitterbags placem_collection'!$O$4:$O$500,0)),"")</f>
        <v/>
      </c>
      <c r="AD592" s="110" t="str">
        <f>IFERROR(INDEX('WetLitterbags placem_collection'!$A$3:$A$500,MATCH($A592,'WetLitterbags placem_collection'!$M$4:$M$500,0)),"")</f>
        <v/>
      </c>
      <c r="AE592" s="110">
        <f>IFERROR(INDEX('WetLitterbags placem_collection'!$A$3:$A$500,MATCH($A592,'WetLitterbags placem_collection'!$Q$4:$Q$500,0)),"")</f>
        <v>173</v>
      </c>
    </row>
    <row r="593" spans="1:31">
      <c r="A593" s="197" t="s">
        <v>755</v>
      </c>
      <c r="C593" s="198">
        <v>29</v>
      </c>
      <c r="D593" s="197">
        <v>1.3573</v>
      </c>
      <c r="E593" s="197">
        <v>9.3175000000000008</v>
      </c>
      <c r="F593" s="202">
        <v>0.20549999999999999</v>
      </c>
      <c r="G593" s="201">
        <f t="shared" si="47"/>
        <v>9.5230000000000015</v>
      </c>
      <c r="H593" s="201">
        <v>9.3400999999999996</v>
      </c>
      <c r="I593" s="201">
        <f t="shared" si="51"/>
        <v>0.18290000000000184</v>
      </c>
      <c r="J593" s="201">
        <f t="shared" si="48"/>
        <v>2.2599999999998149E-2</v>
      </c>
      <c r="K593" s="280">
        <f t="shared" si="49"/>
        <v>10.99756690997477</v>
      </c>
      <c r="L593" s="201">
        <v>2</v>
      </c>
      <c r="AB593" s="110" t="str">
        <f>IFERROR(INDEX('WetLitterbags placem_collection'!$A$3:$A$500,MATCH(A593,'WetLitterbags placem_collection'!$K$4:$K$500,0)),"")</f>
        <v/>
      </c>
      <c r="AC593" s="110" t="str">
        <f>IFERROR(INDEX('WetLitterbags placem_collection'!$A$3:$A$500,MATCH($A593,'WetLitterbags placem_collection'!$O$4:$O$500,0)),"")</f>
        <v/>
      </c>
      <c r="AD593" s="110">
        <f>IFERROR(INDEX('WetLitterbags placem_collection'!$A$3:$A$500,MATCH($A593,'WetLitterbags placem_collection'!$M$4:$M$500,0)),"")</f>
        <v>28</v>
      </c>
      <c r="AE593" s="110" t="str">
        <f>IFERROR(INDEX('WetLitterbags placem_collection'!$A$3:$A$500,MATCH($A593,'WetLitterbags placem_collection'!$Q$4:$Q$500,0)),"")</f>
        <v/>
      </c>
    </row>
    <row r="594" spans="1:31">
      <c r="A594" s="197" t="s">
        <v>754</v>
      </c>
      <c r="C594" s="198">
        <v>191</v>
      </c>
      <c r="D594" s="197">
        <v>1.4354</v>
      </c>
      <c r="E594" s="202">
        <v>7.0750999999999999</v>
      </c>
      <c r="F594" s="202">
        <v>0.20080000000000001</v>
      </c>
      <c r="G594" s="201">
        <f t="shared" si="47"/>
        <v>7.2759</v>
      </c>
      <c r="H594" s="201">
        <v>7.0793999999999997</v>
      </c>
      <c r="I594" s="201">
        <f t="shared" si="51"/>
        <v>0.19650000000000034</v>
      </c>
      <c r="J594" s="201">
        <f t="shared" si="48"/>
        <v>4.2999999999996652E-3</v>
      </c>
      <c r="K594" s="280">
        <f t="shared" si="49"/>
        <v>2.1414342629480405</v>
      </c>
      <c r="L594" s="201">
        <v>13</v>
      </c>
      <c r="AB594" s="110" t="str">
        <f>IFERROR(INDEX('WetLitterbags placem_collection'!$A$3:$A$500,MATCH(A594,'WetLitterbags placem_collection'!$K$4:$K$500,0)),"")</f>
        <v/>
      </c>
      <c r="AC594" s="110" t="str">
        <f>IFERROR(INDEX('WetLitterbags placem_collection'!$A$3:$A$500,MATCH($A594,'WetLitterbags placem_collection'!$O$4:$O$500,0)),"")</f>
        <v/>
      </c>
      <c r="AD594" s="110" t="str">
        <f>IFERROR(INDEX('WetLitterbags placem_collection'!$A$3:$A$500,MATCH($A594,'WetLitterbags placem_collection'!$M$4:$M$500,0)),"")</f>
        <v/>
      </c>
      <c r="AE594" s="110">
        <f>IFERROR(INDEX('WetLitterbags placem_collection'!$A$3:$A$500,MATCH($A594,'WetLitterbags placem_collection'!$Q$4:$Q$500,0)),"")</f>
        <v>190</v>
      </c>
    </row>
    <row r="595" spans="1:31">
      <c r="A595" s="206" t="s">
        <v>1102</v>
      </c>
      <c r="C595" s="201">
        <v>124</v>
      </c>
      <c r="D595" s="201">
        <v>1.2157</v>
      </c>
      <c r="E595" s="202">
        <v>11.4542</v>
      </c>
      <c r="F595" s="202">
        <v>0.20200000000000001</v>
      </c>
      <c r="G595" s="201">
        <f t="shared" si="47"/>
        <v>11.6562</v>
      </c>
      <c r="H595" s="201">
        <v>11.4687</v>
      </c>
      <c r="I595" s="201">
        <f t="shared" si="51"/>
        <v>0.1875</v>
      </c>
      <c r="J595" s="201">
        <f t="shared" si="48"/>
        <v>1.4500000000000013E-2</v>
      </c>
      <c r="K595" s="280">
        <f t="shared" si="49"/>
        <v>7.1782178217821846</v>
      </c>
      <c r="L595" s="201">
        <v>7</v>
      </c>
      <c r="M595" s="207">
        <v>43185.385416666664</v>
      </c>
      <c r="N595" s="201"/>
      <c r="O595" s="201" t="s">
        <v>2556</v>
      </c>
      <c r="P595" s="201"/>
      <c r="AB595" s="110" t="str">
        <f>IFERROR(INDEX('WetLitterbags placem_collection'!$A$3:$A$500,MATCH(A595,'WetLitterbags placem_collection'!$K$4:$K$500,0)),"")</f>
        <v/>
      </c>
      <c r="AC595" s="110" t="str">
        <f>IFERROR(INDEX('WetLitterbags placem_collection'!$A$3:$A$500,MATCH($A595,'WetLitterbags placem_collection'!$O$4:$O$500,0)),"")</f>
        <v/>
      </c>
      <c r="AD595" s="110">
        <f>IFERROR(INDEX('WetLitterbags placem_collection'!$A$3:$A$500,MATCH($A595,'WetLitterbags placem_collection'!$M$4:$M$500,0)),"")</f>
        <v>123</v>
      </c>
      <c r="AE595" s="110" t="str">
        <f>IFERROR(INDEX('WetLitterbags placem_collection'!$A$3:$A$500,MATCH($A595,'WetLitterbags placem_collection'!$Q$4:$Q$500,0)),"")</f>
        <v/>
      </c>
    </row>
    <row r="596" spans="1:31">
      <c r="A596" s="197" t="s">
        <v>751</v>
      </c>
      <c r="C596" s="201">
        <v>60</v>
      </c>
      <c r="D596" s="201">
        <v>1.3048</v>
      </c>
      <c r="E596" s="201">
        <v>8.8451000000000004</v>
      </c>
      <c r="F596" s="201">
        <v>0.20810000000000001</v>
      </c>
      <c r="G596" s="201">
        <f t="shared" si="47"/>
        <v>9.0532000000000004</v>
      </c>
      <c r="H596" s="201">
        <v>8.8652999999999995</v>
      </c>
      <c r="I596" s="201">
        <f t="shared" si="51"/>
        <v>0.18790000000000084</v>
      </c>
      <c r="J596" s="201">
        <f t="shared" si="48"/>
        <v>2.0199999999999163E-2</v>
      </c>
      <c r="K596" s="280">
        <f t="shared" si="49"/>
        <v>9.7068716962994532</v>
      </c>
      <c r="L596" s="201">
        <v>22</v>
      </c>
      <c r="M596" s="205">
        <v>43173</v>
      </c>
      <c r="N596" s="205">
        <v>43173</v>
      </c>
      <c r="O596" s="201" t="s">
        <v>2556</v>
      </c>
      <c r="P596" s="201" t="s">
        <v>2555</v>
      </c>
      <c r="AB596" s="110" t="str">
        <f>IFERROR(INDEX('WetLitterbags placem_collection'!$A$3:$A$500,MATCH(A596,'WetLitterbags placem_collection'!$K$4:$K$500,0)),"")</f>
        <v/>
      </c>
      <c r="AC596" s="110" t="str">
        <f>IFERROR(INDEX('WetLitterbags placem_collection'!$A$3:$A$500,MATCH($A596,'WetLitterbags placem_collection'!$O$4:$O$500,0)),"")</f>
        <v/>
      </c>
      <c r="AD596" s="110" t="str">
        <f>IFERROR(INDEX('WetLitterbags placem_collection'!$A$3:$A$500,MATCH($A596,'WetLitterbags placem_collection'!$M$4:$M$500,0)),"")</f>
        <v/>
      </c>
      <c r="AE596" s="110">
        <f>IFERROR(INDEX('WetLitterbags placem_collection'!$A$3:$A$500,MATCH($A596,'WetLitterbags placem_collection'!$Q$4:$Q$500,0)),"")</f>
        <v>59</v>
      </c>
    </row>
    <row r="597" spans="1:31">
      <c r="A597" s="201" t="s">
        <v>750</v>
      </c>
      <c r="C597" s="201">
        <v>85</v>
      </c>
      <c r="D597" s="201">
        <v>1.3975</v>
      </c>
      <c r="E597" s="202">
        <v>7.1887999999999996</v>
      </c>
      <c r="F597" s="202">
        <v>0.20019999999999999</v>
      </c>
      <c r="G597" s="201">
        <f t="shared" si="47"/>
        <v>7.3889999999999993</v>
      </c>
      <c r="H597" s="201">
        <v>7.1961000000000004</v>
      </c>
      <c r="I597" s="201">
        <f t="shared" si="51"/>
        <v>0.19289999999999896</v>
      </c>
      <c r="J597" s="201">
        <f t="shared" si="48"/>
        <v>7.3000000000010279E-3</v>
      </c>
      <c r="K597" s="280">
        <f t="shared" si="49"/>
        <v>3.6463536463541599</v>
      </c>
      <c r="L597" s="201">
        <v>40</v>
      </c>
      <c r="M597" s="207">
        <v>43186.458333333336</v>
      </c>
      <c r="N597" s="207">
        <v>43186.625</v>
      </c>
      <c r="O597" s="197" t="s">
        <v>2550</v>
      </c>
      <c r="P597" s="201"/>
      <c r="AB597" s="110" t="str">
        <f>IFERROR(INDEX('WetLitterbags placem_collection'!$A$3:$A$500,MATCH(A597,'WetLitterbags placem_collection'!$K$4:$K$500,0)),"")</f>
        <v/>
      </c>
      <c r="AC597" s="110" t="str">
        <f>IFERROR(INDEX('WetLitterbags placem_collection'!$A$3:$A$500,MATCH($A597,'WetLitterbags placem_collection'!$O$4:$O$500,0)),"")</f>
        <v/>
      </c>
      <c r="AD597" s="110" t="str">
        <f>IFERROR(INDEX('WetLitterbags placem_collection'!$A$3:$A$500,MATCH($A597,'WetLitterbags placem_collection'!$M$4:$M$500,0)),"")</f>
        <v/>
      </c>
      <c r="AE597" s="110">
        <f>IFERROR(INDEX('WetLitterbags placem_collection'!$A$3:$A$500,MATCH($A597,'WetLitterbags placem_collection'!$Q$4:$Q$500,0)),"")</f>
        <v>84</v>
      </c>
    </row>
    <row r="598" spans="1:31">
      <c r="A598" s="197" t="s">
        <v>749</v>
      </c>
      <c r="C598" s="198">
        <v>210</v>
      </c>
      <c r="D598" s="197">
        <v>1.4152</v>
      </c>
      <c r="E598" s="202">
        <v>8.1193000000000008</v>
      </c>
      <c r="F598" s="202">
        <v>0.2087</v>
      </c>
      <c r="G598" s="201">
        <f t="shared" si="47"/>
        <v>8.3280000000000012</v>
      </c>
      <c r="H598" s="201">
        <v>8.1370000000000005</v>
      </c>
      <c r="I598" s="201">
        <f t="shared" si="51"/>
        <v>0.19100000000000072</v>
      </c>
      <c r="J598" s="201">
        <f t="shared" si="48"/>
        <v>1.7699999999999272E-2</v>
      </c>
      <c r="K598" s="280">
        <f t="shared" si="49"/>
        <v>8.4810733109723397</v>
      </c>
      <c r="L598" s="201">
        <v>3</v>
      </c>
      <c r="AB598" s="110" t="str">
        <f>IFERROR(INDEX('WetLitterbags placem_collection'!$A$3:$A$500,MATCH(A598,'WetLitterbags placem_collection'!$K$4:$K$500,0)),"")</f>
        <v/>
      </c>
      <c r="AC598" s="110" t="str">
        <f>IFERROR(INDEX('WetLitterbags placem_collection'!$A$3:$A$500,MATCH($A598,'WetLitterbags placem_collection'!$O$4:$O$500,0)),"")</f>
        <v/>
      </c>
      <c r="AD598" s="110" t="str">
        <f>IFERROR(INDEX('WetLitterbags placem_collection'!$A$3:$A$500,MATCH($A598,'WetLitterbags placem_collection'!$M$4:$M$500,0)),"")</f>
        <v/>
      </c>
      <c r="AE598" s="110">
        <f>IFERROR(INDEX('WetLitterbags placem_collection'!$A$3:$A$500,MATCH($A598,'WetLitterbags placem_collection'!$Q$4:$Q$500,0)),"")</f>
        <v>209</v>
      </c>
    </row>
    <row r="599" spans="1:31">
      <c r="A599" s="197" t="s">
        <v>748</v>
      </c>
      <c r="C599" s="198">
        <v>73</v>
      </c>
      <c r="D599" s="197">
        <v>1.4407000000000001</v>
      </c>
      <c r="E599" s="201">
        <v>11.746499999999999</v>
      </c>
      <c r="F599" s="202">
        <v>0.2059</v>
      </c>
      <c r="G599" s="201">
        <f t="shared" si="47"/>
        <v>11.952399999999999</v>
      </c>
      <c r="H599" s="201">
        <v>11.7516</v>
      </c>
      <c r="I599" s="201">
        <f t="shared" si="51"/>
        <v>0.2007999999999992</v>
      </c>
      <c r="J599" s="201">
        <f t="shared" si="48"/>
        <v>5.1000000000007983E-3</v>
      </c>
      <c r="K599" s="280">
        <f t="shared" si="49"/>
        <v>2.4769305488104898</v>
      </c>
      <c r="L599" s="201">
        <v>6</v>
      </c>
      <c r="M599" s="204">
        <v>43212</v>
      </c>
      <c r="AB599" s="110" t="str">
        <f>IFERROR(INDEX('WetLitterbags placem_collection'!$A$3:$A$500,MATCH(A599,'WetLitterbags placem_collection'!$K$4:$K$500,0)),"")</f>
        <v/>
      </c>
      <c r="AC599" s="110" t="str">
        <f>IFERROR(INDEX('WetLitterbags placem_collection'!$A$3:$A$500,MATCH($A599,'WetLitterbags placem_collection'!$O$4:$O$500,0)),"")</f>
        <v/>
      </c>
      <c r="AD599" s="110" t="str">
        <f>IFERROR(INDEX('WetLitterbags placem_collection'!$A$3:$A$500,MATCH($A599,'WetLitterbags placem_collection'!$M$4:$M$500,0)),"")</f>
        <v/>
      </c>
      <c r="AE599" s="110">
        <f>IFERROR(INDEX('WetLitterbags placem_collection'!$A$3:$A$500,MATCH($A599,'WetLitterbags placem_collection'!$Q$4:$Q$500,0)),"")</f>
        <v>72</v>
      </c>
    </row>
    <row r="600" spans="1:31">
      <c r="A600" s="197" t="s">
        <v>746</v>
      </c>
      <c r="C600" s="198">
        <v>201</v>
      </c>
      <c r="D600" s="197">
        <v>1.3948</v>
      </c>
      <c r="E600" s="201">
        <v>10.5029</v>
      </c>
      <c r="F600" s="202">
        <v>0.20250000000000001</v>
      </c>
      <c r="G600" s="201">
        <f t="shared" si="47"/>
        <v>10.705400000000001</v>
      </c>
      <c r="H600" s="201">
        <v>10.509</v>
      </c>
      <c r="I600" s="201">
        <f t="shared" si="51"/>
        <v>0.19640000000000057</v>
      </c>
      <c r="J600" s="201">
        <f t="shared" si="48"/>
        <v>6.0999999999994392E-3</v>
      </c>
      <c r="K600" s="280">
        <f t="shared" si="49"/>
        <v>3.0123456790120686</v>
      </c>
      <c r="L600" s="201">
        <v>9</v>
      </c>
      <c r="M600" s="204">
        <v>43212</v>
      </c>
      <c r="AB600" s="110" t="str">
        <f>IFERROR(INDEX('WetLitterbags placem_collection'!$A$3:$A$500,MATCH(A600,'WetLitterbags placem_collection'!$K$4:$K$500,0)),"")</f>
        <v/>
      </c>
      <c r="AC600" s="110" t="str">
        <f>IFERROR(INDEX('WetLitterbags placem_collection'!$A$3:$A$500,MATCH($A600,'WetLitterbags placem_collection'!$O$4:$O$500,0)),"")</f>
        <v/>
      </c>
      <c r="AD600" s="110" t="str">
        <f>IFERROR(INDEX('WetLitterbags placem_collection'!$A$3:$A$500,MATCH($A600,'WetLitterbags placem_collection'!$M$4:$M$500,0)),"")</f>
        <v/>
      </c>
      <c r="AE600" s="110">
        <f>IFERROR(INDEX('WetLitterbags placem_collection'!$A$3:$A$500,MATCH($A600,'WetLitterbags placem_collection'!$Q$4:$Q$500,0)),"")</f>
        <v>200</v>
      </c>
    </row>
    <row r="601" spans="1:31">
      <c r="A601" s="197" t="s">
        <v>745</v>
      </c>
      <c r="C601" s="198">
        <v>32</v>
      </c>
      <c r="D601" s="197">
        <v>1.0985</v>
      </c>
      <c r="E601" s="202">
        <v>10.8552</v>
      </c>
      <c r="F601" s="202">
        <v>0.2059</v>
      </c>
      <c r="G601" s="201">
        <f t="shared" si="47"/>
        <v>11.0611</v>
      </c>
      <c r="H601" s="201">
        <v>10.870799999999999</v>
      </c>
      <c r="I601" s="201">
        <f t="shared" si="51"/>
        <v>0.19030000000000058</v>
      </c>
      <c r="J601" s="201">
        <f t="shared" si="48"/>
        <v>1.559999999999942E-2</v>
      </c>
      <c r="K601" s="280">
        <f t="shared" si="49"/>
        <v>7.5764934434188538</v>
      </c>
      <c r="L601" s="201">
        <v>25</v>
      </c>
      <c r="AB601" s="110" t="str">
        <f>IFERROR(INDEX('WetLitterbags placem_collection'!$A$3:$A$500,MATCH(A601,'WetLitterbags placem_collection'!$K$4:$K$500,0)),"")</f>
        <v/>
      </c>
      <c r="AC601" s="110" t="str">
        <f>IFERROR(INDEX('WetLitterbags placem_collection'!$A$3:$A$500,MATCH($A601,'WetLitterbags placem_collection'!$O$4:$O$500,0)),"")</f>
        <v/>
      </c>
      <c r="AD601" s="110">
        <f>IFERROR(INDEX('WetLitterbags placem_collection'!$A$3:$A$500,MATCH($A601,'WetLitterbags placem_collection'!$M$4:$M$500,0)),"")</f>
        <v>31</v>
      </c>
      <c r="AE601" s="110" t="str">
        <f>IFERROR(INDEX('WetLitterbags placem_collection'!$A$3:$A$500,MATCH($A601,'WetLitterbags placem_collection'!$Q$4:$Q$500,0)),"")</f>
        <v/>
      </c>
    </row>
    <row r="602" spans="1:31">
      <c r="A602" s="201" t="s">
        <v>743</v>
      </c>
      <c r="C602" s="201">
        <v>7</v>
      </c>
      <c r="D602" s="197">
        <v>1.2833000000000001</v>
      </c>
      <c r="E602" s="202">
        <v>10.7433</v>
      </c>
      <c r="F602" s="202">
        <v>0.19950000000000001</v>
      </c>
      <c r="G602" s="201">
        <f t="shared" si="47"/>
        <v>10.9428</v>
      </c>
      <c r="H602" s="201">
        <v>10.7507</v>
      </c>
      <c r="I602" s="201">
        <f t="shared" si="51"/>
        <v>0.19209999999999994</v>
      </c>
      <c r="J602" s="201">
        <f t="shared" si="48"/>
        <v>7.4000000000000732E-3</v>
      </c>
      <c r="K602" s="280">
        <f t="shared" si="49"/>
        <v>3.7092731829574301</v>
      </c>
      <c r="L602" s="201">
        <v>2</v>
      </c>
      <c r="M602" s="207">
        <v>43185.385416666664</v>
      </c>
      <c r="N602" s="201"/>
      <c r="O602" s="201" t="s">
        <v>2556</v>
      </c>
      <c r="P602" s="201"/>
      <c r="AB602" s="110" t="str">
        <f>IFERROR(INDEX('WetLitterbags placem_collection'!$A$3:$A$500,MATCH(A602,'WetLitterbags placem_collection'!$K$4:$K$500,0)),"")</f>
        <v/>
      </c>
      <c r="AC602" s="110" t="str">
        <f>IFERROR(INDEX('WetLitterbags placem_collection'!$A$3:$A$500,MATCH($A602,'WetLitterbags placem_collection'!$O$4:$O$500,0)),"")</f>
        <v/>
      </c>
      <c r="AD602" s="110" t="str">
        <f>IFERROR(INDEX('WetLitterbags placem_collection'!$A$3:$A$500,MATCH($A602,'WetLitterbags placem_collection'!$M$4:$M$500,0)),"")</f>
        <v/>
      </c>
      <c r="AE602" s="110">
        <f>IFERROR(INDEX('WetLitterbags placem_collection'!$A$3:$A$500,MATCH($A602,'WetLitterbags placem_collection'!$Q$4:$Q$500,0)),"")</f>
        <v>6</v>
      </c>
    </row>
    <row r="603" spans="1:31">
      <c r="A603" s="206" t="s">
        <v>1137</v>
      </c>
      <c r="C603" s="197">
        <v>92</v>
      </c>
      <c r="D603" s="201">
        <v>1.4371</v>
      </c>
      <c r="E603" s="202">
        <v>11.903600000000001</v>
      </c>
      <c r="F603" s="202">
        <v>0.2074</v>
      </c>
      <c r="G603" s="201">
        <f t="shared" si="47"/>
        <v>12.111000000000001</v>
      </c>
      <c r="H603" s="201">
        <v>11.9087</v>
      </c>
      <c r="I603" s="201">
        <f t="shared" si="51"/>
        <v>0.20230000000000103</v>
      </c>
      <c r="J603" s="201">
        <f t="shared" si="48"/>
        <v>5.0999999999989665E-3</v>
      </c>
      <c r="K603" s="280">
        <f t="shared" si="49"/>
        <v>2.4590163934421247</v>
      </c>
      <c r="L603" s="201">
        <v>14</v>
      </c>
      <c r="M603" s="207">
        <v>43186.458333333336</v>
      </c>
      <c r="N603" s="207">
        <v>43186.625</v>
      </c>
      <c r="O603" s="197" t="s">
        <v>2550</v>
      </c>
      <c r="P603" s="201" t="s">
        <v>2578</v>
      </c>
      <c r="AB603" s="110" t="str">
        <f>IFERROR(INDEX('WetLitterbags placem_collection'!$A$3:$A$500,MATCH(A603,'WetLitterbags placem_collection'!$K$4:$K$500,0)),"")</f>
        <v/>
      </c>
      <c r="AC603" s="110" t="str">
        <f>IFERROR(INDEX('WetLitterbags placem_collection'!$A$3:$A$500,MATCH($A603,'WetLitterbags placem_collection'!$O$4:$O$500,0)),"")</f>
        <v/>
      </c>
      <c r="AD603" s="110" t="str">
        <f>IFERROR(INDEX('WetLitterbags placem_collection'!$A$3:$A$500,MATCH($A603,'WetLitterbags placem_collection'!$M$4:$M$500,0)),"")</f>
        <v/>
      </c>
      <c r="AE603" s="110">
        <f>IFERROR(INDEX('WetLitterbags placem_collection'!$A$3:$A$500,MATCH($A603,'WetLitterbags placem_collection'!$Q$4:$Q$500,0)),"")</f>
        <v>91</v>
      </c>
    </row>
    <row r="604" spans="1:31">
      <c r="A604" s="202" t="s">
        <v>1101</v>
      </c>
      <c r="C604" s="201">
        <v>145</v>
      </c>
      <c r="D604" s="201">
        <v>1.3506999999999998</v>
      </c>
      <c r="E604" s="201">
        <v>8.2186000000000003</v>
      </c>
      <c r="F604" s="201">
        <v>0.20599999999999999</v>
      </c>
      <c r="G604" s="201">
        <f t="shared" si="47"/>
        <v>8.4245999999999999</v>
      </c>
      <c r="H604" s="201">
        <v>8.2359000000000009</v>
      </c>
      <c r="I604" s="201">
        <f t="shared" si="51"/>
        <v>0.18869999999999898</v>
      </c>
      <c r="J604" s="201">
        <f t="shared" si="48"/>
        <v>1.7300000000001009E-2</v>
      </c>
      <c r="K604" s="280">
        <f t="shared" si="49"/>
        <v>8.3980582524276741</v>
      </c>
      <c r="L604" s="201">
        <v>26</v>
      </c>
      <c r="M604" s="205">
        <v>43173</v>
      </c>
      <c r="N604" s="205">
        <v>43173</v>
      </c>
      <c r="O604" s="201" t="s">
        <v>2556</v>
      </c>
      <c r="P604" s="201" t="s">
        <v>2555</v>
      </c>
      <c r="AB604" s="110" t="str">
        <f>IFERROR(INDEX('WetLitterbags placem_collection'!$A$3:$A$500,MATCH(A604,'WetLitterbags placem_collection'!$K$4:$K$500,0)),"")</f>
        <v/>
      </c>
      <c r="AC604" s="110" t="str">
        <f>IFERROR(INDEX('WetLitterbags placem_collection'!$A$3:$A$500,MATCH($A604,'WetLitterbags placem_collection'!$O$4:$O$500,0)),"")</f>
        <v/>
      </c>
      <c r="AD604" s="110" t="str">
        <f>IFERROR(INDEX('WetLitterbags placem_collection'!$A$3:$A$500,MATCH($A604,'WetLitterbags placem_collection'!$M$4:$M$500,0)),"")</f>
        <v/>
      </c>
      <c r="AE604" s="110">
        <f>IFERROR(INDEX('WetLitterbags placem_collection'!$A$3:$A$500,MATCH($A604,'WetLitterbags placem_collection'!$Q$4:$Q$500,0)),"")</f>
        <v>144</v>
      </c>
    </row>
    <row r="605" spans="1:31">
      <c r="A605" s="201" t="s">
        <v>738</v>
      </c>
      <c r="C605" s="201">
        <v>169</v>
      </c>
      <c r="D605" s="201">
        <v>1.4878</v>
      </c>
      <c r="E605" s="201">
        <v>7.7732000000000001</v>
      </c>
      <c r="F605" s="202">
        <v>0.20669999999999999</v>
      </c>
      <c r="G605" s="201">
        <f t="shared" si="47"/>
        <v>7.9798999999999998</v>
      </c>
      <c r="H605" s="197">
        <v>7.7808000000000002</v>
      </c>
      <c r="I605" s="197">
        <f t="shared" si="51"/>
        <v>0.19909999999999961</v>
      </c>
      <c r="J605" s="201">
        <f t="shared" si="48"/>
        <v>7.6000000000003842E-3</v>
      </c>
      <c r="K605" s="280">
        <f t="shared" si="49"/>
        <v>3.6768263183359386</v>
      </c>
      <c r="L605" s="201">
        <v>21</v>
      </c>
      <c r="M605" s="205">
        <v>43187</v>
      </c>
      <c r="N605" s="205">
        <v>43187</v>
      </c>
      <c r="O605" s="201"/>
      <c r="P605" s="201"/>
      <c r="AB605" s="110" t="str">
        <f>IFERROR(INDEX('WetLitterbags placem_collection'!$A$3:$A$500,MATCH(A605,'WetLitterbags placem_collection'!$K$4:$K$500,0)),"")</f>
        <v/>
      </c>
      <c r="AC605" s="110" t="str">
        <f>IFERROR(INDEX('WetLitterbags placem_collection'!$A$3:$A$500,MATCH($A605,'WetLitterbags placem_collection'!$O$4:$O$500,0)),"")</f>
        <v/>
      </c>
      <c r="AD605" s="110" t="str">
        <f>IFERROR(INDEX('WetLitterbags placem_collection'!$A$3:$A$500,MATCH($A605,'WetLitterbags placem_collection'!$M$4:$M$500,0)),"")</f>
        <v/>
      </c>
      <c r="AE605" s="110">
        <f>IFERROR(INDEX('WetLitterbags placem_collection'!$A$3:$A$500,MATCH($A605,'WetLitterbags placem_collection'!$Q$4:$Q$500,0)),"")</f>
        <v>168</v>
      </c>
    </row>
    <row r="606" spans="1:31">
      <c r="A606" s="197" t="s">
        <v>735</v>
      </c>
      <c r="C606" s="197">
        <v>8</v>
      </c>
      <c r="D606" s="197">
        <v>1.2090000000000001</v>
      </c>
      <c r="E606" s="197">
        <v>7.0926999999999998</v>
      </c>
      <c r="F606" s="197">
        <v>0.2056</v>
      </c>
      <c r="G606" s="197">
        <f t="shared" si="47"/>
        <v>7.2982999999999993</v>
      </c>
      <c r="H606" s="197">
        <v>7.0979000000000001</v>
      </c>
      <c r="I606" s="197">
        <f t="shared" si="51"/>
        <v>0.20039999999999925</v>
      </c>
      <c r="J606" s="201">
        <f t="shared" si="48"/>
        <v>5.2000000000007596E-3</v>
      </c>
      <c r="K606" s="280">
        <f t="shared" si="49"/>
        <v>2.5291828793778013</v>
      </c>
      <c r="L606" s="197">
        <v>2</v>
      </c>
      <c r="M606" s="197" t="s">
        <v>2586</v>
      </c>
      <c r="N606" s="197" t="s">
        <v>2585</v>
      </c>
      <c r="O606" s="197" t="s">
        <v>2550</v>
      </c>
      <c r="AB606" s="110" t="str">
        <f>IFERROR(INDEX('WetLitterbags placem_collection'!$A$3:$A$500,MATCH(A606,'WetLitterbags placem_collection'!$K$4:$K$500,0)),"")</f>
        <v/>
      </c>
      <c r="AC606" s="110" t="str">
        <f>IFERROR(INDEX('WetLitterbags placem_collection'!$A$3:$A$500,MATCH($A606,'WetLitterbags placem_collection'!$O$4:$O$500,0)),"")</f>
        <v/>
      </c>
      <c r="AD606" s="110">
        <f>IFERROR(INDEX('WetLitterbags placem_collection'!$A$3:$A$500,MATCH($A606,'WetLitterbags placem_collection'!$M$4:$M$500,0)),"")</f>
        <v>7</v>
      </c>
      <c r="AE606" s="110" t="str">
        <f>IFERROR(INDEX('WetLitterbags placem_collection'!$A$3:$A$500,MATCH($A606,'WetLitterbags placem_collection'!$Q$4:$Q$500,0)),"")</f>
        <v/>
      </c>
    </row>
    <row r="607" spans="1:31">
      <c r="A607" s="197" t="s">
        <v>1100</v>
      </c>
      <c r="C607" s="197">
        <v>112</v>
      </c>
      <c r="D607" s="197">
        <v>1.4342999999999999</v>
      </c>
      <c r="E607" s="197">
        <v>19.091799999999999</v>
      </c>
      <c r="F607" s="197">
        <v>0.20430000000000001</v>
      </c>
      <c r="G607" s="197">
        <f t="shared" si="47"/>
        <v>19.296099999999999</v>
      </c>
      <c r="H607" s="197">
        <v>19.106100000000001</v>
      </c>
      <c r="I607" s="197">
        <f t="shared" si="51"/>
        <v>0.18999999999999773</v>
      </c>
      <c r="J607" s="201">
        <f t="shared" si="48"/>
        <v>1.4300000000002283E-2</v>
      </c>
      <c r="K607" s="280">
        <f t="shared" si="49"/>
        <v>6.9995105237407165</v>
      </c>
      <c r="L607" s="197">
        <v>10</v>
      </c>
      <c r="M607" s="197" t="s">
        <v>2576</v>
      </c>
      <c r="N607" s="197">
        <v>43153.729166666664</v>
      </c>
      <c r="O607" s="197" t="s">
        <v>2550</v>
      </c>
      <c r="P607" s="197" t="s">
        <v>2574</v>
      </c>
      <c r="AB607" s="110" t="str">
        <f>IFERROR(INDEX('WetLitterbags placem_collection'!$A$3:$A$500,MATCH(A607,'WetLitterbags placem_collection'!$K$4:$K$500,0)),"")</f>
        <v/>
      </c>
      <c r="AC607" s="110" t="str">
        <f>IFERROR(INDEX('WetLitterbags placem_collection'!$A$3:$A$500,MATCH($A607,'WetLitterbags placem_collection'!$O$4:$O$500,0)),"")</f>
        <v/>
      </c>
      <c r="AD607" s="110">
        <f>IFERROR(INDEX('WetLitterbags placem_collection'!$A$3:$A$500,MATCH($A607,'WetLitterbags placem_collection'!$M$4:$M$500,0)),"")</f>
        <v>111</v>
      </c>
      <c r="AE607" s="110" t="str">
        <f>IFERROR(INDEX('WetLitterbags placem_collection'!$A$3:$A$500,MATCH($A607,'WetLitterbags placem_collection'!$Q$4:$Q$500,0)),"")</f>
        <v/>
      </c>
    </row>
    <row r="608" spans="1:31">
      <c r="A608" s="201" t="s">
        <v>731</v>
      </c>
      <c r="C608" s="201">
        <v>217</v>
      </c>
      <c r="D608" s="201">
        <v>1.2276</v>
      </c>
      <c r="E608" s="201">
        <v>9.1377000000000006</v>
      </c>
      <c r="F608" s="202">
        <v>0.2034</v>
      </c>
      <c r="G608" s="201">
        <f t="shared" si="47"/>
        <v>9.3411000000000008</v>
      </c>
      <c r="H608" s="201">
        <v>9.1463999999999999</v>
      </c>
      <c r="I608" s="201">
        <f t="shared" si="51"/>
        <v>0.19470000000000098</v>
      </c>
      <c r="J608" s="201">
        <f t="shared" si="48"/>
        <v>8.6999999999990141E-3</v>
      </c>
      <c r="K608" s="280">
        <f t="shared" si="49"/>
        <v>4.277286135692731</v>
      </c>
      <c r="L608" s="201">
        <v>3</v>
      </c>
      <c r="M608" s="205">
        <v>43211</v>
      </c>
      <c r="N608" s="201"/>
      <c r="O608" s="201"/>
      <c r="P608" s="201"/>
      <c r="AB608" s="110" t="str">
        <f>IFERROR(INDEX('WetLitterbags placem_collection'!$A$3:$A$500,MATCH(A608,'WetLitterbags placem_collection'!$K$4:$K$500,0)),"")</f>
        <v/>
      </c>
      <c r="AC608" s="110" t="str">
        <f>IFERROR(INDEX('WetLitterbags placem_collection'!$A$3:$A$500,MATCH($A608,'WetLitterbags placem_collection'!$O$4:$O$500,0)),"")</f>
        <v/>
      </c>
      <c r="AD608" s="110" t="str">
        <f>IFERROR(INDEX('WetLitterbags placem_collection'!$A$3:$A$500,MATCH($A608,'WetLitterbags placem_collection'!$M$4:$M$500,0)),"")</f>
        <v/>
      </c>
      <c r="AE608" s="110">
        <f>IFERROR(INDEX('WetLitterbags placem_collection'!$A$3:$A$500,MATCH($A608,'WetLitterbags placem_collection'!$Q$4:$Q$500,0)),"")</f>
        <v>216</v>
      </c>
    </row>
    <row r="609" spans="1:31">
      <c r="A609" s="197" t="s">
        <v>730</v>
      </c>
      <c r="C609" s="201">
        <v>165</v>
      </c>
      <c r="D609" s="201">
        <v>1.4901</v>
      </c>
      <c r="E609" s="201">
        <v>8.0657999999999994</v>
      </c>
      <c r="F609" s="201">
        <v>0.2082</v>
      </c>
      <c r="G609" s="201">
        <f t="shared" si="47"/>
        <v>8.2739999999999991</v>
      </c>
      <c r="H609" s="201">
        <v>8.0698000000000008</v>
      </c>
      <c r="I609" s="201">
        <f t="shared" si="51"/>
        <v>0.20419999999999838</v>
      </c>
      <c r="J609" s="201">
        <f t="shared" si="48"/>
        <v>4.0000000000016134E-3</v>
      </c>
      <c r="K609" s="280">
        <f t="shared" si="49"/>
        <v>1.9212295869364138</v>
      </c>
      <c r="L609" s="201">
        <v>17</v>
      </c>
      <c r="M609" s="203">
        <v>43164.628472222219</v>
      </c>
      <c r="N609" s="203">
        <v>43164.795138888891</v>
      </c>
      <c r="O609" s="197" t="s">
        <v>2550</v>
      </c>
      <c r="P609" s="201"/>
      <c r="AB609" s="110" t="str">
        <f>IFERROR(INDEX('WetLitterbags placem_collection'!$A$3:$A$500,MATCH(A609,'WetLitterbags placem_collection'!$K$4:$K$500,0)),"")</f>
        <v/>
      </c>
      <c r="AC609" s="110" t="str">
        <f>IFERROR(INDEX('WetLitterbags placem_collection'!$A$3:$A$500,MATCH($A609,'WetLitterbags placem_collection'!$O$4:$O$500,0)),"")</f>
        <v/>
      </c>
      <c r="AD609" s="110" t="str">
        <f>IFERROR(INDEX('WetLitterbags placem_collection'!$A$3:$A$500,MATCH($A609,'WetLitterbags placem_collection'!$M$4:$M$500,0)),"")</f>
        <v/>
      </c>
      <c r="AE609" s="110">
        <f>IFERROR(INDEX('WetLitterbags placem_collection'!$A$3:$A$500,MATCH($A609,'WetLitterbags placem_collection'!$Q$4:$Q$500,0)),"")</f>
        <v>164</v>
      </c>
    </row>
    <row r="610" spans="1:31">
      <c r="A610" s="206" t="s">
        <v>729</v>
      </c>
      <c r="C610" s="201">
        <v>214</v>
      </c>
      <c r="D610" s="201">
        <v>1.2703</v>
      </c>
      <c r="E610" s="201">
        <v>8.9997000000000007</v>
      </c>
      <c r="F610" s="201">
        <v>0.2001</v>
      </c>
      <c r="G610" s="201">
        <f t="shared" si="47"/>
        <v>9.1998000000000015</v>
      </c>
      <c r="H610" s="201">
        <v>9.0108999999999995</v>
      </c>
      <c r="I610" s="201">
        <f t="shared" si="51"/>
        <v>0.18890000000000207</v>
      </c>
      <c r="J610" s="201">
        <f t="shared" si="48"/>
        <v>1.1199999999997934E-2</v>
      </c>
      <c r="K610" s="280">
        <f t="shared" si="49"/>
        <v>5.5972013992993173</v>
      </c>
      <c r="L610" s="201">
        <v>5</v>
      </c>
      <c r="M610" s="203">
        <v>43164.628472222219</v>
      </c>
      <c r="N610" s="203">
        <v>43164.795138888891</v>
      </c>
      <c r="O610" s="197" t="s">
        <v>2550</v>
      </c>
      <c r="P610" s="201"/>
      <c r="AB610" s="110" t="str">
        <f>IFERROR(INDEX('WetLitterbags placem_collection'!$A$3:$A$500,MATCH(A610,'WetLitterbags placem_collection'!$K$4:$K$500,0)),"")</f>
        <v/>
      </c>
      <c r="AC610" s="110" t="str">
        <f>IFERROR(INDEX('WetLitterbags placem_collection'!$A$3:$A$500,MATCH($A610,'WetLitterbags placem_collection'!$O$4:$O$500,0)),"")</f>
        <v/>
      </c>
      <c r="AD610" s="110" t="str">
        <f>IFERROR(INDEX('WetLitterbags placem_collection'!$A$3:$A$500,MATCH($A610,'WetLitterbags placem_collection'!$M$4:$M$500,0)),"")</f>
        <v/>
      </c>
      <c r="AE610" s="110">
        <f>IFERROR(INDEX('WetLitterbags placem_collection'!$A$3:$A$500,MATCH($A610,'WetLitterbags placem_collection'!$Q$4:$Q$500,0)),"")</f>
        <v>213</v>
      </c>
    </row>
    <row r="611" spans="1:31">
      <c r="A611" s="201" t="s">
        <v>727</v>
      </c>
      <c r="C611" s="201">
        <v>69</v>
      </c>
      <c r="D611" s="202">
        <v>2.0773000000000001</v>
      </c>
      <c r="E611" s="202">
        <v>8.0951000000000004</v>
      </c>
      <c r="F611" s="202">
        <v>0.20949999999999999</v>
      </c>
      <c r="G611" s="201">
        <f t="shared" si="47"/>
        <v>8.3046000000000006</v>
      </c>
      <c r="H611" s="201">
        <v>8.1296999999999997</v>
      </c>
      <c r="I611" s="201">
        <f t="shared" si="51"/>
        <v>0.17490000000000094</v>
      </c>
      <c r="J611" s="201">
        <f t="shared" si="48"/>
        <v>3.4599999999999048E-2</v>
      </c>
      <c r="K611" s="280">
        <f t="shared" si="49"/>
        <v>16.515513126491193</v>
      </c>
      <c r="L611" s="201">
        <v>18</v>
      </c>
      <c r="M611" s="203">
        <v>43181.645833333336</v>
      </c>
      <c r="N611" s="203">
        <v>43181.833333333336</v>
      </c>
      <c r="O611" s="201" t="s">
        <v>2556</v>
      </c>
      <c r="P611" s="201"/>
      <c r="AB611" s="110" t="str">
        <f>IFERROR(INDEX('WetLitterbags placem_collection'!$A$3:$A$500,MATCH(A611,'WetLitterbags placem_collection'!$K$4:$K$500,0)),"")</f>
        <v/>
      </c>
      <c r="AC611" s="110" t="str">
        <f>IFERROR(INDEX('WetLitterbags placem_collection'!$A$3:$A$500,MATCH($A611,'WetLitterbags placem_collection'!$O$4:$O$500,0)),"")</f>
        <v/>
      </c>
      <c r="AD611" s="110">
        <f>IFERROR(INDEX('WetLitterbags placem_collection'!$A$3:$A$500,MATCH($A611,'WetLitterbags placem_collection'!$M$4:$M$500,0)),"")</f>
        <v>68</v>
      </c>
      <c r="AE611" s="110" t="str">
        <f>IFERROR(INDEX('WetLitterbags placem_collection'!$A$3:$A$500,MATCH($A611,'WetLitterbags placem_collection'!$Q$4:$Q$500,0)),"")</f>
        <v/>
      </c>
    </row>
    <row r="612" spans="1:31">
      <c r="A612" s="201" t="s">
        <v>726</v>
      </c>
      <c r="B612" s="201"/>
      <c r="C612" s="201">
        <v>15</v>
      </c>
      <c r="D612" s="201">
        <v>2.4432999999999998</v>
      </c>
      <c r="E612" s="202">
        <v>7.7142999999999997</v>
      </c>
      <c r="F612" s="202">
        <v>0.20319999999999999</v>
      </c>
      <c r="G612" s="201">
        <f t="shared" si="47"/>
        <v>7.9174999999999995</v>
      </c>
      <c r="H612" s="201">
        <v>7.8741000000000003</v>
      </c>
      <c r="I612" s="201">
        <f t="shared" si="51"/>
        <v>4.3399999999999217E-2</v>
      </c>
      <c r="J612" s="201">
        <f t="shared" si="48"/>
        <v>0.15980000000000077</v>
      </c>
      <c r="K612" s="280">
        <f t="shared" si="49"/>
        <v>78.641732283464947</v>
      </c>
      <c r="L612" s="201">
        <v>31</v>
      </c>
      <c r="M612" s="207">
        <v>43185.385416666664</v>
      </c>
      <c r="N612" s="201"/>
      <c r="O612" s="201" t="s">
        <v>2556</v>
      </c>
      <c r="P612" s="201"/>
      <c r="Q612" s="201"/>
      <c r="R612" s="201"/>
      <c r="S612" s="201"/>
      <c r="T612" s="201"/>
      <c r="U612" s="201"/>
      <c r="V612" s="201"/>
      <c r="W612" s="201"/>
      <c r="AB612" s="110" t="str">
        <f>IFERROR(INDEX('WetLitterbags placem_collection'!$A$3:$A$500,MATCH(A612,'WetLitterbags placem_collection'!$K$4:$K$500,0)),"")</f>
        <v/>
      </c>
      <c r="AC612" s="110" t="str">
        <f>IFERROR(INDEX('WetLitterbags placem_collection'!$A$3:$A$500,MATCH($A612,'WetLitterbags placem_collection'!$O$4:$O$500,0)),"")</f>
        <v/>
      </c>
      <c r="AD612" s="110">
        <f>IFERROR(INDEX('WetLitterbags placem_collection'!$A$3:$A$500,MATCH($A612,'WetLitterbags placem_collection'!$M$4:$M$500,0)),"")</f>
        <v>14</v>
      </c>
      <c r="AE612" s="110" t="str">
        <f>IFERROR(INDEX('WetLitterbags placem_collection'!$A$3:$A$500,MATCH($A612,'WetLitterbags placem_collection'!$Q$4:$Q$500,0)),"")</f>
        <v/>
      </c>
    </row>
    <row r="613" spans="1:31">
      <c r="A613" s="206" t="s">
        <v>724</v>
      </c>
      <c r="C613" s="201">
        <v>84</v>
      </c>
      <c r="D613" s="201">
        <v>1.3305</v>
      </c>
      <c r="E613" s="202">
        <v>9.1560000000000006</v>
      </c>
      <c r="F613" s="202">
        <v>0.2016</v>
      </c>
      <c r="G613" s="201">
        <f t="shared" si="47"/>
        <v>9.3576000000000015</v>
      </c>
      <c r="H613" s="201">
        <v>9.1707999999999998</v>
      </c>
      <c r="I613" s="201">
        <f t="shared" si="51"/>
        <v>0.18680000000000163</v>
      </c>
      <c r="J613" s="201">
        <f t="shared" si="48"/>
        <v>1.479999999999837E-2</v>
      </c>
      <c r="K613" s="280">
        <f t="shared" si="49"/>
        <v>7.3412698412690327</v>
      </c>
      <c r="L613" s="201">
        <v>3</v>
      </c>
      <c r="M613" s="207">
        <v>43186.458333333336</v>
      </c>
      <c r="N613" s="207">
        <v>43186.625</v>
      </c>
      <c r="O613" s="197" t="s">
        <v>2550</v>
      </c>
      <c r="P613" s="201"/>
      <c r="AB613" s="110" t="str">
        <f>IFERROR(INDEX('WetLitterbags placem_collection'!$A$3:$A$500,MATCH(A613,'WetLitterbags placem_collection'!$K$4:$K$500,0)),"")</f>
        <v/>
      </c>
      <c r="AC613" s="110" t="str">
        <f>IFERROR(INDEX('WetLitterbags placem_collection'!$A$3:$A$500,MATCH($A613,'WetLitterbags placem_collection'!$O$4:$O$500,0)),"")</f>
        <v/>
      </c>
      <c r="AD613" s="110" t="str">
        <f>IFERROR(INDEX('WetLitterbags placem_collection'!$A$3:$A$500,MATCH($A613,'WetLitterbags placem_collection'!$M$4:$M$500,0)),"")</f>
        <v/>
      </c>
      <c r="AE613" s="110">
        <f>IFERROR(INDEX('WetLitterbags placem_collection'!$A$3:$A$500,MATCH($A613,'WetLitterbags placem_collection'!$Q$4:$Q$500,0)),"")</f>
        <v>83</v>
      </c>
    </row>
    <row r="614" spans="1:31">
      <c r="A614" s="197" t="s">
        <v>723</v>
      </c>
      <c r="C614" s="197">
        <v>128</v>
      </c>
      <c r="D614" s="197">
        <v>1.1819999999999999</v>
      </c>
      <c r="E614" s="197">
        <v>8.7603000000000009</v>
      </c>
      <c r="F614" s="197">
        <v>0.20549999999999999</v>
      </c>
      <c r="G614" s="197">
        <f t="shared" si="47"/>
        <v>8.9658000000000015</v>
      </c>
      <c r="H614" s="197">
        <v>8.7693999999999992</v>
      </c>
      <c r="I614" s="197">
        <f t="shared" si="51"/>
        <v>0.19640000000000235</v>
      </c>
      <c r="J614" s="201">
        <f t="shared" si="48"/>
        <v>9.0999999999976378E-3</v>
      </c>
      <c r="K614" s="280">
        <f t="shared" si="49"/>
        <v>4.4282238442810895</v>
      </c>
      <c r="L614" s="197">
        <v>7</v>
      </c>
      <c r="M614" s="197">
        <v>43157.395833333336</v>
      </c>
      <c r="N614" s="197">
        <v>43157.569444444445</v>
      </c>
      <c r="O614" s="197" t="s">
        <v>2550</v>
      </c>
      <c r="AB614" s="110" t="str">
        <f>IFERROR(INDEX('WetLitterbags placem_collection'!$A$3:$A$500,MATCH(A614,'WetLitterbags placem_collection'!$K$4:$K$500,0)),"")</f>
        <v/>
      </c>
      <c r="AC614" s="110" t="str">
        <f>IFERROR(INDEX('WetLitterbags placem_collection'!$A$3:$A$500,MATCH($A614,'WetLitterbags placem_collection'!$O$4:$O$500,0)),"")</f>
        <v/>
      </c>
      <c r="AD614" s="110" t="str">
        <f>IFERROR(INDEX('WetLitterbags placem_collection'!$A$3:$A$500,MATCH($A614,'WetLitterbags placem_collection'!$M$4:$M$500,0)),"")</f>
        <v/>
      </c>
      <c r="AE614" s="110">
        <f>IFERROR(INDEX('WetLitterbags placem_collection'!$A$3:$A$500,MATCH($A614,'WetLitterbags placem_collection'!$Q$4:$Q$500,0)),"")</f>
        <v>127</v>
      </c>
    </row>
    <row r="615" spans="1:31">
      <c r="A615" s="206" t="s">
        <v>721</v>
      </c>
      <c r="C615" s="201">
        <v>40</v>
      </c>
      <c r="D615" s="201">
        <v>1.4009</v>
      </c>
      <c r="E615" s="201">
        <v>11.2585</v>
      </c>
      <c r="F615" s="202">
        <v>0.2006</v>
      </c>
      <c r="G615" s="201">
        <f t="shared" si="47"/>
        <v>11.459099999999999</v>
      </c>
      <c r="H615" s="201">
        <v>11.2681</v>
      </c>
      <c r="I615" s="201">
        <f t="shared" si="51"/>
        <v>0.19099999999999895</v>
      </c>
      <c r="J615" s="201">
        <f t="shared" si="48"/>
        <v>9.6000000000010521E-3</v>
      </c>
      <c r="K615" s="280">
        <f t="shared" si="49"/>
        <v>4.7856430707881614</v>
      </c>
      <c r="L615" s="201">
        <v>7</v>
      </c>
      <c r="M615" s="205">
        <v>43211</v>
      </c>
      <c r="N615" s="201"/>
      <c r="O615" s="201"/>
      <c r="P615" s="201"/>
      <c r="AB615" s="110" t="str">
        <f>IFERROR(INDEX('WetLitterbags placem_collection'!$A$3:$A$500,MATCH(A615,'WetLitterbags placem_collection'!$K$4:$K$500,0)),"")</f>
        <v/>
      </c>
      <c r="AC615" s="110" t="str">
        <f>IFERROR(INDEX('WetLitterbags placem_collection'!$A$3:$A$500,MATCH($A615,'WetLitterbags placem_collection'!$O$4:$O$500,0)),"")</f>
        <v/>
      </c>
      <c r="AD615" s="110" t="str">
        <f>IFERROR(INDEX('WetLitterbags placem_collection'!$A$3:$A$500,MATCH($A615,'WetLitterbags placem_collection'!$M$4:$M$500,0)),"")</f>
        <v/>
      </c>
      <c r="AE615" s="110">
        <f>IFERROR(INDEX('WetLitterbags placem_collection'!$A$3:$A$500,MATCH($A615,'WetLitterbags placem_collection'!$Q$4:$Q$500,0)),"")</f>
        <v>39</v>
      </c>
    </row>
    <row r="616" spans="1:31">
      <c r="A616" s="206" t="s">
        <v>720</v>
      </c>
      <c r="C616" s="201">
        <v>160</v>
      </c>
      <c r="D616" s="201">
        <v>1.4998</v>
      </c>
      <c r="E616" s="201">
        <v>7.0930999999999997</v>
      </c>
      <c r="F616" s="202">
        <v>0.20030000000000001</v>
      </c>
      <c r="G616" s="201">
        <f t="shared" si="47"/>
        <v>7.2934000000000001</v>
      </c>
      <c r="H616" s="201">
        <v>7.1029</v>
      </c>
      <c r="I616" s="201">
        <f t="shared" si="51"/>
        <v>0.19050000000000011</v>
      </c>
      <c r="J616" s="201">
        <f t="shared" si="48"/>
        <v>9.7999999999998921E-3</v>
      </c>
      <c r="K616" s="280">
        <f t="shared" si="49"/>
        <v>4.8926610084872157</v>
      </c>
      <c r="L616" s="201">
        <v>16</v>
      </c>
      <c r="M616" s="205">
        <v>43211</v>
      </c>
      <c r="AB616" s="110" t="str">
        <f>IFERROR(INDEX('WetLitterbags placem_collection'!$A$3:$A$500,MATCH(A616,'WetLitterbags placem_collection'!$K$4:$K$500,0)),"")</f>
        <v/>
      </c>
      <c r="AC616" s="110" t="str">
        <f>IFERROR(INDEX('WetLitterbags placem_collection'!$A$3:$A$500,MATCH($A616,'WetLitterbags placem_collection'!$O$4:$O$500,0)),"")</f>
        <v/>
      </c>
      <c r="AD616" s="110">
        <f>IFERROR(INDEX('WetLitterbags placem_collection'!$A$3:$A$500,MATCH($A616,'WetLitterbags placem_collection'!$M$4:$M$500,0)),"")</f>
        <v>159</v>
      </c>
      <c r="AE616" s="110" t="str">
        <f>IFERROR(INDEX('WetLitterbags placem_collection'!$A$3:$A$500,MATCH($A616,'WetLitterbags placem_collection'!$Q$4:$Q$500,0)),"")</f>
        <v/>
      </c>
    </row>
    <row r="617" spans="1:31">
      <c r="A617" s="197" t="s">
        <v>718</v>
      </c>
      <c r="C617" s="201">
        <v>63</v>
      </c>
      <c r="D617" s="202">
        <v>1.3973</v>
      </c>
      <c r="E617" s="202">
        <v>10.415800000000001</v>
      </c>
      <c r="F617" s="202">
        <v>0.2077</v>
      </c>
      <c r="G617" s="201">
        <f t="shared" si="47"/>
        <v>10.6235</v>
      </c>
      <c r="H617" s="201">
        <v>10.432499999999999</v>
      </c>
      <c r="I617" s="201">
        <f t="shared" si="51"/>
        <v>0.19100000000000072</v>
      </c>
      <c r="J617" s="201">
        <f t="shared" si="48"/>
        <v>1.6699999999999271E-2</v>
      </c>
      <c r="K617" s="280">
        <f t="shared" si="49"/>
        <v>8.0404429465571852</v>
      </c>
      <c r="L617" s="201">
        <v>5</v>
      </c>
      <c r="M617" s="201"/>
      <c r="N617" s="201"/>
      <c r="O617" s="201"/>
      <c r="P617" s="201"/>
      <c r="AB617" s="110" t="str">
        <f>IFERROR(INDEX('WetLitterbags placem_collection'!$A$3:$A$500,MATCH(A617,'WetLitterbags placem_collection'!$K$4:$K$500,0)),"")</f>
        <v/>
      </c>
      <c r="AC617" s="110" t="str">
        <f>IFERROR(INDEX('WetLitterbags placem_collection'!$A$3:$A$500,MATCH($A617,'WetLitterbags placem_collection'!$O$4:$O$500,0)),"")</f>
        <v/>
      </c>
      <c r="AD617" s="110" t="str">
        <f>IFERROR(INDEX('WetLitterbags placem_collection'!$A$3:$A$500,MATCH($A617,'WetLitterbags placem_collection'!$M$4:$M$500,0)),"")</f>
        <v/>
      </c>
      <c r="AE617" s="110">
        <f>IFERROR(INDEX('WetLitterbags placem_collection'!$A$3:$A$500,MATCH($A617,'WetLitterbags placem_collection'!$Q$4:$Q$500,0)),"")</f>
        <v>62</v>
      </c>
    </row>
    <row r="618" spans="1:31">
      <c r="A618" s="201" t="s">
        <v>717</v>
      </c>
      <c r="C618" s="201">
        <v>127</v>
      </c>
      <c r="D618" s="202">
        <v>1.2995000000000001</v>
      </c>
      <c r="E618" s="201">
        <v>8.9579000000000004</v>
      </c>
      <c r="F618" s="202">
        <v>0.20699999999999999</v>
      </c>
      <c r="G618" s="201">
        <f t="shared" si="47"/>
        <v>9.1649000000000012</v>
      </c>
      <c r="H618" s="201">
        <v>8.9731000000000005</v>
      </c>
      <c r="I618" s="201">
        <f t="shared" si="51"/>
        <v>0.19180000000000064</v>
      </c>
      <c r="J618" s="201">
        <f t="shared" si="48"/>
        <v>1.5199999999999353E-2</v>
      </c>
      <c r="K618" s="280">
        <f t="shared" si="49"/>
        <v>7.3429951690818136</v>
      </c>
      <c r="L618" s="201">
        <v>5</v>
      </c>
      <c r="M618" s="205">
        <v>43206</v>
      </c>
      <c r="N618" s="205">
        <v>43206</v>
      </c>
      <c r="O618" s="201"/>
      <c r="P618" s="201"/>
      <c r="AB618" s="110" t="str">
        <f>IFERROR(INDEX('WetLitterbags placem_collection'!$A$3:$A$500,MATCH(A618,'WetLitterbags placem_collection'!$K$4:$K$500,0)),"")</f>
        <v/>
      </c>
      <c r="AC618" s="110" t="str">
        <f>IFERROR(INDEX('WetLitterbags placem_collection'!$A$3:$A$500,MATCH($A618,'WetLitterbags placem_collection'!$O$4:$O$500,0)),"")</f>
        <v/>
      </c>
      <c r="AD618" s="110" t="str">
        <f>IFERROR(INDEX('WetLitterbags placem_collection'!$A$3:$A$500,MATCH($A618,'WetLitterbags placem_collection'!$M$4:$M$500,0)),"")</f>
        <v/>
      </c>
      <c r="AE618" s="110">
        <f>IFERROR(INDEX('WetLitterbags placem_collection'!$A$3:$A$500,MATCH($A618,'WetLitterbags placem_collection'!$Q$4:$Q$500,0)),"")</f>
        <v>126</v>
      </c>
    </row>
    <row r="619" spans="1:31">
      <c r="A619" s="206" t="s">
        <v>715</v>
      </c>
      <c r="C619" s="201">
        <v>138</v>
      </c>
      <c r="D619" s="201">
        <v>1.3494999999999999</v>
      </c>
      <c r="E619" s="202">
        <v>11.089</v>
      </c>
      <c r="F619" s="202">
        <v>0.2021</v>
      </c>
      <c r="G619" s="201">
        <f t="shared" si="47"/>
        <v>11.2911</v>
      </c>
      <c r="H619" s="201">
        <v>11.098699999999999</v>
      </c>
      <c r="I619" s="201">
        <f t="shared" si="51"/>
        <v>0.19240000000000101</v>
      </c>
      <c r="J619" s="201">
        <f t="shared" si="48"/>
        <v>9.6999999999989872E-3</v>
      </c>
      <c r="K619" s="280">
        <f t="shared" si="49"/>
        <v>4.7996041563577378</v>
      </c>
      <c r="L619" s="201">
        <v>33</v>
      </c>
      <c r="M619" s="207">
        <v>43186.458333333336</v>
      </c>
      <c r="N619" s="207">
        <v>43186.625</v>
      </c>
      <c r="O619" s="197" t="s">
        <v>2550</v>
      </c>
      <c r="P619" s="201"/>
      <c r="AB619" s="110" t="str">
        <f>IFERROR(INDEX('WetLitterbags placem_collection'!$A$3:$A$500,MATCH(A619,'WetLitterbags placem_collection'!$K$4:$K$500,0)),"")</f>
        <v/>
      </c>
      <c r="AC619" s="110" t="str">
        <f>IFERROR(INDEX('WetLitterbags placem_collection'!$A$3:$A$500,MATCH($A619,'WetLitterbags placem_collection'!$O$4:$O$500,0)),"")</f>
        <v/>
      </c>
      <c r="AD619" s="110">
        <f>IFERROR(INDEX('WetLitterbags placem_collection'!$A$3:$A$500,MATCH($A619,'WetLitterbags placem_collection'!$M$4:$M$500,0)),"")</f>
        <v>137</v>
      </c>
      <c r="AE619" s="110" t="str">
        <f>IFERROR(INDEX('WetLitterbags placem_collection'!$A$3:$A$500,MATCH($A619,'WetLitterbags placem_collection'!$Q$4:$Q$500,0)),"")</f>
        <v/>
      </c>
    </row>
    <row r="620" spans="1:31">
      <c r="A620" s="197" t="s">
        <v>714</v>
      </c>
      <c r="C620" s="198">
        <v>187</v>
      </c>
      <c r="D620" s="197">
        <v>1.4764999999999999</v>
      </c>
      <c r="E620" s="202">
        <v>10.7433</v>
      </c>
      <c r="F620" s="202">
        <v>0.2056</v>
      </c>
      <c r="G620" s="201">
        <f t="shared" si="47"/>
        <v>10.9489</v>
      </c>
      <c r="H620" s="201">
        <v>10.747299999999999</v>
      </c>
      <c r="I620" s="201">
        <f t="shared" si="51"/>
        <v>0.20160000000000089</v>
      </c>
      <c r="J620" s="201">
        <f t="shared" si="48"/>
        <v>3.9999999999991154E-3</v>
      </c>
      <c r="K620" s="280">
        <f t="shared" si="49"/>
        <v>1.9455252918283636</v>
      </c>
      <c r="L620" s="201">
        <v>18</v>
      </c>
      <c r="AB620" s="110" t="str">
        <f>IFERROR(INDEX('WetLitterbags placem_collection'!$A$3:$A$500,MATCH(A620,'WetLitterbags placem_collection'!$K$4:$K$500,0)),"")</f>
        <v/>
      </c>
      <c r="AC620" s="110" t="str">
        <f>IFERROR(INDEX('WetLitterbags placem_collection'!$A$3:$A$500,MATCH($A620,'WetLitterbags placem_collection'!$O$4:$O$500,0)),"")</f>
        <v/>
      </c>
      <c r="AD620" s="110">
        <f>IFERROR(INDEX('WetLitterbags placem_collection'!$A$3:$A$500,MATCH($A620,'WetLitterbags placem_collection'!$M$4:$M$500,0)),"")</f>
        <v>186</v>
      </c>
      <c r="AE620" s="110" t="str">
        <f>IFERROR(INDEX('WetLitterbags placem_collection'!$A$3:$A$500,MATCH($A620,'WetLitterbags placem_collection'!$Q$4:$Q$500,0)),"")</f>
        <v/>
      </c>
    </row>
    <row r="621" spans="1:31">
      <c r="A621" s="201" t="s">
        <v>713</v>
      </c>
      <c r="C621" s="201">
        <v>113</v>
      </c>
      <c r="D621" s="201">
        <v>1.3206</v>
      </c>
      <c r="E621" s="201">
        <v>8.1677</v>
      </c>
      <c r="F621" s="202">
        <v>0.20169999999999999</v>
      </c>
      <c r="G621" s="201">
        <f t="shared" si="47"/>
        <v>8.3694000000000006</v>
      </c>
      <c r="H621" s="197">
        <v>8.3503000000000007</v>
      </c>
      <c r="I621" s="197">
        <f t="shared" si="51"/>
        <v>1.9099999999999895E-2</v>
      </c>
      <c r="J621" s="201">
        <f t="shared" si="48"/>
        <v>0.1826000000000001</v>
      </c>
      <c r="K621" s="280">
        <f t="shared" si="49"/>
        <v>90.530490827962367</v>
      </c>
      <c r="L621" s="201">
        <v>18</v>
      </c>
      <c r="M621" s="205">
        <v>43187</v>
      </c>
      <c r="N621" s="205">
        <v>43187</v>
      </c>
      <c r="O621" s="201"/>
      <c r="P621" s="201" t="s">
        <v>2577</v>
      </c>
      <c r="AB621" s="110" t="str">
        <f>IFERROR(INDEX('WetLitterbags placem_collection'!$A$3:$A$500,MATCH(A621,'WetLitterbags placem_collection'!$K$4:$K$500,0)),"")</f>
        <v/>
      </c>
      <c r="AC621" s="110" t="str">
        <f>IFERROR(INDEX('WetLitterbags placem_collection'!$A$3:$A$500,MATCH($A621,'WetLitterbags placem_collection'!$O$4:$O$500,0)),"")</f>
        <v/>
      </c>
      <c r="AD621" s="110">
        <f>IFERROR(INDEX('WetLitterbags placem_collection'!$A$3:$A$500,MATCH($A621,'WetLitterbags placem_collection'!$M$4:$M$500,0)),"")</f>
        <v>112</v>
      </c>
      <c r="AE621" s="110" t="str">
        <f>IFERROR(INDEX('WetLitterbags placem_collection'!$A$3:$A$500,MATCH($A621,'WetLitterbags placem_collection'!$Q$4:$Q$500,0)),"")</f>
        <v/>
      </c>
    </row>
    <row r="622" spans="1:31">
      <c r="A622" s="206" t="s">
        <v>712</v>
      </c>
      <c r="C622" s="201">
        <v>122</v>
      </c>
      <c r="D622" s="201">
        <v>0.999</v>
      </c>
      <c r="E622" s="202">
        <v>8.3536999999999999</v>
      </c>
      <c r="F622" s="202">
        <v>0.20200000000000001</v>
      </c>
      <c r="G622" s="201">
        <f t="shared" si="47"/>
        <v>8.5556999999999999</v>
      </c>
      <c r="H622" s="201">
        <v>8.3711000000000002</v>
      </c>
      <c r="I622" s="201">
        <f t="shared" si="51"/>
        <v>0.18459999999999965</v>
      </c>
      <c r="J622" s="201">
        <f t="shared" si="48"/>
        <v>1.740000000000036E-2</v>
      </c>
      <c r="K622" s="280">
        <f t="shared" si="49"/>
        <v>8.6138613861387903</v>
      </c>
      <c r="L622" s="201">
        <v>5</v>
      </c>
      <c r="M622" s="203">
        <v>43181.645833333336</v>
      </c>
      <c r="N622" s="203">
        <v>43181.833333333336</v>
      </c>
      <c r="O622" s="201" t="s">
        <v>2556</v>
      </c>
      <c r="P622" s="201"/>
      <c r="AB622" s="110" t="str">
        <f>IFERROR(INDEX('WetLitterbags placem_collection'!$A$3:$A$500,MATCH(A622,'WetLitterbags placem_collection'!$K$4:$K$500,0)),"")</f>
        <v/>
      </c>
      <c r="AC622" s="110" t="str">
        <f>IFERROR(INDEX('WetLitterbags placem_collection'!$A$3:$A$500,MATCH($A622,'WetLitterbags placem_collection'!$O$4:$O$500,0)),"")</f>
        <v/>
      </c>
      <c r="AD622" s="110" t="str">
        <f>IFERROR(INDEX('WetLitterbags placem_collection'!$A$3:$A$500,MATCH($A622,'WetLitterbags placem_collection'!$M$4:$M$500,0)),"")</f>
        <v/>
      </c>
      <c r="AE622" s="110">
        <f>IFERROR(INDEX('WetLitterbags placem_collection'!$A$3:$A$500,MATCH($A622,'WetLitterbags placem_collection'!$Q$4:$Q$500,0)),"")</f>
        <v>121</v>
      </c>
    </row>
    <row r="623" spans="1:31">
      <c r="A623" s="201" t="s">
        <v>711</v>
      </c>
      <c r="C623" s="201">
        <v>103</v>
      </c>
      <c r="D623" s="202">
        <v>1.373</v>
      </c>
      <c r="E623" s="201">
        <v>11.033200000000001</v>
      </c>
      <c r="F623" s="202">
        <v>0.2046</v>
      </c>
      <c r="G623" s="201">
        <f t="shared" si="47"/>
        <v>11.2378</v>
      </c>
      <c r="H623" s="201">
        <v>11.042899999999999</v>
      </c>
      <c r="I623" s="201">
        <f t="shared" si="51"/>
        <v>0.19490000000000052</v>
      </c>
      <c r="J623" s="201">
        <f t="shared" si="48"/>
        <v>9.6999999999994868E-3</v>
      </c>
      <c r="K623" s="280">
        <f t="shared" si="49"/>
        <v>4.7409579667641673</v>
      </c>
      <c r="L623" s="201">
        <v>26</v>
      </c>
      <c r="N623" s="201"/>
      <c r="O623" s="201"/>
      <c r="P623" s="201"/>
      <c r="AB623" s="110" t="str">
        <f>IFERROR(INDEX('WetLitterbags placem_collection'!$A$3:$A$500,MATCH(A623,'WetLitterbags placem_collection'!$K$4:$K$500,0)),"")</f>
        <v/>
      </c>
      <c r="AC623" s="110" t="str">
        <f>IFERROR(INDEX('WetLitterbags placem_collection'!$A$3:$A$500,MATCH($A623,'WetLitterbags placem_collection'!$O$4:$O$500,0)),"")</f>
        <v/>
      </c>
      <c r="AD623" s="110">
        <f>IFERROR(INDEX('WetLitterbags placem_collection'!$A$3:$A$500,MATCH($A623,'WetLitterbags placem_collection'!$M$4:$M$500,0)),"")</f>
        <v>102</v>
      </c>
      <c r="AE623" s="110" t="str">
        <f>IFERROR(INDEX('WetLitterbags placem_collection'!$A$3:$A$500,MATCH($A623,'WetLitterbags placem_collection'!$Q$4:$Q$500,0)),"")</f>
        <v/>
      </c>
    </row>
    <row r="624" spans="1:31">
      <c r="A624" s="201" t="s">
        <v>709</v>
      </c>
      <c r="C624" s="201">
        <v>135</v>
      </c>
      <c r="D624" s="201">
        <f>1.1861+F624</f>
        <v>1.3946999999999998</v>
      </c>
      <c r="E624" s="202">
        <v>10.51</v>
      </c>
      <c r="F624" s="202">
        <v>0.20860000000000001</v>
      </c>
      <c r="G624" s="201">
        <f t="shared" si="47"/>
        <v>10.7186</v>
      </c>
      <c r="H624" s="201">
        <v>10.5381</v>
      </c>
      <c r="I624" s="201">
        <f t="shared" ref="I624:I655" si="52">(G624-H624)</f>
        <v>0.18050000000000033</v>
      </c>
      <c r="J624" s="201">
        <f t="shared" si="48"/>
        <v>2.8099999999999681E-2</v>
      </c>
      <c r="K624" s="280">
        <f t="shared" si="49"/>
        <v>13.470757430488819</v>
      </c>
      <c r="L624" s="201">
        <v>25</v>
      </c>
      <c r="M624" s="205">
        <v>43174</v>
      </c>
      <c r="N624" s="205">
        <v>43174</v>
      </c>
      <c r="O624" s="201" t="s">
        <v>2556</v>
      </c>
      <c r="P624" s="201" t="s">
        <v>2551</v>
      </c>
      <c r="AB624" s="110" t="str">
        <f>IFERROR(INDEX('WetLitterbags placem_collection'!$A$3:$A$500,MATCH(A624,'WetLitterbags placem_collection'!$K$4:$K$500,0)),"")</f>
        <v/>
      </c>
      <c r="AC624" s="110" t="str">
        <f>IFERROR(INDEX('WetLitterbags placem_collection'!$A$3:$A$500,MATCH($A624,'WetLitterbags placem_collection'!$O$4:$O$500,0)),"")</f>
        <v/>
      </c>
      <c r="AD624" s="110">
        <f>IFERROR(INDEX('WetLitterbags placem_collection'!$A$3:$A$500,MATCH($A624,'WetLitterbags placem_collection'!$M$4:$M$500,0)),"")</f>
        <v>134</v>
      </c>
      <c r="AE624" s="110" t="str">
        <f>IFERROR(INDEX('WetLitterbags placem_collection'!$A$3:$A$500,MATCH($A624,'WetLitterbags placem_collection'!$Q$4:$Q$500,0)),"")</f>
        <v/>
      </c>
    </row>
    <row r="625" spans="1:31">
      <c r="A625" s="206" t="s">
        <v>708</v>
      </c>
      <c r="C625" s="201">
        <v>130</v>
      </c>
      <c r="D625" s="202">
        <v>1.2664</v>
      </c>
      <c r="E625" s="202">
        <v>9.4850999999999992</v>
      </c>
      <c r="F625" s="202">
        <v>0.20419999999999999</v>
      </c>
      <c r="G625" s="201">
        <f t="shared" si="47"/>
        <v>9.6892999999999994</v>
      </c>
      <c r="H625" s="201">
        <v>9.4955999999999996</v>
      </c>
      <c r="I625" s="201">
        <f t="shared" si="52"/>
        <v>0.19369999999999976</v>
      </c>
      <c r="J625" s="201">
        <f t="shared" si="48"/>
        <v>1.0500000000000231E-2</v>
      </c>
      <c r="K625" s="280">
        <f t="shared" si="49"/>
        <v>5.1420176297748439</v>
      </c>
      <c r="L625" s="201">
        <v>33</v>
      </c>
      <c r="M625" s="203">
        <v>43181.645833333336</v>
      </c>
      <c r="N625" s="203">
        <v>43181.833333333336</v>
      </c>
      <c r="O625" s="201" t="s">
        <v>2556</v>
      </c>
      <c r="P625" s="201"/>
      <c r="AB625" s="110" t="str">
        <f>IFERROR(INDEX('WetLitterbags placem_collection'!$A$3:$A$500,MATCH(A625,'WetLitterbags placem_collection'!$K$4:$K$500,0)),"")</f>
        <v/>
      </c>
      <c r="AC625" s="110" t="str">
        <f>IFERROR(INDEX('WetLitterbags placem_collection'!$A$3:$A$500,MATCH($A625,'WetLitterbags placem_collection'!$O$4:$O$500,0)),"")</f>
        <v/>
      </c>
      <c r="AD625" s="110" t="str">
        <f>IFERROR(INDEX('WetLitterbags placem_collection'!$A$3:$A$500,MATCH($A625,'WetLitterbags placem_collection'!$M$4:$M$500,0)),"")</f>
        <v/>
      </c>
      <c r="AE625" s="110">
        <f>IFERROR(INDEX('WetLitterbags placem_collection'!$A$3:$A$500,MATCH($A625,'WetLitterbags placem_collection'!$Q$4:$Q$500,0)),"")</f>
        <v>129</v>
      </c>
    </row>
    <row r="626" spans="1:31">
      <c r="A626" s="197" t="s">
        <v>707</v>
      </c>
      <c r="C626" s="198">
        <v>215</v>
      </c>
      <c r="D626" s="197">
        <v>1.3608</v>
      </c>
      <c r="E626" s="202">
        <v>11.003299999999999</v>
      </c>
      <c r="F626" s="202">
        <v>0.20480000000000001</v>
      </c>
      <c r="G626" s="201">
        <f t="shared" si="47"/>
        <v>11.2081</v>
      </c>
      <c r="H626" s="201">
        <v>11.0077</v>
      </c>
      <c r="I626" s="201">
        <f t="shared" si="52"/>
        <v>0.20040000000000013</v>
      </c>
      <c r="J626" s="201">
        <f t="shared" si="48"/>
        <v>4.3999999999998762E-3</v>
      </c>
      <c r="K626" s="280">
        <f t="shared" si="49"/>
        <v>2.1484374999999396</v>
      </c>
      <c r="L626" s="201">
        <v>20</v>
      </c>
      <c r="AB626" s="110" t="str">
        <f>IFERROR(INDEX('WetLitterbags placem_collection'!$A$3:$A$500,MATCH(A626,'WetLitterbags placem_collection'!$K$4:$K$500,0)),"")</f>
        <v/>
      </c>
      <c r="AC626" s="110" t="str">
        <f>IFERROR(INDEX('WetLitterbags placem_collection'!$A$3:$A$500,MATCH($A626,'WetLitterbags placem_collection'!$O$4:$O$500,0)),"")</f>
        <v/>
      </c>
      <c r="AD626" s="110" t="str">
        <f>IFERROR(INDEX('WetLitterbags placem_collection'!$A$3:$A$500,MATCH($A626,'WetLitterbags placem_collection'!$M$4:$M$500,0)),"")</f>
        <v/>
      </c>
      <c r="AE626" s="110">
        <f>IFERROR(INDEX('WetLitterbags placem_collection'!$A$3:$A$500,MATCH($A626,'WetLitterbags placem_collection'!$Q$4:$Q$500,0)),"")</f>
        <v>214</v>
      </c>
    </row>
    <row r="627" spans="1:31">
      <c r="A627" s="197" t="s">
        <v>706</v>
      </c>
      <c r="C627" s="197">
        <v>57</v>
      </c>
      <c r="D627" s="197">
        <v>1.2402</v>
      </c>
      <c r="E627" s="201">
        <v>7.7739000000000003</v>
      </c>
      <c r="F627" s="202">
        <v>0.2036</v>
      </c>
      <c r="G627" s="201">
        <f t="shared" ref="G627:G690" si="53">E627+F627</f>
        <v>7.9775</v>
      </c>
      <c r="H627" s="201">
        <v>7.7888999999999999</v>
      </c>
      <c r="I627" s="201">
        <f t="shared" si="52"/>
        <v>0.1886000000000001</v>
      </c>
      <c r="J627" s="201">
        <f t="shared" ref="J627:J690" si="54">F627-I627</f>
        <v>1.4999999999999902E-2</v>
      </c>
      <c r="K627" s="280">
        <f t="shared" ref="K627:K690" si="55">(J627/F627)*100</f>
        <v>7.3673870333987725</v>
      </c>
      <c r="L627" s="201">
        <v>23</v>
      </c>
      <c r="M627" s="204">
        <v>43212</v>
      </c>
      <c r="U627" s="113" t="s">
        <v>2588</v>
      </c>
      <c r="V627" s="197">
        <v>0.98780000000000001</v>
      </c>
      <c r="W627" s="197">
        <f>(V627-$T$175+F625)</f>
        <v>1.1919999999999999</v>
      </c>
      <c r="AB627" s="110" t="str">
        <f>IFERROR(INDEX('WetLitterbags placem_collection'!$A$3:$A$500,MATCH(A627,'WetLitterbags placem_collection'!$K$4:$K$500,0)),"")</f>
        <v/>
      </c>
      <c r="AC627" s="110" t="str">
        <f>IFERROR(INDEX('WetLitterbags placem_collection'!$A$3:$A$500,MATCH($A627,'WetLitterbags placem_collection'!$O$4:$O$500,0)),"")</f>
        <v/>
      </c>
      <c r="AD627" s="110" t="str">
        <f>IFERROR(INDEX('WetLitterbags placem_collection'!$A$3:$A$500,MATCH($A627,'WetLitterbags placem_collection'!$M$4:$M$500,0)),"")</f>
        <v/>
      </c>
      <c r="AE627" s="110">
        <f>IFERROR(INDEX('WetLitterbags placem_collection'!$A$3:$A$500,MATCH($A627,'WetLitterbags placem_collection'!$Q$4:$Q$500,0)),"")</f>
        <v>56</v>
      </c>
    </row>
    <row r="628" spans="1:31">
      <c r="A628" s="197" t="s">
        <v>705</v>
      </c>
      <c r="C628" s="198">
        <v>28</v>
      </c>
      <c r="D628" s="197">
        <v>1.2867</v>
      </c>
      <c r="E628" s="202">
        <v>11.862</v>
      </c>
      <c r="F628" s="202">
        <v>0.20119999999999999</v>
      </c>
      <c r="G628" s="201">
        <f t="shared" si="53"/>
        <v>12.0632</v>
      </c>
      <c r="H628" s="201">
        <v>11.8704</v>
      </c>
      <c r="I628" s="201">
        <f t="shared" si="52"/>
        <v>0.19280000000000008</v>
      </c>
      <c r="J628" s="201">
        <f t="shared" si="54"/>
        <v>8.3999999999999075E-3</v>
      </c>
      <c r="K628" s="280">
        <f t="shared" si="55"/>
        <v>4.1749502982106899</v>
      </c>
      <c r="L628" s="201">
        <v>29</v>
      </c>
      <c r="AB628" s="110" t="str">
        <f>IFERROR(INDEX('WetLitterbags placem_collection'!$A$3:$A$500,MATCH(A628,'WetLitterbags placem_collection'!$K$4:$K$500,0)),"")</f>
        <v/>
      </c>
      <c r="AC628" s="110" t="str">
        <f>IFERROR(INDEX('WetLitterbags placem_collection'!$A$3:$A$500,MATCH($A628,'WetLitterbags placem_collection'!$O$4:$O$500,0)),"")</f>
        <v/>
      </c>
      <c r="AD628" s="110">
        <f>IFERROR(INDEX('WetLitterbags placem_collection'!$A$3:$A$500,MATCH($A628,'WetLitterbags placem_collection'!$M$4:$M$500,0)),"")</f>
        <v>27</v>
      </c>
      <c r="AE628" s="110" t="str">
        <f>IFERROR(INDEX('WetLitterbags placem_collection'!$A$3:$A$500,MATCH($A628,'WetLitterbags placem_collection'!$Q$4:$Q$500,0)),"")</f>
        <v/>
      </c>
    </row>
    <row r="629" spans="1:31">
      <c r="A629" s="197" t="s">
        <v>704</v>
      </c>
      <c r="C629" s="197">
        <v>39</v>
      </c>
      <c r="D629" s="197">
        <v>1.2641</v>
      </c>
      <c r="E629" s="197">
        <v>9.1565999999999992</v>
      </c>
      <c r="F629" s="197">
        <v>0.20469999999999999</v>
      </c>
      <c r="G629" s="197">
        <f t="shared" si="53"/>
        <v>9.3613</v>
      </c>
      <c r="H629" s="197">
        <v>9.1640999999999995</v>
      </c>
      <c r="I629" s="197">
        <f t="shared" si="52"/>
        <v>0.19720000000000049</v>
      </c>
      <c r="J629" s="201">
        <f t="shared" si="54"/>
        <v>7.4999999999995071E-3</v>
      </c>
      <c r="K629" s="280">
        <f t="shared" si="55"/>
        <v>3.6638983878844686</v>
      </c>
      <c r="L629" s="197">
        <v>25</v>
      </c>
      <c r="M629" s="197" t="s">
        <v>2586</v>
      </c>
      <c r="N629" s="197" t="s">
        <v>2585</v>
      </c>
      <c r="O629" s="197" t="s">
        <v>2550</v>
      </c>
      <c r="AB629" s="110" t="str">
        <f>IFERROR(INDEX('WetLitterbags placem_collection'!$A$3:$A$500,MATCH(A629,'WetLitterbags placem_collection'!$K$4:$K$500,0)),"")</f>
        <v/>
      </c>
      <c r="AC629" s="110" t="str">
        <f>IFERROR(INDEX('WetLitterbags placem_collection'!$A$3:$A$500,MATCH($A629,'WetLitterbags placem_collection'!$O$4:$O$500,0)),"")</f>
        <v/>
      </c>
      <c r="AD629" s="110">
        <f>IFERROR(INDEX('WetLitterbags placem_collection'!$A$3:$A$500,MATCH($A629,'WetLitterbags placem_collection'!$M$4:$M$500,0)),"")</f>
        <v>38</v>
      </c>
      <c r="AE629" s="110" t="str">
        <f>IFERROR(INDEX('WetLitterbags placem_collection'!$A$3:$A$500,MATCH($A629,'WetLitterbags placem_collection'!$Q$4:$Q$500,0)),"")</f>
        <v/>
      </c>
    </row>
    <row r="630" spans="1:31">
      <c r="A630" s="197" t="s">
        <v>1097</v>
      </c>
      <c r="C630" s="197">
        <v>67</v>
      </c>
      <c r="D630" s="197">
        <v>1.3154999999999999</v>
      </c>
      <c r="E630" s="197">
        <v>11.055400000000001</v>
      </c>
      <c r="F630" s="197">
        <v>0.20250000000000001</v>
      </c>
      <c r="G630" s="197">
        <f t="shared" si="53"/>
        <v>11.257900000000001</v>
      </c>
      <c r="H630" s="197">
        <v>11.0619</v>
      </c>
      <c r="I630" s="197">
        <f t="shared" si="52"/>
        <v>0.19600000000000151</v>
      </c>
      <c r="J630" s="201">
        <f t="shared" si="54"/>
        <v>6.499999999998507E-3</v>
      </c>
      <c r="K630" s="280">
        <f t="shared" si="55"/>
        <v>3.2098765432091394</v>
      </c>
      <c r="L630" s="197">
        <v>1</v>
      </c>
      <c r="M630" s="197" t="s">
        <v>2580</v>
      </c>
      <c r="N630" s="197" t="s">
        <v>2579</v>
      </c>
      <c r="O630" s="197" t="s">
        <v>2556</v>
      </c>
      <c r="AB630" s="110" t="str">
        <f>IFERROR(INDEX('WetLitterbags placem_collection'!$A$3:$A$500,MATCH(A630,'WetLitterbags placem_collection'!$K$4:$K$500,0)),"")</f>
        <v/>
      </c>
      <c r="AC630" s="110" t="str">
        <f>IFERROR(INDEX('WetLitterbags placem_collection'!$A$3:$A$500,MATCH($A630,'WetLitterbags placem_collection'!$O$4:$O$500,0)),"")</f>
        <v/>
      </c>
      <c r="AD630" s="110" t="str">
        <f>IFERROR(INDEX('WetLitterbags placem_collection'!$A$3:$A$500,MATCH($A630,'WetLitterbags placem_collection'!$M$4:$M$500,0)),"")</f>
        <v/>
      </c>
      <c r="AE630" s="110">
        <f>IFERROR(INDEX('WetLitterbags placem_collection'!$A$3:$A$500,MATCH($A630,'WetLitterbags placem_collection'!$Q$4:$Q$500,0)),"")</f>
        <v>66</v>
      </c>
    </row>
    <row r="631" spans="1:31">
      <c r="A631" s="197" t="s">
        <v>701</v>
      </c>
      <c r="C631" s="198">
        <v>153</v>
      </c>
      <c r="D631" s="197">
        <v>1.4160999999999999</v>
      </c>
      <c r="E631" s="202">
        <v>7.5282</v>
      </c>
      <c r="F631" s="202">
        <v>0.2014</v>
      </c>
      <c r="G631" s="201">
        <f t="shared" si="53"/>
        <v>7.7295999999999996</v>
      </c>
      <c r="H631" s="201">
        <v>7.5362999999999998</v>
      </c>
      <c r="I631" s="201">
        <f t="shared" si="52"/>
        <v>0.19329999999999981</v>
      </c>
      <c r="J631" s="201">
        <f t="shared" si="54"/>
        <v>8.1000000000001904E-3</v>
      </c>
      <c r="K631" s="280">
        <f t="shared" si="55"/>
        <v>4.0218470705065492</v>
      </c>
      <c r="L631" s="201">
        <v>15</v>
      </c>
      <c r="M631" s="204">
        <v>43221</v>
      </c>
      <c r="N631" s="204">
        <v>43221</v>
      </c>
      <c r="P631" s="197" t="s">
        <v>2566</v>
      </c>
      <c r="AB631" s="110" t="str">
        <f>IFERROR(INDEX('WetLitterbags placem_collection'!$A$3:$A$500,MATCH(A631,'WetLitterbags placem_collection'!$K$4:$K$500,0)),"")</f>
        <v/>
      </c>
      <c r="AC631" s="110" t="str">
        <f>IFERROR(INDEX('WetLitterbags placem_collection'!$A$3:$A$500,MATCH($A631,'WetLitterbags placem_collection'!$O$4:$O$500,0)),"")</f>
        <v/>
      </c>
      <c r="AD631" s="110" t="str">
        <f>IFERROR(INDEX('WetLitterbags placem_collection'!$A$3:$A$500,MATCH($A631,'WetLitterbags placem_collection'!$M$4:$M$500,0)),"")</f>
        <v/>
      </c>
      <c r="AE631" s="110">
        <f>IFERROR(INDEX('WetLitterbags placem_collection'!$A$3:$A$500,MATCH($A631,'WetLitterbags placem_collection'!$Q$4:$Q$500,0)),"")</f>
        <v>152</v>
      </c>
    </row>
    <row r="632" spans="1:31">
      <c r="A632" s="197" t="s">
        <v>699</v>
      </c>
      <c r="C632" s="197">
        <v>218</v>
      </c>
      <c r="D632" s="197">
        <v>1.1541999999999999</v>
      </c>
      <c r="E632" s="201">
        <v>10.743499999999999</v>
      </c>
      <c r="F632" s="202">
        <v>0.2031</v>
      </c>
      <c r="G632" s="201">
        <f t="shared" si="53"/>
        <v>10.946599999999998</v>
      </c>
      <c r="H632" s="201">
        <v>10.757199999999999</v>
      </c>
      <c r="I632" s="201">
        <f t="shared" si="52"/>
        <v>0.18939999999999912</v>
      </c>
      <c r="J632" s="201">
        <f t="shared" si="54"/>
        <v>1.3700000000000878E-2</v>
      </c>
      <c r="K632" s="280">
        <f t="shared" si="55"/>
        <v>6.7454455933042237</v>
      </c>
      <c r="L632" s="201">
        <v>15</v>
      </c>
      <c r="M632" s="204">
        <v>43212</v>
      </c>
      <c r="AB632" s="110" t="str">
        <f>IFERROR(INDEX('WetLitterbags placem_collection'!$A$3:$A$500,MATCH(A632,'WetLitterbags placem_collection'!$K$4:$K$500,0)),"")</f>
        <v/>
      </c>
      <c r="AC632" s="110" t="str">
        <f>IFERROR(INDEX('WetLitterbags placem_collection'!$A$3:$A$500,MATCH($A632,'WetLitterbags placem_collection'!$O$4:$O$500,0)),"")</f>
        <v/>
      </c>
      <c r="AD632" s="110">
        <f>IFERROR(INDEX('WetLitterbags placem_collection'!$A$3:$A$500,MATCH($A632,'WetLitterbags placem_collection'!$M$4:$M$500,0)),"")</f>
        <v>217</v>
      </c>
      <c r="AE632" s="110" t="str">
        <f>IFERROR(INDEX('WetLitterbags placem_collection'!$A$3:$A$500,MATCH($A632,'WetLitterbags placem_collection'!$Q$4:$Q$500,0)),"")</f>
        <v/>
      </c>
    </row>
    <row r="633" spans="1:31">
      <c r="A633" s="197" t="s">
        <v>697</v>
      </c>
      <c r="C633" s="198">
        <v>182</v>
      </c>
      <c r="D633" s="197">
        <v>1.5347999999999999</v>
      </c>
      <c r="E633" s="201">
        <v>9.0031999999999996</v>
      </c>
      <c r="F633" s="202">
        <v>0.20280000000000001</v>
      </c>
      <c r="G633" s="201">
        <f t="shared" si="53"/>
        <v>9.2059999999999995</v>
      </c>
      <c r="H633" s="201">
        <v>9.0077999999999996</v>
      </c>
      <c r="I633" s="201">
        <f t="shared" si="52"/>
        <v>0.19819999999999993</v>
      </c>
      <c r="J633" s="201">
        <f t="shared" si="54"/>
        <v>4.6000000000000763E-3</v>
      </c>
      <c r="K633" s="280">
        <f t="shared" si="55"/>
        <v>2.2682445759369214</v>
      </c>
      <c r="L633" s="201">
        <v>11</v>
      </c>
      <c r="M633" s="204">
        <v>43212</v>
      </c>
      <c r="AB633" s="110" t="str">
        <f>IFERROR(INDEX('WetLitterbags placem_collection'!$A$3:$A$500,MATCH(A633,'WetLitterbags placem_collection'!$K$4:$K$500,0)),"")</f>
        <v/>
      </c>
      <c r="AC633" s="110" t="str">
        <f>IFERROR(INDEX('WetLitterbags placem_collection'!$A$3:$A$500,MATCH($A633,'WetLitterbags placem_collection'!$O$4:$O$500,0)),"")</f>
        <v/>
      </c>
      <c r="AD633" s="110">
        <f>IFERROR(INDEX('WetLitterbags placem_collection'!$A$3:$A$500,MATCH($A633,'WetLitterbags placem_collection'!$M$4:$M$500,0)),"")</f>
        <v>181</v>
      </c>
      <c r="AE633" s="110" t="str">
        <f>IFERROR(INDEX('WetLitterbags placem_collection'!$A$3:$A$500,MATCH($A633,'WetLitterbags placem_collection'!$Q$4:$Q$500,0)),"")</f>
        <v/>
      </c>
    </row>
    <row r="634" spans="1:31">
      <c r="A634" s="197" t="s">
        <v>695</v>
      </c>
      <c r="C634" s="197">
        <v>11</v>
      </c>
      <c r="D634" s="197">
        <v>1.1929000000000001</v>
      </c>
      <c r="E634" s="202">
        <v>7.5284000000000004</v>
      </c>
      <c r="F634" s="202">
        <v>0.20280000000000001</v>
      </c>
      <c r="G634" s="201">
        <f t="shared" si="53"/>
        <v>7.7312000000000003</v>
      </c>
      <c r="H634" s="201">
        <v>7.5388999999999999</v>
      </c>
      <c r="I634" s="201">
        <f t="shared" si="52"/>
        <v>0.19230000000000036</v>
      </c>
      <c r="J634" s="201">
        <f t="shared" si="54"/>
        <v>1.0499999999999649E-2</v>
      </c>
      <c r="K634" s="280">
        <f t="shared" si="55"/>
        <v>5.1775147928992347</v>
      </c>
      <c r="L634" s="201">
        <v>7</v>
      </c>
      <c r="AB634" s="110" t="str">
        <f>IFERROR(INDEX('WetLitterbags placem_collection'!$A$3:$A$500,MATCH(A634,'WetLitterbags placem_collection'!$K$4:$K$500,0)),"")</f>
        <v/>
      </c>
      <c r="AC634" s="110" t="str">
        <f>IFERROR(INDEX('WetLitterbags placem_collection'!$A$3:$A$500,MATCH($A634,'WetLitterbags placem_collection'!$O$4:$O$500,0)),"")</f>
        <v/>
      </c>
      <c r="AD634" s="110">
        <f>IFERROR(INDEX('WetLitterbags placem_collection'!$A$3:$A$500,MATCH($A634,'WetLitterbags placem_collection'!$M$4:$M$500,0)),"")</f>
        <v>10</v>
      </c>
      <c r="AE634" s="110" t="str">
        <f>IFERROR(INDEX('WetLitterbags placem_collection'!$A$3:$A$500,MATCH($A634,'WetLitterbags placem_collection'!$Q$4:$Q$500,0)),"")</f>
        <v/>
      </c>
    </row>
    <row r="635" spans="1:31">
      <c r="A635" s="201" t="s">
        <v>694</v>
      </c>
      <c r="C635" s="201">
        <v>151</v>
      </c>
      <c r="D635" s="197">
        <v>1.4498</v>
      </c>
      <c r="E635" s="197">
        <v>11.8634</v>
      </c>
      <c r="F635" s="197">
        <v>0.20419999999999999</v>
      </c>
      <c r="G635" s="197">
        <f t="shared" si="53"/>
        <v>12.067600000000001</v>
      </c>
      <c r="H635" s="197">
        <v>11.8766</v>
      </c>
      <c r="I635" s="197">
        <f t="shared" si="52"/>
        <v>0.19100000000000072</v>
      </c>
      <c r="J635" s="201">
        <f t="shared" si="54"/>
        <v>1.3199999999999268E-2</v>
      </c>
      <c r="K635" s="280">
        <f t="shared" si="55"/>
        <v>6.4642507345735885</v>
      </c>
      <c r="L635" s="197">
        <v>11</v>
      </c>
      <c r="M635" s="207">
        <v>43160.520833333336</v>
      </c>
      <c r="N635" s="207">
        <v>43160.6875</v>
      </c>
      <c r="O635" s="197" t="s">
        <v>2550</v>
      </c>
      <c r="AB635" s="110" t="str">
        <f>IFERROR(INDEX('WetLitterbags placem_collection'!$A$3:$A$500,MATCH(A635,'WetLitterbags placem_collection'!$K$4:$K$500,0)),"")</f>
        <v/>
      </c>
      <c r="AC635" s="110" t="str">
        <f>IFERROR(INDEX('WetLitterbags placem_collection'!$A$3:$A$500,MATCH($A635,'WetLitterbags placem_collection'!$O$4:$O$500,0)),"")</f>
        <v/>
      </c>
      <c r="AD635" s="110">
        <f>IFERROR(INDEX('WetLitterbags placem_collection'!$A$3:$A$500,MATCH($A635,'WetLitterbags placem_collection'!$M$4:$M$500,0)),"")</f>
        <v>150</v>
      </c>
      <c r="AE635" s="110" t="str">
        <f>IFERROR(INDEX('WetLitterbags placem_collection'!$A$3:$A$500,MATCH($A635,'WetLitterbags placem_collection'!$Q$4:$Q$500,0)),"")</f>
        <v/>
      </c>
    </row>
    <row r="636" spans="1:31">
      <c r="A636" s="197" t="s">
        <v>693</v>
      </c>
      <c r="C636" s="197">
        <v>62</v>
      </c>
      <c r="D636" s="197">
        <v>1.2890999999999999</v>
      </c>
      <c r="E636" s="197">
        <v>9.0016999999999996</v>
      </c>
      <c r="F636" s="197">
        <v>0.2016</v>
      </c>
      <c r="G636" s="197">
        <f t="shared" si="53"/>
        <v>9.2032999999999987</v>
      </c>
      <c r="H636" s="197">
        <v>9.0152999999999999</v>
      </c>
      <c r="I636" s="197">
        <f t="shared" si="52"/>
        <v>0.18799999999999883</v>
      </c>
      <c r="J636" s="201">
        <f t="shared" si="54"/>
        <v>1.3600000000001167E-2</v>
      </c>
      <c r="K636" s="280">
        <f t="shared" si="55"/>
        <v>6.7460317460323242</v>
      </c>
      <c r="L636" s="197">
        <v>43</v>
      </c>
      <c r="M636" s="197" t="s">
        <v>2586</v>
      </c>
      <c r="N636" s="197" t="s">
        <v>2585</v>
      </c>
      <c r="O636" s="197" t="s">
        <v>2550</v>
      </c>
      <c r="AB636" s="110" t="str">
        <f>IFERROR(INDEX('WetLitterbags placem_collection'!$A$3:$A$500,MATCH(A636,'WetLitterbags placem_collection'!$K$4:$K$500,0)),"")</f>
        <v/>
      </c>
      <c r="AC636" s="110" t="str">
        <f>IFERROR(INDEX('WetLitterbags placem_collection'!$A$3:$A$500,MATCH($A636,'WetLitterbags placem_collection'!$O$4:$O$500,0)),"")</f>
        <v/>
      </c>
      <c r="AD636" s="110" t="str">
        <f>IFERROR(INDEX('WetLitterbags placem_collection'!$A$3:$A$500,MATCH($A636,'WetLitterbags placem_collection'!$M$4:$M$500,0)),"")</f>
        <v/>
      </c>
      <c r="AE636" s="110">
        <f>IFERROR(INDEX('WetLitterbags placem_collection'!$A$3:$A$500,MATCH($A636,'WetLitterbags placem_collection'!$Q$4:$Q$500,0)),"")</f>
        <v>61</v>
      </c>
    </row>
    <row r="637" spans="1:31">
      <c r="A637" s="206" t="s">
        <v>692</v>
      </c>
      <c r="C637" s="201">
        <v>208</v>
      </c>
      <c r="D637" s="201">
        <v>1.3623000000000001</v>
      </c>
      <c r="E637" s="201">
        <v>8.9587000000000003</v>
      </c>
      <c r="F637" s="201">
        <v>0.20549999999999999</v>
      </c>
      <c r="G637" s="201">
        <f t="shared" si="53"/>
        <v>9.164200000000001</v>
      </c>
      <c r="H637" s="201">
        <v>8.9741999999999997</v>
      </c>
      <c r="I637" s="201">
        <f t="shared" si="52"/>
        <v>0.19000000000000128</v>
      </c>
      <c r="J637" s="201">
        <f t="shared" si="54"/>
        <v>1.5499999999998709E-2</v>
      </c>
      <c r="K637" s="280">
        <f t="shared" si="55"/>
        <v>7.5425790754251629</v>
      </c>
      <c r="L637" s="201">
        <v>5</v>
      </c>
      <c r="M637" s="203">
        <v>43171.520833333336</v>
      </c>
      <c r="N637" s="203">
        <v>43171.6875</v>
      </c>
      <c r="O637" s="197" t="s">
        <v>2550</v>
      </c>
      <c r="P637" s="201"/>
      <c r="AB637" s="110" t="str">
        <f>IFERROR(INDEX('WetLitterbags placem_collection'!$A$3:$A$500,MATCH(A637,'WetLitterbags placem_collection'!$K$4:$K$500,0)),"")</f>
        <v/>
      </c>
      <c r="AC637" s="110" t="str">
        <f>IFERROR(INDEX('WetLitterbags placem_collection'!$A$3:$A$500,MATCH($A637,'WetLitterbags placem_collection'!$O$4:$O$500,0)),"")</f>
        <v/>
      </c>
      <c r="AD637" s="110" t="str">
        <f>IFERROR(INDEX('WetLitterbags placem_collection'!$A$3:$A$500,MATCH($A637,'WetLitterbags placem_collection'!$M$4:$M$500,0)),"")</f>
        <v/>
      </c>
      <c r="AE637" s="110">
        <f>IFERROR(INDEX('WetLitterbags placem_collection'!$A$3:$A$500,MATCH($A637,'WetLitterbags placem_collection'!$Q$4:$Q$500,0)),"")</f>
        <v>207</v>
      </c>
    </row>
    <row r="638" spans="1:31">
      <c r="A638" s="197" t="s">
        <v>1096</v>
      </c>
      <c r="C638" s="198">
        <v>22</v>
      </c>
      <c r="D638" s="197">
        <v>1.2706999999999999</v>
      </c>
      <c r="E638" s="202">
        <v>9.0211000000000006</v>
      </c>
      <c r="F638" s="202">
        <v>0.20119999999999999</v>
      </c>
      <c r="G638" s="201">
        <f t="shared" si="53"/>
        <v>9.2223000000000006</v>
      </c>
      <c r="H638" s="201">
        <v>9.0279000000000007</v>
      </c>
      <c r="I638" s="201">
        <f t="shared" si="52"/>
        <v>0.19439999999999991</v>
      </c>
      <c r="J638" s="201">
        <f t="shared" si="54"/>
        <v>6.8000000000000838E-3</v>
      </c>
      <c r="K638" s="280">
        <f t="shared" si="55"/>
        <v>3.3797216699801611</v>
      </c>
      <c r="L638" s="201">
        <v>21</v>
      </c>
      <c r="M638" s="204">
        <v>43221</v>
      </c>
      <c r="N638" s="204">
        <v>43221</v>
      </c>
      <c r="AB638" s="110" t="str">
        <f>IFERROR(INDEX('WetLitterbags placem_collection'!$A$3:$A$500,MATCH(A638,'WetLitterbags placem_collection'!$K$4:$K$500,0)),"")</f>
        <v/>
      </c>
      <c r="AC638" s="110" t="str">
        <f>IFERROR(INDEX('WetLitterbags placem_collection'!$A$3:$A$500,MATCH($A638,'WetLitterbags placem_collection'!$O$4:$O$500,0)),"")</f>
        <v/>
      </c>
      <c r="AD638" s="110" t="str">
        <f>IFERROR(INDEX('WetLitterbags placem_collection'!$A$3:$A$500,MATCH($A638,'WetLitterbags placem_collection'!$M$4:$M$500,0)),"")</f>
        <v/>
      </c>
      <c r="AE638" s="110">
        <f>IFERROR(INDEX('WetLitterbags placem_collection'!$A$3:$A$500,MATCH($A638,'WetLitterbags placem_collection'!$Q$4:$Q$500,0)),"")</f>
        <v>21</v>
      </c>
    </row>
    <row r="639" spans="1:31">
      <c r="A639" s="197" t="s">
        <v>691</v>
      </c>
      <c r="C639" s="198">
        <v>13</v>
      </c>
      <c r="D639" s="197">
        <v>0.71840000000000004</v>
      </c>
      <c r="E639" s="197">
        <v>7.1901999999999999</v>
      </c>
      <c r="F639" s="202">
        <v>0.2009</v>
      </c>
      <c r="G639" s="201">
        <f t="shared" si="53"/>
        <v>7.3910999999999998</v>
      </c>
      <c r="H639" s="201">
        <v>7.2729999999999997</v>
      </c>
      <c r="I639" s="201">
        <f t="shared" si="52"/>
        <v>0.11810000000000009</v>
      </c>
      <c r="J639" s="201">
        <f t="shared" si="54"/>
        <v>8.2799999999999901E-2</v>
      </c>
      <c r="K639" s="280">
        <f t="shared" si="55"/>
        <v>41.214534594325485</v>
      </c>
      <c r="L639" s="201">
        <v>16</v>
      </c>
      <c r="AB639" s="110" t="str">
        <f>IFERROR(INDEX('WetLitterbags placem_collection'!$A$3:$A$500,MATCH(A639,'WetLitterbags placem_collection'!$K$4:$K$500,0)),"")</f>
        <v/>
      </c>
      <c r="AC639" s="110" t="str">
        <f>IFERROR(INDEX('WetLitterbags placem_collection'!$A$3:$A$500,MATCH($A639,'WetLitterbags placem_collection'!$O$4:$O$500,0)),"")</f>
        <v/>
      </c>
      <c r="AD639" s="110">
        <f>IFERROR(INDEX('WetLitterbags placem_collection'!$A$3:$A$500,MATCH($A639,'WetLitterbags placem_collection'!$M$4:$M$500,0)),"")</f>
        <v>12</v>
      </c>
      <c r="AE639" s="110" t="str">
        <f>IFERROR(INDEX('WetLitterbags placem_collection'!$A$3:$A$500,MATCH($A639,'WetLitterbags placem_collection'!$Q$4:$Q$500,0)),"")</f>
        <v/>
      </c>
    </row>
    <row r="640" spans="1:31">
      <c r="A640" s="201" t="s">
        <v>690</v>
      </c>
      <c r="C640" s="201">
        <v>171</v>
      </c>
      <c r="D640" s="201">
        <v>1.3996</v>
      </c>
      <c r="E640" s="201">
        <v>7.5286</v>
      </c>
      <c r="F640" s="201">
        <v>0.20319999999999999</v>
      </c>
      <c r="G640" s="201">
        <f t="shared" si="53"/>
        <v>7.7317999999999998</v>
      </c>
      <c r="H640" s="201">
        <v>7.5320999999999998</v>
      </c>
      <c r="I640" s="201">
        <f t="shared" si="52"/>
        <v>0.19969999999999999</v>
      </c>
      <c r="J640" s="201">
        <f t="shared" si="54"/>
        <v>3.5000000000000031E-3</v>
      </c>
      <c r="K640" s="280">
        <f t="shared" si="55"/>
        <v>1.7224409448818911</v>
      </c>
      <c r="L640" s="201">
        <v>8</v>
      </c>
      <c r="M640" s="205">
        <v>43174</v>
      </c>
      <c r="N640" s="205">
        <v>43174</v>
      </c>
      <c r="O640" s="201" t="s">
        <v>2556</v>
      </c>
      <c r="P640" s="201" t="s">
        <v>2551</v>
      </c>
      <c r="AB640" s="110" t="str">
        <f>IFERROR(INDEX('WetLitterbags placem_collection'!$A$3:$A$500,MATCH(A640,'WetLitterbags placem_collection'!$K$4:$K$500,0)),"")</f>
        <v/>
      </c>
      <c r="AC640" s="110" t="str">
        <f>IFERROR(INDEX('WetLitterbags placem_collection'!$A$3:$A$500,MATCH($A640,'WetLitterbags placem_collection'!$O$4:$O$500,0)),"")</f>
        <v/>
      </c>
      <c r="AD640" s="110" t="str">
        <f>IFERROR(INDEX('WetLitterbags placem_collection'!$A$3:$A$500,MATCH($A640,'WetLitterbags placem_collection'!$M$4:$M$500,0)),"")</f>
        <v/>
      </c>
      <c r="AE640" s="110">
        <f>IFERROR(INDEX('WetLitterbags placem_collection'!$A$3:$A$500,MATCH($A640,'WetLitterbags placem_collection'!$Q$4:$Q$500,0)),"")</f>
        <v>170</v>
      </c>
    </row>
    <row r="641" spans="1:31">
      <c r="A641" s="201" t="s">
        <v>689</v>
      </c>
      <c r="C641" s="197">
        <v>33</v>
      </c>
      <c r="D641" s="201">
        <v>1.3465</v>
      </c>
      <c r="E641" s="202">
        <v>10.415800000000001</v>
      </c>
      <c r="F641" s="202">
        <v>0.20080000000000001</v>
      </c>
      <c r="G641" s="201">
        <f t="shared" si="53"/>
        <v>10.6166</v>
      </c>
      <c r="H641" s="201">
        <v>10.424899999999999</v>
      </c>
      <c r="I641" s="201">
        <f t="shared" si="52"/>
        <v>0.19170000000000087</v>
      </c>
      <c r="J641" s="201">
        <f t="shared" si="54"/>
        <v>9.0999999999991366E-3</v>
      </c>
      <c r="K641" s="280">
        <f t="shared" si="55"/>
        <v>4.5318725099597295</v>
      </c>
      <c r="L641" s="201">
        <v>17</v>
      </c>
      <c r="M641" s="207">
        <v>43186.458333333336</v>
      </c>
      <c r="N641" s="207">
        <v>43186.625</v>
      </c>
      <c r="O641" s="197" t="s">
        <v>2550</v>
      </c>
      <c r="P641" s="201" t="s">
        <v>2597</v>
      </c>
      <c r="AB641" s="110" t="str">
        <f>IFERROR(INDEX('WetLitterbags placem_collection'!$A$3:$A$500,MATCH(A641,'WetLitterbags placem_collection'!$K$4:$K$500,0)),"")</f>
        <v/>
      </c>
      <c r="AC641" s="110" t="str">
        <f>IFERROR(INDEX('WetLitterbags placem_collection'!$A$3:$A$500,MATCH($A641,'WetLitterbags placem_collection'!$O$4:$O$500,0)),"")</f>
        <v/>
      </c>
      <c r="AD641" s="110" t="str">
        <f>IFERROR(INDEX('WetLitterbags placem_collection'!$A$3:$A$500,MATCH($A641,'WetLitterbags placem_collection'!$M$4:$M$500,0)),"")</f>
        <v/>
      </c>
      <c r="AE641" s="110">
        <f>IFERROR(INDEX('WetLitterbags placem_collection'!$A$3:$A$500,MATCH($A641,'WetLitterbags placem_collection'!$Q$4:$Q$500,0)),"")</f>
        <v>32</v>
      </c>
    </row>
    <row r="642" spans="1:31">
      <c r="A642" s="201" t="s">
        <v>685</v>
      </c>
      <c r="C642" s="201">
        <v>143</v>
      </c>
      <c r="D642" s="201">
        <v>1.3918999999999999</v>
      </c>
      <c r="E642" s="201">
        <v>7.8449999999999998</v>
      </c>
      <c r="F642" s="201">
        <v>0.2056</v>
      </c>
      <c r="G642" s="201">
        <f t="shared" si="53"/>
        <v>8.0505999999999993</v>
      </c>
      <c r="H642" s="201">
        <v>7.8487</v>
      </c>
      <c r="I642" s="201">
        <f t="shared" si="52"/>
        <v>0.2018999999999993</v>
      </c>
      <c r="J642" s="201">
        <f t="shared" si="54"/>
        <v>3.7000000000007027E-3</v>
      </c>
      <c r="K642" s="280">
        <f t="shared" si="55"/>
        <v>1.7996108949419758</v>
      </c>
      <c r="L642" s="201">
        <v>10</v>
      </c>
      <c r="M642" s="203">
        <v>43171.520833333336</v>
      </c>
      <c r="N642" s="203">
        <v>43171.6875</v>
      </c>
      <c r="O642" s="197" t="s">
        <v>2550</v>
      </c>
      <c r="P642" s="201"/>
      <c r="AB642" s="110" t="str">
        <f>IFERROR(INDEX('WetLitterbags placem_collection'!$A$3:$A$500,MATCH(A642,'WetLitterbags placem_collection'!$K$4:$K$500,0)),"")</f>
        <v/>
      </c>
      <c r="AC642" s="110" t="str">
        <f>IFERROR(INDEX('WetLitterbags placem_collection'!$A$3:$A$500,MATCH($A642,'WetLitterbags placem_collection'!$O$4:$O$500,0)),"")</f>
        <v/>
      </c>
      <c r="AD642" s="110">
        <f>IFERROR(INDEX('WetLitterbags placem_collection'!$A$3:$A$500,MATCH($A642,'WetLitterbags placem_collection'!$M$4:$M$500,0)),"")</f>
        <v>142</v>
      </c>
      <c r="AE642" s="110" t="str">
        <f>IFERROR(INDEX('WetLitterbags placem_collection'!$A$3:$A$500,MATCH($A642,'WetLitterbags placem_collection'!$Q$4:$Q$500,0)),"")</f>
        <v/>
      </c>
    </row>
    <row r="643" spans="1:31">
      <c r="A643" s="206" t="s">
        <v>684</v>
      </c>
      <c r="C643" s="201">
        <v>216</v>
      </c>
      <c r="D643" s="201">
        <v>1.3617999999999999</v>
      </c>
      <c r="E643" s="201">
        <v>9.5545000000000009</v>
      </c>
      <c r="F643" s="202">
        <v>0.2094</v>
      </c>
      <c r="G643" s="201">
        <f t="shared" si="53"/>
        <v>9.7639000000000014</v>
      </c>
      <c r="H643" s="201">
        <v>9.5614000000000008</v>
      </c>
      <c r="I643" s="201">
        <f t="shared" si="52"/>
        <v>0.20250000000000057</v>
      </c>
      <c r="J643" s="201">
        <f t="shared" si="54"/>
        <v>6.8999999999994344E-3</v>
      </c>
      <c r="K643" s="280">
        <f t="shared" si="55"/>
        <v>3.2951289398278099</v>
      </c>
      <c r="L643" s="201">
        <v>22</v>
      </c>
      <c r="M643" s="205">
        <v>43211</v>
      </c>
      <c r="P643" s="197" t="s">
        <v>2554</v>
      </c>
      <c r="AB643" s="110" t="str">
        <f>IFERROR(INDEX('WetLitterbags placem_collection'!$A$3:$A$500,MATCH(A643,'WetLitterbags placem_collection'!$K$4:$K$500,0)),"")</f>
        <v/>
      </c>
      <c r="AC643" s="110" t="str">
        <f>IFERROR(INDEX('WetLitterbags placem_collection'!$A$3:$A$500,MATCH($A643,'WetLitterbags placem_collection'!$O$4:$O$500,0)),"")</f>
        <v/>
      </c>
      <c r="AD643" s="110" t="str">
        <f>IFERROR(INDEX('WetLitterbags placem_collection'!$A$3:$A$500,MATCH($A643,'WetLitterbags placem_collection'!$M$4:$M$500,0)),"")</f>
        <v/>
      </c>
      <c r="AE643" s="110">
        <f>IFERROR(INDEX('WetLitterbags placem_collection'!$A$3:$A$500,MATCH($A643,'WetLitterbags placem_collection'!$Q$4:$Q$500,0)),"")</f>
        <v>215</v>
      </c>
    </row>
    <row r="644" spans="1:31">
      <c r="A644" s="202" t="s">
        <v>683</v>
      </c>
      <c r="C644" s="201">
        <v>175</v>
      </c>
      <c r="D644" s="201">
        <v>0.44899999999999984</v>
      </c>
      <c r="E644" s="201">
        <v>7.3536999999999999</v>
      </c>
      <c r="F644" s="201">
        <v>0.19980000000000001</v>
      </c>
      <c r="G644" s="201">
        <f t="shared" si="53"/>
        <v>7.5534999999999997</v>
      </c>
      <c r="H644" s="201">
        <v>7.4848999999999997</v>
      </c>
      <c r="I644" s="201">
        <f t="shared" si="52"/>
        <v>6.8599999999999994E-2</v>
      </c>
      <c r="J644" s="201">
        <f t="shared" si="54"/>
        <v>0.13120000000000001</v>
      </c>
      <c r="K644" s="280">
        <f t="shared" si="55"/>
        <v>65.665665665665671</v>
      </c>
      <c r="L644" s="201">
        <v>4</v>
      </c>
      <c r="M644" s="205">
        <v>43173</v>
      </c>
      <c r="N644" s="205">
        <v>43173</v>
      </c>
      <c r="O644" s="201" t="s">
        <v>2556</v>
      </c>
      <c r="P644" s="201" t="s">
        <v>2555</v>
      </c>
      <c r="AB644" s="110" t="str">
        <f>IFERROR(INDEX('WetLitterbags placem_collection'!$A$3:$A$500,MATCH(A644,'WetLitterbags placem_collection'!$K$4:$K$500,0)),"")</f>
        <v/>
      </c>
      <c r="AC644" s="110" t="str">
        <f>IFERROR(INDEX('WetLitterbags placem_collection'!$A$3:$A$500,MATCH($A644,'WetLitterbags placem_collection'!$O$4:$O$500,0)),"")</f>
        <v/>
      </c>
      <c r="AD644" s="110">
        <f>IFERROR(INDEX('WetLitterbags placem_collection'!$A$3:$A$500,MATCH($A644,'WetLitterbags placem_collection'!$M$4:$M$500,0)),"")</f>
        <v>174</v>
      </c>
      <c r="AE644" s="110" t="str">
        <f>IFERROR(INDEX('WetLitterbags placem_collection'!$A$3:$A$500,MATCH($A644,'WetLitterbags placem_collection'!$Q$4:$Q$500,0)),"")</f>
        <v/>
      </c>
    </row>
    <row r="645" spans="1:31">
      <c r="A645" s="206" t="s">
        <v>682</v>
      </c>
      <c r="C645" s="201">
        <v>116</v>
      </c>
      <c r="D645" s="202">
        <v>0.47</v>
      </c>
      <c r="E645" s="202">
        <v>8.7736999999999998</v>
      </c>
      <c r="F645" s="202">
        <v>0.2011</v>
      </c>
      <c r="G645" s="201">
        <f t="shared" si="53"/>
        <v>8.9748000000000001</v>
      </c>
      <c r="H645" s="201">
        <v>8.9442000000000004</v>
      </c>
      <c r="I645" s="201">
        <f t="shared" si="52"/>
        <v>3.0599999999999739E-2</v>
      </c>
      <c r="J645" s="201">
        <f t="shared" si="54"/>
        <v>0.17050000000000026</v>
      </c>
      <c r="K645" s="280">
        <f t="shared" si="55"/>
        <v>84.783689706613757</v>
      </c>
      <c r="L645" s="201">
        <v>14</v>
      </c>
      <c r="M645" s="203">
        <v>43181.645833333336</v>
      </c>
      <c r="N645" s="203">
        <v>43181.833333333336</v>
      </c>
      <c r="O645" s="201" t="s">
        <v>2556</v>
      </c>
      <c r="P645" s="201" t="s">
        <v>2573</v>
      </c>
      <c r="AB645" s="110" t="str">
        <f>IFERROR(INDEX('WetLitterbags placem_collection'!$A$3:$A$500,MATCH(A645,'WetLitterbags placem_collection'!$K$4:$K$500,0)),"")</f>
        <v/>
      </c>
      <c r="AC645" s="110" t="str">
        <f>IFERROR(INDEX('WetLitterbags placem_collection'!$A$3:$A$500,MATCH($A645,'WetLitterbags placem_collection'!$O$4:$O$500,0)),"")</f>
        <v/>
      </c>
      <c r="AD645" s="110">
        <f>IFERROR(INDEX('WetLitterbags placem_collection'!$A$3:$A$500,MATCH($A645,'WetLitterbags placem_collection'!$M$4:$M$500,0)),"")</f>
        <v>115</v>
      </c>
      <c r="AE645" s="110" t="str">
        <f>IFERROR(INDEX('WetLitterbags placem_collection'!$A$3:$A$500,MATCH($A645,'WetLitterbags placem_collection'!$Q$4:$Q$500,0)),"")</f>
        <v/>
      </c>
    </row>
    <row r="646" spans="1:31">
      <c r="A646" s="206" t="s">
        <v>680</v>
      </c>
      <c r="C646" s="201">
        <v>160</v>
      </c>
      <c r="D646" s="201">
        <v>1.5044999999999999</v>
      </c>
      <c r="E646" s="201">
        <v>7.3540000000000001</v>
      </c>
      <c r="F646" s="202">
        <v>0.2009</v>
      </c>
      <c r="G646" s="201">
        <f t="shared" si="53"/>
        <v>7.5548999999999999</v>
      </c>
      <c r="H646" s="201">
        <v>7.3624000000000001</v>
      </c>
      <c r="I646" s="201">
        <f t="shared" si="52"/>
        <v>0.19249999999999989</v>
      </c>
      <c r="J646" s="201">
        <f t="shared" si="54"/>
        <v>8.4000000000001018E-3</v>
      </c>
      <c r="K646" s="280">
        <f t="shared" si="55"/>
        <v>4.181184668989598</v>
      </c>
      <c r="L646" s="201">
        <v>15</v>
      </c>
      <c r="M646" s="205">
        <v>43211</v>
      </c>
      <c r="AB646" s="110" t="str">
        <f>IFERROR(INDEX('WetLitterbags placem_collection'!$A$3:$A$500,MATCH(A646,'WetLitterbags placem_collection'!$K$4:$K$500,0)),"")</f>
        <v/>
      </c>
      <c r="AC646" s="110" t="str">
        <f>IFERROR(INDEX('WetLitterbags placem_collection'!$A$3:$A$500,MATCH($A646,'WetLitterbags placem_collection'!$O$4:$O$500,0)),"")</f>
        <v/>
      </c>
      <c r="AD646" s="110" t="str">
        <f>IFERROR(INDEX('WetLitterbags placem_collection'!$A$3:$A$500,MATCH($A646,'WetLitterbags placem_collection'!$M$4:$M$500,0)),"")</f>
        <v/>
      </c>
      <c r="AE646" s="110">
        <f>IFERROR(INDEX('WetLitterbags placem_collection'!$A$3:$A$500,MATCH($A646,'WetLitterbags placem_collection'!$Q$4:$Q$500,0)),"")</f>
        <v>159</v>
      </c>
    </row>
    <row r="647" spans="1:31">
      <c r="A647" s="197" t="s">
        <v>679</v>
      </c>
      <c r="C647" s="198">
        <v>110</v>
      </c>
      <c r="D647" s="197">
        <v>1.347</v>
      </c>
      <c r="E647" s="202">
        <v>7.4805999999999999</v>
      </c>
      <c r="F647" s="202">
        <v>0.2064</v>
      </c>
      <c r="G647" s="201">
        <f t="shared" si="53"/>
        <v>7.6870000000000003</v>
      </c>
      <c r="H647" s="201">
        <v>7.4957000000000003</v>
      </c>
      <c r="I647" s="201">
        <f t="shared" si="52"/>
        <v>0.19130000000000003</v>
      </c>
      <c r="J647" s="201">
        <f t="shared" si="54"/>
        <v>1.5099999999999975E-2</v>
      </c>
      <c r="K647" s="280">
        <f t="shared" si="55"/>
        <v>7.3158914728682047</v>
      </c>
      <c r="L647" s="201">
        <v>32</v>
      </c>
      <c r="AB647" s="110" t="str">
        <f>IFERROR(INDEX('WetLitterbags placem_collection'!$A$3:$A$500,MATCH(A647,'WetLitterbags placem_collection'!$K$4:$K$500,0)),"")</f>
        <v/>
      </c>
      <c r="AC647" s="110" t="str">
        <f>IFERROR(INDEX('WetLitterbags placem_collection'!$A$3:$A$500,MATCH($A647,'WetLitterbags placem_collection'!$O$4:$O$500,0)),"")</f>
        <v/>
      </c>
      <c r="AD647" s="110">
        <f>IFERROR(INDEX('WetLitterbags placem_collection'!$A$3:$A$500,MATCH($A647,'WetLitterbags placem_collection'!$M$4:$M$500,0)),"")</f>
        <v>109</v>
      </c>
      <c r="AE647" s="110" t="str">
        <f>IFERROR(INDEX('WetLitterbags placem_collection'!$A$3:$A$500,MATCH($A647,'WetLitterbags placem_collection'!$Q$4:$Q$500,0)),"")</f>
        <v/>
      </c>
    </row>
    <row r="648" spans="1:31">
      <c r="A648" s="201" t="s">
        <v>678</v>
      </c>
      <c r="C648" s="201">
        <v>198</v>
      </c>
      <c r="D648" s="201">
        <v>1.319</v>
      </c>
      <c r="E648" s="201">
        <v>7.8014000000000001</v>
      </c>
      <c r="F648" s="201">
        <v>0.20369999999999999</v>
      </c>
      <c r="G648" s="201">
        <f t="shared" si="53"/>
        <v>8.0051000000000005</v>
      </c>
      <c r="H648" s="201">
        <v>7.8170999999999999</v>
      </c>
      <c r="I648" s="201">
        <f t="shared" si="52"/>
        <v>0.18800000000000061</v>
      </c>
      <c r="J648" s="201">
        <f t="shared" si="54"/>
        <v>1.5699999999999381E-2</v>
      </c>
      <c r="K648" s="280">
        <f t="shared" si="55"/>
        <v>7.7074128620517337</v>
      </c>
      <c r="L648" s="201">
        <v>22</v>
      </c>
      <c r="M648" s="203">
        <v>43164.628472222219</v>
      </c>
      <c r="N648" s="203">
        <v>43164.795138888891</v>
      </c>
      <c r="O648" s="197" t="s">
        <v>2550</v>
      </c>
      <c r="P648" s="201"/>
      <c r="AB648" s="110" t="str">
        <f>IFERROR(INDEX('WetLitterbags placem_collection'!$A$3:$A$500,MATCH(A648,'WetLitterbags placem_collection'!$K$4:$K$500,0)),"")</f>
        <v/>
      </c>
      <c r="AC648" s="110" t="str">
        <f>IFERROR(INDEX('WetLitterbags placem_collection'!$A$3:$A$500,MATCH($A648,'WetLitterbags placem_collection'!$O$4:$O$500,0)),"")</f>
        <v/>
      </c>
      <c r="AD648" s="110">
        <f>IFERROR(INDEX('WetLitterbags placem_collection'!$A$3:$A$500,MATCH($A648,'WetLitterbags placem_collection'!$M$4:$M$500,0)),"")</f>
        <v>197</v>
      </c>
      <c r="AE648" s="110" t="str">
        <f>IFERROR(INDEX('WetLitterbags placem_collection'!$A$3:$A$500,MATCH($A648,'WetLitterbags placem_collection'!$Q$4:$Q$500,0)),"")</f>
        <v/>
      </c>
    </row>
    <row r="649" spans="1:31">
      <c r="A649" s="206" t="s">
        <v>677</v>
      </c>
      <c r="C649" s="201">
        <v>156</v>
      </c>
      <c r="D649" s="201">
        <v>1.5392999999999999</v>
      </c>
      <c r="E649" s="201">
        <v>19.650400000000001</v>
      </c>
      <c r="F649" s="201">
        <v>0.2051</v>
      </c>
      <c r="G649" s="201">
        <f t="shared" si="53"/>
        <v>19.855500000000003</v>
      </c>
      <c r="H649" s="201">
        <v>19.668600000000001</v>
      </c>
      <c r="I649" s="201">
        <f t="shared" si="52"/>
        <v>0.1869000000000014</v>
      </c>
      <c r="J649" s="201">
        <f t="shared" si="54"/>
        <v>1.8199999999998606E-2</v>
      </c>
      <c r="K649" s="280">
        <f t="shared" si="55"/>
        <v>8.8737201365180916</v>
      </c>
      <c r="L649" s="201">
        <v>13</v>
      </c>
      <c r="M649" s="203">
        <v>43171.520833333336</v>
      </c>
      <c r="N649" s="203">
        <v>43171.6875</v>
      </c>
      <c r="O649" s="197" t="s">
        <v>2550</v>
      </c>
      <c r="P649" s="201"/>
      <c r="AB649" s="110" t="str">
        <f>IFERROR(INDEX('WetLitterbags placem_collection'!$A$3:$A$500,MATCH(A649,'WetLitterbags placem_collection'!$K$4:$K$500,0)),"")</f>
        <v/>
      </c>
      <c r="AC649" s="110" t="str">
        <f>IFERROR(INDEX('WetLitterbags placem_collection'!$A$3:$A$500,MATCH($A649,'WetLitterbags placem_collection'!$O$4:$O$500,0)),"")</f>
        <v/>
      </c>
      <c r="AD649" s="110" t="str">
        <f>IFERROR(INDEX('WetLitterbags placem_collection'!$A$3:$A$500,MATCH($A649,'WetLitterbags placem_collection'!$M$4:$M$500,0)),"")</f>
        <v/>
      </c>
      <c r="AE649" s="110">
        <f>IFERROR(INDEX('WetLitterbags placem_collection'!$A$3:$A$500,MATCH($A649,'WetLitterbags placem_collection'!$Q$4:$Q$500,0)),"")</f>
        <v>155</v>
      </c>
    </row>
    <row r="650" spans="1:31">
      <c r="A650" s="197" t="s">
        <v>676</v>
      </c>
      <c r="C650" s="197">
        <v>141</v>
      </c>
      <c r="D650" s="197">
        <v>1.4510000000000001</v>
      </c>
      <c r="E650" s="197">
        <v>11.263299999999999</v>
      </c>
      <c r="F650" s="197">
        <v>0.20349999999999999</v>
      </c>
      <c r="G650" s="197">
        <f t="shared" si="53"/>
        <v>11.466799999999999</v>
      </c>
      <c r="H650" s="197">
        <v>11.267899999999999</v>
      </c>
      <c r="I650" s="197">
        <f t="shared" si="52"/>
        <v>0.19890000000000008</v>
      </c>
      <c r="J650" s="201">
        <f t="shared" si="54"/>
        <v>4.5999999999999097E-3</v>
      </c>
      <c r="K650" s="280">
        <f t="shared" si="55"/>
        <v>2.2604422604422161</v>
      </c>
      <c r="L650" s="197">
        <v>9</v>
      </c>
      <c r="M650" s="197">
        <v>43157.527777777781</v>
      </c>
      <c r="N650" s="197">
        <v>43157.694444444445</v>
      </c>
      <c r="O650" s="197" t="s">
        <v>2556</v>
      </c>
      <c r="AB650" s="110" t="str">
        <f>IFERROR(INDEX('WetLitterbags placem_collection'!$A$3:$A$500,MATCH(A650,'WetLitterbags placem_collection'!$K$4:$K$500,0)),"")</f>
        <v/>
      </c>
      <c r="AC650" s="110" t="str">
        <f>IFERROR(INDEX('WetLitterbags placem_collection'!$A$3:$A$500,MATCH($A650,'WetLitterbags placem_collection'!$O$4:$O$500,0)),"")</f>
        <v/>
      </c>
      <c r="AD650" s="110" t="str">
        <f>IFERROR(INDEX('WetLitterbags placem_collection'!$A$3:$A$500,MATCH($A650,'WetLitterbags placem_collection'!$M$4:$M$500,0)),"")</f>
        <v/>
      </c>
      <c r="AE650" s="110">
        <f>IFERROR(INDEX('WetLitterbags placem_collection'!$A$3:$A$500,MATCH($A650,'WetLitterbags placem_collection'!$Q$4:$Q$500,0)),"")</f>
        <v>140</v>
      </c>
    </row>
    <row r="651" spans="1:31">
      <c r="A651" s="201" t="s">
        <v>675</v>
      </c>
      <c r="C651" s="201">
        <v>123</v>
      </c>
      <c r="D651" s="201">
        <v>1.3335999999999999</v>
      </c>
      <c r="E651" s="202">
        <v>11.054</v>
      </c>
      <c r="F651" s="202">
        <v>0.20019999999999999</v>
      </c>
      <c r="G651" s="201">
        <f t="shared" si="53"/>
        <v>11.254200000000001</v>
      </c>
      <c r="H651" s="201">
        <v>11.0619</v>
      </c>
      <c r="I651" s="201">
        <f t="shared" si="52"/>
        <v>0.19230000000000125</v>
      </c>
      <c r="J651" s="201">
        <f t="shared" si="54"/>
        <v>7.8999999999987414E-3</v>
      </c>
      <c r="K651" s="280">
        <f t="shared" si="55"/>
        <v>3.9460539460533175</v>
      </c>
      <c r="L651" s="201">
        <v>13</v>
      </c>
      <c r="M651" s="205">
        <v>43199</v>
      </c>
      <c r="N651" s="205">
        <v>43199</v>
      </c>
      <c r="O651" s="201"/>
      <c r="P651" s="201"/>
      <c r="AB651" s="110" t="str">
        <f>IFERROR(INDEX('WetLitterbags placem_collection'!$A$3:$A$500,MATCH(A651,'WetLitterbags placem_collection'!$K$4:$K$500,0)),"")</f>
        <v/>
      </c>
      <c r="AC651" s="110" t="str">
        <f>IFERROR(INDEX('WetLitterbags placem_collection'!$A$3:$A$500,MATCH($A651,'WetLitterbags placem_collection'!$O$4:$O$500,0)),"")</f>
        <v/>
      </c>
      <c r="AD651" s="110" t="str">
        <f>IFERROR(INDEX('WetLitterbags placem_collection'!$A$3:$A$500,MATCH($A651,'WetLitterbags placem_collection'!$M$4:$M$500,0)),"")</f>
        <v/>
      </c>
      <c r="AE651" s="110">
        <f>IFERROR(INDEX('WetLitterbags placem_collection'!$A$3:$A$500,MATCH($A651,'WetLitterbags placem_collection'!$Q$4:$Q$500,0)),"")</f>
        <v>122</v>
      </c>
    </row>
    <row r="652" spans="1:31">
      <c r="A652" s="206" t="s">
        <v>674</v>
      </c>
      <c r="C652" s="201">
        <v>134</v>
      </c>
      <c r="D652" s="201">
        <v>1.3554999999999999</v>
      </c>
      <c r="E652" s="202">
        <v>9.3423999999999996</v>
      </c>
      <c r="F652" s="202">
        <v>0.20219999999999999</v>
      </c>
      <c r="G652" s="201">
        <f t="shared" si="53"/>
        <v>9.5445999999999991</v>
      </c>
      <c r="H652" s="201">
        <v>9.3493999999999993</v>
      </c>
      <c r="I652" s="201">
        <f t="shared" si="52"/>
        <v>0.19519999999999982</v>
      </c>
      <c r="J652" s="201">
        <f t="shared" si="54"/>
        <v>7.0000000000001728E-3</v>
      </c>
      <c r="K652" s="280">
        <f t="shared" si="55"/>
        <v>3.4619188921860404</v>
      </c>
      <c r="L652" s="201">
        <v>9</v>
      </c>
      <c r="M652" s="205">
        <v>43197</v>
      </c>
      <c r="N652" s="205">
        <v>43197</v>
      </c>
      <c r="O652" s="201"/>
      <c r="P652" s="201"/>
      <c r="AB652" s="110" t="str">
        <f>IFERROR(INDEX('WetLitterbags placem_collection'!$A$3:$A$500,MATCH(A652,'WetLitterbags placem_collection'!$K$4:$K$500,0)),"")</f>
        <v/>
      </c>
      <c r="AC652" s="110" t="str">
        <f>IFERROR(INDEX('WetLitterbags placem_collection'!$A$3:$A$500,MATCH($A652,'WetLitterbags placem_collection'!$O$4:$O$500,0)),"")</f>
        <v/>
      </c>
      <c r="AD652" s="110" t="str">
        <f>IFERROR(INDEX('WetLitterbags placem_collection'!$A$3:$A$500,MATCH($A652,'WetLitterbags placem_collection'!$M$4:$M$500,0)),"")</f>
        <v/>
      </c>
      <c r="AE652" s="110">
        <f>IFERROR(INDEX('WetLitterbags placem_collection'!$A$3:$A$500,MATCH($A652,'WetLitterbags placem_collection'!$Q$4:$Q$500,0)),"")</f>
        <v>133</v>
      </c>
    </row>
    <row r="653" spans="1:31">
      <c r="A653" s="201" t="s">
        <v>673</v>
      </c>
      <c r="C653" s="201">
        <v>146</v>
      </c>
      <c r="D653" s="197">
        <v>1.4504999999999999</v>
      </c>
      <c r="E653" s="201">
        <v>8.8605999999999998</v>
      </c>
      <c r="F653" s="202">
        <v>0.19750000000000001</v>
      </c>
      <c r="G653" s="201">
        <f t="shared" si="53"/>
        <v>9.0580999999999996</v>
      </c>
      <c r="H653" s="201">
        <v>8.8713999999999995</v>
      </c>
      <c r="I653" s="201">
        <f t="shared" si="52"/>
        <v>0.18670000000000009</v>
      </c>
      <c r="J653" s="201">
        <f t="shared" si="54"/>
        <v>1.0799999999999921E-2</v>
      </c>
      <c r="K653" s="280">
        <f t="shared" si="55"/>
        <v>5.4683544303797067</v>
      </c>
      <c r="L653" s="201">
        <v>1</v>
      </c>
      <c r="M653" s="205">
        <v>43211</v>
      </c>
      <c r="N653" s="201"/>
      <c r="O653" s="201"/>
      <c r="P653" s="201"/>
      <c r="AB653" s="110" t="str">
        <f>IFERROR(INDEX('WetLitterbags placem_collection'!$A$3:$A$500,MATCH(A653,'WetLitterbags placem_collection'!$K$4:$K$500,0)),"")</f>
        <v/>
      </c>
      <c r="AC653" s="110" t="str">
        <f>IFERROR(INDEX('WetLitterbags placem_collection'!$A$3:$A$500,MATCH($A653,'WetLitterbags placem_collection'!$O$4:$O$500,0)),"")</f>
        <v/>
      </c>
      <c r="AD653" s="110" t="str">
        <f>IFERROR(INDEX('WetLitterbags placem_collection'!$A$3:$A$500,MATCH($A653,'WetLitterbags placem_collection'!$M$4:$M$500,0)),"")</f>
        <v/>
      </c>
      <c r="AE653" s="110">
        <f>IFERROR(INDEX('WetLitterbags placem_collection'!$A$3:$A$500,MATCH($A653,'WetLitterbags placem_collection'!$Q$4:$Q$500,0)),"")</f>
        <v>145</v>
      </c>
    </row>
    <row r="654" spans="1:31">
      <c r="A654" s="197" t="s">
        <v>672</v>
      </c>
      <c r="C654" s="197">
        <v>45</v>
      </c>
      <c r="D654" s="197">
        <v>1.3515999999999999</v>
      </c>
      <c r="E654" s="197">
        <v>8.7325999999999997</v>
      </c>
      <c r="F654" s="197">
        <v>0.20710000000000001</v>
      </c>
      <c r="G654" s="197">
        <f t="shared" si="53"/>
        <v>8.9397000000000002</v>
      </c>
      <c r="H654" s="197">
        <v>8.7399000000000004</v>
      </c>
      <c r="I654" s="197">
        <f t="shared" si="52"/>
        <v>0.19979999999999976</v>
      </c>
      <c r="J654" s="201">
        <f t="shared" si="54"/>
        <v>7.3000000000002507E-3</v>
      </c>
      <c r="K654" s="280">
        <f t="shared" si="55"/>
        <v>3.5248672139064463</v>
      </c>
      <c r="L654" s="197">
        <v>16</v>
      </c>
      <c r="M654" s="197" t="s">
        <v>2586</v>
      </c>
      <c r="N654" s="197" t="s">
        <v>2585</v>
      </c>
      <c r="O654" s="197" t="s">
        <v>2550</v>
      </c>
      <c r="AB654" s="110" t="str">
        <f>IFERROR(INDEX('WetLitterbags placem_collection'!$A$3:$A$500,MATCH(A654,'WetLitterbags placem_collection'!$K$4:$K$500,0)),"")</f>
        <v/>
      </c>
      <c r="AC654" s="110" t="str">
        <f>IFERROR(INDEX('WetLitterbags placem_collection'!$A$3:$A$500,MATCH($A654,'WetLitterbags placem_collection'!$O$4:$O$500,0)),"")</f>
        <v/>
      </c>
      <c r="AD654" s="110">
        <f>IFERROR(INDEX('WetLitterbags placem_collection'!$A$3:$A$500,MATCH($A654,'WetLitterbags placem_collection'!$M$4:$M$500,0)),"")</f>
        <v>44</v>
      </c>
      <c r="AE654" s="110" t="str">
        <f>IFERROR(INDEX('WetLitterbags placem_collection'!$A$3:$A$500,MATCH($A654,'WetLitterbags placem_collection'!$Q$4:$Q$500,0)),"")</f>
        <v/>
      </c>
    </row>
    <row r="655" spans="1:31">
      <c r="A655" s="201" t="s">
        <v>671</v>
      </c>
      <c r="C655" s="201">
        <v>177</v>
      </c>
      <c r="D655" s="201">
        <v>1.419</v>
      </c>
      <c r="E655" s="201">
        <v>11.8626</v>
      </c>
      <c r="F655" s="202">
        <v>0.20669999999999999</v>
      </c>
      <c r="G655" s="201">
        <f t="shared" si="53"/>
        <v>12.0693</v>
      </c>
      <c r="H655" s="201">
        <v>11.8675</v>
      </c>
      <c r="I655" s="201">
        <f t="shared" si="52"/>
        <v>0.20180000000000042</v>
      </c>
      <c r="J655" s="201">
        <f t="shared" si="54"/>
        <v>4.8999999999995714E-3</v>
      </c>
      <c r="K655" s="280">
        <f t="shared" si="55"/>
        <v>2.3705853894531068</v>
      </c>
      <c r="L655" s="201">
        <v>36</v>
      </c>
      <c r="M655" s="205">
        <v>43187</v>
      </c>
      <c r="N655" s="205">
        <v>43187</v>
      </c>
      <c r="O655" s="201"/>
      <c r="P655" s="201"/>
      <c r="AB655" s="110" t="str">
        <f>IFERROR(INDEX('WetLitterbags placem_collection'!$A$3:$A$500,MATCH(A655,'WetLitterbags placem_collection'!$K$4:$K$500,0)),"")</f>
        <v/>
      </c>
      <c r="AC655" s="110" t="str">
        <f>IFERROR(INDEX('WetLitterbags placem_collection'!$A$3:$A$500,MATCH($A655,'WetLitterbags placem_collection'!$O$4:$O$500,0)),"")</f>
        <v/>
      </c>
      <c r="AD655" s="110" t="str">
        <f>IFERROR(INDEX('WetLitterbags placem_collection'!$A$3:$A$500,MATCH($A655,'WetLitterbags placem_collection'!$M$4:$M$500,0)),"")</f>
        <v/>
      </c>
      <c r="AE655" s="110">
        <f>IFERROR(INDEX('WetLitterbags placem_collection'!$A$3:$A$500,MATCH($A655,'WetLitterbags placem_collection'!$Q$4:$Q$500,0)),"")</f>
        <v>176</v>
      </c>
    </row>
    <row r="656" spans="1:31">
      <c r="A656" s="206" t="s">
        <v>670</v>
      </c>
      <c r="C656" s="201">
        <v>124</v>
      </c>
      <c r="D656" s="201">
        <v>1.2547999999999999</v>
      </c>
      <c r="E656" s="202">
        <v>9.9168000000000003</v>
      </c>
      <c r="F656" s="202">
        <v>0.20200000000000001</v>
      </c>
      <c r="G656" s="201">
        <f t="shared" si="53"/>
        <v>10.1188</v>
      </c>
      <c r="H656" s="201">
        <v>9.9244000000000003</v>
      </c>
      <c r="I656" s="201">
        <f t="shared" ref="I656:I687" si="56">(G656-H656)</f>
        <v>0.19439999999999991</v>
      </c>
      <c r="J656" s="201">
        <f t="shared" si="54"/>
        <v>7.6000000000001067E-3</v>
      </c>
      <c r="K656" s="280">
        <f t="shared" si="55"/>
        <v>3.762376237623815</v>
      </c>
      <c r="L656" s="201">
        <v>6</v>
      </c>
      <c r="M656" s="207">
        <v>43185.385416666664</v>
      </c>
      <c r="N656" s="201"/>
      <c r="O656" s="201" t="s">
        <v>2556</v>
      </c>
      <c r="P656" s="201"/>
      <c r="AB656" s="110" t="str">
        <f>IFERROR(INDEX('WetLitterbags placem_collection'!$A$3:$A$500,MATCH(A656,'WetLitterbags placem_collection'!$K$4:$K$500,0)),"")</f>
        <v/>
      </c>
      <c r="AC656" s="110" t="str">
        <f>IFERROR(INDEX('WetLitterbags placem_collection'!$A$3:$A$500,MATCH($A656,'WetLitterbags placem_collection'!$O$4:$O$500,0)),"")</f>
        <v/>
      </c>
      <c r="AD656" s="110" t="str">
        <f>IFERROR(INDEX('WetLitterbags placem_collection'!$A$3:$A$500,MATCH($A656,'WetLitterbags placem_collection'!$M$4:$M$500,0)),"")</f>
        <v/>
      </c>
      <c r="AE656" s="110">
        <f>IFERROR(INDEX('WetLitterbags placem_collection'!$A$3:$A$500,MATCH($A656,'WetLitterbags placem_collection'!$Q$4:$Q$500,0)),"")</f>
        <v>123</v>
      </c>
    </row>
    <row r="657" spans="1:31">
      <c r="A657" s="197" t="s">
        <v>667</v>
      </c>
      <c r="C657" s="197">
        <v>136</v>
      </c>
      <c r="D657" s="197">
        <v>1.3257000000000001</v>
      </c>
      <c r="E657" s="197">
        <v>8.7744</v>
      </c>
      <c r="F657" s="197">
        <v>0.2024</v>
      </c>
      <c r="G657" s="197">
        <f t="shared" si="53"/>
        <v>8.9768000000000008</v>
      </c>
      <c r="H657" s="197">
        <v>8.7845999999999993</v>
      </c>
      <c r="I657" s="197">
        <f t="shared" si="56"/>
        <v>0.19220000000000148</v>
      </c>
      <c r="J657" s="201">
        <f t="shared" si="54"/>
        <v>1.0199999999998516E-2</v>
      </c>
      <c r="K657" s="280">
        <f t="shared" si="55"/>
        <v>5.0395256916988718</v>
      </c>
      <c r="L657" s="197">
        <v>4</v>
      </c>
      <c r="M657" s="197">
        <v>43157.527777777781</v>
      </c>
      <c r="N657" s="197">
        <v>43157.694444444445</v>
      </c>
      <c r="O657" s="197" t="s">
        <v>2556</v>
      </c>
      <c r="AB657" s="110" t="str">
        <f>IFERROR(INDEX('WetLitterbags placem_collection'!$A$3:$A$500,MATCH(A657,'WetLitterbags placem_collection'!$K$4:$K$500,0)),"")</f>
        <v/>
      </c>
      <c r="AC657" s="110" t="str">
        <f>IFERROR(INDEX('WetLitterbags placem_collection'!$A$3:$A$500,MATCH($A657,'WetLitterbags placem_collection'!$O$4:$O$500,0)),"")</f>
        <v/>
      </c>
      <c r="AD657" s="110">
        <f>IFERROR(INDEX('WetLitterbags placem_collection'!$A$3:$A$500,MATCH($A657,'WetLitterbags placem_collection'!$M$4:$M$500,0)),"")</f>
        <v>135</v>
      </c>
      <c r="AE657" s="110" t="str">
        <f>IFERROR(INDEX('WetLitterbags placem_collection'!$A$3:$A$500,MATCH($A657,'WetLitterbags placem_collection'!$Q$4:$Q$500,0)),"")</f>
        <v/>
      </c>
    </row>
    <row r="658" spans="1:31">
      <c r="A658" s="201" t="s">
        <v>666</v>
      </c>
      <c r="C658" s="201">
        <v>104</v>
      </c>
      <c r="D658" s="201">
        <f>1.0694+F658</f>
        <v>1.2726999999999999</v>
      </c>
      <c r="E658" s="202">
        <v>8.7025000000000006</v>
      </c>
      <c r="F658" s="202">
        <v>0.20330000000000001</v>
      </c>
      <c r="G658" s="201">
        <f t="shared" si="53"/>
        <v>8.905800000000001</v>
      </c>
      <c r="H658" s="201">
        <v>8.7212999999999994</v>
      </c>
      <c r="I658" s="201">
        <f t="shared" si="56"/>
        <v>0.18450000000000166</v>
      </c>
      <c r="J658" s="201">
        <f t="shared" si="54"/>
        <v>1.8799999999998346E-2</v>
      </c>
      <c r="K658" s="280">
        <f t="shared" si="55"/>
        <v>9.2474176094433584</v>
      </c>
      <c r="L658" s="201">
        <v>29</v>
      </c>
      <c r="M658" s="205">
        <v>43174</v>
      </c>
      <c r="N658" s="205">
        <v>43174</v>
      </c>
      <c r="O658" s="201" t="s">
        <v>2556</v>
      </c>
      <c r="P658" s="201" t="s">
        <v>2551</v>
      </c>
      <c r="AB658" s="110" t="str">
        <f>IFERROR(INDEX('WetLitterbags placem_collection'!$A$3:$A$500,MATCH(A658,'WetLitterbags placem_collection'!$K$4:$K$500,0)),"")</f>
        <v/>
      </c>
      <c r="AC658" s="110" t="str">
        <f>IFERROR(INDEX('WetLitterbags placem_collection'!$A$3:$A$500,MATCH($A658,'WetLitterbags placem_collection'!$O$4:$O$500,0)),"")</f>
        <v/>
      </c>
      <c r="AD658" s="110" t="str">
        <f>IFERROR(INDEX('WetLitterbags placem_collection'!$A$3:$A$500,MATCH($A658,'WetLitterbags placem_collection'!$M$4:$M$500,0)),"")</f>
        <v/>
      </c>
      <c r="AE658" s="110">
        <f>IFERROR(INDEX('WetLitterbags placem_collection'!$A$3:$A$500,MATCH($A658,'WetLitterbags placem_collection'!$Q$4:$Q$500,0)),"")</f>
        <v>103</v>
      </c>
    </row>
    <row r="659" spans="1:31">
      <c r="A659" s="206" t="s">
        <v>664</v>
      </c>
      <c r="C659" s="201">
        <v>132</v>
      </c>
      <c r="D659" s="201">
        <v>1.3210999999999999</v>
      </c>
      <c r="E659" s="201">
        <v>7.3539000000000003</v>
      </c>
      <c r="F659" s="201">
        <v>0.20399999999999999</v>
      </c>
      <c r="G659" s="201">
        <f t="shared" si="53"/>
        <v>7.5579000000000001</v>
      </c>
      <c r="H659" s="201">
        <v>7.3631000000000002</v>
      </c>
      <c r="I659" s="201">
        <f t="shared" si="56"/>
        <v>0.19479999999999986</v>
      </c>
      <c r="J659" s="201">
        <f t="shared" si="54"/>
        <v>9.2000000000001247E-3</v>
      </c>
      <c r="K659" s="280">
        <f t="shared" si="55"/>
        <v>4.5098039215686896</v>
      </c>
      <c r="L659" s="201">
        <v>13</v>
      </c>
      <c r="M659" s="205">
        <v>43188</v>
      </c>
      <c r="N659" s="205">
        <v>43188</v>
      </c>
      <c r="O659" s="201"/>
      <c r="P659" s="201"/>
      <c r="AB659" s="110" t="str">
        <f>IFERROR(INDEX('WetLitterbags placem_collection'!$A$3:$A$500,MATCH(A659,'WetLitterbags placem_collection'!$K$4:$K$500,0)),"")</f>
        <v/>
      </c>
      <c r="AC659" s="110" t="str">
        <f>IFERROR(INDEX('WetLitterbags placem_collection'!$A$3:$A$500,MATCH($A659,'WetLitterbags placem_collection'!$O$4:$O$500,0)),"")</f>
        <v/>
      </c>
      <c r="AD659" s="110" t="str">
        <f>IFERROR(INDEX('WetLitterbags placem_collection'!$A$3:$A$500,MATCH($A659,'WetLitterbags placem_collection'!$M$4:$M$500,0)),"")</f>
        <v/>
      </c>
      <c r="AE659" s="110">
        <f>IFERROR(INDEX('WetLitterbags placem_collection'!$A$3:$A$500,MATCH($A659,'WetLitterbags placem_collection'!$Q$4:$Q$500,0)),"")</f>
        <v>131</v>
      </c>
    </row>
    <row r="660" spans="1:31">
      <c r="A660" s="197" t="s">
        <v>662</v>
      </c>
      <c r="C660" s="198">
        <v>153</v>
      </c>
      <c r="D660" s="197">
        <v>1.0609</v>
      </c>
      <c r="E660" s="197">
        <v>11.171900000000001</v>
      </c>
      <c r="F660" s="197">
        <v>0.20050000000000001</v>
      </c>
      <c r="G660" s="201">
        <f t="shared" si="53"/>
        <v>11.372400000000001</v>
      </c>
      <c r="H660" s="201">
        <v>11.3263</v>
      </c>
      <c r="I660" s="201">
        <f t="shared" si="56"/>
        <v>4.6100000000000918E-2</v>
      </c>
      <c r="J660" s="201">
        <f t="shared" si="54"/>
        <v>0.15439999999999909</v>
      </c>
      <c r="K660" s="280">
        <f t="shared" si="55"/>
        <v>77.007481296757646</v>
      </c>
      <c r="L660" s="201">
        <v>21</v>
      </c>
      <c r="P660" s="197" t="s">
        <v>2565</v>
      </c>
      <c r="AB660" s="110" t="str">
        <f>IFERROR(INDEX('WetLitterbags placem_collection'!$A$3:$A$500,MATCH(A660,'WetLitterbags placem_collection'!$K$4:$K$500,0)),"")</f>
        <v/>
      </c>
      <c r="AC660" s="110" t="str">
        <f>IFERROR(INDEX('WetLitterbags placem_collection'!$A$3:$A$500,MATCH($A660,'WetLitterbags placem_collection'!$O$4:$O$500,0)),"")</f>
        <v/>
      </c>
      <c r="AD660" s="110">
        <f>IFERROR(INDEX('WetLitterbags placem_collection'!$A$3:$A$500,MATCH($A660,'WetLitterbags placem_collection'!$M$4:$M$500,0)),"")</f>
        <v>152</v>
      </c>
      <c r="AE660" s="110" t="str">
        <f>IFERROR(INDEX('WetLitterbags placem_collection'!$A$3:$A$500,MATCH($A660,'WetLitterbags placem_collection'!$Q$4:$Q$500,0)),"")</f>
        <v/>
      </c>
    </row>
    <row r="661" spans="1:31">
      <c r="A661" s="197" t="s">
        <v>1093</v>
      </c>
      <c r="C661" s="197">
        <v>58</v>
      </c>
      <c r="D661" s="197">
        <v>0.42230000000000001</v>
      </c>
      <c r="E661" s="197">
        <v>7.8784999999999998</v>
      </c>
      <c r="F661" s="197">
        <v>0.1961</v>
      </c>
      <c r="G661" s="197">
        <f t="shared" si="53"/>
        <v>8.0746000000000002</v>
      </c>
      <c r="H661" s="197">
        <v>7.9294000000000002</v>
      </c>
      <c r="I661" s="197">
        <f t="shared" si="56"/>
        <v>0.1452</v>
      </c>
      <c r="J661" s="201">
        <f t="shared" si="54"/>
        <v>5.0900000000000001E-2</v>
      </c>
      <c r="K661" s="280">
        <f t="shared" si="55"/>
        <v>25.956144824069355</v>
      </c>
      <c r="L661" s="197">
        <v>36</v>
      </c>
      <c r="M661" s="197" t="s">
        <v>2586</v>
      </c>
      <c r="N661" s="197" t="s">
        <v>2585</v>
      </c>
      <c r="O661" s="197" t="s">
        <v>2550</v>
      </c>
      <c r="U661" s="202" t="s">
        <v>1417</v>
      </c>
      <c r="V661" s="197">
        <v>1.024</v>
      </c>
      <c r="W661" s="197">
        <f>(V661-$T$175+F659)</f>
        <v>1.228</v>
      </c>
      <c r="AB661" s="110" t="str">
        <f>IFERROR(INDEX('WetLitterbags placem_collection'!$A$3:$A$500,MATCH(A661,'WetLitterbags placem_collection'!$K$4:$K$500,0)),"")</f>
        <v/>
      </c>
      <c r="AC661" s="110" t="str">
        <f>IFERROR(INDEX('WetLitterbags placem_collection'!$A$3:$A$500,MATCH($A661,'WetLitterbags placem_collection'!$O$4:$O$500,0)),"")</f>
        <v/>
      </c>
      <c r="AD661" s="110">
        <f>IFERROR(INDEX('WetLitterbags placem_collection'!$A$3:$A$500,MATCH($A661,'WetLitterbags placem_collection'!$M$4:$M$500,0)),"")</f>
        <v>57</v>
      </c>
      <c r="AE661" s="110" t="str">
        <f>IFERROR(INDEX('WetLitterbags placem_collection'!$A$3:$A$500,MATCH($A661,'WetLitterbags placem_collection'!$Q$4:$Q$500,0)),"")</f>
        <v/>
      </c>
    </row>
    <row r="662" spans="1:31">
      <c r="A662" s="206" t="s">
        <v>661</v>
      </c>
      <c r="C662" s="201">
        <v>116</v>
      </c>
      <c r="D662" s="206">
        <v>1.2506999999999999</v>
      </c>
      <c r="E662" s="202">
        <v>7.7732000000000001</v>
      </c>
      <c r="F662" s="202">
        <v>0.20030000000000001</v>
      </c>
      <c r="G662" s="201">
        <f t="shared" si="53"/>
        <v>7.9735000000000005</v>
      </c>
      <c r="H662" s="201">
        <v>7.7914000000000003</v>
      </c>
      <c r="I662" s="201">
        <f t="shared" si="56"/>
        <v>0.18210000000000015</v>
      </c>
      <c r="J662" s="201">
        <f t="shared" si="54"/>
        <v>1.8199999999999855E-2</v>
      </c>
      <c r="K662" s="280">
        <f t="shared" si="55"/>
        <v>9.0863704443334274</v>
      </c>
      <c r="L662" s="201">
        <v>13</v>
      </c>
      <c r="M662" s="203">
        <v>43181.645833333336</v>
      </c>
      <c r="N662" s="203">
        <v>43181.833333333336</v>
      </c>
      <c r="O662" s="201" t="s">
        <v>2556</v>
      </c>
      <c r="P662" s="201"/>
      <c r="AB662" s="110" t="str">
        <f>IFERROR(INDEX('WetLitterbags placem_collection'!$A$3:$A$500,MATCH(A662,'WetLitterbags placem_collection'!$K$4:$K$500,0)),"")</f>
        <v/>
      </c>
      <c r="AC662" s="110" t="str">
        <f>IFERROR(INDEX('WetLitterbags placem_collection'!$A$3:$A$500,MATCH($A662,'WetLitterbags placem_collection'!$O$4:$O$500,0)),"")</f>
        <v/>
      </c>
      <c r="AD662" s="110" t="str">
        <f>IFERROR(INDEX('WetLitterbags placem_collection'!$A$3:$A$500,MATCH($A662,'WetLitterbags placem_collection'!$M$4:$M$500,0)),"")</f>
        <v/>
      </c>
      <c r="AE662" s="110">
        <f>IFERROR(INDEX('WetLitterbags placem_collection'!$A$3:$A$500,MATCH($A662,'WetLitterbags placem_collection'!$Q$4:$Q$500,0)),"")</f>
        <v>115</v>
      </c>
    </row>
    <row r="663" spans="1:31">
      <c r="A663" s="202" t="s">
        <v>660</v>
      </c>
      <c r="C663" s="201">
        <v>175</v>
      </c>
      <c r="D663" s="201">
        <v>1.4577</v>
      </c>
      <c r="E663" s="201">
        <v>8.7330000000000005</v>
      </c>
      <c r="F663" s="201">
        <v>0.20499999999999999</v>
      </c>
      <c r="G663" s="201">
        <f t="shared" si="53"/>
        <v>8.9380000000000006</v>
      </c>
      <c r="H663" s="201">
        <v>8.7789000000000001</v>
      </c>
      <c r="I663" s="201">
        <f t="shared" si="56"/>
        <v>0.15910000000000046</v>
      </c>
      <c r="J663" s="201">
        <f t="shared" si="54"/>
        <v>4.5899999999999525E-2</v>
      </c>
      <c r="K663" s="280">
        <f t="shared" si="55"/>
        <v>22.390243902438794</v>
      </c>
      <c r="L663" s="201">
        <v>2</v>
      </c>
      <c r="M663" s="205">
        <v>43173</v>
      </c>
      <c r="N663" s="205">
        <v>43173</v>
      </c>
      <c r="O663" s="201" t="s">
        <v>2556</v>
      </c>
      <c r="P663" s="201"/>
      <c r="AB663" s="110" t="str">
        <f>IFERROR(INDEX('WetLitterbags placem_collection'!$A$3:$A$500,MATCH(A663,'WetLitterbags placem_collection'!$K$4:$K$500,0)),"")</f>
        <v/>
      </c>
      <c r="AC663" s="110" t="str">
        <f>IFERROR(INDEX('WetLitterbags placem_collection'!$A$3:$A$500,MATCH($A663,'WetLitterbags placem_collection'!$O$4:$O$500,0)),"")</f>
        <v/>
      </c>
      <c r="AD663" s="110" t="str">
        <f>IFERROR(INDEX('WetLitterbags placem_collection'!$A$3:$A$500,MATCH($A663,'WetLitterbags placem_collection'!$M$4:$M$500,0)),"")</f>
        <v/>
      </c>
      <c r="AE663" s="110">
        <f>IFERROR(INDEX('WetLitterbags placem_collection'!$A$3:$A$500,MATCH($A663,'WetLitterbags placem_collection'!$Q$4:$Q$500,0)),"")</f>
        <v>174</v>
      </c>
    </row>
    <row r="664" spans="1:31">
      <c r="A664" s="197" t="s">
        <v>659</v>
      </c>
      <c r="C664" s="198">
        <v>101</v>
      </c>
      <c r="D664" s="197">
        <v>1.4098999999999999</v>
      </c>
      <c r="E664" s="202">
        <v>11.0875</v>
      </c>
      <c r="F664" s="202">
        <v>0.20599999999999999</v>
      </c>
      <c r="G664" s="201">
        <f t="shared" si="53"/>
        <v>11.2935</v>
      </c>
      <c r="H664" s="201">
        <v>11.106</v>
      </c>
      <c r="I664" s="201">
        <f t="shared" si="56"/>
        <v>0.1875</v>
      </c>
      <c r="J664" s="201">
        <f t="shared" si="54"/>
        <v>1.8499999999999989E-2</v>
      </c>
      <c r="K664" s="280">
        <f t="shared" si="55"/>
        <v>8.9805825242718385</v>
      </c>
      <c r="L664" s="201">
        <v>30</v>
      </c>
      <c r="M664" s="204">
        <v>43221</v>
      </c>
      <c r="N664" s="204">
        <v>43221</v>
      </c>
      <c r="AB664" s="110" t="str">
        <f>IFERROR(INDEX('WetLitterbags placem_collection'!$A$3:$A$500,MATCH(A664,'WetLitterbags placem_collection'!$K$4:$K$500,0)),"")</f>
        <v/>
      </c>
      <c r="AC664" s="110" t="str">
        <f>IFERROR(INDEX('WetLitterbags placem_collection'!$A$3:$A$500,MATCH($A664,'WetLitterbags placem_collection'!$O$4:$O$500,0)),"")</f>
        <v/>
      </c>
      <c r="AD664" s="110">
        <f>IFERROR(INDEX('WetLitterbags placem_collection'!$A$3:$A$500,MATCH($A664,'WetLitterbags placem_collection'!$M$4:$M$500,0)),"")</f>
        <v>100</v>
      </c>
      <c r="AE664" s="110" t="str">
        <f>IFERROR(INDEX('WetLitterbags placem_collection'!$A$3:$A$500,MATCH($A664,'WetLitterbags placem_collection'!$Q$4:$Q$500,0)),"")</f>
        <v/>
      </c>
    </row>
    <row r="665" spans="1:31">
      <c r="A665" s="201" t="s">
        <v>658</v>
      </c>
      <c r="C665" s="201">
        <v>137</v>
      </c>
      <c r="D665" s="202">
        <v>1.4925999999999999</v>
      </c>
      <c r="E665" s="201">
        <v>7.9610000000000003</v>
      </c>
      <c r="F665" s="202">
        <v>0.2049</v>
      </c>
      <c r="G665" s="201">
        <f t="shared" si="53"/>
        <v>8.1659000000000006</v>
      </c>
      <c r="H665" s="201">
        <v>7.9843000000000002</v>
      </c>
      <c r="I665" s="201">
        <f t="shared" si="56"/>
        <v>0.18160000000000043</v>
      </c>
      <c r="J665" s="201">
        <f t="shared" si="54"/>
        <v>2.3299999999999571E-2</v>
      </c>
      <c r="K665" s="280">
        <f t="shared" si="55"/>
        <v>11.371400683259917</v>
      </c>
      <c r="L665" s="201">
        <v>25</v>
      </c>
      <c r="M665" s="205">
        <v>43206</v>
      </c>
      <c r="N665" s="205">
        <v>43206</v>
      </c>
      <c r="O665" s="201"/>
      <c r="P665" s="201"/>
      <c r="AB665" s="110" t="str">
        <f>IFERROR(INDEX('WetLitterbags placem_collection'!$A$3:$A$500,MATCH(A665,'WetLitterbags placem_collection'!$K$4:$K$500,0)),"")</f>
        <v/>
      </c>
      <c r="AC665" s="110" t="str">
        <f>IFERROR(INDEX('WetLitterbags placem_collection'!$A$3:$A$500,MATCH($A665,'WetLitterbags placem_collection'!$O$4:$O$500,0)),"")</f>
        <v/>
      </c>
      <c r="AD665" s="110" t="str">
        <f>IFERROR(INDEX('WetLitterbags placem_collection'!$A$3:$A$500,MATCH($A665,'WetLitterbags placem_collection'!$M$4:$M$500,0)),"")</f>
        <v/>
      </c>
      <c r="AE665" s="110">
        <f>IFERROR(INDEX('WetLitterbags placem_collection'!$A$3:$A$500,MATCH($A665,'WetLitterbags placem_collection'!$Q$4:$Q$500,0)),"")</f>
        <v>136</v>
      </c>
    </row>
    <row r="666" spans="1:31">
      <c r="A666" s="201" t="s">
        <v>657</v>
      </c>
      <c r="C666" s="201">
        <v>155</v>
      </c>
      <c r="D666" s="202">
        <v>1.4883</v>
      </c>
      <c r="E666" s="201">
        <v>11.0893</v>
      </c>
      <c r="F666" s="202">
        <v>0.2026</v>
      </c>
      <c r="G666" s="201">
        <f t="shared" si="53"/>
        <v>11.2919</v>
      </c>
      <c r="H666" s="201">
        <v>11.1092</v>
      </c>
      <c r="I666" s="201">
        <f t="shared" si="56"/>
        <v>0.18270000000000053</v>
      </c>
      <c r="J666" s="201">
        <f t="shared" si="54"/>
        <v>1.9899999999999474E-2</v>
      </c>
      <c r="K666" s="280">
        <f t="shared" si="55"/>
        <v>9.822309970384735</v>
      </c>
      <c r="L666" s="201">
        <v>22</v>
      </c>
      <c r="M666" s="205">
        <v>43206</v>
      </c>
      <c r="N666" s="205">
        <v>43206</v>
      </c>
      <c r="O666" s="201"/>
      <c r="P666" s="201"/>
      <c r="AB666" s="110" t="str">
        <f>IFERROR(INDEX('WetLitterbags placem_collection'!$A$3:$A$500,MATCH(A666,'WetLitterbags placem_collection'!$K$4:$K$500,0)),"")</f>
        <v/>
      </c>
      <c r="AC666" s="110" t="str">
        <f>IFERROR(INDEX('WetLitterbags placem_collection'!$A$3:$A$500,MATCH($A666,'WetLitterbags placem_collection'!$O$4:$O$500,0)),"")</f>
        <v/>
      </c>
      <c r="AD666" s="110">
        <f>IFERROR(INDEX('WetLitterbags placem_collection'!$A$3:$A$500,MATCH($A666,'WetLitterbags placem_collection'!$M$4:$M$500,0)),"")</f>
        <v>154</v>
      </c>
      <c r="AE666" s="110" t="str">
        <f>IFERROR(INDEX('WetLitterbags placem_collection'!$A$3:$A$500,MATCH($A666,'WetLitterbags placem_collection'!$Q$4:$Q$500,0)),"")</f>
        <v/>
      </c>
    </row>
    <row r="667" spans="1:31">
      <c r="A667" s="206" t="s">
        <v>656</v>
      </c>
      <c r="C667" s="201">
        <v>154</v>
      </c>
      <c r="D667" s="201">
        <v>1.516</v>
      </c>
      <c r="E667" s="202">
        <v>7.0930999999999997</v>
      </c>
      <c r="F667" s="202">
        <v>0.20630000000000001</v>
      </c>
      <c r="G667" s="201">
        <f t="shared" si="53"/>
        <v>7.2993999999999994</v>
      </c>
      <c r="H667" s="201">
        <v>7.1177000000000001</v>
      </c>
      <c r="I667" s="201">
        <f t="shared" si="56"/>
        <v>0.18169999999999931</v>
      </c>
      <c r="J667" s="201">
        <f t="shared" si="54"/>
        <v>2.4600000000000705E-2</v>
      </c>
      <c r="K667" s="280">
        <f t="shared" si="55"/>
        <v>11.924381968008097</v>
      </c>
      <c r="L667" s="201">
        <v>24</v>
      </c>
      <c r="M667" s="207">
        <v>43186.458333333336</v>
      </c>
      <c r="N667" s="207">
        <v>43186.625</v>
      </c>
      <c r="O667" s="197" t="s">
        <v>2550</v>
      </c>
      <c r="P667" s="201"/>
      <c r="AB667" s="110" t="str">
        <f>IFERROR(INDEX('WetLitterbags placem_collection'!$A$3:$A$500,MATCH(A667,'WetLitterbags placem_collection'!$K$4:$K$500,0)),"")</f>
        <v/>
      </c>
      <c r="AC667" s="110" t="str">
        <f>IFERROR(INDEX('WetLitterbags placem_collection'!$A$3:$A$500,MATCH($A667,'WetLitterbags placem_collection'!$O$4:$O$500,0)),"")</f>
        <v/>
      </c>
      <c r="AD667" s="110" t="str">
        <f>IFERROR(INDEX('WetLitterbags placem_collection'!$A$3:$A$500,MATCH($A667,'WetLitterbags placem_collection'!$M$4:$M$500,0)),"")</f>
        <v/>
      </c>
      <c r="AE667" s="110">
        <f>IFERROR(INDEX('WetLitterbags placem_collection'!$A$3:$A$500,MATCH($A667,'WetLitterbags placem_collection'!$Q$4:$Q$500,0)),"")</f>
        <v>153</v>
      </c>
    </row>
    <row r="668" spans="1:31">
      <c r="A668" s="201" t="s">
        <v>655</v>
      </c>
      <c r="C668" s="201">
        <v>125</v>
      </c>
      <c r="D668" s="201">
        <v>1.1584000000000001</v>
      </c>
      <c r="E668" s="202">
        <v>8.7596000000000007</v>
      </c>
      <c r="F668" s="202">
        <v>0.2006</v>
      </c>
      <c r="G668" s="201">
        <f t="shared" si="53"/>
        <v>8.9602000000000004</v>
      </c>
      <c r="H668" s="201">
        <v>8.7681000000000004</v>
      </c>
      <c r="I668" s="201">
        <f t="shared" si="56"/>
        <v>0.19209999999999994</v>
      </c>
      <c r="J668" s="201">
        <f t="shared" si="54"/>
        <v>8.5000000000000631E-3</v>
      </c>
      <c r="K668" s="280">
        <f t="shared" si="55"/>
        <v>4.2372881355932517</v>
      </c>
      <c r="L668" s="201">
        <v>13</v>
      </c>
      <c r="M668" s="205">
        <v>43197</v>
      </c>
      <c r="N668" s="205">
        <v>43197</v>
      </c>
      <c r="O668" s="201"/>
      <c r="P668" s="201"/>
      <c r="AB668" s="110" t="str">
        <f>IFERROR(INDEX('WetLitterbags placem_collection'!$A$3:$A$500,MATCH(A668,'WetLitterbags placem_collection'!$K$4:$K$500,0)),"")</f>
        <v/>
      </c>
      <c r="AC668" s="110" t="str">
        <f>IFERROR(INDEX('WetLitterbags placem_collection'!$A$3:$A$500,MATCH($A668,'WetLitterbags placem_collection'!$O$4:$O$500,0)),"")</f>
        <v/>
      </c>
      <c r="AD668" s="110" t="str">
        <f>IFERROR(INDEX('WetLitterbags placem_collection'!$A$3:$A$500,MATCH($A668,'WetLitterbags placem_collection'!$M$4:$M$500,0)),"")</f>
        <v/>
      </c>
      <c r="AE668" s="110">
        <f>IFERROR(INDEX('WetLitterbags placem_collection'!$A$3:$A$500,MATCH($A668,'WetLitterbags placem_collection'!$Q$4:$Q$500,0)),"")</f>
        <v>124</v>
      </c>
    </row>
    <row r="669" spans="1:31">
      <c r="A669" s="201" t="s">
        <v>654</v>
      </c>
      <c r="C669" s="201">
        <v>111</v>
      </c>
      <c r="D669" s="197">
        <v>1.3611</v>
      </c>
      <c r="E669" s="202">
        <v>7.9935999999999998</v>
      </c>
      <c r="F669" s="202">
        <v>0.20330000000000001</v>
      </c>
      <c r="G669" s="201">
        <f t="shared" si="53"/>
        <v>8.1968999999999994</v>
      </c>
      <c r="H669" s="201">
        <v>8.0063999999999993</v>
      </c>
      <c r="I669" s="201">
        <f t="shared" si="56"/>
        <v>0.19050000000000011</v>
      </c>
      <c r="J669" s="201">
        <f t="shared" si="54"/>
        <v>1.2799999999999895E-2</v>
      </c>
      <c r="K669" s="280">
        <f t="shared" si="55"/>
        <v>6.2961141170683206</v>
      </c>
      <c r="L669" s="201">
        <v>44</v>
      </c>
      <c r="M669" s="207">
        <v>43186.458333333336</v>
      </c>
      <c r="N669" s="207">
        <v>43186.625</v>
      </c>
      <c r="O669" s="197" t="s">
        <v>2550</v>
      </c>
      <c r="P669" s="201"/>
      <c r="AB669" s="110" t="str">
        <f>IFERROR(INDEX('WetLitterbags placem_collection'!$A$3:$A$500,MATCH(A669,'WetLitterbags placem_collection'!$K$4:$K$500,0)),"")</f>
        <v/>
      </c>
      <c r="AC669" s="110" t="str">
        <f>IFERROR(INDEX('WetLitterbags placem_collection'!$A$3:$A$500,MATCH($A669,'WetLitterbags placem_collection'!$O$4:$O$500,0)),"")</f>
        <v/>
      </c>
      <c r="AD669" s="110" t="str">
        <f>IFERROR(INDEX('WetLitterbags placem_collection'!$A$3:$A$500,MATCH($A669,'WetLitterbags placem_collection'!$M$4:$M$500,0)),"")</f>
        <v/>
      </c>
      <c r="AE669" s="110">
        <f>IFERROR(INDEX('WetLitterbags placem_collection'!$A$3:$A$500,MATCH($A669,'WetLitterbags placem_collection'!$Q$4:$Q$500,0)),"")</f>
        <v>110</v>
      </c>
    </row>
    <row r="670" spans="1:31">
      <c r="A670" s="201" t="s">
        <v>653</v>
      </c>
      <c r="C670" s="201">
        <v>178</v>
      </c>
      <c r="D670" s="197">
        <v>1.4132</v>
      </c>
      <c r="E670" s="197">
        <v>7.9055999999999997</v>
      </c>
      <c r="F670" s="197">
        <v>0.2019</v>
      </c>
      <c r="G670" s="197">
        <f t="shared" si="53"/>
        <v>8.1074999999999999</v>
      </c>
      <c r="H670" s="197">
        <v>7.9097999999999997</v>
      </c>
      <c r="I670" s="197">
        <f t="shared" si="56"/>
        <v>0.19770000000000021</v>
      </c>
      <c r="J670" s="201">
        <f t="shared" si="54"/>
        <v>4.1999999999997872E-3</v>
      </c>
      <c r="K670" s="280">
        <f t="shared" si="55"/>
        <v>2.0802377414560613</v>
      </c>
      <c r="L670" s="197">
        <v>14</v>
      </c>
      <c r="M670" s="207">
        <v>43160.520833333336</v>
      </c>
      <c r="N670" s="207">
        <v>43160.6875</v>
      </c>
      <c r="O670" s="197" t="s">
        <v>2550</v>
      </c>
      <c r="AB670" s="110" t="str">
        <f>IFERROR(INDEX('WetLitterbags placem_collection'!$A$3:$A$500,MATCH(A670,'WetLitterbags placem_collection'!$K$4:$K$500,0)),"")</f>
        <v/>
      </c>
      <c r="AC670" s="110" t="str">
        <f>IFERROR(INDEX('WetLitterbags placem_collection'!$A$3:$A$500,MATCH($A670,'WetLitterbags placem_collection'!$O$4:$O$500,0)),"")</f>
        <v/>
      </c>
      <c r="AD670" s="110" t="str">
        <f>IFERROR(INDEX('WetLitterbags placem_collection'!$A$3:$A$500,MATCH($A670,'WetLitterbags placem_collection'!$M$4:$M$500,0)),"")</f>
        <v/>
      </c>
      <c r="AE670" s="110">
        <f>IFERROR(INDEX('WetLitterbags placem_collection'!$A$3:$A$500,MATCH($A670,'WetLitterbags placem_collection'!$Q$4:$Q$500,0)),"")</f>
        <v>177</v>
      </c>
    </row>
    <row r="671" spans="1:31">
      <c r="A671" s="206" t="s">
        <v>652</v>
      </c>
      <c r="C671" s="201">
        <v>98</v>
      </c>
      <c r="D671" s="201">
        <v>1.3002</v>
      </c>
      <c r="E671" s="202">
        <v>10.500999999999999</v>
      </c>
      <c r="F671" s="202">
        <v>0.2019</v>
      </c>
      <c r="G671" s="201">
        <f t="shared" si="53"/>
        <v>10.7029</v>
      </c>
      <c r="H671" s="201">
        <v>10.5266</v>
      </c>
      <c r="I671" s="201">
        <f t="shared" si="56"/>
        <v>0.17629999999999946</v>
      </c>
      <c r="J671" s="201">
        <f t="shared" si="54"/>
        <v>2.5600000000000539E-2</v>
      </c>
      <c r="K671" s="280">
        <f t="shared" si="55"/>
        <v>12.679544328875947</v>
      </c>
      <c r="L671" s="201">
        <v>23</v>
      </c>
      <c r="M671" s="207">
        <v>43185.385416666664</v>
      </c>
      <c r="N671" s="201"/>
      <c r="O671" s="201" t="s">
        <v>2556</v>
      </c>
      <c r="P671" s="201"/>
      <c r="AB671" s="110" t="str">
        <f>IFERROR(INDEX('WetLitterbags placem_collection'!$A$3:$A$500,MATCH(A671,'WetLitterbags placem_collection'!$K$4:$K$500,0)),"")</f>
        <v/>
      </c>
      <c r="AC671" s="110" t="str">
        <f>IFERROR(INDEX('WetLitterbags placem_collection'!$A$3:$A$500,MATCH($A671,'WetLitterbags placem_collection'!$O$4:$O$500,0)),"")</f>
        <v/>
      </c>
      <c r="AD671" s="110">
        <f>IFERROR(INDEX('WetLitterbags placem_collection'!$A$3:$A$500,MATCH($A671,'WetLitterbags placem_collection'!$M$4:$M$500,0)),"")</f>
        <v>97</v>
      </c>
      <c r="AE671" s="110" t="str">
        <f>IFERROR(INDEX('WetLitterbags placem_collection'!$A$3:$A$500,MATCH($A671,'WetLitterbags placem_collection'!$Q$4:$Q$500,0)),"")</f>
        <v/>
      </c>
    </row>
    <row r="672" spans="1:31">
      <c r="A672" s="206" t="s">
        <v>1092</v>
      </c>
      <c r="C672" s="201">
        <v>84</v>
      </c>
      <c r="D672" s="201">
        <v>1.3726</v>
      </c>
      <c r="E672" s="202">
        <v>8.8621999999999996</v>
      </c>
      <c r="F672" s="202">
        <v>0.2051</v>
      </c>
      <c r="G672" s="201">
        <f t="shared" si="53"/>
        <v>9.0672999999999995</v>
      </c>
      <c r="H672" s="201">
        <v>8.8803000000000001</v>
      </c>
      <c r="I672" s="201">
        <f t="shared" si="56"/>
        <v>0.18699999999999939</v>
      </c>
      <c r="J672" s="201">
        <f t="shared" si="54"/>
        <v>1.8100000000000616E-2</v>
      </c>
      <c r="K672" s="280">
        <f t="shared" si="55"/>
        <v>8.8249634324722646</v>
      </c>
      <c r="L672" s="201">
        <v>4</v>
      </c>
      <c r="M672" s="207">
        <v>43186.458333333336</v>
      </c>
      <c r="N672" s="207">
        <v>43186.625</v>
      </c>
      <c r="O672" s="197" t="s">
        <v>2550</v>
      </c>
      <c r="P672" s="201"/>
      <c r="AB672" s="110" t="str">
        <f>IFERROR(INDEX('WetLitterbags placem_collection'!$A$3:$A$500,MATCH(A672,'WetLitterbags placem_collection'!$K$4:$K$500,0)),"")</f>
        <v/>
      </c>
      <c r="AC672" s="110" t="str">
        <f>IFERROR(INDEX('WetLitterbags placem_collection'!$A$3:$A$500,MATCH($A672,'WetLitterbags placem_collection'!$O$4:$O$500,0)),"")</f>
        <v/>
      </c>
      <c r="AD672" s="110">
        <f>IFERROR(INDEX('WetLitterbags placem_collection'!$A$3:$A$500,MATCH($A672,'WetLitterbags placem_collection'!$M$4:$M$500,0)),"")</f>
        <v>83</v>
      </c>
      <c r="AE672" s="110" t="str">
        <f>IFERROR(INDEX('WetLitterbags placem_collection'!$A$3:$A$500,MATCH($A672,'WetLitterbags placem_collection'!$Q$4:$Q$500,0)),"")</f>
        <v/>
      </c>
    </row>
    <row r="673" spans="1:31">
      <c r="A673" s="202" t="s">
        <v>651</v>
      </c>
      <c r="C673" s="201">
        <v>176</v>
      </c>
      <c r="D673" s="201">
        <v>1.4691999999999998</v>
      </c>
      <c r="E673" s="201">
        <v>8.9580000000000002</v>
      </c>
      <c r="F673" s="201">
        <v>0.20050000000000001</v>
      </c>
      <c r="G673" s="201">
        <f t="shared" si="53"/>
        <v>9.1585000000000001</v>
      </c>
      <c r="H673" s="201">
        <v>8.9633000000000003</v>
      </c>
      <c r="I673" s="201">
        <f t="shared" si="56"/>
        <v>0.19519999999999982</v>
      </c>
      <c r="J673" s="201">
        <f t="shared" si="54"/>
        <v>5.3000000000001934E-3</v>
      </c>
      <c r="K673" s="280">
        <f t="shared" si="55"/>
        <v>2.6433915211971035</v>
      </c>
      <c r="L673" s="201">
        <v>17</v>
      </c>
      <c r="M673" s="205">
        <v>43173</v>
      </c>
      <c r="N673" s="205">
        <v>43173</v>
      </c>
      <c r="O673" s="201" t="s">
        <v>2556</v>
      </c>
      <c r="P673" s="201" t="s">
        <v>2555</v>
      </c>
      <c r="AB673" s="110" t="str">
        <f>IFERROR(INDEX('WetLitterbags placem_collection'!$A$3:$A$500,MATCH(A673,'WetLitterbags placem_collection'!$K$4:$K$500,0)),"")</f>
        <v/>
      </c>
      <c r="AC673" s="110" t="str">
        <f>IFERROR(INDEX('WetLitterbags placem_collection'!$A$3:$A$500,MATCH($A673,'WetLitterbags placem_collection'!$O$4:$O$500,0)),"")</f>
        <v/>
      </c>
      <c r="AD673" s="110" t="str">
        <f>IFERROR(INDEX('WetLitterbags placem_collection'!$A$3:$A$500,MATCH($A673,'WetLitterbags placem_collection'!$M$4:$M$500,0)),"")</f>
        <v/>
      </c>
      <c r="AE673" s="110">
        <f>IFERROR(INDEX('WetLitterbags placem_collection'!$A$3:$A$500,MATCH($A673,'WetLitterbags placem_collection'!$Q$4:$Q$500,0)),"")</f>
        <v>175</v>
      </c>
    </row>
    <row r="674" spans="1:31">
      <c r="A674" s="197" t="s">
        <v>649</v>
      </c>
      <c r="C674" s="197">
        <v>146</v>
      </c>
      <c r="D674" s="197">
        <v>1.4488000000000001</v>
      </c>
      <c r="E674" s="197">
        <v>9.3224</v>
      </c>
      <c r="F674" s="197">
        <v>0.2069</v>
      </c>
      <c r="G674" s="197">
        <f t="shared" si="53"/>
        <v>9.5292999999999992</v>
      </c>
      <c r="H674" s="197">
        <v>9.3308</v>
      </c>
      <c r="I674" s="197">
        <f t="shared" si="56"/>
        <v>0.19849999999999923</v>
      </c>
      <c r="J674" s="201">
        <f t="shared" si="54"/>
        <v>8.400000000000768E-3</v>
      </c>
      <c r="K674" s="280">
        <f t="shared" si="55"/>
        <v>4.0599323344614637</v>
      </c>
      <c r="L674" s="197">
        <v>13</v>
      </c>
      <c r="M674" s="197">
        <v>43157.527777777781</v>
      </c>
      <c r="N674" s="197">
        <v>43157.694444444445</v>
      </c>
      <c r="O674" s="197" t="s">
        <v>2556</v>
      </c>
      <c r="AB674" s="110" t="str">
        <f>IFERROR(INDEX('WetLitterbags placem_collection'!$A$3:$A$500,MATCH(A674,'WetLitterbags placem_collection'!$K$4:$K$500,0)),"")</f>
        <v/>
      </c>
      <c r="AC674" s="110" t="str">
        <f>IFERROR(INDEX('WetLitterbags placem_collection'!$A$3:$A$500,MATCH($A674,'WetLitterbags placem_collection'!$O$4:$O$500,0)),"")</f>
        <v/>
      </c>
      <c r="AD674" s="110">
        <f>IFERROR(INDEX('WetLitterbags placem_collection'!$A$3:$A$500,MATCH($A674,'WetLitterbags placem_collection'!$M$4:$M$500,0)),"")</f>
        <v>145</v>
      </c>
      <c r="AE674" s="110" t="str">
        <f>IFERROR(INDEX('WetLitterbags placem_collection'!$A$3:$A$500,MATCH($A674,'WetLitterbags placem_collection'!$Q$4:$Q$500,0)),"")</f>
        <v/>
      </c>
    </row>
    <row r="675" spans="1:31">
      <c r="A675" s="201" t="s">
        <v>647</v>
      </c>
      <c r="C675" s="201">
        <v>103</v>
      </c>
      <c r="D675" s="202">
        <v>1.4354</v>
      </c>
      <c r="E675" s="201">
        <v>7.7148000000000003</v>
      </c>
      <c r="F675" s="202">
        <v>0.2031</v>
      </c>
      <c r="G675" s="201">
        <f t="shared" si="53"/>
        <v>7.9179000000000004</v>
      </c>
      <c r="H675" s="201">
        <v>7.7256</v>
      </c>
      <c r="I675" s="201">
        <f t="shared" si="56"/>
        <v>0.19230000000000036</v>
      </c>
      <c r="J675" s="201">
        <f t="shared" si="54"/>
        <v>1.0799999999999643E-2</v>
      </c>
      <c r="K675" s="280">
        <f t="shared" si="55"/>
        <v>5.3175775480057332</v>
      </c>
      <c r="L675" s="201">
        <v>25</v>
      </c>
      <c r="M675" s="201"/>
      <c r="N675" s="201"/>
      <c r="O675" s="201"/>
      <c r="P675" s="201"/>
      <c r="AB675" s="110" t="str">
        <f>IFERROR(INDEX('WetLitterbags placem_collection'!$A$3:$A$500,MATCH(A675,'WetLitterbags placem_collection'!$K$4:$K$500,0)),"")</f>
        <v/>
      </c>
      <c r="AC675" s="110" t="str">
        <f>IFERROR(INDEX('WetLitterbags placem_collection'!$A$3:$A$500,MATCH($A675,'WetLitterbags placem_collection'!$O$4:$O$500,0)),"")</f>
        <v/>
      </c>
      <c r="AD675" s="110" t="str">
        <f>IFERROR(INDEX('WetLitterbags placem_collection'!$A$3:$A$500,MATCH($A675,'WetLitterbags placem_collection'!$M$4:$M$500,0)),"")</f>
        <v/>
      </c>
      <c r="AE675" s="110">
        <f>IFERROR(INDEX('WetLitterbags placem_collection'!$A$3:$A$500,MATCH($A675,'WetLitterbags placem_collection'!$Q$4:$Q$500,0)),"")</f>
        <v>102</v>
      </c>
    </row>
    <row r="676" spans="1:31">
      <c r="A676" s="206" t="s">
        <v>646</v>
      </c>
      <c r="C676" s="201">
        <v>118</v>
      </c>
      <c r="D676" s="202">
        <v>1.0033000000000001</v>
      </c>
      <c r="E676" s="202">
        <v>9.0030999999999999</v>
      </c>
      <c r="F676" s="202">
        <v>0.20230000000000001</v>
      </c>
      <c r="G676" s="201">
        <f t="shared" si="53"/>
        <v>9.2053999999999991</v>
      </c>
      <c r="H676" s="201">
        <v>9.1862999999999992</v>
      </c>
      <c r="I676" s="201">
        <f t="shared" si="56"/>
        <v>1.9099999999999895E-2</v>
      </c>
      <c r="J676" s="201">
        <f t="shared" si="54"/>
        <v>0.18320000000000011</v>
      </c>
      <c r="K676" s="280">
        <f t="shared" si="55"/>
        <v>90.558576371725209</v>
      </c>
      <c r="L676" s="201">
        <v>18</v>
      </c>
      <c r="M676" s="201"/>
      <c r="N676" s="201"/>
      <c r="O676" s="201"/>
      <c r="P676" s="201"/>
      <c r="AB676" s="110" t="str">
        <f>IFERROR(INDEX('WetLitterbags placem_collection'!$A$3:$A$500,MATCH(A676,'WetLitterbags placem_collection'!$K$4:$K$500,0)),"")</f>
        <v/>
      </c>
      <c r="AC676" s="110" t="str">
        <f>IFERROR(INDEX('WetLitterbags placem_collection'!$A$3:$A$500,MATCH($A676,'WetLitterbags placem_collection'!$O$4:$O$500,0)),"")</f>
        <v/>
      </c>
      <c r="AD676" s="110">
        <f>IFERROR(INDEX('WetLitterbags placem_collection'!$A$3:$A$500,MATCH($A676,'WetLitterbags placem_collection'!$M$4:$M$500,0)),"")</f>
        <v>117</v>
      </c>
      <c r="AE676" s="110" t="str">
        <f>IFERROR(INDEX('WetLitterbags placem_collection'!$A$3:$A$500,MATCH($A676,'WetLitterbags placem_collection'!$Q$4:$Q$500,0)),"")</f>
        <v/>
      </c>
    </row>
    <row r="677" spans="1:31">
      <c r="A677" s="197" t="s">
        <v>645</v>
      </c>
      <c r="C677" s="197">
        <v>99</v>
      </c>
      <c r="D677" s="197">
        <v>1.2661</v>
      </c>
      <c r="E677" s="197">
        <v>20.849900000000002</v>
      </c>
      <c r="F677" s="197">
        <v>0.2036</v>
      </c>
      <c r="G677" s="197">
        <f t="shared" si="53"/>
        <v>21.053500000000003</v>
      </c>
      <c r="H677" s="197">
        <v>20.864799999999999</v>
      </c>
      <c r="I677" s="197">
        <f t="shared" si="56"/>
        <v>0.18870000000000431</v>
      </c>
      <c r="J677" s="201">
        <f t="shared" si="54"/>
        <v>1.4899999999995694E-2</v>
      </c>
      <c r="K677" s="280">
        <f t="shared" si="55"/>
        <v>7.3182711198407153</v>
      </c>
      <c r="L677" s="197">
        <v>2</v>
      </c>
      <c r="M677" s="197" t="s">
        <v>2576</v>
      </c>
      <c r="N677" s="197">
        <v>43153.729166666664</v>
      </c>
      <c r="O677" s="197" t="s">
        <v>2550</v>
      </c>
      <c r="P677" s="197" t="s">
        <v>2574</v>
      </c>
      <c r="AB677" s="110" t="str">
        <f>IFERROR(INDEX('WetLitterbags placem_collection'!$A$3:$A$500,MATCH(A677,'WetLitterbags placem_collection'!$K$4:$K$500,0)),"")</f>
        <v/>
      </c>
      <c r="AC677" s="110" t="str">
        <f>IFERROR(INDEX('WetLitterbags placem_collection'!$A$3:$A$500,MATCH($A677,'WetLitterbags placem_collection'!$O$4:$O$500,0)),"")</f>
        <v/>
      </c>
      <c r="AD677" s="110" t="str">
        <f>IFERROR(INDEX('WetLitterbags placem_collection'!$A$3:$A$500,MATCH($A677,'WetLitterbags placem_collection'!$M$4:$M$500,0)),"")</f>
        <v/>
      </c>
      <c r="AE677" s="110">
        <f>IFERROR(INDEX('WetLitterbags placem_collection'!$A$3:$A$500,MATCH($A677,'WetLitterbags placem_collection'!$Q$4:$Q$500,0)),"")</f>
        <v>98</v>
      </c>
    </row>
    <row r="678" spans="1:31">
      <c r="A678" s="206" t="s">
        <v>644</v>
      </c>
      <c r="C678" s="201">
        <v>100</v>
      </c>
      <c r="D678" s="201">
        <v>1.3843000000000001</v>
      </c>
      <c r="E678" s="201">
        <v>10.5207</v>
      </c>
      <c r="F678" s="201">
        <v>0.20019999999999999</v>
      </c>
      <c r="G678" s="201">
        <f t="shared" si="53"/>
        <v>10.7209</v>
      </c>
      <c r="H678" s="201">
        <v>10.535399999999999</v>
      </c>
      <c r="I678" s="201">
        <f t="shared" si="56"/>
        <v>0.18550000000000111</v>
      </c>
      <c r="J678" s="201">
        <f t="shared" si="54"/>
        <v>1.4699999999998881E-2</v>
      </c>
      <c r="K678" s="280">
        <f t="shared" si="55"/>
        <v>7.3426573426567847</v>
      </c>
      <c r="L678" s="201">
        <v>17</v>
      </c>
      <c r="M678" s="205">
        <v>43188</v>
      </c>
      <c r="N678" s="205">
        <v>43188</v>
      </c>
      <c r="O678" s="201"/>
      <c r="P678" s="201" t="s">
        <v>2571</v>
      </c>
      <c r="AB678" s="110" t="str">
        <f>IFERROR(INDEX('WetLitterbags placem_collection'!$A$3:$A$500,MATCH(A678,'WetLitterbags placem_collection'!$K$4:$K$500,0)),"")</f>
        <v/>
      </c>
      <c r="AC678" s="110" t="str">
        <f>IFERROR(INDEX('WetLitterbags placem_collection'!$A$3:$A$500,MATCH($A678,'WetLitterbags placem_collection'!$O$4:$O$500,0)),"")</f>
        <v/>
      </c>
      <c r="AD678" s="110" t="str">
        <f>IFERROR(INDEX('WetLitterbags placem_collection'!$A$3:$A$500,MATCH($A678,'WetLitterbags placem_collection'!$M$4:$M$500,0)),"")</f>
        <v/>
      </c>
      <c r="AE678" s="110">
        <f>IFERROR(INDEX('WetLitterbags placem_collection'!$A$3:$A$500,MATCH($A678,'WetLitterbags placem_collection'!$Q$4:$Q$500,0)),"")</f>
        <v>99</v>
      </c>
    </row>
    <row r="679" spans="1:31">
      <c r="A679" s="197" t="s">
        <v>1091</v>
      </c>
      <c r="C679" s="197">
        <v>20</v>
      </c>
      <c r="D679" s="197">
        <v>1.2549999999999999</v>
      </c>
      <c r="E679" s="197">
        <v>7.8014000000000001</v>
      </c>
      <c r="F679" s="197">
        <v>0.19969999999999999</v>
      </c>
      <c r="G679" s="197">
        <f t="shared" si="53"/>
        <v>8.001100000000001</v>
      </c>
      <c r="H679" s="197">
        <v>7.8182</v>
      </c>
      <c r="I679" s="197">
        <f t="shared" si="56"/>
        <v>0.18290000000000095</v>
      </c>
      <c r="J679" s="201">
        <f t="shared" si="54"/>
        <v>1.6799999999999038E-2</v>
      </c>
      <c r="K679" s="280">
        <f t="shared" si="55"/>
        <v>8.4126189283921065</v>
      </c>
      <c r="L679" s="197">
        <v>5</v>
      </c>
      <c r="M679" s="197" t="s">
        <v>2586</v>
      </c>
      <c r="N679" s="197" t="s">
        <v>2585</v>
      </c>
      <c r="O679" s="197" t="s">
        <v>2550</v>
      </c>
      <c r="AB679" s="110" t="str">
        <f>IFERROR(INDEX('WetLitterbags placem_collection'!$A$3:$A$500,MATCH(A679,'WetLitterbags placem_collection'!$K$4:$K$500,0)),"")</f>
        <v/>
      </c>
      <c r="AC679" s="110" t="str">
        <f>IFERROR(INDEX('WetLitterbags placem_collection'!$A$3:$A$500,MATCH($A679,'WetLitterbags placem_collection'!$O$4:$O$500,0)),"")</f>
        <v/>
      </c>
      <c r="AD679" s="110">
        <f>IFERROR(INDEX('WetLitterbags placem_collection'!$A$3:$A$500,MATCH($A679,'WetLitterbags placem_collection'!$M$4:$M$500,0)),"")</f>
        <v>19</v>
      </c>
      <c r="AE679" s="110" t="str">
        <f>IFERROR(INDEX('WetLitterbags placem_collection'!$A$3:$A$500,MATCH($A679,'WetLitterbags placem_collection'!$Q$4:$Q$500,0)),"")</f>
        <v/>
      </c>
    </row>
    <row r="680" spans="1:31">
      <c r="A680" s="206" t="s">
        <v>641</v>
      </c>
      <c r="C680" s="201">
        <v>100</v>
      </c>
      <c r="D680" s="201">
        <v>1.4661999999999999</v>
      </c>
      <c r="E680" s="201">
        <v>11.443099999999999</v>
      </c>
      <c r="F680" s="201">
        <v>0.20030000000000001</v>
      </c>
      <c r="G680" s="201">
        <f t="shared" si="53"/>
        <v>11.6434</v>
      </c>
      <c r="H680" s="201">
        <v>11.4878</v>
      </c>
      <c r="I680" s="201">
        <f t="shared" si="56"/>
        <v>0.15559999999999974</v>
      </c>
      <c r="J680" s="201">
        <f t="shared" si="54"/>
        <v>4.4700000000000267E-2</v>
      </c>
      <c r="K680" s="280">
        <f t="shared" si="55"/>
        <v>22.316525212181858</v>
      </c>
      <c r="L680" s="201">
        <v>18</v>
      </c>
      <c r="M680" s="205">
        <v>43188</v>
      </c>
      <c r="N680" s="205">
        <v>43188</v>
      </c>
      <c r="O680" s="201"/>
      <c r="P680" s="201"/>
      <c r="AB680" s="110" t="str">
        <f>IFERROR(INDEX('WetLitterbags placem_collection'!$A$3:$A$500,MATCH(A680,'WetLitterbags placem_collection'!$K$4:$K$500,0)),"")</f>
        <v/>
      </c>
      <c r="AC680" s="110" t="str">
        <f>IFERROR(INDEX('WetLitterbags placem_collection'!$A$3:$A$500,MATCH($A680,'WetLitterbags placem_collection'!$O$4:$O$500,0)),"")</f>
        <v/>
      </c>
      <c r="AD680" s="110">
        <f>IFERROR(INDEX('WetLitterbags placem_collection'!$A$3:$A$500,MATCH($A680,'WetLitterbags placem_collection'!$M$4:$M$500,0)),"")</f>
        <v>99</v>
      </c>
      <c r="AE680" s="110" t="str">
        <f>IFERROR(INDEX('WetLitterbags placem_collection'!$A$3:$A$500,MATCH($A680,'WetLitterbags placem_collection'!$Q$4:$Q$500,0)),"")</f>
        <v/>
      </c>
    </row>
    <row r="681" spans="1:31">
      <c r="A681" s="202" t="s">
        <v>640</v>
      </c>
      <c r="C681" s="201">
        <v>75</v>
      </c>
      <c r="D681" s="201">
        <v>0.14589999999999992</v>
      </c>
      <c r="E681" s="201">
        <v>7.0928000000000004</v>
      </c>
      <c r="F681" s="201">
        <v>8.6699999999999999E-2</v>
      </c>
      <c r="G681" s="201">
        <f t="shared" si="53"/>
        <v>7.1795000000000009</v>
      </c>
      <c r="H681" s="201">
        <v>7.1658999999999997</v>
      </c>
      <c r="I681" s="201">
        <f t="shared" si="56"/>
        <v>1.3600000000001167E-2</v>
      </c>
      <c r="J681" s="201">
        <f t="shared" si="54"/>
        <v>7.3099999999998833E-2</v>
      </c>
      <c r="K681" s="280">
        <f t="shared" si="55"/>
        <v>84.313725490194741</v>
      </c>
      <c r="L681" s="201">
        <v>9</v>
      </c>
      <c r="M681" s="205">
        <v>43173</v>
      </c>
      <c r="N681" s="205">
        <v>43173</v>
      </c>
      <c r="O681" s="201" t="s">
        <v>2556</v>
      </c>
      <c r="P681" s="201" t="s">
        <v>2555</v>
      </c>
      <c r="AB681" s="110" t="str">
        <f>IFERROR(INDEX('WetLitterbags placem_collection'!$A$3:$A$500,MATCH(A681,'WetLitterbags placem_collection'!$K$4:$K$500,0)),"")</f>
        <v/>
      </c>
      <c r="AC681" s="110" t="str">
        <f>IFERROR(INDEX('WetLitterbags placem_collection'!$A$3:$A$500,MATCH($A681,'WetLitterbags placem_collection'!$O$4:$O$500,0)),"")</f>
        <v/>
      </c>
      <c r="AD681" s="110">
        <f>IFERROR(INDEX('WetLitterbags placem_collection'!$A$3:$A$500,MATCH($A681,'WetLitterbags placem_collection'!$M$4:$M$500,0)),"")</f>
        <v>75</v>
      </c>
      <c r="AE681" s="110" t="str">
        <f>IFERROR(INDEX('WetLitterbags placem_collection'!$A$3:$A$500,MATCH($A681,'WetLitterbags placem_collection'!$Q$4:$Q$500,0)),"")</f>
        <v/>
      </c>
    </row>
    <row r="682" spans="1:31">
      <c r="A682" s="197" t="s">
        <v>639</v>
      </c>
      <c r="C682" s="198">
        <v>5</v>
      </c>
      <c r="D682" s="197">
        <v>1.161</v>
      </c>
      <c r="E682" s="202">
        <v>8.0639000000000003</v>
      </c>
      <c r="F682" s="202">
        <v>0.2034</v>
      </c>
      <c r="G682" s="201">
        <f t="shared" si="53"/>
        <v>8.2673000000000005</v>
      </c>
      <c r="H682" s="201">
        <v>8.0732999999999997</v>
      </c>
      <c r="I682" s="201">
        <f t="shared" si="56"/>
        <v>0.19400000000000084</v>
      </c>
      <c r="J682" s="201">
        <f t="shared" si="54"/>
        <v>9.399999999999159E-3</v>
      </c>
      <c r="K682" s="280">
        <f t="shared" si="55"/>
        <v>4.6214355948865089</v>
      </c>
      <c r="L682" s="201">
        <v>12</v>
      </c>
      <c r="AB682" s="110" t="str">
        <f>IFERROR(INDEX('WetLitterbags placem_collection'!$A$3:$A$500,MATCH(A682,'WetLitterbags placem_collection'!$K$4:$K$500,0)),"")</f>
        <v/>
      </c>
      <c r="AC682" s="110" t="str">
        <f>IFERROR(INDEX('WetLitterbags placem_collection'!$A$3:$A$500,MATCH($A682,'WetLitterbags placem_collection'!$O$4:$O$500,0)),"")</f>
        <v/>
      </c>
      <c r="AD682" s="110">
        <f>IFERROR(INDEX('WetLitterbags placem_collection'!$A$3:$A$500,MATCH($A682,'WetLitterbags placem_collection'!$M$4:$M$500,0)),"")</f>
        <v>4</v>
      </c>
      <c r="AE682" s="110" t="str">
        <f>IFERROR(INDEX('WetLitterbags placem_collection'!$A$3:$A$500,MATCH($A682,'WetLitterbags placem_collection'!$Q$4:$Q$500,0)),"")</f>
        <v/>
      </c>
    </row>
    <row r="683" spans="1:31">
      <c r="A683" s="201" t="s">
        <v>637</v>
      </c>
      <c r="C683" s="201">
        <v>151</v>
      </c>
      <c r="D683" s="197">
        <v>1.5096000000000001</v>
      </c>
      <c r="E683" s="197">
        <v>8.0462000000000007</v>
      </c>
      <c r="F683" s="197">
        <v>0.20319999999999999</v>
      </c>
      <c r="G683" s="197">
        <f t="shared" si="53"/>
        <v>8.2494000000000014</v>
      </c>
      <c r="H683" s="197">
        <v>8.0591000000000008</v>
      </c>
      <c r="I683" s="197">
        <f t="shared" si="56"/>
        <v>0.19030000000000058</v>
      </c>
      <c r="J683" s="201">
        <f t="shared" si="54"/>
        <v>1.2899999999999412E-2</v>
      </c>
      <c r="K683" s="280">
        <f t="shared" si="55"/>
        <v>6.3484251968501049</v>
      </c>
      <c r="L683" s="197">
        <v>10</v>
      </c>
      <c r="M683" s="207">
        <v>43160.520833333336</v>
      </c>
      <c r="N683" s="207">
        <v>43160.6875</v>
      </c>
      <c r="O683" s="197" t="s">
        <v>2550</v>
      </c>
      <c r="P683" s="197" t="s">
        <v>2567</v>
      </c>
      <c r="AB683" s="110" t="str">
        <f>IFERROR(INDEX('WetLitterbags placem_collection'!$A$3:$A$500,MATCH(A683,'WetLitterbags placem_collection'!$K$4:$K$500,0)),"")</f>
        <v/>
      </c>
      <c r="AC683" s="110" t="str">
        <f>IFERROR(INDEX('WetLitterbags placem_collection'!$A$3:$A$500,MATCH($A683,'WetLitterbags placem_collection'!$O$4:$O$500,0)),"")</f>
        <v/>
      </c>
      <c r="AD683" s="110" t="str">
        <f>IFERROR(INDEX('WetLitterbags placem_collection'!$A$3:$A$500,MATCH($A683,'WetLitterbags placem_collection'!$M$4:$M$500,0)),"")</f>
        <v/>
      </c>
      <c r="AE683" s="110">
        <f>IFERROR(INDEX('WetLitterbags placem_collection'!$A$3:$A$500,MATCH($A683,'WetLitterbags placem_collection'!$Q$4:$Q$500,0)),"")</f>
        <v>150</v>
      </c>
    </row>
    <row r="684" spans="1:31">
      <c r="A684" s="201" t="s">
        <v>636</v>
      </c>
      <c r="C684" s="201">
        <v>111</v>
      </c>
      <c r="D684" s="201">
        <v>1.4012</v>
      </c>
      <c r="E684" s="202">
        <v>9.1372999999999998</v>
      </c>
      <c r="F684" s="202">
        <v>0.20200000000000001</v>
      </c>
      <c r="G684" s="201">
        <f t="shared" si="53"/>
        <v>9.3392999999999997</v>
      </c>
      <c r="H684" s="201">
        <v>9.1549999999999994</v>
      </c>
      <c r="I684" s="201">
        <f t="shared" si="56"/>
        <v>0.18430000000000035</v>
      </c>
      <c r="J684" s="201">
        <f t="shared" si="54"/>
        <v>1.769999999999966E-2</v>
      </c>
      <c r="K684" s="280">
        <f t="shared" si="55"/>
        <v>8.7623762376235934</v>
      </c>
      <c r="L684" s="201">
        <v>45</v>
      </c>
      <c r="M684" s="207">
        <v>43186.458333333336</v>
      </c>
      <c r="N684" s="207">
        <v>43186.625</v>
      </c>
      <c r="O684" s="197" t="s">
        <v>2550</v>
      </c>
      <c r="P684" s="201"/>
      <c r="AB684" s="110" t="str">
        <f>IFERROR(INDEX('WetLitterbags placem_collection'!$A$3:$A$500,MATCH(A684,'WetLitterbags placem_collection'!$K$4:$K$500,0)),"")</f>
        <v/>
      </c>
      <c r="AC684" s="110" t="str">
        <f>IFERROR(INDEX('WetLitterbags placem_collection'!$A$3:$A$500,MATCH($A684,'WetLitterbags placem_collection'!$O$4:$O$500,0)),"")</f>
        <v/>
      </c>
      <c r="AD684" s="110">
        <f>IFERROR(INDEX('WetLitterbags placem_collection'!$A$3:$A$500,MATCH($A684,'WetLitterbags placem_collection'!$M$4:$M$500,0)),"")</f>
        <v>110</v>
      </c>
      <c r="AE684" s="110" t="str">
        <f>IFERROR(INDEX('WetLitterbags placem_collection'!$A$3:$A$500,MATCH($A684,'WetLitterbags placem_collection'!$Q$4:$Q$500,0)),"")</f>
        <v/>
      </c>
    </row>
    <row r="685" spans="1:31">
      <c r="A685" s="201" t="s">
        <v>635</v>
      </c>
      <c r="C685" s="201">
        <v>127</v>
      </c>
      <c r="D685" s="202">
        <v>1.2198</v>
      </c>
      <c r="E685" s="201">
        <v>7.8014000000000001</v>
      </c>
      <c r="F685" s="202">
        <v>0.20469999999999999</v>
      </c>
      <c r="G685" s="201">
        <f t="shared" si="53"/>
        <v>8.0061</v>
      </c>
      <c r="H685" s="201">
        <v>7.8133999999999997</v>
      </c>
      <c r="I685" s="201">
        <f t="shared" si="56"/>
        <v>0.19270000000000032</v>
      </c>
      <c r="J685" s="201">
        <f t="shared" si="54"/>
        <v>1.1999999999999678E-2</v>
      </c>
      <c r="K685" s="280">
        <f t="shared" si="55"/>
        <v>5.8622374206153776</v>
      </c>
      <c r="L685" s="201">
        <v>6</v>
      </c>
      <c r="M685" s="205">
        <v>43206</v>
      </c>
      <c r="N685" s="205">
        <v>43206</v>
      </c>
      <c r="O685" s="201"/>
      <c r="P685" s="201"/>
      <c r="AB685" s="110" t="str">
        <f>IFERROR(INDEX('WetLitterbags placem_collection'!$A$3:$A$500,MATCH(A685,'WetLitterbags placem_collection'!$K$4:$K$500,0)),"")</f>
        <v/>
      </c>
      <c r="AC685" s="110" t="str">
        <f>IFERROR(INDEX('WetLitterbags placem_collection'!$A$3:$A$500,MATCH($A685,'WetLitterbags placem_collection'!$O$4:$O$500,0)),"")</f>
        <v/>
      </c>
      <c r="AD685" s="110">
        <f>IFERROR(INDEX('WetLitterbags placem_collection'!$A$3:$A$500,MATCH($A685,'WetLitterbags placem_collection'!$M$4:$M$500,0)),"")</f>
        <v>126</v>
      </c>
      <c r="AE685" s="110" t="str">
        <f>IFERROR(INDEX('WetLitterbags placem_collection'!$A$3:$A$500,MATCH($A685,'WetLitterbags placem_collection'!$Q$4:$Q$500,0)),"")</f>
        <v/>
      </c>
    </row>
    <row r="686" spans="1:31">
      <c r="A686" s="197" t="s">
        <v>634</v>
      </c>
      <c r="C686" s="198">
        <v>30</v>
      </c>
      <c r="D686" s="197">
        <v>1.1287</v>
      </c>
      <c r="E686" s="202">
        <v>9.5541999999999998</v>
      </c>
      <c r="F686" s="202">
        <v>0.20119999999999999</v>
      </c>
      <c r="G686" s="201">
        <f t="shared" si="53"/>
        <v>9.7553999999999998</v>
      </c>
      <c r="H686" s="201">
        <v>9.5639000000000003</v>
      </c>
      <c r="I686" s="201">
        <f t="shared" si="56"/>
        <v>0.19149999999999956</v>
      </c>
      <c r="J686" s="201">
        <f t="shared" si="54"/>
        <v>9.7000000000004305E-3</v>
      </c>
      <c r="K686" s="280">
        <f t="shared" si="55"/>
        <v>4.821073558648326</v>
      </c>
      <c r="L686" s="201">
        <v>9</v>
      </c>
      <c r="AB686" s="110" t="str">
        <f>IFERROR(INDEX('WetLitterbags placem_collection'!$A$3:$A$500,MATCH(A686,'WetLitterbags placem_collection'!$K$4:$K$500,0)),"")</f>
        <v/>
      </c>
      <c r="AC686" s="110" t="str">
        <f>IFERROR(INDEX('WetLitterbags placem_collection'!$A$3:$A$500,MATCH($A686,'WetLitterbags placem_collection'!$O$4:$O$500,0)),"")</f>
        <v/>
      </c>
      <c r="AD686" s="110">
        <f>IFERROR(INDEX('WetLitterbags placem_collection'!$A$3:$A$500,MATCH($A686,'WetLitterbags placem_collection'!$M$4:$M$500,0)),"")</f>
        <v>29</v>
      </c>
      <c r="AE686" s="110" t="str">
        <f>IFERROR(INDEX('WetLitterbags placem_collection'!$A$3:$A$500,MATCH($A686,'WetLitterbags placem_collection'!$Q$4:$Q$500,0)),"")</f>
        <v/>
      </c>
    </row>
    <row r="687" spans="1:31">
      <c r="A687" s="197" t="s">
        <v>633</v>
      </c>
      <c r="C687" s="198">
        <v>4</v>
      </c>
      <c r="D687" s="197">
        <v>1.1405000000000001</v>
      </c>
      <c r="E687" s="201">
        <v>7.0750999999999999</v>
      </c>
      <c r="F687" s="202">
        <v>0.20169999999999999</v>
      </c>
      <c r="G687" s="201">
        <f t="shared" si="53"/>
        <v>7.2767999999999997</v>
      </c>
      <c r="H687" s="201">
        <v>7.0850999999999997</v>
      </c>
      <c r="I687" s="201">
        <f t="shared" si="56"/>
        <v>0.19169999999999998</v>
      </c>
      <c r="J687" s="201">
        <f t="shared" si="54"/>
        <v>1.0000000000000009E-2</v>
      </c>
      <c r="K687" s="280">
        <f t="shared" si="55"/>
        <v>4.9578582052553344</v>
      </c>
      <c r="L687" s="201">
        <v>1</v>
      </c>
      <c r="M687" s="204">
        <v>43212</v>
      </c>
      <c r="N687" s="204">
        <v>43212</v>
      </c>
      <c r="AB687" s="110" t="str">
        <f>IFERROR(INDEX('WetLitterbags placem_collection'!$A$3:$A$500,MATCH(A687,'WetLitterbags placem_collection'!$K$4:$K$500,0)),"")</f>
        <v/>
      </c>
      <c r="AC687" s="110" t="str">
        <f>IFERROR(INDEX('WetLitterbags placem_collection'!$A$3:$A$500,MATCH($A687,'WetLitterbags placem_collection'!$O$4:$O$500,0)),"")</f>
        <v/>
      </c>
      <c r="AD687" s="110" t="str">
        <f>IFERROR(INDEX('WetLitterbags placem_collection'!$A$3:$A$500,MATCH($A687,'WetLitterbags placem_collection'!$M$4:$M$500,0)),"")</f>
        <v/>
      </c>
      <c r="AE687" s="110">
        <f>IFERROR(INDEX('WetLitterbags placem_collection'!$A$3:$A$500,MATCH($A687,'WetLitterbags placem_collection'!$Q$4:$Q$500,0)),"")</f>
        <v>3</v>
      </c>
    </row>
    <row r="688" spans="1:31">
      <c r="A688" s="206" t="s">
        <v>632</v>
      </c>
      <c r="C688" s="201">
        <v>108</v>
      </c>
      <c r="D688" s="201">
        <v>1.3947000000000001</v>
      </c>
      <c r="E688" s="202">
        <v>8.3542000000000005</v>
      </c>
      <c r="F688" s="202">
        <v>0.20860000000000001</v>
      </c>
      <c r="G688" s="201">
        <f t="shared" si="53"/>
        <v>8.5628000000000011</v>
      </c>
      <c r="H688" s="201">
        <v>8.3659999999999997</v>
      </c>
      <c r="I688" s="201">
        <f t="shared" ref="I688:I706" si="57">(G688-H688)</f>
        <v>0.19680000000000142</v>
      </c>
      <c r="J688" s="201">
        <f t="shared" si="54"/>
        <v>1.1799999999998589E-2</v>
      </c>
      <c r="K688" s="280">
        <f t="shared" si="55"/>
        <v>5.6567593480338392</v>
      </c>
      <c r="L688" s="201">
        <v>36</v>
      </c>
      <c r="M688" s="207">
        <v>43186.458333333336</v>
      </c>
      <c r="N688" s="207">
        <v>43186.625</v>
      </c>
      <c r="O688" s="197" t="s">
        <v>2550</v>
      </c>
      <c r="P688" s="201"/>
      <c r="AB688" s="110" t="str">
        <f>IFERROR(INDEX('WetLitterbags placem_collection'!$A$3:$A$500,MATCH(A688,'WetLitterbags placem_collection'!$K$4:$K$500,0)),"")</f>
        <v/>
      </c>
      <c r="AC688" s="110" t="str">
        <f>IFERROR(INDEX('WetLitterbags placem_collection'!$A$3:$A$500,MATCH($A688,'WetLitterbags placem_collection'!$O$4:$O$500,0)),"")</f>
        <v/>
      </c>
      <c r="AD688" s="110" t="str">
        <f>IFERROR(INDEX('WetLitterbags placem_collection'!$A$3:$A$500,MATCH($A688,'WetLitterbags placem_collection'!$M$4:$M$500,0)),"")</f>
        <v/>
      </c>
      <c r="AE688" s="110">
        <f>IFERROR(INDEX('WetLitterbags placem_collection'!$A$3:$A$500,MATCH($A688,'WetLitterbags placem_collection'!$Q$4:$Q$500,0)),"")</f>
        <v>107</v>
      </c>
    </row>
    <row r="689" spans="1:31">
      <c r="A689" s="206" t="s">
        <v>1090</v>
      </c>
      <c r="C689" s="201">
        <v>185</v>
      </c>
      <c r="D689" s="201">
        <v>1.5618000000000001</v>
      </c>
      <c r="E689" s="201">
        <v>11.055300000000001</v>
      </c>
      <c r="F689" s="202">
        <v>0.20119999999999999</v>
      </c>
      <c r="G689" s="201">
        <f t="shared" si="53"/>
        <v>11.256500000000001</v>
      </c>
      <c r="H689" s="201">
        <v>11.0595</v>
      </c>
      <c r="I689" s="201">
        <f t="shared" si="57"/>
        <v>0.19700000000000095</v>
      </c>
      <c r="J689" s="201">
        <f t="shared" si="54"/>
        <v>4.1999999999990378E-3</v>
      </c>
      <c r="K689" s="280">
        <f t="shared" si="55"/>
        <v>2.0874751491048897</v>
      </c>
      <c r="L689" s="201">
        <v>29</v>
      </c>
      <c r="M689" s="205">
        <v>43211</v>
      </c>
      <c r="AB689" s="110" t="str">
        <f>IFERROR(INDEX('WetLitterbags placem_collection'!$A$3:$A$500,MATCH(A689,'WetLitterbags placem_collection'!$K$4:$K$500,0)),"")</f>
        <v/>
      </c>
      <c r="AC689" s="110" t="str">
        <f>IFERROR(INDEX('WetLitterbags placem_collection'!$A$3:$A$500,MATCH($A689,'WetLitterbags placem_collection'!$O$4:$O$500,0)),"")</f>
        <v/>
      </c>
      <c r="AD689" s="110">
        <f>IFERROR(INDEX('WetLitterbags placem_collection'!$A$3:$A$500,MATCH($A689,'WetLitterbags placem_collection'!$M$4:$M$500,0)),"")</f>
        <v>184</v>
      </c>
      <c r="AE689" s="110" t="str">
        <f>IFERROR(INDEX('WetLitterbags placem_collection'!$A$3:$A$500,MATCH($A689,'WetLitterbags placem_collection'!$Q$4:$Q$500,0)),"")</f>
        <v/>
      </c>
    </row>
    <row r="690" spans="1:31">
      <c r="A690" s="201" t="s">
        <v>631</v>
      </c>
      <c r="C690" s="201">
        <v>107</v>
      </c>
      <c r="D690" s="201">
        <v>1.3418000000000001</v>
      </c>
      <c r="E690" s="202">
        <v>9.3185000000000002</v>
      </c>
      <c r="F690" s="201">
        <v>0.1996</v>
      </c>
      <c r="G690" s="201">
        <f t="shared" si="53"/>
        <v>9.5181000000000004</v>
      </c>
      <c r="H690" s="201">
        <v>9.3290000000000006</v>
      </c>
      <c r="I690" s="201">
        <f t="shared" si="57"/>
        <v>0.18909999999999982</v>
      </c>
      <c r="J690" s="201">
        <f t="shared" si="54"/>
        <v>1.0500000000000176E-2</v>
      </c>
      <c r="K690" s="280">
        <f t="shared" si="55"/>
        <v>5.2605210420842559</v>
      </c>
      <c r="L690" s="201">
        <v>2</v>
      </c>
      <c r="M690" s="203">
        <v>43178.395833333336</v>
      </c>
      <c r="N690" s="203">
        <v>43178.5625</v>
      </c>
      <c r="O690" s="197" t="s">
        <v>2550</v>
      </c>
      <c r="P690" s="201" t="s">
        <v>2551</v>
      </c>
      <c r="AB690" s="110" t="str">
        <f>IFERROR(INDEX('WetLitterbags placem_collection'!$A$3:$A$500,MATCH(A690,'WetLitterbags placem_collection'!$K$4:$K$500,0)),"")</f>
        <v/>
      </c>
      <c r="AC690" s="110" t="str">
        <f>IFERROR(INDEX('WetLitterbags placem_collection'!$A$3:$A$500,MATCH($A690,'WetLitterbags placem_collection'!$O$4:$O$500,0)),"")</f>
        <v/>
      </c>
      <c r="AD690" s="110" t="str">
        <f>IFERROR(INDEX('WetLitterbags placem_collection'!$A$3:$A$500,MATCH($A690,'WetLitterbags placem_collection'!$M$4:$M$500,0)),"")</f>
        <v/>
      </c>
      <c r="AE690" s="110">
        <f>IFERROR(INDEX('WetLitterbags placem_collection'!$A$3:$A$500,MATCH($A690,'WetLitterbags placem_collection'!$Q$4:$Q$500,0)),"")</f>
        <v>106</v>
      </c>
    </row>
    <row r="691" spans="1:31">
      <c r="A691" s="202" t="s">
        <v>630</v>
      </c>
      <c r="C691" s="201">
        <v>117</v>
      </c>
      <c r="D691" s="201">
        <v>0.30729999999999985</v>
      </c>
      <c r="E691" s="201">
        <v>7.3170000000000002</v>
      </c>
      <c r="F691" s="201">
        <v>0.20619999999999999</v>
      </c>
      <c r="G691" s="201">
        <f t="shared" ref="G691:G754" si="58">E691+F691</f>
        <v>7.5232000000000001</v>
      </c>
      <c r="H691" s="201">
        <v>7.5031999999999996</v>
      </c>
      <c r="I691" s="201">
        <f t="shared" si="57"/>
        <v>2.0000000000000462E-2</v>
      </c>
      <c r="J691" s="201">
        <f t="shared" ref="J691:J754" si="59">F691-I691</f>
        <v>0.18619999999999953</v>
      </c>
      <c r="K691" s="280">
        <f t="shared" ref="K691:K754" si="60">(J691/F691)*100</f>
        <v>90.300678952473106</v>
      </c>
      <c r="L691" s="201">
        <v>31</v>
      </c>
      <c r="M691" s="205">
        <v>43173</v>
      </c>
      <c r="N691" s="205">
        <v>43173</v>
      </c>
      <c r="O691" s="201" t="s">
        <v>2556</v>
      </c>
      <c r="P691" s="201" t="s">
        <v>2555</v>
      </c>
      <c r="AB691" s="110" t="str">
        <f>IFERROR(INDEX('WetLitterbags placem_collection'!$A$3:$A$500,MATCH(A691,'WetLitterbags placem_collection'!$K$4:$K$500,0)),"")</f>
        <v/>
      </c>
      <c r="AC691" s="110" t="str">
        <f>IFERROR(INDEX('WetLitterbags placem_collection'!$A$3:$A$500,MATCH($A691,'WetLitterbags placem_collection'!$O$4:$O$500,0)),"")</f>
        <v/>
      </c>
      <c r="AD691" s="110">
        <f>IFERROR(INDEX('WetLitterbags placem_collection'!$A$3:$A$500,MATCH($A691,'WetLitterbags placem_collection'!$M$4:$M$500,0)),"")</f>
        <v>116</v>
      </c>
      <c r="AE691" s="110" t="str">
        <f>IFERROR(INDEX('WetLitterbags placem_collection'!$A$3:$A$500,MATCH($A691,'WetLitterbags placem_collection'!$Q$4:$Q$500,0)),"")</f>
        <v/>
      </c>
    </row>
    <row r="692" spans="1:31">
      <c r="A692" s="197" t="s">
        <v>629</v>
      </c>
      <c r="C692" s="197">
        <v>8</v>
      </c>
      <c r="D692" s="197">
        <v>1.252</v>
      </c>
      <c r="E692" s="197">
        <v>9.0211000000000006</v>
      </c>
      <c r="F692" s="197">
        <v>0.20599999999999999</v>
      </c>
      <c r="G692" s="197">
        <f t="shared" si="58"/>
        <v>9.2271000000000001</v>
      </c>
      <c r="H692" s="197">
        <v>9.0273000000000003</v>
      </c>
      <c r="I692" s="197">
        <f t="shared" si="57"/>
        <v>0.19979999999999976</v>
      </c>
      <c r="J692" s="201">
        <f t="shared" si="59"/>
        <v>6.2000000000002331E-3</v>
      </c>
      <c r="K692" s="280">
        <f t="shared" si="60"/>
        <v>3.0097087378641909</v>
      </c>
      <c r="L692" s="197">
        <v>1</v>
      </c>
      <c r="M692" s="197" t="s">
        <v>2586</v>
      </c>
      <c r="N692" s="197" t="s">
        <v>2585</v>
      </c>
      <c r="O692" s="197" t="s">
        <v>2550</v>
      </c>
      <c r="P692" s="197" t="s">
        <v>2599</v>
      </c>
      <c r="AB692" s="110" t="str">
        <f>IFERROR(INDEX('WetLitterbags placem_collection'!$A$3:$A$500,MATCH(A692,'WetLitterbags placem_collection'!$K$4:$K$500,0)),"")</f>
        <v/>
      </c>
      <c r="AC692" s="110" t="str">
        <f>IFERROR(INDEX('WetLitterbags placem_collection'!$A$3:$A$500,MATCH($A692,'WetLitterbags placem_collection'!$O$4:$O$500,0)),"")</f>
        <v/>
      </c>
      <c r="AD692" s="110" t="str">
        <f>IFERROR(INDEX('WetLitterbags placem_collection'!$A$3:$A$500,MATCH($A692,'WetLitterbags placem_collection'!$M$4:$M$500,0)),"")</f>
        <v/>
      </c>
      <c r="AE692" s="110">
        <f>IFERROR(INDEX('WetLitterbags placem_collection'!$A$3:$A$500,MATCH($A692,'WetLitterbags placem_collection'!$Q$4:$Q$500,0)),"")</f>
        <v>7</v>
      </c>
    </row>
    <row r="693" spans="1:31">
      <c r="A693" s="197" t="s">
        <v>628</v>
      </c>
      <c r="C693" s="197">
        <v>52</v>
      </c>
      <c r="D693" s="197">
        <v>1.3608</v>
      </c>
      <c r="E693" s="197">
        <v>8.0957000000000008</v>
      </c>
      <c r="F693" s="197">
        <v>0.20680000000000001</v>
      </c>
      <c r="G693" s="197">
        <f t="shared" si="58"/>
        <v>8.3025000000000002</v>
      </c>
      <c r="H693" s="197">
        <v>8.1186000000000007</v>
      </c>
      <c r="I693" s="197">
        <f t="shared" si="57"/>
        <v>0.18389999999999951</v>
      </c>
      <c r="J693" s="201">
        <f t="shared" si="59"/>
        <v>2.2900000000000503E-2</v>
      </c>
      <c r="K693" s="280">
        <f t="shared" si="60"/>
        <v>11.073500967118232</v>
      </c>
      <c r="L693" s="197">
        <v>33</v>
      </c>
      <c r="M693" s="197" t="s">
        <v>2586</v>
      </c>
      <c r="N693" s="197" t="s">
        <v>2585</v>
      </c>
      <c r="O693" s="197" t="s">
        <v>2550</v>
      </c>
      <c r="U693" s="202" t="s">
        <v>1634</v>
      </c>
      <c r="V693" s="197">
        <v>1.1235999999999999</v>
      </c>
      <c r="W693" s="197">
        <f>(V693-$T$175+F691)</f>
        <v>1.3297999999999999</v>
      </c>
      <c r="AB693" s="110" t="str">
        <f>IFERROR(INDEX('WetLitterbags placem_collection'!$A$3:$A$500,MATCH(A693,'WetLitterbags placem_collection'!$K$4:$K$500,0)),"")</f>
        <v/>
      </c>
      <c r="AC693" s="110" t="str">
        <f>IFERROR(INDEX('WetLitterbags placem_collection'!$A$3:$A$500,MATCH($A693,'WetLitterbags placem_collection'!$O$4:$O$500,0)),"")</f>
        <v/>
      </c>
      <c r="AD693" s="110">
        <f>IFERROR(INDEX('WetLitterbags placem_collection'!$A$3:$A$500,MATCH($A693,'WetLitterbags placem_collection'!$M$4:$M$500,0)),"")</f>
        <v>51</v>
      </c>
      <c r="AE693" s="110" t="str">
        <f>IFERROR(INDEX('WetLitterbags placem_collection'!$A$3:$A$500,MATCH($A693,'WetLitterbags placem_collection'!$Q$4:$Q$500,0)),"")</f>
        <v/>
      </c>
    </row>
    <row r="694" spans="1:31">
      <c r="A694" s="197" t="s">
        <v>626</v>
      </c>
      <c r="C694" s="198">
        <v>10</v>
      </c>
      <c r="D694" s="197">
        <v>1.1661999999999999</v>
      </c>
      <c r="E694" s="202">
        <v>8.4440000000000008</v>
      </c>
      <c r="F694" s="202">
        <v>0.20230000000000001</v>
      </c>
      <c r="G694" s="201">
        <f t="shared" si="58"/>
        <v>8.6463000000000001</v>
      </c>
      <c r="H694" s="201">
        <v>8.4525000000000006</v>
      </c>
      <c r="I694" s="201">
        <f t="shared" si="57"/>
        <v>0.19379999999999953</v>
      </c>
      <c r="J694" s="201">
        <f t="shared" si="59"/>
        <v>8.5000000000004794E-3</v>
      </c>
      <c r="K694" s="280">
        <f t="shared" si="60"/>
        <v>4.2016806722691449</v>
      </c>
      <c r="L694" s="201">
        <v>20</v>
      </c>
      <c r="M694" s="204">
        <v>43221</v>
      </c>
      <c r="N694" s="204">
        <v>43221</v>
      </c>
      <c r="AB694" s="110" t="str">
        <f>IFERROR(INDEX('WetLitterbags placem_collection'!$A$3:$A$500,MATCH(A694,'WetLitterbags placem_collection'!$K$4:$K$500,0)),"")</f>
        <v/>
      </c>
      <c r="AC694" s="110" t="str">
        <f>IFERROR(INDEX('WetLitterbags placem_collection'!$A$3:$A$500,MATCH($A694,'WetLitterbags placem_collection'!$O$4:$O$500,0)),"")</f>
        <v/>
      </c>
      <c r="AD694" s="110" t="str">
        <f>IFERROR(INDEX('WetLitterbags placem_collection'!$A$3:$A$500,MATCH($A694,'WetLitterbags placem_collection'!$M$4:$M$500,0)),"")</f>
        <v/>
      </c>
      <c r="AE694" s="110">
        <f>IFERROR(INDEX('WetLitterbags placem_collection'!$A$3:$A$500,MATCH($A694,'WetLitterbags placem_collection'!$Q$4:$Q$500,0)),"")</f>
        <v>9</v>
      </c>
    </row>
    <row r="695" spans="1:31">
      <c r="A695" s="197" t="s">
        <v>624</v>
      </c>
      <c r="C695" s="197">
        <v>90</v>
      </c>
      <c r="D695" s="197">
        <v>1.8949</v>
      </c>
      <c r="E695" s="197">
        <v>21.210999999999999</v>
      </c>
      <c r="F695" s="197">
        <v>0.20669999999999999</v>
      </c>
      <c r="G695" s="197">
        <f t="shared" si="58"/>
        <v>21.4177</v>
      </c>
      <c r="H695" s="197">
        <v>21.2576</v>
      </c>
      <c r="I695" s="197">
        <f t="shared" si="57"/>
        <v>0.16009999999999991</v>
      </c>
      <c r="J695" s="201">
        <f t="shared" si="59"/>
        <v>4.6600000000000086E-2</v>
      </c>
      <c r="K695" s="280">
        <f t="shared" si="60"/>
        <v>22.544750846637683</v>
      </c>
      <c r="L695" s="197">
        <v>18</v>
      </c>
      <c r="M695" s="197" t="s">
        <v>2580</v>
      </c>
      <c r="N695" s="197" t="s">
        <v>2579</v>
      </c>
      <c r="O695" s="197" t="s">
        <v>2556</v>
      </c>
      <c r="AB695" s="110" t="str">
        <f>IFERROR(INDEX('WetLitterbags placem_collection'!$A$3:$A$500,MATCH(A695,'WetLitterbags placem_collection'!$K$4:$K$500,0)),"")</f>
        <v/>
      </c>
      <c r="AC695" s="110" t="str">
        <f>IFERROR(INDEX('WetLitterbags placem_collection'!$A$3:$A$500,MATCH($A695,'WetLitterbags placem_collection'!$O$4:$O$500,0)),"")</f>
        <v/>
      </c>
      <c r="AD695" s="110" t="str">
        <f>IFERROR(INDEX('WetLitterbags placem_collection'!$A$3:$A$500,MATCH($A695,'WetLitterbags placem_collection'!$M$4:$M$500,0)),"")</f>
        <v/>
      </c>
      <c r="AE695" s="110">
        <f>IFERROR(INDEX('WetLitterbags placem_collection'!$A$3:$A$500,MATCH($A695,'WetLitterbags placem_collection'!$Q$4:$Q$500,0)),"")</f>
        <v>89</v>
      </c>
    </row>
    <row r="696" spans="1:31">
      <c r="A696" s="197" t="s">
        <v>622</v>
      </c>
      <c r="C696" s="197">
        <v>16</v>
      </c>
      <c r="D696" s="197">
        <v>1.2048000000000001</v>
      </c>
      <c r="E696" s="202">
        <v>11.4437</v>
      </c>
      <c r="F696" s="202">
        <v>0.20610000000000001</v>
      </c>
      <c r="G696" s="201">
        <f t="shared" si="58"/>
        <v>11.649799999999999</v>
      </c>
      <c r="H696" s="201">
        <v>11.4558</v>
      </c>
      <c r="I696" s="201">
        <f t="shared" si="57"/>
        <v>0.19399999999999906</v>
      </c>
      <c r="J696" s="201">
        <f t="shared" si="59"/>
        <v>1.2100000000000943E-2</v>
      </c>
      <c r="K696" s="280">
        <f t="shared" si="60"/>
        <v>5.8709364386224854</v>
      </c>
      <c r="L696" s="201">
        <v>32</v>
      </c>
      <c r="M696" s="204">
        <v>43221</v>
      </c>
      <c r="N696" s="204">
        <v>43221</v>
      </c>
      <c r="AB696" s="110" t="str">
        <f>IFERROR(INDEX('WetLitterbags placem_collection'!$A$3:$A$500,MATCH(A696,'WetLitterbags placem_collection'!$K$4:$K$500,0)),"")</f>
        <v/>
      </c>
      <c r="AC696" s="110" t="str">
        <f>IFERROR(INDEX('WetLitterbags placem_collection'!$A$3:$A$500,MATCH($A696,'WetLitterbags placem_collection'!$O$4:$O$500,0)),"")</f>
        <v/>
      </c>
      <c r="AD696" s="110">
        <f>IFERROR(INDEX('WetLitterbags placem_collection'!$A$3:$A$500,MATCH($A696,'WetLitterbags placem_collection'!$M$4:$M$500,0)),"")</f>
        <v>15</v>
      </c>
      <c r="AE696" s="110" t="str">
        <f>IFERROR(INDEX('WetLitterbags placem_collection'!$A$3:$A$500,MATCH($A696,'WetLitterbags placem_collection'!$Q$4:$Q$500,0)),"")</f>
        <v/>
      </c>
    </row>
    <row r="697" spans="1:31">
      <c r="A697" s="201" t="s">
        <v>621</v>
      </c>
      <c r="C697" s="201">
        <v>129</v>
      </c>
      <c r="D697" s="201">
        <v>1.3351999999999999</v>
      </c>
      <c r="E697" s="202">
        <v>8.8605</v>
      </c>
      <c r="F697" s="202">
        <v>0.20200000000000001</v>
      </c>
      <c r="G697" s="201">
        <f t="shared" si="58"/>
        <v>9.0625</v>
      </c>
      <c r="H697" s="201">
        <v>8.8718000000000004</v>
      </c>
      <c r="I697" s="201">
        <f t="shared" si="57"/>
        <v>0.19069999999999965</v>
      </c>
      <c r="J697" s="201">
        <f t="shared" si="59"/>
        <v>1.1300000000000365E-2</v>
      </c>
      <c r="K697" s="280">
        <f t="shared" si="60"/>
        <v>5.5940594059407749</v>
      </c>
      <c r="L697" s="201">
        <v>12</v>
      </c>
      <c r="M697" s="205">
        <v>43174</v>
      </c>
      <c r="N697" s="205">
        <v>43174</v>
      </c>
      <c r="O697" s="201" t="s">
        <v>2556</v>
      </c>
      <c r="P697" s="201" t="s">
        <v>2551</v>
      </c>
      <c r="AB697" s="110" t="str">
        <f>IFERROR(INDEX('WetLitterbags placem_collection'!$A$3:$A$500,MATCH(A697,'WetLitterbags placem_collection'!$K$4:$K$500,0)),"")</f>
        <v/>
      </c>
      <c r="AC697" s="110" t="str">
        <f>IFERROR(INDEX('WetLitterbags placem_collection'!$A$3:$A$500,MATCH($A697,'WetLitterbags placem_collection'!$O$4:$O$500,0)),"")</f>
        <v/>
      </c>
      <c r="AD697" s="110" t="str">
        <f>IFERROR(INDEX('WetLitterbags placem_collection'!$A$3:$A$500,MATCH($A697,'WetLitterbags placem_collection'!$M$4:$M$500,0)),"")</f>
        <v/>
      </c>
      <c r="AE697" s="110">
        <f>IFERROR(INDEX('WetLitterbags placem_collection'!$A$3:$A$500,MATCH($A697,'WetLitterbags placem_collection'!$Q$4:$Q$500,0)),"")</f>
        <v>128</v>
      </c>
    </row>
    <row r="698" spans="1:31">
      <c r="A698" s="201" t="s">
        <v>620</v>
      </c>
      <c r="C698" s="201">
        <v>41</v>
      </c>
      <c r="D698" s="202">
        <v>1.2992999999999999</v>
      </c>
      <c r="E698" s="201">
        <v>10.271699999999999</v>
      </c>
      <c r="F698" s="202">
        <v>0.20369999999999999</v>
      </c>
      <c r="G698" s="201">
        <f t="shared" si="58"/>
        <v>10.475399999999999</v>
      </c>
      <c r="H698" s="201">
        <v>10.2857</v>
      </c>
      <c r="I698" s="201">
        <f t="shared" si="57"/>
        <v>0.18969999999999843</v>
      </c>
      <c r="J698" s="201">
        <f t="shared" si="59"/>
        <v>1.4000000000001567E-2</v>
      </c>
      <c r="K698" s="280">
        <f t="shared" si="60"/>
        <v>6.8728522336777456</v>
      </c>
      <c r="L698" s="201">
        <v>30</v>
      </c>
      <c r="M698" s="201"/>
      <c r="N698" s="201"/>
      <c r="O698" s="201"/>
      <c r="P698" s="201"/>
      <c r="AB698" s="110" t="str">
        <f>IFERROR(INDEX('WetLitterbags placem_collection'!$A$3:$A$500,MATCH(A698,'WetLitterbags placem_collection'!$K$4:$K$500,0)),"")</f>
        <v/>
      </c>
      <c r="AC698" s="110" t="str">
        <f>IFERROR(INDEX('WetLitterbags placem_collection'!$A$3:$A$500,MATCH($A698,'WetLitterbags placem_collection'!$O$4:$O$500,0)),"")</f>
        <v/>
      </c>
      <c r="AD698" s="110">
        <f>IFERROR(INDEX('WetLitterbags placem_collection'!$A$3:$A$500,MATCH($A698,'WetLitterbags placem_collection'!$M$4:$M$500,0)),"")</f>
        <v>40</v>
      </c>
      <c r="AE698" s="110" t="str">
        <f>IFERROR(INDEX('WetLitterbags placem_collection'!$A$3:$A$500,MATCH($A698,'WetLitterbags placem_collection'!$Q$4:$Q$500,0)),"")</f>
        <v/>
      </c>
    </row>
    <row r="699" spans="1:31">
      <c r="A699" s="197" t="s">
        <v>619</v>
      </c>
      <c r="C699" s="197">
        <v>115</v>
      </c>
      <c r="D699" s="197">
        <v>1.1588000000000001</v>
      </c>
      <c r="E699" s="197">
        <v>18.116499999999998</v>
      </c>
      <c r="F699" s="197">
        <v>0.2036</v>
      </c>
      <c r="G699" s="197">
        <f t="shared" si="58"/>
        <v>18.3201</v>
      </c>
      <c r="H699" s="197">
        <v>18.124500000000001</v>
      </c>
      <c r="I699" s="197">
        <f t="shared" si="57"/>
        <v>0.19559999999999889</v>
      </c>
      <c r="J699" s="201">
        <f t="shared" si="59"/>
        <v>8.0000000000011173E-3</v>
      </c>
      <c r="K699" s="280">
        <f t="shared" si="60"/>
        <v>3.9292730844799202</v>
      </c>
      <c r="L699" s="197">
        <v>15</v>
      </c>
      <c r="M699" s="197" t="s">
        <v>2576</v>
      </c>
      <c r="N699" s="197">
        <v>43153.729166666664</v>
      </c>
      <c r="O699" s="197" t="s">
        <v>2550</v>
      </c>
      <c r="P699" s="197" t="s">
        <v>2574</v>
      </c>
      <c r="AB699" s="110" t="str">
        <f>IFERROR(INDEX('WetLitterbags placem_collection'!$A$3:$A$500,MATCH(A699,'WetLitterbags placem_collection'!$K$4:$K$500,0)),"")</f>
        <v/>
      </c>
      <c r="AC699" s="110" t="str">
        <f>IFERROR(INDEX('WetLitterbags placem_collection'!$A$3:$A$500,MATCH($A699,'WetLitterbags placem_collection'!$O$4:$O$500,0)),"")</f>
        <v/>
      </c>
      <c r="AD699" s="110" t="str">
        <f>IFERROR(INDEX('WetLitterbags placem_collection'!$A$3:$A$500,MATCH($A699,'WetLitterbags placem_collection'!$M$4:$M$500,0)),"")</f>
        <v/>
      </c>
      <c r="AE699" s="110">
        <f>IFERROR(INDEX('WetLitterbags placem_collection'!$A$3:$A$500,MATCH($A699,'WetLitterbags placem_collection'!$Q$4:$Q$500,0)),"")</f>
        <v>114</v>
      </c>
    </row>
    <row r="700" spans="1:31">
      <c r="A700" t="s">
        <v>618</v>
      </c>
      <c r="D700" s="197">
        <v>1.3698999999999999</v>
      </c>
      <c r="E700" s="202">
        <v>11.089399999999999</v>
      </c>
      <c r="F700" s="202">
        <v>0.2064</v>
      </c>
      <c r="G700" s="201">
        <f t="shared" si="58"/>
        <v>11.2958</v>
      </c>
      <c r="H700" s="201">
        <v>11.0945</v>
      </c>
      <c r="I700" s="201">
        <f t="shared" si="57"/>
        <v>0.20129999999999981</v>
      </c>
      <c r="J700" s="201">
        <f t="shared" si="59"/>
        <v>5.1000000000001877E-3</v>
      </c>
      <c r="K700" s="280">
        <f t="shared" si="60"/>
        <v>2.4709302325582305</v>
      </c>
      <c r="L700" s="201">
        <v>4</v>
      </c>
      <c r="AB700" s="110" t="str">
        <f>IFERROR(INDEX('WetLitterbags placem_collection'!$A$3:$A$500,MATCH(A700,'WetLitterbags placem_collection'!$K$4:$K$500,0)),"")</f>
        <v/>
      </c>
      <c r="AC700" s="110" t="str">
        <f>IFERROR(INDEX('WetLitterbags placem_collection'!$A$3:$A$500,MATCH($A700,'WetLitterbags placem_collection'!$O$4:$O$500,0)),"")</f>
        <v/>
      </c>
      <c r="AD700" s="110">
        <f>IFERROR(INDEX('WetLitterbags placem_collection'!$A$3:$A$500,MATCH($A700,'WetLitterbags placem_collection'!$M$4:$M$500,0)),"")</f>
        <v>187</v>
      </c>
      <c r="AE700" s="110" t="str">
        <f>IFERROR(INDEX('WetLitterbags placem_collection'!$A$3:$A$500,MATCH($A700,'WetLitterbags placem_collection'!$Q$4:$Q$500,0)),"")</f>
        <v/>
      </c>
    </row>
    <row r="701" spans="1:31">
      <c r="A701" s="197" t="s">
        <v>617</v>
      </c>
      <c r="C701" s="197">
        <v>133</v>
      </c>
      <c r="D701" s="197">
        <v>1.3261000000000001</v>
      </c>
      <c r="E701" s="197">
        <v>8.8665000000000003</v>
      </c>
      <c r="F701" s="197">
        <v>0.1983</v>
      </c>
      <c r="G701" s="197">
        <f t="shared" si="58"/>
        <v>9.0648</v>
      </c>
      <c r="H701" s="197">
        <v>8.8714999999999993</v>
      </c>
      <c r="I701" s="197">
        <f t="shared" si="57"/>
        <v>0.19330000000000069</v>
      </c>
      <c r="J701" s="201">
        <f t="shared" si="59"/>
        <v>4.9999999999993106E-3</v>
      </c>
      <c r="K701" s="280">
        <f t="shared" si="60"/>
        <v>2.521432173474186</v>
      </c>
      <c r="L701" s="197">
        <v>14</v>
      </c>
      <c r="M701" s="197">
        <v>43157.395833333336</v>
      </c>
      <c r="N701" s="197">
        <v>43157.569444444445</v>
      </c>
      <c r="O701" s="197" t="s">
        <v>2550</v>
      </c>
      <c r="AB701" s="110" t="str">
        <f>IFERROR(INDEX('WetLitterbags placem_collection'!$A$3:$A$500,MATCH(A701,'WetLitterbags placem_collection'!$K$4:$K$500,0)),"")</f>
        <v/>
      </c>
      <c r="AC701" s="110" t="str">
        <f>IFERROR(INDEX('WetLitterbags placem_collection'!$A$3:$A$500,MATCH($A701,'WetLitterbags placem_collection'!$O$4:$O$500,0)),"")</f>
        <v/>
      </c>
      <c r="AD701" s="110">
        <f>IFERROR(INDEX('WetLitterbags placem_collection'!$A$3:$A$500,MATCH($A701,'WetLitterbags placem_collection'!$M$4:$M$500,0)),"")</f>
        <v>132</v>
      </c>
      <c r="AE701" s="110" t="str">
        <f>IFERROR(INDEX('WetLitterbags placem_collection'!$A$3:$A$500,MATCH($A701,'WetLitterbags placem_collection'!$Q$4:$Q$500,0)),"")</f>
        <v/>
      </c>
    </row>
    <row r="702" spans="1:31">
      <c r="A702" s="201" t="s">
        <v>616</v>
      </c>
      <c r="C702" s="201">
        <v>65</v>
      </c>
      <c r="D702" s="201">
        <v>1.4464999999999999</v>
      </c>
      <c r="E702" s="202">
        <v>11.002800000000001</v>
      </c>
      <c r="F702" s="202">
        <v>0.20530000000000001</v>
      </c>
      <c r="G702" s="201">
        <f t="shared" si="58"/>
        <v>11.2081</v>
      </c>
      <c r="H702" s="201">
        <v>11.010999999999999</v>
      </c>
      <c r="I702" s="201">
        <f t="shared" si="57"/>
        <v>0.19710000000000072</v>
      </c>
      <c r="J702" s="201">
        <f t="shared" si="59"/>
        <v>8.1999999999992912E-3</v>
      </c>
      <c r="K702" s="280">
        <f t="shared" si="60"/>
        <v>3.9941548952748618</v>
      </c>
      <c r="L702" s="201">
        <v>2</v>
      </c>
      <c r="M702" s="205">
        <v>43199</v>
      </c>
      <c r="N702" s="205">
        <v>43199</v>
      </c>
      <c r="O702" s="201"/>
      <c r="P702" s="201"/>
      <c r="AB702" s="110" t="str">
        <f>IFERROR(INDEX('WetLitterbags placem_collection'!$A$3:$A$500,MATCH(A702,'WetLitterbags placem_collection'!$K$4:$K$500,0)),"")</f>
        <v/>
      </c>
      <c r="AC702" s="110" t="str">
        <f>IFERROR(INDEX('WetLitterbags placem_collection'!$A$3:$A$500,MATCH($A702,'WetLitterbags placem_collection'!$O$4:$O$500,0)),"")</f>
        <v/>
      </c>
      <c r="AD702" s="110">
        <f>IFERROR(INDEX('WetLitterbags placem_collection'!$A$3:$A$500,MATCH($A702,'WetLitterbags placem_collection'!$M$4:$M$500,0)),"")</f>
        <v>64</v>
      </c>
      <c r="AE702" s="110" t="str">
        <f>IFERROR(INDEX('WetLitterbags placem_collection'!$A$3:$A$500,MATCH($A702,'WetLitterbags placem_collection'!$Q$4:$Q$500,0)),"")</f>
        <v/>
      </c>
    </row>
    <row r="703" spans="1:31">
      <c r="A703" s="201" t="s">
        <v>615</v>
      </c>
      <c r="C703" s="201">
        <v>119</v>
      </c>
      <c r="D703" s="201">
        <v>1.0528</v>
      </c>
      <c r="E703" s="202">
        <v>8.7311999999999994</v>
      </c>
      <c r="F703" s="202">
        <v>0.2072</v>
      </c>
      <c r="G703" s="201">
        <f t="shared" si="58"/>
        <v>8.9383999999999997</v>
      </c>
      <c r="H703" s="201">
        <v>8.7446000000000002</v>
      </c>
      <c r="I703" s="201">
        <f t="shared" si="57"/>
        <v>0.19379999999999953</v>
      </c>
      <c r="J703" s="201">
        <f t="shared" si="59"/>
        <v>1.3400000000000467E-2</v>
      </c>
      <c r="K703" s="280">
        <f t="shared" si="60"/>
        <v>6.4671814671816925</v>
      </c>
      <c r="L703" s="201">
        <v>25</v>
      </c>
      <c r="M703" s="205">
        <v>43197</v>
      </c>
      <c r="N703" s="205">
        <v>43197</v>
      </c>
      <c r="O703" s="201"/>
      <c r="P703" s="201"/>
      <c r="AB703" s="110" t="str">
        <f>IFERROR(INDEX('WetLitterbags placem_collection'!$A$3:$A$500,MATCH(A703,'WetLitterbags placem_collection'!$K$4:$K$500,0)),"")</f>
        <v/>
      </c>
      <c r="AC703" s="110" t="str">
        <f>IFERROR(INDEX('WetLitterbags placem_collection'!$A$3:$A$500,MATCH($A703,'WetLitterbags placem_collection'!$O$4:$O$500,0)),"")</f>
        <v/>
      </c>
      <c r="AD703" s="110" t="str">
        <f>IFERROR(INDEX('WetLitterbags placem_collection'!$A$3:$A$500,MATCH($A703,'WetLitterbags placem_collection'!$M$4:$M$500,0)),"")</f>
        <v/>
      </c>
      <c r="AE703" s="110">
        <f>IFERROR(INDEX('WetLitterbags placem_collection'!$A$3:$A$500,MATCH($A703,'WetLitterbags placem_collection'!$Q$4:$Q$500,0)),"")</f>
        <v>118</v>
      </c>
    </row>
    <row r="704" spans="1:31">
      <c r="A704" s="197" t="s">
        <v>614</v>
      </c>
      <c r="C704" s="198">
        <v>2</v>
      </c>
      <c r="D704" s="197">
        <v>1.1162000000000001</v>
      </c>
      <c r="E704" s="202">
        <v>9.0031999999999996</v>
      </c>
      <c r="F704" s="202">
        <v>0.20030000000000001</v>
      </c>
      <c r="G704" s="201">
        <f t="shared" si="58"/>
        <v>9.2035</v>
      </c>
      <c r="H704" s="201">
        <v>9.0121000000000002</v>
      </c>
      <c r="I704" s="201">
        <f t="shared" si="57"/>
        <v>0.19139999999999979</v>
      </c>
      <c r="J704" s="201">
        <f t="shared" si="59"/>
        <v>8.9000000000002133E-3</v>
      </c>
      <c r="K704" s="280">
        <f t="shared" si="60"/>
        <v>4.4433349975038503</v>
      </c>
      <c r="L704" s="201">
        <v>24</v>
      </c>
      <c r="T704" s="204"/>
      <c r="U704" s="204"/>
      <c r="AB704" s="110" t="str">
        <f>IFERROR(INDEX('WetLitterbags placem_collection'!$A$3:$A$500,MATCH(A704,'WetLitterbags placem_collection'!$K$4:$K$500,0)),"")</f>
        <v/>
      </c>
      <c r="AC704" s="110" t="str">
        <f>IFERROR(INDEX('WetLitterbags placem_collection'!$A$3:$A$500,MATCH($A704,'WetLitterbags placem_collection'!$O$4:$O$500,0)),"")</f>
        <v/>
      </c>
      <c r="AD704" s="110" t="str">
        <f>IFERROR(INDEX('WetLitterbags placem_collection'!$A$3:$A$500,MATCH($A704,'WetLitterbags placem_collection'!$M$4:$M$500,0)),"")</f>
        <v/>
      </c>
      <c r="AE704" s="110">
        <f>IFERROR(INDEX('WetLitterbags placem_collection'!$A$3:$A$500,MATCH($A704,'WetLitterbags placem_collection'!$Q$4:$Q$500,0)),"")</f>
        <v>1</v>
      </c>
    </row>
    <row r="705" spans="1:31">
      <c r="A705" s="197" t="s">
        <v>613</v>
      </c>
      <c r="C705" s="197">
        <v>71</v>
      </c>
      <c r="D705" s="197">
        <v>1.3772</v>
      </c>
      <c r="E705" s="202">
        <v>9.1972000000000005</v>
      </c>
      <c r="F705" s="202">
        <v>0.20080000000000001</v>
      </c>
      <c r="G705" s="201">
        <f t="shared" si="58"/>
        <v>9.3979999999999997</v>
      </c>
      <c r="H705" s="201">
        <v>9.2026000000000003</v>
      </c>
      <c r="I705" s="201">
        <f t="shared" si="57"/>
        <v>0.19539999999999935</v>
      </c>
      <c r="J705" s="201">
        <f t="shared" si="59"/>
        <v>5.4000000000006543E-3</v>
      </c>
      <c r="K705" s="280">
        <f t="shared" si="60"/>
        <v>2.689243027888772</v>
      </c>
      <c r="L705" s="201">
        <v>4</v>
      </c>
      <c r="AB705" s="110" t="str">
        <f>IFERROR(INDEX('WetLitterbags placem_collection'!$A$3:$A$500,MATCH(A705,'WetLitterbags placem_collection'!$K$4:$K$500,0)),"")</f>
        <v/>
      </c>
      <c r="AC705" s="110" t="str">
        <f>IFERROR(INDEX('WetLitterbags placem_collection'!$A$3:$A$500,MATCH($A705,'WetLitterbags placem_collection'!$O$4:$O$500,0)),"")</f>
        <v/>
      </c>
      <c r="AD705" s="110" t="str">
        <f>IFERROR(INDEX('WetLitterbags placem_collection'!$A$3:$A$500,MATCH($A705,'WetLitterbags placem_collection'!$M$4:$M$500,0)),"")</f>
        <v/>
      </c>
      <c r="AE705" s="110">
        <f>IFERROR(INDEX('WetLitterbags placem_collection'!$A$3:$A$500,MATCH($A705,'WetLitterbags placem_collection'!$Q$4:$Q$500,0)),"")</f>
        <v>70</v>
      </c>
    </row>
    <row r="706" spans="1:31">
      <c r="A706" s="197" t="s">
        <v>612</v>
      </c>
      <c r="C706" s="198">
        <v>21</v>
      </c>
      <c r="D706" s="197">
        <v>1.2070000000000001</v>
      </c>
      <c r="E706" s="202">
        <v>7.8015999999999996</v>
      </c>
      <c r="F706" s="202">
        <v>0.20019999999999999</v>
      </c>
      <c r="G706" s="201">
        <f t="shared" si="58"/>
        <v>8.0017999999999994</v>
      </c>
      <c r="H706" s="201">
        <v>7.8155999999999999</v>
      </c>
      <c r="I706" s="201">
        <f t="shared" si="57"/>
        <v>0.18619999999999948</v>
      </c>
      <c r="J706" s="201">
        <f t="shared" si="59"/>
        <v>1.4000000000000512E-2</v>
      </c>
      <c r="K706" s="280">
        <f t="shared" si="60"/>
        <v>6.9930069930072492</v>
      </c>
      <c r="L706" s="201">
        <v>6</v>
      </c>
      <c r="AB706" s="110" t="str">
        <f>IFERROR(INDEX('WetLitterbags placem_collection'!$A$3:$A$500,MATCH(A706,'WetLitterbags placem_collection'!$K$4:$K$500,0)),"")</f>
        <v/>
      </c>
      <c r="AC706" s="110" t="str">
        <f>IFERROR(INDEX('WetLitterbags placem_collection'!$A$3:$A$500,MATCH($A706,'WetLitterbags placem_collection'!$O$4:$O$500,0)),"")</f>
        <v/>
      </c>
      <c r="AD706" s="110">
        <f>IFERROR(INDEX('WetLitterbags placem_collection'!$A$3:$A$500,MATCH($A706,'WetLitterbags placem_collection'!$M$4:$M$500,0)),"")</f>
        <v>20</v>
      </c>
      <c r="AE706" s="110" t="str">
        <f>IFERROR(INDEX('WetLitterbags placem_collection'!$A$3:$A$500,MATCH($A706,'WetLitterbags placem_collection'!$Q$4:$Q$500,0)),"")</f>
        <v/>
      </c>
    </row>
    <row r="707" spans="1:31">
      <c r="A707" t="s">
        <v>611</v>
      </c>
      <c r="C707">
        <v>112</v>
      </c>
      <c r="D707">
        <v>1.3818999999999999</v>
      </c>
      <c r="E707">
        <v>8.7741000000000007</v>
      </c>
      <c r="F707">
        <v>0.2107</v>
      </c>
      <c r="G707">
        <f t="shared" si="58"/>
        <v>8.9847999999999999</v>
      </c>
      <c r="H707">
        <v>8.7838999999999992</v>
      </c>
      <c r="I707">
        <f>G707-H707</f>
        <v>0.20090000000000074</v>
      </c>
      <c r="J707">
        <f t="shared" si="59"/>
        <v>9.7999999999992538E-3</v>
      </c>
      <c r="K707" s="280">
        <f t="shared" si="60"/>
        <v>4.6511627906973203</v>
      </c>
      <c r="L707">
        <v>11</v>
      </c>
      <c r="M707" t="s">
        <v>2576</v>
      </c>
      <c r="N707">
        <v>43153.729166666664</v>
      </c>
      <c r="O707" t="s">
        <v>2550</v>
      </c>
      <c r="P707" t="s">
        <v>2574</v>
      </c>
      <c r="Q707"/>
      <c r="AB707" s="110" t="str">
        <f>IFERROR(INDEX('WetLitterbags placem_collection'!$A$3:$A$500,MATCH(A707,'WetLitterbags placem_collection'!$K$4:$K$500,0)),"")</f>
        <v/>
      </c>
      <c r="AC707" s="110" t="str">
        <f>IFERROR(INDEX('WetLitterbags placem_collection'!$A$3:$A$500,MATCH($A707,'WetLitterbags placem_collection'!$O$4:$O$500,0)),"")</f>
        <v/>
      </c>
      <c r="AD707" s="110" t="str">
        <f>IFERROR(INDEX('WetLitterbags placem_collection'!$A$3:$A$500,MATCH($A707,'WetLitterbags placem_collection'!$M$4:$M$500,0)),"")</f>
        <v/>
      </c>
      <c r="AE707" s="110">
        <f>IFERROR(INDEX('WetLitterbags placem_collection'!$A$3:$A$500,MATCH($A707,'WetLitterbags placem_collection'!$Q$4:$Q$500,0)),"")</f>
        <v>111</v>
      </c>
    </row>
    <row r="708" spans="1:31">
      <c r="A708" s="201" t="s">
        <v>610</v>
      </c>
      <c r="C708" s="201">
        <v>7</v>
      </c>
      <c r="D708" s="201">
        <v>1.2060999999999999</v>
      </c>
      <c r="E708" s="202">
        <v>10.9216</v>
      </c>
      <c r="F708" s="202">
        <v>0.20549999999999999</v>
      </c>
      <c r="G708" s="201">
        <f t="shared" si="58"/>
        <v>11.1271</v>
      </c>
      <c r="H708" s="201">
        <v>10.928100000000001</v>
      </c>
      <c r="I708" s="201">
        <f t="shared" ref="I708:I739" si="61">(G708-H708)</f>
        <v>0.19899999999999984</v>
      </c>
      <c r="J708" s="201">
        <f t="shared" si="59"/>
        <v>6.5000000000001446E-3</v>
      </c>
      <c r="K708" s="280">
        <f t="shared" si="60"/>
        <v>3.1630170316302406</v>
      </c>
      <c r="L708" s="201">
        <v>3</v>
      </c>
      <c r="M708" s="207">
        <v>43185.385416666664</v>
      </c>
      <c r="N708" s="201"/>
      <c r="O708" s="201" t="s">
        <v>2556</v>
      </c>
      <c r="P708" s="201"/>
      <c r="AB708" s="110" t="str">
        <f>IFERROR(INDEX('WetLitterbags placem_collection'!$A$3:$A$500,MATCH(A708,'WetLitterbags placem_collection'!$K$4:$K$500,0)),"")</f>
        <v/>
      </c>
      <c r="AC708" s="110" t="str">
        <f>IFERROR(INDEX('WetLitterbags placem_collection'!$A$3:$A$500,MATCH($A708,'WetLitterbags placem_collection'!$O$4:$O$500,0)),"")</f>
        <v/>
      </c>
      <c r="AD708" s="110">
        <f>IFERROR(INDEX('WetLitterbags placem_collection'!$A$3:$A$500,MATCH($A708,'WetLitterbags placem_collection'!$M$4:$M$500,0)),"")</f>
        <v>6</v>
      </c>
      <c r="AE708" s="110" t="str">
        <f>IFERROR(INDEX('WetLitterbags placem_collection'!$A$3:$A$500,MATCH($A708,'WetLitterbags placem_collection'!$Q$4:$Q$500,0)),"")</f>
        <v/>
      </c>
    </row>
    <row r="709" spans="1:31">
      <c r="A709" s="201" t="s">
        <v>609</v>
      </c>
      <c r="C709" s="201">
        <v>121</v>
      </c>
      <c r="D709" s="201">
        <v>1.419</v>
      </c>
      <c r="E709" s="201">
        <v>10.0755</v>
      </c>
      <c r="F709" s="201">
        <v>0.2034</v>
      </c>
      <c r="G709" s="201">
        <f t="shared" si="58"/>
        <v>10.2789</v>
      </c>
      <c r="H709" s="201">
        <v>10.0906</v>
      </c>
      <c r="I709" s="201">
        <f t="shared" si="61"/>
        <v>0.18829999999999991</v>
      </c>
      <c r="J709" s="201">
        <f t="shared" si="59"/>
        <v>1.5100000000000086E-2</v>
      </c>
      <c r="K709" s="280">
        <f t="shared" si="60"/>
        <v>7.423795476892864</v>
      </c>
      <c r="L709" s="201">
        <v>10</v>
      </c>
      <c r="M709" s="205">
        <v>43188</v>
      </c>
      <c r="N709" s="205">
        <v>43188</v>
      </c>
      <c r="O709" s="201"/>
      <c r="P709" s="201"/>
      <c r="AB709" s="110" t="str">
        <f>IFERROR(INDEX('WetLitterbags placem_collection'!$A$3:$A$500,MATCH(A709,'WetLitterbags placem_collection'!$K$4:$K$500,0)),"")</f>
        <v/>
      </c>
      <c r="AC709" s="110" t="str">
        <f>IFERROR(INDEX('WetLitterbags placem_collection'!$A$3:$A$500,MATCH($A709,'WetLitterbags placem_collection'!$O$4:$O$500,0)),"")</f>
        <v/>
      </c>
      <c r="AD709" s="110">
        <f>IFERROR(INDEX('WetLitterbags placem_collection'!$A$3:$A$500,MATCH($A709,'WetLitterbags placem_collection'!$M$4:$M$500,0)),"")</f>
        <v>120</v>
      </c>
      <c r="AE709" s="110" t="str">
        <f>IFERROR(INDEX('WetLitterbags placem_collection'!$A$3:$A$500,MATCH($A709,'WetLitterbags placem_collection'!$Q$4:$Q$500,0)),"")</f>
        <v/>
      </c>
    </row>
    <row r="710" spans="1:31">
      <c r="A710" s="197" t="s">
        <v>608</v>
      </c>
      <c r="C710" s="198">
        <v>149</v>
      </c>
      <c r="D710" s="197">
        <v>1.5586</v>
      </c>
      <c r="E710" s="201">
        <v>11.0868</v>
      </c>
      <c r="F710" s="202">
        <v>0.20100000000000001</v>
      </c>
      <c r="G710" s="201">
        <f t="shared" si="58"/>
        <v>11.287800000000001</v>
      </c>
      <c r="H710" s="201">
        <v>11.11</v>
      </c>
      <c r="I710" s="201">
        <f t="shared" si="61"/>
        <v>0.17780000000000129</v>
      </c>
      <c r="J710" s="201">
        <f t="shared" si="59"/>
        <v>2.3199999999998722E-2</v>
      </c>
      <c r="K710" s="280">
        <f t="shared" si="60"/>
        <v>11.542288557213293</v>
      </c>
      <c r="L710" s="201">
        <v>21</v>
      </c>
      <c r="M710" s="204">
        <v>43212</v>
      </c>
      <c r="AB710" s="110" t="str">
        <f>IFERROR(INDEX('WetLitterbags placem_collection'!$A$3:$A$500,MATCH(A710,'WetLitterbags placem_collection'!$K$4:$K$500,0)),"")</f>
        <v/>
      </c>
      <c r="AC710" s="110" t="str">
        <f>IFERROR(INDEX('WetLitterbags placem_collection'!$A$3:$A$500,MATCH($A710,'WetLitterbags placem_collection'!$O$4:$O$500,0)),"")</f>
        <v/>
      </c>
      <c r="AD710" s="110" t="str">
        <f>IFERROR(INDEX('WetLitterbags placem_collection'!$A$3:$A$500,MATCH($A710,'WetLitterbags placem_collection'!$M$4:$M$500,0)),"")</f>
        <v/>
      </c>
      <c r="AE710" s="110">
        <f>IFERROR(INDEX('WetLitterbags placem_collection'!$A$3:$A$500,MATCH($A710,'WetLitterbags placem_collection'!$Q$4:$Q$500,0)),"")</f>
        <v>148</v>
      </c>
    </row>
    <row r="711" spans="1:31">
      <c r="A711" s="206" t="s">
        <v>607</v>
      </c>
      <c r="C711" s="201">
        <v>168</v>
      </c>
      <c r="D711" s="201">
        <v>1.4766999999999999</v>
      </c>
      <c r="E711" s="202">
        <v>10.539199999999999</v>
      </c>
      <c r="F711" s="202">
        <v>0.20269999999999999</v>
      </c>
      <c r="G711" s="201">
        <f t="shared" si="58"/>
        <v>10.741899999999999</v>
      </c>
      <c r="H711" s="201">
        <v>10.543200000000001</v>
      </c>
      <c r="I711" s="201">
        <f t="shared" si="61"/>
        <v>0.19869999999999877</v>
      </c>
      <c r="J711" s="201">
        <f t="shared" si="59"/>
        <v>4.0000000000012248E-3</v>
      </c>
      <c r="K711" s="280">
        <f t="shared" si="60"/>
        <v>1.9733596447958683</v>
      </c>
      <c r="L711" s="201">
        <v>11</v>
      </c>
      <c r="M711" s="207">
        <v>43185.385416666664</v>
      </c>
      <c r="N711" s="201"/>
      <c r="O711" s="201" t="s">
        <v>2556</v>
      </c>
      <c r="P711" s="201"/>
      <c r="AB711" s="110" t="str">
        <f>IFERROR(INDEX('WetLitterbags placem_collection'!$A$3:$A$500,MATCH(A711,'WetLitterbags placem_collection'!$K$4:$K$500,0)),"")</f>
        <v/>
      </c>
      <c r="AC711" s="110" t="str">
        <f>IFERROR(INDEX('WetLitterbags placem_collection'!$A$3:$A$500,MATCH($A711,'WetLitterbags placem_collection'!$O$4:$O$500,0)),"")</f>
        <v/>
      </c>
      <c r="AD711" s="110">
        <f>IFERROR(INDEX('WetLitterbags placem_collection'!$A$3:$A$500,MATCH($A711,'WetLitterbags placem_collection'!$M$4:$M$500,0)),"")</f>
        <v>167</v>
      </c>
      <c r="AE711" s="110" t="str">
        <f>IFERROR(INDEX('WetLitterbags placem_collection'!$A$3:$A$500,MATCH($A711,'WetLitterbags placem_collection'!$Q$4:$Q$500,0)),"")</f>
        <v/>
      </c>
    </row>
    <row r="712" spans="1:31">
      <c r="A712" s="206" t="s">
        <v>606</v>
      </c>
      <c r="C712" s="201">
        <v>140</v>
      </c>
      <c r="D712" s="201">
        <v>1.3013999999999999</v>
      </c>
      <c r="E712" s="201">
        <v>9.3427000000000007</v>
      </c>
      <c r="F712" s="201">
        <v>0.2026</v>
      </c>
      <c r="G712" s="201">
        <f t="shared" si="58"/>
        <v>9.545300000000001</v>
      </c>
      <c r="H712" s="201">
        <v>9.3559999999999999</v>
      </c>
      <c r="I712" s="201">
        <f t="shared" si="61"/>
        <v>0.18930000000000113</v>
      </c>
      <c r="J712" s="201">
        <f t="shared" si="59"/>
        <v>1.3299999999998868E-2</v>
      </c>
      <c r="K712" s="280">
        <f t="shared" si="60"/>
        <v>6.5646594274426793</v>
      </c>
      <c r="L712" s="201">
        <v>2</v>
      </c>
      <c r="M712" s="203">
        <v>43164.628472222219</v>
      </c>
      <c r="N712" s="203">
        <v>43164.795138888891</v>
      </c>
      <c r="O712" s="197" t="s">
        <v>2550</v>
      </c>
      <c r="P712" s="201"/>
      <c r="AB712" s="110" t="str">
        <f>IFERROR(INDEX('WetLitterbags placem_collection'!$A$3:$A$500,MATCH(A712,'WetLitterbags placem_collection'!$K$4:$K$500,0)),"")</f>
        <v/>
      </c>
      <c r="AC712" s="110" t="str">
        <f>IFERROR(INDEX('WetLitterbags placem_collection'!$A$3:$A$500,MATCH($A712,'WetLitterbags placem_collection'!$O$4:$O$500,0)),"")</f>
        <v/>
      </c>
      <c r="AD712" s="110">
        <f>IFERROR(INDEX('WetLitterbags placem_collection'!$A$3:$A$500,MATCH($A712,'WetLitterbags placem_collection'!$M$4:$M$500,0)),"")</f>
        <v>139</v>
      </c>
      <c r="AE712" s="110" t="str">
        <f>IFERROR(INDEX('WetLitterbags placem_collection'!$A$3:$A$500,MATCH($A712,'WetLitterbags placem_collection'!$Q$4:$Q$500,0)),"")</f>
        <v/>
      </c>
    </row>
    <row r="713" spans="1:31">
      <c r="A713" s="201" t="s">
        <v>606</v>
      </c>
      <c r="C713" s="201">
        <v>172</v>
      </c>
      <c r="D713" s="201">
        <f>1.3431+F713</f>
        <v>1.5443</v>
      </c>
      <c r="E713" s="202">
        <v>9.2363999999999997</v>
      </c>
      <c r="F713" s="202">
        <v>0.20119999999999999</v>
      </c>
      <c r="G713" s="201">
        <f t="shared" si="58"/>
        <v>9.4375999999999998</v>
      </c>
      <c r="H713" s="201">
        <v>9.2407000000000004</v>
      </c>
      <c r="I713" s="201">
        <f t="shared" si="61"/>
        <v>0.19689999999999941</v>
      </c>
      <c r="J713" s="201">
        <f t="shared" si="59"/>
        <v>4.3000000000005811E-3</v>
      </c>
      <c r="K713" s="280">
        <f t="shared" si="60"/>
        <v>2.1371769383700703</v>
      </c>
      <c r="L713" s="201">
        <v>20</v>
      </c>
      <c r="M713" s="205">
        <v>43174</v>
      </c>
      <c r="N713" s="205">
        <v>43174</v>
      </c>
      <c r="O713" s="201" t="s">
        <v>2556</v>
      </c>
      <c r="P713" s="201" t="s">
        <v>2551</v>
      </c>
      <c r="AB713" s="110" t="str">
        <f>IFERROR(INDEX('WetLitterbags placem_collection'!$A$3:$A$500,MATCH(A713,'WetLitterbags placem_collection'!$K$4:$K$500,0)),"")</f>
        <v/>
      </c>
      <c r="AC713" s="110" t="str">
        <f>IFERROR(INDEX('WetLitterbags placem_collection'!$A$3:$A$500,MATCH($A713,'WetLitterbags placem_collection'!$O$4:$O$500,0)),"")</f>
        <v/>
      </c>
      <c r="AD713" s="110">
        <f>IFERROR(INDEX('WetLitterbags placem_collection'!$A$3:$A$500,MATCH($A713,'WetLitterbags placem_collection'!$M$4:$M$500,0)),"")</f>
        <v>139</v>
      </c>
      <c r="AE713" s="110" t="str">
        <f>IFERROR(INDEX('WetLitterbags placem_collection'!$A$3:$A$500,MATCH($A713,'WetLitterbags placem_collection'!$Q$4:$Q$500,0)),"")</f>
        <v/>
      </c>
    </row>
    <row r="714" spans="1:31">
      <c r="A714" s="206" t="s">
        <v>605</v>
      </c>
      <c r="C714" s="201">
        <v>132</v>
      </c>
      <c r="D714" s="201">
        <v>1.2561</v>
      </c>
      <c r="E714" s="201">
        <v>9.2353000000000005</v>
      </c>
      <c r="F714" s="201">
        <v>0.20530000000000001</v>
      </c>
      <c r="G714" s="201">
        <f t="shared" si="58"/>
        <v>9.4405999999999999</v>
      </c>
      <c r="H714" s="201">
        <v>9.4237000000000002</v>
      </c>
      <c r="I714" s="201">
        <f t="shared" si="61"/>
        <v>1.6899999999999693E-2</v>
      </c>
      <c r="J714" s="201">
        <f t="shared" si="59"/>
        <v>0.18840000000000032</v>
      </c>
      <c r="K714" s="280">
        <f t="shared" si="60"/>
        <v>91.768144179250029</v>
      </c>
      <c r="L714" s="201">
        <v>14</v>
      </c>
      <c r="M714" s="205">
        <v>43188</v>
      </c>
      <c r="N714" s="205">
        <v>43188</v>
      </c>
      <c r="O714" s="201"/>
      <c r="P714" s="201"/>
      <c r="AB714" s="110" t="str">
        <f>IFERROR(INDEX('WetLitterbags placem_collection'!$A$3:$A$500,MATCH(A714,'WetLitterbags placem_collection'!$K$4:$K$500,0)),"")</f>
        <v/>
      </c>
      <c r="AC714" s="110" t="str">
        <f>IFERROR(INDEX('WetLitterbags placem_collection'!$A$3:$A$500,MATCH($A714,'WetLitterbags placem_collection'!$O$4:$O$500,0)),"")</f>
        <v/>
      </c>
      <c r="AD714" s="110">
        <f>IFERROR(INDEX('WetLitterbags placem_collection'!$A$3:$A$500,MATCH($A714,'WetLitterbags placem_collection'!$M$4:$M$500,0)),"")</f>
        <v>131</v>
      </c>
      <c r="AE714" s="110" t="str">
        <f>IFERROR(INDEX('WetLitterbags placem_collection'!$A$3:$A$500,MATCH($A714,'WetLitterbags placem_collection'!$Q$4:$Q$500,0)),"")</f>
        <v/>
      </c>
    </row>
    <row r="715" spans="1:31">
      <c r="A715" s="197" t="s">
        <v>604</v>
      </c>
      <c r="C715" s="198">
        <v>182</v>
      </c>
      <c r="D715" s="197">
        <v>1.5063</v>
      </c>
      <c r="E715" s="202">
        <v>7.7148000000000003</v>
      </c>
      <c r="F715" s="202">
        <v>0.20039999999999999</v>
      </c>
      <c r="G715" s="201">
        <f t="shared" si="58"/>
        <v>7.9152000000000005</v>
      </c>
      <c r="H715" s="201">
        <v>7.7190000000000003</v>
      </c>
      <c r="I715" s="201">
        <f t="shared" si="61"/>
        <v>0.19620000000000015</v>
      </c>
      <c r="J715" s="201">
        <f t="shared" si="59"/>
        <v>4.1999999999998427E-3</v>
      </c>
      <c r="K715" s="280">
        <f t="shared" si="60"/>
        <v>2.0958083832334542</v>
      </c>
      <c r="L715" s="201">
        <v>12</v>
      </c>
      <c r="AB715" s="110" t="str">
        <f>IFERROR(INDEX('WetLitterbags placem_collection'!$A$3:$A$500,MATCH(A715,'WetLitterbags placem_collection'!$K$4:$K$500,0)),"")</f>
        <v/>
      </c>
      <c r="AC715" s="110" t="str">
        <f>IFERROR(INDEX('WetLitterbags placem_collection'!$A$3:$A$500,MATCH($A715,'WetLitterbags placem_collection'!$O$4:$O$500,0)),"")</f>
        <v/>
      </c>
      <c r="AD715" s="110" t="str">
        <f>IFERROR(INDEX('WetLitterbags placem_collection'!$A$3:$A$500,MATCH($A715,'WetLitterbags placem_collection'!$M$4:$M$500,0)),"")</f>
        <v/>
      </c>
      <c r="AE715" s="110">
        <f>IFERROR(INDEX('WetLitterbags placem_collection'!$A$3:$A$500,MATCH($A715,'WetLitterbags placem_collection'!$Q$4:$Q$500,0)),"")</f>
        <v>181</v>
      </c>
    </row>
    <row r="716" spans="1:31">
      <c r="A716" s="201" t="s">
        <v>603</v>
      </c>
      <c r="C716" s="201">
        <v>139</v>
      </c>
      <c r="D716" s="201">
        <v>1.1411</v>
      </c>
      <c r="E716" s="202">
        <v>9.5542999999999996</v>
      </c>
      <c r="F716" s="202">
        <v>0.20119999999999999</v>
      </c>
      <c r="G716" s="201">
        <f t="shared" si="58"/>
        <v>9.7554999999999996</v>
      </c>
      <c r="H716" s="201">
        <v>9.5751000000000008</v>
      </c>
      <c r="I716" s="201">
        <f t="shared" si="61"/>
        <v>0.18039999999999878</v>
      </c>
      <c r="J716" s="201">
        <f t="shared" si="59"/>
        <v>2.0800000000001206E-2</v>
      </c>
      <c r="K716" s="280">
        <f t="shared" si="60"/>
        <v>10.337972166998611</v>
      </c>
      <c r="L716" s="201">
        <v>6</v>
      </c>
      <c r="M716" s="205">
        <v>43199</v>
      </c>
      <c r="N716" s="205">
        <v>43199</v>
      </c>
      <c r="O716" s="201"/>
      <c r="P716" s="201"/>
      <c r="AB716" s="110" t="str">
        <f>IFERROR(INDEX('WetLitterbags placem_collection'!$A$3:$A$500,MATCH(A716,'WetLitterbags placem_collection'!$K$4:$K$500,0)),"")</f>
        <v/>
      </c>
      <c r="AC716" s="110" t="str">
        <f>IFERROR(INDEX('WetLitterbags placem_collection'!$A$3:$A$500,MATCH($A716,'WetLitterbags placem_collection'!$O$4:$O$500,0)),"")</f>
        <v/>
      </c>
      <c r="AD716" s="110" t="str">
        <f>IFERROR(INDEX('WetLitterbags placem_collection'!$A$3:$A$500,MATCH($A716,'WetLitterbags placem_collection'!$M$4:$M$500,0)),"")</f>
        <v/>
      </c>
      <c r="AE716" s="110">
        <f>IFERROR(INDEX('WetLitterbags placem_collection'!$A$3:$A$500,MATCH($A716,'WetLitterbags placem_collection'!$Q$4:$Q$500,0)),"")</f>
        <v>138</v>
      </c>
    </row>
    <row r="717" spans="1:31">
      <c r="A717" s="197" t="s">
        <v>602</v>
      </c>
      <c r="C717" s="197">
        <v>185</v>
      </c>
      <c r="D717" s="197">
        <v>1.538</v>
      </c>
      <c r="E717" s="201">
        <v>10.7933</v>
      </c>
      <c r="F717" s="202">
        <v>0.20069999999999999</v>
      </c>
      <c r="G717" s="201">
        <f t="shared" si="58"/>
        <v>10.994</v>
      </c>
      <c r="H717" s="201">
        <v>10.7965</v>
      </c>
      <c r="I717" s="201">
        <f t="shared" si="61"/>
        <v>0.19749999999999979</v>
      </c>
      <c r="J717" s="201">
        <f t="shared" si="59"/>
        <v>3.2000000000002027E-3</v>
      </c>
      <c r="K717" s="280">
        <f t="shared" si="60"/>
        <v>1.5944195316393635</v>
      </c>
      <c r="L717" s="201">
        <v>32</v>
      </c>
      <c r="M717" s="204">
        <v>43212</v>
      </c>
      <c r="AB717" s="110" t="str">
        <f>IFERROR(INDEX('WetLitterbags placem_collection'!$A$3:$A$500,MATCH(A717,'WetLitterbags placem_collection'!$K$4:$K$500,0)),"")</f>
        <v/>
      </c>
      <c r="AC717" s="110" t="str">
        <f>IFERROR(INDEX('WetLitterbags placem_collection'!$A$3:$A$500,MATCH($A717,'WetLitterbags placem_collection'!$O$4:$O$500,0)),"")</f>
        <v/>
      </c>
      <c r="AD717" s="110" t="str">
        <f>IFERROR(INDEX('WetLitterbags placem_collection'!$A$3:$A$500,MATCH($A717,'WetLitterbags placem_collection'!$M$4:$M$500,0)),"")</f>
        <v/>
      </c>
      <c r="AE717" s="110">
        <f>IFERROR(INDEX('WetLitterbags placem_collection'!$A$3:$A$500,MATCH($A717,'WetLitterbags placem_collection'!$Q$4:$Q$500,0)),"")</f>
        <v>184</v>
      </c>
    </row>
    <row r="718" spans="1:31">
      <c r="A718" s="197" t="s">
        <v>601</v>
      </c>
      <c r="C718" s="197">
        <v>105</v>
      </c>
      <c r="D718" s="197">
        <v>1.5065999999999999</v>
      </c>
      <c r="E718" s="197">
        <v>20.017700000000001</v>
      </c>
      <c r="F718" s="197">
        <v>0.20130000000000001</v>
      </c>
      <c r="G718" s="197">
        <f t="shared" si="58"/>
        <v>20.219000000000001</v>
      </c>
      <c r="H718" s="197">
        <v>20.029299999999999</v>
      </c>
      <c r="I718" s="197">
        <f t="shared" si="61"/>
        <v>0.18970000000000198</v>
      </c>
      <c r="J718" s="201">
        <f t="shared" si="59"/>
        <v>1.1599999999998029E-2</v>
      </c>
      <c r="K718" s="280">
        <f t="shared" si="60"/>
        <v>5.7625434674605209</v>
      </c>
      <c r="L718" s="197">
        <v>6</v>
      </c>
      <c r="M718" s="197" t="s">
        <v>2576</v>
      </c>
      <c r="N718" s="197">
        <v>43153.729166666664</v>
      </c>
      <c r="O718" s="197" t="s">
        <v>2550</v>
      </c>
      <c r="P718" s="197" t="s">
        <v>2574</v>
      </c>
      <c r="AB718" s="110" t="str">
        <f>IFERROR(INDEX('WetLitterbags placem_collection'!$A$3:$A$500,MATCH(A718,'WetLitterbags placem_collection'!$K$4:$K$500,0)),"")</f>
        <v/>
      </c>
      <c r="AC718" s="110" t="str">
        <f>IFERROR(INDEX('WetLitterbags placem_collection'!$A$3:$A$500,MATCH($A718,'WetLitterbags placem_collection'!$O$4:$O$500,0)),"")</f>
        <v/>
      </c>
      <c r="AD718" s="110" t="str">
        <f>IFERROR(INDEX('WetLitterbags placem_collection'!$A$3:$A$500,MATCH($A718,'WetLitterbags placem_collection'!$M$4:$M$500,0)),"")</f>
        <v/>
      </c>
      <c r="AE718" s="110">
        <f>IFERROR(INDEX('WetLitterbags placem_collection'!$A$3:$A$500,MATCH($A718,'WetLitterbags placem_collection'!$Q$4:$Q$500,0)),"")</f>
        <v>104</v>
      </c>
    </row>
    <row r="719" spans="1:31">
      <c r="A719" s="197" t="s">
        <v>600</v>
      </c>
      <c r="C719" s="201">
        <v>184</v>
      </c>
      <c r="D719" s="197">
        <v>1.5148999999999999</v>
      </c>
      <c r="E719" s="201">
        <v>11.4434</v>
      </c>
      <c r="F719" s="202">
        <v>0.20369999999999999</v>
      </c>
      <c r="G719" s="201">
        <f t="shared" si="58"/>
        <v>11.6471</v>
      </c>
      <c r="H719" s="201">
        <v>11.448700000000001</v>
      </c>
      <c r="I719" s="201">
        <f t="shared" si="61"/>
        <v>0.19839999999999947</v>
      </c>
      <c r="J719" s="201">
        <f t="shared" si="59"/>
        <v>5.3000000000005265E-3</v>
      </c>
      <c r="K719" s="280">
        <f t="shared" si="60"/>
        <v>2.6018654884636851</v>
      </c>
      <c r="L719" s="201">
        <v>36</v>
      </c>
      <c r="M719" s="205">
        <v>43211</v>
      </c>
      <c r="AB719" s="110" t="str">
        <f>IFERROR(INDEX('WetLitterbags placem_collection'!$A$3:$A$500,MATCH(A719,'WetLitterbags placem_collection'!$K$4:$K$500,0)),"")</f>
        <v/>
      </c>
      <c r="AC719" s="110" t="str">
        <f>IFERROR(INDEX('WetLitterbags placem_collection'!$A$3:$A$500,MATCH($A719,'WetLitterbags placem_collection'!$O$4:$O$500,0)),"")</f>
        <v/>
      </c>
      <c r="AD719" s="110">
        <f>IFERROR(INDEX('WetLitterbags placem_collection'!$A$3:$A$500,MATCH($A719,'WetLitterbags placem_collection'!$M$4:$M$500,0)),"")</f>
        <v>183</v>
      </c>
      <c r="AE719" s="110" t="str">
        <f>IFERROR(INDEX('WetLitterbags placem_collection'!$A$3:$A$500,MATCH($A719,'WetLitterbags placem_collection'!$Q$4:$Q$500,0)),"")</f>
        <v/>
      </c>
    </row>
    <row r="720" spans="1:31">
      <c r="A720" s="197" t="s">
        <v>599</v>
      </c>
      <c r="C720" s="197">
        <v>17</v>
      </c>
      <c r="D720" s="197">
        <v>1.3929</v>
      </c>
      <c r="E720" s="201">
        <v>7.3167999999999997</v>
      </c>
      <c r="F720" s="202">
        <v>0.2092</v>
      </c>
      <c r="G720" s="201">
        <f t="shared" si="58"/>
        <v>7.5259999999999998</v>
      </c>
      <c r="H720" s="201">
        <v>7.3322000000000003</v>
      </c>
      <c r="I720" s="201">
        <f t="shared" si="61"/>
        <v>0.19379999999999953</v>
      </c>
      <c r="J720" s="201">
        <f t="shared" si="59"/>
        <v>1.5400000000000469E-2</v>
      </c>
      <c r="K720" s="280">
        <f t="shared" si="60"/>
        <v>7.361376673040378</v>
      </c>
      <c r="L720" s="201">
        <v>13</v>
      </c>
      <c r="M720" s="204">
        <v>43213</v>
      </c>
      <c r="N720" s="204">
        <v>43213</v>
      </c>
      <c r="AB720" s="110" t="str">
        <f>IFERROR(INDEX('WetLitterbags placem_collection'!$A$3:$A$500,MATCH(A720,'WetLitterbags placem_collection'!$K$4:$K$500,0)),"")</f>
        <v/>
      </c>
      <c r="AC720" s="110" t="str">
        <f>IFERROR(INDEX('WetLitterbags placem_collection'!$A$3:$A$500,MATCH($A720,'WetLitterbags placem_collection'!$O$4:$O$500,0)),"")</f>
        <v/>
      </c>
      <c r="AD720" s="110">
        <f>IFERROR(INDEX('WetLitterbags placem_collection'!$A$3:$A$500,MATCH($A720,'WetLitterbags placem_collection'!$M$4:$M$500,0)),"")</f>
        <v>16</v>
      </c>
      <c r="AE720" s="110" t="str">
        <f>IFERROR(INDEX('WetLitterbags placem_collection'!$A$3:$A$500,MATCH($A720,'WetLitterbags placem_collection'!$Q$4:$Q$500,0)),"")</f>
        <v/>
      </c>
    </row>
    <row r="721" spans="1:31">
      <c r="A721" s="197" t="s">
        <v>598</v>
      </c>
      <c r="C721" s="197">
        <v>136</v>
      </c>
      <c r="D721" s="197">
        <v>1.3183</v>
      </c>
      <c r="E721" s="197">
        <v>8.7314000000000007</v>
      </c>
      <c r="F721" s="197">
        <v>0.20480000000000001</v>
      </c>
      <c r="G721" s="197">
        <f t="shared" si="58"/>
        <v>8.9362000000000013</v>
      </c>
      <c r="H721" s="197">
        <v>8.7448999999999995</v>
      </c>
      <c r="I721" s="197">
        <f t="shared" si="61"/>
        <v>0.1913000000000018</v>
      </c>
      <c r="J721" s="201">
        <f t="shared" si="59"/>
        <v>1.3499999999998208E-2</v>
      </c>
      <c r="K721" s="280">
        <f t="shared" si="60"/>
        <v>6.5917968749991243</v>
      </c>
      <c r="L721" s="197">
        <v>5</v>
      </c>
      <c r="M721" s="197">
        <v>43157.527777777781</v>
      </c>
      <c r="N721" s="197">
        <v>43157.694444444445</v>
      </c>
      <c r="O721" s="197" t="s">
        <v>2556</v>
      </c>
      <c r="AB721" s="110" t="str">
        <f>IFERROR(INDEX('WetLitterbags placem_collection'!$A$3:$A$500,MATCH(A721,'WetLitterbags placem_collection'!$K$4:$K$500,0)),"")</f>
        <v/>
      </c>
      <c r="AC721" s="110" t="str">
        <f>IFERROR(INDEX('WetLitterbags placem_collection'!$A$3:$A$500,MATCH($A721,'WetLitterbags placem_collection'!$O$4:$O$500,0)),"")</f>
        <v/>
      </c>
      <c r="AD721" s="110" t="str">
        <f>IFERROR(INDEX('WetLitterbags placem_collection'!$A$3:$A$500,MATCH($A721,'WetLitterbags placem_collection'!$M$4:$M$500,0)),"")</f>
        <v/>
      </c>
      <c r="AE721" s="110">
        <f>IFERROR(INDEX('WetLitterbags placem_collection'!$A$3:$A$500,MATCH($A721,'WetLitterbags placem_collection'!$Q$4:$Q$500,0)),"")</f>
        <v>135</v>
      </c>
    </row>
    <row r="722" spans="1:31">
      <c r="A722" s="206" t="s">
        <v>597</v>
      </c>
      <c r="C722" s="201">
        <v>118</v>
      </c>
      <c r="D722" s="202">
        <v>1.3688</v>
      </c>
      <c r="E722" s="202">
        <v>7.8598999999999997</v>
      </c>
      <c r="F722" s="202">
        <v>0.19980000000000001</v>
      </c>
      <c r="G722" s="201">
        <f t="shared" si="58"/>
        <v>8.0596999999999994</v>
      </c>
      <c r="H722" s="201">
        <v>7.8691000000000004</v>
      </c>
      <c r="I722" s="201">
        <f t="shared" si="61"/>
        <v>0.19059999999999899</v>
      </c>
      <c r="J722" s="201">
        <f t="shared" si="59"/>
        <v>9.2000000000010129E-3</v>
      </c>
      <c r="K722" s="280">
        <f t="shared" si="60"/>
        <v>4.604604604605111</v>
      </c>
      <c r="L722" s="201">
        <v>17</v>
      </c>
      <c r="M722" s="201"/>
      <c r="N722" s="201"/>
      <c r="O722" s="201"/>
      <c r="P722" s="201"/>
      <c r="AB722" s="110" t="str">
        <f>IFERROR(INDEX('WetLitterbags placem_collection'!$A$3:$A$500,MATCH(A722,'WetLitterbags placem_collection'!$K$4:$K$500,0)),"")</f>
        <v/>
      </c>
      <c r="AC722" s="110" t="str">
        <f>IFERROR(INDEX('WetLitterbags placem_collection'!$A$3:$A$500,MATCH($A722,'WetLitterbags placem_collection'!$O$4:$O$500,0)),"")</f>
        <v/>
      </c>
      <c r="AD722" s="110" t="str">
        <f>IFERROR(INDEX('WetLitterbags placem_collection'!$A$3:$A$500,MATCH($A722,'WetLitterbags placem_collection'!$M$4:$M$500,0)),"")</f>
        <v/>
      </c>
      <c r="AE722" s="110">
        <f>IFERROR(INDEX('WetLitterbags placem_collection'!$A$3:$A$500,MATCH($A722,'WetLitterbags placem_collection'!$Q$4:$Q$500,0)),"")</f>
        <v>117</v>
      </c>
    </row>
    <row r="723" spans="1:31">
      <c r="A723" s="197" t="s">
        <v>596</v>
      </c>
      <c r="C723" s="198">
        <v>149</v>
      </c>
      <c r="D723" s="197">
        <v>1.4964999999999999</v>
      </c>
      <c r="E723" s="201">
        <v>7.9055</v>
      </c>
      <c r="F723" s="202">
        <v>0.20230000000000001</v>
      </c>
      <c r="G723" s="201">
        <f t="shared" si="58"/>
        <v>8.1077999999999992</v>
      </c>
      <c r="H723" s="201">
        <v>7.9234999999999998</v>
      </c>
      <c r="I723" s="201">
        <f t="shared" si="61"/>
        <v>0.18429999999999946</v>
      </c>
      <c r="J723" s="201">
        <f t="shared" si="59"/>
        <v>1.8000000000000543E-2</v>
      </c>
      <c r="K723" s="280">
        <f t="shared" si="60"/>
        <v>8.8976767177461902</v>
      </c>
      <c r="L723" s="201">
        <v>40</v>
      </c>
      <c r="M723" s="204">
        <v>43212</v>
      </c>
      <c r="P723" s="197" t="s">
        <v>2568</v>
      </c>
      <c r="AB723" s="110" t="str">
        <f>IFERROR(INDEX('WetLitterbags placem_collection'!$A$3:$A$500,MATCH(A723,'WetLitterbags placem_collection'!$K$4:$K$500,0)),"")</f>
        <v/>
      </c>
      <c r="AC723" s="110" t="str">
        <f>IFERROR(INDEX('WetLitterbags placem_collection'!$A$3:$A$500,MATCH($A723,'WetLitterbags placem_collection'!$O$4:$O$500,0)),"")</f>
        <v/>
      </c>
      <c r="AD723" s="110">
        <f>IFERROR(INDEX('WetLitterbags placem_collection'!$A$3:$A$500,MATCH($A723,'WetLitterbags placem_collection'!$M$4:$M$500,0)),"")</f>
        <v>148</v>
      </c>
      <c r="AE723" s="110" t="str">
        <f>IFERROR(INDEX('WetLitterbags placem_collection'!$A$3:$A$500,MATCH($A723,'WetLitterbags placem_collection'!$Q$4:$Q$500,0)),"")</f>
        <v/>
      </c>
    </row>
    <row r="724" spans="1:31">
      <c r="A724" s="197" t="s">
        <v>595</v>
      </c>
      <c r="C724" s="197">
        <v>72</v>
      </c>
      <c r="D724" s="197">
        <v>1.3431999999999999</v>
      </c>
      <c r="E724" s="197">
        <v>11.1196</v>
      </c>
      <c r="F724" s="202">
        <v>0.20330000000000001</v>
      </c>
      <c r="G724" s="201">
        <f t="shared" si="58"/>
        <v>11.322900000000001</v>
      </c>
      <c r="H724" s="201">
        <v>11.1311</v>
      </c>
      <c r="I724" s="201">
        <f t="shared" si="61"/>
        <v>0.19180000000000064</v>
      </c>
      <c r="J724" s="201">
        <f t="shared" si="59"/>
        <v>1.1499999999999372E-2</v>
      </c>
      <c r="K724" s="280">
        <f t="shared" si="60"/>
        <v>5.6566650270533065</v>
      </c>
      <c r="L724" s="201">
        <v>18</v>
      </c>
      <c r="P724" s="197" t="s">
        <v>2557</v>
      </c>
      <c r="AB724" s="110" t="str">
        <f>IFERROR(INDEX('WetLitterbags placem_collection'!$A$3:$A$500,MATCH(A724,'WetLitterbags placem_collection'!$K$4:$K$500,0)),"")</f>
        <v/>
      </c>
      <c r="AC724" s="110" t="str">
        <f>IFERROR(INDEX('WetLitterbags placem_collection'!$A$3:$A$500,MATCH($A724,'WetLitterbags placem_collection'!$O$4:$O$500,0)),"")</f>
        <v/>
      </c>
      <c r="AD724" s="110">
        <f>IFERROR(INDEX('WetLitterbags placem_collection'!$A$3:$A$500,MATCH($A724,'WetLitterbags placem_collection'!$M$4:$M$500,0)),"")</f>
        <v>71</v>
      </c>
      <c r="AE724" s="110" t="str">
        <f>IFERROR(INDEX('WetLitterbags placem_collection'!$A$3:$A$500,MATCH($A724,'WetLitterbags placem_collection'!$Q$4:$Q$500,0)),"")</f>
        <v/>
      </c>
    </row>
    <row r="725" spans="1:31">
      <c r="A725" s="201" t="s">
        <v>594</v>
      </c>
      <c r="C725" s="201">
        <v>95</v>
      </c>
      <c r="D725" s="197">
        <v>2.7208999999999999</v>
      </c>
      <c r="E725" s="202">
        <v>11.9041</v>
      </c>
      <c r="F725" s="202">
        <v>0.2029</v>
      </c>
      <c r="G725" s="201">
        <f t="shared" si="58"/>
        <v>12.106999999999999</v>
      </c>
      <c r="H725" s="201">
        <v>11.9305</v>
      </c>
      <c r="I725" s="201">
        <f t="shared" si="61"/>
        <v>0.17649999999999899</v>
      </c>
      <c r="J725" s="201">
        <f t="shared" si="59"/>
        <v>2.6400000000001006E-2</v>
      </c>
      <c r="K725" s="280">
        <f t="shared" si="60"/>
        <v>13.011335633317401</v>
      </c>
      <c r="L725" s="201">
        <v>16</v>
      </c>
      <c r="M725" s="205">
        <v>43174</v>
      </c>
      <c r="N725" s="205">
        <v>43174</v>
      </c>
      <c r="O725" s="201" t="s">
        <v>2556</v>
      </c>
      <c r="P725" s="201" t="s">
        <v>2551</v>
      </c>
      <c r="AB725" s="110" t="str">
        <f>IFERROR(INDEX('WetLitterbags placem_collection'!$A$3:$A$500,MATCH(A725,'WetLitterbags placem_collection'!$K$4:$K$500,0)),"")</f>
        <v/>
      </c>
      <c r="AC725" s="110" t="str">
        <f>IFERROR(INDEX('WetLitterbags placem_collection'!$A$3:$A$500,MATCH($A725,'WetLitterbags placem_collection'!$O$4:$O$500,0)),"")</f>
        <v/>
      </c>
      <c r="AD725" s="110" t="str">
        <f>IFERROR(INDEX('WetLitterbags placem_collection'!$A$3:$A$500,MATCH($A725,'WetLitterbags placem_collection'!$M$4:$M$500,0)),"")</f>
        <v/>
      </c>
      <c r="AE725" s="110">
        <f>IFERROR(INDEX('WetLitterbags placem_collection'!$A$3:$A$500,MATCH($A725,'WetLitterbags placem_collection'!$Q$4:$Q$500,0)),"")</f>
        <v>94</v>
      </c>
    </row>
    <row r="726" spans="1:31">
      <c r="A726" s="197" t="s">
        <v>593</v>
      </c>
      <c r="C726" s="197">
        <v>105</v>
      </c>
      <c r="D726" s="197">
        <v>1.5258</v>
      </c>
      <c r="E726" s="197">
        <v>20.898399999999999</v>
      </c>
      <c r="F726" s="197">
        <v>0.2021</v>
      </c>
      <c r="G726" s="197">
        <f t="shared" si="58"/>
        <v>21.1005</v>
      </c>
      <c r="H726" s="197">
        <v>20.931699999999999</v>
      </c>
      <c r="I726" s="197">
        <f t="shared" si="61"/>
        <v>0.16880000000000095</v>
      </c>
      <c r="J726" s="201">
        <f t="shared" si="59"/>
        <v>3.3299999999999053E-2</v>
      </c>
      <c r="K726" s="280">
        <f t="shared" si="60"/>
        <v>16.476991588322143</v>
      </c>
      <c r="L726" s="197">
        <v>7</v>
      </c>
      <c r="M726" s="197" t="s">
        <v>2576</v>
      </c>
      <c r="N726" s="197">
        <v>43153.729166666664</v>
      </c>
      <c r="O726" s="197" t="s">
        <v>2550</v>
      </c>
      <c r="P726" s="197" t="s">
        <v>2574</v>
      </c>
      <c r="AB726" s="110" t="str">
        <f>IFERROR(INDEX('WetLitterbags placem_collection'!$A$3:$A$500,MATCH(A726,'WetLitterbags placem_collection'!$K$4:$K$500,0)),"")</f>
        <v/>
      </c>
      <c r="AC726" s="110" t="str">
        <f>IFERROR(INDEX('WetLitterbags placem_collection'!$A$3:$A$500,MATCH($A726,'WetLitterbags placem_collection'!$O$4:$O$500,0)),"")</f>
        <v/>
      </c>
      <c r="AD726" s="110">
        <f>IFERROR(INDEX('WetLitterbags placem_collection'!$A$3:$A$500,MATCH($A726,'WetLitterbags placem_collection'!$M$4:$M$500,0)),"")</f>
        <v>104</v>
      </c>
      <c r="AE726" s="110" t="str">
        <f>IFERROR(INDEX('WetLitterbags placem_collection'!$A$3:$A$500,MATCH($A726,'WetLitterbags placem_collection'!$Q$4:$Q$500,0)),"")</f>
        <v/>
      </c>
    </row>
    <row r="727" spans="1:31">
      <c r="A727" s="197" t="s">
        <v>592</v>
      </c>
      <c r="C727" s="197">
        <v>99</v>
      </c>
      <c r="D727" s="197">
        <v>1.3541000000000001</v>
      </c>
      <c r="E727" s="197">
        <v>20.781099999999999</v>
      </c>
      <c r="F727" s="197">
        <v>0.20880000000000001</v>
      </c>
      <c r="G727" s="197">
        <f t="shared" si="58"/>
        <v>20.989899999999999</v>
      </c>
      <c r="H727" s="197">
        <v>20.7882</v>
      </c>
      <c r="I727" s="197">
        <f t="shared" si="61"/>
        <v>0.20169999999999888</v>
      </c>
      <c r="J727" s="201">
        <f t="shared" si="59"/>
        <v>7.1000000000011332E-3</v>
      </c>
      <c r="K727" s="280">
        <f t="shared" si="60"/>
        <v>3.4003831417629944</v>
      </c>
      <c r="L727" s="197">
        <v>3</v>
      </c>
      <c r="M727" s="197" t="s">
        <v>2576</v>
      </c>
      <c r="N727" s="197">
        <v>43153.729166666664</v>
      </c>
      <c r="O727" s="197" t="s">
        <v>2550</v>
      </c>
      <c r="P727" s="197" t="s">
        <v>2574</v>
      </c>
      <c r="AB727" s="110" t="str">
        <f>IFERROR(INDEX('WetLitterbags placem_collection'!$A$3:$A$500,MATCH(A727,'WetLitterbags placem_collection'!$K$4:$K$500,0)),"")</f>
        <v/>
      </c>
      <c r="AC727" s="110" t="str">
        <f>IFERROR(INDEX('WetLitterbags placem_collection'!$A$3:$A$500,MATCH($A727,'WetLitterbags placem_collection'!$O$4:$O$500,0)),"")</f>
        <v/>
      </c>
      <c r="AD727" s="110">
        <f>IFERROR(INDEX('WetLitterbags placem_collection'!$A$3:$A$500,MATCH($A727,'WetLitterbags placem_collection'!$M$4:$M$500,0)),"")</f>
        <v>98</v>
      </c>
      <c r="AE727" s="110" t="str">
        <f>IFERROR(INDEX('WetLitterbags placem_collection'!$A$3:$A$500,MATCH($A727,'WetLitterbags placem_collection'!$Q$4:$Q$500,0)),"")</f>
        <v/>
      </c>
    </row>
    <row r="728" spans="1:31">
      <c r="A728" s="206" t="s">
        <v>2531</v>
      </c>
      <c r="C728" s="201">
        <v>110</v>
      </c>
      <c r="D728" s="201">
        <v>1.2992999999999999</v>
      </c>
      <c r="E728" s="201">
        <v>10.5213</v>
      </c>
      <c r="F728" s="202">
        <v>0.2064</v>
      </c>
      <c r="G728" s="201">
        <f t="shared" si="58"/>
        <v>10.7277</v>
      </c>
      <c r="H728" s="201">
        <v>10.5314</v>
      </c>
      <c r="I728" s="201">
        <f t="shared" si="61"/>
        <v>0.19630000000000081</v>
      </c>
      <c r="J728" s="201">
        <f t="shared" si="59"/>
        <v>1.0099999999999193E-2</v>
      </c>
      <c r="K728" s="280">
        <f t="shared" si="60"/>
        <v>4.8934108527127869</v>
      </c>
      <c r="L728" s="201">
        <v>27</v>
      </c>
      <c r="M728" s="205">
        <v>43211</v>
      </c>
      <c r="AB728" s="110" t="str">
        <f>IFERROR(INDEX('WetLitterbags placem_collection'!$A$3:$A$500,MATCH(A728,'WetLitterbags placem_collection'!$K$4:$K$500,0)),"")</f>
        <v/>
      </c>
      <c r="AC728" s="110" t="str">
        <f>IFERROR(INDEX('WetLitterbags placem_collection'!$A$3:$A$500,MATCH($A728,'WetLitterbags placem_collection'!$O$4:$O$500,0)),"")</f>
        <v/>
      </c>
      <c r="AD728" s="110" t="str">
        <f>IFERROR(INDEX('WetLitterbags placem_collection'!$A$3:$A$500,MATCH($A728,'WetLitterbags placem_collection'!$M$4:$M$500,0)),"")</f>
        <v/>
      </c>
      <c r="AE728" s="110">
        <f>IFERROR(INDEX('WetLitterbags placem_collection'!$A$3:$A$500,MATCH($A728,'WetLitterbags placem_collection'!$Q$4:$Q$500,0)),"")</f>
        <v>109</v>
      </c>
    </row>
    <row r="729" spans="1:31">
      <c r="A729" s="201" t="s">
        <v>2496</v>
      </c>
      <c r="C729" s="201">
        <v>55</v>
      </c>
      <c r="D729" s="201">
        <v>1.2990999999999999</v>
      </c>
      <c r="E729" s="201">
        <v>10.901400000000001</v>
      </c>
      <c r="F729" s="202">
        <v>0.20949999999999999</v>
      </c>
      <c r="G729" s="201">
        <f t="shared" si="58"/>
        <v>11.110900000000001</v>
      </c>
      <c r="H729" s="201">
        <v>10.9238</v>
      </c>
      <c r="I729" s="201">
        <f t="shared" si="61"/>
        <v>0.18710000000000093</v>
      </c>
      <c r="J729" s="201">
        <f t="shared" si="59"/>
        <v>2.239999999999906E-2</v>
      </c>
      <c r="K729" s="280">
        <f t="shared" si="60"/>
        <v>10.692124105011484</v>
      </c>
      <c r="L729" s="201">
        <v>15</v>
      </c>
      <c r="M729" s="205">
        <v>43187</v>
      </c>
      <c r="N729" s="205">
        <v>43187</v>
      </c>
      <c r="O729" s="201"/>
      <c r="P729" s="201"/>
      <c r="U729" s="202" t="s">
        <v>1254</v>
      </c>
      <c r="V729" s="197">
        <v>1.0869</v>
      </c>
      <c r="W729" s="197">
        <f>(V729-$T$175+F727)</f>
        <v>1.2957000000000001</v>
      </c>
      <c r="AB729" s="110" t="str">
        <f>IFERROR(INDEX('WetLitterbags placem_collection'!$A$3:$A$500,MATCH(A729,'WetLitterbags placem_collection'!$K$4:$K$500,0)),"")</f>
        <v/>
      </c>
      <c r="AC729" s="110" t="str">
        <f>IFERROR(INDEX('WetLitterbags placem_collection'!$A$3:$A$500,MATCH($A729,'WetLitterbags placem_collection'!$O$4:$O$500,0)),"")</f>
        <v/>
      </c>
      <c r="AD729" s="110" t="str">
        <f>IFERROR(INDEX('WetLitterbags placem_collection'!$A$3:$A$500,MATCH($A729,'WetLitterbags placem_collection'!$M$4:$M$500,0)),"")</f>
        <v/>
      </c>
      <c r="AE729" s="110">
        <f>IFERROR(INDEX('WetLitterbags placem_collection'!$A$3:$A$500,MATCH($A729,'WetLitterbags placem_collection'!$Q$4:$Q$500,0)),"")</f>
        <v>54</v>
      </c>
    </row>
    <row r="730" spans="1:31">
      <c r="A730" s="197" t="s">
        <v>1086</v>
      </c>
      <c r="C730" s="197">
        <v>126</v>
      </c>
      <c r="D730" s="197">
        <v>1.2043999999999999</v>
      </c>
      <c r="E730" s="197">
        <v>10.855700000000001</v>
      </c>
      <c r="F730" s="197">
        <v>0.20710000000000001</v>
      </c>
      <c r="G730" s="197">
        <f t="shared" si="58"/>
        <v>11.062800000000001</v>
      </c>
      <c r="H730" s="197">
        <v>10.863799999999999</v>
      </c>
      <c r="I730" s="197">
        <f t="shared" si="61"/>
        <v>0.19900000000000162</v>
      </c>
      <c r="J730" s="201">
        <f t="shared" si="59"/>
        <v>8.0999999999983863E-3</v>
      </c>
      <c r="K730" s="280">
        <f t="shared" si="60"/>
        <v>3.9111540318678832</v>
      </c>
      <c r="L730" s="197">
        <v>1</v>
      </c>
      <c r="M730" s="197">
        <v>43157.527777777781</v>
      </c>
      <c r="N730" s="197">
        <v>43157.694444444445</v>
      </c>
      <c r="O730" s="197" t="s">
        <v>2556</v>
      </c>
      <c r="AB730" s="110" t="str">
        <f>IFERROR(INDEX('WetLitterbags placem_collection'!$A$3:$A$500,MATCH(A730,'WetLitterbags placem_collection'!$K$4:$K$500,0)),"")</f>
        <v/>
      </c>
      <c r="AC730" s="110" t="str">
        <f>IFERROR(INDEX('WetLitterbags placem_collection'!$A$3:$A$500,MATCH($A730,'WetLitterbags placem_collection'!$O$4:$O$500,0)),"")</f>
        <v/>
      </c>
      <c r="AD730" s="110" t="str">
        <f>IFERROR(INDEX('WetLitterbags placem_collection'!$A$3:$A$500,MATCH($A730,'WetLitterbags placem_collection'!$M$4:$M$500,0)),"")</f>
        <v/>
      </c>
      <c r="AE730" s="110">
        <f>IFERROR(INDEX('WetLitterbags placem_collection'!$A$3:$A$500,MATCH($A730,'WetLitterbags placem_collection'!$Q$4:$Q$500,0)),"")</f>
        <v>125</v>
      </c>
    </row>
    <row r="731" spans="1:31">
      <c r="A731" s="206" t="s">
        <v>591</v>
      </c>
      <c r="C731" s="201">
        <v>64</v>
      </c>
      <c r="D731" s="202">
        <v>1.4125000000000001</v>
      </c>
      <c r="E731" s="201">
        <v>9.7211999999999996</v>
      </c>
      <c r="F731" s="202">
        <v>0.2026</v>
      </c>
      <c r="G731" s="201">
        <f t="shared" si="58"/>
        <v>9.9238</v>
      </c>
      <c r="H731" s="201">
        <v>9.7532999999999994</v>
      </c>
      <c r="I731" s="201">
        <f t="shared" si="61"/>
        <v>0.17050000000000054</v>
      </c>
      <c r="J731" s="201">
        <f t="shared" si="59"/>
        <v>3.2099999999999462E-2</v>
      </c>
      <c r="K731" s="280">
        <f t="shared" si="60"/>
        <v>15.844027640671007</v>
      </c>
      <c r="L731" s="201">
        <v>17</v>
      </c>
      <c r="M731" s="205">
        <v>43206</v>
      </c>
      <c r="N731" s="205">
        <v>43206</v>
      </c>
      <c r="O731" s="201"/>
      <c r="P731" s="201"/>
      <c r="AB731" s="110" t="str">
        <f>IFERROR(INDEX('WetLitterbags placem_collection'!$A$3:$A$500,MATCH(A731,'WetLitterbags placem_collection'!$K$4:$K$500,0)),"")</f>
        <v/>
      </c>
      <c r="AC731" s="110" t="str">
        <f>IFERROR(INDEX('WetLitterbags placem_collection'!$A$3:$A$500,MATCH($A731,'WetLitterbags placem_collection'!$O$4:$O$500,0)),"")</f>
        <v/>
      </c>
      <c r="AD731" s="110" t="str">
        <f>IFERROR(INDEX('WetLitterbags placem_collection'!$A$3:$A$500,MATCH($A731,'WetLitterbags placem_collection'!$M$4:$M$500,0)),"")</f>
        <v/>
      </c>
      <c r="AE731" s="110">
        <f>IFERROR(INDEX('WetLitterbags placem_collection'!$A$3:$A$500,MATCH($A731,'WetLitterbags placem_collection'!$Q$4:$Q$500,0)),"")</f>
        <v>63</v>
      </c>
    </row>
    <row r="732" spans="1:31">
      <c r="A732" s="197" t="s">
        <v>589</v>
      </c>
      <c r="C732" s="197">
        <v>106</v>
      </c>
      <c r="D732" s="197">
        <v>1.4557</v>
      </c>
      <c r="E732" s="197">
        <v>8.0465</v>
      </c>
      <c r="F732" s="197">
        <v>0.19600000000000001</v>
      </c>
      <c r="G732" s="197">
        <f t="shared" si="58"/>
        <v>8.2424999999999997</v>
      </c>
      <c r="H732" s="197">
        <v>8.0646000000000004</v>
      </c>
      <c r="I732" s="197">
        <f t="shared" si="61"/>
        <v>0.17789999999999928</v>
      </c>
      <c r="J732" s="201">
        <f t="shared" si="59"/>
        <v>1.8100000000000727E-2</v>
      </c>
      <c r="K732" s="280">
        <f t="shared" si="60"/>
        <v>9.2346938775513898</v>
      </c>
      <c r="L732" s="197">
        <v>4</v>
      </c>
      <c r="M732" s="197">
        <v>43157.395833333336</v>
      </c>
      <c r="N732" s="197">
        <v>43157.569444444445</v>
      </c>
      <c r="O732" s="197" t="s">
        <v>2550</v>
      </c>
      <c r="AB732" s="110" t="str">
        <f>IFERROR(INDEX('WetLitterbags placem_collection'!$A$3:$A$500,MATCH(A732,'WetLitterbags placem_collection'!$K$4:$K$500,0)),"")</f>
        <v/>
      </c>
      <c r="AC732" s="110" t="str">
        <f>IFERROR(INDEX('WetLitterbags placem_collection'!$A$3:$A$500,MATCH($A732,'WetLitterbags placem_collection'!$O$4:$O$500,0)),"")</f>
        <v/>
      </c>
      <c r="AD732" s="110">
        <f>IFERROR(INDEX('WetLitterbags placem_collection'!$A$3:$A$500,MATCH($A732,'WetLitterbags placem_collection'!$M$4:$M$500,0)),"")</f>
        <v>108</v>
      </c>
      <c r="AE732" s="110" t="str">
        <f>IFERROR(INDEX('WetLitterbags placem_collection'!$A$3:$A$500,MATCH($A732,'WetLitterbags placem_collection'!$Q$4:$Q$500,0)),"")</f>
        <v/>
      </c>
    </row>
    <row r="733" spans="1:31">
      <c r="A733" s="197" t="s">
        <v>588</v>
      </c>
      <c r="C733" s="197">
        <v>115</v>
      </c>
      <c r="D733" s="197">
        <v>0.5464</v>
      </c>
      <c r="E733" s="197">
        <v>19.7163</v>
      </c>
      <c r="F733" s="197">
        <v>0.19450000000000001</v>
      </c>
      <c r="G733" s="197">
        <f t="shared" si="58"/>
        <v>19.910800000000002</v>
      </c>
      <c r="H733" s="197">
        <v>19.8947</v>
      </c>
      <c r="I733" s="197">
        <f t="shared" si="61"/>
        <v>1.6100000000001558E-2</v>
      </c>
      <c r="J733" s="201">
        <f t="shared" si="59"/>
        <v>0.17839999999999845</v>
      </c>
      <c r="K733" s="280">
        <f t="shared" si="60"/>
        <v>91.722365038559602</v>
      </c>
      <c r="L733" s="197">
        <v>14</v>
      </c>
      <c r="M733" s="197" t="s">
        <v>2576</v>
      </c>
      <c r="N733" s="197">
        <v>43153.729166666664</v>
      </c>
      <c r="O733" s="197" t="s">
        <v>2550</v>
      </c>
      <c r="P733" s="197" t="s">
        <v>2574</v>
      </c>
      <c r="AB733" s="110" t="str">
        <f>IFERROR(INDEX('WetLitterbags placem_collection'!$A$3:$A$500,MATCH(A733,'WetLitterbags placem_collection'!$K$4:$K$500,0)),"")</f>
        <v/>
      </c>
      <c r="AC733" s="110" t="str">
        <f>IFERROR(INDEX('WetLitterbags placem_collection'!$A$3:$A$500,MATCH($A733,'WetLitterbags placem_collection'!$O$4:$O$500,0)),"")</f>
        <v/>
      </c>
      <c r="AD733" s="110">
        <f>IFERROR(INDEX('WetLitterbags placem_collection'!$A$3:$A$500,MATCH($A733,'WetLitterbags placem_collection'!$M$4:$M$500,0)),"")</f>
        <v>114</v>
      </c>
      <c r="AE733" s="110" t="str">
        <f>IFERROR(INDEX('WetLitterbags placem_collection'!$A$3:$A$500,MATCH($A733,'WetLitterbags placem_collection'!$Q$4:$Q$500,0)),"")</f>
        <v/>
      </c>
    </row>
    <row r="734" spans="1:31">
      <c r="A734" s="197" t="s">
        <v>587</v>
      </c>
      <c r="C734" s="197">
        <v>128</v>
      </c>
      <c r="D734" s="197">
        <v>1.8813</v>
      </c>
      <c r="E734" s="197">
        <v>8.1418999999999997</v>
      </c>
      <c r="F734" s="197">
        <v>0.20810000000000001</v>
      </c>
      <c r="G734" s="197">
        <f t="shared" si="58"/>
        <v>8.35</v>
      </c>
      <c r="H734" s="197">
        <v>8.2802000000000007</v>
      </c>
      <c r="I734" s="197">
        <f t="shared" si="61"/>
        <v>6.9799999999998974E-2</v>
      </c>
      <c r="J734" s="201">
        <f t="shared" si="59"/>
        <v>0.13830000000000103</v>
      </c>
      <c r="K734" s="280">
        <f t="shared" si="60"/>
        <v>66.458433445459406</v>
      </c>
      <c r="L734" s="197">
        <v>8</v>
      </c>
      <c r="M734" s="197">
        <v>43157.395833333336</v>
      </c>
      <c r="N734" s="197">
        <v>43157.569444444445</v>
      </c>
      <c r="O734" s="197" t="s">
        <v>2550</v>
      </c>
      <c r="AB734" s="110" t="str">
        <f>IFERROR(INDEX('WetLitterbags placem_collection'!$A$3:$A$500,MATCH(A734,'WetLitterbags placem_collection'!$K$4:$K$500,0)),"")</f>
        <v/>
      </c>
      <c r="AC734" s="110" t="str">
        <f>IFERROR(INDEX('WetLitterbags placem_collection'!$A$3:$A$500,MATCH($A734,'WetLitterbags placem_collection'!$O$4:$O$500,0)),"")</f>
        <v/>
      </c>
      <c r="AD734" s="110">
        <f>IFERROR(INDEX('WetLitterbags placem_collection'!$A$3:$A$500,MATCH($A734,'WetLitterbags placem_collection'!$M$4:$M$500,0)),"")</f>
        <v>127</v>
      </c>
      <c r="AE734" s="110" t="str">
        <f>IFERROR(INDEX('WetLitterbags placem_collection'!$A$3:$A$500,MATCH($A734,'WetLitterbags placem_collection'!$Q$4:$Q$500,0)),"")</f>
        <v/>
      </c>
    </row>
    <row r="735" spans="1:31">
      <c r="A735" s="197" t="s">
        <v>586</v>
      </c>
      <c r="C735" s="198">
        <v>184</v>
      </c>
      <c r="D735" s="197">
        <v>1.5008999999999999</v>
      </c>
      <c r="E735" s="202">
        <v>11.055300000000001</v>
      </c>
      <c r="F735" s="202">
        <v>0.2036</v>
      </c>
      <c r="G735" s="201">
        <f t="shared" si="58"/>
        <v>11.258900000000001</v>
      </c>
      <c r="H735" s="201">
        <v>11.0609</v>
      </c>
      <c r="I735" s="201">
        <f t="shared" si="61"/>
        <v>0.1980000000000004</v>
      </c>
      <c r="J735" s="201">
        <f t="shared" si="59"/>
        <v>5.5999999999996053E-3</v>
      </c>
      <c r="K735" s="280">
        <f t="shared" si="60"/>
        <v>2.750491159135366</v>
      </c>
      <c r="L735" s="201">
        <v>3</v>
      </c>
      <c r="M735" s="204">
        <v>43221</v>
      </c>
      <c r="N735" s="204">
        <v>43221</v>
      </c>
      <c r="AB735" s="110" t="str">
        <f>IFERROR(INDEX('WetLitterbags placem_collection'!$A$3:$A$500,MATCH(A735,'WetLitterbags placem_collection'!$K$4:$K$500,0)),"")</f>
        <v/>
      </c>
      <c r="AC735" s="110" t="str">
        <f>IFERROR(INDEX('WetLitterbags placem_collection'!$A$3:$A$500,MATCH($A735,'WetLitterbags placem_collection'!$O$4:$O$500,0)),"")</f>
        <v/>
      </c>
      <c r="AD735" s="110" t="str">
        <f>IFERROR(INDEX('WetLitterbags placem_collection'!$A$3:$A$500,MATCH($A735,'WetLitterbags placem_collection'!$M$4:$M$500,0)),"")</f>
        <v/>
      </c>
      <c r="AE735" s="110">
        <f>IFERROR(INDEX('WetLitterbags placem_collection'!$A$3:$A$500,MATCH($A735,'WetLitterbags placem_collection'!$Q$4:$Q$500,0)),"")</f>
        <v>183</v>
      </c>
    </row>
    <row r="736" spans="1:31">
      <c r="A736" s="201" t="s">
        <v>585</v>
      </c>
      <c r="C736" s="201">
        <v>155</v>
      </c>
      <c r="D736" s="202">
        <v>1.3769</v>
      </c>
      <c r="E736" s="201">
        <v>8.7598000000000003</v>
      </c>
      <c r="F736" s="202">
        <v>0.20030000000000001</v>
      </c>
      <c r="G736" s="201">
        <f t="shared" si="58"/>
        <v>8.9601000000000006</v>
      </c>
      <c r="H736" s="201">
        <v>8.7750000000000004</v>
      </c>
      <c r="I736" s="201">
        <f t="shared" si="61"/>
        <v>0.18510000000000026</v>
      </c>
      <c r="J736" s="201">
        <f t="shared" si="59"/>
        <v>1.5199999999999741E-2</v>
      </c>
      <c r="K736" s="280">
        <f t="shared" si="60"/>
        <v>7.5886170743882877</v>
      </c>
      <c r="L736" s="201">
        <v>21</v>
      </c>
      <c r="M736" s="205">
        <v>43206</v>
      </c>
      <c r="N736" s="205">
        <v>43206</v>
      </c>
      <c r="O736" s="201"/>
      <c r="P736" s="201" t="s">
        <v>2564</v>
      </c>
      <c r="AB736" s="110" t="str">
        <f>IFERROR(INDEX('WetLitterbags placem_collection'!$A$3:$A$500,MATCH(A736,'WetLitterbags placem_collection'!$K$4:$K$500,0)),"")</f>
        <v/>
      </c>
      <c r="AC736" s="110" t="str">
        <f>IFERROR(INDEX('WetLitterbags placem_collection'!$A$3:$A$500,MATCH($A736,'WetLitterbags placem_collection'!$O$4:$O$500,0)),"")</f>
        <v/>
      </c>
      <c r="AD736" s="110" t="str">
        <f>IFERROR(INDEX('WetLitterbags placem_collection'!$A$3:$A$500,MATCH($A736,'WetLitterbags placem_collection'!$M$4:$M$500,0)),"")</f>
        <v/>
      </c>
      <c r="AE736" s="110">
        <f>IFERROR(INDEX('WetLitterbags placem_collection'!$A$3:$A$500,MATCH($A736,'WetLitterbags placem_collection'!$Q$4:$Q$500,0)),"")</f>
        <v>154</v>
      </c>
    </row>
    <row r="737" spans="1:31">
      <c r="A737" s="206" t="s">
        <v>584</v>
      </c>
      <c r="C737" s="201">
        <v>186</v>
      </c>
      <c r="D737" s="201">
        <v>1.514</v>
      </c>
      <c r="E737" s="201">
        <v>10.697900000000001</v>
      </c>
      <c r="F737" s="202">
        <v>0.20419999999999999</v>
      </c>
      <c r="G737" s="201">
        <f t="shared" si="58"/>
        <v>10.902100000000001</v>
      </c>
      <c r="H737" s="201">
        <v>10.702299999999999</v>
      </c>
      <c r="I737" s="201">
        <f t="shared" si="61"/>
        <v>0.19980000000000153</v>
      </c>
      <c r="J737" s="201">
        <f t="shared" si="59"/>
        <v>4.3999999999984607E-3</v>
      </c>
      <c r="K737" s="280">
        <f t="shared" si="60"/>
        <v>2.1547502448572287</v>
      </c>
      <c r="L737" s="201">
        <v>29</v>
      </c>
      <c r="M737" s="205">
        <v>43187</v>
      </c>
      <c r="N737" s="205">
        <v>43187</v>
      </c>
      <c r="O737" s="201"/>
      <c r="P737" s="201"/>
      <c r="AB737" s="110" t="str">
        <f>IFERROR(INDEX('WetLitterbags placem_collection'!$A$3:$A$500,MATCH(A737,'WetLitterbags placem_collection'!$K$4:$K$500,0)),"")</f>
        <v/>
      </c>
      <c r="AC737" s="110" t="str">
        <f>IFERROR(INDEX('WetLitterbags placem_collection'!$A$3:$A$500,MATCH($A737,'WetLitterbags placem_collection'!$O$4:$O$500,0)),"")</f>
        <v/>
      </c>
      <c r="AD737" s="110">
        <f>IFERROR(INDEX('WetLitterbags placem_collection'!$A$3:$A$500,MATCH($A737,'WetLitterbags placem_collection'!$M$4:$M$500,0)),"")</f>
        <v>185</v>
      </c>
      <c r="AE737" s="110" t="str">
        <f>IFERROR(INDEX('WetLitterbags placem_collection'!$A$3:$A$500,MATCH($A737,'WetLitterbags placem_collection'!$Q$4:$Q$500,0)),"")</f>
        <v/>
      </c>
    </row>
    <row r="738" spans="1:31">
      <c r="A738" s="201" t="s">
        <v>583</v>
      </c>
      <c r="C738" s="201">
        <v>171</v>
      </c>
      <c r="D738" s="201">
        <v>1.3822000000000001</v>
      </c>
      <c r="E738" s="202">
        <v>8.7588000000000008</v>
      </c>
      <c r="F738" s="202">
        <v>0.20580000000000001</v>
      </c>
      <c r="G738" s="201">
        <f t="shared" si="58"/>
        <v>8.9646000000000008</v>
      </c>
      <c r="H738" s="201">
        <v>8.7649000000000008</v>
      </c>
      <c r="I738" s="201">
        <f t="shared" si="61"/>
        <v>0.19969999999999999</v>
      </c>
      <c r="J738" s="201">
        <f t="shared" si="59"/>
        <v>6.1000000000000221E-3</v>
      </c>
      <c r="K738" s="280">
        <f t="shared" si="60"/>
        <v>2.9640427599611376</v>
      </c>
      <c r="L738" s="201">
        <v>9</v>
      </c>
      <c r="M738" s="205">
        <v>43174</v>
      </c>
      <c r="N738" s="205">
        <v>43174</v>
      </c>
      <c r="O738" s="201" t="s">
        <v>2556</v>
      </c>
      <c r="P738" s="201" t="s">
        <v>2551</v>
      </c>
      <c r="AB738" s="110" t="str">
        <f>IFERROR(INDEX('WetLitterbags placem_collection'!$A$3:$A$500,MATCH(A738,'WetLitterbags placem_collection'!$K$4:$K$500,0)),"")</f>
        <v/>
      </c>
      <c r="AC738" s="110" t="str">
        <f>IFERROR(INDEX('WetLitterbags placem_collection'!$A$3:$A$500,MATCH($A738,'WetLitterbags placem_collection'!$O$4:$O$500,0)),"")</f>
        <v/>
      </c>
      <c r="AD738" s="110">
        <f>IFERROR(INDEX('WetLitterbags placem_collection'!$A$3:$A$500,MATCH($A738,'WetLitterbags placem_collection'!$M$4:$M$500,0)),"")</f>
        <v>170</v>
      </c>
      <c r="AE738" s="110" t="str">
        <f>IFERROR(INDEX('WetLitterbags placem_collection'!$A$3:$A$500,MATCH($A738,'WetLitterbags placem_collection'!$Q$4:$Q$500,0)),"")</f>
        <v/>
      </c>
    </row>
    <row r="739" spans="1:31">
      <c r="A739" s="206" t="s">
        <v>582</v>
      </c>
      <c r="C739" s="201">
        <v>140</v>
      </c>
      <c r="D739" s="201">
        <v>1.4224000000000001</v>
      </c>
      <c r="E739" s="201">
        <v>8.4426000000000005</v>
      </c>
      <c r="F739" s="201">
        <v>0.2099</v>
      </c>
      <c r="G739" s="201">
        <f t="shared" si="58"/>
        <v>8.6524999999999999</v>
      </c>
      <c r="H739" s="201">
        <v>8.4672999999999998</v>
      </c>
      <c r="I739" s="201">
        <f t="shared" si="61"/>
        <v>0.18520000000000003</v>
      </c>
      <c r="J739" s="201">
        <f t="shared" si="59"/>
        <v>2.4699999999999972E-2</v>
      </c>
      <c r="K739" s="280">
        <f t="shared" si="60"/>
        <v>11.767508337303465</v>
      </c>
      <c r="L739" s="201">
        <v>1</v>
      </c>
      <c r="M739" s="203">
        <v>43164.628472222219</v>
      </c>
      <c r="N739" s="203">
        <v>43164.795138888891</v>
      </c>
      <c r="O739" s="197" t="s">
        <v>2550</v>
      </c>
      <c r="P739" s="201"/>
      <c r="AB739" s="110" t="str">
        <f>IFERROR(INDEX('WetLitterbags placem_collection'!$A$3:$A$500,MATCH(A739,'WetLitterbags placem_collection'!$K$4:$K$500,0)),"")</f>
        <v/>
      </c>
      <c r="AC739" s="110" t="str">
        <f>IFERROR(INDEX('WetLitterbags placem_collection'!$A$3:$A$500,MATCH($A739,'WetLitterbags placem_collection'!$O$4:$O$500,0)),"")</f>
        <v/>
      </c>
      <c r="AD739" s="110" t="str">
        <f>IFERROR(INDEX('WetLitterbags placem_collection'!$A$3:$A$500,MATCH($A739,'WetLitterbags placem_collection'!$M$4:$M$500,0)),"")</f>
        <v/>
      </c>
      <c r="AE739" s="110">
        <f>IFERROR(INDEX('WetLitterbags placem_collection'!$A$3:$A$500,MATCH($A739,'WetLitterbags placem_collection'!$Q$4:$Q$500,0)),"")</f>
        <v>139</v>
      </c>
    </row>
    <row r="740" spans="1:31">
      <c r="A740" s="197" t="s">
        <v>1085</v>
      </c>
      <c r="C740" s="197">
        <v>79</v>
      </c>
      <c r="D740" s="197">
        <v>1.4087000000000001</v>
      </c>
      <c r="E740" s="197">
        <v>19.805900000000001</v>
      </c>
      <c r="F740" s="197">
        <v>0.19109999999999999</v>
      </c>
      <c r="G740" s="197">
        <f t="shared" si="58"/>
        <v>19.997</v>
      </c>
      <c r="H740" s="197">
        <v>19.8095</v>
      </c>
      <c r="I740" s="197">
        <f t="shared" ref="I740:I771" si="62">(G740-H740)</f>
        <v>0.1875</v>
      </c>
      <c r="J740" s="201">
        <f t="shared" si="59"/>
        <v>3.5999999999999921E-3</v>
      </c>
      <c r="K740" s="280">
        <f t="shared" si="60"/>
        <v>1.8838304552590228</v>
      </c>
      <c r="L740" s="197">
        <v>21</v>
      </c>
      <c r="M740" s="197" t="s">
        <v>2580</v>
      </c>
      <c r="N740" s="197" t="s">
        <v>2579</v>
      </c>
      <c r="O740" s="197" t="s">
        <v>2556</v>
      </c>
      <c r="AB740" s="110" t="str">
        <f>IFERROR(INDEX('WetLitterbags placem_collection'!$A$3:$A$500,MATCH(A740,'WetLitterbags placem_collection'!$K$4:$K$500,0)),"")</f>
        <v/>
      </c>
      <c r="AC740" s="110" t="str">
        <f>IFERROR(INDEX('WetLitterbags placem_collection'!$A$3:$A$500,MATCH($A740,'WetLitterbags placem_collection'!$O$4:$O$500,0)),"")</f>
        <v/>
      </c>
      <c r="AD740" s="110" t="str">
        <f>IFERROR(INDEX('WetLitterbags placem_collection'!$A$3:$A$500,MATCH($A740,'WetLitterbags placem_collection'!$M$4:$M$500,0)),"")</f>
        <v/>
      </c>
      <c r="AE740" s="110">
        <f>IFERROR(INDEX('WetLitterbags placem_collection'!$A$3:$A$500,MATCH($A740,'WetLitterbags placem_collection'!$Q$4:$Q$500,0)),"")</f>
        <v>78</v>
      </c>
    </row>
    <row r="741" spans="1:31">
      <c r="A741" s="201" t="s">
        <v>581</v>
      </c>
      <c r="C741" s="201">
        <v>125</v>
      </c>
      <c r="D741" s="201">
        <v>0.8</v>
      </c>
      <c r="E741" s="202">
        <v>8.7681000000000004</v>
      </c>
      <c r="F741" s="202">
        <v>0.2019</v>
      </c>
      <c r="G741" s="201">
        <f t="shared" si="58"/>
        <v>8.9700000000000006</v>
      </c>
      <c r="H741" s="201">
        <v>8.9550000000000001</v>
      </c>
      <c r="I741" s="201">
        <f t="shared" si="62"/>
        <v>1.5000000000000568E-2</v>
      </c>
      <c r="J741" s="201">
        <f t="shared" si="59"/>
        <v>0.18689999999999943</v>
      </c>
      <c r="K741" s="280">
        <f t="shared" si="60"/>
        <v>92.570579494799119</v>
      </c>
      <c r="L741" s="201">
        <v>14</v>
      </c>
      <c r="M741" s="205">
        <v>43197</v>
      </c>
      <c r="N741" s="205">
        <v>43197</v>
      </c>
      <c r="O741" s="201"/>
      <c r="P741" s="201"/>
      <c r="AB741" s="110" t="str">
        <f>IFERROR(INDEX('WetLitterbags placem_collection'!$A$3:$A$500,MATCH(A741,'WetLitterbags placem_collection'!$K$4:$K$500,0)),"")</f>
        <v/>
      </c>
      <c r="AC741" s="110" t="str">
        <f>IFERROR(INDEX('WetLitterbags placem_collection'!$A$3:$A$500,MATCH($A741,'WetLitterbags placem_collection'!$O$4:$O$500,0)),"")</f>
        <v/>
      </c>
      <c r="AD741" s="110">
        <f>IFERROR(INDEX('WetLitterbags placem_collection'!$A$3:$A$500,MATCH($A741,'WetLitterbags placem_collection'!$M$4:$M$500,0)),"")</f>
        <v>124</v>
      </c>
      <c r="AE741" s="110" t="str">
        <f>IFERROR(INDEX('WetLitterbags placem_collection'!$A$3:$A$500,MATCH($A741,'WetLitterbags placem_collection'!$Q$4:$Q$500,0)),"")</f>
        <v/>
      </c>
    </row>
    <row r="742" spans="1:31">
      <c r="A742" s="206" t="s">
        <v>580</v>
      </c>
      <c r="C742" s="201">
        <v>98</v>
      </c>
      <c r="D742" s="201">
        <v>1.3828</v>
      </c>
      <c r="E742" s="202">
        <v>11.8628</v>
      </c>
      <c r="F742" s="202">
        <v>0.2011</v>
      </c>
      <c r="G742" s="201">
        <f t="shared" si="58"/>
        <v>12.0639</v>
      </c>
      <c r="H742" s="201">
        <v>11.887499999999999</v>
      </c>
      <c r="I742" s="201">
        <f t="shared" si="62"/>
        <v>0.176400000000001</v>
      </c>
      <c r="J742" s="201">
        <f t="shared" si="59"/>
        <v>2.4699999999999001E-2</v>
      </c>
      <c r="K742" s="280">
        <f t="shared" si="60"/>
        <v>12.28244654400746</v>
      </c>
      <c r="L742" s="201">
        <v>22</v>
      </c>
      <c r="M742" s="207">
        <v>43185.385416666664</v>
      </c>
      <c r="N742" s="201"/>
      <c r="O742" s="201" t="s">
        <v>2556</v>
      </c>
      <c r="P742" s="201"/>
      <c r="AB742" s="110" t="str">
        <f>IFERROR(INDEX('WetLitterbags placem_collection'!$A$3:$A$500,MATCH(A742,'WetLitterbags placem_collection'!$K$4:$K$500,0)),"")</f>
        <v/>
      </c>
      <c r="AC742" s="110" t="str">
        <f>IFERROR(INDEX('WetLitterbags placem_collection'!$A$3:$A$500,MATCH($A742,'WetLitterbags placem_collection'!$O$4:$O$500,0)),"")</f>
        <v/>
      </c>
      <c r="AD742" s="110" t="str">
        <f>IFERROR(INDEX('WetLitterbags placem_collection'!$A$3:$A$500,MATCH($A742,'WetLitterbags placem_collection'!$M$4:$M$500,0)),"")</f>
        <v/>
      </c>
      <c r="AE742" s="110">
        <f>IFERROR(INDEX('WetLitterbags placem_collection'!$A$3:$A$500,MATCH($A742,'WetLitterbags placem_collection'!$Q$4:$Q$500,0)),"")</f>
        <v>97</v>
      </c>
    </row>
    <row r="743" spans="1:31">
      <c r="A743" s="201" t="s">
        <v>578</v>
      </c>
      <c r="C743" s="201">
        <v>139</v>
      </c>
      <c r="D743" s="201">
        <v>1.9558</v>
      </c>
      <c r="E743" s="202">
        <v>8.7025000000000006</v>
      </c>
      <c r="F743" s="202">
        <v>0.2029</v>
      </c>
      <c r="G743" s="201">
        <f t="shared" si="58"/>
        <v>8.9054000000000002</v>
      </c>
      <c r="H743" s="201">
        <v>8.8855000000000004</v>
      </c>
      <c r="I743" s="201">
        <f t="shared" si="62"/>
        <v>1.9899999999999807E-2</v>
      </c>
      <c r="J743" s="201">
        <f t="shared" si="59"/>
        <v>0.18300000000000019</v>
      </c>
      <c r="K743" s="280">
        <f t="shared" si="60"/>
        <v>90.192212912765001</v>
      </c>
      <c r="L743" s="201">
        <v>5</v>
      </c>
      <c r="M743" s="205">
        <v>43199</v>
      </c>
      <c r="N743" s="205">
        <v>43199</v>
      </c>
      <c r="O743" s="201"/>
      <c r="P743" s="201"/>
      <c r="AB743" s="110" t="str">
        <f>IFERROR(INDEX('WetLitterbags placem_collection'!$A$3:$A$500,MATCH(A743,'WetLitterbags placem_collection'!$K$4:$K$500,0)),"")</f>
        <v/>
      </c>
      <c r="AC743" s="110" t="str">
        <f>IFERROR(INDEX('WetLitterbags placem_collection'!$A$3:$A$500,MATCH($A743,'WetLitterbags placem_collection'!$O$4:$O$500,0)),"")</f>
        <v/>
      </c>
      <c r="AD743" s="110">
        <f>IFERROR(INDEX('WetLitterbags placem_collection'!$A$3:$A$500,MATCH($A743,'WetLitterbags placem_collection'!$M$4:$M$500,0)),"")</f>
        <v>138</v>
      </c>
      <c r="AE743" s="110" t="str">
        <f>IFERROR(INDEX('WetLitterbags placem_collection'!$A$3:$A$500,MATCH($A743,'WetLitterbags placem_collection'!$Q$4:$Q$500,0)),"")</f>
        <v/>
      </c>
    </row>
    <row r="744" spans="1:31">
      <c r="A744" s="201" t="s">
        <v>577</v>
      </c>
      <c r="C744" s="201">
        <v>121</v>
      </c>
      <c r="D744" s="201">
        <v>1.2749999999999999</v>
      </c>
      <c r="E744" s="201">
        <v>9.2199000000000009</v>
      </c>
      <c r="F744" s="201">
        <v>0.2009</v>
      </c>
      <c r="G744" s="201">
        <f t="shared" si="58"/>
        <v>9.4208000000000016</v>
      </c>
      <c r="H744" s="201">
        <v>9.2349999999999994</v>
      </c>
      <c r="I744" s="201">
        <f t="shared" si="62"/>
        <v>0.18580000000000219</v>
      </c>
      <c r="J744" s="201">
        <f t="shared" si="59"/>
        <v>1.509999999999781E-2</v>
      </c>
      <c r="K744" s="280">
        <f t="shared" si="60"/>
        <v>7.5161772025872624</v>
      </c>
      <c r="L744" s="201">
        <v>9</v>
      </c>
      <c r="M744" s="205">
        <v>43188</v>
      </c>
      <c r="N744" s="205">
        <v>43188</v>
      </c>
      <c r="O744" s="201"/>
      <c r="P744" s="201"/>
      <c r="AB744" s="110" t="str">
        <f>IFERROR(INDEX('WetLitterbags placem_collection'!$A$3:$A$500,MATCH(A744,'WetLitterbags placem_collection'!$K$4:$K$500,0)),"")</f>
        <v/>
      </c>
      <c r="AC744" s="110" t="str">
        <f>IFERROR(INDEX('WetLitterbags placem_collection'!$A$3:$A$500,MATCH($A744,'WetLitterbags placem_collection'!$O$4:$O$500,0)),"")</f>
        <v/>
      </c>
      <c r="AD744" s="110" t="str">
        <f>IFERROR(INDEX('WetLitterbags placem_collection'!$A$3:$A$500,MATCH($A744,'WetLitterbags placem_collection'!$M$4:$M$500,0)),"")</f>
        <v/>
      </c>
      <c r="AE744" s="110">
        <f>IFERROR(INDEX('WetLitterbags placem_collection'!$A$3:$A$500,MATCH($A744,'WetLitterbags placem_collection'!$Q$4:$Q$500,0)),"")</f>
        <v>120</v>
      </c>
    </row>
    <row r="745" spans="1:31">
      <c r="A745" s="206" t="s">
        <v>575</v>
      </c>
      <c r="C745" s="201">
        <v>19</v>
      </c>
      <c r="D745" s="201">
        <v>1.2431000000000001</v>
      </c>
      <c r="E745" s="201">
        <v>11.0016</v>
      </c>
      <c r="F745" s="202">
        <v>0.20380000000000001</v>
      </c>
      <c r="G745" s="201">
        <f t="shared" si="58"/>
        <v>11.205399999999999</v>
      </c>
      <c r="H745" s="201">
        <v>11.018800000000001</v>
      </c>
      <c r="I745" s="201">
        <f t="shared" si="62"/>
        <v>0.18659999999999854</v>
      </c>
      <c r="J745" s="201">
        <f t="shared" si="59"/>
        <v>1.7200000000001464E-2</v>
      </c>
      <c r="K745" s="280">
        <f t="shared" si="60"/>
        <v>8.439646712463917</v>
      </c>
      <c r="L745" s="201">
        <v>30</v>
      </c>
      <c r="M745" s="205">
        <v>43211</v>
      </c>
      <c r="AB745" s="110" t="str">
        <f>IFERROR(INDEX('WetLitterbags placem_collection'!$A$3:$A$500,MATCH(A745,'WetLitterbags placem_collection'!$K$4:$K$500,0)),"")</f>
        <v/>
      </c>
      <c r="AC745" s="110" t="str">
        <f>IFERROR(INDEX('WetLitterbags placem_collection'!$A$3:$A$500,MATCH($A745,'WetLitterbags placem_collection'!$O$4:$O$500,0)),"")</f>
        <v/>
      </c>
      <c r="AD745" s="110" t="str">
        <f>IFERROR(INDEX('WetLitterbags placem_collection'!$A$3:$A$500,MATCH($A745,'WetLitterbags placem_collection'!$M$4:$M$500,0)),"")</f>
        <v/>
      </c>
      <c r="AE745" s="110">
        <f>IFERROR(INDEX('WetLitterbags placem_collection'!$A$3:$A$500,MATCH($A745,'WetLitterbags placem_collection'!$Q$4:$Q$500,0)),"")</f>
        <v>18</v>
      </c>
    </row>
    <row r="746" spans="1:31">
      <c r="A746" s="201" t="s">
        <v>574</v>
      </c>
      <c r="C746" s="201">
        <v>143</v>
      </c>
      <c r="D746" s="201">
        <v>1.3491</v>
      </c>
      <c r="E746" s="201">
        <v>8.3584999999999994</v>
      </c>
      <c r="F746" s="201">
        <v>0.2049</v>
      </c>
      <c r="G746" s="201">
        <f t="shared" si="58"/>
        <v>8.5633999999999997</v>
      </c>
      <c r="H746" s="201">
        <v>8.3665000000000003</v>
      </c>
      <c r="I746" s="201">
        <f t="shared" si="62"/>
        <v>0.19689999999999941</v>
      </c>
      <c r="J746" s="201">
        <f t="shared" si="59"/>
        <v>8.00000000000059E-3</v>
      </c>
      <c r="K746" s="280">
        <f t="shared" si="60"/>
        <v>3.9043435822355246</v>
      </c>
      <c r="L746" s="201">
        <v>9</v>
      </c>
      <c r="M746" s="203">
        <v>43171.520833333336</v>
      </c>
      <c r="N746" s="203">
        <v>43171.6875</v>
      </c>
      <c r="O746" s="197" t="s">
        <v>2550</v>
      </c>
      <c r="P746" s="201"/>
      <c r="AB746" s="110" t="str">
        <f>IFERROR(INDEX('WetLitterbags placem_collection'!$A$3:$A$500,MATCH(A746,'WetLitterbags placem_collection'!$K$4:$K$500,0)),"")</f>
        <v/>
      </c>
      <c r="AC746" s="110" t="str">
        <f>IFERROR(INDEX('WetLitterbags placem_collection'!$A$3:$A$500,MATCH($A746,'WetLitterbags placem_collection'!$O$4:$O$500,0)),"")</f>
        <v/>
      </c>
      <c r="AD746" s="110" t="str">
        <f>IFERROR(INDEX('WetLitterbags placem_collection'!$A$3:$A$500,MATCH($A746,'WetLitterbags placem_collection'!$M$4:$M$500,0)),"")</f>
        <v/>
      </c>
      <c r="AE746" s="110">
        <f>IFERROR(INDEX('WetLitterbags placem_collection'!$A$3:$A$500,MATCH($A746,'WetLitterbags placem_collection'!$Q$4:$Q$500,0)),"")</f>
        <v>142</v>
      </c>
    </row>
    <row r="747" spans="1:31">
      <c r="A747" s="206" t="s">
        <v>572</v>
      </c>
      <c r="C747" s="201">
        <v>102</v>
      </c>
      <c r="D747" s="201">
        <v>1.405</v>
      </c>
      <c r="E747" s="202">
        <v>8.1679999999999993</v>
      </c>
      <c r="F747" s="202">
        <v>0.2009</v>
      </c>
      <c r="G747" s="201">
        <f t="shared" si="58"/>
        <v>8.3689</v>
      </c>
      <c r="H747" s="201">
        <v>8.1808999999999994</v>
      </c>
      <c r="I747" s="201">
        <f t="shared" si="62"/>
        <v>0.18800000000000061</v>
      </c>
      <c r="J747" s="201">
        <f t="shared" si="59"/>
        <v>1.2899999999999384E-2</v>
      </c>
      <c r="K747" s="280">
        <f t="shared" si="60"/>
        <v>6.4211050273764974</v>
      </c>
      <c r="L747" s="201">
        <v>2</v>
      </c>
      <c r="M747" s="203">
        <v>43181.645833333336</v>
      </c>
      <c r="N747" s="203">
        <v>43181.833333333336</v>
      </c>
      <c r="O747" s="201" t="s">
        <v>2556</v>
      </c>
      <c r="P747" s="201"/>
      <c r="AB747" s="110" t="str">
        <f>IFERROR(INDEX('WetLitterbags placem_collection'!$A$3:$A$500,MATCH(A747,'WetLitterbags placem_collection'!$K$4:$K$500,0)),"")</f>
        <v/>
      </c>
      <c r="AC747" s="110" t="str">
        <f>IFERROR(INDEX('WetLitterbags placem_collection'!$A$3:$A$500,MATCH($A747,'WetLitterbags placem_collection'!$O$4:$O$500,0)),"")</f>
        <v/>
      </c>
      <c r="AD747" s="110">
        <f>IFERROR(INDEX('WetLitterbags placem_collection'!$A$3:$A$500,MATCH($A747,'WetLitterbags placem_collection'!$M$4:$M$500,0)),"")</f>
        <v>101</v>
      </c>
      <c r="AE747" s="110" t="str">
        <f>IFERROR(INDEX('WetLitterbags placem_collection'!$A$3:$A$500,MATCH($A747,'WetLitterbags placem_collection'!$Q$4:$Q$500,0)),"")</f>
        <v/>
      </c>
    </row>
    <row r="748" spans="1:31">
      <c r="A748" s="206" t="s">
        <v>571</v>
      </c>
      <c r="C748" s="201">
        <v>158</v>
      </c>
      <c r="D748" s="202">
        <v>1.4619</v>
      </c>
      <c r="E748" s="202">
        <v>10.124499999999999</v>
      </c>
      <c r="F748" s="202">
        <v>0.1996</v>
      </c>
      <c r="G748" s="201">
        <f t="shared" si="58"/>
        <v>10.3241</v>
      </c>
      <c r="H748" s="201">
        <v>10.1335</v>
      </c>
      <c r="I748" s="201">
        <f t="shared" si="62"/>
        <v>0.19059999999999988</v>
      </c>
      <c r="J748" s="201">
        <f t="shared" si="59"/>
        <v>9.000000000000119E-3</v>
      </c>
      <c r="K748" s="280">
        <f t="shared" si="60"/>
        <v>4.5090180360722032</v>
      </c>
      <c r="L748" s="201">
        <v>20</v>
      </c>
      <c r="M748" s="205">
        <v>43199</v>
      </c>
      <c r="N748" s="205">
        <v>43199</v>
      </c>
      <c r="O748" s="201"/>
      <c r="P748" s="201"/>
      <c r="AB748" s="110" t="str">
        <f>IFERROR(INDEX('WetLitterbags placem_collection'!$A$3:$A$500,MATCH(A748,'WetLitterbags placem_collection'!$K$4:$K$500,0)),"")</f>
        <v/>
      </c>
      <c r="AC748" s="110" t="str">
        <f>IFERROR(INDEX('WetLitterbags placem_collection'!$A$3:$A$500,MATCH($A748,'WetLitterbags placem_collection'!$O$4:$O$500,0)),"")</f>
        <v/>
      </c>
      <c r="AD748" s="110" t="str">
        <f>IFERROR(INDEX('WetLitterbags placem_collection'!$A$3:$A$500,MATCH($A748,'WetLitterbags placem_collection'!$M$4:$M$500,0)),"")</f>
        <v/>
      </c>
      <c r="AE748" s="110">
        <f>IFERROR(INDEX('WetLitterbags placem_collection'!$A$3:$A$500,MATCH($A748,'WetLitterbags placem_collection'!$Q$4:$Q$500,0)),"")</f>
        <v>157</v>
      </c>
    </row>
    <row r="749" spans="1:31">
      <c r="A749" s="206" t="s">
        <v>570</v>
      </c>
      <c r="C749" s="201">
        <v>144</v>
      </c>
      <c r="D749" s="201">
        <v>1.0775999999999999</v>
      </c>
      <c r="E749" s="202">
        <v>7.7736000000000001</v>
      </c>
      <c r="F749" s="202">
        <v>0.20749999999999999</v>
      </c>
      <c r="G749" s="201">
        <f t="shared" si="58"/>
        <v>7.9810999999999996</v>
      </c>
      <c r="H749" s="201">
        <v>7.9349999999999996</v>
      </c>
      <c r="I749" s="201">
        <f t="shared" si="62"/>
        <v>4.610000000000003E-2</v>
      </c>
      <c r="J749" s="201">
        <f t="shared" si="59"/>
        <v>0.16139999999999996</v>
      </c>
      <c r="K749" s="280">
        <f t="shared" si="60"/>
        <v>77.783132530120469</v>
      </c>
      <c r="L749" s="201">
        <v>2</v>
      </c>
      <c r="M749" s="205">
        <v>43197</v>
      </c>
      <c r="N749" s="205">
        <v>43197</v>
      </c>
      <c r="O749" s="201"/>
      <c r="P749" s="201"/>
      <c r="AB749" s="110" t="str">
        <f>IFERROR(INDEX('WetLitterbags placem_collection'!$A$3:$A$500,MATCH(A749,'WetLitterbags placem_collection'!$K$4:$K$500,0)),"")</f>
        <v/>
      </c>
      <c r="AC749" s="110" t="str">
        <f>IFERROR(INDEX('WetLitterbags placem_collection'!$A$3:$A$500,MATCH($A749,'WetLitterbags placem_collection'!$O$4:$O$500,0)),"")</f>
        <v/>
      </c>
      <c r="AD749" s="110">
        <f>IFERROR(INDEX('WetLitterbags placem_collection'!$A$3:$A$500,MATCH($A749,'WetLitterbags placem_collection'!$M$4:$M$500,0)),"")</f>
        <v>143</v>
      </c>
      <c r="AE749" s="110" t="str">
        <f>IFERROR(INDEX('WetLitterbags placem_collection'!$A$3:$A$500,MATCH($A749,'WetLitterbags placem_collection'!$Q$4:$Q$500,0)),"")</f>
        <v/>
      </c>
    </row>
    <row r="750" spans="1:31">
      <c r="A750" s="206" t="s">
        <v>569</v>
      </c>
      <c r="C750" s="201">
        <v>150</v>
      </c>
      <c r="D750" s="201">
        <v>1.2972999999999999</v>
      </c>
      <c r="E750" s="202">
        <v>9.1969999999999992</v>
      </c>
      <c r="F750" s="202">
        <v>0.20180000000000001</v>
      </c>
      <c r="G750" s="201">
        <f t="shared" si="58"/>
        <v>9.3987999999999996</v>
      </c>
      <c r="H750" s="201">
        <v>9.2114999999999991</v>
      </c>
      <c r="I750" s="201">
        <f t="shared" si="62"/>
        <v>0.18730000000000047</v>
      </c>
      <c r="J750" s="201">
        <f t="shared" si="59"/>
        <v>1.4499999999999541E-2</v>
      </c>
      <c r="K750" s="280">
        <f t="shared" si="60"/>
        <v>7.1853320118927355</v>
      </c>
      <c r="L750" s="201">
        <v>9</v>
      </c>
      <c r="M750" s="205">
        <v>43199</v>
      </c>
      <c r="N750" s="205">
        <v>43199</v>
      </c>
      <c r="O750" s="201"/>
      <c r="P750" s="201"/>
      <c r="AB750" s="110" t="str">
        <f>IFERROR(INDEX('WetLitterbags placem_collection'!$A$3:$A$500,MATCH(A750,'WetLitterbags placem_collection'!$K$4:$K$500,0)),"")</f>
        <v/>
      </c>
      <c r="AC750" s="110" t="str">
        <f>IFERROR(INDEX('WetLitterbags placem_collection'!$A$3:$A$500,MATCH($A750,'WetLitterbags placem_collection'!$O$4:$O$500,0)),"")</f>
        <v/>
      </c>
      <c r="AD750" s="110" t="str">
        <f>IFERROR(INDEX('WetLitterbags placem_collection'!$A$3:$A$500,MATCH($A750,'WetLitterbags placem_collection'!$M$4:$M$500,0)),"")</f>
        <v/>
      </c>
      <c r="AE750" s="110">
        <f>IFERROR(INDEX('WetLitterbags placem_collection'!$A$3:$A$500,MATCH($A750,'WetLitterbags placem_collection'!$Q$4:$Q$500,0)),"")</f>
        <v>149</v>
      </c>
    </row>
    <row r="751" spans="1:31">
      <c r="A751" s="201" t="s">
        <v>568</v>
      </c>
      <c r="C751" s="201">
        <v>147</v>
      </c>
      <c r="D751" s="201">
        <v>1.5023</v>
      </c>
      <c r="E751" s="202">
        <v>9.7204999999999995</v>
      </c>
      <c r="F751" s="202">
        <v>0.20680000000000001</v>
      </c>
      <c r="G751" s="201">
        <f t="shared" si="58"/>
        <v>9.9272999999999989</v>
      </c>
      <c r="H751" s="201">
        <v>9.7386999999999997</v>
      </c>
      <c r="I751" s="201">
        <f t="shared" si="62"/>
        <v>0.18859999999999921</v>
      </c>
      <c r="J751" s="201">
        <f t="shared" si="59"/>
        <v>1.8200000000000799E-2</v>
      </c>
      <c r="K751" s="280">
        <f t="shared" si="60"/>
        <v>8.8007736943911006</v>
      </c>
      <c r="L751" s="201">
        <v>22</v>
      </c>
      <c r="M751" s="205">
        <v>43197</v>
      </c>
      <c r="N751" s="205">
        <v>43197</v>
      </c>
      <c r="O751" s="201"/>
      <c r="P751" s="201"/>
      <c r="AB751" s="110" t="str">
        <f>IFERROR(INDEX('WetLitterbags placem_collection'!$A$3:$A$500,MATCH(A751,'WetLitterbags placem_collection'!$K$4:$K$500,0)),"")</f>
        <v/>
      </c>
      <c r="AC751" s="110" t="str">
        <f>IFERROR(INDEX('WetLitterbags placem_collection'!$A$3:$A$500,MATCH($A751,'WetLitterbags placem_collection'!$O$4:$O$500,0)),"")</f>
        <v/>
      </c>
      <c r="AD751" s="110">
        <f>IFERROR(INDEX('WetLitterbags placem_collection'!$A$3:$A$500,MATCH($A751,'WetLitterbags placem_collection'!$M$4:$M$500,0)),"")</f>
        <v>146</v>
      </c>
      <c r="AE751" s="110" t="str">
        <f>IFERROR(INDEX('WetLitterbags placem_collection'!$A$3:$A$500,MATCH($A751,'WetLitterbags placem_collection'!$Q$4:$Q$500,0)),"")</f>
        <v/>
      </c>
    </row>
    <row r="752" spans="1:31">
      <c r="A752" s="201" t="s">
        <v>567</v>
      </c>
      <c r="C752" s="201">
        <v>107</v>
      </c>
      <c r="D752" s="201">
        <v>1.4400999999999999</v>
      </c>
      <c r="E752" s="202">
        <v>9.5545000000000009</v>
      </c>
      <c r="F752" s="202">
        <v>0.20649999999999999</v>
      </c>
      <c r="G752" s="201">
        <f t="shared" si="58"/>
        <v>9.761000000000001</v>
      </c>
      <c r="H752" s="201">
        <v>9.5670000000000002</v>
      </c>
      <c r="I752" s="201">
        <f t="shared" si="62"/>
        <v>0.19400000000000084</v>
      </c>
      <c r="J752" s="201">
        <f t="shared" si="59"/>
        <v>1.2499999999999151E-2</v>
      </c>
      <c r="K752" s="280">
        <f t="shared" si="60"/>
        <v>6.0532687651327608</v>
      </c>
      <c r="L752" s="201">
        <v>3</v>
      </c>
      <c r="M752" s="203">
        <v>43178.395833333336</v>
      </c>
      <c r="N752" s="203">
        <v>43178.5625</v>
      </c>
      <c r="O752" s="197" t="s">
        <v>2550</v>
      </c>
      <c r="P752" s="201"/>
      <c r="AB752" s="110" t="str">
        <f>IFERROR(INDEX('WetLitterbags placem_collection'!$A$3:$A$500,MATCH(A752,'WetLitterbags placem_collection'!$K$4:$K$500,0)),"")</f>
        <v/>
      </c>
      <c r="AC752" s="110" t="str">
        <f>IFERROR(INDEX('WetLitterbags placem_collection'!$A$3:$A$500,MATCH($A752,'WetLitterbags placem_collection'!$O$4:$O$500,0)),"")</f>
        <v/>
      </c>
      <c r="AD752" s="110">
        <f>IFERROR(INDEX('WetLitterbags placem_collection'!$A$3:$A$500,MATCH($A752,'WetLitterbags placem_collection'!$M$4:$M$500,0)),"")</f>
        <v>106</v>
      </c>
      <c r="AE752" s="110" t="str">
        <f>IFERROR(INDEX('WetLitterbags placem_collection'!$A$3:$A$500,MATCH($A752,'WetLitterbags placem_collection'!$Q$4:$Q$500,0)),"")</f>
        <v/>
      </c>
    </row>
    <row r="753" spans="1:31">
      <c r="A753" s="201" t="s">
        <v>566</v>
      </c>
      <c r="C753" s="201">
        <v>123</v>
      </c>
      <c r="D753" s="201">
        <f>1.2391+F753</f>
        <v>1.4423000000000001</v>
      </c>
      <c r="E753" s="202">
        <v>9.0521999999999991</v>
      </c>
      <c r="F753" s="202">
        <v>0.20319999999999999</v>
      </c>
      <c r="G753" s="201">
        <f t="shared" si="58"/>
        <v>9.2553999999999998</v>
      </c>
      <c r="H753" s="201">
        <v>9.1052</v>
      </c>
      <c r="I753" s="201">
        <f t="shared" si="62"/>
        <v>0.15019999999999989</v>
      </c>
      <c r="J753" s="201">
        <f t="shared" si="59"/>
        <v>5.3000000000000103E-2</v>
      </c>
      <c r="K753" s="280">
        <f t="shared" si="60"/>
        <v>26.082677165354383</v>
      </c>
      <c r="L753" s="201">
        <v>23</v>
      </c>
      <c r="M753" s="205">
        <v>43174</v>
      </c>
      <c r="N753" s="205">
        <v>43174</v>
      </c>
      <c r="O753" s="201" t="s">
        <v>2556</v>
      </c>
      <c r="P753" s="201" t="s">
        <v>2551</v>
      </c>
      <c r="AB753" s="110" t="str">
        <f>IFERROR(INDEX('WetLitterbags placem_collection'!$A$3:$A$500,MATCH(A753,'WetLitterbags placem_collection'!$K$4:$K$500,0)),"")</f>
        <v/>
      </c>
      <c r="AC753" s="110" t="str">
        <f>IFERROR(INDEX('WetLitterbags placem_collection'!$A$3:$A$500,MATCH($A753,'WetLitterbags placem_collection'!$O$4:$O$500,0)),"")</f>
        <v/>
      </c>
      <c r="AD753" s="110">
        <f>IFERROR(INDEX('WetLitterbags placem_collection'!$A$3:$A$500,MATCH($A753,'WetLitterbags placem_collection'!$M$4:$M$500,0)),"")</f>
        <v>122</v>
      </c>
      <c r="AE753" s="110" t="str">
        <f>IFERROR(INDEX('WetLitterbags placem_collection'!$A$3:$A$500,MATCH($A753,'WetLitterbags placem_collection'!$Q$4:$Q$500,0)),"")</f>
        <v/>
      </c>
    </row>
    <row r="754" spans="1:31">
      <c r="A754" s="197" t="s">
        <v>565</v>
      </c>
      <c r="C754" s="198">
        <v>97</v>
      </c>
      <c r="D754" s="197">
        <v>1.4582999999999999</v>
      </c>
      <c r="E754" s="202">
        <v>9.5541</v>
      </c>
      <c r="F754" s="202">
        <v>0.2014</v>
      </c>
      <c r="G754" s="201">
        <f t="shared" si="58"/>
        <v>9.7554999999999996</v>
      </c>
      <c r="H754" s="201">
        <v>9.5710999999999995</v>
      </c>
      <c r="I754" s="201">
        <f t="shared" si="62"/>
        <v>0.18440000000000012</v>
      </c>
      <c r="J754" s="201">
        <f t="shared" si="59"/>
        <v>1.6999999999999876E-2</v>
      </c>
      <c r="K754" s="280">
        <f t="shared" si="60"/>
        <v>8.4409136047665729</v>
      </c>
      <c r="L754" s="201">
        <v>10</v>
      </c>
      <c r="M754" s="204">
        <v>43221</v>
      </c>
      <c r="N754" s="204">
        <v>43221</v>
      </c>
      <c r="AB754" s="110" t="str">
        <f>IFERROR(INDEX('WetLitterbags placem_collection'!$A$3:$A$500,MATCH(A754,'WetLitterbags placem_collection'!$K$4:$K$500,0)),"")</f>
        <v/>
      </c>
      <c r="AC754" s="110" t="str">
        <f>IFERROR(INDEX('WetLitterbags placem_collection'!$A$3:$A$500,MATCH($A754,'WetLitterbags placem_collection'!$O$4:$O$500,0)),"")</f>
        <v/>
      </c>
      <c r="AD754" s="110" t="str">
        <f>IFERROR(INDEX('WetLitterbags placem_collection'!$A$3:$A$500,MATCH($A754,'WetLitterbags placem_collection'!$M$4:$M$500,0)),"")</f>
        <v/>
      </c>
      <c r="AE754" s="110">
        <f>IFERROR(INDEX('WetLitterbags placem_collection'!$A$3:$A$500,MATCH($A754,'WetLitterbags placem_collection'!$Q$4:$Q$500,0)),"")</f>
        <v>96</v>
      </c>
    </row>
    <row r="755" spans="1:31">
      <c r="A755" s="201" t="s">
        <v>564</v>
      </c>
      <c r="C755" s="201">
        <v>104</v>
      </c>
      <c r="D755" s="201">
        <f>1.0315+F755</f>
        <v>1.2391000000000001</v>
      </c>
      <c r="E755" s="202">
        <v>10.702400000000001</v>
      </c>
      <c r="F755" s="202">
        <v>0.20760000000000001</v>
      </c>
      <c r="G755" s="201">
        <f t="shared" ref="G755:G812" si="63">E755+F755</f>
        <v>10.91</v>
      </c>
      <c r="H755" s="201">
        <v>10.7156</v>
      </c>
      <c r="I755" s="201">
        <f t="shared" si="62"/>
        <v>0.19439999999999991</v>
      </c>
      <c r="J755" s="201">
        <f t="shared" ref="J755:J812" si="64">F755-I755</f>
        <v>1.3200000000000101E-2</v>
      </c>
      <c r="K755" s="280">
        <f t="shared" ref="K755:K812" si="65">(J755/F755)*100</f>
        <v>6.3583815028902215</v>
      </c>
      <c r="L755" s="201">
        <v>30</v>
      </c>
      <c r="M755" s="205">
        <v>43174</v>
      </c>
      <c r="N755" s="205">
        <v>43174</v>
      </c>
      <c r="O755" s="201" t="s">
        <v>2556</v>
      </c>
      <c r="P755" s="201" t="s">
        <v>2551</v>
      </c>
      <c r="AB755" s="110" t="str">
        <f>IFERROR(INDEX('WetLitterbags placem_collection'!$A$3:$A$500,MATCH(A755,'WetLitterbags placem_collection'!$K$4:$K$500,0)),"")</f>
        <v/>
      </c>
      <c r="AC755" s="110" t="str">
        <f>IFERROR(INDEX('WetLitterbags placem_collection'!$A$3:$A$500,MATCH($A755,'WetLitterbags placem_collection'!$O$4:$O$500,0)),"")</f>
        <v/>
      </c>
      <c r="AD755" s="110">
        <f>IFERROR(INDEX('WetLitterbags placem_collection'!$A$3:$A$500,MATCH($A755,'WetLitterbags placem_collection'!$M$4:$M$500,0)),"")</f>
        <v>103</v>
      </c>
      <c r="AE755" s="110" t="str">
        <f>IFERROR(INDEX('WetLitterbags placem_collection'!$A$3:$A$500,MATCH($A755,'WetLitterbags placem_collection'!$Q$4:$Q$500,0)),"")</f>
        <v/>
      </c>
    </row>
    <row r="756" spans="1:31">
      <c r="A756" s="201" t="s">
        <v>563</v>
      </c>
      <c r="C756" s="201">
        <v>113</v>
      </c>
      <c r="D756" s="201">
        <v>1.1912</v>
      </c>
      <c r="E756" s="201">
        <v>10.7927</v>
      </c>
      <c r="F756" s="202">
        <v>0.20369999999999999</v>
      </c>
      <c r="G756" s="201">
        <f t="shared" si="63"/>
        <v>10.9964</v>
      </c>
      <c r="H756" s="201">
        <v>10.8179</v>
      </c>
      <c r="I756" s="201">
        <f t="shared" si="62"/>
        <v>0.17849999999999966</v>
      </c>
      <c r="J756" s="201">
        <f t="shared" si="64"/>
        <v>2.5200000000000333E-2</v>
      </c>
      <c r="K756" s="280">
        <f t="shared" si="65"/>
        <v>12.371134020618721</v>
      </c>
      <c r="L756" s="201">
        <v>17</v>
      </c>
      <c r="M756" s="205">
        <v>43187</v>
      </c>
      <c r="N756" s="205">
        <v>43187</v>
      </c>
      <c r="O756" s="201"/>
      <c r="P756" s="201"/>
      <c r="AB756" s="110" t="str">
        <f>IFERROR(INDEX('WetLitterbags placem_collection'!$A$3:$A$500,MATCH(A756,'WetLitterbags placem_collection'!$K$4:$K$500,0)),"")</f>
        <v/>
      </c>
      <c r="AC756" s="110" t="str">
        <f>IFERROR(INDEX('WetLitterbags placem_collection'!$A$3:$A$500,MATCH($A756,'WetLitterbags placem_collection'!$O$4:$O$500,0)),"")</f>
        <v/>
      </c>
      <c r="AD756" s="110" t="str">
        <f>IFERROR(INDEX('WetLitterbags placem_collection'!$A$3:$A$500,MATCH($A756,'WetLitterbags placem_collection'!$M$4:$M$500,0)),"")</f>
        <v/>
      </c>
      <c r="AE756" s="110">
        <f>IFERROR(INDEX('WetLitterbags placem_collection'!$A$3:$A$500,MATCH($A756,'WetLitterbags placem_collection'!$Q$4:$Q$500,0)),"")</f>
        <v>112</v>
      </c>
    </row>
    <row r="757" spans="1:31">
      <c r="A757" s="197" t="s">
        <v>562</v>
      </c>
      <c r="C757" s="197">
        <v>152</v>
      </c>
      <c r="D757" s="197">
        <v>1.2967</v>
      </c>
      <c r="E757" s="201">
        <v>7.8011999999999997</v>
      </c>
      <c r="F757" s="202">
        <v>0.19989999999999999</v>
      </c>
      <c r="G757" s="201">
        <f t="shared" si="63"/>
        <v>8.0010999999999992</v>
      </c>
      <c r="H757" s="201">
        <v>7.8114999999999997</v>
      </c>
      <c r="I757" s="201">
        <f t="shared" si="62"/>
        <v>0.18959999999999955</v>
      </c>
      <c r="J757" s="201">
        <f t="shared" si="64"/>
        <v>1.0300000000000448E-2</v>
      </c>
      <c r="K757" s="280">
        <f t="shared" si="65"/>
        <v>5.1525762881442967</v>
      </c>
      <c r="L757" s="201">
        <v>5</v>
      </c>
      <c r="M757" s="204">
        <v>43213</v>
      </c>
      <c r="N757" s="204">
        <v>43213</v>
      </c>
      <c r="AB757" s="110" t="str">
        <f>IFERROR(INDEX('WetLitterbags placem_collection'!$A$3:$A$500,MATCH(A757,'WetLitterbags placem_collection'!$K$4:$K$500,0)),"")</f>
        <v/>
      </c>
      <c r="AC757" s="110" t="str">
        <f>IFERROR(INDEX('WetLitterbags placem_collection'!$A$3:$A$500,MATCH($A757,'WetLitterbags placem_collection'!$O$4:$O$500,0)),"")</f>
        <v/>
      </c>
      <c r="AD757" s="110" t="str">
        <f>IFERROR(INDEX('WetLitterbags placem_collection'!$A$3:$A$500,MATCH($A757,'WetLitterbags placem_collection'!$M$4:$M$500,0)),"")</f>
        <v/>
      </c>
      <c r="AE757" s="110">
        <f>IFERROR(INDEX('WetLitterbags placem_collection'!$A$3:$A$500,MATCH($A757,'WetLitterbags placem_collection'!$Q$4:$Q$500,0)),"")</f>
        <v>151</v>
      </c>
    </row>
    <row r="758" spans="1:31">
      <c r="A758" s="206" t="s">
        <v>1083</v>
      </c>
      <c r="C758" s="201">
        <v>56</v>
      </c>
      <c r="D758" s="202">
        <v>1.3449</v>
      </c>
      <c r="E758" s="202">
        <v>10.855499999999999</v>
      </c>
      <c r="F758" s="202">
        <v>0.20399999999999999</v>
      </c>
      <c r="G758" s="201">
        <f t="shared" si="63"/>
        <v>11.0595</v>
      </c>
      <c r="H758" s="201">
        <v>10.8619</v>
      </c>
      <c r="I758" s="201">
        <f t="shared" si="62"/>
        <v>0.19759999999999955</v>
      </c>
      <c r="J758" s="201">
        <f t="shared" si="64"/>
        <v>6.4000000000004331E-3</v>
      </c>
      <c r="K758" s="280">
        <f t="shared" si="65"/>
        <v>3.1372549019609965</v>
      </c>
      <c r="L758" s="201">
        <v>9</v>
      </c>
      <c r="M758" s="201"/>
      <c r="N758" s="201"/>
      <c r="O758" s="201"/>
      <c r="P758" s="201"/>
      <c r="U758" s="202" t="s">
        <v>651</v>
      </c>
      <c r="V758" s="197">
        <v>1.8968</v>
      </c>
      <c r="W758" s="197">
        <f>(V758-$T$175+F756)</f>
        <v>2.1005000000000003</v>
      </c>
      <c r="AB758" s="110" t="str">
        <f>IFERROR(INDEX('WetLitterbags placem_collection'!$A$3:$A$500,MATCH(A758,'WetLitterbags placem_collection'!$K$4:$K$500,0)),"")</f>
        <v/>
      </c>
      <c r="AC758" s="110" t="str">
        <f>IFERROR(INDEX('WetLitterbags placem_collection'!$A$3:$A$500,MATCH($A758,'WetLitterbags placem_collection'!$O$4:$O$500,0)),"")</f>
        <v/>
      </c>
      <c r="AD758" s="110" t="str">
        <f>IFERROR(INDEX('WetLitterbags placem_collection'!$A$3:$A$500,MATCH($A758,'WetLitterbags placem_collection'!$M$4:$M$500,0)),"")</f>
        <v/>
      </c>
      <c r="AE758" s="110">
        <f>IFERROR(INDEX('WetLitterbags placem_collection'!$A$3:$A$500,MATCH($A758,'WetLitterbags placem_collection'!$Q$4:$Q$500,0)),"")</f>
        <v>55</v>
      </c>
    </row>
    <row r="759" spans="1:31">
      <c r="A759" s="197" t="s">
        <v>561</v>
      </c>
      <c r="C759" s="198">
        <v>187</v>
      </c>
      <c r="D759" s="197">
        <v>1.4157999999999999</v>
      </c>
      <c r="E759" s="202">
        <v>8.7024000000000008</v>
      </c>
      <c r="F759" s="202">
        <v>0.2056</v>
      </c>
      <c r="G759" s="201">
        <f t="shared" si="63"/>
        <v>8.9080000000000013</v>
      </c>
      <c r="H759" s="201">
        <v>8.7066999999999997</v>
      </c>
      <c r="I759" s="201">
        <f t="shared" si="62"/>
        <v>0.20130000000000159</v>
      </c>
      <c r="J759" s="201">
        <f t="shared" si="64"/>
        <v>4.2999999999984162E-3</v>
      </c>
      <c r="K759" s="280">
        <f t="shared" si="65"/>
        <v>2.0914396887151829</v>
      </c>
      <c r="L759" s="201">
        <v>12</v>
      </c>
      <c r="AB759" s="110" t="str">
        <f>IFERROR(INDEX('WetLitterbags placem_collection'!$A$3:$A$500,MATCH(A759,'WetLitterbags placem_collection'!$K$4:$K$500,0)),"")</f>
        <v/>
      </c>
      <c r="AC759" s="110" t="str">
        <f>IFERROR(INDEX('WetLitterbags placem_collection'!$A$3:$A$500,MATCH($A759,'WetLitterbags placem_collection'!$O$4:$O$500,0)),"")</f>
        <v/>
      </c>
      <c r="AD759" s="110" t="str">
        <f>IFERROR(INDEX('WetLitterbags placem_collection'!$A$3:$A$500,MATCH($A759,'WetLitterbags placem_collection'!$M$4:$M$500,0)),"")</f>
        <v/>
      </c>
      <c r="AE759" s="110">
        <f>IFERROR(INDEX('WetLitterbags placem_collection'!$A$3:$A$500,MATCH($A759,'WetLitterbags placem_collection'!$Q$4:$Q$500,0)),"")</f>
        <v>186</v>
      </c>
    </row>
    <row r="760" spans="1:31">
      <c r="A760" s="197" t="s">
        <v>560</v>
      </c>
      <c r="C760" s="197">
        <v>141</v>
      </c>
      <c r="D760" s="197">
        <v>0.91259999999999997</v>
      </c>
      <c r="E760" s="197">
        <v>7.9127000000000001</v>
      </c>
      <c r="F760" s="197">
        <v>0.20449999999999999</v>
      </c>
      <c r="G760" s="197">
        <f t="shared" si="63"/>
        <v>8.1172000000000004</v>
      </c>
      <c r="H760" s="197">
        <v>8.0922999999999998</v>
      </c>
      <c r="I760" s="197">
        <f t="shared" si="62"/>
        <v>2.4900000000000588E-2</v>
      </c>
      <c r="J760" s="201">
        <f t="shared" si="64"/>
        <v>0.1795999999999994</v>
      </c>
      <c r="K760" s="280">
        <f t="shared" si="65"/>
        <v>87.823960880195301</v>
      </c>
      <c r="L760" s="197">
        <v>8</v>
      </c>
      <c r="M760" s="197">
        <v>43157.527777777781</v>
      </c>
      <c r="N760" s="197">
        <v>43157.694444444445</v>
      </c>
      <c r="O760" s="197" t="s">
        <v>2556</v>
      </c>
      <c r="AB760" s="110" t="str">
        <f>IFERROR(INDEX('WetLitterbags placem_collection'!$A$3:$A$500,MATCH(A760,'WetLitterbags placem_collection'!$K$4:$K$500,0)),"")</f>
        <v/>
      </c>
      <c r="AC760" s="110" t="str">
        <f>IFERROR(INDEX('WetLitterbags placem_collection'!$A$3:$A$500,MATCH($A760,'WetLitterbags placem_collection'!$O$4:$O$500,0)),"")</f>
        <v/>
      </c>
      <c r="AD760" s="110">
        <f>IFERROR(INDEX('WetLitterbags placem_collection'!$A$3:$A$500,MATCH($A760,'WetLitterbags placem_collection'!$M$4:$M$500,0)),"")</f>
        <v>140</v>
      </c>
      <c r="AE760" s="110" t="str">
        <f>IFERROR(INDEX('WetLitterbags placem_collection'!$A$3:$A$500,MATCH($A760,'WetLitterbags placem_collection'!$Q$4:$Q$500,0)),"")</f>
        <v/>
      </c>
    </row>
    <row r="761" spans="1:31">
      <c r="A761" s="201" t="s">
        <v>559</v>
      </c>
      <c r="C761" s="201">
        <v>147</v>
      </c>
      <c r="D761" s="201">
        <v>1.4904999999999999</v>
      </c>
      <c r="E761" s="202">
        <v>8.3656000000000006</v>
      </c>
      <c r="F761" s="201">
        <v>0.20660000000000001</v>
      </c>
      <c r="G761" s="201">
        <f t="shared" si="63"/>
        <v>8.5722000000000005</v>
      </c>
      <c r="H761" s="201">
        <v>8.3682999999999996</v>
      </c>
      <c r="I761" s="201">
        <f t="shared" si="62"/>
        <v>0.20390000000000086</v>
      </c>
      <c r="J761" s="201">
        <f t="shared" si="64"/>
        <v>2.6999999999991475E-3</v>
      </c>
      <c r="K761" s="280">
        <f t="shared" si="65"/>
        <v>1.3068731848979416</v>
      </c>
      <c r="L761" s="201">
        <v>21</v>
      </c>
      <c r="M761" s="205">
        <v>43197</v>
      </c>
      <c r="N761" s="205">
        <v>43197</v>
      </c>
      <c r="O761" s="201"/>
      <c r="P761" s="201"/>
      <c r="AB761" s="110" t="str">
        <f>IFERROR(INDEX('WetLitterbags placem_collection'!$A$3:$A$500,MATCH(A761,'WetLitterbags placem_collection'!$K$4:$K$500,0)),"")</f>
        <v/>
      </c>
      <c r="AC761" s="110" t="str">
        <f>IFERROR(INDEX('WetLitterbags placem_collection'!$A$3:$A$500,MATCH($A761,'WetLitterbags placem_collection'!$O$4:$O$500,0)),"")</f>
        <v/>
      </c>
      <c r="AD761" s="110" t="str">
        <f>IFERROR(INDEX('WetLitterbags placem_collection'!$A$3:$A$500,MATCH($A761,'WetLitterbags placem_collection'!$M$4:$M$500,0)),"")</f>
        <v/>
      </c>
      <c r="AE761" s="110">
        <f>IFERROR(INDEX('WetLitterbags placem_collection'!$A$3:$A$500,MATCH($A761,'WetLitterbags placem_collection'!$Q$4:$Q$500,0)),"")</f>
        <v>146</v>
      </c>
    </row>
    <row r="762" spans="1:31">
      <c r="A762" s="201" t="s">
        <v>558</v>
      </c>
      <c r="C762" s="201">
        <v>170</v>
      </c>
      <c r="D762" s="201">
        <v>1.4823</v>
      </c>
      <c r="E762" s="201">
        <v>7.8014000000000001</v>
      </c>
      <c r="F762" s="202">
        <v>0.2001</v>
      </c>
      <c r="G762" s="201">
        <f t="shared" si="63"/>
        <v>8.0015000000000001</v>
      </c>
      <c r="H762" s="201">
        <v>7.8061999999999996</v>
      </c>
      <c r="I762" s="201">
        <f t="shared" si="62"/>
        <v>0.19530000000000047</v>
      </c>
      <c r="J762" s="201">
        <f t="shared" si="64"/>
        <v>4.7999999999995269E-3</v>
      </c>
      <c r="K762" s="280">
        <f t="shared" si="65"/>
        <v>2.3988005996999138</v>
      </c>
      <c r="L762" s="201">
        <v>1</v>
      </c>
      <c r="M762" s="205">
        <v>43187</v>
      </c>
      <c r="N762" s="205">
        <v>43187</v>
      </c>
      <c r="O762" s="201"/>
      <c r="P762" s="201"/>
      <c r="AB762" s="110" t="str">
        <f>IFERROR(INDEX('WetLitterbags placem_collection'!$A$3:$A$500,MATCH(A762,'WetLitterbags placem_collection'!$K$4:$K$500,0)),"")</f>
        <v/>
      </c>
      <c r="AC762" s="110" t="str">
        <f>IFERROR(INDEX('WetLitterbags placem_collection'!$A$3:$A$500,MATCH($A762,'WetLitterbags placem_collection'!$O$4:$O$500,0)),"")</f>
        <v/>
      </c>
      <c r="AD762" s="110" t="str">
        <f>IFERROR(INDEX('WetLitterbags placem_collection'!$A$3:$A$500,MATCH($A762,'WetLitterbags placem_collection'!$M$4:$M$500,0)),"")</f>
        <v/>
      </c>
      <c r="AE762" s="110">
        <f>IFERROR(INDEX('WetLitterbags placem_collection'!$A$3:$A$500,MATCH($A762,'WetLitterbags placem_collection'!$Q$4:$Q$500,0)),"")</f>
        <v>169</v>
      </c>
    </row>
    <row r="763" spans="1:31">
      <c r="A763" s="206" t="s">
        <v>556</v>
      </c>
      <c r="C763" s="201">
        <v>130</v>
      </c>
      <c r="D763" s="202">
        <v>1.3573</v>
      </c>
      <c r="E763" s="202">
        <v>11.0893</v>
      </c>
      <c r="F763" s="202">
        <v>0.2024</v>
      </c>
      <c r="G763" s="201">
        <f t="shared" si="63"/>
        <v>11.291700000000001</v>
      </c>
      <c r="H763" s="201">
        <v>11.0992</v>
      </c>
      <c r="I763" s="201">
        <f t="shared" si="62"/>
        <v>0.19250000000000078</v>
      </c>
      <c r="J763" s="201">
        <f t="shared" si="64"/>
        <v>9.899999999999215E-3</v>
      </c>
      <c r="K763" s="280">
        <f t="shared" si="65"/>
        <v>4.8913043478256997</v>
      </c>
      <c r="L763" s="201">
        <v>34</v>
      </c>
      <c r="M763" s="203">
        <v>43181.645833333336</v>
      </c>
      <c r="N763" s="203">
        <v>43181.833333333336</v>
      </c>
      <c r="O763" s="201" t="s">
        <v>2556</v>
      </c>
      <c r="P763" s="201"/>
      <c r="AB763" s="110" t="str">
        <f>IFERROR(INDEX('WetLitterbags placem_collection'!$A$3:$A$500,MATCH(A763,'WetLitterbags placem_collection'!$K$4:$K$500,0)),"")</f>
        <v/>
      </c>
      <c r="AC763" s="110" t="str">
        <f>IFERROR(INDEX('WetLitterbags placem_collection'!$A$3:$A$500,MATCH($A763,'WetLitterbags placem_collection'!$O$4:$O$500,0)),"")</f>
        <v/>
      </c>
      <c r="AD763" s="110">
        <f>IFERROR(INDEX('WetLitterbags placem_collection'!$A$3:$A$500,MATCH($A763,'WetLitterbags placem_collection'!$M$4:$M$500,0)),"")</f>
        <v>129</v>
      </c>
      <c r="AE763" s="110" t="str">
        <f>IFERROR(INDEX('WetLitterbags placem_collection'!$A$3:$A$500,MATCH($A763,'WetLitterbags placem_collection'!$Q$4:$Q$500,0)),"")</f>
        <v/>
      </c>
    </row>
    <row r="764" spans="1:31">
      <c r="A764" s="197" t="s">
        <v>554</v>
      </c>
      <c r="C764" s="198">
        <v>181</v>
      </c>
      <c r="D764" s="197">
        <v>1.2970999999999999</v>
      </c>
      <c r="E764" s="202">
        <v>9.5193999999999992</v>
      </c>
      <c r="F764" s="202">
        <v>0.2026</v>
      </c>
      <c r="G764" s="201">
        <f t="shared" si="63"/>
        <v>9.7219999999999995</v>
      </c>
      <c r="H764" s="201">
        <v>9.5234000000000005</v>
      </c>
      <c r="I764" s="201">
        <f t="shared" si="62"/>
        <v>0.198599999999999</v>
      </c>
      <c r="J764" s="201">
        <f t="shared" si="64"/>
        <v>4.0000000000010028E-3</v>
      </c>
      <c r="K764" s="280">
        <f t="shared" si="65"/>
        <v>1.9743336623894387</v>
      </c>
      <c r="L764" s="201">
        <v>6</v>
      </c>
      <c r="M764" s="204">
        <v>43221</v>
      </c>
      <c r="N764" s="204">
        <v>43221</v>
      </c>
      <c r="AB764" s="110" t="str">
        <f>IFERROR(INDEX('WetLitterbags placem_collection'!$A$3:$A$500,MATCH(A764,'WetLitterbags placem_collection'!$K$4:$K$500,0)),"")</f>
        <v/>
      </c>
      <c r="AC764" s="110" t="str">
        <f>IFERROR(INDEX('WetLitterbags placem_collection'!$A$3:$A$500,MATCH($A764,'WetLitterbags placem_collection'!$O$4:$O$500,0)),"")</f>
        <v/>
      </c>
      <c r="AD764" s="110">
        <f>IFERROR(INDEX('WetLitterbags placem_collection'!$A$3:$A$500,MATCH($A764,'WetLitterbags placem_collection'!$M$4:$M$500,0)),"")</f>
        <v>180</v>
      </c>
      <c r="AE764" s="110" t="str">
        <f>IFERROR(INDEX('WetLitterbags placem_collection'!$A$3:$A$500,MATCH($A764,'WetLitterbags placem_collection'!$Q$4:$Q$500,0)),"")</f>
        <v/>
      </c>
    </row>
    <row r="765" spans="1:31">
      <c r="A765" s="197" t="s">
        <v>553</v>
      </c>
      <c r="C765" s="197">
        <v>96</v>
      </c>
      <c r="D765" s="197">
        <v>0.6855</v>
      </c>
      <c r="E765" s="201">
        <v>7.4751000000000003</v>
      </c>
      <c r="F765" s="202">
        <v>0.2011</v>
      </c>
      <c r="G765" s="201">
        <f t="shared" si="63"/>
        <v>7.6762000000000006</v>
      </c>
      <c r="H765" s="201">
        <v>7.4874999999999998</v>
      </c>
      <c r="I765" s="201">
        <f t="shared" si="62"/>
        <v>0.18870000000000076</v>
      </c>
      <c r="J765" s="201">
        <f t="shared" si="64"/>
        <v>1.2399999999999245E-2</v>
      </c>
      <c r="K765" s="280">
        <f t="shared" si="65"/>
        <v>6.1660865241169791</v>
      </c>
      <c r="L765" s="201">
        <v>41</v>
      </c>
      <c r="M765" s="205">
        <v>43211</v>
      </c>
      <c r="AB765" s="110" t="str">
        <f>IFERROR(INDEX('WetLitterbags placem_collection'!$A$3:$A$500,MATCH(A765,'WetLitterbags placem_collection'!$K$4:$K$500,0)),"")</f>
        <v/>
      </c>
      <c r="AC765" s="110" t="str">
        <f>IFERROR(INDEX('WetLitterbags placem_collection'!$A$3:$A$500,MATCH($A765,'WetLitterbags placem_collection'!$O$4:$O$500,0)),"")</f>
        <v/>
      </c>
      <c r="AD765" s="110" t="str">
        <f>IFERROR(INDEX('WetLitterbags placem_collection'!$A$3:$A$500,MATCH($A765,'WetLitterbags placem_collection'!$M$4:$M$500,0)),"")</f>
        <v/>
      </c>
      <c r="AE765" s="110">
        <f>IFERROR(INDEX('WetLitterbags placem_collection'!$A$3:$A$500,MATCH($A765,'WetLitterbags placem_collection'!$Q$4:$Q$500,0)),"")</f>
        <v>95</v>
      </c>
    </row>
    <row r="766" spans="1:31">
      <c r="A766" s="202" t="s">
        <v>552</v>
      </c>
      <c r="C766" s="201">
        <v>211</v>
      </c>
      <c r="D766" s="201">
        <v>1.3182999999999998</v>
      </c>
      <c r="E766" s="201">
        <v>7.8391999999999999</v>
      </c>
      <c r="F766" s="201">
        <v>0.20230000000000001</v>
      </c>
      <c r="G766" s="201">
        <f t="shared" si="63"/>
        <v>8.0414999999999992</v>
      </c>
      <c r="H766" s="201">
        <v>7.8541999999999996</v>
      </c>
      <c r="I766" s="201">
        <f t="shared" si="62"/>
        <v>0.18729999999999958</v>
      </c>
      <c r="J766" s="201">
        <f t="shared" si="64"/>
        <v>1.500000000000043E-2</v>
      </c>
      <c r="K766" s="280">
        <f t="shared" si="65"/>
        <v>7.414730598121813</v>
      </c>
      <c r="L766" s="201">
        <v>16</v>
      </c>
      <c r="M766" s="205">
        <v>43173</v>
      </c>
      <c r="N766" s="205">
        <v>43173</v>
      </c>
      <c r="O766" s="201" t="s">
        <v>2556</v>
      </c>
      <c r="P766" s="201" t="s">
        <v>2555</v>
      </c>
      <c r="AB766" s="110" t="str">
        <f>IFERROR(INDEX('WetLitterbags placem_collection'!$A$3:$A$500,MATCH(A766,'WetLitterbags placem_collection'!$K$4:$K$500,0)),"")</f>
        <v/>
      </c>
      <c r="AC766" s="110" t="str">
        <f>IFERROR(INDEX('WetLitterbags placem_collection'!$A$3:$A$500,MATCH($A766,'WetLitterbags placem_collection'!$O$4:$O$500,0)),"")</f>
        <v/>
      </c>
      <c r="AD766" s="110" t="str">
        <f>IFERROR(INDEX('WetLitterbags placem_collection'!$A$3:$A$500,MATCH($A766,'WetLitterbags placem_collection'!$M$4:$M$500,0)),"")</f>
        <v/>
      </c>
      <c r="AE766" s="110">
        <f>IFERROR(INDEX('WetLitterbags placem_collection'!$A$3:$A$500,MATCH($A766,'WetLitterbags placem_collection'!$Q$4:$Q$500,0)),"")</f>
        <v>210</v>
      </c>
    </row>
    <row r="767" spans="1:31">
      <c r="A767" s="197" t="s">
        <v>1082</v>
      </c>
      <c r="C767" s="198">
        <v>6</v>
      </c>
      <c r="D767" s="197">
        <v>1.2786</v>
      </c>
      <c r="E767" s="202">
        <v>9.8865999999999996</v>
      </c>
      <c r="F767" s="202">
        <v>0.20319999999999999</v>
      </c>
      <c r="G767" s="201">
        <f t="shared" si="63"/>
        <v>10.0898</v>
      </c>
      <c r="H767" s="201">
        <v>9.8975000000000009</v>
      </c>
      <c r="I767" s="201">
        <f t="shared" si="62"/>
        <v>0.19229999999999947</v>
      </c>
      <c r="J767" s="201">
        <f t="shared" si="64"/>
        <v>1.090000000000052E-2</v>
      </c>
      <c r="K767" s="280">
        <f t="shared" si="65"/>
        <v>5.3641732283467132</v>
      </c>
      <c r="L767" s="201">
        <v>17</v>
      </c>
      <c r="AB767" s="110" t="str">
        <f>IFERROR(INDEX('WetLitterbags placem_collection'!$A$3:$A$500,MATCH(A767,'WetLitterbags placem_collection'!$K$4:$K$500,0)),"")</f>
        <v/>
      </c>
      <c r="AC767" s="110" t="str">
        <f>IFERROR(INDEX('WetLitterbags placem_collection'!$A$3:$A$500,MATCH($A767,'WetLitterbags placem_collection'!$O$4:$O$500,0)),"")</f>
        <v/>
      </c>
      <c r="AD767" s="110" t="str">
        <f>IFERROR(INDEX('WetLitterbags placem_collection'!$A$3:$A$500,MATCH($A767,'WetLitterbags placem_collection'!$M$4:$M$500,0)),"")</f>
        <v/>
      </c>
      <c r="AE767" s="110">
        <f>IFERROR(INDEX('WetLitterbags placem_collection'!$A$3:$A$500,MATCH($A767,'WetLitterbags placem_collection'!$Q$4:$Q$500,0)),"")</f>
        <v>5</v>
      </c>
    </row>
    <row r="768" spans="1:31">
      <c r="A768" s="206" t="s">
        <v>551</v>
      </c>
      <c r="C768" s="201">
        <v>106</v>
      </c>
      <c r="D768" s="202">
        <v>1.4161999999999999</v>
      </c>
      <c r="E768" s="202">
        <v>10.617699999999999</v>
      </c>
      <c r="F768" s="202">
        <v>0.2074</v>
      </c>
      <c r="G768" s="201">
        <f t="shared" si="63"/>
        <v>10.825099999999999</v>
      </c>
      <c r="H768" s="201">
        <v>10.6386</v>
      </c>
      <c r="I768" s="201">
        <f t="shared" si="62"/>
        <v>0.18649999999999878</v>
      </c>
      <c r="J768" s="201">
        <f t="shared" si="64"/>
        <v>2.0900000000001223E-2</v>
      </c>
      <c r="K768" s="280">
        <f t="shared" si="65"/>
        <v>10.077145612343887</v>
      </c>
      <c r="L768" s="201">
        <v>38</v>
      </c>
      <c r="M768" s="203">
        <v>43181.645833333336</v>
      </c>
      <c r="N768" s="203">
        <v>43181.833333333336</v>
      </c>
      <c r="O768" s="201" t="s">
        <v>2556</v>
      </c>
      <c r="P768" s="201"/>
      <c r="AB768" s="110" t="str">
        <f>IFERROR(INDEX('WetLitterbags placem_collection'!$A$3:$A$500,MATCH(A768,'WetLitterbags placem_collection'!$K$4:$K$500,0)),"")</f>
        <v/>
      </c>
      <c r="AC768" s="110" t="str">
        <f>IFERROR(INDEX('WetLitterbags placem_collection'!$A$3:$A$500,MATCH($A768,'WetLitterbags placem_collection'!$O$4:$O$500,0)),"")</f>
        <v/>
      </c>
      <c r="AD768" s="110">
        <f>IFERROR(INDEX('WetLitterbags placem_collection'!$A$3:$A$500,MATCH($A768,'WetLitterbags placem_collection'!$M$4:$M$500,0)),"")</f>
        <v>105</v>
      </c>
      <c r="AE768" s="110" t="str">
        <f>IFERROR(INDEX('WetLitterbags placem_collection'!$A$3:$A$500,MATCH($A768,'WetLitterbags placem_collection'!$Q$4:$Q$500,0)),"")</f>
        <v/>
      </c>
    </row>
    <row r="769" spans="1:31">
      <c r="A769" s="197" t="s">
        <v>550</v>
      </c>
      <c r="C769" s="197">
        <v>152</v>
      </c>
      <c r="D769" s="197">
        <v>1.4439</v>
      </c>
      <c r="E769" s="201">
        <v>10.510199999999999</v>
      </c>
      <c r="F769" s="202">
        <v>0.20830000000000001</v>
      </c>
      <c r="G769" s="201">
        <f t="shared" si="63"/>
        <v>10.718499999999999</v>
      </c>
      <c r="H769" s="201">
        <v>10.5229</v>
      </c>
      <c r="I769" s="201">
        <f t="shared" si="62"/>
        <v>0.19559999999999889</v>
      </c>
      <c r="J769" s="201">
        <f t="shared" si="64"/>
        <v>1.2700000000001127E-2</v>
      </c>
      <c r="K769" s="280">
        <f t="shared" si="65"/>
        <v>6.0969755160831145</v>
      </c>
      <c r="L769" s="201">
        <v>18</v>
      </c>
      <c r="M769" s="204">
        <v>43212</v>
      </c>
      <c r="AB769" s="110" t="str">
        <f>IFERROR(INDEX('WetLitterbags placem_collection'!$A$3:$A$500,MATCH(A769,'WetLitterbags placem_collection'!$K$4:$K$500,0)),"")</f>
        <v/>
      </c>
      <c r="AC769" s="110" t="str">
        <f>IFERROR(INDEX('WetLitterbags placem_collection'!$A$3:$A$500,MATCH($A769,'WetLitterbags placem_collection'!$O$4:$O$500,0)),"")</f>
        <v/>
      </c>
      <c r="AD769" s="110">
        <f>IFERROR(INDEX('WetLitterbags placem_collection'!$A$3:$A$500,MATCH($A769,'WetLitterbags placem_collection'!$M$4:$M$500,0)),"")</f>
        <v>151</v>
      </c>
      <c r="AE769" s="110" t="str">
        <f>IFERROR(INDEX('WetLitterbags placem_collection'!$A$3:$A$500,MATCH($A769,'WetLitterbags placem_collection'!$Q$4:$Q$500,0)),"")</f>
        <v/>
      </c>
    </row>
    <row r="770" spans="1:31">
      <c r="A770" s="197" t="s">
        <v>549</v>
      </c>
      <c r="C770" s="197">
        <v>131</v>
      </c>
      <c r="D770" s="197">
        <v>1.3476999999999999</v>
      </c>
      <c r="E770" s="197">
        <v>7.9635999999999996</v>
      </c>
      <c r="F770" s="197">
        <v>0.21010000000000001</v>
      </c>
      <c r="G770" s="197">
        <f t="shared" si="63"/>
        <v>8.1737000000000002</v>
      </c>
      <c r="H770" s="197">
        <v>7.9714999999999998</v>
      </c>
      <c r="I770" s="197">
        <f t="shared" si="62"/>
        <v>0.20220000000000038</v>
      </c>
      <c r="J770" s="201">
        <f t="shared" si="64"/>
        <v>7.8999999999996295E-3</v>
      </c>
      <c r="K770" s="280">
        <f t="shared" si="65"/>
        <v>3.7601142313182434</v>
      </c>
      <c r="L770" s="197">
        <v>11</v>
      </c>
      <c r="M770" s="197">
        <v>43157.395833333336</v>
      </c>
      <c r="N770" s="197">
        <v>43157.569444444445</v>
      </c>
      <c r="O770" s="197" t="s">
        <v>2550</v>
      </c>
      <c r="AB770" s="110" t="str">
        <f>IFERROR(INDEX('WetLitterbags placem_collection'!$A$3:$A$500,MATCH(A770,'WetLitterbags placem_collection'!$K$4:$K$500,0)),"")</f>
        <v/>
      </c>
      <c r="AC770" s="110" t="str">
        <f>IFERROR(INDEX('WetLitterbags placem_collection'!$A$3:$A$500,MATCH($A770,'WetLitterbags placem_collection'!$O$4:$O$500,0)),"")</f>
        <v/>
      </c>
      <c r="AD770" s="110" t="str">
        <f>IFERROR(INDEX('WetLitterbags placem_collection'!$A$3:$A$500,MATCH($A770,'WetLitterbags placem_collection'!$M$4:$M$500,0)),"")</f>
        <v/>
      </c>
      <c r="AE770" s="110">
        <f>IFERROR(INDEX('WetLitterbags placem_collection'!$A$3:$A$500,MATCH($A770,'WetLitterbags placem_collection'!$Q$4:$Q$500,0)),"")</f>
        <v>130</v>
      </c>
    </row>
    <row r="771" spans="1:31">
      <c r="A771" s="206" t="s">
        <v>548</v>
      </c>
      <c r="C771" s="201">
        <v>106</v>
      </c>
      <c r="D771" s="202">
        <v>1.4716</v>
      </c>
      <c r="E771" s="202">
        <v>10.313599999999999</v>
      </c>
      <c r="F771" s="202">
        <v>0.20150000000000001</v>
      </c>
      <c r="G771" s="201">
        <f t="shared" si="63"/>
        <v>10.515099999999999</v>
      </c>
      <c r="H771" s="201">
        <v>10.3238</v>
      </c>
      <c r="I771" s="201">
        <f t="shared" si="62"/>
        <v>0.19129999999999825</v>
      </c>
      <c r="J771" s="201">
        <f t="shared" si="64"/>
        <v>1.0200000000001763E-2</v>
      </c>
      <c r="K771" s="280">
        <f t="shared" si="65"/>
        <v>5.062034739454969</v>
      </c>
      <c r="L771" s="201">
        <v>37</v>
      </c>
      <c r="M771" s="203">
        <v>43181.645833333336</v>
      </c>
      <c r="N771" s="203">
        <v>43181.833333333336</v>
      </c>
      <c r="O771" s="201" t="s">
        <v>2556</v>
      </c>
      <c r="P771" s="201"/>
      <c r="AB771" s="110" t="str">
        <f>IFERROR(INDEX('WetLitterbags placem_collection'!$A$3:$A$500,MATCH(A771,'WetLitterbags placem_collection'!$K$4:$K$500,0)),"")</f>
        <v/>
      </c>
      <c r="AC771" s="110" t="str">
        <f>IFERROR(INDEX('WetLitterbags placem_collection'!$A$3:$A$500,MATCH($A771,'WetLitterbags placem_collection'!$O$4:$O$500,0)),"")</f>
        <v/>
      </c>
      <c r="AD771" s="110" t="str">
        <f>IFERROR(INDEX('WetLitterbags placem_collection'!$A$3:$A$500,MATCH($A771,'WetLitterbags placem_collection'!$M$4:$M$500,0)),"")</f>
        <v/>
      </c>
      <c r="AE771" s="110">
        <f>IFERROR(INDEX('WetLitterbags placem_collection'!$A$3:$A$500,MATCH($A771,'WetLitterbags placem_collection'!$Q$4:$Q$500,0)),"")</f>
        <v>105</v>
      </c>
    </row>
    <row r="772" spans="1:31">
      <c r="A772" s="206" t="s">
        <v>547</v>
      </c>
      <c r="C772" s="201">
        <v>120</v>
      </c>
      <c r="D772" s="201">
        <v>1.1739999999999999</v>
      </c>
      <c r="E772" s="201">
        <v>7.9604999999999997</v>
      </c>
      <c r="F772" s="201">
        <v>0.20899999999999999</v>
      </c>
      <c r="G772" s="201">
        <f t="shared" si="63"/>
        <v>8.1694999999999993</v>
      </c>
      <c r="H772" s="201">
        <v>7.9695999999999998</v>
      </c>
      <c r="I772" s="201">
        <f t="shared" ref="I772:I803" si="66">(G772-H772)</f>
        <v>0.19989999999999952</v>
      </c>
      <c r="J772" s="201">
        <f t="shared" si="64"/>
        <v>9.1000000000004688E-3</v>
      </c>
      <c r="K772" s="280">
        <f t="shared" si="65"/>
        <v>4.3540669856461571</v>
      </c>
      <c r="L772" s="201">
        <v>5</v>
      </c>
      <c r="M772" s="205">
        <v>43174</v>
      </c>
      <c r="N772" s="205">
        <v>43174</v>
      </c>
      <c r="O772" s="201" t="s">
        <v>2556</v>
      </c>
      <c r="P772" s="201" t="s">
        <v>2551</v>
      </c>
      <c r="AB772" s="110" t="str">
        <f>IFERROR(INDEX('WetLitterbags placem_collection'!$A$3:$A$500,MATCH(A772,'WetLitterbags placem_collection'!$K$4:$K$500,0)),"")</f>
        <v/>
      </c>
      <c r="AC772" s="110" t="str">
        <f>IFERROR(INDEX('WetLitterbags placem_collection'!$A$3:$A$500,MATCH($A772,'WetLitterbags placem_collection'!$O$4:$O$500,0)),"")</f>
        <v/>
      </c>
      <c r="AD772" s="110" t="str">
        <f>IFERROR(INDEX('WetLitterbags placem_collection'!$A$3:$A$500,MATCH($A772,'WetLitterbags placem_collection'!$M$4:$M$500,0)),"")</f>
        <v/>
      </c>
      <c r="AE772" s="110">
        <f>IFERROR(INDEX('WetLitterbags placem_collection'!$A$3:$A$500,MATCH($A772,'WetLitterbags placem_collection'!$Q$4:$Q$500,0)),"")</f>
        <v>119</v>
      </c>
    </row>
    <row r="773" spans="1:31">
      <c r="A773" s="201" t="s">
        <v>545</v>
      </c>
      <c r="C773" s="201">
        <v>135</v>
      </c>
      <c r="D773" s="201">
        <f>1.0489+F773</f>
        <v>1.2515999999999998</v>
      </c>
      <c r="E773" s="202">
        <v>10.415699999999999</v>
      </c>
      <c r="F773" s="202">
        <v>0.20269999999999999</v>
      </c>
      <c r="G773" s="201">
        <f t="shared" si="63"/>
        <v>10.618399999999999</v>
      </c>
      <c r="H773" s="201">
        <v>10.4298</v>
      </c>
      <c r="I773" s="201">
        <f t="shared" si="66"/>
        <v>0.18859999999999921</v>
      </c>
      <c r="J773" s="201">
        <f t="shared" si="64"/>
        <v>1.4100000000000779E-2</v>
      </c>
      <c r="K773" s="280">
        <f t="shared" si="65"/>
        <v>6.95609274790369</v>
      </c>
      <c r="L773" s="201">
        <v>24</v>
      </c>
      <c r="M773" s="205">
        <v>43174</v>
      </c>
      <c r="N773" s="205">
        <v>43174</v>
      </c>
      <c r="O773" s="201" t="s">
        <v>2556</v>
      </c>
      <c r="P773" s="201" t="s">
        <v>2551</v>
      </c>
      <c r="AB773" s="110" t="str">
        <f>IFERROR(INDEX('WetLitterbags placem_collection'!$A$3:$A$500,MATCH(A773,'WetLitterbags placem_collection'!$K$4:$K$500,0)),"")</f>
        <v/>
      </c>
      <c r="AC773" s="110" t="str">
        <f>IFERROR(INDEX('WetLitterbags placem_collection'!$A$3:$A$500,MATCH($A773,'WetLitterbags placem_collection'!$O$4:$O$500,0)),"")</f>
        <v/>
      </c>
      <c r="AD773" s="110" t="str">
        <f>IFERROR(INDEX('WetLitterbags placem_collection'!$A$3:$A$500,MATCH($A773,'WetLitterbags placem_collection'!$M$4:$M$500,0)),"")</f>
        <v/>
      </c>
      <c r="AE773" s="110">
        <f>IFERROR(INDEX('WetLitterbags placem_collection'!$A$3:$A$500,MATCH($A773,'WetLitterbags placem_collection'!$Q$4:$Q$500,0)),"")</f>
        <v>134</v>
      </c>
    </row>
    <row r="774" spans="1:31">
      <c r="A774" s="197" t="s">
        <v>544</v>
      </c>
      <c r="C774" s="197">
        <v>133</v>
      </c>
      <c r="D774" s="197">
        <v>1.3281000000000001</v>
      </c>
      <c r="E774" s="197">
        <v>9.1540999999999997</v>
      </c>
      <c r="F774" s="197">
        <v>0.2009</v>
      </c>
      <c r="G774" s="197">
        <f t="shared" si="63"/>
        <v>9.3550000000000004</v>
      </c>
      <c r="H774" s="197">
        <v>9.1696000000000009</v>
      </c>
      <c r="I774" s="197">
        <f t="shared" si="66"/>
        <v>0.18539999999999957</v>
      </c>
      <c r="J774" s="201">
        <f t="shared" si="64"/>
        <v>1.550000000000043E-2</v>
      </c>
      <c r="K774" s="280">
        <f t="shared" si="65"/>
        <v>7.7152812344452117</v>
      </c>
      <c r="L774" s="197">
        <v>15</v>
      </c>
      <c r="M774" s="197">
        <v>43157.395833333336</v>
      </c>
      <c r="N774" s="197">
        <v>43157.569444444445</v>
      </c>
      <c r="O774" s="197" t="s">
        <v>2550</v>
      </c>
      <c r="AB774" s="110" t="str">
        <f>IFERROR(INDEX('WetLitterbags placem_collection'!$A$3:$A$500,MATCH(A774,'WetLitterbags placem_collection'!$K$4:$K$500,0)),"")</f>
        <v/>
      </c>
      <c r="AC774" s="110" t="str">
        <f>IFERROR(INDEX('WetLitterbags placem_collection'!$A$3:$A$500,MATCH($A774,'WetLitterbags placem_collection'!$O$4:$O$500,0)),"")</f>
        <v/>
      </c>
      <c r="AD774" s="110" t="str">
        <f>IFERROR(INDEX('WetLitterbags placem_collection'!$A$3:$A$500,MATCH($A774,'WetLitterbags placem_collection'!$M$4:$M$500,0)),"")</f>
        <v/>
      </c>
      <c r="AE774" s="110">
        <f>IFERROR(INDEX('WetLitterbags placem_collection'!$A$3:$A$500,MATCH($A774,'WetLitterbags placem_collection'!$Q$4:$Q$500,0)),"")</f>
        <v>132</v>
      </c>
    </row>
    <row r="775" spans="1:31">
      <c r="A775" s="206" t="s">
        <v>543</v>
      </c>
      <c r="C775" s="201">
        <v>156</v>
      </c>
      <c r="D775" s="201">
        <v>1.5407</v>
      </c>
      <c r="E775" s="201">
        <v>7.9958</v>
      </c>
      <c r="F775" s="201">
        <v>0.2024</v>
      </c>
      <c r="G775" s="201">
        <f t="shared" si="63"/>
        <v>8.1981999999999999</v>
      </c>
      <c r="H775" s="201">
        <v>8.0113000000000003</v>
      </c>
      <c r="I775" s="201">
        <f t="shared" si="66"/>
        <v>0.18689999999999962</v>
      </c>
      <c r="J775" s="201">
        <f t="shared" si="64"/>
        <v>1.5500000000000375E-2</v>
      </c>
      <c r="K775" s="280">
        <f t="shared" si="65"/>
        <v>7.6581027667986037</v>
      </c>
      <c r="L775" s="201">
        <v>14</v>
      </c>
      <c r="M775" s="203">
        <v>43171.520833333336</v>
      </c>
      <c r="N775" s="203">
        <v>43171.6875</v>
      </c>
      <c r="O775" s="197" t="s">
        <v>2550</v>
      </c>
      <c r="P775" s="201"/>
      <c r="AB775" s="110" t="str">
        <f>IFERROR(INDEX('WetLitterbags placem_collection'!$A$3:$A$500,MATCH(A775,'WetLitterbags placem_collection'!$K$4:$K$500,0)),"")</f>
        <v/>
      </c>
      <c r="AC775" s="110" t="str">
        <f>IFERROR(INDEX('WetLitterbags placem_collection'!$A$3:$A$500,MATCH($A775,'WetLitterbags placem_collection'!$O$4:$O$500,0)),"")</f>
        <v/>
      </c>
      <c r="AD775" s="110">
        <f>IFERROR(INDEX('WetLitterbags placem_collection'!$A$3:$A$500,MATCH($A775,'WetLitterbags placem_collection'!$M$4:$M$500,0)),"")</f>
        <v>155</v>
      </c>
      <c r="AE775" s="110" t="str">
        <f>IFERROR(INDEX('WetLitterbags placem_collection'!$A$3:$A$500,MATCH($A775,'WetLitterbags placem_collection'!$Q$4:$Q$500,0)),"")</f>
        <v/>
      </c>
    </row>
    <row r="776" spans="1:31">
      <c r="A776" s="197" t="s">
        <v>1135</v>
      </c>
      <c r="C776" s="197">
        <v>44</v>
      </c>
      <c r="D776" s="197">
        <v>1.2974000000000001</v>
      </c>
      <c r="E776" s="197">
        <v>8.0890000000000004</v>
      </c>
      <c r="F776" s="197">
        <v>0.20369999999999999</v>
      </c>
      <c r="G776" s="197">
        <f t="shared" si="63"/>
        <v>8.2927</v>
      </c>
      <c r="H776" s="197">
        <v>8.0968999999999998</v>
      </c>
      <c r="I776" s="197">
        <f t="shared" si="66"/>
        <v>0.1958000000000002</v>
      </c>
      <c r="J776" s="201">
        <f t="shared" si="64"/>
        <v>7.8999999999997961E-3</v>
      </c>
      <c r="K776" s="280">
        <f t="shared" si="65"/>
        <v>3.8782523318604794</v>
      </c>
      <c r="L776" s="197">
        <v>28</v>
      </c>
      <c r="M776" s="197" t="s">
        <v>2586</v>
      </c>
      <c r="N776" s="197" t="s">
        <v>2585</v>
      </c>
      <c r="O776" s="197" t="s">
        <v>2550</v>
      </c>
      <c r="AB776" s="110" t="str">
        <f>IFERROR(INDEX('WetLitterbags placem_collection'!$A$3:$A$500,MATCH(A776,'WetLitterbags placem_collection'!$K$4:$K$500,0)),"")</f>
        <v/>
      </c>
      <c r="AC776" s="110" t="str">
        <f>IFERROR(INDEX('WetLitterbags placem_collection'!$A$3:$A$500,MATCH($A776,'WetLitterbags placem_collection'!$O$4:$O$500,0)),"")</f>
        <v/>
      </c>
      <c r="AD776" s="110" t="str">
        <f>IFERROR(INDEX('WetLitterbags placem_collection'!$A$3:$A$500,MATCH($A776,'WetLitterbags placem_collection'!$M$4:$M$500,0)),"")</f>
        <v/>
      </c>
      <c r="AE776" s="110">
        <f>IFERROR(INDEX('WetLitterbags placem_collection'!$A$3:$A$500,MATCH($A776,'WetLitterbags placem_collection'!$Q$4:$Q$500,0)),"")</f>
        <v>43</v>
      </c>
    </row>
    <row r="777" spans="1:31">
      <c r="A777" s="206" t="s">
        <v>1081</v>
      </c>
      <c r="C777" s="201">
        <v>56</v>
      </c>
      <c r="D777" s="202">
        <v>1.1222000000000001</v>
      </c>
      <c r="E777" s="202">
        <v>9.1564999999999994</v>
      </c>
      <c r="F777" s="202">
        <v>0.20069999999999999</v>
      </c>
      <c r="G777" s="201">
        <f t="shared" si="63"/>
        <v>9.3571999999999989</v>
      </c>
      <c r="H777" s="201">
        <v>9.3376999999999999</v>
      </c>
      <c r="I777" s="201">
        <f t="shared" si="66"/>
        <v>1.9499999999998963E-2</v>
      </c>
      <c r="J777" s="201">
        <f t="shared" si="64"/>
        <v>0.18120000000000103</v>
      </c>
      <c r="K777" s="280">
        <f t="shared" si="65"/>
        <v>90.284005979073754</v>
      </c>
      <c r="L777" s="201">
        <v>10</v>
      </c>
      <c r="M777" s="201"/>
      <c r="N777" s="201"/>
      <c r="O777" s="201"/>
      <c r="P777" s="201"/>
      <c r="U777" s="202" t="s">
        <v>1580</v>
      </c>
      <c r="V777" s="197">
        <v>0.85450000000000004</v>
      </c>
      <c r="W777" s="197">
        <f>(V777-$T$175+F775)</f>
        <v>1.0569</v>
      </c>
      <c r="AB777" s="110" t="str">
        <f>IFERROR(INDEX('WetLitterbags placem_collection'!$A$3:$A$500,MATCH(A777,'WetLitterbags placem_collection'!$K$4:$K$500,0)),"")</f>
        <v/>
      </c>
      <c r="AC777" s="110" t="str">
        <f>IFERROR(INDEX('WetLitterbags placem_collection'!$A$3:$A$500,MATCH($A777,'WetLitterbags placem_collection'!$O$4:$O$500,0)),"")</f>
        <v/>
      </c>
      <c r="AD777" s="110">
        <f>IFERROR(INDEX('WetLitterbags placem_collection'!$A$3:$A$500,MATCH($A777,'WetLitterbags placem_collection'!$M$4:$M$500,0)),"")</f>
        <v>55</v>
      </c>
      <c r="AE777" s="110" t="str">
        <f>IFERROR(INDEX('WetLitterbags placem_collection'!$A$3:$A$500,MATCH($A777,'WetLitterbags placem_collection'!$Q$4:$Q$500,0)),"")</f>
        <v/>
      </c>
    </row>
    <row r="778" spans="1:31">
      <c r="A778" s="206" t="s">
        <v>541</v>
      </c>
      <c r="C778" s="201">
        <v>134</v>
      </c>
      <c r="D778" s="201">
        <v>1.1697</v>
      </c>
      <c r="E778" s="202">
        <v>8.8617000000000008</v>
      </c>
      <c r="F778" s="202">
        <v>0.20449999999999999</v>
      </c>
      <c r="G778" s="201">
        <f t="shared" si="63"/>
        <v>9.0662000000000003</v>
      </c>
      <c r="H778" s="201">
        <v>8.8765999999999998</v>
      </c>
      <c r="I778" s="201">
        <f t="shared" si="66"/>
        <v>0.18960000000000043</v>
      </c>
      <c r="J778" s="201">
        <f t="shared" si="64"/>
        <v>1.4899999999999552E-2</v>
      </c>
      <c r="K778" s="280">
        <f t="shared" si="65"/>
        <v>7.2860635696819331</v>
      </c>
      <c r="L778" s="201">
        <v>10</v>
      </c>
      <c r="M778" s="205">
        <v>43197</v>
      </c>
      <c r="N778" s="205">
        <v>43197</v>
      </c>
      <c r="O778" s="201"/>
      <c r="P778" s="201"/>
      <c r="AB778" s="110" t="str">
        <f>IFERROR(INDEX('WetLitterbags placem_collection'!$A$3:$A$500,MATCH(A778,'WetLitterbags placem_collection'!$K$4:$K$500,0)),"")</f>
        <v/>
      </c>
      <c r="AC778" s="110" t="str">
        <f>IFERROR(INDEX('WetLitterbags placem_collection'!$A$3:$A$500,MATCH($A778,'WetLitterbags placem_collection'!$O$4:$O$500,0)),"")</f>
        <v/>
      </c>
      <c r="AD778" s="110">
        <f>IFERROR(INDEX('WetLitterbags placem_collection'!$A$3:$A$500,MATCH($A778,'WetLitterbags placem_collection'!$M$4:$M$500,0)),"")</f>
        <v>133</v>
      </c>
      <c r="AE778" s="110" t="str">
        <f>IFERROR(INDEX('WetLitterbags placem_collection'!$A$3:$A$500,MATCH($A778,'WetLitterbags placem_collection'!$Q$4:$Q$500,0)),"")</f>
        <v/>
      </c>
    </row>
    <row r="779" spans="1:31">
      <c r="A779" s="197" t="s">
        <v>539</v>
      </c>
      <c r="C779" s="197">
        <v>114</v>
      </c>
      <c r="D779" s="197">
        <v>2.7837999999999998</v>
      </c>
      <c r="E779" s="202">
        <v>10.1225</v>
      </c>
      <c r="F779" s="202">
        <v>0.20619999999999999</v>
      </c>
      <c r="G779" s="197">
        <f t="shared" si="63"/>
        <v>10.328700000000001</v>
      </c>
      <c r="H779" s="201">
        <v>10.3186</v>
      </c>
      <c r="I779" s="201">
        <f t="shared" si="66"/>
        <v>1.010000000000133E-2</v>
      </c>
      <c r="J779" s="201">
        <f t="shared" si="64"/>
        <v>0.19609999999999866</v>
      </c>
      <c r="K779" s="280">
        <f t="shared" si="65"/>
        <v>95.101842870998382</v>
      </c>
      <c r="L779" s="197">
        <v>1</v>
      </c>
      <c r="M779" s="207">
        <v>43185.385416666664</v>
      </c>
      <c r="O779" s="201" t="s">
        <v>2556</v>
      </c>
      <c r="P779" s="201"/>
      <c r="AB779" s="110" t="str">
        <f>IFERROR(INDEX('WetLitterbags placem_collection'!$A$3:$A$500,MATCH(A779,'WetLitterbags placem_collection'!$K$4:$K$500,0)),"")</f>
        <v/>
      </c>
      <c r="AC779" s="110" t="str">
        <f>IFERROR(INDEX('WetLitterbags placem_collection'!$A$3:$A$500,MATCH($A779,'WetLitterbags placem_collection'!$O$4:$O$500,0)),"")</f>
        <v/>
      </c>
      <c r="AD779" s="110">
        <f>IFERROR(INDEX('WetLitterbags placem_collection'!$A$3:$A$500,MATCH($A779,'WetLitterbags placem_collection'!$M$4:$M$500,0)),"")</f>
        <v>113</v>
      </c>
      <c r="AE779" s="110" t="str">
        <f>IFERROR(INDEX('WetLitterbags placem_collection'!$A$3:$A$500,MATCH($A779,'WetLitterbags placem_collection'!$Q$4:$Q$500,0)),"")</f>
        <v/>
      </c>
    </row>
    <row r="780" spans="1:31">
      <c r="A780" s="197" t="s">
        <v>1079</v>
      </c>
      <c r="C780" s="197">
        <v>86</v>
      </c>
      <c r="D780" s="197">
        <v>1.4595</v>
      </c>
      <c r="E780" s="197">
        <v>21.2059</v>
      </c>
      <c r="F780" s="197">
        <v>0.20219999999999999</v>
      </c>
      <c r="G780" s="197">
        <f t="shared" si="63"/>
        <v>21.408100000000001</v>
      </c>
      <c r="H780" s="197">
        <v>21.263200000000001</v>
      </c>
      <c r="I780" s="197">
        <f t="shared" si="66"/>
        <v>0.14489999999999981</v>
      </c>
      <c r="J780" s="201">
        <f t="shared" si="64"/>
        <v>5.7300000000000184E-2</v>
      </c>
      <c r="K780" s="280">
        <f t="shared" si="65"/>
        <v>28.338278931750832</v>
      </c>
      <c r="L780" s="197">
        <v>11</v>
      </c>
      <c r="M780" s="197" t="s">
        <v>2580</v>
      </c>
      <c r="N780" s="197" t="s">
        <v>2579</v>
      </c>
      <c r="O780" s="197" t="s">
        <v>2556</v>
      </c>
      <c r="AB780" s="110" t="str">
        <f>IFERROR(INDEX('WetLitterbags placem_collection'!$A$3:$A$500,MATCH(A780,'WetLitterbags placem_collection'!$K$4:$K$500,0)),"")</f>
        <v/>
      </c>
      <c r="AC780" s="110" t="str">
        <f>IFERROR(INDEX('WetLitterbags placem_collection'!$A$3:$A$500,MATCH($A780,'WetLitterbags placem_collection'!$O$4:$O$500,0)),"")</f>
        <v/>
      </c>
      <c r="AD780" s="110" t="str">
        <f>IFERROR(INDEX('WetLitterbags placem_collection'!$A$3:$A$500,MATCH($A780,'WetLitterbags placem_collection'!$M$4:$M$500,0)),"")</f>
        <v/>
      </c>
      <c r="AE780" s="110">
        <f>IFERROR(INDEX('WetLitterbags placem_collection'!$A$3:$A$500,MATCH($A780,'WetLitterbags placem_collection'!$Q$4:$Q$500,0)),"")</f>
        <v>85</v>
      </c>
    </row>
    <row r="781" spans="1:31">
      <c r="A781" s="201" t="s">
        <v>1078</v>
      </c>
      <c r="C781" s="201">
        <v>37</v>
      </c>
      <c r="D781" s="201">
        <v>0.86729999999999996</v>
      </c>
      <c r="E781" s="201">
        <v>9.9171999999999993</v>
      </c>
      <c r="F781" s="201">
        <v>0.20399999999999999</v>
      </c>
      <c r="G781" s="201">
        <f t="shared" si="63"/>
        <v>10.1212</v>
      </c>
      <c r="H781" s="201">
        <v>10.0619</v>
      </c>
      <c r="I781" s="201">
        <f t="shared" si="66"/>
        <v>5.9300000000000352E-2</v>
      </c>
      <c r="J781" s="201">
        <f t="shared" si="64"/>
        <v>0.14469999999999963</v>
      </c>
      <c r="K781" s="280">
        <f t="shared" si="65"/>
        <v>70.931372549019429</v>
      </c>
      <c r="L781" s="201">
        <v>22</v>
      </c>
      <c r="M781" s="205">
        <v>43188</v>
      </c>
      <c r="N781" s="205">
        <v>43188</v>
      </c>
      <c r="O781" s="201"/>
      <c r="P781" s="201"/>
      <c r="AB781" s="110" t="str">
        <f>IFERROR(INDEX('WetLitterbags placem_collection'!$A$3:$A$500,MATCH(A781,'WetLitterbags placem_collection'!$K$4:$K$500,0)),"")</f>
        <v/>
      </c>
      <c r="AC781" s="110" t="str">
        <f>IFERROR(INDEX('WetLitterbags placem_collection'!$A$3:$A$500,MATCH($A781,'WetLitterbags placem_collection'!$O$4:$O$500,0)),"")</f>
        <v/>
      </c>
      <c r="AD781" s="110">
        <f>IFERROR(INDEX('WetLitterbags placem_collection'!$A$3:$A$500,MATCH($A781,'WetLitterbags placem_collection'!$M$4:$M$500,0)),"")</f>
        <v>36</v>
      </c>
      <c r="AE781" s="110" t="str">
        <f>IFERROR(INDEX('WetLitterbags placem_collection'!$A$3:$A$500,MATCH($A781,'WetLitterbags placem_collection'!$Q$4:$Q$500,0)),"")</f>
        <v/>
      </c>
    </row>
    <row r="782" spans="1:31">
      <c r="A782" s="201" t="s">
        <v>1077</v>
      </c>
      <c r="C782" s="201">
        <v>35</v>
      </c>
      <c r="D782" s="202">
        <v>1.3553999999999999</v>
      </c>
      <c r="E782" s="201">
        <v>11.0875</v>
      </c>
      <c r="F782" s="202">
        <v>0.2036</v>
      </c>
      <c r="G782" s="201">
        <f t="shared" si="63"/>
        <v>11.2911</v>
      </c>
      <c r="H782" s="201">
        <v>11.0983</v>
      </c>
      <c r="I782" s="201">
        <f t="shared" si="66"/>
        <v>0.19280000000000008</v>
      </c>
      <c r="J782" s="201">
        <f t="shared" si="64"/>
        <v>1.0799999999999921E-2</v>
      </c>
      <c r="K782" s="280">
        <f t="shared" si="65"/>
        <v>5.3045186640471123</v>
      </c>
      <c r="L782" s="201">
        <v>14</v>
      </c>
      <c r="M782" s="205">
        <v>43206</v>
      </c>
      <c r="N782" s="205">
        <v>43206</v>
      </c>
      <c r="O782" s="201"/>
      <c r="P782" s="201"/>
      <c r="AB782" s="110" t="str">
        <f>IFERROR(INDEX('WetLitterbags placem_collection'!$A$3:$A$500,MATCH(A782,'WetLitterbags placem_collection'!$K$4:$K$500,0)),"")</f>
        <v/>
      </c>
      <c r="AC782" s="110" t="str">
        <f>IFERROR(INDEX('WetLitterbags placem_collection'!$A$3:$A$500,MATCH($A782,'WetLitterbags placem_collection'!$O$4:$O$500,0)),"")</f>
        <v/>
      </c>
      <c r="AD782" s="110">
        <f>IFERROR(INDEX('WetLitterbags placem_collection'!$A$3:$A$500,MATCH($A782,'WetLitterbags placem_collection'!$M$4:$M$500,0)),"")</f>
        <v>34</v>
      </c>
      <c r="AE782" s="110" t="str">
        <f>IFERROR(INDEX('WetLitterbags placem_collection'!$A$3:$A$500,MATCH($A782,'WetLitterbags placem_collection'!$Q$4:$Q$500,0)),"")</f>
        <v/>
      </c>
    </row>
    <row r="783" spans="1:31">
      <c r="A783" s="197" t="s">
        <v>1076</v>
      </c>
      <c r="C783" s="197">
        <v>39</v>
      </c>
      <c r="D783" s="197">
        <v>1.2951999999999999</v>
      </c>
      <c r="E783" s="197">
        <v>8.3538999999999994</v>
      </c>
      <c r="F783" s="197">
        <v>0.2019</v>
      </c>
      <c r="G783" s="197">
        <f t="shared" si="63"/>
        <v>8.5557999999999996</v>
      </c>
      <c r="H783" s="197">
        <v>8.3606999999999996</v>
      </c>
      <c r="I783" s="197">
        <f t="shared" si="66"/>
        <v>0.19510000000000005</v>
      </c>
      <c r="J783" s="201">
        <f t="shared" si="64"/>
        <v>6.799999999999945E-3</v>
      </c>
      <c r="K783" s="280">
        <f t="shared" si="65"/>
        <v>3.3680039623575757</v>
      </c>
      <c r="L783" s="197">
        <v>24</v>
      </c>
      <c r="M783" s="197" t="s">
        <v>2586</v>
      </c>
      <c r="N783" s="197" t="s">
        <v>2585</v>
      </c>
      <c r="O783" s="197" t="s">
        <v>2550</v>
      </c>
      <c r="AB783" s="110" t="str">
        <f>IFERROR(INDEX('WetLitterbags placem_collection'!$A$3:$A$500,MATCH(A783,'WetLitterbags placem_collection'!$K$4:$K$500,0)),"")</f>
        <v/>
      </c>
      <c r="AC783" s="110" t="str">
        <f>IFERROR(INDEX('WetLitterbags placem_collection'!$A$3:$A$500,MATCH($A783,'WetLitterbags placem_collection'!$O$4:$O$500,0)),"")</f>
        <v/>
      </c>
      <c r="AD783" s="110" t="str">
        <f>IFERROR(INDEX('WetLitterbags placem_collection'!$A$3:$A$500,MATCH($A783,'WetLitterbags placem_collection'!$M$4:$M$500,0)),"")</f>
        <v/>
      </c>
      <c r="AE783" s="110">
        <f>IFERROR(INDEX('WetLitterbags placem_collection'!$A$3:$A$500,MATCH($A783,'WetLitterbags placem_collection'!$Q$4:$Q$500,0)),"")</f>
        <v>38</v>
      </c>
    </row>
    <row r="784" spans="1:31">
      <c r="A784" s="197" t="s">
        <v>1073</v>
      </c>
      <c r="C784" s="197">
        <v>80</v>
      </c>
      <c r="D784" s="197">
        <v>1.389</v>
      </c>
      <c r="E784" s="197">
        <v>11.8589</v>
      </c>
      <c r="F784" s="197">
        <v>0.2056</v>
      </c>
      <c r="G784" s="197">
        <f t="shared" si="63"/>
        <v>12.064500000000001</v>
      </c>
      <c r="H784" s="197">
        <v>11.8802</v>
      </c>
      <c r="I784" s="197">
        <f t="shared" si="66"/>
        <v>0.18430000000000035</v>
      </c>
      <c r="J784" s="201">
        <f t="shared" si="64"/>
        <v>2.1299999999999653E-2</v>
      </c>
      <c r="K784" s="280">
        <f t="shared" si="65"/>
        <v>10.359922178988159</v>
      </c>
      <c r="L784" s="197">
        <v>8</v>
      </c>
      <c r="M784" s="197" t="s">
        <v>2580</v>
      </c>
      <c r="N784" s="197" t="s">
        <v>2579</v>
      </c>
      <c r="O784" s="197" t="s">
        <v>2556</v>
      </c>
      <c r="AB784" s="110" t="str">
        <f>IFERROR(INDEX('WetLitterbags placem_collection'!$A$3:$A$500,MATCH(A784,'WetLitterbags placem_collection'!$K$4:$K$500,0)),"")</f>
        <v/>
      </c>
      <c r="AC784" s="110" t="str">
        <f>IFERROR(INDEX('WetLitterbags placem_collection'!$A$3:$A$500,MATCH($A784,'WetLitterbags placem_collection'!$O$4:$O$500,0)),"")</f>
        <v/>
      </c>
      <c r="AD784" s="110" t="str">
        <f>IFERROR(INDEX('WetLitterbags placem_collection'!$A$3:$A$500,MATCH($A784,'WetLitterbags placem_collection'!$M$4:$M$500,0)),"")</f>
        <v/>
      </c>
      <c r="AE784" s="110">
        <f>IFERROR(INDEX('WetLitterbags placem_collection'!$A$3:$A$500,MATCH($A784,'WetLitterbags placem_collection'!$Q$4:$Q$500,0)),"")</f>
        <v>79</v>
      </c>
    </row>
    <row r="785" spans="1:31">
      <c r="A785" s="201" t="s">
        <v>1072</v>
      </c>
      <c r="C785" s="201">
        <v>35</v>
      </c>
      <c r="D785" s="202">
        <v>1.2358</v>
      </c>
      <c r="E785" s="201">
        <v>10.739100000000001</v>
      </c>
      <c r="F785" s="202">
        <v>0.2031</v>
      </c>
      <c r="G785" s="201">
        <f t="shared" si="63"/>
        <v>10.9422</v>
      </c>
      <c r="H785" s="201">
        <v>10.754</v>
      </c>
      <c r="I785" s="201">
        <f t="shared" si="66"/>
        <v>0.18820000000000014</v>
      </c>
      <c r="J785" s="201">
        <f t="shared" si="64"/>
        <v>1.4899999999999858E-2</v>
      </c>
      <c r="K785" s="280">
        <f t="shared" si="65"/>
        <v>7.3362875430821557</v>
      </c>
      <c r="L785" s="201">
        <v>13</v>
      </c>
      <c r="M785" s="205">
        <v>43206</v>
      </c>
      <c r="N785" s="205">
        <v>43206</v>
      </c>
      <c r="O785" s="201"/>
      <c r="P785" s="201"/>
      <c r="AB785" s="110" t="str">
        <f>IFERROR(INDEX('WetLitterbags placem_collection'!$A$3:$A$500,MATCH(A785,'WetLitterbags placem_collection'!$K$4:$K$500,0)),"")</f>
        <v/>
      </c>
      <c r="AC785" s="110" t="str">
        <f>IFERROR(INDEX('WetLitterbags placem_collection'!$A$3:$A$500,MATCH($A785,'WetLitterbags placem_collection'!$O$4:$O$500,0)),"")</f>
        <v/>
      </c>
      <c r="AD785" s="110" t="str">
        <f>IFERROR(INDEX('WetLitterbags placem_collection'!$A$3:$A$500,MATCH($A785,'WetLitterbags placem_collection'!$M$4:$M$500,0)),"")</f>
        <v/>
      </c>
      <c r="AE785" s="110">
        <f>IFERROR(INDEX('WetLitterbags placem_collection'!$A$3:$A$500,MATCH($A785,'WetLitterbags placem_collection'!$Q$4:$Q$500,0)),"")</f>
        <v>34</v>
      </c>
    </row>
    <row r="786" spans="1:31">
      <c r="A786" s="206" t="s">
        <v>1134</v>
      </c>
      <c r="C786" s="201">
        <v>150</v>
      </c>
      <c r="D786" s="201">
        <v>1.4441999999999999</v>
      </c>
      <c r="E786" s="202">
        <v>7.4745999999999997</v>
      </c>
      <c r="F786" s="202">
        <v>0.2051</v>
      </c>
      <c r="G786" s="201">
        <f t="shared" si="63"/>
        <v>7.6796999999999995</v>
      </c>
      <c r="H786" s="201">
        <v>7.4954999999999998</v>
      </c>
      <c r="I786" s="201">
        <f t="shared" si="66"/>
        <v>0.1841999999999997</v>
      </c>
      <c r="J786" s="201">
        <f t="shared" si="64"/>
        <v>2.0900000000000307E-2</v>
      </c>
      <c r="K786" s="280">
        <f t="shared" si="65"/>
        <v>10.190151145782695</v>
      </c>
      <c r="L786" s="201">
        <v>10</v>
      </c>
      <c r="M786" s="205">
        <v>43199</v>
      </c>
      <c r="N786" s="205">
        <v>43199</v>
      </c>
      <c r="O786" s="201"/>
      <c r="P786" s="201"/>
      <c r="AB786" s="110" t="str">
        <f>IFERROR(INDEX('WetLitterbags placem_collection'!$A$3:$A$500,MATCH(A786,'WetLitterbags placem_collection'!$K$4:$K$500,0)),"")</f>
        <v/>
      </c>
      <c r="AC786" s="110" t="str">
        <f>IFERROR(INDEX('WetLitterbags placem_collection'!$A$3:$A$500,MATCH($A786,'WetLitterbags placem_collection'!$O$4:$O$500,0)),"")</f>
        <v/>
      </c>
      <c r="AD786" s="110">
        <f>IFERROR(INDEX('WetLitterbags placem_collection'!$A$3:$A$500,MATCH($A786,'WetLitterbags placem_collection'!$M$4:$M$500,0)),"")</f>
        <v>149</v>
      </c>
      <c r="AE786" s="110" t="str">
        <f>IFERROR(INDEX('WetLitterbags placem_collection'!$A$3:$A$500,MATCH($A786,'WetLitterbags placem_collection'!$Q$4:$Q$500,0)),"")</f>
        <v/>
      </c>
    </row>
    <row r="787" spans="1:31">
      <c r="A787" s="197" t="s">
        <v>1070</v>
      </c>
      <c r="C787" s="197">
        <v>24</v>
      </c>
      <c r="D787" s="197">
        <v>1.0868</v>
      </c>
      <c r="E787" s="197">
        <v>10.1241</v>
      </c>
      <c r="F787" s="202">
        <v>0.20150000000000001</v>
      </c>
      <c r="G787" s="201">
        <f t="shared" si="63"/>
        <v>10.3256</v>
      </c>
      <c r="H787" s="201">
        <v>10.1355</v>
      </c>
      <c r="I787" s="201">
        <f t="shared" si="66"/>
        <v>0.19009999999999927</v>
      </c>
      <c r="J787" s="201">
        <f t="shared" si="64"/>
        <v>1.1400000000000743E-2</v>
      </c>
      <c r="K787" s="280">
        <f t="shared" si="65"/>
        <v>5.6575682382137682</v>
      </c>
      <c r="L787" s="201">
        <v>1</v>
      </c>
      <c r="AB787" s="110" t="str">
        <f>IFERROR(INDEX('WetLitterbags placem_collection'!$A$3:$A$500,MATCH(A787,'WetLitterbags placem_collection'!$K$4:$K$500,0)),"")</f>
        <v/>
      </c>
      <c r="AC787" s="110" t="str">
        <f>IFERROR(INDEX('WetLitterbags placem_collection'!$A$3:$A$500,MATCH($A787,'WetLitterbags placem_collection'!$O$4:$O$500,0)),"")</f>
        <v/>
      </c>
      <c r="AD787" s="110" t="str">
        <f>IFERROR(INDEX('WetLitterbags placem_collection'!$A$3:$A$500,MATCH($A787,'WetLitterbags placem_collection'!$M$4:$M$500,0)),"")</f>
        <v/>
      </c>
      <c r="AE787" s="110">
        <f>IFERROR(INDEX('WetLitterbags placem_collection'!$A$3:$A$500,MATCH($A787,'WetLitterbags placem_collection'!$Q$4:$Q$500,0)),"")</f>
        <v>23</v>
      </c>
    </row>
    <row r="788" spans="1:31">
      <c r="A788" s="206" t="s">
        <v>1069</v>
      </c>
      <c r="C788" s="201">
        <v>48</v>
      </c>
      <c r="D788" s="201">
        <v>1.3627</v>
      </c>
      <c r="E788" s="201">
        <v>10.5657</v>
      </c>
      <c r="F788" s="202">
        <v>0.20580000000000001</v>
      </c>
      <c r="G788" s="201">
        <f t="shared" si="63"/>
        <v>10.7715</v>
      </c>
      <c r="H788" s="201">
        <v>10.5753</v>
      </c>
      <c r="I788" s="201">
        <f t="shared" si="66"/>
        <v>0.19619999999999926</v>
      </c>
      <c r="J788" s="201">
        <f t="shared" si="64"/>
        <v>9.6000000000007468E-3</v>
      </c>
      <c r="K788" s="280">
        <f t="shared" si="65"/>
        <v>4.6647230320703335</v>
      </c>
      <c r="L788" s="201">
        <v>12</v>
      </c>
      <c r="M788" s="205">
        <v>43211</v>
      </c>
      <c r="S788" s="197" t="s">
        <v>2593</v>
      </c>
      <c r="T788" s="197" t="s">
        <v>2592</v>
      </c>
      <c r="U788" s="197" t="s">
        <v>2591</v>
      </c>
      <c r="V788" s="197" t="s">
        <v>2590</v>
      </c>
      <c r="W788" s="197" t="s">
        <v>2589</v>
      </c>
      <c r="AB788" s="110" t="str">
        <f>IFERROR(INDEX('WetLitterbags placem_collection'!$A$3:$A$500,MATCH(A788,'WetLitterbags placem_collection'!$K$4:$K$500,0)),"")</f>
        <v/>
      </c>
      <c r="AC788" s="110" t="str">
        <f>IFERROR(INDEX('WetLitterbags placem_collection'!$A$3:$A$500,MATCH($A788,'WetLitterbags placem_collection'!$O$4:$O$500,0)),"")</f>
        <v/>
      </c>
      <c r="AD788" s="110">
        <f>IFERROR(INDEX('WetLitterbags placem_collection'!$A$3:$A$500,MATCH($A788,'WetLitterbags placem_collection'!$M$4:$M$500,0)),"")</f>
        <v>47</v>
      </c>
      <c r="AE788" s="110" t="str">
        <f>IFERROR(INDEX('WetLitterbags placem_collection'!$A$3:$A$500,MATCH($A788,'WetLitterbags placem_collection'!$Q$4:$Q$500,0)),"")</f>
        <v/>
      </c>
    </row>
    <row r="789" spans="1:31">
      <c r="A789" s="202" t="s">
        <v>1068</v>
      </c>
      <c r="C789" s="201">
        <v>91</v>
      </c>
      <c r="D789" s="201">
        <v>1.4371999999999998</v>
      </c>
      <c r="E789" s="201">
        <v>11.7471</v>
      </c>
      <c r="F789" s="201">
        <v>0.2006</v>
      </c>
      <c r="G789" s="201">
        <f t="shared" si="63"/>
        <v>11.947699999999999</v>
      </c>
      <c r="H789" s="201">
        <v>11.7536</v>
      </c>
      <c r="I789" s="201">
        <f t="shared" si="66"/>
        <v>0.19409999999999883</v>
      </c>
      <c r="J789" s="201">
        <f t="shared" si="64"/>
        <v>6.5000000000011715E-3</v>
      </c>
      <c r="K789" s="280">
        <f t="shared" si="65"/>
        <v>3.2402791625130467</v>
      </c>
      <c r="L789" s="201">
        <v>6</v>
      </c>
      <c r="M789" s="205">
        <v>43173</v>
      </c>
      <c r="N789" s="205">
        <v>43173</v>
      </c>
      <c r="O789" s="201" t="s">
        <v>2556</v>
      </c>
      <c r="P789" s="201" t="s">
        <v>2555</v>
      </c>
      <c r="AB789" s="110" t="str">
        <f>IFERROR(INDEX('WetLitterbags placem_collection'!$A$3:$A$500,MATCH(A789,'WetLitterbags placem_collection'!$K$4:$K$500,0)),"")</f>
        <v/>
      </c>
      <c r="AC789" s="110" t="str">
        <f>IFERROR(INDEX('WetLitterbags placem_collection'!$A$3:$A$500,MATCH($A789,'WetLitterbags placem_collection'!$O$4:$O$500,0)),"")</f>
        <v/>
      </c>
      <c r="AD789" s="110" t="str">
        <f>IFERROR(INDEX('WetLitterbags placem_collection'!$A$3:$A$500,MATCH($A789,'WetLitterbags placem_collection'!$M$4:$M$500,0)),"")</f>
        <v/>
      </c>
      <c r="AE789" s="110">
        <f>IFERROR(INDEX('WetLitterbags placem_collection'!$A$3:$A$500,MATCH($A789,'WetLitterbags placem_collection'!$Q$4:$Q$500,0)),"")</f>
        <v>90</v>
      </c>
    </row>
    <row r="790" spans="1:31">
      <c r="A790" s="197" t="s">
        <v>1067</v>
      </c>
      <c r="C790" s="197">
        <v>45</v>
      </c>
      <c r="D790" s="197">
        <v>1.3643000000000001</v>
      </c>
      <c r="E790" s="197">
        <v>11.904500000000001</v>
      </c>
      <c r="F790" s="197">
        <v>0.2029</v>
      </c>
      <c r="G790" s="197">
        <f t="shared" si="63"/>
        <v>12.1074</v>
      </c>
      <c r="H790" s="197">
        <v>11.9108</v>
      </c>
      <c r="I790" s="197">
        <f t="shared" si="66"/>
        <v>0.19660000000000011</v>
      </c>
      <c r="J790" s="201">
        <f t="shared" si="64"/>
        <v>6.299999999999889E-3</v>
      </c>
      <c r="K790" s="280">
        <f t="shared" si="65"/>
        <v>3.1049778215869339</v>
      </c>
      <c r="L790" s="197">
        <v>17</v>
      </c>
      <c r="M790" s="197" t="s">
        <v>2586</v>
      </c>
      <c r="N790" s="197" t="s">
        <v>2585</v>
      </c>
      <c r="O790" s="197" t="s">
        <v>2550</v>
      </c>
      <c r="AB790" s="110" t="str">
        <f>IFERROR(INDEX('WetLitterbags placem_collection'!$A$3:$A$500,MATCH(A790,'WetLitterbags placem_collection'!$K$4:$K$500,0)),"")</f>
        <v/>
      </c>
      <c r="AC790" s="110" t="str">
        <f>IFERROR(INDEX('WetLitterbags placem_collection'!$A$3:$A$500,MATCH($A790,'WetLitterbags placem_collection'!$O$4:$O$500,0)),"")</f>
        <v/>
      </c>
      <c r="AD790" s="110" t="str">
        <f>IFERROR(INDEX('WetLitterbags placem_collection'!$A$3:$A$500,MATCH($A790,'WetLitterbags placem_collection'!$M$4:$M$500,0)),"")</f>
        <v/>
      </c>
      <c r="AE790" s="110">
        <f>IFERROR(INDEX('WetLitterbags placem_collection'!$A$3:$A$500,MATCH($A790,'WetLitterbags placem_collection'!$Q$4:$Q$500,0)),"")</f>
        <v>44</v>
      </c>
    </row>
    <row r="791" spans="1:31">
      <c r="A791" s="197" t="s">
        <v>1065</v>
      </c>
      <c r="C791" s="201">
        <v>47</v>
      </c>
      <c r="D791" s="201">
        <v>1.4326000000000001</v>
      </c>
      <c r="E791" s="201">
        <v>8.8602000000000007</v>
      </c>
      <c r="F791" s="202">
        <v>0.20269999999999999</v>
      </c>
      <c r="G791" s="201">
        <f t="shared" si="63"/>
        <v>9.0629000000000008</v>
      </c>
      <c r="H791" s="201">
        <v>8.8664000000000005</v>
      </c>
      <c r="I791" s="201">
        <f t="shared" si="66"/>
        <v>0.19650000000000034</v>
      </c>
      <c r="J791" s="201">
        <f t="shared" si="64"/>
        <v>6.1999999999996502E-3</v>
      </c>
      <c r="K791" s="280">
        <f t="shared" si="65"/>
        <v>3.0587074494324868</v>
      </c>
      <c r="L791" s="201">
        <v>19</v>
      </c>
      <c r="M791" s="205">
        <v>43211</v>
      </c>
      <c r="AB791" s="110" t="str">
        <f>IFERROR(INDEX('WetLitterbags placem_collection'!$A$3:$A$500,MATCH(A791,'WetLitterbags placem_collection'!$K$4:$K$500,0)),"")</f>
        <v/>
      </c>
      <c r="AC791" s="110" t="str">
        <f>IFERROR(INDEX('WetLitterbags placem_collection'!$A$3:$A$500,MATCH($A791,'WetLitterbags placem_collection'!$O$4:$O$500,0)),"")</f>
        <v/>
      </c>
      <c r="AD791" s="110" t="str">
        <f>IFERROR(INDEX('WetLitterbags placem_collection'!$A$3:$A$500,MATCH($A791,'WetLitterbags placem_collection'!$M$4:$M$500,0)),"")</f>
        <v/>
      </c>
      <c r="AE791" s="110">
        <f>IFERROR(INDEX('WetLitterbags placem_collection'!$A$3:$A$500,MATCH($A791,'WetLitterbags placem_collection'!$Q$4:$Q$500,0)),"")</f>
        <v>46</v>
      </c>
    </row>
    <row r="792" spans="1:31">
      <c r="A792" s="201" t="s">
        <v>1064</v>
      </c>
      <c r="C792" s="201">
        <v>41</v>
      </c>
      <c r="D792" s="202">
        <v>1.3088</v>
      </c>
      <c r="E792" s="201">
        <v>10.698399999999999</v>
      </c>
      <c r="F792" s="202">
        <v>0.19989999999999999</v>
      </c>
      <c r="G792" s="201">
        <f t="shared" si="63"/>
        <v>10.898299999999999</v>
      </c>
      <c r="H792" s="201">
        <v>10.7105</v>
      </c>
      <c r="I792" s="201">
        <f t="shared" si="66"/>
        <v>0.1877999999999993</v>
      </c>
      <c r="J792" s="201">
        <f t="shared" si="64"/>
        <v>1.2100000000000694E-2</v>
      </c>
      <c r="K792" s="280">
        <f t="shared" si="65"/>
        <v>6.0530265132569756</v>
      </c>
      <c r="L792" s="201">
        <v>29</v>
      </c>
      <c r="M792" s="201"/>
      <c r="N792" s="201"/>
      <c r="O792" s="201"/>
      <c r="P792" s="201"/>
      <c r="AB792" s="110" t="str">
        <f>IFERROR(INDEX('WetLitterbags placem_collection'!$A$3:$A$500,MATCH(A792,'WetLitterbags placem_collection'!$K$4:$K$500,0)),"")</f>
        <v/>
      </c>
      <c r="AC792" s="110" t="str">
        <f>IFERROR(INDEX('WetLitterbags placem_collection'!$A$3:$A$500,MATCH($A792,'WetLitterbags placem_collection'!$O$4:$O$500,0)),"")</f>
        <v/>
      </c>
      <c r="AD792" s="110" t="str">
        <f>IFERROR(INDEX('WetLitterbags placem_collection'!$A$3:$A$500,MATCH($A792,'WetLitterbags placem_collection'!$M$4:$M$500,0)),"")</f>
        <v/>
      </c>
      <c r="AE792" s="110">
        <f>IFERROR(INDEX('WetLitterbags placem_collection'!$A$3:$A$500,MATCH($A792,'WetLitterbags placem_collection'!$Q$4:$Q$500,0)),"")</f>
        <v>40</v>
      </c>
    </row>
    <row r="793" spans="1:31">
      <c r="A793" s="202" t="s">
        <v>1063</v>
      </c>
      <c r="C793" s="201">
        <v>60</v>
      </c>
      <c r="D793" s="201">
        <v>1.3980999999999999</v>
      </c>
      <c r="E793" s="201">
        <v>10.856299999999999</v>
      </c>
      <c r="F793" s="201">
        <v>0.2044</v>
      </c>
      <c r="G793" s="201">
        <f t="shared" si="63"/>
        <v>11.060699999999999</v>
      </c>
      <c r="H793" s="201">
        <v>10.8682</v>
      </c>
      <c r="I793" s="201">
        <f t="shared" si="66"/>
        <v>0.19249999999999901</v>
      </c>
      <c r="J793" s="201">
        <f t="shared" si="64"/>
        <v>1.1900000000000993E-2</v>
      </c>
      <c r="K793" s="280">
        <f t="shared" si="65"/>
        <v>5.8219178082196645</v>
      </c>
      <c r="L793" s="201">
        <v>23</v>
      </c>
      <c r="M793" s="205">
        <v>43173</v>
      </c>
      <c r="N793" s="205">
        <v>43173</v>
      </c>
      <c r="O793" s="201" t="s">
        <v>2556</v>
      </c>
      <c r="P793" s="201" t="s">
        <v>2555</v>
      </c>
      <c r="AB793" s="110" t="str">
        <f>IFERROR(INDEX('WetLitterbags placem_collection'!$A$3:$A$500,MATCH(A793,'WetLitterbags placem_collection'!$K$4:$K$500,0)),"")</f>
        <v/>
      </c>
      <c r="AC793" s="110" t="str">
        <f>IFERROR(INDEX('WetLitterbags placem_collection'!$A$3:$A$500,MATCH($A793,'WetLitterbags placem_collection'!$O$4:$O$500,0)),"")</f>
        <v/>
      </c>
      <c r="AD793" s="110">
        <f>IFERROR(INDEX('WetLitterbags placem_collection'!$A$3:$A$500,MATCH($A793,'WetLitterbags placem_collection'!$M$4:$M$500,0)),"")</f>
        <v>59</v>
      </c>
      <c r="AE793" s="110" t="str">
        <f>IFERROR(INDEX('WetLitterbags placem_collection'!$A$3:$A$500,MATCH($A793,'WetLitterbags placem_collection'!$Q$4:$Q$500,0)),"")</f>
        <v/>
      </c>
    </row>
    <row r="794" spans="1:31">
      <c r="A794" t="s">
        <v>1062</v>
      </c>
      <c r="C794" s="198"/>
      <c r="D794" s="197">
        <v>1.1731</v>
      </c>
      <c r="E794" s="202">
        <v>10.738300000000001</v>
      </c>
      <c r="F794" s="202">
        <v>0.20169999999999999</v>
      </c>
      <c r="G794" s="201">
        <f t="shared" si="63"/>
        <v>10.940000000000001</v>
      </c>
      <c r="H794" s="201">
        <v>10.751899999999999</v>
      </c>
      <c r="I794" s="201">
        <f t="shared" si="66"/>
        <v>0.18810000000000215</v>
      </c>
      <c r="J794" s="201">
        <f t="shared" si="64"/>
        <v>1.3599999999997836E-2</v>
      </c>
      <c r="K794" s="280">
        <f t="shared" si="65"/>
        <v>6.7426871591461754</v>
      </c>
      <c r="L794" s="201">
        <v>9</v>
      </c>
      <c r="AB794" s="110" t="str">
        <f>IFERROR(INDEX('WetLitterbags placem_collection'!$A$3:$A$500,MATCH(A794,'WetLitterbags placem_collection'!$K$4:$K$500,0)),"")</f>
        <v/>
      </c>
      <c r="AC794" s="110" t="str">
        <f>IFERROR(INDEX('WetLitterbags placem_collection'!$A$3:$A$500,MATCH($A794,'WetLitterbags placem_collection'!$O$4:$O$500,0)),"")</f>
        <v/>
      </c>
      <c r="AD794" s="110" t="str">
        <f>IFERROR(INDEX('WetLitterbags placem_collection'!$A$3:$A$500,MATCH($A794,'WetLitterbags placem_collection'!$M$4:$M$500,0)),"")</f>
        <v/>
      </c>
      <c r="AE794" s="110">
        <f>IFERROR(INDEX('WetLitterbags placem_collection'!$A$3:$A$500,MATCH($A794,'WetLitterbags placem_collection'!$Q$4:$Q$500,0)),"")</f>
        <v>20</v>
      </c>
    </row>
    <row r="795" spans="1:31">
      <c r="A795" s="206" t="s">
        <v>1133</v>
      </c>
      <c r="C795" s="201">
        <v>108</v>
      </c>
      <c r="D795" s="201">
        <v>1.2354000000000001</v>
      </c>
      <c r="E795" s="202">
        <v>9.7255000000000003</v>
      </c>
      <c r="F795" s="202">
        <v>0.20080000000000001</v>
      </c>
      <c r="G795" s="201">
        <f t="shared" si="63"/>
        <v>9.9262999999999995</v>
      </c>
      <c r="H795" s="201">
        <v>9.7420000000000009</v>
      </c>
      <c r="I795" s="201">
        <f t="shared" si="66"/>
        <v>0.18429999999999858</v>
      </c>
      <c r="J795" s="201">
        <f t="shared" si="64"/>
        <v>1.650000000000143E-2</v>
      </c>
      <c r="K795" s="280">
        <f t="shared" si="65"/>
        <v>8.2171314741042973</v>
      </c>
      <c r="L795" s="201">
        <v>37</v>
      </c>
      <c r="M795" s="207">
        <v>43186.458333333336</v>
      </c>
      <c r="N795" s="207">
        <v>43186.625</v>
      </c>
      <c r="O795" s="197" t="s">
        <v>2550</v>
      </c>
      <c r="P795" s="201"/>
      <c r="AB795" s="110" t="str">
        <f>IFERROR(INDEX('WetLitterbags placem_collection'!$A$3:$A$500,MATCH(A795,'WetLitterbags placem_collection'!$K$4:$K$500,0)),"")</f>
        <v/>
      </c>
      <c r="AC795" s="110" t="str">
        <f>IFERROR(INDEX('WetLitterbags placem_collection'!$A$3:$A$500,MATCH($A795,'WetLitterbags placem_collection'!$O$4:$O$500,0)),"")</f>
        <v/>
      </c>
      <c r="AD795" s="110">
        <f>IFERROR(INDEX('WetLitterbags placem_collection'!$A$3:$A$500,MATCH($A795,'WetLitterbags placem_collection'!$M$4:$M$500,0)),"")</f>
        <v>107</v>
      </c>
      <c r="AE795" s="110" t="str">
        <f>IFERROR(INDEX('WetLitterbags placem_collection'!$A$3:$A$500,MATCH($A795,'WetLitterbags placem_collection'!$Q$4:$Q$500,0)),"")</f>
        <v/>
      </c>
    </row>
    <row r="796" spans="1:31">
      <c r="A796" s="206" t="s">
        <v>1060</v>
      </c>
      <c r="C796" s="201">
        <v>42</v>
      </c>
      <c r="D796" s="202">
        <v>1.2764</v>
      </c>
      <c r="E796" s="201">
        <v>8.8452000000000002</v>
      </c>
      <c r="F796" s="202">
        <v>0.2077</v>
      </c>
      <c r="G796" s="201">
        <f t="shared" si="63"/>
        <v>9.0529000000000011</v>
      </c>
      <c r="H796" s="201">
        <v>8.8504000000000005</v>
      </c>
      <c r="I796" s="201">
        <f t="shared" si="66"/>
        <v>0.20250000000000057</v>
      </c>
      <c r="J796" s="201">
        <f t="shared" si="64"/>
        <v>5.1999999999994273E-3</v>
      </c>
      <c r="K796" s="280">
        <f t="shared" si="65"/>
        <v>2.5036109773709327</v>
      </c>
      <c r="L796" s="201">
        <v>9</v>
      </c>
      <c r="M796" s="205">
        <v>43206</v>
      </c>
      <c r="N796" s="205">
        <v>43206</v>
      </c>
      <c r="O796" s="201"/>
      <c r="P796" s="201"/>
      <c r="AB796" s="110" t="str">
        <f>IFERROR(INDEX('WetLitterbags placem_collection'!$A$3:$A$500,MATCH(A796,'WetLitterbags placem_collection'!$K$4:$K$500,0)),"")</f>
        <v/>
      </c>
      <c r="AC796" s="110" t="str">
        <f>IFERROR(INDEX('WetLitterbags placem_collection'!$A$3:$A$500,MATCH($A796,'WetLitterbags placem_collection'!$O$4:$O$500,0)),"")</f>
        <v/>
      </c>
      <c r="AD796" s="110" t="str">
        <f>IFERROR(INDEX('WetLitterbags placem_collection'!$A$3:$A$500,MATCH($A796,'WetLitterbags placem_collection'!$M$4:$M$500,0)),"")</f>
        <v/>
      </c>
      <c r="AE796" s="110">
        <f>IFERROR(INDEX('WetLitterbags placem_collection'!$A$3:$A$500,MATCH($A796,'WetLitterbags placem_collection'!$Q$4:$Q$500,0)),"")</f>
        <v>41</v>
      </c>
    </row>
    <row r="797" spans="1:31">
      <c r="A797" s="197" t="s">
        <v>1059</v>
      </c>
      <c r="C797" s="198">
        <v>19</v>
      </c>
      <c r="D797" s="197">
        <v>1.2534000000000001</v>
      </c>
      <c r="E797" s="201">
        <v>10.7026</v>
      </c>
      <c r="F797" s="202">
        <v>0.20430000000000001</v>
      </c>
      <c r="G797" s="201">
        <f t="shared" si="63"/>
        <v>10.9069</v>
      </c>
      <c r="H797" s="201">
        <v>10.725099999999999</v>
      </c>
      <c r="I797" s="201">
        <f t="shared" si="66"/>
        <v>0.18180000000000085</v>
      </c>
      <c r="J797" s="201">
        <f t="shared" si="64"/>
        <v>2.249999999999916E-2</v>
      </c>
      <c r="K797" s="280">
        <f t="shared" si="65"/>
        <v>11.013215859030426</v>
      </c>
      <c r="L797" s="201">
        <v>12</v>
      </c>
      <c r="M797" s="204">
        <v>43213</v>
      </c>
      <c r="N797" s="204">
        <v>43213</v>
      </c>
      <c r="AB797" s="110" t="str">
        <f>IFERROR(INDEX('WetLitterbags placem_collection'!$A$3:$A$500,MATCH(A797,'WetLitterbags placem_collection'!$K$4:$K$500,0)),"")</f>
        <v/>
      </c>
      <c r="AC797" s="110" t="str">
        <f>IFERROR(INDEX('WetLitterbags placem_collection'!$A$3:$A$500,MATCH($A797,'WetLitterbags placem_collection'!$O$4:$O$500,0)),"")</f>
        <v/>
      </c>
      <c r="AD797" s="110">
        <f>IFERROR(INDEX('WetLitterbags placem_collection'!$A$3:$A$500,MATCH($A797,'WetLitterbags placem_collection'!$M$4:$M$500,0)),"")</f>
        <v>18</v>
      </c>
      <c r="AE797" s="110" t="str">
        <f>IFERROR(INDEX('WetLitterbags placem_collection'!$A$3:$A$500,MATCH($A797,'WetLitterbags placem_collection'!$Q$4:$Q$500,0)),"")</f>
        <v/>
      </c>
    </row>
    <row r="798" spans="1:31">
      <c r="A798" s="206" t="s">
        <v>1058</v>
      </c>
      <c r="C798" s="201">
        <v>82</v>
      </c>
      <c r="D798" s="201">
        <v>1.3147</v>
      </c>
      <c r="E798" s="202">
        <v>7.5293999999999999</v>
      </c>
      <c r="F798" s="202">
        <v>0.19600000000000001</v>
      </c>
      <c r="G798" s="201">
        <f t="shared" si="63"/>
        <v>7.7253999999999996</v>
      </c>
      <c r="H798" s="201">
        <v>7.5391000000000004</v>
      </c>
      <c r="I798" s="201">
        <f t="shared" si="66"/>
        <v>0.18629999999999924</v>
      </c>
      <c r="J798" s="201">
        <f t="shared" si="64"/>
        <v>9.7000000000007636E-3</v>
      </c>
      <c r="K798" s="280">
        <f t="shared" si="65"/>
        <v>4.9489795918371247</v>
      </c>
      <c r="L798" s="201">
        <v>18</v>
      </c>
      <c r="M798" s="205">
        <v>43197</v>
      </c>
      <c r="N798" s="205">
        <v>43197</v>
      </c>
      <c r="O798" s="201"/>
      <c r="P798" s="201"/>
      <c r="AB798" s="110" t="str">
        <f>IFERROR(INDEX('WetLitterbags placem_collection'!$A$3:$A$500,MATCH(A798,'WetLitterbags placem_collection'!$K$4:$K$500,0)),"")</f>
        <v/>
      </c>
      <c r="AC798" s="110" t="str">
        <f>IFERROR(INDEX('WetLitterbags placem_collection'!$A$3:$A$500,MATCH($A798,'WetLitterbags placem_collection'!$O$4:$O$500,0)),"")</f>
        <v/>
      </c>
      <c r="AD798" s="110">
        <f>IFERROR(INDEX('WetLitterbags placem_collection'!$A$3:$A$500,MATCH($A798,'WetLitterbags placem_collection'!$M$4:$M$500,0)),"")</f>
        <v>81</v>
      </c>
      <c r="AE798" s="110" t="str">
        <f>IFERROR(INDEX('WetLitterbags placem_collection'!$A$3:$A$500,MATCH($A798,'WetLitterbags placem_collection'!$Q$4:$Q$500,0)),"")</f>
        <v/>
      </c>
    </row>
    <row r="799" spans="1:31">
      <c r="A799" s="201" t="s">
        <v>1056</v>
      </c>
      <c r="C799" s="201">
        <v>51</v>
      </c>
      <c r="D799" s="202">
        <v>1.3381000000000001</v>
      </c>
      <c r="E799" s="201">
        <v>11.171900000000001</v>
      </c>
      <c r="F799" s="202">
        <v>0.20830000000000001</v>
      </c>
      <c r="G799" s="201">
        <f t="shared" si="63"/>
        <v>11.3802</v>
      </c>
      <c r="H799" s="201">
        <v>11.1844</v>
      </c>
      <c r="I799" s="201">
        <f t="shared" si="66"/>
        <v>0.1958000000000002</v>
      </c>
      <c r="J799" s="201">
        <f t="shared" si="64"/>
        <v>1.2499999999999817E-2</v>
      </c>
      <c r="K799" s="280">
        <f t="shared" si="65"/>
        <v>6.0009601536244919</v>
      </c>
      <c r="L799" s="201">
        <v>22</v>
      </c>
      <c r="M799" s="201"/>
      <c r="N799" s="201"/>
      <c r="O799" s="201"/>
      <c r="P799" s="201"/>
      <c r="R799" s="197">
        <v>8</v>
      </c>
      <c r="S799" s="197">
        <v>0.62719999999999998</v>
      </c>
      <c r="U799" s="202" t="s">
        <v>798</v>
      </c>
      <c r="V799" s="197">
        <v>0.90659999999999996</v>
      </c>
      <c r="W799" s="197">
        <f>(V799-$T$175+F797)</f>
        <v>1.1109</v>
      </c>
      <c r="AB799" s="110" t="str">
        <f>IFERROR(INDEX('WetLitterbags placem_collection'!$A$3:$A$500,MATCH(A799,'WetLitterbags placem_collection'!$K$4:$K$500,0)),"")</f>
        <v/>
      </c>
      <c r="AC799" s="110" t="str">
        <f>IFERROR(INDEX('WetLitterbags placem_collection'!$A$3:$A$500,MATCH($A799,'WetLitterbags placem_collection'!$O$4:$O$500,0)),"")</f>
        <v/>
      </c>
      <c r="AD799" s="110">
        <f>IFERROR(INDEX('WetLitterbags placem_collection'!$A$3:$A$500,MATCH($A799,'WetLitterbags placem_collection'!$M$4:$M$500,0)),"")</f>
        <v>50</v>
      </c>
      <c r="AE799" s="110" t="str">
        <f>IFERROR(INDEX('WetLitterbags placem_collection'!$A$3:$A$500,MATCH($A799,'WetLitterbags placem_collection'!$Q$4:$Q$500,0)),"")</f>
        <v/>
      </c>
    </row>
    <row r="800" spans="1:31">
      <c r="A800" s="206" t="s">
        <v>1054</v>
      </c>
      <c r="C800" s="201">
        <v>38</v>
      </c>
      <c r="D800" s="201">
        <v>0.86399999999999999</v>
      </c>
      <c r="E800" s="201">
        <v>9.1971000000000007</v>
      </c>
      <c r="F800" s="201">
        <v>0.2087</v>
      </c>
      <c r="G800" s="201">
        <f t="shared" si="63"/>
        <v>9.405800000000001</v>
      </c>
      <c r="H800" s="201">
        <v>9.2425999999999995</v>
      </c>
      <c r="I800" s="201">
        <f t="shared" si="66"/>
        <v>0.16320000000000157</v>
      </c>
      <c r="J800" s="201">
        <f t="shared" si="64"/>
        <v>4.5499999999998431E-2</v>
      </c>
      <c r="K800" s="280">
        <f t="shared" si="65"/>
        <v>21.801629132725651</v>
      </c>
      <c r="L800" s="201">
        <v>27</v>
      </c>
      <c r="M800" s="205">
        <v>43188</v>
      </c>
      <c r="N800" s="205">
        <v>43188</v>
      </c>
      <c r="O800" s="201"/>
      <c r="P800" s="201"/>
      <c r="AB800" s="110" t="str">
        <f>IFERROR(INDEX('WetLitterbags placem_collection'!$A$3:$A$500,MATCH(A800,'WetLitterbags placem_collection'!$K$4:$K$500,0)),"")</f>
        <v/>
      </c>
      <c r="AC800" s="110" t="str">
        <f>IFERROR(INDEX('WetLitterbags placem_collection'!$A$3:$A$500,MATCH($A800,'WetLitterbags placem_collection'!$O$4:$O$500,0)),"")</f>
        <v/>
      </c>
      <c r="AD800" s="110">
        <f>IFERROR(INDEX('WetLitterbags placem_collection'!$A$3:$A$500,MATCH($A800,'WetLitterbags placem_collection'!$M$4:$M$500,0)),"")</f>
        <v>37</v>
      </c>
      <c r="AE800" s="110" t="str">
        <f>IFERROR(INDEX('WetLitterbags placem_collection'!$A$3:$A$500,MATCH($A800,'WetLitterbags placem_collection'!$Q$4:$Q$500,0)),"")</f>
        <v/>
      </c>
    </row>
    <row r="801" spans="1:31">
      <c r="A801" s="201" t="s">
        <v>1053</v>
      </c>
      <c r="C801" s="201">
        <v>213</v>
      </c>
      <c r="D801" s="201">
        <v>1.2839</v>
      </c>
      <c r="E801" s="201">
        <v>11.054600000000001</v>
      </c>
      <c r="F801" s="201">
        <v>0.20619999999999999</v>
      </c>
      <c r="G801" s="201">
        <f t="shared" si="63"/>
        <v>11.260800000000001</v>
      </c>
      <c r="H801" s="201">
        <v>11.0619</v>
      </c>
      <c r="I801" s="201">
        <f t="shared" si="66"/>
        <v>0.19890000000000185</v>
      </c>
      <c r="J801" s="201">
        <f t="shared" si="64"/>
        <v>7.2999999999981413E-3</v>
      </c>
      <c r="K801" s="280">
        <f t="shared" si="65"/>
        <v>3.5402521823463347</v>
      </c>
      <c r="L801" s="201">
        <v>6</v>
      </c>
      <c r="M801" s="205">
        <v>43188</v>
      </c>
      <c r="N801" s="205">
        <v>43188</v>
      </c>
      <c r="O801" s="201"/>
      <c r="P801" s="201"/>
      <c r="AB801" s="110" t="str">
        <f>IFERROR(INDEX('WetLitterbags placem_collection'!$A$3:$A$500,MATCH(A801,'WetLitterbags placem_collection'!$K$4:$K$500,0)),"")</f>
        <v/>
      </c>
      <c r="AC801" s="110" t="str">
        <f>IFERROR(INDEX('WetLitterbags placem_collection'!$A$3:$A$500,MATCH($A801,'WetLitterbags placem_collection'!$O$4:$O$500,0)),"")</f>
        <v/>
      </c>
      <c r="AD801" s="110">
        <f>IFERROR(INDEX('WetLitterbags placem_collection'!$A$3:$A$500,MATCH($A801,'WetLitterbags placem_collection'!$M$4:$M$500,0)),"")</f>
        <v>212</v>
      </c>
      <c r="AE801" s="110" t="str">
        <f>IFERROR(INDEX('WetLitterbags placem_collection'!$A$3:$A$500,MATCH($A801,'WetLitterbags placem_collection'!$Q$4:$Q$500,0)),"")</f>
        <v/>
      </c>
    </row>
    <row r="802" spans="1:31">
      <c r="A802" s="201" t="s">
        <v>1052</v>
      </c>
      <c r="C802" s="201">
        <v>37</v>
      </c>
      <c r="D802" s="201">
        <v>1.1639999999999999</v>
      </c>
      <c r="E802" s="201">
        <v>8.7021999999999995</v>
      </c>
      <c r="F802" s="201">
        <v>0.20430000000000001</v>
      </c>
      <c r="G802" s="201">
        <f t="shared" si="63"/>
        <v>8.9064999999999994</v>
      </c>
      <c r="H802" s="201">
        <v>8.7190999999999992</v>
      </c>
      <c r="I802" s="201">
        <f t="shared" si="66"/>
        <v>0.18740000000000023</v>
      </c>
      <c r="J802" s="201">
        <f t="shared" si="64"/>
        <v>1.6899999999999776E-2</v>
      </c>
      <c r="K802" s="280">
        <f t="shared" si="65"/>
        <v>8.2721488007830519</v>
      </c>
      <c r="L802" s="201">
        <v>21</v>
      </c>
      <c r="M802" s="205">
        <v>43188</v>
      </c>
      <c r="N802" s="205">
        <v>43188</v>
      </c>
      <c r="O802" s="201"/>
      <c r="P802" s="201"/>
      <c r="AB802" s="110" t="str">
        <f>IFERROR(INDEX('WetLitterbags placem_collection'!$A$3:$A$500,MATCH(A802,'WetLitterbags placem_collection'!$K$4:$K$500,0)),"")</f>
        <v/>
      </c>
      <c r="AC802" s="110" t="str">
        <f>IFERROR(INDEX('WetLitterbags placem_collection'!$A$3:$A$500,MATCH($A802,'WetLitterbags placem_collection'!$O$4:$O$500,0)),"")</f>
        <v/>
      </c>
      <c r="AD802" s="110" t="str">
        <f>IFERROR(INDEX('WetLitterbags placem_collection'!$A$3:$A$500,MATCH($A802,'WetLitterbags placem_collection'!$M$4:$M$500,0)),"")</f>
        <v/>
      </c>
      <c r="AE802" s="110">
        <f>IFERROR(INDEX('WetLitterbags placem_collection'!$A$3:$A$500,MATCH($A802,'WetLitterbags placem_collection'!$Q$4:$Q$500,0)),"")</f>
        <v>36</v>
      </c>
    </row>
    <row r="803" spans="1:31">
      <c r="A803" s="206" t="s">
        <v>1132</v>
      </c>
      <c r="C803" s="201">
        <v>68</v>
      </c>
      <c r="D803" s="201">
        <v>1.4452</v>
      </c>
      <c r="E803" s="202">
        <v>9.9170999999999996</v>
      </c>
      <c r="F803" s="202">
        <v>0.20019999999999999</v>
      </c>
      <c r="G803" s="201">
        <f t="shared" si="63"/>
        <v>10.1173</v>
      </c>
      <c r="H803" s="201">
        <v>9.9295000000000009</v>
      </c>
      <c r="I803" s="201">
        <f t="shared" si="66"/>
        <v>0.1877999999999993</v>
      </c>
      <c r="J803" s="201">
        <f t="shared" si="64"/>
        <v>1.2400000000000688E-2</v>
      </c>
      <c r="K803" s="280">
        <f t="shared" si="65"/>
        <v>6.1938061938065374</v>
      </c>
      <c r="L803" s="201">
        <v>17</v>
      </c>
      <c r="M803" s="205">
        <v>43199</v>
      </c>
      <c r="N803" s="205">
        <v>43199</v>
      </c>
      <c r="O803" s="201"/>
      <c r="P803" s="201"/>
      <c r="AB803" s="110" t="str">
        <f>IFERROR(INDEX('WetLitterbags placem_collection'!$A$3:$A$500,MATCH(A803,'WetLitterbags placem_collection'!$K$4:$K$500,0)),"")</f>
        <v/>
      </c>
      <c r="AC803" s="110" t="str">
        <f>IFERROR(INDEX('WetLitterbags placem_collection'!$A$3:$A$500,MATCH($A803,'WetLitterbags placem_collection'!$O$4:$O$500,0)),"")</f>
        <v/>
      </c>
      <c r="AD803" s="110" t="str">
        <f>IFERROR(INDEX('WetLitterbags placem_collection'!$A$3:$A$500,MATCH($A803,'WetLitterbags placem_collection'!$M$4:$M$500,0)),"")</f>
        <v/>
      </c>
      <c r="AE803" s="110">
        <f>IFERROR(INDEX('WetLitterbags placem_collection'!$A$3:$A$500,MATCH($A803,'WetLitterbags placem_collection'!$Q$4:$Q$500,0)),"")</f>
        <v>67</v>
      </c>
    </row>
    <row r="804" spans="1:31">
      <c r="A804" s="197" t="s">
        <v>1050</v>
      </c>
      <c r="C804" s="197">
        <v>10</v>
      </c>
      <c r="D804" s="197">
        <v>1.1454</v>
      </c>
      <c r="E804" s="202">
        <v>10.503299999999999</v>
      </c>
      <c r="F804" s="202">
        <v>0.20660000000000001</v>
      </c>
      <c r="G804" s="201">
        <f t="shared" si="63"/>
        <v>10.709899999999999</v>
      </c>
      <c r="H804" s="201">
        <v>10.5123</v>
      </c>
      <c r="I804" s="201">
        <f t="shared" ref="I804:I812" si="67">(G804-H804)</f>
        <v>0.19759999999999955</v>
      </c>
      <c r="J804" s="201">
        <f t="shared" si="64"/>
        <v>9.0000000000004521E-3</v>
      </c>
      <c r="K804" s="280">
        <f t="shared" si="65"/>
        <v>4.3562439496613994</v>
      </c>
      <c r="L804" s="201">
        <v>28</v>
      </c>
      <c r="AB804" s="110" t="str">
        <f>IFERROR(INDEX('WetLitterbags placem_collection'!$A$3:$A$500,MATCH(A804,'WetLitterbags placem_collection'!$K$4:$K$500,0)),"")</f>
        <v/>
      </c>
      <c r="AC804" s="110" t="str">
        <f>IFERROR(INDEX('WetLitterbags placem_collection'!$A$3:$A$500,MATCH($A804,'WetLitterbags placem_collection'!$O$4:$O$500,0)),"")</f>
        <v/>
      </c>
      <c r="AD804" s="110">
        <f>IFERROR(INDEX('WetLitterbags placem_collection'!$A$3:$A$500,MATCH($A804,'WetLitterbags placem_collection'!$M$4:$M$500,0)),"")</f>
        <v>9</v>
      </c>
      <c r="AE804" s="110" t="str">
        <f>IFERROR(INDEX('WetLitterbags placem_collection'!$A$3:$A$500,MATCH($A804,'WetLitterbags placem_collection'!$Q$4:$Q$500,0)),"")</f>
        <v/>
      </c>
    </row>
    <row r="805" spans="1:31">
      <c r="A805" s="201" t="s">
        <v>1049</v>
      </c>
      <c r="C805" s="201">
        <v>205</v>
      </c>
      <c r="D805" s="197">
        <v>1.4713000000000001</v>
      </c>
      <c r="E805" s="197">
        <v>11.2583</v>
      </c>
      <c r="F805" s="197">
        <v>0.2029</v>
      </c>
      <c r="G805" s="197">
        <f t="shared" si="63"/>
        <v>11.4612</v>
      </c>
      <c r="H805" s="197">
        <v>11.267799999999999</v>
      </c>
      <c r="I805" s="197">
        <f t="shared" si="67"/>
        <v>0.19340000000000046</v>
      </c>
      <c r="J805" s="201">
        <f t="shared" si="64"/>
        <v>9.4999999999995366E-3</v>
      </c>
      <c r="K805" s="280">
        <f t="shared" si="65"/>
        <v>4.6821094135039614</v>
      </c>
      <c r="L805" s="197">
        <v>5</v>
      </c>
      <c r="M805" s="207">
        <v>43160.520833333336</v>
      </c>
      <c r="N805" s="207">
        <v>43160.6875</v>
      </c>
      <c r="O805" s="197" t="s">
        <v>2550</v>
      </c>
      <c r="AB805" s="110" t="str">
        <f>IFERROR(INDEX('WetLitterbags placem_collection'!$A$3:$A$500,MATCH(A805,'WetLitterbags placem_collection'!$K$4:$K$500,0)),"")</f>
        <v/>
      </c>
      <c r="AC805" s="110" t="str">
        <f>IFERROR(INDEX('WetLitterbags placem_collection'!$A$3:$A$500,MATCH($A805,'WetLitterbags placem_collection'!$O$4:$O$500,0)),"")</f>
        <v/>
      </c>
      <c r="AD805" s="110" t="str">
        <f>IFERROR(INDEX('WetLitterbags placem_collection'!$A$3:$A$500,MATCH($A805,'WetLitterbags placem_collection'!$M$4:$M$500,0)),"")</f>
        <v/>
      </c>
      <c r="AE805" s="110">
        <f>IFERROR(INDEX('WetLitterbags placem_collection'!$A$3:$A$500,MATCH($A805,'WetLitterbags placem_collection'!$Q$4:$Q$500,0)),"")</f>
        <v>204</v>
      </c>
    </row>
    <row r="806" spans="1:31">
      <c r="A806" s="206" t="s">
        <v>1048</v>
      </c>
      <c r="C806" s="201">
        <v>212</v>
      </c>
      <c r="D806" s="201">
        <v>1.35</v>
      </c>
      <c r="E806" s="201">
        <v>9.1357999999999997</v>
      </c>
      <c r="F806" s="201">
        <v>0.2059</v>
      </c>
      <c r="G806" s="201">
        <f t="shared" si="63"/>
        <v>9.3416999999999994</v>
      </c>
      <c r="H806" s="201">
        <v>9.1507000000000005</v>
      </c>
      <c r="I806" s="201">
        <f t="shared" si="67"/>
        <v>0.19099999999999895</v>
      </c>
      <c r="J806" s="201">
        <f t="shared" si="64"/>
        <v>1.4900000000001051E-2</v>
      </c>
      <c r="K806" s="280">
        <f t="shared" si="65"/>
        <v>7.2365225837790437</v>
      </c>
      <c r="L806" s="201">
        <v>2</v>
      </c>
      <c r="M806" s="203">
        <v>43171.520833333336</v>
      </c>
      <c r="N806" s="203">
        <v>43171.6875</v>
      </c>
      <c r="O806" s="197" t="s">
        <v>2550</v>
      </c>
      <c r="P806" s="201"/>
      <c r="AB806" s="110" t="str">
        <f>IFERROR(INDEX('WetLitterbags placem_collection'!$A$3:$A$500,MATCH(A806,'WetLitterbags placem_collection'!$K$4:$K$500,0)),"")</f>
        <v/>
      </c>
      <c r="AC806" s="110" t="str">
        <f>IFERROR(INDEX('WetLitterbags placem_collection'!$A$3:$A$500,MATCH($A806,'WetLitterbags placem_collection'!$O$4:$O$500,0)),"")</f>
        <v/>
      </c>
      <c r="AD806" s="110">
        <f>IFERROR(INDEX('WetLitterbags placem_collection'!$A$3:$A$500,MATCH($A806,'WetLitterbags placem_collection'!$M$4:$M$500,0)),"")</f>
        <v>211</v>
      </c>
      <c r="AE806" s="110" t="str">
        <f>IFERROR(INDEX('WetLitterbags placem_collection'!$A$3:$A$500,MATCH($A806,'WetLitterbags placem_collection'!$Q$4:$Q$500,0)),"")</f>
        <v/>
      </c>
    </row>
    <row r="807" spans="1:31">
      <c r="A807" s="197" t="s">
        <v>1047</v>
      </c>
      <c r="C807" s="197">
        <v>90</v>
      </c>
      <c r="D807" s="197">
        <v>1.4928999999999999</v>
      </c>
      <c r="E807" s="197">
        <v>19.389199999999999</v>
      </c>
      <c r="F807" s="197">
        <v>0.20150000000000001</v>
      </c>
      <c r="G807" s="197">
        <f t="shared" si="63"/>
        <v>19.590699999999998</v>
      </c>
      <c r="H807" s="197">
        <v>19.397400000000001</v>
      </c>
      <c r="I807" s="197">
        <f t="shared" si="67"/>
        <v>0.19329999999999714</v>
      </c>
      <c r="J807" s="201">
        <f t="shared" si="64"/>
        <v>8.2000000000028717E-3</v>
      </c>
      <c r="K807" s="280">
        <f t="shared" si="65"/>
        <v>4.0694789081900105</v>
      </c>
      <c r="L807" s="197">
        <v>17</v>
      </c>
      <c r="M807" s="197" t="s">
        <v>2580</v>
      </c>
      <c r="N807" s="197" t="s">
        <v>2579</v>
      </c>
      <c r="O807" s="197" t="s">
        <v>2556</v>
      </c>
      <c r="AB807" s="110" t="str">
        <f>IFERROR(INDEX('WetLitterbags placem_collection'!$A$3:$A$500,MATCH(A807,'WetLitterbags placem_collection'!$K$4:$K$500,0)),"")</f>
        <v/>
      </c>
      <c r="AC807" s="110" t="str">
        <f>IFERROR(INDEX('WetLitterbags placem_collection'!$A$3:$A$500,MATCH($A807,'WetLitterbags placem_collection'!$O$4:$O$500,0)),"")</f>
        <v/>
      </c>
      <c r="AD807" s="110">
        <f>IFERROR(INDEX('WetLitterbags placem_collection'!$A$3:$A$500,MATCH($A807,'WetLitterbags placem_collection'!$M$4:$M$500,0)),"")</f>
        <v>89</v>
      </c>
      <c r="AE807" s="110" t="str">
        <f>IFERROR(INDEX('WetLitterbags placem_collection'!$A$3:$A$500,MATCH($A807,'WetLitterbags placem_collection'!$Q$4:$Q$500,0)),"")</f>
        <v/>
      </c>
    </row>
    <row r="808" spans="1:31">
      <c r="A808" s="197" t="s">
        <v>1046</v>
      </c>
      <c r="C808" s="198">
        <v>71</v>
      </c>
      <c r="D808" s="197">
        <v>1.4065000000000001</v>
      </c>
      <c r="E808" s="201">
        <v>10.144600000000001</v>
      </c>
      <c r="F808" s="202">
        <v>0.20150000000000001</v>
      </c>
      <c r="G808" s="201">
        <f t="shared" si="63"/>
        <v>10.3461</v>
      </c>
      <c r="H808" s="201">
        <v>10.151199999999999</v>
      </c>
      <c r="I808" s="201">
        <f t="shared" si="67"/>
        <v>0.19490000000000052</v>
      </c>
      <c r="J808" s="201">
        <f t="shared" si="64"/>
        <v>6.5999999999994952E-3</v>
      </c>
      <c r="K808" s="280">
        <f t="shared" si="65"/>
        <v>3.275434243175928</v>
      </c>
      <c r="L808" s="201">
        <v>24</v>
      </c>
      <c r="M808" s="204">
        <v>43212</v>
      </c>
      <c r="AB808" s="110" t="str">
        <f>IFERROR(INDEX('WetLitterbags placem_collection'!$A$3:$A$500,MATCH(A808,'WetLitterbags placem_collection'!$K$4:$K$500,0)),"")</f>
        <v/>
      </c>
      <c r="AC808" s="110" t="str">
        <f>IFERROR(INDEX('WetLitterbags placem_collection'!$A$3:$A$500,MATCH($A808,'WetLitterbags placem_collection'!$O$4:$O$500,0)),"")</f>
        <v/>
      </c>
      <c r="AD808" s="110">
        <f>IFERROR(INDEX('WetLitterbags placem_collection'!$A$3:$A$500,MATCH($A808,'WetLitterbags placem_collection'!$M$4:$M$500,0)),"")</f>
        <v>70</v>
      </c>
      <c r="AE808" s="110" t="str">
        <f>IFERROR(INDEX('WetLitterbags placem_collection'!$A$3:$A$500,MATCH($A808,'WetLitterbags placem_collection'!$Q$4:$Q$500,0)),"")</f>
        <v/>
      </c>
    </row>
    <row r="809" spans="1:31">
      <c r="A809" s="201" t="s">
        <v>1045</v>
      </c>
      <c r="C809" s="201">
        <v>163</v>
      </c>
      <c r="D809" s="201">
        <v>1.4429000000000001</v>
      </c>
      <c r="E809" s="202">
        <v>9.3186999999999998</v>
      </c>
      <c r="F809" s="202">
        <v>0.2014</v>
      </c>
      <c r="G809" s="201">
        <f t="shared" si="63"/>
        <v>9.5200999999999993</v>
      </c>
      <c r="H809" s="201">
        <v>9.3233999999999995</v>
      </c>
      <c r="I809" s="201">
        <f t="shared" si="67"/>
        <v>0.19669999999999987</v>
      </c>
      <c r="J809" s="201">
        <f t="shared" si="64"/>
        <v>4.7000000000001207E-3</v>
      </c>
      <c r="K809" s="280">
        <f t="shared" si="65"/>
        <v>2.3336643495531879</v>
      </c>
      <c r="L809" s="201">
        <v>29</v>
      </c>
      <c r="M809" s="207">
        <v>43186.458333333336</v>
      </c>
      <c r="N809" s="207">
        <v>43186.625</v>
      </c>
      <c r="O809" s="197" t="s">
        <v>2550</v>
      </c>
      <c r="P809" s="201"/>
      <c r="AB809" s="110" t="str">
        <f>IFERROR(INDEX('WetLitterbags placem_collection'!$A$3:$A$500,MATCH(A809,'WetLitterbags placem_collection'!$K$4:$K$500,0)),"")</f>
        <v/>
      </c>
      <c r="AC809" s="110" t="str">
        <f>IFERROR(INDEX('WetLitterbags placem_collection'!$A$3:$A$500,MATCH($A809,'WetLitterbags placem_collection'!$O$4:$O$500,0)),"")</f>
        <v/>
      </c>
      <c r="AD809" s="110">
        <f>IFERROR(INDEX('WetLitterbags placem_collection'!$A$3:$A$500,MATCH($A809,'WetLitterbags placem_collection'!$M$4:$M$500,0)),"")</f>
        <v>162</v>
      </c>
      <c r="AE809" s="110" t="str">
        <f>IFERROR(INDEX('WetLitterbags placem_collection'!$A$3:$A$500,MATCH($A809,'WetLitterbags placem_collection'!$Q$4:$Q$500,0)),"")</f>
        <v/>
      </c>
    </row>
    <row r="810" spans="1:31">
      <c r="A810" s="206" t="s">
        <v>1044</v>
      </c>
      <c r="C810" s="201">
        <v>36</v>
      </c>
      <c r="D810" s="202">
        <v>1.4216</v>
      </c>
      <c r="E810" s="202">
        <v>10.076000000000001</v>
      </c>
      <c r="F810" s="202">
        <v>0.20599999999999999</v>
      </c>
      <c r="G810" s="201">
        <f t="shared" si="63"/>
        <v>10.282</v>
      </c>
      <c r="H810" s="201">
        <v>10.080299999999999</v>
      </c>
      <c r="I810" s="201">
        <f t="shared" si="67"/>
        <v>0.20170000000000066</v>
      </c>
      <c r="J810" s="201">
        <f t="shared" si="64"/>
        <v>4.2999999999993321E-3</v>
      </c>
      <c r="K810" s="280">
        <f t="shared" si="65"/>
        <v>2.0873786407763748</v>
      </c>
      <c r="L810" s="201">
        <v>21</v>
      </c>
      <c r="M810" s="205">
        <v>43199</v>
      </c>
      <c r="N810" s="205">
        <v>43199</v>
      </c>
      <c r="O810" s="201"/>
      <c r="P810" s="201"/>
      <c r="AB810" s="110" t="str">
        <f>IFERROR(INDEX('WetLitterbags placem_collection'!$A$3:$A$500,MATCH(A810,'WetLitterbags placem_collection'!$K$4:$K$500,0)),"")</f>
        <v/>
      </c>
      <c r="AC810" s="110" t="str">
        <f>IFERROR(INDEX('WetLitterbags placem_collection'!$A$3:$A$500,MATCH($A810,'WetLitterbags placem_collection'!$O$4:$O$500,0)),"")</f>
        <v/>
      </c>
      <c r="AD810" s="110" t="str">
        <f>IFERROR(INDEX('WetLitterbags placem_collection'!$A$3:$A$500,MATCH($A810,'WetLitterbags placem_collection'!$M$4:$M$500,0)),"")</f>
        <v/>
      </c>
      <c r="AE810" s="110">
        <f>IFERROR(INDEX('WetLitterbags placem_collection'!$A$3:$A$500,MATCH($A810,'WetLitterbags placem_collection'!$Q$4:$Q$500,0)),"")</f>
        <v>35</v>
      </c>
    </row>
    <row r="811" spans="1:31">
      <c r="A811" s="201" t="s">
        <v>1042</v>
      </c>
      <c r="B811" s="201"/>
      <c r="C811" s="201">
        <v>15</v>
      </c>
      <c r="D811" s="201">
        <v>1.1295999999999999</v>
      </c>
      <c r="E811" s="202">
        <v>8.7022999999999993</v>
      </c>
      <c r="F811" s="202">
        <v>0.20130000000000001</v>
      </c>
      <c r="G811" s="201">
        <f t="shared" si="63"/>
        <v>8.9035999999999991</v>
      </c>
      <c r="H811" s="201">
        <v>8.7178000000000004</v>
      </c>
      <c r="I811" s="201">
        <f t="shared" si="67"/>
        <v>0.18579999999999863</v>
      </c>
      <c r="J811" s="201">
        <f t="shared" si="64"/>
        <v>1.5500000000001374E-2</v>
      </c>
      <c r="K811" s="280">
        <f t="shared" si="65"/>
        <v>7.6999503229018247</v>
      </c>
      <c r="L811" s="201">
        <v>30</v>
      </c>
      <c r="M811" s="207">
        <v>43185.385416666664</v>
      </c>
      <c r="N811" s="201"/>
      <c r="O811" s="201" t="s">
        <v>2556</v>
      </c>
      <c r="P811" s="201"/>
      <c r="Q811" s="201"/>
      <c r="R811" s="201"/>
      <c r="S811" s="201"/>
      <c r="T811" s="201"/>
      <c r="U811" s="201"/>
      <c r="V811" s="201"/>
      <c r="W811" s="201"/>
      <c r="AB811" s="110" t="str">
        <f>IFERROR(INDEX('WetLitterbags placem_collection'!$A$3:$A$500,MATCH(A811,'WetLitterbags placem_collection'!$K$4:$K$500,0)),"")</f>
        <v/>
      </c>
      <c r="AC811" s="110" t="str">
        <f>IFERROR(INDEX('WetLitterbags placem_collection'!$A$3:$A$500,MATCH($A811,'WetLitterbags placem_collection'!$O$4:$O$500,0)),"")</f>
        <v/>
      </c>
      <c r="AD811" s="110" t="str">
        <f>IFERROR(INDEX('WetLitterbags placem_collection'!$A$3:$A$500,MATCH($A811,'WetLitterbags placem_collection'!$M$4:$M$500,0)),"")</f>
        <v/>
      </c>
      <c r="AE811" s="110">
        <f>IFERROR(INDEX('WetLitterbags placem_collection'!$A$3:$A$500,MATCH($A811,'WetLitterbags placem_collection'!$Q$4:$Q$500,0)),"")</f>
        <v>14</v>
      </c>
    </row>
    <row r="812" spans="1:31">
      <c r="A812" s="113" t="s">
        <v>2538</v>
      </c>
      <c r="C812" s="198"/>
      <c r="D812" s="197">
        <v>1.2074</v>
      </c>
      <c r="E812" s="197">
        <v>9.0214999999999996</v>
      </c>
      <c r="F812" s="202">
        <v>0.2011</v>
      </c>
      <c r="G812" s="201">
        <f t="shared" si="63"/>
        <v>9.2225999999999999</v>
      </c>
      <c r="H812" s="201">
        <v>9.0272000000000006</v>
      </c>
      <c r="I812" s="201">
        <f t="shared" si="67"/>
        <v>0.19539999999999935</v>
      </c>
      <c r="J812" s="201">
        <f t="shared" si="64"/>
        <v>5.700000000000649E-3</v>
      </c>
      <c r="K812" s="280">
        <f t="shared" si="65"/>
        <v>2.8344107409252359</v>
      </c>
      <c r="L812" s="201">
        <v>24</v>
      </c>
      <c r="AB812" s="110" t="str">
        <f>IFERROR(INDEX('WetLitterbags placem_collection'!$A$3:$A$500,MATCH(A812,'WetLitterbags placem_collection'!$K$4:$K$500,0)),"")</f>
        <v/>
      </c>
      <c r="AC812" s="110" t="str">
        <f>IFERROR(INDEX('WetLitterbags placem_collection'!$A$3:$A$500,MATCH($A812,'WetLitterbags placem_collection'!$O$4:$O$500,0)),"")</f>
        <v/>
      </c>
      <c r="AD812" s="110" t="str">
        <f>IFERROR(INDEX('WetLitterbags placem_collection'!$A$3:$A$500,MATCH($A812,'WetLitterbags placem_collection'!$M$4:$M$500,0)),"")</f>
        <v/>
      </c>
      <c r="AE812" s="110" t="str">
        <f>IFERROR(INDEX('WetLitterbags placem_collection'!$A$3:$A$500,MATCH($A812,'WetLitterbags placem_collection'!$Q$4:$Q$500,0)),"")</f>
        <v/>
      </c>
    </row>
    <row r="813" spans="1:31">
      <c r="AB813" s="110" t="str">
        <f>IFERROR(INDEX('WetLitterbags placem_collection'!$A$3:$A$500,MATCH(A813,'WetLitterbags placem_collection'!$K$4:$K$500,0)),"")</f>
        <v/>
      </c>
      <c r="AC813" s="110" t="str">
        <f>IFERROR(INDEX('WetLitterbags placem_collection'!$A$3:$A$500,MATCH($A813,'WetLitterbags placem_collection'!$O$4:$O$500,0)),"")</f>
        <v/>
      </c>
      <c r="AD813" s="110" t="str">
        <f>IFERROR(INDEX('WetLitterbags placem_collection'!$A$3:$A$500,MATCH($A813,'WetLitterbags placem_collection'!$M$4:$M$500,0)),"")</f>
        <v/>
      </c>
      <c r="AE813" s="110" t="str">
        <f>IFERROR(INDEX('WetLitterbags placem_collection'!$A$3:$A$500,MATCH($A813,'WetLitterbags placem_collection'!$Q$4:$Q$500,0)),"")</f>
        <v/>
      </c>
    </row>
    <row r="814" spans="1:31">
      <c r="AB814" s="110" t="str">
        <f>IFERROR(INDEX('WetLitterbags placem_collection'!$A$3:$A$500,MATCH(A814,'WetLitterbags placem_collection'!$K$4:$K$500,0)),"")</f>
        <v/>
      </c>
      <c r="AC814" s="110" t="str">
        <f>IFERROR(INDEX('WetLitterbags placem_collection'!$A$3:$A$500,MATCH($A814,'WetLitterbags placem_collection'!$O$4:$O$500,0)),"")</f>
        <v/>
      </c>
      <c r="AD814" s="110" t="str">
        <f>IFERROR(INDEX('WetLitterbags placem_collection'!$A$3:$A$500,MATCH($A814,'WetLitterbags placem_collection'!$M$4:$M$500,0)),"")</f>
        <v/>
      </c>
      <c r="AE814" s="110" t="str">
        <f>IFERROR(INDEX('WetLitterbags placem_collection'!$A$3:$A$500,MATCH($A814,'WetLitterbags placem_collection'!$Q$4:$Q$500,0)),"")</f>
        <v/>
      </c>
    </row>
    <row r="815" spans="1:31">
      <c r="AB815" s="110" t="str">
        <f>IFERROR(INDEX('WetLitterbags placem_collection'!$A$3:$A$500,MATCH(A815,'WetLitterbags placem_collection'!$K$4:$K$500,0)),"")</f>
        <v/>
      </c>
      <c r="AC815" s="110" t="str">
        <f>IFERROR(INDEX('WetLitterbags placem_collection'!$A$3:$A$500,MATCH($A815,'WetLitterbags placem_collection'!$O$4:$O$500,0)),"")</f>
        <v/>
      </c>
      <c r="AD815" s="110" t="str">
        <f>IFERROR(INDEX('WetLitterbags placem_collection'!$A$3:$A$500,MATCH($A815,'WetLitterbags placem_collection'!$M$4:$M$500,0)),"")</f>
        <v/>
      </c>
      <c r="AE815" s="110" t="str">
        <f>IFERROR(INDEX('WetLitterbags placem_collection'!$A$3:$A$500,MATCH($A815,'WetLitterbags placem_collection'!$Q$4:$Q$500,0)),"")</f>
        <v/>
      </c>
    </row>
    <row r="816" spans="1:31">
      <c r="AB816" s="110" t="str">
        <f>IFERROR(INDEX('WetLitterbags placem_collection'!$A$3:$A$500,MATCH(A816,'WetLitterbags placem_collection'!$K$4:$K$500,0)),"")</f>
        <v/>
      </c>
      <c r="AC816" s="110" t="str">
        <f>IFERROR(INDEX('WetLitterbags placem_collection'!$A$3:$A$500,MATCH($A816,'WetLitterbags placem_collection'!$O$4:$O$500,0)),"")</f>
        <v/>
      </c>
      <c r="AD816" s="110" t="str">
        <f>IFERROR(INDEX('WetLitterbags placem_collection'!$A$3:$A$500,MATCH($A816,'WetLitterbags placem_collection'!$M$4:$M$500,0)),"")</f>
        <v/>
      </c>
      <c r="AE816" s="110" t="str">
        <f>IFERROR(INDEX('WetLitterbags placem_collection'!$A$3:$A$500,MATCH($A816,'WetLitterbags placem_collection'!$Q$4:$Q$500,0)),"")</f>
        <v/>
      </c>
    </row>
    <row r="817" spans="28:31">
      <c r="AB817" s="110" t="str">
        <f>IFERROR(INDEX('WetLitterbags placem_collection'!$A$3:$A$500,MATCH(A817,'WetLitterbags placem_collection'!$K$4:$K$500,0)),"")</f>
        <v/>
      </c>
      <c r="AC817" s="110" t="str">
        <f>IFERROR(INDEX('WetLitterbags placem_collection'!$A$3:$A$500,MATCH($A817,'WetLitterbags placem_collection'!$O$4:$O$500,0)),"")</f>
        <v/>
      </c>
      <c r="AD817" s="110" t="str">
        <f>IFERROR(INDEX('WetLitterbags placem_collection'!$A$3:$A$500,MATCH($A817,'WetLitterbags placem_collection'!$M$4:$M$500,0)),"")</f>
        <v/>
      </c>
      <c r="AE817" s="110" t="str">
        <f>IFERROR(INDEX('WetLitterbags placem_collection'!$A$3:$A$500,MATCH($A817,'WetLitterbags placem_collection'!$Q$4:$Q$500,0)),"")</f>
        <v/>
      </c>
    </row>
    <row r="818" spans="28:31">
      <c r="AB818" s="110" t="str">
        <f>IFERROR(INDEX('WetLitterbags placem_collection'!$A$3:$A$500,MATCH(A818,'WetLitterbags placem_collection'!$K$4:$K$500,0)),"")</f>
        <v/>
      </c>
      <c r="AC818" s="110" t="str">
        <f>IFERROR(INDEX('WetLitterbags placem_collection'!$A$3:$A$500,MATCH($A818,'WetLitterbags placem_collection'!$O$4:$O$500,0)),"")</f>
        <v/>
      </c>
      <c r="AD818" s="110" t="str">
        <f>IFERROR(INDEX('WetLitterbags placem_collection'!$A$3:$A$500,MATCH($A818,'WetLitterbags placem_collection'!$M$4:$M$500,0)),"")</f>
        <v/>
      </c>
      <c r="AE818" s="110" t="str">
        <f>IFERROR(INDEX('WetLitterbags placem_collection'!$A$3:$A$500,MATCH($A818,'WetLitterbags placem_collection'!$Q$4:$Q$500,0)),"")</f>
        <v/>
      </c>
    </row>
    <row r="819" spans="28:31">
      <c r="AB819" s="110" t="str">
        <f>IFERROR(INDEX('WetLitterbags placem_collection'!$A$3:$A$500,MATCH(A819,'WetLitterbags placem_collection'!$K$4:$K$500,0)),"")</f>
        <v/>
      </c>
      <c r="AC819" s="110" t="str">
        <f>IFERROR(INDEX('WetLitterbags placem_collection'!$A$3:$A$500,MATCH($A819,'WetLitterbags placem_collection'!$O$4:$O$500,0)),"")</f>
        <v/>
      </c>
      <c r="AD819" s="110" t="str">
        <f>IFERROR(INDEX('WetLitterbags placem_collection'!$A$3:$A$500,MATCH($A819,'WetLitterbags placem_collection'!$M$4:$M$500,0)),"")</f>
        <v/>
      </c>
      <c r="AE819" s="110" t="str">
        <f>IFERROR(INDEX('WetLitterbags placem_collection'!$A$3:$A$500,MATCH($A819,'WetLitterbags placem_collection'!$Q$4:$Q$500,0)),"")</f>
        <v/>
      </c>
    </row>
  </sheetData>
  <sortState ref="A2:W812">
    <sortCondition ref="A2:A812"/>
    <sortCondition ref="C2:C812"/>
  </sortState>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6E8A1-3965-4997-AB9A-91E8FFC1B788}">
  <dimension ref="A1:AO443"/>
  <sheetViews>
    <sheetView zoomScale="85" zoomScaleNormal="85" workbookViewId="0">
      <pane xSplit="3" ySplit="2" topLeftCell="D3" activePane="bottomRight" state="frozen"/>
      <selection pane="topRight" activeCell="D1" sqref="D1"/>
      <selection pane="bottomLeft" activeCell="A3" sqref="A3"/>
      <selection pane="bottomRight" activeCell="K20" sqref="K20"/>
    </sheetView>
  </sheetViews>
  <sheetFormatPr baseColWidth="10" defaultColWidth="11.44140625" defaultRowHeight="14.4"/>
  <cols>
    <col min="3" max="3" width="14.6640625" customWidth="1"/>
    <col min="27" max="27" width="24.44140625" customWidth="1"/>
    <col min="30" max="30" width="37.77734375" customWidth="1"/>
  </cols>
  <sheetData>
    <row r="1" spans="1:41">
      <c r="A1" s="118" t="s">
        <v>2164</v>
      </c>
      <c r="B1" s="119" t="s">
        <v>2643</v>
      </c>
      <c r="C1" s="119" t="s">
        <v>2166</v>
      </c>
      <c r="D1" s="119" t="s">
        <v>2641</v>
      </c>
      <c r="E1" s="117" t="s">
        <v>1141</v>
      </c>
      <c r="F1" s="117" t="s">
        <v>2168</v>
      </c>
      <c r="G1" s="117" t="s">
        <v>1141</v>
      </c>
      <c r="H1" s="117" t="s">
        <v>2168</v>
      </c>
      <c r="I1" s="117" t="s">
        <v>2169</v>
      </c>
      <c r="J1" s="117" t="s">
        <v>1147</v>
      </c>
      <c r="K1" s="117"/>
      <c r="L1" s="117" t="s">
        <v>298</v>
      </c>
      <c r="M1" s="117"/>
      <c r="N1" s="117" t="s">
        <v>2170</v>
      </c>
      <c r="O1" s="117"/>
      <c r="P1" s="117" t="s">
        <v>2171</v>
      </c>
      <c r="Q1" s="117"/>
      <c r="R1" s="118" t="s">
        <v>2172</v>
      </c>
      <c r="S1" s="118" t="s">
        <v>2173</v>
      </c>
      <c r="T1" s="118" t="s">
        <v>2172</v>
      </c>
      <c r="U1" s="118" t="s">
        <v>2173</v>
      </c>
      <c r="V1" s="119" t="s">
        <v>1147</v>
      </c>
      <c r="W1" s="119" t="s">
        <v>298</v>
      </c>
      <c r="X1" s="119" t="s">
        <v>2174</v>
      </c>
      <c r="Y1" s="119" t="s">
        <v>2171</v>
      </c>
      <c r="Z1" s="120" t="s">
        <v>2175</v>
      </c>
      <c r="AA1" s="120" t="s">
        <v>3377</v>
      </c>
      <c r="AB1" s="120" t="s">
        <v>2175</v>
      </c>
      <c r="AC1" s="120" t="s">
        <v>3650</v>
      </c>
      <c r="AD1" s="155"/>
      <c r="AE1" s="158"/>
      <c r="AH1" t="s">
        <v>2473</v>
      </c>
    </row>
    <row r="2" spans="1:41">
      <c r="A2" s="135" t="s">
        <v>2154</v>
      </c>
      <c r="B2" s="135"/>
      <c r="C2" s="135"/>
      <c r="D2" s="135"/>
      <c r="E2" s="135" t="s">
        <v>2155</v>
      </c>
      <c r="F2" s="135"/>
      <c r="G2" s="135" t="s">
        <v>2156</v>
      </c>
      <c r="H2" s="135"/>
      <c r="I2" s="117" t="s">
        <v>2157</v>
      </c>
      <c r="J2" s="135" t="s">
        <v>2158</v>
      </c>
      <c r="K2" s="135"/>
      <c r="L2" s="135" t="s">
        <v>2158</v>
      </c>
      <c r="M2" s="135"/>
      <c r="N2" s="135" t="s">
        <v>2158</v>
      </c>
      <c r="O2" s="135"/>
      <c r="P2" s="135" t="s">
        <v>2158</v>
      </c>
      <c r="Q2" s="135"/>
      <c r="R2" s="135" t="s">
        <v>2459</v>
      </c>
      <c r="S2" s="135"/>
      <c r="T2" s="135" t="s">
        <v>2458</v>
      </c>
      <c r="U2" s="135"/>
      <c r="V2" s="147" t="s">
        <v>2159</v>
      </c>
      <c r="W2" s="147"/>
      <c r="X2" s="147"/>
      <c r="Y2" s="147"/>
      <c r="Z2" s="150" t="s">
        <v>2160</v>
      </c>
      <c r="AA2" s="150"/>
      <c r="AB2" s="150" t="s">
        <v>2161</v>
      </c>
      <c r="AC2" s="150"/>
      <c r="AD2" s="155" t="s">
        <v>2162</v>
      </c>
      <c r="AE2" s="158" t="s">
        <v>2163</v>
      </c>
      <c r="AH2" s="166" t="s">
        <v>2456</v>
      </c>
      <c r="AI2" t="s">
        <v>2477</v>
      </c>
      <c r="AJ2" s="166" t="s">
        <v>2474</v>
      </c>
      <c r="AK2" t="s">
        <v>2477</v>
      </c>
      <c r="AL2" s="166"/>
      <c r="AM2" s="166"/>
      <c r="AN2" s="166"/>
      <c r="AO2" s="166"/>
    </row>
    <row r="3" spans="1:41">
      <c r="A3" s="134">
        <v>1</v>
      </c>
      <c r="B3" s="136" t="s">
        <v>2176</v>
      </c>
      <c r="C3" s="136" t="s">
        <v>2177</v>
      </c>
      <c r="D3" s="137" t="s">
        <v>2178</v>
      </c>
      <c r="E3" s="140">
        <v>42766</v>
      </c>
      <c r="F3" s="141">
        <v>0.52083333333333337</v>
      </c>
      <c r="G3" s="140">
        <v>42818</v>
      </c>
      <c r="H3" s="141">
        <v>0.37847222222222227</v>
      </c>
      <c r="I3" s="123">
        <v>854</v>
      </c>
      <c r="J3" s="123">
        <v>436</v>
      </c>
      <c r="K3" s="142" t="str">
        <f>_xlfn.TEXTJOIN(,TRUE, "G",J3)</f>
        <v>G436</v>
      </c>
      <c r="L3" s="123">
        <v>17</v>
      </c>
      <c r="M3" s="142" t="str">
        <f>_xlfn.TEXTJOIN(,TRUE, "R",L3)</f>
        <v>R17</v>
      </c>
      <c r="N3" s="123">
        <v>752</v>
      </c>
      <c r="O3" s="142" t="str">
        <f>_xlfn.TEXTJOIN(,TRUE, "G",N3)</f>
        <v>G752</v>
      </c>
      <c r="P3" s="123">
        <v>133</v>
      </c>
      <c r="Q3" s="142" t="str">
        <f>_xlfn.TEXTJOIN(,TRUE, "R",P3)</f>
        <v>R133</v>
      </c>
      <c r="R3" s="123">
        <v>23.4</v>
      </c>
      <c r="S3" s="123">
        <v>17.3</v>
      </c>
      <c r="T3" s="138">
        <v>26</v>
      </c>
      <c r="U3" s="139">
        <v>12.2</v>
      </c>
      <c r="V3" s="160" t="s">
        <v>2179</v>
      </c>
      <c r="W3" s="148" t="s">
        <v>2179</v>
      </c>
      <c r="X3" s="126"/>
      <c r="Y3" s="126"/>
      <c r="Z3" s="146">
        <v>41</v>
      </c>
      <c r="AA3" s="149" t="s">
        <v>2180</v>
      </c>
      <c r="AB3" s="161">
        <v>26.4</v>
      </c>
      <c r="AC3" s="149">
        <v>1</v>
      </c>
      <c r="AD3" s="154" t="s">
        <v>2181</v>
      </c>
      <c r="AE3" s="163" t="s">
        <v>2182</v>
      </c>
      <c r="AH3" s="138">
        <f t="shared" ref="AH3:AH66" si="0">J3</f>
        <v>436</v>
      </c>
      <c r="AI3" t="b">
        <f>COUNTIF($AH$3:$AH$443, AH3)&gt;1</f>
        <v>0</v>
      </c>
      <c r="AJ3" s="142">
        <f t="shared" ref="AJ3:AJ66" si="1">L3</f>
        <v>17</v>
      </c>
      <c r="AK3" t="b">
        <f>COUNTIF($AJ$3:$AJ$443, AJ3)&gt;1</f>
        <v>0</v>
      </c>
    </row>
    <row r="4" spans="1:41">
      <c r="A4" s="121">
        <v>2</v>
      </c>
      <c r="B4" s="122" t="s">
        <v>2176</v>
      </c>
      <c r="C4" s="122" t="s">
        <v>2183</v>
      </c>
      <c r="D4" s="122" t="s">
        <v>2178</v>
      </c>
      <c r="E4" s="140">
        <v>42766</v>
      </c>
      <c r="F4" s="125">
        <v>0.52083333333333337</v>
      </c>
      <c r="G4" s="124">
        <v>42818</v>
      </c>
      <c r="H4" s="125">
        <v>0.38194444444444442</v>
      </c>
      <c r="I4" s="123">
        <v>855</v>
      </c>
      <c r="J4" s="123">
        <v>568</v>
      </c>
      <c r="K4" s="142" t="str">
        <f>_xlfn.TEXTJOIN(,TRUE, "G",J4)</f>
        <v>G568</v>
      </c>
      <c r="L4" s="123">
        <v>121</v>
      </c>
      <c r="M4" s="142" t="str">
        <f t="shared" ref="M4:M67" si="2">_xlfn.TEXTJOIN(,TRUE, "R",L4)</f>
        <v>R121</v>
      </c>
      <c r="N4" s="123">
        <v>737</v>
      </c>
      <c r="O4" s="142" t="str">
        <f t="shared" ref="O4:O67" si="3">_xlfn.TEXTJOIN(,TRUE, "G",N4)</f>
        <v>G737</v>
      </c>
      <c r="P4" s="123">
        <v>527</v>
      </c>
      <c r="Q4" s="142" t="str">
        <f t="shared" ref="Q4:Q67" si="4">_xlfn.TEXTJOIN(,TRUE, "R",P4)</f>
        <v>R527</v>
      </c>
      <c r="R4" s="123">
        <v>23.5</v>
      </c>
      <c r="S4" s="123">
        <v>17.399999999999999</v>
      </c>
      <c r="T4" s="128">
        <v>26.3</v>
      </c>
      <c r="U4" s="123">
        <v>8.8000000000000007</v>
      </c>
      <c r="V4" s="126"/>
      <c r="W4" s="126"/>
      <c r="X4" s="126"/>
      <c r="Y4" s="126"/>
      <c r="Z4" s="123">
        <v>39.799999999999997</v>
      </c>
      <c r="AA4" s="126" t="s">
        <v>2180</v>
      </c>
      <c r="AB4" s="153">
        <v>22.4</v>
      </c>
      <c r="AC4" s="162">
        <v>1</v>
      </c>
      <c r="AD4" s="153"/>
      <c r="AE4" s="156" t="s">
        <v>3376</v>
      </c>
      <c r="AH4" s="123">
        <f t="shared" si="0"/>
        <v>568</v>
      </c>
      <c r="AI4" t="b">
        <f t="shared" ref="AI4:AI67" si="5">COUNTIF($AH$3:$AH$443, AH4)&gt;1</f>
        <v>0</v>
      </c>
      <c r="AJ4" s="123">
        <f t="shared" si="1"/>
        <v>121</v>
      </c>
      <c r="AK4" t="b">
        <f t="shared" ref="AK4:AK67" si="6">COUNTIF($AJ$3:$AJ$443, AJ4)&gt;1</f>
        <v>0</v>
      </c>
    </row>
    <row r="5" spans="1:41">
      <c r="A5" s="169">
        <v>3</v>
      </c>
      <c r="B5" s="170" t="s">
        <v>2176</v>
      </c>
      <c r="C5" s="170" t="s">
        <v>2184</v>
      </c>
      <c r="D5" s="170" t="s">
        <v>2178</v>
      </c>
      <c r="E5" s="173">
        <v>42766</v>
      </c>
      <c r="F5" s="174">
        <v>0.52430555555555558</v>
      </c>
      <c r="G5" s="169"/>
      <c r="H5" s="169"/>
      <c r="I5" s="169">
        <v>856</v>
      </c>
      <c r="J5" s="169">
        <v>631</v>
      </c>
      <c r="K5" s="142" t="str">
        <f t="shared" ref="K5:K67" si="7">_xlfn.TEXTJOIN(,TRUE, "G",J5)</f>
        <v>G631</v>
      </c>
      <c r="L5" s="169">
        <v>158</v>
      </c>
      <c r="M5" s="142" t="str">
        <f t="shared" si="2"/>
        <v>R158</v>
      </c>
      <c r="N5" s="169">
        <v>661</v>
      </c>
      <c r="O5" s="142" t="str">
        <f t="shared" si="3"/>
        <v>G661</v>
      </c>
      <c r="P5" s="169">
        <v>498</v>
      </c>
      <c r="Q5" s="142" t="str">
        <f t="shared" si="4"/>
        <v>R498</v>
      </c>
      <c r="R5" s="169">
        <v>24.7</v>
      </c>
      <c r="S5" s="169">
        <v>17.399999999999999</v>
      </c>
      <c r="T5" s="175"/>
      <c r="U5" s="169">
        <v>11.9</v>
      </c>
      <c r="V5" s="172"/>
      <c r="W5" s="172"/>
      <c r="X5" s="172"/>
      <c r="Y5" s="172"/>
      <c r="Z5" s="169"/>
      <c r="AA5" s="172"/>
      <c r="AB5" s="169"/>
      <c r="AC5" s="172"/>
      <c r="AD5" s="169"/>
      <c r="AE5" t="s">
        <v>2185</v>
      </c>
      <c r="AH5" s="123">
        <f t="shared" si="0"/>
        <v>631</v>
      </c>
      <c r="AI5" t="b">
        <f t="shared" si="5"/>
        <v>0</v>
      </c>
      <c r="AJ5" s="123">
        <f t="shared" si="1"/>
        <v>158</v>
      </c>
      <c r="AK5" t="b">
        <f t="shared" si="6"/>
        <v>0</v>
      </c>
    </row>
    <row r="6" spans="1:41">
      <c r="A6" s="121">
        <v>4</v>
      </c>
      <c r="B6" s="122" t="s">
        <v>2176</v>
      </c>
      <c r="C6" s="122" t="s">
        <v>2186</v>
      </c>
      <c r="D6" s="122" t="s">
        <v>2178</v>
      </c>
      <c r="E6" s="140">
        <v>42766</v>
      </c>
      <c r="F6" s="125">
        <v>0.52777777777777779</v>
      </c>
      <c r="G6" s="124">
        <v>42818</v>
      </c>
      <c r="H6" s="125">
        <v>0.375</v>
      </c>
      <c r="I6" s="123">
        <v>857</v>
      </c>
      <c r="J6" s="123">
        <v>652</v>
      </c>
      <c r="K6" s="142" t="str">
        <f t="shared" si="7"/>
        <v>G652</v>
      </c>
      <c r="L6" s="123">
        <v>115</v>
      </c>
      <c r="M6" s="142" t="str">
        <f t="shared" si="2"/>
        <v>R115</v>
      </c>
      <c r="N6" s="123">
        <v>532</v>
      </c>
      <c r="O6" s="142" t="str">
        <f t="shared" si="3"/>
        <v>G532</v>
      </c>
      <c r="P6" s="123">
        <v>508</v>
      </c>
      <c r="Q6" s="142" t="str">
        <f t="shared" si="4"/>
        <v>R508</v>
      </c>
      <c r="R6" s="123">
        <v>25.4</v>
      </c>
      <c r="S6" s="123">
        <v>17.399999999999999</v>
      </c>
      <c r="T6" s="127">
        <v>25.7</v>
      </c>
      <c r="U6" s="123"/>
      <c r="V6" s="126"/>
      <c r="W6" s="126" t="s">
        <v>2187</v>
      </c>
      <c r="X6" s="126"/>
      <c r="Y6" s="126"/>
      <c r="Z6" s="123"/>
      <c r="AA6" s="151"/>
      <c r="AB6" s="123"/>
      <c r="AC6" s="126"/>
      <c r="AD6" s="123"/>
      <c r="AE6" s="157" t="s">
        <v>2188</v>
      </c>
      <c r="AH6" s="123">
        <f t="shared" si="0"/>
        <v>652</v>
      </c>
      <c r="AI6" t="b">
        <f t="shared" si="5"/>
        <v>0</v>
      </c>
      <c r="AJ6" s="123">
        <f t="shared" si="1"/>
        <v>115</v>
      </c>
      <c r="AK6" t="b">
        <f t="shared" si="6"/>
        <v>0</v>
      </c>
    </row>
    <row r="7" spans="1:41">
      <c r="A7" s="121">
        <v>5</v>
      </c>
      <c r="B7" s="122" t="s">
        <v>2176</v>
      </c>
      <c r="C7" s="122" t="s">
        <v>2189</v>
      </c>
      <c r="D7" s="122" t="s">
        <v>2178</v>
      </c>
      <c r="E7" s="140">
        <v>42766</v>
      </c>
      <c r="F7" s="125">
        <v>0.53125</v>
      </c>
      <c r="G7" s="124">
        <v>42818</v>
      </c>
      <c r="H7" s="125">
        <v>0.375</v>
      </c>
      <c r="I7" s="123">
        <v>858</v>
      </c>
      <c r="J7" s="123">
        <v>497</v>
      </c>
      <c r="K7" s="142" t="str">
        <f t="shared" si="7"/>
        <v>G497</v>
      </c>
      <c r="L7" s="123">
        <v>502</v>
      </c>
      <c r="M7" s="142" t="str">
        <f t="shared" si="2"/>
        <v>R502</v>
      </c>
      <c r="N7" s="123">
        <v>577</v>
      </c>
      <c r="O7" s="142" t="str">
        <f t="shared" si="3"/>
        <v>G577</v>
      </c>
      <c r="P7" s="123">
        <v>38</v>
      </c>
      <c r="Q7" s="142" t="str">
        <f t="shared" si="4"/>
        <v>R38</v>
      </c>
      <c r="R7" s="123">
        <v>24.3</v>
      </c>
      <c r="S7" s="123">
        <v>13.8</v>
      </c>
      <c r="T7" s="127">
        <v>25.9</v>
      </c>
      <c r="U7" s="123">
        <v>10.4</v>
      </c>
      <c r="V7" s="126"/>
      <c r="W7" s="126"/>
      <c r="X7" s="126"/>
      <c r="Y7" s="126"/>
      <c r="Z7" s="123">
        <v>36.4</v>
      </c>
      <c r="AA7" s="126" t="s">
        <v>2180</v>
      </c>
      <c r="AB7" s="123">
        <v>28.4</v>
      </c>
      <c r="AC7" s="126">
        <v>1</v>
      </c>
      <c r="AD7" s="123"/>
      <c r="AH7" s="123">
        <f t="shared" si="0"/>
        <v>497</v>
      </c>
      <c r="AI7" t="b">
        <f t="shared" si="5"/>
        <v>0</v>
      </c>
      <c r="AJ7" s="123">
        <f t="shared" si="1"/>
        <v>502</v>
      </c>
      <c r="AK7" t="b">
        <f t="shared" si="6"/>
        <v>0</v>
      </c>
    </row>
    <row r="8" spans="1:41">
      <c r="A8" s="121">
        <v>6</v>
      </c>
      <c r="B8" s="122" t="s">
        <v>2176</v>
      </c>
      <c r="C8" s="122" t="s">
        <v>2190</v>
      </c>
      <c r="D8" s="122" t="s">
        <v>2178</v>
      </c>
      <c r="E8" s="140">
        <v>42766</v>
      </c>
      <c r="F8" s="125">
        <v>0.53125</v>
      </c>
      <c r="G8" s="124">
        <v>42818</v>
      </c>
      <c r="H8" s="125">
        <v>0.38541666666666669</v>
      </c>
      <c r="I8" s="123">
        <v>859</v>
      </c>
      <c r="J8" s="123">
        <v>447</v>
      </c>
      <c r="K8" s="142" t="str">
        <f t="shared" si="7"/>
        <v>G447</v>
      </c>
      <c r="L8" s="123">
        <v>177</v>
      </c>
      <c r="M8" s="142" t="str">
        <f t="shared" si="2"/>
        <v>R177</v>
      </c>
      <c r="N8" s="123">
        <v>634</v>
      </c>
      <c r="O8" s="142" t="str">
        <f t="shared" si="3"/>
        <v>G634</v>
      </c>
      <c r="P8" s="123">
        <v>59</v>
      </c>
      <c r="Q8" s="142" t="str">
        <f t="shared" si="4"/>
        <v>R59</v>
      </c>
      <c r="R8" s="123">
        <v>23.4</v>
      </c>
      <c r="S8" s="123">
        <v>13.8</v>
      </c>
      <c r="T8" s="123">
        <v>26.8</v>
      </c>
      <c r="U8" s="123">
        <v>13.1</v>
      </c>
      <c r="V8" s="126"/>
      <c r="W8" s="126" t="s">
        <v>2187</v>
      </c>
      <c r="X8" s="126" t="s">
        <v>2187</v>
      </c>
      <c r="Y8" s="126" t="s">
        <v>2187</v>
      </c>
      <c r="Z8" s="92">
        <v>31</v>
      </c>
      <c r="AA8" s="152" t="s">
        <v>2180</v>
      </c>
      <c r="AB8" s="123">
        <v>32.4</v>
      </c>
      <c r="AC8" s="126">
        <v>1</v>
      </c>
      <c r="AD8" s="123"/>
      <c r="AE8" s="144"/>
      <c r="AH8" s="123">
        <f t="shared" si="0"/>
        <v>447</v>
      </c>
      <c r="AI8" t="b">
        <f t="shared" si="5"/>
        <v>0</v>
      </c>
      <c r="AJ8" s="123">
        <f t="shared" si="1"/>
        <v>177</v>
      </c>
      <c r="AK8" t="b">
        <f t="shared" si="6"/>
        <v>0</v>
      </c>
    </row>
    <row r="9" spans="1:41">
      <c r="A9" s="121">
        <v>7</v>
      </c>
      <c r="B9" s="122" t="s">
        <v>2176</v>
      </c>
      <c r="C9" s="122" t="s">
        <v>2191</v>
      </c>
      <c r="D9" s="122" t="s">
        <v>2178</v>
      </c>
      <c r="E9" s="140">
        <v>42766</v>
      </c>
      <c r="F9" s="125">
        <v>0.53125</v>
      </c>
      <c r="G9" s="124">
        <v>42818</v>
      </c>
      <c r="H9" s="125">
        <v>0.3888888888888889</v>
      </c>
      <c r="I9" s="123">
        <v>860</v>
      </c>
      <c r="J9" s="123">
        <v>452</v>
      </c>
      <c r="K9" s="142" t="str">
        <f t="shared" si="7"/>
        <v>G452</v>
      </c>
      <c r="L9" s="123">
        <v>531</v>
      </c>
      <c r="M9" s="142" t="str">
        <f t="shared" si="2"/>
        <v>R531</v>
      </c>
      <c r="N9" s="123">
        <v>665</v>
      </c>
      <c r="O9" s="142" t="str">
        <f t="shared" si="3"/>
        <v>G665</v>
      </c>
      <c r="P9" s="123">
        <v>398</v>
      </c>
      <c r="Q9" s="142" t="str">
        <f t="shared" si="4"/>
        <v>R398</v>
      </c>
      <c r="R9" s="123">
        <v>26.4</v>
      </c>
      <c r="S9" s="123">
        <v>9.8000000000000007</v>
      </c>
      <c r="T9" s="123">
        <v>26</v>
      </c>
      <c r="U9" s="123">
        <v>9.9</v>
      </c>
      <c r="V9" s="126"/>
      <c r="W9" s="126"/>
      <c r="X9" s="126" t="s">
        <v>2187</v>
      </c>
      <c r="Y9" s="126" t="s">
        <v>2187</v>
      </c>
      <c r="Z9" s="123">
        <v>43.4</v>
      </c>
      <c r="AA9" s="126" t="s">
        <v>2180</v>
      </c>
      <c r="AB9" s="123">
        <v>36</v>
      </c>
      <c r="AC9" s="126">
        <v>1</v>
      </c>
      <c r="AD9" s="123"/>
      <c r="AH9" s="123">
        <f t="shared" si="0"/>
        <v>452</v>
      </c>
      <c r="AI9" t="b">
        <f t="shared" si="5"/>
        <v>0</v>
      </c>
      <c r="AJ9" s="123">
        <f t="shared" si="1"/>
        <v>531</v>
      </c>
      <c r="AK9" t="b">
        <f t="shared" si="6"/>
        <v>0</v>
      </c>
    </row>
    <row r="10" spans="1:41">
      <c r="A10" s="121">
        <v>8</v>
      </c>
      <c r="B10" s="122" t="s">
        <v>2176</v>
      </c>
      <c r="C10" s="122" t="s">
        <v>2192</v>
      </c>
      <c r="D10" s="122" t="s">
        <v>2178</v>
      </c>
      <c r="E10" s="140">
        <v>42766</v>
      </c>
      <c r="F10" s="125">
        <v>0.53472222222222221</v>
      </c>
      <c r="G10" s="124">
        <v>42818</v>
      </c>
      <c r="H10" s="125">
        <v>0.38541666666666669</v>
      </c>
      <c r="I10" s="123">
        <v>861</v>
      </c>
      <c r="J10" s="123">
        <v>389</v>
      </c>
      <c r="K10" s="142" t="str">
        <f t="shared" si="7"/>
        <v>G389</v>
      </c>
      <c r="L10" s="123">
        <v>406</v>
      </c>
      <c r="M10" s="142" t="str">
        <f t="shared" si="2"/>
        <v>R406</v>
      </c>
      <c r="N10" s="123">
        <v>701</v>
      </c>
      <c r="O10" s="142" t="str">
        <f t="shared" si="3"/>
        <v>G701</v>
      </c>
      <c r="P10" s="123">
        <v>512</v>
      </c>
      <c r="Q10" s="142" t="str">
        <f t="shared" si="4"/>
        <v>R512</v>
      </c>
      <c r="R10" s="123">
        <v>24.9</v>
      </c>
      <c r="S10" s="123">
        <v>12.4</v>
      </c>
      <c r="T10" s="123">
        <v>26.1</v>
      </c>
      <c r="U10" s="123">
        <v>8.8000000000000007</v>
      </c>
      <c r="V10" s="126" t="s">
        <v>2179</v>
      </c>
      <c r="W10" s="126" t="s">
        <v>2187</v>
      </c>
      <c r="X10" s="126"/>
      <c r="Y10" s="126"/>
      <c r="Z10" s="123">
        <v>38.4</v>
      </c>
      <c r="AA10" s="126" t="s">
        <v>2180</v>
      </c>
      <c r="AB10" s="123">
        <v>36</v>
      </c>
      <c r="AC10" s="126"/>
      <c r="AD10" s="123"/>
      <c r="AH10" s="123">
        <f t="shared" si="0"/>
        <v>389</v>
      </c>
      <c r="AI10" t="b">
        <f t="shared" si="5"/>
        <v>0</v>
      </c>
      <c r="AJ10" s="123">
        <f t="shared" si="1"/>
        <v>406</v>
      </c>
      <c r="AK10" t="b">
        <f t="shared" si="6"/>
        <v>0</v>
      </c>
    </row>
    <row r="11" spans="1:41">
      <c r="A11" s="121">
        <v>9</v>
      </c>
      <c r="B11" s="122" t="s">
        <v>2176</v>
      </c>
      <c r="C11" s="122" t="s">
        <v>2193</v>
      </c>
      <c r="D11" s="122" t="s">
        <v>2194</v>
      </c>
      <c r="E11" s="140">
        <v>42766</v>
      </c>
      <c r="F11" s="125">
        <v>0.64027777777777783</v>
      </c>
      <c r="G11" s="124">
        <v>42818</v>
      </c>
      <c r="H11" s="125">
        <v>0.40625</v>
      </c>
      <c r="I11" s="123">
        <v>862</v>
      </c>
      <c r="J11">
        <v>514</v>
      </c>
      <c r="K11" s="142" t="str">
        <f t="shared" si="7"/>
        <v>G514</v>
      </c>
      <c r="L11" s="123">
        <v>169</v>
      </c>
      <c r="M11" s="142" t="str">
        <f t="shared" si="2"/>
        <v>R169</v>
      </c>
      <c r="N11" s="123">
        <v>476</v>
      </c>
      <c r="O11" s="142" t="str">
        <f t="shared" si="3"/>
        <v>G476</v>
      </c>
      <c r="P11" s="123">
        <v>101</v>
      </c>
      <c r="Q11" s="142" t="str">
        <f t="shared" si="4"/>
        <v>R101</v>
      </c>
      <c r="R11" s="123">
        <v>22.6</v>
      </c>
      <c r="S11" s="123">
        <v>19.5</v>
      </c>
      <c r="T11" s="123">
        <v>26.2</v>
      </c>
      <c r="U11" s="123">
        <v>9.5</v>
      </c>
      <c r="V11" s="126" t="s">
        <v>2187</v>
      </c>
      <c r="W11" s="126" t="s">
        <v>2195</v>
      </c>
      <c r="X11" s="126"/>
      <c r="Y11" s="126"/>
      <c r="Z11" s="123">
        <v>28.4</v>
      </c>
      <c r="AA11" s="126" t="s">
        <v>2180</v>
      </c>
      <c r="AB11" s="123">
        <v>10.8</v>
      </c>
      <c r="AC11" s="126">
        <v>0</v>
      </c>
      <c r="AD11" s="123"/>
      <c r="AH11" s="123">
        <f t="shared" si="0"/>
        <v>514</v>
      </c>
      <c r="AI11" t="b">
        <f t="shared" si="5"/>
        <v>0</v>
      </c>
      <c r="AJ11" s="123">
        <f t="shared" si="1"/>
        <v>169</v>
      </c>
      <c r="AK11" t="b">
        <f t="shared" si="6"/>
        <v>0</v>
      </c>
    </row>
    <row r="12" spans="1:41">
      <c r="A12" s="121">
        <v>10</v>
      </c>
      <c r="B12" s="122" t="s">
        <v>2176</v>
      </c>
      <c r="C12" s="122" t="s">
        <v>2196</v>
      </c>
      <c r="D12" s="122" t="s">
        <v>2194</v>
      </c>
      <c r="E12" s="140">
        <v>42766</v>
      </c>
      <c r="F12" s="125">
        <v>0.64236111111111105</v>
      </c>
      <c r="G12" s="124">
        <v>42818</v>
      </c>
      <c r="H12" s="125">
        <v>0.41666666666666669</v>
      </c>
      <c r="I12" s="123">
        <v>863</v>
      </c>
      <c r="J12" s="123">
        <v>286</v>
      </c>
      <c r="K12" s="142" t="str">
        <f t="shared" si="7"/>
        <v>G286</v>
      </c>
      <c r="L12" s="123">
        <v>91</v>
      </c>
      <c r="M12" s="142" t="str">
        <f t="shared" si="2"/>
        <v>R91</v>
      </c>
      <c r="N12" s="123">
        <v>606</v>
      </c>
      <c r="O12" s="142" t="str">
        <f t="shared" si="3"/>
        <v>G606</v>
      </c>
      <c r="P12" s="123">
        <v>515</v>
      </c>
      <c r="Q12" s="142" t="str">
        <f t="shared" si="4"/>
        <v>R515</v>
      </c>
      <c r="R12" s="123">
        <v>22.2</v>
      </c>
      <c r="S12" s="123">
        <v>20.7</v>
      </c>
      <c r="T12" s="123">
        <v>26.4</v>
      </c>
      <c r="U12" s="123">
        <v>8.6</v>
      </c>
      <c r="V12" s="126"/>
      <c r="W12" s="126"/>
      <c r="X12" s="126"/>
      <c r="Y12" s="126"/>
      <c r="Z12" s="123">
        <v>30</v>
      </c>
      <c r="AA12" s="126" t="s">
        <v>2180</v>
      </c>
      <c r="AB12" s="123">
        <v>16.8</v>
      </c>
      <c r="AC12" s="126">
        <v>0</v>
      </c>
      <c r="AD12" s="123"/>
      <c r="AH12" s="123">
        <f t="shared" si="0"/>
        <v>286</v>
      </c>
      <c r="AI12" t="b">
        <f t="shared" si="5"/>
        <v>0</v>
      </c>
      <c r="AJ12" s="123">
        <f t="shared" si="1"/>
        <v>91</v>
      </c>
      <c r="AK12" t="b">
        <f t="shared" si="6"/>
        <v>0</v>
      </c>
    </row>
    <row r="13" spans="1:41">
      <c r="A13" s="121">
        <v>11</v>
      </c>
      <c r="B13" s="122" t="s">
        <v>2176</v>
      </c>
      <c r="C13" s="122" t="s">
        <v>2197</v>
      </c>
      <c r="D13" s="122" t="s">
        <v>2194</v>
      </c>
      <c r="E13" s="140">
        <v>42766</v>
      </c>
      <c r="F13" s="125">
        <v>0.64583333333333337</v>
      </c>
      <c r="G13" s="124">
        <v>42818</v>
      </c>
      <c r="H13" s="125">
        <v>0.4236111111111111</v>
      </c>
      <c r="I13" s="123">
        <v>864</v>
      </c>
      <c r="J13" s="123">
        <v>543</v>
      </c>
      <c r="K13" s="142" t="str">
        <f t="shared" si="7"/>
        <v>G543</v>
      </c>
      <c r="L13" s="129">
        <v>446</v>
      </c>
      <c r="M13" s="142" t="str">
        <f t="shared" si="2"/>
        <v>R446</v>
      </c>
      <c r="N13" s="123">
        <v>523</v>
      </c>
      <c r="O13" s="142" t="str">
        <f t="shared" si="3"/>
        <v>G523</v>
      </c>
      <c r="P13" s="123">
        <v>2</v>
      </c>
      <c r="Q13" s="142" t="str">
        <f t="shared" si="4"/>
        <v>R2</v>
      </c>
      <c r="R13" s="123">
        <v>22.3</v>
      </c>
      <c r="S13" s="123">
        <v>31.2</v>
      </c>
      <c r="T13" s="123">
        <v>25.8</v>
      </c>
      <c r="U13" s="123">
        <v>11</v>
      </c>
      <c r="V13" s="126" t="s">
        <v>2187</v>
      </c>
      <c r="W13" s="126"/>
      <c r="X13" s="126"/>
      <c r="Y13" s="126"/>
      <c r="Z13" s="123">
        <v>24.4</v>
      </c>
      <c r="AA13" s="126" t="s">
        <v>2180</v>
      </c>
      <c r="AB13" s="123">
        <v>11.4</v>
      </c>
      <c r="AC13" s="126">
        <v>0</v>
      </c>
      <c r="AD13" s="123"/>
      <c r="AH13" s="123">
        <f t="shared" si="0"/>
        <v>543</v>
      </c>
      <c r="AI13" t="b">
        <f t="shared" si="5"/>
        <v>0</v>
      </c>
      <c r="AJ13" s="129">
        <f t="shared" si="1"/>
        <v>446</v>
      </c>
      <c r="AK13" t="b">
        <f t="shared" si="6"/>
        <v>0</v>
      </c>
    </row>
    <row r="14" spans="1:41">
      <c r="A14" s="169">
        <v>12</v>
      </c>
      <c r="B14" s="170" t="s">
        <v>2176</v>
      </c>
      <c r="C14" s="170" t="s">
        <v>2198</v>
      </c>
      <c r="D14" s="170" t="s">
        <v>2194</v>
      </c>
      <c r="E14" s="173">
        <v>42766</v>
      </c>
      <c r="F14" s="174">
        <v>0.64930555555555558</v>
      </c>
      <c r="G14" s="169"/>
      <c r="H14" s="169"/>
      <c r="I14" s="169">
        <v>865</v>
      </c>
      <c r="J14" s="169">
        <v>590</v>
      </c>
      <c r="K14" s="142" t="str">
        <f t="shared" si="7"/>
        <v>G590</v>
      </c>
      <c r="L14" s="169">
        <v>409</v>
      </c>
      <c r="M14" s="142" t="str">
        <f t="shared" si="2"/>
        <v>R409</v>
      </c>
      <c r="N14" s="169">
        <v>490</v>
      </c>
      <c r="O14" s="142" t="str">
        <f t="shared" si="3"/>
        <v>G490</v>
      </c>
      <c r="P14" s="169">
        <v>123</v>
      </c>
      <c r="Q14" s="142" t="str">
        <f t="shared" si="4"/>
        <v>R123</v>
      </c>
      <c r="R14" s="169">
        <v>21.7</v>
      </c>
      <c r="S14" s="169">
        <v>25.8</v>
      </c>
      <c r="T14" s="169"/>
      <c r="U14" s="169"/>
      <c r="V14" s="172"/>
      <c r="W14" s="172"/>
      <c r="X14" s="172"/>
      <c r="Y14" s="172"/>
      <c r="Z14" s="169"/>
      <c r="AA14" s="172"/>
      <c r="AB14" s="169"/>
      <c r="AC14" s="172"/>
      <c r="AD14" s="169"/>
      <c r="AH14" s="123">
        <f t="shared" si="0"/>
        <v>590</v>
      </c>
      <c r="AI14" t="b">
        <f t="shared" si="5"/>
        <v>0</v>
      </c>
      <c r="AJ14" s="123">
        <f t="shared" si="1"/>
        <v>409</v>
      </c>
      <c r="AK14" t="b">
        <f t="shared" si="6"/>
        <v>0</v>
      </c>
    </row>
    <row r="15" spans="1:41">
      <c r="A15" s="121">
        <v>13</v>
      </c>
      <c r="B15" s="122" t="s">
        <v>2176</v>
      </c>
      <c r="C15" s="122" t="s">
        <v>2199</v>
      </c>
      <c r="D15" s="122" t="s">
        <v>2194</v>
      </c>
      <c r="E15" s="140">
        <v>42766</v>
      </c>
      <c r="F15" s="125">
        <v>0.65277777777777779</v>
      </c>
      <c r="G15" s="124">
        <v>42818</v>
      </c>
      <c r="H15" s="125">
        <v>0.41666666666666669</v>
      </c>
      <c r="I15" s="123">
        <v>866</v>
      </c>
      <c r="J15" s="123">
        <v>595</v>
      </c>
      <c r="K15" s="142" t="str">
        <f t="shared" si="7"/>
        <v>G595</v>
      </c>
      <c r="L15" s="123">
        <v>450</v>
      </c>
      <c r="M15" s="142" t="str">
        <f t="shared" si="2"/>
        <v>R450</v>
      </c>
      <c r="N15" s="123">
        <v>241</v>
      </c>
      <c r="O15" s="142" t="str">
        <f t="shared" si="3"/>
        <v>G241</v>
      </c>
      <c r="P15" s="123">
        <v>3</v>
      </c>
      <c r="Q15" s="142" t="str">
        <f t="shared" si="4"/>
        <v>R3</v>
      </c>
      <c r="R15" s="123">
        <v>22.1</v>
      </c>
      <c r="S15" s="123">
        <v>31.1</v>
      </c>
      <c r="T15" s="123">
        <v>24.7</v>
      </c>
      <c r="U15" s="123">
        <v>10.5</v>
      </c>
      <c r="V15" s="126" t="s">
        <v>2179</v>
      </c>
      <c r="W15" s="126" t="s">
        <v>2200</v>
      </c>
      <c r="X15" s="126"/>
      <c r="Y15" s="126"/>
      <c r="Z15" s="123">
        <v>31</v>
      </c>
      <c r="AA15" s="126" t="s">
        <v>2180</v>
      </c>
      <c r="AB15" s="123">
        <v>11.4</v>
      </c>
      <c r="AC15" s="126">
        <v>0</v>
      </c>
      <c r="AD15" s="123"/>
      <c r="AH15" s="123">
        <f t="shared" si="0"/>
        <v>595</v>
      </c>
      <c r="AI15" t="b">
        <f t="shared" si="5"/>
        <v>0</v>
      </c>
      <c r="AJ15" s="123">
        <f t="shared" si="1"/>
        <v>450</v>
      </c>
      <c r="AK15" t="b">
        <f t="shared" si="6"/>
        <v>0</v>
      </c>
    </row>
    <row r="16" spans="1:41">
      <c r="A16" s="121">
        <v>14</v>
      </c>
      <c r="B16" s="122" t="s">
        <v>2176</v>
      </c>
      <c r="C16" s="122" t="s">
        <v>2201</v>
      </c>
      <c r="D16" s="122" t="s">
        <v>2194</v>
      </c>
      <c r="E16" s="140">
        <v>42766</v>
      </c>
      <c r="F16" s="125">
        <v>0.65347222222222223</v>
      </c>
      <c r="G16" s="124">
        <v>42818</v>
      </c>
      <c r="H16" s="125">
        <v>0.4201388888888889</v>
      </c>
      <c r="I16" s="123">
        <v>867</v>
      </c>
      <c r="J16" s="123">
        <v>609</v>
      </c>
      <c r="K16" s="142" t="str">
        <f t="shared" si="7"/>
        <v>G609</v>
      </c>
      <c r="L16" s="123">
        <v>382</v>
      </c>
      <c r="M16" s="142" t="str">
        <f t="shared" si="2"/>
        <v>R382</v>
      </c>
      <c r="N16" s="129">
        <v>503</v>
      </c>
      <c r="O16" s="142" t="str">
        <f t="shared" si="3"/>
        <v>G503</v>
      </c>
      <c r="P16" s="123">
        <v>282</v>
      </c>
      <c r="Q16" s="142" t="str">
        <f t="shared" si="4"/>
        <v>R282</v>
      </c>
      <c r="R16" s="123">
        <v>21.7</v>
      </c>
      <c r="S16" s="123">
        <v>22.4</v>
      </c>
      <c r="T16" s="123">
        <v>26.5</v>
      </c>
      <c r="U16" s="123">
        <v>9</v>
      </c>
      <c r="V16" s="126"/>
      <c r="W16" s="126" t="s">
        <v>2200</v>
      </c>
      <c r="X16" s="126"/>
      <c r="Y16" s="126"/>
      <c r="Z16" s="123">
        <v>42.4</v>
      </c>
      <c r="AA16" s="126" t="s">
        <v>2180</v>
      </c>
      <c r="AB16" s="123">
        <v>28.4</v>
      </c>
      <c r="AC16" s="126">
        <v>0</v>
      </c>
      <c r="AD16" s="123"/>
      <c r="AH16" s="123">
        <f t="shared" si="0"/>
        <v>609</v>
      </c>
      <c r="AI16" t="b">
        <f t="shared" si="5"/>
        <v>0</v>
      </c>
      <c r="AJ16" s="123">
        <f t="shared" si="1"/>
        <v>382</v>
      </c>
      <c r="AK16" t="b">
        <f t="shared" si="6"/>
        <v>0</v>
      </c>
    </row>
    <row r="17" spans="1:37">
      <c r="A17" s="121">
        <v>15</v>
      </c>
      <c r="B17" s="122" t="s">
        <v>2176</v>
      </c>
      <c r="C17" s="122" t="s">
        <v>2202</v>
      </c>
      <c r="D17" s="122" t="s">
        <v>2194</v>
      </c>
      <c r="E17" s="140">
        <v>42766</v>
      </c>
      <c r="F17" s="125">
        <v>0.65972222222222221</v>
      </c>
      <c r="G17" s="124">
        <v>42818</v>
      </c>
      <c r="H17" s="125">
        <v>0.40972222222222227</v>
      </c>
      <c r="I17" s="123">
        <v>868</v>
      </c>
      <c r="J17" s="123">
        <v>222</v>
      </c>
      <c r="K17" s="142" t="str">
        <f t="shared" si="7"/>
        <v>G222</v>
      </c>
      <c r="L17" s="123">
        <v>415</v>
      </c>
      <c r="M17" s="142" t="str">
        <f t="shared" si="2"/>
        <v>R415</v>
      </c>
      <c r="N17" s="123">
        <v>685</v>
      </c>
      <c r="O17" s="142" t="str">
        <f t="shared" si="3"/>
        <v>G685</v>
      </c>
      <c r="P17" s="123">
        <v>99</v>
      </c>
      <c r="Q17" s="142" t="str">
        <f t="shared" si="4"/>
        <v>R99</v>
      </c>
      <c r="R17" s="123">
        <v>21.9</v>
      </c>
      <c r="S17" s="123">
        <v>35.1</v>
      </c>
      <c r="T17" s="123">
        <v>26</v>
      </c>
      <c r="U17" s="123">
        <v>12.7</v>
      </c>
      <c r="V17" s="126"/>
      <c r="W17" s="126" t="s">
        <v>2203</v>
      </c>
      <c r="X17" s="126" t="s">
        <v>2187</v>
      </c>
      <c r="Y17" s="126" t="s">
        <v>2187</v>
      </c>
      <c r="Z17" s="123">
        <v>30.4</v>
      </c>
      <c r="AA17" s="126" t="s">
        <v>2180</v>
      </c>
      <c r="AB17" s="123">
        <v>15.8</v>
      </c>
      <c r="AC17" s="126">
        <v>0</v>
      </c>
      <c r="AD17" s="123" t="s">
        <v>2204</v>
      </c>
      <c r="AE17" s="92"/>
      <c r="AH17" s="123">
        <f t="shared" si="0"/>
        <v>222</v>
      </c>
      <c r="AI17" t="b">
        <f t="shared" si="5"/>
        <v>0</v>
      </c>
      <c r="AJ17" s="123">
        <f t="shared" si="1"/>
        <v>415</v>
      </c>
      <c r="AK17" t="b">
        <f t="shared" si="6"/>
        <v>0</v>
      </c>
    </row>
    <row r="18" spans="1:37">
      <c r="A18" s="121">
        <v>16</v>
      </c>
      <c r="B18" s="122" t="s">
        <v>2176</v>
      </c>
      <c r="C18" s="122" t="s">
        <v>2205</v>
      </c>
      <c r="D18" s="122" t="s">
        <v>2194</v>
      </c>
      <c r="E18" s="140">
        <v>42766</v>
      </c>
      <c r="F18" s="125">
        <v>0.66319444444444442</v>
      </c>
      <c r="G18" s="124">
        <v>42818</v>
      </c>
      <c r="H18" s="125">
        <v>0.43055555555555558</v>
      </c>
      <c r="I18" s="123">
        <v>869</v>
      </c>
      <c r="J18" s="123">
        <v>405</v>
      </c>
      <c r="K18" s="142" t="str">
        <f t="shared" si="7"/>
        <v>G405</v>
      </c>
      <c r="L18" s="123">
        <v>519</v>
      </c>
      <c r="M18" s="142" t="str">
        <f t="shared" si="2"/>
        <v>R519</v>
      </c>
      <c r="N18" s="123">
        <v>644</v>
      </c>
      <c r="O18" s="142" t="str">
        <f t="shared" si="3"/>
        <v>G644</v>
      </c>
      <c r="P18" s="123">
        <v>154</v>
      </c>
      <c r="Q18" s="142" t="str">
        <f t="shared" si="4"/>
        <v>R154</v>
      </c>
      <c r="R18" s="123">
        <v>22.3</v>
      </c>
      <c r="S18" s="123">
        <v>22.3</v>
      </c>
      <c r="T18" s="123">
        <v>25.8</v>
      </c>
      <c r="U18" s="123">
        <v>12.7</v>
      </c>
      <c r="V18" s="126" t="s">
        <v>2206</v>
      </c>
      <c r="W18" s="126" t="s">
        <v>2206</v>
      </c>
      <c r="X18" s="126" t="s">
        <v>2187</v>
      </c>
      <c r="Y18" s="126" t="s">
        <v>2187</v>
      </c>
      <c r="Z18" s="123">
        <v>12.4</v>
      </c>
      <c r="AA18" s="126" t="s">
        <v>2180</v>
      </c>
      <c r="AB18" s="123">
        <v>8</v>
      </c>
      <c r="AC18" s="126">
        <v>0</v>
      </c>
      <c r="AD18" s="123"/>
      <c r="AH18" s="123">
        <f t="shared" si="0"/>
        <v>405</v>
      </c>
      <c r="AI18" t="b">
        <f t="shared" si="5"/>
        <v>0</v>
      </c>
      <c r="AJ18" s="123">
        <f t="shared" si="1"/>
        <v>519</v>
      </c>
      <c r="AK18" t="b">
        <f t="shared" si="6"/>
        <v>0</v>
      </c>
    </row>
    <row r="19" spans="1:37">
      <c r="A19" s="121">
        <v>17</v>
      </c>
      <c r="B19" s="122" t="s">
        <v>2176</v>
      </c>
      <c r="C19" s="122" t="s">
        <v>2207</v>
      </c>
      <c r="D19" s="122" t="s">
        <v>2208</v>
      </c>
      <c r="E19" s="124">
        <v>42767</v>
      </c>
      <c r="F19" s="125">
        <v>0.30208333333333331</v>
      </c>
      <c r="G19" s="124">
        <v>42818</v>
      </c>
      <c r="H19" s="125">
        <v>0.34027777777777773</v>
      </c>
      <c r="I19" s="123">
        <v>870</v>
      </c>
      <c r="J19" s="123">
        <v>571</v>
      </c>
      <c r="K19" s="142" t="str">
        <f t="shared" si="7"/>
        <v>G571</v>
      </c>
      <c r="L19" s="123">
        <v>542</v>
      </c>
      <c r="M19" s="142" t="str">
        <f t="shared" si="2"/>
        <v>R542</v>
      </c>
      <c r="N19" s="123">
        <v>648</v>
      </c>
      <c r="O19" s="142" t="str">
        <f t="shared" si="3"/>
        <v>G648</v>
      </c>
      <c r="P19" s="123">
        <v>380</v>
      </c>
      <c r="Q19" s="142" t="str">
        <f t="shared" si="4"/>
        <v>R380</v>
      </c>
      <c r="R19" s="123">
        <v>19.600000000000001</v>
      </c>
      <c r="S19" s="123">
        <v>37.4</v>
      </c>
      <c r="T19" s="123">
        <v>23.1</v>
      </c>
      <c r="U19" s="123">
        <v>34.4</v>
      </c>
      <c r="V19" s="126"/>
      <c r="W19" s="126" t="s">
        <v>2187</v>
      </c>
      <c r="X19" s="126" t="s">
        <v>2187</v>
      </c>
      <c r="Y19" s="126" t="s">
        <v>2187</v>
      </c>
      <c r="Z19" s="123"/>
      <c r="AA19" s="123"/>
      <c r="AB19" s="123"/>
      <c r="AC19" s="123"/>
      <c r="AD19" s="123" t="s">
        <v>2209</v>
      </c>
      <c r="AH19" s="123">
        <f t="shared" si="0"/>
        <v>571</v>
      </c>
      <c r="AI19" t="b">
        <f t="shared" si="5"/>
        <v>0</v>
      </c>
      <c r="AJ19" s="123">
        <f t="shared" si="1"/>
        <v>542</v>
      </c>
      <c r="AK19" t="b">
        <f t="shared" si="6"/>
        <v>0</v>
      </c>
    </row>
    <row r="20" spans="1:37">
      <c r="A20" s="121">
        <v>18</v>
      </c>
      <c r="B20" s="122" t="s">
        <v>2176</v>
      </c>
      <c r="C20" s="122" t="s">
        <v>2210</v>
      </c>
      <c r="D20" s="122" t="s">
        <v>2208</v>
      </c>
      <c r="E20" s="124">
        <v>42767</v>
      </c>
      <c r="F20" s="125">
        <v>0.30555555555555552</v>
      </c>
      <c r="G20" s="124">
        <v>42818</v>
      </c>
      <c r="H20" s="125">
        <v>0.3576388888888889</v>
      </c>
      <c r="I20" s="123">
        <v>871</v>
      </c>
      <c r="J20" s="123">
        <v>419</v>
      </c>
      <c r="K20" s="142" t="str">
        <f t="shared" si="7"/>
        <v>G419</v>
      </c>
      <c r="L20" s="123">
        <v>128</v>
      </c>
      <c r="M20" s="142" t="str">
        <f t="shared" si="2"/>
        <v>R128</v>
      </c>
      <c r="N20" s="123">
        <v>573</v>
      </c>
      <c r="O20" s="142" t="str">
        <f t="shared" si="3"/>
        <v>G573</v>
      </c>
      <c r="P20" s="123">
        <v>274</v>
      </c>
      <c r="Q20" s="142" t="str">
        <f t="shared" si="4"/>
        <v>R274</v>
      </c>
      <c r="R20" s="123">
        <v>19.399999999999999</v>
      </c>
      <c r="S20" s="123">
        <v>38.4</v>
      </c>
      <c r="T20" s="123">
        <v>23.3</v>
      </c>
      <c r="U20" s="123">
        <v>35.5</v>
      </c>
      <c r="V20" s="126" t="s">
        <v>2187</v>
      </c>
      <c r="W20" s="126"/>
      <c r="X20" s="126" t="s">
        <v>2187</v>
      </c>
      <c r="Y20" s="126" t="s">
        <v>2187</v>
      </c>
      <c r="Z20" s="123"/>
      <c r="AA20" s="123"/>
      <c r="AB20" s="123"/>
      <c r="AC20" s="123"/>
      <c r="AD20" s="123" t="s">
        <v>2209</v>
      </c>
      <c r="AH20" s="123">
        <f t="shared" si="0"/>
        <v>419</v>
      </c>
      <c r="AI20" t="b">
        <f t="shared" si="5"/>
        <v>0</v>
      </c>
      <c r="AJ20" s="123">
        <f t="shared" si="1"/>
        <v>128</v>
      </c>
      <c r="AK20" t="b">
        <f t="shared" si="6"/>
        <v>0</v>
      </c>
    </row>
    <row r="21" spans="1:37">
      <c r="A21" s="121">
        <v>19</v>
      </c>
      <c r="B21" s="122" t="s">
        <v>2176</v>
      </c>
      <c r="C21" s="122" t="s">
        <v>2211</v>
      </c>
      <c r="D21" s="122" t="s">
        <v>2208</v>
      </c>
      <c r="E21" s="124">
        <v>42767</v>
      </c>
      <c r="F21" s="125">
        <v>0.30555555555555552</v>
      </c>
      <c r="G21" s="124">
        <v>42818</v>
      </c>
      <c r="H21" s="125">
        <v>0.3611111111111111</v>
      </c>
      <c r="I21" s="123">
        <v>872</v>
      </c>
      <c r="J21" s="123">
        <v>240</v>
      </c>
      <c r="K21" s="142" t="str">
        <f t="shared" si="7"/>
        <v>G240</v>
      </c>
      <c r="L21" s="123">
        <v>82</v>
      </c>
      <c r="M21" s="142" t="str">
        <f t="shared" si="2"/>
        <v>R82</v>
      </c>
      <c r="N21" s="123">
        <v>639</v>
      </c>
      <c r="O21" s="142" t="str">
        <f t="shared" si="3"/>
        <v>G639</v>
      </c>
      <c r="P21" s="123">
        <v>566</v>
      </c>
      <c r="Q21" s="142" t="str">
        <f t="shared" si="4"/>
        <v>R566</v>
      </c>
      <c r="R21" s="123">
        <v>18.899999999999999</v>
      </c>
      <c r="S21" s="123">
        <v>41.2</v>
      </c>
      <c r="T21" s="123">
        <v>23.3</v>
      </c>
      <c r="U21" s="123">
        <v>37.4</v>
      </c>
      <c r="V21" s="126"/>
      <c r="W21" s="126"/>
      <c r="X21" s="126"/>
      <c r="Y21" s="126"/>
      <c r="Z21" s="123"/>
      <c r="AA21" s="123"/>
      <c r="AB21" s="123"/>
      <c r="AC21" s="123"/>
      <c r="AD21" s="123" t="s">
        <v>2209</v>
      </c>
      <c r="AH21" s="123">
        <f t="shared" si="0"/>
        <v>240</v>
      </c>
      <c r="AI21" t="b">
        <f t="shared" si="5"/>
        <v>0</v>
      </c>
      <c r="AJ21" s="123">
        <f t="shared" si="1"/>
        <v>82</v>
      </c>
      <c r="AK21" t="b">
        <f t="shared" si="6"/>
        <v>0</v>
      </c>
    </row>
    <row r="22" spans="1:37">
      <c r="A22" s="121">
        <v>20</v>
      </c>
      <c r="B22" s="122" t="s">
        <v>2176</v>
      </c>
      <c r="C22" s="122" t="s">
        <v>2212</v>
      </c>
      <c r="D22" s="122" t="s">
        <v>2208</v>
      </c>
      <c r="E22" s="124">
        <v>42767</v>
      </c>
      <c r="F22" s="125">
        <v>0.30902777777777779</v>
      </c>
      <c r="G22" s="124">
        <v>42818</v>
      </c>
      <c r="H22" s="125">
        <v>0.36388888888888887</v>
      </c>
      <c r="I22" s="123">
        <v>873</v>
      </c>
      <c r="J22" s="123">
        <v>524</v>
      </c>
      <c r="K22" s="142" t="str">
        <f t="shared" si="7"/>
        <v>G524</v>
      </c>
      <c r="L22" s="123">
        <v>50</v>
      </c>
      <c r="M22" s="142" t="str">
        <f t="shared" si="2"/>
        <v>R50</v>
      </c>
      <c r="N22" s="123">
        <v>505</v>
      </c>
      <c r="O22" s="142" t="str">
        <f t="shared" si="3"/>
        <v>G505</v>
      </c>
      <c r="P22" s="123">
        <v>110</v>
      </c>
      <c r="Q22" s="142" t="str">
        <f t="shared" si="4"/>
        <v>R110</v>
      </c>
      <c r="R22" s="123">
        <v>19</v>
      </c>
      <c r="S22" s="123">
        <v>43.1</v>
      </c>
      <c r="T22" s="123">
        <v>23.7</v>
      </c>
      <c r="U22" s="123">
        <v>37</v>
      </c>
      <c r="V22" s="126"/>
      <c r="W22" s="126"/>
      <c r="X22" s="126"/>
      <c r="Y22" s="126"/>
      <c r="Z22" s="123"/>
      <c r="AA22" s="123"/>
      <c r="AB22" s="123"/>
      <c r="AC22" s="123"/>
      <c r="AD22" s="123" t="s">
        <v>2209</v>
      </c>
      <c r="AH22" s="123">
        <f t="shared" si="0"/>
        <v>524</v>
      </c>
      <c r="AI22" t="b">
        <f t="shared" si="5"/>
        <v>0</v>
      </c>
      <c r="AJ22" s="123">
        <f t="shared" si="1"/>
        <v>50</v>
      </c>
      <c r="AK22" t="b">
        <f t="shared" si="6"/>
        <v>0</v>
      </c>
    </row>
    <row r="23" spans="1:37" ht="13.95" customHeight="1">
      <c r="A23" s="121">
        <v>21</v>
      </c>
      <c r="B23" s="122" t="s">
        <v>2176</v>
      </c>
      <c r="C23" s="122" t="s">
        <v>2213</v>
      </c>
      <c r="D23" s="122" t="s">
        <v>2208</v>
      </c>
      <c r="E23" s="124">
        <v>42767</v>
      </c>
      <c r="F23" s="125">
        <v>0.3125</v>
      </c>
      <c r="G23" s="124">
        <v>42818</v>
      </c>
      <c r="H23" s="125">
        <v>0.35416666666666669</v>
      </c>
      <c r="I23" s="123">
        <v>874</v>
      </c>
      <c r="J23" s="123">
        <v>699</v>
      </c>
      <c r="K23" s="142" t="str">
        <f t="shared" si="7"/>
        <v>G699</v>
      </c>
      <c r="L23" s="123">
        <v>529</v>
      </c>
      <c r="M23" s="142" t="str">
        <f t="shared" si="2"/>
        <v>R529</v>
      </c>
      <c r="N23" s="123">
        <v>721</v>
      </c>
      <c r="O23" s="142" t="str">
        <f t="shared" si="3"/>
        <v>G721</v>
      </c>
      <c r="P23" s="123">
        <v>79</v>
      </c>
      <c r="Q23" s="142" t="str">
        <f t="shared" si="4"/>
        <v>R79</v>
      </c>
      <c r="R23" s="123">
        <v>19</v>
      </c>
      <c r="S23" s="123">
        <v>33.700000000000003</v>
      </c>
      <c r="T23" s="123">
        <v>22.2</v>
      </c>
      <c r="U23" s="123">
        <v>34.6</v>
      </c>
      <c r="V23" s="126" t="s">
        <v>2187</v>
      </c>
      <c r="W23" s="126" t="s">
        <v>2187</v>
      </c>
      <c r="X23" s="126"/>
      <c r="Y23" s="126"/>
      <c r="Z23" s="123"/>
      <c r="AA23" s="123"/>
      <c r="AB23" s="123"/>
      <c r="AC23" s="123"/>
      <c r="AD23" s="130" t="s">
        <v>2667</v>
      </c>
      <c r="AH23" s="123">
        <f t="shared" si="0"/>
        <v>699</v>
      </c>
      <c r="AI23" t="b">
        <f t="shared" si="5"/>
        <v>0</v>
      </c>
      <c r="AJ23" s="123">
        <f t="shared" si="1"/>
        <v>529</v>
      </c>
      <c r="AK23" t="b">
        <f t="shared" si="6"/>
        <v>0</v>
      </c>
    </row>
    <row r="24" spans="1:37">
      <c r="A24" s="121">
        <v>22</v>
      </c>
      <c r="B24" s="122" t="s">
        <v>2176</v>
      </c>
      <c r="C24" s="122" t="s">
        <v>2214</v>
      </c>
      <c r="D24" s="122" t="s">
        <v>2208</v>
      </c>
      <c r="E24" s="124">
        <v>42767</v>
      </c>
      <c r="F24" s="125">
        <v>0.31597222222222221</v>
      </c>
      <c r="G24" s="124">
        <v>42818</v>
      </c>
      <c r="H24" s="125">
        <v>0.37152777777777773</v>
      </c>
      <c r="I24" s="123">
        <v>876</v>
      </c>
      <c r="J24" s="123">
        <v>575</v>
      </c>
      <c r="K24" s="142" t="str">
        <f t="shared" si="7"/>
        <v>G575</v>
      </c>
      <c r="L24" s="123">
        <v>363</v>
      </c>
      <c r="M24" s="142" t="str">
        <f t="shared" si="2"/>
        <v>R363</v>
      </c>
      <c r="N24" s="123">
        <v>552</v>
      </c>
      <c r="O24" s="142" t="str">
        <f t="shared" si="3"/>
        <v>G552</v>
      </c>
      <c r="P24" s="123">
        <v>45</v>
      </c>
      <c r="Q24" s="142" t="str">
        <f t="shared" si="4"/>
        <v>R45</v>
      </c>
      <c r="R24" s="123">
        <v>19.100000000000001</v>
      </c>
      <c r="S24" s="123">
        <v>38.1</v>
      </c>
      <c r="T24" s="123">
        <v>23.9</v>
      </c>
      <c r="U24" s="123">
        <v>31</v>
      </c>
      <c r="V24" s="126" t="s">
        <v>2187</v>
      </c>
      <c r="W24" s="126"/>
      <c r="X24" s="126"/>
      <c r="Y24" s="126"/>
      <c r="Z24" s="123"/>
      <c r="AA24" s="123"/>
      <c r="AB24" s="123"/>
      <c r="AC24" s="123"/>
      <c r="AD24" s="123" t="s">
        <v>2209</v>
      </c>
      <c r="AH24" s="123">
        <f t="shared" si="0"/>
        <v>575</v>
      </c>
      <c r="AI24" t="b">
        <f t="shared" si="5"/>
        <v>0</v>
      </c>
      <c r="AJ24" s="123">
        <f t="shared" si="1"/>
        <v>363</v>
      </c>
      <c r="AK24" t="b">
        <f t="shared" si="6"/>
        <v>0</v>
      </c>
    </row>
    <row r="25" spans="1:37">
      <c r="A25" s="121">
        <v>23</v>
      </c>
      <c r="B25" s="122" t="s">
        <v>2176</v>
      </c>
      <c r="C25" s="122" t="s">
        <v>2215</v>
      </c>
      <c r="D25" s="122" t="s">
        <v>2208</v>
      </c>
      <c r="E25" s="124">
        <v>42767</v>
      </c>
      <c r="F25" s="125">
        <v>0.31597222222222221</v>
      </c>
      <c r="G25" s="124">
        <v>42818</v>
      </c>
      <c r="H25" s="125">
        <v>0.33333333333333331</v>
      </c>
      <c r="I25" s="123">
        <v>875</v>
      </c>
      <c r="J25" s="123">
        <v>492</v>
      </c>
      <c r="K25" s="142" t="str">
        <f t="shared" si="7"/>
        <v>G492</v>
      </c>
      <c r="L25" s="123">
        <v>190</v>
      </c>
      <c r="M25" s="142" t="str">
        <f t="shared" si="2"/>
        <v>R190</v>
      </c>
      <c r="N25" s="123">
        <v>456</v>
      </c>
      <c r="O25" s="142" t="str">
        <f t="shared" si="3"/>
        <v>G456</v>
      </c>
      <c r="P25" s="123">
        <v>132</v>
      </c>
      <c r="Q25" s="142" t="str">
        <f t="shared" si="4"/>
        <v>R132</v>
      </c>
      <c r="R25" s="123">
        <v>19.100000000000001</v>
      </c>
      <c r="S25" s="123">
        <v>37.200000000000003</v>
      </c>
      <c r="T25" s="123">
        <v>22.2</v>
      </c>
      <c r="U25" s="123">
        <v>31.8</v>
      </c>
      <c r="V25" s="126" t="s">
        <v>2187</v>
      </c>
      <c r="W25" s="126"/>
      <c r="X25" s="126"/>
      <c r="Y25" s="126"/>
      <c r="Z25" s="123"/>
      <c r="AA25" s="123"/>
      <c r="AB25" s="123"/>
      <c r="AC25" s="123"/>
      <c r="AD25" s="123" t="s">
        <v>2209</v>
      </c>
      <c r="AH25" s="123">
        <f t="shared" si="0"/>
        <v>492</v>
      </c>
      <c r="AI25" t="b">
        <f t="shared" si="5"/>
        <v>0</v>
      </c>
      <c r="AJ25" s="123">
        <f t="shared" si="1"/>
        <v>190</v>
      </c>
      <c r="AK25" t="b">
        <f t="shared" si="6"/>
        <v>0</v>
      </c>
    </row>
    <row r="26" spans="1:37">
      <c r="A26" s="121">
        <v>24</v>
      </c>
      <c r="B26" s="122" t="s">
        <v>2176</v>
      </c>
      <c r="C26" s="122" t="s">
        <v>2216</v>
      </c>
      <c r="D26" s="122" t="s">
        <v>2208</v>
      </c>
      <c r="E26" s="124">
        <v>42767</v>
      </c>
      <c r="F26" s="125">
        <v>0.31944444444444448</v>
      </c>
      <c r="G26" s="124">
        <v>42818</v>
      </c>
      <c r="H26" s="125">
        <v>0.34722222222222227</v>
      </c>
      <c r="I26" s="123">
        <v>877</v>
      </c>
      <c r="J26" s="123">
        <v>813</v>
      </c>
      <c r="K26" s="142" t="str">
        <f t="shared" si="7"/>
        <v>G813</v>
      </c>
      <c r="L26" s="123">
        <v>144</v>
      </c>
      <c r="M26" s="142" t="str">
        <f t="shared" si="2"/>
        <v>R144</v>
      </c>
      <c r="N26" s="123">
        <v>421</v>
      </c>
      <c r="O26" s="142" t="str">
        <f t="shared" si="3"/>
        <v>G421</v>
      </c>
      <c r="P26" s="123">
        <v>71</v>
      </c>
      <c r="Q26" s="142" t="str">
        <f t="shared" si="4"/>
        <v>R71</v>
      </c>
      <c r="R26" s="123">
        <v>18.899999999999999</v>
      </c>
      <c r="S26" s="123">
        <v>39.9</v>
      </c>
      <c r="T26" s="123">
        <v>23.3</v>
      </c>
      <c r="U26" s="123">
        <v>34</v>
      </c>
      <c r="V26" s="126" t="s">
        <v>2187</v>
      </c>
      <c r="W26" s="126" t="s">
        <v>2187</v>
      </c>
      <c r="X26" s="126"/>
      <c r="Y26" s="126"/>
      <c r="Z26" s="123"/>
      <c r="AA26" s="123"/>
      <c r="AB26" s="123"/>
      <c r="AC26" s="123"/>
      <c r="AD26" s="123" t="s">
        <v>2209</v>
      </c>
      <c r="AH26" s="123">
        <f t="shared" si="0"/>
        <v>813</v>
      </c>
      <c r="AI26" t="b">
        <f t="shared" si="5"/>
        <v>0</v>
      </c>
      <c r="AJ26" s="123">
        <f t="shared" si="1"/>
        <v>144</v>
      </c>
      <c r="AK26" t="b">
        <f t="shared" si="6"/>
        <v>0</v>
      </c>
    </row>
    <row r="27" spans="1:37">
      <c r="A27" s="121">
        <v>25</v>
      </c>
      <c r="B27" s="122" t="s">
        <v>2176</v>
      </c>
      <c r="C27" s="122" t="s">
        <v>2217</v>
      </c>
      <c r="D27" s="122" t="s">
        <v>2218</v>
      </c>
      <c r="E27" s="124">
        <v>42767</v>
      </c>
      <c r="F27" s="125">
        <v>0.31944444444444448</v>
      </c>
      <c r="G27" s="124">
        <v>42818</v>
      </c>
      <c r="H27" s="125">
        <v>0.3888888888888889</v>
      </c>
      <c r="I27" s="123">
        <v>878</v>
      </c>
      <c r="J27" s="123">
        <v>406</v>
      </c>
      <c r="K27" s="142" t="str">
        <f t="shared" si="7"/>
        <v>G406</v>
      </c>
      <c r="L27" s="123">
        <v>279</v>
      </c>
      <c r="M27" s="142" t="str">
        <f t="shared" si="2"/>
        <v>R279</v>
      </c>
      <c r="N27" s="123">
        <v>864</v>
      </c>
      <c r="O27" s="142" t="str">
        <f t="shared" si="3"/>
        <v>G864</v>
      </c>
      <c r="P27" s="123">
        <v>104</v>
      </c>
      <c r="Q27" s="142" t="str">
        <f t="shared" si="4"/>
        <v>R104</v>
      </c>
      <c r="R27" s="123">
        <v>19</v>
      </c>
      <c r="S27" s="123">
        <v>39.700000000000003</v>
      </c>
      <c r="T27" s="123">
        <v>23.7</v>
      </c>
      <c r="U27" s="123">
        <v>34</v>
      </c>
      <c r="V27" s="126"/>
      <c r="W27" s="126"/>
      <c r="X27" s="126"/>
      <c r="Y27" s="126"/>
      <c r="Z27" s="123"/>
      <c r="AA27" s="123"/>
      <c r="AB27" s="123"/>
      <c r="AC27" s="123"/>
      <c r="AD27" s="123" t="s">
        <v>2209</v>
      </c>
      <c r="AH27" s="123">
        <f t="shared" si="0"/>
        <v>406</v>
      </c>
      <c r="AI27" t="b">
        <f t="shared" si="5"/>
        <v>0</v>
      </c>
      <c r="AJ27" s="123">
        <f t="shared" si="1"/>
        <v>279</v>
      </c>
      <c r="AK27" t="b">
        <f t="shared" si="6"/>
        <v>0</v>
      </c>
    </row>
    <row r="28" spans="1:37">
      <c r="A28" s="121">
        <v>26</v>
      </c>
      <c r="B28" s="122" t="s">
        <v>2176</v>
      </c>
      <c r="C28" s="122" t="s">
        <v>2219</v>
      </c>
      <c r="D28" s="122" t="s">
        <v>2218</v>
      </c>
      <c r="E28" s="124">
        <v>42767</v>
      </c>
      <c r="F28" s="125">
        <v>0.32291666666666669</v>
      </c>
      <c r="G28" s="124">
        <v>42818</v>
      </c>
      <c r="H28" s="125">
        <v>0.37847222222222227</v>
      </c>
      <c r="I28" s="123">
        <v>879</v>
      </c>
      <c r="J28" s="123">
        <v>651</v>
      </c>
      <c r="K28" s="142" t="str">
        <f t="shared" si="7"/>
        <v>G651</v>
      </c>
      <c r="L28" s="123">
        <v>148</v>
      </c>
      <c r="M28" s="142" t="str">
        <f t="shared" si="2"/>
        <v>R148</v>
      </c>
      <c r="N28" s="123">
        <v>506</v>
      </c>
      <c r="O28" s="142" t="str">
        <f t="shared" si="3"/>
        <v>G506</v>
      </c>
      <c r="P28" s="123">
        <v>189</v>
      </c>
      <c r="Q28" s="142" t="str">
        <f t="shared" si="4"/>
        <v>R189</v>
      </c>
      <c r="R28" s="123">
        <v>18.7</v>
      </c>
      <c r="S28" s="123">
        <v>38</v>
      </c>
      <c r="T28" s="123">
        <v>22.7</v>
      </c>
      <c r="U28" s="123">
        <v>24.6</v>
      </c>
      <c r="V28" s="126" t="s">
        <v>2187</v>
      </c>
      <c r="W28" s="126"/>
      <c r="X28" s="126"/>
      <c r="Y28" s="126"/>
      <c r="Z28" s="123"/>
      <c r="AA28" s="123"/>
      <c r="AB28" s="123"/>
      <c r="AC28" s="123"/>
      <c r="AD28" s="123" t="s">
        <v>2209</v>
      </c>
      <c r="AH28" s="123">
        <f t="shared" si="0"/>
        <v>651</v>
      </c>
      <c r="AI28" t="b">
        <f t="shared" si="5"/>
        <v>0</v>
      </c>
      <c r="AJ28" s="123">
        <f t="shared" si="1"/>
        <v>148</v>
      </c>
      <c r="AK28" t="b">
        <f t="shared" si="6"/>
        <v>0</v>
      </c>
    </row>
    <row r="29" spans="1:37">
      <c r="A29" s="121">
        <v>27</v>
      </c>
      <c r="B29" s="122" t="s">
        <v>2176</v>
      </c>
      <c r="C29" s="122" t="s">
        <v>2220</v>
      </c>
      <c r="D29" s="122" t="s">
        <v>2218</v>
      </c>
      <c r="E29" s="124">
        <v>42767</v>
      </c>
      <c r="F29" s="125">
        <v>0.32291666666666669</v>
      </c>
      <c r="G29" s="124">
        <v>42818</v>
      </c>
      <c r="H29" s="125">
        <v>0.38194444444444442</v>
      </c>
      <c r="I29" s="123">
        <v>880</v>
      </c>
      <c r="J29" s="123">
        <v>583</v>
      </c>
      <c r="K29" s="142" t="str">
        <f t="shared" si="7"/>
        <v>G583</v>
      </c>
      <c r="L29" s="123">
        <v>112</v>
      </c>
      <c r="M29" s="142" t="str">
        <f t="shared" si="2"/>
        <v>R112</v>
      </c>
      <c r="N29" s="123">
        <v>449</v>
      </c>
      <c r="O29" s="142" t="str">
        <f t="shared" si="3"/>
        <v>G449</v>
      </c>
      <c r="P29" s="123">
        <v>217</v>
      </c>
      <c r="Q29" s="142" t="str">
        <f t="shared" si="4"/>
        <v>R217</v>
      </c>
      <c r="R29" s="123">
        <v>19</v>
      </c>
      <c r="S29" s="123">
        <v>36.700000000000003</v>
      </c>
      <c r="T29" s="123">
        <v>23.8</v>
      </c>
      <c r="U29" s="123">
        <v>21.1</v>
      </c>
      <c r="V29" s="126"/>
      <c r="W29" s="126"/>
      <c r="X29" s="126"/>
      <c r="Y29" s="126"/>
      <c r="Z29" s="123"/>
      <c r="AA29" s="123"/>
      <c r="AB29" s="123"/>
      <c r="AC29" s="123"/>
      <c r="AD29" s="123" t="s">
        <v>2209</v>
      </c>
      <c r="AH29" s="123">
        <f t="shared" si="0"/>
        <v>583</v>
      </c>
      <c r="AI29" t="b">
        <f t="shared" si="5"/>
        <v>0</v>
      </c>
      <c r="AJ29" s="123">
        <f t="shared" si="1"/>
        <v>112</v>
      </c>
      <c r="AK29" t="b">
        <f t="shared" si="6"/>
        <v>0</v>
      </c>
    </row>
    <row r="30" spans="1:37">
      <c r="A30" s="121">
        <v>28</v>
      </c>
      <c r="B30" s="122" t="s">
        <v>2176</v>
      </c>
      <c r="C30" s="122" t="s">
        <v>2221</v>
      </c>
      <c r="D30" s="122" t="s">
        <v>2218</v>
      </c>
      <c r="E30" s="124">
        <v>42767</v>
      </c>
      <c r="F30" s="125">
        <v>0.3263888888888889</v>
      </c>
      <c r="G30" s="124">
        <v>42818</v>
      </c>
      <c r="H30" s="125">
        <v>0.38194444444444442</v>
      </c>
      <c r="I30" s="123">
        <v>881</v>
      </c>
      <c r="J30" s="123">
        <v>702</v>
      </c>
      <c r="K30" s="142" t="str">
        <f t="shared" si="7"/>
        <v>G702</v>
      </c>
      <c r="L30" s="123">
        <v>436</v>
      </c>
      <c r="M30" s="142" t="str">
        <f t="shared" si="2"/>
        <v>R436</v>
      </c>
      <c r="N30" s="123">
        <v>502</v>
      </c>
      <c r="O30" s="142" t="str">
        <f t="shared" si="3"/>
        <v>G502</v>
      </c>
      <c r="P30" s="123">
        <v>172</v>
      </c>
      <c r="Q30" s="142" t="str">
        <f t="shared" si="4"/>
        <v>R172</v>
      </c>
      <c r="R30" s="123">
        <v>19.399999999999999</v>
      </c>
      <c r="S30" s="123">
        <v>41.5</v>
      </c>
      <c r="T30" s="123">
        <v>21.8</v>
      </c>
      <c r="U30" s="123">
        <v>25.3</v>
      </c>
      <c r="V30" s="126"/>
      <c r="W30" s="126"/>
      <c r="X30" s="126"/>
      <c r="Y30" s="126"/>
      <c r="Z30" s="123"/>
      <c r="AA30" s="123"/>
      <c r="AB30" s="123"/>
      <c r="AC30" s="123"/>
      <c r="AD30" s="123" t="s">
        <v>2209</v>
      </c>
      <c r="AH30" s="123">
        <f t="shared" si="0"/>
        <v>702</v>
      </c>
      <c r="AI30" t="b">
        <f t="shared" si="5"/>
        <v>0</v>
      </c>
      <c r="AJ30" s="123">
        <f t="shared" si="1"/>
        <v>436</v>
      </c>
      <c r="AK30" t="b">
        <f t="shared" si="6"/>
        <v>0</v>
      </c>
    </row>
    <row r="31" spans="1:37">
      <c r="A31" s="121">
        <v>29</v>
      </c>
      <c r="B31" s="122" t="s">
        <v>2176</v>
      </c>
      <c r="C31" s="122" t="s">
        <v>2222</v>
      </c>
      <c r="D31" s="122" t="s">
        <v>2218</v>
      </c>
      <c r="E31" s="124">
        <v>42767</v>
      </c>
      <c r="F31" s="125">
        <v>0.3263888888888889</v>
      </c>
      <c r="G31" s="124">
        <v>42818</v>
      </c>
      <c r="H31" s="125">
        <v>0.3923611111111111</v>
      </c>
      <c r="I31" s="123">
        <v>882</v>
      </c>
      <c r="J31" s="123">
        <v>838</v>
      </c>
      <c r="K31" s="142" t="str">
        <f t="shared" si="7"/>
        <v>G838</v>
      </c>
      <c r="L31" s="123">
        <v>386</v>
      </c>
      <c r="M31" s="142" t="str">
        <f t="shared" si="2"/>
        <v>R386</v>
      </c>
      <c r="N31" s="123">
        <v>345</v>
      </c>
      <c r="O31" s="142" t="str">
        <f t="shared" si="3"/>
        <v>G345</v>
      </c>
      <c r="P31" s="123">
        <v>349</v>
      </c>
      <c r="Q31" s="142" t="str">
        <f t="shared" si="4"/>
        <v>R349</v>
      </c>
      <c r="R31" s="123">
        <v>18.899999999999999</v>
      </c>
      <c r="S31" s="123">
        <v>32.5</v>
      </c>
      <c r="T31" s="123">
        <v>23.2</v>
      </c>
      <c r="U31" s="123">
        <v>24.3</v>
      </c>
      <c r="V31" s="126" t="s">
        <v>2187</v>
      </c>
      <c r="W31" s="126" t="s">
        <v>2206</v>
      </c>
      <c r="X31" s="126"/>
      <c r="Y31" s="126"/>
      <c r="Z31" s="123"/>
      <c r="AA31" s="123"/>
      <c r="AB31" s="123"/>
      <c r="AC31" s="123"/>
      <c r="AD31" s="123" t="s">
        <v>2209</v>
      </c>
      <c r="AH31" s="123">
        <f t="shared" si="0"/>
        <v>838</v>
      </c>
      <c r="AI31" t="b">
        <f t="shared" si="5"/>
        <v>0</v>
      </c>
      <c r="AJ31" s="123">
        <f t="shared" si="1"/>
        <v>386</v>
      </c>
      <c r="AK31" t="b">
        <f t="shared" si="6"/>
        <v>0</v>
      </c>
    </row>
    <row r="32" spans="1:37">
      <c r="A32" s="121">
        <v>30</v>
      </c>
      <c r="B32" s="122" t="s">
        <v>2176</v>
      </c>
      <c r="C32" s="122" t="s">
        <v>2223</v>
      </c>
      <c r="D32" s="122" t="s">
        <v>2218</v>
      </c>
      <c r="E32" s="124">
        <v>42767</v>
      </c>
      <c r="F32" s="125">
        <v>0.3298611111111111</v>
      </c>
      <c r="G32" s="124">
        <v>42818</v>
      </c>
      <c r="H32" s="125">
        <v>0.3923611111111111</v>
      </c>
      <c r="I32" s="123">
        <v>883</v>
      </c>
      <c r="J32" s="123">
        <v>518</v>
      </c>
      <c r="K32" s="142" t="str">
        <f t="shared" si="7"/>
        <v>G518</v>
      </c>
      <c r="L32">
        <v>507</v>
      </c>
      <c r="M32" s="142" t="str">
        <f t="shared" si="2"/>
        <v>R507</v>
      </c>
      <c r="N32" s="123">
        <v>500</v>
      </c>
      <c r="O32" s="142" t="str">
        <f t="shared" si="3"/>
        <v>G500</v>
      </c>
      <c r="P32" s="123">
        <v>296</v>
      </c>
      <c r="Q32" s="142" t="str">
        <f t="shared" si="4"/>
        <v>R296</v>
      </c>
      <c r="R32" s="123">
        <v>18.7</v>
      </c>
      <c r="S32" s="123">
        <v>30.7</v>
      </c>
      <c r="T32" s="123">
        <v>22.7</v>
      </c>
      <c r="U32" s="123">
        <v>23.1</v>
      </c>
      <c r="V32" s="126" t="s">
        <v>2187</v>
      </c>
      <c r="W32" s="126" t="s">
        <v>2187</v>
      </c>
      <c r="X32" s="126"/>
      <c r="Y32" s="126"/>
      <c r="Z32" s="123"/>
      <c r="AA32" s="123"/>
      <c r="AB32" s="123"/>
      <c r="AC32" s="123"/>
      <c r="AD32" s="123" t="s">
        <v>2209</v>
      </c>
      <c r="AH32" s="123">
        <f t="shared" si="0"/>
        <v>518</v>
      </c>
      <c r="AI32" t="b">
        <f t="shared" si="5"/>
        <v>0</v>
      </c>
      <c r="AJ32" s="123">
        <f t="shared" si="1"/>
        <v>507</v>
      </c>
      <c r="AK32" t="b">
        <f t="shared" si="6"/>
        <v>0</v>
      </c>
    </row>
    <row r="33" spans="1:37">
      <c r="A33" s="121">
        <v>31</v>
      </c>
      <c r="B33" s="122" t="s">
        <v>2176</v>
      </c>
      <c r="C33" s="122" t="s">
        <v>2224</v>
      </c>
      <c r="D33" s="122" t="s">
        <v>2218</v>
      </c>
      <c r="E33" s="124">
        <v>42767</v>
      </c>
      <c r="F33" s="125">
        <v>0.3298611111111111</v>
      </c>
      <c r="G33" s="124">
        <v>42818</v>
      </c>
      <c r="H33" s="125">
        <v>0.39583333333333331</v>
      </c>
      <c r="I33" s="123">
        <v>884</v>
      </c>
      <c r="J33" s="129">
        <v>404</v>
      </c>
      <c r="K33" s="142" t="str">
        <f t="shared" si="7"/>
        <v>G404</v>
      </c>
      <c r="L33" s="123">
        <v>141</v>
      </c>
      <c r="M33" s="142" t="str">
        <f t="shared" si="2"/>
        <v>R141</v>
      </c>
      <c r="N33" s="123">
        <v>521</v>
      </c>
      <c r="O33" s="142" t="str">
        <f t="shared" si="3"/>
        <v>G521</v>
      </c>
      <c r="P33" s="123">
        <v>323</v>
      </c>
      <c r="Q33" s="142" t="str">
        <f t="shared" si="4"/>
        <v>R323</v>
      </c>
      <c r="R33" s="123">
        <v>19.8</v>
      </c>
      <c r="S33" s="123">
        <v>36.6</v>
      </c>
      <c r="T33" s="123">
        <v>22.1</v>
      </c>
      <c r="U33" s="123">
        <v>29.4</v>
      </c>
      <c r="V33" s="126" t="s">
        <v>2187</v>
      </c>
      <c r="W33" s="126" t="s">
        <v>2187</v>
      </c>
      <c r="X33" s="126" t="s">
        <v>2187</v>
      </c>
      <c r="Y33" s="126" t="s">
        <v>2187</v>
      </c>
      <c r="Z33" s="123"/>
      <c r="AA33" s="123"/>
      <c r="AB33" s="123"/>
      <c r="AC33" s="123"/>
      <c r="AD33" s="123" t="s">
        <v>2209</v>
      </c>
      <c r="AH33" s="129">
        <f t="shared" si="0"/>
        <v>404</v>
      </c>
      <c r="AI33" t="b">
        <f t="shared" si="5"/>
        <v>0</v>
      </c>
      <c r="AJ33" s="123">
        <f t="shared" si="1"/>
        <v>141</v>
      </c>
      <c r="AK33" t="b">
        <f t="shared" si="6"/>
        <v>0</v>
      </c>
    </row>
    <row r="34" spans="1:37">
      <c r="A34" s="121">
        <v>32</v>
      </c>
      <c r="B34" s="122" t="s">
        <v>2176</v>
      </c>
      <c r="C34" s="122" t="s">
        <v>2225</v>
      </c>
      <c r="D34" s="122" t="s">
        <v>2218</v>
      </c>
      <c r="E34" s="124">
        <v>42767</v>
      </c>
      <c r="F34" s="125">
        <v>0.33333333333333331</v>
      </c>
      <c r="G34" s="124">
        <v>42818</v>
      </c>
      <c r="H34" s="125">
        <v>0.38541666666666669</v>
      </c>
      <c r="I34" s="123">
        <v>885</v>
      </c>
      <c r="J34" s="123">
        <v>527</v>
      </c>
      <c r="K34" s="142" t="str">
        <f t="shared" si="7"/>
        <v>G527</v>
      </c>
      <c r="L34" s="123">
        <v>396</v>
      </c>
      <c r="M34" s="142" t="str">
        <f t="shared" si="2"/>
        <v>R396</v>
      </c>
      <c r="N34" s="123">
        <v>201</v>
      </c>
      <c r="O34" s="142" t="str">
        <f t="shared" si="3"/>
        <v>G201</v>
      </c>
      <c r="P34" s="123">
        <v>156</v>
      </c>
      <c r="Q34" s="142" t="str">
        <f t="shared" si="4"/>
        <v>R156</v>
      </c>
      <c r="R34" s="123">
        <v>18.8</v>
      </c>
      <c r="S34" s="123">
        <v>36.299999999999997</v>
      </c>
      <c r="T34" s="123">
        <v>23</v>
      </c>
      <c r="U34" s="123">
        <v>29.4</v>
      </c>
      <c r="V34" s="126" t="s">
        <v>2187</v>
      </c>
      <c r="W34" s="126" t="s">
        <v>2187</v>
      </c>
      <c r="X34" s="126" t="s">
        <v>2187</v>
      </c>
      <c r="Y34" s="126" t="s">
        <v>2187</v>
      </c>
      <c r="Z34" s="123"/>
      <c r="AA34" s="123"/>
      <c r="AB34" s="123"/>
      <c r="AC34" s="123"/>
      <c r="AD34" s="123" t="s">
        <v>2209</v>
      </c>
      <c r="AH34" s="123">
        <f t="shared" si="0"/>
        <v>527</v>
      </c>
      <c r="AI34" t="b">
        <f t="shared" si="5"/>
        <v>0</v>
      </c>
      <c r="AJ34" s="123">
        <f t="shared" si="1"/>
        <v>396</v>
      </c>
      <c r="AK34" t="b">
        <f t="shared" si="6"/>
        <v>0</v>
      </c>
    </row>
    <row r="35" spans="1:37">
      <c r="A35" s="121">
        <v>33</v>
      </c>
      <c r="B35" s="122" t="s">
        <v>2176</v>
      </c>
      <c r="C35" s="122" t="s">
        <v>2226</v>
      </c>
      <c r="D35" s="122" t="s">
        <v>2227</v>
      </c>
      <c r="E35" s="124">
        <v>42765</v>
      </c>
      <c r="F35" s="125">
        <v>0.67361111111111116</v>
      </c>
      <c r="G35" s="124">
        <v>42820</v>
      </c>
      <c r="H35" s="125">
        <v>0.4548611111111111</v>
      </c>
      <c r="I35" s="123">
        <v>813</v>
      </c>
      <c r="J35" s="123">
        <v>366</v>
      </c>
      <c r="K35" s="142" t="str">
        <f t="shared" si="7"/>
        <v>G366</v>
      </c>
      <c r="L35" s="123">
        <v>109</v>
      </c>
      <c r="M35" s="142" t="str">
        <f t="shared" si="2"/>
        <v>R109</v>
      </c>
      <c r="N35" s="123">
        <v>556</v>
      </c>
      <c r="O35" s="142" t="str">
        <f t="shared" si="3"/>
        <v>G556</v>
      </c>
      <c r="P35" s="123">
        <v>452</v>
      </c>
      <c r="Q35" s="142" t="str">
        <f t="shared" si="4"/>
        <v>R452</v>
      </c>
      <c r="R35" s="123">
        <v>25.1</v>
      </c>
      <c r="S35" s="123">
        <v>30.5</v>
      </c>
      <c r="T35" s="123">
        <v>25.4</v>
      </c>
      <c r="U35" s="123"/>
      <c r="V35" s="126" t="s">
        <v>2187</v>
      </c>
      <c r="W35" s="126" t="s">
        <v>2195</v>
      </c>
      <c r="X35" s="126" t="s">
        <v>2187</v>
      </c>
      <c r="Y35" s="126" t="s">
        <v>2187</v>
      </c>
      <c r="Z35" s="123">
        <v>17.2</v>
      </c>
      <c r="AA35" s="126" t="s">
        <v>2228</v>
      </c>
      <c r="AB35" s="123">
        <v>9.5</v>
      </c>
      <c r="AC35" s="126">
        <v>0</v>
      </c>
      <c r="AD35" s="123"/>
      <c r="AH35" s="123">
        <f t="shared" si="0"/>
        <v>366</v>
      </c>
      <c r="AI35" t="b">
        <f t="shared" si="5"/>
        <v>0</v>
      </c>
      <c r="AJ35" s="123">
        <f t="shared" si="1"/>
        <v>109</v>
      </c>
      <c r="AK35" t="b">
        <f t="shared" si="6"/>
        <v>0</v>
      </c>
    </row>
    <row r="36" spans="1:37">
      <c r="A36" s="121">
        <v>34</v>
      </c>
      <c r="B36" s="122" t="s">
        <v>2176</v>
      </c>
      <c r="C36" s="122" t="s">
        <v>2229</v>
      </c>
      <c r="D36" s="122" t="s">
        <v>2227</v>
      </c>
      <c r="E36" s="124">
        <v>42765</v>
      </c>
      <c r="F36" s="125">
        <v>0.71875</v>
      </c>
      <c r="G36" s="124">
        <v>42820</v>
      </c>
      <c r="H36" s="125">
        <v>0.4513888888888889</v>
      </c>
      <c r="I36" s="123">
        <v>822</v>
      </c>
      <c r="J36" s="123">
        <v>516</v>
      </c>
      <c r="K36" s="142" t="str">
        <f t="shared" si="7"/>
        <v>G516</v>
      </c>
      <c r="L36" s="123">
        <v>153</v>
      </c>
      <c r="M36" s="142" t="str">
        <f t="shared" si="2"/>
        <v>R153</v>
      </c>
      <c r="N36" s="123">
        <v>649</v>
      </c>
      <c r="O36" s="142" t="str">
        <f t="shared" si="3"/>
        <v>G649</v>
      </c>
      <c r="P36" s="123">
        <v>24</v>
      </c>
      <c r="Q36" s="142" t="str">
        <f t="shared" si="4"/>
        <v>R24</v>
      </c>
      <c r="R36" s="123">
        <v>24.6</v>
      </c>
      <c r="S36" s="123">
        <v>21</v>
      </c>
      <c r="T36" s="123">
        <v>26.5</v>
      </c>
      <c r="U36" s="123"/>
      <c r="V36" s="126" t="s">
        <v>2230</v>
      </c>
      <c r="W36" s="126" t="s">
        <v>2195</v>
      </c>
      <c r="X36" s="126" t="s">
        <v>2187</v>
      </c>
      <c r="Y36" s="126" t="s">
        <v>2187</v>
      </c>
      <c r="Z36" s="123">
        <v>14.2</v>
      </c>
      <c r="AA36" s="126" t="s">
        <v>2228</v>
      </c>
      <c r="AB36" s="123">
        <v>6.5</v>
      </c>
      <c r="AC36" s="126">
        <v>0</v>
      </c>
      <c r="AD36" s="123" t="s">
        <v>2231</v>
      </c>
      <c r="AH36" s="123">
        <f t="shared" si="0"/>
        <v>516</v>
      </c>
      <c r="AI36" t="b">
        <f t="shared" si="5"/>
        <v>0</v>
      </c>
      <c r="AJ36" s="123">
        <f t="shared" si="1"/>
        <v>153</v>
      </c>
      <c r="AK36" t="b">
        <f t="shared" si="6"/>
        <v>0</v>
      </c>
    </row>
    <row r="37" spans="1:37">
      <c r="A37" s="121">
        <v>35</v>
      </c>
      <c r="B37" s="122" t="s">
        <v>2176</v>
      </c>
      <c r="C37" s="122" t="s">
        <v>2232</v>
      </c>
      <c r="D37" s="122" t="s">
        <v>2227</v>
      </c>
      <c r="E37" s="124">
        <v>42765</v>
      </c>
      <c r="F37" s="125">
        <v>0.71875</v>
      </c>
      <c r="G37" s="124">
        <v>42820</v>
      </c>
      <c r="H37" s="125">
        <v>0.44444444444444442</v>
      </c>
      <c r="I37" s="123">
        <v>823</v>
      </c>
      <c r="J37" s="123">
        <v>670</v>
      </c>
      <c r="K37" s="142" t="str">
        <f t="shared" si="7"/>
        <v>G670</v>
      </c>
      <c r="L37" s="123">
        <v>64</v>
      </c>
      <c r="M37" s="142" t="str">
        <f t="shared" si="2"/>
        <v>R64</v>
      </c>
      <c r="N37" s="123">
        <v>732</v>
      </c>
      <c r="O37" s="142" t="str">
        <f t="shared" si="3"/>
        <v>G732</v>
      </c>
      <c r="P37" s="123">
        <v>69</v>
      </c>
      <c r="Q37" s="142" t="str">
        <f t="shared" si="4"/>
        <v>R69</v>
      </c>
      <c r="R37" s="123">
        <v>24.2</v>
      </c>
      <c r="S37" s="123">
        <v>10.9</v>
      </c>
      <c r="T37" s="123">
        <v>24.7</v>
      </c>
      <c r="U37" s="123"/>
      <c r="V37" s="126"/>
      <c r="W37" s="126"/>
      <c r="X37" s="126" t="s">
        <v>2187</v>
      </c>
      <c r="Y37" s="126" t="s">
        <v>2187</v>
      </c>
      <c r="Z37" s="123">
        <v>10.6</v>
      </c>
      <c r="AA37" s="126" t="s">
        <v>2228</v>
      </c>
      <c r="AB37" s="123">
        <v>0.7</v>
      </c>
      <c r="AC37" s="126">
        <v>0</v>
      </c>
      <c r="AD37" s="123"/>
      <c r="AH37" s="123">
        <f t="shared" si="0"/>
        <v>670</v>
      </c>
      <c r="AI37" t="b">
        <f t="shared" si="5"/>
        <v>0</v>
      </c>
      <c r="AJ37" s="123">
        <f t="shared" si="1"/>
        <v>64</v>
      </c>
      <c r="AK37" t="b">
        <f t="shared" si="6"/>
        <v>0</v>
      </c>
    </row>
    <row r="38" spans="1:37">
      <c r="A38" s="121">
        <v>36</v>
      </c>
      <c r="B38" s="122" t="s">
        <v>2176</v>
      </c>
      <c r="C38" s="122" t="s">
        <v>2233</v>
      </c>
      <c r="D38" s="122" t="s">
        <v>2227</v>
      </c>
      <c r="E38" s="124">
        <v>42765</v>
      </c>
      <c r="F38" s="125">
        <v>0.74305555555555547</v>
      </c>
      <c r="G38" s="124">
        <v>42820</v>
      </c>
      <c r="H38" s="125">
        <v>0.4375</v>
      </c>
      <c r="I38" s="123">
        <v>824</v>
      </c>
      <c r="J38" s="123">
        <v>507</v>
      </c>
      <c r="K38" s="142" t="str">
        <f t="shared" si="7"/>
        <v>G507</v>
      </c>
      <c r="L38" s="123">
        <v>126</v>
      </c>
      <c r="M38" s="142" t="str">
        <f t="shared" si="2"/>
        <v>R126</v>
      </c>
      <c r="N38" s="123">
        <v>550</v>
      </c>
      <c r="O38" s="142" t="str">
        <f t="shared" si="3"/>
        <v>G550</v>
      </c>
      <c r="P38" s="123">
        <v>97</v>
      </c>
      <c r="Q38" s="142" t="str">
        <f t="shared" si="4"/>
        <v>R97</v>
      </c>
      <c r="R38" s="123">
        <v>24.8</v>
      </c>
      <c r="S38" s="123">
        <v>14.1</v>
      </c>
      <c r="T38" s="123">
        <v>24.7</v>
      </c>
      <c r="U38" s="123"/>
      <c r="V38" s="126" t="s">
        <v>2187</v>
      </c>
      <c r="W38" s="126" t="s">
        <v>2234</v>
      </c>
      <c r="X38" s="126" t="s">
        <v>2187</v>
      </c>
      <c r="Y38" s="126" t="s">
        <v>2187</v>
      </c>
      <c r="Z38" s="123">
        <v>4.9000000000000004</v>
      </c>
      <c r="AA38" s="126" t="s">
        <v>2228</v>
      </c>
      <c r="AB38" s="123">
        <v>3.3</v>
      </c>
      <c r="AC38" s="126">
        <v>1</v>
      </c>
      <c r="AD38" s="123"/>
      <c r="AH38" s="123">
        <f t="shared" si="0"/>
        <v>507</v>
      </c>
      <c r="AI38" t="b">
        <f t="shared" si="5"/>
        <v>0</v>
      </c>
      <c r="AJ38" s="123">
        <f t="shared" si="1"/>
        <v>126</v>
      </c>
      <c r="AK38" t="b">
        <f t="shared" si="6"/>
        <v>0</v>
      </c>
    </row>
    <row r="39" spans="1:37">
      <c r="A39" s="121">
        <v>37</v>
      </c>
      <c r="B39" s="122" t="s">
        <v>2176</v>
      </c>
      <c r="C39" s="122" t="s">
        <v>2235</v>
      </c>
      <c r="D39" s="122" t="s">
        <v>2227</v>
      </c>
      <c r="E39" s="124">
        <v>42765</v>
      </c>
      <c r="F39" s="125">
        <v>0.74652777777777779</v>
      </c>
      <c r="G39" s="124">
        <v>42820</v>
      </c>
      <c r="H39" s="125">
        <v>0.375</v>
      </c>
      <c r="I39" s="123">
        <v>825</v>
      </c>
      <c r="J39" s="123">
        <v>359</v>
      </c>
      <c r="K39" s="142" t="str">
        <f t="shared" si="7"/>
        <v>G359</v>
      </c>
      <c r="L39" s="123">
        <v>63</v>
      </c>
      <c r="M39" s="142" t="str">
        <f t="shared" si="2"/>
        <v>R63</v>
      </c>
      <c r="N39" s="123">
        <v>528</v>
      </c>
      <c r="O39" s="142" t="str">
        <f t="shared" si="3"/>
        <v>G528</v>
      </c>
      <c r="P39" s="123">
        <v>89</v>
      </c>
      <c r="Q39" s="142" t="str">
        <f t="shared" si="4"/>
        <v>R89</v>
      </c>
      <c r="R39" s="123">
        <v>24.8</v>
      </c>
      <c r="S39" s="123">
        <v>16.2</v>
      </c>
      <c r="T39" s="123">
        <v>24.3</v>
      </c>
      <c r="U39" s="123">
        <v>22.4</v>
      </c>
      <c r="V39" s="126" t="s">
        <v>2195</v>
      </c>
      <c r="W39" s="126" t="s">
        <v>2236</v>
      </c>
      <c r="X39" s="126" t="s">
        <v>2187</v>
      </c>
      <c r="Y39" s="126" t="s">
        <v>2187</v>
      </c>
      <c r="Z39" s="123">
        <v>27.8</v>
      </c>
      <c r="AA39" s="126" t="s">
        <v>2228</v>
      </c>
      <c r="AB39" s="123">
        <v>8.3000000000000007</v>
      </c>
      <c r="AC39" s="123">
        <v>0</v>
      </c>
      <c r="AD39" s="123"/>
      <c r="AH39" s="123">
        <f t="shared" si="0"/>
        <v>359</v>
      </c>
      <c r="AI39" t="b">
        <f t="shared" si="5"/>
        <v>0</v>
      </c>
      <c r="AJ39" s="123">
        <f t="shared" si="1"/>
        <v>63</v>
      </c>
      <c r="AK39" t="b">
        <f t="shared" si="6"/>
        <v>0</v>
      </c>
    </row>
    <row r="40" spans="1:37">
      <c r="A40" s="121">
        <v>38</v>
      </c>
      <c r="B40" s="122" t="s">
        <v>2176</v>
      </c>
      <c r="C40" s="122" t="s">
        <v>2237</v>
      </c>
      <c r="D40" s="122" t="s">
        <v>2227</v>
      </c>
      <c r="E40" s="124">
        <v>42765</v>
      </c>
      <c r="F40" s="125">
        <v>0.71875</v>
      </c>
      <c r="G40" s="124">
        <v>42820</v>
      </c>
      <c r="H40" s="125">
        <v>0.38194444444444442</v>
      </c>
      <c r="I40" s="123">
        <v>826</v>
      </c>
      <c r="J40" s="123">
        <v>499</v>
      </c>
      <c r="K40" s="142" t="str">
        <f t="shared" si="7"/>
        <v>G499</v>
      </c>
      <c r="L40" s="123">
        <v>87</v>
      </c>
      <c r="M40" s="142" t="str">
        <f t="shared" si="2"/>
        <v>R87</v>
      </c>
      <c r="N40" s="123">
        <v>703</v>
      </c>
      <c r="O40" s="142" t="str">
        <f t="shared" si="3"/>
        <v>G703</v>
      </c>
      <c r="P40" s="129">
        <v>147</v>
      </c>
      <c r="Q40" s="142" t="str">
        <f t="shared" si="4"/>
        <v>R147</v>
      </c>
      <c r="R40" s="129">
        <v>23.2</v>
      </c>
      <c r="S40" s="129">
        <v>20.9</v>
      </c>
      <c r="T40" s="123">
        <v>25</v>
      </c>
      <c r="U40" s="123"/>
      <c r="V40" s="126" t="s">
        <v>2203</v>
      </c>
      <c r="W40" s="126" t="s">
        <v>2238</v>
      </c>
      <c r="X40" s="126" t="s">
        <v>2187</v>
      </c>
      <c r="Y40" s="126"/>
      <c r="Z40" s="123">
        <v>20.399999999999999</v>
      </c>
      <c r="AA40" s="126" t="s">
        <v>2250</v>
      </c>
      <c r="AB40" s="123">
        <v>2</v>
      </c>
      <c r="AC40" s="123">
        <v>0</v>
      </c>
      <c r="AD40" s="123"/>
      <c r="AH40" s="123">
        <f t="shared" si="0"/>
        <v>499</v>
      </c>
      <c r="AI40" t="b">
        <f t="shared" si="5"/>
        <v>0</v>
      </c>
      <c r="AJ40" s="123">
        <f t="shared" si="1"/>
        <v>87</v>
      </c>
      <c r="AK40" t="b">
        <f t="shared" si="6"/>
        <v>0</v>
      </c>
    </row>
    <row r="41" spans="1:37">
      <c r="A41" s="121">
        <v>39</v>
      </c>
      <c r="B41" s="122" t="s">
        <v>2176</v>
      </c>
      <c r="C41" s="122" t="s">
        <v>2239</v>
      </c>
      <c r="D41" s="122" t="s">
        <v>2227</v>
      </c>
      <c r="E41" s="124">
        <v>42765</v>
      </c>
      <c r="F41" s="125">
        <v>0.75</v>
      </c>
      <c r="G41" s="124">
        <v>42820</v>
      </c>
      <c r="H41" s="125">
        <v>0.39930555555555558</v>
      </c>
      <c r="I41" s="123">
        <v>827</v>
      </c>
      <c r="J41" s="123">
        <v>214</v>
      </c>
      <c r="K41" s="142" t="str">
        <f t="shared" si="7"/>
        <v>G214</v>
      </c>
      <c r="L41" s="123">
        <v>437</v>
      </c>
      <c r="M41" s="142" t="str">
        <f t="shared" si="2"/>
        <v>R437</v>
      </c>
      <c r="N41" s="123">
        <v>566</v>
      </c>
      <c r="O41" s="142" t="str">
        <f t="shared" si="3"/>
        <v>G566</v>
      </c>
      <c r="P41" s="123">
        <v>65</v>
      </c>
      <c r="Q41" s="142" t="str">
        <f t="shared" si="4"/>
        <v>R65</v>
      </c>
      <c r="R41" s="123">
        <v>23.7</v>
      </c>
      <c r="S41" s="123">
        <v>26.9</v>
      </c>
      <c r="T41" s="123">
        <v>22.9</v>
      </c>
      <c r="U41" s="123"/>
      <c r="V41" s="126" t="s">
        <v>2187</v>
      </c>
      <c r="W41" s="126" t="s">
        <v>2187</v>
      </c>
      <c r="X41" s="126" t="s">
        <v>2187</v>
      </c>
      <c r="Y41" s="126" t="s">
        <v>2187</v>
      </c>
      <c r="Z41" s="123">
        <v>18</v>
      </c>
      <c r="AA41" s="126" t="s">
        <v>2228</v>
      </c>
      <c r="AB41" s="123">
        <v>2.4</v>
      </c>
      <c r="AC41" s="123">
        <v>1</v>
      </c>
      <c r="AD41" s="123" t="s">
        <v>2240</v>
      </c>
      <c r="AE41" s="92"/>
      <c r="AH41" s="123">
        <f t="shared" si="0"/>
        <v>214</v>
      </c>
      <c r="AI41" t="b">
        <f t="shared" si="5"/>
        <v>0</v>
      </c>
      <c r="AJ41" s="123">
        <f t="shared" si="1"/>
        <v>437</v>
      </c>
      <c r="AK41" t="b">
        <f t="shared" si="6"/>
        <v>0</v>
      </c>
    </row>
    <row r="42" spans="1:37">
      <c r="A42" s="121">
        <v>40</v>
      </c>
      <c r="B42" s="122" t="s">
        <v>2176</v>
      </c>
      <c r="C42" s="122" t="s">
        <v>2241</v>
      </c>
      <c r="D42" s="122" t="s">
        <v>2227</v>
      </c>
      <c r="E42" s="124">
        <v>42765</v>
      </c>
      <c r="F42" s="125">
        <v>0.75347222222222221</v>
      </c>
      <c r="G42" s="124">
        <v>42820</v>
      </c>
      <c r="H42" s="125">
        <v>0.40625</v>
      </c>
      <c r="I42" s="123">
        <v>828</v>
      </c>
      <c r="J42" s="123">
        <v>582</v>
      </c>
      <c r="K42" s="142" t="str">
        <f t="shared" si="7"/>
        <v>G582</v>
      </c>
      <c r="L42" s="123">
        <v>114</v>
      </c>
      <c r="M42" s="142" t="str">
        <f t="shared" si="2"/>
        <v>R114</v>
      </c>
      <c r="N42" s="123">
        <v>619</v>
      </c>
      <c r="O42" s="142" t="str">
        <f t="shared" si="3"/>
        <v>G619</v>
      </c>
      <c r="P42" s="123">
        <v>420</v>
      </c>
      <c r="Q42" s="142" t="str">
        <f t="shared" si="4"/>
        <v>R420</v>
      </c>
      <c r="R42" s="123">
        <v>24.3</v>
      </c>
      <c r="S42" s="123">
        <v>31.9</v>
      </c>
      <c r="T42" s="123">
        <v>23.5</v>
      </c>
      <c r="U42" s="123"/>
      <c r="V42" s="126" t="s">
        <v>2179</v>
      </c>
      <c r="W42" s="126" t="s">
        <v>2179</v>
      </c>
      <c r="X42" s="126" t="s">
        <v>2187</v>
      </c>
      <c r="Y42" s="126"/>
      <c r="Z42" s="123">
        <v>19.3</v>
      </c>
      <c r="AA42" s="123" t="s">
        <v>2228</v>
      </c>
      <c r="AB42" s="123">
        <v>8.6999999999999993</v>
      </c>
      <c r="AC42" s="123">
        <v>0</v>
      </c>
      <c r="AD42" s="123" t="s">
        <v>2242</v>
      </c>
      <c r="AH42" s="123">
        <f t="shared" si="0"/>
        <v>582</v>
      </c>
      <c r="AI42" t="b">
        <f t="shared" si="5"/>
        <v>0</v>
      </c>
      <c r="AJ42" s="123">
        <f t="shared" si="1"/>
        <v>114</v>
      </c>
      <c r="AK42" t="b">
        <f t="shared" si="6"/>
        <v>0</v>
      </c>
    </row>
    <row r="43" spans="1:37">
      <c r="A43" s="121">
        <v>41</v>
      </c>
      <c r="B43" s="122" t="s">
        <v>2176</v>
      </c>
      <c r="C43" s="122" t="s">
        <v>2243</v>
      </c>
      <c r="D43" s="122" t="s">
        <v>2244</v>
      </c>
      <c r="E43" s="124">
        <v>42766</v>
      </c>
      <c r="F43" s="125">
        <v>0.40972222222222227</v>
      </c>
      <c r="G43" s="124">
        <v>42820</v>
      </c>
      <c r="H43" s="125">
        <v>0.52083333333333337</v>
      </c>
      <c r="I43" s="123">
        <v>830</v>
      </c>
      <c r="J43" s="123">
        <v>453</v>
      </c>
      <c r="K43" s="142" t="str">
        <f t="shared" si="7"/>
        <v>G453</v>
      </c>
      <c r="L43" s="123">
        <v>521</v>
      </c>
      <c r="M43" s="142" t="str">
        <f t="shared" si="2"/>
        <v>R521</v>
      </c>
      <c r="N43" s="123">
        <v>626</v>
      </c>
      <c r="O43" s="142" t="str">
        <f t="shared" si="3"/>
        <v>G626</v>
      </c>
      <c r="P43" s="123">
        <v>77</v>
      </c>
      <c r="Q43" s="142" t="str">
        <f t="shared" si="4"/>
        <v>R77</v>
      </c>
      <c r="R43" s="123">
        <v>20.9</v>
      </c>
      <c r="S43" s="123">
        <v>21.9</v>
      </c>
      <c r="T43" s="123">
        <v>28.1</v>
      </c>
      <c r="U43" s="123"/>
      <c r="V43" s="126" t="s">
        <v>2200</v>
      </c>
      <c r="W43" s="126"/>
      <c r="X43" s="126" t="s">
        <v>2187</v>
      </c>
      <c r="Y43" s="126" t="s">
        <v>2187</v>
      </c>
      <c r="Z43" s="123">
        <v>19.100000000000001</v>
      </c>
      <c r="AA43" s="123" t="s">
        <v>2228</v>
      </c>
      <c r="AB43" s="123">
        <v>4</v>
      </c>
      <c r="AC43" s="123">
        <v>0</v>
      </c>
      <c r="AD43" s="123"/>
      <c r="AH43" s="123">
        <f t="shared" si="0"/>
        <v>453</v>
      </c>
      <c r="AI43" t="b">
        <f t="shared" si="5"/>
        <v>0</v>
      </c>
      <c r="AJ43" s="123">
        <f t="shared" si="1"/>
        <v>521</v>
      </c>
      <c r="AK43" t="b">
        <f t="shared" si="6"/>
        <v>0</v>
      </c>
    </row>
    <row r="44" spans="1:37">
      <c r="A44" s="121">
        <v>42</v>
      </c>
      <c r="B44" s="122" t="s">
        <v>2176</v>
      </c>
      <c r="C44" s="122" t="s">
        <v>2245</v>
      </c>
      <c r="D44" s="122" t="s">
        <v>2244</v>
      </c>
      <c r="E44" s="124">
        <v>42766</v>
      </c>
      <c r="F44" s="125">
        <v>0.41319444444444442</v>
      </c>
      <c r="G44" s="124">
        <v>42820</v>
      </c>
      <c r="H44" s="125">
        <v>0.47222222222222227</v>
      </c>
      <c r="I44" s="123">
        <v>831</v>
      </c>
      <c r="J44" s="123">
        <v>764</v>
      </c>
      <c r="K44" s="142" t="str">
        <f t="shared" si="7"/>
        <v>G764</v>
      </c>
      <c r="L44" s="123">
        <v>371</v>
      </c>
      <c r="M44" s="142" t="str">
        <f t="shared" si="2"/>
        <v>R371</v>
      </c>
      <c r="N44" s="123">
        <v>437</v>
      </c>
      <c r="O44" s="142" t="str">
        <f t="shared" si="3"/>
        <v>G437</v>
      </c>
      <c r="P44" s="123">
        <v>81</v>
      </c>
      <c r="Q44" s="142" t="str">
        <f t="shared" si="4"/>
        <v>R81</v>
      </c>
      <c r="R44" s="123">
        <v>20.3</v>
      </c>
      <c r="S44" s="123">
        <v>19</v>
      </c>
      <c r="T44" s="123">
        <v>25.6</v>
      </c>
      <c r="U44" s="123"/>
      <c r="V44" s="123" t="s">
        <v>2179</v>
      </c>
      <c r="W44" s="126"/>
      <c r="X44" s="126"/>
      <c r="Y44" s="126"/>
      <c r="Z44" s="123">
        <v>12.7</v>
      </c>
      <c r="AA44" s="123" t="s">
        <v>2228</v>
      </c>
      <c r="AB44" s="123">
        <v>5.9</v>
      </c>
      <c r="AC44" s="123">
        <v>0</v>
      </c>
      <c r="AD44" s="123" t="s">
        <v>2246</v>
      </c>
      <c r="AH44" s="123">
        <f t="shared" si="0"/>
        <v>764</v>
      </c>
      <c r="AI44" t="b">
        <f t="shared" si="5"/>
        <v>0</v>
      </c>
      <c r="AJ44" s="123">
        <f t="shared" si="1"/>
        <v>371</v>
      </c>
      <c r="AK44" t="b">
        <f t="shared" si="6"/>
        <v>0</v>
      </c>
    </row>
    <row r="45" spans="1:37">
      <c r="A45" s="121">
        <v>43</v>
      </c>
      <c r="B45" s="122" t="s">
        <v>2176</v>
      </c>
      <c r="C45" s="122" t="s">
        <v>2247</v>
      </c>
      <c r="D45" s="122" t="s">
        <v>2244</v>
      </c>
      <c r="E45" s="124">
        <v>42766</v>
      </c>
      <c r="F45" s="125">
        <v>0.41666666666666669</v>
      </c>
      <c r="G45" s="124">
        <v>42820</v>
      </c>
      <c r="H45" s="125">
        <v>0.47916666666666669</v>
      </c>
      <c r="I45" s="123">
        <v>832</v>
      </c>
      <c r="J45" s="123">
        <v>690</v>
      </c>
      <c r="K45" s="142" t="str">
        <f t="shared" si="7"/>
        <v>G690</v>
      </c>
      <c r="L45" s="123">
        <v>376</v>
      </c>
      <c r="M45" s="142" t="str">
        <f t="shared" si="2"/>
        <v>R376</v>
      </c>
      <c r="N45" s="123">
        <v>643</v>
      </c>
      <c r="O45" s="142" t="str">
        <f t="shared" si="3"/>
        <v>G643</v>
      </c>
      <c r="P45" s="123">
        <v>117</v>
      </c>
      <c r="Q45" s="142" t="str">
        <f t="shared" si="4"/>
        <v>R117</v>
      </c>
      <c r="R45" s="123">
        <v>20.9</v>
      </c>
      <c r="S45" s="123">
        <v>18.3</v>
      </c>
      <c r="T45" s="123">
        <v>22.7</v>
      </c>
      <c r="U45" s="123"/>
      <c r="V45" s="123" t="s">
        <v>2206</v>
      </c>
      <c r="W45" s="126" t="s">
        <v>2195</v>
      </c>
      <c r="X45" s="126" t="s">
        <v>2187</v>
      </c>
      <c r="Y45" s="126" t="s">
        <v>2187</v>
      </c>
      <c r="Z45" s="123">
        <v>26.3</v>
      </c>
      <c r="AA45" s="123" t="s">
        <v>2228</v>
      </c>
      <c r="AB45" s="123">
        <v>5</v>
      </c>
      <c r="AC45" s="123">
        <v>0</v>
      </c>
      <c r="AD45" s="123"/>
      <c r="AH45" s="123">
        <f t="shared" si="0"/>
        <v>690</v>
      </c>
      <c r="AI45" t="b">
        <f t="shared" si="5"/>
        <v>0</v>
      </c>
      <c r="AJ45" s="123">
        <f t="shared" si="1"/>
        <v>376</v>
      </c>
      <c r="AK45" t="b">
        <f t="shared" si="6"/>
        <v>0</v>
      </c>
    </row>
    <row r="46" spans="1:37">
      <c r="A46" s="121">
        <v>44</v>
      </c>
      <c r="B46" s="122" t="s">
        <v>2176</v>
      </c>
      <c r="C46" s="122" t="s">
        <v>2248</v>
      </c>
      <c r="D46" s="122" t="s">
        <v>2244</v>
      </c>
      <c r="E46" s="124">
        <v>42766</v>
      </c>
      <c r="F46" s="125">
        <v>0.42708333333333331</v>
      </c>
      <c r="G46" s="124">
        <v>42820</v>
      </c>
      <c r="H46" s="125">
        <v>0.51736111111111105</v>
      </c>
      <c r="I46" s="123">
        <v>1142</v>
      </c>
      <c r="J46" s="123">
        <v>774</v>
      </c>
      <c r="K46" s="142" t="str">
        <f t="shared" si="7"/>
        <v>G774</v>
      </c>
      <c r="L46" s="123">
        <v>166</v>
      </c>
      <c r="M46" s="142" t="str">
        <f t="shared" si="2"/>
        <v>R166</v>
      </c>
      <c r="N46">
        <v>283</v>
      </c>
      <c r="O46" s="142" t="str">
        <f t="shared" si="3"/>
        <v>G283</v>
      </c>
      <c r="P46" s="123">
        <v>6</v>
      </c>
      <c r="Q46" s="142" t="str">
        <f t="shared" si="4"/>
        <v>R6</v>
      </c>
      <c r="R46" s="123">
        <v>20.9</v>
      </c>
      <c r="S46" s="123">
        <v>20.6</v>
      </c>
      <c r="T46" s="123">
        <v>24.4</v>
      </c>
      <c r="U46" s="123"/>
      <c r="V46" s="123" t="s">
        <v>2187</v>
      </c>
      <c r="W46" s="126" t="s">
        <v>2187</v>
      </c>
      <c r="X46" s="126" t="s">
        <v>2187</v>
      </c>
      <c r="Y46" s="126"/>
      <c r="Z46" s="123">
        <v>39.200000000000003</v>
      </c>
      <c r="AA46" s="123" t="s">
        <v>2228</v>
      </c>
      <c r="AB46" s="123">
        <v>2.6</v>
      </c>
      <c r="AC46" s="123">
        <v>0</v>
      </c>
      <c r="AD46" s="123"/>
      <c r="AH46" s="123">
        <f t="shared" si="0"/>
        <v>774</v>
      </c>
      <c r="AI46" t="b">
        <f t="shared" si="5"/>
        <v>0</v>
      </c>
      <c r="AJ46" s="123">
        <f t="shared" si="1"/>
        <v>166</v>
      </c>
      <c r="AK46" t="b">
        <f t="shared" si="6"/>
        <v>0</v>
      </c>
    </row>
    <row r="47" spans="1:37">
      <c r="A47" s="121">
        <v>45</v>
      </c>
      <c r="B47" s="122" t="s">
        <v>2176</v>
      </c>
      <c r="C47" s="122" t="s">
        <v>2249</v>
      </c>
      <c r="D47" s="122" t="s">
        <v>2244</v>
      </c>
      <c r="E47" s="124">
        <v>42766</v>
      </c>
      <c r="F47" s="125">
        <v>0.43055555555555558</v>
      </c>
      <c r="G47" s="124">
        <v>42820</v>
      </c>
      <c r="H47" s="125">
        <v>0.48958333333333331</v>
      </c>
      <c r="I47" s="123">
        <v>1147</v>
      </c>
      <c r="J47" s="123">
        <v>519</v>
      </c>
      <c r="K47" s="142" t="str">
        <f t="shared" si="7"/>
        <v>G519</v>
      </c>
      <c r="L47" s="123">
        <v>469</v>
      </c>
      <c r="M47" s="142" t="str">
        <f t="shared" si="2"/>
        <v>R469</v>
      </c>
      <c r="N47" s="123">
        <v>602</v>
      </c>
      <c r="O47" s="142" t="str">
        <f t="shared" si="3"/>
        <v>G602</v>
      </c>
      <c r="P47" s="123">
        <v>74</v>
      </c>
      <c r="Q47" s="142" t="str">
        <f t="shared" si="4"/>
        <v>R74</v>
      </c>
      <c r="R47" s="123">
        <v>20.100000000000001</v>
      </c>
      <c r="S47" s="123">
        <v>24.4</v>
      </c>
      <c r="T47" s="123">
        <v>24.2</v>
      </c>
      <c r="U47" s="123"/>
      <c r="V47" s="123" t="s">
        <v>2187</v>
      </c>
      <c r="W47" s="126"/>
      <c r="X47" s="126" t="s">
        <v>2187</v>
      </c>
      <c r="Y47" s="126"/>
      <c r="Z47" s="123">
        <v>9.3000000000000007</v>
      </c>
      <c r="AA47" s="123" t="s">
        <v>2250</v>
      </c>
      <c r="AB47" s="123">
        <v>2.2999999999999998</v>
      </c>
      <c r="AC47" s="123">
        <v>0</v>
      </c>
      <c r="AD47" s="123"/>
      <c r="AH47" s="123">
        <f t="shared" si="0"/>
        <v>519</v>
      </c>
      <c r="AI47" t="b">
        <f t="shared" si="5"/>
        <v>0</v>
      </c>
      <c r="AJ47" s="123">
        <f t="shared" si="1"/>
        <v>469</v>
      </c>
      <c r="AK47" t="b">
        <f t="shared" si="6"/>
        <v>0</v>
      </c>
    </row>
    <row r="48" spans="1:37">
      <c r="A48" s="169">
        <v>46</v>
      </c>
      <c r="B48" s="170" t="s">
        <v>2176</v>
      </c>
      <c r="C48" s="170" t="s">
        <v>2251</v>
      </c>
      <c r="D48" s="170" t="s">
        <v>2244</v>
      </c>
      <c r="E48" s="171">
        <v>42766</v>
      </c>
      <c r="F48" s="174">
        <v>0.43402777777777773</v>
      </c>
      <c r="G48" s="171">
        <v>42820</v>
      </c>
      <c r="H48" s="169"/>
      <c r="I48" s="169">
        <v>835</v>
      </c>
      <c r="J48" s="169">
        <v>635</v>
      </c>
      <c r="K48" s="142" t="str">
        <f t="shared" si="7"/>
        <v>G635</v>
      </c>
      <c r="L48" s="169">
        <v>86</v>
      </c>
      <c r="M48" s="142" t="str">
        <f t="shared" si="2"/>
        <v>R86</v>
      </c>
      <c r="N48" s="169">
        <v>427</v>
      </c>
      <c r="O48" s="142" t="str">
        <f t="shared" si="3"/>
        <v>G427</v>
      </c>
      <c r="P48" s="169">
        <v>102</v>
      </c>
      <c r="Q48" s="142" t="str">
        <f t="shared" si="4"/>
        <v>R102</v>
      </c>
      <c r="R48" s="169">
        <v>20.100000000000001</v>
      </c>
      <c r="S48" s="169">
        <v>22.5</v>
      </c>
      <c r="T48" s="169"/>
      <c r="U48" s="169"/>
      <c r="V48" s="169"/>
      <c r="W48" s="172"/>
      <c r="X48" s="172"/>
      <c r="Y48" s="172"/>
      <c r="Z48" s="169"/>
      <c r="AA48" s="169"/>
      <c r="AB48" s="169"/>
      <c r="AC48" s="169"/>
      <c r="AD48" s="169"/>
      <c r="AH48" s="123">
        <f t="shared" si="0"/>
        <v>635</v>
      </c>
      <c r="AI48" t="b">
        <f t="shared" si="5"/>
        <v>0</v>
      </c>
      <c r="AJ48" s="123">
        <f t="shared" si="1"/>
        <v>86</v>
      </c>
      <c r="AK48" t="b">
        <f t="shared" si="6"/>
        <v>0</v>
      </c>
    </row>
    <row r="49" spans="1:37">
      <c r="A49" s="121">
        <v>47</v>
      </c>
      <c r="B49" s="122" t="s">
        <v>2176</v>
      </c>
      <c r="C49" s="122" t="s">
        <v>2252</v>
      </c>
      <c r="D49" s="122" t="s">
        <v>2244</v>
      </c>
      <c r="E49" s="124">
        <v>42766</v>
      </c>
      <c r="F49" s="125">
        <v>0.4375</v>
      </c>
      <c r="G49" s="124">
        <v>42820</v>
      </c>
      <c r="H49" s="125">
        <v>0.50347222222222221</v>
      </c>
      <c r="I49" s="123">
        <v>836</v>
      </c>
      <c r="J49" s="123">
        <v>539</v>
      </c>
      <c r="K49" s="142" t="str">
        <f t="shared" si="7"/>
        <v>G539</v>
      </c>
      <c r="L49" s="123">
        <v>146</v>
      </c>
      <c r="M49" s="142" t="str">
        <f t="shared" si="2"/>
        <v>R146</v>
      </c>
      <c r="N49" s="123">
        <v>512</v>
      </c>
      <c r="O49" s="142" t="str">
        <f t="shared" si="3"/>
        <v>G512</v>
      </c>
      <c r="P49" s="123">
        <v>76</v>
      </c>
      <c r="Q49" s="142" t="str">
        <f t="shared" si="4"/>
        <v>R76</v>
      </c>
      <c r="R49" s="123">
        <v>20.3</v>
      </c>
      <c r="S49" s="123">
        <v>23.7</v>
      </c>
      <c r="T49" s="123">
        <v>24.9</v>
      </c>
      <c r="U49" s="123"/>
      <c r="V49" s="123" t="s">
        <v>2187</v>
      </c>
      <c r="W49" s="126" t="s">
        <v>2206</v>
      </c>
      <c r="X49" s="126" t="s">
        <v>2187</v>
      </c>
      <c r="Y49" s="126"/>
      <c r="Z49" s="123">
        <v>5.2</v>
      </c>
      <c r="AA49" s="123" t="s">
        <v>2228</v>
      </c>
      <c r="AB49" s="123">
        <v>5.2</v>
      </c>
      <c r="AC49" s="123">
        <v>0</v>
      </c>
      <c r="AD49" s="123" t="s">
        <v>2253</v>
      </c>
      <c r="AH49" s="123">
        <f t="shared" si="0"/>
        <v>539</v>
      </c>
      <c r="AI49" t="b">
        <f t="shared" si="5"/>
        <v>0</v>
      </c>
      <c r="AJ49" s="123">
        <f t="shared" si="1"/>
        <v>146</v>
      </c>
      <c r="AK49" t="b">
        <f t="shared" si="6"/>
        <v>0</v>
      </c>
    </row>
    <row r="50" spans="1:37">
      <c r="A50" s="121">
        <v>48</v>
      </c>
      <c r="B50" s="122" t="s">
        <v>2176</v>
      </c>
      <c r="C50" s="122" t="s">
        <v>2254</v>
      </c>
      <c r="D50" s="122" t="s">
        <v>2244</v>
      </c>
      <c r="E50" s="124">
        <v>42766</v>
      </c>
      <c r="F50" s="125">
        <v>0.44097222222222227</v>
      </c>
      <c r="G50" s="124">
        <v>42820</v>
      </c>
      <c r="H50" s="125">
        <v>0.50694444444444442</v>
      </c>
      <c r="I50" s="123">
        <v>837</v>
      </c>
      <c r="J50" s="123">
        <v>679</v>
      </c>
      <c r="K50" s="142" t="str">
        <f t="shared" si="7"/>
        <v>G679</v>
      </c>
      <c r="L50" s="123">
        <v>72</v>
      </c>
      <c r="M50" s="142" t="str">
        <f t="shared" si="2"/>
        <v>R72</v>
      </c>
      <c r="N50" s="123">
        <v>299</v>
      </c>
      <c r="O50" s="142" t="str">
        <f t="shared" si="3"/>
        <v>G299</v>
      </c>
      <c r="P50" s="123">
        <v>107</v>
      </c>
      <c r="Q50" s="142" t="str">
        <f t="shared" si="4"/>
        <v>R107</v>
      </c>
      <c r="R50" s="123">
        <v>20.5</v>
      </c>
      <c r="S50" s="123">
        <v>21.8</v>
      </c>
      <c r="T50" s="123">
        <v>22.8</v>
      </c>
      <c r="U50" s="123"/>
      <c r="V50" s="123" t="s">
        <v>2187</v>
      </c>
      <c r="W50" s="126" t="s">
        <v>2187</v>
      </c>
      <c r="X50" s="126" t="s">
        <v>2187</v>
      </c>
      <c r="Y50" s="126"/>
      <c r="Z50" s="123">
        <v>27.2</v>
      </c>
      <c r="AA50" s="123" t="s">
        <v>2180</v>
      </c>
      <c r="AB50" s="123">
        <v>7.3</v>
      </c>
      <c r="AC50" s="123">
        <v>0</v>
      </c>
      <c r="AD50" s="123"/>
      <c r="AH50" s="123">
        <f t="shared" si="0"/>
        <v>679</v>
      </c>
      <c r="AI50" t="b">
        <f t="shared" si="5"/>
        <v>0</v>
      </c>
      <c r="AJ50" s="123">
        <f t="shared" si="1"/>
        <v>72</v>
      </c>
      <c r="AK50" t="b">
        <f t="shared" si="6"/>
        <v>0</v>
      </c>
    </row>
    <row r="51" spans="1:37">
      <c r="A51" s="121">
        <v>49</v>
      </c>
      <c r="B51" s="122" t="s">
        <v>2176</v>
      </c>
      <c r="C51" s="122" t="s">
        <v>2255</v>
      </c>
      <c r="D51" s="122" t="s">
        <v>2256</v>
      </c>
      <c r="E51" s="124">
        <v>42766</v>
      </c>
      <c r="F51" s="125">
        <v>0.4513888888888889</v>
      </c>
      <c r="G51" s="124">
        <v>42820</v>
      </c>
      <c r="H51" s="125">
        <v>0.625</v>
      </c>
      <c r="I51" s="123">
        <v>838</v>
      </c>
      <c r="J51" s="123">
        <v>346</v>
      </c>
      <c r="K51" s="142" t="str">
        <f t="shared" si="7"/>
        <v>G346</v>
      </c>
      <c r="L51" s="123">
        <v>28</v>
      </c>
      <c r="M51" s="142" t="str">
        <f t="shared" si="2"/>
        <v>R28</v>
      </c>
      <c r="N51" s="123">
        <v>739</v>
      </c>
      <c r="O51" s="142" t="str">
        <f t="shared" si="3"/>
        <v>G739</v>
      </c>
      <c r="P51" s="123">
        <v>155</v>
      </c>
      <c r="Q51" s="142" t="str">
        <f t="shared" si="4"/>
        <v>R155</v>
      </c>
      <c r="R51" s="123">
        <v>22</v>
      </c>
      <c r="S51" s="123">
        <v>26.2</v>
      </c>
      <c r="T51" s="123">
        <v>31.1</v>
      </c>
      <c r="U51" s="123"/>
      <c r="V51" s="123" t="s">
        <v>2187</v>
      </c>
      <c r="W51" s="126" t="s">
        <v>2206</v>
      </c>
      <c r="X51" s="126" t="s">
        <v>2187</v>
      </c>
      <c r="Y51" s="126" t="s">
        <v>2187</v>
      </c>
      <c r="Z51" s="123">
        <v>36</v>
      </c>
      <c r="AA51" s="123" t="s">
        <v>2180</v>
      </c>
      <c r="AB51" s="123">
        <v>10.4</v>
      </c>
      <c r="AC51" s="123">
        <v>1</v>
      </c>
      <c r="AD51" s="123" t="s">
        <v>2253</v>
      </c>
      <c r="AH51" s="123">
        <f t="shared" si="0"/>
        <v>346</v>
      </c>
      <c r="AI51" t="b">
        <f t="shared" si="5"/>
        <v>0</v>
      </c>
      <c r="AJ51" s="123">
        <f t="shared" si="1"/>
        <v>28</v>
      </c>
      <c r="AK51" t="b">
        <f t="shared" si="6"/>
        <v>0</v>
      </c>
    </row>
    <row r="52" spans="1:37">
      <c r="A52" s="121">
        <v>50</v>
      </c>
      <c r="B52" s="122" t="s">
        <v>2176</v>
      </c>
      <c r="C52" s="122" t="s">
        <v>2257</v>
      </c>
      <c r="D52" s="122" t="s">
        <v>2256</v>
      </c>
      <c r="E52" s="124">
        <v>42766</v>
      </c>
      <c r="F52" s="125">
        <v>0.4548611111111111</v>
      </c>
      <c r="G52" s="124">
        <v>42820</v>
      </c>
      <c r="H52" s="123"/>
      <c r="I52" s="123">
        <v>839</v>
      </c>
      <c r="J52" s="123">
        <v>418</v>
      </c>
      <c r="K52" s="142" t="str">
        <f t="shared" si="7"/>
        <v>G418</v>
      </c>
      <c r="L52" s="123">
        <v>5</v>
      </c>
      <c r="M52" s="142" t="str">
        <f t="shared" si="2"/>
        <v>R5</v>
      </c>
      <c r="N52" s="123">
        <v>559</v>
      </c>
      <c r="O52" s="142" t="str">
        <f t="shared" si="3"/>
        <v>G559</v>
      </c>
      <c r="P52" s="123">
        <v>98</v>
      </c>
      <c r="Q52" s="142" t="str">
        <f t="shared" si="4"/>
        <v>R98</v>
      </c>
      <c r="R52" s="123">
        <v>22.4</v>
      </c>
      <c r="S52" s="123">
        <v>31.4</v>
      </c>
      <c r="T52" s="123"/>
      <c r="U52" s="123"/>
      <c r="V52" s="123"/>
      <c r="W52" s="126"/>
      <c r="X52" s="126"/>
      <c r="Y52" s="126"/>
      <c r="Z52" s="123">
        <v>22.5</v>
      </c>
      <c r="AA52" s="123" t="s">
        <v>2180</v>
      </c>
      <c r="AB52" s="123">
        <v>10</v>
      </c>
      <c r="AC52" s="123">
        <v>1</v>
      </c>
      <c r="AD52" s="123"/>
      <c r="AH52" s="123">
        <f t="shared" si="0"/>
        <v>418</v>
      </c>
      <c r="AI52" t="b">
        <f t="shared" si="5"/>
        <v>0</v>
      </c>
      <c r="AJ52" s="123">
        <f t="shared" si="1"/>
        <v>5</v>
      </c>
      <c r="AK52" t="b">
        <f t="shared" si="6"/>
        <v>0</v>
      </c>
    </row>
    <row r="53" spans="1:37">
      <c r="A53" s="121">
        <v>51</v>
      </c>
      <c r="B53" s="122" t="s">
        <v>2176</v>
      </c>
      <c r="C53" s="122" t="s">
        <v>2258</v>
      </c>
      <c r="D53" s="122" t="s">
        <v>2256</v>
      </c>
      <c r="E53" s="124">
        <v>42766</v>
      </c>
      <c r="F53" s="125">
        <v>0.45833333333333331</v>
      </c>
      <c r="G53" s="124">
        <v>42820</v>
      </c>
      <c r="H53" s="125">
        <v>0.63888888888888895</v>
      </c>
      <c r="I53" s="123">
        <v>840</v>
      </c>
      <c r="J53" s="123">
        <v>548</v>
      </c>
      <c r="K53" s="142" t="str">
        <f t="shared" si="7"/>
        <v>G548</v>
      </c>
      <c r="L53" s="123">
        <v>85</v>
      </c>
      <c r="M53" s="142" t="str">
        <f t="shared" si="2"/>
        <v>R85</v>
      </c>
      <c r="N53" s="123">
        <v>856</v>
      </c>
      <c r="O53" s="142" t="str">
        <f t="shared" si="3"/>
        <v>G856</v>
      </c>
      <c r="P53" s="123">
        <v>29</v>
      </c>
      <c r="Q53" s="142" t="str">
        <f t="shared" si="4"/>
        <v>R29</v>
      </c>
      <c r="R53" s="123">
        <v>22.8</v>
      </c>
      <c r="S53" s="123">
        <v>20.2</v>
      </c>
      <c r="T53" s="123">
        <v>32</v>
      </c>
      <c r="U53" s="123"/>
      <c r="V53" s="123" t="s">
        <v>2187</v>
      </c>
      <c r="W53" s="126" t="s">
        <v>2187</v>
      </c>
      <c r="X53" s="126" t="s">
        <v>2187</v>
      </c>
      <c r="Y53" s="126" t="s">
        <v>2187</v>
      </c>
      <c r="Z53" s="123">
        <v>18</v>
      </c>
      <c r="AA53" s="123" t="s">
        <v>2250</v>
      </c>
      <c r="AB53" s="123">
        <v>3</v>
      </c>
      <c r="AC53" s="123">
        <v>0</v>
      </c>
      <c r="AD53" s="123"/>
      <c r="AH53" s="123">
        <f t="shared" si="0"/>
        <v>548</v>
      </c>
      <c r="AI53" t="b">
        <f t="shared" si="5"/>
        <v>0</v>
      </c>
      <c r="AJ53" s="123">
        <f t="shared" si="1"/>
        <v>85</v>
      </c>
      <c r="AK53" t="b">
        <f t="shared" si="6"/>
        <v>0</v>
      </c>
    </row>
    <row r="54" spans="1:37">
      <c r="A54" s="121">
        <v>52</v>
      </c>
      <c r="B54" s="122" t="s">
        <v>2176</v>
      </c>
      <c r="C54" s="122" t="s">
        <v>2259</v>
      </c>
      <c r="D54" s="122" t="s">
        <v>2256</v>
      </c>
      <c r="E54" s="124">
        <v>42766</v>
      </c>
      <c r="F54" s="125">
        <v>0.46180555555555558</v>
      </c>
      <c r="G54" s="124">
        <v>42820</v>
      </c>
      <c r="H54" s="125">
        <v>0.64583333333333337</v>
      </c>
      <c r="I54" s="123">
        <v>841</v>
      </c>
      <c r="J54" s="123">
        <v>638</v>
      </c>
      <c r="K54" s="142" t="str">
        <f t="shared" si="7"/>
        <v>G638</v>
      </c>
      <c r="L54" s="123">
        <v>513</v>
      </c>
      <c r="M54" s="142" t="str">
        <f t="shared" si="2"/>
        <v>R513</v>
      </c>
      <c r="N54" s="123">
        <v>599</v>
      </c>
      <c r="O54" s="142" t="str">
        <f t="shared" si="3"/>
        <v>G599</v>
      </c>
      <c r="P54" s="123">
        <v>312</v>
      </c>
      <c r="Q54" s="142" t="str">
        <f t="shared" si="4"/>
        <v>R312</v>
      </c>
      <c r="R54" s="123">
        <v>22.2</v>
      </c>
      <c r="S54" s="123">
        <v>29.8</v>
      </c>
      <c r="T54" s="123">
        <v>29.4</v>
      </c>
      <c r="U54" s="123"/>
      <c r="V54" s="123" t="s">
        <v>2206</v>
      </c>
      <c r="W54" s="126" t="s">
        <v>2179</v>
      </c>
      <c r="X54" s="126" t="s">
        <v>2187</v>
      </c>
      <c r="Y54" s="126" t="s">
        <v>2187</v>
      </c>
      <c r="Z54" s="123">
        <v>67</v>
      </c>
      <c r="AA54" s="123" t="s">
        <v>2180</v>
      </c>
      <c r="AB54" s="123">
        <v>13.4</v>
      </c>
      <c r="AC54" s="123">
        <v>1</v>
      </c>
      <c r="AD54" s="123" t="s">
        <v>2253</v>
      </c>
      <c r="AH54" s="123">
        <f t="shared" si="0"/>
        <v>638</v>
      </c>
      <c r="AI54" t="b">
        <f t="shared" si="5"/>
        <v>0</v>
      </c>
      <c r="AJ54" s="123">
        <f t="shared" si="1"/>
        <v>513</v>
      </c>
      <c r="AK54" t="b">
        <f t="shared" si="6"/>
        <v>0</v>
      </c>
    </row>
    <row r="55" spans="1:37">
      <c r="A55" s="169">
        <v>53</v>
      </c>
      <c r="B55" s="170" t="s">
        <v>2176</v>
      </c>
      <c r="C55" s="170" t="s">
        <v>2260</v>
      </c>
      <c r="D55" s="170" t="s">
        <v>2256</v>
      </c>
      <c r="E55" s="171">
        <v>42766</v>
      </c>
      <c r="F55" s="174">
        <v>0.46527777777777773</v>
      </c>
      <c r="G55" s="171">
        <v>42820</v>
      </c>
      <c r="H55" s="169"/>
      <c r="I55" s="169">
        <v>842</v>
      </c>
      <c r="J55" s="169">
        <v>426</v>
      </c>
      <c r="K55" s="142" t="str">
        <f t="shared" si="7"/>
        <v>G426</v>
      </c>
      <c r="L55" s="169">
        <v>399</v>
      </c>
      <c r="M55" s="142" t="str">
        <f t="shared" si="2"/>
        <v>R399</v>
      </c>
      <c r="N55" s="169">
        <v>683</v>
      </c>
      <c r="O55" s="142" t="str">
        <f t="shared" si="3"/>
        <v>G683</v>
      </c>
      <c r="P55" s="169">
        <v>113</v>
      </c>
      <c r="Q55" s="142" t="str">
        <f t="shared" si="4"/>
        <v>R113</v>
      </c>
      <c r="R55" s="169">
        <v>22.2</v>
      </c>
      <c r="S55" s="169">
        <v>20.2</v>
      </c>
      <c r="T55" s="169"/>
      <c r="U55" s="169"/>
      <c r="V55" s="169"/>
      <c r="W55" s="172"/>
      <c r="X55" s="172"/>
      <c r="Y55" s="172"/>
      <c r="Z55" s="169"/>
      <c r="AA55" s="169"/>
      <c r="AB55" s="169"/>
      <c r="AC55" s="169"/>
      <c r="AD55" s="169"/>
      <c r="AH55" s="123">
        <f t="shared" si="0"/>
        <v>426</v>
      </c>
      <c r="AI55" t="b">
        <f t="shared" si="5"/>
        <v>0</v>
      </c>
      <c r="AJ55" s="123">
        <f t="shared" si="1"/>
        <v>399</v>
      </c>
      <c r="AK55" t="b">
        <f t="shared" si="6"/>
        <v>0</v>
      </c>
    </row>
    <row r="56" spans="1:37">
      <c r="A56" s="169">
        <v>54</v>
      </c>
      <c r="B56" s="170" t="s">
        <v>2176</v>
      </c>
      <c r="C56" s="170" t="s">
        <v>2261</v>
      </c>
      <c r="D56" s="170" t="s">
        <v>2256</v>
      </c>
      <c r="E56" s="171">
        <v>42766</v>
      </c>
      <c r="F56" s="174">
        <v>0.46875</v>
      </c>
      <c r="G56" s="171">
        <v>42820</v>
      </c>
      <c r="H56" s="169"/>
      <c r="I56" s="169">
        <v>843</v>
      </c>
      <c r="J56" s="169">
        <v>589</v>
      </c>
      <c r="K56" s="142" t="str">
        <f t="shared" si="7"/>
        <v>G589</v>
      </c>
      <c r="L56" s="169">
        <v>400</v>
      </c>
      <c r="M56" s="142" t="str">
        <f t="shared" si="2"/>
        <v>R400</v>
      </c>
      <c r="N56" s="169">
        <v>288</v>
      </c>
      <c r="O56" s="142" t="str">
        <f t="shared" si="3"/>
        <v>G288</v>
      </c>
      <c r="P56" s="169">
        <v>441</v>
      </c>
      <c r="Q56" s="142" t="str">
        <f t="shared" si="4"/>
        <v>R441</v>
      </c>
      <c r="R56" s="169">
        <v>22.2</v>
      </c>
      <c r="S56" s="169">
        <v>30.1</v>
      </c>
      <c r="T56" s="169"/>
      <c r="U56" s="169"/>
      <c r="V56" s="169"/>
      <c r="W56" s="172"/>
      <c r="X56" s="172"/>
      <c r="Y56" s="172"/>
      <c r="Z56" s="169"/>
      <c r="AA56" s="169"/>
      <c r="AB56" s="169"/>
      <c r="AC56" s="169"/>
      <c r="AD56" s="169"/>
      <c r="AH56" s="123">
        <f t="shared" si="0"/>
        <v>589</v>
      </c>
      <c r="AI56" t="b">
        <f t="shared" si="5"/>
        <v>0</v>
      </c>
      <c r="AJ56" s="123">
        <f t="shared" si="1"/>
        <v>400</v>
      </c>
      <c r="AK56" t="b">
        <f t="shared" si="6"/>
        <v>0</v>
      </c>
    </row>
    <row r="57" spans="1:37">
      <c r="A57" s="121">
        <v>55</v>
      </c>
      <c r="B57" s="122" t="s">
        <v>2176</v>
      </c>
      <c r="C57" s="122" t="s">
        <v>2262</v>
      </c>
      <c r="D57" s="122" t="s">
        <v>2256</v>
      </c>
      <c r="E57" s="124">
        <v>42766</v>
      </c>
      <c r="F57" s="125">
        <v>0.47222222222222227</v>
      </c>
      <c r="G57" s="124">
        <v>42820</v>
      </c>
      <c r="H57" s="125">
        <v>0.63194444444444442</v>
      </c>
      <c r="I57" s="123">
        <v>844</v>
      </c>
      <c r="J57" s="123">
        <v>622</v>
      </c>
      <c r="K57" s="142" t="str">
        <f t="shared" si="7"/>
        <v>G622</v>
      </c>
      <c r="L57">
        <v>19</v>
      </c>
      <c r="M57" s="142" t="str">
        <f t="shared" si="2"/>
        <v>R19</v>
      </c>
      <c r="N57" s="123">
        <v>616</v>
      </c>
      <c r="O57" s="142" t="str">
        <f t="shared" si="3"/>
        <v>G616</v>
      </c>
      <c r="P57" t="s">
        <v>2498</v>
      </c>
      <c r="Q57" s="142" t="str">
        <f t="shared" si="4"/>
        <v>R54b</v>
      </c>
      <c r="R57" s="123">
        <v>22.1</v>
      </c>
      <c r="S57" s="123">
        <v>33</v>
      </c>
      <c r="T57" s="123">
        <v>29.7</v>
      </c>
      <c r="U57" s="123"/>
      <c r="V57" s="123"/>
      <c r="W57" s="126" t="s">
        <v>2179</v>
      </c>
      <c r="X57" s="126" t="s">
        <v>2187</v>
      </c>
      <c r="Y57" s="126"/>
      <c r="Z57" s="123">
        <v>45</v>
      </c>
      <c r="AA57" s="123" t="s">
        <v>2180</v>
      </c>
      <c r="AB57" s="123">
        <v>15.8</v>
      </c>
      <c r="AC57" s="123">
        <v>1</v>
      </c>
      <c r="AD57" s="123"/>
      <c r="AH57" s="123">
        <f t="shared" si="0"/>
        <v>622</v>
      </c>
      <c r="AI57" t="b">
        <f t="shared" si="5"/>
        <v>0</v>
      </c>
      <c r="AJ57" s="129">
        <f t="shared" si="1"/>
        <v>19</v>
      </c>
      <c r="AK57" s="113" t="b">
        <f t="shared" si="6"/>
        <v>0</v>
      </c>
    </row>
    <row r="58" spans="1:37">
      <c r="A58" s="121">
        <v>56</v>
      </c>
      <c r="B58" s="122" t="s">
        <v>2176</v>
      </c>
      <c r="C58" s="122" t="s">
        <v>2263</v>
      </c>
      <c r="D58" s="122" t="s">
        <v>2256</v>
      </c>
      <c r="E58" s="124">
        <v>42766</v>
      </c>
      <c r="F58" s="125">
        <v>0.47222222222222227</v>
      </c>
      <c r="G58" s="124">
        <v>42820</v>
      </c>
      <c r="H58" s="125">
        <v>0.65625</v>
      </c>
      <c r="I58" s="123">
        <v>845</v>
      </c>
      <c r="J58" s="178">
        <v>538</v>
      </c>
      <c r="K58" s="142" t="str">
        <f t="shared" si="7"/>
        <v>G538</v>
      </c>
      <c r="L58" s="123">
        <v>60</v>
      </c>
      <c r="M58" s="142" t="str">
        <f t="shared" si="2"/>
        <v>R60</v>
      </c>
      <c r="N58" s="123">
        <v>557</v>
      </c>
      <c r="O58" s="142" t="str">
        <f t="shared" si="3"/>
        <v>G557</v>
      </c>
      <c r="P58" s="123">
        <v>58</v>
      </c>
      <c r="Q58" s="142" t="str">
        <f t="shared" si="4"/>
        <v>R58</v>
      </c>
      <c r="R58" s="123">
        <v>22</v>
      </c>
      <c r="S58" s="123">
        <v>29.5</v>
      </c>
      <c r="T58" s="92">
        <v>33.200000000000003</v>
      </c>
      <c r="U58" s="123"/>
      <c r="V58" s="123" t="s">
        <v>2200</v>
      </c>
      <c r="W58" s="126" t="s">
        <v>2195</v>
      </c>
      <c r="X58" s="126" t="s">
        <v>2187</v>
      </c>
      <c r="Y58" s="126"/>
      <c r="Z58" s="123">
        <v>30.8</v>
      </c>
      <c r="AA58" s="123" t="s">
        <v>2180</v>
      </c>
      <c r="AB58" s="123">
        <v>15.4</v>
      </c>
      <c r="AC58" s="123">
        <v>0</v>
      </c>
      <c r="AD58" s="123"/>
      <c r="AH58" s="165">
        <f t="shared" si="0"/>
        <v>538</v>
      </c>
      <c r="AI58" s="113" t="b">
        <f t="shared" si="5"/>
        <v>0</v>
      </c>
      <c r="AJ58" s="123">
        <f t="shared" si="1"/>
        <v>60</v>
      </c>
      <c r="AK58" t="b">
        <f t="shared" si="6"/>
        <v>0</v>
      </c>
    </row>
    <row r="59" spans="1:37">
      <c r="A59" s="121">
        <v>57</v>
      </c>
      <c r="B59" s="122" t="s">
        <v>2176</v>
      </c>
      <c r="C59" s="131" t="s">
        <v>2264</v>
      </c>
      <c r="D59" s="122" t="s">
        <v>2265</v>
      </c>
      <c r="E59" s="124">
        <v>42766</v>
      </c>
      <c r="F59" s="125">
        <v>0.47916666666666669</v>
      </c>
      <c r="G59" s="124">
        <v>42820</v>
      </c>
      <c r="H59" s="125">
        <v>0.59722222222222221</v>
      </c>
      <c r="I59" s="123">
        <v>1150</v>
      </c>
      <c r="J59">
        <v>546</v>
      </c>
      <c r="K59" s="142" t="str">
        <f t="shared" si="7"/>
        <v>G546</v>
      </c>
      <c r="L59" s="123">
        <v>161</v>
      </c>
      <c r="M59" s="142" t="str">
        <f t="shared" si="2"/>
        <v>R161</v>
      </c>
      <c r="N59" s="123">
        <v>618</v>
      </c>
      <c r="O59" s="142" t="str">
        <f t="shared" si="3"/>
        <v>G618</v>
      </c>
      <c r="P59" s="123">
        <v>435</v>
      </c>
      <c r="Q59" s="142" t="str">
        <f t="shared" si="4"/>
        <v>R435</v>
      </c>
      <c r="R59" s="123">
        <v>21.7</v>
      </c>
      <c r="S59" s="123">
        <v>31.6</v>
      </c>
      <c r="T59" s="123">
        <v>32.1</v>
      </c>
      <c r="U59" s="123"/>
      <c r="V59" s="123" t="s">
        <v>2187</v>
      </c>
      <c r="W59" s="126" t="s">
        <v>2206</v>
      </c>
      <c r="X59" s="126" t="s">
        <v>2187</v>
      </c>
      <c r="Y59" s="126" t="s">
        <v>2187</v>
      </c>
      <c r="Z59" s="123">
        <v>28.4</v>
      </c>
      <c r="AA59" s="123" t="s">
        <v>2250</v>
      </c>
      <c r="AB59" s="123">
        <v>3.3</v>
      </c>
      <c r="AC59" s="123">
        <v>1</v>
      </c>
      <c r="AD59" s="123" t="s">
        <v>2266</v>
      </c>
      <c r="AH59" s="165">
        <f t="shared" si="0"/>
        <v>546</v>
      </c>
      <c r="AI59" s="113" t="b">
        <f t="shared" si="5"/>
        <v>0</v>
      </c>
      <c r="AJ59" s="123">
        <f t="shared" si="1"/>
        <v>161</v>
      </c>
      <c r="AK59" t="b">
        <f t="shared" si="6"/>
        <v>0</v>
      </c>
    </row>
    <row r="60" spans="1:37">
      <c r="A60" s="121">
        <v>58</v>
      </c>
      <c r="B60" s="122" t="s">
        <v>2176</v>
      </c>
      <c r="C60" s="131" t="s">
        <v>2267</v>
      </c>
      <c r="D60" s="122" t="s">
        <v>2265</v>
      </c>
      <c r="E60" s="124">
        <v>42766</v>
      </c>
      <c r="F60" s="125">
        <v>0.4826388888888889</v>
      </c>
      <c r="G60" s="124">
        <v>42820</v>
      </c>
      <c r="H60" s="125">
        <v>0.56597222222222221</v>
      </c>
      <c r="I60" s="123">
        <v>1148</v>
      </c>
      <c r="J60" s="123">
        <v>513</v>
      </c>
      <c r="K60" s="142" t="str">
        <f t="shared" si="7"/>
        <v>G513</v>
      </c>
      <c r="L60" s="123">
        <v>48</v>
      </c>
      <c r="M60" s="142" t="str">
        <f t="shared" si="2"/>
        <v>R48</v>
      </c>
      <c r="N60" s="123">
        <v>593</v>
      </c>
      <c r="O60" s="142" t="str">
        <f t="shared" si="3"/>
        <v>G593</v>
      </c>
      <c r="P60" s="123">
        <v>31</v>
      </c>
      <c r="Q60" s="142" t="str">
        <f t="shared" si="4"/>
        <v>R31</v>
      </c>
      <c r="R60" s="123">
        <v>22.6</v>
      </c>
      <c r="S60" s="123">
        <v>31.6</v>
      </c>
      <c r="T60" s="123">
        <v>30.8</v>
      </c>
      <c r="U60" s="123"/>
      <c r="V60" s="123" t="s">
        <v>2200</v>
      </c>
      <c r="W60" s="126" t="s">
        <v>2179</v>
      </c>
      <c r="X60" s="126" t="s">
        <v>2187</v>
      </c>
      <c r="Y60" s="126"/>
      <c r="Z60" s="123">
        <v>54.4</v>
      </c>
      <c r="AA60" s="123" t="s">
        <v>2250</v>
      </c>
      <c r="AB60" s="123">
        <v>1.4</v>
      </c>
      <c r="AC60" s="123">
        <v>0</v>
      </c>
      <c r="AD60" s="123"/>
      <c r="AH60" s="123">
        <f t="shared" si="0"/>
        <v>513</v>
      </c>
      <c r="AI60" t="b">
        <f t="shared" si="5"/>
        <v>0</v>
      </c>
      <c r="AJ60" s="123">
        <f t="shared" si="1"/>
        <v>48</v>
      </c>
      <c r="AK60" t="b">
        <f t="shared" si="6"/>
        <v>0</v>
      </c>
    </row>
    <row r="61" spans="1:37">
      <c r="A61" s="121">
        <v>59</v>
      </c>
      <c r="B61" s="122" t="s">
        <v>2176</v>
      </c>
      <c r="C61" s="131" t="s">
        <v>2268</v>
      </c>
      <c r="D61" s="122" t="s">
        <v>2265</v>
      </c>
      <c r="E61" s="124">
        <v>42766</v>
      </c>
      <c r="F61" s="125">
        <v>0.4861111111111111</v>
      </c>
      <c r="G61" s="124">
        <v>42820</v>
      </c>
      <c r="H61" s="125">
        <v>0.60416666666666663</v>
      </c>
      <c r="I61" s="123">
        <v>848</v>
      </c>
      <c r="J61" s="123">
        <v>489</v>
      </c>
      <c r="K61" s="142" t="str">
        <f t="shared" si="7"/>
        <v>G489</v>
      </c>
      <c r="L61" s="123">
        <v>23</v>
      </c>
      <c r="M61" s="142" t="str">
        <f t="shared" si="2"/>
        <v>R23</v>
      </c>
      <c r="N61" s="123">
        <v>600</v>
      </c>
      <c r="O61" s="142" t="str">
        <f t="shared" si="3"/>
        <v>G600</v>
      </c>
      <c r="P61" s="123">
        <v>120</v>
      </c>
      <c r="Q61" s="142" t="str">
        <f t="shared" si="4"/>
        <v>R120</v>
      </c>
      <c r="R61" s="123">
        <v>22.4</v>
      </c>
      <c r="S61" s="123">
        <v>27.9</v>
      </c>
      <c r="T61" s="123">
        <v>31.7</v>
      </c>
      <c r="U61" s="123"/>
      <c r="V61" s="123"/>
      <c r="W61" s="126"/>
      <c r="X61" s="126"/>
      <c r="Y61" s="126"/>
      <c r="Z61" s="123">
        <v>46</v>
      </c>
      <c r="AA61" s="123" t="s">
        <v>2250</v>
      </c>
      <c r="AB61" s="123">
        <v>3.3</v>
      </c>
      <c r="AC61" s="123">
        <v>0</v>
      </c>
      <c r="AD61" s="123"/>
      <c r="AH61" s="123">
        <f t="shared" si="0"/>
        <v>489</v>
      </c>
      <c r="AI61" t="b">
        <f t="shared" si="5"/>
        <v>0</v>
      </c>
      <c r="AJ61" s="123">
        <f t="shared" si="1"/>
        <v>23</v>
      </c>
      <c r="AK61" t="b">
        <f t="shared" si="6"/>
        <v>0</v>
      </c>
    </row>
    <row r="62" spans="1:37">
      <c r="A62" s="121">
        <v>60</v>
      </c>
      <c r="B62" s="122" t="s">
        <v>2176</v>
      </c>
      <c r="C62" s="131" t="s">
        <v>2269</v>
      </c>
      <c r="D62" s="122" t="s">
        <v>2265</v>
      </c>
      <c r="E62" s="124">
        <v>42766</v>
      </c>
      <c r="F62" s="125">
        <v>0.48958333333333331</v>
      </c>
      <c r="G62" s="124">
        <v>42820</v>
      </c>
      <c r="H62" s="125">
        <v>0.57638888888888895</v>
      </c>
      <c r="I62" s="123">
        <v>849</v>
      </c>
      <c r="J62" s="123">
        <v>633</v>
      </c>
      <c r="K62" s="142" t="str">
        <f t="shared" si="7"/>
        <v>G633</v>
      </c>
      <c r="L62" s="123">
        <v>78</v>
      </c>
      <c r="M62" s="142" t="str">
        <f t="shared" si="2"/>
        <v>R78</v>
      </c>
      <c r="N62" s="123">
        <v>535</v>
      </c>
      <c r="O62" s="142" t="str">
        <f t="shared" si="3"/>
        <v>G535</v>
      </c>
      <c r="P62" s="123">
        <v>390</v>
      </c>
      <c r="Q62" s="142" t="str">
        <f t="shared" si="4"/>
        <v>R390</v>
      </c>
      <c r="R62" s="123">
        <v>23.5</v>
      </c>
      <c r="S62" s="123">
        <v>22.5</v>
      </c>
      <c r="T62" s="123">
        <v>33.700000000000003</v>
      </c>
      <c r="U62" s="123"/>
      <c r="V62" s="123" t="s">
        <v>2187</v>
      </c>
      <c r="W62" s="126"/>
      <c r="X62" s="126"/>
      <c r="Y62" s="126" t="s">
        <v>2179</v>
      </c>
      <c r="Z62" s="123">
        <v>10.199999999999999</v>
      </c>
      <c r="AA62" s="123" t="s">
        <v>2250</v>
      </c>
      <c r="AB62" s="123">
        <v>2.4</v>
      </c>
      <c r="AC62" s="123">
        <v>0</v>
      </c>
      <c r="AD62" s="123" t="s">
        <v>2270</v>
      </c>
      <c r="AH62" s="123">
        <f t="shared" si="0"/>
        <v>633</v>
      </c>
      <c r="AI62" t="b">
        <f t="shared" si="5"/>
        <v>0</v>
      </c>
      <c r="AJ62" s="123">
        <f t="shared" si="1"/>
        <v>78</v>
      </c>
      <c r="AK62" t="b">
        <f t="shared" si="6"/>
        <v>0</v>
      </c>
    </row>
    <row r="63" spans="1:37">
      <c r="A63" s="121">
        <v>61</v>
      </c>
      <c r="B63" s="122" t="s">
        <v>2176</v>
      </c>
      <c r="C63" s="131" t="s">
        <v>2271</v>
      </c>
      <c r="D63" s="122" t="s">
        <v>2265</v>
      </c>
      <c r="E63" s="124">
        <v>42766</v>
      </c>
      <c r="F63" s="125">
        <v>0.49305555555555558</v>
      </c>
      <c r="G63" s="124">
        <v>42820</v>
      </c>
      <c r="H63" s="125">
        <v>0.58333333333333337</v>
      </c>
      <c r="I63" s="123">
        <v>1149</v>
      </c>
      <c r="J63" s="123">
        <v>541</v>
      </c>
      <c r="K63" s="142" t="str">
        <f t="shared" si="7"/>
        <v>G541</v>
      </c>
      <c r="L63" s="123">
        <v>42</v>
      </c>
      <c r="M63" s="142" t="str">
        <f t="shared" si="2"/>
        <v>R42</v>
      </c>
      <c r="N63" s="123">
        <v>391</v>
      </c>
      <c r="O63" s="142" t="str">
        <f t="shared" si="3"/>
        <v>G391</v>
      </c>
      <c r="P63" s="123">
        <v>143</v>
      </c>
      <c r="Q63" s="142" t="str">
        <f t="shared" si="4"/>
        <v>R143</v>
      </c>
      <c r="R63" s="123">
        <v>22.7</v>
      </c>
      <c r="S63" s="123">
        <v>20.399999999999999</v>
      </c>
      <c r="T63" s="123">
        <v>32.200000000000003</v>
      </c>
      <c r="U63" s="123"/>
      <c r="V63" s="123" t="s">
        <v>2195</v>
      </c>
      <c r="W63" s="126" t="s">
        <v>2195</v>
      </c>
      <c r="X63" s="126" t="s">
        <v>2187</v>
      </c>
      <c r="Y63" s="126"/>
      <c r="Z63" s="123">
        <v>34.200000000000003</v>
      </c>
      <c r="AA63" s="123" t="s">
        <v>2250</v>
      </c>
      <c r="AB63" s="123">
        <v>5.6</v>
      </c>
      <c r="AC63" s="123">
        <v>0</v>
      </c>
      <c r="AD63" s="123"/>
      <c r="AH63" s="123">
        <f t="shared" si="0"/>
        <v>541</v>
      </c>
      <c r="AI63" t="b">
        <f t="shared" si="5"/>
        <v>0</v>
      </c>
      <c r="AJ63" s="123">
        <f t="shared" si="1"/>
        <v>42</v>
      </c>
      <c r="AK63" t="b">
        <f t="shared" si="6"/>
        <v>0</v>
      </c>
    </row>
    <row r="64" spans="1:37">
      <c r="A64" s="121">
        <v>62</v>
      </c>
      <c r="B64" s="122" t="s">
        <v>2176</v>
      </c>
      <c r="C64" s="131" t="s">
        <v>2272</v>
      </c>
      <c r="D64" s="122" t="s">
        <v>2265</v>
      </c>
      <c r="E64" s="124">
        <v>42766</v>
      </c>
      <c r="F64" s="125">
        <v>0.49305555555555558</v>
      </c>
      <c r="G64" s="124">
        <v>42820</v>
      </c>
      <c r="H64" s="125">
        <v>0.58680555555555558</v>
      </c>
      <c r="I64" s="123">
        <v>1151</v>
      </c>
      <c r="J64" s="123">
        <v>565</v>
      </c>
      <c r="K64" s="142" t="str">
        <f t="shared" si="7"/>
        <v>G565</v>
      </c>
      <c r="L64" s="123">
        <v>119</v>
      </c>
      <c r="M64" s="142" t="str">
        <f t="shared" si="2"/>
        <v>R119</v>
      </c>
      <c r="N64" s="123">
        <v>445</v>
      </c>
      <c r="O64" s="142" t="str">
        <f t="shared" si="3"/>
        <v>G445</v>
      </c>
      <c r="P64" s="123">
        <v>448</v>
      </c>
      <c r="Q64" s="142" t="str">
        <f t="shared" si="4"/>
        <v>R448</v>
      </c>
      <c r="R64" s="123">
        <v>22.7</v>
      </c>
      <c r="S64" s="123">
        <v>24.7</v>
      </c>
      <c r="T64" s="123">
        <v>30.9</v>
      </c>
      <c r="U64" s="123"/>
      <c r="V64" s="123" t="s">
        <v>2179</v>
      </c>
      <c r="W64" s="126" t="s">
        <v>2179</v>
      </c>
      <c r="X64" s="126"/>
      <c r="Y64" s="126"/>
      <c r="Z64" s="123">
        <v>40.4</v>
      </c>
      <c r="AA64" s="123" t="s">
        <v>2250</v>
      </c>
      <c r="AB64" s="123">
        <v>4.2</v>
      </c>
      <c r="AC64" s="123">
        <v>0</v>
      </c>
      <c r="AD64" s="123" t="s">
        <v>2273</v>
      </c>
      <c r="AH64" s="123">
        <f t="shared" si="0"/>
        <v>565</v>
      </c>
      <c r="AI64" t="b">
        <f t="shared" si="5"/>
        <v>0</v>
      </c>
      <c r="AJ64" s="123">
        <f t="shared" si="1"/>
        <v>119</v>
      </c>
      <c r="AK64" t="b">
        <f t="shared" si="6"/>
        <v>0</v>
      </c>
    </row>
    <row r="65" spans="1:37">
      <c r="A65" s="121">
        <v>63</v>
      </c>
      <c r="B65" s="122" t="s">
        <v>2176</v>
      </c>
      <c r="C65" s="131" t="s">
        <v>2274</v>
      </c>
      <c r="D65" s="122" t="s">
        <v>2265</v>
      </c>
      <c r="E65" s="124">
        <v>42766</v>
      </c>
      <c r="F65" s="125">
        <v>0.49652777777777773</v>
      </c>
      <c r="G65" s="124">
        <v>42820</v>
      </c>
      <c r="H65" s="125">
        <v>0.55902777777777779</v>
      </c>
      <c r="I65" s="123">
        <v>852</v>
      </c>
      <c r="J65" s="123">
        <v>387</v>
      </c>
      <c r="K65" s="142" t="str">
        <f t="shared" si="7"/>
        <v>G387</v>
      </c>
      <c r="L65" s="123">
        <v>185</v>
      </c>
      <c r="M65" s="142" t="str">
        <f t="shared" si="2"/>
        <v>R185</v>
      </c>
      <c r="N65" s="123">
        <v>440</v>
      </c>
      <c r="O65" s="142" t="str">
        <f t="shared" si="3"/>
        <v>G440</v>
      </c>
      <c r="P65" s="123">
        <v>423</v>
      </c>
      <c r="Q65" s="142" t="str">
        <f t="shared" si="4"/>
        <v>R423</v>
      </c>
      <c r="R65" s="123">
        <v>25.6</v>
      </c>
      <c r="S65" s="123">
        <v>22.9</v>
      </c>
      <c r="T65" s="123">
        <v>30.9</v>
      </c>
      <c r="U65" s="123"/>
      <c r="V65" s="123" t="s">
        <v>2187</v>
      </c>
      <c r="W65" s="126" t="s">
        <v>2187</v>
      </c>
      <c r="X65" s="126" t="s">
        <v>2187</v>
      </c>
      <c r="Y65" s="126" t="s">
        <v>2187</v>
      </c>
      <c r="Z65" s="123">
        <v>45</v>
      </c>
      <c r="AA65" s="123" t="s">
        <v>2250</v>
      </c>
      <c r="AB65" s="123">
        <v>4.9000000000000004</v>
      </c>
      <c r="AC65" s="123">
        <v>0</v>
      </c>
      <c r="AD65" s="123"/>
      <c r="AH65" s="123">
        <f t="shared" si="0"/>
        <v>387</v>
      </c>
      <c r="AI65" t="b">
        <f t="shared" si="5"/>
        <v>0</v>
      </c>
      <c r="AJ65" s="123">
        <f t="shared" si="1"/>
        <v>185</v>
      </c>
      <c r="AK65" t="b">
        <f t="shared" si="6"/>
        <v>0</v>
      </c>
    </row>
    <row r="66" spans="1:37">
      <c r="A66" s="121">
        <v>64</v>
      </c>
      <c r="B66" s="122" t="s">
        <v>2176</v>
      </c>
      <c r="C66" s="131" t="s">
        <v>2275</v>
      </c>
      <c r="D66" s="122" t="s">
        <v>2265</v>
      </c>
      <c r="E66" s="124">
        <v>42766</v>
      </c>
      <c r="F66" s="125">
        <v>0.50694444444444442</v>
      </c>
      <c r="G66" s="124">
        <v>42820</v>
      </c>
      <c r="H66" s="125">
        <v>0.60763888888888895</v>
      </c>
      <c r="I66" s="123">
        <v>853</v>
      </c>
      <c r="J66" s="129">
        <v>554</v>
      </c>
      <c r="K66" s="142" t="str">
        <f t="shared" si="7"/>
        <v>G554</v>
      </c>
      <c r="L66" s="123">
        <v>159</v>
      </c>
      <c r="M66" s="142" t="str">
        <f t="shared" si="2"/>
        <v>R159</v>
      </c>
      <c r="N66" s="123">
        <v>673</v>
      </c>
      <c r="O66" s="142" t="str">
        <f t="shared" si="3"/>
        <v>G673</v>
      </c>
      <c r="P66" s="129">
        <v>550</v>
      </c>
      <c r="Q66" s="142" t="str">
        <f t="shared" si="4"/>
        <v>R550</v>
      </c>
      <c r="R66" s="129">
        <v>22.7</v>
      </c>
      <c r="S66" s="129">
        <v>34.6</v>
      </c>
      <c r="T66" s="123"/>
      <c r="U66" s="123"/>
      <c r="V66" s="123" t="s">
        <v>2206</v>
      </c>
      <c r="W66" s="126" t="s">
        <v>2195</v>
      </c>
      <c r="X66" s="126"/>
      <c r="Y66" s="126"/>
      <c r="Z66" s="123">
        <v>22.8</v>
      </c>
      <c r="AA66" s="123" t="s">
        <v>2250</v>
      </c>
      <c r="AB66" s="123">
        <v>3</v>
      </c>
      <c r="AC66" s="123">
        <v>1</v>
      </c>
      <c r="AD66" s="123"/>
      <c r="AH66" s="129">
        <f t="shared" si="0"/>
        <v>554</v>
      </c>
      <c r="AI66" t="b">
        <f t="shared" si="5"/>
        <v>0</v>
      </c>
      <c r="AJ66" s="123">
        <f t="shared" si="1"/>
        <v>159</v>
      </c>
      <c r="AK66" t="b">
        <f t="shared" si="6"/>
        <v>0</v>
      </c>
    </row>
    <row r="67" spans="1:37">
      <c r="A67" s="121">
        <v>65</v>
      </c>
      <c r="B67" s="122" t="s">
        <v>2276</v>
      </c>
      <c r="C67" s="122" t="s">
        <v>2277</v>
      </c>
      <c r="D67" s="122" t="s">
        <v>2278</v>
      </c>
      <c r="E67" s="124">
        <v>42767</v>
      </c>
      <c r="F67" s="125">
        <v>0.51041666666666663</v>
      </c>
      <c r="G67" s="124">
        <v>42818</v>
      </c>
      <c r="H67" s="125">
        <v>0.4375</v>
      </c>
      <c r="I67" s="123">
        <v>906</v>
      </c>
      <c r="J67" s="123">
        <v>614</v>
      </c>
      <c r="K67" s="142" t="str">
        <f t="shared" si="7"/>
        <v>G614</v>
      </c>
      <c r="L67" s="123">
        <v>525</v>
      </c>
      <c r="M67" s="142" t="str">
        <f t="shared" si="2"/>
        <v>R525</v>
      </c>
      <c r="N67" s="123">
        <v>700</v>
      </c>
      <c r="O67" s="142" t="str">
        <f t="shared" si="3"/>
        <v>G700</v>
      </c>
      <c r="P67" s="123">
        <v>333</v>
      </c>
      <c r="Q67" s="142" t="str">
        <f t="shared" si="4"/>
        <v>R333</v>
      </c>
      <c r="R67" s="123">
        <v>22.5</v>
      </c>
      <c r="S67" s="123">
        <v>35.6</v>
      </c>
      <c r="T67" s="123">
        <v>23</v>
      </c>
      <c r="U67" s="123">
        <v>29</v>
      </c>
      <c r="V67" s="123" t="s">
        <v>2187</v>
      </c>
      <c r="W67" s="126"/>
      <c r="X67" s="126" t="s">
        <v>2187</v>
      </c>
      <c r="Y67" s="126" t="s">
        <v>2187</v>
      </c>
      <c r="Z67" s="123">
        <v>13.8</v>
      </c>
      <c r="AA67" s="123" t="s">
        <v>2250</v>
      </c>
      <c r="AB67" s="123">
        <v>13.8</v>
      </c>
      <c r="AC67" s="123">
        <v>1</v>
      </c>
      <c r="AD67" s="123"/>
      <c r="AH67" s="123">
        <f t="shared" ref="AH67:AH130" si="8">J67</f>
        <v>614</v>
      </c>
      <c r="AI67" t="b">
        <f t="shared" si="5"/>
        <v>0</v>
      </c>
      <c r="AJ67" s="123">
        <f t="shared" ref="AJ67:AJ130" si="9">L67</f>
        <v>525</v>
      </c>
      <c r="AK67" t="b">
        <f t="shared" si="6"/>
        <v>0</v>
      </c>
    </row>
    <row r="68" spans="1:37">
      <c r="A68" s="121">
        <v>66</v>
      </c>
      <c r="B68" s="122" t="s">
        <v>2276</v>
      </c>
      <c r="C68" s="122" t="s">
        <v>2279</v>
      </c>
      <c r="D68" s="122" t="s">
        <v>2278</v>
      </c>
      <c r="E68" s="124">
        <v>42767</v>
      </c>
      <c r="F68" s="125">
        <v>0.51388888888888895</v>
      </c>
      <c r="G68" s="124">
        <v>42818</v>
      </c>
      <c r="H68" s="125">
        <v>0.51388888888888895</v>
      </c>
      <c r="I68" s="123">
        <v>1096</v>
      </c>
      <c r="J68" s="123">
        <v>282</v>
      </c>
      <c r="K68" s="142" t="str">
        <f t="shared" ref="K68:K131" si="10">_xlfn.TEXTJOIN(,TRUE, "G",J68)</f>
        <v>G282</v>
      </c>
      <c r="L68" s="123">
        <v>150</v>
      </c>
      <c r="M68" s="142" t="str">
        <f t="shared" ref="M68:M131" si="11">_xlfn.TEXTJOIN(,TRUE, "R",L68)</f>
        <v>R150</v>
      </c>
      <c r="N68" s="123">
        <v>760</v>
      </c>
      <c r="O68" s="142" t="str">
        <f t="shared" ref="O68:O131" si="12">_xlfn.TEXTJOIN(,TRUE, "G",N68)</f>
        <v>G760</v>
      </c>
      <c r="P68" s="123">
        <v>252</v>
      </c>
      <c r="Q68" s="142" t="str">
        <f t="shared" ref="Q68:Q131" si="13">_xlfn.TEXTJOIN(,TRUE, "R",P68)</f>
        <v>R252</v>
      </c>
      <c r="R68" s="123">
        <v>22.4</v>
      </c>
      <c r="S68" s="123">
        <v>39.9</v>
      </c>
      <c r="T68" s="123">
        <v>21.5</v>
      </c>
      <c r="U68" s="123">
        <v>21.3</v>
      </c>
      <c r="V68" s="123" t="s">
        <v>2187</v>
      </c>
      <c r="W68" s="126" t="s">
        <v>2179</v>
      </c>
      <c r="X68" s="126" t="s">
        <v>2187</v>
      </c>
      <c r="Y68" s="126"/>
      <c r="Z68" s="123">
        <v>19.8</v>
      </c>
      <c r="AA68" s="123" t="s">
        <v>2250</v>
      </c>
      <c r="AB68" s="123">
        <v>8</v>
      </c>
      <c r="AC68" s="123">
        <v>1</v>
      </c>
      <c r="AD68" s="123"/>
      <c r="AH68" s="123">
        <f t="shared" si="8"/>
        <v>282</v>
      </c>
      <c r="AI68" t="b">
        <f t="shared" ref="AI68:AI131" si="14">COUNTIF($AH$3:$AH$443, AH68)&gt;1</f>
        <v>0</v>
      </c>
      <c r="AJ68" s="123">
        <f t="shared" si="9"/>
        <v>150</v>
      </c>
      <c r="AK68" t="b">
        <f t="shared" ref="AK68:AK131" si="15">COUNTIF($AJ$3:$AJ$443, AJ68)&gt;1</f>
        <v>0</v>
      </c>
    </row>
    <row r="69" spans="1:37">
      <c r="A69" s="121">
        <v>67</v>
      </c>
      <c r="B69" s="122" t="s">
        <v>2276</v>
      </c>
      <c r="C69" s="122" t="s">
        <v>2280</v>
      </c>
      <c r="D69" s="122" t="s">
        <v>2278</v>
      </c>
      <c r="E69" s="124">
        <v>42767</v>
      </c>
      <c r="F69" s="125">
        <v>0.51736111111111105</v>
      </c>
      <c r="G69" s="124">
        <v>42818</v>
      </c>
      <c r="H69" s="125">
        <v>0.4548611111111111</v>
      </c>
      <c r="I69" s="123">
        <v>908</v>
      </c>
      <c r="J69" s="123">
        <v>450</v>
      </c>
      <c r="K69" s="142" t="str">
        <f t="shared" si="10"/>
        <v>G450</v>
      </c>
      <c r="L69" s="123">
        <v>165</v>
      </c>
      <c r="M69" s="142" t="str">
        <f t="shared" si="11"/>
        <v>R165</v>
      </c>
      <c r="N69" s="123">
        <v>660</v>
      </c>
      <c r="O69" s="142" t="str">
        <f t="shared" si="12"/>
        <v>G660</v>
      </c>
      <c r="P69" s="123">
        <v>44</v>
      </c>
      <c r="Q69" s="142" t="str">
        <f t="shared" si="13"/>
        <v>R44</v>
      </c>
      <c r="R69" s="123">
        <v>19.899999999999999</v>
      </c>
      <c r="S69" s="123">
        <v>36.799999999999997</v>
      </c>
      <c r="T69" s="123">
        <v>21.5</v>
      </c>
      <c r="U69" s="123">
        <v>23</v>
      </c>
      <c r="V69" s="123" t="s">
        <v>2206</v>
      </c>
      <c r="W69" s="126"/>
      <c r="X69" s="126" t="s">
        <v>2187</v>
      </c>
      <c r="Y69" s="126"/>
      <c r="Z69" s="123">
        <v>5.5</v>
      </c>
      <c r="AA69" s="123" t="s">
        <v>2250</v>
      </c>
      <c r="AB69" s="123">
        <v>5.5</v>
      </c>
      <c r="AC69" s="123">
        <v>1</v>
      </c>
      <c r="AD69" s="123"/>
      <c r="AH69" s="123">
        <f t="shared" si="8"/>
        <v>450</v>
      </c>
      <c r="AI69" t="b">
        <f t="shared" si="14"/>
        <v>0</v>
      </c>
      <c r="AJ69" s="123">
        <f t="shared" si="9"/>
        <v>165</v>
      </c>
      <c r="AK69" t="b">
        <f t="shared" si="15"/>
        <v>0</v>
      </c>
    </row>
    <row r="70" spans="1:37">
      <c r="A70" s="121">
        <v>68</v>
      </c>
      <c r="B70" s="122" t="s">
        <v>2276</v>
      </c>
      <c r="C70" s="122" t="s">
        <v>2281</v>
      </c>
      <c r="D70" s="122" t="s">
        <v>2278</v>
      </c>
      <c r="E70" s="124">
        <v>42767</v>
      </c>
      <c r="F70" s="125">
        <v>0.52083333333333337</v>
      </c>
      <c r="G70" s="124">
        <v>42818</v>
      </c>
      <c r="H70" s="125">
        <v>0.53611111111111109</v>
      </c>
      <c r="I70" s="123">
        <v>1102</v>
      </c>
      <c r="J70" s="123">
        <v>269</v>
      </c>
      <c r="K70" s="142" t="str">
        <f t="shared" si="10"/>
        <v>G269</v>
      </c>
      <c r="L70" s="123">
        <v>129</v>
      </c>
      <c r="M70" s="142" t="str">
        <f t="shared" si="11"/>
        <v>R129</v>
      </c>
      <c r="N70" s="123">
        <v>477</v>
      </c>
      <c r="O70" s="142" t="str">
        <f t="shared" si="12"/>
        <v>G477</v>
      </c>
      <c r="P70" s="123">
        <v>9</v>
      </c>
      <c r="Q70" s="142" t="str">
        <f t="shared" si="13"/>
        <v>R9</v>
      </c>
      <c r="R70" s="123">
        <v>20.5</v>
      </c>
      <c r="S70" s="164">
        <v>37.6</v>
      </c>
      <c r="T70" s="123">
        <v>21.9</v>
      </c>
      <c r="U70" s="123">
        <v>22.1</v>
      </c>
      <c r="V70" s="123" t="s">
        <v>2187</v>
      </c>
      <c r="W70" s="126"/>
      <c r="X70" s="126" t="s">
        <v>2187</v>
      </c>
      <c r="Y70" s="126"/>
      <c r="Z70" s="123">
        <v>23.4</v>
      </c>
      <c r="AA70" s="123" t="s">
        <v>2250</v>
      </c>
      <c r="AB70" s="123">
        <v>9.6999999999999993</v>
      </c>
      <c r="AC70" s="123">
        <v>1</v>
      </c>
      <c r="AD70" s="123"/>
      <c r="AH70" s="123">
        <f t="shared" si="8"/>
        <v>269</v>
      </c>
      <c r="AI70" t="b">
        <f t="shared" si="14"/>
        <v>0</v>
      </c>
      <c r="AJ70" s="123">
        <f t="shared" si="9"/>
        <v>129</v>
      </c>
      <c r="AK70" t="b">
        <f t="shared" si="15"/>
        <v>0</v>
      </c>
    </row>
    <row r="71" spans="1:37">
      <c r="A71" s="121">
        <v>69</v>
      </c>
      <c r="B71" s="122" t="s">
        <v>2276</v>
      </c>
      <c r="C71" s="122" t="s">
        <v>2282</v>
      </c>
      <c r="D71" s="122" t="s">
        <v>2278</v>
      </c>
      <c r="E71" s="124">
        <v>42767</v>
      </c>
      <c r="F71" s="125">
        <v>0.52430555555555558</v>
      </c>
      <c r="G71" s="124">
        <v>42818</v>
      </c>
      <c r="H71" s="125">
        <v>0.47916666666666669</v>
      </c>
      <c r="I71" s="123">
        <v>910</v>
      </c>
      <c r="J71" s="123">
        <v>448</v>
      </c>
      <c r="K71" s="142" t="str">
        <f t="shared" si="10"/>
        <v>G448</v>
      </c>
      <c r="L71" s="123">
        <v>414</v>
      </c>
      <c r="M71" s="142" t="str">
        <f t="shared" si="11"/>
        <v>R414</v>
      </c>
      <c r="N71" s="123">
        <v>386</v>
      </c>
      <c r="O71" s="142" t="str">
        <f t="shared" si="12"/>
        <v>G386</v>
      </c>
      <c r="P71" s="123">
        <v>251</v>
      </c>
      <c r="Q71" s="142" t="str">
        <f t="shared" si="13"/>
        <v>R251</v>
      </c>
      <c r="R71" s="123">
        <v>23.6</v>
      </c>
      <c r="S71" s="123">
        <v>37.9</v>
      </c>
      <c r="T71" s="123">
        <v>23.3</v>
      </c>
      <c r="U71" s="123">
        <v>24.6</v>
      </c>
      <c r="V71" s="123"/>
      <c r="W71" s="126"/>
      <c r="X71" s="126" t="s">
        <v>2187</v>
      </c>
      <c r="Y71" s="126" t="s">
        <v>2187</v>
      </c>
      <c r="Z71" s="123">
        <v>24.4</v>
      </c>
      <c r="AA71" s="123" t="s">
        <v>2250</v>
      </c>
      <c r="AB71" s="123">
        <v>14.4</v>
      </c>
      <c r="AC71" s="123">
        <v>1</v>
      </c>
      <c r="AD71" s="123"/>
      <c r="AH71" s="123">
        <f t="shared" si="8"/>
        <v>448</v>
      </c>
      <c r="AI71" t="b">
        <f t="shared" si="14"/>
        <v>0</v>
      </c>
      <c r="AJ71" s="123">
        <f t="shared" si="9"/>
        <v>414</v>
      </c>
      <c r="AK71" t="b">
        <f t="shared" si="15"/>
        <v>0</v>
      </c>
    </row>
    <row r="72" spans="1:37">
      <c r="A72" s="121">
        <v>70</v>
      </c>
      <c r="B72" s="122" t="s">
        <v>2276</v>
      </c>
      <c r="C72" s="122" t="s">
        <v>2283</v>
      </c>
      <c r="D72" s="122" t="s">
        <v>2278</v>
      </c>
      <c r="E72" s="124">
        <v>42767</v>
      </c>
      <c r="F72" s="125">
        <v>0.52777777777777779</v>
      </c>
      <c r="G72" s="124">
        <v>42818</v>
      </c>
      <c r="H72" s="125">
        <v>0.48958333333333331</v>
      </c>
      <c r="I72" s="123">
        <v>911</v>
      </c>
      <c r="J72" s="178">
        <v>358</v>
      </c>
      <c r="K72" s="142" t="str">
        <f t="shared" si="10"/>
        <v>G358</v>
      </c>
      <c r="L72" s="123">
        <v>151</v>
      </c>
      <c r="M72" s="142" t="str">
        <f t="shared" si="11"/>
        <v>R151</v>
      </c>
      <c r="N72" s="129">
        <v>414</v>
      </c>
      <c r="O72" s="142" t="str">
        <f t="shared" si="12"/>
        <v>G414</v>
      </c>
      <c r="P72" s="123">
        <v>266</v>
      </c>
      <c r="Q72" s="142" t="str">
        <f t="shared" si="13"/>
        <v>R266</v>
      </c>
      <c r="R72" s="123">
        <v>22.5</v>
      </c>
      <c r="S72" s="123">
        <v>40.799999999999997</v>
      </c>
      <c r="T72" s="123">
        <v>24.9</v>
      </c>
      <c r="U72" s="123">
        <v>23.5</v>
      </c>
      <c r="V72" s="123" t="s">
        <v>2230</v>
      </c>
      <c r="W72" s="126" t="s">
        <v>2230</v>
      </c>
      <c r="X72" s="126" t="s">
        <v>2187</v>
      </c>
      <c r="Y72" s="126" t="s">
        <v>2187</v>
      </c>
      <c r="Z72" s="123">
        <v>28</v>
      </c>
      <c r="AA72" s="123" t="s">
        <v>2250</v>
      </c>
      <c r="AB72" s="123">
        <v>15</v>
      </c>
      <c r="AC72" s="123">
        <v>0</v>
      </c>
      <c r="AD72" s="123"/>
      <c r="AH72" s="123">
        <f t="shared" si="8"/>
        <v>358</v>
      </c>
      <c r="AI72" s="113" t="b">
        <f t="shared" si="14"/>
        <v>0</v>
      </c>
      <c r="AJ72" s="123">
        <f t="shared" si="9"/>
        <v>151</v>
      </c>
      <c r="AK72" t="b">
        <f t="shared" si="15"/>
        <v>0</v>
      </c>
    </row>
    <row r="73" spans="1:37">
      <c r="A73" s="121">
        <v>71</v>
      </c>
      <c r="B73" s="122" t="s">
        <v>2276</v>
      </c>
      <c r="C73" s="122" t="s">
        <v>2284</v>
      </c>
      <c r="D73" s="122" t="s">
        <v>2278</v>
      </c>
      <c r="E73" s="124">
        <v>42767</v>
      </c>
      <c r="F73" s="125">
        <v>0.52777777777777779</v>
      </c>
      <c r="G73" s="124">
        <v>42818</v>
      </c>
      <c r="H73" s="125">
        <v>0.5</v>
      </c>
      <c r="I73" s="123">
        <v>912</v>
      </c>
      <c r="J73" s="123">
        <v>511</v>
      </c>
      <c r="K73" s="142" t="str">
        <f t="shared" si="10"/>
        <v>G511</v>
      </c>
      <c r="L73" s="123">
        <v>95</v>
      </c>
      <c r="M73" s="142" t="str">
        <f t="shared" si="11"/>
        <v>R95</v>
      </c>
      <c r="N73" s="123">
        <v>459</v>
      </c>
      <c r="O73" s="142" t="str">
        <f t="shared" si="12"/>
        <v>G459</v>
      </c>
      <c r="P73" s="123">
        <v>528</v>
      </c>
      <c r="Q73" s="142" t="str">
        <f t="shared" si="13"/>
        <v>R528</v>
      </c>
      <c r="R73" s="123">
        <v>21</v>
      </c>
      <c r="S73" s="123">
        <v>35.1</v>
      </c>
      <c r="T73" s="123">
        <v>22.9</v>
      </c>
      <c r="U73" s="123">
        <v>23.6</v>
      </c>
      <c r="V73" s="123" t="s">
        <v>2187</v>
      </c>
      <c r="W73" s="126" t="s">
        <v>2187</v>
      </c>
      <c r="X73" s="126" t="s">
        <v>2187</v>
      </c>
      <c r="Y73" s="126"/>
      <c r="Z73" s="123">
        <v>32</v>
      </c>
      <c r="AA73" s="123" t="s">
        <v>2250</v>
      </c>
      <c r="AB73" s="123">
        <v>15.5</v>
      </c>
      <c r="AC73" s="123">
        <v>1</v>
      </c>
      <c r="AD73" s="123"/>
      <c r="AH73" s="123">
        <f t="shared" si="8"/>
        <v>511</v>
      </c>
      <c r="AI73" t="b">
        <f t="shared" si="14"/>
        <v>0</v>
      </c>
      <c r="AJ73" s="123">
        <f t="shared" si="9"/>
        <v>95</v>
      </c>
      <c r="AK73" t="b">
        <f t="shared" si="15"/>
        <v>0</v>
      </c>
    </row>
    <row r="74" spans="1:37">
      <c r="A74" s="121">
        <v>72</v>
      </c>
      <c r="B74" s="122" t="s">
        <v>2276</v>
      </c>
      <c r="C74" s="122" t="s">
        <v>2285</v>
      </c>
      <c r="D74" s="122" t="s">
        <v>2278</v>
      </c>
      <c r="E74" s="124">
        <v>42767</v>
      </c>
      <c r="F74" s="125">
        <v>0.53125</v>
      </c>
      <c r="G74" s="124">
        <v>42818</v>
      </c>
      <c r="H74" s="125">
        <v>0.50347222222222221</v>
      </c>
      <c r="I74" s="123">
        <v>913</v>
      </c>
      <c r="J74" s="123">
        <v>383</v>
      </c>
      <c r="K74" s="142" t="str">
        <f t="shared" si="10"/>
        <v>G383</v>
      </c>
      <c r="L74" s="123">
        <v>546</v>
      </c>
      <c r="M74" s="142" t="str">
        <f t="shared" si="11"/>
        <v>R546</v>
      </c>
      <c r="N74" s="123">
        <v>627</v>
      </c>
      <c r="O74" s="142" t="str">
        <f t="shared" si="12"/>
        <v>G627</v>
      </c>
      <c r="P74" s="178">
        <v>14</v>
      </c>
      <c r="Q74" s="142" t="str">
        <f t="shared" si="13"/>
        <v>R14</v>
      </c>
      <c r="R74" s="164">
        <v>21.2</v>
      </c>
      <c r="S74" s="164">
        <v>37.799999999999997</v>
      </c>
      <c r="T74" s="123">
        <v>22.6</v>
      </c>
      <c r="U74" s="123">
        <v>26.2</v>
      </c>
      <c r="V74" s="123" t="s">
        <v>2187</v>
      </c>
      <c r="W74" s="126"/>
      <c r="X74" s="126" t="s">
        <v>2187</v>
      </c>
      <c r="Y74" s="126"/>
      <c r="Z74" s="123">
        <v>44</v>
      </c>
      <c r="AA74" s="123" t="s">
        <v>2250</v>
      </c>
      <c r="AB74" s="123">
        <v>2.6</v>
      </c>
      <c r="AC74" s="123">
        <v>1</v>
      </c>
      <c r="AD74" s="123" t="s">
        <v>2253</v>
      </c>
      <c r="AH74" s="123">
        <f t="shared" si="8"/>
        <v>383</v>
      </c>
      <c r="AI74" t="b">
        <f t="shared" si="14"/>
        <v>0</v>
      </c>
      <c r="AJ74" s="123">
        <f t="shared" si="9"/>
        <v>546</v>
      </c>
      <c r="AK74" t="b">
        <f t="shared" si="15"/>
        <v>0</v>
      </c>
    </row>
    <row r="75" spans="1:37">
      <c r="A75" s="121">
        <v>73</v>
      </c>
      <c r="B75" s="122" t="s">
        <v>2276</v>
      </c>
      <c r="C75" s="122" t="s">
        <v>2286</v>
      </c>
      <c r="D75" s="122" t="s">
        <v>2287</v>
      </c>
      <c r="E75" s="124">
        <v>42767</v>
      </c>
      <c r="F75" s="125">
        <v>0.54166666666666663</v>
      </c>
      <c r="G75" s="124">
        <v>42818</v>
      </c>
      <c r="H75" s="125">
        <v>0.57291666666666663</v>
      </c>
      <c r="I75" s="123">
        <v>1132</v>
      </c>
      <c r="J75" s="123">
        <v>549</v>
      </c>
      <c r="K75" s="142" t="str">
        <f t="shared" si="10"/>
        <v>G549</v>
      </c>
      <c r="L75" s="123">
        <v>438</v>
      </c>
      <c r="M75" s="142" t="str">
        <f t="shared" si="11"/>
        <v>R438</v>
      </c>
      <c r="N75" s="123">
        <v>498</v>
      </c>
      <c r="O75" s="142" t="str">
        <f t="shared" si="12"/>
        <v>G498</v>
      </c>
      <c r="P75" s="123">
        <v>393</v>
      </c>
      <c r="Q75" s="142" t="str">
        <f t="shared" si="13"/>
        <v>R393</v>
      </c>
      <c r="R75" s="123">
        <v>23.1</v>
      </c>
      <c r="S75" s="123">
        <v>35.200000000000003</v>
      </c>
      <c r="T75" s="123">
        <v>29.2</v>
      </c>
      <c r="U75" s="123">
        <v>20.5</v>
      </c>
      <c r="V75" s="123" t="s">
        <v>2206</v>
      </c>
      <c r="W75" s="126" t="s">
        <v>2206</v>
      </c>
      <c r="X75" s="126" t="s">
        <v>2187</v>
      </c>
      <c r="Y75" s="126" t="s">
        <v>2187</v>
      </c>
      <c r="Z75" s="123">
        <v>10</v>
      </c>
      <c r="AA75" s="123" t="s">
        <v>2180</v>
      </c>
      <c r="AB75" s="123">
        <v>9.1</v>
      </c>
      <c r="AC75" s="123">
        <v>1</v>
      </c>
      <c r="AD75" s="123"/>
      <c r="AH75" s="123">
        <f t="shared" si="8"/>
        <v>549</v>
      </c>
      <c r="AI75" t="b">
        <f t="shared" si="14"/>
        <v>0</v>
      </c>
      <c r="AJ75" s="123">
        <f t="shared" si="9"/>
        <v>438</v>
      </c>
      <c r="AK75" t="b">
        <f t="shared" si="15"/>
        <v>0</v>
      </c>
    </row>
    <row r="76" spans="1:37">
      <c r="A76" s="121">
        <v>74</v>
      </c>
      <c r="B76" s="122" t="s">
        <v>2276</v>
      </c>
      <c r="C76" s="122" t="s">
        <v>2288</v>
      </c>
      <c r="D76" s="122" t="s">
        <v>2287</v>
      </c>
      <c r="E76" s="124">
        <v>42767</v>
      </c>
      <c r="F76" s="125">
        <v>0.54166666666666663</v>
      </c>
      <c r="G76" s="124">
        <v>42818</v>
      </c>
      <c r="H76" s="125">
        <v>0.55555555555555558</v>
      </c>
      <c r="I76" s="123">
        <v>1129</v>
      </c>
      <c r="J76" s="123">
        <v>605</v>
      </c>
      <c r="K76" s="142" t="str">
        <f t="shared" si="10"/>
        <v>G605</v>
      </c>
      <c r="L76" s="123">
        <v>122</v>
      </c>
      <c r="M76" s="142" t="str">
        <f t="shared" si="11"/>
        <v>R122</v>
      </c>
      <c r="N76" s="123">
        <v>579</v>
      </c>
      <c r="O76" s="142" t="str">
        <f t="shared" si="12"/>
        <v>G579</v>
      </c>
      <c r="P76" s="123">
        <v>138</v>
      </c>
      <c r="Q76" s="142" t="str">
        <f t="shared" si="13"/>
        <v>R138</v>
      </c>
      <c r="R76" s="123">
        <v>23</v>
      </c>
      <c r="S76" s="123">
        <v>29</v>
      </c>
      <c r="T76" s="123">
        <v>25.7</v>
      </c>
      <c r="U76" s="123">
        <v>20.3</v>
      </c>
      <c r="V76" s="123" t="s">
        <v>2206</v>
      </c>
      <c r="W76" s="126" t="s">
        <v>2195</v>
      </c>
      <c r="X76" s="126" t="s">
        <v>2187</v>
      </c>
      <c r="Y76" s="126"/>
      <c r="Z76" s="123">
        <v>9.4</v>
      </c>
      <c r="AA76" s="123" t="s">
        <v>2180</v>
      </c>
      <c r="AB76" s="123">
        <v>7.7</v>
      </c>
      <c r="AC76" s="123">
        <v>1</v>
      </c>
      <c r="AD76" s="123"/>
      <c r="AH76" s="123">
        <f t="shared" si="8"/>
        <v>605</v>
      </c>
      <c r="AI76" t="b">
        <f t="shared" si="14"/>
        <v>0</v>
      </c>
      <c r="AJ76" s="123">
        <f t="shared" si="9"/>
        <v>122</v>
      </c>
      <c r="AK76" t="b">
        <f t="shared" si="15"/>
        <v>0</v>
      </c>
    </row>
    <row r="77" spans="1:37">
      <c r="A77" s="121">
        <v>75</v>
      </c>
      <c r="B77" s="122" t="s">
        <v>2276</v>
      </c>
      <c r="C77" s="122" t="s">
        <v>2289</v>
      </c>
      <c r="D77" s="122" t="s">
        <v>2287</v>
      </c>
      <c r="E77" s="124">
        <v>42767</v>
      </c>
      <c r="F77" s="125">
        <v>0.54513888888888895</v>
      </c>
      <c r="G77" s="124">
        <v>42818</v>
      </c>
      <c r="H77" s="125">
        <v>0.625</v>
      </c>
      <c r="I77" s="123">
        <v>1133</v>
      </c>
      <c r="J77" s="123">
        <v>408</v>
      </c>
      <c r="K77" s="142" t="str">
        <f t="shared" si="10"/>
        <v>G408</v>
      </c>
      <c r="L77" s="123">
        <v>404</v>
      </c>
      <c r="M77" s="142" t="str">
        <f t="shared" si="11"/>
        <v>R404</v>
      </c>
      <c r="N77" s="123">
        <v>373</v>
      </c>
      <c r="O77" s="142" t="str">
        <f t="shared" si="12"/>
        <v>G373</v>
      </c>
      <c r="P77">
        <v>311</v>
      </c>
      <c r="Q77" s="142" t="str">
        <f t="shared" si="13"/>
        <v>R311</v>
      </c>
      <c r="R77" s="123">
        <v>20.8</v>
      </c>
      <c r="S77" s="123">
        <v>34.200000000000003</v>
      </c>
      <c r="T77" s="123">
        <v>30.5</v>
      </c>
      <c r="U77" s="123">
        <v>20.100000000000001</v>
      </c>
      <c r="V77" s="123" t="s">
        <v>2206</v>
      </c>
      <c r="W77" s="126" t="s">
        <v>2200</v>
      </c>
      <c r="X77" s="126" t="s">
        <v>2187</v>
      </c>
      <c r="Y77" s="126"/>
      <c r="Z77" s="123">
        <v>13.8</v>
      </c>
      <c r="AA77" s="123" t="s">
        <v>2250</v>
      </c>
      <c r="AB77" s="123">
        <v>6.1</v>
      </c>
      <c r="AC77" s="123">
        <v>0</v>
      </c>
      <c r="AD77" s="123"/>
      <c r="AH77" s="123">
        <f t="shared" si="8"/>
        <v>408</v>
      </c>
      <c r="AI77" t="b">
        <f t="shared" si="14"/>
        <v>0</v>
      </c>
      <c r="AJ77" s="123">
        <f t="shared" si="9"/>
        <v>404</v>
      </c>
      <c r="AK77" t="b">
        <f t="shared" si="15"/>
        <v>0</v>
      </c>
    </row>
    <row r="78" spans="1:37">
      <c r="A78" s="121">
        <v>76</v>
      </c>
      <c r="B78" s="122" t="s">
        <v>2276</v>
      </c>
      <c r="C78" s="122" t="s">
        <v>2290</v>
      </c>
      <c r="D78" s="122" t="s">
        <v>2287</v>
      </c>
      <c r="E78" s="124">
        <v>42767</v>
      </c>
      <c r="F78" s="125">
        <v>0.54861111111111105</v>
      </c>
      <c r="G78" s="124">
        <v>42818</v>
      </c>
      <c r="H78" s="125">
        <v>0.58333333333333337</v>
      </c>
      <c r="I78" s="123">
        <v>917</v>
      </c>
      <c r="J78">
        <v>416</v>
      </c>
      <c r="K78" s="142" t="str">
        <f t="shared" si="10"/>
        <v>G416</v>
      </c>
      <c r="L78" s="123">
        <v>501</v>
      </c>
      <c r="M78" s="142" t="str">
        <f t="shared" si="11"/>
        <v>R501</v>
      </c>
      <c r="N78" s="123">
        <v>603</v>
      </c>
      <c r="O78" s="142" t="str">
        <f t="shared" si="12"/>
        <v>G603</v>
      </c>
      <c r="P78" s="123">
        <v>183</v>
      </c>
      <c r="Q78" s="142" t="str">
        <f t="shared" si="13"/>
        <v>R183</v>
      </c>
      <c r="R78" s="123">
        <v>22.4</v>
      </c>
      <c r="S78" s="123">
        <v>34.1</v>
      </c>
      <c r="T78" s="123">
        <v>25</v>
      </c>
      <c r="U78" s="123">
        <v>19.5</v>
      </c>
      <c r="V78" s="123" t="s">
        <v>2179</v>
      </c>
      <c r="W78" s="126" t="s">
        <v>2179</v>
      </c>
      <c r="X78" s="126" t="s">
        <v>2187</v>
      </c>
      <c r="Y78" s="126"/>
      <c r="Z78" s="123">
        <v>19.3</v>
      </c>
      <c r="AA78" s="123" t="s">
        <v>2180</v>
      </c>
      <c r="AB78" s="123">
        <v>6.7</v>
      </c>
      <c r="AC78" s="123">
        <v>1</v>
      </c>
      <c r="AD78" s="123"/>
      <c r="AH78" s="129">
        <f t="shared" si="8"/>
        <v>416</v>
      </c>
      <c r="AI78" t="b">
        <f t="shared" si="14"/>
        <v>0</v>
      </c>
      <c r="AJ78" s="123">
        <f t="shared" si="9"/>
        <v>501</v>
      </c>
      <c r="AK78" t="b">
        <f t="shared" si="15"/>
        <v>0</v>
      </c>
    </row>
    <row r="79" spans="1:37">
      <c r="A79" s="121">
        <v>77</v>
      </c>
      <c r="B79" s="122" t="s">
        <v>2276</v>
      </c>
      <c r="C79" s="122" t="s">
        <v>2291</v>
      </c>
      <c r="D79" s="122" t="s">
        <v>2287</v>
      </c>
      <c r="E79" s="124">
        <v>42767</v>
      </c>
      <c r="F79" s="125">
        <v>0.55208333333333337</v>
      </c>
      <c r="G79" s="124">
        <v>42818</v>
      </c>
      <c r="H79" s="125">
        <v>0.67708333333333337</v>
      </c>
      <c r="I79" s="123">
        <v>1134</v>
      </c>
      <c r="J79">
        <v>594</v>
      </c>
      <c r="K79" s="142" t="str">
        <f t="shared" si="10"/>
        <v>G594</v>
      </c>
      <c r="L79" s="123">
        <v>137</v>
      </c>
      <c r="M79" s="142" t="str">
        <f t="shared" si="11"/>
        <v>R137</v>
      </c>
      <c r="N79" s="123">
        <v>509</v>
      </c>
      <c r="O79" s="142" t="str">
        <f t="shared" si="12"/>
        <v>G509</v>
      </c>
      <c r="P79" s="123">
        <v>228</v>
      </c>
      <c r="Q79" s="142" t="str">
        <f t="shared" si="13"/>
        <v>R228</v>
      </c>
      <c r="R79" s="123">
        <v>23.6</v>
      </c>
      <c r="S79" s="123">
        <v>27.6</v>
      </c>
      <c r="T79" s="123">
        <v>28.3</v>
      </c>
      <c r="U79" s="123">
        <v>24.3</v>
      </c>
      <c r="V79" s="123" t="s">
        <v>2187</v>
      </c>
      <c r="W79" s="126" t="s">
        <v>2187</v>
      </c>
      <c r="X79" s="126" t="s">
        <v>2187</v>
      </c>
      <c r="Y79" s="126"/>
      <c r="Z79" s="123">
        <v>9.8000000000000007</v>
      </c>
      <c r="AA79" s="123" t="s">
        <v>2250</v>
      </c>
      <c r="AB79" s="123">
        <v>3.1</v>
      </c>
      <c r="AC79" s="123">
        <v>1</v>
      </c>
      <c r="AD79" s="123"/>
      <c r="AH79" s="123">
        <f t="shared" si="8"/>
        <v>594</v>
      </c>
      <c r="AI79" t="b">
        <f t="shared" si="14"/>
        <v>0</v>
      </c>
      <c r="AJ79" s="123">
        <f t="shared" si="9"/>
        <v>137</v>
      </c>
      <c r="AK79" t="b">
        <f t="shared" si="15"/>
        <v>0</v>
      </c>
    </row>
    <row r="80" spans="1:37">
      <c r="A80" s="121">
        <v>78</v>
      </c>
      <c r="B80" s="122" t="s">
        <v>2276</v>
      </c>
      <c r="C80" s="122" t="s">
        <v>2292</v>
      </c>
      <c r="D80" s="122" t="s">
        <v>2287</v>
      </c>
      <c r="E80" s="124">
        <v>42767</v>
      </c>
      <c r="F80" s="125">
        <v>0.55208333333333337</v>
      </c>
      <c r="G80" s="124">
        <v>42818</v>
      </c>
      <c r="H80" s="125">
        <v>0.66319444444444442</v>
      </c>
      <c r="I80" s="123">
        <v>1135</v>
      </c>
      <c r="J80" s="123">
        <v>460</v>
      </c>
      <c r="K80" s="142" t="str">
        <f t="shared" si="10"/>
        <v>G460</v>
      </c>
      <c r="L80" s="123">
        <v>278</v>
      </c>
      <c r="M80" s="142" t="str">
        <f t="shared" si="11"/>
        <v>R278</v>
      </c>
      <c r="N80" s="123">
        <v>446</v>
      </c>
      <c r="O80" s="142" t="str">
        <f t="shared" si="12"/>
        <v>G446</v>
      </c>
      <c r="P80" s="123">
        <v>100</v>
      </c>
      <c r="Q80" s="142" t="str">
        <f t="shared" si="13"/>
        <v>R100</v>
      </c>
      <c r="R80" s="123">
        <v>23.5</v>
      </c>
      <c r="S80" s="123">
        <v>27.7</v>
      </c>
      <c r="T80" s="123">
        <v>32</v>
      </c>
      <c r="U80" s="123">
        <v>20.6</v>
      </c>
      <c r="V80" s="123" t="s">
        <v>2187</v>
      </c>
      <c r="W80" s="126" t="s">
        <v>2187</v>
      </c>
      <c r="X80" s="126" t="s">
        <v>2187</v>
      </c>
      <c r="Y80" s="126"/>
      <c r="Z80" s="123">
        <v>15.4</v>
      </c>
      <c r="AA80" s="123" t="s">
        <v>2180</v>
      </c>
      <c r="AB80" s="123">
        <v>10.4</v>
      </c>
      <c r="AC80" s="123">
        <v>1</v>
      </c>
      <c r="AD80" s="123"/>
      <c r="AH80" s="123">
        <f t="shared" si="8"/>
        <v>460</v>
      </c>
      <c r="AI80" t="b">
        <f t="shared" si="14"/>
        <v>0</v>
      </c>
      <c r="AJ80" s="123">
        <f t="shared" si="9"/>
        <v>278</v>
      </c>
      <c r="AK80" t="b">
        <f t="shared" si="15"/>
        <v>0</v>
      </c>
    </row>
    <row r="81" spans="1:37">
      <c r="A81" s="121">
        <v>79</v>
      </c>
      <c r="B81" s="122" t="s">
        <v>2276</v>
      </c>
      <c r="C81" s="122" t="s">
        <v>2293</v>
      </c>
      <c r="D81" s="122" t="s">
        <v>2287</v>
      </c>
      <c r="E81" s="124">
        <v>42767</v>
      </c>
      <c r="F81" s="125">
        <v>0.55555555555555558</v>
      </c>
      <c r="G81" s="124">
        <v>42818</v>
      </c>
      <c r="H81" s="125">
        <v>0.60416666666666663</v>
      </c>
      <c r="I81" s="123">
        <v>920</v>
      </c>
      <c r="J81" s="123">
        <v>217</v>
      </c>
      <c r="K81" s="142" t="str">
        <f t="shared" si="10"/>
        <v>G217</v>
      </c>
      <c r="L81" s="123">
        <v>235</v>
      </c>
      <c r="M81" s="142" t="str">
        <f t="shared" si="11"/>
        <v>R235</v>
      </c>
      <c r="N81" s="123">
        <v>249</v>
      </c>
      <c r="O81" s="142" t="str">
        <f t="shared" si="12"/>
        <v>G249</v>
      </c>
      <c r="P81" s="123">
        <v>56</v>
      </c>
      <c r="Q81" s="142" t="str">
        <f t="shared" si="13"/>
        <v>R56</v>
      </c>
      <c r="R81" s="123">
        <v>21.9</v>
      </c>
      <c r="S81" s="123">
        <v>35.299999999999997</v>
      </c>
      <c r="T81" s="123">
        <v>30.6</v>
      </c>
      <c r="U81" s="123">
        <v>18.5</v>
      </c>
      <c r="V81" s="123" t="s">
        <v>2187</v>
      </c>
      <c r="W81" s="126" t="s">
        <v>2187</v>
      </c>
      <c r="X81" s="126" t="s">
        <v>2187</v>
      </c>
      <c r="Y81" s="126"/>
      <c r="Z81" s="123">
        <v>5</v>
      </c>
      <c r="AA81" s="123" t="s">
        <v>2228</v>
      </c>
      <c r="AB81" s="123">
        <v>3</v>
      </c>
      <c r="AC81" s="123">
        <v>1</v>
      </c>
      <c r="AD81" s="123"/>
      <c r="AH81" s="123">
        <f t="shared" si="8"/>
        <v>217</v>
      </c>
      <c r="AI81" t="b">
        <f t="shared" si="14"/>
        <v>0</v>
      </c>
      <c r="AJ81" s="123">
        <f t="shared" si="9"/>
        <v>235</v>
      </c>
      <c r="AK81" t="b">
        <f t="shared" si="15"/>
        <v>0</v>
      </c>
    </row>
    <row r="82" spans="1:37">
      <c r="A82" s="121">
        <v>80</v>
      </c>
      <c r="B82" s="122" t="s">
        <v>2276</v>
      </c>
      <c r="C82" s="122" t="s">
        <v>2294</v>
      </c>
      <c r="D82" s="122" t="s">
        <v>2287</v>
      </c>
      <c r="E82" s="124">
        <v>42767</v>
      </c>
      <c r="F82" s="125">
        <v>0.5625</v>
      </c>
      <c r="G82" s="124">
        <v>42818</v>
      </c>
      <c r="H82" s="125">
        <v>0.61458333333333337</v>
      </c>
      <c r="I82" s="123">
        <v>1103</v>
      </c>
      <c r="J82" s="123">
        <v>607</v>
      </c>
      <c r="K82" s="142" t="str">
        <f t="shared" si="10"/>
        <v>G607</v>
      </c>
      <c r="L82" s="123">
        <v>181</v>
      </c>
      <c r="M82" s="142" t="str">
        <f t="shared" si="11"/>
        <v>R181</v>
      </c>
      <c r="N82" s="123">
        <v>474</v>
      </c>
      <c r="O82" s="142" t="str">
        <f t="shared" si="12"/>
        <v>G474</v>
      </c>
      <c r="P82" s="129">
        <v>68</v>
      </c>
      <c r="Q82" s="142" t="str">
        <f t="shared" si="13"/>
        <v>R68</v>
      </c>
      <c r="R82" s="123">
        <v>23.1</v>
      </c>
      <c r="S82" s="123">
        <v>35.200000000000003</v>
      </c>
      <c r="T82" s="123">
        <v>31.8</v>
      </c>
      <c r="U82" s="123">
        <v>21.9</v>
      </c>
      <c r="V82" s="123" t="s">
        <v>2195</v>
      </c>
      <c r="W82" s="126" t="s">
        <v>2179</v>
      </c>
      <c r="X82" s="126" t="s">
        <v>2187</v>
      </c>
      <c r="Y82" s="126"/>
      <c r="Z82" s="123">
        <v>12.4</v>
      </c>
      <c r="AA82" s="123" t="s">
        <v>2250</v>
      </c>
      <c r="AB82" s="123">
        <v>2.7</v>
      </c>
      <c r="AC82" s="123">
        <v>1</v>
      </c>
      <c r="AD82" s="123"/>
      <c r="AH82" s="123">
        <f t="shared" si="8"/>
        <v>607</v>
      </c>
      <c r="AI82" t="b">
        <f t="shared" si="14"/>
        <v>0</v>
      </c>
      <c r="AJ82" s="123">
        <f t="shared" si="9"/>
        <v>181</v>
      </c>
      <c r="AK82" t="b">
        <f t="shared" si="15"/>
        <v>0</v>
      </c>
    </row>
    <row r="83" spans="1:37">
      <c r="A83" s="121">
        <v>81</v>
      </c>
      <c r="B83" s="122" t="s">
        <v>2276</v>
      </c>
      <c r="C83" s="122" t="s">
        <v>2295</v>
      </c>
      <c r="D83" s="122" t="s">
        <v>2296</v>
      </c>
      <c r="E83" s="124">
        <v>42767</v>
      </c>
      <c r="F83" s="125">
        <v>0.4548611111111111</v>
      </c>
      <c r="G83" s="124">
        <v>42818</v>
      </c>
      <c r="H83" s="125">
        <v>0.69444444444444453</v>
      </c>
      <c r="I83" s="123">
        <v>892</v>
      </c>
      <c r="J83" s="123">
        <v>542</v>
      </c>
      <c r="K83" s="142" t="str">
        <f t="shared" si="10"/>
        <v>G542</v>
      </c>
      <c r="L83" s="123">
        <v>187</v>
      </c>
      <c r="M83" s="142" t="str">
        <f t="shared" si="11"/>
        <v>R187</v>
      </c>
      <c r="N83" s="123">
        <v>475</v>
      </c>
      <c r="O83" s="142" t="str">
        <f t="shared" si="12"/>
        <v>G475</v>
      </c>
      <c r="P83" s="123">
        <v>293</v>
      </c>
      <c r="Q83" s="142" t="str">
        <f t="shared" si="13"/>
        <v>R293</v>
      </c>
      <c r="R83" s="129">
        <v>22.8</v>
      </c>
      <c r="S83" s="129">
        <v>29.4</v>
      </c>
      <c r="T83" s="123">
        <v>30.5</v>
      </c>
      <c r="U83" s="123">
        <v>23.3</v>
      </c>
      <c r="V83" s="123" t="s">
        <v>2200</v>
      </c>
      <c r="W83" s="126"/>
      <c r="X83" s="126" t="s">
        <v>2187</v>
      </c>
      <c r="Y83" s="126" t="s">
        <v>2187</v>
      </c>
      <c r="Z83" s="123">
        <v>13.3</v>
      </c>
      <c r="AA83" s="123" t="s">
        <v>2250</v>
      </c>
      <c r="AB83" s="123">
        <v>6.2</v>
      </c>
      <c r="AC83" s="123">
        <v>0</v>
      </c>
      <c r="AD83" s="123"/>
      <c r="AH83" s="123">
        <f t="shared" si="8"/>
        <v>542</v>
      </c>
      <c r="AI83" t="b">
        <f t="shared" si="14"/>
        <v>0</v>
      </c>
      <c r="AJ83" s="123">
        <f t="shared" si="9"/>
        <v>187</v>
      </c>
      <c r="AK83" t="b">
        <f t="shared" si="15"/>
        <v>0</v>
      </c>
    </row>
    <row r="84" spans="1:37">
      <c r="A84" s="121">
        <v>82</v>
      </c>
      <c r="B84" s="122" t="s">
        <v>2276</v>
      </c>
      <c r="C84" s="122" t="s">
        <v>2298</v>
      </c>
      <c r="D84" s="122" t="s">
        <v>2296</v>
      </c>
      <c r="E84" s="124">
        <v>42767</v>
      </c>
      <c r="F84" s="125">
        <v>0.45833333333333331</v>
      </c>
      <c r="G84" s="124">
        <v>42819</v>
      </c>
      <c r="H84" s="125">
        <v>0.54861111111111105</v>
      </c>
      <c r="I84" s="123">
        <v>1128</v>
      </c>
      <c r="J84" s="123">
        <v>536</v>
      </c>
      <c r="K84" s="142" t="str">
        <f t="shared" si="10"/>
        <v>G536</v>
      </c>
      <c r="L84" s="123">
        <v>83</v>
      </c>
      <c r="M84" s="142" t="str">
        <f t="shared" si="11"/>
        <v>R83</v>
      </c>
      <c r="N84" s="123">
        <v>840</v>
      </c>
      <c r="O84" s="142" t="str">
        <f t="shared" si="12"/>
        <v>G840</v>
      </c>
      <c r="P84" s="123">
        <v>368</v>
      </c>
      <c r="Q84" s="142" t="str">
        <f t="shared" si="13"/>
        <v>R368</v>
      </c>
      <c r="R84" s="123">
        <v>22.1</v>
      </c>
      <c r="S84" s="123">
        <v>34.6</v>
      </c>
      <c r="T84" s="123">
        <v>24</v>
      </c>
      <c r="U84" s="123">
        <v>18.600000000000001</v>
      </c>
      <c r="V84" s="123" t="s">
        <v>2200</v>
      </c>
      <c r="W84" s="126" t="s">
        <v>2200</v>
      </c>
      <c r="X84" s="126" t="s">
        <v>2187</v>
      </c>
      <c r="Y84" s="126"/>
      <c r="Z84" s="123">
        <v>16.600000000000001</v>
      </c>
      <c r="AA84" s="123" t="s">
        <v>2250</v>
      </c>
      <c r="AB84" s="123">
        <v>2.4</v>
      </c>
      <c r="AC84" s="123"/>
      <c r="AD84" s="123"/>
      <c r="AH84" s="123">
        <f t="shared" si="8"/>
        <v>536</v>
      </c>
      <c r="AI84" t="b">
        <f t="shared" si="14"/>
        <v>0</v>
      </c>
      <c r="AJ84" s="123">
        <f t="shared" si="9"/>
        <v>83</v>
      </c>
      <c r="AK84" t="b">
        <f t="shared" si="15"/>
        <v>0</v>
      </c>
    </row>
    <row r="85" spans="1:37">
      <c r="A85" s="121">
        <v>83</v>
      </c>
      <c r="B85" s="122" t="s">
        <v>2276</v>
      </c>
      <c r="C85" s="122" t="s">
        <v>2299</v>
      </c>
      <c r="D85" s="122" t="s">
        <v>2296</v>
      </c>
      <c r="E85" s="124">
        <v>42767</v>
      </c>
      <c r="F85" s="125">
        <v>0.43402777777777773</v>
      </c>
      <c r="G85" s="124">
        <v>42819</v>
      </c>
      <c r="H85" s="125">
        <v>0.70833333333333337</v>
      </c>
      <c r="I85" s="123">
        <v>886</v>
      </c>
      <c r="J85" s="123">
        <v>494</v>
      </c>
      <c r="K85" s="142" t="str">
        <f t="shared" si="10"/>
        <v>G494</v>
      </c>
      <c r="L85" s="123">
        <v>134</v>
      </c>
      <c r="M85" s="142" t="str">
        <f t="shared" si="11"/>
        <v>R134</v>
      </c>
      <c r="N85" s="123">
        <v>298</v>
      </c>
      <c r="O85" s="142" t="str">
        <f t="shared" si="12"/>
        <v>G298</v>
      </c>
      <c r="P85" s="123">
        <v>22</v>
      </c>
      <c r="Q85" s="142" t="str">
        <f t="shared" si="13"/>
        <v>R22</v>
      </c>
      <c r="R85" s="123">
        <v>20.5</v>
      </c>
      <c r="S85" s="123">
        <v>37.299999999999997</v>
      </c>
      <c r="T85" s="123">
        <v>29.6</v>
      </c>
      <c r="U85" s="123">
        <v>22.9</v>
      </c>
      <c r="V85" s="123" t="s">
        <v>2187</v>
      </c>
      <c r="W85" s="126" t="s">
        <v>2179</v>
      </c>
      <c r="X85" s="126" t="s">
        <v>2187</v>
      </c>
      <c r="Y85" s="126"/>
      <c r="Z85" s="123">
        <v>42</v>
      </c>
      <c r="AA85" s="123" t="s">
        <v>2180</v>
      </c>
      <c r="AB85" s="123">
        <v>6.4</v>
      </c>
      <c r="AC85" s="123">
        <v>1</v>
      </c>
      <c r="AD85" s="123"/>
      <c r="AH85" s="123">
        <f t="shared" si="8"/>
        <v>494</v>
      </c>
      <c r="AI85" t="b">
        <f t="shared" si="14"/>
        <v>0</v>
      </c>
      <c r="AJ85" s="123">
        <f t="shared" si="9"/>
        <v>134</v>
      </c>
      <c r="AK85" t="b">
        <f t="shared" si="15"/>
        <v>0</v>
      </c>
    </row>
    <row r="86" spans="1:37">
      <c r="A86" s="121">
        <v>84</v>
      </c>
      <c r="B86" s="122" t="s">
        <v>2276</v>
      </c>
      <c r="C86" s="122" t="s">
        <v>2300</v>
      </c>
      <c r="D86" s="122" t="s">
        <v>2296</v>
      </c>
      <c r="E86" s="124">
        <v>42767</v>
      </c>
      <c r="F86" s="125">
        <v>0.4375</v>
      </c>
      <c r="G86" s="124">
        <v>42819</v>
      </c>
      <c r="H86" s="125">
        <v>0.71527777777777779</v>
      </c>
      <c r="I86" s="123">
        <v>887</v>
      </c>
      <c r="J86" s="132">
        <v>291</v>
      </c>
      <c r="K86" s="142" t="str">
        <f t="shared" si="10"/>
        <v>G291</v>
      </c>
      <c r="L86" s="123">
        <v>49</v>
      </c>
      <c r="M86" s="142" t="str">
        <f t="shared" si="11"/>
        <v>R49</v>
      </c>
      <c r="N86" s="123">
        <v>520</v>
      </c>
      <c r="O86" s="142" t="str">
        <f t="shared" si="12"/>
        <v>G520</v>
      </c>
      <c r="P86" s="123">
        <v>417</v>
      </c>
      <c r="Q86" s="142" t="str">
        <f t="shared" si="13"/>
        <v>R417</v>
      </c>
      <c r="R86" s="123">
        <v>19.8</v>
      </c>
      <c r="S86" s="123">
        <v>33.6</v>
      </c>
      <c r="T86" s="123">
        <v>27.4</v>
      </c>
      <c r="U86" s="123">
        <v>21.9</v>
      </c>
      <c r="V86" s="123" t="s">
        <v>2187</v>
      </c>
      <c r="W86" s="126" t="s">
        <v>2187</v>
      </c>
      <c r="X86" s="126" t="s">
        <v>2187</v>
      </c>
      <c r="Y86" s="126" t="s">
        <v>2187</v>
      </c>
      <c r="Z86" s="123">
        <v>55.8</v>
      </c>
      <c r="AA86" s="123" t="s">
        <v>2180</v>
      </c>
      <c r="AB86" s="123">
        <v>5.5</v>
      </c>
      <c r="AC86" s="123">
        <v>1</v>
      </c>
      <c r="AD86" s="123"/>
      <c r="AH86" s="129">
        <f t="shared" si="8"/>
        <v>291</v>
      </c>
      <c r="AI86" t="b">
        <f t="shared" si="14"/>
        <v>0</v>
      </c>
      <c r="AJ86" s="123">
        <f t="shared" si="9"/>
        <v>49</v>
      </c>
      <c r="AK86" t="b">
        <f t="shared" si="15"/>
        <v>0</v>
      </c>
    </row>
    <row r="87" spans="1:37">
      <c r="A87" s="121">
        <v>85</v>
      </c>
      <c r="B87" s="122" t="s">
        <v>2276</v>
      </c>
      <c r="C87" s="122" t="s">
        <v>2301</v>
      </c>
      <c r="D87" s="122" t="s">
        <v>2296</v>
      </c>
      <c r="E87" s="124">
        <v>42767</v>
      </c>
      <c r="F87" s="125">
        <v>0.44097222222222227</v>
      </c>
      <c r="G87" s="124">
        <v>42819</v>
      </c>
      <c r="H87" s="125">
        <v>0.71875</v>
      </c>
      <c r="I87" s="123">
        <v>888</v>
      </c>
      <c r="J87" s="123">
        <v>308</v>
      </c>
      <c r="K87" s="142" t="str">
        <f t="shared" si="10"/>
        <v>G308</v>
      </c>
      <c r="L87" s="123">
        <v>315</v>
      </c>
      <c r="M87" s="142" t="str">
        <f t="shared" si="11"/>
        <v>R315</v>
      </c>
      <c r="N87" s="123">
        <v>441</v>
      </c>
      <c r="O87" s="142" t="str">
        <f t="shared" si="12"/>
        <v>G441</v>
      </c>
      <c r="P87" s="123">
        <v>391</v>
      </c>
      <c r="Q87" s="142" t="str">
        <f t="shared" si="13"/>
        <v>R391</v>
      </c>
      <c r="R87" s="123">
        <v>20.2</v>
      </c>
      <c r="S87" s="123">
        <v>33.5</v>
      </c>
      <c r="T87" s="123">
        <v>26.1</v>
      </c>
      <c r="U87" s="123">
        <v>19.600000000000001</v>
      </c>
      <c r="V87" s="123" t="s">
        <v>2206</v>
      </c>
      <c r="W87" s="126" t="s">
        <v>2203</v>
      </c>
      <c r="X87" s="126" t="s">
        <v>2187</v>
      </c>
      <c r="Y87" s="126"/>
      <c r="Z87" s="123">
        <v>3.8</v>
      </c>
      <c r="AA87" s="123" t="s">
        <v>2250</v>
      </c>
      <c r="AB87" s="123">
        <v>8.6</v>
      </c>
      <c r="AC87" s="123">
        <v>0</v>
      </c>
      <c r="AD87" s="123"/>
      <c r="AH87" s="123">
        <f t="shared" si="8"/>
        <v>308</v>
      </c>
      <c r="AI87" t="b">
        <f t="shared" si="14"/>
        <v>0</v>
      </c>
      <c r="AJ87" s="123">
        <f t="shared" si="9"/>
        <v>315</v>
      </c>
      <c r="AK87" t="b">
        <f t="shared" si="15"/>
        <v>0</v>
      </c>
    </row>
    <row r="88" spans="1:37">
      <c r="A88" s="121">
        <v>86</v>
      </c>
      <c r="B88" s="122" t="s">
        <v>2276</v>
      </c>
      <c r="C88" s="122" t="s">
        <v>2302</v>
      </c>
      <c r="D88" s="122" t="s">
        <v>2296</v>
      </c>
      <c r="E88" s="124">
        <v>42767</v>
      </c>
      <c r="F88" s="125">
        <v>0.44444444444444442</v>
      </c>
      <c r="G88" s="124">
        <v>42819</v>
      </c>
      <c r="H88" s="125">
        <v>0.72916666666666663</v>
      </c>
      <c r="I88" s="123">
        <v>889</v>
      </c>
      <c r="J88" s="123">
        <v>723</v>
      </c>
      <c r="K88" s="142" t="str">
        <f t="shared" si="10"/>
        <v>G723</v>
      </c>
      <c r="L88" s="123">
        <v>1</v>
      </c>
      <c r="M88" s="142" t="str">
        <f t="shared" si="11"/>
        <v>R1</v>
      </c>
      <c r="N88" s="123">
        <v>561</v>
      </c>
      <c r="O88" s="142" t="str">
        <f t="shared" si="12"/>
        <v>G561</v>
      </c>
      <c r="P88" s="123">
        <v>62</v>
      </c>
      <c r="Q88" s="142" t="str">
        <f t="shared" si="13"/>
        <v>R62</v>
      </c>
      <c r="R88" s="123">
        <v>21.2</v>
      </c>
      <c r="S88" s="123">
        <v>29.3</v>
      </c>
      <c r="T88" s="123">
        <v>30.4</v>
      </c>
      <c r="U88" s="123">
        <v>18.8</v>
      </c>
      <c r="V88" s="123" t="s">
        <v>2187</v>
      </c>
      <c r="W88" s="126" t="s">
        <v>2230</v>
      </c>
      <c r="X88" s="126" t="s">
        <v>2187</v>
      </c>
      <c r="Y88" s="126"/>
      <c r="Z88" s="123">
        <v>7.5</v>
      </c>
      <c r="AA88" s="123" t="s">
        <v>2250</v>
      </c>
      <c r="AB88" s="123">
        <v>3.7</v>
      </c>
      <c r="AC88" s="123">
        <v>0</v>
      </c>
      <c r="AD88" s="123"/>
      <c r="AH88" s="123">
        <f t="shared" si="8"/>
        <v>723</v>
      </c>
      <c r="AI88" t="b">
        <f t="shared" si="14"/>
        <v>0</v>
      </c>
      <c r="AJ88" s="123">
        <f t="shared" si="9"/>
        <v>1</v>
      </c>
      <c r="AK88" t="b">
        <f t="shared" si="15"/>
        <v>0</v>
      </c>
    </row>
    <row r="89" spans="1:37">
      <c r="A89" s="121">
        <v>87</v>
      </c>
      <c r="B89" s="122" t="s">
        <v>2276</v>
      </c>
      <c r="C89" s="122" t="s">
        <v>2303</v>
      </c>
      <c r="D89" s="122" t="s">
        <v>2296</v>
      </c>
      <c r="E89" s="124">
        <v>42767</v>
      </c>
      <c r="F89" s="125">
        <v>0.4513888888888889</v>
      </c>
      <c r="G89" s="124">
        <v>42819</v>
      </c>
      <c r="H89" s="125">
        <v>0.55555555555555558</v>
      </c>
      <c r="I89" s="123">
        <v>890</v>
      </c>
      <c r="J89" s="123">
        <v>628</v>
      </c>
      <c r="K89" s="142" t="str">
        <f t="shared" si="10"/>
        <v>G628</v>
      </c>
      <c r="L89" s="123">
        <v>408</v>
      </c>
      <c r="M89" s="142" t="str">
        <f t="shared" si="11"/>
        <v>R408</v>
      </c>
      <c r="N89" s="123">
        <v>632</v>
      </c>
      <c r="O89" s="142" t="str">
        <f t="shared" si="12"/>
        <v>G632</v>
      </c>
      <c r="P89" s="123">
        <v>329</v>
      </c>
      <c r="Q89" s="142" t="str">
        <f t="shared" si="13"/>
        <v>R329</v>
      </c>
      <c r="R89" s="123">
        <v>20.100000000000001</v>
      </c>
      <c r="S89" s="123">
        <v>29.3</v>
      </c>
      <c r="T89" s="123">
        <v>23</v>
      </c>
      <c r="U89" s="123">
        <v>22.4</v>
      </c>
      <c r="V89" s="123" t="s">
        <v>2203</v>
      </c>
      <c r="W89" s="126" t="s">
        <v>2234</v>
      </c>
      <c r="X89" s="126" t="s">
        <v>2187</v>
      </c>
      <c r="Y89" s="126"/>
      <c r="Z89" s="123">
        <v>12.6</v>
      </c>
      <c r="AA89" s="123" t="s">
        <v>2250</v>
      </c>
      <c r="AB89" s="123">
        <v>7.5</v>
      </c>
      <c r="AC89" s="123">
        <v>1</v>
      </c>
      <c r="AD89" s="123"/>
      <c r="AH89" s="123">
        <f t="shared" si="8"/>
        <v>628</v>
      </c>
      <c r="AI89" t="b">
        <f t="shared" si="14"/>
        <v>0</v>
      </c>
      <c r="AJ89" s="123">
        <f t="shared" si="9"/>
        <v>408</v>
      </c>
      <c r="AK89" t="b">
        <f t="shared" si="15"/>
        <v>0</v>
      </c>
    </row>
    <row r="90" spans="1:37">
      <c r="A90" s="169">
        <v>88</v>
      </c>
      <c r="B90" s="170" t="s">
        <v>2276</v>
      </c>
      <c r="C90" s="170" t="s">
        <v>2304</v>
      </c>
      <c r="D90" s="170" t="s">
        <v>2296</v>
      </c>
      <c r="E90" s="171">
        <v>42767</v>
      </c>
      <c r="F90" s="174">
        <v>0.4513888888888889</v>
      </c>
      <c r="G90" s="169"/>
      <c r="H90" s="169"/>
      <c r="I90" s="169">
        <v>891</v>
      </c>
      <c r="J90" s="169">
        <v>569</v>
      </c>
      <c r="K90" s="142" t="str">
        <f t="shared" si="10"/>
        <v>G569</v>
      </c>
      <c r="L90" s="169">
        <v>385</v>
      </c>
      <c r="M90" s="142" t="str">
        <f t="shared" si="11"/>
        <v>R385</v>
      </c>
      <c r="N90" s="169">
        <v>611</v>
      </c>
      <c r="O90" s="142" t="str">
        <f t="shared" si="12"/>
        <v>G611</v>
      </c>
      <c r="P90" s="169">
        <v>288</v>
      </c>
      <c r="Q90" s="142" t="str">
        <f t="shared" si="13"/>
        <v>R288</v>
      </c>
      <c r="R90" s="169">
        <v>21.4</v>
      </c>
      <c r="S90" s="169">
        <v>29.7</v>
      </c>
      <c r="T90" s="169"/>
      <c r="U90" s="169"/>
      <c r="V90" s="169"/>
      <c r="W90" s="172"/>
      <c r="X90" s="172"/>
      <c r="Y90" s="172"/>
      <c r="Z90" s="169"/>
      <c r="AA90" s="169"/>
      <c r="AB90" s="169"/>
      <c r="AC90" s="169"/>
      <c r="AD90" s="169"/>
      <c r="AH90">
        <f t="shared" si="8"/>
        <v>569</v>
      </c>
      <c r="AI90" t="b">
        <f t="shared" si="14"/>
        <v>0</v>
      </c>
      <c r="AJ90">
        <f t="shared" si="9"/>
        <v>385</v>
      </c>
      <c r="AK90" t="b">
        <f t="shared" si="15"/>
        <v>0</v>
      </c>
    </row>
    <row r="91" spans="1:37">
      <c r="A91" s="121">
        <v>89</v>
      </c>
      <c r="B91" s="122" t="s">
        <v>2276</v>
      </c>
      <c r="C91" s="122" t="s">
        <v>2305</v>
      </c>
      <c r="D91" s="122" t="s">
        <v>2306</v>
      </c>
      <c r="E91" s="124">
        <v>42767</v>
      </c>
      <c r="F91" s="125">
        <v>0.4861111111111111</v>
      </c>
      <c r="G91" s="124">
        <v>42819</v>
      </c>
      <c r="H91" s="125">
        <v>0.42708333333333331</v>
      </c>
      <c r="I91" s="123">
        <v>898</v>
      </c>
      <c r="J91" s="123">
        <v>339</v>
      </c>
      <c r="K91" s="142" t="str">
        <f t="shared" si="10"/>
        <v>G339</v>
      </c>
      <c r="L91" s="123">
        <v>196</v>
      </c>
      <c r="M91" s="142" t="str">
        <f t="shared" si="11"/>
        <v>R196</v>
      </c>
      <c r="N91" s="123">
        <v>469</v>
      </c>
      <c r="O91" s="142" t="str">
        <f t="shared" si="12"/>
        <v>G469</v>
      </c>
      <c r="P91" s="123">
        <v>171</v>
      </c>
      <c r="Q91" s="142" t="str">
        <f t="shared" si="13"/>
        <v>R171</v>
      </c>
      <c r="R91" s="123">
        <v>24</v>
      </c>
      <c r="S91" s="123">
        <v>23.2</v>
      </c>
      <c r="T91" s="123">
        <v>24.9</v>
      </c>
      <c r="U91" s="123">
        <v>18.7</v>
      </c>
      <c r="V91" s="123"/>
      <c r="W91" s="126" t="s">
        <v>2200</v>
      </c>
      <c r="X91" s="126" t="s">
        <v>2187</v>
      </c>
      <c r="Y91" s="126"/>
      <c r="Z91" s="123">
        <v>35.799999999999997</v>
      </c>
      <c r="AA91" s="123" t="s">
        <v>2250</v>
      </c>
      <c r="AB91" s="123">
        <v>7.3</v>
      </c>
      <c r="AC91" s="123">
        <v>0</v>
      </c>
      <c r="AD91" s="123"/>
      <c r="AH91" s="123">
        <f t="shared" si="8"/>
        <v>339</v>
      </c>
      <c r="AI91" t="b">
        <f t="shared" si="14"/>
        <v>0</v>
      </c>
      <c r="AJ91" s="123">
        <f t="shared" si="9"/>
        <v>196</v>
      </c>
      <c r="AK91" t="b">
        <f t="shared" si="15"/>
        <v>0</v>
      </c>
    </row>
    <row r="92" spans="1:37">
      <c r="A92" s="121">
        <v>90</v>
      </c>
      <c r="B92" s="122" t="s">
        <v>2276</v>
      </c>
      <c r="C92" s="122" t="s">
        <v>2307</v>
      </c>
      <c r="D92" s="122" t="s">
        <v>2306</v>
      </c>
      <c r="E92" s="124">
        <v>42767</v>
      </c>
      <c r="F92" s="125">
        <v>0.4861111111111111</v>
      </c>
      <c r="G92" s="124">
        <v>42819</v>
      </c>
      <c r="H92" s="125">
        <v>0.43055555555555558</v>
      </c>
      <c r="I92" s="123">
        <v>899</v>
      </c>
      <c r="J92" s="123">
        <v>592</v>
      </c>
      <c r="K92" s="142" t="str">
        <f t="shared" si="10"/>
        <v>G592</v>
      </c>
      <c r="L92" s="123">
        <v>94</v>
      </c>
      <c r="M92" s="142" t="str">
        <f t="shared" si="11"/>
        <v>R94</v>
      </c>
      <c r="N92" s="123">
        <v>355</v>
      </c>
      <c r="O92" s="142" t="str">
        <f t="shared" si="12"/>
        <v>G355</v>
      </c>
      <c r="P92">
        <v>517</v>
      </c>
      <c r="Q92" s="142" t="str">
        <f t="shared" si="13"/>
        <v>R517</v>
      </c>
      <c r="R92" s="123">
        <v>23.5</v>
      </c>
      <c r="S92" s="123">
        <v>30.4</v>
      </c>
      <c r="T92" s="123">
        <v>24.2</v>
      </c>
      <c r="U92" s="123">
        <v>24.6</v>
      </c>
      <c r="V92" s="123"/>
      <c r="W92" s="126" t="s">
        <v>2187</v>
      </c>
      <c r="X92" s="126"/>
      <c r="Y92" s="126" t="s">
        <v>2187</v>
      </c>
      <c r="Z92" s="123">
        <v>30.4</v>
      </c>
      <c r="AA92" s="123" t="s">
        <v>2250</v>
      </c>
      <c r="AB92" s="123">
        <v>7.7</v>
      </c>
      <c r="AC92" s="123">
        <v>0</v>
      </c>
      <c r="AD92" s="123"/>
      <c r="AH92" s="123">
        <f t="shared" si="8"/>
        <v>592</v>
      </c>
      <c r="AI92" t="b">
        <f t="shared" si="14"/>
        <v>0</v>
      </c>
      <c r="AJ92" s="123">
        <f t="shared" si="9"/>
        <v>94</v>
      </c>
      <c r="AK92" t="b">
        <f t="shared" si="15"/>
        <v>0</v>
      </c>
    </row>
    <row r="93" spans="1:37">
      <c r="A93" s="121">
        <v>91</v>
      </c>
      <c r="B93" s="122" t="s">
        <v>2276</v>
      </c>
      <c r="C93" s="122" t="s">
        <v>2308</v>
      </c>
      <c r="D93" s="122" t="s">
        <v>2306</v>
      </c>
      <c r="E93" s="124">
        <v>42767</v>
      </c>
      <c r="F93" s="125">
        <v>0.48958333333333331</v>
      </c>
      <c r="G93" s="124">
        <v>42819</v>
      </c>
      <c r="H93" s="125">
        <v>0.45833333333333331</v>
      </c>
      <c r="I93" s="123">
        <v>900</v>
      </c>
      <c r="J93">
        <v>472</v>
      </c>
      <c r="K93" s="142" t="str">
        <f t="shared" si="10"/>
        <v>G472</v>
      </c>
      <c r="L93" s="123">
        <v>343</v>
      </c>
      <c r="M93" s="142" t="str">
        <f t="shared" si="11"/>
        <v>R343</v>
      </c>
      <c r="N93" s="123">
        <v>547</v>
      </c>
      <c r="O93" s="142" t="str">
        <f t="shared" si="12"/>
        <v>G547</v>
      </c>
      <c r="P93" s="123">
        <v>73</v>
      </c>
      <c r="Q93" s="142" t="str">
        <f t="shared" si="13"/>
        <v>R73</v>
      </c>
      <c r="R93" s="123">
        <v>23.9</v>
      </c>
      <c r="S93" s="123">
        <v>30.9</v>
      </c>
      <c r="T93" s="123">
        <v>24.8</v>
      </c>
      <c r="U93" s="123">
        <v>21.9</v>
      </c>
      <c r="V93" s="123" t="s">
        <v>2206</v>
      </c>
      <c r="W93" s="126" t="s">
        <v>2195</v>
      </c>
      <c r="X93" s="126" t="s">
        <v>2187</v>
      </c>
      <c r="Y93" s="126"/>
      <c r="Z93" s="123">
        <v>39.4</v>
      </c>
      <c r="AA93" s="123" t="s">
        <v>2250</v>
      </c>
      <c r="AB93" s="123">
        <v>6.1</v>
      </c>
      <c r="AC93" s="123">
        <v>1</v>
      </c>
      <c r="AD93" s="123"/>
      <c r="AH93">
        <f t="shared" si="8"/>
        <v>472</v>
      </c>
      <c r="AI93" t="b">
        <f t="shared" si="14"/>
        <v>0</v>
      </c>
      <c r="AJ93" s="123">
        <f t="shared" si="9"/>
        <v>343</v>
      </c>
      <c r="AK93" t="b">
        <f t="shared" si="15"/>
        <v>0</v>
      </c>
    </row>
    <row r="94" spans="1:37">
      <c r="A94" s="121">
        <v>92</v>
      </c>
      <c r="B94" s="122" t="s">
        <v>2276</v>
      </c>
      <c r="C94" s="122" t="s">
        <v>2309</v>
      </c>
      <c r="D94" s="122" t="s">
        <v>2306</v>
      </c>
      <c r="E94" s="124">
        <v>42767</v>
      </c>
      <c r="F94" s="125">
        <v>0.49305555555555558</v>
      </c>
      <c r="G94" s="124">
        <v>42819</v>
      </c>
      <c r="H94" s="125">
        <v>0.40277777777777773</v>
      </c>
      <c r="I94" s="123">
        <v>901</v>
      </c>
      <c r="J94" s="123">
        <v>529</v>
      </c>
      <c r="K94" s="142" t="str">
        <f t="shared" si="10"/>
        <v>G529</v>
      </c>
      <c r="L94" s="123">
        <v>445</v>
      </c>
      <c r="M94" s="142" t="str">
        <f t="shared" si="11"/>
        <v>R445</v>
      </c>
      <c r="N94" s="123">
        <v>763</v>
      </c>
      <c r="O94" s="142" t="str">
        <f t="shared" si="12"/>
        <v>G763</v>
      </c>
      <c r="P94" s="129">
        <v>4</v>
      </c>
      <c r="Q94" s="142" t="str">
        <f t="shared" si="13"/>
        <v>R4</v>
      </c>
      <c r="R94" s="129">
        <v>22.3</v>
      </c>
      <c r="S94" s="129">
        <v>31.7</v>
      </c>
      <c r="T94" s="123">
        <v>22.9</v>
      </c>
      <c r="U94" s="123">
        <v>21.2</v>
      </c>
      <c r="V94" s="123" t="s">
        <v>2195</v>
      </c>
      <c r="W94" s="126" t="s">
        <v>2195</v>
      </c>
      <c r="X94" s="126" t="s">
        <v>2187</v>
      </c>
      <c r="Y94" s="126" t="s">
        <v>2187</v>
      </c>
      <c r="Z94" s="123">
        <v>24.8</v>
      </c>
      <c r="AA94" s="123" t="s">
        <v>2250</v>
      </c>
      <c r="AB94" s="123">
        <v>7.7</v>
      </c>
      <c r="AC94" s="123">
        <v>1</v>
      </c>
      <c r="AD94" s="123"/>
      <c r="AH94" s="123">
        <f t="shared" si="8"/>
        <v>529</v>
      </c>
      <c r="AI94" t="b">
        <f t="shared" si="14"/>
        <v>0</v>
      </c>
      <c r="AJ94" s="123">
        <f t="shared" si="9"/>
        <v>445</v>
      </c>
      <c r="AK94" t="b">
        <f t="shared" si="15"/>
        <v>0</v>
      </c>
    </row>
    <row r="95" spans="1:37">
      <c r="A95" s="121">
        <v>93</v>
      </c>
      <c r="B95" s="122" t="s">
        <v>2276</v>
      </c>
      <c r="C95" s="122" t="s">
        <v>2310</v>
      </c>
      <c r="D95" s="122" t="s">
        <v>2306</v>
      </c>
      <c r="E95" s="124">
        <v>42767</v>
      </c>
      <c r="F95" s="125">
        <v>0.49652777777777773</v>
      </c>
      <c r="G95" s="124">
        <v>42819</v>
      </c>
      <c r="H95" s="125">
        <v>0.4375</v>
      </c>
      <c r="I95" s="123">
        <v>902</v>
      </c>
      <c r="J95" s="123">
        <v>636</v>
      </c>
      <c r="K95" s="142" t="str">
        <f t="shared" si="10"/>
        <v>G636</v>
      </c>
      <c r="L95" s="123">
        <v>12</v>
      </c>
      <c r="M95" s="142" t="str">
        <f t="shared" si="11"/>
        <v>R12</v>
      </c>
      <c r="N95" s="123">
        <v>424</v>
      </c>
      <c r="O95" s="142" t="str">
        <f t="shared" si="12"/>
        <v>G424</v>
      </c>
      <c r="P95" s="123">
        <v>136</v>
      </c>
      <c r="Q95" s="142" t="str">
        <f t="shared" si="13"/>
        <v>R136</v>
      </c>
      <c r="R95" s="123">
        <v>22.9</v>
      </c>
      <c r="S95" s="123">
        <v>29.6</v>
      </c>
      <c r="T95" s="123">
        <v>24.1</v>
      </c>
      <c r="U95" s="123">
        <v>20.9</v>
      </c>
      <c r="V95" s="123" t="s">
        <v>2187</v>
      </c>
      <c r="W95" s="126" t="s">
        <v>2179</v>
      </c>
      <c r="X95" s="126" t="s">
        <v>2187</v>
      </c>
      <c r="Y95" s="126" t="s">
        <v>2187</v>
      </c>
      <c r="Z95" s="123">
        <v>40</v>
      </c>
      <c r="AA95" s="123" t="s">
        <v>2250</v>
      </c>
      <c r="AB95" s="123">
        <v>6.6</v>
      </c>
      <c r="AC95" s="123">
        <v>1</v>
      </c>
      <c r="AD95" s="123"/>
      <c r="AH95" s="123">
        <f t="shared" si="8"/>
        <v>636</v>
      </c>
      <c r="AI95" t="b">
        <f t="shared" si="14"/>
        <v>0</v>
      </c>
      <c r="AJ95" s="123">
        <f t="shared" si="9"/>
        <v>12</v>
      </c>
      <c r="AK95" t="b">
        <f t="shared" si="15"/>
        <v>0</v>
      </c>
    </row>
    <row r="96" spans="1:37">
      <c r="A96" s="169">
        <v>94</v>
      </c>
      <c r="B96" s="170" t="s">
        <v>2276</v>
      </c>
      <c r="C96" s="170" t="s">
        <v>2311</v>
      </c>
      <c r="D96" s="170" t="s">
        <v>2306</v>
      </c>
      <c r="E96" s="171">
        <v>42767</v>
      </c>
      <c r="F96" s="174">
        <v>0.5</v>
      </c>
      <c r="G96" s="171"/>
      <c r="H96" s="169"/>
      <c r="I96" s="169">
        <v>903</v>
      </c>
      <c r="J96" s="169">
        <v>534</v>
      </c>
      <c r="K96" s="142" t="str">
        <f t="shared" si="10"/>
        <v>G534</v>
      </c>
      <c r="L96" s="169">
        <v>244</v>
      </c>
      <c r="M96" s="142" t="str">
        <f t="shared" si="11"/>
        <v>R244</v>
      </c>
      <c r="N96" s="169">
        <v>588</v>
      </c>
      <c r="O96" s="142" t="str">
        <f t="shared" si="12"/>
        <v>G588</v>
      </c>
      <c r="P96" s="169">
        <v>358</v>
      </c>
      <c r="Q96" s="142" t="str">
        <f t="shared" si="13"/>
        <v>R358</v>
      </c>
      <c r="R96" s="169">
        <v>22</v>
      </c>
      <c r="S96" s="169">
        <v>36.200000000000003</v>
      </c>
      <c r="T96" s="169"/>
      <c r="U96" s="169"/>
      <c r="V96" s="169"/>
      <c r="W96" s="172"/>
      <c r="X96" s="172"/>
      <c r="Y96" s="172"/>
      <c r="Z96" s="169"/>
      <c r="AA96" s="169"/>
      <c r="AB96" s="169"/>
      <c r="AC96" s="169"/>
      <c r="AD96" s="169"/>
      <c r="AH96">
        <f t="shared" si="8"/>
        <v>534</v>
      </c>
      <c r="AI96" t="b">
        <f t="shared" si="14"/>
        <v>0</v>
      </c>
      <c r="AJ96">
        <f t="shared" si="9"/>
        <v>244</v>
      </c>
      <c r="AK96" t="b">
        <f t="shared" si="15"/>
        <v>0</v>
      </c>
    </row>
    <row r="97" spans="1:37">
      <c r="A97" s="121">
        <v>95</v>
      </c>
      <c r="B97" s="122" t="s">
        <v>2276</v>
      </c>
      <c r="C97" s="122" t="s">
        <v>2312</v>
      </c>
      <c r="D97" s="122" t="s">
        <v>2306</v>
      </c>
      <c r="E97" s="124">
        <v>42767</v>
      </c>
      <c r="F97" s="125">
        <v>0.5</v>
      </c>
      <c r="G97" s="124">
        <v>42819</v>
      </c>
      <c r="H97" s="125">
        <v>0.44444444444444442</v>
      </c>
      <c r="I97" s="123">
        <v>904</v>
      </c>
      <c r="J97" s="123">
        <v>641</v>
      </c>
      <c r="K97" s="142" t="str">
        <f t="shared" si="10"/>
        <v>G641</v>
      </c>
      <c r="L97" s="123">
        <v>360</v>
      </c>
      <c r="M97" s="142" t="str">
        <f t="shared" si="11"/>
        <v>R360</v>
      </c>
      <c r="N97" s="123">
        <v>486</v>
      </c>
      <c r="O97" s="142" t="str">
        <f t="shared" si="12"/>
        <v>G486</v>
      </c>
      <c r="P97" s="123">
        <v>547</v>
      </c>
      <c r="Q97" s="142" t="str">
        <f t="shared" si="13"/>
        <v>R547</v>
      </c>
      <c r="R97" s="123">
        <v>23</v>
      </c>
      <c r="S97" s="123">
        <v>37.6</v>
      </c>
      <c r="T97" s="123">
        <v>23.4</v>
      </c>
      <c r="U97" s="123">
        <v>20.100000000000001</v>
      </c>
      <c r="V97" s="123" t="s">
        <v>2230</v>
      </c>
      <c r="W97" s="126" t="s">
        <v>2200</v>
      </c>
      <c r="X97" s="126" t="s">
        <v>2187</v>
      </c>
      <c r="Y97" s="126" t="s">
        <v>2187</v>
      </c>
      <c r="Z97" s="123">
        <v>15.2</v>
      </c>
      <c r="AA97" s="123" t="s">
        <v>2250</v>
      </c>
      <c r="AB97" s="123">
        <v>5.4</v>
      </c>
      <c r="AC97" s="123">
        <v>0</v>
      </c>
      <c r="AD97" s="123"/>
      <c r="AH97" s="123">
        <f t="shared" si="8"/>
        <v>641</v>
      </c>
      <c r="AI97" t="b">
        <f t="shared" si="14"/>
        <v>0</v>
      </c>
      <c r="AJ97" s="123">
        <f t="shared" si="9"/>
        <v>360</v>
      </c>
      <c r="AK97" t="b">
        <f t="shared" si="15"/>
        <v>0</v>
      </c>
    </row>
    <row r="98" spans="1:37">
      <c r="A98" s="121">
        <v>96</v>
      </c>
      <c r="B98" s="122" t="s">
        <v>2276</v>
      </c>
      <c r="C98" s="122" t="s">
        <v>2313</v>
      </c>
      <c r="D98" s="122" t="s">
        <v>2306</v>
      </c>
      <c r="E98" s="124">
        <v>42767</v>
      </c>
      <c r="F98" s="125">
        <v>0.50347222222222221</v>
      </c>
      <c r="G98" s="124">
        <v>42819</v>
      </c>
      <c r="H98" s="125">
        <v>0.4513888888888889</v>
      </c>
      <c r="I98" s="123">
        <v>905</v>
      </c>
      <c r="J98" s="123">
        <v>479</v>
      </c>
      <c r="K98" s="142" t="str">
        <f t="shared" si="10"/>
        <v>G479</v>
      </c>
      <c r="L98" s="123">
        <v>318</v>
      </c>
      <c r="M98" s="142" t="str">
        <f t="shared" si="11"/>
        <v>R318</v>
      </c>
      <c r="N98" s="123">
        <v>545</v>
      </c>
      <c r="O98" s="142" t="str">
        <f t="shared" si="12"/>
        <v>G545</v>
      </c>
      <c r="P98" s="123">
        <v>588</v>
      </c>
      <c r="Q98" s="142" t="str">
        <f t="shared" si="13"/>
        <v>R588</v>
      </c>
      <c r="R98" s="123">
        <v>24.6</v>
      </c>
      <c r="S98" s="123">
        <v>13.2</v>
      </c>
      <c r="T98" s="123">
        <v>24</v>
      </c>
      <c r="U98" s="123">
        <v>20.399999999999999</v>
      </c>
      <c r="V98" s="123" t="s">
        <v>2187</v>
      </c>
      <c r="W98" s="126" t="s">
        <v>2195</v>
      </c>
      <c r="X98" s="126" t="s">
        <v>2187</v>
      </c>
      <c r="Y98" s="126"/>
      <c r="Z98" s="123">
        <v>34.4</v>
      </c>
      <c r="AA98" s="123" t="s">
        <v>2250</v>
      </c>
      <c r="AB98" s="123">
        <v>4</v>
      </c>
      <c r="AC98" s="123">
        <v>0</v>
      </c>
      <c r="AD98" s="123"/>
      <c r="AH98" s="123">
        <f t="shared" si="8"/>
        <v>479</v>
      </c>
      <c r="AI98" t="b">
        <f t="shared" si="14"/>
        <v>0</v>
      </c>
      <c r="AJ98" s="123">
        <f t="shared" si="9"/>
        <v>318</v>
      </c>
      <c r="AK98" t="b">
        <f t="shared" si="15"/>
        <v>0</v>
      </c>
    </row>
    <row r="99" spans="1:37">
      <c r="A99" s="121">
        <v>97</v>
      </c>
      <c r="B99" s="122" t="s">
        <v>2666</v>
      </c>
      <c r="C99" s="122" t="s">
        <v>2315</v>
      </c>
      <c r="D99" s="122" t="s">
        <v>2178</v>
      </c>
      <c r="E99" s="124">
        <v>42762</v>
      </c>
      <c r="F99" s="125">
        <v>0.61111111111111105</v>
      </c>
      <c r="G99" s="124">
        <v>42816</v>
      </c>
      <c r="H99" s="125">
        <v>0.53472222222222221</v>
      </c>
      <c r="I99" s="123">
        <v>718</v>
      </c>
      <c r="J99" s="123">
        <v>741</v>
      </c>
      <c r="K99" s="142" t="str">
        <f t="shared" si="10"/>
        <v>G741</v>
      </c>
      <c r="L99" s="123">
        <v>518</v>
      </c>
      <c r="M99" s="142" t="str">
        <f t="shared" si="11"/>
        <v>R518</v>
      </c>
      <c r="N99" s="123">
        <v>847</v>
      </c>
      <c r="O99" s="142" t="str">
        <f t="shared" si="12"/>
        <v>G847</v>
      </c>
      <c r="P99" s="123">
        <v>576</v>
      </c>
      <c r="Q99" s="142" t="str">
        <f t="shared" si="13"/>
        <v>R576</v>
      </c>
      <c r="R99" s="123">
        <v>30.3</v>
      </c>
      <c r="S99" s="123">
        <v>10</v>
      </c>
      <c r="T99" s="123">
        <v>27.2</v>
      </c>
      <c r="U99" s="123">
        <v>28.5</v>
      </c>
      <c r="V99" s="123"/>
      <c r="W99" s="126" t="s">
        <v>2195</v>
      </c>
      <c r="X99" s="126"/>
      <c r="Y99" s="126"/>
      <c r="Z99" s="123">
        <v>8.9</v>
      </c>
      <c r="AA99" s="123" t="s">
        <v>2228</v>
      </c>
      <c r="AB99" s="123">
        <v>2.4</v>
      </c>
      <c r="AC99" s="123">
        <v>1</v>
      </c>
      <c r="AD99" s="123"/>
      <c r="AH99" s="123">
        <f t="shared" si="8"/>
        <v>741</v>
      </c>
      <c r="AI99" t="b">
        <f t="shared" si="14"/>
        <v>0</v>
      </c>
      <c r="AJ99" s="123">
        <f t="shared" si="9"/>
        <v>518</v>
      </c>
      <c r="AK99" t="b">
        <f t="shared" si="15"/>
        <v>0</v>
      </c>
    </row>
    <row r="100" spans="1:37">
      <c r="A100" s="121">
        <v>98</v>
      </c>
      <c r="B100" s="122" t="s">
        <v>2666</v>
      </c>
      <c r="C100" s="122" t="s">
        <v>2316</v>
      </c>
      <c r="D100" s="122" t="s">
        <v>2178</v>
      </c>
      <c r="E100" s="124">
        <v>42762</v>
      </c>
      <c r="F100" s="125">
        <v>0.61111111111111105</v>
      </c>
      <c r="G100" s="124">
        <v>42816</v>
      </c>
      <c r="H100" s="125">
        <v>0.53819444444444442</v>
      </c>
      <c r="I100" s="123">
        <v>719</v>
      </c>
      <c r="J100" s="123">
        <v>610</v>
      </c>
      <c r="K100" s="142" t="str">
        <f t="shared" si="10"/>
        <v>G610</v>
      </c>
      <c r="L100" s="123">
        <v>489</v>
      </c>
      <c r="M100" s="142" t="str">
        <f t="shared" si="11"/>
        <v>R489</v>
      </c>
      <c r="N100" s="123">
        <v>730</v>
      </c>
      <c r="O100" s="142" t="str">
        <f t="shared" si="12"/>
        <v>G730</v>
      </c>
      <c r="P100" s="123">
        <v>561</v>
      </c>
      <c r="Q100" s="142" t="str">
        <f t="shared" si="13"/>
        <v>R561</v>
      </c>
      <c r="R100" s="123">
        <v>32.6</v>
      </c>
      <c r="S100" s="123">
        <v>9.8000000000000007</v>
      </c>
      <c r="T100" s="123">
        <v>27.1</v>
      </c>
      <c r="U100" s="123">
        <v>34.700000000000003</v>
      </c>
      <c r="V100" s="123"/>
      <c r="W100" s="126"/>
      <c r="X100" s="126"/>
      <c r="Y100" s="126"/>
      <c r="Z100" s="123">
        <v>4.45</v>
      </c>
      <c r="AA100" s="123" t="s">
        <v>2228</v>
      </c>
      <c r="AB100" s="123">
        <v>7.8</v>
      </c>
      <c r="AC100" s="123">
        <v>1</v>
      </c>
      <c r="AD100" s="123"/>
      <c r="AH100" s="123">
        <f t="shared" si="8"/>
        <v>610</v>
      </c>
      <c r="AI100" t="b">
        <f t="shared" si="14"/>
        <v>0</v>
      </c>
      <c r="AJ100" s="123">
        <f t="shared" si="9"/>
        <v>489</v>
      </c>
      <c r="AK100" t="b">
        <f t="shared" si="15"/>
        <v>0</v>
      </c>
    </row>
    <row r="101" spans="1:37">
      <c r="A101" s="121">
        <v>99</v>
      </c>
      <c r="B101" s="122" t="s">
        <v>2666</v>
      </c>
      <c r="C101" s="122" t="s">
        <v>2317</v>
      </c>
      <c r="D101" s="122" t="s">
        <v>2178</v>
      </c>
      <c r="E101" s="124">
        <v>42762</v>
      </c>
      <c r="F101" s="125">
        <v>0.61458333333333337</v>
      </c>
      <c r="G101" s="124">
        <v>42816</v>
      </c>
      <c r="H101" s="125">
        <v>0.54166666666666663</v>
      </c>
      <c r="I101" s="123">
        <v>720</v>
      </c>
      <c r="J101" s="123">
        <v>765</v>
      </c>
      <c r="K101" s="142" t="str">
        <f t="shared" si="10"/>
        <v>G765</v>
      </c>
      <c r="L101" s="123">
        <v>549</v>
      </c>
      <c r="M101" s="142" t="str">
        <f t="shared" si="11"/>
        <v>R549</v>
      </c>
      <c r="N101" s="123">
        <v>691</v>
      </c>
      <c r="O101" s="142" t="str">
        <f t="shared" si="12"/>
        <v>G691</v>
      </c>
      <c r="P101" s="123">
        <v>496</v>
      </c>
      <c r="Q101" s="142" t="str">
        <f t="shared" si="13"/>
        <v>R496</v>
      </c>
      <c r="R101" s="123">
        <v>35.6</v>
      </c>
      <c r="S101" s="123">
        <v>8.9</v>
      </c>
      <c r="T101" s="123">
        <v>26.1</v>
      </c>
      <c r="U101" s="123">
        <v>27</v>
      </c>
      <c r="V101" s="123" t="s">
        <v>2187</v>
      </c>
      <c r="W101" s="126" t="s">
        <v>2187</v>
      </c>
      <c r="X101" s="126"/>
      <c r="Y101" s="126"/>
      <c r="Z101" s="123">
        <v>2.2999999999999998</v>
      </c>
      <c r="AA101" s="123" t="s">
        <v>2228</v>
      </c>
      <c r="AB101" s="123">
        <v>5.0999999999999996</v>
      </c>
      <c r="AC101" s="123">
        <v>0</v>
      </c>
      <c r="AD101" s="123"/>
      <c r="AH101" s="123">
        <f t="shared" si="8"/>
        <v>765</v>
      </c>
      <c r="AI101" t="b">
        <f t="shared" si="14"/>
        <v>0</v>
      </c>
      <c r="AJ101" s="123">
        <f t="shared" si="9"/>
        <v>549</v>
      </c>
      <c r="AK101" t="b">
        <f t="shared" si="15"/>
        <v>0</v>
      </c>
    </row>
    <row r="102" spans="1:37">
      <c r="A102" s="121">
        <v>100</v>
      </c>
      <c r="B102" s="122" t="s">
        <v>2666</v>
      </c>
      <c r="C102" s="122" t="s">
        <v>2318</v>
      </c>
      <c r="D102" s="122" t="s">
        <v>2178</v>
      </c>
      <c r="E102" s="124">
        <v>42762</v>
      </c>
      <c r="F102" s="125">
        <v>0.61805555555555558</v>
      </c>
      <c r="G102" s="124">
        <v>42816</v>
      </c>
      <c r="H102" s="125">
        <v>0.54513888888888895</v>
      </c>
      <c r="I102" s="123">
        <v>721</v>
      </c>
      <c r="J102" s="123">
        <v>728</v>
      </c>
      <c r="K102" s="142" t="str">
        <f t="shared" si="10"/>
        <v>G728</v>
      </c>
      <c r="L102" s="123">
        <v>500</v>
      </c>
      <c r="M102" s="142" t="str">
        <f t="shared" si="11"/>
        <v>R500</v>
      </c>
      <c r="N102" s="123">
        <v>828</v>
      </c>
      <c r="O102" s="142" t="str">
        <f t="shared" si="12"/>
        <v>G828</v>
      </c>
      <c r="P102" s="123">
        <v>497</v>
      </c>
      <c r="Q102" s="142" t="str">
        <f t="shared" si="13"/>
        <v>R497</v>
      </c>
      <c r="R102" s="123">
        <v>34.4</v>
      </c>
      <c r="S102" s="123">
        <v>8.9</v>
      </c>
      <c r="T102" s="123">
        <v>25.3</v>
      </c>
      <c r="U102" s="123">
        <v>24.1</v>
      </c>
      <c r="V102" s="123" t="s">
        <v>2319</v>
      </c>
      <c r="W102" s="126" t="s">
        <v>2195</v>
      </c>
      <c r="X102" s="126"/>
      <c r="Y102" s="126"/>
      <c r="Z102" s="123">
        <v>15</v>
      </c>
      <c r="AA102" s="123" t="s">
        <v>2228</v>
      </c>
      <c r="AB102" s="123">
        <v>1.6</v>
      </c>
      <c r="AC102" s="123">
        <v>1</v>
      </c>
      <c r="AD102" s="123"/>
      <c r="AH102" s="123">
        <f t="shared" si="8"/>
        <v>728</v>
      </c>
      <c r="AI102" t="b">
        <f t="shared" si="14"/>
        <v>0</v>
      </c>
      <c r="AJ102" s="123">
        <f t="shared" si="9"/>
        <v>500</v>
      </c>
      <c r="AK102" t="b">
        <f t="shared" si="15"/>
        <v>0</v>
      </c>
    </row>
    <row r="103" spans="1:37">
      <c r="A103" s="121">
        <v>101</v>
      </c>
      <c r="B103" s="122" t="s">
        <v>2666</v>
      </c>
      <c r="C103" s="122" t="s">
        <v>2320</v>
      </c>
      <c r="D103" s="122" t="s">
        <v>2178</v>
      </c>
      <c r="E103" s="124">
        <v>42762</v>
      </c>
      <c r="F103" s="125">
        <v>0.61805555555555558</v>
      </c>
      <c r="G103" s="124">
        <v>42816</v>
      </c>
      <c r="H103" s="125">
        <v>0.54861111111111105</v>
      </c>
      <c r="I103" s="123">
        <v>722</v>
      </c>
      <c r="J103" s="123">
        <v>808</v>
      </c>
      <c r="K103" s="142" t="str">
        <f t="shared" si="10"/>
        <v>G808</v>
      </c>
      <c r="L103" s="123">
        <v>482</v>
      </c>
      <c r="M103" s="142" t="str">
        <f t="shared" si="11"/>
        <v>R482</v>
      </c>
      <c r="N103" s="123">
        <v>875</v>
      </c>
      <c r="O103" s="142" t="str">
        <f t="shared" si="12"/>
        <v>G875</v>
      </c>
      <c r="P103" s="123">
        <v>10</v>
      </c>
      <c r="Q103" s="142" t="str">
        <f t="shared" si="13"/>
        <v>R10</v>
      </c>
      <c r="R103" s="123">
        <v>34.700000000000003</v>
      </c>
      <c r="S103" s="123">
        <v>11.3</v>
      </c>
      <c r="T103" s="123">
        <v>27.6</v>
      </c>
      <c r="U103" s="123">
        <v>33.799999999999997</v>
      </c>
      <c r="V103" s="123" t="s">
        <v>2179</v>
      </c>
      <c r="W103" s="126"/>
      <c r="X103" s="126"/>
      <c r="Y103" s="126"/>
      <c r="Z103" s="123">
        <v>17</v>
      </c>
      <c r="AA103" s="123" t="s">
        <v>2228</v>
      </c>
      <c r="AB103" s="123">
        <v>4.3499999999999996</v>
      </c>
      <c r="AC103" s="123">
        <v>1</v>
      </c>
      <c r="AD103" s="123"/>
      <c r="AH103" s="123">
        <f t="shared" si="8"/>
        <v>808</v>
      </c>
      <c r="AI103" t="b">
        <f t="shared" si="14"/>
        <v>0</v>
      </c>
      <c r="AJ103" s="123">
        <f t="shared" si="9"/>
        <v>482</v>
      </c>
      <c r="AK103" t="b">
        <f t="shared" si="15"/>
        <v>0</v>
      </c>
    </row>
    <row r="104" spans="1:37">
      <c r="A104" s="121">
        <v>102</v>
      </c>
      <c r="B104" s="122" t="s">
        <v>2666</v>
      </c>
      <c r="C104" s="122" t="s">
        <v>2321</v>
      </c>
      <c r="D104" s="122" t="s">
        <v>2178</v>
      </c>
      <c r="E104" s="124">
        <v>42762</v>
      </c>
      <c r="F104" s="125">
        <v>0.62152777777777779</v>
      </c>
      <c r="G104" s="124">
        <v>42816</v>
      </c>
      <c r="H104" s="125">
        <v>0.54861111111111105</v>
      </c>
      <c r="I104" s="123">
        <v>723</v>
      </c>
      <c r="J104" s="123">
        <v>892</v>
      </c>
      <c r="K104" s="142" t="str">
        <f t="shared" si="10"/>
        <v>G892</v>
      </c>
      <c r="L104" s="123">
        <v>569</v>
      </c>
      <c r="M104" s="142" t="str">
        <f t="shared" si="11"/>
        <v>R569</v>
      </c>
      <c r="N104" s="123">
        <v>824</v>
      </c>
      <c r="O104" s="142" t="str">
        <f t="shared" si="12"/>
        <v>G824</v>
      </c>
      <c r="P104" s="123">
        <v>26</v>
      </c>
      <c r="Q104" s="142" t="str">
        <f t="shared" si="13"/>
        <v>R26</v>
      </c>
      <c r="R104" s="123">
        <v>36.6</v>
      </c>
      <c r="S104" s="123">
        <v>7.4</v>
      </c>
      <c r="T104" s="123">
        <v>27</v>
      </c>
      <c r="U104" s="123">
        <v>34.799999999999997</v>
      </c>
      <c r="V104" s="123"/>
      <c r="W104" s="126"/>
      <c r="X104" s="126"/>
      <c r="Y104" s="126"/>
      <c r="Z104" s="123">
        <v>21</v>
      </c>
      <c r="AA104" s="123" t="s">
        <v>2228</v>
      </c>
      <c r="AB104" s="123">
        <v>7.7</v>
      </c>
      <c r="AC104" s="123">
        <v>1</v>
      </c>
      <c r="AD104" s="123"/>
      <c r="AH104" s="123">
        <f t="shared" si="8"/>
        <v>892</v>
      </c>
      <c r="AI104" t="b">
        <f t="shared" si="14"/>
        <v>0</v>
      </c>
      <c r="AJ104" s="123">
        <f t="shared" si="9"/>
        <v>569</v>
      </c>
      <c r="AK104" t="b">
        <f t="shared" si="15"/>
        <v>0</v>
      </c>
    </row>
    <row r="105" spans="1:37">
      <c r="A105" s="121">
        <v>103</v>
      </c>
      <c r="B105" s="122" t="s">
        <v>2666</v>
      </c>
      <c r="C105" s="122" t="s">
        <v>2322</v>
      </c>
      <c r="D105" s="122" t="s">
        <v>2178</v>
      </c>
      <c r="E105" s="124">
        <v>42762</v>
      </c>
      <c r="F105" s="125">
        <v>0.62152777777777779</v>
      </c>
      <c r="G105" s="124">
        <v>42816</v>
      </c>
      <c r="H105" s="125">
        <v>0.54861111111111105</v>
      </c>
      <c r="I105" s="123">
        <v>724</v>
      </c>
      <c r="J105" s="123">
        <v>869</v>
      </c>
      <c r="K105" s="142" t="str">
        <f t="shared" si="10"/>
        <v>G869</v>
      </c>
      <c r="L105" s="123">
        <v>430</v>
      </c>
      <c r="M105" s="142" t="str">
        <f t="shared" si="11"/>
        <v>R430</v>
      </c>
      <c r="N105" s="123">
        <v>692</v>
      </c>
      <c r="O105" s="142" t="str">
        <f t="shared" si="12"/>
        <v>G692</v>
      </c>
      <c r="P105" s="123">
        <v>494</v>
      </c>
      <c r="Q105" s="142" t="str">
        <f t="shared" si="13"/>
        <v>R494</v>
      </c>
      <c r="R105" s="123">
        <v>34.299999999999997</v>
      </c>
      <c r="S105" s="123">
        <v>9.8000000000000007</v>
      </c>
      <c r="T105" s="123">
        <v>26.2</v>
      </c>
      <c r="U105" s="123">
        <v>31.1</v>
      </c>
      <c r="V105" s="123"/>
      <c r="W105" s="126"/>
      <c r="X105" s="126"/>
      <c r="Y105" s="126" t="s">
        <v>2187</v>
      </c>
      <c r="Z105" s="123">
        <v>16</v>
      </c>
      <c r="AA105" s="123" t="s">
        <v>2228</v>
      </c>
      <c r="AB105" s="123">
        <v>3.25</v>
      </c>
      <c r="AC105" s="123">
        <v>1</v>
      </c>
      <c r="AD105" s="123"/>
      <c r="AE105" s="92"/>
      <c r="AH105" s="123">
        <f t="shared" si="8"/>
        <v>869</v>
      </c>
      <c r="AI105" t="b">
        <f t="shared" si="14"/>
        <v>0</v>
      </c>
      <c r="AJ105" s="123">
        <f t="shared" si="9"/>
        <v>430</v>
      </c>
      <c r="AK105" t="b">
        <f t="shared" si="15"/>
        <v>0</v>
      </c>
    </row>
    <row r="106" spans="1:37">
      <c r="A106" s="121">
        <v>104</v>
      </c>
      <c r="B106" s="122" t="s">
        <v>2666</v>
      </c>
      <c r="C106" s="122" t="s">
        <v>2323</v>
      </c>
      <c r="D106" s="122" t="s">
        <v>2178</v>
      </c>
      <c r="E106" s="124">
        <v>42762</v>
      </c>
      <c r="F106" s="125">
        <v>0.625</v>
      </c>
      <c r="G106" s="124">
        <v>42816</v>
      </c>
      <c r="H106" s="125">
        <v>0.54861111111111105</v>
      </c>
      <c r="I106" s="123">
        <v>725</v>
      </c>
      <c r="J106" s="123">
        <v>881</v>
      </c>
      <c r="K106" s="142" t="str">
        <f t="shared" si="10"/>
        <v>G881</v>
      </c>
      <c r="L106" s="123">
        <v>577</v>
      </c>
      <c r="M106" s="142" t="str">
        <f t="shared" si="11"/>
        <v>R577</v>
      </c>
      <c r="N106" s="123">
        <v>806</v>
      </c>
      <c r="O106" s="142" t="str">
        <f t="shared" si="12"/>
        <v>G806</v>
      </c>
      <c r="P106" s="123">
        <v>475</v>
      </c>
      <c r="Q106" s="142" t="str">
        <f t="shared" si="13"/>
        <v>R475</v>
      </c>
      <c r="R106" s="123">
        <v>32.5</v>
      </c>
      <c r="S106" s="123">
        <v>10</v>
      </c>
      <c r="T106" s="123">
        <v>26.1</v>
      </c>
      <c r="U106" s="123">
        <v>33.200000000000003</v>
      </c>
      <c r="V106" s="123"/>
      <c r="W106" s="126"/>
      <c r="X106" s="126"/>
      <c r="Y106" s="126"/>
      <c r="Z106" s="123">
        <v>17</v>
      </c>
      <c r="AA106" s="123" t="s">
        <v>2228</v>
      </c>
      <c r="AB106" s="123">
        <v>10.5</v>
      </c>
      <c r="AC106" s="123">
        <v>1</v>
      </c>
      <c r="AD106" s="123"/>
      <c r="AH106" s="123">
        <f t="shared" si="8"/>
        <v>881</v>
      </c>
      <c r="AI106" t="b">
        <f t="shared" si="14"/>
        <v>0</v>
      </c>
      <c r="AJ106" s="123">
        <f t="shared" si="9"/>
        <v>577</v>
      </c>
      <c r="AK106" t="b">
        <f t="shared" si="15"/>
        <v>0</v>
      </c>
    </row>
    <row r="107" spans="1:37">
      <c r="A107" s="121">
        <v>105</v>
      </c>
      <c r="B107" s="122" t="s">
        <v>2666</v>
      </c>
      <c r="C107" s="122" t="s">
        <v>2324</v>
      </c>
      <c r="D107" s="122" t="s">
        <v>2194</v>
      </c>
      <c r="E107" s="124">
        <v>42762</v>
      </c>
      <c r="F107" s="125">
        <v>0.63194444444444442</v>
      </c>
      <c r="G107" s="124">
        <v>42816</v>
      </c>
      <c r="H107" s="125">
        <v>0.52083333333333337</v>
      </c>
      <c r="I107" s="123">
        <v>726</v>
      </c>
      <c r="J107" s="123">
        <v>729</v>
      </c>
      <c r="K107" s="142" t="str">
        <f t="shared" si="10"/>
        <v>G729</v>
      </c>
      <c r="L107" s="123">
        <v>548</v>
      </c>
      <c r="M107" s="142" t="str">
        <f t="shared" si="11"/>
        <v>R548</v>
      </c>
      <c r="N107" s="123">
        <v>861</v>
      </c>
      <c r="O107" s="142" t="str">
        <f t="shared" si="12"/>
        <v>G861</v>
      </c>
      <c r="P107">
        <v>540</v>
      </c>
      <c r="Q107" s="142" t="str">
        <f t="shared" si="13"/>
        <v>R540</v>
      </c>
      <c r="R107" s="123">
        <v>36.200000000000003</v>
      </c>
      <c r="S107" s="123">
        <v>4.5999999999999996</v>
      </c>
      <c r="T107" s="123">
        <v>28.1</v>
      </c>
      <c r="U107" s="123">
        <v>18.100000000000001</v>
      </c>
      <c r="V107" s="123"/>
      <c r="W107" s="126" t="s">
        <v>2187</v>
      </c>
      <c r="X107" s="126"/>
      <c r="Y107" s="126" t="s">
        <v>2187</v>
      </c>
      <c r="Z107" s="123">
        <v>23.5</v>
      </c>
      <c r="AA107" s="123" t="s">
        <v>2180</v>
      </c>
      <c r="AB107" s="123">
        <v>5.5</v>
      </c>
      <c r="AC107" s="123">
        <v>0</v>
      </c>
      <c r="AD107" s="123"/>
      <c r="AH107" s="123">
        <f t="shared" si="8"/>
        <v>729</v>
      </c>
      <c r="AI107" t="b">
        <f t="shared" si="14"/>
        <v>0</v>
      </c>
      <c r="AJ107" s="123">
        <f t="shared" si="9"/>
        <v>548</v>
      </c>
      <c r="AK107" t="b">
        <f t="shared" si="15"/>
        <v>0</v>
      </c>
    </row>
    <row r="108" spans="1:37">
      <c r="A108" s="121">
        <v>106</v>
      </c>
      <c r="B108" s="122" t="s">
        <v>2666</v>
      </c>
      <c r="C108" s="122" t="s">
        <v>2325</v>
      </c>
      <c r="D108" s="122" t="s">
        <v>2194</v>
      </c>
      <c r="E108" s="124">
        <v>42762</v>
      </c>
      <c r="F108" s="125">
        <v>0.63194444444444442</v>
      </c>
      <c r="G108" s="124">
        <v>42816</v>
      </c>
      <c r="H108" s="125">
        <v>0.51736111111111105</v>
      </c>
      <c r="I108" s="123">
        <v>727</v>
      </c>
      <c r="J108" s="123">
        <v>837</v>
      </c>
      <c r="K108" s="142" t="str">
        <f t="shared" si="10"/>
        <v>G837</v>
      </c>
      <c r="L108" s="123">
        <v>590</v>
      </c>
      <c r="M108" s="142" t="str">
        <f t="shared" si="11"/>
        <v>R590</v>
      </c>
      <c r="N108" s="123">
        <v>738</v>
      </c>
      <c r="O108" s="142" t="str">
        <f t="shared" si="12"/>
        <v>G738</v>
      </c>
      <c r="P108" s="123">
        <v>593</v>
      </c>
      <c r="Q108" s="142" t="str">
        <f t="shared" si="13"/>
        <v>R593</v>
      </c>
      <c r="R108" s="123">
        <v>37.1</v>
      </c>
      <c r="S108" s="123">
        <v>8.3000000000000007</v>
      </c>
      <c r="T108" s="123">
        <v>28.8</v>
      </c>
      <c r="U108" s="123">
        <v>16.5</v>
      </c>
      <c r="V108" s="123" t="s">
        <v>2187</v>
      </c>
      <c r="W108" s="126" t="s">
        <v>2187</v>
      </c>
      <c r="X108" s="126" t="s">
        <v>2187</v>
      </c>
      <c r="Y108" s="126" t="s">
        <v>2187</v>
      </c>
      <c r="Z108" s="123">
        <v>17</v>
      </c>
      <c r="AA108" s="123" t="s">
        <v>2180</v>
      </c>
      <c r="AB108" s="123">
        <v>8.6</v>
      </c>
      <c r="AC108" s="123">
        <v>0</v>
      </c>
      <c r="AD108" s="123"/>
      <c r="AH108" s="123">
        <f t="shared" si="8"/>
        <v>837</v>
      </c>
      <c r="AI108" t="b">
        <f t="shared" si="14"/>
        <v>0</v>
      </c>
      <c r="AJ108" s="123">
        <f t="shared" si="9"/>
        <v>590</v>
      </c>
      <c r="AK108" t="b">
        <f t="shared" si="15"/>
        <v>0</v>
      </c>
    </row>
    <row r="109" spans="1:37">
      <c r="A109" s="121">
        <v>107</v>
      </c>
      <c r="B109" s="122" t="s">
        <v>2666</v>
      </c>
      <c r="C109" s="122" t="s">
        <v>2326</v>
      </c>
      <c r="D109" s="122" t="s">
        <v>2194</v>
      </c>
      <c r="E109" s="124">
        <v>42762</v>
      </c>
      <c r="F109" s="125">
        <v>0.63541666666666663</v>
      </c>
      <c r="G109" s="124">
        <v>42816</v>
      </c>
      <c r="H109" s="125">
        <v>0.52430555555555558</v>
      </c>
      <c r="I109" s="123">
        <v>728</v>
      </c>
      <c r="J109" s="123">
        <v>688</v>
      </c>
      <c r="K109" s="142" t="str">
        <f t="shared" si="10"/>
        <v>G688</v>
      </c>
      <c r="L109" s="123">
        <v>574</v>
      </c>
      <c r="M109" s="142" t="str">
        <f t="shared" si="11"/>
        <v>R574</v>
      </c>
      <c r="N109" s="123">
        <v>676</v>
      </c>
      <c r="O109" s="142" t="str">
        <f t="shared" si="12"/>
        <v>G676</v>
      </c>
      <c r="P109" s="123">
        <v>510</v>
      </c>
      <c r="Q109" s="142" t="str">
        <f t="shared" si="13"/>
        <v>R510</v>
      </c>
      <c r="R109" s="123">
        <v>35.299999999999997</v>
      </c>
      <c r="S109" s="123">
        <v>4.7</v>
      </c>
      <c r="T109" s="123">
        <v>29.6</v>
      </c>
      <c r="U109" s="123">
        <v>17.899999999999999</v>
      </c>
      <c r="V109" s="123" t="s">
        <v>2187</v>
      </c>
      <c r="W109" s="126"/>
      <c r="X109" s="126" t="s">
        <v>2187</v>
      </c>
      <c r="Y109" s="126"/>
      <c r="Z109" s="123">
        <v>15.5</v>
      </c>
      <c r="AA109" s="123" t="s">
        <v>2180</v>
      </c>
      <c r="AB109" s="123">
        <v>3.85</v>
      </c>
      <c r="AC109" s="123">
        <v>0</v>
      </c>
      <c r="AD109" s="123"/>
      <c r="AH109" s="123">
        <f t="shared" si="8"/>
        <v>688</v>
      </c>
      <c r="AI109" t="b">
        <f t="shared" si="14"/>
        <v>0</v>
      </c>
      <c r="AJ109" s="123">
        <f t="shared" si="9"/>
        <v>574</v>
      </c>
      <c r="AK109" t="b">
        <f t="shared" si="15"/>
        <v>0</v>
      </c>
    </row>
    <row r="110" spans="1:37">
      <c r="A110" s="121">
        <v>108</v>
      </c>
      <c r="B110" s="122" t="s">
        <v>2666</v>
      </c>
      <c r="C110" s="122" t="s">
        <v>2327</v>
      </c>
      <c r="D110" s="122" t="s">
        <v>2194</v>
      </c>
      <c r="E110" s="124">
        <v>42762</v>
      </c>
      <c r="F110" s="125">
        <v>0.63541666666666663</v>
      </c>
      <c r="G110" s="124">
        <v>42816</v>
      </c>
      <c r="H110" s="125">
        <v>0.52430555555555558</v>
      </c>
      <c r="I110" s="123">
        <v>729</v>
      </c>
      <c r="J110" s="123">
        <v>883</v>
      </c>
      <c r="K110" s="142" t="str">
        <f t="shared" si="10"/>
        <v>G883</v>
      </c>
      <c r="L110" s="123">
        <v>8</v>
      </c>
      <c r="M110" s="142" t="str">
        <f t="shared" si="11"/>
        <v>R8</v>
      </c>
      <c r="N110" s="123">
        <v>845</v>
      </c>
      <c r="O110" s="142" t="str">
        <f t="shared" si="12"/>
        <v>G845</v>
      </c>
      <c r="P110" s="123">
        <v>509</v>
      </c>
      <c r="Q110" s="142" t="str">
        <f t="shared" si="13"/>
        <v>R509</v>
      </c>
      <c r="R110" s="123">
        <v>35.1</v>
      </c>
      <c r="S110" s="123">
        <v>5.5</v>
      </c>
      <c r="T110" s="123">
        <v>28</v>
      </c>
      <c r="U110" s="123">
        <v>24.7</v>
      </c>
      <c r="V110" s="123" t="s">
        <v>2187</v>
      </c>
      <c r="W110" s="126" t="s">
        <v>2179</v>
      </c>
      <c r="X110" s="126" t="s">
        <v>2187</v>
      </c>
      <c r="Y110" s="126" t="s">
        <v>2187</v>
      </c>
      <c r="Z110" s="123">
        <v>22.5</v>
      </c>
      <c r="AA110" s="123" t="s">
        <v>2180</v>
      </c>
      <c r="AB110" s="123">
        <v>9.6999999999999993</v>
      </c>
      <c r="AC110" s="123">
        <v>0</v>
      </c>
      <c r="AD110" s="123" t="s">
        <v>2328</v>
      </c>
      <c r="AH110" s="123">
        <f t="shared" si="8"/>
        <v>883</v>
      </c>
      <c r="AI110" t="b">
        <f t="shared" si="14"/>
        <v>0</v>
      </c>
      <c r="AJ110" s="123">
        <f t="shared" si="9"/>
        <v>8</v>
      </c>
      <c r="AK110" t="b">
        <f t="shared" si="15"/>
        <v>0</v>
      </c>
    </row>
    <row r="111" spans="1:37">
      <c r="A111" s="121">
        <v>109</v>
      </c>
      <c r="B111" s="122" t="s">
        <v>2666</v>
      </c>
      <c r="C111" s="122" t="s">
        <v>2329</v>
      </c>
      <c r="D111" s="122" t="s">
        <v>2194</v>
      </c>
      <c r="E111" s="124">
        <v>42762</v>
      </c>
      <c r="F111" s="125">
        <v>0.63888888888888895</v>
      </c>
      <c r="G111" s="124">
        <v>42816</v>
      </c>
      <c r="H111" s="125">
        <v>0.52847222222222223</v>
      </c>
      <c r="I111" s="123">
        <v>730</v>
      </c>
      <c r="J111" s="123">
        <v>704</v>
      </c>
      <c r="K111" s="142" t="str">
        <f t="shared" si="10"/>
        <v>G704</v>
      </c>
      <c r="L111" s="123">
        <v>552</v>
      </c>
      <c r="M111" s="142" t="str">
        <f t="shared" si="11"/>
        <v>R552</v>
      </c>
      <c r="N111" s="123">
        <v>887</v>
      </c>
      <c r="O111" s="142" t="str">
        <f t="shared" si="12"/>
        <v>G887</v>
      </c>
      <c r="P111" s="123">
        <v>33</v>
      </c>
      <c r="Q111" s="142" t="str">
        <f t="shared" si="13"/>
        <v>R33</v>
      </c>
      <c r="R111" s="123">
        <v>38.200000000000003</v>
      </c>
      <c r="S111" s="123">
        <v>8.3000000000000007</v>
      </c>
      <c r="T111" s="123">
        <v>28.8</v>
      </c>
      <c r="U111" s="123">
        <v>9.6999999999999993</v>
      </c>
      <c r="V111" s="123" t="s">
        <v>2179</v>
      </c>
      <c r="W111" s="126"/>
      <c r="X111" s="126"/>
      <c r="Y111" s="126"/>
      <c r="Z111" s="123">
        <v>22.5</v>
      </c>
      <c r="AA111" s="123" t="s">
        <v>2180</v>
      </c>
      <c r="AB111" s="123">
        <v>10.5</v>
      </c>
      <c r="AC111" s="123">
        <v>0</v>
      </c>
      <c r="AD111" s="123"/>
      <c r="AH111" s="123">
        <f t="shared" si="8"/>
        <v>704</v>
      </c>
      <c r="AI111" t="b">
        <f t="shared" si="14"/>
        <v>0</v>
      </c>
      <c r="AJ111" s="123">
        <f t="shared" si="9"/>
        <v>552</v>
      </c>
      <c r="AK111" t="b">
        <f t="shared" si="15"/>
        <v>0</v>
      </c>
    </row>
    <row r="112" spans="1:37">
      <c r="A112" s="121">
        <v>110</v>
      </c>
      <c r="B112" s="122" t="s">
        <v>2666</v>
      </c>
      <c r="C112" s="122" t="s">
        <v>2330</v>
      </c>
      <c r="D112" s="122" t="s">
        <v>2194</v>
      </c>
      <c r="E112" s="124">
        <v>42762</v>
      </c>
      <c r="F112" s="125">
        <v>0.64236111111111105</v>
      </c>
      <c r="G112" s="124">
        <v>42816</v>
      </c>
      <c r="H112" s="125">
        <v>0.51388888888888895</v>
      </c>
      <c r="I112" s="123">
        <v>731</v>
      </c>
      <c r="J112" s="123">
        <v>742</v>
      </c>
      <c r="K112" s="142" t="str">
        <f t="shared" si="10"/>
        <v>G742</v>
      </c>
      <c r="L112" s="123">
        <v>462</v>
      </c>
      <c r="M112" s="142" t="str">
        <f t="shared" si="11"/>
        <v>R462</v>
      </c>
      <c r="N112" s="178">
        <v>882</v>
      </c>
      <c r="O112" s="142" t="str">
        <f t="shared" si="12"/>
        <v>G882</v>
      </c>
      <c r="P112" t="s">
        <v>2497</v>
      </c>
      <c r="Q112" s="142" t="str">
        <f t="shared" si="13"/>
        <v>R54a</v>
      </c>
      <c r="R112" s="123">
        <v>33.6</v>
      </c>
      <c r="S112" s="123">
        <v>9.3000000000000007</v>
      </c>
      <c r="T112" s="123">
        <v>27.4</v>
      </c>
      <c r="U112" s="123">
        <v>24.6</v>
      </c>
      <c r="V112" s="123"/>
      <c r="W112" s="126"/>
      <c r="X112" s="126"/>
      <c r="Y112" s="126" t="s">
        <v>2187</v>
      </c>
      <c r="Z112" s="123">
        <v>22.5</v>
      </c>
      <c r="AA112" s="123" t="s">
        <v>2180</v>
      </c>
      <c r="AB112" s="123">
        <v>5.75</v>
      </c>
      <c r="AC112" s="123">
        <v>0</v>
      </c>
      <c r="AD112" s="123"/>
      <c r="AH112" s="123">
        <f t="shared" si="8"/>
        <v>742</v>
      </c>
      <c r="AI112" t="b">
        <f t="shared" si="14"/>
        <v>0</v>
      </c>
      <c r="AJ112" s="123">
        <f t="shared" si="9"/>
        <v>462</v>
      </c>
      <c r="AK112" t="b">
        <f t="shared" si="15"/>
        <v>0</v>
      </c>
    </row>
    <row r="113" spans="1:37">
      <c r="A113" s="121">
        <v>111</v>
      </c>
      <c r="B113" s="122" t="s">
        <v>2666</v>
      </c>
      <c r="C113" s="122" t="s">
        <v>2331</v>
      </c>
      <c r="D113" s="122" t="s">
        <v>2194</v>
      </c>
      <c r="E113" s="124">
        <v>42762</v>
      </c>
      <c r="F113" s="125">
        <v>0.64236111111111105</v>
      </c>
      <c r="G113" s="124">
        <v>42816</v>
      </c>
      <c r="H113" s="125">
        <v>0.53125</v>
      </c>
      <c r="I113" s="123">
        <v>732</v>
      </c>
      <c r="J113" s="123">
        <v>831</v>
      </c>
      <c r="K113" s="142" t="str">
        <f t="shared" si="10"/>
        <v>G831</v>
      </c>
      <c r="L113" s="123">
        <v>505</v>
      </c>
      <c r="M113" s="142" t="str">
        <f t="shared" si="11"/>
        <v>R505</v>
      </c>
      <c r="N113" s="123">
        <v>695</v>
      </c>
      <c r="O113" s="142" t="str">
        <f t="shared" si="12"/>
        <v>G695</v>
      </c>
      <c r="P113" s="123">
        <v>487</v>
      </c>
      <c r="Q113" s="142" t="str">
        <f t="shared" si="13"/>
        <v>R487</v>
      </c>
      <c r="R113" s="123">
        <v>35.9</v>
      </c>
      <c r="S113" s="123">
        <v>9.5</v>
      </c>
      <c r="T113" s="123">
        <v>29.4</v>
      </c>
      <c r="U113" s="123">
        <v>12.7</v>
      </c>
      <c r="V113" s="123"/>
      <c r="W113" s="126"/>
      <c r="X113" s="126" t="s">
        <v>2187</v>
      </c>
      <c r="Y113" s="126"/>
      <c r="Z113" s="123">
        <v>26</v>
      </c>
      <c r="AA113" s="123" t="s">
        <v>2180</v>
      </c>
      <c r="AB113" s="123">
        <v>6.1</v>
      </c>
      <c r="AC113" s="123">
        <v>0</v>
      </c>
      <c r="AD113" s="123"/>
      <c r="AH113" s="123">
        <f t="shared" si="8"/>
        <v>831</v>
      </c>
      <c r="AI113" t="b">
        <f t="shared" si="14"/>
        <v>0</v>
      </c>
      <c r="AJ113" s="123">
        <f t="shared" si="9"/>
        <v>505</v>
      </c>
      <c r="AK113" t="b">
        <f t="shared" si="15"/>
        <v>0</v>
      </c>
    </row>
    <row r="114" spans="1:37">
      <c r="A114" s="121">
        <v>112</v>
      </c>
      <c r="B114" s="122" t="s">
        <v>2666</v>
      </c>
      <c r="C114" s="122" t="s">
        <v>2332</v>
      </c>
      <c r="D114" s="122" t="s">
        <v>2194</v>
      </c>
      <c r="E114" s="124">
        <v>42762</v>
      </c>
      <c r="F114" s="125">
        <v>0.64583333333333337</v>
      </c>
      <c r="G114" s="124">
        <v>42816</v>
      </c>
      <c r="H114" s="125">
        <v>0.53472222222222221</v>
      </c>
      <c r="I114" s="123">
        <v>733</v>
      </c>
      <c r="J114" s="123">
        <v>899</v>
      </c>
      <c r="K114" s="142" t="str">
        <f t="shared" si="10"/>
        <v>G899</v>
      </c>
      <c r="L114" s="123">
        <v>41</v>
      </c>
      <c r="M114" s="142" t="str">
        <f t="shared" si="11"/>
        <v>R41</v>
      </c>
      <c r="N114" s="123">
        <v>852</v>
      </c>
      <c r="O114" s="142" t="str">
        <f t="shared" si="12"/>
        <v>G852</v>
      </c>
      <c r="P114" s="123">
        <v>530</v>
      </c>
      <c r="Q114" s="142" t="str">
        <f t="shared" si="13"/>
        <v>R530</v>
      </c>
      <c r="R114" s="123">
        <v>34.200000000000003</v>
      </c>
      <c r="S114" s="123">
        <v>8.6999999999999993</v>
      </c>
      <c r="T114" s="123">
        <v>28.7</v>
      </c>
      <c r="U114" s="123">
        <v>21.7</v>
      </c>
      <c r="V114" s="123" t="s">
        <v>2179</v>
      </c>
      <c r="W114" s="126" t="s">
        <v>2187</v>
      </c>
      <c r="X114" s="126"/>
      <c r="Y114" s="126"/>
      <c r="Z114" s="123">
        <v>15</v>
      </c>
      <c r="AA114" s="123" t="s">
        <v>2180</v>
      </c>
      <c r="AB114" s="123">
        <v>11.5</v>
      </c>
      <c r="AC114" s="123">
        <v>0</v>
      </c>
      <c r="AD114" s="123"/>
      <c r="AH114" s="123">
        <f t="shared" si="8"/>
        <v>899</v>
      </c>
      <c r="AI114" t="b">
        <f t="shared" si="14"/>
        <v>0</v>
      </c>
      <c r="AJ114" s="123">
        <f t="shared" si="9"/>
        <v>41</v>
      </c>
      <c r="AK114" t="b">
        <f t="shared" si="15"/>
        <v>0</v>
      </c>
    </row>
    <row r="115" spans="1:37">
      <c r="A115" s="121">
        <v>113</v>
      </c>
      <c r="B115" s="122" t="s">
        <v>2666</v>
      </c>
      <c r="C115" s="122" t="s">
        <v>2333</v>
      </c>
      <c r="D115" s="122" t="s">
        <v>2208</v>
      </c>
      <c r="E115" s="124">
        <v>42762</v>
      </c>
      <c r="F115" s="125">
        <v>0.67708333333333337</v>
      </c>
      <c r="G115" s="124">
        <v>42816</v>
      </c>
      <c r="H115" s="124"/>
      <c r="I115" s="123">
        <v>739</v>
      </c>
      <c r="J115" s="123">
        <v>724</v>
      </c>
      <c r="K115" s="142" t="str">
        <f t="shared" si="10"/>
        <v>G724</v>
      </c>
      <c r="L115" s="123">
        <v>428</v>
      </c>
      <c r="M115" s="142" t="str">
        <f t="shared" si="11"/>
        <v>R428</v>
      </c>
      <c r="N115" s="123">
        <v>769</v>
      </c>
      <c r="O115" s="142" t="str">
        <f t="shared" si="12"/>
        <v>G769</v>
      </c>
      <c r="P115" s="123">
        <v>578</v>
      </c>
      <c r="Q115" s="142" t="str">
        <f t="shared" si="13"/>
        <v>R578</v>
      </c>
      <c r="R115" s="123">
        <v>32.299999999999997</v>
      </c>
      <c r="S115" s="123">
        <v>7.7</v>
      </c>
      <c r="T115" s="123">
        <v>32.5</v>
      </c>
      <c r="U115" s="123">
        <v>9.6999999999999993</v>
      </c>
      <c r="V115" s="123" t="s">
        <v>2234</v>
      </c>
      <c r="W115" s="126" t="s">
        <v>2200</v>
      </c>
      <c r="X115" s="126" t="s">
        <v>2187</v>
      </c>
      <c r="Y115" s="126" t="s">
        <v>2187</v>
      </c>
      <c r="Z115" s="123">
        <v>88.5</v>
      </c>
      <c r="AA115" s="123" t="s">
        <v>2228</v>
      </c>
      <c r="AB115" s="123">
        <v>26</v>
      </c>
      <c r="AC115" s="123">
        <v>0</v>
      </c>
      <c r="AD115" s="123"/>
      <c r="AH115" s="123">
        <f t="shared" si="8"/>
        <v>724</v>
      </c>
      <c r="AI115" t="b">
        <f t="shared" si="14"/>
        <v>0</v>
      </c>
      <c r="AJ115" s="123">
        <f t="shared" si="9"/>
        <v>428</v>
      </c>
      <c r="AK115" t="b">
        <f t="shared" si="15"/>
        <v>0</v>
      </c>
    </row>
    <row r="116" spans="1:37">
      <c r="A116" s="121">
        <v>114</v>
      </c>
      <c r="B116" s="122" t="s">
        <v>2666</v>
      </c>
      <c r="C116" s="122" t="s">
        <v>2334</v>
      </c>
      <c r="D116" s="122" t="s">
        <v>2208</v>
      </c>
      <c r="E116" s="124">
        <v>42762</v>
      </c>
      <c r="F116" s="125">
        <v>0.67708333333333337</v>
      </c>
      <c r="G116" s="124">
        <v>42816</v>
      </c>
      <c r="H116" s="125">
        <v>0.72916666666666663</v>
      </c>
      <c r="I116" s="123">
        <v>740</v>
      </c>
      <c r="J116" s="123">
        <v>803</v>
      </c>
      <c r="K116" s="142" t="str">
        <f t="shared" si="10"/>
        <v>G803</v>
      </c>
      <c r="L116" s="123">
        <v>601</v>
      </c>
      <c r="M116" s="142" t="str">
        <f t="shared" si="11"/>
        <v>R601</v>
      </c>
      <c r="N116" s="123">
        <v>889</v>
      </c>
      <c r="O116" s="142" t="str">
        <f t="shared" si="12"/>
        <v>G889</v>
      </c>
      <c r="P116" s="123">
        <v>37</v>
      </c>
      <c r="Q116" s="142" t="str">
        <f t="shared" si="13"/>
        <v>R37</v>
      </c>
      <c r="R116" s="123">
        <v>30.6</v>
      </c>
      <c r="S116" s="123">
        <v>8.1</v>
      </c>
      <c r="T116" s="123">
        <v>30.3</v>
      </c>
      <c r="U116" s="145">
        <v>17.7</v>
      </c>
      <c r="V116" s="126" t="s">
        <v>2200</v>
      </c>
      <c r="W116" s="126" t="s">
        <v>2200</v>
      </c>
      <c r="X116" s="126" t="s">
        <v>2187</v>
      </c>
      <c r="Y116" s="123"/>
      <c r="Z116" s="123">
        <v>87.5</v>
      </c>
      <c r="AA116" s="123" t="s">
        <v>2228</v>
      </c>
      <c r="AB116" s="123">
        <v>16.5</v>
      </c>
      <c r="AC116" s="123">
        <v>0</v>
      </c>
      <c r="AD116" s="123"/>
      <c r="AH116" s="123">
        <f t="shared" si="8"/>
        <v>803</v>
      </c>
      <c r="AI116" t="b">
        <f t="shared" si="14"/>
        <v>0</v>
      </c>
      <c r="AJ116" s="123">
        <f t="shared" si="9"/>
        <v>601</v>
      </c>
      <c r="AK116" t="b">
        <f t="shared" si="15"/>
        <v>0</v>
      </c>
    </row>
    <row r="117" spans="1:37">
      <c r="A117" s="121">
        <v>115</v>
      </c>
      <c r="B117" s="122" t="s">
        <v>2666</v>
      </c>
      <c r="C117" s="122" t="s">
        <v>2335</v>
      </c>
      <c r="D117" s="122" t="s">
        <v>2208</v>
      </c>
      <c r="E117" s="124">
        <v>42762</v>
      </c>
      <c r="F117" s="125">
        <v>0.6875</v>
      </c>
      <c r="G117" s="124">
        <v>42816</v>
      </c>
      <c r="H117" s="125">
        <v>0.72916666666666663</v>
      </c>
      <c r="I117" s="123">
        <v>741</v>
      </c>
      <c r="J117" s="123">
        <v>693</v>
      </c>
      <c r="K117" s="142" t="str">
        <f t="shared" si="10"/>
        <v>G693</v>
      </c>
      <c r="L117" s="123">
        <v>553</v>
      </c>
      <c r="M117" s="142" t="str">
        <f t="shared" si="11"/>
        <v>R553</v>
      </c>
      <c r="N117" s="123">
        <v>778</v>
      </c>
      <c r="O117" s="142" t="str">
        <f t="shared" si="12"/>
        <v>G778</v>
      </c>
      <c r="P117" s="123">
        <v>522</v>
      </c>
      <c r="Q117" s="142" t="str">
        <f t="shared" si="13"/>
        <v>R522</v>
      </c>
      <c r="R117" s="123">
        <v>32.9</v>
      </c>
      <c r="S117" s="123">
        <v>8.6999999999999993</v>
      </c>
      <c r="T117" s="123">
        <v>30.5</v>
      </c>
      <c r="U117" s="123">
        <v>11.2</v>
      </c>
      <c r="V117" s="126" t="s">
        <v>2187</v>
      </c>
      <c r="W117" s="126" t="s">
        <v>2200</v>
      </c>
      <c r="X117" s="126" t="s">
        <v>2187</v>
      </c>
      <c r="Y117" s="123" t="s">
        <v>2187</v>
      </c>
      <c r="Z117" s="123">
        <v>79.5</v>
      </c>
      <c r="AA117" s="123" t="s">
        <v>2228</v>
      </c>
      <c r="AB117" s="123">
        <v>19</v>
      </c>
      <c r="AC117" s="123">
        <v>1</v>
      </c>
      <c r="AD117" s="123"/>
      <c r="AH117" s="123">
        <f t="shared" si="8"/>
        <v>693</v>
      </c>
      <c r="AI117" t="b">
        <f t="shared" si="14"/>
        <v>0</v>
      </c>
      <c r="AJ117" s="123">
        <f t="shared" si="9"/>
        <v>553</v>
      </c>
      <c r="AK117" t="b">
        <f t="shared" si="15"/>
        <v>0</v>
      </c>
    </row>
    <row r="118" spans="1:37">
      <c r="A118" s="121">
        <v>116</v>
      </c>
      <c r="B118" s="122" t="s">
        <v>2666</v>
      </c>
      <c r="C118" s="122" t="s">
        <v>2336</v>
      </c>
      <c r="D118" s="122" t="s">
        <v>2208</v>
      </c>
      <c r="E118" s="124">
        <v>42762</v>
      </c>
      <c r="F118" s="125">
        <v>0.6875</v>
      </c>
      <c r="G118" s="124">
        <v>42816</v>
      </c>
      <c r="H118" s="125">
        <v>0.72569444444444453</v>
      </c>
      <c r="I118" s="123">
        <v>742</v>
      </c>
      <c r="J118" s="123">
        <v>897</v>
      </c>
      <c r="K118" s="142" t="str">
        <f t="shared" si="10"/>
        <v>G897</v>
      </c>
      <c r="L118" s="123">
        <v>459</v>
      </c>
      <c r="M118" s="142" t="str">
        <f t="shared" si="11"/>
        <v>R459</v>
      </c>
      <c r="N118" s="123">
        <v>563</v>
      </c>
      <c r="O118" s="142" t="str">
        <f t="shared" si="12"/>
        <v>G563</v>
      </c>
      <c r="P118" s="123">
        <v>480</v>
      </c>
      <c r="Q118" s="142" t="str">
        <f t="shared" si="13"/>
        <v>R480</v>
      </c>
      <c r="R118" s="123">
        <v>20.8</v>
      </c>
      <c r="S118" s="123">
        <v>7.4</v>
      </c>
      <c r="T118" s="123">
        <v>30.4</v>
      </c>
      <c r="U118" s="144">
        <v>10.1</v>
      </c>
      <c r="V118" s="126"/>
      <c r="W118" s="126" t="s">
        <v>2200</v>
      </c>
      <c r="X118" s="126" t="s">
        <v>2187</v>
      </c>
      <c r="Y118" s="123" t="s">
        <v>2187</v>
      </c>
      <c r="Z118" s="123">
        <v>76</v>
      </c>
      <c r="AA118" s="123" t="s">
        <v>2228</v>
      </c>
      <c r="AB118" s="123">
        <v>22.5</v>
      </c>
      <c r="AC118" s="123">
        <v>1</v>
      </c>
      <c r="AD118" s="123"/>
      <c r="AH118" s="123">
        <f t="shared" si="8"/>
        <v>897</v>
      </c>
      <c r="AI118" t="b">
        <f t="shared" si="14"/>
        <v>0</v>
      </c>
      <c r="AJ118" s="123">
        <f t="shared" si="9"/>
        <v>459</v>
      </c>
      <c r="AK118" t="b">
        <f t="shared" si="15"/>
        <v>0</v>
      </c>
    </row>
    <row r="119" spans="1:37">
      <c r="A119" s="121">
        <v>117</v>
      </c>
      <c r="B119" s="122" t="s">
        <v>2666</v>
      </c>
      <c r="C119" s="122" t="s">
        <v>2337</v>
      </c>
      <c r="D119" s="122" t="s">
        <v>2208</v>
      </c>
      <c r="E119" s="124">
        <v>42762</v>
      </c>
      <c r="F119" s="125">
        <v>0.70833333333333337</v>
      </c>
      <c r="G119" s="124">
        <v>42816</v>
      </c>
      <c r="H119" s="125">
        <v>0.72222222222222221</v>
      </c>
      <c r="I119" s="123">
        <v>743</v>
      </c>
      <c r="J119" s="123">
        <v>789</v>
      </c>
      <c r="K119" s="142" t="str">
        <f t="shared" si="10"/>
        <v>G789</v>
      </c>
      <c r="L119" s="123">
        <v>511</v>
      </c>
      <c r="M119" s="142" t="str">
        <f t="shared" si="11"/>
        <v>R511</v>
      </c>
      <c r="N119" s="123">
        <v>901</v>
      </c>
      <c r="O119" s="142" t="str">
        <f t="shared" si="12"/>
        <v>G901</v>
      </c>
      <c r="P119" s="123">
        <v>565</v>
      </c>
      <c r="Q119" s="142" t="str">
        <f t="shared" si="13"/>
        <v>R565</v>
      </c>
      <c r="R119" s="123">
        <v>31.6</v>
      </c>
      <c r="S119" s="123">
        <v>5.6</v>
      </c>
      <c r="T119" s="123">
        <v>31.9</v>
      </c>
      <c r="U119" s="123">
        <v>5.8</v>
      </c>
      <c r="V119" s="126" t="s">
        <v>2206</v>
      </c>
      <c r="W119" s="126" t="s">
        <v>2206</v>
      </c>
      <c r="X119" s="126" t="s">
        <v>2187</v>
      </c>
      <c r="Y119" s="123"/>
      <c r="Z119" s="123">
        <v>76</v>
      </c>
      <c r="AA119" s="123" t="s">
        <v>2228</v>
      </c>
      <c r="AB119" s="123">
        <v>23.5</v>
      </c>
      <c r="AC119" s="123">
        <v>1</v>
      </c>
      <c r="AD119" s="123"/>
      <c r="AH119" s="123">
        <f t="shared" si="8"/>
        <v>789</v>
      </c>
      <c r="AI119" t="b">
        <f t="shared" si="14"/>
        <v>0</v>
      </c>
      <c r="AJ119" s="123">
        <f t="shared" si="9"/>
        <v>511</v>
      </c>
      <c r="AK119" t="b">
        <f t="shared" si="15"/>
        <v>0</v>
      </c>
    </row>
    <row r="120" spans="1:37">
      <c r="A120" s="121">
        <v>118</v>
      </c>
      <c r="B120" s="122" t="s">
        <v>2666</v>
      </c>
      <c r="C120" s="122" t="s">
        <v>2338</v>
      </c>
      <c r="D120" s="122" t="s">
        <v>2208</v>
      </c>
      <c r="E120" s="124">
        <v>42762</v>
      </c>
      <c r="F120" s="125">
        <v>0.70833333333333337</v>
      </c>
      <c r="G120" s="124">
        <v>42816</v>
      </c>
      <c r="H120" s="125">
        <v>0.71875</v>
      </c>
      <c r="I120" s="123">
        <v>744</v>
      </c>
      <c r="J120" s="123">
        <v>681</v>
      </c>
      <c r="K120" s="142" t="str">
        <f t="shared" si="10"/>
        <v>G681</v>
      </c>
      <c r="L120" s="123">
        <v>495</v>
      </c>
      <c r="M120" s="142" t="str">
        <f t="shared" si="11"/>
        <v>R495</v>
      </c>
      <c r="N120" s="123">
        <v>791</v>
      </c>
      <c r="O120" s="142" t="str">
        <f t="shared" si="12"/>
        <v>G791</v>
      </c>
      <c r="P120" s="123">
        <v>544</v>
      </c>
      <c r="Q120" s="142" t="str">
        <f t="shared" si="13"/>
        <v>R544</v>
      </c>
      <c r="R120" s="123">
        <v>32</v>
      </c>
      <c r="S120" s="123">
        <v>6.7</v>
      </c>
      <c r="T120" s="123">
        <v>29.7</v>
      </c>
      <c r="U120" s="123">
        <v>14.7</v>
      </c>
      <c r="V120" s="126" t="s">
        <v>2230</v>
      </c>
      <c r="W120" s="126" t="s">
        <v>2179</v>
      </c>
      <c r="X120" s="126" t="s">
        <v>2187</v>
      </c>
      <c r="Y120" s="123"/>
      <c r="Z120" s="123">
        <v>70.5</v>
      </c>
      <c r="AA120" s="123" t="s">
        <v>2228</v>
      </c>
      <c r="AB120" s="123">
        <v>17.5</v>
      </c>
      <c r="AC120" s="123">
        <v>1</v>
      </c>
      <c r="AD120" s="123"/>
      <c r="AH120" s="123">
        <f t="shared" si="8"/>
        <v>681</v>
      </c>
      <c r="AI120" t="b">
        <f t="shared" si="14"/>
        <v>0</v>
      </c>
      <c r="AJ120" s="123">
        <f t="shared" si="9"/>
        <v>495</v>
      </c>
      <c r="AK120" t="b">
        <f t="shared" si="15"/>
        <v>0</v>
      </c>
    </row>
    <row r="121" spans="1:37">
      <c r="A121" s="121">
        <v>119</v>
      </c>
      <c r="B121" s="122" t="s">
        <v>2666</v>
      </c>
      <c r="C121" s="122" t="s">
        <v>2339</v>
      </c>
      <c r="D121" s="122" t="s">
        <v>2208</v>
      </c>
      <c r="E121" s="124">
        <v>42762</v>
      </c>
      <c r="F121" s="125">
        <v>0.70833333333333337</v>
      </c>
      <c r="G121" s="124">
        <v>42816</v>
      </c>
      <c r="H121" s="125">
        <v>0.71875</v>
      </c>
      <c r="I121" s="123">
        <v>745</v>
      </c>
      <c r="J121" s="123">
        <v>657</v>
      </c>
      <c r="K121" s="142" t="str">
        <f t="shared" si="10"/>
        <v>G657</v>
      </c>
      <c r="L121" s="123">
        <v>584</v>
      </c>
      <c r="M121" s="142" t="str">
        <f t="shared" si="11"/>
        <v>R584</v>
      </c>
      <c r="N121" s="123">
        <v>802</v>
      </c>
      <c r="O121" s="142" t="str">
        <f t="shared" si="12"/>
        <v>G802</v>
      </c>
      <c r="P121" s="123">
        <v>526</v>
      </c>
      <c r="Q121" s="142" t="str">
        <f t="shared" si="13"/>
        <v>R526</v>
      </c>
      <c r="R121" s="123">
        <v>29.8</v>
      </c>
      <c r="S121" s="123">
        <v>8</v>
      </c>
      <c r="T121" s="123">
        <v>31.1</v>
      </c>
      <c r="U121" s="123">
        <v>14.1</v>
      </c>
      <c r="V121" s="126" t="s">
        <v>2187</v>
      </c>
      <c r="W121" s="126" t="s">
        <v>2179</v>
      </c>
      <c r="X121" s="126" t="s">
        <v>2187</v>
      </c>
      <c r="Y121" s="123" t="s">
        <v>2187</v>
      </c>
      <c r="Z121" s="123">
        <v>74.5</v>
      </c>
      <c r="AA121" s="123" t="s">
        <v>2228</v>
      </c>
      <c r="AB121" s="123">
        <v>18.5</v>
      </c>
      <c r="AC121" s="123">
        <v>1</v>
      </c>
      <c r="AD121" s="123"/>
      <c r="AH121" s="123">
        <f t="shared" si="8"/>
        <v>657</v>
      </c>
      <c r="AI121" t="b">
        <f t="shared" si="14"/>
        <v>0</v>
      </c>
      <c r="AJ121" s="123">
        <f t="shared" si="9"/>
        <v>584</v>
      </c>
      <c r="AK121" t="b">
        <f t="shared" si="15"/>
        <v>0</v>
      </c>
    </row>
    <row r="122" spans="1:37">
      <c r="A122" s="121">
        <v>120</v>
      </c>
      <c r="B122" s="122" t="s">
        <v>2666</v>
      </c>
      <c r="C122" s="122" t="s">
        <v>2340</v>
      </c>
      <c r="D122" s="122" t="s">
        <v>2208</v>
      </c>
      <c r="E122" s="124">
        <v>42762</v>
      </c>
      <c r="F122" s="125">
        <v>0.70833333333333337</v>
      </c>
      <c r="G122" s="124">
        <v>42816</v>
      </c>
      <c r="H122" s="125">
        <v>0.73263888888888884</v>
      </c>
      <c r="I122" s="123">
        <v>746</v>
      </c>
      <c r="J122" s="123">
        <v>758</v>
      </c>
      <c r="K122" s="142" t="str">
        <f t="shared" si="10"/>
        <v>G758</v>
      </c>
      <c r="L122" s="123">
        <v>454</v>
      </c>
      <c r="M122" s="142" t="str">
        <f t="shared" si="11"/>
        <v>R454</v>
      </c>
      <c r="N122" s="123">
        <v>698</v>
      </c>
      <c r="O122" s="142" t="str">
        <f t="shared" si="12"/>
        <v>G698</v>
      </c>
      <c r="P122" s="123">
        <v>594</v>
      </c>
      <c r="Q122" s="142" t="str">
        <f t="shared" si="13"/>
        <v>R594</v>
      </c>
      <c r="R122" s="123">
        <v>30.2</v>
      </c>
      <c r="S122" s="123">
        <v>9.4</v>
      </c>
      <c r="T122" s="123">
        <v>30.4</v>
      </c>
      <c r="U122" s="123">
        <v>20.5</v>
      </c>
      <c r="V122" s="126" t="s">
        <v>2179</v>
      </c>
      <c r="W122" s="126" t="s">
        <v>2179</v>
      </c>
      <c r="X122" s="126"/>
      <c r="Y122" s="123" t="s">
        <v>2187</v>
      </c>
      <c r="Z122" s="123">
        <v>98.5</v>
      </c>
      <c r="AA122" s="123" t="s">
        <v>2228</v>
      </c>
      <c r="AB122" s="123">
        <v>19</v>
      </c>
      <c r="AC122" s="123">
        <v>0</v>
      </c>
      <c r="AD122" s="123"/>
      <c r="AH122" s="123">
        <f t="shared" si="8"/>
        <v>758</v>
      </c>
      <c r="AI122" t="b">
        <f t="shared" si="14"/>
        <v>0</v>
      </c>
      <c r="AJ122" s="123">
        <f t="shared" si="9"/>
        <v>454</v>
      </c>
      <c r="AK122" t="b">
        <f t="shared" si="15"/>
        <v>0</v>
      </c>
    </row>
    <row r="123" spans="1:37">
      <c r="A123" s="121">
        <v>121</v>
      </c>
      <c r="B123" s="122" t="s">
        <v>2666</v>
      </c>
      <c r="C123" s="122" t="s">
        <v>2341</v>
      </c>
      <c r="D123" s="122" t="s">
        <v>2218</v>
      </c>
      <c r="E123" s="124">
        <v>42762</v>
      </c>
      <c r="F123" s="125">
        <v>0.71527777777777779</v>
      </c>
      <c r="G123" s="124">
        <v>42816</v>
      </c>
      <c r="H123" s="125">
        <v>0.73611111111111116</v>
      </c>
      <c r="I123" s="123">
        <v>748</v>
      </c>
      <c r="J123" s="123">
        <v>666</v>
      </c>
      <c r="K123" s="142" t="str">
        <f t="shared" si="10"/>
        <v>G666</v>
      </c>
      <c r="L123" s="123">
        <v>532</v>
      </c>
      <c r="M123" s="142" t="str">
        <f t="shared" si="11"/>
        <v>R532</v>
      </c>
      <c r="N123" s="123">
        <v>825</v>
      </c>
      <c r="O123" s="142" t="str">
        <f t="shared" si="12"/>
        <v>G825</v>
      </c>
      <c r="P123" s="123">
        <v>564</v>
      </c>
      <c r="Q123" s="142" t="str">
        <f t="shared" si="13"/>
        <v>R564</v>
      </c>
      <c r="R123" s="123">
        <v>32.4</v>
      </c>
      <c r="S123" s="123">
        <v>6.6</v>
      </c>
      <c r="T123" s="123">
        <v>29.1</v>
      </c>
      <c r="U123" s="123">
        <v>12.5</v>
      </c>
      <c r="V123" s="126" t="s">
        <v>2187</v>
      </c>
      <c r="W123" s="126" t="s">
        <v>2234</v>
      </c>
      <c r="X123" s="126" t="s">
        <v>2187</v>
      </c>
      <c r="Y123" s="123" t="s">
        <v>2187</v>
      </c>
      <c r="Z123" s="123">
        <v>63</v>
      </c>
      <c r="AA123" s="123" t="s">
        <v>2228</v>
      </c>
      <c r="AB123" s="123">
        <v>9.65</v>
      </c>
      <c r="AC123" s="123">
        <v>0</v>
      </c>
      <c r="AD123" s="123"/>
      <c r="AH123" s="123">
        <f t="shared" si="8"/>
        <v>666</v>
      </c>
      <c r="AI123" t="b">
        <f t="shared" si="14"/>
        <v>0</v>
      </c>
      <c r="AJ123" s="123">
        <f t="shared" si="9"/>
        <v>532</v>
      </c>
      <c r="AK123" t="b">
        <f t="shared" si="15"/>
        <v>0</v>
      </c>
    </row>
    <row r="124" spans="1:37">
      <c r="A124" s="121">
        <v>122</v>
      </c>
      <c r="B124" s="122" t="s">
        <v>2666</v>
      </c>
      <c r="C124" s="122" t="s">
        <v>2342</v>
      </c>
      <c r="D124" s="122" t="s">
        <v>2218</v>
      </c>
      <c r="E124" s="124">
        <v>42762</v>
      </c>
      <c r="F124" s="125">
        <v>0.71875</v>
      </c>
      <c r="G124" s="124">
        <v>42816</v>
      </c>
      <c r="H124" s="125">
        <v>0.73958333333333337</v>
      </c>
      <c r="I124" s="123">
        <v>749</v>
      </c>
      <c r="J124" s="123">
        <v>860</v>
      </c>
      <c r="K124" s="142" t="str">
        <f t="shared" si="10"/>
        <v>G860</v>
      </c>
      <c r="L124" s="123">
        <v>11</v>
      </c>
      <c r="M124" s="142" t="str">
        <f t="shared" si="11"/>
        <v>R11</v>
      </c>
      <c r="N124" s="123">
        <v>839</v>
      </c>
      <c r="O124" s="142" t="str">
        <f t="shared" si="12"/>
        <v>G839</v>
      </c>
      <c r="P124" s="123">
        <v>429</v>
      </c>
      <c r="Q124" s="142" t="str">
        <f t="shared" si="13"/>
        <v>R429</v>
      </c>
      <c r="R124" s="123">
        <v>33.700000000000003</v>
      </c>
      <c r="S124" s="123">
        <v>8.5</v>
      </c>
      <c r="T124" s="123">
        <v>27.6</v>
      </c>
      <c r="U124" s="123">
        <v>15.1</v>
      </c>
      <c r="V124" s="126" t="s">
        <v>2206</v>
      </c>
      <c r="W124" s="126" t="s">
        <v>2187</v>
      </c>
      <c r="X124" s="126" t="s">
        <v>2187</v>
      </c>
      <c r="Y124" s="123" t="s">
        <v>2187</v>
      </c>
      <c r="Z124" s="123">
        <v>53</v>
      </c>
      <c r="AA124" s="123" t="s">
        <v>2228</v>
      </c>
      <c r="AB124" s="123">
        <v>3.1</v>
      </c>
      <c r="AC124" s="123">
        <v>0</v>
      </c>
      <c r="AD124" s="123"/>
      <c r="AH124" s="123">
        <f t="shared" si="8"/>
        <v>860</v>
      </c>
      <c r="AI124" t="b">
        <f t="shared" si="14"/>
        <v>0</v>
      </c>
      <c r="AJ124" s="123">
        <f t="shared" si="9"/>
        <v>11</v>
      </c>
      <c r="AK124" t="b">
        <f t="shared" si="15"/>
        <v>0</v>
      </c>
    </row>
    <row r="125" spans="1:37">
      <c r="A125" s="121">
        <v>123</v>
      </c>
      <c r="B125" s="122" t="s">
        <v>2666</v>
      </c>
      <c r="C125" s="122" t="s">
        <v>2343</v>
      </c>
      <c r="D125" s="122" t="s">
        <v>2218</v>
      </c>
      <c r="E125" s="124">
        <v>42762</v>
      </c>
      <c r="F125" s="125">
        <v>0.72569444444444453</v>
      </c>
      <c r="G125" s="124">
        <v>42816</v>
      </c>
      <c r="H125" s="125">
        <v>0.75</v>
      </c>
      <c r="I125" s="123">
        <v>751</v>
      </c>
      <c r="J125" s="123">
        <v>694</v>
      </c>
      <c r="K125" s="142" t="str">
        <f t="shared" si="10"/>
        <v>G694</v>
      </c>
      <c r="L125" s="129">
        <v>575</v>
      </c>
      <c r="M125" s="142" t="str">
        <f t="shared" si="11"/>
        <v>R575</v>
      </c>
      <c r="N125" s="123">
        <v>895</v>
      </c>
      <c r="O125" s="142" t="str">
        <f t="shared" si="12"/>
        <v>G895</v>
      </c>
      <c r="P125" s="123">
        <v>466</v>
      </c>
      <c r="Q125" s="142" t="str">
        <f t="shared" si="13"/>
        <v>R466</v>
      </c>
      <c r="R125" s="123">
        <v>33.200000000000003</v>
      </c>
      <c r="S125" s="123">
        <v>11.4</v>
      </c>
      <c r="T125" s="123">
        <v>30.5</v>
      </c>
      <c r="U125" s="123">
        <v>15</v>
      </c>
      <c r="V125" s="126" t="s">
        <v>2187</v>
      </c>
      <c r="W125" s="126" t="s">
        <v>2195</v>
      </c>
      <c r="X125" s="126"/>
      <c r="Y125" s="123"/>
      <c r="Z125" s="123">
        <v>51</v>
      </c>
      <c r="AA125" s="123" t="s">
        <v>2228</v>
      </c>
      <c r="AB125" s="123">
        <v>3.9</v>
      </c>
      <c r="AC125" s="123">
        <v>1</v>
      </c>
      <c r="AD125" s="123" t="s">
        <v>2344</v>
      </c>
      <c r="AH125" s="123">
        <f t="shared" si="8"/>
        <v>694</v>
      </c>
      <c r="AI125" t="b">
        <f t="shared" si="14"/>
        <v>0</v>
      </c>
      <c r="AJ125" s="132">
        <f t="shared" si="9"/>
        <v>575</v>
      </c>
      <c r="AK125" t="b">
        <f t="shared" si="15"/>
        <v>0</v>
      </c>
    </row>
    <row r="126" spans="1:37">
      <c r="A126" s="121">
        <v>124</v>
      </c>
      <c r="B126" s="122" t="s">
        <v>2666</v>
      </c>
      <c r="C126" s="122" t="s">
        <v>2345</v>
      </c>
      <c r="D126" s="122" t="s">
        <v>2218</v>
      </c>
      <c r="E126" s="124">
        <v>42762</v>
      </c>
      <c r="F126" s="125">
        <v>0.72569444444444453</v>
      </c>
      <c r="G126" s="124">
        <v>42816</v>
      </c>
      <c r="H126" s="125">
        <v>0.75</v>
      </c>
      <c r="I126" s="123">
        <v>750</v>
      </c>
      <c r="J126" s="123">
        <v>867</v>
      </c>
      <c r="K126" s="142" t="str">
        <f t="shared" si="10"/>
        <v>G867</v>
      </c>
      <c r="L126" s="123">
        <v>39</v>
      </c>
      <c r="M126" s="142" t="str">
        <f t="shared" si="11"/>
        <v>R39</v>
      </c>
      <c r="N126" s="123">
        <v>682</v>
      </c>
      <c r="O126" s="142" t="str">
        <f t="shared" si="12"/>
        <v>G682</v>
      </c>
      <c r="P126" s="123">
        <v>471</v>
      </c>
      <c r="Q126" s="142" t="str">
        <f t="shared" si="13"/>
        <v>R471</v>
      </c>
      <c r="R126" s="123">
        <v>31.4</v>
      </c>
      <c r="S126" s="123">
        <v>11.1</v>
      </c>
      <c r="T126" s="123">
        <v>30.8</v>
      </c>
      <c r="U126" s="123">
        <v>25.3</v>
      </c>
      <c r="V126" s="126" t="s">
        <v>2200</v>
      </c>
      <c r="W126" s="126" t="s">
        <v>2187</v>
      </c>
      <c r="X126" s="126"/>
      <c r="Y126" s="123"/>
      <c r="Z126" s="123">
        <v>47</v>
      </c>
      <c r="AA126" s="123" t="s">
        <v>2228</v>
      </c>
      <c r="AB126" s="123">
        <v>5.45</v>
      </c>
      <c r="AC126" s="123">
        <v>1</v>
      </c>
      <c r="AD126" s="123"/>
      <c r="AH126" s="123">
        <f t="shared" si="8"/>
        <v>867</v>
      </c>
      <c r="AI126" t="b">
        <f t="shared" si="14"/>
        <v>0</v>
      </c>
      <c r="AJ126" s="123">
        <f t="shared" si="9"/>
        <v>39</v>
      </c>
      <c r="AK126" t="b">
        <f t="shared" si="15"/>
        <v>0</v>
      </c>
    </row>
    <row r="127" spans="1:37">
      <c r="A127" s="121">
        <v>125</v>
      </c>
      <c r="B127" s="122" t="s">
        <v>2666</v>
      </c>
      <c r="C127" s="122" t="s">
        <v>2346</v>
      </c>
      <c r="D127" s="122" t="s">
        <v>2218</v>
      </c>
      <c r="E127" s="124">
        <v>42762</v>
      </c>
      <c r="F127" s="125">
        <v>0.72569444444444453</v>
      </c>
      <c r="G127" s="124">
        <v>42816</v>
      </c>
      <c r="H127" s="125">
        <v>0.74305555555555547</v>
      </c>
      <c r="I127" s="123">
        <v>752</v>
      </c>
      <c r="J127" s="123">
        <v>793</v>
      </c>
      <c r="K127" s="142" t="str">
        <f t="shared" si="10"/>
        <v>G793</v>
      </c>
      <c r="L127" s="123">
        <v>560</v>
      </c>
      <c r="M127" s="142" t="str">
        <f t="shared" si="11"/>
        <v>R560</v>
      </c>
      <c r="N127" s="123">
        <v>740</v>
      </c>
      <c r="O127" s="142" t="str">
        <f t="shared" si="12"/>
        <v>G740</v>
      </c>
      <c r="P127" s="123">
        <v>486</v>
      </c>
      <c r="Q127" s="142" t="str">
        <f t="shared" si="13"/>
        <v>R486</v>
      </c>
      <c r="R127" s="123">
        <v>31.8</v>
      </c>
      <c r="S127" s="123">
        <v>12.3</v>
      </c>
      <c r="T127" s="123">
        <v>32.299999999999997</v>
      </c>
      <c r="U127" s="123">
        <v>26.2</v>
      </c>
      <c r="V127" s="126" t="s">
        <v>2200</v>
      </c>
      <c r="W127" s="126" t="s">
        <v>2200</v>
      </c>
      <c r="X127" s="126" t="s">
        <v>2187</v>
      </c>
      <c r="Y127" s="123" t="s">
        <v>2187</v>
      </c>
      <c r="Z127" s="123">
        <v>43</v>
      </c>
      <c r="AA127" s="123" t="s">
        <v>2228</v>
      </c>
      <c r="AB127" s="123">
        <v>9.3000000000000007</v>
      </c>
      <c r="AC127" s="123">
        <v>1</v>
      </c>
      <c r="AD127" s="123"/>
      <c r="AH127" s="123">
        <f t="shared" si="8"/>
        <v>793</v>
      </c>
      <c r="AI127" t="b">
        <f t="shared" si="14"/>
        <v>0</v>
      </c>
      <c r="AJ127" s="123">
        <f t="shared" si="9"/>
        <v>560</v>
      </c>
      <c r="AK127" t="b">
        <f t="shared" si="15"/>
        <v>0</v>
      </c>
    </row>
    <row r="128" spans="1:37">
      <c r="A128" s="121">
        <v>126</v>
      </c>
      <c r="B128" s="122" t="s">
        <v>2666</v>
      </c>
      <c r="C128" s="122" t="s">
        <v>2347</v>
      </c>
      <c r="D128" s="122" t="s">
        <v>2218</v>
      </c>
      <c r="E128" s="124">
        <v>42762</v>
      </c>
      <c r="F128" s="125">
        <v>0.72916666666666663</v>
      </c>
      <c r="G128" s="124">
        <v>42816</v>
      </c>
      <c r="H128" s="125">
        <v>0.74652777777777779</v>
      </c>
      <c r="I128" s="123">
        <v>753</v>
      </c>
      <c r="J128" s="123">
        <v>749</v>
      </c>
      <c r="K128" s="142" t="str">
        <f t="shared" si="10"/>
        <v>G749</v>
      </c>
      <c r="L128" s="123">
        <v>562</v>
      </c>
      <c r="M128" s="142" t="str">
        <f t="shared" si="11"/>
        <v>R562</v>
      </c>
      <c r="N128" s="123">
        <v>841</v>
      </c>
      <c r="O128" s="142" t="str">
        <f t="shared" si="12"/>
        <v>G841</v>
      </c>
      <c r="P128" s="129">
        <v>55</v>
      </c>
      <c r="Q128" s="142" t="str">
        <f t="shared" si="13"/>
        <v>R55</v>
      </c>
      <c r="R128" s="129">
        <v>31.5</v>
      </c>
      <c r="S128" s="129">
        <v>10.5</v>
      </c>
      <c r="T128" s="123">
        <v>32.5</v>
      </c>
      <c r="U128" s="123">
        <v>22.8</v>
      </c>
      <c r="V128" s="126" t="s">
        <v>2200</v>
      </c>
      <c r="W128" s="126"/>
      <c r="X128" s="126" t="s">
        <v>2187</v>
      </c>
      <c r="Y128" s="123" t="s">
        <v>2187</v>
      </c>
      <c r="Z128" s="123">
        <v>40</v>
      </c>
      <c r="AA128" s="123" t="s">
        <v>2228</v>
      </c>
      <c r="AB128" s="123">
        <v>10.85</v>
      </c>
      <c r="AC128" s="123">
        <v>1</v>
      </c>
      <c r="AD128" s="123"/>
      <c r="AH128" s="123">
        <f t="shared" si="8"/>
        <v>749</v>
      </c>
      <c r="AI128" t="b">
        <f t="shared" si="14"/>
        <v>0</v>
      </c>
      <c r="AJ128" s="123">
        <f t="shared" si="9"/>
        <v>562</v>
      </c>
      <c r="AK128" t="b">
        <f t="shared" si="15"/>
        <v>0</v>
      </c>
    </row>
    <row r="129" spans="1:37">
      <c r="A129" s="121">
        <v>127</v>
      </c>
      <c r="B129" s="122" t="s">
        <v>2666</v>
      </c>
      <c r="C129" s="122" t="s">
        <v>2348</v>
      </c>
      <c r="D129" s="122" t="s">
        <v>2218</v>
      </c>
      <c r="E129" s="124">
        <v>42762</v>
      </c>
      <c r="F129" s="125">
        <v>0.73263888888888884</v>
      </c>
      <c r="G129" s="124">
        <v>42816</v>
      </c>
      <c r="H129" s="125">
        <v>0.75347222222222221</v>
      </c>
      <c r="I129" s="123">
        <v>754</v>
      </c>
      <c r="J129" s="123">
        <v>898</v>
      </c>
      <c r="K129" s="142" t="str">
        <f t="shared" si="10"/>
        <v>G898</v>
      </c>
      <c r="L129" s="123">
        <v>506</v>
      </c>
      <c r="M129" s="142" t="str">
        <f t="shared" si="11"/>
        <v>R506</v>
      </c>
      <c r="N129" s="123">
        <v>687</v>
      </c>
      <c r="O129" s="142" t="str">
        <f t="shared" si="12"/>
        <v>G687</v>
      </c>
      <c r="P129" s="123">
        <v>424</v>
      </c>
      <c r="Q129" s="142" t="str">
        <f t="shared" si="13"/>
        <v>R424</v>
      </c>
      <c r="R129" s="123">
        <v>31.3</v>
      </c>
      <c r="S129" s="123">
        <v>10.5</v>
      </c>
      <c r="T129" s="123">
        <v>31.8</v>
      </c>
      <c r="U129" s="123">
        <v>21.1</v>
      </c>
      <c r="V129" s="126" t="s">
        <v>2200</v>
      </c>
      <c r="W129" s="126"/>
      <c r="X129" s="126" t="s">
        <v>2187</v>
      </c>
      <c r="Y129" s="123" t="s">
        <v>2187</v>
      </c>
      <c r="Z129" s="123">
        <v>58</v>
      </c>
      <c r="AA129" s="123" t="s">
        <v>2228</v>
      </c>
      <c r="AB129" s="123">
        <v>5.35</v>
      </c>
      <c r="AC129" s="123">
        <v>1</v>
      </c>
      <c r="AD129" s="123"/>
      <c r="AH129" s="123">
        <f t="shared" si="8"/>
        <v>898</v>
      </c>
      <c r="AI129" t="b">
        <f t="shared" si="14"/>
        <v>0</v>
      </c>
      <c r="AJ129" s="123">
        <f t="shared" si="9"/>
        <v>506</v>
      </c>
      <c r="AK129" t="b">
        <f t="shared" si="15"/>
        <v>0</v>
      </c>
    </row>
    <row r="130" spans="1:37">
      <c r="A130" s="121">
        <v>128</v>
      </c>
      <c r="B130" s="122" t="s">
        <v>2666</v>
      </c>
      <c r="C130" s="122" t="s">
        <v>2349</v>
      </c>
      <c r="D130" s="122" t="s">
        <v>2218</v>
      </c>
      <c r="E130" s="124">
        <v>42762</v>
      </c>
      <c r="F130" s="125">
        <v>0.73263888888888884</v>
      </c>
      <c r="G130" s="124">
        <v>42816</v>
      </c>
      <c r="H130" s="123"/>
      <c r="I130" s="123">
        <v>755</v>
      </c>
      <c r="J130" s="123">
        <v>834</v>
      </c>
      <c r="K130" s="142" t="str">
        <f t="shared" si="10"/>
        <v>G834</v>
      </c>
      <c r="L130" s="123">
        <v>554</v>
      </c>
      <c r="M130" s="142" t="str">
        <f t="shared" si="11"/>
        <v>R554</v>
      </c>
      <c r="N130" s="123">
        <v>833</v>
      </c>
      <c r="O130" s="142" t="str">
        <f t="shared" si="12"/>
        <v>G833</v>
      </c>
      <c r="P130" s="123">
        <v>418</v>
      </c>
      <c r="Q130" s="142" t="str">
        <f t="shared" si="13"/>
        <v>R418</v>
      </c>
      <c r="R130" s="123">
        <v>32.700000000000003</v>
      </c>
      <c r="S130" s="123">
        <v>8.9</v>
      </c>
      <c r="T130" s="123">
        <v>30.6</v>
      </c>
      <c r="U130" s="123">
        <v>7.4</v>
      </c>
      <c r="V130" s="126" t="s">
        <v>2187</v>
      </c>
      <c r="W130" s="126" t="s">
        <v>2203</v>
      </c>
      <c r="X130" s="126" t="s">
        <v>2187</v>
      </c>
      <c r="Y130" s="123" t="s">
        <v>2187</v>
      </c>
      <c r="Z130" s="123">
        <v>44</v>
      </c>
      <c r="AA130" s="123" t="s">
        <v>2228</v>
      </c>
      <c r="AB130" s="123">
        <v>10.9</v>
      </c>
      <c r="AC130" s="123">
        <v>0</v>
      </c>
      <c r="AD130" s="123"/>
      <c r="AH130" s="123">
        <f t="shared" si="8"/>
        <v>834</v>
      </c>
      <c r="AI130" t="b">
        <f t="shared" si="14"/>
        <v>0</v>
      </c>
      <c r="AJ130" s="123">
        <f t="shared" si="9"/>
        <v>554</v>
      </c>
      <c r="AK130" t="b">
        <f t="shared" si="15"/>
        <v>0</v>
      </c>
    </row>
    <row r="131" spans="1:37">
      <c r="A131" s="121">
        <v>129</v>
      </c>
      <c r="B131" s="122" t="s">
        <v>2666</v>
      </c>
      <c r="C131" s="122" t="s">
        <v>2350</v>
      </c>
      <c r="D131" s="122" t="s">
        <v>2227</v>
      </c>
      <c r="E131" s="124">
        <v>42762</v>
      </c>
      <c r="F131" s="125">
        <v>0.36805555555555558</v>
      </c>
      <c r="G131" s="124">
        <v>42816</v>
      </c>
      <c r="H131" s="125">
        <v>0.59375</v>
      </c>
      <c r="I131" s="123">
        <v>669</v>
      </c>
      <c r="J131" s="123">
        <v>819</v>
      </c>
      <c r="K131" s="142" t="str">
        <f t="shared" si="10"/>
        <v>G819</v>
      </c>
      <c r="L131" s="123">
        <v>46</v>
      </c>
      <c r="M131" s="142" t="str">
        <f t="shared" si="11"/>
        <v>R46</v>
      </c>
      <c r="N131" s="123">
        <v>888</v>
      </c>
      <c r="O131" s="142" t="str">
        <f t="shared" si="12"/>
        <v>G888</v>
      </c>
      <c r="P131" s="123">
        <v>520</v>
      </c>
      <c r="Q131" s="142" t="str">
        <f t="shared" si="13"/>
        <v>R520</v>
      </c>
      <c r="R131" s="123">
        <v>25</v>
      </c>
      <c r="S131" s="123">
        <v>7.1</v>
      </c>
      <c r="T131" s="123">
        <v>31</v>
      </c>
      <c r="U131" s="123">
        <v>23</v>
      </c>
      <c r="V131" s="126"/>
      <c r="W131" s="126" t="s">
        <v>2179</v>
      </c>
      <c r="X131" s="126" t="s">
        <v>2187</v>
      </c>
      <c r="Y131" s="123"/>
      <c r="Z131" s="123">
        <v>2.4</v>
      </c>
      <c r="AA131" s="123" t="s">
        <v>2250</v>
      </c>
      <c r="AB131" s="123">
        <v>2.4</v>
      </c>
      <c r="AC131" s="123">
        <v>1</v>
      </c>
      <c r="AD131" s="123"/>
      <c r="AH131" s="123">
        <f t="shared" ref="AH131:AH194" si="16">J131</f>
        <v>819</v>
      </c>
      <c r="AI131" t="b">
        <f t="shared" si="14"/>
        <v>0</v>
      </c>
      <c r="AJ131" s="123">
        <f t="shared" ref="AJ131:AJ194" si="17">L131</f>
        <v>46</v>
      </c>
      <c r="AK131" t="b">
        <f t="shared" si="15"/>
        <v>0</v>
      </c>
    </row>
    <row r="132" spans="1:37">
      <c r="A132" s="121">
        <v>130</v>
      </c>
      <c r="B132" s="122" t="s">
        <v>2666</v>
      </c>
      <c r="C132" s="122" t="s">
        <v>2351</v>
      </c>
      <c r="D132" s="122" t="s">
        <v>2227</v>
      </c>
      <c r="E132" s="124">
        <v>42762</v>
      </c>
      <c r="F132" s="125">
        <v>0.36805555555555558</v>
      </c>
      <c r="G132" s="124">
        <v>42816</v>
      </c>
      <c r="H132" s="125">
        <v>0.60069444444444442</v>
      </c>
      <c r="I132" s="123">
        <v>670</v>
      </c>
      <c r="J132" s="123">
        <v>830</v>
      </c>
      <c r="K132" s="142" t="str">
        <f t="shared" ref="K132:K195" si="18">_xlfn.TEXTJOIN(,TRUE, "G",J132)</f>
        <v>G830</v>
      </c>
      <c r="L132" s="123">
        <v>585</v>
      </c>
      <c r="M132" s="142" t="str">
        <f t="shared" ref="M132:M195" si="19">_xlfn.TEXTJOIN(,TRUE, "R",L132)</f>
        <v>R585</v>
      </c>
      <c r="N132" s="123">
        <v>708</v>
      </c>
      <c r="O132" s="142" t="str">
        <f t="shared" ref="O132:O195" si="20">_xlfn.TEXTJOIN(,TRUE, "G",N132)</f>
        <v>G708</v>
      </c>
      <c r="P132" s="123">
        <v>433</v>
      </c>
      <c r="Q132" s="142" t="str">
        <f t="shared" ref="Q132:Q195" si="21">_xlfn.TEXTJOIN(,TRUE, "R",P132)</f>
        <v>R433</v>
      </c>
      <c r="R132" s="123">
        <v>25</v>
      </c>
      <c r="S132" s="123">
        <v>6.4</v>
      </c>
      <c r="T132" s="123">
        <v>32</v>
      </c>
      <c r="U132" s="123">
        <v>26.2</v>
      </c>
      <c r="V132" s="126" t="s">
        <v>2187</v>
      </c>
      <c r="W132" s="126"/>
      <c r="X132" s="126"/>
      <c r="Y132" s="123"/>
      <c r="Z132" s="123">
        <v>3.5</v>
      </c>
      <c r="AA132" s="123" t="s">
        <v>2250</v>
      </c>
      <c r="AB132" s="123">
        <v>2.1</v>
      </c>
      <c r="AC132" s="123">
        <v>0</v>
      </c>
      <c r="AD132" s="123"/>
      <c r="AH132" s="123">
        <f t="shared" si="16"/>
        <v>830</v>
      </c>
      <c r="AI132" t="b">
        <f t="shared" ref="AI132:AI195" si="22">COUNTIF($AH$3:$AH$443, AH132)&gt;1</f>
        <v>0</v>
      </c>
      <c r="AJ132" s="123">
        <f t="shared" si="17"/>
        <v>585</v>
      </c>
      <c r="AK132" t="b">
        <f t="shared" ref="AK132:AK195" si="23">COUNTIF($AJ$3:$AJ$443, AJ132)&gt;1</f>
        <v>0</v>
      </c>
    </row>
    <row r="133" spans="1:37">
      <c r="A133" s="121">
        <v>131</v>
      </c>
      <c r="B133" s="122" t="s">
        <v>2666</v>
      </c>
      <c r="C133" s="122" t="s">
        <v>2352</v>
      </c>
      <c r="D133" s="122" t="s">
        <v>2227</v>
      </c>
      <c r="E133" s="124">
        <v>42762</v>
      </c>
      <c r="F133" s="125">
        <v>0.37152777777777773</v>
      </c>
      <c r="G133" s="124">
        <v>42816</v>
      </c>
      <c r="H133" s="125">
        <v>0.60416666666666663</v>
      </c>
      <c r="I133" s="123">
        <v>672</v>
      </c>
      <c r="J133" s="123">
        <v>746</v>
      </c>
      <c r="K133" s="142" t="str">
        <f t="shared" si="18"/>
        <v>G746</v>
      </c>
      <c r="L133" s="123">
        <v>476</v>
      </c>
      <c r="M133" s="142" t="str">
        <f t="shared" si="19"/>
        <v>R476</v>
      </c>
      <c r="N133" s="123">
        <v>768</v>
      </c>
      <c r="O133" s="142" t="str">
        <f t="shared" si="20"/>
        <v>G768</v>
      </c>
      <c r="P133" s="123">
        <v>592</v>
      </c>
      <c r="Q133" s="142" t="str">
        <f t="shared" si="21"/>
        <v>R592</v>
      </c>
      <c r="R133" s="123">
        <v>24.7</v>
      </c>
      <c r="S133" s="123">
        <v>2.5</v>
      </c>
      <c r="T133" s="123">
        <v>33.200000000000003</v>
      </c>
      <c r="U133" s="123">
        <v>16.100000000000001</v>
      </c>
      <c r="V133" s="126" t="s">
        <v>2179</v>
      </c>
      <c r="W133" s="126" t="s">
        <v>2195</v>
      </c>
      <c r="X133" s="126"/>
      <c r="Y133" s="123"/>
      <c r="Z133" s="123">
        <v>7.5</v>
      </c>
      <c r="AA133" s="123" t="s">
        <v>2250</v>
      </c>
      <c r="AB133" s="123">
        <v>4.5</v>
      </c>
      <c r="AC133" s="123">
        <v>0</v>
      </c>
      <c r="AD133" s="123"/>
      <c r="AH133" s="123">
        <f t="shared" si="16"/>
        <v>746</v>
      </c>
      <c r="AI133" t="b">
        <f t="shared" si="22"/>
        <v>0</v>
      </c>
      <c r="AJ133" s="123">
        <f t="shared" si="17"/>
        <v>476</v>
      </c>
      <c r="AK133" t="b">
        <f t="shared" si="23"/>
        <v>0</v>
      </c>
    </row>
    <row r="134" spans="1:37">
      <c r="A134" s="121">
        <v>132</v>
      </c>
      <c r="B134" s="122" t="s">
        <v>2666</v>
      </c>
      <c r="C134" s="122" t="s">
        <v>2353</v>
      </c>
      <c r="D134" s="122" t="s">
        <v>2227</v>
      </c>
      <c r="E134" s="124">
        <v>42762</v>
      </c>
      <c r="F134" s="125">
        <v>0.37847222222222227</v>
      </c>
      <c r="G134" s="124">
        <v>42816</v>
      </c>
      <c r="H134" s="125">
        <v>0.64583333333333337</v>
      </c>
      <c r="I134" s="123">
        <v>1077</v>
      </c>
      <c r="J134" s="123">
        <v>725</v>
      </c>
      <c r="K134" s="142" t="str">
        <f t="shared" si="18"/>
        <v>G725</v>
      </c>
      <c r="L134" s="123">
        <v>536</v>
      </c>
      <c r="M134" s="142" t="str">
        <f t="shared" si="19"/>
        <v>R536</v>
      </c>
      <c r="N134" s="123">
        <v>779</v>
      </c>
      <c r="O134" s="142" t="str">
        <f t="shared" si="20"/>
        <v>G779</v>
      </c>
      <c r="P134" s="123">
        <v>477</v>
      </c>
      <c r="Q134" s="142" t="str">
        <f t="shared" si="21"/>
        <v>R477</v>
      </c>
      <c r="R134" s="123">
        <v>24.5</v>
      </c>
      <c r="S134" s="123">
        <v>7.6</v>
      </c>
      <c r="T134" s="123">
        <v>33.4</v>
      </c>
      <c r="U134" s="123">
        <v>29.5</v>
      </c>
      <c r="V134" s="126"/>
      <c r="W134" s="126" t="s">
        <v>2195</v>
      </c>
      <c r="X134" s="126"/>
      <c r="Y134" s="123"/>
      <c r="Z134" s="123">
        <v>9.8000000000000007</v>
      </c>
      <c r="AA134" s="123" t="s">
        <v>2228</v>
      </c>
      <c r="AB134" s="123">
        <v>0.7</v>
      </c>
      <c r="AC134" s="123">
        <v>1</v>
      </c>
      <c r="AD134" s="123"/>
      <c r="AH134" s="123">
        <f t="shared" si="16"/>
        <v>725</v>
      </c>
      <c r="AI134" t="b">
        <f t="shared" si="22"/>
        <v>0</v>
      </c>
      <c r="AJ134" s="123">
        <f t="shared" si="17"/>
        <v>536</v>
      </c>
      <c r="AK134" t="b">
        <f t="shared" si="23"/>
        <v>0</v>
      </c>
    </row>
    <row r="135" spans="1:37">
      <c r="A135" s="121">
        <v>133</v>
      </c>
      <c r="B135" s="122" t="s">
        <v>2666</v>
      </c>
      <c r="C135" s="122" t="s">
        <v>2354</v>
      </c>
      <c r="D135" s="122" t="s">
        <v>2227</v>
      </c>
      <c r="E135" s="124">
        <v>42762</v>
      </c>
      <c r="F135" s="125">
        <v>0.3888888888888889</v>
      </c>
      <c r="G135" s="124">
        <v>42816</v>
      </c>
      <c r="H135" s="125">
        <v>0.625</v>
      </c>
      <c r="I135" s="123">
        <v>674</v>
      </c>
      <c r="J135" s="123">
        <v>846</v>
      </c>
      <c r="K135" s="142" t="str">
        <f t="shared" si="18"/>
        <v>G846</v>
      </c>
      <c r="L135" s="123">
        <v>524</v>
      </c>
      <c r="M135" s="142" t="str">
        <f t="shared" si="19"/>
        <v>R524</v>
      </c>
      <c r="N135" s="123">
        <v>799</v>
      </c>
      <c r="O135" s="142" t="str">
        <f t="shared" si="20"/>
        <v>G799</v>
      </c>
      <c r="P135" s="123">
        <v>597</v>
      </c>
      <c r="Q135" s="142" t="str">
        <f t="shared" si="21"/>
        <v>R597</v>
      </c>
      <c r="R135" s="123">
        <v>23.9</v>
      </c>
      <c r="S135" s="123">
        <v>6.1</v>
      </c>
      <c r="T135" s="123">
        <v>38.799999999999997</v>
      </c>
      <c r="U135" s="123">
        <v>20.7</v>
      </c>
      <c r="V135" s="126"/>
      <c r="W135" s="126"/>
      <c r="X135" s="126"/>
      <c r="Y135" s="123"/>
      <c r="Z135" s="123">
        <v>10</v>
      </c>
      <c r="AA135" s="123" t="s">
        <v>2250</v>
      </c>
      <c r="AB135" s="123">
        <v>2.2000000000000002</v>
      </c>
      <c r="AC135" s="123">
        <v>1</v>
      </c>
      <c r="AD135" s="123"/>
      <c r="AH135" s="123">
        <f t="shared" si="16"/>
        <v>846</v>
      </c>
      <c r="AI135" t="b">
        <f t="shared" si="22"/>
        <v>0</v>
      </c>
      <c r="AJ135" s="123">
        <f t="shared" si="17"/>
        <v>524</v>
      </c>
      <c r="AK135" t="b">
        <f t="shared" si="23"/>
        <v>0</v>
      </c>
    </row>
    <row r="136" spans="1:37">
      <c r="A136" s="121">
        <v>134</v>
      </c>
      <c r="B136" s="122" t="s">
        <v>2666</v>
      </c>
      <c r="C136" s="122" t="s">
        <v>2355</v>
      </c>
      <c r="D136" s="122" t="s">
        <v>2227</v>
      </c>
      <c r="E136" s="124">
        <v>42762</v>
      </c>
      <c r="F136" s="125">
        <v>0.3888888888888889</v>
      </c>
      <c r="G136" s="124">
        <v>42816</v>
      </c>
      <c r="H136" s="125">
        <v>0.63194444444444442</v>
      </c>
      <c r="I136" s="123">
        <v>675</v>
      </c>
      <c r="J136" s="123">
        <v>756</v>
      </c>
      <c r="K136" s="142" t="str">
        <f t="shared" si="18"/>
        <v>G756</v>
      </c>
      <c r="L136" s="123">
        <v>600</v>
      </c>
      <c r="M136" s="142" t="str">
        <f t="shared" si="19"/>
        <v>R600</v>
      </c>
      <c r="N136" s="123">
        <v>820</v>
      </c>
      <c r="O136" s="142" t="str">
        <f t="shared" si="20"/>
        <v>G820</v>
      </c>
      <c r="P136" s="123">
        <v>467</v>
      </c>
      <c r="Q136" s="142" t="str">
        <f t="shared" si="21"/>
        <v>R467</v>
      </c>
      <c r="R136" s="123">
        <v>23.7</v>
      </c>
      <c r="S136" s="123">
        <v>4.0999999999999996</v>
      </c>
      <c r="T136" s="123">
        <v>36.6</v>
      </c>
      <c r="U136" s="123">
        <v>21.3</v>
      </c>
      <c r="V136" s="126" t="s">
        <v>2187</v>
      </c>
      <c r="W136" s="126"/>
      <c r="X136" s="126"/>
      <c r="Y136" s="123"/>
      <c r="Z136" s="123">
        <v>15.4</v>
      </c>
      <c r="AA136" s="123" t="s">
        <v>2250</v>
      </c>
      <c r="AB136" s="123">
        <v>1.1000000000000001</v>
      </c>
      <c r="AC136" s="123">
        <v>1</v>
      </c>
      <c r="AD136" s="123"/>
      <c r="AH136" s="123">
        <f t="shared" si="16"/>
        <v>756</v>
      </c>
      <c r="AI136" t="b">
        <f t="shared" si="22"/>
        <v>0</v>
      </c>
      <c r="AJ136" s="123">
        <f t="shared" si="17"/>
        <v>600</v>
      </c>
      <c r="AK136" t="b">
        <f t="shared" si="23"/>
        <v>0</v>
      </c>
    </row>
    <row r="137" spans="1:37">
      <c r="A137" s="121">
        <v>135</v>
      </c>
      <c r="B137" s="122" t="s">
        <v>2666</v>
      </c>
      <c r="C137" s="122" t="s">
        <v>2356</v>
      </c>
      <c r="D137" s="122" t="s">
        <v>2227</v>
      </c>
      <c r="E137" s="124">
        <v>42762</v>
      </c>
      <c r="F137" s="125">
        <v>0.3888888888888889</v>
      </c>
      <c r="G137" s="124">
        <v>42816</v>
      </c>
      <c r="H137" s="125">
        <v>0.63888888888888895</v>
      </c>
      <c r="I137" s="123">
        <v>677</v>
      </c>
      <c r="J137" s="123">
        <v>745</v>
      </c>
      <c r="K137" s="142" t="str">
        <f t="shared" si="18"/>
        <v>G745</v>
      </c>
      <c r="L137" s="123">
        <v>432</v>
      </c>
      <c r="M137" s="142" t="str">
        <f t="shared" si="19"/>
        <v>R432</v>
      </c>
      <c r="N137" s="123">
        <v>842</v>
      </c>
      <c r="O137" s="142" t="str">
        <f t="shared" si="20"/>
        <v>G842</v>
      </c>
      <c r="P137" s="123">
        <v>596</v>
      </c>
      <c r="Q137" s="142" t="str">
        <f t="shared" si="21"/>
        <v>R596</v>
      </c>
      <c r="R137" s="123">
        <v>25.2</v>
      </c>
      <c r="S137" s="123">
        <v>4.0999999999999996</v>
      </c>
      <c r="T137" s="123">
        <v>34.1</v>
      </c>
      <c r="U137" s="123">
        <v>24.9</v>
      </c>
      <c r="V137" s="126" t="s">
        <v>2187</v>
      </c>
      <c r="W137" s="126" t="s">
        <v>2187</v>
      </c>
      <c r="X137" s="126"/>
      <c r="Y137" s="123"/>
      <c r="Z137" s="123">
        <v>5.6</v>
      </c>
      <c r="AA137" s="123" t="s">
        <v>2250</v>
      </c>
      <c r="AB137" s="123">
        <v>2.1</v>
      </c>
      <c r="AC137" s="123">
        <v>1</v>
      </c>
      <c r="AD137" s="123"/>
      <c r="AH137" s="123">
        <f t="shared" si="16"/>
        <v>745</v>
      </c>
      <c r="AI137" t="b">
        <f t="shared" si="22"/>
        <v>0</v>
      </c>
      <c r="AJ137" s="123">
        <f t="shared" si="17"/>
        <v>432</v>
      </c>
      <c r="AK137" t="b">
        <f t="shared" si="23"/>
        <v>0</v>
      </c>
    </row>
    <row r="138" spans="1:37">
      <c r="A138" s="121">
        <v>136</v>
      </c>
      <c r="B138" s="122" t="s">
        <v>2666</v>
      </c>
      <c r="C138" s="122" t="s">
        <v>2357</v>
      </c>
      <c r="D138" s="122" t="s">
        <v>2227</v>
      </c>
      <c r="E138" s="124">
        <v>42762</v>
      </c>
      <c r="F138" s="125">
        <v>0.39583333333333331</v>
      </c>
      <c r="G138" s="124">
        <v>42816</v>
      </c>
      <c r="H138" s="125">
        <v>0.63888888888888895</v>
      </c>
      <c r="I138" s="123">
        <v>678</v>
      </c>
      <c r="J138" s="123">
        <v>832</v>
      </c>
      <c r="K138" s="142" t="str">
        <f t="shared" si="18"/>
        <v>G832</v>
      </c>
      <c r="L138" s="123">
        <v>474</v>
      </c>
      <c r="M138" s="142" t="str">
        <f t="shared" si="19"/>
        <v>R474</v>
      </c>
      <c r="N138" s="123">
        <v>747</v>
      </c>
      <c r="O138" s="142" t="str">
        <f t="shared" si="20"/>
        <v>G747</v>
      </c>
      <c r="P138" s="123">
        <v>543</v>
      </c>
      <c r="Q138" s="142" t="str">
        <f t="shared" si="21"/>
        <v>R543</v>
      </c>
      <c r="R138" s="123">
        <v>25.2</v>
      </c>
      <c r="S138" s="123">
        <v>8.6999999999999993</v>
      </c>
      <c r="T138" s="123">
        <v>36</v>
      </c>
      <c r="U138" s="123">
        <v>20.6</v>
      </c>
      <c r="V138" s="126" t="s">
        <v>2187</v>
      </c>
      <c r="W138" s="126" t="s">
        <v>2187</v>
      </c>
      <c r="X138" s="126" t="s">
        <v>2187</v>
      </c>
      <c r="Y138" s="123" t="s">
        <v>2187</v>
      </c>
      <c r="Z138" s="123">
        <v>16.3</v>
      </c>
      <c r="AA138" s="123" t="s">
        <v>2228</v>
      </c>
      <c r="AB138" s="123">
        <v>2.2999999999999998</v>
      </c>
      <c r="AC138" s="123">
        <v>1</v>
      </c>
      <c r="AD138" s="123"/>
      <c r="AH138" s="123">
        <f t="shared" si="16"/>
        <v>832</v>
      </c>
      <c r="AI138" t="b">
        <f t="shared" si="22"/>
        <v>0</v>
      </c>
      <c r="AJ138" s="123">
        <f t="shared" si="17"/>
        <v>474</v>
      </c>
      <c r="AK138" t="b">
        <f t="shared" si="23"/>
        <v>0</v>
      </c>
    </row>
    <row r="139" spans="1:37">
      <c r="A139" s="121">
        <v>137</v>
      </c>
      <c r="B139" s="122" t="s">
        <v>2666</v>
      </c>
      <c r="C139" s="122" t="s">
        <v>2358</v>
      </c>
      <c r="D139" s="122" t="s">
        <v>2244</v>
      </c>
      <c r="E139" s="124">
        <v>42762</v>
      </c>
      <c r="F139" s="125">
        <v>0.41666666666666669</v>
      </c>
      <c r="G139" s="124">
        <v>42816</v>
      </c>
      <c r="H139" s="125">
        <v>0.67361111111111116</v>
      </c>
      <c r="I139" s="123">
        <v>681</v>
      </c>
      <c r="J139" s="123">
        <v>805</v>
      </c>
      <c r="K139" s="142" t="str">
        <f t="shared" si="18"/>
        <v>G805</v>
      </c>
      <c r="L139" s="123">
        <v>34</v>
      </c>
      <c r="M139" s="142" t="str">
        <f t="shared" si="19"/>
        <v>R34</v>
      </c>
      <c r="N139" s="123">
        <v>857</v>
      </c>
      <c r="O139" s="142" t="str">
        <f t="shared" si="20"/>
        <v>G857</v>
      </c>
      <c r="P139" s="123">
        <v>483</v>
      </c>
      <c r="Q139" s="142" t="str">
        <f t="shared" si="21"/>
        <v>R483</v>
      </c>
      <c r="R139" s="123">
        <v>26.3</v>
      </c>
      <c r="S139" s="123">
        <v>1.5</v>
      </c>
      <c r="T139" s="123">
        <v>30.7</v>
      </c>
      <c r="U139" s="123">
        <v>29.5</v>
      </c>
      <c r="V139" s="126" t="s">
        <v>2187</v>
      </c>
      <c r="W139" s="126" t="s">
        <v>2319</v>
      </c>
      <c r="X139" s="126"/>
      <c r="Y139" s="123"/>
      <c r="Z139" s="123">
        <v>32.4</v>
      </c>
      <c r="AA139" s="123" t="s">
        <v>2228</v>
      </c>
      <c r="AB139" s="123">
        <v>1.2</v>
      </c>
      <c r="AC139" s="123">
        <v>1</v>
      </c>
      <c r="AD139" s="123"/>
      <c r="AH139" s="123">
        <f t="shared" si="16"/>
        <v>805</v>
      </c>
      <c r="AI139" t="b">
        <f t="shared" si="22"/>
        <v>0</v>
      </c>
      <c r="AJ139" s="123">
        <f t="shared" si="17"/>
        <v>34</v>
      </c>
      <c r="AK139" t="b">
        <f t="shared" si="23"/>
        <v>0</v>
      </c>
    </row>
    <row r="140" spans="1:37">
      <c r="A140" s="121">
        <v>138</v>
      </c>
      <c r="B140" s="122" t="s">
        <v>2666</v>
      </c>
      <c r="C140" s="122" t="s">
        <v>2359</v>
      </c>
      <c r="D140" s="122" t="s">
        <v>2244</v>
      </c>
      <c r="E140" s="124">
        <v>42762</v>
      </c>
      <c r="F140" s="125">
        <v>0.4201388888888889</v>
      </c>
      <c r="G140" s="124">
        <v>42816</v>
      </c>
      <c r="H140" s="125">
        <v>0.67708333333333337</v>
      </c>
      <c r="I140" s="123">
        <v>682</v>
      </c>
      <c r="J140" s="123">
        <v>815</v>
      </c>
      <c r="K140" s="142" t="str">
        <f t="shared" si="18"/>
        <v>G815</v>
      </c>
      <c r="L140" s="123">
        <v>426</v>
      </c>
      <c r="M140" s="142" t="str">
        <f t="shared" si="19"/>
        <v>R426</v>
      </c>
      <c r="N140" s="123">
        <v>623</v>
      </c>
      <c r="O140" s="142" t="str">
        <f t="shared" si="20"/>
        <v>G623</v>
      </c>
      <c r="P140" s="123">
        <v>21</v>
      </c>
      <c r="Q140" s="142" t="str">
        <f t="shared" si="21"/>
        <v>R21</v>
      </c>
      <c r="R140" s="123">
        <v>24.8</v>
      </c>
      <c r="S140" s="123">
        <v>6.9</v>
      </c>
      <c r="T140" s="123">
        <v>33.9</v>
      </c>
      <c r="U140" s="123">
        <v>24.1</v>
      </c>
      <c r="V140" s="126" t="s">
        <v>2187</v>
      </c>
      <c r="W140" s="126"/>
      <c r="X140" s="126" t="s">
        <v>2187</v>
      </c>
      <c r="Y140" s="123"/>
      <c r="Z140" s="123">
        <v>26.4</v>
      </c>
      <c r="AA140" s="123" t="s">
        <v>2228</v>
      </c>
      <c r="AB140" s="123">
        <v>2.8</v>
      </c>
      <c r="AC140" s="123">
        <v>1</v>
      </c>
      <c r="AD140" s="123"/>
      <c r="AH140" s="123">
        <f t="shared" si="16"/>
        <v>815</v>
      </c>
      <c r="AI140" t="b">
        <f t="shared" si="22"/>
        <v>0</v>
      </c>
      <c r="AJ140" s="123">
        <f t="shared" si="17"/>
        <v>426</v>
      </c>
      <c r="AK140" t="b">
        <f t="shared" si="23"/>
        <v>0</v>
      </c>
    </row>
    <row r="141" spans="1:37">
      <c r="A141" s="121">
        <v>139</v>
      </c>
      <c r="B141" s="122" t="s">
        <v>2666</v>
      </c>
      <c r="C141" s="122" t="s">
        <v>2360</v>
      </c>
      <c r="D141" s="122" t="s">
        <v>2244</v>
      </c>
      <c r="E141" s="124">
        <v>42762</v>
      </c>
      <c r="F141" s="125">
        <v>0.4236111111111111</v>
      </c>
      <c r="G141" s="124">
        <v>42816</v>
      </c>
      <c r="H141" s="125">
        <v>0.68055555555555547</v>
      </c>
      <c r="I141" s="123">
        <v>683</v>
      </c>
      <c r="J141" s="129">
        <v>798</v>
      </c>
      <c r="K141" s="142" t="str">
        <f t="shared" si="18"/>
        <v>G798</v>
      </c>
      <c r="L141" s="123">
        <v>563</v>
      </c>
      <c r="M141" s="142" t="str">
        <f t="shared" si="19"/>
        <v>R563</v>
      </c>
      <c r="N141" s="123">
        <v>880</v>
      </c>
      <c r="O141" s="142" t="str">
        <f t="shared" si="20"/>
        <v>G880</v>
      </c>
      <c r="P141" s="123">
        <v>538</v>
      </c>
      <c r="Q141" s="142" t="str">
        <f t="shared" si="21"/>
        <v>R538</v>
      </c>
      <c r="R141" s="123">
        <v>26.7</v>
      </c>
      <c r="S141" s="123">
        <v>4.9000000000000004</v>
      </c>
      <c r="T141" s="123">
        <v>30.6</v>
      </c>
      <c r="U141" s="123">
        <v>28.8</v>
      </c>
      <c r="V141" s="126"/>
      <c r="W141" s="126" t="s">
        <v>2361</v>
      </c>
      <c r="X141" s="126" t="s">
        <v>2187</v>
      </c>
      <c r="Y141" s="123"/>
      <c r="Z141" s="123">
        <v>19.399999999999999</v>
      </c>
      <c r="AA141" s="123" t="s">
        <v>2228</v>
      </c>
      <c r="AB141" s="123">
        <v>5.7</v>
      </c>
      <c r="AC141" s="123">
        <v>1</v>
      </c>
      <c r="AD141" s="123"/>
      <c r="AH141" s="129">
        <f t="shared" si="16"/>
        <v>798</v>
      </c>
      <c r="AI141" t="b">
        <f t="shared" si="22"/>
        <v>0</v>
      </c>
      <c r="AJ141" s="123">
        <f t="shared" si="17"/>
        <v>563</v>
      </c>
      <c r="AK141" t="b">
        <f t="shared" si="23"/>
        <v>0</v>
      </c>
    </row>
    <row r="142" spans="1:37">
      <c r="A142" s="121">
        <v>140</v>
      </c>
      <c r="B142" s="122" t="s">
        <v>2666</v>
      </c>
      <c r="C142" s="122" t="s">
        <v>2362</v>
      </c>
      <c r="D142" s="122" t="s">
        <v>2244</v>
      </c>
      <c r="E142" s="124">
        <v>42762</v>
      </c>
      <c r="F142" s="125">
        <v>0.43055555555555558</v>
      </c>
      <c r="G142" s="124">
        <v>42816</v>
      </c>
      <c r="H142" s="125">
        <v>0.68402777777777779</v>
      </c>
      <c r="I142" s="123">
        <v>684</v>
      </c>
      <c r="J142" s="123">
        <v>787</v>
      </c>
      <c r="K142" s="142" t="str">
        <f t="shared" si="18"/>
        <v>G787</v>
      </c>
      <c r="L142" s="123">
        <v>535</v>
      </c>
      <c r="M142" s="142" t="str">
        <f t="shared" si="19"/>
        <v>R535</v>
      </c>
      <c r="N142" s="123">
        <v>706</v>
      </c>
      <c r="O142" s="142" t="str">
        <f t="shared" si="20"/>
        <v>G706</v>
      </c>
      <c r="P142" s="123">
        <v>559</v>
      </c>
      <c r="Q142" s="142" t="str">
        <f t="shared" si="21"/>
        <v>R559</v>
      </c>
      <c r="R142" s="123">
        <v>27.6</v>
      </c>
      <c r="S142" s="123">
        <v>3.1</v>
      </c>
      <c r="T142" s="123">
        <v>34.1</v>
      </c>
      <c r="U142" s="123">
        <v>20</v>
      </c>
      <c r="V142" s="126"/>
      <c r="W142" s="126" t="s">
        <v>2187</v>
      </c>
      <c r="X142" s="126"/>
      <c r="Y142" s="123"/>
      <c r="Z142" s="123">
        <v>33.4</v>
      </c>
      <c r="AA142" s="123" t="s">
        <v>2228</v>
      </c>
      <c r="AB142" s="123">
        <v>1.4</v>
      </c>
      <c r="AC142" s="123">
        <v>1</v>
      </c>
      <c r="AD142" s="123"/>
      <c r="AH142" s="123">
        <f t="shared" si="16"/>
        <v>787</v>
      </c>
      <c r="AI142" t="b">
        <f t="shared" si="22"/>
        <v>0</v>
      </c>
      <c r="AJ142" s="123">
        <f t="shared" si="17"/>
        <v>535</v>
      </c>
      <c r="AK142" t="b">
        <f t="shared" si="23"/>
        <v>0</v>
      </c>
    </row>
    <row r="143" spans="1:37">
      <c r="A143" s="121">
        <v>141</v>
      </c>
      <c r="B143" s="122" t="s">
        <v>2666</v>
      </c>
      <c r="C143" s="122" t="s">
        <v>2363</v>
      </c>
      <c r="D143" s="122" t="s">
        <v>2244</v>
      </c>
      <c r="E143" s="124">
        <v>42762</v>
      </c>
      <c r="F143" s="125">
        <v>0.43402777777777773</v>
      </c>
      <c r="G143" s="124">
        <v>42816</v>
      </c>
      <c r="H143" s="125">
        <v>0.6875</v>
      </c>
      <c r="I143" s="123">
        <v>685</v>
      </c>
      <c r="J143" s="123">
        <v>900</v>
      </c>
      <c r="K143" s="142" t="str">
        <f t="shared" si="18"/>
        <v>G900</v>
      </c>
      <c r="L143" s="123">
        <v>581</v>
      </c>
      <c r="M143" s="142" t="str">
        <f t="shared" si="19"/>
        <v>R581</v>
      </c>
      <c r="N143" s="123">
        <v>775</v>
      </c>
      <c r="O143" s="142" t="str">
        <f t="shared" si="20"/>
        <v>G775</v>
      </c>
      <c r="P143" s="123">
        <v>465</v>
      </c>
      <c r="Q143" s="142" t="str">
        <f t="shared" si="21"/>
        <v>R465</v>
      </c>
      <c r="R143" s="123">
        <v>26.1</v>
      </c>
      <c r="S143" s="123">
        <v>5.3</v>
      </c>
      <c r="T143" s="123">
        <v>35.4</v>
      </c>
      <c r="U143" s="123">
        <v>14.1</v>
      </c>
      <c r="V143" s="126" t="s">
        <v>2206</v>
      </c>
      <c r="W143" s="126" t="s">
        <v>2203</v>
      </c>
      <c r="X143" s="126"/>
      <c r="Y143" s="123"/>
      <c r="Z143" s="123">
        <v>28.4</v>
      </c>
      <c r="AA143" s="123" t="s">
        <v>2228</v>
      </c>
      <c r="AB143" s="123">
        <v>1.4</v>
      </c>
      <c r="AC143" s="123">
        <v>1</v>
      </c>
      <c r="AD143" s="123"/>
      <c r="AH143" s="123">
        <f t="shared" si="16"/>
        <v>900</v>
      </c>
      <c r="AI143" t="b">
        <f t="shared" si="22"/>
        <v>0</v>
      </c>
      <c r="AJ143" s="123">
        <f t="shared" si="17"/>
        <v>581</v>
      </c>
      <c r="AK143" t="b">
        <f t="shared" si="23"/>
        <v>0</v>
      </c>
    </row>
    <row r="144" spans="1:37">
      <c r="A144" s="121">
        <v>142</v>
      </c>
      <c r="B144" s="122" t="s">
        <v>2666</v>
      </c>
      <c r="C144" s="122" t="s">
        <v>2364</v>
      </c>
      <c r="D144" s="122" t="s">
        <v>2244</v>
      </c>
      <c r="E144" s="124">
        <v>42762</v>
      </c>
      <c r="F144" s="125">
        <v>0.44097222222222227</v>
      </c>
      <c r="G144" s="124">
        <v>42816</v>
      </c>
      <c r="H144" s="125">
        <v>0.69444444444444453</v>
      </c>
      <c r="I144" s="123">
        <v>686</v>
      </c>
      <c r="J144" s="123">
        <v>817</v>
      </c>
      <c r="K144" s="142" t="str">
        <f t="shared" si="18"/>
        <v>G817</v>
      </c>
      <c r="L144" s="123">
        <v>460</v>
      </c>
      <c r="M144" s="142" t="str">
        <f t="shared" si="19"/>
        <v>R460</v>
      </c>
      <c r="N144" s="123">
        <v>850</v>
      </c>
      <c r="O144" s="142" t="str">
        <f t="shared" si="20"/>
        <v>G850</v>
      </c>
      <c r="P144" s="123">
        <v>503</v>
      </c>
      <c r="Q144" s="142" t="str">
        <f t="shared" si="21"/>
        <v>R503</v>
      </c>
      <c r="R144" s="123">
        <v>28.5</v>
      </c>
      <c r="S144" s="123">
        <v>7.4</v>
      </c>
      <c r="T144" s="123">
        <v>29</v>
      </c>
      <c r="U144" s="123">
        <v>23.6</v>
      </c>
      <c r="V144" s="126" t="s">
        <v>2179</v>
      </c>
      <c r="W144" s="126" t="s">
        <v>2179</v>
      </c>
      <c r="X144" s="126"/>
      <c r="Y144" s="123" t="s">
        <v>2187</v>
      </c>
      <c r="Z144" s="123">
        <v>33.799999999999997</v>
      </c>
      <c r="AA144" s="123" t="s">
        <v>2228</v>
      </c>
      <c r="AB144" s="123">
        <v>1.7</v>
      </c>
      <c r="AC144" s="123">
        <v>1</v>
      </c>
      <c r="AD144" s="123"/>
      <c r="AH144" s="123">
        <f t="shared" si="16"/>
        <v>817</v>
      </c>
      <c r="AI144" t="b">
        <f t="shared" si="22"/>
        <v>0</v>
      </c>
      <c r="AJ144" s="123">
        <f t="shared" si="17"/>
        <v>460</v>
      </c>
      <c r="AK144" t="b">
        <f t="shared" si="23"/>
        <v>0</v>
      </c>
    </row>
    <row r="145" spans="1:37">
      <c r="A145" s="121">
        <v>143</v>
      </c>
      <c r="B145" s="122" t="s">
        <v>2666</v>
      </c>
      <c r="C145" s="122" t="s">
        <v>2365</v>
      </c>
      <c r="D145" s="122" t="s">
        <v>2244</v>
      </c>
      <c r="E145" s="124">
        <v>42762</v>
      </c>
      <c r="F145" s="125">
        <v>0.44444444444444442</v>
      </c>
      <c r="G145" s="124">
        <v>42816</v>
      </c>
      <c r="H145" s="125">
        <v>0.69791666666666663</v>
      </c>
      <c r="I145" s="123">
        <v>687</v>
      </c>
      <c r="J145" s="123">
        <v>836</v>
      </c>
      <c r="K145" s="142" t="str">
        <f t="shared" si="18"/>
        <v>G836</v>
      </c>
      <c r="L145" s="123">
        <v>456</v>
      </c>
      <c r="M145" s="142" t="str">
        <f t="shared" si="19"/>
        <v>R456</v>
      </c>
      <c r="N145" s="123">
        <v>697</v>
      </c>
      <c r="O145" s="142" t="str">
        <f t="shared" si="20"/>
        <v>G697</v>
      </c>
      <c r="P145" s="123">
        <v>567</v>
      </c>
      <c r="Q145" s="142" t="str">
        <f t="shared" si="21"/>
        <v>R567</v>
      </c>
      <c r="R145" s="123">
        <v>29</v>
      </c>
      <c r="S145" s="123">
        <v>5.6</v>
      </c>
      <c r="T145" s="123">
        <v>32.799999999999997</v>
      </c>
      <c r="U145" s="123">
        <v>23.4</v>
      </c>
      <c r="V145" s="126" t="s">
        <v>2187</v>
      </c>
      <c r="W145" s="126"/>
      <c r="X145" s="126" t="s">
        <v>2187</v>
      </c>
      <c r="Y145" s="123"/>
      <c r="Z145" s="123">
        <v>23.4</v>
      </c>
      <c r="AA145" s="123" t="s">
        <v>2228</v>
      </c>
      <c r="AB145" s="123">
        <v>2</v>
      </c>
      <c r="AC145" s="123">
        <v>1</v>
      </c>
      <c r="AD145" s="123"/>
      <c r="AH145" s="123">
        <f t="shared" si="16"/>
        <v>836</v>
      </c>
      <c r="AI145" t="b">
        <f t="shared" si="22"/>
        <v>0</v>
      </c>
      <c r="AJ145" s="123">
        <f t="shared" si="17"/>
        <v>456</v>
      </c>
      <c r="AK145" t="b">
        <f t="shared" si="23"/>
        <v>0</v>
      </c>
    </row>
    <row r="146" spans="1:37">
      <c r="A146" s="121">
        <v>144</v>
      </c>
      <c r="B146" s="122" t="s">
        <v>2666</v>
      </c>
      <c r="C146" s="122" t="s">
        <v>2366</v>
      </c>
      <c r="D146" s="122" t="s">
        <v>2244</v>
      </c>
      <c r="E146" s="124">
        <v>42762</v>
      </c>
      <c r="F146" s="125">
        <v>0.44791666666666669</v>
      </c>
      <c r="G146" s="124">
        <v>42816</v>
      </c>
      <c r="H146" s="125">
        <v>0.70138888888888884</v>
      </c>
      <c r="I146" s="123">
        <v>688</v>
      </c>
      <c r="J146" s="123">
        <v>784</v>
      </c>
      <c r="K146" s="142" t="str">
        <f t="shared" si="18"/>
        <v>G784</v>
      </c>
      <c r="L146" s="123">
        <v>571</v>
      </c>
      <c r="M146" s="142" t="str">
        <f t="shared" si="19"/>
        <v>R571</v>
      </c>
      <c r="N146" s="123">
        <v>894</v>
      </c>
      <c r="O146" s="142" t="str">
        <f t="shared" si="20"/>
        <v>G894</v>
      </c>
      <c r="P146" s="123">
        <v>15</v>
      </c>
      <c r="Q146" s="142" t="str">
        <f t="shared" si="21"/>
        <v>R15</v>
      </c>
      <c r="R146" s="123">
        <v>28.3</v>
      </c>
      <c r="S146" s="123">
        <v>6.5</v>
      </c>
      <c r="T146" s="123">
        <v>34.5</v>
      </c>
      <c r="U146" s="123">
        <v>27.8</v>
      </c>
      <c r="V146" s="126" t="s">
        <v>2187</v>
      </c>
      <c r="W146" s="126" t="s">
        <v>2179</v>
      </c>
      <c r="X146" s="126" t="s">
        <v>2187</v>
      </c>
      <c r="Y146" s="123"/>
      <c r="Z146" s="123">
        <v>19.8</v>
      </c>
      <c r="AA146" s="123" t="s">
        <v>2228</v>
      </c>
      <c r="AB146" s="123">
        <v>2.5</v>
      </c>
      <c r="AC146" s="123">
        <v>1</v>
      </c>
      <c r="AD146" s="123"/>
      <c r="AH146" s="123">
        <f t="shared" si="16"/>
        <v>784</v>
      </c>
      <c r="AI146" t="b">
        <f t="shared" si="22"/>
        <v>0</v>
      </c>
      <c r="AJ146" s="123">
        <f t="shared" si="17"/>
        <v>571</v>
      </c>
      <c r="AK146" t="b">
        <f t="shared" si="23"/>
        <v>0</v>
      </c>
    </row>
    <row r="147" spans="1:37">
      <c r="A147" s="121">
        <v>145</v>
      </c>
      <c r="B147" s="122" t="s">
        <v>2666</v>
      </c>
      <c r="C147" s="122" t="s">
        <v>2367</v>
      </c>
      <c r="D147" s="122" t="s">
        <v>2256</v>
      </c>
      <c r="E147" s="124">
        <v>42762</v>
      </c>
      <c r="F147" s="125">
        <v>0.4548611111111111</v>
      </c>
      <c r="G147" s="124">
        <v>42815</v>
      </c>
      <c r="H147" s="125">
        <v>0.69097222222222221</v>
      </c>
      <c r="I147" s="123">
        <v>698</v>
      </c>
      <c r="J147" s="123">
        <v>902</v>
      </c>
      <c r="K147" s="142" t="str">
        <f t="shared" si="18"/>
        <v>G902</v>
      </c>
      <c r="L147" s="123">
        <v>27</v>
      </c>
      <c r="M147" s="142" t="str">
        <f t="shared" si="19"/>
        <v>R27</v>
      </c>
      <c r="N147" s="129">
        <v>653</v>
      </c>
      <c r="O147" s="142" t="str">
        <f t="shared" si="20"/>
        <v>G653</v>
      </c>
      <c r="P147" s="123">
        <v>40</v>
      </c>
      <c r="Q147" s="142" t="str">
        <f t="shared" si="21"/>
        <v>R40</v>
      </c>
      <c r="R147" s="123">
        <v>27.4</v>
      </c>
      <c r="S147" s="123">
        <v>16.8</v>
      </c>
      <c r="T147" s="123">
        <v>34.4</v>
      </c>
      <c r="U147" s="123">
        <v>37.6</v>
      </c>
      <c r="V147" s="123" t="s">
        <v>2187</v>
      </c>
      <c r="W147" s="126"/>
      <c r="X147" s="126"/>
      <c r="Y147" s="126"/>
      <c r="Z147" s="123">
        <v>13</v>
      </c>
      <c r="AA147" s="123" t="s">
        <v>2250</v>
      </c>
      <c r="AB147" s="123">
        <v>3.95</v>
      </c>
      <c r="AC147" s="123">
        <v>0</v>
      </c>
      <c r="AD147" s="123"/>
      <c r="AH147" s="123">
        <f t="shared" si="16"/>
        <v>902</v>
      </c>
      <c r="AI147" t="b">
        <f t="shared" si="22"/>
        <v>0</v>
      </c>
      <c r="AJ147" s="123">
        <f t="shared" si="17"/>
        <v>27</v>
      </c>
      <c r="AK147" t="b">
        <f t="shared" si="23"/>
        <v>0</v>
      </c>
    </row>
    <row r="148" spans="1:37">
      <c r="A148" s="121">
        <v>146</v>
      </c>
      <c r="B148" s="122" t="s">
        <v>2666</v>
      </c>
      <c r="C148" s="122" t="s">
        <v>2368</v>
      </c>
      <c r="D148" s="122" t="s">
        <v>2256</v>
      </c>
      <c r="E148" s="124">
        <v>42762</v>
      </c>
      <c r="F148" s="125">
        <v>0.5</v>
      </c>
      <c r="G148" s="124">
        <v>42815</v>
      </c>
      <c r="H148" s="125">
        <v>0.69444444444444453</v>
      </c>
      <c r="I148" s="123">
        <v>699</v>
      </c>
      <c r="J148" s="123">
        <v>689</v>
      </c>
      <c r="K148" s="142" t="str">
        <f t="shared" si="18"/>
        <v>G689</v>
      </c>
      <c r="L148" s="123">
        <v>492</v>
      </c>
      <c r="M148" s="142" t="str">
        <f t="shared" si="19"/>
        <v>R492</v>
      </c>
      <c r="N148" s="123">
        <v>762</v>
      </c>
      <c r="O148" s="142" t="str">
        <f t="shared" si="20"/>
        <v>G762</v>
      </c>
      <c r="P148" s="123">
        <v>468</v>
      </c>
      <c r="Q148" s="142" t="str">
        <f t="shared" si="21"/>
        <v>R468</v>
      </c>
      <c r="R148" s="123">
        <v>27.2</v>
      </c>
      <c r="S148" s="123">
        <v>15.7</v>
      </c>
      <c r="T148" s="123">
        <v>33.9</v>
      </c>
      <c r="U148" s="123">
        <v>29.6</v>
      </c>
      <c r="V148" s="123" t="s">
        <v>2206</v>
      </c>
      <c r="W148" s="126"/>
      <c r="X148" s="126" t="s">
        <v>2187</v>
      </c>
      <c r="Y148" s="126"/>
      <c r="Z148" s="123">
        <v>17.7</v>
      </c>
      <c r="AA148" s="123" t="s">
        <v>2250</v>
      </c>
      <c r="AB148" s="123">
        <v>2.75</v>
      </c>
      <c r="AC148" s="123">
        <v>1</v>
      </c>
      <c r="AD148" s="123"/>
      <c r="AH148" s="123">
        <f t="shared" si="16"/>
        <v>689</v>
      </c>
      <c r="AI148" t="b">
        <f t="shared" si="22"/>
        <v>0</v>
      </c>
      <c r="AJ148" s="123">
        <f t="shared" si="17"/>
        <v>492</v>
      </c>
      <c r="AK148" t="b">
        <f t="shared" si="23"/>
        <v>0</v>
      </c>
    </row>
    <row r="149" spans="1:37">
      <c r="A149" s="121">
        <v>147</v>
      </c>
      <c r="B149" s="122" t="s">
        <v>2666</v>
      </c>
      <c r="C149" s="122" t="s">
        <v>2369</v>
      </c>
      <c r="D149" s="122" t="s">
        <v>2256</v>
      </c>
      <c r="E149" s="124">
        <v>42762</v>
      </c>
      <c r="F149" s="125">
        <v>0.50347222222222221</v>
      </c>
      <c r="G149" s="124">
        <v>42816</v>
      </c>
      <c r="H149" s="125">
        <v>0.70138888888888884</v>
      </c>
      <c r="I149" s="123">
        <v>700</v>
      </c>
      <c r="J149" s="123">
        <v>678</v>
      </c>
      <c r="K149" s="142" t="str">
        <f t="shared" si="18"/>
        <v>G678</v>
      </c>
      <c r="L149" s="123">
        <v>573</v>
      </c>
      <c r="M149" s="142" t="str">
        <f t="shared" si="19"/>
        <v>R573</v>
      </c>
      <c r="N149" s="123">
        <v>878</v>
      </c>
      <c r="O149" s="142" t="str">
        <f t="shared" si="20"/>
        <v>G878</v>
      </c>
      <c r="P149" s="123">
        <v>582</v>
      </c>
      <c r="Q149" s="142" t="str">
        <f t="shared" si="21"/>
        <v>R582</v>
      </c>
      <c r="R149" s="123">
        <v>27.3</v>
      </c>
      <c r="S149" s="123">
        <v>9.6</v>
      </c>
      <c r="T149" s="123">
        <v>32.5</v>
      </c>
      <c r="U149" s="123">
        <v>37.1</v>
      </c>
      <c r="V149" s="123"/>
      <c r="W149" s="126"/>
      <c r="X149" s="126"/>
      <c r="Y149" s="126"/>
      <c r="Z149" s="123">
        <v>19</v>
      </c>
      <c r="AA149" s="123" t="s">
        <v>2180</v>
      </c>
      <c r="AB149" s="123">
        <v>3.6</v>
      </c>
      <c r="AC149" s="123">
        <v>1</v>
      </c>
      <c r="AD149" s="123"/>
      <c r="AH149" s="123">
        <f t="shared" si="16"/>
        <v>678</v>
      </c>
      <c r="AI149" t="b">
        <f t="shared" si="22"/>
        <v>0</v>
      </c>
      <c r="AJ149" s="123">
        <f t="shared" si="17"/>
        <v>573</v>
      </c>
      <c r="AK149" t="b">
        <f t="shared" si="23"/>
        <v>0</v>
      </c>
    </row>
    <row r="150" spans="1:37">
      <c r="A150" s="121">
        <v>148</v>
      </c>
      <c r="B150" s="122" t="s">
        <v>2666</v>
      </c>
      <c r="C150" s="122" t="s">
        <v>2370</v>
      </c>
      <c r="D150" s="122" t="s">
        <v>2256</v>
      </c>
      <c r="E150" s="124">
        <v>42762</v>
      </c>
      <c r="F150" s="125">
        <v>0.50694444444444442</v>
      </c>
      <c r="G150" s="124">
        <v>42816</v>
      </c>
      <c r="H150" s="125">
        <v>0.37847222222222227</v>
      </c>
      <c r="I150" s="123">
        <v>701</v>
      </c>
      <c r="J150" s="123">
        <v>835</v>
      </c>
      <c r="K150" s="142" t="str">
        <f t="shared" si="18"/>
        <v>G835</v>
      </c>
      <c r="L150" s="123">
        <v>472</v>
      </c>
      <c r="M150" s="142" t="str">
        <f t="shared" si="19"/>
        <v>R472</v>
      </c>
      <c r="N150" s="123">
        <v>807</v>
      </c>
      <c r="O150" s="142" t="str">
        <f t="shared" si="20"/>
        <v>G807</v>
      </c>
      <c r="P150" s="123">
        <v>20</v>
      </c>
      <c r="Q150" s="142" t="str">
        <f t="shared" si="21"/>
        <v>R20</v>
      </c>
      <c r="R150" s="123">
        <v>27.4</v>
      </c>
      <c r="S150" s="123">
        <v>18.100000000000001</v>
      </c>
      <c r="T150" s="123">
        <v>23.2</v>
      </c>
      <c r="U150" s="123">
        <v>38.299999999999997</v>
      </c>
      <c r="V150" s="123" t="s">
        <v>2179</v>
      </c>
      <c r="W150" s="126" t="s">
        <v>2179</v>
      </c>
      <c r="X150" s="126" t="s">
        <v>2187</v>
      </c>
      <c r="Y150" s="126"/>
      <c r="Z150" s="123">
        <v>17.489999999999998</v>
      </c>
      <c r="AA150" s="123" t="s">
        <v>2180</v>
      </c>
      <c r="AB150" s="123">
        <v>4.9000000000000004</v>
      </c>
      <c r="AC150" s="123">
        <v>1</v>
      </c>
      <c r="AD150" s="123"/>
      <c r="AH150" s="123">
        <f t="shared" si="16"/>
        <v>835</v>
      </c>
      <c r="AI150" t="b">
        <f t="shared" si="22"/>
        <v>0</v>
      </c>
      <c r="AJ150" s="123">
        <f t="shared" si="17"/>
        <v>472</v>
      </c>
      <c r="AK150" t="b">
        <f t="shared" si="23"/>
        <v>0</v>
      </c>
    </row>
    <row r="151" spans="1:37">
      <c r="A151" s="121">
        <v>149</v>
      </c>
      <c r="B151" s="122" t="s">
        <v>2666</v>
      </c>
      <c r="C151" s="122" t="s">
        <v>2371</v>
      </c>
      <c r="D151" s="122" t="s">
        <v>2256</v>
      </c>
      <c r="E151" s="124">
        <v>42762</v>
      </c>
      <c r="F151" s="125">
        <v>0.51041666666666663</v>
      </c>
      <c r="G151" s="124">
        <v>42816</v>
      </c>
      <c r="H151" s="125">
        <v>0.38541666666666669</v>
      </c>
      <c r="I151" s="123">
        <v>702</v>
      </c>
      <c r="J151" s="129">
        <v>733</v>
      </c>
      <c r="K151" s="142" t="str">
        <f t="shared" si="18"/>
        <v>G733</v>
      </c>
      <c r="L151" s="123">
        <v>545</v>
      </c>
      <c r="M151" s="142" t="str">
        <f t="shared" si="19"/>
        <v>R545</v>
      </c>
      <c r="N151" s="123">
        <v>696</v>
      </c>
      <c r="O151" s="142" t="str">
        <f t="shared" si="20"/>
        <v>G696</v>
      </c>
      <c r="P151" s="123">
        <v>533</v>
      </c>
      <c r="Q151" s="142" t="str">
        <f t="shared" si="21"/>
        <v>R533</v>
      </c>
      <c r="R151" s="123">
        <v>29.7</v>
      </c>
      <c r="S151" s="123">
        <v>11.7</v>
      </c>
      <c r="T151" s="123">
        <v>24.1</v>
      </c>
      <c r="U151" s="123">
        <v>39.1</v>
      </c>
      <c r="V151" s="123"/>
      <c r="W151" s="126"/>
      <c r="X151" s="126"/>
      <c r="Y151" s="126"/>
      <c r="Z151" s="123">
        <v>13</v>
      </c>
      <c r="AA151" s="123" t="s">
        <v>2180</v>
      </c>
      <c r="AB151" s="123">
        <v>2.8</v>
      </c>
      <c r="AC151" s="123">
        <v>1</v>
      </c>
      <c r="AD151" s="123"/>
      <c r="AH151" s="129">
        <f t="shared" si="16"/>
        <v>733</v>
      </c>
      <c r="AI151" t="b">
        <f t="shared" si="22"/>
        <v>0</v>
      </c>
      <c r="AJ151" s="123">
        <f t="shared" si="17"/>
        <v>545</v>
      </c>
      <c r="AK151" t="b">
        <f t="shared" si="23"/>
        <v>0</v>
      </c>
    </row>
    <row r="152" spans="1:37">
      <c r="A152" s="121">
        <v>150</v>
      </c>
      <c r="B152" s="122" t="s">
        <v>2666</v>
      </c>
      <c r="C152" s="122" t="s">
        <v>2372</v>
      </c>
      <c r="D152" s="122" t="s">
        <v>2256</v>
      </c>
      <c r="E152" s="124">
        <v>42762</v>
      </c>
      <c r="F152" s="125">
        <v>0.51388888888888895</v>
      </c>
      <c r="G152" s="124">
        <v>42816</v>
      </c>
      <c r="H152" s="125">
        <v>0.3923611111111111</v>
      </c>
      <c r="I152" s="123">
        <v>703</v>
      </c>
      <c r="J152" s="123">
        <v>658</v>
      </c>
      <c r="K152" s="142" t="str">
        <f t="shared" si="18"/>
        <v>G658</v>
      </c>
      <c r="L152" s="123">
        <v>7</v>
      </c>
      <c r="M152" s="142" t="str">
        <f t="shared" si="19"/>
        <v>R7</v>
      </c>
      <c r="N152" s="123">
        <v>801</v>
      </c>
      <c r="O152" s="142" t="str">
        <f t="shared" si="20"/>
        <v>G801</v>
      </c>
      <c r="P152" s="123">
        <v>572</v>
      </c>
      <c r="Q152" s="142" t="str">
        <f t="shared" si="21"/>
        <v>R572</v>
      </c>
      <c r="R152" s="123">
        <v>26.5</v>
      </c>
      <c r="S152" s="123">
        <v>9.1</v>
      </c>
      <c r="T152" s="123">
        <v>23</v>
      </c>
      <c r="U152" s="123">
        <v>36</v>
      </c>
      <c r="V152" s="123"/>
      <c r="W152" s="126"/>
      <c r="X152" s="126"/>
      <c r="Y152" s="126"/>
      <c r="Z152" s="123">
        <v>19</v>
      </c>
      <c r="AA152" s="123" t="s">
        <v>2250</v>
      </c>
      <c r="AB152" s="123">
        <v>2.75</v>
      </c>
      <c r="AC152" s="123">
        <v>0</v>
      </c>
      <c r="AD152" s="123"/>
      <c r="AH152" s="123">
        <f t="shared" si="16"/>
        <v>658</v>
      </c>
      <c r="AI152" t="b">
        <f t="shared" si="22"/>
        <v>0</v>
      </c>
      <c r="AJ152" s="123">
        <f t="shared" si="17"/>
        <v>7</v>
      </c>
      <c r="AK152" t="b">
        <f t="shared" si="23"/>
        <v>0</v>
      </c>
    </row>
    <row r="153" spans="1:37">
      <c r="A153" s="121">
        <v>151</v>
      </c>
      <c r="B153" s="122" t="s">
        <v>2666</v>
      </c>
      <c r="C153" s="122" t="s">
        <v>2373</v>
      </c>
      <c r="D153" s="122" t="s">
        <v>2256</v>
      </c>
      <c r="E153" s="124">
        <v>42762</v>
      </c>
      <c r="F153" s="125">
        <v>0.52083333333333337</v>
      </c>
      <c r="G153" s="124">
        <v>42816</v>
      </c>
      <c r="H153" s="125">
        <v>0.39930555555555558</v>
      </c>
      <c r="I153" s="123">
        <v>704</v>
      </c>
      <c r="J153" s="123">
        <v>567</v>
      </c>
      <c r="K153" s="142" t="str">
        <f t="shared" si="18"/>
        <v>G567</v>
      </c>
      <c r="L153" s="123">
        <v>447</v>
      </c>
      <c r="M153" s="142" t="str">
        <f t="shared" si="19"/>
        <v>R447</v>
      </c>
      <c r="N153" s="123">
        <v>647</v>
      </c>
      <c r="O153" s="142" t="str">
        <f t="shared" si="20"/>
        <v>G647</v>
      </c>
      <c r="P153" s="123">
        <v>504</v>
      </c>
      <c r="Q153" s="142" t="str">
        <f t="shared" si="21"/>
        <v>R504</v>
      </c>
      <c r="R153" s="123">
        <v>29</v>
      </c>
      <c r="S153" s="123">
        <v>17.3</v>
      </c>
      <c r="T153" s="123">
        <v>24</v>
      </c>
      <c r="U153" s="123">
        <v>34.799999999999997</v>
      </c>
      <c r="V153" s="123" t="s">
        <v>2187</v>
      </c>
      <c r="W153" s="126"/>
      <c r="X153" s="126" t="s">
        <v>2187</v>
      </c>
      <c r="Y153" s="126"/>
      <c r="Z153" s="123">
        <v>7.9</v>
      </c>
      <c r="AA153" s="123" t="s">
        <v>2250</v>
      </c>
      <c r="AB153" s="123">
        <v>1.4</v>
      </c>
      <c r="AC153" s="123">
        <v>1</v>
      </c>
      <c r="AD153" s="123"/>
      <c r="AH153" s="123">
        <f t="shared" si="16"/>
        <v>567</v>
      </c>
      <c r="AI153" t="b">
        <f t="shared" si="22"/>
        <v>0</v>
      </c>
      <c r="AJ153" s="123">
        <f t="shared" si="17"/>
        <v>447</v>
      </c>
      <c r="AK153" t="b">
        <f t="shared" si="23"/>
        <v>0</v>
      </c>
    </row>
    <row r="154" spans="1:37">
      <c r="A154" s="121">
        <v>152</v>
      </c>
      <c r="B154" s="122" t="s">
        <v>2666</v>
      </c>
      <c r="C154" s="122" t="s">
        <v>2374</v>
      </c>
      <c r="D154" s="122" t="s">
        <v>2256</v>
      </c>
      <c r="E154" s="124">
        <v>42762</v>
      </c>
      <c r="F154" s="125">
        <v>0.52430555555555558</v>
      </c>
      <c r="G154" s="124">
        <v>42816</v>
      </c>
      <c r="H154" s="125">
        <v>0.40625</v>
      </c>
      <c r="I154" s="123">
        <v>705</v>
      </c>
      <c r="J154" s="123">
        <v>853</v>
      </c>
      <c r="K154" s="142" t="str">
        <f t="shared" si="18"/>
        <v>G853</v>
      </c>
      <c r="L154" s="123">
        <v>591</v>
      </c>
      <c r="M154" s="142" t="str">
        <f t="shared" si="19"/>
        <v>R591</v>
      </c>
      <c r="N154" s="123">
        <v>744</v>
      </c>
      <c r="O154" s="142" t="str">
        <f t="shared" si="20"/>
        <v>G744</v>
      </c>
      <c r="P154" s="123">
        <v>579</v>
      </c>
      <c r="Q154" s="142" t="str">
        <f t="shared" si="21"/>
        <v>R579</v>
      </c>
      <c r="R154" s="123">
        <v>24.9</v>
      </c>
      <c r="S154" s="123">
        <v>10</v>
      </c>
      <c r="T154" s="123">
        <v>22.5</v>
      </c>
      <c r="U154" s="123">
        <v>27.6</v>
      </c>
      <c r="V154" s="123"/>
      <c r="W154" s="126" t="s">
        <v>2187</v>
      </c>
      <c r="X154" s="126" t="s">
        <v>2187</v>
      </c>
      <c r="Y154" s="126"/>
      <c r="Z154" s="123">
        <v>15</v>
      </c>
      <c r="AA154" s="123" t="s">
        <v>2180</v>
      </c>
      <c r="AB154" s="123">
        <v>2.2000000000000002</v>
      </c>
      <c r="AC154" s="123">
        <v>0</v>
      </c>
      <c r="AD154" s="123" t="s">
        <v>2375</v>
      </c>
      <c r="AH154" s="123">
        <f t="shared" si="16"/>
        <v>853</v>
      </c>
      <c r="AI154" t="b">
        <f t="shared" si="22"/>
        <v>0</v>
      </c>
      <c r="AJ154" s="123">
        <f t="shared" si="17"/>
        <v>591</v>
      </c>
      <c r="AK154" t="b">
        <f t="shared" si="23"/>
        <v>0</v>
      </c>
    </row>
    <row r="155" spans="1:37">
      <c r="A155" s="121">
        <v>153</v>
      </c>
      <c r="B155" s="122" t="s">
        <v>2666</v>
      </c>
      <c r="C155" s="122" t="s">
        <v>2376</v>
      </c>
      <c r="D155" s="122" t="s">
        <v>2265</v>
      </c>
      <c r="E155" s="124">
        <v>42762</v>
      </c>
      <c r="F155" s="125">
        <v>0.53125</v>
      </c>
      <c r="G155" s="124">
        <v>42816</v>
      </c>
      <c r="H155" s="125">
        <v>0.41666666666666669</v>
      </c>
      <c r="I155" s="123">
        <v>710</v>
      </c>
      <c r="J155" s="123">
        <v>800</v>
      </c>
      <c r="K155" s="142" t="str">
        <f t="shared" si="18"/>
        <v>G800</v>
      </c>
      <c r="L155" s="123">
        <v>479</v>
      </c>
      <c r="M155" s="142" t="str">
        <f t="shared" si="19"/>
        <v>R479</v>
      </c>
      <c r="N155" s="123">
        <v>885</v>
      </c>
      <c r="O155" s="142" t="str">
        <f t="shared" si="20"/>
        <v>G885</v>
      </c>
      <c r="P155" s="123">
        <v>440</v>
      </c>
      <c r="Q155" s="142" t="str">
        <f t="shared" si="21"/>
        <v>R440</v>
      </c>
      <c r="R155" s="123">
        <v>28.6</v>
      </c>
      <c r="S155" s="123">
        <v>11.4</v>
      </c>
      <c r="T155" s="123">
        <v>24.8</v>
      </c>
      <c r="U155" s="123">
        <v>31.3</v>
      </c>
      <c r="V155" s="123" t="s">
        <v>2187</v>
      </c>
      <c r="W155" s="126" t="s">
        <v>2200</v>
      </c>
      <c r="X155" s="126" t="s">
        <v>2187</v>
      </c>
      <c r="Y155" s="126"/>
      <c r="Z155" s="123">
        <v>16.399999999999999</v>
      </c>
      <c r="AA155" s="123" t="s">
        <v>2228</v>
      </c>
      <c r="AB155" s="123">
        <v>2.1</v>
      </c>
      <c r="AC155" s="123">
        <v>0</v>
      </c>
      <c r="AD155" s="123"/>
      <c r="AH155" s="123">
        <f t="shared" si="16"/>
        <v>800</v>
      </c>
      <c r="AI155" t="b">
        <f t="shared" si="22"/>
        <v>0</v>
      </c>
      <c r="AJ155" s="123">
        <f t="shared" si="17"/>
        <v>479</v>
      </c>
      <c r="AK155" t="b">
        <f t="shared" si="23"/>
        <v>0</v>
      </c>
    </row>
    <row r="156" spans="1:37">
      <c r="A156" s="121">
        <v>154</v>
      </c>
      <c r="B156" s="122" t="s">
        <v>2666</v>
      </c>
      <c r="C156" s="122" t="s">
        <v>2377</v>
      </c>
      <c r="D156" s="122" t="s">
        <v>2265</v>
      </c>
      <c r="E156" s="124">
        <v>42762</v>
      </c>
      <c r="F156" s="125">
        <v>0.53819444444444442</v>
      </c>
      <c r="G156" s="124">
        <v>42816</v>
      </c>
      <c r="H156" s="125">
        <v>0.4236111111111111</v>
      </c>
      <c r="I156" s="123">
        <v>711</v>
      </c>
      <c r="J156" s="123">
        <v>675</v>
      </c>
      <c r="K156" s="142" t="str">
        <f t="shared" si="18"/>
        <v>G675</v>
      </c>
      <c r="L156" s="123">
        <v>493</v>
      </c>
      <c r="M156" s="142" t="str">
        <f t="shared" si="19"/>
        <v>R493</v>
      </c>
      <c r="N156" s="123">
        <v>684</v>
      </c>
      <c r="O156" s="142" t="str">
        <f t="shared" si="20"/>
        <v>G684</v>
      </c>
      <c r="P156" s="123">
        <v>485</v>
      </c>
      <c r="Q156" s="142" t="str">
        <f t="shared" si="21"/>
        <v>R485</v>
      </c>
      <c r="R156" s="123">
        <v>28.5</v>
      </c>
      <c r="S156" s="123">
        <v>7.8</v>
      </c>
      <c r="T156" s="123">
        <v>22.9</v>
      </c>
      <c r="U156" s="123">
        <v>39.200000000000003</v>
      </c>
      <c r="V156" s="123" t="s">
        <v>2195</v>
      </c>
      <c r="W156" s="126" t="s">
        <v>2195</v>
      </c>
      <c r="X156" s="126" t="s">
        <v>2187</v>
      </c>
      <c r="Y156" s="126"/>
      <c r="Z156" s="123">
        <v>9</v>
      </c>
      <c r="AA156" s="123" t="s">
        <v>2228</v>
      </c>
      <c r="AB156" s="123">
        <v>2.15</v>
      </c>
      <c r="AC156" s="123">
        <v>0</v>
      </c>
      <c r="AD156" s="123"/>
      <c r="AH156" s="123">
        <f t="shared" si="16"/>
        <v>675</v>
      </c>
      <c r="AI156" t="b">
        <f t="shared" si="22"/>
        <v>0</v>
      </c>
      <c r="AJ156" s="123">
        <f t="shared" si="17"/>
        <v>493</v>
      </c>
      <c r="AK156" t="b">
        <f t="shared" si="23"/>
        <v>0</v>
      </c>
    </row>
    <row r="157" spans="1:37">
      <c r="A157" s="121">
        <v>155</v>
      </c>
      <c r="B157" s="122" t="s">
        <v>2666</v>
      </c>
      <c r="C157" s="122" t="s">
        <v>2378</v>
      </c>
      <c r="D157" s="122" t="s">
        <v>2265</v>
      </c>
      <c r="E157" s="124">
        <v>42762</v>
      </c>
      <c r="F157" s="125">
        <v>0.54166666666666663</v>
      </c>
      <c r="G157" s="124">
        <v>42816</v>
      </c>
      <c r="H157" s="125">
        <v>0.43055555555555558</v>
      </c>
      <c r="I157" s="123">
        <v>712</v>
      </c>
      <c r="J157" s="123">
        <v>859</v>
      </c>
      <c r="K157" s="142" t="str">
        <f t="shared" si="18"/>
        <v>G859</v>
      </c>
      <c r="L157" s="123">
        <v>484</v>
      </c>
      <c r="M157" s="142" t="str">
        <f t="shared" si="19"/>
        <v>R484</v>
      </c>
      <c r="N157" s="123">
        <v>827</v>
      </c>
      <c r="O157" s="142" t="str">
        <f t="shared" si="20"/>
        <v>G827</v>
      </c>
      <c r="P157" s="123">
        <v>556</v>
      </c>
      <c r="Q157" s="142" t="str">
        <f t="shared" si="21"/>
        <v>R556</v>
      </c>
      <c r="R157" s="123">
        <v>30.4</v>
      </c>
      <c r="S157" s="123">
        <v>14.8</v>
      </c>
      <c r="T157" s="123">
        <v>23.2</v>
      </c>
      <c r="U157" s="123">
        <v>32.700000000000003</v>
      </c>
      <c r="V157" s="123" t="s">
        <v>2187</v>
      </c>
      <c r="W157" s="126" t="s">
        <v>2187</v>
      </c>
      <c r="X157" s="126"/>
      <c r="Y157" s="126"/>
      <c r="Z157" s="123">
        <v>11</v>
      </c>
      <c r="AA157" s="123" t="s">
        <v>2228</v>
      </c>
      <c r="AB157" s="123">
        <v>1.2</v>
      </c>
      <c r="AC157" s="123">
        <v>0</v>
      </c>
      <c r="AD157" s="123"/>
      <c r="AH157" s="123">
        <f t="shared" si="16"/>
        <v>859</v>
      </c>
      <c r="AI157" t="b">
        <f t="shared" si="22"/>
        <v>0</v>
      </c>
      <c r="AJ157" s="123">
        <f t="shared" si="17"/>
        <v>484</v>
      </c>
      <c r="AK157" t="b">
        <f t="shared" si="23"/>
        <v>0</v>
      </c>
    </row>
    <row r="158" spans="1:37">
      <c r="A158" s="121">
        <v>156</v>
      </c>
      <c r="B158" s="122" t="s">
        <v>2666</v>
      </c>
      <c r="C158" s="122" t="s">
        <v>2379</v>
      </c>
      <c r="D158" s="122" t="s">
        <v>2265</v>
      </c>
      <c r="E158" s="124">
        <v>42762</v>
      </c>
      <c r="F158" s="125">
        <v>0.54513888888888895</v>
      </c>
      <c r="G158" s="124">
        <v>42816</v>
      </c>
      <c r="H158" s="125">
        <v>0.4375</v>
      </c>
      <c r="I158" s="123">
        <v>713</v>
      </c>
      <c r="J158" s="123">
        <v>654</v>
      </c>
      <c r="K158" s="142" t="str">
        <f t="shared" si="18"/>
        <v>G654</v>
      </c>
      <c r="L158" s="123">
        <v>598</v>
      </c>
      <c r="M158" s="142" t="str">
        <f t="shared" si="19"/>
        <v>R598</v>
      </c>
      <c r="N158" s="123">
        <v>667</v>
      </c>
      <c r="O158" s="142" t="str">
        <f t="shared" si="20"/>
        <v>G667</v>
      </c>
      <c r="P158" s="123">
        <v>464</v>
      </c>
      <c r="Q158" s="142" t="str">
        <f t="shared" si="21"/>
        <v>R464</v>
      </c>
      <c r="R158" s="123">
        <v>29.5</v>
      </c>
      <c r="S158" s="123">
        <v>10.8</v>
      </c>
      <c r="T158" s="123">
        <v>24.4</v>
      </c>
      <c r="U158" s="123">
        <v>32.6</v>
      </c>
      <c r="V158" s="123" t="s">
        <v>2179</v>
      </c>
      <c r="W158" s="126" t="s">
        <v>2187</v>
      </c>
      <c r="X158" s="126" t="s">
        <v>2187</v>
      </c>
      <c r="Y158" s="126" t="s">
        <v>2187</v>
      </c>
      <c r="Z158" s="123">
        <v>9.1</v>
      </c>
      <c r="AA158" s="123" t="s">
        <v>2250</v>
      </c>
      <c r="AB158" s="123">
        <v>1.55</v>
      </c>
      <c r="AC158" s="123">
        <v>0</v>
      </c>
      <c r="AD158" s="123" t="s">
        <v>2380</v>
      </c>
      <c r="AH158" s="123">
        <f t="shared" si="16"/>
        <v>654</v>
      </c>
      <c r="AI158" t="b">
        <f t="shared" si="22"/>
        <v>0</v>
      </c>
      <c r="AJ158" s="123">
        <f t="shared" si="17"/>
        <v>598</v>
      </c>
      <c r="AK158" t="b">
        <f t="shared" si="23"/>
        <v>0</v>
      </c>
    </row>
    <row r="159" spans="1:37">
      <c r="A159" s="121">
        <v>157</v>
      </c>
      <c r="B159" s="122" t="s">
        <v>2666</v>
      </c>
      <c r="C159" s="122" t="s">
        <v>2381</v>
      </c>
      <c r="D159" s="122" t="s">
        <v>2265</v>
      </c>
      <c r="E159" s="124">
        <v>42762</v>
      </c>
      <c r="F159" s="125">
        <v>0.54513888888888895</v>
      </c>
      <c r="G159" s="124">
        <v>42816</v>
      </c>
      <c r="H159" s="125">
        <v>0.44097222222222227</v>
      </c>
      <c r="I159" s="123">
        <v>714</v>
      </c>
      <c r="J159" s="123">
        <v>890</v>
      </c>
      <c r="K159" s="142" t="str">
        <f t="shared" si="18"/>
        <v>G890</v>
      </c>
      <c r="L159" s="123">
        <v>30</v>
      </c>
      <c r="M159" s="142" t="str">
        <f t="shared" si="19"/>
        <v>R30</v>
      </c>
      <c r="N159" s="123">
        <v>777</v>
      </c>
      <c r="O159" s="142" t="str">
        <f t="shared" si="20"/>
        <v>G777</v>
      </c>
      <c r="P159" s="123">
        <v>35</v>
      </c>
      <c r="Q159" s="142" t="str">
        <f t="shared" si="21"/>
        <v>R35</v>
      </c>
      <c r="R159" s="123">
        <v>32</v>
      </c>
      <c r="S159" s="123">
        <v>10.199999999999999</v>
      </c>
      <c r="T159" s="123">
        <v>26.4</v>
      </c>
      <c r="U159" s="123">
        <v>35</v>
      </c>
      <c r="V159" s="123" t="s">
        <v>2187</v>
      </c>
      <c r="W159" s="126" t="s">
        <v>2234</v>
      </c>
      <c r="X159" s="126" t="s">
        <v>2187</v>
      </c>
      <c r="Y159" s="126"/>
      <c r="Z159" s="123">
        <v>7.7</v>
      </c>
      <c r="AA159" s="123" t="s">
        <v>2250</v>
      </c>
      <c r="AB159" s="123">
        <v>2.2999999999999998</v>
      </c>
      <c r="AC159" s="123">
        <v>0</v>
      </c>
      <c r="AD159" s="123"/>
      <c r="AH159" s="123">
        <f t="shared" si="16"/>
        <v>890</v>
      </c>
      <c r="AI159" t="b">
        <f t="shared" si="22"/>
        <v>0</v>
      </c>
      <c r="AJ159" s="123">
        <f t="shared" si="17"/>
        <v>30</v>
      </c>
      <c r="AK159" t="b">
        <f t="shared" si="23"/>
        <v>0</v>
      </c>
    </row>
    <row r="160" spans="1:37">
      <c r="A160" s="121">
        <v>158</v>
      </c>
      <c r="B160" s="122" t="s">
        <v>2666</v>
      </c>
      <c r="C160" s="122" t="s">
        <v>2382</v>
      </c>
      <c r="D160" s="122" t="s">
        <v>2265</v>
      </c>
      <c r="E160" s="124">
        <v>42762</v>
      </c>
      <c r="F160" s="125">
        <v>0.55208333333333337</v>
      </c>
      <c r="G160" s="124">
        <v>42816</v>
      </c>
      <c r="H160" s="125">
        <v>0.44791666666666669</v>
      </c>
      <c r="I160" s="123">
        <v>715</v>
      </c>
      <c r="J160" s="123">
        <v>576</v>
      </c>
      <c r="K160" s="142" t="str">
        <f t="shared" si="18"/>
        <v>G576</v>
      </c>
      <c r="L160" s="123">
        <v>16</v>
      </c>
      <c r="M160" s="142" t="str">
        <f t="shared" si="19"/>
        <v>R16</v>
      </c>
      <c r="N160" s="123">
        <v>884</v>
      </c>
      <c r="O160" s="142" t="str">
        <f t="shared" si="20"/>
        <v>G884</v>
      </c>
      <c r="P160" s="123">
        <v>570</v>
      </c>
      <c r="Q160" s="142" t="str">
        <f t="shared" si="21"/>
        <v>R570</v>
      </c>
      <c r="R160" s="123">
        <v>27.4</v>
      </c>
      <c r="S160" s="123">
        <v>12.4</v>
      </c>
      <c r="T160" s="123">
        <v>25.3</v>
      </c>
      <c r="U160" s="123">
        <v>32.5</v>
      </c>
      <c r="V160" s="123" t="s">
        <v>2206</v>
      </c>
      <c r="W160" s="126" t="s">
        <v>2187</v>
      </c>
      <c r="X160" s="126" t="s">
        <v>2187</v>
      </c>
      <c r="Y160" s="126"/>
      <c r="Z160" s="123">
        <v>4.3</v>
      </c>
      <c r="AA160" s="123" t="s">
        <v>2250</v>
      </c>
      <c r="AB160" s="123">
        <v>1.9</v>
      </c>
      <c r="AC160" s="123">
        <v>0</v>
      </c>
      <c r="AD160" s="123"/>
      <c r="AH160" s="123">
        <f t="shared" si="16"/>
        <v>576</v>
      </c>
      <c r="AI160" t="b">
        <f t="shared" si="22"/>
        <v>0</v>
      </c>
      <c r="AJ160" s="123">
        <f t="shared" si="17"/>
        <v>16</v>
      </c>
      <c r="AK160" t="b">
        <f t="shared" si="23"/>
        <v>0</v>
      </c>
    </row>
    <row r="161" spans="1:37">
      <c r="A161" s="169">
        <v>159</v>
      </c>
      <c r="B161" s="170" t="s">
        <v>2666</v>
      </c>
      <c r="C161" s="170" t="s">
        <v>2383</v>
      </c>
      <c r="D161" s="170" t="s">
        <v>2265</v>
      </c>
      <c r="E161" s="171">
        <v>42762</v>
      </c>
      <c r="F161" s="174">
        <v>0.55555555555555558</v>
      </c>
      <c r="G161" s="171">
        <v>42816</v>
      </c>
      <c r="H161" s="169"/>
      <c r="I161" s="169">
        <v>716</v>
      </c>
      <c r="J161" s="169">
        <v>829</v>
      </c>
      <c r="K161" s="142" t="str">
        <f t="shared" si="18"/>
        <v>G829</v>
      </c>
      <c r="L161" s="169">
        <v>499</v>
      </c>
      <c r="M161" s="142" t="str">
        <f t="shared" si="19"/>
        <v>R499</v>
      </c>
      <c r="N161" s="169">
        <v>731</v>
      </c>
      <c r="O161" s="142" t="str">
        <f t="shared" si="20"/>
        <v>G731</v>
      </c>
      <c r="P161" s="169">
        <v>439</v>
      </c>
      <c r="Q161" s="142" t="str">
        <f t="shared" si="21"/>
        <v>R439</v>
      </c>
      <c r="R161" s="169">
        <v>28</v>
      </c>
      <c r="S161" s="169">
        <v>14.4</v>
      </c>
      <c r="T161" s="169"/>
      <c r="U161" s="169"/>
      <c r="V161" s="169"/>
      <c r="W161" s="169"/>
      <c r="X161" s="169"/>
      <c r="Y161" s="169"/>
      <c r="Z161" s="169">
        <v>0</v>
      </c>
      <c r="AA161" s="169" t="s">
        <v>2228</v>
      </c>
      <c r="AB161" s="169">
        <v>2.65</v>
      </c>
      <c r="AC161" s="169">
        <v>1</v>
      </c>
      <c r="AD161" s="169"/>
      <c r="AH161" s="123">
        <f t="shared" si="16"/>
        <v>829</v>
      </c>
      <c r="AI161" t="b">
        <f t="shared" si="22"/>
        <v>0</v>
      </c>
      <c r="AJ161" s="123">
        <f t="shared" si="17"/>
        <v>499</v>
      </c>
      <c r="AK161" t="b">
        <f t="shared" si="23"/>
        <v>0</v>
      </c>
    </row>
    <row r="162" spans="1:37">
      <c r="A162" s="121">
        <v>160</v>
      </c>
      <c r="B162" s="122" t="s">
        <v>2666</v>
      </c>
      <c r="C162" s="122" t="s">
        <v>2384</v>
      </c>
      <c r="D162" s="122" t="s">
        <v>2265</v>
      </c>
      <c r="E162" s="124">
        <v>42762</v>
      </c>
      <c r="F162" s="125">
        <v>0.55555555555555558</v>
      </c>
      <c r="G162" s="124">
        <v>42816</v>
      </c>
      <c r="H162" s="125">
        <v>0.46875</v>
      </c>
      <c r="I162" s="123">
        <v>717</v>
      </c>
      <c r="J162" s="123">
        <v>809</v>
      </c>
      <c r="K162" s="142" t="str">
        <f t="shared" si="18"/>
        <v>G809</v>
      </c>
      <c r="L162" s="123">
        <v>421</v>
      </c>
      <c r="M162" s="142" t="str">
        <f t="shared" si="19"/>
        <v>R421</v>
      </c>
      <c r="N162" s="123">
        <v>876</v>
      </c>
      <c r="O162" s="142" t="str">
        <f t="shared" si="20"/>
        <v>G876</v>
      </c>
      <c r="P162" s="123">
        <v>461</v>
      </c>
      <c r="Q162" s="142" t="str">
        <f t="shared" si="21"/>
        <v>R461</v>
      </c>
      <c r="R162" s="123">
        <v>28.7</v>
      </c>
      <c r="S162" s="123">
        <v>12.1</v>
      </c>
      <c r="T162" s="123">
        <v>25.6</v>
      </c>
      <c r="U162" s="123">
        <v>20.9</v>
      </c>
      <c r="V162" s="123" t="s">
        <v>2187</v>
      </c>
      <c r="W162" s="126" t="s">
        <v>2187</v>
      </c>
      <c r="X162" s="126" t="s">
        <v>2187</v>
      </c>
      <c r="Y162" s="126"/>
      <c r="Z162" s="123">
        <v>10.8</v>
      </c>
      <c r="AA162" s="123" t="s">
        <v>2250</v>
      </c>
      <c r="AB162" s="123">
        <v>0.8</v>
      </c>
      <c r="AC162" s="123">
        <v>0</v>
      </c>
      <c r="AD162" s="123"/>
      <c r="AH162" s="123">
        <f t="shared" si="16"/>
        <v>809</v>
      </c>
      <c r="AI162" t="b">
        <f t="shared" si="22"/>
        <v>0</v>
      </c>
      <c r="AJ162" s="123">
        <f t="shared" si="17"/>
        <v>421</v>
      </c>
      <c r="AK162" t="b">
        <f t="shared" si="23"/>
        <v>0</v>
      </c>
    </row>
    <row r="163" spans="1:37">
      <c r="A163" s="121">
        <v>161</v>
      </c>
      <c r="B163" s="122" t="s">
        <v>2385</v>
      </c>
      <c r="C163" s="122" t="s">
        <v>2386</v>
      </c>
      <c r="D163" s="122" t="s">
        <v>2278</v>
      </c>
      <c r="E163" s="124">
        <v>42763</v>
      </c>
      <c r="F163" s="125">
        <v>0.44097222222222227</v>
      </c>
      <c r="G163" s="124">
        <v>42814</v>
      </c>
      <c r="H163" s="125">
        <v>0.55902777777777779</v>
      </c>
      <c r="I163" s="123">
        <v>756</v>
      </c>
      <c r="J163" s="123">
        <v>252</v>
      </c>
      <c r="K163" s="142" t="str">
        <f t="shared" si="18"/>
        <v>G252</v>
      </c>
      <c r="L163" s="123">
        <v>124</v>
      </c>
      <c r="M163" s="142" t="str">
        <f t="shared" si="19"/>
        <v>R124</v>
      </c>
      <c r="N163" s="123">
        <v>351</v>
      </c>
      <c r="O163" s="142" t="str">
        <f t="shared" si="20"/>
        <v>G351</v>
      </c>
      <c r="P163" s="123">
        <v>253</v>
      </c>
      <c r="Q163" s="142" t="str">
        <f t="shared" si="21"/>
        <v>R253</v>
      </c>
      <c r="R163" s="123">
        <v>26</v>
      </c>
      <c r="S163" s="123">
        <v>18.600000000000001</v>
      </c>
      <c r="T163" s="123">
        <v>41.2</v>
      </c>
      <c r="U163" s="123">
        <v>3.6</v>
      </c>
      <c r="V163" s="123"/>
      <c r="W163" s="126"/>
      <c r="X163" s="126"/>
      <c r="Y163" s="126"/>
      <c r="Z163" s="123">
        <v>35.799999999999997</v>
      </c>
      <c r="AA163" s="123" t="s">
        <v>2180</v>
      </c>
      <c r="AB163" s="123">
        <v>7.6</v>
      </c>
      <c r="AC163" s="123">
        <v>0</v>
      </c>
      <c r="AD163" s="123"/>
      <c r="AH163" s="123">
        <f t="shared" si="16"/>
        <v>252</v>
      </c>
      <c r="AI163" t="b">
        <f t="shared" si="22"/>
        <v>0</v>
      </c>
      <c r="AJ163" s="123">
        <f t="shared" si="17"/>
        <v>124</v>
      </c>
      <c r="AK163" t="b">
        <f t="shared" si="23"/>
        <v>0</v>
      </c>
    </row>
    <row r="164" spans="1:37">
      <c r="A164" s="121">
        <v>162</v>
      </c>
      <c r="B164" s="122" t="s">
        <v>2385</v>
      </c>
      <c r="C164" s="122" t="s">
        <v>2387</v>
      </c>
      <c r="D164" s="122" t="s">
        <v>2278</v>
      </c>
      <c r="E164" s="124">
        <v>42763</v>
      </c>
      <c r="F164" s="125">
        <v>0.44791666666666669</v>
      </c>
      <c r="G164" s="124">
        <v>42814</v>
      </c>
      <c r="H164" s="125">
        <v>0.56458333333333333</v>
      </c>
      <c r="I164" s="123">
        <v>757</v>
      </c>
      <c r="J164" s="123">
        <v>385</v>
      </c>
      <c r="K164" s="142" t="str">
        <f t="shared" si="18"/>
        <v>G385</v>
      </c>
      <c r="L164" s="123">
        <v>202</v>
      </c>
      <c r="M164" s="142" t="str">
        <f t="shared" si="19"/>
        <v>R202</v>
      </c>
      <c r="N164" s="123">
        <v>442</v>
      </c>
      <c r="O164" s="142" t="str">
        <f t="shared" si="20"/>
        <v>G442</v>
      </c>
      <c r="P164" s="123">
        <v>285</v>
      </c>
      <c r="Q164" s="142" t="str">
        <f t="shared" si="21"/>
        <v>R285</v>
      </c>
      <c r="R164" s="123">
        <v>27.2</v>
      </c>
      <c r="S164" s="123">
        <v>14.6</v>
      </c>
      <c r="T164" s="123">
        <v>41.7</v>
      </c>
      <c r="U164" s="123">
        <v>4.0999999999999996</v>
      </c>
      <c r="V164" s="123"/>
      <c r="W164" s="126" t="s">
        <v>2179</v>
      </c>
      <c r="X164" s="126"/>
      <c r="Y164" s="126" t="s">
        <v>2187</v>
      </c>
      <c r="Z164" s="123">
        <v>31.4</v>
      </c>
      <c r="AA164" s="123" t="s">
        <v>2180</v>
      </c>
      <c r="AB164" s="123">
        <v>4.0999999999999996</v>
      </c>
      <c r="AC164" s="123">
        <v>0</v>
      </c>
      <c r="AD164" s="123"/>
      <c r="AH164" s="123">
        <f t="shared" si="16"/>
        <v>385</v>
      </c>
      <c r="AI164" t="b">
        <f t="shared" si="22"/>
        <v>0</v>
      </c>
      <c r="AJ164" s="123">
        <f t="shared" si="17"/>
        <v>202</v>
      </c>
      <c r="AK164" t="b">
        <f t="shared" si="23"/>
        <v>0</v>
      </c>
    </row>
    <row r="165" spans="1:37">
      <c r="A165" s="121">
        <v>163</v>
      </c>
      <c r="B165" s="122" t="s">
        <v>2385</v>
      </c>
      <c r="C165" s="122" t="s">
        <v>2388</v>
      </c>
      <c r="D165" s="122" t="s">
        <v>2278</v>
      </c>
      <c r="E165" s="124">
        <v>42763</v>
      </c>
      <c r="F165" s="125">
        <v>0.45833333333333331</v>
      </c>
      <c r="G165" s="124">
        <v>42814</v>
      </c>
      <c r="H165" s="125">
        <v>0.57291666666666663</v>
      </c>
      <c r="I165" s="123">
        <v>758</v>
      </c>
      <c r="J165" s="123">
        <v>202</v>
      </c>
      <c r="K165" s="142" t="str">
        <f t="shared" si="18"/>
        <v>G202</v>
      </c>
      <c r="L165" s="123">
        <v>96</v>
      </c>
      <c r="M165" s="142" t="str">
        <f t="shared" si="19"/>
        <v>R96</v>
      </c>
      <c r="N165" s="123">
        <v>743</v>
      </c>
      <c r="O165" s="142" t="str">
        <f t="shared" si="20"/>
        <v>G743</v>
      </c>
      <c r="P165" s="123">
        <v>341</v>
      </c>
      <c r="Q165" s="142" t="str">
        <f t="shared" si="21"/>
        <v>R341</v>
      </c>
      <c r="R165" s="123">
        <v>27.4</v>
      </c>
      <c r="S165" s="164">
        <v>14.2</v>
      </c>
      <c r="T165" s="123">
        <v>39.6</v>
      </c>
      <c r="U165" s="123">
        <v>4.4000000000000004</v>
      </c>
      <c r="V165" s="123" t="s">
        <v>2179</v>
      </c>
      <c r="W165" s="126"/>
      <c r="X165" s="126"/>
      <c r="Y165" s="126"/>
      <c r="Z165" s="123">
        <v>28.8</v>
      </c>
      <c r="AA165" s="123" t="s">
        <v>2180</v>
      </c>
      <c r="AB165" s="123">
        <v>7.8</v>
      </c>
      <c r="AC165" s="123">
        <v>0</v>
      </c>
      <c r="AD165" s="123"/>
      <c r="AE165" s="92"/>
      <c r="AH165" s="123">
        <f t="shared" si="16"/>
        <v>202</v>
      </c>
      <c r="AI165" t="b">
        <f t="shared" si="22"/>
        <v>0</v>
      </c>
      <c r="AJ165" s="123">
        <f t="shared" si="17"/>
        <v>96</v>
      </c>
      <c r="AK165" t="b">
        <f t="shared" si="23"/>
        <v>0</v>
      </c>
    </row>
    <row r="166" spans="1:37">
      <c r="A166" s="121">
        <v>164</v>
      </c>
      <c r="B166" s="122" t="s">
        <v>2385</v>
      </c>
      <c r="C166" s="122" t="s">
        <v>2389</v>
      </c>
      <c r="D166" s="122" t="s">
        <v>2278</v>
      </c>
      <c r="E166" s="124">
        <v>42763</v>
      </c>
      <c r="F166" s="125">
        <v>0.46180555555555558</v>
      </c>
      <c r="G166" s="124">
        <v>42814</v>
      </c>
      <c r="H166" s="125">
        <v>0.57986111111111105</v>
      </c>
      <c r="I166" s="123">
        <v>759</v>
      </c>
      <c r="J166" s="123">
        <v>686</v>
      </c>
      <c r="K166" s="142" t="str">
        <f t="shared" si="18"/>
        <v>G686</v>
      </c>
      <c r="L166" s="123">
        <v>317</v>
      </c>
      <c r="M166" s="142" t="str">
        <f t="shared" si="19"/>
        <v>R317</v>
      </c>
      <c r="N166" s="123">
        <v>390</v>
      </c>
      <c r="O166" s="142" t="str">
        <f t="shared" si="20"/>
        <v>G390</v>
      </c>
      <c r="P166" s="129">
        <v>264</v>
      </c>
      <c r="Q166" s="142" t="str">
        <f t="shared" si="21"/>
        <v>R264</v>
      </c>
      <c r="R166" s="123">
        <v>27.4</v>
      </c>
      <c r="S166" s="123">
        <v>15.2</v>
      </c>
      <c r="T166" s="164">
        <v>40.200000000000003</v>
      </c>
      <c r="U166" s="123">
        <v>3.3</v>
      </c>
      <c r="V166" s="123"/>
      <c r="W166" s="126"/>
      <c r="X166" s="126"/>
      <c r="Y166" s="126"/>
      <c r="Z166" s="123">
        <v>20.8</v>
      </c>
      <c r="AA166" s="123" t="s">
        <v>2180</v>
      </c>
      <c r="AB166" s="123">
        <v>9.5</v>
      </c>
      <c r="AC166" s="123">
        <v>0</v>
      </c>
      <c r="AD166" s="123"/>
      <c r="AH166" s="123">
        <f t="shared" si="16"/>
        <v>686</v>
      </c>
      <c r="AI166" t="b">
        <f t="shared" si="22"/>
        <v>0</v>
      </c>
      <c r="AJ166" s="123">
        <f t="shared" si="17"/>
        <v>317</v>
      </c>
      <c r="AK166" t="b">
        <f t="shared" si="23"/>
        <v>0</v>
      </c>
    </row>
    <row r="167" spans="1:37">
      <c r="A167" s="121">
        <v>165</v>
      </c>
      <c r="B167" s="122" t="s">
        <v>2385</v>
      </c>
      <c r="C167" s="122" t="s">
        <v>2390</v>
      </c>
      <c r="D167" s="122" t="s">
        <v>2278</v>
      </c>
      <c r="E167" s="124">
        <v>42763</v>
      </c>
      <c r="F167" s="125">
        <v>0.46527777777777773</v>
      </c>
      <c r="G167" s="124">
        <v>42814</v>
      </c>
      <c r="H167" s="125">
        <v>0.59027777777777779</v>
      </c>
      <c r="I167" s="123">
        <v>760</v>
      </c>
      <c r="J167" s="123">
        <v>368</v>
      </c>
      <c r="K167" s="142" t="str">
        <f t="shared" si="18"/>
        <v>G368</v>
      </c>
      <c r="L167" s="123">
        <v>331</v>
      </c>
      <c r="M167" s="142" t="str">
        <f t="shared" si="19"/>
        <v>R331</v>
      </c>
      <c r="N167" s="123">
        <v>810</v>
      </c>
      <c r="O167" s="142" t="str">
        <f t="shared" si="20"/>
        <v>G810</v>
      </c>
      <c r="P167" s="123">
        <v>411</v>
      </c>
      <c r="Q167" s="142" t="str">
        <f t="shared" si="21"/>
        <v>R411</v>
      </c>
      <c r="R167" s="123">
        <v>24.7</v>
      </c>
      <c r="S167" s="123">
        <v>19.2</v>
      </c>
      <c r="T167" s="123">
        <v>38.299999999999997</v>
      </c>
      <c r="U167" s="123">
        <v>4.8</v>
      </c>
      <c r="V167" s="123"/>
      <c r="W167" s="126" t="s">
        <v>2179</v>
      </c>
      <c r="X167" s="126"/>
      <c r="Y167" s="126"/>
      <c r="Z167" s="123">
        <v>13.8</v>
      </c>
      <c r="AA167" s="123" t="s">
        <v>2180</v>
      </c>
      <c r="AB167" s="123">
        <v>10.4</v>
      </c>
      <c r="AC167" s="123">
        <v>0</v>
      </c>
      <c r="AD167" s="123"/>
      <c r="AH167" s="123">
        <f t="shared" si="16"/>
        <v>368</v>
      </c>
      <c r="AI167" t="b">
        <f t="shared" si="22"/>
        <v>0</v>
      </c>
      <c r="AJ167" s="123">
        <f t="shared" si="17"/>
        <v>331</v>
      </c>
      <c r="AK167" t="b">
        <f t="shared" si="23"/>
        <v>0</v>
      </c>
    </row>
    <row r="168" spans="1:37">
      <c r="A168" s="121">
        <v>166</v>
      </c>
      <c r="B168" s="122" t="s">
        <v>2385</v>
      </c>
      <c r="C168" s="122" t="s">
        <v>2391</v>
      </c>
      <c r="D168" s="122" t="s">
        <v>2278</v>
      </c>
      <c r="E168" s="124">
        <v>42763</v>
      </c>
      <c r="F168" s="125">
        <v>0.46875</v>
      </c>
      <c r="G168" s="124">
        <v>42814</v>
      </c>
      <c r="H168" s="125">
        <v>0.59722222222222221</v>
      </c>
      <c r="I168" s="123">
        <v>761</v>
      </c>
      <c r="J168" s="123">
        <v>334</v>
      </c>
      <c r="K168" s="142" t="str">
        <f t="shared" si="18"/>
        <v>G334</v>
      </c>
      <c r="L168" s="123">
        <v>287</v>
      </c>
      <c r="M168" s="142" t="str">
        <f t="shared" si="19"/>
        <v>R287</v>
      </c>
      <c r="N168" s="123">
        <v>287</v>
      </c>
      <c r="O168" s="142" t="str">
        <f t="shared" si="20"/>
        <v>G287</v>
      </c>
      <c r="P168" s="123">
        <v>259</v>
      </c>
      <c r="Q168" s="142" t="str">
        <f t="shared" si="21"/>
        <v>R259</v>
      </c>
      <c r="R168" s="123">
        <v>25.6</v>
      </c>
      <c r="S168" s="123">
        <v>18.3</v>
      </c>
      <c r="T168" s="123">
        <v>37.4</v>
      </c>
      <c r="U168" s="123">
        <v>3.7</v>
      </c>
      <c r="V168" s="123"/>
      <c r="W168" s="126"/>
      <c r="X168" s="126"/>
      <c r="Y168" s="126"/>
      <c r="Z168" s="123">
        <v>4.7</v>
      </c>
      <c r="AA168" s="123" t="s">
        <v>2180</v>
      </c>
      <c r="AB168" s="123">
        <v>2.1</v>
      </c>
      <c r="AC168" s="123">
        <v>0</v>
      </c>
      <c r="AD168" s="123" t="s">
        <v>2392</v>
      </c>
      <c r="AH168" s="123">
        <f t="shared" si="16"/>
        <v>334</v>
      </c>
      <c r="AI168" t="b">
        <f t="shared" si="22"/>
        <v>0</v>
      </c>
      <c r="AJ168" s="123">
        <f t="shared" si="17"/>
        <v>287</v>
      </c>
      <c r="AK168" t="b">
        <f t="shared" si="23"/>
        <v>0</v>
      </c>
    </row>
    <row r="169" spans="1:37">
      <c r="A169" s="121">
        <v>167</v>
      </c>
      <c r="B169" s="122" t="s">
        <v>2385</v>
      </c>
      <c r="C169" s="122" t="s">
        <v>2393</v>
      </c>
      <c r="D169" s="122" t="s">
        <v>2278</v>
      </c>
      <c r="E169" s="124">
        <v>42763</v>
      </c>
      <c r="F169" s="125">
        <v>0.47569444444444442</v>
      </c>
      <c r="G169" s="124">
        <v>42814</v>
      </c>
      <c r="H169" s="125">
        <v>0.60416666666666663</v>
      </c>
      <c r="I169" s="123">
        <v>762</v>
      </c>
      <c r="J169" s="123">
        <v>429</v>
      </c>
      <c r="K169" s="142" t="str">
        <f t="shared" si="18"/>
        <v>G429</v>
      </c>
      <c r="L169" s="123">
        <v>255</v>
      </c>
      <c r="M169" s="142" t="str">
        <f t="shared" si="19"/>
        <v>R255</v>
      </c>
      <c r="N169" s="123">
        <v>443</v>
      </c>
      <c r="O169" s="142" t="str">
        <f t="shared" si="20"/>
        <v>G443</v>
      </c>
      <c r="P169" s="123">
        <v>215</v>
      </c>
      <c r="Q169" s="142" t="str">
        <f t="shared" si="21"/>
        <v>R215</v>
      </c>
      <c r="R169" s="123">
        <v>26.7</v>
      </c>
      <c r="S169" s="123">
        <v>16</v>
      </c>
      <c r="T169" s="123">
        <v>35.299999999999997</v>
      </c>
      <c r="U169" s="123">
        <v>4.9000000000000004</v>
      </c>
      <c r="V169" s="123"/>
      <c r="W169" s="126"/>
      <c r="X169" s="126"/>
      <c r="Y169" s="126"/>
      <c r="Z169" s="123">
        <v>4.2</v>
      </c>
      <c r="AA169" s="123" t="s">
        <v>2180</v>
      </c>
      <c r="AB169" s="123">
        <v>5.6</v>
      </c>
      <c r="AC169" s="123">
        <v>1</v>
      </c>
      <c r="AD169" s="123"/>
      <c r="AH169" s="123">
        <f t="shared" si="16"/>
        <v>429</v>
      </c>
      <c r="AI169" t="b">
        <f t="shared" si="22"/>
        <v>0</v>
      </c>
      <c r="AJ169" s="123">
        <f t="shared" si="17"/>
        <v>255</v>
      </c>
      <c r="AK169" t="b">
        <f t="shared" si="23"/>
        <v>0</v>
      </c>
    </row>
    <row r="170" spans="1:37">
      <c r="A170" s="121">
        <v>168</v>
      </c>
      <c r="B170" s="122" t="s">
        <v>2385</v>
      </c>
      <c r="C170" s="122" t="s">
        <v>2394</v>
      </c>
      <c r="D170" s="122" t="s">
        <v>2278</v>
      </c>
      <c r="E170" s="124">
        <v>42763</v>
      </c>
      <c r="F170" s="125">
        <v>0.47916666666666669</v>
      </c>
      <c r="G170" s="124">
        <v>42814</v>
      </c>
      <c r="H170" s="125">
        <v>0.61111111111111105</v>
      </c>
      <c r="I170" s="123">
        <v>763</v>
      </c>
      <c r="J170" s="123">
        <v>461</v>
      </c>
      <c r="K170" s="142" t="str">
        <f t="shared" si="18"/>
        <v>G461</v>
      </c>
      <c r="L170" s="123">
        <v>534</v>
      </c>
      <c r="M170" s="142" t="str">
        <f t="shared" si="19"/>
        <v>R534</v>
      </c>
      <c r="N170" s="123">
        <v>680</v>
      </c>
      <c r="O170" s="142" t="str">
        <f t="shared" si="20"/>
        <v>G680</v>
      </c>
      <c r="P170" s="123">
        <v>322</v>
      </c>
      <c r="Q170" s="142" t="str">
        <f t="shared" si="21"/>
        <v>R322</v>
      </c>
      <c r="R170" s="123">
        <v>27.7</v>
      </c>
      <c r="S170" s="123">
        <v>17.399999999999999</v>
      </c>
      <c r="T170" s="123">
        <v>38.9</v>
      </c>
      <c r="U170" s="123">
        <v>5.0999999999999996</v>
      </c>
      <c r="V170" s="123" t="s">
        <v>2195</v>
      </c>
      <c r="W170" s="126"/>
      <c r="X170" s="126"/>
      <c r="Y170" s="126"/>
      <c r="Z170" s="123">
        <v>46</v>
      </c>
      <c r="AA170" s="123" t="s">
        <v>2180</v>
      </c>
      <c r="AB170" s="123">
        <v>2.4</v>
      </c>
      <c r="AC170" s="123">
        <v>0</v>
      </c>
      <c r="AD170" s="123"/>
      <c r="AH170" s="123">
        <f t="shared" si="16"/>
        <v>461</v>
      </c>
      <c r="AI170" t="b">
        <f t="shared" si="22"/>
        <v>0</v>
      </c>
      <c r="AJ170" s="123">
        <f t="shared" si="17"/>
        <v>534</v>
      </c>
      <c r="AK170" t="b">
        <f t="shared" si="23"/>
        <v>0</v>
      </c>
    </row>
    <row r="171" spans="1:37">
      <c r="A171" s="121">
        <v>169</v>
      </c>
      <c r="B171" s="122" t="s">
        <v>2385</v>
      </c>
      <c r="C171" s="122" t="s">
        <v>2395</v>
      </c>
      <c r="D171" s="122" t="s">
        <v>2287</v>
      </c>
      <c r="E171" s="124">
        <v>42763</v>
      </c>
      <c r="F171" s="125">
        <v>0.50694444444444442</v>
      </c>
      <c r="G171" s="124">
        <v>42814</v>
      </c>
      <c r="H171" s="125">
        <v>0.63888888888888895</v>
      </c>
      <c r="I171" s="123">
        <v>782</v>
      </c>
      <c r="J171" s="123">
        <v>425</v>
      </c>
      <c r="K171" s="142" t="str">
        <f t="shared" si="18"/>
        <v>G425</v>
      </c>
      <c r="L171" s="123">
        <v>453</v>
      </c>
      <c r="M171" s="142" t="str">
        <f t="shared" si="19"/>
        <v>R453</v>
      </c>
      <c r="N171" s="123">
        <v>496</v>
      </c>
      <c r="O171" s="142" t="str">
        <f t="shared" si="20"/>
        <v>G496</v>
      </c>
      <c r="P171" s="123">
        <v>403</v>
      </c>
      <c r="Q171" s="142" t="str">
        <f t="shared" si="21"/>
        <v>R403</v>
      </c>
      <c r="R171" s="123">
        <v>30.2</v>
      </c>
      <c r="S171" s="123">
        <v>14.5</v>
      </c>
      <c r="T171" s="123">
        <v>42.2</v>
      </c>
      <c r="U171" s="123">
        <v>4.8</v>
      </c>
      <c r="V171" s="123"/>
      <c r="W171" s="126" t="s">
        <v>2195</v>
      </c>
      <c r="X171" s="126"/>
      <c r="Y171" s="126"/>
      <c r="Z171" s="123">
        <v>11.4</v>
      </c>
      <c r="AA171" s="123" t="s">
        <v>2250</v>
      </c>
      <c r="AB171" s="123">
        <v>8.1999999999999993</v>
      </c>
      <c r="AC171" s="123">
        <v>1</v>
      </c>
      <c r="AD171" s="123" t="s">
        <v>3157</v>
      </c>
      <c r="AH171" s="123">
        <f t="shared" si="16"/>
        <v>425</v>
      </c>
      <c r="AI171" t="b">
        <f t="shared" si="22"/>
        <v>0</v>
      </c>
      <c r="AJ171" s="123">
        <f t="shared" si="17"/>
        <v>453</v>
      </c>
      <c r="AK171" t="b">
        <f t="shared" si="23"/>
        <v>0</v>
      </c>
    </row>
    <row r="172" spans="1:37">
      <c r="A172" s="121">
        <v>170</v>
      </c>
      <c r="B172" s="122" t="s">
        <v>2385</v>
      </c>
      <c r="C172" s="122" t="s">
        <v>2396</v>
      </c>
      <c r="D172" s="122" t="s">
        <v>2287</v>
      </c>
      <c r="E172" s="124">
        <v>42763</v>
      </c>
      <c r="F172" s="125">
        <v>0.51388888888888895</v>
      </c>
      <c r="G172" s="124">
        <v>42814</v>
      </c>
      <c r="H172" s="125">
        <v>0.64930555555555558</v>
      </c>
      <c r="I172" s="123">
        <v>783</v>
      </c>
      <c r="J172" s="123">
        <v>433</v>
      </c>
      <c r="K172" s="142" t="str">
        <f t="shared" si="18"/>
        <v>G433</v>
      </c>
      <c r="L172" s="123">
        <v>330</v>
      </c>
      <c r="M172" s="142" t="str">
        <f t="shared" si="19"/>
        <v>R330</v>
      </c>
      <c r="N172" s="123">
        <v>674</v>
      </c>
      <c r="O172" s="142" t="str">
        <f t="shared" si="20"/>
        <v>G674</v>
      </c>
      <c r="P172" s="123">
        <v>583</v>
      </c>
      <c r="Q172" s="142" t="str">
        <f t="shared" si="21"/>
        <v>R583</v>
      </c>
      <c r="R172" s="123">
        <v>27.9</v>
      </c>
      <c r="S172" s="123">
        <v>7.7</v>
      </c>
      <c r="T172" s="123">
        <v>39.299999999999997</v>
      </c>
      <c r="U172" s="123">
        <v>8.5</v>
      </c>
      <c r="V172" s="123"/>
      <c r="W172" s="126"/>
      <c r="X172" s="126"/>
      <c r="Y172" s="126"/>
      <c r="Z172" s="123">
        <v>15.8</v>
      </c>
      <c r="AA172" s="123" t="s">
        <v>2250</v>
      </c>
      <c r="AB172" s="123">
        <v>7.7</v>
      </c>
      <c r="AC172" s="123">
        <v>1</v>
      </c>
      <c r="AD172" s="123"/>
      <c r="AH172" s="123">
        <f t="shared" si="16"/>
        <v>433</v>
      </c>
      <c r="AI172" t="b">
        <f t="shared" si="22"/>
        <v>0</v>
      </c>
      <c r="AJ172" s="123">
        <f t="shared" si="17"/>
        <v>330</v>
      </c>
      <c r="AK172" t="b">
        <f t="shared" si="23"/>
        <v>0</v>
      </c>
    </row>
    <row r="173" spans="1:37">
      <c r="A173" s="121">
        <v>171</v>
      </c>
      <c r="B173" s="122" t="s">
        <v>2385</v>
      </c>
      <c r="C173" s="122" t="s">
        <v>2397</v>
      </c>
      <c r="D173" s="122" t="s">
        <v>2287</v>
      </c>
      <c r="E173" s="124">
        <v>42763</v>
      </c>
      <c r="F173" s="125">
        <v>0.52083333333333337</v>
      </c>
      <c r="G173" s="124">
        <v>42814</v>
      </c>
      <c r="H173" s="125">
        <v>0.65277777777777779</v>
      </c>
      <c r="I173" s="123">
        <v>784</v>
      </c>
      <c r="J173" s="123">
        <v>656</v>
      </c>
      <c r="K173" s="142" t="str">
        <f t="shared" si="18"/>
        <v>G656</v>
      </c>
      <c r="L173" s="123">
        <v>558</v>
      </c>
      <c r="M173" s="142" t="str">
        <f t="shared" si="19"/>
        <v>R558</v>
      </c>
      <c r="N173" s="123">
        <v>504</v>
      </c>
      <c r="O173" s="142" t="str">
        <f t="shared" si="20"/>
        <v>G504</v>
      </c>
      <c r="P173" s="123">
        <v>451</v>
      </c>
      <c r="Q173" s="142" t="str">
        <f t="shared" si="21"/>
        <v>R451</v>
      </c>
      <c r="R173" s="123">
        <v>28.9</v>
      </c>
      <c r="S173" s="123">
        <v>15.1</v>
      </c>
      <c r="T173" s="123">
        <v>39.4</v>
      </c>
      <c r="U173" s="123">
        <v>5.9</v>
      </c>
      <c r="V173" s="123" t="s">
        <v>2187</v>
      </c>
      <c r="W173" s="126"/>
      <c r="X173" s="126"/>
      <c r="Y173" s="126"/>
      <c r="Z173" s="123">
        <v>7.6</v>
      </c>
      <c r="AA173" s="123" t="s">
        <v>2250</v>
      </c>
      <c r="AB173" s="123">
        <v>13.4</v>
      </c>
      <c r="AC173" s="123">
        <v>1</v>
      </c>
      <c r="AD173" s="123"/>
      <c r="AH173" s="123">
        <f t="shared" si="16"/>
        <v>656</v>
      </c>
      <c r="AI173" t="b">
        <f t="shared" si="22"/>
        <v>0</v>
      </c>
      <c r="AJ173" s="123">
        <f t="shared" si="17"/>
        <v>558</v>
      </c>
      <c r="AK173" t="b">
        <f t="shared" si="23"/>
        <v>0</v>
      </c>
    </row>
    <row r="174" spans="1:37">
      <c r="A174" s="121">
        <v>172</v>
      </c>
      <c r="B174" s="122" t="s">
        <v>2385</v>
      </c>
      <c r="C174" s="122" t="s">
        <v>2398</v>
      </c>
      <c r="D174" s="122" t="s">
        <v>2287</v>
      </c>
      <c r="E174" s="124">
        <v>42763</v>
      </c>
      <c r="F174" s="125">
        <v>0.53125</v>
      </c>
      <c r="G174" s="124">
        <v>42814</v>
      </c>
      <c r="H174" s="125">
        <v>0.65972222222222221</v>
      </c>
      <c r="I174" s="123">
        <v>789</v>
      </c>
      <c r="J174" s="123">
        <v>281</v>
      </c>
      <c r="K174" s="142" t="str">
        <f t="shared" si="18"/>
        <v>G281</v>
      </c>
      <c r="L174" s="123">
        <v>157</v>
      </c>
      <c r="M174" s="142" t="str">
        <f t="shared" si="19"/>
        <v>R157</v>
      </c>
      <c r="N174" s="123">
        <v>439</v>
      </c>
      <c r="O174" s="142" t="str">
        <f t="shared" si="20"/>
        <v>G439</v>
      </c>
      <c r="P174" s="123">
        <v>353</v>
      </c>
      <c r="Q174" s="142" t="str">
        <f t="shared" si="21"/>
        <v>R353</v>
      </c>
      <c r="R174" s="123">
        <v>29.8</v>
      </c>
      <c r="S174" s="123">
        <v>14.2</v>
      </c>
      <c r="T174" s="123">
        <v>40.4</v>
      </c>
      <c r="U174" s="123">
        <v>5.0999999999999996</v>
      </c>
      <c r="V174" s="123" t="s">
        <v>2187</v>
      </c>
      <c r="W174" s="126" t="s">
        <v>2187</v>
      </c>
      <c r="X174" s="126"/>
      <c r="Y174" s="126"/>
      <c r="Z174" s="123">
        <v>28.4</v>
      </c>
      <c r="AA174" s="123" t="s">
        <v>2228</v>
      </c>
      <c r="AB174" s="123">
        <v>3.3</v>
      </c>
      <c r="AC174" s="123">
        <v>1</v>
      </c>
      <c r="AD174" s="123"/>
      <c r="AH174" s="123">
        <f t="shared" si="16"/>
        <v>281</v>
      </c>
      <c r="AI174" t="b">
        <f t="shared" si="22"/>
        <v>0</v>
      </c>
      <c r="AJ174" s="123">
        <f t="shared" si="17"/>
        <v>157</v>
      </c>
      <c r="AK174" t="b">
        <f t="shared" si="23"/>
        <v>0</v>
      </c>
    </row>
    <row r="175" spans="1:37">
      <c r="A175" s="121">
        <v>173</v>
      </c>
      <c r="B175" s="122" t="s">
        <v>2385</v>
      </c>
      <c r="C175" s="122" t="s">
        <v>2399</v>
      </c>
      <c r="D175" s="122" t="s">
        <v>2287</v>
      </c>
      <c r="E175" s="124">
        <v>42763</v>
      </c>
      <c r="F175" s="125">
        <v>0.54166666666666663</v>
      </c>
      <c r="G175" s="124">
        <v>42814</v>
      </c>
      <c r="H175" s="125">
        <v>0.66666666666666663</v>
      </c>
      <c r="I175" s="123">
        <v>790</v>
      </c>
      <c r="J175" s="123">
        <v>216</v>
      </c>
      <c r="K175" s="142" t="str">
        <f t="shared" si="18"/>
        <v>G216</v>
      </c>
      <c r="L175" s="123">
        <v>57</v>
      </c>
      <c r="M175" s="142" t="str">
        <f t="shared" si="19"/>
        <v>R57</v>
      </c>
      <c r="N175" s="123">
        <v>865</v>
      </c>
      <c r="O175" s="142" t="str">
        <f t="shared" si="20"/>
        <v>G865</v>
      </c>
      <c r="P175" s="123">
        <v>105</v>
      </c>
      <c r="Q175" s="142" t="str">
        <f t="shared" si="21"/>
        <v>R105</v>
      </c>
      <c r="R175" s="123">
        <v>30.9</v>
      </c>
      <c r="S175" s="123">
        <v>17.600000000000001</v>
      </c>
      <c r="T175" s="123">
        <v>41.8</v>
      </c>
      <c r="U175" s="123">
        <v>3.3</v>
      </c>
      <c r="V175" s="123" t="s">
        <v>2187</v>
      </c>
      <c r="W175" s="126" t="s">
        <v>2195</v>
      </c>
      <c r="X175" s="126"/>
      <c r="Y175" s="126"/>
      <c r="Z175" s="123">
        <v>12.4</v>
      </c>
      <c r="AA175" s="123" t="s">
        <v>2250</v>
      </c>
      <c r="AB175" s="123">
        <v>15.4</v>
      </c>
      <c r="AC175" s="123">
        <v>0</v>
      </c>
      <c r="AD175" s="123" t="s">
        <v>3157</v>
      </c>
      <c r="AH175" s="123">
        <f t="shared" si="16"/>
        <v>216</v>
      </c>
      <c r="AI175" t="b">
        <f t="shared" si="22"/>
        <v>0</v>
      </c>
      <c r="AJ175" s="123">
        <f t="shared" si="17"/>
        <v>57</v>
      </c>
      <c r="AK175" t="b">
        <f t="shared" si="23"/>
        <v>0</v>
      </c>
    </row>
    <row r="176" spans="1:37">
      <c r="A176" s="121">
        <v>174</v>
      </c>
      <c r="B176" s="122" t="s">
        <v>2385</v>
      </c>
      <c r="C176" s="122" t="s">
        <v>2400</v>
      </c>
      <c r="D176" s="122" t="s">
        <v>2287</v>
      </c>
      <c r="E176" s="124">
        <v>42763</v>
      </c>
      <c r="F176" s="125">
        <v>0.54166666666666663</v>
      </c>
      <c r="G176" s="124">
        <v>42814</v>
      </c>
      <c r="H176" s="125">
        <v>0.67361111111111116</v>
      </c>
      <c r="I176" s="123">
        <v>791</v>
      </c>
      <c r="J176" s="123">
        <v>655</v>
      </c>
      <c r="K176" s="142" t="str">
        <f t="shared" si="18"/>
        <v>G655</v>
      </c>
      <c r="L176" s="123">
        <v>307</v>
      </c>
      <c r="M176" s="142" t="str">
        <f t="shared" si="19"/>
        <v>R307</v>
      </c>
      <c r="N176" s="123">
        <v>736</v>
      </c>
      <c r="O176" s="142" t="str">
        <f t="shared" si="20"/>
        <v>G736</v>
      </c>
      <c r="P176" s="123">
        <v>384</v>
      </c>
      <c r="Q176" s="142" t="str">
        <f t="shared" si="21"/>
        <v>R384</v>
      </c>
      <c r="R176" s="123">
        <v>30.8</v>
      </c>
      <c r="S176" s="123">
        <v>22</v>
      </c>
      <c r="T176" s="123">
        <v>38.9</v>
      </c>
      <c r="U176" s="123">
        <v>13.5</v>
      </c>
      <c r="V176" s="123" t="s">
        <v>2187</v>
      </c>
      <c r="W176" s="126" t="s">
        <v>2187</v>
      </c>
      <c r="X176" s="126"/>
      <c r="Y176" s="126"/>
      <c r="Z176" s="123">
        <v>7.4</v>
      </c>
      <c r="AA176" s="123" t="s">
        <v>2250</v>
      </c>
      <c r="AB176" s="123">
        <v>7.4</v>
      </c>
      <c r="AC176" s="123">
        <v>0</v>
      </c>
      <c r="AD176" s="123"/>
      <c r="AH176" s="123">
        <f t="shared" si="16"/>
        <v>655</v>
      </c>
      <c r="AI176" t="b">
        <f t="shared" si="22"/>
        <v>0</v>
      </c>
      <c r="AJ176" s="123">
        <f t="shared" si="17"/>
        <v>307</v>
      </c>
      <c r="AK176" t="b">
        <f t="shared" si="23"/>
        <v>0</v>
      </c>
    </row>
    <row r="177" spans="1:37">
      <c r="A177" s="121">
        <v>175</v>
      </c>
      <c r="B177" s="122" t="s">
        <v>2385</v>
      </c>
      <c r="C177" s="122" t="s">
        <v>2401</v>
      </c>
      <c r="D177" s="122" t="s">
        <v>2287</v>
      </c>
      <c r="E177" s="124">
        <v>42763</v>
      </c>
      <c r="F177" s="125">
        <v>0.54166666666666663</v>
      </c>
      <c r="G177" s="124">
        <v>42814</v>
      </c>
      <c r="H177" s="125">
        <v>0.67708333333333337</v>
      </c>
      <c r="I177" s="123">
        <v>792</v>
      </c>
      <c r="J177" s="123">
        <v>457</v>
      </c>
      <c r="K177" s="142" t="str">
        <f t="shared" si="18"/>
        <v>G457</v>
      </c>
      <c r="L177" s="123">
        <v>458</v>
      </c>
      <c r="M177" s="142" t="str">
        <f t="shared" si="19"/>
        <v>R458</v>
      </c>
      <c r="N177" s="123">
        <v>792</v>
      </c>
      <c r="O177" s="142" t="str">
        <f t="shared" si="20"/>
        <v>G792</v>
      </c>
      <c r="P177" s="123">
        <v>481</v>
      </c>
      <c r="Q177" s="142" t="str">
        <f t="shared" si="21"/>
        <v>R481</v>
      </c>
      <c r="R177" s="123">
        <v>31.1</v>
      </c>
      <c r="S177" s="123">
        <v>17.8</v>
      </c>
      <c r="T177" s="123">
        <v>41.4</v>
      </c>
      <c r="U177" s="123">
        <v>5.3</v>
      </c>
      <c r="V177" s="123"/>
      <c r="W177" s="126" t="s">
        <v>2195</v>
      </c>
      <c r="X177" s="126"/>
      <c r="Y177" s="126"/>
      <c r="Z177" s="123">
        <v>9.8000000000000007</v>
      </c>
      <c r="AA177" s="123" t="s">
        <v>2250</v>
      </c>
      <c r="AB177" s="123">
        <v>15.4</v>
      </c>
      <c r="AC177" s="123">
        <v>1</v>
      </c>
      <c r="AD177" s="123"/>
      <c r="AH177" s="123">
        <f t="shared" si="16"/>
        <v>457</v>
      </c>
      <c r="AI177" t="b">
        <f t="shared" si="22"/>
        <v>0</v>
      </c>
      <c r="AJ177" s="123">
        <f t="shared" si="17"/>
        <v>458</v>
      </c>
      <c r="AK177" t="b">
        <f t="shared" si="23"/>
        <v>0</v>
      </c>
    </row>
    <row r="178" spans="1:37">
      <c r="A178" s="121">
        <v>176</v>
      </c>
      <c r="B178" s="122" t="s">
        <v>2385</v>
      </c>
      <c r="C178" s="122" t="s">
        <v>2402</v>
      </c>
      <c r="D178" s="122" t="s">
        <v>2287</v>
      </c>
      <c r="E178" s="124">
        <v>42763</v>
      </c>
      <c r="F178" s="125">
        <v>0.54513888888888895</v>
      </c>
      <c r="G178" s="124">
        <v>42814</v>
      </c>
      <c r="H178" s="125">
        <v>0.68402777777777779</v>
      </c>
      <c r="I178" s="123">
        <v>793</v>
      </c>
      <c r="J178" s="123">
        <v>454</v>
      </c>
      <c r="K178" s="142" t="str">
        <f t="shared" si="18"/>
        <v>G454</v>
      </c>
      <c r="L178" s="123">
        <v>326</v>
      </c>
      <c r="M178" s="142" t="str">
        <f t="shared" si="19"/>
        <v>R326</v>
      </c>
      <c r="N178" s="123">
        <v>470</v>
      </c>
      <c r="O178" s="142" t="str">
        <f t="shared" si="20"/>
        <v>G470</v>
      </c>
      <c r="P178" s="123">
        <v>490</v>
      </c>
      <c r="Q178" s="142" t="str">
        <f t="shared" si="21"/>
        <v>R490</v>
      </c>
      <c r="R178" s="123">
        <v>29.9</v>
      </c>
      <c r="S178" s="123">
        <v>16.5</v>
      </c>
      <c r="T178" s="123">
        <v>38.4</v>
      </c>
      <c r="U178" s="123">
        <v>6.3</v>
      </c>
      <c r="V178" s="123"/>
      <c r="W178" s="126"/>
      <c r="X178" s="126"/>
      <c r="Y178" s="126"/>
      <c r="Z178" s="123">
        <v>6.9</v>
      </c>
      <c r="AA178" s="123" t="s">
        <v>2250</v>
      </c>
      <c r="AB178" s="123">
        <v>6.8</v>
      </c>
      <c r="AC178" s="123">
        <v>0</v>
      </c>
      <c r="AD178" s="123"/>
      <c r="AH178" s="123">
        <f t="shared" si="16"/>
        <v>454</v>
      </c>
      <c r="AI178" t="b">
        <f t="shared" si="22"/>
        <v>0</v>
      </c>
      <c r="AJ178" s="123">
        <f t="shared" si="17"/>
        <v>326</v>
      </c>
      <c r="AK178" t="b">
        <f t="shared" si="23"/>
        <v>0</v>
      </c>
    </row>
    <row r="179" spans="1:37">
      <c r="A179" s="121">
        <v>177</v>
      </c>
      <c r="B179" s="122" t="s">
        <v>2385</v>
      </c>
      <c r="C179" s="122" t="s">
        <v>2403</v>
      </c>
      <c r="D179" s="122" t="s">
        <v>2296</v>
      </c>
      <c r="E179" s="124">
        <v>42763</v>
      </c>
      <c r="F179" s="125">
        <v>0.57986111111111105</v>
      </c>
      <c r="G179" s="124">
        <v>42815</v>
      </c>
      <c r="H179" s="125">
        <v>0.45833333333333331</v>
      </c>
      <c r="I179" s="123">
        <v>794</v>
      </c>
      <c r="J179" s="123">
        <v>362</v>
      </c>
      <c r="K179" s="142" t="str">
        <f t="shared" si="18"/>
        <v>G362</v>
      </c>
      <c r="L179" s="123">
        <v>262</v>
      </c>
      <c r="M179" s="142" t="str">
        <f t="shared" si="19"/>
        <v>R262</v>
      </c>
      <c r="N179" s="123">
        <v>483</v>
      </c>
      <c r="O179" s="142" t="str">
        <f t="shared" si="20"/>
        <v>G483</v>
      </c>
      <c r="P179" s="123">
        <v>470</v>
      </c>
      <c r="Q179" s="142" t="str">
        <f t="shared" si="21"/>
        <v>R470</v>
      </c>
      <c r="R179" s="123">
        <v>31.8</v>
      </c>
      <c r="S179" s="123">
        <v>25.1</v>
      </c>
      <c r="T179" s="123">
        <v>32.4</v>
      </c>
      <c r="U179" s="123">
        <v>13.3</v>
      </c>
      <c r="V179" s="123"/>
      <c r="W179" s="126" t="s">
        <v>2234</v>
      </c>
      <c r="X179" s="126"/>
      <c r="Y179" s="126"/>
      <c r="Z179" s="123">
        <v>25.8</v>
      </c>
      <c r="AA179" s="123" t="s">
        <v>2250</v>
      </c>
      <c r="AB179" s="123">
        <v>17.8</v>
      </c>
      <c r="AC179" s="123">
        <v>0</v>
      </c>
      <c r="AD179" s="123"/>
      <c r="AH179" s="123">
        <f t="shared" si="16"/>
        <v>362</v>
      </c>
      <c r="AI179" t="b">
        <f t="shared" si="22"/>
        <v>0</v>
      </c>
      <c r="AJ179" s="123">
        <f t="shared" si="17"/>
        <v>262</v>
      </c>
      <c r="AK179" t="b">
        <f t="shared" si="23"/>
        <v>0</v>
      </c>
    </row>
    <row r="180" spans="1:37">
      <c r="A180" s="121">
        <v>178</v>
      </c>
      <c r="B180" s="122" t="s">
        <v>2385</v>
      </c>
      <c r="C180" s="122" t="s">
        <v>2404</v>
      </c>
      <c r="D180" s="122" t="s">
        <v>2296</v>
      </c>
      <c r="E180" s="124">
        <v>42763</v>
      </c>
      <c r="F180" s="125">
        <v>0.59027777777777779</v>
      </c>
      <c r="G180" s="124">
        <v>42815</v>
      </c>
      <c r="H180" s="125">
        <v>0.46527777777777773</v>
      </c>
      <c r="I180" s="123">
        <v>795</v>
      </c>
      <c r="J180" s="129">
        <v>781</v>
      </c>
      <c r="K180" s="142" t="str">
        <f t="shared" si="18"/>
        <v>G781</v>
      </c>
      <c r="L180" s="123">
        <v>309</v>
      </c>
      <c r="M180" s="142" t="str">
        <f t="shared" si="19"/>
        <v>R309</v>
      </c>
      <c r="N180" s="123">
        <v>893</v>
      </c>
      <c r="O180" s="142" t="str">
        <f t="shared" si="20"/>
        <v>G893</v>
      </c>
      <c r="P180" s="123">
        <v>488</v>
      </c>
      <c r="Q180" s="142" t="str">
        <f t="shared" si="21"/>
        <v>R488</v>
      </c>
      <c r="R180" s="123">
        <v>31.1</v>
      </c>
      <c r="S180" s="123">
        <v>26.2</v>
      </c>
      <c r="T180" s="123">
        <v>34.799999999999997</v>
      </c>
      <c r="U180" s="123">
        <v>8.1</v>
      </c>
      <c r="V180" s="123" t="s">
        <v>2195</v>
      </c>
      <c r="W180" s="126"/>
      <c r="X180" s="126" t="s">
        <v>2187</v>
      </c>
      <c r="Y180" s="126"/>
      <c r="Z180" s="123">
        <v>18.8</v>
      </c>
      <c r="AA180" s="123" t="s">
        <v>2250</v>
      </c>
      <c r="AB180" s="123">
        <v>15.4</v>
      </c>
      <c r="AC180" s="123">
        <v>1</v>
      </c>
      <c r="AD180" s="123"/>
      <c r="AH180" s="129">
        <f t="shared" si="16"/>
        <v>781</v>
      </c>
      <c r="AI180" t="b">
        <f t="shared" si="22"/>
        <v>0</v>
      </c>
      <c r="AJ180" s="123">
        <f t="shared" si="17"/>
        <v>309</v>
      </c>
      <c r="AK180" t="b">
        <f t="shared" si="23"/>
        <v>0</v>
      </c>
    </row>
    <row r="181" spans="1:37">
      <c r="A181" s="121">
        <v>179</v>
      </c>
      <c r="B181" s="122" t="s">
        <v>2385</v>
      </c>
      <c r="C181" s="122" t="s">
        <v>2405</v>
      </c>
      <c r="D181" s="122" t="s">
        <v>2296</v>
      </c>
      <c r="E181" s="124">
        <v>42763</v>
      </c>
      <c r="F181" s="125">
        <v>0.59027777777777779</v>
      </c>
      <c r="G181" s="124">
        <v>42815</v>
      </c>
      <c r="H181" s="125">
        <v>0.46875</v>
      </c>
      <c r="I181" s="123">
        <v>796</v>
      </c>
      <c r="J181" s="123">
        <v>451</v>
      </c>
      <c r="K181" s="142" t="str">
        <f t="shared" si="18"/>
        <v>G451</v>
      </c>
      <c r="L181" s="123">
        <v>32</v>
      </c>
      <c r="M181" s="142" t="str">
        <f t="shared" si="19"/>
        <v>R32</v>
      </c>
      <c r="N181" s="123">
        <v>826</v>
      </c>
      <c r="O181" s="142" t="str">
        <f t="shared" si="20"/>
        <v>G826</v>
      </c>
      <c r="P181" s="123">
        <v>273</v>
      </c>
      <c r="Q181" s="142" t="str">
        <f t="shared" si="21"/>
        <v>R273</v>
      </c>
      <c r="R181" s="123">
        <v>31.1</v>
      </c>
      <c r="S181" s="123">
        <v>22.5</v>
      </c>
      <c r="T181" s="123">
        <v>33.200000000000003</v>
      </c>
      <c r="U181" s="123">
        <v>7.1</v>
      </c>
      <c r="V181" s="123" t="s">
        <v>2187</v>
      </c>
      <c r="W181" s="126" t="s">
        <v>2187</v>
      </c>
      <c r="X181" s="126"/>
      <c r="Y181" s="126"/>
      <c r="Z181" s="123">
        <v>15.4</v>
      </c>
      <c r="AA181" s="123" t="s">
        <v>2250</v>
      </c>
      <c r="AB181" s="123">
        <v>11.8</v>
      </c>
      <c r="AC181" s="123">
        <v>1</v>
      </c>
      <c r="AD181" s="123"/>
      <c r="AH181" s="123">
        <f t="shared" si="16"/>
        <v>451</v>
      </c>
      <c r="AI181" t="b">
        <f t="shared" si="22"/>
        <v>0</v>
      </c>
      <c r="AJ181" s="123">
        <f t="shared" si="17"/>
        <v>32</v>
      </c>
      <c r="AK181" t="b">
        <f t="shared" si="23"/>
        <v>0</v>
      </c>
    </row>
    <row r="182" spans="1:37">
      <c r="A182" s="121">
        <v>180</v>
      </c>
      <c r="B182" s="122" t="s">
        <v>2385</v>
      </c>
      <c r="C182" s="122" t="s">
        <v>2406</v>
      </c>
      <c r="D182" s="122" t="s">
        <v>2296</v>
      </c>
      <c r="E182" s="124">
        <v>42763</v>
      </c>
      <c r="F182" s="125">
        <v>0.59375</v>
      </c>
      <c r="G182" s="124">
        <v>42815</v>
      </c>
      <c r="H182" s="125">
        <v>0.47916666666666669</v>
      </c>
      <c r="I182" s="123">
        <v>797</v>
      </c>
      <c r="J182" s="123">
        <v>360</v>
      </c>
      <c r="K182" s="142" t="str">
        <f t="shared" si="18"/>
        <v>G360</v>
      </c>
      <c r="L182" s="123">
        <v>268</v>
      </c>
      <c r="M182" s="142" t="str">
        <f t="shared" si="19"/>
        <v>R268</v>
      </c>
      <c r="N182" s="123">
        <v>783</v>
      </c>
      <c r="O182" s="142" t="str">
        <f t="shared" si="20"/>
        <v>G783</v>
      </c>
      <c r="P182" s="123">
        <v>301</v>
      </c>
      <c r="Q182" s="142" t="str">
        <f t="shared" si="21"/>
        <v>R301</v>
      </c>
      <c r="R182" s="123">
        <v>31.3</v>
      </c>
      <c r="S182" s="123">
        <v>20.399999999999999</v>
      </c>
      <c r="T182" s="123">
        <v>33.6</v>
      </c>
      <c r="U182" s="123">
        <v>5.3</v>
      </c>
      <c r="V182" s="123"/>
      <c r="W182" s="126"/>
      <c r="X182" s="126"/>
      <c r="Y182" s="126" t="s">
        <v>2187</v>
      </c>
      <c r="Z182" s="123">
        <v>35</v>
      </c>
      <c r="AA182" s="123" t="s">
        <v>2250</v>
      </c>
      <c r="AB182" s="123">
        <v>8.3000000000000007</v>
      </c>
      <c r="AC182" s="123">
        <v>0</v>
      </c>
      <c r="AD182" s="123"/>
      <c r="AH182" s="123">
        <f t="shared" si="16"/>
        <v>360</v>
      </c>
      <c r="AI182" t="b">
        <f t="shared" si="22"/>
        <v>0</v>
      </c>
      <c r="AJ182" s="123">
        <f t="shared" si="17"/>
        <v>268</v>
      </c>
      <c r="AK182" t="b">
        <f t="shared" si="23"/>
        <v>0</v>
      </c>
    </row>
    <row r="183" spans="1:37">
      <c r="A183" s="121">
        <v>181</v>
      </c>
      <c r="B183" s="122" t="s">
        <v>2385</v>
      </c>
      <c r="C183" s="122" t="s">
        <v>2407</v>
      </c>
      <c r="D183" s="122" t="s">
        <v>2296</v>
      </c>
      <c r="E183" s="124">
        <v>42763</v>
      </c>
      <c r="F183" s="125">
        <v>0.59722222222222221</v>
      </c>
      <c r="G183" s="124">
        <v>42815</v>
      </c>
      <c r="H183" s="125">
        <v>0.4826388888888889</v>
      </c>
      <c r="I183" s="123">
        <v>798</v>
      </c>
      <c r="J183" s="123">
        <v>458</v>
      </c>
      <c r="K183" s="142" t="str">
        <f t="shared" si="18"/>
        <v>G458</v>
      </c>
      <c r="L183" s="123">
        <v>587</v>
      </c>
      <c r="M183" s="142" t="str">
        <f t="shared" si="19"/>
        <v>R587</v>
      </c>
      <c r="N183" s="123">
        <v>551</v>
      </c>
      <c r="O183" s="142" t="str">
        <f t="shared" si="20"/>
        <v>G551</v>
      </c>
      <c r="P183" s="123">
        <v>291</v>
      </c>
      <c r="Q183" s="142" t="str">
        <f t="shared" si="21"/>
        <v>R291</v>
      </c>
      <c r="R183" s="123">
        <v>32.200000000000003</v>
      </c>
      <c r="S183" s="123">
        <v>19.8</v>
      </c>
      <c r="T183" s="123">
        <v>33.1</v>
      </c>
      <c r="U183" s="123">
        <v>7.7</v>
      </c>
      <c r="V183" s="123"/>
      <c r="W183" s="126"/>
      <c r="X183" s="126"/>
      <c r="Y183" s="126"/>
      <c r="Z183" s="123">
        <v>15.8</v>
      </c>
      <c r="AA183" s="123" t="s">
        <v>2250</v>
      </c>
      <c r="AB183" s="123">
        <v>11.4</v>
      </c>
      <c r="AC183" s="123">
        <v>1</v>
      </c>
      <c r="AD183" s="123"/>
      <c r="AH183" s="123">
        <f t="shared" si="16"/>
        <v>458</v>
      </c>
      <c r="AI183" t="b">
        <f t="shared" si="22"/>
        <v>0</v>
      </c>
      <c r="AJ183" s="123">
        <f t="shared" si="17"/>
        <v>587</v>
      </c>
      <c r="AK183" t="b">
        <f t="shared" si="23"/>
        <v>0</v>
      </c>
    </row>
    <row r="184" spans="1:37">
      <c r="A184" s="121">
        <v>182</v>
      </c>
      <c r="B184" s="122" t="s">
        <v>2385</v>
      </c>
      <c r="C184" s="122" t="s">
        <v>2408</v>
      </c>
      <c r="D184" s="122" t="s">
        <v>2296</v>
      </c>
      <c r="E184" s="124">
        <v>42763</v>
      </c>
      <c r="F184" s="125">
        <v>0.60069444444444442</v>
      </c>
      <c r="G184" s="124">
        <v>42815</v>
      </c>
      <c r="H184" s="125">
        <v>0.4861111111111111</v>
      </c>
      <c r="I184" s="123">
        <v>799</v>
      </c>
      <c r="J184" s="123">
        <v>403</v>
      </c>
      <c r="K184" s="142" t="str">
        <f t="shared" si="18"/>
        <v>G403</v>
      </c>
      <c r="L184" s="123">
        <v>444</v>
      </c>
      <c r="M184" s="142" t="str">
        <f t="shared" si="19"/>
        <v>R444</v>
      </c>
      <c r="N184" s="123">
        <v>818</v>
      </c>
      <c r="O184" s="142" t="str">
        <f t="shared" si="20"/>
        <v>G818</v>
      </c>
      <c r="P184" s="123">
        <v>537</v>
      </c>
      <c r="Q184" s="142" t="str">
        <f t="shared" si="21"/>
        <v>R537</v>
      </c>
      <c r="R184" s="123">
        <v>33.4</v>
      </c>
      <c r="S184" s="123">
        <v>16</v>
      </c>
      <c r="T184" s="123">
        <v>33.200000000000003</v>
      </c>
      <c r="U184" s="123">
        <v>7.1</v>
      </c>
      <c r="V184" s="123" t="s">
        <v>2206</v>
      </c>
      <c r="W184" s="126"/>
      <c r="X184" s="126"/>
      <c r="Y184" s="126"/>
      <c r="Z184" s="123">
        <v>15.8</v>
      </c>
      <c r="AA184" s="123" t="s">
        <v>2250</v>
      </c>
      <c r="AB184" s="123">
        <v>8.8000000000000007</v>
      </c>
      <c r="AC184" s="123">
        <v>1</v>
      </c>
      <c r="AD184" s="123"/>
      <c r="AH184" s="123">
        <f t="shared" si="16"/>
        <v>403</v>
      </c>
      <c r="AI184" t="b">
        <f t="shared" si="22"/>
        <v>0</v>
      </c>
      <c r="AJ184" s="123">
        <f t="shared" si="17"/>
        <v>444</v>
      </c>
      <c r="AK184" t="b">
        <f t="shared" si="23"/>
        <v>0</v>
      </c>
    </row>
    <row r="185" spans="1:37">
      <c r="A185" s="121">
        <v>183</v>
      </c>
      <c r="B185" s="122" t="s">
        <v>2385</v>
      </c>
      <c r="C185" s="122" t="s">
        <v>2409</v>
      </c>
      <c r="D185" s="122" t="s">
        <v>2296</v>
      </c>
      <c r="E185" s="124">
        <v>42763</v>
      </c>
      <c r="F185" s="125">
        <v>0.60416666666666663</v>
      </c>
      <c r="G185" s="124">
        <v>42815</v>
      </c>
      <c r="H185" s="125">
        <v>0.49305555555555558</v>
      </c>
      <c r="I185" s="123">
        <v>800</v>
      </c>
      <c r="J185" s="123">
        <v>585</v>
      </c>
      <c r="K185" s="142" t="str">
        <f t="shared" si="18"/>
        <v>G585</v>
      </c>
      <c r="L185" s="123">
        <v>568</v>
      </c>
      <c r="M185" s="142" t="str">
        <f t="shared" si="19"/>
        <v>R568</v>
      </c>
      <c r="N185" s="123">
        <v>896</v>
      </c>
      <c r="O185" s="142" t="str">
        <f t="shared" si="20"/>
        <v>G896</v>
      </c>
      <c r="P185" s="123">
        <v>290</v>
      </c>
      <c r="Q185" s="142" t="str">
        <f t="shared" si="21"/>
        <v>R290</v>
      </c>
      <c r="R185" s="123">
        <v>32.799999999999997</v>
      </c>
      <c r="S185" s="123">
        <v>21.1</v>
      </c>
      <c r="T185" s="123">
        <v>34.200000000000003</v>
      </c>
      <c r="U185" s="123">
        <v>5.7</v>
      </c>
      <c r="V185" s="123" t="s">
        <v>2319</v>
      </c>
      <c r="W185" s="126" t="s">
        <v>2238</v>
      </c>
      <c r="X185" s="126"/>
      <c r="Y185" s="126"/>
      <c r="Z185" s="123">
        <v>35.799999999999997</v>
      </c>
      <c r="AA185" s="123" t="s">
        <v>2228</v>
      </c>
      <c r="AB185" s="123">
        <v>11.4</v>
      </c>
      <c r="AC185" s="123">
        <v>1</v>
      </c>
      <c r="AD185" s="123"/>
      <c r="AH185" s="123">
        <f t="shared" si="16"/>
        <v>585</v>
      </c>
      <c r="AI185" t="b">
        <f t="shared" si="22"/>
        <v>0</v>
      </c>
      <c r="AJ185" s="123">
        <f t="shared" si="17"/>
        <v>568</v>
      </c>
      <c r="AK185" t="b">
        <f t="shared" si="23"/>
        <v>0</v>
      </c>
    </row>
    <row r="186" spans="1:37">
      <c r="A186" s="121">
        <v>184</v>
      </c>
      <c r="B186" s="122" t="s">
        <v>2385</v>
      </c>
      <c r="C186" s="122" t="s">
        <v>2410</v>
      </c>
      <c r="D186" s="122" t="s">
        <v>2296</v>
      </c>
      <c r="E186" s="124">
        <v>42763</v>
      </c>
      <c r="F186" s="125">
        <v>0.61111111111111105</v>
      </c>
      <c r="G186" s="124">
        <v>42815</v>
      </c>
      <c r="H186" s="125">
        <v>0.5</v>
      </c>
      <c r="I186" s="123">
        <v>801</v>
      </c>
      <c r="J186" s="123">
        <v>669</v>
      </c>
      <c r="K186" s="142" t="str">
        <f t="shared" si="18"/>
        <v>G669</v>
      </c>
      <c r="L186" s="129">
        <v>541</v>
      </c>
      <c r="M186" s="142" t="str">
        <f t="shared" si="19"/>
        <v>R541</v>
      </c>
      <c r="N186" s="123">
        <v>337</v>
      </c>
      <c r="O186" s="142" t="str">
        <f t="shared" si="20"/>
        <v>G337</v>
      </c>
      <c r="P186" s="123">
        <v>555</v>
      </c>
      <c r="Q186" s="142" t="str">
        <f t="shared" si="21"/>
        <v>R555</v>
      </c>
      <c r="R186" s="123">
        <v>27.3</v>
      </c>
      <c r="S186" s="123">
        <v>19</v>
      </c>
      <c r="T186" s="123">
        <v>32.6</v>
      </c>
      <c r="U186" s="123">
        <v>7.6</v>
      </c>
      <c r="V186" s="123" t="s">
        <v>2187</v>
      </c>
      <c r="W186" s="126"/>
      <c r="X186" s="126" t="s">
        <v>2179</v>
      </c>
      <c r="Y186" s="126"/>
      <c r="Z186" s="123">
        <v>16.399999999999999</v>
      </c>
      <c r="AA186" s="123" t="s">
        <v>2250</v>
      </c>
      <c r="AB186" s="123">
        <v>3.7</v>
      </c>
      <c r="AC186" s="123">
        <v>0</v>
      </c>
      <c r="AD186" s="123" t="s">
        <v>2411</v>
      </c>
      <c r="AH186" s="123">
        <f t="shared" si="16"/>
        <v>669</v>
      </c>
      <c r="AI186" t="b">
        <f t="shared" si="22"/>
        <v>0</v>
      </c>
      <c r="AJ186" s="129">
        <f t="shared" si="17"/>
        <v>541</v>
      </c>
      <c r="AK186" t="b">
        <f t="shared" si="23"/>
        <v>0</v>
      </c>
    </row>
    <row r="187" spans="1:37">
      <c r="A187" s="121">
        <v>185</v>
      </c>
      <c r="B187" s="122" t="s">
        <v>2385</v>
      </c>
      <c r="C187" s="122" t="s">
        <v>2412</v>
      </c>
      <c r="D187" s="122" t="s">
        <v>2306</v>
      </c>
      <c r="E187" s="124">
        <v>42763</v>
      </c>
      <c r="F187" s="125">
        <v>0.61805555555555558</v>
      </c>
      <c r="G187" s="124">
        <v>42815</v>
      </c>
      <c r="H187" s="125">
        <v>0.55555555555555558</v>
      </c>
      <c r="I187" s="123">
        <v>802</v>
      </c>
      <c r="J187" s="123">
        <v>423</v>
      </c>
      <c r="K187" s="142" t="str">
        <f t="shared" si="18"/>
        <v>G423</v>
      </c>
      <c r="L187" s="123">
        <v>51</v>
      </c>
      <c r="M187" s="142" t="str">
        <f t="shared" si="19"/>
        <v>R51</v>
      </c>
      <c r="N187" s="123">
        <v>564</v>
      </c>
      <c r="O187" s="142" t="str">
        <f t="shared" si="20"/>
        <v>G564</v>
      </c>
      <c r="P187" s="123">
        <v>539</v>
      </c>
      <c r="Q187" s="142" t="str">
        <f t="shared" si="21"/>
        <v>R539</v>
      </c>
      <c r="R187" s="123">
        <v>32.1</v>
      </c>
      <c r="S187" s="123">
        <v>26.1</v>
      </c>
      <c r="T187" s="123">
        <v>38.700000000000003</v>
      </c>
      <c r="U187" s="123">
        <v>9.6</v>
      </c>
      <c r="V187" s="123"/>
      <c r="W187" s="126" t="s">
        <v>2195</v>
      </c>
      <c r="X187" s="126"/>
      <c r="Y187" s="126"/>
      <c r="Z187" s="123">
        <v>29.4</v>
      </c>
      <c r="AA187" s="123" t="s">
        <v>2250</v>
      </c>
      <c r="AB187" s="123">
        <v>9.8000000000000007</v>
      </c>
      <c r="AC187" s="123">
        <v>0</v>
      </c>
      <c r="AD187" s="123"/>
      <c r="AH187" s="123">
        <f t="shared" si="16"/>
        <v>423</v>
      </c>
      <c r="AI187" t="b">
        <f t="shared" si="22"/>
        <v>0</v>
      </c>
      <c r="AJ187" s="123">
        <f t="shared" si="17"/>
        <v>51</v>
      </c>
      <c r="AK187" t="b">
        <f t="shared" si="23"/>
        <v>0</v>
      </c>
    </row>
    <row r="188" spans="1:37">
      <c r="A188" s="121">
        <v>186</v>
      </c>
      <c r="B188" s="122" t="s">
        <v>2385</v>
      </c>
      <c r="C188" s="122" t="s">
        <v>2413</v>
      </c>
      <c r="D188" s="122" t="s">
        <v>2306</v>
      </c>
      <c r="E188" s="124">
        <v>42763</v>
      </c>
      <c r="F188" s="125">
        <v>0.625</v>
      </c>
      <c r="G188" s="124">
        <v>42815</v>
      </c>
      <c r="H188" s="125">
        <v>0.5625</v>
      </c>
      <c r="I188" s="123">
        <v>803</v>
      </c>
      <c r="J188" s="123">
        <v>544</v>
      </c>
      <c r="K188" s="142" t="str">
        <f t="shared" si="18"/>
        <v>G544</v>
      </c>
      <c r="L188" s="123">
        <v>557</v>
      </c>
      <c r="M188" s="142" t="str">
        <f t="shared" si="19"/>
        <v>R557</v>
      </c>
      <c r="N188" s="123">
        <v>608</v>
      </c>
      <c r="O188" s="142" t="str">
        <f t="shared" si="20"/>
        <v>G608</v>
      </c>
      <c r="P188" s="123">
        <v>186</v>
      </c>
      <c r="Q188" s="142" t="str">
        <f t="shared" si="21"/>
        <v>R186</v>
      </c>
      <c r="R188" s="123">
        <v>31.3</v>
      </c>
      <c r="S188" s="123">
        <v>26.8</v>
      </c>
      <c r="T188" s="123">
        <v>36.5</v>
      </c>
      <c r="U188" s="123">
        <v>7</v>
      </c>
      <c r="V188" s="123" t="s">
        <v>2187</v>
      </c>
      <c r="W188" s="126" t="s">
        <v>2179</v>
      </c>
      <c r="X188" s="126"/>
      <c r="Y188" s="126"/>
      <c r="Z188" s="123">
        <v>45.4</v>
      </c>
      <c r="AA188" s="123" t="s">
        <v>2250</v>
      </c>
      <c r="AB188" s="123">
        <v>11.4</v>
      </c>
      <c r="AC188" s="123">
        <v>0</v>
      </c>
      <c r="AD188" s="123"/>
      <c r="AH188" s="123">
        <f t="shared" si="16"/>
        <v>544</v>
      </c>
      <c r="AI188" t="b">
        <f t="shared" si="22"/>
        <v>0</v>
      </c>
      <c r="AJ188" s="123">
        <f t="shared" si="17"/>
        <v>557</v>
      </c>
      <c r="AK188" t="b">
        <f t="shared" si="23"/>
        <v>0</v>
      </c>
    </row>
    <row r="189" spans="1:37">
      <c r="A189" s="121">
        <v>187</v>
      </c>
      <c r="B189" s="122" t="s">
        <v>2385</v>
      </c>
      <c r="C189" s="122" t="s">
        <v>2414</v>
      </c>
      <c r="D189" s="122" t="s">
        <v>2306</v>
      </c>
      <c r="E189" s="124">
        <v>42763</v>
      </c>
      <c r="F189" s="125">
        <v>0.62847222222222221</v>
      </c>
      <c r="G189" s="124">
        <v>42815</v>
      </c>
      <c r="H189" s="125">
        <v>0.56944444444444442</v>
      </c>
      <c r="I189" s="123">
        <v>804</v>
      </c>
      <c r="J189" s="123">
        <v>620</v>
      </c>
      <c r="K189" s="142" t="str">
        <f t="shared" si="18"/>
        <v>G620</v>
      </c>
      <c r="L189" s="123">
        <v>427</v>
      </c>
      <c r="M189" s="142" t="str">
        <f t="shared" si="19"/>
        <v>R427</v>
      </c>
      <c r="N189" s="123">
        <v>365</v>
      </c>
      <c r="O189" s="142" t="str">
        <f t="shared" si="20"/>
        <v>G365</v>
      </c>
      <c r="P189" s="183">
        <v>580</v>
      </c>
      <c r="Q189" s="142" t="str">
        <f t="shared" si="21"/>
        <v>R580</v>
      </c>
      <c r="R189" s="241">
        <v>31.3</v>
      </c>
      <c r="S189" s="241">
        <v>18.2</v>
      </c>
      <c r="T189" s="123">
        <v>34.700000000000003</v>
      </c>
      <c r="U189" s="123">
        <v>10.199999999999999</v>
      </c>
      <c r="V189" s="123"/>
      <c r="W189" s="126"/>
      <c r="X189" s="126"/>
      <c r="Y189" s="126"/>
      <c r="Z189" s="123">
        <v>39.4</v>
      </c>
      <c r="AA189" s="123" t="s">
        <v>2250</v>
      </c>
      <c r="AB189" s="123">
        <v>0.6</v>
      </c>
      <c r="AC189" s="123">
        <v>1</v>
      </c>
      <c r="AD189" s="123"/>
      <c r="AH189" s="123">
        <f t="shared" si="16"/>
        <v>620</v>
      </c>
      <c r="AI189" t="b">
        <f t="shared" si="22"/>
        <v>0</v>
      </c>
      <c r="AJ189" s="123">
        <f t="shared" si="17"/>
        <v>427</v>
      </c>
      <c r="AK189" t="b">
        <f t="shared" si="23"/>
        <v>0</v>
      </c>
    </row>
    <row r="190" spans="1:37">
      <c r="A190" s="121">
        <v>188</v>
      </c>
      <c r="B190" s="122" t="s">
        <v>2385</v>
      </c>
      <c r="C190" s="122" t="s">
        <v>2415</v>
      </c>
      <c r="D190" s="122" t="s">
        <v>2306</v>
      </c>
      <c r="E190" s="124">
        <v>42763</v>
      </c>
      <c r="F190" s="125">
        <v>0.63888888888888895</v>
      </c>
      <c r="G190" s="124">
        <v>42815</v>
      </c>
      <c r="H190" s="125">
        <v>0.57291666666666663</v>
      </c>
      <c r="I190" s="123">
        <v>805</v>
      </c>
      <c r="J190" s="123">
        <v>420</v>
      </c>
      <c r="K190" s="142" t="str">
        <f t="shared" si="18"/>
        <v>G420</v>
      </c>
      <c r="L190" s="123">
        <v>523</v>
      </c>
      <c r="M190" s="142" t="str">
        <f t="shared" si="19"/>
        <v>R523</v>
      </c>
      <c r="N190" s="123">
        <v>375</v>
      </c>
      <c r="O190" s="142" t="str">
        <f t="shared" si="20"/>
        <v>G375</v>
      </c>
      <c r="P190" s="123">
        <v>222</v>
      </c>
      <c r="Q190" s="142" t="str">
        <f t="shared" si="21"/>
        <v>R222</v>
      </c>
      <c r="R190" s="123">
        <v>31.8</v>
      </c>
      <c r="S190" s="123">
        <v>10.6</v>
      </c>
      <c r="T190" s="123">
        <v>36.5</v>
      </c>
      <c r="U190" s="123">
        <v>10.3</v>
      </c>
      <c r="V190" s="123" t="s">
        <v>2179</v>
      </c>
      <c r="W190" s="126" t="s">
        <v>2203</v>
      </c>
      <c r="X190" s="126"/>
      <c r="Y190" s="126"/>
      <c r="Z190" s="123">
        <v>14.4</v>
      </c>
      <c r="AA190" s="123" t="s">
        <v>2250</v>
      </c>
      <c r="AB190" s="123">
        <v>2.2999999999999998</v>
      </c>
      <c r="AC190" s="123">
        <v>0</v>
      </c>
      <c r="AD190" s="123" t="s">
        <v>2416</v>
      </c>
      <c r="AH190" s="123">
        <f t="shared" si="16"/>
        <v>420</v>
      </c>
      <c r="AI190" t="b">
        <f t="shared" si="22"/>
        <v>0</v>
      </c>
      <c r="AJ190" s="123">
        <f t="shared" si="17"/>
        <v>523</v>
      </c>
      <c r="AK190" t="b">
        <f t="shared" si="23"/>
        <v>0</v>
      </c>
    </row>
    <row r="191" spans="1:37">
      <c r="A191" s="121">
        <v>189</v>
      </c>
      <c r="B191" s="122" t="s">
        <v>2385</v>
      </c>
      <c r="C191" s="122" t="s">
        <v>2417</v>
      </c>
      <c r="D191" s="122" t="s">
        <v>2306</v>
      </c>
      <c r="E191" s="124">
        <v>42763</v>
      </c>
      <c r="F191" s="125">
        <v>0.64583333333333337</v>
      </c>
      <c r="G191" s="124">
        <v>42815</v>
      </c>
      <c r="H191" s="125">
        <v>0.57986111111111105</v>
      </c>
      <c r="I191" s="123">
        <v>806</v>
      </c>
      <c r="J191" s="129">
        <v>367</v>
      </c>
      <c r="K191" s="142" t="str">
        <f t="shared" si="18"/>
        <v>G367</v>
      </c>
      <c r="L191" s="123">
        <v>354</v>
      </c>
      <c r="M191" s="142" t="str">
        <f t="shared" si="19"/>
        <v>R354</v>
      </c>
      <c r="N191" s="123">
        <v>537</v>
      </c>
      <c r="O191" s="142" t="str">
        <f t="shared" si="20"/>
        <v>G537</v>
      </c>
      <c r="P191" s="123">
        <v>216</v>
      </c>
      <c r="Q191" s="142" t="str">
        <f t="shared" si="21"/>
        <v>R216</v>
      </c>
      <c r="R191" s="123">
        <v>27.3</v>
      </c>
      <c r="S191" s="123">
        <v>19.7</v>
      </c>
      <c r="T191" s="123">
        <v>33.9</v>
      </c>
      <c r="U191" s="123">
        <v>7.5</v>
      </c>
      <c r="V191" s="123" t="s">
        <v>2234</v>
      </c>
      <c r="W191" s="126" t="s">
        <v>2187</v>
      </c>
      <c r="X191" s="126"/>
      <c r="Y191" s="126" t="s">
        <v>2187</v>
      </c>
      <c r="Z191" s="123">
        <v>7</v>
      </c>
      <c r="AA191" s="123" t="s">
        <v>2250</v>
      </c>
      <c r="AB191" s="123">
        <v>0.6</v>
      </c>
      <c r="AC191" s="123">
        <v>1</v>
      </c>
      <c r="AD191" s="123"/>
      <c r="AH191" s="129">
        <f t="shared" si="16"/>
        <v>367</v>
      </c>
      <c r="AI191" t="b">
        <f t="shared" si="22"/>
        <v>0</v>
      </c>
      <c r="AJ191" s="123">
        <f t="shared" si="17"/>
        <v>354</v>
      </c>
      <c r="AK191" t="b">
        <f t="shared" si="23"/>
        <v>0</v>
      </c>
    </row>
    <row r="192" spans="1:37">
      <c r="A192" s="121">
        <v>190</v>
      </c>
      <c r="B192" s="122" t="s">
        <v>2385</v>
      </c>
      <c r="C192" s="122" t="s">
        <v>2418</v>
      </c>
      <c r="D192" s="122" t="s">
        <v>2306</v>
      </c>
      <c r="E192" s="124">
        <v>42763</v>
      </c>
      <c r="F192" s="125">
        <v>0.64583333333333337</v>
      </c>
      <c r="G192" s="124">
        <v>42815</v>
      </c>
      <c r="H192" s="125">
        <v>0.58680555555555558</v>
      </c>
      <c r="I192" s="123">
        <v>807</v>
      </c>
      <c r="J192" s="123">
        <v>526</v>
      </c>
      <c r="K192" s="142" t="str">
        <f t="shared" si="18"/>
        <v>G526</v>
      </c>
      <c r="L192" s="123">
        <v>164</v>
      </c>
      <c r="M192" s="142" t="str">
        <f t="shared" si="19"/>
        <v>R164</v>
      </c>
      <c r="N192" s="123">
        <v>393</v>
      </c>
      <c r="O192" s="142" t="str">
        <f t="shared" si="20"/>
        <v>G393</v>
      </c>
      <c r="P192" s="123">
        <v>232</v>
      </c>
      <c r="Q192" s="142" t="str">
        <f t="shared" si="21"/>
        <v>R232</v>
      </c>
      <c r="R192" s="123">
        <v>31.4</v>
      </c>
      <c r="S192" s="123">
        <v>15.3</v>
      </c>
      <c r="T192" s="123">
        <v>36.700000000000003</v>
      </c>
      <c r="U192" s="123">
        <v>11.8</v>
      </c>
      <c r="V192" s="123"/>
      <c r="W192" s="126" t="s">
        <v>2195</v>
      </c>
      <c r="X192" s="126"/>
      <c r="Y192" s="126"/>
      <c r="Z192" s="123">
        <v>17.399999999999999</v>
      </c>
      <c r="AA192" s="123" t="s">
        <v>2250</v>
      </c>
      <c r="AB192" s="123">
        <v>9.5</v>
      </c>
      <c r="AC192" s="123">
        <v>0</v>
      </c>
      <c r="AD192" s="123"/>
      <c r="AH192" s="123">
        <f t="shared" si="16"/>
        <v>526</v>
      </c>
      <c r="AI192" t="b">
        <f t="shared" si="22"/>
        <v>0</v>
      </c>
      <c r="AJ192" s="123">
        <f t="shared" si="17"/>
        <v>164</v>
      </c>
      <c r="AK192" t="b">
        <f t="shared" si="23"/>
        <v>0</v>
      </c>
    </row>
    <row r="193" spans="1:37">
      <c r="A193" s="121">
        <v>191</v>
      </c>
      <c r="B193" s="122" t="s">
        <v>2385</v>
      </c>
      <c r="C193" s="122" t="s">
        <v>2419</v>
      </c>
      <c r="D193" s="122" t="s">
        <v>2306</v>
      </c>
      <c r="E193" s="124">
        <v>42763</v>
      </c>
      <c r="F193" s="125">
        <v>0.66319444444444442</v>
      </c>
      <c r="G193" s="124">
        <v>42815</v>
      </c>
      <c r="H193" s="125">
        <v>0.59027777777777779</v>
      </c>
      <c r="I193" s="123">
        <v>808</v>
      </c>
      <c r="J193" s="123">
        <v>522</v>
      </c>
      <c r="K193" s="142" t="str">
        <f t="shared" si="18"/>
        <v>G522</v>
      </c>
      <c r="L193" s="123">
        <v>336</v>
      </c>
      <c r="M193" s="142" t="str">
        <f t="shared" si="19"/>
        <v>R336</v>
      </c>
      <c r="N193" s="123">
        <v>417</v>
      </c>
      <c r="O193" s="142" t="str">
        <f t="shared" si="20"/>
        <v>G417</v>
      </c>
      <c r="P193" s="123">
        <v>387</v>
      </c>
      <c r="Q193" s="142" t="str">
        <f t="shared" si="21"/>
        <v>R387</v>
      </c>
      <c r="R193" s="123">
        <v>31.5</v>
      </c>
      <c r="S193" s="123">
        <v>15.4</v>
      </c>
      <c r="T193" s="123">
        <v>38.5</v>
      </c>
      <c r="U193" s="123">
        <v>9.3000000000000007</v>
      </c>
      <c r="V193" s="123"/>
      <c r="W193" s="126" t="s">
        <v>2195</v>
      </c>
      <c r="X193" s="126"/>
      <c r="Y193" s="126"/>
      <c r="Z193" s="123">
        <v>29.8</v>
      </c>
      <c r="AA193" s="123" t="s">
        <v>2250</v>
      </c>
      <c r="AB193" s="123">
        <v>12.4</v>
      </c>
      <c r="AC193" s="123">
        <v>0</v>
      </c>
      <c r="AD193" s="123"/>
      <c r="AH193" s="123">
        <f t="shared" si="16"/>
        <v>522</v>
      </c>
      <c r="AI193" t="b">
        <f t="shared" si="22"/>
        <v>0</v>
      </c>
      <c r="AJ193" s="123">
        <f t="shared" si="17"/>
        <v>336</v>
      </c>
      <c r="AK193" t="b">
        <f t="shared" si="23"/>
        <v>0</v>
      </c>
    </row>
    <row r="194" spans="1:37">
      <c r="A194" s="121">
        <v>192</v>
      </c>
      <c r="B194" s="122" t="s">
        <v>2385</v>
      </c>
      <c r="C194" s="122" t="s">
        <v>2420</v>
      </c>
      <c r="D194" s="122" t="s">
        <v>2306</v>
      </c>
      <c r="E194" s="124">
        <v>42763</v>
      </c>
      <c r="F194" s="125">
        <v>0.64930555555555558</v>
      </c>
      <c r="G194" s="124">
        <v>42815</v>
      </c>
      <c r="H194" s="125">
        <v>0.59722222222222221</v>
      </c>
      <c r="I194" s="123">
        <v>809</v>
      </c>
      <c r="J194" s="123">
        <v>591</v>
      </c>
      <c r="K194" s="142" t="str">
        <f t="shared" si="18"/>
        <v>G591</v>
      </c>
      <c r="L194" s="123">
        <v>263</v>
      </c>
      <c r="M194" s="142" t="str">
        <f t="shared" si="19"/>
        <v>R263</v>
      </c>
      <c r="N194" s="129">
        <v>297</v>
      </c>
      <c r="O194" s="142" t="str">
        <f t="shared" si="20"/>
        <v>G297</v>
      </c>
      <c r="P194" s="123">
        <v>346</v>
      </c>
      <c r="Q194" s="142" t="str">
        <f t="shared" si="21"/>
        <v>R346</v>
      </c>
      <c r="R194" s="123">
        <v>33.1</v>
      </c>
      <c r="S194" s="123">
        <v>8.6999999999999993</v>
      </c>
      <c r="T194" s="123">
        <v>33.5</v>
      </c>
      <c r="U194" s="123">
        <v>9.8000000000000007</v>
      </c>
      <c r="V194" s="123"/>
      <c r="W194" s="126" t="s">
        <v>2195</v>
      </c>
      <c r="X194" s="126"/>
      <c r="Y194" s="126"/>
      <c r="Z194" s="123">
        <v>37.799999999999997</v>
      </c>
      <c r="AA194" s="123" t="s">
        <v>2250</v>
      </c>
      <c r="AB194" s="123">
        <v>3.6</v>
      </c>
      <c r="AC194" s="123">
        <v>0</v>
      </c>
      <c r="AD194" s="123"/>
      <c r="AH194" s="123">
        <f t="shared" si="16"/>
        <v>591</v>
      </c>
      <c r="AI194" t="b">
        <f t="shared" si="22"/>
        <v>0</v>
      </c>
      <c r="AJ194" s="123">
        <f t="shared" si="17"/>
        <v>263</v>
      </c>
      <c r="AK194" t="b">
        <f t="shared" si="23"/>
        <v>0</v>
      </c>
    </row>
    <row r="195" spans="1:37">
      <c r="A195" s="121">
        <v>193</v>
      </c>
      <c r="B195" s="133" t="s">
        <v>2176</v>
      </c>
      <c r="C195" s="133" t="s">
        <v>2445</v>
      </c>
      <c r="D195" s="122" t="s">
        <v>2455</v>
      </c>
      <c r="E195" s="124">
        <v>42769</v>
      </c>
      <c r="F195" s="125">
        <v>0.4375</v>
      </c>
      <c r="G195" s="124">
        <v>42813</v>
      </c>
      <c r="H195" s="125">
        <v>0.68055555555555547</v>
      </c>
      <c r="I195" s="123">
        <v>933</v>
      </c>
      <c r="J195" s="123">
        <v>863</v>
      </c>
      <c r="K195" s="142" t="str">
        <f t="shared" si="18"/>
        <v>G863</v>
      </c>
      <c r="L195" s="123">
        <v>125</v>
      </c>
      <c r="M195" s="142" t="str">
        <f t="shared" si="19"/>
        <v>R125</v>
      </c>
      <c r="N195" s="123">
        <v>584</v>
      </c>
      <c r="O195" s="142" t="str">
        <f t="shared" si="20"/>
        <v>G584</v>
      </c>
      <c r="P195" s="123">
        <v>364</v>
      </c>
      <c r="Q195" s="142" t="str">
        <f t="shared" si="21"/>
        <v>R364</v>
      </c>
      <c r="R195" s="123">
        <v>23.9</v>
      </c>
      <c r="S195" s="123">
        <v>28</v>
      </c>
      <c r="T195" s="123">
        <v>34</v>
      </c>
      <c r="U195" s="123">
        <v>16.8</v>
      </c>
      <c r="V195" s="123" t="s">
        <v>2187</v>
      </c>
      <c r="W195" s="126"/>
      <c r="X195" s="126" t="s">
        <v>2187</v>
      </c>
      <c r="Y195" s="126"/>
      <c r="Z195" s="123">
        <v>12.2</v>
      </c>
      <c r="AA195" s="123" t="s">
        <v>2250</v>
      </c>
      <c r="AB195" s="123">
        <v>15.2</v>
      </c>
      <c r="AC195" s="123">
        <v>1</v>
      </c>
      <c r="AD195" s="123"/>
      <c r="AH195" s="123">
        <f t="shared" ref="AH195:AH222" si="24">J195</f>
        <v>863</v>
      </c>
      <c r="AI195" t="b">
        <f t="shared" si="22"/>
        <v>0</v>
      </c>
      <c r="AJ195" s="123">
        <f t="shared" ref="AJ195:AJ222" si="25">L195</f>
        <v>125</v>
      </c>
      <c r="AK195" t="b">
        <f t="shared" si="23"/>
        <v>0</v>
      </c>
    </row>
    <row r="196" spans="1:37">
      <c r="A196" s="121">
        <v>194</v>
      </c>
      <c r="B196" s="133" t="s">
        <v>2176</v>
      </c>
      <c r="C196" s="133" t="s">
        <v>2438</v>
      </c>
      <c r="D196" s="133" t="s">
        <v>2454</v>
      </c>
      <c r="E196" s="124">
        <v>42769</v>
      </c>
      <c r="F196" s="125">
        <v>0.41319444444444442</v>
      </c>
      <c r="G196" s="124">
        <v>42813</v>
      </c>
      <c r="H196" s="125">
        <v>0.71875</v>
      </c>
      <c r="I196" s="123">
        <v>929</v>
      </c>
      <c r="J196" s="123">
        <v>615</v>
      </c>
      <c r="K196" s="142" t="str">
        <f t="shared" ref="K196:K222" si="26">_xlfn.TEXTJOIN(,TRUE, "G",J196)</f>
        <v>G615</v>
      </c>
      <c r="L196" s="123">
        <v>289</v>
      </c>
      <c r="M196" s="142" t="str">
        <f t="shared" ref="M196:M222" si="27">_xlfn.TEXTJOIN(,TRUE, "R",L196)</f>
        <v>R289</v>
      </c>
      <c r="N196" s="123">
        <v>713</v>
      </c>
      <c r="O196" s="142" t="str">
        <f t="shared" ref="O196:O222" si="28">_xlfn.TEXTJOIN(,TRUE, "G",N196)</f>
        <v>G713</v>
      </c>
      <c r="P196" s="123">
        <v>167</v>
      </c>
      <c r="Q196" s="142" t="str">
        <f t="shared" ref="Q196:Q222" si="29">_xlfn.TEXTJOIN(,TRUE, "R",P196)</f>
        <v>R167</v>
      </c>
      <c r="R196" s="123">
        <v>23.9</v>
      </c>
      <c r="S196" s="123">
        <v>25.1</v>
      </c>
      <c r="T196" s="123">
        <v>34.700000000000003</v>
      </c>
      <c r="U196" s="123">
        <v>14.1</v>
      </c>
      <c r="V196" s="123" t="s">
        <v>2187</v>
      </c>
      <c r="W196" s="126" t="s">
        <v>2187</v>
      </c>
      <c r="X196" s="126" t="s">
        <v>2187</v>
      </c>
      <c r="Y196" s="126" t="s">
        <v>2187</v>
      </c>
      <c r="Z196" s="123">
        <v>7.9</v>
      </c>
      <c r="AA196" s="123" t="s">
        <v>2250</v>
      </c>
      <c r="AB196" s="123">
        <v>7.9</v>
      </c>
      <c r="AC196" s="123">
        <v>1</v>
      </c>
      <c r="AD196" s="123"/>
      <c r="AH196" s="123">
        <f t="shared" si="24"/>
        <v>615</v>
      </c>
      <c r="AI196" t="b">
        <f t="shared" ref="AI196:AI259" si="30">COUNTIF($AH$3:$AH$443, AH196)&gt;1</f>
        <v>0</v>
      </c>
      <c r="AJ196" s="123">
        <f t="shared" si="25"/>
        <v>289</v>
      </c>
      <c r="AK196" t="b">
        <f t="shared" ref="AK196:AK259" si="31">COUNTIF($AJ$3:$AJ$443, AJ196)&gt;1</f>
        <v>0</v>
      </c>
    </row>
    <row r="197" spans="1:37">
      <c r="A197" s="121">
        <v>195</v>
      </c>
      <c r="B197" s="133" t="s">
        <v>2176</v>
      </c>
      <c r="C197" s="133" t="s">
        <v>2430</v>
      </c>
      <c r="D197" s="133" t="s">
        <v>2453</v>
      </c>
      <c r="E197" s="124">
        <v>42769</v>
      </c>
      <c r="F197" s="125">
        <v>0.46180555555555558</v>
      </c>
      <c r="G197" s="124">
        <v>42814</v>
      </c>
      <c r="H197" s="125">
        <v>0.42708333333333331</v>
      </c>
      <c r="I197" s="123">
        <v>935</v>
      </c>
      <c r="J197" s="123">
        <v>821</v>
      </c>
      <c r="K197" s="142" t="str">
        <f t="shared" si="26"/>
        <v>G821</v>
      </c>
      <c r="L197" s="123">
        <v>378</v>
      </c>
      <c r="M197" s="142" t="str">
        <f t="shared" si="27"/>
        <v>R378</v>
      </c>
      <c r="N197" s="123">
        <v>525</v>
      </c>
      <c r="O197" s="142" t="str">
        <f t="shared" si="28"/>
        <v>G525</v>
      </c>
      <c r="P197" s="123">
        <v>25</v>
      </c>
      <c r="Q197" s="142" t="str">
        <f t="shared" si="29"/>
        <v>R25</v>
      </c>
      <c r="R197" s="123">
        <v>25.3</v>
      </c>
      <c r="S197" s="123">
        <v>26.7</v>
      </c>
      <c r="T197" s="129">
        <v>23.4</v>
      </c>
      <c r="U197" s="129">
        <v>32.700000000000003</v>
      </c>
      <c r="V197" s="123" t="s">
        <v>2187</v>
      </c>
      <c r="W197" s="126" t="s">
        <v>2234</v>
      </c>
      <c r="X197" s="126" t="s">
        <v>2187</v>
      </c>
      <c r="Y197" s="126"/>
      <c r="Z197" s="123">
        <v>5.13</v>
      </c>
      <c r="AA197" s="123" t="s">
        <v>2250</v>
      </c>
      <c r="AB197" s="123">
        <v>5.13</v>
      </c>
      <c r="AC197" s="123">
        <v>1</v>
      </c>
      <c r="AD197" s="123"/>
      <c r="AH197" s="123">
        <f t="shared" si="24"/>
        <v>821</v>
      </c>
      <c r="AI197" t="b">
        <f t="shared" si="30"/>
        <v>0</v>
      </c>
      <c r="AJ197" s="123">
        <f t="shared" si="25"/>
        <v>378</v>
      </c>
      <c r="AK197" t="b">
        <f t="shared" si="31"/>
        <v>0</v>
      </c>
    </row>
    <row r="198" spans="1:37">
      <c r="A198" s="121">
        <v>196</v>
      </c>
      <c r="B198" s="133" t="s">
        <v>2176</v>
      </c>
      <c r="C198" s="122" t="s">
        <v>2421</v>
      </c>
      <c r="D198" s="133" t="s">
        <v>2452</v>
      </c>
      <c r="E198" s="124">
        <v>42769</v>
      </c>
      <c r="F198" s="125">
        <v>0.44791666666666669</v>
      </c>
      <c r="G198" s="124">
        <v>42814</v>
      </c>
      <c r="H198" s="125">
        <v>0.39583333333333331</v>
      </c>
      <c r="I198" s="123">
        <v>934</v>
      </c>
      <c r="J198" s="123">
        <v>754</v>
      </c>
      <c r="K198" s="142" t="str">
        <f t="shared" si="26"/>
        <v>G754</v>
      </c>
      <c r="L198" s="123">
        <v>375</v>
      </c>
      <c r="M198" s="142" t="str">
        <f t="shared" si="27"/>
        <v>R375</v>
      </c>
      <c r="N198" s="123">
        <v>886</v>
      </c>
      <c r="O198" s="142" t="str">
        <f t="shared" si="28"/>
        <v>G886</v>
      </c>
      <c r="P198" s="123">
        <v>362</v>
      </c>
      <c r="Q198" s="142" t="str">
        <f t="shared" si="29"/>
        <v>R362</v>
      </c>
      <c r="R198" s="123">
        <v>26.9</v>
      </c>
      <c r="S198" s="123">
        <v>20.100000000000001</v>
      </c>
      <c r="T198" s="123">
        <v>23.6</v>
      </c>
      <c r="U198" s="123">
        <v>27.4</v>
      </c>
      <c r="V198" s="123" t="s">
        <v>2187</v>
      </c>
      <c r="W198" s="126"/>
      <c r="X198" s="126"/>
      <c r="Y198" s="126"/>
      <c r="Z198" s="123">
        <v>17.399999999999999</v>
      </c>
      <c r="AA198" s="123" t="s">
        <v>2250</v>
      </c>
      <c r="AB198" s="123">
        <v>13.8</v>
      </c>
      <c r="AC198" s="123">
        <v>1</v>
      </c>
      <c r="AD198" s="123" t="s">
        <v>2422</v>
      </c>
      <c r="AH198" s="123">
        <f t="shared" si="24"/>
        <v>754</v>
      </c>
      <c r="AI198" t="b">
        <f t="shared" si="30"/>
        <v>0</v>
      </c>
      <c r="AJ198" s="123">
        <f t="shared" si="25"/>
        <v>375</v>
      </c>
      <c r="AK198" t="b">
        <f t="shared" si="31"/>
        <v>0</v>
      </c>
    </row>
    <row r="199" spans="1:37">
      <c r="A199" s="121">
        <v>197</v>
      </c>
      <c r="B199" s="133" t="s">
        <v>2176</v>
      </c>
      <c r="C199" s="133" t="s">
        <v>2431</v>
      </c>
      <c r="D199" s="133" t="s">
        <v>2453</v>
      </c>
      <c r="E199" s="124">
        <v>42769</v>
      </c>
      <c r="F199" s="125">
        <v>0.45833333333333331</v>
      </c>
      <c r="G199" s="124">
        <v>42814</v>
      </c>
      <c r="H199" s="125">
        <v>0.42708333333333331</v>
      </c>
      <c r="I199" s="123">
        <v>935</v>
      </c>
      <c r="J199" s="123">
        <v>715</v>
      </c>
      <c r="K199" s="142" t="str">
        <f t="shared" si="26"/>
        <v>G715</v>
      </c>
      <c r="L199" s="123">
        <v>219</v>
      </c>
      <c r="M199" s="142" t="str">
        <f t="shared" si="27"/>
        <v>R219</v>
      </c>
      <c r="N199" s="123">
        <v>388</v>
      </c>
      <c r="O199" s="142" t="str">
        <f t="shared" si="28"/>
        <v>G388</v>
      </c>
      <c r="P199" s="123">
        <v>370</v>
      </c>
      <c r="Q199" s="142" t="str">
        <f t="shared" si="29"/>
        <v>R370</v>
      </c>
      <c r="R199" s="123">
        <v>24.5</v>
      </c>
      <c r="S199" s="123">
        <v>26.6</v>
      </c>
      <c r="T199" s="143">
        <v>24.3</v>
      </c>
      <c r="U199" s="129">
        <v>19.100000000000001</v>
      </c>
      <c r="V199" s="123" t="s">
        <v>2187</v>
      </c>
      <c r="W199" s="126" t="s">
        <v>2230</v>
      </c>
      <c r="X199" s="126" t="s">
        <v>2187</v>
      </c>
      <c r="Y199" s="126" t="s">
        <v>2187</v>
      </c>
      <c r="Z199" s="123">
        <v>5.13</v>
      </c>
      <c r="AA199" s="123" t="s">
        <v>2250</v>
      </c>
      <c r="AB199" s="123">
        <v>5.13</v>
      </c>
      <c r="AC199" s="123">
        <v>1</v>
      </c>
      <c r="AD199" s="123"/>
      <c r="AH199" s="123">
        <f t="shared" si="24"/>
        <v>715</v>
      </c>
      <c r="AI199" t="b">
        <f t="shared" si="30"/>
        <v>0</v>
      </c>
      <c r="AJ199" s="123">
        <f t="shared" si="25"/>
        <v>219</v>
      </c>
      <c r="AK199" t="b">
        <f t="shared" si="31"/>
        <v>0</v>
      </c>
    </row>
    <row r="200" spans="1:37">
      <c r="A200" s="121">
        <v>198</v>
      </c>
      <c r="B200" s="133" t="s">
        <v>2176</v>
      </c>
      <c r="C200" s="133" t="s">
        <v>2439</v>
      </c>
      <c r="D200" s="133" t="s">
        <v>2454</v>
      </c>
      <c r="E200" s="124">
        <v>42769</v>
      </c>
      <c r="F200" s="125">
        <v>0.40625</v>
      </c>
      <c r="G200" s="124">
        <v>42813</v>
      </c>
      <c r="H200" s="125">
        <v>0.71875</v>
      </c>
      <c r="I200" s="123">
        <v>929</v>
      </c>
      <c r="J200" s="123">
        <v>785</v>
      </c>
      <c r="K200" s="142" t="str">
        <f t="shared" si="26"/>
        <v>G785</v>
      </c>
      <c r="L200" s="123">
        <v>463</v>
      </c>
      <c r="M200" s="142" t="str">
        <f t="shared" si="27"/>
        <v>R463</v>
      </c>
      <c r="N200" s="123">
        <v>462</v>
      </c>
      <c r="O200" s="142" t="str">
        <f t="shared" si="28"/>
        <v>G462</v>
      </c>
      <c r="P200" s="123">
        <v>168</v>
      </c>
      <c r="Q200" s="142" t="str">
        <f t="shared" si="29"/>
        <v>R168</v>
      </c>
      <c r="R200" s="123">
        <v>22.9</v>
      </c>
      <c r="S200" s="123">
        <v>26.9</v>
      </c>
      <c r="T200" s="123">
        <v>32</v>
      </c>
      <c r="U200" s="123">
        <v>14.9</v>
      </c>
      <c r="V200" s="123" t="s">
        <v>2187</v>
      </c>
      <c r="W200" s="126"/>
      <c r="X200" s="126" t="s">
        <v>2187</v>
      </c>
      <c r="Y200" s="126" t="s">
        <v>2187</v>
      </c>
      <c r="Z200" s="123">
        <v>7.9</v>
      </c>
      <c r="AA200" s="123" t="s">
        <v>2250</v>
      </c>
      <c r="AB200" s="123">
        <v>7.9</v>
      </c>
      <c r="AC200" s="123">
        <v>1</v>
      </c>
      <c r="AD200" s="123"/>
      <c r="AH200" s="123">
        <f t="shared" si="24"/>
        <v>785</v>
      </c>
      <c r="AI200" t="b">
        <f t="shared" si="30"/>
        <v>0</v>
      </c>
      <c r="AJ200" s="123">
        <f t="shared" si="25"/>
        <v>463</v>
      </c>
      <c r="AK200" t="b">
        <f t="shared" si="31"/>
        <v>0</v>
      </c>
    </row>
    <row r="201" spans="1:37">
      <c r="A201" s="121">
        <v>199</v>
      </c>
      <c r="B201" s="133" t="s">
        <v>2176</v>
      </c>
      <c r="C201" s="133" t="s">
        <v>2423</v>
      </c>
      <c r="D201" s="133" t="s">
        <v>2452</v>
      </c>
      <c r="E201" s="124">
        <v>42769</v>
      </c>
      <c r="F201" s="125">
        <v>0.44444444444444442</v>
      </c>
      <c r="G201" s="124">
        <v>42814</v>
      </c>
      <c r="H201" s="125">
        <v>0.39583333333333331</v>
      </c>
      <c r="I201" s="123">
        <v>934</v>
      </c>
      <c r="J201" s="123">
        <v>877</v>
      </c>
      <c r="K201" s="142" t="str">
        <f t="shared" si="26"/>
        <v>G877</v>
      </c>
      <c r="L201" s="123">
        <v>339</v>
      </c>
      <c r="M201" s="142" t="str">
        <f t="shared" si="27"/>
        <v>R339</v>
      </c>
      <c r="N201" s="123">
        <v>712</v>
      </c>
      <c r="O201" s="142" t="str">
        <f t="shared" si="28"/>
        <v>G712</v>
      </c>
      <c r="P201" s="123">
        <v>369</v>
      </c>
      <c r="Q201" s="142" t="str">
        <f t="shared" si="29"/>
        <v>R369</v>
      </c>
      <c r="R201" s="123">
        <v>25.4</v>
      </c>
      <c r="S201" s="123">
        <v>26.6</v>
      </c>
      <c r="T201" s="123">
        <v>23.7</v>
      </c>
      <c r="U201" s="123">
        <v>9.6999999999999993</v>
      </c>
      <c r="V201" s="123" t="s">
        <v>2187</v>
      </c>
      <c r="W201" s="126" t="s">
        <v>2187</v>
      </c>
      <c r="X201" s="126"/>
      <c r="Y201" s="126" t="s">
        <v>2187</v>
      </c>
      <c r="Z201" s="123">
        <v>17.399999999999999</v>
      </c>
      <c r="AA201" s="123" t="s">
        <v>2250</v>
      </c>
      <c r="AB201" s="123">
        <v>13.8</v>
      </c>
      <c r="AC201" s="123">
        <v>1</v>
      </c>
      <c r="AD201" s="123"/>
      <c r="AH201" s="123">
        <f t="shared" si="24"/>
        <v>877</v>
      </c>
      <c r="AI201" t="b">
        <f t="shared" si="30"/>
        <v>0</v>
      </c>
      <c r="AJ201" s="123">
        <f t="shared" si="25"/>
        <v>339</v>
      </c>
      <c r="AK201" t="b">
        <f t="shared" si="31"/>
        <v>0</v>
      </c>
    </row>
    <row r="202" spans="1:37">
      <c r="A202" s="121">
        <v>200</v>
      </c>
      <c r="B202" s="133" t="s">
        <v>2176</v>
      </c>
      <c r="C202" s="133" t="s">
        <v>2446</v>
      </c>
      <c r="D202" s="122" t="s">
        <v>2455</v>
      </c>
      <c r="E202" s="124">
        <v>42769</v>
      </c>
      <c r="F202" s="125">
        <v>0.44097222222222227</v>
      </c>
      <c r="G202" s="124">
        <v>42813</v>
      </c>
      <c r="H202" s="125">
        <v>0.68055555555555547</v>
      </c>
      <c r="I202" s="123">
        <v>933</v>
      </c>
      <c r="J202" s="123">
        <v>816</v>
      </c>
      <c r="K202" s="142" t="str">
        <f t="shared" si="26"/>
        <v>G816</v>
      </c>
      <c r="L202" s="123">
        <v>303</v>
      </c>
      <c r="M202" s="142" t="str">
        <f t="shared" si="27"/>
        <v>R303</v>
      </c>
      <c r="N202" s="123">
        <v>709</v>
      </c>
      <c r="O202" s="142" t="str">
        <f t="shared" si="28"/>
        <v>G709</v>
      </c>
      <c r="P202" s="123">
        <v>359</v>
      </c>
      <c r="Q202" s="142" t="str">
        <f t="shared" si="29"/>
        <v>R359</v>
      </c>
      <c r="R202" s="123">
        <v>25.7</v>
      </c>
      <c r="S202" s="123">
        <v>27.2</v>
      </c>
      <c r="T202" s="123">
        <v>30.1</v>
      </c>
      <c r="U202" s="123">
        <v>18.399999999999999</v>
      </c>
      <c r="V202" s="123" t="s">
        <v>2187</v>
      </c>
      <c r="W202" s="126" t="s">
        <v>2187</v>
      </c>
      <c r="X202" s="126" t="s">
        <v>2187</v>
      </c>
      <c r="Y202" s="126" t="s">
        <v>2187</v>
      </c>
      <c r="Z202" s="123">
        <v>12.2</v>
      </c>
      <c r="AA202" s="123" t="s">
        <v>2250</v>
      </c>
      <c r="AB202" s="123">
        <v>15.2</v>
      </c>
      <c r="AC202" s="123">
        <v>1</v>
      </c>
      <c r="AD202" s="123"/>
      <c r="AH202" s="123">
        <f t="shared" si="24"/>
        <v>816</v>
      </c>
      <c r="AI202" t="b">
        <f t="shared" si="30"/>
        <v>0</v>
      </c>
      <c r="AJ202" s="123">
        <f t="shared" si="25"/>
        <v>303</v>
      </c>
      <c r="AK202" t="b">
        <f t="shared" si="31"/>
        <v>0</v>
      </c>
    </row>
    <row r="203" spans="1:37">
      <c r="A203" s="121">
        <v>201</v>
      </c>
      <c r="B203" s="133" t="s">
        <v>2276</v>
      </c>
      <c r="C203" s="133" t="s">
        <v>2447</v>
      </c>
      <c r="D203" s="122" t="s">
        <v>2455</v>
      </c>
      <c r="E203" s="124">
        <v>42769</v>
      </c>
      <c r="F203" s="125">
        <v>0.47916666666666669</v>
      </c>
      <c r="G203" s="124">
        <v>42813</v>
      </c>
      <c r="H203" s="125">
        <v>0.68055555555555547</v>
      </c>
      <c r="I203" s="123">
        <v>933</v>
      </c>
      <c r="J203" s="123">
        <v>811</v>
      </c>
      <c r="K203" s="142" t="str">
        <f t="shared" si="26"/>
        <v>G811</v>
      </c>
      <c r="L203" s="123">
        <v>218</v>
      </c>
      <c r="M203" s="142" t="str">
        <f t="shared" si="27"/>
        <v>R218</v>
      </c>
      <c r="N203" s="123">
        <v>707</v>
      </c>
      <c r="O203" s="142" t="str">
        <f t="shared" si="28"/>
        <v>G707</v>
      </c>
      <c r="P203" s="123">
        <v>395</v>
      </c>
      <c r="Q203" s="142" t="str">
        <f t="shared" si="29"/>
        <v>R395</v>
      </c>
      <c r="R203" s="123">
        <v>25.6</v>
      </c>
      <c r="S203" s="123">
        <v>25.1</v>
      </c>
      <c r="T203" s="123">
        <v>30.4</v>
      </c>
      <c r="U203" s="123">
        <v>18.899999999999999</v>
      </c>
      <c r="V203" s="123" t="s">
        <v>2187</v>
      </c>
      <c r="W203" s="126" t="s">
        <v>2187</v>
      </c>
      <c r="X203" s="126" t="s">
        <v>2187</v>
      </c>
      <c r="Y203" s="126"/>
      <c r="Z203" s="123">
        <v>12.2</v>
      </c>
      <c r="AA203" s="123" t="s">
        <v>2250</v>
      </c>
      <c r="AB203" s="123">
        <v>15.2</v>
      </c>
      <c r="AC203" s="123">
        <v>1</v>
      </c>
      <c r="AD203" s="123"/>
      <c r="AH203" s="123">
        <f t="shared" si="24"/>
        <v>811</v>
      </c>
      <c r="AI203" t="b">
        <f t="shared" si="30"/>
        <v>0</v>
      </c>
      <c r="AJ203" s="123">
        <f t="shared" si="25"/>
        <v>218</v>
      </c>
      <c r="AK203" t="b">
        <f t="shared" si="31"/>
        <v>0</v>
      </c>
    </row>
    <row r="204" spans="1:37">
      <c r="A204" s="121">
        <v>202</v>
      </c>
      <c r="B204" s="133" t="s">
        <v>2276</v>
      </c>
      <c r="C204" s="133" t="s">
        <v>2424</v>
      </c>
      <c r="D204" s="133" t="s">
        <v>2452</v>
      </c>
      <c r="E204" s="124">
        <v>42769</v>
      </c>
      <c r="F204" s="125">
        <v>0.44791666666666669</v>
      </c>
      <c r="G204" s="124">
        <v>42814</v>
      </c>
      <c r="H204" s="125">
        <v>0.39583333333333331</v>
      </c>
      <c r="I204" s="123">
        <v>934</v>
      </c>
      <c r="J204" s="123">
        <v>773</v>
      </c>
      <c r="K204" s="142" t="str">
        <f t="shared" si="26"/>
        <v>G773</v>
      </c>
      <c r="L204" s="123">
        <v>135</v>
      </c>
      <c r="M204" s="142" t="str">
        <f t="shared" si="27"/>
        <v>R135</v>
      </c>
      <c r="N204" s="123">
        <v>770</v>
      </c>
      <c r="O204" s="142" t="str">
        <f t="shared" si="28"/>
        <v>G770</v>
      </c>
      <c r="P204" s="123">
        <v>182</v>
      </c>
      <c r="Q204" s="142" t="str">
        <f t="shared" si="29"/>
        <v>R182</v>
      </c>
      <c r="R204" s="123">
        <v>24.9</v>
      </c>
      <c r="S204" s="123">
        <v>24.9</v>
      </c>
      <c r="T204" s="123">
        <v>23.3</v>
      </c>
      <c r="U204" s="123">
        <v>16.399999999999999</v>
      </c>
      <c r="V204" s="123" t="s">
        <v>2187</v>
      </c>
      <c r="W204" s="126" t="s">
        <v>2187</v>
      </c>
      <c r="X204" s="126" t="s">
        <v>2187</v>
      </c>
      <c r="Y204" s="126"/>
      <c r="Z204" s="123">
        <v>17.399999999999999</v>
      </c>
      <c r="AA204" s="123" t="s">
        <v>2250</v>
      </c>
      <c r="AB204" s="123">
        <v>13.8</v>
      </c>
      <c r="AC204" s="123">
        <v>1</v>
      </c>
      <c r="AD204" s="123"/>
      <c r="AH204" s="123">
        <f t="shared" si="24"/>
        <v>773</v>
      </c>
      <c r="AI204" t="b">
        <f t="shared" si="30"/>
        <v>0</v>
      </c>
      <c r="AJ204" s="123">
        <f t="shared" si="25"/>
        <v>135</v>
      </c>
      <c r="AK204" t="b">
        <f t="shared" si="31"/>
        <v>0</v>
      </c>
    </row>
    <row r="205" spans="1:37">
      <c r="A205" s="121">
        <v>203</v>
      </c>
      <c r="B205" s="133" t="s">
        <v>2276</v>
      </c>
      <c r="C205" s="133" t="s">
        <v>2433</v>
      </c>
      <c r="D205" s="133" t="s">
        <v>2453</v>
      </c>
      <c r="E205" s="124">
        <v>42769</v>
      </c>
      <c r="F205" s="125">
        <v>0.47222222222222227</v>
      </c>
      <c r="G205" s="124">
        <v>42814</v>
      </c>
      <c r="H205" s="125">
        <v>0.42708333333333331</v>
      </c>
      <c r="I205" s="123">
        <v>935</v>
      </c>
      <c r="J205" s="123">
        <v>645</v>
      </c>
      <c r="K205" s="142" t="str">
        <f t="shared" si="26"/>
        <v>G645</v>
      </c>
      <c r="L205" s="123">
        <v>372</v>
      </c>
      <c r="M205" s="142" t="str">
        <f t="shared" si="27"/>
        <v>R372</v>
      </c>
      <c r="N205" s="123">
        <v>753</v>
      </c>
      <c r="O205" s="142" t="str">
        <f t="shared" si="28"/>
        <v>G753</v>
      </c>
      <c r="P205" s="123">
        <v>342</v>
      </c>
      <c r="Q205" s="142" t="str">
        <f t="shared" si="29"/>
        <v>R342</v>
      </c>
      <c r="R205" s="144">
        <v>25.7</v>
      </c>
      <c r="S205" s="144">
        <v>30.7</v>
      </c>
      <c r="T205" s="159">
        <v>31.1</v>
      </c>
      <c r="U205" s="129">
        <v>23.3</v>
      </c>
      <c r="V205" s="123" t="s">
        <v>2187</v>
      </c>
      <c r="W205" s="126" t="s">
        <v>2179</v>
      </c>
      <c r="X205" s="126" t="s">
        <v>2187</v>
      </c>
      <c r="Y205" s="126"/>
      <c r="Z205" s="123">
        <v>5.13</v>
      </c>
      <c r="AA205" s="123" t="s">
        <v>2250</v>
      </c>
      <c r="AB205" s="123">
        <v>5.13</v>
      </c>
      <c r="AC205" s="123">
        <v>1</v>
      </c>
      <c r="AD205" s="123"/>
      <c r="AH205" s="123">
        <f t="shared" si="24"/>
        <v>645</v>
      </c>
      <c r="AI205" t="b">
        <f t="shared" si="30"/>
        <v>0</v>
      </c>
      <c r="AJ205" s="123">
        <f t="shared" si="25"/>
        <v>372</v>
      </c>
      <c r="AK205" t="b">
        <f t="shared" si="31"/>
        <v>0</v>
      </c>
    </row>
    <row r="206" spans="1:37">
      <c r="A206" s="121">
        <v>204</v>
      </c>
      <c r="B206" s="133" t="s">
        <v>2276</v>
      </c>
      <c r="C206" s="133" t="s">
        <v>2440</v>
      </c>
      <c r="D206" s="133" t="s">
        <v>2454</v>
      </c>
      <c r="E206" s="124">
        <v>42769</v>
      </c>
      <c r="F206" s="125">
        <v>0.46875</v>
      </c>
      <c r="G206" s="124">
        <v>42813</v>
      </c>
      <c r="H206" s="125">
        <v>0.71875</v>
      </c>
      <c r="I206" s="123">
        <v>935</v>
      </c>
      <c r="J206" s="123">
        <v>814</v>
      </c>
      <c r="K206" s="123" t="str">
        <f t="shared" si="26"/>
        <v>G814</v>
      </c>
      <c r="L206" s="123">
        <v>334</v>
      </c>
      <c r="M206" s="123" t="str">
        <f t="shared" si="27"/>
        <v>R334</v>
      </c>
      <c r="N206" s="123">
        <v>640</v>
      </c>
      <c r="O206" s="123" t="str">
        <f t="shared" si="28"/>
        <v>G640</v>
      </c>
      <c r="P206" s="123">
        <v>139</v>
      </c>
      <c r="Q206" s="123" t="str">
        <f t="shared" si="29"/>
        <v>R139</v>
      </c>
      <c r="R206" s="123">
        <v>29.2</v>
      </c>
      <c r="S206" s="123">
        <v>26.8</v>
      </c>
      <c r="T206" s="123">
        <v>32.700000000000003</v>
      </c>
      <c r="U206" s="123">
        <v>16.399999999999999</v>
      </c>
      <c r="V206" s="123" t="s">
        <v>2187</v>
      </c>
      <c r="W206" s="126" t="s">
        <v>2187</v>
      </c>
      <c r="X206" s="126" t="s">
        <v>2187</v>
      </c>
      <c r="Y206" s="126"/>
      <c r="Z206" s="123">
        <v>7.9</v>
      </c>
      <c r="AA206" s="123" t="s">
        <v>2250</v>
      </c>
      <c r="AB206" s="123">
        <v>7.9</v>
      </c>
      <c r="AC206" s="123">
        <v>1</v>
      </c>
      <c r="AD206" s="123"/>
      <c r="AH206" s="123">
        <f t="shared" si="24"/>
        <v>814</v>
      </c>
      <c r="AI206" s="113" t="b">
        <f t="shared" si="30"/>
        <v>0</v>
      </c>
      <c r="AJ206" s="123">
        <f t="shared" si="25"/>
        <v>334</v>
      </c>
      <c r="AK206" s="113" t="b">
        <f t="shared" si="31"/>
        <v>0</v>
      </c>
    </row>
    <row r="207" spans="1:37">
      <c r="A207" s="121">
        <v>205</v>
      </c>
      <c r="B207" s="133" t="s">
        <v>2666</v>
      </c>
      <c r="C207" s="133" t="s">
        <v>2434</v>
      </c>
      <c r="D207" s="133" t="s">
        <v>2453</v>
      </c>
      <c r="E207" s="124">
        <v>42769</v>
      </c>
      <c r="F207" s="125">
        <v>0.46180555555555558</v>
      </c>
      <c r="G207" s="124">
        <v>42814</v>
      </c>
      <c r="H207" s="125">
        <v>0.42708333333333331</v>
      </c>
      <c r="I207" s="123">
        <v>935</v>
      </c>
      <c r="J207" s="123">
        <v>621</v>
      </c>
      <c r="K207" s="142" t="str">
        <f t="shared" si="26"/>
        <v>G621</v>
      </c>
      <c r="L207" s="123">
        <v>265</v>
      </c>
      <c r="M207" s="142" t="str">
        <f t="shared" si="27"/>
        <v>R265</v>
      </c>
      <c r="N207" s="123">
        <v>668</v>
      </c>
      <c r="O207" s="142" t="str">
        <f t="shared" si="28"/>
        <v>G668</v>
      </c>
      <c r="P207" s="123">
        <v>92</v>
      </c>
      <c r="Q207" s="142" t="str">
        <f t="shared" si="29"/>
        <v>R92</v>
      </c>
      <c r="R207" s="123">
        <v>29.4</v>
      </c>
      <c r="S207" s="123">
        <v>25.5</v>
      </c>
      <c r="T207" s="129">
        <v>23.2</v>
      </c>
      <c r="U207" s="129">
        <v>23.4</v>
      </c>
      <c r="V207" s="123" t="s">
        <v>2200</v>
      </c>
      <c r="W207" s="126" t="s">
        <v>2187</v>
      </c>
      <c r="X207" s="126" t="s">
        <v>2187</v>
      </c>
      <c r="Y207" s="126"/>
      <c r="Z207" s="123">
        <v>5.13</v>
      </c>
      <c r="AA207" s="123" t="s">
        <v>2250</v>
      </c>
      <c r="AB207" s="123">
        <v>5.13</v>
      </c>
      <c r="AC207" s="123">
        <v>1</v>
      </c>
      <c r="AD207" s="123"/>
      <c r="AE207" s="164" t="s">
        <v>2432</v>
      </c>
      <c r="AH207" s="123">
        <f t="shared" si="24"/>
        <v>621</v>
      </c>
      <c r="AI207" s="113" t="b">
        <f t="shared" si="30"/>
        <v>0</v>
      </c>
      <c r="AJ207" s="123">
        <f t="shared" si="25"/>
        <v>265</v>
      </c>
      <c r="AK207" s="113" t="b">
        <f t="shared" si="31"/>
        <v>0</v>
      </c>
    </row>
    <row r="208" spans="1:37">
      <c r="A208" s="121">
        <v>206</v>
      </c>
      <c r="B208" s="133" t="s">
        <v>2666</v>
      </c>
      <c r="C208" s="133" t="s">
        <v>2425</v>
      </c>
      <c r="D208" s="133" t="s">
        <v>2452</v>
      </c>
      <c r="E208" s="124">
        <v>42769</v>
      </c>
      <c r="F208" s="125">
        <v>0.44791666666666669</v>
      </c>
      <c r="G208" s="124">
        <v>42814</v>
      </c>
      <c r="H208" s="125">
        <v>0.39583333333333331</v>
      </c>
      <c r="I208" s="123">
        <v>934</v>
      </c>
      <c r="J208" s="123">
        <v>677</v>
      </c>
      <c r="K208" s="142" t="str">
        <f t="shared" si="26"/>
        <v>G677</v>
      </c>
      <c r="L208" s="123">
        <v>234</v>
      </c>
      <c r="M208" s="142" t="str">
        <f t="shared" si="27"/>
        <v>R234</v>
      </c>
      <c r="N208" s="123">
        <v>891</v>
      </c>
      <c r="O208" s="142" t="str">
        <f t="shared" si="28"/>
        <v>G891</v>
      </c>
      <c r="P208" s="123">
        <v>328</v>
      </c>
      <c r="Q208" s="142" t="str">
        <f t="shared" si="29"/>
        <v>R328</v>
      </c>
      <c r="R208" s="123">
        <v>24.2</v>
      </c>
      <c r="S208" s="123">
        <v>25.7</v>
      </c>
      <c r="T208" s="123">
        <v>24.1</v>
      </c>
      <c r="U208" s="123">
        <v>12.4</v>
      </c>
      <c r="V208" s="123" t="s">
        <v>2187</v>
      </c>
      <c r="W208" s="126"/>
      <c r="X208" s="126" t="s">
        <v>2187</v>
      </c>
      <c r="Y208" s="126" t="s">
        <v>2187</v>
      </c>
      <c r="Z208" s="123">
        <v>17.399999999999999</v>
      </c>
      <c r="AA208" s="123" t="s">
        <v>2250</v>
      </c>
      <c r="AB208" s="123">
        <v>13.8</v>
      </c>
      <c r="AC208" s="123">
        <v>1</v>
      </c>
      <c r="AD208" s="123"/>
      <c r="AH208" s="123">
        <f t="shared" si="24"/>
        <v>677</v>
      </c>
      <c r="AI208" t="b">
        <f t="shared" si="30"/>
        <v>0</v>
      </c>
      <c r="AJ208" s="123">
        <f t="shared" si="25"/>
        <v>234</v>
      </c>
      <c r="AK208" t="b">
        <f t="shared" si="31"/>
        <v>0</v>
      </c>
    </row>
    <row r="209" spans="1:37">
      <c r="A209" s="121">
        <v>207</v>
      </c>
      <c r="B209" s="133" t="s">
        <v>2666</v>
      </c>
      <c r="C209" s="133" t="s">
        <v>2448</v>
      </c>
      <c r="D209" s="122" t="s">
        <v>2455</v>
      </c>
      <c r="E209" s="124">
        <v>42769</v>
      </c>
      <c r="F209" s="125">
        <v>0.43055555555555558</v>
      </c>
      <c r="G209" s="124">
        <v>42813</v>
      </c>
      <c r="H209" s="125">
        <v>0.68055555555555547</v>
      </c>
      <c r="I209" s="123">
        <v>933</v>
      </c>
      <c r="J209" s="123">
        <v>574</v>
      </c>
      <c r="K209" s="142" t="str">
        <f t="shared" si="26"/>
        <v>G574</v>
      </c>
      <c r="L209" s="123">
        <v>258</v>
      </c>
      <c r="M209" s="142" t="str">
        <f t="shared" si="27"/>
        <v>R258</v>
      </c>
      <c r="N209" s="123">
        <v>540</v>
      </c>
      <c r="O209" s="142" t="str">
        <f t="shared" si="28"/>
        <v>G540</v>
      </c>
      <c r="P209" s="123">
        <v>149</v>
      </c>
      <c r="Q209" s="142" t="str">
        <f t="shared" si="29"/>
        <v>R149</v>
      </c>
      <c r="R209" s="123">
        <v>25</v>
      </c>
      <c r="S209" s="123">
        <v>23.3</v>
      </c>
      <c r="T209" s="123">
        <v>33.1</v>
      </c>
      <c r="U209" s="123">
        <v>16.3</v>
      </c>
      <c r="V209" s="123" t="s">
        <v>2187</v>
      </c>
      <c r="W209" s="126" t="s">
        <v>2195</v>
      </c>
      <c r="X209" s="126" t="s">
        <v>2187</v>
      </c>
      <c r="Y209" s="126"/>
      <c r="Z209" s="123">
        <v>12.2</v>
      </c>
      <c r="AA209" s="123" t="s">
        <v>2250</v>
      </c>
      <c r="AB209" s="123">
        <v>15.2</v>
      </c>
      <c r="AC209" s="123">
        <v>1</v>
      </c>
      <c r="AD209" s="123"/>
      <c r="AH209" s="123">
        <f t="shared" si="24"/>
        <v>574</v>
      </c>
      <c r="AI209" t="b">
        <f t="shared" si="30"/>
        <v>0</v>
      </c>
      <c r="AJ209" s="123">
        <f t="shared" si="25"/>
        <v>258</v>
      </c>
      <c r="AK209" t="b">
        <f t="shared" si="31"/>
        <v>0</v>
      </c>
    </row>
    <row r="210" spans="1:37">
      <c r="A210" s="121">
        <v>208</v>
      </c>
      <c r="B210" s="133" t="s">
        <v>2666</v>
      </c>
      <c r="C210" s="133" t="s">
        <v>2441</v>
      </c>
      <c r="D210" s="133" t="s">
        <v>2454</v>
      </c>
      <c r="E210" s="124">
        <v>42769</v>
      </c>
      <c r="F210" s="125">
        <v>0.40972222222222227</v>
      </c>
      <c r="G210" s="124">
        <v>42813</v>
      </c>
      <c r="H210" s="125">
        <v>0.71875</v>
      </c>
      <c r="I210" s="123">
        <v>929</v>
      </c>
      <c r="J210" s="123">
        <v>710</v>
      </c>
      <c r="K210" s="142" t="str">
        <f t="shared" si="26"/>
        <v>G710</v>
      </c>
      <c r="L210" s="123">
        <v>344</v>
      </c>
      <c r="M210" s="142" t="str">
        <f t="shared" si="27"/>
        <v>R344</v>
      </c>
      <c r="N210" s="123">
        <v>508</v>
      </c>
      <c r="O210" s="142" t="str">
        <f t="shared" si="28"/>
        <v>G508</v>
      </c>
      <c r="P210" s="123">
        <v>449</v>
      </c>
      <c r="Q210" s="142" t="str">
        <f t="shared" si="29"/>
        <v>R449</v>
      </c>
      <c r="R210" s="123">
        <v>23</v>
      </c>
      <c r="S210" s="123">
        <v>28.1</v>
      </c>
      <c r="T210" s="123">
        <v>31.9</v>
      </c>
      <c r="U210" s="123">
        <v>16.3</v>
      </c>
      <c r="V210" s="123" t="s">
        <v>2187</v>
      </c>
      <c r="W210" s="126" t="s">
        <v>2187</v>
      </c>
      <c r="X210" s="126" t="s">
        <v>2187</v>
      </c>
      <c r="Y210" s="126" t="s">
        <v>2187</v>
      </c>
      <c r="Z210" s="123">
        <v>7.9</v>
      </c>
      <c r="AA210" s="123" t="s">
        <v>2250</v>
      </c>
      <c r="AB210" s="123">
        <v>7.9</v>
      </c>
      <c r="AC210" s="123">
        <v>1</v>
      </c>
      <c r="AD210" s="123"/>
      <c r="AH210" s="123">
        <f t="shared" si="24"/>
        <v>710</v>
      </c>
      <c r="AI210" t="b">
        <f t="shared" si="30"/>
        <v>0</v>
      </c>
      <c r="AJ210" s="123">
        <f t="shared" si="25"/>
        <v>344</v>
      </c>
      <c r="AK210" t="b">
        <f t="shared" si="31"/>
        <v>0</v>
      </c>
    </row>
    <row r="211" spans="1:37">
      <c r="A211" s="121">
        <v>209</v>
      </c>
      <c r="B211" s="133" t="s">
        <v>2666</v>
      </c>
      <c r="C211" s="133" t="s">
        <v>2435</v>
      </c>
      <c r="D211" s="133" t="s">
        <v>2453</v>
      </c>
      <c r="E211" s="124">
        <v>42769</v>
      </c>
      <c r="F211" s="125">
        <v>0.45833333333333331</v>
      </c>
      <c r="G211" s="124">
        <v>42814</v>
      </c>
      <c r="H211" s="125">
        <v>0.42708333333333331</v>
      </c>
      <c r="I211" s="123">
        <v>935</v>
      </c>
      <c r="J211" s="123">
        <v>604</v>
      </c>
      <c r="K211" s="142" t="str">
        <f t="shared" si="26"/>
        <v>G604</v>
      </c>
      <c r="L211" s="123">
        <v>271</v>
      </c>
      <c r="M211" s="142" t="str">
        <f t="shared" si="27"/>
        <v>R271</v>
      </c>
      <c r="N211" s="123">
        <v>637</v>
      </c>
      <c r="O211" s="142" t="str">
        <f t="shared" si="28"/>
        <v>G637</v>
      </c>
      <c r="P211" s="123">
        <v>142</v>
      </c>
      <c r="Q211" s="142" t="str">
        <f t="shared" si="29"/>
        <v>R142</v>
      </c>
      <c r="R211" s="123">
        <v>25.8</v>
      </c>
      <c r="S211" s="123">
        <v>29.9</v>
      </c>
      <c r="T211" s="129">
        <v>23</v>
      </c>
      <c r="U211" s="129">
        <v>19.100000000000001</v>
      </c>
      <c r="V211" s="123" t="s">
        <v>2187</v>
      </c>
      <c r="W211" s="126" t="s">
        <v>2187</v>
      </c>
      <c r="X211" s="126" t="s">
        <v>2234</v>
      </c>
      <c r="Y211" s="126" t="s">
        <v>2187</v>
      </c>
      <c r="Z211" s="123">
        <v>5.13</v>
      </c>
      <c r="AA211" s="123" t="s">
        <v>2250</v>
      </c>
      <c r="AB211" s="123">
        <v>5.13</v>
      </c>
      <c r="AC211" s="123">
        <v>1</v>
      </c>
      <c r="AD211" s="123"/>
      <c r="AH211" s="123">
        <f t="shared" si="24"/>
        <v>604</v>
      </c>
      <c r="AI211" t="b">
        <f t="shared" si="30"/>
        <v>0</v>
      </c>
      <c r="AJ211" s="123">
        <f t="shared" si="25"/>
        <v>271</v>
      </c>
      <c r="AK211" t="b">
        <f t="shared" si="31"/>
        <v>0</v>
      </c>
    </row>
    <row r="212" spans="1:37">
      <c r="A212" s="121">
        <v>210</v>
      </c>
      <c r="B212" s="133" t="s">
        <v>2666</v>
      </c>
      <c r="C212" s="133" t="s">
        <v>2449</v>
      </c>
      <c r="D212" s="122" t="s">
        <v>2455</v>
      </c>
      <c r="E212" s="124">
        <v>42769</v>
      </c>
      <c r="F212" s="125">
        <v>0.43055555555555558</v>
      </c>
      <c r="G212" s="124">
        <v>42813</v>
      </c>
      <c r="H212" s="125">
        <v>0.68055555555555547</v>
      </c>
      <c r="I212" s="123">
        <v>933</v>
      </c>
      <c r="J212" s="123">
        <v>871</v>
      </c>
      <c r="K212" s="142" t="str">
        <f t="shared" si="26"/>
        <v>G871</v>
      </c>
      <c r="L212" s="123">
        <v>340</v>
      </c>
      <c r="M212" s="142" t="str">
        <f t="shared" si="27"/>
        <v>R340</v>
      </c>
      <c r="N212" s="123">
        <v>720</v>
      </c>
      <c r="O212" s="142" t="str">
        <f t="shared" si="28"/>
        <v>G720</v>
      </c>
      <c r="P212" s="123">
        <v>392</v>
      </c>
      <c r="Q212" s="142" t="str">
        <f t="shared" si="29"/>
        <v>R392</v>
      </c>
      <c r="R212" s="123">
        <v>24.6</v>
      </c>
      <c r="S212" s="123">
        <v>26.3</v>
      </c>
      <c r="T212" s="123">
        <v>32.200000000000003</v>
      </c>
      <c r="U212" s="123">
        <v>18.5</v>
      </c>
      <c r="V212" s="123" t="s">
        <v>2187</v>
      </c>
      <c r="W212" s="126" t="s">
        <v>2187</v>
      </c>
      <c r="X212" s="126" t="s">
        <v>2187</v>
      </c>
      <c r="Y212" s="126"/>
      <c r="Z212" s="123">
        <v>12.2</v>
      </c>
      <c r="AA212" s="123" t="s">
        <v>2250</v>
      </c>
      <c r="AB212" s="123">
        <v>15.2</v>
      </c>
      <c r="AC212" s="123">
        <v>1</v>
      </c>
      <c r="AD212" s="123"/>
      <c r="AH212" s="123">
        <f t="shared" si="24"/>
        <v>871</v>
      </c>
      <c r="AI212" t="b">
        <f t="shared" si="30"/>
        <v>0</v>
      </c>
      <c r="AJ212" s="123">
        <f t="shared" si="25"/>
        <v>340</v>
      </c>
      <c r="AK212" t="b">
        <f t="shared" si="31"/>
        <v>0</v>
      </c>
    </row>
    <row r="213" spans="1:37">
      <c r="A213" s="121">
        <v>211</v>
      </c>
      <c r="B213" s="133" t="s">
        <v>2666</v>
      </c>
      <c r="C213" s="133" t="s">
        <v>2426</v>
      </c>
      <c r="D213" s="133" t="s">
        <v>2452</v>
      </c>
      <c r="E213" s="124">
        <v>42769</v>
      </c>
      <c r="F213" s="125">
        <v>0.44444444444444442</v>
      </c>
      <c r="G213" s="124">
        <v>42814</v>
      </c>
      <c r="H213" s="125">
        <v>0.39583333333333331</v>
      </c>
      <c r="I213" s="123">
        <v>934</v>
      </c>
      <c r="J213" s="123">
        <v>822</v>
      </c>
      <c r="K213" s="142" t="str">
        <f t="shared" si="26"/>
        <v>G822</v>
      </c>
      <c r="L213" s="123">
        <v>381</v>
      </c>
      <c r="M213" s="142" t="str">
        <f t="shared" si="27"/>
        <v>R381</v>
      </c>
      <c r="N213" s="123">
        <v>796</v>
      </c>
      <c r="O213" s="142" t="str">
        <f t="shared" si="28"/>
        <v>G796</v>
      </c>
      <c r="P213" s="123">
        <v>589</v>
      </c>
      <c r="Q213" s="142" t="str">
        <f t="shared" si="29"/>
        <v>R589</v>
      </c>
      <c r="R213" s="123">
        <v>24.4</v>
      </c>
      <c r="S213" s="123">
        <v>23.1</v>
      </c>
      <c r="T213" s="123">
        <v>23.5</v>
      </c>
      <c r="U213" s="123">
        <v>10.6</v>
      </c>
      <c r="V213" s="123" t="s">
        <v>2187</v>
      </c>
      <c r="W213" s="126" t="s">
        <v>2187</v>
      </c>
      <c r="X213" s="126" t="s">
        <v>2187</v>
      </c>
      <c r="Y213" s="126" t="s">
        <v>2187</v>
      </c>
      <c r="Z213" s="123">
        <v>17.399999999999999</v>
      </c>
      <c r="AA213" s="123" t="s">
        <v>2250</v>
      </c>
      <c r="AB213" s="123">
        <v>13.8</v>
      </c>
      <c r="AC213" s="123">
        <v>1</v>
      </c>
      <c r="AD213" s="123"/>
      <c r="AH213" s="123">
        <f t="shared" si="24"/>
        <v>822</v>
      </c>
      <c r="AI213" t="b">
        <f t="shared" si="30"/>
        <v>0</v>
      </c>
      <c r="AJ213" s="123">
        <f t="shared" si="25"/>
        <v>381</v>
      </c>
      <c r="AK213" t="b">
        <f t="shared" si="31"/>
        <v>0</v>
      </c>
    </row>
    <row r="214" spans="1:37">
      <c r="A214" s="121">
        <v>212</v>
      </c>
      <c r="B214" s="133" t="s">
        <v>2666</v>
      </c>
      <c r="C214" s="133" t="s">
        <v>2442</v>
      </c>
      <c r="D214" s="133" t="s">
        <v>2454</v>
      </c>
      <c r="E214" s="124">
        <v>42769</v>
      </c>
      <c r="F214" s="125">
        <v>0.39930555555555558</v>
      </c>
      <c r="G214" s="124">
        <v>42813</v>
      </c>
      <c r="H214" s="125">
        <v>0.71875</v>
      </c>
      <c r="I214" s="123">
        <v>929</v>
      </c>
      <c r="J214" s="123">
        <v>786</v>
      </c>
      <c r="K214" s="142" t="str">
        <f t="shared" si="26"/>
        <v>G786</v>
      </c>
      <c r="L214" s="123">
        <v>93</v>
      </c>
      <c r="M214" s="142" t="str">
        <f t="shared" si="27"/>
        <v>R93</v>
      </c>
      <c r="N214" s="123">
        <v>560</v>
      </c>
      <c r="O214" s="142" t="str">
        <f t="shared" si="28"/>
        <v>G560</v>
      </c>
      <c r="P214" s="123">
        <v>130</v>
      </c>
      <c r="Q214" s="142" t="str">
        <f t="shared" si="29"/>
        <v>R130</v>
      </c>
      <c r="R214" s="123">
        <v>23.3</v>
      </c>
      <c r="S214" s="123">
        <v>28.5</v>
      </c>
      <c r="T214" s="123">
        <v>31.6</v>
      </c>
      <c r="U214" s="123">
        <v>16.399999999999999</v>
      </c>
      <c r="V214" s="123"/>
      <c r="W214" s="126" t="s">
        <v>2234</v>
      </c>
      <c r="X214" s="126" t="s">
        <v>2187</v>
      </c>
      <c r="Y214" s="126" t="s">
        <v>2187</v>
      </c>
      <c r="Z214" s="123">
        <v>7.9</v>
      </c>
      <c r="AA214" s="123" t="s">
        <v>2250</v>
      </c>
      <c r="AB214" s="123">
        <v>7.9</v>
      </c>
      <c r="AC214" s="123">
        <v>1</v>
      </c>
      <c r="AD214" s="123"/>
      <c r="AH214" s="123">
        <f t="shared" si="24"/>
        <v>786</v>
      </c>
      <c r="AI214" t="b">
        <f t="shared" si="30"/>
        <v>0</v>
      </c>
      <c r="AJ214" s="123">
        <f t="shared" si="25"/>
        <v>93</v>
      </c>
      <c r="AK214" t="b">
        <f t="shared" si="31"/>
        <v>0</v>
      </c>
    </row>
    <row r="215" spans="1:37">
      <c r="A215" s="121">
        <v>213</v>
      </c>
      <c r="B215" s="133" t="s">
        <v>2385</v>
      </c>
      <c r="C215" s="133" t="s">
        <v>2450</v>
      </c>
      <c r="D215" s="122" t="s">
        <v>2455</v>
      </c>
      <c r="E215" s="124">
        <v>42769</v>
      </c>
      <c r="F215" s="125">
        <v>0.4375</v>
      </c>
      <c r="G215" s="124">
        <v>42813</v>
      </c>
      <c r="H215" s="125">
        <v>0.68055555555555547</v>
      </c>
      <c r="I215" s="123">
        <v>933</v>
      </c>
      <c r="J215" s="123">
        <v>572</v>
      </c>
      <c r="K215" s="142" t="str">
        <f t="shared" si="26"/>
        <v>G572</v>
      </c>
      <c r="L215" s="123">
        <v>88</v>
      </c>
      <c r="M215" s="142" t="str">
        <f t="shared" si="27"/>
        <v>R88</v>
      </c>
      <c r="N215" s="123">
        <v>716</v>
      </c>
      <c r="O215" s="142" t="str">
        <f t="shared" si="28"/>
        <v>G716</v>
      </c>
      <c r="P215" s="123">
        <v>111</v>
      </c>
      <c r="Q215" s="142" t="str">
        <f t="shared" si="29"/>
        <v>R111</v>
      </c>
      <c r="R215" s="123">
        <v>25</v>
      </c>
      <c r="S215" s="123">
        <v>24</v>
      </c>
      <c r="T215" s="123">
        <v>31.3</v>
      </c>
      <c r="U215" s="123">
        <v>15.5</v>
      </c>
      <c r="V215" s="123" t="s">
        <v>2187</v>
      </c>
      <c r="W215" s="126" t="s">
        <v>2187</v>
      </c>
      <c r="X215" s="126" t="s">
        <v>2187</v>
      </c>
      <c r="Y215" s="126"/>
      <c r="Z215" s="123">
        <v>12.2</v>
      </c>
      <c r="AA215" s="123" t="s">
        <v>2250</v>
      </c>
      <c r="AB215" s="123">
        <v>15.2</v>
      </c>
      <c r="AC215" s="123">
        <v>1</v>
      </c>
      <c r="AD215" s="123"/>
      <c r="AH215" s="123">
        <f t="shared" si="24"/>
        <v>572</v>
      </c>
      <c r="AI215" t="b">
        <f t="shared" si="30"/>
        <v>0</v>
      </c>
      <c r="AJ215" s="123">
        <f t="shared" si="25"/>
        <v>88</v>
      </c>
      <c r="AK215" t="b">
        <f t="shared" si="31"/>
        <v>0</v>
      </c>
    </row>
    <row r="216" spans="1:37">
      <c r="A216" s="121">
        <v>214</v>
      </c>
      <c r="B216" s="133" t="s">
        <v>2385</v>
      </c>
      <c r="C216" s="133" t="s">
        <v>2443</v>
      </c>
      <c r="D216" s="133" t="s">
        <v>2454</v>
      </c>
      <c r="E216" s="124">
        <v>42769</v>
      </c>
      <c r="F216" s="125">
        <v>0.41319444444444442</v>
      </c>
      <c r="G216" s="124">
        <v>42813</v>
      </c>
      <c r="H216" s="125">
        <v>0.71875</v>
      </c>
      <c r="I216" s="123">
        <v>929</v>
      </c>
      <c r="J216" s="123">
        <v>761</v>
      </c>
      <c r="K216" s="142" t="str">
        <f t="shared" si="26"/>
        <v>G761</v>
      </c>
      <c r="L216" s="123">
        <v>383</v>
      </c>
      <c r="M216" s="142" t="str">
        <f t="shared" si="27"/>
        <v>R383</v>
      </c>
      <c r="N216" s="123">
        <v>581</v>
      </c>
      <c r="O216" s="142" t="str">
        <f t="shared" si="28"/>
        <v>G581</v>
      </c>
      <c r="P216" s="123">
        <v>412</v>
      </c>
      <c r="Q216" s="142" t="str">
        <f t="shared" si="29"/>
        <v>R412</v>
      </c>
      <c r="R216" s="123">
        <v>24.2</v>
      </c>
      <c r="S216" s="123">
        <v>26.9</v>
      </c>
      <c r="T216" s="123">
        <v>34.200000000000003</v>
      </c>
      <c r="U216" s="123">
        <v>12</v>
      </c>
      <c r="V216" s="123" t="s">
        <v>2187</v>
      </c>
      <c r="W216" s="126" t="s">
        <v>2187</v>
      </c>
      <c r="X216" s="126" t="s">
        <v>2187</v>
      </c>
      <c r="Y216" s="126" t="s">
        <v>2187</v>
      </c>
      <c r="Z216" s="123">
        <v>7.9</v>
      </c>
      <c r="AA216" s="123" t="s">
        <v>2250</v>
      </c>
      <c r="AB216" s="123">
        <v>7.9</v>
      </c>
      <c r="AC216" s="123">
        <v>1</v>
      </c>
      <c r="AD216" s="123"/>
      <c r="AH216" s="123">
        <f t="shared" si="24"/>
        <v>761</v>
      </c>
      <c r="AI216" t="b">
        <f t="shared" si="30"/>
        <v>0</v>
      </c>
      <c r="AJ216" s="123">
        <f t="shared" si="25"/>
        <v>383</v>
      </c>
      <c r="AK216" t="b">
        <f t="shared" si="31"/>
        <v>0</v>
      </c>
    </row>
    <row r="217" spans="1:37">
      <c r="A217" s="121">
        <v>215</v>
      </c>
      <c r="B217" s="133" t="s">
        <v>2385</v>
      </c>
      <c r="C217" s="133" t="s">
        <v>2427</v>
      </c>
      <c r="D217" s="133" t="s">
        <v>2452</v>
      </c>
      <c r="E217" s="124">
        <v>42769</v>
      </c>
      <c r="F217" s="125">
        <v>0.47916666666666669</v>
      </c>
      <c r="G217" s="124">
        <v>42814</v>
      </c>
      <c r="H217" s="125">
        <v>0.39583333333333331</v>
      </c>
      <c r="I217" s="123">
        <v>934</v>
      </c>
      <c r="J217" s="123">
        <v>858</v>
      </c>
      <c r="K217" s="142" t="str">
        <f t="shared" si="26"/>
        <v>G858</v>
      </c>
      <c r="L217" s="123">
        <v>145</v>
      </c>
      <c r="M217" s="142" t="str">
        <f t="shared" si="27"/>
        <v>R145</v>
      </c>
      <c r="N217" s="123">
        <v>718</v>
      </c>
      <c r="O217" s="142" t="str">
        <f t="shared" si="28"/>
        <v>G718</v>
      </c>
      <c r="P217" s="123">
        <v>434</v>
      </c>
      <c r="Q217" s="142" t="str">
        <f t="shared" si="29"/>
        <v>R434</v>
      </c>
      <c r="R217" s="123">
        <v>27.6</v>
      </c>
      <c r="S217" s="123">
        <v>27.2</v>
      </c>
      <c r="T217" s="123">
        <v>24.9</v>
      </c>
      <c r="U217" s="123">
        <v>13.4</v>
      </c>
      <c r="V217" s="123" t="s">
        <v>2187</v>
      </c>
      <c r="W217" s="126"/>
      <c r="X217" s="126" t="s">
        <v>2187</v>
      </c>
      <c r="Y217" s="126" t="s">
        <v>2187</v>
      </c>
      <c r="Z217" s="123">
        <v>17.399999999999999</v>
      </c>
      <c r="AA217" s="123" t="s">
        <v>2250</v>
      </c>
      <c r="AB217" s="123">
        <v>13.8</v>
      </c>
      <c r="AC217" s="123">
        <v>1</v>
      </c>
      <c r="AD217" s="123"/>
      <c r="AH217" s="123">
        <f t="shared" si="24"/>
        <v>858</v>
      </c>
      <c r="AI217" t="b">
        <f t="shared" si="30"/>
        <v>0</v>
      </c>
      <c r="AJ217" s="123">
        <f t="shared" si="25"/>
        <v>145</v>
      </c>
      <c r="AK217" t="b">
        <f t="shared" si="31"/>
        <v>0</v>
      </c>
    </row>
    <row r="218" spans="1:37">
      <c r="A218" s="121">
        <v>216</v>
      </c>
      <c r="B218" s="133" t="s">
        <v>2385</v>
      </c>
      <c r="C218" s="133" t="s">
        <v>2436</v>
      </c>
      <c r="D218" s="133" t="s">
        <v>2453</v>
      </c>
      <c r="E218" s="124">
        <v>42769</v>
      </c>
      <c r="F218" s="125">
        <v>0.46180555555555558</v>
      </c>
      <c r="G218" s="124">
        <v>42814</v>
      </c>
      <c r="H218" s="125">
        <v>0.42708333333333331</v>
      </c>
      <c r="I218" s="123">
        <v>935</v>
      </c>
      <c r="J218" s="123">
        <v>755</v>
      </c>
      <c r="K218" s="142" t="str">
        <f t="shared" si="26"/>
        <v>G755</v>
      </c>
      <c r="L218" s="123">
        <v>241</v>
      </c>
      <c r="M218" s="142" t="str">
        <f t="shared" si="27"/>
        <v>R241</v>
      </c>
      <c r="N218" s="123">
        <v>613</v>
      </c>
      <c r="O218" s="142" t="str">
        <f t="shared" si="28"/>
        <v>G613</v>
      </c>
      <c r="P218" s="123">
        <v>457</v>
      </c>
      <c r="Q218" s="142" t="str">
        <f t="shared" si="29"/>
        <v>R457</v>
      </c>
      <c r="R218" s="123">
        <v>25.6</v>
      </c>
      <c r="S218" s="123">
        <v>25.3</v>
      </c>
      <c r="T218" s="129">
        <v>24.5</v>
      </c>
      <c r="U218" s="129">
        <v>16</v>
      </c>
      <c r="V218" s="123" t="s">
        <v>2230</v>
      </c>
      <c r="W218" s="126" t="s">
        <v>2179</v>
      </c>
      <c r="X218" s="126" t="s">
        <v>2187</v>
      </c>
      <c r="Y218" s="126" t="s">
        <v>2187</v>
      </c>
      <c r="Z218" s="123">
        <v>5.13</v>
      </c>
      <c r="AA218" s="123" t="s">
        <v>2250</v>
      </c>
      <c r="AB218" s="123">
        <v>5.13</v>
      </c>
      <c r="AC218" s="123">
        <v>1</v>
      </c>
      <c r="AD218" s="123"/>
      <c r="AH218" s="123">
        <f t="shared" si="24"/>
        <v>755</v>
      </c>
      <c r="AI218" t="b">
        <f t="shared" si="30"/>
        <v>0</v>
      </c>
      <c r="AJ218" s="123">
        <f t="shared" si="25"/>
        <v>241</v>
      </c>
      <c r="AK218" t="b">
        <f t="shared" si="31"/>
        <v>0</v>
      </c>
    </row>
    <row r="219" spans="1:37">
      <c r="A219" s="121">
        <v>217</v>
      </c>
      <c r="B219" s="133" t="s">
        <v>2428</v>
      </c>
      <c r="C219" s="133" t="s">
        <v>2429</v>
      </c>
      <c r="D219" s="133" t="s">
        <v>2452</v>
      </c>
      <c r="E219" s="124">
        <v>42769</v>
      </c>
      <c r="F219" s="125">
        <v>0.4513888888888889</v>
      </c>
      <c r="G219" s="124">
        <v>42814</v>
      </c>
      <c r="H219" s="125">
        <v>0.39583333333333331</v>
      </c>
      <c r="I219" s="123">
        <v>934</v>
      </c>
      <c r="J219" s="123">
        <v>795</v>
      </c>
      <c r="K219" s="142" t="str">
        <f t="shared" si="26"/>
        <v>G795</v>
      </c>
      <c r="L219" s="123">
        <v>302</v>
      </c>
      <c r="M219" s="142" t="str">
        <f t="shared" si="27"/>
        <v>R302</v>
      </c>
      <c r="N219" s="123">
        <v>804</v>
      </c>
      <c r="O219" s="142" t="str">
        <f t="shared" si="28"/>
        <v>G804</v>
      </c>
      <c r="P219" s="123">
        <v>410</v>
      </c>
      <c r="Q219" s="142" t="str">
        <f t="shared" si="29"/>
        <v>R410</v>
      </c>
      <c r="R219" s="123">
        <v>26.7</v>
      </c>
      <c r="S219" s="123">
        <v>24.4</v>
      </c>
      <c r="T219" s="123">
        <v>24.3</v>
      </c>
      <c r="U219" s="123">
        <v>15.7</v>
      </c>
      <c r="V219" s="123" t="s">
        <v>2187</v>
      </c>
      <c r="W219" s="126" t="s">
        <v>2187</v>
      </c>
      <c r="X219" s="126" t="s">
        <v>2187</v>
      </c>
      <c r="Y219" s="126"/>
      <c r="Z219" s="123">
        <v>17.399999999999999</v>
      </c>
      <c r="AA219" s="123" t="s">
        <v>2250</v>
      </c>
      <c r="AB219" s="123">
        <v>13.8</v>
      </c>
      <c r="AC219" s="123">
        <v>1</v>
      </c>
      <c r="AD219" s="123"/>
      <c r="AH219" s="123">
        <f t="shared" si="24"/>
        <v>795</v>
      </c>
      <c r="AI219" t="b">
        <f t="shared" si="30"/>
        <v>0</v>
      </c>
      <c r="AJ219" s="123">
        <f t="shared" si="25"/>
        <v>302</v>
      </c>
      <c r="AK219" t="b">
        <f t="shared" si="31"/>
        <v>0</v>
      </c>
    </row>
    <row r="220" spans="1:37">
      <c r="A220" s="121">
        <v>218</v>
      </c>
      <c r="B220" s="133" t="s">
        <v>2428</v>
      </c>
      <c r="C220" s="133" t="s">
        <v>2437</v>
      </c>
      <c r="D220" s="133" t="s">
        <v>2453</v>
      </c>
      <c r="E220" s="124">
        <v>42769</v>
      </c>
      <c r="F220" s="125">
        <v>0.47222222222222227</v>
      </c>
      <c r="G220" s="124">
        <v>42814</v>
      </c>
      <c r="H220" s="125">
        <v>0.42708333333333331</v>
      </c>
      <c r="I220" s="123">
        <v>935</v>
      </c>
      <c r="J220" s="123">
        <v>251</v>
      </c>
      <c r="K220" s="142" t="str">
        <f t="shared" si="26"/>
        <v>G251</v>
      </c>
      <c r="L220" s="123">
        <v>442</v>
      </c>
      <c r="M220" s="142" t="str">
        <f t="shared" si="27"/>
        <v>R442</v>
      </c>
      <c r="N220" s="123">
        <v>587</v>
      </c>
      <c r="O220" s="142" t="str">
        <f t="shared" si="28"/>
        <v>G587</v>
      </c>
      <c r="P220" s="123">
        <v>103</v>
      </c>
      <c r="Q220" s="142" t="str">
        <f t="shared" si="29"/>
        <v>R103</v>
      </c>
      <c r="R220" s="123">
        <v>25.5</v>
      </c>
      <c r="S220" s="123">
        <v>24.7</v>
      </c>
      <c r="T220" s="129">
        <v>23.5</v>
      </c>
      <c r="U220" s="129">
        <v>19.5</v>
      </c>
      <c r="V220" s="123" t="s">
        <v>2187</v>
      </c>
      <c r="W220" s="126" t="s">
        <v>2187</v>
      </c>
      <c r="X220" s="126" t="s">
        <v>2187</v>
      </c>
      <c r="Y220" s="126" t="s">
        <v>2187</v>
      </c>
      <c r="Z220" s="123">
        <v>5.13</v>
      </c>
      <c r="AA220" s="123" t="s">
        <v>2250</v>
      </c>
      <c r="AB220" s="123">
        <v>5.13</v>
      </c>
      <c r="AC220" s="123">
        <v>1</v>
      </c>
      <c r="AD220" s="123"/>
      <c r="AH220" s="123">
        <f t="shared" si="24"/>
        <v>251</v>
      </c>
      <c r="AI220" t="b">
        <f t="shared" si="30"/>
        <v>0</v>
      </c>
      <c r="AJ220" s="123">
        <f t="shared" si="25"/>
        <v>442</v>
      </c>
      <c r="AK220" t="b">
        <f t="shared" si="31"/>
        <v>0</v>
      </c>
    </row>
    <row r="221" spans="1:37">
      <c r="A221" s="121">
        <v>219</v>
      </c>
      <c r="B221" s="133" t="s">
        <v>2428</v>
      </c>
      <c r="C221" s="133" t="s">
        <v>2444</v>
      </c>
      <c r="D221" s="133" t="s">
        <v>2454</v>
      </c>
      <c r="E221" s="124">
        <v>42769</v>
      </c>
      <c r="F221" s="125">
        <v>0.40972222222222227</v>
      </c>
      <c r="G221" s="124">
        <v>42813</v>
      </c>
      <c r="H221" s="125">
        <v>0.71875</v>
      </c>
      <c r="I221" s="123">
        <v>929</v>
      </c>
      <c r="J221" s="164">
        <v>727</v>
      </c>
      <c r="K221" s="142" t="str">
        <f t="shared" si="26"/>
        <v>G727</v>
      </c>
      <c r="L221" s="164">
        <v>176</v>
      </c>
      <c r="M221" s="142" t="str">
        <f t="shared" si="27"/>
        <v>R176</v>
      </c>
      <c r="N221" s="164">
        <v>491</v>
      </c>
      <c r="O221" s="142" t="str">
        <f t="shared" si="28"/>
        <v>G491</v>
      </c>
      <c r="P221" s="164">
        <v>356</v>
      </c>
      <c r="Q221" s="142" t="str">
        <f t="shared" si="29"/>
        <v>R356</v>
      </c>
      <c r="R221" s="123">
        <v>23.3</v>
      </c>
      <c r="S221" s="123">
        <v>29.5</v>
      </c>
      <c r="T221" s="123">
        <v>31.8</v>
      </c>
      <c r="U221" s="123">
        <v>14</v>
      </c>
      <c r="V221" s="123" t="s">
        <v>2200</v>
      </c>
      <c r="W221" s="126" t="s">
        <v>2187</v>
      </c>
      <c r="X221" s="126" t="s">
        <v>2187</v>
      </c>
      <c r="Y221" s="126"/>
      <c r="Z221" s="123">
        <v>7.9</v>
      </c>
      <c r="AA221" s="123" t="s">
        <v>2250</v>
      </c>
      <c r="AB221" s="123">
        <v>7.9</v>
      </c>
      <c r="AC221" s="123">
        <v>1</v>
      </c>
      <c r="AD221" s="123"/>
      <c r="AH221" s="123">
        <f t="shared" si="24"/>
        <v>727</v>
      </c>
      <c r="AI221" t="b">
        <f t="shared" si="30"/>
        <v>0</v>
      </c>
      <c r="AJ221" s="123">
        <f t="shared" si="25"/>
        <v>176</v>
      </c>
      <c r="AK221" t="b">
        <f t="shared" si="31"/>
        <v>0</v>
      </c>
    </row>
    <row r="222" spans="1:37">
      <c r="A222" s="121">
        <v>220</v>
      </c>
      <c r="B222" s="133" t="s">
        <v>2428</v>
      </c>
      <c r="C222" s="133" t="s">
        <v>2451</v>
      </c>
      <c r="D222" s="122" t="s">
        <v>2455</v>
      </c>
      <c r="E222" s="124">
        <v>42769</v>
      </c>
      <c r="F222" s="125">
        <v>0.4375</v>
      </c>
      <c r="G222" s="124">
        <v>42813</v>
      </c>
      <c r="H222" s="125">
        <v>0.68055555555555547</v>
      </c>
      <c r="I222" s="123">
        <v>933</v>
      </c>
      <c r="J222" s="123">
        <v>782</v>
      </c>
      <c r="K222" s="142" t="str">
        <f t="shared" si="26"/>
        <v>G782</v>
      </c>
      <c r="L222" s="123">
        <v>250</v>
      </c>
      <c r="M222" s="142" t="str">
        <f t="shared" si="27"/>
        <v>R250</v>
      </c>
      <c r="N222" s="123">
        <v>849</v>
      </c>
      <c r="O222" s="142" t="str">
        <f t="shared" si="28"/>
        <v>G849</v>
      </c>
      <c r="P222" s="123">
        <v>319</v>
      </c>
      <c r="Q222" s="142" t="str">
        <f t="shared" si="29"/>
        <v>R319</v>
      </c>
      <c r="R222" s="123">
        <v>23.8</v>
      </c>
      <c r="S222" s="123">
        <v>25.9</v>
      </c>
      <c r="T222" s="123">
        <v>32.1</v>
      </c>
      <c r="U222" s="123">
        <v>15.8</v>
      </c>
      <c r="V222" s="123" t="s">
        <v>2187</v>
      </c>
      <c r="W222" s="126" t="s">
        <v>2179</v>
      </c>
      <c r="X222" s="126" t="s">
        <v>2187</v>
      </c>
      <c r="Y222" s="126"/>
      <c r="Z222" s="123">
        <v>12.2</v>
      </c>
      <c r="AA222" s="123" t="s">
        <v>2250</v>
      </c>
      <c r="AB222" s="123">
        <v>15.2</v>
      </c>
      <c r="AC222" s="123">
        <v>1</v>
      </c>
      <c r="AD222" s="123"/>
      <c r="AH222" s="123">
        <f t="shared" si="24"/>
        <v>782</v>
      </c>
      <c r="AI222" t="b">
        <f t="shared" si="30"/>
        <v>0</v>
      </c>
      <c r="AJ222" s="123">
        <f t="shared" si="25"/>
        <v>250</v>
      </c>
      <c r="AK222" t="b">
        <f t="shared" si="31"/>
        <v>0</v>
      </c>
    </row>
    <row r="223" spans="1:37">
      <c r="A223" s="118" t="s">
        <v>2164</v>
      </c>
      <c r="B223" s="119" t="s">
        <v>2165</v>
      </c>
      <c r="C223" s="119" t="s">
        <v>2166</v>
      </c>
      <c r="D223" s="119" t="s">
        <v>2167</v>
      </c>
      <c r="E223" s="117" t="s">
        <v>1141</v>
      </c>
      <c r="F223" s="117" t="s">
        <v>2168</v>
      </c>
      <c r="G223" s="117" t="s">
        <v>1141</v>
      </c>
      <c r="H223" s="117" t="s">
        <v>2168</v>
      </c>
      <c r="I223" s="117" t="s">
        <v>2169</v>
      </c>
      <c r="J223" s="117" t="s">
        <v>1147</v>
      </c>
      <c r="K223" s="117"/>
      <c r="L223" s="117" t="s">
        <v>298</v>
      </c>
      <c r="M223" s="117"/>
      <c r="N223" s="117" t="s">
        <v>2170</v>
      </c>
      <c r="O223" s="117"/>
      <c r="P223" s="117" t="s">
        <v>2171</v>
      </c>
      <c r="Q223" s="117"/>
      <c r="R223" s="118" t="s">
        <v>2172</v>
      </c>
      <c r="S223" s="118" t="s">
        <v>2173</v>
      </c>
      <c r="T223" s="118" t="s">
        <v>2172</v>
      </c>
      <c r="U223" s="118" t="s">
        <v>2173</v>
      </c>
      <c r="V223" s="119" t="s">
        <v>1147</v>
      </c>
      <c r="W223" s="119" t="s">
        <v>298</v>
      </c>
      <c r="X223" s="119" t="s">
        <v>2174</v>
      </c>
      <c r="Y223" s="119" t="s">
        <v>2171</v>
      </c>
      <c r="Z223" s="120" t="s">
        <v>2175</v>
      </c>
      <c r="AA223" s="120" t="s">
        <v>3158</v>
      </c>
      <c r="AB223" s="120" t="s">
        <v>2175</v>
      </c>
      <c r="AC223" s="120" t="s">
        <v>3156</v>
      </c>
      <c r="AD223" s="155"/>
      <c r="AE223" s="158"/>
      <c r="AH223" s="166" t="s">
        <v>2475</v>
      </c>
      <c r="AI223" t="b">
        <f t="shared" si="30"/>
        <v>0</v>
      </c>
      <c r="AJ223" s="166" t="s">
        <v>2476</v>
      </c>
      <c r="AK223" t="b">
        <f t="shared" si="31"/>
        <v>0</v>
      </c>
    </row>
    <row r="224" spans="1:37">
      <c r="A224" s="135" t="s">
        <v>2154</v>
      </c>
      <c r="B224" s="135"/>
      <c r="C224" s="135"/>
      <c r="D224" s="135"/>
      <c r="E224" s="135" t="s">
        <v>2155</v>
      </c>
      <c r="F224" s="135"/>
      <c r="G224" s="135" t="s">
        <v>2156</v>
      </c>
      <c r="H224" s="135"/>
      <c r="I224" s="117" t="s">
        <v>2157</v>
      </c>
      <c r="J224" s="135" t="s">
        <v>2158</v>
      </c>
      <c r="K224" s="135"/>
      <c r="L224" s="135"/>
      <c r="M224" s="135"/>
      <c r="N224" s="135"/>
      <c r="O224" s="135"/>
      <c r="P224" s="135"/>
      <c r="Q224" s="135"/>
      <c r="R224" s="135" t="s">
        <v>2459</v>
      </c>
      <c r="S224" s="135"/>
      <c r="T224" s="135" t="s">
        <v>2458</v>
      </c>
      <c r="U224" s="135"/>
      <c r="V224" s="147" t="s">
        <v>2159</v>
      </c>
      <c r="W224" s="147"/>
      <c r="X224" s="147"/>
      <c r="Y224" s="147"/>
      <c r="Z224" s="150" t="s">
        <v>2160</v>
      </c>
      <c r="AA224" s="150"/>
      <c r="AB224" s="150" t="s">
        <v>2161</v>
      </c>
      <c r="AC224" s="150"/>
      <c r="AD224" s="155" t="s">
        <v>2162</v>
      </c>
      <c r="AE224" s="158" t="s">
        <v>2163</v>
      </c>
      <c r="AH224" s="142">
        <f t="shared" ref="AH224" si="32">N3</f>
        <v>752</v>
      </c>
      <c r="AI224" t="b">
        <f t="shared" si="30"/>
        <v>0</v>
      </c>
      <c r="AJ224" s="139">
        <f t="shared" ref="AJ224" si="33">P3</f>
        <v>133</v>
      </c>
      <c r="AK224" t="b">
        <f t="shared" si="31"/>
        <v>0</v>
      </c>
    </row>
    <row r="225" spans="1:37">
      <c r="AH225" s="123">
        <f t="shared" ref="AH225:AH256" si="34">N4</f>
        <v>737</v>
      </c>
      <c r="AI225" t="b">
        <f t="shared" si="30"/>
        <v>0</v>
      </c>
      <c r="AJ225" s="123">
        <f t="shared" ref="AJ225:AJ256" si="35">P4</f>
        <v>527</v>
      </c>
      <c r="AK225" t="b">
        <f t="shared" si="31"/>
        <v>0</v>
      </c>
    </row>
    <row r="226" spans="1:37">
      <c r="A226" t="s">
        <v>2478</v>
      </c>
      <c r="AH226" s="123">
        <f t="shared" si="34"/>
        <v>661</v>
      </c>
      <c r="AI226" t="b">
        <f t="shared" si="30"/>
        <v>0</v>
      </c>
      <c r="AJ226" s="123">
        <f t="shared" si="35"/>
        <v>498</v>
      </c>
      <c r="AK226" t="b">
        <f t="shared" si="31"/>
        <v>0</v>
      </c>
    </row>
    <row r="227" spans="1:37">
      <c r="AH227" s="123">
        <f t="shared" si="34"/>
        <v>532</v>
      </c>
      <c r="AI227" t="b">
        <f t="shared" si="30"/>
        <v>0</v>
      </c>
      <c r="AJ227" s="123">
        <f t="shared" si="35"/>
        <v>508</v>
      </c>
      <c r="AK227" t="b">
        <f t="shared" si="31"/>
        <v>0</v>
      </c>
    </row>
    <row r="228" spans="1:37">
      <c r="AH228" s="123">
        <f t="shared" si="34"/>
        <v>577</v>
      </c>
      <c r="AI228" t="b">
        <f t="shared" si="30"/>
        <v>0</v>
      </c>
      <c r="AJ228" s="123">
        <f t="shared" si="35"/>
        <v>38</v>
      </c>
      <c r="AK228" t="b">
        <f t="shared" si="31"/>
        <v>0</v>
      </c>
    </row>
    <row r="229" spans="1:37">
      <c r="AH229" s="123">
        <f t="shared" si="34"/>
        <v>634</v>
      </c>
      <c r="AI229" t="b">
        <f t="shared" si="30"/>
        <v>0</v>
      </c>
      <c r="AJ229" s="123">
        <f t="shared" si="35"/>
        <v>59</v>
      </c>
      <c r="AK229" t="b">
        <f t="shared" si="31"/>
        <v>0</v>
      </c>
    </row>
    <row r="230" spans="1:37">
      <c r="AH230" s="123">
        <f t="shared" si="34"/>
        <v>665</v>
      </c>
      <c r="AI230" t="b">
        <f t="shared" si="30"/>
        <v>0</v>
      </c>
      <c r="AJ230" s="123">
        <f t="shared" si="35"/>
        <v>398</v>
      </c>
      <c r="AK230" t="b">
        <f t="shared" si="31"/>
        <v>0</v>
      </c>
    </row>
    <row r="231" spans="1:37">
      <c r="AH231" s="123">
        <f t="shared" si="34"/>
        <v>701</v>
      </c>
      <c r="AI231" t="b">
        <f t="shared" si="30"/>
        <v>0</v>
      </c>
      <c r="AJ231" s="123">
        <f t="shared" si="35"/>
        <v>512</v>
      </c>
      <c r="AK231" t="b">
        <f t="shared" si="31"/>
        <v>0</v>
      </c>
    </row>
    <row r="232" spans="1:37">
      <c r="AH232" s="123">
        <f t="shared" si="34"/>
        <v>476</v>
      </c>
      <c r="AI232" t="b">
        <f t="shared" si="30"/>
        <v>0</v>
      </c>
      <c r="AJ232" s="123">
        <f t="shared" si="35"/>
        <v>101</v>
      </c>
      <c r="AK232" t="b">
        <f t="shared" si="31"/>
        <v>0</v>
      </c>
    </row>
    <row r="233" spans="1:37">
      <c r="AH233" s="123">
        <f t="shared" si="34"/>
        <v>606</v>
      </c>
      <c r="AI233" t="b">
        <f t="shared" si="30"/>
        <v>0</v>
      </c>
      <c r="AJ233" s="123">
        <f t="shared" si="35"/>
        <v>515</v>
      </c>
      <c r="AK233" t="b">
        <f t="shared" si="31"/>
        <v>0</v>
      </c>
    </row>
    <row r="234" spans="1:37">
      <c r="AH234" s="123">
        <f t="shared" si="34"/>
        <v>523</v>
      </c>
      <c r="AI234" t="b">
        <f t="shared" si="30"/>
        <v>0</v>
      </c>
      <c r="AJ234" s="123">
        <f t="shared" si="35"/>
        <v>2</v>
      </c>
      <c r="AK234" t="b">
        <f t="shared" si="31"/>
        <v>0</v>
      </c>
    </row>
    <row r="235" spans="1:37">
      <c r="AH235" s="123">
        <f t="shared" si="34"/>
        <v>490</v>
      </c>
      <c r="AI235" t="b">
        <f t="shared" si="30"/>
        <v>0</v>
      </c>
      <c r="AJ235" s="123">
        <f t="shared" si="35"/>
        <v>123</v>
      </c>
      <c r="AK235" t="b">
        <f t="shared" si="31"/>
        <v>0</v>
      </c>
    </row>
    <row r="236" spans="1:37">
      <c r="AH236" s="123">
        <f t="shared" si="34"/>
        <v>241</v>
      </c>
      <c r="AI236" t="b">
        <f t="shared" si="30"/>
        <v>0</v>
      </c>
      <c r="AJ236" s="123">
        <f t="shared" si="35"/>
        <v>3</v>
      </c>
      <c r="AK236" t="b">
        <f t="shared" si="31"/>
        <v>0</v>
      </c>
    </row>
    <row r="237" spans="1:37">
      <c r="AH237" s="129">
        <f t="shared" si="34"/>
        <v>503</v>
      </c>
      <c r="AI237" t="b">
        <f t="shared" si="30"/>
        <v>0</v>
      </c>
      <c r="AJ237" s="123">
        <f t="shared" si="35"/>
        <v>282</v>
      </c>
      <c r="AK237" t="b">
        <f t="shared" si="31"/>
        <v>0</v>
      </c>
    </row>
    <row r="238" spans="1:37">
      <c r="AH238" s="123">
        <f t="shared" si="34"/>
        <v>685</v>
      </c>
      <c r="AI238" t="b">
        <f t="shared" si="30"/>
        <v>0</v>
      </c>
      <c r="AJ238" s="123">
        <f t="shared" si="35"/>
        <v>99</v>
      </c>
      <c r="AK238" t="b">
        <f t="shared" si="31"/>
        <v>0</v>
      </c>
    </row>
    <row r="239" spans="1:37">
      <c r="AH239" s="123">
        <f t="shared" si="34"/>
        <v>644</v>
      </c>
      <c r="AI239" t="b">
        <f t="shared" si="30"/>
        <v>0</v>
      </c>
      <c r="AJ239" s="123">
        <f t="shared" si="35"/>
        <v>154</v>
      </c>
      <c r="AK239" t="b">
        <f t="shared" si="31"/>
        <v>0</v>
      </c>
    </row>
    <row r="240" spans="1:37">
      <c r="AH240" s="123">
        <f t="shared" si="34"/>
        <v>648</v>
      </c>
      <c r="AI240" t="b">
        <f t="shared" si="30"/>
        <v>0</v>
      </c>
      <c r="AJ240" s="123">
        <f t="shared" si="35"/>
        <v>380</v>
      </c>
      <c r="AK240" t="b">
        <f t="shared" si="31"/>
        <v>0</v>
      </c>
    </row>
    <row r="241" spans="2:37">
      <c r="AH241" s="123">
        <f t="shared" si="34"/>
        <v>573</v>
      </c>
      <c r="AI241" t="b">
        <f t="shared" si="30"/>
        <v>0</v>
      </c>
      <c r="AJ241" s="123">
        <f t="shared" si="35"/>
        <v>274</v>
      </c>
      <c r="AK241" t="b">
        <f t="shared" si="31"/>
        <v>0</v>
      </c>
    </row>
    <row r="242" spans="2:37">
      <c r="AH242" s="123">
        <f t="shared" si="34"/>
        <v>639</v>
      </c>
      <c r="AI242" t="b">
        <f t="shared" si="30"/>
        <v>0</v>
      </c>
      <c r="AJ242" s="123">
        <f t="shared" si="35"/>
        <v>566</v>
      </c>
      <c r="AK242" t="b">
        <f t="shared" si="31"/>
        <v>0</v>
      </c>
    </row>
    <row r="243" spans="2:37">
      <c r="AH243" s="123">
        <f t="shared" si="34"/>
        <v>505</v>
      </c>
      <c r="AI243" t="b">
        <f t="shared" si="30"/>
        <v>0</v>
      </c>
      <c r="AJ243" s="123">
        <f t="shared" si="35"/>
        <v>110</v>
      </c>
      <c r="AK243" t="b">
        <f t="shared" si="31"/>
        <v>0</v>
      </c>
    </row>
    <row r="244" spans="2:37">
      <c r="AH244" s="123">
        <f t="shared" si="34"/>
        <v>721</v>
      </c>
      <c r="AI244" t="b">
        <f t="shared" si="30"/>
        <v>0</v>
      </c>
      <c r="AJ244" s="165">
        <f t="shared" si="35"/>
        <v>79</v>
      </c>
      <c r="AK244" s="113" t="b">
        <f t="shared" si="31"/>
        <v>0</v>
      </c>
    </row>
    <row r="245" spans="2:37">
      <c r="AH245" s="123">
        <f t="shared" si="34"/>
        <v>552</v>
      </c>
      <c r="AI245" t="b">
        <f t="shared" si="30"/>
        <v>0</v>
      </c>
      <c r="AJ245" s="123">
        <f t="shared" si="35"/>
        <v>45</v>
      </c>
      <c r="AK245" t="b">
        <f t="shared" si="31"/>
        <v>0</v>
      </c>
    </row>
    <row r="246" spans="2:37">
      <c r="AH246" s="123">
        <f t="shared" si="34"/>
        <v>456</v>
      </c>
      <c r="AI246" t="b">
        <f t="shared" si="30"/>
        <v>0</v>
      </c>
      <c r="AJ246" s="123">
        <f t="shared" si="35"/>
        <v>132</v>
      </c>
      <c r="AK246" t="b">
        <f t="shared" si="31"/>
        <v>0</v>
      </c>
    </row>
    <row r="247" spans="2:37">
      <c r="AH247" s="123">
        <f t="shared" si="34"/>
        <v>421</v>
      </c>
      <c r="AI247" t="b">
        <f t="shared" si="30"/>
        <v>0</v>
      </c>
      <c r="AJ247" s="123">
        <f t="shared" si="35"/>
        <v>71</v>
      </c>
      <c r="AK247" t="b">
        <f t="shared" si="31"/>
        <v>0</v>
      </c>
    </row>
    <row r="248" spans="2:37">
      <c r="AH248" s="123">
        <f t="shared" si="34"/>
        <v>864</v>
      </c>
      <c r="AI248" t="b">
        <f t="shared" si="30"/>
        <v>0</v>
      </c>
      <c r="AJ248" s="123">
        <f t="shared" si="35"/>
        <v>104</v>
      </c>
      <c r="AK248" t="b">
        <f t="shared" si="31"/>
        <v>0</v>
      </c>
    </row>
    <row r="249" spans="2:37">
      <c r="AH249" s="123">
        <f t="shared" si="34"/>
        <v>506</v>
      </c>
      <c r="AI249" t="b">
        <f t="shared" si="30"/>
        <v>0</v>
      </c>
      <c r="AJ249" s="123">
        <f t="shared" si="35"/>
        <v>189</v>
      </c>
      <c r="AK249" t="b">
        <f t="shared" si="31"/>
        <v>0</v>
      </c>
    </row>
    <row r="250" spans="2:37">
      <c r="AH250" s="123">
        <f t="shared" si="34"/>
        <v>449</v>
      </c>
      <c r="AI250" t="b">
        <f t="shared" si="30"/>
        <v>0</v>
      </c>
      <c r="AJ250" s="123">
        <f t="shared" si="35"/>
        <v>217</v>
      </c>
      <c r="AK250" t="b">
        <f t="shared" si="31"/>
        <v>0</v>
      </c>
    </row>
    <row r="251" spans="2:37">
      <c r="AH251" s="123">
        <f t="shared" si="34"/>
        <v>502</v>
      </c>
      <c r="AI251" t="b">
        <f t="shared" si="30"/>
        <v>0</v>
      </c>
      <c r="AJ251" s="123">
        <f t="shared" si="35"/>
        <v>172</v>
      </c>
      <c r="AK251" t="b">
        <f t="shared" si="31"/>
        <v>0</v>
      </c>
    </row>
    <row r="252" spans="2:37">
      <c r="AH252" s="123">
        <f t="shared" si="34"/>
        <v>345</v>
      </c>
      <c r="AI252" t="b">
        <f t="shared" si="30"/>
        <v>0</v>
      </c>
      <c r="AJ252" s="123">
        <f t="shared" si="35"/>
        <v>349</v>
      </c>
      <c r="AK252" t="b">
        <f t="shared" si="31"/>
        <v>0</v>
      </c>
    </row>
    <row r="253" spans="2:37">
      <c r="AH253" s="123">
        <f t="shared" si="34"/>
        <v>500</v>
      </c>
      <c r="AI253" t="b">
        <f t="shared" si="30"/>
        <v>0</v>
      </c>
      <c r="AJ253" s="123">
        <f t="shared" si="35"/>
        <v>296</v>
      </c>
      <c r="AK253" t="b">
        <f t="shared" si="31"/>
        <v>0</v>
      </c>
    </row>
    <row r="254" spans="2:37">
      <c r="AH254" s="123">
        <f t="shared" si="34"/>
        <v>521</v>
      </c>
      <c r="AI254" t="b">
        <f t="shared" si="30"/>
        <v>0</v>
      </c>
      <c r="AJ254" s="123">
        <f t="shared" si="35"/>
        <v>323</v>
      </c>
      <c r="AK254" t="b">
        <f t="shared" si="31"/>
        <v>0</v>
      </c>
    </row>
    <row r="255" spans="2:37">
      <c r="B255" s="92"/>
      <c r="C255" s="92"/>
      <c r="D255" s="92"/>
      <c r="E255" s="92"/>
      <c r="F255" s="92"/>
      <c r="G255" s="92"/>
      <c r="AH255" s="123">
        <f t="shared" si="34"/>
        <v>201</v>
      </c>
      <c r="AI255" t="b">
        <f t="shared" si="30"/>
        <v>0</v>
      </c>
      <c r="AJ255" s="123">
        <f t="shared" si="35"/>
        <v>156</v>
      </c>
      <c r="AK255" t="b">
        <f t="shared" si="31"/>
        <v>0</v>
      </c>
    </row>
    <row r="256" spans="2:37">
      <c r="AH256" s="123">
        <f t="shared" si="34"/>
        <v>556</v>
      </c>
      <c r="AI256" t="b">
        <f t="shared" si="30"/>
        <v>0</v>
      </c>
      <c r="AJ256" s="123">
        <f t="shared" si="35"/>
        <v>452</v>
      </c>
      <c r="AK256" t="b">
        <f t="shared" si="31"/>
        <v>0</v>
      </c>
    </row>
    <row r="257" spans="34:37">
      <c r="AH257" s="123">
        <f t="shared" ref="AH257:AH288" si="36">N36</f>
        <v>649</v>
      </c>
      <c r="AI257" t="b">
        <f t="shared" si="30"/>
        <v>0</v>
      </c>
      <c r="AJ257" s="123">
        <f t="shared" ref="AJ257:AJ288" si="37">P36</f>
        <v>24</v>
      </c>
      <c r="AK257" t="b">
        <f t="shared" si="31"/>
        <v>0</v>
      </c>
    </row>
    <row r="258" spans="34:37">
      <c r="AH258" s="123">
        <f t="shared" si="36"/>
        <v>732</v>
      </c>
      <c r="AI258" t="b">
        <f t="shared" si="30"/>
        <v>0</v>
      </c>
      <c r="AJ258" s="123">
        <f t="shared" si="37"/>
        <v>69</v>
      </c>
      <c r="AK258" t="b">
        <f t="shared" si="31"/>
        <v>0</v>
      </c>
    </row>
    <row r="259" spans="34:37">
      <c r="AH259" s="123">
        <f t="shared" si="36"/>
        <v>550</v>
      </c>
      <c r="AI259" t="b">
        <f t="shared" si="30"/>
        <v>0</v>
      </c>
      <c r="AJ259" s="123">
        <f t="shared" si="37"/>
        <v>97</v>
      </c>
      <c r="AK259" t="b">
        <f t="shared" si="31"/>
        <v>0</v>
      </c>
    </row>
    <row r="260" spans="34:37">
      <c r="AH260" s="123">
        <f t="shared" si="36"/>
        <v>528</v>
      </c>
      <c r="AI260" t="b">
        <f t="shared" ref="AI260:AI323" si="38">COUNTIF($AH$3:$AH$443, AH260)&gt;1</f>
        <v>0</v>
      </c>
      <c r="AJ260" s="123">
        <f t="shared" si="37"/>
        <v>89</v>
      </c>
      <c r="AK260" t="b">
        <f t="shared" ref="AK260:AK323" si="39">COUNTIF($AJ$3:$AJ$443, AJ260)&gt;1</f>
        <v>0</v>
      </c>
    </row>
    <row r="261" spans="34:37">
      <c r="AH261" s="123">
        <f t="shared" si="36"/>
        <v>703</v>
      </c>
      <c r="AI261" t="b">
        <f t="shared" si="38"/>
        <v>0</v>
      </c>
      <c r="AJ261" s="129">
        <f t="shared" si="37"/>
        <v>147</v>
      </c>
      <c r="AK261" t="b">
        <f t="shared" si="39"/>
        <v>0</v>
      </c>
    </row>
    <row r="262" spans="34:37">
      <c r="AH262" s="123">
        <f t="shared" si="36"/>
        <v>566</v>
      </c>
      <c r="AI262" t="b">
        <f t="shared" si="38"/>
        <v>0</v>
      </c>
      <c r="AJ262" s="123">
        <f t="shared" si="37"/>
        <v>65</v>
      </c>
      <c r="AK262" t="b">
        <f t="shared" si="39"/>
        <v>0</v>
      </c>
    </row>
    <row r="263" spans="34:37">
      <c r="AH263" s="123">
        <f t="shared" si="36"/>
        <v>619</v>
      </c>
      <c r="AI263" t="b">
        <f t="shared" si="38"/>
        <v>0</v>
      </c>
      <c r="AJ263" s="123">
        <f t="shared" si="37"/>
        <v>420</v>
      </c>
      <c r="AK263" t="b">
        <f t="shared" si="39"/>
        <v>0</v>
      </c>
    </row>
    <row r="264" spans="34:37">
      <c r="AH264" s="123">
        <f t="shared" si="36"/>
        <v>626</v>
      </c>
      <c r="AI264" t="b">
        <f t="shared" si="38"/>
        <v>0</v>
      </c>
      <c r="AJ264" s="123">
        <f t="shared" si="37"/>
        <v>77</v>
      </c>
      <c r="AK264" t="b">
        <f t="shared" si="39"/>
        <v>0</v>
      </c>
    </row>
    <row r="265" spans="34:37">
      <c r="AH265" s="123">
        <f t="shared" si="36"/>
        <v>437</v>
      </c>
      <c r="AI265" t="b">
        <f t="shared" si="38"/>
        <v>0</v>
      </c>
      <c r="AJ265" s="123">
        <f t="shared" si="37"/>
        <v>81</v>
      </c>
      <c r="AK265" t="b">
        <f t="shared" si="39"/>
        <v>0</v>
      </c>
    </row>
    <row r="266" spans="34:37">
      <c r="AH266" s="123">
        <f t="shared" si="36"/>
        <v>643</v>
      </c>
      <c r="AI266" t="b">
        <f t="shared" si="38"/>
        <v>0</v>
      </c>
      <c r="AJ266" s="123">
        <f t="shared" si="37"/>
        <v>117</v>
      </c>
      <c r="AK266" t="b">
        <f t="shared" si="39"/>
        <v>0</v>
      </c>
    </row>
    <row r="267" spans="34:37">
      <c r="AH267" s="123">
        <f t="shared" si="36"/>
        <v>283</v>
      </c>
      <c r="AI267" t="b">
        <f t="shared" si="38"/>
        <v>0</v>
      </c>
      <c r="AJ267" s="123">
        <f t="shared" si="37"/>
        <v>6</v>
      </c>
      <c r="AK267" t="b">
        <f t="shared" si="39"/>
        <v>0</v>
      </c>
    </row>
    <row r="268" spans="34:37">
      <c r="AH268" s="123">
        <f t="shared" si="36"/>
        <v>602</v>
      </c>
      <c r="AI268" t="b">
        <f t="shared" si="38"/>
        <v>0</v>
      </c>
      <c r="AJ268" s="123">
        <f t="shared" si="37"/>
        <v>74</v>
      </c>
      <c r="AK268" t="b">
        <f t="shared" si="39"/>
        <v>0</v>
      </c>
    </row>
    <row r="269" spans="34:37">
      <c r="AH269" s="123">
        <f t="shared" si="36"/>
        <v>427</v>
      </c>
      <c r="AI269" t="b">
        <f t="shared" si="38"/>
        <v>0</v>
      </c>
      <c r="AJ269" s="123">
        <f t="shared" si="37"/>
        <v>102</v>
      </c>
      <c r="AK269" t="b">
        <f t="shared" si="39"/>
        <v>0</v>
      </c>
    </row>
    <row r="270" spans="34:37">
      <c r="AH270" s="123">
        <f t="shared" si="36"/>
        <v>512</v>
      </c>
      <c r="AI270" t="b">
        <f t="shared" si="38"/>
        <v>0</v>
      </c>
      <c r="AJ270" s="123">
        <f t="shared" si="37"/>
        <v>76</v>
      </c>
      <c r="AK270" t="b">
        <f t="shared" si="39"/>
        <v>0</v>
      </c>
    </row>
    <row r="271" spans="34:37">
      <c r="AH271" s="123">
        <f t="shared" si="36"/>
        <v>299</v>
      </c>
      <c r="AI271" t="b">
        <f t="shared" si="38"/>
        <v>0</v>
      </c>
      <c r="AJ271" s="123">
        <f t="shared" si="37"/>
        <v>107</v>
      </c>
      <c r="AK271" t="b">
        <f t="shared" si="39"/>
        <v>0</v>
      </c>
    </row>
    <row r="272" spans="34:37">
      <c r="AH272" s="123">
        <f t="shared" si="36"/>
        <v>739</v>
      </c>
      <c r="AI272" t="b">
        <f t="shared" si="38"/>
        <v>0</v>
      </c>
      <c r="AJ272" s="123">
        <f t="shared" si="37"/>
        <v>155</v>
      </c>
      <c r="AK272" t="b">
        <f t="shared" si="39"/>
        <v>0</v>
      </c>
    </row>
    <row r="273" spans="34:37">
      <c r="AH273" s="123">
        <f t="shared" si="36"/>
        <v>559</v>
      </c>
      <c r="AI273" t="b">
        <f t="shared" si="38"/>
        <v>0</v>
      </c>
      <c r="AJ273" s="123">
        <f t="shared" si="37"/>
        <v>98</v>
      </c>
      <c r="AK273" t="b">
        <f t="shared" si="39"/>
        <v>0</v>
      </c>
    </row>
    <row r="274" spans="34:37">
      <c r="AH274" s="123">
        <f t="shared" si="36"/>
        <v>856</v>
      </c>
      <c r="AI274" t="b">
        <f t="shared" si="38"/>
        <v>0</v>
      </c>
      <c r="AJ274" s="123">
        <f t="shared" si="37"/>
        <v>29</v>
      </c>
      <c r="AK274" t="b">
        <f t="shared" si="39"/>
        <v>0</v>
      </c>
    </row>
    <row r="275" spans="34:37">
      <c r="AH275" s="123">
        <f t="shared" si="36"/>
        <v>599</v>
      </c>
      <c r="AI275" t="b">
        <f t="shared" si="38"/>
        <v>0</v>
      </c>
      <c r="AJ275" s="123">
        <f t="shared" si="37"/>
        <v>312</v>
      </c>
      <c r="AK275" t="b">
        <f t="shared" si="39"/>
        <v>0</v>
      </c>
    </row>
    <row r="276" spans="34:37">
      <c r="AH276" s="123">
        <f t="shared" si="36"/>
        <v>683</v>
      </c>
      <c r="AI276" t="b">
        <f t="shared" si="38"/>
        <v>0</v>
      </c>
      <c r="AJ276" s="123">
        <f t="shared" si="37"/>
        <v>113</v>
      </c>
      <c r="AK276" t="b">
        <f t="shared" si="39"/>
        <v>0</v>
      </c>
    </row>
    <row r="277" spans="34:37">
      <c r="AH277" s="123">
        <f t="shared" si="36"/>
        <v>288</v>
      </c>
      <c r="AI277" t="b">
        <f t="shared" si="38"/>
        <v>0</v>
      </c>
      <c r="AJ277" s="123">
        <f t="shared" si="37"/>
        <v>441</v>
      </c>
      <c r="AK277" t="b">
        <f t="shared" si="39"/>
        <v>0</v>
      </c>
    </row>
    <row r="278" spans="34:37">
      <c r="AH278" s="123">
        <f t="shared" si="36"/>
        <v>616</v>
      </c>
      <c r="AI278" t="b">
        <f t="shared" si="38"/>
        <v>0</v>
      </c>
      <c r="AJ278" s="123" t="str">
        <f t="shared" si="37"/>
        <v>54b</v>
      </c>
      <c r="AK278" s="113" t="b">
        <f t="shared" si="39"/>
        <v>0</v>
      </c>
    </row>
    <row r="279" spans="34:37">
      <c r="AH279" s="123">
        <f t="shared" si="36"/>
        <v>557</v>
      </c>
      <c r="AI279" t="b">
        <f t="shared" si="38"/>
        <v>0</v>
      </c>
      <c r="AJ279" s="123">
        <f t="shared" si="37"/>
        <v>58</v>
      </c>
      <c r="AK279" t="b">
        <f t="shared" si="39"/>
        <v>0</v>
      </c>
    </row>
    <row r="280" spans="34:37">
      <c r="AH280" s="123">
        <f t="shared" si="36"/>
        <v>618</v>
      </c>
      <c r="AI280" t="b">
        <f t="shared" si="38"/>
        <v>0</v>
      </c>
      <c r="AJ280" s="123">
        <f t="shared" si="37"/>
        <v>435</v>
      </c>
      <c r="AK280" t="b">
        <f t="shared" si="39"/>
        <v>0</v>
      </c>
    </row>
    <row r="281" spans="34:37">
      <c r="AH281" s="123">
        <f t="shared" si="36"/>
        <v>593</v>
      </c>
      <c r="AI281" t="b">
        <f t="shared" si="38"/>
        <v>0</v>
      </c>
      <c r="AJ281" s="123">
        <f t="shared" si="37"/>
        <v>31</v>
      </c>
      <c r="AK281" t="b">
        <f t="shared" si="39"/>
        <v>0</v>
      </c>
    </row>
    <row r="282" spans="34:37">
      <c r="AH282" s="123">
        <f t="shared" si="36"/>
        <v>600</v>
      </c>
      <c r="AI282" t="b">
        <f t="shared" si="38"/>
        <v>0</v>
      </c>
      <c r="AJ282" s="123">
        <f t="shared" si="37"/>
        <v>120</v>
      </c>
      <c r="AK282" t="b">
        <f t="shared" si="39"/>
        <v>0</v>
      </c>
    </row>
    <row r="283" spans="34:37">
      <c r="AH283" s="123">
        <f t="shared" si="36"/>
        <v>535</v>
      </c>
      <c r="AI283" t="b">
        <f t="shared" si="38"/>
        <v>0</v>
      </c>
      <c r="AJ283" s="123">
        <f t="shared" si="37"/>
        <v>390</v>
      </c>
      <c r="AK283" t="b">
        <f t="shared" si="39"/>
        <v>0</v>
      </c>
    </row>
    <row r="284" spans="34:37">
      <c r="AH284" s="123">
        <f t="shared" si="36"/>
        <v>391</v>
      </c>
      <c r="AI284" t="b">
        <f t="shared" si="38"/>
        <v>0</v>
      </c>
      <c r="AJ284" s="123">
        <f t="shared" si="37"/>
        <v>143</v>
      </c>
      <c r="AK284" t="b">
        <f t="shared" si="39"/>
        <v>0</v>
      </c>
    </row>
    <row r="285" spans="34:37">
      <c r="AH285" s="123">
        <f t="shared" si="36"/>
        <v>445</v>
      </c>
      <c r="AI285" t="b">
        <f t="shared" si="38"/>
        <v>0</v>
      </c>
      <c r="AJ285" s="123">
        <f t="shared" si="37"/>
        <v>448</v>
      </c>
      <c r="AK285" t="b">
        <f t="shared" si="39"/>
        <v>0</v>
      </c>
    </row>
    <row r="286" spans="34:37">
      <c r="AH286" s="123">
        <f t="shared" si="36"/>
        <v>440</v>
      </c>
      <c r="AI286" t="b">
        <f t="shared" si="38"/>
        <v>0</v>
      </c>
      <c r="AJ286" s="123">
        <f t="shared" si="37"/>
        <v>423</v>
      </c>
      <c r="AK286" t="b">
        <f t="shared" si="39"/>
        <v>0</v>
      </c>
    </row>
    <row r="287" spans="34:37">
      <c r="AH287" s="123">
        <f t="shared" si="36"/>
        <v>673</v>
      </c>
      <c r="AI287" t="b">
        <f t="shared" si="38"/>
        <v>0</v>
      </c>
      <c r="AJ287" s="129">
        <f t="shared" si="37"/>
        <v>550</v>
      </c>
      <c r="AK287" t="b">
        <f t="shared" si="39"/>
        <v>0</v>
      </c>
    </row>
    <row r="288" spans="34:37">
      <c r="AH288" s="123">
        <f t="shared" si="36"/>
        <v>700</v>
      </c>
      <c r="AI288" t="b">
        <f t="shared" si="38"/>
        <v>0</v>
      </c>
      <c r="AJ288" s="123">
        <f t="shared" si="37"/>
        <v>333</v>
      </c>
      <c r="AK288" t="b">
        <f t="shared" si="39"/>
        <v>0</v>
      </c>
    </row>
    <row r="289" spans="34:37">
      <c r="AH289" s="123">
        <f t="shared" ref="AH289" si="40">N68</f>
        <v>760</v>
      </c>
      <c r="AI289" t="b">
        <f t="shared" si="38"/>
        <v>0</v>
      </c>
      <c r="AJ289" s="123">
        <f t="shared" ref="AJ289" si="41">P68</f>
        <v>252</v>
      </c>
      <c r="AK289" t="b">
        <f t="shared" si="39"/>
        <v>0</v>
      </c>
    </row>
    <row r="290" spans="34:37">
      <c r="AH290" s="123">
        <f t="shared" ref="AH290:AH351" si="42">N69</f>
        <v>660</v>
      </c>
      <c r="AI290" t="b">
        <f t="shared" si="38"/>
        <v>0</v>
      </c>
      <c r="AJ290" s="123">
        <f t="shared" ref="AJ290:AJ351" si="43">P69</f>
        <v>44</v>
      </c>
      <c r="AK290" t="b">
        <f t="shared" si="39"/>
        <v>0</v>
      </c>
    </row>
    <row r="291" spans="34:37">
      <c r="AH291" s="123">
        <f t="shared" si="42"/>
        <v>477</v>
      </c>
      <c r="AI291" t="b">
        <f t="shared" si="38"/>
        <v>0</v>
      </c>
      <c r="AJ291" s="123">
        <f t="shared" si="43"/>
        <v>9</v>
      </c>
      <c r="AK291" t="b">
        <f t="shared" si="39"/>
        <v>0</v>
      </c>
    </row>
    <row r="292" spans="34:37">
      <c r="AH292" s="123">
        <f t="shared" si="42"/>
        <v>386</v>
      </c>
      <c r="AI292" t="b">
        <f t="shared" si="38"/>
        <v>0</v>
      </c>
      <c r="AJ292" s="123">
        <f t="shared" si="43"/>
        <v>251</v>
      </c>
      <c r="AK292" t="b">
        <f t="shared" si="39"/>
        <v>0</v>
      </c>
    </row>
    <row r="293" spans="34:37">
      <c r="AH293" s="129">
        <f t="shared" si="42"/>
        <v>414</v>
      </c>
      <c r="AI293" t="b">
        <f t="shared" si="38"/>
        <v>0</v>
      </c>
      <c r="AJ293" s="123">
        <f t="shared" si="43"/>
        <v>266</v>
      </c>
      <c r="AK293" t="b">
        <f t="shared" si="39"/>
        <v>0</v>
      </c>
    </row>
    <row r="294" spans="34:37">
      <c r="AH294" s="123">
        <f t="shared" si="42"/>
        <v>459</v>
      </c>
      <c r="AI294" t="b">
        <f t="shared" si="38"/>
        <v>0</v>
      </c>
      <c r="AJ294" s="123">
        <f t="shared" si="43"/>
        <v>528</v>
      </c>
      <c r="AK294" t="b">
        <f t="shared" si="39"/>
        <v>0</v>
      </c>
    </row>
    <row r="295" spans="34:37">
      <c r="AH295" s="123">
        <f t="shared" si="42"/>
        <v>627</v>
      </c>
      <c r="AI295" t="b">
        <f t="shared" si="38"/>
        <v>0</v>
      </c>
      <c r="AJ295" s="123">
        <f t="shared" si="43"/>
        <v>14</v>
      </c>
      <c r="AK295" t="b">
        <f t="shared" si="39"/>
        <v>0</v>
      </c>
    </row>
    <row r="296" spans="34:37">
      <c r="AH296" s="123">
        <f t="shared" si="42"/>
        <v>498</v>
      </c>
      <c r="AI296" t="b">
        <f t="shared" si="38"/>
        <v>0</v>
      </c>
      <c r="AJ296" s="123">
        <f t="shared" si="43"/>
        <v>393</v>
      </c>
      <c r="AK296" t="b">
        <f t="shared" si="39"/>
        <v>0</v>
      </c>
    </row>
    <row r="297" spans="34:37">
      <c r="AH297" s="123">
        <f t="shared" si="42"/>
        <v>579</v>
      </c>
      <c r="AI297" t="b">
        <f t="shared" si="38"/>
        <v>0</v>
      </c>
      <c r="AJ297" s="123">
        <f t="shared" si="43"/>
        <v>138</v>
      </c>
      <c r="AK297" t="b">
        <f t="shared" si="39"/>
        <v>0</v>
      </c>
    </row>
    <row r="298" spans="34:37">
      <c r="AH298" s="123">
        <f t="shared" si="42"/>
        <v>373</v>
      </c>
      <c r="AI298" t="b">
        <f t="shared" si="38"/>
        <v>0</v>
      </c>
      <c r="AJ298" s="123">
        <f t="shared" si="43"/>
        <v>311</v>
      </c>
      <c r="AK298" t="b">
        <f t="shared" si="39"/>
        <v>0</v>
      </c>
    </row>
    <row r="299" spans="34:37">
      <c r="AH299" s="123">
        <f t="shared" si="42"/>
        <v>603</v>
      </c>
      <c r="AI299" t="b">
        <f t="shared" si="38"/>
        <v>0</v>
      </c>
      <c r="AJ299" s="123">
        <f t="shared" si="43"/>
        <v>183</v>
      </c>
      <c r="AK299" t="b">
        <f t="shared" si="39"/>
        <v>0</v>
      </c>
    </row>
    <row r="300" spans="34:37">
      <c r="AH300" s="123">
        <f t="shared" si="42"/>
        <v>509</v>
      </c>
      <c r="AI300" t="b">
        <f t="shared" si="38"/>
        <v>0</v>
      </c>
      <c r="AJ300" s="123">
        <f t="shared" si="43"/>
        <v>228</v>
      </c>
      <c r="AK300" t="b">
        <f t="shared" si="39"/>
        <v>0</v>
      </c>
    </row>
    <row r="301" spans="34:37">
      <c r="AH301" s="123">
        <f t="shared" si="42"/>
        <v>446</v>
      </c>
      <c r="AI301" t="b">
        <f t="shared" si="38"/>
        <v>0</v>
      </c>
      <c r="AJ301" s="123">
        <f t="shared" si="43"/>
        <v>100</v>
      </c>
      <c r="AK301" t="b">
        <f t="shared" si="39"/>
        <v>0</v>
      </c>
    </row>
    <row r="302" spans="34:37">
      <c r="AH302" s="123">
        <f t="shared" si="42"/>
        <v>249</v>
      </c>
      <c r="AI302" t="b">
        <f t="shared" si="38"/>
        <v>0</v>
      </c>
      <c r="AJ302" s="123">
        <f t="shared" si="43"/>
        <v>56</v>
      </c>
      <c r="AK302" t="b">
        <f t="shared" si="39"/>
        <v>0</v>
      </c>
    </row>
    <row r="303" spans="34:37">
      <c r="AH303" s="123">
        <f t="shared" si="42"/>
        <v>474</v>
      </c>
      <c r="AI303" t="b">
        <f t="shared" si="38"/>
        <v>0</v>
      </c>
      <c r="AJ303" s="132">
        <f t="shared" si="43"/>
        <v>68</v>
      </c>
      <c r="AK303" t="b">
        <f t="shared" si="39"/>
        <v>0</v>
      </c>
    </row>
    <row r="304" spans="34:37">
      <c r="AH304" s="123">
        <f t="shared" si="42"/>
        <v>475</v>
      </c>
      <c r="AI304" t="b">
        <f t="shared" si="38"/>
        <v>0</v>
      </c>
      <c r="AJ304" s="123">
        <f t="shared" si="43"/>
        <v>293</v>
      </c>
      <c r="AK304" t="b">
        <f t="shared" si="39"/>
        <v>0</v>
      </c>
    </row>
    <row r="305" spans="34:37">
      <c r="AH305" s="123">
        <f t="shared" si="42"/>
        <v>840</v>
      </c>
      <c r="AI305" t="b">
        <f t="shared" si="38"/>
        <v>0</v>
      </c>
      <c r="AJ305" s="123">
        <f t="shared" si="43"/>
        <v>368</v>
      </c>
      <c r="AK305" t="b">
        <f t="shared" si="39"/>
        <v>0</v>
      </c>
    </row>
    <row r="306" spans="34:37">
      <c r="AH306" s="123">
        <f t="shared" si="42"/>
        <v>298</v>
      </c>
      <c r="AI306" t="b">
        <f t="shared" si="38"/>
        <v>0</v>
      </c>
      <c r="AJ306" s="123">
        <f t="shared" si="43"/>
        <v>22</v>
      </c>
      <c r="AK306" t="b">
        <f t="shared" si="39"/>
        <v>0</v>
      </c>
    </row>
    <row r="307" spans="34:37">
      <c r="AH307" s="123">
        <f t="shared" si="42"/>
        <v>520</v>
      </c>
      <c r="AI307" t="b">
        <f t="shared" si="38"/>
        <v>0</v>
      </c>
      <c r="AJ307" s="123">
        <f t="shared" si="43"/>
        <v>417</v>
      </c>
      <c r="AK307" t="b">
        <f t="shared" si="39"/>
        <v>0</v>
      </c>
    </row>
    <row r="308" spans="34:37">
      <c r="AH308" s="123">
        <f t="shared" si="42"/>
        <v>441</v>
      </c>
      <c r="AI308" t="b">
        <f t="shared" si="38"/>
        <v>0</v>
      </c>
      <c r="AJ308" s="123">
        <f t="shared" si="43"/>
        <v>391</v>
      </c>
      <c r="AK308" t="b">
        <f t="shared" si="39"/>
        <v>0</v>
      </c>
    </row>
    <row r="309" spans="34:37">
      <c r="AH309" s="123">
        <f t="shared" si="42"/>
        <v>561</v>
      </c>
      <c r="AI309" t="b">
        <f t="shared" si="38"/>
        <v>0</v>
      </c>
      <c r="AJ309" s="123">
        <f t="shared" si="43"/>
        <v>62</v>
      </c>
      <c r="AK309" t="b">
        <f t="shared" si="39"/>
        <v>0</v>
      </c>
    </row>
    <row r="310" spans="34:37">
      <c r="AH310" s="123">
        <f t="shared" si="42"/>
        <v>632</v>
      </c>
      <c r="AI310" t="b">
        <f t="shared" si="38"/>
        <v>0</v>
      </c>
      <c r="AJ310" s="123">
        <f t="shared" si="43"/>
        <v>329</v>
      </c>
      <c r="AK310" t="b">
        <f t="shared" si="39"/>
        <v>0</v>
      </c>
    </row>
    <row r="311" spans="34:37">
      <c r="AH311">
        <f t="shared" si="42"/>
        <v>611</v>
      </c>
      <c r="AI311" t="b">
        <f t="shared" si="38"/>
        <v>0</v>
      </c>
      <c r="AJ311">
        <f t="shared" si="43"/>
        <v>288</v>
      </c>
      <c r="AK311" t="b">
        <f t="shared" si="39"/>
        <v>0</v>
      </c>
    </row>
    <row r="312" spans="34:37">
      <c r="AH312" s="123">
        <f t="shared" si="42"/>
        <v>469</v>
      </c>
      <c r="AI312" t="b">
        <f t="shared" si="38"/>
        <v>0</v>
      </c>
      <c r="AJ312" s="123">
        <f t="shared" si="43"/>
        <v>171</v>
      </c>
      <c r="AK312" t="b">
        <f t="shared" si="39"/>
        <v>0</v>
      </c>
    </row>
    <row r="313" spans="34:37">
      <c r="AH313" s="123">
        <f t="shared" si="42"/>
        <v>355</v>
      </c>
      <c r="AI313" t="b">
        <f t="shared" si="38"/>
        <v>0</v>
      </c>
      <c r="AJ313" s="123">
        <f t="shared" si="43"/>
        <v>517</v>
      </c>
      <c r="AK313" t="b">
        <f t="shared" si="39"/>
        <v>0</v>
      </c>
    </row>
    <row r="314" spans="34:37">
      <c r="AH314" s="123">
        <f t="shared" si="42"/>
        <v>547</v>
      </c>
      <c r="AI314" t="b">
        <f t="shared" si="38"/>
        <v>0</v>
      </c>
      <c r="AJ314" s="123">
        <f t="shared" si="43"/>
        <v>73</v>
      </c>
      <c r="AK314" t="b">
        <f t="shared" si="39"/>
        <v>0</v>
      </c>
    </row>
    <row r="315" spans="34:37">
      <c r="AH315" s="123">
        <f t="shared" si="42"/>
        <v>763</v>
      </c>
      <c r="AI315" t="b">
        <f t="shared" si="38"/>
        <v>0</v>
      </c>
      <c r="AJ315" s="132">
        <f t="shared" si="43"/>
        <v>4</v>
      </c>
      <c r="AK315" t="b">
        <f t="shared" si="39"/>
        <v>0</v>
      </c>
    </row>
    <row r="316" spans="34:37">
      <c r="AH316" s="123">
        <f t="shared" si="42"/>
        <v>424</v>
      </c>
      <c r="AI316" t="b">
        <f t="shared" si="38"/>
        <v>0</v>
      </c>
      <c r="AJ316" s="123">
        <f t="shared" si="43"/>
        <v>136</v>
      </c>
      <c r="AK316" t="b">
        <f t="shared" si="39"/>
        <v>0</v>
      </c>
    </row>
    <row r="317" spans="34:37">
      <c r="AH317">
        <f t="shared" si="42"/>
        <v>588</v>
      </c>
      <c r="AI317" t="b">
        <f t="shared" si="38"/>
        <v>0</v>
      </c>
      <c r="AJ317">
        <f t="shared" si="43"/>
        <v>358</v>
      </c>
      <c r="AK317" t="b">
        <f t="shared" si="39"/>
        <v>0</v>
      </c>
    </row>
    <row r="318" spans="34:37">
      <c r="AH318" s="123">
        <f t="shared" si="42"/>
        <v>486</v>
      </c>
      <c r="AI318" t="b">
        <f t="shared" si="38"/>
        <v>0</v>
      </c>
      <c r="AJ318" s="123">
        <f t="shared" si="43"/>
        <v>547</v>
      </c>
      <c r="AK318" t="b">
        <f t="shared" si="39"/>
        <v>0</v>
      </c>
    </row>
    <row r="319" spans="34:37">
      <c r="AH319" s="123">
        <f t="shared" si="42"/>
        <v>545</v>
      </c>
      <c r="AI319" t="b">
        <f t="shared" si="38"/>
        <v>0</v>
      </c>
      <c r="AJ319" s="123">
        <f t="shared" si="43"/>
        <v>588</v>
      </c>
      <c r="AK319" t="b">
        <f t="shared" si="39"/>
        <v>0</v>
      </c>
    </row>
    <row r="320" spans="34:37">
      <c r="AH320" s="123">
        <f t="shared" si="42"/>
        <v>847</v>
      </c>
      <c r="AI320" t="b">
        <f t="shared" si="38"/>
        <v>0</v>
      </c>
      <c r="AJ320" s="123">
        <f t="shared" si="43"/>
        <v>576</v>
      </c>
      <c r="AK320" t="b">
        <f t="shared" si="39"/>
        <v>0</v>
      </c>
    </row>
    <row r="321" spans="4:37">
      <c r="AH321" s="123">
        <f t="shared" si="42"/>
        <v>730</v>
      </c>
      <c r="AI321" t="b">
        <f t="shared" si="38"/>
        <v>0</v>
      </c>
      <c r="AJ321" s="123">
        <f t="shared" si="43"/>
        <v>561</v>
      </c>
      <c r="AK321" t="b">
        <f t="shared" si="39"/>
        <v>0</v>
      </c>
    </row>
    <row r="322" spans="4:37">
      <c r="AH322" s="123">
        <f t="shared" si="42"/>
        <v>691</v>
      </c>
      <c r="AI322" t="b">
        <f t="shared" si="38"/>
        <v>0</v>
      </c>
      <c r="AJ322" s="123">
        <f t="shared" si="43"/>
        <v>496</v>
      </c>
      <c r="AK322" t="b">
        <f t="shared" si="39"/>
        <v>0</v>
      </c>
    </row>
    <row r="323" spans="4:37">
      <c r="AH323" s="123">
        <f t="shared" si="42"/>
        <v>828</v>
      </c>
      <c r="AI323" t="b">
        <f t="shared" si="38"/>
        <v>0</v>
      </c>
      <c r="AJ323" s="123">
        <f t="shared" si="43"/>
        <v>497</v>
      </c>
      <c r="AK323" t="b">
        <f t="shared" si="39"/>
        <v>0</v>
      </c>
    </row>
    <row r="324" spans="4:37">
      <c r="AH324" s="123">
        <f t="shared" si="42"/>
        <v>875</v>
      </c>
      <c r="AI324" t="b">
        <f t="shared" ref="AI324:AI387" si="44">COUNTIF($AH$3:$AH$443, AH324)&gt;1</f>
        <v>0</v>
      </c>
      <c r="AJ324" s="123">
        <f t="shared" si="43"/>
        <v>10</v>
      </c>
      <c r="AK324" t="b">
        <f t="shared" ref="AK324:AK387" si="45">COUNTIF($AJ$3:$AJ$443, AJ324)&gt;1</f>
        <v>0</v>
      </c>
    </row>
    <row r="325" spans="4:37">
      <c r="AH325" s="123">
        <f t="shared" si="42"/>
        <v>824</v>
      </c>
      <c r="AI325" t="b">
        <f t="shared" si="44"/>
        <v>0</v>
      </c>
      <c r="AJ325" s="123">
        <f t="shared" si="43"/>
        <v>26</v>
      </c>
      <c r="AK325" t="b">
        <f t="shared" si="45"/>
        <v>0</v>
      </c>
    </row>
    <row r="326" spans="4:37">
      <c r="AH326" s="123">
        <f t="shared" si="42"/>
        <v>692</v>
      </c>
      <c r="AI326" t="b">
        <f t="shared" si="44"/>
        <v>0</v>
      </c>
      <c r="AJ326" s="123">
        <f t="shared" si="43"/>
        <v>494</v>
      </c>
      <c r="AK326" t="b">
        <f t="shared" si="45"/>
        <v>0</v>
      </c>
    </row>
    <row r="327" spans="4:37">
      <c r="AH327" s="123">
        <f t="shared" si="42"/>
        <v>806</v>
      </c>
      <c r="AI327" t="b">
        <f t="shared" si="44"/>
        <v>0</v>
      </c>
      <c r="AJ327" s="123">
        <f t="shared" si="43"/>
        <v>475</v>
      </c>
      <c r="AK327" t="b">
        <f t="shared" si="45"/>
        <v>0</v>
      </c>
    </row>
    <row r="328" spans="4:37">
      <c r="AH328" s="123">
        <f t="shared" si="42"/>
        <v>861</v>
      </c>
      <c r="AI328" t="b">
        <f t="shared" si="44"/>
        <v>0</v>
      </c>
      <c r="AJ328" s="123">
        <f t="shared" si="43"/>
        <v>540</v>
      </c>
      <c r="AK328" t="b">
        <f t="shared" si="45"/>
        <v>0</v>
      </c>
    </row>
    <row r="329" spans="4:37">
      <c r="AH329" s="123">
        <f t="shared" si="42"/>
        <v>738</v>
      </c>
      <c r="AI329" t="b">
        <f t="shared" si="44"/>
        <v>0</v>
      </c>
      <c r="AJ329" s="123">
        <f t="shared" si="43"/>
        <v>593</v>
      </c>
      <c r="AK329" t="b">
        <f t="shared" si="45"/>
        <v>0</v>
      </c>
    </row>
    <row r="330" spans="4:37">
      <c r="AH330" s="123">
        <f t="shared" si="42"/>
        <v>676</v>
      </c>
      <c r="AI330" t="b">
        <f t="shared" si="44"/>
        <v>0</v>
      </c>
      <c r="AJ330" s="123">
        <f t="shared" si="43"/>
        <v>510</v>
      </c>
      <c r="AK330" t="b">
        <f t="shared" si="45"/>
        <v>0</v>
      </c>
    </row>
    <row r="331" spans="4:37">
      <c r="AH331" s="123">
        <f t="shared" si="42"/>
        <v>845</v>
      </c>
      <c r="AI331" t="b">
        <f t="shared" si="44"/>
        <v>0</v>
      </c>
      <c r="AJ331" s="123">
        <f t="shared" si="43"/>
        <v>509</v>
      </c>
      <c r="AK331" t="b">
        <f t="shared" si="45"/>
        <v>0</v>
      </c>
    </row>
    <row r="332" spans="4:37">
      <c r="AH332" s="123">
        <f t="shared" si="42"/>
        <v>887</v>
      </c>
      <c r="AI332" t="b">
        <f t="shared" si="44"/>
        <v>0</v>
      </c>
      <c r="AJ332" s="123">
        <f t="shared" si="43"/>
        <v>33</v>
      </c>
      <c r="AK332" t="b">
        <f t="shared" si="45"/>
        <v>0</v>
      </c>
    </row>
    <row r="333" spans="4:37">
      <c r="AH333" s="123">
        <f t="shared" si="42"/>
        <v>882</v>
      </c>
      <c r="AI333" t="b">
        <f t="shared" si="44"/>
        <v>0</v>
      </c>
      <c r="AJ333" s="123" t="str">
        <f t="shared" si="43"/>
        <v>54a</v>
      </c>
      <c r="AK333" s="113" t="b">
        <f t="shared" si="45"/>
        <v>0</v>
      </c>
    </row>
    <row r="334" spans="4:37">
      <c r="AH334" s="123">
        <f t="shared" si="42"/>
        <v>695</v>
      </c>
      <c r="AI334" t="b">
        <f t="shared" si="44"/>
        <v>0</v>
      </c>
      <c r="AJ334" s="123">
        <f t="shared" si="43"/>
        <v>487</v>
      </c>
      <c r="AK334" t="b">
        <f t="shared" si="45"/>
        <v>0</v>
      </c>
    </row>
    <row r="335" spans="4:37">
      <c r="D335" t="s">
        <v>3649</v>
      </c>
      <c r="AH335" s="123">
        <f t="shared" si="42"/>
        <v>852</v>
      </c>
      <c r="AI335" t="b">
        <f t="shared" si="44"/>
        <v>0</v>
      </c>
      <c r="AJ335" s="123">
        <f t="shared" si="43"/>
        <v>530</v>
      </c>
      <c r="AK335" t="b">
        <f t="shared" si="45"/>
        <v>0</v>
      </c>
    </row>
    <row r="336" spans="4:37">
      <c r="D336" s="122" t="s">
        <v>2455</v>
      </c>
      <c r="E336" s="124">
        <v>42769</v>
      </c>
      <c r="F336" s="123"/>
      <c r="G336" s="124">
        <v>42844</v>
      </c>
      <c r="H336" s="124"/>
      <c r="I336" s="125">
        <v>0.68055555555555547</v>
      </c>
      <c r="J336" s="125"/>
      <c r="K336" s="123">
        <v>933</v>
      </c>
      <c r="L336" s="123"/>
      <c r="M336" s="123">
        <v>863</v>
      </c>
      <c r="N336" s="123"/>
      <c r="O336" s="123">
        <v>125</v>
      </c>
      <c r="P336" s="123">
        <v>584</v>
      </c>
      <c r="Q336" s="123">
        <v>364</v>
      </c>
      <c r="R336" s="123"/>
      <c r="S336" s="123"/>
      <c r="T336" s="123">
        <v>34</v>
      </c>
      <c r="U336" s="123">
        <v>16.8</v>
      </c>
      <c r="V336" s="123" t="s">
        <v>2187</v>
      </c>
      <c r="W336" s="126"/>
      <c r="X336" s="126" t="s">
        <v>2187</v>
      </c>
      <c r="Y336" s="126"/>
      <c r="Z336" s="123">
        <v>12.2</v>
      </c>
      <c r="AA336" s="123" t="s">
        <v>2250</v>
      </c>
      <c r="AB336" s="123">
        <v>15.2</v>
      </c>
      <c r="AC336" s="123">
        <v>1</v>
      </c>
      <c r="AD336" s="123"/>
      <c r="AH336" s="123">
        <f t="shared" si="42"/>
        <v>769</v>
      </c>
      <c r="AI336" t="b">
        <f t="shared" si="44"/>
        <v>0</v>
      </c>
      <c r="AJ336" s="123">
        <f t="shared" si="43"/>
        <v>578</v>
      </c>
      <c r="AK336" t="b">
        <f t="shared" si="45"/>
        <v>0</v>
      </c>
    </row>
    <row r="337" spans="4:37">
      <c r="D337" s="133" t="s">
        <v>2454</v>
      </c>
      <c r="E337" s="124">
        <v>42769</v>
      </c>
      <c r="F337" s="123"/>
      <c r="G337" s="124">
        <v>42844</v>
      </c>
      <c r="H337" s="124"/>
      <c r="I337" s="125">
        <v>0.71875</v>
      </c>
      <c r="J337" s="125"/>
      <c r="K337" s="123">
        <v>929</v>
      </c>
      <c r="L337" s="123"/>
      <c r="M337" s="123">
        <v>615</v>
      </c>
      <c r="N337" s="123"/>
      <c r="O337" s="123">
        <v>289</v>
      </c>
      <c r="P337" s="123">
        <v>713</v>
      </c>
      <c r="Q337" s="123">
        <v>167</v>
      </c>
      <c r="R337" s="123"/>
      <c r="S337" s="123"/>
      <c r="T337" s="123">
        <v>34.700000000000003</v>
      </c>
      <c r="U337" s="123">
        <v>14.1</v>
      </c>
      <c r="V337" s="123" t="s">
        <v>2187</v>
      </c>
      <c r="W337" s="126" t="s">
        <v>2187</v>
      </c>
      <c r="X337" s="126" t="s">
        <v>2187</v>
      </c>
      <c r="Y337" s="126" t="s">
        <v>2187</v>
      </c>
      <c r="Z337" s="123">
        <v>7.9</v>
      </c>
      <c r="AA337" s="123" t="s">
        <v>2250</v>
      </c>
      <c r="AB337" s="123">
        <v>7.9</v>
      </c>
      <c r="AC337" s="123">
        <v>1</v>
      </c>
      <c r="AD337" s="123"/>
      <c r="AH337" s="123">
        <f t="shared" si="42"/>
        <v>889</v>
      </c>
      <c r="AI337" t="b">
        <f t="shared" si="44"/>
        <v>0</v>
      </c>
      <c r="AJ337" s="123">
        <f t="shared" si="43"/>
        <v>37</v>
      </c>
      <c r="AK337" t="b">
        <f t="shared" si="45"/>
        <v>0</v>
      </c>
    </row>
    <row r="338" spans="4:37">
      <c r="D338" s="133" t="s">
        <v>2453</v>
      </c>
      <c r="E338" s="124">
        <v>42769</v>
      </c>
      <c r="F338" s="123"/>
      <c r="G338" s="124">
        <v>42845</v>
      </c>
      <c r="H338" s="124"/>
      <c r="I338" s="125">
        <v>0.42708333333333331</v>
      </c>
      <c r="J338" s="125"/>
      <c r="K338" s="123">
        <v>935</v>
      </c>
      <c r="L338" s="123"/>
      <c r="M338" s="123">
        <v>821</v>
      </c>
      <c r="N338" s="123"/>
      <c r="O338" s="123">
        <v>378</v>
      </c>
      <c r="P338" s="123">
        <v>525</v>
      </c>
      <c r="Q338" s="123">
        <v>25</v>
      </c>
      <c r="R338" s="123"/>
      <c r="S338" s="123"/>
      <c r="T338" s="129">
        <v>23.4</v>
      </c>
      <c r="U338" s="129">
        <v>32.700000000000003</v>
      </c>
      <c r="V338" s="123" t="s">
        <v>2187</v>
      </c>
      <c r="W338" s="126" t="s">
        <v>2234</v>
      </c>
      <c r="X338" s="126" t="s">
        <v>2187</v>
      </c>
      <c r="Y338" s="126"/>
      <c r="Z338" s="123">
        <v>5.13</v>
      </c>
      <c r="AA338" s="123" t="s">
        <v>2250</v>
      </c>
      <c r="AB338" s="123">
        <v>5.13</v>
      </c>
      <c r="AC338" s="123">
        <v>1</v>
      </c>
      <c r="AD338" s="123"/>
      <c r="AH338" s="123">
        <f t="shared" si="42"/>
        <v>778</v>
      </c>
      <c r="AI338" t="b">
        <f t="shared" si="44"/>
        <v>0</v>
      </c>
      <c r="AJ338" s="123">
        <f t="shared" si="43"/>
        <v>522</v>
      </c>
      <c r="AK338" t="b">
        <f t="shared" si="45"/>
        <v>0</v>
      </c>
    </row>
    <row r="339" spans="4:37">
      <c r="D339" s="133" t="s">
        <v>2452</v>
      </c>
      <c r="E339" s="124">
        <v>42769</v>
      </c>
      <c r="F339" s="123"/>
      <c r="G339" s="124">
        <v>42845</v>
      </c>
      <c r="H339" s="124"/>
      <c r="I339" s="125">
        <v>0.39583333333333331</v>
      </c>
      <c r="J339" s="125"/>
      <c r="K339" s="123">
        <v>934</v>
      </c>
      <c r="L339" s="123"/>
      <c r="M339" s="123">
        <v>754</v>
      </c>
      <c r="N339" s="123"/>
      <c r="O339" s="123">
        <v>375</v>
      </c>
      <c r="P339" s="123">
        <v>886</v>
      </c>
      <c r="Q339" s="123">
        <v>362</v>
      </c>
      <c r="R339" s="123"/>
      <c r="S339" s="123"/>
      <c r="T339" s="123">
        <v>23.6</v>
      </c>
      <c r="U339" s="123">
        <v>27.4</v>
      </c>
      <c r="V339" s="123" t="s">
        <v>2187</v>
      </c>
      <c r="W339" s="126"/>
      <c r="X339" s="126"/>
      <c r="Y339" s="126"/>
      <c r="Z339" s="123">
        <v>17.399999999999999</v>
      </c>
      <c r="AA339" s="123" t="s">
        <v>2250</v>
      </c>
      <c r="AB339" s="123">
        <v>13.8</v>
      </c>
      <c r="AC339" s="123">
        <v>1</v>
      </c>
      <c r="AD339" s="123" t="s">
        <v>2422</v>
      </c>
      <c r="AH339" s="123">
        <f t="shared" si="42"/>
        <v>563</v>
      </c>
      <c r="AI339" t="b">
        <f t="shared" si="44"/>
        <v>0</v>
      </c>
      <c r="AJ339" s="123">
        <f t="shared" si="43"/>
        <v>480</v>
      </c>
      <c r="AK339" t="b">
        <f t="shared" si="45"/>
        <v>0</v>
      </c>
    </row>
    <row r="340" spans="4:37">
      <c r="D340" s="133" t="s">
        <v>2453</v>
      </c>
      <c r="E340" s="124">
        <v>42769</v>
      </c>
      <c r="F340" s="123"/>
      <c r="G340" s="124">
        <v>42845</v>
      </c>
      <c r="H340" s="124"/>
      <c r="I340" s="125">
        <v>0.42708333333333331</v>
      </c>
      <c r="J340" s="125"/>
      <c r="K340" s="123">
        <v>935</v>
      </c>
      <c r="L340" s="123"/>
      <c r="M340" s="123">
        <v>715</v>
      </c>
      <c r="N340" s="123"/>
      <c r="O340" s="123">
        <v>219</v>
      </c>
      <c r="P340" s="123">
        <v>388</v>
      </c>
      <c r="Q340" s="123">
        <v>370</v>
      </c>
      <c r="R340" s="123"/>
      <c r="S340" s="123"/>
      <c r="T340" s="143">
        <v>24.3</v>
      </c>
      <c r="U340" s="129">
        <v>19.100000000000001</v>
      </c>
      <c r="V340" s="123" t="s">
        <v>2187</v>
      </c>
      <c r="W340" s="126" t="s">
        <v>2230</v>
      </c>
      <c r="X340" s="126" t="s">
        <v>2187</v>
      </c>
      <c r="Y340" s="126" t="s">
        <v>2187</v>
      </c>
      <c r="Z340" s="123">
        <v>5.13</v>
      </c>
      <c r="AA340" s="123" t="s">
        <v>2250</v>
      </c>
      <c r="AB340" s="123">
        <v>5.13</v>
      </c>
      <c r="AC340" s="123">
        <v>1</v>
      </c>
      <c r="AD340" s="123"/>
      <c r="AH340" s="123">
        <f t="shared" si="42"/>
        <v>901</v>
      </c>
      <c r="AI340" t="b">
        <f t="shared" si="44"/>
        <v>0</v>
      </c>
      <c r="AJ340" s="123">
        <f t="shared" si="43"/>
        <v>565</v>
      </c>
      <c r="AK340" t="b">
        <f t="shared" si="45"/>
        <v>0</v>
      </c>
    </row>
    <row r="341" spans="4:37">
      <c r="D341" s="133" t="s">
        <v>2454</v>
      </c>
      <c r="E341" s="124">
        <v>42769</v>
      </c>
      <c r="F341" s="123"/>
      <c r="G341" s="124">
        <v>42844</v>
      </c>
      <c r="H341" s="124"/>
      <c r="I341" s="125">
        <v>0.71875</v>
      </c>
      <c r="J341" s="125"/>
      <c r="K341" s="123">
        <v>929</v>
      </c>
      <c r="L341" s="123"/>
      <c r="M341" s="123">
        <v>785</v>
      </c>
      <c r="N341" s="123"/>
      <c r="O341" s="123">
        <v>463</v>
      </c>
      <c r="P341" s="123">
        <v>462</v>
      </c>
      <c r="Q341" s="123">
        <v>168</v>
      </c>
      <c r="R341" s="123"/>
      <c r="S341" s="123"/>
      <c r="T341" s="123">
        <v>32</v>
      </c>
      <c r="U341" s="123">
        <v>14.9</v>
      </c>
      <c r="V341" s="123" t="s">
        <v>2187</v>
      </c>
      <c r="W341" s="126"/>
      <c r="X341" s="126" t="s">
        <v>2187</v>
      </c>
      <c r="Y341" s="126" t="s">
        <v>2187</v>
      </c>
      <c r="Z341" s="123">
        <v>7.9</v>
      </c>
      <c r="AA341" s="123" t="s">
        <v>2250</v>
      </c>
      <c r="AB341" s="123">
        <v>7.9</v>
      </c>
      <c r="AC341" s="123">
        <v>1</v>
      </c>
      <c r="AD341" s="123"/>
      <c r="AH341" s="123">
        <f t="shared" si="42"/>
        <v>791</v>
      </c>
      <c r="AI341" t="b">
        <f t="shared" si="44"/>
        <v>0</v>
      </c>
      <c r="AJ341" s="123">
        <f t="shared" si="43"/>
        <v>544</v>
      </c>
      <c r="AK341" t="b">
        <f t="shared" si="45"/>
        <v>0</v>
      </c>
    </row>
    <row r="342" spans="4:37">
      <c r="D342" s="133" t="s">
        <v>2452</v>
      </c>
      <c r="E342" s="124">
        <v>42769</v>
      </c>
      <c r="F342" s="123"/>
      <c r="G342" s="124">
        <v>42845</v>
      </c>
      <c r="H342" s="124"/>
      <c r="I342" s="125">
        <v>0.39583333333333331</v>
      </c>
      <c r="J342" s="125"/>
      <c r="K342" s="123">
        <v>934</v>
      </c>
      <c r="L342" s="123"/>
      <c r="M342" s="123">
        <v>877</v>
      </c>
      <c r="N342" s="123"/>
      <c r="O342" s="123">
        <v>339</v>
      </c>
      <c r="P342" s="123">
        <v>712</v>
      </c>
      <c r="Q342" s="123">
        <v>269</v>
      </c>
      <c r="R342" s="123"/>
      <c r="S342" s="123"/>
      <c r="T342" s="123">
        <v>23.7</v>
      </c>
      <c r="U342" s="123">
        <v>9.6999999999999993</v>
      </c>
      <c r="V342" s="123" t="s">
        <v>2187</v>
      </c>
      <c r="W342" s="126" t="s">
        <v>2187</v>
      </c>
      <c r="X342" s="126"/>
      <c r="Y342" s="126" t="s">
        <v>2187</v>
      </c>
      <c r="Z342" s="123">
        <v>17.399999999999999</v>
      </c>
      <c r="AA342" s="123" t="s">
        <v>2250</v>
      </c>
      <c r="AB342" s="123">
        <v>13.8</v>
      </c>
      <c r="AC342" s="123">
        <v>1</v>
      </c>
      <c r="AD342" s="123"/>
      <c r="AH342" s="123">
        <f t="shared" si="42"/>
        <v>802</v>
      </c>
      <c r="AI342" t="b">
        <f t="shared" si="44"/>
        <v>0</v>
      </c>
      <c r="AJ342" s="123">
        <f t="shared" si="43"/>
        <v>526</v>
      </c>
      <c r="AK342" t="b">
        <f t="shared" si="45"/>
        <v>0</v>
      </c>
    </row>
    <row r="343" spans="4:37">
      <c r="D343" s="122" t="s">
        <v>2455</v>
      </c>
      <c r="E343" s="124">
        <v>42769</v>
      </c>
      <c r="F343" s="123"/>
      <c r="G343" s="124">
        <v>42844</v>
      </c>
      <c r="H343" s="124"/>
      <c r="I343" s="125">
        <v>0.68055555555555547</v>
      </c>
      <c r="J343" s="125"/>
      <c r="K343" s="123">
        <v>933</v>
      </c>
      <c r="L343" s="123"/>
      <c r="M343" s="123">
        <v>816</v>
      </c>
      <c r="N343" s="123"/>
      <c r="O343" s="123">
        <v>303</v>
      </c>
      <c r="P343" s="123">
        <v>709</v>
      </c>
      <c r="Q343" s="123">
        <v>359</v>
      </c>
      <c r="R343" s="123"/>
      <c r="S343" s="123"/>
      <c r="T343" s="123">
        <v>30.1</v>
      </c>
      <c r="U343" s="123">
        <v>18.399999999999999</v>
      </c>
      <c r="V343" s="123" t="s">
        <v>2187</v>
      </c>
      <c r="W343" s="126" t="s">
        <v>2187</v>
      </c>
      <c r="X343" s="126" t="s">
        <v>2187</v>
      </c>
      <c r="Y343" s="126" t="s">
        <v>2187</v>
      </c>
      <c r="Z343" s="123">
        <v>12.2</v>
      </c>
      <c r="AA343" s="123" t="s">
        <v>2250</v>
      </c>
      <c r="AB343" s="123">
        <v>15.2</v>
      </c>
      <c r="AC343" s="123">
        <v>1</v>
      </c>
      <c r="AD343" s="123"/>
      <c r="AH343" s="123">
        <f t="shared" si="42"/>
        <v>698</v>
      </c>
      <c r="AI343" t="b">
        <f t="shared" si="44"/>
        <v>0</v>
      </c>
      <c r="AJ343" s="123">
        <f t="shared" si="43"/>
        <v>594</v>
      </c>
      <c r="AK343" t="b">
        <f t="shared" si="45"/>
        <v>0</v>
      </c>
    </row>
    <row r="344" spans="4:37">
      <c r="D344" s="122" t="s">
        <v>2455</v>
      </c>
      <c r="E344" s="124">
        <v>42769</v>
      </c>
      <c r="F344" s="123"/>
      <c r="G344" s="124">
        <v>42844</v>
      </c>
      <c r="H344" s="124"/>
      <c r="I344" s="125">
        <v>0.68055555555555547</v>
      </c>
      <c r="J344" s="125"/>
      <c r="K344" s="123">
        <v>933</v>
      </c>
      <c r="L344" s="123"/>
      <c r="M344" s="123">
        <v>811</v>
      </c>
      <c r="N344" s="123"/>
      <c r="O344" s="123">
        <v>218</v>
      </c>
      <c r="P344" s="123">
        <v>707</v>
      </c>
      <c r="Q344" s="123">
        <v>395</v>
      </c>
      <c r="R344" s="123"/>
      <c r="S344" s="123"/>
      <c r="T344" s="123">
        <v>30.4</v>
      </c>
      <c r="U344" s="123">
        <v>18.899999999999999</v>
      </c>
      <c r="V344" s="123" t="s">
        <v>2187</v>
      </c>
      <c r="W344" s="126" t="s">
        <v>2187</v>
      </c>
      <c r="X344" s="126" t="s">
        <v>2187</v>
      </c>
      <c r="Y344" s="126"/>
      <c r="Z344" s="123">
        <v>12.2</v>
      </c>
      <c r="AA344" s="123" t="s">
        <v>2250</v>
      </c>
      <c r="AB344" s="123">
        <v>15.2</v>
      </c>
      <c r="AC344" s="123">
        <v>1</v>
      </c>
      <c r="AD344" s="123"/>
      <c r="AH344" s="123">
        <f t="shared" si="42"/>
        <v>825</v>
      </c>
      <c r="AI344" t="b">
        <f t="shared" si="44"/>
        <v>0</v>
      </c>
      <c r="AJ344" s="123">
        <f t="shared" si="43"/>
        <v>564</v>
      </c>
      <c r="AK344" t="b">
        <f t="shared" si="45"/>
        <v>0</v>
      </c>
    </row>
    <row r="345" spans="4:37">
      <c r="D345" s="133" t="s">
        <v>2452</v>
      </c>
      <c r="E345" s="124">
        <v>42769</v>
      </c>
      <c r="F345" s="123"/>
      <c r="G345" s="124">
        <v>42845</v>
      </c>
      <c r="H345" s="124"/>
      <c r="I345" s="125">
        <v>0.39583333333333331</v>
      </c>
      <c r="J345" s="125"/>
      <c r="K345" s="123">
        <v>934</v>
      </c>
      <c r="L345" s="123"/>
      <c r="M345" s="123">
        <v>773</v>
      </c>
      <c r="N345" s="123"/>
      <c r="O345" s="123">
        <v>135</v>
      </c>
      <c r="P345" s="123">
        <v>770</v>
      </c>
      <c r="Q345" s="123">
        <v>182</v>
      </c>
      <c r="R345" s="123"/>
      <c r="S345" s="123"/>
      <c r="T345" s="123">
        <v>23.3</v>
      </c>
      <c r="U345" s="123">
        <v>16.399999999999999</v>
      </c>
      <c r="V345" s="123" t="s">
        <v>2187</v>
      </c>
      <c r="W345" s="126" t="s">
        <v>2187</v>
      </c>
      <c r="X345" s="126" t="s">
        <v>2187</v>
      </c>
      <c r="Y345" s="126"/>
      <c r="Z345" s="123">
        <v>17.399999999999999</v>
      </c>
      <c r="AA345" s="123" t="s">
        <v>2250</v>
      </c>
      <c r="AB345" s="123">
        <v>13.8</v>
      </c>
      <c r="AC345" s="123">
        <v>1</v>
      </c>
      <c r="AD345" s="123"/>
      <c r="AH345" s="123">
        <f t="shared" si="42"/>
        <v>839</v>
      </c>
      <c r="AI345" t="b">
        <f t="shared" si="44"/>
        <v>0</v>
      </c>
      <c r="AJ345" s="123">
        <f t="shared" si="43"/>
        <v>429</v>
      </c>
      <c r="AK345" t="b">
        <f t="shared" si="45"/>
        <v>0</v>
      </c>
    </row>
    <row r="346" spans="4:37">
      <c r="D346" s="133" t="s">
        <v>2453</v>
      </c>
      <c r="E346" s="124">
        <v>42769</v>
      </c>
      <c r="F346" s="123"/>
      <c r="G346" s="124">
        <v>42845</v>
      </c>
      <c r="H346" s="124"/>
      <c r="I346" s="125">
        <v>0.42708333333333331</v>
      </c>
      <c r="J346" s="125"/>
      <c r="K346" s="123">
        <v>935</v>
      </c>
      <c r="L346" s="123"/>
      <c r="M346" s="123">
        <v>645</v>
      </c>
      <c r="N346" s="123"/>
      <c r="O346" s="123">
        <v>372</v>
      </c>
      <c r="P346" s="123">
        <v>753</v>
      </c>
      <c r="Q346" s="123">
        <v>342</v>
      </c>
      <c r="R346" s="144"/>
      <c r="S346" s="144"/>
      <c r="T346" s="159">
        <v>31.1</v>
      </c>
      <c r="U346" s="129">
        <v>23.3</v>
      </c>
      <c r="V346" s="123" t="s">
        <v>2187</v>
      </c>
      <c r="W346" s="126" t="s">
        <v>2179</v>
      </c>
      <c r="X346" s="126" t="s">
        <v>2187</v>
      </c>
      <c r="Y346" s="126"/>
      <c r="Z346" s="123">
        <v>5.13</v>
      </c>
      <c r="AA346" s="123" t="s">
        <v>2250</v>
      </c>
      <c r="AB346" s="123">
        <v>5.13</v>
      </c>
      <c r="AC346" s="123">
        <v>1</v>
      </c>
      <c r="AD346" s="123"/>
      <c r="AH346" s="123">
        <f t="shared" si="42"/>
        <v>895</v>
      </c>
      <c r="AI346" t="b">
        <f t="shared" si="44"/>
        <v>0</v>
      </c>
      <c r="AJ346" s="123">
        <f t="shared" si="43"/>
        <v>466</v>
      </c>
      <c r="AK346" t="b">
        <f t="shared" si="45"/>
        <v>0</v>
      </c>
    </row>
    <row r="347" spans="4:37">
      <c r="D347" s="133" t="s">
        <v>2454</v>
      </c>
      <c r="E347" s="124">
        <v>42769</v>
      </c>
      <c r="F347" s="123"/>
      <c r="G347" s="124">
        <v>42844</v>
      </c>
      <c r="H347" s="124"/>
      <c r="I347" s="125">
        <v>0.71875</v>
      </c>
      <c r="J347" s="125"/>
      <c r="K347" s="123">
        <v>929</v>
      </c>
      <c r="L347" s="123"/>
      <c r="M347" s="165">
        <v>814</v>
      </c>
      <c r="N347" s="165"/>
      <c r="O347" s="165">
        <v>334</v>
      </c>
      <c r="P347" s="165">
        <v>640</v>
      </c>
      <c r="Q347" s="165">
        <v>139</v>
      </c>
      <c r="R347" s="123"/>
      <c r="S347" s="123"/>
      <c r="T347" s="123">
        <v>32.700000000000003</v>
      </c>
      <c r="U347" s="123">
        <v>16.399999999999999</v>
      </c>
      <c r="V347" s="123" t="s">
        <v>2187</v>
      </c>
      <c r="W347" s="126" t="s">
        <v>2187</v>
      </c>
      <c r="X347" s="126" t="s">
        <v>2187</v>
      </c>
      <c r="Y347" s="126"/>
      <c r="Z347" s="123">
        <v>7.9</v>
      </c>
      <c r="AA347" s="123" t="s">
        <v>2250</v>
      </c>
      <c r="AB347" s="123">
        <v>7.9</v>
      </c>
      <c r="AC347" s="123">
        <v>1</v>
      </c>
      <c r="AD347" s="123"/>
      <c r="AH347" s="123">
        <f t="shared" si="42"/>
        <v>682</v>
      </c>
      <c r="AI347" t="b">
        <f t="shared" si="44"/>
        <v>0</v>
      </c>
      <c r="AJ347" s="123">
        <f t="shared" si="43"/>
        <v>471</v>
      </c>
      <c r="AK347" t="b">
        <f t="shared" si="45"/>
        <v>0</v>
      </c>
    </row>
    <row r="348" spans="4:37">
      <c r="D348" s="133" t="s">
        <v>2453</v>
      </c>
      <c r="E348" s="124">
        <v>42769</v>
      </c>
      <c r="F348" s="123"/>
      <c r="G348" s="124">
        <v>42845</v>
      </c>
      <c r="H348" s="124"/>
      <c r="I348" s="125">
        <v>0.42708333333333331</v>
      </c>
      <c r="J348" s="125"/>
      <c r="K348" s="123">
        <v>935</v>
      </c>
      <c r="L348" s="123"/>
      <c r="M348" s="165">
        <v>814</v>
      </c>
      <c r="N348" s="165"/>
      <c r="O348" s="165">
        <v>334</v>
      </c>
      <c r="P348" s="165">
        <v>640</v>
      </c>
      <c r="Q348" s="165">
        <v>139</v>
      </c>
      <c r="R348" s="123"/>
      <c r="S348" s="123"/>
      <c r="T348" s="129">
        <v>23.2</v>
      </c>
      <c r="U348" s="129">
        <v>23.4</v>
      </c>
      <c r="V348" s="123" t="s">
        <v>2200</v>
      </c>
      <c r="W348" s="126" t="s">
        <v>2187</v>
      </c>
      <c r="X348" s="126" t="s">
        <v>2187</v>
      </c>
      <c r="Y348" s="126"/>
      <c r="Z348" s="123">
        <v>5.13</v>
      </c>
      <c r="AA348" s="123" t="s">
        <v>2250</v>
      </c>
      <c r="AB348" s="123">
        <v>5.13</v>
      </c>
      <c r="AC348" s="123">
        <v>1</v>
      </c>
      <c r="AD348" s="123"/>
      <c r="AH348" s="123">
        <f t="shared" si="42"/>
        <v>740</v>
      </c>
      <c r="AI348" t="b">
        <f t="shared" si="44"/>
        <v>0</v>
      </c>
      <c r="AJ348" s="123">
        <f t="shared" si="43"/>
        <v>486</v>
      </c>
      <c r="AK348" t="b">
        <f t="shared" si="45"/>
        <v>0</v>
      </c>
    </row>
    <row r="349" spans="4:37">
      <c r="D349" s="133" t="s">
        <v>2452</v>
      </c>
      <c r="E349" s="124">
        <v>42769</v>
      </c>
      <c r="F349" s="123"/>
      <c r="G349" s="124">
        <v>42845</v>
      </c>
      <c r="H349" s="124"/>
      <c r="I349" s="125">
        <v>0.39583333333333331</v>
      </c>
      <c r="J349" s="125"/>
      <c r="K349" s="123">
        <v>934</v>
      </c>
      <c r="L349" s="123"/>
      <c r="M349" s="123">
        <v>621</v>
      </c>
      <c r="N349" s="123"/>
      <c r="O349" s="123">
        <v>265</v>
      </c>
      <c r="P349" s="123">
        <v>668</v>
      </c>
      <c r="Q349" s="123">
        <v>92</v>
      </c>
      <c r="R349" s="123"/>
      <c r="S349" s="123"/>
      <c r="T349" s="123">
        <v>24.1</v>
      </c>
      <c r="U349" s="123">
        <v>12.4</v>
      </c>
      <c r="V349" s="123" t="s">
        <v>2187</v>
      </c>
      <c r="W349" s="126"/>
      <c r="X349" s="126" t="s">
        <v>2187</v>
      </c>
      <c r="Y349" s="126" t="s">
        <v>2187</v>
      </c>
      <c r="Z349" s="123">
        <v>17.399999999999999</v>
      </c>
      <c r="AA349" s="123" t="s">
        <v>2250</v>
      </c>
      <c r="AB349" s="123">
        <v>13.8</v>
      </c>
      <c r="AC349" s="123">
        <v>1</v>
      </c>
      <c r="AD349" s="123"/>
      <c r="AH349" s="123">
        <f t="shared" si="42"/>
        <v>841</v>
      </c>
      <c r="AI349" t="b">
        <f t="shared" si="44"/>
        <v>0</v>
      </c>
      <c r="AJ349" s="129">
        <f t="shared" si="43"/>
        <v>55</v>
      </c>
      <c r="AK349" t="b">
        <f t="shared" si="45"/>
        <v>0</v>
      </c>
    </row>
    <row r="350" spans="4:37">
      <c r="D350" s="122" t="s">
        <v>2455</v>
      </c>
      <c r="E350" s="124">
        <v>42769</v>
      </c>
      <c r="F350" s="123"/>
      <c r="G350" s="124">
        <v>42844</v>
      </c>
      <c r="H350" s="124"/>
      <c r="I350" s="125">
        <v>0.68055555555555547</v>
      </c>
      <c r="J350" s="125"/>
      <c r="K350" s="123">
        <v>933</v>
      </c>
      <c r="L350" s="123"/>
      <c r="M350" s="123">
        <v>677</v>
      </c>
      <c r="N350" s="123"/>
      <c r="O350" s="123">
        <v>234</v>
      </c>
      <c r="P350" s="123">
        <v>891</v>
      </c>
      <c r="Q350" s="123">
        <v>328</v>
      </c>
      <c r="R350" s="123"/>
      <c r="S350" s="123"/>
      <c r="T350" s="123">
        <v>33.1</v>
      </c>
      <c r="U350" s="123">
        <v>16.3</v>
      </c>
      <c r="V350" s="123" t="s">
        <v>2187</v>
      </c>
      <c r="W350" s="126" t="s">
        <v>2195</v>
      </c>
      <c r="X350" s="126" t="s">
        <v>2187</v>
      </c>
      <c r="Y350" s="126"/>
      <c r="Z350" s="123">
        <v>12.2</v>
      </c>
      <c r="AA350" s="123" t="s">
        <v>2250</v>
      </c>
      <c r="AB350" s="123">
        <v>15.2</v>
      </c>
      <c r="AC350" s="123">
        <v>1</v>
      </c>
      <c r="AD350" s="123"/>
      <c r="AH350" s="123">
        <f t="shared" si="42"/>
        <v>687</v>
      </c>
      <c r="AI350" t="b">
        <f t="shared" si="44"/>
        <v>0</v>
      </c>
      <c r="AJ350" s="123">
        <f t="shared" si="43"/>
        <v>424</v>
      </c>
      <c r="AK350" t="b">
        <f t="shared" si="45"/>
        <v>0</v>
      </c>
    </row>
    <row r="351" spans="4:37">
      <c r="D351" s="133" t="s">
        <v>2454</v>
      </c>
      <c r="E351" s="124">
        <v>42769</v>
      </c>
      <c r="F351" s="123"/>
      <c r="G351" s="124">
        <v>42844</v>
      </c>
      <c r="H351" s="124"/>
      <c r="I351" s="125">
        <v>0.71875</v>
      </c>
      <c r="J351" s="125"/>
      <c r="K351" s="123">
        <v>929</v>
      </c>
      <c r="L351" s="123"/>
      <c r="M351" s="123">
        <v>574</v>
      </c>
      <c r="N351" s="123"/>
      <c r="O351" s="123">
        <v>258</v>
      </c>
      <c r="P351" s="165">
        <v>540</v>
      </c>
      <c r="Q351" s="123">
        <v>149</v>
      </c>
      <c r="R351" s="123"/>
      <c r="S351" s="123"/>
      <c r="T351" s="123">
        <v>31.9</v>
      </c>
      <c r="U351" s="123">
        <v>16.3</v>
      </c>
      <c r="V351" s="123" t="s">
        <v>2187</v>
      </c>
      <c r="W351" s="126" t="s">
        <v>2187</v>
      </c>
      <c r="X351" s="126" t="s">
        <v>2187</v>
      </c>
      <c r="Y351" s="126" t="s">
        <v>2187</v>
      </c>
      <c r="Z351" s="123">
        <v>7.9</v>
      </c>
      <c r="AA351" s="123" t="s">
        <v>2250</v>
      </c>
      <c r="AB351" s="123">
        <v>7.9</v>
      </c>
      <c r="AC351" s="123">
        <v>1</v>
      </c>
      <c r="AD351" s="123"/>
      <c r="AH351" s="123">
        <f t="shared" si="42"/>
        <v>833</v>
      </c>
      <c r="AI351" t="b">
        <f t="shared" si="44"/>
        <v>0</v>
      </c>
      <c r="AJ351" s="123">
        <f t="shared" si="43"/>
        <v>418</v>
      </c>
      <c r="AK351" t="b">
        <f t="shared" si="45"/>
        <v>0</v>
      </c>
    </row>
    <row r="352" spans="4:37">
      <c r="D352" s="133" t="s">
        <v>2453</v>
      </c>
      <c r="E352" s="124">
        <v>42769</v>
      </c>
      <c r="F352" s="123"/>
      <c r="G352" s="124">
        <v>42845</v>
      </c>
      <c r="H352" s="124"/>
      <c r="I352" s="125">
        <v>0.42708333333333331</v>
      </c>
      <c r="J352" s="125"/>
      <c r="K352" s="123">
        <v>935</v>
      </c>
      <c r="L352" s="123"/>
      <c r="M352" s="123">
        <v>710</v>
      </c>
      <c r="N352" s="123"/>
      <c r="O352" s="123">
        <v>344</v>
      </c>
      <c r="P352" s="123">
        <v>508</v>
      </c>
      <c r="Q352" s="123">
        <v>449</v>
      </c>
      <c r="R352" s="123"/>
      <c r="S352" s="123"/>
      <c r="T352" s="129">
        <v>23</v>
      </c>
      <c r="U352" s="129">
        <v>19.100000000000001</v>
      </c>
      <c r="V352" s="123" t="s">
        <v>2187</v>
      </c>
      <c r="W352" s="126" t="s">
        <v>2187</v>
      </c>
      <c r="X352" s="126" t="s">
        <v>2234</v>
      </c>
      <c r="Y352" s="126" t="s">
        <v>2187</v>
      </c>
      <c r="Z352" s="123">
        <v>5.13</v>
      </c>
      <c r="AA352" s="123" t="s">
        <v>2250</v>
      </c>
      <c r="AB352" s="123">
        <v>5.13</v>
      </c>
      <c r="AC352" s="123">
        <v>1</v>
      </c>
      <c r="AD352" s="123"/>
      <c r="AH352" s="123">
        <f t="shared" ref="AH352:AH415" si="46">N131</f>
        <v>888</v>
      </c>
      <c r="AI352" t="b">
        <f t="shared" si="44"/>
        <v>0</v>
      </c>
      <c r="AJ352" s="123">
        <f t="shared" ref="AJ352:AJ415" si="47">P131</f>
        <v>520</v>
      </c>
      <c r="AK352" t="b">
        <f t="shared" si="45"/>
        <v>0</v>
      </c>
    </row>
    <row r="353" spans="4:37">
      <c r="D353" s="122" t="s">
        <v>2455</v>
      </c>
      <c r="E353" s="124">
        <v>42769</v>
      </c>
      <c r="F353" s="123"/>
      <c r="G353" s="124">
        <v>42844</v>
      </c>
      <c r="H353" s="124"/>
      <c r="I353" s="125">
        <v>0.68055555555555547</v>
      </c>
      <c r="J353" s="125"/>
      <c r="K353" s="123">
        <v>933</v>
      </c>
      <c r="L353" s="123"/>
      <c r="M353" s="123">
        <v>604</v>
      </c>
      <c r="N353" s="123"/>
      <c r="O353" s="123">
        <v>271</v>
      </c>
      <c r="P353" s="123">
        <v>637</v>
      </c>
      <c r="Q353" s="123">
        <v>142</v>
      </c>
      <c r="R353" s="123"/>
      <c r="S353" s="123"/>
      <c r="T353" s="123">
        <v>32.200000000000003</v>
      </c>
      <c r="U353" s="123">
        <v>18.5</v>
      </c>
      <c r="V353" s="123" t="s">
        <v>2187</v>
      </c>
      <c r="W353" s="126" t="s">
        <v>2187</v>
      </c>
      <c r="X353" s="126" t="s">
        <v>2187</v>
      </c>
      <c r="Y353" s="126"/>
      <c r="Z353" s="123">
        <v>12.2</v>
      </c>
      <c r="AA353" s="123" t="s">
        <v>2250</v>
      </c>
      <c r="AB353" s="123">
        <v>15.2</v>
      </c>
      <c r="AC353" s="123">
        <v>1</v>
      </c>
      <c r="AD353" s="123"/>
      <c r="AH353" s="123">
        <f t="shared" si="46"/>
        <v>708</v>
      </c>
      <c r="AI353" t="b">
        <f t="shared" si="44"/>
        <v>0</v>
      </c>
      <c r="AJ353" s="123">
        <f t="shared" si="47"/>
        <v>433</v>
      </c>
      <c r="AK353" t="b">
        <f t="shared" si="45"/>
        <v>0</v>
      </c>
    </row>
    <row r="354" spans="4:37">
      <c r="D354" s="133" t="s">
        <v>2452</v>
      </c>
      <c r="E354" s="124">
        <v>42769</v>
      </c>
      <c r="F354" s="123"/>
      <c r="G354" s="124">
        <v>42845</v>
      </c>
      <c r="H354" s="124"/>
      <c r="I354" s="125">
        <v>0.39583333333333331</v>
      </c>
      <c r="J354" s="125"/>
      <c r="K354" s="123">
        <v>934</v>
      </c>
      <c r="L354" s="123"/>
      <c r="M354" s="123">
        <v>871</v>
      </c>
      <c r="N354" s="123"/>
      <c r="O354" s="123">
        <v>340</v>
      </c>
      <c r="P354" s="123">
        <v>720</v>
      </c>
      <c r="Q354" s="123">
        <v>392</v>
      </c>
      <c r="R354" s="123"/>
      <c r="S354" s="123"/>
      <c r="T354" s="123">
        <v>23.5</v>
      </c>
      <c r="U354" s="123">
        <v>10.6</v>
      </c>
      <c r="V354" s="123" t="s">
        <v>2187</v>
      </c>
      <c r="W354" s="126" t="s">
        <v>2187</v>
      </c>
      <c r="X354" s="126" t="s">
        <v>2187</v>
      </c>
      <c r="Y354" s="126" t="s">
        <v>2187</v>
      </c>
      <c r="Z354" s="123">
        <v>17.399999999999999</v>
      </c>
      <c r="AA354" s="123" t="s">
        <v>2250</v>
      </c>
      <c r="AB354" s="123">
        <v>13.8</v>
      </c>
      <c r="AC354" s="123">
        <v>1</v>
      </c>
      <c r="AD354" s="123"/>
      <c r="AH354" s="123">
        <f t="shared" si="46"/>
        <v>768</v>
      </c>
      <c r="AI354" t="b">
        <f t="shared" si="44"/>
        <v>0</v>
      </c>
      <c r="AJ354" s="123">
        <f t="shared" si="47"/>
        <v>592</v>
      </c>
      <c r="AK354" t="b">
        <f t="shared" si="45"/>
        <v>0</v>
      </c>
    </row>
    <row r="355" spans="4:37">
      <c r="D355" s="133" t="s">
        <v>2454</v>
      </c>
      <c r="E355" s="124">
        <v>42769</v>
      </c>
      <c r="F355" s="123"/>
      <c r="G355" s="124">
        <v>42844</v>
      </c>
      <c r="H355" s="124"/>
      <c r="I355" s="125">
        <v>0.71875</v>
      </c>
      <c r="J355" s="125"/>
      <c r="K355" s="123">
        <v>929</v>
      </c>
      <c r="L355" s="123"/>
      <c r="M355" s="123">
        <v>822</v>
      </c>
      <c r="N355" s="123"/>
      <c r="O355" s="123">
        <v>381</v>
      </c>
      <c r="P355" s="123">
        <v>796</v>
      </c>
      <c r="Q355">
        <v>589</v>
      </c>
      <c r="R355" s="123"/>
      <c r="S355" s="123"/>
      <c r="T355" s="123">
        <v>31.6</v>
      </c>
      <c r="U355" s="123">
        <v>16.399999999999999</v>
      </c>
      <c r="V355" s="123"/>
      <c r="W355" s="126" t="s">
        <v>2234</v>
      </c>
      <c r="X355" s="126" t="s">
        <v>2187</v>
      </c>
      <c r="Y355" s="126" t="s">
        <v>2187</v>
      </c>
      <c r="Z355" s="123">
        <v>7.9</v>
      </c>
      <c r="AA355" s="123" t="s">
        <v>2250</v>
      </c>
      <c r="AB355" s="123">
        <v>7.9</v>
      </c>
      <c r="AC355" s="123">
        <v>1</v>
      </c>
      <c r="AD355" s="123"/>
      <c r="AH355" s="123">
        <f t="shared" si="46"/>
        <v>779</v>
      </c>
      <c r="AI355" t="b">
        <f t="shared" si="44"/>
        <v>0</v>
      </c>
      <c r="AJ355" s="123">
        <f t="shared" si="47"/>
        <v>477</v>
      </c>
      <c r="AK355" t="b">
        <f t="shared" si="45"/>
        <v>0</v>
      </c>
    </row>
    <row r="356" spans="4:37">
      <c r="D356" s="122" t="s">
        <v>2455</v>
      </c>
      <c r="E356" s="124">
        <v>42769</v>
      </c>
      <c r="F356" s="123"/>
      <c r="G356" s="124">
        <v>42844</v>
      </c>
      <c r="H356" s="124"/>
      <c r="I356" s="125">
        <v>0.68055555555555547</v>
      </c>
      <c r="J356" s="125"/>
      <c r="K356" s="123">
        <v>933</v>
      </c>
      <c r="L356" s="123"/>
      <c r="M356" s="123">
        <v>786</v>
      </c>
      <c r="N356" s="92"/>
      <c r="O356">
        <v>93</v>
      </c>
      <c r="P356" s="123">
        <v>560</v>
      </c>
      <c r="Q356" s="123">
        <v>130</v>
      </c>
      <c r="R356" s="123"/>
      <c r="S356" s="123"/>
      <c r="T356" s="123">
        <v>31.3</v>
      </c>
      <c r="U356" s="123">
        <v>15.5</v>
      </c>
      <c r="V356" s="123" t="s">
        <v>2187</v>
      </c>
      <c r="W356" s="126" t="s">
        <v>2187</v>
      </c>
      <c r="X356" s="126" t="s">
        <v>2187</v>
      </c>
      <c r="Y356" s="126"/>
      <c r="Z356" s="123">
        <v>12.2</v>
      </c>
      <c r="AA356" s="123" t="s">
        <v>2250</v>
      </c>
      <c r="AB356" s="123">
        <v>15.2</v>
      </c>
      <c r="AC356" s="123">
        <v>1</v>
      </c>
      <c r="AD356" s="123"/>
      <c r="AH356" s="123">
        <f t="shared" si="46"/>
        <v>799</v>
      </c>
      <c r="AI356" t="b">
        <f t="shared" si="44"/>
        <v>0</v>
      </c>
      <c r="AJ356" s="123">
        <f t="shared" si="47"/>
        <v>597</v>
      </c>
      <c r="AK356" t="b">
        <f t="shared" si="45"/>
        <v>0</v>
      </c>
    </row>
    <row r="357" spans="4:37">
      <c r="D357" s="133" t="s">
        <v>2454</v>
      </c>
      <c r="E357" s="124">
        <v>42769</v>
      </c>
      <c r="F357" s="123"/>
      <c r="G357" s="124">
        <v>42844</v>
      </c>
      <c r="H357" s="124"/>
      <c r="I357" s="125">
        <v>0.71875</v>
      </c>
      <c r="J357" s="125"/>
      <c r="K357" s="123">
        <v>929</v>
      </c>
      <c r="L357" s="123"/>
      <c r="M357" s="123">
        <v>572</v>
      </c>
      <c r="N357" s="123"/>
      <c r="O357" s="123">
        <v>88</v>
      </c>
      <c r="P357" s="123">
        <v>716</v>
      </c>
      <c r="Q357" s="123">
        <v>111</v>
      </c>
      <c r="R357" s="123"/>
      <c r="S357" s="123"/>
      <c r="T357" s="123">
        <v>34.200000000000003</v>
      </c>
      <c r="U357" s="123">
        <v>12</v>
      </c>
      <c r="V357" s="123" t="s">
        <v>2187</v>
      </c>
      <c r="W357" s="126" t="s">
        <v>2187</v>
      </c>
      <c r="X357" s="126" t="s">
        <v>2187</v>
      </c>
      <c r="Y357" s="126" t="s">
        <v>2187</v>
      </c>
      <c r="Z357" s="123">
        <v>7.9</v>
      </c>
      <c r="AA357" s="123" t="s">
        <v>2250</v>
      </c>
      <c r="AB357" s="123">
        <v>7.9</v>
      </c>
      <c r="AC357" s="123">
        <v>1</v>
      </c>
      <c r="AD357" s="123"/>
      <c r="AH357" s="123">
        <f t="shared" si="46"/>
        <v>820</v>
      </c>
      <c r="AI357" t="b">
        <f t="shared" si="44"/>
        <v>0</v>
      </c>
      <c r="AJ357" s="123">
        <f t="shared" si="47"/>
        <v>467</v>
      </c>
      <c r="AK357" t="b">
        <f t="shared" si="45"/>
        <v>0</v>
      </c>
    </row>
    <row r="358" spans="4:37">
      <c r="D358" s="133" t="s">
        <v>2452</v>
      </c>
      <c r="E358" s="124">
        <v>42769</v>
      </c>
      <c r="F358" s="123"/>
      <c r="G358" s="124">
        <v>42845</v>
      </c>
      <c r="H358" s="124"/>
      <c r="I358" s="125">
        <v>0.39583333333333331</v>
      </c>
      <c r="J358" s="125"/>
      <c r="K358" s="123">
        <v>934</v>
      </c>
      <c r="L358" s="123"/>
      <c r="M358" s="123">
        <v>761</v>
      </c>
      <c r="N358" s="123"/>
      <c r="O358" s="123">
        <v>383</v>
      </c>
      <c r="P358" s="123">
        <v>581</v>
      </c>
      <c r="Q358" s="123">
        <v>412</v>
      </c>
      <c r="R358" s="123"/>
      <c r="S358" s="123"/>
      <c r="T358" s="123">
        <v>24.9</v>
      </c>
      <c r="U358" s="123">
        <v>13.4</v>
      </c>
      <c r="V358" s="123" t="s">
        <v>2187</v>
      </c>
      <c r="W358" s="126"/>
      <c r="X358" s="126" t="s">
        <v>2187</v>
      </c>
      <c r="Y358" s="126" t="s">
        <v>2187</v>
      </c>
      <c r="Z358" s="123">
        <v>17.399999999999999</v>
      </c>
      <c r="AA358" s="123" t="s">
        <v>2250</v>
      </c>
      <c r="AB358" s="123">
        <v>13.8</v>
      </c>
      <c r="AC358" s="123">
        <v>1</v>
      </c>
      <c r="AD358" s="123"/>
      <c r="AH358" s="123">
        <f t="shared" si="46"/>
        <v>842</v>
      </c>
      <c r="AI358" t="b">
        <f t="shared" si="44"/>
        <v>0</v>
      </c>
      <c r="AJ358" s="123">
        <f t="shared" si="47"/>
        <v>596</v>
      </c>
      <c r="AK358" t="b">
        <f t="shared" si="45"/>
        <v>0</v>
      </c>
    </row>
    <row r="359" spans="4:37">
      <c r="D359" s="133" t="s">
        <v>2453</v>
      </c>
      <c r="E359" s="124">
        <v>42769</v>
      </c>
      <c r="F359" s="123"/>
      <c r="G359" s="124">
        <v>42845</v>
      </c>
      <c r="H359" s="124"/>
      <c r="I359" s="125">
        <v>0.42708333333333331</v>
      </c>
      <c r="J359" s="125"/>
      <c r="K359" s="123">
        <v>935</v>
      </c>
      <c r="L359" s="123"/>
      <c r="M359" s="123">
        <v>858</v>
      </c>
      <c r="N359" s="123"/>
      <c r="O359" s="123">
        <v>145</v>
      </c>
      <c r="P359" s="123">
        <v>718</v>
      </c>
      <c r="Q359" s="123">
        <v>434</v>
      </c>
      <c r="R359" s="123"/>
      <c r="S359" s="123"/>
      <c r="T359" s="129">
        <v>24.5</v>
      </c>
      <c r="U359" s="129">
        <v>16</v>
      </c>
      <c r="V359" s="123" t="s">
        <v>2230</v>
      </c>
      <c r="W359" s="126" t="s">
        <v>2179</v>
      </c>
      <c r="X359" s="126" t="s">
        <v>2187</v>
      </c>
      <c r="Y359" s="126" t="s">
        <v>2187</v>
      </c>
      <c r="Z359" s="123">
        <v>5.13</v>
      </c>
      <c r="AA359" s="123" t="s">
        <v>2250</v>
      </c>
      <c r="AB359" s="123">
        <v>5.13</v>
      </c>
      <c r="AC359" s="123">
        <v>1</v>
      </c>
      <c r="AD359" s="123"/>
      <c r="AH359" s="123">
        <f t="shared" si="46"/>
        <v>747</v>
      </c>
      <c r="AI359" t="b">
        <f t="shared" si="44"/>
        <v>0</v>
      </c>
      <c r="AJ359" s="123">
        <f t="shared" si="47"/>
        <v>543</v>
      </c>
      <c r="AK359" t="b">
        <f t="shared" si="45"/>
        <v>0</v>
      </c>
    </row>
    <row r="360" spans="4:37">
      <c r="D360" s="133" t="s">
        <v>2452</v>
      </c>
      <c r="E360" s="124">
        <v>42769</v>
      </c>
      <c r="F360" s="123"/>
      <c r="G360" s="124">
        <v>42845</v>
      </c>
      <c r="H360" s="124"/>
      <c r="I360" s="125">
        <v>0.39583333333333331</v>
      </c>
      <c r="J360" s="125"/>
      <c r="K360" s="123">
        <v>934</v>
      </c>
      <c r="L360" s="123"/>
      <c r="M360" s="123">
        <v>755</v>
      </c>
      <c r="N360" s="123"/>
      <c r="O360" s="123">
        <v>241</v>
      </c>
      <c r="P360" s="123">
        <v>613</v>
      </c>
      <c r="Q360" s="123">
        <v>457</v>
      </c>
      <c r="R360" s="123"/>
      <c r="S360" s="123"/>
      <c r="T360" s="123">
        <v>24.3</v>
      </c>
      <c r="U360" s="123">
        <v>15.7</v>
      </c>
      <c r="V360" s="123" t="s">
        <v>2187</v>
      </c>
      <c r="W360" s="126" t="s">
        <v>2187</v>
      </c>
      <c r="X360" s="126" t="s">
        <v>2187</v>
      </c>
      <c r="Y360" s="126"/>
      <c r="Z360" s="123">
        <v>17.399999999999999</v>
      </c>
      <c r="AA360" s="123" t="s">
        <v>2250</v>
      </c>
      <c r="AB360" s="123">
        <v>13.8</v>
      </c>
      <c r="AC360" s="123">
        <v>1</v>
      </c>
      <c r="AD360" s="123"/>
      <c r="AH360" s="123">
        <f t="shared" si="46"/>
        <v>857</v>
      </c>
      <c r="AI360" t="b">
        <f t="shared" si="44"/>
        <v>0</v>
      </c>
      <c r="AJ360" s="123">
        <f t="shared" si="47"/>
        <v>483</v>
      </c>
      <c r="AK360" t="b">
        <f t="shared" si="45"/>
        <v>0</v>
      </c>
    </row>
    <row r="361" spans="4:37">
      <c r="D361" s="133" t="s">
        <v>2453</v>
      </c>
      <c r="E361" s="124">
        <v>42769</v>
      </c>
      <c r="F361" s="123"/>
      <c r="G361" s="124">
        <v>42845</v>
      </c>
      <c r="H361" s="124"/>
      <c r="I361" s="125">
        <v>0.42708333333333331</v>
      </c>
      <c r="J361" s="125"/>
      <c r="K361" s="123">
        <v>935</v>
      </c>
      <c r="L361" s="123"/>
      <c r="M361" s="123">
        <v>795</v>
      </c>
      <c r="N361" s="123"/>
      <c r="O361" s="123">
        <v>302</v>
      </c>
      <c r="P361" s="123">
        <v>804</v>
      </c>
      <c r="Q361" s="123">
        <v>410</v>
      </c>
      <c r="R361" s="123"/>
      <c r="S361" s="123"/>
      <c r="T361" s="129">
        <v>23.5</v>
      </c>
      <c r="U361" s="129">
        <v>19.5</v>
      </c>
      <c r="V361" s="123" t="s">
        <v>2187</v>
      </c>
      <c r="W361" s="126" t="s">
        <v>2187</v>
      </c>
      <c r="X361" s="126" t="s">
        <v>2187</v>
      </c>
      <c r="Y361" s="126" t="s">
        <v>2187</v>
      </c>
      <c r="Z361" s="123">
        <v>5.13</v>
      </c>
      <c r="AA361" s="123" t="s">
        <v>2250</v>
      </c>
      <c r="AB361" s="123">
        <v>5.13</v>
      </c>
      <c r="AC361" s="123">
        <v>1</v>
      </c>
      <c r="AD361" s="123"/>
      <c r="AH361" s="123">
        <f t="shared" si="46"/>
        <v>623</v>
      </c>
      <c r="AI361" t="b">
        <f t="shared" si="44"/>
        <v>0</v>
      </c>
      <c r="AJ361" s="123">
        <f t="shared" si="47"/>
        <v>21</v>
      </c>
      <c r="AK361" t="b">
        <f t="shared" si="45"/>
        <v>0</v>
      </c>
    </row>
    <row r="362" spans="4:37">
      <c r="D362" s="133" t="s">
        <v>2454</v>
      </c>
      <c r="E362" s="124">
        <v>42769</v>
      </c>
      <c r="F362" s="123"/>
      <c r="G362" s="124">
        <v>42844</v>
      </c>
      <c r="H362" s="124"/>
      <c r="I362" s="125">
        <v>0.71875</v>
      </c>
      <c r="J362" s="125"/>
      <c r="K362" s="123">
        <v>929</v>
      </c>
      <c r="L362" s="123"/>
      <c r="M362" s="123">
        <v>251</v>
      </c>
      <c r="N362" s="123"/>
      <c r="O362" s="123">
        <v>442</v>
      </c>
      <c r="P362" s="123">
        <v>587</v>
      </c>
      <c r="Q362" s="123">
        <v>103</v>
      </c>
      <c r="R362" s="123"/>
      <c r="S362" s="123"/>
      <c r="T362" s="123">
        <v>31.8</v>
      </c>
      <c r="U362" s="123">
        <v>14</v>
      </c>
      <c r="V362" s="123" t="s">
        <v>2200</v>
      </c>
      <c r="W362" s="126" t="s">
        <v>2187</v>
      </c>
      <c r="X362" s="126" t="s">
        <v>2187</v>
      </c>
      <c r="Y362" s="126"/>
      <c r="Z362" s="123">
        <v>7.9</v>
      </c>
      <c r="AA362" s="123" t="s">
        <v>2250</v>
      </c>
      <c r="AB362" s="123">
        <v>7.9</v>
      </c>
      <c r="AC362" s="123">
        <v>1</v>
      </c>
      <c r="AD362" s="123"/>
      <c r="AH362" s="123">
        <f t="shared" si="46"/>
        <v>880</v>
      </c>
      <c r="AI362" t="b">
        <f t="shared" si="44"/>
        <v>0</v>
      </c>
      <c r="AJ362" s="123">
        <f t="shared" si="47"/>
        <v>538</v>
      </c>
      <c r="AK362" t="b">
        <f t="shared" si="45"/>
        <v>0</v>
      </c>
    </row>
    <row r="363" spans="4:37">
      <c r="D363" s="122" t="s">
        <v>2455</v>
      </c>
      <c r="E363" s="124">
        <v>42769</v>
      </c>
      <c r="F363" s="123"/>
      <c r="G363" s="124">
        <v>42844</v>
      </c>
      <c r="H363" s="124"/>
      <c r="I363" s="125">
        <v>0.68055555555555547</v>
      </c>
      <c r="J363" s="125"/>
      <c r="K363" s="123">
        <v>933</v>
      </c>
      <c r="L363" s="123"/>
      <c r="M363" s="123">
        <v>782</v>
      </c>
      <c r="N363" s="123"/>
      <c r="O363" s="123">
        <v>250</v>
      </c>
      <c r="P363" s="123">
        <v>849</v>
      </c>
      <c r="Q363" s="123">
        <v>319</v>
      </c>
      <c r="R363" s="123"/>
      <c r="S363" s="123"/>
      <c r="T363" s="123">
        <v>32.1</v>
      </c>
      <c r="U363" s="123">
        <v>15.8</v>
      </c>
      <c r="V363" s="123" t="s">
        <v>2187</v>
      </c>
      <c r="W363" s="126" t="s">
        <v>2179</v>
      </c>
      <c r="X363" s="126" t="s">
        <v>2187</v>
      </c>
      <c r="Y363" s="126"/>
      <c r="Z363" s="123">
        <v>12.2</v>
      </c>
      <c r="AA363" s="123" t="s">
        <v>2250</v>
      </c>
      <c r="AB363" s="123">
        <v>15.2</v>
      </c>
      <c r="AC363" s="123">
        <v>1</v>
      </c>
      <c r="AD363" s="123"/>
      <c r="AH363" s="123">
        <f t="shared" si="46"/>
        <v>706</v>
      </c>
      <c r="AI363" t="b">
        <f t="shared" si="44"/>
        <v>0</v>
      </c>
      <c r="AJ363" s="123">
        <f t="shared" si="47"/>
        <v>559</v>
      </c>
      <c r="AK363" t="b">
        <f t="shared" si="45"/>
        <v>0</v>
      </c>
    </row>
    <row r="364" spans="4:37">
      <c r="AH364" s="123">
        <f t="shared" si="46"/>
        <v>775</v>
      </c>
      <c r="AI364" t="b">
        <f t="shared" si="44"/>
        <v>0</v>
      </c>
      <c r="AJ364" s="123">
        <f t="shared" si="47"/>
        <v>465</v>
      </c>
      <c r="AK364" t="b">
        <f t="shared" si="45"/>
        <v>0</v>
      </c>
    </row>
    <row r="365" spans="4:37">
      <c r="AH365" s="123">
        <f t="shared" si="46"/>
        <v>850</v>
      </c>
      <c r="AI365" t="b">
        <f t="shared" si="44"/>
        <v>0</v>
      </c>
      <c r="AJ365" s="123">
        <f t="shared" si="47"/>
        <v>503</v>
      </c>
      <c r="AK365" t="b">
        <f t="shared" si="45"/>
        <v>0</v>
      </c>
    </row>
    <row r="366" spans="4:37">
      <c r="AH366" s="123">
        <f t="shared" si="46"/>
        <v>697</v>
      </c>
      <c r="AI366" t="b">
        <f t="shared" si="44"/>
        <v>0</v>
      </c>
      <c r="AJ366" s="123">
        <f t="shared" si="47"/>
        <v>567</v>
      </c>
      <c r="AK366" t="b">
        <f t="shared" si="45"/>
        <v>0</v>
      </c>
    </row>
    <row r="367" spans="4:37">
      <c r="AH367" s="123">
        <f t="shared" si="46"/>
        <v>894</v>
      </c>
      <c r="AI367" t="b">
        <f t="shared" si="44"/>
        <v>0</v>
      </c>
      <c r="AJ367" s="123">
        <f t="shared" si="47"/>
        <v>15</v>
      </c>
      <c r="AK367" t="b">
        <f t="shared" si="45"/>
        <v>0</v>
      </c>
    </row>
    <row r="368" spans="4:37">
      <c r="AH368" s="129">
        <f t="shared" si="46"/>
        <v>653</v>
      </c>
      <c r="AI368" t="b">
        <f t="shared" si="44"/>
        <v>0</v>
      </c>
      <c r="AJ368" s="123">
        <f t="shared" si="47"/>
        <v>40</v>
      </c>
      <c r="AK368" t="b">
        <f t="shared" si="45"/>
        <v>0</v>
      </c>
    </row>
    <row r="369" spans="34:37">
      <c r="AH369" s="123">
        <f t="shared" si="46"/>
        <v>762</v>
      </c>
      <c r="AI369" t="b">
        <f t="shared" si="44"/>
        <v>0</v>
      </c>
      <c r="AJ369" s="123">
        <f t="shared" si="47"/>
        <v>468</v>
      </c>
      <c r="AK369" t="b">
        <f t="shared" si="45"/>
        <v>0</v>
      </c>
    </row>
    <row r="370" spans="34:37">
      <c r="AH370" s="123">
        <f t="shared" si="46"/>
        <v>878</v>
      </c>
      <c r="AI370" t="b">
        <f t="shared" si="44"/>
        <v>0</v>
      </c>
      <c r="AJ370" s="123">
        <f t="shared" si="47"/>
        <v>582</v>
      </c>
      <c r="AK370" t="b">
        <f t="shared" si="45"/>
        <v>0</v>
      </c>
    </row>
    <row r="371" spans="34:37">
      <c r="AH371" s="123">
        <f t="shared" si="46"/>
        <v>807</v>
      </c>
      <c r="AI371" t="b">
        <f t="shared" si="44"/>
        <v>0</v>
      </c>
      <c r="AJ371" s="123">
        <f t="shared" si="47"/>
        <v>20</v>
      </c>
      <c r="AK371" t="b">
        <f t="shared" si="45"/>
        <v>0</v>
      </c>
    </row>
    <row r="372" spans="34:37">
      <c r="AH372" s="123">
        <f t="shared" si="46"/>
        <v>696</v>
      </c>
      <c r="AI372" t="b">
        <f t="shared" si="44"/>
        <v>0</v>
      </c>
      <c r="AJ372" s="123">
        <f t="shared" si="47"/>
        <v>533</v>
      </c>
      <c r="AK372" t="b">
        <f t="shared" si="45"/>
        <v>0</v>
      </c>
    </row>
    <row r="373" spans="34:37">
      <c r="AH373" s="123">
        <f t="shared" si="46"/>
        <v>801</v>
      </c>
      <c r="AI373" t="b">
        <f t="shared" si="44"/>
        <v>0</v>
      </c>
      <c r="AJ373" s="123">
        <f t="shared" si="47"/>
        <v>572</v>
      </c>
      <c r="AK373" t="b">
        <f t="shared" si="45"/>
        <v>0</v>
      </c>
    </row>
    <row r="374" spans="34:37">
      <c r="AH374" s="123">
        <f t="shared" si="46"/>
        <v>647</v>
      </c>
      <c r="AI374" t="b">
        <f t="shared" si="44"/>
        <v>0</v>
      </c>
      <c r="AJ374" s="123">
        <f t="shared" si="47"/>
        <v>504</v>
      </c>
      <c r="AK374" t="b">
        <f t="shared" si="45"/>
        <v>0</v>
      </c>
    </row>
    <row r="375" spans="34:37">
      <c r="AH375" s="123">
        <f t="shared" si="46"/>
        <v>744</v>
      </c>
      <c r="AI375" t="b">
        <f t="shared" si="44"/>
        <v>0</v>
      </c>
      <c r="AJ375" s="123">
        <f t="shared" si="47"/>
        <v>579</v>
      </c>
      <c r="AK375" t="b">
        <f t="shared" si="45"/>
        <v>0</v>
      </c>
    </row>
    <row r="376" spans="34:37">
      <c r="AH376" s="123">
        <f t="shared" si="46"/>
        <v>885</v>
      </c>
      <c r="AI376" t="b">
        <f t="shared" si="44"/>
        <v>0</v>
      </c>
      <c r="AJ376" s="123">
        <f t="shared" si="47"/>
        <v>440</v>
      </c>
      <c r="AK376" t="b">
        <f t="shared" si="45"/>
        <v>0</v>
      </c>
    </row>
    <row r="377" spans="34:37">
      <c r="AH377" s="123">
        <f t="shared" si="46"/>
        <v>684</v>
      </c>
      <c r="AI377" t="b">
        <f t="shared" si="44"/>
        <v>0</v>
      </c>
      <c r="AJ377" s="123">
        <f t="shared" si="47"/>
        <v>485</v>
      </c>
      <c r="AK377" t="b">
        <f t="shared" si="45"/>
        <v>0</v>
      </c>
    </row>
    <row r="378" spans="34:37">
      <c r="AH378" s="123">
        <f t="shared" si="46"/>
        <v>827</v>
      </c>
      <c r="AI378" t="b">
        <f t="shared" si="44"/>
        <v>0</v>
      </c>
      <c r="AJ378" s="123">
        <f t="shared" si="47"/>
        <v>556</v>
      </c>
      <c r="AK378" t="b">
        <f t="shared" si="45"/>
        <v>0</v>
      </c>
    </row>
    <row r="379" spans="34:37">
      <c r="AH379" s="123">
        <f t="shared" si="46"/>
        <v>667</v>
      </c>
      <c r="AI379" t="b">
        <f t="shared" si="44"/>
        <v>0</v>
      </c>
      <c r="AJ379" s="123">
        <f t="shared" si="47"/>
        <v>464</v>
      </c>
      <c r="AK379" t="b">
        <f t="shared" si="45"/>
        <v>0</v>
      </c>
    </row>
    <row r="380" spans="34:37">
      <c r="AH380" s="123">
        <f t="shared" si="46"/>
        <v>777</v>
      </c>
      <c r="AI380" t="b">
        <f t="shared" si="44"/>
        <v>0</v>
      </c>
      <c r="AJ380" s="123">
        <f t="shared" si="47"/>
        <v>35</v>
      </c>
      <c r="AK380" t="b">
        <f t="shared" si="45"/>
        <v>0</v>
      </c>
    </row>
    <row r="381" spans="34:37">
      <c r="AH381" s="123">
        <f t="shared" si="46"/>
        <v>884</v>
      </c>
      <c r="AI381" t="b">
        <f t="shared" si="44"/>
        <v>0</v>
      </c>
      <c r="AJ381" s="123">
        <f t="shared" si="47"/>
        <v>570</v>
      </c>
      <c r="AK381" t="b">
        <f t="shared" si="45"/>
        <v>0</v>
      </c>
    </row>
    <row r="382" spans="34:37">
      <c r="AH382" s="123">
        <f t="shared" si="46"/>
        <v>731</v>
      </c>
      <c r="AI382" t="b">
        <f t="shared" si="44"/>
        <v>0</v>
      </c>
      <c r="AJ382" s="123">
        <f t="shared" si="47"/>
        <v>439</v>
      </c>
      <c r="AK382" t="b">
        <f t="shared" si="45"/>
        <v>0</v>
      </c>
    </row>
    <row r="383" spans="34:37">
      <c r="AH383" s="123">
        <f t="shared" si="46"/>
        <v>876</v>
      </c>
      <c r="AI383" t="b">
        <f t="shared" si="44"/>
        <v>0</v>
      </c>
      <c r="AJ383" s="123">
        <f t="shared" si="47"/>
        <v>461</v>
      </c>
      <c r="AK383" t="b">
        <f t="shared" si="45"/>
        <v>0</v>
      </c>
    </row>
    <row r="384" spans="34:37">
      <c r="AH384" s="123">
        <f t="shared" si="46"/>
        <v>351</v>
      </c>
      <c r="AI384" t="b">
        <f t="shared" si="44"/>
        <v>0</v>
      </c>
      <c r="AJ384" s="123">
        <f t="shared" si="47"/>
        <v>253</v>
      </c>
      <c r="AK384" t="b">
        <f t="shared" si="45"/>
        <v>0</v>
      </c>
    </row>
    <row r="385" spans="34:37">
      <c r="AH385" s="123">
        <f t="shared" si="46"/>
        <v>442</v>
      </c>
      <c r="AI385" t="b">
        <f t="shared" si="44"/>
        <v>0</v>
      </c>
      <c r="AJ385" s="123">
        <f t="shared" si="47"/>
        <v>285</v>
      </c>
      <c r="AK385" t="b">
        <f t="shared" si="45"/>
        <v>0</v>
      </c>
    </row>
    <row r="386" spans="34:37">
      <c r="AH386" s="123">
        <f t="shared" si="46"/>
        <v>743</v>
      </c>
      <c r="AI386" t="b">
        <f t="shared" si="44"/>
        <v>0</v>
      </c>
      <c r="AJ386" s="123">
        <f t="shared" si="47"/>
        <v>341</v>
      </c>
      <c r="AK386" t="b">
        <f t="shared" si="45"/>
        <v>0</v>
      </c>
    </row>
    <row r="387" spans="34:37">
      <c r="AH387" s="123">
        <f t="shared" si="46"/>
        <v>390</v>
      </c>
      <c r="AI387" t="b">
        <f t="shared" si="44"/>
        <v>0</v>
      </c>
      <c r="AJ387" s="129">
        <f t="shared" si="47"/>
        <v>264</v>
      </c>
      <c r="AK387" t="b">
        <f t="shared" si="45"/>
        <v>0</v>
      </c>
    </row>
    <row r="388" spans="34:37">
      <c r="AH388" s="123">
        <f t="shared" si="46"/>
        <v>810</v>
      </c>
      <c r="AI388" t="b">
        <f t="shared" ref="AI388:AI443" si="48">COUNTIF($AH$3:$AH$443, AH388)&gt;1</f>
        <v>0</v>
      </c>
      <c r="AJ388" s="123">
        <f t="shared" si="47"/>
        <v>411</v>
      </c>
      <c r="AK388" t="b">
        <f t="shared" ref="AK388:AK443" si="49">COUNTIF($AJ$3:$AJ$443, AJ388)&gt;1</f>
        <v>0</v>
      </c>
    </row>
    <row r="389" spans="34:37">
      <c r="AH389" s="123">
        <f t="shared" si="46"/>
        <v>287</v>
      </c>
      <c r="AI389" t="b">
        <f t="shared" si="48"/>
        <v>0</v>
      </c>
      <c r="AJ389" s="123">
        <f t="shared" si="47"/>
        <v>259</v>
      </c>
      <c r="AK389" t="b">
        <f t="shared" si="49"/>
        <v>0</v>
      </c>
    </row>
    <row r="390" spans="34:37">
      <c r="AH390" s="123">
        <f t="shared" si="46"/>
        <v>443</v>
      </c>
      <c r="AI390" t="b">
        <f t="shared" si="48"/>
        <v>0</v>
      </c>
      <c r="AJ390" s="123">
        <f t="shared" si="47"/>
        <v>215</v>
      </c>
      <c r="AK390" t="b">
        <f t="shared" si="49"/>
        <v>0</v>
      </c>
    </row>
    <row r="391" spans="34:37">
      <c r="AH391" s="123">
        <f t="shared" si="46"/>
        <v>680</v>
      </c>
      <c r="AI391" t="b">
        <f t="shared" si="48"/>
        <v>0</v>
      </c>
      <c r="AJ391" s="123">
        <f t="shared" si="47"/>
        <v>322</v>
      </c>
      <c r="AK391" t="b">
        <f t="shared" si="49"/>
        <v>0</v>
      </c>
    </row>
    <row r="392" spans="34:37">
      <c r="AH392" s="123">
        <f t="shared" si="46"/>
        <v>496</v>
      </c>
      <c r="AI392" t="b">
        <f t="shared" si="48"/>
        <v>0</v>
      </c>
      <c r="AJ392" s="123">
        <f t="shared" si="47"/>
        <v>403</v>
      </c>
      <c r="AK392" t="b">
        <f t="shared" si="49"/>
        <v>0</v>
      </c>
    </row>
    <row r="393" spans="34:37">
      <c r="AH393" s="123">
        <f t="shared" si="46"/>
        <v>674</v>
      </c>
      <c r="AI393" t="b">
        <f t="shared" si="48"/>
        <v>0</v>
      </c>
      <c r="AJ393" s="123">
        <f t="shared" si="47"/>
        <v>583</v>
      </c>
      <c r="AK393" t="b">
        <f t="shared" si="49"/>
        <v>0</v>
      </c>
    </row>
    <row r="394" spans="34:37">
      <c r="AH394" s="123">
        <f t="shared" si="46"/>
        <v>504</v>
      </c>
      <c r="AI394" t="b">
        <f t="shared" si="48"/>
        <v>0</v>
      </c>
      <c r="AJ394" s="123">
        <f t="shared" si="47"/>
        <v>451</v>
      </c>
      <c r="AK394" t="b">
        <f t="shared" si="49"/>
        <v>0</v>
      </c>
    </row>
    <row r="395" spans="34:37">
      <c r="AH395" s="123">
        <f t="shared" si="46"/>
        <v>439</v>
      </c>
      <c r="AI395" t="b">
        <f t="shared" si="48"/>
        <v>0</v>
      </c>
      <c r="AJ395" s="123">
        <f t="shared" si="47"/>
        <v>353</v>
      </c>
      <c r="AK395" t="b">
        <f t="shared" si="49"/>
        <v>0</v>
      </c>
    </row>
    <row r="396" spans="34:37">
      <c r="AH396" s="123">
        <f t="shared" si="46"/>
        <v>865</v>
      </c>
      <c r="AI396" t="b">
        <f t="shared" si="48"/>
        <v>0</v>
      </c>
      <c r="AJ396" s="123">
        <f t="shared" si="47"/>
        <v>105</v>
      </c>
      <c r="AK396" t="b">
        <f t="shared" si="49"/>
        <v>0</v>
      </c>
    </row>
    <row r="397" spans="34:37">
      <c r="AH397" s="123">
        <f t="shared" si="46"/>
        <v>736</v>
      </c>
      <c r="AI397" t="b">
        <f t="shared" si="48"/>
        <v>0</v>
      </c>
      <c r="AJ397" s="123">
        <f t="shared" si="47"/>
        <v>384</v>
      </c>
      <c r="AK397" t="b">
        <f t="shared" si="49"/>
        <v>0</v>
      </c>
    </row>
    <row r="398" spans="34:37">
      <c r="AH398" s="123">
        <f t="shared" si="46"/>
        <v>792</v>
      </c>
      <c r="AI398" t="b">
        <f t="shared" si="48"/>
        <v>0</v>
      </c>
      <c r="AJ398" s="123">
        <f t="shared" si="47"/>
        <v>481</v>
      </c>
      <c r="AK398" t="b">
        <f t="shared" si="49"/>
        <v>0</v>
      </c>
    </row>
    <row r="399" spans="34:37">
      <c r="AH399" s="123">
        <f t="shared" si="46"/>
        <v>470</v>
      </c>
      <c r="AI399" t="b">
        <f t="shared" si="48"/>
        <v>0</v>
      </c>
      <c r="AJ399" s="123">
        <f t="shared" si="47"/>
        <v>490</v>
      </c>
      <c r="AK399" t="b">
        <f t="shared" si="49"/>
        <v>0</v>
      </c>
    </row>
    <row r="400" spans="34:37">
      <c r="AH400" s="123">
        <f t="shared" si="46"/>
        <v>483</v>
      </c>
      <c r="AI400" t="b">
        <f t="shared" si="48"/>
        <v>0</v>
      </c>
      <c r="AJ400" s="123">
        <f t="shared" si="47"/>
        <v>470</v>
      </c>
      <c r="AK400" t="b">
        <f t="shared" si="49"/>
        <v>0</v>
      </c>
    </row>
    <row r="401" spans="34:37">
      <c r="AH401" s="123">
        <f t="shared" si="46"/>
        <v>893</v>
      </c>
      <c r="AI401" t="b">
        <f t="shared" si="48"/>
        <v>0</v>
      </c>
      <c r="AJ401" s="123">
        <f t="shared" si="47"/>
        <v>488</v>
      </c>
      <c r="AK401" t="b">
        <f t="shared" si="49"/>
        <v>0</v>
      </c>
    </row>
    <row r="402" spans="34:37">
      <c r="AH402" s="123">
        <f t="shared" si="46"/>
        <v>826</v>
      </c>
      <c r="AI402" t="b">
        <f t="shared" si="48"/>
        <v>0</v>
      </c>
      <c r="AJ402" s="123">
        <f t="shared" si="47"/>
        <v>273</v>
      </c>
      <c r="AK402" t="b">
        <f t="shared" si="49"/>
        <v>0</v>
      </c>
    </row>
    <row r="403" spans="34:37">
      <c r="AH403" s="123">
        <f t="shared" si="46"/>
        <v>783</v>
      </c>
      <c r="AI403" t="b">
        <f t="shared" si="48"/>
        <v>0</v>
      </c>
      <c r="AJ403" s="123">
        <f t="shared" si="47"/>
        <v>301</v>
      </c>
      <c r="AK403" t="b">
        <f t="shared" si="49"/>
        <v>0</v>
      </c>
    </row>
    <row r="404" spans="34:37">
      <c r="AH404" s="123">
        <f t="shared" si="46"/>
        <v>551</v>
      </c>
      <c r="AI404" t="b">
        <f t="shared" si="48"/>
        <v>0</v>
      </c>
      <c r="AJ404" s="123">
        <f t="shared" si="47"/>
        <v>291</v>
      </c>
      <c r="AK404" t="b">
        <f t="shared" si="49"/>
        <v>0</v>
      </c>
    </row>
    <row r="405" spans="34:37">
      <c r="AH405" s="123">
        <f t="shared" si="46"/>
        <v>818</v>
      </c>
      <c r="AI405" t="b">
        <f t="shared" si="48"/>
        <v>0</v>
      </c>
      <c r="AJ405" s="123">
        <f t="shared" si="47"/>
        <v>537</v>
      </c>
      <c r="AK405" t="b">
        <f t="shared" si="49"/>
        <v>0</v>
      </c>
    </row>
    <row r="406" spans="34:37">
      <c r="AH406" s="123">
        <f t="shared" si="46"/>
        <v>896</v>
      </c>
      <c r="AI406" t="b">
        <f t="shared" si="48"/>
        <v>0</v>
      </c>
      <c r="AJ406" s="123">
        <f t="shared" si="47"/>
        <v>290</v>
      </c>
      <c r="AK406" t="b">
        <f t="shared" si="49"/>
        <v>0</v>
      </c>
    </row>
    <row r="407" spans="34:37">
      <c r="AH407" s="123">
        <f t="shared" si="46"/>
        <v>337</v>
      </c>
      <c r="AI407" t="b">
        <f t="shared" si="48"/>
        <v>0</v>
      </c>
      <c r="AJ407" s="123">
        <f t="shared" si="47"/>
        <v>555</v>
      </c>
      <c r="AK407" t="b">
        <f t="shared" si="49"/>
        <v>0</v>
      </c>
    </row>
    <row r="408" spans="34:37">
      <c r="AH408" s="123">
        <f t="shared" si="46"/>
        <v>564</v>
      </c>
      <c r="AI408" t="b">
        <f t="shared" si="48"/>
        <v>0</v>
      </c>
      <c r="AJ408" s="123">
        <f t="shared" si="47"/>
        <v>539</v>
      </c>
      <c r="AK408" t="b">
        <f t="shared" si="49"/>
        <v>0</v>
      </c>
    </row>
    <row r="409" spans="34:37">
      <c r="AH409" s="123">
        <f t="shared" si="46"/>
        <v>608</v>
      </c>
      <c r="AI409" t="b">
        <f t="shared" si="48"/>
        <v>0</v>
      </c>
      <c r="AJ409" s="123">
        <f t="shared" si="47"/>
        <v>186</v>
      </c>
      <c r="AK409" t="b">
        <f t="shared" si="49"/>
        <v>0</v>
      </c>
    </row>
    <row r="410" spans="34:37">
      <c r="AH410" s="123">
        <f t="shared" si="46"/>
        <v>365</v>
      </c>
      <c r="AI410" t="b">
        <f t="shared" si="48"/>
        <v>0</v>
      </c>
      <c r="AJ410" s="121">
        <f t="shared" si="47"/>
        <v>580</v>
      </c>
      <c r="AK410" t="b">
        <f t="shared" si="49"/>
        <v>0</v>
      </c>
    </row>
    <row r="411" spans="34:37">
      <c r="AH411" s="123">
        <f t="shared" si="46"/>
        <v>375</v>
      </c>
      <c r="AI411" t="b">
        <f t="shared" si="48"/>
        <v>0</v>
      </c>
      <c r="AJ411" s="123">
        <f t="shared" si="47"/>
        <v>222</v>
      </c>
      <c r="AK411" t="b">
        <f t="shared" si="49"/>
        <v>0</v>
      </c>
    </row>
    <row r="412" spans="34:37">
      <c r="AH412" s="123">
        <f t="shared" si="46"/>
        <v>537</v>
      </c>
      <c r="AI412" t="b">
        <f t="shared" si="48"/>
        <v>0</v>
      </c>
      <c r="AJ412" s="123">
        <f t="shared" si="47"/>
        <v>216</v>
      </c>
      <c r="AK412" t="b">
        <f t="shared" si="49"/>
        <v>0</v>
      </c>
    </row>
    <row r="413" spans="34:37">
      <c r="AH413" s="123">
        <f t="shared" si="46"/>
        <v>393</v>
      </c>
      <c r="AI413" t="b">
        <f t="shared" si="48"/>
        <v>0</v>
      </c>
      <c r="AJ413" s="123">
        <f t="shared" si="47"/>
        <v>232</v>
      </c>
      <c r="AK413" t="b">
        <f t="shared" si="49"/>
        <v>0</v>
      </c>
    </row>
    <row r="414" spans="34:37">
      <c r="AH414" s="123">
        <f t="shared" si="46"/>
        <v>417</v>
      </c>
      <c r="AI414" t="b">
        <f t="shared" si="48"/>
        <v>0</v>
      </c>
      <c r="AJ414" s="123">
        <f t="shared" si="47"/>
        <v>387</v>
      </c>
      <c r="AK414" t="b">
        <f t="shared" si="49"/>
        <v>0</v>
      </c>
    </row>
    <row r="415" spans="34:37">
      <c r="AH415" s="129">
        <f t="shared" si="46"/>
        <v>297</v>
      </c>
      <c r="AI415" t="b">
        <f t="shared" si="48"/>
        <v>0</v>
      </c>
      <c r="AJ415" s="123">
        <f t="shared" si="47"/>
        <v>346</v>
      </c>
      <c r="AK415" t="b">
        <f t="shared" si="49"/>
        <v>0</v>
      </c>
    </row>
    <row r="416" spans="34:37">
      <c r="AH416" s="123">
        <f t="shared" ref="AH416:AH443" si="50">N195</f>
        <v>584</v>
      </c>
      <c r="AI416" t="b">
        <f t="shared" si="48"/>
        <v>0</v>
      </c>
      <c r="AJ416" s="123">
        <f t="shared" ref="AJ416:AJ443" si="51">P195</f>
        <v>364</v>
      </c>
      <c r="AK416" t="b">
        <f t="shared" si="49"/>
        <v>0</v>
      </c>
    </row>
    <row r="417" spans="34:37">
      <c r="AH417" s="123">
        <f t="shared" si="50"/>
        <v>713</v>
      </c>
      <c r="AI417" t="b">
        <f t="shared" si="48"/>
        <v>0</v>
      </c>
      <c r="AJ417" s="123">
        <f t="shared" si="51"/>
        <v>167</v>
      </c>
      <c r="AK417" t="b">
        <f t="shared" si="49"/>
        <v>0</v>
      </c>
    </row>
    <row r="418" spans="34:37">
      <c r="AH418" s="123">
        <f t="shared" si="50"/>
        <v>525</v>
      </c>
      <c r="AI418" t="b">
        <f t="shared" si="48"/>
        <v>0</v>
      </c>
      <c r="AJ418" s="123">
        <f t="shared" si="51"/>
        <v>25</v>
      </c>
      <c r="AK418" t="b">
        <f t="shared" si="49"/>
        <v>0</v>
      </c>
    </row>
    <row r="419" spans="34:37">
      <c r="AH419" s="123">
        <f t="shared" si="50"/>
        <v>886</v>
      </c>
      <c r="AI419" t="b">
        <f t="shared" si="48"/>
        <v>0</v>
      </c>
      <c r="AJ419" s="123">
        <f t="shared" si="51"/>
        <v>362</v>
      </c>
      <c r="AK419" t="b">
        <f t="shared" si="49"/>
        <v>0</v>
      </c>
    </row>
    <row r="420" spans="34:37">
      <c r="AH420" s="123">
        <f t="shared" si="50"/>
        <v>388</v>
      </c>
      <c r="AI420" t="b">
        <f t="shared" si="48"/>
        <v>0</v>
      </c>
      <c r="AJ420" s="123">
        <f t="shared" si="51"/>
        <v>370</v>
      </c>
      <c r="AK420" t="b">
        <f t="shared" si="49"/>
        <v>0</v>
      </c>
    </row>
    <row r="421" spans="34:37">
      <c r="AH421" s="123">
        <f t="shared" si="50"/>
        <v>462</v>
      </c>
      <c r="AI421" t="b">
        <f t="shared" si="48"/>
        <v>0</v>
      </c>
      <c r="AJ421" s="123">
        <f t="shared" si="51"/>
        <v>168</v>
      </c>
      <c r="AK421" t="b">
        <f t="shared" si="49"/>
        <v>0</v>
      </c>
    </row>
    <row r="422" spans="34:37">
      <c r="AH422" s="123">
        <f t="shared" si="50"/>
        <v>712</v>
      </c>
      <c r="AI422" t="b">
        <f t="shared" si="48"/>
        <v>0</v>
      </c>
      <c r="AJ422" s="123">
        <f t="shared" si="51"/>
        <v>369</v>
      </c>
      <c r="AK422" t="b">
        <f t="shared" si="49"/>
        <v>0</v>
      </c>
    </row>
    <row r="423" spans="34:37">
      <c r="AH423" s="123">
        <f t="shared" si="50"/>
        <v>709</v>
      </c>
      <c r="AI423" t="b">
        <f t="shared" si="48"/>
        <v>0</v>
      </c>
      <c r="AJ423" s="123">
        <f t="shared" si="51"/>
        <v>359</v>
      </c>
      <c r="AK423" t="b">
        <f t="shared" si="49"/>
        <v>0</v>
      </c>
    </row>
    <row r="424" spans="34:37">
      <c r="AH424" s="123">
        <f t="shared" si="50"/>
        <v>707</v>
      </c>
      <c r="AI424" t="b">
        <f t="shared" si="48"/>
        <v>0</v>
      </c>
      <c r="AJ424" s="123">
        <f t="shared" si="51"/>
        <v>395</v>
      </c>
      <c r="AK424" t="b">
        <f t="shared" si="49"/>
        <v>0</v>
      </c>
    </row>
    <row r="425" spans="34:37">
      <c r="AH425" s="123">
        <f t="shared" si="50"/>
        <v>770</v>
      </c>
      <c r="AI425" t="b">
        <f t="shared" si="48"/>
        <v>0</v>
      </c>
      <c r="AJ425" s="123">
        <f t="shared" si="51"/>
        <v>182</v>
      </c>
      <c r="AK425" t="b">
        <f t="shared" si="49"/>
        <v>0</v>
      </c>
    </row>
    <row r="426" spans="34:37">
      <c r="AH426" s="123">
        <f t="shared" si="50"/>
        <v>753</v>
      </c>
      <c r="AI426" t="b">
        <f t="shared" si="48"/>
        <v>0</v>
      </c>
      <c r="AJ426" s="123">
        <f t="shared" si="51"/>
        <v>342</v>
      </c>
      <c r="AK426" t="b">
        <f t="shared" si="49"/>
        <v>0</v>
      </c>
    </row>
    <row r="427" spans="34:37">
      <c r="AH427" s="123">
        <f t="shared" si="50"/>
        <v>640</v>
      </c>
      <c r="AI427" t="b">
        <f t="shared" si="48"/>
        <v>0</v>
      </c>
      <c r="AJ427" s="123">
        <f t="shared" si="51"/>
        <v>139</v>
      </c>
      <c r="AK427" t="b">
        <f t="shared" si="49"/>
        <v>0</v>
      </c>
    </row>
    <row r="428" spans="34:37">
      <c r="AH428" s="123">
        <f t="shared" si="50"/>
        <v>668</v>
      </c>
      <c r="AI428" t="b">
        <f t="shared" si="48"/>
        <v>0</v>
      </c>
      <c r="AJ428" s="123">
        <f t="shared" si="51"/>
        <v>92</v>
      </c>
      <c r="AK428" t="b">
        <f t="shared" si="49"/>
        <v>0</v>
      </c>
    </row>
    <row r="429" spans="34:37">
      <c r="AH429" s="123">
        <f t="shared" si="50"/>
        <v>891</v>
      </c>
      <c r="AI429" t="b">
        <f t="shared" si="48"/>
        <v>0</v>
      </c>
      <c r="AJ429" s="123">
        <f t="shared" si="51"/>
        <v>328</v>
      </c>
      <c r="AK429" t="b">
        <f t="shared" si="49"/>
        <v>0</v>
      </c>
    </row>
    <row r="430" spans="34:37">
      <c r="AH430" s="123">
        <f t="shared" si="50"/>
        <v>540</v>
      </c>
      <c r="AI430" s="113" t="b">
        <f t="shared" si="48"/>
        <v>0</v>
      </c>
      <c r="AJ430" s="123">
        <f t="shared" si="51"/>
        <v>149</v>
      </c>
      <c r="AK430" t="b">
        <f t="shared" si="49"/>
        <v>0</v>
      </c>
    </row>
    <row r="431" spans="34:37">
      <c r="AH431" s="123">
        <f t="shared" si="50"/>
        <v>508</v>
      </c>
      <c r="AI431" t="b">
        <f t="shared" si="48"/>
        <v>0</v>
      </c>
      <c r="AJ431" s="123">
        <f t="shared" si="51"/>
        <v>449</v>
      </c>
      <c r="AK431" t="b">
        <f t="shared" si="49"/>
        <v>0</v>
      </c>
    </row>
    <row r="432" spans="34:37">
      <c r="AH432" s="123">
        <f t="shared" si="50"/>
        <v>637</v>
      </c>
      <c r="AI432" t="b">
        <f t="shared" si="48"/>
        <v>0</v>
      </c>
      <c r="AJ432" s="123">
        <f t="shared" si="51"/>
        <v>142</v>
      </c>
      <c r="AK432" t="b">
        <f t="shared" si="49"/>
        <v>0</v>
      </c>
    </row>
    <row r="433" spans="34:37">
      <c r="AH433" s="123">
        <f t="shared" si="50"/>
        <v>720</v>
      </c>
      <c r="AI433" t="b">
        <f t="shared" si="48"/>
        <v>0</v>
      </c>
      <c r="AJ433" s="123">
        <f t="shared" si="51"/>
        <v>392</v>
      </c>
      <c r="AK433" t="b">
        <f t="shared" si="49"/>
        <v>0</v>
      </c>
    </row>
    <row r="434" spans="34:37">
      <c r="AH434" s="123">
        <f t="shared" si="50"/>
        <v>796</v>
      </c>
      <c r="AI434" t="b">
        <f t="shared" si="48"/>
        <v>0</v>
      </c>
      <c r="AJ434" s="123">
        <f t="shared" si="51"/>
        <v>589</v>
      </c>
      <c r="AK434" t="b">
        <f t="shared" si="49"/>
        <v>0</v>
      </c>
    </row>
    <row r="435" spans="34:37">
      <c r="AH435" s="123">
        <f t="shared" si="50"/>
        <v>560</v>
      </c>
      <c r="AI435" t="b">
        <f t="shared" si="48"/>
        <v>0</v>
      </c>
      <c r="AJ435" s="123">
        <f t="shared" si="51"/>
        <v>130</v>
      </c>
      <c r="AK435" t="b">
        <f t="shared" si="49"/>
        <v>0</v>
      </c>
    </row>
    <row r="436" spans="34:37">
      <c r="AH436" s="123">
        <f t="shared" si="50"/>
        <v>716</v>
      </c>
      <c r="AI436" t="b">
        <f t="shared" si="48"/>
        <v>0</v>
      </c>
      <c r="AJ436" s="123">
        <f t="shared" si="51"/>
        <v>111</v>
      </c>
      <c r="AK436" t="b">
        <f t="shared" si="49"/>
        <v>0</v>
      </c>
    </row>
    <row r="437" spans="34:37">
      <c r="AH437" s="123">
        <f t="shared" si="50"/>
        <v>581</v>
      </c>
      <c r="AI437" t="b">
        <f t="shared" si="48"/>
        <v>0</v>
      </c>
      <c r="AJ437" s="123">
        <f t="shared" si="51"/>
        <v>412</v>
      </c>
      <c r="AK437" t="b">
        <f t="shared" si="49"/>
        <v>0</v>
      </c>
    </row>
    <row r="438" spans="34:37">
      <c r="AH438" s="123">
        <f t="shared" si="50"/>
        <v>718</v>
      </c>
      <c r="AI438" t="b">
        <f t="shared" si="48"/>
        <v>0</v>
      </c>
      <c r="AJ438" s="123">
        <f t="shared" si="51"/>
        <v>434</v>
      </c>
      <c r="AK438" t="b">
        <f t="shared" si="49"/>
        <v>0</v>
      </c>
    </row>
    <row r="439" spans="34:37">
      <c r="AH439" s="123">
        <f t="shared" si="50"/>
        <v>613</v>
      </c>
      <c r="AI439" t="b">
        <f t="shared" si="48"/>
        <v>0</v>
      </c>
      <c r="AJ439" s="123">
        <f t="shared" si="51"/>
        <v>457</v>
      </c>
      <c r="AK439" t="b">
        <f t="shared" si="49"/>
        <v>0</v>
      </c>
    </row>
    <row r="440" spans="34:37">
      <c r="AH440" s="123">
        <f t="shared" si="50"/>
        <v>804</v>
      </c>
      <c r="AI440" t="b">
        <f t="shared" si="48"/>
        <v>0</v>
      </c>
      <c r="AJ440" s="123">
        <f t="shared" si="51"/>
        <v>410</v>
      </c>
      <c r="AK440" t="b">
        <f t="shared" si="49"/>
        <v>0</v>
      </c>
    </row>
    <row r="441" spans="34:37">
      <c r="AH441" s="123">
        <f t="shared" si="50"/>
        <v>587</v>
      </c>
      <c r="AI441" t="b">
        <f t="shared" si="48"/>
        <v>0</v>
      </c>
      <c r="AJ441" s="123">
        <f t="shared" si="51"/>
        <v>103</v>
      </c>
      <c r="AK441" t="b">
        <f t="shared" si="49"/>
        <v>0</v>
      </c>
    </row>
    <row r="442" spans="34:37">
      <c r="AH442" s="123">
        <f t="shared" si="50"/>
        <v>491</v>
      </c>
      <c r="AI442" t="b">
        <f t="shared" si="48"/>
        <v>0</v>
      </c>
      <c r="AJ442" s="123">
        <f t="shared" si="51"/>
        <v>356</v>
      </c>
      <c r="AK442" t="b">
        <f t="shared" si="49"/>
        <v>0</v>
      </c>
    </row>
    <row r="443" spans="34:37">
      <c r="AH443" s="123">
        <f t="shared" si="50"/>
        <v>849</v>
      </c>
      <c r="AI443" t="b">
        <f t="shared" si="48"/>
        <v>0</v>
      </c>
      <c r="AJ443" s="123">
        <f t="shared" si="51"/>
        <v>319</v>
      </c>
      <c r="AK443" t="b">
        <f t="shared" si="49"/>
        <v>0</v>
      </c>
    </row>
  </sheetData>
  <sortState ref="A260:AD287">
    <sortCondition ref="A3:A224"/>
  </sortState>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340AC-601D-4E00-8143-E20BE1A22EA1}">
  <dimension ref="A1:AE841"/>
  <sheetViews>
    <sheetView topLeftCell="A662" zoomScale="85" zoomScaleNormal="85" workbookViewId="0">
      <selection activeCell="A696" sqref="A696"/>
    </sheetView>
  </sheetViews>
  <sheetFormatPr baseColWidth="10" defaultColWidth="11.5546875" defaultRowHeight="13.95" customHeight="1"/>
  <cols>
    <col min="1" max="1" width="11.109375" style="110" customWidth="1"/>
    <col min="2" max="2" width="13.88671875" style="110" customWidth="1"/>
    <col min="3" max="3" width="23.88671875" style="110" customWidth="1"/>
    <col min="4" max="4" width="26.6640625" style="110" customWidth="1"/>
    <col min="5" max="16384" width="11.5546875" style="110"/>
  </cols>
  <sheetData>
    <row r="1" spans="1:31" ht="13.95" customHeight="1">
      <c r="A1" s="111" t="s">
        <v>1144</v>
      </c>
      <c r="B1" s="111" t="s">
        <v>2149</v>
      </c>
      <c r="C1" s="111" t="s">
        <v>2148</v>
      </c>
      <c r="D1" s="111" t="s">
        <v>2147</v>
      </c>
      <c r="E1" s="111" t="s">
        <v>1141</v>
      </c>
      <c r="F1" s="111" t="s">
        <v>2166</v>
      </c>
      <c r="H1" s="111" t="s">
        <v>2471</v>
      </c>
      <c r="I1" s="111" t="s">
        <v>2470</v>
      </c>
      <c r="N1" s="111" t="s">
        <v>3922</v>
      </c>
      <c r="T1" s="394" t="s">
        <v>2153</v>
      </c>
      <c r="U1" s="395"/>
      <c r="V1" s="395"/>
      <c r="W1" s="395"/>
      <c r="X1" s="395"/>
      <c r="Y1" s="395"/>
      <c r="Z1" s="395"/>
      <c r="AA1" s="395"/>
      <c r="AB1" s="110" t="s">
        <v>2152</v>
      </c>
      <c r="AC1" s="110" t="s">
        <v>2151</v>
      </c>
      <c r="AE1" s="110" t="s">
        <v>2150</v>
      </c>
    </row>
    <row r="2" spans="1:31" ht="13.95" customHeight="1">
      <c r="H2" s="110">
        <f>COUNTIF(D3:D840, "*soil*")</f>
        <v>30</v>
      </c>
      <c r="I2" s="110">
        <f>COUNTIF(D3:D840, "*empty*")</f>
        <v>32</v>
      </c>
    </row>
    <row r="3" spans="1:31" ht="13.95" customHeight="1">
      <c r="A3" s="110" t="s">
        <v>1896</v>
      </c>
      <c r="B3" s="110" t="s">
        <v>2077</v>
      </c>
      <c r="C3" s="110">
        <v>0.59470000000000001</v>
      </c>
      <c r="D3" s="110" t="s">
        <v>2115</v>
      </c>
      <c r="E3" s="112">
        <v>43119</v>
      </c>
    </row>
    <row r="4" spans="1:31" ht="13.95" customHeight="1">
      <c r="A4" s="110" t="s">
        <v>1849</v>
      </c>
      <c r="B4" s="110" t="s">
        <v>2077</v>
      </c>
      <c r="C4" s="110">
        <v>0.67359999999999998</v>
      </c>
      <c r="E4" s="112">
        <v>43122</v>
      </c>
      <c r="N4" s="110" t="str">
        <f>IFERROR(INDEX('WetLitterbags placem_collection'!$A$3:$A$500,MATCH(A4,'WetLitterbags placem_collection'!$K$4:$K$500,0)),"")</f>
        <v/>
      </c>
      <c r="O4" s="110">
        <f>IFERROR(INDEX('WetLitterbags placem_collection'!$A$3:$A$500,MATCH(A4,'WetLitterbags placem_collection'!$O$4:$O$500,0)),"")</f>
        <v>31</v>
      </c>
      <c r="P4" s="110" t="str">
        <f>IFERROR(INDEX('WetLitterbags placem_collection'!$A$3:$A$500,MATCH(A4,'WetLitterbags placem_collection'!$M$4:$M$500,0)),"")</f>
        <v/>
      </c>
      <c r="Q4" s="110" t="str">
        <f>IFERROR(INDEX('WetLitterbags placem_collection'!$A$3:$A$500,MATCH(A4,'WetLitterbags placem_collection'!$Q$4:$Q$500,0)),"")</f>
        <v/>
      </c>
    </row>
    <row r="5" spans="1:31" ht="13.95" customHeight="1">
      <c r="A5" s="110" t="s">
        <v>1848</v>
      </c>
      <c r="B5" s="110">
        <v>163</v>
      </c>
      <c r="C5" s="110">
        <v>0.64500000000000002</v>
      </c>
      <c r="E5" s="112">
        <v>42881</v>
      </c>
      <c r="N5" s="110">
        <f>IFERROR(INDEX('WetLitterbags placem_collection'!$A$3:$A$500,MATCH(A5,'WetLitterbags placem_collection'!$K$4:$K$500,0)),"")</f>
        <v>162</v>
      </c>
      <c r="O5" s="110" t="str">
        <f>IFERROR(INDEX('WetLitterbags placem_collection'!$A$3:$A$500,MATCH(A5,'WetLitterbags placem_collection'!$O$4:$O$500,0)),"")</f>
        <v/>
      </c>
      <c r="P5" s="110" t="str">
        <f>IFERROR(INDEX('WetLitterbags placem_collection'!$A$3:$A$500,MATCH(A5,'WetLitterbags placem_collection'!$M$4:$M$500,0)),"")</f>
        <v/>
      </c>
      <c r="Q5" s="110" t="str">
        <f>IFERROR(INDEX('WetLitterbags placem_collection'!$A$3:$A$500,MATCH(A5,'WetLitterbags placem_collection'!$Q$4:$Q$500,0)),"")</f>
        <v/>
      </c>
    </row>
    <row r="6" spans="1:31" ht="13.95" customHeight="1">
      <c r="A6" s="110" t="s">
        <v>1836</v>
      </c>
      <c r="B6" s="110">
        <v>39</v>
      </c>
      <c r="C6" s="110">
        <v>0.8327</v>
      </c>
      <c r="E6" s="112">
        <v>43123</v>
      </c>
      <c r="N6" s="110">
        <f>IFERROR(INDEX('WetLitterbags placem_collection'!$A$3:$A$500,MATCH(A6,'WetLitterbags placem_collection'!$K$4:$K$500,0)),"")</f>
        <v>38</v>
      </c>
      <c r="O6" s="110" t="str">
        <f>IFERROR(INDEX('WetLitterbags placem_collection'!$A$3:$A$500,MATCH(A6,'WetLitterbags placem_collection'!$O$4:$O$500,0)),"")</f>
        <v/>
      </c>
      <c r="P6" s="110" t="str">
        <f>IFERROR(INDEX('WetLitterbags placem_collection'!$A$3:$A$500,MATCH(A6,'WetLitterbags placem_collection'!$M$4:$M$500,0)),"")</f>
        <v/>
      </c>
      <c r="Q6" s="110" t="str">
        <f>IFERROR(INDEX('WetLitterbags placem_collection'!$A$3:$A$500,MATCH(A6,'WetLitterbags placem_collection'!$Q$4:$Q$500,0)),"")</f>
        <v/>
      </c>
    </row>
    <row r="7" spans="1:31" ht="13.95" customHeight="1">
      <c r="A7" s="110" t="s">
        <v>1834</v>
      </c>
      <c r="B7" s="110">
        <v>173</v>
      </c>
      <c r="C7" s="110">
        <v>0.57999999999999996</v>
      </c>
      <c r="E7" s="112">
        <v>42879</v>
      </c>
      <c r="N7" s="110">
        <f>IFERROR(INDEX('WetLitterbags placem_collection'!$A$3:$A$500,MATCH(A7,'WetLitterbags placem_collection'!$K$4:$K$500,0)),"")</f>
        <v>172</v>
      </c>
      <c r="O7" s="110" t="str">
        <f>IFERROR(INDEX('WetLitterbags placem_collection'!$A$3:$A$500,MATCH(A7,'WetLitterbags placem_collection'!$O$4:$O$500,0)),"")</f>
        <v/>
      </c>
      <c r="P7" s="110" t="str">
        <f>IFERROR(INDEX('WetLitterbags placem_collection'!$A$3:$A$500,MATCH(A7,'WetLitterbags placem_collection'!$M$4:$M$500,0)),"")</f>
        <v/>
      </c>
      <c r="Q7" s="110" t="str">
        <f>IFERROR(INDEX('WetLitterbags placem_collection'!$A$3:$A$500,MATCH(A7,'WetLitterbags placem_collection'!$Q$4:$Q$500,0)),"")</f>
        <v/>
      </c>
    </row>
    <row r="8" spans="1:31" ht="13.95" customHeight="1">
      <c r="A8" s="110" t="s">
        <v>1833</v>
      </c>
      <c r="B8" s="110">
        <v>79</v>
      </c>
      <c r="C8" s="110">
        <v>0.85370000000000001</v>
      </c>
      <c r="E8" s="112">
        <v>43125</v>
      </c>
      <c r="G8" s="113"/>
      <c r="H8" s="113"/>
      <c r="I8" s="113"/>
      <c r="N8" s="110">
        <f>IFERROR(INDEX('WetLitterbags placem_collection'!$A$3:$A$500,MATCH(A8,'WetLitterbags placem_collection'!$K$4:$K$500,0)),"")</f>
        <v>78</v>
      </c>
      <c r="O8" s="110" t="str">
        <f>IFERROR(INDEX('WetLitterbags placem_collection'!$A$3:$A$500,MATCH(A8,'WetLitterbags placem_collection'!$O$4:$O$500,0)),"")</f>
        <v/>
      </c>
      <c r="P8" s="110" t="str">
        <f>IFERROR(INDEX('WetLitterbags placem_collection'!$A$3:$A$500,MATCH(A8,'WetLitterbags placem_collection'!$M$4:$M$500,0)),"")</f>
        <v/>
      </c>
      <c r="Q8" s="110" t="str">
        <f>IFERROR(INDEX('WetLitterbags placem_collection'!$A$3:$A$500,MATCH(A8,'WetLitterbags placem_collection'!$Q$4:$Q$500,0)),"")</f>
        <v/>
      </c>
    </row>
    <row r="9" spans="1:31" ht="13.95" customHeight="1">
      <c r="A9" s="110" t="s">
        <v>1828</v>
      </c>
      <c r="B9" s="110">
        <v>15</v>
      </c>
      <c r="C9" s="110">
        <v>0.67100000000000004</v>
      </c>
      <c r="E9" s="112">
        <v>42879</v>
      </c>
      <c r="N9" s="110">
        <f>IFERROR(INDEX('WetLitterbags placem_collection'!$A$3:$A$500,MATCH(A9,'WetLitterbags placem_collection'!$K$4:$K$500,0)),"")</f>
        <v>14</v>
      </c>
      <c r="O9" s="110" t="str">
        <f>IFERROR(INDEX('WetLitterbags placem_collection'!$A$3:$A$500,MATCH(A9,'WetLitterbags placem_collection'!$O$4:$O$500,0)),"")</f>
        <v/>
      </c>
      <c r="P9" s="110" t="str">
        <f>IFERROR(INDEX('WetLitterbags placem_collection'!$A$3:$A$500,MATCH(A9,'WetLitterbags placem_collection'!$M$4:$M$500,0)),"")</f>
        <v/>
      </c>
      <c r="Q9" s="110" t="str">
        <f>IFERROR(INDEX('WetLitterbags placem_collection'!$A$3:$A$500,MATCH(A9,'WetLitterbags placem_collection'!$Q$4:$Q$500,0)),"")</f>
        <v/>
      </c>
    </row>
    <row r="10" spans="1:31" ht="13.95" customHeight="1">
      <c r="A10" s="110" t="s">
        <v>1810</v>
      </c>
      <c r="B10" s="110" t="s">
        <v>2077</v>
      </c>
      <c r="C10" s="110">
        <v>0.88690000000000002</v>
      </c>
      <c r="E10" s="112">
        <v>43122</v>
      </c>
      <c r="N10" s="110">
        <f>IFERROR(INDEX('WetLitterbags placem_collection'!$A$3:$A$500,MATCH(A10,'WetLitterbags placem_collection'!$K$4:$K$500,0)),"")</f>
        <v>18</v>
      </c>
      <c r="O10" s="110" t="str">
        <f>IFERROR(INDEX('WetLitterbags placem_collection'!$A$3:$A$500,MATCH(A10,'WetLitterbags placem_collection'!$O$4:$O$500,0)),"")</f>
        <v/>
      </c>
      <c r="P10" s="110" t="str">
        <f>IFERROR(INDEX('WetLitterbags placem_collection'!$A$3:$A$500,MATCH(A10,'WetLitterbags placem_collection'!$M$4:$M$500,0)),"")</f>
        <v/>
      </c>
      <c r="Q10" s="110" t="str">
        <f>IFERROR(INDEX('WetLitterbags placem_collection'!$A$3:$A$500,MATCH(A10,'WetLitterbags placem_collection'!$Q$4:$Q$500,0)),"")</f>
        <v/>
      </c>
    </row>
    <row r="11" spans="1:31" ht="13.95" customHeight="1">
      <c r="A11" s="110" t="s">
        <v>1809</v>
      </c>
      <c r="B11" s="110" t="s">
        <v>2077</v>
      </c>
      <c r="C11" s="110">
        <v>0.52059999999999995</v>
      </c>
      <c r="E11" s="112">
        <v>43122</v>
      </c>
      <c r="N11" s="110" t="str">
        <f>IFERROR(INDEX('WetLitterbags placem_collection'!$A$3:$A$500,MATCH(A11,'WetLitterbags placem_collection'!$K$4:$K$500,0)),"")</f>
        <v/>
      </c>
      <c r="O11" s="110">
        <f>IFERROR(INDEX('WetLitterbags placem_collection'!$A$3:$A$500,MATCH(A11,'WetLitterbags placem_collection'!$O$4:$O$500,0)),"")</f>
        <v>12</v>
      </c>
      <c r="P11" s="110" t="str">
        <f>IFERROR(INDEX('WetLitterbags placem_collection'!$A$3:$A$500,MATCH(A11,'WetLitterbags placem_collection'!$M$4:$M$500,0)),"")</f>
        <v/>
      </c>
      <c r="Q11" s="110" t="str">
        <f>IFERROR(INDEX('WetLitterbags placem_collection'!$A$3:$A$500,MATCH(A11,'WetLitterbags placem_collection'!$Q$4:$Q$500,0)),"")</f>
        <v/>
      </c>
    </row>
    <row r="12" spans="1:31" ht="13.95" customHeight="1">
      <c r="A12" s="110" t="s">
        <v>1801</v>
      </c>
      <c r="B12" s="110">
        <v>79</v>
      </c>
      <c r="C12" s="110">
        <v>0.97550000000000003</v>
      </c>
      <c r="D12" s="110" t="s">
        <v>2079</v>
      </c>
      <c r="E12" s="112">
        <v>43125</v>
      </c>
      <c r="N12" s="110" t="str">
        <f>IFERROR(INDEX('WetLitterbags placem_collection'!$A$3:$A$500,MATCH(A12,'WetLitterbags placem_collection'!$K$4:$K$500,0)),"")</f>
        <v/>
      </c>
      <c r="O12" s="110">
        <f>IFERROR(INDEX('WetLitterbags placem_collection'!$A$3:$A$500,MATCH(A12,'WetLitterbags placem_collection'!$O$4:$O$500,0)),"")</f>
        <v>78</v>
      </c>
      <c r="P12" s="110" t="str">
        <f>IFERROR(INDEX('WetLitterbags placem_collection'!$A$3:$A$500,MATCH(A12,'WetLitterbags placem_collection'!$M$4:$M$500,0)),"")</f>
        <v/>
      </c>
      <c r="Q12" s="110" t="str">
        <f>IFERROR(INDEX('WetLitterbags placem_collection'!$A$3:$A$500,MATCH(A12,'WetLitterbags placem_collection'!$Q$4:$Q$500,0)),"")</f>
        <v/>
      </c>
    </row>
    <row r="13" spans="1:31" ht="13.95" customHeight="1">
      <c r="A13" s="110" t="s">
        <v>1799</v>
      </c>
      <c r="B13" s="110" t="s">
        <v>2077</v>
      </c>
      <c r="C13" s="110">
        <v>0.75700000000000001</v>
      </c>
      <c r="E13" s="112">
        <v>43119</v>
      </c>
      <c r="N13" s="110">
        <f>IFERROR(INDEX('WetLitterbags placem_collection'!$A$3:$A$500,MATCH(A13,'WetLitterbags placem_collection'!$K$4:$K$500,0)),"")</f>
        <v>217</v>
      </c>
      <c r="O13" s="110" t="str">
        <f>IFERROR(INDEX('WetLitterbags placem_collection'!$A$3:$A$500,MATCH(A13,'WetLitterbags placem_collection'!$O$4:$O$500,0)),"")</f>
        <v/>
      </c>
      <c r="P13" s="110" t="str">
        <f>IFERROR(INDEX('WetLitterbags placem_collection'!$A$3:$A$500,MATCH(A13,'WetLitterbags placem_collection'!$M$4:$M$500,0)),"")</f>
        <v/>
      </c>
      <c r="Q13" s="110" t="str">
        <f>IFERROR(INDEX('WetLitterbags placem_collection'!$A$3:$A$500,MATCH(A13,'WetLitterbags placem_collection'!$Q$4:$Q$500,0)),"")</f>
        <v/>
      </c>
    </row>
    <row r="14" spans="1:31" ht="13.95" customHeight="1">
      <c r="A14" s="179" t="s">
        <v>1781</v>
      </c>
      <c r="B14" s="110">
        <v>68</v>
      </c>
      <c r="C14" s="110">
        <v>1.018</v>
      </c>
      <c r="E14" s="112">
        <v>42879</v>
      </c>
      <c r="N14" s="110">
        <f>IFERROR(INDEX('WetLitterbags placem_collection'!$A$3:$A$500,MATCH(A14,'WetLitterbags placem_collection'!$K$4:$K$500,0)),"")</f>
        <v>67</v>
      </c>
      <c r="O14" s="110" t="str">
        <f>IFERROR(INDEX('WetLitterbags placem_collection'!$A$3:$A$500,MATCH(A14,'WetLitterbags placem_collection'!$O$4:$O$500,0)),"")</f>
        <v/>
      </c>
      <c r="P14" s="110" t="str">
        <f>IFERROR(INDEX('WetLitterbags placem_collection'!$A$3:$A$500,MATCH(A14,'WetLitterbags placem_collection'!$M$4:$M$500,0)),"")</f>
        <v/>
      </c>
      <c r="Q14" s="110" t="str">
        <f>IFERROR(INDEX('WetLitterbags placem_collection'!$A$3:$A$500,MATCH(A14,'WetLitterbags placem_collection'!$Q$4:$Q$500,0)),"")</f>
        <v/>
      </c>
    </row>
    <row r="15" spans="1:31" ht="13.95" customHeight="1">
      <c r="A15" s="110" t="s">
        <v>1769</v>
      </c>
      <c r="B15" s="110">
        <v>172</v>
      </c>
      <c r="C15" s="110">
        <v>0.69520000000000004</v>
      </c>
      <c r="E15" s="112">
        <v>43123</v>
      </c>
      <c r="N15" s="110">
        <f>IFERROR(INDEX('WetLitterbags placem_collection'!$A$3:$A$500,MATCH(A15,'WetLitterbags placem_collection'!$K$4:$K$500,0)),"")</f>
        <v>171</v>
      </c>
      <c r="O15" s="110" t="str">
        <f>IFERROR(INDEX('WetLitterbags placem_collection'!$A$3:$A$500,MATCH(A15,'WetLitterbags placem_collection'!$O$4:$O$500,0)),"")</f>
        <v/>
      </c>
      <c r="P15" s="110" t="str">
        <f>IFERROR(INDEX('WetLitterbags placem_collection'!$A$3:$A$500,MATCH(A15,'WetLitterbags placem_collection'!$M$4:$M$500,0)),"")</f>
        <v/>
      </c>
      <c r="Q15" s="110" t="str">
        <f>IFERROR(INDEX('WetLitterbags placem_collection'!$A$3:$A$500,MATCH(A15,'WetLitterbags placem_collection'!$Q$4:$Q$500,0)),"")</f>
        <v/>
      </c>
    </row>
    <row r="16" spans="1:31" ht="13.95" customHeight="1">
      <c r="A16" s="110" t="s">
        <v>1768</v>
      </c>
      <c r="B16" s="110" t="s">
        <v>2077</v>
      </c>
      <c r="C16" s="110">
        <v>1.1456</v>
      </c>
      <c r="E16" s="112">
        <v>43119</v>
      </c>
      <c r="N16" s="110">
        <f>IFERROR(INDEX('WetLitterbags placem_collection'!$A$3:$A$500,MATCH(A16,'WetLitterbags placem_collection'!$K$4:$K$500,0)),"")</f>
        <v>65</v>
      </c>
      <c r="O16" s="110" t="str">
        <f>IFERROR(INDEX('WetLitterbags placem_collection'!$A$3:$A$500,MATCH(A16,'WetLitterbags placem_collection'!$O$4:$O$500,0)),"")</f>
        <v/>
      </c>
      <c r="P16" s="110" t="str">
        <f>IFERROR(INDEX('WetLitterbags placem_collection'!$A$3:$A$500,MATCH(A16,'WetLitterbags placem_collection'!$M$4:$M$500,0)),"")</f>
        <v/>
      </c>
      <c r="Q16" s="110" t="str">
        <f>IFERROR(INDEX('WetLitterbags placem_collection'!$A$3:$A$500,MATCH(A16,'WetLitterbags placem_collection'!$Q$4:$Q$500,0)),"")</f>
        <v/>
      </c>
    </row>
    <row r="17" spans="1:17" ht="13.95" customHeight="1">
      <c r="A17" s="110" t="s">
        <v>1767</v>
      </c>
      <c r="B17" s="110">
        <v>44</v>
      </c>
      <c r="C17" s="110">
        <v>0.80830000000000002</v>
      </c>
      <c r="D17" s="110" t="s">
        <v>2079</v>
      </c>
      <c r="E17" s="112">
        <v>43125</v>
      </c>
      <c r="N17" s="110" t="str">
        <f>IFERROR(INDEX('WetLitterbags placem_collection'!$A$3:$A$500,MATCH(A17,'WetLitterbags placem_collection'!$K$4:$K$500,0)),"")</f>
        <v/>
      </c>
      <c r="O17" s="110">
        <f>IFERROR(INDEX('WetLitterbags placem_collection'!$A$3:$A$500,MATCH(A17,'WetLitterbags placem_collection'!$O$4:$O$500,0)),"")</f>
        <v>43</v>
      </c>
      <c r="P17" s="110" t="str">
        <f>IFERROR(INDEX('WetLitterbags placem_collection'!$A$3:$A$500,MATCH(A17,'WetLitterbags placem_collection'!$M$4:$M$500,0)),"")</f>
        <v/>
      </c>
      <c r="Q17" s="110" t="str">
        <f>IFERROR(INDEX('WetLitterbags placem_collection'!$A$3:$A$500,MATCH(A17,'WetLitterbags placem_collection'!$Q$4:$Q$500,0)),"")</f>
        <v/>
      </c>
    </row>
    <row r="18" spans="1:17" ht="13.95" customHeight="1">
      <c r="A18" s="110" t="s">
        <v>1764</v>
      </c>
      <c r="B18" s="110" t="s">
        <v>2077</v>
      </c>
      <c r="C18" s="110">
        <v>0.80200000000000005</v>
      </c>
      <c r="E18" s="112">
        <v>43119</v>
      </c>
      <c r="N18" s="110">
        <f>IFERROR(INDEX('WetLitterbags placem_collection'!$A$3:$A$500,MATCH(A18,'WetLitterbags placem_collection'!$K$4:$K$500,0)),"")</f>
        <v>9</v>
      </c>
      <c r="O18" s="110" t="str">
        <f>IFERROR(INDEX('WetLitterbags placem_collection'!$A$3:$A$500,MATCH(A18,'WetLitterbags placem_collection'!$O$4:$O$500,0)),"")</f>
        <v/>
      </c>
      <c r="P18" s="110" t="str">
        <f>IFERROR(INDEX('WetLitterbags placem_collection'!$A$3:$A$500,MATCH(A18,'WetLitterbags placem_collection'!$M$4:$M$500,0)),"")</f>
        <v/>
      </c>
      <c r="Q18" s="110" t="str">
        <f>IFERROR(INDEX('WetLitterbags placem_collection'!$A$3:$A$500,MATCH(A18,'WetLitterbags placem_collection'!$Q$4:$Q$500,0)),"")</f>
        <v/>
      </c>
    </row>
    <row r="19" spans="1:17" ht="13.95" customHeight="1">
      <c r="A19" s="110" t="s">
        <v>1763</v>
      </c>
      <c r="B19" s="110" t="s">
        <v>2077</v>
      </c>
      <c r="C19" s="110">
        <v>0.72240000000000004</v>
      </c>
      <c r="E19" s="112">
        <v>43119</v>
      </c>
      <c r="N19" s="110" t="str">
        <f>IFERROR(INDEX('WetLitterbags placem_collection'!$A$3:$A$500,MATCH(A19,'WetLitterbags placem_collection'!$K$4:$K$500,0)),"")</f>
        <v/>
      </c>
      <c r="O19" s="110">
        <f>IFERROR(INDEX('WetLitterbags placem_collection'!$A$3:$A$500,MATCH(A19,'WetLitterbags placem_collection'!$O$4:$O$500,0)),"")</f>
        <v>165</v>
      </c>
      <c r="P19" s="110" t="str">
        <f>IFERROR(INDEX('WetLitterbags placem_collection'!$A$3:$A$500,MATCH(A19,'WetLitterbags placem_collection'!$M$4:$M$500,0)),"")</f>
        <v/>
      </c>
      <c r="Q19" s="110" t="str">
        <f>IFERROR(INDEX('WetLitterbags placem_collection'!$A$3:$A$500,MATCH(A19,'WetLitterbags placem_collection'!$Q$4:$Q$500,0)),"")</f>
        <v/>
      </c>
    </row>
    <row r="20" spans="1:17" ht="13.95" customHeight="1">
      <c r="A20" s="110" t="s">
        <v>1759</v>
      </c>
      <c r="B20" s="110">
        <v>84</v>
      </c>
      <c r="C20" s="110">
        <v>0.90300000000000002</v>
      </c>
      <c r="E20" s="112">
        <v>42881</v>
      </c>
      <c r="N20" s="110">
        <f>IFERROR(INDEX('WetLitterbags placem_collection'!$A$3:$A$500,MATCH(A20,'WetLitterbags placem_collection'!$K$4:$K$500,0)),"")</f>
        <v>83</v>
      </c>
      <c r="O20" s="110" t="str">
        <f>IFERROR(INDEX('WetLitterbags placem_collection'!$A$3:$A$500,MATCH(A20,'WetLitterbags placem_collection'!$O$4:$O$500,0)),"")</f>
        <v/>
      </c>
      <c r="P20" s="110" t="str">
        <f>IFERROR(INDEX('WetLitterbags placem_collection'!$A$3:$A$500,MATCH(A20,'WetLitterbags placem_collection'!$M$4:$M$500,0)),"")</f>
        <v/>
      </c>
      <c r="Q20" s="110" t="str">
        <f>IFERROR(INDEX('WetLitterbags placem_collection'!$A$3:$A$500,MATCH(A20,'WetLitterbags placem_collection'!$Q$4:$Q$500,0)),"")</f>
        <v/>
      </c>
    </row>
    <row r="21" spans="1:17" ht="13.95" customHeight="1">
      <c r="A21" s="110" t="s">
        <v>1753</v>
      </c>
      <c r="B21" s="110">
        <v>192</v>
      </c>
      <c r="C21" s="110">
        <v>0.60899999999999999</v>
      </c>
      <c r="E21" s="112">
        <v>42881</v>
      </c>
      <c r="N21" s="110" t="str">
        <f>IFERROR(INDEX('WetLitterbags placem_collection'!$A$3:$A$500,MATCH(A21,'WetLitterbags placem_collection'!$K$4:$K$500,0)),"")</f>
        <v/>
      </c>
      <c r="O21" s="110">
        <f>IFERROR(INDEX('WetLitterbags placem_collection'!$A$3:$A$500,MATCH(A21,'WetLitterbags placem_collection'!$O$4:$O$500,0)),"")</f>
        <v>191</v>
      </c>
      <c r="P21" s="110" t="str">
        <f>IFERROR(INDEX('WetLitterbags placem_collection'!$A$3:$A$500,MATCH(A21,'WetLitterbags placem_collection'!$M$4:$M$500,0)),"")</f>
        <v/>
      </c>
      <c r="Q21" s="110" t="str">
        <f>IFERROR(INDEX('WetLitterbags placem_collection'!$A$3:$A$500,MATCH(A21,'WetLitterbags placem_collection'!$Q$4:$Q$500,0)),"")</f>
        <v/>
      </c>
    </row>
    <row r="22" spans="1:17" ht="13.95" customHeight="1">
      <c r="A22" s="179" t="s">
        <v>1752</v>
      </c>
      <c r="B22" s="110">
        <v>83</v>
      </c>
      <c r="C22" s="110">
        <v>0.88800000000000001</v>
      </c>
      <c r="E22" s="112">
        <v>42881</v>
      </c>
      <c r="N22" s="110" t="str">
        <f>IFERROR(INDEX('WetLitterbags placem_collection'!$A$3:$A$500,MATCH(A22,'WetLitterbags placem_collection'!$K$4:$K$500,0)),"")</f>
        <v/>
      </c>
      <c r="O22" s="110">
        <f>IFERROR(INDEX('WetLitterbags placem_collection'!$A$3:$A$500,MATCH(A22,'WetLitterbags placem_collection'!$O$4:$O$500,0)),"")</f>
        <v>82</v>
      </c>
      <c r="P22" s="110" t="str">
        <f>IFERROR(INDEX('WetLitterbags placem_collection'!$A$3:$A$500,MATCH(A22,'WetLitterbags placem_collection'!$M$4:$M$500,0)),"")</f>
        <v/>
      </c>
      <c r="Q22" s="110" t="str">
        <f>IFERROR(INDEX('WetLitterbags placem_collection'!$A$3:$A$500,MATCH(A22,'WetLitterbags placem_collection'!$Q$4:$Q$500,0)),"")</f>
        <v/>
      </c>
    </row>
    <row r="23" spans="1:17" ht="13.95" customHeight="1">
      <c r="A23" s="110" t="s">
        <v>1751</v>
      </c>
      <c r="B23" s="110">
        <v>46</v>
      </c>
      <c r="C23" s="110">
        <v>0.88100000000000001</v>
      </c>
      <c r="E23" s="112">
        <v>42881</v>
      </c>
      <c r="N23" s="110" t="str">
        <f>IFERROR(INDEX('WetLitterbags placem_collection'!$A$3:$A$500,MATCH(A23,'WetLitterbags placem_collection'!$K$4:$K$500,0)),"")</f>
        <v/>
      </c>
      <c r="O23" s="110">
        <f>IFERROR(INDEX('WetLitterbags placem_collection'!$A$3:$A$500,MATCH(A23,'WetLitterbags placem_collection'!$O$4:$O$500,0)),"")</f>
        <v>47</v>
      </c>
      <c r="P23" s="110" t="str">
        <f>IFERROR(INDEX('WetLitterbags placem_collection'!$A$3:$A$500,MATCH(A23,'WetLitterbags placem_collection'!$M$4:$M$500,0)),"")</f>
        <v/>
      </c>
      <c r="Q23" s="110" t="str">
        <f>IFERROR(INDEX('WetLitterbags placem_collection'!$A$3:$A$500,MATCH(A23,'WetLitterbags placem_collection'!$Q$4:$Q$500,0)),"")</f>
        <v/>
      </c>
    </row>
    <row r="24" spans="1:17" ht="13.95" customHeight="1">
      <c r="A24" s="403" t="s">
        <v>1742</v>
      </c>
      <c r="B24" s="110">
        <v>85</v>
      </c>
      <c r="C24" s="110">
        <v>1.256</v>
      </c>
      <c r="E24" s="112">
        <v>42878</v>
      </c>
      <c r="N24" s="110">
        <f>IFERROR(INDEX('WetLitterbags placem_collection'!$A$3:$A$500,MATCH(A24,'WetLitterbags placem_collection'!$K$4:$K$500,0)),"")</f>
        <v>84</v>
      </c>
      <c r="O24" s="110" t="str">
        <f>IFERROR(INDEX('WetLitterbags placem_collection'!$A$3:$A$500,MATCH(A24,'WetLitterbags placem_collection'!$O$4:$O$500,0)),"")</f>
        <v/>
      </c>
      <c r="P24" s="110" t="str">
        <f>IFERROR(INDEX('WetLitterbags placem_collection'!$A$3:$A$500,MATCH(A24,'WetLitterbags placem_collection'!$M$4:$M$500,0)),"")</f>
        <v/>
      </c>
      <c r="Q24" s="110" t="str">
        <f>IFERROR(INDEX('WetLitterbags placem_collection'!$A$3:$A$500,MATCH(A24,'WetLitterbags placem_collection'!$Q$4:$Q$500,0)),"")</f>
        <v/>
      </c>
    </row>
    <row r="25" spans="1:17" ht="13.95" customHeight="1">
      <c r="A25" s="110" t="s">
        <v>1716</v>
      </c>
      <c r="B25" s="110" t="s">
        <v>2083</v>
      </c>
      <c r="C25" s="110">
        <v>0.80800000000000005</v>
      </c>
      <c r="D25" s="110" t="s">
        <v>2102</v>
      </c>
      <c r="E25" s="112">
        <v>43125</v>
      </c>
      <c r="N25" s="110">
        <f>IFERROR(INDEX('WetLitterbags placem_collection'!$A$3:$A$500,MATCH(A25,'WetLitterbags placem_collection'!$K$4:$K$500,0)),"")</f>
        <v>165</v>
      </c>
      <c r="O25" s="110" t="str">
        <f>IFERROR(INDEX('WetLitterbags placem_collection'!$A$3:$A$500,MATCH(A25,'WetLitterbags placem_collection'!$O$4:$O$500,0)),"")</f>
        <v/>
      </c>
      <c r="P25" s="110" t="str">
        <f>IFERROR(INDEX('WetLitterbags placem_collection'!$A$3:$A$500,MATCH(A25,'WetLitterbags placem_collection'!$M$4:$M$500,0)),"")</f>
        <v/>
      </c>
      <c r="Q25" s="110" t="str">
        <f>IFERROR(INDEX('WetLitterbags placem_collection'!$A$3:$A$500,MATCH(A25,'WetLitterbags placem_collection'!$Q$4:$Q$500,0)),"")</f>
        <v/>
      </c>
    </row>
    <row r="26" spans="1:17" ht="13.95" customHeight="1">
      <c r="A26" s="110" t="s">
        <v>1713</v>
      </c>
      <c r="B26" s="110" t="s">
        <v>2083</v>
      </c>
      <c r="C26" s="110">
        <v>0.63060000000000005</v>
      </c>
      <c r="D26" s="167" t="s">
        <v>2467</v>
      </c>
      <c r="E26" s="112">
        <v>43125</v>
      </c>
      <c r="N26" s="110" t="str">
        <f>IFERROR(INDEX('WetLitterbags placem_collection'!$A$3:$A$500,MATCH(A26,'WetLitterbags placem_collection'!$K$4:$K$500,0)),"")</f>
        <v/>
      </c>
      <c r="O26" s="110">
        <f>IFERROR(INDEX('WetLitterbags placem_collection'!$A$3:$A$500,MATCH(A26,'WetLitterbags placem_collection'!$O$4:$O$500,0)),"")</f>
        <v>183</v>
      </c>
      <c r="P26" s="110" t="str">
        <f>IFERROR(INDEX('WetLitterbags placem_collection'!$A$3:$A$500,MATCH(A26,'WetLitterbags placem_collection'!$M$4:$M$500,0)),"")</f>
        <v/>
      </c>
      <c r="Q26" s="110" t="str">
        <f>IFERROR(INDEX('WetLitterbags placem_collection'!$A$3:$A$500,MATCH(A26,'WetLitterbags placem_collection'!$Q$4:$Q$500,0)),"")</f>
        <v/>
      </c>
    </row>
    <row r="27" spans="1:17" ht="13.95" customHeight="1">
      <c r="A27" s="110" t="s">
        <v>1705</v>
      </c>
      <c r="B27" s="110" t="s">
        <v>2077</v>
      </c>
      <c r="C27" s="110">
        <v>0.64829999999999999</v>
      </c>
      <c r="E27" s="112">
        <v>43119</v>
      </c>
      <c r="N27" s="110" t="str">
        <f>IFERROR(INDEX('WetLitterbags placem_collection'!$A$3:$A$500,MATCH(A27,'WetLitterbags placem_collection'!$K$4:$K$500,0)),"")</f>
        <v/>
      </c>
      <c r="O27" s="110">
        <f>IFERROR(INDEX('WetLitterbags placem_collection'!$A$3:$A$500,MATCH(A27,'WetLitterbags placem_collection'!$O$4:$O$500,0)),"")</f>
        <v>28</v>
      </c>
      <c r="P27" s="110" t="str">
        <f>IFERROR(INDEX('WetLitterbags placem_collection'!$A$3:$A$500,MATCH(A27,'WetLitterbags placem_collection'!$M$4:$M$500,0)),"")</f>
        <v/>
      </c>
      <c r="Q27" s="110" t="str">
        <f>IFERROR(INDEX('WetLitterbags placem_collection'!$A$3:$A$500,MATCH(A27,'WetLitterbags placem_collection'!$Q$4:$Q$500,0)),"")</f>
        <v/>
      </c>
    </row>
    <row r="28" spans="1:17" ht="13.95" customHeight="1">
      <c r="A28" s="110" t="s">
        <v>1704</v>
      </c>
      <c r="B28" s="110" t="s">
        <v>2077</v>
      </c>
      <c r="C28" s="110">
        <v>1.0001</v>
      </c>
      <c r="E28" s="112">
        <v>43116</v>
      </c>
      <c r="H28" s="111"/>
      <c r="N28" s="110">
        <f>IFERROR(INDEX('WetLitterbags placem_collection'!$A$3:$A$500,MATCH(A28,'WetLitterbags placem_collection'!$K$4:$K$500,0)),"")</f>
        <v>48</v>
      </c>
      <c r="O28" s="110" t="str">
        <f>IFERROR(INDEX('WetLitterbags placem_collection'!$A$3:$A$500,MATCH(A28,'WetLitterbags placem_collection'!$O$4:$O$500,0)),"")</f>
        <v/>
      </c>
      <c r="P28" s="110" t="str">
        <f>IFERROR(INDEX('WetLitterbags placem_collection'!$A$3:$A$500,MATCH(A28,'WetLitterbags placem_collection'!$M$4:$M$500,0)),"")</f>
        <v/>
      </c>
      <c r="Q28" s="110" t="str">
        <f>IFERROR(INDEX('WetLitterbags placem_collection'!$A$3:$A$500,MATCH(A28,'WetLitterbags placem_collection'!$Q$4:$Q$500,0)),"")</f>
        <v/>
      </c>
    </row>
    <row r="29" spans="1:17" ht="13.95" customHeight="1">
      <c r="A29" s="403" t="s">
        <v>1551</v>
      </c>
      <c r="B29" s="110">
        <v>38</v>
      </c>
      <c r="C29" s="110">
        <v>1.4741</v>
      </c>
      <c r="E29" s="112">
        <v>43122</v>
      </c>
      <c r="N29" s="110">
        <f>IFERROR(INDEX('WetLitterbags placem_collection'!$A$3:$A$500,MATCH(A29,'WetLitterbags placem_collection'!$K$4:$K$500,0)),"")</f>
        <v>37</v>
      </c>
      <c r="O29" s="110" t="str">
        <f>IFERROR(INDEX('WetLitterbags placem_collection'!$A$3:$A$500,MATCH(A29,'WetLitterbags placem_collection'!$O$4:$O$500,0)),"")</f>
        <v/>
      </c>
      <c r="P29" s="110" t="str">
        <f>IFERROR(INDEX('WetLitterbags placem_collection'!$A$3:$A$500,MATCH(A29,'WetLitterbags placem_collection'!$M$4:$M$500,0)),"")</f>
        <v/>
      </c>
      <c r="Q29" s="110" t="str">
        <f>IFERROR(INDEX('WetLitterbags placem_collection'!$A$3:$A$500,MATCH(A29,'WetLitterbags placem_collection'!$Q$4:$Q$500,0)),"")</f>
        <v/>
      </c>
    </row>
    <row r="30" spans="1:17" ht="13.95" customHeight="1">
      <c r="A30" s="110" t="s">
        <v>1699</v>
      </c>
      <c r="B30" s="110">
        <v>161</v>
      </c>
      <c r="C30" s="110">
        <v>0.58709999999999996</v>
      </c>
      <c r="E30" s="112">
        <v>43125</v>
      </c>
      <c r="N30" s="110" t="str">
        <f>IFERROR(INDEX('WetLitterbags placem_collection'!$A$3:$A$500,MATCH(A30,'WetLitterbags placem_collection'!$K$4:$K$500,0)),"")</f>
        <v/>
      </c>
      <c r="O30" s="110">
        <f>IFERROR(INDEX('WetLitterbags placem_collection'!$A$3:$A$500,MATCH(A30,'WetLitterbags placem_collection'!$O$4:$O$500,0)),"")</f>
        <v>160</v>
      </c>
      <c r="P30" s="110" t="str">
        <f>IFERROR(INDEX('WetLitterbags placem_collection'!$A$3:$A$500,MATCH(A30,'WetLitterbags placem_collection'!$M$4:$M$500,0)),"")</f>
        <v/>
      </c>
      <c r="Q30" s="110" t="str">
        <f>IFERROR(INDEX('WetLitterbags placem_collection'!$A$3:$A$500,MATCH(A30,'WetLitterbags placem_collection'!$Q$4:$Q$500,0)),"")</f>
        <v/>
      </c>
    </row>
    <row r="31" spans="1:17" ht="13.95" customHeight="1">
      <c r="A31" s="110" t="s">
        <v>1698</v>
      </c>
      <c r="B31" s="110">
        <v>161</v>
      </c>
      <c r="C31" s="110">
        <v>0.57509999999999994</v>
      </c>
      <c r="E31" s="112">
        <v>43125</v>
      </c>
      <c r="N31" s="110" t="str">
        <f>IFERROR(INDEX('WetLitterbags placem_collection'!$A$3:$A$500,MATCH(A31,'WetLitterbags placem_collection'!$K$4:$K$500,0)),"")</f>
        <v/>
      </c>
      <c r="O31" s="110" t="str">
        <f>IFERROR(INDEX('WetLitterbags placem_collection'!$A$3:$A$500,MATCH(A31,'WetLitterbags placem_collection'!$O$4:$O$500,0)),"")</f>
        <v/>
      </c>
      <c r="P31" s="110" t="str">
        <f>IFERROR(INDEX('WetLitterbags placem_collection'!$A$3:$A$500,MATCH(A31,'WetLitterbags placem_collection'!$M$4:$M$500,0)),"")</f>
        <v/>
      </c>
      <c r="Q31" s="110" t="str">
        <f>IFERROR(INDEX('WetLitterbags placem_collection'!$A$3:$A$500,MATCH(A31,'WetLitterbags placem_collection'!$Q$4:$Q$500,0)),"")</f>
        <v/>
      </c>
    </row>
    <row r="32" spans="1:17" ht="13.95" customHeight="1">
      <c r="A32" s="110" t="s">
        <v>1695</v>
      </c>
      <c r="B32" s="110">
        <v>90</v>
      </c>
      <c r="C32" s="110">
        <v>0.78380000000000005</v>
      </c>
      <c r="E32" s="112">
        <v>43125</v>
      </c>
      <c r="N32" s="110" t="str">
        <f>IFERROR(INDEX('WetLitterbags placem_collection'!$A$3:$A$500,MATCH(A32,'WetLitterbags placem_collection'!$K$4:$K$500,0)),"")</f>
        <v/>
      </c>
      <c r="O32" s="110">
        <f>IFERROR(INDEX('WetLitterbags placem_collection'!$A$3:$A$500,MATCH(A32,'WetLitterbags placem_collection'!$O$4:$O$500,0)),"")</f>
        <v>89</v>
      </c>
      <c r="P32" s="110" t="str">
        <f>IFERROR(INDEX('WetLitterbags placem_collection'!$A$3:$A$500,MATCH(A32,'WetLitterbags placem_collection'!$M$4:$M$500,0)),"")</f>
        <v/>
      </c>
      <c r="Q32" s="110" t="str">
        <f>IFERROR(INDEX('WetLitterbags placem_collection'!$A$3:$A$500,MATCH(A32,'WetLitterbags placem_collection'!$Q$4:$Q$500,0)),"")</f>
        <v/>
      </c>
    </row>
    <row r="33" spans="1:17" ht="13.95" customHeight="1">
      <c r="A33" s="404" t="s">
        <v>1494</v>
      </c>
      <c r="B33" s="110">
        <v>33</v>
      </c>
      <c r="C33" s="110">
        <v>0.64400000000000002</v>
      </c>
      <c r="E33" s="112">
        <v>42881</v>
      </c>
      <c r="N33" s="110" t="str">
        <f>IFERROR(INDEX('WetLitterbags placem_collection'!$A$3:$A$500,MATCH(A33,'WetLitterbags placem_collection'!$K$4:$K$500,0)),"")</f>
        <v/>
      </c>
      <c r="O33" s="110">
        <f>IFERROR(INDEX('WetLitterbags placem_collection'!$A$3:$A$500,MATCH(A33,'WetLitterbags placem_collection'!$O$4:$O$500,0)),"")</f>
        <v>32</v>
      </c>
      <c r="P33" s="110" t="str">
        <f>IFERROR(INDEX('WetLitterbags placem_collection'!$A$3:$A$500,MATCH(A33,'WetLitterbags placem_collection'!$M$4:$M$500,0)),"")</f>
        <v/>
      </c>
      <c r="Q33" s="110" t="str">
        <f>IFERROR(INDEX('WetLitterbags placem_collection'!$A$3:$A$500,MATCH(A33,'WetLitterbags placem_collection'!$Q$4:$Q$500,0)),"")</f>
        <v/>
      </c>
    </row>
    <row r="34" spans="1:17" ht="13.95" customHeight="1">
      <c r="A34" s="179" t="s">
        <v>1692</v>
      </c>
      <c r="B34">
        <v>70</v>
      </c>
      <c r="C34" s="110">
        <v>0.84299999999999997</v>
      </c>
      <c r="E34" s="112">
        <v>42878</v>
      </c>
      <c r="N34" s="110">
        <f>IFERROR(INDEX('WetLitterbags placem_collection'!$A$3:$A$500,MATCH(A34,'WetLitterbags placem_collection'!$K$4:$K$500,0)),"")</f>
        <v>69</v>
      </c>
      <c r="O34" s="110" t="str">
        <f>IFERROR(INDEX('WetLitterbags placem_collection'!$A$3:$A$500,MATCH(A34,'WetLitterbags placem_collection'!$O$4:$O$500,0)),"")</f>
        <v/>
      </c>
      <c r="P34" s="110" t="str">
        <f>IFERROR(INDEX('WetLitterbags placem_collection'!$A$3:$A$500,MATCH(A34,'WetLitterbags placem_collection'!$M$4:$M$500,0)),"")</f>
        <v/>
      </c>
      <c r="Q34" s="110" t="str">
        <f>IFERROR(INDEX('WetLitterbags placem_collection'!$A$3:$A$500,MATCH(A34,'WetLitterbags placem_collection'!$Q$4:$Q$500,0)),"")</f>
        <v/>
      </c>
    </row>
    <row r="35" spans="1:17" ht="13.95" customHeight="1">
      <c r="A35" s="110" t="s">
        <v>1691</v>
      </c>
      <c r="B35" s="110">
        <v>37</v>
      </c>
      <c r="C35" s="110">
        <v>0.94699999999999995</v>
      </c>
      <c r="E35" s="112">
        <v>42881</v>
      </c>
      <c r="N35" s="110">
        <f>IFERROR(INDEX('WetLitterbags placem_collection'!$A$3:$A$500,MATCH(A35,'WetLitterbags placem_collection'!$K$4:$K$500,0)),"")</f>
        <v>36</v>
      </c>
      <c r="O35" s="110" t="str">
        <f>IFERROR(INDEX('WetLitterbags placem_collection'!$A$3:$A$500,MATCH(A35,'WetLitterbags placem_collection'!$O$4:$O$500,0)),"")</f>
        <v/>
      </c>
      <c r="P35" s="110" t="str">
        <f>IFERROR(INDEX('WetLitterbags placem_collection'!$A$3:$A$500,MATCH(A35,'WetLitterbags placem_collection'!$M$4:$M$500,0)),"")</f>
        <v/>
      </c>
      <c r="Q35" s="110" t="str">
        <f>IFERROR(INDEX('WetLitterbags placem_collection'!$A$3:$A$500,MATCH(A35,'WetLitterbags placem_collection'!$Q$4:$Q$500,0)),"")</f>
        <v/>
      </c>
    </row>
    <row r="36" spans="1:17" ht="13.95" customHeight="1">
      <c r="A36" s="110" t="s">
        <v>1690</v>
      </c>
      <c r="B36" s="110">
        <v>180</v>
      </c>
      <c r="C36" s="110">
        <v>0.62219999999999998</v>
      </c>
      <c r="E36" s="112">
        <v>43116</v>
      </c>
      <c r="N36" s="110">
        <f>IFERROR(INDEX('WetLitterbags placem_collection'!$A$3:$A$500,MATCH(A36,'WetLitterbags placem_collection'!$K$4:$K$500,0)),"")</f>
        <v>179</v>
      </c>
      <c r="O36" s="110" t="str">
        <f>IFERROR(INDEX('WetLitterbags placem_collection'!$A$3:$A$500,MATCH(A36,'WetLitterbags placem_collection'!$O$4:$O$500,0)),"")</f>
        <v/>
      </c>
      <c r="P36" s="110" t="str">
        <f>IFERROR(INDEX('WetLitterbags placem_collection'!$A$3:$A$500,MATCH(A36,'WetLitterbags placem_collection'!$M$4:$M$500,0)),"")</f>
        <v/>
      </c>
      <c r="Q36" s="110" t="str">
        <f>IFERROR(INDEX('WetLitterbags placem_collection'!$A$3:$A$500,MATCH(A36,'WetLitterbags placem_collection'!$Q$4:$Q$500,0)),"")</f>
        <v/>
      </c>
    </row>
    <row r="37" spans="1:17" ht="13.95" customHeight="1">
      <c r="A37" s="110" t="s">
        <v>1685</v>
      </c>
      <c r="B37" s="110" t="s">
        <v>2077</v>
      </c>
      <c r="C37" s="110">
        <v>0.6714</v>
      </c>
      <c r="E37" s="112">
        <v>43116</v>
      </c>
      <c r="N37" s="110" t="str">
        <f>IFERROR(INDEX('WetLitterbags placem_collection'!$A$3:$A$500,MATCH(A37,'WetLitterbags placem_collection'!$K$4:$K$500,0)),"")</f>
        <v/>
      </c>
      <c r="O37" s="110">
        <f>IFERROR(INDEX('WetLitterbags placem_collection'!$A$3:$A$500,MATCH(A37,'WetLitterbags placem_collection'!$O$4:$O$500,0)),"")</f>
        <v>186</v>
      </c>
      <c r="P37" s="110" t="str">
        <f>IFERROR(INDEX('WetLitterbags placem_collection'!$A$3:$A$500,MATCH(A37,'WetLitterbags placem_collection'!$M$4:$M$500,0)),"")</f>
        <v/>
      </c>
      <c r="Q37" s="110" t="str">
        <f>IFERROR(INDEX('WetLitterbags placem_collection'!$A$3:$A$500,MATCH(A37,'WetLitterbags placem_collection'!$Q$4:$Q$500,0)),"")</f>
        <v/>
      </c>
    </row>
    <row r="38" spans="1:17" ht="13.95" customHeight="1">
      <c r="A38" s="110" t="s">
        <v>1684</v>
      </c>
      <c r="B38" s="110">
        <v>33</v>
      </c>
      <c r="C38" s="110">
        <v>0.76700000000000002</v>
      </c>
      <c r="E38" s="112">
        <v>42881</v>
      </c>
      <c r="N38" s="110">
        <f>IFERROR(INDEX('WetLitterbags placem_collection'!$A$3:$A$500,MATCH(A38,'WetLitterbags placem_collection'!$K$4:$K$500,0)),"")</f>
        <v>32</v>
      </c>
      <c r="O38" s="110" t="str">
        <f>IFERROR(INDEX('WetLitterbags placem_collection'!$A$3:$A$500,MATCH(A38,'WetLitterbags placem_collection'!$O$4:$O$500,0)),"")</f>
        <v/>
      </c>
      <c r="P38" s="110" t="str">
        <f>IFERROR(INDEX('WetLitterbags placem_collection'!$A$3:$A$500,MATCH(A38,'WetLitterbags placem_collection'!$M$4:$M$500,0)),"")</f>
        <v/>
      </c>
      <c r="Q38" s="110" t="str">
        <f>IFERROR(INDEX('WetLitterbags placem_collection'!$A$3:$A$500,MATCH(A38,'WetLitterbags placem_collection'!$Q$4:$Q$500,0)),"")</f>
        <v/>
      </c>
    </row>
    <row r="39" spans="1:17" ht="13.95" customHeight="1">
      <c r="A39" s="110" t="s">
        <v>1683</v>
      </c>
      <c r="B39" s="110">
        <v>189</v>
      </c>
      <c r="C39" s="110">
        <v>0.80840000000000001</v>
      </c>
      <c r="E39" s="112">
        <v>43125</v>
      </c>
      <c r="N39" s="110">
        <f>IFERROR(INDEX('WetLitterbags placem_collection'!$A$3:$A$500,MATCH(A39,'WetLitterbags placem_collection'!$K$4:$K$500,0)),"")</f>
        <v>188</v>
      </c>
      <c r="O39" s="110" t="str">
        <f>IFERROR(INDEX('WetLitterbags placem_collection'!$A$3:$A$500,MATCH(A39,'WetLitterbags placem_collection'!$O$4:$O$500,0)),"")</f>
        <v/>
      </c>
      <c r="P39" s="110" t="str">
        <f>IFERROR(INDEX('WetLitterbags placem_collection'!$A$3:$A$500,MATCH(A39,'WetLitterbags placem_collection'!$M$4:$M$500,0)),"")</f>
        <v/>
      </c>
      <c r="Q39" s="110" t="str">
        <f>IFERROR(INDEX('WetLitterbags placem_collection'!$A$3:$A$500,MATCH(A39,'WetLitterbags placem_collection'!$Q$4:$Q$500,0)),"")</f>
        <v/>
      </c>
    </row>
    <row r="40" spans="1:17" ht="13.95" customHeight="1">
      <c r="A40" s="110" t="s">
        <v>1682</v>
      </c>
      <c r="B40" s="110">
        <v>165</v>
      </c>
      <c r="C40" s="110">
        <v>0.72699999999999998</v>
      </c>
      <c r="E40" s="112">
        <v>42878</v>
      </c>
      <c r="N40" s="110">
        <f>IFERROR(INDEX('WetLitterbags placem_collection'!$A$3:$A$500,MATCH(A40,'WetLitterbags placem_collection'!$K$4:$K$500,0)),"")</f>
        <v>164</v>
      </c>
      <c r="O40" s="110" t="str">
        <f>IFERROR(INDEX('WetLitterbags placem_collection'!$A$3:$A$500,MATCH(A40,'WetLitterbags placem_collection'!$O$4:$O$500,0)),"")</f>
        <v/>
      </c>
      <c r="P40" s="110" t="str">
        <f>IFERROR(INDEX('WetLitterbags placem_collection'!$A$3:$A$500,MATCH(A40,'WetLitterbags placem_collection'!$M$4:$M$500,0)),"")</f>
        <v/>
      </c>
      <c r="Q40" s="110" t="str">
        <f>IFERROR(INDEX('WetLitterbags placem_collection'!$A$3:$A$500,MATCH(A40,'WetLitterbags placem_collection'!$Q$4:$Q$500,0)),"")</f>
        <v/>
      </c>
    </row>
    <row r="41" spans="1:17" ht="13.95" customHeight="1">
      <c r="A41" s="110" t="s">
        <v>1677</v>
      </c>
      <c r="B41" s="110" t="s">
        <v>2077</v>
      </c>
      <c r="C41" s="110">
        <v>0.93330000000000002</v>
      </c>
      <c r="E41" s="112">
        <v>43122</v>
      </c>
      <c r="N41" s="110" t="str">
        <f>IFERROR(INDEX('WetLitterbags placem_collection'!$A$3:$A$500,MATCH(A41,'WetLitterbags placem_collection'!$K$4:$K$500,0)),"")</f>
        <v/>
      </c>
      <c r="O41" s="110">
        <f>IFERROR(INDEX('WetLitterbags placem_collection'!$A$3:$A$500,MATCH(A41,'WetLitterbags placem_collection'!$O$4:$O$500,0)),"")</f>
        <v>74</v>
      </c>
      <c r="P41" s="110" t="str">
        <f>IFERROR(INDEX('WetLitterbags placem_collection'!$A$3:$A$500,MATCH(A41,'WetLitterbags placem_collection'!$M$4:$M$500,0)),"")</f>
        <v/>
      </c>
      <c r="Q41" s="110" t="str">
        <f>IFERROR(INDEX('WetLitterbags placem_collection'!$A$3:$A$500,MATCH(A41,'WetLitterbags placem_collection'!$Q$4:$Q$500,0)),"")</f>
        <v/>
      </c>
    </row>
    <row r="42" spans="1:17" ht="13.95" customHeight="1">
      <c r="A42" s="110" t="s">
        <v>1675</v>
      </c>
      <c r="B42" s="110" t="s">
        <v>2077</v>
      </c>
      <c r="C42" s="110">
        <v>0.55700000000000005</v>
      </c>
      <c r="E42" s="112">
        <v>43122</v>
      </c>
      <c r="N42" s="110" t="str">
        <f>IFERROR(INDEX('WetLitterbags placem_collection'!$A$3:$A$500,MATCH(A42,'WetLitterbags placem_collection'!$K$4:$K$500,0)),"")</f>
        <v/>
      </c>
      <c r="O42" s="110">
        <f>IFERROR(INDEX('WetLitterbags placem_collection'!$A$3:$A$500,MATCH(A42,'WetLitterbags placem_collection'!$O$4:$O$500,0)),"")</f>
        <v>187</v>
      </c>
      <c r="P42" s="110" t="str">
        <f>IFERROR(INDEX('WetLitterbags placem_collection'!$A$3:$A$500,MATCH(A42,'WetLitterbags placem_collection'!$M$4:$M$500,0)),"")</f>
        <v/>
      </c>
      <c r="Q42" s="110" t="str">
        <f>IFERROR(INDEX('WetLitterbags placem_collection'!$A$3:$A$500,MATCH(A42,'WetLitterbags placem_collection'!$Q$4:$Q$500,0)),"")</f>
        <v/>
      </c>
    </row>
    <row r="43" spans="1:17" ht="13.95" customHeight="1">
      <c r="A43" s="404" t="s">
        <v>1219</v>
      </c>
      <c r="B43" s="110">
        <v>111</v>
      </c>
      <c r="C43" s="110">
        <v>0.66200000000000003</v>
      </c>
      <c r="D43" s="110" t="s">
        <v>2051</v>
      </c>
      <c r="E43" s="112">
        <v>42879</v>
      </c>
      <c r="N43" s="110">
        <f>IFERROR(INDEX('WetLitterbags placem_collection'!$A$3:$A$500,MATCH(A43,'WetLitterbags placem_collection'!$K$4:$K$500,0)),"")</f>
        <v>110</v>
      </c>
      <c r="O43" s="110" t="str">
        <f>IFERROR(INDEX('WetLitterbags placem_collection'!$A$3:$A$500,MATCH(A43,'WetLitterbags placem_collection'!$O$4:$O$500,0)),"")</f>
        <v/>
      </c>
      <c r="P43" s="110" t="str">
        <f>IFERROR(INDEX('WetLitterbags placem_collection'!$A$3:$A$500,MATCH(A43,'WetLitterbags placem_collection'!$M$4:$M$500,0)),"")</f>
        <v/>
      </c>
      <c r="Q43" s="110" t="str">
        <f>IFERROR(INDEX('WetLitterbags placem_collection'!$A$3:$A$500,MATCH(A43,'WetLitterbags placem_collection'!$Q$4:$Q$500,0)),"")</f>
        <v/>
      </c>
    </row>
    <row r="44" spans="1:17" ht="13.95" customHeight="1">
      <c r="A44" s="110" t="s">
        <v>1667</v>
      </c>
      <c r="B44" s="110" t="s">
        <v>2077</v>
      </c>
      <c r="C44" s="110">
        <v>0.82550000000000001</v>
      </c>
      <c r="D44" s="110" t="s">
        <v>2115</v>
      </c>
      <c r="E44" s="112">
        <v>43119</v>
      </c>
      <c r="N44" s="110">
        <f>IFERROR(INDEX('WetLitterbags placem_collection'!$A$3:$A$500,MATCH(A44,'WetLitterbags placem_collection'!$K$4:$K$500,0)),"")</f>
        <v>71</v>
      </c>
      <c r="O44" s="110" t="str">
        <f>IFERROR(INDEX('WetLitterbags placem_collection'!$A$3:$A$500,MATCH(A44,'WetLitterbags placem_collection'!$O$4:$O$500,0)),"")</f>
        <v/>
      </c>
      <c r="P44" s="110" t="str">
        <f>IFERROR(INDEX('WetLitterbags placem_collection'!$A$3:$A$500,MATCH(A44,'WetLitterbags placem_collection'!$M$4:$M$500,0)),"")</f>
        <v/>
      </c>
      <c r="Q44" s="110" t="str">
        <f>IFERROR(INDEX('WetLitterbags placem_collection'!$A$3:$A$500,MATCH(A44,'WetLitterbags placem_collection'!$Q$4:$Q$500,0)),"")</f>
        <v/>
      </c>
    </row>
    <row r="45" spans="1:17" ht="13.95" customHeight="1">
      <c r="A45" s="110" t="s">
        <v>1665</v>
      </c>
      <c r="B45" s="110" t="s">
        <v>2077</v>
      </c>
      <c r="C45" s="110">
        <v>0.62280000000000002</v>
      </c>
      <c r="E45" s="112">
        <v>43122</v>
      </c>
      <c r="N45" s="110">
        <f>IFERROR(INDEX('WetLitterbags placem_collection'!$A$3:$A$500,MATCH(A45,'WetLitterbags placem_collection'!$K$4:$K$500,0)),"")</f>
        <v>161</v>
      </c>
      <c r="O45" s="110" t="str">
        <f>IFERROR(INDEX('WetLitterbags placem_collection'!$A$3:$A$500,MATCH(A45,'WetLitterbags placem_collection'!$O$4:$O$500,0)),"")</f>
        <v/>
      </c>
      <c r="P45" s="110" t="str">
        <f>IFERROR(INDEX('WetLitterbags placem_collection'!$A$3:$A$500,MATCH(A45,'WetLitterbags placem_collection'!$M$4:$M$500,0)),"")</f>
        <v/>
      </c>
      <c r="Q45" s="110" t="str">
        <f>IFERROR(INDEX('WetLitterbags placem_collection'!$A$3:$A$500,MATCH(A45,'WetLitterbags placem_collection'!$Q$4:$Q$500,0)),"")</f>
        <v/>
      </c>
    </row>
    <row r="46" spans="1:17" ht="13.95" customHeight="1">
      <c r="A46" s="110" t="s">
        <v>1664</v>
      </c>
      <c r="B46" s="110">
        <v>69</v>
      </c>
      <c r="C46" s="110">
        <v>0.98899999999999999</v>
      </c>
      <c r="E46" s="112">
        <v>42881</v>
      </c>
      <c r="N46" s="110" t="str">
        <f>IFERROR(INDEX('WetLitterbags placem_collection'!$A$3:$A$500,MATCH(A46,'WetLitterbags placem_collection'!$K$4:$K$500,0)),"")</f>
        <v/>
      </c>
      <c r="O46" s="110">
        <f>IFERROR(INDEX('WetLitterbags placem_collection'!$A$3:$A$500,MATCH(A46,'WetLitterbags placem_collection'!$O$4:$O$500,0)),"")</f>
        <v>68</v>
      </c>
      <c r="P46" s="110" t="str">
        <f>IFERROR(INDEX('WetLitterbags placem_collection'!$A$3:$A$500,MATCH(A46,'WetLitterbags placem_collection'!$M$4:$M$500,0)),"")</f>
        <v/>
      </c>
      <c r="Q46" s="110" t="str">
        <f>IFERROR(INDEX('WetLitterbags placem_collection'!$A$3:$A$500,MATCH(A46,'WetLitterbags placem_collection'!$Q$4:$Q$500,0)),"")</f>
        <v/>
      </c>
    </row>
    <row r="47" spans="1:17" ht="13.95" customHeight="1">
      <c r="A47" s="110" t="s">
        <v>1663</v>
      </c>
      <c r="B47" s="110">
        <v>63</v>
      </c>
      <c r="C47" s="110">
        <v>1.083</v>
      </c>
      <c r="E47" s="112">
        <v>42879</v>
      </c>
      <c r="N47" s="110">
        <f>IFERROR(INDEX('WetLitterbags placem_collection'!$A$3:$A$500,MATCH(A47,'WetLitterbags placem_collection'!$K$4:$K$500,0)),"")</f>
        <v>62</v>
      </c>
      <c r="O47" s="110" t="str">
        <f>IFERROR(INDEX('WetLitterbags placem_collection'!$A$3:$A$500,MATCH(A47,'WetLitterbags placem_collection'!$O$4:$O$500,0)),"")</f>
        <v/>
      </c>
      <c r="P47" s="110" t="str">
        <f>IFERROR(INDEX('WetLitterbags placem_collection'!$A$3:$A$500,MATCH(A47,'WetLitterbags placem_collection'!$M$4:$M$500,0)),"")</f>
        <v/>
      </c>
      <c r="Q47" s="110" t="str">
        <f>IFERROR(INDEX('WetLitterbags placem_collection'!$A$3:$A$500,MATCH(A47,'WetLitterbags placem_collection'!$Q$4:$Q$500,0)),"")</f>
        <v/>
      </c>
    </row>
    <row r="48" spans="1:17" ht="13.95" customHeight="1">
      <c r="A48" s="110" t="s">
        <v>1662</v>
      </c>
      <c r="B48" s="110" t="s">
        <v>2077</v>
      </c>
      <c r="C48" s="110">
        <v>0.7046</v>
      </c>
      <c r="E48" s="112">
        <v>43122</v>
      </c>
      <c r="N48" s="110" t="str">
        <f>IFERROR(INDEX('WetLitterbags placem_collection'!$A$3:$A$500,MATCH(A48,'WetLitterbags placem_collection'!$K$4:$K$500,0)),"")</f>
        <v/>
      </c>
      <c r="O48" s="110">
        <f>IFERROR(INDEX('WetLitterbags placem_collection'!$A$3:$A$500,MATCH(A48,'WetLitterbags placem_collection'!$O$4:$O$500,0)),"")</f>
        <v>196</v>
      </c>
      <c r="P48" s="110" t="str">
        <f>IFERROR(INDEX('WetLitterbags placem_collection'!$A$3:$A$500,MATCH(A48,'WetLitterbags placem_collection'!$M$4:$M$500,0)),"")</f>
        <v/>
      </c>
      <c r="Q48" s="110" t="str">
        <f>IFERROR(INDEX('WetLitterbags placem_collection'!$A$3:$A$500,MATCH(A48,'WetLitterbags placem_collection'!$Q$4:$Q$500,0)),"")</f>
        <v/>
      </c>
    </row>
    <row r="49" spans="1:17" ht="13.95" customHeight="1">
      <c r="A49" s="110" t="s">
        <v>1661</v>
      </c>
      <c r="B49" s="110" t="s">
        <v>2077</v>
      </c>
      <c r="C49" s="110">
        <v>0.61950000000000005</v>
      </c>
      <c r="E49" s="112">
        <v>43123</v>
      </c>
      <c r="N49" s="110">
        <f>IFERROR(INDEX('WetLitterbags placem_collection'!$A$3:$A$500,MATCH(A49,'WetLitterbags placem_collection'!$K$4:$K$500,0)),"")</f>
        <v>7</v>
      </c>
      <c r="O49" s="110" t="str">
        <f>IFERROR(INDEX('WetLitterbags placem_collection'!$A$3:$A$500,MATCH(A49,'WetLitterbags placem_collection'!$O$4:$O$500,0)),"")</f>
        <v/>
      </c>
      <c r="P49" s="110" t="str">
        <f>IFERROR(INDEX('WetLitterbags placem_collection'!$A$3:$A$500,MATCH(A49,'WetLitterbags placem_collection'!$M$4:$M$500,0)),"")</f>
        <v/>
      </c>
      <c r="Q49" s="110" t="str">
        <f>IFERROR(INDEX('WetLitterbags placem_collection'!$A$3:$A$500,MATCH(A49,'WetLitterbags placem_collection'!$Q$4:$Q$500,0)),"")</f>
        <v/>
      </c>
    </row>
    <row r="50" spans="1:17" ht="13.95" customHeight="1">
      <c r="A50" s="110" t="s">
        <v>1660</v>
      </c>
      <c r="B50" s="110">
        <v>64</v>
      </c>
      <c r="C50" s="110">
        <v>0.63800000000000001</v>
      </c>
      <c r="E50" s="112">
        <v>42879</v>
      </c>
      <c r="N50" s="110" t="str">
        <f>IFERROR(INDEX('WetLitterbags placem_collection'!$A$3:$A$500,MATCH(A50,'WetLitterbags placem_collection'!$K$4:$K$500,0)),"")</f>
        <v/>
      </c>
      <c r="O50" s="110">
        <f>IFERROR(INDEX('WetLitterbags placem_collection'!$A$3:$A$500,MATCH(A50,'WetLitterbags placem_collection'!$O$4:$O$500,0)),"")</f>
        <v>163</v>
      </c>
      <c r="P50" s="110" t="str">
        <f>IFERROR(INDEX('WetLitterbags placem_collection'!$A$3:$A$500,MATCH(A50,'WetLitterbags placem_collection'!$M$4:$M$500,0)),"")</f>
        <v/>
      </c>
      <c r="Q50" s="110" t="str">
        <f>IFERROR(INDEX('WetLitterbags placem_collection'!$A$3:$A$500,MATCH(A50,'WetLitterbags placem_collection'!$Q$4:$Q$500,0)),"")</f>
        <v/>
      </c>
    </row>
    <row r="51" spans="1:17" ht="13.95" customHeight="1">
      <c r="A51" s="110" t="s">
        <v>1659</v>
      </c>
      <c r="B51" s="110">
        <v>61</v>
      </c>
      <c r="C51" s="110">
        <v>0.628</v>
      </c>
      <c r="E51" s="112">
        <v>42878</v>
      </c>
      <c r="N51" s="110" t="str">
        <f>IFERROR(INDEX('WetLitterbags placem_collection'!$A$3:$A$500,MATCH(A51,'WetLitterbags placem_collection'!$K$4:$K$500,0)),"")</f>
        <v/>
      </c>
      <c r="O51" s="110">
        <f>IFERROR(INDEX('WetLitterbags placem_collection'!$A$3:$A$500,MATCH(A51,'WetLitterbags placem_collection'!$O$4:$O$500,0)),"")</f>
        <v>60</v>
      </c>
      <c r="P51" s="110" t="str">
        <f>IFERROR(INDEX('WetLitterbags placem_collection'!$A$3:$A$500,MATCH(A51,'WetLitterbags placem_collection'!$M$4:$M$500,0)),"")</f>
        <v/>
      </c>
      <c r="Q51" s="110" t="str">
        <f>IFERROR(INDEX('WetLitterbags placem_collection'!$A$3:$A$500,MATCH(A51,'WetLitterbags placem_collection'!$Q$4:$Q$500,0)),"")</f>
        <v/>
      </c>
    </row>
    <row r="52" spans="1:17" ht="13.95" customHeight="1">
      <c r="A52" s="110" t="s">
        <v>1657</v>
      </c>
      <c r="B52" s="110" t="s">
        <v>2077</v>
      </c>
      <c r="C52" s="110">
        <v>0.62090000000000001</v>
      </c>
      <c r="E52" s="112">
        <v>43119</v>
      </c>
      <c r="N52" s="110" t="str">
        <f>IFERROR(INDEX('WetLitterbags placem_collection'!$A$3:$A$500,MATCH(A52,'WetLitterbags placem_collection'!$K$4:$K$500,0)),"")</f>
        <v/>
      </c>
      <c r="O52" s="110">
        <f>IFERROR(INDEX('WetLitterbags placem_collection'!$A$3:$A$500,MATCH(A52,'WetLitterbags placem_collection'!$O$4:$O$500,0)),"")</f>
        <v>189</v>
      </c>
      <c r="P52" s="110" t="str">
        <f>IFERROR(INDEX('WetLitterbags placem_collection'!$A$3:$A$500,MATCH(A52,'WetLitterbags placem_collection'!$M$4:$M$500,0)),"")</f>
        <v/>
      </c>
      <c r="Q52" s="110" t="str">
        <f>IFERROR(INDEX('WetLitterbags placem_collection'!$A$3:$A$500,MATCH(A52,'WetLitterbags placem_collection'!$Q$4:$Q$500,0)),"")</f>
        <v/>
      </c>
    </row>
    <row r="53" spans="1:17" ht="13.95" customHeight="1">
      <c r="A53" s="110" t="s">
        <v>1647</v>
      </c>
      <c r="B53" s="110" t="s">
        <v>2077</v>
      </c>
      <c r="C53" s="110">
        <v>0.69440000000000002</v>
      </c>
      <c r="E53" s="112">
        <v>43116</v>
      </c>
      <c r="N53" s="110">
        <f>IFERROR(INDEX('WetLitterbags placem_collection'!$A$3:$A$500,MATCH(A53,'WetLitterbags placem_collection'!$K$4:$K$500,0)),"")</f>
        <v>181</v>
      </c>
      <c r="O53" s="110" t="str">
        <f>IFERROR(INDEX('WetLitterbags placem_collection'!$A$3:$A$500,MATCH(A53,'WetLitterbags placem_collection'!$O$4:$O$500,0)),"")</f>
        <v/>
      </c>
      <c r="P53" s="110" t="str">
        <f>IFERROR(INDEX('WetLitterbags placem_collection'!$A$3:$A$500,MATCH(A53,'WetLitterbags placem_collection'!$M$4:$M$500,0)),"")</f>
        <v/>
      </c>
      <c r="Q53" s="110" t="str">
        <f>IFERROR(INDEX('WetLitterbags placem_collection'!$A$3:$A$500,MATCH(A53,'WetLitterbags placem_collection'!$Q$4:$Q$500,0)),"")</f>
        <v/>
      </c>
    </row>
    <row r="54" spans="1:17" ht="13.95" customHeight="1">
      <c r="A54" s="110" t="s">
        <v>1646</v>
      </c>
      <c r="B54" s="110" t="s">
        <v>2077</v>
      </c>
      <c r="C54" s="110">
        <v>0.75349999999999995</v>
      </c>
      <c r="E54" s="112">
        <v>43119</v>
      </c>
      <c r="N54" s="110">
        <f>IFERROR(INDEX('WetLitterbags placem_collection'!$A$3:$A$500,MATCH(A54,'WetLitterbags placem_collection'!$K$4:$K$500,0)),"")</f>
        <v>30</v>
      </c>
      <c r="O54" s="110" t="str">
        <f>IFERROR(INDEX('WetLitterbags placem_collection'!$A$3:$A$500,MATCH(A54,'WetLitterbags placem_collection'!$O$4:$O$500,0)),"")</f>
        <v/>
      </c>
      <c r="P54" s="110" t="str">
        <f>IFERROR(INDEX('WetLitterbags placem_collection'!$A$3:$A$500,MATCH(A54,'WetLitterbags placem_collection'!$M$4:$M$500,0)),"")</f>
        <v/>
      </c>
      <c r="Q54" s="110" t="str">
        <f>IFERROR(INDEX('WetLitterbags placem_collection'!$A$3:$A$500,MATCH(A54,'WetLitterbags placem_collection'!$Q$4:$Q$500,0)),"")</f>
        <v/>
      </c>
    </row>
    <row r="55" spans="1:17" ht="13.95" customHeight="1">
      <c r="A55" s="110" t="s">
        <v>1645</v>
      </c>
      <c r="B55" s="110" t="s">
        <v>2083</v>
      </c>
      <c r="C55" s="110">
        <v>0.70150000000000001</v>
      </c>
      <c r="D55" s="110" t="s">
        <v>2071</v>
      </c>
      <c r="E55" s="112">
        <v>43125</v>
      </c>
      <c r="N55" s="110">
        <f>IFERROR(INDEX('WetLitterbags placem_collection'!$A$3:$A$500,MATCH(A55,'WetLitterbags placem_collection'!$K$4:$K$500,0)),"")</f>
        <v>15</v>
      </c>
      <c r="O55" s="110" t="str">
        <f>IFERROR(INDEX('WetLitterbags placem_collection'!$A$3:$A$500,MATCH(A55,'WetLitterbags placem_collection'!$O$4:$O$500,0)),"")</f>
        <v/>
      </c>
      <c r="P55" s="110" t="str">
        <f>IFERROR(INDEX('WetLitterbags placem_collection'!$A$3:$A$500,MATCH(A55,'WetLitterbags placem_collection'!$M$4:$M$500,0)),"")</f>
        <v/>
      </c>
      <c r="Q55" s="110" t="str">
        <f>IFERROR(INDEX('WetLitterbags placem_collection'!$A$3:$A$500,MATCH(A55,'WetLitterbags placem_collection'!$Q$4:$Q$500,0)),"")</f>
        <v/>
      </c>
    </row>
    <row r="56" spans="1:17" ht="13.95" customHeight="1">
      <c r="A56" s="110" t="s">
        <v>1644</v>
      </c>
      <c r="B56" s="110" t="s">
        <v>2077</v>
      </c>
      <c r="C56" s="110">
        <v>0.68400000000000005</v>
      </c>
      <c r="E56" s="112">
        <v>43122</v>
      </c>
      <c r="N56" s="110">
        <f>IFERROR(INDEX('WetLitterbags placem_collection'!$A$3:$A$500,MATCH(A56,'WetLitterbags placem_collection'!$K$4:$K$500,0)),"")</f>
        <v>24</v>
      </c>
      <c r="O56" s="110" t="str">
        <f>IFERROR(INDEX('WetLitterbags placem_collection'!$A$3:$A$500,MATCH(A56,'WetLitterbags placem_collection'!$O$4:$O$500,0)),"")</f>
        <v/>
      </c>
      <c r="P56" s="110" t="str">
        <f>IFERROR(INDEX('WetLitterbags placem_collection'!$A$3:$A$500,MATCH(A56,'WetLitterbags placem_collection'!$M$4:$M$500,0)),"")</f>
        <v/>
      </c>
      <c r="Q56" s="110" t="str">
        <f>IFERROR(INDEX('WetLitterbags placem_collection'!$A$3:$A$500,MATCH(A56,'WetLitterbags placem_collection'!$Q$4:$Q$500,0)),"")</f>
        <v/>
      </c>
    </row>
    <row r="57" spans="1:17" ht="13.95" customHeight="1">
      <c r="A57" s="110" t="s">
        <v>1642</v>
      </c>
      <c r="B57" s="110" t="s">
        <v>2083</v>
      </c>
      <c r="C57" s="110">
        <v>0.85780000000000001</v>
      </c>
      <c r="D57" s="110" t="s">
        <v>2099</v>
      </c>
      <c r="E57" s="112">
        <v>43125</v>
      </c>
      <c r="N57" s="110">
        <f>IFERROR(INDEX('WetLitterbags placem_collection'!$A$3:$A$500,MATCH(A57,'WetLitterbags placem_collection'!$K$4:$K$500,0)),"")</f>
        <v>74</v>
      </c>
      <c r="O57" s="110" t="str">
        <f>IFERROR(INDEX('WetLitterbags placem_collection'!$A$3:$A$500,MATCH(A57,'WetLitterbags placem_collection'!$O$4:$O$500,0)),"")</f>
        <v/>
      </c>
      <c r="P57" s="110" t="str">
        <f>IFERROR(INDEX('WetLitterbags placem_collection'!$A$3:$A$500,MATCH(A57,'WetLitterbags placem_collection'!$M$4:$M$500,0)),"")</f>
        <v/>
      </c>
      <c r="Q57" s="110" t="str">
        <f>IFERROR(INDEX('WetLitterbags placem_collection'!$A$3:$A$500,MATCH(A57,'WetLitterbags placem_collection'!$Q$4:$Q$500,0)),"")</f>
        <v/>
      </c>
    </row>
    <row r="58" spans="1:17" ht="13.95" customHeight="1">
      <c r="A58" s="179" t="s">
        <v>1636</v>
      </c>
      <c r="B58">
        <v>70</v>
      </c>
      <c r="C58" s="110">
        <v>0.84099999999999997</v>
      </c>
      <c r="E58" s="112">
        <v>42878</v>
      </c>
      <c r="N58" s="110" t="str">
        <f>IFERROR(INDEX('WetLitterbags placem_collection'!$A$3:$A$500,MATCH(A58,'WetLitterbags placem_collection'!$K$4:$K$500,0)),"")</f>
        <v/>
      </c>
      <c r="O58" s="110">
        <f>IFERROR(INDEX('WetLitterbags placem_collection'!$A$3:$A$500,MATCH(A58,'WetLitterbags placem_collection'!$O$4:$O$500,0)),"")</f>
        <v>69</v>
      </c>
      <c r="P58" s="110" t="str">
        <f>IFERROR(INDEX('WetLitterbags placem_collection'!$A$3:$A$500,MATCH(A58,'WetLitterbags placem_collection'!$M$4:$M$500,0)),"")</f>
        <v/>
      </c>
      <c r="Q58" s="110" t="str">
        <f>IFERROR(INDEX('WetLitterbags placem_collection'!$A$3:$A$500,MATCH(A58,'WetLitterbags placem_collection'!$Q$4:$Q$500,0)),"")</f>
        <v/>
      </c>
    </row>
    <row r="59" spans="1:17" ht="13.95" customHeight="1">
      <c r="A59" s="110" t="s">
        <v>1634</v>
      </c>
      <c r="B59" s="110">
        <v>75</v>
      </c>
      <c r="C59" s="110">
        <v>0.94399999999999995</v>
      </c>
      <c r="D59" s="110" t="s">
        <v>2058</v>
      </c>
      <c r="E59" s="112">
        <v>42881</v>
      </c>
      <c r="N59" s="110">
        <f>IFERROR(INDEX('WetLitterbags placem_collection'!$A$3:$A$500,MATCH(A59,'WetLitterbags placem_collection'!$K$4:$K$500,0)),"")</f>
        <v>75</v>
      </c>
      <c r="O59" s="110" t="str">
        <f>IFERROR(INDEX('WetLitterbags placem_collection'!$A$3:$A$500,MATCH(A59,'WetLitterbags placem_collection'!$O$4:$O$500,0)),"")</f>
        <v/>
      </c>
      <c r="P59" s="110" t="str">
        <f>IFERROR(INDEX('WetLitterbags placem_collection'!$A$3:$A$500,MATCH(A59,'WetLitterbags placem_collection'!$M$4:$M$500,0)),"")</f>
        <v/>
      </c>
      <c r="Q59" s="110" t="str">
        <f>IFERROR(INDEX('WetLitterbags placem_collection'!$A$3:$A$500,MATCH(A59,'WetLitterbags placem_collection'!$Q$4:$Q$500,0)),"")</f>
        <v/>
      </c>
    </row>
    <row r="60" spans="1:17" ht="13.95" customHeight="1">
      <c r="A60" s="110" t="s">
        <v>1633</v>
      </c>
      <c r="B60" s="110" t="s">
        <v>2077</v>
      </c>
      <c r="C60" s="110">
        <v>0.62309999999999999</v>
      </c>
      <c r="E60" s="112">
        <v>43119</v>
      </c>
      <c r="N60" s="110" t="str">
        <f>IFERROR(INDEX('WetLitterbags placem_collection'!$A$3:$A$500,MATCH(A60,'WetLitterbags placem_collection'!$K$4:$K$500,0)),"")</f>
        <v/>
      </c>
      <c r="O60" s="110">
        <f>IFERROR(INDEX('WetLitterbags placem_collection'!$A$3:$A$500,MATCH(A60,'WetLitterbags placem_collection'!$O$4:$O$500,0)),"")</f>
        <v>190</v>
      </c>
      <c r="P60" s="110" t="str">
        <f>IFERROR(INDEX('WetLitterbags placem_collection'!$A$3:$A$500,MATCH(A60,'WetLitterbags placem_collection'!$M$4:$M$500,0)),"")</f>
        <v/>
      </c>
      <c r="Q60" s="110" t="str">
        <f>IFERROR(INDEX('WetLitterbags placem_collection'!$A$3:$A$500,MATCH(A60,'WetLitterbags placem_collection'!$Q$4:$Q$500,0)),"")</f>
        <v/>
      </c>
    </row>
    <row r="61" spans="1:17" ht="13.95" customHeight="1">
      <c r="A61" s="110" t="s">
        <v>1631</v>
      </c>
      <c r="B61" s="110">
        <v>18</v>
      </c>
      <c r="C61" s="110">
        <v>0.79100000000000004</v>
      </c>
      <c r="E61" s="112">
        <v>42879</v>
      </c>
      <c r="N61" s="110">
        <f>IFERROR(INDEX('WetLitterbags placem_collection'!$A$3:$A$500,MATCH(A61,'WetLitterbags placem_collection'!$K$4:$K$500,0)),"")</f>
        <v>17</v>
      </c>
      <c r="O61" s="110" t="str">
        <f>IFERROR(INDEX('WetLitterbags placem_collection'!$A$3:$A$500,MATCH(A61,'WetLitterbags placem_collection'!$O$4:$O$500,0)),"")</f>
        <v/>
      </c>
      <c r="P61" s="110" t="str">
        <f>IFERROR(INDEX('WetLitterbags placem_collection'!$A$3:$A$500,MATCH(A61,'WetLitterbags placem_collection'!$M$4:$M$500,0)),"")</f>
        <v/>
      </c>
      <c r="Q61" s="110" t="str">
        <f>IFERROR(INDEX('WetLitterbags placem_collection'!$A$3:$A$500,MATCH(A61,'WetLitterbags placem_collection'!$Q$4:$Q$500,0)),"")</f>
        <v/>
      </c>
    </row>
    <row r="62" spans="1:17" ht="13.95" customHeight="1">
      <c r="A62" s="110" t="s">
        <v>1630</v>
      </c>
      <c r="B62" s="110" t="s">
        <v>2083</v>
      </c>
      <c r="C62" s="110">
        <v>0.29980000000000001</v>
      </c>
      <c r="D62" s="167" t="s">
        <v>2468</v>
      </c>
      <c r="E62" s="112">
        <v>43125</v>
      </c>
      <c r="N62" s="110">
        <f>IFERROR(INDEX('WetLitterbags placem_collection'!$A$3:$A$500,MATCH(A62,'WetLitterbags placem_collection'!$K$4:$K$500,0)),"")</f>
        <v>187</v>
      </c>
      <c r="O62" s="110" t="str">
        <f>IFERROR(INDEX('WetLitterbags placem_collection'!$A$3:$A$500,MATCH(A62,'WetLitterbags placem_collection'!$O$4:$O$500,0)),"")</f>
        <v/>
      </c>
      <c r="P62" s="110" t="str">
        <f>IFERROR(INDEX('WetLitterbags placem_collection'!$A$3:$A$500,MATCH(A62,'WetLitterbags placem_collection'!$M$4:$M$500,0)),"")</f>
        <v/>
      </c>
      <c r="Q62" s="110" t="str">
        <f>IFERROR(INDEX('WetLitterbags placem_collection'!$A$3:$A$500,MATCH(A62,'WetLitterbags placem_collection'!$Q$4:$Q$500,0)),"")</f>
        <v/>
      </c>
    </row>
    <row r="63" spans="1:17" ht="13.95" customHeight="1">
      <c r="A63" s="110" t="s">
        <v>1629</v>
      </c>
      <c r="B63" s="110">
        <v>24</v>
      </c>
      <c r="C63" s="110">
        <v>0.67</v>
      </c>
      <c r="E63" s="112">
        <v>43119</v>
      </c>
      <c r="N63" s="110" t="str">
        <f>IFERROR(INDEX('WetLitterbags placem_collection'!$A$3:$A$500,MATCH(A63,'WetLitterbags placem_collection'!$K$4:$K$500,0)),"")</f>
        <v/>
      </c>
      <c r="O63" s="110">
        <f>IFERROR(INDEX('WetLitterbags placem_collection'!$A$3:$A$500,MATCH(A63,'WetLitterbags placem_collection'!$O$4:$O$500,0)),"")</f>
        <v>23</v>
      </c>
      <c r="P63" s="110" t="str">
        <f>IFERROR(INDEX('WetLitterbags placem_collection'!$A$3:$A$500,MATCH(A63,'WetLitterbags placem_collection'!$M$4:$M$500,0)),"")</f>
        <v/>
      </c>
      <c r="Q63" s="110" t="str">
        <f>IFERROR(INDEX('WetLitterbags placem_collection'!$A$3:$A$500,MATCH(A63,'WetLitterbags placem_collection'!$Q$4:$Q$500,0)),"")</f>
        <v/>
      </c>
    </row>
    <row r="64" spans="1:17" ht="13.95" customHeight="1">
      <c r="A64" s="110" t="s">
        <v>1627</v>
      </c>
      <c r="B64" s="110" t="s">
        <v>2077</v>
      </c>
      <c r="C64" s="110">
        <v>0.62319999999999998</v>
      </c>
      <c r="E64" s="112">
        <v>43116</v>
      </c>
      <c r="N64" s="110">
        <f>IFERROR(INDEX('WetLitterbags placem_collection'!$A$3:$A$500,MATCH(A64,'WetLitterbags placem_collection'!$K$4:$K$500,0)),"")</f>
        <v>184</v>
      </c>
      <c r="O64" s="110" t="str">
        <f>IFERROR(INDEX('WetLitterbags placem_collection'!$A$3:$A$500,MATCH(A64,'WetLitterbags placem_collection'!$O$4:$O$500,0)),"")</f>
        <v/>
      </c>
      <c r="P64" s="110" t="str">
        <f>IFERROR(INDEX('WetLitterbags placem_collection'!$A$3:$A$500,MATCH(A64,'WetLitterbags placem_collection'!$M$4:$M$500,0)),"")</f>
        <v/>
      </c>
      <c r="Q64" s="110" t="str">
        <f>IFERROR(INDEX('WetLitterbags placem_collection'!$A$3:$A$500,MATCH(A64,'WetLitterbags placem_collection'!$Q$4:$Q$500,0)),"")</f>
        <v/>
      </c>
    </row>
    <row r="65" spans="1:17" ht="13.95" customHeight="1">
      <c r="A65" s="110" t="s">
        <v>1626</v>
      </c>
      <c r="B65" s="110" t="s">
        <v>2077</v>
      </c>
      <c r="C65" s="110">
        <v>0.66039999999999999</v>
      </c>
      <c r="E65" s="112">
        <v>43119</v>
      </c>
      <c r="N65" s="110" t="str">
        <f>IFERROR(INDEX('WetLitterbags placem_collection'!$A$3:$A$500,MATCH(A65,'WetLitterbags placem_collection'!$K$4:$K$500,0)),"")</f>
        <v/>
      </c>
      <c r="O65" s="110">
        <f>IFERROR(INDEX('WetLitterbags placem_collection'!$A$3:$A$500,MATCH(A65,'WetLitterbags placem_collection'!$O$4:$O$500,0)),"")</f>
        <v>92</v>
      </c>
      <c r="P65" s="110" t="str">
        <f>IFERROR(INDEX('WetLitterbags placem_collection'!$A$3:$A$500,MATCH(A65,'WetLitterbags placem_collection'!$M$4:$M$500,0)),"")</f>
        <v/>
      </c>
      <c r="Q65" s="110" t="str">
        <f>IFERROR(INDEX('WetLitterbags placem_collection'!$A$3:$A$500,MATCH(A65,'WetLitterbags placem_collection'!$Q$4:$Q$500,0)),"")</f>
        <v/>
      </c>
    </row>
    <row r="66" spans="1:17" ht="13.95" customHeight="1">
      <c r="A66" s="110" t="s">
        <v>1625</v>
      </c>
      <c r="B66" s="110">
        <v>169</v>
      </c>
      <c r="C66" s="110">
        <v>0.65800000000000003</v>
      </c>
      <c r="E66" s="112">
        <v>42879</v>
      </c>
      <c r="N66" s="110">
        <f>IFERROR(INDEX('WetLitterbags placem_collection'!$A$3:$A$500,MATCH(A66,'WetLitterbags placem_collection'!$K$4:$K$500,0)),"")</f>
        <v>168</v>
      </c>
      <c r="O66" s="110" t="str">
        <f>IFERROR(INDEX('WetLitterbags placem_collection'!$A$3:$A$500,MATCH(A66,'WetLitterbags placem_collection'!$O$4:$O$500,0)),"")</f>
        <v/>
      </c>
      <c r="P66" s="110" t="str">
        <f>IFERROR(INDEX('WetLitterbags placem_collection'!$A$3:$A$500,MATCH(A66,'WetLitterbags placem_collection'!$M$4:$M$500,0)),"")</f>
        <v/>
      </c>
      <c r="Q66" s="110" t="str">
        <f>IFERROR(INDEX('WetLitterbags placem_collection'!$A$3:$A$500,MATCH(A66,'WetLitterbags placem_collection'!$Q$4:$Q$500,0)),"")</f>
        <v/>
      </c>
    </row>
    <row r="67" spans="1:17" ht="13.95" customHeight="1">
      <c r="A67" s="110" t="s">
        <v>1621</v>
      </c>
      <c r="B67" s="110">
        <v>167</v>
      </c>
      <c r="C67" s="110">
        <v>0.64529999999999998</v>
      </c>
      <c r="D67" s="110" t="s">
        <v>2115</v>
      </c>
      <c r="E67" s="112">
        <v>43122</v>
      </c>
      <c r="N67" s="110">
        <f>IFERROR(INDEX('WetLitterbags placem_collection'!$A$3:$A$500,MATCH(A67,'WetLitterbags placem_collection'!$K$4:$K$500,0)),"")</f>
        <v>166</v>
      </c>
      <c r="O67" s="110" t="str">
        <f>IFERROR(INDEX('WetLitterbags placem_collection'!$A$3:$A$500,MATCH(A67,'WetLitterbags placem_collection'!$O$4:$O$500,0)),"")</f>
        <v/>
      </c>
      <c r="P67" s="110" t="str">
        <f>IFERROR(INDEX('WetLitterbags placem_collection'!$A$3:$A$500,MATCH(A67,'WetLitterbags placem_collection'!$M$4:$M$500,0)),"")</f>
        <v/>
      </c>
      <c r="Q67" s="110" t="str">
        <f>IFERROR(INDEX('WetLitterbags placem_collection'!$A$3:$A$500,MATCH(A67,'WetLitterbags placem_collection'!$Q$4:$Q$500,0)),"")</f>
        <v/>
      </c>
    </row>
    <row r="68" spans="1:17" ht="13.95" customHeight="1">
      <c r="A68" t="s">
        <v>1617</v>
      </c>
      <c r="B68" s="110">
        <v>170</v>
      </c>
      <c r="C68" s="110">
        <v>0.64800000000000002</v>
      </c>
      <c r="E68" s="112">
        <v>42878</v>
      </c>
      <c r="N68" s="110">
        <f>IFERROR(INDEX('WetLitterbags placem_collection'!$A$3:$A$500,MATCH(A68,'WetLitterbags placem_collection'!$K$4:$K$500,0)),"")</f>
        <v>169</v>
      </c>
      <c r="O68" s="110" t="str">
        <f>IFERROR(INDEX('WetLitterbags placem_collection'!$A$3:$A$500,MATCH(A68,'WetLitterbags placem_collection'!$O$4:$O$500,0)),"")</f>
        <v/>
      </c>
      <c r="P68" s="110" t="str">
        <f>IFERROR(INDEX('WetLitterbags placem_collection'!$A$3:$A$500,MATCH(A68,'WetLitterbags placem_collection'!$M$4:$M$500,0)),"")</f>
        <v/>
      </c>
      <c r="Q68" s="110" t="str">
        <f>IFERROR(INDEX('WetLitterbags placem_collection'!$A$3:$A$500,MATCH(A68,'WetLitterbags placem_collection'!$Q$4:$Q$500,0)),"")</f>
        <v/>
      </c>
    </row>
    <row r="69" spans="1:17" ht="13.95" customHeight="1">
      <c r="A69" s="110" t="s">
        <v>1614</v>
      </c>
      <c r="B69" s="110" t="s">
        <v>2083</v>
      </c>
      <c r="C69" s="110">
        <v>0.43290000000000001</v>
      </c>
      <c r="D69" s="110" t="s">
        <v>2101</v>
      </c>
      <c r="E69" s="112">
        <v>43125</v>
      </c>
      <c r="N69" s="110" t="str">
        <f>IFERROR(INDEX('WetLitterbags placem_collection'!$A$3:$A$500,MATCH(A69,'WetLitterbags placem_collection'!$K$4:$K$500,0)),"")</f>
        <v/>
      </c>
      <c r="O69" s="110" t="str">
        <f>IFERROR(INDEX('WetLitterbags placem_collection'!$A$3:$A$500,MATCH(A69,'WetLitterbags placem_collection'!$O$4:$O$500,0)),"")</f>
        <v/>
      </c>
      <c r="P69" s="110" t="str">
        <f>IFERROR(INDEX('WetLitterbags placem_collection'!$A$3:$A$500,MATCH(A69,'WetLitterbags placem_collection'!$M$4:$M$500,0)),"")</f>
        <v/>
      </c>
      <c r="Q69" s="110" t="str">
        <f>IFERROR(INDEX('WetLitterbags placem_collection'!$A$3:$A$500,MATCH(A69,'WetLitterbags placem_collection'!$Q$4:$Q$500,0)),"")</f>
        <v/>
      </c>
    </row>
    <row r="70" spans="1:17" ht="13.95" customHeight="1">
      <c r="A70" s="110" t="s">
        <v>1613</v>
      </c>
      <c r="B70" s="110">
        <v>42</v>
      </c>
      <c r="C70" s="110">
        <v>0.64</v>
      </c>
      <c r="E70" s="112">
        <v>42881</v>
      </c>
      <c r="N70" s="110" t="str">
        <f>IFERROR(INDEX('WetLitterbags placem_collection'!$A$3:$A$500,MATCH(A70,'WetLitterbags placem_collection'!$K$4:$K$500,0)),"")</f>
        <v/>
      </c>
      <c r="O70" s="110">
        <f>IFERROR(INDEX('WetLitterbags placem_collection'!$A$3:$A$500,MATCH(A70,'WetLitterbags placem_collection'!$O$4:$O$500,0)),"")</f>
        <v>41</v>
      </c>
      <c r="P70" s="110" t="str">
        <f>IFERROR(INDEX('WetLitterbags placem_collection'!$A$3:$A$500,MATCH(A70,'WetLitterbags placem_collection'!$M$4:$M$500,0)),"")</f>
        <v/>
      </c>
      <c r="Q70" s="110" t="str">
        <f>IFERROR(INDEX('WetLitterbags placem_collection'!$A$3:$A$500,MATCH(A70,'WetLitterbags placem_collection'!$Q$4:$Q$500,0)),"")</f>
        <v/>
      </c>
    </row>
    <row r="71" spans="1:17" ht="13.95" customHeight="1">
      <c r="A71" s="110" t="s">
        <v>1611</v>
      </c>
      <c r="B71" s="110">
        <v>172</v>
      </c>
      <c r="C71" s="110">
        <v>0.59599999999999997</v>
      </c>
      <c r="E71" s="112">
        <v>43123</v>
      </c>
      <c r="N71" s="110" t="str">
        <f>IFERROR(INDEX('WetLitterbags placem_collection'!$A$3:$A$500,MATCH(A71,'WetLitterbags placem_collection'!$K$4:$K$500,0)),"")</f>
        <v/>
      </c>
      <c r="O71" s="110">
        <f>IFERROR(INDEX('WetLitterbags placem_collection'!$A$3:$A$500,MATCH(A71,'WetLitterbags placem_collection'!$O$4:$O$500,0)),"")</f>
        <v>171</v>
      </c>
      <c r="P71" s="110" t="str">
        <f>IFERROR(INDEX('WetLitterbags placem_collection'!$A$3:$A$500,MATCH(A71,'WetLitterbags placem_collection'!$M$4:$M$500,0)),"")</f>
        <v/>
      </c>
      <c r="Q71" s="110" t="str">
        <f>IFERROR(INDEX('WetLitterbags placem_collection'!$A$3:$A$500,MATCH(A71,'WetLitterbags placem_collection'!$Q$4:$Q$500,0)),"")</f>
        <v/>
      </c>
    </row>
    <row r="72" spans="1:17" ht="13.95" customHeight="1">
      <c r="A72" s="110" t="s">
        <v>1610</v>
      </c>
      <c r="B72" s="110">
        <v>63</v>
      </c>
      <c r="C72" s="110">
        <v>0.94199999999999995</v>
      </c>
      <c r="E72" s="112">
        <v>42879</v>
      </c>
      <c r="N72" s="110" t="str">
        <f>IFERROR(INDEX('WetLitterbags placem_collection'!$A$3:$A$500,MATCH(A72,'WetLitterbags placem_collection'!$K$4:$K$500,0)),"")</f>
        <v/>
      </c>
      <c r="O72" s="110">
        <f>IFERROR(INDEX('WetLitterbags placem_collection'!$A$3:$A$500,MATCH(A72,'WetLitterbags placem_collection'!$O$4:$O$500,0)),"")</f>
        <v>62</v>
      </c>
      <c r="P72" s="110" t="str">
        <f>IFERROR(INDEX('WetLitterbags placem_collection'!$A$3:$A$500,MATCH(A72,'WetLitterbags placem_collection'!$M$4:$M$500,0)),"")</f>
        <v/>
      </c>
      <c r="Q72" s="110" t="str">
        <f>IFERROR(INDEX('WetLitterbags placem_collection'!$A$3:$A$500,MATCH(A72,'WetLitterbags placem_collection'!$Q$4:$Q$500,0)),"")</f>
        <v/>
      </c>
    </row>
    <row r="73" spans="1:17" ht="13.95" customHeight="1">
      <c r="A73" s="110" t="s">
        <v>1609</v>
      </c>
      <c r="B73" s="110">
        <v>85</v>
      </c>
      <c r="C73" s="110">
        <v>0.96599999999999997</v>
      </c>
      <c r="E73" s="112">
        <v>42878</v>
      </c>
      <c r="N73" s="110" t="str">
        <f>IFERROR(INDEX('WetLitterbags placem_collection'!$A$3:$A$500,MATCH(A73,'WetLitterbags placem_collection'!$K$4:$K$500,0)),"")</f>
        <v/>
      </c>
      <c r="O73" s="110">
        <f>IFERROR(INDEX('WetLitterbags placem_collection'!$A$3:$A$500,MATCH(A73,'WetLitterbags placem_collection'!$O$4:$O$500,0)),"")</f>
        <v>84</v>
      </c>
      <c r="P73" s="110" t="str">
        <f>IFERROR(INDEX('WetLitterbags placem_collection'!$A$3:$A$500,MATCH(A73,'WetLitterbags placem_collection'!$M$4:$M$500,0)),"")</f>
        <v/>
      </c>
      <c r="Q73" s="110" t="str">
        <f>IFERROR(INDEX('WetLitterbags placem_collection'!$A$3:$A$500,MATCH(A73,'WetLitterbags placem_collection'!$Q$4:$Q$500,0)),"")</f>
        <v/>
      </c>
    </row>
    <row r="74" spans="1:17" ht="13.95" customHeight="1">
      <c r="A74" s="110" t="s">
        <v>1608</v>
      </c>
      <c r="B74" s="110" t="s">
        <v>2077</v>
      </c>
      <c r="C74" s="110">
        <v>0.66290000000000004</v>
      </c>
      <c r="E74" s="112">
        <v>43116</v>
      </c>
      <c r="N74" s="110" t="str">
        <f>IFERROR(INDEX('WetLitterbags placem_collection'!$A$3:$A$500,MATCH(A74,'WetLitterbags placem_collection'!$K$4:$K$500,0)),"")</f>
        <v/>
      </c>
      <c r="O74" s="110">
        <f>IFERROR(INDEX('WetLitterbags placem_collection'!$A$3:$A$500,MATCH(A74,'WetLitterbags placem_collection'!$O$4:$O$500,0)),"")</f>
        <v>161</v>
      </c>
      <c r="P74" s="110" t="str">
        <f>IFERROR(INDEX('WetLitterbags placem_collection'!$A$3:$A$500,MATCH(A74,'WetLitterbags placem_collection'!$M$4:$M$500,0)),"")</f>
        <v/>
      </c>
      <c r="Q74" s="110" t="str">
        <f>IFERROR(INDEX('WetLitterbags placem_collection'!$A$3:$A$500,MATCH(A74,'WetLitterbags placem_collection'!$Q$4:$Q$500,0)),"")</f>
        <v/>
      </c>
    </row>
    <row r="75" spans="1:17" ht="13.95" customHeight="1">
      <c r="A75" s="110" t="s">
        <v>1607</v>
      </c>
      <c r="B75" s="110" t="s">
        <v>2077</v>
      </c>
      <c r="C75" s="110">
        <v>0.69789999999999996</v>
      </c>
      <c r="E75" s="112">
        <v>43116</v>
      </c>
      <c r="N75" s="110" t="str">
        <f>IFERROR(INDEX('WetLitterbags placem_collection'!$A$3:$A$500,MATCH(A75,'WetLitterbags placem_collection'!$K$4:$K$500,0)),"")</f>
        <v/>
      </c>
      <c r="O75" s="110">
        <f>IFERROR(INDEX('WetLitterbags placem_collection'!$A$3:$A$500,MATCH(A75,'WetLitterbags placem_collection'!$O$4:$O$500,0)),"")</f>
        <v>166</v>
      </c>
      <c r="P75" s="110" t="str">
        <f>IFERROR(INDEX('WetLitterbags placem_collection'!$A$3:$A$500,MATCH(A75,'WetLitterbags placem_collection'!$M$4:$M$500,0)),"")</f>
        <v/>
      </c>
      <c r="Q75" s="110" t="str">
        <f>IFERROR(INDEX('WetLitterbags placem_collection'!$A$3:$A$500,MATCH(A75,'WetLitterbags placem_collection'!$Q$4:$Q$500,0)),"")</f>
        <v/>
      </c>
    </row>
    <row r="76" spans="1:17" ht="13.95" customHeight="1">
      <c r="A76" s="110" t="s">
        <v>1605</v>
      </c>
      <c r="B76" s="110">
        <v>62</v>
      </c>
      <c r="C76" s="110">
        <v>0.80569999999999997</v>
      </c>
      <c r="E76" s="112">
        <v>43125</v>
      </c>
      <c r="N76" s="110" t="str">
        <f>IFERROR(INDEX('WetLitterbags placem_collection'!$A$3:$A$500,MATCH(A76,'WetLitterbags placem_collection'!$K$4:$K$500,0)),"")</f>
        <v/>
      </c>
      <c r="O76" s="110">
        <f>IFERROR(INDEX('WetLitterbags placem_collection'!$A$3:$A$500,MATCH(A76,'WetLitterbags placem_collection'!$O$4:$O$500,0)),"")</f>
        <v>61</v>
      </c>
      <c r="P76" s="110" t="str">
        <f>IFERROR(INDEX('WetLitterbags placem_collection'!$A$3:$A$500,MATCH(A76,'WetLitterbags placem_collection'!$M$4:$M$500,0)),"")</f>
        <v/>
      </c>
      <c r="Q76" s="110" t="str">
        <f>IFERROR(INDEX('WetLitterbags placem_collection'!$A$3:$A$500,MATCH(A76,'WetLitterbags placem_collection'!$Q$4:$Q$500,0)),"")</f>
        <v/>
      </c>
    </row>
    <row r="77" spans="1:17" ht="13.95" customHeight="1">
      <c r="A77" s="110" t="s">
        <v>1604</v>
      </c>
      <c r="B77" s="110" t="s">
        <v>2077</v>
      </c>
      <c r="C77" s="110">
        <v>0.77859999999999996</v>
      </c>
      <c r="E77" s="112">
        <v>43122</v>
      </c>
      <c r="N77" s="110" t="str">
        <f>IFERROR(INDEX('WetLitterbags placem_collection'!$A$3:$A$500,MATCH(A77,'WetLitterbags placem_collection'!$K$4:$K$500,0)),"")</f>
        <v/>
      </c>
      <c r="O77" s="110">
        <f>IFERROR(INDEX('WetLitterbags placem_collection'!$A$3:$A$500,MATCH(A77,'WetLitterbags placem_collection'!$O$4:$O$500,0)),"")</f>
        <v>77</v>
      </c>
      <c r="P77" s="110" t="str">
        <f>IFERROR(INDEX('WetLitterbags placem_collection'!$A$3:$A$500,MATCH(A77,'WetLitterbags placem_collection'!$M$4:$M$500,0)),"")</f>
        <v/>
      </c>
      <c r="Q77" s="110" t="str">
        <f>IFERROR(INDEX('WetLitterbags placem_collection'!$A$3:$A$500,MATCH(A77,'WetLitterbags placem_collection'!$Q$4:$Q$500,0)),"")</f>
        <v/>
      </c>
    </row>
    <row r="78" spans="1:17" ht="13.95" customHeight="1">
      <c r="A78" s="110" t="s">
        <v>1603</v>
      </c>
      <c r="B78" s="110" t="s">
        <v>2077</v>
      </c>
      <c r="C78" s="110">
        <v>0.67749999999999999</v>
      </c>
      <c r="E78" s="112">
        <v>43116</v>
      </c>
      <c r="N78" s="110">
        <f>IFERROR(INDEX('WetLitterbags placem_collection'!$A$3:$A$500,MATCH(A78,'WetLitterbags placem_collection'!$K$4:$K$500,0)),"")</f>
        <v>5</v>
      </c>
      <c r="O78" s="110" t="str">
        <f>IFERROR(INDEX('WetLitterbags placem_collection'!$A$3:$A$500,MATCH(A78,'WetLitterbags placem_collection'!$O$4:$O$500,0)),"")</f>
        <v/>
      </c>
      <c r="P78" s="110" t="str">
        <f>IFERROR(INDEX('WetLitterbags placem_collection'!$A$3:$A$500,MATCH(A78,'WetLitterbags placem_collection'!$M$4:$M$500,0)),"")</f>
        <v/>
      </c>
      <c r="Q78" s="110" t="str">
        <f>IFERROR(INDEX('WetLitterbags placem_collection'!$A$3:$A$500,MATCH(A78,'WetLitterbags placem_collection'!$Q$4:$Q$500,0)),"")</f>
        <v/>
      </c>
    </row>
    <row r="79" spans="1:17" ht="13.95" customHeight="1">
      <c r="A79" s="110" t="s">
        <v>1602</v>
      </c>
      <c r="B79" s="110">
        <v>69</v>
      </c>
      <c r="C79" s="222" t="s">
        <v>2057</v>
      </c>
      <c r="D79" s="110" t="s">
        <v>2059</v>
      </c>
      <c r="E79" s="112">
        <v>42881</v>
      </c>
      <c r="N79" s="110">
        <f>IFERROR(INDEX('WetLitterbags placem_collection'!$A$3:$A$500,MATCH(A79,'WetLitterbags placem_collection'!$K$4:$K$500,0)),"")</f>
        <v>68</v>
      </c>
      <c r="O79" s="110" t="str">
        <f>IFERROR(INDEX('WetLitterbags placem_collection'!$A$3:$A$500,MATCH(A79,'WetLitterbags placem_collection'!$O$4:$O$500,0)),"")</f>
        <v/>
      </c>
      <c r="P79" s="110" t="str">
        <f>IFERROR(INDEX('WetLitterbags placem_collection'!$A$3:$A$500,MATCH(A79,'WetLitterbags placem_collection'!$M$4:$M$500,0)),"")</f>
        <v/>
      </c>
      <c r="Q79" s="110" t="str">
        <f>IFERROR(INDEX('WetLitterbags placem_collection'!$A$3:$A$500,MATCH(A79,'WetLitterbags placem_collection'!$Q$4:$Q$500,0)),"")</f>
        <v/>
      </c>
    </row>
    <row r="80" spans="1:17" ht="13.95" customHeight="1">
      <c r="A80" s="110" t="s">
        <v>1601</v>
      </c>
      <c r="B80" s="110">
        <v>27</v>
      </c>
      <c r="C80" s="110">
        <v>0.73760000000000003</v>
      </c>
      <c r="E80" s="112">
        <v>43122</v>
      </c>
      <c r="N80" s="110" t="str">
        <f>IFERROR(INDEX('WetLitterbags placem_collection'!$A$3:$A$500,MATCH(A80,'WetLitterbags placem_collection'!$K$4:$K$500,0)),"")</f>
        <v/>
      </c>
      <c r="O80" s="110">
        <f>IFERROR(INDEX('WetLitterbags placem_collection'!$A$3:$A$500,MATCH(A80,'WetLitterbags placem_collection'!$O$4:$O$500,0)),"")</f>
        <v>26</v>
      </c>
      <c r="P80" s="110" t="str">
        <f>IFERROR(INDEX('WetLitterbags placem_collection'!$A$3:$A$500,MATCH(A80,'WetLitterbags placem_collection'!$M$4:$M$500,0)),"")</f>
        <v/>
      </c>
      <c r="Q80" s="110" t="str">
        <f>IFERROR(INDEX('WetLitterbags placem_collection'!$A$3:$A$500,MATCH(A80,'WetLitterbags placem_collection'!$Q$4:$Q$500,0)),"")</f>
        <v/>
      </c>
    </row>
    <row r="81" spans="1:17" ht="13.95" customHeight="1">
      <c r="A81" s="110" t="s">
        <v>1600</v>
      </c>
      <c r="B81" s="110">
        <v>67</v>
      </c>
      <c r="C81" s="110">
        <v>0.89059999999999995</v>
      </c>
      <c r="E81" s="112">
        <v>43125</v>
      </c>
      <c r="N81" s="110">
        <f>IFERROR(INDEX('WetLitterbags placem_collection'!$A$3:$A$500,MATCH(A81,'WetLitterbags placem_collection'!$K$4:$K$500,0)),"")</f>
        <v>66</v>
      </c>
      <c r="O81" s="110" t="str">
        <f>IFERROR(INDEX('WetLitterbags placem_collection'!$A$3:$A$500,MATCH(A81,'WetLitterbags placem_collection'!$O$4:$O$500,0)),"")</f>
        <v/>
      </c>
      <c r="P81" s="110" t="str">
        <f>IFERROR(INDEX('WetLitterbags placem_collection'!$A$3:$A$500,MATCH(A81,'WetLitterbags placem_collection'!$M$4:$M$500,0)),"")</f>
        <v/>
      </c>
      <c r="Q81" s="110" t="str">
        <f>IFERROR(INDEX('WetLitterbags placem_collection'!$A$3:$A$500,MATCH(A81,'WetLitterbags placem_collection'!$Q$4:$Q$500,0)),"")</f>
        <v/>
      </c>
    </row>
    <row r="82" spans="1:17" ht="13.95" customHeight="1">
      <c r="A82" s="110" t="s">
        <v>1599</v>
      </c>
      <c r="B82" s="110" t="s">
        <v>2077</v>
      </c>
      <c r="C82" s="110">
        <v>0.60329999999999995</v>
      </c>
      <c r="E82" s="112">
        <v>43122</v>
      </c>
      <c r="J82" s="111"/>
      <c r="K82" s="111" t="s">
        <v>2472</v>
      </c>
      <c r="L82" s="110" t="s">
        <v>2472</v>
      </c>
      <c r="N82" s="110">
        <f>IFERROR(INDEX('WetLitterbags placem_collection'!$A$3:$A$500,MATCH(A82,'WetLitterbags placem_collection'!$K$4:$K$500,0)),"")</f>
        <v>178</v>
      </c>
      <c r="O82" s="110" t="str">
        <f>IFERROR(INDEX('WetLitterbags placem_collection'!$A$3:$A$500,MATCH(A82,'WetLitterbags placem_collection'!$O$4:$O$500,0)),"")</f>
        <v/>
      </c>
      <c r="P82" s="110" t="str">
        <f>IFERROR(INDEX('WetLitterbags placem_collection'!$A$3:$A$500,MATCH(A82,'WetLitterbags placem_collection'!$M$4:$M$500,0)),"")</f>
        <v/>
      </c>
      <c r="Q82" s="110" t="str">
        <f>IFERROR(INDEX('WetLitterbags placem_collection'!$A$3:$A$500,MATCH(A82,'WetLitterbags placem_collection'!$Q$4:$Q$500,0)),"")</f>
        <v/>
      </c>
    </row>
    <row r="83" spans="1:17" ht="13.95" customHeight="1">
      <c r="A83" s="110" t="s">
        <v>1598</v>
      </c>
      <c r="B83" s="110">
        <v>7</v>
      </c>
      <c r="C83" s="110">
        <v>0.67900000000000005</v>
      </c>
      <c r="E83" s="112">
        <v>42879</v>
      </c>
      <c r="N83" s="110">
        <f>IFERROR(INDEX('WetLitterbags placem_collection'!$A$3:$A$500,MATCH(A83,'WetLitterbags placem_collection'!$K$4:$K$500,0)),"")</f>
        <v>6</v>
      </c>
      <c r="O83" s="110" t="str">
        <f>IFERROR(INDEX('WetLitterbags placem_collection'!$A$3:$A$500,MATCH(A83,'WetLitterbags placem_collection'!$O$4:$O$500,0)),"")</f>
        <v/>
      </c>
      <c r="P83" s="110" t="str">
        <f>IFERROR(INDEX('WetLitterbags placem_collection'!$A$3:$A$500,MATCH(A83,'WetLitterbags placem_collection'!$M$4:$M$500,0)),"")</f>
        <v/>
      </c>
      <c r="Q83" s="110" t="str">
        <f>IFERROR(INDEX('WetLitterbags placem_collection'!$A$3:$A$500,MATCH(A83,'WetLitterbags placem_collection'!$Q$4:$Q$500,0)),"")</f>
        <v/>
      </c>
    </row>
    <row r="84" spans="1:17" ht="13.95" customHeight="1">
      <c r="A84" s="110" t="s">
        <v>1597</v>
      </c>
      <c r="B84" s="110">
        <v>41</v>
      </c>
      <c r="C84" s="110">
        <v>1.0509999999999999</v>
      </c>
      <c r="E84" s="112">
        <v>42879</v>
      </c>
      <c r="N84" s="110">
        <f>IFERROR(INDEX('WetLitterbags placem_collection'!$A$3:$A$500,MATCH(A84,'WetLitterbags placem_collection'!$K$4:$K$500,0)),"")</f>
        <v>40</v>
      </c>
      <c r="O84" s="110" t="str">
        <f>IFERROR(INDEX('WetLitterbags placem_collection'!$A$3:$A$500,MATCH(A84,'WetLitterbags placem_collection'!$O$4:$O$500,0)),"")</f>
        <v/>
      </c>
      <c r="P84" s="110" t="str">
        <f>IFERROR(INDEX('WetLitterbags placem_collection'!$A$3:$A$500,MATCH(A84,'WetLitterbags placem_collection'!$M$4:$M$500,0)),"")</f>
        <v/>
      </c>
      <c r="Q84" s="110" t="str">
        <f>IFERROR(INDEX('WetLitterbags placem_collection'!$A$3:$A$500,MATCH(A84,'WetLitterbags placem_collection'!$Q$4:$Q$500,0)),"")</f>
        <v/>
      </c>
    </row>
    <row r="85" spans="1:17" ht="13.95" customHeight="1">
      <c r="A85" s="110" t="s">
        <v>1596</v>
      </c>
      <c r="B85" s="110">
        <v>176</v>
      </c>
      <c r="C85" s="110">
        <v>0.63900000000000001</v>
      </c>
      <c r="E85" s="112">
        <v>42879</v>
      </c>
      <c r="N85" s="110">
        <f>IFERROR(INDEX('WetLitterbags placem_collection'!$A$3:$A$500,MATCH(A85,'WetLitterbags placem_collection'!$K$4:$K$500,0)),"")</f>
        <v>175</v>
      </c>
      <c r="O85" s="110" t="str">
        <f>IFERROR(INDEX('WetLitterbags placem_collection'!$A$3:$A$500,MATCH(A85,'WetLitterbags placem_collection'!$O$4:$O$500,0)),"")</f>
        <v/>
      </c>
      <c r="P85" s="110" t="str">
        <f>IFERROR(INDEX('WetLitterbags placem_collection'!$A$3:$A$500,MATCH(A85,'WetLitterbags placem_collection'!$M$4:$M$500,0)),"")</f>
        <v/>
      </c>
      <c r="Q85" s="110" t="str">
        <f>IFERROR(INDEX('WetLitterbags placem_collection'!$A$3:$A$500,MATCH(A85,'WetLitterbags placem_collection'!$Q$4:$Q$500,0)),"")</f>
        <v/>
      </c>
    </row>
    <row r="86" spans="1:17" ht="13.95" customHeight="1">
      <c r="A86" s="110" t="s">
        <v>1594</v>
      </c>
      <c r="B86" s="110">
        <v>23</v>
      </c>
      <c r="C86" s="110">
        <v>0.72629999999999995</v>
      </c>
      <c r="E86" s="112">
        <v>43123</v>
      </c>
      <c r="N86" s="110" t="str">
        <f>IFERROR(INDEX('WetLitterbags placem_collection'!$A$3:$A$500,MATCH(A86,'WetLitterbags placem_collection'!$K$4:$K$500,0)),"")</f>
        <v/>
      </c>
      <c r="O86" s="110">
        <f>IFERROR(INDEX('WetLitterbags placem_collection'!$A$3:$A$500,MATCH(A86,'WetLitterbags placem_collection'!$O$4:$O$500,0)),"")</f>
        <v>22</v>
      </c>
      <c r="P86" s="110" t="str">
        <f>IFERROR(INDEX('WetLitterbags placem_collection'!$A$3:$A$500,MATCH(A86,'WetLitterbags placem_collection'!$M$4:$M$500,0)),"")</f>
        <v/>
      </c>
      <c r="Q86" s="110" t="str">
        <f>IFERROR(INDEX('WetLitterbags placem_collection'!$A$3:$A$500,MATCH(A86,'WetLitterbags placem_collection'!$Q$4:$Q$500,0)),"")</f>
        <v/>
      </c>
    </row>
    <row r="87" spans="1:17" ht="13.95" customHeight="1">
      <c r="A87" s="110" t="s">
        <v>1593</v>
      </c>
      <c r="B87" s="110">
        <v>175</v>
      </c>
      <c r="C87" s="110">
        <v>0.68200000000000005</v>
      </c>
      <c r="E87" s="112">
        <v>42879</v>
      </c>
      <c r="N87" s="110">
        <f>IFERROR(INDEX('WetLitterbags placem_collection'!$A$3:$A$500,MATCH(A87,'WetLitterbags placem_collection'!$K$4:$K$500,0)),"")</f>
        <v>174</v>
      </c>
      <c r="O87" s="110" t="str">
        <f>IFERROR(INDEX('WetLitterbags placem_collection'!$A$3:$A$500,MATCH(A87,'WetLitterbags placem_collection'!$O$4:$O$500,0)),"")</f>
        <v/>
      </c>
      <c r="P87" s="110" t="str">
        <f>IFERROR(INDEX('WetLitterbags placem_collection'!$A$3:$A$500,MATCH(A87,'WetLitterbags placem_collection'!$M$4:$M$500,0)),"")</f>
        <v/>
      </c>
      <c r="Q87" s="110" t="str">
        <f>IFERROR(INDEX('WetLitterbags placem_collection'!$A$3:$A$500,MATCH(A87,'WetLitterbags placem_collection'!$Q$4:$Q$500,0)),"")</f>
        <v/>
      </c>
    </row>
    <row r="88" spans="1:17" ht="13.95" customHeight="1">
      <c r="A88" s="110" t="s">
        <v>1592</v>
      </c>
      <c r="B88" s="110" t="s">
        <v>2083</v>
      </c>
      <c r="C88" s="110">
        <v>0.57499999999999996</v>
      </c>
      <c r="E88" s="112">
        <v>43125</v>
      </c>
      <c r="N88" s="110">
        <f>IFERROR(INDEX('WetLitterbags placem_collection'!$A$3:$A$500,MATCH(A88,'WetLitterbags placem_collection'!$K$4:$K$500,0)),"")</f>
        <v>180</v>
      </c>
      <c r="O88" s="110" t="str">
        <f>IFERROR(INDEX('WetLitterbags placem_collection'!$A$3:$A$500,MATCH(A88,'WetLitterbags placem_collection'!$O$4:$O$500,0)),"")</f>
        <v/>
      </c>
      <c r="P88" s="110" t="str">
        <f>IFERROR(INDEX('WetLitterbags placem_collection'!$A$3:$A$500,MATCH(A88,'WetLitterbags placem_collection'!$M$4:$M$500,0)),"")</f>
        <v/>
      </c>
      <c r="Q88" s="110" t="str">
        <f>IFERROR(INDEX('WetLitterbags placem_collection'!$A$3:$A$500,MATCH(A88,'WetLitterbags placem_collection'!$Q$4:$Q$500,0)),"")</f>
        <v/>
      </c>
    </row>
    <row r="89" spans="1:17" ht="13.95" customHeight="1">
      <c r="A89" s="110" t="s">
        <v>1591</v>
      </c>
      <c r="B89" s="110" t="s">
        <v>2077</v>
      </c>
      <c r="C89" s="110">
        <v>0.89149999999999996</v>
      </c>
      <c r="E89" s="112">
        <v>43116</v>
      </c>
      <c r="N89" s="110" t="str">
        <f>IFERROR(INDEX('WetLitterbags placem_collection'!$A$3:$A$500,MATCH(A89,'WetLitterbags placem_collection'!$K$4:$K$500,0)),"")</f>
        <v/>
      </c>
      <c r="O89" s="110">
        <f>IFERROR(INDEX('WetLitterbags placem_collection'!$A$3:$A$500,MATCH(A89,'WetLitterbags placem_collection'!$O$4:$O$500,0)),"")</f>
        <v>70</v>
      </c>
      <c r="P89" s="110" t="str">
        <f>IFERROR(INDEX('WetLitterbags placem_collection'!$A$3:$A$500,MATCH(A89,'WetLitterbags placem_collection'!$M$4:$M$500,0)),"")</f>
        <v/>
      </c>
      <c r="Q89" s="110" t="str">
        <f>IFERROR(INDEX('WetLitterbags placem_collection'!$A$3:$A$500,MATCH(A89,'WetLitterbags placem_collection'!$Q$4:$Q$500,0)),"")</f>
        <v/>
      </c>
    </row>
    <row r="90" spans="1:17" ht="13.95" customHeight="1">
      <c r="A90" s="110" t="s">
        <v>1590</v>
      </c>
      <c r="B90" s="110" t="s">
        <v>2077</v>
      </c>
      <c r="C90" s="110">
        <v>0.90669999999999995</v>
      </c>
      <c r="E90" s="112">
        <v>43116</v>
      </c>
      <c r="N90" s="110">
        <f>IFERROR(INDEX('WetLitterbags placem_collection'!$A$3:$A$500,MATCH(A90,'WetLitterbags placem_collection'!$K$4:$K$500,0)),"")</f>
        <v>77</v>
      </c>
      <c r="O90" s="110" t="str">
        <f>IFERROR(INDEX('WetLitterbags placem_collection'!$A$3:$A$500,MATCH(A90,'WetLitterbags placem_collection'!$O$4:$O$500,0)),"")</f>
        <v/>
      </c>
      <c r="P90" s="110" t="str">
        <f>IFERROR(INDEX('WetLitterbags placem_collection'!$A$3:$A$500,MATCH(A90,'WetLitterbags placem_collection'!$M$4:$M$500,0)),"")</f>
        <v/>
      </c>
      <c r="Q90" s="110" t="str">
        <f>IFERROR(INDEX('WetLitterbags placem_collection'!$A$3:$A$500,MATCH(A90,'WetLitterbags placem_collection'!$Q$4:$Q$500,0)),"")</f>
        <v/>
      </c>
    </row>
    <row r="91" spans="1:17" ht="13.95" customHeight="1">
      <c r="A91" s="110" t="s">
        <v>1589</v>
      </c>
      <c r="B91" s="110">
        <v>168</v>
      </c>
      <c r="C91" s="110">
        <v>0.79400000000000004</v>
      </c>
      <c r="E91" s="112">
        <v>42881</v>
      </c>
      <c r="N91" s="110">
        <f>IFERROR(INDEX('WetLitterbags placem_collection'!$A$3:$A$500,MATCH(A91,'WetLitterbags placem_collection'!$K$4:$K$500,0)),"")</f>
        <v>167</v>
      </c>
      <c r="O91" s="110" t="str">
        <f>IFERROR(INDEX('WetLitterbags placem_collection'!$A$3:$A$500,MATCH(A91,'WetLitterbags placem_collection'!$O$4:$O$500,0)),"")</f>
        <v/>
      </c>
      <c r="P91" s="110" t="str">
        <f>IFERROR(INDEX('WetLitterbags placem_collection'!$A$3:$A$500,MATCH(A91,'WetLitterbags placem_collection'!$M$4:$M$500,0)),"")</f>
        <v/>
      </c>
      <c r="Q91" s="110" t="str">
        <f>IFERROR(INDEX('WetLitterbags placem_collection'!$A$3:$A$500,MATCH(A91,'WetLitterbags placem_collection'!$Q$4:$Q$500,0)),"")</f>
        <v/>
      </c>
    </row>
    <row r="92" spans="1:17" ht="13.95" customHeight="1">
      <c r="A92" s="110" t="s">
        <v>1588</v>
      </c>
      <c r="B92" s="110">
        <v>198</v>
      </c>
      <c r="C92" s="110">
        <v>0.71250000000000002</v>
      </c>
      <c r="E92" s="112">
        <v>43125</v>
      </c>
      <c r="N92" s="110" t="str">
        <f>IFERROR(INDEX('WetLitterbags placem_collection'!$A$3:$A$500,MATCH(A92,'WetLitterbags placem_collection'!$K$4:$K$500,0)),"")</f>
        <v/>
      </c>
      <c r="O92" s="110">
        <f>IFERROR(INDEX('WetLitterbags placem_collection'!$A$3:$A$500,MATCH(A92,'WetLitterbags placem_collection'!$O$4:$O$500,0)),"")</f>
        <v>197</v>
      </c>
      <c r="P92" s="110" t="str">
        <f>IFERROR(INDEX('WetLitterbags placem_collection'!$A$3:$A$500,MATCH(A92,'WetLitterbags placem_collection'!$M$4:$M$500,0)),"")</f>
        <v/>
      </c>
      <c r="Q92" s="110" t="str">
        <f>IFERROR(INDEX('WetLitterbags placem_collection'!$A$3:$A$500,MATCH(A92,'WetLitterbags placem_collection'!$Q$4:$Q$500,0)),"")</f>
        <v/>
      </c>
    </row>
    <row r="93" spans="1:17" ht="13.95" customHeight="1">
      <c r="A93" s="182" t="s">
        <v>1581</v>
      </c>
      <c r="B93" s="110">
        <v>89</v>
      </c>
      <c r="C93" s="110">
        <v>1.5169999999999999</v>
      </c>
      <c r="E93" s="112">
        <v>42879</v>
      </c>
      <c r="N93" s="110" t="str">
        <f>IFERROR(INDEX('WetLitterbags placem_collection'!$A$3:$A$500,MATCH(A93,'WetLitterbags placem_collection'!$K$4:$K$500,0)),"")</f>
        <v/>
      </c>
      <c r="O93" s="110">
        <f>IFERROR(INDEX('WetLitterbags placem_collection'!$A$3:$A$500,MATCH(A93,'WetLitterbags placem_collection'!$O$4:$O$500,0)),"")</f>
        <v>88</v>
      </c>
      <c r="P93" s="110" t="str">
        <f>IFERROR(INDEX('WetLitterbags placem_collection'!$A$3:$A$500,MATCH(A93,'WetLitterbags placem_collection'!$M$4:$M$500,0)),"")</f>
        <v/>
      </c>
      <c r="Q93" s="110" t="str">
        <f>IFERROR(INDEX('WetLitterbags placem_collection'!$A$3:$A$500,MATCH(A93,'WetLitterbags placem_collection'!$Q$4:$Q$500,0)),"")</f>
        <v/>
      </c>
    </row>
    <row r="94" spans="1:17" ht="13.95" customHeight="1">
      <c r="A94" s="110" t="s">
        <v>1580</v>
      </c>
      <c r="B94" s="110">
        <v>176</v>
      </c>
      <c r="C94" s="110">
        <v>0.60299999999999998</v>
      </c>
      <c r="E94" s="112">
        <v>42879</v>
      </c>
      <c r="N94" s="110" t="str">
        <f>IFERROR(INDEX('WetLitterbags placem_collection'!$A$3:$A$500,MATCH(A94,'WetLitterbags placem_collection'!$K$4:$K$500,0)),"")</f>
        <v/>
      </c>
      <c r="O94" s="110">
        <f>IFERROR(INDEX('WetLitterbags placem_collection'!$A$3:$A$500,MATCH(A94,'WetLitterbags placem_collection'!$O$4:$O$500,0)),"")</f>
        <v>175</v>
      </c>
      <c r="P94" s="110" t="str">
        <f>IFERROR(INDEX('WetLitterbags placem_collection'!$A$3:$A$500,MATCH(A94,'WetLitterbags placem_collection'!$M$4:$M$500,0)),"")</f>
        <v/>
      </c>
      <c r="Q94" s="110" t="str">
        <f>IFERROR(INDEX('WetLitterbags placem_collection'!$A$3:$A$500,MATCH(A94,'WetLitterbags placem_collection'!$Q$4:$Q$500,0)),"")</f>
        <v/>
      </c>
    </row>
    <row r="95" spans="1:17" ht="13.95" customHeight="1">
      <c r="A95" s="110" t="s">
        <v>1578</v>
      </c>
      <c r="B95" s="110">
        <v>91</v>
      </c>
      <c r="C95" s="110">
        <v>0.76100000000000001</v>
      </c>
      <c r="E95" s="112">
        <v>42878</v>
      </c>
      <c r="N95" s="110">
        <f>IFERROR(INDEX('WetLitterbags placem_collection'!$A$3:$A$500,MATCH(A95,'WetLitterbags placem_collection'!$K$4:$K$500,0)),"")</f>
        <v>90</v>
      </c>
      <c r="O95" s="110" t="str">
        <f>IFERROR(INDEX('WetLitterbags placem_collection'!$A$3:$A$500,MATCH(A95,'WetLitterbags placem_collection'!$O$4:$O$500,0)),"")</f>
        <v/>
      </c>
      <c r="P95" s="110" t="str">
        <f>IFERROR(INDEX('WetLitterbags placem_collection'!$A$3:$A$500,MATCH(A95,'WetLitterbags placem_collection'!$M$4:$M$500,0)),"")</f>
        <v/>
      </c>
      <c r="Q95" s="110" t="str">
        <f>IFERROR(INDEX('WetLitterbags placem_collection'!$A$3:$A$500,MATCH(A95,'WetLitterbags placem_collection'!$Q$4:$Q$500,0)),"")</f>
        <v/>
      </c>
    </row>
    <row r="96" spans="1:17" ht="13.95" customHeight="1">
      <c r="A96" s="113" t="s">
        <v>1576</v>
      </c>
      <c r="B96" s="113">
        <v>80</v>
      </c>
      <c r="C96" s="113">
        <v>1.0009999999999999</v>
      </c>
      <c r="D96" s="113" t="s">
        <v>2144</v>
      </c>
      <c r="E96" s="112">
        <v>42878</v>
      </c>
      <c r="N96" s="110" t="str">
        <f>IFERROR(INDEX('WetLitterbags placem_collection'!$A$3:$A$500,MATCH(A96,'WetLitterbags placem_collection'!$K$4:$K$500,0)),"")</f>
        <v/>
      </c>
      <c r="O96" s="110">
        <f>IFERROR(INDEX('WetLitterbags placem_collection'!$A$3:$A$500,MATCH(A96,'WetLitterbags placem_collection'!$O$4:$O$500,0)),"")</f>
        <v>79</v>
      </c>
      <c r="P96" s="110" t="str">
        <f>IFERROR(INDEX('WetLitterbags placem_collection'!$A$3:$A$500,MATCH(A96,'WetLitterbags placem_collection'!$M$4:$M$500,0)),"")</f>
        <v/>
      </c>
      <c r="Q96" s="110" t="str">
        <f>IFERROR(INDEX('WetLitterbags placem_collection'!$A$3:$A$500,MATCH(A96,'WetLitterbags placem_collection'!$Q$4:$Q$500,0)),"")</f>
        <v/>
      </c>
    </row>
    <row r="97" spans="1:17" ht="13.95" customHeight="1">
      <c r="A97" s="110" t="s">
        <v>1575</v>
      </c>
      <c r="B97" s="110">
        <v>81</v>
      </c>
      <c r="C97" s="110">
        <v>0.65200000000000002</v>
      </c>
      <c r="E97" s="112">
        <v>42881</v>
      </c>
      <c r="N97" s="110" t="str">
        <f>IFERROR(INDEX('WetLitterbags placem_collection'!$A$3:$A$500,MATCH(A97,'WetLitterbags placem_collection'!$K$4:$K$500,0)),"")</f>
        <v/>
      </c>
      <c r="O97" s="110">
        <f>IFERROR(INDEX('WetLitterbags placem_collection'!$A$3:$A$500,MATCH(A97,'WetLitterbags placem_collection'!$O$4:$O$500,0)),"")</f>
        <v>80</v>
      </c>
      <c r="P97" s="110" t="str">
        <f>IFERROR(INDEX('WetLitterbags placem_collection'!$A$3:$A$500,MATCH(A97,'WetLitterbags placem_collection'!$M$4:$M$500,0)),"")</f>
        <v/>
      </c>
      <c r="Q97" s="110" t="str">
        <f>IFERROR(INDEX('WetLitterbags placem_collection'!$A$3:$A$500,MATCH(A97,'WetLitterbags placem_collection'!$Q$4:$Q$500,0)),"")</f>
        <v/>
      </c>
    </row>
    <row r="98" spans="1:17" ht="13.95" customHeight="1">
      <c r="A98" s="110" t="s">
        <v>1574</v>
      </c>
      <c r="B98" s="110" t="s">
        <v>2077</v>
      </c>
      <c r="C98" s="110">
        <v>0.66479999999999995</v>
      </c>
      <c r="E98" s="112">
        <v>43116</v>
      </c>
      <c r="N98" s="110" t="str">
        <f>IFERROR(INDEX('WetLitterbags placem_collection'!$A$3:$A$500,MATCH(A98,'WetLitterbags placem_collection'!$K$4:$K$500,0)),"")</f>
        <v/>
      </c>
      <c r="O98" s="110">
        <f>IFERROR(INDEX('WetLitterbags placem_collection'!$A$3:$A$500,MATCH(A98,'WetLitterbags placem_collection'!$O$4:$O$500,0)),"")</f>
        <v>8</v>
      </c>
      <c r="P98" s="110" t="str">
        <f>IFERROR(INDEX('WetLitterbags placem_collection'!$A$3:$A$500,MATCH(A98,'WetLitterbags placem_collection'!$M$4:$M$500,0)),"")</f>
        <v/>
      </c>
      <c r="Q98" s="110" t="str">
        <f>IFERROR(INDEX('WetLitterbags placem_collection'!$A$3:$A$500,MATCH(A98,'WetLitterbags placem_collection'!$Q$4:$Q$500,0)),"")</f>
        <v/>
      </c>
    </row>
    <row r="99" spans="1:17" ht="13.95" customHeight="1">
      <c r="A99" s="179" t="s">
        <v>1573</v>
      </c>
      <c r="B99" s="110">
        <v>68</v>
      </c>
      <c r="C99" s="110">
        <v>0.90500000000000003</v>
      </c>
      <c r="E99" s="112">
        <v>42879</v>
      </c>
      <c r="N99" s="110" t="str">
        <f>IFERROR(INDEX('WetLitterbags placem_collection'!$A$3:$A$500,MATCH(A99,'WetLitterbags placem_collection'!$K$4:$K$500,0)),"")</f>
        <v/>
      </c>
      <c r="O99" s="110">
        <f>IFERROR(INDEX('WetLitterbags placem_collection'!$A$3:$A$500,MATCH(A99,'WetLitterbags placem_collection'!$O$4:$O$500,0)),"")</f>
        <v>67</v>
      </c>
      <c r="P99" s="110" t="str">
        <f>IFERROR(INDEX('WetLitterbags placem_collection'!$A$3:$A$500,MATCH(A99,'WetLitterbags placem_collection'!$M$4:$M$500,0)),"")</f>
        <v/>
      </c>
      <c r="Q99" s="110" t="str">
        <f>IFERROR(INDEX('WetLitterbags placem_collection'!$A$3:$A$500,MATCH(A99,'WetLitterbags placem_collection'!$Q$4:$Q$500,0)),"")</f>
        <v/>
      </c>
    </row>
    <row r="100" spans="1:17" ht="13.95" customHeight="1">
      <c r="A100" s="110" t="s">
        <v>1571</v>
      </c>
      <c r="B100" s="110" t="s">
        <v>2077</v>
      </c>
      <c r="C100" s="110">
        <v>0.90410000000000001</v>
      </c>
      <c r="D100" s="110" t="s">
        <v>2120</v>
      </c>
      <c r="E100" s="112">
        <v>43122</v>
      </c>
      <c r="N100" s="110">
        <f>IFERROR(INDEX('WetLitterbags placem_collection'!$A$3:$A$500,MATCH(A100,'WetLitterbags placem_collection'!$K$4:$K$500,0)),"")</f>
        <v>95</v>
      </c>
      <c r="O100" s="110" t="str">
        <f>IFERROR(INDEX('WetLitterbags placem_collection'!$A$3:$A$500,MATCH(A100,'WetLitterbags placem_collection'!$O$4:$O$500,0)),"")</f>
        <v/>
      </c>
      <c r="P100" s="110" t="str">
        <f>IFERROR(INDEX('WetLitterbags placem_collection'!$A$3:$A$500,MATCH(A100,'WetLitterbags placem_collection'!$M$4:$M$500,0)),"")</f>
        <v/>
      </c>
      <c r="Q100" s="110" t="str">
        <f>IFERROR(INDEX('WetLitterbags placem_collection'!$A$3:$A$500,MATCH(A100,'WetLitterbags placem_collection'!$Q$4:$Q$500,0)),"")</f>
        <v/>
      </c>
    </row>
    <row r="101" spans="1:17" ht="13.95" customHeight="1">
      <c r="A101" s="110" t="s">
        <v>1570</v>
      </c>
      <c r="B101" s="110">
        <v>116</v>
      </c>
      <c r="C101" s="110">
        <v>1.4859</v>
      </c>
      <c r="E101" s="112">
        <v>43125</v>
      </c>
      <c r="N101" s="110" t="str">
        <f>IFERROR(INDEX('WetLitterbags placem_collection'!$A$3:$A$500,MATCH(A101,'WetLitterbags placem_collection'!$K$4:$K$500,0)),"")</f>
        <v/>
      </c>
      <c r="O101" s="110" t="str">
        <f>IFERROR(INDEX('WetLitterbags placem_collection'!$A$3:$A$500,MATCH(A101,'WetLitterbags placem_collection'!$O$4:$O$500,0)),"")</f>
        <v/>
      </c>
      <c r="P101" s="110" t="str">
        <f>IFERROR(INDEX('WetLitterbags placem_collection'!$A$3:$A$500,MATCH(A101,'WetLitterbags placem_collection'!$M$4:$M$500,0)),"")</f>
        <v/>
      </c>
      <c r="Q101" s="110" t="str">
        <f>IFERROR(INDEX('WetLitterbags placem_collection'!$A$3:$A$500,MATCH(A101,'WetLitterbags placem_collection'!$Q$4:$Q$500,0)),"")</f>
        <v/>
      </c>
    </row>
    <row r="102" spans="1:17" ht="13.95" customHeight="1">
      <c r="A102" s="404" t="s">
        <v>1208</v>
      </c>
      <c r="B102" s="110">
        <v>135</v>
      </c>
      <c r="C102" s="110">
        <v>0.56399999999999995</v>
      </c>
      <c r="E102" s="112">
        <v>42881</v>
      </c>
      <c r="N102" s="110" t="str">
        <f>IFERROR(INDEX('WetLitterbags placem_collection'!$A$3:$A$500,MATCH(A102,'WetLitterbags placem_collection'!$K$4:$K$500,0)),"")</f>
        <v/>
      </c>
      <c r="O102" s="110">
        <f>IFERROR(INDEX('WetLitterbags placem_collection'!$A$3:$A$500,MATCH(A102,'WetLitterbags placem_collection'!$O$4:$O$500,0)),"")</f>
        <v>134</v>
      </c>
      <c r="P102" s="110" t="str">
        <f>IFERROR(INDEX('WetLitterbags placem_collection'!$A$3:$A$500,MATCH(A102,'WetLitterbags placem_collection'!$M$4:$M$500,0)),"")</f>
        <v/>
      </c>
      <c r="Q102" s="110" t="str">
        <f>IFERROR(INDEX('WetLitterbags placem_collection'!$A$3:$A$500,MATCH(A102,'WetLitterbags placem_collection'!$Q$4:$Q$500,0)),"")</f>
        <v/>
      </c>
    </row>
    <row r="103" spans="1:17" ht="13.95" customHeight="1">
      <c r="A103" s="110" t="s">
        <v>1567</v>
      </c>
      <c r="B103" s="110">
        <v>177</v>
      </c>
      <c r="C103" s="110">
        <v>0.58399999999999996</v>
      </c>
      <c r="E103" s="112">
        <v>42881</v>
      </c>
      <c r="N103" s="110" t="str">
        <f>IFERROR(INDEX('WetLitterbags placem_collection'!$A$3:$A$500,MATCH(A103,'WetLitterbags placem_collection'!$K$4:$K$500,0)),"")</f>
        <v/>
      </c>
      <c r="O103" s="110">
        <f>IFERROR(INDEX('WetLitterbags placem_collection'!$A$3:$A$500,MATCH(A103,'WetLitterbags placem_collection'!$O$4:$O$500,0)),"")</f>
        <v>176</v>
      </c>
      <c r="P103" s="110" t="str">
        <f>IFERROR(INDEX('WetLitterbags placem_collection'!$A$3:$A$500,MATCH(A103,'WetLitterbags placem_collection'!$M$4:$M$500,0)),"")</f>
        <v/>
      </c>
      <c r="Q103" s="110" t="str">
        <f>IFERROR(INDEX('WetLitterbags placem_collection'!$A$3:$A$500,MATCH(A103,'WetLitterbags placem_collection'!$Q$4:$Q$500,0)),"")</f>
        <v/>
      </c>
    </row>
    <row r="104" spans="1:17" ht="13.95" customHeight="1">
      <c r="A104" s="403" t="s">
        <v>1564</v>
      </c>
      <c r="B104" s="110">
        <v>95</v>
      </c>
      <c r="C104" s="110">
        <v>0.90400000000000003</v>
      </c>
      <c r="E104" s="112">
        <v>42879</v>
      </c>
      <c r="N104" s="110" t="str">
        <f>IFERROR(INDEX('WetLitterbags placem_collection'!$A$3:$A$500,MATCH(A104,'WetLitterbags placem_collection'!$K$4:$K$500,0)),"")</f>
        <v/>
      </c>
      <c r="O104" s="110">
        <f>IFERROR(INDEX('WetLitterbags placem_collection'!$A$3:$A$500,MATCH(A104,'WetLitterbags placem_collection'!$O$4:$O$500,0)),"")</f>
        <v>94</v>
      </c>
      <c r="P104" s="110" t="str">
        <f>IFERROR(INDEX('WetLitterbags placem_collection'!$A$3:$A$500,MATCH(A104,'WetLitterbags placem_collection'!$M$4:$M$500,0)),"")</f>
        <v/>
      </c>
      <c r="Q104" s="110" t="str">
        <f>IFERROR(INDEX('WetLitterbags placem_collection'!$A$3:$A$500,MATCH(A104,'WetLitterbags placem_collection'!$Q$4:$Q$500,0)),"")</f>
        <v/>
      </c>
    </row>
    <row r="105" spans="1:17" ht="13.95" customHeight="1">
      <c r="A105" s="182" t="s">
        <v>1561</v>
      </c>
      <c r="B105">
        <v>59</v>
      </c>
      <c r="C105" s="110">
        <v>0.88400000000000001</v>
      </c>
      <c r="D105"/>
      <c r="E105" s="112">
        <v>42878</v>
      </c>
      <c r="N105" s="110">
        <f>IFERROR(INDEX('WetLitterbags placem_collection'!$A$3:$A$500,MATCH(A105,'WetLitterbags placem_collection'!$K$4:$K$500,0)),"")</f>
        <v>58</v>
      </c>
      <c r="O105" s="110" t="str">
        <f>IFERROR(INDEX('WetLitterbags placem_collection'!$A$3:$A$500,MATCH(A105,'WetLitterbags placem_collection'!$O$4:$O$500,0)),"")</f>
        <v/>
      </c>
      <c r="P105" s="110" t="str">
        <f>IFERROR(INDEX('WetLitterbags placem_collection'!$A$3:$A$500,MATCH(A105,'WetLitterbags placem_collection'!$M$4:$M$500,0)),"")</f>
        <v/>
      </c>
      <c r="Q105" s="110" t="str">
        <f>IFERROR(INDEX('WetLitterbags placem_collection'!$A$3:$A$500,MATCH(A105,'WetLitterbags placem_collection'!$Q$4:$Q$500,0)),"")</f>
        <v/>
      </c>
    </row>
    <row r="106" spans="1:17" ht="13.95" customHeight="1">
      <c r="A106" s="110" t="s">
        <v>1559</v>
      </c>
      <c r="B106" s="110">
        <v>219</v>
      </c>
      <c r="C106" s="110">
        <v>0.65569999999999995</v>
      </c>
      <c r="E106" s="112">
        <v>43125</v>
      </c>
      <c r="N106" s="110" t="str">
        <f>IFERROR(INDEX('WetLitterbags placem_collection'!$A$3:$A$500,MATCH(A106,'WetLitterbags placem_collection'!$K$4:$K$500,0)),"")</f>
        <v/>
      </c>
      <c r="O106" s="110">
        <f>IFERROR(INDEX('WetLitterbags placem_collection'!$A$3:$A$500,MATCH(A106,'WetLitterbags placem_collection'!$O$4:$O$500,0)),"")</f>
        <v>218</v>
      </c>
      <c r="P106" s="110" t="str">
        <f>IFERROR(INDEX('WetLitterbags placem_collection'!$A$3:$A$500,MATCH(A106,'WetLitterbags placem_collection'!$M$4:$M$500,0)),"")</f>
        <v/>
      </c>
      <c r="Q106" s="110" t="str">
        <f>IFERROR(INDEX('WetLitterbags placem_collection'!$A$3:$A$500,MATCH(A106,'WetLitterbags placem_collection'!$Q$4:$Q$500,0)),"")</f>
        <v/>
      </c>
    </row>
    <row r="107" spans="1:17" ht="13.95" customHeight="1">
      <c r="A107" s="182" t="s">
        <v>1558</v>
      </c>
      <c r="B107" s="110">
        <v>23</v>
      </c>
      <c r="C107" s="110">
        <v>0.76959999999999995</v>
      </c>
      <c r="E107" s="112">
        <v>43123</v>
      </c>
      <c r="N107" s="110">
        <f>IFERROR(INDEX('WetLitterbags placem_collection'!$A$3:$A$500,MATCH(A107,'WetLitterbags placem_collection'!$K$4:$K$500,0)),"")</f>
        <v>22</v>
      </c>
      <c r="O107" s="110" t="str">
        <f>IFERROR(INDEX('WetLitterbags placem_collection'!$A$3:$A$500,MATCH(A107,'WetLitterbags placem_collection'!$O$4:$O$500,0)),"")</f>
        <v/>
      </c>
      <c r="P107" s="110" t="str">
        <f>IFERROR(INDEX('WetLitterbags placem_collection'!$A$3:$A$500,MATCH(A107,'WetLitterbags placem_collection'!$M$4:$M$500,0)),"")</f>
        <v/>
      </c>
      <c r="Q107" s="110" t="str">
        <f>IFERROR(INDEX('WetLitterbags placem_collection'!$A$3:$A$500,MATCH(A107,'WetLitterbags placem_collection'!$Q$4:$Q$500,0)),"")</f>
        <v/>
      </c>
    </row>
    <row r="108" spans="1:17" ht="13.95" customHeight="1">
      <c r="A108" s="110" t="s">
        <v>1556</v>
      </c>
      <c r="B108" s="110">
        <v>83</v>
      </c>
      <c r="C108" s="110">
        <v>0.90200000000000002</v>
      </c>
      <c r="E108" s="112">
        <v>42881</v>
      </c>
      <c r="N108" s="110">
        <f>IFERROR(INDEX('WetLitterbags placem_collection'!$A$3:$A$500,MATCH(A108,'WetLitterbags placem_collection'!$K$4:$K$500,0)),"")</f>
        <v>82</v>
      </c>
      <c r="O108" s="110" t="str">
        <f>IFERROR(INDEX('WetLitterbags placem_collection'!$A$3:$A$500,MATCH(A108,'WetLitterbags placem_collection'!$O$4:$O$500,0)),"")</f>
        <v/>
      </c>
      <c r="P108" s="110" t="str">
        <f>IFERROR(INDEX('WetLitterbags placem_collection'!$A$3:$A$500,MATCH(A108,'WetLitterbags placem_collection'!$M$4:$M$500,0)),"")</f>
        <v/>
      </c>
      <c r="Q108" s="110" t="str">
        <f>IFERROR(INDEX('WetLitterbags placem_collection'!$A$3:$A$500,MATCH(A108,'WetLitterbags placem_collection'!$Q$4:$Q$500,0)),"")</f>
        <v/>
      </c>
    </row>
    <row r="109" spans="1:17" ht="13.95" customHeight="1">
      <c r="A109" s="110" t="s">
        <v>1554</v>
      </c>
      <c r="B109" s="110">
        <v>169</v>
      </c>
      <c r="C109" s="110">
        <v>0.57199999999999995</v>
      </c>
      <c r="E109" s="112">
        <v>42879</v>
      </c>
      <c r="N109" s="110" t="str">
        <f>IFERROR(INDEX('WetLitterbags placem_collection'!$A$3:$A$500,MATCH(A109,'WetLitterbags placem_collection'!$K$4:$K$500,0)),"")</f>
        <v/>
      </c>
      <c r="O109" s="110">
        <f>IFERROR(INDEX('WetLitterbags placem_collection'!$A$3:$A$500,MATCH(A109,'WetLitterbags placem_collection'!$O$4:$O$500,0)),"")</f>
        <v>168</v>
      </c>
      <c r="P109" s="110" t="str">
        <f>IFERROR(INDEX('WetLitterbags placem_collection'!$A$3:$A$500,MATCH(A109,'WetLitterbags placem_collection'!$M$4:$M$500,0)),"")</f>
        <v/>
      </c>
      <c r="Q109" s="110" t="str">
        <f>IFERROR(INDEX('WetLitterbags placem_collection'!$A$3:$A$500,MATCH(A109,'WetLitterbags placem_collection'!$Q$4:$Q$500,0)),"")</f>
        <v/>
      </c>
    </row>
    <row r="110" spans="1:17" ht="13.95" customHeight="1">
      <c r="A110" s="110" t="s">
        <v>1553</v>
      </c>
      <c r="B110" s="110" t="s">
        <v>2077</v>
      </c>
      <c r="C110" s="110">
        <v>0.46</v>
      </c>
      <c r="E110" s="112">
        <v>43122</v>
      </c>
      <c r="N110" s="110">
        <f>IFERROR(INDEX('WetLitterbags placem_collection'!$A$3:$A$500,MATCH(A110,'WetLitterbags placem_collection'!$K$4:$K$500,0)),"")</f>
        <v>4</v>
      </c>
      <c r="O110" s="110" t="str">
        <f>IFERROR(INDEX('WetLitterbags placem_collection'!$A$3:$A$500,MATCH(A110,'WetLitterbags placem_collection'!$O$4:$O$500,0)),"")</f>
        <v/>
      </c>
      <c r="P110" s="110" t="str">
        <f>IFERROR(INDEX('WetLitterbags placem_collection'!$A$3:$A$500,MATCH(A110,'WetLitterbags placem_collection'!$M$4:$M$500,0)),"")</f>
        <v/>
      </c>
      <c r="Q110" s="110" t="str">
        <f>IFERROR(INDEX('WetLitterbags placem_collection'!$A$3:$A$500,MATCH(A110,'WetLitterbags placem_collection'!$Q$4:$Q$500,0)),"")</f>
        <v/>
      </c>
    </row>
    <row r="111" spans="1:17" ht="13.95" customHeight="1">
      <c r="A111" s="110" t="s">
        <v>1552</v>
      </c>
      <c r="B111" s="110" t="s">
        <v>2077</v>
      </c>
      <c r="C111" s="110">
        <v>0.73209999999999997</v>
      </c>
      <c r="E111" s="112">
        <v>43119</v>
      </c>
      <c r="N111" s="110" t="str">
        <f>IFERROR(INDEX('WetLitterbags placem_collection'!$A$3:$A$500,MATCH(A111,'WetLitterbags placem_collection'!$K$4:$K$500,0)),"")</f>
        <v/>
      </c>
      <c r="O111" s="110">
        <f>IFERROR(INDEX('WetLitterbags placem_collection'!$A$3:$A$500,MATCH(A111,'WetLitterbags placem_collection'!$O$4:$O$500,0)),"")</f>
        <v>72</v>
      </c>
      <c r="P111" s="110" t="str">
        <f>IFERROR(INDEX('WetLitterbags placem_collection'!$A$3:$A$500,MATCH(A111,'WetLitterbags placem_collection'!$M$4:$M$500,0)),"")</f>
        <v/>
      </c>
      <c r="Q111" s="110" t="str">
        <f>IFERROR(INDEX('WetLitterbags placem_collection'!$A$3:$A$500,MATCH(A111,'WetLitterbags placem_collection'!$Q$4:$Q$500,0)),"")</f>
        <v/>
      </c>
    </row>
    <row r="112" spans="1:17" ht="13.95" customHeight="1">
      <c r="A112" s="110" t="s">
        <v>1550</v>
      </c>
      <c r="B112" s="110" t="s">
        <v>2077</v>
      </c>
      <c r="C112" s="110">
        <v>0.61909999999999998</v>
      </c>
      <c r="D112" s="110" t="s">
        <v>2126</v>
      </c>
      <c r="E112" s="112">
        <v>43122</v>
      </c>
      <c r="N112" s="110" t="str">
        <f>IFERROR(INDEX('WetLitterbags placem_collection'!$A$3:$A$500,MATCH(A112,'WetLitterbags placem_collection'!$K$4:$K$500,0)),"")</f>
        <v/>
      </c>
      <c r="O112" s="110">
        <f>IFERROR(INDEX('WetLitterbags placem_collection'!$A$3:$A$500,MATCH(A112,'WetLitterbags placem_collection'!$O$4:$O$500,0)),"")</f>
        <v>29</v>
      </c>
      <c r="P112" s="110" t="str">
        <f>IFERROR(INDEX('WetLitterbags placem_collection'!$A$3:$A$500,MATCH(A112,'WetLitterbags placem_collection'!$M$4:$M$500,0)),"")</f>
        <v/>
      </c>
      <c r="Q112" s="110" t="str">
        <f>IFERROR(INDEX('WetLitterbags placem_collection'!$A$3:$A$500,MATCH(A112,'WetLitterbags placem_collection'!$Q$4:$Q$500,0)),"")</f>
        <v/>
      </c>
    </row>
    <row r="113" spans="1:17" ht="13.95" customHeight="1">
      <c r="A113" s="110" t="s">
        <v>1548</v>
      </c>
      <c r="B113" s="110" t="s">
        <v>2077</v>
      </c>
      <c r="C113" s="110">
        <v>0.60960000000000003</v>
      </c>
      <c r="E113" s="112">
        <v>43122</v>
      </c>
      <c r="N113" s="110" t="str">
        <f>IFERROR(INDEX('WetLitterbags placem_collection'!$A$3:$A$500,MATCH(A113,'WetLitterbags placem_collection'!$K$4:$K$500,0)),"")</f>
        <v/>
      </c>
      <c r="O113" s="110">
        <f>IFERROR(INDEX('WetLitterbags placem_collection'!$A$3:$A$500,MATCH(A113,'WetLitterbags placem_collection'!$O$4:$O$500,0)),"")</f>
        <v>27</v>
      </c>
      <c r="P113" s="110" t="str">
        <f>IFERROR(INDEX('WetLitterbags placem_collection'!$A$3:$A$500,MATCH(A113,'WetLitterbags placem_collection'!$M$4:$M$500,0)),"")</f>
        <v/>
      </c>
      <c r="Q113" s="110" t="str">
        <f>IFERROR(INDEX('WetLitterbags placem_collection'!$A$3:$A$500,MATCH(A113,'WetLitterbags placem_collection'!$Q$4:$Q$500,0)),"")</f>
        <v/>
      </c>
    </row>
    <row r="114" spans="1:17" ht="13.95" customHeight="1">
      <c r="A114" s="110" t="s">
        <v>1547</v>
      </c>
      <c r="B114" s="110">
        <v>14</v>
      </c>
      <c r="C114" s="110">
        <v>0.501</v>
      </c>
      <c r="E114" s="112">
        <v>42881</v>
      </c>
      <c r="N114" s="110" t="str">
        <f>IFERROR(INDEX('WetLitterbags placem_collection'!$A$3:$A$500,MATCH(A114,'WetLitterbags placem_collection'!$K$4:$K$500,0)),"")</f>
        <v/>
      </c>
      <c r="O114" s="110">
        <f>IFERROR(INDEX('WetLitterbags placem_collection'!$A$3:$A$500,MATCH(A114,'WetLitterbags placem_collection'!$O$4:$O$500,0)),"")</f>
        <v>13</v>
      </c>
      <c r="P114" s="110" t="str">
        <f>IFERROR(INDEX('WetLitterbags placem_collection'!$A$3:$A$500,MATCH(A114,'WetLitterbags placem_collection'!$M$4:$M$500,0)),"")</f>
        <v/>
      </c>
      <c r="Q114" s="110" t="str">
        <f>IFERROR(INDEX('WetLitterbags placem_collection'!$A$3:$A$500,MATCH(A114,'WetLitterbags placem_collection'!$Q$4:$Q$500,0)),"")</f>
        <v/>
      </c>
    </row>
    <row r="115" spans="1:17" ht="13.95" customHeight="1">
      <c r="A115" s="110" t="s">
        <v>1546</v>
      </c>
      <c r="B115" s="110">
        <v>171</v>
      </c>
      <c r="C115" s="110">
        <v>0.53500000000000003</v>
      </c>
      <c r="E115" s="112">
        <v>42878</v>
      </c>
      <c r="N115" s="110" t="str">
        <f>IFERROR(INDEX('WetLitterbags placem_collection'!$A$3:$A$500,MATCH(A115,'WetLitterbags placem_collection'!$K$4:$K$500,0)),"")</f>
        <v/>
      </c>
      <c r="O115" s="110">
        <f>IFERROR(INDEX('WetLitterbags placem_collection'!$A$3:$A$500,MATCH(A115,'WetLitterbags placem_collection'!$O$4:$O$500,0)),"")</f>
        <v>170</v>
      </c>
      <c r="P115" s="110" t="str">
        <f>IFERROR(INDEX('WetLitterbags placem_collection'!$A$3:$A$500,MATCH(A115,'WetLitterbags placem_collection'!$M$4:$M$500,0)),"")</f>
        <v/>
      </c>
      <c r="Q115" s="110" t="str">
        <f>IFERROR(INDEX('WetLitterbags placem_collection'!$A$3:$A$500,MATCH(A115,'WetLitterbags placem_collection'!$Q$4:$Q$500,0)),"")</f>
        <v/>
      </c>
    </row>
    <row r="116" spans="1:17" ht="13.95" customHeight="1">
      <c r="A116" s="110" t="s">
        <v>1545</v>
      </c>
      <c r="B116" s="110">
        <v>20</v>
      </c>
      <c r="C116" s="110">
        <v>0.70330000000000004</v>
      </c>
      <c r="E116" s="112">
        <v>43125</v>
      </c>
      <c r="N116" s="110" t="str">
        <f>IFERROR(INDEX('WetLitterbags placem_collection'!$A$3:$A$500,MATCH(A116,'WetLitterbags placem_collection'!$K$4:$K$500,0)),"")</f>
        <v/>
      </c>
      <c r="O116" s="110">
        <f>IFERROR(INDEX('WetLitterbags placem_collection'!$A$3:$A$500,MATCH(A116,'WetLitterbags placem_collection'!$O$4:$O$500,0)),"")</f>
        <v>19</v>
      </c>
      <c r="P116" s="110" t="str">
        <f>IFERROR(INDEX('WetLitterbags placem_collection'!$A$3:$A$500,MATCH(A116,'WetLitterbags placem_collection'!$M$4:$M$500,0)),"")</f>
        <v/>
      </c>
      <c r="Q116" s="110" t="str">
        <f>IFERROR(INDEX('WetLitterbags placem_collection'!$A$3:$A$500,MATCH(A116,'WetLitterbags placem_collection'!$Q$4:$Q$500,0)),"")</f>
        <v/>
      </c>
    </row>
    <row r="117" spans="1:17" ht="13.95" customHeight="1">
      <c r="A117" s="110" t="s">
        <v>1544</v>
      </c>
      <c r="B117" s="110" t="s">
        <v>2077</v>
      </c>
      <c r="C117" s="110">
        <v>0.67589999999999995</v>
      </c>
      <c r="D117" s="110" t="s">
        <v>2129</v>
      </c>
      <c r="E117" s="112">
        <v>43122</v>
      </c>
      <c r="N117" s="110" t="str">
        <f>IFERROR(INDEX('WetLitterbags placem_collection'!$A$3:$A$500,MATCH(A117,'WetLitterbags placem_collection'!$K$4:$K$500,0)),"")</f>
        <v/>
      </c>
      <c r="O117" s="110">
        <f>IFERROR(INDEX('WetLitterbags placem_collection'!$A$3:$A$500,MATCH(A117,'WetLitterbags placem_collection'!$O$4:$O$500,0)),"")</f>
        <v>25</v>
      </c>
      <c r="P117" s="110" t="str">
        <f>IFERROR(INDEX('WetLitterbags placem_collection'!$A$3:$A$500,MATCH(A117,'WetLitterbags placem_collection'!$M$4:$M$500,0)),"")</f>
        <v/>
      </c>
      <c r="Q117" s="110" t="str">
        <f>IFERROR(INDEX('WetLitterbags placem_collection'!$A$3:$A$500,MATCH(A117,'WetLitterbags placem_collection'!$Q$4:$Q$500,0)),"")</f>
        <v/>
      </c>
    </row>
    <row r="118" spans="1:17" ht="13.95" customHeight="1">
      <c r="A118" s="110" t="s">
        <v>1543</v>
      </c>
      <c r="B118">
        <v>36</v>
      </c>
      <c r="C118" s="110">
        <v>0.68100000000000005</v>
      </c>
      <c r="E118" s="112">
        <v>42881</v>
      </c>
      <c r="N118" s="110">
        <f>IFERROR(INDEX('WetLitterbags placem_collection'!$A$3:$A$500,MATCH(A118,'WetLitterbags placem_collection'!$K$4:$K$500,0)),"")</f>
        <v>35</v>
      </c>
      <c r="O118" s="110" t="str">
        <f>IFERROR(INDEX('WetLitterbags placem_collection'!$A$3:$A$500,MATCH(A118,'WetLitterbags placem_collection'!$O$4:$O$500,0)),"")</f>
        <v/>
      </c>
      <c r="P118" s="110" t="str">
        <f>IFERROR(INDEX('WetLitterbags placem_collection'!$A$3:$A$500,MATCH(A118,'WetLitterbags placem_collection'!$M$4:$M$500,0)),"")</f>
        <v/>
      </c>
      <c r="Q118" s="110" t="str">
        <f>IFERROR(INDEX('WetLitterbags placem_collection'!$A$3:$A$500,MATCH(A118,'WetLitterbags placem_collection'!$Q$4:$Q$500,0)),"")</f>
        <v/>
      </c>
    </row>
    <row r="119" spans="1:17" ht="13.95" customHeight="1">
      <c r="A119" s="110" t="s">
        <v>1542</v>
      </c>
      <c r="B119" s="110">
        <v>208</v>
      </c>
      <c r="C119" s="110">
        <v>0.84599999999999997</v>
      </c>
      <c r="E119" s="112">
        <v>42879</v>
      </c>
      <c r="N119" s="110" t="str">
        <f>IFERROR(INDEX('WetLitterbags placem_collection'!$A$3:$A$500,MATCH(A119,'WetLitterbags placem_collection'!$K$4:$K$500,0)),"")</f>
        <v/>
      </c>
      <c r="O119" s="110">
        <f>IFERROR(INDEX('WetLitterbags placem_collection'!$A$3:$A$500,MATCH(A119,'WetLitterbags placem_collection'!$O$4:$O$500,0)),"")</f>
        <v>207</v>
      </c>
      <c r="P119" s="110" t="str">
        <f>IFERROR(INDEX('WetLitterbags placem_collection'!$A$3:$A$500,MATCH(A119,'WetLitterbags placem_collection'!$M$4:$M$500,0)),"")</f>
        <v/>
      </c>
      <c r="Q119" s="110" t="str">
        <f>IFERROR(INDEX('WetLitterbags placem_collection'!$A$3:$A$500,MATCH(A119,'WetLitterbags placem_collection'!$Q$4:$Q$500,0)),"")</f>
        <v/>
      </c>
    </row>
    <row r="120" spans="1:17" ht="13.95" customHeight="1">
      <c r="A120" s="110" t="s">
        <v>1539</v>
      </c>
      <c r="B120" s="110" t="s">
        <v>2077</v>
      </c>
      <c r="C120" s="110">
        <v>0.83740000000000003</v>
      </c>
      <c r="D120" s="110" t="s">
        <v>2115</v>
      </c>
      <c r="E120" s="112">
        <v>43119</v>
      </c>
      <c r="N120" s="110">
        <f>IFERROR(INDEX('WetLitterbags placem_collection'!$A$3:$A$500,MATCH(A120,'WetLitterbags placem_collection'!$K$4:$K$500,0)),"")</f>
        <v>70</v>
      </c>
      <c r="O120" s="110" t="str">
        <f>IFERROR(INDEX('WetLitterbags placem_collection'!$A$3:$A$500,MATCH(A120,'WetLitterbags placem_collection'!$O$4:$O$500,0)),"")</f>
        <v/>
      </c>
      <c r="P120" s="110" t="str">
        <f>IFERROR(INDEX('WetLitterbags placem_collection'!$A$3:$A$500,MATCH(A120,'WetLitterbags placem_collection'!$M$4:$M$500,0)),"")</f>
        <v/>
      </c>
      <c r="Q120" s="110" t="str">
        <f>IFERROR(INDEX('WetLitterbags placem_collection'!$A$3:$A$500,MATCH(A120,'WetLitterbags placem_collection'!$Q$4:$Q$500,0)),"")</f>
        <v/>
      </c>
    </row>
    <row r="121" spans="1:17" ht="13.95" customHeight="1">
      <c r="A121" s="110" t="s">
        <v>1538</v>
      </c>
      <c r="B121">
        <v>47</v>
      </c>
      <c r="C121" s="110">
        <v>0.77500000000000002</v>
      </c>
      <c r="E121" s="112">
        <v>42879</v>
      </c>
      <c r="N121" s="110" t="str">
        <f>IFERROR(INDEX('WetLitterbags placem_collection'!$A$3:$A$500,MATCH(A121,'WetLitterbags placem_collection'!$K$4:$K$500,0)),"")</f>
        <v/>
      </c>
      <c r="O121" s="110">
        <f>IFERROR(INDEX('WetLitterbags placem_collection'!$A$3:$A$500,MATCH(A121,'WetLitterbags placem_collection'!$O$4:$O$500,0)),"")</f>
        <v>46</v>
      </c>
      <c r="P121" s="110" t="str">
        <f>IFERROR(INDEX('WetLitterbags placem_collection'!$A$3:$A$500,MATCH(A121,'WetLitterbags placem_collection'!$M$4:$M$500,0)),"")</f>
        <v/>
      </c>
      <c r="Q121" s="110" t="str">
        <f>IFERROR(INDEX('WetLitterbags placem_collection'!$A$3:$A$500,MATCH(A121,'WetLitterbags placem_collection'!$Q$4:$Q$500,0)),"")</f>
        <v/>
      </c>
    </row>
    <row r="122" spans="1:17" ht="13.95" customHeight="1">
      <c r="A122" s="110" t="s">
        <v>1537</v>
      </c>
      <c r="B122" s="110">
        <v>58</v>
      </c>
      <c r="C122" s="110">
        <v>0.93279999999999996</v>
      </c>
      <c r="D122" s="110" t="s">
        <v>2114</v>
      </c>
      <c r="E122" s="112">
        <v>43123</v>
      </c>
      <c r="N122" s="110">
        <f>IFERROR(INDEX('WetLitterbags placem_collection'!$A$3:$A$500,MATCH(A122,'WetLitterbags placem_collection'!$K$4:$K$500,0)),"")</f>
        <v>57</v>
      </c>
      <c r="O122" s="110" t="str">
        <f>IFERROR(INDEX('WetLitterbags placem_collection'!$A$3:$A$500,MATCH(A122,'WetLitterbags placem_collection'!$O$4:$O$500,0)),"")</f>
        <v/>
      </c>
      <c r="P122" s="110" t="str">
        <f>IFERROR(INDEX('WetLitterbags placem_collection'!$A$3:$A$500,MATCH(A122,'WetLitterbags placem_collection'!$M$4:$M$500,0)),"")</f>
        <v/>
      </c>
      <c r="Q122" s="110" t="str">
        <f>IFERROR(INDEX('WetLitterbags placem_collection'!$A$3:$A$500,MATCH(A122,'WetLitterbags placem_collection'!$Q$4:$Q$500,0)),"")</f>
        <v/>
      </c>
    </row>
    <row r="123" spans="1:17" ht="13.95" customHeight="1">
      <c r="A123" s="110" t="s">
        <v>1534</v>
      </c>
      <c r="B123" s="110">
        <v>34</v>
      </c>
      <c r="C123" s="110">
        <v>0.87270000000000003</v>
      </c>
      <c r="D123" s="110" t="s">
        <v>2086</v>
      </c>
      <c r="E123" s="112">
        <v>43125</v>
      </c>
      <c r="N123" s="110">
        <f>IFERROR(INDEX('WetLitterbags placem_collection'!$A$3:$A$500,MATCH(A123,'WetLitterbags placem_collection'!$K$4:$K$500,0)),"")</f>
        <v>33</v>
      </c>
      <c r="O123" s="110" t="str">
        <f>IFERROR(INDEX('WetLitterbags placem_collection'!$A$3:$A$500,MATCH(A123,'WetLitterbags placem_collection'!$O$4:$O$500,0)),"")</f>
        <v/>
      </c>
      <c r="P123" s="110" t="str">
        <f>IFERROR(INDEX('WetLitterbags placem_collection'!$A$3:$A$500,MATCH(A123,'WetLitterbags placem_collection'!$M$4:$M$500,0)),"")</f>
        <v/>
      </c>
      <c r="Q123" s="110" t="str">
        <f>IFERROR(INDEX('WetLitterbags placem_collection'!$A$3:$A$500,MATCH(A123,'WetLitterbags placem_collection'!$Q$4:$Q$500,0)),"")</f>
        <v/>
      </c>
    </row>
    <row r="124" spans="1:17" ht="13.95" customHeight="1">
      <c r="A124" s="110" t="s">
        <v>1532</v>
      </c>
      <c r="B124" s="110" t="s">
        <v>2077</v>
      </c>
      <c r="C124" s="110">
        <v>0.68200000000000005</v>
      </c>
      <c r="E124" s="112">
        <v>43122</v>
      </c>
      <c r="N124" s="110">
        <f>IFERROR(INDEX('WetLitterbags placem_collection'!$A$3:$A$500,MATCH(A124,'WetLitterbags placem_collection'!$K$4:$K$500,0)),"")</f>
        <v>29</v>
      </c>
      <c r="O124" s="110" t="str">
        <f>IFERROR(INDEX('WetLitterbags placem_collection'!$A$3:$A$500,MATCH(A124,'WetLitterbags placem_collection'!$O$4:$O$500,0)),"")</f>
        <v/>
      </c>
      <c r="P124" s="110" t="str">
        <f>IFERROR(INDEX('WetLitterbags placem_collection'!$A$3:$A$500,MATCH(A124,'WetLitterbags placem_collection'!$M$4:$M$500,0)),"")</f>
        <v/>
      </c>
      <c r="Q124" s="110" t="str">
        <f>IFERROR(INDEX('WetLitterbags placem_collection'!$A$3:$A$500,MATCH(A124,'WetLitterbags placem_collection'!$Q$4:$Q$500,0)),"")</f>
        <v/>
      </c>
    </row>
    <row r="125" spans="1:17" ht="13.95" customHeight="1">
      <c r="A125" s="110" t="s">
        <v>1531</v>
      </c>
      <c r="B125" s="110">
        <v>45</v>
      </c>
      <c r="C125" s="110">
        <v>0.77569999999999995</v>
      </c>
      <c r="D125" s="110" t="s">
        <v>2112</v>
      </c>
      <c r="E125" s="112">
        <v>43123</v>
      </c>
      <c r="N125" s="110">
        <f>IFERROR(INDEX('WetLitterbags placem_collection'!$A$3:$A$500,MATCH(A125,'WetLitterbags placem_collection'!$K$4:$K$500,0)),"")</f>
        <v>44</v>
      </c>
      <c r="O125" s="110" t="str">
        <f>IFERROR(INDEX('WetLitterbags placem_collection'!$A$3:$A$500,MATCH(A125,'WetLitterbags placem_collection'!$O$4:$O$500,0)),"")</f>
        <v/>
      </c>
      <c r="P125" s="110" t="str">
        <f>IFERROR(INDEX('WetLitterbags placem_collection'!$A$3:$A$500,MATCH(A125,'WetLitterbags placem_collection'!$M$4:$M$500,0)),"")</f>
        <v/>
      </c>
      <c r="Q125" s="110" t="str">
        <f>IFERROR(INDEX('WetLitterbags placem_collection'!$A$3:$A$500,MATCH(A125,'WetLitterbags placem_collection'!$Q$4:$Q$500,0)),"")</f>
        <v/>
      </c>
    </row>
    <row r="126" spans="1:17" ht="13.95" customHeight="1">
      <c r="A126" s="110" t="s">
        <v>1530</v>
      </c>
      <c r="B126" s="110">
        <v>84</v>
      </c>
      <c r="C126" s="110">
        <v>0.81299999999999994</v>
      </c>
      <c r="E126" s="112">
        <v>42881</v>
      </c>
      <c r="N126" s="110" t="str">
        <f>IFERROR(INDEX('WetLitterbags placem_collection'!$A$3:$A$500,MATCH(A126,'WetLitterbags placem_collection'!$K$4:$K$500,0)),"")</f>
        <v/>
      </c>
      <c r="O126" s="110">
        <f>IFERROR(INDEX('WetLitterbags placem_collection'!$A$3:$A$500,MATCH(A126,'WetLitterbags placem_collection'!$O$4:$O$500,0)),"")</f>
        <v>83</v>
      </c>
      <c r="P126" s="110" t="str">
        <f>IFERROR(INDEX('WetLitterbags placem_collection'!$A$3:$A$500,MATCH(A126,'WetLitterbags placem_collection'!$M$4:$M$500,0)),"")</f>
        <v/>
      </c>
      <c r="Q126" s="110" t="str">
        <f>IFERROR(INDEX('WetLitterbags placem_collection'!$A$3:$A$500,MATCH(A126,'WetLitterbags placem_collection'!$Q$4:$Q$500,0)),"")</f>
        <v/>
      </c>
    </row>
    <row r="127" spans="1:17" ht="13.95" customHeight="1">
      <c r="A127" s="110" t="s">
        <v>1529</v>
      </c>
      <c r="B127" s="110" t="s">
        <v>2077</v>
      </c>
      <c r="C127" s="110">
        <v>0.71479999999999999</v>
      </c>
      <c r="E127" s="112">
        <v>43119</v>
      </c>
      <c r="N127" s="110" t="str">
        <f>IFERROR(INDEX('WetLitterbags placem_collection'!$A$3:$A$500,MATCH(A127,'WetLitterbags placem_collection'!$K$4:$K$500,0)),"")</f>
        <v/>
      </c>
      <c r="O127" s="110">
        <f>IFERROR(INDEX('WetLitterbags placem_collection'!$A$3:$A$500,MATCH(A127,'WetLitterbags placem_collection'!$O$4:$O$500,0)),"")</f>
        <v>30</v>
      </c>
      <c r="P127" s="110" t="str">
        <f>IFERROR(INDEX('WetLitterbags placem_collection'!$A$3:$A$500,MATCH(A127,'WetLitterbags placem_collection'!$M$4:$M$500,0)),"")</f>
        <v/>
      </c>
      <c r="Q127" s="110" t="str">
        <f>IFERROR(INDEX('WetLitterbags placem_collection'!$A$3:$A$500,MATCH(A127,'WetLitterbags placem_collection'!$Q$4:$Q$500,0)),"")</f>
        <v/>
      </c>
    </row>
    <row r="128" spans="1:17" ht="13.95" customHeight="1">
      <c r="A128" s="110" t="s">
        <v>1528</v>
      </c>
      <c r="B128" s="110" t="s">
        <v>2077</v>
      </c>
      <c r="C128" s="110">
        <v>0.628</v>
      </c>
      <c r="E128" s="112">
        <v>43119</v>
      </c>
      <c r="N128" s="110">
        <f>IFERROR(INDEX('WetLitterbags placem_collection'!$A$3:$A$500,MATCH(A128,'WetLitterbags placem_collection'!$K$4:$K$500,0)),"")</f>
        <v>190</v>
      </c>
      <c r="O128" s="110" t="str">
        <f>IFERROR(INDEX('WetLitterbags placem_collection'!$A$3:$A$500,MATCH(A128,'WetLitterbags placem_collection'!$O$4:$O$500,0)),"")</f>
        <v/>
      </c>
      <c r="P128" s="110" t="str">
        <f>IFERROR(INDEX('WetLitterbags placem_collection'!$A$3:$A$500,MATCH(A128,'WetLitterbags placem_collection'!$M$4:$M$500,0)),"")</f>
        <v/>
      </c>
      <c r="Q128" s="110" t="str">
        <f>IFERROR(INDEX('WetLitterbags placem_collection'!$A$3:$A$500,MATCH(A128,'WetLitterbags placem_collection'!$Q$4:$Q$500,0)),"")</f>
        <v/>
      </c>
    </row>
    <row r="129" spans="1:17" ht="13.95" customHeight="1">
      <c r="A129" s="110" t="s">
        <v>1527</v>
      </c>
      <c r="B129" s="110" t="s">
        <v>2077</v>
      </c>
      <c r="C129" s="110">
        <v>0.63119999999999998</v>
      </c>
      <c r="E129" s="112">
        <v>43122</v>
      </c>
      <c r="N129" s="110" t="str">
        <f>IFERROR(INDEX('WetLitterbags placem_collection'!$A$3:$A$500,MATCH(A129,'WetLitterbags placem_collection'!$K$4:$K$500,0)),"")</f>
        <v/>
      </c>
      <c r="O129" s="110">
        <f>IFERROR(INDEX('WetLitterbags placem_collection'!$A$3:$A$500,MATCH(A129,'WetLitterbags placem_collection'!$O$4:$O$500,0)),"")</f>
        <v>10</v>
      </c>
      <c r="P129" s="110" t="str">
        <f>IFERROR(INDEX('WetLitterbags placem_collection'!$A$3:$A$500,MATCH(A129,'WetLitterbags placem_collection'!$M$4:$M$500,0)),"")</f>
        <v/>
      </c>
      <c r="Q129" s="110" t="str">
        <f>IFERROR(INDEX('WetLitterbags placem_collection'!$A$3:$A$500,MATCH(A129,'WetLitterbags placem_collection'!$Q$4:$Q$500,0)),"")</f>
        <v/>
      </c>
    </row>
    <row r="130" spans="1:17" ht="13.95" customHeight="1">
      <c r="A130" s="110" t="s">
        <v>1526</v>
      </c>
      <c r="B130" s="110">
        <v>20</v>
      </c>
      <c r="C130" s="110">
        <v>0.71609999999999996</v>
      </c>
      <c r="E130" s="112">
        <v>43125</v>
      </c>
      <c r="N130" s="110">
        <f>IFERROR(INDEX('WetLitterbags placem_collection'!$A$3:$A$500,MATCH(A130,'WetLitterbags placem_collection'!$K$4:$K$500,0)),"")</f>
        <v>19</v>
      </c>
      <c r="O130" s="110" t="str">
        <f>IFERROR(INDEX('WetLitterbags placem_collection'!$A$3:$A$500,MATCH(A130,'WetLitterbags placem_collection'!$O$4:$O$500,0)),"")</f>
        <v/>
      </c>
      <c r="P130" s="110" t="str">
        <f>IFERROR(INDEX('WetLitterbags placem_collection'!$A$3:$A$500,MATCH(A130,'WetLitterbags placem_collection'!$M$4:$M$500,0)),"")</f>
        <v/>
      </c>
      <c r="Q130" s="110" t="str">
        <f>IFERROR(INDEX('WetLitterbags placem_collection'!$A$3:$A$500,MATCH(A130,'WetLitterbags placem_collection'!$Q$4:$Q$500,0)),"")</f>
        <v/>
      </c>
    </row>
    <row r="131" spans="1:17" ht="13.95" customHeight="1">
      <c r="A131" s="110" t="s">
        <v>1525</v>
      </c>
      <c r="B131" s="110">
        <v>195</v>
      </c>
      <c r="C131" s="110">
        <v>0.67859999999999998</v>
      </c>
      <c r="E131" s="112">
        <v>43125</v>
      </c>
      <c r="N131" s="110" t="str">
        <f>IFERROR(INDEX('WetLitterbags placem_collection'!$A$3:$A$500,MATCH(A131,'WetLitterbags placem_collection'!$K$4:$K$500,0)),"")</f>
        <v/>
      </c>
      <c r="O131" s="110">
        <f>IFERROR(INDEX('WetLitterbags placem_collection'!$A$3:$A$500,MATCH(A131,'WetLitterbags placem_collection'!$O$4:$O$500,0)),"")</f>
        <v>194</v>
      </c>
      <c r="P131" s="110" t="str">
        <f>IFERROR(INDEX('WetLitterbags placem_collection'!$A$3:$A$500,MATCH(A131,'WetLitterbags placem_collection'!$M$4:$M$500,0)),"")</f>
        <v/>
      </c>
      <c r="Q131" s="110" t="str">
        <f>IFERROR(INDEX('WetLitterbags placem_collection'!$A$3:$A$500,MATCH(A131,'WetLitterbags placem_collection'!$Q$4:$Q$500,0)),"")</f>
        <v/>
      </c>
    </row>
    <row r="132" spans="1:17" ht="13.95" customHeight="1">
      <c r="A132" s="110" t="s">
        <v>1524</v>
      </c>
      <c r="B132" s="110" t="s">
        <v>2077</v>
      </c>
      <c r="C132" s="110">
        <v>0.61960000000000004</v>
      </c>
      <c r="E132" s="112">
        <v>43122</v>
      </c>
      <c r="N132" s="110">
        <f>IFERROR(INDEX('WetLitterbags placem_collection'!$A$3:$A$500,MATCH(A132,'WetLitterbags placem_collection'!$K$4:$K$500,0)),"")</f>
        <v>189</v>
      </c>
      <c r="O132" s="110" t="str">
        <f>IFERROR(INDEX('WetLitterbags placem_collection'!$A$3:$A$500,MATCH(A132,'WetLitterbags placem_collection'!$O$4:$O$500,0)),"")</f>
        <v/>
      </c>
      <c r="P132" s="110" t="str">
        <f>IFERROR(INDEX('WetLitterbags placem_collection'!$A$3:$A$500,MATCH(A132,'WetLitterbags placem_collection'!$M$4:$M$500,0)),"")</f>
        <v/>
      </c>
      <c r="Q132" s="110" t="str">
        <f>IFERROR(INDEX('WetLitterbags placem_collection'!$A$3:$A$500,MATCH(A132,'WetLitterbags placem_collection'!$Q$4:$Q$500,0)),"")</f>
        <v/>
      </c>
    </row>
    <row r="133" spans="1:17" ht="13.95" customHeight="1">
      <c r="A133" s="110" t="s">
        <v>1523</v>
      </c>
      <c r="B133" s="110" t="s">
        <v>2077</v>
      </c>
      <c r="C133" s="110">
        <v>0.66439999999999999</v>
      </c>
      <c r="E133" s="112">
        <v>43122</v>
      </c>
      <c r="N133" s="110">
        <f>IFERROR(INDEX('WetLitterbags placem_collection'!$A$3:$A$500,MATCH(A133,'WetLitterbags placem_collection'!$K$4:$K$500,0)),"")</f>
        <v>31</v>
      </c>
      <c r="O133" s="110" t="str">
        <f>IFERROR(INDEX('WetLitterbags placem_collection'!$A$3:$A$500,MATCH(A133,'WetLitterbags placem_collection'!$O$4:$O$500,0)),"")</f>
        <v/>
      </c>
      <c r="P133" s="110" t="str">
        <f>IFERROR(INDEX('WetLitterbags placem_collection'!$A$3:$A$500,MATCH(A133,'WetLitterbags placem_collection'!$M$4:$M$500,0)),"")</f>
        <v/>
      </c>
      <c r="Q133" s="110" t="str">
        <f>IFERROR(INDEX('WetLitterbags placem_collection'!$A$3:$A$500,MATCH(A133,'WetLitterbags placem_collection'!$Q$4:$Q$500,0)),"")</f>
        <v/>
      </c>
    </row>
    <row r="134" spans="1:17" ht="13.95" customHeight="1">
      <c r="A134" s="110" t="s">
        <v>1522</v>
      </c>
      <c r="B134" s="110">
        <v>37</v>
      </c>
      <c r="C134" s="110">
        <v>0.89600000000000002</v>
      </c>
      <c r="E134" s="112">
        <v>42881</v>
      </c>
      <c r="N134" s="110" t="str">
        <f>IFERROR(INDEX('WetLitterbags placem_collection'!$A$3:$A$500,MATCH(A134,'WetLitterbags placem_collection'!$K$4:$K$500,0)),"")</f>
        <v/>
      </c>
      <c r="O134" s="110">
        <f>IFERROR(INDEX('WetLitterbags placem_collection'!$A$3:$A$500,MATCH(A134,'WetLitterbags placem_collection'!$O$4:$O$500,0)),"")</f>
        <v>36</v>
      </c>
      <c r="P134" s="110" t="str">
        <f>IFERROR(INDEX('WetLitterbags placem_collection'!$A$3:$A$500,MATCH(A134,'WetLitterbags placem_collection'!$M$4:$M$500,0)),"")</f>
        <v/>
      </c>
      <c r="Q134" s="110" t="str">
        <f>IFERROR(INDEX('WetLitterbags placem_collection'!$A$3:$A$500,MATCH(A134,'WetLitterbags placem_collection'!$Q$4:$Q$500,0)),"")</f>
        <v/>
      </c>
    </row>
    <row r="135" spans="1:17" ht="13.95" customHeight="1">
      <c r="A135" s="110" t="s">
        <v>1521</v>
      </c>
      <c r="B135" s="110">
        <v>92</v>
      </c>
      <c r="C135" s="110">
        <v>0.76500000000000001</v>
      </c>
      <c r="E135" s="112">
        <v>42879</v>
      </c>
      <c r="N135" s="110">
        <f>IFERROR(INDEX('WetLitterbags placem_collection'!$A$3:$A$500,MATCH(A135,'WetLitterbags placem_collection'!$K$4:$K$500,0)),"")</f>
        <v>91</v>
      </c>
      <c r="O135" s="110" t="str">
        <f>IFERROR(INDEX('WetLitterbags placem_collection'!$A$3:$A$500,MATCH(A135,'WetLitterbags placem_collection'!$O$4:$O$500,0)),"")</f>
        <v/>
      </c>
      <c r="P135" s="110" t="str">
        <f>IFERROR(INDEX('WetLitterbags placem_collection'!$A$3:$A$500,MATCH(A135,'WetLitterbags placem_collection'!$M$4:$M$500,0)),"")</f>
        <v/>
      </c>
      <c r="Q135" s="110" t="str">
        <f>IFERROR(INDEX('WetLitterbags placem_collection'!$A$3:$A$500,MATCH(A135,'WetLitterbags placem_collection'!$Q$4:$Q$500,0)),"")</f>
        <v/>
      </c>
    </row>
    <row r="136" spans="1:17" ht="13.95" customHeight="1">
      <c r="A136" s="110" t="s">
        <v>1518</v>
      </c>
      <c r="B136" s="110" t="s">
        <v>2077</v>
      </c>
      <c r="C136" s="110">
        <v>0.55969999999999998</v>
      </c>
      <c r="E136" s="112">
        <v>43122</v>
      </c>
      <c r="N136" s="110" t="str">
        <f>IFERROR(INDEX('WetLitterbags placem_collection'!$A$3:$A$500,MATCH(A136,'WetLitterbags placem_collection'!$K$4:$K$500,0)),"")</f>
        <v/>
      </c>
      <c r="O136" s="110">
        <f>IFERROR(INDEX('WetLitterbags placem_collection'!$A$3:$A$500,MATCH(A136,'WetLitterbags placem_collection'!$O$4:$O$500,0)),"")</f>
        <v>3</v>
      </c>
      <c r="P136" s="110" t="str">
        <f>IFERROR(INDEX('WetLitterbags placem_collection'!$A$3:$A$500,MATCH(A136,'WetLitterbags placem_collection'!$M$4:$M$500,0)),"")</f>
        <v/>
      </c>
      <c r="Q136" s="110" t="str">
        <f>IFERROR(INDEX('WetLitterbags placem_collection'!$A$3:$A$500,MATCH(A136,'WetLitterbags placem_collection'!$Q$4:$Q$500,0)),"")</f>
        <v/>
      </c>
    </row>
    <row r="137" spans="1:17" ht="13.95" customHeight="1">
      <c r="A137" t="s">
        <v>1515</v>
      </c>
      <c r="B137">
        <v>60</v>
      </c>
      <c r="C137">
        <v>0.78</v>
      </c>
      <c r="D137" t="s">
        <v>2072</v>
      </c>
      <c r="E137" s="112">
        <v>42879</v>
      </c>
      <c r="N137" s="110" t="str">
        <f>IFERROR(INDEX('WetLitterbags placem_collection'!$A$3:$A$500,MATCH(A137,'WetLitterbags placem_collection'!$K$4:$K$500,0)),"")</f>
        <v/>
      </c>
      <c r="O137" s="110">
        <f>IFERROR(INDEX('WetLitterbags placem_collection'!$A$3:$A$500,MATCH(A137,'WetLitterbags placem_collection'!$O$4:$O$500,0)),"")</f>
        <v>59</v>
      </c>
      <c r="P137" s="110" t="str">
        <f>IFERROR(INDEX('WetLitterbags placem_collection'!$A$3:$A$500,MATCH(A137,'WetLitterbags placem_collection'!$M$4:$M$500,0)),"")</f>
        <v/>
      </c>
      <c r="Q137" s="110" t="str">
        <f>IFERROR(INDEX('WetLitterbags placem_collection'!$A$3:$A$500,MATCH(A137,'WetLitterbags placem_collection'!$Q$4:$Q$500,0)),"")</f>
        <v/>
      </c>
    </row>
    <row r="138" spans="1:17" ht="13.95" customHeight="1">
      <c r="A138" s="110" t="s">
        <v>1514</v>
      </c>
      <c r="B138" s="110">
        <v>82</v>
      </c>
      <c r="C138" s="110">
        <v>0.748</v>
      </c>
      <c r="D138" s="110" t="s">
        <v>2070</v>
      </c>
      <c r="E138" s="112">
        <v>42879</v>
      </c>
      <c r="N138" s="110">
        <f>IFERROR(INDEX('WetLitterbags placem_collection'!$A$3:$A$500,MATCH(A138,'WetLitterbags placem_collection'!$K$4:$K$500,0)),"")</f>
        <v>81</v>
      </c>
      <c r="O138" s="110" t="str">
        <f>IFERROR(INDEX('WetLitterbags placem_collection'!$A$3:$A$500,MATCH(A138,'WetLitterbags placem_collection'!$O$4:$O$500,0)),"")</f>
        <v/>
      </c>
      <c r="P138" s="110" t="str">
        <f>IFERROR(INDEX('WetLitterbags placem_collection'!$A$3:$A$500,MATCH(A138,'WetLitterbags placem_collection'!$M$4:$M$500,0)),"")</f>
        <v/>
      </c>
      <c r="Q138" s="110" t="str">
        <f>IFERROR(INDEX('WetLitterbags placem_collection'!$A$3:$A$500,MATCH(A138,'WetLitterbags placem_collection'!$Q$4:$Q$500,0)),"")</f>
        <v/>
      </c>
    </row>
    <row r="139" spans="1:17" ht="13.95" customHeight="1">
      <c r="A139" s="110" t="s">
        <v>1513</v>
      </c>
      <c r="B139" s="110">
        <v>189</v>
      </c>
      <c r="C139" s="110">
        <v>0.72030000000000005</v>
      </c>
      <c r="E139" s="112">
        <v>43125</v>
      </c>
      <c r="N139" s="110" t="str">
        <f>IFERROR(INDEX('WetLitterbags placem_collection'!$A$3:$A$500,MATCH(A139,'WetLitterbags placem_collection'!$K$4:$K$500,0)),"")</f>
        <v/>
      </c>
      <c r="O139" s="110">
        <f>IFERROR(INDEX('WetLitterbags placem_collection'!$A$3:$A$500,MATCH(A139,'WetLitterbags placem_collection'!$O$4:$O$500,0)),"")</f>
        <v>188</v>
      </c>
      <c r="P139" s="110" t="str">
        <f>IFERROR(INDEX('WetLitterbags placem_collection'!$A$3:$A$500,MATCH(A139,'WetLitterbags placem_collection'!$M$4:$M$500,0)),"")</f>
        <v/>
      </c>
      <c r="Q139" s="110" t="str">
        <f>IFERROR(INDEX('WetLitterbags placem_collection'!$A$3:$A$500,MATCH(A139,'WetLitterbags placem_collection'!$Q$4:$Q$500,0)),"")</f>
        <v/>
      </c>
    </row>
    <row r="140" spans="1:17" ht="13.95" customHeight="1">
      <c r="A140" s="110" t="s">
        <v>1512</v>
      </c>
      <c r="B140" s="110">
        <v>56</v>
      </c>
      <c r="C140" s="110">
        <v>0.81</v>
      </c>
      <c r="E140" s="112">
        <v>42881</v>
      </c>
      <c r="N140" s="110">
        <f>IFERROR(INDEX('WetLitterbags placem_collection'!$A$3:$A$500,MATCH(A140,'WetLitterbags placem_collection'!$K$4:$K$500,0)),"")</f>
        <v>55</v>
      </c>
      <c r="O140" s="110" t="str">
        <f>IFERROR(INDEX('WetLitterbags placem_collection'!$A$3:$A$500,MATCH(A140,'WetLitterbags placem_collection'!$O$4:$O$500,0)),"")</f>
        <v/>
      </c>
      <c r="P140" s="110" t="str">
        <f>IFERROR(INDEX('WetLitterbags placem_collection'!$A$3:$A$500,MATCH(A140,'WetLitterbags placem_collection'!$M$4:$M$500,0)),"")</f>
        <v/>
      </c>
      <c r="Q140" s="110" t="str">
        <f>IFERROR(INDEX('WetLitterbags placem_collection'!$A$3:$A$500,MATCH(A140,'WetLitterbags placem_collection'!$Q$4:$Q$500,0)),"")</f>
        <v/>
      </c>
    </row>
    <row r="141" spans="1:17" ht="13.95" customHeight="1">
      <c r="A141" s="110" t="s">
        <v>1511</v>
      </c>
      <c r="B141">
        <v>47</v>
      </c>
      <c r="C141" s="110">
        <v>0.80700000000000005</v>
      </c>
      <c r="E141" s="112">
        <v>42879</v>
      </c>
      <c r="N141" s="110">
        <f>IFERROR(INDEX('WetLitterbags placem_collection'!$A$3:$A$500,MATCH(A141,'WetLitterbags placem_collection'!$K$4:$K$500,0)),"")</f>
        <v>46</v>
      </c>
      <c r="O141" s="110" t="str">
        <f>IFERROR(INDEX('WetLitterbags placem_collection'!$A$3:$A$500,MATCH(A141,'WetLitterbags placem_collection'!$O$4:$O$500,0)),"")</f>
        <v/>
      </c>
      <c r="P141" s="110" t="str">
        <f>IFERROR(INDEX('WetLitterbags placem_collection'!$A$3:$A$500,MATCH(A141,'WetLitterbags placem_collection'!$M$4:$M$500,0)),"")</f>
        <v/>
      </c>
      <c r="Q141" s="110" t="str">
        <f>IFERROR(INDEX('WetLitterbags placem_collection'!$A$3:$A$500,MATCH(A141,'WetLitterbags placem_collection'!$Q$4:$Q$500,0)),"")</f>
        <v/>
      </c>
    </row>
    <row r="142" spans="1:17" ht="13.95" customHeight="1">
      <c r="A142" s="110" t="s">
        <v>1510</v>
      </c>
      <c r="B142" s="113">
        <v>206</v>
      </c>
      <c r="C142" s="110">
        <v>0.73299999999999998</v>
      </c>
      <c r="E142" s="112">
        <v>42879</v>
      </c>
      <c r="N142" s="110" t="str">
        <f>IFERROR(INDEX('WetLitterbags placem_collection'!$A$3:$A$500,MATCH(A142,'WetLitterbags placem_collection'!$K$4:$K$500,0)),"")</f>
        <v/>
      </c>
      <c r="O142" s="110">
        <f>IFERROR(INDEX('WetLitterbags placem_collection'!$A$3:$A$500,MATCH(A142,'WetLitterbags placem_collection'!$O$4:$O$500,0)),"")</f>
        <v>206</v>
      </c>
      <c r="P142" s="110" t="str">
        <f>IFERROR(INDEX('WetLitterbags placem_collection'!$A$3:$A$500,MATCH(A142,'WetLitterbags placem_collection'!$M$4:$M$500,0)),"")</f>
        <v/>
      </c>
      <c r="Q142" s="110" t="str">
        <f>IFERROR(INDEX('WetLitterbags placem_collection'!$A$3:$A$500,MATCH(A142,'WetLitterbags placem_collection'!$Q$4:$Q$500,0)),"")</f>
        <v/>
      </c>
    </row>
    <row r="143" spans="1:17" ht="13.95" customHeight="1">
      <c r="A143" s="179" t="s">
        <v>1509</v>
      </c>
      <c r="B143" s="110">
        <v>61</v>
      </c>
      <c r="C143">
        <v>0.78600000000000003</v>
      </c>
      <c r="D143"/>
      <c r="E143" s="112">
        <v>42878</v>
      </c>
      <c r="N143" s="110">
        <f>IFERROR(INDEX('WetLitterbags placem_collection'!$A$3:$A$500,MATCH(A143,'WetLitterbags placem_collection'!$K$4:$K$500,0)),"")</f>
        <v>60</v>
      </c>
      <c r="O143" s="110" t="str">
        <f>IFERROR(INDEX('WetLitterbags placem_collection'!$A$3:$A$500,MATCH(A143,'WetLitterbags placem_collection'!$O$4:$O$500,0)),"")</f>
        <v/>
      </c>
      <c r="P143" s="110" t="str">
        <f>IFERROR(INDEX('WetLitterbags placem_collection'!$A$3:$A$500,MATCH(A143,'WetLitterbags placem_collection'!$M$4:$M$500,0)),"")</f>
        <v/>
      </c>
      <c r="Q143" s="110" t="str">
        <f>IFERROR(INDEX('WetLitterbags placem_collection'!$A$3:$A$500,MATCH(A143,'WetLitterbags placem_collection'!$Q$4:$Q$500,0)),"")</f>
        <v/>
      </c>
    </row>
    <row r="144" spans="1:17" ht="13.95" customHeight="1">
      <c r="A144" s="110" t="s">
        <v>1508</v>
      </c>
      <c r="B144" s="110">
        <v>81</v>
      </c>
      <c r="C144" s="110">
        <v>0.85099999999999998</v>
      </c>
      <c r="E144" s="112">
        <v>42881</v>
      </c>
      <c r="N144" s="110">
        <f>IFERROR(INDEX('WetLitterbags placem_collection'!$A$3:$A$500,MATCH(A144,'WetLitterbags placem_collection'!$K$4:$K$500,0)),"")</f>
        <v>80</v>
      </c>
      <c r="O144" s="110" t="str">
        <f>IFERROR(INDEX('WetLitterbags placem_collection'!$A$3:$A$500,MATCH(A144,'WetLitterbags placem_collection'!$O$4:$O$500,0)),"")</f>
        <v/>
      </c>
      <c r="P144" s="110" t="str">
        <f>IFERROR(INDEX('WetLitterbags placem_collection'!$A$3:$A$500,MATCH(A144,'WetLitterbags placem_collection'!$M$4:$M$500,0)),"")</f>
        <v/>
      </c>
      <c r="Q144" s="110" t="str">
        <f>IFERROR(INDEX('WetLitterbags placem_collection'!$A$3:$A$500,MATCH(A144,'WetLitterbags placem_collection'!$Q$4:$Q$500,0)),"")</f>
        <v/>
      </c>
    </row>
    <row r="145" spans="1:17" ht="13.95" customHeight="1">
      <c r="A145" s="110" t="s">
        <v>1507</v>
      </c>
      <c r="B145" s="110" t="s">
        <v>2077</v>
      </c>
      <c r="C145" s="110">
        <v>0.71650000000000003</v>
      </c>
      <c r="E145" s="112">
        <v>43119</v>
      </c>
      <c r="N145" s="110">
        <f>IFERROR(INDEX('WetLitterbags placem_collection'!$A$3:$A$500,MATCH(A145,'WetLitterbags placem_collection'!$K$4:$K$500,0)),"")</f>
        <v>10</v>
      </c>
      <c r="O145" s="110" t="str">
        <f>IFERROR(INDEX('WetLitterbags placem_collection'!$A$3:$A$500,MATCH(A145,'WetLitterbags placem_collection'!$O$4:$O$500,0)),"")</f>
        <v/>
      </c>
      <c r="P145" s="110" t="str">
        <f>IFERROR(INDEX('WetLitterbags placem_collection'!$A$3:$A$500,MATCH(A145,'WetLitterbags placem_collection'!$M$4:$M$500,0)),"")</f>
        <v/>
      </c>
      <c r="Q145" s="110" t="str">
        <f>IFERROR(INDEX('WetLitterbags placem_collection'!$A$3:$A$500,MATCH(A145,'WetLitterbags placem_collection'!$Q$4:$Q$500,0)),"")</f>
        <v/>
      </c>
    </row>
    <row r="146" spans="1:17" ht="13.95" customHeight="1">
      <c r="A146" s="110" t="s">
        <v>1506</v>
      </c>
      <c r="B146" s="181">
        <v>186</v>
      </c>
      <c r="C146" s="110">
        <v>0.69</v>
      </c>
      <c r="E146" s="112">
        <v>42878</v>
      </c>
      <c r="N146" s="110">
        <f>IFERROR(INDEX('WetLitterbags placem_collection'!$A$3:$A$500,MATCH(A146,'WetLitterbags placem_collection'!$K$4:$K$500,0)),"")</f>
        <v>185</v>
      </c>
      <c r="O146" s="110" t="str">
        <f>IFERROR(INDEX('WetLitterbags placem_collection'!$A$3:$A$500,MATCH(A146,'WetLitterbags placem_collection'!$O$4:$O$500,0)),"")</f>
        <v/>
      </c>
      <c r="P146" s="110" t="str">
        <f>IFERROR(INDEX('WetLitterbags placem_collection'!$A$3:$A$500,MATCH(A146,'WetLitterbags placem_collection'!$M$4:$M$500,0)),"")</f>
        <v/>
      </c>
      <c r="Q146" s="110" t="str">
        <f>IFERROR(INDEX('WetLitterbags placem_collection'!$A$3:$A$500,MATCH(A146,'WetLitterbags placem_collection'!$Q$4:$Q$500,0)),"")</f>
        <v/>
      </c>
    </row>
    <row r="147" spans="1:17" ht="13.95" customHeight="1">
      <c r="A147" s="110" t="s">
        <v>1505</v>
      </c>
      <c r="B147" s="110" t="s">
        <v>2077</v>
      </c>
      <c r="C147" s="110">
        <v>0.73950000000000005</v>
      </c>
      <c r="D147" s="110" t="s">
        <v>2115</v>
      </c>
      <c r="E147" s="112">
        <v>43122</v>
      </c>
      <c r="N147" s="110" t="str">
        <f>IFERROR(INDEX('WetLitterbags placem_collection'!$A$3:$A$500,MATCH(A147,'WetLitterbags placem_collection'!$K$4:$K$500,0)),"")</f>
        <v/>
      </c>
      <c r="O147" s="110">
        <f>IFERROR(INDEX('WetLitterbags placem_collection'!$A$3:$A$500,MATCH(A147,'WetLitterbags placem_collection'!$O$4:$O$500,0)),"")</f>
        <v>95</v>
      </c>
      <c r="P147" s="110" t="str">
        <f>IFERROR(INDEX('WetLitterbags placem_collection'!$A$3:$A$500,MATCH(A147,'WetLitterbags placem_collection'!$M$4:$M$500,0)),"")</f>
        <v/>
      </c>
      <c r="Q147" s="110" t="str">
        <f>IFERROR(INDEX('WetLitterbags placem_collection'!$A$3:$A$500,MATCH(A147,'WetLitterbags placem_collection'!$Q$4:$Q$500,0)),"")</f>
        <v/>
      </c>
    </row>
    <row r="148" spans="1:17" ht="13.95" customHeight="1">
      <c r="A148" s="110" t="s">
        <v>1504</v>
      </c>
      <c r="B148" s="110">
        <v>57</v>
      </c>
      <c r="C148" s="110">
        <v>0.88660000000000005</v>
      </c>
      <c r="E148" s="112">
        <v>43122</v>
      </c>
      <c r="N148" s="110">
        <f>IFERROR(INDEX('WetLitterbags placem_collection'!$A$3:$A$500,MATCH(A148,'WetLitterbags placem_collection'!$K$4:$K$500,0)),"")</f>
        <v>56</v>
      </c>
      <c r="O148" s="110" t="str">
        <f>IFERROR(INDEX('WetLitterbags placem_collection'!$A$3:$A$500,MATCH(A148,'WetLitterbags placem_collection'!$O$4:$O$500,0)),"")</f>
        <v/>
      </c>
      <c r="P148" s="110" t="str">
        <f>IFERROR(INDEX('WetLitterbags placem_collection'!$A$3:$A$500,MATCH(A148,'WetLitterbags placem_collection'!$M$4:$M$500,0)),"")</f>
        <v/>
      </c>
      <c r="Q148" s="110" t="str">
        <f>IFERROR(INDEX('WetLitterbags placem_collection'!$A$3:$A$500,MATCH(A148,'WetLitterbags placem_collection'!$Q$4:$Q$500,0)),"")</f>
        <v/>
      </c>
    </row>
    <row r="149" spans="1:17" ht="13.95" customHeight="1">
      <c r="A149" s="110" t="s">
        <v>1503</v>
      </c>
      <c r="B149" s="110">
        <v>91</v>
      </c>
      <c r="C149" s="110">
        <v>1.069</v>
      </c>
      <c r="E149" s="112">
        <v>42878</v>
      </c>
      <c r="N149" s="110" t="str">
        <f>IFERROR(INDEX('WetLitterbags placem_collection'!$A$3:$A$500,MATCH(A149,'WetLitterbags placem_collection'!$K$4:$K$500,0)),"")</f>
        <v/>
      </c>
      <c r="O149" s="110">
        <f>IFERROR(INDEX('WetLitterbags placem_collection'!$A$3:$A$500,MATCH(A149,'WetLitterbags placem_collection'!$O$4:$O$500,0)),"")</f>
        <v>90</v>
      </c>
      <c r="P149" s="110" t="str">
        <f>IFERROR(INDEX('WetLitterbags placem_collection'!$A$3:$A$500,MATCH(A149,'WetLitterbags placem_collection'!$M$4:$M$500,0)),"")</f>
        <v/>
      </c>
      <c r="Q149" s="110" t="str">
        <f>IFERROR(INDEX('WetLitterbags placem_collection'!$A$3:$A$500,MATCH(A149,'WetLitterbags placem_collection'!$Q$4:$Q$500,0)),"")</f>
        <v/>
      </c>
    </row>
    <row r="150" spans="1:17" ht="13.95" customHeight="1">
      <c r="A150" s="110" t="s">
        <v>1502</v>
      </c>
      <c r="B150" s="110">
        <v>51</v>
      </c>
      <c r="C150" s="110">
        <v>0.86399999999999999</v>
      </c>
      <c r="E150" s="112">
        <v>42881</v>
      </c>
      <c r="N150" s="110">
        <f>IFERROR(INDEX('WetLitterbags placem_collection'!$A$3:$A$500,MATCH(A150,'WetLitterbags placem_collection'!$K$4:$K$500,0)),"")</f>
        <v>50</v>
      </c>
      <c r="O150" s="110" t="str">
        <f>IFERROR(INDEX('WetLitterbags placem_collection'!$A$3:$A$500,MATCH(A150,'WetLitterbags placem_collection'!$O$4:$O$500,0)),"")</f>
        <v/>
      </c>
      <c r="P150" s="110" t="str">
        <f>IFERROR(INDEX('WetLitterbags placem_collection'!$A$3:$A$500,MATCH(A150,'WetLitterbags placem_collection'!$M$4:$M$500,0)),"")</f>
        <v/>
      </c>
      <c r="Q150" s="110" t="str">
        <f>IFERROR(INDEX('WetLitterbags placem_collection'!$A$3:$A$500,MATCH(A150,'WetLitterbags placem_collection'!$Q$4:$Q$500,0)),"")</f>
        <v/>
      </c>
    </row>
    <row r="151" spans="1:17" ht="13.95" customHeight="1">
      <c r="A151" s="110" t="s">
        <v>1501</v>
      </c>
      <c r="B151" s="110" t="s">
        <v>2083</v>
      </c>
      <c r="C151" s="110">
        <v>0.74199999999999999</v>
      </c>
      <c r="D151" s="110" t="s">
        <v>2095</v>
      </c>
      <c r="E151" s="112">
        <v>43125</v>
      </c>
      <c r="N151" s="110">
        <f>IFERROR(INDEX('WetLitterbags placem_collection'!$A$3:$A$500,MATCH(A151,'WetLitterbags placem_collection'!$K$4:$K$500,0)),"")</f>
        <v>72</v>
      </c>
      <c r="O151" s="110" t="str">
        <f>IFERROR(INDEX('WetLitterbags placem_collection'!$A$3:$A$500,MATCH(A151,'WetLitterbags placem_collection'!$O$4:$O$500,0)),"")</f>
        <v/>
      </c>
      <c r="P151" s="110" t="str">
        <f>IFERROR(INDEX('WetLitterbags placem_collection'!$A$3:$A$500,MATCH(A151,'WetLitterbags placem_collection'!$M$4:$M$500,0)),"")</f>
        <v/>
      </c>
      <c r="Q151" s="110" t="str">
        <f>IFERROR(INDEX('WetLitterbags placem_collection'!$A$3:$A$500,MATCH(A151,'WetLitterbags placem_collection'!$Q$4:$Q$500,0)),"")</f>
        <v/>
      </c>
    </row>
    <row r="152" spans="1:17" ht="13.95" customHeight="1">
      <c r="A152" s="110" t="s">
        <v>1500</v>
      </c>
      <c r="B152">
        <v>36</v>
      </c>
      <c r="C152" s="110">
        <v>0.72199999999999998</v>
      </c>
      <c r="E152" s="112">
        <v>42881</v>
      </c>
      <c r="N152" s="110" t="str">
        <f>IFERROR(INDEX('WetLitterbags placem_collection'!$A$3:$A$500,MATCH(A152,'WetLitterbags placem_collection'!$K$4:$K$500,0)),"")</f>
        <v/>
      </c>
      <c r="O152" s="110">
        <f>IFERROR(INDEX('WetLitterbags placem_collection'!$A$3:$A$500,MATCH(A152,'WetLitterbags placem_collection'!$O$4:$O$500,0)),"")</f>
        <v>35</v>
      </c>
      <c r="P152" s="110" t="str">
        <f>IFERROR(INDEX('WetLitterbags placem_collection'!$A$3:$A$500,MATCH(A152,'WetLitterbags placem_collection'!$M$4:$M$500,0)),"")</f>
        <v/>
      </c>
      <c r="Q152" s="110" t="str">
        <f>IFERROR(INDEX('WetLitterbags placem_collection'!$A$3:$A$500,MATCH(A152,'WetLitterbags placem_collection'!$Q$4:$Q$500,0)),"")</f>
        <v/>
      </c>
    </row>
    <row r="153" spans="1:17" ht="13.95" customHeight="1">
      <c r="A153" s="110" t="s">
        <v>1499</v>
      </c>
      <c r="B153" s="110" t="s">
        <v>2077</v>
      </c>
      <c r="C153" s="110">
        <v>0.61199999999999999</v>
      </c>
      <c r="E153" s="112">
        <v>43122</v>
      </c>
      <c r="N153" s="110" t="str">
        <f>IFERROR(INDEX('WetLitterbags placem_collection'!$A$3:$A$500,MATCH(A153,'WetLitterbags placem_collection'!$K$4:$K$500,0)),"")</f>
        <v/>
      </c>
      <c r="O153" s="110">
        <f>IFERROR(INDEX('WetLitterbags placem_collection'!$A$3:$A$500,MATCH(A153,'WetLitterbags placem_collection'!$O$4:$O$500,0)),"")</f>
        <v>180</v>
      </c>
      <c r="P153" s="110" t="str">
        <f>IFERROR(INDEX('WetLitterbags placem_collection'!$A$3:$A$500,MATCH(A153,'WetLitterbags placem_collection'!$M$4:$M$500,0)),"")</f>
        <v/>
      </c>
      <c r="Q153" s="110" t="str">
        <f>IFERROR(INDEX('WetLitterbags placem_collection'!$A$3:$A$500,MATCH(A153,'WetLitterbags placem_collection'!$Q$4:$Q$500,0)),"")</f>
        <v/>
      </c>
    </row>
    <row r="154" spans="1:17" ht="13.95" customHeight="1">
      <c r="A154" s="110" t="s">
        <v>1498</v>
      </c>
      <c r="B154" s="110" t="s">
        <v>2077</v>
      </c>
      <c r="C154" s="110">
        <v>0.75929999999999997</v>
      </c>
      <c r="D154" s="110" t="s">
        <v>2128</v>
      </c>
      <c r="E154" s="112">
        <v>43122</v>
      </c>
      <c r="N154" s="110" t="str">
        <f>IFERROR(INDEX('WetLitterbags placem_collection'!$A$3:$A$500,MATCH(A154,'WetLitterbags placem_collection'!$K$4:$K$500,0)),"")</f>
        <v/>
      </c>
      <c r="O154" s="110">
        <f>IFERROR(INDEX('WetLitterbags placem_collection'!$A$3:$A$500,MATCH(A154,'WetLitterbags placem_collection'!$O$4:$O$500,0)),"")</f>
        <v>21</v>
      </c>
      <c r="P154" s="110" t="str">
        <f>IFERROR(INDEX('WetLitterbags placem_collection'!$A$3:$A$500,MATCH(A154,'WetLitterbags placem_collection'!$M$4:$M$500,0)),"")</f>
        <v/>
      </c>
      <c r="Q154" s="110" t="str">
        <f>IFERROR(INDEX('WetLitterbags placem_collection'!$A$3:$A$500,MATCH(A154,'WetLitterbags placem_collection'!$Q$4:$Q$500,0)),"")</f>
        <v/>
      </c>
    </row>
    <row r="155" spans="1:17" ht="13.95" customHeight="1">
      <c r="A155" s="179" t="s">
        <v>1496</v>
      </c>
      <c r="B155" s="110">
        <v>64</v>
      </c>
      <c r="C155" s="181">
        <v>1.29</v>
      </c>
      <c r="D155" s="181" t="s">
        <v>2139</v>
      </c>
      <c r="E155" s="112">
        <v>42878</v>
      </c>
      <c r="N155" s="110">
        <f>IFERROR(INDEX('WetLitterbags placem_collection'!$A$3:$A$500,MATCH(A155,'WetLitterbags placem_collection'!$K$4:$K$500,0)),"")</f>
        <v>63</v>
      </c>
      <c r="O155" s="110" t="str">
        <f>IFERROR(INDEX('WetLitterbags placem_collection'!$A$3:$A$500,MATCH(A155,'WetLitterbags placem_collection'!$O$4:$O$500,0)),"")</f>
        <v/>
      </c>
      <c r="P155" s="110" t="str">
        <f>IFERROR(INDEX('WetLitterbags placem_collection'!$A$3:$A$500,MATCH(A155,'WetLitterbags placem_collection'!$M$4:$M$500,0)),"")</f>
        <v/>
      </c>
      <c r="Q155" s="110" t="str">
        <f>IFERROR(INDEX('WetLitterbags placem_collection'!$A$3:$A$500,MATCH(A155,'WetLitterbags placem_collection'!$Q$4:$Q$500,0)),"")</f>
        <v/>
      </c>
    </row>
    <row r="156" spans="1:17" ht="13.95" customHeight="1">
      <c r="A156" s="179" t="s">
        <v>1493</v>
      </c>
      <c r="B156" s="110">
        <v>56</v>
      </c>
      <c r="C156" s="110">
        <v>0.74399999999999999</v>
      </c>
      <c r="E156" s="112">
        <v>42881</v>
      </c>
      <c r="N156" s="110" t="str">
        <f>IFERROR(INDEX('WetLitterbags placem_collection'!$A$3:$A$500,MATCH(A156,'WetLitterbags placem_collection'!$K$4:$K$500,0)),"")</f>
        <v/>
      </c>
      <c r="O156" s="110">
        <f>IFERROR(INDEX('WetLitterbags placem_collection'!$A$3:$A$500,MATCH(A156,'WetLitterbags placem_collection'!$O$4:$O$500,0)),"")</f>
        <v>55</v>
      </c>
      <c r="P156" s="110" t="str">
        <f>IFERROR(INDEX('WetLitterbags placem_collection'!$A$3:$A$500,MATCH(A156,'WetLitterbags placem_collection'!$M$4:$M$500,0)),"")</f>
        <v/>
      </c>
      <c r="Q156" s="110" t="str">
        <f>IFERROR(INDEX('WetLitterbags placem_collection'!$A$3:$A$500,MATCH(A156,'WetLitterbags placem_collection'!$Q$4:$Q$500,0)),"")</f>
        <v/>
      </c>
    </row>
    <row r="157" spans="1:17" ht="13.95" customHeight="1">
      <c r="A157" s="110" t="s">
        <v>1490</v>
      </c>
      <c r="B157" s="110">
        <v>212</v>
      </c>
      <c r="C157" s="110">
        <v>1.4097999999999999</v>
      </c>
      <c r="E157" s="112">
        <v>43123</v>
      </c>
      <c r="N157" s="110" t="str">
        <f>IFERROR(INDEX('WetLitterbags placem_collection'!$A$3:$A$500,MATCH(A157,'WetLitterbags placem_collection'!$K$4:$K$500,0)),"")</f>
        <v/>
      </c>
      <c r="O157" s="110">
        <f>IFERROR(INDEX('WetLitterbags placem_collection'!$A$3:$A$500,MATCH(A157,'WetLitterbags placem_collection'!$O$4:$O$500,0)),"")</f>
        <v>211</v>
      </c>
      <c r="P157" s="110" t="str">
        <f>IFERROR(INDEX('WetLitterbags placem_collection'!$A$3:$A$500,MATCH(A157,'WetLitterbags placem_collection'!$M$4:$M$500,0)),"")</f>
        <v/>
      </c>
      <c r="Q157" s="110" t="str">
        <f>IFERROR(INDEX('WetLitterbags placem_collection'!$A$3:$A$500,MATCH(A157,'WetLitterbags placem_collection'!$Q$4:$Q$500,0)),"")</f>
        <v/>
      </c>
    </row>
    <row r="158" spans="1:17" ht="13.95" customHeight="1">
      <c r="A158" s="110" t="s">
        <v>1489</v>
      </c>
      <c r="B158" s="110">
        <v>86</v>
      </c>
      <c r="C158" s="110">
        <v>0.74650000000000005</v>
      </c>
      <c r="E158" s="112">
        <v>43123</v>
      </c>
      <c r="N158" s="110" t="str">
        <f>IFERROR(INDEX('WetLitterbags placem_collection'!$A$3:$A$500,MATCH(A158,'WetLitterbags placem_collection'!$K$4:$K$500,0)),"")</f>
        <v/>
      </c>
      <c r="O158" s="110">
        <f>IFERROR(INDEX('WetLitterbags placem_collection'!$A$3:$A$500,MATCH(A158,'WetLitterbags placem_collection'!$O$4:$O$500,0)),"")</f>
        <v>85</v>
      </c>
      <c r="P158" s="110" t="str">
        <f>IFERROR(INDEX('WetLitterbags placem_collection'!$A$3:$A$500,MATCH(A158,'WetLitterbags placem_collection'!$M$4:$M$500,0)),"")</f>
        <v/>
      </c>
      <c r="Q158" s="110" t="str">
        <f>IFERROR(INDEX('WetLitterbags placem_collection'!$A$3:$A$500,MATCH(A158,'WetLitterbags placem_collection'!$Q$4:$Q$500,0)),"")</f>
        <v/>
      </c>
    </row>
    <row r="159" spans="1:17" ht="13.95" customHeight="1">
      <c r="A159" s="403" t="s">
        <v>1688</v>
      </c>
      <c r="B159" s="110">
        <v>177</v>
      </c>
      <c r="C159" s="110">
        <v>0.61299999999999999</v>
      </c>
      <c r="E159" s="112">
        <v>42881</v>
      </c>
      <c r="N159" s="110">
        <f>IFERROR(INDEX('WetLitterbags placem_collection'!$A$3:$A$500,MATCH(A159,'WetLitterbags placem_collection'!$K$4:$K$500,0)),"")</f>
        <v>176</v>
      </c>
      <c r="O159" s="110" t="str">
        <f>IFERROR(INDEX('WetLitterbags placem_collection'!$A$3:$A$500,MATCH(A159,'WetLitterbags placem_collection'!$O$4:$O$500,0)),"")</f>
        <v/>
      </c>
      <c r="P159" s="110" t="str">
        <f>IFERROR(INDEX('WetLitterbags placem_collection'!$A$3:$A$500,MATCH(A159,'WetLitterbags placem_collection'!$M$4:$M$500,0)),"")</f>
        <v/>
      </c>
      <c r="Q159" s="110" t="str">
        <f>IFERROR(INDEX('WetLitterbags placem_collection'!$A$3:$A$500,MATCH(A159,'WetLitterbags placem_collection'!$Q$4:$Q$500,0)),"")</f>
        <v/>
      </c>
    </row>
    <row r="160" spans="1:17" ht="13.95" customHeight="1">
      <c r="A160" s="110" t="s">
        <v>1487</v>
      </c>
      <c r="B160" s="110">
        <v>116</v>
      </c>
      <c r="C160" s="110">
        <v>0.61660000000000004</v>
      </c>
      <c r="E160" s="112">
        <v>43125</v>
      </c>
      <c r="N160" s="110" t="str">
        <f>IFERROR(INDEX('WetLitterbags placem_collection'!$A$3:$A$500,MATCH(A160,'WetLitterbags placem_collection'!$K$4:$K$500,0)),"")</f>
        <v/>
      </c>
      <c r="O160" s="110">
        <f>IFERROR(INDEX('WetLitterbags placem_collection'!$A$3:$A$500,MATCH(A160,'WetLitterbags placem_collection'!$O$4:$O$500,0)),"")</f>
        <v>115</v>
      </c>
      <c r="P160" s="110" t="str">
        <f>IFERROR(INDEX('WetLitterbags placem_collection'!$A$3:$A$500,MATCH(A160,'WetLitterbags placem_collection'!$M$4:$M$500,0)),"")</f>
        <v/>
      </c>
      <c r="Q160" s="110" t="str">
        <f>IFERROR(INDEX('WetLitterbags placem_collection'!$A$3:$A$500,MATCH(A160,'WetLitterbags placem_collection'!$Q$4:$Q$500,0)),"")</f>
        <v/>
      </c>
    </row>
    <row r="161" spans="1:17" ht="13.95" customHeight="1">
      <c r="A161" s="110" t="s">
        <v>1486</v>
      </c>
      <c r="B161" s="110" t="s">
        <v>2077</v>
      </c>
      <c r="C161" s="110">
        <v>0.626</v>
      </c>
      <c r="E161" s="112">
        <v>43122</v>
      </c>
      <c r="N161" s="110" t="str">
        <f>IFERROR(INDEX('WetLitterbags placem_collection'!$A$3:$A$500,MATCH(A161,'WetLitterbags placem_collection'!$K$4:$K$500,0)),"")</f>
        <v/>
      </c>
      <c r="O161" s="110">
        <f>IFERROR(INDEX('WetLitterbags placem_collection'!$A$3:$A$500,MATCH(A161,'WetLitterbags placem_collection'!$O$4:$O$500,0)),"")</f>
        <v>184</v>
      </c>
      <c r="P161" s="110" t="str">
        <f>IFERROR(INDEX('WetLitterbags placem_collection'!$A$3:$A$500,MATCH(A161,'WetLitterbags placem_collection'!$M$4:$M$500,0)),"")</f>
        <v/>
      </c>
      <c r="Q161" s="110" t="str">
        <f>IFERROR(INDEX('WetLitterbags placem_collection'!$A$3:$A$500,MATCH(A161,'WetLitterbags placem_collection'!$Q$4:$Q$500,0)),"")</f>
        <v/>
      </c>
    </row>
    <row r="162" spans="1:17" ht="13.95" customHeight="1">
      <c r="A162" s="110" t="s">
        <v>1485</v>
      </c>
      <c r="B162" s="110">
        <v>62</v>
      </c>
      <c r="C162" s="110">
        <v>0.9224</v>
      </c>
      <c r="D162" s="110" t="s">
        <v>2110</v>
      </c>
      <c r="E162" s="112">
        <v>43125</v>
      </c>
      <c r="N162" s="110">
        <f>IFERROR(INDEX('WetLitterbags placem_collection'!$A$3:$A$500,MATCH(A162,'WetLitterbags placem_collection'!$K$4:$K$500,0)),"")</f>
        <v>61</v>
      </c>
      <c r="O162" s="110" t="str">
        <f>IFERROR(INDEX('WetLitterbags placem_collection'!$A$3:$A$500,MATCH(A162,'WetLitterbags placem_collection'!$O$4:$O$500,0)),"")</f>
        <v/>
      </c>
      <c r="P162" s="110" t="str">
        <f>IFERROR(INDEX('WetLitterbags placem_collection'!$A$3:$A$500,MATCH(A162,'WetLitterbags placem_collection'!$M$4:$M$500,0)),"")</f>
        <v/>
      </c>
      <c r="Q162" s="110" t="str">
        <f>IFERROR(INDEX('WetLitterbags placem_collection'!$A$3:$A$500,MATCH(A162,'WetLitterbags placem_collection'!$Q$4:$Q$500,0)),"")</f>
        <v/>
      </c>
    </row>
    <row r="163" spans="1:17" ht="13.95" customHeight="1">
      <c r="A163" t="s">
        <v>1484</v>
      </c>
      <c r="B163" s="110">
        <v>39</v>
      </c>
      <c r="C163" s="110">
        <v>0.78520000000000001</v>
      </c>
      <c r="E163" s="112">
        <v>43123</v>
      </c>
      <c r="N163" s="110" t="str">
        <f>IFERROR(INDEX('WetLitterbags placem_collection'!$A$3:$A$500,MATCH(A163,'WetLitterbags placem_collection'!$K$4:$K$500,0)),"")</f>
        <v/>
      </c>
      <c r="O163" s="110">
        <f>IFERROR(INDEX('WetLitterbags placem_collection'!$A$3:$A$500,MATCH(A163,'WetLitterbags placem_collection'!$O$4:$O$500,0)),"")</f>
        <v>38</v>
      </c>
      <c r="P163" s="110" t="str">
        <f>IFERROR(INDEX('WetLitterbags placem_collection'!$A$3:$A$500,MATCH(A163,'WetLitterbags placem_collection'!$M$4:$M$500,0)),"")</f>
        <v/>
      </c>
      <c r="Q163" s="110" t="str">
        <f>IFERROR(INDEX('WetLitterbags placem_collection'!$A$3:$A$500,MATCH(A163,'WetLitterbags placem_collection'!$Q$4:$Q$500,0)),"")</f>
        <v/>
      </c>
    </row>
    <row r="164" spans="1:17" ht="13.95" customHeight="1">
      <c r="A164" s="110" t="s">
        <v>1483</v>
      </c>
      <c r="B164" s="110">
        <v>151</v>
      </c>
      <c r="C164" s="110">
        <v>0.86499999999999999</v>
      </c>
      <c r="E164" s="112">
        <v>42879</v>
      </c>
      <c r="N164" s="110">
        <f>IFERROR(INDEX('WetLitterbags placem_collection'!$A$3:$A$500,MATCH(A164,'WetLitterbags placem_collection'!$K$4:$K$500,0)),"")</f>
        <v>150</v>
      </c>
      <c r="O164" s="110" t="str">
        <f>IFERROR(INDEX('WetLitterbags placem_collection'!$A$3:$A$500,MATCH(A164,'WetLitterbags placem_collection'!$O$4:$O$500,0)),"")</f>
        <v/>
      </c>
      <c r="P164" s="110" t="str">
        <f>IFERROR(INDEX('WetLitterbags placem_collection'!$A$3:$A$500,MATCH(A164,'WetLitterbags placem_collection'!$M$4:$M$500,0)),"")</f>
        <v/>
      </c>
      <c r="Q164" s="110" t="str">
        <f>IFERROR(INDEX('WetLitterbags placem_collection'!$A$3:$A$500,MATCH(A164,'WetLitterbags placem_collection'!$Q$4:$Q$500,0)),"")</f>
        <v/>
      </c>
    </row>
    <row r="165" spans="1:17" ht="13.95" customHeight="1">
      <c r="A165" s="110" t="s">
        <v>1482</v>
      </c>
      <c r="B165" s="110" t="s">
        <v>2077</v>
      </c>
      <c r="C165" s="110">
        <v>0.629</v>
      </c>
      <c r="E165" s="112">
        <v>43122</v>
      </c>
      <c r="N165" s="110">
        <f>IFERROR(INDEX('WetLitterbags placem_collection'!$A$3:$A$500,MATCH(A165,'WetLitterbags placem_collection'!$K$4:$K$500,0)),"")</f>
        <v>1</v>
      </c>
      <c r="O165" s="110" t="str">
        <f>IFERROR(INDEX('WetLitterbags placem_collection'!$A$3:$A$500,MATCH(A165,'WetLitterbags placem_collection'!$O$4:$O$500,0)),"")</f>
        <v/>
      </c>
      <c r="P165" s="110" t="str">
        <f>IFERROR(INDEX('WetLitterbags placem_collection'!$A$3:$A$500,MATCH(A165,'WetLitterbags placem_collection'!$M$4:$M$500,0)),"")</f>
        <v/>
      </c>
      <c r="Q165" s="110" t="str">
        <f>IFERROR(INDEX('WetLitterbags placem_collection'!$A$3:$A$500,MATCH(A165,'WetLitterbags placem_collection'!$Q$4:$Q$500,0)),"")</f>
        <v/>
      </c>
    </row>
    <row r="166" spans="1:17" ht="13.95" customHeight="1">
      <c r="A166" s="404" t="s">
        <v>1541</v>
      </c>
      <c r="B166" s="110">
        <v>77</v>
      </c>
      <c r="C166" s="110">
        <v>1.012</v>
      </c>
      <c r="E166" s="112">
        <v>42879</v>
      </c>
      <c r="N166" s="110" t="str">
        <f>IFERROR(INDEX('WetLitterbags placem_collection'!$A$3:$A$500,MATCH(A166,'WetLitterbags placem_collection'!$K$4:$K$500,0)),"")</f>
        <v/>
      </c>
      <c r="O166" s="110">
        <f>IFERROR(INDEX('WetLitterbags placem_collection'!$A$3:$A$500,MATCH(A166,'WetLitterbags placem_collection'!$O$4:$O$500,0)),"")</f>
        <v>76</v>
      </c>
      <c r="P166" s="110" t="str">
        <f>IFERROR(INDEX('WetLitterbags placem_collection'!$A$3:$A$500,MATCH(A166,'WetLitterbags placem_collection'!$M$4:$M$500,0)),"")</f>
        <v/>
      </c>
      <c r="Q166" s="110" t="str">
        <f>IFERROR(INDEX('WetLitterbags placem_collection'!$A$3:$A$500,MATCH(A166,'WetLitterbags placem_collection'!$Q$4:$Q$500,0)),"")</f>
        <v/>
      </c>
    </row>
    <row r="167" spans="1:17" ht="13.95" customHeight="1">
      <c r="A167" s="110" t="s">
        <v>1479</v>
      </c>
      <c r="B167" s="110" t="s">
        <v>2077</v>
      </c>
      <c r="C167" s="110">
        <v>0.67520000000000002</v>
      </c>
      <c r="E167" s="112">
        <v>43119</v>
      </c>
      <c r="N167" s="110">
        <f>IFERROR(INDEX('WetLitterbags placem_collection'!$A$3:$A$500,MATCH(A167,'WetLitterbags placem_collection'!$K$4:$K$500,0)),"")</f>
        <v>16</v>
      </c>
      <c r="O167" s="110" t="str">
        <f>IFERROR(INDEX('WetLitterbags placem_collection'!$A$3:$A$500,MATCH(A167,'WetLitterbags placem_collection'!$O$4:$O$500,0)),"")</f>
        <v/>
      </c>
      <c r="P167" s="110" t="str">
        <f>IFERROR(INDEX('WetLitterbags placem_collection'!$A$3:$A$500,MATCH(A167,'WetLitterbags placem_collection'!$M$4:$M$500,0)),"")</f>
        <v/>
      </c>
      <c r="Q167" s="110" t="str">
        <f>IFERROR(INDEX('WetLitterbags placem_collection'!$A$3:$A$500,MATCH(A167,'WetLitterbags placem_collection'!$Q$4:$Q$500,0)),"")</f>
        <v/>
      </c>
    </row>
    <row r="168" spans="1:17" ht="13.95" customHeight="1">
      <c r="A168" s="110" t="s">
        <v>1478</v>
      </c>
      <c r="B168" s="110">
        <v>213</v>
      </c>
      <c r="C168" s="110">
        <v>0.71399999999999997</v>
      </c>
      <c r="E168" s="112">
        <v>42881</v>
      </c>
      <c r="N168" s="110">
        <f>IFERROR(INDEX('WetLitterbags placem_collection'!$A$3:$A$500,MATCH(A168,'WetLitterbags placem_collection'!$K$4:$K$500,0)),"")</f>
        <v>212</v>
      </c>
      <c r="O168" s="110" t="str">
        <f>IFERROR(INDEX('WetLitterbags placem_collection'!$A$3:$A$500,MATCH(A168,'WetLitterbags placem_collection'!$O$4:$O$500,0)),"")</f>
        <v/>
      </c>
      <c r="P168" s="110" t="str">
        <f>IFERROR(INDEX('WetLitterbags placem_collection'!$A$3:$A$500,MATCH(A168,'WetLitterbags placem_collection'!$M$4:$M$500,0)),"")</f>
        <v/>
      </c>
      <c r="Q168" s="110" t="str">
        <f>IFERROR(INDEX('WetLitterbags placem_collection'!$A$3:$A$500,MATCH(A168,'WetLitterbags placem_collection'!$Q$4:$Q$500,0)),"")</f>
        <v/>
      </c>
    </row>
    <row r="169" spans="1:17" ht="13.95" customHeight="1">
      <c r="A169" s="110" t="s">
        <v>1477</v>
      </c>
      <c r="B169" s="110">
        <v>18</v>
      </c>
      <c r="C169" s="110">
        <v>0.72099999999999997</v>
      </c>
      <c r="E169" s="112">
        <v>42879</v>
      </c>
      <c r="N169" s="110" t="str">
        <f>IFERROR(INDEX('WetLitterbags placem_collection'!$A$3:$A$500,MATCH(A169,'WetLitterbags placem_collection'!$K$4:$K$500,0)),"")</f>
        <v/>
      </c>
      <c r="O169" s="110">
        <f>IFERROR(INDEX('WetLitterbags placem_collection'!$A$3:$A$500,MATCH(A169,'WetLitterbags placem_collection'!$O$4:$O$500,0)),"")</f>
        <v>17</v>
      </c>
      <c r="P169" s="110" t="str">
        <f>IFERROR(INDEX('WetLitterbags placem_collection'!$A$3:$A$500,MATCH(A169,'WetLitterbags placem_collection'!$M$4:$M$500,0)),"")</f>
        <v/>
      </c>
      <c r="Q169" s="110" t="str">
        <f>IFERROR(INDEX('WetLitterbags placem_collection'!$A$3:$A$500,MATCH(A169,'WetLitterbags placem_collection'!$Q$4:$Q$500,0)),"")</f>
        <v/>
      </c>
    </row>
    <row r="170" spans="1:17" ht="13.95" customHeight="1">
      <c r="A170" s="110" t="s">
        <v>1476</v>
      </c>
      <c r="B170" s="113">
        <v>206</v>
      </c>
      <c r="C170" s="110">
        <v>0.77700000000000002</v>
      </c>
      <c r="E170" s="112">
        <v>42879</v>
      </c>
      <c r="N170" s="110">
        <f>IFERROR(INDEX('WetLitterbags placem_collection'!$A$3:$A$500,MATCH(A170,'WetLitterbags placem_collection'!$K$4:$K$500,0)),"")</f>
        <v>206</v>
      </c>
      <c r="O170" s="110" t="str">
        <f>IFERROR(INDEX('WetLitterbags placem_collection'!$A$3:$A$500,MATCH(A170,'WetLitterbags placem_collection'!$O$4:$O$500,0)),"")</f>
        <v/>
      </c>
      <c r="P170" s="110" t="str">
        <f>IFERROR(INDEX('WetLitterbags placem_collection'!$A$3:$A$500,MATCH(A170,'WetLitterbags placem_collection'!$M$4:$M$500,0)),"")</f>
        <v/>
      </c>
      <c r="Q170" s="110" t="str">
        <f>IFERROR(INDEX('WetLitterbags placem_collection'!$A$3:$A$500,MATCH(A170,'WetLitterbags placem_collection'!$Q$4:$Q$500,0)),"")</f>
        <v/>
      </c>
    </row>
    <row r="171" spans="1:17" ht="13.95" customHeight="1">
      <c r="A171" s="110" t="s">
        <v>1475</v>
      </c>
      <c r="B171" s="110" t="s">
        <v>2077</v>
      </c>
      <c r="C171" s="110">
        <v>0.74019999999999997</v>
      </c>
      <c r="E171" s="112">
        <v>43122</v>
      </c>
      <c r="N171" s="110">
        <f>IFERROR(INDEX('WetLitterbags placem_collection'!$A$3:$A$500,MATCH(A171,'WetLitterbags placem_collection'!$K$4:$K$500,0)),"")</f>
        <v>21</v>
      </c>
      <c r="O171" s="110" t="str">
        <f>IFERROR(INDEX('WetLitterbags placem_collection'!$A$3:$A$500,MATCH(A171,'WetLitterbags placem_collection'!$O$4:$O$500,0)),"")</f>
        <v/>
      </c>
      <c r="P171" s="110" t="str">
        <f>IFERROR(INDEX('WetLitterbags placem_collection'!$A$3:$A$500,MATCH(A171,'WetLitterbags placem_collection'!$M$4:$M$500,0)),"")</f>
        <v/>
      </c>
      <c r="Q171" s="110" t="str">
        <f>IFERROR(INDEX('WetLitterbags placem_collection'!$A$3:$A$500,MATCH(A171,'WetLitterbags placem_collection'!$Q$4:$Q$500,0)),"")</f>
        <v/>
      </c>
    </row>
    <row r="172" spans="1:17" ht="13.95" customHeight="1">
      <c r="A172" t="s">
        <v>1474</v>
      </c>
      <c r="B172" s="110">
        <v>158</v>
      </c>
      <c r="C172" s="110">
        <v>0.26600000000000001</v>
      </c>
      <c r="D172" s="110" t="s">
        <v>2068</v>
      </c>
      <c r="E172" s="112">
        <v>42879</v>
      </c>
      <c r="N172" s="110">
        <f>IFERROR(INDEX('WetLitterbags placem_collection'!$A$3:$A$500,MATCH(A172,'WetLitterbags placem_collection'!$K$4:$K$500,0)),"")</f>
        <v>157</v>
      </c>
      <c r="O172" s="110" t="str">
        <f>IFERROR(INDEX('WetLitterbags placem_collection'!$A$3:$A$500,MATCH(A172,'WetLitterbags placem_collection'!$O$4:$O$500,0)),"")</f>
        <v/>
      </c>
      <c r="P172" s="110" t="str">
        <f>IFERROR(INDEX('WetLitterbags placem_collection'!$A$3:$A$500,MATCH(A172,'WetLitterbags placem_collection'!$M$4:$M$500,0)),"")</f>
        <v/>
      </c>
      <c r="Q172" s="110" t="str">
        <f>IFERROR(INDEX('WetLitterbags placem_collection'!$A$3:$A$500,MATCH(A172,'WetLitterbags placem_collection'!$Q$4:$Q$500,0)),"")</f>
        <v/>
      </c>
    </row>
    <row r="173" spans="1:17" ht="13.95" customHeight="1">
      <c r="A173" s="110" t="s">
        <v>1473</v>
      </c>
      <c r="B173" s="110" t="s">
        <v>2077</v>
      </c>
      <c r="C173" s="110">
        <v>0.41870000000000002</v>
      </c>
      <c r="E173" s="112">
        <v>43122</v>
      </c>
      <c r="N173" s="110" t="str">
        <f>IFERROR(INDEX('WetLitterbags placem_collection'!$A$3:$A$500,MATCH(A173,'WetLitterbags placem_collection'!$K$4:$K$500,0)),"")</f>
        <v/>
      </c>
      <c r="O173" s="110">
        <f>IFERROR(INDEX('WetLitterbags placem_collection'!$A$3:$A$500,MATCH(A173,'WetLitterbags placem_collection'!$O$4:$O$500,0)),"")</f>
        <v>4</v>
      </c>
      <c r="P173" s="110" t="str">
        <f>IFERROR(INDEX('WetLitterbags placem_collection'!$A$3:$A$500,MATCH(A173,'WetLitterbags placem_collection'!$M$4:$M$500,0)),"")</f>
        <v/>
      </c>
      <c r="Q173" s="110" t="str">
        <f>IFERROR(INDEX('WetLitterbags placem_collection'!$A$3:$A$500,MATCH(A173,'WetLitterbags placem_collection'!$Q$4:$Q$500,0)),"")</f>
        <v/>
      </c>
    </row>
    <row r="174" spans="1:17" ht="13.95" customHeight="1">
      <c r="A174" t="s">
        <v>1471</v>
      </c>
      <c r="B174" s="110">
        <v>74</v>
      </c>
      <c r="C174" s="110">
        <v>0.74199999999999999</v>
      </c>
      <c r="E174" s="112">
        <v>42879</v>
      </c>
      <c r="N174" s="110" t="str">
        <f>IFERROR(INDEX('WetLitterbags placem_collection'!$A$3:$A$500,MATCH(A174,'WetLitterbags placem_collection'!$K$4:$K$500,0)),"")</f>
        <v/>
      </c>
      <c r="O174" s="110">
        <f>IFERROR(INDEX('WetLitterbags placem_collection'!$A$3:$A$500,MATCH(A174,'WetLitterbags placem_collection'!$O$4:$O$500,0)),"")</f>
        <v>73</v>
      </c>
      <c r="P174" s="110" t="str">
        <f>IFERROR(INDEX('WetLitterbags placem_collection'!$A$3:$A$500,MATCH(A174,'WetLitterbags placem_collection'!$M$4:$M$500,0)),"")</f>
        <v/>
      </c>
      <c r="Q174" s="110" t="str">
        <f>IFERROR(INDEX('WetLitterbags placem_collection'!$A$3:$A$500,MATCH(A174,'WetLitterbags placem_collection'!$Q$4:$Q$500,0)),"")</f>
        <v/>
      </c>
    </row>
    <row r="175" spans="1:17" ht="13.95" customHeight="1">
      <c r="A175" s="110" t="s">
        <v>1469</v>
      </c>
      <c r="B175" s="110">
        <v>214</v>
      </c>
      <c r="C175" s="110">
        <v>0.63400000000000001</v>
      </c>
      <c r="E175" s="112">
        <v>42878</v>
      </c>
      <c r="N175" s="110" t="str">
        <f>IFERROR(INDEX('WetLitterbags placem_collection'!$A$3:$A$500,MATCH(A175,'WetLitterbags placem_collection'!$K$4:$K$500,0)),"")</f>
        <v/>
      </c>
      <c r="O175" s="110">
        <f>IFERROR(INDEX('WetLitterbags placem_collection'!$A$3:$A$500,MATCH(A175,'WetLitterbags placem_collection'!$O$4:$O$500,0)),"")</f>
        <v>213</v>
      </c>
      <c r="P175" s="110" t="str">
        <f>IFERROR(INDEX('WetLitterbags placem_collection'!$A$3:$A$500,MATCH(A175,'WetLitterbags placem_collection'!$M$4:$M$500,0)),"")</f>
        <v/>
      </c>
      <c r="Q175" s="110" t="str">
        <f>IFERROR(INDEX('WetLitterbags placem_collection'!$A$3:$A$500,MATCH(A175,'WetLitterbags placem_collection'!$Q$4:$Q$500,0)),"")</f>
        <v/>
      </c>
    </row>
    <row r="176" spans="1:17" ht="13.95" customHeight="1">
      <c r="A176" s="110" t="s">
        <v>1468</v>
      </c>
      <c r="B176" s="110">
        <v>40</v>
      </c>
      <c r="C176" s="110">
        <v>0.89800000000000002</v>
      </c>
      <c r="E176" s="112">
        <v>42881</v>
      </c>
      <c r="N176" s="110">
        <f>IFERROR(INDEX('WetLitterbags placem_collection'!$A$3:$A$500,MATCH(A176,'WetLitterbags placem_collection'!$K$4:$K$500,0)),"")</f>
        <v>39</v>
      </c>
      <c r="O176" s="110" t="str">
        <f>IFERROR(INDEX('WetLitterbags placem_collection'!$A$3:$A$500,MATCH(A176,'WetLitterbags placem_collection'!$O$4:$O$500,0)),"")</f>
        <v/>
      </c>
      <c r="P176" s="110" t="str">
        <f>IFERROR(INDEX('WetLitterbags placem_collection'!$A$3:$A$500,MATCH(A176,'WetLitterbags placem_collection'!$M$4:$M$500,0)),"")</f>
        <v/>
      </c>
      <c r="Q176" s="110" t="str">
        <f>IFERROR(INDEX('WetLitterbags placem_collection'!$A$3:$A$500,MATCH(A176,'WetLitterbags placem_collection'!$Q$4:$Q$500,0)),"")</f>
        <v/>
      </c>
    </row>
    <row r="177" spans="1:17" ht="13.95" customHeight="1">
      <c r="A177" s="110" t="s">
        <v>1467</v>
      </c>
      <c r="B177" s="110" t="s">
        <v>2077</v>
      </c>
      <c r="C177" s="110">
        <v>0.66169999999999995</v>
      </c>
      <c r="E177" s="112">
        <v>43122</v>
      </c>
      <c r="N177" s="110">
        <f>IFERROR(INDEX('WetLitterbags placem_collection'!$A$3:$A$500,MATCH(A177,'WetLitterbags placem_collection'!$K$4:$K$500,0)),"")</f>
        <v>26</v>
      </c>
      <c r="O177" s="110" t="str">
        <f>IFERROR(INDEX('WetLitterbags placem_collection'!$A$3:$A$500,MATCH(A177,'WetLitterbags placem_collection'!$O$4:$O$500,0)),"")</f>
        <v/>
      </c>
      <c r="P177" s="110" t="str">
        <f>IFERROR(INDEX('WetLitterbags placem_collection'!$A$3:$A$500,MATCH(A177,'WetLitterbags placem_collection'!$M$4:$M$500,0)),"")</f>
        <v/>
      </c>
      <c r="Q177" s="110" t="str">
        <f>IFERROR(INDEX('WetLitterbags placem_collection'!$A$3:$A$500,MATCH(A177,'WetLitterbags placem_collection'!$Q$4:$Q$500,0)),"")</f>
        <v/>
      </c>
    </row>
    <row r="178" spans="1:17" ht="13.95" customHeight="1">
      <c r="A178" s="110" t="s">
        <v>1466</v>
      </c>
      <c r="B178" s="110" t="s">
        <v>2077</v>
      </c>
      <c r="C178" s="110">
        <v>0.63959999999999995</v>
      </c>
      <c r="E178" s="112">
        <v>43122</v>
      </c>
      <c r="N178" s="110" t="str">
        <f>IFERROR(INDEX('WetLitterbags placem_collection'!$A$3:$A$500,MATCH(A178,'WetLitterbags placem_collection'!$K$4:$K$500,0)),"")</f>
        <v/>
      </c>
      <c r="O178" s="110">
        <f>IFERROR(INDEX('WetLitterbags placem_collection'!$A$3:$A$500,MATCH(A178,'WetLitterbags placem_collection'!$O$4:$O$500,0)),"")</f>
        <v>192</v>
      </c>
      <c r="P178" s="110" t="str">
        <f>IFERROR(INDEX('WetLitterbags placem_collection'!$A$3:$A$500,MATCH(A178,'WetLitterbags placem_collection'!$M$4:$M$500,0)),"")</f>
        <v/>
      </c>
      <c r="Q178" s="110" t="str">
        <f>IFERROR(INDEX('WetLitterbags placem_collection'!$A$3:$A$500,MATCH(A178,'WetLitterbags placem_collection'!$Q$4:$Q$500,0)),"")</f>
        <v/>
      </c>
    </row>
    <row r="179" spans="1:17" ht="13.95" customHeight="1">
      <c r="A179" s="110" t="s">
        <v>1465</v>
      </c>
      <c r="B179" s="110">
        <v>183</v>
      </c>
      <c r="C179" s="110">
        <v>0.71799999999999997</v>
      </c>
      <c r="E179" s="112">
        <v>42881</v>
      </c>
      <c r="N179" s="110">
        <f>IFERROR(INDEX('WetLitterbags placem_collection'!$A$3:$A$500,MATCH(A179,'WetLitterbags placem_collection'!$K$4:$K$500,0)),"")</f>
        <v>182</v>
      </c>
      <c r="O179" s="110" t="str">
        <f>IFERROR(INDEX('WetLitterbags placem_collection'!$A$3:$A$500,MATCH(A179,'WetLitterbags placem_collection'!$O$4:$O$500,0)),"")</f>
        <v/>
      </c>
      <c r="P179" s="110" t="str">
        <f>IFERROR(INDEX('WetLitterbags placem_collection'!$A$3:$A$500,MATCH(A179,'WetLitterbags placem_collection'!$M$4:$M$500,0)),"")</f>
        <v/>
      </c>
      <c r="Q179" s="110" t="str">
        <f>IFERROR(INDEX('WetLitterbags placem_collection'!$A$3:$A$500,MATCH(A179,'WetLitterbags placem_collection'!$Q$4:$Q$500,0)),"")</f>
        <v/>
      </c>
    </row>
    <row r="180" spans="1:17" ht="13.95" customHeight="1">
      <c r="A180" s="110" t="s">
        <v>1463</v>
      </c>
      <c r="B180" s="110" t="s">
        <v>2077</v>
      </c>
      <c r="C180" s="110">
        <v>0.7167</v>
      </c>
      <c r="E180" s="112">
        <v>43122</v>
      </c>
      <c r="N180" s="110" t="str">
        <f>IFERROR(INDEX('WetLitterbags placem_collection'!$A$3:$A$500,MATCH(A180,'WetLitterbags placem_collection'!$K$4:$K$500,0)),"")</f>
        <v/>
      </c>
      <c r="O180" s="110">
        <f>IFERROR(INDEX('WetLitterbags placem_collection'!$A$3:$A$500,MATCH(A180,'WetLitterbags placem_collection'!$O$4:$O$500,0)),"")</f>
        <v>217</v>
      </c>
      <c r="P180" s="110" t="str">
        <f>IFERROR(INDEX('WetLitterbags placem_collection'!$A$3:$A$500,MATCH(A180,'WetLitterbags placem_collection'!$M$4:$M$500,0)),"")</f>
        <v/>
      </c>
      <c r="Q180" s="110" t="str">
        <f>IFERROR(INDEX('WetLitterbags placem_collection'!$A$3:$A$500,MATCH(A180,'WetLitterbags placem_collection'!$Q$4:$Q$500,0)),"")</f>
        <v/>
      </c>
    </row>
    <row r="181" spans="1:17" ht="13.95" customHeight="1">
      <c r="A181" s="110" t="s">
        <v>1459</v>
      </c>
      <c r="B181" s="110">
        <v>192</v>
      </c>
      <c r="C181" s="110">
        <v>0.66100000000000003</v>
      </c>
      <c r="E181" s="112">
        <v>42881</v>
      </c>
      <c r="N181" s="110">
        <f>IFERROR(INDEX('WetLitterbags placem_collection'!$A$3:$A$500,MATCH(A181,'WetLitterbags placem_collection'!$K$4:$K$500,0)),"")</f>
        <v>191</v>
      </c>
      <c r="O181" s="110" t="str">
        <f>IFERROR(INDEX('WetLitterbags placem_collection'!$A$3:$A$500,MATCH(A181,'WetLitterbags placem_collection'!$O$4:$O$500,0)),"")</f>
        <v/>
      </c>
      <c r="P181" s="110" t="str">
        <f>IFERROR(INDEX('WetLitterbags placem_collection'!$A$3:$A$500,MATCH(A181,'WetLitterbags placem_collection'!$M$4:$M$500,0)),"")</f>
        <v/>
      </c>
      <c r="Q181" s="110" t="str">
        <f>IFERROR(INDEX('WetLitterbags placem_collection'!$A$3:$A$500,MATCH(A181,'WetLitterbags placem_collection'!$Q$4:$Q$500,0)),"")</f>
        <v/>
      </c>
    </row>
    <row r="182" spans="1:17" ht="13.95" customHeight="1">
      <c r="A182" s="110" t="s">
        <v>1458</v>
      </c>
      <c r="B182" s="110">
        <v>90</v>
      </c>
      <c r="C182" s="110">
        <v>1.0779000000000001</v>
      </c>
      <c r="D182" s="167" t="s">
        <v>2469</v>
      </c>
      <c r="E182" s="112">
        <v>43125</v>
      </c>
      <c r="N182" s="110">
        <f>IFERROR(INDEX('WetLitterbags placem_collection'!$A$3:$A$500,MATCH(A182,'WetLitterbags placem_collection'!$K$4:$K$500,0)),"")</f>
        <v>89</v>
      </c>
      <c r="O182" s="110" t="str">
        <f>IFERROR(INDEX('WetLitterbags placem_collection'!$A$3:$A$500,MATCH(A182,'WetLitterbags placem_collection'!$O$4:$O$500,0)),"")</f>
        <v/>
      </c>
      <c r="P182" s="110" t="str">
        <f>IFERROR(INDEX('WetLitterbags placem_collection'!$A$3:$A$500,MATCH(A182,'WetLitterbags placem_collection'!$M$4:$M$500,0)),"")</f>
        <v/>
      </c>
      <c r="Q182" s="110" t="str">
        <f>IFERROR(INDEX('WetLitterbags placem_collection'!$A$3:$A$500,MATCH(A182,'WetLitterbags placem_collection'!$Q$4:$Q$500,0)),"")</f>
        <v/>
      </c>
    </row>
    <row r="183" spans="1:17" ht="13.95" customHeight="1">
      <c r="A183" s="110" t="s">
        <v>1457</v>
      </c>
      <c r="B183" s="110">
        <v>58</v>
      </c>
      <c r="C183" s="110">
        <v>0.97009999999999996</v>
      </c>
      <c r="E183" s="112">
        <v>43123</v>
      </c>
      <c r="N183" s="110" t="str">
        <f>IFERROR(INDEX('WetLitterbags placem_collection'!$A$3:$A$500,MATCH(A183,'WetLitterbags placem_collection'!$K$4:$K$500,0)),"")</f>
        <v/>
      </c>
      <c r="O183" s="110">
        <f>IFERROR(INDEX('WetLitterbags placem_collection'!$A$3:$A$500,MATCH(A183,'WetLitterbags placem_collection'!$O$4:$O$500,0)),"")</f>
        <v>57</v>
      </c>
      <c r="P183" s="110" t="str">
        <f>IFERROR(INDEX('WetLitterbags placem_collection'!$A$3:$A$500,MATCH(A183,'WetLitterbags placem_collection'!$M$4:$M$500,0)),"")</f>
        <v/>
      </c>
      <c r="Q183" s="110" t="str">
        <f>IFERROR(INDEX('WetLitterbags placem_collection'!$A$3:$A$500,MATCH(A183,'WetLitterbags placem_collection'!$Q$4:$Q$500,0)),"")</f>
        <v/>
      </c>
    </row>
    <row r="184" spans="1:17" ht="13.95" customHeight="1">
      <c r="A184" s="110" t="s">
        <v>1456</v>
      </c>
      <c r="B184" s="110">
        <v>77</v>
      </c>
      <c r="C184" s="110">
        <v>0.94699999999999995</v>
      </c>
      <c r="E184" s="112">
        <v>42879</v>
      </c>
      <c r="N184" s="110">
        <f>IFERROR(INDEX('WetLitterbags placem_collection'!$A$3:$A$500,MATCH(A184,'WetLitterbags placem_collection'!$K$4:$K$500,0)),"")</f>
        <v>76</v>
      </c>
      <c r="O184" s="110" t="str">
        <f>IFERROR(INDEX('WetLitterbags placem_collection'!$A$3:$A$500,MATCH(A184,'WetLitterbags placem_collection'!$O$4:$O$500,0)),"")</f>
        <v/>
      </c>
      <c r="P184" s="110" t="str">
        <f>IFERROR(INDEX('WetLitterbags placem_collection'!$A$3:$A$500,MATCH(A184,'WetLitterbags placem_collection'!$M$4:$M$500,0)),"")</f>
        <v/>
      </c>
      <c r="Q184" s="110" t="str">
        <f>IFERROR(INDEX('WetLitterbags placem_collection'!$A$3:$A$500,MATCH(A184,'WetLitterbags placem_collection'!$Q$4:$Q$500,0)),"")</f>
        <v/>
      </c>
    </row>
    <row r="185" spans="1:17" ht="13.95" customHeight="1">
      <c r="A185" s="110" t="s">
        <v>1455</v>
      </c>
      <c r="B185" s="110" t="s">
        <v>2083</v>
      </c>
      <c r="C185" s="110">
        <v>0.62809999999999999</v>
      </c>
      <c r="D185" s="110" t="s">
        <v>2091</v>
      </c>
      <c r="E185" s="112">
        <v>43125</v>
      </c>
      <c r="G185"/>
      <c r="N185" s="110">
        <f>IFERROR(INDEX('WetLitterbags placem_collection'!$A$3:$A$500,MATCH(A185,'WetLitterbags placem_collection'!$K$4:$K$500,0)),"")</f>
        <v>12</v>
      </c>
      <c r="O185" s="110" t="str">
        <f>IFERROR(INDEX('WetLitterbags placem_collection'!$A$3:$A$500,MATCH(A185,'WetLitterbags placem_collection'!$O$4:$O$500,0)),"")</f>
        <v/>
      </c>
      <c r="P185" s="110" t="str">
        <f>IFERROR(INDEX('WetLitterbags placem_collection'!$A$3:$A$500,MATCH(A185,'WetLitterbags placem_collection'!$M$4:$M$500,0)),"")</f>
        <v/>
      </c>
      <c r="Q185" s="110" t="str">
        <f>IFERROR(INDEX('WetLitterbags placem_collection'!$A$3:$A$500,MATCH(A185,'WetLitterbags placem_collection'!$Q$4:$Q$500,0)),"")</f>
        <v/>
      </c>
    </row>
    <row r="186" spans="1:17" ht="13.95" customHeight="1">
      <c r="A186" s="110" t="s">
        <v>1451</v>
      </c>
      <c r="B186" s="110">
        <v>52</v>
      </c>
      <c r="C186" s="110">
        <v>0.88200000000000001</v>
      </c>
      <c r="E186" s="112">
        <v>42878</v>
      </c>
      <c r="G186"/>
      <c r="N186" s="110" t="str">
        <f>IFERROR(INDEX('WetLitterbags placem_collection'!$A$3:$A$500,MATCH(A186,'WetLitterbags placem_collection'!$K$4:$K$500,0)),"")</f>
        <v/>
      </c>
      <c r="O186" s="110">
        <f>IFERROR(INDEX('WetLitterbags placem_collection'!$A$3:$A$500,MATCH(A186,'WetLitterbags placem_collection'!$O$4:$O$500,0)),"")</f>
        <v>51</v>
      </c>
      <c r="P186" s="110" t="str">
        <f>IFERROR(INDEX('WetLitterbags placem_collection'!$A$3:$A$500,MATCH(A186,'WetLitterbags placem_collection'!$M$4:$M$500,0)),"")</f>
        <v/>
      </c>
      <c r="Q186" s="110" t="str">
        <f>IFERROR(INDEX('WetLitterbags placem_collection'!$A$3:$A$500,MATCH(A186,'WetLitterbags placem_collection'!$Q$4:$Q$500,0)),"")</f>
        <v/>
      </c>
    </row>
    <row r="187" spans="1:17" ht="13.95" customHeight="1">
      <c r="A187" s="110" t="s">
        <v>1450</v>
      </c>
      <c r="B187">
        <v>59</v>
      </c>
      <c r="C187" s="110">
        <v>0.90200000000000002</v>
      </c>
      <c r="E187" s="112">
        <v>42878</v>
      </c>
      <c r="G187"/>
      <c r="N187" s="110" t="str">
        <f>IFERROR(INDEX('WetLitterbags placem_collection'!$A$3:$A$500,MATCH(A187,'WetLitterbags placem_collection'!$K$4:$K$500,0)),"")</f>
        <v/>
      </c>
      <c r="O187" s="110">
        <f>IFERROR(INDEX('WetLitterbags placem_collection'!$A$3:$A$500,MATCH(A187,'WetLitterbags placem_collection'!$O$4:$O$500,0)),"")</f>
        <v>58</v>
      </c>
      <c r="P187" s="110" t="str">
        <f>IFERROR(INDEX('WetLitterbags placem_collection'!$A$3:$A$500,MATCH(A187,'WetLitterbags placem_collection'!$M$4:$M$500,0)),"")</f>
        <v/>
      </c>
      <c r="Q187" s="110" t="str">
        <f>IFERROR(INDEX('WetLitterbags placem_collection'!$A$3:$A$500,MATCH(A187,'WetLitterbags placem_collection'!$Q$4:$Q$500,0)),"")</f>
        <v/>
      </c>
    </row>
    <row r="188" spans="1:17" ht="13.95" customHeight="1">
      <c r="A188" s="110" t="s">
        <v>1448</v>
      </c>
      <c r="B188" s="110">
        <v>45</v>
      </c>
      <c r="C188" s="110">
        <v>0.77400000000000002</v>
      </c>
      <c r="E188" s="112">
        <v>43123</v>
      </c>
      <c r="G188"/>
      <c r="N188" s="110" t="str">
        <f>IFERROR(INDEX('WetLitterbags placem_collection'!$A$3:$A$500,MATCH(A188,'WetLitterbags placem_collection'!$K$4:$K$500,0)),"")</f>
        <v/>
      </c>
      <c r="O188" s="110">
        <f>IFERROR(INDEX('WetLitterbags placem_collection'!$A$3:$A$500,MATCH(A188,'WetLitterbags placem_collection'!$O$4:$O$500,0)),"")</f>
        <v>44</v>
      </c>
      <c r="P188" s="110" t="str">
        <f>IFERROR(INDEX('WetLitterbags placem_collection'!$A$3:$A$500,MATCH(A188,'WetLitterbags placem_collection'!$M$4:$M$500,0)),"")</f>
        <v/>
      </c>
      <c r="Q188" s="110" t="str">
        <f>IFERROR(INDEX('WetLitterbags placem_collection'!$A$3:$A$500,MATCH(A188,'WetLitterbags placem_collection'!$Q$4:$Q$500,0)),"")</f>
        <v/>
      </c>
    </row>
    <row r="189" spans="1:17" ht="13.95" customHeight="1">
      <c r="A189" s="110" t="s">
        <v>1447</v>
      </c>
      <c r="B189" s="110">
        <v>75</v>
      </c>
      <c r="C189" s="110">
        <v>0.82299999999999995</v>
      </c>
      <c r="E189" s="112">
        <v>42881</v>
      </c>
      <c r="G189" s="180" t="s">
        <v>2066</v>
      </c>
      <c r="N189" s="110" t="str">
        <f>IFERROR(INDEX('WetLitterbags placem_collection'!$A$3:$A$500,MATCH(A189,'WetLitterbags placem_collection'!$K$4:$K$500,0)),"")</f>
        <v/>
      </c>
      <c r="O189" s="110">
        <f>IFERROR(INDEX('WetLitterbags placem_collection'!$A$3:$A$500,MATCH(A189,'WetLitterbags placem_collection'!$O$4:$O$500,0)),"")</f>
        <v>75</v>
      </c>
      <c r="P189" s="110" t="str">
        <f>IFERROR(INDEX('WetLitterbags placem_collection'!$A$3:$A$500,MATCH(A189,'WetLitterbags placem_collection'!$M$4:$M$500,0)),"")</f>
        <v/>
      </c>
      <c r="Q189" s="110" t="str">
        <f>IFERROR(INDEX('WetLitterbags placem_collection'!$A$3:$A$500,MATCH(A189,'WetLitterbags placem_collection'!$Q$4:$Q$500,0)),"")</f>
        <v/>
      </c>
    </row>
    <row r="190" spans="1:17" ht="13.95" customHeight="1">
      <c r="A190" s="110" t="s">
        <v>1446</v>
      </c>
      <c r="B190" s="110">
        <v>209</v>
      </c>
      <c r="C190" s="110">
        <v>0.748</v>
      </c>
      <c r="E190" s="112">
        <v>42878</v>
      </c>
      <c r="G190" s="180" t="s">
        <v>2066</v>
      </c>
      <c r="N190" s="110">
        <f>IFERROR(INDEX('WetLitterbags placem_collection'!$A$3:$A$500,MATCH(A190,'WetLitterbags placem_collection'!$K$4:$K$500,0)),"")</f>
        <v>208</v>
      </c>
      <c r="O190" s="110" t="str">
        <f>IFERROR(INDEX('WetLitterbags placem_collection'!$A$3:$A$500,MATCH(A190,'WetLitterbags placem_collection'!$O$4:$O$500,0)),"")</f>
        <v/>
      </c>
      <c r="P190" s="110" t="str">
        <f>IFERROR(INDEX('WetLitterbags placem_collection'!$A$3:$A$500,MATCH(A190,'WetLitterbags placem_collection'!$M$4:$M$500,0)),"")</f>
        <v/>
      </c>
      <c r="Q190" s="110" t="str">
        <f>IFERROR(INDEX('WetLitterbags placem_collection'!$A$3:$A$500,MATCH(A190,'WetLitterbags placem_collection'!$Q$4:$Q$500,0)),"")</f>
        <v/>
      </c>
    </row>
    <row r="191" spans="1:17" ht="13.95" customHeight="1">
      <c r="A191" s="110" t="s">
        <v>1445</v>
      </c>
      <c r="B191" s="110">
        <v>74</v>
      </c>
      <c r="C191" s="110">
        <v>1.1950000000000001</v>
      </c>
      <c r="D191" s="110" t="s">
        <v>2073</v>
      </c>
      <c r="E191" s="112">
        <v>42879</v>
      </c>
      <c r="G191" s="113" t="s">
        <v>2066</v>
      </c>
      <c r="H191" s="113"/>
      <c r="I191" s="113"/>
      <c r="N191" s="110">
        <f>IFERROR(INDEX('WetLitterbags placem_collection'!$A$3:$A$500,MATCH(A191,'WetLitterbags placem_collection'!$K$4:$K$500,0)),"")</f>
        <v>73</v>
      </c>
      <c r="O191" s="110" t="str">
        <f>IFERROR(INDEX('WetLitterbags placem_collection'!$A$3:$A$500,MATCH(A191,'WetLitterbags placem_collection'!$O$4:$O$500,0)),"")</f>
        <v/>
      </c>
      <c r="P191" s="110" t="str">
        <f>IFERROR(INDEX('WetLitterbags placem_collection'!$A$3:$A$500,MATCH(A191,'WetLitterbags placem_collection'!$M$4:$M$500,0)),"")</f>
        <v/>
      </c>
      <c r="Q191" s="110" t="str">
        <f>IFERROR(INDEX('WetLitterbags placem_collection'!$A$3:$A$500,MATCH(A191,'WetLitterbags placem_collection'!$Q$4:$Q$500,0)),"")</f>
        <v/>
      </c>
    </row>
    <row r="192" spans="1:17" ht="13.95" customHeight="1">
      <c r="A192" s="110" t="s">
        <v>1444</v>
      </c>
      <c r="B192" s="110" t="s">
        <v>2077</v>
      </c>
      <c r="C192" s="110">
        <v>0.63539999999999996</v>
      </c>
      <c r="E192" s="112">
        <v>43122</v>
      </c>
      <c r="N192" s="110" t="str">
        <f>IFERROR(INDEX('WetLitterbags placem_collection'!$A$3:$A$500,MATCH(A192,'WetLitterbags placem_collection'!$K$4:$K$500,0)),"")</f>
        <v/>
      </c>
      <c r="O192" s="110">
        <f>IFERROR(INDEX('WetLitterbags placem_collection'!$A$3:$A$500,MATCH(A192,'WetLitterbags placem_collection'!$O$4:$O$500,0)),"")</f>
        <v>9</v>
      </c>
      <c r="P192" s="110" t="str">
        <f>IFERROR(INDEX('WetLitterbags placem_collection'!$A$3:$A$500,MATCH(A192,'WetLitterbags placem_collection'!$M$4:$M$500,0)),"")</f>
        <v/>
      </c>
      <c r="Q192" s="110" t="str">
        <f>IFERROR(INDEX('WetLitterbags placem_collection'!$A$3:$A$500,MATCH(A192,'WetLitterbags placem_collection'!$Q$4:$Q$500,0)),"")</f>
        <v/>
      </c>
    </row>
    <row r="193" spans="1:17" ht="13.95" customHeight="1">
      <c r="A193" s="113" t="s">
        <v>1443</v>
      </c>
      <c r="B193" s="113">
        <v>80</v>
      </c>
      <c r="C193" s="113">
        <v>0.92400000000000004</v>
      </c>
      <c r="D193" s="113" t="s">
        <v>2143</v>
      </c>
      <c r="E193" s="112">
        <v>42878</v>
      </c>
      <c r="N193" s="110">
        <f>IFERROR(INDEX('WetLitterbags placem_collection'!$A$3:$A$500,MATCH(A193,'WetLitterbags placem_collection'!$K$4:$K$500,0)),"")</f>
        <v>79</v>
      </c>
      <c r="O193" s="110" t="str">
        <f>IFERROR(INDEX('WetLitterbags placem_collection'!$A$3:$A$500,MATCH(A193,'WetLitterbags placem_collection'!$O$4:$O$500,0)),"")</f>
        <v/>
      </c>
      <c r="P193" s="110" t="str">
        <f>IFERROR(INDEX('WetLitterbags placem_collection'!$A$3:$A$500,MATCH(A193,'WetLitterbags placem_collection'!$M$4:$M$500,0)),"")</f>
        <v/>
      </c>
      <c r="Q193" s="110" t="str">
        <f>IFERROR(INDEX('WetLitterbags placem_collection'!$A$3:$A$500,MATCH(A193,'WetLitterbags placem_collection'!$Q$4:$Q$500,0)),"")</f>
        <v/>
      </c>
    </row>
    <row r="194" spans="1:17" ht="13.95" customHeight="1">
      <c r="A194" s="110" t="s">
        <v>1441</v>
      </c>
      <c r="B194" s="110">
        <v>14</v>
      </c>
      <c r="C194" s="110">
        <v>0.498</v>
      </c>
      <c r="E194" s="112">
        <v>42881</v>
      </c>
      <c r="N194" s="110">
        <f>IFERROR(INDEX('WetLitterbags placem_collection'!$A$3:$A$500,MATCH(A194,'WetLitterbags placem_collection'!$K$4:$K$500,0)),"")</f>
        <v>13</v>
      </c>
      <c r="O194" s="110" t="str">
        <f>IFERROR(INDEX('WetLitterbags placem_collection'!$A$3:$A$500,MATCH(A194,'WetLitterbags placem_collection'!$O$4:$O$500,0)),"")</f>
        <v/>
      </c>
      <c r="P194" s="110" t="str">
        <f>IFERROR(INDEX('WetLitterbags placem_collection'!$A$3:$A$500,MATCH(A194,'WetLitterbags placem_collection'!$M$4:$M$500,0)),"")</f>
        <v/>
      </c>
      <c r="Q194" s="110" t="str">
        <f>IFERROR(INDEX('WetLitterbags placem_collection'!$A$3:$A$500,MATCH(A194,'WetLitterbags placem_collection'!$Q$4:$Q$500,0)),"")</f>
        <v/>
      </c>
    </row>
    <row r="195" spans="1:17" ht="13.95" customHeight="1">
      <c r="A195" s="110" t="s">
        <v>1440</v>
      </c>
      <c r="B195" s="110">
        <v>98</v>
      </c>
      <c r="C195" s="110">
        <v>0.56599999999999995</v>
      </c>
      <c r="E195" s="112">
        <v>42881</v>
      </c>
      <c r="N195" s="110">
        <f>IFERROR(INDEX('WetLitterbags placem_collection'!$A$3:$A$500,MATCH(A195,'WetLitterbags placem_collection'!$K$4:$K$500,0)),"")</f>
        <v>97</v>
      </c>
      <c r="O195" s="110" t="str">
        <f>IFERROR(INDEX('WetLitterbags placem_collection'!$A$3:$A$500,MATCH(A195,'WetLitterbags placem_collection'!$O$4:$O$500,0)),"")</f>
        <v/>
      </c>
      <c r="P195" s="110" t="str">
        <f>IFERROR(INDEX('WetLitterbags placem_collection'!$A$3:$A$500,MATCH(A195,'WetLitterbags placem_collection'!$M$4:$M$500,0)),"")</f>
        <v/>
      </c>
      <c r="Q195" s="110" t="str">
        <f>IFERROR(INDEX('WetLitterbags placem_collection'!$A$3:$A$500,MATCH(A195,'WetLitterbags placem_collection'!$Q$4:$Q$500,0)),"")</f>
        <v/>
      </c>
    </row>
    <row r="196" spans="1:17" ht="13.95" customHeight="1">
      <c r="A196" s="110" t="s">
        <v>1437</v>
      </c>
      <c r="B196" s="110">
        <v>216</v>
      </c>
      <c r="C196" s="110">
        <v>0.82499999999999996</v>
      </c>
      <c r="E196" s="112">
        <v>42879</v>
      </c>
      <c r="N196" s="110" t="str">
        <f>IFERROR(INDEX('WetLitterbags placem_collection'!$A$3:$A$500,MATCH(A196,'WetLitterbags placem_collection'!$K$4:$K$500,0)),"")</f>
        <v/>
      </c>
      <c r="O196" s="110">
        <f>IFERROR(INDEX('WetLitterbags placem_collection'!$A$3:$A$500,MATCH(A196,'WetLitterbags placem_collection'!$O$4:$O$500,0)),"")</f>
        <v>215</v>
      </c>
      <c r="P196" s="110" t="str">
        <f>IFERROR(INDEX('WetLitterbags placem_collection'!$A$3:$A$500,MATCH(A196,'WetLitterbags placem_collection'!$M$4:$M$500,0)),"")</f>
        <v/>
      </c>
      <c r="Q196" s="110" t="str">
        <f>IFERROR(INDEX('WetLitterbags placem_collection'!$A$3:$A$500,MATCH(A196,'WetLitterbags placem_collection'!$Q$4:$Q$500,0)),"")</f>
        <v/>
      </c>
    </row>
    <row r="197" spans="1:17" ht="13.95" customHeight="1">
      <c r="A197" s="110" t="s">
        <v>1436</v>
      </c>
      <c r="B197" s="110">
        <v>65</v>
      </c>
      <c r="C197" s="110">
        <v>0.96099999999999997</v>
      </c>
      <c r="E197" s="112">
        <v>42879</v>
      </c>
      <c r="N197" s="110">
        <f>IFERROR(INDEX('WetLitterbags placem_collection'!$A$3:$A$500,MATCH(A197,'WetLitterbags placem_collection'!$K$4:$K$500,0)),"")</f>
        <v>64</v>
      </c>
      <c r="O197" s="110" t="str">
        <f>IFERROR(INDEX('WetLitterbags placem_collection'!$A$3:$A$500,MATCH(A197,'WetLitterbags placem_collection'!$O$4:$O$500,0)),"")</f>
        <v/>
      </c>
      <c r="P197" s="110" t="str">
        <f>IFERROR(INDEX('WetLitterbags placem_collection'!$A$3:$A$500,MATCH(A197,'WetLitterbags placem_collection'!$M$4:$M$500,0)),"")</f>
        <v/>
      </c>
      <c r="Q197" s="110" t="str">
        <f>IFERROR(INDEX('WetLitterbags placem_collection'!$A$3:$A$500,MATCH(A197,'WetLitterbags placem_collection'!$Q$4:$Q$500,0)),"")</f>
        <v/>
      </c>
    </row>
    <row r="198" spans="1:17" ht="13.95" customHeight="1">
      <c r="A198" s="179" t="s">
        <v>1434</v>
      </c>
      <c r="B198" s="110">
        <v>55</v>
      </c>
      <c r="C198" s="110">
        <v>0.93200000000000005</v>
      </c>
      <c r="D198" s="110" t="s">
        <v>2132</v>
      </c>
      <c r="E198" s="112">
        <v>42878</v>
      </c>
      <c r="N198" s="110" t="str">
        <f>IFERROR(INDEX('WetLitterbags placem_collection'!$A$3:$A$500,MATCH(A198,'WetLitterbags placem_collection'!$K$4:$K$500,0)),"")</f>
        <v/>
      </c>
      <c r="O198" s="110">
        <f>IFERROR(INDEX('WetLitterbags placem_collection'!$A$3:$A$500,MATCH(A198,'WetLitterbags placem_collection'!$O$4:$O$500,0)),"")</f>
        <v>54</v>
      </c>
      <c r="P198" s="110" t="str">
        <f>IFERROR(INDEX('WetLitterbags placem_collection'!$A$3:$A$500,MATCH(A198,'WetLitterbags placem_collection'!$M$4:$M$500,0)),"")</f>
        <v/>
      </c>
      <c r="Q198" s="110" t="str">
        <f>IFERROR(INDEX('WetLitterbags placem_collection'!$A$3:$A$500,MATCH(A198,'WetLitterbags placem_collection'!$Q$4:$Q$500,0)),"")</f>
        <v/>
      </c>
    </row>
    <row r="199" spans="1:17" ht="13.95" customHeight="1">
      <c r="A199" s="110" t="s">
        <v>1432</v>
      </c>
      <c r="B199" s="110">
        <v>57</v>
      </c>
      <c r="C199" s="110">
        <v>0.88129999999999997</v>
      </c>
      <c r="E199" s="112">
        <v>43119</v>
      </c>
      <c r="N199" s="110" t="str">
        <f>IFERROR(INDEX('WetLitterbags placem_collection'!$A$3:$A$500,MATCH(A199,'WetLitterbags placem_collection'!$K$4:$K$500,0)),"")</f>
        <v/>
      </c>
      <c r="O199" s="110">
        <f>IFERROR(INDEX('WetLitterbags placem_collection'!$A$3:$A$500,MATCH(A199,'WetLitterbags placem_collection'!$O$4:$O$500,0)),"")</f>
        <v>56</v>
      </c>
      <c r="P199" s="110" t="str">
        <f>IFERROR(INDEX('WetLitterbags placem_collection'!$A$3:$A$500,MATCH(A199,'WetLitterbags placem_collection'!$M$4:$M$500,0)),"")</f>
        <v/>
      </c>
      <c r="Q199" s="110" t="str">
        <f>IFERROR(INDEX('WetLitterbags placem_collection'!$A$3:$A$500,MATCH(A199,'WetLitterbags placem_collection'!$Q$4:$Q$500,0)),"")</f>
        <v/>
      </c>
    </row>
    <row r="200" spans="1:17" ht="13.95" customHeight="1">
      <c r="A200" s="110" t="s">
        <v>1431</v>
      </c>
      <c r="B200" s="110">
        <v>40</v>
      </c>
      <c r="C200" s="110">
        <v>0.70599999999999996</v>
      </c>
      <c r="E200" s="112">
        <v>42881</v>
      </c>
      <c r="N200" s="110" t="str">
        <f>IFERROR(INDEX('WetLitterbags placem_collection'!$A$3:$A$500,MATCH(A200,'WetLitterbags placem_collection'!$K$4:$K$500,0)),"")</f>
        <v/>
      </c>
      <c r="O200" s="110">
        <f>IFERROR(INDEX('WetLitterbags placem_collection'!$A$3:$A$500,MATCH(A200,'WetLitterbags placem_collection'!$O$4:$O$500,0)),"")</f>
        <v>39</v>
      </c>
      <c r="P200" s="110" t="str">
        <f>IFERROR(INDEX('WetLitterbags placem_collection'!$A$3:$A$500,MATCH(A200,'WetLitterbags placem_collection'!$M$4:$M$500,0)),"")</f>
        <v/>
      </c>
      <c r="Q200" s="110" t="str">
        <f>IFERROR(INDEX('WetLitterbags placem_collection'!$A$3:$A$500,MATCH(A200,'WetLitterbags placem_collection'!$Q$4:$Q$500,0)),"")</f>
        <v/>
      </c>
    </row>
    <row r="201" spans="1:17" ht="13.95" customHeight="1">
      <c r="A201" s="110" t="s">
        <v>1430</v>
      </c>
      <c r="B201" s="110" t="s">
        <v>2077</v>
      </c>
      <c r="C201" s="110">
        <v>0.59950000000000003</v>
      </c>
      <c r="E201" s="112">
        <v>43116</v>
      </c>
      <c r="N201" s="110">
        <f>IFERROR(INDEX('WetLitterbags placem_collection'!$A$3:$A$500,MATCH(A201,'WetLitterbags placem_collection'!$K$4:$K$500,0)),"")</f>
        <v>186</v>
      </c>
      <c r="O201" s="110" t="str">
        <f>IFERROR(INDEX('WetLitterbags placem_collection'!$A$3:$A$500,MATCH(A201,'WetLitterbags placem_collection'!$O$4:$O$500,0)),"")</f>
        <v/>
      </c>
      <c r="P201" s="110" t="str">
        <f>IFERROR(INDEX('WetLitterbags placem_collection'!$A$3:$A$500,MATCH(A201,'WetLitterbags placem_collection'!$M$4:$M$500,0)),"")</f>
        <v/>
      </c>
      <c r="Q201" s="110" t="str">
        <f>IFERROR(INDEX('WetLitterbags placem_collection'!$A$3:$A$500,MATCH(A201,'WetLitterbags placem_collection'!$Q$4:$Q$500,0)),"")</f>
        <v/>
      </c>
    </row>
    <row r="202" spans="1:17" ht="13.95" customHeight="1">
      <c r="A202" s="110" t="s">
        <v>1429</v>
      </c>
      <c r="B202" s="110">
        <v>205</v>
      </c>
      <c r="C202" s="110">
        <v>0.74099999999999999</v>
      </c>
      <c r="D202" s="110" t="s">
        <v>2117</v>
      </c>
      <c r="E202" s="112">
        <v>43123</v>
      </c>
      <c r="N202" s="110">
        <f>IFERROR(INDEX('WetLitterbags placem_collection'!$A$3:$A$500,MATCH(A202,'WetLitterbags placem_collection'!$K$4:$K$500,0)),"")</f>
        <v>204</v>
      </c>
      <c r="O202" s="110" t="str">
        <f>IFERROR(INDEX('WetLitterbags placem_collection'!$A$3:$A$500,MATCH(A202,'WetLitterbags placem_collection'!$O$4:$O$500,0)),"")</f>
        <v/>
      </c>
      <c r="P202" s="110" t="str">
        <f>IFERROR(INDEX('WetLitterbags placem_collection'!$A$3:$A$500,MATCH(A202,'WetLitterbags placem_collection'!$M$4:$M$500,0)),"")</f>
        <v/>
      </c>
      <c r="Q202" s="110" t="str">
        <f>IFERROR(INDEX('WetLitterbags placem_collection'!$A$3:$A$500,MATCH(A202,'WetLitterbags placem_collection'!$Q$4:$Q$500,0)),"")</f>
        <v/>
      </c>
    </row>
    <row r="203" spans="1:17" ht="13.95" customHeight="1">
      <c r="A203" s="110" t="s">
        <v>1427</v>
      </c>
      <c r="B203" s="110">
        <v>138</v>
      </c>
      <c r="C203" s="110">
        <v>0.64800000000000002</v>
      </c>
      <c r="E203" s="112">
        <v>42879</v>
      </c>
      <c r="N203" s="110" t="str">
        <f>IFERROR(INDEX('WetLitterbags placem_collection'!$A$3:$A$500,MATCH(A203,'WetLitterbags placem_collection'!$K$4:$K$500,0)),"")</f>
        <v/>
      </c>
      <c r="O203" s="110">
        <f>IFERROR(INDEX('WetLitterbags placem_collection'!$A$3:$A$500,MATCH(A203,'WetLitterbags placem_collection'!$O$4:$O$500,0)),"")</f>
        <v>137</v>
      </c>
      <c r="P203" s="110" t="str">
        <f>IFERROR(INDEX('WetLitterbags placem_collection'!$A$3:$A$500,MATCH(A203,'WetLitterbags placem_collection'!$M$4:$M$500,0)),"")</f>
        <v/>
      </c>
      <c r="Q203" s="110" t="str">
        <f>IFERROR(INDEX('WetLitterbags placem_collection'!$A$3:$A$500,MATCH(A203,'WetLitterbags placem_collection'!$Q$4:$Q$500,0)),"")</f>
        <v/>
      </c>
    </row>
    <row r="204" spans="1:17" ht="13.95" customHeight="1">
      <c r="A204" s="110" t="s">
        <v>1423</v>
      </c>
      <c r="B204" s="110" t="s">
        <v>2077</v>
      </c>
      <c r="C204" s="110">
        <v>0.86350000000000005</v>
      </c>
      <c r="E204" s="112">
        <v>43122</v>
      </c>
      <c r="N204" s="110" t="str">
        <f>IFERROR(INDEX('WetLitterbags placem_collection'!$A$3:$A$500,MATCH(A204,'WetLitterbags placem_collection'!$K$4:$K$500,0)),"")</f>
        <v/>
      </c>
      <c r="O204" s="110">
        <f>IFERROR(INDEX('WetLitterbags placem_collection'!$A$3:$A$500,MATCH(A204,'WetLitterbags placem_collection'!$O$4:$O$500,0)),"")</f>
        <v>71</v>
      </c>
      <c r="P204" s="110" t="str">
        <f>IFERROR(INDEX('WetLitterbags placem_collection'!$A$3:$A$500,MATCH(A204,'WetLitterbags placem_collection'!$M$4:$M$500,0)),"")</f>
        <v/>
      </c>
      <c r="Q204" s="110" t="str">
        <f>IFERROR(INDEX('WetLitterbags placem_collection'!$A$3:$A$500,MATCH(A204,'WetLitterbags placem_collection'!$Q$4:$Q$500,0)),"")</f>
        <v/>
      </c>
    </row>
    <row r="205" spans="1:17" ht="13.95" customHeight="1">
      <c r="A205" s="110" t="s">
        <v>1422</v>
      </c>
      <c r="B205" s="110">
        <v>87</v>
      </c>
      <c r="C205" s="110">
        <v>0.8639</v>
      </c>
      <c r="E205" s="112">
        <v>43125</v>
      </c>
      <c r="N205" s="110">
        <f>IFERROR(INDEX('WetLitterbags placem_collection'!$A$3:$A$500,MATCH(A205,'WetLitterbags placem_collection'!$K$4:$K$500,0)),"")</f>
        <v>86</v>
      </c>
      <c r="O205" s="110" t="str">
        <f>IFERROR(INDEX('WetLitterbags placem_collection'!$A$3:$A$500,MATCH(A205,'WetLitterbags placem_collection'!$O$4:$O$500,0)),"")</f>
        <v/>
      </c>
      <c r="P205" s="110" t="str">
        <f>IFERROR(INDEX('WetLitterbags placem_collection'!$A$3:$A$500,MATCH(A205,'WetLitterbags placem_collection'!$M$4:$M$500,0)),"")</f>
        <v/>
      </c>
      <c r="Q205" s="110" t="str">
        <f>IFERROR(INDEX('WetLitterbags placem_collection'!$A$3:$A$500,MATCH(A205,'WetLitterbags placem_collection'!$Q$4:$Q$500,0)),"")</f>
        <v/>
      </c>
    </row>
    <row r="206" spans="1:17" ht="13.95" customHeight="1">
      <c r="A206" s="110" t="s">
        <v>1418</v>
      </c>
      <c r="B206" s="110">
        <v>87</v>
      </c>
      <c r="C206" s="110">
        <v>0.81640000000000001</v>
      </c>
      <c r="E206" s="112">
        <v>43125</v>
      </c>
      <c r="N206" s="110" t="str">
        <f>IFERROR(INDEX('WetLitterbags placem_collection'!$A$3:$A$500,MATCH(A206,'WetLitterbags placem_collection'!$K$4:$K$500,0)),"")</f>
        <v/>
      </c>
      <c r="O206" s="110">
        <f>IFERROR(INDEX('WetLitterbags placem_collection'!$A$3:$A$500,MATCH(A206,'WetLitterbags placem_collection'!$O$4:$O$500,0)),"")</f>
        <v>86</v>
      </c>
      <c r="P206" s="110" t="str">
        <f>IFERROR(INDEX('WetLitterbags placem_collection'!$A$3:$A$500,MATCH(A206,'WetLitterbags placem_collection'!$M$4:$M$500,0)),"")</f>
        <v/>
      </c>
      <c r="Q206" s="110" t="str">
        <f>IFERROR(INDEX('WetLitterbags placem_collection'!$A$3:$A$500,MATCH(A206,'WetLitterbags placem_collection'!$Q$4:$Q$500,0)),"")</f>
        <v/>
      </c>
    </row>
    <row r="207" spans="1:17" ht="13.95" customHeight="1">
      <c r="A207" s="110" t="s">
        <v>1417</v>
      </c>
      <c r="B207" s="110">
        <v>60</v>
      </c>
      <c r="C207" s="110">
        <v>0.874</v>
      </c>
      <c r="E207" s="112">
        <v>42879</v>
      </c>
      <c r="N207" s="110">
        <f>IFERROR(INDEX('WetLitterbags placem_collection'!$A$3:$A$500,MATCH(A207,'WetLitterbags placem_collection'!$K$4:$K$500,0)),"")</f>
        <v>59</v>
      </c>
      <c r="O207" s="110" t="str">
        <f>IFERROR(INDEX('WetLitterbags placem_collection'!$A$3:$A$500,MATCH(A207,'WetLitterbags placem_collection'!$O$4:$O$500,0)),"")</f>
        <v/>
      </c>
      <c r="P207" s="110" t="str">
        <f>IFERROR(INDEX('WetLitterbags placem_collection'!$A$3:$A$500,MATCH(A207,'WetLitterbags placem_collection'!$M$4:$M$500,0)),"")</f>
        <v/>
      </c>
      <c r="Q207" s="110" t="str">
        <f>IFERROR(INDEX('WetLitterbags placem_collection'!$A$3:$A$500,MATCH(A207,'WetLitterbags placem_collection'!$Q$4:$Q$500,0)),"")</f>
        <v/>
      </c>
    </row>
    <row r="208" spans="1:17" ht="13.95" customHeight="1">
      <c r="A208" s="110" t="s">
        <v>1416</v>
      </c>
      <c r="B208" s="110" t="s">
        <v>2077</v>
      </c>
      <c r="C208" s="110">
        <v>0.60129999999999995</v>
      </c>
      <c r="E208" s="112">
        <v>43122</v>
      </c>
      <c r="N208" s="110" t="str">
        <f>IFERROR(INDEX('WetLitterbags placem_collection'!$A$3:$A$500,MATCH(A208,'WetLitterbags placem_collection'!$K$4:$K$500,0)),"")</f>
        <v/>
      </c>
      <c r="O208" s="110">
        <f>IFERROR(INDEX('WetLitterbags placem_collection'!$A$3:$A$500,MATCH(A208,'WetLitterbags placem_collection'!$O$4:$O$500,0)),"")</f>
        <v>5</v>
      </c>
      <c r="P208" s="110" t="str">
        <f>IFERROR(INDEX('WetLitterbags placem_collection'!$A$3:$A$500,MATCH(A208,'WetLitterbags placem_collection'!$M$4:$M$500,0)),"")</f>
        <v/>
      </c>
      <c r="Q208" s="110" t="str">
        <f>IFERROR(INDEX('WetLitterbags placem_collection'!$A$3:$A$500,MATCH(A208,'WetLitterbags placem_collection'!$Q$4:$Q$500,0)),"")</f>
        <v/>
      </c>
    </row>
    <row r="209" spans="1:17" ht="13.95" customHeight="1">
      <c r="A209" s="110" t="s">
        <v>1414</v>
      </c>
      <c r="B209" s="110" t="s">
        <v>2077</v>
      </c>
      <c r="C209" s="110">
        <v>0.79630000000000001</v>
      </c>
      <c r="E209" s="112">
        <v>43119</v>
      </c>
      <c r="N209" s="110">
        <f>IFERROR(INDEX('WetLitterbags placem_collection'!$A$3:$A$500,MATCH(A209,'WetLitterbags placem_collection'!$K$4:$K$500,0)),"")</f>
        <v>92</v>
      </c>
      <c r="O209" s="110" t="str">
        <f>IFERROR(INDEX('WetLitterbags placem_collection'!$A$3:$A$500,MATCH(A209,'WetLitterbags placem_collection'!$O$4:$O$500,0)),"")</f>
        <v/>
      </c>
      <c r="P209" s="110" t="str">
        <f>IFERROR(INDEX('WetLitterbags placem_collection'!$A$3:$A$500,MATCH(A209,'WetLitterbags placem_collection'!$M$4:$M$500,0)),"")</f>
        <v/>
      </c>
      <c r="Q209" s="110" t="str">
        <f>IFERROR(INDEX('WetLitterbags placem_collection'!$A$3:$A$500,MATCH(A209,'WetLitterbags placem_collection'!$Q$4:$Q$500,0)),"")</f>
        <v/>
      </c>
    </row>
    <row r="210" spans="1:17" ht="13.95" customHeight="1">
      <c r="A210" s="179" t="s">
        <v>1413</v>
      </c>
      <c r="B210" s="110">
        <v>209</v>
      </c>
      <c r="C210" s="110">
        <v>0.86399999999999999</v>
      </c>
      <c r="E210" s="112">
        <v>42878</v>
      </c>
      <c r="N210" s="110" t="str">
        <f>IFERROR(INDEX('WetLitterbags placem_collection'!$A$3:$A$500,MATCH(A210,'WetLitterbags placem_collection'!$K$4:$K$500,0)),"")</f>
        <v/>
      </c>
      <c r="O210" s="110">
        <f>IFERROR(INDEX('WetLitterbags placem_collection'!$A$3:$A$500,MATCH(A210,'WetLitterbags placem_collection'!$O$4:$O$500,0)),"")</f>
        <v>208</v>
      </c>
      <c r="P210" s="110" t="str">
        <f>IFERROR(INDEX('WetLitterbags placem_collection'!$A$3:$A$500,MATCH(A210,'WetLitterbags placem_collection'!$M$4:$M$500,0)),"")</f>
        <v/>
      </c>
      <c r="Q210" s="110" t="str">
        <f>IFERROR(INDEX('WetLitterbags placem_collection'!$A$3:$A$500,MATCH(A210,'WetLitterbags placem_collection'!$Q$4:$Q$500,0)),"")</f>
        <v/>
      </c>
    </row>
    <row r="211" spans="1:17" ht="13.95" customHeight="1">
      <c r="A211" s="110" t="s">
        <v>1412</v>
      </c>
      <c r="B211" s="110">
        <v>52</v>
      </c>
      <c r="C211" s="110">
        <v>1.075</v>
      </c>
      <c r="E211" s="112">
        <v>42878</v>
      </c>
      <c r="N211" s="110">
        <f>IFERROR(INDEX('WetLitterbags placem_collection'!$A$3:$A$500,MATCH(A211,'WetLitterbags placem_collection'!$K$4:$K$500,0)),"")</f>
        <v>51</v>
      </c>
      <c r="O211" s="110" t="str">
        <f>IFERROR(INDEX('WetLitterbags placem_collection'!$A$3:$A$500,MATCH(A211,'WetLitterbags placem_collection'!$O$4:$O$500,0)),"")</f>
        <v/>
      </c>
      <c r="P211" s="110" t="str">
        <f>IFERROR(INDEX('WetLitterbags placem_collection'!$A$3:$A$500,MATCH(A211,'WetLitterbags placem_collection'!$M$4:$M$500,0)),"")</f>
        <v/>
      </c>
      <c r="Q211" s="110" t="str">
        <f>IFERROR(INDEX('WetLitterbags placem_collection'!$A$3:$A$500,MATCH(A211,'WetLitterbags placem_collection'!$Q$4:$Q$500,0)),"")</f>
        <v/>
      </c>
    </row>
    <row r="212" spans="1:17" ht="13.95" customHeight="1">
      <c r="A212" s="110" t="s">
        <v>1411</v>
      </c>
      <c r="B212" s="110" t="s">
        <v>2077</v>
      </c>
      <c r="C212" s="110">
        <v>0.89200000000000002</v>
      </c>
      <c r="E212" s="112">
        <v>43122</v>
      </c>
      <c r="N212" s="110" t="str">
        <f>IFERROR(INDEX('WetLitterbags placem_collection'!$A$3:$A$500,MATCH(A212,'WetLitterbags placem_collection'!$K$4:$K$500,0)),"")</f>
        <v/>
      </c>
      <c r="O212" s="110">
        <f>IFERROR(INDEX('WetLitterbags placem_collection'!$A$3:$A$500,MATCH(A212,'WetLitterbags placem_collection'!$O$4:$O$500,0)),"")</f>
        <v>18</v>
      </c>
      <c r="P212" s="110" t="str">
        <f>IFERROR(INDEX('WetLitterbags placem_collection'!$A$3:$A$500,MATCH(A212,'WetLitterbags placem_collection'!$M$4:$M$500,0)),"")</f>
        <v/>
      </c>
      <c r="Q212" s="110" t="str">
        <f>IFERROR(INDEX('WetLitterbags placem_collection'!$A$3:$A$500,MATCH(A212,'WetLitterbags placem_collection'!$Q$4:$Q$500,0)),"")</f>
        <v/>
      </c>
    </row>
    <row r="213" spans="1:17" ht="13.95" customHeight="1">
      <c r="A213" s="110" t="s">
        <v>1410</v>
      </c>
      <c r="B213" s="110" t="s">
        <v>2077</v>
      </c>
      <c r="C213" s="110">
        <v>0.72450000000000003</v>
      </c>
      <c r="E213" s="112">
        <v>43119</v>
      </c>
      <c r="N213" s="110" t="str">
        <f>IFERROR(INDEX('WetLitterbags placem_collection'!$A$3:$A$500,MATCH(A213,'WetLitterbags placem_collection'!$K$4:$K$500,0)),"")</f>
        <v/>
      </c>
      <c r="O213" s="110">
        <f>IFERROR(INDEX('WetLitterbags placem_collection'!$A$3:$A$500,MATCH(A213,'WetLitterbags placem_collection'!$O$4:$O$500,0)),"")</f>
        <v>203</v>
      </c>
      <c r="P213" s="110" t="str">
        <f>IFERROR(INDEX('WetLitterbags placem_collection'!$A$3:$A$500,MATCH(A213,'WetLitterbags placem_collection'!$M$4:$M$500,0)),"")</f>
        <v/>
      </c>
      <c r="Q213" s="110" t="str">
        <f>IFERROR(INDEX('WetLitterbags placem_collection'!$A$3:$A$500,MATCH(A213,'WetLitterbags placem_collection'!$Q$4:$Q$500,0)),"")</f>
        <v/>
      </c>
    </row>
    <row r="214" spans="1:17" ht="13.95" customHeight="1">
      <c r="A214" s="110" t="s">
        <v>1409</v>
      </c>
      <c r="B214" s="110">
        <v>95</v>
      </c>
      <c r="C214" s="110">
        <v>1.254</v>
      </c>
      <c r="E214" s="112">
        <v>42879</v>
      </c>
      <c r="N214" s="110">
        <f>IFERROR(INDEX('WetLitterbags placem_collection'!$A$3:$A$500,MATCH(A214,'WetLitterbags placem_collection'!$K$4:$K$500,0)),"")</f>
        <v>94</v>
      </c>
      <c r="O214" s="110" t="str">
        <f>IFERROR(INDEX('WetLitterbags placem_collection'!$A$3:$A$500,MATCH(A214,'WetLitterbags placem_collection'!$O$4:$O$500,0)),"")</f>
        <v/>
      </c>
      <c r="P214" s="110" t="str">
        <f>IFERROR(INDEX('WetLitterbags placem_collection'!$A$3:$A$500,MATCH(A214,'WetLitterbags placem_collection'!$M$4:$M$500,0)),"")</f>
        <v/>
      </c>
      <c r="Q214" s="110" t="str">
        <f>IFERROR(INDEX('WetLitterbags placem_collection'!$A$3:$A$500,MATCH(A214,'WetLitterbags placem_collection'!$Q$4:$Q$500,0)),"")</f>
        <v/>
      </c>
    </row>
    <row r="215" spans="1:17" ht="13.95" customHeight="1">
      <c r="A215" s="110" t="s">
        <v>1407</v>
      </c>
      <c r="B215" s="110">
        <v>43</v>
      </c>
      <c r="C215" s="110">
        <v>0.74509999999999998</v>
      </c>
      <c r="E215" s="112">
        <v>43123</v>
      </c>
      <c r="N215" s="110" t="str">
        <f>IFERROR(INDEX('WetLitterbags placem_collection'!$A$3:$A$500,MATCH(A215,'WetLitterbags placem_collection'!$K$4:$K$500,0)),"")</f>
        <v/>
      </c>
      <c r="O215" s="110">
        <f>IFERROR(INDEX('WetLitterbags placem_collection'!$A$3:$A$500,MATCH(A215,'WetLitterbags placem_collection'!$O$4:$O$500,0)),"")</f>
        <v>42</v>
      </c>
      <c r="P215" s="110" t="str">
        <f>IFERROR(INDEX('WetLitterbags placem_collection'!$A$3:$A$500,MATCH(A215,'WetLitterbags placem_collection'!$M$4:$M$500,0)),"")</f>
        <v/>
      </c>
      <c r="Q215" s="110" t="str">
        <f>IFERROR(INDEX('WetLitterbags placem_collection'!$A$3:$A$500,MATCH(A215,'WetLitterbags placem_collection'!$Q$4:$Q$500,0)),"")</f>
        <v/>
      </c>
    </row>
    <row r="216" spans="1:17" ht="13.95" customHeight="1">
      <c r="A216" s="110" t="s">
        <v>1406</v>
      </c>
      <c r="B216" s="110" t="s">
        <v>2077</v>
      </c>
      <c r="C216" s="110">
        <v>0.65410000000000001</v>
      </c>
      <c r="D216" s="110" t="s">
        <v>2120</v>
      </c>
      <c r="E216" s="112">
        <v>43122</v>
      </c>
      <c r="N216" s="110" t="str">
        <f>IFERROR(INDEX('WetLitterbags placem_collection'!$A$3:$A$500,MATCH(A216,'WetLitterbags placem_collection'!$K$4:$K$500,0)),"")</f>
        <v/>
      </c>
      <c r="O216" s="110">
        <f>IFERROR(INDEX('WetLitterbags placem_collection'!$A$3:$A$500,MATCH(A216,'WetLitterbags placem_collection'!$O$4:$O$500,0)),"")</f>
        <v>15</v>
      </c>
      <c r="P216" s="110" t="str">
        <f>IFERROR(INDEX('WetLitterbags placem_collection'!$A$3:$A$500,MATCH(A216,'WetLitterbags placem_collection'!$M$4:$M$500,0)),"")</f>
        <v/>
      </c>
      <c r="Q216" s="110" t="str">
        <f>IFERROR(INDEX('WetLitterbags placem_collection'!$A$3:$A$500,MATCH(A216,'WetLitterbags placem_collection'!$Q$4:$Q$500,0)),"")</f>
        <v/>
      </c>
    </row>
    <row r="217" spans="1:17" ht="13.95" customHeight="1">
      <c r="A217" s="110" t="s">
        <v>1405</v>
      </c>
      <c r="B217" s="110" t="s">
        <v>2077</v>
      </c>
      <c r="C217" s="110">
        <v>0.80930000000000002</v>
      </c>
      <c r="E217" s="112">
        <v>43116</v>
      </c>
      <c r="N217" s="110">
        <f>IFERROR(INDEX('WetLitterbags placem_collection'!$A$3:$A$500,MATCH(A217,'WetLitterbags placem_collection'!$K$4:$K$500,0)),"")</f>
        <v>202</v>
      </c>
      <c r="O217" s="110" t="str">
        <f>IFERROR(INDEX('WetLitterbags placem_collection'!$A$3:$A$500,MATCH(A217,'WetLitterbags placem_collection'!$O$4:$O$500,0)),"")</f>
        <v/>
      </c>
      <c r="P217" s="110" t="str">
        <f>IFERROR(INDEX('WetLitterbags placem_collection'!$A$3:$A$500,MATCH(A217,'WetLitterbags placem_collection'!$M$4:$M$500,0)),"")</f>
        <v/>
      </c>
      <c r="Q217" s="110" t="str">
        <f>IFERROR(INDEX('WetLitterbags placem_collection'!$A$3:$A$500,MATCH(A217,'WetLitterbags placem_collection'!$Q$4:$Q$500,0)),"")</f>
        <v/>
      </c>
    </row>
    <row r="218" spans="1:17" ht="13.95" customHeight="1">
      <c r="A218" s="110" t="s">
        <v>1403</v>
      </c>
      <c r="B218" s="110">
        <v>151</v>
      </c>
      <c r="C218" s="110">
        <v>0.78700000000000003</v>
      </c>
      <c r="E218" s="112">
        <v>42879</v>
      </c>
      <c r="N218" s="110" t="str">
        <f>IFERROR(INDEX('WetLitterbags placem_collection'!$A$3:$A$500,MATCH(A218,'WetLitterbags placem_collection'!$K$4:$K$500,0)),"")</f>
        <v/>
      </c>
      <c r="O218" s="110">
        <f>IFERROR(INDEX('WetLitterbags placem_collection'!$A$3:$A$500,MATCH(A218,'WetLitterbags placem_collection'!$O$4:$O$500,0)),"")</f>
        <v>150</v>
      </c>
      <c r="P218" s="110" t="str">
        <f>IFERROR(INDEX('WetLitterbags placem_collection'!$A$3:$A$500,MATCH(A218,'WetLitterbags placem_collection'!$M$4:$M$500,0)),"")</f>
        <v/>
      </c>
      <c r="Q218" s="110" t="str">
        <f>IFERROR(INDEX('WetLitterbags placem_collection'!$A$3:$A$500,MATCH(A218,'WetLitterbags placem_collection'!$Q$4:$Q$500,0)),"")</f>
        <v/>
      </c>
    </row>
    <row r="219" spans="1:17" ht="13.95" customHeight="1">
      <c r="A219" s="110" t="s">
        <v>1402</v>
      </c>
      <c r="B219" s="110" t="s">
        <v>2077</v>
      </c>
      <c r="C219" s="110">
        <v>0.6905</v>
      </c>
      <c r="E219" s="112">
        <v>43122</v>
      </c>
      <c r="N219" s="110" t="str">
        <f>IFERROR(INDEX('WetLitterbags placem_collection'!$A$3:$A$500,MATCH(A219,'WetLitterbags placem_collection'!$K$4:$K$500,0)),"")</f>
        <v/>
      </c>
      <c r="O219" s="110">
        <f>IFERROR(INDEX('WetLitterbags placem_collection'!$A$3:$A$500,MATCH(A219,'WetLitterbags placem_collection'!$O$4:$O$500,0)),"")</f>
        <v>16</v>
      </c>
      <c r="P219" s="110" t="str">
        <f>IFERROR(INDEX('WetLitterbags placem_collection'!$A$3:$A$500,MATCH(A219,'WetLitterbags placem_collection'!$M$4:$M$500,0)),"")</f>
        <v/>
      </c>
      <c r="Q219" s="110" t="str">
        <f>IFERROR(INDEX('WetLitterbags placem_collection'!$A$3:$A$500,MATCH(A219,'WetLitterbags placem_collection'!$Q$4:$Q$500,0)),"")</f>
        <v/>
      </c>
    </row>
    <row r="220" spans="1:17" ht="13.95" customHeight="1">
      <c r="A220" s="110" t="s">
        <v>1401</v>
      </c>
      <c r="B220" s="110">
        <v>34</v>
      </c>
      <c r="C220" s="110">
        <v>0.80259999999999998</v>
      </c>
      <c r="D220" s="110" t="s">
        <v>2085</v>
      </c>
      <c r="E220" s="112">
        <v>43125</v>
      </c>
      <c r="N220" s="110" t="str">
        <f>IFERROR(INDEX('WetLitterbags placem_collection'!$A$3:$A$500,MATCH(A220,'WetLitterbags placem_collection'!$K$4:$K$500,0)),"")</f>
        <v/>
      </c>
      <c r="O220" s="110">
        <f>IFERROR(INDEX('WetLitterbags placem_collection'!$A$3:$A$500,MATCH(A220,'WetLitterbags placem_collection'!$O$4:$O$500,0)),"")</f>
        <v>33</v>
      </c>
      <c r="P220" s="110" t="str">
        <f>IFERROR(INDEX('WetLitterbags placem_collection'!$A$3:$A$500,MATCH(A220,'WetLitterbags placem_collection'!$M$4:$M$500,0)),"")</f>
        <v/>
      </c>
      <c r="Q220" s="110" t="str">
        <f>IFERROR(INDEX('WetLitterbags placem_collection'!$A$3:$A$500,MATCH(A220,'WetLitterbags placem_collection'!$Q$4:$Q$500,0)),"")</f>
        <v/>
      </c>
    </row>
    <row r="221" spans="1:17" ht="13.95" customHeight="1">
      <c r="A221" s="110" t="s">
        <v>1399</v>
      </c>
      <c r="B221" s="110" t="s">
        <v>2077</v>
      </c>
      <c r="C221" s="110">
        <v>0.77580000000000005</v>
      </c>
      <c r="E221" s="112">
        <v>43116</v>
      </c>
      <c r="N221" s="110">
        <f>IFERROR(INDEX('WetLitterbags placem_collection'!$A$3:$A$500,MATCH(A221,'WetLitterbags placem_collection'!$K$4:$K$500,0)),"")</f>
        <v>25</v>
      </c>
      <c r="O221" s="110" t="str">
        <f>IFERROR(INDEX('WetLitterbags placem_collection'!$A$3:$A$500,MATCH(A221,'WetLitterbags placem_collection'!$O$4:$O$500,0)),"")</f>
        <v/>
      </c>
      <c r="P221" s="110" t="str">
        <f>IFERROR(INDEX('WetLitterbags placem_collection'!$A$3:$A$500,MATCH(A221,'WetLitterbags placem_collection'!$M$4:$M$500,0)),"")</f>
        <v/>
      </c>
      <c r="Q221" s="110" t="str">
        <f>IFERROR(INDEX('WetLitterbags placem_collection'!$A$3:$A$500,MATCH(A221,'WetLitterbags placem_collection'!$Q$4:$Q$500,0)),"")</f>
        <v/>
      </c>
    </row>
    <row r="222" spans="1:17" ht="13.95" customHeight="1">
      <c r="A222" s="110" t="s">
        <v>1397</v>
      </c>
      <c r="B222" s="110">
        <v>145</v>
      </c>
      <c r="C222" s="110">
        <v>0.69799999999999995</v>
      </c>
      <c r="E222" s="112">
        <v>42878</v>
      </c>
      <c r="N222" s="110" t="str">
        <f>IFERROR(INDEX('WetLitterbags placem_collection'!$A$3:$A$500,MATCH(A222,'WetLitterbags placem_collection'!$K$4:$K$500,0)),"")</f>
        <v/>
      </c>
      <c r="O222" s="110">
        <f>IFERROR(INDEX('WetLitterbags placem_collection'!$A$3:$A$500,MATCH(A222,'WetLitterbags placem_collection'!$O$4:$O$500,0)),"")</f>
        <v>144</v>
      </c>
      <c r="P222" s="110" t="str">
        <f>IFERROR(INDEX('WetLitterbags placem_collection'!$A$3:$A$500,MATCH(A222,'WetLitterbags placem_collection'!$M$4:$M$500,0)),"")</f>
        <v/>
      </c>
      <c r="Q222" s="110" t="str">
        <f>IFERROR(INDEX('WetLitterbags placem_collection'!$A$3:$A$500,MATCH(A222,'WetLitterbags placem_collection'!$Q$4:$Q$500,0)),"")</f>
        <v/>
      </c>
    </row>
    <row r="223" spans="1:17" ht="13.95" customHeight="1">
      <c r="A223" s="110" t="s">
        <v>1396</v>
      </c>
      <c r="B223" s="110">
        <v>156</v>
      </c>
      <c r="C223" s="110">
        <v>0.73799999999999999</v>
      </c>
      <c r="E223" s="112">
        <v>42879</v>
      </c>
      <c r="N223" s="110">
        <f>IFERROR(INDEX('WetLitterbags placem_collection'!$A$3:$A$500,MATCH(A223,'WetLitterbags placem_collection'!$K$4:$K$500,0)),"")</f>
        <v>155</v>
      </c>
      <c r="O223" s="110" t="str">
        <f>IFERROR(INDEX('WetLitterbags placem_collection'!$A$3:$A$500,MATCH(A223,'WetLitterbags placem_collection'!$O$4:$O$500,0)),"")</f>
        <v/>
      </c>
      <c r="P223" s="110" t="str">
        <f>IFERROR(INDEX('WetLitterbags placem_collection'!$A$3:$A$500,MATCH(A223,'WetLitterbags placem_collection'!$M$4:$M$500,0)),"")</f>
        <v/>
      </c>
      <c r="Q223" s="110" t="str">
        <f>IFERROR(INDEX('WetLitterbags placem_collection'!$A$3:$A$500,MATCH(A223,'WetLitterbags placem_collection'!$Q$4:$Q$500,0)),"")</f>
        <v/>
      </c>
    </row>
    <row r="224" spans="1:17" ht="13.95" customHeight="1">
      <c r="A224" s="182" t="s">
        <v>1395</v>
      </c>
      <c r="B224" s="110">
        <v>174</v>
      </c>
      <c r="C224" s="110">
        <v>0.68300000000000005</v>
      </c>
      <c r="E224" s="112">
        <v>42881</v>
      </c>
      <c r="N224" s="110">
        <f>IFERROR(INDEX('WetLitterbags placem_collection'!$A$3:$A$500,MATCH(A224,'WetLitterbags placem_collection'!$K$4:$K$500,0)),"")</f>
        <v>173</v>
      </c>
      <c r="O224" s="110" t="str">
        <f>IFERROR(INDEX('WetLitterbags placem_collection'!$A$3:$A$500,MATCH(A224,'WetLitterbags placem_collection'!$O$4:$O$500,0)),"")</f>
        <v/>
      </c>
      <c r="P224" s="110" t="str">
        <f>IFERROR(INDEX('WetLitterbags placem_collection'!$A$3:$A$500,MATCH(A224,'WetLitterbags placem_collection'!$M$4:$M$500,0)),"")</f>
        <v/>
      </c>
      <c r="Q224" s="110" t="str">
        <f>IFERROR(INDEX('WetLitterbags placem_collection'!$A$3:$A$500,MATCH(A224,'WetLitterbags placem_collection'!$Q$4:$Q$500,0)),"")</f>
        <v/>
      </c>
    </row>
    <row r="225" spans="1:17" ht="13.95" customHeight="1">
      <c r="A225" s="110" t="s">
        <v>1394</v>
      </c>
      <c r="B225" s="110">
        <v>171</v>
      </c>
      <c r="C225" s="110">
        <v>0.63100000000000001</v>
      </c>
      <c r="E225" s="112">
        <v>42878</v>
      </c>
      <c r="N225" s="110">
        <f>IFERROR(INDEX('WetLitterbags placem_collection'!$A$3:$A$500,MATCH(A225,'WetLitterbags placem_collection'!$K$4:$K$500,0)),"")</f>
        <v>170</v>
      </c>
      <c r="O225" s="110" t="str">
        <f>IFERROR(INDEX('WetLitterbags placem_collection'!$A$3:$A$500,MATCH(A225,'WetLitterbags placem_collection'!$O$4:$O$500,0)),"")</f>
        <v/>
      </c>
      <c r="P225" s="110" t="str">
        <f>IFERROR(INDEX('WetLitterbags placem_collection'!$A$3:$A$500,MATCH(A225,'WetLitterbags placem_collection'!$M$4:$M$500,0)),"")</f>
        <v/>
      </c>
      <c r="Q225" s="110" t="str">
        <f>IFERROR(INDEX('WetLitterbags placem_collection'!$A$3:$A$500,MATCH(A225,'WetLitterbags placem_collection'!$Q$4:$Q$500,0)),"")</f>
        <v/>
      </c>
    </row>
    <row r="226" spans="1:17" ht="13.95" customHeight="1">
      <c r="A226" s="110" t="s">
        <v>1393</v>
      </c>
      <c r="B226" s="110">
        <v>119</v>
      </c>
      <c r="C226" s="110">
        <v>0.70099999999999996</v>
      </c>
      <c r="D226"/>
      <c r="E226" s="112">
        <v>42881</v>
      </c>
      <c r="N226" s="110">
        <f>IFERROR(INDEX('WetLitterbags placem_collection'!$A$3:$A$500,MATCH(A226,'WetLitterbags placem_collection'!$K$4:$K$500,0)),"")</f>
        <v>118</v>
      </c>
      <c r="O226" s="110" t="str">
        <f>IFERROR(INDEX('WetLitterbags placem_collection'!$A$3:$A$500,MATCH(A226,'WetLitterbags placem_collection'!$O$4:$O$500,0)),"")</f>
        <v/>
      </c>
      <c r="P226" s="110" t="str">
        <f>IFERROR(INDEX('WetLitterbags placem_collection'!$A$3:$A$500,MATCH(A226,'WetLitterbags placem_collection'!$M$4:$M$500,0)),"")</f>
        <v/>
      </c>
      <c r="Q226" s="110" t="str">
        <f>IFERROR(INDEX('WetLitterbags placem_collection'!$A$3:$A$500,MATCH(A226,'WetLitterbags placem_collection'!$Q$4:$Q$500,0)),"")</f>
        <v/>
      </c>
    </row>
    <row r="227" spans="1:17" ht="13.95" customHeight="1">
      <c r="A227" s="110" t="s">
        <v>1392</v>
      </c>
      <c r="B227" s="110">
        <v>150</v>
      </c>
      <c r="C227" s="110">
        <v>0.71799999999999997</v>
      </c>
      <c r="E227" s="112">
        <v>42879</v>
      </c>
      <c r="N227" s="110">
        <f>IFERROR(INDEX('WetLitterbags placem_collection'!$A$3:$A$500,MATCH(A227,'WetLitterbags placem_collection'!$K$4:$K$500,0)),"")</f>
        <v>149</v>
      </c>
      <c r="O227" s="110" t="str">
        <f>IFERROR(INDEX('WetLitterbags placem_collection'!$A$3:$A$500,MATCH(A227,'WetLitterbags placem_collection'!$O$4:$O$500,0)),"")</f>
        <v/>
      </c>
      <c r="P227" s="110" t="str">
        <f>IFERROR(INDEX('WetLitterbags placem_collection'!$A$3:$A$500,MATCH(A227,'WetLitterbags placem_collection'!$M$4:$M$500,0)),"")</f>
        <v/>
      </c>
      <c r="Q227" s="110" t="str">
        <f>IFERROR(INDEX('WetLitterbags placem_collection'!$A$3:$A$500,MATCH(A227,'WetLitterbags placem_collection'!$Q$4:$Q$500,0)),"")</f>
        <v/>
      </c>
    </row>
    <row r="228" spans="1:17" ht="13.95" customHeight="1">
      <c r="A228" s="110" t="s">
        <v>1390</v>
      </c>
      <c r="B228" s="110">
        <v>67</v>
      </c>
      <c r="C228" s="110">
        <v>0.92510000000000003</v>
      </c>
      <c r="E228" s="112">
        <v>43125</v>
      </c>
      <c r="N228" s="110" t="str">
        <f>IFERROR(INDEX('WetLitterbags placem_collection'!$A$3:$A$500,MATCH(A228,'WetLitterbags placem_collection'!$K$4:$K$500,0)),"")</f>
        <v/>
      </c>
      <c r="O228" s="110">
        <f>IFERROR(INDEX('WetLitterbags placem_collection'!$A$3:$A$500,MATCH(A228,'WetLitterbags placem_collection'!$O$4:$O$500,0)),"")</f>
        <v>66</v>
      </c>
      <c r="P228" s="110" t="str">
        <f>IFERROR(INDEX('WetLitterbags placem_collection'!$A$3:$A$500,MATCH(A228,'WetLitterbags placem_collection'!$M$4:$M$500,0)),"")</f>
        <v/>
      </c>
      <c r="Q228" s="110" t="str">
        <f>IFERROR(INDEX('WetLitterbags placem_collection'!$A$3:$A$500,MATCH(A228,'WetLitterbags placem_collection'!$Q$4:$Q$500,0)),"")</f>
        <v/>
      </c>
    </row>
    <row r="229" spans="1:17" ht="13.95" customHeight="1">
      <c r="A229" s="110" t="s">
        <v>1385</v>
      </c>
      <c r="B229" s="110">
        <v>7</v>
      </c>
      <c r="C229" s="110">
        <v>0.56399999999999995</v>
      </c>
      <c r="E229" s="112">
        <v>42879</v>
      </c>
      <c r="N229" s="110" t="str">
        <f>IFERROR(INDEX('WetLitterbags placem_collection'!$A$3:$A$500,MATCH(A229,'WetLitterbags placem_collection'!$K$4:$K$500,0)),"")</f>
        <v/>
      </c>
      <c r="O229" s="110">
        <f>IFERROR(INDEX('WetLitterbags placem_collection'!$A$3:$A$500,MATCH(A229,'WetLitterbags placem_collection'!$O$4:$O$500,0)),"")</f>
        <v>6</v>
      </c>
      <c r="P229" s="110" t="str">
        <f>IFERROR(INDEX('WetLitterbags placem_collection'!$A$3:$A$500,MATCH(A229,'WetLitterbags placem_collection'!$M$4:$M$500,0)),"")</f>
        <v/>
      </c>
      <c r="Q229" s="110" t="str">
        <f>IFERROR(INDEX('WetLitterbags placem_collection'!$A$3:$A$500,MATCH(A229,'WetLitterbags placem_collection'!$Q$4:$Q$500,0)),"")</f>
        <v/>
      </c>
    </row>
    <row r="230" spans="1:17" ht="13.95" customHeight="1">
      <c r="A230" s="110" t="s">
        <v>1384</v>
      </c>
      <c r="B230" s="110">
        <v>121</v>
      </c>
      <c r="C230" s="110">
        <v>0.63500000000000001</v>
      </c>
      <c r="E230" s="112">
        <v>42879</v>
      </c>
      <c r="N230" s="110">
        <f>IFERROR(INDEX('WetLitterbags placem_collection'!$A$3:$A$500,MATCH(A230,'WetLitterbags placem_collection'!$K$4:$K$500,0)),"")</f>
        <v>120</v>
      </c>
      <c r="O230" s="110" t="str">
        <f>IFERROR(INDEX('WetLitterbags placem_collection'!$A$3:$A$500,MATCH(A230,'WetLitterbags placem_collection'!$O$4:$O$500,0)),"")</f>
        <v/>
      </c>
      <c r="P230" s="110" t="str">
        <f>IFERROR(INDEX('WetLitterbags placem_collection'!$A$3:$A$500,MATCH(A230,'WetLitterbags placem_collection'!$M$4:$M$500,0)),"")</f>
        <v/>
      </c>
      <c r="Q230" s="110" t="str">
        <f>IFERROR(INDEX('WetLitterbags placem_collection'!$A$3:$A$500,MATCH(A230,'WetLitterbags placem_collection'!$Q$4:$Q$500,0)),"")</f>
        <v/>
      </c>
    </row>
    <row r="231" spans="1:17" ht="13.95" customHeight="1">
      <c r="A231" s="110" t="s">
        <v>1383</v>
      </c>
      <c r="B231" s="110">
        <v>156</v>
      </c>
      <c r="C231" s="110">
        <v>0.65800000000000003</v>
      </c>
      <c r="E231" s="112">
        <v>42879</v>
      </c>
      <c r="N231" s="110" t="str">
        <f>IFERROR(INDEX('WetLitterbags placem_collection'!$A$3:$A$500,MATCH(A231,'WetLitterbags placem_collection'!$K$4:$K$500,0)),"")</f>
        <v/>
      </c>
      <c r="O231" s="110">
        <f>IFERROR(INDEX('WetLitterbags placem_collection'!$A$3:$A$500,MATCH(A231,'WetLitterbags placem_collection'!$O$4:$O$500,0)),"")</f>
        <v>155</v>
      </c>
      <c r="P231" s="110" t="str">
        <f>IFERROR(INDEX('WetLitterbags placem_collection'!$A$3:$A$500,MATCH(A231,'WetLitterbags placem_collection'!$M$4:$M$500,0)),"")</f>
        <v/>
      </c>
      <c r="Q231" s="110" t="str">
        <f>IFERROR(INDEX('WetLitterbags placem_collection'!$A$3:$A$500,MATCH(A231,'WetLitterbags placem_collection'!$Q$4:$Q$500,0)),"")</f>
        <v/>
      </c>
    </row>
    <row r="232" spans="1:17" ht="13.95" customHeight="1">
      <c r="A232" s="110" t="s">
        <v>1382</v>
      </c>
      <c r="B232" s="110">
        <v>205</v>
      </c>
      <c r="C232" s="110">
        <v>0.71</v>
      </c>
      <c r="E232" s="112">
        <v>43123</v>
      </c>
      <c r="N232" s="110" t="str">
        <f>IFERROR(INDEX('WetLitterbags placem_collection'!$A$3:$A$500,MATCH(A232,'WetLitterbags placem_collection'!$K$4:$K$500,0)),"")</f>
        <v/>
      </c>
      <c r="O232" s="110">
        <f>IFERROR(INDEX('WetLitterbags placem_collection'!$A$3:$A$500,MATCH(A232,'WetLitterbags placem_collection'!$O$4:$O$500,0)),"")</f>
        <v>204</v>
      </c>
      <c r="P232" s="110" t="str">
        <f>IFERROR(INDEX('WetLitterbags placem_collection'!$A$3:$A$500,MATCH(A232,'WetLitterbags placem_collection'!$M$4:$M$500,0)),"")</f>
        <v/>
      </c>
      <c r="Q232" s="110" t="str">
        <f>IFERROR(INDEX('WetLitterbags placem_collection'!$A$3:$A$500,MATCH(A232,'WetLitterbags placem_collection'!$Q$4:$Q$500,0)),"")</f>
        <v/>
      </c>
    </row>
    <row r="233" spans="1:17" ht="13.95" customHeight="1">
      <c r="A233" s="110" t="s">
        <v>1381</v>
      </c>
      <c r="B233" s="110" t="s">
        <v>2077</v>
      </c>
      <c r="C233" s="110">
        <v>0.7097</v>
      </c>
      <c r="D233" s="110" t="s">
        <v>2115</v>
      </c>
      <c r="E233" s="112">
        <v>43116</v>
      </c>
      <c r="N233" s="110">
        <f>IFERROR(INDEX('WetLitterbags placem_collection'!$A$3:$A$500,MATCH(A233,'WetLitterbags placem_collection'!$K$4:$K$500,0)),"")</f>
        <v>183</v>
      </c>
      <c r="O233" s="110" t="str">
        <f>IFERROR(INDEX('WetLitterbags placem_collection'!$A$3:$A$500,MATCH(A233,'WetLitterbags placem_collection'!$O$4:$O$500,0)),"")</f>
        <v/>
      </c>
      <c r="P233" s="110" t="str">
        <f>IFERROR(INDEX('WetLitterbags placem_collection'!$A$3:$A$500,MATCH(A233,'WetLitterbags placem_collection'!$M$4:$M$500,0)),"")</f>
        <v/>
      </c>
      <c r="Q233" s="110" t="str">
        <f>IFERROR(INDEX('WetLitterbags placem_collection'!$A$3:$A$500,MATCH(A233,'WetLitterbags placem_collection'!$Q$4:$Q$500,0)),"")</f>
        <v/>
      </c>
    </row>
    <row r="234" spans="1:17" ht="13.95" customHeight="1">
      <c r="A234" s="110" t="s">
        <v>1380</v>
      </c>
      <c r="B234" s="110">
        <v>35</v>
      </c>
      <c r="C234" s="110">
        <v>0.81699999999999995</v>
      </c>
      <c r="D234" s="110" t="s">
        <v>2051</v>
      </c>
      <c r="E234" s="112">
        <v>42879</v>
      </c>
      <c r="N234" s="110">
        <f>IFERROR(INDEX('WetLitterbags placem_collection'!$A$3:$A$500,MATCH(A234,'WetLitterbags placem_collection'!$K$4:$K$500,0)),"")</f>
        <v>34</v>
      </c>
      <c r="O234" s="110" t="str">
        <f>IFERROR(INDEX('WetLitterbags placem_collection'!$A$3:$A$500,MATCH(A234,'WetLitterbags placem_collection'!$O$4:$O$500,0)),"")</f>
        <v/>
      </c>
      <c r="P234" s="110" t="str">
        <f>IFERROR(INDEX('WetLitterbags placem_collection'!$A$3:$A$500,MATCH(A234,'WetLitterbags placem_collection'!$M$4:$M$500,0)),"")</f>
        <v/>
      </c>
      <c r="Q234" s="110" t="str">
        <f>IFERROR(INDEX('WetLitterbags placem_collection'!$A$3:$A$500,MATCH(A234,'WetLitterbags placem_collection'!$Q$4:$Q$500,0)),"")</f>
        <v/>
      </c>
    </row>
    <row r="235" spans="1:17" ht="13.95" customHeight="1">
      <c r="A235" s="110" t="s">
        <v>1377</v>
      </c>
      <c r="B235" s="110">
        <v>64</v>
      </c>
      <c r="C235" s="110">
        <v>1.0449999999999999</v>
      </c>
      <c r="E235" s="112">
        <v>42878</v>
      </c>
      <c r="N235" s="110" t="str">
        <f>IFERROR(INDEX('WetLitterbags placem_collection'!$A$3:$A$500,MATCH(A235,'WetLitterbags placem_collection'!$K$4:$K$500,0)),"")</f>
        <v/>
      </c>
      <c r="O235" s="110">
        <f>IFERROR(INDEX('WetLitterbags placem_collection'!$A$3:$A$500,MATCH(A235,'WetLitterbags placem_collection'!$O$4:$O$500,0)),"")</f>
        <v>63</v>
      </c>
      <c r="P235" s="110" t="str">
        <f>IFERROR(INDEX('WetLitterbags placem_collection'!$A$3:$A$500,MATCH(A235,'WetLitterbags placem_collection'!$M$4:$M$500,0)),"")</f>
        <v/>
      </c>
      <c r="Q235" s="110" t="str">
        <f>IFERROR(INDEX('WetLitterbags placem_collection'!$A$3:$A$500,MATCH(A235,'WetLitterbags placem_collection'!$Q$4:$Q$500,0)),"")</f>
        <v/>
      </c>
    </row>
    <row r="236" spans="1:17" ht="13.95" customHeight="1">
      <c r="A236" t="s">
        <v>1376</v>
      </c>
      <c r="B236" s="110">
        <v>170</v>
      </c>
      <c r="C236" s="110">
        <v>0.61299999999999999</v>
      </c>
      <c r="E236" s="112">
        <v>42878</v>
      </c>
      <c r="N236" s="110" t="str">
        <f>IFERROR(INDEX('WetLitterbags placem_collection'!$A$3:$A$500,MATCH(A236,'WetLitterbags placem_collection'!$K$4:$K$500,0)),"")</f>
        <v/>
      </c>
      <c r="O236" s="110">
        <f>IFERROR(INDEX('WetLitterbags placem_collection'!$A$3:$A$500,MATCH(A236,'WetLitterbags placem_collection'!$O$4:$O$500,0)),"")</f>
        <v>169</v>
      </c>
      <c r="P236" s="110" t="str">
        <f>IFERROR(INDEX('WetLitterbags placem_collection'!$A$3:$A$500,MATCH(A236,'WetLitterbags placem_collection'!$M$4:$M$500,0)),"")</f>
        <v/>
      </c>
      <c r="Q236" s="110" t="str">
        <f>IFERROR(INDEX('WetLitterbags placem_collection'!$A$3:$A$500,MATCH(A236,'WetLitterbags placem_collection'!$Q$4:$Q$500,0)),"")</f>
        <v/>
      </c>
    </row>
    <row r="237" spans="1:17" ht="13.95" customHeight="1">
      <c r="A237" s="110" t="s">
        <v>1375</v>
      </c>
      <c r="B237" s="110">
        <v>154</v>
      </c>
      <c r="C237" s="110">
        <v>0.61299999999999999</v>
      </c>
      <c r="D237" s="110" t="s">
        <v>2058</v>
      </c>
      <c r="E237" s="112">
        <v>42881</v>
      </c>
      <c r="N237" s="110">
        <f>IFERROR(INDEX('WetLitterbags placem_collection'!$A$3:$A$500,MATCH(A237,'WetLitterbags placem_collection'!$K$4:$K$500,0)),"")</f>
        <v>153</v>
      </c>
      <c r="O237" s="110" t="str">
        <f>IFERROR(INDEX('WetLitterbags placem_collection'!$A$3:$A$500,MATCH(A237,'WetLitterbags placem_collection'!$O$4:$O$500,0)),"")</f>
        <v/>
      </c>
      <c r="P237" s="110" t="str">
        <f>IFERROR(INDEX('WetLitterbags placem_collection'!$A$3:$A$500,MATCH(A237,'WetLitterbags placem_collection'!$M$4:$M$500,0)),"")</f>
        <v/>
      </c>
      <c r="Q237" s="110" t="str">
        <f>IFERROR(INDEX('WetLitterbags placem_collection'!$A$3:$A$500,MATCH(A237,'WetLitterbags placem_collection'!$Q$4:$Q$500,0)),"")</f>
        <v/>
      </c>
    </row>
    <row r="238" spans="1:17" ht="13.95" customHeight="1">
      <c r="A238" s="110" t="s">
        <v>1374</v>
      </c>
      <c r="B238" s="110">
        <v>107</v>
      </c>
      <c r="C238" s="110">
        <v>0.67630000000000001</v>
      </c>
      <c r="E238" s="112">
        <v>43125</v>
      </c>
      <c r="N238" s="110" t="str">
        <f>IFERROR(INDEX('WetLitterbags placem_collection'!$A$3:$A$500,MATCH(A238,'WetLitterbags placem_collection'!$K$4:$K$500,0)),"")</f>
        <v/>
      </c>
      <c r="O238" s="110">
        <f>IFERROR(INDEX('WetLitterbags placem_collection'!$A$3:$A$500,MATCH(A238,'WetLitterbags placem_collection'!$O$4:$O$500,0)),"")</f>
        <v>106</v>
      </c>
      <c r="P238" s="110" t="str">
        <f>IFERROR(INDEX('WetLitterbags placem_collection'!$A$3:$A$500,MATCH(A238,'WetLitterbags placem_collection'!$M$4:$M$500,0)),"")</f>
        <v/>
      </c>
      <c r="Q238" s="110" t="str">
        <f>IFERROR(INDEX('WetLitterbags placem_collection'!$A$3:$A$500,MATCH(A238,'WetLitterbags placem_collection'!$Q$4:$Q$500,0)),"")</f>
        <v/>
      </c>
    </row>
    <row r="239" spans="1:17" ht="13.95" customHeight="1">
      <c r="A239" s="110" t="s">
        <v>1373</v>
      </c>
      <c r="B239" s="110">
        <v>207</v>
      </c>
      <c r="C239" s="110">
        <v>0.85699999999999998</v>
      </c>
      <c r="E239" s="112">
        <v>42879</v>
      </c>
      <c r="N239" s="110">
        <f>IFERROR(INDEX('WetLitterbags placem_collection'!$A$3:$A$500,MATCH(A239,'WetLitterbags placem_collection'!$K$4:$K$500,0)),"")</f>
        <v>205</v>
      </c>
      <c r="O239" s="110" t="str">
        <f>IFERROR(INDEX('WetLitterbags placem_collection'!$A$3:$A$500,MATCH(A239,'WetLitterbags placem_collection'!$O$4:$O$500,0)),"")</f>
        <v/>
      </c>
      <c r="P239" s="110" t="str">
        <f>IFERROR(INDEX('WetLitterbags placem_collection'!$A$3:$A$500,MATCH(A239,'WetLitterbags placem_collection'!$M$4:$M$500,0)),"")</f>
        <v/>
      </c>
      <c r="Q239" s="110" t="str">
        <f>IFERROR(INDEX('WetLitterbags placem_collection'!$A$3:$A$500,MATCH(A239,'WetLitterbags placem_collection'!$Q$4:$Q$500,0)),"")</f>
        <v/>
      </c>
    </row>
    <row r="240" spans="1:17" ht="13.95" customHeight="1">
      <c r="A240" s="110" t="s">
        <v>1372</v>
      </c>
      <c r="B240" s="110">
        <v>147</v>
      </c>
      <c r="C240" s="110">
        <v>0.70199999999999996</v>
      </c>
      <c r="D240" s="110" t="s">
        <v>2119</v>
      </c>
      <c r="E240" s="112">
        <v>42878</v>
      </c>
      <c r="N240" s="110">
        <f>IFERROR(INDEX('WetLitterbags placem_collection'!$A$3:$A$500,MATCH(A240,'WetLitterbags placem_collection'!$K$4:$K$500,0)),"")</f>
        <v>146</v>
      </c>
      <c r="O240" s="110" t="str">
        <f>IFERROR(INDEX('WetLitterbags placem_collection'!$A$3:$A$500,MATCH(A240,'WetLitterbags placem_collection'!$O$4:$O$500,0)),"")</f>
        <v/>
      </c>
      <c r="P240" s="110" t="str">
        <f>IFERROR(INDEX('WetLitterbags placem_collection'!$A$3:$A$500,MATCH(A240,'WetLitterbags placem_collection'!$M$4:$M$500,0)),"")</f>
        <v/>
      </c>
      <c r="Q240" s="110" t="str">
        <f>IFERROR(INDEX('WetLitterbags placem_collection'!$A$3:$A$500,MATCH(A240,'WetLitterbags placem_collection'!$Q$4:$Q$500,0)),"")</f>
        <v/>
      </c>
    </row>
    <row r="241" spans="1:17" ht="13.95" customHeight="1">
      <c r="A241" s="110" t="s">
        <v>1371</v>
      </c>
      <c r="B241" s="110">
        <v>46</v>
      </c>
      <c r="C241" s="110">
        <v>0.83199999999999996</v>
      </c>
      <c r="E241" s="112">
        <v>42881</v>
      </c>
      <c r="N241" s="110">
        <f>IFERROR(INDEX('WetLitterbags placem_collection'!$A$3:$A$500,MATCH(A241,'WetLitterbags placem_collection'!$K$4:$K$500,0)),"")</f>
        <v>47</v>
      </c>
      <c r="O241" s="110" t="str">
        <f>IFERROR(INDEX('WetLitterbags placem_collection'!$A$3:$A$500,MATCH(A241,'WetLitterbags placem_collection'!$O$4:$O$500,0)),"")</f>
        <v/>
      </c>
      <c r="P241" s="110" t="str">
        <f>IFERROR(INDEX('WetLitterbags placem_collection'!$A$3:$A$500,MATCH(A241,'WetLitterbags placem_collection'!$M$4:$M$500,0)),"")</f>
        <v/>
      </c>
      <c r="Q241" s="110" t="str">
        <f>IFERROR(INDEX('WetLitterbags placem_collection'!$A$3:$A$500,MATCH(A241,'WetLitterbags placem_collection'!$Q$4:$Q$500,0)),"")</f>
        <v/>
      </c>
    </row>
    <row r="242" spans="1:17" ht="13.95" customHeight="1">
      <c r="A242" s="110" t="s">
        <v>1370</v>
      </c>
      <c r="B242" s="110">
        <v>168</v>
      </c>
      <c r="C242" s="110">
        <v>0.998</v>
      </c>
      <c r="E242" s="112">
        <v>42881</v>
      </c>
      <c r="N242" s="110" t="str">
        <f>IFERROR(INDEX('WetLitterbags placem_collection'!$A$3:$A$500,MATCH(A242,'WetLitterbags placem_collection'!$K$4:$K$500,0)),"")</f>
        <v/>
      </c>
      <c r="O242" s="110">
        <f>IFERROR(INDEX('WetLitterbags placem_collection'!$A$3:$A$500,MATCH(A242,'WetLitterbags placem_collection'!$O$4:$O$500,0)),"")</f>
        <v>167</v>
      </c>
      <c r="P242" s="110" t="str">
        <f>IFERROR(INDEX('WetLitterbags placem_collection'!$A$3:$A$500,MATCH(A242,'WetLitterbags placem_collection'!$M$4:$M$500,0)),"")</f>
        <v/>
      </c>
      <c r="Q242" s="110" t="str">
        <f>IFERROR(INDEX('WetLitterbags placem_collection'!$A$3:$A$500,MATCH(A242,'WetLitterbags placem_collection'!$Q$4:$Q$500,0)),"")</f>
        <v/>
      </c>
    </row>
    <row r="243" spans="1:17" ht="13.95" customHeight="1">
      <c r="A243" s="110" t="s">
        <v>1369</v>
      </c>
      <c r="B243" s="110">
        <v>118</v>
      </c>
      <c r="C243" s="110">
        <v>0.56799999999999995</v>
      </c>
      <c r="E243" s="112">
        <v>42879</v>
      </c>
      <c r="N243" s="110">
        <f>IFERROR(INDEX('WetLitterbags placem_collection'!$A$3:$A$500,MATCH(A243,'WetLitterbags placem_collection'!$K$4:$K$500,0)),"")</f>
        <v>117</v>
      </c>
      <c r="O243" s="110" t="str">
        <f>IFERROR(INDEX('WetLitterbags placem_collection'!$A$3:$A$500,MATCH(A243,'WetLitterbags placem_collection'!$O$4:$O$500,0)),"")</f>
        <v/>
      </c>
      <c r="P243" s="110" t="str">
        <f>IFERROR(INDEX('WetLitterbags placem_collection'!$A$3:$A$500,MATCH(A243,'WetLitterbags placem_collection'!$M$4:$M$500,0)),"")</f>
        <v/>
      </c>
      <c r="Q243" s="110" t="str">
        <f>IFERROR(INDEX('WetLitterbags placem_collection'!$A$3:$A$500,MATCH(A243,'WetLitterbags placem_collection'!$Q$4:$Q$500,0)),"")</f>
        <v/>
      </c>
    </row>
    <row r="244" spans="1:17" ht="13.95" customHeight="1">
      <c r="A244" s="110" t="s">
        <v>1368</v>
      </c>
      <c r="B244" s="110">
        <v>124</v>
      </c>
      <c r="C244" s="110">
        <v>0.61199999999999999</v>
      </c>
      <c r="E244" s="112">
        <v>42881</v>
      </c>
      <c r="N244" s="110" t="str">
        <f>IFERROR(INDEX('WetLitterbags placem_collection'!$A$3:$A$500,MATCH(A244,'WetLitterbags placem_collection'!$K$4:$K$500,0)),"")</f>
        <v/>
      </c>
      <c r="O244" s="110">
        <f>IFERROR(INDEX('WetLitterbags placem_collection'!$A$3:$A$500,MATCH(A244,'WetLitterbags placem_collection'!$O$4:$O$500,0)),"")</f>
        <v>123</v>
      </c>
      <c r="P244" s="110" t="str">
        <f>IFERROR(INDEX('WetLitterbags placem_collection'!$A$3:$A$500,MATCH(A244,'WetLitterbags placem_collection'!$M$4:$M$500,0)),"")</f>
        <v/>
      </c>
      <c r="Q244" s="110" t="str">
        <f>IFERROR(INDEX('WetLitterbags placem_collection'!$A$3:$A$500,MATCH(A244,'WetLitterbags placem_collection'!$Q$4:$Q$500,0)),"")</f>
        <v/>
      </c>
    </row>
    <row r="245" spans="1:17" ht="13.95" customHeight="1">
      <c r="A245" s="110" t="s">
        <v>1366</v>
      </c>
      <c r="B245" s="110">
        <v>154</v>
      </c>
      <c r="C245" s="110">
        <v>0.60499999999999998</v>
      </c>
      <c r="E245" s="112">
        <v>42881</v>
      </c>
      <c r="N245" s="110" t="str">
        <f>IFERROR(INDEX('WetLitterbags placem_collection'!$A$3:$A$500,MATCH(A245,'WetLitterbags placem_collection'!$K$4:$K$500,0)),"")</f>
        <v/>
      </c>
      <c r="O245" s="110">
        <f>IFERROR(INDEX('WetLitterbags placem_collection'!$A$3:$A$500,MATCH(A245,'WetLitterbags placem_collection'!$O$4:$O$500,0)),"")</f>
        <v>153</v>
      </c>
      <c r="P245" s="110" t="str">
        <f>IFERROR(INDEX('WetLitterbags placem_collection'!$A$3:$A$500,MATCH(A245,'WetLitterbags placem_collection'!$M$4:$M$500,0)),"")</f>
        <v/>
      </c>
      <c r="Q245" s="110" t="str">
        <f>IFERROR(INDEX('WetLitterbags placem_collection'!$A$3:$A$500,MATCH(A245,'WetLitterbags placem_collection'!$Q$4:$Q$500,0)),"")</f>
        <v/>
      </c>
    </row>
    <row r="246" spans="1:17" ht="13.95" customHeight="1">
      <c r="A246" s="110" t="s">
        <v>1365</v>
      </c>
      <c r="B246" s="110">
        <v>15</v>
      </c>
      <c r="C246" s="110">
        <v>0.72199999999999998</v>
      </c>
      <c r="E246" s="112">
        <v>42879</v>
      </c>
      <c r="N246" s="110" t="str">
        <f>IFERROR(INDEX('WetLitterbags placem_collection'!$A$3:$A$500,MATCH(A246,'WetLitterbags placem_collection'!$K$4:$K$500,0)),"")</f>
        <v/>
      </c>
      <c r="O246" s="110">
        <f>IFERROR(INDEX('WetLitterbags placem_collection'!$A$3:$A$500,MATCH(A246,'WetLitterbags placem_collection'!$O$4:$O$500,0)),"")</f>
        <v>14</v>
      </c>
      <c r="P246" s="110" t="str">
        <f>IFERROR(INDEX('WetLitterbags placem_collection'!$A$3:$A$500,MATCH(A246,'WetLitterbags placem_collection'!$M$4:$M$500,0)),"")</f>
        <v/>
      </c>
      <c r="Q246" s="110" t="str">
        <f>IFERROR(INDEX('WetLitterbags placem_collection'!$A$3:$A$500,MATCH(A246,'WetLitterbags placem_collection'!$Q$4:$Q$500,0)),"")</f>
        <v/>
      </c>
    </row>
    <row r="247" spans="1:17" ht="13.95" customHeight="1">
      <c r="A247" s="110" t="s">
        <v>1364</v>
      </c>
      <c r="B247" s="110">
        <v>64</v>
      </c>
      <c r="C247" s="110">
        <v>0.628</v>
      </c>
      <c r="E247" s="112">
        <v>42879</v>
      </c>
      <c r="N247" s="110">
        <f>IFERROR(INDEX('WetLitterbags placem_collection'!$A$3:$A$500,MATCH(A247,'WetLitterbags placem_collection'!$K$4:$K$500,0)),"")</f>
        <v>163</v>
      </c>
      <c r="O247" s="110" t="str">
        <f>IFERROR(INDEX('WetLitterbags placem_collection'!$A$3:$A$500,MATCH(A247,'WetLitterbags placem_collection'!$O$4:$O$500,0)),"")</f>
        <v/>
      </c>
      <c r="P247" s="110" t="str">
        <f>IFERROR(INDEX('WetLitterbags placem_collection'!$A$3:$A$500,MATCH(A247,'WetLitterbags placem_collection'!$M$4:$M$500,0)),"")</f>
        <v/>
      </c>
      <c r="Q247" s="110" t="str">
        <f>IFERROR(INDEX('WetLitterbags placem_collection'!$A$3:$A$500,MATCH(A247,'WetLitterbags placem_collection'!$Q$4:$Q$500,0)),"")</f>
        <v/>
      </c>
    </row>
    <row r="248" spans="1:17" ht="13.95" customHeight="1">
      <c r="A248" s="110" t="s">
        <v>1363</v>
      </c>
      <c r="B248" s="110">
        <v>127</v>
      </c>
      <c r="C248" s="110">
        <v>0.57699999999999996</v>
      </c>
      <c r="E248" s="112">
        <v>42879</v>
      </c>
      <c r="N248" s="110" t="str">
        <f>IFERROR(INDEX('WetLitterbags placem_collection'!$A$3:$A$500,MATCH(A248,'WetLitterbags placem_collection'!$K$4:$K$500,0)),"")</f>
        <v/>
      </c>
      <c r="O248" s="110">
        <f>IFERROR(INDEX('WetLitterbags placem_collection'!$A$3:$A$500,MATCH(A248,'WetLitterbags placem_collection'!$O$4:$O$500,0)),"")</f>
        <v>126</v>
      </c>
      <c r="P248" s="110" t="str">
        <f>IFERROR(INDEX('WetLitterbags placem_collection'!$A$3:$A$500,MATCH(A248,'WetLitterbags placem_collection'!$M$4:$M$500,0)),"")</f>
        <v/>
      </c>
      <c r="Q248" s="110" t="str">
        <f>IFERROR(INDEX('WetLitterbags placem_collection'!$A$3:$A$500,MATCH(A248,'WetLitterbags placem_collection'!$Q$4:$Q$500,0)),"")</f>
        <v/>
      </c>
    </row>
    <row r="249" spans="1:17" ht="13.95" customHeight="1">
      <c r="A249" s="110" t="s">
        <v>1362</v>
      </c>
      <c r="B249" s="110">
        <v>107</v>
      </c>
      <c r="C249" s="110">
        <v>0.60899999999999999</v>
      </c>
      <c r="E249" s="112">
        <v>43125</v>
      </c>
      <c r="N249" s="110">
        <f>IFERROR(INDEX('WetLitterbags placem_collection'!$A$3:$A$500,MATCH(A249,'WetLitterbags placem_collection'!$K$4:$K$500,0)),"")</f>
        <v>106</v>
      </c>
      <c r="O249" s="110" t="str">
        <f>IFERROR(INDEX('WetLitterbags placem_collection'!$A$3:$A$500,MATCH(A249,'WetLitterbags placem_collection'!$O$4:$O$500,0)),"")</f>
        <v/>
      </c>
      <c r="P249" s="110" t="str">
        <f>IFERROR(INDEX('WetLitterbags placem_collection'!$A$3:$A$500,MATCH(A249,'WetLitterbags placem_collection'!$M$4:$M$500,0)),"")</f>
        <v/>
      </c>
      <c r="Q249" s="110" t="str">
        <f>IFERROR(INDEX('WetLitterbags placem_collection'!$A$3:$A$500,MATCH(A249,'WetLitterbags placem_collection'!$Q$4:$Q$500,0)),"")</f>
        <v/>
      </c>
    </row>
    <row r="250" spans="1:17" ht="13.95" customHeight="1">
      <c r="A250" s="110" t="s">
        <v>1361</v>
      </c>
      <c r="B250" s="110">
        <v>146</v>
      </c>
      <c r="C250" s="110">
        <v>0.52200000000000002</v>
      </c>
      <c r="D250" s="110" t="s">
        <v>2115</v>
      </c>
      <c r="E250" s="112">
        <v>42878</v>
      </c>
      <c r="N250" s="110">
        <f>IFERROR(INDEX('WetLitterbags placem_collection'!$A$3:$A$500,MATCH(A250,'WetLitterbags placem_collection'!$K$4:$K$500,0)),"")</f>
        <v>145</v>
      </c>
      <c r="O250" s="110" t="str">
        <f>IFERROR(INDEX('WetLitterbags placem_collection'!$A$3:$A$500,MATCH(A250,'WetLitterbags placem_collection'!$O$4:$O$500,0)),"")</f>
        <v/>
      </c>
      <c r="P250" s="110" t="str">
        <f>IFERROR(INDEX('WetLitterbags placem_collection'!$A$3:$A$500,MATCH(A250,'WetLitterbags placem_collection'!$M$4:$M$500,0)),"")</f>
        <v/>
      </c>
      <c r="Q250" s="110" t="str">
        <f>IFERROR(INDEX('WetLitterbags placem_collection'!$A$3:$A$500,MATCH(A250,'WetLitterbags placem_collection'!$Q$4:$Q$500,0)),"")</f>
        <v/>
      </c>
    </row>
    <row r="251" spans="1:17" ht="13.95" customHeight="1">
      <c r="A251" s="110" t="s">
        <v>1360</v>
      </c>
      <c r="B251" s="110">
        <v>43</v>
      </c>
      <c r="C251" s="110">
        <v>0.71519999999999995</v>
      </c>
      <c r="D251" s="110" t="s">
        <v>2118</v>
      </c>
      <c r="E251" s="112">
        <v>43123</v>
      </c>
      <c r="N251" s="110">
        <f>IFERROR(INDEX('WetLitterbags placem_collection'!$A$3:$A$500,MATCH(A251,'WetLitterbags placem_collection'!$K$4:$K$500,0)),"")</f>
        <v>42</v>
      </c>
      <c r="O251" s="110" t="str">
        <f>IFERROR(INDEX('WetLitterbags placem_collection'!$A$3:$A$500,MATCH(A251,'WetLitterbags placem_collection'!$O$4:$O$500,0)),"")</f>
        <v/>
      </c>
      <c r="P251" s="110" t="str">
        <f>IFERROR(INDEX('WetLitterbags placem_collection'!$A$3:$A$500,MATCH(A251,'WetLitterbags placem_collection'!$M$4:$M$500,0)),"")</f>
        <v/>
      </c>
      <c r="Q251" s="110" t="str">
        <f>IFERROR(INDEX('WetLitterbags placem_collection'!$A$3:$A$500,MATCH(A251,'WetLitterbags placem_collection'!$Q$4:$Q$500,0)),"")</f>
        <v/>
      </c>
    </row>
    <row r="252" spans="1:17" ht="13.95" customHeight="1">
      <c r="A252" s="110" t="s">
        <v>1359</v>
      </c>
      <c r="B252" s="110">
        <v>99</v>
      </c>
      <c r="C252" s="110">
        <v>0.52829999999999999</v>
      </c>
      <c r="D252" s="110" t="s">
        <v>2119</v>
      </c>
      <c r="E252" s="112">
        <v>43123</v>
      </c>
      <c r="N252" s="110" t="str">
        <f>IFERROR(INDEX('WetLitterbags placem_collection'!$A$3:$A$500,MATCH(A252,'WetLitterbags placem_collection'!$K$4:$K$500,0)),"")</f>
        <v/>
      </c>
      <c r="O252" s="110">
        <f>IFERROR(INDEX('WetLitterbags placem_collection'!$A$3:$A$500,MATCH(A252,'WetLitterbags placem_collection'!$O$4:$O$500,0)),"")</f>
        <v>98</v>
      </c>
      <c r="P252" s="110" t="str">
        <f>IFERROR(INDEX('WetLitterbags placem_collection'!$A$3:$A$500,MATCH(A252,'WetLitterbags placem_collection'!$M$4:$M$500,0)),"")</f>
        <v/>
      </c>
      <c r="Q252" s="110" t="str">
        <f>IFERROR(INDEX('WetLitterbags placem_collection'!$A$3:$A$500,MATCH(A252,'WetLitterbags placem_collection'!$Q$4:$Q$500,0)),"")</f>
        <v/>
      </c>
    </row>
    <row r="253" spans="1:17" ht="13.95" customHeight="1">
      <c r="A253" s="110" t="s">
        <v>1358</v>
      </c>
      <c r="B253" s="110">
        <v>103</v>
      </c>
      <c r="C253" s="110">
        <v>0.58699999999999997</v>
      </c>
      <c r="E253" s="112">
        <v>42881</v>
      </c>
      <c r="N253" s="110" t="str">
        <f>IFERROR(INDEX('WetLitterbags placem_collection'!$A$3:$A$500,MATCH(A253,'WetLitterbags placem_collection'!$K$4:$K$500,0)),"")</f>
        <v/>
      </c>
      <c r="O253" s="110">
        <f>IFERROR(INDEX('WetLitterbags placem_collection'!$A$3:$A$500,MATCH(A253,'WetLitterbags placem_collection'!$O$4:$O$500,0)),"")</f>
        <v>102</v>
      </c>
      <c r="P253" s="110" t="str">
        <f>IFERROR(INDEX('WetLitterbags placem_collection'!$A$3:$A$500,MATCH(A253,'WetLitterbags placem_collection'!$M$4:$M$500,0)),"")</f>
        <v/>
      </c>
      <c r="Q253" s="110" t="str">
        <f>IFERROR(INDEX('WetLitterbags placem_collection'!$A$3:$A$500,MATCH(A253,'WetLitterbags placem_collection'!$Q$4:$Q$500,0)),"")</f>
        <v/>
      </c>
    </row>
    <row r="254" spans="1:17" ht="13.95" customHeight="1">
      <c r="A254" s="110" t="s">
        <v>1357</v>
      </c>
      <c r="B254" s="110">
        <v>115</v>
      </c>
      <c r="C254" s="110">
        <v>0.63400000000000001</v>
      </c>
      <c r="E254" s="112">
        <v>43125</v>
      </c>
      <c r="N254" s="110">
        <f>IFERROR(INDEX('WetLitterbags placem_collection'!$A$3:$A$500,MATCH(A254,'WetLitterbags placem_collection'!$K$4:$K$500,0)),"")</f>
        <v>114</v>
      </c>
      <c r="O254" s="110" t="str">
        <f>IFERROR(INDEX('WetLitterbags placem_collection'!$A$3:$A$500,MATCH(A254,'WetLitterbags placem_collection'!$O$4:$O$500,0)),"")</f>
        <v/>
      </c>
      <c r="P254" s="110" t="str">
        <f>IFERROR(INDEX('WetLitterbags placem_collection'!$A$3:$A$500,MATCH(A254,'WetLitterbags placem_collection'!$M$4:$M$500,0)),"")</f>
        <v/>
      </c>
      <c r="Q254" s="110" t="str">
        <f>IFERROR(INDEX('WetLitterbags placem_collection'!$A$3:$A$500,MATCH(A254,'WetLitterbags placem_collection'!$Q$4:$Q$500,0)),"")</f>
        <v/>
      </c>
    </row>
    <row r="255" spans="1:17" ht="13.95" customHeight="1">
      <c r="A255" s="110" t="s">
        <v>1356</v>
      </c>
      <c r="B255">
        <v>123</v>
      </c>
      <c r="C255" s="110">
        <v>0.622</v>
      </c>
      <c r="E255" s="112">
        <v>42879</v>
      </c>
      <c r="N255" s="110">
        <f>IFERROR(INDEX('WetLitterbags placem_collection'!$A$3:$A$500,MATCH(A255,'WetLitterbags placem_collection'!$K$4:$K$500,0)),"")</f>
        <v>122</v>
      </c>
      <c r="O255" s="110" t="str">
        <f>IFERROR(INDEX('WetLitterbags placem_collection'!$A$3:$A$500,MATCH(A255,'WetLitterbags placem_collection'!$O$4:$O$500,0)),"")</f>
        <v/>
      </c>
      <c r="P255" s="110" t="str">
        <f>IFERROR(INDEX('WetLitterbags placem_collection'!$A$3:$A$500,MATCH(A255,'WetLitterbags placem_collection'!$M$4:$M$500,0)),"")</f>
        <v/>
      </c>
      <c r="Q255" s="110" t="str">
        <f>IFERROR(INDEX('WetLitterbags placem_collection'!$A$3:$A$500,MATCH(A255,'WetLitterbags placem_collection'!$Q$4:$Q$500,0)),"")</f>
        <v/>
      </c>
    </row>
    <row r="256" spans="1:17" ht="13.95" customHeight="1">
      <c r="A256" s="110" t="s">
        <v>1355</v>
      </c>
      <c r="B256" s="110">
        <v>111</v>
      </c>
      <c r="C256" s="110">
        <v>0.621</v>
      </c>
      <c r="E256" s="112">
        <v>42879</v>
      </c>
      <c r="N256" s="110" t="str">
        <f>IFERROR(INDEX('WetLitterbags placem_collection'!$A$3:$A$500,MATCH(A256,'WetLitterbags placem_collection'!$K$4:$K$500,0)),"")</f>
        <v/>
      </c>
      <c r="O256" s="110">
        <f>IFERROR(INDEX('WetLitterbags placem_collection'!$A$3:$A$500,MATCH(A256,'WetLitterbags placem_collection'!$O$4:$O$500,0)),"")</f>
        <v>110</v>
      </c>
      <c r="P256" s="110" t="str">
        <f>IFERROR(INDEX('WetLitterbags placem_collection'!$A$3:$A$500,MATCH(A256,'WetLitterbags placem_collection'!$M$4:$M$500,0)),"")</f>
        <v/>
      </c>
      <c r="Q256" s="110" t="str">
        <f>IFERROR(INDEX('WetLitterbags placem_collection'!$A$3:$A$500,MATCH(A256,'WetLitterbags placem_collection'!$Q$4:$Q$500,0)),"")</f>
        <v/>
      </c>
    </row>
    <row r="257" spans="1:17" ht="13.95" customHeight="1">
      <c r="A257" s="110" t="s">
        <v>1354</v>
      </c>
      <c r="B257" s="110" t="s">
        <v>2077</v>
      </c>
      <c r="C257" s="110">
        <v>0.82469999999999999</v>
      </c>
      <c r="E257" s="112">
        <v>43119</v>
      </c>
      <c r="N257" s="110" t="str">
        <f>IFERROR(INDEX('WetLitterbags placem_collection'!$A$3:$A$500,MATCH(A257,'WetLitterbags placem_collection'!$K$4:$K$500,0)),"")</f>
        <v/>
      </c>
      <c r="O257" s="110">
        <f>IFERROR(INDEX('WetLitterbags placem_collection'!$A$3:$A$500,MATCH(A257,'WetLitterbags placem_collection'!$O$4:$O$500,0)),"")</f>
        <v>148</v>
      </c>
      <c r="P257" s="110" t="str">
        <f>IFERROR(INDEX('WetLitterbags placem_collection'!$A$3:$A$500,MATCH(A257,'WetLitterbags placem_collection'!$M$4:$M$500,0)),"")</f>
        <v/>
      </c>
      <c r="Q257" s="110" t="str">
        <f>IFERROR(INDEX('WetLitterbags placem_collection'!$A$3:$A$500,MATCH(A257,'WetLitterbags placem_collection'!$Q$4:$Q$500,0)),"")</f>
        <v/>
      </c>
    </row>
    <row r="258" spans="1:17" ht="13.95" customHeight="1">
      <c r="A258" s="110" t="s">
        <v>1353</v>
      </c>
      <c r="B258" s="110">
        <v>143</v>
      </c>
      <c r="C258" s="110">
        <v>0.67500000000000004</v>
      </c>
      <c r="E258" s="112">
        <v>43125</v>
      </c>
      <c r="N258" s="110" t="str">
        <f>IFERROR(INDEX('WetLitterbags placem_collection'!$A$3:$A$500,MATCH(A258,'WetLitterbags placem_collection'!$K$4:$K$500,0)),"")</f>
        <v/>
      </c>
      <c r="O258" s="110">
        <f>IFERROR(INDEX('WetLitterbags placem_collection'!$A$3:$A$500,MATCH(A258,'WetLitterbags placem_collection'!$O$4:$O$500,0)),"")</f>
        <v>142</v>
      </c>
      <c r="P258" s="110" t="str">
        <f>IFERROR(INDEX('WetLitterbags placem_collection'!$A$3:$A$500,MATCH(A258,'WetLitterbags placem_collection'!$M$4:$M$500,0)),"")</f>
        <v/>
      </c>
      <c r="Q258" s="110" t="str">
        <f>IFERROR(INDEX('WetLitterbags placem_collection'!$A$3:$A$500,MATCH(A258,'WetLitterbags placem_collection'!$Q$4:$Q$500,0)),"")</f>
        <v/>
      </c>
    </row>
    <row r="259" spans="1:17" ht="13.95" customHeight="1">
      <c r="A259" s="110" t="s">
        <v>1352</v>
      </c>
      <c r="B259" s="110">
        <v>120</v>
      </c>
      <c r="C259" s="110">
        <v>0.55310000000000004</v>
      </c>
      <c r="E259" s="112">
        <v>43125</v>
      </c>
      <c r="N259" s="110" t="str">
        <f>IFERROR(INDEX('WetLitterbags placem_collection'!$A$3:$A$500,MATCH(A259,'WetLitterbags placem_collection'!$K$4:$K$500,0)),"")</f>
        <v/>
      </c>
      <c r="O259" s="110">
        <f>IFERROR(INDEX('WetLitterbags placem_collection'!$A$3:$A$500,MATCH(A259,'WetLitterbags placem_collection'!$O$4:$O$500,0)),"")</f>
        <v>119</v>
      </c>
      <c r="P259" s="110" t="str">
        <f>IFERROR(INDEX('WetLitterbags placem_collection'!$A$3:$A$500,MATCH(A259,'WetLitterbags placem_collection'!$M$4:$M$500,0)),"")</f>
        <v/>
      </c>
      <c r="Q259" s="110" t="str">
        <f>IFERROR(INDEX('WetLitterbags placem_collection'!$A$3:$A$500,MATCH(A259,'WetLitterbags placem_collection'!$Q$4:$Q$500,0)),"")</f>
        <v/>
      </c>
    </row>
    <row r="260" spans="1:17" ht="13.95" customHeight="1">
      <c r="A260" s="110" t="s">
        <v>1351</v>
      </c>
      <c r="B260" s="110">
        <v>21</v>
      </c>
      <c r="C260" s="110">
        <v>0.7389</v>
      </c>
      <c r="E260" s="112">
        <v>43122</v>
      </c>
      <c r="N260" s="110">
        <f>IFERROR(INDEX('WetLitterbags placem_collection'!$A$3:$A$500,MATCH(A260,'WetLitterbags placem_collection'!$K$4:$K$500,0)),"")</f>
        <v>20</v>
      </c>
      <c r="O260" s="110" t="str">
        <f>IFERROR(INDEX('WetLitterbags placem_collection'!$A$3:$A$500,MATCH(A260,'WetLitterbags placem_collection'!$O$4:$O$500,0)),"")</f>
        <v/>
      </c>
      <c r="P260" s="110" t="str">
        <f>IFERROR(INDEX('WetLitterbags placem_collection'!$A$3:$A$500,MATCH(A260,'WetLitterbags placem_collection'!$M$4:$M$500,0)),"")</f>
        <v/>
      </c>
      <c r="Q260" s="110" t="str">
        <f>IFERROR(INDEX('WetLitterbags placem_collection'!$A$3:$A$500,MATCH(A260,'WetLitterbags placem_collection'!$Q$4:$Q$500,0)),"")</f>
        <v/>
      </c>
    </row>
    <row r="261" spans="1:17" ht="13.95" customHeight="1">
      <c r="A261" s="110" t="s">
        <v>1350</v>
      </c>
      <c r="B261" s="110">
        <v>65</v>
      </c>
      <c r="C261" s="110">
        <v>0.82299999999999995</v>
      </c>
      <c r="E261" s="112">
        <v>42879</v>
      </c>
      <c r="N261" s="110" t="str">
        <f>IFERROR(INDEX('WetLitterbags placem_collection'!$A$3:$A$500,MATCH(A261,'WetLitterbags placem_collection'!$K$4:$K$500,0)),"")</f>
        <v/>
      </c>
      <c r="O261" s="110">
        <f>IFERROR(INDEX('WetLitterbags placem_collection'!$A$3:$A$500,MATCH(A261,'WetLitterbags placem_collection'!$O$4:$O$500,0)),"")</f>
        <v>64</v>
      </c>
      <c r="P261" s="110" t="str">
        <f>IFERROR(INDEX('WetLitterbags placem_collection'!$A$3:$A$500,MATCH(A261,'WetLitterbags placem_collection'!$M$4:$M$500,0)),"")</f>
        <v/>
      </c>
      <c r="Q261" s="110" t="str">
        <f>IFERROR(INDEX('WetLitterbags placem_collection'!$A$3:$A$500,MATCH(A261,'WetLitterbags placem_collection'!$Q$4:$Q$500,0)),"")</f>
        <v/>
      </c>
    </row>
    <row r="262" spans="1:17" ht="13.95" customHeight="1">
      <c r="A262" s="110" t="s">
        <v>1349</v>
      </c>
      <c r="B262" s="110" t="s">
        <v>2077</v>
      </c>
      <c r="C262" s="110">
        <v>0.59260000000000002</v>
      </c>
      <c r="E262" s="112">
        <v>43123</v>
      </c>
      <c r="N262" s="110" t="str">
        <f>IFERROR(INDEX('WetLitterbags placem_collection'!$A$3:$A$500,MATCH(A262,'WetLitterbags placem_collection'!$K$4:$K$500,0)),"")</f>
        <v/>
      </c>
      <c r="O262" s="110">
        <f>IFERROR(INDEX('WetLitterbags placem_collection'!$A$3:$A$500,MATCH(A262,'WetLitterbags placem_collection'!$O$4:$O$500,0)),"")</f>
        <v>7</v>
      </c>
      <c r="P262" s="110" t="str">
        <f>IFERROR(INDEX('WetLitterbags placem_collection'!$A$3:$A$500,MATCH(A262,'WetLitterbags placem_collection'!$M$4:$M$500,0)),"")</f>
        <v/>
      </c>
      <c r="Q262" s="110" t="str">
        <f>IFERROR(INDEX('WetLitterbags placem_collection'!$A$3:$A$500,MATCH(A262,'WetLitterbags placem_collection'!$Q$4:$Q$500,0)),"")</f>
        <v/>
      </c>
    </row>
    <row r="263" spans="1:17" ht="13.95" customHeight="1">
      <c r="A263" s="110" t="s">
        <v>1348</v>
      </c>
      <c r="B263" s="110" t="s">
        <v>2077</v>
      </c>
      <c r="C263" s="110">
        <v>0.73699999999999999</v>
      </c>
      <c r="E263" s="112">
        <v>43122</v>
      </c>
      <c r="N263" s="110">
        <f>IFERROR(INDEX('WetLitterbags placem_collection'!$A$3:$A$500,MATCH(A263,'WetLitterbags placem_collection'!$K$4:$K$500,0)),"")</f>
        <v>27</v>
      </c>
      <c r="O263" s="110" t="str">
        <f>IFERROR(INDEX('WetLitterbags placem_collection'!$A$3:$A$500,MATCH(A263,'WetLitterbags placem_collection'!$O$4:$O$500,0)),"")</f>
        <v/>
      </c>
      <c r="P263" s="110" t="str">
        <f>IFERROR(INDEX('WetLitterbags placem_collection'!$A$3:$A$500,MATCH(A263,'WetLitterbags placem_collection'!$M$4:$M$500,0)),"")</f>
        <v/>
      </c>
      <c r="Q263" s="110" t="str">
        <f>IFERROR(INDEX('WetLitterbags placem_collection'!$A$3:$A$500,MATCH(A263,'WetLitterbags placem_collection'!$Q$4:$Q$500,0)),"")</f>
        <v/>
      </c>
    </row>
    <row r="264" spans="1:17" ht="13.95" customHeight="1">
      <c r="A264" s="110" t="s">
        <v>1347</v>
      </c>
      <c r="B264" s="110">
        <v>38</v>
      </c>
      <c r="C264" s="110">
        <v>0.81899999999999995</v>
      </c>
      <c r="E264" s="112">
        <v>42881</v>
      </c>
      <c r="N264" s="110" t="str">
        <f>IFERROR(INDEX('WetLitterbags placem_collection'!$A$3:$A$500,MATCH(A264,'WetLitterbags placem_collection'!$K$4:$K$500,0)),"")</f>
        <v/>
      </c>
      <c r="O264" s="110">
        <f>IFERROR(INDEX('WetLitterbags placem_collection'!$A$3:$A$500,MATCH(A264,'WetLitterbags placem_collection'!$O$4:$O$500,0)),"")</f>
        <v>37</v>
      </c>
      <c r="P264" s="110" t="str">
        <f>IFERROR(INDEX('WetLitterbags placem_collection'!$A$3:$A$500,MATCH(A264,'WetLitterbags placem_collection'!$M$4:$M$500,0)),"")</f>
        <v/>
      </c>
      <c r="Q264" s="110" t="str">
        <f>IFERROR(INDEX('WetLitterbags placem_collection'!$A$3:$A$500,MATCH(A264,'WetLitterbags placem_collection'!$Q$4:$Q$500,0)),"")</f>
        <v/>
      </c>
    </row>
    <row r="265" spans="1:17" ht="13.95" customHeight="1">
      <c r="A265" s="110" t="s">
        <v>1346</v>
      </c>
      <c r="B265" s="110">
        <v>109</v>
      </c>
      <c r="C265" s="110">
        <v>0.63019999999999998</v>
      </c>
      <c r="E265" s="112">
        <v>43125</v>
      </c>
      <c r="N265" s="110">
        <f>IFERROR(INDEX('WetLitterbags placem_collection'!$A$3:$A$500,MATCH(A265,'WetLitterbags placem_collection'!$K$4:$K$500,0)),"")</f>
        <v>108</v>
      </c>
      <c r="O265" s="110" t="str">
        <f>IFERROR(INDEX('WetLitterbags placem_collection'!$A$3:$A$500,MATCH(A265,'WetLitterbags placem_collection'!$O$4:$O$500,0)),"")</f>
        <v/>
      </c>
      <c r="P265" s="110" t="str">
        <f>IFERROR(INDEX('WetLitterbags placem_collection'!$A$3:$A$500,MATCH(A265,'WetLitterbags placem_collection'!$M$4:$M$500,0)),"")</f>
        <v/>
      </c>
      <c r="Q265" s="110" t="str">
        <f>IFERROR(INDEX('WetLitterbags placem_collection'!$A$3:$A$500,MATCH(A265,'WetLitterbags placem_collection'!$Q$4:$Q$500,0)),"")</f>
        <v/>
      </c>
    </row>
    <row r="266" spans="1:17" ht="13.95" customHeight="1">
      <c r="A266" s="110" t="s">
        <v>1344</v>
      </c>
      <c r="B266" s="110">
        <v>140</v>
      </c>
      <c r="C266" s="110">
        <v>0.60780000000000001</v>
      </c>
      <c r="E266" s="112">
        <v>43125</v>
      </c>
      <c r="N266" s="110" t="str">
        <f>IFERROR(INDEX('WetLitterbags placem_collection'!$A$3:$A$500,MATCH(A266,'WetLitterbags placem_collection'!$K$4:$K$500,0)),"")</f>
        <v/>
      </c>
      <c r="O266" s="110">
        <f>IFERROR(INDEX('WetLitterbags placem_collection'!$A$3:$A$500,MATCH(A266,'WetLitterbags placem_collection'!$O$4:$O$500,0)),"")</f>
        <v>139</v>
      </c>
      <c r="P266" s="110" t="str">
        <f>IFERROR(INDEX('WetLitterbags placem_collection'!$A$3:$A$500,MATCH(A266,'WetLitterbags placem_collection'!$M$4:$M$500,0)),"")</f>
        <v/>
      </c>
      <c r="Q266" s="110" t="str">
        <f>IFERROR(INDEX('WetLitterbags placem_collection'!$A$3:$A$500,MATCH(A266,'WetLitterbags placem_collection'!$Q$4:$Q$500,0)),"")</f>
        <v/>
      </c>
    </row>
    <row r="267" spans="1:17" ht="13.95" customHeight="1">
      <c r="A267" s="110" t="s">
        <v>1343</v>
      </c>
      <c r="B267" s="110">
        <v>201</v>
      </c>
      <c r="C267" s="110">
        <v>0.63959999999999995</v>
      </c>
      <c r="D267" s="110" t="s">
        <v>2124</v>
      </c>
      <c r="E267" s="112">
        <v>43122</v>
      </c>
      <c r="N267" s="110" t="str">
        <f>IFERROR(INDEX('WetLitterbags placem_collection'!$A$3:$A$500,MATCH(A267,'WetLitterbags placem_collection'!$K$4:$K$500,0)),"")</f>
        <v/>
      </c>
      <c r="O267" s="110">
        <f>IFERROR(INDEX('WetLitterbags placem_collection'!$A$3:$A$500,MATCH(A267,'WetLitterbags placem_collection'!$O$4:$O$500,0)),"")</f>
        <v>200</v>
      </c>
      <c r="P267" s="110" t="str">
        <f>IFERROR(INDEX('WetLitterbags placem_collection'!$A$3:$A$500,MATCH(A267,'WetLitterbags placem_collection'!$M$4:$M$500,0)),"")</f>
        <v/>
      </c>
      <c r="Q267" s="110" t="str">
        <f>IFERROR(INDEX('WetLitterbags placem_collection'!$A$3:$A$500,MATCH(A267,'WetLitterbags placem_collection'!$Q$4:$Q$500,0)),"")</f>
        <v/>
      </c>
    </row>
    <row r="268" spans="1:17" ht="13.95" customHeight="1">
      <c r="A268" s="182" t="s">
        <v>1342</v>
      </c>
      <c r="B268" s="110">
        <v>130</v>
      </c>
      <c r="C268" s="110">
        <v>0.56599999999999995</v>
      </c>
      <c r="E268" s="112">
        <v>42879</v>
      </c>
      <c r="N268" s="110" t="str">
        <f>IFERROR(INDEX('WetLitterbags placem_collection'!$A$3:$A$500,MATCH(A268,'WetLitterbags placem_collection'!$K$4:$K$500,0)),"")</f>
        <v/>
      </c>
      <c r="O268" s="110">
        <f>IFERROR(INDEX('WetLitterbags placem_collection'!$A$3:$A$500,MATCH(A268,'WetLitterbags placem_collection'!$O$4:$O$500,0)),"")</f>
        <v>129</v>
      </c>
      <c r="P268" s="110" t="str">
        <f>IFERROR(INDEX('WetLitterbags placem_collection'!$A$3:$A$500,MATCH(A268,'WetLitterbags placem_collection'!$M$4:$M$500,0)),"")</f>
        <v/>
      </c>
      <c r="Q268" s="110" t="str">
        <f>IFERROR(INDEX('WetLitterbags placem_collection'!$A$3:$A$500,MATCH(A268,'WetLitterbags placem_collection'!$Q$4:$Q$500,0)),"")</f>
        <v/>
      </c>
    </row>
    <row r="269" spans="1:17" ht="13.95" customHeight="1">
      <c r="A269" s="110" t="s">
        <v>1341</v>
      </c>
      <c r="B269" s="110" t="s">
        <v>2077</v>
      </c>
      <c r="C269" s="110">
        <v>0.56469999999999998</v>
      </c>
      <c r="D269" s="110" t="s">
        <v>2115</v>
      </c>
      <c r="E269" s="112">
        <v>43122</v>
      </c>
      <c r="N269" s="110" t="str">
        <f>IFERROR(INDEX('WetLitterbags placem_collection'!$A$3:$A$500,MATCH(A269,'WetLitterbags placem_collection'!$K$4:$K$500,0)),"")</f>
        <v/>
      </c>
      <c r="O269" s="110">
        <f>IFERROR(INDEX('WetLitterbags placem_collection'!$A$3:$A$500,MATCH(A269,'WetLitterbags placem_collection'!$O$4:$O$500,0)),"")</f>
        <v>199</v>
      </c>
      <c r="P269" s="110" t="str">
        <f>IFERROR(INDEX('WetLitterbags placem_collection'!$A$3:$A$500,MATCH(A269,'WetLitterbags placem_collection'!$M$4:$M$500,0)),"")</f>
        <v/>
      </c>
      <c r="Q269" s="110" t="str">
        <f>IFERROR(INDEX('WetLitterbags placem_collection'!$A$3:$A$500,MATCH(A269,'WetLitterbags placem_collection'!$Q$4:$Q$500,0)),"")</f>
        <v/>
      </c>
    </row>
    <row r="270" spans="1:17" ht="13.95" customHeight="1">
      <c r="A270" s="110" t="s">
        <v>1340</v>
      </c>
      <c r="B270" s="110">
        <v>208</v>
      </c>
      <c r="C270" s="110">
        <v>0.91</v>
      </c>
      <c r="E270" s="112">
        <v>42879</v>
      </c>
      <c r="N270" s="110">
        <f>IFERROR(INDEX('WetLitterbags placem_collection'!$A$3:$A$500,MATCH(A270,'WetLitterbags placem_collection'!$K$4:$K$500,0)),"")</f>
        <v>207</v>
      </c>
      <c r="O270" s="110" t="str">
        <f>IFERROR(INDEX('WetLitterbags placem_collection'!$A$3:$A$500,MATCH(A270,'WetLitterbags placem_collection'!$O$4:$O$500,0)),"")</f>
        <v/>
      </c>
      <c r="P270" s="110" t="str">
        <f>IFERROR(INDEX('WetLitterbags placem_collection'!$A$3:$A$500,MATCH(A270,'WetLitterbags placem_collection'!$M$4:$M$500,0)),"")</f>
        <v/>
      </c>
      <c r="Q270" s="110" t="str">
        <f>IFERROR(INDEX('WetLitterbags placem_collection'!$A$3:$A$500,MATCH(A270,'WetLitterbags placem_collection'!$Q$4:$Q$500,0)),"")</f>
        <v/>
      </c>
    </row>
    <row r="271" spans="1:17" ht="13.95" customHeight="1">
      <c r="A271" s="110" t="s">
        <v>1338</v>
      </c>
      <c r="B271" s="110">
        <v>109</v>
      </c>
      <c r="C271" s="110">
        <v>0.65500000000000003</v>
      </c>
      <c r="E271" s="112">
        <v>42881</v>
      </c>
      <c r="N271" s="110" t="str">
        <f>IFERROR(INDEX('WetLitterbags placem_collection'!$A$3:$A$500,MATCH(A271,'WetLitterbags placem_collection'!$K$4:$K$500,0)),"")</f>
        <v/>
      </c>
      <c r="O271" s="110">
        <f>IFERROR(INDEX('WetLitterbags placem_collection'!$A$3:$A$500,MATCH(A271,'WetLitterbags placem_collection'!$O$4:$O$500,0)),"")</f>
        <v>198</v>
      </c>
      <c r="P271" s="110" t="str">
        <f>IFERROR(INDEX('WetLitterbags placem_collection'!$A$3:$A$500,MATCH(A271,'WetLitterbags placem_collection'!$M$4:$M$500,0)),"")</f>
        <v/>
      </c>
      <c r="Q271" s="110" t="str">
        <f>IFERROR(INDEX('WetLitterbags placem_collection'!$A$3:$A$500,MATCH(A271,'WetLitterbags placem_collection'!$Q$4:$Q$500,0)),"")</f>
        <v/>
      </c>
    </row>
    <row r="272" spans="1:17" ht="13.95" customHeight="1">
      <c r="A272" s="110" t="s">
        <v>1337</v>
      </c>
      <c r="B272" s="110">
        <v>104</v>
      </c>
      <c r="C272" s="110">
        <v>0.63500000000000001</v>
      </c>
      <c r="E272" s="112">
        <v>42881</v>
      </c>
      <c r="N272" s="110" t="str">
        <f>IFERROR(INDEX('WetLitterbags placem_collection'!$A$3:$A$500,MATCH(A272,'WetLitterbags placem_collection'!$K$4:$K$500,0)),"")</f>
        <v/>
      </c>
      <c r="O272" s="110">
        <f>IFERROR(INDEX('WetLitterbags placem_collection'!$A$3:$A$500,MATCH(A272,'WetLitterbags placem_collection'!$O$4:$O$500,0)),"")</f>
        <v>193</v>
      </c>
      <c r="P272" s="110" t="str">
        <f>IFERROR(INDEX('WetLitterbags placem_collection'!$A$3:$A$500,MATCH(A272,'WetLitterbags placem_collection'!$M$4:$M$500,0)),"")</f>
        <v/>
      </c>
      <c r="Q272" s="110" t="str">
        <f>IFERROR(INDEX('WetLitterbags placem_collection'!$A$3:$A$500,MATCH(A272,'WetLitterbags placem_collection'!$Q$4:$Q$500,0)),"")</f>
        <v/>
      </c>
    </row>
    <row r="273" spans="1:17" ht="13.95" customHeight="1">
      <c r="A273" s="110" t="s">
        <v>1335</v>
      </c>
      <c r="B273" s="110" t="s">
        <v>2077</v>
      </c>
      <c r="C273" s="110">
        <v>0.69089999999999996</v>
      </c>
      <c r="D273" s="110" t="s">
        <v>2124</v>
      </c>
      <c r="E273" s="112">
        <v>43122</v>
      </c>
      <c r="N273" s="110">
        <f>IFERROR(INDEX('WetLitterbags placem_collection'!$A$3:$A$500,MATCH(A273,'WetLitterbags placem_collection'!$K$4:$K$500,0)),"")</f>
        <v>196</v>
      </c>
      <c r="O273" s="110" t="str">
        <f>IFERROR(INDEX('WetLitterbags placem_collection'!$A$3:$A$500,MATCH(A273,'WetLitterbags placem_collection'!$O$4:$O$500,0)),"")</f>
        <v/>
      </c>
      <c r="P273" s="110" t="str">
        <f>IFERROR(INDEX('WetLitterbags placem_collection'!$A$3:$A$500,MATCH(A273,'WetLitterbags placem_collection'!$M$4:$M$500,0)),"")</f>
        <v/>
      </c>
      <c r="Q273" s="110" t="str">
        <f>IFERROR(INDEX('WetLitterbags placem_collection'!$A$3:$A$500,MATCH(A273,'WetLitterbags placem_collection'!$Q$4:$Q$500,0)),"")</f>
        <v/>
      </c>
    </row>
    <row r="274" spans="1:17" ht="13.95" customHeight="1">
      <c r="A274" s="110" t="s">
        <v>1334</v>
      </c>
      <c r="B274" s="110">
        <v>213</v>
      </c>
      <c r="C274" s="110">
        <v>0.83</v>
      </c>
      <c r="E274" s="112">
        <v>42881</v>
      </c>
      <c r="N274" s="110" t="str">
        <f>IFERROR(INDEX('WetLitterbags placem_collection'!$A$3:$A$500,MATCH(A274,'WetLitterbags placem_collection'!$K$4:$K$500,0)),"")</f>
        <v/>
      </c>
      <c r="O274" s="110">
        <f>IFERROR(INDEX('WetLitterbags placem_collection'!$A$3:$A$500,MATCH(A274,'WetLitterbags placem_collection'!$O$4:$O$500,0)),"")</f>
        <v>212</v>
      </c>
      <c r="P274" s="110" t="str">
        <f>IFERROR(INDEX('WetLitterbags placem_collection'!$A$3:$A$500,MATCH(A274,'WetLitterbags placem_collection'!$M$4:$M$500,0)),"")</f>
        <v/>
      </c>
      <c r="Q274" s="110" t="str">
        <f>IFERROR(INDEX('WetLitterbags placem_collection'!$A$3:$A$500,MATCH(A274,'WetLitterbags placem_collection'!$Q$4:$Q$500,0)),"")</f>
        <v/>
      </c>
    </row>
    <row r="275" spans="1:17" ht="13.95" customHeight="1">
      <c r="A275" s="110" t="s">
        <v>1332</v>
      </c>
      <c r="B275" s="110" t="s">
        <v>2077</v>
      </c>
      <c r="C275" s="110">
        <v>0.67769999999999997</v>
      </c>
      <c r="E275" s="112">
        <v>43122</v>
      </c>
      <c r="N275" s="110" t="str">
        <f>IFERROR(INDEX('WetLitterbags placem_collection'!$A$3:$A$500,MATCH(A275,'WetLitterbags placem_collection'!$K$4:$K$500,0)),"")</f>
        <v/>
      </c>
      <c r="O275" s="110">
        <f>IFERROR(INDEX('WetLitterbags placem_collection'!$A$3:$A$500,MATCH(A275,'WetLitterbags placem_collection'!$O$4:$O$500,0)),"")</f>
        <v>214</v>
      </c>
      <c r="P275" s="110" t="str">
        <f>IFERROR(INDEX('WetLitterbags placem_collection'!$A$3:$A$500,MATCH(A275,'WetLitterbags placem_collection'!$M$4:$M$500,0)),"")</f>
        <v/>
      </c>
      <c r="Q275" s="110" t="str">
        <f>IFERROR(INDEX('WetLitterbags placem_collection'!$A$3:$A$500,MATCH(A275,'WetLitterbags placem_collection'!$Q$4:$Q$500,0)),"")</f>
        <v/>
      </c>
    </row>
    <row r="276" spans="1:17" ht="13.95" customHeight="1">
      <c r="A276" s="110" t="s">
        <v>1330</v>
      </c>
      <c r="B276" s="110" t="s">
        <v>2077</v>
      </c>
      <c r="C276" s="110">
        <v>0.72160000000000002</v>
      </c>
      <c r="D276" s="110" t="s">
        <v>2129</v>
      </c>
      <c r="E276" s="112">
        <v>43122</v>
      </c>
      <c r="N276" s="110" t="str">
        <f>IFERROR(INDEX('WetLitterbags placem_collection'!$A$3:$A$500,MATCH(A276,'WetLitterbags placem_collection'!$K$4:$K$500,0)),"")</f>
        <v/>
      </c>
      <c r="O276" s="110">
        <f>IFERROR(INDEX('WetLitterbags placem_collection'!$A$3:$A$500,MATCH(A276,'WetLitterbags placem_collection'!$O$4:$O$500,0)),"")</f>
        <v>209</v>
      </c>
      <c r="P276" s="110" t="str">
        <f>IFERROR(INDEX('WetLitterbags placem_collection'!$A$3:$A$500,MATCH(A276,'WetLitterbags placem_collection'!$M$4:$M$500,0)),"")</f>
        <v/>
      </c>
      <c r="Q276" s="110" t="str">
        <f>IFERROR(INDEX('WetLitterbags placem_collection'!$A$3:$A$500,MATCH(A276,'WetLitterbags placem_collection'!$Q$4:$Q$500,0)),"")</f>
        <v/>
      </c>
    </row>
    <row r="277" spans="1:17" ht="13.95" customHeight="1">
      <c r="A277" s="110" t="s">
        <v>1329</v>
      </c>
      <c r="B277" s="110">
        <v>21</v>
      </c>
      <c r="C277" s="110">
        <v>0.66739999999999999</v>
      </c>
      <c r="E277" s="112">
        <v>43122</v>
      </c>
      <c r="N277" s="110" t="str">
        <f>IFERROR(INDEX('WetLitterbags placem_collection'!$A$3:$A$500,MATCH(A277,'WetLitterbags placem_collection'!$K$4:$K$500,0)),"")</f>
        <v/>
      </c>
      <c r="O277" s="110">
        <f>IFERROR(INDEX('WetLitterbags placem_collection'!$A$3:$A$500,MATCH(A277,'WetLitterbags placem_collection'!$O$4:$O$500,0)),"")</f>
        <v>20</v>
      </c>
      <c r="P277" s="110" t="str">
        <f>IFERROR(INDEX('WetLitterbags placem_collection'!$A$3:$A$500,MATCH(A277,'WetLitterbags placem_collection'!$M$4:$M$500,0)),"")</f>
        <v/>
      </c>
      <c r="Q277" s="110" t="str">
        <f>IFERROR(INDEX('WetLitterbags placem_collection'!$A$3:$A$500,MATCH(A277,'WetLitterbags placem_collection'!$Q$4:$Q$500,0)),"")</f>
        <v/>
      </c>
    </row>
    <row r="278" spans="1:17" ht="13.95" customHeight="1">
      <c r="A278" s="110" t="s">
        <v>1327</v>
      </c>
      <c r="B278" s="110">
        <v>86</v>
      </c>
      <c r="C278" s="110">
        <v>0.78249999999999997</v>
      </c>
      <c r="E278" s="112">
        <v>43123</v>
      </c>
      <c r="N278" s="110">
        <f>IFERROR(INDEX('WetLitterbags placem_collection'!$A$3:$A$500,MATCH(A278,'WetLitterbags placem_collection'!$K$4:$K$500,0)),"")</f>
        <v>85</v>
      </c>
      <c r="O278" s="110" t="str">
        <f>IFERROR(INDEX('WetLitterbags placem_collection'!$A$3:$A$500,MATCH(A278,'WetLitterbags placem_collection'!$O$4:$O$500,0)),"")</f>
        <v/>
      </c>
      <c r="P278" s="110" t="str">
        <f>IFERROR(INDEX('WetLitterbags placem_collection'!$A$3:$A$500,MATCH(A278,'WetLitterbags placem_collection'!$M$4:$M$500,0)),"")</f>
        <v/>
      </c>
      <c r="Q278" s="110" t="str">
        <f>IFERROR(INDEX('WetLitterbags placem_collection'!$A$3:$A$500,MATCH(A278,'WetLitterbags placem_collection'!$Q$4:$Q$500,0)),"")</f>
        <v/>
      </c>
    </row>
    <row r="279" spans="1:17" ht="13.95" customHeight="1">
      <c r="A279" t="s">
        <v>1326</v>
      </c>
      <c r="B279" s="110">
        <v>113</v>
      </c>
      <c r="C279" s="110">
        <v>0.61099999999999999</v>
      </c>
      <c r="E279" s="112">
        <v>42878</v>
      </c>
      <c r="N279" s="110">
        <f>IFERROR(INDEX('WetLitterbags placem_collection'!$A$3:$A$500,MATCH(A279,'WetLitterbags placem_collection'!$K$4:$K$500,0)),"")</f>
        <v>112</v>
      </c>
      <c r="O279" s="110" t="str">
        <f>IFERROR(INDEX('WetLitterbags placem_collection'!$A$3:$A$500,MATCH(A279,'WetLitterbags placem_collection'!$O$4:$O$500,0)),"")</f>
        <v/>
      </c>
      <c r="P279" s="110" t="str">
        <f>IFERROR(INDEX('WetLitterbags placem_collection'!$A$3:$A$500,MATCH(A279,'WetLitterbags placem_collection'!$M$4:$M$500,0)),"")</f>
        <v/>
      </c>
      <c r="Q279" s="110" t="str">
        <f>IFERROR(INDEX('WetLitterbags placem_collection'!$A$3:$A$500,MATCH(A279,'WetLitterbags placem_collection'!$Q$4:$Q$500,0)),"")</f>
        <v/>
      </c>
    </row>
    <row r="280" spans="1:17" ht="13.95" customHeight="1">
      <c r="A280" s="110" t="s">
        <v>1325</v>
      </c>
      <c r="B280" s="110">
        <v>132</v>
      </c>
      <c r="C280" s="110">
        <v>0.56820000000000004</v>
      </c>
      <c r="D280" s="110" t="s">
        <v>2106</v>
      </c>
      <c r="E280" s="112">
        <v>43125</v>
      </c>
      <c r="N280" s="110">
        <f>IFERROR(INDEX('WetLitterbags placem_collection'!$A$3:$A$500,MATCH(A280,'WetLitterbags placem_collection'!$K$4:$K$500,0)),"")</f>
        <v>131</v>
      </c>
      <c r="O280" s="110" t="str">
        <f>IFERROR(INDEX('WetLitterbags placem_collection'!$A$3:$A$500,MATCH(A280,'WetLitterbags placem_collection'!$O$4:$O$500,0)),"")</f>
        <v/>
      </c>
      <c r="P280" s="110" t="str">
        <f>IFERROR(INDEX('WetLitterbags placem_collection'!$A$3:$A$500,MATCH(A280,'WetLitterbags placem_collection'!$M$4:$M$500,0)),"")</f>
        <v/>
      </c>
      <c r="Q280" s="110" t="str">
        <f>IFERROR(INDEX('WetLitterbags placem_collection'!$A$3:$A$500,MATCH(A280,'WetLitterbags placem_collection'!$Q$4:$Q$500,0)),"")</f>
        <v/>
      </c>
    </row>
    <row r="281" spans="1:17" ht="13.95" customHeight="1">
      <c r="A281" s="110" t="s">
        <v>1323</v>
      </c>
      <c r="B281" s="110">
        <v>219</v>
      </c>
      <c r="C281" s="110">
        <v>0.70650000000000002</v>
      </c>
      <c r="D281" s="110" t="s">
        <v>2082</v>
      </c>
      <c r="E281" s="112">
        <v>43125</v>
      </c>
      <c r="N281" s="110">
        <f>IFERROR(INDEX('WetLitterbags placem_collection'!$A$3:$A$500,MATCH(A281,'WetLitterbags placem_collection'!$K$4:$K$500,0)),"")</f>
        <v>218</v>
      </c>
      <c r="O281" s="110" t="str">
        <f>IFERROR(INDEX('WetLitterbags placem_collection'!$A$3:$A$500,MATCH(A281,'WetLitterbags placem_collection'!$O$4:$O$500,0)),"")</f>
        <v/>
      </c>
      <c r="P281" s="110" t="str">
        <f>IFERROR(INDEX('WetLitterbags placem_collection'!$A$3:$A$500,MATCH(A281,'WetLitterbags placem_collection'!$M$4:$M$500,0)),"")</f>
        <v/>
      </c>
      <c r="Q281" s="110" t="str">
        <f>IFERROR(INDEX('WetLitterbags placem_collection'!$A$3:$A$500,MATCH(A281,'WetLitterbags placem_collection'!$Q$4:$Q$500,0)),"")</f>
        <v/>
      </c>
    </row>
    <row r="282" spans="1:17" ht="13.95" customHeight="1">
      <c r="A282" s="110" t="s">
        <v>1322</v>
      </c>
      <c r="B282" s="110">
        <v>100</v>
      </c>
      <c r="C282" s="110">
        <v>0.59699999999999998</v>
      </c>
      <c r="E282" s="112">
        <v>42881</v>
      </c>
      <c r="N282" s="110">
        <f>IFERROR(INDEX('WetLitterbags placem_collection'!$A$3:$A$500,MATCH(A282,'WetLitterbags placem_collection'!$K$4:$K$500,0)),"")</f>
        <v>99</v>
      </c>
      <c r="O282" s="110" t="str">
        <f>IFERROR(INDEX('WetLitterbags placem_collection'!$A$3:$A$500,MATCH(A282,'WetLitterbags placem_collection'!$O$4:$O$500,0)),"")</f>
        <v/>
      </c>
      <c r="P282" s="110" t="str">
        <f>IFERROR(INDEX('WetLitterbags placem_collection'!$A$3:$A$500,MATCH(A282,'WetLitterbags placem_collection'!$M$4:$M$500,0)),"")</f>
        <v/>
      </c>
      <c r="Q282" s="110" t="str">
        <f>IFERROR(INDEX('WetLitterbags placem_collection'!$A$3:$A$500,MATCH(A282,'WetLitterbags placem_collection'!$Q$4:$Q$500,0)),"")</f>
        <v/>
      </c>
    </row>
    <row r="283" spans="1:17" ht="13.95" customHeight="1">
      <c r="A283" s="110" t="s">
        <v>1321</v>
      </c>
      <c r="B283" s="110">
        <v>105</v>
      </c>
      <c r="C283" s="110">
        <v>0.72399999999999998</v>
      </c>
      <c r="E283" s="112">
        <v>42879</v>
      </c>
      <c r="N283" s="110">
        <f>IFERROR(INDEX('WetLitterbags placem_collection'!$A$3:$A$500,MATCH(A283,'WetLitterbags placem_collection'!$K$4:$K$500,0)),"")</f>
        <v>104</v>
      </c>
      <c r="O283" s="110" t="str">
        <f>IFERROR(INDEX('WetLitterbags placem_collection'!$A$3:$A$500,MATCH(A283,'WetLitterbags placem_collection'!$O$4:$O$500,0)),"")</f>
        <v/>
      </c>
      <c r="P283" s="110" t="str">
        <f>IFERROR(INDEX('WetLitterbags placem_collection'!$A$3:$A$500,MATCH(A283,'WetLitterbags placem_collection'!$M$4:$M$500,0)),"")</f>
        <v/>
      </c>
      <c r="Q283" s="110" t="str">
        <f>IFERROR(INDEX('WetLitterbags placem_collection'!$A$3:$A$500,MATCH(A283,'WetLitterbags placem_collection'!$Q$4:$Q$500,0)),"")</f>
        <v/>
      </c>
    </row>
    <row r="284" spans="1:17" ht="13.95" customHeight="1">
      <c r="A284" s="110" t="s">
        <v>1320</v>
      </c>
      <c r="B284" s="110">
        <v>98</v>
      </c>
      <c r="C284" s="110">
        <v>0.629</v>
      </c>
      <c r="E284" s="112">
        <v>42881</v>
      </c>
      <c r="N284" s="110" t="str">
        <f>IFERROR(INDEX('WetLitterbags placem_collection'!$A$3:$A$500,MATCH(A284,'WetLitterbags placem_collection'!$K$4:$K$500,0)),"")</f>
        <v/>
      </c>
      <c r="O284" s="110">
        <f>IFERROR(INDEX('WetLitterbags placem_collection'!$A$3:$A$500,MATCH(A284,'WetLitterbags placem_collection'!$O$4:$O$500,0)),"")</f>
        <v>97</v>
      </c>
      <c r="P284" s="110" t="str">
        <f>IFERROR(INDEX('WetLitterbags placem_collection'!$A$3:$A$500,MATCH(A284,'WetLitterbags placem_collection'!$M$4:$M$500,0)),"")</f>
        <v/>
      </c>
      <c r="Q284" s="110" t="str">
        <f>IFERROR(INDEX('WetLitterbags placem_collection'!$A$3:$A$500,MATCH(A284,'WetLitterbags placem_collection'!$Q$4:$Q$500,0)),"")</f>
        <v/>
      </c>
    </row>
    <row r="285" spans="1:17" ht="13.95" customHeight="1">
      <c r="A285" t="s">
        <v>1318</v>
      </c>
      <c r="B285" s="110">
        <v>35</v>
      </c>
      <c r="C285" s="110">
        <v>0.71699999999999997</v>
      </c>
      <c r="D285" s="110" t="s">
        <v>2065</v>
      </c>
      <c r="E285" s="112">
        <v>42879</v>
      </c>
      <c r="N285" s="110" t="str">
        <f>IFERROR(INDEX('WetLitterbags placem_collection'!$A$3:$A$500,MATCH(A285,'WetLitterbags placem_collection'!$K$4:$K$500,0)),"")</f>
        <v/>
      </c>
      <c r="O285" s="110">
        <f>IFERROR(INDEX('WetLitterbags placem_collection'!$A$3:$A$500,MATCH(A285,'WetLitterbags placem_collection'!$O$4:$O$500,0)),"")</f>
        <v>34</v>
      </c>
      <c r="P285" s="110" t="str">
        <f>IFERROR(INDEX('WetLitterbags placem_collection'!$A$3:$A$500,MATCH(A285,'WetLitterbags placem_collection'!$M$4:$M$500,0)),"")</f>
        <v/>
      </c>
      <c r="Q285" s="110" t="str">
        <f>IFERROR(INDEX('WetLitterbags placem_collection'!$A$3:$A$500,MATCH(A285,'WetLitterbags placem_collection'!$Q$4:$Q$500,0)),"")</f>
        <v/>
      </c>
    </row>
    <row r="286" spans="1:17" ht="13.95" customHeight="1">
      <c r="A286" s="110" t="s">
        <v>1317</v>
      </c>
      <c r="B286" s="110" t="s">
        <v>2077</v>
      </c>
      <c r="C286" s="110">
        <v>0.73760000000000003</v>
      </c>
      <c r="D286" s="110" t="s">
        <v>2125</v>
      </c>
      <c r="E286" s="112">
        <v>43122</v>
      </c>
      <c r="N286" s="110">
        <f>IFERROR(INDEX('WetLitterbags placem_collection'!$A$3:$A$500,MATCH(A286,'WetLitterbags placem_collection'!$K$4:$K$500,0)),"")</f>
        <v>148</v>
      </c>
      <c r="O286" s="110" t="str">
        <f>IFERROR(INDEX('WetLitterbags placem_collection'!$A$3:$A$500,MATCH(A286,'WetLitterbags placem_collection'!$O$4:$O$500,0)),"")</f>
        <v/>
      </c>
      <c r="P286" s="110" t="str">
        <f>IFERROR(INDEX('WetLitterbags placem_collection'!$A$3:$A$500,MATCH(A286,'WetLitterbags placem_collection'!$M$4:$M$500,0)),"")</f>
        <v/>
      </c>
      <c r="Q286" s="110" t="str">
        <f>IFERROR(INDEX('WetLitterbags placem_collection'!$A$3:$A$500,MATCH(A286,'WetLitterbags placem_collection'!$Q$4:$Q$500,0)),"")</f>
        <v/>
      </c>
    </row>
    <row r="287" spans="1:17" ht="13.95" customHeight="1">
      <c r="A287" s="110" t="s">
        <v>1314</v>
      </c>
      <c r="B287" s="110">
        <v>174</v>
      </c>
      <c r="C287" s="110">
        <v>0.63500000000000001</v>
      </c>
      <c r="E287" s="112">
        <v>42881</v>
      </c>
      <c r="N287" s="110" t="str">
        <f>IFERROR(INDEX('WetLitterbags placem_collection'!$A$3:$A$500,MATCH(A287,'WetLitterbags placem_collection'!$K$4:$K$500,0)),"")</f>
        <v/>
      </c>
      <c r="O287" s="110">
        <f>IFERROR(INDEX('WetLitterbags placem_collection'!$A$3:$A$500,MATCH(A287,'WetLitterbags placem_collection'!$O$4:$O$500,0)),"")</f>
        <v>173</v>
      </c>
      <c r="P287" s="110" t="str">
        <f>IFERROR(INDEX('WetLitterbags placem_collection'!$A$3:$A$500,MATCH(A287,'WetLitterbags placem_collection'!$M$4:$M$500,0)),"")</f>
        <v/>
      </c>
      <c r="Q287" s="110" t="str">
        <f>IFERROR(INDEX('WetLitterbags placem_collection'!$A$3:$A$500,MATCH(A287,'WetLitterbags placem_collection'!$Q$4:$Q$500,0)),"")</f>
        <v/>
      </c>
    </row>
    <row r="288" spans="1:17" ht="13.95" customHeight="1">
      <c r="A288" s="110" t="s">
        <v>1313</v>
      </c>
      <c r="B288" s="110" t="s">
        <v>2077</v>
      </c>
      <c r="C288" s="110">
        <v>0.57869999999999999</v>
      </c>
      <c r="E288" s="112">
        <v>43122</v>
      </c>
      <c r="N288" s="110" t="str">
        <f>IFERROR(INDEX('WetLitterbags placem_collection'!$A$3:$A$500,MATCH(A288,'WetLitterbags placem_collection'!$K$4:$K$500,0)),"")</f>
        <v/>
      </c>
      <c r="O288" s="110">
        <f>IFERROR(INDEX('WetLitterbags placem_collection'!$A$3:$A$500,MATCH(A288,'WetLitterbags placem_collection'!$O$4:$O$500,0)),"")</f>
        <v>1</v>
      </c>
      <c r="P288" s="110" t="str">
        <f>IFERROR(INDEX('WetLitterbags placem_collection'!$A$3:$A$500,MATCH(A288,'WetLitterbags placem_collection'!$M$4:$M$500,0)),"")</f>
        <v/>
      </c>
      <c r="Q288" s="110" t="str">
        <f>IFERROR(INDEX('WetLitterbags placem_collection'!$A$3:$A$500,MATCH(A288,'WetLitterbags placem_collection'!$Q$4:$Q$500,0)),"")</f>
        <v/>
      </c>
    </row>
    <row r="289" spans="1:17" ht="13.95" customHeight="1">
      <c r="A289" s="110" t="s">
        <v>1312</v>
      </c>
      <c r="B289" s="110" t="s">
        <v>2057</v>
      </c>
      <c r="C289" s="110">
        <v>0.626</v>
      </c>
      <c r="E289" s="112">
        <v>42881</v>
      </c>
      <c r="N289" s="110" t="str">
        <f>IFERROR(INDEX('WetLitterbags placem_collection'!$A$3:$A$500,MATCH(A289,'WetLitterbags placem_collection'!$K$4:$K$500,0)),"")</f>
        <v/>
      </c>
      <c r="O289" s="110">
        <f>IFERROR(INDEX('WetLitterbags placem_collection'!$A$3:$A$500,MATCH(A289,'WetLitterbags placem_collection'!$O$4:$O$500,0)),"")</f>
        <v>105</v>
      </c>
      <c r="P289" s="110" t="str">
        <f>IFERROR(INDEX('WetLitterbags placem_collection'!$A$3:$A$500,MATCH(A289,'WetLitterbags placem_collection'!$M$4:$M$500,0)),"")</f>
        <v/>
      </c>
      <c r="Q289" s="110" t="str">
        <f>IFERROR(INDEX('WetLitterbags placem_collection'!$A$3:$A$500,MATCH(A289,'WetLitterbags placem_collection'!$Q$4:$Q$500,0)),"")</f>
        <v/>
      </c>
    </row>
    <row r="290" spans="1:17" ht="13.95" customHeight="1">
      <c r="A290" s="110" t="s">
        <v>1311</v>
      </c>
      <c r="B290" s="110" t="s">
        <v>2077</v>
      </c>
      <c r="C290" s="110">
        <v>0.87490000000000001</v>
      </c>
      <c r="E290" s="112">
        <v>43119</v>
      </c>
      <c r="N290" s="110" t="str">
        <f>IFERROR(INDEX('WetLitterbags placem_collection'!$A$3:$A$500,MATCH(A290,'WetLitterbags placem_collection'!$K$4:$K$500,0)),"")</f>
        <v/>
      </c>
      <c r="O290" s="110">
        <f>IFERROR(INDEX('WetLitterbags placem_collection'!$A$3:$A$500,MATCH(A290,'WetLitterbags placem_collection'!$O$4:$O$500,0)),"")</f>
        <v>48</v>
      </c>
      <c r="P290" s="110" t="str">
        <f>IFERROR(INDEX('WetLitterbags placem_collection'!$A$3:$A$500,MATCH(A290,'WetLitterbags placem_collection'!$M$4:$M$500,0)),"")</f>
        <v/>
      </c>
      <c r="Q290" s="110" t="str">
        <f>IFERROR(INDEX('WetLitterbags placem_collection'!$A$3:$A$500,MATCH(A290,'WetLitterbags placem_collection'!$Q$4:$Q$500,0)),"")</f>
        <v/>
      </c>
    </row>
    <row r="291" spans="1:17" ht="13.95" customHeight="1">
      <c r="A291" s="110" t="s">
        <v>1310</v>
      </c>
      <c r="B291" s="110">
        <v>125</v>
      </c>
      <c r="C291" s="110">
        <v>0.60099999999999998</v>
      </c>
      <c r="E291" s="112">
        <v>42881</v>
      </c>
      <c r="N291" s="110" t="str">
        <f>IFERROR(INDEX('WetLitterbags placem_collection'!$A$3:$A$500,MATCH(A291,'WetLitterbags placem_collection'!$K$4:$K$500,0)),"")</f>
        <v/>
      </c>
      <c r="O291" s="110">
        <f>IFERROR(INDEX('WetLitterbags placem_collection'!$A$3:$A$500,MATCH(A291,'WetLitterbags placem_collection'!$O$4:$O$500,0)),"")</f>
        <v>124</v>
      </c>
      <c r="P291" s="110" t="str">
        <f>IFERROR(INDEX('WetLitterbags placem_collection'!$A$3:$A$500,MATCH(A291,'WetLitterbags placem_collection'!$M$4:$M$500,0)),"")</f>
        <v/>
      </c>
      <c r="Q291" s="110" t="str">
        <f>IFERROR(INDEX('WetLitterbags placem_collection'!$A$3:$A$500,MATCH(A291,'WetLitterbags placem_collection'!$Q$4:$Q$500,0)),"")</f>
        <v/>
      </c>
    </row>
    <row r="292" spans="1:17" ht="13.95" customHeight="1">
      <c r="A292" s="110" t="s">
        <v>1309</v>
      </c>
      <c r="B292" s="110" t="s">
        <v>2077</v>
      </c>
      <c r="C292" s="110">
        <v>0.60680000000000001</v>
      </c>
      <c r="E292" s="112">
        <v>43122</v>
      </c>
      <c r="N292" s="110">
        <f>IFERROR(INDEX('WetLitterbags placem_collection'!$A$3:$A$500,MATCH(A292,'WetLitterbags placem_collection'!$K$4:$K$500,0)),"")</f>
        <v>96</v>
      </c>
      <c r="O292" s="110" t="str">
        <f>IFERROR(INDEX('WetLitterbags placem_collection'!$A$3:$A$500,MATCH(A292,'WetLitterbags placem_collection'!$O$4:$O$500,0)),"")</f>
        <v/>
      </c>
      <c r="P292" s="110" t="str">
        <f>IFERROR(INDEX('WetLitterbags placem_collection'!$A$3:$A$500,MATCH(A292,'WetLitterbags placem_collection'!$M$4:$M$500,0)),"")</f>
        <v/>
      </c>
      <c r="Q292" s="110" t="str">
        <f>IFERROR(INDEX('WetLitterbags placem_collection'!$A$3:$A$500,MATCH(A292,'WetLitterbags placem_collection'!$Q$4:$Q$500,0)),"")</f>
        <v/>
      </c>
    </row>
    <row r="293" spans="1:17" ht="13.95" customHeight="1">
      <c r="A293" s="110" t="s">
        <v>1308</v>
      </c>
      <c r="B293" s="110" t="s">
        <v>2077</v>
      </c>
      <c r="C293" s="110">
        <v>0.57879999999999998</v>
      </c>
      <c r="D293" s="110" t="s">
        <v>2115</v>
      </c>
      <c r="E293" s="112">
        <v>43119</v>
      </c>
      <c r="N293" s="110">
        <f>IFERROR(INDEX('WetLitterbags placem_collection'!$A$3:$A$500,MATCH(A293,'WetLitterbags placem_collection'!$K$4:$K$500,0)),"")</f>
        <v>109</v>
      </c>
      <c r="O293" s="110" t="str">
        <f>IFERROR(INDEX('WetLitterbags placem_collection'!$A$3:$A$500,MATCH(A293,'WetLitterbags placem_collection'!$O$4:$O$500,0)),"")</f>
        <v/>
      </c>
      <c r="P293" s="110" t="str">
        <f>IFERROR(INDEX('WetLitterbags placem_collection'!$A$3:$A$500,MATCH(A293,'WetLitterbags placem_collection'!$M$4:$M$500,0)),"")</f>
        <v/>
      </c>
      <c r="Q293" s="110" t="str">
        <f>IFERROR(INDEX('WetLitterbags placem_collection'!$A$3:$A$500,MATCH(A293,'WetLitterbags placem_collection'!$Q$4:$Q$500,0)),"")</f>
        <v/>
      </c>
    </row>
    <row r="294" spans="1:17" ht="13.95" customHeight="1">
      <c r="A294" s="110" t="s">
        <v>1307</v>
      </c>
      <c r="B294" s="110">
        <v>163</v>
      </c>
      <c r="C294" s="110">
        <v>0.68700000000000006</v>
      </c>
      <c r="E294" s="112">
        <v>42881</v>
      </c>
      <c r="N294" s="110" t="str">
        <f>IFERROR(INDEX('WetLitterbags placem_collection'!$A$3:$A$500,MATCH(A294,'WetLitterbags placem_collection'!$K$4:$K$500,0)),"")</f>
        <v/>
      </c>
      <c r="O294" s="110">
        <f>IFERROR(INDEX('WetLitterbags placem_collection'!$A$3:$A$500,MATCH(A294,'WetLitterbags placem_collection'!$O$4:$O$500,0)),"")</f>
        <v>162</v>
      </c>
      <c r="P294" s="110" t="str">
        <f>IFERROR(INDEX('WetLitterbags placem_collection'!$A$3:$A$500,MATCH(A294,'WetLitterbags placem_collection'!$M$4:$M$500,0)),"")</f>
        <v/>
      </c>
      <c r="Q294" s="110" t="str">
        <f>IFERROR(INDEX('WetLitterbags placem_collection'!$A$3:$A$500,MATCH(A294,'WetLitterbags placem_collection'!$Q$4:$Q$500,0)),"")</f>
        <v/>
      </c>
    </row>
    <row r="295" spans="1:17" ht="13.95" customHeight="1">
      <c r="A295" s="110" t="s">
        <v>1306</v>
      </c>
      <c r="B295" s="110" t="s">
        <v>2077</v>
      </c>
      <c r="C295" s="110">
        <v>0.62919999999999998</v>
      </c>
      <c r="E295" s="112">
        <v>43119</v>
      </c>
      <c r="N295" s="110" t="str">
        <f>IFERROR(INDEX('WetLitterbags placem_collection'!$A$3:$A$500,MATCH(A295,'WetLitterbags placem_collection'!$K$4:$K$500,0)),"")</f>
        <v/>
      </c>
      <c r="O295" s="110">
        <f>IFERROR(INDEX('WetLitterbags placem_collection'!$A$3:$A$500,MATCH(A295,'WetLitterbags placem_collection'!$O$4:$O$500,0)),"")</f>
        <v>151</v>
      </c>
      <c r="P295" s="110" t="str">
        <f>IFERROR(INDEX('WetLitterbags placem_collection'!$A$3:$A$500,MATCH(A295,'WetLitterbags placem_collection'!$M$4:$M$500,0)),"")</f>
        <v/>
      </c>
      <c r="Q295" s="110" t="str">
        <f>IFERROR(INDEX('WetLitterbags placem_collection'!$A$3:$A$500,MATCH(A295,'WetLitterbags placem_collection'!$Q$4:$Q$500,0)),"")</f>
        <v/>
      </c>
    </row>
    <row r="296" spans="1:17" ht="13.95" customHeight="1">
      <c r="A296" s="110" t="s">
        <v>1305</v>
      </c>
      <c r="B296" s="110">
        <v>135</v>
      </c>
      <c r="C296" s="110">
        <v>0.61099999999999999</v>
      </c>
      <c r="E296" s="112">
        <v>42881</v>
      </c>
      <c r="N296" s="110">
        <f>IFERROR(INDEX('WetLitterbags placem_collection'!$A$3:$A$500,MATCH(A296,'WetLitterbags placem_collection'!$K$4:$K$500,0)),"")</f>
        <v>134</v>
      </c>
      <c r="O296" s="110" t="str">
        <f>IFERROR(INDEX('WetLitterbags placem_collection'!$A$3:$A$500,MATCH(A296,'WetLitterbags placem_collection'!$O$4:$O$500,0)),"")</f>
        <v/>
      </c>
      <c r="P296" s="110" t="str">
        <f>IFERROR(INDEX('WetLitterbags placem_collection'!$A$3:$A$500,MATCH(A296,'WetLitterbags placem_collection'!$M$4:$M$500,0)),"")</f>
        <v/>
      </c>
      <c r="Q296" s="110" t="str">
        <f>IFERROR(INDEX('WetLitterbags placem_collection'!$A$3:$A$500,MATCH(A296,'WetLitterbags placem_collection'!$Q$4:$Q$500,0)),"")</f>
        <v/>
      </c>
    </row>
    <row r="297" spans="1:17" ht="13.95" customHeight="1">
      <c r="A297" s="110" t="s">
        <v>1304</v>
      </c>
      <c r="B297" s="110">
        <v>131</v>
      </c>
      <c r="C297" s="110">
        <v>0.6613</v>
      </c>
      <c r="D297" s="110" t="s">
        <v>2104</v>
      </c>
      <c r="E297" s="112">
        <v>43125</v>
      </c>
      <c r="N297" s="110">
        <f>IFERROR(INDEX('WetLitterbags placem_collection'!$A$3:$A$500,MATCH(A297,'WetLitterbags placem_collection'!$K$4:$K$500,0)),"")</f>
        <v>130</v>
      </c>
      <c r="O297" s="110" t="str">
        <f>IFERROR(INDEX('WetLitterbags placem_collection'!$A$3:$A$500,MATCH(A297,'WetLitterbags placem_collection'!$O$4:$O$500,0)),"")</f>
        <v/>
      </c>
      <c r="P297" s="110" t="str">
        <f>IFERROR(INDEX('WetLitterbags placem_collection'!$A$3:$A$500,MATCH(A297,'WetLitterbags placem_collection'!$M$4:$M$500,0)),"")</f>
        <v/>
      </c>
      <c r="Q297" s="110" t="str">
        <f>IFERROR(INDEX('WetLitterbags placem_collection'!$A$3:$A$500,MATCH(A297,'WetLitterbags placem_collection'!$Q$4:$Q$500,0)),"")</f>
        <v/>
      </c>
    </row>
    <row r="298" spans="1:17" ht="13.95" customHeight="1">
      <c r="A298" s="110" t="s">
        <v>1303</v>
      </c>
      <c r="B298" s="110">
        <v>136</v>
      </c>
      <c r="C298" s="110">
        <v>0.59630000000000005</v>
      </c>
      <c r="E298" s="112">
        <v>43125</v>
      </c>
      <c r="N298" s="110" t="str">
        <f>IFERROR(INDEX('WetLitterbags placem_collection'!$A$3:$A$500,MATCH(A298,'WetLitterbags placem_collection'!$K$4:$K$500,0)),"")</f>
        <v/>
      </c>
      <c r="O298" s="110">
        <f>IFERROR(INDEX('WetLitterbags placem_collection'!$A$3:$A$500,MATCH(A298,'WetLitterbags placem_collection'!$O$4:$O$500,0)),"")</f>
        <v>135</v>
      </c>
      <c r="P298" s="110" t="str">
        <f>IFERROR(INDEX('WetLitterbags placem_collection'!$A$3:$A$500,MATCH(A298,'WetLitterbags placem_collection'!$M$4:$M$500,0)),"")</f>
        <v/>
      </c>
      <c r="Q298" s="110" t="str">
        <f>IFERROR(INDEX('WetLitterbags placem_collection'!$A$3:$A$500,MATCH(A298,'WetLitterbags placem_collection'!$Q$4:$Q$500,0)),"")</f>
        <v/>
      </c>
    </row>
    <row r="299" spans="1:17" ht="13.95" customHeight="1">
      <c r="A299" s="110" t="s">
        <v>1301</v>
      </c>
      <c r="B299" s="110">
        <v>126</v>
      </c>
      <c r="C299" s="110">
        <v>0.67800000000000005</v>
      </c>
      <c r="D299" s="110" t="s">
        <v>2142</v>
      </c>
      <c r="E299" s="112">
        <v>42878</v>
      </c>
      <c r="N299" s="110">
        <f>IFERROR(INDEX('WetLitterbags placem_collection'!$A$3:$A$500,MATCH(A299,'WetLitterbags placem_collection'!$K$4:$K$500,0)),"")</f>
        <v>125</v>
      </c>
      <c r="O299" s="110" t="str">
        <f>IFERROR(INDEX('WetLitterbags placem_collection'!$A$3:$A$500,MATCH(A299,'WetLitterbags placem_collection'!$O$4:$O$500,0)),"")</f>
        <v/>
      </c>
      <c r="P299" s="110" t="str">
        <f>IFERROR(INDEX('WetLitterbags placem_collection'!$A$3:$A$500,MATCH(A299,'WetLitterbags placem_collection'!$M$4:$M$500,0)),"")</f>
        <v/>
      </c>
      <c r="Q299" s="110" t="str">
        <f>IFERROR(INDEX('WetLitterbags placem_collection'!$A$3:$A$500,MATCH(A299,'WetLitterbags placem_collection'!$Q$4:$Q$500,0)),"")</f>
        <v/>
      </c>
    </row>
    <row r="300" spans="1:17" ht="13.95" customHeight="1">
      <c r="A300" s="110" t="s">
        <v>1298</v>
      </c>
      <c r="B300" s="110" t="s">
        <v>2077</v>
      </c>
      <c r="C300" s="110">
        <v>0.47</v>
      </c>
      <c r="E300" s="112">
        <v>43122</v>
      </c>
      <c r="N300" s="110" t="str">
        <f>IFERROR(INDEX('WetLitterbags placem_collection'!$A$3:$A$500,MATCH(A300,'WetLitterbags placem_collection'!$K$4:$K$500,0)),"")</f>
        <v/>
      </c>
      <c r="O300" s="110" t="str">
        <f>IFERROR(INDEX('WetLitterbags placem_collection'!$A$3:$A$500,MATCH(A300,'WetLitterbags placem_collection'!$O$4:$O$500,0)),"")</f>
        <v/>
      </c>
      <c r="P300" s="110" t="str">
        <f>IFERROR(INDEX('WetLitterbags placem_collection'!$A$3:$A$500,MATCH(A300,'WetLitterbags placem_collection'!$M$4:$M$500,0)),"")</f>
        <v/>
      </c>
      <c r="Q300" s="110" t="str">
        <f>IFERROR(INDEX('WetLitterbags placem_collection'!$A$3:$A$500,MATCH(A300,'WetLitterbags placem_collection'!$Q$4:$Q$500,0)),"")</f>
        <v/>
      </c>
    </row>
    <row r="301" spans="1:17" ht="13.95" customHeight="1">
      <c r="A301" s="110" t="s">
        <v>1297</v>
      </c>
      <c r="B301" s="110" t="s">
        <v>2077</v>
      </c>
      <c r="C301" s="110">
        <v>0.7681</v>
      </c>
      <c r="E301" s="112">
        <v>43119</v>
      </c>
      <c r="N301" s="110" t="str">
        <f>IFERROR(INDEX('WetLitterbags placem_collection'!$A$3:$A$500,MATCH(A301,'WetLitterbags placem_collection'!$K$4:$K$500,0)),"")</f>
        <v/>
      </c>
      <c r="O301" s="110">
        <f>IFERROR(INDEX('WetLitterbags placem_collection'!$A$3:$A$500,MATCH(A301,'WetLitterbags placem_collection'!$O$4:$O$500,0)),"")</f>
        <v>202</v>
      </c>
      <c r="P301" s="110" t="str">
        <f>IFERROR(INDEX('WetLitterbags placem_collection'!$A$3:$A$500,MATCH(A301,'WetLitterbags placem_collection'!$M$4:$M$500,0)),"")</f>
        <v/>
      </c>
      <c r="Q301" s="110" t="str">
        <f>IFERROR(INDEX('WetLitterbags placem_collection'!$A$3:$A$500,MATCH(A301,'WetLitterbags placem_collection'!$Q$4:$Q$500,0)),"")</f>
        <v/>
      </c>
    </row>
    <row r="302" spans="1:17" ht="13.95" customHeight="1">
      <c r="A302" s="110" t="s">
        <v>1296</v>
      </c>
      <c r="B302" s="110" t="s">
        <v>2077</v>
      </c>
      <c r="C302" s="110">
        <v>0.6452</v>
      </c>
      <c r="D302" s="110" t="s">
        <v>2115</v>
      </c>
      <c r="E302" s="112">
        <v>43119</v>
      </c>
      <c r="N302" s="110">
        <f>IFERROR(INDEX('WetLitterbags placem_collection'!$A$3:$A$500,MATCH(A302,'WetLitterbags placem_collection'!$K$4:$K$500,0)),"")</f>
        <v>195</v>
      </c>
      <c r="O302" s="110" t="str">
        <f>IFERROR(INDEX('WetLitterbags placem_collection'!$A$3:$A$500,MATCH(A302,'WetLitterbags placem_collection'!$O$4:$O$500,0)),"")</f>
        <v/>
      </c>
      <c r="P302" s="110" t="str">
        <f>IFERROR(INDEX('WetLitterbags placem_collection'!$A$3:$A$500,MATCH(A302,'WetLitterbags placem_collection'!$M$4:$M$500,0)),"")</f>
        <v/>
      </c>
      <c r="Q302" s="110" t="str">
        <f>IFERROR(INDEX('WetLitterbags placem_collection'!$A$3:$A$500,MATCH(A302,'WetLitterbags placem_collection'!$Q$4:$Q$500,0)),"")</f>
        <v/>
      </c>
    </row>
    <row r="303" spans="1:17" ht="13.95" customHeight="1">
      <c r="A303" s="110" t="s">
        <v>1295</v>
      </c>
      <c r="B303" s="110">
        <v>216</v>
      </c>
      <c r="C303" s="110">
        <v>0.88700000000000001</v>
      </c>
      <c r="E303" s="112">
        <v>42879</v>
      </c>
      <c r="N303" s="110">
        <f>IFERROR(INDEX('WetLitterbags placem_collection'!$A$3:$A$500,MATCH(A303,'WetLitterbags placem_collection'!$K$4:$K$500,0)),"")</f>
        <v>215</v>
      </c>
      <c r="O303" s="110" t="str">
        <f>IFERROR(INDEX('WetLitterbags placem_collection'!$A$3:$A$500,MATCH(A303,'WetLitterbags placem_collection'!$O$4:$O$500,0)),"")</f>
        <v/>
      </c>
      <c r="P303" s="110" t="str">
        <f>IFERROR(INDEX('WetLitterbags placem_collection'!$A$3:$A$500,MATCH(A303,'WetLitterbags placem_collection'!$M$4:$M$500,0)),"")</f>
        <v/>
      </c>
      <c r="Q303" s="110" t="str">
        <f>IFERROR(INDEX('WetLitterbags placem_collection'!$A$3:$A$500,MATCH(A303,'WetLitterbags placem_collection'!$Q$4:$Q$500,0)),"")</f>
        <v/>
      </c>
    </row>
    <row r="304" spans="1:17" ht="13.95" customHeight="1">
      <c r="A304" s="110" t="s">
        <v>1294</v>
      </c>
      <c r="B304" s="110">
        <v>134</v>
      </c>
      <c r="C304" s="110">
        <v>0.69399999999999995</v>
      </c>
      <c r="E304" s="112">
        <v>42881</v>
      </c>
      <c r="N304" s="110">
        <f>IFERROR(INDEX('WetLitterbags placem_collection'!$A$3:$A$500,MATCH(A304,'WetLitterbags placem_collection'!$K$4:$K$500,0)),"")</f>
        <v>133</v>
      </c>
      <c r="O304" s="110" t="str">
        <f>IFERROR(INDEX('WetLitterbags placem_collection'!$A$3:$A$500,MATCH(A304,'WetLitterbags placem_collection'!$O$4:$O$500,0)),"")</f>
        <v/>
      </c>
      <c r="P304" s="110" t="str">
        <f>IFERROR(INDEX('WetLitterbags placem_collection'!$A$3:$A$500,MATCH(A304,'WetLitterbags placem_collection'!$M$4:$M$500,0)),"")</f>
        <v/>
      </c>
      <c r="Q304" s="110" t="str">
        <f>IFERROR(INDEX('WetLitterbags placem_collection'!$A$3:$A$500,MATCH(A304,'WetLitterbags placem_collection'!$Q$4:$Q$500,0)),"")</f>
        <v/>
      </c>
    </row>
    <row r="305" spans="1:17" ht="13.95" customHeight="1">
      <c r="A305" s="110" t="s">
        <v>1292</v>
      </c>
      <c r="B305" s="110">
        <v>120</v>
      </c>
      <c r="C305" s="110">
        <v>0.67110000000000003</v>
      </c>
      <c r="D305" s="110" t="s">
        <v>2109</v>
      </c>
      <c r="E305" s="112">
        <v>43125</v>
      </c>
      <c r="N305" s="110">
        <f>IFERROR(INDEX('WetLitterbags placem_collection'!$A$3:$A$500,MATCH(A305,'WetLitterbags placem_collection'!$K$4:$K$500,0)),"")</f>
        <v>119</v>
      </c>
      <c r="O305" s="110" t="str">
        <f>IFERROR(INDEX('WetLitterbags placem_collection'!$A$3:$A$500,MATCH(A305,'WetLitterbags placem_collection'!$O$4:$O$500,0)),"")</f>
        <v/>
      </c>
      <c r="P305" s="110" t="str">
        <f>IFERROR(INDEX('WetLitterbags placem_collection'!$A$3:$A$500,MATCH(A305,'WetLitterbags placem_collection'!$M$4:$M$500,0)),"")</f>
        <v/>
      </c>
      <c r="Q305" s="110" t="str">
        <f>IFERROR(INDEX('WetLitterbags placem_collection'!$A$3:$A$500,MATCH(A305,'WetLitterbags placem_collection'!$Q$4:$Q$500,0)),"")</f>
        <v/>
      </c>
    </row>
    <row r="306" spans="1:17" ht="13.95" customHeight="1">
      <c r="A306" s="110" t="s">
        <v>1290</v>
      </c>
      <c r="B306" s="110" t="s">
        <v>2077</v>
      </c>
      <c r="C306" s="110">
        <v>0.93500000000000005</v>
      </c>
      <c r="E306" s="112">
        <v>43122</v>
      </c>
      <c r="N306" s="110" t="str">
        <f>IFERROR(INDEX('WetLitterbags placem_collection'!$A$3:$A$500,MATCH(A306,'WetLitterbags placem_collection'!$K$4:$K$500,0)),"")</f>
        <v/>
      </c>
      <c r="O306" s="110">
        <f>IFERROR(INDEX('WetLitterbags placem_collection'!$A$3:$A$500,MATCH(A306,'WetLitterbags placem_collection'!$O$4:$O$500,0)),"")</f>
        <v>65</v>
      </c>
      <c r="P306" s="110" t="str">
        <f>IFERROR(INDEX('WetLitterbags placem_collection'!$A$3:$A$500,MATCH(A306,'WetLitterbags placem_collection'!$M$4:$M$500,0)),"")</f>
        <v/>
      </c>
      <c r="Q306" s="110" t="str">
        <f>IFERROR(INDEX('WetLitterbags placem_collection'!$A$3:$A$500,MATCH(A306,'WetLitterbags placem_collection'!$Q$4:$Q$500,0)),"")</f>
        <v/>
      </c>
    </row>
    <row r="307" spans="1:17" ht="13.95" customHeight="1">
      <c r="A307" s="110" t="s">
        <v>1289</v>
      </c>
      <c r="B307" s="110">
        <v>214</v>
      </c>
      <c r="C307" s="110">
        <v>0.71299999999999997</v>
      </c>
      <c r="E307" s="112">
        <v>42878</v>
      </c>
      <c r="N307" s="110">
        <f>IFERROR(INDEX('WetLitterbags placem_collection'!$A$3:$A$500,MATCH(A307,'WetLitterbags placem_collection'!$K$4:$K$500,0)),"")</f>
        <v>213</v>
      </c>
      <c r="O307" s="110" t="str">
        <f>IFERROR(INDEX('WetLitterbags placem_collection'!$A$3:$A$500,MATCH(A307,'WetLitterbags placem_collection'!$O$4:$O$500,0)),"")</f>
        <v/>
      </c>
      <c r="P307" s="110" t="str">
        <f>IFERROR(INDEX('WetLitterbags placem_collection'!$A$3:$A$500,MATCH(A307,'WetLitterbags placem_collection'!$M$4:$M$500,0)),"")</f>
        <v/>
      </c>
      <c r="Q307" s="110" t="str">
        <f>IFERROR(INDEX('WetLitterbags placem_collection'!$A$3:$A$500,MATCH(A307,'WetLitterbags placem_collection'!$Q$4:$Q$500,0)),"")</f>
        <v/>
      </c>
    </row>
    <row r="308" spans="1:17" ht="13.95" customHeight="1">
      <c r="A308" s="110" t="s">
        <v>1288</v>
      </c>
      <c r="B308" s="110">
        <v>146</v>
      </c>
      <c r="C308" s="110">
        <v>0.59199999999999997</v>
      </c>
      <c r="D308" s="110" t="s">
        <v>2125</v>
      </c>
      <c r="E308" s="112">
        <v>42878</v>
      </c>
      <c r="N308" s="110" t="str">
        <f>IFERROR(INDEX('WetLitterbags placem_collection'!$A$3:$A$500,MATCH(A308,'WetLitterbags placem_collection'!$K$4:$K$500,0)),"")</f>
        <v/>
      </c>
      <c r="O308" s="110">
        <f>IFERROR(INDEX('WetLitterbags placem_collection'!$A$3:$A$500,MATCH(A308,'WetLitterbags placem_collection'!$O$4:$O$500,0)),"")</f>
        <v>145</v>
      </c>
      <c r="P308" s="110" t="str">
        <f>IFERROR(INDEX('WetLitterbags placem_collection'!$A$3:$A$500,MATCH(A308,'WetLitterbags placem_collection'!$M$4:$M$500,0)),"")</f>
        <v/>
      </c>
      <c r="Q308" s="110" t="str">
        <f>IFERROR(INDEX('WetLitterbags placem_collection'!$A$3:$A$500,MATCH(A308,'WetLitterbags placem_collection'!$Q$4:$Q$500,0)),"")</f>
        <v/>
      </c>
    </row>
    <row r="309" spans="1:17" ht="13.95" customHeight="1">
      <c r="A309" s="110" t="s">
        <v>1286</v>
      </c>
      <c r="B309" s="110">
        <v>42</v>
      </c>
      <c r="C309" s="110">
        <v>0.72199999999999998</v>
      </c>
      <c r="E309" s="112">
        <v>42881</v>
      </c>
      <c r="N309" s="110">
        <f>IFERROR(INDEX('WetLitterbags placem_collection'!$A$3:$A$500,MATCH(A309,'WetLitterbags placem_collection'!$K$4:$K$500,0)),"")</f>
        <v>41</v>
      </c>
      <c r="O309" s="110" t="str">
        <f>IFERROR(INDEX('WetLitterbags placem_collection'!$A$3:$A$500,MATCH(A309,'WetLitterbags placem_collection'!$O$4:$O$500,0)),"")</f>
        <v/>
      </c>
      <c r="P309" s="110" t="str">
        <f>IFERROR(INDEX('WetLitterbags placem_collection'!$A$3:$A$500,MATCH(A309,'WetLitterbags placem_collection'!$M$4:$M$500,0)),"")</f>
        <v/>
      </c>
      <c r="Q309" s="110" t="str">
        <f>IFERROR(INDEX('WetLitterbags placem_collection'!$A$3:$A$500,MATCH(A309,'WetLitterbags placem_collection'!$Q$4:$Q$500,0)),"")</f>
        <v/>
      </c>
    </row>
    <row r="310" spans="1:17" ht="13.95" customHeight="1">
      <c r="A310" s="110" t="s">
        <v>1285</v>
      </c>
      <c r="B310" s="110">
        <v>99</v>
      </c>
      <c r="C310" s="110">
        <v>0.65149999999999997</v>
      </c>
      <c r="E310" s="112">
        <v>43123</v>
      </c>
      <c r="N310" s="110">
        <f>IFERROR(INDEX('WetLitterbags placem_collection'!$A$3:$A$500,MATCH(A310,'WetLitterbags placem_collection'!$K$4:$K$500,0)),"")</f>
        <v>98</v>
      </c>
      <c r="O310" s="110" t="str">
        <f>IFERROR(INDEX('WetLitterbags placem_collection'!$A$3:$A$500,MATCH(A310,'WetLitterbags placem_collection'!$O$4:$O$500,0)),"")</f>
        <v/>
      </c>
      <c r="P310" s="110" t="str">
        <f>IFERROR(INDEX('WetLitterbags placem_collection'!$A$3:$A$500,MATCH(A310,'WetLitterbags placem_collection'!$M$4:$M$500,0)),"")</f>
        <v/>
      </c>
      <c r="Q310" s="110" t="str">
        <f>IFERROR(INDEX('WetLitterbags placem_collection'!$A$3:$A$500,MATCH(A310,'WetLitterbags placem_collection'!$Q$4:$Q$500,0)),"")</f>
        <v/>
      </c>
    </row>
    <row r="311" spans="1:17" ht="13.95" customHeight="1">
      <c r="A311" s="110" t="s">
        <v>1282</v>
      </c>
      <c r="B311" s="110">
        <v>131</v>
      </c>
      <c r="C311" s="110">
        <v>0.62819999999999998</v>
      </c>
      <c r="E311" s="112">
        <v>43125</v>
      </c>
      <c r="N311" s="110" t="str">
        <f>IFERROR(INDEX('WetLitterbags placem_collection'!$A$3:$A$500,MATCH(A311,'WetLitterbags placem_collection'!$K$4:$K$500,0)),"")</f>
        <v/>
      </c>
      <c r="O311" s="110">
        <f>IFERROR(INDEX('WetLitterbags placem_collection'!$A$3:$A$500,MATCH(A311,'WetLitterbags placem_collection'!$O$4:$O$500,0)),"")</f>
        <v>130</v>
      </c>
      <c r="P311" s="110" t="str">
        <f>IFERROR(INDEX('WetLitterbags placem_collection'!$A$3:$A$500,MATCH(A311,'WetLitterbags placem_collection'!$M$4:$M$500,0)),"")</f>
        <v/>
      </c>
      <c r="Q311" s="110" t="str">
        <f>IFERROR(INDEX('WetLitterbags placem_collection'!$A$3:$A$500,MATCH(A311,'WetLitterbags placem_collection'!$Q$4:$Q$500,0)),"")</f>
        <v/>
      </c>
    </row>
    <row r="312" spans="1:17" ht="13.95" customHeight="1">
      <c r="A312" s="110" t="s">
        <v>1281</v>
      </c>
      <c r="B312" s="110">
        <v>113</v>
      </c>
      <c r="C312" s="110">
        <v>0.70799999999999996</v>
      </c>
      <c r="E312" s="112">
        <v>42878</v>
      </c>
      <c r="N312" s="110" t="str">
        <f>IFERROR(INDEX('WetLitterbags placem_collection'!$A$3:$A$500,MATCH(A312,'WetLitterbags placem_collection'!$K$4:$K$500,0)),"")</f>
        <v/>
      </c>
      <c r="O312" s="110">
        <f>IFERROR(INDEX('WetLitterbags placem_collection'!$A$3:$A$500,MATCH(A312,'WetLitterbags placem_collection'!$O$4:$O$500,0)),"")</f>
        <v>112</v>
      </c>
      <c r="P312" s="110" t="str">
        <f>IFERROR(INDEX('WetLitterbags placem_collection'!$A$3:$A$500,MATCH(A312,'WetLitterbags placem_collection'!$M$4:$M$500,0)),"")</f>
        <v/>
      </c>
      <c r="Q312" s="110" t="str">
        <f>IFERROR(INDEX('WetLitterbags placem_collection'!$A$3:$A$500,MATCH(A312,'WetLitterbags placem_collection'!$Q$4:$Q$500,0)),"")</f>
        <v/>
      </c>
    </row>
    <row r="313" spans="1:17" ht="13.95" customHeight="1">
      <c r="A313" s="110" t="s">
        <v>1280</v>
      </c>
      <c r="B313" s="110">
        <v>202</v>
      </c>
      <c r="C313" s="110">
        <v>0.98199999999999998</v>
      </c>
      <c r="D313" s="110" t="s">
        <v>2050</v>
      </c>
      <c r="E313" s="112">
        <v>42881</v>
      </c>
      <c r="N313" s="110" t="str">
        <f>IFERROR(INDEX('WetLitterbags placem_collection'!$A$3:$A$500,MATCH(A313,'WetLitterbags placem_collection'!$K$4:$K$500,0)),"")</f>
        <v/>
      </c>
      <c r="O313" s="110">
        <f>IFERROR(INDEX('WetLitterbags placem_collection'!$A$3:$A$500,MATCH(A313,'WetLitterbags placem_collection'!$O$4:$O$500,0)),"")</f>
        <v>201</v>
      </c>
      <c r="P313" s="110" t="str">
        <f>IFERROR(INDEX('WetLitterbags placem_collection'!$A$3:$A$500,MATCH(A313,'WetLitterbags placem_collection'!$M$4:$M$500,0)),"")</f>
        <v/>
      </c>
      <c r="Q313" s="110" t="str">
        <f>IFERROR(INDEX('WetLitterbags placem_collection'!$A$3:$A$500,MATCH(A313,'WetLitterbags placem_collection'!$Q$4:$Q$500,0)),"")</f>
        <v/>
      </c>
    </row>
    <row r="314" spans="1:17" ht="13.95" customHeight="1">
      <c r="A314" s="110" t="s">
        <v>1278</v>
      </c>
      <c r="B314" s="110">
        <v>175</v>
      </c>
      <c r="C314" s="110">
        <v>0.58099999999999996</v>
      </c>
      <c r="E314" s="112">
        <v>42879</v>
      </c>
      <c r="N314" s="110" t="str">
        <f>IFERROR(INDEX('WetLitterbags placem_collection'!$A$3:$A$500,MATCH(A314,'WetLitterbags placem_collection'!$K$4:$K$500,0)),"")</f>
        <v/>
      </c>
      <c r="O314" s="110" t="str">
        <f>IFERROR(INDEX('WetLitterbags placem_collection'!$A$3:$A$500,MATCH(A314,'WetLitterbags placem_collection'!$O$4:$O$500,0)),"")</f>
        <v/>
      </c>
      <c r="P314" s="110" t="str">
        <f>IFERROR(INDEX('WetLitterbags placem_collection'!$A$3:$A$500,MATCH(A314,'WetLitterbags placem_collection'!$M$4:$M$500,0)),"")</f>
        <v/>
      </c>
      <c r="Q314" s="110" t="str">
        <f>IFERROR(INDEX('WetLitterbags placem_collection'!$A$3:$A$500,MATCH(A314,'WetLitterbags placem_collection'!$Q$4:$Q$500,0)),"")</f>
        <v/>
      </c>
    </row>
    <row r="315" spans="1:17" ht="13.95" customHeight="1">
      <c r="A315" s="110" t="s">
        <v>1277</v>
      </c>
      <c r="B315" s="110">
        <v>202</v>
      </c>
      <c r="C315" s="110">
        <v>0.84</v>
      </c>
      <c r="E315" s="112">
        <v>42881</v>
      </c>
      <c r="N315" s="110">
        <f>IFERROR(INDEX('WetLitterbags placem_collection'!$A$3:$A$500,MATCH(A315,'WetLitterbags placem_collection'!$K$4:$K$500,0)),"")</f>
        <v>201</v>
      </c>
      <c r="O315" s="110" t="str">
        <f>IFERROR(INDEX('WetLitterbags placem_collection'!$A$3:$A$500,MATCH(A315,'WetLitterbags placem_collection'!$O$4:$O$500,0)),"")</f>
        <v/>
      </c>
      <c r="P315" s="110" t="str">
        <f>IFERROR(INDEX('WetLitterbags placem_collection'!$A$3:$A$500,MATCH(A315,'WetLitterbags placem_collection'!$M$4:$M$500,0)),"")</f>
        <v/>
      </c>
      <c r="Q315" s="110" t="str">
        <f>IFERROR(INDEX('WetLitterbags placem_collection'!$A$3:$A$500,MATCH(A315,'WetLitterbags placem_collection'!$Q$4:$Q$500,0)),"")</f>
        <v/>
      </c>
    </row>
    <row r="316" spans="1:17" ht="13.95" customHeight="1">
      <c r="A316" s="110" t="s">
        <v>1276</v>
      </c>
      <c r="B316" s="110">
        <v>44</v>
      </c>
      <c r="C316" s="110">
        <v>0.89559999999999995</v>
      </c>
      <c r="D316" s="110" t="s">
        <v>2079</v>
      </c>
      <c r="E316" s="112">
        <v>43125</v>
      </c>
      <c r="N316" s="110">
        <f>IFERROR(INDEX('WetLitterbags placem_collection'!$A$3:$A$500,MATCH(A316,'WetLitterbags placem_collection'!$K$4:$K$500,0)),"")</f>
        <v>43</v>
      </c>
      <c r="O316" s="110" t="str">
        <f>IFERROR(INDEX('WetLitterbags placem_collection'!$A$3:$A$500,MATCH(A316,'WetLitterbags placem_collection'!$O$4:$O$500,0)),"")</f>
        <v/>
      </c>
      <c r="P316" s="110" t="str">
        <f>IFERROR(INDEX('WetLitterbags placem_collection'!$A$3:$A$500,MATCH(A316,'WetLitterbags placem_collection'!$M$4:$M$500,0)),"")</f>
        <v/>
      </c>
      <c r="Q316" s="110" t="str">
        <f>IFERROR(INDEX('WetLitterbags placem_collection'!$A$3:$A$500,MATCH(A316,'WetLitterbags placem_collection'!$Q$4:$Q$500,0)),"")</f>
        <v/>
      </c>
    </row>
    <row r="317" spans="1:17" ht="13.95" customHeight="1">
      <c r="A317" t="s">
        <v>1275</v>
      </c>
      <c r="B317" s="110">
        <v>141</v>
      </c>
      <c r="C317" s="110">
        <v>0.69099999999999995</v>
      </c>
      <c r="E317" s="112">
        <v>42878</v>
      </c>
      <c r="N317" s="110" t="str">
        <f>IFERROR(INDEX('WetLitterbags placem_collection'!$A$3:$A$500,MATCH(A317,'WetLitterbags placem_collection'!$K$4:$K$500,0)),"")</f>
        <v/>
      </c>
      <c r="O317" s="110">
        <f>IFERROR(INDEX('WetLitterbags placem_collection'!$A$3:$A$500,MATCH(A317,'WetLitterbags placem_collection'!$O$4:$O$500,0)),"")</f>
        <v>140</v>
      </c>
      <c r="P317" s="110" t="str">
        <f>IFERROR(INDEX('WetLitterbags placem_collection'!$A$3:$A$500,MATCH(A317,'WetLitterbags placem_collection'!$M$4:$M$500,0)),"")</f>
        <v/>
      </c>
      <c r="Q317" s="110" t="str">
        <f>IFERROR(INDEX('WetLitterbags placem_collection'!$A$3:$A$500,MATCH(A317,'WetLitterbags placem_collection'!$Q$4:$Q$500,0)),"")</f>
        <v/>
      </c>
    </row>
    <row r="318" spans="1:17" ht="13.95" customHeight="1">
      <c r="A318" s="110" t="s">
        <v>1273</v>
      </c>
      <c r="B318" s="110">
        <v>157</v>
      </c>
      <c r="C318" s="110">
        <v>0.70499999999999996</v>
      </c>
      <c r="D318" s="110" t="s">
        <v>2050</v>
      </c>
      <c r="E318" s="112">
        <v>42879</v>
      </c>
      <c r="N318" s="110" t="str">
        <f>IFERROR(INDEX('WetLitterbags placem_collection'!$A$3:$A$500,MATCH(A318,'WetLitterbags placem_collection'!$K$4:$K$500,0)),"")</f>
        <v/>
      </c>
      <c r="O318" s="110">
        <f>IFERROR(INDEX('WetLitterbags placem_collection'!$A$3:$A$500,MATCH(A318,'WetLitterbags placem_collection'!$O$4:$O$500,0)),"")</f>
        <v>156</v>
      </c>
      <c r="P318" s="110" t="str">
        <f>IFERROR(INDEX('WetLitterbags placem_collection'!$A$3:$A$500,MATCH(A318,'WetLitterbags placem_collection'!$M$4:$M$500,0)),"")</f>
        <v/>
      </c>
      <c r="Q318" s="110" t="str">
        <f>IFERROR(INDEX('WetLitterbags placem_collection'!$A$3:$A$500,MATCH(A318,'WetLitterbags placem_collection'!$Q$4:$Q$500,0)),"")</f>
        <v/>
      </c>
    </row>
    <row r="319" spans="1:17" ht="13.95" customHeight="1">
      <c r="A319" s="110" t="s">
        <v>1272</v>
      </c>
      <c r="B319" s="110">
        <v>115</v>
      </c>
      <c r="C319" s="110">
        <v>0.73709999999999998</v>
      </c>
      <c r="E319" s="112">
        <v>43125</v>
      </c>
      <c r="N319" s="110" t="str">
        <f>IFERROR(INDEX('WetLitterbags placem_collection'!$A$3:$A$500,MATCH(A319,'WetLitterbags placem_collection'!$K$4:$K$500,0)),"")</f>
        <v/>
      </c>
      <c r="O319" s="110">
        <f>IFERROR(INDEX('WetLitterbags placem_collection'!$A$3:$A$500,MATCH(A319,'WetLitterbags placem_collection'!$O$4:$O$500,0)),"")</f>
        <v>114</v>
      </c>
      <c r="P319" s="110" t="str">
        <f>IFERROR(INDEX('WetLitterbags placem_collection'!$A$3:$A$500,MATCH(A319,'WetLitterbags placem_collection'!$M$4:$M$500,0)),"")</f>
        <v/>
      </c>
      <c r="Q319" s="110" t="str">
        <f>IFERROR(INDEX('WetLitterbags placem_collection'!$A$3:$A$500,MATCH(A319,'WetLitterbags placem_collection'!$Q$4:$Q$500,0)),"")</f>
        <v/>
      </c>
    </row>
    <row r="320" spans="1:17" ht="13.95" customHeight="1">
      <c r="A320" s="110" t="s">
        <v>1271</v>
      </c>
      <c r="B320" s="110">
        <v>132</v>
      </c>
      <c r="C320" s="110">
        <v>0.63490000000000002</v>
      </c>
      <c r="E320" s="112">
        <v>43125</v>
      </c>
      <c r="N320" s="110" t="str">
        <f>IFERROR(INDEX('WetLitterbags placem_collection'!$A$3:$A$500,MATCH(A320,'WetLitterbags placem_collection'!$K$4:$K$500,0)),"")</f>
        <v/>
      </c>
      <c r="O320" s="110">
        <f>IFERROR(INDEX('WetLitterbags placem_collection'!$A$3:$A$500,MATCH(A320,'WetLitterbags placem_collection'!$O$4:$O$500,0)),"")</f>
        <v>131</v>
      </c>
      <c r="P320" s="110" t="str">
        <f>IFERROR(INDEX('WetLitterbags placem_collection'!$A$3:$A$500,MATCH(A320,'WetLitterbags placem_collection'!$M$4:$M$500,0)),"")</f>
        <v/>
      </c>
      <c r="Q320" s="110" t="str">
        <f>IFERROR(INDEX('WetLitterbags placem_collection'!$A$3:$A$500,MATCH(A320,'WetLitterbags placem_collection'!$Q$4:$Q$500,0)),"")</f>
        <v/>
      </c>
    </row>
    <row r="321" spans="1:17" ht="13.95" customHeight="1">
      <c r="A321" s="110" t="s">
        <v>1269</v>
      </c>
      <c r="B321" s="110">
        <v>178</v>
      </c>
      <c r="C321" s="110">
        <v>0.62549999999999994</v>
      </c>
      <c r="D321" s="110" t="s">
        <v>2090</v>
      </c>
      <c r="E321" s="112">
        <v>43125</v>
      </c>
      <c r="N321" s="110">
        <f>IFERROR(INDEX('WetLitterbags placem_collection'!$A$3:$A$500,MATCH(A321,'WetLitterbags placem_collection'!$K$4:$K$500,0)),"")</f>
        <v>177</v>
      </c>
      <c r="O321" s="110" t="str">
        <f>IFERROR(INDEX('WetLitterbags placem_collection'!$A$3:$A$500,MATCH(A321,'WetLitterbags placem_collection'!$O$4:$O$500,0)),"")</f>
        <v/>
      </c>
      <c r="P321" s="110" t="str">
        <f>IFERROR(INDEX('WetLitterbags placem_collection'!$A$3:$A$500,MATCH(A321,'WetLitterbags placem_collection'!$M$4:$M$500,0)),"")</f>
        <v/>
      </c>
      <c r="Q321" s="110" t="str">
        <f>IFERROR(INDEX('WetLitterbags placem_collection'!$A$3:$A$500,MATCH(A321,'WetLitterbags placem_collection'!$Q$4:$Q$500,0)),"")</f>
        <v/>
      </c>
    </row>
    <row r="322" spans="1:17" ht="13.95" customHeight="1">
      <c r="A322" s="110" t="s">
        <v>1268</v>
      </c>
      <c r="B322" s="110" t="s">
        <v>2077</v>
      </c>
      <c r="C322" s="110">
        <v>0.6169</v>
      </c>
      <c r="D322" s="110" t="s">
        <v>2124</v>
      </c>
      <c r="E322" s="112">
        <v>43122</v>
      </c>
      <c r="N322" s="110">
        <f>IFERROR(INDEX('WetLitterbags placem_collection'!$A$3:$A$500,MATCH(A322,'WetLitterbags placem_collection'!$K$4:$K$500,0)),"")</f>
        <v>219</v>
      </c>
      <c r="O322" s="110" t="str">
        <f>IFERROR(INDEX('WetLitterbags placem_collection'!$A$3:$A$500,MATCH(A322,'WetLitterbags placem_collection'!$O$4:$O$500,0)),"")</f>
        <v/>
      </c>
      <c r="P322" s="110" t="str">
        <f>IFERROR(INDEX('WetLitterbags placem_collection'!$A$3:$A$500,MATCH(A322,'WetLitterbags placem_collection'!$M$4:$M$500,0)),"")</f>
        <v/>
      </c>
      <c r="Q322" s="110" t="str">
        <f>IFERROR(INDEX('WetLitterbags placem_collection'!$A$3:$A$500,MATCH(A322,'WetLitterbags placem_collection'!$Q$4:$Q$500,0)),"")</f>
        <v/>
      </c>
    </row>
    <row r="323" spans="1:17" ht="13.95" customHeight="1">
      <c r="A323" s="110" t="s">
        <v>1267</v>
      </c>
      <c r="B323" s="110">
        <v>180</v>
      </c>
      <c r="C323" s="110">
        <v>0.627</v>
      </c>
      <c r="E323" s="112">
        <v>43119</v>
      </c>
      <c r="N323" s="110" t="str">
        <f>IFERROR(INDEX('WetLitterbags placem_collection'!$A$3:$A$500,MATCH(A323,'WetLitterbags placem_collection'!$K$4:$K$500,0)),"")</f>
        <v/>
      </c>
      <c r="O323" s="110">
        <f>IFERROR(INDEX('WetLitterbags placem_collection'!$A$3:$A$500,MATCH(A323,'WetLitterbags placem_collection'!$O$4:$O$500,0)),"")</f>
        <v>179</v>
      </c>
      <c r="P323" s="110" t="str">
        <f>IFERROR(INDEX('WetLitterbags placem_collection'!$A$3:$A$500,MATCH(A323,'WetLitterbags placem_collection'!$M$4:$M$500,0)),"")</f>
        <v/>
      </c>
      <c r="Q323" s="110" t="str">
        <f>IFERROR(INDEX('WetLitterbags placem_collection'!$A$3:$A$500,MATCH(A323,'WetLitterbags placem_collection'!$Q$4:$Q$500,0)),"")</f>
        <v/>
      </c>
    </row>
    <row r="324" spans="1:17" ht="13.95" customHeight="1">
      <c r="A324" s="110" t="s">
        <v>1266</v>
      </c>
      <c r="B324" s="110">
        <v>144</v>
      </c>
      <c r="C324" s="110">
        <v>0.78500000000000003</v>
      </c>
      <c r="E324" s="112">
        <v>42881</v>
      </c>
      <c r="N324" s="110">
        <f>IFERROR(INDEX('WetLitterbags placem_collection'!$A$3:$A$500,MATCH(A324,'WetLitterbags placem_collection'!$K$4:$K$500,0)),"")</f>
        <v>143</v>
      </c>
      <c r="O324" s="110" t="str">
        <f>IFERROR(INDEX('WetLitterbags placem_collection'!$A$3:$A$500,MATCH(A324,'WetLitterbags placem_collection'!$O$4:$O$500,0)),"")</f>
        <v/>
      </c>
      <c r="P324" s="110" t="str">
        <f>IFERROR(INDEX('WetLitterbags placem_collection'!$A$3:$A$500,MATCH(A324,'WetLitterbags placem_collection'!$M$4:$M$500,0)),"")</f>
        <v/>
      </c>
      <c r="Q324" s="110" t="str">
        <f>IFERROR(INDEX('WetLitterbags placem_collection'!$A$3:$A$500,MATCH(A324,'WetLitterbags placem_collection'!$Q$4:$Q$500,0)),"")</f>
        <v/>
      </c>
    </row>
    <row r="325" spans="1:17" ht="13.95" customHeight="1">
      <c r="A325" s="110" t="s">
        <v>1265</v>
      </c>
      <c r="B325" s="110">
        <v>198</v>
      </c>
      <c r="C325" s="110">
        <v>0.64690000000000003</v>
      </c>
      <c r="E325" s="112">
        <v>43125</v>
      </c>
      <c r="N325" s="110">
        <f>IFERROR(INDEX('WetLitterbags placem_collection'!$A$3:$A$500,MATCH(A325,'WetLitterbags placem_collection'!$K$4:$K$500,0)),"")</f>
        <v>197</v>
      </c>
      <c r="O325" s="110" t="str">
        <f>IFERROR(INDEX('WetLitterbags placem_collection'!$A$3:$A$500,MATCH(A325,'WetLitterbags placem_collection'!$O$4:$O$500,0)),"")</f>
        <v/>
      </c>
      <c r="P325" s="110" t="str">
        <f>IFERROR(INDEX('WetLitterbags placem_collection'!$A$3:$A$500,MATCH(A325,'WetLitterbags placem_collection'!$M$4:$M$500,0)),"")</f>
        <v/>
      </c>
      <c r="Q325" s="110" t="str">
        <f>IFERROR(INDEX('WetLitterbags placem_collection'!$A$3:$A$500,MATCH(A325,'WetLitterbags placem_collection'!$Q$4:$Q$500,0)),"")</f>
        <v/>
      </c>
    </row>
    <row r="326" spans="1:17" ht="13.95" customHeight="1">
      <c r="A326" s="110" t="s">
        <v>1264</v>
      </c>
      <c r="B326" s="110">
        <v>212</v>
      </c>
      <c r="C326" s="110">
        <v>0.86439999999999995</v>
      </c>
      <c r="E326" s="112">
        <v>43123</v>
      </c>
      <c r="N326" s="110">
        <f>IFERROR(INDEX('WetLitterbags placem_collection'!$A$3:$A$500,MATCH(A326,'WetLitterbags placem_collection'!$K$4:$K$500,0)),"")</f>
        <v>211</v>
      </c>
      <c r="O326" s="110" t="str">
        <f>IFERROR(INDEX('WetLitterbags placem_collection'!$A$3:$A$500,MATCH(A326,'WetLitterbags placem_collection'!$O$4:$O$500,0)),"")</f>
        <v/>
      </c>
      <c r="P326" s="110" t="str">
        <f>IFERROR(INDEX('WetLitterbags placem_collection'!$A$3:$A$500,MATCH(A326,'WetLitterbags placem_collection'!$M$4:$M$500,0)),"")</f>
        <v/>
      </c>
      <c r="Q326" s="110" t="str">
        <f>IFERROR(INDEX('WetLitterbags placem_collection'!$A$3:$A$500,MATCH(A326,'WetLitterbags placem_collection'!$Q$4:$Q$500,0)),"")</f>
        <v/>
      </c>
    </row>
    <row r="327" spans="1:17" ht="13.95" customHeight="1">
      <c r="A327" s="110" t="s">
        <v>1263</v>
      </c>
      <c r="B327" s="110">
        <v>140</v>
      </c>
      <c r="C327" s="110">
        <v>0.67869999999999997</v>
      </c>
      <c r="E327" s="112">
        <v>43125</v>
      </c>
      <c r="N327" s="110">
        <f>IFERROR(INDEX('WetLitterbags placem_collection'!$A$3:$A$500,MATCH(A327,'WetLitterbags placem_collection'!$K$4:$K$500,0)),"")</f>
        <v>139</v>
      </c>
      <c r="O327" s="110" t="str">
        <f>IFERROR(INDEX('WetLitterbags placem_collection'!$A$3:$A$500,MATCH(A327,'WetLitterbags placem_collection'!$O$4:$O$500,0)),"")</f>
        <v/>
      </c>
      <c r="P327" s="110" t="str">
        <f>IFERROR(INDEX('WetLitterbags placem_collection'!$A$3:$A$500,MATCH(A327,'WetLitterbags placem_collection'!$M$4:$M$500,0)),"")</f>
        <v/>
      </c>
      <c r="Q327" s="110" t="str">
        <f>IFERROR(INDEX('WetLitterbags placem_collection'!$A$3:$A$500,MATCH(A327,'WetLitterbags placem_collection'!$Q$4:$Q$500,0)),"")</f>
        <v/>
      </c>
    </row>
    <row r="328" spans="1:17" ht="13.95" customHeight="1">
      <c r="A328" s="179" t="s">
        <v>1261</v>
      </c>
      <c r="B328" s="110">
        <v>117</v>
      </c>
      <c r="C328" s="110">
        <v>0.79800000000000004</v>
      </c>
      <c r="D328" s="110" t="s">
        <v>2071</v>
      </c>
      <c r="E328" s="112">
        <v>42878</v>
      </c>
      <c r="N328" s="110">
        <f>IFERROR(INDEX('WetLitterbags placem_collection'!$A$3:$A$500,MATCH(A328,'WetLitterbags placem_collection'!$K$4:$K$500,0)),"")</f>
        <v>116</v>
      </c>
      <c r="O328" s="110" t="str">
        <f>IFERROR(INDEX('WetLitterbags placem_collection'!$A$3:$A$500,MATCH(A328,'WetLitterbags placem_collection'!$O$4:$O$500,0)),"")</f>
        <v/>
      </c>
      <c r="P328" s="110" t="str">
        <f>IFERROR(INDEX('WetLitterbags placem_collection'!$A$3:$A$500,MATCH(A328,'WetLitterbags placem_collection'!$M$4:$M$500,0)),"")</f>
        <v/>
      </c>
      <c r="Q328" s="110" t="str">
        <f>IFERROR(INDEX('WetLitterbags placem_collection'!$A$3:$A$500,MATCH(A328,'WetLitterbags placem_collection'!$Q$4:$Q$500,0)),"")</f>
        <v/>
      </c>
    </row>
    <row r="329" spans="1:17" ht="13.95" customHeight="1">
      <c r="A329" s="275" t="s">
        <v>1259</v>
      </c>
      <c r="B329" s="110">
        <v>118</v>
      </c>
      <c r="C329" s="110">
        <v>0.64600000000000002</v>
      </c>
      <c r="E329" s="112">
        <v>42879</v>
      </c>
      <c r="N329" s="110" t="str">
        <f>IFERROR(INDEX('WetLitterbags placem_collection'!$A$3:$A$500,MATCH(A329,'WetLitterbags placem_collection'!$K$4:$K$500,0)),"")</f>
        <v/>
      </c>
      <c r="O329" s="110">
        <f>IFERROR(INDEX('WetLitterbags placem_collection'!$A$3:$A$500,MATCH(A329,'WetLitterbags placem_collection'!$O$4:$O$500,0)),"")</f>
        <v>117</v>
      </c>
      <c r="P329" s="110" t="str">
        <f>IFERROR(INDEX('WetLitterbags placem_collection'!$A$3:$A$500,MATCH(A329,'WetLitterbags placem_collection'!$M$4:$M$500,0)),"")</f>
        <v/>
      </c>
      <c r="Q329" s="110" t="str">
        <f>IFERROR(INDEX('WetLitterbags placem_collection'!$A$3:$A$500,MATCH(A329,'WetLitterbags placem_collection'!$Q$4:$Q$500,0)),"")</f>
        <v/>
      </c>
    </row>
    <row r="330" spans="1:17" ht="13.95" customHeight="1">
      <c r="A330" s="110" t="s">
        <v>1257</v>
      </c>
      <c r="B330" s="110">
        <v>125</v>
      </c>
      <c r="C330" s="110">
        <v>0.77200000000000002</v>
      </c>
      <c r="E330" s="112">
        <v>42881</v>
      </c>
      <c r="N330" s="110">
        <f>IFERROR(INDEX('WetLitterbags placem_collection'!$A$3:$A$500,MATCH(A330,'WetLitterbags placem_collection'!$K$4:$K$500,0)),"")</f>
        <v>124</v>
      </c>
      <c r="O330" s="110" t="str">
        <f>IFERROR(INDEX('WetLitterbags placem_collection'!$A$3:$A$500,MATCH(A330,'WetLitterbags placem_collection'!$O$4:$O$500,0)),"")</f>
        <v/>
      </c>
      <c r="P330" s="110" t="str">
        <f>IFERROR(INDEX('WetLitterbags placem_collection'!$A$3:$A$500,MATCH(A330,'WetLitterbags placem_collection'!$M$4:$M$500,0)),"")</f>
        <v/>
      </c>
      <c r="Q330" s="110" t="str">
        <f>IFERROR(INDEX('WetLitterbags placem_collection'!$A$3:$A$500,MATCH(A330,'WetLitterbags placem_collection'!$Q$4:$Q$500,0)),"")</f>
        <v/>
      </c>
    </row>
    <row r="331" spans="1:17" ht="13.95" customHeight="1">
      <c r="A331" s="110" t="s">
        <v>1255</v>
      </c>
      <c r="B331" s="110">
        <v>217</v>
      </c>
      <c r="C331" s="110">
        <v>0.78100000000000003</v>
      </c>
      <c r="E331" s="112">
        <v>42881</v>
      </c>
      <c r="N331" s="110">
        <f>IFERROR(INDEX('WetLitterbags placem_collection'!$A$3:$A$500,MATCH(A331,'WetLitterbags placem_collection'!$K$4:$K$500,0)),"")</f>
        <v>216</v>
      </c>
      <c r="O331" s="110" t="str">
        <f>IFERROR(INDEX('WetLitterbags placem_collection'!$A$3:$A$500,MATCH(A331,'WetLitterbags placem_collection'!$O$4:$O$500,0)),"")</f>
        <v/>
      </c>
      <c r="P331" s="110" t="str">
        <f>IFERROR(INDEX('WetLitterbags placem_collection'!$A$3:$A$500,MATCH(A331,'WetLitterbags placem_collection'!$M$4:$M$500,0)),"")</f>
        <v/>
      </c>
      <c r="Q331" s="110" t="str">
        <f>IFERROR(INDEX('WetLitterbags placem_collection'!$A$3:$A$500,MATCH(A331,'WetLitterbags placem_collection'!$Q$4:$Q$500,0)),"")</f>
        <v/>
      </c>
    </row>
    <row r="332" spans="1:17" ht="13.95" customHeight="1">
      <c r="A332" s="110" t="s">
        <v>1254</v>
      </c>
      <c r="B332" s="110">
        <v>221</v>
      </c>
      <c r="C332" s="110">
        <v>0.67200000000000004</v>
      </c>
      <c r="E332" s="112">
        <v>42878</v>
      </c>
      <c r="N332" s="110" t="str">
        <f>IFERROR(INDEX('WetLitterbags placem_collection'!$A$3:$A$500,MATCH(A332,'WetLitterbags placem_collection'!$K$4:$K$500,0)),"")</f>
        <v/>
      </c>
      <c r="O332" s="110">
        <f>IFERROR(INDEX('WetLitterbags placem_collection'!$A$3:$A$500,MATCH(A332,'WetLitterbags placem_collection'!$O$4:$O$500,0)),"")</f>
        <v>210</v>
      </c>
      <c r="P332" s="110" t="str">
        <f>IFERROR(INDEX('WetLitterbags placem_collection'!$A$3:$A$500,MATCH(A332,'WetLitterbags placem_collection'!$M$4:$M$500,0)),"")</f>
        <v/>
      </c>
      <c r="Q332" s="110" t="str">
        <f>IFERROR(INDEX('WetLitterbags placem_collection'!$A$3:$A$500,MATCH(A332,'WetLitterbags placem_collection'!$Q$4:$Q$500,0)),"")</f>
        <v/>
      </c>
    </row>
    <row r="333" spans="1:17" ht="13.95" customHeight="1">
      <c r="A333" s="179" t="s">
        <v>1252</v>
      </c>
      <c r="B333" s="110">
        <v>139</v>
      </c>
      <c r="C333" s="110">
        <v>0.73499999999999999</v>
      </c>
      <c r="E333" s="112">
        <v>42878</v>
      </c>
      <c r="N333" s="110">
        <f>IFERROR(INDEX('WetLitterbags placem_collection'!$A$3:$A$500,MATCH(A333,'WetLitterbags placem_collection'!$K$4:$K$500,0)),"")</f>
        <v>138</v>
      </c>
      <c r="O333" s="110" t="str">
        <f>IFERROR(INDEX('WetLitterbags placem_collection'!$A$3:$A$500,MATCH(A333,'WetLitterbags placem_collection'!$O$4:$O$500,0)),"")</f>
        <v/>
      </c>
      <c r="P333" s="110" t="str">
        <f>IFERROR(INDEX('WetLitterbags placem_collection'!$A$3:$A$500,MATCH(A333,'WetLitterbags placem_collection'!$M$4:$M$500,0)),"")</f>
        <v/>
      </c>
      <c r="Q333" s="110" t="str">
        <f>IFERROR(INDEX('WetLitterbags placem_collection'!$A$3:$A$500,MATCH(A333,'WetLitterbags placem_collection'!$Q$4:$Q$500,0)),"")</f>
        <v/>
      </c>
    </row>
    <row r="334" spans="1:17" ht="13.95" customHeight="1">
      <c r="A334" s="110" t="s">
        <v>1251</v>
      </c>
      <c r="B334" s="110" t="s">
        <v>2077</v>
      </c>
      <c r="C334" s="110">
        <v>0.63380000000000003</v>
      </c>
      <c r="E334" s="112">
        <v>43123</v>
      </c>
      <c r="N334" s="110" t="str">
        <f>IFERROR(INDEX('WetLitterbags placem_collection'!$A$3:$A$500,MATCH(A334,'WetLitterbags placem_collection'!$K$4:$K$500,0)),"")</f>
        <v/>
      </c>
      <c r="O334" s="110">
        <f>IFERROR(INDEX('WetLitterbags placem_collection'!$A$3:$A$500,MATCH(A334,'WetLitterbags placem_collection'!$O$4:$O$500,0)),"")</f>
        <v>132</v>
      </c>
      <c r="P334" s="110" t="str">
        <f>IFERROR(INDEX('WetLitterbags placem_collection'!$A$3:$A$500,MATCH(A334,'WetLitterbags placem_collection'!$M$4:$M$500,0)),"")</f>
        <v/>
      </c>
      <c r="Q334" s="110" t="str">
        <f>IFERROR(INDEX('WetLitterbags placem_collection'!$A$3:$A$500,MATCH(A334,'WetLitterbags placem_collection'!$Q$4:$Q$500,0)),"")</f>
        <v/>
      </c>
    </row>
    <row r="335" spans="1:17" ht="13.95" customHeight="1">
      <c r="A335" s="110" t="s">
        <v>1250</v>
      </c>
      <c r="B335" s="110" t="s">
        <v>2077</v>
      </c>
      <c r="C335" s="110">
        <v>0.58630000000000004</v>
      </c>
      <c r="E335" s="112">
        <v>43116</v>
      </c>
      <c r="N335" s="110">
        <f>IFERROR(INDEX('WetLitterbags placem_collection'!$A$3:$A$500,MATCH(A335,'WetLitterbags placem_collection'!$K$4:$K$500,0)),"")</f>
        <v>152</v>
      </c>
      <c r="O335" s="110" t="str">
        <f>IFERROR(INDEX('WetLitterbags placem_collection'!$A$3:$A$500,MATCH(A335,'WetLitterbags placem_collection'!$O$4:$O$500,0)),"")</f>
        <v/>
      </c>
      <c r="P335" s="110" t="str">
        <f>IFERROR(INDEX('WetLitterbags placem_collection'!$A$3:$A$500,MATCH(A335,'WetLitterbags placem_collection'!$M$4:$M$500,0)),"")</f>
        <v/>
      </c>
      <c r="Q335" s="110" t="str">
        <f>IFERROR(INDEX('WetLitterbags placem_collection'!$A$3:$A$500,MATCH(A335,'WetLitterbags placem_collection'!$Q$4:$Q$500,0)),"")</f>
        <v/>
      </c>
    </row>
    <row r="336" spans="1:17" ht="13.95" customHeight="1">
      <c r="A336" s="110" t="s">
        <v>1249</v>
      </c>
      <c r="B336" s="110">
        <v>150</v>
      </c>
      <c r="C336" s="110">
        <v>0.60099999999999998</v>
      </c>
      <c r="E336" s="112">
        <v>42879</v>
      </c>
      <c r="N336" s="110" t="str">
        <f>IFERROR(INDEX('WetLitterbags placem_collection'!$A$3:$A$500,MATCH(A336,'WetLitterbags placem_collection'!$K$4:$K$500,0)),"")</f>
        <v/>
      </c>
      <c r="O336" s="110">
        <f>IFERROR(INDEX('WetLitterbags placem_collection'!$A$3:$A$500,MATCH(A336,'WetLitterbags placem_collection'!$O$4:$O$500,0)),"")</f>
        <v>149</v>
      </c>
      <c r="P336" s="110" t="str">
        <f>IFERROR(INDEX('WetLitterbags placem_collection'!$A$3:$A$500,MATCH(A336,'WetLitterbags placem_collection'!$M$4:$M$500,0)),"")</f>
        <v/>
      </c>
      <c r="Q336" s="110" t="str">
        <f>IFERROR(INDEX('WetLitterbags placem_collection'!$A$3:$A$500,MATCH(A336,'WetLitterbags placem_collection'!$Q$4:$Q$500,0)),"")</f>
        <v/>
      </c>
    </row>
    <row r="337" spans="1:17" ht="13.95" customHeight="1">
      <c r="A337" s="110" t="s">
        <v>1248</v>
      </c>
      <c r="B337" s="110">
        <v>119</v>
      </c>
      <c r="C337" s="110">
        <v>0.65200000000000002</v>
      </c>
      <c r="D337"/>
      <c r="E337" s="112">
        <v>42881</v>
      </c>
      <c r="N337" s="110" t="str">
        <f>IFERROR(INDEX('WetLitterbags placem_collection'!$A$3:$A$500,MATCH(A337,'WetLitterbags placem_collection'!$K$4:$K$500,0)),"")</f>
        <v/>
      </c>
      <c r="O337" s="110">
        <f>IFERROR(INDEX('WetLitterbags placem_collection'!$A$3:$A$500,MATCH(A337,'WetLitterbags placem_collection'!$O$4:$O$500,0)),"")</f>
        <v>118</v>
      </c>
      <c r="P337" s="110" t="str">
        <f>IFERROR(INDEX('WetLitterbags placem_collection'!$A$3:$A$500,MATCH(A337,'WetLitterbags placem_collection'!$M$4:$M$500,0)),"")</f>
        <v/>
      </c>
      <c r="Q337" s="110" t="str">
        <f>IFERROR(INDEX('WetLitterbags placem_collection'!$A$3:$A$500,MATCH(A337,'WetLitterbags placem_collection'!$Q$4:$Q$500,0)),"")</f>
        <v/>
      </c>
    </row>
    <row r="338" spans="1:17" ht="13.95" customHeight="1">
      <c r="A338" s="179" t="s">
        <v>1247</v>
      </c>
      <c r="B338" s="110">
        <v>114</v>
      </c>
      <c r="C338" s="110">
        <v>0.64300000000000002</v>
      </c>
      <c r="E338" s="112">
        <v>42878</v>
      </c>
      <c r="N338" s="110">
        <f>IFERROR(INDEX('WetLitterbags placem_collection'!$A$3:$A$500,MATCH(A338,'WetLitterbags placem_collection'!$K$4:$K$500,0)),"")</f>
        <v>113</v>
      </c>
      <c r="O338" s="110" t="str">
        <f>IFERROR(INDEX('WetLitterbags placem_collection'!$A$3:$A$500,MATCH(A338,'WetLitterbags placem_collection'!$O$4:$O$500,0)),"")</f>
        <v/>
      </c>
      <c r="P338" s="110" t="str">
        <f>IFERROR(INDEX('WetLitterbags placem_collection'!$A$3:$A$500,MATCH(A338,'WetLitterbags placem_collection'!$M$4:$M$500,0)),"")</f>
        <v/>
      </c>
      <c r="Q338" s="110" t="str">
        <f>IFERROR(INDEX('WetLitterbags placem_collection'!$A$3:$A$500,MATCH(A338,'WetLitterbags placem_collection'!$Q$4:$Q$500,0)),"")</f>
        <v/>
      </c>
    </row>
    <row r="339" spans="1:17" ht="13.95" customHeight="1">
      <c r="A339" s="110" t="s">
        <v>1246</v>
      </c>
      <c r="B339" s="110">
        <v>217</v>
      </c>
      <c r="C339" s="110">
        <v>0.66200000000000003</v>
      </c>
      <c r="E339" s="112">
        <v>42881</v>
      </c>
      <c r="N339" s="110" t="str">
        <f>IFERROR(INDEX('WetLitterbags placem_collection'!$A$3:$A$500,MATCH(A339,'WetLitterbags placem_collection'!$K$4:$K$500,0)),"")</f>
        <v/>
      </c>
      <c r="O339" s="110">
        <f>IFERROR(INDEX('WetLitterbags placem_collection'!$A$3:$A$500,MATCH(A339,'WetLitterbags placem_collection'!$O$4:$O$500,0)),"")</f>
        <v>216</v>
      </c>
      <c r="P339" s="110" t="str">
        <f>IFERROR(INDEX('WetLitterbags placem_collection'!$A$3:$A$500,MATCH(A339,'WetLitterbags placem_collection'!$M$4:$M$500,0)),"")</f>
        <v/>
      </c>
      <c r="Q339" s="110" t="str">
        <f>IFERROR(INDEX('WetLitterbags placem_collection'!$A$3:$A$500,MATCH(A339,'WetLitterbags placem_collection'!$Q$4:$Q$500,0)),"")</f>
        <v/>
      </c>
    </row>
    <row r="340" spans="1:17" ht="13.95" customHeight="1">
      <c r="A340" s="110" t="s">
        <v>1245</v>
      </c>
      <c r="B340" s="110">
        <v>137</v>
      </c>
      <c r="C340" s="110">
        <v>1.5740000000000001</v>
      </c>
      <c r="D340" s="110" t="s">
        <v>2051</v>
      </c>
      <c r="E340" s="112">
        <v>42879</v>
      </c>
      <c r="N340" s="110">
        <f>IFERROR(INDEX('WetLitterbags placem_collection'!$A$3:$A$500,MATCH(A340,'WetLitterbags placem_collection'!$K$4:$K$500,0)),"")</f>
        <v>136</v>
      </c>
      <c r="O340" s="110" t="str">
        <f>IFERROR(INDEX('WetLitterbags placem_collection'!$A$3:$A$500,MATCH(A340,'WetLitterbags placem_collection'!$O$4:$O$500,0)),"")</f>
        <v/>
      </c>
      <c r="P340" s="110" t="str">
        <f>IFERROR(INDEX('WetLitterbags placem_collection'!$A$3:$A$500,MATCH(A340,'WetLitterbags placem_collection'!$M$4:$M$500,0)),"")</f>
        <v/>
      </c>
      <c r="Q340" s="110" t="str">
        <f>IFERROR(INDEX('WetLitterbags placem_collection'!$A$3:$A$500,MATCH(A340,'WetLitterbags placem_collection'!$Q$4:$Q$500,0)),"")</f>
        <v/>
      </c>
    </row>
    <row r="341" spans="1:17" ht="13.95" customHeight="1">
      <c r="A341" s="110" t="s">
        <v>1244</v>
      </c>
      <c r="B341" s="110">
        <v>104</v>
      </c>
      <c r="C341" s="110">
        <v>0.72499999999999998</v>
      </c>
      <c r="E341" s="112">
        <v>42878</v>
      </c>
      <c r="N341" s="110" t="str">
        <f>IFERROR(INDEX('WetLitterbags placem_collection'!$A$3:$A$500,MATCH(A341,'WetLitterbags placem_collection'!$K$4:$K$500,0)),"")</f>
        <v/>
      </c>
      <c r="O341" s="110">
        <f>IFERROR(INDEX('WetLitterbags placem_collection'!$A$3:$A$500,MATCH(A341,'WetLitterbags placem_collection'!$O$4:$O$500,0)),"")</f>
        <v>103</v>
      </c>
      <c r="P341" s="110" t="str">
        <f>IFERROR(INDEX('WetLitterbags placem_collection'!$A$3:$A$500,MATCH(A341,'WetLitterbags placem_collection'!$M$4:$M$500,0)),"")</f>
        <v/>
      </c>
      <c r="Q341" s="110" t="str">
        <f>IFERROR(INDEX('WetLitterbags placem_collection'!$A$3:$A$500,MATCH(A341,'WetLitterbags placem_collection'!$Q$4:$Q$500,0)),"")</f>
        <v/>
      </c>
    </row>
    <row r="342" spans="1:17" ht="13.95" customHeight="1">
      <c r="A342" s="110" t="s">
        <v>1243</v>
      </c>
      <c r="B342" s="110" t="s">
        <v>2077</v>
      </c>
      <c r="C342" s="110">
        <v>0.74309999999999998</v>
      </c>
      <c r="E342" s="112">
        <v>43125</v>
      </c>
      <c r="N342" s="110" t="str">
        <f>IFERROR(INDEX('WetLitterbags placem_collection'!$A$3:$A$500,MATCH(A342,'WetLitterbags placem_collection'!$K$4:$K$500,0)),"")</f>
        <v/>
      </c>
      <c r="O342" s="110">
        <f>IFERROR(INDEX('WetLitterbags placem_collection'!$A$3:$A$500,MATCH(A342,'WetLitterbags placem_collection'!$O$4:$O$500,0)),"")</f>
        <v>147</v>
      </c>
      <c r="P342" s="110" t="str">
        <f>IFERROR(INDEX('WetLitterbags placem_collection'!$A$3:$A$500,MATCH(A342,'WetLitterbags placem_collection'!$M$4:$M$500,0)),"")</f>
        <v/>
      </c>
      <c r="Q342" s="110" t="str">
        <f>IFERROR(INDEX('WetLitterbags placem_collection'!$A$3:$A$500,MATCH(A342,'WetLitterbags placem_collection'!$Q$4:$Q$500,0)),"")</f>
        <v/>
      </c>
    </row>
    <row r="343" spans="1:17" ht="13.95" customHeight="1">
      <c r="A343" s="110" t="s">
        <v>1242</v>
      </c>
      <c r="B343" s="110" t="s">
        <v>2083</v>
      </c>
      <c r="C343" s="110">
        <v>0.54810000000000003</v>
      </c>
      <c r="E343" s="112">
        <v>43125</v>
      </c>
      <c r="N343" s="110">
        <f>IFERROR(INDEX('WetLitterbags placem_collection'!$A$3:$A$500,MATCH(A343,'WetLitterbags placem_collection'!$K$4:$K$500,0)),"")</f>
        <v>100</v>
      </c>
      <c r="O343" s="110" t="str">
        <f>IFERROR(INDEX('WetLitterbags placem_collection'!$A$3:$A$500,MATCH(A343,'WetLitterbags placem_collection'!$O$4:$O$500,0)),"")</f>
        <v/>
      </c>
      <c r="P343" s="110" t="str">
        <f>IFERROR(INDEX('WetLitterbags placem_collection'!$A$3:$A$500,MATCH(A343,'WetLitterbags placem_collection'!$M$4:$M$500,0)),"")</f>
        <v/>
      </c>
      <c r="Q343" s="110" t="str">
        <f>IFERROR(INDEX('WetLitterbags placem_collection'!$A$3:$A$500,MATCH(A343,'WetLitterbags placem_collection'!$Q$4:$Q$500,0)),"")</f>
        <v/>
      </c>
    </row>
    <row r="344" spans="1:17" ht="13.95" customHeight="1">
      <c r="A344" s="182" t="s">
        <v>1241</v>
      </c>
      <c r="B344" s="110">
        <v>160</v>
      </c>
      <c r="C344" s="110">
        <v>0.72</v>
      </c>
      <c r="E344" s="112">
        <v>42879</v>
      </c>
      <c r="N344" s="110">
        <f>IFERROR(INDEX('WetLitterbags placem_collection'!$A$3:$A$500,MATCH(A344,'WetLitterbags placem_collection'!$K$4:$K$500,0)),"")</f>
        <v>159</v>
      </c>
      <c r="O344" s="110" t="str">
        <f>IFERROR(INDEX('WetLitterbags placem_collection'!$A$3:$A$500,MATCH(A344,'WetLitterbags placem_collection'!$O$4:$O$500,0)),"")</f>
        <v/>
      </c>
      <c r="P344" s="110" t="str">
        <f>IFERROR(INDEX('WetLitterbags placem_collection'!$A$3:$A$500,MATCH(A344,'WetLitterbags placem_collection'!$M$4:$M$500,0)),"")</f>
        <v/>
      </c>
      <c r="Q344" s="110" t="str">
        <f>IFERROR(INDEX('WetLitterbags placem_collection'!$A$3:$A$500,MATCH(A344,'WetLitterbags placem_collection'!$Q$4:$Q$500,0)),"")</f>
        <v/>
      </c>
    </row>
    <row r="345" spans="1:17" ht="13.95" customHeight="1">
      <c r="A345" s="110" t="s">
        <v>1240</v>
      </c>
      <c r="B345" s="110">
        <v>165</v>
      </c>
      <c r="C345" s="110">
        <v>0.64800000000000002</v>
      </c>
      <c r="E345" s="112">
        <v>42878</v>
      </c>
      <c r="N345" s="110" t="str">
        <f>IFERROR(INDEX('WetLitterbags placem_collection'!$A$3:$A$500,MATCH(A345,'WetLitterbags placem_collection'!$K$4:$K$500,0)),"")</f>
        <v/>
      </c>
      <c r="O345" s="110">
        <f>IFERROR(INDEX('WetLitterbags placem_collection'!$A$3:$A$500,MATCH(A345,'WetLitterbags placem_collection'!$O$4:$O$500,0)),"")</f>
        <v>164</v>
      </c>
      <c r="P345" s="110" t="str">
        <f>IFERROR(INDEX('WetLitterbags placem_collection'!$A$3:$A$500,MATCH(A345,'WetLitterbags placem_collection'!$M$4:$M$500,0)),"")</f>
        <v/>
      </c>
      <c r="Q345" s="110" t="str">
        <f>IFERROR(INDEX('WetLitterbags placem_collection'!$A$3:$A$500,MATCH(A345,'WetLitterbags placem_collection'!$Q$4:$Q$500,0)),"")</f>
        <v/>
      </c>
    </row>
    <row r="346" spans="1:17" ht="13.95" customHeight="1">
      <c r="A346" t="s">
        <v>1239</v>
      </c>
      <c r="B346">
        <v>201</v>
      </c>
      <c r="C346">
        <v>0.56630000000000003</v>
      </c>
      <c r="D346" t="s">
        <v>2121</v>
      </c>
      <c r="E346" s="112">
        <v>43122</v>
      </c>
      <c r="N346" s="110">
        <f>IFERROR(INDEX('WetLitterbags placem_collection'!$A$3:$A$500,MATCH(A346,'WetLitterbags placem_collection'!$K$4:$K$500,0)),"")</f>
        <v>200</v>
      </c>
      <c r="O346" s="110" t="str">
        <f>IFERROR(INDEX('WetLitterbags placem_collection'!$A$3:$A$500,MATCH(A346,'WetLitterbags placem_collection'!$O$4:$O$500,0)),"")</f>
        <v/>
      </c>
      <c r="P346" s="110" t="str">
        <f>IFERROR(INDEX('WetLitterbags placem_collection'!$A$3:$A$500,MATCH(A346,'WetLitterbags placem_collection'!$M$4:$M$500,0)),"")</f>
        <v/>
      </c>
      <c r="Q346" s="110" t="str">
        <f>IFERROR(INDEX('WetLitterbags placem_collection'!$A$3:$A$500,MATCH(A346,'WetLitterbags placem_collection'!$Q$4:$Q$500,0)),"")</f>
        <v/>
      </c>
    </row>
    <row r="347" spans="1:17" ht="13.95" customHeight="1">
      <c r="A347" s="110" t="s">
        <v>1237</v>
      </c>
      <c r="B347" s="110">
        <v>24</v>
      </c>
      <c r="C347" s="110">
        <v>0.74790000000000001</v>
      </c>
      <c r="E347" s="112">
        <v>43122</v>
      </c>
      <c r="N347" s="110">
        <f>IFERROR(INDEX('WetLitterbags placem_collection'!$A$3:$A$500,MATCH(A347,'WetLitterbags placem_collection'!$K$4:$K$500,0)),"")</f>
        <v>23</v>
      </c>
      <c r="O347" s="110" t="str">
        <f>IFERROR(INDEX('WetLitterbags placem_collection'!$A$3:$A$500,MATCH(A347,'WetLitterbags placem_collection'!$O$4:$O$500,0)),"")</f>
        <v/>
      </c>
      <c r="P347" s="110" t="str">
        <f>IFERROR(INDEX('WetLitterbags placem_collection'!$A$3:$A$500,MATCH(A347,'WetLitterbags placem_collection'!$M$4:$M$500,0)),"")</f>
        <v/>
      </c>
      <c r="Q347" s="110" t="str">
        <f>IFERROR(INDEX('WetLitterbags placem_collection'!$A$3:$A$500,MATCH(A347,'WetLitterbags placem_collection'!$Q$4:$Q$500,0)),"")</f>
        <v/>
      </c>
    </row>
    <row r="348" spans="1:17" ht="13.95" customHeight="1">
      <c r="A348" s="110" t="s">
        <v>1236</v>
      </c>
      <c r="B348" s="110" t="s">
        <v>2077</v>
      </c>
      <c r="C348" s="110">
        <v>0.68300000000000005</v>
      </c>
      <c r="E348" s="112">
        <v>43122</v>
      </c>
      <c r="N348" s="110">
        <f>IFERROR(INDEX('WetLitterbags placem_collection'!$A$3:$A$500,MATCH(A348,'WetLitterbags placem_collection'!$K$4:$K$500,0)),"")</f>
        <v>203</v>
      </c>
      <c r="O348" s="110" t="str">
        <f>IFERROR(INDEX('WetLitterbags placem_collection'!$A$3:$A$500,MATCH(A348,'WetLitterbags placem_collection'!$O$4:$O$500,0)),"")</f>
        <v/>
      </c>
      <c r="P348" s="110" t="str">
        <f>IFERROR(INDEX('WetLitterbags placem_collection'!$A$3:$A$500,MATCH(A348,'WetLitterbags placem_collection'!$M$4:$M$500,0)),"")</f>
        <v/>
      </c>
      <c r="Q348" s="110" t="str">
        <f>IFERROR(INDEX('WetLitterbags placem_collection'!$A$3:$A$500,MATCH(A348,'WetLitterbags placem_collection'!$Q$4:$Q$500,0)),"")</f>
        <v/>
      </c>
    </row>
    <row r="349" spans="1:17" ht="13.95" customHeight="1">
      <c r="A349" s="110" t="s">
        <v>1235</v>
      </c>
      <c r="B349" s="110">
        <v>138</v>
      </c>
      <c r="C349" s="110">
        <v>0.64300000000000002</v>
      </c>
      <c r="E349" s="112">
        <v>42879</v>
      </c>
      <c r="N349" s="110">
        <f>IFERROR(INDEX('WetLitterbags placem_collection'!$A$3:$A$500,MATCH(A349,'WetLitterbags placem_collection'!$K$4:$K$500,0)),"")</f>
        <v>137</v>
      </c>
      <c r="O349" s="110" t="str">
        <f>IFERROR(INDEX('WetLitterbags placem_collection'!$A$3:$A$500,MATCH(A349,'WetLitterbags placem_collection'!$O$4:$O$500,0)),"")</f>
        <v/>
      </c>
      <c r="P349" s="110" t="str">
        <f>IFERROR(INDEX('WetLitterbags placem_collection'!$A$3:$A$500,MATCH(A349,'WetLitterbags placem_collection'!$M$4:$M$500,0)),"")</f>
        <v/>
      </c>
      <c r="Q349" s="110" t="str">
        <f>IFERROR(INDEX('WetLitterbags placem_collection'!$A$3:$A$500,MATCH(A349,'WetLitterbags placem_collection'!$Q$4:$Q$500,0)),"")</f>
        <v/>
      </c>
    </row>
    <row r="350" spans="1:17" ht="13.95" customHeight="1">
      <c r="A350" s="110" t="s">
        <v>1234</v>
      </c>
      <c r="B350" s="110" t="s">
        <v>2077</v>
      </c>
      <c r="C350" s="110">
        <v>0.67120000000000002</v>
      </c>
      <c r="D350" s="110" t="s">
        <v>2124</v>
      </c>
      <c r="E350" s="112">
        <v>43122</v>
      </c>
      <c r="N350" s="110">
        <f>IFERROR(INDEX('WetLitterbags placem_collection'!$A$3:$A$500,MATCH(A350,'WetLitterbags placem_collection'!$K$4:$K$500,0)),"")</f>
        <v>199</v>
      </c>
      <c r="O350" s="110" t="str">
        <f>IFERROR(INDEX('WetLitterbags placem_collection'!$A$3:$A$500,MATCH(A350,'WetLitterbags placem_collection'!$O$4:$O$500,0)),"")</f>
        <v/>
      </c>
      <c r="P350" s="110" t="str">
        <f>IFERROR(INDEX('WetLitterbags placem_collection'!$A$3:$A$500,MATCH(A350,'WetLitterbags placem_collection'!$M$4:$M$500,0)),"")</f>
        <v/>
      </c>
      <c r="Q350" s="110" t="str">
        <f>IFERROR(INDEX('WetLitterbags placem_collection'!$A$3:$A$500,MATCH(A350,'WetLitterbags placem_collection'!$Q$4:$Q$500,0)),"")</f>
        <v/>
      </c>
    </row>
    <row r="351" spans="1:17" ht="13.95" customHeight="1">
      <c r="A351" s="110" t="s">
        <v>1233</v>
      </c>
      <c r="B351" s="110">
        <v>142</v>
      </c>
      <c r="C351" s="222" t="s">
        <v>2057</v>
      </c>
      <c r="D351" s="110" t="s">
        <v>2056</v>
      </c>
      <c r="E351" s="112">
        <v>42881</v>
      </c>
      <c r="N351" s="110">
        <f>IFERROR(INDEX('WetLitterbags placem_collection'!$A$3:$A$500,MATCH(A351,'WetLitterbags placem_collection'!$K$4:$K$500,0)),"")</f>
        <v>141</v>
      </c>
      <c r="O351" s="110" t="str">
        <f>IFERROR(INDEX('WetLitterbags placem_collection'!$A$3:$A$500,MATCH(A351,'WetLitterbags placem_collection'!$O$4:$O$500,0)),"")</f>
        <v/>
      </c>
      <c r="P351" s="110" t="str">
        <f>IFERROR(INDEX('WetLitterbags placem_collection'!$A$3:$A$500,MATCH(A351,'WetLitterbags placem_collection'!$M$4:$M$500,0)),"")</f>
        <v/>
      </c>
      <c r="Q351" s="110" t="str">
        <f>IFERROR(INDEX('WetLitterbags placem_collection'!$A$3:$A$500,MATCH(A351,'WetLitterbags placem_collection'!$Q$4:$Q$500,0)),"")</f>
        <v/>
      </c>
    </row>
    <row r="352" spans="1:17" ht="13.95" customHeight="1">
      <c r="A352" s="110" t="s">
        <v>1232</v>
      </c>
      <c r="B352" s="110" t="s">
        <v>2077</v>
      </c>
      <c r="C352" s="110">
        <v>0.60450000000000004</v>
      </c>
      <c r="E352" s="112">
        <v>43119</v>
      </c>
      <c r="N352" s="110" t="str">
        <f>IFERROR(INDEX('WetLitterbags placem_collection'!$A$3:$A$500,MATCH(A352,'WetLitterbags placem_collection'!$K$4:$K$500,0)),"")</f>
        <v/>
      </c>
      <c r="O352" s="110">
        <f>IFERROR(INDEX('WetLitterbags placem_collection'!$A$3:$A$500,MATCH(A352,'WetLitterbags placem_collection'!$O$4:$O$500,0)),"")</f>
        <v>181</v>
      </c>
      <c r="P352" s="110" t="str">
        <f>IFERROR(INDEX('WetLitterbags placem_collection'!$A$3:$A$500,MATCH(A352,'WetLitterbags placem_collection'!$M$4:$M$500,0)),"")</f>
        <v/>
      </c>
      <c r="Q352" s="110" t="str">
        <f>IFERROR(INDEX('WetLitterbags placem_collection'!$A$3:$A$500,MATCH(A352,'WetLitterbags placem_collection'!$Q$4:$Q$500,0)),"")</f>
        <v/>
      </c>
    </row>
    <row r="353" spans="1:17" ht="13.95" customHeight="1">
      <c r="A353" s="110" t="s">
        <v>1231</v>
      </c>
      <c r="B353" s="110">
        <v>129</v>
      </c>
      <c r="C353" s="110">
        <v>0.59719999999999995</v>
      </c>
      <c r="E353" s="112">
        <v>43125</v>
      </c>
      <c r="N353" s="110">
        <f>IFERROR(INDEX('WetLitterbags placem_collection'!$A$3:$A$500,MATCH(A353,'WetLitterbags placem_collection'!$K$4:$K$500,0)),"")</f>
        <v>128</v>
      </c>
      <c r="O353" s="110" t="str">
        <f>IFERROR(INDEX('WetLitterbags placem_collection'!$A$3:$A$500,MATCH(A353,'WetLitterbags placem_collection'!$O$4:$O$500,0)),"")</f>
        <v/>
      </c>
      <c r="P353" s="110" t="str">
        <f>IFERROR(INDEX('WetLitterbags placem_collection'!$A$3:$A$500,MATCH(A353,'WetLitterbags placem_collection'!$M$4:$M$500,0)),"")</f>
        <v/>
      </c>
      <c r="Q353" s="110" t="str">
        <f>IFERROR(INDEX('WetLitterbags placem_collection'!$A$3:$A$500,MATCH(A353,'WetLitterbags placem_collection'!$Q$4:$Q$500,0)),"")</f>
        <v/>
      </c>
    </row>
    <row r="354" spans="1:17" ht="13.95" customHeight="1">
      <c r="A354" s="110" t="s">
        <v>1230</v>
      </c>
      <c r="B354" s="110">
        <v>134</v>
      </c>
      <c r="C354" s="110">
        <v>0.53400000000000003</v>
      </c>
      <c r="D354" s="110" t="s">
        <v>2050</v>
      </c>
      <c r="E354" s="112">
        <v>42881</v>
      </c>
      <c r="N354" s="110" t="str">
        <f>IFERROR(INDEX('WetLitterbags placem_collection'!$A$3:$A$500,MATCH(A354,'WetLitterbags placem_collection'!$K$4:$K$500,0)),"")</f>
        <v/>
      </c>
      <c r="O354" s="110">
        <f>IFERROR(INDEX('WetLitterbags placem_collection'!$A$3:$A$500,MATCH(A354,'WetLitterbags placem_collection'!$O$4:$O$500,0)),"")</f>
        <v>133</v>
      </c>
      <c r="P354" s="110" t="str">
        <f>IFERROR(INDEX('WetLitterbags placem_collection'!$A$3:$A$500,MATCH(A354,'WetLitterbags placem_collection'!$M$4:$M$500,0)),"")</f>
        <v/>
      </c>
      <c r="Q354" s="110" t="str">
        <f>IFERROR(INDEX('WetLitterbags placem_collection'!$A$3:$A$500,MATCH(A354,'WetLitterbags placem_collection'!$Q$4:$Q$500,0)),"")</f>
        <v/>
      </c>
    </row>
    <row r="355" spans="1:17" ht="13.95" customHeight="1">
      <c r="A355" s="110" t="s">
        <v>1229</v>
      </c>
      <c r="B355" s="110">
        <v>195</v>
      </c>
      <c r="C355" s="110">
        <v>0.7641</v>
      </c>
      <c r="D355" s="110" t="s">
        <v>2085</v>
      </c>
      <c r="E355" s="112">
        <v>43125</v>
      </c>
      <c r="N355" s="110">
        <f>IFERROR(INDEX('WetLitterbags placem_collection'!$A$3:$A$500,MATCH(A355,'WetLitterbags placem_collection'!$K$4:$K$500,0)),"")</f>
        <v>194</v>
      </c>
      <c r="O355" s="110" t="str">
        <f>IFERROR(INDEX('WetLitterbags placem_collection'!$A$3:$A$500,MATCH(A355,'WetLitterbags placem_collection'!$O$4:$O$500,0)),"")</f>
        <v/>
      </c>
      <c r="P355" s="110" t="str">
        <f>IFERROR(INDEX('WetLitterbags placem_collection'!$A$3:$A$500,MATCH(A355,'WetLitterbags placem_collection'!$M$4:$M$500,0)),"")</f>
        <v/>
      </c>
      <c r="Q355" s="110" t="str">
        <f>IFERROR(INDEX('WetLitterbags placem_collection'!$A$3:$A$500,MATCH(A355,'WetLitterbags placem_collection'!$Q$4:$Q$500,0)),"")</f>
        <v/>
      </c>
    </row>
    <row r="356" spans="1:17" ht="13.95" customHeight="1">
      <c r="A356" s="110" t="s">
        <v>1228</v>
      </c>
      <c r="B356" s="110">
        <v>221</v>
      </c>
      <c r="C356" s="110">
        <v>0.85699999999999998</v>
      </c>
      <c r="D356" s="110" t="s">
        <v>2136</v>
      </c>
      <c r="E356" s="112">
        <v>42878</v>
      </c>
      <c r="N356" s="110">
        <f>IFERROR(INDEX('WetLitterbags placem_collection'!$A$3:$A$500,MATCH(A356,'WetLitterbags placem_collection'!$K$4:$K$500,0)),"")</f>
        <v>210</v>
      </c>
      <c r="O356" s="110" t="str">
        <f>IFERROR(INDEX('WetLitterbags placem_collection'!$A$3:$A$500,MATCH(A356,'WetLitterbags placem_collection'!$O$4:$O$500,0)),"")</f>
        <v/>
      </c>
      <c r="P356" s="110" t="str">
        <f>IFERROR(INDEX('WetLitterbags placem_collection'!$A$3:$A$500,MATCH(A356,'WetLitterbags placem_collection'!$M$4:$M$500,0)),"")</f>
        <v/>
      </c>
      <c r="Q356" s="110" t="str">
        <f>IFERROR(INDEX('WetLitterbags placem_collection'!$A$3:$A$500,MATCH(A356,'WetLitterbags placem_collection'!$Q$4:$Q$500,0)),"")</f>
        <v/>
      </c>
    </row>
    <row r="357" spans="1:17" ht="13.95" customHeight="1">
      <c r="A357" s="110" t="s">
        <v>1226</v>
      </c>
      <c r="B357" s="110">
        <v>155</v>
      </c>
      <c r="C357" s="110">
        <v>0.63800000000000001</v>
      </c>
      <c r="E357" s="112">
        <v>42879</v>
      </c>
      <c r="N357" s="110" t="str">
        <f>IFERROR(INDEX('WetLitterbags placem_collection'!$A$3:$A$500,MATCH(A357,'WetLitterbags placem_collection'!$K$4:$K$500,0)),"")</f>
        <v/>
      </c>
      <c r="O357" s="110">
        <f>IFERROR(INDEX('WetLitterbags placem_collection'!$A$3:$A$500,MATCH(A357,'WetLitterbags placem_collection'!$O$4:$O$500,0)),"")</f>
        <v>101</v>
      </c>
      <c r="P357" s="110" t="str">
        <f>IFERROR(INDEX('WetLitterbags placem_collection'!$A$3:$A$500,MATCH(A357,'WetLitterbags placem_collection'!$M$4:$M$500,0)),"")</f>
        <v/>
      </c>
      <c r="Q357" s="110" t="str">
        <f>IFERROR(INDEX('WetLitterbags placem_collection'!$A$3:$A$500,MATCH(A357,'WetLitterbags placem_collection'!$Q$4:$Q$500,0)),"")</f>
        <v/>
      </c>
    </row>
    <row r="358" spans="1:17" ht="13.95" customHeight="1">
      <c r="A358" s="110" t="s">
        <v>1225</v>
      </c>
      <c r="B358" s="110">
        <v>121</v>
      </c>
      <c r="C358" s="110">
        <v>0.61199999999999999</v>
      </c>
      <c r="E358" s="112">
        <v>42879</v>
      </c>
      <c r="N358" s="110" t="str">
        <f>IFERROR(INDEX('WetLitterbags placem_collection'!$A$3:$A$500,MATCH(A358,'WetLitterbags placem_collection'!$K$4:$K$500,0)),"")</f>
        <v/>
      </c>
      <c r="O358" s="110">
        <f>IFERROR(INDEX('WetLitterbags placem_collection'!$A$3:$A$500,MATCH(A358,'WetLitterbags placem_collection'!$O$4:$O$500,0)),"")</f>
        <v>120</v>
      </c>
      <c r="P358" s="110" t="str">
        <f>IFERROR(INDEX('WetLitterbags placem_collection'!$A$3:$A$500,MATCH(A358,'WetLitterbags placem_collection'!$M$4:$M$500,0)),"")</f>
        <v/>
      </c>
      <c r="Q358" s="110" t="str">
        <f>IFERROR(INDEX('WetLitterbags placem_collection'!$A$3:$A$500,MATCH(A358,'WetLitterbags placem_collection'!$Q$4:$Q$500,0)),"")</f>
        <v/>
      </c>
    </row>
    <row r="359" spans="1:17" ht="13.95" customHeight="1">
      <c r="A359" s="110" t="s">
        <v>1224</v>
      </c>
      <c r="B359" s="110" t="s">
        <v>2077</v>
      </c>
      <c r="C359" s="110">
        <v>0.60060000000000002</v>
      </c>
      <c r="E359" s="112">
        <v>43119</v>
      </c>
      <c r="N359" s="110" t="str">
        <f>IFERROR(INDEX('WetLitterbags placem_collection'!$A$3:$A$500,MATCH(A359,'WetLitterbags placem_collection'!$K$4:$K$500,0)),"")</f>
        <v/>
      </c>
      <c r="O359" s="110">
        <f>IFERROR(INDEX('WetLitterbags placem_collection'!$A$3:$A$500,MATCH(A359,'WetLitterbags placem_collection'!$O$4:$O$500,0)),"")</f>
        <v>178</v>
      </c>
      <c r="P359" s="110" t="str">
        <f>IFERROR(INDEX('WetLitterbags placem_collection'!$A$3:$A$500,MATCH(A359,'WetLitterbags placem_collection'!$M$4:$M$500,0)),"")</f>
        <v/>
      </c>
      <c r="Q359" s="110" t="str">
        <f>IFERROR(INDEX('WetLitterbags placem_collection'!$A$3:$A$500,MATCH(A359,'WetLitterbags placem_collection'!$Q$4:$Q$500,0)),"")</f>
        <v/>
      </c>
    </row>
    <row r="360" spans="1:17" ht="13.95" customHeight="1">
      <c r="A360" s="182" t="s">
        <v>1222</v>
      </c>
      <c r="B360" s="110">
        <v>100</v>
      </c>
      <c r="C360" s="110">
        <v>0.57399999999999995</v>
      </c>
      <c r="E360" s="112">
        <v>42881</v>
      </c>
      <c r="N360" s="110" t="str">
        <f>IFERROR(INDEX('WetLitterbags placem_collection'!$A$3:$A$500,MATCH(A360,'WetLitterbags placem_collection'!$K$4:$K$500,0)),"")</f>
        <v/>
      </c>
      <c r="O360" s="110">
        <f>IFERROR(INDEX('WetLitterbags placem_collection'!$A$3:$A$500,MATCH(A360,'WetLitterbags placem_collection'!$O$4:$O$500,0)),"")</f>
        <v>99</v>
      </c>
      <c r="P360" s="110" t="str">
        <f>IFERROR(INDEX('WetLitterbags placem_collection'!$A$3:$A$500,MATCH(A360,'WetLitterbags placem_collection'!$M$4:$M$500,0)),"")</f>
        <v/>
      </c>
      <c r="Q360" s="110" t="str">
        <f>IFERROR(INDEX('WetLitterbags placem_collection'!$A$3:$A$500,MATCH(A360,'WetLitterbags placem_collection'!$Q$4:$Q$500,0)),"")</f>
        <v/>
      </c>
    </row>
    <row r="361" spans="1:17" ht="13.95" customHeight="1">
      <c r="A361" s="110" t="s">
        <v>1221</v>
      </c>
      <c r="B361" s="110">
        <v>102</v>
      </c>
      <c r="C361" s="110">
        <v>0.56499999999999995</v>
      </c>
      <c r="E361" s="112">
        <v>42881</v>
      </c>
      <c r="N361" s="110">
        <f>IFERROR(INDEX('WetLitterbags placem_collection'!$A$3:$A$500,MATCH(A361,'WetLitterbags placem_collection'!$K$4:$K$500,0)),"")</f>
        <v>158</v>
      </c>
      <c r="O361" s="110" t="str">
        <f>IFERROR(INDEX('WetLitterbags placem_collection'!$A$3:$A$500,MATCH(A361,'WetLitterbags placem_collection'!$O$4:$O$500,0)),"")</f>
        <v/>
      </c>
      <c r="P361" s="110" t="str">
        <f>IFERROR(INDEX('WetLitterbags placem_collection'!$A$3:$A$500,MATCH(A361,'WetLitterbags placem_collection'!$M$4:$M$500,0)),"")</f>
        <v/>
      </c>
      <c r="Q361" s="110" t="str">
        <f>IFERROR(INDEX('WetLitterbags placem_collection'!$A$3:$A$500,MATCH(A361,'WetLitterbags placem_collection'!$Q$4:$Q$500,0)),"")</f>
        <v/>
      </c>
    </row>
    <row r="362" spans="1:17" ht="13.95" customHeight="1">
      <c r="A362" s="110" t="s">
        <v>1220</v>
      </c>
      <c r="B362" s="110">
        <v>130</v>
      </c>
      <c r="C362" s="110">
        <v>0.54</v>
      </c>
      <c r="E362" s="112">
        <v>42879</v>
      </c>
      <c r="N362" s="110">
        <f>IFERROR(INDEX('WetLitterbags placem_collection'!$A$3:$A$500,MATCH(A362,'WetLitterbags placem_collection'!$K$4:$K$500,0)),"")</f>
        <v>129</v>
      </c>
      <c r="O362" s="110" t="str">
        <f>IFERROR(INDEX('WetLitterbags placem_collection'!$A$3:$A$500,MATCH(A362,'WetLitterbags placem_collection'!$O$4:$O$500,0)),"")</f>
        <v/>
      </c>
      <c r="P362" s="110" t="str">
        <f>IFERROR(INDEX('WetLitterbags placem_collection'!$A$3:$A$500,MATCH(A362,'WetLitterbags placem_collection'!$M$4:$M$500,0)),"")</f>
        <v/>
      </c>
      <c r="Q362" s="110" t="str">
        <f>IFERROR(INDEX('WetLitterbags placem_collection'!$A$3:$A$500,MATCH(A362,'WetLitterbags placem_collection'!$Q$4:$Q$500,0)),"")</f>
        <v/>
      </c>
    </row>
    <row r="363" spans="1:17" ht="13.95" customHeight="1">
      <c r="A363" s="110" t="s">
        <v>1218</v>
      </c>
      <c r="B363" s="110">
        <v>136</v>
      </c>
      <c r="C363" s="110">
        <v>0.5796</v>
      </c>
      <c r="E363" s="112">
        <v>43125</v>
      </c>
      <c r="N363" s="110">
        <f>IFERROR(INDEX('WetLitterbags placem_collection'!$A$3:$A$500,MATCH(A363,'WetLitterbags placem_collection'!$K$4:$K$500,0)),"")</f>
        <v>135</v>
      </c>
      <c r="O363" s="110" t="str">
        <f>IFERROR(INDEX('WetLitterbags placem_collection'!$A$3:$A$500,MATCH(A363,'WetLitterbags placem_collection'!$O$4:$O$500,0)),"")</f>
        <v/>
      </c>
      <c r="P363" s="110" t="str">
        <f>IFERROR(INDEX('WetLitterbags placem_collection'!$A$3:$A$500,MATCH(A363,'WetLitterbags placem_collection'!$M$4:$M$500,0)),"")</f>
        <v/>
      </c>
      <c r="Q363" s="110" t="str">
        <f>IFERROR(INDEX('WetLitterbags placem_collection'!$A$3:$A$500,MATCH(A363,'WetLitterbags placem_collection'!$Q$4:$Q$500,0)),"")</f>
        <v/>
      </c>
    </row>
    <row r="364" spans="1:17" ht="13.95" customHeight="1">
      <c r="A364" s="182" t="s">
        <v>1217</v>
      </c>
      <c r="B364" s="110">
        <v>128</v>
      </c>
      <c r="C364" s="110">
        <v>0.57199999999999995</v>
      </c>
      <c r="E364" s="112">
        <v>42879</v>
      </c>
      <c r="N364" s="110" t="str">
        <f>IFERROR(INDEX('WetLitterbags placem_collection'!$A$3:$A$500,MATCH(A364,'WetLitterbags placem_collection'!$K$4:$K$500,0)),"")</f>
        <v/>
      </c>
      <c r="O364" s="110">
        <f>IFERROR(INDEX('WetLitterbags placem_collection'!$A$3:$A$500,MATCH(A364,'WetLitterbags placem_collection'!$O$4:$O$500,0)),"")</f>
        <v>127</v>
      </c>
      <c r="P364" s="110" t="str">
        <f>IFERROR(INDEX('WetLitterbags placem_collection'!$A$3:$A$500,MATCH(A364,'WetLitterbags placem_collection'!$M$4:$M$500,0)),"")</f>
        <v/>
      </c>
      <c r="Q364" s="110" t="str">
        <f>IFERROR(INDEX('WetLitterbags placem_collection'!$A$3:$A$500,MATCH(A364,'WetLitterbags placem_collection'!$Q$4:$Q$500,0)),"")</f>
        <v/>
      </c>
    </row>
    <row r="365" spans="1:17" ht="13.95" customHeight="1">
      <c r="A365" s="110" t="s">
        <v>1216</v>
      </c>
      <c r="B365" s="110">
        <v>128</v>
      </c>
      <c r="C365" s="110">
        <v>0.54500000000000004</v>
      </c>
      <c r="E365" s="112">
        <v>42879</v>
      </c>
      <c r="N365" s="110">
        <f>IFERROR(INDEX('WetLitterbags placem_collection'!$A$3:$A$500,MATCH(A365,'WetLitterbags placem_collection'!$K$4:$K$500,0)),"")</f>
        <v>127</v>
      </c>
      <c r="O365" s="110" t="str">
        <f>IFERROR(INDEX('WetLitterbags placem_collection'!$A$3:$A$500,MATCH(A365,'WetLitterbags placem_collection'!$O$4:$O$500,0)),"")</f>
        <v/>
      </c>
      <c r="P365" s="110" t="str">
        <f>IFERROR(INDEX('WetLitterbags placem_collection'!$A$3:$A$500,MATCH(A365,'WetLitterbags placem_collection'!$M$4:$M$500,0)),"")</f>
        <v/>
      </c>
      <c r="Q365" s="110" t="str">
        <f>IFERROR(INDEX('WetLitterbags placem_collection'!$A$3:$A$500,MATCH(A365,'WetLitterbags placem_collection'!$Q$4:$Q$500,0)),"")</f>
        <v/>
      </c>
    </row>
    <row r="366" spans="1:17" ht="13.95" customHeight="1">
      <c r="A366" s="182" t="s">
        <v>1215</v>
      </c>
      <c r="B366" s="110" t="s">
        <v>2077</v>
      </c>
      <c r="C366" s="110">
        <v>0.24560000000000001</v>
      </c>
      <c r="D366" s="110" t="s">
        <v>2076</v>
      </c>
      <c r="E366" s="112">
        <v>43125</v>
      </c>
      <c r="N366" s="110">
        <f>IFERROR(INDEX('WetLitterbags placem_collection'!$A$3:$A$500,MATCH(A366,'WetLitterbags placem_collection'!$K$4:$K$500,0)),"")</f>
        <v>147</v>
      </c>
      <c r="O366" s="110" t="str">
        <f>IFERROR(INDEX('WetLitterbags placem_collection'!$A$3:$A$500,MATCH(A366,'WetLitterbags placem_collection'!$O$4:$O$500,0)),"")</f>
        <v/>
      </c>
      <c r="P366" s="110" t="str">
        <f>IFERROR(INDEX('WetLitterbags placem_collection'!$A$3:$A$500,MATCH(A366,'WetLitterbags placem_collection'!$M$4:$M$500,0)),"")</f>
        <v/>
      </c>
      <c r="Q366" s="110" t="str">
        <f>IFERROR(INDEX('WetLitterbags placem_collection'!$A$3:$A$500,MATCH(A366,'WetLitterbags placem_collection'!$Q$4:$Q$500,0)),"")</f>
        <v/>
      </c>
    </row>
    <row r="367" spans="1:17" ht="13.95" customHeight="1">
      <c r="A367" s="110" t="s">
        <v>1214</v>
      </c>
      <c r="B367" s="110">
        <v>143</v>
      </c>
      <c r="C367" s="110">
        <v>0.60970000000000002</v>
      </c>
      <c r="E367" s="112">
        <v>43125</v>
      </c>
      <c r="N367" s="110">
        <f>IFERROR(INDEX('WetLitterbags placem_collection'!$A$3:$A$500,MATCH(A367,'WetLitterbags placem_collection'!$K$4:$K$500,0)),"")</f>
        <v>142</v>
      </c>
      <c r="O367" s="110" t="str">
        <f>IFERROR(INDEX('WetLitterbags placem_collection'!$A$3:$A$500,MATCH(A367,'WetLitterbags placem_collection'!$O$4:$O$500,0)),"")</f>
        <v/>
      </c>
      <c r="P367" s="110" t="str">
        <f>IFERROR(INDEX('WetLitterbags placem_collection'!$A$3:$A$500,MATCH(A367,'WetLitterbags placem_collection'!$M$4:$M$500,0)),"")</f>
        <v/>
      </c>
      <c r="Q367" s="110" t="str">
        <f>IFERROR(INDEX('WetLitterbags placem_collection'!$A$3:$A$500,MATCH(A367,'WetLitterbags placem_collection'!$Q$4:$Q$500,0)),"")</f>
        <v/>
      </c>
    </row>
    <row r="368" spans="1:17" ht="13.95" customHeight="1">
      <c r="A368" t="s">
        <v>1213</v>
      </c>
      <c r="B368" s="110" t="s">
        <v>2057</v>
      </c>
      <c r="C368" s="110">
        <v>0.62</v>
      </c>
      <c r="E368" s="112">
        <v>42881</v>
      </c>
      <c r="N368" s="110">
        <f>IFERROR(INDEX('WetLitterbags placem_collection'!$A$3:$A$500,MATCH(A368,'WetLitterbags placem_collection'!$K$4:$K$500,0)),"")</f>
        <v>105</v>
      </c>
      <c r="O368" s="110" t="str">
        <f>IFERROR(INDEX('WetLitterbags placem_collection'!$A$3:$A$500,MATCH(A368,'WetLitterbags placem_collection'!$O$4:$O$500,0)),"")</f>
        <v/>
      </c>
      <c r="P368" s="110" t="str">
        <f>IFERROR(INDEX('WetLitterbags placem_collection'!$A$3:$A$500,MATCH(A368,'WetLitterbags placem_collection'!$M$4:$M$500,0)),"")</f>
        <v/>
      </c>
      <c r="Q368" s="110" t="str">
        <f>IFERROR(INDEX('WetLitterbags placem_collection'!$A$3:$A$500,MATCH(A368,'WetLitterbags placem_collection'!$Q$4:$Q$500,0)),"")</f>
        <v/>
      </c>
    </row>
    <row r="369" spans="1:17" ht="13.95" customHeight="1">
      <c r="A369" s="110" t="s">
        <v>1212</v>
      </c>
      <c r="B369" s="110" t="s">
        <v>2077</v>
      </c>
      <c r="C369" s="110">
        <v>0.70830000000000004</v>
      </c>
      <c r="E369" s="112">
        <v>43116</v>
      </c>
      <c r="N369" s="110">
        <f>IFERROR(INDEX('WetLitterbags placem_collection'!$A$3:$A$500,MATCH(A369,'WetLitterbags placem_collection'!$K$4:$K$500,0)),"")</f>
        <v>28</v>
      </c>
      <c r="O369" s="110" t="str">
        <f>IFERROR(INDEX('WetLitterbags placem_collection'!$A$3:$A$500,MATCH(A369,'WetLitterbags placem_collection'!$O$4:$O$500,0)),"")</f>
        <v/>
      </c>
      <c r="P369" s="110" t="str">
        <f>IFERROR(INDEX('WetLitterbags placem_collection'!$A$3:$A$500,MATCH(A369,'WetLitterbags placem_collection'!$M$4:$M$500,0)),"")</f>
        <v/>
      </c>
      <c r="Q369" s="110" t="str">
        <f>IFERROR(INDEX('WetLitterbags placem_collection'!$A$3:$A$500,MATCH(A369,'WetLitterbags placem_collection'!$Q$4:$Q$500,0)),"")</f>
        <v/>
      </c>
    </row>
    <row r="370" spans="1:17" ht="13.95" customHeight="1">
      <c r="A370" s="110" t="s">
        <v>1211</v>
      </c>
      <c r="B370" s="110">
        <v>122</v>
      </c>
      <c r="C370" s="110">
        <v>0.64200000000000002</v>
      </c>
      <c r="E370" s="112">
        <v>42878</v>
      </c>
      <c r="N370" s="110" t="str">
        <f>IFERROR(INDEX('WetLitterbags placem_collection'!$A$3:$A$500,MATCH(A370,'WetLitterbags placem_collection'!$K$4:$K$500,0)),"")</f>
        <v/>
      </c>
      <c r="O370" s="110">
        <f>IFERROR(INDEX('WetLitterbags placem_collection'!$A$3:$A$500,MATCH(A370,'WetLitterbags placem_collection'!$O$4:$O$500,0)),"")</f>
        <v>121</v>
      </c>
      <c r="P370" s="110" t="str">
        <f>IFERROR(INDEX('WetLitterbags placem_collection'!$A$3:$A$500,MATCH(A370,'WetLitterbags placem_collection'!$M$4:$M$500,0)),"")</f>
        <v/>
      </c>
      <c r="Q370" s="110" t="str">
        <f>IFERROR(INDEX('WetLitterbags placem_collection'!$A$3:$A$500,MATCH(A370,'WetLitterbags placem_collection'!$Q$4:$Q$500,0)),"")</f>
        <v/>
      </c>
    </row>
    <row r="371" spans="1:17" ht="13.95" customHeight="1">
      <c r="A371" s="110" t="s">
        <v>1210</v>
      </c>
      <c r="B371" s="110">
        <v>82</v>
      </c>
      <c r="C371" s="110">
        <v>0.74299999999999999</v>
      </c>
      <c r="E371" s="112">
        <v>42879</v>
      </c>
      <c r="N371" s="110" t="str">
        <f>IFERROR(INDEX('WetLitterbags placem_collection'!$A$3:$A$500,MATCH(A371,'WetLitterbags placem_collection'!$K$4:$K$500,0)),"")</f>
        <v/>
      </c>
      <c r="O371" s="110">
        <f>IFERROR(INDEX('WetLitterbags placem_collection'!$A$3:$A$500,MATCH(A371,'WetLitterbags placem_collection'!$O$4:$O$500,0)),"")</f>
        <v>81</v>
      </c>
      <c r="P371" s="110" t="str">
        <f>IFERROR(INDEX('WetLitterbags placem_collection'!$A$3:$A$500,MATCH(A371,'WetLitterbags placem_collection'!$M$4:$M$500,0)),"")</f>
        <v/>
      </c>
      <c r="Q371" s="110" t="str">
        <f>IFERROR(INDEX('WetLitterbags placem_collection'!$A$3:$A$500,MATCH(A371,'WetLitterbags placem_collection'!$Q$4:$Q$500,0)),"")</f>
        <v/>
      </c>
    </row>
    <row r="372" spans="1:17" ht="13.95" customHeight="1">
      <c r="A372" s="110" t="s">
        <v>1209</v>
      </c>
      <c r="B372" s="110">
        <v>126</v>
      </c>
      <c r="C372" s="110">
        <v>0.58499999999999996</v>
      </c>
      <c r="E372" s="112">
        <v>42878</v>
      </c>
      <c r="N372" s="110" t="str">
        <f>IFERROR(INDEX('WetLitterbags placem_collection'!$A$3:$A$500,MATCH(A372,'WetLitterbags placem_collection'!$K$4:$K$500,0)),"")</f>
        <v/>
      </c>
      <c r="O372" s="110">
        <f>IFERROR(INDEX('WetLitterbags placem_collection'!$A$3:$A$500,MATCH(A372,'WetLitterbags placem_collection'!$O$4:$O$500,0)),"")</f>
        <v>125</v>
      </c>
      <c r="P372" s="110" t="str">
        <f>IFERROR(INDEX('WetLitterbags placem_collection'!$A$3:$A$500,MATCH(A372,'WetLitterbags placem_collection'!$M$4:$M$500,0)),"")</f>
        <v/>
      </c>
      <c r="Q372" s="110" t="str">
        <f>IFERROR(INDEX('WetLitterbags placem_collection'!$A$3:$A$500,MATCH(A372,'WetLitterbags placem_collection'!$Q$4:$Q$500,0)),"")</f>
        <v/>
      </c>
    </row>
    <row r="373" spans="1:17" ht="13.95" customHeight="1">
      <c r="A373" s="182" t="s">
        <v>1205</v>
      </c>
      <c r="B373" s="110">
        <v>108</v>
      </c>
      <c r="C373" s="110">
        <v>0.57699999999999996</v>
      </c>
      <c r="E373" s="112">
        <v>42881</v>
      </c>
      <c r="N373" s="110" t="str">
        <f>IFERROR(INDEX('WetLitterbags placem_collection'!$A$3:$A$500,MATCH(A373,'WetLitterbags placem_collection'!$K$4:$K$500,0)),"")</f>
        <v/>
      </c>
      <c r="O373" s="110">
        <f>IFERROR(INDEX('WetLitterbags placem_collection'!$A$3:$A$500,MATCH(A373,'WetLitterbags placem_collection'!$O$4:$O$500,0)),"")</f>
        <v>107</v>
      </c>
      <c r="P373" s="110" t="str">
        <f>IFERROR(INDEX('WetLitterbags placem_collection'!$A$3:$A$500,MATCH(A373,'WetLitterbags placem_collection'!$M$4:$M$500,0)),"")</f>
        <v/>
      </c>
      <c r="Q373" s="110" t="str">
        <f>IFERROR(INDEX('WetLitterbags placem_collection'!$A$3:$A$500,MATCH(A373,'WetLitterbags placem_collection'!$Q$4:$Q$500,0)),"")</f>
        <v/>
      </c>
    </row>
    <row r="374" spans="1:17" ht="13.95" customHeight="1">
      <c r="A374" s="110" t="s">
        <v>1204</v>
      </c>
      <c r="B374" s="110" t="s">
        <v>2077</v>
      </c>
      <c r="C374" s="110">
        <v>0.59309999999999996</v>
      </c>
      <c r="E374" s="112">
        <v>43123</v>
      </c>
      <c r="N374" s="110">
        <f>IFERROR(INDEX('WetLitterbags placem_collection'!$A$3:$A$500,MATCH(A374,'WetLitterbags placem_collection'!$K$4:$K$500,0)),"")</f>
        <v>132</v>
      </c>
      <c r="O374" s="110" t="str">
        <f>IFERROR(INDEX('WetLitterbags placem_collection'!$A$3:$A$500,MATCH(A374,'WetLitterbags placem_collection'!$O$4:$O$500,0)),"")</f>
        <v/>
      </c>
      <c r="P374" s="110" t="str">
        <f>IFERROR(INDEX('WetLitterbags placem_collection'!$A$3:$A$500,MATCH(A374,'WetLitterbags placem_collection'!$M$4:$M$500,0)),"")</f>
        <v/>
      </c>
      <c r="Q374" s="110" t="str">
        <f>IFERROR(INDEX('WetLitterbags placem_collection'!$A$3:$A$500,MATCH(A374,'WetLitterbags placem_collection'!$Q$4:$Q$500,0)),"")</f>
        <v/>
      </c>
    </row>
    <row r="375" spans="1:17" ht="13.95" customHeight="1">
      <c r="A375" s="110" t="s">
        <v>1203</v>
      </c>
      <c r="B375" s="110" t="s">
        <v>2077</v>
      </c>
      <c r="C375" s="110">
        <v>0.61809999999999998</v>
      </c>
      <c r="E375" s="112">
        <v>43122</v>
      </c>
      <c r="N375" s="110" t="str">
        <f>IFERROR(INDEX('WetLitterbags placem_collection'!$A$3:$A$500,MATCH(A375,'WetLitterbags placem_collection'!$K$4:$K$500,0)),"")</f>
        <v/>
      </c>
      <c r="O375" s="110">
        <f>IFERROR(INDEX('WetLitterbags placem_collection'!$A$3:$A$500,MATCH(A375,'WetLitterbags placem_collection'!$O$4:$O$500,0)),"")</f>
        <v>96</v>
      </c>
      <c r="P375" s="110" t="str">
        <f>IFERROR(INDEX('WetLitterbags placem_collection'!$A$3:$A$500,MATCH(A375,'WetLitterbags placem_collection'!$M$4:$M$500,0)),"")</f>
        <v/>
      </c>
      <c r="Q375" s="110" t="str">
        <f>IFERROR(INDEX('WetLitterbags placem_collection'!$A$3:$A$500,MATCH(A375,'WetLitterbags placem_collection'!$Q$4:$Q$500,0)),"")</f>
        <v/>
      </c>
    </row>
    <row r="376" spans="1:17" ht="13.95" customHeight="1">
      <c r="A376" s="110" t="s">
        <v>1201</v>
      </c>
      <c r="B376" s="110" t="s">
        <v>2077</v>
      </c>
      <c r="C376" s="110">
        <v>0.65239999999999998</v>
      </c>
      <c r="E376" s="112">
        <v>43122</v>
      </c>
      <c r="N376" s="110" t="str">
        <f>IFERROR(INDEX('WetLitterbags placem_collection'!$A$3:$A$500,MATCH(A376,'WetLitterbags placem_collection'!$K$4:$K$500,0)),"")</f>
        <v/>
      </c>
      <c r="O376" s="110">
        <f>IFERROR(INDEX('WetLitterbags placem_collection'!$A$3:$A$500,MATCH(A376,'WetLitterbags placem_collection'!$O$4:$O$500,0)),"")</f>
        <v>219</v>
      </c>
      <c r="P376" s="110" t="str">
        <f>IFERROR(INDEX('WetLitterbags placem_collection'!$A$3:$A$500,MATCH(A376,'WetLitterbags placem_collection'!$M$4:$M$500,0)),"")</f>
        <v/>
      </c>
      <c r="Q376" s="110" t="str">
        <f>IFERROR(INDEX('WetLitterbags placem_collection'!$A$3:$A$500,MATCH(A376,'WetLitterbags placem_collection'!$Q$4:$Q$500,0)),"")</f>
        <v/>
      </c>
    </row>
    <row r="377" spans="1:17" ht="13.95" customHeight="1">
      <c r="A377" s="404" t="s">
        <v>1200</v>
      </c>
      <c r="B377" s="110">
        <v>142</v>
      </c>
      <c r="C377" s="110">
        <v>0.78500000000000003</v>
      </c>
      <c r="E377" s="112">
        <v>42881</v>
      </c>
      <c r="N377" s="110" t="str">
        <f>IFERROR(INDEX('WetLitterbags placem_collection'!$A$3:$A$500,MATCH(A377,'WetLitterbags placem_collection'!$K$4:$K$500,0)),"")</f>
        <v/>
      </c>
      <c r="O377" s="110">
        <f>IFERROR(INDEX('WetLitterbags placem_collection'!$A$3:$A$500,MATCH(A377,'WetLitterbags placem_collection'!$O$4:$O$500,0)),"")</f>
        <v>141</v>
      </c>
      <c r="P377" s="110" t="str">
        <f>IFERROR(INDEX('WetLitterbags placem_collection'!$A$3:$A$500,MATCH(A377,'WetLitterbags placem_collection'!$M$4:$M$500,0)),"")</f>
        <v/>
      </c>
      <c r="Q377" s="110" t="str">
        <f>IFERROR(INDEX('WetLitterbags placem_collection'!$A$3:$A$500,MATCH(A377,'WetLitterbags placem_collection'!$Q$4:$Q$500,0)),"")</f>
        <v/>
      </c>
    </row>
    <row r="378" spans="1:17" ht="13.95" customHeight="1">
      <c r="A378" t="s">
        <v>1198</v>
      </c>
      <c r="B378" s="110">
        <v>112</v>
      </c>
      <c r="C378" s="110">
        <v>0.69799999999999995</v>
      </c>
      <c r="E378" s="112">
        <v>42878</v>
      </c>
      <c r="N378" s="110" t="str">
        <f>IFERROR(INDEX('WetLitterbags placem_collection'!$A$3:$A$500,MATCH(A378,'WetLitterbags placem_collection'!$K$4:$K$500,0)),"")</f>
        <v/>
      </c>
      <c r="O378" s="110">
        <f>IFERROR(INDEX('WetLitterbags placem_collection'!$A$3:$A$500,MATCH(A378,'WetLitterbags placem_collection'!$O$4:$O$500,0)),"")</f>
        <v>111</v>
      </c>
      <c r="P378" s="110" t="str">
        <f>IFERROR(INDEX('WetLitterbags placem_collection'!$A$3:$A$500,MATCH(A378,'WetLitterbags placem_collection'!$M$4:$M$500,0)),"")</f>
        <v/>
      </c>
      <c r="Q378" s="110" t="str">
        <f>IFERROR(INDEX('WetLitterbags placem_collection'!$A$3:$A$500,MATCH(A378,'WetLitterbags placem_collection'!$Q$4:$Q$500,0)),"")</f>
        <v/>
      </c>
    </row>
    <row r="379" spans="1:17" ht="13.95" customHeight="1">
      <c r="A379" s="110" t="s">
        <v>1197</v>
      </c>
      <c r="B379" s="110" t="s">
        <v>2077</v>
      </c>
      <c r="C379" s="110">
        <v>0.58509999999999995</v>
      </c>
      <c r="E379" s="112">
        <v>43119</v>
      </c>
      <c r="N379" s="110">
        <f>IFERROR(INDEX('WetLitterbags placem_collection'!$A$3:$A$500,MATCH(A379,'WetLitterbags placem_collection'!$K$4:$K$500,0)),"")</f>
        <v>151</v>
      </c>
      <c r="O379" s="110" t="str">
        <f>IFERROR(INDEX('WetLitterbags placem_collection'!$A$3:$A$500,MATCH(A379,'WetLitterbags placem_collection'!$O$4:$O$500,0)),"")</f>
        <v/>
      </c>
      <c r="P379" s="110" t="str">
        <f>IFERROR(INDEX('WetLitterbags placem_collection'!$A$3:$A$500,MATCH(A379,'WetLitterbags placem_collection'!$M$4:$M$500,0)),"")</f>
        <v/>
      </c>
      <c r="Q379" s="110" t="str">
        <f>IFERROR(INDEX('WetLitterbags placem_collection'!$A$3:$A$500,MATCH(A379,'WetLitterbags placem_collection'!$Q$4:$Q$500,0)),"")</f>
        <v/>
      </c>
    </row>
    <row r="380" spans="1:17" ht="13.95" customHeight="1">
      <c r="A380" s="110" t="s">
        <v>1194</v>
      </c>
      <c r="B380" s="110">
        <v>51</v>
      </c>
      <c r="C380" s="110">
        <v>0.77600000000000002</v>
      </c>
      <c r="E380" s="112">
        <v>42881</v>
      </c>
      <c r="N380" s="110" t="str">
        <f>IFERROR(INDEX('WetLitterbags placem_collection'!$A$3:$A$500,MATCH(A380,'WetLitterbags placem_collection'!$K$4:$K$500,0)),"")</f>
        <v/>
      </c>
      <c r="O380" s="110">
        <f>IFERROR(INDEX('WetLitterbags placem_collection'!$A$3:$A$500,MATCH(A380,'WetLitterbags placem_collection'!$O$4:$O$500,0)),"")</f>
        <v>50</v>
      </c>
      <c r="P380" s="110" t="str">
        <f>IFERROR(INDEX('WetLitterbags placem_collection'!$A$3:$A$500,MATCH(A380,'WetLitterbags placem_collection'!$M$4:$M$500,0)),"")</f>
        <v/>
      </c>
      <c r="Q380" s="110" t="str">
        <f>IFERROR(INDEX('WetLitterbags placem_collection'!$A$3:$A$500,MATCH(A380,'WetLitterbags placem_collection'!$Q$4:$Q$500,0)),"")</f>
        <v/>
      </c>
    </row>
    <row r="381" spans="1:17" ht="13.95" customHeight="1">
      <c r="A381" s="110" t="s">
        <v>1193</v>
      </c>
      <c r="B381" s="110">
        <v>137</v>
      </c>
      <c r="C381" s="110">
        <v>0.6</v>
      </c>
      <c r="E381" s="112">
        <v>42879</v>
      </c>
      <c r="N381" s="110" t="str">
        <f>IFERROR(INDEX('WetLitterbags placem_collection'!$A$3:$A$500,MATCH(A381,'WetLitterbags placem_collection'!$K$4:$K$500,0)),"")</f>
        <v/>
      </c>
      <c r="O381" s="110">
        <f>IFERROR(INDEX('WetLitterbags placem_collection'!$A$3:$A$500,MATCH(A381,'WetLitterbags placem_collection'!$O$4:$O$500,0)),"")</f>
        <v>136</v>
      </c>
      <c r="P381" s="110" t="str">
        <f>IFERROR(INDEX('WetLitterbags placem_collection'!$A$3:$A$500,MATCH(A381,'WetLitterbags placem_collection'!$M$4:$M$500,0)),"")</f>
        <v/>
      </c>
      <c r="Q381" s="110" t="str">
        <f>IFERROR(INDEX('WetLitterbags placem_collection'!$A$3:$A$500,MATCH(A381,'WetLitterbags placem_collection'!$Q$4:$Q$500,0)),"")</f>
        <v/>
      </c>
    </row>
    <row r="382" spans="1:17" ht="13.95" customHeight="1">
      <c r="A382" s="110" t="s">
        <v>1192</v>
      </c>
      <c r="B382" s="110" t="s">
        <v>2077</v>
      </c>
      <c r="C382" s="110">
        <v>0.69730000000000003</v>
      </c>
      <c r="E382" s="112">
        <v>43116</v>
      </c>
      <c r="N382" s="110">
        <f>IFERROR(INDEX('WetLitterbags placem_collection'!$A$3:$A$500,MATCH(A382,'WetLitterbags placem_collection'!$K$4:$K$500,0)),"")</f>
        <v>214</v>
      </c>
      <c r="O382" s="110" t="str">
        <f>IFERROR(INDEX('WetLitterbags placem_collection'!$A$3:$A$500,MATCH(A382,'WetLitterbags placem_collection'!$O$4:$O$500,0)),"")</f>
        <v/>
      </c>
      <c r="P382" s="110" t="str">
        <f>IFERROR(INDEX('WetLitterbags placem_collection'!$A$3:$A$500,MATCH(A382,'WetLitterbags placem_collection'!$M$4:$M$500,0)),"")</f>
        <v/>
      </c>
      <c r="Q382" s="110" t="str">
        <f>IFERROR(INDEX('WetLitterbags placem_collection'!$A$3:$A$500,MATCH(A382,'WetLitterbags placem_collection'!$Q$4:$Q$500,0)),"")</f>
        <v/>
      </c>
    </row>
    <row r="383" spans="1:17" ht="13.95" customHeight="1">
      <c r="A383" s="110" t="s">
        <v>1191</v>
      </c>
      <c r="B383" s="110">
        <v>155</v>
      </c>
      <c r="C383" s="110">
        <v>0.71599999999999997</v>
      </c>
      <c r="E383" s="112">
        <v>42879</v>
      </c>
      <c r="N383" s="110">
        <f>IFERROR(INDEX('WetLitterbags placem_collection'!$A$3:$A$500,MATCH(A383,'WetLitterbags placem_collection'!$K$4:$K$500,0)),"")</f>
        <v>154</v>
      </c>
      <c r="O383" s="110" t="str">
        <f>IFERROR(INDEX('WetLitterbags placem_collection'!$A$3:$A$500,MATCH(A383,'WetLitterbags placem_collection'!$O$4:$O$500,0)),"")</f>
        <v/>
      </c>
      <c r="P383" s="110" t="str">
        <f>IFERROR(INDEX('WetLitterbags placem_collection'!$A$3:$A$500,MATCH(A383,'WetLitterbags placem_collection'!$M$4:$M$500,0)),"")</f>
        <v/>
      </c>
      <c r="Q383" s="110" t="str">
        <f>IFERROR(INDEX('WetLitterbags placem_collection'!$A$3:$A$500,MATCH(A383,'WetLitterbags placem_collection'!$Q$4:$Q$500,0)),"")</f>
        <v/>
      </c>
    </row>
    <row r="384" spans="1:17" ht="13.95" customHeight="1">
      <c r="A384" s="110" t="s">
        <v>1190</v>
      </c>
      <c r="B384" s="110">
        <v>122</v>
      </c>
      <c r="C384" s="110">
        <v>0.76800000000000002</v>
      </c>
      <c r="D384" s="110" t="s">
        <v>2071</v>
      </c>
      <c r="E384" s="112">
        <v>42878</v>
      </c>
      <c r="N384" s="110">
        <f>IFERROR(INDEX('WetLitterbags placem_collection'!$A$3:$A$500,MATCH(A384,'WetLitterbags placem_collection'!$K$4:$K$500,0)),"")</f>
        <v>121</v>
      </c>
      <c r="O384" s="110" t="str">
        <f>IFERROR(INDEX('WetLitterbags placem_collection'!$A$3:$A$500,MATCH(A384,'WetLitterbags placem_collection'!$O$4:$O$500,0)),"")</f>
        <v/>
      </c>
      <c r="P384" s="110" t="str">
        <f>IFERROR(INDEX('WetLitterbags placem_collection'!$A$3:$A$500,MATCH(A384,'WetLitterbags placem_collection'!$M$4:$M$500,0)),"")</f>
        <v/>
      </c>
      <c r="Q384" s="110" t="str">
        <f>IFERROR(INDEX('WetLitterbags placem_collection'!$A$3:$A$500,MATCH(A384,'WetLitterbags placem_collection'!$Q$4:$Q$500,0)),"")</f>
        <v/>
      </c>
    </row>
    <row r="385" spans="1:17" ht="13.95" customHeight="1">
      <c r="A385" s="110" t="s">
        <v>1189</v>
      </c>
      <c r="B385" s="110">
        <v>105</v>
      </c>
      <c r="C385" s="110">
        <v>0.626</v>
      </c>
      <c r="E385" s="112">
        <v>42879</v>
      </c>
      <c r="N385" s="110" t="str">
        <f>IFERROR(INDEX('WetLitterbags placem_collection'!$A$3:$A$500,MATCH(A385,'WetLitterbags placem_collection'!$K$4:$K$500,0)),"")</f>
        <v/>
      </c>
      <c r="O385" s="110">
        <f>IFERROR(INDEX('WetLitterbags placem_collection'!$A$3:$A$500,MATCH(A385,'WetLitterbags placem_collection'!$O$4:$O$500,0)),"")</f>
        <v>104</v>
      </c>
      <c r="P385" s="110" t="str">
        <f>IFERROR(INDEX('WetLitterbags placem_collection'!$A$3:$A$500,MATCH(A385,'WetLitterbags placem_collection'!$M$4:$M$500,0)),"")</f>
        <v/>
      </c>
      <c r="Q385" s="110" t="str">
        <f>IFERROR(INDEX('WetLitterbags placem_collection'!$A$3:$A$500,MATCH(A385,'WetLitterbags placem_collection'!$Q$4:$Q$500,0)),"")</f>
        <v/>
      </c>
    </row>
    <row r="386" spans="1:17" ht="13.95" customHeight="1">
      <c r="A386" s="110" t="s">
        <v>1188</v>
      </c>
      <c r="B386" s="110">
        <v>124</v>
      </c>
      <c r="C386" s="110">
        <v>0.84799999999999998</v>
      </c>
      <c r="E386" s="112">
        <v>42881</v>
      </c>
      <c r="N386" s="110" t="str">
        <f>IFERROR(INDEX('WetLitterbags placem_collection'!$A$3:$A$500,MATCH(A386,'WetLitterbags placem_collection'!$K$4:$K$500,0)),"")</f>
        <v/>
      </c>
      <c r="O386" s="110" t="str">
        <f>IFERROR(INDEX('WetLitterbags placem_collection'!$A$3:$A$500,MATCH(A386,'WetLitterbags placem_collection'!$O$4:$O$500,0)),"")</f>
        <v/>
      </c>
      <c r="P386" s="110" t="str">
        <f>IFERROR(INDEX('WetLitterbags placem_collection'!$A$3:$A$500,MATCH(A386,'WetLitterbags placem_collection'!$M$4:$M$500,0)),"")</f>
        <v/>
      </c>
      <c r="Q386" s="110" t="str">
        <f>IFERROR(INDEX('WetLitterbags placem_collection'!$A$3:$A$500,MATCH(A386,'WetLitterbags placem_collection'!$Q$4:$Q$500,0)),"")</f>
        <v/>
      </c>
    </row>
    <row r="387" spans="1:17" ht="13.95" customHeight="1">
      <c r="A387" s="110" t="s">
        <v>1187</v>
      </c>
      <c r="B387" s="110" t="s">
        <v>2077</v>
      </c>
      <c r="C387" s="110">
        <v>0.64890000000000003</v>
      </c>
      <c r="E387" s="112">
        <v>43122</v>
      </c>
      <c r="N387" s="110">
        <f>IFERROR(INDEX('WetLitterbags placem_collection'!$A$3:$A$500,MATCH(A387,'WetLitterbags placem_collection'!$K$4:$K$500,0)),"")</f>
        <v>192</v>
      </c>
      <c r="O387" s="110" t="str">
        <f>IFERROR(INDEX('WetLitterbags placem_collection'!$A$3:$A$500,MATCH(A387,'WetLitterbags placem_collection'!$O$4:$O$500,0)),"")</f>
        <v/>
      </c>
      <c r="P387" s="110" t="str">
        <f>IFERROR(INDEX('WetLitterbags placem_collection'!$A$3:$A$500,MATCH(A387,'WetLitterbags placem_collection'!$M$4:$M$500,0)),"")</f>
        <v/>
      </c>
      <c r="Q387" s="110" t="str">
        <f>IFERROR(INDEX('WetLitterbags placem_collection'!$A$3:$A$500,MATCH(A387,'WetLitterbags placem_collection'!$Q$4:$Q$500,0)),"")</f>
        <v/>
      </c>
    </row>
    <row r="388" spans="1:17" ht="13.95" customHeight="1">
      <c r="A388" s="110" t="s">
        <v>1186</v>
      </c>
      <c r="B388" s="110" t="s">
        <v>2077</v>
      </c>
      <c r="C388" s="116">
        <v>0.65839999999999999</v>
      </c>
      <c r="E388" s="112">
        <v>43116</v>
      </c>
      <c r="N388" s="110" t="str">
        <f>IFERROR(INDEX('WetLitterbags placem_collection'!$A$3:$A$500,MATCH(A388,'WetLitterbags placem_collection'!$K$4:$K$500,0)),"")</f>
        <v/>
      </c>
      <c r="O388" s="110">
        <f>IFERROR(INDEX('WetLitterbags placem_collection'!$A$3:$A$500,MATCH(A388,'WetLitterbags placem_collection'!$O$4:$O$500,0)),"")</f>
        <v>24</v>
      </c>
      <c r="P388" s="110" t="str">
        <f>IFERROR(INDEX('WetLitterbags placem_collection'!$A$3:$A$500,MATCH(A388,'WetLitterbags placem_collection'!$M$4:$M$500,0)),"")</f>
        <v/>
      </c>
      <c r="Q388" s="110" t="str">
        <f>IFERROR(INDEX('WetLitterbags placem_collection'!$A$3:$A$500,MATCH(A388,'WetLitterbags placem_collection'!$Q$4:$Q$500,0)),"")</f>
        <v/>
      </c>
    </row>
    <row r="389" spans="1:17" ht="13.95" customHeight="1">
      <c r="A389" s="110" t="s">
        <v>1185</v>
      </c>
      <c r="B389" s="110">
        <v>173</v>
      </c>
      <c r="C389" s="110">
        <v>0.65549999999999997</v>
      </c>
      <c r="E389" s="112">
        <v>42879</v>
      </c>
      <c r="N389" s="110" t="str">
        <f>IFERROR(INDEX('WetLitterbags placem_collection'!$A$3:$A$500,MATCH(A389,'WetLitterbags placem_collection'!$K$4:$K$500,0)),"")</f>
        <v/>
      </c>
      <c r="O389" s="110">
        <f>IFERROR(INDEX('WetLitterbags placem_collection'!$A$3:$A$500,MATCH(A389,'WetLitterbags placem_collection'!$O$4:$O$500,0)),"")</f>
        <v>172</v>
      </c>
      <c r="P389" s="110" t="str">
        <f>IFERROR(INDEX('WetLitterbags placem_collection'!$A$3:$A$500,MATCH(A389,'WetLitterbags placem_collection'!$M$4:$M$500,0)),"")</f>
        <v/>
      </c>
      <c r="Q389" s="110" t="str">
        <f>IFERROR(INDEX('WetLitterbags placem_collection'!$A$3:$A$500,MATCH(A389,'WetLitterbags placem_collection'!$Q$4:$Q$500,0)),"")</f>
        <v/>
      </c>
    </row>
    <row r="390" spans="1:17" ht="13.95" customHeight="1">
      <c r="A390" s="110" t="s">
        <v>1181</v>
      </c>
      <c r="B390" s="110">
        <v>103</v>
      </c>
      <c r="C390" s="110">
        <v>0.55800000000000005</v>
      </c>
      <c r="E390" s="112">
        <v>42881</v>
      </c>
      <c r="N390" s="110">
        <f>IFERROR(INDEX('WetLitterbags placem_collection'!$A$3:$A$500,MATCH(A390,'WetLitterbags placem_collection'!$K$4:$K$500,0)),"")</f>
        <v>102</v>
      </c>
      <c r="O390" s="110" t="str">
        <f>IFERROR(INDEX('WetLitterbags placem_collection'!$A$3:$A$500,MATCH(A390,'WetLitterbags placem_collection'!$O$4:$O$500,0)),"")</f>
        <v/>
      </c>
      <c r="P390" s="110" t="str">
        <f>IFERROR(INDEX('WetLitterbags placem_collection'!$A$3:$A$500,MATCH(A390,'WetLitterbags placem_collection'!$M$4:$M$500,0)),"")</f>
        <v/>
      </c>
      <c r="Q390" s="110" t="str">
        <f>IFERROR(INDEX('WetLitterbags placem_collection'!$A$3:$A$500,MATCH(A390,'WetLitterbags placem_collection'!$Q$4:$Q$500,0)),"")</f>
        <v/>
      </c>
    </row>
    <row r="391" spans="1:17" ht="13.95" customHeight="1">
      <c r="A391" s="110" t="s">
        <v>1179</v>
      </c>
      <c r="B391" s="110" t="s">
        <v>2077</v>
      </c>
      <c r="C391" s="110">
        <v>0.83130000000000004</v>
      </c>
      <c r="D391" s="110" t="s">
        <v>2074</v>
      </c>
      <c r="E391" s="112">
        <v>43122</v>
      </c>
      <c r="N391" s="110">
        <f>IFERROR(INDEX('WetLitterbags placem_collection'!$A$3:$A$500,MATCH(A391,'WetLitterbags placem_collection'!$K$4:$K$500,0)),"")</f>
        <v>209</v>
      </c>
      <c r="O391" s="110" t="str">
        <f>IFERROR(INDEX('WetLitterbags placem_collection'!$A$3:$A$500,MATCH(A391,'WetLitterbags placem_collection'!$O$4:$O$500,0)),"")</f>
        <v/>
      </c>
      <c r="P391" s="110" t="str">
        <f>IFERROR(INDEX('WetLitterbags placem_collection'!$A$3:$A$500,MATCH(A391,'WetLitterbags placem_collection'!$M$4:$M$500,0)),"")</f>
        <v/>
      </c>
      <c r="Q391" s="110" t="str">
        <f>IFERROR(INDEX('WetLitterbags placem_collection'!$A$3:$A$500,MATCH(A391,'WetLitterbags placem_collection'!$Q$4:$Q$500,0)),"")</f>
        <v/>
      </c>
    </row>
    <row r="392" spans="1:17" ht="13.95" customHeight="1">
      <c r="A392" s="110" t="s">
        <v>1175</v>
      </c>
      <c r="B392" s="110" t="s">
        <v>2077</v>
      </c>
      <c r="C392" s="110">
        <v>0.62450000000000006</v>
      </c>
      <c r="E392" s="112">
        <v>43122</v>
      </c>
      <c r="N392" s="110" t="str">
        <f>IFERROR(INDEX('WetLitterbags placem_collection'!$A$3:$A$500,MATCH(A392,'WetLitterbags placem_collection'!$K$4:$K$500,0)),"")</f>
        <v/>
      </c>
      <c r="O392" s="110">
        <f>IFERROR(INDEX('WetLitterbags placem_collection'!$A$3:$A$500,MATCH(A392,'WetLitterbags placem_collection'!$O$4:$O$500,0)),"")</f>
        <v>100</v>
      </c>
      <c r="P392" s="110" t="str">
        <f>IFERROR(INDEX('WetLitterbags placem_collection'!$A$3:$A$500,MATCH(A392,'WetLitterbags placem_collection'!$M$4:$M$500,0)),"")</f>
        <v/>
      </c>
      <c r="Q392" s="110" t="str">
        <f>IFERROR(INDEX('WetLitterbags placem_collection'!$A$3:$A$500,MATCH(A392,'WetLitterbags placem_collection'!$Q$4:$Q$500,0)),"")</f>
        <v/>
      </c>
    </row>
    <row r="393" spans="1:17" ht="13.95" customHeight="1">
      <c r="A393" s="110" t="s">
        <v>1174</v>
      </c>
      <c r="B393" s="110">
        <v>160</v>
      </c>
      <c r="C393" s="110">
        <v>0.68100000000000005</v>
      </c>
      <c r="E393" s="112">
        <v>42879</v>
      </c>
      <c r="N393" s="110" t="str">
        <f>IFERROR(INDEX('WetLitterbags placem_collection'!$A$3:$A$500,MATCH(A393,'WetLitterbags placem_collection'!$K$4:$K$500,0)),"")</f>
        <v/>
      </c>
      <c r="O393" s="110">
        <f>IFERROR(INDEX('WetLitterbags placem_collection'!$A$3:$A$500,MATCH(A393,'WetLitterbags placem_collection'!$O$4:$O$500,0)),"")</f>
        <v>159</v>
      </c>
      <c r="P393" s="110" t="str">
        <f>IFERROR(INDEX('WetLitterbags placem_collection'!$A$3:$A$500,MATCH(A393,'WetLitterbags placem_collection'!$M$4:$M$500,0)),"")</f>
        <v/>
      </c>
      <c r="Q393" s="110" t="str">
        <f>IFERROR(INDEX('WetLitterbags placem_collection'!$A$3:$A$500,MATCH(A393,'WetLitterbags placem_collection'!$Q$4:$Q$500,0)),"")</f>
        <v/>
      </c>
    </row>
    <row r="394" spans="1:17" ht="13.95" customHeight="1">
      <c r="A394" s="110" t="s">
        <v>1173</v>
      </c>
      <c r="B394" s="110">
        <v>109</v>
      </c>
      <c r="C394" s="110">
        <v>0.67900000000000005</v>
      </c>
      <c r="E394" s="112">
        <v>42881</v>
      </c>
      <c r="N394" s="110">
        <f>IFERROR(INDEX('WetLitterbags placem_collection'!$A$3:$A$500,MATCH(A394,'WetLitterbags placem_collection'!$K$4:$K$500,0)),"")</f>
        <v>198</v>
      </c>
      <c r="O394" s="110" t="str">
        <f>IFERROR(INDEX('WetLitterbags placem_collection'!$A$3:$A$500,MATCH(A394,'WetLitterbags placem_collection'!$O$4:$O$500,0)),"")</f>
        <v/>
      </c>
      <c r="P394" s="110" t="str">
        <f>IFERROR(INDEX('WetLitterbags placem_collection'!$A$3:$A$500,MATCH(A394,'WetLitterbags placem_collection'!$M$4:$M$500,0)),"")</f>
        <v/>
      </c>
      <c r="Q394" s="110" t="str">
        <f>IFERROR(INDEX('WetLitterbags placem_collection'!$A$3:$A$500,MATCH(A394,'WetLitterbags placem_collection'!$Q$4:$Q$500,0)),"")</f>
        <v/>
      </c>
    </row>
    <row r="395" spans="1:17" ht="13.95" customHeight="1">
      <c r="A395" s="110" t="s">
        <v>1172</v>
      </c>
      <c r="B395" s="110">
        <v>147</v>
      </c>
      <c r="C395" s="110">
        <v>0.628</v>
      </c>
      <c r="D395" s="110" t="s">
        <v>2137</v>
      </c>
      <c r="E395" s="112">
        <v>42878</v>
      </c>
      <c r="N395" s="110" t="str">
        <f>IFERROR(INDEX('WetLitterbags placem_collection'!$A$3:$A$500,MATCH(A395,'WetLitterbags placem_collection'!$K$4:$K$500,0)),"")</f>
        <v/>
      </c>
      <c r="O395" s="110">
        <f>IFERROR(INDEX('WetLitterbags placem_collection'!$A$3:$A$500,MATCH(A395,'WetLitterbags placem_collection'!$O$4:$O$500,0)),"")</f>
        <v>146</v>
      </c>
      <c r="P395" s="110" t="str">
        <f>IFERROR(INDEX('WetLitterbags placem_collection'!$A$3:$A$500,MATCH(A395,'WetLitterbags placem_collection'!$M$4:$M$500,0)),"")</f>
        <v/>
      </c>
      <c r="Q395" s="110" t="str">
        <f>IFERROR(INDEX('WetLitterbags placem_collection'!$A$3:$A$500,MATCH(A395,'WetLitterbags placem_collection'!$Q$4:$Q$500,0)),"")</f>
        <v/>
      </c>
    </row>
    <row r="396" spans="1:17" ht="13.95" customHeight="1">
      <c r="A396" s="110" t="s">
        <v>1170</v>
      </c>
      <c r="B396" s="110">
        <v>139</v>
      </c>
      <c r="C396" s="110">
        <v>0.73599999999999999</v>
      </c>
      <c r="E396" s="112">
        <v>42878</v>
      </c>
      <c r="N396" s="110" t="str">
        <f>IFERROR(INDEX('WetLitterbags placem_collection'!$A$3:$A$500,MATCH(A396,'WetLitterbags placem_collection'!$K$4:$K$500,0)),"")</f>
        <v/>
      </c>
      <c r="O396" s="110">
        <f>IFERROR(INDEX('WetLitterbags placem_collection'!$A$3:$A$500,MATCH(A396,'WetLitterbags placem_collection'!$O$4:$O$500,0)),"")</f>
        <v>138</v>
      </c>
      <c r="P396" s="110" t="str">
        <f>IFERROR(INDEX('WetLitterbags placem_collection'!$A$3:$A$500,MATCH(A396,'WetLitterbags placem_collection'!$M$4:$M$500,0)),"")</f>
        <v/>
      </c>
      <c r="Q396" s="110" t="str">
        <f>IFERROR(INDEX('WetLitterbags placem_collection'!$A$3:$A$500,MATCH(A396,'WetLitterbags placem_collection'!$Q$4:$Q$500,0)),"")</f>
        <v/>
      </c>
    </row>
    <row r="397" spans="1:17" ht="13.95" customHeight="1">
      <c r="A397" s="110" t="s">
        <v>1169</v>
      </c>
      <c r="B397" s="110">
        <v>104</v>
      </c>
      <c r="C397" s="110">
        <v>0.61</v>
      </c>
      <c r="E397" s="112">
        <v>42878</v>
      </c>
      <c r="N397" s="110">
        <f>IFERROR(INDEX('WetLitterbags placem_collection'!$A$3:$A$500,MATCH(A397,'WetLitterbags placem_collection'!$K$4:$K$500,0)),"")</f>
        <v>103</v>
      </c>
      <c r="O397" s="110" t="str">
        <f>IFERROR(INDEX('WetLitterbags placem_collection'!$A$3:$A$500,MATCH(A397,'WetLitterbags placem_collection'!$O$4:$O$500,0)),"")</f>
        <v/>
      </c>
      <c r="P397" s="110" t="str">
        <f>IFERROR(INDEX('WetLitterbags placem_collection'!$A$3:$A$500,MATCH(A397,'WetLitterbags placem_collection'!$M$4:$M$500,0)),"")</f>
        <v/>
      </c>
      <c r="Q397" s="110" t="str">
        <f>IFERROR(INDEX('WetLitterbags placem_collection'!$A$3:$A$500,MATCH(A397,'WetLitterbags placem_collection'!$Q$4:$Q$500,0)),"")</f>
        <v/>
      </c>
    </row>
    <row r="398" spans="1:17" ht="13.95" customHeight="1">
      <c r="A398" s="179" t="s">
        <v>1168</v>
      </c>
      <c r="B398" s="110" t="s">
        <v>2077</v>
      </c>
      <c r="C398" s="110">
        <v>0.56669999999999998</v>
      </c>
      <c r="D398" s="110" t="s">
        <v>2115</v>
      </c>
      <c r="E398" s="112">
        <v>43119</v>
      </c>
      <c r="N398" s="110" t="str">
        <f>IFERROR(INDEX('WetLitterbags placem_collection'!$A$3:$A$500,MATCH(A398,'WetLitterbags placem_collection'!$K$4:$K$500,0)),"")</f>
        <v/>
      </c>
      <c r="O398" s="110">
        <f>IFERROR(INDEX('WetLitterbags placem_collection'!$A$3:$A$500,MATCH(A398,'WetLitterbags placem_collection'!$O$4:$O$500,0)),"")</f>
        <v>109</v>
      </c>
      <c r="P398" s="110" t="str">
        <f>IFERROR(INDEX('WetLitterbags placem_collection'!$A$3:$A$500,MATCH(A398,'WetLitterbags placem_collection'!$M$4:$M$500,0)),"")</f>
        <v/>
      </c>
      <c r="Q398" s="110" t="str">
        <f>IFERROR(INDEX('WetLitterbags placem_collection'!$A$3:$A$500,MATCH(A398,'WetLitterbags placem_collection'!$Q$4:$Q$500,0)),"")</f>
        <v/>
      </c>
    </row>
    <row r="399" spans="1:17" ht="13.95" customHeight="1">
      <c r="A399" s="110" t="s">
        <v>1167</v>
      </c>
      <c r="B399" s="110">
        <v>108</v>
      </c>
      <c r="C399" s="110">
        <v>0.67200000000000004</v>
      </c>
      <c r="E399" s="112">
        <v>42881</v>
      </c>
      <c r="N399" s="110">
        <f>IFERROR(INDEX('WetLitterbags placem_collection'!$A$3:$A$500,MATCH(A399,'WetLitterbags placem_collection'!$K$4:$K$500,0)),"")</f>
        <v>107</v>
      </c>
      <c r="O399" s="110" t="str">
        <f>IFERROR(INDEX('WetLitterbags placem_collection'!$A$3:$A$500,MATCH(A399,'WetLitterbags placem_collection'!$O$4:$O$500,0)),"")</f>
        <v/>
      </c>
      <c r="P399" s="110" t="str">
        <f>IFERROR(INDEX('WetLitterbags placem_collection'!$A$3:$A$500,MATCH(A399,'WetLitterbags placem_collection'!$M$4:$M$500,0)),"")</f>
        <v/>
      </c>
      <c r="Q399" s="110" t="str">
        <f>IFERROR(INDEX('WetLitterbags placem_collection'!$A$3:$A$500,MATCH(A399,'WetLitterbags placem_collection'!$Q$4:$Q$500,0)),"")</f>
        <v/>
      </c>
    </row>
    <row r="400" spans="1:17" ht="13.95" customHeight="1">
      <c r="A400" s="110" t="s">
        <v>1166</v>
      </c>
      <c r="B400" s="110">
        <v>158</v>
      </c>
      <c r="C400" s="110">
        <v>0.629</v>
      </c>
      <c r="D400" s="110" t="s">
        <v>2050</v>
      </c>
      <c r="E400" s="112">
        <v>42879</v>
      </c>
      <c r="N400" s="110" t="str">
        <f>IFERROR(INDEX('WetLitterbags placem_collection'!$A$3:$A$500,MATCH(A400,'WetLitterbags placem_collection'!$K$4:$K$500,0)),"")</f>
        <v/>
      </c>
      <c r="O400" s="110">
        <f>IFERROR(INDEX('WetLitterbags placem_collection'!$A$3:$A$500,MATCH(A400,'WetLitterbags placem_collection'!$O$4:$O$500,0)),"")</f>
        <v>157</v>
      </c>
      <c r="P400" s="110" t="str">
        <f>IFERROR(INDEX('WetLitterbags placem_collection'!$A$3:$A$500,MATCH(A400,'WetLitterbags placem_collection'!$M$4:$M$500,0)),"")</f>
        <v/>
      </c>
      <c r="Q400" s="110" t="str">
        <f>IFERROR(INDEX('WetLitterbags placem_collection'!$A$3:$A$500,MATCH(A400,'WetLitterbags placem_collection'!$Q$4:$Q$500,0)),"")</f>
        <v/>
      </c>
    </row>
    <row r="401" spans="1:17" ht="13.95" customHeight="1">
      <c r="A401" s="110" t="s">
        <v>1165</v>
      </c>
      <c r="B401" s="110" t="s">
        <v>2077</v>
      </c>
      <c r="C401" s="110">
        <v>0.5756</v>
      </c>
      <c r="E401" s="112">
        <v>43122</v>
      </c>
      <c r="N401" s="110" t="str">
        <f>IFERROR(INDEX('WetLitterbags placem_collection'!$A$3:$A$500,MATCH(A401,'WetLitterbags placem_collection'!$K$4:$K$500,0)),"")</f>
        <v/>
      </c>
      <c r="O401" s="110">
        <f>IFERROR(INDEX('WetLitterbags placem_collection'!$A$3:$A$500,MATCH(A401,'WetLitterbags placem_collection'!$O$4:$O$500,0)),"")</f>
        <v>152</v>
      </c>
      <c r="P401" s="110" t="str">
        <f>IFERROR(INDEX('WetLitterbags placem_collection'!$A$3:$A$500,MATCH(A401,'WetLitterbags placem_collection'!$M$4:$M$500,0)),"")</f>
        <v/>
      </c>
      <c r="Q401" s="110" t="str">
        <f>IFERROR(INDEX('WetLitterbags placem_collection'!$A$3:$A$500,MATCH(A401,'WetLitterbags placem_collection'!$Q$4:$Q$500,0)),"")</f>
        <v/>
      </c>
    </row>
    <row r="402" spans="1:17" ht="13.95" customHeight="1">
      <c r="A402" s="110" t="s">
        <v>1164</v>
      </c>
      <c r="B402" s="110" t="s">
        <v>2077</v>
      </c>
      <c r="C402" s="110">
        <v>0.58389999999999997</v>
      </c>
      <c r="E402" s="112">
        <v>43119</v>
      </c>
      <c r="N402" s="110" t="str">
        <f>IFERROR(INDEX('WetLitterbags placem_collection'!$A$3:$A$500,MATCH(A402,'WetLitterbags placem_collection'!$K$4:$K$500,0)),"")</f>
        <v/>
      </c>
      <c r="O402" s="110">
        <f>IFERROR(INDEX('WetLitterbags placem_collection'!$A$3:$A$500,MATCH(A402,'WetLitterbags placem_collection'!$O$4:$O$500,0)),"")</f>
        <v>195</v>
      </c>
      <c r="P402" s="110" t="str">
        <f>IFERROR(INDEX('WetLitterbags placem_collection'!$A$3:$A$500,MATCH(A402,'WetLitterbags placem_collection'!$M$4:$M$500,0)),"")</f>
        <v/>
      </c>
      <c r="Q402" s="110" t="str">
        <f>IFERROR(INDEX('WetLitterbags placem_collection'!$A$3:$A$500,MATCH(A402,'WetLitterbags placem_collection'!$Q$4:$Q$500,0)),"")</f>
        <v/>
      </c>
    </row>
    <row r="403" spans="1:17" ht="13.95" customHeight="1">
      <c r="A403" s="110" t="s">
        <v>1163</v>
      </c>
      <c r="B403" s="110">
        <v>109</v>
      </c>
      <c r="C403" s="110">
        <v>0.64870000000000005</v>
      </c>
      <c r="E403" s="112">
        <v>43125</v>
      </c>
      <c r="N403" s="110" t="str">
        <f>IFERROR(INDEX('WetLitterbags placem_collection'!$A$3:$A$500,MATCH(A403,'WetLitterbags placem_collection'!$K$4:$K$500,0)),"")</f>
        <v/>
      </c>
      <c r="O403" s="110">
        <f>IFERROR(INDEX('WetLitterbags placem_collection'!$A$3:$A$500,MATCH(A403,'WetLitterbags placem_collection'!$O$4:$O$500,0)),"")</f>
        <v>108</v>
      </c>
      <c r="P403" s="110" t="str">
        <f>IFERROR(INDEX('WetLitterbags placem_collection'!$A$3:$A$500,MATCH(A403,'WetLitterbags placem_collection'!$M$4:$M$500,0)),"")</f>
        <v/>
      </c>
      <c r="Q403" s="110" t="str">
        <f>IFERROR(INDEX('WetLitterbags placem_collection'!$A$3:$A$500,MATCH(A403,'WetLitterbags placem_collection'!$Q$4:$Q$500,0)),"")</f>
        <v/>
      </c>
    </row>
    <row r="404" spans="1:17" ht="13.95" customHeight="1">
      <c r="A404" s="110" t="s">
        <v>1162</v>
      </c>
      <c r="B404" s="110">
        <v>129</v>
      </c>
      <c r="C404" s="110">
        <v>0.59440000000000004</v>
      </c>
      <c r="E404" s="112">
        <v>43125</v>
      </c>
      <c r="N404" s="110" t="str">
        <f>IFERROR(INDEX('WetLitterbags placem_collection'!$A$3:$A$500,MATCH(A404,'WetLitterbags placem_collection'!$K$4:$K$500,0)),"")</f>
        <v/>
      </c>
      <c r="O404" s="110">
        <f>IFERROR(INDEX('WetLitterbags placem_collection'!$A$3:$A$500,MATCH(A404,'WetLitterbags placem_collection'!$O$4:$O$500,0)),"")</f>
        <v>128</v>
      </c>
      <c r="P404" s="110" t="str">
        <f>IFERROR(INDEX('WetLitterbags placem_collection'!$A$3:$A$500,MATCH(A404,'WetLitterbags placem_collection'!$M$4:$M$500,0)),"")</f>
        <v/>
      </c>
      <c r="Q404" s="110" t="str">
        <f>IFERROR(INDEX('WetLitterbags placem_collection'!$A$3:$A$500,MATCH(A404,'WetLitterbags placem_collection'!$Q$4:$Q$500,0)),"")</f>
        <v/>
      </c>
    </row>
    <row r="405" spans="1:17" ht="13.95" customHeight="1">
      <c r="A405" s="110" t="s">
        <v>1161</v>
      </c>
      <c r="B405" s="110">
        <v>114</v>
      </c>
      <c r="C405" s="110">
        <v>0.65700000000000003</v>
      </c>
      <c r="E405" s="112">
        <v>42878</v>
      </c>
      <c r="N405" s="110" t="str">
        <f>IFERROR(INDEX('WetLitterbags placem_collection'!$A$3:$A$500,MATCH(A405,'WetLitterbags placem_collection'!$K$4:$K$500,0)),"")</f>
        <v/>
      </c>
      <c r="O405" s="110">
        <f>IFERROR(INDEX('WetLitterbags placem_collection'!$A$3:$A$500,MATCH(A405,'WetLitterbags placem_collection'!$O$4:$O$500,0)),"")</f>
        <v>113</v>
      </c>
      <c r="P405" s="110" t="str">
        <f>IFERROR(INDEX('WetLitterbags placem_collection'!$A$3:$A$500,MATCH(A405,'WetLitterbags placem_collection'!$M$4:$M$500,0)),"")</f>
        <v/>
      </c>
      <c r="Q405" s="110" t="str">
        <f>IFERROR(INDEX('WetLitterbags placem_collection'!$A$3:$A$500,MATCH(A405,'WetLitterbags placem_collection'!$Q$4:$Q$500,0)),"")</f>
        <v/>
      </c>
    </row>
    <row r="406" spans="1:17" ht="13.95" customHeight="1">
      <c r="A406" s="110" t="s">
        <v>1160</v>
      </c>
      <c r="B406" s="110">
        <v>157</v>
      </c>
      <c r="C406" s="110">
        <v>0.74099999999999999</v>
      </c>
      <c r="E406" s="112">
        <v>42879</v>
      </c>
      <c r="N406" s="110">
        <f>IFERROR(INDEX('WetLitterbags placem_collection'!$A$3:$A$500,MATCH(A406,'WetLitterbags placem_collection'!$K$4:$K$500,0)),"")</f>
        <v>156</v>
      </c>
      <c r="O406" s="110" t="str">
        <f>IFERROR(INDEX('WetLitterbags placem_collection'!$A$3:$A$500,MATCH(A406,'WetLitterbags placem_collection'!$O$4:$O$500,0)),"")</f>
        <v/>
      </c>
      <c r="P406" s="110" t="str">
        <f>IFERROR(INDEX('WetLitterbags placem_collection'!$A$3:$A$500,MATCH(A406,'WetLitterbags placem_collection'!$M$4:$M$500,0)),"")</f>
        <v/>
      </c>
      <c r="Q406" s="110" t="str">
        <f>IFERROR(INDEX('WetLitterbags placem_collection'!$A$3:$A$500,MATCH(A406,'WetLitterbags placem_collection'!$Q$4:$Q$500,0)),"")</f>
        <v/>
      </c>
    </row>
    <row r="407" spans="1:17" ht="13.95" customHeight="1">
      <c r="A407" s="110" t="s">
        <v>1159</v>
      </c>
      <c r="B407" s="110">
        <v>207</v>
      </c>
      <c r="C407" s="110">
        <v>0.70199999999999996</v>
      </c>
      <c r="E407" s="112">
        <v>42879</v>
      </c>
      <c r="N407" s="110" t="str">
        <f>IFERROR(INDEX('WetLitterbags placem_collection'!$A$3:$A$500,MATCH(A407,'WetLitterbags placem_collection'!$K$4:$K$500,0)),"")</f>
        <v/>
      </c>
      <c r="O407" s="110">
        <f>IFERROR(INDEX('WetLitterbags placem_collection'!$A$3:$A$500,MATCH(A407,'WetLitterbags placem_collection'!$O$4:$O$500,0)),"")</f>
        <v>205</v>
      </c>
      <c r="P407" s="110" t="str">
        <f>IFERROR(INDEX('WetLitterbags placem_collection'!$A$3:$A$500,MATCH(A407,'WetLitterbags placem_collection'!$M$4:$M$500,0)),"")</f>
        <v/>
      </c>
      <c r="Q407" s="110" t="str">
        <f>IFERROR(INDEX('WetLitterbags placem_collection'!$A$3:$A$500,MATCH(A407,'WetLitterbags placem_collection'!$Q$4:$Q$500,0)),"")</f>
        <v/>
      </c>
    </row>
    <row r="408" spans="1:17" ht="13.95" customHeight="1">
      <c r="A408" s="110" t="s">
        <v>1158</v>
      </c>
      <c r="B408" s="110">
        <v>102</v>
      </c>
      <c r="C408" s="110">
        <v>0.63100000000000001</v>
      </c>
      <c r="E408" s="112">
        <v>42881</v>
      </c>
      <c r="N408" s="110">
        <f>IFERROR(INDEX('WetLitterbags placem_collection'!$A$3:$A$500,MATCH(A408,'WetLitterbags placem_collection'!$K$4:$K$500,0)),"")</f>
        <v>101</v>
      </c>
      <c r="O408" s="110" t="str">
        <f>IFERROR(INDEX('WetLitterbags placem_collection'!$A$3:$A$500,MATCH(A408,'WetLitterbags placem_collection'!$O$4:$O$500,0)),"")</f>
        <v/>
      </c>
      <c r="P408" s="110" t="str">
        <f>IFERROR(INDEX('WetLitterbags placem_collection'!$A$3:$A$500,MATCH(A408,'WetLitterbags placem_collection'!$M$4:$M$500,0)),"")</f>
        <v/>
      </c>
      <c r="Q408" s="110" t="str">
        <f>IFERROR(INDEX('WetLitterbags placem_collection'!$A$3:$A$500,MATCH(A408,'WetLitterbags placem_collection'!$Q$4:$Q$500,0)),"")</f>
        <v/>
      </c>
    </row>
    <row r="409" spans="1:17" ht="13.95" customHeight="1">
      <c r="A409" s="110" t="s">
        <v>1157</v>
      </c>
      <c r="B409" s="110">
        <v>178</v>
      </c>
      <c r="C409" s="110">
        <v>0.60699999999999998</v>
      </c>
      <c r="D409" s="110" t="s">
        <v>2089</v>
      </c>
      <c r="E409" s="112">
        <v>43125</v>
      </c>
      <c r="N409" s="110" t="str">
        <f>IFERROR(INDEX('WetLitterbags placem_collection'!$A$3:$A$500,MATCH(A409,'WetLitterbags placem_collection'!$K$4:$K$500,0)),"")</f>
        <v/>
      </c>
      <c r="O409" s="110">
        <f>IFERROR(INDEX('WetLitterbags placem_collection'!$A$3:$A$500,MATCH(A409,'WetLitterbags placem_collection'!$O$4:$O$500,0)),"")</f>
        <v>177</v>
      </c>
      <c r="P409" s="110" t="str">
        <f>IFERROR(INDEX('WetLitterbags placem_collection'!$A$3:$A$500,MATCH(A409,'WetLitterbags placem_collection'!$M$4:$M$500,0)),"")</f>
        <v/>
      </c>
      <c r="Q409" s="110" t="str">
        <f>IFERROR(INDEX('WetLitterbags placem_collection'!$A$3:$A$500,MATCH(A409,'WetLitterbags placem_collection'!$Q$4:$Q$500,0)),"")</f>
        <v/>
      </c>
    </row>
    <row r="410" spans="1:17" ht="13.95" customHeight="1">
      <c r="A410" s="110" t="s">
        <v>1156</v>
      </c>
      <c r="B410" s="110">
        <v>144</v>
      </c>
      <c r="C410" s="110">
        <v>0.68200000000000005</v>
      </c>
      <c r="E410" s="112">
        <v>42881</v>
      </c>
      <c r="N410" s="110" t="str">
        <f>IFERROR(INDEX('WetLitterbags placem_collection'!$A$3:$A$500,MATCH(A410,'WetLitterbags placem_collection'!$K$4:$K$500,0)),"")</f>
        <v/>
      </c>
      <c r="O410" s="110">
        <f>IFERROR(INDEX('WetLitterbags placem_collection'!$A$3:$A$500,MATCH(A410,'WetLitterbags placem_collection'!$O$4:$O$500,0)),"")</f>
        <v>143</v>
      </c>
      <c r="P410" s="110" t="str">
        <f>IFERROR(INDEX('WetLitterbags placem_collection'!$A$3:$A$500,MATCH(A410,'WetLitterbags placem_collection'!$M$4:$M$500,0)),"")</f>
        <v/>
      </c>
      <c r="Q410" s="110" t="str">
        <f>IFERROR(INDEX('WetLitterbags placem_collection'!$A$3:$A$500,MATCH(A410,'WetLitterbags placem_collection'!$Q$4:$Q$500,0)),"")</f>
        <v/>
      </c>
    </row>
    <row r="411" spans="1:17" ht="13.95" customHeight="1">
      <c r="A411" s="110" t="s">
        <v>1155</v>
      </c>
      <c r="B411">
        <v>123</v>
      </c>
      <c r="C411" s="110">
        <v>0.878</v>
      </c>
      <c r="E411" s="112">
        <v>42879</v>
      </c>
      <c r="N411" s="110" t="str">
        <f>IFERROR(INDEX('WetLitterbags placem_collection'!$A$3:$A$500,MATCH(A411,'WetLitterbags placem_collection'!$K$4:$K$500,0)),"")</f>
        <v/>
      </c>
      <c r="O411" s="110">
        <f>IFERROR(INDEX('WetLitterbags placem_collection'!$A$3:$A$500,MATCH(A411,'WetLitterbags placem_collection'!$O$4:$O$500,0)),"")</f>
        <v>122</v>
      </c>
      <c r="P411" s="110" t="str">
        <f>IFERROR(INDEX('WetLitterbags placem_collection'!$A$3:$A$500,MATCH(A411,'WetLitterbags placem_collection'!$M$4:$M$500,0)),"")</f>
        <v/>
      </c>
      <c r="Q411" s="110" t="str">
        <f>IFERROR(INDEX('WetLitterbags placem_collection'!$A$3:$A$500,MATCH(A411,'WetLitterbags placem_collection'!$Q$4:$Q$500,0)),"")</f>
        <v/>
      </c>
    </row>
    <row r="412" spans="1:17" ht="13.95" customHeight="1">
      <c r="A412" s="110" t="s">
        <v>1154</v>
      </c>
      <c r="B412" s="110">
        <v>183</v>
      </c>
      <c r="C412" s="110">
        <v>0.61</v>
      </c>
      <c r="E412" s="112">
        <v>42881</v>
      </c>
      <c r="N412" s="110" t="str">
        <f>IFERROR(INDEX('WetLitterbags placem_collection'!$A$3:$A$500,MATCH(A412,'WetLitterbags placem_collection'!$K$4:$K$500,0)),"")</f>
        <v/>
      </c>
      <c r="O412" s="110">
        <f>IFERROR(INDEX('WetLitterbags placem_collection'!$A$3:$A$500,MATCH(A412,'WetLitterbags placem_collection'!$O$4:$O$500,0)),"")</f>
        <v>182</v>
      </c>
      <c r="P412" s="110" t="str">
        <f>IFERROR(INDEX('WetLitterbags placem_collection'!$A$3:$A$500,MATCH(A412,'WetLitterbags placem_collection'!$M$4:$M$500,0)),"")</f>
        <v/>
      </c>
      <c r="Q412" s="110" t="str">
        <f>IFERROR(INDEX('WetLitterbags placem_collection'!$A$3:$A$500,MATCH(A412,'WetLitterbags placem_collection'!$Q$4:$Q$500,0)),"")</f>
        <v/>
      </c>
    </row>
    <row r="413" spans="1:17" ht="13.95" customHeight="1">
      <c r="A413" s="110" t="s">
        <v>1153</v>
      </c>
      <c r="B413" s="110">
        <v>116</v>
      </c>
      <c r="C413" s="110">
        <v>0.67869999999999997</v>
      </c>
      <c r="E413" s="112">
        <v>43125</v>
      </c>
      <c r="N413" s="110">
        <f>IFERROR(INDEX('WetLitterbags placem_collection'!$A$3:$A$500,MATCH(A413,'WetLitterbags placem_collection'!$K$4:$K$500,0)),"")</f>
        <v>115</v>
      </c>
      <c r="O413" s="110" t="str">
        <f>IFERROR(INDEX('WetLitterbags placem_collection'!$A$3:$A$500,MATCH(A413,'WetLitterbags placem_collection'!$O$4:$O$500,0)),"")</f>
        <v/>
      </c>
      <c r="P413" s="110" t="str">
        <f>IFERROR(INDEX('WetLitterbags placem_collection'!$A$3:$A$500,MATCH(A413,'WetLitterbags placem_collection'!$M$4:$M$500,0)),"")</f>
        <v/>
      </c>
      <c r="Q413" s="110" t="str">
        <f>IFERROR(INDEX('WetLitterbags placem_collection'!$A$3:$A$500,MATCH(A413,'WetLitterbags placem_collection'!$Q$4:$Q$500,0)),"")</f>
        <v/>
      </c>
    </row>
    <row r="414" spans="1:17" ht="13.95" customHeight="1">
      <c r="A414" s="110" t="s">
        <v>1152</v>
      </c>
      <c r="B414" s="110">
        <v>127</v>
      </c>
      <c r="C414" s="110">
        <v>0.59099999999999997</v>
      </c>
      <c r="E414" s="112">
        <v>42879</v>
      </c>
      <c r="N414" s="110">
        <f>IFERROR(INDEX('WetLitterbags placem_collection'!$A$3:$A$500,MATCH(A414,'WetLitterbags placem_collection'!$K$4:$K$500,0)),"")</f>
        <v>126</v>
      </c>
      <c r="O414" s="110" t="str">
        <f>IFERROR(INDEX('WetLitterbags placem_collection'!$A$3:$A$500,MATCH(A414,'WetLitterbags placem_collection'!$O$4:$O$500,0)),"")</f>
        <v/>
      </c>
      <c r="P414" s="110" t="str">
        <f>IFERROR(INDEX('WetLitterbags placem_collection'!$A$3:$A$500,MATCH(A414,'WetLitterbags placem_collection'!$M$4:$M$500,0)),"")</f>
        <v/>
      </c>
      <c r="Q414" s="110" t="str">
        <f>IFERROR(INDEX('WetLitterbags placem_collection'!$A$3:$A$500,MATCH(A414,'WetLitterbags placem_collection'!$Q$4:$Q$500,0)),"")</f>
        <v/>
      </c>
    </row>
    <row r="415" spans="1:17" ht="13.95" customHeight="1">
      <c r="A415" s="110" t="s">
        <v>1151</v>
      </c>
      <c r="B415" s="110">
        <v>112</v>
      </c>
      <c r="C415" s="110">
        <v>0.71899999999999997</v>
      </c>
      <c r="D415" s="110" t="s">
        <v>2071</v>
      </c>
      <c r="E415" s="112">
        <v>42878</v>
      </c>
      <c r="N415" s="110">
        <f>IFERROR(INDEX('WetLitterbags placem_collection'!$A$3:$A$500,MATCH(A415,'WetLitterbags placem_collection'!$K$4:$K$500,0)),"")</f>
        <v>111</v>
      </c>
      <c r="O415" s="110" t="str">
        <f>IFERROR(INDEX('WetLitterbags placem_collection'!$A$3:$A$500,MATCH(A415,'WetLitterbags placem_collection'!$O$4:$O$500,0)),"")</f>
        <v/>
      </c>
      <c r="P415" s="110" t="str">
        <f>IFERROR(INDEX('WetLitterbags placem_collection'!$A$3:$A$500,MATCH(A415,'WetLitterbags placem_collection'!$M$4:$M$500,0)),"")</f>
        <v/>
      </c>
      <c r="Q415" s="110" t="str">
        <f>IFERROR(INDEX('WetLitterbags placem_collection'!$A$3:$A$500,MATCH(A415,'WetLitterbags placem_collection'!$Q$4:$Q$500,0)),"")</f>
        <v/>
      </c>
    </row>
    <row r="416" spans="1:17" ht="13.95" customHeight="1">
      <c r="A416" s="179" t="s">
        <v>1150</v>
      </c>
      <c r="B416" s="110">
        <v>141</v>
      </c>
      <c r="C416">
        <v>1.5369999999999999</v>
      </c>
      <c r="E416" s="112">
        <v>42878</v>
      </c>
      <c r="N416" s="110">
        <f>IFERROR(INDEX('WetLitterbags placem_collection'!$A$3:$A$500,MATCH(A416,'WetLitterbags placem_collection'!$K$4:$K$500,0)),"")</f>
        <v>140</v>
      </c>
      <c r="O416" s="110" t="str">
        <f>IFERROR(INDEX('WetLitterbags placem_collection'!$A$3:$A$500,MATCH(A416,'WetLitterbags placem_collection'!$O$4:$O$500,0)),"")</f>
        <v/>
      </c>
      <c r="P416" s="110" t="str">
        <f>IFERROR(INDEX('WetLitterbags placem_collection'!$A$3:$A$500,MATCH(A416,'WetLitterbags placem_collection'!$M$4:$M$500,0)),"")</f>
        <v/>
      </c>
      <c r="Q416" s="110" t="str">
        <f>IFERROR(INDEX('WetLitterbags placem_collection'!$A$3:$A$500,MATCH(A416,'WetLitterbags placem_collection'!$Q$4:$Q$500,0)),"")</f>
        <v/>
      </c>
    </row>
    <row r="417" spans="1:17" ht="13.95" customHeight="1">
      <c r="A417" s="110" t="s">
        <v>1149</v>
      </c>
      <c r="B417" s="110">
        <v>117</v>
      </c>
      <c r="C417" s="110">
        <v>0.621</v>
      </c>
      <c r="E417" s="112">
        <v>42878</v>
      </c>
      <c r="N417" s="110" t="str">
        <f>IFERROR(INDEX('WetLitterbags placem_collection'!$A$3:$A$500,MATCH(A417,'WetLitterbags placem_collection'!$K$4:$K$500,0)),"")</f>
        <v/>
      </c>
      <c r="O417" s="110">
        <f>IFERROR(INDEX('WetLitterbags placem_collection'!$A$3:$A$500,MATCH(A417,'WetLitterbags placem_collection'!$O$4:$O$500,0)),"")</f>
        <v>116</v>
      </c>
      <c r="P417" s="110" t="str">
        <f>IFERROR(INDEX('WetLitterbags placem_collection'!$A$3:$A$500,MATCH(A417,'WetLitterbags placem_collection'!$M$4:$M$500,0)),"")</f>
        <v/>
      </c>
      <c r="Q417" s="110" t="str">
        <f>IFERROR(INDEX('WetLitterbags placem_collection'!$A$3:$A$500,MATCH(A417,'WetLitterbags placem_collection'!$Q$4:$Q$500,0)),"")</f>
        <v/>
      </c>
    </row>
    <row r="418" spans="1:17" ht="13.95" customHeight="1">
      <c r="A418" s="184" t="s">
        <v>1148</v>
      </c>
      <c r="B418" s="110">
        <v>145</v>
      </c>
      <c r="C418" s="110">
        <v>0.79200000000000004</v>
      </c>
      <c r="E418" s="112">
        <v>42878</v>
      </c>
      <c r="N418" s="110">
        <f>IFERROR(INDEX('WetLitterbags placem_collection'!$A$3:$A$500,MATCH(A418,'WetLitterbags placem_collection'!$K$4:$K$500,0)),"")</f>
        <v>144</v>
      </c>
      <c r="O418" s="110" t="str">
        <f>IFERROR(INDEX('WetLitterbags placem_collection'!$A$3:$A$500,MATCH(A418,'WetLitterbags placem_collection'!$O$4:$O$500,0)),"")</f>
        <v/>
      </c>
      <c r="P418" s="110" t="str">
        <f>IFERROR(INDEX('WetLitterbags placem_collection'!$A$3:$A$500,MATCH(A418,'WetLitterbags placem_collection'!$M$4:$M$500,0)),"")</f>
        <v/>
      </c>
      <c r="Q418" s="110" t="str">
        <f>IFERROR(INDEX('WetLitterbags placem_collection'!$A$3:$A$500,MATCH(A418,'WetLitterbags placem_collection'!$Q$4:$Q$500,0)),"")</f>
        <v/>
      </c>
    </row>
    <row r="419" spans="1:17" ht="13.95" customHeight="1">
      <c r="A419" s="110" t="s">
        <v>2461</v>
      </c>
      <c r="B419" s="110">
        <v>173</v>
      </c>
      <c r="C419" s="110">
        <v>7.1999999999999995E-2</v>
      </c>
      <c r="D419" s="110" t="s">
        <v>2062</v>
      </c>
      <c r="E419" s="112">
        <v>42879</v>
      </c>
      <c r="N419" s="110" t="str">
        <f>IFERROR(INDEX('WetLitterbags placem_collection'!$A$3:$A$500,MATCH(A419,'WetLitterbags placem_collection'!$K$4:$K$500,0)),"")</f>
        <v/>
      </c>
      <c r="O419" s="110" t="str">
        <f>IFERROR(INDEX('WetLitterbags placem_collection'!$A$3:$A$500,MATCH(A419,'WetLitterbags placem_collection'!$O$4:$O$500,0)),"")</f>
        <v/>
      </c>
      <c r="P419" s="110" t="str">
        <f>IFERROR(INDEX('WetLitterbags placem_collection'!$A$3:$A$500,MATCH(A419,'WetLitterbags placem_collection'!$M$4:$M$500,0)),"")</f>
        <v/>
      </c>
      <c r="Q419" s="110" t="str">
        <f>IFERROR(INDEX('WetLitterbags placem_collection'!$A$3:$A$500,MATCH(A419,'WetLitterbags placem_collection'!$Q$4:$Q$500,0)),"")</f>
        <v/>
      </c>
    </row>
    <row r="420" spans="1:17" ht="13.95" customHeight="1">
      <c r="A420" s="113" t="s">
        <v>2054</v>
      </c>
      <c r="B420" s="113">
        <v>142</v>
      </c>
      <c r="C420" s="113">
        <v>1.0640000000000001</v>
      </c>
      <c r="D420" s="113" t="s">
        <v>2053</v>
      </c>
      <c r="E420" s="112">
        <v>42881</v>
      </c>
      <c r="J420" s="113"/>
      <c r="L420" s="113"/>
      <c r="N420" s="110" t="str">
        <f>IFERROR(INDEX('WetLitterbags placem_collection'!$A$3:$A$500,MATCH(A420,'WetLitterbags placem_collection'!$K$4:$K$500,0)),"")</f>
        <v/>
      </c>
      <c r="O420" s="110" t="str">
        <f>IFERROR(INDEX('WetLitterbags placem_collection'!$A$3:$A$500,MATCH(A420,'WetLitterbags placem_collection'!$O$4:$O$500,0)),"")</f>
        <v/>
      </c>
      <c r="P420" s="110" t="str">
        <f>IFERROR(INDEX('WetLitterbags placem_collection'!$A$3:$A$500,MATCH(A420,'WetLitterbags placem_collection'!$M$4:$M$500,0)),"")</f>
        <v/>
      </c>
      <c r="Q420" s="110" t="str">
        <f>IFERROR(INDEX('WetLitterbags placem_collection'!$A$3:$A$500,MATCH(A420,'WetLitterbags placem_collection'!$Q$4:$Q$500,0)),"")</f>
        <v/>
      </c>
    </row>
    <row r="421" spans="1:17" ht="13.95" customHeight="1">
      <c r="A421" s="110" t="s">
        <v>1140</v>
      </c>
      <c r="B421" s="110">
        <v>86</v>
      </c>
      <c r="C421" s="110">
        <v>0.38169999999999998</v>
      </c>
      <c r="D421" s="110" t="s">
        <v>2113</v>
      </c>
      <c r="E421" s="112">
        <v>43123</v>
      </c>
      <c r="N421" s="110" t="str">
        <f>IFERROR(INDEX('WetLitterbags placem_collection'!$A$3:$A$500,MATCH(A421,'WetLitterbags placem_collection'!$K$4:$K$500,0)),"")</f>
        <v/>
      </c>
      <c r="O421" s="110" t="str">
        <f>IFERROR(INDEX('WetLitterbags placem_collection'!$A$3:$A$500,MATCH(A421,'WetLitterbags placem_collection'!$O$4:$O$500,0)),"")</f>
        <v/>
      </c>
      <c r="P421" s="110">
        <f>IFERROR(INDEX('WetLitterbags placem_collection'!$A$3:$A$500,MATCH(A421,'WetLitterbags placem_collection'!$M$4:$M$500,0)),"")</f>
        <v>85</v>
      </c>
      <c r="Q421" s="110" t="str">
        <f>IFERROR(INDEX('WetLitterbags placem_collection'!$A$3:$A$500,MATCH(A421,'WetLitterbags placem_collection'!$Q$4:$Q$500,0)),"")</f>
        <v/>
      </c>
    </row>
    <row r="422" spans="1:17" ht="13.95" customHeight="1">
      <c r="A422" s="110" t="s">
        <v>1131</v>
      </c>
      <c r="B422" s="110" t="s">
        <v>2077</v>
      </c>
      <c r="C422" s="110">
        <f>1.5348+0.0339</f>
        <v>1.5687</v>
      </c>
      <c r="D422" s="110" t="s">
        <v>2122</v>
      </c>
      <c r="E422" s="112">
        <v>43122</v>
      </c>
      <c r="N422" s="110" t="str">
        <f>IFERROR(INDEX('WetLitterbags placem_collection'!$A$3:$A$500,MATCH(A422,'WetLitterbags placem_collection'!$K$4:$K$500,0)),"")</f>
        <v/>
      </c>
      <c r="O422" s="110" t="str">
        <f>IFERROR(INDEX('WetLitterbags placem_collection'!$A$3:$A$500,MATCH(A422,'WetLitterbags placem_collection'!$O$4:$O$500,0)),"")</f>
        <v/>
      </c>
      <c r="P422" s="110" t="str">
        <f>IFERROR(INDEX('WetLitterbags placem_collection'!$A$3:$A$500,MATCH(A422,'WetLitterbags placem_collection'!$M$4:$M$500,0)),"")</f>
        <v/>
      </c>
      <c r="Q422" s="110">
        <f>IFERROR(INDEX('WetLitterbags placem_collection'!$A$3:$A$500,MATCH(A422,'WetLitterbags placem_collection'!$Q$4:$Q$500,0)),"")</f>
        <v>100</v>
      </c>
    </row>
    <row r="423" spans="1:17" ht="13.95" customHeight="1">
      <c r="A423" s="110" t="s">
        <v>1041</v>
      </c>
      <c r="B423" s="110" t="s">
        <v>2077</v>
      </c>
      <c r="C423" s="110">
        <v>1.7222999999999999</v>
      </c>
      <c r="E423" s="112">
        <v>43119</v>
      </c>
      <c r="N423" s="110" t="str">
        <f>IFERROR(INDEX('WetLitterbags placem_collection'!$A$3:$A$500,MATCH(A423,'WetLitterbags placem_collection'!$K$4:$K$500,0)),"")</f>
        <v/>
      </c>
      <c r="O423" s="110" t="str">
        <f>IFERROR(INDEX('WetLitterbags placem_collection'!$A$3:$A$500,MATCH(A423,'WetLitterbags placem_collection'!$O$4:$O$500,0)),"")</f>
        <v/>
      </c>
      <c r="P423" s="110" t="str">
        <f>IFERROR(INDEX('WetLitterbags placem_collection'!$A$3:$A$500,MATCH(A423,'WetLitterbags placem_collection'!$M$4:$M$500,0)),"")</f>
        <v/>
      </c>
      <c r="Q423" s="110">
        <f>IFERROR(INDEX('WetLitterbags placem_collection'!$A$3:$A$500,MATCH(A423,'WetLitterbags placem_collection'!$Q$4:$Q$500,0)),"")</f>
        <v>77</v>
      </c>
    </row>
    <row r="424" spans="1:17" ht="13.95" customHeight="1">
      <c r="A424" s="110" t="s">
        <v>1040</v>
      </c>
      <c r="B424" s="110" t="s">
        <v>2077</v>
      </c>
      <c r="C424" s="110">
        <v>1.5383</v>
      </c>
      <c r="E424" s="112">
        <v>43122</v>
      </c>
      <c r="N424" s="110" t="str">
        <f>IFERROR(INDEX('WetLitterbags placem_collection'!$A$3:$A$500,MATCH(A424,'WetLitterbags placem_collection'!$K$4:$K$500,0)),"")</f>
        <v/>
      </c>
      <c r="O424" s="110" t="str">
        <f>IFERROR(INDEX('WetLitterbags placem_collection'!$A$3:$A$500,MATCH(A424,'WetLitterbags placem_collection'!$O$4:$O$500,0)),"")</f>
        <v/>
      </c>
      <c r="P424" s="110" t="str">
        <f>IFERROR(INDEX('WetLitterbags placem_collection'!$A$3:$A$500,MATCH(A424,'WetLitterbags placem_collection'!$M$4:$M$500,0)),"")</f>
        <v/>
      </c>
      <c r="Q424" s="110">
        <f>IFERROR(INDEX('WetLitterbags placem_collection'!$A$3:$A$500,MATCH(A424,'WetLitterbags placem_collection'!$Q$4:$Q$500,0)),"")</f>
        <v>8</v>
      </c>
    </row>
    <row r="425" spans="1:17" ht="13.95" customHeight="1">
      <c r="A425" s="110" t="s">
        <v>1038</v>
      </c>
      <c r="B425" s="110" t="s">
        <v>2077</v>
      </c>
      <c r="C425" s="110">
        <v>1.4296</v>
      </c>
      <c r="E425" s="112">
        <v>43116</v>
      </c>
      <c r="N425" s="110" t="str">
        <f>IFERROR(INDEX('WetLitterbags placem_collection'!$A$3:$A$500,MATCH(A425,'WetLitterbags placem_collection'!$K$4:$K$500,0)),"")</f>
        <v/>
      </c>
      <c r="O425" s="110" t="str">
        <f>IFERROR(INDEX('WetLitterbags placem_collection'!$A$3:$A$500,MATCH(A425,'WetLitterbags placem_collection'!$O$4:$O$500,0)),"")</f>
        <v/>
      </c>
      <c r="P425" s="110" t="str">
        <f>IFERROR(INDEX('WetLitterbags placem_collection'!$A$3:$A$500,MATCH(A425,'WetLitterbags placem_collection'!$M$4:$M$500,0)),"")</f>
        <v/>
      </c>
      <c r="Q425" s="110">
        <f>IFERROR(INDEX('WetLitterbags placem_collection'!$A$3:$A$500,MATCH(A425,'WetLitterbags placem_collection'!$Q$4:$Q$500,0)),"")</f>
        <v>217</v>
      </c>
    </row>
    <row r="426" spans="1:17" ht="13.95" customHeight="1">
      <c r="A426" s="110" t="s">
        <v>1037</v>
      </c>
      <c r="B426" s="110" t="s">
        <v>2077</v>
      </c>
      <c r="C426" s="110">
        <v>1.4184000000000001</v>
      </c>
      <c r="E426" s="112">
        <v>43119</v>
      </c>
      <c r="N426" s="110" t="str">
        <f>IFERROR(INDEX('WetLitterbags placem_collection'!$A$3:$A$500,MATCH(A426,'WetLitterbags placem_collection'!$K$4:$K$500,0)),"")</f>
        <v/>
      </c>
      <c r="O426" s="110" t="str">
        <f>IFERROR(INDEX('WetLitterbags placem_collection'!$A$3:$A$500,MATCH(A426,'WetLitterbags placem_collection'!$O$4:$O$500,0)),"")</f>
        <v/>
      </c>
      <c r="P426" s="110" t="str">
        <f>IFERROR(INDEX('WetLitterbags placem_collection'!$A$3:$A$500,MATCH(A426,'WetLitterbags placem_collection'!$M$4:$M$500,0)),"")</f>
        <v/>
      </c>
      <c r="Q426" s="110">
        <f>IFERROR(INDEX('WetLitterbags placem_collection'!$A$3:$A$500,MATCH(A426,'WetLitterbags placem_collection'!$Q$4:$Q$500,0)),"")</f>
        <v>24</v>
      </c>
    </row>
    <row r="427" spans="1:17" ht="13.95" customHeight="1">
      <c r="A427" s="110" t="s">
        <v>1036</v>
      </c>
      <c r="B427" s="110">
        <v>173</v>
      </c>
      <c r="C427" s="110">
        <v>1.6919999999999999</v>
      </c>
      <c r="E427" s="112">
        <v>42879</v>
      </c>
      <c r="N427" s="110" t="str">
        <f>IFERROR(INDEX('WetLitterbags placem_collection'!$A$3:$A$500,MATCH(A427,'WetLitterbags placem_collection'!$K$4:$K$500,0)),"")</f>
        <v/>
      </c>
      <c r="O427" s="110" t="str">
        <f>IFERROR(INDEX('WetLitterbags placem_collection'!$A$3:$A$500,MATCH(A427,'WetLitterbags placem_collection'!$O$4:$O$500,0)),"")</f>
        <v/>
      </c>
      <c r="P427" s="110" t="str">
        <f>IFERROR(INDEX('WetLitterbags placem_collection'!$A$3:$A$500,MATCH(A427,'WetLitterbags placem_collection'!$M$4:$M$500,0)),"")</f>
        <v/>
      </c>
      <c r="Q427" s="110">
        <f>IFERROR(INDEX('WetLitterbags placem_collection'!$A$3:$A$500,MATCH(A427,'WetLitterbags placem_collection'!$Q$4:$Q$500,0)),"")</f>
        <v>172</v>
      </c>
    </row>
    <row r="428" spans="1:17" ht="13.95" customHeight="1">
      <c r="A428" s="110" t="s">
        <v>1034</v>
      </c>
      <c r="B428" s="110">
        <v>46</v>
      </c>
      <c r="C428" s="110">
        <v>1.5349999999999999</v>
      </c>
      <c r="E428" s="112">
        <v>42881</v>
      </c>
      <c r="N428" s="110" t="str">
        <f>IFERROR(INDEX('WetLitterbags placem_collection'!$A$3:$A$500,MATCH(A428,'WetLitterbags placem_collection'!$K$4:$K$500,0)),"")</f>
        <v/>
      </c>
      <c r="O428" s="110" t="str">
        <f>IFERROR(INDEX('WetLitterbags placem_collection'!$A$3:$A$500,MATCH(A428,'WetLitterbags placem_collection'!$O$4:$O$500,0)),"")</f>
        <v/>
      </c>
      <c r="P428" s="110" t="str">
        <f>IFERROR(INDEX('WetLitterbags placem_collection'!$A$3:$A$500,MATCH(A428,'WetLitterbags placem_collection'!$M$4:$M$500,0)),"")</f>
        <v/>
      </c>
      <c r="Q428" s="110">
        <f>IFERROR(INDEX('WetLitterbags placem_collection'!$A$3:$A$500,MATCH(A428,'WetLitterbags placem_collection'!$Q$4:$Q$500,0)),"")</f>
        <v>47</v>
      </c>
    </row>
    <row r="429" spans="1:17" ht="13.95" customHeight="1">
      <c r="A429" s="167" t="s">
        <v>1032</v>
      </c>
      <c r="B429" s="110">
        <v>33</v>
      </c>
      <c r="C429" s="110">
        <v>0.41499999999999998</v>
      </c>
      <c r="D429" s="110" t="s">
        <v>2052</v>
      </c>
      <c r="E429" s="112">
        <v>42881</v>
      </c>
      <c r="N429" s="110" t="str">
        <f>IFERROR(INDEX('WetLitterbags placem_collection'!$A$3:$A$500,MATCH(A429,'WetLitterbags placem_collection'!$K$4:$K$500,0)),"")</f>
        <v/>
      </c>
      <c r="O429" s="110" t="str">
        <f>IFERROR(INDEX('WetLitterbags placem_collection'!$A$3:$A$500,MATCH(A429,'WetLitterbags placem_collection'!$O$4:$O$500,0)),"")</f>
        <v/>
      </c>
      <c r="P429" s="110">
        <f>IFERROR(INDEX('WetLitterbags placem_collection'!$A$3:$A$500,MATCH(A429,'WetLitterbags placem_collection'!$M$4:$M$500,0)),"")</f>
        <v>32</v>
      </c>
      <c r="Q429" s="110" t="str">
        <f>IFERROR(INDEX('WetLitterbags placem_collection'!$A$3:$A$500,MATCH(A429,'WetLitterbags placem_collection'!$Q$4:$Q$500,0)),"")</f>
        <v/>
      </c>
    </row>
    <row r="430" spans="1:17" ht="13.95" customHeight="1">
      <c r="A430" s="110" t="s">
        <v>1130</v>
      </c>
      <c r="B430" s="110">
        <v>122</v>
      </c>
      <c r="C430" s="110">
        <v>1.25</v>
      </c>
      <c r="E430" s="112">
        <v>42878</v>
      </c>
      <c r="N430" s="110" t="str">
        <f>IFERROR(INDEX('WetLitterbags placem_collection'!$A$3:$A$500,MATCH(A430,'WetLitterbags placem_collection'!$K$4:$K$500,0)),"")</f>
        <v/>
      </c>
      <c r="O430" s="110" t="str">
        <f>IFERROR(INDEX('WetLitterbags placem_collection'!$A$3:$A$500,MATCH(A430,'WetLitterbags placem_collection'!$O$4:$O$500,0)),"")</f>
        <v/>
      </c>
      <c r="P430" s="110">
        <f>IFERROR(INDEX('WetLitterbags placem_collection'!$A$3:$A$500,MATCH(A430,'WetLitterbags placem_collection'!$M$4:$M$500,0)),"")</f>
        <v>121</v>
      </c>
      <c r="Q430" s="110" t="str">
        <f>IFERROR(INDEX('WetLitterbags placem_collection'!$A$3:$A$500,MATCH(A430,'WetLitterbags placem_collection'!$Q$4:$Q$500,0)),"")</f>
        <v/>
      </c>
    </row>
    <row r="431" spans="1:17" ht="13.95" customHeight="1">
      <c r="A431" s="110" t="s">
        <v>1031</v>
      </c>
      <c r="B431" s="110">
        <v>20</v>
      </c>
      <c r="C431" s="110">
        <v>1.6778999999999999</v>
      </c>
      <c r="E431" s="112">
        <v>43125</v>
      </c>
      <c r="N431" s="110" t="str">
        <f>IFERROR(INDEX('WetLitterbags placem_collection'!$A$3:$A$500,MATCH(A431,'WetLitterbags placem_collection'!$K$4:$K$500,0)),"")</f>
        <v/>
      </c>
      <c r="O431" s="110" t="str">
        <f>IFERROR(INDEX('WetLitterbags placem_collection'!$A$3:$A$500,MATCH(A431,'WetLitterbags placem_collection'!$O$4:$O$500,0)),"")</f>
        <v/>
      </c>
      <c r="P431" s="110" t="str">
        <f>IFERROR(INDEX('WetLitterbags placem_collection'!$A$3:$A$500,MATCH(A431,'WetLitterbags placem_collection'!$M$4:$M$500,0)),"")</f>
        <v/>
      </c>
      <c r="Q431" s="110">
        <f>IFERROR(INDEX('WetLitterbags placem_collection'!$A$3:$A$500,MATCH(A431,'WetLitterbags placem_collection'!$Q$4:$Q$500,0)),"")</f>
        <v>19</v>
      </c>
    </row>
    <row r="432" spans="1:17" ht="13.95" customHeight="1">
      <c r="A432" s="110" t="s">
        <v>1030</v>
      </c>
      <c r="B432" s="110">
        <v>213</v>
      </c>
      <c r="C432" s="110">
        <v>1.587</v>
      </c>
      <c r="E432" s="112">
        <v>42881</v>
      </c>
      <c r="N432" s="110" t="str">
        <f>IFERROR(INDEX('WetLitterbags placem_collection'!$A$3:$A$500,MATCH(A432,'WetLitterbags placem_collection'!$K$4:$K$500,0)),"")</f>
        <v/>
      </c>
      <c r="O432" s="110" t="str">
        <f>IFERROR(INDEX('WetLitterbags placem_collection'!$A$3:$A$500,MATCH(A432,'WetLitterbags placem_collection'!$O$4:$O$500,0)),"")</f>
        <v/>
      </c>
      <c r="P432" s="110" t="str">
        <f>IFERROR(INDEX('WetLitterbags placem_collection'!$A$3:$A$500,MATCH(A432,'WetLitterbags placem_collection'!$M$4:$M$500,0)),"")</f>
        <v/>
      </c>
      <c r="Q432" s="110">
        <f>IFERROR(INDEX('WetLitterbags placem_collection'!$A$3:$A$500,MATCH(A432,'WetLitterbags placem_collection'!$Q$4:$Q$500,0)),"")</f>
        <v>212</v>
      </c>
    </row>
    <row r="433" spans="1:17" ht="13.95" customHeight="1">
      <c r="A433" s="110" t="s">
        <v>1029</v>
      </c>
      <c r="B433" s="110" t="s">
        <v>2077</v>
      </c>
      <c r="C433" s="110">
        <v>1.3584000000000001</v>
      </c>
      <c r="E433" s="112">
        <v>43122</v>
      </c>
      <c r="N433" s="110" t="str">
        <f>IFERROR(INDEX('WetLitterbags placem_collection'!$A$3:$A$500,MATCH(A433,'WetLitterbags placem_collection'!$K$4:$K$500,0)),"")</f>
        <v/>
      </c>
      <c r="O433" s="110" t="str">
        <f>IFERROR(INDEX('WetLitterbags placem_collection'!$A$3:$A$500,MATCH(A433,'WetLitterbags placem_collection'!$O$4:$O$500,0)),"")</f>
        <v/>
      </c>
      <c r="P433" s="110">
        <f>IFERROR(INDEX('WetLitterbags placem_collection'!$A$3:$A$500,MATCH(A433,'WetLitterbags placem_collection'!$M$4:$M$500,0)),"")</f>
        <v>26</v>
      </c>
      <c r="Q433" s="110" t="str">
        <f>IFERROR(INDEX('WetLitterbags placem_collection'!$A$3:$A$500,MATCH(A433,'WetLitterbags placem_collection'!$Q$4:$Q$500,0)),"")</f>
        <v/>
      </c>
    </row>
    <row r="434" spans="1:17" ht="13.95" customHeight="1">
      <c r="A434" s="110" t="s">
        <v>1027</v>
      </c>
      <c r="B434" s="110">
        <v>40</v>
      </c>
      <c r="C434" s="110">
        <v>2.2269999999999999</v>
      </c>
      <c r="E434" s="112">
        <v>42881</v>
      </c>
      <c r="N434" s="110" t="str">
        <f>IFERROR(INDEX('WetLitterbags placem_collection'!$A$3:$A$500,MATCH(A434,'WetLitterbags placem_collection'!$K$4:$K$500,0)),"")</f>
        <v/>
      </c>
      <c r="O434" s="110" t="str">
        <f>IFERROR(INDEX('WetLitterbags placem_collection'!$A$3:$A$500,MATCH(A434,'WetLitterbags placem_collection'!$O$4:$O$500,0)),"")</f>
        <v/>
      </c>
      <c r="P434" s="110">
        <f>IFERROR(INDEX('WetLitterbags placem_collection'!$A$3:$A$500,MATCH(A434,'WetLitterbags placem_collection'!$M$4:$M$500,0)),"")</f>
        <v>39</v>
      </c>
      <c r="Q434" s="110" t="str">
        <f>IFERROR(INDEX('WetLitterbags placem_collection'!$A$3:$A$500,MATCH(A434,'WetLitterbags placem_collection'!$Q$4:$Q$500,0)),"")</f>
        <v/>
      </c>
    </row>
    <row r="435" spans="1:17" ht="13.95" customHeight="1">
      <c r="A435" s="110" t="s">
        <v>1026</v>
      </c>
      <c r="B435" s="110" t="s">
        <v>2077</v>
      </c>
      <c r="C435" s="110">
        <v>1.4075</v>
      </c>
      <c r="D435" s="110" t="s">
        <v>2127</v>
      </c>
      <c r="E435" s="112">
        <v>43122</v>
      </c>
      <c r="N435" s="110" t="str">
        <f>IFERROR(INDEX('WetLitterbags placem_collection'!$A$3:$A$500,MATCH(A435,'WetLitterbags placem_collection'!$K$4:$K$500,0)),"")</f>
        <v/>
      </c>
      <c r="O435" s="110" t="str">
        <f>IFERROR(INDEX('WetLitterbags placem_collection'!$A$3:$A$500,MATCH(A435,'WetLitterbags placem_collection'!$O$4:$O$500,0)),"")</f>
        <v/>
      </c>
      <c r="P435" s="110">
        <f>IFERROR(INDEX('WetLitterbags placem_collection'!$A$3:$A$500,MATCH(A435,'WetLitterbags placem_collection'!$M$4:$M$500,0)),"")</f>
        <v>3</v>
      </c>
      <c r="Q435" s="110" t="str">
        <f>IFERROR(INDEX('WetLitterbags placem_collection'!$A$3:$A$500,MATCH(A435,'WetLitterbags placem_collection'!$Q$4:$Q$500,0)),"")</f>
        <v/>
      </c>
    </row>
    <row r="436" spans="1:17" ht="13.95" customHeight="1">
      <c r="A436" s="110" t="s">
        <v>1024</v>
      </c>
      <c r="B436" s="110">
        <v>43</v>
      </c>
      <c r="C436" s="110">
        <v>1.6155999999999999</v>
      </c>
      <c r="E436" s="112">
        <v>43123</v>
      </c>
      <c r="N436" s="110" t="str">
        <f>IFERROR(INDEX('WetLitterbags placem_collection'!$A$3:$A$500,MATCH(A436,'WetLitterbags placem_collection'!$K$4:$K$500,0)),"")</f>
        <v/>
      </c>
      <c r="O436" s="110" t="str">
        <f>IFERROR(INDEX('WetLitterbags placem_collection'!$A$3:$A$500,MATCH(A436,'WetLitterbags placem_collection'!$O$4:$O$500,0)),"")</f>
        <v/>
      </c>
      <c r="P436" s="110" t="str">
        <f>IFERROR(INDEX('WetLitterbags placem_collection'!$A$3:$A$500,MATCH(A436,'WetLitterbags placem_collection'!$M$4:$M$500,0)),"")</f>
        <v/>
      </c>
      <c r="Q436" s="110">
        <f>IFERROR(INDEX('WetLitterbags placem_collection'!$A$3:$A$500,MATCH(A436,'WetLitterbags placem_collection'!$Q$4:$Q$500,0)),"")</f>
        <v>42</v>
      </c>
    </row>
    <row r="437" spans="1:17" ht="13.95" customHeight="1">
      <c r="A437" s="110" t="s">
        <v>1022</v>
      </c>
      <c r="B437" s="110">
        <v>62</v>
      </c>
      <c r="C437" s="110">
        <f>3.3076-1.6702</f>
        <v>1.6374</v>
      </c>
      <c r="D437" s="167" t="s">
        <v>2464</v>
      </c>
      <c r="E437" s="112">
        <v>43125</v>
      </c>
      <c r="N437" s="110" t="str">
        <f>IFERROR(INDEX('WetLitterbags placem_collection'!$A$3:$A$500,MATCH(A437,'WetLitterbags placem_collection'!$K$4:$K$500,0)),"")</f>
        <v/>
      </c>
      <c r="O437" s="110" t="str">
        <f>IFERROR(INDEX('WetLitterbags placem_collection'!$A$3:$A$500,MATCH(A437,'WetLitterbags placem_collection'!$O$4:$O$500,0)),"")</f>
        <v/>
      </c>
      <c r="P437" s="110">
        <f>IFERROR(INDEX('WetLitterbags placem_collection'!$A$3:$A$500,MATCH(A437,'WetLitterbags placem_collection'!$M$4:$M$500,0)),"")</f>
        <v>61</v>
      </c>
      <c r="Q437" s="110" t="str">
        <f>IFERROR(INDEX('WetLitterbags placem_collection'!$A$3:$A$500,MATCH(A437,'WetLitterbags placem_collection'!$Q$4:$Q$500,0)),"")</f>
        <v/>
      </c>
    </row>
    <row r="438" spans="1:17" ht="13.95" customHeight="1">
      <c r="A438" s="110" t="s">
        <v>1129</v>
      </c>
      <c r="B438" s="110" t="s">
        <v>2077</v>
      </c>
      <c r="C438" s="110">
        <v>0.17</v>
      </c>
      <c r="D438" s="110" t="s">
        <v>2145</v>
      </c>
      <c r="E438" s="112">
        <v>43119</v>
      </c>
      <c r="N438" s="110" t="str">
        <f>IFERROR(INDEX('WetLitterbags placem_collection'!$A$3:$A$500,MATCH(A438,'WetLitterbags placem_collection'!$K$4:$K$500,0)),"")</f>
        <v/>
      </c>
      <c r="O438" s="110" t="str">
        <f>IFERROR(INDEX('WetLitterbags placem_collection'!$A$3:$A$500,MATCH(A438,'WetLitterbags placem_collection'!$O$4:$O$500,0)),"")</f>
        <v/>
      </c>
      <c r="P438" s="110">
        <f>IFERROR(INDEX('WetLitterbags placem_collection'!$A$3:$A$500,MATCH(A438,'WetLitterbags placem_collection'!$M$4:$M$500,0)),"")</f>
        <v>92</v>
      </c>
      <c r="Q438" s="110" t="str">
        <f>IFERROR(INDEX('WetLitterbags placem_collection'!$A$3:$A$500,MATCH(A438,'WetLitterbags placem_collection'!$Q$4:$Q$500,0)),"")</f>
        <v/>
      </c>
    </row>
    <row r="439" spans="1:17" ht="13.95" customHeight="1">
      <c r="A439" s="110" t="s">
        <v>1021</v>
      </c>
      <c r="B439">
        <v>59</v>
      </c>
      <c r="C439" s="110">
        <v>1.4690000000000001</v>
      </c>
      <c r="D439" s="110" t="s">
        <v>2132</v>
      </c>
      <c r="E439" s="112">
        <v>42878</v>
      </c>
      <c r="N439" s="110" t="str">
        <f>IFERROR(INDEX('WetLitterbags placem_collection'!$A$3:$A$500,MATCH(A439,'WetLitterbags placem_collection'!$K$4:$K$500,0)),"")</f>
        <v/>
      </c>
      <c r="O439" s="110" t="str">
        <f>IFERROR(INDEX('WetLitterbags placem_collection'!$A$3:$A$500,MATCH(A439,'WetLitterbags placem_collection'!$O$4:$O$500,0)),"")</f>
        <v/>
      </c>
      <c r="P439" s="110" t="str">
        <f>IFERROR(INDEX('WetLitterbags placem_collection'!$A$3:$A$500,MATCH(A439,'WetLitterbags placem_collection'!$M$4:$M$500,0)),"")</f>
        <v/>
      </c>
      <c r="Q439" s="110">
        <f>IFERROR(INDEX('WetLitterbags placem_collection'!$A$3:$A$500,MATCH(A439,'WetLitterbags placem_collection'!$Q$4:$Q$500,0)),"")</f>
        <v>58</v>
      </c>
    </row>
    <row r="440" spans="1:17" ht="13.95" customHeight="1">
      <c r="A440" s="110" t="s">
        <v>1020</v>
      </c>
      <c r="B440" s="110" t="s">
        <v>2077</v>
      </c>
      <c r="C440" s="110">
        <v>1.3073999999999999</v>
      </c>
      <c r="E440" s="112">
        <v>43122</v>
      </c>
      <c r="N440" s="110" t="str">
        <f>IFERROR(INDEX('WetLitterbags placem_collection'!$A$3:$A$500,MATCH(A440,'WetLitterbags placem_collection'!$K$4:$K$500,0)),"")</f>
        <v/>
      </c>
      <c r="O440" s="110" t="str">
        <f>IFERROR(INDEX('WetLitterbags placem_collection'!$A$3:$A$500,MATCH(A440,'WetLitterbags placem_collection'!$O$4:$O$500,0)),"")</f>
        <v/>
      </c>
      <c r="P440" s="110">
        <f>IFERROR(INDEX('WetLitterbags placem_collection'!$A$3:$A$500,MATCH(A440,'WetLitterbags placem_collection'!$M$4:$M$500,0)),"")</f>
        <v>1</v>
      </c>
      <c r="Q440" s="110" t="str">
        <f>IFERROR(INDEX('WetLitterbags placem_collection'!$A$3:$A$500,MATCH(A440,'WetLitterbags placem_collection'!$Q$4:$Q$500,0)),"")</f>
        <v/>
      </c>
    </row>
    <row r="441" spans="1:17" ht="13.95" customHeight="1">
      <c r="A441" t="s">
        <v>1019</v>
      </c>
      <c r="B441" s="110">
        <v>74</v>
      </c>
      <c r="C441" s="110">
        <v>0.35499999999999998</v>
      </c>
      <c r="D441" s="110" t="s">
        <v>2075</v>
      </c>
      <c r="E441" s="112">
        <v>42879</v>
      </c>
      <c r="N441" s="110" t="str">
        <f>IFERROR(INDEX('WetLitterbags placem_collection'!$A$3:$A$500,MATCH(A441,'WetLitterbags placem_collection'!$K$4:$K$500,0)),"")</f>
        <v/>
      </c>
      <c r="O441" s="110" t="str">
        <f>IFERROR(INDEX('WetLitterbags placem_collection'!$A$3:$A$500,MATCH(A441,'WetLitterbags placem_collection'!$O$4:$O$500,0)),"")</f>
        <v/>
      </c>
      <c r="P441" s="110">
        <f>IFERROR(INDEX('WetLitterbags placem_collection'!$A$3:$A$500,MATCH(A441,'WetLitterbags placem_collection'!$M$4:$M$500,0)),"")</f>
        <v>73</v>
      </c>
      <c r="Q441" s="110" t="str">
        <f>IFERROR(INDEX('WetLitterbags placem_collection'!$A$3:$A$500,MATCH(A441,'WetLitterbags placem_collection'!$Q$4:$Q$500,0)),"")</f>
        <v/>
      </c>
    </row>
    <row r="442" spans="1:17" ht="13.95" customHeight="1">
      <c r="A442" s="110" t="s">
        <v>1017</v>
      </c>
      <c r="B442" s="110">
        <v>161</v>
      </c>
      <c r="C442" s="110">
        <v>1.6863999999999999</v>
      </c>
      <c r="E442" s="112">
        <v>43125</v>
      </c>
      <c r="N442" s="110" t="str">
        <f>IFERROR(INDEX('WetLitterbags placem_collection'!$A$3:$A$500,MATCH(A442,'WetLitterbags placem_collection'!$K$4:$K$500,0)),"")</f>
        <v/>
      </c>
      <c r="O442" s="110" t="str">
        <f>IFERROR(INDEX('WetLitterbags placem_collection'!$A$3:$A$500,MATCH(A442,'WetLitterbags placem_collection'!$O$4:$O$500,0)),"")</f>
        <v/>
      </c>
      <c r="P442" s="110">
        <f>IFERROR(INDEX('WetLitterbags placem_collection'!$A$3:$A$500,MATCH(A442,'WetLitterbags placem_collection'!$M$4:$M$500,0)),"")</f>
        <v>160</v>
      </c>
      <c r="Q442" s="110" t="str">
        <f>IFERROR(INDEX('WetLitterbags placem_collection'!$A$3:$A$500,MATCH(A442,'WetLitterbags placem_collection'!$Q$4:$Q$500,0)),"")</f>
        <v/>
      </c>
    </row>
    <row r="443" spans="1:17" ht="13.95" customHeight="1">
      <c r="A443" s="110" t="s">
        <v>1016</v>
      </c>
      <c r="B443" s="110" t="s">
        <v>2077</v>
      </c>
      <c r="C443" s="110">
        <v>1.2266999999999999</v>
      </c>
      <c r="E443" s="112">
        <v>43116</v>
      </c>
      <c r="N443" s="110" t="str">
        <f>IFERROR(INDEX('WetLitterbags placem_collection'!$A$3:$A$500,MATCH(A443,'WetLitterbags placem_collection'!$K$4:$K$500,0)),"")</f>
        <v/>
      </c>
      <c r="O443" s="110" t="str">
        <f>IFERROR(INDEX('WetLitterbags placem_collection'!$A$3:$A$500,MATCH(A443,'WetLitterbags placem_collection'!$O$4:$O$500,0)),"")</f>
        <v/>
      </c>
      <c r="P443" s="110">
        <f>IFERROR(INDEX('WetLitterbags placem_collection'!$A$3:$A$500,MATCH(A443,'WetLitterbags placem_collection'!$M$4:$M$500,0)),"")</f>
        <v>192</v>
      </c>
      <c r="Q443" s="110" t="str">
        <f>IFERROR(INDEX('WetLitterbags placem_collection'!$A$3:$A$500,MATCH(A443,'WetLitterbags placem_collection'!$Q$4:$Q$500,0)),"")</f>
        <v/>
      </c>
    </row>
    <row r="444" spans="1:17" ht="13.95" customHeight="1">
      <c r="A444" s="110" t="s">
        <v>1015</v>
      </c>
      <c r="B444" s="110" t="s">
        <v>2057</v>
      </c>
      <c r="C444" s="110">
        <v>1.6180000000000001</v>
      </c>
      <c r="E444" s="112">
        <v>42881</v>
      </c>
      <c r="N444" s="110" t="str">
        <f>IFERROR(INDEX('WetLitterbags placem_collection'!$A$3:$A$500,MATCH(A444,'WetLitterbags placem_collection'!$K$4:$K$500,0)),"")</f>
        <v/>
      </c>
      <c r="O444" s="110" t="str">
        <f>IFERROR(INDEX('WetLitterbags placem_collection'!$A$3:$A$500,MATCH(A444,'WetLitterbags placem_collection'!$O$4:$O$500,0)),"")</f>
        <v/>
      </c>
      <c r="P444" s="110">
        <f>IFERROR(INDEX('WetLitterbags placem_collection'!$A$3:$A$500,MATCH(A444,'WetLitterbags placem_collection'!$M$4:$M$500,0)),"")</f>
        <v>35</v>
      </c>
      <c r="Q444" s="110" t="str">
        <f>IFERROR(INDEX('WetLitterbags placem_collection'!$A$3:$A$500,MATCH(A444,'WetLitterbags placem_collection'!$Q$4:$Q$500,0)),"")</f>
        <v/>
      </c>
    </row>
    <row r="445" spans="1:17" ht="13.95" customHeight="1">
      <c r="A445" s="167" t="s">
        <v>1013</v>
      </c>
      <c r="B445" s="110">
        <v>18</v>
      </c>
      <c r="C445" s="110">
        <v>1.79</v>
      </c>
      <c r="E445" s="112">
        <v>42879</v>
      </c>
      <c r="N445" s="110" t="str">
        <f>IFERROR(INDEX('WetLitterbags placem_collection'!$A$3:$A$500,MATCH(A445,'WetLitterbags placem_collection'!$K$4:$K$500,0)),"")</f>
        <v/>
      </c>
      <c r="O445" s="110" t="str">
        <f>IFERROR(INDEX('WetLitterbags placem_collection'!$A$3:$A$500,MATCH(A445,'WetLitterbags placem_collection'!$O$4:$O$500,0)),"")</f>
        <v/>
      </c>
      <c r="P445" s="110">
        <f>IFERROR(INDEX('WetLitterbags placem_collection'!$A$3:$A$500,MATCH(A445,'WetLitterbags placem_collection'!$M$4:$M$500,0)),"")</f>
        <v>17</v>
      </c>
      <c r="Q445" s="110" t="str">
        <f>IFERROR(INDEX('WetLitterbags placem_collection'!$A$3:$A$500,MATCH(A445,'WetLitterbags placem_collection'!$Q$4:$Q$500,0)),"")</f>
        <v/>
      </c>
    </row>
    <row r="446" spans="1:17" ht="13.95" customHeight="1">
      <c r="A446" t="s">
        <v>1012</v>
      </c>
      <c r="B446" s="110">
        <v>68</v>
      </c>
      <c r="C446" s="110">
        <v>1.885</v>
      </c>
      <c r="E446" s="112">
        <v>42879</v>
      </c>
      <c r="N446" s="110" t="str">
        <f>IFERROR(INDEX('WetLitterbags placem_collection'!$A$3:$A$500,MATCH(A446,'WetLitterbags placem_collection'!$K$4:$K$500,0)),"")</f>
        <v/>
      </c>
      <c r="O446" s="110" t="str">
        <f>IFERROR(INDEX('WetLitterbags placem_collection'!$A$3:$A$500,MATCH(A446,'WetLitterbags placem_collection'!$O$4:$O$500,0)),"")</f>
        <v/>
      </c>
      <c r="P446" s="110">
        <f>IFERROR(INDEX('WetLitterbags placem_collection'!$A$3:$A$500,MATCH(A446,'WetLitterbags placem_collection'!$M$4:$M$500,0)),"")</f>
        <v>67</v>
      </c>
      <c r="Q446" s="110" t="str">
        <f>IFERROR(INDEX('WetLitterbags placem_collection'!$A$3:$A$500,MATCH(A446,'WetLitterbags placem_collection'!$Q$4:$Q$500,0)),"")</f>
        <v/>
      </c>
    </row>
    <row r="447" spans="1:17" ht="13.95" customHeight="1">
      <c r="A447" s="110" t="s">
        <v>1011</v>
      </c>
      <c r="B447" s="110">
        <v>212</v>
      </c>
      <c r="C447" s="110">
        <v>1.6712</v>
      </c>
      <c r="E447" s="112">
        <v>43123</v>
      </c>
      <c r="N447" s="110" t="str">
        <f>IFERROR(INDEX('WetLitterbags placem_collection'!$A$3:$A$500,MATCH(A447,'WetLitterbags placem_collection'!$K$4:$K$500,0)),"")</f>
        <v/>
      </c>
      <c r="O447" s="110" t="str">
        <f>IFERROR(INDEX('WetLitterbags placem_collection'!$A$3:$A$500,MATCH(A447,'WetLitterbags placem_collection'!$O$4:$O$500,0)),"")</f>
        <v/>
      </c>
      <c r="P447" s="110" t="str">
        <f>IFERROR(INDEX('WetLitterbags placem_collection'!$A$3:$A$500,MATCH(A447,'WetLitterbags placem_collection'!$M$4:$M$500,0)),"")</f>
        <v/>
      </c>
      <c r="Q447" s="110">
        <f>IFERROR(INDEX('WetLitterbags placem_collection'!$A$3:$A$500,MATCH(A447,'WetLitterbags placem_collection'!$Q$4:$Q$500,0)),"")</f>
        <v>211</v>
      </c>
    </row>
    <row r="448" spans="1:17" ht="13.95" customHeight="1">
      <c r="A448" s="110" t="s">
        <v>1009</v>
      </c>
      <c r="B448" s="110">
        <v>23</v>
      </c>
      <c r="C448" s="110">
        <v>1.5238</v>
      </c>
      <c r="E448" s="112">
        <v>43123</v>
      </c>
      <c r="N448" s="110" t="str">
        <f>IFERROR(INDEX('WetLitterbags placem_collection'!$A$3:$A$500,MATCH(A448,'WetLitterbags placem_collection'!$K$4:$K$500,0)),"")</f>
        <v/>
      </c>
      <c r="O448" s="110" t="str">
        <f>IFERROR(INDEX('WetLitterbags placem_collection'!$A$3:$A$500,MATCH(A448,'WetLitterbags placem_collection'!$O$4:$O$500,0)),"")</f>
        <v/>
      </c>
      <c r="P448" s="110" t="str">
        <f>IFERROR(INDEX('WetLitterbags placem_collection'!$A$3:$A$500,MATCH(A448,'WetLitterbags placem_collection'!$M$4:$M$500,0)),"")</f>
        <v/>
      </c>
      <c r="Q448" s="110">
        <f>IFERROR(INDEX('WetLitterbags placem_collection'!$A$3:$A$500,MATCH(A448,'WetLitterbags placem_collection'!$Q$4:$Q$500,0)),"")</f>
        <v>22</v>
      </c>
    </row>
    <row r="449" spans="1:17" ht="13.95" customHeight="1">
      <c r="A449" s="110" t="s">
        <v>1008</v>
      </c>
      <c r="B449" s="110" t="s">
        <v>2077</v>
      </c>
      <c r="C449" s="110">
        <v>1.4104000000000001</v>
      </c>
      <c r="E449" s="112">
        <v>43122</v>
      </c>
      <c r="N449" s="110" t="str">
        <f>IFERROR(INDEX('WetLitterbags placem_collection'!$A$3:$A$500,MATCH(A449,'WetLitterbags placem_collection'!$K$4:$K$500,0)),"")</f>
        <v/>
      </c>
      <c r="O449" s="110" t="str">
        <f>IFERROR(INDEX('WetLitterbags placem_collection'!$A$3:$A$500,MATCH(A449,'WetLitterbags placem_collection'!$O$4:$O$500,0)),"")</f>
        <v/>
      </c>
      <c r="P449" s="110" t="str">
        <f>IFERROR(INDEX('WetLitterbags placem_collection'!$A$3:$A$500,MATCH(A449,'WetLitterbags placem_collection'!$M$4:$M$500,0)),"")</f>
        <v/>
      </c>
      <c r="Q449" s="110" t="str">
        <f>IFERROR(INDEX('WetLitterbags placem_collection'!$A$3:$A$500,MATCH(A449,'WetLitterbags placem_collection'!$Q$4:$Q$500,0)),"")</f>
        <v/>
      </c>
    </row>
    <row r="450" spans="1:17" ht="13.95" customHeight="1">
      <c r="A450" s="110" t="s">
        <v>1007</v>
      </c>
      <c r="B450" s="110">
        <v>83</v>
      </c>
      <c r="C450" s="110">
        <v>0.98799999999999999</v>
      </c>
      <c r="D450" s="110" t="s">
        <v>2058</v>
      </c>
      <c r="E450" s="112">
        <v>42881</v>
      </c>
      <c r="N450" s="110" t="str">
        <f>IFERROR(INDEX('WetLitterbags placem_collection'!$A$3:$A$500,MATCH(A450,'WetLitterbags placem_collection'!$K$4:$K$500,0)),"")</f>
        <v/>
      </c>
      <c r="O450" s="110" t="str">
        <f>IFERROR(INDEX('WetLitterbags placem_collection'!$A$3:$A$500,MATCH(A450,'WetLitterbags placem_collection'!$O$4:$O$500,0)),"")</f>
        <v/>
      </c>
      <c r="P450" s="110">
        <f>IFERROR(INDEX('WetLitterbags placem_collection'!$A$3:$A$500,MATCH(A450,'WetLitterbags placem_collection'!$M$4:$M$500,0)),"")</f>
        <v>82</v>
      </c>
      <c r="Q450" s="110" t="str">
        <f>IFERROR(INDEX('WetLitterbags placem_collection'!$A$3:$A$500,MATCH(A450,'WetLitterbags placem_collection'!$Q$4:$Q$500,0)),"")</f>
        <v/>
      </c>
    </row>
    <row r="451" spans="1:17" ht="13.95" customHeight="1">
      <c r="A451" s="110" t="s">
        <v>1006</v>
      </c>
      <c r="B451" s="110">
        <v>202</v>
      </c>
      <c r="C451" s="110">
        <v>1.6419999999999999</v>
      </c>
      <c r="E451" s="112">
        <v>42881</v>
      </c>
      <c r="N451" s="110" t="str">
        <f>IFERROR(INDEX('WetLitterbags placem_collection'!$A$3:$A$500,MATCH(A451,'WetLitterbags placem_collection'!$K$4:$K$500,0)),"")</f>
        <v/>
      </c>
      <c r="O451" s="110" t="str">
        <f>IFERROR(INDEX('WetLitterbags placem_collection'!$A$3:$A$500,MATCH(A451,'WetLitterbags placem_collection'!$O$4:$O$500,0)),"")</f>
        <v/>
      </c>
      <c r="P451" s="110">
        <f>IFERROR(INDEX('WetLitterbags placem_collection'!$A$3:$A$500,MATCH(A451,'WetLitterbags placem_collection'!$M$4:$M$500,0)),"")</f>
        <v>201</v>
      </c>
      <c r="Q451" s="110" t="str">
        <f>IFERROR(INDEX('WetLitterbags placem_collection'!$A$3:$A$500,MATCH(A451,'WetLitterbags placem_collection'!$Q$4:$Q$500,0)),"")</f>
        <v/>
      </c>
    </row>
    <row r="452" spans="1:17" ht="13.95" customHeight="1">
      <c r="A452" s="110" t="s">
        <v>1005</v>
      </c>
      <c r="B452" s="110" t="s">
        <v>2077</v>
      </c>
      <c r="C452" s="110">
        <v>1.6368</v>
      </c>
      <c r="E452" s="112">
        <v>43116</v>
      </c>
      <c r="N452" s="110" t="str">
        <f>IFERROR(INDEX('WetLitterbags placem_collection'!$A$3:$A$500,MATCH(A452,'WetLitterbags placem_collection'!$K$4:$K$500,0)),"")</f>
        <v/>
      </c>
      <c r="O452" s="110" t="str">
        <f>IFERROR(INDEX('WetLitterbags placem_collection'!$A$3:$A$500,MATCH(A452,'WetLitterbags placem_collection'!$O$4:$O$500,0)),"")</f>
        <v/>
      </c>
      <c r="P452" s="110" t="str">
        <f>IFERROR(INDEX('WetLitterbags placem_collection'!$A$3:$A$500,MATCH(A452,'WetLitterbags placem_collection'!$M$4:$M$500,0)),"")</f>
        <v/>
      </c>
      <c r="Q452" s="110">
        <f>IFERROR(INDEX('WetLitterbags placem_collection'!$A$3:$A$500,MATCH(A452,'WetLitterbags placem_collection'!$Q$4:$Q$500,0)),"")</f>
        <v>92</v>
      </c>
    </row>
    <row r="453" spans="1:17" ht="13.95" customHeight="1">
      <c r="A453" s="110" t="s">
        <v>1004</v>
      </c>
      <c r="B453" s="110">
        <v>77</v>
      </c>
      <c r="C453" s="110">
        <v>1.698</v>
      </c>
      <c r="E453" s="112">
        <v>42879</v>
      </c>
      <c r="N453" s="110" t="str">
        <f>IFERROR(INDEX('WetLitterbags placem_collection'!$A$3:$A$500,MATCH(A453,'WetLitterbags placem_collection'!$K$4:$K$500,0)),"")</f>
        <v/>
      </c>
      <c r="O453" s="110" t="str">
        <f>IFERROR(INDEX('WetLitterbags placem_collection'!$A$3:$A$500,MATCH(A453,'WetLitterbags placem_collection'!$O$4:$O$500,0)),"")</f>
        <v/>
      </c>
      <c r="P453" s="110">
        <f>IFERROR(INDEX('WetLitterbags placem_collection'!$A$3:$A$500,MATCH(A453,'WetLitterbags placem_collection'!$M$4:$M$500,0)),"")</f>
        <v>76</v>
      </c>
      <c r="Q453" s="110" t="str">
        <f>IFERROR(INDEX('WetLitterbags placem_collection'!$A$3:$A$500,MATCH(A453,'WetLitterbags placem_collection'!$Q$4:$Q$500,0)),"")</f>
        <v/>
      </c>
    </row>
    <row r="454" spans="1:17" ht="13.95" customHeight="1">
      <c r="A454" t="s">
        <v>1003</v>
      </c>
      <c r="B454" s="110">
        <v>74</v>
      </c>
      <c r="C454" s="110">
        <v>1.6850000000000001</v>
      </c>
      <c r="D454" s="110" t="s">
        <v>2074</v>
      </c>
      <c r="E454" s="112">
        <v>42879</v>
      </c>
      <c r="N454" s="110" t="str">
        <f>IFERROR(INDEX('WetLitterbags placem_collection'!$A$3:$A$500,MATCH(A454,'WetLitterbags placem_collection'!$K$4:$K$500,0)),"")</f>
        <v/>
      </c>
      <c r="O454" s="110" t="str">
        <f>IFERROR(INDEX('WetLitterbags placem_collection'!$A$3:$A$500,MATCH(A454,'WetLitterbags placem_collection'!$O$4:$O$500,0)),"")</f>
        <v/>
      </c>
      <c r="P454" s="110" t="str">
        <f>IFERROR(INDEX('WetLitterbags placem_collection'!$A$3:$A$500,MATCH(A454,'WetLitterbags placem_collection'!$M$4:$M$500,0)),"")</f>
        <v/>
      </c>
      <c r="Q454" s="110">
        <f>IFERROR(INDEX('WetLitterbags placem_collection'!$A$3:$A$500,MATCH(A454,'WetLitterbags placem_collection'!$Q$4:$Q$500,0)),"")</f>
        <v>73</v>
      </c>
    </row>
    <row r="455" spans="1:17" ht="13.95" customHeight="1">
      <c r="A455" s="110" t="s">
        <v>1002</v>
      </c>
      <c r="B455" s="110" t="s">
        <v>2077</v>
      </c>
      <c r="C455" s="110">
        <v>1.6255999999999999</v>
      </c>
      <c r="E455" s="112">
        <v>43116</v>
      </c>
      <c r="N455" s="110" t="str">
        <f>IFERROR(INDEX('WetLitterbags placem_collection'!$A$3:$A$500,MATCH(A455,'WetLitterbags placem_collection'!$K$4:$K$500,0)),"")</f>
        <v/>
      </c>
      <c r="O455" s="110" t="str">
        <f>IFERROR(INDEX('WetLitterbags placem_collection'!$A$3:$A$500,MATCH(A455,'WetLitterbags placem_collection'!$O$4:$O$500,0)),"")</f>
        <v/>
      </c>
      <c r="P455" s="110" t="str">
        <f>IFERROR(INDEX('WetLitterbags placem_collection'!$A$3:$A$500,MATCH(A455,'WetLitterbags placem_collection'!$M$4:$M$500,0)),"")</f>
        <v/>
      </c>
      <c r="Q455" s="110">
        <f>IFERROR(INDEX('WetLitterbags placem_collection'!$A$3:$A$500,MATCH(A455,'WetLitterbags placem_collection'!$Q$4:$Q$500,0)),"")</f>
        <v>203</v>
      </c>
    </row>
    <row r="456" spans="1:17" ht="13.95" customHeight="1">
      <c r="A456" s="110" t="s">
        <v>1127</v>
      </c>
      <c r="B456" s="110" t="s">
        <v>2077</v>
      </c>
      <c r="C456" s="110">
        <v>1.5603</v>
      </c>
      <c r="E456" s="112">
        <v>43116</v>
      </c>
      <c r="N456" s="110" t="str">
        <f>IFERROR(INDEX('WetLitterbags placem_collection'!$A$3:$A$500,MATCH(A456,'WetLitterbags placem_collection'!$K$4:$K$500,0)),"")</f>
        <v/>
      </c>
      <c r="O456" s="110" t="str">
        <f>IFERROR(INDEX('WetLitterbags placem_collection'!$A$3:$A$500,MATCH(A456,'WetLitterbags placem_collection'!$O$4:$O$500,0)),"")</f>
        <v/>
      </c>
      <c r="P456" s="110" t="str">
        <f>IFERROR(INDEX('WetLitterbags placem_collection'!$A$3:$A$500,MATCH(A456,'WetLitterbags placem_collection'!$M$4:$M$500,0)),"")</f>
        <v/>
      </c>
      <c r="Q456" s="110">
        <f>IFERROR(INDEX('WetLitterbags placem_collection'!$A$3:$A$500,MATCH(A456,'WetLitterbags placem_collection'!$Q$4:$Q$500,0)),"")</f>
        <v>71</v>
      </c>
    </row>
    <row r="457" spans="1:17" ht="13.95" customHeight="1">
      <c r="A457" s="110" t="s">
        <v>1000</v>
      </c>
      <c r="B457" s="110" t="s">
        <v>2077</v>
      </c>
      <c r="C457" s="110">
        <v>1.3197000000000001</v>
      </c>
      <c r="E457" s="112">
        <v>43122</v>
      </c>
      <c r="N457" s="110" t="str">
        <f>IFERROR(INDEX('WetLitterbags placem_collection'!$A$3:$A$500,MATCH(A457,'WetLitterbags placem_collection'!$K$4:$K$500,0)),"")</f>
        <v/>
      </c>
      <c r="O457" s="110" t="str">
        <f>IFERROR(INDEX('WetLitterbags placem_collection'!$A$3:$A$500,MATCH(A457,'WetLitterbags placem_collection'!$O$4:$O$500,0)),"")</f>
        <v/>
      </c>
      <c r="P457" s="110">
        <f>IFERROR(INDEX('WetLitterbags placem_collection'!$A$3:$A$500,MATCH(A457,'WetLitterbags placem_collection'!$M$4:$M$500,0)),"")</f>
        <v>30</v>
      </c>
      <c r="Q457" s="110" t="str">
        <f>IFERROR(INDEX('WetLitterbags placem_collection'!$A$3:$A$500,MATCH(A457,'WetLitterbags placem_collection'!$Q$4:$Q$500,0)),"")</f>
        <v/>
      </c>
    </row>
    <row r="458" spans="1:17" ht="13.95" customHeight="1">
      <c r="A458" s="168" t="s">
        <v>999</v>
      </c>
      <c r="B458" s="110">
        <v>209</v>
      </c>
      <c r="C458" s="110">
        <v>1.5780000000000001</v>
      </c>
      <c r="E458" s="112">
        <v>42878</v>
      </c>
      <c r="N458" s="110" t="str">
        <f>IFERROR(INDEX('WetLitterbags placem_collection'!$A$3:$A$500,MATCH(A458,'WetLitterbags placem_collection'!$K$4:$K$500,0)),"")</f>
        <v/>
      </c>
      <c r="O458" s="110" t="str">
        <f>IFERROR(INDEX('WetLitterbags placem_collection'!$A$3:$A$500,MATCH(A458,'WetLitterbags placem_collection'!$O$4:$O$500,0)),"")</f>
        <v/>
      </c>
      <c r="P458" s="110" t="str">
        <f>IFERROR(INDEX('WetLitterbags placem_collection'!$A$3:$A$500,MATCH(A458,'WetLitterbags placem_collection'!$M$4:$M$500,0)),"")</f>
        <v/>
      </c>
      <c r="Q458" s="110">
        <f>IFERROR(INDEX('WetLitterbags placem_collection'!$A$3:$A$500,MATCH(A458,'WetLitterbags placem_collection'!$Q$4:$Q$500,0)),"")</f>
        <v>208</v>
      </c>
    </row>
    <row r="459" spans="1:17" ht="13.95" customHeight="1">
      <c r="A459" s="110" t="s">
        <v>998</v>
      </c>
      <c r="B459" s="110">
        <v>61</v>
      </c>
      <c r="C459" s="110">
        <v>1.581</v>
      </c>
      <c r="E459" s="112">
        <v>42878</v>
      </c>
      <c r="N459" s="110" t="str">
        <f>IFERROR(INDEX('WetLitterbags placem_collection'!$A$3:$A$500,MATCH(A459,'WetLitterbags placem_collection'!$K$4:$K$500,0)),"")</f>
        <v/>
      </c>
      <c r="O459" s="110" t="str">
        <f>IFERROR(INDEX('WetLitterbags placem_collection'!$A$3:$A$500,MATCH(A459,'WetLitterbags placem_collection'!$O$4:$O$500,0)),"")</f>
        <v/>
      </c>
      <c r="P459" s="110" t="str">
        <f>IFERROR(INDEX('WetLitterbags placem_collection'!$A$3:$A$500,MATCH(A459,'WetLitterbags placem_collection'!$M$4:$M$500,0)),"")</f>
        <v/>
      </c>
      <c r="Q459" s="110">
        <f>IFERROR(INDEX('WetLitterbags placem_collection'!$A$3:$A$500,MATCH(A459,'WetLitterbags placem_collection'!$Q$4:$Q$500,0)),"")</f>
        <v>60</v>
      </c>
    </row>
    <row r="460" spans="1:17" ht="13.95" customHeight="1">
      <c r="A460" s="110" t="s">
        <v>997</v>
      </c>
      <c r="B460" s="110">
        <v>24</v>
      </c>
      <c r="C460" s="110">
        <v>1.6077999999999999</v>
      </c>
      <c r="E460" s="112">
        <v>43116</v>
      </c>
      <c r="N460" s="110" t="str">
        <f>IFERROR(INDEX('WetLitterbags placem_collection'!$A$3:$A$500,MATCH(A460,'WetLitterbags placem_collection'!$K$4:$K$500,0)),"")</f>
        <v/>
      </c>
      <c r="O460" s="110" t="str">
        <f>IFERROR(INDEX('WetLitterbags placem_collection'!$A$3:$A$500,MATCH(A460,'WetLitterbags placem_collection'!$O$4:$O$500,0)),"")</f>
        <v/>
      </c>
      <c r="P460" s="110">
        <f>IFERROR(INDEX('WetLitterbags placem_collection'!$A$3:$A$500,MATCH(A460,'WetLitterbags placem_collection'!$M$4:$M$500,0)),"")</f>
        <v>23</v>
      </c>
      <c r="Q460" s="110" t="str">
        <f>IFERROR(INDEX('WetLitterbags placem_collection'!$A$3:$A$500,MATCH(A460,'WetLitterbags placem_collection'!$Q$4:$Q$500,0)),"")</f>
        <v/>
      </c>
    </row>
    <row r="461" spans="1:17" ht="13.95" customHeight="1">
      <c r="A461" s="110" t="s">
        <v>996</v>
      </c>
      <c r="B461" s="110" t="s">
        <v>2077</v>
      </c>
      <c r="C461" s="110">
        <v>1.5481</v>
      </c>
      <c r="E461" s="112">
        <v>43122</v>
      </c>
      <c r="N461" s="110" t="str">
        <f>IFERROR(INDEX('WetLitterbags placem_collection'!$A$3:$A$500,MATCH(A461,'WetLitterbags placem_collection'!$K$4:$K$500,0)),"")</f>
        <v/>
      </c>
      <c r="O461" s="110" t="str">
        <f>IFERROR(INDEX('WetLitterbags placem_collection'!$A$3:$A$500,MATCH(A461,'WetLitterbags placem_collection'!$O$4:$O$500,0)),"")</f>
        <v/>
      </c>
      <c r="P461" s="110">
        <f>IFERROR(INDEX('WetLitterbags placem_collection'!$A$3:$A$500,MATCH(A461,'WetLitterbags placem_collection'!$M$4:$M$500,0)),"")</f>
        <v>214</v>
      </c>
      <c r="Q461" s="110" t="str">
        <f>IFERROR(INDEX('WetLitterbags placem_collection'!$A$3:$A$500,MATCH(A461,'WetLitterbags placem_collection'!$Q$4:$Q$500,0)),"")</f>
        <v/>
      </c>
    </row>
    <row r="462" spans="1:17" ht="13.95" customHeight="1">
      <c r="A462" s="110" t="s">
        <v>995</v>
      </c>
      <c r="B462" s="110" t="s">
        <v>2057</v>
      </c>
      <c r="C462" s="110">
        <v>1.651</v>
      </c>
      <c r="E462" s="112">
        <v>42881</v>
      </c>
      <c r="N462" s="110" t="str">
        <f>IFERROR(INDEX('WetLitterbags placem_collection'!$A$3:$A$500,MATCH(A462,'WetLitterbags placem_collection'!$K$4:$K$500,0)),"")</f>
        <v/>
      </c>
      <c r="O462" s="110" t="str">
        <f>IFERROR(INDEX('WetLitterbags placem_collection'!$A$3:$A$500,MATCH(A462,'WetLitterbags placem_collection'!$O$4:$O$500,0)),"")</f>
        <v/>
      </c>
      <c r="P462" s="110">
        <f>IFERROR(INDEX('WetLitterbags placem_collection'!$A$3:$A$500,MATCH(A462,'WetLitterbags placem_collection'!$M$4:$M$500,0)),"")</f>
        <v>46</v>
      </c>
      <c r="Q462" s="110" t="str">
        <f>IFERROR(INDEX('WetLitterbags placem_collection'!$A$3:$A$500,MATCH(A462,'WetLitterbags placem_collection'!$Q$4:$Q$500,0)),"")</f>
        <v/>
      </c>
    </row>
    <row r="463" spans="1:17" ht="13.95" customHeight="1">
      <c r="A463" s="110" t="s">
        <v>994</v>
      </c>
      <c r="B463" s="110">
        <v>38</v>
      </c>
      <c r="C463" s="110">
        <v>1.381</v>
      </c>
      <c r="E463" s="112">
        <v>42881</v>
      </c>
      <c r="N463" s="110" t="str">
        <f>IFERROR(INDEX('WetLitterbags placem_collection'!$A$3:$A$500,MATCH(A463,'WetLitterbags placem_collection'!$K$4:$K$500,0)),"")</f>
        <v/>
      </c>
      <c r="O463" s="110" t="str">
        <f>IFERROR(INDEX('WetLitterbags placem_collection'!$A$3:$A$500,MATCH(A463,'WetLitterbags placem_collection'!$O$4:$O$500,0)),"")</f>
        <v/>
      </c>
      <c r="P463" s="110" t="str">
        <f>IFERROR(INDEX('WetLitterbags placem_collection'!$A$3:$A$500,MATCH(A463,'WetLitterbags placem_collection'!$M$4:$M$500,0)),"")</f>
        <v/>
      </c>
      <c r="Q463" s="110">
        <f>IFERROR(INDEX('WetLitterbags placem_collection'!$A$3:$A$500,MATCH(A463,'WetLitterbags placem_collection'!$Q$4:$Q$500,0)),"")</f>
        <v>37</v>
      </c>
    </row>
    <row r="464" spans="1:17" ht="13.95" customHeight="1">
      <c r="A464" s="110" t="s">
        <v>993</v>
      </c>
      <c r="B464" s="110" t="s">
        <v>2077</v>
      </c>
      <c r="C464" s="110">
        <v>1.5741000000000001</v>
      </c>
      <c r="E464" s="112">
        <v>43122</v>
      </c>
      <c r="N464" s="110" t="str">
        <f>IFERROR(INDEX('WetLitterbags placem_collection'!$A$3:$A$500,MATCH(A464,'WetLitterbags placem_collection'!$K$4:$K$500,0)),"")</f>
        <v/>
      </c>
      <c r="O464" s="110" t="str">
        <f>IFERROR(INDEX('WetLitterbags placem_collection'!$A$3:$A$500,MATCH(A464,'WetLitterbags placem_collection'!$O$4:$O$500,0)),"")</f>
        <v/>
      </c>
      <c r="P464" s="110">
        <f>IFERROR(INDEX('WetLitterbags placem_collection'!$A$3:$A$500,MATCH(A464,'WetLitterbags placem_collection'!$M$4:$M$500,0)),"")</f>
        <v>25</v>
      </c>
      <c r="Q464" s="110" t="str">
        <f>IFERROR(INDEX('WetLitterbags placem_collection'!$A$3:$A$500,MATCH(A464,'WetLitterbags placem_collection'!$Q$4:$Q$500,0)),"")</f>
        <v/>
      </c>
    </row>
    <row r="465" spans="1:17" ht="13.95" customHeight="1">
      <c r="A465" s="110" t="s">
        <v>992</v>
      </c>
      <c r="B465" s="113">
        <v>206</v>
      </c>
      <c r="C465" s="110">
        <v>1.401</v>
      </c>
      <c r="E465" s="112">
        <v>42879</v>
      </c>
      <c r="N465" s="110" t="str">
        <f>IFERROR(INDEX('WetLitterbags placem_collection'!$A$3:$A$500,MATCH(A465,'WetLitterbags placem_collection'!$K$4:$K$500,0)),"")</f>
        <v/>
      </c>
      <c r="O465" s="110" t="str">
        <f>IFERROR(INDEX('WetLitterbags placem_collection'!$A$3:$A$500,MATCH(A465,'WetLitterbags placem_collection'!$O$4:$O$500,0)),"")</f>
        <v/>
      </c>
      <c r="P465" s="110" t="str">
        <f>IFERROR(INDEX('WetLitterbags placem_collection'!$A$3:$A$500,MATCH(A465,'WetLitterbags placem_collection'!$M$4:$M$500,0)),"")</f>
        <v/>
      </c>
      <c r="Q465" s="110">
        <f>IFERROR(INDEX('WetLitterbags placem_collection'!$A$3:$A$500,MATCH(A465,'WetLitterbags placem_collection'!$Q$4:$Q$500,0)),"")</f>
        <v>206</v>
      </c>
    </row>
    <row r="466" spans="1:17" ht="13.95" customHeight="1">
      <c r="A466" s="110" t="s">
        <v>1126</v>
      </c>
      <c r="B466" s="110">
        <v>144</v>
      </c>
      <c r="C466" s="110">
        <v>1.7290000000000001</v>
      </c>
      <c r="E466" s="112">
        <v>42881</v>
      </c>
      <c r="N466" s="110" t="str">
        <f>IFERROR(INDEX('WetLitterbags placem_collection'!$A$3:$A$500,MATCH(A466,'WetLitterbags placem_collection'!$K$4:$K$500,0)),"")</f>
        <v/>
      </c>
      <c r="O466" s="110" t="str">
        <f>IFERROR(INDEX('WetLitterbags placem_collection'!$A$3:$A$500,MATCH(A466,'WetLitterbags placem_collection'!$O$4:$O$500,0)),"")</f>
        <v/>
      </c>
      <c r="P466" s="110" t="str">
        <f>IFERROR(INDEX('WetLitterbags placem_collection'!$A$3:$A$500,MATCH(A466,'WetLitterbags placem_collection'!$M$4:$M$500,0)),"")</f>
        <v/>
      </c>
      <c r="Q466" s="110">
        <f>IFERROR(INDEX('WetLitterbags placem_collection'!$A$3:$A$500,MATCH(A466,'WetLitterbags placem_collection'!$Q$4:$Q$500,0)),"")</f>
        <v>143</v>
      </c>
    </row>
    <row r="467" spans="1:17" ht="13.95" customHeight="1">
      <c r="A467" s="110" t="s">
        <v>991</v>
      </c>
      <c r="B467" s="110" t="s">
        <v>2077</v>
      </c>
      <c r="C467" s="110">
        <v>0.21360000000000001</v>
      </c>
      <c r="D467" s="110" t="s">
        <v>2113</v>
      </c>
      <c r="E467" s="112">
        <v>43122</v>
      </c>
      <c r="N467" s="110" t="str">
        <f>IFERROR(INDEX('WetLitterbags placem_collection'!$A$3:$A$500,MATCH(A467,'WetLitterbags placem_collection'!$K$4:$K$500,0)),"")</f>
        <v/>
      </c>
      <c r="O467" s="110" t="str">
        <f>IFERROR(INDEX('WetLitterbags placem_collection'!$A$3:$A$500,MATCH(A467,'WetLitterbags placem_collection'!$O$4:$O$500,0)),"")</f>
        <v/>
      </c>
      <c r="P467" s="110">
        <f>IFERROR(INDEX('WetLitterbags placem_collection'!$A$3:$A$500,MATCH(A467,'WetLitterbags placem_collection'!$M$4:$M$500,0)),"")</f>
        <v>65</v>
      </c>
      <c r="Q467" s="110" t="str">
        <f>IFERROR(INDEX('WetLitterbags placem_collection'!$A$3:$A$500,MATCH(A467,'WetLitterbags placem_collection'!$Q$4:$Q$500,0)),"")</f>
        <v/>
      </c>
    </row>
    <row r="468" spans="1:17" ht="13.95" customHeight="1">
      <c r="A468" s="110" t="s">
        <v>990</v>
      </c>
      <c r="B468">
        <v>70</v>
      </c>
      <c r="C468" s="110">
        <v>1.536</v>
      </c>
      <c r="E468" s="112">
        <v>42878</v>
      </c>
      <c r="N468" s="110" t="str">
        <f>IFERROR(INDEX('WetLitterbags placem_collection'!$A$3:$A$500,MATCH(A468,'WetLitterbags placem_collection'!$K$4:$K$500,0)),"")</f>
        <v/>
      </c>
      <c r="O468" s="110" t="str">
        <f>IFERROR(INDEX('WetLitterbags placem_collection'!$A$3:$A$500,MATCH(A468,'WetLitterbags placem_collection'!$O$4:$O$500,0)),"")</f>
        <v/>
      </c>
      <c r="P468" s="110">
        <f>IFERROR(INDEX('WetLitterbags placem_collection'!$A$3:$A$500,MATCH(A468,'WetLitterbags placem_collection'!$M$4:$M$500,0)),"")</f>
        <v>69</v>
      </c>
      <c r="Q468" s="110" t="str">
        <f>IFERROR(INDEX('WetLitterbags placem_collection'!$A$3:$A$500,MATCH(A468,'WetLitterbags placem_collection'!$Q$4:$Q$500,0)),"")</f>
        <v/>
      </c>
    </row>
    <row r="469" spans="1:17" ht="13.95" customHeight="1">
      <c r="A469" s="110" t="s">
        <v>988</v>
      </c>
      <c r="B469" s="110">
        <v>34</v>
      </c>
      <c r="C469" s="110">
        <v>0.34520000000000001</v>
      </c>
      <c r="D469" s="110" t="s">
        <v>2084</v>
      </c>
      <c r="E469" s="112">
        <v>43125</v>
      </c>
      <c r="N469" s="110" t="str">
        <f>IFERROR(INDEX('WetLitterbags placem_collection'!$A$3:$A$500,MATCH(A469,'WetLitterbags placem_collection'!$K$4:$K$500,0)),"")</f>
        <v/>
      </c>
      <c r="O469" s="110" t="str">
        <f>IFERROR(INDEX('WetLitterbags placem_collection'!$A$3:$A$500,MATCH(A469,'WetLitterbags placem_collection'!$O$4:$O$500,0)),"")</f>
        <v/>
      </c>
      <c r="P469" s="110">
        <f>IFERROR(INDEX('WetLitterbags placem_collection'!$A$3:$A$500,MATCH(A469,'WetLitterbags placem_collection'!$M$4:$M$500,0)),"")</f>
        <v>33</v>
      </c>
      <c r="Q469" s="110" t="str">
        <f>IFERROR(INDEX('WetLitterbags placem_collection'!$A$3:$A$500,MATCH(A469,'WetLitterbags placem_collection'!$Q$4:$Q$500,0)),"")</f>
        <v/>
      </c>
    </row>
    <row r="470" spans="1:17" ht="13.95" customHeight="1">
      <c r="A470" s="110" t="s">
        <v>987</v>
      </c>
      <c r="B470" s="110" t="s">
        <v>2077</v>
      </c>
      <c r="C470" s="110">
        <v>1.421</v>
      </c>
      <c r="E470" s="112">
        <v>43122</v>
      </c>
      <c r="N470" s="110" t="str">
        <f>IFERROR(INDEX('WetLitterbags placem_collection'!$A$3:$A$500,MATCH(A470,'WetLitterbags placem_collection'!$K$4:$K$500,0)),"")</f>
        <v/>
      </c>
      <c r="O470" s="110" t="str">
        <f>IFERROR(INDEX('WetLitterbags placem_collection'!$A$3:$A$500,MATCH(A470,'WetLitterbags placem_collection'!$O$4:$O$500,0)),"")</f>
        <v/>
      </c>
      <c r="P470" s="110" t="str">
        <f>IFERROR(INDEX('WetLitterbags placem_collection'!$A$3:$A$500,MATCH(A470,'WetLitterbags placem_collection'!$M$4:$M$500,0)),"")</f>
        <v/>
      </c>
      <c r="Q470" s="110">
        <f>IFERROR(INDEX('WetLitterbags placem_collection'!$A$3:$A$500,MATCH(A470,'WetLitterbags placem_collection'!$Q$4:$Q$500,0)),"")</f>
        <v>15</v>
      </c>
    </row>
    <row r="471" spans="1:17" ht="13.95" customHeight="1">
      <c r="A471" s="110" t="s">
        <v>986</v>
      </c>
      <c r="B471" s="110" t="s">
        <v>2077</v>
      </c>
      <c r="C471" s="110">
        <v>1.5909</v>
      </c>
      <c r="E471" s="112">
        <v>43119</v>
      </c>
      <c r="N471" s="110" t="str">
        <f>IFERROR(INDEX('WetLitterbags placem_collection'!$A$3:$A$500,MATCH(A471,'WetLitterbags placem_collection'!$K$4:$K$500,0)),"")</f>
        <v/>
      </c>
      <c r="O471" s="110" t="str">
        <f>IFERROR(INDEX('WetLitterbags placem_collection'!$A$3:$A$500,MATCH(A471,'WetLitterbags placem_collection'!$O$4:$O$500,0)),"")</f>
        <v/>
      </c>
      <c r="P471" s="110" t="str">
        <f>IFERROR(INDEX('WetLitterbags placem_collection'!$A$3:$A$500,MATCH(A471,'WetLitterbags placem_collection'!$M$4:$M$500,0)),"")</f>
        <v/>
      </c>
      <c r="Q471" s="110">
        <f>IFERROR(INDEX('WetLitterbags placem_collection'!$A$3:$A$500,MATCH(A471,'WetLitterbags placem_collection'!$Q$4:$Q$500,0)),"")</f>
        <v>48</v>
      </c>
    </row>
    <row r="472" spans="1:17" ht="13.95" customHeight="1">
      <c r="A472" s="110" t="s">
        <v>985</v>
      </c>
      <c r="B472" s="110" t="s">
        <v>2077</v>
      </c>
      <c r="C472" s="110">
        <v>1.2625999999999999</v>
      </c>
      <c r="E472" s="112">
        <v>43122</v>
      </c>
      <c r="N472" s="110" t="str">
        <f>IFERROR(INDEX('WetLitterbags placem_collection'!$A$3:$A$500,MATCH(A472,'WetLitterbags placem_collection'!$K$4:$K$500,0)),"")</f>
        <v/>
      </c>
      <c r="O472" s="110" t="str">
        <f>IFERROR(INDEX('WetLitterbags placem_collection'!$A$3:$A$500,MATCH(A472,'WetLitterbags placem_collection'!$O$4:$O$500,0)),"")</f>
        <v/>
      </c>
      <c r="P472" s="110" t="str">
        <f>IFERROR(INDEX('WetLitterbags placem_collection'!$A$3:$A$500,MATCH(A472,'WetLitterbags placem_collection'!$M$4:$M$500,0)),"")</f>
        <v/>
      </c>
      <c r="Q472" s="110">
        <f>IFERROR(INDEX('WetLitterbags placem_collection'!$A$3:$A$500,MATCH(A472,'WetLitterbags placem_collection'!$Q$4:$Q$500,0)),"")</f>
        <v>31</v>
      </c>
    </row>
    <row r="473" spans="1:17" ht="13.95" customHeight="1">
      <c r="A473" s="110" t="s">
        <v>984</v>
      </c>
      <c r="B473" s="110">
        <v>172</v>
      </c>
      <c r="C473" s="110">
        <f>1.6466+0.0316</f>
        <v>1.6782000000000001</v>
      </c>
      <c r="E473" s="112">
        <v>43123</v>
      </c>
      <c r="N473" s="110" t="str">
        <f>IFERROR(INDEX('WetLitterbags placem_collection'!$A$3:$A$500,MATCH(A473,'WetLitterbags placem_collection'!$K$4:$K$500,0)),"")</f>
        <v/>
      </c>
      <c r="O473" s="110" t="str">
        <f>IFERROR(INDEX('WetLitterbags placem_collection'!$A$3:$A$500,MATCH(A473,'WetLitterbags placem_collection'!$O$4:$O$500,0)),"")</f>
        <v/>
      </c>
      <c r="P473" s="110">
        <f>IFERROR(INDEX('WetLitterbags placem_collection'!$A$3:$A$500,MATCH(A473,'WetLitterbags placem_collection'!$M$4:$M$500,0)),"")</f>
        <v>171</v>
      </c>
      <c r="Q473" s="110" t="str">
        <f>IFERROR(INDEX('WetLitterbags placem_collection'!$A$3:$A$500,MATCH(A473,'WetLitterbags placem_collection'!$Q$4:$Q$500,0)),"")</f>
        <v/>
      </c>
    </row>
    <row r="474" spans="1:17" ht="13.95" customHeight="1">
      <c r="A474" s="110" t="s">
        <v>982</v>
      </c>
      <c r="B474" s="110">
        <v>64</v>
      </c>
      <c r="C474" s="110">
        <v>1.3160000000000001</v>
      </c>
      <c r="D474" s="110" t="s">
        <v>2140</v>
      </c>
      <c r="E474" s="112">
        <v>42878</v>
      </c>
      <c r="N474" s="110" t="str">
        <f>IFERROR(INDEX('WetLitterbags placem_collection'!$A$3:$A$500,MATCH(A474,'WetLitterbags placem_collection'!$K$4:$K$500,0)),"")</f>
        <v/>
      </c>
      <c r="O474" s="110" t="str">
        <f>IFERROR(INDEX('WetLitterbags placem_collection'!$A$3:$A$500,MATCH(A474,'WetLitterbags placem_collection'!$O$4:$O$500,0)),"")</f>
        <v/>
      </c>
      <c r="P474" s="110">
        <f>IFERROR(INDEX('WetLitterbags placem_collection'!$A$3:$A$500,MATCH(A474,'WetLitterbags placem_collection'!$M$4:$M$500,0)),"")</f>
        <v>63</v>
      </c>
      <c r="Q474" s="110" t="str">
        <f>IFERROR(INDEX('WetLitterbags placem_collection'!$A$3:$A$500,MATCH(A474,'WetLitterbags placem_collection'!$Q$4:$Q$500,0)),"")</f>
        <v/>
      </c>
    </row>
    <row r="475" spans="1:17" ht="13.95" customHeight="1">
      <c r="A475" s="110" t="s">
        <v>1125</v>
      </c>
      <c r="B475" s="110">
        <v>158</v>
      </c>
      <c r="C475" s="110">
        <v>1.786</v>
      </c>
      <c r="D475" s="110" t="s">
        <v>2051</v>
      </c>
      <c r="E475" s="112">
        <v>42879</v>
      </c>
      <c r="N475" s="110" t="str">
        <f>IFERROR(INDEX('WetLitterbags placem_collection'!$A$3:$A$500,MATCH(A475,'WetLitterbags placem_collection'!$K$4:$K$500,0)),"")</f>
        <v/>
      </c>
      <c r="O475" s="110" t="str">
        <f>IFERROR(INDEX('WetLitterbags placem_collection'!$A$3:$A$500,MATCH(A475,'WetLitterbags placem_collection'!$O$4:$O$500,0)),"")</f>
        <v/>
      </c>
      <c r="P475" s="110">
        <f>IFERROR(INDEX('WetLitterbags placem_collection'!$A$3:$A$500,MATCH(A475,'WetLitterbags placem_collection'!$M$4:$M$500,0)),"")</f>
        <v>157</v>
      </c>
      <c r="Q475" s="110" t="str">
        <f>IFERROR(INDEX('WetLitterbags placem_collection'!$A$3:$A$500,MATCH(A475,'WetLitterbags placem_collection'!$Q$4:$Q$500,0)),"")</f>
        <v/>
      </c>
    </row>
    <row r="476" spans="1:17" ht="13.95" customHeight="1">
      <c r="A476" s="110" t="s">
        <v>980</v>
      </c>
      <c r="B476" s="110">
        <v>57</v>
      </c>
      <c r="C476" s="110">
        <v>1.266</v>
      </c>
      <c r="D476" s="110" t="s">
        <v>2092</v>
      </c>
      <c r="E476" s="112">
        <v>43125</v>
      </c>
      <c r="N476" s="110" t="str">
        <f>IFERROR(INDEX('WetLitterbags placem_collection'!$A$3:$A$500,MATCH(A476,'WetLitterbags placem_collection'!$K$4:$K$500,0)),"")</f>
        <v/>
      </c>
      <c r="O476" s="110" t="str">
        <f>IFERROR(INDEX('WetLitterbags placem_collection'!$A$3:$A$500,MATCH(A476,'WetLitterbags placem_collection'!$O$4:$O$500,0)),"")</f>
        <v/>
      </c>
      <c r="P476" s="110">
        <f>IFERROR(INDEX('WetLitterbags placem_collection'!$A$3:$A$500,MATCH(A476,'WetLitterbags placem_collection'!$M$4:$M$500,0)),"")</f>
        <v>56</v>
      </c>
      <c r="Q476" s="110" t="str">
        <f>IFERROR(INDEX('WetLitterbags placem_collection'!$A$3:$A$500,MATCH(A476,'WetLitterbags placem_collection'!$Q$4:$Q$500,0)),"")</f>
        <v/>
      </c>
    </row>
    <row r="477" spans="1:17" ht="13.95" customHeight="1">
      <c r="A477" s="110" t="s">
        <v>977</v>
      </c>
      <c r="B477" s="110" t="s">
        <v>2077</v>
      </c>
      <c r="C477" s="110">
        <v>1.6649</v>
      </c>
      <c r="E477" s="112">
        <v>43122</v>
      </c>
      <c r="N477" s="110" t="str">
        <f>IFERROR(INDEX('WetLitterbags placem_collection'!$A$3:$A$500,MATCH(A477,'WetLitterbags placem_collection'!$K$4:$K$500,0)),"")</f>
        <v/>
      </c>
      <c r="O477" s="110" t="str">
        <f>IFERROR(INDEX('WetLitterbags placem_collection'!$A$3:$A$500,MATCH(A477,'WetLitterbags placem_collection'!$O$4:$O$500,0)),"")</f>
        <v/>
      </c>
      <c r="P477" s="110">
        <f>IFERROR(INDEX('WetLitterbags placem_collection'!$A$3:$A$500,MATCH(A477,'WetLitterbags placem_collection'!$M$4:$M$500,0)),"")</f>
        <v>189</v>
      </c>
      <c r="Q477" s="110" t="str">
        <f>IFERROR(INDEX('WetLitterbags placem_collection'!$A$3:$A$500,MATCH(A477,'WetLitterbags placem_collection'!$Q$4:$Q$500,0)),"")</f>
        <v/>
      </c>
    </row>
    <row r="478" spans="1:17" ht="13.95" customHeight="1">
      <c r="A478" s="110" t="s">
        <v>976</v>
      </c>
      <c r="B478" s="110">
        <v>67</v>
      </c>
      <c r="C478" s="110">
        <v>1.4942</v>
      </c>
      <c r="E478" s="112">
        <v>43125</v>
      </c>
      <c r="N478" s="110" t="str">
        <f>IFERROR(INDEX('WetLitterbags placem_collection'!$A$3:$A$500,MATCH(A478,'WetLitterbags placem_collection'!$K$4:$K$500,0)),"")</f>
        <v/>
      </c>
      <c r="O478" s="110" t="str">
        <f>IFERROR(INDEX('WetLitterbags placem_collection'!$A$3:$A$500,MATCH(A478,'WetLitterbags placem_collection'!$O$4:$O$500,0)),"")</f>
        <v/>
      </c>
      <c r="P478" s="110">
        <f>IFERROR(INDEX('WetLitterbags placem_collection'!$A$3:$A$500,MATCH(A478,'WetLitterbags placem_collection'!$M$4:$M$500,0)),"")</f>
        <v>66</v>
      </c>
      <c r="Q478" s="110" t="str">
        <f>IFERROR(INDEX('WetLitterbags placem_collection'!$A$3:$A$500,MATCH(A478,'WetLitterbags placem_collection'!$Q$4:$Q$500,0)),"")</f>
        <v/>
      </c>
    </row>
    <row r="479" spans="1:17" ht="13.95" customHeight="1">
      <c r="A479" s="110" t="s">
        <v>975</v>
      </c>
      <c r="B479" s="110">
        <v>44</v>
      </c>
      <c r="C479" s="110">
        <v>1.6101000000000001</v>
      </c>
      <c r="E479" s="112">
        <v>43125</v>
      </c>
      <c r="N479" s="110" t="str">
        <f>IFERROR(INDEX('WetLitterbags placem_collection'!$A$3:$A$500,MATCH(A479,'WetLitterbags placem_collection'!$K$4:$K$500,0)),"")</f>
        <v/>
      </c>
      <c r="O479" s="110" t="str">
        <f>IFERROR(INDEX('WetLitterbags placem_collection'!$A$3:$A$500,MATCH(A479,'WetLitterbags placem_collection'!$O$4:$O$500,0)),"")</f>
        <v/>
      </c>
      <c r="P479" s="110">
        <f>IFERROR(INDEX('WetLitterbags placem_collection'!$A$3:$A$500,MATCH(A479,'WetLitterbags placem_collection'!$M$4:$M$500,0)),"")</f>
        <v>43</v>
      </c>
      <c r="Q479" s="110" t="str">
        <f>IFERROR(INDEX('WetLitterbags placem_collection'!$A$3:$A$500,MATCH(A479,'WetLitterbags placem_collection'!$Q$4:$Q$500,0)),"")</f>
        <v/>
      </c>
    </row>
    <row r="480" spans="1:17" ht="13.95" customHeight="1">
      <c r="A480" s="110" t="s">
        <v>974</v>
      </c>
      <c r="B480" s="110">
        <v>104</v>
      </c>
      <c r="C480" s="110">
        <v>1.4750000000000001</v>
      </c>
      <c r="E480" s="112">
        <v>42881</v>
      </c>
      <c r="N480" s="110" t="str">
        <f>IFERROR(INDEX('WetLitterbags placem_collection'!$A$3:$A$500,MATCH(A480,'WetLitterbags placem_collection'!$K$4:$K$500,0)),"")</f>
        <v/>
      </c>
      <c r="O480" s="110" t="str">
        <f>IFERROR(INDEX('WetLitterbags placem_collection'!$A$3:$A$500,MATCH(A480,'WetLitterbags placem_collection'!$O$4:$O$500,0)),"")</f>
        <v/>
      </c>
      <c r="P480" s="110" t="str">
        <f>IFERROR(INDEX('WetLitterbags placem_collection'!$A$3:$A$500,MATCH(A480,'WetLitterbags placem_collection'!$M$4:$M$500,0)),"")</f>
        <v/>
      </c>
      <c r="Q480" s="110">
        <f>IFERROR(INDEX('WetLitterbags placem_collection'!$A$3:$A$500,MATCH(A480,'WetLitterbags placem_collection'!$Q$4:$Q$500,0)),"")</f>
        <v>193</v>
      </c>
    </row>
    <row r="481" spans="1:17" ht="13.95" customHeight="1">
      <c r="A481" s="110" t="s">
        <v>973</v>
      </c>
      <c r="B481" s="110">
        <v>198</v>
      </c>
      <c r="C481" s="110">
        <v>1.5734999999999999</v>
      </c>
      <c r="E481" s="112">
        <v>43125</v>
      </c>
      <c r="N481" s="110" t="str">
        <f>IFERROR(INDEX('WetLitterbags placem_collection'!$A$3:$A$500,MATCH(A481,'WetLitterbags placem_collection'!$K$4:$K$500,0)),"")</f>
        <v/>
      </c>
      <c r="O481" s="110" t="str">
        <f>IFERROR(INDEX('WetLitterbags placem_collection'!$A$3:$A$500,MATCH(A481,'WetLitterbags placem_collection'!$O$4:$O$500,0)),"")</f>
        <v/>
      </c>
      <c r="P481" s="110" t="str">
        <f>IFERROR(INDEX('WetLitterbags placem_collection'!$A$3:$A$500,MATCH(A481,'WetLitterbags placem_collection'!$M$4:$M$500,0)),"")</f>
        <v/>
      </c>
      <c r="Q481" s="110">
        <f>IFERROR(INDEX('WetLitterbags placem_collection'!$A$3:$A$500,MATCH(A481,'WetLitterbags placem_collection'!$Q$4:$Q$500,0)),"")</f>
        <v>197</v>
      </c>
    </row>
    <row r="482" spans="1:17" ht="13.95" customHeight="1">
      <c r="A482" s="110" t="s">
        <v>972</v>
      </c>
      <c r="B482" s="110" t="s">
        <v>2083</v>
      </c>
      <c r="C482" s="110">
        <v>2.8336999999999999</v>
      </c>
      <c r="D482" s="110" t="s">
        <v>2100</v>
      </c>
      <c r="E482" s="112">
        <v>43125</v>
      </c>
      <c r="N482" s="110" t="str">
        <f>IFERROR(INDEX('WetLitterbags placem_collection'!$A$3:$A$500,MATCH(A482,'WetLitterbags placem_collection'!$K$4:$K$500,0)),"")</f>
        <v/>
      </c>
      <c r="O482" s="110" t="str">
        <f>IFERROR(INDEX('WetLitterbags placem_collection'!$A$3:$A$500,MATCH(A482,'WetLitterbags placem_collection'!$O$4:$O$500,0)),"")</f>
        <v/>
      </c>
      <c r="P482" s="110">
        <f>IFERROR(INDEX('WetLitterbags placem_collection'!$A$3:$A$500,MATCH(A482,'WetLitterbags placem_collection'!$M$4:$M$500,0)),"")</f>
        <v>8</v>
      </c>
      <c r="Q482" s="110" t="str">
        <f>IFERROR(INDEX('WetLitterbags placem_collection'!$A$3:$A$500,MATCH(A482,'WetLitterbags placem_collection'!$Q$4:$Q$500,0)),"")</f>
        <v/>
      </c>
    </row>
    <row r="483" spans="1:17" ht="13.95" customHeight="1">
      <c r="A483" s="110" t="s">
        <v>1124</v>
      </c>
      <c r="B483" s="110" t="s">
        <v>2083</v>
      </c>
      <c r="C483" s="110">
        <v>1.0208999999999999</v>
      </c>
      <c r="D483" s="167" t="s">
        <v>2465</v>
      </c>
      <c r="E483" s="112">
        <v>43125</v>
      </c>
      <c r="N483" s="110" t="str">
        <f>IFERROR(INDEX('WetLitterbags placem_collection'!$A$3:$A$500,MATCH(A483,'WetLitterbags placem_collection'!$K$4:$K$500,0)),"")</f>
        <v/>
      </c>
      <c r="O483" s="110" t="str">
        <f>IFERROR(INDEX('WetLitterbags placem_collection'!$A$3:$A$500,MATCH(A483,'WetLitterbags placem_collection'!$O$4:$O$500,0)),"")</f>
        <v/>
      </c>
      <c r="P483" s="110" t="str">
        <f>IFERROR(INDEX('WetLitterbags placem_collection'!$A$3:$A$500,MATCH(A483,'WetLitterbags placem_collection'!$M$4:$M$500,0)),"")</f>
        <v/>
      </c>
      <c r="Q483" s="110" t="str">
        <f>IFERROR(INDEX('WetLitterbags placem_collection'!$A$3:$A$500,MATCH(A483,'WetLitterbags placem_collection'!$Q$4:$Q$500,0)),"")</f>
        <v/>
      </c>
    </row>
    <row r="484" spans="1:17" ht="13.95" customHeight="1">
      <c r="A484" s="110" t="s">
        <v>970</v>
      </c>
      <c r="B484" s="110">
        <v>89</v>
      </c>
      <c r="C484" s="110">
        <v>2.0529999999999999</v>
      </c>
      <c r="E484" s="112">
        <v>42879</v>
      </c>
      <c r="N484" s="110" t="str">
        <f>IFERROR(INDEX('WetLitterbags placem_collection'!$A$3:$A$500,MATCH(A484,'WetLitterbags placem_collection'!$K$4:$K$500,0)),"")</f>
        <v/>
      </c>
      <c r="O484" s="110" t="str">
        <f>IFERROR(INDEX('WetLitterbags placem_collection'!$A$3:$A$500,MATCH(A484,'WetLitterbags placem_collection'!$O$4:$O$500,0)),"")</f>
        <v/>
      </c>
      <c r="P484" s="110" t="str">
        <f>IFERROR(INDEX('WetLitterbags placem_collection'!$A$3:$A$500,MATCH(A484,'WetLitterbags placem_collection'!$M$4:$M$500,0)),"")</f>
        <v/>
      </c>
      <c r="Q484" s="110">
        <f>IFERROR(INDEX('WetLitterbags placem_collection'!$A$3:$A$500,MATCH(A484,'WetLitterbags placem_collection'!$Q$4:$Q$500,0)),"")</f>
        <v>88</v>
      </c>
    </row>
    <row r="485" spans="1:17" ht="13.95" customHeight="1">
      <c r="A485" s="110" t="s">
        <v>969</v>
      </c>
      <c r="B485" s="110" t="s">
        <v>2077</v>
      </c>
      <c r="C485" s="110">
        <v>1.4665999999999999</v>
      </c>
      <c r="E485" s="112">
        <v>43122</v>
      </c>
      <c r="N485" s="110" t="str">
        <f>IFERROR(INDEX('WetLitterbags placem_collection'!$A$3:$A$500,MATCH(A485,'WetLitterbags placem_collection'!$K$4:$K$500,0)),"")</f>
        <v/>
      </c>
      <c r="O485" s="110" t="str">
        <f>IFERROR(INDEX('WetLitterbags placem_collection'!$A$3:$A$500,MATCH(A485,'WetLitterbags placem_collection'!$O$4:$O$500,0)),"")</f>
        <v/>
      </c>
      <c r="P485" s="110" t="str">
        <f>IFERROR(INDEX('WetLitterbags placem_collection'!$A$3:$A$500,MATCH(A485,'WetLitterbags placem_collection'!$M$4:$M$500,0)),"")</f>
        <v/>
      </c>
      <c r="Q485" s="110">
        <f>IFERROR(INDEX('WetLitterbags placem_collection'!$A$3:$A$500,MATCH(A485,'WetLitterbags placem_collection'!$Q$4:$Q$500,0)),"")</f>
        <v>27</v>
      </c>
    </row>
    <row r="486" spans="1:17" ht="13.95" customHeight="1">
      <c r="A486" s="110" t="s">
        <v>965</v>
      </c>
      <c r="B486" s="110">
        <v>219</v>
      </c>
      <c r="C486" s="110">
        <v>1.4293</v>
      </c>
      <c r="E486" s="112">
        <v>43125</v>
      </c>
      <c r="N486" s="110" t="str">
        <f>IFERROR(INDEX('WetLitterbags placem_collection'!$A$3:$A$500,MATCH(A486,'WetLitterbags placem_collection'!$K$4:$K$500,0)),"")</f>
        <v/>
      </c>
      <c r="O486" s="110" t="str">
        <f>IFERROR(INDEX('WetLitterbags placem_collection'!$A$3:$A$500,MATCH(A486,'WetLitterbags placem_collection'!$O$4:$O$500,0)),"")</f>
        <v/>
      </c>
      <c r="P486" s="110">
        <f>IFERROR(INDEX('WetLitterbags placem_collection'!$A$3:$A$500,MATCH(A486,'WetLitterbags placem_collection'!$M$4:$M$500,0)),"")</f>
        <v>218</v>
      </c>
      <c r="Q486" s="110" t="str">
        <f>IFERROR(INDEX('WetLitterbags placem_collection'!$A$3:$A$500,MATCH(A486,'WetLitterbags placem_collection'!$Q$4:$Q$500,0)),"")</f>
        <v/>
      </c>
    </row>
    <row r="487" spans="1:17" ht="13.95" customHeight="1">
      <c r="A487" s="110" t="s">
        <v>964</v>
      </c>
      <c r="B487" s="110" t="s">
        <v>2077</v>
      </c>
      <c r="C487" s="110">
        <v>1.4271</v>
      </c>
      <c r="E487" s="112">
        <v>43122</v>
      </c>
      <c r="N487" s="110" t="str">
        <f>IFERROR(INDEX('WetLitterbags placem_collection'!$A$3:$A$500,MATCH(A487,'WetLitterbags placem_collection'!$K$4:$K$500,0)),"")</f>
        <v/>
      </c>
      <c r="O487" s="110" t="str">
        <f>IFERROR(INDEX('WetLitterbags placem_collection'!$A$3:$A$500,MATCH(A487,'WetLitterbags placem_collection'!$O$4:$O$500,0)),"")</f>
        <v/>
      </c>
      <c r="P487" s="110">
        <f>IFERROR(INDEX('WetLitterbags placem_collection'!$A$3:$A$500,MATCH(A487,'WetLitterbags placem_collection'!$M$4:$M$500,0)),"")</f>
        <v>5</v>
      </c>
      <c r="Q487" s="110" t="str">
        <f>IFERROR(INDEX('WetLitterbags placem_collection'!$A$3:$A$500,MATCH(A487,'WetLitterbags placem_collection'!$Q$4:$Q$500,0)),"")</f>
        <v/>
      </c>
    </row>
    <row r="488" spans="1:17" ht="13.95" customHeight="1">
      <c r="A488" s="110" t="s">
        <v>960</v>
      </c>
      <c r="B488" s="110">
        <v>80</v>
      </c>
      <c r="C488" s="110">
        <v>0.23799999999999999</v>
      </c>
      <c r="D488" s="110" t="s">
        <v>2145</v>
      </c>
      <c r="E488" s="112">
        <v>42878</v>
      </c>
      <c r="N488" s="110" t="str">
        <f>IFERROR(INDEX('WetLitterbags placem_collection'!$A$3:$A$500,MATCH(A488,'WetLitterbags placem_collection'!$K$4:$K$500,0)),"")</f>
        <v/>
      </c>
      <c r="O488" s="110" t="str">
        <f>IFERROR(INDEX('WetLitterbags placem_collection'!$A$3:$A$500,MATCH(A488,'WetLitterbags placem_collection'!$O$4:$O$500,0)),"")</f>
        <v/>
      </c>
      <c r="P488" s="110">
        <f>IFERROR(INDEX('WetLitterbags placem_collection'!$A$3:$A$500,MATCH(A488,'WetLitterbags placem_collection'!$M$4:$M$500,0)),"")</f>
        <v>79</v>
      </c>
      <c r="Q488" s="110" t="str">
        <f>IFERROR(INDEX('WetLitterbags placem_collection'!$A$3:$A$500,MATCH(A488,'WetLitterbags placem_collection'!$Q$4:$Q$500,0)),"")</f>
        <v/>
      </c>
    </row>
    <row r="489" spans="1:17" ht="13.95" customHeight="1">
      <c r="A489" s="110" t="s">
        <v>959</v>
      </c>
      <c r="B489" s="110">
        <v>202</v>
      </c>
      <c r="C489" s="110">
        <v>1.679</v>
      </c>
      <c r="E489" s="112">
        <v>42881</v>
      </c>
      <c r="N489" s="110" t="str">
        <f>IFERROR(INDEX('WetLitterbags placem_collection'!$A$3:$A$500,MATCH(A489,'WetLitterbags placem_collection'!$K$4:$K$500,0)),"")</f>
        <v/>
      </c>
      <c r="O489" s="110" t="str">
        <f>IFERROR(INDEX('WetLitterbags placem_collection'!$A$3:$A$500,MATCH(A489,'WetLitterbags placem_collection'!$O$4:$O$500,0)),"")</f>
        <v/>
      </c>
      <c r="P489" s="110" t="str">
        <f>IFERROR(INDEX('WetLitterbags placem_collection'!$A$3:$A$500,MATCH(A489,'WetLitterbags placem_collection'!$M$4:$M$500,0)),"")</f>
        <v/>
      </c>
      <c r="Q489" s="110">
        <f>IFERROR(INDEX('WetLitterbags placem_collection'!$A$3:$A$500,MATCH(A489,'WetLitterbags placem_collection'!$Q$4:$Q$500,0)),"")</f>
        <v>201</v>
      </c>
    </row>
    <row r="490" spans="1:17" ht="13.95" customHeight="1">
      <c r="A490" s="110" t="s">
        <v>958</v>
      </c>
      <c r="B490" s="110">
        <v>75</v>
      </c>
      <c r="C490" s="110">
        <v>1.7490000000000001</v>
      </c>
      <c r="E490" s="112">
        <v>42881</v>
      </c>
      <c r="N490" s="110" t="str">
        <f>IFERROR(INDEX('WetLitterbags placem_collection'!$A$3:$A$500,MATCH(A490,'WetLitterbags placem_collection'!$K$4:$K$500,0)),"")</f>
        <v/>
      </c>
      <c r="O490" s="110" t="str">
        <f>IFERROR(INDEX('WetLitterbags placem_collection'!$A$3:$A$500,MATCH(A490,'WetLitterbags placem_collection'!$O$4:$O$500,0)),"")</f>
        <v/>
      </c>
      <c r="P490" s="110" t="str">
        <f>IFERROR(INDEX('WetLitterbags placem_collection'!$A$3:$A$500,MATCH(A490,'WetLitterbags placem_collection'!$M$4:$M$500,0)),"")</f>
        <v/>
      </c>
      <c r="Q490" s="110">
        <f>IFERROR(INDEX('WetLitterbags placem_collection'!$A$3:$A$500,MATCH(A490,'WetLitterbags placem_collection'!$Q$4:$Q$500,0)),"")</f>
        <v>75</v>
      </c>
    </row>
    <row r="491" spans="1:17" ht="13.95" customHeight="1">
      <c r="A491" s="110" t="s">
        <v>956</v>
      </c>
      <c r="B491" s="110">
        <v>63</v>
      </c>
      <c r="C491" s="110">
        <v>1.6850000000000001</v>
      </c>
      <c r="E491" s="112">
        <v>42879</v>
      </c>
      <c r="N491" s="110" t="str">
        <f>IFERROR(INDEX('WetLitterbags placem_collection'!$A$3:$A$500,MATCH(A491,'WetLitterbags placem_collection'!$K$4:$K$500,0)),"")</f>
        <v/>
      </c>
      <c r="O491" s="110" t="str">
        <f>IFERROR(INDEX('WetLitterbags placem_collection'!$A$3:$A$500,MATCH(A491,'WetLitterbags placem_collection'!$O$4:$O$500,0)),"")</f>
        <v/>
      </c>
      <c r="P491" s="110">
        <f>IFERROR(INDEX('WetLitterbags placem_collection'!$A$3:$A$500,MATCH(A491,'WetLitterbags placem_collection'!$M$4:$M$500,0)),"")</f>
        <v>62</v>
      </c>
      <c r="Q491" s="110" t="str">
        <f>IFERROR(INDEX('WetLitterbags placem_collection'!$A$3:$A$500,MATCH(A491,'WetLitterbags placem_collection'!$Q$4:$Q$500,0)),"")</f>
        <v/>
      </c>
    </row>
    <row r="492" spans="1:17" ht="13.95" customHeight="1">
      <c r="A492" s="110" t="s">
        <v>955</v>
      </c>
      <c r="B492" s="181">
        <v>186</v>
      </c>
      <c r="C492" s="110">
        <v>1.7809999999999999</v>
      </c>
      <c r="E492" s="112">
        <v>42878</v>
      </c>
      <c r="N492" s="110" t="str">
        <f>IFERROR(INDEX('WetLitterbags placem_collection'!$A$3:$A$500,MATCH(A492,'WetLitterbags placem_collection'!$K$4:$K$500,0)),"")</f>
        <v/>
      </c>
      <c r="O492" s="110" t="str">
        <f>IFERROR(INDEX('WetLitterbags placem_collection'!$A$3:$A$500,MATCH(A492,'WetLitterbags placem_collection'!$O$4:$O$500,0)),"")</f>
        <v/>
      </c>
      <c r="P492" s="110" t="str">
        <f>IFERROR(INDEX('WetLitterbags placem_collection'!$A$3:$A$500,MATCH(A492,'WetLitterbags placem_collection'!$M$4:$M$500,0)),"")</f>
        <v/>
      </c>
      <c r="Q492" s="110">
        <f>IFERROR(INDEX('WetLitterbags placem_collection'!$A$3:$A$500,MATCH(A492,'WetLitterbags placem_collection'!$Q$4:$Q$500,0)),"")</f>
        <v>185</v>
      </c>
    </row>
    <row r="493" spans="1:17" ht="13.95" customHeight="1">
      <c r="A493" s="110" t="s">
        <v>954</v>
      </c>
      <c r="B493" s="110">
        <v>81</v>
      </c>
      <c r="C493" s="110">
        <v>1.8420000000000001</v>
      </c>
      <c r="E493" s="112">
        <v>42881</v>
      </c>
      <c r="N493" s="110" t="str">
        <f>IFERROR(INDEX('WetLitterbags placem_collection'!$A$3:$A$500,MATCH(A493,'WetLitterbags placem_collection'!$K$4:$K$500,0)),"")</f>
        <v/>
      </c>
      <c r="O493" s="110" t="str">
        <f>IFERROR(INDEX('WetLitterbags placem_collection'!$A$3:$A$500,MATCH(A493,'WetLitterbags placem_collection'!$O$4:$O$500,0)),"")</f>
        <v/>
      </c>
      <c r="P493" s="110">
        <f>IFERROR(INDEX('WetLitterbags placem_collection'!$A$3:$A$500,MATCH(A493,'WetLitterbags placem_collection'!$M$4:$M$500,0)),"")</f>
        <v>80</v>
      </c>
      <c r="Q493" s="110" t="str">
        <f>IFERROR(INDEX('WetLitterbags placem_collection'!$A$3:$A$500,MATCH(A493,'WetLitterbags placem_collection'!$Q$4:$Q$500,0)),"")</f>
        <v/>
      </c>
    </row>
    <row r="494" spans="1:17" ht="13.95" customHeight="1">
      <c r="A494" s="110" t="s">
        <v>952</v>
      </c>
      <c r="B494" s="110" t="s">
        <v>2077</v>
      </c>
      <c r="C494" s="110">
        <v>1.464</v>
      </c>
      <c r="E494" s="112">
        <v>43116</v>
      </c>
      <c r="N494" s="110" t="str">
        <f>IFERROR(INDEX('WetLitterbags placem_collection'!$A$3:$A$500,MATCH(A494,'WetLitterbags placem_collection'!$K$4:$K$500,0)),"")</f>
        <v/>
      </c>
      <c r="O494" s="110" t="str">
        <f>IFERROR(INDEX('WetLitterbags placem_collection'!$A$3:$A$500,MATCH(A494,'WetLitterbags placem_collection'!$O$4:$O$500,0)),"")</f>
        <v/>
      </c>
      <c r="P494" s="110" t="str">
        <f>IFERROR(INDEX('WetLitterbags placem_collection'!$A$3:$A$500,MATCH(A494,'WetLitterbags placem_collection'!$M$4:$M$500,0)),"")</f>
        <v/>
      </c>
      <c r="Q494" s="110">
        <f>IFERROR(INDEX('WetLitterbags placem_collection'!$A$3:$A$500,MATCH(A494,'WetLitterbags placem_collection'!$Q$4:$Q$500,0)),"")</f>
        <v>25</v>
      </c>
    </row>
    <row r="495" spans="1:17" ht="13.95" customHeight="1">
      <c r="A495" s="179" t="s">
        <v>1122</v>
      </c>
      <c r="B495" s="110">
        <v>55</v>
      </c>
      <c r="C495" s="110">
        <v>0.22600000000000001</v>
      </c>
      <c r="D495" s="110" t="s">
        <v>2133</v>
      </c>
      <c r="E495" s="112">
        <v>42878</v>
      </c>
      <c r="N495" s="110" t="str">
        <f>IFERROR(INDEX('WetLitterbags placem_collection'!$A$3:$A$500,MATCH(A495,'WetLitterbags placem_collection'!$K$4:$K$500,0)),"")</f>
        <v/>
      </c>
      <c r="O495" s="110" t="str">
        <f>IFERROR(INDEX('WetLitterbags placem_collection'!$A$3:$A$500,MATCH(A495,'WetLitterbags placem_collection'!$O$4:$O$500,0)),"")</f>
        <v/>
      </c>
      <c r="P495" s="110">
        <f>IFERROR(INDEX('WetLitterbags placem_collection'!$A$3:$A$500,MATCH(A495,'WetLitterbags placem_collection'!$M$4:$M$500,0)),"")</f>
        <v>54</v>
      </c>
      <c r="Q495" s="110" t="str">
        <f>IFERROR(INDEX('WetLitterbags placem_collection'!$A$3:$A$500,MATCH(A495,'WetLitterbags placem_collection'!$Q$4:$Q$500,0)),"")</f>
        <v/>
      </c>
    </row>
    <row r="496" spans="1:17" ht="13.95" customHeight="1">
      <c r="A496" s="110" t="s">
        <v>951</v>
      </c>
      <c r="B496" s="110">
        <v>23</v>
      </c>
      <c r="C496" s="110">
        <v>1.5019</v>
      </c>
      <c r="E496" s="112">
        <v>43123</v>
      </c>
      <c r="N496" s="110" t="str">
        <f>IFERROR(INDEX('WetLitterbags placem_collection'!$A$3:$A$500,MATCH(A496,'WetLitterbags placem_collection'!$K$4:$K$500,0)),"")</f>
        <v/>
      </c>
      <c r="O496" s="110" t="str">
        <f>IFERROR(INDEX('WetLitterbags placem_collection'!$A$3:$A$500,MATCH(A496,'WetLitterbags placem_collection'!$O$4:$O$500,0)),"")</f>
        <v/>
      </c>
      <c r="P496" s="110">
        <f>IFERROR(INDEX('WetLitterbags placem_collection'!$A$3:$A$500,MATCH(A496,'WetLitterbags placem_collection'!$M$4:$M$500,0)),"")</f>
        <v>22</v>
      </c>
      <c r="Q496" s="110" t="str">
        <f>IFERROR(INDEX('WetLitterbags placem_collection'!$A$3:$A$500,MATCH(A496,'WetLitterbags placem_collection'!$Q$4:$Q$500,0)),"")</f>
        <v/>
      </c>
    </row>
    <row r="497" spans="1:17" ht="13.95" customHeight="1">
      <c r="A497" s="110" t="s">
        <v>945</v>
      </c>
      <c r="B497" s="110">
        <v>89</v>
      </c>
      <c r="C497" s="110">
        <v>0.17399999999999999</v>
      </c>
      <c r="D497" s="110" t="s">
        <v>2067</v>
      </c>
      <c r="E497" s="112">
        <v>42879</v>
      </c>
      <c r="N497" s="110" t="str">
        <f>IFERROR(INDEX('WetLitterbags placem_collection'!$A$3:$A$500,MATCH(A497,'WetLitterbags placem_collection'!$K$4:$K$500,0)),"")</f>
        <v/>
      </c>
      <c r="O497" s="110" t="str">
        <f>IFERROR(INDEX('WetLitterbags placem_collection'!$A$3:$A$500,MATCH(A497,'WetLitterbags placem_collection'!$O$4:$O$500,0)),"")</f>
        <v/>
      </c>
      <c r="P497" s="110">
        <f>IFERROR(INDEX('WetLitterbags placem_collection'!$A$3:$A$500,MATCH(A497,'WetLitterbags placem_collection'!$M$4:$M$500,0)),"")</f>
        <v>88</v>
      </c>
      <c r="Q497" s="110" t="str">
        <f>IFERROR(INDEX('WetLitterbags placem_collection'!$A$3:$A$500,MATCH(A497,'WetLitterbags placem_collection'!$Q$4:$Q$500,0)),"")</f>
        <v/>
      </c>
    </row>
    <row r="498" spans="1:17" ht="13.95" customHeight="1">
      <c r="A498" s="110" t="s">
        <v>1139</v>
      </c>
      <c r="B498" s="110" t="s">
        <v>2077</v>
      </c>
      <c r="C498" s="110">
        <v>1.43</v>
      </c>
      <c r="E498" s="112">
        <v>43119</v>
      </c>
      <c r="N498" s="110" t="str">
        <f>IFERROR(INDEX('WetLitterbags placem_collection'!$A$3:$A$500,MATCH(A498,'WetLitterbags placem_collection'!$K$4:$K$500,0)),"")</f>
        <v/>
      </c>
      <c r="O498" s="110" t="str">
        <f>IFERROR(INDEX('WetLitterbags placem_collection'!$A$3:$A$500,MATCH(A498,'WetLitterbags placem_collection'!$O$4:$O$500,0)),"")</f>
        <v/>
      </c>
      <c r="P498" s="110" t="str">
        <f>IFERROR(INDEX('WetLitterbags placem_collection'!$A$3:$A$500,MATCH(A498,'WetLitterbags placem_collection'!$M$4:$M$500,0)),"")</f>
        <v/>
      </c>
      <c r="Q498" s="110">
        <f>IFERROR(INDEX('WetLitterbags placem_collection'!$A$3:$A$500,MATCH(A498,'WetLitterbags placem_collection'!$Q$4:$Q$500,0)),"")</f>
        <v>10</v>
      </c>
    </row>
    <row r="499" spans="1:17" ht="13.95" customHeight="1">
      <c r="A499" s="110" t="s">
        <v>1121</v>
      </c>
      <c r="B499" s="110" t="s">
        <v>2077</v>
      </c>
      <c r="C499" s="110">
        <v>1.6375999999999999</v>
      </c>
      <c r="E499" s="112">
        <v>43125</v>
      </c>
      <c r="N499" s="110" t="str">
        <f>IFERROR(INDEX('WetLitterbags placem_collection'!$A$3:$A$500,MATCH(A499,'WetLitterbags placem_collection'!$K$4:$K$500,0)),"")</f>
        <v/>
      </c>
      <c r="O499" s="110" t="str">
        <f>IFERROR(INDEX('WetLitterbags placem_collection'!$A$3:$A$500,MATCH(A499,'WetLitterbags placem_collection'!$O$4:$O$500,0)),"")</f>
        <v/>
      </c>
      <c r="P499" s="110" t="str">
        <f>IFERROR(INDEX('WetLitterbags placem_collection'!$A$3:$A$500,MATCH(A499,'WetLitterbags placem_collection'!$M$4:$M$500,0)),"")</f>
        <v/>
      </c>
      <c r="Q499" s="110">
        <f>IFERROR(INDEX('WetLitterbags placem_collection'!$A$3:$A$500,MATCH(A499,'WetLitterbags placem_collection'!$Q$4:$Q$500,0)),"")</f>
        <v>147</v>
      </c>
    </row>
    <row r="500" spans="1:17" ht="13.95" customHeight="1">
      <c r="A500" s="110" t="s">
        <v>939</v>
      </c>
      <c r="B500" s="110" t="s">
        <v>2083</v>
      </c>
      <c r="C500" s="110">
        <v>0.52</v>
      </c>
      <c r="D500" s="110" t="s">
        <v>2141</v>
      </c>
      <c r="E500" s="112">
        <v>42878</v>
      </c>
      <c r="N500" s="110" t="str">
        <f>IFERROR(INDEX('WetLitterbags placem_collection'!$A$3:$A$500,MATCH(A500,'WetLitterbags placem_collection'!$K$4:$K$500,0)),"")</f>
        <v/>
      </c>
      <c r="O500" s="110" t="str">
        <f>IFERROR(INDEX('WetLitterbags placem_collection'!$A$3:$A$500,MATCH(A500,'WetLitterbags placem_collection'!$O$4:$O$500,0)),"")</f>
        <v/>
      </c>
      <c r="P500" s="110">
        <f>IFERROR(INDEX('WetLitterbags placem_collection'!$A$3:$A$500,MATCH(A500,'WetLitterbags placem_collection'!$M$4:$M$500,0)),"")</f>
        <v>161</v>
      </c>
      <c r="Q500" s="110" t="str">
        <f>IFERROR(INDEX('WetLitterbags placem_collection'!$A$3:$A$500,MATCH(A500,'WetLitterbags placem_collection'!$Q$4:$Q$500,0)),"")</f>
        <v/>
      </c>
    </row>
    <row r="501" spans="1:17" ht="13.95" customHeight="1">
      <c r="A501" s="110" t="s">
        <v>1120</v>
      </c>
      <c r="B501" s="110">
        <v>138</v>
      </c>
      <c r="C501" s="110">
        <v>1.522</v>
      </c>
      <c r="E501" s="112">
        <v>42879</v>
      </c>
      <c r="N501" s="110" t="str">
        <f>IFERROR(INDEX('WetLitterbags placem_collection'!$A$3:$A$500,MATCH(A501,'WetLitterbags placem_collection'!$K$4:$K$500,0)),"")</f>
        <v/>
      </c>
      <c r="O501" s="110" t="str">
        <f>IFERROR(INDEX('WetLitterbags placem_collection'!$A$3:$A$500,MATCH(A501,'WetLitterbags placem_collection'!$O$4:$O$500,0)),"")</f>
        <v/>
      </c>
      <c r="P501" s="110" t="str">
        <f>IFERROR(INDEX('WetLitterbags placem_collection'!$A$3:$A$500,MATCH(A501,'WetLitterbags placem_collection'!$M$4:$M$500,0)),"")</f>
        <v/>
      </c>
      <c r="Q501" s="110">
        <f>IFERROR(INDEX('WetLitterbags placem_collection'!$A$3:$A$500,MATCH(A501,'WetLitterbags placem_collection'!$Q$4:$Q$500,0)),"")</f>
        <v>137</v>
      </c>
    </row>
    <row r="502" spans="1:17" ht="13.95" customHeight="1">
      <c r="A502" s="110" t="s">
        <v>926</v>
      </c>
      <c r="B502" s="110" t="s">
        <v>2077</v>
      </c>
      <c r="C502" s="110">
        <v>1.7432000000000001</v>
      </c>
      <c r="E502" s="112">
        <v>43116</v>
      </c>
      <c r="N502" s="110" t="str">
        <f>IFERROR(INDEX('WetLitterbags placem_collection'!$A$3:$A$500,MATCH(A502,'WetLitterbags placem_collection'!$K$4:$K$500,0)),"")</f>
        <v/>
      </c>
      <c r="O502" s="110" t="str">
        <f>IFERROR(INDEX('WetLitterbags placem_collection'!$A$3:$A$500,MATCH(A502,'WetLitterbags placem_collection'!$O$4:$O$500,0)),"")</f>
        <v/>
      </c>
      <c r="P502" s="110" t="str">
        <f>IFERROR(INDEX('WetLitterbags placem_collection'!$A$3:$A$500,MATCH(A502,'WetLitterbags placem_collection'!$M$4:$M$500,0)),"")</f>
        <v/>
      </c>
      <c r="Q502" s="110">
        <f>IFERROR(INDEX('WetLitterbags placem_collection'!$A$3:$A$500,MATCH(A502,'WetLitterbags placem_collection'!$Q$4:$Q$500,0)),"")</f>
        <v>166</v>
      </c>
    </row>
    <row r="503" spans="1:17" ht="13.95" customHeight="1">
      <c r="A503" s="110" t="s">
        <v>925</v>
      </c>
      <c r="B503" s="110">
        <v>189</v>
      </c>
      <c r="C503" s="110">
        <v>1.6973</v>
      </c>
      <c r="E503" s="112">
        <v>43125</v>
      </c>
      <c r="N503" s="110" t="str">
        <f>IFERROR(INDEX('WetLitterbags placem_collection'!$A$3:$A$500,MATCH(A503,'WetLitterbags placem_collection'!$K$4:$K$500,0)),"")</f>
        <v/>
      </c>
      <c r="O503" s="110" t="str">
        <f>IFERROR(INDEX('WetLitterbags placem_collection'!$A$3:$A$500,MATCH(A503,'WetLitterbags placem_collection'!$O$4:$O$500,0)),"")</f>
        <v/>
      </c>
      <c r="P503" s="110" t="str">
        <f>IFERROR(INDEX('WetLitterbags placem_collection'!$A$3:$A$500,MATCH(A503,'WetLitterbags placem_collection'!$M$4:$M$500,0)),"")</f>
        <v/>
      </c>
      <c r="Q503" s="110">
        <f>IFERROR(INDEX('WetLitterbags placem_collection'!$A$3:$A$500,MATCH(A503,'WetLitterbags placem_collection'!$Q$4:$Q$500,0)),"")</f>
        <v>188</v>
      </c>
    </row>
    <row r="504" spans="1:17" ht="13.95" customHeight="1">
      <c r="A504" s="110" t="s">
        <v>924</v>
      </c>
      <c r="B504" s="110" t="s">
        <v>2077</v>
      </c>
      <c r="C504" s="110">
        <v>1.5392999999999999</v>
      </c>
      <c r="E504" s="112">
        <v>43119</v>
      </c>
      <c r="N504" s="110" t="str">
        <f>IFERROR(INDEX('WetLitterbags placem_collection'!$A$3:$A$500,MATCH(A504,'WetLitterbags placem_collection'!$K$4:$K$500,0)),"")</f>
        <v/>
      </c>
      <c r="O504" s="110" t="str">
        <f>IFERROR(INDEX('WetLitterbags placem_collection'!$A$3:$A$500,MATCH(A504,'WetLitterbags placem_collection'!$O$4:$O$500,0)),"")</f>
        <v/>
      </c>
      <c r="P504" s="110" t="str">
        <f>IFERROR(INDEX('WetLitterbags placem_collection'!$A$3:$A$500,MATCH(A504,'WetLitterbags placem_collection'!$M$4:$M$500,0)),"")</f>
        <v/>
      </c>
      <c r="Q504" s="110">
        <f>IFERROR(INDEX('WetLitterbags placem_collection'!$A$3:$A$500,MATCH(A504,'WetLitterbags placem_collection'!$Q$4:$Q$500,0)),"")</f>
        <v>26</v>
      </c>
    </row>
    <row r="505" spans="1:17" ht="13.95" customHeight="1">
      <c r="A505" s="110" t="s">
        <v>923</v>
      </c>
      <c r="B505" s="110">
        <v>201</v>
      </c>
      <c r="C505" s="110">
        <v>1.5928</v>
      </c>
      <c r="D505" s="110" t="s">
        <v>2115</v>
      </c>
      <c r="E505" s="112">
        <v>43116</v>
      </c>
      <c r="N505" s="110" t="str">
        <f>IFERROR(INDEX('WetLitterbags placem_collection'!$A$3:$A$500,MATCH(A505,'WetLitterbags placem_collection'!$K$4:$K$500,0)),"")</f>
        <v/>
      </c>
      <c r="O505" s="110" t="str">
        <f>IFERROR(INDEX('WetLitterbags placem_collection'!$A$3:$A$500,MATCH(A505,'WetLitterbags placem_collection'!$O$4:$O$500,0)),"")</f>
        <v/>
      </c>
      <c r="P505" s="110">
        <f>IFERROR(INDEX('WetLitterbags placem_collection'!$A$3:$A$500,MATCH(A505,'WetLitterbags placem_collection'!$M$4:$M$500,0)),"")</f>
        <v>200</v>
      </c>
      <c r="Q505" s="110" t="str">
        <f>IFERROR(INDEX('WetLitterbags placem_collection'!$A$3:$A$500,MATCH(A505,'WetLitterbags placem_collection'!$Q$4:$Q$500,0)),"")</f>
        <v/>
      </c>
    </row>
    <row r="506" spans="1:17" ht="13.95" customHeight="1">
      <c r="A506" s="110" t="s">
        <v>922</v>
      </c>
      <c r="B506" s="110" t="s">
        <v>2083</v>
      </c>
      <c r="C506" s="110">
        <v>1.5786</v>
      </c>
      <c r="D506" s="110" t="s">
        <v>2096</v>
      </c>
      <c r="E506" s="112">
        <v>43125</v>
      </c>
      <c r="N506" s="110" t="str">
        <f>IFERROR(INDEX('WetLitterbags placem_collection'!$A$3:$A$500,MATCH(A506,'WetLitterbags placem_collection'!$K$4:$K$500,0)),"")</f>
        <v/>
      </c>
      <c r="O506" s="110" t="str">
        <f>IFERROR(INDEX('WetLitterbags placem_collection'!$A$3:$A$500,MATCH(A506,'WetLitterbags placem_collection'!$O$4:$O$500,0)),"")</f>
        <v/>
      </c>
      <c r="P506" s="110">
        <f>IFERROR(INDEX('WetLitterbags placem_collection'!$A$3:$A$500,MATCH(A506,'WetLitterbags placem_collection'!$M$4:$M$500,0)),"")</f>
        <v>196</v>
      </c>
      <c r="Q506" s="110" t="str">
        <f>IFERROR(INDEX('WetLitterbags placem_collection'!$A$3:$A$500,MATCH(A506,'WetLitterbags placem_collection'!$Q$4:$Q$500,0)),"")</f>
        <v/>
      </c>
    </row>
    <row r="507" spans="1:17" ht="13.95" customHeight="1">
      <c r="A507" s="110" t="s">
        <v>1119</v>
      </c>
      <c r="B507" s="110">
        <v>83</v>
      </c>
      <c r="C507" s="110">
        <v>1.637</v>
      </c>
      <c r="E507" s="112">
        <v>42881</v>
      </c>
      <c r="N507" s="110" t="str">
        <f>IFERROR(INDEX('WetLitterbags placem_collection'!$A$3:$A$500,MATCH(A507,'WetLitterbags placem_collection'!$K$4:$K$500,0)),"")</f>
        <v/>
      </c>
      <c r="O507" s="110" t="str">
        <f>IFERROR(INDEX('WetLitterbags placem_collection'!$A$3:$A$500,MATCH(A507,'WetLitterbags placem_collection'!$O$4:$O$500,0)),"")</f>
        <v/>
      </c>
      <c r="P507" s="110" t="str">
        <f>IFERROR(INDEX('WetLitterbags placem_collection'!$A$3:$A$500,MATCH(A507,'WetLitterbags placem_collection'!$M$4:$M$500,0)),"")</f>
        <v/>
      </c>
      <c r="Q507" s="110">
        <f>IFERROR(INDEX('WetLitterbags placem_collection'!$A$3:$A$500,MATCH(A507,'WetLitterbags placem_collection'!$Q$4:$Q$500,0)),"")</f>
        <v>82</v>
      </c>
    </row>
    <row r="508" spans="1:17" ht="13.95" customHeight="1">
      <c r="A508" s="110" t="s">
        <v>919</v>
      </c>
      <c r="B508" s="110" t="s">
        <v>2077</v>
      </c>
      <c r="C508" s="110">
        <v>1.5732999999999999</v>
      </c>
      <c r="D508" s="110" t="s">
        <v>2125</v>
      </c>
      <c r="E508" s="112">
        <v>43122</v>
      </c>
      <c r="N508" s="110" t="str">
        <f>IFERROR(INDEX('WetLitterbags placem_collection'!$A$3:$A$500,MATCH(A508,'WetLitterbags placem_collection'!$K$4:$K$500,0)),"")</f>
        <v/>
      </c>
      <c r="O508" s="110" t="str">
        <f>IFERROR(INDEX('WetLitterbags placem_collection'!$A$3:$A$500,MATCH(A508,'WetLitterbags placem_collection'!$O$4:$O$500,0)),"")</f>
        <v/>
      </c>
      <c r="P508" s="110" t="str">
        <f>IFERROR(INDEX('WetLitterbags placem_collection'!$A$3:$A$500,MATCH(A508,'WetLitterbags placem_collection'!$M$4:$M$500,0)),"")</f>
        <v/>
      </c>
      <c r="Q508" s="110">
        <f>IFERROR(INDEX('WetLitterbags placem_collection'!$A$3:$A$500,MATCH(A508,'WetLitterbags placem_collection'!$Q$4:$Q$500,0)),"")</f>
        <v>187</v>
      </c>
    </row>
    <row r="509" spans="1:17" ht="13.95" customHeight="1">
      <c r="A509" s="182" t="s">
        <v>913</v>
      </c>
      <c r="B509" s="110">
        <v>77</v>
      </c>
      <c r="C509" s="110">
        <v>2.2429999999999999</v>
      </c>
      <c r="E509" s="112">
        <v>42879</v>
      </c>
      <c r="N509" s="110" t="str">
        <f>IFERROR(INDEX('WetLitterbags placem_collection'!$A$3:$A$500,MATCH(A509,'WetLitterbags placem_collection'!$K$4:$K$500,0)),"")</f>
        <v/>
      </c>
      <c r="O509" s="110" t="str">
        <f>IFERROR(INDEX('WetLitterbags placem_collection'!$A$3:$A$500,MATCH(A509,'WetLitterbags placem_collection'!$O$4:$O$500,0)),"")</f>
        <v/>
      </c>
      <c r="P509" s="110" t="str">
        <f>IFERROR(INDEX('WetLitterbags placem_collection'!$A$3:$A$500,MATCH(A509,'WetLitterbags placem_collection'!$M$4:$M$500,0)),"")</f>
        <v/>
      </c>
      <c r="Q509" s="110">
        <f>IFERROR(INDEX('WetLitterbags placem_collection'!$A$3:$A$500,MATCH(A509,'WetLitterbags placem_collection'!$Q$4:$Q$500,0)),"")</f>
        <v>76</v>
      </c>
    </row>
    <row r="510" spans="1:17" ht="13.95" customHeight="1">
      <c r="A510" s="110" t="s">
        <v>1118</v>
      </c>
      <c r="B510">
        <v>59</v>
      </c>
      <c r="C510" s="110">
        <v>1.38</v>
      </c>
      <c r="D510" s="110" t="s">
        <v>2134</v>
      </c>
      <c r="E510" s="112">
        <v>42878</v>
      </c>
      <c r="N510" s="110" t="str">
        <f>IFERROR(INDEX('WetLitterbags placem_collection'!$A$3:$A$500,MATCH(A510,'WetLitterbags placem_collection'!$K$4:$K$500,0)),"")</f>
        <v/>
      </c>
      <c r="O510" s="110" t="str">
        <f>IFERROR(INDEX('WetLitterbags placem_collection'!$A$3:$A$500,MATCH(A510,'WetLitterbags placem_collection'!$O$4:$O$500,0)),"")</f>
        <v/>
      </c>
      <c r="P510" s="110">
        <f>IFERROR(INDEX('WetLitterbags placem_collection'!$A$3:$A$500,MATCH(A510,'WetLitterbags placem_collection'!$M$4:$M$500,0)),"")</f>
        <v>58</v>
      </c>
      <c r="Q510" s="110" t="str">
        <f>IFERROR(INDEX('WetLitterbags placem_collection'!$A$3:$A$500,MATCH(A510,'WetLitterbags placem_collection'!$Q$4:$Q$500,0)),"")</f>
        <v/>
      </c>
    </row>
    <row r="511" spans="1:17" ht="13.95" customHeight="1">
      <c r="A511" s="110" t="s">
        <v>909</v>
      </c>
      <c r="B511" s="110" t="s">
        <v>2077</v>
      </c>
      <c r="C511" s="110">
        <v>1.7355</v>
      </c>
      <c r="E511" s="112">
        <v>43119</v>
      </c>
      <c r="N511" s="110" t="str">
        <f>IFERROR(INDEX('WetLitterbags placem_collection'!$A$3:$A$500,MATCH(A511,'WetLitterbags placem_collection'!$K$4:$K$500,0)),"")</f>
        <v/>
      </c>
      <c r="O511" s="110" t="str">
        <f>IFERROR(INDEX('WetLitterbags placem_collection'!$A$3:$A$500,MATCH(A511,'WetLitterbags placem_collection'!$O$4:$O$500,0)),"")</f>
        <v/>
      </c>
      <c r="P511" s="110" t="str">
        <f>IFERROR(INDEX('WetLitterbags placem_collection'!$A$3:$A$500,MATCH(A511,'WetLitterbags placem_collection'!$M$4:$M$500,0)),"")</f>
        <v/>
      </c>
      <c r="Q511" s="110">
        <f>IFERROR(INDEX('WetLitterbags placem_collection'!$A$3:$A$500,MATCH(A511,'WetLitterbags placem_collection'!$Q$4:$Q$500,0)),"")</f>
        <v>189</v>
      </c>
    </row>
    <row r="512" spans="1:17" ht="13.95" customHeight="1">
      <c r="A512" s="110" t="s">
        <v>907</v>
      </c>
      <c r="B512" s="110">
        <v>207</v>
      </c>
      <c r="C512" s="110">
        <v>1.7410000000000001</v>
      </c>
      <c r="E512" s="112">
        <v>42879</v>
      </c>
      <c r="N512" s="110" t="str">
        <f>IFERROR(INDEX('WetLitterbags placem_collection'!$A$3:$A$500,MATCH(A512,'WetLitterbags placem_collection'!$K$4:$K$500,0)),"")</f>
        <v/>
      </c>
      <c r="O512" s="110" t="str">
        <f>IFERROR(INDEX('WetLitterbags placem_collection'!$A$3:$A$500,MATCH(A512,'WetLitterbags placem_collection'!$O$4:$O$500,0)),"")</f>
        <v/>
      </c>
      <c r="P512" s="110">
        <f>IFERROR(INDEX('WetLitterbags placem_collection'!$A$3:$A$500,MATCH(A512,'WetLitterbags placem_collection'!$M$4:$M$500,0)),"")</f>
        <v>205</v>
      </c>
      <c r="Q512" s="110" t="str">
        <f>IFERROR(INDEX('WetLitterbags placem_collection'!$A$3:$A$500,MATCH(A512,'WetLitterbags placem_collection'!$Q$4:$Q$500,0)),"")</f>
        <v/>
      </c>
    </row>
    <row r="513" spans="1:17" ht="13.95" customHeight="1">
      <c r="A513" s="110" t="s">
        <v>906</v>
      </c>
      <c r="B513" s="110">
        <v>79</v>
      </c>
      <c r="C513" s="110">
        <v>1.5528</v>
      </c>
      <c r="E513" s="112">
        <v>43125</v>
      </c>
      <c r="N513" s="110" t="str">
        <f>IFERROR(INDEX('WetLitterbags placem_collection'!$A$3:$A$500,MATCH(A513,'WetLitterbags placem_collection'!$K$4:$K$500,0)),"")</f>
        <v/>
      </c>
      <c r="O513" s="110" t="str">
        <f>IFERROR(INDEX('WetLitterbags placem_collection'!$A$3:$A$500,MATCH(A513,'WetLitterbags placem_collection'!$O$4:$O$500,0)),"")</f>
        <v/>
      </c>
      <c r="P513" s="110">
        <f>IFERROR(INDEX('WetLitterbags placem_collection'!$A$3:$A$500,MATCH(A513,'WetLitterbags placem_collection'!$M$4:$M$500,0)),"")</f>
        <v>78</v>
      </c>
      <c r="Q513" s="110" t="str">
        <f>IFERROR(INDEX('WetLitterbags placem_collection'!$A$3:$A$500,MATCH(A513,'WetLitterbags placem_collection'!$Q$4:$Q$500,0)),"")</f>
        <v/>
      </c>
    </row>
    <row r="514" spans="1:17" ht="13.95" customHeight="1">
      <c r="A514" s="110" t="s">
        <v>1117</v>
      </c>
      <c r="B514" s="110">
        <v>34</v>
      </c>
      <c r="C514" s="110">
        <v>1.4662999999999999</v>
      </c>
      <c r="E514" s="112">
        <v>43125</v>
      </c>
      <c r="N514" s="110" t="str">
        <f>IFERROR(INDEX('WetLitterbags placem_collection'!$A$3:$A$500,MATCH(A514,'WetLitterbags placem_collection'!$K$4:$K$500,0)),"")</f>
        <v/>
      </c>
      <c r="O514" s="110" t="str">
        <f>IFERROR(INDEX('WetLitterbags placem_collection'!$A$3:$A$500,MATCH(A514,'WetLitterbags placem_collection'!$O$4:$O$500,0)),"")</f>
        <v/>
      </c>
      <c r="P514" s="110" t="str">
        <f>IFERROR(INDEX('WetLitterbags placem_collection'!$A$3:$A$500,MATCH(A514,'WetLitterbags placem_collection'!$M$4:$M$500,0)),"")</f>
        <v/>
      </c>
      <c r="Q514" s="110">
        <f>IFERROR(INDEX('WetLitterbags placem_collection'!$A$3:$A$500,MATCH(A514,'WetLitterbags placem_collection'!$Q$4:$Q$500,0)),"")</f>
        <v>33</v>
      </c>
    </row>
    <row r="515" spans="1:17" ht="13.95" customHeight="1">
      <c r="A515" s="110" t="s">
        <v>900</v>
      </c>
      <c r="B515" s="110">
        <v>216</v>
      </c>
      <c r="C515" s="110">
        <v>1.5349999999999999</v>
      </c>
      <c r="E515" s="112">
        <v>42879</v>
      </c>
      <c r="N515" s="110" t="str">
        <f>IFERROR(INDEX('WetLitterbags placem_collection'!$A$3:$A$500,MATCH(A515,'WetLitterbags placem_collection'!$K$4:$K$500,0)),"")</f>
        <v/>
      </c>
      <c r="O515" s="110" t="str">
        <f>IFERROR(INDEX('WetLitterbags placem_collection'!$A$3:$A$500,MATCH(A515,'WetLitterbags placem_collection'!$O$4:$O$500,0)),"")</f>
        <v/>
      </c>
      <c r="P515" s="110">
        <f>IFERROR(INDEX('WetLitterbags placem_collection'!$A$3:$A$500,MATCH(A515,'WetLitterbags placem_collection'!$M$4:$M$500,0)),"")</f>
        <v>215</v>
      </c>
      <c r="Q515" s="110" t="str">
        <f>IFERROR(INDEX('WetLitterbags placem_collection'!$A$3:$A$500,MATCH(A515,'WetLitterbags placem_collection'!$Q$4:$Q$500,0)),"")</f>
        <v/>
      </c>
    </row>
    <row r="516" spans="1:17" ht="13.95" customHeight="1">
      <c r="A516" s="110" t="s">
        <v>1116</v>
      </c>
      <c r="B516" s="110">
        <v>195</v>
      </c>
      <c r="C516" s="110">
        <v>1.3527</v>
      </c>
      <c r="E516" s="112">
        <v>43125</v>
      </c>
      <c r="N516" s="110" t="str">
        <f>IFERROR(INDEX('WetLitterbags placem_collection'!$A$3:$A$500,MATCH(A516,'WetLitterbags placem_collection'!$K$4:$K$500,0)),"")</f>
        <v/>
      </c>
      <c r="O516" s="110" t="str">
        <f>IFERROR(INDEX('WetLitterbags placem_collection'!$A$3:$A$500,MATCH(A516,'WetLitterbags placem_collection'!$O$4:$O$500,0)),"")</f>
        <v/>
      </c>
      <c r="P516" s="110" t="str">
        <f>IFERROR(INDEX('WetLitterbags placem_collection'!$A$3:$A$500,MATCH(A516,'WetLitterbags placem_collection'!$M$4:$M$500,0)),"")</f>
        <v/>
      </c>
      <c r="Q516" s="110">
        <f>IFERROR(INDEX('WetLitterbags placem_collection'!$A$3:$A$500,MATCH(A516,'WetLitterbags placem_collection'!$Q$4:$Q$500,0)),"")</f>
        <v>194</v>
      </c>
    </row>
    <row r="517" spans="1:17" ht="13.95" customHeight="1">
      <c r="A517" s="110" t="s">
        <v>891</v>
      </c>
      <c r="B517" s="110" t="s">
        <v>2077</v>
      </c>
      <c r="C517" s="110">
        <v>1.5303</v>
      </c>
      <c r="E517" s="112">
        <v>43122</v>
      </c>
      <c r="N517" s="110" t="str">
        <f>IFERROR(INDEX('WetLitterbags placem_collection'!$A$3:$A$500,MATCH(A517,'WetLitterbags placem_collection'!$K$4:$K$500,0)),"")</f>
        <v/>
      </c>
      <c r="O517" s="110" t="str">
        <f>IFERROR(INDEX('WetLitterbags placem_collection'!$A$3:$A$500,MATCH(A517,'WetLitterbags placem_collection'!$O$4:$O$500,0)),"")</f>
        <v/>
      </c>
      <c r="P517" s="110">
        <f>IFERROR(INDEX('WetLitterbags placem_collection'!$A$3:$A$500,MATCH(A517,'WetLitterbags placem_collection'!$M$4:$M$500,0)),"")</f>
        <v>219</v>
      </c>
      <c r="Q517" s="110" t="str">
        <f>IFERROR(INDEX('WetLitterbags placem_collection'!$A$3:$A$500,MATCH(A517,'WetLitterbags placem_collection'!$Q$4:$Q$500,0)),"")</f>
        <v/>
      </c>
    </row>
    <row r="518" spans="1:17" ht="13.95" customHeight="1">
      <c r="A518" s="110" t="s">
        <v>890</v>
      </c>
      <c r="B518" s="110">
        <v>69</v>
      </c>
      <c r="C518" s="110">
        <v>1.8979999999999999</v>
      </c>
      <c r="E518" s="112">
        <v>42881</v>
      </c>
      <c r="N518" s="110" t="str">
        <f>IFERROR(INDEX('WetLitterbags placem_collection'!$A$3:$A$500,MATCH(A518,'WetLitterbags placem_collection'!$K$4:$K$500,0)),"")</f>
        <v/>
      </c>
      <c r="O518" s="110" t="str">
        <f>IFERROR(INDEX('WetLitterbags placem_collection'!$A$3:$A$500,MATCH(A518,'WetLitterbags placem_collection'!$O$4:$O$500,0)),"")</f>
        <v/>
      </c>
      <c r="P518" s="110" t="str">
        <f>IFERROR(INDEX('WetLitterbags placem_collection'!$A$3:$A$500,MATCH(A518,'WetLitterbags placem_collection'!$M$4:$M$500,0)),"")</f>
        <v/>
      </c>
      <c r="Q518" s="110">
        <f>IFERROR(INDEX('WetLitterbags placem_collection'!$A$3:$A$500,MATCH(A518,'WetLitterbags placem_collection'!$Q$4:$Q$500,0)),"")</f>
        <v>68</v>
      </c>
    </row>
    <row r="519" spans="1:17" ht="13.95" customHeight="1">
      <c r="A519" s="110" t="s">
        <v>889</v>
      </c>
      <c r="B519" s="110" t="s">
        <v>2077</v>
      </c>
      <c r="C519" s="110">
        <v>1.6584000000000001</v>
      </c>
      <c r="E519" s="112">
        <v>43116</v>
      </c>
      <c r="N519" s="110" t="str">
        <f>IFERROR(INDEX('WetLitterbags placem_collection'!$A$3:$A$500,MATCH(A519,'WetLitterbags placem_collection'!$K$4:$K$500,0)),"")</f>
        <v/>
      </c>
      <c r="O519" s="110" t="str">
        <f>IFERROR(INDEX('WetLitterbags placem_collection'!$A$3:$A$500,MATCH(A519,'WetLitterbags placem_collection'!$O$4:$O$500,0)),"")</f>
        <v/>
      </c>
      <c r="P519" s="110" t="str">
        <f>IFERROR(INDEX('WetLitterbags placem_collection'!$A$3:$A$500,MATCH(A519,'WetLitterbags placem_collection'!$M$4:$M$500,0)),"")</f>
        <v/>
      </c>
      <c r="Q519" s="110">
        <f>IFERROR(INDEX('WetLitterbags placem_collection'!$A$3:$A$500,MATCH(A519,'WetLitterbags placem_collection'!$Q$4:$Q$500,0)),"")</f>
        <v>65</v>
      </c>
    </row>
    <row r="520" spans="1:17" ht="13.95" customHeight="1">
      <c r="A520" s="110" t="s">
        <v>888</v>
      </c>
      <c r="B520" s="110">
        <v>161</v>
      </c>
      <c r="C520" s="110">
        <v>1.7033</v>
      </c>
      <c r="E520" s="112">
        <v>43125</v>
      </c>
      <c r="N520" s="110" t="str">
        <f>IFERROR(INDEX('WetLitterbags placem_collection'!$A$3:$A$500,MATCH(A520,'WetLitterbags placem_collection'!$K$4:$K$500,0)),"")</f>
        <v/>
      </c>
      <c r="O520" s="110" t="str">
        <f>IFERROR(INDEX('WetLitterbags placem_collection'!$A$3:$A$500,MATCH(A520,'WetLitterbags placem_collection'!$O$4:$O$500,0)),"")</f>
        <v/>
      </c>
      <c r="P520" s="110" t="str">
        <f>IFERROR(INDEX('WetLitterbags placem_collection'!$A$3:$A$500,MATCH(A520,'WetLitterbags placem_collection'!$M$4:$M$500,0)),"")</f>
        <v/>
      </c>
      <c r="Q520" s="110">
        <f>IFERROR(INDEX('WetLitterbags placem_collection'!$A$3:$A$500,MATCH(A520,'WetLitterbags placem_collection'!$Q$4:$Q$500,0)),"")</f>
        <v>160</v>
      </c>
    </row>
    <row r="521" spans="1:17" ht="13.95" customHeight="1">
      <c r="A521" s="110" t="s">
        <v>886</v>
      </c>
      <c r="B521" s="110" t="s">
        <v>2077</v>
      </c>
      <c r="C521" s="110">
        <v>1.7073</v>
      </c>
      <c r="D521" s="110" t="s">
        <v>2120</v>
      </c>
      <c r="E521" s="112">
        <v>43122</v>
      </c>
      <c r="N521" s="110" t="str">
        <f>IFERROR(INDEX('WetLitterbags placem_collection'!$A$3:$A$500,MATCH(A521,'WetLitterbags placem_collection'!$K$4:$K$500,0)),"")</f>
        <v/>
      </c>
      <c r="O521" s="110" t="str">
        <f>IFERROR(INDEX('WetLitterbags placem_collection'!$A$3:$A$500,MATCH(A521,'WetLitterbags placem_collection'!$O$4:$O$500,0)),"")</f>
        <v/>
      </c>
      <c r="P521" s="110">
        <f>IFERROR(INDEX('WetLitterbags placem_collection'!$A$3:$A$500,MATCH(A521,'WetLitterbags placem_collection'!$M$4:$M$500,0)),"")</f>
        <v>166</v>
      </c>
      <c r="Q521" s="110" t="str">
        <f>IFERROR(INDEX('WetLitterbags placem_collection'!$A$3:$A$500,MATCH(A521,'WetLitterbags placem_collection'!$Q$4:$Q$500,0)),"")</f>
        <v/>
      </c>
    </row>
    <row r="522" spans="1:17" ht="13.95" customHeight="1">
      <c r="A522" s="110" t="s">
        <v>883</v>
      </c>
      <c r="B522" s="113">
        <v>206</v>
      </c>
      <c r="C522" s="110">
        <v>1.5820000000000001</v>
      </c>
      <c r="E522" s="112">
        <v>42879</v>
      </c>
      <c r="N522" s="110" t="str">
        <f>IFERROR(INDEX('WetLitterbags placem_collection'!$A$3:$A$500,MATCH(A522,'WetLitterbags placem_collection'!$K$4:$K$500,0)),"")</f>
        <v/>
      </c>
      <c r="O522" s="110" t="str">
        <f>IFERROR(INDEX('WetLitterbags placem_collection'!$A$3:$A$500,MATCH(A522,'WetLitterbags placem_collection'!$O$4:$O$500,0)),"")</f>
        <v/>
      </c>
      <c r="P522" s="110">
        <f>IFERROR(INDEX('WetLitterbags placem_collection'!$A$3:$A$500,MATCH(A522,'WetLitterbags placem_collection'!$M$4:$M$500,0)),"")</f>
        <v>206</v>
      </c>
      <c r="Q522" s="110" t="str">
        <f>IFERROR(INDEX('WetLitterbags placem_collection'!$A$3:$A$500,MATCH(A522,'WetLitterbags placem_collection'!$Q$4:$Q$500,0)),"")</f>
        <v/>
      </c>
    </row>
    <row r="523" spans="1:17" ht="13.95" customHeight="1">
      <c r="A523" s="110" t="s">
        <v>882</v>
      </c>
      <c r="B523" s="110" t="s">
        <v>2077</v>
      </c>
      <c r="C523" s="110">
        <v>1.7169000000000001</v>
      </c>
      <c r="E523" s="112">
        <v>43122</v>
      </c>
      <c r="N523" s="110" t="str">
        <f>IFERROR(INDEX('WetLitterbags placem_collection'!$A$3:$A$500,MATCH(A523,'WetLitterbags placem_collection'!$K$4:$K$500,0)),"")</f>
        <v/>
      </c>
      <c r="O523" s="110" t="str">
        <f>IFERROR(INDEX('WetLitterbags placem_collection'!$A$3:$A$500,MATCH(A523,'WetLitterbags placem_collection'!$O$4:$O$500,0)),"")</f>
        <v/>
      </c>
      <c r="P523" s="110" t="str">
        <f>IFERROR(INDEX('WetLitterbags placem_collection'!$A$3:$A$500,MATCH(A523,'WetLitterbags placem_collection'!$M$4:$M$500,0)),"")</f>
        <v/>
      </c>
      <c r="Q523" s="110">
        <f>IFERROR(INDEX('WetLitterbags placem_collection'!$A$3:$A$500,MATCH(A523,'WetLitterbags placem_collection'!$Q$4:$Q$500,0)),"")</f>
        <v>165</v>
      </c>
    </row>
    <row r="524" spans="1:17" ht="13.95" customHeight="1">
      <c r="A524" s="110" t="s">
        <v>1115</v>
      </c>
      <c r="B524" s="110">
        <v>102</v>
      </c>
      <c r="C524" s="110">
        <v>1.6240000000000001</v>
      </c>
      <c r="E524" s="112">
        <v>42881</v>
      </c>
      <c r="N524" s="110" t="str">
        <f>IFERROR(INDEX('WetLitterbags placem_collection'!$A$3:$A$500,MATCH(A524,'WetLitterbags placem_collection'!$K$4:$K$500,0)),"")</f>
        <v/>
      </c>
      <c r="O524" s="110" t="str">
        <f>IFERROR(INDEX('WetLitterbags placem_collection'!$A$3:$A$500,MATCH(A524,'WetLitterbags placem_collection'!$O$4:$O$500,0)),"")</f>
        <v/>
      </c>
      <c r="P524" s="110" t="str">
        <f>IFERROR(INDEX('WetLitterbags placem_collection'!$A$3:$A$500,MATCH(A524,'WetLitterbags placem_collection'!$M$4:$M$500,0)),"")</f>
        <v/>
      </c>
      <c r="Q524" s="110">
        <f>IFERROR(INDEX('WetLitterbags placem_collection'!$A$3:$A$500,MATCH(A524,'WetLitterbags placem_collection'!$Q$4:$Q$500,0)),"")</f>
        <v>101</v>
      </c>
    </row>
    <row r="525" spans="1:17" ht="13.95" customHeight="1">
      <c r="A525" s="110" t="s">
        <v>879</v>
      </c>
      <c r="B525" s="110">
        <v>177</v>
      </c>
      <c r="C525" s="110">
        <v>1.671</v>
      </c>
      <c r="E525" s="112">
        <v>42881</v>
      </c>
      <c r="N525" s="110" t="str">
        <f>IFERROR(INDEX('WetLitterbags placem_collection'!$A$3:$A$500,MATCH(A525,'WetLitterbags placem_collection'!$K$4:$K$500,0)),"")</f>
        <v/>
      </c>
      <c r="O525" s="110" t="str">
        <f>IFERROR(INDEX('WetLitterbags placem_collection'!$A$3:$A$500,MATCH(A525,'WetLitterbags placem_collection'!$O$4:$O$500,0)),"")</f>
        <v/>
      </c>
      <c r="P525" s="110">
        <f>IFERROR(INDEX('WetLitterbags placem_collection'!$A$3:$A$500,MATCH(A525,'WetLitterbags placem_collection'!$M$4:$M$500,0)),"")</f>
        <v>176</v>
      </c>
      <c r="Q525" s="110" t="str">
        <f>IFERROR(INDEX('WetLitterbags placem_collection'!$A$3:$A$500,MATCH(A525,'WetLitterbags placem_collection'!$Q$4:$Q$500,0)),"")</f>
        <v/>
      </c>
    </row>
    <row r="526" spans="1:17" ht="13.95" customHeight="1">
      <c r="A526" s="110" t="s">
        <v>878</v>
      </c>
      <c r="B526" s="110">
        <v>192</v>
      </c>
      <c r="C526" s="110">
        <v>1.0369999999999999</v>
      </c>
      <c r="E526" s="112">
        <v>42881</v>
      </c>
      <c r="N526" s="110" t="str">
        <f>IFERROR(INDEX('WetLitterbags placem_collection'!$A$3:$A$500,MATCH(A526,'WetLitterbags placem_collection'!$K$4:$K$500,0)),"")</f>
        <v/>
      </c>
      <c r="O526" s="110" t="str">
        <f>IFERROR(INDEX('WetLitterbags placem_collection'!$A$3:$A$500,MATCH(A526,'WetLitterbags placem_collection'!$O$4:$O$500,0)),"")</f>
        <v/>
      </c>
      <c r="P526" s="110">
        <f>IFERROR(INDEX('WetLitterbags placem_collection'!$A$3:$A$500,MATCH(A526,'WetLitterbags placem_collection'!$M$4:$M$500,0)),"")</f>
        <v>191</v>
      </c>
      <c r="Q526" s="110" t="str">
        <f>IFERROR(INDEX('WetLitterbags placem_collection'!$A$3:$A$500,MATCH(A526,'WetLitterbags placem_collection'!$Q$4:$Q$500,0)),"")</f>
        <v/>
      </c>
    </row>
    <row r="527" spans="1:17" ht="13.95" customHeight="1">
      <c r="A527" s="110" t="s">
        <v>877</v>
      </c>
      <c r="B527" s="110">
        <v>64</v>
      </c>
      <c r="C527" s="110">
        <v>1.7050000000000001</v>
      </c>
      <c r="E527" s="112">
        <v>42879</v>
      </c>
      <c r="N527" s="110" t="str">
        <f>IFERROR(INDEX('WetLitterbags placem_collection'!$A$3:$A$500,MATCH(A527,'WetLitterbags placem_collection'!$K$4:$K$500,0)),"")</f>
        <v/>
      </c>
      <c r="O527" s="110" t="str">
        <f>IFERROR(INDEX('WetLitterbags placem_collection'!$A$3:$A$500,MATCH(A527,'WetLitterbags placem_collection'!$O$4:$O$500,0)),"")</f>
        <v/>
      </c>
      <c r="P527" s="110" t="str">
        <f>IFERROR(INDEX('WetLitterbags placem_collection'!$A$3:$A$500,MATCH(A527,'WetLitterbags placem_collection'!$M$4:$M$500,0)),"")</f>
        <v/>
      </c>
      <c r="Q527" s="110">
        <f>IFERROR(INDEX('WetLitterbags placem_collection'!$A$3:$A$500,MATCH(A527,'WetLitterbags placem_collection'!$Q$4:$Q$500,0)),"")</f>
        <v>163</v>
      </c>
    </row>
    <row r="528" spans="1:17" ht="13.95" customHeight="1">
      <c r="A528" s="110" t="s">
        <v>876</v>
      </c>
      <c r="B528" s="110">
        <v>205</v>
      </c>
      <c r="C528" s="110">
        <v>1.6680999999999999</v>
      </c>
      <c r="D528" s="110" t="s">
        <v>2079</v>
      </c>
      <c r="E528" s="112">
        <v>43123</v>
      </c>
      <c r="N528" s="110" t="str">
        <f>IFERROR(INDEX('WetLitterbags placem_collection'!$A$3:$A$500,MATCH(A528,'WetLitterbags placem_collection'!$K$4:$K$500,0)),"")</f>
        <v/>
      </c>
      <c r="O528" s="110" t="str">
        <f>IFERROR(INDEX('WetLitterbags placem_collection'!$A$3:$A$500,MATCH(A528,'WetLitterbags placem_collection'!$O$4:$O$500,0)),"")</f>
        <v/>
      </c>
      <c r="P528" s="110">
        <f>IFERROR(INDEX('WetLitterbags placem_collection'!$A$3:$A$500,MATCH(A528,'WetLitterbags placem_collection'!$M$4:$M$500,0)),"")</f>
        <v>204</v>
      </c>
      <c r="Q528" s="110" t="str">
        <f>IFERROR(INDEX('WetLitterbags placem_collection'!$A$3:$A$500,MATCH(A528,'WetLitterbags placem_collection'!$Q$4:$Q$500,0)),"")</f>
        <v/>
      </c>
    </row>
    <row r="529" spans="1:17" ht="13.95" customHeight="1">
      <c r="A529" s="110" t="s">
        <v>875</v>
      </c>
      <c r="B529">
        <v>70</v>
      </c>
      <c r="C529" s="110">
        <v>1.599</v>
      </c>
      <c r="E529" s="112">
        <v>42878</v>
      </c>
      <c r="N529" s="110" t="str">
        <f>IFERROR(INDEX('WetLitterbags placem_collection'!$A$3:$A$500,MATCH(A529,'WetLitterbags placem_collection'!$K$4:$K$500,0)),"")</f>
        <v/>
      </c>
      <c r="O529" s="110" t="str">
        <f>IFERROR(INDEX('WetLitterbags placem_collection'!$A$3:$A$500,MATCH(A529,'WetLitterbags placem_collection'!$O$4:$O$500,0)),"")</f>
        <v/>
      </c>
      <c r="P529" s="110" t="str">
        <f>IFERROR(INDEX('WetLitterbags placem_collection'!$A$3:$A$500,MATCH(A529,'WetLitterbags placem_collection'!$M$4:$M$500,0)),"")</f>
        <v/>
      </c>
      <c r="Q529" s="110">
        <f>IFERROR(INDEX('WetLitterbags placem_collection'!$A$3:$A$500,MATCH(A529,'WetLitterbags placem_collection'!$Q$4:$Q$500,0)),"")</f>
        <v>69</v>
      </c>
    </row>
    <row r="530" spans="1:17" ht="13.95" customHeight="1">
      <c r="A530" s="110" t="s">
        <v>873</v>
      </c>
      <c r="B530" s="110">
        <v>180</v>
      </c>
      <c r="C530" s="110">
        <v>1.6403000000000001</v>
      </c>
      <c r="E530" s="112">
        <v>43119</v>
      </c>
      <c r="N530" s="110" t="str">
        <f>IFERROR(INDEX('WetLitterbags placem_collection'!$A$3:$A$500,MATCH(A530,'WetLitterbags placem_collection'!$K$4:$K$500,0)),"")</f>
        <v/>
      </c>
      <c r="O530" s="110" t="str">
        <f>IFERROR(INDEX('WetLitterbags placem_collection'!$A$3:$A$500,MATCH(A530,'WetLitterbags placem_collection'!$O$4:$O$500,0)),"")</f>
        <v/>
      </c>
      <c r="P530" s="110">
        <f>IFERROR(INDEX('WetLitterbags placem_collection'!$A$3:$A$500,MATCH(A530,'WetLitterbags placem_collection'!$M$4:$M$500,0)),"")</f>
        <v>179</v>
      </c>
      <c r="Q530" s="110" t="str">
        <f>IFERROR(INDEX('WetLitterbags placem_collection'!$A$3:$A$500,MATCH(A530,'WetLitterbags placem_collection'!$Q$4:$Q$500,0)),"")</f>
        <v/>
      </c>
    </row>
    <row r="531" spans="1:17" ht="13.95" customHeight="1">
      <c r="A531" s="110" t="s">
        <v>1114</v>
      </c>
      <c r="B531" s="110">
        <v>145</v>
      </c>
      <c r="C531" s="110">
        <v>1.6830000000000001</v>
      </c>
      <c r="E531" s="112">
        <v>42878</v>
      </c>
      <c r="N531" s="110" t="str">
        <f>IFERROR(INDEX('WetLitterbags placem_collection'!$A$3:$A$500,MATCH(A531,'WetLitterbags placem_collection'!$K$4:$K$500,0)),"")</f>
        <v/>
      </c>
      <c r="O531" s="110" t="str">
        <f>IFERROR(INDEX('WetLitterbags placem_collection'!$A$3:$A$500,MATCH(A531,'WetLitterbags placem_collection'!$O$4:$O$500,0)),"")</f>
        <v/>
      </c>
      <c r="P531" s="110">
        <f>IFERROR(INDEX('WetLitterbags placem_collection'!$A$3:$A$500,MATCH(A531,'WetLitterbags placem_collection'!$M$4:$M$500,0)),"")</f>
        <v>144</v>
      </c>
      <c r="Q531" s="110" t="str">
        <f>IFERROR(INDEX('WetLitterbags placem_collection'!$A$3:$A$500,MATCH(A531,'WetLitterbags placem_collection'!$Q$4:$Q$500,0)),"")</f>
        <v/>
      </c>
    </row>
    <row r="532" spans="1:17" ht="13.95" customHeight="1">
      <c r="A532" s="110" t="s">
        <v>870</v>
      </c>
      <c r="B532" s="110">
        <v>209</v>
      </c>
      <c r="C532" s="110">
        <v>1.754</v>
      </c>
      <c r="E532" s="112">
        <v>42878</v>
      </c>
      <c r="N532" s="110" t="str">
        <f>IFERROR(INDEX('WetLitterbags placem_collection'!$A$3:$A$500,MATCH(A532,'WetLitterbags placem_collection'!$K$4:$K$500,0)),"")</f>
        <v/>
      </c>
      <c r="O532" s="110" t="str">
        <f>IFERROR(INDEX('WetLitterbags placem_collection'!$A$3:$A$500,MATCH(A532,'WetLitterbags placem_collection'!$O$4:$O$500,0)),"")</f>
        <v/>
      </c>
      <c r="P532" s="110">
        <f>IFERROR(INDEX('WetLitterbags placem_collection'!$A$3:$A$500,MATCH(A532,'WetLitterbags placem_collection'!$M$4:$M$500,0)),"")</f>
        <v>208</v>
      </c>
      <c r="Q532" s="110" t="str">
        <f>IFERROR(INDEX('WetLitterbags placem_collection'!$A$3:$A$500,MATCH(A532,'WetLitterbags placem_collection'!$Q$4:$Q$500,0)),"")</f>
        <v/>
      </c>
    </row>
    <row r="533" spans="1:17" ht="13.95" customHeight="1">
      <c r="A533" s="110" t="s">
        <v>868</v>
      </c>
      <c r="B533" s="110" t="s">
        <v>2077</v>
      </c>
      <c r="C533" s="110">
        <v>1.655</v>
      </c>
      <c r="E533" s="112">
        <v>43122</v>
      </c>
      <c r="N533" s="110" t="str">
        <f>IFERROR(INDEX('WetLitterbags placem_collection'!$A$3:$A$500,MATCH(A533,'WetLitterbags placem_collection'!$K$4:$K$500,0)),"")</f>
        <v/>
      </c>
      <c r="O533" s="110" t="str">
        <f>IFERROR(INDEX('WetLitterbags placem_collection'!$A$3:$A$500,MATCH(A533,'WetLitterbags placem_collection'!$O$4:$O$500,0)),"")</f>
        <v/>
      </c>
      <c r="P533" s="110" t="str">
        <f>IFERROR(INDEX('WetLitterbags placem_collection'!$A$3:$A$500,MATCH(A533,'WetLitterbags placem_collection'!$M$4:$M$500,0)),"")</f>
        <v/>
      </c>
      <c r="Q533" s="110">
        <f>IFERROR(INDEX('WetLitterbags placem_collection'!$A$3:$A$500,MATCH(A533,'WetLitterbags placem_collection'!$Q$4:$Q$500,0)),"")</f>
        <v>178</v>
      </c>
    </row>
    <row r="534" spans="1:17" ht="13.95" customHeight="1">
      <c r="A534" s="110" t="s">
        <v>867</v>
      </c>
      <c r="B534" s="110">
        <v>18</v>
      </c>
      <c r="C534" s="110">
        <v>1.6060000000000001</v>
      </c>
      <c r="E534" s="112">
        <v>42879</v>
      </c>
      <c r="N534" s="110" t="str">
        <f>IFERROR(INDEX('WetLitterbags placem_collection'!$A$3:$A$500,MATCH(A534,'WetLitterbags placem_collection'!$K$4:$K$500,0)),"")</f>
        <v/>
      </c>
      <c r="O534" s="110" t="str">
        <f>IFERROR(INDEX('WetLitterbags placem_collection'!$A$3:$A$500,MATCH(A534,'WetLitterbags placem_collection'!$O$4:$O$500,0)),"")</f>
        <v/>
      </c>
      <c r="P534" s="110" t="str">
        <f>IFERROR(INDEX('WetLitterbags placem_collection'!$A$3:$A$500,MATCH(A534,'WetLitterbags placem_collection'!$M$4:$M$500,0)),"")</f>
        <v/>
      </c>
      <c r="Q534" s="110">
        <f>IFERROR(INDEX('WetLitterbags placem_collection'!$A$3:$A$500,MATCH(A534,'WetLitterbags placem_collection'!$Q$4:$Q$500,0)),"")</f>
        <v>17</v>
      </c>
    </row>
    <row r="535" spans="1:17" ht="13.95" customHeight="1">
      <c r="A535" s="110" t="s">
        <v>863</v>
      </c>
      <c r="B535" s="110" t="s">
        <v>2077</v>
      </c>
      <c r="C535" s="110">
        <v>1.6845000000000001</v>
      </c>
      <c r="E535" s="112">
        <v>43122</v>
      </c>
      <c r="G535" s="110" t="s">
        <v>2066</v>
      </c>
      <c r="N535" s="110" t="str">
        <f>IFERROR(INDEX('WetLitterbags placem_collection'!$A$3:$A$500,MATCH(A535,'WetLitterbags placem_collection'!$K$4:$K$500,0)),"")</f>
        <v/>
      </c>
      <c r="O535" s="110" t="str">
        <f>IFERROR(INDEX('WetLitterbags placem_collection'!$A$3:$A$500,MATCH(A535,'WetLitterbags placem_collection'!$O$4:$O$500,0)),"")</f>
        <v/>
      </c>
      <c r="P535" s="110">
        <f>IFERROR(INDEX('WetLitterbags placem_collection'!$A$3:$A$500,MATCH(A535,'WetLitterbags placem_collection'!$M$4:$M$500,0)),"")</f>
        <v>77</v>
      </c>
      <c r="Q535" s="110" t="str">
        <f>IFERROR(INDEX('WetLitterbags placem_collection'!$A$3:$A$500,MATCH(A535,'WetLitterbags placem_collection'!$Q$4:$Q$500,0)),"")</f>
        <v/>
      </c>
    </row>
    <row r="536" spans="1:17" ht="13.95" customHeight="1">
      <c r="A536" s="110" t="s">
        <v>1113</v>
      </c>
      <c r="B536" s="110" t="s">
        <v>2083</v>
      </c>
      <c r="C536" s="110">
        <v>1.5992999999999999</v>
      </c>
      <c r="D536" s="110" t="s">
        <v>2082</v>
      </c>
      <c r="E536" s="112">
        <v>43125</v>
      </c>
      <c r="G536" s="110" t="s">
        <v>2066</v>
      </c>
      <c r="N536" s="110" t="str">
        <f>IFERROR(INDEX('WetLitterbags placem_collection'!$A$3:$A$500,MATCH(A536,'WetLitterbags placem_collection'!$K$4:$K$500,0)),"")</f>
        <v/>
      </c>
      <c r="O536" s="110" t="str">
        <f>IFERROR(INDEX('WetLitterbags placem_collection'!$A$3:$A$500,MATCH(A536,'WetLitterbags placem_collection'!$O$4:$O$500,0)),"")</f>
        <v/>
      </c>
      <c r="P536" s="110">
        <f>IFERROR(INDEX('WetLitterbags placem_collection'!$A$3:$A$500,MATCH(A536,'WetLitterbags placem_collection'!$M$4:$M$500,0)),"")</f>
        <v>48</v>
      </c>
      <c r="Q536" s="110" t="str">
        <f>IFERROR(INDEX('WetLitterbags placem_collection'!$A$3:$A$500,MATCH(A536,'WetLitterbags placem_collection'!$Q$4:$Q$500,0)),"")</f>
        <v/>
      </c>
    </row>
    <row r="537" spans="1:17" ht="13.95" customHeight="1">
      <c r="A537" s="110" t="s">
        <v>859</v>
      </c>
      <c r="B537" s="110">
        <v>14</v>
      </c>
      <c r="C537" s="110">
        <v>1.5669999999999999</v>
      </c>
      <c r="E537" s="112">
        <v>42881</v>
      </c>
      <c r="G537" s="110" t="s">
        <v>2066</v>
      </c>
      <c r="N537" s="110" t="str">
        <f>IFERROR(INDEX('WetLitterbags placem_collection'!$A$3:$A$500,MATCH(A537,'WetLitterbags placem_collection'!$K$4:$K$500,0)),"")</f>
        <v/>
      </c>
      <c r="O537" s="110" t="str">
        <f>IFERROR(INDEX('WetLitterbags placem_collection'!$A$3:$A$500,MATCH(A537,'WetLitterbags placem_collection'!$O$4:$O$500,0)),"")</f>
        <v/>
      </c>
      <c r="P537" s="110" t="str">
        <f>IFERROR(INDEX('WetLitterbags placem_collection'!$A$3:$A$500,MATCH(A537,'WetLitterbags placem_collection'!$M$4:$M$500,0)),"")</f>
        <v/>
      </c>
      <c r="Q537" s="110">
        <f>IFERROR(INDEX('WetLitterbags placem_collection'!$A$3:$A$500,MATCH(A537,'WetLitterbags placem_collection'!$Q$4:$Q$500,0)),"")</f>
        <v>13</v>
      </c>
    </row>
    <row r="538" spans="1:17" ht="13.95" customHeight="1">
      <c r="A538" s="110" t="s">
        <v>856</v>
      </c>
      <c r="B538" s="110" t="s">
        <v>2077</v>
      </c>
      <c r="C538" s="110">
        <v>1.6621999999999999</v>
      </c>
      <c r="E538" s="112">
        <v>43116</v>
      </c>
      <c r="G538" s="110" t="s">
        <v>2066</v>
      </c>
      <c r="N538" s="110" t="str">
        <f>IFERROR(INDEX('WetLitterbags placem_collection'!$A$3:$A$500,MATCH(A538,'WetLitterbags placem_collection'!$K$4:$K$500,0)),"")</f>
        <v/>
      </c>
      <c r="O538" s="110" t="str">
        <f>IFERROR(INDEX('WetLitterbags placem_collection'!$A$3:$A$500,MATCH(A538,'WetLitterbags placem_collection'!$O$4:$O$500,0)),"")</f>
        <v/>
      </c>
      <c r="P538" s="110" t="str">
        <f>IFERROR(INDEX('WetLitterbags placem_collection'!$A$3:$A$500,MATCH(A538,'WetLitterbags placem_collection'!$M$4:$M$500,0)),"")</f>
        <v/>
      </c>
      <c r="Q538" s="110">
        <f>IFERROR(INDEX('WetLitterbags placem_collection'!$A$3:$A$500,MATCH(A538,'WetLitterbags placem_collection'!$Q$4:$Q$500,0)),"")</f>
        <v>161</v>
      </c>
    </row>
    <row r="539" spans="1:17" ht="13.95" customHeight="1">
      <c r="A539" s="110" t="s">
        <v>854</v>
      </c>
      <c r="B539" s="110" t="s">
        <v>2077</v>
      </c>
      <c r="C539" s="110">
        <v>1.6496999999999999</v>
      </c>
      <c r="D539" s="110" t="s">
        <v>2115</v>
      </c>
      <c r="E539" s="112">
        <v>43119</v>
      </c>
      <c r="G539" s="110" t="s">
        <v>2066</v>
      </c>
      <c r="N539" s="110" t="str">
        <f>IFERROR(INDEX('WetLitterbags placem_collection'!$A$3:$A$500,MATCH(A539,'WetLitterbags placem_collection'!$K$4:$K$500,0)),"")</f>
        <v/>
      </c>
      <c r="O539" s="110" t="str">
        <f>IFERROR(INDEX('WetLitterbags placem_collection'!$A$3:$A$500,MATCH(A539,'WetLitterbags placem_collection'!$O$4:$O$500,0)),"")</f>
        <v/>
      </c>
      <c r="P539" s="110">
        <f>IFERROR(INDEX('WetLitterbags placem_collection'!$A$3:$A$500,MATCH(A539,'WetLitterbags placem_collection'!$M$4:$M$500,0)),"")</f>
        <v>165</v>
      </c>
      <c r="Q539" s="110" t="str">
        <f>IFERROR(INDEX('WetLitterbags placem_collection'!$A$3:$A$500,MATCH(A539,'WetLitterbags placem_collection'!$Q$4:$Q$500,0)),"")</f>
        <v/>
      </c>
    </row>
    <row r="540" spans="1:17" ht="13.95" customHeight="1">
      <c r="A540" s="110" t="s">
        <v>852</v>
      </c>
      <c r="B540" s="110">
        <v>104</v>
      </c>
      <c r="C540" s="110">
        <v>1.512</v>
      </c>
      <c r="E540" s="112">
        <v>42881</v>
      </c>
      <c r="G540" s="110" t="s">
        <v>2066</v>
      </c>
      <c r="N540" s="110" t="str">
        <f>IFERROR(INDEX('WetLitterbags placem_collection'!$A$3:$A$500,MATCH(A540,'WetLitterbags placem_collection'!$K$4:$K$500,0)),"")</f>
        <v/>
      </c>
      <c r="O540" s="110" t="str">
        <f>IFERROR(INDEX('WetLitterbags placem_collection'!$A$3:$A$500,MATCH(A540,'WetLitterbags placem_collection'!$O$4:$O$500,0)),"")</f>
        <v/>
      </c>
      <c r="P540" s="110">
        <f>IFERROR(INDEX('WetLitterbags placem_collection'!$A$3:$A$500,MATCH(A540,'WetLitterbags placem_collection'!$M$4:$M$500,0)),"")</f>
        <v>193</v>
      </c>
      <c r="Q540" s="110" t="str">
        <f>IFERROR(INDEX('WetLitterbags placem_collection'!$A$3:$A$500,MATCH(A540,'WetLitterbags placem_collection'!$Q$4:$Q$500,0)),"")</f>
        <v/>
      </c>
    </row>
    <row r="541" spans="1:17" ht="13.95" customHeight="1">
      <c r="A541" s="110" t="s">
        <v>1112</v>
      </c>
      <c r="B541" s="110">
        <v>51</v>
      </c>
      <c r="C541" s="110">
        <v>1.4950000000000001</v>
      </c>
      <c r="E541" s="112">
        <v>42881</v>
      </c>
      <c r="N541" s="110" t="str">
        <f>IFERROR(INDEX('WetLitterbags placem_collection'!$A$3:$A$500,MATCH(A541,'WetLitterbags placem_collection'!$K$4:$K$500,0)),"")</f>
        <v/>
      </c>
      <c r="O541" s="110" t="str">
        <f>IFERROR(INDEX('WetLitterbags placem_collection'!$A$3:$A$500,MATCH(A541,'WetLitterbags placem_collection'!$O$4:$O$500,0)),"")</f>
        <v/>
      </c>
      <c r="P541" s="110" t="str">
        <f>IFERROR(INDEX('WetLitterbags placem_collection'!$A$3:$A$500,MATCH(A541,'WetLitterbags placem_collection'!$M$4:$M$500,0)),"")</f>
        <v/>
      </c>
      <c r="Q541" s="110">
        <f>IFERROR(INDEX('WetLitterbags placem_collection'!$A$3:$A$500,MATCH(A541,'WetLitterbags placem_collection'!$Q$4:$Q$500,0)),"")</f>
        <v>50</v>
      </c>
    </row>
    <row r="542" spans="1:17" ht="13.95" customHeight="1">
      <c r="A542" s="110" t="s">
        <v>851</v>
      </c>
      <c r="B542" s="110">
        <v>183</v>
      </c>
      <c r="C542" s="110">
        <v>1.7310000000000001</v>
      </c>
      <c r="E542" s="112">
        <v>42881</v>
      </c>
      <c r="N542" s="110" t="str">
        <f>IFERROR(INDEX('WetLitterbags placem_collection'!$A$3:$A$500,MATCH(A542,'WetLitterbags placem_collection'!$K$4:$K$500,0)),"")</f>
        <v/>
      </c>
      <c r="O542" s="110" t="str">
        <f>IFERROR(INDEX('WetLitterbags placem_collection'!$A$3:$A$500,MATCH(A542,'WetLitterbags placem_collection'!$O$4:$O$500,0)),"")</f>
        <v/>
      </c>
      <c r="P542" s="110" t="str">
        <f>IFERROR(INDEX('WetLitterbags placem_collection'!$A$3:$A$500,MATCH(A542,'WetLitterbags placem_collection'!$M$4:$M$500,0)),"")</f>
        <v/>
      </c>
      <c r="Q542" s="110">
        <f>IFERROR(INDEX('WetLitterbags placem_collection'!$A$3:$A$500,MATCH(A542,'WetLitterbags placem_collection'!$Q$4:$Q$500,0)),"")</f>
        <v>182</v>
      </c>
    </row>
    <row r="543" spans="1:17" ht="13.95" customHeight="1">
      <c r="A543" s="110" t="s">
        <v>850</v>
      </c>
      <c r="B543" s="110" t="s">
        <v>2077</v>
      </c>
      <c r="C543" s="110">
        <v>1.6970000000000001</v>
      </c>
      <c r="E543" s="112">
        <v>43116</v>
      </c>
      <c r="N543" s="110" t="str">
        <f>IFERROR(INDEX('WetLitterbags placem_collection'!$A$3:$A$500,MATCH(A543,'WetLitterbags placem_collection'!$K$4:$K$500,0)),"")</f>
        <v/>
      </c>
      <c r="O543" s="110" t="str">
        <f>IFERROR(INDEX('WetLitterbags placem_collection'!$A$3:$A$500,MATCH(A543,'WetLitterbags placem_collection'!$O$4:$O$500,0)),"")</f>
        <v/>
      </c>
      <c r="P543" s="110" t="str">
        <f>IFERROR(INDEX('WetLitterbags placem_collection'!$A$3:$A$500,MATCH(A543,'WetLitterbags placem_collection'!$M$4:$M$500,0)),"")</f>
        <v/>
      </c>
      <c r="Q543" s="110">
        <f>IFERROR(INDEX('WetLitterbags placem_collection'!$A$3:$A$500,MATCH(A543,'WetLitterbags placem_collection'!$Q$4:$Q$500,0)),"")</f>
        <v>180</v>
      </c>
    </row>
    <row r="544" spans="1:17" ht="13.95" customHeight="1">
      <c r="A544" s="110" t="s">
        <v>848</v>
      </c>
      <c r="B544" s="110">
        <v>81</v>
      </c>
      <c r="C544" s="110">
        <v>1.736</v>
      </c>
      <c r="D544" s="110" t="s">
        <v>2050</v>
      </c>
      <c r="E544" s="112">
        <v>42881</v>
      </c>
      <c r="N544" s="110" t="str">
        <f>IFERROR(INDEX('WetLitterbags placem_collection'!$A$3:$A$500,MATCH(A544,'WetLitterbags placem_collection'!$K$4:$K$500,0)),"")</f>
        <v/>
      </c>
      <c r="O544" s="110" t="str">
        <f>IFERROR(INDEX('WetLitterbags placem_collection'!$A$3:$A$500,MATCH(A544,'WetLitterbags placem_collection'!$O$4:$O$500,0)),"")</f>
        <v/>
      </c>
      <c r="P544" s="110" t="str">
        <f>IFERROR(INDEX('WetLitterbags placem_collection'!$A$3:$A$500,MATCH(A544,'WetLitterbags placem_collection'!$M$4:$M$500,0)),"")</f>
        <v/>
      </c>
      <c r="Q544" s="110">
        <f>IFERROR(INDEX('WetLitterbags placem_collection'!$A$3:$A$500,MATCH(A544,'WetLitterbags placem_collection'!$Q$4:$Q$500,0)),"")</f>
        <v>80</v>
      </c>
    </row>
    <row r="545" spans="1:17" ht="13.95" customHeight="1">
      <c r="A545" s="110" t="s">
        <v>845</v>
      </c>
      <c r="B545" s="110" t="s">
        <v>2077</v>
      </c>
      <c r="C545" s="110">
        <v>1.3653</v>
      </c>
      <c r="E545" s="112">
        <v>43119</v>
      </c>
      <c r="N545" s="110" t="str">
        <f>IFERROR(INDEX('WetLitterbags placem_collection'!$A$3:$A$500,MATCH(A545,'WetLitterbags placem_collection'!$K$4:$K$500,0)),"")</f>
        <v/>
      </c>
      <c r="O545" s="110" t="str">
        <f>IFERROR(INDEX('WetLitterbags placem_collection'!$A$3:$A$500,MATCH(A545,'WetLitterbags placem_collection'!$O$4:$O$500,0)),"")</f>
        <v/>
      </c>
      <c r="P545" s="110" t="str">
        <f>IFERROR(INDEX('WetLitterbags placem_collection'!$A$3:$A$500,MATCH(A545,'WetLitterbags placem_collection'!$M$4:$M$500,0)),"")</f>
        <v/>
      </c>
      <c r="Q545" s="110">
        <f>IFERROR(INDEX('WetLitterbags placem_collection'!$A$3:$A$500,MATCH(A545,'WetLitterbags placem_collection'!$Q$4:$Q$500,0)),"")</f>
        <v>29</v>
      </c>
    </row>
    <row r="546" spans="1:17" ht="13.95" customHeight="1">
      <c r="A546" s="110" t="s">
        <v>1138</v>
      </c>
      <c r="B546" s="110" t="s">
        <v>2077</v>
      </c>
      <c r="C546" s="110">
        <v>1.4899</v>
      </c>
      <c r="E546" s="112">
        <v>43122</v>
      </c>
      <c r="N546" s="110" t="str">
        <f>IFERROR(INDEX('WetLitterbags placem_collection'!$A$3:$A$500,MATCH(A546,'WetLitterbags placem_collection'!$K$4:$K$500,0)),"")</f>
        <v/>
      </c>
      <c r="O546" s="110" t="str">
        <f>IFERROR(INDEX('WetLitterbags placem_collection'!$A$3:$A$500,MATCH(A546,'WetLitterbags placem_collection'!$O$4:$O$500,0)),"")</f>
        <v/>
      </c>
      <c r="P546" s="110" t="str">
        <f>IFERROR(INDEX('WetLitterbags placem_collection'!$A$3:$A$500,MATCH(A546,'WetLitterbags placem_collection'!$M$4:$M$500,0)),"")</f>
        <v/>
      </c>
      <c r="Q546" s="110">
        <f>IFERROR(INDEX('WetLitterbags placem_collection'!$A$3:$A$500,MATCH(A546,'WetLitterbags placem_collection'!$Q$4:$Q$500,0)),"")</f>
        <v>12</v>
      </c>
    </row>
    <row r="547" spans="1:17" ht="13.95" customHeight="1">
      <c r="A547" s="110" t="s">
        <v>1111</v>
      </c>
      <c r="B547" s="110">
        <v>157</v>
      </c>
      <c r="C547" s="110">
        <v>1.825</v>
      </c>
      <c r="E547" s="112">
        <v>42879</v>
      </c>
      <c r="N547" s="110" t="str">
        <f>IFERROR(INDEX('WetLitterbags placem_collection'!$A$3:$A$500,MATCH(A547,'WetLitterbags placem_collection'!$K$4:$K$500,0)),"")</f>
        <v/>
      </c>
      <c r="O547" s="110" t="str">
        <f>IFERROR(INDEX('WetLitterbags placem_collection'!$A$3:$A$500,MATCH(A547,'WetLitterbags placem_collection'!$O$4:$O$500,0)),"")</f>
        <v/>
      </c>
      <c r="P547" s="110">
        <f>IFERROR(INDEX('WetLitterbags placem_collection'!$A$3:$A$500,MATCH(A547,'WetLitterbags placem_collection'!$M$4:$M$500,0)),"")</f>
        <v>156</v>
      </c>
      <c r="Q547" s="110" t="str">
        <f>IFERROR(INDEX('WetLitterbags placem_collection'!$A$3:$A$500,MATCH(A547,'WetLitterbags placem_collection'!$Q$4:$Q$500,0)),"")</f>
        <v/>
      </c>
    </row>
    <row r="548" spans="1:17" ht="13.95" customHeight="1">
      <c r="A548" s="110" t="s">
        <v>840</v>
      </c>
      <c r="B548" s="110">
        <v>180</v>
      </c>
      <c r="C548" s="110">
        <v>1.6709000000000001</v>
      </c>
      <c r="D548" s="110" t="s">
        <v>2119</v>
      </c>
      <c r="E548" s="112">
        <v>43119</v>
      </c>
      <c r="N548" s="110" t="str">
        <f>IFERROR(INDEX('WetLitterbags placem_collection'!$A$3:$A$500,MATCH(A548,'WetLitterbags placem_collection'!$K$4:$K$500,0)),"")</f>
        <v/>
      </c>
      <c r="O548" s="110" t="str">
        <f>IFERROR(INDEX('WetLitterbags placem_collection'!$A$3:$A$500,MATCH(A548,'WetLitterbags placem_collection'!$O$4:$O$500,0)),"")</f>
        <v/>
      </c>
      <c r="P548" s="110" t="str">
        <f>IFERROR(INDEX('WetLitterbags placem_collection'!$A$3:$A$500,MATCH(A548,'WetLitterbags placem_collection'!$M$4:$M$500,0)),"")</f>
        <v/>
      </c>
      <c r="Q548" s="110">
        <f>IFERROR(INDEX('WetLitterbags placem_collection'!$A$3:$A$500,MATCH(A548,'WetLitterbags placem_collection'!$Q$4:$Q$500,0)),"")</f>
        <v>179</v>
      </c>
    </row>
    <row r="549" spans="1:17" ht="13.95" customHeight="1">
      <c r="A549" s="110" t="s">
        <v>839</v>
      </c>
      <c r="B549" s="110">
        <v>217</v>
      </c>
      <c r="C549" s="110">
        <v>1.38</v>
      </c>
      <c r="E549" s="112">
        <v>42881</v>
      </c>
      <c r="N549" s="110" t="str">
        <f>IFERROR(INDEX('WetLitterbags placem_collection'!$A$3:$A$500,MATCH(A549,'WetLitterbags placem_collection'!$K$4:$K$500,0)),"")</f>
        <v/>
      </c>
      <c r="O549" s="110" t="str">
        <f>IFERROR(INDEX('WetLitterbags placem_collection'!$A$3:$A$500,MATCH(A549,'WetLitterbags placem_collection'!$O$4:$O$500,0)),"")</f>
        <v/>
      </c>
      <c r="P549" s="110">
        <f>IFERROR(INDEX('WetLitterbags placem_collection'!$A$3:$A$500,MATCH(A549,'WetLitterbags placem_collection'!$M$4:$M$500,0)),"")</f>
        <v>216</v>
      </c>
      <c r="Q549" s="110" t="str">
        <f>IFERROR(INDEX('WetLitterbags placem_collection'!$A$3:$A$500,MATCH(A549,'WetLitterbags placem_collection'!$Q$4:$Q$500,0)),"")</f>
        <v/>
      </c>
    </row>
    <row r="550" spans="1:17" ht="13.95" customHeight="1">
      <c r="A550" s="110" t="s">
        <v>838</v>
      </c>
      <c r="B550" s="110" t="s">
        <v>2077</v>
      </c>
      <c r="C550" s="110">
        <v>1.5651999999999999</v>
      </c>
      <c r="D550" s="110" t="s">
        <v>2115</v>
      </c>
      <c r="E550" s="112">
        <v>43116</v>
      </c>
      <c r="N550" s="110" t="str">
        <f>IFERROR(INDEX('WetLitterbags placem_collection'!$A$3:$A$500,MATCH(A550,'WetLitterbags placem_collection'!$K$4:$K$500,0)),"")</f>
        <v/>
      </c>
      <c r="O550" s="110" t="str">
        <f>IFERROR(INDEX('WetLitterbags placem_collection'!$A$3:$A$500,MATCH(A550,'WetLitterbags placem_collection'!$O$4:$O$500,0)),"")</f>
        <v/>
      </c>
      <c r="P550" s="110">
        <f>IFERROR(INDEX('WetLitterbags placem_collection'!$A$3:$A$500,MATCH(A550,'WetLitterbags placem_collection'!$M$4:$M$500,0)),"")</f>
        <v>199</v>
      </c>
      <c r="Q550" s="110" t="str">
        <f>IFERROR(INDEX('WetLitterbags placem_collection'!$A$3:$A$500,MATCH(A550,'WetLitterbags placem_collection'!$Q$4:$Q$500,0)),"")</f>
        <v/>
      </c>
    </row>
    <row r="551" spans="1:17" ht="13.95" customHeight="1">
      <c r="A551" s="110" t="s">
        <v>834</v>
      </c>
      <c r="B551" s="110">
        <v>174</v>
      </c>
      <c r="C551" s="110">
        <v>1.724</v>
      </c>
      <c r="E551" s="112">
        <v>42881</v>
      </c>
      <c r="N551" s="110" t="str">
        <f>IFERROR(INDEX('WetLitterbags placem_collection'!$A$3:$A$500,MATCH(A551,'WetLitterbags placem_collection'!$K$4:$K$500,0)),"")</f>
        <v/>
      </c>
      <c r="O551" s="110" t="str">
        <f>IFERROR(INDEX('WetLitterbags placem_collection'!$A$3:$A$500,MATCH(A551,'WetLitterbags placem_collection'!$O$4:$O$500,0)),"")</f>
        <v/>
      </c>
      <c r="P551" s="110">
        <f>IFERROR(INDEX('WetLitterbags placem_collection'!$A$3:$A$500,MATCH(A551,'WetLitterbags placem_collection'!$M$4:$M$500,0)),"")</f>
        <v>173</v>
      </c>
      <c r="Q551" s="110" t="str">
        <f>IFERROR(INDEX('WetLitterbags placem_collection'!$A$3:$A$500,MATCH(A551,'WetLitterbags placem_collection'!$Q$4:$Q$500,0)),"")</f>
        <v/>
      </c>
    </row>
    <row r="552" spans="1:17" ht="13.95" customHeight="1">
      <c r="A552" s="110" t="s">
        <v>832</v>
      </c>
      <c r="B552" s="110">
        <v>178</v>
      </c>
      <c r="C552" s="110">
        <v>1.6866000000000001</v>
      </c>
      <c r="D552" s="110" t="s">
        <v>2089</v>
      </c>
      <c r="E552" s="112">
        <v>43125</v>
      </c>
      <c r="N552" s="110" t="str">
        <f>IFERROR(INDEX('WetLitterbags placem_collection'!$A$3:$A$500,MATCH(A552,'WetLitterbags placem_collection'!$K$4:$K$500,0)),"")</f>
        <v/>
      </c>
      <c r="O552" s="110" t="str">
        <f>IFERROR(INDEX('WetLitterbags placem_collection'!$A$3:$A$500,MATCH(A552,'WetLitterbags placem_collection'!$O$4:$O$500,0)),"")</f>
        <v/>
      </c>
      <c r="P552" s="110">
        <f>IFERROR(INDEX('WetLitterbags placem_collection'!$A$3:$A$500,MATCH(A552,'WetLitterbags placem_collection'!$M$4:$M$500,0)),"")</f>
        <v>177</v>
      </c>
      <c r="Q552" s="110" t="str">
        <f>IFERROR(INDEX('WetLitterbags placem_collection'!$A$3:$A$500,MATCH(A552,'WetLitterbags placem_collection'!$Q$4:$Q$500,0)),"")</f>
        <v/>
      </c>
    </row>
    <row r="553" spans="1:17" ht="13.95" customHeight="1">
      <c r="A553" s="110" t="s">
        <v>1110</v>
      </c>
      <c r="B553" s="110">
        <v>58</v>
      </c>
      <c r="C553" s="110">
        <v>1.1857</v>
      </c>
      <c r="E553" s="112">
        <v>43123</v>
      </c>
      <c r="N553" s="110" t="str">
        <f>IFERROR(INDEX('WetLitterbags placem_collection'!$A$3:$A$500,MATCH(A553,'WetLitterbags placem_collection'!$K$4:$K$500,0)),"")</f>
        <v/>
      </c>
      <c r="O553" s="110" t="str">
        <f>IFERROR(INDEX('WetLitterbags placem_collection'!$A$3:$A$500,MATCH(A553,'WetLitterbags placem_collection'!$O$4:$O$500,0)),"")</f>
        <v/>
      </c>
      <c r="P553" s="110" t="str">
        <f>IFERROR(INDEX('WetLitterbags placem_collection'!$A$3:$A$500,MATCH(A553,'WetLitterbags placem_collection'!$M$4:$M$500,0)),"")</f>
        <v/>
      </c>
      <c r="Q553" s="110">
        <f>IFERROR(INDEX('WetLitterbags placem_collection'!$A$3:$A$500,MATCH(A553,'WetLitterbags placem_collection'!$Q$4:$Q$500,0)),"")</f>
        <v>57</v>
      </c>
    </row>
    <row r="554" spans="1:17" ht="13.95" customHeight="1">
      <c r="A554" s="110" t="s">
        <v>830</v>
      </c>
      <c r="B554" s="110" t="s">
        <v>2077</v>
      </c>
      <c r="C554" s="110">
        <v>1.6715</v>
      </c>
      <c r="E554" s="112">
        <v>43116</v>
      </c>
      <c r="N554" s="110" t="str">
        <f>IFERROR(INDEX('WetLitterbags placem_collection'!$A$3:$A$500,MATCH(A554,'WetLitterbags placem_collection'!$K$4:$K$500,0)),"")</f>
        <v/>
      </c>
      <c r="O554" s="110" t="str">
        <f>IFERROR(INDEX('WetLitterbags placem_collection'!$A$3:$A$500,MATCH(A554,'WetLitterbags placem_collection'!$O$4:$O$500,0)),"")</f>
        <v/>
      </c>
      <c r="P554" s="110" t="str">
        <f>IFERROR(INDEX('WetLitterbags placem_collection'!$A$3:$A$500,MATCH(A554,'WetLitterbags placem_collection'!$M$4:$M$500,0)),"")</f>
        <v/>
      </c>
      <c r="Q554" s="110">
        <f>IFERROR(INDEX('WetLitterbags placem_collection'!$A$3:$A$500,MATCH(A554,'WetLitterbags placem_collection'!$Q$4:$Q$500,0)),"")</f>
        <v>74</v>
      </c>
    </row>
    <row r="555" spans="1:17" ht="13.95" customHeight="1">
      <c r="A555" s="110" t="s">
        <v>829</v>
      </c>
      <c r="B555" s="110">
        <v>52</v>
      </c>
      <c r="C555" s="110">
        <v>1.546</v>
      </c>
      <c r="E555" s="112">
        <v>42878</v>
      </c>
      <c r="N555" s="110" t="str">
        <f>IFERROR(INDEX('WetLitterbags placem_collection'!$A$3:$A$500,MATCH(A555,'WetLitterbags placem_collection'!$K$4:$K$500,0)),"")</f>
        <v/>
      </c>
      <c r="O555" s="110" t="str">
        <f>IFERROR(INDEX('WetLitterbags placem_collection'!$A$3:$A$500,MATCH(A555,'WetLitterbags placem_collection'!$O$4:$O$500,0)),"")</f>
        <v/>
      </c>
      <c r="P555" s="110" t="str">
        <f>IFERROR(INDEX('WetLitterbags placem_collection'!$A$3:$A$500,MATCH(A555,'WetLitterbags placem_collection'!$M$4:$M$500,0)),"")</f>
        <v/>
      </c>
      <c r="Q555" s="110">
        <f>IFERROR(INDEX('WetLitterbags placem_collection'!$A$3:$A$500,MATCH(A555,'WetLitterbags placem_collection'!$Q$4:$Q$500,0)),"")</f>
        <v>51</v>
      </c>
    </row>
    <row r="556" spans="1:17" ht="13.95" customHeight="1">
      <c r="A556" s="110" t="s">
        <v>826</v>
      </c>
      <c r="B556" s="110">
        <v>85</v>
      </c>
      <c r="C556" s="110">
        <v>1.4850000000000001</v>
      </c>
      <c r="E556" s="112">
        <v>42878</v>
      </c>
      <c r="N556" s="110" t="str">
        <f>IFERROR(INDEX('WetLitterbags placem_collection'!$A$3:$A$500,MATCH(A556,'WetLitterbags placem_collection'!$K$4:$K$500,0)),"")</f>
        <v/>
      </c>
      <c r="O556" s="110" t="str">
        <f>IFERROR(INDEX('WetLitterbags placem_collection'!$A$3:$A$500,MATCH(A556,'WetLitterbags placem_collection'!$O$4:$O$500,0)),"")</f>
        <v/>
      </c>
      <c r="P556" s="110">
        <f>IFERROR(INDEX('WetLitterbags placem_collection'!$A$3:$A$500,MATCH(A556,'WetLitterbags placem_collection'!$M$4:$M$500,0)),"")</f>
        <v>84</v>
      </c>
      <c r="Q556" s="110" t="str">
        <f>IFERROR(INDEX('WetLitterbags placem_collection'!$A$3:$A$500,MATCH(A556,'WetLitterbags placem_collection'!$Q$4:$Q$500,0)),"")</f>
        <v/>
      </c>
    </row>
    <row r="557" spans="1:17" ht="13.95" customHeight="1">
      <c r="A557" s="110" t="s">
        <v>824</v>
      </c>
      <c r="B557" s="110">
        <v>64</v>
      </c>
      <c r="C557" s="110">
        <v>1.7210000000000001</v>
      </c>
      <c r="E557" s="112">
        <v>42879</v>
      </c>
      <c r="N557" s="110" t="str">
        <f>IFERROR(INDEX('WetLitterbags placem_collection'!$A$3:$A$500,MATCH(A557,'WetLitterbags placem_collection'!$K$4:$K$500,0)),"")</f>
        <v/>
      </c>
      <c r="O557" s="110" t="str">
        <f>IFERROR(INDEX('WetLitterbags placem_collection'!$A$3:$A$500,MATCH(A557,'WetLitterbags placem_collection'!$O$4:$O$500,0)),"")</f>
        <v/>
      </c>
      <c r="P557" s="110">
        <f>IFERROR(INDEX('WetLitterbags placem_collection'!$A$3:$A$500,MATCH(A557,'WetLitterbags placem_collection'!$M$4:$M$500,0)),"")</f>
        <v>163</v>
      </c>
      <c r="Q557" s="110" t="str">
        <f>IFERROR(INDEX('WetLitterbags placem_collection'!$A$3:$A$500,MATCH(A557,'WetLitterbags placem_collection'!$Q$4:$Q$500,0)),"")</f>
        <v/>
      </c>
    </row>
    <row r="558" spans="1:17" ht="13.95" customHeight="1">
      <c r="A558" s="110" t="s">
        <v>823</v>
      </c>
      <c r="B558" s="110" t="s">
        <v>2083</v>
      </c>
      <c r="C558" s="110">
        <v>1.748</v>
      </c>
      <c r="D558" s="110" t="s">
        <v>2094</v>
      </c>
      <c r="E558" s="112">
        <v>43125</v>
      </c>
      <c r="N558" s="110" t="str">
        <f>IFERROR(INDEX('WetLitterbags placem_collection'!$A$3:$A$500,MATCH(A558,'WetLitterbags placem_collection'!$K$4:$K$500,0)),"")</f>
        <v/>
      </c>
      <c r="O558" s="110" t="str">
        <f>IFERROR(INDEX('WetLitterbags placem_collection'!$A$3:$A$500,MATCH(A558,'WetLitterbags placem_collection'!$O$4:$O$500,0)),"")</f>
        <v/>
      </c>
      <c r="P558" s="110">
        <f>IFERROR(INDEX('WetLitterbags placem_collection'!$A$3:$A$500,MATCH(A558,'WetLitterbags placem_collection'!$M$4:$M$500,0)),"")</f>
        <v>95</v>
      </c>
      <c r="Q558" s="110" t="str">
        <f>IFERROR(INDEX('WetLitterbags placem_collection'!$A$3:$A$500,MATCH(A558,'WetLitterbags placem_collection'!$Q$4:$Q$500,0)),"")</f>
        <v/>
      </c>
    </row>
    <row r="559" spans="1:17" ht="13.95" customHeight="1">
      <c r="A559" s="110" t="s">
        <v>822</v>
      </c>
      <c r="B559" s="110" t="s">
        <v>2077</v>
      </c>
      <c r="C559" s="110">
        <v>1.5328999999999999</v>
      </c>
      <c r="E559" s="112">
        <v>43122</v>
      </c>
      <c r="N559" s="110" t="str">
        <f>IFERROR(INDEX('WetLitterbags placem_collection'!$A$3:$A$500,MATCH(A559,'WetLitterbags placem_collection'!$K$4:$K$500,0)),"")</f>
        <v/>
      </c>
      <c r="O559" s="110" t="str">
        <f>IFERROR(INDEX('WetLitterbags placem_collection'!$A$3:$A$500,MATCH(A559,'WetLitterbags placem_collection'!$O$4:$O$500,0)),"")</f>
        <v/>
      </c>
      <c r="P559" s="110" t="str">
        <f>IFERROR(INDEX('WetLitterbags placem_collection'!$A$3:$A$500,MATCH(A559,'WetLitterbags placem_collection'!$M$4:$M$500,0)),"")</f>
        <v/>
      </c>
      <c r="Q559" s="110">
        <f>IFERROR(INDEX('WetLitterbags placem_collection'!$A$3:$A$500,MATCH(A559,'WetLitterbags placem_collection'!$Q$4:$Q$500,0)),"")</f>
        <v>219</v>
      </c>
    </row>
    <row r="560" spans="1:17" ht="13.95" customHeight="1">
      <c r="A560" s="110" t="s">
        <v>1109</v>
      </c>
      <c r="B560" s="110" t="s">
        <v>2077</v>
      </c>
      <c r="C560" s="110">
        <v>1.6146</v>
      </c>
      <c r="D560" s="110" t="s">
        <v>2125</v>
      </c>
      <c r="E560" s="112">
        <v>43122</v>
      </c>
      <c r="N560" s="110" t="str">
        <f>IFERROR(INDEX('WetLitterbags placem_collection'!$A$3:$A$500,MATCH(A560,'WetLitterbags placem_collection'!$K$4:$K$500,0)),"")</f>
        <v/>
      </c>
      <c r="O560" s="110" t="str">
        <f>IFERROR(INDEX('WetLitterbags placem_collection'!$A$3:$A$500,MATCH(A560,'WetLitterbags placem_collection'!$O$4:$O$500,0)),"")</f>
        <v/>
      </c>
      <c r="P560" s="110">
        <f>IFERROR(INDEX('WetLitterbags placem_collection'!$A$3:$A$500,MATCH(A560,'WetLitterbags placem_collection'!$M$4:$M$500,0)),"")</f>
        <v>178</v>
      </c>
      <c r="Q560" s="110" t="str">
        <f>IFERROR(INDEX('WetLitterbags placem_collection'!$A$3:$A$500,MATCH(A560,'WetLitterbags placem_collection'!$Q$4:$Q$500,0)),"")</f>
        <v/>
      </c>
    </row>
    <row r="561" spans="1:17" ht="13.95" customHeight="1">
      <c r="A561" s="110" t="s">
        <v>819</v>
      </c>
      <c r="B561" s="110">
        <v>168</v>
      </c>
      <c r="C561" s="110">
        <v>1.6950000000000001</v>
      </c>
      <c r="E561" s="112">
        <v>42881</v>
      </c>
      <c r="N561" s="110" t="str">
        <f>IFERROR(INDEX('WetLitterbags placem_collection'!$A$3:$A$500,MATCH(A561,'WetLitterbags placem_collection'!$K$4:$K$500,0)),"")</f>
        <v/>
      </c>
      <c r="O561" s="110" t="str">
        <f>IFERROR(INDEX('WetLitterbags placem_collection'!$A$3:$A$500,MATCH(A561,'WetLitterbags placem_collection'!$O$4:$O$500,0)),"")</f>
        <v/>
      </c>
      <c r="P561" s="110" t="str">
        <f>IFERROR(INDEX('WetLitterbags placem_collection'!$A$3:$A$500,MATCH(A561,'WetLitterbags placem_collection'!$M$4:$M$500,0)),"")</f>
        <v/>
      </c>
      <c r="Q561" s="110">
        <f>IFERROR(INDEX('WetLitterbags placem_collection'!$A$3:$A$500,MATCH(A561,'WetLitterbags placem_collection'!$Q$4:$Q$500,0)),"")</f>
        <v>167</v>
      </c>
    </row>
    <row r="562" spans="1:17" ht="13.95" customHeight="1">
      <c r="A562" s="110" t="s">
        <v>818</v>
      </c>
      <c r="B562" s="110" t="s">
        <v>2077</v>
      </c>
      <c r="C562" s="110">
        <v>1.425</v>
      </c>
      <c r="D562" s="110" t="s">
        <v>2123</v>
      </c>
      <c r="E562" s="112">
        <v>43122</v>
      </c>
      <c r="N562" s="110" t="str">
        <f>IFERROR(INDEX('WetLitterbags placem_collection'!$A$3:$A$500,MATCH(A562,'WetLitterbags placem_collection'!$K$4:$K$500,0)),"")</f>
        <v/>
      </c>
      <c r="O562" s="110" t="str">
        <f>IFERROR(INDEX('WetLitterbags placem_collection'!$A$3:$A$500,MATCH(A562,'WetLitterbags placem_collection'!$O$4:$O$500,0)),"")</f>
        <v/>
      </c>
      <c r="P562" s="110" t="str">
        <f>IFERROR(INDEX('WetLitterbags placem_collection'!$A$3:$A$500,MATCH(A562,'WetLitterbags placem_collection'!$M$4:$M$500,0)),"")</f>
        <v/>
      </c>
      <c r="Q562" s="110">
        <f>IFERROR(INDEX('WetLitterbags placem_collection'!$A$3:$A$500,MATCH(A562,'WetLitterbags placem_collection'!$Q$4:$Q$500,0)),"")</f>
        <v>30</v>
      </c>
    </row>
    <row r="563" spans="1:17" ht="13.95" customHeight="1">
      <c r="A563" s="110" t="s">
        <v>815</v>
      </c>
      <c r="B563" s="110">
        <v>176</v>
      </c>
      <c r="C563" s="110">
        <v>1.694</v>
      </c>
      <c r="E563" s="112">
        <v>42879</v>
      </c>
      <c r="N563" s="110" t="str">
        <f>IFERROR(INDEX('WetLitterbags placem_collection'!$A$3:$A$500,MATCH(A563,'WetLitterbags placem_collection'!$K$4:$K$500,0)),"")</f>
        <v/>
      </c>
      <c r="O563" s="110" t="str">
        <f>IFERROR(INDEX('WetLitterbags placem_collection'!$A$3:$A$500,MATCH(A563,'WetLitterbags placem_collection'!$O$4:$O$500,0)),"")</f>
        <v/>
      </c>
      <c r="P563" s="110">
        <f>IFERROR(INDEX('WetLitterbags placem_collection'!$A$3:$A$500,MATCH(A563,'WetLitterbags placem_collection'!$M$4:$M$500,0)),"")</f>
        <v>175</v>
      </c>
      <c r="Q563" s="110" t="str">
        <f>IFERROR(INDEX('WetLitterbags placem_collection'!$A$3:$A$500,MATCH(A563,'WetLitterbags placem_collection'!$Q$4:$Q$500,0)),"")</f>
        <v/>
      </c>
    </row>
    <row r="564" spans="1:17" ht="13.95" customHeight="1">
      <c r="A564" s="110" t="s">
        <v>813</v>
      </c>
      <c r="B564" s="110">
        <v>207</v>
      </c>
      <c r="C564" s="110">
        <v>1.609</v>
      </c>
      <c r="E564" s="112">
        <v>42879</v>
      </c>
      <c r="N564" s="110" t="str">
        <f>IFERROR(INDEX('WetLitterbags placem_collection'!$A$3:$A$500,MATCH(A564,'WetLitterbags placem_collection'!$K$4:$K$500,0)),"")</f>
        <v/>
      </c>
      <c r="O564" s="110" t="str">
        <f>IFERROR(INDEX('WetLitterbags placem_collection'!$A$3:$A$500,MATCH(A564,'WetLitterbags placem_collection'!$O$4:$O$500,0)),"")</f>
        <v/>
      </c>
      <c r="P564" s="110" t="str">
        <f>IFERROR(INDEX('WetLitterbags placem_collection'!$A$3:$A$500,MATCH(A564,'WetLitterbags placem_collection'!$M$4:$M$500,0)),"")</f>
        <v/>
      </c>
      <c r="Q564" s="110">
        <f>IFERROR(INDEX('WetLitterbags placem_collection'!$A$3:$A$500,MATCH(A564,'WetLitterbags placem_collection'!$Q$4:$Q$500,0)),"")</f>
        <v>205</v>
      </c>
    </row>
    <row r="565" spans="1:17" ht="13.95" customHeight="1">
      <c r="A565" s="110" t="s">
        <v>812</v>
      </c>
      <c r="B565" s="110">
        <v>87</v>
      </c>
      <c r="C565" s="110">
        <v>1.7085999999999999</v>
      </c>
      <c r="E565" s="112">
        <v>43125</v>
      </c>
      <c r="N565" s="110" t="str">
        <f>IFERROR(INDEX('WetLitterbags placem_collection'!$A$3:$A$500,MATCH(A565,'WetLitterbags placem_collection'!$K$4:$K$500,0)),"")</f>
        <v/>
      </c>
      <c r="O565" s="110" t="str">
        <f>IFERROR(INDEX('WetLitterbags placem_collection'!$A$3:$A$500,MATCH(A565,'WetLitterbags placem_collection'!$O$4:$O$500,0)),"")</f>
        <v/>
      </c>
      <c r="P565" s="110" t="str">
        <f>IFERROR(INDEX('WetLitterbags placem_collection'!$A$3:$A$500,MATCH(A565,'WetLitterbags placem_collection'!$M$4:$M$500,0)),"")</f>
        <v/>
      </c>
      <c r="Q565" s="110">
        <f>IFERROR(INDEX('WetLitterbags placem_collection'!$A$3:$A$500,MATCH(A565,'WetLitterbags placem_collection'!$Q$4:$Q$500,0)),"")</f>
        <v>86</v>
      </c>
    </row>
    <row r="566" spans="1:17" ht="13.95" customHeight="1">
      <c r="A566" s="110" t="s">
        <v>1108</v>
      </c>
      <c r="B566" s="110">
        <v>109</v>
      </c>
      <c r="C566" s="110">
        <v>1.5922000000000001</v>
      </c>
      <c r="E566" s="112">
        <v>43125</v>
      </c>
      <c r="N566" s="110" t="str">
        <f>IFERROR(INDEX('WetLitterbags placem_collection'!$A$3:$A$500,MATCH(A566,'WetLitterbags placem_collection'!$K$4:$K$500,0)),"")</f>
        <v/>
      </c>
      <c r="O566" s="110" t="str">
        <f>IFERROR(INDEX('WetLitterbags placem_collection'!$A$3:$A$500,MATCH(A566,'WetLitterbags placem_collection'!$O$4:$O$500,0)),"")</f>
        <v/>
      </c>
      <c r="P566" s="110" t="str">
        <f>IFERROR(INDEX('WetLitterbags placem_collection'!$A$3:$A$500,MATCH(A566,'WetLitterbags placem_collection'!$M$4:$M$500,0)),"")</f>
        <v/>
      </c>
      <c r="Q566" s="110">
        <f>IFERROR(INDEX('WetLitterbags placem_collection'!$A$3:$A$500,MATCH(A566,'WetLitterbags placem_collection'!$Q$4:$Q$500,0)),"")</f>
        <v>108</v>
      </c>
    </row>
    <row r="567" spans="1:17" ht="13.95" customHeight="1">
      <c r="A567" s="110" t="s">
        <v>811</v>
      </c>
      <c r="B567" s="110">
        <v>170</v>
      </c>
      <c r="C567" s="110">
        <v>1.7769999999999999</v>
      </c>
      <c r="E567" s="112">
        <v>42878</v>
      </c>
      <c r="N567" s="110" t="str">
        <f>IFERROR(INDEX('WetLitterbags placem_collection'!$A$3:$A$500,MATCH(A567,'WetLitterbags placem_collection'!$K$4:$K$500,0)),"")</f>
        <v/>
      </c>
      <c r="O567" s="110" t="str">
        <f>IFERROR(INDEX('WetLitterbags placem_collection'!$A$3:$A$500,MATCH(A567,'WetLitterbags placem_collection'!$O$4:$O$500,0)),"")</f>
        <v/>
      </c>
      <c r="P567" s="110">
        <f>IFERROR(INDEX('WetLitterbags placem_collection'!$A$3:$A$500,MATCH(A567,'WetLitterbags placem_collection'!$M$4:$M$500,0)),"")</f>
        <v>169</v>
      </c>
      <c r="Q567" s="110" t="str">
        <f>IFERROR(INDEX('WetLitterbags placem_collection'!$A$3:$A$500,MATCH(A567,'WetLitterbags placem_collection'!$Q$4:$Q$500,0)),"")</f>
        <v/>
      </c>
    </row>
    <row r="568" spans="1:17" ht="13.95" customHeight="1">
      <c r="A568" s="110" t="s">
        <v>810</v>
      </c>
      <c r="B568" s="110">
        <v>165</v>
      </c>
      <c r="C568" s="110">
        <v>1.724</v>
      </c>
      <c r="E568" s="112">
        <v>42878</v>
      </c>
      <c r="N568" s="110" t="str">
        <f>IFERROR(INDEX('WetLitterbags placem_collection'!$A$3:$A$500,MATCH(A568,'WetLitterbags placem_collection'!$K$4:$K$500,0)),"")</f>
        <v/>
      </c>
      <c r="O568" s="110" t="str">
        <f>IFERROR(INDEX('WetLitterbags placem_collection'!$A$3:$A$500,MATCH(A568,'WetLitterbags placem_collection'!$O$4:$O$500,0)),"")</f>
        <v/>
      </c>
      <c r="P568" s="110">
        <f>IFERROR(INDEX('WetLitterbags placem_collection'!$A$3:$A$500,MATCH(A568,'WetLitterbags placem_collection'!$M$4:$M$500,0)),"")</f>
        <v>164</v>
      </c>
      <c r="Q568" s="110" t="str">
        <f>IFERROR(INDEX('WetLitterbags placem_collection'!$A$3:$A$500,MATCH(A568,'WetLitterbags placem_collection'!$Q$4:$Q$500,0)),"")</f>
        <v/>
      </c>
    </row>
    <row r="569" spans="1:17" ht="13.95" customHeight="1">
      <c r="A569" s="110" t="s">
        <v>808</v>
      </c>
      <c r="B569" s="110">
        <v>65</v>
      </c>
      <c r="C569" s="110">
        <v>1.6319999999999999</v>
      </c>
      <c r="E569" s="112">
        <v>42879</v>
      </c>
      <c r="N569" s="110" t="str">
        <f>IFERROR(INDEX('WetLitterbags placem_collection'!$A$3:$A$500,MATCH(A569,'WetLitterbags placem_collection'!$K$4:$K$500,0)),"")</f>
        <v/>
      </c>
      <c r="O569" s="110" t="str">
        <f>IFERROR(INDEX('WetLitterbags placem_collection'!$A$3:$A$500,MATCH(A569,'WetLitterbags placem_collection'!$O$4:$O$500,0)),"")</f>
        <v/>
      </c>
      <c r="P569" s="110" t="str">
        <f>IFERROR(INDEX('WetLitterbags placem_collection'!$A$3:$A$500,MATCH(A569,'WetLitterbags placem_collection'!$M$4:$M$500,0)),"")</f>
        <v/>
      </c>
      <c r="Q569" s="110">
        <f>IFERROR(INDEX('WetLitterbags placem_collection'!$A$3:$A$500,MATCH(A569,'WetLitterbags placem_collection'!$Q$4:$Q$500,0)),"")</f>
        <v>64</v>
      </c>
    </row>
    <row r="570" spans="1:17" ht="13.95" customHeight="1">
      <c r="A570" s="110" t="s">
        <v>807</v>
      </c>
      <c r="B570" s="110" t="s">
        <v>2063</v>
      </c>
      <c r="C570" s="110">
        <v>1.544</v>
      </c>
      <c r="E570" s="112">
        <v>42879</v>
      </c>
      <c r="N570" s="110" t="str">
        <f>IFERROR(INDEX('WetLitterbags placem_collection'!$A$3:$A$500,MATCH(A570,'WetLitterbags placem_collection'!$K$4:$K$500,0)),"")</f>
        <v/>
      </c>
      <c r="O570" s="110" t="str">
        <f>IFERROR(INDEX('WetLitterbags placem_collection'!$A$3:$A$500,MATCH(A570,'WetLitterbags placem_collection'!$O$4:$O$500,0)),"")</f>
        <v/>
      </c>
      <c r="P570" s="110">
        <f>IFERROR(INDEX('WetLitterbags placem_collection'!$A$3:$A$500,MATCH(A570,'WetLitterbags placem_collection'!$M$4:$M$500,0)),"")</f>
        <v>203</v>
      </c>
      <c r="Q570" s="110" t="str">
        <f>IFERROR(INDEX('WetLitterbags placem_collection'!$A$3:$A$500,MATCH(A570,'WetLitterbags placem_collection'!$Q$4:$Q$500,0)),"")</f>
        <v/>
      </c>
    </row>
    <row r="571" spans="1:17" ht="13.95" customHeight="1">
      <c r="A571" s="110" t="s">
        <v>805</v>
      </c>
      <c r="B571" s="110" t="s">
        <v>2077</v>
      </c>
      <c r="C571" s="110">
        <v>1.671</v>
      </c>
      <c r="E571" s="112">
        <v>43122</v>
      </c>
      <c r="N571" s="110" t="str">
        <f>IFERROR(INDEX('WetLitterbags placem_collection'!$A$3:$A$500,MATCH(A571,'WetLitterbags placem_collection'!$K$4:$K$500,0)),"")</f>
        <v/>
      </c>
      <c r="O571" s="110" t="str">
        <f>IFERROR(INDEX('WetLitterbags placem_collection'!$A$3:$A$500,MATCH(A571,'WetLitterbags placem_collection'!$O$4:$O$500,0)),"")</f>
        <v/>
      </c>
      <c r="P571" s="110">
        <f>IFERROR(INDEX('WetLitterbags placem_collection'!$A$3:$A$500,MATCH(A571,'WetLitterbags placem_collection'!$M$4:$M$500,0)),"")</f>
        <v>190</v>
      </c>
      <c r="Q571" s="110" t="str">
        <f>IFERROR(INDEX('WetLitterbags placem_collection'!$A$3:$A$500,MATCH(A571,'WetLitterbags placem_collection'!$Q$4:$Q$500,0)),"")</f>
        <v/>
      </c>
    </row>
    <row r="572" spans="1:17" ht="13.95" customHeight="1">
      <c r="A572" s="110" t="s">
        <v>802</v>
      </c>
      <c r="B572" s="110">
        <v>109</v>
      </c>
      <c r="C572" s="110">
        <v>1.6160000000000001</v>
      </c>
      <c r="E572" s="112">
        <v>42881</v>
      </c>
      <c r="N572" s="110" t="str">
        <f>IFERROR(INDEX('WetLitterbags placem_collection'!$A$3:$A$500,MATCH(A572,'WetLitterbags placem_collection'!$K$4:$K$500,0)),"")</f>
        <v/>
      </c>
      <c r="O572" s="110" t="str">
        <f>IFERROR(INDEX('WetLitterbags placem_collection'!$A$3:$A$500,MATCH(A572,'WetLitterbags placem_collection'!$O$4:$O$500,0)),"")</f>
        <v/>
      </c>
      <c r="P572" s="110">
        <f>IFERROR(INDEX('WetLitterbags placem_collection'!$A$3:$A$500,MATCH(A572,'WetLitterbags placem_collection'!$M$4:$M$500,0)),"")</f>
        <v>198</v>
      </c>
      <c r="Q572" s="110" t="str">
        <f>IFERROR(INDEX('WetLitterbags placem_collection'!$A$3:$A$500,MATCH(A572,'WetLitterbags placem_collection'!$Q$4:$Q$500,0)),"")</f>
        <v/>
      </c>
    </row>
    <row r="573" spans="1:17" ht="13.95" customHeight="1">
      <c r="A573" s="110" t="s">
        <v>1107</v>
      </c>
      <c r="B573" s="110">
        <v>137</v>
      </c>
      <c r="C573" s="110">
        <v>1.571</v>
      </c>
      <c r="E573" s="112">
        <v>42879</v>
      </c>
      <c r="N573" s="110" t="str">
        <f>IFERROR(INDEX('WetLitterbags placem_collection'!$A$3:$A$500,MATCH(A573,'WetLitterbags placem_collection'!$K$4:$K$500,0)),"")</f>
        <v/>
      </c>
      <c r="O573" s="110" t="str">
        <f>IFERROR(INDEX('WetLitterbags placem_collection'!$A$3:$A$500,MATCH(A573,'WetLitterbags placem_collection'!$O$4:$O$500,0)),"")</f>
        <v/>
      </c>
      <c r="P573" s="110">
        <f>IFERROR(INDEX('WetLitterbags placem_collection'!$A$3:$A$500,MATCH(A573,'WetLitterbags placem_collection'!$M$4:$M$500,0)),"")</f>
        <v>136</v>
      </c>
      <c r="Q573" s="110" t="str">
        <f>IFERROR(INDEX('WetLitterbags placem_collection'!$A$3:$A$500,MATCH(A573,'WetLitterbags placem_collection'!$Q$4:$Q$500,0)),"")</f>
        <v/>
      </c>
    </row>
    <row r="574" spans="1:17" ht="13.95" customHeight="1">
      <c r="A574" s="110" t="s">
        <v>801</v>
      </c>
      <c r="B574" s="110" t="s">
        <v>2077</v>
      </c>
      <c r="C574" s="110">
        <v>1.6197999999999999</v>
      </c>
      <c r="E574" s="112">
        <v>43119</v>
      </c>
      <c r="N574" s="110" t="str">
        <f>IFERROR(INDEX('WetLitterbags placem_collection'!$A$3:$A$500,MATCH(A574,'WetLitterbags placem_collection'!$K$4:$K$500,0)),"")</f>
        <v/>
      </c>
      <c r="O574" s="110" t="str">
        <f>IFERROR(INDEX('WetLitterbags placem_collection'!$A$3:$A$500,MATCH(A574,'WetLitterbags placem_collection'!$O$4:$O$500,0)),"")</f>
        <v/>
      </c>
      <c r="P574" s="110">
        <f>IFERROR(INDEX('WetLitterbags placem_collection'!$A$3:$A$500,MATCH(A574,'WetLitterbags placem_collection'!$M$4:$M$500,0)),"")</f>
        <v>209</v>
      </c>
      <c r="Q574" s="110" t="str">
        <f>IFERROR(INDEX('WetLitterbags placem_collection'!$A$3:$A$500,MATCH(A574,'WetLitterbags placem_collection'!$Q$4:$Q$500,0)),"")</f>
        <v/>
      </c>
    </row>
    <row r="575" spans="1:17" ht="13.95" customHeight="1">
      <c r="A575" s="110" t="s">
        <v>800</v>
      </c>
      <c r="B575" s="110">
        <v>163</v>
      </c>
      <c r="C575" s="110">
        <v>1.738</v>
      </c>
      <c r="E575" s="112">
        <v>42881</v>
      </c>
      <c r="N575" s="110" t="str">
        <f>IFERROR(INDEX('WetLitterbags placem_collection'!$A$3:$A$500,MATCH(A575,'WetLitterbags placem_collection'!$K$4:$K$500,0)),"")</f>
        <v/>
      </c>
      <c r="O575" s="110" t="str">
        <f>IFERROR(INDEX('WetLitterbags placem_collection'!$A$3:$A$500,MATCH(A575,'WetLitterbags placem_collection'!$O$4:$O$500,0)),"")</f>
        <v/>
      </c>
      <c r="P575" s="110" t="str">
        <f>IFERROR(INDEX('WetLitterbags placem_collection'!$A$3:$A$500,MATCH(A575,'WetLitterbags placem_collection'!$M$4:$M$500,0)),"")</f>
        <v/>
      </c>
      <c r="Q575" s="110">
        <f>IFERROR(INDEX('WetLitterbags placem_collection'!$A$3:$A$500,MATCH(A575,'WetLitterbags placem_collection'!$Q$4:$Q$500,0)),"")</f>
        <v>162</v>
      </c>
    </row>
    <row r="576" spans="1:17" ht="13.95" customHeight="1">
      <c r="A576" s="110" t="s">
        <v>799</v>
      </c>
      <c r="B576" s="110" t="s">
        <v>2077</v>
      </c>
      <c r="C576" s="110">
        <v>1.5906</v>
      </c>
      <c r="E576" s="112">
        <v>43119</v>
      </c>
      <c r="N576" s="110" t="str">
        <f>IFERROR(INDEX('WetLitterbags placem_collection'!$A$3:$A$500,MATCH(A576,'WetLitterbags placem_collection'!$K$4:$K$500,0)),"")</f>
        <v/>
      </c>
      <c r="O576" s="110" t="str">
        <f>IFERROR(INDEX('WetLitterbags placem_collection'!$A$3:$A$500,MATCH(A576,'WetLitterbags placem_collection'!$O$4:$O$500,0)),"")</f>
        <v/>
      </c>
      <c r="P576" s="110" t="str">
        <f>IFERROR(INDEX('WetLitterbags placem_collection'!$A$3:$A$500,MATCH(A576,'WetLitterbags placem_collection'!$M$4:$M$500,0)),"")</f>
        <v/>
      </c>
      <c r="Q576" s="110">
        <f>IFERROR(INDEX('WetLitterbags placem_collection'!$A$3:$A$500,MATCH(A576,'WetLitterbags placem_collection'!$Q$4:$Q$500,0)),"")</f>
        <v>202</v>
      </c>
    </row>
    <row r="577" spans="1:17" ht="13.95" customHeight="1">
      <c r="A577" s="110" t="s">
        <v>798</v>
      </c>
      <c r="B577" s="110">
        <v>91</v>
      </c>
      <c r="C577" s="110">
        <v>0.16200000000000001</v>
      </c>
      <c r="D577" s="110" t="s">
        <v>2135</v>
      </c>
      <c r="E577" s="112">
        <v>42878</v>
      </c>
      <c r="N577" s="110" t="str">
        <f>IFERROR(INDEX('WetLitterbags placem_collection'!$A$3:$A$500,MATCH(A577,'WetLitterbags placem_collection'!$K$4:$K$500,0)),"")</f>
        <v/>
      </c>
      <c r="O577" s="110" t="str">
        <f>IFERROR(INDEX('WetLitterbags placem_collection'!$A$3:$A$500,MATCH(A577,'WetLitterbags placem_collection'!$O$4:$O$500,0)),"")</f>
        <v/>
      </c>
      <c r="P577" s="110">
        <f>IFERROR(INDEX('WetLitterbags placem_collection'!$A$3:$A$500,MATCH(A577,'WetLitterbags placem_collection'!$M$4:$M$500,0)),"")</f>
        <v>90</v>
      </c>
      <c r="Q577" s="110" t="str">
        <f>IFERROR(INDEX('WetLitterbags placem_collection'!$A$3:$A$500,MATCH(A577,'WetLitterbags placem_collection'!$Q$4:$Q$500,0)),"")</f>
        <v/>
      </c>
    </row>
    <row r="578" spans="1:17" ht="13.95" customHeight="1">
      <c r="A578" s="110" t="s">
        <v>797</v>
      </c>
      <c r="B578" s="110">
        <v>208</v>
      </c>
      <c r="C578" s="110">
        <v>1.476</v>
      </c>
      <c r="E578" s="112">
        <v>42879</v>
      </c>
      <c r="N578" s="110" t="str">
        <f>IFERROR(INDEX('WetLitterbags placem_collection'!$A$3:$A$500,MATCH(A578,'WetLitterbags placem_collection'!$K$4:$K$500,0)),"")</f>
        <v/>
      </c>
      <c r="O578" s="110" t="str">
        <f>IFERROR(INDEX('WetLitterbags placem_collection'!$A$3:$A$500,MATCH(A578,'WetLitterbags placem_collection'!$O$4:$O$500,0)),"")</f>
        <v/>
      </c>
      <c r="P578" s="110">
        <f>IFERROR(INDEX('WetLitterbags placem_collection'!$A$3:$A$500,MATCH(A578,'WetLitterbags placem_collection'!$M$4:$M$500,0)),"")</f>
        <v>207</v>
      </c>
      <c r="Q578" s="110" t="str">
        <f>IFERROR(INDEX('WetLitterbags placem_collection'!$A$3:$A$500,MATCH(A578,'WetLitterbags placem_collection'!$Q$4:$Q$500,0)),"")</f>
        <v/>
      </c>
    </row>
    <row r="579" spans="1:17" ht="13.95" customHeight="1">
      <c r="A579" s="110" t="s">
        <v>795</v>
      </c>
      <c r="B579" s="110">
        <v>192</v>
      </c>
      <c r="C579" s="110">
        <v>1.6679999999999999</v>
      </c>
      <c r="E579" s="112">
        <v>42881</v>
      </c>
      <c r="N579" s="110" t="str">
        <f>IFERROR(INDEX('WetLitterbags placem_collection'!$A$3:$A$500,MATCH(A579,'WetLitterbags placem_collection'!$K$4:$K$500,0)),"")</f>
        <v/>
      </c>
      <c r="O579" s="110" t="str">
        <f>IFERROR(INDEX('WetLitterbags placem_collection'!$A$3:$A$500,MATCH(A579,'WetLitterbags placem_collection'!$O$4:$O$500,0)),"")</f>
        <v/>
      </c>
      <c r="P579" s="110" t="str">
        <f>IFERROR(INDEX('WetLitterbags placem_collection'!$A$3:$A$500,MATCH(A579,'WetLitterbags placem_collection'!$M$4:$M$500,0)),"")</f>
        <v/>
      </c>
      <c r="Q579" s="110">
        <f>IFERROR(INDEX('WetLitterbags placem_collection'!$A$3:$A$500,MATCH(A579,'WetLitterbags placem_collection'!$Q$4:$Q$500,0)),"")</f>
        <v>191</v>
      </c>
    </row>
    <row r="580" spans="1:17" ht="13.95" customHeight="1">
      <c r="A580" s="110" t="s">
        <v>1106</v>
      </c>
      <c r="B580" s="110">
        <v>157</v>
      </c>
      <c r="C580" s="110">
        <v>1.994</v>
      </c>
      <c r="E580" s="112">
        <v>42879</v>
      </c>
      <c r="N580" s="110" t="str">
        <f>IFERROR(INDEX('WetLitterbags placem_collection'!$A$3:$A$500,MATCH(A580,'WetLitterbags placem_collection'!$K$4:$K$500,0)),"")</f>
        <v/>
      </c>
      <c r="O580" s="110" t="str">
        <f>IFERROR(INDEX('WetLitterbags placem_collection'!$A$3:$A$500,MATCH(A580,'WetLitterbags placem_collection'!$O$4:$O$500,0)),"")</f>
        <v/>
      </c>
      <c r="P580" s="110" t="str">
        <f>IFERROR(INDEX('WetLitterbags placem_collection'!$A$3:$A$500,MATCH(A580,'WetLitterbags placem_collection'!$M$4:$M$500,0)),"")</f>
        <v/>
      </c>
      <c r="Q580" s="110">
        <f>IFERROR(INDEX('WetLitterbags placem_collection'!$A$3:$A$500,MATCH(A580,'WetLitterbags placem_collection'!$Q$4:$Q$500,0)),"")</f>
        <v>156</v>
      </c>
    </row>
    <row r="581" spans="1:17" ht="13.95" customHeight="1">
      <c r="A581" s="110" t="s">
        <v>788</v>
      </c>
      <c r="B581" s="110">
        <v>172</v>
      </c>
      <c r="C581" s="110">
        <v>1.7694000000000001</v>
      </c>
      <c r="E581" s="112">
        <v>43123</v>
      </c>
      <c r="N581" s="110" t="str">
        <f>IFERROR(INDEX('WetLitterbags placem_collection'!$A$3:$A$500,MATCH(A581,'WetLitterbags placem_collection'!$K$4:$K$500,0)),"")</f>
        <v/>
      </c>
      <c r="O581" s="110" t="str">
        <f>IFERROR(INDEX('WetLitterbags placem_collection'!$A$3:$A$500,MATCH(A581,'WetLitterbags placem_collection'!$O$4:$O$500,0)),"")</f>
        <v/>
      </c>
      <c r="P581" s="110" t="str">
        <f>IFERROR(INDEX('WetLitterbags placem_collection'!$A$3:$A$500,MATCH(A581,'WetLitterbags placem_collection'!$M$4:$M$500,0)),"")</f>
        <v/>
      </c>
      <c r="Q581" s="110">
        <f>IFERROR(INDEX('WetLitterbags placem_collection'!$A$3:$A$500,MATCH(A581,'WetLitterbags placem_collection'!$Q$4:$Q$500,0)),"")</f>
        <v>171</v>
      </c>
    </row>
    <row r="582" spans="1:17" ht="13.95" customHeight="1">
      <c r="A582" s="110" t="s">
        <v>787</v>
      </c>
      <c r="B582" s="110">
        <v>189</v>
      </c>
      <c r="C582" s="110">
        <v>1.7630999999999999</v>
      </c>
      <c r="E582" s="112">
        <v>43125</v>
      </c>
      <c r="N582" s="110" t="str">
        <f>IFERROR(INDEX('WetLitterbags placem_collection'!$A$3:$A$500,MATCH(A582,'WetLitterbags placem_collection'!$K$4:$K$500,0)),"")</f>
        <v/>
      </c>
      <c r="O582" s="110" t="str">
        <f>IFERROR(INDEX('WetLitterbags placem_collection'!$A$3:$A$500,MATCH(A582,'WetLitterbags placem_collection'!$O$4:$O$500,0)),"")</f>
        <v/>
      </c>
      <c r="P582" s="110">
        <f>IFERROR(INDEX('WetLitterbags placem_collection'!$A$3:$A$500,MATCH(A582,'WetLitterbags placem_collection'!$M$4:$M$500,0)),"")</f>
        <v>188</v>
      </c>
      <c r="Q582" s="110" t="str">
        <f>IFERROR(INDEX('WetLitterbags placem_collection'!$A$3:$A$500,MATCH(A582,'WetLitterbags placem_collection'!$Q$4:$Q$500,0)),"")</f>
        <v/>
      </c>
    </row>
    <row r="583" spans="1:17" ht="13.95" customHeight="1">
      <c r="A583" s="110" t="s">
        <v>785</v>
      </c>
      <c r="B583" s="110">
        <v>219</v>
      </c>
      <c r="C583" s="110">
        <v>1.4823</v>
      </c>
      <c r="E583" s="112">
        <v>43125</v>
      </c>
      <c r="N583" s="110" t="str">
        <f>IFERROR(INDEX('WetLitterbags placem_collection'!$A$3:$A$500,MATCH(A583,'WetLitterbags placem_collection'!$K$4:$K$500,0)),"")</f>
        <v/>
      </c>
      <c r="O583" s="110" t="str">
        <f>IFERROR(INDEX('WetLitterbags placem_collection'!$A$3:$A$500,MATCH(A583,'WetLitterbags placem_collection'!$O$4:$O$500,0)),"")</f>
        <v/>
      </c>
      <c r="P583" s="110" t="str">
        <f>IFERROR(INDEX('WetLitterbags placem_collection'!$A$3:$A$500,MATCH(A583,'WetLitterbags placem_collection'!$M$4:$M$500,0)),"")</f>
        <v/>
      </c>
      <c r="Q583" s="110">
        <f>IFERROR(INDEX('WetLitterbags placem_collection'!$A$3:$A$500,MATCH(A583,'WetLitterbags placem_collection'!$Q$4:$Q$500,0)),"")</f>
        <v>218</v>
      </c>
    </row>
    <row r="584" spans="1:17" ht="13.95" customHeight="1">
      <c r="A584" s="110" t="s">
        <v>782</v>
      </c>
      <c r="B584" s="110" t="s">
        <v>2077</v>
      </c>
      <c r="C584" s="110">
        <v>1.4882</v>
      </c>
      <c r="D584" s="110" t="s">
        <v>2125</v>
      </c>
      <c r="E584" s="112">
        <v>43122</v>
      </c>
      <c r="N584" s="110" t="str">
        <f>IFERROR(INDEX('WetLitterbags placem_collection'!$A$3:$A$500,MATCH(A584,'WetLitterbags placem_collection'!$K$4:$K$500,0)),"")</f>
        <v/>
      </c>
      <c r="O584" s="110" t="str">
        <f>IFERROR(INDEX('WetLitterbags placem_collection'!$A$3:$A$500,MATCH(A584,'WetLitterbags placem_collection'!$O$4:$O$500,0)),"")</f>
        <v/>
      </c>
      <c r="P584" s="110" t="str">
        <f>IFERROR(INDEX('WetLitterbags placem_collection'!$A$3:$A$500,MATCH(A584,'WetLitterbags placem_collection'!$M$4:$M$500,0)),"")</f>
        <v/>
      </c>
      <c r="Q584" s="110">
        <f>IFERROR(INDEX('WetLitterbags placem_collection'!$A$3:$A$500,MATCH(A584,'WetLitterbags placem_collection'!$Q$4:$Q$500,0)),"")</f>
        <v>199</v>
      </c>
    </row>
    <row r="585" spans="1:17" ht="13.95" customHeight="1">
      <c r="A585" s="110" t="s">
        <v>781</v>
      </c>
      <c r="B585" s="110">
        <v>95</v>
      </c>
      <c r="C585" s="110">
        <v>0.45800000000000002</v>
      </c>
      <c r="D585" s="110" t="s">
        <v>2055</v>
      </c>
      <c r="E585" s="112">
        <v>42879</v>
      </c>
      <c r="N585" s="110" t="str">
        <f>IFERROR(INDEX('WetLitterbags placem_collection'!$A$3:$A$500,MATCH(A585,'WetLitterbags placem_collection'!$K$4:$K$500,0)),"")</f>
        <v/>
      </c>
      <c r="O585" s="110" t="str">
        <f>IFERROR(INDEX('WetLitterbags placem_collection'!$A$3:$A$500,MATCH(A585,'WetLitterbags placem_collection'!$O$4:$O$500,0)),"")</f>
        <v/>
      </c>
      <c r="P585" s="110">
        <f>IFERROR(INDEX('WetLitterbags placem_collection'!$A$3:$A$500,MATCH(A585,'WetLitterbags placem_collection'!$M$4:$M$500,0)),"")</f>
        <v>94</v>
      </c>
      <c r="Q585" s="110" t="str">
        <f>IFERROR(INDEX('WetLitterbags placem_collection'!$A$3:$A$500,MATCH(A585,'WetLitterbags placem_collection'!$Q$4:$Q$500,0)),"")</f>
        <v/>
      </c>
    </row>
    <row r="586" spans="1:17" ht="13.95" customHeight="1">
      <c r="A586" s="110" t="s">
        <v>779</v>
      </c>
      <c r="B586" s="110" t="s">
        <v>2077</v>
      </c>
      <c r="C586" s="110">
        <v>1.5253000000000001</v>
      </c>
      <c r="E586" s="112">
        <v>43122</v>
      </c>
      <c r="N586" s="110" t="str">
        <f>IFERROR(INDEX('WetLitterbags placem_collection'!$A$3:$A$500,MATCH(A586,'WetLitterbags placem_collection'!$K$4:$K$500,0)),"")</f>
        <v/>
      </c>
      <c r="O586" s="110" t="str">
        <f>IFERROR(INDEX('WetLitterbags placem_collection'!$A$3:$A$500,MATCH(A586,'WetLitterbags placem_collection'!$O$4:$O$500,0)),"")</f>
        <v/>
      </c>
      <c r="P586" s="110" t="str">
        <f>IFERROR(INDEX('WetLitterbags placem_collection'!$A$3:$A$500,MATCH(A586,'WetLitterbags placem_collection'!$M$4:$M$500,0)),"")</f>
        <v/>
      </c>
      <c r="Q586" s="110">
        <f>IFERROR(INDEX('WetLitterbags placem_collection'!$A$3:$A$500,MATCH(A586,'WetLitterbags placem_collection'!$Q$4:$Q$500,0)),"")</f>
        <v>195</v>
      </c>
    </row>
    <row r="587" spans="1:17" ht="13.95" customHeight="1">
      <c r="A587" s="110" t="s">
        <v>778</v>
      </c>
      <c r="B587" s="110" t="s">
        <v>2077</v>
      </c>
      <c r="C587" s="110">
        <v>1.5164</v>
      </c>
      <c r="E587" s="112">
        <v>43122</v>
      </c>
      <c r="N587" s="110" t="str">
        <f>IFERROR(INDEX('WetLitterbags placem_collection'!$A$3:$A$500,MATCH(A587,'WetLitterbags placem_collection'!$K$4:$K$500,0)),"")</f>
        <v/>
      </c>
      <c r="O587" s="110" t="str">
        <f>IFERROR(INDEX('WetLitterbags placem_collection'!$A$3:$A$500,MATCH(A587,'WetLitterbags placem_collection'!$O$4:$O$500,0)),"")</f>
        <v/>
      </c>
      <c r="P587" s="110">
        <f>IFERROR(INDEX('WetLitterbags placem_collection'!$A$3:$A$500,MATCH(A587,'WetLitterbags placem_collection'!$M$4:$M$500,0)),"")</f>
        <v>21</v>
      </c>
      <c r="Q587" s="110" t="str">
        <f>IFERROR(INDEX('WetLitterbags placem_collection'!$A$3:$A$500,MATCH(A587,'WetLitterbags placem_collection'!$Q$4:$Q$500,0)),"")</f>
        <v/>
      </c>
    </row>
    <row r="588" spans="1:17" ht="13.95" customHeight="1">
      <c r="A588" s="110" t="s">
        <v>777</v>
      </c>
      <c r="B588" s="110" t="s">
        <v>2077</v>
      </c>
      <c r="C588" s="110">
        <v>1.3913</v>
      </c>
      <c r="E588" s="112">
        <v>43122</v>
      </c>
      <c r="N588" s="110" t="str">
        <f>IFERROR(INDEX('WetLitterbags placem_collection'!$A$3:$A$500,MATCH(A588,'WetLitterbags placem_collection'!$K$4:$K$500,0)),"")</f>
        <v/>
      </c>
      <c r="O588" s="110" t="str">
        <f>IFERROR(INDEX('WetLitterbags placem_collection'!$A$3:$A$500,MATCH(A588,'WetLitterbags placem_collection'!$O$4:$O$500,0)),"")</f>
        <v/>
      </c>
      <c r="P588" s="110" t="str">
        <f>IFERROR(INDEX('WetLitterbags placem_collection'!$A$3:$A$500,MATCH(A588,'WetLitterbags placem_collection'!$M$4:$M$500,0)),"")</f>
        <v/>
      </c>
      <c r="Q588" s="110">
        <f>IFERROR(INDEX('WetLitterbags placem_collection'!$A$3:$A$500,MATCH(A588,'WetLitterbags placem_collection'!$Q$4:$Q$500,0)),"")</f>
        <v>192</v>
      </c>
    </row>
    <row r="589" spans="1:17" ht="13.95" customHeight="1">
      <c r="A589" s="110" t="s">
        <v>773</v>
      </c>
      <c r="B589" s="110">
        <v>82</v>
      </c>
      <c r="C589" s="110">
        <v>1.704</v>
      </c>
      <c r="E589" s="112">
        <v>42879</v>
      </c>
      <c r="N589" s="110" t="str">
        <f>IFERROR(INDEX('WetLitterbags placem_collection'!$A$3:$A$500,MATCH(A589,'WetLitterbags placem_collection'!$K$4:$K$500,0)),"")</f>
        <v/>
      </c>
      <c r="O589" s="110" t="str">
        <f>IFERROR(INDEX('WetLitterbags placem_collection'!$A$3:$A$500,MATCH(A589,'WetLitterbags placem_collection'!$O$4:$O$500,0)),"")</f>
        <v/>
      </c>
      <c r="P589" s="110" t="str">
        <f>IFERROR(INDEX('WetLitterbags placem_collection'!$A$3:$A$500,MATCH(A589,'WetLitterbags placem_collection'!$M$4:$M$500,0)),"")</f>
        <v/>
      </c>
      <c r="Q589" s="110">
        <f>IFERROR(INDEX('WetLitterbags placem_collection'!$A$3:$A$500,MATCH(A589,'WetLitterbags placem_collection'!$Q$4:$Q$500,0)),"")</f>
        <v>81</v>
      </c>
    </row>
    <row r="590" spans="1:17" ht="13.95" customHeight="1">
      <c r="A590" s="110" t="s">
        <v>1104</v>
      </c>
      <c r="B590" s="110">
        <v>114</v>
      </c>
      <c r="C590" s="110">
        <v>1.504</v>
      </c>
      <c r="E590" s="112">
        <v>42878</v>
      </c>
      <c r="N590" s="110" t="str">
        <f>IFERROR(INDEX('WetLitterbags placem_collection'!$A$3:$A$500,MATCH(A590,'WetLitterbags placem_collection'!$K$4:$K$500,0)),"")</f>
        <v/>
      </c>
      <c r="O590" s="110" t="str">
        <f>IFERROR(INDEX('WetLitterbags placem_collection'!$A$3:$A$500,MATCH(A590,'WetLitterbags placem_collection'!$O$4:$O$500,0)),"")</f>
        <v/>
      </c>
      <c r="P590" s="110" t="str">
        <f>IFERROR(INDEX('WetLitterbags placem_collection'!$A$3:$A$500,MATCH(A590,'WetLitterbags placem_collection'!$M$4:$M$500,0)),"")</f>
        <v/>
      </c>
      <c r="Q590" s="110">
        <f>IFERROR(INDEX('WetLitterbags placem_collection'!$A$3:$A$500,MATCH(A590,'WetLitterbags placem_collection'!$Q$4:$Q$500,0)),"")</f>
        <v>113</v>
      </c>
    </row>
    <row r="591" spans="1:17" ht="13.95" customHeight="1">
      <c r="A591" s="110" t="s">
        <v>771</v>
      </c>
      <c r="B591" s="110" t="s">
        <v>2077</v>
      </c>
      <c r="C591" s="110">
        <v>1.488</v>
      </c>
      <c r="E591" s="112">
        <v>43122</v>
      </c>
      <c r="N591" s="110" t="str">
        <f>IFERROR(INDEX('WetLitterbags placem_collection'!$A$3:$A$500,MATCH(A591,'WetLitterbags placem_collection'!$K$4:$K$500,0)),"")</f>
        <v/>
      </c>
      <c r="O591" s="110" t="str">
        <f>IFERROR(INDEX('WetLitterbags placem_collection'!$A$3:$A$500,MATCH(A591,'WetLitterbags placem_collection'!$O$4:$O$500,0)),"")</f>
        <v/>
      </c>
      <c r="P591" s="110" t="str">
        <f>IFERROR(INDEX('WetLitterbags placem_collection'!$A$3:$A$500,MATCH(A591,'WetLitterbags placem_collection'!$M$4:$M$500,0)),"")</f>
        <v/>
      </c>
      <c r="Q591" s="110">
        <f>IFERROR(INDEX('WetLitterbags placem_collection'!$A$3:$A$500,MATCH(A591,'WetLitterbags placem_collection'!$Q$4:$Q$500,0)),"")</f>
        <v>196</v>
      </c>
    </row>
    <row r="592" spans="1:17" ht="13.95" customHeight="1">
      <c r="A592" s="110" t="s">
        <v>770</v>
      </c>
      <c r="B592" s="110">
        <v>42</v>
      </c>
      <c r="C592" s="110">
        <v>1.649</v>
      </c>
      <c r="E592" s="112">
        <v>42881</v>
      </c>
      <c r="N592" s="110" t="str">
        <f>IFERROR(INDEX('WetLitterbags placem_collection'!$A$3:$A$500,MATCH(A592,'WetLitterbags placem_collection'!$K$4:$K$500,0)),"")</f>
        <v/>
      </c>
      <c r="O592" s="110" t="str">
        <f>IFERROR(INDEX('WetLitterbags placem_collection'!$A$3:$A$500,MATCH(A592,'WetLitterbags placem_collection'!$O$4:$O$500,0)),"")</f>
        <v/>
      </c>
      <c r="P592" s="110">
        <f>IFERROR(INDEX('WetLitterbags placem_collection'!$A$3:$A$500,MATCH(A592,'WetLitterbags placem_collection'!$M$4:$M$500,0)),"")</f>
        <v>41</v>
      </c>
      <c r="Q592" s="110" t="str">
        <f>IFERROR(INDEX('WetLitterbags placem_collection'!$A$3:$A$500,MATCH(A592,'WetLitterbags placem_collection'!$Q$4:$Q$500,0)),"")</f>
        <v/>
      </c>
    </row>
    <row r="593" spans="1:17" ht="13.95" customHeight="1">
      <c r="A593" s="110" t="s">
        <v>769</v>
      </c>
      <c r="B593" s="110" t="s">
        <v>2077</v>
      </c>
      <c r="C593" s="110">
        <v>1.6213</v>
      </c>
      <c r="E593" s="112">
        <v>43119</v>
      </c>
      <c r="N593" s="110" t="str">
        <f>IFERROR(INDEX('WetLitterbags placem_collection'!$A$3:$A$500,MATCH(A593,'WetLitterbags placem_collection'!$K$4:$K$500,0)),"")</f>
        <v/>
      </c>
      <c r="O593" s="110" t="str">
        <f>IFERROR(INDEX('WetLitterbags placem_collection'!$A$3:$A$500,MATCH(A593,'WetLitterbags placem_collection'!$O$4:$O$500,0)),"")</f>
        <v/>
      </c>
      <c r="P593" s="110">
        <f>IFERROR(INDEX('WetLitterbags placem_collection'!$A$3:$A$500,MATCH(A593,'WetLitterbags placem_collection'!$M$4:$M$500,0)),"")</f>
        <v>202</v>
      </c>
      <c r="Q593" s="110" t="str">
        <f>IFERROR(INDEX('WetLitterbags placem_collection'!$A$3:$A$500,MATCH(A593,'WetLitterbags placem_collection'!$Q$4:$Q$500,0)),"")</f>
        <v/>
      </c>
    </row>
    <row r="594" spans="1:17" ht="13.95" customHeight="1">
      <c r="A594" s="110" t="s">
        <v>766</v>
      </c>
      <c r="B594" s="110" t="s">
        <v>2077</v>
      </c>
      <c r="C594" s="110">
        <v>1.3742000000000001</v>
      </c>
      <c r="E594" s="112">
        <v>43116</v>
      </c>
      <c r="N594" s="110" t="str">
        <f>IFERROR(INDEX('WetLitterbags placem_collection'!$A$3:$A$500,MATCH(A594,'WetLitterbags placem_collection'!$K$4:$K$500,0)),"")</f>
        <v/>
      </c>
      <c r="O594" s="110" t="str">
        <f>IFERROR(INDEX('WetLitterbags placem_collection'!$A$3:$A$500,MATCH(A594,'WetLitterbags placem_collection'!$O$4:$O$500,0)),"")</f>
        <v/>
      </c>
      <c r="P594" s="110">
        <f>IFERROR(INDEX('WetLitterbags placem_collection'!$A$3:$A$500,MATCH(A594,'WetLitterbags placem_collection'!$M$4:$M$500,0)),"")</f>
        <v>195</v>
      </c>
      <c r="Q594" s="110" t="str">
        <f>IFERROR(INDEX('WetLitterbags placem_collection'!$A$3:$A$500,MATCH(A594,'WetLitterbags placem_collection'!$Q$4:$Q$500,0)),"")</f>
        <v/>
      </c>
    </row>
    <row r="595" spans="1:17" ht="13.95" customHeight="1">
      <c r="A595" s="168" t="s">
        <v>765</v>
      </c>
      <c r="B595" s="110">
        <v>43</v>
      </c>
      <c r="C595" s="110">
        <v>1.3532999999999999</v>
      </c>
      <c r="D595" s="167" t="s">
        <v>2462</v>
      </c>
      <c r="E595" s="112">
        <v>43123</v>
      </c>
      <c r="N595" s="110" t="str">
        <f>IFERROR(INDEX('WetLitterbags placem_collection'!$A$3:$A$500,MATCH(A595,'WetLitterbags placem_collection'!$K$4:$K$500,0)),"")</f>
        <v/>
      </c>
      <c r="O595" s="110" t="str">
        <f>IFERROR(INDEX('WetLitterbags placem_collection'!$A$3:$A$500,MATCH(A595,'WetLitterbags placem_collection'!$O$4:$O$500,0)),"")</f>
        <v/>
      </c>
      <c r="P595" s="110">
        <f>IFERROR(INDEX('WetLitterbags placem_collection'!$A$3:$A$500,MATCH(A595,'WetLitterbags placem_collection'!$M$4:$M$500,0)),"")</f>
        <v>42</v>
      </c>
      <c r="Q595" s="110" t="str">
        <f>IFERROR(INDEX('WetLitterbags placem_collection'!$A$3:$A$500,MATCH(A595,'WetLitterbags placem_collection'!$Q$4:$Q$500,0)),"")</f>
        <v/>
      </c>
    </row>
    <row r="596" spans="1:17" ht="13.95" customHeight="1">
      <c r="A596" s="110" t="s">
        <v>763</v>
      </c>
      <c r="B596" s="110">
        <v>195</v>
      </c>
      <c r="C596" s="110">
        <v>1.5296000000000001</v>
      </c>
      <c r="D596" s="110" t="s">
        <v>2087</v>
      </c>
      <c r="E596" s="112">
        <v>43125</v>
      </c>
      <c r="N596" s="110" t="str">
        <f>IFERROR(INDEX('WetLitterbags placem_collection'!$A$3:$A$500,MATCH(A596,'WetLitterbags placem_collection'!$K$4:$K$500,0)),"")</f>
        <v/>
      </c>
      <c r="O596" s="110" t="str">
        <f>IFERROR(INDEX('WetLitterbags placem_collection'!$A$3:$A$500,MATCH(A596,'WetLitterbags placem_collection'!$O$4:$O$500,0)),"")</f>
        <v/>
      </c>
      <c r="P596" s="110">
        <f>IFERROR(INDEX('WetLitterbags placem_collection'!$A$3:$A$500,MATCH(A596,'WetLitterbags placem_collection'!$M$4:$M$500,0)),"")</f>
        <v>194</v>
      </c>
      <c r="Q596" s="110" t="str">
        <f>IFERROR(INDEX('WetLitterbags placem_collection'!$A$3:$A$500,MATCH(A596,'WetLitterbags placem_collection'!$Q$4:$Q$500,0)),"")</f>
        <v/>
      </c>
    </row>
    <row r="597" spans="1:17" ht="13.95" customHeight="1">
      <c r="A597" s="110" t="s">
        <v>1103</v>
      </c>
      <c r="B597" s="110" t="s">
        <v>2077</v>
      </c>
      <c r="C597" s="110">
        <v>1.2627999999999999</v>
      </c>
      <c r="E597" s="112">
        <v>43122</v>
      </c>
      <c r="N597" s="110" t="str">
        <f>IFERROR(INDEX('WetLitterbags placem_collection'!$A$3:$A$500,MATCH(A597,'WetLitterbags placem_collection'!$K$4:$K$500,0)),"")</f>
        <v/>
      </c>
      <c r="O597" s="110" t="str">
        <f>IFERROR(INDEX('WetLitterbags placem_collection'!$A$3:$A$500,MATCH(A597,'WetLitterbags placem_collection'!$O$4:$O$500,0)),"")</f>
        <v/>
      </c>
      <c r="P597" s="110" t="str">
        <f>IFERROR(INDEX('WetLitterbags placem_collection'!$A$3:$A$500,MATCH(A597,'WetLitterbags placem_collection'!$M$4:$M$500,0)),"")</f>
        <v/>
      </c>
      <c r="Q597" s="110">
        <f>IFERROR(INDEX('WetLitterbags placem_collection'!$A$3:$A$500,MATCH(A597,'WetLitterbags placem_collection'!$Q$4:$Q$500,0)),"")</f>
        <v>4</v>
      </c>
    </row>
    <row r="598" spans="1:17" ht="13.95" customHeight="1">
      <c r="A598" s="110" t="s">
        <v>761</v>
      </c>
      <c r="B598" s="110" t="s">
        <v>2077</v>
      </c>
      <c r="C598" s="110">
        <v>1.6271</v>
      </c>
      <c r="D598" s="110" t="s">
        <v>2119</v>
      </c>
      <c r="E598" s="112">
        <v>43116</v>
      </c>
      <c r="N598" s="110" t="str">
        <f>IFERROR(INDEX('WetLitterbags placem_collection'!$A$3:$A$500,MATCH(A598,'WetLitterbags placem_collection'!$K$4:$K$500,0)),"")</f>
        <v/>
      </c>
      <c r="O598" s="110" t="str">
        <f>IFERROR(INDEX('WetLitterbags placem_collection'!$A$3:$A$500,MATCH(A598,'WetLitterbags placem_collection'!$O$4:$O$500,0)),"")</f>
        <v/>
      </c>
      <c r="P598" s="110" t="str">
        <f>IFERROR(INDEX('WetLitterbags placem_collection'!$A$3:$A$500,MATCH(A598,'WetLitterbags placem_collection'!$M$4:$M$500,0)),"")</f>
        <v/>
      </c>
      <c r="Q598" s="110">
        <f>IFERROR(INDEX('WetLitterbags placem_collection'!$A$3:$A$500,MATCH(A598,'WetLitterbags placem_collection'!$Q$4:$Q$500,0)),"")</f>
        <v>16</v>
      </c>
    </row>
    <row r="599" spans="1:17" ht="13.95" customHeight="1">
      <c r="A599" s="110" t="s">
        <v>760</v>
      </c>
      <c r="B599" s="110">
        <v>221</v>
      </c>
      <c r="C599" s="110">
        <v>1.528</v>
      </c>
      <c r="E599" s="112">
        <v>42878</v>
      </c>
      <c r="J599" s="113"/>
      <c r="L599" s="113"/>
      <c r="N599" s="110" t="str">
        <f>IFERROR(INDEX('WetLitterbags placem_collection'!$A$3:$A$500,MATCH(A599,'WetLitterbags placem_collection'!$K$4:$K$500,0)),"")</f>
        <v/>
      </c>
      <c r="O599" s="110" t="str">
        <f>IFERROR(INDEX('WetLitterbags placem_collection'!$A$3:$A$500,MATCH(A599,'WetLitterbags placem_collection'!$O$4:$O$500,0)),"")</f>
        <v/>
      </c>
      <c r="P599" s="110">
        <f>IFERROR(INDEX('WetLitterbags placem_collection'!$A$3:$A$500,MATCH(A599,'WetLitterbags placem_collection'!$M$4:$M$500,0)),"")</f>
        <v>210</v>
      </c>
      <c r="Q599" s="110" t="str">
        <f>IFERROR(INDEX('WetLitterbags placem_collection'!$A$3:$A$500,MATCH(A599,'WetLitterbags placem_collection'!$Q$4:$Q$500,0)),"")</f>
        <v/>
      </c>
    </row>
    <row r="600" spans="1:17" ht="13.95" customHeight="1">
      <c r="A600" s="110" t="s">
        <v>759</v>
      </c>
      <c r="B600" s="110">
        <v>14</v>
      </c>
      <c r="C600" s="110">
        <v>1.794</v>
      </c>
      <c r="E600" s="112">
        <v>42881</v>
      </c>
      <c r="N600" s="110" t="str">
        <f>IFERROR(INDEX('WetLitterbags placem_collection'!$A$3:$A$500,MATCH(A600,'WetLitterbags placem_collection'!$K$4:$K$500,0)),"")</f>
        <v/>
      </c>
      <c r="O600" s="110" t="str">
        <f>IFERROR(INDEX('WetLitterbags placem_collection'!$A$3:$A$500,MATCH(A600,'WetLitterbags placem_collection'!$O$4:$O$500,0)),"")</f>
        <v/>
      </c>
      <c r="P600" s="110">
        <f>IFERROR(INDEX('WetLitterbags placem_collection'!$A$3:$A$500,MATCH(A600,'WetLitterbags placem_collection'!$M$4:$M$500,0)),"")</f>
        <v>13</v>
      </c>
      <c r="Q600" s="110" t="str">
        <f>IFERROR(INDEX('WetLitterbags placem_collection'!$A$3:$A$500,MATCH(A600,'WetLitterbags placem_collection'!$Q$4:$Q$500,0)),"")</f>
        <v/>
      </c>
    </row>
    <row r="601" spans="1:17" ht="13.95" customHeight="1">
      <c r="A601" s="110" t="s">
        <v>758</v>
      </c>
      <c r="B601" s="110">
        <v>214</v>
      </c>
      <c r="C601" s="110">
        <v>1.587</v>
      </c>
      <c r="E601" s="112">
        <v>42878</v>
      </c>
      <c r="G601" s="113" t="s">
        <v>2066</v>
      </c>
      <c r="N601" s="110" t="str">
        <f>IFERROR(INDEX('WetLitterbags placem_collection'!$A$3:$A$500,MATCH(A601,'WetLitterbags placem_collection'!$K$4:$K$500,0)),"")</f>
        <v/>
      </c>
      <c r="O601" s="110" t="str">
        <f>IFERROR(INDEX('WetLitterbags placem_collection'!$A$3:$A$500,MATCH(A601,'WetLitterbags placem_collection'!$O$4:$O$500,0)),"")</f>
        <v/>
      </c>
      <c r="P601" s="110">
        <f>IFERROR(INDEX('WetLitterbags placem_collection'!$A$3:$A$500,MATCH(A601,'WetLitterbags placem_collection'!$M$4:$M$500,0)),"")</f>
        <v>213</v>
      </c>
      <c r="Q601" s="110" t="str">
        <f>IFERROR(INDEX('WetLitterbags placem_collection'!$A$3:$A$500,MATCH(A601,'WetLitterbags placem_collection'!$Q$4:$Q$500,0)),"")</f>
        <v/>
      </c>
    </row>
    <row r="602" spans="1:17" ht="13.95" customHeight="1">
      <c r="A602" s="110" t="s">
        <v>757</v>
      </c>
      <c r="B602" s="110">
        <v>174</v>
      </c>
      <c r="C602" s="110">
        <v>1.772</v>
      </c>
      <c r="E602" s="112">
        <v>42881</v>
      </c>
      <c r="G602" s="113" t="s">
        <v>2066</v>
      </c>
      <c r="N602" s="110" t="str">
        <f>IFERROR(INDEX('WetLitterbags placem_collection'!$A$3:$A$500,MATCH(A602,'WetLitterbags placem_collection'!$K$4:$K$500,0)),"")</f>
        <v/>
      </c>
      <c r="O602" s="110" t="str">
        <f>IFERROR(INDEX('WetLitterbags placem_collection'!$A$3:$A$500,MATCH(A602,'WetLitterbags placem_collection'!$O$4:$O$500,0)),"")</f>
        <v/>
      </c>
      <c r="P602" s="110" t="str">
        <f>IFERROR(INDEX('WetLitterbags placem_collection'!$A$3:$A$500,MATCH(A602,'WetLitterbags placem_collection'!$M$4:$M$500,0)),"")</f>
        <v/>
      </c>
      <c r="Q602" s="110">
        <f>IFERROR(INDEX('WetLitterbags placem_collection'!$A$3:$A$500,MATCH(A602,'WetLitterbags placem_collection'!$Q$4:$Q$500,0)),"")</f>
        <v>173</v>
      </c>
    </row>
    <row r="603" spans="1:17" ht="13.95" customHeight="1">
      <c r="A603" s="110" t="s">
        <v>755</v>
      </c>
      <c r="B603" s="110" t="s">
        <v>2083</v>
      </c>
      <c r="C603" s="110">
        <v>1.5941000000000001</v>
      </c>
      <c r="D603" s="167" t="s">
        <v>2466</v>
      </c>
      <c r="E603" s="112">
        <v>43125</v>
      </c>
      <c r="G603" s="113" t="s">
        <v>2066</v>
      </c>
      <c r="N603" s="110" t="str">
        <f>IFERROR(INDEX('WetLitterbags placem_collection'!$A$3:$A$500,MATCH(A603,'WetLitterbags placem_collection'!$K$4:$K$500,0)),"")</f>
        <v/>
      </c>
      <c r="O603" s="110" t="str">
        <f>IFERROR(INDEX('WetLitterbags placem_collection'!$A$3:$A$500,MATCH(A603,'WetLitterbags placem_collection'!$O$4:$O$500,0)),"")</f>
        <v/>
      </c>
      <c r="P603" s="110">
        <f>IFERROR(INDEX('WetLitterbags placem_collection'!$A$3:$A$500,MATCH(A603,'WetLitterbags placem_collection'!$M$4:$M$500,0)),"")</f>
        <v>28</v>
      </c>
      <c r="Q603" s="110" t="str">
        <f>IFERROR(INDEX('WetLitterbags placem_collection'!$A$3:$A$500,MATCH(A603,'WetLitterbags placem_collection'!$Q$4:$Q$500,0)),"")</f>
        <v/>
      </c>
    </row>
    <row r="604" spans="1:17" ht="13.95" customHeight="1">
      <c r="A604" s="113" t="s">
        <v>2060</v>
      </c>
      <c r="B604" s="110">
        <v>109</v>
      </c>
      <c r="C604" s="110">
        <v>1.667</v>
      </c>
      <c r="E604" s="112">
        <v>42881</v>
      </c>
      <c r="N604" s="110" t="str">
        <f>IFERROR(INDEX('WetLitterbags placem_collection'!$A$3:$A$500,MATCH(A604,'WetLitterbags placem_collection'!$K$4:$K$500,0)),"")</f>
        <v/>
      </c>
      <c r="O604" s="110" t="str">
        <f>IFERROR(INDEX('WetLitterbags placem_collection'!$A$3:$A$500,MATCH(A604,'WetLitterbags placem_collection'!$O$4:$O$500,0)),"")</f>
        <v/>
      </c>
      <c r="P604" s="110" t="str">
        <f>IFERROR(INDEX('WetLitterbags placem_collection'!$A$3:$A$500,MATCH(A604,'WetLitterbags placem_collection'!$M$4:$M$500,0)),"")</f>
        <v/>
      </c>
      <c r="Q604" s="110" t="str">
        <f>IFERROR(INDEX('WetLitterbags placem_collection'!$A$3:$A$500,MATCH(A604,'WetLitterbags placem_collection'!$Q$4:$Q$500,0)),"")</f>
        <v/>
      </c>
    </row>
    <row r="605" spans="1:17" ht="13.95" customHeight="1">
      <c r="A605" s="110" t="s">
        <v>754</v>
      </c>
      <c r="B605" s="110" t="s">
        <v>2077</v>
      </c>
      <c r="C605" s="110">
        <v>1.6520999999999999</v>
      </c>
      <c r="E605" s="112">
        <v>43122</v>
      </c>
      <c r="N605" s="110" t="str">
        <f>IFERROR(INDEX('WetLitterbags placem_collection'!$A$3:$A$500,MATCH(A605,'WetLitterbags placem_collection'!$K$4:$K$500,0)),"")</f>
        <v/>
      </c>
      <c r="O605" s="110" t="str">
        <f>IFERROR(INDEX('WetLitterbags placem_collection'!$A$3:$A$500,MATCH(A605,'WetLitterbags placem_collection'!$O$4:$O$500,0)),"")</f>
        <v/>
      </c>
      <c r="P605" s="110" t="str">
        <f>IFERROR(INDEX('WetLitterbags placem_collection'!$A$3:$A$500,MATCH(A605,'WetLitterbags placem_collection'!$M$4:$M$500,0)),"")</f>
        <v/>
      </c>
      <c r="Q605" s="110">
        <f>IFERROR(INDEX('WetLitterbags placem_collection'!$A$3:$A$500,MATCH(A605,'WetLitterbags placem_collection'!$Q$4:$Q$500,0)),"")</f>
        <v>190</v>
      </c>
    </row>
    <row r="606" spans="1:17" ht="13.95" customHeight="1">
      <c r="A606" s="110" t="s">
        <v>1102</v>
      </c>
      <c r="B606" s="110">
        <v>124</v>
      </c>
      <c r="C606" s="110">
        <v>1.4910000000000001</v>
      </c>
      <c r="E606" s="112">
        <v>42881</v>
      </c>
      <c r="N606" s="110" t="str">
        <f>IFERROR(INDEX('WetLitterbags placem_collection'!$A$3:$A$500,MATCH(A606,'WetLitterbags placem_collection'!$K$4:$K$500,0)),"")</f>
        <v/>
      </c>
      <c r="O606" s="110" t="str">
        <f>IFERROR(INDEX('WetLitterbags placem_collection'!$A$3:$A$500,MATCH(A606,'WetLitterbags placem_collection'!$O$4:$O$500,0)),"")</f>
        <v/>
      </c>
      <c r="P606" s="110">
        <f>IFERROR(INDEX('WetLitterbags placem_collection'!$A$3:$A$500,MATCH(A606,'WetLitterbags placem_collection'!$M$4:$M$500,0)),"")</f>
        <v>123</v>
      </c>
      <c r="Q606" s="110" t="str">
        <f>IFERROR(INDEX('WetLitterbags placem_collection'!$A$3:$A$500,MATCH(A606,'WetLitterbags placem_collection'!$Q$4:$Q$500,0)),"")</f>
        <v/>
      </c>
    </row>
    <row r="607" spans="1:17" ht="13.95" customHeight="1">
      <c r="A607" t="s">
        <v>751</v>
      </c>
      <c r="B607" s="110">
        <v>60</v>
      </c>
      <c r="C607" s="110">
        <v>1.5309999999999999</v>
      </c>
      <c r="D607" s="110" t="s">
        <v>2071</v>
      </c>
      <c r="E607" s="112">
        <v>42879</v>
      </c>
      <c r="N607" s="110" t="str">
        <f>IFERROR(INDEX('WetLitterbags placem_collection'!$A$3:$A$500,MATCH(A607,'WetLitterbags placem_collection'!$K$4:$K$500,0)),"")</f>
        <v/>
      </c>
      <c r="O607" s="110" t="str">
        <f>IFERROR(INDEX('WetLitterbags placem_collection'!$A$3:$A$500,MATCH(A607,'WetLitterbags placem_collection'!$O$4:$O$500,0)),"")</f>
        <v/>
      </c>
      <c r="P607" s="110" t="str">
        <f>IFERROR(INDEX('WetLitterbags placem_collection'!$A$3:$A$500,MATCH(A607,'WetLitterbags placem_collection'!$M$4:$M$500,0)),"")</f>
        <v/>
      </c>
      <c r="Q607" s="110">
        <f>IFERROR(INDEX('WetLitterbags placem_collection'!$A$3:$A$500,MATCH(A607,'WetLitterbags placem_collection'!$Q$4:$Q$500,0)),"")</f>
        <v>59</v>
      </c>
    </row>
    <row r="608" spans="1:17" ht="13.95" customHeight="1">
      <c r="A608" s="110" t="s">
        <v>750</v>
      </c>
      <c r="B608" s="110">
        <v>85</v>
      </c>
      <c r="C608" s="110">
        <v>1.6220000000000001</v>
      </c>
      <c r="E608" s="112">
        <v>42878</v>
      </c>
      <c r="N608" s="110" t="str">
        <f>IFERROR(INDEX('WetLitterbags placem_collection'!$A$3:$A$500,MATCH(A608,'WetLitterbags placem_collection'!$K$4:$K$500,0)),"")</f>
        <v/>
      </c>
      <c r="O608" s="110" t="str">
        <f>IFERROR(INDEX('WetLitterbags placem_collection'!$A$3:$A$500,MATCH(A608,'WetLitterbags placem_collection'!$O$4:$O$500,0)),"")</f>
        <v/>
      </c>
      <c r="P608" s="110" t="str">
        <f>IFERROR(INDEX('WetLitterbags placem_collection'!$A$3:$A$500,MATCH(A608,'WetLitterbags placem_collection'!$M$4:$M$500,0)),"")</f>
        <v/>
      </c>
      <c r="Q608" s="110">
        <f>IFERROR(INDEX('WetLitterbags placem_collection'!$A$3:$A$500,MATCH(A608,'WetLitterbags placem_collection'!$Q$4:$Q$500,0)),"")</f>
        <v>84</v>
      </c>
    </row>
    <row r="609" spans="1:17" ht="13.95" customHeight="1">
      <c r="A609" s="110" t="s">
        <v>749</v>
      </c>
      <c r="B609" s="110" t="s">
        <v>2077</v>
      </c>
      <c r="C609" s="110">
        <v>1.6165</v>
      </c>
      <c r="E609" s="112">
        <v>43122</v>
      </c>
      <c r="N609" s="110" t="str">
        <f>IFERROR(INDEX('WetLitterbags placem_collection'!$A$3:$A$500,MATCH(A609,'WetLitterbags placem_collection'!$K$4:$K$500,0)),"")</f>
        <v/>
      </c>
      <c r="O609" s="110" t="str">
        <f>IFERROR(INDEX('WetLitterbags placem_collection'!$A$3:$A$500,MATCH(A609,'WetLitterbags placem_collection'!$O$4:$O$500,0)),"")</f>
        <v/>
      </c>
      <c r="P609" s="110" t="str">
        <f>IFERROR(INDEX('WetLitterbags placem_collection'!$A$3:$A$500,MATCH(A609,'WetLitterbags placem_collection'!$M$4:$M$500,0)),"")</f>
        <v/>
      </c>
      <c r="Q609" s="110">
        <f>IFERROR(INDEX('WetLitterbags placem_collection'!$A$3:$A$500,MATCH(A609,'WetLitterbags placem_collection'!$Q$4:$Q$500,0)),"")</f>
        <v>209</v>
      </c>
    </row>
    <row r="610" spans="1:17" ht="13.95" customHeight="1">
      <c r="A610" s="110" t="s">
        <v>748</v>
      </c>
      <c r="B610" s="110" t="s">
        <v>2077</v>
      </c>
      <c r="C610" s="110">
        <v>1.6598999999999999</v>
      </c>
      <c r="E610" s="112">
        <v>43116</v>
      </c>
      <c r="N610" s="110" t="str">
        <f>IFERROR(INDEX('WetLitterbags placem_collection'!$A$3:$A$500,MATCH(A610,'WetLitterbags placem_collection'!$K$4:$K$500,0)),"")</f>
        <v/>
      </c>
      <c r="O610" s="110" t="str">
        <f>IFERROR(INDEX('WetLitterbags placem_collection'!$A$3:$A$500,MATCH(A610,'WetLitterbags placem_collection'!$O$4:$O$500,0)),"")</f>
        <v/>
      </c>
      <c r="P610" s="110" t="str">
        <f>IFERROR(INDEX('WetLitterbags placem_collection'!$A$3:$A$500,MATCH(A610,'WetLitterbags placem_collection'!$M$4:$M$500,0)),"")</f>
        <v/>
      </c>
      <c r="Q610" s="110">
        <f>IFERROR(INDEX('WetLitterbags placem_collection'!$A$3:$A$500,MATCH(A610,'WetLitterbags placem_collection'!$Q$4:$Q$500,0)),"")</f>
        <v>72</v>
      </c>
    </row>
    <row r="611" spans="1:17" ht="13.95" customHeight="1">
      <c r="A611" s="110" t="s">
        <v>746</v>
      </c>
      <c r="B611" s="110">
        <v>201</v>
      </c>
      <c r="C611" s="110">
        <v>1.5786</v>
      </c>
      <c r="D611" s="110" t="s">
        <v>2115</v>
      </c>
      <c r="E611" s="112">
        <v>43116</v>
      </c>
      <c r="N611" s="110" t="str">
        <f>IFERROR(INDEX('WetLitterbags placem_collection'!$A$3:$A$500,MATCH(A611,'WetLitterbags placem_collection'!$K$4:$K$500,0)),"")</f>
        <v/>
      </c>
      <c r="O611" s="110" t="str">
        <f>IFERROR(INDEX('WetLitterbags placem_collection'!$A$3:$A$500,MATCH(A611,'WetLitterbags placem_collection'!$O$4:$O$500,0)),"")</f>
        <v/>
      </c>
      <c r="P611" s="110" t="str">
        <f>IFERROR(INDEX('WetLitterbags placem_collection'!$A$3:$A$500,MATCH(A611,'WetLitterbags placem_collection'!$M$4:$M$500,0)),"")</f>
        <v/>
      </c>
      <c r="Q611" s="110">
        <f>IFERROR(INDEX('WetLitterbags placem_collection'!$A$3:$A$500,MATCH(A611,'WetLitterbags placem_collection'!$Q$4:$Q$500,0)),"")</f>
        <v>200</v>
      </c>
    </row>
    <row r="612" spans="1:17" ht="13.95" customHeight="1">
      <c r="A612" s="110" t="s">
        <v>745</v>
      </c>
      <c r="B612" s="110" t="s">
        <v>2077</v>
      </c>
      <c r="C612" s="110">
        <v>1.3464</v>
      </c>
      <c r="E612" s="112">
        <v>43122</v>
      </c>
      <c r="N612" s="110" t="str">
        <f>IFERROR(INDEX('WetLitterbags placem_collection'!$A$3:$A$500,MATCH(A612,'WetLitterbags placem_collection'!$K$4:$K$500,0)),"")</f>
        <v/>
      </c>
      <c r="O612" s="110" t="str">
        <f>IFERROR(INDEX('WetLitterbags placem_collection'!$A$3:$A$500,MATCH(A612,'WetLitterbags placem_collection'!$O$4:$O$500,0)),"")</f>
        <v/>
      </c>
      <c r="P612" s="110">
        <f>IFERROR(INDEX('WetLitterbags placem_collection'!$A$3:$A$500,MATCH(A612,'WetLitterbags placem_collection'!$M$4:$M$500,0)),"")</f>
        <v>31</v>
      </c>
      <c r="Q612" s="110" t="str">
        <f>IFERROR(INDEX('WetLitterbags placem_collection'!$A$3:$A$500,MATCH(A612,'WetLitterbags placem_collection'!$Q$4:$Q$500,0)),"")</f>
        <v/>
      </c>
    </row>
    <row r="613" spans="1:17" ht="13.95" customHeight="1">
      <c r="A613" s="110" t="s">
        <v>743</v>
      </c>
      <c r="B613" s="110">
        <v>7</v>
      </c>
      <c r="C613" s="110">
        <v>1.518</v>
      </c>
      <c r="E613" s="112">
        <v>42879</v>
      </c>
      <c r="N613" s="110" t="str">
        <f>IFERROR(INDEX('WetLitterbags placem_collection'!$A$3:$A$500,MATCH(A613,'WetLitterbags placem_collection'!$K$4:$K$500,0)),"")</f>
        <v/>
      </c>
      <c r="O613" s="110" t="str">
        <f>IFERROR(INDEX('WetLitterbags placem_collection'!$A$3:$A$500,MATCH(A613,'WetLitterbags placem_collection'!$O$4:$O$500,0)),"")</f>
        <v/>
      </c>
      <c r="P613" s="110" t="str">
        <f>IFERROR(INDEX('WetLitterbags placem_collection'!$A$3:$A$500,MATCH(A613,'WetLitterbags placem_collection'!$M$4:$M$500,0)),"")</f>
        <v/>
      </c>
      <c r="Q613" s="110">
        <f>IFERROR(INDEX('WetLitterbags placem_collection'!$A$3:$A$500,MATCH(A613,'WetLitterbags placem_collection'!$Q$4:$Q$500,0)),"")</f>
        <v>6</v>
      </c>
    </row>
    <row r="614" spans="1:17" ht="13.95" customHeight="1">
      <c r="A614" s="110" t="s">
        <v>1137</v>
      </c>
      <c r="B614" s="110">
        <v>92</v>
      </c>
      <c r="C614" s="110">
        <v>1.6779999999999999</v>
      </c>
      <c r="E614" s="112">
        <v>42879</v>
      </c>
      <c r="N614" s="110" t="str">
        <f>IFERROR(INDEX('WetLitterbags placem_collection'!$A$3:$A$500,MATCH(A614,'WetLitterbags placem_collection'!$K$4:$K$500,0)),"")</f>
        <v/>
      </c>
      <c r="O614" s="110" t="str">
        <f>IFERROR(INDEX('WetLitterbags placem_collection'!$A$3:$A$500,MATCH(A614,'WetLitterbags placem_collection'!$O$4:$O$500,0)),"")</f>
        <v/>
      </c>
      <c r="P614" s="110" t="str">
        <f>IFERROR(INDEX('WetLitterbags placem_collection'!$A$3:$A$500,MATCH(A614,'WetLitterbags placem_collection'!$M$4:$M$500,0)),"")</f>
        <v/>
      </c>
      <c r="Q614" s="110">
        <f>IFERROR(INDEX('WetLitterbags placem_collection'!$A$3:$A$500,MATCH(A614,'WetLitterbags placem_collection'!$Q$4:$Q$500,0)),"")</f>
        <v>91</v>
      </c>
    </row>
    <row r="615" spans="1:17" ht="13.95" customHeight="1">
      <c r="A615" s="110" t="s">
        <v>1101</v>
      </c>
      <c r="B615" s="110">
        <v>145</v>
      </c>
      <c r="C615" s="110">
        <v>1.589</v>
      </c>
      <c r="E615" s="112">
        <v>42878</v>
      </c>
      <c r="N615" s="110" t="str">
        <f>IFERROR(INDEX('WetLitterbags placem_collection'!$A$3:$A$500,MATCH(A615,'WetLitterbags placem_collection'!$K$4:$K$500,0)),"")</f>
        <v/>
      </c>
      <c r="O615" s="110" t="str">
        <f>IFERROR(INDEX('WetLitterbags placem_collection'!$A$3:$A$500,MATCH(A615,'WetLitterbags placem_collection'!$O$4:$O$500,0)),"")</f>
        <v/>
      </c>
      <c r="P615" s="110" t="str">
        <f>IFERROR(INDEX('WetLitterbags placem_collection'!$A$3:$A$500,MATCH(A615,'WetLitterbags placem_collection'!$M$4:$M$500,0)),"")</f>
        <v/>
      </c>
      <c r="Q615" s="110">
        <f>IFERROR(INDEX('WetLitterbags placem_collection'!$A$3:$A$500,MATCH(A615,'WetLitterbags placem_collection'!$Q$4:$Q$500,0)),"")</f>
        <v>144</v>
      </c>
    </row>
    <row r="616" spans="1:17" ht="13.95" customHeight="1">
      <c r="A616" s="110" t="s">
        <v>738</v>
      </c>
      <c r="B616" s="110">
        <v>169</v>
      </c>
      <c r="C616" s="110">
        <v>1.736</v>
      </c>
      <c r="E616" s="112">
        <v>42879</v>
      </c>
      <c r="N616" s="110" t="str">
        <f>IFERROR(INDEX('WetLitterbags placem_collection'!$A$3:$A$500,MATCH(A616,'WetLitterbags placem_collection'!$K$4:$K$500,0)),"")</f>
        <v/>
      </c>
      <c r="O616" s="110" t="str">
        <f>IFERROR(INDEX('WetLitterbags placem_collection'!$A$3:$A$500,MATCH(A616,'WetLitterbags placem_collection'!$O$4:$O$500,0)),"")</f>
        <v/>
      </c>
      <c r="P616" s="110" t="str">
        <f>IFERROR(INDEX('WetLitterbags placem_collection'!$A$3:$A$500,MATCH(A616,'WetLitterbags placem_collection'!$M$4:$M$500,0)),"")</f>
        <v/>
      </c>
      <c r="Q616" s="110">
        <f>IFERROR(INDEX('WetLitterbags placem_collection'!$A$3:$A$500,MATCH(A616,'WetLitterbags placem_collection'!$Q$4:$Q$500,0)),"")</f>
        <v>168</v>
      </c>
    </row>
    <row r="617" spans="1:17" ht="13.95" customHeight="1">
      <c r="A617" s="110" t="s">
        <v>737</v>
      </c>
      <c r="B617" s="110" t="s">
        <v>2077</v>
      </c>
      <c r="C617" s="110">
        <v>0.15579999999999999</v>
      </c>
      <c r="D617" s="110" t="s">
        <v>2145</v>
      </c>
      <c r="E617" s="112">
        <v>43116</v>
      </c>
      <c r="N617" s="110" t="str">
        <f>IFERROR(INDEX('WetLitterbags placem_collection'!$A$3:$A$500,MATCH(A617,'WetLitterbags placem_collection'!$K$4:$K$500,0)),"")</f>
        <v/>
      </c>
      <c r="O617" s="110" t="str">
        <f>IFERROR(INDEX('WetLitterbags placem_collection'!$A$3:$A$500,MATCH(A617,'WetLitterbags placem_collection'!$O$4:$O$500,0)),"")</f>
        <v/>
      </c>
      <c r="P617" s="110">
        <f>IFERROR(INDEX('WetLitterbags placem_collection'!$A$3:$A$500,MATCH(A617,'WetLitterbags placem_collection'!$M$4:$M$500,0)),"")</f>
        <v>74</v>
      </c>
      <c r="Q617" s="110" t="str">
        <f>IFERROR(INDEX('WetLitterbags placem_collection'!$A$3:$A$500,MATCH(A617,'WetLitterbags placem_collection'!$Q$4:$Q$500,0)),"")</f>
        <v/>
      </c>
    </row>
    <row r="618" spans="1:17" ht="13.95" customHeight="1">
      <c r="A618" s="110" t="s">
        <v>735</v>
      </c>
      <c r="B618" s="110" t="s">
        <v>2077</v>
      </c>
      <c r="C618" s="110">
        <v>1.4278999999999999</v>
      </c>
      <c r="E618" s="112">
        <v>43123</v>
      </c>
      <c r="N618" s="110" t="str">
        <f>IFERROR(INDEX('WetLitterbags placem_collection'!$A$3:$A$500,MATCH(A618,'WetLitterbags placem_collection'!$K$4:$K$500,0)),"")</f>
        <v/>
      </c>
      <c r="O618" s="110" t="str">
        <f>IFERROR(INDEX('WetLitterbags placem_collection'!$A$3:$A$500,MATCH(A618,'WetLitterbags placem_collection'!$O$4:$O$500,0)),"")</f>
        <v/>
      </c>
      <c r="P618" s="110">
        <f>IFERROR(INDEX('WetLitterbags placem_collection'!$A$3:$A$500,MATCH(A618,'WetLitterbags placem_collection'!$M$4:$M$500,0)),"")</f>
        <v>7</v>
      </c>
      <c r="Q618" s="110" t="str">
        <f>IFERROR(INDEX('WetLitterbags placem_collection'!$A$3:$A$500,MATCH(A618,'WetLitterbags placem_collection'!$Q$4:$Q$500,0)),"")</f>
        <v/>
      </c>
    </row>
    <row r="619" spans="1:17" ht="13.95" customHeight="1">
      <c r="A619" s="110" t="s">
        <v>733</v>
      </c>
      <c r="B619" s="110">
        <v>87</v>
      </c>
      <c r="C619" s="110">
        <v>0.3599</v>
      </c>
      <c r="D619" s="110" t="s">
        <v>2105</v>
      </c>
      <c r="E619" s="112">
        <v>43125</v>
      </c>
      <c r="N619" s="110" t="str">
        <f>IFERROR(INDEX('WetLitterbags placem_collection'!$A$3:$A$500,MATCH(A619,'WetLitterbags placem_collection'!$K$4:$K$500,0)),"")</f>
        <v/>
      </c>
      <c r="O619" s="110" t="str">
        <f>IFERROR(INDEX('WetLitterbags placem_collection'!$A$3:$A$500,MATCH(A619,'WetLitterbags placem_collection'!$O$4:$O$500,0)),"")</f>
        <v/>
      </c>
      <c r="P619" s="110">
        <f>IFERROR(INDEX('WetLitterbags placem_collection'!$A$3:$A$500,MATCH(A619,'WetLitterbags placem_collection'!$M$4:$M$500,0)),"")</f>
        <v>86</v>
      </c>
      <c r="Q619" s="110" t="str">
        <f>IFERROR(INDEX('WetLitterbags placem_collection'!$A$3:$A$500,MATCH(A619,'WetLitterbags placem_collection'!$Q$4:$Q$500,0)),"")</f>
        <v/>
      </c>
    </row>
    <row r="620" spans="1:17" ht="13.95" customHeight="1">
      <c r="A620" s="110" t="s">
        <v>1100</v>
      </c>
      <c r="B620" s="110">
        <v>112</v>
      </c>
      <c r="C620" s="110">
        <v>1.6910000000000001</v>
      </c>
      <c r="E620" s="112">
        <v>42878</v>
      </c>
      <c r="N620" s="110" t="str">
        <f>IFERROR(INDEX('WetLitterbags placem_collection'!$A$3:$A$500,MATCH(A620,'WetLitterbags placem_collection'!$K$4:$K$500,0)),"")</f>
        <v/>
      </c>
      <c r="O620" s="110" t="str">
        <f>IFERROR(INDEX('WetLitterbags placem_collection'!$A$3:$A$500,MATCH(A620,'WetLitterbags placem_collection'!$O$4:$O$500,0)),"")</f>
        <v/>
      </c>
      <c r="P620" s="110">
        <f>IFERROR(INDEX('WetLitterbags placem_collection'!$A$3:$A$500,MATCH(A620,'WetLitterbags placem_collection'!$M$4:$M$500,0)),"")</f>
        <v>111</v>
      </c>
      <c r="Q620" s="110" t="str">
        <f>IFERROR(INDEX('WetLitterbags placem_collection'!$A$3:$A$500,MATCH(A620,'WetLitterbags placem_collection'!$Q$4:$Q$500,0)),"")</f>
        <v/>
      </c>
    </row>
    <row r="621" spans="1:17" ht="13.95" customHeight="1">
      <c r="A621" s="110" t="s">
        <v>731</v>
      </c>
      <c r="B621" s="110">
        <v>217</v>
      </c>
      <c r="C621" s="110">
        <v>1.488</v>
      </c>
      <c r="E621" s="112">
        <v>42881</v>
      </c>
      <c r="N621" s="110" t="str">
        <f>IFERROR(INDEX('WetLitterbags placem_collection'!$A$3:$A$500,MATCH(A621,'WetLitterbags placem_collection'!$K$4:$K$500,0)),"")</f>
        <v/>
      </c>
      <c r="O621" s="110" t="str">
        <f>IFERROR(INDEX('WetLitterbags placem_collection'!$A$3:$A$500,MATCH(A621,'WetLitterbags placem_collection'!$O$4:$O$500,0)),"")</f>
        <v/>
      </c>
      <c r="P621" s="110" t="str">
        <f>IFERROR(INDEX('WetLitterbags placem_collection'!$A$3:$A$500,MATCH(A621,'WetLitterbags placem_collection'!$M$4:$M$500,0)),"")</f>
        <v/>
      </c>
      <c r="Q621" s="110">
        <f>IFERROR(INDEX('WetLitterbags placem_collection'!$A$3:$A$500,MATCH(A621,'WetLitterbags placem_collection'!$Q$4:$Q$500,0)),"")</f>
        <v>216</v>
      </c>
    </row>
    <row r="622" spans="1:17" ht="13.95" customHeight="1">
      <c r="A622" s="110" t="s">
        <v>730</v>
      </c>
      <c r="B622" s="110">
        <v>165</v>
      </c>
      <c r="C622" s="110">
        <v>1.728</v>
      </c>
      <c r="E622" s="112">
        <v>42878</v>
      </c>
      <c r="N622" s="110" t="str">
        <f>IFERROR(INDEX('WetLitterbags placem_collection'!$A$3:$A$500,MATCH(A622,'WetLitterbags placem_collection'!$K$4:$K$500,0)),"")</f>
        <v/>
      </c>
      <c r="O622" s="110" t="str">
        <f>IFERROR(INDEX('WetLitterbags placem_collection'!$A$3:$A$500,MATCH(A622,'WetLitterbags placem_collection'!$O$4:$O$500,0)),"")</f>
        <v/>
      </c>
      <c r="P622" s="110" t="str">
        <f>IFERROR(INDEX('WetLitterbags placem_collection'!$A$3:$A$500,MATCH(A622,'WetLitterbags placem_collection'!$M$4:$M$500,0)),"")</f>
        <v/>
      </c>
      <c r="Q622" s="110">
        <f>IFERROR(INDEX('WetLitterbags placem_collection'!$A$3:$A$500,MATCH(A622,'WetLitterbags placem_collection'!$Q$4:$Q$500,0)),"")</f>
        <v>164</v>
      </c>
    </row>
    <row r="623" spans="1:17" ht="13.95" customHeight="1">
      <c r="A623" s="110" t="s">
        <v>729</v>
      </c>
      <c r="B623" s="110">
        <v>214</v>
      </c>
      <c r="C623" s="110">
        <v>1.4850000000000001</v>
      </c>
      <c r="E623" s="112">
        <v>42878</v>
      </c>
      <c r="N623" s="110" t="str">
        <f>IFERROR(INDEX('WetLitterbags placem_collection'!$A$3:$A$500,MATCH(A623,'WetLitterbags placem_collection'!$K$4:$K$500,0)),"")</f>
        <v/>
      </c>
      <c r="O623" s="110" t="str">
        <f>IFERROR(INDEX('WetLitterbags placem_collection'!$A$3:$A$500,MATCH(A623,'WetLitterbags placem_collection'!$O$4:$O$500,0)),"")</f>
        <v/>
      </c>
      <c r="P623" s="110" t="str">
        <f>IFERROR(INDEX('WetLitterbags placem_collection'!$A$3:$A$500,MATCH(A623,'WetLitterbags placem_collection'!$M$4:$M$500,0)),"")</f>
        <v/>
      </c>
      <c r="Q623" s="110">
        <f>IFERROR(INDEX('WetLitterbags placem_collection'!$A$3:$A$500,MATCH(A623,'WetLitterbags placem_collection'!$Q$4:$Q$500,0)),"")</f>
        <v>213</v>
      </c>
    </row>
    <row r="624" spans="1:17" ht="13.95" customHeight="1">
      <c r="A624" s="110" t="s">
        <v>727</v>
      </c>
      <c r="B624" s="110">
        <v>69</v>
      </c>
      <c r="C624" s="110">
        <v>2.403</v>
      </c>
      <c r="E624" s="112">
        <v>42881</v>
      </c>
      <c r="N624" s="110" t="str">
        <f>IFERROR(INDEX('WetLitterbags placem_collection'!$A$3:$A$500,MATCH(A624,'WetLitterbags placem_collection'!$K$4:$K$500,0)),"")</f>
        <v/>
      </c>
      <c r="O624" s="110" t="str">
        <f>IFERROR(INDEX('WetLitterbags placem_collection'!$A$3:$A$500,MATCH(A624,'WetLitterbags placem_collection'!$O$4:$O$500,0)),"")</f>
        <v/>
      </c>
      <c r="P624" s="110">
        <f>IFERROR(INDEX('WetLitterbags placem_collection'!$A$3:$A$500,MATCH(A624,'WetLitterbags placem_collection'!$M$4:$M$500,0)),"")</f>
        <v>68</v>
      </c>
      <c r="Q624" s="110" t="str">
        <f>IFERROR(INDEX('WetLitterbags placem_collection'!$A$3:$A$500,MATCH(A624,'WetLitterbags placem_collection'!$Q$4:$Q$500,0)),"")</f>
        <v/>
      </c>
    </row>
    <row r="625" spans="1:17" ht="13.95" customHeight="1">
      <c r="A625" s="110" t="s">
        <v>726</v>
      </c>
      <c r="B625" s="110">
        <v>15</v>
      </c>
      <c r="C625" s="110">
        <v>2.96</v>
      </c>
      <c r="D625" s="110" t="s">
        <v>2069</v>
      </c>
      <c r="E625" s="112">
        <v>42879</v>
      </c>
      <c r="N625" s="110" t="str">
        <f>IFERROR(INDEX('WetLitterbags placem_collection'!$A$3:$A$500,MATCH(A625,'WetLitterbags placem_collection'!$K$4:$K$500,0)),"")</f>
        <v/>
      </c>
      <c r="O625" s="110" t="str">
        <f>IFERROR(INDEX('WetLitterbags placem_collection'!$A$3:$A$500,MATCH(A625,'WetLitterbags placem_collection'!$O$4:$O$500,0)),"")</f>
        <v/>
      </c>
      <c r="P625" s="110">
        <f>IFERROR(INDEX('WetLitterbags placem_collection'!$A$3:$A$500,MATCH(A625,'WetLitterbags placem_collection'!$M$4:$M$500,0)),"")</f>
        <v>14</v>
      </c>
      <c r="Q625" s="110" t="str">
        <f>IFERROR(INDEX('WetLitterbags placem_collection'!$A$3:$A$500,MATCH(A625,'WetLitterbags placem_collection'!$Q$4:$Q$500,0)),"")</f>
        <v/>
      </c>
    </row>
    <row r="626" spans="1:17" ht="13.95" customHeight="1">
      <c r="A626" s="110" t="s">
        <v>724</v>
      </c>
      <c r="B626" s="110">
        <v>84</v>
      </c>
      <c r="C626" s="110">
        <v>1.5820000000000001</v>
      </c>
      <c r="E626" s="112">
        <v>42881</v>
      </c>
      <c r="N626" s="110" t="str">
        <f>IFERROR(INDEX('WetLitterbags placem_collection'!$A$3:$A$500,MATCH(A626,'WetLitterbags placem_collection'!$K$4:$K$500,0)),"")</f>
        <v/>
      </c>
      <c r="O626" s="110" t="str">
        <f>IFERROR(INDEX('WetLitterbags placem_collection'!$A$3:$A$500,MATCH(A626,'WetLitterbags placem_collection'!$O$4:$O$500,0)),"")</f>
        <v/>
      </c>
      <c r="P626" s="110" t="str">
        <f>IFERROR(INDEX('WetLitterbags placem_collection'!$A$3:$A$500,MATCH(A626,'WetLitterbags placem_collection'!$M$4:$M$500,0)),"")</f>
        <v/>
      </c>
      <c r="Q626" s="110">
        <f>IFERROR(INDEX('WetLitterbags placem_collection'!$A$3:$A$500,MATCH(A626,'WetLitterbags placem_collection'!$Q$4:$Q$500,0)),"")</f>
        <v>83</v>
      </c>
    </row>
    <row r="627" spans="1:17" ht="13.95" customHeight="1">
      <c r="A627" s="110" t="s">
        <v>723</v>
      </c>
      <c r="B627" s="110">
        <v>128</v>
      </c>
      <c r="C627" s="110">
        <v>1.4119999999999999</v>
      </c>
      <c r="E627" s="112">
        <v>42879</v>
      </c>
      <c r="N627" s="110" t="str">
        <f>IFERROR(INDEX('WetLitterbags placem_collection'!$A$3:$A$500,MATCH(A627,'WetLitterbags placem_collection'!$K$4:$K$500,0)),"")</f>
        <v/>
      </c>
      <c r="O627" s="110" t="str">
        <f>IFERROR(INDEX('WetLitterbags placem_collection'!$A$3:$A$500,MATCH(A627,'WetLitterbags placem_collection'!$O$4:$O$500,0)),"")</f>
        <v/>
      </c>
      <c r="P627" s="110" t="str">
        <f>IFERROR(INDEX('WetLitterbags placem_collection'!$A$3:$A$500,MATCH(A627,'WetLitterbags placem_collection'!$M$4:$M$500,0)),"")</f>
        <v/>
      </c>
      <c r="Q627" s="110">
        <f>IFERROR(INDEX('WetLitterbags placem_collection'!$A$3:$A$500,MATCH(A627,'WetLitterbags placem_collection'!$Q$4:$Q$500,0)),"")</f>
        <v>127</v>
      </c>
    </row>
    <row r="628" spans="1:17" ht="13.95" customHeight="1">
      <c r="A628" s="110" t="s">
        <v>1099</v>
      </c>
      <c r="B628" s="110">
        <v>61</v>
      </c>
      <c r="C628" s="110">
        <v>0.182</v>
      </c>
      <c r="D628" s="110" t="s">
        <v>2084</v>
      </c>
      <c r="E628" s="112">
        <v>42878</v>
      </c>
      <c r="N628" s="110" t="str">
        <f>IFERROR(INDEX('WetLitterbags placem_collection'!$A$3:$A$500,MATCH(A628,'WetLitterbags placem_collection'!$K$4:$K$500,0)),"")</f>
        <v/>
      </c>
      <c r="O628" s="110" t="str">
        <f>IFERROR(INDEX('WetLitterbags placem_collection'!$A$3:$A$500,MATCH(A628,'WetLitterbags placem_collection'!$O$4:$O$500,0)),"")</f>
        <v/>
      </c>
      <c r="P628" s="110">
        <f>IFERROR(INDEX('WetLitterbags placem_collection'!$A$3:$A$500,MATCH(A628,'WetLitterbags placem_collection'!$M$4:$M$500,0)),"")</f>
        <v>60</v>
      </c>
      <c r="Q628" s="110" t="str">
        <f>IFERROR(INDEX('WetLitterbags placem_collection'!$A$3:$A$500,MATCH(A628,'WetLitterbags placem_collection'!$Q$4:$Q$500,0)),"")</f>
        <v/>
      </c>
    </row>
    <row r="629" spans="1:17" ht="13.95" customHeight="1">
      <c r="A629" s="110" t="s">
        <v>721</v>
      </c>
      <c r="B629" s="110">
        <v>40</v>
      </c>
      <c r="C629" s="110">
        <v>1.66</v>
      </c>
      <c r="E629" s="112">
        <v>42881</v>
      </c>
      <c r="N629" s="110" t="str">
        <f>IFERROR(INDEX('WetLitterbags placem_collection'!$A$3:$A$500,MATCH(A629,'WetLitterbags placem_collection'!$K$4:$K$500,0)),"")</f>
        <v/>
      </c>
      <c r="O629" s="110" t="str">
        <f>IFERROR(INDEX('WetLitterbags placem_collection'!$A$3:$A$500,MATCH(A629,'WetLitterbags placem_collection'!$O$4:$O$500,0)),"")</f>
        <v/>
      </c>
      <c r="P629" s="110" t="str">
        <f>IFERROR(INDEX('WetLitterbags placem_collection'!$A$3:$A$500,MATCH(A629,'WetLitterbags placem_collection'!$M$4:$M$500,0)),"")</f>
        <v/>
      </c>
      <c r="Q629" s="110">
        <f>IFERROR(INDEX('WetLitterbags placem_collection'!$A$3:$A$500,MATCH(A629,'WetLitterbags placem_collection'!$Q$4:$Q$500,0)),"")</f>
        <v>39</v>
      </c>
    </row>
    <row r="630" spans="1:17" ht="13.95" customHeight="1">
      <c r="A630" s="110" t="s">
        <v>720</v>
      </c>
      <c r="B630" s="110">
        <v>160</v>
      </c>
      <c r="C630" s="110">
        <v>1.744</v>
      </c>
      <c r="E630" s="112">
        <v>42879</v>
      </c>
      <c r="N630" s="110" t="str">
        <f>IFERROR(INDEX('WetLitterbags placem_collection'!$A$3:$A$500,MATCH(A630,'WetLitterbags placem_collection'!$K$4:$K$500,0)),"")</f>
        <v/>
      </c>
      <c r="O630" s="110" t="str">
        <f>IFERROR(INDEX('WetLitterbags placem_collection'!$A$3:$A$500,MATCH(A630,'WetLitterbags placem_collection'!$O$4:$O$500,0)),"")</f>
        <v/>
      </c>
      <c r="P630" s="110">
        <f>IFERROR(INDEX('WetLitterbags placem_collection'!$A$3:$A$500,MATCH(A630,'WetLitterbags placem_collection'!$M$4:$M$500,0)),"")</f>
        <v>159</v>
      </c>
      <c r="Q630" s="110" t="str">
        <f>IFERROR(INDEX('WetLitterbags placem_collection'!$A$3:$A$500,MATCH(A630,'WetLitterbags placem_collection'!$Q$4:$Q$500,0)),"")</f>
        <v/>
      </c>
    </row>
    <row r="631" spans="1:17" ht="13.95" customHeight="1">
      <c r="A631" s="110" t="s">
        <v>718</v>
      </c>
      <c r="B631" s="110">
        <v>63</v>
      </c>
      <c r="C631" s="110">
        <v>1.6359999999999999</v>
      </c>
      <c r="E631" s="112">
        <v>42879</v>
      </c>
      <c r="N631" s="110" t="str">
        <f>IFERROR(INDEX('WetLitterbags placem_collection'!$A$3:$A$500,MATCH(A631,'WetLitterbags placem_collection'!$K$4:$K$500,0)),"")</f>
        <v/>
      </c>
      <c r="O631" s="110" t="str">
        <f>IFERROR(INDEX('WetLitterbags placem_collection'!$A$3:$A$500,MATCH(A631,'WetLitterbags placem_collection'!$O$4:$O$500,0)),"")</f>
        <v/>
      </c>
      <c r="P631" s="110" t="str">
        <f>IFERROR(INDEX('WetLitterbags placem_collection'!$A$3:$A$500,MATCH(A631,'WetLitterbags placem_collection'!$M$4:$M$500,0)),"")</f>
        <v/>
      </c>
      <c r="Q631" s="110">
        <f>IFERROR(INDEX('WetLitterbags placem_collection'!$A$3:$A$500,MATCH(A631,'WetLitterbags placem_collection'!$Q$4:$Q$500,0)),"")</f>
        <v>62</v>
      </c>
    </row>
    <row r="632" spans="1:17" ht="13.95" customHeight="1">
      <c r="A632" s="110" t="s">
        <v>717</v>
      </c>
      <c r="B632" s="110">
        <v>127</v>
      </c>
      <c r="C632" s="110">
        <v>1.552</v>
      </c>
      <c r="E632" s="112">
        <v>42879</v>
      </c>
      <c r="N632" s="110" t="str">
        <f>IFERROR(INDEX('WetLitterbags placem_collection'!$A$3:$A$500,MATCH(A632,'WetLitterbags placem_collection'!$K$4:$K$500,0)),"")</f>
        <v/>
      </c>
      <c r="O632" s="110" t="str">
        <f>IFERROR(INDEX('WetLitterbags placem_collection'!$A$3:$A$500,MATCH(A632,'WetLitterbags placem_collection'!$O$4:$O$500,0)),"")</f>
        <v/>
      </c>
      <c r="P632" s="110" t="str">
        <f>IFERROR(INDEX('WetLitterbags placem_collection'!$A$3:$A$500,MATCH(A632,'WetLitterbags placem_collection'!$M$4:$M$500,0)),"")</f>
        <v/>
      </c>
      <c r="Q632" s="110">
        <f>IFERROR(INDEX('WetLitterbags placem_collection'!$A$3:$A$500,MATCH(A632,'WetLitterbags placem_collection'!$Q$4:$Q$500,0)),"")</f>
        <v>126</v>
      </c>
    </row>
    <row r="633" spans="1:17" ht="13.95" customHeight="1">
      <c r="A633" s="110" t="s">
        <v>715</v>
      </c>
      <c r="B633" s="110">
        <v>138</v>
      </c>
      <c r="C633" s="110">
        <v>1.613</v>
      </c>
      <c r="E633" s="112">
        <v>42879</v>
      </c>
      <c r="N633" s="110" t="str">
        <f>IFERROR(INDEX('WetLitterbags placem_collection'!$A$3:$A$500,MATCH(A633,'WetLitterbags placem_collection'!$K$4:$K$500,0)),"")</f>
        <v/>
      </c>
      <c r="O633" s="110" t="str">
        <f>IFERROR(INDEX('WetLitterbags placem_collection'!$A$3:$A$500,MATCH(A633,'WetLitterbags placem_collection'!$O$4:$O$500,0)),"")</f>
        <v/>
      </c>
      <c r="P633" s="110">
        <f>IFERROR(INDEX('WetLitterbags placem_collection'!$A$3:$A$500,MATCH(A633,'WetLitterbags placem_collection'!$M$4:$M$500,0)),"")</f>
        <v>137</v>
      </c>
      <c r="Q633" s="110" t="str">
        <f>IFERROR(INDEX('WetLitterbags placem_collection'!$A$3:$A$500,MATCH(A633,'WetLitterbags placem_collection'!$Q$4:$Q$500,0)),"")</f>
        <v/>
      </c>
    </row>
    <row r="634" spans="1:17" ht="13.95" customHeight="1">
      <c r="A634" s="110" t="s">
        <v>714</v>
      </c>
      <c r="B634" s="110" t="s">
        <v>2077</v>
      </c>
      <c r="C634" s="110">
        <v>1.6979</v>
      </c>
      <c r="E634" s="112">
        <v>43119</v>
      </c>
      <c r="N634" s="110" t="str">
        <f>IFERROR(INDEX('WetLitterbags placem_collection'!$A$3:$A$500,MATCH(A634,'WetLitterbags placem_collection'!$K$4:$K$500,0)),"")</f>
        <v/>
      </c>
      <c r="O634" s="110" t="str">
        <f>IFERROR(INDEX('WetLitterbags placem_collection'!$A$3:$A$500,MATCH(A634,'WetLitterbags placem_collection'!$O$4:$O$500,0)),"")</f>
        <v/>
      </c>
      <c r="P634" s="110">
        <f>IFERROR(INDEX('WetLitterbags placem_collection'!$A$3:$A$500,MATCH(A634,'WetLitterbags placem_collection'!$M$4:$M$500,0)),"")</f>
        <v>186</v>
      </c>
      <c r="Q634" s="110" t="str">
        <f>IFERROR(INDEX('WetLitterbags placem_collection'!$A$3:$A$500,MATCH(A634,'WetLitterbags placem_collection'!$Q$4:$Q$500,0)),"")</f>
        <v/>
      </c>
    </row>
    <row r="635" spans="1:17" ht="13.95" customHeight="1">
      <c r="A635" s="110" t="s">
        <v>713</v>
      </c>
      <c r="B635" s="110">
        <v>113</v>
      </c>
      <c r="C635" s="110">
        <v>1.768</v>
      </c>
      <c r="E635" s="112">
        <v>42878</v>
      </c>
      <c r="N635" s="110" t="str">
        <f>IFERROR(INDEX('WetLitterbags placem_collection'!$A$3:$A$500,MATCH(A635,'WetLitterbags placem_collection'!$K$4:$K$500,0)),"")</f>
        <v/>
      </c>
      <c r="O635" s="110" t="str">
        <f>IFERROR(INDEX('WetLitterbags placem_collection'!$A$3:$A$500,MATCH(A635,'WetLitterbags placem_collection'!$O$4:$O$500,0)),"")</f>
        <v/>
      </c>
      <c r="P635" s="110">
        <f>IFERROR(INDEX('WetLitterbags placem_collection'!$A$3:$A$500,MATCH(A635,'WetLitterbags placem_collection'!$M$4:$M$500,0)),"")</f>
        <v>112</v>
      </c>
      <c r="Q635" s="110" t="str">
        <f>IFERROR(INDEX('WetLitterbags placem_collection'!$A$3:$A$500,MATCH(A635,'WetLitterbags placem_collection'!$Q$4:$Q$500,0)),"")</f>
        <v/>
      </c>
    </row>
    <row r="636" spans="1:17" ht="13.95" customHeight="1">
      <c r="A636" s="110" t="s">
        <v>712</v>
      </c>
      <c r="B636" s="110">
        <v>122</v>
      </c>
      <c r="C636" s="110">
        <v>1.2190000000000001</v>
      </c>
      <c r="E636" s="112">
        <v>42878</v>
      </c>
      <c r="N636" s="110" t="str">
        <f>IFERROR(INDEX('WetLitterbags placem_collection'!$A$3:$A$500,MATCH(A636,'WetLitterbags placem_collection'!$K$4:$K$500,0)),"")</f>
        <v/>
      </c>
      <c r="O636" s="110" t="str">
        <f>IFERROR(INDEX('WetLitterbags placem_collection'!$A$3:$A$500,MATCH(A636,'WetLitterbags placem_collection'!$O$4:$O$500,0)),"")</f>
        <v/>
      </c>
      <c r="P636" s="110" t="str">
        <f>IFERROR(INDEX('WetLitterbags placem_collection'!$A$3:$A$500,MATCH(A636,'WetLitterbags placem_collection'!$M$4:$M$500,0)),"")</f>
        <v/>
      </c>
      <c r="Q636" s="110">
        <f>IFERROR(INDEX('WetLitterbags placem_collection'!$A$3:$A$500,MATCH(A636,'WetLitterbags placem_collection'!$Q$4:$Q$500,0)),"")</f>
        <v>121</v>
      </c>
    </row>
    <row r="637" spans="1:17" ht="13.95" customHeight="1">
      <c r="A637" s="110" t="s">
        <v>711</v>
      </c>
      <c r="B637" s="110">
        <v>103</v>
      </c>
      <c r="C637" s="110">
        <v>1.629</v>
      </c>
      <c r="E637" s="112">
        <v>42881</v>
      </c>
      <c r="N637" s="110" t="str">
        <f>IFERROR(INDEX('WetLitterbags placem_collection'!$A$3:$A$500,MATCH(A637,'WetLitterbags placem_collection'!$K$4:$K$500,0)),"")</f>
        <v/>
      </c>
      <c r="O637" s="110" t="str">
        <f>IFERROR(INDEX('WetLitterbags placem_collection'!$A$3:$A$500,MATCH(A637,'WetLitterbags placem_collection'!$O$4:$O$500,0)),"")</f>
        <v/>
      </c>
      <c r="P637" s="110">
        <f>IFERROR(INDEX('WetLitterbags placem_collection'!$A$3:$A$500,MATCH(A637,'WetLitterbags placem_collection'!$M$4:$M$500,0)),"")</f>
        <v>102</v>
      </c>
      <c r="Q637" s="110" t="str">
        <f>IFERROR(INDEX('WetLitterbags placem_collection'!$A$3:$A$500,MATCH(A637,'WetLitterbags placem_collection'!$Q$4:$Q$500,0)),"")</f>
        <v/>
      </c>
    </row>
    <row r="638" spans="1:17" ht="13.95" customHeight="1">
      <c r="A638" s="110" t="s">
        <v>709</v>
      </c>
      <c r="B638" s="110">
        <v>135</v>
      </c>
      <c r="C638" s="110">
        <v>1.6830000000000001</v>
      </c>
      <c r="E638" s="112">
        <v>42881</v>
      </c>
      <c r="N638" s="110" t="str">
        <f>IFERROR(INDEX('WetLitterbags placem_collection'!$A$3:$A$500,MATCH(A638,'WetLitterbags placem_collection'!$K$4:$K$500,0)),"")</f>
        <v/>
      </c>
      <c r="O638" s="110" t="str">
        <f>IFERROR(INDEX('WetLitterbags placem_collection'!$A$3:$A$500,MATCH(A638,'WetLitterbags placem_collection'!$O$4:$O$500,0)),"")</f>
        <v/>
      </c>
      <c r="P638" s="110">
        <f>IFERROR(INDEX('WetLitterbags placem_collection'!$A$3:$A$500,MATCH(A638,'WetLitterbags placem_collection'!$M$4:$M$500,0)),"")</f>
        <v>134</v>
      </c>
      <c r="Q638" s="110" t="str">
        <f>IFERROR(INDEX('WetLitterbags placem_collection'!$A$3:$A$500,MATCH(A638,'WetLitterbags placem_collection'!$Q$4:$Q$500,0)),"")</f>
        <v/>
      </c>
    </row>
    <row r="639" spans="1:17" ht="13.95" customHeight="1">
      <c r="A639" s="110" t="s">
        <v>708</v>
      </c>
      <c r="B639" s="110">
        <v>130</v>
      </c>
      <c r="C639" s="110">
        <v>1.5069999999999999</v>
      </c>
      <c r="E639" s="112">
        <v>42879</v>
      </c>
      <c r="N639" s="110" t="str">
        <f>IFERROR(INDEX('WetLitterbags placem_collection'!$A$3:$A$500,MATCH(A639,'WetLitterbags placem_collection'!$K$4:$K$500,0)),"")</f>
        <v/>
      </c>
      <c r="O639" s="110" t="str">
        <f>IFERROR(INDEX('WetLitterbags placem_collection'!$A$3:$A$500,MATCH(A639,'WetLitterbags placem_collection'!$O$4:$O$500,0)),"")</f>
        <v/>
      </c>
      <c r="P639" s="110" t="str">
        <f>IFERROR(INDEX('WetLitterbags placem_collection'!$A$3:$A$500,MATCH(A639,'WetLitterbags placem_collection'!$M$4:$M$500,0)),"")</f>
        <v/>
      </c>
      <c r="Q639" s="110">
        <f>IFERROR(INDEX('WetLitterbags placem_collection'!$A$3:$A$500,MATCH(A639,'WetLitterbags placem_collection'!$Q$4:$Q$500,0)),"")</f>
        <v>129</v>
      </c>
    </row>
    <row r="640" spans="1:17" ht="13.95" customHeight="1">
      <c r="A640" s="110" t="s">
        <v>707</v>
      </c>
      <c r="B640" s="110" t="s">
        <v>2077</v>
      </c>
      <c r="C640" s="110">
        <v>1.5467</v>
      </c>
      <c r="E640" s="112">
        <v>43122</v>
      </c>
      <c r="N640" s="110" t="str">
        <f>IFERROR(INDEX('WetLitterbags placem_collection'!$A$3:$A$500,MATCH(A640,'WetLitterbags placem_collection'!$K$4:$K$500,0)),"")</f>
        <v/>
      </c>
      <c r="O640" s="110" t="str">
        <f>IFERROR(INDEX('WetLitterbags placem_collection'!$A$3:$A$500,MATCH(A640,'WetLitterbags placem_collection'!$O$4:$O$500,0)),"")</f>
        <v/>
      </c>
      <c r="P640" s="110" t="str">
        <f>IFERROR(INDEX('WetLitterbags placem_collection'!$A$3:$A$500,MATCH(A640,'WetLitterbags placem_collection'!$M$4:$M$500,0)),"")</f>
        <v/>
      </c>
      <c r="Q640" s="110">
        <f>IFERROR(INDEX('WetLitterbags placem_collection'!$A$3:$A$500,MATCH(A640,'WetLitterbags placem_collection'!$Q$4:$Q$500,0)),"")</f>
        <v>214</v>
      </c>
    </row>
    <row r="641" spans="1:17" ht="13.95" customHeight="1">
      <c r="A641" s="110" t="s">
        <v>706</v>
      </c>
      <c r="B641" s="110">
        <v>57</v>
      </c>
      <c r="C641" s="116">
        <v>1.4594</v>
      </c>
      <c r="E641" s="112">
        <v>43116</v>
      </c>
      <c r="N641" s="110" t="str">
        <f>IFERROR(INDEX('WetLitterbags placem_collection'!$A$3:$A$500,MATCH(A641,'WetLitterbags placem_collection'!$K$4:$K$500,0)),"")</f>
        <v/>
      </c>
      <c r="O641" s="110" t="str">
        <f>IFERROR(INDEX('WetLitterbags placem_collection'!$A$3:$A$500,MATCH(A641,'WetLitterbags placem_collection'!$O$4:$O$500,0)),"")</f>
        <v/>
      </c>
      <c r="P641" s="110" t="str">
        <f>IFERROR(INDEX('WetLitterbags placem_collection'!$A$3:$A$500,MATCH(A641,'WetLitterbags placem_collection'!$M$4:$M$500,0)),"")</f>
        <v/>
      </c>
      <c r="Q641" s="110">
        <f>IFERROR(INDEX('WetLitterbags placem_collection'!$A$3:$A$500,MATCH(A641,'WetLitterbags placem_collection'!$Q$4:$Q$500,0)),"")</f>
        <v>56</v>
      </c>
    </row>
    <row r="642" spans="1:17" ht="13.95" customHeight="1">
      <c r="A642" s="110" t="s">
        <v>705</v>
      </c>
      <c r="B642" s="110" t="s">
        <v>2077</v>
      </c>
      <c r="C642" s="110">
        <v>1.5295000000000001</v>
      </c>
      <c r="E642" s="112">
        <v>43122</v>
      </c>
      <c r="N642" s="110" t="str">
        <f>IFERROR(INDEX('WetLitterbags placem_collection'!$A$3:$A$500,MATCH(A642,'WetLitterbags placem_collection'!$K$4:$K$500,0)),"")</f>
        <v/>
      </c>
      <c r="O642" s="110" t="str">
        <f>IFERROR(INDEX('WetLitterbags placem_collection'!$A$3:$A$500,MATCH(A642,'WetLitterbags placem_collection'!$O$4:$O$500,0)),"")</f>
        <v/>
      </c>
      <c r="P642" s="110">
        <f>IFERROR(INDEX('WetLitterbags placem_collection'!$A$3:$A$500,MATCH(A642,'WetLitterbags placem_collection'!$M$4:$M$500,0)),"")</f>
        <v>27</v>
      </c>
      <c r="Q642" s="110" t="str">
        <f>IFERROR(INDEX('WetLitterbags placem_collection'!$A$3:$A$500,MATCH(A642,'WetLitterbags placem_collection'!$Q$4:$Q$500,0)),"")</f>
        <v/>
      </c>
    </row>
    <row r="643" spans="1:17" ht="13.95" customHeight="1">
      <c r="A643" s="110" t="s">
        <v>704</v>
      </c>
      <c r="B643" s="110">
        <v>39</v>
      </c>
      <c r="C643" s="110">
        <v>1.4531000000000001</v>
      </c>
      <c r="D643" s="110" t="s">
        <v>2115</v>
      </c>
      <c r="E643" s="112">
        <v>43123</v>
      </c>
      <c r="N643" s="110" t="str">
        <f>IFERROR(INDEX('WetLitterbags placem_collection'!$A$3:$A$500,MATCH(A643,'WetLitterbags placem_collection'!$K$4:$K$500,0)),"")</f>
        <v/>
      </c>
      <c r="O643" s="110" t="str">
        <f>IFERROR(INDEX('WetLitterbags placem_collection'!$A$3:$A$500,MATCH(A643,'WetLitterbags placem_collection'!$O$4:$O$500,0)),"")</f>
        <v/>
      </c>
      <c r="P643" s="110">
        <f>IFERROR(INDEX('WetLitterbags placem_collection'!$A$3:$A$500,MATCH(A643,'WetLitterbags placem_collection'!$M$4:$M$500,0)),"")</f>
        <v>38</v>
      </c>
      <c r="Q643" s="110" t="str">
        <f>IFERROR(INDEX('WetLitterbags placem_collection'!$A$3:$A$500,MATCH(A643,'WetLitterbags placem_collection'!$Q$4:$Q$500,0)),"")</f>
        <v/>
      </c>
    </row>
    <row r="644" spans="1:17" ht="13.95" customHeight="1">
      <c r="A644" s="110" t="s">
        <v>703</v>
      </c>
      <c r="B644" s="110" t="s">
        <v>2077</v>
      </c>
      <c r="C644" s="110">
        <v>0.17480000000000001</v>
      </c>
      <c r="D644" s="110" t="s">
        <v>2145</v>
      </c>
      <c r="E644" s="112">
        <v>43116</v>
      </c>
      <c r="N644" s="110" t="str">
        <f>IFERROR(INDEX('WetLitterbags placem_collection'!$A$3:$A$500,MATCH(A644,'WetLitterbags placem_collection'!$K$4:$K$500,0)),"")</f>
        <v/>
      </c>
      <c r="O644" s="110" t="str">
        <f>IFERROR(INDEX('WetLitterbags placem_collection'!$A$3:$A$500,MATCH(A644,'WetLitterbags placem_collection'!$O$4:$O$500,0)),"")</f>
        <v/>
      </c>
      <c r="P644" s="110">
        <f>IFERROR(INDEX('WetLitterbags placem_collection'!$A$3:$A$500,MATCH(A644,'WetLitterbags placem_collection'!$M$4:$M$500,0)),"")</f>
        <v>72</v>
      </c>
      <c r="Q644" s="110" t="str">
        <f>IFERROR(INDEX('WetLitterbags placem_collection'!$A$3:$A$500,MATCH(A644,'WetLitterbags placem_collection'!$Q$4:$Q$500,0)),"")</f>
        <v/>
      </c>
    </row>
    <row r="645" spans="1:17" ht="13.95" customHeight="1">
      <c r="A645" s="110" t="s">
        <v>1097</v>
      </c>
      <c r="B645" s="110">
        <v>67</v>
      </c>
      <c r="C645" s="110">
        <v>1.5427999999999999</v>
      </c>
      <c r="E645" s="112">
        <v>43125</v>
      </c>
      <c r="N645" s="110" t="str">
        <f>IFERROR(INDEX('WetLitterbags placem_collection'!$A$3:$A$500,MATCH(A645,'WetLitterbags placem_collection'!$K$4:$K$500,0)),"")</f>
        <v/>
      </c>
      <c r="O645" s="110" t="str">
        <f>IFERROR(INDEX('WetLitterbags placem_collection'!$A$3:$A$500,MATCH(A645,'WetLitterbags placem_collection'!$O$4:$O$500,0)),"")</f>
        <v/>
      </c>
      <c r="P645" s="110" t="str">
        <f>IFERROR(INDEX('WetLitterbags placem_collection'!$A$3:$A$500,MATCH(A645,'WetLitterbags placem_collection'!$M$4:$M$500,0)),"")</f>
        <v/>
      </c>
      <c r="Q645" s="110">
        <f>IFERROR(INDEX('WetLitterbags placem_collection'!$A$3:$A$500,MATCH(A645,'WetLitterbags placem_collection'!$Q$4:$Q$500,0)),"")</f>
        <v>66</v>
      </c>
    </row>
    <row r="646" spans="1:17" ht="13.95" customHeight="1">
      <c r="A646" s="110" t="s">
        <v>701</v>
      </c>
      <c r="B646" s="110" t="s">
        <v>2077</v>
      </c>
      <c r="C646" s="110">
        <v>1.6322000000000001</v>
      </c>
      <c r="E646" s="112">
        <v>43116</v>
      </c>
      <c r="N646" s="110" t="str">
        <f>IFERROR(INDEX('WetLitterbags placem_collection'!$A$3:$A$500,MATCH(A646,'WetLitterbags placem_collection'!$K$4:$K$500,0)),"")</f>
        <v/>
      </c>
      <c r="O646" s="110" t="str">
        <f>IFERROR(INDEX('WetLitterbags placem_collection'!$A$3:$A$500,MATCH(A646,'WetLitterbags placem_collection'!$O$4:$O$500,0)),"")</f>
        <v/>
      </c>
      <c r="P646" s="110" t="str">
        <f>IFERROR(INDEX('WetLitterbags placem_collection'!$A$3:$A$500,MATCH(A646,'WetLitterbags placem_collection'!$M$4:$M$500,0)),"")</f>
        <v/>
      </c>
      <c r="Q646" s="110">
        <f>IFERROR(INDEX('WetLitterbags placem_collection'!$A$3:$A$500,MATCH(A646,'WetLitterbags placem_collection'!$Q$4:$Q$500,0)),"")</f>
        <v>152</v>
      </c>
    </row>
    <row r="647" spans="1:17" ht="13.95" customHeight="1">
      <c r="A647" s="110" t="s">
        <v>699</v>
      </c>
      <c r="B647" s="110" t="s">
        <v>2077</v>
      </c>
      <c r="C647" s="110">
        <v>1.3831</v>
      </c>
      <c r="E647" s="112">
        <v>43116</v>
      </c>
      <c r="N647" s="110" t="str">
        <f>IFERROR(INDEX('WetLitterbags placem_collection'!$A$3:$A$500,MATCH(A647,'WetLitterbags placem_collection'!$K$4:$K$500,0)),"")</f>
        <v/>
      </c>
      <c r="O647" s="110" t="str">
        <f>IFERROR(INDEX('WetLitterbags placem_collection'!$A$3:$A$500,MATCH(A647,'WetLitterbags placem_collection'!$O$4:$O$500,0)),"")</f>
        <v/>
      </c>
      <c r="P647" s="110">
        <f>IFERROR(INDEX('WetLitterbags placem_collection'!$A$3:$A$500,MATCH(A647,'WetLitterbags placem_collection'!$M$4:$M$500,0)),"")</f>
        <v>217</v>
      </c>
      <c r="Q647" s="110" t="str">
        <f>IFERROR(INDEX('WetLitterbags placem_collection'!$A$3:$A$500,MATCH(A647,'WetLitterbags placem_collection'!$Q$4:$Q$500,0)),"")</f>
        <v/>
      </c>
    </row>
    <row r="648" spans="1:17" ht="13.95" customHeight="1">
      <c r="A648" s="110" t="s">
        <v>697</v>
      </c>
      <c r="B648" s="110" t="s">
        <v>2077</v>
      </c>
      <c r="C648" s="110">
        <v>1.7522</v>
      </c>
      <c r="E648" s="112">
        <v>43116</v>
      </c>
      <c r="N648" s="110" t="str">
        <f>IFERROR(INDEX('WetLitterbags placem_collection'!$A$3:$A$500,MATCH(A648,'WetLitterbags placem_collection'!$K$4:$K$500,0)),"")</f>
        <v/>
      </c>
      <c r="O648" s="110" t="str">
        <f>IFERROR(INDEX('WetLitterbags placem_collection'!$A$3:$A$500,MATCH(A648,'WetLitterbags placem_collection'!$O$4:$O$500,0)),"")</f>
        <v/>
      </c>
      <c r="P648" s="110">
        <f>IFERROR(INDEX('WetLitterbags placem_collection'!$A$3:$A$500,MATCH(A648,'WetLitterbags placem_collection'!$M$4:$M$500,0)),"")</f>
        <v>181</v>
      </c>
      <c r="Q648" s="110" t="str">
        <f>IFERROR(INDEX('WetLitterbags placem_collection'!$A$3:$A$500,MATCH(A648,'WetLitterbags placem_collection'!$Q$4:$Q$500,0)),"")</f>
        <v/>
      </c>
    </row>
    <row r="649" spans="1:17" ht="13.95" customHeight="1">
      <c r="A649" s="110" t="s">
        <v>696</v>
      </c>
      <c r="B649" s="110">
        <v>92</v>
      </c>
      <c r="C649" s="110">
        <v>0.31</v>
      </c>
      <c r="E649" s="112">
        <v>42879</v>
      </c>
      <c r="N649" s="110" t="str">
        <f>IFERROR(INDEX('WetLitterbags placem_collection'!$A$3:$A$500,MATCH(A649,'WetLitterbags placem_collection'!$K$4:$K$500,0)),"")</f>
        <v/>
      </c>
      <c r="O649" s="110" t="str">
        <f>IFERROR(INDEX('WetLitterbags placem_collection'!$A$3:$A$500,MATCH(A649,'WetLitterbags placem_collection'!$O$4:$O$500,0)),"")</f>
        <v/>
      </c>
      <c r="P649" s="110">
        <f>IFERROR(INDEX('WetLitterbags placem_collection'!$A$3:$A$500,MATCH(A649,'WetLitterbags placem_collection'!$M$4:$M$500,0)),"")</f>
        <v>91</v>
      </c>
      <c r="Q649" s="110" t="str">
        <f>IFERROR(INDEX('WetLitterbags placem_collection'!$A$3:$A$500,MATCH(A649,'WetLitterbags placem_collection'!$Q$4:$Q$500,0)),"")</f>
        <v/>
      </c>
    </row>
    <row r="650" spans="1:17" ht="13.95" customHeight="1">
      <c r="A650" s="110" t="s">
        <v>695</v>
      </c>
      <c r="B650" s="110" t="s">
        <v>2077</v>
      </c>
      <c r="C650" s="110">
        <v>1.4224000000000001</v>
      </c>
      <c r="E650" s="112">
        <v>43122</v>
      </c>
      <c r="N650" s="110" t="str">
        <f>IFERROR(INDEX('WetLitterbags placem_collection'!$A$3:$A$500,MATCH(A650,'WetLitterbags placem_collection'!$K$4:$K$500,0)),"")</f>
        <v/>
      </c>
      <c r="O650" s="110" t="str">
        <f>IFERROR(INDEX('WetLitterbags placem_collection'!$A$3:$A$500,MATCH(A650,'WetLitterbags placem_collection'!$O$4:$O$500,0)),"")</f>
        <v/>
      </c>
      <c r="P650" s="110">
        <f>IFERROR(INDEX('WetLitterbags placem_collection'!$A$3:$A$500,MATCH(A650,'WetLitterbags placem_collection'!$M$4:$M$500,0)),"")</f>
        <v>10</v>
      </c>
      <c r="Q650" s="110" t="str">
        <f>IFERROR(INDEX('WetLitterbags placem_collection'!$A$3:$A$500,MATCH(A650,'WetLitterbags placem_collection'!$Q$4:$Q$500,0)),"")</f>
        <v/>
      </c>
    </row>
    <row r="651" spans="1:17" ht="13.95" customHeight="1">
      <c r="A651" s="110" t="s">
        <v>694</v>
      </c>
      <c r="B651" s="110">
        <v>151</v>
      </c>
      <c r="C651" s="110">
        <v>1.782</v>
      </c>
      <c r="E651" s="112">
        <v>42879</v>
      </c>
      <c r="N651" s="110" t="str">
        <f>IFERROR(INDEX('WetLitterbags placem_collection'!$A$3:$A$500,MATCH(A651,'WetLitterbags placem_collection'!$K$4:$K$500,0)),"")</f>
        <v/>
      </c>
      <c r="O651" s="110" t="str">
        <f>IFERROR(INDEX('WetLitterbags placem_collection'!$A$3:$A$500,MATCH(A651,'WetLitterbags placem_collection'!$O$4:$O$500,0)),"")</f>
        <v/>
      </c>
      <c r="P651" s="110">
        <f>IFERROR(INDEX('WetLitterbags placem_collection'!$A$3:$A$500,MATCH(A651,'WetLitterbags placem_collection'!$M$4:$M$500,0)),"")</f>
        <v>150</v>
      </c>
      <c r="Q651" s="110" t="str">
        <f>IFERROR(INDEX('WetLitterbags placem_collection'!$A$3:$A$500,MATCH(A651,'WetLitterbags placem_collection'!$Q$4:$Q$500,0)),"")</f>
        <v/>
      </c>
    </row>
    <row r="652" spans="1:17" ht="13.95" customHeight="1">
      <c r="A652" s="110" t="s">
        <v>693</v>
      </c>
      <c r="B652" s="110">
        <v>62</v>
      </c>
      <c r="C652" s="110">
        <v>1.5379</v>
      </c>
      <c r="E652" s="112">
        <v>43125</v>
      </c>
      <c r="N652" s="110" t="str">
        <f>IFERROR(INDEX('WetLitterbags placem_collection'!$A$3:$A$500,MATCH(A652,'WetLitterbags placem_collection'!$K$4:$K$500,0)),"")</f>
        <v/>
      </c>
      <c r="O652" s="110" t="str">
        <f>IFERROR(INDEX('WetLitterbags placem_collection'!$A$3:$A$500,MATCH(A652,'WetLitterbags placem_collection'!$O$4:$O$500,0)),"")</f>
        <v/>
      </c>
      <c r="P652" s="110" t="str">
        <f>IFERROR(INDEX('WetLitterbags placem_collection'!$A$3:$A$500,MATCH(A652,'WetLitterbags placem_collection'!$M$4:$M$500,0)),"")</f>
        <v/>
      </c>
      <c r="Q652" s="110">
        <f>IFERROR(INDEX('WetLitterbags placem_collection'!$A$3:$A$500,MATCH(A652,'WetLitterbags placem_collection'!$Q$4:$Q$500,0)),"")</f>
        <v>61</v>
      </c>
    </row>
    <row r="653" spans="1:17" ht="13.95" customHeight="1">
      <c r="A653" s="110" t="s">
        <v>692</v>
      </c>
      <c r="B653" s="110">
        <v>208</v>
      </c>
      <c r="C653" s="110">
        <v>1.611</v>
      </c>
      <c r="E653" s="112">
        <v>42879</v>
      </c>
      <c r="N653" s="110" t="str">
        <f>IFERROR(INDEX('WetLitterbags placem_collection'!$A$3:$A$500,MATCH(A653,'WetLitterbags placem_collection'!$K$4:$K$500,0)),"")</f>
        <v/>
      </c>
      <c r="O653" s="110" t="str">
        <f>IFERROR(INDEX('WetLitterbags placem_collection'!$A$3:$A$500,MATCH(A653,'WetLitterbags placem_collection'!$O$4:$O$500,0)),"")</f>
        <v/>
      </c>
      <c r="P653" s="110" t="str">
        <f>IFERROR(INDEX('WetLitterbags placem_collection'!$A$3:$A$500,MATCH(A653,'WetLitterbags placem_collection'!$M$4:$M$500,0)),"")</f>
        <v/>
      </c>
      <c r="Q653" s="110">
        <f>IFERROR(INDEX('WetLitterbags placem_collection'!$A$3:$A$500,MATCH(A653,'WetLitterbags placem_collection'!$Q$4:$Q$500,0)),"")</f>
        <v>207</v>
      </c>
    </row>
    <row r="654" spans="1:17" ht="13.95" customHeight="1">
      <c r="A654" s="110" t="s">
        <v>1096</v>
      </c>
      <c r="B654" s="110" t="s">
        <v>2077</v>
      </c>
      <c r="C654" s="110">
        <v>1.4908999999999999</v>
      </c>
      <c r="E654" s="112">
        <v>43119</v>
      </c>
      <c r="N654" s="110" t="str">
        <f>IFERROR(INDEX('WetLitterbags placem_collection'!$A$3:$A$500,MATCH(A654,'WetLitterbags placem_collection'!$K$4:$K$500,0)),"")</f>
        <v/>
      </c>
      <c r="O654" s="110" t="str">
        <f>IFERROR(INDEX('WetLitterbags placem_collection'!$A$3:$A$500,MATCH(A654,'WetLitterbags placem_collection'!$O$4:$O$500,0)),"")</f>
        <v/>
      </c>
      <c r="P654" s="110" t="str">
        <f>IFERROR(INDEX('WetLitterbags placem_collection'!$A$3:$A$500,MATCH(A654,'WetLitterbags placem_collection'!$M$4:$M$500,0)),"")</f>
        <v/>
      </c>
      <c r="Q654" s="110">
        <f>IFERROR(INDEX('WetLitterbags placem_collection'!$A$3:$A$500,MATCH(A654,'WetLitterbags placem_collection'!$Q$4:$Q$500,0)),"")</f>
        <v>21</v>
      </c>
    </row>
    <row r="655" spans="1:17" ht="13.95" customHeight="1">
      <c r="A655" s="110" t="s">
        <v>691</v>
      </c>
      <c r="B655" s="110" t="s">
        <v>2083</v>
      </c>
      <c r="C655" s="110">
        <v>0.91920000000000002</v>
      </c>
      <c r="D655" s="110" t="s">
        <v>2097</v>
      </c>
      <c r="E655" s="112">
        <v>43125</v>
      </c>
      <c r="N655" s="110" t="str">
        <f>IFERROR(INDEX('WetLitterbags placem_collection'!$A$3:$A$500,MATCH(A655,'WetLitterbags placem_collection'!$K$4:$K$500,0)),"")</f>
        <v/>
      </c>
      <c r="O655" s="110" t="str">
        <f>IFERROR(INDEX('WetLitterbags placem_collection'!$A$3:$A$500,MATCH(A655,'WetLitterbags placem_collection'!$O$4:$O$500,0)),"")</f>
        <v/>
      </c>
      <c r="P655" s="110">
        <f>IFERROR(INDEX('WetLitterbags placem_collection'!$A$3:$A$500,MATCH(A655,'WetLitterbags placem_collection'!$M$4:$M$500,0)),"")</f>
        <v>12</v>
      </c>
      <c r="Q655" s="110" t="str">
        <f>IFERROR(INDEX('WetLitterbags placem_collection'!$A$3:$A$500,MATCH(A655,'WetLitterbags placem_collection'!$Q$4:$Q$500,0)),"")</f>
        <v/>
      </c>
    </row>
    <row r="656" spans="1:17" ht="13.95" customHeight="1">
      <c r="A656" s="110" t="s">
        <v>690</v>
      </c>
      <c r="B656" s="110">
        <v>171</v>
      </c>
      <c r="C656" s="110">
        <v>1.629</v>
      </c>
      <c r="E656" s="112">
        <v>42878</v>
      </c>
      <c r="N656" s="110" t="str">
        <f>IFERROR(INDEX('WetLitterbags placem_collection'!$A$3:$A$500,MATCH(A656,'WetLitterbags placem_collection'!$K$4:$K$500,0)),"")</f>
        <v/>
      </c>
      <c r="O656" s="110" t="str">
        <f>IFERROR(INDEX('WetLitterbags placem_collection'!$A$3:$A$500,MATCH(A656,'WetLitterbags placem_collection'!$O$4:$O$500,0)),"")</f>
        <v/>
      </c>
      <c r="P656" s="110" t="str">
        <f>IFERROR(INDEX('WetLitterbags placem_collection'!$A$3:$A$500,MATCH(A656,'WetLitterbags placem_collection'!$M$4:$M$500,0)),"")</f>
        <v/>
      </c>
      <c r="Q656" s="110">
        <f>IFERROR(INDEX('WetLitterbags placem_collection'!$A$3:$A$500,MATCH(A656,'WetLitterbags placem_collection'!$Q$4:$Q$500,0)),"")</f>
        <v>170</v>
      </c>
    </row>
    <row r="657" spans="1:17" ht="13.95" customHeight="1">
      <c r="A657" s="110" t="s">
        <v>689</v>
      </c>
      <c r="B657" s="110">
        <v>33</v>
      </c>
      <c r="C657" s="110">
        <v>1.6020000000000001</v>
      </c>
      <c r="E657" s="112">
        <v>42881</v>
      </c>
      <c r="N657" s="110" t="str">
        <f>IFERROR(INDEX('WetLitterbags placem_collection'!$A$3:$A$500,MATCH(A657,'WetLitterbags placem_collection'!$K$4:$K$500,0)),"")</f>
        <v/>
      </c>
      <c r="O657" s="110" t="str">
        <f>IFERROR(INDEX('WetLitterbags placem_collection'!$A$3:$A$500,MATCH(A657,'WetLitterbags placem_collection'!$O$4:$O$500,0)),"")</f>
        <v/>
      </c>
      <c r="P657" s="110" t="str">
        <f>IFERROR(INDEX('WetLitterbags placem_collection'!$A$3:$A$500,MATCH(A657,'WetLitterbags placem_collection'!$M$4:$M$500,0)),"")</f>
        <v/>
      </c>
      <c r="Q657" s="110">
        <f>IFERROR(INDEX('WetLitterbags placem_collection'!$A$3:$A$500,MATCH(A657,'WetLitterbags placem_collection'!$Q$4:$Q$500,0)),"")</f>
        <v>32</v>
      </c>
    </row>
    <row r="658" spans="1:17" ht="13.95" customHeight="1">
      <c r="A658" s="110" t="s">
        <v>688</v>
      </c>
      <c r="B658" s="110">
        <v>169</v>
      </c>
      <c r="C658" s="110">
        <v>0.14299999999999999</v>
      </c>
      <c r="D658" s="110" t="s">
        <v>2055</v>
      </c>
      <c r="E658" s="112">
        <v>42879</v>
      </c>
      <c r="N658" s="110" t="str">
        <f>IFERROR(INDEX('WetLitterbags placem_collection'!$A$3:$A$500,MATCH(A658,'WetLitterbags placem_collection'!$K$4:$K$500,0)),"")</f>
        <v/>
      </c>
      <c r="O658" s="110" t="str">
        <f>IFERROR(INDEX('WetLitterbags placem_collection'!$A$3:$A$500,MATCH(A658,'WetLitterbags placem_collection'!$O$4:$O$500,0)),"")</f>
        <v/>
      </c>
      <c r="P658" s="110">
        <f>IFERROR(INDEX('WetLitterbags placem_collection'!$A$3:$A$500,MATCH(A658,'WetLitterbags placem_collection'!$M$4:$M$500,0)),"")</f>
        <v>168</v>
      </c>
      <c r="Q658" s="110" t="str">
        <f>IFERROR(INDEX('WetLitterbags placem_collection'!$A$3:$A$500,MATCH(A658,'WetLitterbags placem_collection'!$Q$4:$Q$500,0)),"")</f>
        <v/>
      </c>
    </row>
    <row r="659" spans="1:17" ht="13.95" customHeight="1">
      <c r="A659" s="110" t="s">
        <v>687</v>
      </c>
      <c r="B659" s="110">
        <v>120</v>
      </c>
      <c r="C659" s="110">
        <v>0.3876</v>
      </c>
      <c r="D659" s="110" t="s">
        <v>2108</v>
      </c>
      <c r="E659" s="112">
        <v>43125</v>
      </c>
      <c r="N659" s="110" t="str">
        <f>IFERROR(INDEX('WetLitterbags placem_collection'!$A$3:$A$500,MATCH(A659,'WetLitterbags placem_collection'!$K$4:$K$500,0)),"")</f>
        <v/>
      </c>
      <c r="O659" s="110" t="str">
        <f>IFERROR(INDEX('WetLitterbags placem_collection'!$A$3:$A$500,MATCH(A659,'WetLitterbags placem_collection'!$O$4:$O$500,0)),"")</f>
        <v/>
      </c>
      <c r="P659" s="110">
        <f>IFERROR(INDEX('WetLitterbags placem_collection'!$A$3:$A$500,MATCH(A659,'WetLitterbags placem_collection'!$M$4:$M$500,0)),"")</f>
        <v>119</v>
      </c>
      <c r="Q659" s="110" t="str">
        <f>IFERROR(INDEX('WetLitterbags placem_collection'!$A$3:$A$500,MATCH(A659,'WetLitterbags placem_collection'!$Q$4:$Q$500,0)),"")</f>
        <v/>
      </c>
    </row>
    <row r="660" spans="1:17" ht="13.95" customHeight="1">
      <c r="A660" s="110" t="s">
        <v>685</v>
      </c>
      <c r="B660" s="110">
        <v>143</v>
      </c>
      <c r="C660" s="110">
        <v>1.6178999999999999</v>
      </c>
      <c r="E660" s="112">
        <v>43125</v>
      </c>
      <c r="N660" s="110" t="str">
        <f>IFERROR(INDEX('WetLitterbags placem_collection'!$A$3:$A$500,MATCH(A660,'WetLitterbags placem_collection'!$K$4:$K$500,0)),"")</f>
        <v/>
      </c>
      <c r="O660" s="110" t="str">
        <f>IFERROR(INDEX('WetLitterbags placem_collection'!$A$3:$A$500,MATCH(A660,'WetLitterbags placem_collection'!$O$4:$O$500,0)),"")</f>
        <v/>
      </c>
      <c r="P660" s="110">
        <f>IFERROR(INDEX('WetLitterbags placem_collection'!$A$3:$A$500,MATCH(A660,'WetLitterbags placem_collection'!$M$4:$M$500,0)),"")</f>
        <v>142</v>
      </c>
      <c r="Q660" s="110" t="str">
        <f>IFERROR(INDEX('WetLitterbags placem_collection'!$A$3:$A$500,MATCH(A660,'WetLitterbags placem_collection'!$Q$4:$Q$500,0)),"")</f>
        <v/>
      </c>
    </row>
    <row r="661" spans="1:17" ht="13.95" customHeight="1">
      <c r="A661" s="182" t="s">
        <v>684</v>
      </c>
      <c r="B661" s="110">
        <v>216</v>
      </c>
      <c r="C661" s="110">
        <v>1.5940000000000001</v>
      </c>
      <c r="E661" s="112">
        <v>42879</v>
      </c>
      <c r="N661" s="110" t="str">
        <f>IFERROR(INDEX('WetLitterbags placem_collection'!$A$3:$A$500,MATCH(A661,'WetLitterbags placem_collection'!$K$4:$K$500,0)),"")</f>
        <v/>
      </c>
      <c r="O661" s="110" t="str">
        <f>IFERROR(INDEX('WetLitterbags placem_collection'!$A$3:$A$500,MATCH(A661,'WetLitterbags placem_collection'!$O$4:$O$500,0)),"")</f>
        <v/>
      </c>
      <c r="P661" s="110" t="str">
        <f>IFERROR(INDEX('WetLitterbags placem_collection'!$A$3:$A$500,MATCH(A661,'WetLitterbags placem_collection'!$M$4:$M$500,0)),"")</f>
        <v/>
      </c>
      <c r="Q661" s="110">
        <f>IFERROR(INDEX('WetLitterbags placem_collection'!$A$3:$A$500,MATCH(A661,'WetLitterbags placem_collection'!$Q$4:$Q$500,0)),"")</f>
        <v>215</v>
      </c>
    </row>
    <row r="662" spans="1:17" ht="13.95" customHeight="1">
      <c r="A662" s="110" t="s">
        <v>683</v>
      </c>
      <c r="B662" s="110">
        <v>175</v>
      </c>
      <c r="C662" s="110">
        <v>0.61699999999999999</v>
      </c>
      <c r="E662" s="112">
        <v>42879</v>
      </c>
      <c r="N662" s="110" t="str">
        <f>IFERROR(INDEX('WetLitterbags placem_collection'!$A$3:$A$500,MATCH(A662,'WetLitterbags placem_collection'!$K$4:$K$500,0)),"")</f>
        <v/>
      </c>
      <c r="O662" s="110" t="str">
        <f>IFERROR(INDEX('WetLitterbags placem_collection'!$A$3:$A$500,MATCH(A662,'WetLitterbags placem_collection'!$O$4:$O$500,0)),"")</f>
        <v/>
      </c>
      <c r="P662" s="110">
        <f>IFERROR(INDEX('WetLitterbags placem_collection'!$A$3:$A$500,MATCH(A662,'WetLitterbags placem_collection'!$M$4:$M$500,0)),"")</f>
        <v>174</v>
      </c>
      <c r="Q662" s="110" t="str">
        <f>IFERROR(INDEX('WetLitterbags placem_collection'!$A$3:$A$500,MATCH(A662,'WetLitterbags placem_collection'!$Q$4:$Q$500,0)),"")</f>
        <v/>
      </c>
    </row>
    <row r="663" spans="1:17" ht="13.95" customHeight="1">
      <c r="A663" s="110" t="s">
        <v>682</v>
      </c>
      <c r="B663" s="110">
        <v>116</v>
      </c>
      <c r="C663" s="110">
        <v>0.68710000000000004</v>
      </c>
      <c r="D663" s="110" t="s">
        <v>2080</v>
      </c>
      <c r="E663" s="112">
        <v>43125</v>
      </c>
      <c r="N663" s="110" t="str">
        <f>IFERROR(INDEX('WetLitterbags placem_collection'!$A$3:$A$500,MATCH(A663,'WetLitterbags placem_collection'!$K$4:$K$500,0)),"")</f>
        <v/>
      </c>
      <c r="O663" s="110" t="str">
        <f>IFERROR(INDEX('WetLitterbags placem_collection'!$A$3:$A$500,MATCH(A663,'WetLitterbags placem_collection'!$O$4:$O$500,0)),"")</f>
        <v/>
      </c>
      <c r="P663" s="110">
        <f>IFERROR(INDEX('WetLitterbags placem_collection'!$A$3:$A$500,MATCH(A663,'WetLitterbags placem_collection'!$M$4:$M$500,0)),"")</f>
        <v>115</v>
      </c>
      <c r="Q663" s="110" t="str">
        <f>IFERROR(INDEX('WetLitterbags placem_collection'!$A$3:$A$500,MATCH(A663,'WetLitterbags placem_collection'!$Q$4:$Q$500,0)),"")</f>
        <v/>
      </c>
    </row>
    <row r="664" spans="1:17" ht="13.95" customHeight="1">
      <c r="A664" s="110" t="s">
        <v>1095</v>
      </c>
      <c r="B664" s="110">
        <v>129</v>
      </c>
      <c r="C664" s="110">
        <v>0.48970000000000002</v>
      </c>
      <c r="D664" s="110" t="s">
        <v>2081</v>
      </c>
      <c r="E664" s="112">
        <v>43125</v>
      </c>
      <c r="N664" s="110" t="str">
        <f>IFERROR(INDEX('WetLitterbags placem_collection'!$A$3:$A$500,MATCH(A664,'WetLitterbags placem_collection'!$K$4:$K$500,0)),"")</f>
        <v/>
      </c>
      <c r="O664" s="110" t="str">
        <f>IFERROR(INDEX('WetLitterbags placem_collection'!$A$3:$A$500,MATCH(A664,'WetLitterbags placem_collection'!$O$4:$O$500,0)),"")</f>
        <v/>
      </c>
      <c r="P664" s="110">
        <f>IFERROR(INDEX('WetLitterbags placem_collection'!$A$3:$A$500,MATCH(A664,'WetLitterbags placem_collection'!$M$4:$M$500,0)),"")</f>
        <v>128</v>
      </c>
      <c r="Q664" s="110" t="str">
        <f>IFERROR(INDEX('WetLitterbags placem_collection'!$A$3:$A$500,MATCH(A664,'WetLitterbags placem_collection'!$Q$4:$Q$500,0)),"")</f>
        <v/>
      </c>
    </row>
    <row r="665" spans="1:17" ht="13.95" customHeight="1">
      <c r="A665" s="182" t="s">
        <v>681</v>
      </c>
      <c r="B665" s="110">
        <v>142</v>
      </c>
      <c r="C665" s="110">
        <v>0.14299999999999999</v>
      </c>
      <c r="D665" s="110" t="s">
        <v>2055</v>
      </c>
      <c r="E665" s="112">
        <v>42881</v>
      </c>
      <c r="N665" s="110" t="str">
        <f>IFERROR(INDEX('WetLitterbags placem_collection'!$A$3:$A$500,MATCH(A665,'WetLitterbags placem_collection'!$K$4:$K$500,0)),"")</f>
        <v/>
      </c>
      <c r="O665" s="110" t="str">
        <f>IFERROR(INDEX('WetLitterbags placem_collection'!$A$3:$A$500,MATCH(A665,'WetLitterbags placem_collection'!$O$4:$O$500,0)),"")</f>
        <v/>
      </c>
      <c r="P665" s="110">
        <f>IFERROR(INDEX('WetLitterbags placem_collection'!$A$3:$A$500,MATCH(A665,'WetLitterbags placem_collection'!$M$4:$M$500,0)),"")</f>
        <v>141</v>
      </c>
      <c r="Q665" s="110" t="str">
        <f>IFERROR(INDEX('WetLitterbags placem_collection'!$A$3:$A$500,MATCH(A665,'WetLitterbags placem_collection'!$Q$4:$Q$500,0)),"")</f>
        <v/>
      </c>
    </row>
    <row r="666" spans="1:17" ht="13.95" customHeight="1">
      <c r="A666" s="110" t="s">
        <v>680</v>
      </c>
      <c r="B666" s="110">
        <v>160</v>
      </c>
      <c r="C666" s="110">
        <v>1.744</v>
      </c>
      <c r="E666" s="112">
        <v>42879</v>
      </c>
      <c r="N666" s="110" t="str">
        <f>IFERROR(INDEX('WetLitterbags placem_collection'!$A$3:$A$500,MATCH(A666,'WetLitterbags placem_collection'!$K$4:$K$500,0)),"")</f>
        <v/>
      </c>
      <c r="O666" s="110" t="str">
        <f>IFERROR(INDEX('WetLitterbags placem_collection'!$A$3:$A$500,MATCH(A666,'WetLitterbags placem_collection'!$O$4:$O$500,0)),"")</f>
        <v/>
      </c>
      <c r="P666" s="110" t="str">
        <f>IFERROR(INDEX('WetLitterbags placem_collection'!$A$3:$A$500,MATCH(A666,'WetLitterbags placem_collection'!$M$4:$M$500,0)),"")</f>
        <v/>
      </c>
      <c r="Q666" s="110">
        <f>IFERROR(INDEX('WetLitterbags placem_collection'!$A$3:$A$500,MATCH(A666,'WetLitterbags placem_collection'!$Q$4:$Q$500,0)),"")</f>
        <v>159</v>
      </c>
    </row>
    <row r="667" spans="1:17" ht="13.95" customHeight="1">
      <c r="A667" s="110" t="s">
        <v>679</v>
      </c>
      <c r="B667" s="110" t="s">
        <v>2077</v>
      </c>
      <c r="C667" s="110">
        <v>1.5465</v>
      </c>
      <c r="D667" s="110" t="s">
        <v>2120</v>
      </c>
      <c r="E667" s="112">
        <v>43122</v>
      </c>
      <c r="N667" s="110" t="str">
        <f>IFERROR(INDEX('WetLitterbags placem_collection'!$A$3:$A$500,MATCH(A667,'WetLitterbags placem_collection'!$K$4:$K$500,0)),"")</f>
        <v/>
      </c>
      <c r="O667" s="110" t="str">
        <f>IFERROR(INDEX('WetLitterbags placem_collection'!$A$3:$A$500,MATCH(A667,'WetLitterbags placem_collection'!$O$4:$O$500,0)),"")</f>
        <v/>
      </c>
      <c r="P667" s="110">
        <f>IFERROR(INDEX('WetLitterbags placem_collection'!$A$3:$A$500,MATCH(A667,'WetLitterbags placem_collection'!$M$4:$M$500,0)),"")</f>
        <v>109</v>
      </c>
      <c r="Q667" s="110" t="str">
        <f>IFERROR(INDEX('WetLitterbags placem_collection'!$A$3:$A$500,MATCH(A667,'WetLitterbags placem_collection'!$Q$4:$Q$500,0)),"")</f>
        <v/>
      </c>
    </row>
    <row r="668" spans="1:17" ht="13.95" customHeight="1">
      <c r="A668" s="110" t="s">
        <v>678</v>
      </c>
      <c r="B668" s="110">
        <v>198</v>
      </c>
      <c r="C668" s="110">
        <v>1.5485</v>
      </c>
      <c r="E668" s="112">
        <v>43125</v>
      </c>
      <c r="N668" s="110" t="str">
        <f>IFERROR(INDEX('WetLitterbags placem_collection'!$A$3:$A$500,MATCH(A668,'WetLitterbags placem_collection'!$K$4:$K$500,0)),"")</f>
        <v/>
      </c>
      <c r="O668" s="110" t="str">
        <f>IFERROR(INDEX('WetLitterbags placem_collection'!$A$3:$A$500,MATCH(A668,'WetLitterbags placem_collection'!$O$4:$O$500,0)),"")</f>
        <v/>
      </c>
      <c r="P668" s="110">
        <f>IFERROR(INDEX('WetLitterbags placem_collection'!$A$3:$A$500,MATCH(A668,'WetLitterbags placem_collection'!$M$4:$M$500,0)),"")</f>
        <v>197</v>
      </c>
      <c r="Q668" s="110" t="str">
        <f>IFERROR(INDEX('WetLitterbags placem_collection'!$A$3:$A$500,MATCH(A668,'WetLitterbags placem_collection'!$Q$4:$Q$500,0)),"")</f>
        <v/>
      </c>
    </row>
    <row r="669" spans="1:17" ht="13.95" customHeight="1">
      <c r="A669" s="110" t="s">
        <v>677</v>
      </c>
      <c r="B669" s="110">
        <v>156</v>
      </c>
      <c r="C669" s="110">
        <v>1.802</v>
      </c>
      <c r="E669" s="112">
        <v>42879</v>
      </c>
      <c r="N669" s="110" t="str">
        <f>IFERROR(INDEX('WetLitterbags placem_collection'!$A$3:$A$500,MATCH(A669,'WetLitterbags placem_collection'!$K$4:$K$500,0)),"")</f>
        <v/>
      </c>
      <c r="O669" s="110" t="str">
        <f>IFERROR(INDEX('WetLitterbags placem_collection'!$A$3:$A$500,MATCH(A669,'WetLitterbags placem_collection'!$O$4:$O$500,0)),"")</f>
        <v/>
      </c>
      <c r="P669" s="110" t="str">
        <f>IFERROR(INDEX('WetLitterbags placem_collection'!$A$3:$A$500,MATCH(A669,'WetLitterbags placem_collection'!$M$4:$M$500,0)),"")</f>
        <v/>
      </c>
      <c r="Q669" s="110">
        <f>IFERROR(INDEX('WetLitterbags placem_collection'!$A$3:$A$500,MATCH(A669,'WetLitterbags placem_collection'!$Q$4:$Q$500,0)),"")</f>
        <v>155</v>
      </c>
    </row>
    <row r="670" spans="1:17" ht="13.95" customHeight="1">
      <c r="A670" s="110" t="s">
        <v>676</v>
      </c>
      <c r="B670" s="110">
        <v>141</v>
      </c>
      <c r="C670" s="110">
        <v>1.6759999999999999</v>
      </c>
      <c r="E670" s="112">
        <v>42878</v>
      </c>
      <c r="N670" s="110" t="str">
        <f>IFERROR(INDEX('WetLitterbags placem_collection'!$A$3:$A$500,MATCH(A670,'WetLitterbags placem_collection'!$K$4:$K$500,0)),"")</f>
        <v/>
      </c>
      <c r="O670" s="110" t="str">
        <f>IFERROR(INDEX('WetLitterbags placem_collection'!$A$3:$A$500,MATCH(A670,'WetLitterbags placem_collection'!$O$4:$O$500,0)),"")</f>
        <v/>
      </c>
      <c r="P670" s="110" t="str">
        <f>IFERROR(INDEX('WetLitterbags placem_collection'!$A$3:$A$500,MATCH(A670,'WetLitterbags placem_collection'!$M$4:$M$500,0)),"")</f>
        <v/>
      </c>
      <c r="Q670" s="110">
        <f>IFERROR(INDEX('WetLitterbags placem_collection'!$A$3:$A$500,MATCH(A670,'WetLitterbags placem_collection'!$Q$4:$Q$500,0)),"")</f>
        <v>140</v>
      </c>
    </row>
    <row r="671" spans="1:17" ht="13.95" customHeight="1">
      <c r="A671" s="110" t="s">
        <v>675</v>
      </c>
      <c r="B671">
        <v>123</v>
      </c>
      <c r="C671" s="110">
        <v>1.5760000000000001</v>
      </c>
      <c r="E671" s="112">
        <v>42879</v>
      </c>
      <c r="N671" s="110" t="str">
        <f>IFERROR(INDEX('WetLitterbags placem_collection'!$A$3:$A$500,MATCH(A671,'WetLitterbags placem_collection'!$K$4:$K$500,0)),"")</f>
        <v/>
      </c>
      <c r="O671" s="110" t="str">
        <f>IFERROR(INDEX('WetLitterbags placem_collection'!$A$3:$A$500,MATCH(A671,'WetLitterbags placem_collection'!$O$4:$O$500,0)),"")</f>
        <v/>
      </c>
      <c r="P671" s="110" t="str">
        <f>IFERROR(INDEX('WetLitterbags placem_collection'!$A$3:$A$500,MATCH(A671,'WetLitterbags placem_collection'!$M$4:$M$500,0)),"")</f>
        <v/>
      </c>
      <c r="Q671" s="110">
        <f>IFERROR(INDEX('WetLitterbags placem_collection'!$A$3:$A$500,MATCH(A671,'WetLitterbags placem_collection'!$Q$4:$Q$500,0)),"")</f>
        <v>122</v>
      </c>
    </row>
    <row r="672" spans="1:17" ht="13.95" customHeight="1">
      <c r="A672" s="110" t="s">
        <v>674</v>
      </c>
      <c r="B672" s="110">
        <v>134</v>
      </c>
      <c r="C672" s="110">
        <v>1.591</v>
      </c>
      <c r="E672" s="112">
        <v>42881</v>
      </c>
      <c r="N672" s="110" t="str">
        <f>IFERROR(INDEX('WetLitterbags placem_collection'!$A$3:$A$500,MATCH(A672,'WetLitterbags placem_collection'!$K$4:$K$500,0)),"")</f>
        <v/>
      </c>
      <c r="O672" s="110" t="str">
        <f>IFERROR(INDEX('WetLitterbags placem_collection'!$A$3:$A$500,MATCH(A672,'WetLitterbags placem_collection'!$O$4:$O$500,0)),"")</f>
        <v/>
      </c>
      <c r="P672" s="110" t="str">
        <f>IFERROR(INDEX('WetLitterbags placem_collection'!$A$3:$A$500,MATCH(A672,'WetLitterbags placem_collection'!$M$4:$M$500,0)),"")</f>
        <v/>
      </c>
      <c r="Q672" s="110">
        <f>IFERROR(INDEX('WetLitterbags placem_collection'!$A$3:$A$500,MATCH(A672,'WetLitterbags placem_collection'!$Q$4:$Q$500,0)),"")</f>
        <v>133</v>
      </c>
    </row>
    <row r="673" spans="1:17" ht="13.95" customHeight="1">
      <c r="A673" s="110" t="s">
        <v>673</v>
      </c>
      <c r="B673" s="110">
        <v>146</v>
      </c>
      <c r="C673" s="110">
        <v>1.657</v>
      </c>
      <c r="E673" s="112">
        <v>42878</v>
      </c>
      <c r="N673" s="110" t="str">
        <f>IFERROR(INDEX('WetLitterbags placem_collection'!$A$3:$A$500,MATCH(A673,'WetLitterbags placem_collection'!$K$4:$K$500,0)),"")</f>
        <v/>
      </c>
      <c r="O673" s="110" t="str">
        <f>IFERROR(INDEX('WetLitterbags placem_collection'!$A$3:$A$500,MATCH(A673,'WetLitterbags placem_collection'!$O$4:$O$500,0)),"")</f>
        <v/>
      </c>
      <c r="P673" s="110" t="str">
        <f>IFERROR(INDEX('WetLitterbags placem_collection'!$A$3:$A$500,MATCH(A673,'WetLitterbags placem_collection'!$M$4:$M$500,0)),"")</f>
        <v/>
      </c>
      <c r="Q673" s="110">
        <f>IFERROR(INDEX('WetLitterbags placem_collection'!$A$3:$A$500,MATCH(A673,'WetLitterbags placem_collection'!$Q$4:$Q$500,0)),"")</f>
        <v>145</v>
      </c>
    </row>
    <row r="674" spans="1:17" ht="13.95" customHeight="1">
      <c r="A674" s="110" t="s">
        <v>672</v>
      </c>
      <c r="B674" s="110">
        <v>45</v>
      </c>
      <c r="C674" s="110">
        <v>1.5804</v>
      </c>
      <c r="E674" s="112">
        <v>43123</v>
      </c>
      <c r="N674" s="110" t="str">
        <f>IFERROR(INDEX('WetLitterbags placem_collection'!$A$3:$A$500,MATCH(A674,'WetLitterbags placem_collection'!$K$4:$K$500,0)),"")</f>
        <v/>
      </c>
      <c r="O674" s="110" t="str">
        <f>IFERROR(INDEX('WetLitterbags placem_collection'!$A$3:$A$500,MATCH(A674,'WetLitterbags placem_collection'!$O$4:$O$500,0)),"")</f>
        <v/>
      </c>
      <c r="P674" s="110">
        <f>IFERROR(INDEX('WetLitterbags placem_collection'!$A$3:$A$500,MATCH(A674,'WetLitterbags placem_collection'!$M$4:$M$500,0)),"")</f>
        <v>44</v>
      </c>
      <c r="Q674" s="110" t="str">
        <f>IFERROR(INDEX('WetLitterbags placem_collection'!$A$3:$A$500,MATCH(A674,'WetLitterbags placem_collection'!$Q$4:$Q$500,0)),"")</f>
        <v/>
      </c>
    </row>
    <row r="675" spans="1:17" ht="13.95" customHeight="1">
      <c r="A675" s="110" t="s">
        <v>671</v>
      </c>
      <c r="B675" s="110">
        <v>177</v>
      </c>
      <c r="C675" s="110">
        <v>1.677</v>
      </c>
      <c r="E675" s="112">
        <v>42881</v>
      </c>
      <c r="N675" s="110" t="str">
        <f>IFERROR(INDEX('WetLitterbags placem_collection'!$A$3:$A$500,MATCH(A675,'WetLitterbags placem_collection'!$K$4:$K$500,0)),"")</f>
        <v/>
      </c>
      <c r="O675" s="110" t="str">
        <f>IFERROR(INDEX('WetLitterbags placem_collection'!$A$3:$A$500,MATCH(A675,'WetLitterbags placem_collection'!$O$4:$O$500,0)),"")</f>
        <v/>
      </c>
      <c r="P675" s="110" t="str">
        <f>IFERROR(INDEX('WetLitterbags placem_collection'!$A$3:$A$500,MATCH(A675,'WetLitterbags placem_collection'!$M$4:$M$500,0)),"")</f>
        <v/>
      </c>
      <c r="Q675" s="110">
        <f>IFERROR(INDEX('WetLitterbags placem_collection'!$A$3:$A$500,MATCH(A675,'WetLitterbags placem_collection'!$Q$4:$Q$500,0)),"")</f>
        <v>176</v>
      </c>
    </row>
    <row r="676" spans="1:17" ht="13.95" customHeight="1">
      <c r="A676" s="110" t="s">
        <v>670</v>
      </c>
      <c r="B676" s="110">
        <v>124</v>
      </c>
      <c r="C676" s="110">
        <v>1.518</v>
      </c>
      <c r="E676" s="112">
        <v>42881</v>
      </c>
      <c r="N676" s="110" t="str">
        <f>IFERROR(INDEX('WetLitterbags placem_collection'!$A$3:$A$500,MATCH(A676,'WetLitterbags placem_collection'!$K$4:$K$500,0)),"")</f>
        <v/>
      </c>
      <c r="O676" s="110" t="str">
        <f>IFERROR(INDEX('WetLitterbags placem_collection'!$A$3:$A$500,MATCH(A676,'WetLitterbags placem_collection'!$O$4:$O$500,0)),"")</f>
        <v/>
      </c>
      <c r="P676" s="110" t="str">
        <f>IFERROR(INDEX('WetLitterbags placem_collection'!$A$3:$A$500,MATCH(A676,'WetLitterbags placem_collection'!$M$4:$M$500,0)),"")</f>
        <v/>
      </c>
      <c r="Q676" s="110">
        <f>IFERROR(INDEX('WetLitterbags placem_collection'!$A$3:$A$500,MATCH(A676,'WetLitterbags placem_collection'!$Q$4:$Q$500,0)),"")</f>
        <v>123</v>
      </c>
    </row>
    <row r="677" spans="1:17" ht="13.95" customHeight="1">
      <c r="A677" s="110" t="s">
        <v>669</v>
      </c>
      <c r="B677" s="110" t="s">
        <v>2077</v>
      </c>
      <c r="C677" s="110">
        <v>0.37559999999999999</v>
      </c>
      <c r="D677" s="110" t="s">
        <v>2078</v>
      </c>
      <c r="E677" s="112">
        <v>43125</v>
      </c>
      <c r="N677" s="110" t="str">
        <f>IFERROR(INDEX('WetLitterbags placem_collection'!$A$3:$A$500,MATCH(A677,'WetLitterbags placem_collection'!$K$4:$K$500,0)),"")</f>
        <v/>
      </c>
      <c r="O677" s="110" t="str">
        <f>IFERROR(INDEX('WetLitterbags placem_collection'!$A$3:$A$500,MATCH(A677,'WetLitterbags placem_collection'!$O$4:$O$500,0)),"")</f>
        <v/>
      </c>
      <c r="P677" s="110">
        <f>IFERROR(INDEX('WetLitterbags placem_collection'!$A$3:$A$500,MATCH(A677,'WetLitterbags placem_collection'!$M$4:$M$500,0)),"")</f>
        <v>147</v>
      </c>
      <c r="Q677" s="110" t="str">
        <f>IFERROR(INDEX('WetLitterbags placem_collection'!$A$3:$A$500,MATCH(A677,'WetLitterbags placem_collection'!$Q$4:$Q$500,0)),"")</f>
        <v/>
      </c>
    </row>
    <row r="678" spans="1:17" ht="13.95" customHeight="1">
      <c r="A678" s="110" t="s">
        <v>667</v>
      </c>
      <c r="B678" s="110">
        <v>136</v>
      </c>
      <c r="C678" s="110">
        <v>1.5827</v>
      </c>
      <c r="E678" s="112">
        <v>43125</v>
      </c>
      <c r="N678" s="110" t="str">
        <f>IFERROR(INDEX('WetLitterbags placem_collection'!$A$3:$A$500,MATCH(A678,'WetLitterbags placem_collection'!$K$4:$K$500,0)),"")</f>
        <v/>
      </c>
      <c r="O678" s="110" t="str">
        <f>IFERROR(INDEX('WetLitterbags placem_collection'!$A$3:$A$500,MATCH(A678,'WetLitterbags placem_collection'!$O$4:$O$500,0)),"")</f>
        <v/>
      </c>
      <c r="P678" s="110">
        <f>IFERROR(INDEX('WetLitterbags placem_collection'!$A$3:$A$500,MATCH(A678,'WetLitterbags placem_collection'!$M$4:$M$500,0)),"")</f>
        <v>135</v>
      </c>
      <c r="Q678" s="110" t="str">
        <f>IFERROR(INDEX('WetLitterbags placem_collection'!$A$3:$A$500,MATCH(A678,'WetLitterbags placem_collection'!$Q$4:$Q$500,0)),"")</f>
        <v/>
      </c>
    </row>
    <row r="679" spans="1:17" ht="13.95" customHeight="1">
      <c r="A679" s="110" t="s">
        <v>666</v>
      </c>
      <c r="B679" s="110">
        <v>104</v>
      </c>
      <c r="C679" s="110">
        <v>1.4970000000000001</v>
      </c>
      <c r="E679" s="112">
        <v>42878</v>
      </c>
      <c r="N679" s="110" t="str">
        <f>IFERROR(INDEX('WetLitterbags placem_collection'!$A$3:$A$500,MATCH(A679,'WetLitterbags placem_collection'!$K$4:$K$500,0)),"")</f>
        <v/>
      </c>
      <c r="O679" s="110" t="str">
        <f>IFERROR(INDEX('WetLitterbags placem_collection'!$A$3:$A$500,MATCH(A679,'WetLitterbags placem_collection'!$O$4:$O$500,0)),"")</f>
        <v/>
      </c>
      <c r="P679" s="110" t="str">
        <f>IFERROR(INDEX('WetLitterbags placem_collection'!$A$3:$A$500,MATCH(A679,'WetLitterbags placem_collection'!$M$4:$M$500,0)),"")</f>
        <v/>
      </c>
      <c r="Q679" s="110">
        <f>IFERROR(INDEX('WetLitterbags placem_collection'!$A$3:$A$500,MATCH(A679,'WetLitterbags placem_collection'!$Q$4:$Q$500,0)),"")</f>
        <v>103</v>
      </c>
    </row>
    <row r="680" spans="1:17" ht="13.95" customHeight="1">
      <c r="A680" s="110" t="s">
        <v>665</v>
      </c>
      <c r="B680" s="110">
        <v>131</v>
      </c>
      <c r="C680" s="110">
        <v>0.64019999999999999</v>
      </c>
      <c r="D680" s="110" t="s">
        <v>2103</v>
      </c>
      <c r="E680" s="112">
        <v>43125</v>
      </c>
      <c r="N680" s="110" t="str">
        <f>IFERROR(INDEX('WetLitterbags placem_collection'!$A$3:$A$500,MATCH(A680,'WetLitterbags placem_collection'!$K$4:$K$500,0)),"")</f>
        <v/>
      </c>
      <c r="O680" s="110" t="str">
        <f>IFERROR(INDEX('WetLitterbags placem_collection'!$A$3:$A$500,MATCH(A680,'WetLitterbags placem_collection'!$O$4:$O$500,0)),"")</f>
        <v/>
      </c>
      <c r="P680" s="110">
        <f>IFERROR(INDEX('WetLitterbags placem_collection'!$A$3:$A$500,MATCH(A680,'WetLitterbags placem_collection'!$M$4:$M$500,0)),"")</f>
        <v>130</v>
      </c>
      <c r="Q680" s="110" t="str">
        <f>IFERROR(INDEX('WetLitterbags placem_collection'!$A$3:$A$500,MATCH(A680,'WetLitterbags placem_collection'!$Q$4:$Q$500,0)),"")</f>
        <v/>
      </c>
    </row>
    <row r="681" spans="1:17" ht="13.95" customHeight="1">
      <c r="A681" s="110" t="s">
        <v>664</v>
      </c>
      <c r="B681" s="110">
        <v>132</v>
      </c>
      <c r="C681" s="110">
        <v>1.573</v>
      </c>
      <c r="E681" s="112">
        <v>43125</v>
      </c>
      <c r="N681" s="110" t="str">
        <f>IFERROR(INDEX('WetLitterbags placem_collection'!$A$3:$A$500,MATCH(A681,'WetLitterbags placem_collection'!$K$4:$K$500,0)),"")</f>
        <v/>
      </c>
      <c r="O681" s="110" t="str">
        <f>IFERROR(INDEX('WetLitterbags placem_collection'!$A$3:$A$500,MATCH(A681,'WetLitterbags placem_collection'!$O$4:$O$500,0)),"")</f>
        <v/>
      </c>
      <c r="P681" s="110" t="str">
        <f>IFERROR(INDEX('WetLitterbags placem_collection'!$A$3:$A$500,MATCH(A681,'WetLitterbags placem_collection'!$M$4:$M$500,0)),"")</f>
        <v/>
      </c>
      <c r="Q681" s="110">
        <f>IFERROR(INDEX('WetLitterbags placem_collection'!$A$3:$A$500,MATCH(A681,'WetLitterbags placem_collection'!$Q$4:$Q$500,0)),"")</f>
        <v>131</v>
      </c>
    </row>
    <row r="682" spans="1:17" ht="13.95" customHeight="1">
      <c r="A682" t="s">
        <v>662</v>
      </c>
      <c r="B682" s="110" t="s">
        <v>2083</v>
      </c>
      <c r="C682" s="110">
        <v>1.2541</v>
      </c>
      <c r="D682" s="110" t="s">
        <v>2071</v>
      </c>
      <c r="E682" s="112">
        <v>43125</v>
      </c>
      <c r="N682" s="110" t="str">
        <f>IFERROR(INDEX('WetLitterbags placem_collection'!$A$3:$A$500,MATCH(A682,'WetLitterbags placem_collection'!$K$4:$K$500,0)),"")</f>
        <v/>
      </c>
      <c r="O682" s="110" t="str">
        <f>IFERROR(INDEX('WetLitterbags placem_collection'!$A$3:$A$500,MATCH(A682,'WetLitterbags placem_collection'!$O$4:$O$500,0)),"")</f>
        <v/>
      </c>
      <c r="P682" s="110">
        <f>IFERROR(INDEX('WetLitterbags placem_collection'!$A$3:$A$500,MATCH(A682,'WetLitterbags placem_collection'!$M$4:$M$500,0)),"")</f>
        <v>152</v>
      </c>
      <c r="Q682" s="110" t="str">
        <f>IFERROR(INDEX('WetLitterbags placem_collection'!$A$3:$A$500,MATCH(A682,'WetLitterbags placem_collection'!$Q$4:$Q$500,0)),"")</f>
        <v/>
      </c>
    </row>
    <row r="683" spans="1:17" ht="13.95" customHeight="1">
      <c r="A683" s="184" t="s">
        <v>1093</v>
      </c>
      <c r="B683" s="110">
        <v>58</v>
      </c>
      <c r="C683" s="110">
        <v>0.74880000000000002</v>
      </c>
      <c r="D683" s="167" t="s">
        <v>2463</v>
      </c>
      <c r="E683" s="112">
        <v>43123</v>
      </c>
      <c r="N683" s="110" t="str">
        <f>IFERROR(INDEX('WetLitterbags placem_collection'!$A$3:$A$500,MATCH(A683,'WetLitterbags placem_collection'!$K$4:$K$500,0)),"")</f>
        <v/>
      </c>
      <c r="O683" s="110" t="str">
        <f>IFERROR(INDEX('WetLitterbags placem_collection'!$A$3:$A$500,MATCH(A683,'WetLitterbags placem_collection'!$O$4:$O$500,0)),"")</f>
        <v/>
      </c>
      <c r="P683" s="110">
        <f>IFERROR(INDEX('WetLitterbags placem_collection'!$A$3:$A$500,MATCH(A683,'WetLitterbags placem_collection'!$M$4:$M$500,0)),"")</f>
        <v>57</v>
      </c>
      <c r="Q683" s="110" t="str">
        <f>IFERROR(INDEX('WetLitterbags placem_collection'!$A$3:$A$500,MATCH(A683,'WetLitterbags placem_collection'!$Q$4:$Q$500,0)),"")</f>
        <v/>
      </c>
    </row>
    <row r="684" spans="1:17" ht="13.95" customHeight="1">
      <c r="A684" s="110" t="s">
        <v>661</v>
      </c>
      <c r="B684" s="110">
        <v>125</v>
      </c>
      <c r="C684" s="110">
        <v>1.389</v>
      </c>
      <c r="E684" s="112">
        <v>42881</v>
      </c>
      <c r="N684" s="110" t="str">
        <f>IFERROR(INDEX('WetLitterbags placem_collection'!$A$3:$A$500,MATCH(A684,'WetLitterbags placem_collection'!$K$4:$K$500,0)),"")</f>
        <v/>
      </c>
      <c r="O684" s="110" t="str">
        <f>IFERROR(INDEX('WetLitterbags placem_collection'!$A$3:$A$500,MATCH(A684,'WetLitterbags placem_collection'!$O$4:$O$500,0)),"")</f>
        <v/>
      </c>
      <c r="P684" s="110" t="str">
        <f>IFERROR(INDEX('WetLitterbags placem_collection'!$A$3:$A$500,MATCH(A684,'WetLitterbags placem_collection'!$M$4:$M$500,0)),"")</f>
        <v/>
      </c>
      <c r="Q684" s="110">
        <f>IFERROR(INDEX('WetLitterbags placem_collection'!$A$3:$A$500,MATCH(A684,'WetLitterbags placem_collection'!$Q$4:$Q$500,0)),"")</f>
        <v>115</v>
      </c>
    </row>
    <row r="685" spans="1:17" ht="13.95" customHeight="1">
      <c r="A685" s="110" t="s">
        <v>660</v>
      </c>
      <c r="B685" s="110">
        <v>175</v>
      </c>
      <c r="C685" s="110">
        <v>1.681</v>
      </c>
      <c r="E685" s="112">
        <v>42879</v>
      </c>
      <c r="N685" s="110" t="str">
        <f>IFERROR(INDEX('WetLitterbags placem_collection'!$A$3:$A$500,MATCH(A685,'WetLitterbags placem_collection'!$K$4:$K$500,0)),"")</f>
        <v/>
      </c>
      <c r="O685" s="110" t="str">
        <f>IFERROR(INDEX('WetLitterbags placem_collection'!$A$3:$A$500,MATCH(A685,'WetLitterbags placem_collection'!$O$4:$O$500,0)),"")</f>
        <v/>
      </c>
      <c r="P685" s="110" t="str">
        <f>IFERROR(INDEX('WetLitterbags placem_collection'!$A$3:$A$500,MATCH(A685,'WetLitterbags placem_collection'!$M$4:$M$500,0)),"")</f>
        <v/>
      </c>
      <c r="Q685" s="110">
        <f>IFERROR(INDEX('WetLitterbags placem_collection'!$A$3:$A$500,MATCH(A685,'WetLitterbags placem_collection'!$Q$4:$Q$500,0)),"")</f>
        <v>174</v>
      </c>
    </row>
    <row r="686" spans="1:17" ht="13.95" customHeight="1">
      <c r="A686" s="110" t="s">
        <v>659</v>
      </c>
      <c r="B686" s="110" t="s">
        <v>2077</v>
      </c>
      <c r="C686" s="110">
        <v>1.6348</v>
      </c>
      <c r="E686" s="112">
        <v>43122</v>
      </c>
      <c r="N686" s="110" t="str">
        <f>IFERROR(INDEX('WetLitterbags placem_collection'!$A$3:$A$500,MATCH(A686,'WetLitterbags placem_collection'!$K$4:$K$500,0)),"")</f>
        <v/>
      </c>
      <c r="O686" s="110" t="str">
        <f>IFERROR(INDEX('WetLitterbags placem_collection'!$A$3:$A$500,MATCH(A686,'WetLitterbags placem_collection'!$O$4:$O$500,0)),"")</f>
        <v/>
      </c>
      <c r="P686" s="110">
        <f>IFERROR(INDEX('WetLitterbags placem_collection'!$A$3:$A$500,MATCH(A686,'WetLitterbags placem_collection'!$M$4:$M$500,0)),"")</f>
        <v>100</v>
      </c>
      <c r="Q686" s="110" t="str">
        <f>IFERROR(INDEX('WetLitterbags placem_collection'!$A$3:$A$500,MATCH(A686,'WetLitterbags placem_collection'!$Q$4:$Q$500,0)),"")</f>
        <v/>
      </c>
    </row>
    <row r="687" spans="1:17" ht="13.95" customHeight="1">
      <c r="A687" s="110" t="s">
        <v>658</v>
      </c>
      <c r="B687" s="110">
        <v>137</v>
      </c>
      <c r="C687" s="110">
        <v>1.778</v>
      </c>
      <c r="E687" s="112">
        <v>42879</v>
      </c>
      <c r="N687" s="110" t="str">
        <f>IFERROR(INDEX('WetLitterbags placem_collection'!$A$3:$A$500,MATCH(A687,'WetLitterbags placem_collection'!$K$4:$K$500,0)),"")</f>
        <v/>
      </c>
      <c r="O687" s="110" t="str">
        <f>IFERROR(INDEX('WetLitterbags placem_collection'!$A$3:$A$500,MATCH(A687,'WetLitterbags placem_collection'!$O$4:$O$500,0)),"")</f>
        <v/>
      </c>
      <c r="P687" s="110" t="str">
        <f>IFERROR(INDEX('WetLitterbags placem_collection'!$A$3:$A$500,MATCH(A687,'WetLitterbags placem_collection'!$M$4:$M$500,0)),"")</f>
        <v/>
      </c>
      <c r="Q687" s="110">
        <f>IFERROR(INDEX('WetLitterbags placem_collection'!$A$3:$A$500,MATCH(A687,'WetLitterbags placem_collection'!$Q$4:$Q$500,0)),"")</f>
        <v>136</v>
      </c>
    </row>
    <row r="688" spans="1:17" ht="13.95" customHeight="1">
      <c r="A688" s="110" t="s">
        <v>657</v>
      </c>
      <c r="B688" s="110">
        <v>155</v>
      </c>
      <c r="C688" s="110">
        <v>1.7509999999999999</v>
      </c>
      <c r="E688" s="112">
        <v>42879</v>
      </c>
      <c r="N688" s="110" t="str">
        <f>IFERROR(INDEX('WetLitterbags placem_collection'!$A$3:$A$500,MATCH(A688,'WetLitterbags placem_collection'!$K$4:$K$500,0)),"")</f>
        <v/>
      </c>
      <c r="O688" s="110" t="str">
        <f>IFERROR(INDEX('WetLitterbags placem_collection'!$A$3:$A$500,MATCH(A688,'WetLitterbags placem_collection'!$O$4:$O$500,0)),"")</f>
        <v/>
      </c>
      <c r="P688" s="110">
        <f>IFERROR(INDEX('WetLitterbags placem_collection'!$A$3:$A$500,MATCH(A688,'WetLitterbags placem_collection'!$M$4:$M$500,0)),"")</f>
        <v>154</v>
      </c>
      <c r="Q688" s="110" t="str">
        <f>IFERROR(INDEX('WetLitterbags placem_collection'!$A$3:$A$500,MATCH(A688,'WetLitterbags placem_collection'!$Q$4:$Q$500,0)),"")</f>
        <v/>
      </c>
    </row>
    <row r="689" spans="1:17" ht="13.95" customHeight="1">
      <c r="A689" s="110" t="s">
        <v>656</v>
      </c>
      <c r="B689" s="110">
        <v>154</v>
      </c>
      <c r="C689" s="110">
        <v>1.839</v>
      </c>
      <c r="E689" s="112">
        <v>42881</v>
      </c>
      <c r="N689" s="110" t="str">
        <f>IFERROR(INDEX('WetLitterbags placem_collection'!$A$3:$A$500,MATCH(A689,'WetLitterbags placem_collection'!$K$4:$K$500,0)),"")</f>
        <v/>
      </c>
      <c r="O689" s="110" t="str">
        <f>IFERROR(INDEX('WetLitterbags placem_collection'!$A$3:$A$500,MATCH(A689,'WetLitterbags placem_collection'!$O$4:$O$500,0)),"")</f>
        <v/>
      </c>
      <c r="P689" s="110" t="str">
        <f>IFERROR(INDEX('WetLitterbags placem_collection'!$A$3:$A$500,MATCH(A689,'WetLitterbags placem_collection'!$M$4:$M$500,0)),"")</f>
        <v/>
      </c>
      <c r="Q689" s="110">
        <f>IFERROR(INDEX('WetLitterbags placem_collection'!$A$3:$A$500,MATCH(A689,'WetLitterbags placem_collection'!$Q$4:$Q$500,0)),"")</f>
        <v>153</v>
      </c>
    </row>
    <row r="690" spans="1:17" ht="13.95" customHeight="1">
      <c r="A690" s="110" t="s">
        <v>654</v>
      </c>
      <c r="B690" s="110">
        <v>111</v>
      </c>
      <c r="C690" s="110">
        <v>1.609</v>
      </c>
      <c r="E690" s="112">
        <v>42879</v>
      </c>
      <c r="N690" s="110" t="str">
        <f>IFERROR(INDEX('WetLitterbags placem_collection'!$A$3:$A$500,MATCH(A690,'WetLitterbags placem_collection'!$K$4:$K$500,0)),"")</f>
        <v/>
      </c>
      <c r="O690" s="110" t="str">
        <f>IFERROR(INDEX('WetLitterbags placem_collection'!$A$3:$A$500,MATCH(A690,'WetLitterbags placem_collection'!$O$4:$O$500,0)),"")</f>
        <v/>
      </c>
      <c r="P690" s="110" t="str">
        <f>IFERROR(INDEX('WetLitterbags placem_collection'!$A$3:$A$500,MATCH(A690,'WetLitterbags placem_collection'!$M$4:$M$500,0)),"")</f>
        <v/>
      </c>
      <c r="Q690" s="110">
        <f>IFERROR(INDEX('WetLitterbags placem_collection'!$A$3:$A$500,MATCH(A690,'WetLitterbags placem_collection'!$Q$4:$Q$500,0)),"")</f>
        <v>110</v>
      </c>
    </row>
    <row r="691" spans="1:17" ht="13.95" customHeight="1">
      <c r="A691" s="110" t="s">
        <v>653</v>
      </c>
      <c r="B691" s="110">
        <v>178</v>
      </c>
      <c r="C691" s="110">
        <v>1.6446000000000001</v>
      </c>
      <c r="E691" s="112">
        <v>43125</v>
      </c>
      <c r="N691" s="110" t="str">
        <f>IFERROR(INDEX('WetLitterbags placem_collection'!$A$3:$A$500,MATCH(A691,'WetLitterbags placem_collection'!$K$4:$K$500,0)),"")</f>
        <v/>
      </c>
      <c r="O691" s="110" t="str">
        <f>IFERROR(INDEX('WetLitterbags placem_collection'!$A$3:$A$500,MATCH(A691,'WetLitterbags placem_collection'!$O$4:$O$500,0)),"")</f>
        <v/>
      </c>
      <c r="P691" s="110" t="str">
        <f>IFERROR(INDEX('WetLitterbags placem_collection'!$A$3:$A$500,MATCH(A691,'WetLitterbags placem_collection'!$M$4:$M$500,0)),"")</f>
        <v/>
      </c>
      <c r="Q691" s="110">
        <f>IFERROR(INDEX('WetLitterbags placem_collection'!$A$3:$A$500,MATCH(A691,'WetLitterbags placem_collection'!$Q$4:$Q$500,0)),"")</f>
        <v>177</v>
      </c>
    </row>
    <row r="692" spans="1:17" ht="13.95" customHeight="1">
      <c r="A692" s="110" t="s">
        <v>652</v>
      </c>
      <c r="B692" s="110">
        <v>98</v>
      </c>
      <c r="C692" s="110">
        <v>1.5389999999999999</v>
      </c>
      <c r="E692" s="112">
        <v>42881</v>
      </c>
      <c r="N692" s="110" t="str">
        <f>IFERROR(INDEX('WetLitterbags placem_collection'!$A$3:$A$500,MATCH(A692,'WetLitterbags placem_collection'!$K$4:$K$500,0)),"")</f>
        <v/>
      </c>
      <c r="O692" s="110" t="str">
        <f>IFERROR(INDEX('WetLitterbags placem_collection'!$A$3:$A$500,MATCH(A692,'WetLitterbags placem_collection'!$O$4:$O$500,0)),"")</f>
        <v/>
      </c>
      <c r="P692" s="110">
        <f>IFERROR(INDEX('WetLitterbags placem_collection'!$A$3:$A$500,MATCH(A692,'WetLitterbags placem_collection'!$M$4:$M$500,0)),"")</f>
        <v>97</v>
      </c>
      <c r="Q692" s="110" t="str">
        <f>IFERROR(INDEX('WetLitterbags placem_collection'!$A$3:$A$500,MATCH(A692,'WetLitterbags placem_collection'!$Q$4:$Q$500,0)),"")</f>
        <v/>
      </c>
    </row>
    <row r="693" spans="1:17" ht="13.95" customHeight="1">
      <c r="A693" s="110" t="s">
        <v>1092</v>
      </c>
      <c r="B693" s="110">
        <v>84</v>
      </c>
      <c r="C693" s="110">
        <v>1.6379999999999999</v>
      </c>
      <c r="D693" s="110" t="s">
        <v>2050</v>
      </c>
      <c r="E693" s="112">
        <v>42881</v>
      </c>
      <c r="N693" s="110" t="str">
        <f>IFERROR(INDEX('WetLitterbags placem_collection'!$A$3:$A$500,MATCH(A693,'WetLitterbags placem_collection'!$K$4:$K$500,0)),"")</f>
        <v/>
      </c>
      <c r="O693" s="110" t="str">
        <f>IFERROR(INDEX('WetLitterbags placem_collection'!$A$3:$A$500,MATCH(A693,'WetLitterbags placem_collection'!$O$4:$O$500,0)),"")</f>
        <v/>
      </c>
      <c r="P693" s="110">
        <f>IFERROR(INDEX('WetLitterbags placem_collection'!$A$3:$A$500,MATCH(A693,'WetLitterbags placem_collection'!$M$4:$M$500,0)),"")</f>
        <v>83</v>
      </c>
      <c r="Q693" s="110" t="str">
        <f>IFERROR(INDEX('WetLitterbags placem_collection'!$A$3:$A$500,MATCH(A693,'WetLitterbags placem_collection'!$Q$4:$Q$500,0)),"")</f>
        <v/>
      </c>
    </row>
    <row r="694" spans="1:17" ht="13.95" customHeight="1">
      <c r="A694" s="110" t="s">
        <v>651</v>
      </c>
      <c r="B694" s="110">
        <v>176</v>
      </c>
      <c r="C694" s="110">
        <v>1.7070000000000001</v>
      </c>
      <c r="E694" s="112">
        <v>42879</v>
      </c>
      <c r="N694" s="110" t="str">
        <f>IFERROR(INDEX('WetLitterbags placem_collection'!$A$3:$A$500,MATCH(A694,'WetLitterbags placem_collection'!$K$4:$K$500,0)),"")</f>
        <v/>
      </c>
      <c r="O694" s="110" t="str">
        <f>IFERROR(INDEX('WetLitterbags placem_collection'!$A$3:$A$500,MATCH(A694,'WetLitterbags placem_collection'!$O$4:$O$500,0)),"")</f>
        <v/>
      </c>
      <c r="P694" s="110" t="str">
        <f>IFERROR(INDEX('WetLitterbags placem_collection'!$A$3:$A$500,MATCH(A694,'WetLitterbags placem_collection'!$M$4:$M$500,0)),"")</f>
        <v/>
      </c>
      <c r="Q694" s="110">
        <f>IFERROR(INDEX('WetLitterbags placem_collection'!$A$3:$A$500,MATCH(A694,'WetLitterbags placem_collection'!$Q$4:$Q$500,0)),"")</f>
        <v>175</v>
      </c>
    </row>
    <row r="695" spans="1:17" ht="13.95" customHeight="1">
      <c r="A695" s="110" t="s">
        <v>649</v>
      </c>
      <c r="B695" s="110">
        <v>146</v>
      </c>
      <c r="C695" s="110">
        <v>1.6579999999999999</v>
      </c>
      <c r="D695" s="110" t="s">
        <v>2125</v>
      </c>
      <c r="E695" s="112">
        <v>42878</v>
      </c>
      <c r="N695" s="110" t="str">
        <f>IFERROR(INDEX('WetLitterbags placem_collection'!$A$3:$A$500,MATCH(A695,'WetLitterbags placem_collection'!$K$4:$K$500,0)),"")</f>
        <v/>
      </c>
      <c r="O695" s="110" t="str">
        <f>IFERROR(INDEX('WetLitterbags placem_collection'!$A$3:$A$500,MATCH(A695,'WetLitterbags placem_collection'!$O$4:$O$500,0)),"")</f>
        <v/>
      </c>
      <c r="P695" s="110">
        <f>IFERROR(INDEX('WetLitterbags placem_collection'!$A$3:$A$500,MATCH(A695,'WetLitterbags placem_collection'!$M$4:$M$500,0)),"")</f>
        <v>145</v>
      </c>
      <c r="Q695" s="110" t="str">
        <f>IFERROR(INDEX('WetLitterbags placem_collection'!$A$3:$A$500,MATCH(A695,'WetLitterbags placem_collection'!$Q$4:$Q$500,0)),"")</f>
        <v/>
      </c>
    </row>
    <row r="696" spans="1:17" ht="13.95" customHeight="1">
      <c r="A696" s="110" t="s">
        <v>648</v>
      </c>
      <c r="B696" s="110">
        <v>154</v>
      </c>
      <c r="C696" s="110">
        <v>0.69099999999999995</v>
      </c>
      <c r="D696" s="110" t="s">
        <v>2061</v>
      </c>
      <c r="E696" s="112">
        <v>42881</v>
      </c>
      <c r="N696" s="110" t="str">
        <f>IFERROR(INDEX('WetLitterbags placem_collection'!$A$3:$A$500,MATCH(A696,'WetLitterbags placem_collection'!$K$4:$K$500,0)),"")</f>
        <v/>
      </c>
      <c r="O696" s="110" t="str">
        <f>IFERROR(INDEX('WetLitterbags placem_collection'!$A$3:$A$500,MATCH(A696,'WetLitterbags placem_collection'!$O$4:$O$500,0)),"")</f>
        <v/>
      </c>
      <c r="P696" s="110">
        <f>IFERROR(INDEX('WetLitterbags placem_collection'!$A$3:$A$500,MATCH(A696,'WetLitterbags placem_collection'!$M$4:$M$500,0)),"")</f>
        <v>153</v>
      </c>
      <c r="Q696" s="110" t="str">
        <f>IFERROR(INDEX('WetLitterbags placem_collection'!$A$3:$A$500,MATCH(A696,'WetLitterbags placem_collection'!$Q$4:$Q$500,0)),"")</f>
        <v/>
      </c>
    </row>
    <row r="697" spans="1:17" ht="13.95" customHeight="1">
      <c r="A697" s="110" t="s">
        <v>647</v>
      </c>
      <c r="B697" s="110">
        <v>103</v>
      </c>
      <c r="C697" s="110">
        <v>1.6919999999999999</v>
      </c>
      <c r="E697" s="112">
        <v>42881</v>
      </c>
      <c r="N697" s="110" t="str">
        <f>IFERROR(INDEX('WetLitterbags placem_collection'!$A$3:$A$500,MATCH(A697,'WetLitterbags placem_collection'!$K$4:$K$500,0)),"")</f>
        <v/>
      </c>
      <c r="O697" s="110" t="str">
        <f>IFERROR(INDEX('WetLitterbags placem_collection'!$A$3:$A$500,MATCH(A697,'WetLitterbags placem_collection'!$O$4:$O$500,0)),"")</f>
        <v/>
      </c>
      <c r="P697" s="110" t="str">
        <f>IFERROR(INDEX('WetLitterbags placem_collection'!$A$3:$A$500,MATCH(A697,'WetLitterbags placem_collection'!$M$4:$M$500,0)),"")</f>
        <v/>
      </c>
      <c r="Q697" s="110">
        <f>IFERROR(INDEX('WetLitterbags placem_collection'!$A$3:$A$500,MATCH(A697,'WetLitterbags placem_collection'!$Q$4:$Q$500,0)),"")</f>
        <v>102</v>
      </c>
    </row>
    <row r="698" spans="1:17" ht="13.95" customHeight="1">
      <c r="A698" s="110" t="s">
        <v>646</v>
      </c>
      <c r="B698" s="110">
        <v>118</v>
      </c>
      <c r="C698" s="110">
        <v>1.468</v>
      </c>
      <c r="E698" s="112">
        <v>42879</v>
      </c>
      <c r="N698" s="110" t="str">
        <f>IFERROR(INDEX('WetLitterbags placem_collection'!$A$3:$A$500,MATCH(A698,'WetLitterbags placem_collection'!$K$4:$K$500,0)),"")</f>
        <v/>
      </c>
      <c r="O698" s="110" t="str">
        <f>IFERROR(INDEX('WetLitterbags placem_collection'!$A$3:$A$500,MATCH(A698,'WetLitterbags placem_collection'!$O$4:$O$500,0)),"")</f>
        <v/>
      </c>
      <c r="P698" s="110">
        <f>IFERROR(INDEX('WetLitterbags placem_collection'!$A$3:$A$500,MATCH(A698,'WetLitterbags placem_collection'!$M$4:$M$500,0)),"")</f>
        <v>117</v>
      </c>
      <c r="Q698" s="110" t="str">
        <f>IFERROR(INDEX('WetLitterbags placem_collection'!$A$3:$A$500,MATCH(A698,'WetLitterbags placem_collection'!$Q$4:$Q$500,0)),"")</f>
        <v/>
      </c>
    </row>
    <row r="699" spans="1:17" ht="13.95" customHeight="1">
      <c r="A699" s="110" t="s">
        <v>645</v>
      </c>
      <c r="B699" s="110">
        <v>99</v>
      </c>
      <c r="C699" s="110">
        <v>1.5016</v>
      </c>
      <c r="E699" s="112">
        <v>43123</v>
      </c>
      <c r="N699" s="110" t="str">
        <f>IFERROR(INDEX('WetLitterbags placem_collection'!$A$3:$A$500,MATCH(A699,'WetLitterbags placem_collection'!$K$4:$K$500,0)),"")</f>
        <v/>
      </c>
      <c r="O699" s="110" t="str">
        <f>IFERROR(INDEX('WetLitterbags placem_collection'!$A$3:$A$500,MATCH(A699,'WetLitterbags placem_collection'!$O$4:$O$500,0)),"")</f>
        <v/>
      </c>
      <c r="P699" s="110" t="str">
        <f>IFERROR(INDEX('WetLitterbags placem_collection'!$A$3:$A$500,MATCH(A699,'WetLitterbags placem_collection'!$M$4:$M$500,0)),"")</f>
        <v/>
      </c>
      <c r="Q699" s="110">
        <f>IFERROR(INDEX('WetLitterbags placem_collection'!$A$3:$A$500,MATCH(A699,'WetLitterbags placem_collection'!$Q$4:$Q$500,0)),"")</f>
        <v>98</v>
      </c>
    </row>
    <row r="700" spans="1:17" ht="13.95" customHeight="1">
      <c r="A700" s="110" t="s">
        <v>644</v>
      </c>
      <c r="B700" s="110">
        <v>100</v>
      </c>
      <c r="C700" s="110">
        <v>1.66</v>
      </c>
      <c r="E700" s="112">
        <v>42881</v>
      </c>
      <c r="N700" s="110" t="str">
        <f>IFERROR(INDEX('WetLitterbags placem_collection'!$A$3:$A$500,MATCH(A700,'WetLitterbags placem_collection'!$K$4:$K$500,0)),"")</f>
        <v/>
      </c>
      <c r="O700" s="110" t="str">
        <f>IFERROR(INDEX('WetLitterbags placem_collection'!$A$3:$A$500,MATCH(A700,'WetLitterbags placem_collection'!$O$4:$O$500,0)),"")</f>
        <v/>
      </c>
      <c r="P700" s="110" t="str">
        <f>IFERROR(INDEX('WetLitterbags placem_collection'!$A$3:$A$500,MATCH(A700,'WetLitterbags placem_collection'!$M$4:$M$500,0)),"")</f>
        <v/>
      </c>
      <c r="Q700" s="110">
        <f>IFERROR(INDEX('WetLitterbags placem_collection'!$A$3:$A$500,MATCH(A700,'WetLitterbags placem_collection'!$Q$4:$Q$500,0)),"")</f>
        <v>99</v>
      </c>
    </row>
    <row r="701" spans="1:17" ht="13.95" customHeight="1">
      <c r="A701" s="110" t="s">
        <v>1091</v>
      </c>
      <c r="B701" s="110">
        <v>20</v>
      </c>
      <c r="C701" s="110">
        <v>1.51</v>
      </c>
      <c r="E701" s="112">
        <v>43125</v>
      </c>
      <c r="N701" s="110" t="str">
        <f>IFERROR(INDEX('WetLitterbags placem_collection'!$A$3:$A$500,MATCH(A701,'WetLitterbags placem_collection'!$K$4:$K$500,0)),"")</f>
        <v/>
      </c>
      <c r="O701" s="110" t="str">
        <f>IFERROR(INDEX('WetLitterbags placem_collection'!$A$3:$A$500,MATCH(A701,'WetLitterbags placem_collection'!$O$4:$O$500,0)),"")</f>
        <v/>
      </c>
      <c r="P701" s="110">
        <f>IFERROR(INDEX('WetLitterbags placem_collection'!$A$3:$A$500,MATCH(A701,'WetLitterbags placem_collection'!$M$4:$M$500,0)),"")</f>
        <v>19</v>
      </c>
      <c r="Q701" s="110" t="str">
        <f>IFERROR(INDEX('WetLitterbags placem_collection'!$A$3:$A$500,MATCH(A701,'WetLitterbags placem_collection'!$Q$4:$Q$500,0)),"")</f>
        <v/>
      </c>
    </row>
    <row r="702" spans="1:17" ht="13.95" customHeight="1">
      <c r="A702" s="110" t="s">
        <v>641</v>
      </c>
      <c r="B702" s="110">
        <v>100</v>
      </c>
      <c r="C702" s="110">
        <v>1.764</v>
      </c>
      <c r="D702" s="110" t="s">
        <v>2050</v>
      </c>
      <c r="E702" s="112">
        <v>42881</v>
      </c>
      <c r="N702" s="110" t="str">
        <f>IFERROR(INDEX('WetLitterbags placem_collection'!$A$3:$A$500,MATCH(A702,'WetLitterbags placem_collection'!$K$4:$K$500,0)),"")</f>
        <v/>
      </c>
      <c r="O702" s="110" t="str">
        <f>IFERROR(INDEX('WetLitterbags placem_collection'!$A$3:$A$500,MATCH(A702,'WetLitterbags placem_collection'!$O$4:$O$500,0)),"")</f>
        <v/>
      </c>
      <c r="P702" s="110">
        <f>IFERROR(INDEX('WetLitterbags placem_collection'!$A$3:$A$500,MATCH(A702,'WetLitterbags placem_collection'!$M$4:$M$500,0)),"")</f>
        <v>99</v>
      </c>
      <c r="Q702" s="110" t="str">
        <f>IFERROR(INDEX('WetLitterbags placem_collection'!$A$3:$A$500,MATCH(A702,'WetLitterbags placem_collection'!$Q$4:$Q$500,0)),"")</f>
        <v/>
      </c>
    </row>
    <row r="703" spans="1:17" ht="13.95" customHeight="1">
      <c r="A703" s="182" t="s">
        <v>640</v>
      </c>
      <c r="B703" s="110">
        <v>75</v>
      </c>
      <c r="C703" s="110">
        <v>0.29499999999999998</v>
      </c>
      <c r="D703" s="110" t="s">
        <v>2055</v>
      </c>
      <c r="E703" s="112">
        <v>42881</v>
      </c>
      <c r="N703" s="110" t="str">
        <f>IFERROR(INDEX('WetLitterbags placem_collection'!$A$3:$A$500,MATCH(A703,'WetLitterbags placem_collection'!$K$4:$K$500,0)),"")</f>
        <v/>
      </c>
      <c r="O703" s="110" t="str">
        <f>IFERROR(INDEX('WetLitterbags placem_collection'!$A$3:$A$500,MATCH(A703,'WetLitterbags placem_collection'!$O$4:$O$500,0)),"")</f>
        <v/>
      </c>
      <c r="P703" s="110">
        <f>IFERROR(INDEX('WetLitterbags placem_collection'!$A$3:$A$500,MATCH(A703,'WetLitterbags placem_collection'!$M$4:$M$500,0)),"")</f>
        <v>75</v>
      </c>
      <c r="Q703" s="110" t="str">
        <f>IFERROR(INDEX('WetLitterbags placem_collection'!$A$3:$A$500,MATCH(A703,'WetLitterbags placem_collection'!$Q$4:$Q$500,0)),"")</f>
        <v/>
      </c>
    </row>
    <row r="704" spans="1:17" ht="13.95" customHeight="1">
      <c r="A704" s="110" t="s">
        <v>639</v>
      </c>
      <c r="B704" s="110" t="s">
        <v>2077</v>
      </c>
      <c r="C704" s="110">
        <v>1.3823000000000001</v>
      </c>
      <c r="E704" s="112">
        <v>43122</v>
      </c>
      <c r="N704" s="110" t="str">
        <f>IFERROR(INDEX('WetLitterbags placem_collection'!$A$3:$A$500,MATCH(A704,'WetLitterbags placem_collection'!$K$4:$K$500,0)),"")</f>
        <v/>
      </c>
      <c r="O704" s="110" t="str">
        <f>IFERROR(INDEX('WetLitterbags placem_collection'!$A$3:$A$500,MATCH(A704,'WetLitterbags placem_collection'!$O$4:$O$500,0)),"")</f>
        <v/>
      </c>
      <c r="P704" s="110">
        <f>IFERROR(INDEX('WetLitterbags placem_collection'!$A$3:$A$500,MATCH(A704,'WetLitterbags placem_collection'!$M$4:$M$500,0)),"")</f>
        <v>4</v>
      </c>
      <c r="Q704" s="110" t="str">
        <f>IFERROR(INDEX('WetLitterbags placem_collection'!$A$3:$A$500,MATCH(A704,'WetLitterbags placem_collection'!$Q$4:$Q$500,0)),"")</f>
        <v/>
      </c>
    </row>
    <row r="705" spans="1:17" ht="13.95" customHeight="1">
      <c r="A705" s="110" t="s">
        <v>637</v>
      </c>
      <c r="B705" s="110">
        <v>151</v>
      </c>
      <c r="C705" s="110">
        <v>1.798</v>
      </c>
      <c r="E705" s="112">
        <v>42879</v>
      </c>
      <c r="N705" s="110" t="str">
        <f>IFERROR(INDEX('WetLitterbags placem_collection'!$A$3:$A$500,MATCH(A705,'WetLitterbags placem_collection'!$K$4:$K$500,0)),"")</f>
        <v/>
      </c>
      <c r="O705" s="110" t="str">
        <f>IFERROR(INDEX('WetLitterbags placem_collection'!$A$3:$A$500,MATCH(A705,'WetLitterbags placem_collection'!$O$4:$O$500,0)),"")</f>
        <v/>
      </c>
      <c r="P705" s="110" t="str">
        <f>IFERROR(INDEX('WetLitterbags placem_collection'!$A$3:$A$500,MATCH(A705,'WetLitterbags placem_collection'!$M$4:$M$500,0)),"")</f>
        <v/>
      </c>
      <c r="Q705" s="110">
        <f>IFERROR(INDEX('WetLitterbags placem_collection'!$A$3:$A$500,MATCH(A705,'WetLitterbags placem_collection'!$Q$4:$Q$500,0)),"")</f>
        <v>150</v>
      </c>
    </row>
    <row r="706" spans="1:17" ht="13.95" customHeight="1">
      <c r="A706" s="110" t="s">
        <v>636</v>
      </c>
      <c r="B706" s="110">
        <v>111</v>
      </c>
      <c r="C706" s="110">
        <v>1.673</v>
      </c>
      <c r="E706" s="112">
        <v>42879</v>
      </c>
      <c r="N706" s="110" t="str">
        <f>IFERROR(INDEX('WetLitterbags placem_collection'!$A$3:$A$500,MATCH(A706,'WetLitterbags placem_collection'!$K$4:$K$500,0)),"")</f>
        <v/>
      </c>
      <c r="O706" s="110" t="str">
        <f>IFERROR(INDEX('WetLitterbags placem_collection'!$A$3:$A$500,MATCH(A706,'WetLitterbags placem_collection'!$O$4:$O$500,0)),"")</f>
        <v/>
      </c>
      <c r="P706" s="110">
        <f>IFERROR(INDEX('WetLitterbags placem_collection'!$A$3:$A$500,MATCH(A706,'WetLitterbags placem_collection'!$M$4:$M$500,0)),"")</f>
        <v>110</v>
      </c>
      <c r="Q706" s="110" t="str">
        <f>IFERROR(INDEX('WetLitterbags placem_collection'!$A$3:$A$500,MATCH(A706,'WetLitterbags placem_collection'!$Q$4:$Q$500,0)),"")</f>
        <v/>
      </c>
    </row>
    <row r="707" spans="1:17" ht="13.95" customHeight="1">
      <c r="A707" s="182" t="s">
        <v>635</v>
      </c>
      <c r="B707" s="110">
        <v>127</v>
      </c>
      <c r="C707" s="110">
        <v>1.4710000000000001</v>
      </c>
      <c r="E707" s="112">
        <v>42879</v>
      </c>
      <c r="N707" s="110" t="str">
        <f>IFERROR(INDEX('WetLitterbags placem_collection'!$A$3:$A$500,MATCH(A707,'WetLitterbags placem_collection'!$K$4:$K$500,0)),"")</f>
        <v/>
      </c>
      <c r="O707" s="110" t="str">
        <f>IFERROR(INDEX('WetLitterbags placem_collection'!$A$3:$A$500,MATCH(A707,'WetLitterbags placem_collection'!$O$4:$O$500,0)),"")</f>
        <v/>
      </c>
      <c r="P707" s="110">
        <f>IFERROR(INDEX('WetLitterbags placem_collection'!$A$3:$A$500,MATCH(A707,'WetLitterbags placem_collection'!$M$4:$M$500,0)),"")</f>
        <v>126</v>
      </c>
      <c r="Q707" s="110" t="str">
        <f>IFERROR(INDEX('WetLitterbags placem_collection'!$A$3:$A$500,MATCH(A707,'WetLitterbags placem_collection'!$Q$4:$Q$500,0)),"")</f>
        <v/>
      </c>
    </row>
    <row r="708" spans="1:17" ht="13.95" customHeight="1">
      <c r="A708" s="110" t="s">
        <v>634</v>
      </c>
      <c r="B708" s="110" t="s">
        <v>2077</v>
      </c>
      <c r="C708" s="110">
        <v>1.3523000000000001</v>
      </c>
      <c r="E708" s="112">
        <v>43122</v>
      </c>
      <c r="N708" s="110" t="str">
        <f>IFERROR(INDEX('WetLitterbags placem_collection'!$A$3:$A$500,MATCH(A708,'WetLitterbags placem_collection'!$K$4:$K$500,0)),"")</f>
        <v/>
      </c>
      <c r="O708" s="110" t="str">
        <f>IFERROR(INDEX('WetLitterbags placem_collection'!$A$3:$A$500,MATCH(A708,'WetLitterbags placem_collection'!$O$4:$O$500,0)),"")</f>
        <v/>
      </c>
      <c r="P708" s="110">
        <f>IFERROR(INDEX('WetLitterbags placem_collection'!$A$3:$A$500,MATCH(A708,'WetLitterbags placem_collection'!$M$4:$M$500,0)),"")</f>
        <v>29</v>
      </c>
      <c r="Q708" s="110" t="str">
        <f>IFERROR(INDEX('WetLitterbags placem_collection'!$A$3:$A$500,MATCH(A708,'WetLitterbags placem_collection'!$Q$4:$Q$500,0)),"")</f>
        <v/>
      </c>
    </row>
    <row r="709" spans="1:17" ht="13.95" customHeight="1">
      <c r="A709" s="110" t="s">
        <v>633</v>
      </c>
      <c r="B709" s="110" t="s">
        <v>2077</v>
      </c>
      <c r="C709" s="110">
        <v>1.3392999999999999</v>
      </c>
      <c r="D709" s="110" t="s">
        <v>2119</v>
      </c>
      <c r="E709" s="112">
        <v>43116</v>
      </c>
      <c r="N709" s="110" t="str">
        <f>IFERROR(INDEX('WetLitterbags placem_collection'!$A$3:$A$500,MATCH(A709,'WetLitterbags placem_collection'!$K$4:$K$500,0)),"")</f>
        <v/>
      </c>
      <c r="O709" s="110" t="str">
        <f>IFERROR(INDEX('WetLitterbags placem_collection'!$A$3:$A$500,MATCH(A709,'WetLitterbags placem_collection'!$O$4:$O$500,0)),"")</f>
        <v/>
      </c>
      <c r="P709" s="110" t="str">
        <f>IFERROR(INDEX('WetLitterbags placem_collection'!$A$3:$A$500,MATCH(A709,'WetLitterbags placem_collection'!$M$4:$M$500,0)),"")</f>
        <v/>
      </c>
      <c r="Q709" s="110">
        <f>IFERROR(INDEX('WetLitterbags placem_collection'!$A$3:$A$500,MATCH(A709,'WetLitterbags placem_collection'!$Q$4:$Q$500,0)),"")</f>
        <v>3</v>
      </c>
    </row>
    <row r="710" spans="1:17" ht="13.95" customHeight="1">
      <c r="A710" s="110" t="s">
        <v>632</v>
      </c>
      <c r="B710" s="110">
        <v>108</v>
      </c>
      <c r="C710" s="110">
        <v>1.6739999999999999</v>
      </c>
      <c r="E710" s="112">
        <v>42881</v>
      </c>
      <c r="N710" s="110" t="str">
        <f>IFERROR(INDEX('WetLitterbags placem_collection'!$A$3:$A$500,MATCH(A710,'WetLitterbags placem_collection'!$K$4:$K$500,0)),"")</f>
        <v/>
      </c>
      <c r="O710" s="110" t="str">
        <f>IFERROR(INDEX('WetLitterbags placem_collection'!$A$3:$A$500,MATCH(A710,'WetLitterbags placem_collection'!$O$4:$O$500,0)),"")</f>
        <v/>
      </c>
      <c r="P710" s="110" t="str">
        <f>IFERROR(INDEX('WetLitterbags placem_collection'!$A$3:$A$500,MATCH(A710,'WetLitterbags placem_collection'!$M$4:$M$500,0)),"")</f>
        <v/>
      </c>
      <c r="Q710" s="110">
        <f>IFERROR(INDEX('WetLitterbags placem_collection'!$A$3:$A$500,MATCH(A710,'WetLitterbags placem_collection'!$Q$4:$Q$500,0)),"")</f>
        <v>107</v>
      </c>
    </row>
    <row r="711" spans="1:17" ht="13.95" customHeight="1">
      <c r="A711" s="110" t="s">
        <v>1090</v>
      </c>
      <c r="B711" s="110" t="s">
        <v>2077</v>
      </c>
      <c r="C711" s="110">
        <v>1.7762</v>
      </c>
      <c r="E711" s="112">
        <v>43116</v>
      </c>
      <c r="N711" s="110" t="str">
        <f>IFERROR(INDEX('WetLitterbags placem_collection'!$A$3:$A$500,MATCH(A711,'WetLitterbags placem_collection'!$K$4:$K$500,0)),"")</f>
        <v/>
      </c>
      <c r="O711" s="110" t="str">
        <f>IFERROR(INDEX('WetLitterbags placem_collection'!$A$3:$A$500,MATCH(A711,'WetLitterbags placem_collection'!$O$4:$O$500,0)),"")</f>
        <v/>
      </c>
      <c r="P711" s="110">
        <f>IFERROR(INDEX('WetLitterbags placem_collection'!$A$3:$A$500,MATCH(A711,'WetLitterbags placem_collection'!$M$4:$M$500,0)),"")</f>
        <v>184</v>
      </c>
      <c r="Q711" s="110" t="str">
        <f>IFERROR(INDEX('WetLitterbags placem_collection'!$A$3:$A$500,MATCH(A711,'WetLitterbags placem_collection'!$Q$4:$Q$500,0)),"")</f>
        <v/>
      </c>
    </row>
    <row r="712" spans="1:17" ht="13.95" customHeight="1">
      <c r="A712" s="110" t="s">
        <v>631</v>
      </c>
      <c r="B712" s="110">
        <v>107</v>
      </c>
      <c r="C712" s="110">
        <v>1.5944</v>
      </c>
      <c r="D712" s="110" t="s">
        <v>2088</v>
      </c>
      <c r="E712" s="112">
        <v>43125</v>
      </c>
      <c r="N712" s="110" t="str">
        <f>IFERROR(INDEX('WetLitterbags placem_collection'!$A$3:$A$500,MATCH(A712,'WetLitterbags placem_collection'!$K$4:$K$500,0)),"")</f>
        <v/>
      </c>
      <c r="O712" s="110" t="str">
        <f>IFERROR(INDEX('WetLitterbags placem_collection'!$A$3:$A$500,MATCH(A712,'WetLitterbags placem_collection'!$O$4:$O$500,0)),"")</f>
        <v/>
      </c>
      <c r="P712" s="110" t="str">
        <f>IFERROR(INDEX('WetLitterbags placem_collection'!$A$3:$A$500,MATCH(A712,'WetLitterbags placem_collection'!$M$4:$M$500,0)),"")</f>
        <v/>
      </c>
      <c r="Q712" s="110">
        <f>IFERROR(INDEX('WetLitterbags placem_collection'!$A$3:$A$500,MATCH(A712,'WetLitterbags placem_collection'!$Q$4:$Q$500,0)),"")</f>
        <v>106</v>
      </c>
    </row>
    <row r="713" spans="1:17" ht="13.95" customHeight="1">
      <c r="A713" s="110" t="s">
        <v>630</v>
      </c>
      <c r="B713" s="110">
        <v>117</v>
      </c>
      <c r="C713" s="110">
        <v>0.39700000000000002</v>
      </c>
      <c r="D713" s="110" t="s">
        <v>2084</v>
      </c>
      <c r="E713" s="112">
        <v>42878</v>
      </c>
      <c r="N713" s="110" t="str">
        <f>IFERROR(INDEX('WetLitterbags placem_collection'!$A$3:$A$500,MATCH(A713,'WetLitterbags placem_collection'!$K$4:$K$500,0)),"")</f>
        <v/>
      </c>
      <c r="O713" s="110" t="str">
        <f>IFERROR(INDEX('WetLitterbags placem_collection'!$A$3:$A$500,MATCH(A713,'WetLitterbags placem_collection'!$O$4:$O$500,0)),"")</f>
        <v/>
      </c>
      <c r="P713" s="110">
        <f>IFERROR(INDEX('WetLitterbags placem_collection'!$A$3:$A$500,MATCH(A713,'WetLitterbags placem_collection'!$M$4:$M$500,0)),"")</f>
        <v>116</v>
      </c>
      <c r="Q713" s="110" t="str">
        <f>IFERROR(INDEX('WetLitterbags placem_collection'!$A$3:$A$500,MATCH(A713,'WetLitterbags placem_collection'!$Q$4:$Q$500,0)),"")</f>
        <v/>
      </c>
    </row>
    <row r="714" spans="1:17" ht="13.95" customHeight="1">
      <c r="A714" s="110" t="s">
        <v>629</v>
      </c>
      <c r="B714" s="110" t="s">
        <v>2077</v>
      </c>
      <c r="C714" s="110">
        <v>1.4733000000000001</v>
      </c>
      <c r="E714" s="112">
        <v>43123</v>
      </c>
      <c r="N714" s="110" t="str">
        <f>IFERROR(INDEX('WetLitterbags placem_collection'!$A$3:$A$500,MATCH(A714,'WetLitterbags placem_collection'!$K$4:$K$500,0)),"")</f>
        <v/>
      </c>
      <c r="O714" s="110" t="str">
        <f>IFERROR(INDEX('WetLitterbags placem_collection'!$A$3:$A$500,MATCH(A714,'WetLitterbags placem_collection'!$O$4:$O$500,0)),"")</f>
        <v/>
      </c>
      <c r="P714" s="110" t="str">
        <f>IFERROR(INDEX('WetLitterbags placem_collection'!$A$3:$A$500,MATCH(A714,'WetLitterbags placem_collection'!$M$4:$M$500,0)),"")</f>
        <v/>
      </c>
      <c r="Q714" s="110">
        <f>IFERROR(INDEX('WetLitterbags placem_collection'!$A$3:$A$500,MATCH(A714,'WetLitterbags placem_collection'!$Q$4:$Q$500,0)),"")</f>
        <v>7</v>
      </c>
    </row>
    <row r="715" spans="1:17" ht="13.95" customHeight="1">
      <c r="A715" s="110" t="s">
        <v>628</v>
      </c>
      <c r="B715" s="110">
        <v>52</v>
      </c>
      <c r="C715" s="110">
        <v>1.6279999999999999</v>
      </c>
      <c r="E715" s="112">
        <v>42878</v>
      </c>
      <c r="N715" s="110" t="str">
        <f>IFERROR(INDEX('WetLitterbags placem_collection'!$A$3:$A$500,MATCH(A715,'WetLitterbags placem_collection'!$K$4:$K$500,0)),"")</f>
        <v/>
      </c>
      <c r="O715" s="110" t="str">
        <f>IFERROR(INDEX('WetLitterbags placem_collection'!$A$3:$A$500,MATCH(A715,'WetLitterbags placem_collection'!$O$4:$O$500,0)),"")</f>
        <v/>
      </c>
      <c r="P715" s="110">
        <f>IFERROR(INDEX('WetLitterbags placem_collection'!$A$3:$A$500,MATCH(A715,'WetLitterbags placem_collection'!$M$4:$M$500,0)),"")</f>
        <v>51</v>
      </c>
      <c r="Q715" s="110" t="str">
        <f>IFERROR(INDEX('WetLitterbags placem_collection'!$A$3:$A$500,MATCH(A715,'WetLitterbags placem_collection'!$Q$4:$Q$500,0)),"")</f>
        <v/>
      </c>
    </row>
    <row r="716" spans="1:17" ht="13.95" customHeight="1">
      <c r="A716" s="110" t="s">
        <v>626</v>
      </c>
      <c r="B716" s="110" t="s">
        <v>2077</v>
      </c>
      <c r="C716" s="110">
        <v>1.3853</v>
      </c>
      <c r="E716" s="112">
        <v>43119</v>
      </c>
      <c r="N716" s="110" t="str">
        <f>IFERROR(INDEX('WetLitterbags placem_collection'!$A$3:$A$500,MATCH(A716,'WetLitterbags placem_collection'!$K$4:$K$500,0)),"")</f>
        <v/>
      </c>
      <c r="O716" s="110" t="str">
        <f>IFERROR(INDEX('WetLitterbags placem_collection'!$A$3:$A$500,MATCH(A716,'WetLitterbags placem_collection'!$O$4:$O$500,0)),"")</f>
        <v/>
      </c>
      <c r="P716" s="110" t="str">
        <f>IFERROR(INDEX('WetLitterbags placem_collection'!$A$3:$A$500,MATCH(A716,'WetLitterbags placem_collection'!$M$4:$M$500,0)),"")</f>
        <v/>
      </c>
      <c r="Q716" s="110">
        <f>IFERROR(INDEX('WetLitterbags placem_collection'!$A$3:$A$500,MATCH(A716,'WetLitterbags placem_collection'!$Q$4:$Q$500,0)),"")</f>
        <v>9</v>
      </c>
    </row>
    <row r="717" spans="1:17" ht="13.95" customHeight="1">
      <c r="A717" s="110" t="s">
        <v>625</v>
      </c>
      <c r="B717" s="110" t="s">
        <v>2083</v>
      </c>
      <c r="C717" s="110">
        <v>1.5403</v>
      </c>
      <c r="D717" s="110" t="s">
        <v>2093</v>
      </c>
      <c r="E717" s="112">
        <v>43125</v>
      </c>
      <c r="N717" s="110" t="str">
        <f>IFERROR(INDEX('WetLitterbags placem_collection'!$A$3:$A$500,MATCH(A717,'WetLitterbags placem_collection'!$K$4:$K$500,0)),"")</f>
        <v/>
      </c>
      <c r="O717" s="110" t="str">
        <f>IFERROR(INDEX('WetLitterbags placem_collection'!$A$3:$A$500,MATCH(A717,'WetLitterbags placem_collection'!$O$4:$O$500,0)),"")</f>
        <v/>
      </c>
      <c r="P717" s="110" t="str">
        <f>IFERROR(INDEX('WetLitterbags placem_collection'!$A$3:$A$500,MATCH(A717,'WetLitterbags placem_collection'!$M$4:$M$500,0)),"")</f>
        <v/>
      </c>
      <c r="Q717" s="110" t="str">
        <f>IFERROR(INDEX('WetLitterbags placem_collection'!$A$3:$A$500,MATCH(A717,'WetLitterbags placem_collection'!$Q$4:$Q$500,0)),"")</f>
        <v/>
      </c>
    </row>
    <row r="718" spans="1:17" ht="13.95" customHeight="1">
      <c r="A718" s="110" t="s">
        <v>624</v>
      </c>
      <c r="B718" s="110">
        <v>90</v>
      </c>
      <c r="C718" s="110">
        <v>2.2749000000000001</v>
      </c>
      <c r="D718" s="167" t="s">
        <v>2469</v>
      </c>
      <c r="E718" s="112">
        <v>43125</v>
      </c>
      <c r="N718" s="110" t="str">
        <f>IFERROR(INDEX('WetLitterbags placem_collection'!$A$3:$A$500,MATCH(A718,'WetLitterbags placem_collection'!$K$4:$K$500,0)),"")</f>
        <v/>
      </c>
      <c r="O718" s="110" t="str">
        <f>IFERROR(INDEX('WetLitterbags placem_collection'!$A$3:$A$500,MATCH(A718,'WetLitterbags placem_collection'!$O$4:$O$500,0)),"")</f>
        <v/>
      </c>
      <c r="P718" s="110" t="str">
        <f>IFERROR(INDEX('WetLitterbags placem_collection'!$A$3:$A$500,MATCH(A718,'WetLitterbags placem_collection'!$M$4:$M$500,0)),"")</f>
        <v/>
      </c>
      <c r="Q718" s="110">
        <f>IFERROR(INDEX('WetLitterbags placem_collection'!$A$3:$A$500,MATCH(A718,'WetLitterbags placem_collection'!$Q$4:$Q$500,0)),"")</f>
        <v>89</v>
      </c>
    </row>
    <row r="719" spans="1:17" ht="13.95" customHeight="1">
      <c r="A719" s="110" t="s">
        <v>623</v>
      </c>
      <c r="B719" s="110" t="s">
        <v>2077</v>
      </c>
      <c r="D719" s="110" t="s">
        <v>2146</v>
      </c>
      <c r="E719" s="112">
        <v>43116</v>
      </c>
      <c r="N719" s="110" t="str">
        <f>IFERROR(INDEX('WetLitterbags placem_collection'!$A$3:$A$500,MATCH(A719,'WetLitterbags placem_collection'!$K$4:$K$500,0)),"")</f>
        <v/>
      </c>
      <c r="O719" s="110" t="str">
        <f>IFERROR(INDEX('WetLitterbags placem_collection'!$A$3:$A$500,MATCH(A719,'WetLitterbags placem_collection'!$O$4:$O$500,0)),"")</f>
        <v/>
      </c>
      <c r="P719" s="110">
        <f>IFERROR(INDEX('WetLitterbags placem_collection'!$A$3:$A$500,MATCH(A719,'WetLitterbags placem_collection'!$M$4:$M$500,0)),"")</f>
        <v>96</v>
      </c>
      <c r="Q719" s="110" t="str">
        <f>IFERROR(INDEX('WetLitterbags placem_collection'!$A$3:$A$500,MATCH(A719,'WetLitterbags placem_collection'!$Q$4:$Q$500,0)),"")</f>
        <v/>
      </c>
    </row>
    <row r="720" spans="1:17" ht="13.95" customHeight="1">
      <c r="A720" s="110" t="s">
        <v>622</v>
      </c>
      <c r="B720" s="110" t="s">
        <v>2077</v>
      </c>
      <c r="C720" s="110">
        <v>1.4281999999999999</v>
      </c>
      <c r="E720" s="112">
        <v>43122</v>
      </c>
      <c r="N720" s="110" t="str">
        <f>IFERROR(INDEX('WetLitterbags placem_collection'!$A$3:$A$500,MATCH(A720,'WetLitterbags placem_collection'!$K$4:$K$500,0)),"")</f>
        <v/>
      </c>
      <c r="O720" s="110" t="str">
        <f>IFERROR(INDEX('WetLitterbags placem_collection'!$A$3:$A$500,MATCH(A720,'WetLitterbags placem_collection'!$O$4:$O$500,0)),"")</f>
        <v/>
      </c>
      <c r="P720" s="110">
        <f>IFERROR(INDEX('WetLitterbags placem_collection'!$A$3:$A$500,MATCH(A720,'WetLitterbags placem_collection'!$M$4:$M$500,0)),"")</f>
        <v>15</v>
      </c>
      <c r="Q720" s="110" t="str">
        <f>IFERROR(INDEX('WetLitterbags placem_collection'!$A$3:$A$500,MATCH(A720,'WetLitterbags placem_collection'!$Q$4:$Q$500,0)),"")</f>
        <v/>
      </c>
    </row>
    <row r="721" spans="1:17" ht="13.95" customHeight="1">
      <c r="A721" s="110" t="s">
        <v>621</v>
      </c>
      <c r="B721" s="110">
        <v>129</v>
      </c>
      <c r="C721" s="110">
        <v>1.5878000000000001</v>
      </c>
      <c r="E721" s="112">
        <v>43125</v>
      </c>
      <c r="N721" s="110" t="str">
        <f>IFERROR(INDEX('WetLitterbags placem_collection'!$A$3:$A$500,MATCH(A721,'WetLitterbags placem_collection'!$K$4:$K$500,0)),"")</f>
        <v/>
      </c>
      <c r="O721" s="110" t="str">
        <f>IFERROR(INDEX('WetLitterbags placem_collection'!$A$3:$A$500,MATCH(A721,'WetLitterbags placem_collection'!$O$4:$O$500,0)),"")</f>
        <v/>
      </c>
      <c r="P721" s="110" t="str">
        <f>IFERROR(INDEX('WetLitterbags placem_collection'!$A$3:$A$500,MATCH(A721,'WetLitterbags placem_collection'!$M$4:$M$500,0)),"")</f>
        <v/>
      </c>
      <c r="Q721" s="110">
        <f>IFERROR(INDEX('WetLitterbags placem_collection'!$A$3:$A$500,MATCH(A721,'WetLitterbags placem_collection'!$Q$4:$Q$500,0)),"")</f>
        <v>128</v>
      </c>
    </row>
    <row r="722" spans="1:17" ht="13.95" customHeight="1">
      <c r="A722" s="110" t="s">
        <v>620</v>
      </c>
      <c r="B722" s="110">
        <v>41</v>
      </c>
      <c r="C722" s="110">
        <v>1.512</v>
      </c>
      <c r="D722" s="110" t="s">
        <v>2070</v>
      </c>
      <c r="E722" s="112">
        <v>42879</v>
      </c>
      <c r="N722" s="110" t="str">
        <f>IFERROR(INDEX('WetLitterbags placem_collection'!$A$3:$A$500,MATCH(A722,'WetLitterbags placem_collection'!$K$4:$K$500,0)),"")</f>
        <v/>
      </c>
      <c r="O722" s="110" t="str">
        <f>IFERROR(INDEX('WetLitterbags placem_collection'!$A$3:$A$500,MATCH(A722,'WetLitterbags placem_collection'!$O$4:$O$500,0)),"")</f>
        <v/>
      </c>
      <c r="P722" s="110">
        <f>IFERROR(INDEX('WetLitterbags placem_collection'!$A$3:$A$500,MATCH(A722,'WetLitterbags placem_collection'!$M$4:$M$500,0)),"")</f>
        <v>40</v>
      </c>
      <c r="Q722" s="110" t="str">
        <f>IFERROR(INDEX('WetLitterbags placem_collection'!$A$3:$A$500,MATCH(A722,'WetLitterbags placem_collection'!$Q$4:$Q$500,0)),"")</f>
        <v/>
      </c>
    </row>
    <row r="723" spans="1:17" ht="13.95" customHeight="1">
      <c r="A723" s="110" t="s">
        <v>619</v>
      </c>
      <c r="B723" s="110">
        <v>115</v>
      </c>
      <c r="C723" s="110">
        <v>1.401</v>
      </c>
      <c r="E723" s="112">
        <v>43125</v>
      </c>
      <c r="N723" s="110" t="str">
        <f>IFERROR(INDEX('WetLitterbags placem_collection'!$A$3:$A$500,MATCH(A723,'WetLitterbags placem_collection'!$K$4:$K$500,0)),"")</f>
        <v/>
      </c>
      <c r="O723" s="110" t="str">
        <f>IFERROR(INDEX('WetLitterbags placem_collection'!$A$3:$A$500,MATCH(A723,'WetLitterbags placem_collection'!$O$4:$O$500,0)),"")</f>
        <v/>
      </c>
      <c r="P723" s="110" t="str">
        <f>IFERROR(INDEX('WetLitterbags placem_collection'!$A$3:$A$500,MATCH(A723,'WetLitterbags placem_collection'!$M$4:$M$500,0)),"")</f>
        <v/>
      </c>
      <c r="Q723" s="110">
        <f>IFERROR(INDEX('WetLitterbags placem_collection'!$A$3:$A$500,MATCH(A723,'WetLitterbags placem_collection'!$Q$4:$Q$500,0)),"")</f>
        <v>114</v>
      </c>
    </row>
    <row r="724" spans="1:17" ht="13.95" customHeight="1">
      <c r="A724" s="110" t="s">
        <v>618</v>
      </c>
      <c r="B724" s="110" t="s">
        <v>2077</v>
      </c>
      <c r="C724" s="110">
        <v>1.54</v>
      </c>
      <c r="D724" s="110" t="s">
        <v>2120</v>
      </c>
      <c r="E724" s="112">
        <v>43122</v>
      </c>
      <c r="N724" s="110" t="str">
        <f>IFERROR(INDEX('WetLitterbags placem_collection'!$A$3:$A$500,MATCH(A724,'WetLitterbags placem_collection'!$K$4:$K$500,0)),"")</f>
        <v/>
      </c>
      <c r="O724" s="110" t="str">
        <f>IFERROR(INDEX('WetLitterbags placem_collection'!$A$3:$A$500,MATCH(A724,'WetLitterbags placem_collection'!$O$4:$O$500,0)),"")</f>
        <v/>
      </c>
      <c r="P724" s="110">
        <f>IFERROR(INDEX('WetLitterbags placem_collection'!$A$3:$A$500,MATCH(A724,'WetLitterbags placem_collection'!$M$4:$M$500,0)),"")</f>
        <v>187</v>
      </c>
      <c r="Q724" s="110" t="str">
        <f>IFERROR(INDEX('WetLitterbags placem_collection'!$A$3:$A$500,MATCH(A724,'WetLitterbags placem_collection'!$Q$4:$Q$500,0)),"")</f>
        <v/>
      </c>
    </row>
    <row r="725" spans="1:17" ht="13.95" customHeight="1">
      <c r="A725" s="110" t="s">
        <v>617</v>
      </c>
      <c r="B725" s="110" t="s">
        <v>2077</v>
      </c>
      <c r="C725" s="110">
        <v>1.5687</v>
      </c>
      <c r="E725" s="112">
        <v>43123</v>
      </c>
      <c r="N725" s="110" t="str">
        <f>IFERROR(INDEX('WetLitterbags placem_collection'!$A$3:$A$500,MATCH(A725,'WetLitterbags placem_collection'!$K$4:$K$500,0)),"")</f>
        <v/>
      </c>
      <c r="O725" s="110" t="str">
        <f>IFERROR(INDEX('WetLitterbags placem_collection'!$A$3:$A$500,MATCH(A725,'WetLitterbags placem_collection'!$O$4:$O$500,0)),"")</f>
        <v/>
      </c>
      <c r="P725" s="110">
        <f>IFERROR(INDEX('WetLitterbags placem_collection'!$A$3:$A$500,MATCH(A725,'WetLitterbags placem_collection'!$M$4:$M$500,0)),"")</f>
        <v>132</v>
      </c>
      <c r="Q725" s="110" t="str">
        <f>IFERROR(INDEX('WetLitterbags placem_collection'!$A$3:$A$500,MATCH(A725,'WetLitterbags placem_collection'!$Q$4:$Q$500,0)),"")</f>
        <v/>
      </c>
    </row>
    <row r="726" spans="1:17" ht="13.95" customHeight="1">
      <c r="A726" s="110" t="s">
        <v>616</v>
      </c>
      <c r="B726" s="110">
        <v>65</v>
      </c>
      <c r="C726" s="110">
        <v>1.704</v>
      </c>
      <c r="E726" s="112">
        <v>42879</v>
      </c>
      <c r="N726" s="110" t="str">
        <f>IFERROR(INDEX('WetLitterbags placem_collection'!$A$3:$A$500,MATCH(A726,'WetLitterbags placem_collection'!$K$4:$K$500,0)),"")</f>
        <v/>
      </c>
      <c r="O726" s="110" t="str">
        <f>IFERROR(INDEX('WetLitterbags placem_collection'!$A$3:$A$500,MATCH(A726,'WetLitterbags placem_collection'!$O$4:$O$500,0)),"")</f>
        <v/>
      </c>
      <c r="P726" s="110">
        <f>IFERROR(INDEX('WetLitterbags placem_collection'!$A$3:$A$500,MATCH(A726,'WetLitterbags placem_collection'!$M$4:$M$500,0)),"")</f>
        <v>64</v>
      </c>
      <c r="Q726" s="110" t="str">
        <f>IFERROR(INDEX('WetLitterbags placem_collection'!$A$3:$A$500,MATCH(A726,'WetLitterbags placem_collection'!$Q$4:$Q$500,0)),"")</f>
        <v/>
      </c>
    </row>
    <row r="727" spans="1:17" ht="13.95" customHeight="1">
      <c r="A727" s="110" t="s">
        <v>615</v>
      </c>
      <c r="B727" s="110">
        <v>119</v>
      </c>
      <c r="C727" s="110">
        <v>1.3</v>
      </c>
      <c r="D727"/>
      <c r="E727" s="112">
        <v>42881</v>
      </c>
      <c r="N727" s="110" t="str">
        <f>IFERROR(INDEX('WetLitterbags placem_collection'!$A$3:$A$500,MATCH(A727,'WetLitterbags placem_collection'!$K$4:$K$500,0)),"")</f>
        <v/>
      </c>
      <c r="O727" s="110" t="str">
        <f>IFERROR(INDEX('WetLitterbags placem_collection'!$A$3:$A$500,MATCH(A727,'WetLitterbags placem_collection'!$O$4:$O$500,0)),"")</f>
        <v/>
      </c>
      <c r="P727" s="110" t="str">
        <f>IFERROR(INDEX('WetLitterbags placem_collection'!$A$3:$A$500,MATCH(A727,'WetLitterbags placem_collection'!$M$4:$M$500,0)),"")</f>
        <v/>
      </c>
      <c r="Q727" s="110">
        <f>IFERROR(INDEX('WetLitterbags placem_collection'!$A$3:$A$500,MATCH(A727,'WetLitterbags placem_collection'!$Q$4:$Q$500,0)),"")</f>
        <v>118</v>
      </c>
    </row>
    <row r="728" spans="1:17" ht="13.95" customHeight="1">
      <c r="A728" s="110" t="s">
        <v>614</v>
      </c>
      <c r="B728" s="110" t="s">
        <v>2077</v>
      </c>
      <c r="C728" s="110">
        <v>1.3275999999999999</v>
      </c>
      <c r="E728" s="112">
        <v>43122</v>
      </c>
      <c r="N728" s="110" t="str">
        <f>IFERROR(INDEX('WetLitterbags placem_collection'!$A$3:$A$500,MATCH(A728,'WetLitterbags placem_collection'!$K$4:$K$500,0)),"")</f>
        <v/>
      </c>
      <c r="O728" s="110" t="str">
        <f>IFERROR(INDEX('WetLitterbags placem_collection'!$A$3:$A$500,MATCH(A728,'WetLitterbags placem_collection'!$O$4:$O$500,0)),"")</f>
        <v/>
      </c>
      <c r="P728" s="110" t="str">
        <f>IFERROR(INDEX('WetLitterbags placem_collection'!$A$3:$A$500,MATCH(A728,'WetLitterbags placem_collection'!$M$4:$M$500,0)),"")</f>
        <v/>
      </c>
      <c r="Q728" s="110">
        <f>IFERROR(INDEX('WetLitterbags placem_collection'!$A$3:$A$500,MATCH(A728,'WetLitterbags placem_collection'!$Q$4:$Q$500,0)),"")</f>
        <v>1</v>
      </c>
    </row>
    <row r="729" spans="1:17" ht="13.95" customHeight="1">
      <c r="A729" s="110" t="s">
        <v>613</v>
      </c>
      <c r="B729" s="110" t="s">
        <v>2077</v>
      </c>
      <c r="C729" s="110">
        <v>1.5779000000000001</v>
      </c>
      <c r="E729" s="112">
        <v>43122</v>
      </c>
      <c r="N729" s="110" t="str">
        <f>IFERROR(INDEX('WetLitterbags placem_collection'!$A$3:$A$500,MATCH(A729,'WetLitterbags placem_collection'!$K$4:$K$500,0)),"")</f>
        <v/>
      </c>
      <c r="O729" s="110" t="str">
        <f>IFERROR(INDEX('WetLitterbags placem_collection'!$A$3:$A$500,MATCH(A729,'WetLitterbags placem_collection'!$O$4:$O$500,0)),"")</f>
        <v/>
      </c>
      <c r="P729" s="110" t="str">
        <f>IFERROR(INDEX('WetLitterbags placem_collection'!$A$3:$A$500,MATCH(A729,'WetLitterbags placem_collection'!$M$4:$M$500,0)),"")</f>
        <v/>
      </c>
      <c r="Q729" s="110">
        <f>IFERROR(INDEX('WetLitterbags placem_collection'!$A$3:$A$500,MATCH(A729,'WetLitterbags placem_collection'!$Q$4:$Q$500,0)),"")</f>
        <v>70</v>
      </c>
    </row>
    <row r="730" spans="1:17" ht="13.95" customHeight="1">
      <c r="A730" s="110" t="s">
        <v>612</v>
      </c>
      <c r="B730" s="110">
        <v>21</v>
      </c>
      <c r="C730" s="110">
        <v>1.4387000000000001</v>
      </c>
      <c r="E730" s="112">
        <v>43122</v>
      </c>
      <c r="N730" s="110" t="str">
        <f>IFERROR(INDEX('WetLitterbags placem_collection'!$A$3:$A$500,MATCH(A730,'WetLitterbags placem_collection'!$K$4:$K$500,0)),"")</f>
        <v/>
      </c>
      <c r="O730" s="110" t="str">
        <f>IFERROR(INDEX('WetLitterbags placem_collection'!$A$3:$A$500,MATCH(A730,'WetLitterbags placem_collection'!$O$4:$O$500,0)),"")</f>
        <v/>
      </c>
      <c r="P730" s="110">
        <f>IFERROR(INDEX('WetLitterbags placem_collection'!$A$3:$A$500,MATCH(A730,'WetLitterbags placem_collection'!$M$4:$M$500,0)),"")</f>
        <v>20</v>
      </c>
      <c r="Q730" s="110" t="str">
        <f>IFERROR(INDEX('WetLitterbags placem_collection'!$A$3:$A$500,MATCH(A730,'WetLitterbags placem_collection'!$Q$4:$Q$500,0)),"")</f>
        <v/>
      </c>
    </row>
    <row r="731" spans="1:17" ht="13.95" customHeight="1">
      <c r="A731" s="110" t="s">
        <v>611</v>
      </c>
      <c r="B731" s="110">
        <v>112</v>
      </c>
      <c r="C731" s="110">
        <v>1.627</v>
      </c>
      <c r="E731" s="112">
        <v>42878</v>
      </c>
      <c r="N731" s="110" t="str">
        <f>IFERROR(INDEX('WetLitterbags placem_collection'!$A$3:$A$500,MATCH(A731,'WetLitterbags placem_collection'!$K$4:$K$500,0)),"")</f>
        <v/>
      </c>
      <c r="O731" s="110" t="str">
        <f>IFERROR(INDEX('WetLitterbags placem_collection'!$A$3:$A$500,MATCH(A731,'WetLitterbags placem_collection'!$O$4:$O$500,0)),"")</f>
        <v/>
      </c>
      <c r="P731" s="110" t="str">
        <f>IFERROR(INDEX('WetLitterbags placem_collection'!$A$3:$A$500,MATCH(A731,'WetLitterbags placem_collection'!$M$4:$M$500,0)),"")</f>
        <v/>
      </c>
      <c r="Q731" s="110">
        <f>IFERROR(INDEX('WetLitterbags placem_collection'!$A$3:$A$500,MATCH(A731,'WetLitterbags placem_collection'!$Q$4:$Q$500,0)),"")</f>
        <v>111</v>
      </c>
    </row>
    <row r="732" spans="1:17" ht="13.95" customHeight="1">
      <c r="A732" s="110" t="s">
        <v>610</v>
      </c>
      <c r="B732" s="110">
        <v>7</v>
      </c>
      <c r="C732" s="110">
        <v>1.4430000000000001</v>
      </c>
      <c r="E732" s="112">
        <v>42879</v>
      </c>
      <c r="N732" s="110" t="str">
        <f>IFERROR(INDEX('WetLitterbags placem_collection'!$A$3:$A$500,MATCH(A732,'WetLitterbags placem_collection'!$K$4:$K$500,0)),"")</f>
        <v/>
      </c>
      <c r="O732" s="110" t="str">
        <f>IFERROR(INDEX('WetLitterbags placem_collection'!$A$3:$A$500,MATCH(A732,'WetLitterbags placem_collection'!$O$4:$O$500,0)),"")</f>
        <v/>
      </c>
      <c r="P732" s="110">
        <f>IFERROR(INDEX('WetLitterbags placem_collection'!$A$3:$A$500,MATCH(A732,'WetLitterbags placem_collection'!$M$4:$M$500,0)),"")</f>
        <v>6</v>
      </c>
      <c r="Q732" s="110" t="str">
        <f>IFERROR(INDEX('WetLitterbags placem_collection'!$A$3:$A$500,MATCH(A732,'WetLitterbags placem_collection'!$Q$4:$Q$500,0)),"")</f>
        <v/>
      </c>
    </row>
    <row r="733" spans="1:17" ht="13.95" customHeight="1">
      <c r="A733" s="110" t="s">
        <v>609</v>
      </c>
      <c r="B733" s="110">
        <v>121</v>
      </c>
      <c r="C733" s="110">
        <v>1.7050000000000001</v>
      </c>
      <c r="E733" s="112">
        <v>42879</v>
      </c>
      <c r="N733" s="110" t="str">
        <f>IFERROR(INDEX('WetLitterbags placem_collection'!$A$3:$A$500,MATCH(A733,'WetLitterbags placem_collection'!$K$4:$K$500,0)),"")</f>
        <v/>
      </c>
      <c r="O733" s="110" t="str">
        <f>IFERROR(INDEX('WetLitterbags placem_collection'!$A$3:$A$500,MATCH(A733,'WetLitterbags placem_collection'!$O$4:$O$500,0)),"")</f>
        <v/>
      </c>
      <c r="P733" s="110">
        <f>IFERROR(INDEX('WetLitterbags placem_collection'!$A$3:$A$500,MATCH(A733,'WetLitterbags placem_collection'!$M$4:$M$500,0)),"")</f>
        <v>120</v>
      </c>
      <c r="Q733" s="110" t="str">
        <f>IFERROR(INDEX('WetLitterbags placem_collection'!$A$3:$A$500,MATCH(A733,'WetLitterbags placem_collection'!$Q$4:$Q$500,0)),"")</f>
        <v/>
      </c>
    </row>
    <row r="734" spans="1:17" ht="13.95" customHeight="1">
      <c r="A734" s="110" t="s">
        <v>608</v>
      </c>
      <c r="B734" s="110" t="s">
        <v>2077</v>
      </c>
      <c r="C734" s="110">
        <v>1.7899</v>
      </c>
      <c r="D734" s="110" t="s">
        <v>2115</v>
      </c>
      <c r="E734" s="112">
        <v>43116</v>
      </c>
      <c r="N734" s="110" t="str">
        <f>IFERROR(INDEX('WetLitterbags placem_collection'!$A$3:$A$500,MATCH(A734,'WetLitterbags placem_collection'!$K$4:$K$500,0)),"")</f>
        <v/>
      </c>
      <c r="O734" s="110" t="str">
        <f>IFERROR(INDEX('WetLitterbags placem_collection'!$A$3:$A$500,MATCH(A734,'WetLitterbags placem_collection'!$O$4:$O$500,0)),"")</f>
        <v/>
      </c>
      <c r="P734" s="110" t="str">
        <f>IFERROR(INDEX('WetLitterbags placem_collection'!$A$3:$A$500,MATCH(A734,'WetLitterbags placem_collection'!$M$4:$M$500,0)),"")</f>
        <v/>
      </c>
      <c r="Q734" s="110">
        <f>IFERROR(INDEX('WetLitterbags placem_collection'!$A$3:$A$500,MATCH(A734,'WetLitterbags placem_collection'!$Q$4:$Q$500,0)),"")</f>
        <v>148</v>
      </c>
    </row>
    <row r="735" spans="1:17" ht="13.95" customHeight="1">
      <c r="A735" s="110" t="s">
        <v>607</v>
      </c>
      <c r="B735" s="110">
        <v>168</v>
      </c>
      <c r="C735" s="110">
        <v>1.722</v>
      </c>
      <c r="E735" s="112">
        <v>42881</v>
      </c>
      <c r="N735" s="110" t="str">
        <f>IFERROR(INDEX('WetLitterbags placem_collection'!$A$3:$A$500,MATCH(A735,'WetLitterbags placem_collection'!$K$4:$K$500,0)),"")</f>
        <v/>
      </c>
      <c r="O735" s="110" t="str">
        <f>IFERROR(INDEX('WetLitterbags placem_collection'!$A$3:$A$500,MATCH(A735,'WetLitterbags placem_collection'!$O$4:$O$500,0)),"")</f>
        <v/>
      </c>
      <c r="P735" s="110">
        <f>IFERROR(INDEX('WetLitterbags placem_collection'!$A$3:$A$500,MATCH(A735,'WetLitterbags placem_collection'!$M$4:$M$500,0)),"")</f>
        <v>167</v>
      </c>
      <c r="Q735" s="110" t="str">
        <f>IFERROR(INDEX('WetLitterbags placem_collection'!$A$3:$A$500,MATCH(A735,'WetLitterbags placem_collection'!$Q$4:$Q$500,0)),"")</f>
        <v/>
      </c>
    </row>
    <row r="736" spans="1:17" ht="13.95" customHeight="1">
      <c r="A736" s="110" t="s">
        <v>606</v>
      </c>
      <c r="B736" s="110">
        <v>140</v>
      </c>
      <c r="C736" s="110">
        <v>1.5517000000000001</v>
      </c>
      <c r="E736" s="112">
        <v>43125</v>
      </c>
      <c r="N736" s="110" t="str">
        <f>IFERROR(INDEX('WetLitterbags placem_collection'!$A$3:$A$500,MATCH(A736,'WetLitterbags placem_collection'!$K$4:$K$500,0)),"")</f>
        <v/>
      </c>
      <c r="O736" s="110" t="str">
        <f>IFERROR(INDEX('WetLitterbags placem_collection'!$A$3:$A$500,MATCH(A736,'WetLitterbags placem_collection'!$O$4:$O$500,0)),"")</f>
        <v/>
      </c>
      <c r="P736" s="110">
        <f>IFERROR(INDEX('WetLitterbags placem_collection'!$A$3:$A$500,MATCH(A736,'WetLitterbags placem_collection'!$M$4:$M$500,0)),"")</f>
        <v>139</v>
      </c>
      <c r="Q736" s="110" t="str">
        <f>IFERROR(INDEX('WetLitterbags placem_collection'!$A$3:$A$500,MATCH(A736,'WetLitterbags placem_collection'!$Q$4:$Q$500,0)),"")</f>
        <v/>
      </c>
    </row>
    <row r="737" spans="1:17" ht="13.95" customHeight="1">
      <c r="A737" s="110" t="s">
        <v>605</v>
      </c>
      <c r="B737" s="110">
        <v>132</v>
      </c>
      <c r="C737" s="110">
        <v>1.593</v>
      </c>
      <c r="D737" s="110" t="s">
        <v>2107</v>
      </c>
      <c r="E737" s="112">
        <v>43125</v>
      </c>
      <c r="N737" s="110" t="str">
        <f>IFERROR(INDEX('WetLitterbags placem_collection'!$A$3:$A$500,MATCH(A737,'WetLitterbags placem_collection'!$K$4:$K$500,0)),"")</f>
        <v/>
      </c>
      <c r="O737" s="110" t="str">
        <f>IFERROR(INDEX('WetLitterbags placem_collection'!$A$3:$A$500,MATCH(A737,'WetLitterbags placem_collection'!$O$4:$O$500,0)),"")</f>
        <v/>
      </c>
      <c r="P737" s="110">
        <f>IFERROR(INDEX('WetLitterbags placem_collection'!$A$3:$A$500,MATCH(A737,'WetLitterbags placem_collection'!$M$4:$M$500,0)),"")</f>
        <v>131</v>
      </c>
      <c r="Q737" s="110" t="str">
        <f>IFERROR(INDEX('WetLitterbags placem_collection'!$A$3:$A$500,MATCH(A737,'WetLitterbags placem_collection'!$Q$4:$Q$500,0)),"")</f>
        <v/>
      </c>
    </row>
    <row r="738" spans="1:17" ht="13.95" customHeight="1">
      <c r="A738" s="110" t="s">
        <v>604</v>
      </c>
      <c r="B738" s="110" t="s">
        <v>2077</v>
      </c>
      <c r="C738" s="110">
        <v>1.7152000000000001</v>
      </c>
      <c r="E738" s="112">
        <v>43119</v>
      </c>
      <c r="N738" s="110" t="str">
        <f>IFERROR(INDEX('WetLitterbags placem_collection'!$A$3:$A$500,MATCH(A738,'WetLitterbags placem_collection'!$K$4:$K$500,0)),"")</f>
        <v/>
      </c>
      <c r="O738" s="110" t="str">
        <f>IFERROR(INDEX('WetLitterbags placem_collection'!$A$3:$A$500,MATCH(A738,'WetLitterbags placem_collection'!$O$4:$O$500,0)),"")</f>
        <v/>
      </c>
      <c r="P738" s="110" t="str">
        <f>IFERROR(INDEX('WetLitterbags placem_collection'!$A$3:$A$500,MATCH(A738,'WetLitterbags placem_collection'!$M$4:$M$500,0)),"")</f>
        <v/>
      </c>
      <c r="Q738" s="110">
        <f>IFERROR(INDEX('WetLitterbags placem_collection'!$A$3:$A$500,MATCH(A738,'WetLitterbags placem_collection'!$Q$4:$Q$500,0)),"")</f>
        <v>181</v>
      </c>
    </row>
    <row r="739" spans="1:17" ht="13.95" customHeight="1">
      <c r="A739" s="110" t="s">
        <v>603</v>
      </c>
      <c r="B739" s="110">
        <v>139</v>
      </c>
      <c r="C739" s="110">
        <v>1.415</v>
      </c>
      <c r="E739" s="112">
        <v>42878</v>
      </c>
      <c r="N739" s="110" t="str">
        <f>IFERROR(INDEX('WetLitterbags placem_collection'!$A$3:$A$500,MATCH(A739,'WetLitterbags placem_collection'!$K$4:$K$500,0)),"")</f>
        <v/>
      </c>
      <c r="O739" s="110" t="str">
        <f>IFERROR(INDEX('WetLitterbags placem_collection'!$A$3:$A$500,MATCH(A739,'WetLitterbags placem_collection'!$O$4:$O$500,0)),"")</f>
        <v/>
      </c>
      <c r="P739" s="110" t="str">
        <f>IFERROR(INDEX('WetLitterbags placem_collection'!$A$3:$A$500,MATCH(A739,'WetLitterbags placem_collection'!$M$4:$M$500,0)),"")</f>
        <v/>
      </c>
      <c r="Q739" s="110">
        <f>IFERROR(INDEX('WetLitterbags placem_collection'!$A$3:$A$500,MATCH(A739,'WetLitterbags placem_collection'!$Q$4:$Q$500,0)),"")</f>
        <v>138</v>
      </c>
    </row>
    <row r="740" spans="1:17" ht="13.95" customHeight="1">
      <c r="A740" s="110" t="s">
        <v>602</v>
      </c>
      <c r="B740" s="110" t="s">
        <v>2077</v>
      </c>
      <c r="C740" s="110">
        <v>1.7513000000000001</v>
      </c>
      <c r="E740" s="112">
        <v>43116</v>
      </c>
      <c r="N740" s="110" t="str">
        <f>IFERROR(INDEX('WetLitterbags placem_collection'!$A$3:$A$500,MATCH(A740,'WetLitterbags placem_collection'!$K$4:$K$500,0)),"")</f>
        <v/>
      </c>
      <c r="O740" s="110" t="str">
        <f>IFERROR(INDEX('WetLitterbags placem_collection'!$A$3:$A$500,MATCH(A740,'WetLitterbags placem_collection'!$O$4:$O$500,0)),"")</f>
        <v/>
      </c>
      <c r="P740" s="110" t="str">
        <f>IFERROR(INDEX('WetLitterbags placem_collection'!$A$3:$A$500,MATCH(A740,'WetLitterbags placem_collection'!$M$4:$M$500,0)),"")</f>
        <v/>
      </c>
      <c r="Q740" s="110">
        <f>IFERROR(INDEX('WetLitterbags placem_collection'!$A$3:$A$500,MATCH(A740,'WetLitterbags placem_collection'!$Q$4:$Q$500,0)),"")</f>
        <v>184</v>
      </c>
    </row>
    <row r="741" spans="1:17" ht="13.95" customHeight="1">
      <c r="A741" s="110" t="s">
        <v>601</v>
      </c>
      <c r="B741" s="110">
        <v>105</v>
      </c>
      <c r="C741" s="110">
        <v>1.8080000000000001</v>
      </c>
      <c r="E741" s="112">
        <v>42879</v>
      </c>
      <c r="N741" s="110" t="str">
        <f>IFERROR(INDEX('WetLitterbags placem_collection'!$A$3:$A$500,MATCH(A741,'WetLitterbags placem_collection'!$K$4:$K$500,0)),"")</f>
        <v/>
      </c>
      <c r="O741" s="110" t="str">
        <f>IFERROR(INDEX('WetLitterbags placem_collection'!$A$3:$A$500,MATCH(A741,'WetLitterbags placem_collection'!$O$4:$O$500,0)),"")</f>
        <v/>
      </c>
      <c r="P741" s="110" t="str">
        <f>IFERROR(INDEX('WetLitterbags placem_collection'!$A$3:$A$500,MATCH(A741,'WetLitterbags placem_collection'!$M$4:$M$500,0)),"")</f>
        <v/>
      </c>
      <c r="Q741" s="110">
        <f>IFERROR(INDEX('WetLitterbags placem_collection'!$A$3:$A$500,MATCH(A741,'WetLitterbags placem_collection'!$Q$4:$Q$500,0)),"")</f>
        <v>104</v>
      </c>
    </row>
    <row r="742" spans="1:17" ht="13.95" customHeight="1">
      <c r="A742" s="110" t="s">
        <v>600</v>
      </c>
      <c r="B742" s="110" t="s">
        <v>2077</v>
      </c>
      <c r="C742" s="110">
        <v>1.7278</v>
      </c>
      <c r="E742" s="112">
        <v>43116</v>
      </c>
      <c r="N742" s="110" t="str">
        <f>IFERROR(INDEX('WetLitterbags placem_collection'!$A$3:$A$500,MATCH(A742,'WetLitterbags placem_collection'!$K$4:$K$500,0)),"")</f>
        <v/>
      </c>
      <c r="O742" s="110" t="str">
        <f>IFERROR(INDEX('WetLitterbags placem_collection'!$A$3:$A$500,MATCH(A742,'WetLitterbags placem_collection'!$O$4:$O$500,0)),"")</f>
        <v/>
      </c>
      <c r="P742" s="110">
        <f>IFERROR(INDEX('WetLitterbags placem_collection'!$A$3:$A$500,MATCH(A742,'WetLitterbags placem_collection'!$M$4:$M$500,0)),"")</f>
        <v>183</v>
      </c>
      <c r="Q742" s="110" t="str">
        <f>IFERROR(INDEX('WetLitterbags placem_collection'!$A$3:$A$500,MATCH(A742,'WetLitterbags placem_collection'!$Q$4:$Q$500,0)),"")</f>
        <v/>
      </c>
    </row>
    <row r="743" spans="1:17" ht="13.95" customHeight="1">
      <c r="A743" s="110" t="s">
        <v>599</v>
      </c>
      <c r="B743" s="110" t="s">
        <v>2077</v>
      </c>
      <c r="C743" s="110">
        <v>1.6227</v>
      </c>
      <c r="E743" s="112">
        <v>43119</v>
      </c>
      <c r="N743" s="110" t="str">
        <f>IFERROR(INDEX('WetLitterbags placem_collection'!$A$3:$A$500,MATCH(A743,'WetLitterbags placem_collection'!$K$4:$K$500,0)),"")</f>
        <v/>
      </c>
      <c r="O743" s="110" t="str">
        <f>IFERROR(INDEX('WetLitterbags placem_collection'!$A$3:$A$500,MATCH(A743,'WetLitterbags placem_collection'!$O$4:$O$500,0)),"")</f>
        <v/>
      </c>
      <c r="P743" s="110">
        <f>IFERROR(INDEX('WetLitterbags placem_collection'!$A$3:$A$500,MATCH(A743,'WetLitterbags placem_collection'!$M$4:$M$500,0)),"")</f>
        <v>16</v>
      </c>
      <c r="Q743" s="110" t="str">
        <f>IFERROR(INDEX('WetLitterbags placem_collection'!$A$3:$A$500,MATCH(A743,'WetLitterbags placem_collection'!$Q$4:$Q$500,0)),"")</f>
        <v/>
      </c>
    </row>
    <row r="744" spans="1:17" ht="13.95" customHeight="1">
      <c r="A744" s="110" t="s">
        <v>598</v>
      </c>
      <c r="B744" s="110">
        <v>136</v>
      </c>
      <c r="C744" s="110">
        <v>1.5604</v>
      </c>
      <c r="E744" s="112">
        <v>43125</v>
      </c>
      <c r="N744" s="110" t="str">
        <f>IFERROR(INDEX('WetLitterbags placem_collection'!$A$3:$A$500,MATCH(A744,'WetLitterbags placem_collection'!$K$4:$K$500,0)),"")</f>
        <v/>
      </c>
      <c r="O744" s="110" t="str">
        <f>IFERROR(INDEX('WetLitterbags placem_collection'!$A$3:$A$500,MATCH(A744,'WetLitterbags placem_collection'!$O$4:$O$500,0)),"")</f>
        <v/>
      </c>
      <c r="P744" s="110" t="str">
        <f>IFERROR(INDEX('WetLitterbags placem_collection'!$A$3:$A$500,MATCH(A744,'WetLitterbags placem_collection'!$M$4:$M$500,0)),"")</f>
        <v/>
      </c>
      <c r="Q744" s="110">
        <f>IFERROR(INDEX('WetLitterbags placem_collection'!$A$3:$A$500,MATCH(A744,'WetLitterbags placem_collection'!$Q$4:$Q$500,0)),"")</f>
        <v>135</v>
      </c>
    </row>
    <row r="745" spans="1:17" ht="13.95" customHeight="1">
      <c r="A745" s="110" t="s">
        <v>597</v>
      </c>
      <c r="B745" s="110">
        <v>118</v>
      </c>
      <c r="C745" s="110">
        <v>1.599</v>
      </c>
      <c r="E745" s="112">
        <v>42879</v>
      </c>
      <c r="N745" s="110" t="str">
        <f>IFERROR(INDEX('WetLitterbags placem_collection'!$A$3:$A$500,MATCH(A745,'WetLitterbags placem_collection'!$K$4:$K$500,0)),"")</f>
        <v/>
      </c>
      <c r="O745" s="110" t="str">
        <f>IFERROR(INDEX('WetLitterbags placem_collection'!$A$3:$A$500,MATCH(A745,'WetLitterbags placem_collection'!$O$4:$O$500,0)),"")</f>
        <v/>
      </c>
      <c r="P745" s="110" t="str">
        <f>IFERROR(INDEX('WetLitterbags placem_collection'!$A$3:$A$500,MATCH(A745,'WetLitterbags placem_collection'!$M$4:$M$500,0)),"")</f>
        <v/>
      </c>
      <c r="Q745" s="110">
        <f>IFERROR(INDEX('WetLitterbags placem_collection'!$A$3:$A$500,MATCH(A745,'WetLitterbags placem_collection'!$Q$4:$Q$500,0)),"")</f>
        <v>117</v>
      </c>
    </row>
    <row r="746" spans="1:17" ht="13.95" customHeight="1">
      <c r="A746" s="110" t="s">
        <v>596</v>
      </c>
      <c r="B746" s="110" t="s">
        <v>2077</v>
      </c>
      <c r="C746" s="110">
        <v>1.7096</v>
      </c>
      <c r="D746" s="110" t="s">
        <v>2115</v>
      </c>
      <c r="E746" s="112">
        <v>43119</v>
      </c>
      <c r="N746" s="110" t="str">
        <f>IFERROR(INDEX('WetLitterbags placem_collection'!$A$3:$A$500,MATCH(A746,'WetLitterbags placem_collection'!$K$4:$K$500,0)),"")</f>
        <v/>
      </c>
      <c r="O746" s="110" t="str">
        <f>IFERROR(INDEX('WetLitterbags placem_collection'!$A$3:$A$500,MATCH(A746,'WetLitterbags placem_collection'!$O$4:$O$500,0)),"")</f>
        <v/>
      </c>
      <c r="P746" s="110">
        <f>IFERROR(INDEX('WetLitterbags placem_collection'!$A$3:$A$500,MATCH(A746,'WetLitterbags placem_collection'!$M$4:$M$500,0)),"")</f>
        <v>148</v>
      </c>
      <c r="Q746" s="110" t="str">
        <f>IFERROR(INDEX('WetLitterbags placem_collection'!$A$3:$A$500,MATCH(A746,'WetLitterbags placem_collection'!$Q$4:$Q$500,0)),"")</f>
        <v/>
      </c>
    </row>
    <row r="747" spans="1:17" ht="13.95" customHeight="1">
      <c r="A747" s="110" t="s">
        <v>594</v>
      </c>
      <c r="B747" s="110">
        <v>95</v>
      </c>
      <c r="C747" s="110">
        <v>1.5620000000000001</v>
      </c>
      <c r="E747" s="112">
        <v>42879</v>
      </c>
      <c r="N747" s="110" t="str">
        <f>IFERROR(INDEX('WetLitterbags placem_collection'!$A$3:$A$500,MATCH(A747,'WetLitterbags placem_collection'!$K$4:$K$500,0)),"")</f>
        <v/>
      </c>
      <c r="O747" s="110" t="str">
        <f>IFERROR(INDEX('WetLitterbags placem_collection'!$A$3:$A$500,MATCH(A747,'WetLitterbags placem_collection'!$O$4:$O$500,0)),"")</f>
        <v/>
      </c>
      <c r="P747" s="110" t="str">
        <f>IFERROR(INDEX('WetLitterbags placem_collection'!$A$3:$A$500,MATCH(A747,'WetLitterbags placem_collection'!$M$4:$M$500,0)),"")</f>
        <v/>
      </c>
      <c r="Q747" s="110">
        <f>IFERROR(INDEX('WetLitterbags placem_collection'!$A$3:$A$500,MATCH(A747,'WetLitterbags placem_collection'!$Q$4:$Q$500,0)),"")</f>
        <v>94</v>
      </c>
    </row>
    <row r="748" spans="1:17" ht="13.95" customHeight="1">
      <c r="A748" s="110" t="s">
        <v>593</v>
      </c>
      <c r="B748" s="110">
        <v>105</v>
      </c>
      <c r="C748" s="110">
        <v>1.859</v>
      </c>
      <c r="E748" s="112">
        <v>42879</v>
      </c>
      <c r="N748" s="110" t="str">
        <f>IFERROR(INDEX('WetLitterbags placem_collection'!$A$3:$A$500,MATCH(A748,'WetLitterbags placem_collection'!$K$4:$K$500,0)),"")</f>
        <v/>
      </c>
      <c r="O748" s="110" t="str">
        <f>IFERROR(INDEX('WetLitterbags placem_collection'!$A$3:$A$500,MATCH(A748,'WetLitterbags placem_collection'!$O$4:$O$500,0)),"")</f>
        <v/>
      </c>
      <c r="P748" s="110">
        <f>IFERROR(INDEX('WetLitterbags placem_collection'!$A$3:$A$500,MATCH(A748,'WetLitterbags placem_collection'!$M$4:$M$500,0)),"")</f>
        <v>104</v>
      </c>
      <c r="Q748" s="110" t="str">
        <f>IFERROR(INDEX('WetLitterbags placem_collection'!$A$3:$A$500,MATCH(A748,'WetLitterbags placem_collection'!$Q$4:$Q$500,0)),"")</f>
        <v/>
      </c>
    </row>
    <row r="749" spans="1:17" ht="13.95" customHeight="1">
      <c r="A749" s="110" t="s">
        <v>592</v>
      </c>
      <c r="B749" s="110">
        <v>99</v>
      </c>
      <c r="C749" s="110">
        <v>1.5992</v>
      </c>
      <c r="E749" s="112">
        <v>43123</v>
      </c>
      <c r="N749" s="110" t="str">
        <f>IFERROR(INDEX('WetLitterbags placem_collection'!$A$3:$A$500,MATCH(A749,'WetLitterbags placem_collection'!$K$4:$K$500,0)),"")</f>
        <v/>
      </c>
      <c r="O749" s="110" t="str">
        <f>IFERROR(INDEX('WetLitterbags placem_collection'!$A$3:$A$500,MATCH(A749,'WetLitterbags placem_collection'!$O$4:$O$500,0)),"")</f>
        <v/>
      </c>
      <c r="P749" s="110">
        <f>IFERROR(INDEX('WetLitterbags placem_collection'!$A$3:$A$500,MATCH(A749,'WetLitterbags placem_collection'!$M$4:$M$500,0)),"")</f>
        <v>98</v>
      </c>
      <c r="Q749" s="110" t="str">
        <f>IFERROR(INDEX('WetLitterbags placem_collection'!$A$3:$A$500,MATCH(A749,'WetLitterbags placem_collection'!$Q$4:$Q$500,0)),"")</f>
        <v/>
      </c>
    </row>
    <row r="750" spans="1:17" ht="13.95" customHeight="1">
      <c r="A750" s="113" t="s">
        <v>2495</v>
      </c>
      <c r="B750" s="113" t="s">
        <v>2077</v>
      </c>
      <c r="C750" s="113">
        <v>1.4870000000000001</v>
      </c>
      <c r="D750" s="113" t="s">
        <v>2115</v>
      </c>
      <c r="E750" s="114">
        <v>43116</v>
      </c>
      <c r="F750" s="113"/>
      <c r="N750" s="110" t="str">
        <f>IFERROR(INDEX('WetLitterbags placem_collection'!$A$3:$A$500,MATCH(A750,'WetLitterbags placem_collection'!$K$4:$K$500,0)),"")</f>
        <v/>
      </c>
      <c r="O750" s="110" t="str">
        <f>IFERROR(INDEX('WetLitterbags placem_collection'!$A$3:$A$500,MATCH(A750,'WetLitterbags placem_collection'!$O$4:$O$500,0)),"")</f>
        <v/>
      </c>
      <c r="P750" s="110" t="str">
        <f>IFERROR(INDEX('WetLitterbags placem_collection'!$A$3:$A$500,MATCH(A750,'WetLitterbags placem_collection'!$M$4:$M$500,0)),"")</f>
        <v/>
      </c>
      <c r="Q750" s="110">
        <f>IFERROR(INDEX('WetLitterbags placem_collection'!$A$3:$A$500,MATCH(A750,'WetLitterbags placem_collection'!$Q$4:$Q$500,0)),"")</f>
        <v>109</v>
      </c>
    </row>
    <row r="751" spans="1:17" ht="13.95" customHeight="1">
      <c r="A751" s="113" t="s">
        <v>2496</v>
      </c>
      <c r="B751" s="113">
        <v>55</v>
      </c>
      <c r="C751" s="113">
        <v>1.5207999999999999</v>
      </c>
      <c r="D751" s="113"/>
      <c r="E751" s="114">
        <v>42878</v>
      </c>
      <c r="F751" s="113"/>
      <c r="N751" s="110" t="str">
        <f>IFERROR(INDEX('WetLitterbags placem_collection'!$A$3:$A$500,MATCH(A751,'WetLitterbags placem_collection'!$K$4:$K$500,0)),"")</f>
        <v/>
      </c>
      <c r="O751" s="110" t="str">
        <f>IFERROR(INDEX('WetLitterbags placem_collection'!$A$3:$A$500,MATCH(A751,'WetLitterbags placem_collection'!$O$4:$O$500,0)),"")</f>
        <v/>
      </c>
      <c r="P751" s="110" t="str">
        <f>IFERROR(INDEX('WetLitterbags placem_collection'!$A$3:$A$500,MATCH(A751,'WetLitterbags placem_collection'!$M$4:$M$500,0)),"")</f>
        <v/>
      </c>
      <c r="Q751" s="110">
        <f>IFERROR(INDEX('WetLitterbags placem_collection'!$A$3:$A$500,MATCH(A751,'WetLitterbags placem_collection'!$Q$4:$Q$500,0)),"")</f>
        <v>54</v>
      </c>
    </row>
    <row r="752" spans="1:17" ht="13.95" customHeight="1">
      <c r="A752" s="110" t="s">
        <v>1086</v>
      </c>
      <c r="B752" s="110">
        <v>126</v>
      </c>
      <c r="C752" s="110">
        <v>1.4419999999999999</v>
      </c>
      <c r="E752" s="112">
        <v>42878</v>
      </c>
      <c r="N752" s="110" t="str">
        <f>IFERROR(INDEX('WetLitterbags placem_collection'!$A$3:$A$500,MATCH(A752,'WetLitterbags placem_collection'!$K$4:$K$500,0)),"")</f>
        <v/>
      </c>
      <c r="O752" s="110" t="str">
        <f>IFERROR(INDEX('WetLitterbags placem_collection'!$A$3:$A$500,MATCH(A752,'WetLitterbags placem_collection'!$O$4:$O$500,0)),"")</f>
        <v/>
      </c>
      <c r="P752" s="110" t="str">
        <f>IFERROR(INDEX('WetLitterbags placem_collection'!$A$3:$A$500,MATCH(A752,'WetLitterbags placem_collection'!$M$4:$M$500,0)),"")</f>
        <v/>
      </c>
      <c r="Q752" s="110">
        <f>IFERROR(INDEX('WetLitterbags placem_collection'!$A$3:$A$500,MATCH(A752,'WetLitterbags placem_collection'!$Q$4:$Q$500,0)),"")</f>
        <v>125</v>
      </c>
    </row>
    <row r="753" spans="1:17" ht="13.95" customHeight="1">
      <c r="A753" s="110" t="s">
        <v>591</v>
      </c>
      <c r="B753" s="110">
        <v>64</v>
      </c>
      <c r="C753" s="110">
        <v>1.6930000000000001</v>
      </c>
      <c r="E753" s="112">
        <v>42878</v>
      </c>
      <c r="N753" s="110" t="str">
        <f>IFERROR(INDEX('WetLitterbags placem_collection'!$A$3:$A$500,MATCH(A753,'WetLitterbags placem_collection'!$K$4:$K$500,0)),"")</f>
        <v/>
      </c>
      <c r="O753" s="110" t="str">
        <f>IFERROR(INDEX('WetLitterbags placem_collection'!$A$3:$A$500,MATCH(A753,'WetLitterbags placem_collection'!$O$4:$O$500,0)),"")</f>
        <v/>
      </c>
      <c r="P753" s="110" t="str">
        <f>IFERROR(INDEX('WetLitterbags placem_collection'!$A$3:$A$500,MATCH(A753,'WetLitterbags placem_collection'!$M$4:$M$500,0)),"")</f>
        <v/>
      </c>
      <c r="Q753" s="110">
        <f>IFERROR(INDEX('WetLitterbags placem_collection'!$A$3:$A$500,MATCH(A753,'WetLitterbags placem_collection'!$Q$4:$Q$500,0)),"")</f>
        <v>63</v>
      </c>
    </row>
    <row r="754" spans="1:17" ht="13.95" customHeight="1">
      <c r="A754" s="110" t="s">
        <v>589</v>
      </c>
      <c r="B754" s="110">
        <v>109</v>
      </c>
      <c r="C754" s="110">
        <v>1.7532000000000001</v>
      </c>
      <c r="E754" s="112">
        <v>43125</v>
      </c>
      <c r="N754" s="110" t="str">
        <f>IFERROR(INDEX('WetLitterbags placem_collection'!$A$3:$A$500,MATCH(A754,'WetLitterbags placem_collection'!$K$4:$K$500,0)),"")</f>
        <v/>
      </c>
      <c r="O754" s="110" t="str">
        <f>IFERROR(INDEX('WetLitterbags placem_collection'!$A$3:$A$500,MATCH(A754,'WetLitterbags placem_collection'!$O$4:$O$500,0)),"")</f>
        <v/>
      </c>
      <c r="P754" s="110">
        <f>IFERROR(INDEX('WetLitterbags placem_collection'!$A$3:$A$500,MATCH(A754,'WetLitterbags placem_collection'!$M$4:$M$500,0)),"")</f>
        <v>108</v>
      </c>
      <c r="Q754" s="110" t="str">
        <f>IFERROR(INDEX('WetLitterbags placem_collection'!$A$3:$A$500,MATCH(A754,'WetLitterbags placem_collection'!$Q$4:$Q$500,0)),"")</f>
        <v/>
      </c>
    </row>
    <row r="755" spans="1:17" ht="13.95" customHeight="1">
      <c r="A755" s="110" t="s">
        <v>588</v>
      </c>
      <c r="B755" s="110">
        <v>115</v>
      </c>
      <c r="C755" s="110">
        <v>0.99990000000000001</v>
      </c>
      <c r="D755" s="115" t="s">
        <v>2111</v>
      </c>
      <c r="E755" s="112">
        <v>43125</v>
      </c>
      <c r="N755" s="110" t="str">
        <f>IFERROR(INDEX('WetLitterbags placem_collection'!$A$3:$A$500,MATCH(A755,'WetLitterbags placem_collection'!$K$4:$K$500,0)),"")</f>
        <v/>
      </c>
      <c r="O755" s="110" t="str">
        <f>IFERROR(INDEX('WetLitterbags placem_collection'!$A$3:$A$500,MATCH(A755,'WetLitterbags placem_collection'!$O$4:$O$500,0)),"")</f>
        <v/>
      </c>
      <c r="P755" s="110">
        <f>IFERROR(INDEX('WetLitterbags placem_collection'!$A$3:$A$500,MATCH(A755,'WetLitterbags placem_collection'!$M$4:$M$500,0)),"")</f>
        <v>114</v>
      </c>
      <c r="Q755" s="110" t="str">
        <f>IFERROR(INDEX('WetLitterbags placem_collection'!$A$3:$A$500,MATCH(A755,'WetLitterbags placem_collection'!$Q$4:$Q$500,0)),"")</f>
        <v/>
      </c>
    </row>
    <row r="756" spans="1:17" ht="13.95" customHeight="1">
      <c r="A756" s="110" t="s">
        <v>587</v>
      </c>
      <c r="B756" s="110">
        <v>128</v>
      </c>
      <c r="C756" s="110">
        <v>2.5259999999999998</v>
      </c>
      <c r="D756" s="110" t="s">
        <v>2071</v>
      </c>
      <c r="E756" s="112">
        <v>42879</v>
      </c>
      <c r="N756" s="110" t="str">
        <f>IFERROR(INDEX('WetLitterbags placem_collection'!$A$3:$A$500,MATCH(A756,'WetLitterbags placem_collection'!$K$4:$K$500,0)),"")</f>
        <v/>
      </c>
      <c r="O756" s="110" t="str">
        <f>IFERROR(INDEX('WetLitterbags placem_collection'!$A$3:$A$500,MATCH(A756,'WetLitterbags placem_collection'!$O$4:$O$500,0)),"")</f>
        <v/>
      </c>
      <c r="P756" s="110">
        <f>IFERROR(INDEX('WetLitterbags placem_collection'!$A$3:$A$500,MATCH(A756,'WetLitterbags placem_collection'!$M$4:$M$500,0)),"")</f>
        <v>127</v>
      </c>
      <c r="Q756" s="110" t="str">
        <f>IFERROR(INDEX('WetLitterbags placem_collection'!$A$3:$A$500,MATCH(A756,'WetLitterbags placem_collection'!$Q$4:$Q$500,0)),"")</f>
        <v/>
      </c>
    </row>
    <row r="757" spans="1:17" ht="13.95" customHeight="1">
      <c r="A757" s="110" t="s">
        <v>586</v>
      </c>
      <c r="B757" s="110" t="s">
        <v>2077</v>
      </c>
      <c r="C757" s="110">
        <v>1.7096</v>
      </c>
      <c r="E757" s="112">
        <v>43119</v>
      </c>
      <c r="N757" s="110" t="str">
        <f>IFERROR(INDEX('WetLitterbags placem_collection'!$A$3:$A$500,MATCH(A757,'WetLitterbags placem_collection'!$K$4:$K$500,0)),"")</f>
        <v/>
      </c>
      <c r="O757" s="110" t="str">
        <f>IFERROR(INDEX('WetLitterbags placem_collection'!$A$3:$A$500,MATCH(A757,'WetLitterbags placem_collection'!$O$4:$O$500,0)),"")</f>
        <v/>
      </c>
      <c r="P757" s="110" t="str">
        <f>IFERROR(INDEX('WetLitterbags placem_collection'!$A$3:$A$500,MATCH(A757,'WetLitterbags placem_collection'!$M$4:$M$500,0)),"")</f>
        <v/>
      </c>
      <c r="Q757" s="110">
        <f>IFERROR(INDEX('WetLitterbags placem_collection'!$A$3:$A$500,MATCH(A757,'WetLitterbags placem_collection'!$Q$4:$Q$500,0)),"")</f>
        <v>183</v>
      </c>
    </row>
    <row r="758" spans="1:17" ht="13.95" customHeight="1">
      <c r="A758" s="110" t="s">
        <v>585</v>
      </c>
      <c r="B758" s="110">
        <v>155</v>
      </c>
      <c r="C758" s="110">
        <v>1.643</v>
      </c>
      <c r="E758" s="112">
        <v>42879</v>
      </c>
      <c r="N758" s="110" t="str">
        <f>IFERROR(INDEX('WetLitterbags placem_collection'!$A$3:$A$500,MATCH(A758,'WetLitterbags placem_collection'!$K$4:$K$500,0)),"")</f>
        <v/>
      </c>
      <c r="O758" s="110" t="str">
        <f>IFERROR(INDEX('WetLitterbags placem_collection'!$A$3:$A$500,MATCH(A758,'WetLitterbags placem_collection'!$O$4:$O$500,0)),"")</f>
        <v/>
      </c>
      <c r="P758" s="110" t="str">
        <f>IFERROR(INDEX('WetLitterbags placem_collection'!$A$3:$A$500,MATCH(A758,'WetLitterbags placem_collection'!$M$4:$M$500,0)),"")</f>
        <v/>
      </c>
      <c r="Q758" s="110">
        <f>IFERROR(INDEX('WetLitterbags placem_collection'!$A$3:$A$500,MATCH(A758,'WetLitterbags placem_collection'!$Q$4:$Q$500,0)),"")</f>
        <v>154</v>
      </c>
    </row>
    <row r="759" spans="1:17" ht="13.95" customHeight="1">
      <c r="A759" s="110" t="s">
        <v>584</v>
      </c>
      <c r="B759" s="181">
        <v>186</v>
      </c>
      <c r="C759" s="110">
        <v>1.7509999999999999</v>
      </c>
      <c r="E759" s="112">
        <v>42878</v>
      </c>
      <c r="N759" s="110" t="str">
        <f>IFERROR(INDEX('WetLitterbags placem_collection'!$A$3:$A$500,MATCH(A759,'WetLitterbags placem_collection'!$K$4:$K$500,0)),"")</f>
        <v/>
      </c>
      <c r="O759" s="110" t="str">
        <f>IFERROR(INDEX('WetLitterbags placem_collection'!$A$3:$A$500,MATCH(A759,'WetLitterbags placem_collection'!$O$4:$O$500,0)),"")</f>
        <v/>
      </c>
      <c r="P759" s="110">
        <f>IFERROR(INDEX('WetLitterbags placem_collection'!$A$3:$A$500,MATCH(A759,'WetLitterbags placem_collection'!$M$4:$M$500,0)),"")</f>
        <v>185</v>
      </c>
      <c r="Q759" s="110" t="str">
        <f>IFERROR(INDEX('WetLitterbags placem_collection'!$A$3:$A$500,MATCH(A759,'WetLitterbags placem_collection'!$Q$4:$Q$500,0)),"")</f>
        <v/>
      </c>
    </row>
    <row r="760" spans="1:17" ht="13.95" customHeight="1">
      <c r="A760" s="110" t="s">
        <v>583</v>
      </c>
      <c r="B760" s="110">
        <v>171</v>
      </c>
      <c r="C760" s="110">
        <v>1.61</v>
      </c>
      <c r="E760" s="112">
        <v>42878</v>
      </c>
      <c r="N760" s="110" t="str">
        <f>IFERROR(INDEX('WetLitterbags placem_collection'!$A$3:$A$500,MATCH(A760,'WetLitterbags placem_collection'!$K$4:$K$500,0)),"")</f>
        <v/>
      </c>
      <c r="O760" s="110" t="str">
        <f>IFERROR(INDEX('WetLitterbags placem_collection'!$A$3:$A$500,MATCH(A760,'WetLitterbags placem_collection'!$O$4:$O$500,0)),"")</f>
        <v/>
      </c>
      <c r="P760" s="110">
        <f>IFERROR(INDEX('WetLitterbags placem_collection'!$A$3:$A$500,MATCH(A760,'WetLitterbags placem_collection'!$M$4:$M$500,0)),"")</f>
        <v>170</v>
      </c>
      <c r="Q760" s="110" t="str">
        <f>IFERROR(INDEX('WetLitterbags placem_collection'!$A$3:$A$500,MATCH(A760,'WetLitterbags placem_collection'!$Q$4:$Q$500,0)),"")</f>
        <v/>
      </c>
    </row>
    <row r="761" spans="1:17" ht="13.95" customHeight="1">
      <c r="A761" s="110" t="s">
        <v>582</v>
      </c>
      <c r="B761" s="110">
        <v>140</v>
      </c>
      <c r="C761" s="110">
        <v>1.6634</v>
      </c>
      <c r="E761" s="112">
        <v>43125</v>
      </c>
      <c r="N761" s="110" t="str">
        <f>IFERROR(INDEX('WetLitterbags placem_collection'!$A$3:$A$500,MATCH(A761,'WetLitterbags placem_collection'!$K$4:$K$500,0)),"")</f>
        <v/>
      </c>
      <c r="O761" s="110" t="str">
        <f>IFERROR(INDEX('WetLitterbags placem_collection'!$A$3:$A$500,MATCH(A761,'WetLitterbags placem_collection'!$O$4:$O$500,0)),"")</f>
        <v/>
      </c>
      <c r="P761" s="110" t="str">
        <f>IFERROR(INDEX('WetLitterbags placem_collection'!$A$3:$A$500,MATCH(A761,'WetLitterbags placem_collection'!$M$4:$M$500,0)),"")</f>
        <v/>
      </c>
      <c r="Q761" s="110">
        <f>IFERROR(INDEX('WetLitterbags placem_collection'!$A$3:$A$500,MATCH(A761,'WetLitterbags placem_collection'!$Q$4:$Q$500,0)),"")</f>
        <v>139</v>
      </c>
    </row>
    <row r="762" spans="1:17" ht="13.95" customHeight="1">
      <c r="A762" s="110" t="s">
        <v>1085</v>
      </c>
      <c r="B762" s="110">
        <v>79</v>
      </c>
      <c r="C762" s="110">
        <v>1.6438999999999999</v>
      </c>
      <c r="E762" s="112">
        <v>43125</v>
      </c>
      <c r="N762" s="110" t="str">
        <f>IFERROR(INDEX('WetLitterbags placem_collection'!$A$3:$A$500,MATCH(A762,'WetLitterbags placem_collection'!$K$4:$K$500,0)),"")</f>
        <v/>
      </c>
      <c r="O762" s="110" t="str">
        <f>IFERROR(INDEX('WetLitterbags placem_collection'!$A$3:$A$500,MATCH(A762,'WetLitterbags placem_collection'!$O$4:$O$500,0)),"")</f>
        <v/>
      </c>
      <c r="P762" s="110" t="str">
        <f>IFERROR(INDEX('WetLitterbags placem_collection'!$A$3:$A$500,MATCH(A762,'WetLitterbags placem_collection'!$M$4:$M$500,0)),"")</f>
        <v/>
      </c>
      <c r="Q762" s="110">
        <f>IFERROR(INDEX('WetLitterbags placem_collection'!$A$3:$A$500,MATCH(A762,'WetLitterbags placem_collection'!$Q$4:$Q$500,0)),"")</f>
        <v>78</v>
      </c>
    </row>
    <row r="763" spans="1:17" ht="13.95" customHeight="1">
      <c r="A763" s="110" t="s">
        <v>581</v>
      </c>
      <c r="B763" s="110">
        <v>125</v>
      </c>
      <c r="C763" s="110">
        <v>1.254</v>
      </c>
      <c r="D763" s="110" t="s">
        <v>2058</v>
      </c>
      <c r="E763" s="112">
        <v>42881</v>
      </c>
      <c r="N763" s="110" t="str">
        <f>IFERROR(INDEX('WetLitterbags placem_collection'!$A$3:$A$500,MATCH(A763,'WetLitterbags placem_collection'!$K$4:$K$500,0)),"")</f>
        <v/>
      </c>
      <c r="O763" s="110" t="str">
        <f>IFERROR(INDEX('WetLitterbags placem_collection'!$A$3:$A$500,MATCH(A763,'WetLitterbags placem_collection'!$O$4:$O$500,0)),"")</f>
        <v/>
      </c>
      <c r="P763" s="110">
        <f>IFERROR(INDEX('WetLitterbags placem_collection'!$A$3:$A$500,MATCH(A763,'WetLitterbags placem_collection'!$M$4:$M$500,0)),"")</f>
        <v>124</v>
      </c>
      <c r="Q763" s="110" t="str">
        <f>IFERROR(INDEX('WetLitterbags placem_collection'!$A$3:$A$500,MATCH(A763,'WetLitterbags placem_collection'!$Q$4:$Q$500,0)),"")</f>
        <v/>
      </c>
    </row>
    <row r="764" spans="1:17" ht="13.95" customHeight="1">
      <c r="A764" s="110" t="s">
        <v>580</v>
      </c>
      <c r="B764" s="110">
        <v>98</v>
      </c>
      <c r="C764" s="110">
        <v>1.661</v>
      </c>
      <c r="E764" s="112">
        <v>42881</v>
      </c>
      <c r="N764" s="110" t="str">
        <f>IFERROR(INDEX('WetLitterbags placem_collection'!$A$3:$A$500,MATCH(A764,'WetLitterbags placem_collection'!$K$4:$K$500,0)),"")</f>
        <v/>
      </c>
      <c r="O764" s="110" t="str">
        <f>IFERROR(INDEX('WetLitterbags placem_collection'!$A$3:$A$500,MATCH(A764,'WetLitterbags placem_collection'!$O$4:$O$500,0)),"")</f>
        <v/>
      </c>
      <c r="P764" s="110" t="str">
        <f>IFERROR(INDEX('WetLitterbags placem_collection'!$A$3:$A$500,MATCH(A764,'WetLitterbags placem_collection'!$M$4:$M$500,0)),"")</f>
        <v/>
      </c>
      <c r="Q764" s="110">
        <f>IFERROR(INDEX('WetLitterbags placem_collection'!$A$3:$A$500,MATCH(A764,'WetLitterbags placem_collection'!$Q$4:$Q$500,0)),"")</f>
        <v>97</v>
      </c>
    </row>
    <row r="765" spans="1:17" ht="13.95" customHeight="1">
      <c r="A765" s="110" t="s">
        <v>579</v>
      </c>
      <c r="B765" s="110">
        <v>126</v>
      </c>
      <c r="C765" s="110">
        <v>0.17599999999999999</v>
      </c>
      <c r="D765" s="110" t="s">
        <v>2084</v>
      </c>
      <c r="E765" s="112">
        <v>42878</v>
      </c>
      <c r="N765" s="110" t="str">
        <f>IFERROR(INDEX('WetLitterbags placem_collection'!$A$3:$A$500,MATCH(A765,'WetLitterbags placem_collection'!$K$4:$K$500,0)),"")</f>
        <v/>
      </c>
      <c r="O765" s="110" t="str">
        <f>IFERROR(INDEX('WetLitterbags placem_collection'!$A$3:$A$500,MATCH(A765,'WetLitterbags placem_collection'!$O$4:$O$500,0)),"")</f>
        <v/>
      </c>
      <c r="P765" s="110">
        <f>IFERROR(INDEX('WetLitterbags placem_collection'!$A$3:$A$500,MATCH(A765,'WetLitterbags placem_collection'!$M$4:$M$500,0)),"")</f>
        <v>125</v>
      </c>
      <c r="Q765" s="110" t="str">
        <f>IFERROR(INDEX('WetLitterbags placem_collection'!$A$3:$A$500,MATCH(A765,'WetLitterbags placem_collection'!$Q$4:$Q$500,0)),"")</f>
        <v/>
      </c>
    </row>
    <row r="766" spans="1:17" ht="13.95" customHeight="1">
      <c r="A766" s="110" t="s">
        <v>578</v>
      </c>
      <c r="B766" s="110">
        <v>139</v>
      </c>
      <c r="C766" s="110">
        <v>2.5009999999999999</v>
      </c>
      <c r="D766" s="110" t="s">
        <v>2131</v>
      </c>
      <c r="E766" s="112">
        <v>42878</v>
      </c>
      <c r="N766" s="110" t="str">
        <f>IFERROR(INDEX('WetLitterbags placem_collection'!$A$3:$A$500,MATCH(A766,'WetLitterbags placem_collection'!$K$4:$K$500,0)),"")</f>
        <v/>
      </c>
      <c r="O766" s="110" t="str">
        <f>IFERROR(INDEX('WetLitterbags placem_collection'!$A$3:$A$500,MATCH(A766,'WetLitterbags placem_collection'!$O$4:$O$500,0)),"")</f>
        <v/>
      </c>
      <c r="P766" s="110">
        <f>IFERROR(INDEX('WetLitterbags placem_collection'!$A$3:$A$500,MATCH(A766,'WetLitterbags placem_collection'!$M$4:$M$500,0)),"")</f>
        <v>138</v>
      </c>
      <c r="Q766" s="110" t="str">
        <f>IFERROR(INDEX('WetLitterbags placem_collection'!$A$3:$A$500,MATCH(A766,'WetLitterbags placem_collection'!$Q$4:$Q$500,0)),"")</f>
        <v/>
      </c>
    </row>
    <row r="767" spans="1:17" ht="13.95" customHeight="1">
      <c r="A767" s="182" t="s">
        <v>577</v>
      </c>
      <c r="B767" s="110">
        <v>121</v>
      </c>
      <c r="C767" s="110">
        <v>1.53</v>
      </c>
      <c r="E767" s="112">
        <v>42879</v>
      </c>
      <c r="N767" s="110" t="str">
        <f>IFERROR(INDEX('WetLitterbags placem_collection'!$A$3:$A$500,MATCH(A767,'WetLitterbags placem_collection'!$K$4:$K$500,0)),"")</f>
        <v/>
      </c>
      <c r="O767" s="110" t="str">
        <f>IFERROR(INDEX('WetLitterbags placem_collection'!$A$3:$A$500,MATCH(A767,'WetLitterbags placem_collection'!$O$4:$O$500,0)),"")</f>
        <v/>
      </c>
      <c r="P767" s="110" t="str">
        <f>IFERROR(INDEX('WetLitterbags placem_collection'!$A$3:$A$500,MATCH(A767,'WetLitterbags placem_collection'!$M$4:$M$500,0)),"")</f>
        <v/>
      </c>
      <c r="Q767" s="110">
        <f>IFERROR(INDEX('WetLitterbags placem_collection'!$A$3:$A$500,MATCH(A767,'WetLitterbags placem_collection'!$Q$4:$Q$500,0)),"")</f>
        <v>120</v>
      </c>
    </row>
    <row r="768" spans="1:17" ht="13.95" customHeight="1">
      <c r="A768" s="110" t="s">
        <v>576</v>
      </c>
      <c r="B768" s="110">
        <v>117</v>
      </c>
      <c r="C768" s="110">
        <v>1.343</v>
      </c>
      <c r="E768" s="112">
        <v>42878</v>
      </c>
      <c r="N768" s="110" t="str">
        <f>IFERROR(INDEX('WetLitterbags placem_collection'!$A$3:$A$500,MATCH(A768,'WetLitterbags placem_collection'!$K$4:$K$500,0)),"")</f>
        <v/>
      </c>
      <c r="O768" s="110" t="str">
        <f>IFERROR(INDEX('WetLitterbags placem_collection'!$A$3:$A$500,MATCH(A768,'WetLitterbags placem_collection'!$O$4:$O$500,0)),"")</f>
        <v/>
      </c>
      <c r="P768" s="110" t="str">
        <f>IFERROR(INDEX('WetLitterbags placem_collection'!$A$3:$A$500,MATCH(A768,'WetLitterbags placem_collection'!$M$4:$M$500,0)),"")</f>
        <v/>
      </c>
      <c r="Q768" s="110">
        <f>IFERROR(INDEX('WetLitterbags placem_collection'!$A$3:$A$500,MATCH(A768,'WetLitterbags placem_collection'!$Q$4:$Q$500,0)),"")</f>
        <v>116</v>
      </c>
    </row>
    <row r="769" spans="1:17" ht="13.95" customHeight="1">
      <c r="A769" s="110" t="s">
        <v>575</v>
      </c>
      <c r="B769" s="110" t="s">
        <v>2077</v>
      </c>
      <c r="C769" s="110">
        <v>1.4496</v>
      </c>
      <c r="E769" s="112">
        <v>43116</v>
      </c>
      <c r="N769" s="110" t="str">
        <f>IFERROR(INDEX('WetLitterbags placem_collection'!$A$3:$A$500,MATCH(A769,'WetLitterbags placem_collection'!$K$4:$K$500,0)),"")</f>
        <v/>
      </c>
      <c r="O769" s="110" t="str">
        <f>IFERROR(INDEX('WetLitterbags placem_collection'!$A$3:$A$500,MATCH(A769,'WetLitterbags placem_collection'!$O$4:$O$500,0)),"")</f>
        <v/>
      </c>
      <c r="P769" s="110" t="str">
        <f>IFERROR(INDEX('WetLitterbags placem_collection'!$A$3:$A$500,MATCH(A769,'WetLitterbags placem_collection'!$M$4:$M$500,0)),"")</f>
        <v/>
      </c>
      <c r="Q769" s="110">
        <f>IFERROR(INDEX('WetLitterbags placem_collection'!$A$3:$A$500,MATCH(A769,'WetLitterbags placem_collection'!$Q$4:$Q$500,0)),"")</f>
        <v>18</v>
      </c>
    </row>
    <row r="770" spans="1:17" ht="13.95" customHeight="1">
      <c r="A770" s="110" t="s">
        <v>574</v>
      </c>
      <c r="B770" s="110">
        <v>143</v>
      </c>
      <c r="C770" s="110">
        <v>1.5908</v>
      </c>
      <c r="E770" s="112">
        <v>43125</v>
      </c>
      <c r="N770" s="110" t="str">
        <f>IFERROR(INDEX('WetLitterbags placem_collection'!$A$3:$A$500,MATCH(A770,'WetLitterbags placem_collection'!$K$4:$K$500,0)),"")</f>
        <v/>
      </c>
      <c r="O770" s="110" t="str">
        <f>IFERROR(INDEX('WetLitterbags placem_collection'!$A$3:$A$500,MATCH(A770,'WetLitterbags placem_collection'!$O$4:$O$500,0)),"")</f>
        <v/>
      </c>
      <c r="P770" s="110" t="str">
        <f>IFERROR(INDEX('WetLitterbags placem_collection'!$A$3:$A$500,MATCH(A770,'WetLitterbags placem_collection'!$M$4:$M$500,0)),"")</f>
        <v/>
      </c>
      <c r="Q770" s="110">
        <f>IFERROR(INDEX('WetLitterbags placem_collection'!$A$3:$A$500,MATCH(A770,'WetLitterbags placem_collection'!$Q$4:$Q$500,0)),"")</f>
        <v>142</v>
      </c>
    </row>
    <row r="771" spans="1:17" ht="13.95" customHeight="1">
      <c r="A771" s="110" t="s">
        <v>573</v>
      </c>
      <c r="B771" s="110">
        <v>183</v>
      </c>
      <c r="C771" s="110">
        <v>0.30299999999999999</v>
      </c>
      <c r="D771" s="110" t="s">
        <v>2055</v>
      </c>
      <c r="E771" s="112">
        <v>42881</v>
      </c>
      <c r="N771" s="110" t="str">
        <f>IFERROR(INDEX('WetLitterbags placem_collection'!$A$3:$A$500,MATCH(A771,'WetLitterbags placem_collection'!$K$4:$K$500,0)),"")</f>
        <v/>
      </c>
      <c r="O771" s="110" t="str">
        <f>IFERROR(INDEX('WetLitterbags placem_collection'!$A$3:$A$500,MATCH(A771,'WetLitterbags placem_collection'!$O$4:$O$500,0)),"")</f>
        <v/>
      </c>
      <c r="P771" s="110">
        <f>IFERROR(INDEX('WetLitterbags placem_collection'!$A$3:$A$500,MATCH(A771,'WetLitterbags placem_collection'!$M$4:$M$500,0)),"")</f>
        <v>182</v>
      </c>
      <c r="Q771" s="110" t="str">
        <f>IFERROR(INDEX('WetLitterbags placem_collection'!$A$3:$A$500,MATCH(A771,'WetLitterbags placem_collection'!$Q$4:$Q$500,0)),"")</f>
        <v/>
      </c>
    </row>
    <row r="772" spans="1:17" ht="13.95" customHeight="1">
      <c r="A772" s="110" t="s">
        <v>572</v>
      </c>
      <c r="B772" s="110">
        <v>102</v>
      </c>
      <c r="C772" s="110">
        <v>1.655</v>
      </c>
      <c r="D772" s="110" t="s">
        <v>2051</v>
      </c>
      <c r="E772" s="112">
        <v>42881</v>
      </c>
      <c r="N772" s="110" t="str">
        <f>IFERROR(INDEX('WetLitterbags placem_collection'!$A$3:$A$500,MATCH(A772,'WetLitterbags placem_collection'!$K$4:$K$500,0)),"")</f>
        <v/>
      </c>
      <c r="O772" s="110" t="str">
        <f>IFERROR(INDEX('WetLitterbags placem_collection'!$A$3:$A$500,MATCH(A772,'WetLitterbags placem_collection'!$O$4:$O$500,0)),"")</f>
        <v/>
      </c>
      <c r="P772" s="110">
        <f>IFERROR(INDEX('WetLitterbags placem_collection'!$A$3:$A$500,MATCH(A772,'WetLitterbags placem_collection'!$M$4:$M$500,0)),"")</f>
        <v>101</v>
      </c>
      <c r="Q772" s="110" t="str">
        <f>IFERROR(INDEX('WetLitterbags placem_collection'!$A$3:$A$500,MATCH(A772,'WetLitterbags placem_collection'!$Q$4:$Q$500,0)),"")</f>
        <v/>
      </c>
    </row>
    <row r="773" spans="1:17" ht="13.95" customHeight="1">
      <c r="A773" s="179" t="s">
        <v>571</v>
      </c>
      <c r="B773" s="110">
        <v>158</v>
      </c>
      <c r="C773" s="110">
        <v>1.718</v>
      </c>
      <c r="E773" s="112">
        <v>42879</v>
      </c>
      <c r="N773" s="110" t="str">
        <f>IFERROR(INDEX('WetLitterbags placem_collection'!$A$3:$A$500,MATCH(A773,'WetLitterbags placem_collection'!$K$4:$K$500,0)),"")</f>
        <v/>
      </c>
      <c r="O773" s="110" t="str">
        <f>IFERROR(INDEX('WetLitterbags placem_collection'!$A$3:$A$500,MATCH(A773,'WetLitterbags placem_collection'!$O$4:$O$500,0)),"")</f>
        <v/>
      </c>
      <c r="P773" s="110" t="str">
        <f>IFERROR(INDEX('WetLitterbags placem_collection'!$A$3:$A$500,MATCH(A773,'WetLitterbags placem_collection'!$M$4:$M$500,0)),"")</f>
        <v/>
      </c>
      <c r="Q773" s="110">
        <f>IFERROR(INDEX('WetLitterbags placem_collection'!$A$3:$A$500,MATCH(A773,'WetLitterbags placem_collection'!$Q$4:$Q$500,0)),"")</f>
        <v>157</v>
      </c>
    </row>
    <row r="774" spans="1:17" ht="13.95" customHeight="1">
      <c r="A774" s="182" t="s">
        <v>570</v>
      </c>
      <c r="B774" s="110">
        <v>144</v>
      </c>
      <c r="C774" s="110">
        <v>1.365</v>
      </c>
      <c r="E774" s="112">
        <v>42881</v>
      </c>
      <c r="N774" s="110" t="str">
        <f>IFERROR(INDEX('WetLitterbags placem_collection'!$A$3:$A$500,MATCH(A774,'WetLitterbags placem_collection'!$K$4:$K$500,0)),"")</f>
        <v/>
      </c>
      <c r="O774" s="110" t="str">
        <f>IFERROR(INDEX('WetLitterbags placem_collection'!$A$3:$A$500,MATCH(A774,'WetLitterbags placem_collection'!$O$4:$O$500,0)),"")</f>
        <v/>
      </c>
      <c r="P774" s="110">
        <f>IFERROR(INDEX('WetLitterbags placem_collection'!$A$3:$A$500,MATCH(A774,'WetLitterbags placem_collection'!$M$4:$M$500,0)),"")</f>
        <v>143</v>
      </c>
      <c r="Q774" s="110" t="str">
        <f>IFERROR(INDEX('WetLitterbags placem_collection'!$A$3:$A$500,MATCH(A774,'WetLitterbags placem_collection'!$Q$4:$Q$500,0)),"")</f>
        <v/>
      </c>
    </row>
    <row r="775" spans="1:17" ht="13.95" customHeight="1">
      <c r="A775" s="110" t="s">
        <v>569</v>
      </c>
      <c r="B775" s="110">
        <v>150</v>
      </c>
      <c r="C775" s="110">
        <v>1.5680000000000001</v>
      </c>
      <c r="E775" s="112">
        <v>42879</v>
      </c>
      <c r="N775" s="110" t="str">
        <f>IFERROR(INDEX('WetLitterbags placem_collection'!$A$3:$A$500,MATCH(A775,'WetLitterbags placem_collection'!$K$4:$K$500,0)),"")</f>
        <v/>
      </c>
      <c r="O775" s="110" t="str">
        <f>IFERROR(INDEX('WetLitterbags placem_collection'!$A$3:$A$500,MATCH(A775,'WetLitterbags placem_collection'!$O$4:$O$500,0)),"")</f>
        <v/>
      </c>
      <c r="P775" s="110" t="str">
        <f>IFERROR(INDEX('WetLitterbags placem_collection'!$A$3:$A$500,MATCH(A775,'WetLitterbags placem_collection'!$M$4:$M$500,0)),"")</f>
        <v/>
      </c>
      <c r="Q775" s="110">
        <f>IFERROR(INDEX('WetLitterbags placem_collection'!$A$3:$A$500,MATCH(A775,'WetLitterbags placem_collection'!$Q$4:$Q$500,0)),"")</f>
        <v>149</v>
      </c>
    </row>
    <row r="776" spans="1:17" ht="13.95" customHeight="1">
      <c r="A776" s="179" t="s">
        <v>568</v>
      </c>
      <c r="B776" s="110">
        <v>147</v>
      </c>
      <c r="C776" s="110">
        <v>1.746</v>
      </c>
      <c r="D776" s="110" t="s">
        <v>2138</v>
      </c>
      <c r="E776" s="112">
        <v>42878</v>
      </c>
      <c r="N776" s="110" t="str">
        <f>IFERROR(INDEX('WetLitterbags placem_collection'!$A$3:$A$500,MATCH(A776,'WetLitterbags placem_collection'!$K$4:$K$500,0)),"")</f>
        <v/>
      </c>
      <c r="O776" s="110" t="str">
        <f>IFERROR(INDEX('WetLitterbags placem_collection'!$A$3:$A$500,MATCH(A776,'WetLitterbags placem_collection'!$O$4:$O$500,0)),"")</f>
        <v/>
      </c>
      <c r="P776" s="110">
        <f>IFERROR(INDEX('WetLitterbags placem_collection'!$A$3:$A$500,MATCH(A776,'WetLitterbags placem_collection'!$M$4:$M$500,0)),"")</f>
        <v>146</v>
      </c>
      <c r="Q776" s="110" t="str">
        <f>IFERROR(INDEX('WetLitterbags placem_collection'!$A$3:$A$500,MATCH(A776,'WetLitterbags placem_collection'!$Q$4:$Q$500,0)),"")</f>
        <v/>
      </c>
    </row>
    <row r="777" spans="1:17" ht="13.95" customHeight="1">
      <c r="A777" s="110" t="s">
        <v>567</v>
      </c>
      <c r="B777" s="110">
        <v>107</v>
      </c>
      <c r="C777" s="110">
        <v>1.706</v>
      </c>
      <c r="E777" s="112">
        <v>43125</v>
      </c>
      <c r="N777" s="110" t="str">
        <f>IFERROR(INDEX('WetLitterbags placem_collection'!$A$3:$A$500,MATCH(A777,'WetLitterbags placem_collection'!$K$4:$K$500,0)),"")</f>
        <v/>
      </c>
      <c r="O777" s="110" t="str">
        <f>IFERROR(INDEX('WetLitterbags placem_collection'!$A$3:$A$500,MATCH(A777,'WetLitterbags placem_collection'!$O$4:$O$500,0)),"")</f>
        <v/>
      </c>
      <c r="P777" s="110">
        <f>IFERROR(INDEX('WetLitterbags placem_collection'!$A$3:$A$500,MATCH(A777,'WetLitterbags placem_collection'!$M$4:$M$500,0)),"")</f>
        <v>106</v>
      </c>
      <c r="Q777" s="110" t="str">
        <f>IFERROR(INDEX('WetLitterbags placem_collection'!$A$3:$A$500,MATCH(A777,'WetLitterbags placem_collection'!$Q$4:$Q$500,0)),"")</f>
        <v/>
      </c>
    </row>
    <row r="778" spans="1:17" ht="13.95" customHeight="1">
      <c r="A778" s="110" t="s">
        <v>566</v>
      </c>
      <c r="B778" s="110" t="s">
        <v>2077</v>
      </c>
      <c r="C778" s="110">
        <v>1.6872</v>
      </c>
      <c r="D778" s="110" t="s">
        <v>2116</v>
      </c>
      <c r="E778" s="112">
        <v>43123</v>
      </c>
      <c r="N778" s="110" t="str">
        <f>IFERROR(INDEX('WetLitterbags placem_collection'!$A$3:$A$500,MATCH(A778,'WetLitterbags placem_collection'!$K$4:$K$500,0)),"")</f>
        <v/>
      </c>
      <c r="O778" s="110" t="str">
        <f>IFERROR(INDEX('WetLitterbags placem_collection'!$A$3:$A$500,MATCH(A778,'WetLitterbags placem_collection'!$O$4:$O$500,0)),"")</f>
        <v/>
      </c>
      <c r="P778" s="110">
        <f>IFERROR(INDEX('WetLitterbags placem_collection'!$A$3:$A$500,MATCH(A778,'WetLitterbags placem_collection'!$M$4:$M$500,0)),"")</f>
        <v>122</v>
      </c>
      <c r="Q778" s="110" t="str">
        <f>IFERROR(INDEX('WetLitterbags placem_collection'!$A$3:$A$500,MATCH(A778,'WetLitterbags placem_collection'!$Q$4:$Q$500,0)),"")</f>
        <v/>
      </c>
    </row>
    <row r="779" spans="1:17" ht="13.95" customHeight="1">
      <c r="A779" s="110" t="s">
        <v>564</v>
      </c>
      <c r="B779" s="110">
        <v>104</v>
      </c>
      <c r="C779" s="110">
        <v>1.4470000000000001</v>
      </c>
      <c r="D779" s="110" t="s">
        <v>2115</v>
      </c>
      <c r="E779" s="112">
        <v>42878</v>
      </c>
      <c r="N779" s="110" t="str">
        <f>IFERROR(INDEX('WetLitterbags placem_collection'!$A$3:$A$500,MATCH(A779,'WetLitterbags placem_collection'!$K$4:$K$500,0)),"")</f>
        <v/>
      </c>
      <c r="O779" s="110" t="str">
        <f>IFERROR(INDEX('WetLitterbags placem_collection'!$A$3:$A$500,MATCH(A779,'WetLitterbags placem_collection'!$O$4:$O$500,0)),"")</f>
        <v/>
      </c>
      <c r="P779" s="110">
        <f>IFERROR(INDEX('WetLitterbags placem_collection'!$A$3:$A$500,MATCH(A779,'WetLitterbags placem_collection'!$M$4:$M$500,0)),"")</f>
        <v>103</v>
      </c>
      <c r="Q779" s="110" t="str">
        <f>IFERROR(INDEX('WetLitterbags placem_collection'!$A$3:$A$500,MATCH(A779,'WetLitterbags placem_collection'!$Q$4:$Q$500,0)),"")</f>
        <v/>
      </c>
    </row>
    <row r="780" spans="1:17" ht="13.95" customHeight="1">
      <c r="A780" s="113" t="s">
        <v>563</v>
      </c>
      <c r="B780" s="110">
        <v>113</v>
      </c>
      <c r="C780" s="110">
        <v>1.421</v>
      </c>
      <c r="E780" s="112">
        <v>42878</v>
      </c>
      <c r="N780" s="110" t="str">
        <f>IFERROR(INDEX('WetLitterbags placem_collection'!$A$3:$A$500,MATCH(A780,'WetLitterbags placem_collection'!$K$4:$K$500,0)),"")</f>
        <v/>
      </c>
      <c r="O780" s="110" t="str">
        <f>IFERROR(INDEX('WetLitterbags placem_collection'!$A$3:$A$500,MATCH(A780,'WetLitterbags placem_collection'!$O$4:$O$500,0)),"")</f>
        <v/>
      </c>
      <c r="P780" s="110" t="str">
        <f>IFERROR(INDEX('WetLitterbags placem_collection'!$A$3:$A$500,MATCH(A780,'WetLitterbags placem_collection'!$M$4:$M$500,0)),"")</f>
        <v/>
      </c>
      <c r="Q780" s="110">
        <f>IFERROR(INDEX('WetLitterbags placem_collection'!$A$3:$A$500,MATCH(A780,'WetLitterbags placem_collection'!$Q$4:$Q$500,0)),"")</f>
        <v>112</v>
      </c>
    </row>
    <row r="781" spans="1:17" ht="13.95" customHeight="1">
      <c r="A781" s="113" t="s">
        <v>563</v>
      </c>
      <c r="B781" s="110" t="s">
        <v>2077</v>
      </c>
      <c r="C781" s="110">
        <v>1.6898</v>
      </c>
      <c r="E781" s="112">
        <v>43122</v>
      </c>
      <c r="N781" s="110" t="str">
        <f>IFERROR(INDEX('WetLitterbags placem_collection'!$A$3:$A$500,MATCH(A781,'WetLitterbags placem_collection'!$K$4:$K$500,0)),"")</f>
        <v/>
      </c>
      <c r="O781" s="110" t="str">
        <f>IFERROR(INDEX('WetLitterbags placem_collection'!$A$3:$A$500,MATCH(A781,'WetLitterbags placem_collection'!$O$4:$O$500,0)),"")</f>
        <v/>
      </c>
      <c r="P781" s="110" t="str">
        <f>IFERROR(INDEX('WetLitterbags placem_collection'!$A$3:$A$500,MATCH(A781,'WetLitterbags placem_collection'!$M$4:$M$500,0)),"")</f>
        <v/>
      </c>
      <c r="Q781" s="110">
        <f>IFERROR(INDEX('WetLitterbags placem_collection'!$A$3:$A$500,MATCH(A781,'WetLitterbags placem_collection'!$Q$4:$Q$500,0)),"")</f>
        <v>112</v>
      </c>
    </row>
    <row r="782" spans="1:17" ht="13.95" customHeight="1">
      <c r="A782" s="110" t="s">
        <v>562</v>
      </c>
      <c r="B782" s="110" t="s">
        <v>2077</v>
      </c>
      <c r="C782" s="110">
        <v>1.5234000000000001</v>
      </c>
      <c r="E782" s="112">
        <v>43116</v>
      </c>
      <c r="N782" s="110" t="str">
        <f>IFERROR(INDEX('WetLitterbags placem_collection'!$A$3:$A$500,MATCH(A782,'WetLitterbags placem_collection'!$K$4:$K$500,0)),"")</f>
        <v/>
      </c>
      <c r="O782" s="110" t="str">
        <f>IFERROR(INDEX('WetLitterbags placem_collection'!$A$3:$A$500,MATCH(A782,'WetLitterbags placem_collection'!$O$4:$O$500,0)),"")</f>
        <v/>
      </c>
      <c r="P782" s="110" t="str">
        <f>IFERROR(INDEX('WetLitterbags placem_collection'!$A$3:$A$500,MATCH(A782,'WetLitterbags placem_collection'!$M$4:$M$500,0)),"")</f>
        <v/>
      </c>
      <c r="Q782" s="110">
        <f>IFERROR(INDEX('WetLitterbags placem_collection'!$A$3:$A$500,MATCH(A782,'WetLitterbags placem_collection'!$Q$4:$Q$500,0)),"")</f>
        <v>151</v>
      </c>
    </row>
    <row r="783" spans="1:17" ht="13.95" customHeight="1">
      <c r="A783" s="110" t="s">
        <v>1083</v>
      </c>
      <c r="B783" s="110">
        <v>56</v>
      </c>
      <c r="C783" s="110">
        <v>1.5980000000000001</v>
      </c>
      <c r="E783" s="112">
        <v>42881</v>
      </c>
      <c r="N783" s="110" t="str">
        <f>IFERROR(INDEX('WetLitterbags placem_collection'!$A$3:$A$500,MATCH(A783,'WetLitterbags placem_collection'!$K$4:$K$500,0)),"")</f>
        <v/>
      </c>
      <c r="O783" s="110" t="str">
        <f>IFERROR(INDEX('WetLitterbags placem_collection'!$A$3:$A$500,MATCH(A783,'WetLitterbags placem_collection'!$O$4:$O$500,0)),"")</f>
        <v/>
      </c>
      <c r="P783" s="110" t="str">
        <f>IFERROR(INDEX('WetLitterbags placem_collection'!$A$3:$A$500,MATCH(A783,'WetLitterbags placem_collection'!$M$4:$M$500,0)),"")</f>
        <v/>
      </c>
      <c r="Q783" s="110">
        <f>IFERROR(INDEX('WetLitterbags placem_collection'!$A$3:$A$500,MATCH(A783,'WetLitterbags placem_collection'!$Q$4:$Q$500,0)),"")</f>
        <v>55</v>
      </c>
    </row>
    <row r="784" spans="1:17" ht="13.95" customHeight="1">
      <c r="A784" s="110" t="s">
        <v>561</v>
      </c>
      <c r="B784" s="110" t="s">
        <v>2077</v>
      </c>
      <c r="C784" s="110">
        <v>1.6225000000000001</v>
      </c>
      <c r="E784" s="112">
        <v>43119</v>
      </c>
      <c r="N784" s="110" t="str">
        <f>IFERROR(INDEX('WetLitterbags placem_collection'!$A$3:$A$500,MATCH(A784,'WetLitterbags placem_collection'!$K$4:$K$500,0)),"")</f>
        <v/>
      </c>
      <c r="O784" s="110" t="str">
        <f>IFERROR(INDEX('WetLitterbags placem_collection'!$A$3:$A$500,MATCH(A784,'WetLitterbags placem_collection'!$O$4:$O$500,0)),"")</f>
        <v/>
      </c>
      <c r="P784" s="110" t="str">
        <f>IFERROR(INDEX('WetLitterbags placem_collection'!$A$3:$A$500,MATCH(A784,'WetLitterbags placem_collection'!$M$4:$M$500,0)),"")</f>
        <v/>
      </c>
      <c r="Q784" s="110">
        <f>IFERROR(INDEX('WetLitterbags placem_collection'!$A$3:$A$500,MATCH(A784,'WetLitterbags placem_collection'!$Q$4:$Q$500,0)),"")</f>
        <v>186</v>
      </c>
    </row>
    <row r="785" spans="1:17" ht="13.95" customHeight="1">
      <c r="A785" s="110" t="s">
        <v>560</v>
      </c>
      <c r="B785" s="110">
        <v>141</v>
      </c>
      <c r="C785" s="110">
        <v>1.2849999999999999</v>
      </c>
      <c r="D785" s="110" t="s">
        <v>2130</v>
      </c>
      <c r="E785" s="112">
        <v>42878</v>
      </c>
      <c r="N785" s="110" t="str">
        <f>IFERROR(INDEX('WetLitterbags placem_collection'!$A$3:$A$500,MATCH(A785,'WetLitterbags placem_collection'!$K$4:$K$500,0)),"")</f>
        <v/>
      </c>
      <c r="O785" s="110" t="str">
        <f>IFERROR(INDEX('WetLitterbags placem_collection'!$A$3:$A$500,MATCH(A785,'WetLitterbags placem_collection'!$O$4:$O$500,0)),"")</f>
        <v/>
      </c>
      <c r="P785" s="110">
        <f>IFERROR(INDEX('WetLitterbags placem_collection'!$A$3:$A$500,MATCH(A785,'WetLitterbags placem_collection'!$M$4:$M$500,0)),"")</f>
        <v>140</v>
      </c>
      <c r="Q785" s="110" t="str">
        <f>IFERROR(INDEX('WetLitterbags placem_collection'!$A$3:$A$500,MATCH(A785,'WetLitterbags placem_collection'!$Q$4:$Q$500,0)),"")</f>
        <v/>
      </c>
    </row>
    <row r="786" spans="1:17" ht="13.95" customHeight="1">
      <c r="A786" s="110" t="s">
        <v>559</v>
      </c>
      <c r="B786" s="110">
        <v>147</v>
      </c>
      <c r="C786" s="110">
        <v>1.742</v>
      </c>
      <c r="D786" s="110" t="s">
        <v>2074</v>
      </c>
      <c r="E786" s="112">
        <v>42878</v>
      </c>
      <c r="N786" s="110" t="str">
        <f>IFERROR(INDEX('WetLitterbags placem_collection'!$A$3:$A$500,MATCH(A786,'WetLitterbags placem_collection'!$K$4:$K$500,0)),"")</f>
        <v/>
      </c>
      <c r="O786" s="110" t="str">
        <f>IFERROR(INDEX('WetLitterbags placem_collection'!$A$3:$A$500,MATCH(A786,'WetLitterbags placem_collection'!$O$4:$O$500,0)),"")</f>
        <v/>
      </c>
      <c r="P786" s="110" t="str">
        <f>IFERROR(INDEX('WetLitterbags placem_collection'!$A$3:$A$500,MATCH(A786,'WetLitterbags placem_collection'!$M$4:$M$500,0)),"")</f>
        <v/>
      </c>
      <c r="Q786" s="110">
        <f>IFERROR(INDEX('WetLitterbags placem_collection'!$A$3:$A$500,MATCH(A786,'WetLitterbags placem_collection'!$Q$4:$Q$500,0)),"")</f>
        <v>146</v>
      </c>
    </row>
    <row r="787" spans="1:17" ht="13.95" customHeight="1">
      <c r="A787" s="110" t="s">
        <v>558</v>
      </c>
      <c r="B787" s="110">
        <v>170</v>
      </c>
      <c r="C787" s="110">
        <v>1.71</v>
      </c>
      <c r="E787" s="112">
        <v>42878</v>
      </c>
      <c r="N787" s="110" t="str">
        <f>IFERROR(INDEX('WetLitterbags placem_collection'!$A$3:$A$500,MATCH(A787,'WetLitterbags placem_collection'!$K$4:$K$500,0)),"")</f>
        <v/>
      </c>
      <c r="O787" s="110" t="str">
        <f>IFERROR(INDEX('WetLitterbags placem_collection'!$A$3:$A$500,MATCH(A787,'WetLitterbags placem_collection'!$O$4:$O$500,0)),"")</f>
        <v/>
      </c>
      <c r="P787" s="110" t="str">
        <f>IFERROR(INDEX('WetLitterbags placem_collection'!$A$3:$A$500,MATCH(A787,'WetLitterbags placem_collection'!$M$4:$M$500,0)),"")</f>
        <v/>
      </c>
      <c r="Q787" s="110">
        <f>IFERROR(INDEX('WetLitterbags placem_collection'!$A$3:$A$500,MATCH(A787,'WetLitterbags placem_collection'!$Q$4:$Q$500,0)),"")</f>
        <v>169</v>
      </c>
    </row>
    <row r="788" spans="1:17" ht="13.95" customHeight="1">
      <c r="A788" s="179" t="s">
        <v>557</v>
      </c>
      <c r="B788" s="110">
        <v>119</v>
      </c>
      <c r="C788" s="110">
        <v>0.435</v>
      </c>
      <c r="D788"/>
      <c r="E788" s="112">
        <v>42881</v>
      </c>
      <c r="N788" s="110" t="str">
        <f>IFERROR(INDEX('WetLitterbags placem_collection'!$A$3:$A$500,MATCH(A788,'WetLitterbags placem_collection'!$K$4:$K$500,0)),"")</f>
        <v/>
      </c>
      <c r="O788" s="110" t="str">
        <f>IFERROR(INDEX('WetLitterbags placem_collection'!$A$3:$A$500,MATCH(A788,'WetLitterbags placem_collection'!$O$4:$O$500,0)),"")</f>
        <v/>
      </c>
      <c r="P788" s="110">
        <f>IFERROR(INDEX('WetLitterbags placem_collection'!$A$3:$A$500,MATCH(A788,'WetLitterbags placem_collection'!$M$4:$M$500,0)),"")</f>
        <v>118</v>
      </c>
      <c r="Q788" s="110" t="str">
        <f>IFERROR(INDEX('WetLitterbags placem_collection'!$A$3:$A$500,MATCH(A788,'WetLitterbags placem_collection'!$Q$4:$Q$500,0)),"")</f>
        <v/>
      </c>
    </row>
    <row r="789" spans="1:17" ht="13.95" customHeight="1">
      <c r="A789" s="110" t="s">
        <v>556</v>
      </c>
      <c r="B789" s="110">
        <v>130</v>
      </c>
      <c r="C789" s="110">
        <v>1.6379999999999999</v>
      </c>
      <c r="E789" s="112">
        <v>42879</v>
      </c>
      <c r="N789" s="110" t="str">
        <f>IFERROR(INDEX('WetLitterbags placem_collection'!$A$3:$A$500,MATCH(A789,'WetLitterbags placem_collection'!$K$4:$K$500,0)),"")</f>
        <v/>
      </c>
      <c r="O789" s="110" t="str">
        <f>IFERROR(INDEX('WetLitterbags placem_collection'!$A$3:$A$500,MATCH(A789,'WetLitterbags placem_collection'!$O$4:$O$500,0)),"")</f>
        <v/>
      </c>
      <c r="P789" s="110">
        <f>IFERROR(INDEX('WetLitterbags placem_collection'!$A$3:$A$500,MATCH(A789,'WetLitterbags placem_collection'!$M$4:$M$500,0)),"")</f>
        <v>129</v>
      </c>
      <c r="Q789" s="110" t="str">
        <f>IFERROR(INDEX('WetLitterbags placem_collection'!$A$3:$A$500,MATCH(A789,'WetLitterbags placem_collection'!$Q$4:$Q$500,0)),"")</f>
        <v/>
      </c>
    </row>
    <row r="790" spans="1:17" ht="13.95" customHeight="1">
      <c r="A790" s="110" t="s">
        <v>554</v>
      </c>
      <c r="B790" s="110" t="s">
        <v>2077</v>
      </c>
      <c r="C790" s="110">
        <v>1.5119</v>
      </c>
      <c r="E790" s="112">
        <v>43122</v>
      </c>
      <c r="N790" s="110" t="str">
        <f>IFERROR(INDEX('WetLitterbags placem_collection'!$A$3:$A$500,MATCH(A790,'WetLitterbags placem_collection'!$K$4:$K$500,0)),"")</f>
        <v/>
      </c>
      <c r="O790" s="110" t="str">
        <f>IFERROR(INDEX('WetLitterbags placem_collection'!$A$3:$A$500,MATCH(A790,'WetLitterbags placem_collection'!$O$4:$O$500,0)),"")</f>
        <v/>
      </c>
      <c r="P790" s="110">
        <f>IFERROR(INDEX('WetLitterbags placem_collection'!$A$3:$A$500,MATCH(A790,'WetLitterbags placem_collection'!$M$4:$M$500,0)),"")</f>
        <v>180</v>
      </c>
      <c r="Q790" s="110" t="str">
        <f>IFERROR(INDEX('WetLitterbags placem_collection'!$A$3:$A$500,MATCH(A790,'WetLitterbags placem_collection'!$Q$4:$Q$500,0)),"")</f>
        <v/>
      </c>
    </row>
    <row r="791" spans="1:17" ht="13.95" customHeight="1">
      <c r="A791" s="110" t="s">
        <v>553</v>
      </c>
      <c r="B791" s="110" t="s">
        <v>2077</v>
      </c>
      <c r="C791" s="110">
        <v>0.87350000000000005</v>
      </c>
      <c r="E791" s="112">
        <v>43116</v>
      </c>
      <c r="N791" s="110" t="str">
        <f>IFERROR(INDEX('WetLitterbags placem_collection'!$A$3:$A$500,MATCH(A791,'WetLitterbags placem_collection'!$K$4:$K$500,0)),"")</f>
        <v/>
      </c>
      <c r="O791" s="110" t="str">
        <f>IFERROR(INDEX('WetLitterbags placem_collection'!$A$3:$A$500,MATCH(A791,'WetLitterbags placem_collection'!$O$4:$O$500,0)),"")</f>
        <v/>
      </c>
      <c r="P791" s="110" t="str">
        <f>IFERROR(INDEX('WetLitterbags placem_collection'!$A$3:$A$500,MATCH(A791,'WetLitterbags placem_collection'!$M$4:$M$500,0)),"")</f>
        <v/>
      </c>
      <c r="Q791" s="110">
        <f>IFERROR(INDEX('WetLitterbags placem_collection'!$A$3:$A$500,MATCH(A791,'WetLitterbags placem_collection'!$Q$4:$Q$500,0)),"")</f>
        <v>95</v>
      </c>
    </row>
    <row r="792" spans="1:17" ht="13.95" customHeight="1">
      <c r="A792" s="110" t="s">
        <v>552</v>
      </c>
      <c r="B792" s="110">
        <v>221</v>
      </c>
      <c r="C792" s="110">
        <v>1.5489999999999999</v>
      </c>
      <c r="E792" s="112">
        <v>42878</v>
      </c>
      <c r="N792" s="110" t="str">
        <f>IFERROR(INDEX('WetLitterbags placem_collection'!$A$3:$A$500,MATCH(A792,'WetLitterbags placem_collection'!$K$4:$K$500,0)),"")</f>
        <v/>
      </c>
      <c r="O792" s="110" t="str">
        <f>IFERROR(INDEX('WetLitterbags placem_collection'!$A$3:$A$500,MATCH(A792,'WetLitterbags placem_collection'!$O$4:$O$500,0)),"")</f>
        <v/>
      </c>
      <c r="P792" s="110" t="str">
        <f>IFERROR(INDEX('WetLitterbags placem_collection'!$A$3:$A$500,MATCH(A792,'WetLitterbags placem_collection'!$M$4:$M$500,0)),"")</f>
        <v/>
      </c>
      <c r="Q792" s="110">
        <f>IFERROR(INDEX('WetLitterbags placem_collection'!$A$3:$A$500,MATCH(A792,'WetLitterbags placem_collection'!$Q$4:$Q$500,0)),"")</f>
        <v>210</v>
      </c>
    </row>
    <row r="793" spans="1:17" ht="13.95" customHeight="1">
      <c r="A793" s="110" t="s">
        <v>1082</v>
      </c>
      <c r="B793" s="110" t="s">
        <v>2077</v>
      </c>
      <c r="C793" s="110">
        <v>1.4990000000000001</v>
      </c>
      <c r="E793" s="112">
        <v>43122</v>
      </c>
      <c r="N793" s="110" t="str">
        <f>IFERROR(INDEX('WetLitterbags placem_collection'!$A$3:$A$500,MATCH(A793,'WetLitterbags placem_collection'!$K$4:$K$500,0)),"")</f>
        <v/>
      </c>
      <c r="O793" s="110" t="str">
        <f>IFERROR(INDEX('WetLitterbags placem_collection'!$A$3:$A$500,MATCH(A793,'WetLitterbags placem_collection'!$O$4:$O$500,0)),"")</f>
        <v/>
      </c>
      <c r="P793" s="110" t="str">
        <f>IFERROR(INDEX('WetLitterbags placem_collection'!$A$3:$A$500,MATCH(A793,'WetLitterbags placem_collection'!$M$4:$M$500,0)),"")</f>
        <v/>
      </c>
      <c r="Q793" s="110">
        <f>IFERROR(INDEX('WetLitterbags placem_collection'!$A$3:$A$500,MATCH(A793,'WetLitterbags placem_collection'!$Q$4:$Q$500,0)),"")</f>
        <v>5</v>
      </c>
    </row>
    <row r="794" spans="1:17" ht="13.95" customHeight="1">
      <c r="A794" s="110" t="s">
        <v>551</v>
      </c>
      <c r="B794" s="110" t="s">
        <v>2057</v>
      </c>
      <c r="C794" s="110">
        <v>1.7769999999999999</v>
      </c>
      <c r="E794" s="112">
        <v>42881</v>
      </c>
      <c r="N794" s="110" t="str">
        <f>IFERROR(INDEX('WetLitterbags placem_collection'!$A$3:$A$500,MATCH(A794,'WetLitterbags placem_collection'!$K$4:$K$500,0)),"")</f>
        <v/>
      </c>
      <c r="O794" s="110" t="str">
        <f>IFERROR(INDEX('WetLitterbags placem_collection'!$A$3:$A$500,MATCH(A794,'WetLitterbags placem_collection'!$O$4:$O$500,0)),"")</f>
        <v/>
      </c>
      <c r="P794" s="110">
        <f>IFERROR(INDEX('WetLitterbags placem_collection'!$A$3:$A$500,MATCH(A794,'WetLitterbags placem_collection'!$M$4:$M$500,0)),"")</f>
        <v>105</v>
      </c>
      <c r="Q794" s="110" t="str">
        <f>IFERROR(INDEX('WetLitterbags placem_collection'!$A$3:$A$500,MATCH(A794,'WetLitterbags placem_collection'!$Q$4:$Q$500,0)),"")</f>
        <v/>
      </c>
    </row>
    <row r="795" spans="1:17" ht="13.95" customHeight="1">
      <c r="A795" s="110" t="s">
        <v>550</v>
      </c>
      <c r="B795" s="110" t="s">
        <v>2077</v>
      </c>
      <c r="C795" s="110">
        <v>1.6958</v>
      </c>
      <c r="E795" s="112">
        <v>43116</v>
      </c>
      <c r="N795" s="110" t="str">
        <f>IFERROR(INDEX('WetLitterbags placem_collection'!$A$3:$A$500,MATCH(A795,'WetLitterbags placem_collection'!$K$4:$K$500,0)),"")</f>
        <v/>
      </c>
      <c r="O795" s="110" t="str">
        <f>IFERROR(INDEX('WetLitterbags placem_collection'!$A$3:$A$500,MATCH(A795,'WetLitterbags placem_collection'!$O$4:$O$500,0)),"")</f>
        <v/>
      </c>
      <c r="P795" s="110">
        <f>IFERROR(INDEX('WetLitterbags placem_collection'!$A$3:$A$500,MATCH(A795,'WetLitterbags placem_collection'!$M$4:$M$500,0)),"")</f>
        <v>151</v>
      </c>
      <c r="Q795" s="110" t="str">
        <f>IFERROR(INDEX('WetLitterbags placem_collection'!$A$3:$A$500,MATCH(A795,'WetLitterbags placem_collection'!$Q$4:$Q$500,0)),"")</f>
        <v/>
      </c>
    </row>
    <row r="796" spans="1:17" ht="13.95" customHeight="1">
      <c r="A796" s="110" t="s">
        <v>549</v>
      </c>
      <c r="B796" s="110">
        <v>131</v>
      </c>
      <c r="C796" s="110">
        <v>1.6073999999999999</v>
      </c>
      <c r="E796" s="112">
        <v>43125</v>
      </c>
      <c r="N796" s="110" t="str">
        <f>IFERROR(INDEX('WetLitterbags placem_collection'!$A$3:$A$500,MATCH(A796,'WetLitterbags placem_collection'!$K$4:$K$500,0)),"")</f>
        <v/>
      </c>
      <c r="O796" s="110" t="str">
        <f>IFERROR(INDEX('WetLitterbags placem_collection'!$A$3:$A$500,MATCH(A796,'WetLitterbags placem_collection'!$O$4:$O$500,0)),"")</f>
        <v/>
      </c>
      <c r="P796" s="110" t="str">
        <f>IFERROR(INDEX('WetLitterbags placem_collection'!$A$3:$A$500,MATCH(A796,'WetLitterbags placem_collection'!$M$4:$M$500,0)),"")</f>
        <v/>
      </c>
      <c r="Q796" s="110">
        <f>IFERROR(INDEX('WetLitterbags placem_collection'!$A$3:$A$500,MATCH(A796,'WetLitterbags placem_collection'!$Q$4:$Q$500,0)),"")</f>
        <v>130</v>
      </c>
    </row>
    <row r="797" spans="1:17" ht="13.95" customHeight="1">
      <c r="A797" s="110" t="s">
        <v>548</v>
      </c>
      <c r="B797" s="110" t="s">
        <v>2057</v>
      </c>
      <c r="C797" s="110">
        <v>1.7729999999999999</v>
      </c>
      <c r="E797" s="112">
        <v>42881</v>
      </c>
      <c r="N797" s="110" t="str">
        <f>IFERROR(INDEX('WetLitterbags placem_collection'!$A$3:$A$500,MATCH(A797,'WetLitterbags placem_collection'!$K$4:$K$500,0)),"")</f>
        <v/>
      </c>
      <c r="O797" s="110" t="str">
        <f>IFERROR(INDEX('WetLitterbags placem_collection'!$A$3:$A$500,MATCH(A797,'WetLitterbags placem_collection'!$O$4:$O$500,0)),"")</f>
        <v/>
      </c>
      <c r="P797" s="110" t="str">
        <f>IFERROR(INDEX('WetLitterbags placem_collection'!$A$3:$A$500,MATCH(A797,'WetLitterbags placem_collection'!$M$4:$M$500,0)),"")</f>
        <v/>
      </c>
      <c r="Q797" s="110">
        <f>IFERROR(INDEX('WetLitterbags placem_collection'!$A$3:$A$500,MATCH(A797,'WetLitterbags placem_collection'!$Q$4:$Q$500,0)),"")</f>
        <v>105</v>
      </c>
    </row>
    <row r="798" spans="1:17" ht="13.95" customHeight="1">
      <c r="A798" s="110" t="s">
        <v>547</v>
      </c>
      <c r="B798" s="110">
        <v>120</v>
      </c>
      <c r="C798" s="110">
        <v>1.4142999999999999</v>
      </c>
      <c r="E798" s="112">
        <v>43125</v>
      </c>
      <c r="N798" s="110" t="str">
        <f>IFERROR(INDEX('WetLitterbags placem_collection'!$A$3:$A$500,MATCH(A798,'WetLitterbags placem_collection'!$K$4:$K$500,0)),"")</f>
        <v/>
      </c>
      <c r="O798" s="110" t="str">
        <f>IFERROR(INDEX('WetLitterbags placem_collection'!$A$3:$A$500,MATCH(A798,'WetLitterbags placem_collection'!$O$4:$O$500,0)),"")</f>
        <v/>
      </c>
      <c r="P798" s="110" t="str">
        <f>IFERROR(INDEX('WetLitterbags placem_collection'!$A$3:$A$500,MATCH(A798,'WetLitterbags placem_collection'!$M$4:$M$500,0)),"")</f>
        <v/>
      </c>
      <c r="Q798" s="110">
        <f>IFERROR(INDEX('WetLitterbags placem_collection'!$A$3:$A$500,MATCH(A798,'WetLitterbags placem_collection'!$Q$4:$Q$500,0)),"")</f>
        <v>119</v>
      </c>
    </row>
    <row r="799" spans="1:17" ht="13.95" customHeight="1">
      <c r="A799" s="110" t="s">
        <v>545</v>
      </c>
      <c r="B799" s="110">
        <v>135</v>
      </c>
      <c r="C799" s="110">
        <v>1.512</v>
      </c>
      <c r="E799" s="112">
        <v>42881</v>
      </c>
      <c r="N799" s="110" t="str">
        <f>IFERROR(INDEX('WetLitterbags placem_collection'!$A$3:$A$500,MATCH(A799,'WetLitterbags placem_collection'!$K$4:$K$500,0)),"")</f>
        <v/>
      </c>
      <c r="O799" s="110" t="str">
        <f>IFERROR(INDEX('WetLitterbags placem_collection'!$A$3:$A$500,MATCH(A799,'WetLitterbags placem_collection'!$O$4:$O$500,0)),"")</f>
        <v/>
      </c>
      <c r="P799" s="110" t="str">
        <f>IFERROR(INDEX('WetLitterbags placem_collection'!$A$3:$A$500,MATCH(A799,'WetLitterbags placem_collection'!$M$4:$M$500,0)),"")</f>
        <v/>
      </c>
      <c r="Q799" s="110">
        <f>IFERROR(INDEX('WetLitterbags placem_collection'!$A$3:$A$500,MATCH(A799,'WetLitterbags placem_collection'!$Q$4:$Q$500,0)),"")</f>
        <v>134</v>
      </c>
    </row>
    <row r="800" spans="1:17" ht="13.95" customHeight="1">
      <c r="A800" s="110" t="s">
        <v>544</v>
      </c>
      <c r="B800" s="110" t="s">
        <v>2077</v>
      </c>
      <c r="C800" s="110">
        <v>1.5714999999999999</v>
      </c>
      <c r="E800" s="112">
        <v>43123</v>
      </c>
      <c r="N800" s="110" t="str">
        <f>IFERROR(INDEX('WetLitterbags placem_collection'!$A$3:$A$500,MATCH(A800,'WetLitterbags placem_collection'!$K$4:$K$500,0)),"")</f>
        <v/>
      </c>
      <c r="O800" s="110" t="str">
        <f>IFERROR(INDEX('WetLitterbags placem_collection'!$A$3:$A$500,MATCH(A800,'WetLitterbags placem_collection'!$O$4:$O$500,0)),"")</f>
        <v/>
      </c>
      <c r="P800" s="110" t="str">
        <f>IFERROR(INDEX('WetLitterbags placem_collection'!$A$3:$A$500,MATCH(A800,'WetLitterbags placem_collection'!$M$4:$M$500,0)),"")</f>
        <v/>
      </c>
      <c r="Q800" s="110">
        <f>IFERROR(INDEX('WetLitterbags placem_collection'!$A$3:$A$500,MATCH(A800,'WetLitterbags placem_collection'!$Q$4:$Q$500,0)),"")</f>
        <v>132</v>
      </c>
    </row>
    <row r="801" spans="1:17" ht="13.95" customHeight="1">
      <c r="A801" s="110" t="s">
        <v>543</v>
      </c>
      <c r="B801" s="110">
        <v>156</v>
      </c>
      <c r="C801" s="110">
        <v>1.8080000000000001</v>
      </c>
      <c r="E801" s="112">
        <v>42879</v>
      </c>
      <c r="N801" s="110" t="str">
        <f>IFERROR(INDEX('WetLitterbags placem_collection'!$A$3:$A$500,MATCH(A801,'WetLitterbags placem_collection'!$K$4:$K$500,0)),"")</f>
        <v/>
      </c>
      <c r="O801" s="110" t="str">
        <f>IFERROR(INDEX('WetLitterbags placem_collection'!$A$3:$A$500,MATCH(A801,'WetLitterbags placem_collection'!$O$4:$O$500,0)),"")</f>
        <v/>
      </c>
      <c r="P801" s="110">
        <f>IFERROR(INDEX('WetLitterbags placem_collection'!$A$3:$A$500,MATCH(A801,'WetLitterbags placem_collection'!$M$4:$M$500,0)),"")</f>
        <v>155</v>
      </c>
      <c r="Q801" s="110" t="str">
        <f>IFERROR(INDEX('WetLitterbags placem_collection'!$A$3:$A$500,MATCH(A801,'WetLitterbags placem_collection'!$Q$4:$Q$500,0)),"")</f>
        <v/>
      </c>
    </row>
    <row r="802" spans="1:17" ht="13.95" customHeight="1">
      <c r="A802" s="110" t="s">
        <v>1135</v>
      </c>
      <c r="B802" s="110">
        <v>44</v>
      </c>
      <c r="C802" s="110">
        <v>1.5294000000000001</v>
      </c>
      <c r="E802" s="112">
        <v>43125</v>
      </c>
      <c r="N802" s="110" t="str">
        <f>IFERROR(INDEX('WetLitterbags placem_collection'!$A$3:$A$500,MATCH(A802,'WetLitterbags placem_collection'!$K$4:$K$500,0)),"")</f>
        <v/>
      </c>
      <c r="O802" s="110" t="str">
        <f>IFERROR(INDEX('WetLitterbags placem_collection'!$A$3:$A$500,MATCH(A802,'WetLitterbags placem_collection'!$O$4:$O$500,0)),"")</f>
        <v/>
      </c>
      <c r="P802" s="110" t="str">
        <f>IFERROR(INDEX('WetLitterbags placem_collection'!$A$3:$A$500,MATCH(A802,'WetLitterbags placem_collection'!$M$4:$M$500,0)),"")</f>
        <v/>
      </c>
      <c r="Q802" s="110">
        <f>IFERROR(INDEX('WetLitterbags placem_collection'!$A$3:$A$500,MATCH(A802,'WetLitterbags placem_collection'!$Q$4:$Q$500,0)),"")</f>
        <v>43</v>
      </c>
    </row>
    <row r="803" spans="1:17" ht="13.95" customHeight="1">
      <c r="A803" s="179" t="s">
        <v>1081</v>
      </c>
      <c r="B803" s="110">
        <v>56</v>
      </c>
      <c r="C803" s="110">
        <v>2.2909999999999999</v>
      </c>
      <c r="D803" s="110" t="s">
        <v>2058</v>
      </c>
      <c r="E803" s="112">
        <v>42881</v>
      </c>
      <c r="N803" s="110" t="str">
        <f>IFERROR(INDEX('WetLitterbags placem_collection'!$A$3:$A$500,MATCH(A803,'WetLitterbags placem_collection'!$K$4:$K$500,0)),"")</f>
        <v/>
      </c>
      <c r="O803" s="110" t="str">
        <f>IFERROR(INDEX('WetLitterbags placem_collection'!$A$3:$A$500,MATCH(A803,'WetLitterbags placem_collection'!$O$4:$O$500,0)),"")</f>
        <v/>
      </c>
      <c r="P803" s="110">
        <f>IFERROR(INDEX('WetLitterbags placem_collection'!$A$3:$A$500,MATCH(A803,'WetLitterbags placem_collection'!$M$4:$M$500,0)),"")</f>
        <v>55</v>
      </c>
      <c r="Q803" s="110" t="str">
        <f>IFERROR(INDEX('WetLitterbags placem_collection'!$A$3:$A$500,MATCH(A803,'WetLitterbags placem_collection'!$Q$4:$Q$500,0)),"")</f>
        <v/>
      </c>
    </row>
    <row r="804" spans="1:17" ht="13.95" customHeight="1">
      <c r="A804" s="110" t="s">
        <v>541</v>
      </c>
      <c r="B804" s="110">
        <v>134</v>
      </c>
      <c r="C804" s="110">
        <v>1.4419999999999999</v>
      </c>
      <c r="E804" s="112">
        <v>42881</v>
      </c>
      <c r="N804" s="110" t="str">
        <f>IFERROR(INDEX('WetLitterbags placem_collection'!$A$3:$A$500,MATCH(A804,'WetLitterbags placem_collection'!$K$4:$K$500,0)),"")</f>
        <v/>
      </c>
      <c r="O804" s="110" t="str">
        <f>IFERROR(INDEX('WetLitterbags placem_collection'!$A$3:$A$500,MATCH(A804,'WetLitterbags placem_collection'!$O$4:$O$500,0)),"")</f>
        <v/>
      </c>
      <c r="P804" s="110">
        <f>IFERROR(INDEX('WetLitterbags placem_collection'!$A$3:$A$500,MATCH(A804,'WetLitterbags placem_collection'!$M$4:$M$500,0)),"")</f>
        <v>133</v>
      </c>
      <c r="Q804" s="110" t="str">
        <f>IFERROR(INDEX('WetLitterbags placem_collection'!$A$3:$A$500,MATCH(A804,'WetLitterbags placem_collection'!$Q$4:$Q$500,0)),"")</f>
        <v/>
      </c>
    </row>
    <row r="805" spans="1:17" ht="13.95" customHeight="1">
      <c r="A805" s="110" t="s">
        <v>539</v>
      </c>
      <c r="B805" s="110">
        <v>114</v>
      </c>
      <c r="C805" s="110">
        <v>2.7930000000000001</v>
      </c>
      <c r="D805" s="110" t="s">
        <v>2071</v>
      </c>
      <c r="E805" s="112">
        <v>42878</v>
      </c>
      <c r="N805" s="110" t="str">
        <f>IFERROR(INDEX('WetLitterbags placem_collection'!$A$3:$A$500,MATCH(A805,'WetLitterbags placem_collection'!$K$4:$K$500,0)),"")</f>
        <v/>
      </c>
      <c r="O805" s="110" t="str">
        <f>IFERROR(INDEX('WetLitterbags placem_collection'!$A$3:$A$500,MATCH(A805,'WetLitterbags placem_collection'!$O$4:$O$500,0)),"")</f>
        <v/>
      </c>
      <c r="P805" s="110">
        <f>IFERROR(INDEX('WetLitterbags placem_collection'!$A$3:$A$500,MATCH(A805,'WetLitterbags placem_collection'!$M$4:$M$500,0)),"")</f>
        <v>113</v>
      </c>
      <c r="Q805" s="110" t="str">
        <f>IFERROR(INDEX('WetLitterbags placem_collection'!$A$3:$A$500,MATCH(A805,'WetLitterbags placem_collection'!$Q$4:$Q$500,0)),"")</f>
        <v/>
      </c>
    </row>
    <row r="806" spans="1:17" ht="13.95" customHeight="1">
      <c r="A806" s="110" t="s">
        <v>531</v>
      </c>
      <c r="B806" s="181">
        <v>186</v>
      </c>
      <c r="C806" s="110">
        <v>0.61599999999999999</v>
      </c>
      <c r="E806" s="112">
        <v>42878</v>
      </c>
      <c r="N806" s="110" t="str">
        <f>IFERROR(INDEX('WetLitterbags placem_collection'!$A$3:$A$500,MATCH(A806,'WetLitterbags placem_collection'!$K$4:$K$500,0)),"")</f>
        <v/>
      </c>
      <c r="O806" s="110" t="str">
        <f>IFERROR(INDEX('WetLitterbags placem_collection'!$A$3:$A$500,MATCH(A806,'WetLitterbags placem_collection'!$O$4:$O$500,0)),"")</f>
        <v/>
      </c>
      <c r="P806" s="110" t="str">
        <f>IFERROR(INDEX('WetLitterbags placem_collection'!$A$3:$A$500,MATCH(A806,'WetLitterbags placem_collection'!$M$4:$M$500,0)),"")</f>
        <v/>
      </c>
      <c r="Q806" s="110" t="str">
        <f>IFERROR(INDEX('WetLitterbags placem_collection'!$A$3:$A$500,MATCH(A806,'WetLitterbags placem_collection'!$Q$4:$Q$500,0)),"")</f>
        <v/>
      </c>
    </row>
    <row r="807" spans="1:17" ht="13.95" customHeight="1">
      <c r="A807" s="110" t="s">
        <v>524</v>
      </c>
      <c r="B807" s="110">
        <v>104</v>
      </c>
      <c r="C807" s="110">
        <v>0.64100000000000001</v>
      </c>
      <c r="E807" s="112">
        <v>42881</v>
      </c>
      <c r="N807" s="110" t="str">
        <f>IFERROR(INDEX('WetLitterbags placem_collection'!$A$3:$A$500,MATCH(A807,'WetLitterbags placem_collection'!$K$4:$K$500,0)),"")</f>
        <v/>
      </c>
      <c r="O807" s="110" t="str">
        <f>IFERROR(INDEX('WetLitterbags placem_collection'!$A$3:$A$500,MATCH(A807,'WetLitterbags placem_collection'!$O$4:$O$500,0)),"")</f>
        <v/>
      </c>
      <c r="P807" s="110" t="str">
        <f>IFERROR(INDEX('WetLitterbags placem_collection'!$A$3:$A$500,MATCH(A807,'WetLitterbags placem_collection'!$M$4:$M$500,0)),"")</f>
        <v/>
      </c>
      <c r="Q807" s="110" t="str">
        <f>IFERROR(INDEX('WetLitterbags placem_collection'!$A$3:$A$500,MATCH(A807,'WetLitterbags placem_collection'!$Q$4:$Q$500,0)),"")</f>
        <v/>
      </c>
    </row>
    <row r="808" spans="1:17" ht="13.95" customHeight="1">
      <c r="A808" s="110" t="s">
        <v>1079</v>
      </c>
      <c r="B808" s="110">
        <v>86</v>
      </c>
      <c r="C808" s="110">
        <v>1.6786000000000001</v>
      </c>
      <c r="E808" s="112">
        <v>43123</v>
      </c>
      <c r="N808" s="110" t="str">
        <f>IFERROR(INDEX('WetLitterbags placem_collection'!$A$3:$A$500,MATCH(A808,'WetLitterbags placem_collection'!$K$4:$K$500,0)),"")</f>
        <v/>
      </c>
      <c r="O808" s="110" t="str">
        <f>IFERROR(INDEX('WetLitterbags placem_collection'!$A$3:$A$500,MATCH(A808,'WetLitterbags placem_collection'!$O$4:$O$500,0)),"")</f>
        <v/>
      </c>
      <c r="P808" s="110" t="str">
        <f>IFERROR(INDEX('WetLitterbags placem_collection'!$A$3:$A$500,MATCH(A808,'WetLitterbags placem_collection'!$M$4:$M$500,0)),"")</f>
        <v/>
      </c>
      <c r="Q808" s="110">
        <f>IFERROR(INDEX('WetLitterbags placem_collection'!$A$3:$A$500,MATCH(A808,'WetLitterbags placem_collection'!$Q$4:$Q$500,0)),"")</f>
        <v>85</v>
      </c>
    </row>
    <row r="809" spans="1:17" ht="13.95" customHeight="1">
      <c r="A809" s="110" t="s">
        <v>513</v>
      </c>
      <c r="B809" s="110">
        <v>41</v>
      </c>
      <c r="C809" s="110">
        <v>0.82899999999999996</v>
      </c>
      <c r="E809" s="112">
        <v>42879</v>
      </c>
      <c r="N809" s="110" t="str">
        <f>IFERROR(INDEX('WetLitterbags placem_collection'!$A$3:$A$500,MATCH(A809,'WetLitterbags placem_collection'!$K$4:$K$500,0)),"")</f>
        <v/>
      </c>
      <c r="O809" s="110" t="str">
        <f>IFERROR(INDEX('WetLitterbags placem_collection'!$A$3:$A$500,MATCH(A809,'WetLitterbags placem_collection'!$O$4:$O$500,0)),"")</f>
        <v/>
      </c>
      <c r="P809" s="110" t="str">
        <f>IFERROR(INDEX('WetLitterbags placem_collection'!$A$3:$A$500,MATCH(A809,'WetLitterbags placem_collection'!$M$4:$M$500,0)),"")</f>
        <v/>
      </c>
      <c r="Q809" s="110" t="str">
        <f>IFERROR(INDEX('WetLitterbags placem_collection'!$A$3:$A$500,MATCH(A809,'WetLitterbags placem_collection'!$Q$4:$Q$500,0)),"")</f>
        <v/>
      </c>
    </row>
    <row r="810" spans="1:17" ht="13.95" customHeight="1">
      <c r="A810" s="110" t="s">
        <v>1078</v>
      </c>
      <c r="B810" s="110">
        <v>37</v>
      </c>
      <c r="C810" s="110">
        <v>1.3620000000000001</v>
      </c>
      <c r="D810" s="110" t="s">
        <v>2058</v>
      </c>
      <c r="E810" s="112">
        <v>42881</v>
      </c>
      <c r="N810" s="110" t="str">
        <f>IFERROR(INDEX('WetLitterbags placem_collection'!$A$3:$A$500,MATCH(A810,'WetLitterbags placem_collection'!$K$4:$K$500,0)),"")</f>
        <v/>
      </c>
      <c r="O810" s="110" t="str">
        <f>IFERROR(INDEX('WetLitterbags placem_collection'!$A$3:$A$500,MATCH(A810,'WetLitterbags placem_collection'!$O$4:$O$500,0)),"")</f>
        <v/>
      </c>
      <c r="P810" s="110">
        <f>IFERROR(INDEX('WetLitterbags placem_collection'!$A$3:$A$500,MATCH(A810,'WetLitterbags placem_collection'!$M$4:$M$500,0)),"")</f>
        <v>36</v>
      </c>
      <c r="Q810" s="110" t="str">
        <f>IFERROR(INDEX('WetLitterbags placem_collection'!$A$3:$A$500,MATCH(A810,'WetLitterbags placem_collection'!$Q$4:$Q$500,0)),"")</f>
        <v/>
      </c>
    </row>
    <row r="811" spans="1:17" ht="13.95" customHeight="1">
      <c r="A811" s="110" t="s">
        <v>1077</v>
      </c>
      <c r="B811" s="110">
        <v>35</v>
      </c>
      <c r="C811" s="110">
        <v>1.615</v>
      </c>
      <c r="E811" s="112">
        <v>42879</v>
      </c>
      <c r="N811" s="110" t="str">
        <f>IFERROR(INDEX('WetLitterbags placem_collection'!$A$3:$A$500,MATCH(A811,'WetLitterbags placem_collection'!$K$4:$K$500,0)),"")</f>
        <v/>
      </c>
      <c r="O811" s="110" t="str">
        <f>IFERROR(INDEX('WetLitterbags placem_collection'!$A$3:$A$500,MATCH(A811,'WetLitterbags placem_collection'!$O$4:$O$500,0)),"")</f>
        <v/>
      </c>
      <c r="P811" s="110">
        <f>IFERROR(INDEX('WetLitterbags placem_collection'!$A$3:$A$500,MATCH(A811,'WetLitterbags placem_collection'!$M$4:$M$500,0)),"")</f>
        <v>34</v>
      </c>
      <c r="Q811" s="110" t="str">
        <f>IFERROR(INDEX('WetLitterbags placem_collection'!$A$3:$A$500,MATCH(A811,'WetLitterbags placem_collection'!$Q$4:$Q$500,0)),"")</f>
        <v/>
      </c>
    </row>
    <row r="812" spans="1:17" ht="13.95" customHeight="1">
      <c r="A812" s="110" t="s">
        <v>1076</v>
      </c>
      <c r="B812" s="110">
        <v>39</v>
      </c>
      <c r="C812" s="110">
        <v>1.5185</v>
      </c>
      <c r="E812" s="112">
        <v>43123</v>
      </c>
      <c r="N812" s="110" t="str">
        <f>IFERROR(INDEX('WetLitterbags placem_collection'!$A$3:$A$500,MATCH(A812,'WetLitterbags placem_collection'!$K$4:$K$500,0)),"")</f>
        <v/>
      </c>
      <c r="O812" s="110" t="str">
        <f>IFERROR(INDEX('WetLitterbags placem_collection'!$A$3:$A$500,MATCH(A812,'WetLitterbags placem_collection'!$O$4:$O$500,0)),"")</f>
        <v/>
      </c>
      <c r="P812" s="110" t="str">
        <f>IFERROR(INDEX('WetLitterbags placem_collection'!$A$3:$A$500,MATCH(A812,'WetLitterbags placem_collection'!$M$4:$M$500,0)),"")</f>
        <v/>
      </c>
      <c r="Q812" s="110">
        <f>IFERROR(INDEX('WetLitterbags placem_collection'!$A$3:$A$500,MATCH(A812,'WetLitterbags placem_collection'!$Q$4:$Q$500,0)),"")</f>
        <v>38</v>
      </c>
    </row>
    <row r="813" spans="1:17" ht="13.95" customHeight="1">
      <c r="A813" s="110" t="s">
        <v>1073</v>
      </c>
      <c r="B813" s="110">
        <v>80</v>
      </c>
      <c r="C813" s="110">
        <v>1.639</v>
      </c>
      <c r="E813" s="112">
        <v>42878</v>
      </c>
      <c r="N813" s="110" t="str">
        <f>IFERROR(INDEX('WetLitterbags placem_collection'!$A$3:$A$500,MATCH(A813,'WetLitterbags placem_collection'!$K$4:$K$500,0)),"")</f>
        <v/>
      </c>
      <c r="O813" s="110" t="str">
        <f>IFERROR(INDEX('WetLitterbags placem_collection'!$A$3:$A$500,MATCH(A813,'WetLitterbags placem_collection'!$O$4:$O$500,0)),"")</f>
        <v/>
      </c>
      <c r="P813" s="110" t="str">
        <f>IFERROR(INDEX('WetLitterbags placem_collection'!$A$3:$A$500,MATCH(A813,'WetLitterbags placem_collection'!$M$4:$M$500,0)),"")</f>
        <v/>
      </c>
      <c r="Q813" s="110">
        <f>IFERROR(INDEX('WetLitterbags placem_collection'!$A$3:$A$500,MATCH(A813,'WetLitterbags placem_collection'!$Q$4:$Q$500,0)),"")</f>
        <v>79</v>
      </c>
    </row>
    <row r="814" spans="1:17" ht="13.95" customHeight="1">
      <c r="A814" s="110" t="s">
        <v>1072</v>
      </c>
      <c r="B814" s="110">
        <v>35</v>
      </c>
      <c r="C814" s="110">
        <v>1.498</v>
      </c>
      <c r="E814" s="112">
        <v>42879</v>
      </c>
      <c r="N814" s="110" t="str">
        <f>IFERROR(INDEX('WetLitterbags placem_collection'!$A$3:$A$500,MATCH(A814,'WetLitterbags placem_collection'!$K$4:$K$500,0)),"")</f>
        <v/>
      </c>
      <c r="O814" s="110" t="str">
        <f>IFERROR(INDEX('WetLitterbags placem_collection'!$A$3:$A$500,MATCH(A814,'WetLitterbags placem_collection'!$O$4:$O$500,0)),"")</f>
        <v/>
      </c>
      <c r="P814" s="110" t="str">
        <f>IFERROR(INDEX('WetLitterbags placem_collection'!$A$3:$A$500,MATCH(A814,'WetLitterbags placem_collection'!$M$4:$M$500,0)),"")</f>
        <v/>
      </c>
      <c r="Q814" s="110">
        <f>IFERROR(INDEX('WetLitterbags placem_collection'!$A$3:$A$500,MATCH(A814,'WetLitterbags placem_collection'!$Q$4:$Q$500,0)),"")</f>
        <v>34</v>
      </c>
    </row>
    <row r="815" spans="1:17" ht="13.95" customHeight="1">
      <c r="A815" s="110" t="s">
        <v>1134</v>
      </c>
      <c r="B815" s="110">
        <v>150</v>
      </c>
      <c r="C815" s="110">
        <v>1.718</v>
      </c>
      <c r="D815" s="110" t="s">
        <v>2064</v>
      </c>
      <c r="E815" s="112">
        <v>42879</v>
      </c>
      <c r="N815" s="110" t="str">
        <f>IFERROR(INDEX('WetLitterbags placem_collection'!$A$3:$A$500,MATCH(A815,'WetLitterbags placem_collection'!$K$4:$K$500,0)),"")</f>
        <v/>
      </c>
      <c r="O815" s="110" t="str">
        <f>IFERROR(INDEX('WetLitterbags placem_collection'!$A$3:$A$500,MATCH(A815,'WetLitterbags placem_collection'!$O$4:$O$500,0)),"")</f>
        <v/>
      </c>
      <c r="P815" s="110">
        <f>IFERROR(INDEX('WetLitterbags placem_collection'!$A$3:$A$500,MATCH(A815,'WetLitterbags placem_collection'!$M$4:$M$500,0)),"")</f>
        <v>149</v>
      </c>
      <c r="Q815" s="110" t="str">
        <f>IFERROR(INDEX('WetLitterbags placem_collection'!$A$3:$A$500,MATCH(A815,'WetLitterbags placem_collection'!$Q$4:$Q$500,0)),"")</f>
        <v/>
      </c>
    </row>
    <row r="816" spans="1:17" ht="13.95" customHeight="1">
      <c r="A816" s="110" t="s">
        <v>1070</v>
      </c>
      <c r="B816" s="110">
        <v>24</v>
      </c>
      <c r="C816" s="110">
        <v>1.3083</v>
      </c>
      <c r="D816" s="110" t="s">
        <v>2098</v>
      </c>
      <c r="E816" s="112">
        <v>43125</v>
      </c>
      <c r="N816" s="110" t="str">
        <f>IFERROR(INDEX('WetLitterbags placem_collection'!$A$3:$A$500,MATCH(A816,'WetLitterbags placem_collection'!$K$4:$K$500,0)),"")</f>
        <v/>
      </c>
      <c r="O816" s="110" t="str">
        <f>IFERROR(INDEX('WetLitterbags placem_collection'!$A$3:$A$500,MATCH(A816,'WetLitterbags placem_collection'!$O$4:$O$500,0)),"")</f>
        <v/>
      </c>
      <c r="P816" s="110" t="str">
        <f>IFERROR(INDEX('WetLitterbags placem_collection'!$A$3:$A$500,MATCH(A816,'WetLitterbags placem_collection'!$M$4:$M$500,0)),"")</f>
        <v/>
      </c>
      <c r="Q816" s="110">
        <f>IFERROR(INDEX('WetLitterbags placem_collection'!$A$3:$A$500,MATCH(A816,'WetLitterbags placem_collection'!$Q$4:$Q$500,0)),"")</f>
        <v>23</v>
      </c>
    </row>
    <row r="817" spans="1:17" ht="13.95" customHeight="1">
      <c r="A817" s="110" t="s">
        <v>1069</v>
      </c>
      <c r="B817" s="110">
        <v>46</v>
      </c>
      <c r="C817" s="110">
        <v>1.6359999999999999</v>
      </c>
      <c r="E817" s="112">
        <v>42881</v>
      </c>
      <c r="N817" s="110" t="str">
        <f>IFERROR(INDEX('WetLitterbags placem_collection'!$A$3:$A$500,MATCH(A817,'WetLitterbags placem_collection'!$K$4:$K$500,0)),"")</f>
        <v/>
      </c>
      <c r="O817" s="110" t="str">
        <f>IFERROR(INDEX('WetLitterbags placem_collection'!$A$3:$A$500,MATCH(A817,'WetLitterbags placem_collection'!$O$4:$O$500,0)),"")</f>
        <v/>
      </c>
      <c r="P817" s="110">
        <f>IFERROR(INDEX('WetLitterbags placem_collection'!$A$3:$A$500,MATCH(A817,'WetLitterbags placem_collection'!$M$4:$M$500,0)),"")</f>
        <v>47</v>
      </c>
      <c r="Q817" s="110" t="str">
        <f>IFERROR(INDEX('WetLitterbags placem_collection'!$A$3:$A$500,MATCH(A817,'WetLitterbags placem_collection'!$Q$4:$Q$500,0)),"")</f>
        <v/>
      </c>
    </row>
    <row r="818" spans="1:17" ht="13.95" customHeight="1">
      <c r="A818" s="110" t="s">
        <v>1068</v>
      </c>
      <c r="B818" s="110">
        <v>91</v>
      </c>
      <c r="C818" s="110">
        <v>1.663</v>
      </c>
      <c r="E818" s="112">
        <v>42878</v>
      </c>
      <c r="N818" s="110" t="str">
        <f>IFERROR(INDEX('WetLitterbags placem_collection'!$A$3:$A$500,MATCH(A818,'WetLitterbags placem_collection'!$K$4:$K$500,0)),"")</f>
        <v/>
      </c>
      <c r="O818" s="110" t="str">
        <f>IFERROR(INDEX('WetLitterbags placem_collection'!$A$3:$A$500,MATCH(A818,'WetLitterbags placem_collection'!$O$4:$O$500,0)),"")</f>
        <v/>
      </c>
      <c r="P818" s="110" t="str">
        <f>IFERROR(INDEX('WetLitterbags placem_collection'!$A$3:$A$500,MATCH(A818,'WetLitterbags placem_collection'!$M$4:$M$500,0)),"")</f>
        <v/>
      </c>
      <c r="Q818" s="110">
        <f>IFERROR(INDEX('WetLitterbags placem_collection'!$A$3:$A$500,MATCH(A818,'WetLitterbags placem_collection'!$Q$4:$Q$500,0)),"")</f>
        <v>90</v>
      </c>
    </row>
    <row r="819" spans="1:17" ht="13.95" customHeight="1">
      <c r="A819" s="110" t="s">
        <v>1067</v>
      </c>
      <c r="B819" s="110">
        <v>45</v>
      </c>
      <c r="C819" s="110">
        <v>1.5923</v>
      </c>
      <c r="E819" s="112">
        <v>43123</v>
      </c>
      <c r="N819" s="110" t="str">
        <f>IFERROR(INDEX('WetLitterbags placem_collection'!$A$3:$A$500,MATCH(A819,'WetLitterbags placem_collection'!$K$4:$K$500,0)),"")</f>
        <v/>
      </c>
      <c r="O819" s="110" t="str">
        <f>IFERROR(INDEX('WetLitterbags placem_collection'!$A$3:$A$500,MATCH(A819,'WetLitterbags placem_collection'!$O$4:$O$500,0)),"")</f>
        <v/>
      </c>
      <c r="P819" s="110" t="str">
        <f>IFERROR(INDEX('WetLitterbags placem_collection'!$A$3:$A$500,MATCH(A819,'WetLitterbags placem_collection'!$M$4:$M$500,0)),"")</f>
        <v/>
      </c>
      <c r="Q819" s="110">
        <f>IFERROR(INDEX('WetLitterbags placem_collection'!$A$3:$A$500,MATCH(A819,'WetLitterbags placem_collection'!$Q$4:$Q$500,0)),"")</f>
        <v>44</v>
      </c>
    </row>
    <row r="820" spans="1:17" ht="13.95" customHeight="1">
      <c r="A820" s="110" t="s">
        <v>1065</v>
      </c>
      <c r="B820">
        <v>47</v>
      </c>
      <c r="C820" s="110">
        <v>1.665</v>
      </c>
      <c r="E820" s="112">
        <v>42879</v>
      </c>
      <c r="N820" s="110" t="str">
        <f>IFERROR(INDEX('WetLitterbags placem_collection'!$A$3:$A$500,MATCH(A820,'WetLitterbags placem_collection'!$K$4:$K$500,0)),"")</f>
        <v/>
      </c>
      <c r="O820" s="110" t="str">
        <f>IFERROR(INDEX('WetLitterbags placem_collection'!$A$3:$A$500,MATCH(A820,'WetLitterbags placem_collection'!$O$4:$O$500,0)),"")</f>
        <v/>
      </c>
      <c r="P820" s="110" t="str">
        <f>IFERROR(INDEX('WetLitterbags placem_collection'!$A$3:$A$500,MATCH(A820,'WetLitterbags placem_collection'!$M$4:$M$500,0)),"")</f>
        <v/>
      </c>
      <c r="Q820" s="110">
        <f>IFERROR(INDEX('WetLitterbags placem_collection'!$A$3:$A$500,MATCH(A820,'WetLitterbags placem_collection'!$Q$4:$Q$500,0)),"")</f>
        <v>46</v>
      </c>
    </row>
    <row r="821" spans="1:17" ht="13.95" customHeight="1">
      <c r="A821" s="110" t="s">
        <v>376</v>
      </c>
      <c r="B821" s="110">
        <v>92</v>
      </c>
      <c r="C821" s="110">
        <v>1.448</v>
      </c>
      <c r="E821" s="112">
        <v>42879</v>
      </c>
      <c r="N821" s="110" t="str">
        <f>IFERROR(INDEX('WetLitterbags placem_collection'!$A$3:$A$500,MATCH(A821,'WetLitterbags placem_collection'!$K$4:$K$500,0)),"")</f>
        <v/>
      </c>
      <c r="O821" s="110" t="str">
        <f>IFERROR(INDEX('WetLitterbags placem_collection'!$A$3:$A$500,MATCH(A821,'WetLitterbags placem_collection'!$O$4:$O$500,0)),"")</f>
        <v/>
      </c>
      <c r="P821" s="110" t="str">
        <f>IFERROR(INDEX('WetLitterbags placem_collection'!$A$3:$A$500,MATCH(A821,'WetLitterbags placem_collection'!$M$4:$M$500,0)),"")</f>
        <v/>
      </c>
      <c r="Q821" s="110" t="str">
        <f>IFERROR(INDEX('WetLitterbags placem_collection'!$A$3:$A$500,MATCH(A821,'WetLitterbags placem_collection'!$Q$4:$Q$500,0)),"")</f>
        <v/>
      </c>
    </row>
    <row r="822" spans="1:17" ht="13.95" customHeight="1">
      <c r="A822" s="110" t="s">
        <v>1064</v>
      </c>
      <c r="B822" s="110">
        <v>41</v>
      </c>
      <c r="C822" s="110">
        <v>1.5429999999999999</v>
      </c>
      <c r="E822" s="112">
        <v>42879</v>
      </c>
      <c r="N822" s="110" t="str">
        <f>IFERROR(INDEX('WetLitterbags placem_collection'!$A$3:$A$500,MATCH(A822,'WetLitterbags placem_collection'!$K$4:$K$500,0)),"")</f>
        <v/>
      </c>
      <c r="O822" s="110" t="str">
        <f>IFERROR(INDEX('WetLitterbags placem_collection'!$A$3:$A$500,MATCH(A822,'WetLitterbags placem_collection'!$O$4:$O$500,0)),"")</f>
        <v/>
      </c>
      <c r="P822" s="110" t="str">
        <f>IFERROR(INDEX('WetLitterbags placem_collection'!$A$3:$A$500,MATCH(A822,'WetLitterbags placem_collection'!$M$4:$M$500,0)),"")</f>
        <v/>
      </c>
      <c r="Q822" s="110">
        <f>IFERROR(INDEX('WetLitterbags placem_collection'!$A$3:$A$500,MATCH(A822,'WetLitterbags placem_collection'!$Q$4:$Q$500,0)),"")</f>
        <v>40</v>
      </c>
    </row>
    <row r="823" spans="1:17" ht="13.95" customHeight="1">
      <c r="A823" s="110" t="s">
        <v>1063</v>
      </c>
      <c r="B823" s="110">
        <v>60</v>
      </c>
      <c r="C823" s="110">
        <v>1.665</v>
      </c>
      <c r="E823" s="112">
        <v>42879</v>
      </c>
      <c r="N823" s="110" t="str">
        <f>IFERROR(INDEX('WetLitterbags placem_collection'!$A$3:$A$500,MATCH(A823,'WetLitterbags placem_collection'!$K$4:$K$500,0)),"")</f>
        <v/>
      </c>
      <c r="O823" s="110" t="str">
        <f>IFERROR(INDEX('WetLitterbags placem_collection'!$A$3:$A$500,MATCH(A823,'WetLitterbags placem_collection'!$O$4:$O$500,0)),"")</f>
        <v/>
      </c>
      <c r="P823" s="110">
        <f>IFERROR(INDEX('WetLitterbags placem_collection'!$A$3:$A$500,MATCH(A823,'WetLitterbags placem_collection'!$M$4:$M$500,0)),"")</f>
        <v>59</v>
      </c>
      <c r="Q823" s="110" t="str">
        <f>IFERROR(INDEX('WetLitterbags placem_collection'!$A$3:$A$500,MATCH(A823,'WetLitterbags placem_collection'!$Q$4:$Q$500,0)),"")</f>
        <v/>
      </c>
    </row>
    <row r="824" spans="1:17" ht="13.95" customHeight="1">
      <c r="A824" s="110" t="s">
        <v>1062</v>
      </c>
      <c r="B824" s="110">
        <v>21</v>
      </c>
      <c r="C824" s="110">
        <v>1.4087000000000001</v>
      </c>
      <c r="E824" s="112">
        <v>43116</v>
      </c>
      <c r="N824" s="110" t="str">
        <f>IFERROR(INDEX('WetLitterbags placem_collection'!$A$3:$A$500,MATCH(A824,'WetLitterbags placem_collection'!$K$4:$K$500,0)),"")</f>
        <v/>
      </c>
      <c r="O824" s="110" t="str">
        <f>IFERROR(INDEX('WetLitterbags placem_collection'!$A$3:$A$500,MATCH(A824,'WetLitterbags placem_collection'!$O$4:$O$500,0)),"")</f>
        <v/>
      </c>
      <c r="P824" s="110" t="str">
        <f>IFERROR(INDEX('WetLitterbags placem_collection'!$A$3:$A$500,MATCH(A824,'WetLitterbags placem_collection'!$M$4:$M$500,0)),"")</f>
        <v/>
      </c>
      <c r="Q824" s="110">
        <f>IFERROR(INDEX('WetLitterbags placem_collection'!$A$3:$A$500,MATCH(A824,'WetLitterbags placem_collection'!$Q$4:$Q$500,0)),"")</f>
        <v>20</v>
      </c>
    </row>
    <row r="825" spans="1:17" ht="13.95" customHeight="1">
      <c r="A825" s="110" t="s">
        <v>1133</v>
      </c>
      <c r="B825" s="110">
        <v>108</v>
      </c>
      <c r="C825" s="110">
        <v>1.536</v>
      </c>
      <c r="E825" s="112">
        <v>42881</v>
      </c>
      <c r="N825" s="110" t="str">
        <f>IFERROR(INDEX('WetLitterbags placem_collection'!$A$3:$A$500,MATCH(A825,'WetLitterbags placem_collection'!$K$4:$K$500,0)),"")</f>
        <v/>
      </c>
      <c r="O825" s="110" t="str">
        <f>IFERROR(INDEX('WetLitterbags placem_collection'!$A$3:$A$500,MATCH(A825,'WetLitterbags placem_collection'!$O$4:$O$500,0)),"")</f>
        <v/>
      </c>
      <c r="P825" s="110">
        <f>IFERROR(INDEX('WetLitterbags placem_collection'!$A$3:$A$500,MATCH(A825,'WetLitterbags placem_collection'!$M$4:$M$500,0)),"")</f>
        <v>107</v>
      </c>
      <c r="Q825" s="110" t="str">
        <f>IFERROR(INDEX('WetLitterbags placem_collection'!$A$3:$A$500,MATCH(A825,'WetLitterbags placem_collection'!$Q$4:$Q$500,0)),"")</f>
        <v/>
      </c>
    </row>
    <row r="826" spans="1:17" ht="13.95" customHeight="1">
      <c r="A826" s="110" t="s">
        <v>1060</v>
      </c>
      <c r="B826" s="110">
        <v>42</v>
      </c>
      <c r="C826" s="110">
        <v>1.528</v>
      </c>
      <c r="E826" s="112">
        <v>42881</v>
      </c>
      <c r="N826" s="110" t="str">
        <f>IFERROR(INDEX('WetLitterbags placem_collection'!$A$3:$A$500,MATCH(A826,'WetLitterbags placem_collection'!$K$4:$K$500,0)),"")</f>
        <v/>
      </c>
      <c r="O826" s="110" t="str">
        <f>IFERROR(INDEX('WetLitterbags placem_collection'!$A$3:$A$500,MATCH(A826,'WetLitterbags placem_collection'!$O$4:$O$500,0)),"")</f>
        <v/>
      </c>
      <c r="P826" s="110" t="str">
        <f>IFERROR(INDEX('WetLitterbags placem_collection'!$A$3:$A$500,MATCH(A826,'WetLitterbags placem_collection'!$M$4:$M$500,0)),"")</f>
        <v/>
      </c>
      <c r="Q826" s="110">
        <f>IFERROR(INDEX('WetLitterbags placem_collection'!$A$3:$A$500,MATCH(A826,'WetLitterbags placem_collection'!$Q$4:$Q$500,0)),"")</f>
        <v>41</v>
      </c>
    </row>
    <row r="827" spans="1:17" ht="13.95" customHeight="1">
      <c r="A827" s="110" t="s">
        <v>1059</v>
      </c>
      <c r="B827" s="110" t="s">
        <v>2077</v>
      </c>
      <c r="C827" s="110">
        <v>1.514</v>
      </c>
      <c r="E827" s="112">
        <v>43122</v>
      </c>
      <c r="N827" s="110" t="str">
        <f>IFERROR(INDEX('WetLitterbags placem_collection'!$A$3:$A$500,MATCH(A827,'WetLitterbags placem_collection'!$K$4:$K$500,0)),"")</f>
        <v/>
      </c>
      <c r="O827" s="110" t="str">
        <f>IFERROR(INDEX('WetLitterbags placem_collection'!$A$3:$A$500,MATCH(A827,'WetLitterbags placem_collection'!$O$4:$O$500,0)),"")</f>
        <v/>
      </c>
      <c r="P827" s="110">
        <f>IFERROR(INDEX('WetLitterbags placem_collection'!$A$3:$A$500,MATCH(A827,'WetLitterbags placem_collection'!$M$4:$M$500,0)),"")</f>
        <v>18</v>
      </c>
      <c r="Q827" s="110" t="str">
        <f>IFERROR(INDEX('WetLitterbags placem_collection'!$A$3:$A$500,MATCH(A827,'WetLitterbags placem_collection'!$Q$4:$Q$500,0)),"")</f>
        <v/>
      </c>
    </row>
    <row r="828" spans="1:17" ht="13.95" customHeight="1">
      <c r="A828" s="110" t="s">
        <v>1058</v>
      </c>
      <c r="B828" s="110">
        <v>82</v>
      </c>
      <c r="C828" s="110">
        <v>1.5940000000000001</v>
      </c>
      <c r="E828" s="112">
        <v>42879</v>
      </c>
      <c r="N828" s="110" t="str">
        <f>IFERROR(INDEX('WetLitterbags placem_collection'!$A$3:$A$500,MATCH(A828,'WetLitterbags placem_collection'!$K$4:$K$500,0)),"")</f>
        <v/>
      </c>
      <c r="O828" s="110" t="str">
        <f>IFERROR(INDEX('WetLitterbags placem_collection'!$A$3:$A$500,MATCH(A828,'WetLitterbags placem_collection'!$O$4:$O$500,0)),"")</f>
        <v/>
      </c>
      <c r="P828" s="110">
        <f>IFERROR(INDEX('WetLitterbags placem_collection'!$A$3:$A$500,MATCH(A828,'WetLitterbags placem_collection'!$M$4:$M$500,0)),"")</f>
        <v>81</v>
      </c>
      <c r="Q828" s="110" t="str">
        <f>IFERROR(INDEX('WetLitterbags placem_collection'!$A$3:$A$500,MATCH(A828,'WetLitterbags placem_collection'!$Q$4:$Q$500,0)),"")</f>
        <v/>
      </c>
    </row>
    <row r="829" spans="1:17" ht="13.95" customHeight="1">
      <c r="A829" s="110" t="s">
        <v>1056</v>
      </c>
      <c r="B829" s="110">
        <v>51</v>
      </c>
      <c r="C829" s="110">
        <v>1.599</v>
      </c>
      <c r="E829" s="112">
        <v>42881</v>
      </c>
      <c r="N829" s="110" t="str">
        <f>IFERROR(INDEX('WetLitterbags placem_collection'!$A$3:$A$500,MATCH(A829,'WetLitterbags placem_collection'!$K$4:$K$500,0)),"")</f>
        <v/>
      </c>
      <c r="O829" s="110" t="str">
        <f>IFERROR(INDEX('WetLitterbags placem_collection'!$A$3:$A$500,MATCH(A829,'WetLitterbags placem_collection'!$O$4:$O$500,0)),"")</f>
        <v/>
      </c>
      <c r="P829" s="110">
        <f>IFERROR(INDEX('WetLitterbags placem_collection'!$A$3:$A$500,MATCH(A829,'WetLitterbags placem_collection'!$M$4:$M$500,0)),"")</f>
        <v>50</v>
      </c>
      <c r="Q829" s="110" t="str">
        <f>IFERROR(INDEX('WetLitterbags placem_collection'!$A$3:$A$500,MATCH(A829,'WetLitterbags placem_collection'!$Q$4:$Q$500,0)),"")</f>
        <v/>
      </c>
    </row>
    <row r="830" spans="1:17" ht="13.95" customHeight="1">
      <c r="A830" s="110" t="s">
        <v>1054</v>
      </c>
      <c r="B830" s="110">
        <v>38</v>
      </c>
      <c r="C830" s="110">
        <v>1.1399999999999999</v>
      </c>
      <c r="E830" s="112">
        <v>42881</v>
      </c>
      <c r="N830" s="110" t="str">
        <f>IFERROR(INDEX('WetLitterbags placem_collection'!$A$3:$A$500,MATCH(A830,'WetLitterbags placem_collection'!$K$4:$K$500,0)),"")</f>
        <v/>
      </c>
      <c r="O830" s="110" t="str">
        <f>IFERROR(INDEX('WetLitterbags placem_collection'!$A$3:$A$500,MATCH(A830,'WetLitterbags placem_collection'!$O$4:$O$500,0)),"")</f>
        <v/>
      </c>
      <c r="P830" s="110">
        <f>IFERROR(INDEX('WetLitterbags placem_collection'!$A$3:$A$500,MATCH(A830,'WetLitterbags placem_collection'!$M$4:$M$500,0)),"")</f>
        <v>37</v>
      </c>
      <c r="Q830" s="110" t="str">
        <f>IFERROR(INDEX('WetLitterbags placem_collection'!$A$3:$A$500,MATCH(A830,'WetLitterbags placem_collection'!$Q$4:$Q$500,0)),"")</f>
        <v/>
      </c>
    </row>
    <row r="831" spans="1:17" ht="13.95" customHeight="1">
      <c r="A831" s="110" t="s">
        <v>1053</v>
      </c>
      <c r="B831" s="110">
        <v>213</v>
      </c>
      <c r="C831" s="110">
        <v>1.542</v>
      </c>
      <c r="E831" s="112">
        <v>42881</v>
      </c>
      <c r="N831" s="110" t="str">
        <f>IFERROR(INDEX('WetLitterbags placem_collection'!$A$3:$A$500,MATCH(A831,'WetLitterbags placem_collection'!$K$4:$K$500,0)),"")</f>
        <v/>
      </c>
      <c r="O831" s="110" t="str">
        <f>IFERROR(INDEX('WetLitterbags placem_collection'!$A$3:$A$500,MATCH(A831,'WetLitterbags placem_collection'!$O$4:$O$500,0)),"")</f>
        <v/>
      </c>
      <c r="P831" s="110">
        <f>IFERROR(INDEX('WetLitterbags placem_collection'!$A$3:$A$500,MATCH(A831,'WetLitterbags placem_collection'!$M$4:$M$500,0)),"")</f>
        <v>212</v>
      </c>
      <c r="Q831" s="110" t="str">
        <f>IFERROR(INDEX('WetLitterbags placem_collection'!$A$3:$A$500,MATCH(A831,'WetLitterbags placem_collection'!$Q$4:$Q$500,0)),"")</f>
        <v/>
      </c>
    </row>
    <row r="832" spans="1:17" ht="13.95" customHeight="1">
      <c r="A832" s="110" t="s">
        <v>1052</v>
      </c>
      <c r="B832" s="110">
        <v>37</v>
      </c>
      <c r="C832" s="110">
        <v>1.425</v>
      </c>
      <c r="E832" s="112">
        <v>42881</v>
      </c>
      <c r="N832" s="110" t="str">
        <f>IFERROR(INDEX('WetLitterbags placem_collection'!$A$3:$A$500,MATCH(A832,'WetLitterbags placem_collection'!$K$4:$K$500,0)),"")</f>
        <v/>
      </c>
      <c r="O832" s="110" t="str">
        <f>IFERROR(INDEX('WetLitterbags placem_collection'!$A$3:$A$500,MATCH(A832,'WetLitterbags placem_collection'!$O$4:$O$500,0)),"")</f>
        <v/>
      </c>
      <c r="P832" s="110" t="str">
        <f>IFERROR(INDEX('WetLitterbags placem_collection'!$A$3:$A$500,MATCH(A832,'WetLitterbags placem_collection'!$M$4:$M$500,0)),"")</f>
        <v/>
      </c>
      <c r="Q832" s="110">
        <f>IFERROR(INDEX('WetLitterbags placem_collection'!$A$3:$A$500,MATCH(A832,'WetLitterbags placem_collection'!$Q$4:$Q$500,0)),"")</f>
        <v>36</v>
      </c>
    </row>
    <row r="833" spans="1:17" ht="13.95" customHeight="1">
      <c r="A833" s="110" t="s">
        <v>1132</v>
      </c>
      <c r="B833" s="110">
        <v>68</v>
      </c>
      <c r="C833" s="110">
        <v>1.7050000000000001</v>
      </c>
      <c r="E833" s="112">
        <v>42879</v>
      </c>
      <c r="N833" s="110" t="str">
        <f>IFERROR(INDEX('WetLitterbags placem_collection'!$A$3:$A$500,MATCH(A833,'WetLitterbags placem_collection'!$K$4:$K$500,0)),"")</f>
        <v/>
      </c>
      <c r="O833" s="110" t="str">
        <f>IFERROR(INDEX('WetLitterbags placem_collection'!$A$3:$A$500,MATCH(A833,'WetLitterbags placem_collection'!$O$4:$O$500,0)),"")</f>
        <v/>
      </c>
      <c r="P833" s="110" t="str">
        <f>IFERROR(INDEX('WetLitterbags placem_collection'!$A$3:$A$500,MATCH(A833,'WetLitterbags placem_collection'!$M$4:$M$500,0)),"")</f>
        <v/>
      </c>
      <c r="Q833" s="110">
        <f>IFERROR(INDEX('WetLitterbags placem_collection'!$A$3:$A$500,MATCH(A833,'WetLitterbags placem_collection'!$Q$4:$Q$500,0)),"")</f>
        <v>67</v>
      </c>
    </row>
    <row r="834" spans="1:17" ht="13.95" customHeight="1">
      <c r="A834" s="110" t="s">
        <v>1050</v>
      </c>
      <c r="B834" s="110" t="s">
        <v>2077</v>
      </c>
      <c r="C834" s="110">
        <v>1.3628</v>
      </c>
      <c r="E834" s="112">
        <v>43122</v>
      </c>
      <c r="N834" s="110" t="str">
        <f>IFERROR(INDEX('WetLitterbags placem_collection'!$A$3:$A$500,MATCH(A834,'WetLitterbags placem_collection'!$K$4:$K$500,0)),"")</f>
        <v/>
      </c>
      <c r="O834" s="110" t="str">
        <f>IFERROR(INDEX('WetLitterbags placem_collection'!$A$3:$A$500,MATCH(A834,'WetLitterbags placem_collection'!$O$4:$O$500,0)),"")</f>
        <v/>
      </c>
      <c r="P834" s="110">
        <f>IFERROR(INDEX('WetLitterbags placem_collection'!$A$3:$A$500,MATCH(A834,'WetLitterbags placem_collection'!$M$4:$M$500,0)),"")</f>
        <v>9</v>
      </c>
      <c r="Q834" s="110" t="str">
        <f>IFERROR(INDEX('WetLitterbags placem_collection'!$A$3:$A$500,MATCH(A834,'WetLitterbags placem_collection'!$Q$4:$Q$500,0)),"")</f>
        <v/>
      </c>
    </row>
    <row r="835" spans="1:17" ht="13.95" customHeight="1">
      <c r="A835" s="110" t="s">
        <v>1049</v>
      </c>
      <c r="B835" s="110">
        <v>205</v>
      </c>
      <c r="C835" s="110">
        <v>1.7204999999999999</v>
      </c>
      <c r="E835" s="112">
        <v>43123</v>
      </c>
      <c r="N835" s="110" t="str">
        <f>IFERROR(INDEX('WetLitterbags placem_collection'!$A$3:$A$500,MATCH(A835,'WetLitterbags placem_collection'!$K$4:$K$500,0)),"")</f>
        <v/>
      </c>
      <c r="O835" s="110" t="str">
        <f>IFERROR(INDEX('WetLitterbags placem_collection'!$A$3:$A$500,MATCH(A835,'WetLitterbags placem_collection'!$O$4:$O$500,0)),"")</f>
        <v/>
      </c>
      <c r="P835" s="110" t="str">
        <f>IFERROR(INDEX('WetLitterbags placem_collection'!$A$3:$A$500,MATCH(A835,'WetLitterbags placem_collection'!$M$4:$M$500,0)),"")</f>
        <v/>
      </c>
      <c r="Q835" s="110">
        <f>IFERROR(INDEX('WetLitterbags placem_collection'!$A$3:$A$500,MATCH(A835,'WetLitterbags placem_collection'!$Q$4:$Q$500,0)),"")</f>
        <v>204</v>
      </c>
    </row>
    <row r="836" spans="1:17" ht="13.95" customHeight="1">
      <c r="A836" s="110" t="s">
        <v>1048</v>
      </c>
      <c r="B836" s="110">
        <v>212</v>
      </c>
      <c r="C836" s="110">
        <v>1.5831999999999999</v>
      </c>
      <c r="E836" s="112">
        <v>43123</v>
      </c>
      <c r="N836" s="110" t="str">
        <f>IFERROR(INDEX('WetLitterbags placem_collection'!$A$3:$A$500,MATCH(A836,'WetLitterbags placem_collection'!$K$4:$K$500,0)),"")</f>
        <v/>
      </c>
      <c r="O836" s="110" t="str">
        <f>IFERROR(INDEX('WetLitterbags placem_collection'!$A$3:$A$500,MATCH(A836,'WetLitterbags placem_collection'!$O$4:$O$500,0)),"")</f>
        <v/>
      </c>
      <c r="P836" s="110">
        <f>IFERROR(INDEX('WetLitterbags placem_collection'!$A$3:$A$500,MATCH(A836,'WetLitterbags placem_collection'!$M$4:$M$500,0)),"")</f>
        <v>211</v>
      </c>
      <c r="Q836" s="110" t="str">
        <f>IFERROR(INDEX('WetLitterbags placem_collection'!$A$3:$A$500,MATCH(A836,'WetLitterbags placem_collection'!$Q$4:$Q$500,0)),"")</f>
        <v/>
      </c>
    </row>
    <row r="837" spans="1:17" ht="13.95" customHeight="1">
      <c r="A837" s="110" t="s">
        <v>1047</v>
      </c>
      <c r="B837" s="110">
        <v>90</v>
      </c>
      <c r="C837" s="110">
        <v>1.7455000000000001</v>
      </c>
      <c r="E837" s="112">
        <v>43125</v>
      </c>
      <c r="N837" s="110" t="str">
        <f>IFERROR(INDEX('WetLitterbags placem_collection'!$A$3:$A$500,MATCH(A837,'WetLitterbags placem_collection'!$K$4:$K$500,0)),"")</f>
        <v/>
      </c>
      <c r="O837" s="110" t="str">
        <f>IFERROR(INDEX('WetLitterbags placem_collection'!$A$3:$A$500,MATCH(A837,'WetLitterbags placem_collection'!$O$4:$O$500,0)),"")</f>
        <v/>
      </c>
      <c r="P837" s="110">
        <f>IFERROR(INDEX('WetLitterbags placem_collection'!$A$3:$A$500,MATCH(A837,'WetLitterbags placem_collection'!$M$4:$M$500,0)),"")</f>
        <v>89</v>
      </c>
      <c r="Q837" s="110" t="str">
        <f>IFERROR(INDEX('WetLitterbags placem_collection'!$A$3:$A$500,MATCH(A837,'WetLitterbags placem_collection'!$Q$4:$Q$500,0)),"")</f>
        <v/>
      </c>
    </row>
    <row r="838" spans="1:17" ht="13.95" customHeight="1">
      <c r="A838" s="110" t="s">
        <v>1046</v>
      </c>
      <c r="B838" s="110" t="s">
        <v>2077</v>
      </c>
      <c r="C838" s="110">
        <v>1.6388</v>
      </c>
      <c r="E838" s="112">
        <v>43116</v>
      </c>
      <c r="N838" s="110" t="str">
        <f>IFERROR(INDEX('WetLitterbags placem_collection'!$A$3:$A$500,MATCH(A838,'WetLitterbags placem_collection'!$K$4:$K$500,0)),"")</f>
        <v/>
      </c>
      <c r="O838" s="110" t="str">
        <f>IFERROR(INDEX('WetLitterbags placem_collection'!$A$3:$A$500,MATCH(A838,'WetLitterbags placem_collection'!$O$4:$O$500,0)),"")</f>
        <v/>
      </c>
      <c r="P838" s="110">
        <f>IFERROR(INDEX('WetLitterbags placem_collection'!$A$3:$A$500,MATCH(A838,'WetLitterbags placem_collection'!$M$4:$M$500,0)),"")</f>
        <v>70</v>
      </c>
      <c r="Q838" s="110" t="str">
        <f>IFERROR(INDEX('WetLitterbags placem_collection'!$A$3:$A$500,MATCH(A838,'WetLitterbags placem_collection'!$Q$4:$Q$500,0)),"")</f>
        <v/>
      </c>
    </row>
    <row r="839" spans="1:17" ht="13.95" customHeight="1">
      <c r="A839" s="110" t="s">
        <v>1045</v>
      </c>
      <c r="B839" s="110">
        <v>163</v>
      </c>
      <c r="C839" s="110">
        <v>1.696</v>
      </c>
      <c r="E839" s="112">
        <v>42881</v>
      </c>
      <c r="N839" s="110" t="str">
        <f>IFERROR(INDEX('WetLitterbags placem_collection'!$A$3:$A$500,MATCH(A839,'WetLitterbags placem_collection'!$K$4:$K$500,0)),"")</f>
        <v/>
      </c>
      <c r="O839" s="110" t="str">
        <f>IFERROR(INDEX('WetLitterbags placem_collection'!$A$3:$A$500,MATCH(A839,'WetLitterbags placem_collection'!$O$4:$O$500,0)),"")</f>
        <v/>
      </c>
      <c r="P839" s="110">
        <f>IFERROR(INDEX('WetLitterbags placem_collection'!$A$3:$A$500,MATCH(A839,'WetLitterbags placem_collection'!$M$4:$M$500,0)),"")</f>
        <v>162</v>
      </c>
      <c r="Q839" s="110" t="str">
        <f>IFERROR(INDEX('WetLitterbags placem_collection'!$A$3:$A$500,MATCH(A839,'WetLitterbags placem_collection'!$Q$4:$Q$500,0)),"")</f>
        <v/>
      </c>
    </row>
    <row r="840" spans="1:17" ht="13.95" customHeight="1">
      <c r="A840" s="110" t="s">
        <v>1044</v>
      </c>
      <c r="B840">
        <v>36</v>
      </c>
      <c r="C840" s="110">
        <v>1.671</v>
      </c>
      <c r="E840" s="112">
        <v>42881</v>
      </c>
      <c r="N840" s="110" t="str">
        <f>IFERROR(INDEX('WetLitterbags placem_collection'!$A$3:$A$500,MATCH(A840,'WetLitterbags placem_collection'!$K$4:$K$500,0)),"")</f>
        <v/>
      </c>
      <c r="O840" s="110" t="str">
        <f>IFERROR(INDEX('WetLitterbags placem_collection'!$A$3:$A$500,MATCH(A840,'WetLitterbags placem_collection'!$O$4:$O$500,0)),"")</f>
        <v/>
      </c>
      <c r="P840" s="110" t="str">
        <f>IFERROR(INDEX('WetLitterbags placem_collection'!$A$3:$A$500,MATCH(A840,'WetLitterbags placem_collection'!$M$4:$M$500,0)),"")</f>
        <v/>
      </c>
      <c r="Q840" s="110">
        <f>IFERROR(INDEX('WetLitterbags placem_collection'!$A$3:$A$500,MATCH(A840,'WetLitterbags placem_collection'!$Q$4:$Q$500,0)),"")</f>
        <v>35</v>
      </c>
    </row>
    <row r="841" spans="1:17" ht="13.95" customHeight="1">
      <c r="A841" s="110" t="s">
        <v>1042</v>
      </c>
      <c r="B841" s="110">
        <v>15</v>
      </c>
      <c r="C841" s="110">
        <v>1.355</v>
      </c>
      <c r="E841" s="112">
        <v>42879</v>
      </c>
      <c r="N841" s="110" t="str">
        <f>IFERROR(INDEX('WetLitterbags placem_collection'!$A$3:$A$500,MATCH(A841,'WetLitterbags placem_collection'!$K$4:$K$500,0)),"")</f>
        <v/>
      </c>
      <c r="O841" s="110" t="str">
        <f>IFERROR(INDEX('WetLitterbags placem_collection'!$A$3:$A$500,MATCH(A841,'WetLitterbags placem_collection'!$O$4:$O$500,0)),"")</f>
        <v/>
      </c>
      <c r="P841" s="110" t="str">
        <f>IFERROR(INDEX('WetLitterbags placem_collection'!$A$3:$A$500,MATCH(A841,'WetLitterbags placem_collection'!$M$4:$M$500,0)),"")</f>
        <v/>
      </c>
      <c r="Q841" s="110">
        <f>IFERROR(INDEX('WetLitterbags placem_collection'!$A$3:$A$500,MATCH(A841,'WetLitterbags placem_collection'!$Q$4:$Q$500,0)),"")</f>
        <v>14</v>
      </c>
    </row>
  </sheetData>
  <sortState ref="A1:AF843">
    <sortCondition ref="A1:A843"/>
    <sortCondition ref="B1:B843"/>
  </sortState>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00A65-80EE-43CC-9DBC-BC952CA7730A}">
  <dimension ref="A1:AD676"/>
  <sheetViews>
    <sheetView topLeftCell="D1" zoomScale="85" zoomScaleNormal="85" workbookViewId="0">
      <pane ySplit="1" topLeftCell="A2" activePane="bottomLeft" state="frozen"/>
      <selection pane="bottomLeft" activeCell="S1" sqref="S1:W2"/>
    </sheetView>
  </sheetViews>
  <sheetFormatPr baseColWidth="10" defaultRowHeight="14.4"/>
  <sheetData>
    <row r="1" spans="1:20" ht="100.8">
      <c r="A1" s="281" t="s">
        <v>2609</v>
      </c>
      <c r="B1" s="281" t="s">
        <v>2485</v>
      </c>
      <c r="C1" s="281" t="s">
        <v>2610</v>
      </c>
      <c r="D1" s="281" t="s">
        <v>2589</v>
      </c>
      <c r="E1" s="281" t="s">
        <v>2608</v>
      </c>
      <c r="F1" s="281" t="s">
        <v>2607</v>
      </c>
      <c r="G1" s="281" t="s">
        <v>2606</v>
      </c>
      <c r="H1" s="281" t="s">
        <v>2605</v>
      </c>
      <c r="I1" s="210" t="s">
        <v>2644</v>
      </c>
      <c r="J1" s="210" t="s">
        <v>2645</v>
      </c>
      <c r="K1" s="210" t="s">
        <v>2646</v>
      </c>
      <c r="L1" s="282" t="s">
        <v>2604</v>
      </c>
      <c r="M1" s="282" t="s">
        <v>2603</v>
      </c>
      <c r="N1" s="282" t="s">
        <v>2602</v>
      </c>
      <c r="O1" s="282" t="s">
        <v>2601</v>
      </c>
      <c r="P1" s="282" t="s">
        <v>2147</v>
      </c>
      <c r="R1" s="210"/>
    </row>
    <row r="2" spans="1:20">
      <c r="A2" t="s">
        <v>2049</v>
      </c>
      <c r="C2" t="s">
        <v>3475</v>
      </c>
      <c r="D2">
        <v>0.66510000000000002</v>
      </c>
      <c r="E2">
        <v>8.8612000000000002</v>
      </c>
      <c r="F2">
        <v>0.2072</v>
      </c>
      <c r="G2" s="284">
        <f t="shared" ref="G2:G33" si="0">E2+F2</f>
        <v>9.0684000000000005</v>
      </c>
      <c r="H2" s="284">
        <v>8.9166000000000007</v>
      </c>
      <c r="I2" s="284">
        <f>G2-H2</f>
        <v>0.15179999999999971</v>
      </c>
      <c r="J2" s="283">
        <f t="shared" ref="J2:J33" si="1">F2-I2</f>
        <v>5.5400000000000282E-2</v>
      </c>
      <c r="K2" s="285">
        <f t="shared" ref="K2:K33" si="2">(J2/F2)*100</f>
        <v>26.737451737451874</v>
      </c>
      <c r="L2">
        <v>10</v>
      </c>
      <c r="M2" s="16">
        <v>43399</v>
      </c>
      <c r="N2" s="16">
        <v>43400</v>
      </c>
      <c r="R2" s="285"/>
    </row>
    <row r="3" spans="1:20">
      <c r="A3" t="s">
        <v>2040</v>
      </c>
      <c r="C3" t="s">
        <v>3741</v>
      </c>
      <c r="D3">
        <v>1.6155999999999999</v>
      </c>
      <c r="E3">
        <v>7.5294999999999996</v>
      </c>
      <c r="F3">
        <v>0.20569999999999999</v>
      </c>
      <c r="G3" s="284">
        <f t="shared" si="0"/>
        <v>7.7351999999999999</v>
      </c>
      <c r="H3" s="284">
        <v>7.5415000000000001</v>
      </c>
      <c r="I3" s="284">
        <f>G3-H3</f>
        <v>0.19369999999999976</v>
      </c>
      <c r="J3" s="283">
        <f t="shared" si="1"/>
        <v>1.2000000000000233E-2</v>
      </c>
      <c r="K3" s="285">
        <f t="shared" si="2"/>
        <v>5.8337384540594233</v>
      </c>
      <c r="L3">
        <v>19</v>
      </c>
      <c r="M3" s="286">
        <v>43362</v>
      </c>
      <c r="N3" s="286">
        <v>43363</v>
      </c>
      <c r="R3" s="285"/>
      <c r="T3" s="110" t="str">
        <f>IFERROR(INDEX('WetLitterbags placem_collection'!$A$3:$A$500,MATCH(A3,'WetLitterbags placem_collection'!$K$4:$K$500,0)),"")</f>
        <v/>
      </c>
    </row>
    <row r="4" spans="1:20">
      <c r="A4" t="s">
        <v>1949</v>
      </c>
      <c r="C4" t="s">
        <v>3724</v>
      </c>
      <c r="D4">
        <v>1.8332999999999999</v>
      </c>
      <c r="E4">
        <v>7.9947999999999997</v>
      </c>
      <c r="F4">
        <v>0.23419999999999999</v>
      </c>
      <c r="G4" s="284">
        <f t="shared" si="0"/>
        <v>8.2289999999999992</v>
      </c>
      <c r="H4" s="284">
        <v>8.0077999999999996</v>
      </c>
      <c r="I4" s="284">
        <f>(G4-H4)</f>
        <v>0.22119999999999962</v>
      </c>
      <c r="J4" s="283">
        <f t="shared" si="1"/>
        <v>1.3000000000000372E-2</v>
      </c>
      <c r="K4" s="285">
        <f t="shared" si="2"/>
        <v>5.5508112724168974</v>
      </c>
      <c r="L4">
        <v>35</v>
      </c>
      <c r="M4" s="286">
        <v>43360</v>
      </c>
      <c r="N4" s="286">
        <v>43361</v>
      </c>
      <c r="O4" s="283" t="s">
        <v>3707</v>
      </c>
      <c r="R4" s="285"/>
      <c r="T4" s="110" t="str">
        <f>IFERROR(INDEX('WetLitterbags placem_collection'!$A$3:$A$500,MATCH(A4,'WetLitterbags placem_collection'!$K$4:$K$500,0)),"")</f>
        <v/>
      </c>
    </row>
    <row r="5" spans="1:20">
      <c r="A5" t="s">
        <v>1948</v>
      </c>
      <c r="C5" t="s">
        <v>3734</v>
      </c>
      <c r="D5">
        <v>0.8498</v>
      </c>
      <c r="E5">
        <v>11.455500000000001</v>
      </c>
      <c r="F5">
        <v>0.23169999999999999</v>
      </c>
      <c r="G5" s="284">
        <f t="shared" si="0"/>
        <v>11.687200000000001</v>
      </c>
      <c r="H5" s="284">
        <v>11.498900000000001</v>
      </c>
      <c r="I5" s="284">
        <f>G5-H5</f>
        <v>0.18829999999999991</v>
      </c>
      <c r="J5" s="283">
        <f t="shared" si="1"/>
        <v>4.3400000000000077E-2</v>
      </c>
      <c r="K5" s="285">
        <f t="shared" si="2"/>
        <v>18.731117824773449</v>
      </c>
      <c r="L5">
        <v>26</v>
      </c>
      <c r="M5" s="16">
        <v>43381</v>
      </c>
      <c r="N5" s="16">
        <v>43382</v>
      </c>
      <c r="R5" s="285"/>
      <c r="T5" s="110" t="str">
        <f>IFERROR(INDEX('WetLitterbags placem_collection'!$A$3:$A$500,MATCH(A5,'WetLitterbags placem_collection'!$K$4:$K$500,0)),"")</f>
        <v/>
      </c>
    </row>
    <row r="6" spans="1:20">
      <c r="A6" t="s">
        <v>1945</v>
      </c>
      <c r="B6">
        <v>195</v>
      </c>
      <c r="D6">
        <v>0.98450000000000004</v>
      </c>
      <c r="E6">
        <v>9.4870999999999999</v>
      </c>
      <c r="F6">
        <v>0.20760000000000001</v>
      </c>
      <c r="G6" s="284">
        <f t="shared" si="0"/>
        <v>9.6946999999999992</v>
      </c>
      <c r="H6" s="284">
        <v>9.5785999999999998</v>
      </c>
      <c r="I6" s="284">
        <f>G6-H6</f>
        <v>0.11609999999999943</v>
      </c>
      <c r="J6" s="283">
        <f t="shared" si="1"/>
        <v>9.1500000000000581E-2</v>
      </c>
      <c r="K6" s="285">
        <f t="shared" si="2"/>
        <v>44.075144508670796</v>
      </c>
      <c r="L6">
        <v>2</v>
      </c>
      <c r="M6">
        <v>23.101800000000001</v>
      </c>
      <c r="N6" s="16">
        <v>43397</v>
      </c>
      <c r="R6" s="285"/>
      <c r="T6" s="110" t="str">
        <f>IFERROR(INDEX('WetLitterbags placem_collection'!$A$3:$A$500,MATCH(A6,'WetLitterbags placem_collection'!$K$4:$K$500,0)),"")</f>
        <v/>
      </c>
    </row>
    <row r="7" spans="1:20">
      <c r="A7" t="s">
        <v>1944</v>
      </c>
      <c r="C7" t="s">
        <v>3740</v>
      </c>
      <c r="D7">
        <v>1.8148</v>
      </c>
      <c r="E7">
        <v>7.8602999999999996</v>
      </c>
      <c r="F7">
        <f>8.0949-E7</f>
        <v>0.23460000000000125</v>
      </c>
      <c r="G7" s="284">
        <f t="shared" si="0"/>
        <v>8.0949000000000009</v>
      </c>
      <c r="H7" s="284">
        <v>7.8802000000000003</v>
      </c>
      <c r="I7" s="284">
        <f>G7-H7</f>
        <v>0.21470000000000056</v>
      </c>
      <c r="J7" s="283">
        <f t="shared" si="1"/>
        <v>1.9900000000000695E-2</v>
      </c>
      <c r="K7" s="285">
        <f t="shared" si="2"/>
        <v>8.482523444160524</v>
      </c>
      <c r="L7">
        <v>20</v>
      </c>
      <c r="M7" s="286">
        <v>43363</v>
      </c>
      <c r="N7" s="286">
        <v>43364</v>
      </c>
      <c r="O7" s="283" t="s">
        <v>3756</v>
      </c>
      <c r="R7" s="285"/>
      <c r="T7" s="110" t="str">
        <f>IFERROR(INDEX('WetLitterbags placem_collection'!$A$3:$A$500,MATCH(A7,'WetLitterbags placem_collection'!$K$4:$K$500,0)),"")</f>
        <v/>
      </c>
    </row>
    <row r="8" spans="1:20">
      <c r="A8" t="s">
        <v>1943</v>
      </c>
      <c r="C8" t="s">
        <v>3687</v>
      </c>
      <c r="D8">
        <v>1.8686</v>
      </c>
      <c r="E8">
        <v>9.1973000000000003</v>
      </c>
      <c r="F8">
        <v>0.23480000000000001</v>
      </c>
      <c r="G8" s="284">
        <f t="shared" si="0"/>
        <v>9.4321000000000002</v>
      </c>
      <c r="H8" s="284">
        <v>9.2104999999999997</v>
      </c>
      <c r="I8" s="284">
        <f>(G8-H8)</f>
        <v>0.22160000000000046</v>
      </c>
      <c r="J8" s="283">
        <f t="shared" si="1"/>
        <v>1.3199999999999545E-2</v>
      </c>
      <c r="K8" s="285">
        <f t="shared" si="2"/>
        <v>5.6218057921633493</v>
      </c>
      <c r="L8">
        <v>11</v>
      </c>
      <c r="M8" s="286">
        <v>43360</v>
      </c>
      <c r="N8" s="286">
        <v>43361</v>
      </c>
      <c r="O8" s="283"/>
      <c r="R8" s="285"/>
    </row>
    <row r="9" spans="1:20">
      <c r="A9" t="s">
        <v>1941</v>
      </c>
      <c r="C9" t="s">
        <v>3737</v>
      </c>
      <c r="D9">
        <v>0.48480000000000001</v>
      </c>
      <c r="E9">
        <v>19.663900000000002</v>
      </c>
      <c r="F9">
        <v>0.21659999999999999</v>
      </c>
      <c r="G9" s="284">
        <f t="shared" si="0"/>
        <v>19.880500000000001</v>
      </c>
      <c r="H9" s="284">
        <v>19.7011</v>
      </c>
      <c r="I9" s="284">
        <f>G9-H9</f>
        <v>0.17940000000000111</v>
      </c>
      <c r="J9" s="283">
        <f t="shared" si="1"/>
        <v>3.7199999999998873E-2</v>
      </c>
      <c r="K9" s="285">
        <f t="shared" si="2"/>
        <v>17.174515235456546</v>
      </c>
      <c r="L9">
        <v>24</v>
      </c>
      <c r="M9" s="286">
        <v>43361</v>
      </c>
      <c r="N9" s="286">
        <v>43362</v>
      </c>
      <c r="O9" s="283" t="s">
        <v>3730</v>
      </c>
      <c r="P9" t="s">
        <v>3738</v>
      </c>
      <c r="R9" s="285"/>
    </row>
    <row r="10" spans="1:20">
      <c r="A10" t="s">
        <v>2039</v>
      </c>
      <c r="C10" t="s">
        <v>3761</v>
      </c>
      <c r="D10">
        <v>0.84289999999999998</v>
      </c>
      <c r="E10">
        <v>10.124000000000001</v>
      </c>
      <c r="F10">
        <v>0.2054</v>
      </c>
      <c r="G10" s="284">
        <f t="shared" si="0"/>
        <v>10.3294</v>
      </c>
      <c r="H10" s="284">
        <v>10.1564</v>
      </c>
      <c r="I10" s="284">
        <f>G10-H10</f>
        <v>0.17300000000000004</v>
      </c>
      <c r="J10" s="283">
        <f t="shared" si="1"/>
        <v>3.2399999999999957E-2</v>
      </c>
      <c r="K10" s="285">
        <f t="shared" si="2"/>
        <v>15.774099318403096</v>
      </c>
      <c r="L10">
        <v>34</v>
      </c>
      <c r="M10" s="286">
        <v>43363</v>
      </c>
      <c r="N10" s="286">
        <v>43364</v>
      </c>
      <c r="R10" s="285"/>
    </row>
    <row r="11" spans="1:20">
      <c r="A11" t="s">
        <v>1940</v>
      </c>
      <c r="C11" t="s">
        <v>3685</v>
      </c>
      <c r="D11">
        <v>1.6871</v>
      </c>
      <c r="E11">
        <v>9.4852000000000007</v>
      </c>
      <c r="F11">
        <v>0.24590000000000001</v>
      </c>
      <c r="G11" s="284">
        <f t="shared" si="0"/>
        <v>9.7311000000000014</v>
      </c>
      <c r="H11" s="284">
        <v>9.5007999999999999</v>
      </c>
      <c r="I11" s="284">
        <f>(G11-H11)</f>
        <v>0.2303000000000015</v>
      </c>
      <c r="J11" s="283">
        <f t="shared" si="1"/>
        <v>1.5599999999998504E-2</v>
      </c>
      <c r="K11" s="285">
        <f t="shared" si="2"/>
        <v>6.3440422936146827</v>
      </c>
      <c r="L11">
        <v>9</v>
      </c>
      <c r="M11" s="286">
        <v>43360</v>
      </c>
      <c r="N11" s="286">
        <v>43361</v>
      </c>
      <c r="O11" s="283"/>
      <c r="R11" s="285"/>
    </row>
    <row r="12" spans="1:20">
      <c r="A12" t="s">
        <v>1939</v>
      </c>
      <c r="C12" t="s">
        <v>3718</v>
      </c>
      <c r="D12">
        <v>1.6712</v>
      </c>
      <c r="E12">
        <v>8.1678999999999995</v>
      </c>
      <c r="F12">
        <v>0.2054</v>
      </c>
      <c r="G12" s="284">
        <f t="shared" si="0"/>
        <v>8.3732999999999986</v>
      </c>
      <c r="H12" s="284">
        <v>8.1806999999999999</v>
      </c>
      <c r="I12" s="284">
        <f>(G12-H12)</f>
        <v>0.19259999999999877</v>
      </c>
      <c r="J12" s="283">
        <f t="shared" si="1"/>
        <v>1.2800000000001227E-2</v>
      </c>
      <c r="K12" s="285">
        <f t="shared" si="2"/>
        <v>6.2317429406042981</v>
      </c>
      <c r="L12">
        <v>22</v>
      </c>
      <c r="M12" s="286">
        <v>43360</v>
      </c>
      <c r="N12" s="286">
        <v>43361</v>
      </c>
      <c r="O12" s="283" t="s">
        <v>3707</v>
      </c>
      <c r="R12" s="285"/>
    </row>
    <row r="13" spans="1:20">
      <c r="A13" t="s">
        <v>1937</v>
      </c>
      <c r="C13" t="s">
        <v>3741</v>
      </c>
      <c r="D13" s="283">
        <v>1.6425000000000001</v>
      </c>
      <c r="E13" s="284">
        <v>20.852699999999999</v>
      </c>
      <c r="F13" s="284">
        <v>0.2089</v>
      </c>
      <c r="G13" s="284">
        <f t="shared" si="0"/>
        <v>21.061599999999999</v>
      </c>
      <c r="H13" s="284">
        <v>20.866700000000002</v>
      </c>
      <c r="I13" s="284">
        <f>G13-H13</f>
        <v>0.19489999999999696</v>
      </c>
      <c r="J13" s="283">
        <f t="shared" si="1"/>
        <v>1.4000000000003038E-2</v>
      </c>
      <c r="K13" s="285">
        <f t="shared" si="2"/>
        <v>6.7017711823853698</v>
      </c>
      <c r="L13" s="283">
        <v>1</v>
      </c>
      <c r="M13" s="286">
        <v>43362</v>
      </c>
      <c r="N13" s="286">
        <v>43363</v>
      </c>
      <c r="O13" s="283"/>
      <c r="P13" s="283"/>
      <c r="R13" s="285"/>
    </row>
    <row r="14" spans="1:20">
      <c r="A14" t="s">
        <v>1935</v>
      </c>
      <c r="C14" t="s">
        <v>3733</v>
      </c>
      <c r="D14">
        <v>1.5762</v>
      </c>
      <c r="E14">
        <v>9.9190000000000005</v>
      </c>
      <c r="F14">
        <v>0.20710000000000001</v>
      </c>
      <c r="G14" s="284">
        <f t="shared" si="0"/>
        <v>10.126100000000001</v>
      </c>
      <c r="H14" s="284">
        <v>9.9313000000000002</v>
      </c>
      <c r="I14" s="284">
        <f>G14-H14</f>
        <v>0.19480000000000075</v>
      </c>
      <c r="J14" s="283">
        <f t="shared" si="1"/>
        <v>1.2299999999999256E-2</v>
      </c>
      <c r="K14" s="285">
        <f t="shared" si="2"/>
        <v>5.939159826170572</v>
      </c>
      <c r="L14">
        <v>15</v>
      </c>
      <c r="M14" s="286">
        <v>43374</v>
      </c>
      <c r="N14" s="286">
        <v>43375</v>
      </c>
      <c r="O14" s="283" t="s">
        <v>3730</v>
      </c>
      <c r="R14" s="285"/>
    </row>
    <row r="15" spans="1:20">
      <c r="A15" t="s">
        <v>1934</v>
      </c>
      <c r="C15" t="s">
        <v>3681</v>
      </c>
      <c r="D15">
        <v>0.48299999999999998</v>
      </c>
      <c r="E15">
        <v>11.056100000000001</v>
      </c>
      <c r="F15">
        <v>0.21679999999999999</v>
      </c>
      <c r="G15" s="284">
        <f t="shared" si="0"/>
        <v>11.2729</v>
      </c>
      <c r="H15" s="284">
        <v>11.0951</v>
      </c>
      <c r="I15" s="284">
        <f>G15-H15</f>
        <v>0.17779999999999951</v>
      </c>
      <c r="J15" s="283">
        <f t="shared" si="1"/>
        <v>3.9000000000000479E-2</v>
      </c>
      <c r="K15" s="285">
        <f t="shared" si="2"/>
        <v>17.988929889299115</v>
      </c>
      <c r="L15">
        <v>27</v>
      </c>
      <c r="M15" s="16">
        <v>43399</v>
      </c>
      <c r="N15" s="16">
        <v>43400</v>
      </c>
      <c r="R15" s="285"/>
    </row>
    <row r="16" spans="1:20">
      <c r="A16" t="s">
        <v>1932</v>
      </c>
      <c r="C16" t="s">
        <v>3423</v>
      </c>
      <c r="D16">
        <v>0.69289999999999996</v>
      </c>
      <c r="E16">
        <v>10.1173</v>
      </c>
      <c r="F16">
        <v>0.2102</v>
      </c>
      <c r="G16">
        <f t="shared" si="0"/>
        <v>10.327500000000001</v>
      </c>
      <c r="H16">
        <v>10.1578</v>
      </c>
      <c r="I16" s="284">
        <f>G16-H16</f>
        <v>0.16970000000000063</v>
      </c>
      <c r="J16" s="283">
        <f t="shared" si="1"/>
        <v>4.049999999999937E-2</v>
      </c>
      <c r="K16" s="285">
        <f t="shared" si="2"/>
        <v>19.267364414842707</v>
      </c>
      <c r="L16">
        <v>16</v>
      </c>
      <c r="M16" s="16">
        <v>43399</v>
      </c>
      <c r="N16" s="16">
        <v>43400</v>
      </c>
      <c r="R16" s="285"/>
    </row>
    <row r="17" spans="1:18">
      <c r="A17" t="s">
        <v>2038</v>
      </c>
      <c r="B17">
        <v>196</v>
      </c>
      <c r="D17">
        <v>0.46760000000000002</v>
      </c>
      <c r="E17">
        <v>8.3564000000000007</v>
      </c>
      <c r="F17">
        <v>0.20749999999999999</v>
      </c>
      <c r="G17" s="284">
        <f t="shared" si="0"/>
        <v>8.5639000000000003</v>
      </c>
      <c r="H17" s="284">
        <v>8.4141999999999992</v>
      </c>
      <c r="I17" s="284">
        <f>G17-H17</f>
        <v>0.14970000000000105</v>
      </c>
      <c r="J17" s="283">
        <f t="shared" si="1"/>
        <v>5.7799999999998936E-2</v>
      </c>
      <c r="K17" s="285">
        <f t="shared" si="2"/>
        <v>27.855421686746478</v>
      </c>
      <c r="L17">
        <v>26</v>
      </c>
      <c r="M17" s="16">
        <v>43388</v>
      </c>
      <c r="N17" s="286">
        <v>43389</v>
      </c>
      <c r="O17" s="16"/>
      <c r="R17" s="285"/>
    </row>
    <row r="18" spans="1:18">
      <c r="A18" t="s">
        <v>1930</v>
      </c>
      <c r="C18" t="s">
        <v>3679</v>
      </c>
      <c r="D18">
        <v>0.87960000000000005</v>
      </c>
      <c r="E18">
        <v>8.8452000000000002</v>
      </c>
      <c r="F18">
        <v>0.20319999999999999</v>
      </c>
      <c r="G18" s="284">
        <f t="shared" si="0"/>
        <v>9.0484000000000009</v>
      </c>
      <c r="H18" s="284">
        <v>8.8666999999999998</v>
      </c>
      <c r="I18" s="284">
        <f>(G18-H18)</f>
        <v>0.18170000000000108</v>
      </c>
      <c r="J18" s="283">
        <f t="shared" si="1"/>
        <v>2.1499999999998909E-2</v>
      </c>
      <c r="K18" s="285">
        <f t="shared" si="2"/>
        <v>10.580708661416786</v>
      </c>
      <c r="L18">
        <v>6</v>
      </c>
      <c r="M18" s="286">
        <v>43360</v>
      </c>
      <c r="N18" s="286">
        <v>43361</v>
      </c>
      <c r="O18" s="283"/>
      <c r="R18" s="285"/>
    </row>
    <row r="19" spans="1:18">
      <c r="A19" t="s">
        <v>1927</v>
      </c>
      <c r="B19">
        <v>219</v>
      </c>
      <c r="C19" t="s">
        <v>2504</v>
      </c>
      <c r="D19">
        <v>0.62549999999999994</v>
      </c>
      <c r="E19">
        <v>11.456</v>
      </c>
      <c r="F19">
        <v>0.22650000000000001</v>
      </c>
      <c r="G19" s="284">
        <f t="shared" si="0"/>
        <v>11.682499999999999</v>
      </c>
      <c r="H19" s="284">
        <v>11.511900000000001</v>
      </c>
      <c r="I19" s="284">
        <f>G19-H19</f>
        <v>0.17059999999999853</v>
      </c>
      <c r="J19" s="283">
        <f t="shared" si="1"/>
        <v>5.5900000000001476E-2</v>
      </c>
      <c r="K19" s="285">
        <f t="shared" si="2"/>
        <v>24.6799116997799</v>
      </c>
      <c r="L19">
        <v>38</v>
      </c>
      <c r="M19" s="16">
        <v>43399</v>
      </c>
      <c r="N19" s="16">
        <v>43400</v>
      </c>
      <c r="R19" s="285"/>
    </row>
    <row r="20" spans="1:18">
      <c r="A20" t="s">
        <v>1926</v>
      </c>
      <c r="B20">
        <v>206</v>
      </c>
      <c r="C20" t="s">
        <v>2504</v>
      </c>
      <c r="D20">
        <v>0.49540000000000001</v>
      </c>
      <c r="E20">
        <v>10.0777</v>
      </c>
      <c r="F20">
        <v>0.2072</v>
      </c>
      <c r="G20">
        <f t="shared" si="0"/>
        <v>10.2849</v>
      </c>
      <c r="H20">
        <v>10.1074</v>
      </c>
      <c r="I20" s="284">
        <f>G20-H20</f>
        <v>0.17750000000000021</v>
      </c>
      <c r="J20" s="283">
        <f t="shared" si="1"/>
        <v>2.9699999999999782E-2</v>
      </c>
      <c r="K20" s="285">
        <f t="shared" si="2"/>
        <v>14.333976833976731</v>
      </c>
      <c r="L20">
        <v>28</v>
      </c>
      <c r="M20" s="16">
        <v>43399</v>
      </c>
      <c r="N20" s="16">
        <v>43400</v>
      </c>
      <c r="R20" s="285"/>
    </row>
    <row r="21" spans="1:18">
      <c r="A21" t="s">
        <v>1925</v>
      </c>
      <c r="C21" t="s">
        <v>3693</v>
      </c>
      <c r="D21">
        <v>0.59860000000000002</v>
      </c>
      <c r="E21">
        <v>10.155200000000001</v>
      </c>
      <c r="F21">
        <v>0.20319999999999999</v>
      </c>
      <c r="G21" s="284">
        <f t="shared" si="0"/>
        <v>10.358400000000001</v>
      </c>
      <c r="H21" s="284">
        <v>10.1928</v>
      </c>
      <c r="I21" s="284">
        <f>(G21-H21)</f>
        <v>0.1656000000000013</v>
      </c>
      <c r="J21" s="283">
        <f t="shared" si="1"/>
        <v>3.759999999999869E-2</v>
      </c>
      <c r="K21" s="285">
        <f t="shared" si="2"/>
        <v>18.503937007873372</v>
      </c>
      <c r="L21">
        <v>10</v>
      </c>
      <c r="M21" s="286">
        <v>43360</v>
      </c>
      <c r="N21" s="286">
        <v>43361</v>
      </c>
      <c r="O21" s="283" t="s">
        <v>3707</v>
      </c>
      <c r="R21" s="285"/>
    </row>
    <row r="22" spans="1:18">
      <c r="A22" t="s">
        <v>1924</v>
      </c>
      <c r="C22" t="s">
        <v>3667</v>
      </c>
      <c r="D22">
        <v>1.7190000000000001</v>
      </c>
      <c r="E22">
        <v>7.8718000000000004</v>
      </c>
      <c r="F22">
        <v>0.20960000000000001</v>
      </c>
      <c r="G22" s="284">
        <f t="shared" si="0"/>
        <v>8.0814000000000004</v>
      </c>
      <c r="H22" s="284">
        <v>7.8833000000000002</v>
      </c>
      <c r="I22" s="284">
        <f>(G22-H22)</f>
        <v>0.19810000000000016</v>
      </c>
      <c r="J22" s="283">
        <f t="shared" si="1"/>
        <v>1.1499999999999844E-2</v>
      </c>
      <c r="K22" s="285">
        <f t="shared" si="2"/>
        <v>5.4866412213739713</v>
      </c>
      <c r="L22">
        <v>28</v>
      </c>
      <c r="M22" s="16">
        <v>43358</v>
      </c>
      <c r="N22" s="16">
        <v>43358</v>
      </c>
      <c r="R22" s="285"/>
    </row>
    <row r="23" spans="1:18">
      <c r="A23" t="s">
        <v>1923</v>
      </c>
      <c r="C23" t="s">
        <v>3499</v>
      </c>
      <c r="D23">
        <v>1.0039</v>
      </c>
      <c r="E23">
        <v>9.3199000000000005</v>
      </c>
      <c r="F23">
        <v>0.20979999999999999</v>
      </c>
      <c r="G23" s="284">
        <f t="shared" si="0"/>
        <v>9.5297000000000001</v>
      </c>
      <c r="H23" s="284">
        <v>9.3470999999999993</v>
      </c>
      <c r="I23" s="284">
        <f>G23-H23</f>
        <v>0.18260000000000076</v>
      </c>
      <c r="J23" s="283">
        <f t="shared" si="1"/>
        <v>2.7199999999999225E-2</v>
      </c>
      <c r="K23" s="285">
        <f t="shared" si="2"/>
        <v>12.964728312678373</v>
      </c>
      <c r="L23">
        <v>7</v>
      </c>
      <c r="M23" s="286">
        <v>43363</v>
      </c>
      <c r="N23" s="286">
        <v>43364</v>
      </c>
      <c r="O23" s="283"/>
      <c r="R23" s="285"/>
    </row>
    <row r="24" spans="1:18">
      <c r="A24" t="s">
        <v>1922</v>
      </c>
      <c r="B24">
        <v>214</v>
      </c>
      <c r="D24">
        <v>0.52639999999999998</v>
      </c>
      <c r="E24">
        <v>8.7746999999999993</v>
      </c>
      <c r="F24">
        <v>0.21629999999999999</v>
      </c>
      <c r="G24" s="284">
        <f t="shared" si="0"/>
        <v>8.9909999999999997</v>
      </c>
      <c r="H24" s="284">
        <v>8.8180999999999994</v>
      </c>
      <c r="I24" s="284">
        <f>G24-H24</f>
        <v>0.17290000000000028</v>
      </c>
      <c r="J24" s="283">
        <f t="shared" si="1"/>
        <v>4.3399999999999717E-2</v>
      </c>
      <c r="K24" s="285">
        <f t="shared" si="2"/>
        <v>20.06472491909372</v>
      </c>
      <c r="L24">
        <v>28</v>
      </c>
      <c r="M24" s="16">
        <v>43395</v>
      </c>
      <c r="N24" s="16">
        <v>43396</v>
      </c>
      <c r="R24" s="285"/>
    </row>
    <row r="25" spans="1:18">
      <c r="A25" t="s">
        <v>2037</v>
      </c>
      <c r="C25" t="s">
        <v>3731</v>
      </c>
      <c r="D25">
        <v>1.7701</v>
      </c>
      <c r="E25">
        <v>7.8719999999999999</v>
      </c>
      <c r="F25">
        <v>0.24010000000000001</v>
      </c>
      <c r="G25" s="284">
        <f t="shared" si="0"/>
        <v>8.1120999999999999</v>
      </c>
      <c r="H25" s="284">
        <v>7.8863000000000003</v>
      </c>
      <c r="I25" s="284">
        <f>G25-H25</f>
        <v>0.22579999999999956</v>
      </c>
      <c r="J25" s="283">
        <f t="shared" si="1"/>
        <v>1.4300000000000451E-2</v>
      </c>
      <c r="K25" s="285">
        <f t="shared" si="2"/>
        <v>5.9558517284466683</v>
      </c>
      <c r="L25">
        <v>8</v>
      </c>
      <c r="M25" s="286">
        <v>43361</v>
      </c>
      <c r="N25" s="286">
        <v>43362</v>
      </c>
      <c r="O25" s="283" t="s">
        <v>3730</v>
      </c>
      <c r="R25" s="285"/>
    </row>
    <row r="26" spans="1:18">
      <c r="A26" t="s">
        <v>1920</v>
      </c>
      <c r="C26" t="s">
        <v>3688</v>
      </c>
      <c r="D26">
        <v>1.6929000000000001</v>
      </c>
      <c r="E26">
        <v>11.122400000000001</v>
      </c>
      <c r="F26">
        <v>0.21759999999999999</v>
      </c>
      <c r="G26" s="284">
        <f t="shared" si="0"/>
        <v>11.34</v>
      </c>
      <c r="H26" s="284">
        <v>11.1351</v>
      </c>
      <c r="I26" s="284">
        <f>G26-H26</f>
        <v>0.2049000000000003</v>
      </c>
      <c r="J26" s="283">
        <f t="shared" si="1"/>
        <v>1.2699999999999684E-2</v>
      </c>
      <c r="K26" s="285">
        <f t="shared" si="2"/>
        <v>5.8363970588233842</v>
      </c>
      <c r="L26">
        <v>36</v>
      </c>
      <c r="M26" s="16">
        <v>43381</v>
      </c>
      <c r="N26" s="16">
        <v>43382</v>
      </c>
      <c r="R26" s="285"/>
    </row>
    <row r="27" spans="1:18">
      <c r="A27" t="s">
        <v>1919</v>
      </c>
      <c r="C27" t="s">
        <v>3500</v>
      </c>
      <c r="D27">
        <v>1.3692</v>
      </c>
      <c r="E27">
        <v>9.3442000000000007</v>
      </c>
      <c r="F27">
        <v>0.20519999999999999</v>
      </c>
      <c r="G27" s="284">
        <f t="shared" si="0"/>
        <v>9.5494000000000003</v>
      </c>
      <c r="H27" s="284">
        <v>9.3613999999999997</v>
      </c>
      <c r="I27" s="284">
        <f>G27-H27</f>
        <v>0.18800000000000061</v>
      </c>
      <c r="J27" s="283">
        <f t="shared" si="1"/>
        <v>1.7199999999999382E-2</v>
      </c>
      <c r="K27" s="285">
        <f t="shared" si="2"/>
        <v>8.3820662768028189</v>
      </c>
      <c r="L27">
        <v>42</v>
      </c>
      <c r="M27" s="286">
        <v>43362</v>
      </c>
      <c r="N27" s="286">
        <v>43363</v>
      </c>
      <c r="R27" s="285"/>
    </row>
    <row r="28" spans="1:18">
      <c r="A28" t="s">
        <v>1916</v>
      </c>
      <c r="C28" t="s">
        <v>3729</v>
      </c>
      <c r="D28">
        <v>0.64349999999999996</v>
      </c>
      <c r="E28">
        <v>10.0764</v>
      </c>
      <c r="F28">
        <v>0.20669999999999999</v>
      </c>
      <c r="G28" s="284">
        <f t="shared" si="0"/>
        <v>10.283099999999999</v>
      </c>
      <c r="H28" s="284">
        <v>10.1145</v>
      </c>
      <c r="I28" s="284">
        <f>(G28-H28)</f>
        <v>0.16859999999999964</v>
      </c>
      <c r="J28" s="283">
        <f t="shared" si="1"/>
        <v>3.8100000000000356E-2</v>
      </c>
      <c r="K28" s="285">
        <f t="shared" si="2"/>
        <v>18.432510885341248</v>
      </c>
      <c r="L28">
        <v>41</v>
      </c>
      <c r="M28" s="286">
        <v>43360</v>
      </c>
      <c r="N28" s="286">
        <v>43361</v>
      </c>
      <c r="O28" s="283" t="s">
        <v>3707</v>
      </c>
      <c r="R28" s="285"/>
    </row>
    <row r="29" spans="1:18">
      <c r="A29" t="s">
        <v>1915</v>
      </c>
      <c r="C29" t="s">
        <v>3466</v>
      </c>
      <c r="D29">
        <v>0.59279999999999999</v>
      </c>
      <c r="E29">
        <v>21.074000000000002</v>
      </c>
      <c r="F29">
        <v>0.21029999999999999</v>
      </c>
      <c r="G29" s="284">
        <f t="shared" si="0"/>
        <v>21.284300000000002</v>
      </c>
      <c r="H29" s="284">
        <v>21.12</v>
      </c>
      <c r="I29" s="284">
        <f>G29-H29</f>
        <v>0.16430000000000078</v>
      </c>
      <c r="J29" s="283">
        <f t="shared" si="1"/>
        <v>4.5999999999999208E-2</v>
      </c>
      <c r="K29" s="285">
        <f t="shared" si="2"/>
        <v>21.873514027579272</v>
      </c>
      <c r="L29">
        <v>40</v>
      </c>
      <c r="M29" s="286">
        <v>43361</v>
      </c>
      <c r="N29" s="286">
        <v>43362</v>
      </c>
      <c r="O29" s="283" t="s">
        <v>3730</v>
      </c>
      <c r="R29" s="285"/>
    </row>
    <row r="30" spans="1:18">
      <c r="A30" t="s">
        <v>1914</v>
      </c>
      <c r="C30" t="s">
        <v>3483</v>
      </c>
      <c r="D30">
        <v>0.51480000000000004</v>
      </c>
      <c r="E30">
        <v>11.1229</v>
      </c>
      <c r="F30">
        <v>0.20630000000000001</v>
      </c>
      <c r="G30" s="284">
        <f t="shared" si="0"/>
        <v>11.3292</v>
      </c>
      <c r="H30" s="284">
        <v>11.152699999999999</v>
      </c>
      <c r="I30" s="284">
        <f>G30-H30</f>
        <v>0.17650000000000077</v>
      </c>
      <c r="J30" s="283">
        <f t="shared" si="1"/>
        <v>2.9799999999999244E-2</v>
      </c>
      <c r="K30" s="285">
        <f t="shared" si="2"/>
        <v>14.444983034415532</v>
      </c>
      <c r="L30">
        <v>32</v>
      </c>
      <c r="M30" s="286">
        <v>43363</v>
      </c>
      <c r="N30" s="286">
        <v>43364</v>
      </c>
      <c r="O30" s="283" t="s">
        <v>3756</v>
      </c>
      <c r="R30" s="285"/>
    </row>
    <row r="31" spans="1:18">
      <c r="A31" t="s">
        <v>1914</v>
      </c>
      <c r="C31" t="s">
        <v>3468</v>
      </c>
      <c r="D31">
        <v>0.52039999999999997</v>
      </c>
      <c r="E31">
        <v>9.2370000000000001</v>
      </c>
      <c r="F31">
        <v>0.20330000000000001</v>
      </c>
      <c r="G31" s="284">
        <f t="shared" si="0"/>
        <v>9.4403000000000006</v>
      </c>
      <c r="H31" s="284">
        <v>9.2703000000000007</v>
      </c>
      <c r="I31" s="284">
        <f>G31-H31</f>
        <v>0.16999999999999993</v>
      </c>
      <c r="J31" s="283">
        <f t="shared" si="1"/>
        <v>3.330000000000008E-2</v>
      </c>
      <c r="K31" s="285">
        <f t="shared" si="2"/>
        <v>16.379734382685722</v>
      </c>
      <c r="L31">
        <v>12</v>
      </c>
      <c r="M31" s="286">
        <v>43374</v>
      </c>
      <c r="N31" s="286">
        <v>43375</v>
      </c>
      <c r="O31" s="283" t="s">
        <v>3730</v>
      </c>
      <c r="R31" s="285"/>
    </row>
    <row r="32" spans="1:18">
      <c r="A32" t="s">
        <v>1912</v>
      </c>
      <c r="C32" t="s">
        <v>3664</v>
      </c>
      <c r="D32">
        <v>1.6281000000000001</v>
      </c>
      <c r="E32">
        <v>7.3170999999999999</v>
      </c>
      <c r="F32">
        <v>0.20860000000000001</v>
      </c>
      <c r="G32" s="284">
        <f t="shared" si="0"/>
        <v>7.5256999999999996</v>
      </c>
      <c r="H32" s="284">
        <v>7.3278999999999996</v>
      </c>
      <c r="I32" s="284">
        <f>(G32-H32)</f>
        <v>0.19779999999999998</v>
      </c>
      <c r="J32" s="283">
        <f t="shared" si="1"/>
        <v>1.0800000000000032E-2</v>
      </c>
      <c r="K32" s="285">
        <f t="shared" si="2"/>
        <v>5.177372962607877</v>
      </c>
      <c r="L32">
        <v>6</v>
      </c>
      <c r="M32" s="286">
        <v>43355.625</v>
      </c>
      <c r="N32" s="286">
        <v>43355.791666666664</v>
      </c>
      <c r="O32" s="283" t="s">
        <v>3659</v>
      </c>
      <c r="R32" s="285"/>
    </row>
    <row r="33" spans="1:18">
      <c r="A33" t="s">
        <v>1911</v>
      </c>
      <c r="C33" t="s">
        <v>3776</v>
      </c>
      <c r="D33">
        <v>1.657</v>
      </c>
      <c r="E33">
        <v>11.864000000000001</v>
      </c>
      <c r="F33">
        <v>0.2137</v>
      </c>
      <c r="G33" s="288">
        <f t="shared" si="0"/>
        <v>12.0777</v>
      </c>
      <c r="H33" s="284">
        <v>11.8775</v>
      </c>
      <c r="I33" s="288">
        <f>G33-H33</f>
        <v>0.2002000000000006</v>
      </c>
      <c r="J33" s="283">
        <f t="shared" si="1"/>
        <v>1.3499999999999401E-2</v>
      </c>
      <c r="K33" s="285">
        <f t="shared" si="2"/>
        <v>6.3172671970048668</v>
      </c>
      <c r="L33">
        <v>39</v>
      </c>
      <c r="M33" s="286">
        <v>43379</v>
      </c>
      <c r="N33" s="286">
        <v>43379</v>
      </c>
      <c r="R33" s="285"/>
    </row>
    <row r="34" spans="1:18">
      <c r="A34" t="s">
        <v>1911</v>
      </c>
      <c r="C34" t="s">
        <v>3683</v>
      </c>
      <c r="D34">
        <v>1.6859</v>
      </c>
      <c r="E34">
        <v>8.3545999999999996</v>
      </c>
      <c r="F34">
        <v>0.24260000000000001</v>
      </c>
      <c r="G34" s="284">
        <f t="shared" ref="G34:G65" si="3">E34+F34</f>
        <v>8.5971999999999991</v>
      </c>
      <c r="H34" s="284">
        <v>8.3691999999999993</v>
      </c>
      <c r="I34" s="284">
        <f>(G34-H34)</f>
        <v>0.22799999999999976</v>
      </c>
      <c r="J34" s="283">
        <f t="shared" ref="J34:J65" si="4">F34-I34</f>
        <v>1.4600000000000252E-2</v>
      </c>
      <c r="K34" s="285">
        <f t="shared" ref="K34:K65" si="5">(J34/F34)*100</f>
        <v>6.0181368507832858</v>
      </c>
      <c r="L34">
        <v>26</v>
      </c>
      <c r="M34" s="286">
        <v>43360</v>
      </c>
      <c r="N34" s="286">
        <v>43361</v>
      </c>
      <c r="R34" s="285"/>
    </row>
    <row r="35" spans="1:18">
      <c r="A35" t="s">
        <v>1910</v>
      </c>
      <c r="B35">
        <v>208</v>
      </c>
      <c r="D35">
        <v>0.57820000000000005</v>
      </c>
      <c r="E35">
        <v>8.4451000000000001</v>
      </c>
      <c r="F35">
        <v>0.20499999999999999</v>
      </c>
      <c r="G35" s="284">
        <f t="shared" si="3"/>
        <v>8.6501000000000001</v>
      </c>
      <c r="H35" s="284">
        <v>8.4872999999999994</v>
      </c>
      <c r="I35" s="284">
        <f t="shared" ref="I35:I48" si="6">G35-H35</f>
        <v>0.16280000000000072</v>
      </c>
      <c r="J35" s="283">
        <f t="shared" si="4"/>
        <v>4.2199999999999266E-2</v>
      </c>
      <c r="K35" s="285">
        <f t="shared" si="5"/>
        <v>20.585365853658182</v>
      </c>
      <c r="L35">
        <v>30</v>
      </c>
      <c r="M35" s="16">
        <v>43388</v>
      </c>
      <c r="N35" s="286">
        <v>43389</v>
      </c>
      <c r="O35" s="16"/>
      <c r="R35" s="285"/>
    </row>
    <row r="36" spans="1:18">
      <c r="A36" t="s">
        <v>1909</v>
      </c>
      <c r="C36" t="s">
        <v>3418</v>
      </c>
      <c r="D36">
        <v>0.48530000000000001</v>
      </c>
      <c r="E36">
        <v>9.2226999999999997</v>
      </c>
      <c r="F36">
        <v>0.20430000000000001</v>
      </c>
      <c r="G36" s="284">
        <f t="shared" si="3"/>
        <v>9.4269999999999996</v>
      </c>
      <c r="H36" s="284">
        <v>9.2571999999999992</v>
      </c>
      <c r="I36" s="284">
        <f t="shared" si="6"/>
        <v>0.1698000000000004</v>
      </c>
      <c r="J36" s="283">
        <f t="shared" si="4"/>
        <v>3.4499999999999614E-2</v>
      </c>
      <c r="K36" s="285">
        <f t="shared" si="5"/>
        <v>16.886930983847094</v>
      </c>
      <c r="L36">
        <v>32</v>
      </c>
      <c r="M36">
        <v>23.101800000000001</v>
      </c>
      <c r="N36" s="16">
        <v>43397</v>
      </c>
      <c r="R36" s="285"/>
    </row>
    <row r="37" spans="1:18">
      <c r="A37" t="s">
        <v>1907</v>
      </c>
      <c r="B37">
        <v>213</v>
      </c>
      <c r="D37">
        <v>0.3967</v>
      </c>
      <c r="E37">
        <v>10.5123</v>
      </c>
      <c r="F37">
        <v>0.20039999999999999</v>
      </c>
      <c r="G37" s="284">
        <f t="shared" si="3"/>
        <v>10.7127</v>
      </c>
      <c r="H37" s="284">
        <v>10.550700000000001</v>
      </c>
      <c r="I37" s="284">
        <f t="shared" si="6"/>
        <v>0.16199999999999903</v>
      </c>
      <c r="J37" s="283">
        <f t="shared" si="4"/>
        <v>3.8400000000000961E-2</v>
      </c>
      <c r="K37" s="285">
        <f t="shared" si="5"/>
        <v>19.161676646707068</v>
      </c>
      <c r="L37">
        <v>16</v>
      </c>
      <c r="M37" s="16">
        <v>43395</v>
      </c>
      <c r="N37" s="16">
        <v>43396</v>
      </c>
      <c r="R37" s="285"/>
    </row>
    <row r="38" spans="1:18">
      <c r="A38" t="s">
        <v>1906</v>
      </c>
      <c r="C38" t="s">
        <v>3472</v>
      </c>
      <c r="D38" s="283">
        <v>0.45729999999999998</v>
      </c>
      <c r="E38" s="284">
        <v>8.1690000000000005</v>
      </c>
      <c r="F38" s="284">
        <v>0.20030000000000001</v>
      </c>
      <c r="G38" s="284">
        <f t="shared" si="3"/>
        <v>8.3693000000000008</v>
      </c>
      <c r="H38" s="284">
        <v>8.2138000000000009</v>
      </c>
      <c r="I38" s="284">
        <f t="shared" si="6"/>
        <v>0.15549999999999997</v>
      </c>
      <c r="J38" s="283">
        <f t="shared" si="4"/>
        <v>4.4800000000000034E-2</v>
      </c>
      <c r="K38" s="285">
        <f t="shared" si="5"/>
        <v>22.366450324513245</v>
      </c>
      <c r="L38" s="283">
        <v>1</v>
      </c>
      <c r="M38" s="286">
        <v>43374</v>
      </c>
      <c r="N38" s="286">
        <v>43375</v>
      </c>
      <c r="O38" s="283" t="s">
        <v>3730</v>
      </c>
      <c r="P38" s="283"/>
      <c r="R38" s="285"/>
    </row>
    <row r="39" spans="1:18">
      <c r="A39" t="s">
        <v>1905</v>
      </c>
      <c r="C39" t="s">
        <v>3682</v>
      </c>
      <c r="D39">
        <v>0.89710000000000001</v>
      </c>
      <c r="E39">
        <v>10.0761</v>
      </c>
      <c r="F39">
        <v>0.2218</v>
      </c>
      <c r="G39" s="284">
        <f t="shared" si="3"/>
        <v>10.2979</v>
      </c>
      <c r="H39" s="284">
        <v>10.1014</v>
      </c>
      <c r="I39" s="284">
        <f t="shared" si="6"/>
        <v>0.19650000000000034</v>
      </c>
      <c r="J39" s="283">
        <f t="shared" si="4"/>
        <v>2.5299999999999656E-2</v>
      </c>
      <c r="K39" s="285">
        <f t="shared" si="5"/>
        <v>11.406672678088214</v>
      </c>
      <c r="L39">
        <v>26</v>
      </c>
      <c r="M39" s="286">
        <v>43363</v>
      </c>
      <c r="N39" s="286">
        <v>43364</v>
      </c>
      <c r="R39" s="285"/>
    </row>
    <row r="40" spans="1:18">
      <c r="A40" t="s">
        <v>1904</v>
      </c>
      <c r="C40" t="s">
        <v>3469</v>
      </c>
      <c r="D40">
        <v>0.76780000000000004</v>
      </c>
      <c r="E40">
        <v>8.7037999999999993</v>
      </c>
      <c r="F40">
        <v>0.22570000000000001</v>
      </c>
      <c r="G40">
        <f t="shared" si="3"/>
        <v>8.9294999999999991</v>
      </c>
      <c r="H40">
        <v>8.7919</v>
      </c>
      <c r="I40">
        <f t="shared" si="6"/>
        <v>0.13759999999999906</v>
      </c>
      <c r="J40" s="283">
        <f t="shared" si="4"/>
        <v>8.8100000000000955E-2</v>
      </c>
      <c r="K40" s="285">
        <f t="shared" si="5"/>
        <v>39.03411608329683</v>
      </c>
      <c r="M40" s="16">
        <v>43399</v>
      </c>
      <c r="N40" s="16">
        <v>43400</v>
      </c>
      <c r="P40" t="s">
        <v>3708</v>
      </c>
      <c r="R40" s="285"/>
    </row>
    <row r="41" spans="1:18">
      <c r="A41" t="s">
        <v>1903</v>
      </c>
      <c r="B41">
        <v>202</v>
      </c>
      <c r="C41" t="s">
        <v>2504</v>
      </c>
      <c r="D41">
        <v>0.53639999999999999</v>
      </c>
      <c r="E41">
        <v>10.922000000000001</v>
      </c>
      <c r="F41">
        <v>0.2041</v>
      </c>
      <c r="G41">
        <f t="shared" si="3"/>
        <v>11.126100000000001</v>
      </c>
      <c r="H41">
        <v>10.9625</v>
      </c>
      <c r="I41" s="284">
        <f t="shared" si="6"/>
        <v>0.16360000000000063</v>
      </c>
      <c r="J41" s="283">
        <f t="shared" si="4"/>
        <v>4.049999999999937E-2</v>
      </c>
      <c r="K41" s="285">
        <f t="shared" si="5"/>
        <v>19.843214110729726</v>
      </c>
      <c r="L41">
        <v>17</v>
      </c>
      <c r="M41" s="16">
        <v>43402</v>
      </c>
      <c r="N41" s="16">
        <v>43403</v>
      </c>
      <c r="R41" s="285"/>
    </row>
    <row r="42" spans="1:18">
      <c r="A42" t="s">
        <v>1902</v>
      </c>
      <c r="B42">
        <v>194</v>
      </c>
      <c r="D42">
        <v>0.27379999999999999</v>
      </c>
      <c r="E42">
        <v>9.0533000000000001</v>
      </c>
      <c r="F42">
        <v>0.20649999999999999</v>
      </c>
      <c r="G42" s="284">
        <f t="shared" si="3"/>
        <v>9.2598000000000003</v>
      </c>
      <c r="H42" s="284">
        <v>9.0852000000000004</v>
      </c>
      <c r="I42" s="284">
        <f t="shared" si="6"/>
        <v>0.17459999999999987</v>
      </c>
      <c r="J42" s="283">
        <f t="shared" si="4"/>
        <v>3.1900000000000123E-2</v>
      </c>
      <c r="K42" s="285">
        <f t="shared" si="5"/>
        <v>15.447941888619916</v>
      </c>
      <c r="L42">
        <v>22</v>
      </c>
      <c r="M42" s="16">
        <v>43388</v>
      </c>
      <c r="N42" s="286">
        <v>43389</v>
      </c>
      <c r="O42" s="16"/>
      <c r="P42" t="s">
        <v>3782</v>
      </c>
      <c r="R42" s="285"/>
    </row>
    <row r="43" spans="1:18">
      <c r="A43" t="s">
        <v>1901</v>
      </c>
      <c r="C43" t="s">
        <v>3422</v>
      </c>
      <c r="D43">
        <v>0.57299999999999995</v>
      </c>
      <c r="E43">
        <v>11.0909</v>
      </c>
      <c r="F43">
        <v>0.2011</v>
      </c>
      <c r="G43">
        <f t="shared" si="3"/>
        <v>11.292</v>
      </c>
      <c r="H43">
        <v>11.129200000000001</v>
      </c>
      <c r="I43" s="284">
        <f t="shared" si="6"/>
        <v>0.16279999999999895</v>
      </c>
      <c r="J43" s="283">
        <f t="shared" si="4"/>
        <v>3.8300000000001055E-2</v>
      </c>
      <c r="K43" s="285">
        <f t="shared" si="5"/>
        <v>19.04525111884687</v>
      </c>
      <c r="L43">
        <v>39</v>
      </c>
      <c r="M43" s="16">
        <v>43399</v>
      </c>
      <c r="N43" s="16">
        <v>43400</v>
      </c>
      <c r="R43" s="285"/>
    </row>
    <row r="44" spans="1:18">
      <c r="A44" t="s">
        <v>2035</v>
      </c>
      <c r="C44" t="s">
        <v>3486</v>
      </c>
      <c r="D44">
        <v>1.5294000000000001</v>
      </c>
      <c r="E44">
        <v>10.1083</v>
      </c>
      <c r="F44">
        <v>0.2006</v>
      </c>
      <c r="G44" s="284">
        <f t="shared" si="3"/>
        <v>10.3089</v>
      </c>
      <c r="H44" s="284">
        <v>10.122299999999999</v>
      </c>
      <c r="I44" s="284">
        <f t="shared" si="6"/>
        <v>0.18660000000000032</v>
      </c>
      <c r="J44" s="283">
        <f t="shared" si="4"/>
        <v>1.3999999999999679E-2</v>
      </c>
      <c r="K44" s="285">
        <f t="shared" si="5"/>
        <v>6.9790628115651439</v>
      </c>
      <c r="L44">
        <v>10</v>
      </c>
      <c r="M44" s="286">
        <v>43363</v>
      </c>
      <c r="N44" s="286">
        <v>43364</v>
      </c>
      <c r="O44" s="283"/>
      <c r="R44" s="285"/>
    </row>
    <row r="45" spans="1:18">
      <c r="A45" t="s">
        <v>1898</v>
      </c>
      <c r="C45" t="s">
        <v>3712</v>
      </c>
      <c r="D45">
        <v>1.7141999999999999</v>
      </c>
      <c r="E45">
        <v>11.0246</v>
      </c>
      <c r="F45">
        <v>0.2218</v>
      </c>
      <c r="G45" s="284">
        <f t="shared" si="3"/>
        <v>11.2464</v>
      </c>
      <c r="H45" s="284">
        <v>11.036899999999999</v>
      </c>
      <c r="I45" s="284">
        <f t="shared" si="6"/>
        <v>0.20950000000000024</v>
      </c>
      <c r="J45" s="283">
        <f t="shared" si="4"/>
        <v>1.2299999999999756E-2</v>
      </c>
      <c r="K45" s="285">
        <f t="shared" si="5"/>
        <v>5.545536519386725</v>
      </c>
      <c r="L45">
        <v>22</v>
      </c>
      <c r="M45" s="16">
        <v>43399</v>
      </c>
      <c r="N45" s="16">
        <v>43400</v>
      </c>
      <c r="R45" s="285"/>
    </row>
    <row r="46" spans="1:18">
      <c r="A46" t="s">
        <v>1897</v>
      </c>
      <c r="C46" t="s">
        <v>3488</v>
      </c>
      <c r="D46">
        <v>0.67800000000000005</v>
      </c>
      <c r="E46">
        <v>7.6650999999999998</v>
      </c>
      <c r="F46">
        <v>0.20669999999999999</v>
      </c>
      <c r="G46" s="284">
        <f t="shared" si="3"/>
        <v>7.8717999999999995</v>
      </c>
      <c r="H46" s="284">
        <v>7.8121999999999998</v>
      </c>
      <c r="I46" s="284">
        <f t="shared" si="6"/>
        <v>5.9599999999999653E-2</v>
      </c>
      <c r="J46" s="283">
        <f t="shared" si="4"/>
        <v>0.14710000000000034</v>
      </c>
      <c r="K46" s="285">
        <f t="shared" si="5"/>
        <v>71.165940977261897</v>
      </c>
      <c r="L46">
        <v>22</v>
      </c>
      <c r="M46" s="286">
        <v>43363</v>
      </c>
      <c r="N46" s="286">
        <v>43364</v>
      </c>
      <c r="O46" s="283" t="s">
        <v>3756</v>
      </c>
      <c r="R46" s="285"/>
    </row>
    <row r="47" spans="1:18">
      <c r="A47" t="s">
        <v>1895</v>
      </c>
      <c r="C47" t="s">
        <v>3431</v>
      </c>
      <c r="D47">
        <v>0.60899999999999999</v>
      </c>
      <c r="E47">
        <v>10.2729</v>
      </c>
      <c r="F47">
        <v>0.20849999999999999</v>
      </c>
      <c r="G47" s="284">
        <f t="shared" si="3"/>
        <v>10.481400000000001</v>
      </c>
      <c r="H47" s="284">
        <v>10.3217</v>
      </c>
      <c r="I47" s="284">
        <f t="shared" si="6"/>
        <v>0.15970000000000084</v>
      </c>
      <c r="J47" s="283">
        <f t="shared" si="4"/>
        <v>4.879999999999915E-2</v>
      </c>
      <c r="K47" s="285">
        <f t="shared" si="5"/>
        <v>23.40527577937609</v>
      </c>
      <c r="L47">
        <v>17</v>
      </c>
      <c r="M47" s="16">
        <v>43399</v>
      </c>
      <c r="N47" s="16">
        <v>43400</v>
      </c>
      <c r="R47" s="285"/>
    </row>
    <row r="48" spans="1:18">
      <c r="A48" t="s">
        <v>1894</v>
      </c>
      <c r="C48" t="s">
        <v>3753</v>
      </c>
      <c r="D48">
        <v>1.6411</v>
      </c>
      <c r="E48">
        <v>10.418200000000001</v>
      </c>
      <c r="F48">
        <v>0.21490000000000001</v>
      </c>
      <c r="G48" s="284">
        <f t="shared" si="3"/>
        <v>10.633100000000001</v>
      </c>
      <c r="H48" s="284">
        <v>10.430999999999999</v>
      </c>
      <c r="I48" s="284">
        <f t="shared" si="6"/>
        <v>0.2021000000000015</v>
      </c>
      <c r="J48" s="283">
        <f t="shared" si="4"/>
        <v>1.2799999999998507E-2</v>
      </c>
      <c r="K48" s="285">
        <f t="shared" si="5"/>
        <v>5.9562587249876717</v>
      </c>
      <c r="L48">
        <v>16</v>
      </c>
      <c r="M48" s="16">
        <v>43388</v>
      </c>
      <c r="N48" s="286">
        <v>43389</v>
      </c>
      <c r="O48" s="286"/>
      <c r="P48" s="283"/>
      <c r="R48" s="285"/>
    </row>
    <row r="49" spans="1:18">
      <c r="A49" t="s">
        <v>1893</v>
      </c>
      <c r="C49" t="s">
        <v>3669</v>
      </c>
      <c r="D49">
        <v>1.6581999999999999</v>
      </c>
      <c r="E49">
        <v>10.5092</v>
      </c>
      <c r="F49">
        <v>0.20150000000000001</v>
      </c>
      <c r="G49" s="284">
        <f t="shared" si="3"/>
        <v>10.710699999999999</v>
      </c>
      <c r="H49" s="284">
        <v>10.5219</v>
      </c>
      <c r="I49" s="284">
        <f>(G49-H49)</f>
        <v>0.18879999999999875</v>
      </c>
      <c r="J49" s="283">
        <f t="shared" si="4"/>
        <v>1.2700000000001266E-2</v>
      </c>
      <c r="K49" s="285">
        <f t="shared" si="5"/>
        <v>6.3027295285366076</v>
      </c>
      <c r="L49">
        <v>37</v>
      </c>
      <c r="M49" s="16">
        <v>43358</v>
      </c>
      <c r="N49" s="16">
        <v>43358</v>
      </c>
      <c r="R49" s="285"/>
    </row>
    <row r="50" spans="1:18">
      <c r="A50" t="s">
        <v>1892</v>
      </c>
      <c r="B50">
        <v>200</v>
      </c>
      <c r="C50" t="s">
        <v>2504</v>
      </c>
      <c r="D50">
        <v>0.53959999999999997</v>
      </c>
      <c r="E50">
        <v>8.1367999999999991</v>
      </c>
      <c r="F50">
        <v>0.2099</v>
      </c>
      <c r="G50" s="284">
        <f t="shared" si="3"/>
        <v>8.3466999999999985</v>
      </c>
      <c r="H50" s="284">
        <v>8.1814999999999998</v>
      </c>
      <c r="I50" s="284">
        <f>G50-H50</f>
        <v>0.16519999999999868</v>
      </c>
      <c r="J50" s="283">
        <f t="shared" si="4"/>
        <v>4.4700000000001322E-2</v>
      </c>
      <c r="K50" s="285">
        <f t="shared" si="5"/>
        <v>21.295855169128785</v>
      </c>
      <c r="L50">
        <v>42</v>
      </c>
      <c r="M50" s="16">
        <v>43395</v>
      </c>
      <c r="N50" s="16">
        <v>43396</v>
      </c>
      <c r="R50" s="285"/>
    </row>
    <row r="51" spans="1:18">
      <c r="A51" t="s">
        <v>1891</v>
      </c>
      <c r="C51" t="s">
        <v>3692</v>
      </c>
      <c r="D51">
        <v>0.58809999999999996</v>
      </c>
      <c r="E51">
        <v>7.8015999999999996</v>
      </c>
      <c r="F51">
        <v>0.21840000000000001</v>
      </c>
      <c r="G51" s="284">
        <f t="shared" si="3"/>
        <v>8.02</v>
      </c>
      <c r="H51" s="284">
        <v>7.8402000000000003</v>
      </c>
      <c r="I51" s="284">
        <f>(G51-H51)</f>
        <v>0.17979999999999929</v>
      </c>
      <c r="J51" s="283">
        <f t="shared" si="4"/>
        <v>3.8600000000000717E-2</v>
      </c>
      <c r="K51" s="285">
        <f t="shared" si="5"/>
        <v>17.673992673993002</v>
      </c>
      <c r="L51">
        <v>28</v>
      </c>
      <c r="M51" s="286">
        <v>43360</v>
      </c>
      <c r="N51" s="286">
        <v>43361</v>
      </c>
      <c r="R51" s="285"/>
    </row>
    <row r="52" spans="1:18">
      <c r="A52" t="s">
        <v>2034</v>
      </c>
      <c r="C52" t="s">
        <v>3487</v>
      </c>
      <c r="D52">
        <v>0.86140000000000005</v>
      </c>
      <c r="E52">
        <v>7.8017000000000003</v>
      </c>
      <c r="F52">
        <v>0.2054</v>
      </c>
      <c r="G52" s="284">
        <f t="shared" si="3"/>
        <v>8.0070999999999994</v>
      </c>
      <c r="H52" s="284">
        <v>7.8273000000000001</v>
      </c>
      <c r="I52" s="284">
        <f t="shared" ref="I52:I63" si="7">G52-H52</f>
        <v>0.17979999999999929</v>
      </c>
      <c r="J52" s="283">
        <f t="shared" si="4"/>
        <v>2.5600000000000706E-2</v>
      </c>
      <c r="K52" s="285">
        <f t="shared" si="5"/>
        <v>12.463485881207744</v>
      </c>
      <c r="L52">
        <v>11</v>
      </c>
      <c r="M52" s="286">
        <v>43363</v>
      </c>
      <c r="N52" s="286">
        <v>43364</v>
      </c>
      <c r="O52" s="283"/>
      <c r="R52" s="285"/>
    </row>
    <row r="53" spans="1:18">
      <c r="A53" t="s">
        <v>1889</v>
      </c>
      <c r="C53" t="s">
        <v>3496</v>
      </c>
      <c r="D53">
        <v>1.5247999999999999</v>
      </c>
      <c r="E53">
        <v>7.0930999999999997</v>
      </c>
      <c r="F53">
        <v>0.20499999999999999</v>
      </c>
      <c r="G53" s="284">
        <f t="shared" si="3"/>
        <v>7.2980999999999998</v>
      </c>
      <c r="H53" s="284">
        <v>7.1116999999999999</v>
      </c>
      <c r="I53" s="284">
        <f t="shared" si="7"/>
        <v>0.1863999999999999</v>
      </c>
      <c r="J53" s="283">
        <f t="shared" si="4"/>
        <v>1.8600000000000089E-2</v>
      </c>
      <c r="K53" s="285">
        <f t="shared" si="5"/>
        <v>9.0731707317073607</v>
      </c>
      <c r="L53">
        <v>35</v>
      </c>
      <c r="M53" s="286">
        <v>43363</v>
      </c>
      <c r="N53" s="286">
        <v>43364</v>
      </c>
      <c r="R53" s="285"/>
    </row>
    <row r="54" spans="1:18">
      <c r="A54" t="s">
        <v>1884</v>
      </c>
      <c r="C54" t="s">
        <v>3746</v>
      </c>
      <c r="D54">
        <v>1.7110000000000001</v>
      </c>
      <c r="E54">
        <v>7.9946000000000002</v>
      </c>
      <c r="F54">
        <v>0.2059</v>
      </c>
      <c r="G54" s="284">
        <f t="shared" si="3"/>
        <v>8.2004999999999999</v>
      </c>
      <c r="H54" s="284">
        <v>8.0063999999999993</v>
      </c>
      <c r="I54" s="284">
        <f t="shared" si="7"/>
        <v>0.19410000000000061</v>
      </c>
      <c r="J54" s="283">
        <f t="shared" si="4"/>
        <v>1.1799999999999394E-2</v>
      </c>
      <c r="K54" s="285">
        <f t="shared" si="5"/>
        <v>5.730937348227001</v>
      </c>
      <c r="L54">
        <v>5</v>
      </c>
      <c r="M54" s="16">
        <v>43399</v>
      </c>
      <c r="N54" s="16">
        <v>43400</v>
      </c>
      <c r="R54" s="285"/>
    </row>
    <row r="55" spans="1:18">
      <c r="A55" t="s">
        <v>1883</v>
      </c>
      <c r="C55" t="s">
        <v>3719</v>
      </c>
      <c r="D55">
        <v>0.79720000000000002</v>
      </c>
      <c r="E55">
        <v>9.2212999999999994</v>
      </c>
      <c r="F55">
        <v>0.22459999999999999</v>
      </c>
      <c r="G55" s="284">
        <f t="shared" si="3"/>
        <v>9.4459</v>
      </c>
      <c r="H55" s="284">
        <v>9.2627000000000006</v>
      </c>
      <c r="I55" s="284">
        <f t="shared" si="7"/>
        <v>0.18319999999999936</v>
      </c>
      <c r="J55" s="283">
        <f t="shared" si="4"/>
        <v>4.1400000000000631E-2</v>
      </c>
      <c r="K55" s="285">
        <f t="shared" si="5"/>
        <v>18.432769367765196</v>
      </c>
      <c r="L55">
        <v>18</v>
      </c>
      <c r="M55" s="286">
        <v>43374</v>
      </c>
      <c r="N55" s="286">
        <v>43375</v>
      </c>
      <c r="O55" s="283" t="s">
        <v>3730</v>
      </c>
      <c r="R55" s="285"/>
    </row>
    <row r="56" spans="1:18">
      <c r="A56" t="s">
        <v>1882</v>
      </c>
      <c r="B56">
        <v>203</v>
      </c>
      <c r="C56" t="s">
        <v>2504</v>
      </c>
      <c r="D56">
        <v>0.55449999999999999</v>
      </c>
      <c r="E56">
        <v>7.5293999999999999</v>
      </c>
      <c r="F56">
        <v>0.2059</v>
      </c>
      <c r="G56">
        <f t="shared" si="3"/>
        <v>7.7352999999999996</v>
      </c>
      <c r="H56">
        <v>7.5590999999999999</v>
      </c>
      <c r="I56" s="284">
        <f t="shared" si="7"/>
        <v>0.17619999999999969</v>
      </c>
      <c r="J56" s="283">
        <f t="shared" si="4"/>
        <v>2.9700000000000309E-2</v>
      </c>
      <c r="K56" s="285">
        <f t="shared" si="5"/>
        <v>14.424477901894273</v>
      </c>
      <c r="L56">
        <v>18</v>
      </c>
      <c r="M56" s="16">
        <v>43402</v>
      </c>
      <c r="N56" s="16">
        <v>43403</v>
      </c>
      <c r="R56" s="285"/>
    </row>
    <row r="57" spans="1:18">
      <c r="A57" t="s">
        <v>1881</v>
      </c>
      <c r="B57">
        <v>211</v>
      </c>
      <c r="C57" t="s">
        <v>2504</v>
      </c>
      <c r="D57">
        <v>0.54249999999999998</v>
      </c>
      <c r="E57">
        <v>11.444000000000001</v>
      </c>
      <c r="F57">
        <v>0.20030000000000001</v>
      </c>
      <c r="G57" s="284">
        <f t="shared" si="3"/>
        <v>11.644300000000001</v>
      </c>
      <c r="H57" s="284">
        <v>11.4878</v>
      </c>
      <c r="I57" s="284">
        <f t="shared" si="7"/>
        <v>0.15650000000000119</v>
      </c>
      <c r="J57" s="283">
        <f t="shared" si="4"/>
        <v>4.3799999999998812E-2</v>
      </c>
      <c r="K57" s="285">
        <f t="shared" si="5"/>
        <v>21.867199201197611</v>
      </c>
      <c r="L57">
        <v>21</v>
      </c>
      <c r="M57" s="16">
        <v>43399</v>
      </c>
      <c r="N57" s="16">
        <v>43400</v>
      </c>
      <c r="R57" s="285"/>
    </row>
    <row r="58" spans="1:18">
      <c r="A58" t="s">
        <v>1881</v>
      </c>
      <c r="C58" t="s">
        <v>3760</v>
      </c>
      <c r="D58">
        <v>1.2806</v>
      </c>
      <c r="E58">
        <v>10.511799999999999</v>
      </c>
      <c r="F58">
        <v>0.2288</v>
      </c>
      <c r="G58" s="284">
        <f t="shared" si="3"/>
        <v>10.740599999999999</v>
      </c>
      <c r="H58" s="284">
        <v>10.539199999999999</v>
      </c>
      <c r="I58" s="284">
        <f t="shared" si="7"/>
        <v>0.20139999999999958</v>
      </c>
      <c r="J58" s="283">
        <f t="shared" si="4"/>
        <v>2.7400000000000424E-2</v>
      </c>
      <c r="K58" s="285">
        <f t="shared" si="5"/>
        <v>11.975524475524661</v>
      </c>
      <c r="L58">
        <v>23</v>
      </c>
      <c r="M58" s="286">
        <v>43363</v>
      </c>
      <c r="N58" s="286">
        <v>43364</v>
      </c>
      <c r="O58" s="283" t="s">
        <v>3756</v>
      </c>
      <c r="R58" s="285"/>
    </row>
    <row r="59" spans="1:18">
      <c r="A59" t="s">
        <v>2033</v>
      </c>
      <c r="C59" t="s">
        <v>3428</v>
      </c>
      <c r="D59">
        <v>0.56720000000000004</v>
      </c>
      <c r="E59">
        <v>7.3182</v>
      </c>
      <c r="F59">
        <v>0.20519999999999999</v>
      </c>
      <c r="G59" s="288">
        <f t="shared" si="3"/>
        <v>7.5233999999999996</v>
      </c>
      <c r="H59" s="284">
        <v>7.3620000000000001</v>
      </c>
      <c r="I59" s="288">
        <f t="shared" si="7"/>
        <v>0.16139999999999954</v>
      </c>
      <c r="J59" s="283">
        <f t="shared" si="4"/>
        <v>4.380000000000045E-2</v>
      </c>
      <c r="K59" s="285">
        <f t="shared" si="5"/>
        <v>21.345029239766301</v>
      </c>
      <c r="L59">
        <v>30</v>
      </c>
      <c r="M59" s="286">
        <v>43379</v>
      </c>
      <c r="N59" s="286">
        <v>43379</v>
      </c>
      <c r="R59" s="285"/>
    </row>
    <row r="60" spans="1:18">
      <c r="A60" t="s">
        <v>1880</v>
      </c>
      <c r="B60">
        <v>218</v>
      </c>
      <c r="D60">
        <v>0.49509999999999998</v>
      </c>
      <c r="E60">
        <v>9.6803000000000008</v>
      </c>
      <c r="F60">
        <v>0.2137</v>
      </c>
      <c r="G60" s="284">
        <f t="shared" si="3"/>
        <v>9.8940000000000001</v>
      </c>
      <c r="H60" s="284">
        <v>9.7294999999999998</v>
      </c>
      <c r="I60" s="284">
        <f t="shared" si="7"/>
        <v>0.16450000000000031</v>
      </c>
      <c r="J60" s="283">
        <f t="shared" si="4"/>
        <v>4.9199999999999688E-2</v>
      </c>
      <c r="K60" s="285">
        <f t="shared" si="5"/>
        <v>23.022929340196391</v>
      </c>
      <c r="L60">
        <v>14</v>
      </c>
      <c r="M60" s="16">
        <v>43395</v>
      </c>
      <c r="N60" s="16">
        <v>43396</v>
      </c>
      <c r="R60" s="285"/>
    </row>
    <row r="61" spans="1:18">
      <c r="A61" t="s">
        <v>1879</v>
      </c>
      <c r="C61" t="s">
        <v>3467</v>
      </c>
      <c r="D61">
        <v>0.57020000000000004</v>
      </c>
      <c r="E61">
        <v>7.4804000000000004</v>
      </c>
      <c r="F61">
        <v>0.2079</v>
      </c>
      <c r="G61" s="284">
        <f t="shared" si="3"/>
        <v>7.6883000000000008</v>
      </c>
      <c r="H61" s="284">
        <v>7.5321999999999996</v>
      </c>
      <c r="I61" s="284">
        <f t="shared" si="7"/>
        <v>0.15610000000000124</v>
      </c>
      <c r="J61" s="283">
        <f t="shared" si="4"/>
        <v>5.1799999999998764E-2</v>
      </c>
      <c r="K61" s="285">
        <f t="shared" si="5"/>
        <v>24.915824915824324</v>
      </c>
      <c r="L61">
        <v>5</v>
      </c>
      <c r="M61">
        <v>23.101800000000001</v>
      </c>
      <c r="N61" s="16">
        <v>43397</v>
      </c>
      <c r="R61" s="285"/>
    </row>
    <row r="62" spans="1:18">
      <c r="A62" t="s">
        <v>1878</v>
      </c>
      <c r="C62" t="s">
        <v>3686</v>
      </c>
      <c r="D62">
        <v>1.6617999999999999</v>
      </c>
      <c r="E62">
        <v>10.6196</v>
      </c>
      <c r="F62">
        <v>0.23619999999999999</v>
      </c>
      <c r="G62" s="284">
        <f t="shared" si="3"/>
        <v>10.8558</v>
      </c>
      <c r="H62" s="284">
        <v>10.632899999999999</v>
      </c>
      <c r="I62" s="284">
        <f t="shared" si="7"/>
        <v>0.22290000000000099</v>
      </c>
      <c r="J62" s="283">
        <f t="shared" si="4"/>
        <v>1.3299999999999007E-2</v>
      </c>
      <c r="K62" s="285">
        <f t="shared" si="5"/>
        <v>5.6308213378488601</v>
      </c>
      <c r="L62">
        <v>20</v>
      </c>
      <c r="M62" s="16">
        <v>43381</v>
      </c>
      <c r="N62" s="16">
        <v>43382</v>
      </c>
      <c r="R62" s="285"/>
    </row>
    <row r="63" spans="1:18">
      <c r="A63" t="s">
        <v>1877</v>
      </c>
      <c r="B63">
        <v>205</v>
      </c>
      <c r="C63" t="s">
        <v>2504</v>
      </c>
      <c r="D63">
        <v>0.63280000000000003</v>
      </c>
      <c r="E63">
        <v>8.8627000000000002</v>
      </c>
      <c r="F63">
        <v>0.217</v>
      </c>
      <c r="G63">
        <f t="shared" si="3"/>
        <v>9.0797000000000008</v>
      </c>
      <c r="H63">
        <v>8.9017999999999997</v>
      </c>
      <c r="I63" s="284">
        <f t="shared" si="7"/>
        <v>0.17790000000000106</v>
      </c>
      <c r="J63" s="283">
        <f t="shared" si="4"/>
        <v>3.9099999999998941E-2</v>
      </c>
      <c r="K63" s="285">
        <f t="shared" si="5"/>
        <v>18.018433179723015</v>
      </c>
      <c r="L63">
        <v>40</v>
      </c>
      <c r="M63" s="16">
        <v>43399</v>
      </c>
      <c r="N63" s="16">
        <v>43400</v>
      </c>
      <c r="R63" s="285"/>
    </row>
    <row r="64" spans="1:18">
      <c r="A64" t="s">
        <v>1876</v>
      </c>
      <c r="C64" t="s">
        <v>3664</v>
      </c>
      <c r="D64">
        <v>1.7222</v>
      </c>
      <c r="E64">
        <v>8.8440999999999992</v>
      </c>
      <c r="F64">
        <v>0.20219999999999999</v>
      </c>
      <c r="G64" s="284">
        <f t="shared" si="3"/>
        <v>9.0462999999999987</v>
      </c>
      <c r="H64" s="284">
        <v>8.8551000000000002</v>
      </c>
      <c r="I64" s="284">
        <f>(G64-H64)</f>
        <v>0.19119999999999848</v>
      </c>
      <c r="J64" s="283">
        <f t="shared" si="4"/>
        <v>1.1000000000001509E-2</v>
      </c>
      <c r="K64" s="285">
        <f t="shared" si="5"/>
        <v>5.4401582591501034</v>
      </c>
      <c r="L64">
        <v>13</v>
      </c>
      <c r="M64" s="286">
        <v>43355.625</v>
      </c>
      <c r="N64" s="286">
        <v>43355.791666666664</v>
      </c>
      <c r="O64" s="283" t="s">
        <v>3659</v>
      </c>
      <c r="R64" s="285"/>
    </row>
    <row r="65" spans="1:18">
      <c r="A65" t="s">
        <v>1875</v>
      </c>
      <c r="C65" t="s">
        <v>3490</v>
      </c>
      <c r="D65">
        <v>1.0085</v>
      </c>
      <c r="E65">
        <v>11.089</v>
      </c>
      <c r="F65">
        <v>0.23849999999999999</v>
      </c>
      <c r="G65" s="284">
        <f t="shared" si="3"/>
        <v>11.327500000000001</v>
      </c>
      <c r="H65" s="284">
        <v>11.142799999999999</v>
      </c>
      <c r="I65" s="284">
        <f t="shared" ref="I65:I74" si="8">G65-H65</f>
        <v>0.1847000000000012</v>
      </c>
      <c r="J65" s="283">
        <f t="shared" si="4"/>
        <v>5.3799999999998793E-2</v>
      </c>
      <c r="K65" s="285">
        <f t="shared" si="5"/>
        <v>22.557651991613749</v>
      </c>
      <c r="L65">
        <v>19</v>
      </c>
      <c r="M65" s="286">
        <v>43363</v>
      </c>
      <c r="N65" s="286">
        <v>43364</v>
      </c>
      <c r="O65" s="283" t="s">
        <v>3756</v>
      </c>
      <c r="R65" s="285"/>
    </row>
    <row r="66" spans="1:18">
      <c r="A66" t="s">
        <v>1874</v>
      </c>
      <c r="C66" t="s">
        <v>3784</v>
      </c>
      <c r="D66">
        <v>1.0862000000000001</v>
      </c>
      <c r="E66">
        <v>11.1609</v>
      </c>
      <c r="F66">
        <v>0.20930000000000001</v>
      </c>
      <c r="G66" s="284">
        <f t="shared" ref="G66:G90" si="9">E66+F66</f>
        <v>11.370200000000001</v>
      </c>
      <c r="H66" s="284">
        <v>11.1906</v>
      </c>
      <c r="I66" s="284">
        <f t="shared" si="8"/>
        <v>0.17960000000000065</v>
      </c>
      <c r="J66" s="283">
        <f t="shared" ref="J66:J90" si="10">F66-I66</f>
        <v>2.9699999999999366E-2</v>
      </c>
      <c r="K66" s="285">
        <f t="shared" ref="K66:K90" si="11">(J66/F66)*100</f>
        <v>14.190157668418236</v>
      </c>
      <c r="L66">
        <v>3</v>
      </c>
      <c r="M66" s="16">
        <v>43399</v>
      </c>
      <c r="N66" s="16">
        <v>43400</v>
      </c>
      <c r="R66" s="285"/>
    </row>
    <row r="67" spans="1:18">
      <c r="A67" t="s">
        <v>1871</v>
      </c>
      <c r="B67">
        <v>203</v>
      </c>
      <c r="C67" t="s">
        <v>2504</v>
      </c>
      <c r="D67">
        <v>0.40100000000000002</v>
      </c>
      <c r="E67">
        <v>11.173500000000001</v>
      </c>
      <c r="F67">
        <v>0.20399999999999999</v>
      </c>
      <c r="G67">
        <f t="shared" si="9"/>
        <v>11.377500000000001</v>
      </c>
      <c r="H67">
        <v>11.223599999999999</v>
      </c>
      <c r="I67" s="284">
        <f t="shared" si="8"/>
        <v>0.15390000000000192</v>
      </c>
      <c r="J67" s="283">
        <f t="shared" si="10"/>
        <v>5.0099999999998063E-2</v>
      </c>
      <c r="K67" s="285">
        <f t="shared" si="11"/>
        <v>24.558823529410816</v>
      </c>
      <c r="L67">
        <v>12</v>
      </c>
      <c r="M67" s="16">
        <v>43402</v>
      </c>
      <c r="N67" s="16">
        <v>43403</v>
      </c>
      <c r="R67" s="285"/>
    </row>
    <row r="68" spans="1:18">
      <c r="A68" t="s">
        <v>1869</v>
      </c>
      <c r="B68">
        <v>202</v>
      </c>
      <c r="C68" t="s">
        <v>2504</v>
      </c>
      <c r="D68">
        <v>0.61839999999999995</v>
      </c>
      <c r="E68">
        <v>7.7754000000000003</v>
      </c>
      <c r="F68">
        <v>0.22239999999999999</v>
      </c>
      <c r="G68" s="284">
        <f t="shared" si="9"/>
        <v>7.9978000000000007</v>
      </c>
      <c r="H68" s="284">
        <v>7.8433000000000002</v>
      </c>
      <c r="I68" s="284">
        <f t="shared" si="8"/>
        <v>0.15450000000000053</v>
      </c>
      <c r="J68" s="283">
        <f t="shared" si="10"/>
        <v>6.7899999999999461E-2</v>
      </c>
      <c r="K68" s="285">
        <f t="shared" si="11"/>
        <v>30.530575539568105</v>
      </c>
      <c r="L68">
        <v>36</v>
      </c>
      <c r="M68" s="16">
        <v>43395</v>
      </c>
      <c r="N68" s="16">
        <v>43396</v>
      </c>
      <c r="R68" s="285"/>
    </row>
    <row r="69" spans="1:18">
      <c r="A69" t="s">
        <v>1868</v>
      </c>
      <c r="B69">
        <v>199</v>
      </c>
      <c r="C69" t="s">
        <v>2504</v>
      </c>
      <c r="D69">
        <v>0.43680000000000002</v>
      </c>
      <c r="E69">
        <v>10.126300000000001</v>
      </c>
      <c r="F69">
        <v>0.20269999999999999</v>
      </c>
      <c r="G69">
        <f t="shared" si="9"/>
        <v>10.329000000000001</v>
      </c>
      <c r="H69">
        <v>10.1569</v>
      </c>
      <c r="I69" s="284">
        <f t="shared" si="8"/>
        <v>0.17210000000000036</v>
      </c>
      <c r="J69" s="283">
        <f t="shared" si="10"/>
        <v>3.0599999999999627E-2</v>
      </c>
      <c r="K69" s="285">
        <f t="shared" si="11"/>
        <v>15.096201282683586</v>
      </c>
      <c r="L69">
        <v>29</v>
      </c>
      <c r="M69" s="16">
        <v>43399</v>
      </c>
      <c r="N69" s="16">
        <v>43400</v>
      </c>
      <c r="R69" s="285"/>
    </row>
    <row r="70" spans="1:18">
      <c r="A70" t="s">
        <v>1867</v>
      </c>
      <c r="C70" t="s">
        <v>3473</v>
      </c>
      <c r="D70">
        <v>0.71299999999999997</v>
      </c>
      <c r="E70">
        <v>10.2034</v>
      </c>
      <c r="F70">
        <v>0.20280000000000001</v>
      </c>
      <c r="G70" s="284">
        <f t="shared" si="9"/>
        <v>10.4062</v>
      </c>
      <c r="H70" s="284">
        <v>10.277200000000001</v>
      </c>
      <c r="I70" s="284">
        <f t="shared" si="8"/>
        <v>0.12899999999999956</v>
      </c>
      <c r="J70" s="283">
        <f t="shared" si="10"/>
        <v>7.3800000000000449E-2</v>
      </c>
      <c r="K70" s="285">
        <f t="shared" si="11"/>
        <v>36.390532544378914</v>
      </c>
      <c r="L70">
        <v>5</v>
      </c>
      <c r="M70" s="286">
        <v>43363</v>
      </c>
      <c r="N70" s="286">
        <v>43364</v>
      </c>
      <c r="O70" s="283" t="s">
        <v>3756</v>
      </c>
      <c r="P70" t="s">
        <v>3757</v>
      </c>
      <c r="R70" s="285"/>
    </row>
    <row r="71" spans="1:18">
      <c r="A71" t="s">
        <v>1866</v>
      </c>
      <c r="C71" t="s">
        <v>3758</v>
      </c>
      <c r="D71">
        <v>0.79810000000000003</v>
      </c>
      <c r="E71">
        <v>10.6745</v>
      </c>
      <c r="F71">
        <v>0.21310000000000001</v>
      </c>
      <c r="G71" s="284">
        <f t="shared" si="9"/>
        <v>10.887600000000001</v>
      </c>
      <c r="H71" s="284">
        <v>10.7004</v>
      </c>
      <c r="I71" s="284">
        <f t="shared" si="8"/>
        <v>0.1872000000000007</v>
      </c>
      <c r="J71" s="283">
        <f t="shared" si="10"/>
        <v>2.5899999999999312E-2</v>
      </c>
      <c r="K71" s="285">
        <f t="shared" si="11"/>
        <v>12.153918348193013</v>
      </c>
      <c r="L71">
        <v>21</v>
      </c>
      <c r="M71" s="286">
        <v>43363</v>
      </c>
      <c r="N71" s="286">
        <v>43364</v>
      </c>
      <c r="R71" s="285"/>
    </row>
    <row r="72" spans="1:18">
      <c r="A72" t="s">
        <v>1865</v>
      </c>
      <c r="C72" t="s">
        <v>3469</v>
      </c>
      <c r="D72">
        <v>0.55979999999999996</v>
      </c>
      <c r="E72">
        <v>10.1454</v>
      </c>
      <c r="F72">
        <v>0.2049</v>
      </c>
      <c r="G72" s="284">
        <f t="shared" si="9"/>
        <v>10.350300000000001</v>
      </c>
      <c r="H72" s="284">
        <v>10.1907</v>
      </c>
      <c r="I72" s="284">
        <f t="shared" si="8"/>
        <v>0.15960000000000107</v>
      </c>
      <c r="J72" s="283">
        <f t="shared" si="10"/>
        <v>4.5299999999998924E-2</v>
      </c>
      <c r="K72" s="285">
        <f t="shared" si="11"/>
        <v>22.108345534406503</v>
      </c>
      <c r="L72">
        <v>30</v>
      </c>
      <c r="M72" s="286">
        <v>43374</v>
      </c>
      <c r="N72" s="286">
        <v>43375</v>
      </c>
      <c r="O72" s="283" t="s">
        <v>3730</v>
      </c>
      <c r="R72" s="285"/>
    </row>
    <row r="73" spans="1:18">
      <c r="A73" t="s">
        <v>1864</v>
      </c>
      <c r="B73">
        <v>200</v>
      </c>
      <c r="C73" t="s">
        <v>2504</v>
      </c>
      <c r="D73">
        <v>0.502</v>
      </c>
      <c r="E73">
        <v>7.4816000000000003</v>
      </c>
      <c r="F73">
        <v>0.23400000000000001</v>
      </c>
      <c r="G73">
        <f t="shared" si="9"/>
        <v>7.7156000000000002</v>
      </c>
      <c r="H73">
        <v>7.5110999999999999</v>
      </c>
      <c r="I73" s="284">
        <f t="shared" si="8"/>
        <v>0.20450000000000035</v>
      </c>
      <c r="J73" s="283">
        <f t="shared" si="10"/>
        <v>2.9499999999999665E-2</v>
      </c>
      <c r="K73" s="285">
        <f t="shared" si="11"/>
        <v>12.606837606837463</v>
      </c>
      <c r="L73">
        <v>24</v>
      </c>
      <c r="M73" s="16">
        <v>43399</v>
      </c>
      <c r="N73" s="16">
        <v>43400</v>
      </c>
      <c r="R73" s="285"/>
    </row>
    <row r="74" spans="1:18">
      <c r="A74" t="s">
        <v>1863</v>
      </c>
      <c r="C74" t="s">
        <v>3784</v>
      </c>
      <c r="D74">
        <v>0.96719999999999995</v>
      </c>
      <c r="E74">
        <v>9.0335000000000001</v>
      </c>
      <c r="F74">
        <v>0.2082</v>
      </c>
      <c r="G74">
        <f t="shared" si="9"/>
        <v>9.2416999999999998</v>
      </c>
      <c r="H74">
        <v>9.0564</v>
      </c>
      <c r="I74" s="284">
        <f t="shared" si="8"/>
        <v>0.1852999999999998</v>
      </c>
      <c r="J74" s="283">
        <f t="shared" si="10"/>
        <v>2.2900000000000198E-2</v>
      </c>
      <c r="K74" s="285">
        <f t="shared" si="11"/>
        <v>10.999039385206627</v>
      </c>
      <c r="L74">
        <v>12</v>
      </c>
      <c r="M74" s="16">
        <v>43399</v>
      </c>
      <c r="N74" s="16">
        <v>43400</v>
      </c>
      <c r="R74" s="285"/>
    </row>
    <row r="75" spans="1:18">
      <c r="A75" t="s">
        <v>1862</v>
      </c>
      <c r="C75" t="s">
        <v>3673</v>
      </c>
      <c r="D75">
        <v>1.6246</v>
      </c>
      <c r="E75">
        <v>8.0631000000000004</v>
      </c>
      <c r="F75">
        <v>0.20319999999999999</v>
      </c>
      <c r="G75" s="284">
        <f t="shared" si="9"/>
        <v>8.2663000000000011</v>
      </c>
      <c r="H75" s="284">
        <v>8.0751000000000008</v>
      </c>
      <c r="I75" s="284">
        <f>(G75-H75)</f>
        <v>0.19120000000000026</v>
      </c>
      <c r="J75" s="283">
        <f t="shared" si="10"/>
        <v>1.1999999999999733E-2</v>
      </c>
      <c r="K75" s="285">
        <f t="shared" si="11"/>
        <v>5.9055118110234908</v>
      </c>
      <c r="L75">
        <v>17</v>
      </c>
      <c r="M75" s="16">
        <v>43358</v>
      </c>
      <c r="N75" s="16">
        <v>43358</v>
      </c>
      <c r="R75" s="285"/>
    </row>
    <row r="76" spans="1:18">
      <c r="A76" t="s">
        <v>1861</v>
      </c>
      <c r="C76" t="s">
        <v>3765</v>
      </c>
      <c r="D76">
        <v>0.57599999999999996</v>
      </c>
      <c r="E76">
        <v>9.8216000000000001</v>
      </c>
      <c r="F76">
        <v>0.20580000000000001</v>
      </c>
      <c r="G76" s="288">
        <f t="shared" si="9"/>
        <v>10.0274</v>
      </c>
      <c r="H76" s="284">
        <v>9.8629999999999995</v>
      </c>
      <c r="I76" s="288">
        <f t="shared" ref="I76:I83" si="12">G76-H76</f>
        <v>0.16440000000000055</v>
      </c>
      <c r="J76" s="283">
        <f t="shared" si="10"/>
        <v>4.1399999999999465E-2</v>
      </c>
      <c r="K76" s="285">
        <f t="shared" si="11"/>
        <v>20.116618075801487</v>
      </c>
      <c r="L76">
        <v>34</v>
      </c>
      <c r="M76" s="286">
        <v>43379</v>
      </c>
      <c r="N76" s="286">
        <v>43379</v>
      </c>
      <c r="R76" s="285"/>
    </row>
    <row r="77" spans="1:18">
      <c r="A77" t="s">
        <v>1860</v>
      </c>
      <c r="C77" t="s">
        <v>3744</v>
      </c>
      <c r="D77">
        <v>1.5517000000000001</v>
      </c>
      <c r="E77">
        <v>20.988499999999998</v>
      </c>
      <c r="F77">
        <v>0.2056</v>
      </c>
      <c r="G77" s="284">
        <f t="shared" si="9"/>
        <v>21.194099999999999</v>
      </c>
      <c r="H77" s="284">
        <v>21.000900000000001</v>
      </c>
      <c r="I77" s="284">
        <f t="shared" si="12"/>
        <v>0.19319999999999737</v>
      </c>
      <c r="J77" s="283">
        <f t="shared" si="10"/>
        <v>1.2400000000002631E-2</v>
      </c>
      <c r="K77" s="285">
        <f t="shared" si="11"/>
        <v>6.0311284046705405</v>
      </c>
      <c r="L77">
        <v>10</v>
      </c>
      <c r="M77" s="286">
        <v>43362</v>
      </c>
      <c r="N77" s="286">
        <v>43363</v>
      </c>
      <c r="O77" s="283"/>
      <c r="R77" s="285"/>
    </row>
    <row r="78" spans="1:18">
      <c r="A78" t="s">
        <v>1857</v>
      </c>
      <c r="C78" t="s">
        <v>3755</v>
      </c>
      <c r="D78">
        <v>1.7357</v>
      </c>
      <c r="E78">
        <v>11.1074</v>
      </c>
      <c r="F78">
        <v>0.22459999999999999</v>
      </c>
      <c r="G78" s="284">
        <f t="shared" si="9"/>
        <v>11.332000000000001</v>
      </c>
      <c r="H78" s="284">
        <v>11.122</v>
      </c>
      <c r="I78" s="284">
        <f t="shared" si="12"/>
        <v>0.21000000000000085</v>
      </c>
      <c r="J78" s="283">
        <f t="shared" si="10"/>
        <v>1.4599999999999141E-2</v>
      </c>
      <c r="K78" s="285">
        <f t="shared" si="11"/>
        <v>6.5004452359746852</v>
      </c>
      <c r="L78">
        <v>38</v>
      </c>
      <c r="M78" s="286">
        <v>43362</v>
      </c>
      <c r="N78" s="286">
        <v>43363</v>
      </c>
      <c r="R78" s="285"/>
    </row>
    <row r="79" spans="1:18">
      <c r="A79" t="s">
        <v>1856</v>
      </c>
      <c r="C79" t="s">
        <v>3489</v>
      </c>
      <c r="D79">
        <v>1.4026000000000001</v>
      </c>
      <c r="E79">
        <v>10.795199999999999</v>
      </c>
      <c r="F79">
        <v>0.23599999999999999</v>
      </c>
      <c r="G79" s="284">
        <f t="shared" si="9"/>
        <v>11.0312</v>
      </c>
      <c r="H79" s="284">
        <v>10.811999999999999</v>
      </c>
      <c r="I79" s="284">
        <f t="shared" si="12"/>
        <v>0.21920000000000073</v>
      </c>
      <c r="J79" s="283">
        <f t="shared" si="10"/>
        <v>1.679999999999926E-2</v>
      </c>
      <c r="K79" s="285">
        <f t="shared" si="11"/>
        <v>7.1186440677962963</v>
      </c>
      <c r="L79">
        <v>27</v>
      </c>
      <c r="M79" s="286">
        <v>43374</v>
      </c>
      <c r="N79" s="286">
        <v>43375</v>
      </c>
      <c r="O79" s="283" t="s">
        <v>3730</v>
      </c>
      <c r="R79" s="285"/>
    </row>
    <row r="80" spans="1:18">
      <c r="A80" t="s">
        <v>1854</v>
      </c>
      <c r="B80">
        <v>219</v>
      </c>
      <c r="C80" t="s">
        <v>2504</v>
      </c>
      <c r="D80">
        <v>0.39419999999999999</v>
      </c>
      <c r="E80">
        <v>8.7696000000000005</v>
      </c>
      <c r="F80">
        <v>0.2031</v>
      </c>
      <c r="G80" s="284">
        <f t="shared" si="9"/>
        <v>8.9726999999999997</v>
      </c>
      <c r="H80" s="284">
        <v>8.8156999999999996</v>
      </c>
      <c r="I80" s="284">
        <f t="shared" si="12"/>
        <v>0.15700000000000003</v>
      </c>
      <c r="J80" s="283">
        <f t="shared" si="10"/>
        <v>4.6099999999999974E-2</v>
      </c>
      <c r="K80" s="285">
        <f t="shared" si="11"/>
        <v>22.698178237321503</v>
      </c>
      <c r="L80">
        <v>27</v>
      </c>
      <c r="M80" s="16">
        <v>43395</v>
      </c>
      <c r="N80" s="16">
        <v>43396</v>
      </c>
      <c r="R80" s="285"/>
    </row>
    <row r="81" spans="1:18">
      <c r="A81" t="s">
        <v>1853</v>
      </c>
      <c r="C81" t="s">
        <v>3487</v>
      </c>
      <c r="D81">
        <v>1.0368999999999999</v>
      </c>
      <c r="E81">
        <v>9.0328999999999997</v>
      </c>
      <c r="F81">
        <v>0.22339999999999999</v>
      </c>
      <c r="G81" s="284">
        <f t="shared" si="9"/>
        <v>9.2562999999999995</v>
      </c>
      <c r="H81" s="284">
        <v>9.0556999999999999</v>
      </c>
      <c r="I81" s="284">
        <f t="shared" si="12"/>
        <v>0.20059999999999967</v>
      </c>
      <c r="J81" s="283">
        <f t="shared" si="10"/>
        <v>2.280000000000032E-2</v>
      </c>
      <c r="K81" s="285">
        <f t="shared" si="11"/>
        <v>10.205908683975077</v>
      </c>
      <c r="L81">
        <v>16</v>
      </c>
      <c r="M81" s="286">
        <v>43374</v>
      </c>
      <c r="N81" s="286">
        <v>43375</v>
      </c>
      <c r="O81" s="283" t="s">
        <v>3730</v>
      </c>
      <c r="R81" s="285"/>
    </row>
    <row r="82" spans="1:18">
      <c r="A82" t="s">
        <v>1852</v>
      </c>
      <c r="C82" t="s">
        <v>3492</v>
      </c>
      <c r="D82">
        <v>1.1795</v>
      </c>
      <c r="E82">
        <v>10.5045</v>
      </c>
      <c r="F82">
        <v>0.23860000000000001</v>
      </c>
      <c r="G82" s="284">
        <f t="shared" si="9"/>
        <v>10.7431</v>
      </c>
      <c r="H82" s="284">
        <v>10.528600000000001</v>
      </c>
      <c r="I82" s="284">
        <f t="shared" si="12"/>
        <v>0.21449999999999925</v>
      </c>
      <c r="J82" s="283">
        <f t="shared" si="10"/>
        <v>2.410000000000076E-2</v>
      </c>
      <c r="K82" s="285">
        <f t="shared" si="11"/>
        <v>10.100586756077433</v>
      </c>
      <c r="L82">
        <v>24</v>
      </c>
      <c r="M82" s="286">
        <v>43363</v>
      </c>
      <c r="N82" s="286">
        <v>43364</v>
      </c>
      <c r="R82" s="285"/>
    </row>
    <row r="83" spans="1:18">
      <c r="A83" t="s">
        <v>2048</v>
      </c>
      <c r="C83" t="s">
        <v>3754</v>
      </c>
      <c r="D83">
        <v>1.3561000000000001</v>
      </c>
      <c r="E83">
        <v>9.9193999999999996</v>
      </c>
      <c r="F83">
        <v>0.2041</v>
      </c>
      <c r="G83" s="284">
        <f t="shared" si="9"/>
        <v>10.1235</v>
      </c>
      <c r="H83" s="284">
        <v>9.9764999999999997</v>
      </c>
      <c r="I83" s="284">
        <f t="shared" si="12"/>
        <v>0.14700000000000024</v>
      </c>
      <c r="J83" s="283">
        <f t="shared" si="10"/>
        <v>5.7099999999999762E-2</v>
      </c>
      <c r="K83" s="285">
        <f t="shared" si="11"/>
        <v>27.976482116609386</v>
      </c>
      <c r="L83">
        <v>7</v>
      </c>
      <c r="M83" s="286">
        <v>43363</v>
      </c>
      <c r="N83" s="286">
        <v>43364</v>
      </c>
      <c r="O83" s="283" t="s">
        <v>3756</v>
      </c>
      <c r="R83" s="285"/>
    </row>
    <row r="84" spans="1:18">
      <c r="A84" t="s">
        <v>2030</v>
      </c>
      <c r="C84" t="s">
        <v>3719</v>
      </c>
      <c r="D84">
        <v>0.94489999999999996</v>
      </c>
      <c r="E84">
        <v>8.1201000000000008</v>
      </c>
      <c r="F84">
        <v>0.21329999999999999</v>
      </c>
      <c r="G84" s="284">
        <f t="shared" si="9"/>
        <v>8.333400000000001</v>
      </c>
      <c r="H84" s="284">
        <v>8.1453000000000007</v>
      </c>
      <c r="I84" s="284">
        <f>(G84-H84)</f>
        <v>0.18810000000000038</v>
      </c>
      <c r="J84" s="283">
        <f t="shared" si="10"/>
        <v>2.5199999999999612E-2</v>
      </c>
      <c r="K84" s="285">
        <f t="shared" si="11"/>
        <v>11.814345991561</v>
      </c>
      <c r="L84">
        <v>26</v>
      </c>
      <c r="M84" s="286">
        <v>43360</v>
      </c>
      <c r="N84" s="286">
        <v>43361</v>
      </c>
      <c r="O84" s="283" t="s">
        <v>3707</v>
      </c>
      <c r="R84" s="285"/>
    </row>
    <row r="85" spans="1:18">
      <c r="A85" t="s">
        <v>1850</v>
      </c>
      <c r="C85" t="s">
        <v>3763</v>
      </c>
      <c r="D85">
        <v>0.58140000000000003</v>
      </c>
      <c r="E85">
        <v>10.315099999999999</v>
      </c>
      <c r="F85">
        <v>0.20649999999999999</v>
      </c>
      <c r="G85" s="288">
        <f t="shared" si="9"/>
        <v>10.521599999999999</v>
      </c>
      <c r="H85" s="284">
        <v>10.353400000000001</v>
      </c>
      <c r="I85" s="288">
        <f t="shared" ref="I85:I90" si="13">G85-H85</f>
        <v>0.16819999999999879</v>
      </c>
      <c r="J85" s="283">
        <f t="shared" si="10"/>
        <v>3.8300000000001194E-2</v>
      </c>
      <c r="K85" s="285">
        <f t="shared" si="11"/>
        <v>18.547215496368619</v>
      </c>
      <c r="L85">
        <v>16</v>
      </c>
      <c r="M85" s="286">
        <v>43379</v>
      </c>
      <c r="N85" s="286">
        <v>43379</v>
      </c>
      <c r="O85" s="283"/>
      <c r="R85" s="285"/>
    </row>
    <row r="86" spans="1:18">
      <c r="A86" t="s">
        <v>1846</v>
      </c>
      <c r="B86">
        <v>217</v>
      </c>
      <c r="C86" t="s">
        <v>2504</v>
      </c>
      <c r="D86">
        <v>0.6381</v>
      </c>
      <c r="E86">
        <v>10.202999999999999</v>
      </c>
      <c r="F86">
        <v>0.20599999999999999</v>
      </c>
      <c r="G86" s="284">
        <f t="shared" si="9"/>
        <v>10.408999999999999</v>
      </c>
      <c r="H86" s="284">
        <v>10.242900000000001</v>
      </c>
      <c r="I86" s="284">
        <f t="shared" si="13"/>
        <v>0.16609999999999836</v>
      </c>
      <c r="J86" s="283">
        <f t="shared" si="10"/>
        <v>3.9900000000001629E-2</v>
      </c>
      <c r="K86" s="285">
        <f t="shared" si="11"/>
        <v>19.368932038835744</v>
      </c>
      <c r="L86">
        <v>14</v>
      </c>
      <c r="M86" s="16">
        <v>43399</v>
      </c>
      <c r="N86" s="16">
        <v>43400</v>
      </c>
      <c r="R86" s="285"/>
    </row>
    <row r="87" spans="1:18">
      <c r="A87" t="s">
        <v>1845</v>
      </c>
      <c r="C87" t="s">
        <v>3695</v>
      </c>
      <c r="D87">
        <v>0.65239999999999998</v>
      </c>
      <c r="E87">
        <v>7.1909999999999998</v>
      </c>
      <c r="F87">
        <v>0.20280000000000001</v>
      </c>
      <c r="G87" s="288">
        <f t="shared" si="9"/>
        <v>7.3937999999999997</v>
      </c>
      <c r="H87" s="284">
        <v>7.2282999999999999</v>
      </c>
      <c r="I87" s="288">
        <f t="shared" si="13"/>
        <v>0.16549999999999976</v>
      </c>
      <c r="J87" s="283">
        <f t="shared" si="10"/>
        <v>3.730000000000025E-2</v>
      </c>
      <c r="K87" s="285">
        <f t="shared" si="11"/>
        <v>18.392504930966592</v>
      </c>
      <c r="L87">
        <v>41</v>
      </c>
      <c r="M87" s="286">
        <v>43379</v>
      </c>
      <c r="N87" s="286">
        <v>43379</v>
      </c>
      <c r="R87" s="285"/>
    </row>
    <row r="88" spans="1:18">
      <c r="A88" t="s">
        <v>1844</v>
      </c>
      <c r="C88" t="s">
        <v>3765</v>
      </c>
      <c r="D88">
        <v>0.58940000000000003</v>
      </c>
      <c r="E88">
        <v>20.9283</v>
      </c>
      <c r="F88">
        <v>0.22589999999999999</v>
      </c>
      <c r="G88" s="284">
        <f t="shared" si="9"/>
        <v>21.154199999999999</v>
      </c>
      <c r="H88" s="284">
        <v>20.974399999999999</v>
      </c>
      <c r="I88" s="284">
        <f t="shared" si="13"/>
        <v>0.17980000000000018</v>
      </c>
      <c r="J88" s="283">
        <f t="shared" si="10"/>
        <v>4.6099999999999808E-2</v>
      </c>
      <c r="K88" s="285">
        <f t="shared" si="11"/>
        <v>20.407259849490842</v>
      </c>
      <c r="L88">
        <v>42</v>
      </c>
      <c r="M88" s="286">
        <v>43363</v>
      </c>
      <c r="N88" s="286">
        <v>43364</v>
      </c>
      <c r="R88" s="285"/>
    </row>
    <row r="89" spans="1:18">
      <c r="A89" t="s">
        <v>1843</v>
      </c>
      <c r="C89" t="s">
        <v>3420</v>
      </c>
      <c r="D89">
        <v>0.59960000000000002</v>
      </c>
      <c r="E89">
        <v>8.1325000000000003</v>
      </c>
      <c r="F89">
        <v>0.20519999999999999</v>
      </c>
      <c r="G89" s="284">
        <f t="shared" si="9"/>
        <v>8.3376999999999999</v>
      </c>
      <c r="H89" s="284">
        <v>8.1774000000000004</v>
      </c>
      <c r="I89" s="284">
        <f t="shared" si="13"/>
        <v>0.16029999999999944</v>
      </c>
      <c r="J89" s="283">
        <f t="shared" si="10"/>
        <v>4.4900000000000551E-2</v>
      </c>
      <c r="K89" s="285">
        <f t="shared" si="11"/>
        <v>21.881091617933993</v>
      </c>
      <c r="L89">
        <v>13</v>
      </c>
      <c r="M89" s="16">
        <v>43388</v>
      </c>
      <c r="N89" s="286">
        <v>43389</v>
      </c>
      <c r="O89" s="286"/>
      <c r="P89" s="283"/>
      <c r="R89" s="285"/>
    </row>
    <row r="90" spans="1:18">
      <c r="A90" t="s">
        <v>1841</v>
      </c>
      <c r="C90" t="s">
        <v>3751</v>
      </c>
      <c r="D90">
        <v>1.7410000000000001</v>
      </c>
      <c r="E90">
        <v>11.905099999999999</v>
      </c>
      <c r="F90">
        <v>0.23580000000000001</v>
      </c>
      <c r="G90" s="284">
        <f t="shared" si="9"/>
        <v>12.140899999999998</v>
      </c>
      <c r="H90" s="284">
        <v>11.917899999999999</v>
      </c>
      <c r="I90" s="284">
        <f t="shared" si="13"/>
        <v>0.22299999999999898</v>
      </c>
      <c r="J90" s="283">
        <f t="shared" si="10"/>
        <v>1.2800000000001033E-2</v>
      </c>
      <c r="K90" s="285">
        <f t="shared" si="11"/>
        <v>5.4283290924516674</v>
      </c>
      <c r="L90">
        <v>8</v>
      </c>
      <c r="M90">
        <v>23.101800000000001</v>
      </c>
      <c r="N90" s="16">
        <v>43397</v>
      </c>
      <c r="R90" s="285"/>
    </row>
    <row r="91" spans="1:18">
      <c r="A91" t="s">
        <v>2029</v>
      </c>
      <c r="C91" t="s">
        <v>3488</v>
      </c>
      <c r="D91">
        <v>0</v>
      </c>
      <c r="E91">
        <v>0</v>
      </c>
      <c r="F91">
        <v>0</v>
      </c>
      <c r="G91">
        <v>0</v>
      </c>
      <c r="H91">
        <v>0</v>
      </c>
      <c r="I91">
        <v>0</v>
      </c>
      <c r="J91">
        <v>0</v>
      </c>
      <c r="K91">
        <v>0</v>
      </c>
    </row>
    <row r="92" spans="1:18">
      <c r="A92" t="s">
        <v>1839</v>
      </c>
      <c r="B92">
        <v>201</v>
      </c>
      <c r="D92">
        <v>0.49409999999999998</v>
      </c>
      <c r="E92">
        <v>11.748100000000001</v>
      </c>
      <c r="F92">
        <v>0.20699999999999999</v>
      </c>
      <c r="G92" s="284">
        <f t="shared" ref="G92:G123" si="14">E92+F92</f>
        <v>11.955100000000002</v>
      </c>
      <c r="H92" s="284">
        <v>11.8874</v>
      </c>
      <c r="I92" s="284">
        <f>G92-H92</f>
        <v>6.7700000000002092E-2</v>
      </c>
      <c r="J92" s="283">
        <f t="shared" ref="J92:J155" si="15">F92-I92</f>
        <v>0.1392999999999979</v>
      </c>
      <c r="K92" s="285">
        <f t="shared" ref="K92:K155" si="16">(J92/F92)*100</f>
        <v>67.294685990337157</v>
      </c>
      <c r="L92">
        <v>1</v>
      </c>
      <c r="M92">
        <v>23.101800000000001</v>
      </c>
      <c r="N92" s="16">
        <v>43397</v>
      </c>
      <c r="R92" s="285"/>
    </row>
    <row r="93" spans="1:18">
      <c r="A93" t="s">
        <v>1837</v>
      </c>
      <c r="C93" t="s">
        <v>3417</v>
      </c>
      <c r="D93">
        <v>0.42020000000000002</v>
      </c>
      <c r="E93">
        <v>10.9038</v>
      </c>
      <c r="F93">
        <v>0.2026</v>
      </c>
      <c r="G93" s="284">
        <f t="shared" si="14"/>
        <v>11.106400000000001</v>
      </c>
      <c r="H93" s="284">
        <v>10.960699999999999</v>
      </c>
      <c r="I93" s="284">
        <f>G93-H93</f>
        <v>0.14570000000000149</v>
      </c>
      <c r="J93" s="283">
        <f t="shared" si="15"/>
        <v>5.6899999999998507E-2</v>
      </c>
      <c r="K93" s="285">
        <f t="shared" si="16"/>
        <v>28.084896347481987</v>
      </c>
      <c r="L93">
        <v>2</v>
      </c>
      <c r="M93" s="16">
        <v>43399</v>
      </c>
      <c r="N93" s="16">
        <v>43400</v>
      </c>
      <c r="R93" s="285"/>
    </row>
    <row r="94" spans="1:18">
      <c r="A94" t="s">
        <v>1835</v>
      </c>
      <c r="C94" t="s">
        <v>3662</v>
      </c>
      <c r="D94">
        <v>1.7544</v>
      </c>
      <c r="E94">
        <v>10.107200000000001</v>
      </c>
      <c r="F94">
        <v>0.2011</v>
      </c>
      <c r="G94" s="284">
        <f t="shared" si="14"/>
        <v>10.308300000000001</v>
      </c>
      <c r="H94" s="284">
        <v>10.1173</v>
      </c>
      <c r="I94" s="284">
        <f>(G94-H94)</f>
        <v>0.19100000000000072</v>
      </c>
      <c r="J94" s="283">
        <f t="shared" si="15"/>
        <v>1.0099999999999276E-2</v>
      </c>
      <c r="K94" s="285">
        <f t="shared" si="16"/>
        <v>5.0223769269016794</v>
      </c>
      <c r="L94">
        <v>4</v>
      </c>
      <c r="M94" s="286">
        <v>43355.625</v>
      </c>
      <c r="N94" s="286">
        <v>43355.791666666664</v>
      </c>
      <c r="O94" s="283" t="s">
        <v>3659</v>
      </c>
      <c r="R94" s="285"/>
    </row>
    <row r="95" spans="1:18">
      <c r="A95" t="s">
        <v>1832</v>
      </c>
      <c r="C95" t="s">
        <v>3683</v>
      </c>
      <c r="D95">
        <v>1.6302000000000001</v>
      </c>
      <c r="E95">
        <v>7.9062000000000001</v>
      </c>
      <c r="F95">
        <v>0.2298</v>
      </c>
      <c r="G95">
        <f t="shared" si="14"/>
        <v>8.1359999999999992</v>
      </c>
      <c r="H95">
        <v>7.9196</v>
      </c>
      <c r="I95">
        <f t="shared" ref="I95:I100" si="17">G95-H95</f>
        <v>0.21639999999999926</v>
      </c>
      <c r="J95" s="283">
        <f t="shared" si="15"/>
        <v>1.3400000000000745E-2</v>
      </c>
      <c r="K95" s="285">
        <f t="shared" si="16"/>
        <v>5.8311575282857895</v>
      </c>
      <c r="M95" s="16">
        <v>43399</v>
      </c>
      <c r="N95" s="16">
        <v>43400</v>
      </c>
      <c r="O95" s="283"/>
      <c r="R95" s="285"/>
    </row>
    <row r="96" spans="1:18">
      <c r="A96" t="s">
        <v>1831</v>
      </c>
      <c r="C96" t="s">
        <v>3752</v>
      </c>
      <c r="D96">
        <v>0.59450000000000003</v>
      </c>
      <c r="E96">
        <v>8.0475999999999992</v>
      </c>
      <c r="F96">
        <v>0.2112</v>
      </c>
      <c r="G96" s="284">
        <f t="shared" si="14"/>
        <v>8.258799999999999</v>
      </c>
      <c r="H96" s="284">
        <v>8.0813000000000006</v>
      </c>
      <c r="I96" s="284">
        <f t="shared" si="17"/>
        <v>0.17749999999999844</v>
      </c>
      <c r="J96" s="283">
        <f t="shared" si="15"/>
        <v>3.3700000000001562E-2</v>
      </c>
      <c r="K96" s="285">
        <f t="shared" si="16"/>
        <v>15.956439393940133</v>
      </c>
      <c r="L96">
        <v>30</v>
      </c>
      <c r="M96" s="16">
        <v>43399</v>
      </c>
      <c r="N96" s="16">
        <v>43400</v>
      </c>
      <c r="R96" s="285"/>
    </row>
    <row r="97" spans="1:18">
      <c r="A97" t="s">
        <v>2028</v>
      </c>
      <c r="C97" t="s">
        <v>3414</v>
      </c>
      <c r="D97">
        <v>0.54469999999999996</v>
      </c>
      <c r="E97">
        <v>10.9232</v>
      </c>
      <c r="F97">
        <v>0.21410000000000001</v>
      </c>
      <c r="G97" s="284">
        <f t="shared" si="14"/>
        <v>11.1373</v>
      </c>
      <c r="H97" s="284">
        <v>10.9648</v>
      </c>
      <c r="I97" s="284">
        <f t="shared" si="17"/>
        <v>0.17249999999999943</v>
      </c>
      <c r="J97" s="283">
        <f t="shared" si="15"/>
        <v>4.1600000000000581E-2</v>
      </c>
      <c r="K97" s="285">
        <f t="shared" si="16"/>
        <v>19.430172816441186</v>
      </c>
      <c r="L97">
        <v>37</v>
      </c>
      <c r="M97">
        <v>23.101800000000001</v>
      </c>
      <c r="N97" s="16">
        <v>43397</v>
      </c>
      <c r="R97" s="285"/>
    </row>
    <row r="98" spans="1:18">
      <c r="A98" t="s">
        <v>1830</v>
      </c>
      <c r="C98" t="s">
        <v>3727</v>
      </c>
      <c r="D98">
        <v>1.8326</v>
      </c>
      <c r="E98">
        <v>10.7447</v>
      </c>
      <c r="F98">
        <v>0.2218</v>
      </c>
      <c r="G98" s="284">
        <f t="shared" si="14"/>
        <v>10.9665</v>
      </c>
      <c r="H98" s="284">
        <v>10.7578</v>
      </c>
      <c r="I98" s="284">
        <f t="shared" si="17"/>
        <v>0.20870000000000033</v>
      </c>
      <c r="J98" s="283">
        <f t="shared" si="15"/>
        <v>1.3099999999999667E-2</v>
      </c>
      <c r="K98" s="285">
        <f t="shared" si="16"/>
        <v>5.9062218214606252</v>
      </c>
      <c r="L98">
        <v>30</v>
      </c>
      <c r="M98" s="16">
        <v>43381</v>
      </c>
      <c r="N98" s="16">
        <v>43382</v>
      </c>
      <c r="R98" s="285"/>
    </row>
    <row r="99" spans="1:18">
      <c r="A99" t="s">
        <v>1829</v>
      </c>
      <c r="C99" t="s">
        <v>3681</v>
      </c>
      <c r="D99">
        <v>0.50380000000000003</v>
      </c>
      <c r="E99">
        <v>8.0962999999999994</v>
      </c>
      <c r="F99">
        <v>0.2049</v>
      </c>
      <c r="G99" s="284">
        <f t="shared" si="14"/>
        <v>8.3011999999999997</v>
      </c>
      <c r="H99" s="284">
        <v>8.1359999999999992</v>
      </c>
      <c r="I99" s="284">
        <f t="shared" si="17"/>
        <v>0.16520000000000046</v>
      </c>
      <c r="J99" s="283">
        <f t="shared" si="15"/>
        <v>3.9699999999999541E-2</v>
      </c>
      <c r="K99" s="285">
        <f t="shared" si="16"/>
        <v>19.375305026842138</v>
      </c>
      <c r="L99">
        <v>36</v>
      </c>
      <c r="M99" s="286">
        <v>43363</v>
      </c>
      <c r="N99" s="286">
        <v>43364</v>
      </c>
      <c r="R99" s="285"/>
    </row>
    <row r="100" spans="1:18">
      <c r="A100" t="s">
        <v>1826</v>
      </c>
      <c r="B100">
        <v>199</v>
      </c>
      <c r="C100" t="s">
        <v>2504</v>
      </c>
      <c r="D100">
        <v>0.35720000000000002</v>
      </c>
      <c r="E100">
        <v>11.9055</v>
      </c>
      <c r="F100">
        <v>0.20030000000000001</v>
      </c>
      <c r="G100">
        <f t="shared" si="14"/>
        <v>12.1058</v>
      </c>
      <c r="H100">
        <v>11.950799999999999</v>
      </c>
      <c r="I100" s="284">
        <f t="shared" si="17"/>
        <v>0.15500000000000114</v>
      </c>
      <c r="J100" s="283">
        <f t="shared" si="15"/>
        <v>4.5299999999998869E-2</v>
      </c>
      <c r="K100" s="285">
        <f t="shared" si="16"/>
        <v>22.616075886170179</v>
      </c>
      <c r="L100">
        <v>31</v>
      </c>
      <c r="M100" s="16">
        <v>43399</v>
      </c>
      <c r="N100" s="16">
        <v>43400</v>
      </c>
      <c r="R100" s="285"/>
    </row>
    <row r="101" spans="1:18">
      <c r="A101" t="s">
        <v>1824</v>
      </c>
      <c r="C101" t="s">
        <v>3688</v>
      </c>
      <c r="D101">
        <v>1.6272</v>
      </c>
      <c r="E101">
        <v>10.5214</v>
      </c>
      <c r="F101">
        <v>0.2034</v>
      </c>
      <c r="G101" s="284">
        <f t="shared" si="14"/>
        <v>10.7248</v>
      </c>
      <c r="H101" s="284">
        <v>10.5328</v>
      </c>
      <c r="I101" s="284">
        <f>(G101-H101)</f>
        <v>0.19200000000000017</v>
      </c>
      <c r="J101" s="283">
        <f t="shared" si="15"/>
        <v>1.1399999999999827E-2</v>
      </c>
      <c r="K101" s="285">
        <f t="shared" si="16"/>
        <v>5.6047197640117146</v>
      </c>
      <c r="L101">
        <v>27</v>
      </c>
      <c r="M101" s="286">
        <v>43360</v>
      </c>
      <c r="N101" s="286">
        <v>43361</v>
      </c>
      <c r="R101" s="285"/>
    </row>
    <row r="102" spans="1:18">
      <c r="A102" t="s">
        <v>1823</v>
      </c>
      <c r="C102" t="s">
        <v>3680</v>
      </c>
      <c r="D102">
        <v>1.6253</v>
      </c>
      <c r="E102">
        <v>10.566000000000001</v>
      </c>
      <c r="F102">
        <v>0.22670000000000001</v>
      </c>
      <c r="G102" s="284">
        <f t="shared" si="14"/>
        <v>10.7927</v>
      </c>
      <c r="H102" s="284">
        <v>10.5794</v>
      </c>
      <c r="I102" s="284">
        <f>(G102-H102)</f>
        <v>0.21330000000000027</v>
      </c>
      <c r="J102" s="283">
        <f t="shared" si="15"/>
        <v>1.3399999999999745E-2</v>
      </c>
      <c r="K102" s="285">
        <f t="shared" si="16"/>
        <v>5.9108954565503948</v>
      </c>
      <c r="L102">
        <v>3</v>
      </c>
      <c r="M102" s="286">
        <v>43360</v>
      </c>
      <c r="N102" s="286">
        <v>43361</v>
      </c>
      <c r="O102" s="283"/>
      <c r="R102" s="285"/>
    </row>
    <row r="103" spans="1:18">
      <c r="A103" t="s">
        <v>1822</v>
      </c>
      <c r="C103" t="s">
        <v>3749</v>
      </c>
      <c r="D103">
        <v>0.63749999999999996</v>
      </c>
      <c r="E103">
        <v>11.4559</v>
      </c>
      <c r="F103">
        <v>0.20349999999999999</v>
      </c>
      <c r="G103" s="284">
        <f t="shared" si="14"/>
        <v>11.6594</v>
      </c>
      <c r="H103" s="284">
        <v>11.4855</v>
      </c>
      <c r="I103" s="284">
        <f>G103-H103</f>
        <v>0.17389999999999972</v>
      </c>
      <c r="J103" s="283">
        <f t="shared" si="15"/>
        <v>2.9600000000000265E-2</v>
      </c>
      <c r="K103" s="285">
        <f t="shared" si="16"/>
        <v>14.545454545454678</v>
      </c>
      <c r="L103">
        <v>30</v>
      </c>
      <c r="M103" s="286">
        <v>43363</v>
      </c>
      <c r="N103" s="286">
        <v>43364</v>
      </c>
      <c r="O103" s="283" t="s">
        <v>3756</v>
      </c>
      <c r="R103" s="285"/>
    </row>
    <row r="104" spans="1:18">
      <c r="A104" t="s">
        <v>2027</v>
      </c>
      <c r="C104" t="s">
        <v>3749</v>
      </c>
      <c r="D104">
        <v>0.74039999999999995</v>
      </c>
      <c r="E104">
        <v>9.1983999999999995</v>
      </c>
      <c r="F104">
        <v>0.2145</v>
      </c>
      <c r="G104" s="284">
        <f t="shared" si="14"/>
        <v>9.4128999999999987</v>
      </c>
      <c r="H104" s="284">
        <v>9.2392000000000003</v>
      </c>
      <c r="I104" s="284">
        <f>G104-H104</f>
        <v>0.17369999999999841</v>
      </c>
      <c r="J104" s="283">
        <f t="shared" si="15"/>
        <v>4.0800000000001585E-2</v>
      </c>
      <c r="K104" s="285">
        <f t="shared" si="16"/>
        <v>19.020979020979762</v>
      </c>
      <c r="L104">
        <v>21</v>
      </c>
      <c r="M104" s="286">
        <v>43362</v>
      </c>
      <c r="N104" s="286">
        <v>43363</v>
      </c>
      <c r="R104" s="285"/>
    </row>
    <row r="105" spans="1:18">
      <c r="A105" t="s">
        <v>1820</v>
      </c>
      <c r="B105">
        <v>207</v>
      </c>
      <c r="D105">
        <v>0.56999999999999995</v>
      </c>
      <c r="E105">
        <v>7.3182999999999998</v>
      </c>
      <c r="F105">
        <v>0.20449999999999999</v>
      </c>
      <c r="G105" s="284">
        <f t="shared" si="14"/>
        <v>7.5228000000000002</v>
      </c>
      <c r="H105" s="284">
        <v>7.3601999999999999</v>
      </c>
      <c r="I105" s="284">
        <f>G105-H105</f>
        <v>0.1626000000000003</v>
      </c>
      <c r="J105" s="283">
        <f t="shared" si="15"/>
        <v>4.1899999999999687E-2</v>
      </c>
      <c r="K105" s="285">
        <f t="shared" si="16"/>
        <v>20.488997555012073</v>
      </c>
      <c r="L105">
        <v>42</v>
      </c>
      <c r="M105" s="16">
        <v>43388</v>
      </c>
      <c r="N105" s="286">
        <v>43389</v>
      </c>
      <c r="O105" s="16"/>
      <c r="R105" s="285"/>
    </row>
    <row r="106" spans="1:18">
      <c r="A106" t="s">
        <v>1819</v>
      </c>
      <c r="C106" t="s">
        <v>3737</v>
      </c>
      <c r="D106">
        <v>0.57020000000000004</v>
      </c>
      <c r="E106">
        <v>20.858000000000001</v>
      </c>
      <c r="F106">
        <v>0.2084</v>
      </c>
      <c r="G106" s="284">
        <f t="shared" si="14"/>
        <v>21.066400000000002</v>
      </c>
      <c r="H106" s="284">
        <v>20.914400000000001</v>
      </c>
      <c r="I106" s="284">
        <f>G106-H106</f>
        <v>0.15200000000000102</v>
      </c>
      <c r="J106" s="283">
        <f t="shared" si="15"/>
        <v>5.6399999999998979E-2</v>
      </c>
      <c r="K106" s="285">
        <f t="shared" si="16"/>
        <v>27.063339731285495</v>
      </c>
      <c r="L106">
        <v>36</v>
      </c>
      <c r="M106" s="286">
        <v>43361</v>
      </c>
      <c r="N106" s="286">
        <v>43362</v>
      </c>
      <c r="O106" s="283" t="s">
        <v>3730</v>
      </c>
      <c r="R106" s="285"/>
    </row>
    <row r="107" spans="1:18">
      <c r="A107" t="s">
        <v>1818</v>
      </c>
      <c r="C107" t="s">
        <v>3412</v>
      </c>
      <c r="D107">
        <v>0.62060000000000004</v>
      </c>
      <c r="E107">
        <v>10.541</v>
      </c>
      <c r="F107">
        <v>0.20349999999999999</v>
      </c>
      <c r="G107" s="284">
        <f t="shared" si="14"/>
        <v>10.7445</v>
      </c>
      <c r="H107" s="284">
        <v>10.5946</v>
      </c>
      <c r="I107" s="284">
        <f>G107-H107</f>
        <v>0.14990000000000059</v>
      </c>
      <c r="J107" s="283">
        <f t="shared" si="15"/>
        <v>5.3599999999999398E-2</v>
      </c>
      <c r="K107" s="285">
        <f t="shared" si="16"/>
        <v>26.339066339066047</v>
      </c>
      <c r="L107">
        <v>31</v>
      </c>
      <c r="M107" s="16">
        <v>43399</v>
      </c>
      <c r="N107" s="16">
        <v>43400</v>
      </c>
      <c r="R107" s="285"/>
    </row>
    <row r="108" spans="1:18">
      <c r="A108" t="s">
        <v>1817</v>
      </c>
      <c r="C108" t="s">
        <v>3675</v>
      </c>
      <c r="D108">
        <v>1.5526</v>
      </c>
      <c r="E108">
        <v>11.023</v>
      </c>
      <c r="F108">
        <v>0.20519999999999999</v>
      </c>
      <c r="G108" s="284">
        <f t="shared" si="14"/>
        <v>11.228199999999999</v>
      </c>
      <c r="H108" s="284">
        <v>11.036</v>
      </c>
      <c r="I108" s="284">
        <f>(G108-H108)</f>
        <v>0.1921999999999997</v>
      </c>
      <c r="J108" s="283">
        <f t="shared" si="15"/>
        <v>1.3000000000000289E-2</v>
      </c>
      <c r="K108" s="285">
        <f t="shared" si="16"/>
        <v>6.3352826510722657</v>
      </c>
      <c r="L108">
        <v>26</v>
      </c>
      <c r="M108" s="16">
        <v>43358</v>
      </c>
      <c r="N108" s="16">
        <v>43358</v>
      </c>
      <c r="R108" s="285"/>
    </row>
    <row r="109" spans="1:18">
      <c r="A109" t="s">
        <v>1816</v>
      </c>
      <c r="B109">
        <v>207</v>
      </c>
      <c r="D109">
        <v>0.57969999999999999</v>
      </c>
      <c r="E109">
        <v>11.0565</v>
      </c>
      <c r="F109">
        <v>0.21940000000000001</v>
      </c>
      <c r="G109" s="284">
        <f t="shared" si="14"/>
        <v>11.2759</v>
      </c>
      <c r="H109" s="284">
        <v>11.1036</v>
      </c>
      <c r="I109" s="284">
        <f>G109-H109</f>
        <v>0.1722999999999999</v>
      </c>
      <c r="J109" s="283">
        <f t="shared" si="15"/>
        <v>4.7100000000000114E-2</v>
      </c>
      <c r="K109" s="285">
        <f t="shared" si="16"/>
        <v>21.467639015496861</v>
      </c>
      <c r="L109">
        <v>11</v>
      </c>
      <c r="M109" s="16">
        <v>43395</v>
      </c>
      <c r="N109" s="16">
        <v>43396</v>
      </c>
      <c r="R109" s="285"/>
    </row>
    <row r="110" spans="1:18">
      <c r="A110" t="s">
        <v>1815</v>
      </c>
      <c r="C110" t="s">
        <v>3459</v>
      </c>
      <c r="D110">
        <v>0.46710000000000002</v>
      </c>
      <c r="E110">
        <v>10.1265</v>
      </c>
      <c r="F110">
        <v>0.20610000000000001</v>
      </c>
      <c r="G110" s="284">
        <f t="shared" si="14"/>
        <v>10.332599999999999</v>
      </c>
      <c r="H110" s="284">
        <v>10.1844</v>
      </c>
      <c r="I110" s="284">
        <f>G110-H110</f>
        <v>0.14819999999999922</v>
      </c>
      <c r="J110" s="283">
        <f t="shared" si="15"/>
        <v>5.7900000000000784E-2</v>
      </c>
      <c r="K110" s="285">
        <f t="shared" si="16"/>
        <v>28.09315866084463</v>
      </c>
      <c r="L110">
        <v>4</v>
      </c>
      <c r="M110" s="16">
        <v>43381</v>
      </c>
      <c r="N110" s="16">
        <v>43382</v>
      </c>
      <c r="R110" s="285"/>
    </row>
    <row r="111" spans="1:18">
      <c r="A111" t="s">
        <v>1814</v>
      </c>
      <c r="C111" t="s">
        <v>3692</v>
      </c>
      <c r="D111">
        <v>0.62909999999999999</v>
      </c>
      <c r="E111">
        <v>11.088800000000001</v>
      </c>
      <c r="F111">
        <v>0.20730000000000001</v>
      </c>
      <c r="G111" s="284">
        <f t="shared" si="14"/>
        <v>11.296100000000001</v>
      </c>
      <c r="H111" s="284">
        <v>11.1282</v>
      </c>
      <c r="I111" s="284">
        <f>(G111-H111)</f>
        <v>0.16790000000000127</v>
      </c>
      <c r="J111" s="283">
        <f t="shared" si="15"/>
        <v>3.9399999999998742E-2</v>
      </c>
      <c r="K111" s="285">
        <f t="shared" si="16"/>
        <v>19.0062711046786</v>
      </c>
      <c r="L111">
        <v>25</v>
      </c>
      <c r="M111" s="286">
        <v>43360</v>
      </c>
      <c r="N111" s="286">
        <v>43361</v>
      </c>
      <c r="R111" s="285"/>
    </row>
    <row r="112" spans="1:18">
      <c r="A112" t="s">
        <v>1813</v>
      </c>
      <c r="C112" t="s">
        <v>3732</v>
      </c>
      <c r="D112">
        <v>1.6671</v>
      </c>
      <c r="E112">
        <v>9.7742000000000004</v>
      </c>
      <c r="F112">
        <v>0.2132</v>
      </c>
      <c r="G112" s="284">
        <f t="shared" si="14"/>
        <v>9.9874000000000009</v>
      </c>
      <c r="H112" s="284">
        <v>9.7866</v>
      </c>
      <c r="I112" s="284">
        <f t="shared" ref="I112:I117" si="18">G112-H112</f>
        <v>0.20080000000000098</v>
      </c>
      <c r="J112" s="283">
        <f t="shared" si="15"/>
        <v>1.2399999999999023E-2</v>
      </c>
      <c r="K112" s="285">
        <f t="shared" si="16"/>
        <v>5.8161350844273088</v>
      </c>
      <c r="L112">
        <v>13</v>
      </c>
      <c r="M112" s="286">
        <v>43374</v>
      </c>
      <c r="N112" s="286">
        <v>43375</v>
      </c>
      <c r="O112" s="283" t="s">
        <v>3730</v>
      </c>
      <c r="R112" s="285"/>
    </row>
    <row r="113" spans="1:18">
      <c r="A113" t="s">
        <v>1812</v>
      </c>
      <c r="C113" t="s">
        <v>3425</v>
      </c>
      <c r="D113">
        <v>0.61199999999999999</v>
      </c>
      <c r="E113">
        <v>9.7220999999999993</v>
      </c>
      <c r="F113">
        <v>0.21199999999999999</v>
      </c>
      <c r="G113" s="284">
        <f t="shared" si="14"/>
        <v>9.934099999999999</v>
      </c>
      <c r="H113" s="284">
        <v>9.7768999999999995</v>
      </c>
      <c r="I113" s="284">
        <f t="shared" si="18"/>
        <v>0.15719999999999956</v>
      </c>
      <c r="J113" s="283">
        <f t="shared" si="15"/>
        <v>5.4800000000000432E-2</v>
      </c>
      <c r="K113" s="285">
        <f t="shared" si="16"/>
        <v>25.849056603773789</v>
      </c>
      <c r="L113">
        <v>13</v>
      </c>
      <c r="M113" s="16">
        <v>43399</v>
      </c>
      <c r="N113" s="16">
        <v>43400</v>
      </c>
      <c r="R113" s="285"/>
    </row>
    <row r="114" spans="1:18">
      <c r="A114" t="s">
        <v>1811</v>
      </c>
      <c r="C114" t="s">
        <v>3436</v>
      </c>
      <c r="D114">
        <v>0.57250000000000001</v>
      </c>
      <c r="E114">
        <v>10.677300000000001</v>
      </c>
      <c r="F114">
        <v>0.2021</v>
      </c>
      <c r="G114" s="284">
        <f t="shared" si="14"/>
        <v>10.8794</v>
      </c>
      <c r="H114" s="284">
        <v>10.7127</v>
      </c>
      <c r="I114" s="284">
        <f t="shared" si="18"/>
        <v>0.16670000000000051</v>
      </c>
      <c r="J114" s="283">
        <f t="shared" si="15"/>
        <v>3.5399999999999487E-2</v>
      </c>
      <c r="K114" s="285">
        <f t="shared" si="16"/>
        <v>17.516081147946309</v>
      </c>
      <c r="L114">
        <v>15</v>
      </c>
      <c r="M114" s="16">
        <v>43381</v>
      </c>
      <c r="N114" s="16">
        <v>43382</v>
      </c>
      <c r="R114" s="285"/>
    </row>
    <row r="115" spans="1:18">
      <c r="A115" t="s">
        <v>2026</v>
      </c>
      <c r="C115" t="s">
        <v>3663</v>
      </c>
      <c r="D115">
        <v>1.7465999999999999</v>
      </c>
      <c r="E115">
        <v>9.9192</v>
      </c>
      <c r="F115">
        <v>0.21820000000000001</v>
      </c>
      <c r="G115" s="284">
        <f t="shared" si="14"/>
        <v>10.1374</v>
      </c>
      <c r="H115" s="284">
        <v>9.9309999999999992</v>
      </c>
      <c r="I115" s="284">
        <f t="shared" si="18"/>
        <v>0.20640000000000036</v>
      </c>
      <c r="J115" s="283">
        <f t="shared" si="15"/>
        <v>1.1799999999999644E-2</v>
      </c>
      <c r="K115" s="285">
        <f t="shared" si="16"/>
        <v>5.4078826764434664</v>
      </c>
      <c r="L115">
        <v>7</v>
      </c>
      <c r="M115" s="286">
        <v>43355.625</v>
      </c>
      <c r="N115" s="286">
        <v>43355.791666666664</v>
      </c>
      <c r="O115" s="283" t="s">
        <v>3659</v>
      </c>
      <c r="R115" s="285"/>
    </row>
    <row r="116" spans="1:18">
      <c r="A116" t="s">
        <v>1808</v>
      </c>
      <c r="C116" t="s">
        <v>3415</v>
      </c>
      <c r="D116">
        <v>0.52880000000000005</v>
      </c>
      <c r="E116">
        <v>9.0324000000000009</v>
      </c>
      <c r="F116">
        <v>0.2051</v>
      </c>
      <c r="G116" s="284">
        <f t="shared" si="14"/>
        <v>9.2375000000000007</v>
      </c>
      <c r="H116" s="284">
        <v>9.0878999999999994</v>
      </c>
      <c r="I116" s="284">
        <f t="shared" si="18"/>
        <v>0.14960000000000129</v>
      </c>
      <c r="J116" s="283">
        <f t="shared" si="15"/>
        <v>5.5499999999998717E-2</v>
      </c>
      <c r="K116" s="285">
        <f t="shared" si="16"/>
        <v>27.059970745976948</v>
      </c>
      <c r="L116">
        <v>41</v>
      </c>
      <c r="M116" s="16">
        <v>43395</v>
      </c>
      <c r="N116" s="16">
        <v>43396</v>
      </c>
      <c r="R116" s="285"/>
    </row>
    <row r="117" spans="1:18">
      <c r="A117" t="s">
        <v>1807</v>
      </c>
      <c r="B117">
        <v>196</v>
      </c>
      <c r="D117">
        <v>0.87819999999999998</v>
      </c>
      <c r="E117">
        <v>7.1909000000000001</v>
      </c>
      <c r="F117">
        <v>0.22570000000000001</v>
      </c>
      <c r="G117" s="284">
        <f t="shared" si="14"/>
        <v>7.4165999999999999</v>
      </c>
      <c r="H117" s="284">
        <v>7.2313999999999998</v>
      </c>
      <c r="I117" s="284">
        <f t="shared" si="18"/>
        <v>0.18520000000000003</v>
      </c>
      <c r="J117" s="283">
        <f t="shared" si="15"/>
        <v>4.049999999999998E-2</v>
      </c>
      <c r="K117" s="285">
        <f t="shared" si="16"/>
        <v>17.944173681878588</v>
      </c>
      <c r="L117">
        <v>32</v>
      </c>
      <c r="M117" s="16">
        <v>43388</v>
      </c>
      <c r="N117" s="286">
        <v>43389</v>
      </c>
      <c r="O117" s="16"/>
      <c r="R117" s="285"/>
    </row>
    <row r="118" spans="1:18">
      <c r="A118" t="s">
        <v>1806</v>
      </c>
      <c r="C118" t="s">
        <v>3668</v>
      </c>
      <c r="D118">
        <v>1.7131000000000001</v>
      </c>
      <c r="E118">
        <v>7.7735000000000003</v>
      </c>
      <c r="F118">
        <v>0.20749999999999999</v>
      </c>
      <c r="G118" s="284">
        <f t="shared" si="14"/>
        <v>7.9809999999999999</v>
      </c>
      <c r="H118" s="284">
        <v>7.7857000000000003</v>
      </c>
      <c r="I118" s="284">
        <f>(G118-H118)</f>
        <v>0.19529999999999959</v>
      </c>
      <c r="J118" s="283">
        <f t="shared" si="15"/>
        <v>1.2200000000000405E-2</v>
      </c>
      <c r="K118" s="285">
        <f t="shared" si="16"/>
        <v>5.8795180722893514</v>
      </c>
      <c r="L118">
        <v>25</v>
      </c>
      <c r="M118" s="16">
        <v>43358</v>
      </c>
      <c r="N118" s="16">
        <v>43358</v>
      </c>
      <c r="R118" s="285"/>
    </row>
    <row r="119" spans="1:18">
      <c r="A119" t="s">
        <v>1805</v>
      </c>
      <c r="C119" t="s">
        <v>3435</v>
      </c>
      <c r="D119">
        <v>0.62680000000000002</v>
      </c>
      <c r="E119">
        <v>9.4868000000000006</v>
      </c>
      <c r="F119">
        <v>0.2054</v>
      </c>
      <c r="G119">
        <f t="shared" si="14"/>
        <v>9.6921999999999997</v>
      </c>
      <c r="H119">
        <v>9.5259999999999998</v>
      </c>
      <c r="I119" s="284">
        <f t="shared" ref="I119:I134" si="19">G119-H119</f>
        <v>0.1661999999999999</v>
      </c>
      <c r="J119" s="283">
        <f t="shared" si="15"/>
        <v>3.9200000000000096E-2</v>
      </c>
      <c r="K119" s="285">
        <f t="shared" si="16"/>
        <v>19.084712755598879</v>
      </c>
      <c r="L119">
        <v>14</v>
      </c>
      <c r="M119" s="16">
        <v>43402</v>
      </c>
      <c r="N119" s="16">
        <v>43403</v>
      </c>
      <c r="R119" s="285"/>
    </row>
    <row r="120" spans="1:18">
      <c r="A120" t="s">
        <v>1804</v>
      </c>
      <c r="C120" t="s">
        <v>3704</v>
      </c>
      <c r="D120">
        <v>1.8198000000000001</v>
      </c>
      <c r="E120">
        <v>7.8017000000000003</v>
      </c>
      <c r="F120">
        <v>0.22339999999999999</v>
      </c>
      <c r="G120" s="288">
        <f t="shared" si="14"/>
        <v>8.0251000000000001</v>
      </c>
      <c r="H120" s="284">
        <v>7.8198999999999996</v>
      </c>
      <c r="I120" s="288">
        <f t="shared" si="19"/>
        <v>0.20520000000000049</v>
      </c>
      <c r="J120" s="283">
        <f t="shared" si="15"/>
        <v>1.8199999999999494E-2</v>
      </c>
      <c r="K120" s="285">
        <f t="shared" si="16"/>
        <v>8.1468218442253786</v>
      </c>
      <c r="L120">
        <v>38</v>
      </c>
      <c r="M120" s="286">
        <v>43379</v>
      </c>
      <c r="N120" s="286">
        <v>43379</v>
      </c>
      <c r="R120" s="285"/>
    </row>
    <row r="121" spans="1:18">
      <c r="A121" t="s">
        <v>1803</v>
      </c>
      <c r="C121" t="s">
        <v>3689</v>
      </c>
      <c r="D121">
        <v>1.8222</v>
      </c>
      <c r="E121">
        <v>7.7743000000000002</v>
      </c>
      <c r="F121">
        <v>0.20730000000000001</v>
      </c>
      <c r="G121" s="284">
        <f t="shared" si="14"/>
        <v>7.9816000000000003</v>
      </c>
      <c r="H121" s="284">
        <v>7.7869000000000002</v>
      </c>
      <c r="I121" s="284">
        <f t="shared" si="19"/>
        <v>0.1947000000000001</v>
      </c>
      <c r="J121" s="283">
        <f t="shared" si="15"/>
        <v>1.2599999999999917E-2</v>
      </c>
      <c r="K121" s="285">
        <f t="shared" si="16"/>
        <v>6.078147612156255</v>
      </c>
      <c r="L121">
        <v>33</v>
      </c>
      <c r="M121" s="16">
        <v>43381</v>
      </c>
      <c r="N121" s="16">
        <v>43382</v>
      </c>
      <c r="R121" s="285"/>
    </row>
    <row r="122" spans="1:18">
      <c r="A122" t="s">
        <v>1802</v>
      </c>
      <c r="B122">
        <v>204</v>
      </c>
      <c r="C122" t="s">
        <v>2504</v>
      </c>
      <c r="D122">
        <v>0.52149999999999996</v>
      </c>
      <c r="E122">
        <v>9.5203000000000007</v>
      </c>
      <c r="F122">
        <v>0.2056</v>
      </c>
      <c r="G122">
        <f t="shared" si="14"/>
        <v>9.7259000000000011</v>
      </c>
      <c r="H122">
        <v>9.5478000000000005</v>
      </c>
      <c r="I122" s="284">
        <f t="shared" si="19"/>
        <v>0.17810000000000059</v>
      </c>
      <c r="J122" s="283">
        <f t="shared" si="15"/>
        <v>2.7499999999999414E-2</v>
      </c>
      <c r="K122" s="285">
        <f t="shared" si="16"/>
        <v>13.375486381322672</v>
      </c>
      <c r="L122">
        <v>19</v>
      </c>
      <c r="M122" s="16">
        <v>43402</v>
      </c>
      <c r="N122" s="16">
        <v>43403</v>
      </c>
      <c r="R122" s="285"/>
    </row>
    <row r="123" spans="1:18">
      <c r="A123" t="s">
        <v>2025</v>
      </c>
      <c r="C123" t="s">
        <v>3758</v>
      </c>
      <c r="D123">
        <v>0.80300000000000005</v>
      </c>
      <c r="E123">
        <v>7.8404999999999996</v>
      </c>
      <c r="F123">
        <v>0.21010000000000001</v>
      </c>
      <c r="G123" s="284">
        <f t="shared" si="14"/>
        <v>8.0505999999999993</v>
      </c>
      <c r="H123" s="284">
        <v>7.8849</v>
      </c>
      <c r="I123" s="284">
        <f t="shared" si="19"/>
        <v>0.16569999999999929</v>
      </c>
      <c r="J123" s="283">
        <f t="shared" si="15"/>
        <v>4.4400000000000717E-2</v>
      </c>
      <c r="K123" s="285">
        <f t="shared" si="16"/>
        <v>21.132793907663359</v>
      </c>
      <c r="L123">
        <v>12</v>
      </c>
      <c r="M123" s="286">
        <v>43363</v>
      </c>
      <c r="N123" s="286">
        <v>43364</v>
      </c>
      <c r="O123" s="283" t="s">
        <v>3756</v>
      </c>
      <c r="R123" s="285"/>
    </row>
    <row r="124" spans="1:18">
      <c r="A124" t="s">
        <v>1800</v>
      </c>
      <c r="C124" t="s">
        <v>3466</v>
      </c>
      <c r="D124">
        <v>0.61970000000000003</v>
      </c>
      <c r="E124">
        <v>20.893699999999999</v>
      </c>
      <c r="F124">
        <v>0.20030000000000001</v>
      </c>
      <c r="G124" s="284">
        <f t="shared" ref="G124:G147" si="20">E124+F124</f>
        <v>21.093999999999998</v>
      </c>
      <c r="H124" s="284">
        <v>20.929400000000001</v>
      </c>
      <c r="I124" s="284">
        <f t="shared" si="19"/>
        <v>0.16459999999999653</v>
      </c>
      <c r="J124" s="283">
        <f t="shared" si="15"/>
        <v>3.5700000000003479E-2</v>
      </c>
      <c r="K124" s="285">
        <f t="shared" si="16"/>
        <v>17.823265102348216</v>
      </c>
      <c r="L124">
        <v>42</v>
      </c>
      <c r="M124" s="286">
        <v>43361</v>
      </c>
      <c r="N124" s="286">
        <v>43362</v>
      </c>
      <c r="O124" s="283" t="s">
        <v>3730</v>
      </c>
      <c r="R124" s="285"/>
    </row>
    <row r="125" spans="1:18">
      <c r="A125" t="s">
        <v>1797</v>
      </c>
      <c r="C125" t="s">
        <v>3491</v>
      </c>
      <c r="D125">
        <v>1.0555000000000001</v>
      </c>
      <c r="E125">
        <v>7.4752999999999998</v>
      </c>
      <c r="F125">
        <v>0.2034</v>
      </c>
      <c r="G125" s="284">
        <f t="shared" si="20"/>
        <v>7.6787000000000001</v>
      </c>
      <c r="H125" s="284">
        <v>7.5019</v>
      </c>
      <c r="I125" s="284">
        <f t="shared" si="19"/>
        <v>0.17680000000000007</v>
      </c>
      <c r="J125" s="283">
        <f t="shared" si="15"/>
        <v>2.6599999999999929E-2</v>
      </c>
      <c r="K125" s="285">
        <f t="shared" si="16"/>
        <v>13.077679449360829</v>
      </c>
      <c r="L125">
        <v>25</v>
      </c>
      <c r="M125" s="286">
        <v>43363</v>
      </c>
      <c r="N125" s="286">
        <v>43364</v>
      </c>
      <c r="O125" s="283" t="s">
        <v>3756</v>
      </c>
      <c r="R125" s="285"/>
    </row>
    <row r="126" spans="1:18">
      <c r="A126" t="s">
        <v>1796</v>
      </c>
      <c r="B126">
        <v>197</v>
      </c>
      <c r="D126">
        <v>0.64470000000000005</v>
      </c>
      <c r="E126">
        <v>9.3209999999999997</v>
      </c>
      <c r="F126">
        <v>0.20250000000000001</v>
      </c>
      <c r="G126" s="284">
        <f t="shared" si="20"/>
        <v>9.5235000000000003</v>
      </c>
      <c r="H126" s="284">
        <v>9.3719000000000001</v>
      </c>
      <c r="I126" s="284">
        <f t="shared" si="19"/>
        <v>0.15160000000000018</v>
      </c>
      <c r="J126" s="283">
        <f t="shared" si="15"/>
        <v>5.0899999999999834E-2</v>
      </c>
      <c r="K126" s="285">
        <f t="shared" si="16"/>
        <v>25.135802469135722</v>
      </c>
      <c r="L126">
        <v>23</v>
      </c>
      <c r="M126" s="16">
        <v>43388</v>
      </c>
      <c r="N126" s="286">
        <v>43389</v>
      </c>
      <c r="O126" s="16"/>
      <c r="R126" s="285"/>
    </row>
    <row r="127" spans="1:18">
      <c r="A127" t="s">
        <v>1795</v>
      </c>
      <c r="C127" t="s">
        <v>3747</v>
      </c>
      <c r="D127">
        <v>1.4726999999999999</v>
      </c>
      <c r="E127">
        <v>11.445499999999999</v>
      </c>
      <c r="F127">
        <v>0.2155</v>
      </c>
      <c r="G127" s="284">
        <f t="shared" si="20"/>
        <v>11.661</v>
      </c>
      <c r="H127" s="284">
        <v>11.464</v>
      </c>
      <c r="I127" s="284">
        <f t="shared" si="19"/>
        <v>0.19699999999999918</v>
      </c>
      <c r="J127" s="283">
        <f t="shared" si="15"/>
        <v>1.8500000000000821E-2</v>
      </c>
      <c r="K127" s="285">
        <f t="shared" si="16"/>
        <v>8.5846867749423765</v>
      </c>
      <c r="L127">
        <v>32</v>
      </c>
      <c r="M127" s="286">
        <v>43362</v>
      </c>
      <c r="N127" s="286">
        <v>43363</v>
      </c>
      <c r="R127" s="285"/>
    </row>
    <row r="128" spans="1:18">
      <c r="A128" t="s">
        <v>1795</v>
      </c>
      <c r="C128" t="s">
        <v>3752</v>
      </c>
      <c r="D128">
        <v>1.0464</v>
      </c>
      <c r="E128">
        <v>10.6349</v>
      </c>
      <c r="F128">
        <v>0.20569999999999999</v>
      </c>
      <c r="G128" s="284">
        <f t="shared" si="20"/>
        <v>10.8406</v>
      </c>
      <c r="H128" s="284">
        <v>10.698399999999999</v>
      </c>
      <c r="I128" s="284">
        <f t="shared" si="19"/>
        <v>0.14220000000000077</v>
      </c>
      <c r="J128" s="283">
        <f t="shared" si="15"/>
        <v>6.3499999999999224E-2</v>
      </c>
      <c r="K128" s="285">
        <f t="shared" si="16"/>
        <v>30.8701993193968</v>
      </c>
      <c r="L128">
        <v>29</v>
      </c>
      <c r="M128" s="286">
        <v>43362</v>
      </c>
      <c r="N128" s="286">
        <v>43363</v>
      </c>
      <c r="R128" s="285"/>
    </row>
    <row r="129" spans="1:18">
      <c r="A129" t="s">
        <v>1794</v>
      </c>
      <c r="C129" t="s">
        <v>3713</v>
      </c>
      <c r="D129" s="283">
        <v>1.4871000000000001</v>
      </c>
      <c r="E129" s="287">
        <v>7.4743000000000004</v>
      </c>
      <c r="F129" s="287">
        <v>0.21060000000000001</v>
      </c>
      <c r="G129" s="284">
        <f t="shared" si="20"/>
        <v>7.6849000000000007</v>
      </c>
      <c r="H129" s="284">
        <v>7.4877000000000002</v>
      </c>
      <c r="I129" s="284">
        <f t="shared" si="19"/>
        <v>0.19720000000000049</v>
      </c>
      <c r="J129" s="283">
        <f t="shared" si="15"/>
        <v>1.3399999999999523E-2</v>
      </c>
      <c r="K129" s="285">
        <f t="shared" si="16"/>
        <v>6.3627730294394693</v>
      </c>
      <c r="L129" s="283">
        <v>1</v>
      </c>
      <c r="M129" s="286">
        <v>43361</v>
      </c>
      <c r="N129" s="286">
        <v>43362</v>
      </c>
      <c r="O129" s="283" t="s">
        <v>3730</v>
      </c>
      <c r="P129" s="283"/>
      <c r="R129" s="285"/>
    </row>
    <row r="130" spans="1:18">
      <c r="A130" t="s">
        <v>1793</v>
      </c>
      <c r="B130">
        <v>193</v>
      </c>
      <c r="D130">
        <v>0.50209999999999999</v>
      </c>
      <c r="E130">
        <v>11.454800000000001</v>
      </c>
      <c r="F130">
        <v>0.20499999999999999</v>
      </c>
      <c r="G130" s="284">
        <f t="shared" si="20"/>
        <v>11.659800000000001</v>
      </c>
      <c r="H130" s="284">
        <v>11.4818</v>
      </c>
      <c r="I130" s="284">
        <f t="shared" si="19"/>
        <v>0.17800000000000082</v>
      </c>
      <c r="J130" s="283">
        <f t="shared" si="15"/>
        <v>2.6999999999999164E-2</v>
      </c>
      <c r="K130" s="285">
        <f t="shared" si="16"/>
        <v>13.170731707316666</v>
      </c>
      <c r="L130">
        <v>13</v>
      </c>
      <c r="M130" s="16">
        <v>43395</v>
      </c>
      <c r="N130" s="16">
        <v>43396</v>
      </c>
      <c r="R130" s="285"/>
    </row>
    <row r="131" spans="1:18">
      <c r="A131" t="s">
        <v>1792</v>
      </c>
      <c r="C131" t="s">
        <v>3759</v>
      </c>
      <c r="D131">
        <v>0.74809999999999999</v>
      </c>
      <c r="E131">
        <v>9.0536999999999992</v>
      </c>
      <c r="F131">
        <v>0.20830000000000001</v>
      </c>
      <c r="G131" s="284">
        <f t="shared" si="20"/>
        <v>9.2619999999999987</v>
      </c>
      <c r="H131" s="284">
        <v>9.0958000000000006</v>
      </c>
      <c r="I131" s="284">
        <f t="shared" si="19"/>
        <v>0.16619999999999813</v>
      </c>
      <c r="J131" s="283">
        <f t="shared" si="15"/>
        <v>4.2100000000001886E-2</v>
      </c>
      <c r="K131" s="285">
        <f t="shared" si="16"/>
        <v>20.211233797408489</v>
      </c>
      <c r="L131">
        <v>16</v>
      </c>
      <c r="M131" s="286">
        <v>43363</v>
      </c>
      <c r="N131" s="286">
        <v>43364</v>
      </c>
      <c r="O131" s="283" t="s">
        <v>3756</v>
      </c>
      <c r="R131" s="285"/>
    </row>
    <row r="132" spans="1:18">
      <c r="A132" t="s">
        <v>1791</v>
      </c>
      <c r="C132" t="s">
        <v>3770</v>
      </c>
      <c r="D132">
        <v>1.4135</v>
      </c>
      <c r="E132">
        <v>10.7416</v>
      </c>
      <c r="F132">
        <v>0.21010000000000001</v>
      </c>
      <c r="G132" s="288">
        <f t="shared" si="20"/>
        <v>10.951700000000001</v>
      </c>
      <c r="H132" s="284">
        <v>10.7639</v>
      </c>
      <c r="I132" s="288">
        <f t="shared" si="19"/>
        <v>0.18780000000000108</v>
      </c>
      <c r="J132" s="283">
        <f t="shared" si="15"/>
        <v>2.2299999999998932E-2</v>
      </c>
      <c r="K132" s="285">
        <f t="shared" si="16"/>
        <v>10.613993336505917</v>
      </c>
      <c r="L132">
        <v>42</v>
      </c>
      <c r="M132" s="286">
        <v>43379</v>
      </c>
      <c r="N132" s="286">
        <v>43379</v>
      </c>
      <c r="R132" s="285"/>
    </row>
    <row r="133" spans="1:18">
      <c r="A133" t="s">
        <v>2024</v>
      </c>
      <c r="B133">
        <v>211</v>
      </c>
      <c r="D133">
        <v>0.1973</v>
      </c>
      <c r="E133">
        <v>9.5208999999999993</v>
      </c>
      <c r="F133">
        <v>0.18</v>
      </c>
      <c r="G133" s="284">
        <f t="shared" si="20"/>
        <v>9.700899999999999</v>
      </c>
      <c r="H133" s="284">
        <v>9.5540000000000003</v>
      </c>
      <c r="I133" s="284">
        <f t="shared" si="19"/>
        <v>0.1468999999999987</v>
      </c>
      <c r="J133" s="283">
        <f t="shared" si="15"/>
        <v>3.3100000000001295E-2</v>
      </c>
      <c r="K133" s="285">
        <f t="shared" si="16"/>
        <v>18.38888888888961</v>
      </c>
      <c r="L133">
        <v>12</v>
      </c>
      <c r="M133">
        <v>23.101800000000001</v>
      </c>
      <c r="N133" s="16">
        <v>43397</v>
      </c>
      <c r="P133" t="s">
        <v>3788</v>
      </c>
      <c r="R133" s="285"/>
    </row>
    <row r="134" spans="1:18">
      <c r="A134" t="s">
        <v>1790</v>
      </c>
      <c r="C134" t="s">
        <v>3728</v>
      </c>
      <c r="D134">
        <v>1.7643</v>
      </c>
      <c r="E134">
        <v>9.7738999999999994</v>
      </c>
      <c r="F134">
        <v>0.22989999999999999</v>
      </c>
      <c r="G134" s="284">
        <f t="shared" si="20"/>
        <v>10.0038</v>
      </c>
      <c r="H134" s="284">
        <v>9.7942999999999998</v>
      </c>
      <c r="I134" s="284">
        <f t="shared" si="19"/>
        <v>0.20950000000000024</v>
      </c>
      <c r="J134" s="283">
        <f t="shared" si="15"/>
        <v>2.0399999999999752E-2</v>
      </c>
      <c r="K134" s="285">
        <f t="shared" si="16"/>
        <v>8.8734232274901057</v>
      </c>
      <c r="L134">
        <v>20</v>
      </c>
      <c r="M134" s="286">
        <v>43361</v>
      </c>
      <c r="N134" s="286">
        <v>43362</v>
      </c>
      <c r="O134" s="283" t="s">
        <v>3730</v>
      </c>
      <c r="R134" s="285"/>
    </row>
    <row r="135" spans="1:18">
      <c r="A135" t="s">
        <v>1789</v>
      </c>
      <c r="C135" t="s">
        <v>3694</v>
      </c>
      <c r="D135">
        <v>1.6620999999999999</v>
      </c>
      <c r="E135">
        <v>8.7690000000000001</v>
      </c>
      <c r="F135">
        <v>0.21970000000000001</v>
      </c>
      <c r="G135" s="284">
        <f t="shared" si="20"/>
        <v>8.9886999999999997</v>
      </c>
      <c r="H135" s="284">
        <v>8.7815999999999992</v>
      </c>
      <c r="I135" s="284">
        <f>(G135-H135)</f>
        <v>0.20710000000000051</v>
      </c>
      <c r="J135" s="283">
        <f t="shared" si="15"/>
        <v>1.25999999999995E-2</v>
      </c>
      <c r="K135" s="285">
        <f t="shared" si="16"/>
        <v>5.7350933090575786</v>
      </c>
      <c r="L135">
        <v>21</v>
      </c>
      <c r="M135" s="286">
        <v>43360</v>
      </c>
      <c r="N135" s="286">
        <v>43361</v>
      </c>
      <c r="R135" s="285"/>
    </row>
    <row r="136" spans="1:18">
      <c r="A136" t="s">
        <v>1788</v>
      </c>
      <c r="B136">
        <v>206</v>
      </c>
      <c r="C136" t="s">
        <v>2504</v>
      </c>
      <c r="D136">
        <v>0.41320000000000001</v>
      </c>
      <c r="E136">
        <v>7.8723999999999998</v>
      </c>
      <c r="F136">
        <v>0.20150000000000001</v>
      </c>
      <c r="G136">
        <f t="shared" si="20"/>
        <v>8.0739000000000001</v>
      </c>
      <c r="H136">
        <v>7.9099000000000004</v>
      </c>
      <c r="I136" s="284">
        <f>G136-H136</f>
        <v>0.1639999999999997</v>
      </c>
      <c r="J136" s="283">
        <f t="shared" si="15"/>
        <v>3.7500000000000311E-2</v>
      </c>
      <c r="K136" s="285">
        <f t="shared" si="16"/>
        <v>18.61042183622844</v>
      </c>
      <c r="L136">
        <v>42</v>
      </c>
      <c r="M136" s="16">
        <v>43399</v>
      </c>
      <c r="N136" s="16">
        <v>43400</v>
      </c>
      <c r="R136" s="285"/>
    </row>
    <row r="137" spans="1:18">
      <c r="A137" t="s">
        <v>1787</v>
      </c>
      <c r="C137" t="s">
        <v>3717</v>
      </c>
      <c r="D137">
        <v>0.70720000000000005</v>
      </c>
      <c r="E137">
        <v>11.055099999999999</v>
      </c>
      <c r="F137">
        <v>0.2321</v>
      </c>
      <c r="G137" s="284">
        <f t="shared" si="20"/>
        <v>11.2872</v>
      </c>
      <c r="H137" s="284">
        <v>11.1227</v>
      </c>
      <c r="I137" s="284">
        <f>G137-H137</f>
        <v>0.16450000000000031</v>
      </c>
      <c r="J137" s="283">
        <f t="shared" si="15"/>
        <v>6.7599999999999688E-2</v>
      </c>
      <c r="K137" s="285">
        <f t="shared" si="16"/>
        <v>29.125376992675438</v>
      </c>
      <c r="L137">
        <v>19</v>
      </c>
      <c r="M137" s="286">
        <v>43361</v>
      </c>
      <c r="N137" s="286">
        <v>43362</v>
      </c>
      <c r="O137" s="283" t="s">
        <v>3730</v>
      </c>
      <c r="R137" s="285"/>
    </row>
    <row r="138" spans="1:18">
      <c r="A138" t="s">
        <v>1785</v>
      </c>
      <c r="C138" t="s">
        <v>3787</v>
      </c>
      <c r="D138">
        <v>0.74970000000000003</v>
      </c>
      <c r="E138">
        <v>9.7751999999999999</v>
      </c>
      <c r="F138">
        <v>0.20319999999999999</v>
      </c>
      <c r="G138" s="284">
        <f t="shared" si="20"/>
        <v>9.9784000000000006</v>
      </c>
      <c r="H138" s="284">
        <v>9.8049999999999997</v>
      </c>
      <c r="I138" s="284">
        <f>G138-H138</f>
        <v>0.17340000000000089</v>
      </c>
      <c r="J138" s="283">
        <f t="shared" si="15"/>
        <v>2.9799999999999105E-2</v>
      </c>
      <c r="K138" s="285">
        <f t="shared" si="16"/>
        <v>14.665354330708222</v>
      </c>
      <c r="L138">
        <v>16</v>
      </c>
      <c r="M138" s="16">
        <v>43399</v>
      </c>
      <c r="N138" s="16">
        <v>43400</v>
      </c>
      <c r="R138" s="285"/>
    </row>
    <row r="139" spans="1:18">
      <c r="A139" t="s">
        <v>1784</v>
      </c>
      <c r="C139" t="s">
        <v>3459</v>
      </c>
      <c r="D139">
        <v>0.53210000000000002</v>
      </c>
      <c r="E139">
        <v>11.0571</v>
      </c>
      <c r="F139">
        <v>0.2077</v>
      </c>
      <c r="G139" s="288">
        <f t="shared" si="20"/>
        <v>11.264800000000001</v>
      </c>
      <c r="H139" s="284">
        <v>11.1181</v>
      </c>
      <c r="I139" s="288">
        <f>G139-H139</f>
        <v>0.14670000000000094</v>
      </c>
      <c r="J139" s="283">
        <f t="shared" si="15"/>
        <v>6.0999999999999055E-2</v>
      </c>
      <c r="K139" s="285">
        <f t="shared" si="16"/>
        <v>29.369282619161797</v>
      </c>
      <c r="L139">
        <v>6</v>
      </c>
      <c r="M139" s="286">
        <v>43379</v>
      </c>
      <c r="N139" s="286">
        <v>43379</v>
      </c>
      <c r="O139" s="283"/>
      <c r="R139" s="285"/>
    </row>
    <row r="140" spans="1:18">
      <c r="A140" t="s">
        <v>1783</v>
      </c>
      <c r="C140" t="s">
        <v>3716</v>
      </c>
      <c r="D140">
        <v>1.6738999999999999</v>
      </c>
      <c r="E140">
        <v>8.0961999999999996</v>
      </c>
      <c r="F140">
        <v>0.23669999999999999</v>
      </c>
      <c r="G140" s="284">
        <f t="shared" si="20"/>
        <v>8.3329000000000004</v>
      </c>
      <c r="H140" s="284">
        <v>8.1098999999999997</v>
      </c>
      <c r="I140" s="284">
        <f>(G140-H140)</f>
        <v>0.22300000000000075</v>
      </c>
      <c r="J140" s="283">
        <f t="shared" si="15"/>
        <v>1.3699999999999241E-2</v>
      </c>
      <c r="K140" s="285">
        <f t="shared" si="16"/>
        <v>5.78791719476098</v>
      </c>
      <c r="L140">
        <v>34</v>
      </c>
      <c r="M140" s="286">
        <v>43360</v>
      </c>
      <c r="N140" s="286">
        <v>43361</v>
      </c>
      <c r="O140" s="283" t="s">
        <v>3707</v>
      </c>
      <c r="R140" s="285"/>
    </row>
    <row r="141" spans="1:18">
      <c r="A141" t="s">
        <v>1782</v>
      </c>
      <c r="C141" t="s">
        <v>3726</v>
      </c>
      <c r="D141">
        <v>1.6014999999999999</v>
      </c>
      <c r="E141">
        <v>7.8029999999999999</v>
      </c>
      <c r="F141">
        <v>0.2107</v>
      </c>
      <c r="G141" s="284">
        <f t="shared" si="20"/>
        <v>8.0137</v>
      </c>
      <c r="H141" s="284">
        <v>7.8228</v>
      </c>
      <c r="I141" s="284">
        <f t="shared" ref="I141:I146" si="21">G141-H141</f>
        <v>0.19090000000000007</v>
      </c>
      <c r="J141" s="283">
        <f t="shared" si="15"/>
        <v>1.9799999999999929E-2</v>
      </c>
      <c r="K141" s="285">
        <f t="shared" si="16"/>
        <v>9.3972472710013903</v>
      </c>
      <c r="L141">
        <v>28</v>
      </c>
      <c r="M141" s="16">
        <v>43399</v>
      </c>
      <c r="N141" s="16">
        <v>43400</v>
      </c>
      <c r="R141" s="285"/>
    </row>
    <row r="142" spans="1:18">
      <c r="A142" t="s">
        <v>2023</v>
      </c>
      <c r="B142">
        <v>198</v>
      </c>
      <c r="D142">
        <v>0.55259999999999998</v>
      </c>
      <c r="E142">
        <v>8.7041000000000004</v>
      </c>
      <c r="F142">
        <v>0.2039</v>
      </c>
      <c r="G142" s="284">
        <f t="shared" si="20"/>
        <v>8.9080000000000013</v>
      </c>
      <c r="H142" s="284">
        <v>8.7571999999999992</v>
      </c>
      <c r="I142" s="284">
        <f t="shared" si="21"/>
        <v>0.15080000000000204</v>
      </c>
      <c r="J142" s="283">
        <f t="shared" si="15"/>
        <v>5.3099999999997954E-2</v>
      </c>
      <c r="K142" s="285">
        <f t="shared" si="16"/>
        <v>26.042177538007827</v>
      </c>
      <c r="L142">
        <v>2</v>
      </c>
      <c r="M142" s="16">
        <v>43395</v>
      </c>
      <c r="N142" s="16">
        <v>43396</v>
      </c>
      <c r="R142" s="285"/>
    </row>
    <row r="143" spans="1:18">
      <c r="A143" t="s">
        <v>1777</v>
      </c>
      <c r="C143" t="s">
        <v>3746</v>
      </c>
      <c r="D143">
        <v>1.7927999999999999</v>
      </c>
      <c r="E143">
        <v>8.7614000000000001</v>
      </c>
      <c r="F143">
        <v>0.23269999999999999</v>
      </c>
      <c r="G143" s="284">
        <f t="shared" si="20"/>
        <v>8.9940999999999995</v>
      </c>
      <c r="H143" s="284">
        <v>8.7733000000000008</v>
      </c>
      <c r="I143" s="284">
        <f t="shared" si="21"/>
        <v>0.22079999999999878</v>
      </c>
      <c r="J143" s="283">
        <f t="shared" si="15"/>
        <v>1.1900000000001215E-2</v>
      </c>
      <c r="K143" s="285">
        <f t="shared" si="16"/>
        <v>5.1138805328754682</v>
      </c>
      <c r="L143">
        <v>15</v>
      </c>
      <c r="M143" s="286">
        <v>43362</v>
      </c>
      <c r="N143" s="286">
        <v>43363</v>
      </c>
      <c r="O143" s="283"/>
      <c r="R143" s="285"/>
    </row>
    <row r="144" spans="1:18">
      <c r="A144" t="s">
        <v>1776</v>
      </c>
      <c r="C144" t="s">
        <v>3777</v>
      </c>
      <c r="D144">
        <v>0.88290000000000002</v>
      </c>
      <c r="E144">
        <v>9.2363</v>
      </c>
      <c r="F144">
        <v>0.2107</v>
      </c>
      <c r="G144" s="284">
        <f t="shared" si="20"/>
        <v>9.4469999999999992</v>
      </c>
      <c r="H144" s="284">
        <v>9.2727000000000004</v>
      </c>
      <c r="I144" s="284">
        <f t="shared" si="21"/>
        <v>0.17429999999999879</v>
      </c>
      <c r="J144" s="283">
        <f t="shared" si="15"/>
        <v>3.6400000000001209E-2</v>
      </c>
      <c r="K144" s="285">
        <f t="shared" si="16"/>
        <v>17.275747508306221</v>
      </c>
      <c r="L144">
        <v>2</v>
      </c>
      <c r="M144" s="16">
        <v>43388</v>
      </c>
      <c r="N144" s="286">
        <v>43389</v>
      </c>
      <c r="O144" s="286"/>
      <c r="P144" s="283"/>
      <c r="R144" s="285"/>
    </row>
    <row r="145" spans="1:18">
      <c r="A145" t="s">
        <v>1775</v>
      </c>
      <c r="C145" t="s">
        <v>3499</v>
      </c>
      <c r="D145">
        <v>1.0206</v>
      </c>
      <c r="E145">
        <v>10.7043</v>
      </c>
      <c r="F145">
        <v>0.20599999999999999</v>
      </c>
      <c r="G145" s="284">
        <f t="shared" si="20"/>
        <v>10.910299999999999</v>
      </c>
      <c r="H145" s="284">
        <v>10.7407</v>
      </c>
      <c r="I145" s="284">
        <f t="shared" si="21"/>
        <v>0.16959999999999908</v>
      </c>
      <c r="J145" s="283">
        <f t="shared" si="15"/>
        <v>3.6400000000000904E-2</v>
      </c>
      <c r="K145" s="285">
        <f t="shared" si="16"/>
        <v>17.669902912621797</v>
      </c>
      <c r="L145">
        <v>26</v>
      </c>
      <c r="M145" s="286">
        <v>43363</v>
      </c>
      <c r="N145" s="286">
        <v>43364</v>
      </c>
      <c r="O145" s="283" t="s">
        <v>3756</v>
      </c>
      <c r="R145" s="285"/>
    </row>
    <row r="146" spans="1:18">
      <c r="A146" t="s">
        <v>1773</v>
      </c>
      <c r="C146" t="s">
        <v>3748</v>
      </c>
      <c r="D146">
        <v>1.6758999999999999</v>
      </c>
      <c r="E146">
        <v>7.4760999999999997</v>
      </c>
      <c r="F146">
        <v>0.2442</v>
      </c>
      <c r="G146">
        <f t="shared" si="20"/>
        <v>7.7202999999999999</v>
      </c>
      <c r="H146">
        <v>7.5316999999999998</v>
      </c>
      <c r="I146" s="284">
        <f t="shared" si="21"/>
        <v>0.1886000000000001</v>
      </c>
      <c r="J146" s="283">
        <f t="shared" si="15"/>
        <v>5.55999999999999E-2</v>
      </c>
      <c r="K146" s="285">
        <f t="shared" si="16"/>
        <v>22.768222768222728</v>
      </c>
      <c r="L146">
        <v>20</v>
      </c>
      <c r="M146" s="16">
        <v>43402</v>
      </c>
      <c r="N146" s="16">
        <v>43403</v>
      </c>
      <c r="R146" s="285"/>
    </row>
    <row r="147" spans="1:18">
      <c r="A147" t="s">
        <v>1772</v>
      </c>
      <c r="C147" t="s">
        <v>3714</v>
      </c>
      <c r="D147">
        <v>1.6702999999999999</v>
      </c>
      <c r="E147">
        <v>9.1378000000000004</v>
      </c>
      <c r="F147">
        <v>0.20069999999999999</v>
      </c>
      <c r="G147" s="284">
        <f t="shared" si="20"/>
        <v>9.3384999999999998</v>
      </c>
      <c r="H147" s="284">
        <v>9.1496999999999993</v>
      </c>
      <c r="I147" s="284">
        <f>(G147-H147)</f>
        <v>0.18880000000000052</v>
      </c>
      <c r="J147" s="283">
        <f t="shared" si="15"/>
        <v>1.1899999999999467E-2</v>
      </c>
      <c r="K147" s="285">
        <f t="shared" si="16"/>
        <v>5.9292476332832429</v>
      </c>
      <c r="L147">
        <v>13</v>
      </c>
      <c r="M147" s="286">
        <v>43360</v>
      </c>
      <c r="N147" s="286">
        <v>43361</v>
      </c>
      <c r="O147" s="283" t="s">
        <v>3707</v>
      </c>
      <c r="R147" s="285"/>
    </row>
    <row r="148" spans="1:18">
      <c r="A148" t="s">
        <v>1766</v>
      </c>
      <c r="C148" t="s">
        <v>3679</v>
      </c>
      <c r="D148">
        <v>0.95940000000000003</v>
      </c>
      <c r="E148">
        <f>G148-F148</f>
        <v>10.1082</v>
      </c>
      <c r="F148">
        <v>0.2172</v>
      </c>
      <c r="G148" s="284">
        <v>10.3254</v>
      </c>
      <c r="H148" s="284">
        <v>10.1347</v>
      </c>
      <c r="I148" s="284">
        <f>(G148-H148)</f>
        <v>0.19069999999999965</v>
      </c>
      <c r="J148" s="283">
        <f t="shared" si="15"/>
        <v>2.6500000000000357E-2</v>
      </c>
      <c r="K148" s="285">
        <f t="shared" si="16"/>
        <v>12.200736648250626</v>
      </c>
      <c r="L148">
        <v>2</v>
      </c>
      <c r="M148" s="286">
        <v>43360</v>
      </c>
      <c r="N148" s="286">
        <v>43361</v>
      </c>
      <c r="O148" s="283"/>
      <c r="R148" s="285"/>
    </row>
    <row r="149" spans="1:18">
      <c r="A149" t="s">
        <v>1761</v>
      </c>
      <c r="C149" t="s">
        <v>3491</v>
      </c>
      <c r="D149">
        <v>1.0654999999999999</v>
      </c>
      <c r="E149">
        <v>10.617699999999999</v>
      </c>
      <c r="F149">
        <v>0.20530000000000001</v>
      </c>
      <c r="G149" s="284">
        <f t="shared" ref="G149:G212" si="22">E149+F149</f>
        <v>10.822999999999999</v>
      </c>
      <c r="H149" s="284">
        <v>10.64</v>
      </c>
      <c r="I149" s="284">
        <f>G149-H149</f>
        <v>0.18299999999999805</v>
      </c>
      <c r="J149" s="283">
        <f t="shared" si="15"/>
        <v>2.2300000000001957E-2</v>
      </c>
      <c r="K149" s="285">
        <f t="shared" si="16"/>
        <v>10.862152946907919</v>
      </c>
      <c r="L149">
        <v>27</v>
      </c>
      <c r="M149" s="286">
        <v>43363</v>
      </c>
      <c r="N149" s="286">
        <v>43364</v>
      </c>
      <c r="R149" s="285"/>
    </row>
    <row r="150" spans="1:18">
      <c r="A150" t="s">
        <v>1760</v>
      </c>
      <c r="C150" t="s">
        <v>3496</v>
      </c>
      <c r="D150">
        <v>1.4702999999999999</v>
      </c>
      <c r="E150">
        <v>10.740399999999999</v>
      </c>
      <c r="F150">
        <v>0.24010000000000001</v>
      </c>
      <c r="G150" s="284">
        <f t="shared" si="22"/>
        <v>10.980499999999999</v>
      </c>
      <c r="H150" s="284">
        <v>10.7583</v>
      </c>
      <c r="I150" s="284">
        <f>G150-H150</f>
        <v>0.22219999999999906</v>
      </c>
      <c r="J150" s="283">
        <f t="shared" si="15"/>
        <v>1.7900000000000943E-2</v>
      </c>
      <c r="K150" s="285">
        <f t="shared" si="16"/>
        <v>7.4552269887550784</v>
      </c>
      <c r="L150">
        <v>2</v>
      </c>
      <c r="M150" s="286">
        <v>43363</v>
      </c>
      <c r="N150" s="286">
        <v>43364</v>
      </c>
      <c r="O150" s="283"/>
      <c r="R150" s="285"/>
    </row>
    <row r="151" spans="1:18">
      <c r="A151" t="s">
        <v>1758</v>
      </c>
      <c r="C151" t="s">
        <v>3701</v>
      </c>
      <c r="D151">
        <v>0.69669999999999999</v>
      </c>
      <c r="E151">
        <v>8.7598000000000003</v>
      </c>
      <c r="F151">
        <v>0.2031</v>
      </c>
      <c r="G151" s="284">
        <f t="shared" si="22"/>
        <v>8.9628999999999994</v>
      </c>
      <c r="H151" s="284">
        <v>8.7980999999999998</v>
      </c>
      <c r="I151" s="284">
        <f>(G151-H151)</f>
        <v>0.16479999999999961</v>
      </c>
      <c r="J151" s="283">
        <f t="shared" si="15"/>
        <v>3.8300000000000389E-2</v>
      </c>
      <c r="K151" s="285">
        <f t="shared" si="16"/>
        <v>18.857705563761883</v>
      </c>
      <c r="L151">
        <v>34</v>
      </c>
      <c r="M151" s="286">
        <v>43360</v>
      </c>
      <c r="N151" s="286">
        <v>43361</v>
      </c>
      <c r="R151" s="285"/>
    </row>
    <row r="152" spans="1:18">
      <c r="A152" t="s">
        <v>1757</v>
      </c>
      <c r="C152" t="s">
        <v>3755</v>
      </c>
      <c r="D152" s="283">
        <v>1.6407</v>
      </c>
      <c r="E152" s="284">
        <v>9.6792999999999996</v>
      </c>
      <c r="F152" s="284">
        <v>0.23730000000000001</v>
      </c>
      <c r="G152" s="288">
        <f t="shared" si="22"/>
        <v>9.916599999999999</v>
      </c>
      <c r="H152" s="284">
        <v>9.6951999999999998</v>
      </c>
      <c r="I152" s="288">
        <f t="shared" ref="I152:I168" si="23">G152-H152</f>
        <v>0.22139999999999915</v>
      </c>
      <c r="J152" s="283">
        <f t="shared" si="15"/>
        <v>1.5900000000000858E-2</v>
      </c>
      <c r="K152" s="285">
        <f t="shared" si="16"/>
        <v>6.7003792667513089</v>
      </c>
      <c r="L152" s="283">
        <v>1</v>
      </c>
      <c r="M152" s="286">
        <v>43379</v>
      </c>
      <c r="N152" s="286">
        <v>43379</v>
      </c>
      <c r="O152" s="283"/>
      <c r="P152" s="283"/>
      <c r="R152" s="285"/>
    </row>
    <row r="153" spans="1:18">
      <c r="A153" t="s">
        <v>1756</v>
      </c>
      <c r="C153" t="s">
        <v>3734</v>
      </c>
      <c r="D153">
        <v>0.73580000000000001</v>
      </c>
      <c r="E153">
        <v>19.408899999999999</v>
      </c>
      <c r="F153">
        <v>0.21940000000000001</v>
      </c>
      <c r="G153" s="284">
        <f t="shared" si="22"/>
        <v>19.628299999999999</v>
      </c>
      <c r="H153" s="284">
        <v>19.474</v>
      </c>
      <c r="I153" s="284">
        <f t="shared" si="23"/>
        <v>0.15429999999999922</v>
      </c>
      <c r="J153" s="283">
        <f t="shared" si="15"/>
        <v>6.5100000000000796E-2</v>
      </c>
      <c r="K153" s="285">
        <f t="shared" si="16"/>
        <v>29.671832269827163</v>
      </c>
      <c r="L153">
        <v>30</v>
      </c>
      <c r="M153" s="286">
        <v>43361</v>
      </c>
      <c r="N153" s="286">
        <v>43362</v>
      </c>
      <c r="O153" s="283" t="s">
        <v>3730</v>
      </c>
      <c r="R153" s="285"/>
    </row>
    <row r="154" spans="1:18">
      <c r="A154" t="s">
        <v>1755</v>
      </c>
      <c r="C154" t="s">
        <v>3414</v>
      </c>
      <c r="D154">
        <v>0.74370000000000003</v>
      </c>
      <c r="E154">
        <v>8.2199000000000009</v>
      </c>
      <c r="F154">
        <v>0.2021</v>
      </c>
      <c r="G154" s="284">
        <f t="shared" si="22"/>
        <v>8.4220000000000006</v>
      </c>
      <c r="H154" s="284">
        <v>8.2733000000000008</v>
      </c>
      <c r="I154" s="284">
        <f t="shared" si="23"/>
        <v>0.14869999999999983</v>
      </c>
      <c r="J154" s="283">
        <f t="shared" si="15"/>
        <v>5.340000000000017E-2</v>
      </c>
      <c r="K154" s="285">
        <f t="shared" si="16"/>
        <v>26.422563087580492</v>
      </c>
      <c r="L154">
        <v>10</v>
      </c>
      <c r="M154" s="16">
        <v>43388</v>
      </c>
      <c r="N154" s="286">
        <v>43389</v>
      </c>
      <c r="O154" s="286"/>
      <c r="P154" s="283"/>
      <c r="R154" s="285"/>
    </row>
    <row r="155" spans="1:18">
      <c r="A155" t="s">
        <v>2020</v>
      </c>
      <c r="C155" t="s">
        <v>3427</v>
      </c>
      <c r="D155">
        <v>0.59309999999999996</v>
      </c>
      <c r="E155">
        <v>10.795500000000001</v>
      </c>
      <c r="F155">
        <v>0.22020000000000001</v>
      </c>
      <c r="G155" s="284">
        <f t="shared" si="22"/>
        <v>11.015700000000001</v>
      </c>
      <c r="H155" s="284">
        <v>10.8386</v>
      </c>
      <c r="I155" s="284">
        <f t="shared" si="23"/>
        <v>0.17710000000000115</v>
      </c>
      <c r="J155" s="283">
        <f t="shared" si="15"/>
        <v>4.3099999999998861E-2</v>
      </c>
      <c r="K155" s="285">
        <f t="shared" si="16"/>
        <v>19.57311534968159</v>
      </c>
      <c r="L155">
        <v>20</v>
      </c>
      <c r="M155" s="16">
        <v>43388</v>
      </c>
      <c r="N155" s="286">
        <v>43389</v>
      </c>
      <c r="O155" s="16"/>
      <c r="R155" s="285"/>
    </row>
    <row r="156" spans="1:18">
      <c r="A156" t="s">
        <v>1750</v>
      </c>
      <c r="C156" t="s">
        <v>3704</v>
      </c>
      <c r="D156">
        <v>1.6894</v>
      </c>
      <c r="E156">
        <v>7.8613</v>
      </c>
      <c r="F156">
        <v>0.2127</v>
      </c>
      <c r="G156" s="284">
        <f t="shared" si="22"/>
        <v>8.0739999999999998</v>
      </c>
      <c r="H156" s="284">
        <v>7.8746999999999998</v>
      </c>
      <c r="I156" s="284">
        <f t="shared" si="23"/>
        <v>0.19930000000000003</v>
      </c>
      <c r="J156" s="283">
        <f t="shared" ref="J156:J219" si="24">F156-I156</f>
        <v>1.3399999999999967E-2</v>
      </c>
      <c r="K156" s="285">
        <f t="shared" ref="K156:K219" si="25">(J156/F156)*100</f>
        <v>6.2999529854254668</v>
      </c>
      <c r="L156">
        <v>14</v>
      </c>
      <c r="M156" s="286">
        <v>43374</v>
      </c>
      <c r="N156" s="286">
        <v>43375</v>
      </c>
      <c r="O156" s="283" t="s">
        <v>3730</v>
      </c>
      <c r="R156" s="285"/>
    </row>
    <row r="157" spans="1:18">
      <c r="A157" t="s">
        <v>1749</v>
      </c>
      <c r="C157" t="s">
        <v>3472</v>
      </c>
      <c r="D157">
        <v>0.47089999999999999</v>
      </c>
      <c r="E157">
        <v>8.8465000000000007</v>
      </c>
      <c r="F157">
        <v>0.23549999999999999</v>
      </c>
      <c r="G157" s="284">
        <f t="shared" si="22"/>
        <v>9.0820000000000007</v>
      </c>
      <c r="H157" s="284">
        <v>8.8833000000000002</v>
      </c>
      <c r="I157" s="284">
        <f t="shared" si="23"/>
        <v>0.19870000000000054</v>
      </c>
      <c r="J157" s="283">
        <f t="shared" si="24"/>
        <v>3.6799999999999444E-2</v>
      </c>
      <c r="K157" s="285">
        <f t="shared" si="25"/>
        <v>15.626326963906347</v>
      </c>
      <c r="L157">
        <v>15</v>
      </c>
      <c r="M157" s="286">
        <v>43363</v>
      </c>
      <c r="N157" s="286">
        <v>43364</v>
      </c>
      <c r="O157" s="283"/>
      <c r="P157" t="s">
        <v>3762</v>
      </c>
      <c r="R157" s="285"/>
    </row>
    <row r="158" spans="1:18">
      <c r="A158" t="s">
        <v>1747</v>
      </c>
      <c r="C158" t="s">
        <v>3486</v>
      </c>
      <c r="D158">
        <v>1.4985999999999999</v>
      </c>
      <c r="E158">
        <v>8.0891999999999999</v>
      </c>
      <c r="F158">
        <v>0.20230000000000001</v>
      </c>
      <c r="G158" s="284">
        <f t="shared" si="22"/>
        <v>8.2914999999999992</v>
      </c>
      <c r="H158" s="284">
        <v>8.1057000000000006</v>
      </c>
      <c r="I158" s="284">
        <f t="shared" si="23"/>
        <v>0.18579999999999863</v>
      </c>
      <c r="J158" s="283">
        <f t="shared" si="24"/>
        <v>1.6500000000001375E-2</v>
      </c>
      <c r="K158" s="285">
        <f t="shared" si="25"/>
        <v>8.1562036579344408</v>
      </c>
      <c r="L158">
        <v>4</v>
      </c>
      <c r="M158" s="286">
        <v>43363</v>
      </c>
      <c r="N158" s="286">
        <v>43364</v>
      </c>
      <c r="O158" s="283"/>
      <c r="R158" s="285"/>
    </row>
    <row r="159" spans="1:18">
      <c r="A159" t="s">
        <v>1741</v>
      </c>
      <c r="C159" t="s">
        <v>3468</v>
      </c>
      <c r="D159">
        <v>0.64359999999999995</v>
      </c>
      <c r="E159">
        <v>8.1205999999999996</v>
      </c>
      <c r="F159">
        <v>0.2024</v>
      </c>
      <c r="G159" s="284">
        <f t="shared" si="22"/>
        <v>8.3230000000000004</v>
      </c>
      <c r="H159" s="284">
        <v>8.19</v>
      </c>
      <c r="I159" s="284">
        <f t="shared" si="23"/>
        <v>0.1330000000000009</v>
      </c>
      <c r="J159" s="283">
        <f t="shared" si="24"/>
        <v>6.9399999999999101E-2</v>
      </c>
      <c r="K159" s="285">
        <f t="shared" si="25"/>
        <v>34.288537549406669</v>
      </c>
      <c r="L159">
        <v>23</v>
      </c>
      <c r="M159" s="286">
        <v>43374</v>
      </c>
      <c r="N159" s="286">
        <v>43375</v>
      </c>
      <c r="O159" s="283" t="s">
        <v>3730</v>
      </c>
      <c r="R159" s="285"/>
    </row>
    <row r="160" spans="1:18">
      <c r="A160" t="s">
        <v>1738</v>
      </c>
      <c r="C160" t="s">
        <v>3780</v>
      </c>
      <c r="D160">
        <v>1.6714</v>
      </c>
      <c r="E160">
        <v>11.259600000000001</v>
      </c>
      <c r="F160">
        <v>0.2049</v>
      </c>
      <c r="G160" s="284">
        <f t="shared" si="22"/>
        <v>11.464500000000001</v>
      </c>
      <c r="H160" s="284">
        <v>11.270899999999999</v>
      </c>
      <c r="I160" s="284">
        <f t="shared" si="23"/>
        <v>0.19360000000000177</v>
      </c>
      <c r="J160" s="283">
        <f t="shared" si="24"/>
        <v>1.1299999999998228E-2</v>
      </c>
      <c r="K160" s="285">
        <f t="shared" si="25"/>
        <v>5.5148853099064077</v>
      </c>
      <c r="L160">
        <v>40</v>
      </c>
      <c r="M160">
        <v>23.101800000000001</v>
      </c>
      <c r="N160" s="16">
        <v>43397</v>
      </c>
      <c r="R160" s="285"/>
    </row>
    <row r="161" spans="1:30">
      <c r="A161" t="s">
        <v>1737</v>
      </c>
      <c r="B161">
        <v>217</v>
      </c>
      <c r="C161" t="s">
        <v>2504</v>
      </c>
      <c r="D161">
        <v>0.57699999999999996</v>
      </c>
      <c r="E161">
        <v>8.0656999999999996</v>
      </c>
      <c r="F161">
        <v>0.20960000000000001</v>
      </c>
      <c r="G161" s="284">
        <f t="shared" si="22"/>
        <v>8.2752999999999997</v>
      </c>
      <c r="H161" s="284">
        <v>8.1027000000000005</v>
      </c>
      <c r="I161" s="284">
        <f t="shared" si="23"/>
        <v>0.1725999999999992</v>
      </c>
      <c r="J161" s="283">
        <f t="shared" si="24"/>
        <v>3.700000000000081E-2</v>
      </c>
      <c r="K161" s="285">
        <f t="shared" si="25"/>
        <v>17.652671755725578</v>
      </c>
      <c r="L161">
        <v>32</v>
      </c>
      <c r="M161" s="16">
        <v>43395</v>
      </c>
      <c r="N161" s="16">
        <v>43396</v>
      </c>
      <c r="R161" s="285"/>
    </row>
    <row r="162" spans="1:30">
      <c r="A162" t="s">
        <v>1736</v>
      </c>
      <c r="C162" t="s">
        <v>3764</v>
      </c>
      <c r="D162">
        <v>0.59319999999999995</v>
      </c>
      <c r="E162">
        <v>11.864000000000001</v>
      </c>
      <c r="F162">
        <v>0.23580000000000001</v>
      </c>
      <c r="G162" s="284">
        <f t="shared" si="22"/>
        <v>12.0998</v>
      </c>
      <c r="H162" s="284">
        <v>11.9154</v>
      </c>
      <c r="I162" s="284">
        <f t="shared" si="23"/>
        <v>0.18440000000000012</v>
      </c>
      <c r="J162" s="283">
        <f t="shared" si="24"/>
        <v>5.139999999999989E-2</v>
      </c>
      <c r="K162" s="285">
        <f t="shared" si="25"/>
        <v>21.798134011874424</v>
      </c>
      <c r="L162">
        <v>37</v>
      </c>
      <c r="M162" s="286">
        <v>43363</v>
      </c>
      <c r="N162" s="286">
        <v>43364</v>
      </c>
      <c r="R162" s="285"/>
    </row>
    <row r="163" spans="1:30">
      <c r="A163" t="s">
        <v>1735</v>
      </c>
      <c r="B163">
        <v>201</v>
      </c>
      <c r="D163">
        <v>0.66920000000000002</v>
      </c>
      <c r="E163">
        <v>7.4762000000000004</v>
      </c>
      <c r="F163">
        <v>0.2077</v>
      </c>
      <c r="G163" s="284">
        <f t="shared" si="22"/>
        <v>7.6839000000000004</v>
      </c>
      <c r="H163" s="284">
        <v>7.5107999999999997</v>
      </c>
      <c r="I163" s="284">
        <f t="shared" si="23"/>
        <v>0.1731000000000007</v>
      </c>
      <c r="J163" s="283">
        <f t="shared" si="24"/>
        <v>3.4599999999999298E-2</v>
      </c>
      <c r="K163" s="285">
        <f t="shared" si="25"/>
        <v>16.658642272508086</v>
      </c>
      <c r="L163">
        <v>14</v>
      </c>
      <c r="M163">
        <v>23.101800000000001</v>
      </c>
      <c r="N163" s="16">
        <v>43397</v>
      </c>
      <c r="R163" s="285"/>
    </row>
    <row r="164" spans="1:30">
      <c r="A164" t="s">
        <v>1732</v>
      </c>
      <c r="C164" t="s">
        <v>3720</v>
      </c>
      <c r="D164">
        <v>0.58660000000000001</v>
      </c>
      <c r="E164">
        <v>11.903600000000001</v>
      </c>
      <c r="F164">
        <v>0.21740000000000001</v>
      </c>
      <c r="G164" s="284">
        <f t="shared" si="22"/>
        <v>12.121</v>
      </c>
      <c r="H164" s="284">
        <v>11.9339</v>
      </c>
      <c r="I164" s="284">
        <f t="shared" si="23"/>
        <v>0.18710000000000093</v>
      </c>
      <c r="J164" s="283">
        <f t="shared" si="24"/>
        <v>3.0299999999999078E-2</v>
      </c>
      <c r="K164" s="285">
        <f t="shared" si="25"/>
        <v>13.937442502299483</v>
      </c>
      <c r="L164">
        <v>14</v>
      </c>
      <c r="M164" s="286">
        <v>43361</v>
      </c>
      <c r="N164" s="286">
        <v>43362</v>
      </c>
      <c r="O164" s="283" t="s">
        <v>3730</v>
      </c>
      <c r="R164" s="285"/>
    </row>
    <row r="165" spans="1:30">
      <c r="A165" t="s">
        <v>2018</v>
      </c>
      <c r="C165" t="s">
        <v>3412</v>
      </c>
      <c r="D165">
        <v>0.59130000000000005</v>
      </c>
      <c r="E165">
        <v>10.155099999999999</v>
      </c>
      <c r="F165">
        <v>0.20949999999999999</v>
      </c>
      <c r="G165" s="284">
        <f t="shared" si="22"/>
        <v>10.364599999999999</v>
      </c>
      <c r="H165" s="284">
        <v>10.209300000000001</v>
      </c>
      <c r="I165" s="284">
        <f t="shared" si="23"/>
        <v>0.15529999999999866</v>
      </c>
      <c r="J165" s="283">
        <f t="shared" si="24"/>
        <v>5.420000000000133E-2</v>
      </c>
      <c r="K165" s="285">
        <f t="shared" si="25"/>
        <v>25.871121718377726</v>
      </c>
      <c r="L165">
        <v>40</v>
      </c>
      <c r="M165" s="286">
        <v>43374</v>
      </c>
      <c r="N165" s="286">
        <v>43375</v>
      </c>
      <c r="O165" s="283" t="s">
        <v>3730</v>
      </c>
      <c r="R165" s="285"/>
    </row>
    <row r="166" spans="1:30">
      <c r="A166" t="s">
        <v>1730</v>
      </c>
      <c r="C166" t="s">
        <v>3771</v>
      </c>
      <c r="D166">
        <v>1.5604</v>
      </c>
      <c r="E166">
        <v>7.7161</v>
      </c>
      <c r="F166">
        <v>0.21679999999999999</v>
      </c>
      <c r="G166" s="288">
        <f t="shared" si="22"/>
        <v>7.9329000000000001</v>
      </c>
      <c r="H166" s="284">
        <v>7.7297000000000002</v>
      </c>
      <c r="I166" s="288">
        <f t="shared" si="23"/>
        <v>0.20319999999999983</v>
      </c>
      <c r="J166" s="283">
        <f t="shared" si="24"/>
        <v>1.3600000000000168E-2</v>
      </c>
      <c r="K166" s="285">
        <f t="shared" si="25"/>
        <v>6.2730627306273838</v>
      </c>
      <c r="L166">
        <v>27</v>
      </c>
      <c r="M166" s="286">
        <v>43379</v>
      </c>
      <c r="N166" s="286">
        <v>43379</v>
      </c>
      <c r="R166" s="285"/>
    </row>
    <row r="167" spans="1:30">
      <c r="A167" t="s">
        <v>1728</v>
      </c>
      <c r="C167" t="s">
        <v>3753</v>
      </c>
      <c r="D167">
        <v>1.6896</v>
      </c>
      <c r="E167">
        <v>9.3444000000000003</v>
      </c>
      <c r="F167">
        <v>0.20630000000000001</v>
      </c>
      <c r="G167" s="288">
        <f t="shared" si="22"/>
        <v>9.5507000000000009</v>
      </c>
      <c r="H167" s="284">
        <v>9.3569999999999993</v>
      </c>
      <c r="I167" s="288">
        <f t="shared" si="23"/>
        <v>0.19370000000000154</v>
      </c>
      <c r="J167" s="283">
        <f t="shared" si="24"/>
        <v>1.2599999999998474E-2</v>
      </c>
      <c r="K167" s="285">
        <f t="shared" si="25"/>
        <v>6.1076102762959152</v>
      </c>
      <c r="L167">
        <v>3</v>
      </c>
      <c r="M167" s="286">
        <v>43379</v>
      </c>
      <c r="N167" s="286">
        <v>43379</v>
      </c>
      <c r="O167" s="283"/>
      <c r="R167" s="285"/>
    </row>
    <row r="168" spans="1:30">
      <c r="A168" t="s">
        <v>1727</v>
      </c>
      <c r="C168" t="s">
        <v>3473</v>
      </c>
      <c r="D168">
        <v>0.57050000000000001</v>
      </c>
      <c r="E168">
        <v>11.0906</v>
      </c>
      <c r="F168">
        <v>0.20610000000000001</v>
      </c>
      <c r="G168" s="284">
        <f t="shared" si="22"/>
        <v>11.2967</v>
      </c>
      <c r="H168" s="284">
        <v>11.1309</v>
      </c>
      <c r="I168" s="284">
        <f t="shared" si="23"/>
        <v>0.16579999999999906</v>
      </c>
      <c r="J168" s="283">
        <f t="shared" si="24"/>
        <v>4.0300000000000946E-2</v>
      </c>
      <c r="K168" s="285">
        <f t="shared" si="25"/>
        <v>19.55361475012176</v>
      </c>
      <c r="L168">
        <v>8</v>
      </c>
      <c r="M168" s="286">
        <v>43374</v>
      </c>
      <c r="N168" s="286">
        <v>43375</v>
      </c>
      <c r="O168" s="283" t="s">
        <v>3730</v>
      </c>
      <c r="R168" s="285"/>
    </row>
    <row r="169" spans="1:30">
      <c r="A169" t="s">
        <v>1726</v>
      </c>
      <c r="C169" t="s">
        <v>3678</v>
      </c>
      <c r="D169">
        <v>1.5694999999999999</v>
      </c>
      <c r="E169">
        <v>9.9166000000000007</v>
      </c>
      <c r="F169">
        <v>0.2001</v>
      </c>
      <c r="G169" s="284">
        <f t="shared" si="22"/>
        <v>10.116700000000002</v>
      </c>
      <c r="H169" s="284">
        <v>9.9318000000000008</v>
      </c>
      <c r="I169" s="284">
        <f>(G169-H169)</f>
        <v>0.18490000000000073</v>
      </c>
      <c r="J169" s="283">
        <f t="shared" si="24"/>
        <v>1.519999999999927E-2</v>
      </c>
      <c r="K169" s="285">
        <f t="shared" si="25"/>
        <v>7.5962018990501106</v>
      </c>
      <c r="L169">
        <v>33</v>
      </c>
      <c r="M169" s="16">
        <v>43358</v>
      </c>
      <c r="N169" s="16">
        <v>43358</v>
      </c>
      <c r="R169" s="285"/>
      <c r="Z169" s="285"/>
      <c r="AB169" s="286"/>
      <c r="AC169" s="286"/>
      <c r="AD169" s="283"/>
    </row>
    <row r="170" spans="1:30">
      <c r="A170" t="s">
        <v>1724</v>
      </c>
      <c r="C170" t="s">
        <v>3682</v>
      </c>
      <c r="D170">
        <v>0.86680000000000001</v>
      </c>
      <c r="E170">
        <v>10.9024</v>
      </c>
      <c r="F170">
        <v>0.24099999999999999</v>
      </c>
      <c r="G170" s="284">
        <f t="shared" si="22"/>
        <v>11.1434</v>
      </c>
      <c r="H170" s="284">
        <v>10.943</v>
      </c>
      <c r="I170" s="284">
        <f>G170-H170</f>
        <v>0.20040000000000013</v>
      </c>
      <c r="J170" s="283">
        <f t="shared" si="24"/>
        <v>4.0599999999999858E-2</v>
      </c>
      <c r="K170" s="285">
        <f t="shared" si="25"/>
        <v>16.846473029045587</v>
      </c>
      <c r="L170">
        <v>32</v>
      </c>
      <c r="M170" s="286">
        <v>43363</v>
      </c>
      <c r="N170" s="286">
        <v>43364</v>
      </c>
      <c r="R170" s="285"/>
    </row>
    <row r="171" spans="1:30">
      <c r="A171" t="s">
        <v>1721</v>
      </c>
      <c r="C171" t="s">
        <v>3661</v>
      </c>
      <c r="D171">
        <v>1.6275999999999999</v>
      </c>
      <c r="E171">
        <v>10.5022</v>
      </c>
      <c r="F171">
        <v>0.2031</v>
      </c>
      <c r="G171" s="284">
        <f t="shared" si="22"/>
        <v>10.705299999999999</v>
      </c>
      <c r="H171" s="284">
        <v>10.513299999999999</v>
      </c>
      <c r="I171" s="284">
        <f>(G171-H171)</f>
        <v>0.19200000000000017</v>
      </c>
      <c r="J171" s="283">
        <f t="shared" si="24"/>
        <v>1.1099999999999832E-2</v>
      </c>
      <c r="K171" s="285">
        <f t="shared" si="25"/>
        <v>5.4652880354504347</v>
      </c>
      <c r="L171">
        <v>3</v>
      </c>
      <c r="M171" s="286">
        <v>43355.625</v>
      </c>
      <c r="N171" s="286">
        <v>43355.791666666664</v>
      </c>
      <c r="O171" s="283" t="s">
        <v>3659</v>
      </c>
      <c r="R171" s="285"/>
    </row>
    <row r="172" spans="1:30">
      <c r="A172" t="s">
        <v>1719</v>
      </c>
      <c r="C172" t="s">
        <v>3779</v>
      </c>
      <c r="D172">
        <v>1.7169000000000001</v>
      </c>
      <c r="E172">
        <v>8.7347999999999999</v>
      </c>
      <c r="F172">
        <v>0.2021</v>
      </c>
      <c r="G172" s="284">
        <f t="shared" si="22"/>
        <v>8.9368999999999996</v>
      </c>
      <c r="H172" s="284">
        <v>8.7462999999999997</v>
      </c>
      <c r="I172" s="284">
        <f>G172-H172</f>
        <v>0.19059999999999988</v>
      </c>
      <c r="J172" s="283">
        <f t="shared" si="24"/>
        <v>1.1500000000000121E-2</v>
      </c>
      <c r="K172" s="285">
        <f t="shared" si="25"/>
        <v>5.6902523503216829</v>
      </c>
      <c r="L172">
        <v>28</v>
      </c>
      <c r="M172" s="16">
        <v>43381</v>
      </c>
      <c r="N172" s="16">
        <v>43382</v>
      </c>
      <c r="R172" s="285"/>
    </row>
    <row r="173" spans="1:30">
      <c r="A173" t="s">
        <v>1718</v>
      </c>
      <c r="C173" t="s">
        <v>3430</v>
      </c>
      <c r="D173">
        <v>0.75490000000000002</v>
      </c>
      <c r="E173">
        <v>18.1126</v>
      </c>
      <c r="F173">
        <v>0.2051</v>
      </c>
      <c r="G173" s="284">
        <f t="shared" si="22"/>
        <v>18.317700000000002</v>
      </c>
      <c r="H173" s="284">
        <v>18.186699999999998</v>
      </c>
      <c r="I173" s="284">
        <f>G173-H173</f>
        <v>0.13100000000000378</v>
      </c>
      <c r="J173" s="283">
        <f t="shared" si="24"/>
        <v>7.4099999999996224E-2</v>
      </c>
      <c r="K173" s="285">
        <f t="shared" si="25"/>
        <v>36.128717698681726</v>
      </c>
      <c r="L173">
        <v>39</v>
      </c>
      <c r="M173" s="286">
        <v>43363</v>
      </c>
      <c r="N173" s="286">
        <v>43364</v>
      </c>
      <c r="O173" s="283" t="s">
        <v>3756</v>
      </c>
      <c r="R173" s="285"/>
    </row>
    <row r="174" spans="1:30">
      <c r="A174" t="s">
        <v>1715</v>
      </c>
      <c r="C174" t="s">
        <v>3427</v>
      </c>
      <c r="D174">
        <v>0.69259999999999999</v>
      </c>
      <c r="E174">
        <v>10.273400000000001</v>
      </c>
      <c r="F174">
        <v>0.20230000000000001</v>
      </c>
      <c r="G174" s="288">
        <f t="shared" si="22"/>
        <v>10.4757</v>
      </c>
      <c r="H174" s="284">
        <v>10.331099999999999</v>
      </c>
      <c r="I174" s="288">
        <f>G174-H174</f>
        <v>0.14460000000000051</v>
      </c>
      <c r="J174" s="283">
        <f t="shared" si="24"/>
        <v>5.7699999999999502E-2</v>
      </c>
      <c r="K174" s="285">
        <f t="shared" si="25"/>
        <v>28.521997034107514</v>
      </c>
      <c r="L174">
        <v>35</v>
      </c>
      <c r="M174" s="286">
        <v>43379</v>
      </c>
      <c r="N174" s="286">
        <v>43379</v>
      </c>
      <c r="R174" s="285"/>
    </row>
    <row r="175" spans="1:30">
      <c r="A175" t="s">
        <v>1714</v>
      </c>
      <c r="C175" t="s">
        <v>3695</v>
      </c>
      <c r="D175">
        <v>1.4553</v>
      </c>
      <c r="E175">
        <v>11.002800000000001</v>
      </c>
      <c r="F175">
        <v>0.21110000000000001</v>
      </c>
      <c r="G175" s="284">
        <f t="shared" si="22"/>
        <v>11.213900000000001</v>
      </c>
      <c r="H175" s="284">
        <v>11.023300000000001</v>
      </c>
      <c r="I175" s="284">
        <f>(G175-H175)</f>
        <v>0.19059999999999988</v>
      </c>
      <c r="J175" s="283">
        <f t="shared" si="24"/>
        <v>2.0500000000000129E-2</v>
      </c>
      <c r="K175" s="285">
        <f t="shared" si="25"/>
        <v>9.7110374230223258</v>
      </c>
      <c r="L175">
        <v>22</v>
      </c>
      <c r="M175" s="286">
        <v>43360</v>
      </c>
      <c r="N175" s="286">
        <v>43361</v>
      </c>
      <c r="R175" s="285"/>
    </row>
    <row r="176" spans="1:30">
      <c r="A176" t="s">
        <v>1712</v>
      </c>
      <c r="B176">
        <v>195</v>
      </c>
      <c r="D176">
        <v>0.65900000000000003</v>
      </c>
      <c r="E176">
        <v>8.0901999999999994</v>
      </c>
      <c r="F176">
        <v>0.20080000000000001</v>
      </c>
      <c r="G176" s="284">
        <f t="shared" si="22"/>
        <v>8.2909999999999986</v>
      </c>
      <c r="H176" s="284">
        <v>8.1227</v>
      </c>
      <c r="I176" s="284">
        <f>G176-H176</f>
        <v>0.16829999999999856</v>
      </c>
      <c r="J176" s="283">
        <f t="shared" si="24"/>
        <v>3.2500000000001444E-2</v>
      </c>
      <c r="K176" s="285">
        <f t="shared" si="25"/>
        <v>16.185258964144143</v>
      </c>
      <c r="L176">
        <v>7</v>
      </c>
      <c r="M176">
        <v>23.101800000000001</v>
      </c>
      <c r="N176" s="16">
        <v>43397</v>
      </c>
      <c r="R176" s="285"/>
    </row>
    <row r="177" spans="1:18">
      <c r="A177" t="s">
        <v>2016</v>
      </c>
      <c r="C177" t="s">
        <v>3729</v>
      </c>
      <c r="D177">
        <v>0.71709999999999996</v>
      </c>
      <c r="E177">
        <v>9.3442000000000007</v>
      </c>
      <c r="F177">
        <v>0.22459999999999999</v>
      </c>
      <c r="G177" s="284">
        <f t="shared" si="22"/>
        <v>9.5688000000000013</v>
      </c>
      <c r="H177" s="284">
        <v>9.4041999999999994</v>
      </c>
      <c r="I177" s="284">
        <f>(G177-H177)</f>
        <v>0.16460000000000186</v>
      </c>
      <c r="J177" s="283">
        <f t="shared" si="24"/>
        <v>5.9999999999998138E-2</v>
      </c>
      <c r="K177" s="285">
        <f t="shared" si="25"/>
        <v>26.714158504006296</v>
      </c>
      <c r="L177">
        <v>42</v>
      </c>
      <c r="M177" s="286">
        <v>43360</v>
      </c>
      <c r="N177" s="286">
        <v>43361</v>
      </c>
      <c r="O177" s="283" t="s">
        <v>3707</v>
      </c>
      <c r="R177" s="285"/>
    </row>
    <row r="178" spans="1:18">
      <c r="A178" t="s">
        <v>1709</v>
      </c>
      <c r="C178" t="s">
        <v>3726</v>
      </c>
      <c r="D178">
        <v>1.5366</v>
      </c>
      <c r="E178">
        <v>10.540800000000001</v>
      </c>
      <c r="F178">
        <v>0.2329</v>
      </c>
      <c r="G178" s="284">
        <f t="shared" si="22"/>
        <v>10.773700000000002</v>
      </c>
      <c r="H178" s="284">
        <v>10.557499999999999</v>
      </c>
      <c r="I178" s="284">
        <f>(G178-H178)</f>
        <v>0.21620000000000239</v>
      </c>
      <c r="J178" s="283">
        <f t="shared" si="24"/>
        <v>1.6699999999997606E-2</v>
      </c>
      <c r="K178" s="285">
        <f t="shared" si="25"/>
        <v>7.1704594246447426</v>
      </c>
      <c r="L178">
        <v>38</v>
      </c>
      <c r="M178" s="286">
        <v>43360</v>
      </c>
      <c r="N178" s="286">
        <v>43361</v>
      </c>
      <c r="O178" s="283" t="s">
        <v>3707</v>
      </c>
      <c r="R178" s="285"/>
    </row>
    <row r="179" spans="1:18">
      <c r="A179" t="s">
        <v>1708</v>
      </c>
      <c r="C179" t="s">
        <v>3725</v>
      </c>
      <c r="D179">
        <v>1.5739000000000001</v>
      </c>
      <c r="E179">
        <v>9.3206000000000007</v>
      </c>
      <c r="F179">
        <v>0.24679999999999999</v>
      </c>
      <c r="G179" s="284">
        <f t="shared" si="22"/>
        <v>9.567400000000001</v>
      </c>
      <c r="H179" s="284">
        <v>9.3346</v>
      </c>
      <c r="I179" s="284">
        <f>G179-H179</f>
        <v>0.23280000000000101</v>
      </c>
      <c r="J179" s="283">
        <f t="shared" si="24"/>
        <v>1.3999999999998985E-2</v>
      </c>
      <c r="K179" s="285">
        <f t="shared" si="25"/>
        <v>5.6726094003237382</v>
      </c>
      <c r="L179">
        <v>2</v>
      </c>
      <c r="M179" s="16">
        <v>43381</v>
      </c>
      <c r="N179" s="16">
        <v>43382</v>
      </c>
      <c r="R179" s="285"/>
    </row>
    <row r="180" spans="1:18">
      <c r="A180" t="s">
        <v>1707</v>
      </c>
      <c r="C180" t="s">
        <v>3416</v>
      </c>
      <c r="D180">
        <v>0.49370000000000003</v>
      </c>
      <c r="E180">
        <v>10.5054</v>
      </c>
      <c r="F180">
        <v>0.20749999999999999</v>
      </c>
      <c r="G180" s="284">
        <f t="shared" si="22"/>
        <v>10.712899999999999</v>
      </c>
      <c r="H180" s="284">
        <v>10.5404</v>
      </c>
      <c r="I180" s="284">
        <f>G180-H180</f>
        <v>0.17249999999999943</v>
      </c>
      <c r="J180" s="283">
        <f t="shared" si="24"/>
        <v>3.5000000000000558E-2</v>
      </c>
      <c r="K180" s="285">
        <f t="shared" si="25"/>
        <v>16.867469879518342</v>
      </c>
      <c r="L180">
        <v>6</v>
      </c>
      <c r="M180" s="16">
        <v>43381</v>
      </c>
      <c r="N180" s="16">
        <v>43382</v>
      </c>
      <c r="R180" s="285"/>
    </row>
    <row r="181" spans="1:18">
      <c r="A181" t="s">
        <v>1706</v>
      </c>
      <c r="C181" t="s">
        <v>3701</v>
      </c>
      <c r="D181">
        <v>0.62109999999999999</v>
      </c>
      <c r="E181">
        <v>19.650200000000002</v>
      </c>
      <c r="F181">
        <v>0.21510000000000001</v>
      </c>
      <c r="G181" s="284">
        <f t="shared" si="22"/>
        <v>19.865300000000001</v>
      </c>
      <c r="H181" s="284">
        <v>19.692399999999999</v>
      </c>
      <c r="I181" s="284">
        <f>G181-H181</f>
        <v>0.17290000000000205</v>
      </c>
      <c r="J181" s="283">
        <f t="shared" si="24"/>
        <v>4.2199999999997961E-2</v>
      </c>
      <c r="K181" s="285">
        <f t="shared" si="25"/>
        <v>19.618781961877247</v>
      </c>
      <c r="L181">
        <v>32</v>
      </c>
      <c r="M181" s="286">
        <v>43361</v>
      </c>
      <c r="N181" s="286">
        <v>43362</v>
      </c>
      <c r="O181" s="283" t="s">
        <v>3730</v>
      </c>
      <c r="R181" s="285"/>
    </row>
    <row r="182" spans="1:18">
      <c r="A182" t="s">
        <v>1703</v>
      </c>
      <c r="C182" t="s">
        <v>3665</v>
      </c>
      <c r="D182">
        <v>1.5323</v>
      </c>
      <c r="E182">
        <v>10.074999999999999</v>
      </c>
      <c r="F182">
        <v>0.2021</v>
      </c>
      <c r="G182" s="284">
        <f t="shared" si="22"/>
        <v>10.277099999999999</v>
      </c>
      <c r="H182" s="284">
        <v>10.0878</v>
      </c>
      <c r="I182" s="284">
        <f>(G182-H182)</f>
        <v>0.18929999999999936</v>
      </c>
      <c r="J182" s="283">
        <f t="shared" si="24"/>
        <v>1.2800000000000644E-2</v>
      </c>
      <c r="K182" s="285">
        <f t="shared" si="25"/>
        <v>6.3334982681843854</v>
      </c>
      <c r="L182">
        <v>5</v>
      </c>
      <c r="M182" s="16">
        <v>43358</v>
      </c>
      <c r="N182" s="16">
        <v>43358</v>
      </c>
      <c r="R182" s="285"/>
    </row>
    <row r="183" spans="1:18">
      <c r="A183" t="s">
        <v>1702</v>
      </c>
      <c r="C183" t="s">
        <v>3422</v>
      </c>
      <c r="D183">
        <v>0.51029999999999998</v>
      </c>
      <c r="E183">
        <v>8.1319999999999997</v>
      </c>
      <c r="F183">
        <v>0.2112</v>
      </c>
      <c r="G183">
        <f t="shared" si="22"/>
        <v>8.3431999999999995</v>
      </c>
      <c r="H183">
        <v>8.173</v>
      </c>
      <c r="I183" s="284">
        <f>G183-H183</f>
        <v>0.17019999999999946</v>
      </c>
      <c r="J183" s="283">
        <f t="shared" si="24"/>
        <v>4.1000000000000536E-2</v>
      </c>
      <c r="K183" s="285">
        <f t="shared" si="25"/>
        <v>19.412878787879041</v>
      </c>
      <c r="L183">
        <v>9</v>
      </c>
      <c r="M183" s="16">
        <v>43402</v>
      </c>
      <c r="N183" s="16">
        <v>43403</v>
      </c>
      <c r="R183" s="285"/>
    </row>
    <row r="184" spans="1:18">
      <c r="A184" t="s">
        <v>1701</v>
      </c>
      <c r="C184" t="s">
        <v>3751</v>
      </c>
      <c r="D184">
        <v>1.63</v>
      </c>
      <c r="E184">
        <v>9.5570000000000004</v>
      </c>
      <c r="F184">
        <v>0.2009</v>
      </c>
      <c r="G184" s="284">
        <f t="shared" si="22"/>
        <v>9.7579000000000011</v>
      </c>
      <c r="H184" s="284">
        <v>9.5688999999999993</v>
      </c>
      <c r="I184" s="284">
        <f>G184-H184</f>
        <v>0.18900000000000183</v>
      </c>
      <c r="J184" s="283">
        <f t="shared" si="24"/>
        <v>1.1899999999998162E-2</v>
      </c>
      <c r="K184" s="285">
        <f t="shared" si="25"/>
        <v>5.923344947734277</v>
      </c>
      <c r="L184">
        <v>24</v>
      </c>
      <c r="M184" s="286">
        <v>43362</v>
      </c>
      <c r="N184" s="286">
        <v>43363</v>
      </c>
      <c r="R184" s="285"/>
    </row>
    <row r="185" spans="1:18">
      <c r="A185" t="s">
        <v>2015</v>
      </c>
      <c r="C185" t="s">
        <v>3723</v>
      </c>
      <c r="D185">
        <v>1.7032</v>
      </c>
      <c r="E185">
        <v>7.7754000000000003</v>
      </c>
      <c r="F185">
        <v>0.21210000000000001</v>
      </c>
      <c r="G185" s="284">
        <f t="shared" si="22"/>
        <v>7.9875000000000007</v>
      </c>
      <c r="H185" s="284">
        <v>7.7873000000000001</v>
      </c>
      <c r="I185" s="284">
        <f>G185-H185</f>
        <v>0.2002000000000006</v>
      </c>
      <c r="J185" s="283">
        <f t="shared" si="24"/>
        <v>1.1899999999999411E-2</v>
      </c>
      <c r="K185" s="285">
        <f t="shared" si="25"/>
        <v>5.6105610561053325</v>
      </c>
      <c r="L185">
        <v>23</v>
      </c>
      <c r="M185" s="16">
        <v>43395</v>
      </c>
      <c r="N185" s="16">
        <v>43396</v>
      </c>
      <c r="R185" s="285"/>
    </row>
    <row r="186" spans="1:18">
      <c r="A186" t="s">
        <v>1700</v>
      </c>
      <c r="C186" t="s">
        <v>3787</v>
      </c>
      <c r="D186">
        <v>0.75870000000000004</v>
      </c>
      <c r="E186">
        <v>7.3183999999999996</v>
      </c>
      <c r="F186">
        <v>0.22370000000000001</v>
      </c>
      <c r="G186" s="284">
        <f t="shared" si="22"/>
        <v>7.5420999999999996</v>
      </c>
      <c r="H186" s="284">
        <v>7.3623000000000003</v>
      </c>
      <c r="I186" s="284">
        <f>G186-H186</f>
        <v>0.17979999999999929</v>
      </c>
      <c r="J186" s="283">
        <f t="shared" si="24"/>
        <v>4.3900000000000716E-2</v>
      </c>
      <c r="K186" s="285">
        <f t="shared" si="25"/>
        <v>19.624497094323072</v>
      </c>
      <c r="L186">
        <v>23</v>
      </c>
      <c r="M186" s="16">
        <v>43399</v>
      </c>
      <c r="N186" s="16">
        <v>43400</v>
      </c>
      <c r="R186" s="285"/>
    </row>
    <row r="187" spans="1:18">
      <c r="A187" t="s">
        <v>1697</v>
      </c>
      <c r="C187" t="s">
        <v>3464</v>
      </c>
      <c r="D187">
        <v>0.59299999999999997</v>
      </c>
      <c r="E187">
        <v>9.0047999999999995</v>
      </c>
      <c r="F187">
        <v>0.2029</v>
      </c>
      <c r="G187" s="284">
        <f t="shared" si="22"/>
        <v>9.2076999999999991</v>
      </c>
      <c r="H187" s="284">
        <v>9.0604999999999993</v>
      </c>
      <c r="I187" s="284">
        <f>G187-H187</f>
        <v>0.14719999999999978</v>
      </c>
      <c r="J187" s="283">
        <f t="shared" si="24"/>
        <v>5.5700000000000222E-2</v>
      </c>
      <c r="K187" s="285">
        <f t="shared" si="25"/>
        <v>27.451946771808881</v>
      </c>
      <c r="L187">
        <v>41</v>
      </c>
      <c r="M187" s="286">
        <v>43362</v>
      </c>
      <c r="N187" s="286">
        <v>43363</v>
      </c>
      <c r="R187" s="285"/>
    </row>
    <row r="188" spans="1:18">
      <c r="A188" t="s">
        <v>1694</v>
      </c>
      <c r="C188" t="s">
        <v>3721</v>
      </c>
      <c r="D188">
        <f>4.0438-2.3947</f>
        <v>1.6491000000000002</v>
      </c>
      <c r="E188">
        <v>9.5563000000000002</v>
      </c>
      <c r="F188">
        <v>0.21060000000000001</v>
      </c>
      <c r="G188" s="284">
        <f t="shared" si="22"/>
        <v>9.7668999999999997</v>
      </c>
      <c r="H188" s="284">
        <v>9.5673999999999992</v>
      </c>
      <c r="I188" s="284">
        <f>(G188-H188)</f>
        <v>0.19950000000000045</v>
      </c>
      <c r="J188" s="283">
        <f t="shared" si="24"/>
        <v>1.1099999999999555E-2</v>
      </c>
      <c r="K188" s="285">
        <f t="shared" si="25"/>
        <v>5.2706552706550589</v>
      </c>
      <c r="L188">
        <v>32</v>
      </c>
      <c r="M188" s="286">
        <v>43360</v>
      </c>
      <c r="N188" s="286">
        <v>43361</v>
      </c>
      <c r="O188" s="283" t="s">
        <v>3707</v>
      </c>
      <c r="R188" s="285"/>
    </row>
    <row r="189" spans="1:18">
      <c r="A189" t="s">
        <v>1693</v>
      </c>
      <c r="C189" t="s">
        <v>3747</v>
      </c>
      <c r="D189">
        <v>1.5</v>
      </c>
      <c r="E189">
        <v>11.025600000000001</v>
      </c>
      <c r="F189">
        <v>0.21890000000000001</v>
      </c>
      <c r="G189" s="284">
        <f t="shared" si="22"/>
        <v>11.2445</v>
      </c>
      <c r="H189" s="284">
        <v>11.0396</v>
      </c>
      <c r="I189" s="284">
        <f>G189-H189</f>
        <v>0.2049000000000003</v>
      </c>
      <c r="J189" s="283">
        <f t="shared" si="24"/>
        <v>1.3999999999999707E-2</v>
      </c>
      <c r="K189" s="285">
        <f t="shared" si="25"/>
        <v>6.3956144358153066</v>
      </c>
      <c r="L189">
        <v>18</v>
      </c>
      <c r="M189" s="286">
        <v>43362</v>
      </c>
      <c r="N189" s="286">
        <v>43363</v>
      </c>
      <c r="R189" s="285"/>
    </row>
    <row r="190" spans="1:18">
      <c r="A190" t="s">
        <v>2014</v>
      </c>
      <c r="B190">
        <v>210</v>
      </c>
      <c r="D190">
        <v>0.68300000000000005</v>
      </c>
      <c r="E190">
        <v>10.856199999999999</v>
      </c>
      <c r="F190">
        <v>0.23469999999999999</v>
      </c>
      <c r="G190" s="284">
        <f t="shared" si="22"/>
        <v>11.0909</v>
      </c>
      <c r="H190" s="284">
        <v>10.901199999999999</v>
      </c>
      <c r="I190" s="284">
        <f>G190-H190</f>
        <v>0.1897000000000002</v>
      </c>
      <c r="J190" s="283">
        <f t="shared" si="24"/>
        <v>4.499999999999979E-2</v>
      </c>
      <c r="K190" s="285">
        <f t="shared" si="25"/>
        <v>19.173412867490324</v>
      </c>
      <c r="L190">
        <v>20</v>
      </c>
      <c r="M190" s="16">
        <v>43395</v>
      </c>
      <c r="N190" s="16">
        <v>43396</v>
      </c>
      <c r="R190" s="285"/>
    </row>
    <row r="191" spans="1:18">
      <c r="A191" t="s">
        <v>1689</v>
      </c>
      <c r="B191">
        <v>216</v>
      </c>
      <c r="D191">
        <v>0.55179999999999996</v>
      </c>
      <c r="E191">
        <v>9.0035000000000007</v>
      </c>
      <c r="F191">
        <v>0.23080000000000001</v>
      </c>
      <c r="G191" s="284">
        <f t="shared" si="22"/>
        <v>9.2343000000000011</v>
      </c>
      <c r="H191" s="284">
        <v>9.0334000000000003</v>
      </c>
      <c r="I191" s="284">
        <f>G191-H191</f>
        <v>0.20090000000000074</v>
      </c>
      <c r="J191" s="283">
        <f t="shared" si="24"/>
        <v>2.9899999999999261E-2</v>
      </c>
      <c r="K191" s="285">
        <f t="shared" si="25"/>
        <v>12.954939341420824</v>
      </c>
      <c r="L191">
        <v>30</v>
      </c>
      <c r="M191" s="16">
        <v>43395</v>
      </c>
      <c r="N191" s="16">
        <v>43396</v>
      </c>
      <c r="R191" s="285"/>
    </row>
    <row r="192" spans="1:18">
      <c r="A192" t="s">
        <v>1687</v>
      </c>
      <c r="B192">
        <v>212</v>
      </c>
      <c r="D192">
        <v>0.57750000000000001</v>
      </c>
      <c r="E192">
        <v>11.0245</v>
      </c>
      <c r="F192">
        <v>0.20979999999999999</v>
      </c>
      <c r="G192" s="284">
        <f t="shared" si="22"/>
        <v>11.234299999999999</v>
      </c>
      <c r="H192" s="284">
        <v>11.056699999999999</v>
      </c>
      <c r="I192" s="284">
        <f>G192-H192</f>
        <v>0.17759999999999998</v>
      </c>
      <c r="J192" s="283">
        <f t="shared" si="24"/>
        <v>3.2200000000000006E-2</v>
      </c>
      <c r="K192" s="285">
        <f t="shared" si="25"/>
        <v>15.347950428979985</v>
      </c>
      <c r="L192">
        <v>6</v>
      </c>
      <c r="M192" s="16">
        <v>43395</v>
      </c>
      <c r="N192" s="16">
        <v>43396</v>
      </c>
      <c r="R192" s="285"/>
    </row>
    <row r="193" spans="1:18">
      <c r="A193" t="s">
        <v>1686</v>
      </c>
      <c r="C193" t="s">
        <v>3697</v>
      </c>
      <c r="D193">
        <v>1.7355</v>
      </c>
      <c r="E193">
        <v>10.271800000000001</v>
      </c>
      <c r="F193">
        <v>0.21909999999999999</v>
      </c>
      <c r="G193" s="284">
        <f t="shared" si="22"/>
        <v>10.4909</v>
      </c>
      <c r="H193" s="284">
        <v>10.2857</v>
      </c>
      <c r="I193" s="284">
        <f>(G193-H193)</f>
        <v>0.2051999999999996</v>
      </c>
      <c r="J193" s="283">
        <f t="shared" si="24"/>
        <v>1.3900000000000384E-2</v>
      </c>
      <c r="K193" s="285">
        <f t="shared" si="25"/>
        <v>6.3441350981288833</v>
      </c>
      <c r="L193">
        <v>29</v>
      </c>
      <c r="M193" s="286">
        <v>43360</v>
      </c>
      <c r="N193" s="286">
        <v>43361</v>
      </c>
      <c r="R193" s="285"/>
    </row>
    <row r="194" spans="1:18">
      <c r="A194" t="s">
        <v>1680</v>
      </c>
      <c r="C194" t="s">
        <v>3721</v>
      </c>
      <c r="D194">
        <v>1.7263999999999999</v>
      </c>
      <c r="E194">
        <v>9.7270000000000003</v>
      </c>
      <c r="F194">
        <v>0.23710000000000001</v>
      </c>
      <c r="G194" s="284">
        <f t="shared" si="22"/>
        <v>9.9641000000000002</v>
      </c>
      <c r="H194" s="284">
        <v>9.74</v>
      </c>
      <c r="I194" s="284">
        <f>(G194-H194)</f>
        <v>0.22409999999999997</v>
      </c>
      <c r="J194" s="283">
        <f t="shared" si="24"/>
        <v>1.3000000000000039E-2</v>
      </c>
      <c r="K194" s="285">
        <f t="shared" si="25"/>
        <v>5.4829185997469585</v>
      </c>
      <c r="L194">
        <v>30</v>
      </c>
      <c r="M194" s="286">
        <v>43360</v>
      </c>
      <c r="N194" s="286">
        <v>43361</v>
      </c>
      <c r="O194" s="283" t="s">
        <v>3707</v>
      </c>
      <c r="R194" s="285"/>
    </row>
    <row r="195" spans="1:18">
      <c r="A195" t="s">
        <v>1679</v>
      </c>
      <c r="C195" t="s">
        <v>3415</v>
      </c>
      <c r="D195">
        <v>0.62929999999999997</v>
      </c>
      <c r="E195">
        <v>8.0646000000000004</v>
      </c>
      <c r="F195">
        <v>0.2056</v>
      </c>
      <c r="G195" s="284">
        <f t="shared" si="22"/>
        <v>8.2702000000000009</v>
      </c>
      <c r="H195" s="284">
        <v>8.1158999999999999</v>
      </c>
      <c r="I195" s="284">
        <f>G195-H195</f>
        <v>0.15430000000000099</v>
      </c>
      <c r="J195" s="283">
        <f t="shared" si="24"/>
        <v>5.1299999999999013E-2</v>
      </c>
      <c r="K195" s="285">
        <f t="shared" si="25"/>
        <v>24.951361867703799</v>
      </c>
      <c r="L195">
        <v>5</v>
      </c>
      <c r="M195" s="16">
        <v>43399</v>
      </c>
      <c r="N195" s="16">
        <v>43400</v>
      </c>
      <c r="R195" s="285"/>
    </row>
    <row r="196" spans="1:18">
      <c r="A196" t="s">
        <v>1678</v>
      </c>
      <c r="C196" t="s">
        <v>3668</v>
      </c>
      <c r="D196">
        <v>1.8066</v>
      </c>
      <c r="E196">
        <v>7.9055</v>
      </c>
      <c r="F196">
        <v>0.20480000000000001</v>
      </c>
      <c r="G196" s="284">
        <f t="shared" si="22"/>
        <v>8.1103000000000005</v>
      </c>
      <c r="H196" s="284">
        <v>7.9172000000000002</v>
      </c>
      <c r="I196" s="284">
        <f>(G196-H196)</f>
        <v>0.19310000000000027</v>
      </c>
      <c r="J196" s="283">
        <f t="shared" si="24"/>
        <v>1.1699999999999738E-2</v>
      </c>
      <c r="K196" s="285">
        <f t="shared" si="25"/>
        <v>5.7128906249998721</v>
      </c>
      <c r="L196">
        <v>14</v>
      </c>
      <c r="M196" s="16">
        <v>43358</v>
      </c>
      <c r="N196" s="16">
        <v>43358</v>
      </c>
      <c r="R196" s="285"/>
    </row>
    <row r="197" spans="1:18">
      <c r="A197" t="s">
        <v>1673</v>
      </c>
      <c r="C197" t="s">
        <v>3768</v>
      </c>
      <c r="D197">
        <v>1.2113</v>
      </c>
      <c r="E197">
        <v>9.0335000000000001</v>
      </c>
      <c r="F197">
        <v>0.22120000000000001</v>
      </c>
      <c r="G197" s="284">
        <f t="shared" si="22"/>
        <v>9.2546999999999997</v>
      </c>
      <c r="H197" s="284">
        <v>9.0708000000000002</v>
      </c>
      <c r="I197" s="284">
        <f>G197-H197</f>
        <v>0.18389999999999951</v>
      </c>
      <c r="J197" s="283">
        <f t="shared" si="24"/>
        <v>3.7300000000000499E-2</v>
      </c>
      <c r="K197" s="285">
        <f t="shared" si="25"/>
        <v>16.862567811935126</v>
      </c>
      <c r="L197">
        <v>34</v>
      </c>
      <c r="M197" s="16">
        <v>43381</v>
      </c>
      <c r="N197" s="16">
        <v>43382</v>
      </c>
      <c r="R197" s="285"/>
    </row>
    <row r="198" spans="1:18">
      <c r="A198" t="s">
        <v>1671</v>
      </c>
      <c r="C198" t="s">
        <v>3715</v>
      </c>
      <c r="D198">
        <v>1.4884999999999999</v>
      </c>
      <c r="E198">
        <v>7.4813000000000001</v>
      </c>
      <c r="F198">
        <v>0.22600000000000001</v>
      </c>
      <c r="G198" s="284">
        <f t="shared" si="22"/>
        <v>7.7073</v>
      </c>
      <c r="H198" s="284">
        <v>7.5008999999999997</v>
      </c>
      <c r="I198" s="284">
        <f>G198-H198</f>
        <v>0.20640000000000036</v>
      </c>
      <c r="J198" s="283">
        <f t="shared" si="24"/>
        <v>1.9599999999999645E-2</v>
      </c>
      <c r="K198" s="285">
        <f t="shared" si="25"/>
        <v>8.6725663716812598</v>
      </c>
      <c r="L198">
        <v>12</v>
      </c>
      <c r="M198" s="286">
        <v>43361</v>
      </c>
      <c r="N198" s="286">
        <v>43362</v>
      </c>
      <c r="O198" s="283" t="s">
        <v>3730</v>
      </c>
      <c r="R198" s="285"/>
    </row>
    <row r="199" spans="1:18">
      <c r="A199" t="s">
        <v>2012</v>
      </c>
      <c r="C199" t="s">
        <v>3750</v>
      </c>
      <c r="D199">
        <v>1.5153000000000001</v>
      </c>
      <c r="E199">
        <v>7.7161999999999997</v>
      </c>
      <c r="F199">
        <v>0.2127</v>
      </c>
      <c r="G199" s="284">
        <f t="shared" si="22"/>
        <v>7.9288999999999996</v>
      </c>
      <c r="H199" s="284">
        <v>7.7305000000000001</v>
      </c>
      <c r="I199" s="284">
        <f>G199-H199</f>
        <v>0.19839999999999947</v>
      </c>
      <c r="J199" s="283">
        <f t="shared" si="24"/>
        <v>1.4300000000000535E-2</v>
      </c>
      <c r="K199" s="285">
        <f t="shared" si="25"/>
        <v>6.723084156088639</v>
      </c>
      <c r="L199">
        <v>23</v>
      </c>
      <c r="M199" s="286">
        <v>43362</v>
      </c>
      <c r="N199" s="286">
        <v>43363</v>
      </c>
      <c r="R199" s="285"/>
    </row>
    <row r="200" spans="1:18">
      <c r="A200" t="s">
        <v>1670</v>
      </c>
      <c r="C200" t="s">
        <v>3698</v>
      </c>
      <c r="D200">
        <v>1.7269000000000001</v>
      </c>
      <c r="E200">
        <v>10.3141</v>
      </c>
      <c r="F200">
        <v>0.21679999999999999</v>
      </c>
      <c r="G200" s="284">
        <f t="shared" si="22"/>
        <v>10.530899999999999</v>
      </c>
      <c r="H200" s="284">
        <v>10.3269</v>
      </c>
      <c r="I200" s="284">
        <f>(G200-H200)</f>
        <v>0.20399999999999885</v>
      </c>
      <c r="J200" s="283">
        <f t="shared" si="24"/>
        <v>1.2800000000001144E-2</v>
      </c>
      <c r="K200" s="285">
        <f t="shared" si="25"/>
        <v>5.9040590405909334</v>
      </c>
      <c r="L200">
        <v>31</v>
      </c>
      <c r="M200" s="286">
        <v>43360</v>
      </c>
      <c r="N200" s="286">
        <v>43361</v>
      </c>
      <c r="R200" s="285"/>
    </row>
    <row r="201" spans="1:18">
      <c r="A201" t="s">
        <v>1668</v>
      </c>
      <c r="C201" t="s">
        <v>3666</v>
      </c>
      <c r="D201">
        <v>1.7425999999999999</v>
      </c>
      <c r="E201">
        <v>10.901199999999999</v>
      </c>
      <c r="F201">
        <v>0.2034</v>
      </c>
      <c r="G201" s="284">
        <f t="shared" si="22"/>
        <v>11.1046</v>
      </c>
      <c r="H201" s="284">
        <v>10.9124</v>
      </c>
      <c r="I201" s="284">
        <f>(G201-H201)</f>
        <v>0.1921999999999997</v>
      </c>
      <c r="J201" s="283">
        <f t="shared" si="24"/>
        <v>1.1200000000000293E-2</v>
      </c>
      <c r="K201" s="285">
        <f t="shared" si="25"/>
        <v>5.5063913470994565</v>
      </c>
      <c r="L201">
        <v>11</v>
      </c>
      <c r="M201" s="286">
        <v>43355.625</v>
      </c>
      <c r="N201" s="286">
        <v>43355.791666666664</v>
      </c>
      <c r="O201" s="283" t="s">
        <v>3659</v>
      </c>
      <c r="R201" s="285"/>
    </row>
    <row r="202" spans="1:18">
      <c r="A202" t="s">
        <v>1666</v>
      </c>
      <c r="C202" t="s">
        <v>3418</v>
      </c>
      <c r="D202">
        <v>0.56120000000000003</v>
      </c>
      <c r="E202">
        <v>10.923</v>
      </c>
      <c r="F202">
        <v>0.20880000000000001</v>
      </c>
      <c r="G202" s="284">
        <f t="shared" si="22"/>
        <v>11.1318</v>
      </c>
      <c r="H202" s="284">
        <v>10.9572</v>
      </c>
      <c r="I202" s="284">
        <f t="shared" ref="I202:I219" si="26">G202-H202</f>
        <v>0.17459999999999987</v>
      </c>
      <c r="J202" s="283">
        <f t="shared" si="24"/>
        <v>3.4200000000000147E-2</v>
      </c>
      <c r="K202" s="285">
        <f t="shared" si="25"/>
        <v>16.379310344827655</v>
      </c>
      <c r="L202">
        <v>42</v>
      </c>
      <c r="M202" s="286">
        <v>43374</v>
      </c>
      <c r="N202" s="286">
        <v>43375</v>
      </c>
      <c r="O202" s="283" t="s">
        <v>3730</v>
      </c>
      <c r="P202" t="s">
        <v>3769</v>
      </c>
      <c r="R202" s="285"/>
    </row>
    <row r="203" spans="1:18">
      <c r="A203" t="s">
        <v>1656</v>
      </c>
      <c r="C203" t="s">
        <v>3744</v>
      </c>
      <c r="D203">
        <v>1.6800999999999999</v>
      </c>
      <c r="E203">
        <v>8.09</v>
      </c>
      <c r="F203">
        <v>0.2344</v>
      </c>
      <c r="G203" s="284">
        <f t="shared" si="22"/>
        <v>8.3244000000000007</v>
      </c>
      <c r="H203" s="284">
        <v>8.1045999999999996</v>
      </c>
      <c r="I203" s="284">
        <f t="shared" si="26"/>
        <v>0.21980000000000111</v>
      </c>
      <c r="J203" s="283">
        <f t="shared" si="24"/>
        <v>1.4599999999998892E-2</v>
      </c>
      <c r="K203" s="285">
        <f t="shared" si="25"/>
        <v>6.2286689419790493</v>
      </c>
      <c r="L203">
        <v>7</v>
      </c>
      <c r="M203" s="16">
        <v>43381</v>
      </c>
      <c r="N203" s="16">
        <v>43382</v>
      </c>
      <c r="R203" s="285"/>
    </row>
    <row r="204" spans="1:18">
      <c r="A204" t="s">
        <v>1654</v>
      </c>
      <c r="C204" t="s">
        <v>3431</v>
      </c>
      <c r="D204">
        <v>0.6492</v>
      </c>
      <c r="E204">
        <v>8.3565000000000005</v>
      </c>
      <c r="F204">
        <v>0.21440000000000001</v>
      </c>
      <c r="G204" s="284">
        <f t="shared" si="22"/>
        <v>8.5709</v>
      </c>
      <c r="H204" s="284">
        <v>8.4098000000000006</v>
      </c>
      <c r="I204" s="284">
        <f t="shared" si="26"/>
        <v>0.16109999999999935</v>
      </c>
      <c r="J204" s="283">
        <f t="shared" si="24"/>
        <v>5.3300000000000652E-2</v>
      </c>
      <c r="K204" s="285">
        <f t="shared" si="25"/>
        <v>24.860074626865973</v>
      </c>
      <c r="L204">
        <v>36</v>
      </c>
      <c r="M204">
        <v>23.101800000000001</v>
      </c>
      <c r="N204" s="16">
        <v>43397</v>
      </c>
      <c r="R204" s="285"/>
    </row>
    <row r="205" spans="1:18">
      <c r="A205" t="s">
        <v>1653</v>
      </c>
      <c r="C205" t="s">
        <v>3776</v>
      </c>
      <c r="D205">
        <v>1.5838000000000001</v>
      </c>
      <c r="E205">
        <v>8.048</v>
      </c>
      <c r="F205">
        <v>0.2044</v>
      </c>
      <c r="G205" s="288">
        <f t="shared" si="22"/>
        <v>8.2523999999999997</v>
      </c>
      <c r="H205" s="284">
        <v>8.0610999999999997</v>
      </c>
      <c r="I205" s="288">
        <f t="shared" si="26"/>
        <v>0.19130000000000003</v>
      </c>
      <c r="J205" s="283">
        <f t="shared" si="24"/>
        <v>1.3099999999999973E-2</v>
      </c>
      <c r="K205" s="285">
        <f t="shared" si="25"/>
        <v>6.4090019569471499</v>
      </c>
      <c r="L205">
        <v>31</v>
      </c>
      <c r="M205" s="286">
        <v>43379</v>
      </c>
      <c r="N205" s="286">
        <v>43379</v>
      </c>
      <c r="R205" s="285"/>
    </row>
    <row r="206" spans="1:18">
      <c r="A206" t="s">
        <v>1652</v>
      </c>
      <c r="C206" t="s">
        <v>3761</v>
      </c>
      <c r="D206">
        <v>0.8508</v>
      </c>
      <c r="E206">
        <v>10.155099999999999</v>
      </c>
      <c r="F206">
        <v>0.21529999999999999</v>
      </c>
      <c r="G206" s="284">
        <f t="shared" si="22"/>
        <v>10.370399999999998</v>
      </c>
      <c r="H206" s="284">
        <v>10.185499999999999</v>
      </c>
      <c r="I206" s="284">
        <f t="shared" si="26"/>
        <v>0.18489999999999895</v>
      </c>
      <c r="J206" s="283">
        <f t="shared" si="24"/>
        <v>3.0400000000001037E-2</v>
      </c>
      <c r="K206" s="285">
        <f t="shared" si="25"/>
        <v>14.119832791454268</v>
      </c>
      <c r="L206">
        <v>34</v>
      </c>
      <c r="M206" s="286">
        <v>43363</v>
      </c>
      <c r="N206" s="286">
        <v>43364</v>
      </c>
      <c r="O206" s="283" t="s">
        <v>3756</v>
      </c>
      <c r="R206" s="285"/>
    </row>
    <row r="207" spans="1:18">
      <c r="A207" t="s">
        <v>1651</v>
      </c>
      <c r="B207">
        <v>197</v>
      </c>
      <c r="D207">
        <v>0.51829999999999998</v>
      </c>
      <c r="E207">
        <v>11.172700000000001</v>
      </c>
      <c r="F207">
        <v>0.2167</v>
      </c>
      <c r="G207" s="284">
        <f t="shared" si="22"/>
        <v>11.3894</v>
      </c>
      <c r="H207" s="284">
        <v>11.2127</v>
      </c>
      <c r="I207" s="284">
        <f t="shared" si="26"/>
        <v>0.1767000000000003</v>
      </c>
      <c r="J207" s="283">
        <f t="shared" si="24"/>
        <v>3.9999999999999702E-2</v>
      </c>
      <c r="K207" s="285">
        <f t="shared" si="25"/>
        <v>18.458698661744211</v>
      </c>
      <c r="L207">
        <v>37</v>
      </c>
      <c r="M207" s="16">
        <v>43388</v>
      </c>
      <c r="N207" s="286">
        <v>43389</v>
      </c>
      <c r="O207" s="16"/>
      <c r="R207" s="285"/>
    </row>
    <row r="208" spans="1:18">
      <c r="A208" t="s">
        <v>2010</v>
      </c>
      <c r="C208" t="s">
        <v>3483</v>
      </c>
      <c r="D208">
        <v>0.54169999999999996</v>
      </c>
      <c r="E208">
        <v>9.1562000000000001</v>
      </c>
      <c r="F208">
        <v>0.20300000000000001</v>
      </c>
      <c r="G208" s="284">
        <f t="shared" si="22"/>
        <v>9.3591999999999995</v>
      </c>
      <c r="H208" s="284">
        <v>9.1906999999999996</v>
      </c>
      <c r="I208" s="284">
        <f t="shared" si="26"/>
        <v>0.16849999999999987</v>
      </c>
      <c r="J208" s="283">
        <f t="shared" si="24"/>
        <v>3.4500000000000142E-2</v>
      </c>
      <c r="K208" s="285">
        <f t="shared" si="25"/>
        <v>16.995073891625683</v>
      </c>
      <c r="L208">
        <v>25</v>
      </c>
      <c r="M208" s="286">
        <v>43363</v>
      </c>
      <c r="N208" s="286">
        <v>43364</v>
      </c>
      <c r="R208" s="285"/>
    </row>
    <row r="209" spans="1:18">
      <c r="A209" t="s">
        <v>1650</v>
      </c>
      <c r="C209" t="s">
        <v>3433</v>
      </c>
      <c r="D209">
        <v>0.65100000000000002</v>
      </c>
      <c r="E209">
        <v>7.0761000000000003</v>
      </c>
      <c r="F209">
        <v>0.20649999999999999</v>
      </c>
      <c r="G209" s="284">
        <f t="shared" si="22"/>
        <v>7.2826000000000004</v>
      </c>
      <c r="H209" s="284">
        <v>7.1243999999999996</v>
      </c>
      <c r="I209" s="284">
        <f t="shared" si="26"/>
        <v>0.15820000000000078</v>
      </c>
      <c r="J209" s="283">
        <f t="shared" si="24"/>
        <v>4.8299999999999205E-2</v>
      </c>
      <c r="K209" s="285">
        <f t="shared" si="25"/>
        <v>23.389830508474194</v>
      </c>
      <c r="L209">
        <v>9</v>
      </c>
      <c r="M209" s="16">
        <v>43399</v>
      </c>
      <c r="N209" s="16">
        <v>43400</v>
      </c>
      <c r="R209" s="285"/>
    </row>
    <row r="210" spans="1:18">
      <c r="A210" t="s">
        <v>1649</v>
      </c>
      <c r="C210" t="s">
        <v>3458</v>
      </c>
      <c r="D210">
        <v>0.75260000000000005</v>
      </c>
      <c r="E210">
        <v>8.4448000000000008</v>
      </c>
      <c r="F210">
        <v>0.20960000000000001</v>
      </c>
      <c r="G210" s="288">
        <f t="shared" si="22"/>
        <v>8.6544000000000008</v>
      </c>
      <c r="H210" s="284">
        <v>8.4928000000000008</v>
      </c>
      <c r="I210" s="288">
        <f t="shared" si="26"/>
        <v>0.16159999999999997</v>
      </c>
      <c r="J210" s="283">
        <f t="shared" si="24"/>
        <v>4.8000000000000043E-2</v>
      </c>
      <c r="K210" s="285">
        <f t="shared" si="25"/>
        <v>22.900763358778644</v>
      </c>
      <c r="L210">
        <v>9</v>
      </c>
      <c r="M210" s="286">
        <v>43379</v>
      </c>
      <c r="N210" s="286">
        <v>43379</v>
      </c>
      <c r="O210" s="283"/>
      <c r="R210" s="285"/>
    </row>
    <row r="211" spans="1:18">
      <c r="A211" t="s">
        <v>1643</v>
      </c>
      <c r="C211" t="s">
        <v>3768</v>
      </c>
      <c r="D211">
        <v>1.0766</v>
      </c>
      <c r="E211">
        <v>7.8731</v>
      </c>
      <c r="F211">
        <v>0.21079999999999999</v>
      </c>
      <c r="G211" s="284">
        <f t="shared" si="22"/>
        <v>8.0838999999999999</v>
      </c>
      <c r="H211" s="284">
        <v>7.9188000000000001</v>
      </c>
      <c r="I211" s="284">
        <f t="shared" si="26"/>
        <v>0.1650999999999998</v>
      </c>
      <c r="J211" s="283">
        <f t="shared" si="24"/>
        <v>4.5700000000000185E-2</v>
      </c>
      <c r="K211" s="285">
        <f t="shared" si="25"/>
        <v>21.67931688804563</v>
      </c>
      <c r="L211">
        <v>34</v>
      </c>
      <c r="M211" s="286">
        <v>43374</v>
      </c>
      <c r="N211" s="286">
        <v>43375</v>
      </c>
      <c r="O211" s="283" t="s">
        <v>3730</v>
      </c>
      <c r="R211" s="285"/>
    </row>
    <row r="212" spans="1:18">
      <c r="A212" t="s">
        <v>1641</v>
      </c>
      <c r="C212" t="s">
        <v>3475</v>
      </c>
      <c r="D212">
        <v>0.59450000000000003</v>
      </c>
      <c r="E212">
        <v>10.4185</v>
      </c>
      <c r="F212">
        <v>0.21460000000000001</v>
      </c>
      <c r="G212">
        <f t="shared" si="22"/>
        <v>10.633100000000001</v>
      </c>
      <c r="H212">
        <v>10.4679</v>
      </c>
      <c r="I212" s="284">
        <f t="shared" si="26"/>
        <v>0.16520000000000046</v>
      </c>
      <c r="J212" s="283">
        <f t="shared" si="24"/>
        <v>4.9399999999999555E-2</v>
      </c>
      <c r="K212" s="285">
        <f t="shared" si="25"/>
        <v>23.019571295433156</v>
      </c>
      <c r="L212">
        <v>23</v>
      </c>
      <c r="M212" s="16">
        <v>43402</v>
      </c>
      <c r="N212" s="16">
        <v>43403</v>
      </c>
      <c r="R212" s="285"/>
    </row>
    <row r="213" spans="1:18">
      <c r="A213" t="s">
        <v>2009</v>
      </c>
      <c r="C213" t="s">
        <v>3725</v>
      </c>
      <c r="D213">
        <v>1.649</v>
      </c>
      <c r="E213">
        <v>8.7743000000000002</v>
      </c>
      <c r="F213">
        <v>0.2109</v>
      </c>
      <c r="G213" s="284">
        <f t="shared" ref="G213:G276" si="27">E213+F213</f>
        <v>8.9852000000000007</v>
      </c>
      <c r="H213" s="284">
        <v>8.7872000000000003</v>
      </c>
      <c r="I213" s="284">
        <f t="shared" si="26"/>
        <v>0.1980000000000004</v>
      </c>
      <c r="J213" s="283">
        <f t="shared" si="24"/>
        <v>1.2899999999999606E-2</v>
      </c>
      <c r="K213" s="285">
        <f t="shared" si="25"/>
        <v>6.1166429587480353</v>
      </c>
      <c r="L213">
        <v>31</v>
      </c>
      <c r="M213" s="286">
        <v>43363</v>
      </c>
      <c r="N213" s="286">
        <v>43364</v>
      </c>
      <c r="R213" s="285"/>
    </row>
    <row r="214" spans="1:18">
      <c r="A214" t="s">
        <v>1640</v>
      </c>
      <c r="C214" t="s">
        <v>3464</v>
      </c>
      <c r="D214">
        <v>0.5232</v>
      </c>
      <c r="E214">
        <v>19.801400000000001</v>
      </c>
      <c r="F214">
        <v>0.20219999999999999</v>
      </c>
      <c r="G214" s="284">
        <f t="shared" si="27"/>
        <v>20.003600000000002</v>
      </c>
      <c r="H214" s="284">
        <v>19.839600000000001</v>
      </c>
      <c r="I214" s="284">
        <f t="shared" si="26"/>
        <v>0.16400000000000148</v>
      </c>
      <c r="J214" s="283">
        <f t="shared" si="24"/>
        <v>3.8199999999998513E-2</v>
      </c>
      <c r="K214" s="285">
        <f t="shared" si="25"/>
        <v>18.892185954499759</v>
      </c>
      <c r="L214">
        <v>3</v>
      </c>
      <c r="M214" s="286">
        <v>43362</v>
      </c>
      <c r="N214" s="286">
        <v>43363</v>
      </c>
      <c r="O214" s="283"/>
      <c r="R214" s="285"/>
    </row>
    <row r="215" spans="1:18">
      <c r="A215" t="s">
        <v>1639</v>
      </c>
      <c r="C215" t="s">
        <v>3476</v>
      </c>
      <c r="D215">
        <v>0.59319999999999995</v>
      </c>
      <c r="E215">
        <v>8.0650999999999993</v>
      </c>
      <c r="F215">
        <v>0.2009</v>
      </c>
      <c r="G215" s="284">
        <f t="shared" si="27"/>
        <v>8.266</v>
      </c>
      <c r="H215" s="284">
        <v>8.1016999999999992</v>
      </c>
      <c r="I215" s="284">
        <f t="shared" si="26"/>
        <v>0.16430000000000078</v>
      </c>
      <c r="J215" s="283">
        <f t="shared" si="24"/>
        <v>3.6599999999999216E-2</v>
      </c>
      <c r="K215" s="285">
        <f t="shared" si="25"/>
        <v>18.218018914882634</v>
      </c>
      <c r="L215">
        <v>29</v>
      </c>
      <c r="M215" s="286">
        <v>43374</v>
      </c>
      <c r="N215" s="286">
        <v>43375</v>
      </c>
      <c r="O215" s="283" t="s">
        <v>3730</v>
      </c>
      <c r="R215" s="285"/>
    </row>
    <row r="216" spans="1:18">
      <c r="A216" t="s">
        <v>1638</v>
      </c>
      <c r="B216">
        <v>208</v>
      </c>
      <c r="D216">
        <v>0.55830000000000002</v>
      </c>
      <c r="E216">
        <v>7.5297000000000001</v>
      </c>
      <c r="F216">
        <v>0.20039999999999999</v>
      </c>
      <c r="G216" s="284">
        <f t="shared" si="27"/>
        <v>7.7301000000000002</v>
      </c>
      <c r="H216" s="284">
        <v>7.5850999999999997</v>
      </c>
      <c r="I216" s="284">
        <f t="shared" si="26"/>
        <v>0.14500000000000046</v>
      </c>
      <c r="J216" s="283">
        <f t="shared" si="24"/>
        <v>5.5399999999999533E-2</v>
      </c>
      <c r="K216" s="285">
        <f t="shared" si="25"/>
        <v>27.644710578842087</v>
      </c>
      <c r="L216">
        <v>40</v>
      </c>
      <c r="M216" s="16">
        <v>43388</v>
      </c>
      <c r="N216" s="286">
        <v>43389</v>
      </c>
      <c r="O216" s="16"/>
      <c r="R216" s="285"/>
    </row>
    <row r="217" spans="1:18">
      <c r="A217" t="s">
        <v>1637</v>
      </c>
      <c r="C217" t="s">
        <v>3780</v>
      </c>
      <c r="D217">
        <v>1.8223</v>
      </c>
      <c r="E217">
        <v>11.904500000000001</v>
      </c>
      <c r="F217">
        <v>0.23100000000000001</v>
      </c>
      <c r="G217" s="284">
        <f t="shared" si="27"/>
        <v>12.1355</v>
      </c>
      <c r="H217" s="284">
        <v>11.9168</v>
      </c>
      <c r="I217" s="284">
        <f t="shared" si="26"/>
        <v>0.21870000000000012</v>
      </c>
      <c r="J217" s="283">
        <f t="shared" si="24"/>
        <v>1.2299999999999894E-2</v>
      </c>
      <c r="K217" s="285">
        <f t="shared" si="25"/>
        <v>5.3246753246752787</v>
      </c>
      <c r="L217">
        <v>40</v>
      </c>
      <c r="M217" s="16">
        <v>43381</v>
      </c>
      <c r="N217" s="16">
        <v>43382</v>
      </c>
      <c r="R217" s="285"/>
    </row>
    <row r="218" spans="1:18">
      <c r="A218" t="s">
        <v>2008</v>
      </c>
      <c r="C218" t="s">
        <v>3426</v>
      </c>
      <c r="D218">
        <v>0.81630000000000003</v>
      </c>
      <c r="E218">
        <v>11.0244</v>
      </c>
      <c r="F218">
        <v>0.20499999999999999</v>
      </c>
      <c r="G218" s="288">
        <f t="shared" si="27"/>
        <v>11.2294</v>
      </c>
      <c r="H218" s="284">
        <v>11.108700000000001</v>
      </c>
      <c r="I218" s="288">
        <f t="shared" si="26"/>
        <v>0.12069999999999936</v>
      </c>
      <c r="J218" s="283">
        <f t="shared" si="24"/>
        <v>8.4300000000000624E-2</v>
      </c>
      <c r="K218" s="285">
        <f t="shared" si="25"/>
        <v>41.121951219512503</v>
      </c>
      <c r="L218">
        <v>17</v>
      </c>
      <c r="M218" s="286">
        <v>43379</v>
      </c>
      <c r="N218" s="286">
        <v>43379</v>
      </c>
      <c r="R218" s="285"/>
    </row>
    <row r="219" spans="1:18">
      <c r="A219" t="s">
        <v>1628</v>
      </c>
      <c r="C219" t="s">
        <v>3435</v>
      </c>
      <c r="D219">
        <v>0.56340000000000001</v>
      </c>
      <c r="E219">
        <v>7.9611999999999998</v>
      </c>
      <c r="F219">
        <v>0.21199999999999999</v>
      </c>
      <c r="G219" s="284">
        <f t="shared" si="27"/>
        <v>8.1731999999999996</v>
      </c>
      <c r="H219" s="284">
        <v>8.0054999999999996</v>
      </c>
      <c r="I219" s="284">
        <f t="shared" si="26"/>
        <v>0.16769999999999996</v>
      </c>
      <c r="J219" s="283">
        <f t="shared" si="24"/>
        <v>4.4300000000000034E-2</v>
      </c>
      <c r="K219" s="285">
        <f t="shared" si="25"/>
        <v>20.896226415094358</v>
      </c>
      <c r="L219">
        <v>27</v>
      </c>
      <c r="M219">
        <v>23.101800000000001</v>
      </c>
      <c r="N219" s="16">
        <v>43397</v>
      </c>
      <c r="R219" s="285"/>
    </row>
    <row r="220" spans="1:18">
      <c r="A220" t="s">
        <v>2007</v>
      </c>
      <c r="C220" t="s">
        <v>3713</v>
      </c>
      <c r="D220">
        <v>1.6472</v>
      </c>
      <c r="E220">
        <v>10.116899999999999</v>
      </c>
      <c r="F220">
        <v>0.22869999999999999</v>
      </c>
      <c r="G220" s="284">
        <f t="shared" si="27"/>
        <v>10.345599999999999</v>
      </c>
      <c r="H220" s="284">
        <v>10.1279</v>
      </c>
      <c r="I220" s="284">
        <f>(G220-H220)</f>
        <v>0.21769999999999889</v>
      </c>
      <c r="J220" s="283">
        <f t="shared" ref="J220:J283" si="28">F220-I220</f>
        <v>1.1000000000001092E-2</v>
      </c>
      <c r="K220" s="285">
        <f t="shared" ref="K220:K283" si="29">(J220/F220)*100</f>
        <v>4.8097944905995158</v>
      </c>
      <c r="L220">
        <v>12</v>
      </c>
      <c r="M220" s="286">
        <v>43360</v>
      </c>
      <c r="N220" s="286">
        <v>43361</v>
      </c>
      <c r="O220" s="283" t="s">
        <v>3707</v>
      </c>
      <c r="R220" s="285"/>
    </row>
    <row r="221" spans="1:18">
      <c r="A221" t="s">
        <v>1620</v>
      </c>
      <c r="C221" t="s">
        <v>3714</v>
      </c>
      <c r="D221">
        <v>1.7615000000000001</v>
      </c>
      <c r="E221">
        <v>8.0637000000000008</v>
      </c>
      <c r="F221">
        <v>0.2351</v>
      </c>
      <c r="G221" s="284">
        <f t="shared" si="27"/>
        <v>8.2988</v>
      </c>
      <c r="H221" s="284">
        <v>8.0770999999999997</v>
      </c>
      <c r="I221" s="284">
        <f>(G221-H221)</f>
        <v>0.22170000000000023</v>
      </c>
      <c r="J221" s="283">
        <f t="shared" si="28"/>
        <v>1.3399999999999773E-2</v>
      </c>
      <c r="K221" s="285">
        <f t="shared" si="29"/>
        <v>5.6997022543597504</v>
      </c>
      <c r="L221">
        <v>17</v>
      </c>
      <c r="M221" s="286">
        <v>43360</v>
      </c>
      <c r="N221" s="286">
        <v>43361</v>
      </c>
      <c r="O221" s="283" t="s">
        <v>3707</v>
      </c>
      <c r="R221" s="285"/>
    </row>
    <row r="222" spans="1:18">
      <c r="A222" t="s">
        <v>1619</v>
      </c>
      <c r="C222" t="s">
        <v>3660</v>
      </c>
      <c r="D222">
        <v>1.7277</v>
      </c>
      <c r="E222">
        <v>8.0465</v>
      </c>
      <c r="F222">
        <v>0.20730000000000001</v>
      </c>
      <c r="G222" s="284">
        <f t="shared" si="27"/>
        <v>8.2538</v>
      </c>
      <c r="H222" s="284">
        <v>8.0582999999999991</v>
      </c>
      <c r="I222" s="284">
        <f>(G222-H222)</f>
        <v>0.1955000000000009</v>
      </c>
      <c r="J222" s="283">
        <f t="shared" si="28"/>
        <v>1.1799999999999117E-2</v>
      </c>
      <c r="K222" s="285">
        <f t="shared" si="29"/>
        <v>5.6922334780507073</v>
      </c>
      <c r="L222">
        <v>24</v>
      </c>
      <c r="M222" s="16">
        <v>43358</v>
      </c>
      <c r="N222" s="16">
        <v>43358</v>
      </c>
      <c r="R222" s="285"/>
    </row>
    <row r="223" spans="1:18">
      <c r="A223" t="s">
        <v>1616</v>
      </c>
      <c r="B223">
        <v>211</v>
      </c>
      <c r="D223">
        <v>0.56089999999999995</v>
      </c>
      <c r="E223">
        <v>7.8733000000000004</v>
      </c>
      <c r="F223">
        <v>0.20649999999999999</v>
      </c>
      <c r="G223" s="284">
        <f t="shared" si="27"/>
        <v>8.0798000000000005</v>
      </c>
      <c r="H223" s="284">
        <v>7.9043000000000001</v>
      </c>
      <c r="I223" s="284">
        <f t="shared" ref="I223:I230" si="30">G223-H223</f>
        <v>0.17550000000000043</v>
      </c>
      <c r="J223" s="283">
        <f t="shared" si="28"/>
        <v>3.0999999999999556E-2</v>
      </c>
      <c r="K223" s="285">
        <f t="shared" si="29"/>
        <v>15.012106537530052</v>
      </c>
      <c r="L223">
        <v>11</v>
      </c>
      <c r="M223">
        <v>23.101800000000001</v>
      </c>
      <c r="N223" s="16">
        <v>43397</v>
      </c>
      <c r="R223" s="285"/>
    </row>
    <row r="224" spans="1:18">
      <c r="A224" t="s">
        <v>1615</v>
      </c>
      <c r="C224" t="s">
        <v>3743</v>
      </c>
      <c r="D224">
        <v>1.577</v>
      </c>
      <c r="E224">
        <v>7.8734000000000002</v>
      </c>
      <c r="F224">
        <v>0.2041</v>
      </c>
      <c r="G224" s="284">
        <f t="shared" si="27"/>
        <v>8.0775000000000006</v>
      </c>
      <c r="H224" s="284">
        <v>7.8943000000000003</v>
      </c>
      <c r="I224" s="284">
        <f t="shared" si="30"/>
        <v>0.18320000000000025</v>
      </c>
      <c r="J224" s="283">
        <f t="shared" si="28"/>
        <v>2.0899999999999752E-2</v>
      </c>
      <c r="K224" s="285">
        <f t="shared" si="29"/>
        <v>10.240078392944513</v>
      </c>
      <c r="L224">
        <v>31</v>
      </c>
      <c r="M224" s="16">
        <v>43381</v>
      </c>
      <c r="N224" s="16">
        <v>43382</v>
      </c>
      <c r="R224" s="285"/>
    </row>
    <row r="225" spans="1:18">
      <c r="A225" t="s">
        <v>2006</v>
      </c>
      <c r="C225" t="s">
        <v>3770</v>
      </c>
      <c r="D225">
        <v>1.3672</v>
      </c>
      <c r="E225">
        <v>7.9619999999999997</v>
      </c>
      <c r="F225">
        <v>0.21840000000000001</v>
      </c>
      <c r="G225" s="288">
        <f t="shared" si="27"/>
        <v>8.1804000000000006</v>
      </c>
      <c r="H225" s="284">
        <v>7.9851999999999999</v>
      </c>
      <c r="I225" s="288">
        <f t="shared" si="30"/>
        <v>0.19520000000000071</v>
      </c>
      <c r="J225" s="283">
        <f t="shared" si="28"/>
        <v>2.3199999999999305E-2</v>
      </c>
      <c r="K225" s="285">
        <f t="shared" si="29"/>
        <v>10.622710622710303</v>
      </c>
      <c r="L225">
        <v>5</v>
      </c>
      <c r="M225" s="286">
        <v>43379</v>
      </c>
      <c r="N225" s="286">
        <v>43379</v>
      </c>
      <c r="O225" s="283"/>
      <c r="R225" s="285"/>
    </row>
    <row r="226" spans="1:18">
      <c r="A226" t="s">
        <v>1606</v>
      </c>
      <c r="C226" t="s">
        <v>3774</v>
      </c>
      <c r="D226">
        <v>1.1603000000000001</v>
      </c>
      <c r="E226">
        <v>7.7750000000000004</v>
      </c>
      <c r="F226">
        <v>0.21129999999999999</v>
      </c>
      <c r="G226" s="284">
        <f t="shared" si="27"/>
        <v>7.9863</v>
      </c>
      <c r="H226" s="284">
        <v>7.7977999999999996</v>
      </c>
      <c r="I226" s="284">
        <f t="shared" si="30"/>
        <v>0.18850000000000033</v>
      </c>
      <c r="J226" s="283">
        <f t="shared" si="28"/>
        <v>2.2799999999999654E-2</v>
      </c>
      <c r="K226" s="285">
        <f t="shared" si="29"/>
        <v>10.790345480359514</v>
      </c>
      <c r="L226">
        <v>16</v>
      </c>
      <c r="M226" s="16">
        <v>43381</v>
      </c>
      <c r="N226" s="16">
        <v>43382</v>
      </c>
      <c r="R226" s="285"/>
    </row>
    <row r="227" spans="1:18">
      <c r="A227" t="s">
        <v>2005</v>
      </c>
      <c r="B227">
        <v>193</v>
      </c>
      <c r="D227">
        <v>0.6321</v>
      </c>
      <c r="E227">
        <v>9.3230000000000004</v>
      </c>
      <c r="F227">
        <v>0.20660000000000001</v>
      </c>
      <c r="G227" s="284">
        <f t="shared" si="27"/>
        <v>9.5296000000000003</v>
      </c>
      <c r="H227" s="284">
        <v>9.3507999999999996</v>
      </c>
      <c r="I227" s="284">
        <f t="shared" si="30"/>
        <v>0.17880000000000074</v>
      </c>
      <c r="J227" s="283">
        <f t="shared" si="28"/>
        <v>2.779999999999927E-2</v>
      </c>
      <c r="K227" s="285">
        <f t="shared" si="29"/>
        <v>13.455953533397516</v>
      </c>
      <c r="L227">
        <v>4</v>
      </c>
      <c r="M227" s="16">
        <v>43395</v>
      </c>
      <c r="N227" s="16">
        <v>43396</v>
      </c>
      <c r="R227" s="285"/>
    </row>
    <row r="228" spans="1:18">
      <c r="A228" t="s">
        <v>1595</v>
      </c>
      <c r="C228" t="s">
        <v>3777</v>
      </c>
      <c r="D228">
        <v>0.74009999999999998</v>
      </c>
      <c r="E228">
        <v>8.1692999999999998</v>
      </c>
      <c r="F228">
        <v>0.20660000000000001</v>
      </c>
      <c r="G228" s="284">
        <f t="shared" si="27"/>
        <v>8.3758999999999997</v>
      </c>
      <c r="H228" s="284">
        <v>8.2050999999999998</v>
      </c>
      <c r="I228" s="284">
        <f t="shared" si="30"/>
        <v>0.17079999999999984</v>
      </c>
      <c r="J228" s="283">
        <f t="shared" si="28"/>
        <v>3.5800000000000165E-2</v>
      </c>
      <c r="K228" s="285">
        <f t="shared" si="29"/>
        <v>17.328170377541223</v>
      </c>
      <c r="L228">
        <v>15</v>
      </c>
      <c r="M228" s="16">
        <v>43399</v>
      </c>
      <c r="N228" s="16">
        <v>43400</v>
      </c>
      <c r="R228" s="285"/>
    </row>
    <row r="229" spans="1:18">
      <c r="A229" t="s">
        <v>2004</v>
      </c>
      <c r="C229" t="s">
        <v>3742</v>
      </c>
      <c r="D229">
        <v>1.4639</v>
      </c>
      <c r="E229">
        <v>20.014700000000001</v>
      </c>
      <c r="F229">
        <v>0.2228</v>
      </c>
      <c r="G229" s="284">
        <f t="shared" si="27"/>
        <v>20.237500000000001</v>
      </c>
      <c r="H229" s="284">
        <v>20.029399999999999</v>
      </c>
      <c r="I229" s="284">
        <f t="shared" si="30"/>
        <v>0.20810000000000173</v>
      </c>
      <c r="J229" s="283">
        <f t="shared" si="28"/>
        <v>1.469999999999827E-2</v>
      </c>
      <c r="K229" s="285">
        <f t="shared" si="29"/>
        <v>6.5978456014354894</v>
      </c>
      <c r="L229">
        <v>6</v>
      </c>
      <c r="M229" s="286">
        <v>43362</v>
      </c>
      <c r="N229" s="286">
        <v>43363</v>
      </c>
      <c r="O229" s="283"/>
      <c r="R229" s="285"/>
    </row>
    <row r="230" spans="1:18">
      <c r="A230" t="s">
        <v>1586</v>
      </c>
      <c r="C230" t="s">
        <v>3489</v>
      </c>
      <c r="D230">
        <v>1.4184000000000001</v>
      </c>
      <c r="E230">
        <v>10.741300000000001</v>
      </c>
      <c r="F230">
        <v>0.22470000000000001</v>
      </c>
      <c r="G230" s="284">
        <f t="shared" si="27"/>
        <v>10.966000000000001</v>
      </c>
      <c r="H230" s="284">
        <v>10.7585</v>
      </c>
      <c r="I230" s="284">
        <f t="shared" si="30"/>
        <v>0.20750000000000135</v>
      </c>
      <c r="J230" s="283">
        <f t="shared" si="28"/>
        <v>1.7199999999998661E-2</v>
      </c>
      <c r="K230" s="285">
        <f t="shared" si="29"/>
        <v>7.6546506453042547</v>
      </c>
      <c r="L230">
        <v>32</v>
      </c>
      <c r="M230" s="16">
        <v>43399</v>
      </c>
      <c r="N230" s="16">
        <v>43400</v>
      </c>
      <c r="R230" s="285"/>
    </row>
    <row r="231" spans="1:18">
      <c r="A231" t="s">
        <v>1585</v>
      </c>
      <c r="C231" t="s">
        <v>3695</v>
      </c>
      <c r="D231">
        <v>1.5044</v>
      </c>
      <c r="E231">
        <v>9.0043000000000006</v>
      </c>
      <c r="F231">
        <v>0.2024</v>
      </c>
      <c r="G231" s="284">
        <f t="shared" si="27"/>
        <v>9.2067000000000014</v>
      </c>
      <c r="H231" s="284">
        <v>9.0182000000000002</v>
      </c>
      <c r="I231" s="284">
        <f>(G231-H231)</f>
        <v>0.18850000000000122</v>
      </c>
      <c r="J231" s="283">
        <f t="shared" si="28"/>
        <v>1.3899999999998774E-2</v>
      </c>
      <c r="K231" s="285">
        <f t="shared" si="29"/>
        <v>6.8675889328057185</v>
      </c>
      <c r="L231">
        <v>8</v>
      </c>
      <c r="M231" s="286">
        <v>43360</v>
      </c>
      <c r="N231" s="286">
        <v>43361</v>
      </c>
      <c r="O231" s="283" t="s">
        <v>3707</v>
      </c>
      <c r="R231" s="285"/>
    </row>
    <row r="232" spans="1:18">
      <c r="A232" t="s">
        <v>1584</v>
      </c>
      <c r="C232" t="s">
        <v>3467</v>
      </c>
      <c r="D232">
        <f>0.4237+0.2034</f>
        <v>0.62709999999999999</v>
      </c>
      <c r="E232">
        <v>11.1738</v>
      </c>
      <c r="F232">
        <v>0.2034</v>
      </c>
      <c r="G232" s="284">
        <f t="shared" si="27"/>
        <v>11.3772</v>
      </c>
      <c r="H232" s="284">
        <v>11.2234</v>
      </c>
      <c r="I232" s="284">
        <f>G232-H232</f>
        <v>0.15380000000000038</v>
      </c>
      <c r="J232" s="283">
        <f t="shared" si="28"/>
        <v>4.9599999999999617E-2</v>
      </c>
      <c r="K232" s="285">
        <f t="shared" si="29"/>
        <v>24.385447394296765</v>
      </c>
      <c r="L232">
        <v>13</v>
      </c>
      <c r="M232" s="286">
        <v>43362</v>
      </c>
      <c r="N232" s="286">
        <v>43363</v>
      </c>
      <c r="O232" s="283"/>
      <c r="R232" s="285"/>
    </row>
    <row r="233" spans="1:18">
      <c r="A233" t="s">
        <v>1583</v>
      </c>
      <c r="C233" t="s">
        <v>3691</v>
      </c>
      <c r="D233">
        <v>1.6935</v>
      </c>
      <c r="E233">
        <v>7.7742000000000004</v>
      </c>
      <c r="F233">
        <v>0.23710000000000001</v>
      </c>
      <c r="G233" s="284">
        <f t="shared" si="27"/>
        <v>8.0113000000000003</v>
      </c>
      <c r="H233" s="284">
        <v>7.7876000000000003</v>
      </c>
      <c r="I233" s="284">
        <f>(G233-H233)</f>
        <v>0.22370000000000001</v>
      </c>
      <c r="J233" s="283">
        <f t="shared" si="28"/>
        <v>1.3399999999999995E-2</v>
      </c>
      <c r="K233" s="285">
        <f t="shared" si="29"/>
        <v>5.6516237874314612</v>
      </c>
      <c r="L233">
        <v>30</v>
      </c>
      <c r="M233" s="286">
        <v>43360</v>
      </c>
      <c r="N233" s="286">
        <v>43361</v>
      </c>
      <c r="R233" s="285"/>
    </row>
    <row r="234" spans="1:18">
      <c r="A234" t="s">
        <v>2003</v>
      </c>
      <c r="C234" t="s">
        <v>3498</v>
      </c>
      <c r="D234">
        <v>0.87460000000000004</v>
      </c>
      <c r="E234">
        <v>9.0324000000000009</v>
      </c>
      <c r="F234">
        <v>0.20830000000000001</v>
      </c>
      <c r="G234" s="284">
        <f t="shared" si="27"/>
        <v>9.2407000000000004</v>
      </c>
      <c r="H234" s="284">
        <v>9.0789000000000009</v>
      </c>
      <c r="I234" s="284">
        <f>G234-H234</f>
        <v>0.1617999999999995</v>
      </c>
      <c r="J234" s="283">
        <f t="shared" si="28"/>
        <v>4.6500000000000513E-2</v>
      </c>
      <c r="K234" s="285">
        <f t="shared" si="29"/>
        <v>22.323571771483682</v>
      </c>
      <c r="L234">
        <v>21</v>
      </c>
      <c r="M234" s="286">
        <v>43363</v>
      </c>
      <c r="N234" s="286">
        <v>43364</v>
      </c>
      <c r="O234" s="283" t="s">
        <v>3756</v>
      </c>
      <c r="R234" s="285"/>
    </row>
    <row r="235" spans="1:18">
      <c r="A235" t="s">
        <v>1577</v>
      </c>
      <c r="C235" t="s">
        <v>3702</v>
      </c>
      <c r="D235">
        <v>1.7426999999999999</v>
      </c>
      <c r="E235">
        <v>10.202400000000001</v>
      </c>
      <c r="F235">
        <v>0.23849999999999999</v>
      </c>
      <c r="G235" s="284">
        <f t="shared" si="27"/>
        <v>10.440900000000001</v>
      </c>
      <c r="H235" s="284">
        <v>10.2186</v>
      </c>
      <c r="I235" s="284">
        <f>G235-H235</f>
        <v>0.22230000000000061</v>
      </c>
      <c r="J235" s="283">
        <f t="shared" si="28"/>
        <v>1.6199999999999382E-2</v>
      </c>
      <c r="K235" s="285">
        <f t="shared" si="29"/>
        <v>6.7924528301884193</v>
      </c>
      <c r="L235">
        <v>11</v>
      </c>
      <c r="M235" s="286">
        <v>43361</v>
      </c>
      <c r="N235" s="286">
        <v>43362</v>
      </c>
      <c r="O235" s="283" t="s">
        <v>3730</v>
      </c>
      <c r="R235" s="285"/>
    </row>
    <row r="236" spans="1:18">
      <c r="A236" t="s">
        <v>2002</v>
      </c>
      <c r="C236" t="s">
        <v>3423</v>
      </c>
      <c r="D236">
        <v>0.65239999999999998</v>
      </c>
      <c r="E236">
        <v>10.076499999999999</v>
      </c>
      <c r="F236">
        <v>0.2109</v>
      </c>
      <c r="G236" s="284">
        <f t="shared" si="27"/>
        <v>10.2874</v>
      </c>
      <c r="H236" s="284">
        <v>10.1121</v>
      </c>
      <c r="I236" s="284">
        <f>G236-H236</f>
        <v>0.17530000000000001</v>
      </c>
      <c r="J236" s="283">
        <f t="shared" si="28"/>
        <v>3.5599999999999993E-2</v>
      </c>
      <c r="K236" s="285">
        <f t="shared" si="29"/>
        <v>16.880037932669509</v>
      </c>
      <c r="L236">
        <v>23</v>
      </c>
      <c r="M236">
        <v>23.101800000000001</v>
      </c>
      <c r="N236" s="16">
        <v>43397</v>
      </c>
      <c r="R236" s="285"/>
    </row>
    <row r="237" spans="1:18">
      <c r="A237" t="s">
        <v>1569</v>
      </c>
      <c r="C237" t="s">
        <v>3699</v>
      </c>
      <c r="D237">
        <v>1.6008</v>
      </c>
      <c r="E237">
        <v>11.106199999999999</v>
      </c>
      <c r="F237">
        <v>0.20130000000000001</v>
      </c>
      <c r="G237" s="284">
        <f t="shared" si="27"/>
        <v>11.307499999999999</v>
      </c>
      <c r="H237" s="284">
        <v>11.118</v>
      </c>
      <c r="I237" s="284">
        <f>(G237-H237)</f>
        <v>0.18949999999999889</v>
      </c>
      <c r="J237" s="283">
        <f t="shared" si="28"/>
        <v>1.1800000000001115E-2</v>
      </c>
      <c r="K237" s="285">
        <f t="shared" si="29"/>
        <v>5.8618976651769072</v>
      </c>
      <c r="L237">
        <v>37</v>
      </c>
      <c r="M237" s="286">
        <v>43360</v>
      </c>
      <c r="N237" s="286">
        <v>43361</v>
      </c>
      <c r="O237" s="283" t="s">
        <v>3707</v>
      </c>
      <c r="R237" s="285"/>
    </row>
    <row r="238" spans="1:18">
      <c r="A238" t="s">
        <v>1568</v>
      </c>
      <c r="C238" t="s">
        <v>3490</v>
      </c>
      <c r="D238">
        <v>1.2858000000000001</v>
      </c>
      <c r="E238">
        <v>8.0655000000000001</v>
      </c>
      <c r="F238">
        <v>0.21179999999999999</v>
      </c>
      <c r="G238" s="284">
        <f t="shared" si="27"/>
        <v>8.2773000000000003</v>
      </c>
      <c r="H238" s="284">
        <v>8.0974000000000004</v>
      </c>
      <c r="I238" s="284">
        <f>G238-H238</f>
        <v>0.17989999999999995</v>
      </c>
      <c r="J238" s="283">
        <f t="shared" si="28"/>
        <v>3.1900000000000039E-2</v>
      </c>
      <c r="K238" s="285">
        <f t="shared" si="29"/>
        <v>15.061378659112389</v>
      </c>
      <c r="L238">
        <v>4</v>
      </c>
      <c r="M238" s="16">
        <v>43399</v>
      </c>
      <c r="N238" s="16">
        <v>43400</v>
      </c>
      <c r="R238" s="285"/>
    </row>
    <row r="239" spans="1:18">
      <c r="A239" t="s">
        <v>1566</v>
      </c>
      <c r="C239" t="s">
        <v>3417</v>
      </c>
      <c r="D239">
        <v>0.49030000000000001</v>
      </c>
      <c r="E239">
        <v>8.4450000000000003</v>
      </c>
      <c r="F239">
        <v>0.21110000000000001</v>
      </c>
      <c r="G239" s="284">
        <f t="shared" si="27"/>
        <v>8.6561000000000003</v>
      </c>
      <c r="H239" s="284">
        <v>8.4809999999999999</v>
      </c>
      <c r="I239" s="284">
        <f>G239-H239</f>
        <v>0.17510000000000048</v>
      </c>
      <c r="J239" s="283">
        <f t="shared" si="28"/>
        <v>3.5999999999999532E-2</v>
      </c>
      <c r="K239" s="285">
        <f t="shared" si="29"/>
        <v>17.053529133112047</v>
      </c>
      <c r="L239">
        <v>6</v>
      </c>
      <c r="M239" s="16">
        <v>43399</v>
      </c>
      <c r="N239" s="16">
        <v>43400</v>
      </c>
      <c r="R239" s="285"/>
    </row>
    <row r="240" spans="1:18">
      <c r="A240" t="s">
        <v>1565</v>
      </c>
      <c r="B240">
        <v>218</v>
      </c>
      <c r="D240">
        <v>0.50409999999999999</v>
      </c>
      <c r="E240">
        <v>10.902200000000001</v>
      </c>
      <c r="F240">
        <v>0.2039</v>
      </c>
      <c r="G240" s="284">
        <f t="shared" si="27"/>
        <v>11.106100000000001</v>
      </c>
      <c r="H240" s="284">
        <v>10.9472</v>
      </c>
      <c r="I240" s="284">
        <f>G240-H240</f>
        <v>0.15890000000000093</v>
      </c>
      <c r="J240" s="283">
        <f t="shared" si="28"/>
        <v>4.4999999999999069E-2</v>
      </c>
      <c r="K240" s="285">
        <f t="shared" si="29"/>
        <v>22.069641981362956</v>
      </c>
      <c r="L240">
        <v>29</v>
      </c>
      <c r="M240" s="16">
        <v>43388</v>
      </c>
      <c r="N240" s="286">
        <v>43389</v>
      </c>
      <c r="O240" s="16"/>
      <c r="R240" s="285"/>
    </row>
    <row r="241" spans="1:18">
      <c r="A241" t="s">
        <v>2001</v>
      </c>
      <c r="C241" t="s">
        <v>3711</v>
      </c>
      <c r="D241">
        <v>1.7726999999999999</v>
      </c>
      <c r="E241">
        <v>8.1189999999999998</v>
      </c>
      <c r="F241">
        <v>0.20449999999999999</v>
      </c>
      <c r="G241" s="284">
        <f t="shared" si="27"/>
        <v>8.3234999999999992</v>
      </c>
      <c r="H241" s="284">
        <v>8.1290999999999993</v>
      </c>
      <c r="I241" s="284">
        <f>(G241-H241)</f>
        <v>0.19439999999999991</v>
      </c>
      <c r="J241" s="283">
        <f t="shared" si="28"/>
        <v>1.0100000000000081E-2</v>
      </c>
      <c r="K241" s="285">
        <f t="shared" si="29"/>
        <v>4.9388753056235117</v>
      </c>
      <c r="L241">
        <v>6</v>
      </c>
      <c r="M241" s="286">
        <v>43360</v>
      </c>
      <c r="N241" s="286">
        <v>43361</v>
      </c>
      <c r="O241" s="283" t="s">
        <v>3707</v>
      </c>
      <c r="R241" s="285"/>
    </row>
    <row r="242" spans="1:18">
      <c r="A242" t="s">
        <v>1560</v>
      </c>
      <c r="C242" t="s">
        <v>3764</v>
      </c>
      <c r="D242">
        <v>0.56969999999999998</v>
      </c>
      <c r="E242">
        <v>8.8620000000000001</v>
      </c>
      <c r="F242">
        <v>0.20669999999999999</v>
      </c>
      <c r="G242" s="284">
        <f t="shared" si="27"/>
        <v>9.0686999999999998</v>
      </c>
      <c r="H242" s="284">
        <v>8.9099000000000004</v>
      </c>
      <c r="I242" s="284">
        <f t="shared" ref="I242:I252" si="31">G242-H242</f>
        <v>0.15879999999999939</v>
      </c>
      <c r="J242" s="283">
        <f t="shared" si="28"/>
        <v>4.7900000000000609E-2</v>
      </c>
      <c r="K242" s="285">
        <f t="shared" si="29"/>
        <v>23.173681664247997</v>
      </c>
      <c r="L242">
        <v>41</v>
      </c>
      <c r="M242" s="286">
        <v>43374</v>
      </c>
      <c r="N242" s="286">
        <v>43375</v>
      </c>
      <c r="O242" s="283" t="s">
        <v>3730</v>
      </c>
      <c r="R242" s="285"/>
    </row>
    <row r="243" spans="1:18">
      <c r="A243" t="s">
        <v>1557</v>
      </c>
      <c r="C243" t="s">
        <v>3687</v>
      </c>
      <c r="D243">
        <v>1.7154</v>
      </c>
      <c r="E243">
        <v>7.4753999999999996</v>
      </c>
      <c r="F243">
        <v>0.23980000000000001</v>
      </c>
      <c r="G243" s="284">
        <f t="shared" si="27"/>
        <v>7.7151999999999994</v>
      </c>
      <c r="H243" s="284">
        <v>7.4907000000000004</v>
      </c>
      <c r="I243" s="284">
        <f t="shared" si="31"/>
        <v>0.22449999999999903</v>
      </c>
      <c r="J243" s="283">
        <f t="shared" si="28"/>
        <v>1.5300000000000979E-2</v>
      </c>
      <c r="K243" s="285">
        <f t="shared" si="29"/>
        <v>6.380316930776055</v>
      </c>
      <c r="L243">
        <v>37</v>
      </c>
      <c r="M243" s="16">
        <v>43381</v>
      </c>
      <c r="N243" s="16">
        <v>43382</v>
      </c>
      <c r="R243" s="285"/>
    </row>
    <row r="244" spans="1:18">
      <c r="A244" t="s">
        <v>2045</v>
      </c>
      <c r="B244">
        <v>213</v>
      </c>
      <c r="D244">
        <v>0.505</v>
      </c>
      <c r="E244">
        <v>7.8402000000000003</v>
      </c>
      <c r="F244">
        <v>0.2016</v>
      </c>
      <c r="G244" s="284">
        <f t="shared" si="27"/>
        <v>8.0418000000000003</v>
      </c>
      <c r="H244" s="284">
        <v>7.8685</v>
      </c>
      <c r="I244" s="284">
        <f t="shared" si="31"/>
        <v>0.17330000000000023</v>
      </c>
      <c r="J244" s="283">
        <f t="shared" si="28"/>
        <v>2.829999999999977E-2</v>
      </c>
      <c r="K244" s="285">
        <f t="shared" si="29"/>
        <v>14.037698412698299</v>
      </c>
      <c r="L244">
        <v>24</v>
      </c>
      <c r="M244" s="16">
        <v>43388</v>
      </c>
      <c r="N244" s="286">
        <v>43389</v>
      </c>
      <c r="O244" s="16"/>
      <c r="R244" s="285"/>
    </row>
    <row r="245" spans="1:18">
      <c r="A245" t="s">
        <v>2000</v>
      </c>
      <c r="C245" t="s">
        <v>3786</v>
      </c>
      <c r="D245">
        <v>0.68879999999999997</v>
      </c>
      <c r="E245">
        <v>9.1579999999999995</v>
      </c>
      <c r="F245">
        <v>0.20630000000000001</v>
      </c>
      <c r="G245" s="284">
        <f t="shared" si="27"/>
        <v>9.3643000000000001</v>
      </c>
      <c r="H245" s="284">
        <v>9.2218999999999998</v>
      </c>
      <c r="I245" s="284">
        <f t="shared" si="31"/>
        <v>0.1424000000000003</v>
      </c>
      <c r="J245" s="283">
        <f t="shared" si="28"/>
        <v>6.3899999999999707E-2</v>
      </c>
      <c r="K245" s="285">
        <f t="shared" si="29"/>
        <v>30.974309258361465</v>
      </c>
      <c r="L245">
        <v>2</v>
      </c>
      <c r="M245" s="16">
        <v>43399</v>
      </c>
      <c r="N245" s="16">
        <v>43400</v>
      </c>
      <c r="R245" s="285"/>
    </row>
    <row r="246" spans="1:18">
      <c r="A246" t="s">
        <v>1549</v>
      </c>
      <c r="C246" t="s">
        <v>3417</v>
      </c>
      <c r="D246">
        <v>0.60850000000000004</v>
      </c>
      <c r="E246">
        <v>9.3436000000000003</v>
      </c>
      <c r="F246">
        <v>0.23619999999999999</v>
      </c>
      <c r="G246" s="284">
        <f t="shared" si="27"/>
        <v>9.5798000000000005</v>
      </c>
      <c r="H246" s="284">
        <v>9.3923000000000005</v>
      </c>
      <c r="I246" s="284">
        <f t="shared" si="31"/>
        <v>0.1875</v>
      </c>
      <c r="J246" s="283">
        <f t="shared" si="28"/>
        <v>4.8699999999999993E-2</v>
      </c>
      <c r="K246" s="285">
        <f t="shared" si="29"/>
        <v>20.618120237087211</v>
      </c>
      <c r="L246">
        <v>41</v>
      </c>
      <c r="M246" s="16">
        <v>43399</v>
      </c>
      <c r="N246" s="16">
        <v>43400</v>
      </c>
      <c r="R246" s="285"/>
    </row>
    <row r="247" spans="1:18">
      <c r="A247" t="s">
        <v>1999</v>
      </c>
      <c r="C247" t="s">
        <v>3420</v>
      </c>
      <c r="D247">
        <v>0.62309999999999999</v>
      </c>
      <c r="E247">
        <v>9.0040999999999993</v>
      </c>
      <c r="F247">
        <v>0.21890000000000001</v>
      </c>
      <c r="G247" s="288">
        <f t="shared" si="27"/>
        <v>9.222999999999999</v>
      </c>
      <c r="H247" s="284">
        <v>9.0614000000000008</v>
      </c>
      <c r="I247" s="288">
        <f t="shared" si="31"/>
        <v>0.16159999999999819</v>
      </c>
      <c r="J247" s="283">
        <f t="shared" si="28"/>
        <v>5.7300000000001822E-2</v>
      </c>
      <c r="K247" s="285">
        <f t="shared" si="29"/>
        <v>26.176336226588315</v>
      </c>
      <c r="L247">
        <v>18</v>
      </c>
      <c r="M247" s="286">
        <v>43379</v>
      </c>
      <c r="N247" s="286">
        <v>43379</v>
      </c>
      <c r="R247" s="285"/>
    </row>
    <row r="248" spans="1:18">
      <c r="A248" t="s">
        <v>1535</v>
      </c>
      <c r="C248" t="s">
        <v>3462</v>
      </c>
      <c r="D248">
        <v>0.58069999999999999</v>
      </c>
      <c r="E248">
        <v>9.7233000000000001</v>
      </c>
      <c r="F248">
        <v>0.21629999999999999</v>
      </c>
      <c r="G248" s="284">
        <f t="shared" si="27"/>
        <v>9.9396000000000004</v>
      </c>
      <c r="H248" s="284">
        <v>9.7765000000000004</v>
      </c>
      <c r="I248" s="284">
        <f t="shared" si="31"/>
        <v>0.16310000000000002</v>
      </c>
      <c r="J248" s="283">
        <f t="shared" si="28"/>
        <v>5.319999999999997E-2</v>
      </c>
      <c r="K248" s="285">
        <f t="shared" si="29"/>
        <v>24.595469255663417</v>
      </c>
      <c r="L248">
        <v>28</v>
      </c>
      <c r="M248" s="286">
        <v>43374</v>
      </c>
      <c r="N248" s="286">
        <v>43375</v>
      </c>
      <c r="O248" s="283" t="s">
        <v>3730</v>
      </c>
      <c r="R248" s="285"/>
    </row>
    <row r="249" spans="1:18">
      <c r="A249" t="s">
        <v>1533</v>
      </c>
      <c r="C249" t="s">
        <v>3421</v>
      </c>
      <c r="D249">
        <v>0.57410000000000005</v>
      </c>
      <c r="E249">
        <v>10.744999999999999</v>
      </c>
      <c r="F249">
        <v>0.20430000000000001</v>
      </c>
      <c r="G249" s="284">
        <f t="shared" si="27"/>
        <v>10.949299999999999</v>
      </c>
      <c r="H249" s="284">
        <v>10.782299999999999</v>
      </c>
      <c r="I249" s="284">
        <f t="shared" si="31"/>
        <v>0.16699999999999982</v>
      </c>
      <c r="J249" s="283">
        <f t="shared" si="28"/>
        <v>3.7300000000000194E-2</v>
      </c>
      <c r="K249" s="285">
        <f t="shared" si="29"/>
        <v>18.257464512971215</v>
      </c>
      <c r="L249">
        <v>39</v>
      </c>
      <c r="M249" s="286">
        <v>43374</v>
      </c>
      <c r="N249" s="286">
        <v>43375</v>
      </c>
      <c r="O249" s="283" t="s">
        <v>3730</v>
      </c>
      <c r="R249" s="285"/>
    </row>
    <row r="250" spans="1:18">
      <c r="A250" t="s">
        <v>1519</v>
      </c>
      <c r="C250" t="s">
        <v>3697</v>
      </c>
      <c r="D250">
        <v>1.7277</v>
      </c>
      <c r="E250">
        <v>8.9566999999999997</v>
      </c>
      <c r="F250">
        <v>0.2011</v>
      </c>
      <c r="G250" s="284">
        <f t="shared" si="27"/>
        <v>9.1577999999999999</v>
      </c>
      <c r="H250" s="284">
        <v>8.9712999999999994</v>
      </c>
      <c r="I250" s="284">
        <f t="shared" si="31"/>
        <v>0.18650000000000055</v>
      </c>
      <c r="J250" s="283">
        <f t="shared" si="28"/>
        <v>1.4599999999999447E-2</v>
      </c>
      <c r="K250" s="285">
        <f t="shared" si="29"/>
        <v>7.2600696171056427</v>
      </c>
      <c r="L250">
        <v>5</v>
      </c>
      <c r="M250" s="286">
        <v>43361</v>
      </c>
      <c r="N250" s="286">
        <v>43362</v>
      </c>
      <c r="O250" s="283" t="s">
        <v>3730</v>
      </c>
      <c r="R250" s="285"/>
    </row>
    <row r="251" spans="1:18">
      <c r="A251" t="s">
        <v>1995</v>
      </c>
      <c r="B251">
        <v>205</v>
      </c>
      <c r="C251" t="s">
        <v>2504</v>
      </c>
      <c r="D251">
        <v>0.68079999999999996</v>
      </c>
      <c r="E251">
        <v>10.745200000000001</v>
      </c>
      <c r="F251">
        <v>0.2056</v>
      </c>
      <c r="G251">
        <f t="shared" si="27"/>
        <v>10.950800000000001</v>
      </c>
      <c r="H251">
        <v>10.784800000000001</v>
      </c>
      <c r="I251" s="284">
        <f t="shared" si="31"/>
        <v>0.16600000000000037</v>
      </c>
      <c r="J251" s="283">
        <f t="shared" si="28"/>
        <v>3.9599999999999635E-2</v>
      </c>
      <c r="K251" s="285">
        <f t="shared" si="29"/>
        <v>19.260700389104883</v>
      </c>
      <c r="L251">
        <v>2</v>
      </c>
      <c r="M251" s="16">
        <v>43402</v>
      </c>
      <c r="N251" s="16">
        <v>43403</v>
      </c>
      <c r="R251" s="285"/>
    </row>
    <row r="252" spans="1:18">
      <c r="A252" t="s">
        <v>1495</v>
      </c>
      <c r="C252" t="s">
        <v>3745</v>
      </c>
      <c r="D252">
        <v>1.8042</v>
      </c>
      <c r="E252">
        <v>7.5289000000000001</v>
      </c>
      <c r="F252">
        <v>0.2198</v>
      </c>
      <c r="G252" s="288">
        <f t="shared" si="27"/>
        <v>7.7487000000000004</v>
      </c>
      <c r="H252" s="284">
        <v>7.5422000000000002</v>
      </c>
      <c r="I252" s="288">
        <f t="shared" si="31"/>
        <v>0.20650000000000013</v>
      </c>
      <c r="J252" s="283">
        <f t="shared" si="28"/>
        <v>1.3299999999999867E-2</v>
      </c>
      <c r="K252" s="285">
        <f t="shared" si="29"/>
        <v>6.0509554140126784</v>
      </c>
      <c r="L252">
        <v>10</v>
      </c>
      <c r="M252" s="286">
        <v>43379</v>
      </c>
      <c r="N252" s="286">
        <v>43379</v>
      </c>
      <c r="O252" s="283"/>
      <c r="R252" s="285"/>
    </row>
    <row r="253" spans="1:18">
      <c r="A253" t="s">
        <v>1492</v>
      </c>
      <c r="C253" t="s">
        <v>3658</v>
      </c>
      <c r="D253">
        <v>1.7853000000000001</v>
      </c>
      <c r="E253">
        <v>7.8596000000000004</v>
      </c>
      <c r="F253">
        <v>0.20349999999999999</v>
      </c>
      <c r="G253" s="284">
        <f t="shared" si="27"/>
        <v>8.0631000000000004</v>
      </c>
      <c r="H253" s="284">
        <v>7.8711000000000002</v>
      </c>
      <c r="I253" s="284">
        <f>(G253-H253)</f>
        <v>0.19200000000000017</v>
      </c>
      <c r="J253" s="283">
        <f t="shared" si="28"/>
        <v>1.1499999999999816E-2</v>
      </c>
      <c r="K253" s="285">
        <f t="shared" si="29"/>
        <v>5.6511056511055608</v>
      </c>
      <c r="L253">
        <v>29</v>
      </c>
      <c r="M253" s="16">
        <v>43358</v>
      </c>
      <c r="N253" s="16">
        <v>43358</v>
      </c>
      <c r="R253" s="285"/>
    </row>
    <row r="254" spans="1:18">
      <c r="A254" t="s">
        <v>1994</v>
      </c>
      <c r="B254">
        <v>211</v>
      </c>
      <c r="C254" t="s">
        <v>2504</v>
      </c>
      <c r="D254">
        <v>0.54649999999999999</v>
      </c>
      <c r="E254">
        <v>10.1091</v>
      </c>
      <c r="F254">
        <v>0.2122</v>
      </c>
      <c r="G254">
        <f t="shared" si="27"/>
        <v>10.321299999999999</v>
      </c>
      <c r="H254">
        <v>10.152200000000001</v>
      </c>
      <c r="I254" s="284">
        <f t="shared" ref="I254:I265" si="32">G254-H254</f>
        <v>0.16909999999999847</v>
      </c>
      <c r="J254" s="283">
        <f t="shared" si="28"/>
        <v>4.3100000000001526E-2</v>
      </c>
      <c r="K254" s="285">
        <f t="shared" si="29"/>
        <v>20.311027332705713</v>
      </c>
      <c r="L254">
        <v>3</v>
      </c>
      <c r="M254" s="16">
        <v>43402</v>
      </c>
      <c r="N254" s="16">
        <v>43403</v>
      </c>
      <c r="R254" s="285"/>
    </row>
    <row r="255" spans="1:18">
      <c r="A255" t="s">
        <v>1488</v>
      </c>
      <c r="C255" t="s">
        <v>3771</v>
      </c>
      <c r="D255">
        <v>1.7042999999999999</v>
      </c>
      <c r="E255">
        <v>7.1909999999999998</v>
      </c>
      <c r="F255">
        <v>0.20380000000000001</v>
      </c>
      <c r="G255" s="284">
        <f t="shared" si="27"/>
        <v>7.3948</v>
      </c>
      <c r="H255" s="284">
        <v>7.2035</v>
      </c>
      <c r="I255" s="284">
        <f t="shared" si="32"/>
        <v>0.19130000000000003</v>
      </c>
      <c r="J255" s="283">
        <f t="shared" si="28"/>
        <v>1.2499999999999983E-2</v>
      </c>
      <c r="K255" s="285">
        <f t="shared" si="29"/>
        <v>6.1334641805691774</v>
      </c>
      <c r="L255">
        <v>33</v>
      </c>
      <c r="M255">
        <v>23.101800000000001</v>
      </c>
      <c r="N255" s="16">
        <v>43397</v>
      </c>
      <c r="R255" s="285"/>
    </row>
    <row r="256" spans="1:18">
      <c r="A256" t="s">
        <v>1481</v>
      </c>
      <c r="D256">
        <v>0.61140000000000005</v>
      </c>
      <c r="E256">
        <v>11.108000000000001</v>
      </c>
      <c r="F256">
        <v>0.22140000000000001</v>
      </c>
      <c r="G256" s="288">
        <f t="shared" si="27"/>
        <v>11.3294</v>
      </c>
      <c r="H256" s="284">
        <v>11.140599999999999</v>
      </c>
      <c r="I256" s="288">
        <f t="shared" si="32"/>
        <v>0.18880000000000052</v>
      </c>
      <c r="J256" s="283">
        <f t="shared" si="28"/>
        <v>3.259999999999949E-2</v>
      </c>
      <c r="K256" s="285">
        <f t="shared" si="29"/>
        <v>14.724480578138884</v>
      </c>
      <c r="L256">
        <v>15</v>
      </c>
      <c r="M256" s="286">
        <v>43379</v>
      </c>
      <c r="N256" s="286">
        <v>43379</v>
      </c>
      <c r="O256" s="283"/>
      <c r="P256" t="s">
        <v>3772</v>
      </c>
      <c r="R256" s="285"/>
    </row>
    <row r="257" spans="1:18">
      <c r="A257" t="s">
        <v>1993</v>
      </c>
      <c r="C257" t="s">
        <v>3684</v>
      </c>
      <c r="D257">
        <v>0.8054</v>
      </c>
      <c r="E257">
        <v>20.933599999999998</v>
      </c>
      <c r="F257">
        <v>0.223</v>
      </c>
      <c r="G257" s="284">
        <f t="shared" si="27"/>
        <v>21.156599999999997</v>
      </c>
      <c r="H257" s="284">
        <v>20.988099999999999</v>
      </c>
      <c r="I257" s="284">
        <f t="shared" si="32"/>
        <v>0.1684999999999981</v>
      </c>
      <c r="J257" s="283">
        <f t="shared" si="28"/>
        <v>5.4500000000001908E-2</v>
      </c>
      <c r="K257" s="285">
        <f t="shared" si="29"/>
        <v>24.439461883408928</v>
      </c>
      <c r="L257">
        <v>2</v>
      </c>
      <c r="M257" s="286">
        <v>43362</v>
      </c>
      <c r="N257" s="286">
        <v>43363</v>
      </c>
      <c r="O257" s="283"/>
      <c r="R257" s="285"/>
    </row>
    <row r="258" spans="1:18">
      <c r="A258" t="s">
        <v>1480</v>
      </c>
      <c r="C258" t="s">
        <v>3748</v>
      </c>
      <c r="D258">
        <v>1.7245999999999999</v>
      </c>
      <c r="E258">
        <v>11.088800000000001</v>
      </c>
      <c r="F258">
        <v>0.2009</v>
      </c>
      <c r="G258" s="288">
        <f t="shared" si="27"/>
        <v>11.289700000000002</v>
      </c>
      <c r="H258" s="284">
        <v>11.1007</v>
      </c>
      <c r="I258" s="288">
        <f t="shared" si="32"/>
        <v>0.18900000000000183</v>
      </c>
      <c r="J258" s="283">
        <f t="shared" si="28"/>
        <v>1.1899999999998162E-2</v>
      </c>
      <c r="K258" s="285">
        <f t="shared" si="29"/>
        <v>5.923344947734277</v>
      </c>
      <c r="L258">
        <v>2</v>
      </c>
      <c r="M258" s="286">
        <v>43379</v>
      </c>
      <c r="N258" s="286">
        <v>43379</v>
      </c>
      <c r="O258" s="283"/>
      <c r="R258" s="285"/>
    </row>
    <row r="259" spans="1:18">
      <c r="A259" t="s">
        <v>1992</v>
      </c>
      <c r="C259" t="s">
        <v>3745</v>
      </c>
      <c r="D259">
        <v>1.5825</v>
      </c>
      <c r="E259">
        <v>7.3552</v>
      </c>
      <c r="F259">
        <v>0.2341</v>
      </c>
      <c r="G259" s="284">
        <f t="shared" si="27"/>
        <v>7.5892999999999997</v>
      </c>
      <c r="H259" s="284">
        <v>7.3685999999999998</v>
      </c>
      <c r="I259" s="284">
        <f t="shared" si="32"/>
        <v>0.2206999999999999</v>
      </c>
      <c r="J259" s="283">
        <f t="shared" si="28"/>
        <v>1.3400000000000106E-2</v>
      </c>
      <c r="K259" s="285">
        <f t="shared" si="29"/>
        <v>5.724049551473775</v>
      </c>
      <c r="L259">
        <v>28</v>
      </c>
      <c r="M259" s="286">
        <v>43362</v>
      </c>
      <c r="N259" s="286">
        <v>43363</v>
      </c>
      <c r="R259" s="285"/>
    </row>
    <row r="260" spans="1:18">
      <c r="A260" t="s">
        <v>1470</v>
      </c>
      <c r="C260" t="s">
        <v>3425</v>
      </c>
      <c r="D260">
        <v>0.65110000000000001</v>
      </c>
      <c r="E260">
        <v>11.033799999999999</v>
      </c>
      <c r="F260">
        <v>0.2011</v>
      </c>
      <c r="G260" s="284">
        <f t="shared" si="27"/>
        <v>11.2349</v>
      </c>
      <c r="H260" s="284">
        <v>11.073</v>
      </c>
      <c r="I260" s="284">
        <f t="shared" si="32"/>
        <v>0.16189999999999927</v>
      </c>
      <c r="J260" s="283">
        <f t="shared" si="28"/>
        <v>3.9200000000000734E-2</v>
      </c>
      <c r="K260" s="285">
        <f t="shared" si="29"/>
        <v>19.492789656887485</v>
      </c>
      <c r="L260">
        <v>13</v>
      </c>
      <c r="M260" s="16">
        <v>43381</v>
      </c>
      <c r="N260" s="16">
        <v>43382</v>
      </c>
      <c r="R260" s="285"/>
    </row>
    <row r="261" spans="1:18">
      <c r="A261" t="s">
        <v>1991</v>
      </c>
      <c r="C261" t="s">
        <v>3456</v>
      </c>
      <c r="D261">
        <v>0.75880000000000003</v>
      </c>
      <c r="E261">
        <v>18.046299999999999</v>
      </c>
      <c r="F261">
        <v>0.2213</v>
      </c>
      <c r="G261" s="284">
        <f t="shared" si="27"/>
        <v>18.267599999999998</v>
      </c>
      <c r="H261" s="284">
        <v>18.1233</v>
      </c>
      <c r="I261" s="284">
        <f t="shared" si="32"/>
        <v>0.14429999999999765</v>
      </c>
      <c r="J261" s="283">
        <f t="shared" si="28"/>
        <v>7.7000000000002344E-2</v>
      </c>
      <c r="K261" s="285">
        <f t="shared" si="29"/>
        <v>34.794396746499032</v>
      </c>
      <c r="L261">
        <v>9</v>
      </c>
      <c r="M261" s="286">
        <v>43362</v>
      </c>
      <c r="N261" s="286">
        <v>43363</v>
      </c>
      <c r="O261" s="283"/>
      <c r="R261" s="285"/>
    </row>
    <row r="262" spans="1:18">
      <c r="A262" t="s">
        <v>1454</v>
      </c>
      <c r="C262" t="s">
        <v>3731</v>
      </c>
      <c r="D262">
        <v>1.7161</v>
      </c>
      <c r="E262">
        <v>9.1399000000000008</v>
      </c>
      <c r="F262">
        <v>0.23899999999999999</v>
      </c>
      <c r="G262" s="284">
        <f t="shared" si="27"/>
        <v>9.3789000000000016</v>
      </c>
      <c r="H262" s="284">
        <v>9.1523000000000003</v>
      </c>
      <c r="I262" s="284">
        <f t="shared" si="32"/>
        <v>0.22660000000000124</v>
      </c>
      <c r="J262" s="283">
        <f t="shared" si="28"/>
        <v>1.2399999999998745E-2</v>
      </c>
      <c r="K262" s="285">
        <f t="shared" si="29"/>
        <v>5.1882845188279267</v>
      </c>
      <c r="L262">
        <v>35</v>
      </c>
      <c r="M262" s="286">
        <v>43363</v>
      </c>
      <c r="N262" s="286">
        <v>43364</v>
      </c>
      <c r="O262" s="283" t="s">
        <v>3756</v>
      </c>
      <c r="R262" s="285"/>
    </row>
    <row r="263" spans="1:18">
      <c r="A263" t="s">
        <v>1452</v>
      </c>
      <c r="C263" t="s">
        <v>3680</v>
      </c>
      <c r="D263">
        <v>1.7318</v>
      </c>
      <c r="E263">
        <v>10.417299999999999</v>
      </c>
      <c r="F263">
        <v>0.2021</v>
      </c>
      <c r="G263">
        <f t="shared" si="27"/>
        <v>10.619399999999999</v>
      </c>
      <c r="H263">
        <v>10.4297</v>
      </c>
      <c r="I263" s="284">
        <f t="shared" si="32"/>
        <v>0.18969999999999843</v>
      </c>
      <c r="J263" s="283">
        <f t="shared" si="28"/>
        <v>1.2400000000001576E-2</v>
      </c>
      <c r="K263" s="285">
        <f t="shared" si="29"/>
        <v>6.1355764473040955</v>
      </c>
      <c r="L263">
        <v>30</v>
      </c>
      <c r="M263" s="16">
        <v>43399</v>
      </c>
      <c r="N263" s="16">
        <v>43400</v>
      </c>
      <c r="R263" s="285"/>
    </row>
    <row r="264" spans="1:18">
      <c r="A264" t="s">
        <v>2044</v>
      </c>
      <c r="C264" t="s">
        <v>3684</v>
      </c>
      <c r="D264">
        <v>0.93340000000000001</v>
      </c>
      <c r="E264">
        <v>20.778600000000001</v>
      </c>
      <c r="F264">
        <v>0.20899999999999999</v>
      </c>
      <c r="G264" s="284">
        <f t="shared" si="27"/>
        <v>20.9876</v>
      </c>
      <c r="H264" s="284">
        <v>20.829000000000001</v>
      </c>
      <c r="I264" s="284">
        <f t="shared" si="32"/>
        <v>0.15859999999999985</v>
      </c>
      <c r="J264" s="283">
        <f t="shared" si="28"/>
        <v>5.0400000000000139E-2</v>
      </c>
      <c r="K264" s="285">
        <f t="shared" si="29"/>
        <v>24.114832535885235</v>
      </c>
      <c r="L264">
        <v>35</v>
      </c>
      <c r="M264" s="286">
        <v>43361</v>
      </c>
      <c r="N264" s="286">
        <v>43362</v>
      </c>
      <c r="O264" s="283" t="s">
        <v>3730</v>
      </c>
      <c r="R264" s="285"/>
    </row>
    <row r="265" spans="1:18">
      <c r="A265" t="s">
        <v>1990</v>
      </c>
      <c r="C265" t="s">
        <v>3690</v>
      </c>
      <c r="D265">
        <v>1.8058000000000001</v>
      </c>
      <c r="E265">
        <v>10.703200000000001</v>
      </c>
      <c r="F265">
        <v>0.2349</v>
      </c>
      <c r="G265" s="284">
        <f t="shared" si="27"/>
        <v>10.9381</v>
      </c>
      <c r="H265" s="284">
        <v>10.717000000000001</v>
      </c>
      <c r="I265" s="284">
        <f t="shared" si="32"/>
        <v>0.22109999999999985</v>
      </c>
      <c r="J265" s="283">
        <f t="shared" si="28"/>
        <v>1.3800000000000145E-2</v>
      </c>
      <c r="K265" s="285">
        <f t="shared" si="29"/>
        <v>5.8748403575990409</v>
      </c>
      <c r="L265">
        <v>2</v>
      </c>
      <c r="M265" s="286">
        <v>43361</v>
      </c>
      <c r="N265" s="286">
        <v>43362</v>
      </c>
      <c r="O265" s="283" t="s">
        <v>3730</v>
      </c>
      <c r="R265" s="285"/>
    </row>
    <row r="266" spans="1:18">
      <c r="A266" t="s">
        <v>1449</v>
      </c>
      <c r="C266" t="s">
        <v>3674</v>
      </c>
      <c r="D266">
        <v>1.6801999999999999</v>
      </c>
      <c r="E266">
        <v>7.4805000000000001</v>
      </c>
      <c r="F266">
        <v>0.2039</v>
      </c>
      <c r="G266" s="284">
        <f t="shared" si="27"/>
        <v>7.6844000000000001</v>
      </c>
      <c r="H266" s="284">
        <v>7.4927000000000001</v>
      </c>
      <c r="I266" s="284">
        <f>(G266-H266)</f>
        <v>0.19169999999999998</v>
      </c>
      <c r="J266" s="283">
        <f t="shared" si="28"/>
        <v>1.2200000000000016E-2</v>
      </c>
      <c r="K266" s="285">
        <f t="shared" si="29"/>
        <v>5.9833251593918666</v>
      </c>
      <c r="L266">
        <v>20</v>
      </c>
      <c r="M266" s="16">
        <v>43358</v>
      </c>
      <c r="N266" s="16">
        <v>43358</v>
      </c>
      <c r="R266" s="285"/>
    </row>
    <row r="267" spans="1:18">
      <c r="A267" t="s">
        <v>1989</v>
      </c>
      <c r="C267" t="s">
        <v>3742</v>
      </c>
      <c r="D267">
        <v>1.3340000000000001</v>
      </c>
      <c r="E267">
        <v>11.7486</v>
      </c>
      <c r="F267">
        <v>0.21340000000000001</v>
      </c>
      <c r="G267" s="284">
        <f t="shared" si="27"/>
        <v>11.962</v>
      </c>
      <c r="H267" s="284">
        <v>11.763299999999999</v>
      </c>
      <c r="I267" s="284">
        <f t="shared" ref="I267:I281" si="33">G267-H267</f>
        <v>0.19870000000000054</v>
      </c>
      <c r="J267" s="283">
        <f t="shared" si="28"/>
        <v>1.4699999999999463E-2</v>
      </c>
      <c r="K267" s="285">
        <f t="shared" si="29"/>
        <v>6.888472352389627</v>
      </c>
      <c r="L267">
        <v>11</v>
      </c>
      <c r="M267" s="16">
        <v>43381</v>
      </c>
      <c r="N267" s="16">
        <v>43382</v>
      </c>
      <c r="R267" s="285"/>
    </row>
    <row r="268" spans="1:18">
      <c r="A268" t="s">
        <v>1439</v>
      </c>
      <c r="D268">
        <v>0.72619999999999996</v>
      </c>
      <c r="E268">
        <v>9.8224</v>
      </c>
      <c r="F268">
        <v>0.2034</v>
      </c>
      <c r="G268">
        <f t="shared" si="27"/>
        <v>10.0258</v>
      </c>
      <c r="H268">
        <v>9.8557000000000006</v>
      </c>
      <c r="I268" s="284">
        <f t="shared" si="33"/>
        <v>0.1700999999999997</v>
      </c>
      <c r="J268" s="283">
        <f t="shared" si="28"/>
        <v>3.3300000000000302E-2</v>
      </c>
      <c r="K268" s="285">
        <f t="shared" si="29"/>
        <v>16.371681415929352</v>
      </c>
      <c r="L268">
        <v>22</v>
      </c>
      <c r="M268" s="16">
        <v>43399</v>
      </c>
      <c r="N268" s="16">
        <v>43400</v>
      </c>
      <c r="R268" s="285"/>
    </row>
    <row r="269" spans="1:18">
      <c r="A269" t="s">
        <v>1438</v>
      </c>
      <c r="C269" t="s">
        <v>3461</v>
      </c>
      <c r="D269">
        <v>0.61880000000000002</v>
      </c>
      <c r="E269">
        <v>20.883600000000001</v>
      </c>
      <c r="F269">
        <v>0.22420000000000001</v>
      </c>
      <c r="G269" s="284">
        <f t="shared" si="27"/>
        <v>21.107800000000001</v>
      </c>
      <c r="H269" s="284">
        <v>20.948399999999999</v>
      </c>
      <c r="I269" s="284">
        <f t="shared" si="33"/>
        <v>0.15940000000000154</v>
      </c>
      <c r="J269" s="283">
        <f t="shared" si="28"/>
        <v>6.479999999999847E-2</v>
      </c>
      <c r="K269" s="285">
        <f t="shared" si="29"/>
        <v>28.902765388045704</v>
      </c>
      <c r="L269">
        <v>4</v>
      </c>
      <c r="M269" s="286">
        <v>43362</v>
      </c>
      <c r="N269" s="286">
        <v>43363</v>
      </c>
      <c r="O269" s="283"/>
      <c r="R269" s="285"/>
    </row>
    <row r="270" spans="1:18">
      <c r="A270" t="s">
        <v>1431</v>
      </c>
      <c r="C270" t="s">
        <v>3492</v>
      </c>
      <c r="D270">
        <v>1.2075</v>
      </c>
      <c r="E270">
        <v>11.0564</v>
      </c>
      <c r="F270">
        <v>0.23069999999999999</v>
      </c>
      <c r="G270" s="284">
        <f t="shared" si="27"/>
        <v>11.287100000000001</v>
      </c>
      <c r="H270" s="284">
        <v>11.0746</v>
      </c>
      <c r="I270" s="284">
        <f t="shared" si="33"/>
        <v>0.21250000000000036</v>
      </c>
      <c r="J270" s="283">
        <f t="shared" si="28"/>
        <v>1.8199999999999633E-2</v>
      </c>
      <c r="K270" s="285">
        <f t="shared" si="29"/>
        <v>7.889033376679512</v>
      </c>
      <c r="L270">
        <v>15</v>
      </c>
      <c r="M270" s="286">
        <v>43363</v>
      </c>
      <c r="N270" s="286">
        <v>43364</v>
      </c>
      <c r="O270" s="283" t="s">
        <v>3756</v>
      </c>
      <c r="R270" s="285"/>
    </row>
    <row r="271" spans="1:18">
      <c r="A271" t="s">
        <v>1988</v>
      </c>
      <c r="C271" t="s">
        <v>3759</v>
      </c>
      <c r="D271">
        <v>0.87570000000000003</v>
      </c>
      <c r="E271">
        <v>10.567500000000001</v>
      </c>
      <c r="F271">
        <v>0.2147</v>
      </c>
      <c r="G271" s="284">
        <f t="shared" si="27"/>
        <v>10.782200000000001</v>
      </c>
      <c r="H271" s="284">
        <v>10.6075</v>
      </c>
      <c r="I271" s="284">
        <f t="shared" si="33"/>
        <v>0.17470000000000141</v>
      </c>
      <c r="J271" s="283">
        <f t="shared" si="28"/>
        <v>3.9999999999998592E-2</v>
      </c>
      <c r="K271" s="285">
        <f t="shared" si="29"/>
        <v>18.630647414997014</v>
      </c>
      <c r="L271">
        <v>17</v>
      </c>
      <c r="M271" s="286">
        <v>43363</v>
      </c>
      <c r="N271" s="286">
        <v>43364</v>
      </c>
      <c r="O271" s="283" t="s">
        <v>3756</v>
      </c>
      <c r="R271" s="285"/>
    </row>
    <row r="272" spans="1:18">
      <c r="A272" t="s">
        <v>1426</v>
      </c>
      <c r="C272" t="s">
        <v>3462</v>
      </c>
      <c r="D272">
        <v>0.75309999999999999</v>
      </c>
      <c r="E272">
        <v>7.9949000000000003</v>
      </c>
      <c r="F272">
        <v>0.2041</v>
      </c>
      <c r="G272" s="284">
        <f t="shared" si="27"/>
        <v>8.1989999999999998</v>
      </c>
      <c r="H272" s="284">
        <v>8.0541999999999998</v>
      </c>
      <c r="I272" s="284">
        <f t="shared" si="33"/>
        <v>0.14480000000000004</v>
      </c>
      <c r="J272" s="283">
        <f t="shared" si="28"/>
        <v>5.9299999999999964E-2</v>
      </c>
      <c r="K272" s="285">
        <f t="shared" si="29"/>
        <v>29.054385105340501</v>
      </c>
      <c r="L272">
        <v>25</v>
      </c>
      <c r="M272" s="286">
        <v>43362</v>
      </c>
      <c r="N272" s="286">
        <v>43363</v>
      </c>
      <c r="R272" s="285"/>
    </row>
    <row r="273" spans="1:18">
      <c r="A273" t="s">
        <v>1425</v>
      </c>
      <c r="C273" t="s">
        <v>3718</v>
      </c>
      <c r="D273">
        <v>1.6726000000000001</v>
      </c>
      <c r="E273">
        <v>7.774</v>
      </c>
      <c r="F273">
        <v>0.24510000000000001</v>
      </c>
      <c r="G273" s="284">
        <f t="shared" si="27"/>
        <v>8.0190999999999999</v>
      </c>
      <c r="H273" s="284">
        <v>7.7984999999999998</v>
      </c>
      <c r="I273" s="284">
        <f t="shared" si="33"/>
        <v>0.22060000000000013</v>
      </c>
      <c r="J273" s="283">
        <f t="shared" si="28"/>
        <v>2.4499999999999883E-2</v>
      </c>
      <c r="K273" s="285">
        <f t="shared" si="29"/>
        <v>9.99592003263969</v>
      </c>
      <c r="L273">
        <v>15</v>
      </c>
      <c r="M273" s="286">
        <v>43361</v>
      </c>
      <c r="N273" s="286">
        <v>43362</v>
      </c>
      <c r="O273" s="283" t="s">
        <v>3730</v>
      </c>
      <c r="R273" s="285"/>
    </row>
    <row r="274" spans="1:18">
      <c r="A274" t="s">
        <v>1421</v>
      </c>
      <c r="C274" t="s">
        <v>3711</v>
      </c>
      <c r="D274">
        <v>1.6720999999999999</v>
      </c>
      <c r="E274">
        <v>9.1577999999999999</v>
      </c>
      <c r="F274">
        <v>0.20069999999999999</v>
      </c>
      <c r="G274" s="284">
        <f t="shared" si="27"/>
        <v>9.3584999999999994</v>
      </c>
      <c r="H274" s="284">
        <v>9.1692</v>
      </c>
      <c r="I274" s="284">
        <f t="shared" si="33"/>
        <v>0.18929999999999936</v>
      </c>
      <c r="J274" s="283">
        <f t="shared" si="28"/>
        <v>1.1400000000000632E-2</v>
      </c>
      <c r="K274" s="285">
        <f t="shared" si="29"/>
        <v>5.6801195814651884</v>
      </c>
      <c r="L274">
        <v>35</v>
      </c>
      <c r="M274" s="16">
        <v>43395</v>
      </c>
      <c r="N274" s="16">
        <v>43396</v>
      </c>
      <c r="R274" s="285"/>
    </row>
    <row r="275" spans="1:18">
      <c r="A275" t="s">
        <v>1987</v>
      </c>
      <c r="C275" t="s">
        <v>3691</v>
      </c>
      <c r="D275">
        <v>1.6745000000000001</v>
      </c>
      <c r="E275">
        <v>9.2224000000000004</v>
      </c>
      <c r="F275">
        <v>0.20580000000000001</v>
      </c>
      <c r="G275" s="284">
        <f t="shared" si="27"/>
        <v>9.4282000000000004</v>
      </c>
      <c r="H275" s="284">
        <v>9.2340999999999998</v>
      </c>
      <c r="I275" s="284">
        <f t="shared" si="33"/>
        <v>0.19410000000000061</v>
      </c>
      <c r="J275" s="283">
        <f t="shared" si="28"/>
        <v>1.1699999999999405E-2</v>
      </c>
      <c r="K275" s="285">
        <f t="shared" si="29"/>
        <v>5.6851311953349883</v>
      </c>
      <c r="L275">
        <v>15</v>
      </c>
      <c r="M275" s="16">
        <v>43388</v>
      </c>
      <c r="N275" s="286">
        <v>43389</v>
      </c>
      <c r="O275" s="286"/>
      <c r="P275" s="283"/>
      <c r="R275" s="285"/>
    </row>
    <row r="276" spans="1:18">
      <c r="A276" t="s">
        <v>1420</v>
      </c>
      <c r="C276" t="s">
        <v>3774</v>
      </c>
      <c r="D276">
        <v>1.7069000000000001</v>
      </c>
      <c r="E276">
        <v>8.3559000000000001</v>
      </c>
      <c r="F276">
        <v>0.2054</v>
      </c>
      <c r="G276" s="288">
        <f t="shared" si="27"/>
        <v>8.5612999999999992</v>
      </c>
      <c r="H276" s="284">
        <v>8.3684999999999992</v>
      </c>
      <c r="I276" s="288">
        <f t="shared" si="33"/>
        <v>0.19280000000000008</v>
      </c>
      <c r="J276" s="283">
        <f t="shared" si="28"/>
        <v>1.2599999999999917E-2</v>
      </c>
      <c r="K276" s="285">
        <f t="shared" si="29"/>
        <v>6.134371957156727</v>
      </c>
      <c r="L276">
        <v>32</v>
      </c>
      <c r="M276" s="286">
        <v>43379</v>
      </c>
      <c r="N276" s="286">
        <v>43379</v>
      </c>
      <c r="R276" s="285"/>
    </row>
    <row r="277" spans="1:18">
      <c r="A277" t="s">
        <v>1986</v>
      </c>
      <c r="C277" t="s">
        <v>3433</v>
      </c>
      <c r="D277">
        <v>0.66769999999999996</v>
      </c>
      <c r="E277">
        <v>8.0965000000000007</v>
      </c>
      <c r="F277">
        <v>0.2132</v>
      </c>
      <c r="G277" s="284">
        <f t="shared" ref="G277:G340" si="34">E277+F277</f>
        <v>8.3097000000000012</v>
      </c>
      <c r="H277" s="284">
        <v>8.1460000000000008</v>
      </c>
      <c r="I277" s="284">
        <f t="shared" si="33"/>
        <v>0.1637000000000004</v>
      </c>
      <c r="J277" s="283">
        <f t="shared" si="28"/>
        <v>4.94999999999996E-2</v>
      </c>
      <c r="K277" s="285">
        <f t="shared" si="29"/>
        <v>23.217636022513883</v>
      </c>
      <c r="L277">
        <v>18</v>
      </c>
      <c r="M277" s="16">
        <v>43399</v>
      </c>
      <c r="N277" s="16">
        <v>43400</v>
      </c>
      <c r="R277" s="285"/>
    </row>
    <row r="278" spans="1:18">
      <c r="A278" t="s">
        <v>1404</v>
      </c>
      <c r="C278" t="s">
        <v>3700</v>
      </c>
      <c r="D278">
        <v>1.7404999999999999</v>
      </c>
      <c r="E278">
        <v>20.760899999999999</v>
      </c>
      <c r="F278">
        <v>0.2054</v>
      </c>
      <c r="G278" s="284">
        <f t="shared" si="34"/>
        <v>20.9663</v>
      </c>
      <c r="H278" s="284">
        <v>20.774799999999999</v>
      </c>
      <c r="I278" s="284">
        <f t="shared" si="33"/>
        <v>0.19150000000000134</v>
      </c>
      <c r="J278" s="283">
        <f t="shared" si="28"/>
        <v>1.3899999999998663E-2</v>
      </c>
      <c r="K278" s="285">
        <f t="shared" si="29"/>
        <v>6.7672833495611799</v>
      </c>
      <c r="L278">
        <v>31</v>
      </c>
      <c r="M278" s="286">
        <v>43361</v>
      </c>
      <c r="N278" s="286">
        <v>43362</v>
      </c>
      <c r="O278" s="283" t="s">
        <v>3730</v>
      </c>
      <c r="R278" s="285"/>
    </row>
    <row r="279" spans="1:18">
      <c r="A279" t="s">
        <v>1985</v>
      </c>
      <c r="C279" t="s">
        <v>3498</v>
      </c>
      <c r="D279">
        <v>0.88129999999999997</v>
      </c>
      <c r="E279">
        <v>10.7941</v>
      </c>
      <c r="F279">
        <v>0.20810000000000001</v>
      </c>
      <c r="G279" s="284">
        <f t="shared" si="34"/>
        <v>11.0022</v>
      </c>
      <c r="H279" s="284">
        <v>10.8285</v>
      </c>
      <c r="I279" s="284">
        <f t="shared" si="33"/>
        <v>0.17370000000000019</v>
      </c>
      <c r="J279" s="283">
        <f t="shared" si="28"/>
        <v>3.439999999999982E-2</v>
      </c>
      <c r="K279" s="285">
        <f t="shared" si="29"/>
        <v>16.530514175876895</v>
      </c>
      <c r="L279">
        <v>12</v>
      </c>
      <c r="M279" s="286">
        <v>43363</v>
      </c>
      <c r="N279" s="286">
        <v>43364</v>
      </c>
      <c r="O279" s="283"/>
      <c r="R279" s="285"/>
    </row>
    <row r="280" spans="1:18">
      <c r="A280" t="s">
        <v>1400</v>
      </c>
      <c r="C280" t="s">
        <v>3717</v>
      </c>
      <c r="D280">
        <v>0.69179999999999997</v>
      </c>
      <c r="E280">
        <v>7.0941999999999998</v>
      </c>
      <c r="F280">
        <v>0.2054</v>
      </c>
      <c r="G280" s="284">
        <f t="shared" si="34"/>
        <v>7.2995999999999999</v>
      </c>
      <c r="H280" s="284">
        <v>7.1402000000000001</v>
      </c>
      <c r="I280" s="284">
        <f t="shared" si="33"/>
        <v>0.15939999999999976</v>
      </c>
      <c r="J280" s="283">
        <f t="shared" si="28"/>
        <v>4.6000000000000235E-2</v>
      </c>
      <c r="K280" s="285">
        <f t="shared" si="29"/>
        <v>22.395326192794663</v>
      </c>
      <c r="L280">
        <v>24</v>
      </c>
      <c r="M280" s="16">
        <v>43399</v>
      </c>
      <c r="N280" s="16">
        <v>43400</v>
      </c>
      <c r="R280" s="285"/>
    </row>
    <row r="281" spans="1:18">
      <c r="A281" t="s">
        <v>1391</v>
      </c>
      <c r="C281" t="s">
        <v>3685</v>
      </c>
      <c r="D281">
        <v>1.7538</v>
      </c>
      <c r="E281">
        <v>11.0907</v>
      </c>
      <c r="F281">
        <v>0.22600000000000001</v>
      </c>
      <c r="G281" s="284">
        <f t="shared" si="34"/>
        <v>11.316700000000001</v>
      </c>
      <c r="H281" s="284">
        <v>11.103999999999999</v>
      </c>
      <c r="I281" s="284">
        <f t="shared" si="33"/>
        <v>0.21270000000000167</v>
      </c>
      <c r="J281" s="283">
        <f t="shared" si="28"/>
        <v>1.3299999999998341E-2</v>
      </c>
      <c r="K281" s="285">
        <f t="shared" si="29"/>
        <v>5.8849557522116545</v>
      </c>
      <c r="L281">
        <v>23</v>
      </c>
      <c r="M281" s="16">
        <v>43381</v>
      </c>
      <c r="N281" s="16">
        <v>43382</v>
      </c>
      <c r="R281" s="285"/>
    </row>
    <row r="282" spans="1:18">
      <c r="A282" t="s">
        <v>1984</v>
      </c>
      <c r="C282" t="s">
        <v>3702</v>
      </c>
      <c r="D282">
        <v>3.1697000000000002</v>
      </c>
      <c r="E282">
        <v>8.0473999999999997</v>
      </c>
      <c r="F282">
        <v>0.24690000000000001</v>
      </c>
      <c r="G282" s="284">
        <f t="shared" si="34"/>
        <v>8.2942999999999998</v>
      </c>
      <c r="H282" s="284">
        <v>8.2288999999999994</v>
      </c>
      <c r="I282" s="284">
        <f>(G282-H282)</f>
        <v>6.5400000000000347E-2</v>
      </c>
      <c r="J282" s="283">
        <f t="shared" si="28"/>
        <v>0.18149999999999966</v>
      </c>
      <c r="K282" s="285">
        <f t="shared" si="29"/>
        <v>73.511543134872284</v>
      </c>
      <c r="L282">
        <v>40</v>
      </c>
      <c r="M282" s="286">
        <v>43360</v>
      </c>
      <c r="N282" s="286">
        <v>43361</v>
      </c>
      <c r="R282" s="285"/>
    </row>
    <row r="283" spans="1:18">
      <c r="A283" t="s">
        <v>1387</v>
      </c>
      <c r="C283" t="s">
        <v>3743</v>
      </c>
      <c r="D283">
        <v>1.494</v>
      </c>
      <c r="E283">
        <v>7.8018000000000001</v>
      </c>
      <c r="F283">
        <v>0.23780000000000001</v>
      </c>
      <c r="G283" s="284">
        <f t="shared" si="34"/>
        <v>8.0396000000000001</v>
      </c>
      <c r="H283" s="284">
        <v>7.8205999999999998</v>
      </c>
      <c r="I283" s="284">
        <f t="shared" ref="I283:I288" si="35">G283-H283</f>
        <v>0.21900000000000031</v>
      </c>
      <c r="J283" s="283">
        <f t="shared" si="28"/>
        <v>1.8799999999999706E-2</v>
      </c>
      <c r="K283" s="285">
        <f t="shared" si="29"/>
        <v>7.9058031959628696</v>
      </c>
      <c r="L283">
        <v>29</v>
      </c>
      <c r="M283" s="16">
        <v>43395</v>
      </c>
      <c r="N283" s="16">
        <v>43396</v>
      </c>
      <c r="R283" s="285"/>
    </row>
    <row r="284" spans="1:18">
      <c r="A284" t="s">
        <v>1983</v>
      </c>
      <c r="C284" t="s">
        <v>3430</v>
      </c>
      <c r="D284">
        <v>0.59789999999999999</v>
      </c>
      <c r="E284">
        <v>9.8879999999999999</v>
      </c>
      <c r="F284">
        <v>0.2117</v>
      </c>
      <c r="G284">
        <f t="shared" si="34"/>
        <v>10.0997</v>
      </c>
      <c r="H284">
        <v>9.9367000000000001</v>
      </c>
      <c r="I284" s="284">
        <f t="shared" si="35"/>
        <v>0.16300000000000026</v>
      </c>
      <c r="J284" s="283">
        <f t="shared" ref="J284:J347" si="36">F284-I284</f>
        <v>4.8699999999999743E-2</v>
      </c>
      <c r="K284" s="285">
        <f t="shared" ref="K284:K347" si="37">(J284/F284)*100</f>
        <v>23.004251299007908</v>
      </c>
      <c r="L284">
        <v>15</v>
      </c>
      <c r="M284" s="16">
        <v>43402</v>
      </c>
      <c r="N284" s="16">
        <v>43403</v>
      </c>
      <c r="R284" s="285"/>
    </row>
    <row r="285" spans="1:18">
      <c r="A285" t="s">
        <v>1379</v>
      </c>
      <c r="C285" t="s">
        <v>3424</v>
      </c>
      <c r="D285">
        <v>0.51459999999999995</v>
      </c>
      <c r="E285">
        <v>11.107699999999999</v>
      </c>
      <c r="F285">
        <v>0.20699999999999999</v>
      </c>
      <c r="G285" s="284">
        <f t="shared" si="34"/>
        <v>11.3147</v>
      </c>
      <c r="H285" s="284">
        <v>11.140700000000001</v>
      </c>
      <c r="I285" s="284">
        <f t="shared" si="35"/>
        <v>0.17399999999999949</v>
      </c>
      <c r="J285" s="283">
        <f t="shared" si="36"/>
        <v>3.3000000000000501E-2</v>
      </c>
      <c r="K285" s="285">
        <f t="shared" si="37"/>
        <v>15.942028985507489</v>
      </c>
      <c r="L285">
        <v>7</v>
      </c>
      <c r="M285" s="16">
        <v>43399</v>
      </c>
      <c r="N285" s="16">
        <v>43400</v>
      </c>
      <c r="R285" s="285"/>
    </row>
    <row r="286" spans="1:18">
      <c r="A286" t="s">
        <v>1378</v>
      </c>
      <c r="B286">
        <v>204</v>
      </c>
      <c r="C286" t="s">
        <v>2504</v>
      </c>
      <c r="D286">
        <v>0.58760000000000001</v>
      </c>
      <c r="E286">
        <v>10.5038</v>
      </c>
      <c r="F286">
        <v>0.2051</v>
      </c>
      <c r="G286" s="284">
        <f t="shared" si="34"/>
        <v>10.7089</v>
      </c>
      <c r="H286" s="284">
        <v>10.5481</v>
      </c>
      <c r="I286" s="284">
        <f t="shared" si="35"/>
        <v>0.16080000000000005</v>
      </c>
      <c r="J286" s="283">
        <f t="shared" si="36"/>
        <v>4.4299999999999951E-2</v>
      </c>
      <c r="K286" s="285">
        <f t="shared" si="37"/>
        <v>21.599219892735228</v>
      </c>
      <c r="L286">
        <v>9</v>
      </c>
      <c r="M286">
        <v>23.101800000000001</v>
      </c>
      <c r="N286" s="16">
        <v>43397</v>
      </c>
      <c r="R286" s="285"/>
    </row>
    <row r="287" spans="1:18">
      <c r="A287" t="s">
        <v>1982</v>
      </c>
      <c r="B287">
        <v>212</v>
      </c>
      <c r="D287">
        <v>0.5323</v>
      </c>
      <c r="E287">
        <v>10.741199999999999</v>
      </c>
      <c r="F287">
        <v>0.2198</v>
      </c>
      <c r="G287" s="284">
        <f t="shared" si="34"/>
        <v>10.960999999999999</v>
      </c>
      <c r="H287" s="284">
        <v>10.795999999999999</v>
      </c>
      <c r="I287" s="284">
        <f t="shared" si="35"/>
        <v>0.16499999999999915</v>
      </c>
      <c r="J287" s="283">
        <f t="shared" si="36"/>
        <v>5.4800000000000848E-2</v>
      </c>
      <c r="K287" s="285">
        <f t="shared" si="37"/>
        <v>24.931756141947613</v>
      </c>
      <c r="L287">
        <v>18</v>
      </c>
      <c r="M287" s="16">
        <v>43395</v>
      </c>
      <c r="N287" s="16">
        <v>43396</v>
      </c>
      <c r="R287" s="285"/>
    </row>
    <row r="288" spans="1:18">
      <c r="A288" t="s">
        <v>2043</v>
      </c>
      <c r="C288" t="s">
        <v>3436</v>
      </c>
      <c r="D288">
        <v>0.63500000000000001</v>
      </c>
      <c r="E288">
        <v>11.4559</v>
      </c>
      <c r="F288">
        <v>0.20910000000000001</v>
      </c>
      <c r="G288" s="284">
        <f t="shared" si="34"/>
        <v>11.664999999999999</v>
      </c>
      <c r="H288" s="284">
        <v>11.5093</v>
      </c>
      <c r="I288" s="284">
        <f t="shared" si="35"/>
        <v>0.15569999999999951</v>
      </c>
      <c r="J288" s="283">
        <f t="shared" si="36"/>
        <v>5.3400000000000503E-2</v>
      </c>
      <c r="K288" s="285">
        <f t="shared" si="37"/>
        <v>25.538020086083453</v>
      </c>
      <c r="L288">
        <v>35</v>
      </c>
      <c r="M288" s="286">
        <v>43374</v>
      </c>
      <c r="N288" s="286">
        <v>43375</v>
      </c>
      <c r="O288" s="283" t="s">
        <v>3730</v>
      </c>
      <c r="R288" s="285"/>
    </row>
    <row r="289" spans="1:18">
      <c r="A289" t="s">
        <v>1345</v>
      </c>
      <c r="C289" t="s">
        <v>3662</v>
      </c>
      <c r="D289">
        <v>1.6583000000000001</v>
      </c>
      <c r="E289">
        <v>10.270799999999999</v>
      </c>
      <c r="F289">
        <v>0.19980000000000001</v>
      </c>
      <c r="G289" s="284">
        <f t="shared" si="34"/>
        <v>10.470599999999999</v>
      </c>
      <c r="H289" s="284">
        <v>10.282500000000001</v>
      </c>
      <c r="I289" s="284">
        <f>(G289-H289)</f>
        <v>0.1880999999999986</v>
      </c>
      <c r="J289" s="283">
        <f t="shared" si="36"/>
        <v>1.1700000000001404E-2</v>
      </c>
      <c r="K289" s="285">
        <f t="shared" si="37"/>
        <v>5.8558558558565581</v>
      </c>
      <c r="L289">
        <v>9</v>
      </c>
      <c r="M289" s="16">
        <v>43358</v>
      </c>
      <c r="N289" s="16">
        <v>43358</v>
      </c>
      <c r="R289" s="285"/>
    </row>
    <row r="290" spans="1:18">
      <c r="A290" t="s">
        <v>1336</v>
      </c>
      <c r="C290" t="s">
        <v>3660</v>
      </c>
      <c r="D290">
        <v>1.6967000000000001</v>
      </c>
      <c r="E290">
        <v>10.674099999999999</v>
      </c>
      <c r="F290">
        <v>0.20430000000000001</v>
      </c>
      <c r="G290" s="284">
        <f t="shared" si="34"/>
        <v>10.878399999999999</v>
      </c>
      <c r="H290" s="284">
        <v>10.6853</v>
      </c>
      <c r="I290" s="284">
        <f>(G290-H290)</f>
        <v>0.19309999999999938</v>
      </c>
      <c r="J290" s="283">
        <f t="shared" si="36"/>
        <v>1.1200000000000626E-2</v>
      </c>
      <c r="K290" s="285">
        <f t="shared" si="37"/>
        <v>5.4821341164956561</v>
      </c>
      <c r="L290">
        <v>9</v>
      </c>
      <c r="M290" s="286">
        <v>43355.625</v>
      </c>
      <c r="N290" s="286">
        <v>43355.791666666664</v>
      </c>
      <c r="O290" s="283" t="s">
        <v>3659</v>
      </c>
      <c r="R290" s="285"/>
    </row>
    <row r="291" spans="1:18">
      <c r="A291" t="s">
        <v>1333</v>
      </c>
      <c r="C291" t="s">
        <v>3778</v>
      </c>
      <c r="D291">
        <v>1.6601999999999999</v>
      </c>
      <c r="E291">
        <v>11.0349</v>
      </c>
      <c r="F291">
        <v>0.22639999999999999</v>
      </c>
      <c r="G291" s="284">
        <f t="shared" si="34"/>
        <v>11.2613</v>
      </c>
      <c r="H291" s="284">
        <v>11.047700000000001</v>
      </c>
      <c r="I291" s="284">
        <f>G291-H291</f>
        <v>0.21359999999999957</v>
      </c>
      <c r="J291" s="283">
        <f t="shared" si="36"/>
        <v>1.2800000000000422E-2</v>
      </c>
      <c r="K291" s="285">
        <f t="shared" si="37"/>
        <v>5.65371024735001</v>
      </c>
      <c r="L291">
        <v>18</v>
      </c>
      <c r="M291">
        <v>23.101800000000001</v>
      </c>
      <c r="N291" s="16">
        <v>43397</v>
      </c>
      <c r="R291" s="285"/>
    </row>
    <row r="292" spans="1:18">
      <c r="A292" t="s">
        <v>1331</v>
      </c>
      <c r="C292" t="s">
        <v>3461</v>
      </c>
      <c r="D292">
        <v>0.63629999999999998</v>
      </c>
      <c r="E292">
        <v>8.1296999999999997</v>
      </c>
      <c r="F292">
        <v>0.20469999999999999</v>
      </c>
      <c r="G292" s="284">
        <f t="shared" si="34"/>
        <v>8.3344000000000005</v>
      </c>
      <c r="H292" s="284">
        <v>8.1714000000000002</v>
      </c>
      <c r="I292" s="284">
        <f>G292-H292</f>
        <v>0.16300000000000026</v>
      </c>
      <c r="J292" s="283">
        <f t="shared" si="36"/>
        <v>4.1699999999999737E-2</v>
      </c>
      <c r="K292" s="285">
        <f t="shared" si="37"/>
        <v>20.371275036638856</v>
      </c>
      <c r="L292">
        <v>14</v>
      </c>
      <c r="M292" s="286">
        <v>43362</v>
      </c>
      <c r="N292" s="286">
        <v>43363</v>
      </c>
      <c r="O292" s="283"/>
      <c r="R292" s="285"/>
    </row>
    <row r="293" spans="1:18">
      <c r="A293" t="s">
        <v>1978</v>
      </c>
      <c r="C293" t="s">
        <v>3710</v>
      </c>
      <c r="D293">
        <v>1.5502</v>
      </c>
      <c r="E293">
        <v>8.7347000000000001</v>
      </c>
      <c r="F293">
        <v>0.2029</v>
      </c>
      <c r="G293" s="284">
        <f t="shared" si="34"/>
        <v>8.9375999999999998</v>
      </c>
      <c r="H293" s="284">
        <v>8.7567000000000004</v>
      </c>
      <c r="I293" s="284">
        <f>(G293-H293)</f>
        <v>0.18089999999999939</v>
      </c>
      <c r="J293" s="283">
        <f t="shared" si="36"/>
        <v>2.2000000000000602E-2</v>
      </c>
      <c r="K293" s="285">
        <f t="shared" si="37"/>
        <v>10.842779694431051</v>
      </c>
      <c r="L293">
        <v>4</v>
      </c>
      <c r="M293" s="286">
        <v>43360</v>
      </c>
      <c r="N293" s="286">
        <v>43361</v>
      </c>
      <c r="O293" s="283" t="s">
        <v>3707</v>
      </c>
      <c r="R293" s="285"/>
    </row>
    <row r="294" spans="1:18">
      <c r="A294" t="s">
        <v>1328</v>
      </c>
      <c r="C294" t="s">
        <v>3456</v>
      </c>
      <c r="D294">
        <v>0.69030000000000002</v>
      </c>
      <c r="E294">
        <v>10.077999999999999</v>
      </c>
      <c r="F294">
        <v>0.20430000000000001</v>
      </c>
      <c r="G294" s="284">
        <f t="shared" si="34"/>
        <v>10.282299999999999</v>
      </c>
      <c r="H294" s="284">
        <v>10.137600000000001</v>
      </c>
      <c r="I294" s="284">
        <f>G294-H294</f>
        <v>0.1446999999999985</v>
      </c>
      <c r="J294" s="283">
        <f t="shared" si="36"/>
        <v>5.9600000000001513E-2</v>
      </c>
      <c r="K294" s="285">
        <f t="shared" si="37"/>
        <v>29.172785119922423</v>
      </c>
      <c r="L294">
        <v>19</v>
      </c>
      <c r="M294" s="286">
        <v>43374</v>
      </c>
      <c r="N294" s="286">
        <v>43375</v>
      </c>
      <c r="O294" s="283" t="s">
        <v>3730</v>
      </c>
      <c r="R294" s="285"/>
    </row>
    <row r="295" spans="1:18">
      <c r="A295" t="s">
        <v>1315</v>
      </c>
      <c r="C295" t="s">
        <v>3699</v>
      </c>
      <c r="D295">
        <v>1.7659</v>
      </c>
      <c r="E295">
        <v>9.0510000000000002</v>
      </c>
      <c r="F295">
        <v>0.20280000000000001</v>
      </c>
      <c r="G295" s="284">
        <f t="shared" si="34"/>
        <v>9.2538</v>
      </c>
      <c r="H295" s="284">
        <v>9.0641999999999996</v>
      </c>
      <c r="I295" s="284">
        <f>G295-H295</f>
        <v>0.18960000000000043</v>
      </c>
      <c r="J295" s="283">
        <f t="shared" si="36"/>
        <v>1.3199999999999573E-2</v>
      </c>
      <c r="K295" s="285">
        <f t="shared" si="37"/>
        <v>6.5088757396447594</v>
      </c>
      <c r="L295">
        <v>21</v>
      </c>
      <c r="M295" s="286">
        <v>43361</v>
      </c>
      <c r="N295" s="286">
        <v>43362</v>
      </c>
      <c r="O295" s="283" t="s">
        <v>3730</v>
      </c>
      <c r="R295" s="285"/>
    </row>
    <row r="296" spans="1:18">
      <c r="A296" t="s">
        <v>1300</v>
      </c>
      <c r="C296" t="s">
        <v>3739</v>
      </c>
      <c r="D296">
        <v>1.2071000000000001</v>
      </c>
      <c r="E296">
        <v>8.9581999999999997</v>
      </c>
      <c r="F296">
        <v>0.20219999999999999</v>
      </c>
      <c r="G296" s="284">
        <f t="shared" si="34"/>
        <v>9.1603999999999992</v>
      </c>
      <c r="H296" s="284">
        <v>8.9743999999999993</v>
      </c>
      <c r="I296" s="284">
        <f>G296-H296</f>
        <v>0.18599999999999994</v>
      </c>
      <c r="J296" s="283">
        <f t="shared" si="36"/>
        <v>1.6200000000000048E-2</v>
      </c>
      <c r="K296" s="285">
        <f t="shared" si="37"/>
        <v>8.0118694362018044</v>
      </c>
      <c r="L296">
        <v>21</v>
      </c>
      <c r="M296" s="286">
        <v>43374</v>
      </c>
      <c r="N296" s="286">
        <v>43375</v>
      </c>
      <c r="O296" s="283" t="s">
        <v>3730</v>
      </c>
      <c r="R296" s="285"/>
    </row>
    <row r="297" spans="1:18">
      <c r="A297" t="s">
        <v>1293</v>
      </c>
      <c r="C297" t="s">
        <v>3786</v>
      </c>
      <c r="D297">
        <v>7.359</v>
      </c>
      <c r="E297">
        <v>10.314399999999999</v>
      </c>
      <c r="F297">
        <v>0.20330000000000001</v>
      </c>
      <c r="G297">
        <f t="shared" si="34"/>
        <v>10.5177</v>
      </c>
      <c r="H297">
        <v>10.356999999999999</v>
      </c>
      <c r="I297" s="284">
        <f>G297-H297</f>
        <v>0.16070000000000029</v>
      </c>
      <c r="J297" s="283">
        <f t="shared" si="36"/>
        <v>4.2599999999999721E-2</v>
      </c>
      <c r="K297" s="285">
        <f t="shared" si="37"/>
        <v>20.954254795868039</v>
      </c>
      <c r="L297">
        <v>34</v>
      </c>
      <c r="M297" s="16">
        <v>43399</v>
      </c>
      <c r="N297" s="16">
        <v>43400</v>
      </c>
      <c r="R297" s="285"/>
    </row>
    <row r="298" spans="1:18">
      <c r="A298" t="s">
        <v>1291</v>
      </c>
      <c r="C298" t="s">
        <v>3686</v>
      </c>
      <c r="D298">
        <v>1.6763999999999999</v>
      </c>
      <c r="E298">
        <v>8.4440000000000008</v>
      </c>
      <c r="F298">
        <v>0.20669999999999999</v>
      </c>
      <c r="G298" s="284">
        <f t="shared" si="34"/>
        <v>8.6507000000000005</v>
      </c>
      <c r="H298" s="284">
        <v>8.4558999999999997</v>
      </c>
      <c r="I298" s="284">
        <f>(G298-H298)</f>
        <v>0.19480000000000075</v>
      </c>
      <c r="J298" s="283">
        <f t="shared" si="36"/>
        <v>1.1899999999999245E-2</v>
      </c>
      <c r="K298" s="285">
        <f t="shared" si="37"/>
        <v>5.7571359458148255</v>
      </c>
      <c r="L298">
        <v>24</v>
      </c>
      <c r="M298" s="286">
        <v>43360</v>
      </c>
      <c r="N298" s="286">
        <v>43361</v>
      </c>
      <c r="R298" s="285"/>
    </row>
    <row r="299" spans="1:18">
      <c r="A299" t="s">
        <v>1974</v>
      </c>
      <c r="C299" t="s">
        <v>3760</v>
      </c>
      <c r="D299">
        <v>1.1228</v>
      </c>
      <c r="E299">
        <v>10.1462</v>
      </c>
      <c r="F299">
        <v>0.20849999999999999</v>
      </c>
      <c r="G299" s="284">
        <f t="shared" si="34"/>
        <v>10.354700000000001</v>
      </c>
      <c r="H299" s="284">
        <v>10.1662</v>
      </c>
      <c r="I299" s="284">
        <f>G299-H299</f>
        <v>0.18850000000000122</v>
      </c>
      <c r="J299" s="283">
        <f t="shared" si="36"/>
        <v>1.9999999999998769E-2</v>
      </c>
      <c r="K299" s="285">
        <f t="shared" si="37"/>
        <v>9.59232613908814</v>
      </c>
      <c r="L299">
        <v>31</v>
      </c>
      <c r="M299" s="286">
        <v>43363</v>
      </c>
      <c r="N299" s="286">
        <v>43364</v>
      </c>
      <c r="O299" s="283" t="s">
        <v>3756</v>
      </c>
      <c r="R299" s="285"/>
    </row>
    <row r="300" spans="1:18">
      <c r="A300" t="s">
        <v>1284</v>
      </c>
      <c r="C300" t="s">
        <v>3666</v>
      </c>
      <c r="D300">
        <v>1.7133</v>
      </c>
      <c r="E300">
        <v>10.7386</v>
      </c>
      <c r="F300">
        <v>0.20330000000000001</v>
      </c>
      <c r="G300" s="284">
        <f t="shared" si="34"/>
        <v>10.9419</v>
      </c>
      <c r="H300" s="284">
        <v>10.7508</v>
      </c>
      <c r="I300" s="284">
        <f>(G300-H300)</f>
        <v>0.19110000000000049</v>
      </c>
      <c r="J300" s="283">
        <f t="shared" si="36"/>
        <v>1.2199999999999517E-2</v>
      </c>
      <c r="K300" s="285">
        <f t="shared" si="37"/>
        <v>6.0009837678305544</v>
      </c>
      <c r="L300">
        <v>23</v>
      </c>
      <c r="M300" s="16">
        <v>43358</v>
      </c>
      <c r="N300" s="16">
        <v>43358</v>
      </c>
      <c r="R300" s="285"/>
    </row>
    <row r="301" spans="1:18">
      <c r="A301" t="s">
        <v>1283</v>
      </c>
      <c r="C301" t="s">
        <v>3715</v>
      </c>
      <c r="D301">
        <v>1.2627999999999999</v>
      </c>
      <c r="E301">
        <v>9.1565999999999992</v>
      </c>
      <c r="F301">
        <v>0.2016</v>
      </c>
      <c r="G301" s="284">
        <f t="shared" si="34"/>
        <v>9.3582000000000001</v>
      </c>
      <c r="H301" s="284">
        <v>9.1734000000000009</v>
      </c>
      <c r="I301" s="284">
        <f>(G301-H301)</f>
        <v>0.18479999999999919</v>
      </c>
      <c r="J301" s="283">
        <f t="shared" si="36"/>
        <v>1.6800000000000814E-2</v>
      </c>
      <c r="K301" s="285">
        <f t="shared" si="37"/>
        <v>8.3333333333337372</v>
      </c>
      <c r="L301">
        <v>21</v>
      </c>
      <c r="M301" s="286">
        <v>43360</v>
      </c>
      <c r="N301" s="286">
        <v>43361</v>
      </c>
      <c r="O301" s="283" t="s">
        <v>3707</v>
      </c>
      <c r="R301" s="285"/>
    </row>
    <row r="302" spans="1:18">
      <c r="A302" t="s">
        <v>1973</v>
      </c>
      <c r="C302" t="s">
        <v>3421</v>
      </c>
      <c r="D302">
        <v>0.69240000000000002</v>
      </c>
      <c r="E302">
        <v>7.8403999999999998</v>
      </c>
      <c r="F302">
        <v>0.2089</v>
      </c>
      <c r="G302" s="284">
        <f t="shared" si="34"/>
        <v>8.0493000000000006</v>
      </c>
      <c r="H302" s="284">
        <v>7.9118000000000004</v>
      </c>
      <c r="I302" s="284">
        <f t="shared" ref="I302:I312" si="38">G302-H302</f>
        <v>0.13750000000000018</v>
      </c>
      <c r="J302" s="283">
        <f t="shared" si="36"/>
        <v>7.1399999999999825E-2</v>
      </c>
      <c r="K302" s="285">
        <f t="shared" si="37"/>
        <v>34.179033030157882</v>
      </c>
      <c r="L302">
        <v>38</v>
      </c>
      <c r="M302">
        <v>23.101800000000001</v>
      </c>
      <c r="N302" s="16">
        <v>43397</v>
      </c>
      <c r="R302" s="285"/>
    </row>
    <row r="303" spans="1:18">
      <c r="A303" t="s">
        <v>1279</v>
      </c>
      <c r="B303">
        <v>214</v>
      </c>
      <c r="D303">
        <v>0.48149999999999998</v>
      </c>
      <c r="E303">
        <v>11.160600000000001</v>
      </c>
      <c r="F303">
        <v>0.2082</v>
      </c>
      <c r="G303" s="284">
        <f t="shared" si="34"/>
        <v>11.3688</v>
      </c>
      <c r="H303" s="284">
        <v>11.188700000000001</v>
      </c>
      <c r="I303" s="284">
        <f t="shared" si="38"/>
        <v>0.18009999999999948</v>
      </c>
      <c r="J303" s="283">
        <f t="shared" si="36"/>
        <v>2.8100000000000513E-2</v>
      </c>
      <c r="K303" s="285">
        <f t="shared" si="37"/>
        <v>13.496637848223109</v>
      </c>
      <c r="L303">
        <v>31</v>
      </c>
      <c r="M303" s="16">
        <v>43395</v>
      </c>
      <c r="N303" s="16">
        <v>43396</v>
      </c>
      <c r="R303" s="285"/>
    </row>
    <row r="304" spans="1:18">
      <c r="A304" t="s">
        <v>1274</v>
      </c>
      <c r="C304" t="s">
        <v>3740</v>
      </c>
      <c r="D304">
        <v>1.6464000000000001</v>
      </c>
      <c r="E304">
        <v>9.7222000000000008</v>
      </c>
      <c r="F304">
        <v>0.20930000000000001</v>
      </c>
      <c r="G304" s="284">
        <f t="shared" si="34"/>
        <v>9.9315000000000015</v>
      </c>
      <c r="H304" s="284">
        <v>9.7346000000000004</v>
      </c>
      <c r="I304" s="284">
        <f t="shared" si="38"/>
        <v>0.19690000000000119</v>
      </c>
      <c r="J304" s="283">
        <f t="shared" si="36"/>
        <v>1.2399999999998829E-2</v>
      </c>
      <c r="K304" s="285">
        <f t="shared" si="37"/>
        <v>5.924510272335799</v>
      </c>
      <c r="L304">
        <v>16</v>
      </c>
      <c r="M304" s="286">
        <v>43363</v>
      </c>
      <c r="N304" s="286">
        <v>43364</v>
      </c>
      <c r="O304" s="283"/>
      <c r="R304" s="285"/>
    </row>
    <row r="305" spans="1:18">
      <c r="A305" t="s">
        <v>1972</v>
      </c>
      <c r="C305" t="s">
        <v>3426</v>
      </c>
      <c r="D305">
        <v>0.67779999999999996</v>
      </c>
      <c r="E305">
        <v>8.1698000000000004</v>
      </c>
      <c r="F305">
        <v>0.2082</v>
      </c>
      <c r="G305" s="284">
        <f t="shared" si="34"/>
        <v>8.3780000000000001</v>
      </c>
      <c r="H305" s="284">
        <v>8.2352000000000007</v>
      </c>
      <c r="I305" s="284">
        <f t="shared" si="38"/>
        <v>0.14279999999999937</v>
      </c>
      <c r="J305" s="283">
        <f t="shared" si="36"/>
        <v>6.5400000000000624E-2</v>
      </c>
      <c r="K305" s="285">
        <f t="shared" si="37"/>
        <v>31.412103746397996</v>
      </c>
      <c r="L305">
        <v>19</v>
      </c>
      <c r="M305" s="16">
        <v>43388</v>
      </c>
      <c r="N305" s="286">
        <v>43389</v>
      </c>
      <c r="O305" s="16"/>
      <c r="R305" s="285"/>
    </row>
    <row r="306" spans="1:18">
      <c r="A306" t="s">
        <v>1270</v>
      </c>
      <c r="B306">
        <v>198</v>
      </c>
      <c r="D306">
        <v>0.52429999999999999</v>
      </c>
      <c r="E306">
        <v>9.7272999999999996</v>
      </c>
      <c r="F306">
        <v>0.20680000000000001</v>
      </c>
      <c r="G306" s="284">
        <f t="shared" si="34"/>
        <v>9.934099999999999</v>
      </c>
      <c r="H306" s="284">
        <v>9.7561999999999998</v>
      </c>
      <c r="I306" s="284">
        <f t="shared" si="38"/>
        <v>0.17789999999999928</v>
      </c>
      <c r="J306" s="283">
        <f t="shared" si="36"/>
        <v>2.8900000000000731E-2</v>
      </c>
      <c r="K306" s="285">
        <f t="shared" si="37"/>
        <v>13.974854932302094</v>
      </c>
      <c r="L306">
        <v>3</v>
      </c>
      <c r="M306" s="16">
        <v>43395</v>
      </c>
      <c r="N306" s="16">
        <v>43396</v>
      </c>
      <c r="R306" s="285"/>
    </row>
    <row r="307" spans="1:18">
      <c r="A307" t="s">
        <v>1971</v>
      </c>
      <c r="C307" t="s">
        <v>3750</v>
      </c>
      <c r="D307">
        <v>1.6848000000000001</v>
      </c>
      <c r="E307">
        <v>8.7614000000000001</v>
      </c>
      <c r="F307">
        <v>0.21560000000000001</v>
      </c>
      <c r="G307" s="288">
        <f t="shared" si="34"/>
        <v>8.9770000000000003</v>
      </c>
      <c r="H307" s="284">
        <v>8.7753999999999994</v>
      </c>
      <c r="I307" s="288">
        <f t="shared" si="38"/>
        <v>0.20160000000000089</v>
      </c>
      <c r="J307" s="283">
        <f t="shared" si="36"/>
        <v>1.3999999999999124E-2</v>
      </c>
      <c r="K307" s="285">
        <f t="shared" si="37"/>
        <v>6.4935064935060867</v>
      </c>
      <c r="L307">
        <v>22</v>
      </c>
      <c r="M307" s="286">
        <v>43379</v>
      </c>
      <c r="N307" s="286">
        <v>43379</v>
      </c>
      <c r="R307" s="285"/>
    </row>
    <row r="308" spans="1:18">
      <c r="A308" t="s">
        <v>1258</v>
      </c>
      <c r="C308" t="s">
        <v>3458</v>
      </c>
      <c r="D308">
        <v>0.70409999999999995</v>
      </c>
      <c r="E308">
        <v>19.729600000000001</v>
      </c>
      <c r="F308">
        <v>0.2208</v>
      </c>
      <c r="G308" s="284">
        <f t="shared" si="34"/>
        <v>19.950400000000002</v>
      </c>
      <c r="H308" s="284">
        <v>19.764700000000001</v>
      </c>
      <c r="I308" s="284">
        <f t="shared" si="38"/>
        <v>0.18570000000000064</v>
      </c>
      <c r="J308" s="283">
        <f t="shared" si="36"/>
        <v>3.5099999999999354E-2</v>
      </c>
      <c r="K308" s="285">
        <f t="shared" si="37"/>
        <v>15.89673913043449</v>
      </c>
      <c r="L308">
        <v>7</v>
      </c>
      <c r="M308" s="286">
        <v>43362</v>
      </c>
      <c r="N308" s="286">
        <v>43363</v>
      </c>
      <c r="O308" s="283"/>
      <c r="R308" s="285"/>
    </row>
    <row r="309" spans="1:18">
      <c r="A309" t="s">
        <v>2042</v>
      </c>
      <c r="C309" t="s">
        <v>3739</v>
      </c>
      <c r="D309">
        <v>1.2962</v>
      </c>
      <c r="E309">
        <v>20.968900000000001</v>
      </c>
      <c r="F309">
        <v>0.2253</v>
      </c>
      <c r="G309" s="284">
        <f t="shared" si="34"/>
        <v>21.194200000000002</v>
      </c>
      <c r="H309" s="284">
        <v>20.988700000000001</v>
      </c>
      <c r="I309" s="284">
        <f t="shared" si="38"/>
        <v>0.20550000000000068</v>
      </c>
      <c r="J309" s="283">
        <f t="shared" si="36"/>
        <v>1.9799999999999318E-2</v>
      </c>
      <c r="K309" s="285">
        <f t="shared" si="37"/>
        <v>8.7882822902793247</v>
      </c>
      <c r="L309">
        <v>39</v>
      </c>
      <c r="M309" s="286">
        <v>43361</v>
      </c>
      <c r="N309" s="286">
        <v>43362</v>
      </c>
      <c r="O309" s="283" t="s">
        <v>3730</v>
      </c>
      <c r="R309" s="285"/>
    </row>
    <row r="310" spans="1:18">
      <c r="A310" t="s">
        <v>1970</v>
      </c>
      <c r="C310" t="s">
        <v>3424</v>
      </c>
      <c r="D310">
        <v>0.53410000000000002</v>
      </c>
      <c r="E310">
        <v>10.5413</v>
      </c>
      <c r="F310">
        <v>0.21290000000000001</v>
      </c>
      <c r="G310" s="288">
        <f t="shared" si="34"/>
        <v>10.754199999999999</v>
      </c>
      <c r="H310" s="284">
        <v>10.5839</v>
      </c>
      <c r="I310" s="288">
        <f t="shared" si="38"/>
        <v>0.17029999999999923</v>
      </c>
      <c r="J310" s="283">
        <f t="shared" si="36"/>
        <v>4.2600000000000776E-2</v>
      </c>
      <c r="K310" s="285">
        <f t="shared" si="37"/>
        <v>20.009394081728875</v>
      </c>
      <c r="L310">
        <v>26</v>
      </c>
      <c r="M310" s="286">
        <v>43379</v>
      </c>
      <c r="N310" s="286">
        <v>43379</v>
      </c>
      <c r="R310" s="285"/>
    </row>
    <row r="311" spans="1:18">
      <c r="A311" t="s">
        <v>1227</v>
      </c>
      <c r="C311" t="s">
        <v>3733</v>
      </c>
      <c r="D311">
        <v>1.7028000000000001</v>
      </c>
      <c r="E311">
        <v>10.4156</v>
      </c>
      <c r="F311">
        <v>0.2253</v>
      </c>
      <c r="G311" s="284">
        <f t="shared" si="34"/>
        <v>10.6409</v>
      </c>
      <c r="H311" s="284">
        <v>10.4307</v>
      </c>
      <c r="I311" s="284">
        <f t="shared" si="38"/>
        <v>0.21020000000000039</v>
      </c>
      <c r="J311" s="283">
        <f t="shared" si="36"/>
        <v>1.5099999999999614E-2</v>
      </c>
      <c r="K311" s="285">
        <f t="shared" si="37"/>
        <v>6.7021748779403518</v>
      </c>
      <c r="L311">
        <v>18</v>
      </c>
      <c r="M311" s="286">
        <v>43361</v>
      </c>
      <c r="N311" s="286">
        <v>43362</v>
      </c>
      <c r="O311" s="283" t="s">
        <v>3730</v>
      </c>
      <c r="R311" s="285"/>
    </row>
    <row r="312" spans="1:18">
      <c r="A312" t="s">
        <v>1967</v>
      </c>
      <c r="C312" t="s">
        <v>3763</v>
      </c>
      <c r="D312">
        <v>0.64949999999999997</v>
      </c>
      <c r="E312">
        <v>11.0328</v>
      </c>
      <c r="F312">
        <v>0.22869999999999999</v>
      </c>
      <c r="G312" s="284">
        <f t="shared" si="34"/>
        <v>11.2615</v>
      </c>
      <c r="H312" s="284">
        <v>11.105600000000001</v>
      </c>
      <c r="I312" s="284">
        <f t="shared" si="38"/>
        <v>0.15589999999999904</v>
      </c>
      <c r="J312" s="283">
        <f t="shared" si="36"/>
        <v>7.2800000000000947E-2</v>
      </c>
      <c r="K312" s="285">
        <f t="shared" si="37"/>
        <v>31.832094446874049</v>
      </c>
      <c r="L312">
        <v>30</v>
      </c>
      <c r="M312" s="286">
        <v>43363</v>
      </c>
      <c r="N312" s="286">
        <v>43364</v>
      </c>
      <c r="R312" s="285"/>
    </row>
    <row r="313" spans="1:18">
      <c r="A313" t="s">
        <v>1966</v>
      </c>
      <c r="C313" t="s">
        <v>3665</v>
      </c>
      <c r="D313">
        <v>1.8103</v>
      </c>
      <c r="E313">
        <v>7.8392999999999997</v>
      </c>
      <c r="F313">
        <v>0.2031</v>
      </c>
      <c r="G313" s="284">
        <f t="shared" si="34"/>
        <v>8.0423999999999989</v>
      </c>
      <c r="H313" s="284">
        <v>7.85</v>
      </c>
      <c r="I313" s="284">
        <f>(G313-H313)</f>
        <v>0.19239999999999924</v>
      </c>
      <c r="J313" s="283">
        <f t="shared" si="36"/>
        <v>1.0700000000000764E-2</v>
      </c>
      <c r="K313" s="285">
        <f t="shared" si="37"/>
        <v>5.2683407188580818</v>
      </c>
      <c r="L313">
        <v>8</v>
      </c>
      <c r="M313" s="286">
        <v>43355.625</v>
      </c>
      <c r="N313" s="286">
        <v>43355.791666666664</v>
      </c>
      <c r="O313" s="283" t="s">
        <v>3659</v>
      </c>
      <c r="R313" s="285"/>
    </row>
    <row r="314" spans="1:18">
      <c r="A314" t="s">
        <v>1206</v>
      </c>
      <c r="C314" t="s">
        <v>3667</v>
      </c>
      <c r="D314">
        <v>1.6153999999999999</v>
      </c>
      <c r="E314">
        <v>10.3123</v>
      </c>
      <c r="F314">
        <v>0.2011</v>
      </c>
      <c r="G314" s="284">
        <f t="shared" si="34"/>
        <v>10.513400000000001</v>
      </c>
      <c r="H314" s="284">
        <v>10.3248</v>
      </c>
      <c r="I314" s="284">
        <f>(G314-H314)</f>
        <v>0.18860000000000099</v>
      </c>
      <c r="J314" s="283">
        <f t="shared" si="36"/>
        <v>1.2499999999999012E-2</v>
      </c>
      <c r="K314" s="285">
        <f t="shared" si="37"/>
        <v>6.2158130283436162</v>
      </c>
      <c r="L314">
        <v>15</v>
      </c>
      <c r="M314" s="16">
        <v>43358</v>
      </c>
      <c r="N314" s="16">
        <v>43358</v>
      </c>
      <c r="R314" s="285"/>
    </row>
    <row r="315" spans="1:18">
      <c r="A315" t="s">
        <v>1202</v>
      </c>
      <c r="C315" t="s">
        <v>3732</v>
      </c>
      <c r="D315">
        <v>1.6625000000000001</v>
      </c>
      <c r="E315">
        <v>10.4177</v>
      </c>
      <c r="F315">
        <v>0.22470000000000001</v>
      </c>
      <c r="G315" s="284">
        <f t="shared" si="34"/>
        <v>10.6424</v>
      </c>
      <c r="H315" s="284">
        <v>10.4306</v>
      </c>
      <c r="I315" s="284">
        <f>G315-H315</f>
        <v>0.21180000000000021</v>
      </c>
      <c r="J315" s="283">
        <f t="shared" si="36"/>
        <v>1.2899999999999801E-2</v>
      </c>
      <c r="K315" s="285">
        <f t="shared" si="37"/>
        <v>5.7409879839785489</v>
      </c>
      <c r="L315">
        <v>4</v>
      </c>
      <c r="M315" s="286">
        <v>43374</v>
      </c>
      <c r="N315" s="286">
        <v>43375</v>
      </c>
      <c r="O315" s="283" t="s">
        <v>3730</v>
      </c>
      <c r="R315" s="285"/>
    </row>
    <row r="316" spans="1:18">
      <c r="A316" t="s">
        <v>1965</v>
      </c>
      <c r="C316" t="s">
        <v>3416</v>
      </c>
      <c r="D316">
        <v>0.63660000000000005</v>
      </c>
      <c r="E316">
        <v>8.1193000000000008</v>
      </c>
      <c r="F316">
        <v>0.20280000000000001</v>
      </c>
      <c r="G316">
        <f t="shared" si="34"/>
        <v>8.3221000000000007</v>
      </c>
      <c r="H316">
        <v>8.1708999999999996</v>
      </c>
      <c r="I316" s="284">
        <f>G316-H316</f>
        <v>0.15120000000000111</v>
      </c>
      <c r="J316" s="283">
        <f t="shared" si="36"/>
        <v>5.1599999999998897E-2</v>
      </c>
      <c r="K316" s="285">
        <f t="shared" si="37"/>
        <v>25.443786982247975</v>
      </c>
      <c r="L316">
        <v>23</v>
      </c>
      <c r="M316" s="16">
        <v>43399</v>
      </c>
      <c r="N316" s="16">
        <v>43400</v>
      </c>
      <c r="R316" s="285"/>
    </row>
    <row r="317" spans="1:18">
      <c r="A317" t="s">
        <v>1199</v>
      </c>
      <c r="C317" t="s">
        <v>3689</v>
      </c>
      <c r="D317">
        <v>1.6746000000000001</v>
      </c>
      <c r="E317">
        <v>7.7142999999999997</v>
      </c>
      <c r="F317">
        <v>0.20319999999999999</v>
      </c>
      <c r="G317" s="284">
        <f t="shared" si="34"/>
        <v>7.9174999999999995</v>
      </c>
      <c r="H317" s="284">
        <v>7.7271999999999998</v>
      </c>
      <c r="I317" s="284">
        <f>(G317-H317)</f>
        <v>0.19029999999999969</v>
      </c>
      <c r="J317" s="283">
        <f t="shared" si="36"/>
        <v>1.29000000000003E-2</v>
      </c>
      <c r="K317" s="285">
        <f t="shared" si="37"/>
        <v>6.3484251968505419</v>
      </c>
      <c r="L317">
        <v>13</v>
      </c>
      <c r="M317" s="286">
        <v>43360</v>
      </c>
      <c r="N317" s="286">
        <v>43361</v>
      </c>
      <c r="O317" s="283"/>
      <c r="R317" s="285"/>
    </row>
    <row r="318" spans="1:18">
      <c r="A318" t="s">
        <v>1196</v>
      </c>
      <c r="C318" t="s">
        <v>3724</v>
      </c>
      <c r="D318">
        <v>1.708</v>
      </c>
      <c r="E318">
        <v>9.2190999999999992</v>
      </c>
      <c r="F318">
        <v>0.2056</v>
      </c>
      <c r="G318" s="284">
        <f t="shared" si="34"/>
        <v>9.4246999999999996</v>
      </c>
      <c r="H318" s="284">
        <v>9.2330000000000005</v>
      </c>
      <c r="I318" s="284">
        <f>G318-H318</f>
        <v>0.19169999999999909</v>
      </c>
      <c r="J318" s="283">
        <f t="shared" si="36"/>
        <v>1.3900000000000912E-2</v>
      </c>
      <c r="K318" s="285">
        <f t="shared" si="37"/>
        <v>6.7607003891055024</v>
      </c>
      <c r="L318">
        <v>17</v>
      </c>
      <c r="M318" s="286">
        <v>43361</v>
      </c>
      <c r="N318" s="286">
        <v>43362</v>
      </c>
      <c r="O318" s="283" t="s">
        <v>3730</v>
      </c>
      <c r="R318" s="285"/>
    </row>
    <row r="319" spans="1:18">
      <c r="A319" t="s">
        <v>1195</v>
      </c>
      <c r="C319" t="s">
        <v>3663</v>
      </c>
      <c r="D319">
        <v>1.6116999999999999</v>
      </c>
      <c r="E319">
        <v>7.4741999999999997</v>
      </c>
      <c r="F319">
        <v>0.20230000000000001</v>
      </c>
      <c r="G319" s="284">
        <f t="shared" si="34"/>
        <v>7.6764999999999999</v>
      </c>
      <c r="H319" s="284">
        <v>7.4863999999999997</v>
      </c>
      <c r="I319" s="284">
        <f>(G319-H319)</f>
        <v>0.19010000000000016</v>
      </c>
      <c r="J319" s="283">
        <f t="shared" si="36"/>
        <v>1.219999999999985E-2</v>
      </c>
      <c r="K319" s="285">
        <f t="shared" si="37"/>
        <v>6.0306475531388282</v>
      </c>
      <c r="L319">
        <v>35</v>
      </c>
      <c r="M319" s="16">
        <v>43358</v>
      </c>
      <c r="N319" s="16">
        <v>43358</v>
      </c>
      <c r="R319" s="285"/>
    </row>
    <row r="320" spans="1:18">
      <c r="A320" t="s">
        <v>1964</v>
      </c>
      <c r="C320" t="s">
        <v>3728</v>
      </c>
      <c r="D320">
        <v>1.6781999999999999</v>
      </c>
      <c r="E320">
        <v>10.7409</v>
      </c>
      <c r="F320">
        <v>0.224</v>
      </c>
      <c r="G320" s="284">
        <f t="shared" si="34"/>
        <v>10.9649</v>
      </c>
      <c r="H320" s="284">
        <v>10.7546</v>
      </c>
      <c r="I320" s="284">
        <f>(G320-H320)</f>
        <v>0.21030000000000015</v>
      </c>
      <c r="J320" s="283">
        <f t="shared" si="36"/>
        <v>1.3699999999999851E-2</v>
      </c>
      <c r="K320" s="285">
        <f t="shared" si="37"/>
        <v>6.1160714285713613</v>
      </c>
      <c r="L320">
        <v>40</v>
      </c>
      <c r="M320" s="286">
        <v>43360</v>
      </c>
      <c r="N320" s="286">
        <v>43361</v>
      </c>
      <c r="O320" s="283" t="s">
        <v>3707</v>
      </c>
      <c r="R320" s="285"/>
    </row>
    <row r="321" spans="1:18">
      <c r="A321" t="s">
        <v>1188</v>
      </c>
      <c r="C321" t="s">
        <v>3672</v>
      </c>
      <c r="D321">
        <v>1.6603000000000001</v>
      </c>
      <c r="E321">
        <v>11.153700000000001</v>
      </c>
      <c r="F321">
        <v>0.20430000000000001</v>
      </c>
      <c r="G321" s="284">
        <f t="shared" si="34"/>
        <v>11.358000000000001</v>
      </c>
      <c r="H321" s="284">
        <v>11.166</v>
      </c>
      <c r="I321" s="284">
        <f>(G321-H321)</f>
        <v>0.19200000000000017</v>
      </c>
      <c r="J321" s="283">
        <f t="shared" si="36"/>
        <v>1.2299999999999839E-2</v>
      </c>
      <c r="K321" s="285">
        <f t="shared" si="37"/>
        <v>6.0205580029367782</v>
      </c>
      <c r="L321">
        <v>12</v>
      </c>
      <c r="M321" s="16">
        <v>43358</v>
      </c>
      <c r="N321" s="16">
        <v>43358</v>
      </c>
      <c r="R321" s="285"/>
    </row>
    <row r="322" spans="1:18">
      <c r="A322" t="s">
        <v>1184</v>
      </c>
      <c r="C322" t="s">
        <v>3661</v>
      </c>
      <c r="D322">
        <v>1.7005999999999999</v>
      </c>
      <c r="E322">
        <v>9.7212999999999994</v>
      </c>
      <c r="F322">
        <v>0.2041</v>
      </c>
      <c r="G322" s="284">
        <f t="shared" si="34"/>
        <v>9.9253999999999998</v>
      </c>
      <c r="H322" s="284">
        <v>9.7326999999999995</v>
      </c>
      <c r="I322" s="284">
        <f>(G322-H322)</f>
        <v>0.19270000000000032</v>
      </c>
      <c r="J322" s="283">
        <f t="shared" si="36"/>
        <v>1.1399999999999688E-2</v>
      </c>
      <c r="K322" s="285">
        <f t="shared" si="37"/>
        <v>5.5854973052423755</v>
      </c>
      <c r="L322">
        <v>18</v>
      </c>
      <c r="M322" s="16">
        <v>43358</v>
      </c>
      <c r="N322" s="16">
        <v>43358</v>
      </c>
      <c r="R322" s="285"/>
    </row>
    <row r="323" spans="1:18">
      <c r="A323" t="s">
        <v>1182</v>
      </c>
      <c r="C323" t="s">
        <v>3428</v>
      </c>
      <c r="D323">
        <v>0.54469999999999996</v>
      </c>
      <c r="E323">
        <v>9.7744999999999997</v>
      </c>
      <c r="F323">
        <v>0.20499999999999999</v>
      </c>
      <c r="G323" s="284">
        <f t="shared" si="34"/>
        <v>9.9794999999999998</v>
      </c>
      <c r="H323" s="284">
        <v>9.8183000000000007</v>
      </c>
      <c r="I323" s="284">
        <f>G323-H323</f>
        <v>0.16119999999999912</v>
      </c>
      <c r="J323" s="283">
        <f t="shared" si="36"/>
        <v>4.3800000000000866E-2</v>
      </c>
      <c r="K323" s="285">
        <f t="shared" si="37"/>
        <v>21.365853658537009</v>
      </c>
      <c r="L323">
        <v>17</v>
      </c>
      <c r="M323" s="16">
        <v>43388</v>
      </c>
      <c r="N323" s="286">
        <v>43389</v>
      </c>
      <c r="O323" s="16"/>
      <c r="R323" s="285"/>
    </row>
    <row r="324" spans="1:18">
      <c r="A324" t="s">
        <v>1180</v>
      </c>
      <c r="C324" t="s">
        <v>3476</v>
      </c>
      <c r="D324">
        <v>0.54679999999999995</v>
      </c>
      <c r="E324">
        <v>11.089499999999999</v>
      </c>
      <c r="F324">
        <v>0.20319999999999999</v>
      </c>
      <c r="G324" s="284">
        <f t="shared" si="34"/>
        <v>11.2927</v>
      </c>
      <c r="H324" s="284">
        <v>11.125</v>
      </c>
      <c r="I324" s="284">
        <f>G324-H324</f>
        <v>0.16769999999999996</v>
      </c>
      <c r="J324" s="283">
        <f t="shared" si="36"/>
        <v>3.5500000000000032E-2</v>
      </c>
      <c r="K324" s="285">
        <f t="shared" si="37"/>
        <v>17.470472440944899</v>
      </c>
      <c r="L324">
        <v>19</v>
      </c>
      <c r="M324" s="286">
        <v>43363</v>
      </c>
      <c r="N324" s="286">
        <v>43364</v>
      </c>
      <c r="R324" s="285"/>
    </row>
    <row r="325" spans="1:18">
      <c r="A325" t="s">
        <v>1178</v>
      </c>
      <c r="C325" t="s">
        <v>3705</v>
      </c>
      <c r="D325">
        <v>1.6744000000000001</v>
      </c>
      <c r="E325">
        <v>8.7622</v>
      </c>
      <c r="F325">
        <v>0.23330000000000001</v>
      </c>
      <c r="G325" s="284">
        <f t="shared" si="34"/>
        <v>8.9954999999999998</v>
      </c>
      <c r="H325" s="284">
        <v>8.7754999999999992</v>
      </c>
      <c r="I325" s="284">
        <f>G325-H325</f>
        <v>0.22000000000000064</v>
      </c>
      <c r="J325" s="283">
        <f t="shared" si="36"/>
        <v>1.3299999999999368E-2</v>
      </c>
      <c r="K325" s="285">
        <f t="shared" si="37"/>
        <v>5.7008144020571656</v>
      </c>
      <c r="L325">
        <v>24</v>
      </c>
      <c r="M325" s="16">
        <v>43395</v>
      </c>
      <c r="N325" s="16">
        <v>43396</v>
      </c>
      <c r="R325" s="285"/>
    </row>
    <row r="326" spans="1:18">
      <c r="A326" t="s">
        <v>1177</v>
      </c>
      <c r="C326" t="s">
        <v>3693</v>
      </c>
      <c r="D326">
        <v>0.50749999999999995</v>
      </c>
      <c r="E326">
        <v>10.617800000000001</v>
      </c>
      <c r="F326">
        <v>0.21629999999999999</v>
      </c>
      <c r="G326" s="284">
        <f t="shared" si="34"/>
        <v>10.834100000000001</v>
      </c>
      <c r="H326" s="284">
        <v>10.649900000000001</v>
      </c>
      <c r="I326" s="284">
        <f>(G326-H326)</f>
        <v>0.18420000000000059</v>
      </c>
      <c r="J326" s="283">
        <f t="shared" si="36"/>
        <v>3.2099999999999407E-2</v>
      </c>
      <c r="K326" s="285">
        <f t="shared" si="37"/>
        <v>14.840499306518451</v>
      </c>
      <c r="L326">
        <v>20</v>
      </c>
      <c r="M326" s="286">
        <v>43360</v>
      </c>
      <c r="N326" s="286">
        <v>43361</v>
      </c>
      <c r="R326" s="285"/>
    </row>
    <row r="327" spans="1:18">
      <c r="A327" t="s">
        <v>1176</v>
      </c>
      <c r="C327" t="s">
        <v>3754</v>
      </c>
      <c r="D327">
        <v>1.1621999999999999</v>
      </c>
      <c r="E327">
        <v>8.0650999999999993</v>
      </c>
      <c r="F327">
        <v>0.21479999999999999</v>
      </c>
      <c r="G327" s="284">
        <f t="shared" si="34"/>
        <v>8.2798999999999996</v>
      </c>
      <c r="H327" s="284">
        <v>8.0850000000000009</v>
      </c>
      <c r="I327" s="284">
        <f t="shared" ref="I327:I335" si="39">G327-H327</f>
        <v>0.19489999999999874</v>
      </c>
      <c r="J327" s="283">
        <f t="shared" si="36"/>
        <v>1.990000000000125E-2</v>
      </c>
      <c r="K327" s="285">
        <f t="shared" si="37"/>
        <v>9.2644320297957403</v>
      </c>
      <c r="L327">
        <v>14</v>
      </c>
      <c r="M327" s="286">
        <v>43363</v>
      </c>
      <c r="N327" s="286">
        <v>43364</v>
      </c>
      <c r="O327" s="283" t="s">
        <v>3756</v>
      </c>
      <c r="R327" s="285"/>
    </row>
    <row r="328" spans="1:18">
      <c r="A328" t="s">
        <v>1171</v>
      </c>
      <c r="C328" t="s">
        <v>3779</v>
      </c>
      <c r="D328">
        <v>1.7639</v>
      </c>
      <c r="E328">
        <v>8.1178000000000008</v>
      </c>
      <c r="F328">
        <v>0.21160000000000001</v>
      </c>
      <c r="G328" s="284">
        <f t="shared" si="34"/>
        <v>8.3294000000000015</v>
      </c>
      <c r="H328" s="284">
        <v>8.1304999999999996</v>
      </c>
      <c r="I328" s="284">
        <f t="shared" si="39"/>
        <v>0.19890000000000185</v>
      </c>
      <c r="J328" s="283">
        <f t="shared" si="36"/>
        <v>1.2699999999998157E-2</v>
      </c>
      <c r="K328" s="285">
        <f t="shared" si="37"/>
        <v>6.0018903591673709</v>
      </c>
      <c r="L328">
        <v>39</v>
      </c>
      <c r="M328">
        <v>23.101800000000001</v>
      </c>
      <c r="N328" s="16">
        <v>43397</v>
      </c>
      <c r="R328" s="285"/>
    </row>
    <row r="329" spans="1:18">
      <c r="A329" t="s">
        <v>1962</v>
      </c>
      <c r="C329" t="s">
        <v>3700</v>
      </c>
      <c r="D329">
        <v>1.7779</v>
      </c>
      <c r="E329">
        <v>8.7691999999999997</v>
      </c>
      <c r="F329">
        <v>0.21510000000000001</v>
      </c>
      <c r="G329" s="284">
        <f t="shared" si="34"/>
        <v>8.9842999999999993</v>
      </c>
      <c r="H329" s="284">
        <v>8.7835999999999999</v>
      </c>
      <c r="I329" s="284">
        <f t="shared" si="39"/>
        <v>0.20069999999999943</v>
      </c>
      <c r="J329" s="283">
        <f t="shared" si="36"/>
        <v>1.4400000000000579E-2</v>
      </c>
      <c r="K329" s="285">
        <f t="shared" si="37"/>
        <v>6.6945606694563358</v>
      </c>
      <c r="L329">
        <v>36</v>
      </c>
      <c r="M329" s="286">
        <v>43360</v>
      </c>
      <c r="N329" s="286">
        <v>43361</v>
      </c>
      <c r="R329" s="285"/>
    </row>
    <row r="330" spans="1:18">
      <c r="A330" t="s">
        <v>1960</v>
      </c>
      <c r="B330">
        <v>194</v>
      </c>
      <c r="D330">
        <v>0.54149999999999998</v>
      </c>
      <c r="E330">
        <v>10.521800000000001</v>
      </c>
      <c r="F330">
        <v>0.20230000000000001</v>
      </c>
      <c r="G330" s="284">
        <f t="shared" si="34"/>
        <v>10.7241</v>
      </c>
      <c r="H330" s="284">
        <v>10.5532</v>
      </c>
      <c r="I330" s="284">
        <f t="shared" si="39"/>
        <v>0.17089999999999961</v>
      </c>
      <c r="J330" s="283">
        <f t="shared" si="36"/>
        <v>3.14000000000004E-2</v>
      </c>
      <c r="K330" s="285">
        <f t="shared" si="37"/>
        <v>15.52150271873475</v>
      </c>
      <c r="L330">
        <v>9</v>
      </c>
      <c r="M330" s="16">
        <v>43395</v>
      </c>
      <c r="N330" s="16">
        <v>43396</v>
      </c>
      <c r="R330" s="285"/>
    </row>
    <row r="331" spans="1:18">
      <c r="A331" t="s">
        <v>1959</v>
      </c>
      <c r="C331" t="s">
        <v>3727</v>
      </c>
      <c r="D331">
        <v>1.7264999999999999</v>
      </c>
      <c r="E331">
        <v>7.8612000000000002</v>
      </c>
      <c r="F331">
        <v>0.21329999999999999</v>
      </c>
      <c r="G331" s="284">
        <f t="shared" si="34"/>
        <v>8.0745000000000005</v>
      </c>
      <c r="H331" s="284">
        <v>7.8733000000000004</v>
      </c>
      <c r="I331" s="284">
        <f t="shared" si="39"/>
        <v>0.20120000000000005</v>
      </c>
      <c r="J331" s="283">
        <f t="shared" si="36"/>
        <v>1.2099999999999944E-2</v>
      </c>
      <c r="K331" s="285">
        <f t="shared" si="37"/>
        <v>5.6727613689638741</v>
      </c>
      <c r="L331">
        <v>29</v>
      </c>
      <c r="M331" s="16">
        <v>43381</v>
      </c>
      <c r="N331" s="16">
        <v>43382</v>
      </c>
      <c r="R331" s="285"/>
    </row>
    <row r="332" spans="1:18">
      <c r="A332" t="s">
        <v>1958</v>
      </c>
      <c r="B332">
        <v>209</v>
      </c>
      <c r="C332" t="s">
        <v>2504</v>
      </c>
      <c r="D332">
        <v>0.57469999999999999</v>
      </c>
      <c r="E332">
        <v>10.567600000000001</v>
      </c>
      <c r="F332">
        <v>0.2059</v>
      </c>
      <c r="G332" s="284">
        <f t="shared" si="34"/>
        <v>10.7735</v>
      </c>
      <c r="H332" s="284">
        <v>10.603400000000001</v>
      </c>
      <c r="I332" s="284">
        <f t="shared" si="39"/>
        <v>0.1700999999999997</v>
      </c>
      <c r="J332" s="283">
        <f t="shared" si="36"/>
        <v>3.5800000000000304E-2</v>
      </c>
      <c r="K332" s="285">
        <f t="shared" si="37"/>
        <v>17.387081107333806</v>
      </c>
      <c r="L332">
        <v>12</v>
      </c>
      <c r="M332" s="16">
        <v>43399</v>
      </c>
      <c r="N332" s="16">
        <v>43400</v>
      </c>
      <c r="R332" s="285"/>
    </row>
    <row r="333" spans="1:18">
      <c r="A333" t="s">
        <v>1957</v>
      </c>
      <c r="B333">
        <v>210</v>
      </c>
      <c r="D333">
        <v>0.63739999999999997</v>
      </c>
      <c r="E333">
        <v>10.117599999999999</v>
      </c>
      <c r="F333">
        <v>0.217</v>
      </c>
      <c r="G333" s="284">
        <f t="shared" si="34"/>
        <v>10.3346</v>
      </c>
      <c r="H333" s="284">
        <v>10.147600000000001</v>
      </c>
      <c r="I333" s="284">
        <f t="shared" si="39"/>
        <v>0.18699999999999939</v>
      </c>
      <c r="J333" s="283">
        <f t="shared" si="36"/>
        <v>3.000000000000061E-2</v>
      </c>
      <c r="K333" s="285">
        <f t="shared" si="37"/>
        <v>13.82488479262701</v>
      </c>
      <c r="L333">
        <v>7</v>
      </c>
      <c r="M333" s="16">
        <v>43395</v>
      </c>
      <c r="N333" s="16">
        <v>43396</v>
      </c>
      <c r="R333" s="285"/>
    </row>
    <row r="334" spans="1:18">
      <c r="A334" t="s">
        <v>1956</v>
      </c>
      <c r="B334">
        <v>209</v>
      </c>
      <c r="C334" t="s">
        <v>2504</v>
      </c>
      <c r="D334">
        <v>0.58240000000000003</v>
      </c>
      <c r="E334">
        <v>11.8644</v>
      </c>
      <c r="F334">
        <v>0.2021</v>
      </c>
      <c r="G334">
        <f t="shared" si="34"/>
        <v>12.0665</v>
      </c>
      <c r="H334">
        <v>11.903700000000001</v>
      </c>
      <c r="I334" s="284">
        <f t="shared" si="39"/>
        <v>0.16279999999999895</v>
      </c>
      <c r="J334" s="283">
        <f t="shared" si="36"/>
        <v>3.9300000000001056E-2</v>
      </c>
      <c r="K334" s="285">
        <f t="shared" si="37"/>
        <v>19.445818901534416</v>
      </c>
      <c r="L334">
        <v>7</v>
      </c>
      <c r="M334" s="16">
        <v>43402</v>
      </c>
      <c r="N334" s="16">
        <v>43403</v>
      </c>
      <c r="R334" s="285"/>
    </row>
    <row r="335" spans="1:18">
      <c r="A335" t="s">
        <v>1955</v>
      </c>
      <c r="B335">
        <v>216</v>
      </c>
      <c r="D335">
        <v>0.63270000000000004</v>
      </c>
      <c r="E335">
        <v>8.1205999999999996</v>
      </c>
      <c r="F335">
        <v>0.23319999999999999</v>
      </c>
      <c r="G335" s="284">
        <f t="shared" si="34"/>
        <v>8.3537999999999997</v>
      </c>
      <c r="H335" s="284">
        <v>8.1773000000000007</v>
      </c>
      <c r="I335" s="284">
        <f t="shared" si="39"/>
        <v>0.17649999999999899</v>
      </c>
      <c r="J335" s="283">
        <f t="shared" si="36"/>
        <v>5.6700000000001E-2</v>
      </c>
      <c r="K335" s="285">
        <f t="shared" si="37"/>
        <v>24.313893653516725</v>
      </c>
      <c r="L335">
        <v>34</v>
      </c>
      <c r="M335" s="16">
        <v>43395</v>
      </c>
      <c r="N335" s="16">
        <v>43396</v>
      </c>
      <c r="R335" s="285"/>
    </row>
    <row r="336" spans="1:18">
      <c r="A336" t="s">
        <v>1954</v>
      </c>
      <c r="C336" t="s">
        <v>3720</v>
      </c>
      <c r="D336">
        <f>0.3786+0.2037</f>
        <v>0.58230000000000004</v>
      </c>
      <c r="E336">
        <v>7.5293999999999999</v>
      </c>
      <c r="F336">
        <v>0.20369999999999999</v>
      </c>
      <c r="G336" s="284">
        <f t="shared" si="34"/>
        <v>7.7331000000000003</v>
      </c>
      <c r="H336" s="284">
        <v>7.5602</v>
      </c>
      <c r="I336" s="284">
        <f>(G336-H336)</f>
        <v>0.17290000000000028</v>
      </c>
      <c r="J336" s="283">
        <f t="shared" si="36"/>
        <v>3.0799999999999716E-2</v>
      </c>
      <c r="K336" s="285">
        <f t="shared" si="37"/>
        <v>15.120274914089208</v>
      </c>
      <c r="L336">
        <v>28</v>
      </c>
      <c r="M336" s="286">
        <v>43360</v>
      </c>
      <c r="N336" s="286">
        <v>43361</v>
      </c>
      <c r="O336" s="283" t="s">
        <v>3707</v>
      </c>
      <c r="R336" s="285"/>
    </row>
    <row r="337" spans="1:18">
      <c r="A337" t="s">
        <v>1953</v>
      </c>
      <c r="C337" t="s">
        <v>3669</v>
      </c>
      <c r="D337">
        <v>1.6101000000000001</v>
      </c>
      <c r="E337">
        <v>8.7728999999999999</v>
      </c>
      <c r="F337">
        <v>0.2054</v>
      </c>
      <c r="G337" s="284">
        <f t="shared" si="34"/>
        <v>8.9782999999999991</v>
      </c>
      <c r="H337" s="284">
        <v>8.7844999999999995</v>
      </c>
      <c r="I337" s="284">
        <f>(G337-H337)</f>
        <v>0.19379999999999953</v>
      </c>
      <c r="J337" s="283">
        <f t="shared" si="36"/>
        <v>1.1600000000000471E-2</v>
      </c>
      <c r="K337" s="285">
        <f t="shared" si="37"/>
        <v>5.6475170399223327</v>
      </c>
      <c r="L337">
        <v>16</v>
      </c>
      <c r="M337" s="286">
        <v>43355.625</v>
      </c>
      <c r="N337" s="286">
        <v>43355.791666666664</v>
      </c>
      <c r="O337" s="283" t="s">
        <v>3659</v>
      </c>
      <c r="R337" s="285"/>
    </row>
    <row r="338" spans="1:18">
      <c r="A338" t="s">
        <v>1951</v>
      </c>
      <c r="C338" t="s">
        <v>3705</v>
      </c>
      <c r="D338">
        <v>1.7537</v>
      </c>
      <c r="E338">
        <v>9.3231999999999999</v>
      </c>
      <c r="F338">
        <v>0.2157</v>
      </c>
      <c r="G338" s="284">
        <f t="shared" si="34"/>
        <v>9.5388999999999999</v>
      </c>
      <c r="H338" s="284">
        <v>9.3364999999999991</v>
      </c>
      <c r="I338" s="284">
        <f t="shared" ref="I338:I350" si="40">G338-H338</f>
        <v>0.2024000000000008</v>
      </c>
      <c r="J338" s="283">
        <f t="shared" si="36"/>
        <v>1.3299999999999201E-2</v>
      </c>
      <c r="K338" s="285">
        <f t="shared" si="37"/>
        <v>6.1659712563742239</v>
      </c>
      <c r="L338">
        <v>6</v>
      </c>
      <c r="M338" s="16">
        <v>43399</v>
      </c>
      <c r="N338" s="16">
        <v>43400</v>
      </c>
      <c r="R338" s="285"/>
    </row>
    <row r="339" spans="1:18">
      <c r="A339" t="s">
        <v>1035</v>
      </c>
      <c r="C339" t="s">
        <v>3705</v>
      </c>
      <c r="D339">
        <v>1.8883000000000001</v>
      </c>
      <c r="E339">
        <v>11.173299999999999</v>
      </c>
      <c r="F339">
        <v>0.20080000000000001</v>
      </c>
      <c r="G339" s="288">
        <f t="shared" si="34"/>
        <v>11.374099999999999</v>
      </c>
      <c r="H339" s="284">
        <v>11.1785</v>
      </c>
      <c r="I339" s="288">
        <f t="shared" si="40"/>
        <v>0.19559999999999889</v>
      </c>
      <c r="J339" s="283">
        <f t="shared" si="36"/>
        <v>5.2000000000011204E-3</v>
      </c>
      <c r="K339" s="285">
        <f t="shared" si="37"/>
        <v>2.5896414342635063</v>
      </c>
      <c r="L339">
        <v>8</v>
      </c>
      <c r="M339" s="286">
        <v>43379</v>
      </c>
      <c r="N339" s="286">
        <v>43379</v>
      </c>
      <c r="O339" s="283"/>
      <c r="R339" s="285"/>
    </row>
    <row r="340" spans="1:18">
      <c r="A340" t="s">
        <v>1033</v>
      </c>
      <c r="C340" t="s">
        <v>3778</v>
      </c>
      <c r="D340">
        <v>1.8230999999999999</v>
      </c>
      <c r="E340">
        <v>8.1364999999999998</v>
      </c>
      <c r="F340">
        <v>0.20499999999999999</v>
      </c>
      <c r="G340" s="284">
        <f t="shared" si="34"/>
        <v>8.3414999999999999</v>
      </c>
      <c r="H340" s="284">
        <v>8.1417999999999999</v>
      </c>
      <c r="I340" s="284">
        <f t="shared" si="40"/>
        <v>0.19969999999999999</v>
      </c>
      <c r="J340" s="283">
        <f t="shared" si="36"/>
        <v>5.2999999999999992E-3</v>
      </c>
      <c r="K340" s="285">
        <f t="shared" si="37"/>
        <v>2.5853658536585367</v>
      </c>
      <c r="L340">
        <v>10</v>
      </c>
      <c r="M340" s="16">
        <v>43381</v>
      </c>
      <c r="N340" s="16">
        <v>43382</v>
      </c>
      <c r="R340" s="285"/>
    </row>
    <row r="341" spans="1:18">
      <c r="A341" t="s">
        <v>1025</v>
      </c>
      <c r="C341" t="s">
        <v>3476</v>
      </c>
      <c r="D341">
        <v>1.8302</v>
      </c>
      <c r="E341">
        <v>11.121</v>
      </c>
      <c r="F341">
        <v>0.2064</v>
      </c>
      <c r="G341" s="284">
        <f t="shared" ref="G341:G404" si="41">E341+F341</f>
        <v>11.327400000000001</v>
      </c>
      <c r="H341" s="284">
        <v>11.135999999999999</v>
      </c>
      <c r="I341" s="284">
        <f t="shared" si="40"/>
        <v>0.19140000000000157</v>
      </c>
      <c r="J341" s="283">
        <f t="shared" si="36"/>
        <v>1.4999999999998431E-2</v>
      </c>
      <c r="K341" s="285">
        <f t="shared" si="37"/>
        <v>7.2674418604643565</v>
      </c>
      <c r="L341">
        <v>17</v>
      </c>
      <c r="M341" s="286">
        <v>43374</v>
      </c>
      <c r="N341" s="286">
        <v>43375</v>
      </c>
      <c r="O341" s="283" t="s">
        <v>3730</v>
      </c>
      <c r="R341" s="285"/>
    </row>
    <row r="342" spans="1:18">
      <c r="A342" t="s">
        <v>1023</v>
      </c>
      <c r="C342" t="s">
        <v>3498</v>
      </c>
      <c r="D342">
        <v>0.50219999999999998</v>
      </c>
      <c r="E342">
        <v>7.4756</v>
      </c>
      <c r="F342">
        <v>0.20219999999999999</v>
      </c>
      <c r="G342" s="284">
        <f t="shared" si="41"/>
        <v>7.6778000000000004</v>
      </c>
      <c r="H342" s="284">
        <v>7.6318000000000001</v>
      </c>
      <c r="I342" s="284">
        <f t="shared" si="40"/>
        <v>4.6000000000000263E-2</v>
      </c>
      <c r="J342" s="283">
        <f t="shared" si="36"/>
        <v>0.15619999999999973</v>
      </c>
      <c r="K342" s="285">
        <f t="shared" si="37"/>
        <v>77.250247279920742</v>
      </c>
      <c r="L342">
        <v>26</v>
      </c>
      <c r="M342" s="286">
        <v>43374</v>
      </c>
      <c r="N342" s="286">
        <v>43375</v>
      </c>
      <c r="O342" s="283" t="s">
        <v>3730</v>
      </c>
      <c r="R342" s="285"/>
    </row>
    <row r="343" spans="1:18">
      <c r="A343" t="s">
        <v>1014</v>
      </c>
      <c r="C343" t="s">
        <v>3416</v>
      </c>
      <c r="D343">
        <v>1.6020000000000001</v>
      </c>
      <c r="E343">
        <v>10.5227</v>
      </c>
      <c r="F343">
        <v>0.20680000000000001</v>
      </c>
      <c r="G343">
        <f t="shared" si="41"/>
        <v>10.7295</v>
      </c>
      <c r="H343">
        <v>10.5566</v>
      </c>
      <c r="I343" s="284">
        <f t="shared" si="40"/>
        <v>0.17290000000000028</v>
      </c>
      <c r="J343" s="283">
        <f t="shared" si="36"/>
        <v>3.3899999999999736E-2</v>
      </c>
      <c r="K343" s="285">
        <f t="shared" si="37"/>
        <v>16.392649903288074</v>
      </c>
      <c r="L343">
        <v>14</v>
      </c>
      <c r="M343" s="16">
        <v>43399</v>
      </c>
      <c r="N343" s="16">
        <v>43400</v>
      </c>
      <c r="R343" s="285"/>
    </row>
    <row r="344" spans="1:18">
      <c r="A344" t="s">
        <v>1128</v>
      </c>
      <c r="C344" t="s">
        <v>3695</v>
      </c>
      <c r="D344">
        <v>0.38569999999999999</v>
      </c>
      <c r="E344">
        <v>9.1988000000000003</v>
      </c>
      <c r="F344">
        <v>0.20050000000000001</v>
      </c>
      <c r="G344" s="284">
        <f t="shared" si="41"/>
        <v>9.3993000000000002</v>
      </c>
      <c r="H344" s="284">
        <v>9.3762000000000008</v>
      </c>
      <c r="I344" s="284">
        <f t="shared" si="40"/>
        <v>2.3099999999999454E-2</v>
      </c>
      <c r="J344" s="283">
        <f t="shared" si="36"/>
        <v>0.17740000000000056</v>
      </c>
      <c r="K344" s="285">
        <f t="shared" si="37"/>
        <v>88.478802992518979</v>
      </c>
      <c r="L344">
        <v>8</v>
      </c>
      <c r="M344" s="16">
        <v>43399</v>
      </c>
      <c r="N344" s="16">
        <v>43400</v>
      </c>
      <c r="R344" s="285"/>
    </row>
    <row r="345" spans="1:18">
      <c r="A345" t="s">
        <v>1010</v>
      </c>
      <c r="B345">
        <v>197</v>
      </c>
      <c r="D345">
        <v>1.4252</v>
      </c>
      <c r="E345">
        <v>11.1074</v>
      </c>
      <c r="F345">
        <v>0.2205</v>
      </c>
      <c r="G345" s="284">
        <f t="shared" si="41"/>
        <v>11.3279</v>
      </c>
      <c r="H345" s="284">
        <v>11.1258</v>
      </c>
      <c r="I345" s="284">
        <f t="shared" si="40"/>
        <v>0.20209999999999972</v>
      </c>
      <c r="J345" s="283">
        <f t="shared" si="36"/>
        <v>1.8400000000000277E-2</v>
      </c>
      <c r="K345" s="285">
        <f t="shared" si="37"/>
        <v>8.3446712018141849</v>
      </c>
      <c r="L345">
        <v>34</v>
      </c>
      <c r="M345" s="16">
        <v>43388</v>
      </c>
      <c r="N345" s="286">
        <v>43389</v>
      </c>
      <c r="O345" s="16"/>
      <c r="R345" s="285"/>
    </row>
    <row r="346" spans="1:18">
      <c r="A346" t="s">
        <v>1001</v>
      </c>
      <c r="C346" t="s">
        <v>3686</v>
      </c>
      <c r="D346" s="283">
        <v>1.8002</v>
      </c>
      <c r="E346" s="284">
        <v>9.2352000000000007</v>
      </c>
      <c r="F346" s="284">
        <v>0.21190000000000001</v>
      </c>
      <c r="G346" s="284">
        <f t="shared" si="41"/>
        <v>9.4471000000000007</v>
      </c>
      <c r="H346" s="284">
        <v>9.2417999999999996</v>
      </c>
      <c r="I346" s="284">
        <f t="shared" si="40"/>
        <v>0.20530000000000115</v>
      </c>
      <c r="J346" s="283">
        <f t="shared" si="36"/>
        <v>6.5999999999988568E-3</v>
      </c>
      <c r="K346" s="285">
        <f t="shared" si="37"/>
        <v>3.1146767343080963</v>
      </c>
      <c r="L346" s="283">
        <v>1</v>
      </c>
      <c r="M346" s="286">
        <v>43363</v>
      </c>
      <c r="N346" s="286">
        <v>43364</v>
      </c>
      <c r="O346" s="283" t="s">
        <v>3756</v>
      </c>
      <c r="P346" s="283"/>
      <c r="R346" s="285"/>
    </row>
    <row r="347" spans="1:18">
      <c r="A347" t="s">
        <v>979</v>
      </c>
      <c r="C347" t="s">
        <v>3742</v>
      </c>
      <c r="D347">
        <v>1.7994000000000001</v>
      </c>
      <c r="E347">
        <v>9.3194999999999997</v>
      </c>
      <c r="F347">
        <v>0.20300000000000001</v>
      </c>
      <c r="G347" s="284">
        <f t="shared" si="41"/>
        <v>9.5224999999999991</v>
      </c>
      <c r="H347" s="284">
        <v>9.3268000000000004</v>
      </c>
      <c r="I347" s="284">
        <f t="shared" si="40"/>
        <v>0.19569999999999865</v>
      </c>
      <c r="J347" s="283">
        <f t="shared" si="36"/>
        <v>7.300000000001361E-3</v>
      </c>
      <c r="K347" s="285">
        <f t="shared" si="37"/>
        <v>3.596059113301163</v>
      </c>
      <c r="L347">
        <v>35</v>
      </c>
      <c r="M347">
        <v>23.101800000000001</v>
      </c>
      <c r="N347" s="16">
        <v>43397</v>
      </c>
      <c r="R347" s="285"/>
    </row>
    <row r="348" spans="1:18">
      <c r="A348" t="s">
        <v>978</v>
      </c>
      <c r="C348" t="s">
        <v>3776</v>
      </c>
      <c r="D348">
        <v>1.8096000000000001</v>
      </c>
      <c r="E348">
        <v>10.145899999999999</v>
      </c>
      <c r="F348">
        <v>0.20499999999999999</v>
      </c>
      <c r="G348" s="284">
        <f t="shared" si="41"/>
        <v>10.350899999999999</v>
      </c>
      <c r="H348" s="284">
        <v>10.1517</v>
      </c>
      <c r="I348" s="284">
        <f t="shared" si="40"/>
        <v>0.19919999999999938</v>
      </c>
      <c r="J348" s="283">
        <f t="shared" ref="J348:J411" si="42">F348-I348</f>
        <v>5.8000000000006102E-3</v>
      </c>
      <c r="K348" s="285">
        <f t="shared" ref="K348:K411" si="43">(J348/F348)*100</f>
        <v>2.8292682926832247</v>
      </c>
      <c r="L348">
        <v>3</v>
      </c>
      <c r="M348" s="16">
        <v>43388</v>
      </c>
      <c r="N348" s="286">
        <v>43389</v>
      </c>
      <c r="O348" s="286"/>
      <c r="P348" s="283"/>
      <c r="R348" s="285"/>
    </row>
    <row r="349" spans="1:18">
      <c r="A349" t="s">
        <v>971</v>
      </c>
      <c r="C349" t="s">
        <v>3476</v>
      </c>
      <c r="D349">
        <v>1.5750999999999999</v>
      </c>
      <c r="E349">
        <v>8.2200000000000006</v>
      </c>
      <c r="F349">
        <v>0.21540000000000001</v>
      </c>
      <c r="G349" s="284">
        <f t="shared" si="41"/>
        <v>8.4354000000000013</v>
      </c>
      <c r="H349" s="284">
        <v>8.2370999999999999</v>
      </c>
      <c r="I349" s="284">
        <f t="shared" si="40"/>
        <v>0.19830000000000148</v>
      </c>
      <c r="J349" s="283">
        <f t="shared" si="42"/>
        <v>1.7099999999998533E-2</v>
      </c>
      <c r="K349" s="285">
        <f t="shared" si="43"/>
        <v>7.9387186629519642</v>
      </c>
      <c r="L349">
        <v>31</v>
      </c>
      <c r="M349" s="286">
        <v>43374</v>
      </c>
      <c r="N349" s="286">
        <v>43375</v>
      </c>
      <c r="O349" s="283" t="s">
        <v>3730</v>
      </c>
      <c r="R349" s="285"/>
    </row>
    <row r="350" spans="1:18">
      <c r="A350" t="s">
        <v>968</v>
      </c>
      <c r="C350" t="s">
        <v>3763</v>
      </c>
      <c r="D350">
        <v>1.3748</v>
      </c>
      <c r="E350">
        <v>10.567399999999999</v>
      </c>
      <c r="F350">
        <v>0.22450000000000001</v>
      </c>
      <c r="G350" s="284">
        <f t="shared" si="41"/>
        <v>10.7919</v>
      </c>
      <c r="H350" s="284">
        <v>10.5876</v>
      </c>
      <c r="I350" s="284">
        <f t="shared" si="40"/>
        <v>0.20429999999999993</v>
      </c>
      <c r="J350" s="283">
        <f t="shared" si="42"/>
        <v>2.0200000000000079E-2</v>
      </c>
      <c r="K350" s="285">
        <f t="shared" si="43"/>
        <v>8.9977728285078307</v>
      </c>
      <c r="L350">
        <v>2</v>
      </c>
      <c r="M350" s="286">
        <v>43374</v>
      </c>
      <c r="N350" s="286">
        <v>43375</v>
      </c>
      <c r="O350" s="283" t="s">
        <v>3730</v>
      </c>
      <c r="R350" s="285"/>
    </row>
    <row r="351" spans="1:18">
      <c r="A351" t="s">
        <v>967</v>
      </c>
      <c r="C351" t="s">
        <v>3666</v>
      </c>
      <c r="D351">
        <v>1.8367</v>
      </c>
      <c r="E351">
        <v>10.702299999999999</v>
      </c>
      <c r="F351">
        <v>0.19900000000000001</v>
      </c>
      <c r="G351" s="284">
        <f t="shared" si="41"/>
        <v>10.901299999999999</v>
      </c>
      <c r="H351" s="284">
        <v>10.707800000000001</v>
      </c>
      <c r="I351" s="284">
        <f>(G351-H351)</f>
        <v>0.19349999999999845</v>
      </c>
      <c r="J351" s="283">
        <f t="shared" si="42"/>
        <v>5.5000000000015592E-3</v>
      </c>
      <c r="K351" s="285">
        <f t="shared" si="43"/>
        <v>2.7638190954781701</v>
      </c>
      <c r="L351">
        <v>4</v>
      </c>
      <c r="M351" s="16">
        <v>43358</v>
      </c>
      <c r="N351" s="16">
        <v>43358</v>
      </c>
      <c r="R351" s="285"/>
    </row>
    <row r="352" spans="1:18">
      <c r="A352" t="s">
        <v>966</v>
      </c>
      <c r="C352" t="s">
        <v>3461</v>
      </c>
      <c r="D352">
        <v>1.6423000000000001</v>
      </c>
      <c r="E352">
        <v>19.650099999999998</v>
      </c>
      <c r="F352">
        <v>0.21940000000000001</v>
      </c>
      <c r="G352" s="284">
        <f t="shared" si="41"/>
        <v>19.869499999999999</v>
      </c>
      <c r="H352" s="284">
        <v>19.6755</v>
      </c>
      <c r="I352" s="284">
        <f>G352-H352</f>
        <v>0.19399999999999906</v>
      </c>
      <c r="J352" s="283">
        <f t="shared" si="42"/>
        <v>2.540000000000095E-2</v>
      </c>
      <c r="K352" s="285">
        <f t="shared" si="43"/>
        <v>11.577028258888308</v>
      </c>
      <c r="L352">
        <v>40</v>
      </c>
      <c r="M352" s="286">
        <v>43363</v>
      </c>
      <c r="N352" s="286">
        <v>43364</v>
      </c>
      <c r="O352" s="283" t="s">
        <v>3756</v>
      </c>
      <c r="R352" s="285"/>
    </row>
    <row r="353" spans="1:18">
      <c r="A353" t="s">
        <v>963</v>
      </c>
      <c r="B353">
        <v>219</v>
      </c>
      <c r="C353" t="s">
        <v>2504</v>
      </c>
      <c r="D353">
        <v>1.6102000000000001</v>
      </c>
      <c r="E353">
        <v>10.056800000000001</v>
      </c>
      <c r="F353">
        <v>0.20169999999999999</v>
      </c>
      <c r="G353" s="284">
        <f t="shared" si="41"/>
        <v>10.258500000000002</v>
      </c>
      <c r="H353" s="284">
        <v>10.0954</v>
      </c>
      <c r="I353" s="284">
        <f>G353-H353</f>
        <v>0.1631000000000018</v>
      </c>
      <c r="J353" s="283">
        <f t="shared" si="42"/>
        <v>3.8599999999998191E-2</v>
      </c>
      <c r="K353" s="285">
        <f t="shared" si="43"/>
        <v>19.137332672284675</v>
      </c>
      <c r="L353">
        <v>24</v>
      </c>
      <c r="M353">
        <v>23.101800000000001</v>
      </c>
      <c r="N353" s="16">
        <v>43397</v>
      </c>
      <c r="R353" s="285"/>
    </row>
    <row r="354" spans="1:18">
      <c r="A354" t="s">
        <v>962</v>
      </c>
      <c r="C354" t="s">
        <v>3459</v>
      </c>
      <c r="D354">
        <v>1.5268999999999999</v>
      </c>
      <c r="E354">
        <v>10.541600000000001</v>
      </c>
      <c r="F354">
        <v>0.2069</v>
      </c>
      <c r="G354" s="284">
        <f t="shared" si="41"/>
        <v>10.7485</v>
      </c>
      <c r="H354" s="284">
        <v>10.5534</v>
      </c>
      <c r="I354" s="284">
        <f>G354-H354</f>
        <v>0.19510000000000005</v>
      </c>
      <c r="J354" s="283">
        <f t="shared" si="42"/>
        <v>1.1799999999999949E-2</v>
      </c>
      <c r="K354" s="285">
        <f t="shared" si="43"/>
        <v>5.7032382793619867</v>
      </c>
      <c r="L354">
        <v>26</v>
      </c>
      <c r="M354" s="286">
        <v>43362</v>
      </c>
      <c r="N354" s="286">
        <v>43363</v>
      </c>
      <c r="R354" s="285"/>
    </row>
    <row r="355" spans="1:18">
      <c r="A355" t="s">
        <v>1123</v>
      </c>
      <c r="C355" t="s">
        <v>3472</v>
      </c>
      <c r="D355">
        <v>0.83740000000000003</v>
      </c>
      <c r="E355">
        <v>9.4870999999999999</v>
      </c>
      <c r="F355">
        <v>0.2258</v>
      </c>
      <c r="G355" s="284">
        <f t="shared" si="41"/>
        <v>9.7128999999999994</v>
      </c>
      <c r="H355" s="284">
        <v>9.6941000000000006</v>
      </c>
      <c r="I355" s="284">
        <f>G355-H355</f>
        <v>1.8799999999998818E-2</v>
      </c>
      <c r="J355" s="283">
        <f t="shared" si="42"/>
        <v>0.20700000000000118</v>
      </c>
      <c r="K355" s="285">
        <f t="shared" si="43"/>
        <v>91.674047829938516</v>
      </c>
      <c r="L355">
        <v>22</v>
      </c>
      <c r="M355" s="16">
        <v>43381</v>
      </c>
      <c r="N355" s="16">
        <v>43382</v>
      </c>
      <c r="R355" s="285"/>
    </row>
    <row r="356" spans="1:18">
      <c r="A356" t="s">
        <v>961</v>
      </c>
      <c r="C356" t="s">
        <v>3697</v>
      </c>
      <c r="D356">
        <v>1.8092999999999999</v>
      </c>
      <c r="E356">
        <v>9.8216000000000001</v>
      </c>
      <c r="F356">
        <v>0.2099</v>
      </c>
      <c r="G356" s="284">
        <f t="shared" si="41"/>
        <v>10.031499999999999</v>
      </c>
      <c r="H356" s="284">
        <v>9.8270999999999997</v>
      </c>
      <c r="I356" s="284">
        <f>(G356-H356)</f>
        <v>0.20439999999999969</v>
      </c>
      <c r="J356" s="283">
        <f t="shared" si="42"/>
        <v>5.5000000000003102E-3</v>
      </c>
      <c r="K356" s="285">
        <f t="shared" si="43"/>
        <v>2.6202953787519343</v>
      </c>
      <c r="L356">
        <v>25</v>
      </c>
      <c r="M356" s="286">
        <v>43360</v>
      </c>
      <c r="N356" s="286">
        <v>43361</v>
      </c>
      <c r="O356" s="283" t="s">
        <v>3707</v>
      </c>
      <c r="R356" s="285"/>
    </row>
    <row r="357" spans="1:18">
      <c r="A357" t="s">
        <v>961</v>
      </c>
      <c r="C357" t="s">
        <v>3785</v>
      </c>
      <c r="D357">
        <v>1.3980999999999999</v>
      </c>
      <c r="E357">
        <v>7.907</v>
      </c>
      <c r="F357">
        <v>0.2135</v>
      </c>
      <c r="G357" s="284">
        <f t="shared" si="41"/>
        <v>8.1204999999999998</v>
      </c>
      <c r="H357" s="284">
        <v>7.9187000000000003</v>
      </c>
      <c r="I357" s="284">
        <f>G357-H357</f>
        <v>0.20179999999999954</v>
      </c>
      <c r="J357" s="283">
        <f t="shared" si="42"/>
        <v>1.170000000000046E-2</v>
      </c>
      <c r="K357" s="285">
        <f t="shared" si="43"/>
        <v>5.480093676815204</v>
      </c>
      <c r="L357">
        <v>26</v>
      </c>
      <c r="M357" s="16">
        <v>43395</v>
      </c>
      <c r="N357" s="16">
        <v>43396</v>
      </c>
      <c r="R357" s="285"/>
    </row>
    <row r="358" spans="1:18">
      <c r="A358" t="s">
        <v>957</v>
      </c>
      <c r="C358" t="s">
        <v>3430</v>
      </c>
      <c r="D358">
        <v>1.56</v>
      </c>
      <c r="E358">
        <v>10.155099999999999</v>
      </c>
      <c r="F358">
        <v>0.20760000000000001</v>
      </c>
      <c r="G358" s="284">
        <f t="shared" si="41"/>
        <v>10.362699999999998</v>
      </c>
      <c r="H358" s="284">
        <v>10.164300000000001</v>
      </c>
      <c r="I358" s="284">
        <f>G358-H358</f>
        <v>0.19839999999999769</v>
      </c>
      <c r="J358" s="283">
        <f t="shared" si="42"/>
        <v>9.2000000000023174E-3</v>
      </c>
      <c r="K358" s="285">
        <f t="shared" si="43"/>
        <v>4.4315992292882065</v>
      </c>
      <c r="L358">
        <v>18</v>
      </c>
      <c r="M358" s="16">
        <v>43388</v>
      </c>
      <c r="N358" s="286">
        <v>43389</v>
      </c>
      <c r="O358" s="16"/>
      <c r="R358" s="285"/>
    </row>
    <row r="359" spans="1:18">
      <c r="A359" t="s">
        <v>953</v>
      </c>
      <c r="C359" t="s">
        <v>3423</v>
      </c>
      <c r="D359">
        <v>1.5962000000000001</v>
      </c>
      <c r="E359">
        <v>9.1384000000000007</v>
      </c>
      <c r="F359">
        <v>0.20760000000000001</v>
      </c>
      <c r="G359" s="284">
        <f t="shared" si="41"/>
        <v>9.3460000000000001</v>
      </c>
      <c r="H359" s="284">
        <v>9.1475000000000009</v>
      </c>
      <c r="I359" s="284">
        <f>G359-H359</f>
        <v>0.19849999999999923</v>
      </c>
      <c r="J359" s="283">
        <f t="shared" si="42"/>
        <v>9.1000000000007741E-3</v>
      </c>
      <c r="K359" s="285">
        <f t="shared" si="43"/>
        <v>4.3834296724473862</v>
      </c>
      <c r="L359">
        <v>31</v>
      </c>
      <c r="M359">
        <v>23.101800000000001</v>
      </c>
      <c r="N359" s="16">
        <v>43397</v>
      </c>
      <c r="R359" s="285"/>
    </row>
    <row r="360" spans="1:18">
      <c r="A360" t="s">
        <v>950</v>
      </c>
      <c r="C360" t="s">
        <v>3660</v>
      </c>
      <c r="D360">
        <v>1.8129</v>
      </c>
      <c r="E360">
        <v>10.565799999999999</v>
      </c>
      <c r="F360">
        <v>0.2097</v>
      </c>
      <c r="G360" s="284">
        <f t="shared" si="41"/>
        <v>10.775499999999999</v>
      </c>
      <c r="H360" s="284">
        <v>10.569599999999999</v>
      </c>
      <c r="I360" s="284">
        <f>(G360-H360)</f>
        <v>0.20589999999999975</v>
      </c>
      <c r="J360" s="283">
        <f t="shared" si="42"/>
        <v>3.8000000000002476E-3</v>
      </c>
      <c r="K360" s="285">
        <f t="shared" si="43"/>
        <v>1.8121125417263937</v>
      </c>
      <c r="L360">
        <v>2</v>
      </c>
      <c r="M360" s="286">
        <v>43355.625</v>
      </c>
      <c r="N360" s="286">
        <v>43355.791666666664</v>
      </c>
      <c r="O360" s="283" t="s">
        <v>3659</v>
      </c>
      <c r="R360" s="285"/>
    </row>
    <row r="361" spans="1:18">
      <c r="A361" t="s">
        <v>949</v>
      </c>
      <c r="C361" t="s">
        <v>3728</v>
      </c>
      <c r="D361">
        <v>1.8529</v>
      </c>
      <c r="E361">
        <v>9.0221999999999998</v>
      </c>
      <c r="F361">
        <v>0.20530000000000001</v>
      </c>
      <c r="G361" s="288">
        <f t="shared" si="41"/>
        <v>9.2274999999999991</v>
      </c>
      <c r="H361" s="284">
        <v>9.0292999999999992</v>
      </c>
      <c r="I361" s="288">
        <f>G361-H361</f>
        <v>0.19819999999999993</v>
      </c>
      <c r="J361" s="283">
        <f t="shared" si="42"/>
        <v>7.1000000000000785E-3</v>
      </c>
      <c r="K361" s="285">
        <f t="shared" si="43"/>
        <v>3.4583536288358885</v>
      </c>
      <c r="L361">
        <v>13</v>
      </c>
      <c r="M361" s="286">
        <v>43379</v>
      </c>
      <c r="N361" s="286">
        <v>43379</v>
      </c>
      <c r="O361" s="283"/>
      <c r="R361" s="285"/>
    </row>
    <row r="362" spans="1:18">
      <c r="A362" t="s">
        <v>948</v>
      </c>
      <c r="C362" t="s">
        <v>3433</v>
      </c>
      <c r="D362">
        <v>1.6133</v>
      </c>
      <c r="E362">
        <v>10.923299999999999</v>
      </c>
      <c r="F362">
        <v>0.20630000000000001</v>
      </c>
      <c r="G362" s="284">
        <f t="shared" si="41"/>
        <v>11.1296</v>
      </c>
      <c r="H362" s="284">
        <v>10.9398</v>
      </c>
      <c r="I362" s="284">
        <f>G362-H362</f>
        <v>0.18979999999999997</v>
      </c>
      <c r="J362" s="283">
        <f t="shared" si="42"/>
        <v>1.6500000000000042E-2</v>
      </c>
      <c r="K362" s="285">
        <f t="shared" si="43"/>
        <v>7.9980610761027835</v>
      </c>
      <c r="L362">
        <v>12</v>
      </c>
      <c r="M362" s="16">
        <v>43388</v>
      </c>
      <c r="N362" s="286">
        <v>43389</v>
      </c>
      <c r="O362" s="286"/>
      <c r="P362" s="283"/>
      <c r="R362" s="285"/>
    </row>
    <row r="363" spans="1:18">
      <c r="A363" t="s">
        <v>946</v>
      </c>
      <c r="C363" t="s">
        <v>3417</v>
      </c>
      <c r="D363">
        <v>1.4694</v>
      </c>
      <c r="E363">
        <v>10.125500000000001</v>
      </c>
      <c r="F363">
        <v>0.21759999999999999</v>
      </c>
      <c r="G363" s="284">
        <f t="shared" si="41"/>
        <v>10.3431</v>
      </c>
      <c r="H363" s="284">
        <v>10.147500000000001</v>
      </c>
      <c r="I363" s="284">
        <f>G363-H363</f>
        <v>0.19559999999999889</v>
      </c>
      <c r="J363" s="283">
        <f t="shared" si="42"/>
        <v>2.2000000000001102E-2</v>
      </c>
      <c r="K363" s="285">
        <f t="shared" si="43"/>
        <v>10.110294117647566</v>
      </c>
      <c r="L363">
        <v>19</v>
      </c>
      <c r="M363">
        <v>23.101800000000001</v>
      </c>
      <c r="N363" s="16">
        <v>43397</v>
      </c>
      <c r="R363" s="285"/>
    </row>
    <row r="364" spans="1:18">
      <c r="A364" t="s">
        <v>944</v>
      </c>
      <c r="C364" t="s">
        <v>3697</v>
      </c>
      <c r="D364">
        <v>1.8783000000000001</v>
      </c>
      <c r="E364">
        <v>11.034800000000001</v>
      </c>
      <c r="F364">
        <v>0.21890000000000001</v>
      </c>
      <c r="G364" s="284">
        <f t="shared" si="41"/>
        <v>11.2537</v>
      </c>
      <c r="H364" s="284">
        <v>11.039</v>
      </c>
      <c r="I364" s="284">
        <f>(G364-H364)</f>
        <v>0.21470000000000056</v>
      </c>
      <c r="J364" s="283">
        <f t="shared" si="42"/>
        <v>4.1999999999994542E-3</v>
      </c>
      <c r="K364" s="285">
        <f t="shared" si="43"/>
        <v>1.9186843307443828</v>
      </c>
      <c r="L364">
        <v>23</v>
      </c>
      <c r="M364" s="286">
        <v>43360</v>
      </c>
      <c r="N364" s="286">
        <v>43361</v>
      </c>
      <c r="O364" s="283" t="s">
        <v>3707</v>
      </c>
      <c r="R364" s="285"/>
    </row>
    <row r="365" spans="1:18">
      <c r="A365" t="s">
        <v>943</v>
      </c>
      <c r="C365" t="s">
        <v>3417</v>
      </c>
      <c r="D365">
        <v>1.6357999999999999</v>
      </c>
      <c r="E365">
        <v>8.1191999999999993</v>
      </c>
      <c r="F365">
        <v>0.20300000000000001</v>
      </c>
      <c r="G365" s="284">
        <f t="shared" si="41"/>
        <v>8.3221999999999987</v>
      </c>
      <c r="H365" s="284">
        <v>8.1301000000000005</v>
      </c>
      <c r="I365" s="284">
        <f>G365-H365</f>
        <v>0.19209999999999816</v>
      </c>
      <c r="J365" s="283">
        <f t="shared" si="42"/>
        <v>1.0900000000001853E-2</v>
      </c>
      <c r="K365" s="285">
        <f t="shared" si="43"/>
        <v>5.3694581280797298</v>
      </c>
      <c r="L365">
        <v>29</v>
      </c>
      <c r="M365" s="16">
        <v>43399</v>
      </c>
      <c r="N365" s="16">
        <v>43400</v>
      </c>
      <c r="R365" s="285"/>
    </row>
    <row r="366" spans="1:18">
      <c r="A366" t="s">
        <v>940</v>
      </c>
      <c r="C366" t="s">
        <v>3691</v>
      </c>
      <c r="D366">
        <v>1.8588</v>
      </c>
      <c r="E366">
        <v>10.1242</v>
      </c>
      <c r="F366">
        <v>0.23860000000000001</v>
      </c>
      <c r="G366" s="284">
        <f t="shared" si="41"/>
        <v>10.3628</v>
      </c>
      <c r="H366" s="284">
        <v>10.132</v>
      </c>
      <c r="I366" s="284">
        <f>(G366-H366)</f>
        <v>0.23080000000000034</v>
      </c>
      <c r="J366" s="283">
        <f t="shared" si="42"/>
        <v>7.7999999999996683E-3</v>
      </c>
      <c r="K366" s="285">
        <f t="shared" si="43"/>
        <v>3.2690695725061474</v>
      </c>
      <c r="L366">
        <v>17</v>
      </c>
      <c r="M366" s="286">
        <v>43360</v>
      </c>
      <c r="N366" s="286">
        <v>43361</v>
      </c>
      <c r="R366" s="285"/>
    </row>
    <row r="367" spans="1:18">
      <c r="A367" t="s">
        <v>938</v>
      </c>
      <c r="C367" t="s">
        <v>3664</v>
      </c>
      <c r="D367">
        <v>1.8813</v>
      </c>
      <c r="E367">
        <v>8.0874000000000006</v>
      </c>
      <c r="F367">
        <v>0.20519999999999999</v>
      </c>
      <c r="G367" s="284">
        <f t="shared" si="41"/>
        <v>8.2926000000000002</v>
      </c>
      <c r="H367" s="284">
        <v>8.0943000000000005</v>
      </c>
      <c r="I367" s="284">
        <f>(G367-H367)</f>
        <v>0.1982999999999997</v>
      </c>
      <c r="J367" s="283">
        <f t="shared" si="42"/>
        <v>6.9000000000002948E-3</v>
      </c>
      <c r="K367" s="285">
        <f t="shared" si="43"/>
        <v>3.3625730994153482</v>
      </c>
      <c r="L367">
        <v>3</v>
      </c>
      <c r="M367" s="16">
        <v>43358</v>
      </c>
      <c r="N367" s="16">
        <v>43358</v>
      </c>
      <c r="R367" s="285"/>
    </row>
    <row r="368" spans="1:18">
      <c r="A368" t="s">
        <v>937</v>
      </c>
      <c r="C368" t="s">
        <v>3768</v>
      </c>
      <c r="D368">
        <v>1.7385999999999999</v>
      </c>
      <c r="E368">
        <v>10.5122</v>
      </c>
      <c r="F368">
        <v>0.2223</v>
      </c>
      <c r="G368">
        <f t="shared" si="41"/>
        <v>10.734500000000001</v>
      </c>
      <c r="H368">
        <v>10.5174</v>
      </c>
      <c r="I368" s="284">
        <f t="shared" ref="I368:I384" si="44">G368-H368</f>
        <v>0.21710000000000029</v>
      </c>
      <c r="J368" s="283">
        <f t="shared" si="42"/>
        <v>5.1999999999997049E-3</v>
      </c>
      <c r="K368" s="285">
        <f t="shared" si="43"/>
        <v>2.3391812865495751</v>
      </c>
      <c r="L368">
        <v>20</v>
      </c>
      <c r="M368" s="16">
        <v>43399</v>
      </c>
      <c r="N368" s="16">
        <v>43400</v>
      </c>
      <c r="R368" s="285"/>
    </row>
    <row r="369" spans="1:19">
      <c r="A369" t="s">
        <v>936</v>
      </c>
      <c r="B369">
        <v>200</v>
      </c>
      <c r="C369" t="s">
        <v>2504</v>
      </c>
      <c r="D369">
        <v>1.4829000000000001</v>
      </c>
      <c r="E369">
        <v>8.7036999999999995</v>
      </c>
      <c r="F369">
        <v>0.222</v>
      </c>
      <c r="G369">
        <f t="shared" si="41"/>
        <v>8.9256999999999991</v>
      </c>
      <c r="H369">
        <v>8.7087000000000003</v>
      </c>
      <c r="I369" s="284">
        <f t="shared" si="44"/>
        <v>0.21699999999999875</v>
      </c>
      <c r="J369" s="283">
        <f t="shared" si="42"/>
        <v>5.0000000000012534E-3</v>
      </c>
      <c r="K369" s="285">
        <f t="shared" si="43"/>
        <v>2.2522522522528168</v>
      </c>
      <c r="L369">
        <v>22</v>
      </c>
      <c r="M369" s="16">
        <v>43402</v>
      </c>
      <c r="N369" s="16">
        <v>43403</v>
      </c>
      <c r="R369" s="285"/>
    </row>
    <row r="370" spans="1:19">
      <c r="A370" t="s">
        <v>935</v>
      </c>
      <c r="C370" t="s">
        <v>3759</v>
      </c>
      <c r="D370">
        <v>1.7315</v>
      </c>
      <c r="E370">
        <v>8.8620999999999999</v>
      </c>
      <c r="F370">
        <v>0.20100000000000001</v>
      </c>
      <c r="G370" s="284">
        <f t="shared" si="41"/>
        <v>9.0631000000000004</v>
      </c>
      <c r="H370" s="284">
        <v>8.8704000000000001</v>
      </c>
      <c r="I370" s="284">
        <f t="shared" si="44"/>
        <v>0.19270000000000032</v>
      </c>
      <c r="J370" s="283">
        <f t="shared" si="42"/>
        <v>8.2999999999996965E-3</v>
      </c>
      <c r="K370" s="285">
        <f t="shared" si="43"/>
        <v>4.1293532338306944</v>
      </c>
      <c r="L370">
        <v>36</v>
      </c>
      <c r="M370" s="286">
        <v>43374</v>
      </c>
      <c r="N370" s="286">
        <v>43375</v>
      </c>
      <c r="O370" s="283" t="s">
        <v>3730</v>
      </c>
      <c r="R370" s="285"/>
    </row>
    <row r="371" spans="1:19">
      <c r="A371" t="s">
        <v>934</v>
      </c>
      <c r="C371" t="s">
        <v>3424</v>
      </c>
      <c r="D371">
        <v>1.4986999999999999</v>
      </c>
      <c r="E371">
        <v>9.2368000000000006</v>
      </c>
      <c r="F371">
        <v>0.22650000000000001</v>
      </c>
      <c r="G371" s="284">
        <f t="shared" si="41"/>
        <v>9.4633000000000003</v>
      </c>
      <c r="H371" s="284">
        <v>9.2510999999999992</v>
      </c>
      <c r="I371" s="284">
        <f t="shared" si="44"/>
        <v>0.21220000000000105</v>
      </c>
      <c r="J371" s="283">
        <f t="shared" si="42"/>
        <v>1.4299999999998952E-2</v>
      </c>
      <c r="K371" s="285">
        <f t="shared" si="43"/>
        <v>6.3134657836639967</v>
      </c>
      <c r="L371">
        <v>3</v>
      </c>
      <c r="M371" s="16">
        <v>43399</v>
      </c>
      <c r="N371" s="16">
        <v>43400</v>
      </c>
      <c r="R371" s="285"/>
    </row>
    <row r="372" spans="1:19">
      <c r="A372" t="s">
        <v>933</v>
      </c>
      <c r="C372" t="s">
        <v>3462</v>
      </c>
      <c r="D372">
        <v>1.6383000000000001</v>
      </c>
      <c r="E372">
        <v>7.7756999999999996</v>
      </c>
      <c r="F372">
        <v>0.21229999999999999</v>
      </c>
      <c r="G372">
        <f t="shared" si="41"/>
        <v>7.9879999999999995</v>
      </c>
      <c r="H372">
        <v>7.7870999999999997</v>
      </c>
      <c r="I372" s="284">
        <f t="shared" si="44"/>
        <v>0.20089999999999986</v>
      </c>
      <c r="J372" s="283">
        <f t="shared" si="42"/>
        <v>1.1400000000000132E-2</v>
      </c>
      <c r="K372" s="285">
        <f t="shared" si="43"/>
        <v>5.3697597739049137</v>
      </c>
      <c r="L372">
        <v>15</v>
      </c>
      <c r="M372" s="16">
        <v>43399</v>
      </c>
      <c r="N372" s="16">
        <v>43400</v>
      </c>
      <c r="R372" s="285"/>
    </row>
    <row r="373" spans="1:19">
      <c r="A373" t="s">
        <v>931</v>
      </c>
      <c r="C373" t="s">
        <v>3740</v>
      </c>
      <c r="D373">
        <v>1.8501000000000001</v>
      </c>
      <c r="E373">
        <v>10.0565</v>
      </c>
      <c r="F373">
        <v>0.21099999999999999</v>
      </c>
      <c r="G373" s="284">
        <f t="shared" si="41"/>
        <v>10.2675</v>
      </c>
      <c r="H373" s="284">
        <v>10.062900000000001</v>
      </c>
      <c r="I373" s="284">
        <f t="shared" si="44"/>
        <v>0.20459999999999923</v>
      </c>
      <c r="J373" s="283">
        <f t="shared" si="42"/>
        <v>6.4000000000007662E-3</v>
      </c>
      <c r="K373" s="285">
        <f t="shared" si="43"/>
        <v>3.0331753554506005</v>
      </c>
      <c r="L373">
        <v>23</v>
      </c>
      <c r="M373" s="286">
        <v>43363</v>
      </c>
      <c r="N373" s="286">
        <v>43364</v>
      </c>
      <c r="R373" s="285"/>
    </row>
    <row r="374" spans="1:19">
      <c r="A374" t="s">
        <v>930</v>
      </c>
      <c r="C374" t="s">
        <v>3436</v>
      </c>
      <c r="D374">
        <v>1.5892999999999999</v>
      </c>
      <c r="E374">
        <v>8.7698999999999998</v>
      </c>
      <c r="F374">
        <v>0.20200000000000001</v>
      </c>
      <c r="G374" s="288">
        <f t="shared" si="41"/>
        <v>8.9718999999999998</v>
      </c>
      <c r="H374" s="284">
        <v>8.7827999999999999</v>
      </c>
      <c r="I374" s="288">
        <f t="shared" si="44"/>
        <v>0.18909999999999982</v>
      </c>
      <c r="J374" s="283">
        <f t="shared" si="42"/>
        <v>1.2900000000000189E-2</v>
      </c>
      <c r="K374" s="285">
        <f t="shared" si="43"/>
        <v>6.3861386138614789</v>
      </c>
      <c r="L374">
        <v>40</v>
      </c>
      <c r="M374" s="286">
        <v>43379</v>
      </c>
      <c r="N374" s="286">
        <v>43379</v>
      </c>
      <c r="R374" s="285"/>
    </row>
    <row r="375" spans="1:19">
      <c r="A375" t="s">
        <v>929</v>
      </c>
      <c r="C375" t="s">
        <v>3684</v>
      </c>
      <c r="D375">
        <v>1.7116</v>
      </c>
      <c r="E375">
        <v>19.6935</v>
      </c>
      <c r="F375">
        <v>0.20979999999999999</v>
      </c>
      <c r="G375" s="284">
        <f t="shared" si="41"/>
        <v>19.903300000000002</v>
      </c>
      <c r="H375" s="284">
        <v>19.708400000000001</v>
      </c>
      <c r="I375" s="284">
        <f t="shared" si="44"/>
        <v>0.19490000000000052</v>
      </c>
      <c r="J375" s="283">
        <f t="shared" si="42"/>
        <v>1.4899999999999469E-2</v>
      </c>
      <c r="K375" s="285">
        <f t="shared" si="43"/>
        <v>7.1020019065774402</v>
      </c>
      <c r="L375">
        <v>25</v>
      </c>
      <c r="M375" s="286">
        <v>43361</v>
      </c>
      <c r="N375" s="286">
        <v>43362</v>
      </c>
      <c r="O375" s="283" t="s">
        <v>3730</v>
      </c>
      <c r="R375" s="285"/>
    </row>
    <row r="376" spans="1:19">
      <c r="A376" t="s">
        <v>928</v>
      </c>
      <c r="C376" t="s">
        <v>3749</v>
      </c>
      <c r="D376">
        <v>1.5960000000000001</v>
      </c>
      <c r="E376">
        <v>10.9232</v>
      </c>
      <c r="F376">
        <v>0.23569999999999999</v>
      </c>
      <c r="G376" s="284">
        <f t="shared" si="41"/>
        <v>11.158899999999999</v>
      </c>
      <c r="H376" s="284">
        <v>10.928699999999999</v>
      </c>
      <c r="I376" s="284">
        <f t="shared" si="44"/>
        <v>0.23019999999999996</v>
      </c>
      <c r="J376" s="283">
        <f t="shared" si="42"/>
        <v>5.5000000000000326E-3</v>
      </c>
      <c r="K376" s="285">
        <f t="shared" si="43"/>
        <v>2.3334747560458351</v>
      </c>
      <c r="L376">
        <v>11</v>
      </c>
      <c r="M376" s="286">
        <v>43363</v>
      </c>
      <c r="N376" s="286">
        <v>43364</v>
      </c>
      <c r="O376" s="283" t="s">
        <v>3756</v>
      </c>
      <c r="R376" s="285"/>
    </row>
    <row r="377" spans="1:19">
      <c r="A377" t="s">
        <v>927</v>
      </c>
      <c r="D377">
        <v>1.5364</v>
      </c>
      <c r="E377">
        <v>11.1227</v>
      </c>
      <c r="F377">
        <v>0.21160000000000001</v>
      </c>
      <c r="G377">
        <f t="shared" si="41"/>
        <v>11.334300000000001</v>
      </c>
      <c r="H377">
        <v>11.1427</v>
      </c>
      <c r="I377" s="284">
        <f t="shared" si="44"/>
        <v>0.1916000000000011</v>
      </c>
      <c r="J377" s="283">
        <f t="shared" si="42"/>
        <v>1.9999999999998908E-2</v>
      </c>
      <c r="K377" s="285">
        <f t="shared" si="43"/>
        <v>9.4517958412093144</v>
      </c>
      <c r="L377">
        <v>21</v>
      </c>
      <c r="M377" s="16">
        <v>43399</v>
      </c>
      <c r="N377" s="16">
        <v>43400</v>
      </c>
      <c r="R377" s="285"/>
    </row>
    <row r="378" spans="1:19">
      <c r="A378" t="s">
        <v>920</v>
      </c>
      <c r="C378" t="s">
        <v>3716</v>
      </c>
      <c r="D378">
        <v>1.7484999999999999</v>
      </c>
      <c r="E378">
        <v>11.004799999999999</v>
      </c>
      <c r="F378">
        <v>0.22520000000000001</v>
      </c>
      <c r="G378" s="284">
        <f t="shared" si="41"/>
        <v>11.229999999999999</v>
      </c>
      <c r="H378" s="284">
        <v>11.0107</v>
      </c>
      <c r="I378" s="284">
        <f t="shared" si="44"/>
        <v>0.21929999999999872</v>
      </c>
      <c r="J378" s="283">
        <f t="shared" si="42"/>
        <v>5.9000000000012931E-3</v>
      </c>
      <c r="K378" s="285">
        <f t="shared" si="43"/>
        <v>2.6198934280645174</v>
      </c>
      <c r="L378">
        <v>19</v>
      </c>
      <c r="M378" s="16">
        <v>43381</v>
      </c>
      <c r="N378" s="16">
        <v>43382</v>
      </c>
      <c r="R378" s="285"/>
    </row>
    <row r="379" spans="1:19">
      <c r="A379" t="s">
        <v>918</v>
      </c>
      <c r="C379" t="s">
        <v>3421</v>
      </c>
      <c r="D379">
        <v>1.5963000000000001</v>
      </c>
      <c r="E379">
        <v>9.6798999999999999</v>
      </c>
      <c r="F379">
        <v>0.22339999999999999</v>
      </c>
      <c r="G379" s="284">
        <f t="shared" si="41"/>
        <v>9.9032999999999998</v>
      </c>
      <c r="H379" s="284">
        <v>9.6958000000000002</v>
      </c>
      <c r="I379" s="284">
        <f t="shared" si="44"/>
        <v>0.20749999999999957</v>
      </c>
      <c r="J379" s="283">
        <f t="shared" si="42"/>
        <v>1.5900000000000414E-2</v>
      </c>
      <c r="K379" s="285">
        <f t="shared" si="43"/>
        <v>7.1172784243511256</v>
      </c>
      <c r="L379">
        <v>36</v>
      </c>
      <c r="M379" s="16">
        <v>43399</v>
      </c>
      <c r="N379" s="16">
        <v>43400</v>
      </c>
      <c r="R379" s="285"/>
    </row>
    <row r="380" spans="1:19">
      <c r="A380" t="s">
        <v>917</v>
      </c>
      <c r="B380" t="s">
        <v>3781</v>
      </c>
      <c r="C380" t="s">
        <v>2504</v>
      </c>
      <c r="D380" s="283">
        <v>1.6161000000000001</v>
      </c>
      <c r="E380" s="284">
        <v>9.7223000000000006</v>
      </c>
      <c r="F380" s="284">
        <v>0.21859999999999999</v>
      </c>
      <c r="G380" s="284">
        <f t="shared" si="41"/>
        <v>9.940900000000001</v>
      </c>
      <c r="H380" s="284">
        <v>9.7468000000000004</v>
      </c>
      <c r="I380" s="284">
        <f t="shared" si="44"/>
        <v>0.19410000000000061</v>
      </c>
      <c r="J380" s="283">
        <f t="shared" si="42"/>
        <v>2.4499999999999383E-2</v>
      </c>
      <c r="K380" s="285">
        <f t="shared" si="43"/>
        <v>11.207685269899079</v>
      </c>
      <c r="L380" s="283">
        <v>1</v>
      </c>
      <c r="M380" s="16">
        <v>43388</v>
      </c>
      <c r="N380" s="286">
        <v>43389</v>
      </c>
      <c r="O380" s="286"/>
      <c r="P380" s="283"/>
      <c r="R380" s="285"/>
      <c r="S380" s="283"/>
    </row>
    <row r="381" spans="1:19">
      <c r="A381" t="s">
        <v>916</v>
      </c>
      <c r="C381" t="s">
        <v>3771</v>
      </c>
      <c r="D381">
        <v>1.7956000000000001</v>
      </c>
      <c r="E381">
        <v>10.6366</v>
      </c>
      <c r="F381">
        <v>0.20860000000000001</v>
      </c>
      <c r="G381" s="288">
        <f t="shared" si="41"/>
        <v>10.8452</v>
      </c>
      <c r="H381" s="284">
        <v>10.6418</v>
      </c>
      <c r="I381" s="288">
        <f t="shared" si="44"/>
        <v>0.20340000000000025</v>
      </c>
      <c r="J381" s="283">
        <f t="shared" si="42"/>
        <v>5.1999999999997604E-3</v>
      </c>
      <c r="K381" s="285">
        <f t="shared" si="43"/>
        <v>2.4928092042184851</v>
      </c>
      <c r="L381">
        <v>12</v>
      </c>
      <c r="M381" s="286">
        <v>43379</v>
      </c>
      <c r="N381" s="286">
        <v>43379</v>
      </c>
      <c r="O381" s="283"/>
      <c r="R381" s="285"/>
    </row>
    <row r="382" spans="1:19">
      <c r="A382" t="s">
        <v>914</v>
      </c>
      <c r="C382" t="s">
        <v>3687</v>
      </c>
      <c r="D382">
        <v>1.8835</v>
      </c>
      <c r="E382">
        <v>9.9179999999999993</v>
      </c>
      <c r="F382">
        <v>0.20799999999999999</v>
      </c>
      <c r="G382" s="284">
        <f t="shared" si="41"/>
        <v>10.125999999999999</v>
      </c>
      <c r="H382" s="284">
        <v>9.9258000000000006</v>
      </c>
      <c r="I382" s="284">
        <f t="shared" si="44"/>
        <v>0.20019999999999882</v>
      </c>
      <c r="J382" s="283">
        <f t="shared" si="42"/>
        <v>7.8000000000011671E-3</v>
      </c>
      <c r="K382" s="285">
        <f t="shared" si="43"/>
        <v>3.7500000000005613</v>
      </c>
      <c r="L382">
        <v>25</v>
      </c>
      <c r="M382" s="16">
        <v>43381</v>
      </c>
      <c r="N382" s="16">
        <v>43382</v>
      </c>
      <c r="R382" s="285"/>
    </row>
    <row r="383" spans="1:19">
      <c r="A383" t="s">
        <v>912</v>
      </c>
      <c r="C383" t="s">
        <v>3720</v>
      </c>
      <c r="D383">
        <v>1.4528000000000001</v>
      </c>
      <c r="E383">
        <v>8.0660000000000007</v>
      </c>
      <c r="F383">
        <v>0.22459999999999999</v>
      </c>
      <c r="G383" s="284">
        <f t="shared" si="41"/>
        <v>8.2906000000000013</v>
      </c>
      <c r="H383" s="284">
        <v>8.0808999999999997</v>
      </c>
      <c r="I383" s="284">
        <f t="shared" si="44"/>
        <v>0.20970000000000155</v>
      </c>
      <c r="J383" s="283">
        <f t="shared" si="42"/>
        <v>1.4899999999998442E-2</v>
      </c>
      <c r="K383" s="285">
        <f t="shared" si="43"/>
        <v>6.6340160284944094</v>
      </c>
      <c r="L383">
        <v>17</v>
      </c>
      <c r="M383" s="16">
        <v>43381</v>
      </c>
      <c r="N383" s="16">
        <v>43382</v>
      </c>
      <c r="R383" s="285"/>
    </row>
    <row r="384" spans="1:19">
      <c r="A384" t="s">
        <v>911</v>
      </c>
      <c r="C384" t="s">
        <v>3753</v>
      </c>
      <c r="D384">
        <v>1.9054</v>
      </c>
      <c r="E384">
        <v>9.6798000000000002</v>
      </c>
      <c r="F384">
        <v>0.20649999999999999</v>
      </c>
      <c r="G384" s="284">
        <f t="shared" si="41"/>
        <v>9.8863000000000003</v>
      </c>
      <c r="H384" s="284">
        <v>9.6860999999999997</v>
      </c>
      <c r="I384" s="284">
        <f t="shared" si="44"/>
        <v>0.2002000000000006</v>
      </c>
      <c r="J384" s="283">
        <f t="shared" si="42"/>
        <v>6.2999999999993894E-3</v>
      </c>
      <c r="K384" s="285">
        <f t="shared" si="43"/>
        <v>3.0508474576268232</v>
      </c>
      <c r="L384">
        <v>30</v>
      </c>
      <c r="M384" s="286">
        <v>43362</v>
      </c>
      <c r="N384" s="286">
        <v>43363</v>
      </c>
      <c r="R384" s="285"/>
    </row>
    <row r="385" spans="1:18">
      <c r="A385" t="s">
        <v>910</v>
      </c>
      <c r="C385" t="s">
        <v>3658</v>
      </c>
      <c r="D385">
        <v>1.7262999999999999</v>
      </c>
      <c r="E385">
        <v>10.0556</v>
      </c>
      <c r="F385">
        <v>0.1983</v>
      </c>
      <c r="G385" s="284">
        <f t="shared" si="41"/>
        <v>10.2539</v>
      </c>
      <c r="H385" s="284">
        <v>10.0604</v>
      </c>
      <c r="I385" s="284">
        <f>(G385-H385)</f>
        <v>0.19350000000000023</v>
      </c>
      <c r="J385" s="283">
        <f t="shared" si="42"/>
        <v>4.7999999999997767E-3</v>
      </c>
      <c r="K385" s="285">
        <f t="shared" si="43"/>
        <v>2.4205748865354395</v>
      </c>
      <c r="L385">
        <v>12</v>
      </c>
      <c r="M385" s="286">
        <v>43355.625</v>
      </c>
      <c r="N385" s="286">
        <v>43355.791666666664</v>
      </c>
      <c r="O385" s="283" t="s">
        <v>3659</v>
      </c>
      <c r="R385" s="285"/>
    </row>
    <row r="386" spans="1:18">
      <c r="A386" t="s">
        <v>908</v>
      </c>
      <c r="C386" t="s">
        <v>3667</v>
      </c>
      <c r="D386">
        <v>1.7914000000000001</v>
      </c>
      <c r="E386">
        <v>8.2190999999999992</v>
      </c>
      <c r="F386">
        <v>0.1988</v>
      </c>
      <c r="G386" s="284">
        <f t="shared" si="41"/>
        <v>8.4178999999999995</v>
      </c>
      <c r="H386" s="284">
        <v>8.2235999999999994</v>
      </c>
      <c r="I386" s="284">
        <f>(G386-H386)</f>
        <v>0.19430000000000014</v>
      </c>
      <c r="J386" s="283">
        <f t="shared" si="42"/>
        <v>4.4999999999998652E-3</v>
      </c>
      <c r="K386" s="285">
        <f t="shared" si="43"/>
        <v>2.2635814889335339</v>
      </c>
      <c r="L386">
        <v>14</v>
      </c>
      <c r="M386" s="286">
        <v>43355.625</v>
      </c>
      <c r="N386" s="286">
        <v>43355.791666666664</v>
      </c>
      <c r="O386" s="283" t="s">
        <v>3659</v>
      </c>
      <c r="R386" s="285"/>
    </row>
    <row r="387" spans="1:18">
      <c r="A387" t="s">
        <v>905</v>
      </c>
      <c r="B387">
        <v>199</v>
      </c>
      <c r="C387" t="s">
        <v>2504</v>
      </c>
      <c r="D387">
        <v>1.4412</v>
      </c>
      <c r="E387">
        <v>11.088699999999999</v>
      </c>
      <c r="F387">
        <v>0.21110000000000001</v>
      </c>
      <c r="G387" s="284">
        <f t="shared" si="41"/>
        <v>11.299799999999999</v>
      </c>
      <c r="H387" s="284">
        <v>11.094099999999999</v>
      </c>
      <c r="I387" s="284">
        <f>G387-H387</f>
        <v>0.20570000000000022</v>
      </c>
      <c r="J387" s="283">
        <f t="shared" si="42"/>
        <v>5.3999999999997939E-3</v>
      </c>
      <c r="K387" s="285">
        <f t="shared" si="43"/>
        <v>2.5580293699667425</v>
      </c>
      <c r="L387">
        <v>20</v>
      </c>
      <c r="M387">
        <v>23.101800000000001</v>
      </c>
      <c r="N387" s="16">
        <v>43397</v>
      </c>
      <c r="R387" s="285"/>
    </row>
    <row r="388" spans="1:18">
      <c r="A388" t="s">
        <v>904</v>
      </c>
      <c r="C388" t="s">
        <v>3665</v>
      </c>
      <c r="D388">
        <v>1.8137000000000001</v>
      </c>
      <c r="E388">
        <v>8.7332999999999998</v>
      </c>
      <c r="F388">
        <v>0.20749999999999999</v>
      </c>
      <c r="G388" s="284">
        <f t="shared" si="41"/>
        <v>8.9407999999999994</v>
      </c>
      <c r="H388" s="284">
        <v>8.7379999999999995</v>
      </c>
      <c r="I388" s="284">
        <f>(G388-H388)</f>
        <v>0.20279999999999987</v>
      </c>
      <c r="J388" s="283">
        <f t="shared" si="42"/>
        <v>4.7000000000001207E-3</v>
      </c>
      <c r="K388" s="285">
        <f t="shared" si="43"/>
        <v>2.2650602409639138</v>
      </c>
      <c r="L388">
        <v>10</v>
      </c>
      <c r="M388" s="286">
        <v>43355.625</v>
      </c>
      <c r="N388" s="286">
        <v>43355.791666666664</v>
      </c>
      <c r="O388" s="283" t="s">
        <v>3659</v>
      </c>
      <c r="R388" s="285"/>
    </row>
    <row r="389" spans="1:18">
      <c r="A389" t="s">
        <v>903</v>
      </c>
      <c r="C389" t="s">
        <v>3488</v>
      </c>
      <c r="D389">
        <v>1.6285000000000001</v>
      </c>
      <c r="E389">
        <v>10.698499999999999</v>
      </c>
      <c r="F389">
        <v>0.2147</v>
      </c>
      <c r="G389" s="284">
        <f t="shared" si="41"/>
        <v>10.9132</v>
      </c>
      <c r="H389" s="284">
        <v>10.709</v>
      </c>
      <c r="I389" s="284">
        <f t="shared" ref="I389:I395" si="45">G389-H389</f>
        <v>0.20420000000000016</v>
      </c>
      <c r="J389" s="283">
        <f t="shared" si="42"/>
        <v>1.0499999999999843E-2</v>
      </c>
      <c r="K389" s="285">
        <f t="shared" si="43"/>
        <v>4.8905449464368154</v>
      </c>
      <c r="L389">
        <v>5</v>
      </c>
      <c r="M389" s="286">
        <v>43363</v>
      </c>
      <c r="N389" s="286">
        <v>43364</v>
      </c>
      <c r="O389" s="283"/>
      <c r="R389" s="285"/>
    </row>
    <row r="390" spans="1:18">
      <c r="A390" t="s">
        <v>902</v>
      </c>
      <c r="C390" t="s">
        <v>3777</v>
      </c>
      <c r="D390">
        <v>1.6991000000000001</v>
      </c>
      <c r="E390">
        <v>7.9073000000000002</v>
      </c>
      <c r="F390">
        <v>0.2155</v>
      </c>
      <c r="G390" s="284">
        <f t="shared" si="41"/>
        <v>8.1227999999999998</v>
      </c>
      <c r="H390" s="284">
        <v>7.9135999999999997</v>
      </c>
      <c r="I390" s="284">
        <f t="shared" si="45"/>
        <v>0.20920000000000005</v>
      </c>
      <c r="J390" s="283">
        <f t="shared" si="42"/>
        <v>6.2999999999999445E-3</v>
      </c>
      <c r="K390" s="285">
        <f t="shared" si="43"/>
        <v>2.9234338747099509</v>
      </c>
      <c r="L390">
        <v>8</v>
      </c>
      <c r="M390" s="16">
        <v>43381</v>
      </c>
      <c r="N390" s="16">
        <v>43382</v>
      </c>
      <c r="R390" s="285"/>
    </row>
    <row r="391" spans="1:18">
      <c r="A391" t="s">
        <v>901</v>
      </c>
      <c r="C391" t="s">
        <v>3412</v>
      </c>
      <c r="D391">
        <v>1.5666</v>
      </c>
      <c r="E391">
        <v>8.1202000000000005</v>
      </c>
      <c r="F391">
        <v>0.20530000000000001</v>
      </c>
      <c r="G391" s="284">
        <f t="shared" si="41"/>
        <v>8.3254999999999999</v>
      </c>
      <c r="H391" s="284">
        <v>8.1329999999999991</v>
      </c>
      <c r="I391" s="284">
        <f t="shared" si="45"/>
        <v>0.19250000000000078</v>
      </c>
      <c r="J391" s="283">
        <f t="shared" si="42"/>
        <v>1.2799999999999229E-2</v>
      </c>
      <c r="K391" s="285">
        <f t="shared" si="43"/>
        <v>6.2347783731121424</v>
      </c>
      <c r="L391">
        <v>37</v>
      </c>
      <c r="M391" s="286">
        <v>43363</v>
      </c>
      <c r="N391" s="286">
        <v>43364</v>
      </c>
      <c r="O391" s="283" t="s">
        <v>3756</v>
      </c>
      <c r="R391" s="285"/>
    </row>
    <row r="392" spans="1:18">
      <c r="A392" t="s">
        <v>899</v>
      </c>
      <c r="C392" t="s">
        <v>3680</v>
      </c>
      <c r="D392">
        <v>1.7774000000000001</v>
      </c>
      <c r="E392">
        <v>9.032</v>
      </c>
      <c r="F392">
        <v>0.21099999999999999</v>
      </c>
      <c r="G392" s="284">
        <f t="shared" si="41"/>
        <v>9.2430000000000003</v>
      </c>
      <c r="H392" s="284">
        <v>9.0398999999999994</v>
      </c>
      <c r="I392" s="284">
        <f t="shared" si="45"/>
        <v>0.20310000000000095</v>
      </c>
      <c r="J392" s="283">
        <f t="shared" si="42"/>
        <v>7.8999999999990467E-3</v>
      </c>
      <c r="K392" s="285">
        <f t="shared" si="43"/>
        <v>3.7440758293834344</v>
      </c>
      <c r="L392">
        <v>4</v>
      </c>
      <c r="M392" s="286">
        <v>43361</v>
      </c>
      <c r="N392" s="286">
        <v>43362</v>
      </c>
      <c r="O392" s="283" t="s">
        <v>3730</v>
      </c>
      <c r="R392" s="285"/>
    </row>
    <row r="393" spans="1:18">
      <c r="A393" t="s">
        <v>898</v>
      </c>
      <c r="C393" t="s">
        <v>3486</v>
      </c>
      <c r="D393">
        <v>1.7736000000000001</v>
      </c>
      <c r="E393">
        <v>8.1334</v>
      </c>
      <c r="F393">
        <v>0.2112</v>
      </c>
      <c r="G393" s="284">
        <f t="shared" si="41"/>
        <v>8.3445999999999998</v>
      </c>
      <c r="H393" s="284">
        <v>8.1402999999999999</v>
      </c>
      <c r="I393" s="284">
        <f t="shared" si="45"/>
        <v>0.20429999999999993</v>
      </c>
      <c r="J393" s="283">
        <f t="shared" si="42"/>
        <v>6.9000000000000727E-3</v>
      </c>
      <c r="K393" s="285">
        <f t="shared" si="43"/>
        <v>3.2670454545454892</v>
      </c>
      <c r="L393">
        <v>33</v>
      </c>
      <c r="M393" s="286">
        <v>43363</v>
      </c>
      <c r="N393" s="286">
        <v>43364</v>
      </c>
      <c r="O393" s="283" t="s">
        <v>3756</v>
      </c>
      <c r="R393" s="285"/>
    </row>
    <row r="394" spans="1:18">
      <c r="A394" t="s">
        <v>896</v>
      </c>
      <c r="C394" t="s">
        <v>3761</v>
      </c>
      <c r="D394">
        <v>1.6872</v>
      </c>
      <c r="E394">
        <v>8.1362000000000005</v>
      </c>
      <c r="F394">
        <v>0.21959999999999999</v>
      </c>
      <c r="G394" s="284">
        <f t="shared" si="41"/>
        <v>8.3558000000000003</v>
      </c>
      <c r="H394" s="284">
        <v>8.1433999999999997</v>
      </c>
      <c r="I394" s="284">
        <f t="shared" si="45"/>
        <v>0.21240000000000059</v>
      </c>
      <c r="J394" s="283">
        <f t="shared" si="42"/>
        <v>7.1999999999994013E-3</v>
      </c>
      <c r="K394" s="285">
        <f t="shared" si="43"/>
        <v>3.2786885245898914</v>
      </c>
      <c r="L394">
        <v>33</v>
      </c>
      <c r="M394" s="286">
        <v>43363</v>
      </c>
      <c r="N394" s="286">
        <v>43364</v>
      </c>
      <c r="R394" s="285"/>
    </row>
    <row r="395" spans="1:18">
      <c r="A395" t="s">
        <v>895</v>
      </c>
      <c r="B395">
        <v>219</v>
      </c>
      <c r="C395" t="s">
        <v>2504</v>
      </c>
      <c r="D395">
        <v>1.4515</v>
      </c>
      <c r="E395">
        <v>11.865</v>
      </c>
      <c r="F395">
        <v>0.20930000000000001</v>
      </c>
      <c r="G395" s="284">
        <f t="shared" si="41"/>
        <v>12.074300000000001</v>
      </c>
      <c r="H395" s="284">
        <v>11.880800000000001</v>
      </c>
      <c r="I395" s="284">
        <f t="shared" si="45"/>
        <v>0.19350000000000023</v>
      </c>
      <c r="J395" s="283">
        <f t="shared" si="42"/>
        <v>1.5799999999999786E-2</v>
      </c>
      <c r="K395" s="285">
        <f t="shared" si="43"/>
        <v>7.5489727663639679</v>
      </c>
      <c r="L395">
        <v>22</v>
      </c>
      <c r="M395">
        <v>23.101800000000001</v>
      </c>
      <c r="N395" s="16">
        <v>43397</v>
      </c>
      <c r="R395" s="285"/>
    </row>
    <row r="396" spans="1:18">
      <c r="A396" t="s">
        <v>894</v>
      </c>
      <c r="C396" t="s">
        <v>3717</v>
      </c>
      <c r="D396">
        <v>1.5174000000000001</v>
      </c>
      <c r="E396">
        <v>7.9615</v>
      </c>
      <c r="F396">
        <v>0.22570000000000001</v>
      </c>
      <c r="G396" s="284">
        <f t="shared" si="41"/>
        <v>8.1872000000000007</v>
      </c>
      <c r="H396" s="284">
        <v>7.9802</v>
      </c>
      <c r="I396" s="284">
        <f>(G396-H396)</f>
        <v>0.20700000000000074</v>
      </c>
      <c r="J396" s="283">
        <f t="shared" si="42"/>
        <v>1.8699999999999273E-2</v>
      </c>
      <c r="K396" s="285">
        <f t="shared" si="43"/>
        <v>8.2853345148423898</v>
      </c>
      <c r="L396">
        <v>19</v>
      </c>
      <c r="M396" s="286">
        <v>43360</v>
      </c>
      <c r="N396" s="286">
        <v>43361</v>
      </c>
      <c r="O396" s="283" t="s">
        <v>3707</v>
      </c>
      <c r="R396" s="285"/>
    </row>
    <row r="397" spans="1:18">
      <c r="A397" t="s">
        <v>892</v>
      </c>
      <c r="B397">
        <v>211</v>
      </c>
      <c r="C397" t="s">
        <v>2504</v>
      </c>
      <c r="D397">
        <v>0.36570000000000003</v>
      </c>
      <c r="E397">
        <v>10.1096</v>
      </c>
      <c r="F397">
        <v>0.20730000000000001</v>
      </c>
      <c r="G397" s="284">
        <f t="shared" si="41"/>
        <v>10.3169</v>
      </c>
      <c r="H397" s="284">
        <v>10.182700000000001</v>
      </c>
      <c r="I397" s="284">
        <f t="shared" ref="I397:I406" si="46">G397-H397</f>
        <v>0.13419999999999987</v>
      </c>
      <c r="J397" s="283">
        <f t="shared" si="42"/>
        <v>7.3100000000000137E-2</v>
      </c>
      <c r="K397" s="285">
        <f t="shared" si="43"/>
        <v>35.262904003859205</v>
      </c>
      <c r="L397">
        <v>16</v>
      </c>
      <c r="M397">
        <v>23.101800000000001</v>
      </c>
      <c r="N397" s="16">
        <v>43397</v>
      </c>
      <c r="P397" t="s">
        <v>3789</v>
      </c>
      <c r="R397" s="285"/>
    </row>
    <row r="398" spans="1:18">
      <c r="A398" t="s">
        <v>887</v>
      </c>
      <c r="B398">
        <v>204</v>
      </c>
      <c r="C398" t="s">
        <v>2504</v>
      </c>
      <c r="D398">
        <v>1.6107</v>
      </c>
      <c r="E398">
        <v>7.3552</v>
      </c>
      <c r="F398">
        <v>0.2019</v>
      </c>
      <c r="G398">
        <f t="shared" si="41"/>
        <v>7.5571000000000002</v>
      </c>
      <c r="H398">
        <v>7.3673999999999999</v>
      </c>
      <c r="I398" s="284">
        <f t="shared" si="46"/>
        <v>0.1897000000000002</v>
      </c>
      <c r="J398" s="283">
        <f t="shared" si="42"/>
        <v>1.2199999999999794E-2</v>
      </c>
      <c r="K398" s="285">
        <f t="shared" si="43"/>
        <v>6.0425953442297144</v>
      </c>
      <c r="L398">
        <v>11</v>
      </c>
      <c r="M398" s="16">
        <v>43399</v>
      </c>
      <c r="N398" s="16">
        <v>43400</v>
      </c>
      <c r="R398" s="285"/>
    </row>
    <row r="399" spans="1:18">
      <c r="A399" t="s">
        <v>885</v>
      </c>
      <c r="B399">
        <v>211</v>
      </c>
      <c r="C399" t="s">
        <v>2504</v>
      </c>
      <c r="D399">
        <v>1.3955</v>
      </c>
      <c r="E399">
        <v>11.7478</v>
      </c>
      <c r="F399">
        <v>0.21129999999999999</v>
      </c>
      <c r="G399">
        <f t="shared" si="41"/>
        <v>11.959099999999999</v>
      </c>
      <c r="H399">
        <v>11.764699999999999</v>
      </c>
      <c r="I399" s="284">
        <f t="shared" si="46"/>
        <v>0.19439999999999991</v>
      </c>
      <c r="J399" s="283">
        <f t="shared" si="42"/>
        <v>1.6900000000000082E-2</v>
      </c>
      <c r="K399" s="285">
        <f t="shared" si="43"/>
        <v>7.9981069569333094</v>
      </c>
      <c r="L399">
        <v>8</v>
      </c>
      <c r="M399" s="16">
        <v>43402</v>
      </c>
      <c r="N399" s="16">
        <v>43403</v>
      </c>
      <c r="R399" s="285"/>
    </row>
    <row r="400" spans="1:18">
      <c r="A400" t="s">
        <v>884</v>
      </c>
      <c r="C400" t="s">
        <v>3726</v>
      </c>
      <c r="D400">
        <v>1.7994000000000001</v>
      </c>
      <c r="E400">
        <v>7.7744</v>
      </c>
      <c r="F400">
        <v>0.20300000000000001</v>
      </c>
      <c r="G400" s="284">
        <f t="shared" si="41"/>
        <v>7.9774000000000003</v>
      </c>
      <c r="H400" s="284">
        <v>7.7801999999999998</v>
      </c>
      <c r="I400" s="284">
        <f t="shared" si="46"/>
        <v>0.19720000000000049</v>
      </c>
      <c r="J400" s="283">
        <f t="shared" si="42"/>
        <v>5.7999999999995278E-3</v>
      </c>
      <c r="K400" s="285">
        <f t="shared" si="43"/>
        <v>2.8571428571426241</v>
      </c>
      <c r="L400">
        <v>5</v>
      </c>
      <c r="M400" s="286">
        <v>43374</v>
      </c>
      <c r="N400" s="286">
        <v>43375</v>
      </c>
      <c r="O400" s="283" t="s">
        <v>3730</v>
      </c>
      <c r="R400" s="285"/>
    </row>
    <row r="401" spans="1:25">
      <c r="A401" t="s">
        <v>881</v>
      </c>
      <c r="C401" t="s">
        <v>3718</v>
      </c>
      <c r="D401">
        <v>1.7171000000000001</v>
      </c>
      <c r="E401">
        <v>19.709900000000001</v>
      </c>
      <c r="F401">
        <v>0.24229999999999999</v>
      </c>
      <c r="G401" s="284">
        <f t="shared" si="41"/>
        <v>19.952200000000001</v>
      </c>
      <c r="H401" s="284">
        <v>19.718900000000001</v>
      </c>
      <c r="I401" s="284">
        <f t="shared" si="46"/>
        <v>0.23329999999999984</v>
      </c>
      <c r="J401" s="283">
        <f t="shared" si="42"/>
        <v>9.0000000000001468E-3</v>
      </c>
      <c r="K401" s="285">
        <f t="shared" si="43"/>
        <v>3.7144036318613898</v>
      </c>
      <c r="L401">
        <v>27</v>
      </c>
      <c r="M401" s="286">
        <v>43361</v>
      </c>
      <c r="N401" s="286">
        <v>43362</v>
      </c>
      <c r="O401" s="283" t="s">
        <v>3730</v>
      </c>
      <c r="R401" s="285"/>
    </row>
    <row r="402" spans="1:25">
      <c r="A402" t="s">
        <v>880</v>
      </c>
      <c r="C402" t="s">
        <v>3714</v>
      </c>
      <c r="D402">
        <v>1.8492999999999999</v>
      </c>
      <c r="E402">
        <v>10.743499999999999</v>
      </c>
      <c r="F402">
        <v>0.2029</v>
      </c>
      <c r="G402" s="284">
        <f t="shared" si="41"/>
        <v>10.946399999999999</v>
      </c>
      <c r="H402" s="284">
        <v>10.7515</v>
      </c>
      <c r="I402" s="284">
        <f t="shared" si="46"/>
        <v>0.19489999999999874</v>
      </c>
      <c r="J402" s="283">
        <f t="shared" si="42"/>
        <v>8.0000000000012561E-3</v>
      </c>
      <c r="K402" s="285">
        <f t="shared" si="43"/>
        <v>3.9428289797936209</v>
      </c>
      <c r="L402">
        <v>6</v>
      </c>
      <c r="M402" s="286">
        <v>43361</v>
      </c>
      <c r="N402" s="286">
        <v>43362</v>
      </c>
      <c r="O402" s="283" t="s">
        <v>3730</v>
      </c>
      <c r="R402" s="285"/>
    </row>
    <row r="403" spans="1:25">
      <c r="A403" t="s">
        <v>874</v>
      </c>
      <c r="C403" t="s">
        <v>3456</v>
      </c>
      <c r="D403">
        <v>1.5768</v>
      </c>
      <c r="E403">
        <v>9.1399000000000008</v>
      </c>
      <c r="F403">
        <v>0.20100000000000001</v>
      </c>
      <c r="G403" s="284">
        <f t="shared" si="41"/>
        <v>9.3409000000000013</v>
      </c>
      <c r="H403" s="284">
        <v>9.1579999999999995</v>
      </c>
      <c r="I403" s="284">
        <f t="shared" si="46"/>
        <v>0.18290000000000184</v>
      </c>
      <c r="J403" s="283">
        <f t="shared" si="42"/>
        <v>1.8099999999998173E-2</v>
      </c>
      <c r="K403" s="285">
        <f t="shared" si="43"/>
        <v>9.0049751243772</v>
      </c>
      <c r="L403">
        <v>10</v>
      </c>
      <c r="M403" s="286">
        <v>43374</v>
      </c>
      <c r="N403" s="286">
        <v>43375</v>
      </c>
      <c r="O403" s="283" t="s">
        <v>3730</v>
      </c>
      <c r="R403" s="285"/>
    </row>
    <row r="404" spans="1:25">
      <c r="A404" t="s">
        <v>872</v>
      </c>
      <c r="C404" t="s">
        <v>3475</v>
      </c>
      <c r="D404">
        <v>1.6080000000000001</v>
      </c>
      <c r="E404">
        <v>7.7744</v>
      </c>
      <c r="F404">
        <v>0.216</v>
      </c>
      <c r="G404" s="284">
        <f t="shared" si="41"/>
        <v>7.9904000000000002</v>
      </c>
      <c r="H404" s="284">
        <v>7.7919999999999998</v>
      </c>
      <c r="I404" s="284">
        <f t="shared" si="46"/>
        <v>0.19840000000000035</v>
      </c>
      <c r="J404" s="283">
        <f t="shared" si="42"/>
        <v>1.7599999999999644E-2</v>
      </c>
      <c r="K404" s="285">
        <f t="shared" si="43"/>
        <v>8.1481481481479836</v>
      </c>
      <c r="L404">
        <v>18</v>
      </c>
      <c r="M404" s="286">
        <v>43363</v>
      </c>
      <c r="N404" s="286">
        <v>43364</v>
      </c>
      <c r="R404" s="285"/>
    </row>
    <row r="405" spans="1:25">
      <c r="A405" t="s">
        <v>871</v>
      </c>
      <c r="C405" t="s">
        <v>3688</v>
      </c>
      <c r="D405">
        <v>1.8399000000000001</v>
      </c>
      <c r="E405">
        <v>10.0778</v>
      </c>
      <c r="F405">
        <v>0.21560000000000001</v>
      </c>
      <c r="G405" s="284">
        <f t="shared" ref="G405:G438" si="47">E405+F405</f>
        <v>10.2934</v>
      </c>
      <c r="H405" s="284">
        <v>10.083500000000001</v>
      </c>
      <c r="I405" s="284">
        <f t="shared" si="46"/>
        <v>0.20989999999999931</v>
      </c>
      <c r="J405" s="283">
        <f t="shared" si="42"/>
        <v>5.7000000000007045E-3</v>
      </c>
      <c r="K405" s="285">
        <f t="shared" si="43"/>
        <v>2.6437847866422564</v>
      </c>
      <c r="L405">
        <v>8</v>
      </c>
      <c r="M405" s="16">
        <v>43388</v>
      </c>
      <c r="N405" s="286">
        <v>43389</v>
      </c>
      <c r="O405" s="286"/>
      <c r="P405" s="283"/>
      <c r="R405" s="285"/>
    </row>
    <row r="406" spans="1:25">
      <c r="A406" t="s">
        <v>869</v>
      </c>
      <c r="C406" t="s">
        <v>3729</v>
      </c>
      <c r="D406">
        <v>1.4455</v>
      </c>
      <c r="E406">
        <v>7.4816000000000003</v>
      </c>
      <c r="F406">
        <v>0.20760000000000001</v>
      </c>
      <c r="G406" s="284">
        <f t="shared" si="47"/>
        <v>7.6892000000000005</v>
      </c>
      <c r="H406" s="284">
        <v>7.4984000000000002</v>
      </c>
      <c r="I406" s="284">
        <f t="shared" si="46"/>
        <v>0.1908000000000003</v>
      </c>
      <c r="J406" s="283">
        <f t="shared" si="42"/>
        <v>1.6799999999999704E-2</v>
      </c>
      <c r="K406" s="285">
        <f t="shared" si="43"/>
        <v>8.0924855491328049</v>
      </c>
      <c r="L406">
        <v>29</v>
      </c>
      <c r="M406" s="286">
        <v>43361</v>
      </c>
      <c r="N406" s="286">
        <v>43362</v>
      </c>
      <c r="O406" s="283" t="s">
        <v>3730</v>
      </c>
      <c r="V406" s="284"/>
    </row>
    <row r="407" spans="1:25">
      <c r="A407" t="s">
        <v>866</v>
      </c>
      <c r="C407" t="s">
        <v>3661</v>
      </c>
      <c r="D407">
        <v>1.8433999999999999</v>
      </c>
      <c r="E407">
        <v>11.158899999999999</v>
      </c>
      <c r="F407">
        <v>0.20349999999999999</v>
      </c>
      <c r="G407" s="284">
        <f t="shared" si="47"/>
        <v>11.362399999999999</v>
      </c>
      <c r="H407" s="284">
        <v>11.1637</v>
      </c>
      <c r="I407" s="284">
        <f>(G407-H407)</f>
        <v>0.19869999999999877</v>
      </c>
      <c r="J407" s="283">
        <f t="shared" si="42"/>
        <v>4.80000000000122E-3</v>
      </c>
      <c r="K407" s="285">
        <f t="shared" si="43"/>
        <v>2.3587223587229587</v>
      </c>
      <c r="L407">
        <v>36</v>
      </c>
      <c r="M407" s="16">
        <v>43358</v>
      </c>
      <c r="N407" s="16">
        <v>43358</v>
      </c>
      <c r="R407" s="285"/>
      <c r="W407" s="284"/>
      <c r="X407" s="284"/>
      <c r="Y407" s="283"/>
    </row>
    <row r="408" spans="1:25">
      <c r="A408" t="s">
        <v>865</v>
      </c>
      <c r="C408" t="s">
        <v>3784</v>
      </c>
      <c r="D408">
        <v>1.0982000000000001</v>
      </c>
      <c r="E408">
        <v>8.7744</v>
      </c>
      <c r="F408">
        <v>0.224</v>
      </c>
      <c r="G408" s="284">
        <f t="shared" si="47"/>
        <v>8.9984000000000002</v>
      </c>
      <c r="H408" s="284">
        <v>8.9724000000000004</v>
      </c>
      <c r="I408" s="284">
        <f>G408-H408</f>
        <v>2.5999999999999801E-2</v>
      </c>
      <c r="J408" s="283">
        <f t="shared" si="42"/>
        <v>0.1980000000000002</v>
      </c>
      <c r="K408" s="285">
        <f t="shared" si="43"/>
        <v>88.392857142857224</v>
      </c>
      <c r="L408">
        <v>1</v>
      </c>
      <c r="M408" s="16">
        <v>43399</v>
      </c>
      <c r="N408" s="16">
        <v>43400</v>
      </c>
      <c r="R408" s="285"/>
    </row>
    <row r="409" spans="1:25">
      <c r="A409" t="s">
        <v>864</v>
      </c>
      <c r="C409" t="s">
        <v>3727</v>
      </c>
      <c r="D409">
        <v>1.8165</v>
      </c>
      <c r="E409">
        <v>11.160500000000001</v>
      </c>
      <c r="F409">
        <v>0.21510000000000001</v>
      </c>
      <c r="G409" s="284">
        <f t="shared" si="47"/>
        <v>11.3756</v>
      </c>
      <c r="H409" s="284">
        <v>11.165100000000001</v>
      </c>
      <c r="I409" s="284">
        <f>(G409-H409)</f>
        <v>0.21049999999999969</v>
      </c>
      <c r="J409" s="283">
        <f t="shared" si="42"/>
        <v>4.6000000000003261E-3</v>
      </c>
      <c r="K409" s="285">
        <f t="shared" si="43"/>
        <v>2.1385402138541729</v>
      </c>
      <c r="L409">
        <v>39</v>
      </c>
      <c r="M409" s="286">
        <v>43360</v>
      </c>
      <c r="N409" s="286">
        <v>43361</v>
      </c>
      <c r="O409" s="283" t="s">
        <v>3707</v>
      </c>
      <c r="R409" s="285"/>
    </row>
    <row r="410" spans="1:25">
      <c r="A410" t="s">
        <v>861</v>
      </c>
      <c r="C410" t="s">
        <v>3744</v>
      </c>
      <c r="D410">
        <v>1.7094</v>
      </c>
      <c r="E410">
        <v>10.418200000000001</v>
      </c>
      <c r="F410">
        <v>0.20730000000000001</v>
      </c>
      <c r="G410" s="284">
        <f t="shared" si="47"/>
        <v>10.625500000000001</v>
      </c>
      <c r="H410" s="284">
        <v>10.4237</v>
      </c>
      <c r="I410" s="284">
        <f>G410-H410</f>
        <v>0.20180000000000042</v>
      </c>
      <c r="J410" s="283">
        <f t="shared" si="42"/>
        <v>5.4999999999995886E-3</v>
      </c>
      <c r="K410" s="285">
        <f t="shared" si="43"/>
        <v>2.6531596719727872</v>
      </c>
      <c r="L410">
        <v>25</v>
      </c>
      <c r="M410">
        <v>23.101800000000001</v>
      </c>
      <c r="N410" s="16">
        <v>43397</v>
      </c>
      <c r="R410" s="285"/>
    </row>
    <row r="411" spans="1:25">
      <c r="A411" t="s">
        <v>860</v>
      </c>
      <c r="C411" t="s">
        <v>3701</v>
      </c>
      <c r="D411">
        <v>1.5553999999999999</v>
      </c>
      <c r="E411">
        <v>9.2219999999999995</v>
      </c>
      <c r="F411">
        <v>0.218</v>
      </c>
      <c r="G411" s="284">
        <f t="shared" si="47"/>
        <v>9.44</v>
      </c>
      <c r="H411" s="284">
        <v>9.2325999999999997</v>
      </c>
      <c r="I411" s="284">
        <f>G411-H411</f>
        <v>0.20739999999999981</v>
      </c>
      <c r="J411" s="283">
        <f t="shared" si="42"/>
        <v>1.0600000000000193E-2</v>
      </c>
      <c r="K411" s="285">
        <f t="shared" si="43"/>
        <v>4.862385321101006</v>
      </c>
      <c r="L411">
        <v>3</v>
      </c>
      <c r="M411" s="286">
        <v>43363</v>
      </c>
      <c r="N411" s="286">
        <v>43364</v>
      </c>
      <c r="O411" s="283" t="s">
        <v>3756</v>
      </c>
      <c r="R411" s="285"/>
    </row>
    <row r="412" spans="1:25">
      <c r="A412" t="s">
        <v>858</v>
      </c>
      <c r="C412" t="s">
        <v>3770</v>
      </c>
      <c r="D412">
        <v>1.7549999999999999</v>
      </c>
      <c r="E412">
        <v>9.5569000000000006</v>
      </c>
      <c r="F412">
        <v>0.22589999999999999</v>
      </c>
      <c r="G412" s="288">
        <f t="shared" si="47"/>
        <v>9.7827999999999999</v>
      </c>
      <c r="H412" s="284">
        <v>9.5626999999999995</v>
      </c>
      <c r="I412" s="288">
        <f>G412-H412</f>
        <v>0.22010000000000041</v>
      </c>
      <c r="J412" s="283">
        <f t="shared" ref="J412:J438" si="48">F412-I412</f>
        <v>5.7999999999995833E-3</v>
      </c>
      <c r="K412" s="285">
        <f t="shared" ref="K412:K438" si="49">(J412/F412)*100</f>
        <v>2.5675077467904308</v>
      </c>
      <c r="L412">
        <v>14</v>
      </c>
      <c r="M412" s="286">
        <v>43379</v>
      </c>
      <c r="N412" s="286">
        <v>43379</v>
      </c>
      <c r="O412" s="283"/>
      <c r="R412" s="285"/>
    </row>
    <row r="413" spans="1:25">
      <c r="A413" t="s">
        <v>857</v>
      </c>
      <c r="B413">
        <v>206</v>
      </c>
      <c r="C413" t="s">
        <v>2504</v>
      </c>
      <c r="D413">
        <v>1.4330000000000001</v>
      </c>
      <c r="E413">
        <v>8.7696000000000005</v>
      </c>
      <c r="F413">
        <v>0.20619999999999999</v>
      </c>
      <c r="G413">
        <f t="shared" si="47"/>
        <v>8.9758000000000013</v>
      </c>
      <c r="H413">
        <v>8.7903000000000002</v>
      </c>
      <c r="I413" s="284">
        <f>G413-H413</f>
        <v>0.18550000000000111</v>
      </c>
      <c r="J413" s="283">
        <f t="shared" si="48"/>
        <v>2.0699999999998886E-2</v>
      </c>
      <c r="K413" s="285">
        <f t="shared" si="49"/>
        <v>10.038797284189567</v>
      </c>
      <c r="L413">
        <v>19</v>
      </c>
      <c r="M413" s="16">
        <v>43399</v>
      </c>
      <c r="N413" s="16">
        <v>43400</v>
      </c>
      <c r="R413" s="285"/>
    </row>
    <row r="414" spans="1:25">
      <c r="A414" t="s">
        <v>853</v>
      </c>
      <c r="C414" t="s">
        <v>3735</v>
      </c>
      <c r="D414">
        <v>1.3492999999999999</v>
      </c>
      <c r="E414">
        <v>9.7273999999999994</v>
      </c>
      <c r="F414">
        <v>0.2094</v>
      </c>
      <c r="G414">
        <f t="shared" si="47"/>
        <v>9.9367999999999999</v>
      </c>
      <c r="H414">
        <v>9.7360000000000007</v>
      </c>
      <c r="I414" s="284">
        <f>G414-H414</f>
        <v>0.2007999999999992</v>
      </c>
      <c r="J414" s="283">
        <f t="shared" si="48"/>
        <v>8.6000000000008014E-3</v>
      </c>
      <c r="K414" s="285">
        <f t="shared" si="49"/>
        <v>4.106972301815091</v>
      </c>
      <c r="L414">
        <v>18</v>
      </c>
      <c r="M414" s="16">
        <v>43399</v>
      </c>
      <c r="N414" s="16">
        <v>43400</v>
      </c>
      <c r="R414" s="285"/>
    </row>
    <row r="415" spans="1:25">
      <c r="A415" t="s">
        <v>849</v>
      </c>
      <c r="C415" t="s">
        <v>3695</v>
      </c>
      <c r="D415">
        <v>1.8677999999999999</v>
      </c>
      <c r="E415">
        <v>11.1732</v>
      </c>
      <c r="F415">
        <v>0.21229999999999999</v>
      </c>
      <c r="G415" s="284">
        <f t="shared" si="47"/>
        <v>11.3855</v>
      </c>
      <c r="H415" s="284">
        <v>11.178599999999999</v>
      </c>
      <c r="I415" s="284">
        <f>(G415-H415)</f>
        <v>0.20690000000000097</v>
      </c>
      <c r="J415" s="283">
        <f t="shared" si="48"/>
        <v>5.3999999999990167E-3</v>
      </c>
      <c r="K415" s="285">
        <f t="shared" si="49"/>
        <v>2.5435704192176245</v>
      </c>
      <c r="L415">
        <v>27</v>
      </c>
      <c r="M415" s="286">
        <v>43360</v>
      </c>
      <c r="N415" s="286">
        <v>43361</v>
      </c>
      <c r="O415" s="283" t="s">
        <v>3707</v>
      </c>
      <c r="R415" s="285"/>
    </row>
    <row r="416" spans="1:25">
      <c r="A416" t="s">
        <v>847</v>
      </c>
      <c r="C416" t="s">
        <v>3714</v>
      </c>
      <c r="D416">
        <v>0.28799999999999998</v>
      </c>
      <c r="E416">
        <v>8.7743000000000002</v>
      </c>
      <c r="F416">
        <v>0.20030000000000001</v>
      </c>
      <c r="G416" s="284">
        <f t="shared" si="47"/>
        <v>8.9746000000000006</v>
      </c>
      <c r="H416" s="284">
        <v>8.9074000000000009</v>
      </c>
      <c r="I416" s="284">
        <f>G416-H416</f>
        <v>6.7199999999999704E-2</v>
      </c>
      <c r="J416" s="283">
        <f t="shared" si="48"/>
        <v>0.1331000000000003</v>
      </c>
      <c r="K416" s="285">
        <f t="shared" si="49"/>
        <v>66.450324513230314</v>
      </c>
      <c r="L416">
        <v>21</v>
      </c>
      <c r="M416" s="16">
        <v>43381</v>
      </c>
      <c r="N416" s="16">
        <v>43382</v>
      </c>
      <c r="R416" s="285"/>
    </row>
    <row r="417" spans="1:18">
      <c r="A417" t="s">
        <v>846</v>
      </c>
      <c r="C417" t="s">
        <v>3418</v>
      </c>
      <c r="D417">
        <v>1.5531999999999999</v>
      </c>
      <c r="E417">
        <v>20.894400000000001</v>
      </c>
      <c r="F417">
        <v>0.2336</v>
      </c>
      <c r="G417" s="284">
        <f t="shared" si="47"/>
        <v>21.128</v>
      </c>
      <c r="H417" s="284">
        <v>20.908899999999999</v>
      </c>
      <c r="I417" s="284">
        <f>G417-H417</f>
        <v>0.21910000000000096</v>
      </c>
      <c r="J417" s="283">
        <f t="shared" si="48"/>
        <v>1.4499999999999041E-2</v>
      </c>
      <c r="K417" s="285">
        <f t="shared" si="49"/>
        <v>6.2071917808215078</v>
      </c>
      <c r="L417">
        <v>41</v>
      </c>
      <c r="M417" s="286">
        <v>43363</v>
      </c>
      <c r="N417" s="286">
        <v>43364</v>
      </c>
      <c r="O417" s="283" t="s">
        <v>3756</v>
      </c>
      <c r="R417" s="285"/>
    </row>
    <row r="418" spans="1:18">
      <c r="A418" t="s">
        <v>844</v>
      </c>
      <c r="C418" t="s">
        <v>3712</v>
      </c>
      <c r="D418">
        <v>1.7957000000000001</v>
      </c>
      <c r="E418">
        <v>8.8607999999999993</v>
      </c>
      <c r="F418">
        <v>0.21440000000000001</v>
      </c>
      <c r="G418" s="284">
        <f t="shared" si="47"/>
        <v>9.0751999999999988</v>
      </c>
      <c r="H418" s="284">
        <v>8.8655000000000008</v>
      </c>
      <c r="I418" s="284">
        <f>(G418-H418)</f>
        <v>0.209699999999998</v>
      </c>
      <c r="J418" s="283">
        <f t="shared" si="48"/>
        <v>4.7000000000020081E-3</v>
      </c>
      <c r="K418" s="285">
        <f t="shared" si="49"/>
        <v>2.1921641791054141</v>
      </c>
      <c r="L418">
        <v>9</v>
      </c>
      <c r="M418" s="286">
        <v>43360</v>
      </c>
      <c r="N418" s="286">
        <v>43361</v>
      </c>
      <c r="O418" s="283" t="s">
        <v>3707</v>
      </c>
      <c r="R418" s="285"/>
    </row>
    <row r="419" spans="1:18">
      <c r="A419" t="s">
        <v>843</v>
      </c>
      <c r="C419" t="s">
        <v>3747</v>
      </c>
      <c r="D419">
        <v>1.8102</v>
      </c>
      <c r="E419">
        <v>10.0573</v>
      </c>
      <c r="F419">
        <v>0.21199999999999999</v>
      </c>
      <c r="G419">
        <f t="shared" si="47"/>
        <v>10.269299999999999</v>
      </c>
      <c r="H419">
        <v>10.0618</v>
      </c>
      <c r="I419" s="284">
        <f>G419-H419</f>
        <v>0.20749999999999957</v>
      </c>
      <c r="J419" s="283">
        <f t="shared" si="48"/>
        <v>4.5000000000004203E-3</v>
      </c>
      <c r="K419" s="285">
        <f t="shared" si="49"/>
        <v>2.1226415094341604</v>
      </c>
      <c r="L419">
        <v>11</v>
      </c>
      <c r="M419" s="16">
        <v>43402</v>
      </c>
      <c r="N419" s="16">
        <v>43403</v>
      </c>
      <c r="R419" s="285"/>
    </row>
    <row r="420" spans="1:18">
      <c r="A420" t="s">
        <v>842</v>
      </c>
      <c r="C420" t="s">
        <v>3734</v>
      </c>
      <c r="D420">
        <v>1.6919999999999999</v>
      </c>
      <c r="E420">
        <v>19.645299999999999</v>
      </c>
      <c r="F420">
        <v>0.20419999999999999</v>
      </c>
      <c r="G420" s="284">
        <f t="shared" si="47"/>
        <v>19.849499999999999</v>
      </c>
      <c r="H420" s="284">
        <v>19.658200000000001</v>
      </c>
      <c r="I420" s="284">
        <f>G420-H420</f>
        <v>0.19129999999999825</v>
      </c>
      <c r="J420" s="283">
        <f t="shared" si="48"/>
        <v>1.2900000000001743E-2</v>
      </c>
      <c r="K420" s="285">
        <f t="shared" si="49"/>
        <v>6.3173359451526663</v>
      </c>
      <c r="L420">
        <v>33</v>
      </c>
      <c r="M420" s="286">
        <v>43361</v>
      </c>
      <c r="N420" s="286">
        <v>43362</v>
      </c>
      <c r="O420" s="283" t="s">
        <v>3730</v>
      </c>
      <c r="R420" s="285"/>
    </row>
    <row r="421" spans="1:18">
      <c r="A421" t="s">
        <v>837</v>
      </c>
      <c r="C421" t="s">
        <v>3774</v>
      </c>
      <c r="D421">
        <v>1.736</v>
      </c>
      <c r="E421">
        <v>10.1172</v>
      </c>
      <c r="F421">
        <v>0.217</v>
      </c>
      <c r="G421" s="288">
        <f t="shared" si="47"/>
        <v>10.334200000000001</v>
      </c>
      <c r="H421" s="284">
        <v>10.123799999999999</v>
      </c>
      <c r="I421" s="288">
        <f>G421-H421</f>
        <v>0.2104000000000017</v>
      </c>
      <c r="J421" s="283">
        <f t="shared" si="48"/>
        <v>6.5999999999983017E-3</v>
      </c>
      <c r="K421" s="285">
        <f t="shared" si="49"/>
        <v>3.0414746543770974</v>
      </c>
      <c r="L421">
        <v>23</v>
      </c>
      <c r="M421" s="286">
        <v>43379</v>
      </c>
      <c r="N421" s="286">
        <v>43379</v>
      </c>
      <c r="R421" s="285"/>
    </row>
    <row r="422" spans="1:18">
      <c r="A422" t="s">
        <v>836</v>
      </c>
      <c r="C422" t="s">
        <v>3776</v>
      </c>
      <c r="D422">
        <v>1.9196</v>
      </c>
      <c r="E422">
        <v>9.1574000000000009</v>
      </c>
      <c r="F422">
        <v>0.2288</v>
      </c>
      <c r="G422" s="284">
        <f t="shared" si="47"/>
        <v>9.3862000000000005</v>
      </c>
      <c r="H422" s="284">
        <v>9.1637000000000004</v>
      </c>
      <c r="I422" s="284">
        <f>G422-H422</f>
        <v>0.22250000000000014</v>
      </c>
      <c r="J422" s="283">
        <f t="shared" si="48"/>
        <v>6.2999999999998613E-3</v>
      </c>
      <c r="K422" s="285">
        <f t="shared" si="49"/>
        <v>2.7534965034964429</v>
      </c>
      <c r="L422">
        <v>14</v>
      </c>
      <c r="M422" s="16">
        <v>43381</v>
      </c>
      <c r="N422" s="16">
        <v>43382</v>
      </c>
      <c r="R422" s="285"/>
    </row>
    <row r="423" spans="1:18">
      <c r="A423" t="s">
        <v>835</v>
      </c>
      <c r="C423" t="s">
        <v>3674</v>
      </c>
      <c r="D423">
        <v>1.8827</v>
      </c>
      <c r="E423">
        <v>11.903600000000001</v>
      </c>
      <c r="F423">
        <v>0.2072</v>
      </c>
      <c r="G423" s="284">
        <f t="shared" si="47"/>
        <v>12.110800000000001</v>
      </c>
      <c r="H423" s="284">
        <v>11.910399999999999</v>
      </c>
      <c r="I423" s="284">
        <f>(G423-H423)</f>
        <v>0.20040000000000191</v>
      </c>
      <c r="J423" s="283">
        <f t="shared" si="48"/>
        <v>6.7999999999980854E-3</v>
      </c>
      <c r="K423" s="285">
        <f t="shared" si="49"/>
        <v>3.2818532818523578</v>
      </c>
      <c r="L423">
        <v>34</v>
      </c>
      <c r="M423" s="16">
        <v>43358</v>
      </c>
      <c r="N423" s="16">
        <v>43358</v>
      </c>
      <c r="R423" s="285"/>
    </row>
    <row r="424" spans="1:18">
      <c r="A424" t="s">
        <v>831</v>
      </c>
      <c r="C424" t="s">
        <v>3416</v>
      </c>
      <c r="D424">
        <v>1.5723</v>
      </c>
      <c r="E424">
        <v>7.0766</v>
      </c>
      <c r="F424">
        <v>0.20930000000000001</v>
      </c>
      <c r="G424" s="284">
        <f t="shared" si="47"/>
        <v>7.2858999999999998</v>
      </c>
      <c r="H424" s="284">
        <v>7.0860000000000003</v>
      </c>
      <c r="I424" s="284">
        <f t="shared" ref="I424:I438" si="50">G424-H424</f>
        <v>0.19989999999999952</v>
      </c>
      <c r="J424" s="283">
        <f t="shared" si="48"/>
        <v>9.4000000000004913E-3</v>
      </c>
      <c r="K424" s="285">
        <f t="shared" si="49"/>
        <v>4.4911610129003776</v>
      </c>
      <c r="L424">
        <v>24</v>
      </c>
      <c r="M424" s="16">
        <v>43381</v>
      </c>
      <c r="N424" s="16">
        <v>43382</v>
      </c>
      <c r="R424" s="285"/>
    </row>
    <row r="425" spans="1:18">
      <c r="A425" t="s">
        <v>828</v>
      </c>
      <c r="C425" t="s">
        <v>3764</v>
      </c>
      <c r="D425">
        <v>1.3869</v>
      </c>
      <c r="E425">
        <v>11.1555</v>
      </c>
      <c r="F425">
        <v>0.21</v>
      </c>
      <c r="G425" s="284">
        <f t="shared" si="47"/>
        <v>11.365500000000001</v>
      </c>
      <c r="H425" s="284">
        <v>11.174200000000001</v>
      </c>
      <c r="I425" s="284">
        <f t="shared" si="50"/>
        <v>0.19130000000000003</v>
      </c>
      <c r="J425" s="283">
        <f t="shared" si="48"/>
        <v>1.8699999999999967E-2</v>
      </c>
      <c r="K425" s="285">
        <f t="shared" si="49"/>
        <v>8.9047619047618891</v>
      </c>
      <c r="L425">
        <v>39</v>
      </c>
      <c r="M425" s="16">
        <v>43399</v>
      </c>
      <c r="N425" s="16">
        <v>43400</v>
      </c>
      <c r="R425" s="285"/>
    </row>
    <row r="426" spans="1:18">
      <c r="A426" t="s">
        <v>827</v>
      </c>
      <c r="C426" t="s">
        <v>3420</v>
      </c>
      <c r="D426">
        <v>1.5223</v>
      </c>
      <c r="E426">
        <v>7.8398000000000003</v>
      </c>
      <c r="F426">
        <v>0.2127</v>
      </c>
      <c r="G426">
        <f t="shared" si="47"/>
        <v>8.0525000000000002</v>
      </c>
      <c r="H426">
        <v>7.8501000000000003</v>
      </c>
      <c r="I426" s="284">
        <f t="shared" si="50"/>
        <v>0.20239999999999991</v>
      </c>
      <c r="J426" s="283">
        <f t="shared" si="48"/>
        <v>1.0300000000000087E-2</v>
      </c>
      <c r="K426" s="285">
        <f t="shared" si="49"/>
        <v>4.8425011753644043</v>
      </c>
      <c r="L426">
        <v>21</v>
      </c>
      <c r="M426" s="16">
        <v>43402</v>
      </c>
      <c r="N426" s="16">
        <v>43403</v>
      </c>
      <c r="R426" s="285"/>
    </row>
    <row r="427" spans="1:18">
      <c r="A427" t="s">
        <v>821</v>
      </c>
      <c r="C427" t="s">
        <v>3750</v>
      </c>
      <c r="D427">
        <v>1.7964</v>
      </c>
      <c r="E427">
        <v>8.7039000000000009</v>
      </c>
      <c r="F427">
        <v>0.20499999999999999</v>
      </c>
      <c r="G427" s="284">
        <f t="shared" si="47"/>
        <v>8.9089000000000009</v>
      </c>
      <c r="H427" s="284">
        <v>8.7085000000000008</v>
      </c>
      <c r="I427" s="284">
        <f t="shared" si="50"/>
        <v>0.20040000000000013</v>
      </c>
      <c r="J427" s="283">
        <f t="shared" si="48"/>
        <v>4.5999999999998542E-3</v>
      </c>
      <c r="K427" s="285">
        <f t="shared" si="49"/>
        <v>2.2439024390243194</v>
      </c>
      <c r="L427">
        <v>39</v>
      </c>
      <c r="M427" s="286">
        <v>43362</v>
      </c>
      <c r="N427" s="286">
        <v>43363</v>
      </c>
      <c r="R427" s="285"/>
    </row>
    <row r="428" spans="1:18">
      <c r="A428" t="s">
        <v>820</v>
      </c>
      <c r="B428">
        <v>213</v>
      </c>
      <c r="D428">
        <v>1.5478000000000001</v>
      </c>
      <c r="E428">
        <v>8.1189</v>
      </c>
      <c r="F428">
        <v>0.20280000000000001</v>
      </c>
      <c r="G428" s="284">
        <f t="shared" si="47"/>
        <v>8.3216999999999999</v>
      </c>
      <c r="H428" s="284">
        <v>8.1305999999999994</v>
      </c>
      <c r="I428" s="284">
        <f t="shared" si="50"/>
        <v>0.19110000000000049</v>
      </c>
      <c r="J428" s="283">
        <f t="shared" si="48"/>
        <v>1.1699999999999516E-2</v>
      </c>
      <c r="K428" s="285">
        <f t="shared" si="49"/>
        <v>5.7692307692305311</v>
      </c>
      <c r="L428">
        <v>35</v>
      </c>
      <c r="M428" s="16">
        <v>43388</v>
      </c>
      <c r="N428" s="286">
        <v>43389</v>
      </c>
      <c r="O428" s="16"/>
      <c r="R428" s="285"/>
    </row>
    <row r="429" spans="1:18">
      <c r="A429" t="s">
        <v>816</v>
      </c>
      <c r="C429" t="s">
        <v>3435</v>
      </c>
      <c r="D429">
        <v>1.4810000000000001</v>
      </c>
      <c r="E429">
        <v>11.2599</v>
      </c>
      <c r="F429">
        <v>0.20369999999999999</v>
      </c>
      <c r="G429">
        <f t="shared" si="47"/>
        <v>11.4636</v>
      </c>
      <c r="H429">
        <v>11.273099999999999</v>
      </c>
      <c r="I429" s="284">
        <f t="shared" si="50"/>
        <v>0.19050000000000011</v>
      </c>
      <c r="J429" s="283">
        <f t="shared" si="48"/>
        <v>1.3199999999999878E-2</v>
      </c>
      <c r="K429" s="285">
        <f t="shared" si="49"/>
        <v>6.4801178203239465</v>
      </c>
      <c r="L429">
        <v>16</v>
      </c>
      <c r="M429" s="16">
        <v>43402</v>
      </c>
      <c r="N429" s="16">
        <v>43403</v>
      </c>
      <c r="R429" s="285"/>
    </row>
    <row r="430" spans="1:18">
      <c r="A430" t="s">
        <v>814</v>
      </c>
      <c r="B430">
        <v>199</v>
      </c>
      <c r="C430" t="s">
        <v>2504</v>
      </c>
      <c r="D430">
        <v>1.431</v>
      </c>
      <c r="E430">
        <v>9.9192999999999998</v>
      </c>
      <c r="F430">
        <v>0.22140000000000001</v>
      </c>
      <c r="G430">
        <f t="shared" si="47"/>
        <v>10.140699999999999</v>
      </c>
      <c r="H430">
        <v>9.9268999999999998</v>
      </c>
      <c r="I430" s="284">
        <f t="shared" si="50"/>
        <v>0.2137999999999991</v>
      </c>
      <c r="J430" s="283">
        <f t="shared" si="48"/>
        <v>7.6000000000009116E-3</v>
      </c>
      <c r="K430" s="285">
        <f t="shared" si="49"/>
        <v>3.4327009936770145</v>
      </c>
      <c r="L430">
        <v>10</v>
      </c>
      <c r="M430" s="16">
        <v>43399</v>
      </c>
      <c r="N430" s="16">
        <v>43400</v>
      </c>
      <c r="R430" s="285"/>
    </row>
    <row r="431" spans="1:18">
      <c r="A431" t="s">
        <v>809</v>
      </c>
      <c r="C431" t="s">
        <v>3473</v>
      </c>
      <c r="D431">
        <v>1.6395999999999999</v>
      </c>
      <c r="E431">
        <v>9.8884000000000007</v>
      </c>
      <c r="F431">
        <v>0.20130000000000001</v>
      </c>
      <c r="G431" s="284">
        <f t="shared" si="47"/>
        <v>10.089700000000001</v>
      </c>
      <c r="H431" s="284">
        <v>9.9009999999999998</v>
      </c>
      <c r="I431" s="284">
        <f t="shared" si="50"/>
        <v>0.18870000000000076</v>
      </c>
      <c r="J431" s="283">
        <f t="shared" si="48"/>
        <v>1.2599999999999251E-2</v>
      </c>
      <c r="K431" s="285">
        <f t="shared" si="49"/>
        <v>6.259314456035395</v>
      </c>
      <c r="L431">
        <v>8</v>
      </c>
      <c r="M431" s="286">
        <v>43363</v>
      </c>
      <c r="N431" s="286">
        <v>43364</v>
      </c>
      <c r="O431" s="283" t="s">
        <v>3756</v>
      </c>
      <c r="R431" s="285"/>
    </row>
    <row r="432" spans="1:18">
      <c r="A432" t="s">
        <v>806</v>
      </c>
      <c r="B432">
        <v>210</v>
      </c>
      <c r="D432">
        <v>1.2941</v>
      </c>
      <c r="E432">
        <v>9.5571000000000002</v>
      </c>
      <c r="F432">
        <v>0.2389</v>
      </c>
      <c r="G432" s="284">
        <f t="shared" si="47"/>
        <v>9.7959999999999994</v>
      </c>
      <c r="H432" s="284">
        <v>9.77</v>
      </c>
      <c r="I432" s="284">
        <f t="shared" si="50"/>
        <v>2.5999999999999801E-2</v>
      </c>
      <c r="J432" s="283">
        <f t="shared" si="48"/>
        <v>0.2129000000000002</v>
      </c>
      <c r="K432" s="285">
        <f t="shared" si="49"/>
        <v>89.116785265801681</v>
      </c>
      <c r="L432">
        <v>28</v>
      </c>
      <c r="M432" s="16">
        <v>43388</v>
      </c>
      <c r="N432" s="286">
        <v>43389</v>
      </c>
      <c r="O432" s="16"/>
      <c r="R432" s="285"/>
    </row>
    <row r="433" spans="1:18">
      <c r="A433" t="s">
        <v>804</v>
      </c>
      <c r="C433" t="s">
        <v>3491</v>
      </c>
      <c r="D433">
        <v>1.7206999999999999</v>
      </c>
      <c r="E433">
        <v>8.1676000000000002</v>
      </c>
      <c r="F433">
        <v>0.224</v>
      </c>
      <c r="G433" s="284">
        <f t="shared" si="47"/>
        <v>8.3916000000000004</v>
      </c>
      <c r="H433" s="284">
        <v>8.1792999999999996</v>
      </c>
      <c r="I433" s="284">
        <f t="shared" si="50"/>
        <v>0.21230000000000082</v>
      </c>
      <c r="J433" s="283">
        <f t="shared" si="48"/>
        <v>1.1699999999999183E-2</v>
      </c>
      <c r="K433" s="285">
        <f t="shared" si="49"/>
        <v>5.2232142857139205</v>
      </c>
      <c r="L433">
        <v>17</v>
      </c>
      <c r="M433" s="286">
        <v>43363</v>
      </c>
      <c r="N433" s="286">
        <v>43364</v>
      </c>
      <c r="R433" s="285"/>
    </row>
    <row r="434" spans="1:18">
      <c r="A434" t="s">
        <v>803</v>
      </c>
      <c r="C434" t="s">
        <v>3461</v>
      </c>
      <c r="D434">
        <v>1.6274999999999999</v>
      </c>
      <c r="E434">
        <v>8.8462999999999994</v>
      </c>
      <c r="F434">
        <v>0.20580000000000001</v>
      </c>
      <c r="G434" s="284">
        <f t="shared" si="47"/>
        <v>9.0520999999999994</v>
      </c>
      <c r="H434" s="284">
        <v>8.8643999999999998</v>
      </c>
      <c r="I434" s="284">
        <f t="shared" si="50"/>
        <v>0.18769999999999953</v>
      </c>
      <c r="J434" s="283">
        <f t="shared" si="48"/>
        <v>1.8100000000000477E-2</v>
      </c>
      <c r="K434" s="285">
        <f t="shared" si="49"/>
        <v>8.794946550048822</v>
      </c>
      <c r="L434">
        <v>12</v>
      </c>
      <c r="M434" s="16">
        <v>43381</v>
      </c>
      <c r="N434" s="16">
        <v>43382</v>
      </c>
      <c r="R434" s="285"/>
    </row>
    <row r="435" spans="1:18">
      <c r="A435" t="s">
        <v>796</v>
      </c>
      <c r="C435" t="s">
        <v>3746</v>
      </c>
      <c r="D435">
        <v>1.8805000000000001</v>
      </c>
      <c r="E435">
        <v>10.7454</v>
      </c>
      <c r="F435">
        <v>0.2049</v>
      </c>
      <c r="G435" s="284">
        <f t="shared" si="47"/>
        <v>10.9503</v>
      </c>
      <c r="H435" s="284">
        <v>10.75</v>
      </c>
      <c r="I435" s="284">
        <f t="shared" si="50"/>
        <v>0.20030000000000037</v>
      </c>
      <c r="J435" s="283">
        <f t="shared" si="48"/>
        <v>4.5999999999996322E-3</v>
      </c>
      <c r="K435" s="285">
        <f t="shared" si="49"/>
        <v>2.2449975597850815</v>
      </c>
      <c r="L435">
        <v>30</v>
      </c>
      <c r="M435">
        <v>23.101800000000001</v>
      </c>
      <c r="N435" s="16">
        <v>43397</v>
      </c>
      <c r="R435" s="285"/>
    </row>
    <row r="436" spans="1:18">
      <c r="A436" t="s">
        <v>793</v>
      </c>
      <c r="B436">
        <v>205</v>
      </c>
      <c r="C436" t="s">
        <v>2504</v>
      </c>
      <c r="D436">
        <v>1.5878000000000001</v>
      </c>
      <c r="E436">
        <v>10.155200000000001</v>
      </c>
      <c r="F436">
        <v>0.22040000000000001</v>
      </c>
      <c r="G436" s="284">
        <f t="shared" si="47"/>
        <v>10.3756</v>
      </c>
      <c r="H436" s="284">
        <v>10.1684</v>
      </c>
      <c r="I436" s="284">
        <f t="shared" si="50"/>
        <v>0.20720000000000027</v>
      </c>
      <c r="J436" s="283">
        <f t="shared" si="48"/>
        <v>1.319999999999974E-2</v>
      </c>
      <c r="K436" s="285">
        <f t="shared" si="49"/>
        <v>5.9891107078038743</v>
      </c>
      <c r="L436">
        <v>20</v>
      </c>
      <c r="M436" s="16">
        <v>43399</v>
      </c>
      <c r="N436" s="16">
        <v>43400</v>
      </c>
      <c r="R436" s="285"/>
    </row>
    <row r="437" spans="1:18">
      <c r="A437" t="s">
        <v>791</v>
      </c>
      <c r="C437" t="s">
        <v>3490</v>
      </c>
      <c r="D437">
        <v>1.823</v>
      </c>
      <c r="E437">
        <v>8.9587000000000003</v>
      </c>
      <c r="F437">
        <v>0.20610000000000001</v>
      </c>
      <c r="G437">
        <f t="shared" si="47"/>
        <v>9.1647999999999996</v>
      </c>
      <c r="H437">
        <v>8.9678000000000004</v>
      </c>
      <c r="I437" s="284">
        <f t="shared" si="50"/>
        <v>0.19699999999999918</v>
      </c>
      <c r="J437" s="283">
        <f t="shared" si="48"/>
        <v>9.1000000000008296E-3</v>
      </c>
      <c r="K437" s="285">
        <f t="shared" si="49"/>
        <v>4.4153323629310188</v>
      </c>
      <c r="L437">
        <v>17</v>
      </c>
      <c r="M437" s="16">
        <v>43399</v>
      </c>
      <c r="N437" s="16">
        <v>43400</v>
      </c>
      <c r="R437" s="285"/>
    </row>
    <row r="438" spans="1:18">
      <c r="A438" t="s">
        <v>789</v>
      </c>
      <c r="B438">
        <v>198</v>
      </c>
      <c r="D438">
        <v>1.4137</v>
      </c>
      <c r="E438">
        <v>11.1548</v>
      </c>
      <c r="F438">
        <v>0.2175</v>
      </c>
      <c r="G438" s="284">
        <f t="shared" si="47"/>
        <v>11.372299999999999</v>
      </c>
      <c r="H438" s="284">
        <v>11.165900000000001</v>
      </c>
      <c r="I438" s="284">
        <f t="shared" si="50"/>
        <v>0.20639999999999858</v>
      </c>
      <c r="J438" s="283">
        <f t="shared" si="48"/>
        <v>1.1100000000001414E-2</v>
      </c>
      <c r="K438" s="285">
        <f t="shared" si="49"/>
        <v>5.1034482758627195</v>
      </c>
      <c r="L438">
        <v>1</v>
      </c>
      <c r="M438" s="16">
        <v>43395</v>
      </c>
      <c r="N438" s="16">
        <v>43396</v>
      </c>
      <c r="R438" s="285"/>
    </row>
    <row r="439" spans="1:18">
      <c r="A439" t="s">
        <v>784</v>
      </c>
      <c r="C439" t="s">
        <v>3469</v>
      </c>
      <c r="D439">
        <v>0</v>
      </c>
      <c r="E439">
        <v>0</v>
      </c>
      <c r="F439">
        <v>0</v>
      </c>
      <c r="G439">
        <v>0</v>
      </c>
      <c r="H439">
        <v>0</v>
      </c>
      <c r="I439">
        <v>0</v>
      </c>
      <c r="J439">
        <v>0</v>
      </c>
      <c r="K439">
        <v>0</v>
      </c>
    </row>
    <row r="440" spans="1:18">
      <c r="A440" t="s">
        <v>1105</v>
      </c>
      <c r="B440">
        <v>214</v>
      </c>
      <c r="C440" t="s">
        <v>2504</v>
      </c>
      <c r="D440">
        <v>1.6339999999999999</v>
      </c>
      <c r="E440">
        <v>8.8459000000000003</v>
      </c>
      <c r="F440">
        <v>0.2046</v>
      </c>
      <c r="G440" s="284">
        <f t="shared" ref="G440:G471" si="51">E440+F440</f>
        <v>9.0504999999999995</v>
      </c>
      <c r="H440" s="284">
        <v>8.8665000000000003</v>
      </c>
      <c r="I440" s="284">
        <f>G440-H440</f>
        <v>0.18399999999999928</v>
      </c>
      <c r="J440" s="283">
        <f t="shared" ref="J440:J471" si="52">F440-I440</f>
        <v>2.0600000000000729E-2</v>
      </c>
      <c r="K440" s="285">
        <f t="shared" ref="K440:K471" si="53">(J440/F440)*100</f>
        <v>10.068426197458811</v>
      </c>
      <c r="L440">
        <v>15</v>
      </c>
      <c r="M440">
        <v>23.101800000000001</v>
      </c>
      <c r="N440" s="16">
        <v>43397</v>
      </c>
      <c r="R440" s="285"/>
    </row>
    <row r="441" spans="1:18">
      <c r="A441" t="s">
        <v>780</v>
      </c>
      <c r="C441" t="s">
        <v>3741</v>
      </c>
      <c r="D441">
        <v>1.8967000000000001</v>
      </c>
      <c r="E441">
        <v>8.4458000000000002</v>
      </c>
      <c r="F441">
        <v>0.20280000000000001</v>
      </c>
      <c r="G441" s="284">
        <f t="shared" si="51"/>
        <v>8.6486000000000001</v>
      </c>
      <c r="H441" s="284">
        <v>8.4505999999999997</v>
      </c>
      <c r="I441" s="284">
        <f>G441-H441</f>
        <v>0.1980000000000004</v>
      </c>
      <c r="J441" s="283">
        <f t="shared" si="52"/>
        <v>4.7999999999996101E-3</v>
      </c>
      <c r="K441" s="285">
        <f t="shared" si="53"/>
        <v>2.3668639053252516</v>
      </c>
      <c r="L441">
        <v>36</v>
      </c>
      <c r="M441" s="286">
        <v>43362</v>
      </c>
      <c r="N441" s="286">
        <v>43363</v>
      </c>
      <c r="R441" s="285"/>
    </row>
    <row r="442" spans="1:18">
      <c r="A442" t="s">
        <v>776</v>
      </c>
      <c r="C442" t="s">
        <v>3760</v>
      </c>
      <c r="D442">
        <v>1.7755000000000001</v>
      </c>
      <c r="E442">
        <v>7.9063999999999997</v>
      </c>
      <c r="F442">
        <v>0.21579999999999999</v>
      </c>
      <c r="G442" s="284">
        <f t="shared" si="51"/>
        <v>8.1221999999999994</v>
      </c>
      <c r="H442" s="284">
        <v>7.9141000000000004</v>
      </c>
      <c r="I442" s="284">
        <f>G442-H442</f>
        <v>0.20809999999999906</v>
      </c>
      <c r="J442" s="283">
        <f t="shared" si="52"/>
        <v>7.7000000000009283E-3</v>
      </c>
      <c r="K442" s="285">
        <f t="shared" si="53"/>
        <v>3.5681186283600224</v>
      </c>
      <c r="L442">
        <v>20</v>
      </c>
      <c r="M442" s="286">
        <v>43363</v>
      </c>
      <c r="N442" s="286">
        <v>43364</v>
      </c>
      <c r="R442" s="285"/>
    </row>
    <row r="443" spans="1:18">
      <c r="A443" t="s">
        <v>775</v>
      </c>
      <c r="C443" t="s">
        <v>3780</v>
      </c>
      <c r="D443">
        <v>1.879</v>
      </c>
      <c r="E443">
        <v>8.8628</v>
      </c>
      <c r="F443">
        <v>0.2162</v>
      </c>
      <c r="G443" s="284">
        <f t="shared" si="51"/>
        <v>9.0790000000000006</v>
      </c>
      <c r="H443" s="284">
        <v>8.8699999999999992</v>
      </c>
      <c r="I443" s="284">
        <f>G443-H443</f>
        <v>0.20900000000000141</v>
      </c>
      <c r="J443" s="283">
        <f t="shared" si="52"/>
        <v>7.1999999999985964E-3</v>
      </c>
      <c r="K443" s="285">
        <f t="shared" si="53"/>
        <v>3.3302497687320054</v>
      </c>
      <c r="L443">
        <v>39</v>
      </c>
      <c r="M443" s="16">
        <v>43381</v>
      </c>
      <c r="N443" s="16">
        <v>43382</v>
      </c>
      <c r="R443" s="285"/>
    </row>
    <row r="444" spans="1:18">
      <c r="A444" t="s">
        <v>774</v>
      </c>
      <c r="C444" t="s">
        <v>3706</v>
      </c>
      <c r="D444" s="283">
        <v>1.6820999999999999</v>
      </c>
      <c r="E444" s="284">
        <v>8.2201000000000004</v>
      </c>
      <c r="F444" s="284">
        <v>0.20910000000000001</v>
      </c>
      <c r="G444" s="284">
        <f t="shared" si="51"/>
        <v>8.4291999999999998</v>
      </c>
      <c r="H444" s="284">
        <v>8.2262000000000004</v>
      </c>
      <c r="I444" s="284">
        <f>(G444-H444)</f>
        <v>0.2029999999999994</v>
      </c>
      <c r="J444" s="283">
        <f t="shared" si="52"/>
        <v>6.1000000000006049E-3</v>
      </c>
      <c r="K444" s="285">
        <f t="shared" si="53"/>
        <v>2.917264466762604</v>
      </c>
      <c r="L444" s="283">
        <v>1</v>
      </c>
      <c r="M444" s="286">
        <v>43360</v>
      </c>
      <c r="N444" s="286">
        <v>43361</v>
      </c>
      <c r="O444" s="283" t="s">
        <v>3707</v>
      </c>
      <c r="P444" s="283"/>
      <c r="R444" s="285"/>
    </row>
    <row r="445" spans="1:18">
      <c r="A445" t="s">
        <v>768</v>
      </c>
      <c r="C445" t="s">
        <v>3692</v>
      </c>
      <c r="D445">
        <v>1.3362000000000001</v>
      </c>
      <c r="E445">
        <v>11.2584</v>
      </c>
      <c r="F445">
        <v>0.2084</v>
      </c>
      <c r="G445" s="284">
        <f t="shared" si="51"/>
        <v>11.466799999999999</v>
      </c>
      <c r="H445" s="284">
        <v>11.2715</v>
      </c>
      <c r="I445" s="284">
        <f>(G445-H445)</f>
        <v>0.19529999999999959</v>
      </c>
      <c r="J445" s="283">
        <f t="shared" si="52"/>
        <v>1.3100000000000417E-2</v>
      </c>
      <c r="K445" s="285">
        <f t="shared" si="53"/>
        <v>6.2859884836854203</v>
      </c>
      <c r="L445">
        <v>18</v>
      </c>
      <c r="M445" s="286">
        <v>43360</v>
      </c>
      <c r="N445" s="286">
        <v>43361</v>
      </c>
      <c r="R445" s="285"/>
    </row>
    <row r="446" spans="1:18">
      <c r="A446" t="s">
        <v>764</v>
      </c>
      <c r="C446" t="s">
        <v>3669</v>
      </c>
      <c r="D446">
        <v>1.8328</v>
      </c>
      <c r="E446">
        <v>9.2349999999999994</v>
      </c>
      <c r="F446">
        <v>0.20230000000000001</v>
      </c>
      <c r="G446" s="284">
        <f t="shared" si="51"/>
        <v>9.4372999999999987</v>
      </c>
      <c r="H446" s="284">
        <v>9.2394999999999996</v>
      </c>
      <c r="I446" s="284">
        <f>(G446-H446)</f>
        <v>0.19779999999999909</v>
      </c>
      <c r="J446" s="283">
        <f t="shared" si="52"/>
        <v>4.5000000000009199E-3</v>
      </c>
      <c r="K446" s="285">
        <f t="shared" si="53"/>
        <v>2.2244191794369352</v>
      </c>
      <c r="L446">
        <v>16</v>
      </c>
      <c r="M446" s="16">
        <v>43358</v>
      </c>
      <c r="N446" s="16">
        <v>43358</v>
      </c>
      <c r="R446" s="285"/>
    </row>
    <row r="447" spans="1:18">
      <c r="A447" t="s">
        <v>762</v>
      </c>
      <c r="B447">
        <v>216</v>
      </c>
      <c r="D447">
        <v>1.5742</v>
      </c>
      <c r="E447">
        <v>10.619300000000001</v>
      </c>
      <c r="F447">
        <v>0.21970000000000001</v>
      </c>
      <c r="G447" s="284">
        <f t="shared" si="51"/>
        <v>10.839</v>
      </c>
      <c r="H447" s="284">
        <v>10.629899999999999</v>
      </c>
      <c r="I447" s="284">
        <f t="shared" ref="I447:I452" si="54">G447-H447</f>
        <v>0.20910000000000117</v>
      </c>
      <c r="J447" s="283">
        <f t="shared" si="52"/>
        <v>1.0599999999998833E-2</v>
      </c>
      <c r="K447" s="285">
        <f t="shared" si="53"/>
        <v>4.8247610377782575</v>
      </c>
      <c r="L447">
        <v>38</v>
      </c>
      <c r="M447" s="16">
        <v>43395</v>
      </c>
      <c r="N447" s="16">
        <v>43396</v>
      </c>
      <c r="R447" s="285"/>
    </row>
    <row r="448" spans="1:18">
      <c r="A448" t="s">
        <v>753</v>
      </c>
      <c r="C448" t="s">
        <v>3737</v>
      </c>
      <c r="D448">
        <v>1.2763</v>
      </c>
      <c r="E448">
        <v>19.389800000000001</v>
      </c>
      <c r="F448">
        <v>0.20469999999999999</v>
      </c>
      <c r="G448" s="284">
        <f t="shared" si="51"/>
        <v>19.5945</v>
      </c>
      <c r="H448" s="284">
        <v>19.420300000000001</v>
      </c>
      <c r="I448" s="284">
        <f t="shared" si="54"/>
        <v>0.17419999999999902</v>
      </c>
      <c r="J448" s="283">
        <f t="shared" si="52"/>
        <v>3.0500000000000971E-2</v>
      </c>
      <c r="K448" s="285">
        <f t="shared" si="53"/>
        <v>14.899853444064959</v>
      </c>
      <c r="L448">
        <v>38</v>
      </c>
      <c r="M448" s="286">
        <v>43361</v>
      </c>
      <c r="N448" s="286">
        <v>43362</v>
      </c>
      <c r="O448" s="283" t="s">
        <v>3730</v>
      </c>
      <c r="R448" s="285"/>
    </row>
    <row r="449" spans="1:18">
      <c r="A449" t="s">
        <v>752</v>
      </c>
      <c r="B449">
        <v>195</v>
      </c>
      <c r="D449">
        <v>0.56830000000000003</v>
      </c>
      <c r="E449">
        <v>9.8225999999999996</v>
      </c>
      <c r="F449">
        <v>0.21909999999999999</v>
      </c>
      <c r="G449" s="284">
        <f t="shared" si="51"/>
        <v>10.041699999999999</v>
      </c>
      <c r="H449" s="284">
        <v>9.9848999999999997</v>
      </c>
      <c r="I449" s="284">
        <f t="shared" si="54"/>
        <v>5.6799999999999073E-2</v>
      </c>
      <c r="J449" s="283">
        <f t="shared" si="52"/>
        <v>0.16230000000000092</v>
      </c>
      <c r="K449" s="285">
        <f t="shared" si="53"/>
        <v>74.075764491100372</v>
      </c>
      <c r="L449">
        <v>10</v>
      </c>
      <c r="M449">
        <v>23.101800000000001</v>
      </c>
      <c r="N449" s="16">
        <v>43397</v>
      </c>
      <c r="R449" s="285"/>
    </row>
    <row r="450" spans="1:18">
      <c r="A450" t="s">
        <v>747</v>
      </c>
      <c r="C450" t="s">
        <v>3727</v>
      </c>
      <c r="D450">
        <v>1.8078000000000001</v>
      </c>
      <c r="E450">
        <v>8.0646000000000004</v>
      </c>
      <c r="F450">
        <v>0.20039999999999999</v>
      </c>
      <c r="G450" s="284">
        <f t="shared" si="51"/>
        <v>8.2650000000000006</v>
      </c>
      <c r="H450" s="284">
        <v>8.0709</v>
      </c>
      <c r="I450" s="284">
        <f t="shared" si="54"/>
        <v>0.19410000000000061</v>
      </c>
      <c r="J450" s="283">
        <f t="shared" si="52"/>
        <v>6.2999999999993894E-3</v>
      </c>
      <c r="K450" s="285">
        <f t="shared" si="53"/>
        <v>3.1437125748499946</v>
      </c>
      <c r="L450">
        <v>5</v>
      </c>
      <c r="M450" s="16">
        <v>43388</v>
      </c>
      <c r="N450" s="286">
        <v>43389</v>
      </c>
      <c r="O450" s="286"/>
      <c r="P450" s="283"/>
      <c r="R450" s="285"/>
    </row>
    <row r="451" spans="1:18">
      <c r="A451" t="s">
        <v>744</v>
      </c>
      <c r="C451" t="s">
        <v>3467</v>
      </c>
      <c r="D451">
        <v>1.5781000000000001</v>
      </c>
      <c r="E451">
        <v>10.510899999999999</v>
      </c>
      <c r="F451">
        <v>0.21429999999999999</v>
      </c>
      <c r="G451" s="284">
        <f t="shared" si="51"/>
        <v>10.725199999999999</v>
      </c>
      <c r="H451" s="284">
        <v>10.534599999999999</v>
      </c>
      <c r="I451" s="284">
        <f t="shared" si="54"/>
        <v>0.19059999999999988</v>
      </c>
      <c r="J451" s="283">
        <f t="shared" si="52"/>
        <v>2.370000000000011E-2</v>
      </c>
      <c r="K451" s="285">
        <f t="shared" si="53"/>
        <v>11.059262715818997</v>
      </c>
      <c r="L451">
        <v>9</v>
      </c>
      <c r="M451" s="286">
        <v>43374</v>
      </c>
      <c r="N451" s="286">
        <v>43375</v>
      </c>
      <c r="O451" s="283" t="s">
        <v>3730</v>
      </c>
      <c r="R451" s="285"/>
    </row>
    <row r="452" spans="1:18">
      <c r="A452" t="s">
        <v>740</v>
      </c>
      <c r="C452" t="s">
        <v>3490</v>
      </c>
      <c r="D452">
        <v>1.6440999999999999</v>
      </c>
      <c r="E452">
        <v>11.003</v>
      </c>
      <c r="F452">
        <v>0.20680000000000001</v>
      </c>
      <c r="G452" s="284">
        <f t="shared" si="51"/>
        <v>11.2098</v>
      </c>
      <c r="H452" s="284">
        <v>11.013500000000001</v>
      </c>
      <c r="I452" s="284">
        <f t="shared" si="54"/>
        <v>0.19629999999999903</v>
      </c>
      <c r="J452" s="283">
        <f t="shared" si="52"/>
        <v>1.0500000000000981E-2</v>
      </c>
      <c r="K452" s="285">
        <f t="shared" si="53"/>
        <v>5.077369439072041</v>
      </c>
      <c r="L452">
        <v>9</v>
      </c>
      <c r="M452" s="286">
        <v>43363</v>
      </c>
      <c r="N452" s="286">
        <v>43364</v>
      </c>
      <c r="O452" s="283"/>
      <c r="R452" s="285"/>
    </row>
    <row r="453" spans="1:18">
      <c r="A453" t="s">
        <v>739</v>
      </c>
      <c r="C453" t="s">
        <v>3700</v>
      </c>
      <c r="D453">
        <v>1.7668999999999999</v>
      </c>
      <c r="E453">
        <v>8.0885999999999996</v>
      </c>
      <c r="F453">
        <v>0.215</v>
      </c>
      <c r="G453" s="284">
        <f t="shared" si="51"/>
        <v>8.3035999999999994</v>
      </c>
      <c r="H453" s="284">
        <v>8.0952000000000002</v>
      </c>
      <c r="I453" s="284">
        <f>(G453-H453)</f>
        <v>0.20839999999999925</v>
      </c>
      <c r="J453" s="283">
        <f t="shared" si="52"/>
        <v>6.6000000000007442E-3</v>
      </c>
      <c r="K453" s="285">
        <f t="shared" si="53"/>
        <v>3.0697674418608112</v>
      </c>
      <c r="L453">
        <v>39</v>
      </c>
      <c r="M453" s="286">
        <v>43360</v>
      </c>
      <c r="N453" s="286">
        <v>43361</v>
      </c>
      <c r="R453" s="285"/>
    </row>
    <row r="454" spans="1:18">
      <c r="A454" t="s">
        <v>734</v>
      </c>
      <c r="C454" t="s">
        <v>3751</v>
      </c>
      <c r="D454">
        <v>1.8056000000000001</v>
      </c>
      <c r="E454">
        <v>10.636699999999999</v>
      </c>
      <c r="F454">
        <v>0.23100000000000001</v>
      </c>
      <c r="G454" s="284">
        <f t="shared" si="51"/>
        <v>10.867699999999999</v>
      </c>
      <c r="H454" s="284">
        <v>10.6434</v>
      </c>
      <c r="I454" s="284">
        <f>G454-H454</f>
        <v>0.2242999999999995</v>
      </c>
      <c r="J454" s="283">
        <f t="shared" si="52"/>
        <v>6.7000000000005111E-3</v>
      </c>
      <c r="K454" s="285">
        <f t="shared" si="53"/>
        <v>2.9004329004331213</v>
      </c>
      <c r="L454">
        <v>22</v>
      </c>
      <c r="M454" s="16">
        <v>43395</v>
      </c>
      <c r="N454" s="16">
        <v>43396</v>
      </c>
      <c r="R454" s="285"/>
    </row>
    <row r="455" spans="1:18">
      <c r="A455" t="s">
        <v>725</v>
      </c>
      <c r="C455" t="s">
        <v>3725</v>
      </c>
      <c r="D455">
        <v>1.8526</v>
      </c>
      <c r="E455">
        <v>8.1366999999999994</v>
      </c>
      <c r="F455">
        <v>0.21049999999999999</v>
      </c>
      <c r="G455" s="284">
        <f t="shared" si="51"/>
        <v>8.3471999999999991</v>
      </c>
      <c r="H455" s="284">
        <v>8.1405999999999992</v>
      </c>
      <c r="I455" s="284">
        <f>(G455-H455)</f>
        <v>0.20659999999999989</v>
      </c>
      <c r="J455" s="283">
        <f t="shared" si="52"/>
        <v>3.9000000000000978E-3</v>
      </c>
      <c r="K455" s="285">
        <f t="shared" si="53"/>
        <v>1.8527315914489777</v>
      </c>
      <c r="L455">
        <v>36</v>
      </c>
      <c r="M455" s="286">
        <v>43360</v>
      </c>
      <c r="N455" s="286">
        <v>43361</v>
      </c>
      <c r="O455" s="283" t="s">
        <v>3707</v>
      </c>
      <c r="R455" s="285"/>
    </row>
    <row r="456" spans="1:18">
      <c r="A456" t="s">
        <v>719</v>
      </c>
      <c r="C456" t="s">
        <v>3496</v>
      </c>
      <c r="D456">
        <v>1.8026</v>
      </c>
      <c r="E456">
        <v>10.2728</v>
      </c>
      <c r="F456">
        <v>0.20960000000000001</v>
      </c>
      <c r="G456" s="284">
        <f t="shared" si="51"/>
        <v>10.4824</v>
      </c>
      <c r="H456" s="284">
        <v>10.2812</v>
      </c>
      <c r="I456" s="284">
        <f>G456-H456</f>
        <v>0.20120000000000005</v>
      </c>
      <c r="J456" s="283">
        <f t="shared" si="52"/>
        <v>8.3999999999999631E-3</v>
      </c>
      <c r="K456" s="285">
        <f t="shared" si="53"/>
        <v>4.0076335877862421</v>
      </c>
      <c r="L456">
        <v>8</v>
      </c>
      <c r="M456" s="286">
        <v>43363</v>
      </c>
      <c r="N456" s="286">
        <v>43364</v>
      </c>
      <c r="O456" s="283"/>
      <c r="R456" s="285"/>
    </row>
    <row r="457" spans="1:18">
      <c r="A457" t="s">
        <v>716</v>
      </c>
      <c r="C457" t="s">
        <v>3425</v>
      </c>
      <c r="D457">
        <v>1.667</v>
      </c>
      <c r="E457">
        <v>8.2201000000000004</v>
      </c>
      <c r="F457">
        <v>0.20880000000000001</v>
      </c>
      <c r="G457" s="284">
        <f t="shared" si="51"/>
        <v>8.4289000000000005</v>
      </c>
      <c r="H457" s="284">
        <v>8.2344000000000008</v>
      </c>
      <c r="I457" s="284">
        <f>G457-H457</f>
        <v>0.19449999999999967</v>
      </c>
      <c r="J457" s="283">
        <f t="shared" si="52"/>
        <v>1.430000000000034E-2</v>
      </c>
      <c r="K457" s="285">
        <f t="shared" si="53"/>
        <v>6.8486590038315791</v>
      </c>
      <c r="L457">
        <v>21</v>
      </c>
      <c r="M457">
        <v>23.101800000000001</v>
      </c>
      <c r="N457" s="16">
        <v>43397</v>
      </c>
      <c r="R457" s="285"/>
    </row>
    <row r="458" spans="1:18">
      <c r="A458" t="s">
        <v>1098</v>
      </c>
      <c r="C458" t="s">
        <v>3753</v>
      </c>
      <c r="D458">
        <v>1.8907</v>
      </c>
      <c r="E458">
        <v>10.5229</v>
      </c>
      <c r="F458">
        <v>0.2137</v>
      </c>
      <c r="G458" s="284">
        <f t="shared" si="51"/>
        <v>10.736599999999999</v>
      </c>
      <c r="H458" s="284">
        <v>10.530200000000001</v>
      </c>
      <c r="I458" s="284">
        <f>G458-H458</f>
        <v>0.20639999999999858</v>
      </c>
      <c r="J458" s="283">
        <f t="shared" si="52"/>
        <v>7.3000000000014165E-3</v>
      </c>
      <c r="K458" s="285">
        <f t="shared" si="53"/>
        <v>3.4160037435664092</v>
      </c>
      <c r="L458">
        <v>31</v>
      </c>
      <c r="M458" s="286">
        <v>43362</v>
      </c>
      <c r="N458" s="286">
        <v>43363</v>
      </c>
      <c r="R458" s="285"/>
    </row>
    <row r="459" spans="1:18">
      <c r="A459" t="s">
        <v>698</v>
      </c>
      <c r="C459" t="s">
        <v>3681</v>
      </c>
      <c r="D459">
        <v>1.4162999999999999</v>
      </c>
      <c r="E459">
        <v>10.855600000000001</v>
      </c>
      <c r="F459">
        <v>0.2001</v>
      </c>
      <c r="G459" s="284">
        <f t="shared" si="51"/>
        <v>11.055700000000002</v>
      </c>
      <c r="H459" s="284">
        <v>10.8756</v>
      </c>
      <c r="I459" s="284">
        <f>(G459-H459)</f>
        <v>0.18010000000000126</v>
      </c>
      <c r="J459" s="283">
        <f t="shared" si="52"/>
        <v>1.9999999999998741E-2</v>
      </c>
      <c r="K459" s="285">
        <f t="shared" si="53"/>
        <v>9.9950024987499955</v>
      </c>
      <c r="L459">
        <v>4</v>
      </c>
      <c r="M459" s="286">
        <v>43360</v>
      </c>
      <c r="N459" s="286">
        <v>43361</v>
      </c>
      <c r="O459" s="283"/>
      <c r="R459" s="285"/>
    </row>
    <row r="460" spans="1:18">
      <c r="A460" t="s">
        <v>686</v>
      </c>
      <c r="B460">
        <v>196</v>
      </c>
      <c r="D460">
        <v>0</v>
      </c>
      <c r="E460">
        <v>0</v>
      </c>
      <c r="F460">
        <v>0</v>
      </c>
      <c r="G460" s="284">
        <f t="shared" si="51"/>
        <v>0</v>
      </c>
      <c r="H460" s="284">
        <v>0</v>
      </c>
      <c r="I460" s="284">
        <v>0</v>
      </c>
      <c r="J460" s="283">
        <f t="shared" si="52"/>
        <v>0</v>
      </c>
      <c r="K460" s="285" t="e">
        <f t="shared" si="53"/>
        <v>#DIV/0!</v>
      </c>
      <c r="M460" s="16">
        <v>43395</v>
      </c>
      <c r="N460" s="16">
        <v>43396</v>
      </c>
      <c r="R460" s="285"/>
    </row>
    <row r="461" spans="1:18">
      <c r="A461" t="s">
        <v>650</v>
      </c>
      <c r="C461" t="s">
        <v>3426</v>
      </c>
      <c r="D461">
        <v>1.7578</v>
      </c>
      <c r="E461">
        <v>8.1340000000000003</v>
      </c>
      <c r="F461">
        <v>0.20430000000000001</v>
      </c>
      <c r="G461" s="284">
        <f t="shared" si="51"/>
        <v>8.3383000000000003</v>
      </c>
      <c r="H461" s="284">
        <v>8.1639999999999997</v>
      </c>
      <c r="I461" s="284">
        <f t="shared" ref="I461:I468" si="55">G461-H461</f>
        <v>0.17430000000000057</v>
      </c>
      <c r="J461" s="283">
        <f t="shared" si="52"/>
        <v>2.9999999999999444E-2</v>
      </c>
      <c r="K461" s="285">
        <f t="shared" si="53"/>
        <v>14.684287812040845</v>
      </c>
      <c r="L461">
        <v>26</v>
      </c>
      <c r="M461">
        <v>23.101800000000001</v>
      </c>
      <c r="N461" s="16">
        <v>43397</v>
      </c>
      <c r="R461" s="285"/>
    </row>
    <row r="462" spans="1:18">
      <c r="A462" t="s">
        <v>1136</v>
      </c>
      <c r="G462" s="288">
        <f t="shared" si="51"/>
        <v>0</v>
      </c>
      <c r="H462" s="284"/>
      <c r="I462" s="288">
        <f t="shared" si="55"/>
        <v>0</v>
      </c>
      <c r="J462" s="283">
        <f t="shared" si="52"/>
        <v>0</v>
      </c>
      <c r="K462" s="285" t="e">
        <f t="shared" si="53"/>
        <v>#DIV/0!</v>
      </c>
      <c r="M462" s="286">
        <v>43379</v>
      </c>
      <c r="N462" s="286">
        <v>43379</v>
      </c>
      <c r="P462" t="s">
        <v>3773</v>
      </c>
      <c r="R462" s="285"/>
    </row>
    <row r="463" spans="1:18">
      <c r="A463" t="s">
        <v>627</v>
      </c>
      <c r="C463" t="s">
        <v>3436</v>
      </c>
      <c r="D463">
        <v>1.5656000000000001</v>
      </c>
      <c r="E463">
        <v>10.795299999999999</v>
      </c>
      <c r="F463">
        <v>0.20569999999999999</v>
      </c>
      <c r="G463" s="284">
        <f t="shared" si="51"/>
        <v>11.000999999999999</v>
      </c>
      <c r="H463" s="284">
        <v>10.8185</v>
      </c>
      <c r="I463" s="284">
        <f t="shared" si="55"/>
        <v>0.18249999999999922</v>
      </c>
      <c r="J463" s="283">
        <f t="shared" si="52"/>
        <v>2.3200000000000776E-2</v>
      </c>
      <c r="K463" s="285">
        <f t="shared" si="53"/>
        <v>11.27856101118171</v>
      </c>
      <c r="L463">
        <v>4</v>
      </c>
      <c r="M463" s="16">
        <v>43399</v>
      </c>
      <c r="N463" s="16">
        <v>43400</v>
      </c>
      <c r="R463" s="285"/>
    </row>
    <row r="464" spans="1:18">
      <c r="A464" t="s">
        <v>625</v>
      </c>
      <c r="B464">
        <v>208</v>
      </c>
      <c r="D464">
        <v>1.4911000000000001</v>
      </c>
      <c r="E464">
        <v>9.1992999999999991</v>
      </c>
      <c r="F464">
        <v>0.21929999999999999</v>
      </c>
      <c r="G464" s="284">
        <f t="shared" si="51"/>
        <v>9.4185999999999996</v>
      </c>
      <c r="H464" s="284">
        <v>9.3717000000000006</v>
      </c>
      <c r="I464" s="284">
        <f t="shared" si="55"/>
        <v>4.6899999999999054E-2</v>
      </c>
      <c r="J464" s="283">
        <f t="shared" si="52"/>
        <v>0.17240000000000094</v>
      </c>
      <c r="K464" s="285">
        <f t="shared" si="53"/>
        <v>78.613771089831701</v>
      </c>
      <c r="L464">
        <v>36</v>
      </c>
      <c r="M464" s="16">
        <v>43388</v>
      </c>
      <c r="N464" s="286">
        <v>43389</v>
      </c>
      <c r="O464" s="16"/>
      <c r="R464" s="285"/>
    </row>
    <row r="465" spans="1:18">
      <c r="A465" t="s">
        <v>1089</v>
      </c>
      <c r="C465" t="s">
        <v>3473</v>
      </c>
      <c r="D465">
        <v>4.8792999999999997</v>
      </c>
      <c r="E465">
        <v>7.9619999999999997</v>
      </c>
      <c r="F465">
        <v>0.22500000000000001</v>
      </c>
      <c r="G465">
        <f t="shared" si="51"/>
        <v>8.1869999999999994</v>
      </c>
      <c r="H465">
        <v>8.1724999999999994</v>
      </c>
      <c r="I465" s="284">
        <f t="shared" si="55"/>
        <v>1.4499999999999957E-2</v>
      </c>
      <c r="J465" s="283">
        <f t="shared" si="52"/>
        <v>0.21050000000000005</v>
      </c>
      <c r="K465" s="285">
        <f t="shared" si="53"/>
        <v>93.555555555555571</v>
      </c>
      <c r="L465">
        <v>35</v>
      </c>
      <c r="M465" s="16">
        <v>43399</v>
      </c>
      <c r="N465" s="16">
        <v>43400</v>
      </c>
      <c r="P465" t="s">
        <v>3792</v>
      </c>
      <c r="R465" s="285"/>
    </row>
    <row r="466" spans="1:18">
      <c r="A466" t="s">
        <v>590</v>
      </c>
      <c r="B466">
        <v>207</v>
      </c>
      <c r="D466">
        <v>8.0813000000000006</v>
      </c>
      <c r="E466">
        <v>10.7455</v>
      </c>
      <c r="F466">
        <v>0.2243</v>
      </c>
      <c r="G466" s="284">
        <f t="shared" si="51"/>
        <v>10.969799999999999</v>
      </c>
      <c r="H466" s="284">
        <v>10.9605</v>
      </c>
      <c r="I466" s="284">
        <f t="shared" si="55"/>
        <v>9.2999999999996419E-3</v>
      </c>
      <c r="J466" s="283">
        <f t="shared" si="52"/>
        <v>0.21500000000000036</v>
      </c>
      <c r="K466" s="285">
        <f t="shared" si="53"/>
        <v>95.853767275969844</v>
      </c>
      <c r="L466">
        <v>27</v>
      </c>
      <c r="M466" s="16">
        <v>43388</v>
      </c>
      <c r="N466" s="286">
        <v>43389</v>
      </c>
      <c r="O466" s="16"/>
      <c r="P466" t="s">
        <v>3783</v>
      </c>
      <c r="R466" s="285"/>
    </row>
    <row r="467" spans="1:18">
      <c r="A467" t="s">
        <v>555</v>
      </c>
      <c r="C467" t="s">
        <v>3423</v>
      </c>
      <c r="D467">
        <v>1.7028000000000001</v>
      </c>
      <c r="E467">
        <v>7.7161</v>
      </c>
      <c r="F467">
        <v>0.20880000000000001</v>
      </c>
      <c r="G467" s="284">
        <f t="shared" si="51"/>
        <v>7.9249000000000001</v>
      </c>
      <c r="H467" s="284">
        <v>7.8704999999999998</v>
      </c>
      <c r="I467" s="284">
        <f t="shared" si="55"/>
        <v>5.4400000000000226E-2</v>
      </c>
      <c r="J467" s="283">
        <f t="shared" si="52"/>
        <v>0.15439999999999979</v>
      </c>
      <c r="K467" s="285">
        <f t="shared" si="53"/>
        <v>73.946360153256592</v>
      </c>
      <c r="L467">
        <v>42</v>
      </c>
      <c r="M467" s="16">
        <v>43399</v>
      </c>
      <c r="N467" s="16">
        <v>43400</v>
      </c>
      <c r="R467" s="285"/>
    </row>
    <row r="468" spans="1:18">
      <c r="A468" t="s">
        <v>542</v>
      </c>
      <c r="B468">
        <v>210</v>
      </c>
      <c r="D468">
        <v>1.5698000000000001</v>
      </c>
      <c r="E468">
        <v>10.5413</v>
      </c>
      <c r="F468">
        <v>0.2316</v>
      </c>
      <c r="G468" s="284">
        <f t="shared" si="51"/>
        <v>10.7729</v>
      </c>
      <c r="H468" s="284">
        <v>10.5496</v>
      </c>
      <c r="I468" s="284">
        <f t="shared" si="55"/>
        <v>0.22330000000000005</v>
      </c>
      <c r="J468" s="283">
        <f t="shared" si="52"/>
        <v>8.2999999999999463E-3</v>
      </c>
      <c r="K468" s="285">
        <f t="shared" si="53"/>
        <v>3.5837651122624985</v>
      </c>
      <c r="L468">
        <v>12</v>
      </c>
      <c r="M468" s="16">
        <v>43395</v>
      </c>
      <c r="N468" s="16">
        <v>43396</v>
      </c>
      <c r="R468" s="285"/>
    </row>
    <row r="469" spans="1:18">
      <c r="A469" t="s">
        <v>539</v>
      </c>
      <c r="C469" t="s">
        <v>3723</v>
      </c>
      <c r="D469">
        <v>1.8286</v>
      </c>
      <c r="E469">
        <v>9.68</v>
      </c>
      <c r="F469">
        <v>0.20250000000000001</v>
      </c>
      <c r="G469" s="284">
        <f t="shared" si="51"/>
        <v>9.8825000000000003</v>
      </c>
      <c r="H469" s="284">
        <v>9.6837</v>
      </c>
      <c r="I469" s="284">
        <f>(G469-H469)</f>
        <v>0.19880000000000031</v>
      </c>
      <c r="J469" s="283">
        <f t="shared" si="52"/>
        <v>3.6999999999997035E-3</v>
      </c>
      <c r="K469" s="285">
        <f t="shared" si="53"/>
        <v>1.8271604938270138</v>
      </c>
      <c r="L469">
        <v>33</v>
      </c>
      <c r="M469" s="286">
        <v>43360</v>
      </c>
      <c r="N469" s="286">
        <v>43361</v>
      </c>
      <c r="O469" s="283" t="s">
        <v>3707</v>
      </c>
      <c r="R469" s="285"/>
    </row>
    <row r="470" spans="1:18">
      <c r="A470" t="s">
        <v>537</v>
      </c>
      <c r="C470" t="s">
        <v>3745</v>
      </c>
      <c r="D470">
        <v>1.903</v>
      </c>
      <c r="E470">
        <v>19.691500000000001</v>
      </c>
      <c r="F470">
        <v>0.20649999999999999</v>
      </c>
      <c r="G470" s="284">
        <f t="shared" si="51"/>
        <v>19.898</v>
      </c>
      <c r="H470" s="284">
        <v>19.696200000000001</v>
      </c>
      <c r="I470" s="284">
        <f>G470-H470</f>
        <v>0.20179999999999865</v>
      </c>
      <c r="J470" s="283">
        <f t="shared" si="52"/>
        <v>4.700000000001342E-3</v>
      </c>
      <c r="K470" s="285">
        <f t="shared" si="53"/>
        <v>2.2760290556907226</v>
      </c>
      <c r="L470">
        <v>11</v>
      </c>
      <c r="M470" s="286">
        <v>43362</v>
      </c>
      <c r="N470" s="286">
        <v>43363</v>
      </c>
      <c r="O470" s="283"/>
      <c r="R470" s="285"/>
    </row>
    <row r="471" spans="1:18">
      <c r="A471" t="s">
        <v>536</v>
      </c>
      <c r="C471" t="s">
        <v>3754</v>
      </c>
      <c r="D471">
        <v>1.7423999999999999</v>
      </c>
      <c r="E471">
        <v>10.315099999999999</v>
      </c>
      <c r="F471">
        <v>0.21060000000000001</v>
      </c>
      <c r="G471" s="284">
        <f t="shared" si="51"/>
        <v>10.525699999999999</v>
      </c>
      <c r="H471" s="284">
        <v>10.321999999999999</v>
      </c>
      <c r="I471" s="284">
        <f>G471-H471</f>
        <v>0.20369999999999955</v>
      </c>
      <c r="J471" s="283">
        <f t="shared" si="52"/>
        <v>6.9000000000004613E-3</v>
      </c>
      <c r="K471" s="285">
        <f t="shared" si="53"/>
        <v>3.2763532763534955</v>
      </c>
      <c r="L471">
        <v>34</v>
      </c>
      <c r="M471" s="286">
        <v>43362</v>
      </c>
      <c r="N471" s="286">
        <v>43363</v>
      </c>
      <c r="R471" s="285"/>
    </row>
    <row r="472" spans="1:18">
      <c r="A472" t="s">
        <v>535</v>
      </c>
      <c r="B472">
        <v>207</v>
      </c>
      <c r="D472">
        <v>1.4268000000000001</v>
      </c>
      <c r="E472">
        <v>8.0485000000000007</v>
      </c>
      <c r="F472">
        <v>0.21410000000000001</v>
      </c>
      <c r="G472" s="284">
        <f t="shared" ref="G472:G503" si="56">E472+F472</f>
        <v>8.2626000000000008</v>
      </c>
      <c r="H472" s="284">
        <v>8.0561000000000007</v>
      </c>
      <c r="I472" s="284">
        <f>G472-H472</f>
        <v>0.20650000000000013</v>
      </c>
      <c r="J472" s="283">
        <f t="shared" ref="J472:J503" si="57">F472-I472</f>
        <v>7.5999999999998846E-3</v>
      </c>
      <c r="K472" s="285">
        <f t="shared" ref="K472:K503" si="58">(J472/F472)*100</f>
        <v>3.5497431106958826</v>
      </c>
      <c r="L472">
        <v>19</v>
      </c>
      <c r="M472" s="16">
        <v>43395</v>
      </c>
      <c r="N472" s="16">
        <v>43396</v>
      </c>
      <c r="R472" s="285"/>
    </row>
    <row r="473" spans="1:18">
      <c r="A473" t="s">
        <v>534</v>
      </c>
      <c r="C473" t="s">
        <v>3467</v>
      </c>
      <c r="D473">
        <v>1.6539999999999999</v>
      </c>
      <c r="E473">
        <v>9.7266999999999992</v>
      </c>
      <c r="F473">
        <v>0.20380000000000001</v>
      </c>
      <c r="G473" s="284">
        <f t="shared" si="56"/>
        <v>9.9304999999999986</v>
      </c>
      <c r="H473" s="284">
        <v>9.7454999999999998</v>
      </c>
      <c r="I473" s="284">
        <f>G473-H473</f>
        <v>0.18499999999999872</v>
      </c>
      <c r="J473" s="283">
        <f t="shared" si="57"/>
        <v>1.8800000000001288E-2</v>
      </c>
      <c r="K473" s="285">
        <f t="shared" si="58"/>
        <v>9.224730127576688</v>
      </c>
      <c r="L473">
        <v>12</v>
      </c>
      <c r="M473" s="286">
        <v>43362</v>
      </c>
      <c r="N473" s="286">
        <v>43363</v>
      </c>
      <c r="O473" s="283"/>
      <c r="R473" s="285"/>
    </row>
    <row r="474" spans="1:18">
      <c r="A474" t="s">
        <v>533</v>
      </c>
      <c r="C474" t="s">
        <v>3685</v>
      </c>
      <c r="D474">
        <v>1.8287</v>
      </c>
      <c r="E474">
        <v>10.795</v>
      </c>
      <c r="F474">
        <v>0.20930000000000001</v>
      </c>
      <c r="G474" s="284">
        <f t="shared" si="56"/>
        <v>11.004300000000001</v>
      </c>
      <c r="H474" s="284">
        <v>10.799099999999999</v>
      </c>
      <c r="I474" s="284">
        <f>(G474-H474)</f>
        <v>0.20520000000000138</v>
      </c>
      <c r="J474" s="283">
        <f t="shared" si="57"/>
        <v>4.0999999999986325E-3</v>
      </c>
      <c r="K474" s="285">
        <f t="shared" si="58"/>
        <v>1.9589106545621751</v>
      </c>
      <c r="L474">
        <v>11</v>
      </c>
      <c r="M474" s="286">
        <v>43360</v>
      </c>
      <c r="N474" s="286">
        <v>43361</v>
      </c>
      <c r="O474" s="283" t="s">
        <v>3707</v>
      </c>
      <c r="R474" s="285"/>
    </row>
    <row r="475" spans="1:18">
      <c r="A475" t="s">
        <v>531</v>
      </c>
      <c r="B475">
        <v>217</v>
      </c>
      <c r="C475" t="s">
        <v>2504</v>
      </c>
      <c r="D475">
        <v>1.4722</v>
      </c>
      <c r="E475">
        <v>9.0527999999999995</v>
      </c>
      <c r="F475">
        <v>0.23350000000000001</v>
      </c>
      <c r="G475">
        <f t="shared" si="56"/>
        <v>9.2862999999999989</v>
      </c>
      <c r="H475">
        <v>9.0609000000000002</v>
      </c>
      <c r="I475" s="284">
        <f>G475-H475</f>
        <v>0.22539999999999871</v>
      </c>
      <c r="J475" s="283">
        <f t="shared" si="57"/>
        <v>8.1000000000013006E-3</v>
      </c>
      <c r="K475" s="285">
        <f t="shared" si="58"/>
        <v>3.468950749465225</v>
      </c>
      <c r="L475">
        <v>38</v>
      </c>
      <c r="M475" s="16">
        <v>43399</v>
      </c>
      <c r="N475" s="16">
        <v>43400</v>
      </c>
      <c r="R475" s="285"/>
    </row>
    <row r="476" spans="1:18">
      <c r="A476" t="s">
        <v>530</v>
      </c>
      <c r="C476" t="s">
        <v>3500</v>
      </c>
      <c r="D476" s="283">
        <v>1.8170999999999999</v>
      </c>
      <c r="E476" s="284">
        <v>10.675599999999999</v>
      </c>
      <c r="F476" s="284">
        <v>0.2026</v>
      </c>
      <c r="G476" s="284">
        <f t="shared" si="56"/>
        <v>10.8782</v>
      </c>
      <c r="H476" s="284">
        <v>10.683199999999999</v>
      </c>
      <c r="I476" s="284">
        <f>(G476-H476)</f>
        <v>0.19500000000000028</v>
      </c>
      <c r="J476" s="283">
        <f t="shared" si="57"/>
        <v>7.5999999999997181E-3</v>
      </c>
      <c r="K476" s="285">
        <f t="shared" si="58"/>
        <v>3.7512339585388541</v>
      </c>
      <c r="L476" s="283">
        <v>1</v>
      </c>
      <c r="M476" s="286">
        <v>43360</v>
      </c>
      <c r="N476" s="286">
        <v>43361</v>
      </c>
      <c r="O476" s="283"/>
      <c r="P476" s="283"/>
      <c r="R476" s="285"/>
    </row>
    <row r="477" spans="1:18">
      <c r="A477" t="s">
        <v>1080</v>
      </c>
      <c r="C477" t="s">
        <v>3688</v>
      </c>
      <c r="D477">
        <v>1.8147</v>
      </c>
      <c r="E477">
        <v>11.0875</v>
      </c>
      <c r="F477">
        <v>0.2051</v>
      </c>
      <c r="G477" s="284">
        <f t="shared" si="56"/>
        <v>11.2926</v>
      </c>
      <c r="H477" s="284">
        <v>11.093400000000001</v>
      </c>
      <c r="I477" s="284">
        <f>(G477-H477)</f>
        <v>0.19919999999999938</v>
      </c>
      <c r="J477" s="283">
        <f t="shared" si="57"/>
        <v>5.900000000000627E-3</v>
      </c>
      <c r="K477" s="285">
        <f t="shared" si="58"/>
        <v>2.8766455387618852</v>
      </c>
      <c r="L477">
        <v>12</v>
      </c>
      <c r="M477" s="286">
        <v>43360</v>
      </c>
      <c r="N477" s="286">
        <v>43361</v>
      </c>
      <c r="O477" s="283"/>
      <c r="R477" s="285"/>
    </row>
    <row r="478" spans="1:18">
      <c r="A478" t="s">
        <v>529</v>
      </c>
      <c r="C478" t="s">
        <v>3676</v>
      </c>
      <c r="D478">
        <v>1.7833000000000001</v>
      </c>
      <c r="E478">
        <v>7.7732999999999999</v>
      </c>
      <c r="F478">
        <v>0.20349999999999999</v>
      </c>
      <c r="G478" s="284">
        <f t="shared" si="56"/>
        <v>7.9767999999999999</v>
      </c>
      <c r="H478" s="284">
        <v>7.7792000000000003</v>
      </c>
      <c r="I478" s="284">
        <f>(G478-H478)</f>
        <v>0.19759999999999955</v>
      </c>
      <c r="J478" s="283">
        <f t="shared" si="57"/>
        <v>5.9000000000004327E-3</v>
      </c>
      <c r="K478" s="285">
        <f t="shared" si="58"/>
        <v>2.8992628992631118</v>
      </c>
      <c r="L478">
        <v>31</v>
      </c>
      <c r="M478" s="16">
        <v>43358</v>
      </c>
      <c r="N478" s="16">
        <v>43358</v>
      </c>
      <c r="R478" s="285"/>
    </row>
    <row r="479" spans="1:18">
      <c r="A479" t="s">
        <v>528</v>
      </c>
      <c r="B479">
        <v>194</v>
      </c>
      <c r="D479">
        <v>1.4630000000000001</v>
      </c>
      <c r="E479">
        <v>10.2719</v>
      </c>
      <c r="F479">
        <v>0.2374</v>
      </c>
      <c r="G479" s="284">
        <f t="shared" si="56"/>
        <v>10.5093</v>
      </c>
      <c r="H479" s="284">
        <v>10.2799</v>
      </c>
      <c r="I479" s="284">
        <f>G479-H479</f>
        <v>0.22940000000000005</v>
      </c>
      <c r="J479" s="283">
        <f t="shared" si="57"/>
        <v>7.9999999999999516E-3</v>
      </c>
      <c r="K479" s="285">
        <f t="shared" si="58"/>
        <v>3.3698399326031812</v>
      </c>
      <c r="L479">
        <v>41</v>
      </c>
      <c r="M479" s="16">
        <v>43388</v>
      </c>
      <c r="N479" s="286">
        <v>43389</v>
      </c>
      <c r="O479" s="16"/>
      <c r="R479" s="285"/>
    </row>
    <row r="480" spans="1:18">
      <c r="A480" t="s">
        <v>527</v>
      </c>
      <c r="C480" t="s">
        <v>3464</v>
      </c>
      <c r="D480">
        <v>2.9346999999999999</v>
      </c>
      <c r="E480">
        <v>7.0765000000000002</v>
      </c>
      <c r="F480">
        <v>0.20419999999999999</v>
      </c>
      <c r="G480" s="284">
        <f t="shared" si="56"/>
        <v>7.2807000000000004</v>
      </c>
      <c r="H480" s="284">
        <v>7.2693000000000003</v>
      </c>
      <c r="I480" s="284">
        <f>G480-H480</f>
        <v>1.1400000000000077E-2</v>
      </c>
      <c r="J480" s="283">
        <f t="shared" si="57"/>
        <v>0.19279999999999992</v>
      </c>
      <c r="K480" s="285">
        <f t="shared" si="58"/>
        <v>94.417238001958822</v>
      </c>
      <c r="L480">
        <v>24</v>
      </c>
      <c r="M480" s="286">
        <v>43374</v>
      </c>
      <c r="N480" s="286">
        <v>43375</v>
      </c>
      <c r="O480" s="283" t="s">
        <v>3730</v>
      </c>
      <c r="R480" s="285"/>
    </row>
    <row r="481" spans="1:18">
      <c r="A481" t="s">
        <v>526</v>
      </c>
      <c r="C481" t="s">
        <v>3468</v>
      </c>
      <c r="D481">
        <v>1.5807</v>
      </c>
      <c r="E481">
        <v>9.4860000000000007</v>
      </c>
      <c r="F481">
        <v>0.20150000000000001</v>
      </c>
      <c r="G481" s="284">
        <f t="shared" si="56"/>
        <v>9.6875</v>
      </c>
      <c r="H481" s="284">
        <v>9.5311000000000003</v>
      </c>
      <c r="I481" s="284">
        <f>G481-H481</f>
        <v>0.15639999999999965</v>
      </c>
      <c r="J481" s="283">
        <f t="shared" si="57"/>
        <v>4.5100000000000362E-2</v>
      </c>
      <c r="K481" s="285">
        <f t="shared" si="58"/>
        <v>22.3821339950374</v>
      </c>
      <c r="L481">
        <v>25</v>
      </c>
      <c r="M481" s="286">
        <v>43374</v>
      </c>
      <c r="N481" s="286">
        <v>43375</v>
      </c>
      <c r="O481" s="283" t="s">
        <v>3730</v>
      </c>
      <c r="R481" s="285"/>
    </row>
    <row r="482" spans="1:18">
      <c r="A482" t="s">
        <v>525</v>
      </c>
      <c r="C482" t="s">
        <v>3671</v>
      </c>
      <c r="D482">
        <v>1.7997000000000001</v>
      </c>
      <c r="E482">
        <v>8.7592999999999996</v>
      </c>
      <c r="F482">
        <v>0.2092</v>
      </c>
      <c r="G482" s="284">
        <f t="shared" si="56"/>
        <v>8.9684999999999988</v>
      </c>
      <c r="H482" s="284">
        <v>8.7647999999999993</v>
      </c>
      <c r="I482" s="284">
        <f>(G482-H482)</f>
        <v>0.20369999999999955</v>
      </c>
      <c r="J482" s="283">
        <f t="shared" si="57"/>
        <v>5.500000000000449E-3</v>
      </c>
      <c r="K482" s="285">
        <f t="shared" si="58"/>
        <v>2.629063097514555</v>
      </c>
      <c r="L482">
        <v>11</v>
      </c>
      <c r="M482" s="16">
        <v>43358</v>
      </c>
      <c r="N482" s="16">
        <v>43358</v>
      </c>
      <c r="R482" s="285"/>
    </row>
    <row r="483" spans="1:18">
      <c r="A483" t="s">
        <v>524</v>
      </c>
      <c r="C483" t="s">
        <v>3456</v>
      </c>
      <c r="D483">
        <v>1.2862</v>
      </c>
      <c r="E483">
        <v>9.7268000000000008</v>
      </c>
      <c r="F483">
        <v>0.20030000000000001</v>
      </c>
      <c r="G483" s="288">
        <f t="shared" si="56"/>
        <v>9.9271000000000011</v>
      </c>
      <c r="H483" s="284">
        <v>9.7872000000000003</v>
      </c>
      <c r="I483" s="288">
        <f>G483-H483</f>
        <v>0.1399000000000008</v>
      </c>
      <c r="J483" s="283">
        <f t="shared" si="57"/>
        <v>6.0399999999999204E-2</v>
      </c>
      <c r="K483" s="285">
        <f t="shared" si="58"/>
        <v>30.154767848227259</v>
      </c>
      <c r="L483">
        <v>29</v>
      </c>
      <c r="M483" s="286">
        <v>43379</v>
      </c>
      <c r="N483" s="286">
        <v>43379</v>
      </c>
      <c r="R483" s="285"/>
    </row>
    <row r="484" spans="1:18">
      <c r="A484" t="s">
        <v>523</v>
      </c>
      <c r="C484" t="s">
        <v>3743</v>
      </c>
      <c r="D484">
        <v>1.7892999999999999</v>
      </c>
      <c r="E484">
        <v>7.4820000000000002</v>
      </c>
      <c r="F484">
        <v>0.20480000000000001</v>
      </c>
      <c r="G484" s="284">
        <f t="shared" si="56"/>
        <v>7.6867999999999999</v>
      </c>
      <c r="H484" s="284">
        <v>7.4873000000000003</v>
      </c>
      <c r="I484" s="284">
        <f>G484-H484</f>
        <v>0.19949999999999957</v>
      </c>
      <c r="J484" s="283">
        <f t="shared" si="57"/>
        <v>5.3000000000004432E-3</v>
      </c>
      <c r="K484" s="285">
        <f t="shared" si="58"/>
        <v>2.5878906250002163</v>
      </c>
      <c r="L484">
        <v>32</v>
      </c>
      <c r="M484" s="16">
        <v>43381</v>
      </c>
      <c r="N484" s="16">
        <v>43382</v>
      </c>
      <c r="R484" s="285"/>
    </row>
    <row r="485" spans="1:18">
      <c r="A485" t="s">
        <v>522</v>
      </c>
      <c r="C485" t="s">
        <v>3491</v>
      </c>
      <c r="D485">
        <v>1.7042999999999999</v>
      </c>
      <c r="E485">
        <v>8.8626000000000005</v>
      </c>
      <c r="F485">
        <v>0.2026</v>
      </c>
      <c r="G485" s="284">
        <f t="shared" si="56"/>
        <v>9.0652000000000008</v>
      </c>
      <c r="H485" s="284">
        <v>8.8676999999999992</v>
      </c>
      <c r="I485" s="284">
        <f>G485-H485</f>
        <v>0.19750000000000156</v>
      </c>
      <c r="J485" s="283">
        <f t="shared" si="57"/>
        <v>5.0999999999984391E-3</v>
      </c>
      <c r="K485" s="285">
        <f t="shared" si="58"/>
        <v>2.5172754195451326</v>
      </c>
      <c r="L485">
        <v>10</v>
      </c>
      <c r="M485" s="286">
        <v>43363</v>
      </c>
      <c r="N485" s="286">
        <v>43364</v>
      </c>
      <c r="O485" s="283" t="s">
        <v>3756</v>
      </c>
      <c r="R485" s="285"/>
    </row>
    <row r="486" spans="1:18">
      <c r="A486" t="s">
        <v>521</v>
      </c>
      <c r="C486" t="s">
        <v>3732</v>
      </c>
      <c r="D486" s="283">
        <v>1.786</v>
      </c>
      <c r="E486" s="284">
        <v>8.8610000000000007</v>
      </c>
      <c r="F486" s="284">
        <v>0.21629999999999999</v>
      </c>
      <c r="G486" s="284">
        <f t="shared" si="56"/>
        <v>9.077300000000001</v>
      </c>
      <c r="H486" s="284">
        <v>8.8727</v>
      </c>
      <c r="I486" s="284">
        <f>G486-H486</f>
        <v>0.204600000000001</v>
      </c>
      <c r="J486" s="283">
        <f t="shared" si="57"/>
        <v>1.1699999999998989E-2</v>
      </c>
      <c r="K486" s="285">
        <f t="shared" si="58"/>
        <v>5.4091539528428063</v>
      </c>
      <c r="L486" s="283">
        <v>1</v>
      </c>
      <c r="M486" s="286">
        <v>43363</v>
      </c>
      <c r="N486" s="286">
        <v>43364</v>
      </c>
      <c r="O486" s="283"/>
      <c r="P486" s="283"/>
      <c r="R486" s="285"/>
    </row>
    <row r="487" spans="1:18">
      <c r="A487" t="s">
        <v>520</v>
      </c>
      <c r="C487" t="s">
        <v>3698</v>
      </c>
      <c r="D487">
        <v>1.8220000000000001</v>
      </c>
      <c r="E487">
        <v>10.9032</v>
      </c>
      <c r="F487">
        <v>0.20369999999999999</v>
      </c>
      <c r="G487" s="284">
        <f t="shared" si="56"/>
        <v>11.1069</v>
      </c>
      <c r="H487" s="284">
        <v>10.9102</v>
      </c>
      <c r="I487" s="284">
        <f>G487-H487</f>
        <v>0.19669999999999987</v>
      </c>
      <c r="J487" s="283">
        <f t="shared" si="57"/>
        <v>7.0000000000001172E-3</v>
      </c>
      <c r="K487" s="285">
        <f t="shared" si="58"/>
        <v>3.4364261168385459</v>
      </c>
      <c r="L487">
        <v>5</v>
      </c>
      <c r="M487" s="16">
        <v>43381</v>
      </c>
      <c r="N487" s="16">
        <v>43382</v>
      </c>
      <c r="R487" s="285"/>
    </row>
    <row r="488" spans="1:18">
      <c r="A488" t="s">
        <v>519</v>
      </c>
      <c r="C488" t="s">
        <v>3663</v>
      </c>
      <c r="D488">
        <v>1.8440000000000001</v>
      </c>
      <c r="E488">
        <v>11.105</v>
      </c>
      <c r="F488">
        <v>0.20319999999999999</v>
      </c>
      <c r="G488" s="284">
        <f t="shared" si="56"/>
        <v>11.308200000000001</v>
      </c>
      <c r="H488" s="284">
        <v>11.111700000000001</v>
      </c>
      <c r="I488" s="284">
        <f>(G488-H488)</f>
        <v>0.19650000000000034</v>
      </c>
      <c r="J488" s="283">
        <f t="shared" si="57"/>
        <v>6.6999999999996507E-3</v>
      </c>
      <c r="K488" s="285">
        <f t="shared" si="58"/>
        <v>3.2972440944880175</v>
      </c>
      <c r="L488">
        <v>13</v>
      </c>
      <c r="M488" s="16">
        <v>43358</v>
      </c>
      <c r="N488" s="16">
        <v>43358</v>
      </c>
      <c r="R488" s="285"/>
    </row>
    <row r="489" spans="1:18">
      <c r="A489" t="s">
        <v>518</v>
      </c>
      <c r="B489">
        <v>203</v>
      </c>
      <c r="C489" t="s">
        <v>2504</v>
      </c>
      <c r="D489">
        <v>1.4706999999999999</v>
      </c>
      <c r="E489">
        <v>8.0893999999999995</v>
      </c>
      <c r="F489">
        <v>0.22309999999999999</v>
      </c>
      <c r="G489">
        <f t="shared" si="56"/>
        <v>8.3125</v>
      </c>
      <c r="H489">
        <v>8.0984999999999996</v>
      </c>
      <c r="I489" s="284">
        <f t="shared" ref="I489:I498" si="59">G489-H489</f>
        <v>0.21400000000000041</v>
      </c>
      <c r="J489" s="283">
        <f t="shared" si="57"/>
        <v>9.0999999999995806E-3</v>
      </c>
      <c r="K489" s="285">
        <f t="shared" si="58"/>
        <v>4.0788883908559299</v>
      </c>
      <c r="L489">
        <v>10</v>
      </c>
      <c r="M489" s="16">
        <v>43402</v>
      </c>
      <c r="N489" s="16">
        <v>43403</v>
      </c>
      <c r="R489" s="285"/>
    </row>
    <row r="490" spans="1:18">
      <c r="A490" t="s">
        <v>517</v>
      </c>
      <c r="B490">
        <v>216</v>
      </c>
      <c r="D490">
        <v>1.4694</v>
      </c>
      <c r="E490">
        <v>7.9946000000000002</v>
      </c>
      <c r="F490">
        <v>0.20860000000000001</v>
      </c>
      <c r="G490" s="284">
        <f t="shared" si="56"/>
        <v>8.2032000000000007</v>
      </c>
      <c r="H490" s="284">
        <v>8.0044000000000004</v>
      </c>
      <c r="I490" s="284">
        <f t="shared" si="59"/>
        <v>0.19880000000000031</v>
      </c>
      <c r="J490" s="283">
        <f t="shared" si="57"/>
        <v>9.7999999999996978E-3</v>
      </c>
      <c r="K490" s="285">
        <f t="shared" si="58"/>
        <v>4.6979865771810632</v>
      </c>
      <c r="L490">
        <v>25</v>
      </c>
      <c r="M490" s="16">
        <v>43395</v>
      </c>
      <c r="N490" s="16">
        <v>43396</v>
      </c>
      <c r="R490" s="285"/>
    </row>
    <row r="491" spans="1:18">
      <c r="A491" t="s">
        <v>516</v>
      </c>
      <c r="B491">
        <v>193</v>
      </c>
      <c r="D491">
        <v>1.2164999999999999</v>
      </c>
      <c r="E491">
        <v>7.3555000000000001</v>
      </c>
      <c r="F491">
        <v>0.21340000000000001</v>
      </c>
      <c r="G491" s="284">
        <f t="shared" si="56"/>
        <v>7.5689000000000002</v>
      </c>
      <c r="H491" s="284">
        <v>7.3685</v>
      </c>
      <c r="I491" s="284">
        <f t="shared" si="59"/>
        <v>0.20040000000000013</v>
      </c>
      <c r="J491" s="283">
        <f t="shared" si="57"/>
        <v>1.2999999999999873E-2</v>
      </c>
      <c r="K491" s="285">
        <f t="shared" si="58"/>
        <v>6.0918462980318058</v>
      </c>
      <c r="L491">
        <v>8</v>
      </c>
      <c r="M491" s="16">
        <v>43395</v>
      </c>
      <c r="N491" s="16">
        <v>43396</v>
      </c>
      <c r="R491" s="285"/>
    </row>
    <row r="492" spans="1:18">
      <c r="A492" t="s">
        <v>515</v>
      </c>
      <c r="C492" t="s">
        <v>3761</v>
      </c>
      <c r="D492">
        <v>0.83020000000000005</v>
      </c>
      <c r="E492">
        <v>7.1901999999999999</v>
      </c>
      <c r="F492">
        <v>0.2041</v>
      </c>
      <c r="G492" s="284">
        <f t="shared" si="56"/>
        <v>7.3943000000000003</v>
      </c>
      <c r="H492" s="284">
        <v>7.3662999999999998</v>
      </c>
      <c r="I492" s="284">
        <f t="shared" si="59"/>
        <v>2.8000000000000469E-2</v>
      </c>
      <c r="J492" s="283">
        <f t="shared" si="57"/>
        <v>0.17609999999999953</v>
      </c>
      <c r="K492" s="285">
        <f t="shared" si="58"/>
        <v>86.281234688877774</v>
      </c>
      <c r="L492">
        <v>29</v>
      </c>
      <c r="M492" s="286">
        <v>43363</v>
      </c>
      <c r="N492" s="286">
        <v>43364</v>
      </c>
      <c r="R492" s="285"/>
    </row>
    <row r="493" spans="1:18">
      <c r="A493" t="s">
        <v>514</v>
      </c>
      <c r="B493">
        <v>208</v>
      </c>
      <c r="D493">
        <v>1.5009999999999999</v>
      </c>
      <c r="E493">
        <v>10.315300000000001</v>
      </c>
      <c r="F493">
        <v>0.20960000000000001</v>
      </c>
      <c r="G493" s="284">
        <f t="shared" si="56"/>
        <v>10.524900000000001</v>
      </c>
      <c r="H493" s="284">
        <v>10.331799999999999</v>
      </c>
      <c r="I493" s="284">
        <f t="shared" si="59"/>
        <v>0.19310000000000116</v>
      </c>
      <c r="J493" s="283">
        <f t="shared" si="57"/>
        <v>1.6499999999998849E-2</v>
      </c>
      <c r="K493" s="285">
        <f t="shared" si="58"/>
        <v>7.8721374045796031</v>
      </c>
      <c r="L493">
        <v>39</v>
      </c>
      <c r="M493" s="16">
        <v>43388</v>
      </c>
      <c r="N493" s="286">
        <v>43389</v>
      </c>
      <c r="O493" s="16"/>
      <c r="R493" s="285"/>
    </row>
    <row r="494" spans="1:18">
      <c r="A494" t="s">
        <v>512</v>
      </c>
      <c r="B494">
        <v>211</v>
      </c>
      <c r="C494" t="s">
        <v>2504</v>
      </c>
      <c r="D494">
        <v>1.5597000000000001</v>
      </c>
      <c r="E494">
        <v>10.057</v>
      </c>
      <c r="F494">
        <v>0.2034</v>
      </c>
      <c r="G494" s="284">
        <f t="shared" si="56"/>
        <v>10.260400000000001</v>
      </c>
      <c r="H494" s="284">
        <v>10.0685</v>
      </c>
      <c r="I494" s="284">
        <f t="shared" si="59"/>
        <v>0.1919000000000004</v>
      </c>
      <c r="J494" s="283">
        <f t="shared" si="57"/>
        <v>1.1499999999999594E-2</v>
      </c>
      <c r="K494" s="285">
        <f t="shared" si="58"/>
        <v>5.6538839724678436</v>
      </c>
      <c r="L494">
        <v>14</v>
      </c>
      <c r="M494" s="16">
        <v>43388</v>
      </c>
      <c r="N494" s="286">
        <v>43389</v>
      </c>
      <c r="O494" s="286"/>
      <c r="P494" s="283"/>
      <c r="R494" s="285"/>
    </row>
    <row r="495" spans="1:18">
      <c r="A495" t="s">
        <v>511</v>
      </c>
      <c r="C495" t="s">
        <v>3427</v>
      </c>
      <c r="D495">
        <v>1.5824</v>
      </c>
      <c r="E495">
        <v>10.315300000000001</v>
      </c>
      <c r="F495">
        <v>0.20150000000000001</v>
      </c>
      <c r="G495" s="284">
        <f t="shared" si="56"/>
        <v>10.5168</v>
      </c>
      <c r="H495" s="284">
        <v>10.333500000000001</v>
      </c>
      <c r="I495" s="284">
        <f t="shared" si="59"/>
        <v>0.18329999999999913</v>
      </c>
      <c r="J495" s="283">
        <f t="shared" si="57"/>
        <v>1.8200000000000882E-2</v>
      </c>
      <c r="K495" s="285">
        <f t="shared" si="58"/>
        <v>9.0322580645165651</v>
      </c>
      <c r="L495">
        <v>42</v>
      </c>
      <c r="M495">
        <v>23.101800000000001</v>
      </c>
      <c r="N495" s="16">
        <v>43397</v>
      </c>
      <c r="R495" s="285"/>
    </row>
    <row r="496" spans="1:18">
      <c r="A496" t="s">
        <v>510</v>
      </c>
      <c r="C496" t="s">
        <v>3414</v>
      </c>
      <c r="D496">
        <v>1.6624000000000001</v>
      </c>
      <c r="E496">
        <v>9.1379999999999999</v>
      </c>
      <c r="F496">
        <v>0.20480000000000001</v>
      </c>
      <c r="G496" s="284">
        <f t="shared" si="56"/>
        <v>9.3428000000000004</v>
      </c>
      <c r="H496" s="284">
        <v>9.1547000000000001</v>
      </c>
      <c r="I496" s="284">
        <f t="shared" si="59"/>
        <v>0.18810000000000038</v>
      </c>
      <c r="J496" s="283">
        <f t="shared" si="57"/>
        <v>1.6699999999999632E-2</v>
      </c>
      <c r="K496" s="285">
        <f t="shared" si="58"/>
        <v>8.1542968749998188</v>
      </c>
      <c r="L496">
        <v>9</v>
      </c>
      <c r="M496" s="16">
        <v>43388</v>
      </c>
      <c r="N496" s="286">
        <v>43389</v>
      </c>
      <c r="O496" s="286"/>
      <c r="P496" s="283"/>
      <c r="R496" s="285"/>
    </row>
    <row r="497" spans="1:18">
      <c r="A497" t="s">
        <v>507</v>
      </c>
      <c r="C497" t="s">
        <v>3750</v>
      </c>
      <c r="D497">
        <v>1.8246</v>
      </c>
      <c r="E497">
        <v>10.1165</v>
      </c>
      <c r="F497">
        <v>0.22919999999999999</v>
      </c>
      <c r="G497" s="284">
        <f t="shared" si="56"/>
        <v>10.345700000000001</v>
      </c>
      <c r="H497" s="284">
        <v>10.1234</v>
      </c>
      <c r="I497" s="284">
        <f t="shared" si="59"/>
        <v>0.22230000000000061</v>
      </c>
      <c r="J497" s="283">
        <f t="shared" si="57"/>
        <v>6.8999999999993789E-3</v>
      </c>
      <c r="K497" s="285">
        <f t="shared" si="58"/>
        <v>3.0104712041882107</v>
      </c>
      <c r="L497">
        <v>37</v>
      </c>
      <c r="M497" s="286">
        <v>43362</v>
      </c>
      <c r="N497" s="286">
        <v>43363</v>
      </c>
      <c r="R497" s="285"/>
    </row>
    <row r="498" spans="1:18">
      <c r="A498" t="s">
        <v>506</v>
      </c>
      <c r="C498" t="s">
        <v>3422</v>
      </c>
      <c r="D498">
        <v>1.4185000000000001</v>
      </c>
      <c r="E498">
        <v>9.0531000000000006</v>
      </c>
      <c r="F498">
        <v>0.2029</v>
      </c>
      <c r="G498" s="284">
        <f t="shared" si="56"/>
        <v>9.2560000000000002</v>
      </c>
      <c r="H498" s="284">
        <v>9.0648999999999997</v>
      </c>
      <c r="I498" s="284">
        <f t="shared" si="59"/>
        <v>0.19110000000000049</v>
      </c>
      <c r="J498" s="283">
        <f t="shared" si="57"/>
        <v>1.1799999999999505E-2</v>
      </c>
      <c r="K498" s="285">
        <f t="shared" si="58"/>
        <v>5.8156727451944334</v>
      </c>
      <c r="L498">
        <v>29</v>
      </c>
      <c r="M498">
        <v>23.101800000000001</v>
      </c>
      <c r="N498" s="16">
        <v>43397</v>
      </c>
      <c r="R498" s="285"/>
    </row>
    <row r="499" spans="1:18">
      <c r="A499" t="s">
        <v>505</v>
      </c>
      <c r="C499" t="s">
        <v>3689</v>
      </c>
      <c r="D499">
        <v>1.77</v>
      </c>
      <c r="E499">
        <v>7.1905999999999999</v>
      </c>
      <c r="F499">
        <v>0.23119999999999999</v>
      </c>
      <c r="G499" s="284">
        <f t="shared" si="56"/>
        <v>7.4218000000000002</v>
      </c>
      <c r="H499" s="284">
        <v>7.1957000000000004</v>
      </c>
      <c r="I499" s="284">
        <f>(G499-H499)</f>
        <v>0.22609999999999975</v>
      </c>
      <c r="J499" s="283">
        <f t="shared" si="57"/>
        <v>5.1000000000002432E-3</v>
      </c>
      <c r="K499" s="285">
        <f t="shared" si="58"/>
        <v>2.2058823529412819</v>
      </c>
      <c r="L499">
        <v>15</v>
      </c>
      <c r="M499" s="286">
        <v>43360</v>
      </c>
      <c r="N499" s="286">
        <v>43361</v>
      </c>
      <c r="O499" s="283" t="s">
        <v>3707</v>
      </c>
      <c r="R499" s="285"/>
    </row>
    <row r="500" spans="1:18">
      <c r="A500" t="s">
        <v>504</v>
      </c>
      <c r="C500" t="s">
        <v>3492</v>
      </c>
      <c r="D500">
        <v>1.7962</v>
      </c>
      <c r="E500">
        <v>7.8727</v>
      </c>
      <c r="F500">
        <v>0.2001</v>
      </c>
      <c r="G500" s="284">
        <f t="shared" si="56"/>
        <v>8.0728000000000009</v>
      </c>
      <c r="H500" s="284">
        <v>7.8800999999999997</v>
      </c>
      <c r="I500" s="284">
        <f t="shared" ref="I500:I517" si="60">G500-H500</f>
        <v>0.1927000000000012</v>
      </c>
      <c r="J500" s="283">
        <f t="shared" si="57"/>
        <v>7.3999999999987964E-3</v>
      </c>
      <c r="K500" s="285">
        <f t="shared" si="58"/>
        <v>3.6981509245371296</v>
      </c>
      <c r="L500">
        <v>13</v>
      </c>
      <c r="M500" s="286">
        <v>43363</v>
      </c>
      <c r="N500" s="286">
        <v>43364</v>
      </c>
      <c r="O500" s="283" t="s">
        <v>3756</v>
      </c>
      <c r="R500" s="285"/>
    </row>
    <row r="501" spans="1:18">
      <c r="A501" t="s">
        <v>503</v>
      </c>
      <c r="C501" t="s">
        <v>3787</v>
      </c>
      <c r="D501">
        <v>1.6620999999999999</v>
      </c>
      <c r="E501">
        <v>8.1369000000000007</v>
      </c>
      <c r="F501">
        <v>0.20960000000000001</v>
      </c>
      <c r="G501" s="284">
        <f t="shared" si="56"/>
        <v>8.3465000000000007</v>
      </c>
      <c r="H501" s="284">
        <v>8.1450999999999993</v>
      </c>
      <c r="I501" s="284">
        <f t="shared" si="60"/>
        <v>0.20140000000000136</v>
      </c>
      <c r="J501" s="283">
        <f t="shared" si="57"/>
        <v>8.1999999999986528E-3</v>
      </c>
      <c r="K501" s="285">
        <f t="shared" si="58"/>
        <v>3.9122137404573722</v>
      </c>
      <c r="L501">
        <v>35</v>
      </c>
      <c r="M501" s="16">
        <v>43399</v>
      </c>
      <c r="N501" s="16">
        <v>43400</v>
      </c>
      <c r="R501" s="285"/>
    </row>
    <row r="502" spans="1:18">
      <c r="A502" t="s">
        <v>502</v>
      </c>
      <c r="B502">
        <v>205</v>
      </c>
      <c r="C502" t="s">
        <v>2504</v>
      </c>
      <c r="D502">
        <v>1.4805999999999999</v>
      </c>
      <c r="E502">
        <v>8.8626000000000005</v>
      </c>
      <c r="F502">
        <v>0.2109</v>
      </c>
      <c r="G502" s="284">
        <f t="shared" si="56"/>
        <v>9.073500000000001</v>
      </c>
      <c r="H502" s="284">
        <v>8.8729999999999993</v>
      </c>
      <c r="I502" s="284">
        <f t="shared" si="60"/>
        <v>0.20050000000000168</v>
      </c>
      <c r="J502" s="283">
        <f t="shared" si="57"/>
        <v>1.0399999999998327E-2</v>
      </c>
      <c r="K502" s="285">
        <f t="shared" si="58"/>
        <v>4.9312470365094017</v>
      </c>
      <c r="L502">
        <v>6</v>
      </c>
      <c r="M502">
        <v>23.101800000000001</v>
      </c>
      <c r="N502" s="16">
        <v>43397</v>
      </c>
      <c r="R502" s="285"/>
    </row>
    <row r="503" spans="1:18">
      <c r="A503" t="s">
        <v>501</v>
      </c>
      <c r="C503" t="s">
        <v>3765</v>
      </c>
      <c r="D503">
        <v>1.4117999999999999</v>
      </c>
      <c r="E503">
        <v>19.3901</v>
      </c>
      <c r="F503">
        <v>0.22070000000000001</v>
      </c>
      <c r="G503" s="284">
        <f t="shared" si="56"/>
        <v>19.610800000000001</v>
      </c>
      <c r="H503" s="284">
        <v>19.406400000000001</v>
      </c>
      <c r="I503" s="284">
        <f t="shared" si="60"/>
        <v>0.20439999999999969</v>
      </c>
      <c r="J503" s="283">
        <f t="shared" si="57"/>
        <v>1.6300000000000314E-2</v>
      </c>
      <c r="K503" s="285">
        <f t="shared" si="58"/>
        <v>7.3855913004079357</v>
      </c>
      <c r="L503">
        <v>41</v>
      </c>
      <c r="M503" s="286">
        <v>43363</v>
      </c>
      <c r="N503" s="286">
        <v>43364</v>
      </c>
      <c r="R503" s="285"/>
    </row>
    <row r="504" spans="1:18">
      <c r="A504" t="s">
        <v>500</v>
      </c>
      <c r="B504">
        <v>218</v>
      </c>
      <c r="D504">
        <v>1.4678</v>
      </c>
      <c r="E504">
        <v>7.7157</v>
      </c>
      <c r="F504">
        <v>0.21829999999999999</v>
      </c>
      <c r="G504" s="284">
        <f t="shared" ref="G504:G535" si="61">E504+F504</f>
        <v>7.9340000000000002</v>
      </c>
      <c r="H504" s="284">
        <v>7.7264999999999997</v>
      </c>
      <c r="I504" s="284">
        <f t="shared" si="60"/>
        <v>0.20750000000000046</v>
      </c>
      <c r="J504" s="283">
        <f t="shared" ref="J504:J535" si="62">F504-I504</f>
        <v>1.0799999999999532E-2</v>
      </c>
      <c r="K504" s="285">
        <f t="shared" ref="K504:K535" si="63">(J504/F504)*100</f>
        <v>4.9473202015572753</v>
      </c>
      <c r="L504">
        <v>17</v>
      </c>
      <c r="M504" s="16">
        <v>43395</v>
      </c>
      <c r="N504" s="16">
        <v>43396</v>
      </c>
      <c r="R504" s="285"/>
    </row>
    <row r="505" spans="1:18">
      <c r="A505" t="s">
        <v>499</v>
      </c>
      <c r="C505" t="s">
        <v>3426</v>
      </c>
      <c r="D505">
        <v>1.4698</v>
      </c>
      <c r="E505">
        <v>9.3225999999999996</v>
      </c>
      <c r="F505">
        <v>0.2089</v>
      </c>
      <c r="G505" s="288">
        <f t="shared" si="61"/>
        <v>9.5314999999999994</v>
      </c>
      <c r="H505" s="284">
        <v>9.3557000000000006</v>
      </c>
      <c r="I505" s="288">
        <f t="shared" si="60"/>
        <v>0.17579999999999885</v>
      </c>
      <c r="J505" s="283">
        <f t="shared" si="62"/>
        <v>3.3100000000001156E-2</v>
      </c>
      <c r="K505" s="285">
        <f t="shared" si="63"/>
        <v>15.844901866922525</v>
      </c>
      <c r="L505">
        <v>25</v>
      </c>
      <c r="M505" s="286">
        <v>43379</v>
      </c>
      <c r="N505" s="286">
        <v>43379</v>
      </c>
      <c r="R505" s="285"/>
    </row>
    <row r="506" spans="1:18">
      <c r="A506" t="s">
        <v>498</v>
      </c>
      <c r="C506" t="s">
        <v>3784</v>
      </c>
      <c r="D506">
        <v>1.7523</v>
      </c>
      <c r="E506">
        <v>7.0940000000000003</v>
      </c>
      <c r="F506">
        <v>0.20949999999999999</v>
      </c>
      <c r="G506" s="284">
        <f t="shared" si="61"/>
        <v>7.3035000000000005</v>
      </c>
      <c r="H506" s="284">
        <v>7.1018999999999997</v>
      </c>
      <c r="I506" s="284">
        <f t="shared" si="60"/>
        <v>0.20160000000000089</v>
      </c>
      <c r="J506" s="283">
        <f t="shared" si="62"/>
        <v>7.8999999999991022E-3</v>
      </c>
      <c r="K506" s="285">
        <f t="shared" si="63"/>
        <v>3.7708830548921735</v>
      </c>
      <c r="L506">
        <v>21</v>
      </c>
      <c r="M506" s="16">
        <v>43395</v>
      </c>
      <c r="N506" s="16">
        <v>43396</v>
      </c>
      <c r="R506" s="285"/>
    </row>
    <row r="507" spans="1:18">
      <c r="A507" t="s">
        <v>497</v>
      </c>
      <c r="C507" t="s">
        <v>3745</v>
      </c>
      <c r="D507">
        <v>1.8624000000000001</v>
      </c>
      <c r="E507">
        <v>7.3186999999999998</v>
      </c>
      <c r="F507">
        <v>0.21290000000000001</v>
      </c>
      <c r="G507" s="284">
        <f t="shared" si="61"/>
        <v>7.5316000000000001</v>
      </c>
      <c r="H507" s="284">
        <v>7.3231999999999999</v>
      </c>
      <c r="I507" s="284">
        <f t="shared" si="60"/>
        <v>0.20840000000000014</v>
      </c>
      <c r="J507" s="283">
        <f t="shared" si="62"/>
        <v>4.4999999999998652E-3</v>
      </c>
      <c r="K507" s="285">
        <f t="shared" si="63"/>
        <v>2.1136683889149204</v>
      </c>
      <c r="L507">
        <v>17</v>
      </c>
      <c r="M507" s="286">
        <v>43362</v>
      </c>
      <c r="N507" s="286">
        <v>43363</v>
      </c>
      <c r="R507" s="285"/>
    </row>
    <row r="508" spans="1:18">
      <c r="A508" t="s">
        <v>494</v>
      </c>
      <c r="B508">
        <v>195</v>
      </c>
      <c r="D508">
        <v>1.5925</v>
      </c>
      <c r="E508">
        <v>11.005000000000001</v>
      </c>
      <c r="F508">
        <v>0.21879999999999999</v>
      </c>
      <c r="G508" s="284">
        <f t="shared" si="61"/>
        <v>11.223800000000001</v>
      </c>
      <c r="H508" s="284">
        <v>11.0128</v>
      </c>
      <c r="I508" s="284">
        <f t="shared" si="60"/>
        <v>0.2110000000000003</v>
      </c>
      <c r="J508" s="283">
        <f t="shared" si="62"/>
        <v>7.7999999999996961E-3</v>
      </c>
      <c r="K508" s="285">
        <f t="shared" si="63"/>
        <v>3.5648994515537913</v>
      </c>
      <c r="L508">
        <v>17</v>
      </c>
      <c r="M508">
        <v>23.101800000000001</v>
      </c>
      <c r="N508" s="16">
        <v>43397</v>
      </c>
      <c r="R508" s="285"/>
    </row>
    <row r="509" spans="1:18">
      <c r="A509" t="s">
        <v>493</v>
      </c>
      <c r="C509" t="s">
        <v>3739</v>
      </c>
      <c r="D509">
        <v>1.7402</v>
      </c>
      <c r="E509">
        <v>11.1608</v>
      </c>
      <c r="F509">
        <v>0.20019999999999999</v>
      </c>
      <c r="G509" s="284">
        <f t="shared" si="61"/>
        <v>11.361000000000001</v>
      </c>
      <c r="H509" s="284">
        <v>11.165800000000001</v>
      </c>
      <c r="I509" s="284">
        <f t="shared" si="60"/>
        <v>0.19519999999999982</v>
      </c>
      <c r="J509" s="283">
        <f t="shared" si="62"/>
        <v>5.000000000000171E-3</v>
      </c>
      <c r="K509" s="285">
        <f t="shared" si="63"/>
        <v>2.497502497502583</v>
      </c>
      <c r="L509">
        <v>35</v>
      </c>
      <c r="M509" s="286">
        <v>43362</v>
      </c>
      <c r="N509" s="286">
        <v>43363</v>
      </c>
      <c r="R509" s="285"/>
    </row>
    <row r="510" spans="1:18">
      <c r="A510" t="s">
        <v>492</v>
      </c>
      <c r="B510">
        <v>209</v>
      </c>
      <c r="C510" t="s">
        <v>2504</v>
      </c>
      <c r="D510">
        <v>1.5167999999999999</v>
      </c>
      <c r="E510">
        <v>11.0047</v>
      </c>
      <c r="F510">
        <v>0.23400000000000001</v>
      </c>
      <c r="G510">
        <f t="shared" si="61"/>
        <v>11.2387</v>
      </c>
      <c r="H510">
        <v>11.0138</v>
      </c>
      <c r="I510" s="284">
        <f t="shared" si="60"/>
        <v>0.22489999999999988</v>
      </c>
      <c r="J510" s="283">
        <f t="shared" si="62"/>
        <v>9.1000000000001358E-3</v>
      </c>
      <c r="K510" s="285">
        <f t="shared" si="63"/>
        <v>3.8888888888889466</v>
      </c>
      <c r="L510">
        <v>37</v>
      </c>
      <c r="M510" s="16">
        <v>43399</v>
      </c>
      <c r="N510" s="16">
        <v>43400</v>
      </c>
      <c r="R510" s="285"/>
    </row>
    <row r="511" spans="1:18">
      <c r="A511" t="s">
        <v>491</v>
      </c>
      <c r="C511" t="s">
        <v>3713</v>
      </c>
      <c r="D511">
        <v>1.8442000000000001</v>
      </c>
      <c r="E511">
        <v>11.1546</v>
      </c>
      <c r="F511">
        <v>0.2077</v>
      </c>
      <c r="G511" s="284">
        <f t="shared" si="61"/>
        <v>11.362300000000001</v>
      </c>
      <c r="H511" s="284">
        <v>11.161099999999999</v>
      </c>
      <c r="I511" s="284">
        <f t="shared" si="60"/>
        <v>0.20120000000000182</v>
      </c>
      <c r="J511" s="283">
        <f t="shared" si="62"/>
        <v>6.4999999999981739E-3</v>
      </c>
      <c r="K511" s="285">
        <f t="shared" si="63"/>
        <v>3.1295137217131312</v>
      </c>
      <c r="L511">
        <v>3</v>
      </c>
      <c r="M511" s="286">
        <v>43361</v>
      </c>
      <c r="N511" s="286">
        <v>43362</v>
      </c>
      <c r="O511" s="283" t="s">
        <v>3730</v>
      </c>
      <c r="R511" s="285"/>
    </row>
    <row r="512" spans="1:18">
      <c r="A512" t="s">
        <v>490</v>
      </c>
      <c r="C512" t="s">
        <v>3483</v>
      </c>
      <c r="D512">
        <v>1.5868</v>
      </c>
      <c r="E512">
        <v>8.7338000000000005</v>
      </c>
      <c r="F512">
        <v>0.2099</v>
      </c>
      <c r="G512" s="284">
        <f t="shared" si="61"/>
        <v>8.9436999999999998</v>
      </c>
      <c r="H512" s="284">
        <v>8.7454999999999998</v>
      </c>
      <c r="I512" s="284">
        <f t="shared" si="60"/>
        <v>0.19819999999999993</v>
      </c>
      <c r="J512" s="283">
        <f t="shared" si="62"/>
        <v>1.1700000000000071E-2</v>
      </c>
      <c r="K512" s="285">
        <f t="shared" si="63"/>
        <v>5.5740828966174707</v>
      </c>
      <c r="L512">
        <v>9</v>
      </c>
      <c r="M512" s="286">
        <v>43363</v>
      </c>
      <c r="N512" s="286">
        <v>43364</v>
      </c>
      <c r="O512" s="283" t="s">
        <v>3756</v>
      </c>
      <c r="R512" s="285"/>
    </row>
    <row r="513" spans="1:18">
      <c r="A513" t="s">
        <v>489</v>
      </c>
      <c r="C513" t="s">
        <v>3775</v>
      </c>
      <c r="D513">
        <v>1.8091999999999999</v>
      </c>
      <c r="E513">
        <v>10.5229</v>
      </c>
      <c r="F513">
        <v>0.22919999999999999</v>
      </c>
      <c r="G513" s="288">
        <f t="shared" si="61"/>
        <v>10.7521</v>
      </c>
      <c r="H513" s="284">
        <v>10.530799999999999</v>
      </c>
      <c r="I513" s="288">
        <f t="shared" si="60"/>
        <v>0.22130000000000116</v>
      </c>
      <c r="J513" s="283">
        <f t="shared" si="62"/>
        <v>7.8999999999988246E-3</v>
      </c>
      <c r="K513" s="285">
        <f t="shared" si="63"/>
        <v>3.4467713787080392</v>
      </c>
      <c r="L513">
        <v>24</v>
      </c>
      <c r="M513" s="286">
        <v>43379</v>
      </c>
      <c r="N513" s="286">
        <v>43379</v>
      </c>
      <c r="R513" s="285"/>
    </row>
    <row r="514" spans="1:18">
      <c r="A514" t="s">
        <v>488</v>
      </c>
      <c r="C514" t="s">
        <v>3487</v>
      </c>
      <c r="D514">
        <v>1.8404</v>
      </c>
      <c r="E514">
        <v>7.0755999999999997</v>
      </c>
      <c r="F514">
        <v>0.21390000000000001</v>
      </c>
      <c r="G514" s="284">
        <f t="shared" si="61"/>
        <v>7.2894999999999994</v>
      </c>
      <c r="H514" s="284">
        <v>7.0856000000000003</v>
      </c>
      <c r="I514" s="284">
        <f t="shared" si="60"/>
        <v>0.20389999999999908</v>
      </c>
      <c r="J514" s="283">
        <f t="shared" si="62"/>
        <v>1.0000000000000925E-2</v>
      </c>
      <c r="K514" s="285">
        <f t="shared" si="63"/>
        <v>4.6750818139321764</v>
      </c>
      <c r="L514">
        <v>22</v>
      </c>
      <c r="M514" s="286">
        <v>43363</v>
      </c>
      <c r="N514" s="286">
        <v>43364</v>
      </c>
      <c r="R514" s="285"/>
    </row>
    <row r="515" spans="1:18">
      <c r="A515" t="s">
        <v>487</v>
      </c>
      <c r="C515" t="s">
        <v>3752</v>
      </c>
      <c r="D515">
        <v>1.7336</v>
      </c>
      <c r="E515">
        <v>10.1457</v>
      </c>
      <c r="F515">
        <v>0.22209999999999999</v>
      </c>
      <c r="G515" s="284">
        <f t="shared" si="61"/>
        <v>10.367799999999999</v>
      </c>
      <c r="H515" s="284">
        <v>10.151400000000001</v>
      </c>
      <c r="I515" s="284">
        <f t="shared" si="60"/>
        <v>0.21639999999999837</v>
      </c>
      <c r="J515" s="283">
        <f t="shared" si="62"/>
        <v>5.7000000000016204E-3</v>
      </c>
      <c r="K515" s="285">
        <f t="shared" si="63"/>
        <v>2.5664115263402163</v>
      </c>
      <c r="L515">
        <v>1</v>
      </c>
      <c r="M515" s="16">
        <v>43399</v>
      </c>
      <c r="N515" s="16">
        <v>43400</v>
      </c>
      <c r="R515" s="285"/>
    </row>
    <row r="516" spans="1:18">
      <c r="A516" t="s">
        <v>486</v>
      </c>
      <c r="B516">
        <v>194</v>
      </c>
      <c r="D516">
        <v>1.4758</v>
      </c>
      <c r="E516">
        <v>11.4438</v>
      </c>
      <c r="F516">
        <v>0.2127</v>
      </c>
      <c r="G516" s="284">
        <f t="shared" si="61"/>
        <v>11.656499999999999</v>
      </c>
      <c r="H516" s="284">
        <v>11.457100000000001</v>
      </c>
      <c r="I516" s="284">
        <f t="shared" si="60"/>
        <v>0.19939999999999891</v>
      </c>
      <c r="J516" s="283">
        <f t="shared" si="62"/>
        <v>1.3300000000001089E-2</v>
      </c>
      <c r="K516" s="285">
        <f t="shared" si="63"/>
        <v>6.2529384109078929</v>
      </c>
      <c r="L516">
        <v>5</v>
      </c>
      <c r="M516" s="16">
        <v>43395</v>
      </c>
      <c r="N516" s="16">
        <v>43396</v>
      </c>
      <c r="R516" s="285"/>
    </row>
    <row r="517" spans="1:18">
      <c r="A517" t="s">
        <v>484</v>
      </c>
      <c r="C517" t="s">
        <v>3422</v>
      </c>
      <c r="D517">
        <v>3.468</v>
      </c>
      <c r="E517">
        <v>8.2199000000000009</v>
      </c>
      <c r="F517">
        <v>0.21489999999999831</v>
      </c>
      <c r="G517">
        <f t="shared" si="61"/>
        <v>8.4347999999999992</v>
      </c>
      <c r="H517">
        <v>8.4121000000000006</v>
      </c>
      <c r="I517" s="284">
        <f t="shared" si="60"/>
        <v>2.269999999999861E-2</v>
      </c>
      <c r="J517" s="283">
        <f t="shared" si="62"/>
        <v>0.1921999999999997</v>
      </c>
      <c r="K517" s="285">
        <f t="shared" si="63"/>
        <v>89.436947417404014</v>
      </c>
      <c r="L517">
        <v>41</v>
      </c>
      <c r="M517" s="16">
        <v>43399</v>
      </c>
      <c r="N517" s="16">
        <v>43400</v>
      </c>
      <c r="R517" s="285"/>
    </row>
    <row r="518" spans="1:18">
      <c r="A518" t="s">
        <v>482</v>
      </c>
      <c r="C518" t="s">
        <v>3662</v>
      </c>
      <c r="D518">
        <v>1.8975</v>
      </c>
      <c r="E518">
        <v>8.9573</v>
      </c>
      <c r="F518">
        <v>0.20030000000000001</v>
      </c>
      <c r="G518" s="284">
        <f t="shared" si="61"/>
        <v>9.1576000000000004</v>
      </c>
      <c r="H518" s="284">
        <v>8.9624000000000006</v>
      </c>
      <c r="I518" s="284">
        <f>(G518-H518)</f>
        <v>0.19519999999999982</v>
      </c>
      <c r="J518" s="283">
        <f t="shared" si="62"/>
        <v>5.1000000000001877E-3</v>
      </c>
      <c r="K518" s="285">
        <f t="shared" si="63"/>
        <v>2.5461807289067337</v>
      </c>
      <c r="L518">
        <v>21</v>
      </c>
      <c r="M518" s="16">
        <v>43358</v>
      </c>
      <c r="N518" s="16">
        <v>43358</v>
      </c>
      <c r="R518" s="285"/>
    </row>
    <row r="519" spans="1:18">
      <c r="A519" t="s">
        <v>481</v>
      </c>
      <c r="B519">
        <v>212</v>
      </c>
      <c r="D519">
        <v>1.4732000000000001</v>
      </c>
      <c r="E519">
        <v>9.3447999999999993</v>
      </c>
      <c r="F519">
        <v>0.2127</v>
      </c>
      <c r="G519" s="284">
        <f t="shared" si="61"/>
        <v>9.5574999999999992</v>
      </c>
      <c r="H519" s="284">
        <v>9.3527000000000005</v>
      </c>
      <c r="I519" s="284">
        <f>G519-H519</f>
        <v>0.20479999999999876</v>
      </c>
      <c r="J519" s="283">
        <f t="shared" si="62"/>
        <v>7.9000000000012394E-3</v>
      </c>
      <c r="K519" s="285">
        <f t="shared" si="63"/>
        <v>3.7141513869305309</v>
      </c>
      <c r="L519">
        <v>10</v>
      </c>
      <c r="M519" s="16">
        <v>43395</v>
      </c>
      <c r="N519" s="16">
        <v>43396</v>
      </c>
      <c r="R519" s="285"/>
    </row>
    <row r="520" spans="1:18">
      <c r="A520" t="s">
        <v>480</v>
      </c>
      <c r="C520" t="s">
        <v>3731</v>
      </c>
      <c r="D520">
        <v>1.9067000000000001</v>
      </c>
      <c r="E520">
        <v>20.886199999999999</v>
      </c>
      <c r="F520">
        <v>0.23430000000000001</v>
      </c>
      <c r="G520" s="284">
        <f t="shared" si="61"/>
        <v>21.1205</v>
      </c>
      <c r="H520" s="284">
        <v>20.896000000000001</v>
      </c>
      <c r="I520" s="284">
        <f>G520-H520</f>
        <v>0.22449999999999903</v>
      </c>
      <c r="J520" s="283">
        <f t="shared" si="62"/>
        <v>9.8000000000009746E-3</v>
      </c>
      <c r="K520" s="285">
        <f t="shared" si="63"/>
        <v>4.1826717883060072</v>
      </c>
      <c r="L520">
        <v>26</v>
      </c>
      <c r="M520" s="286">
        <v>43361</v>
      </c>
      <c r="N520" s="286">
        <v>43362</v>
      </c>
      <c r="O520" s="283" t="s">
        <v>3730</v>
      </c>
      <c r="R520" s="285"/>
    </row>
    <row r="521" spans="1:18">
      <c r="A521" t="s">
        <v>1075</v>
      </c>
      <c r="C521" t="s">
        <v>3709</v>
      </c>
      <c r="D521">
        <v>1.6353</v>
      </c>
      <c r="E521">
        <v>7.3182999999999998</v>
      </c>
      <c r="F521">
        <v>0.20880000000000001</v>
      </c>
      <c r="G521" s="284">
        <f t="shared" si="61"/>
        <v>7.5270999999999999</v>
      </c>
      <c r="H521" s="284">
        <v>7.3239000000000001</v>
      </c>
      <c r="I521" s="284">
        <f>(G521-H521)</f>
        <v>0.20319999999999983</v>
      </c>
      <c r="J521" s="283">
        <f t="shared" si="62"/>
        <v>5.6000000000001882E-3</v>
      </c>
      <c r="K521" s="285">
        <f t="shared" si="63"/>
        <v>2.6819923371648411</v>
      </c>
      <c r="L521">
        <v>3</v>
      </c>
      <c r="M521" s="286">
        <v>43360</v>
      </c>
      <c r="N521" s="286">
        <v>43361</v>
      </c>
      <c r="O521" s="283" t="s">
        <v>3707</v>
      </c>
      <c r="R521" s="285"/>
    </row>
    <row r="522" spans="1:18">
      <c r="A522" t="s">
        <v>479</v>
      </c>
      <c r="C522" t="s">
        <v>3755</v>
      </c>
      <c r="D522">
        <v>1.8557999999999999</v>
      </c>
      <c r="E522">
        <v>10.618600000000001</v>
      </c>
      <c r="F522">
        <v>0.20569999999999999</v>
      </c>
      <c r="G522" s="284">
        <f t="shared" si="61"/>
        <v>10.824300000000001</v>
      </c>
      <c r="H522" s="284">
        <v>10.624499999999999</v>
      </c>
      <c r="I522" s="284">
        <f t="shared" ref="I522:I532" si="64">G522-H522</f>
        <v>0.19980000000000153</v>
      </c>
      <c r="J522" s="283">
        <f t="shared" si="62"/>
        <v>5.899999999998462E-3</v>
      </c>
      <c r="K522" s="285">
        <f t="shared" si="63"/>
        <v>2.8682547399117464</v>
      </c>
      <c r="L522">
        <v>37</v>
      </c>
      <c r="M522" s="16">
        <v>43399</v>
      </c>
      <c r="N522" s="16">
        <v>43400</v>
      </c>
      <c r="R522" s="285"/>
    </row>
    <row r="523" spans="1:18">
      <c r="A523" t="s">
        <v>478</v>
      </c>
      <c r="C523" t="s">
        <v>3747</v>
      </c>
      <c r="D523">
        <v>1.7025399999999999</v>
      </c>
      <c r="E523">
        <v>8.0478000000000005</v>
      </c>
      <c r="F523">
        <v>0.21879999999999999</v>
      </c>
      <c r="G523" s="284">
        <f t="shared" si="61"/>
        <v>8.2666000000000004</v>
      </c>
      <c r="H523" s="284">
        <v>8.0533999999999999</v>
      </c>
      <c r="I523" s="284">
        <f t="shared" si="64"/>
        <v>0.2132000000000005</v>
      </c>
      <c r="J523" s="283">
        <f t="shared" si="62"/>
        <v>5.5999999999994943E-3</v>
      </c>
      <c r="K523" s="285">
        <f t="shared" si="63"/>
        <v>2.5594149908590014</v>
      </c>
      <c r="L523">
        <v>27</v>
      </c>
      <c r="M523" s="286">
        <v>43362</v>
      </c>
      <c r="N523" s="286">
        <v>43363</v>
      </c>
      <c r="R523" s="285"/>
    </row>
    <row r="524" spans="1:18">
      <c r="A524" t="s">
        <v>476</v>
      </c>
      <c r="B524">
        <v>214</v>
      </c>
      <c r="D524">
        <v>1.5124</v>
      </c>
      <c r="E524">
        <v>8.9591999999999992</v>
      </c>
      <c r="F524">
        <v>0.21529999999999999</v>
      </c>
      <c r="G524" s="284">
        <f t="shared" si="61"/>
        <v>9.1744999999999983</v>
      </c>
      <c r="H524" s="284">
        <v>8.9663000000000004</v>
      </c>
      <c r="I524" s="284">
        <f t="shared" si="64"/>
        <v>0.20819999999999794</v>
      </c>
      <c r="J524" s="283">
        <f t="shared" si="62"/>
        <v>7.1000000000020491E-3</v>
      </c>
      <c r="K524" s="285">
        <f t="shared" si="63"/>
        <v>3.297724105899698</v>
      </c>
      <c r="L524">
        <v>40</v>
      </c>
      <c r="M524" s="16">
        <v>43395</v>
      </c>
      <c r="N524" s="16">
        <v>43396</v>
      </c>
      <c r="R524" s="285"/>
    </row>
    <row r="525" spans="1:18">
      <c r="A525" t="s">
        <v>475</v>
      </c>
      <c r="C525" t="s">
        <v>3489</v>
      </c>
      <c r="D525">
        <v>1.7451000000000001</v>
      </c>
      <c r="E525">
        <v>7.8613999999999997</v>
      </c>
      <c r="F525">
        <v>0.2233</v>
      </c>
      <c r="G525" s="284">
        <f t="shared" si="61"/>
        <v>8.0846999999999998</v>
      </c>
      <c r="H525" s="284">
        <v>7.8697999999999997</v>
      </c>
      <c r="I525" s="284">
        <f t="shared" si="64"/>
        <v>0.21490000000000009</v>
      </c>
      <c r="J525" s="283">
        <f t="shared" si="62"/>
        <v>8.3999999999999075E-3</v>
      </c>
      <c r="K525" s="285">
        <f t="shared" si="63"/>
        <v>3.7617554858933753</v>
      </c>
      <c r="L525">
        <v>13</v>
      </c>
      <c r="M525">
        <v>23.101800000000001</v>
      </c>
      <c r="N525" s="16">
        <v>43397</v>
      </c>
      <c r="R525" s="285"/>
    </row>
    <row r="526" spans="1:18">
      <c r="A526" t="s">
        <v>474</v>
      </c>
      <c r="B526">
        <v>201</v>
      </c>
      <c r="D526">
        <v>1.5757000000000001</v>
      </c>
      <c r="E526">
        <v>11.0913</v>
      </c>
      <c r="F526">
        <v>0.2019</v>
      </c>
      <c r="G526" s="284">
        <f t="shared" si="61"/>
        <v>11.293200000000001</v>
      </c>
      <c r="H526" s="284">
        <v>11.104100000000001</v>
      </c>
      <c r="I526" s="284">
        <f t="shared" si="64"/>
        <v>0.18909999999999982</v>
      </c>
      <c r="J526" s="283">
        <f t="shared" si="62"/>
        <v>1.2800000000000172E-2</v>
      </c>
      <c r="K526" s="285">
        <f t="shared" si="63"/>
        <v>6.3397721644379263</v>
      </c>
      <c r="L526">
        <v>4</v>
      </c>
      <c r="M526">
        <v>23.101800000000001</v>
      </c>
      <c r="N526" s="16">
        <v>43397</v>
      </c>
      <c r="R526" s="285"/>
    </row>
    <row r="527" spans="1:18">
      <c r="A527" t="s">
        <v>472</v>
      </c>
      <c r="C527" t="s">
        <v>3746</v>
      </c>
      <c r="D527">
        <v>1.8531</v>
      </c>
      <c r="E527">
        <v>8.7042999999999999</v>
      </c>
      <c r="F527">
        <v>0.2114</v>
      </c>
      <c r="G527" s="288">
        <f t="shared" si="61"/>
        <v>8.9156999999999993</v>
      </c>
      <c r="H527" s="284">
        <v>8.7087000000000003</v>
      </c>
      <c r="I527" s="288">
        <f t="shared" si="64"/>
        <v>0.20699999999999896</v>
      </c>
      <c r="J527" s="283">
        <f t="shared" si="62"/>
        <v>4.400000000001042E-3</v>
      </c>
      <c r="K527" s="285">
        <f t="shared" si="63"/>
        <v>2.0813623462635014</v>
      </c>
      <c r="L527">
        <v>4</v>
      </c>
      <c r="M527" s="286">
        <v>43379</v>
      </c>
      <c r="N527" s="286">
        <v>43379</v>
      </c>
      <c r="O527" s="283"/>
      <c r="R527" s="285"/>
    </row>
    <row r="528" spans="1:18">
      <c r="A528" t="s">
        <v>470</v>
      </c>
      <c r="C528" t="s">
        <v>3435</v>
      </c>
      <c r="D528">
        <v>1.4959</v>
      </c>
      <c r="E528">
        <v>8.0965000000000007</v>
      </c>
      <c r="F528">
        <v>0.21079999999999999</v>
      </c>
      <c r="G528" s="288">
        <f t="shared" si="61"/>
        <v>8.3073000000000015</v>
      </c>
      <c r="H528" s="284">
        <v>8.1092999999999993</v>
      </c>
      <c r="I528" s="288">
        <f t="shared" si="64"/>
        <v>0.19800000000000217</v>
      </c>
      <c r="J528" s="283">
        <f t="shared" si="62"/>
        <v>1.2799999999997813E-2</v>
      </c>
      <c r="K528" s="285">
        <f t="shared" si="63"/>
        <v>6.0721062618585453</v>
      </c>
      <c r="L528">
        <v>36</v>
      </c>
      <c r="M528" s="286">
        <v>43379</v>
      </c>
      <c r="N528" s="286">
        <v>43379</v>
      </c>
      <c r="R528" s="285"/>
    </row>
    <row r="529" spans="1:18">
      <c r="A529" t="s">
        <v>469</v>
      </c>
      <c r="B529">
        <v>211</v>
      </c>
      <c r="D529">
        <v>1.3008</v>
      </c>
      <c r="E529">
        <v>10.677099999999999</v>
      </c>
      <c r="F529">
        <v>0.21679999999999999</v>
      </c>
      <c r="G529" s="284">
        <f t="shared" si="61"/>
        <v>10.893899999999999</v>
      </c>
      <c r="H529" s="284">
        <v>10.686199999999999</v>
      </c>
      <c r="I529" s="284">
        <f t="shared" si="64"/>
        <v>0.20769999999999911</v>
      </c>
      <c r="J529" s="283">
        <f t="shared" si="62"/>
        <v>9.1000000000008852E-3</v>
      </c>
      <c r="K529" s="285">
        <f t="shared" si="63"/>
        <v>4.1974169741701504</v>
      </c>
      <c r="L529">
        <v>3</v>
      </c>
      <c r="M529">
        <v>23.101800000000001</v>
      </c>
      <c r="N529" s="16">
        <v>43397</v>
      </c>
      <c r="R529" s="285"/>
    </row>
    <row r="530" spans="1:18">
      <c r="A530" t="s">
        <v>468</v>
      </c>
      <c r="C530" t="s">
        <v>3693</v>
      </c>
      <c r="D530">
        <v>1.3880999999999999</v>
      </c>
      <c r="E530">
        <v>8.2211999999999996</v>
      </c>
      <c r="F530">
        <v>0.20979999999999999</v>
      </c>
      <c r="G530" s="284">
        <f t="shared" si="61"/>
        <v>8.4309999999999992</v>
      </c>
      <c r="H530" s="284">
        <v>8.2405000000000008</v>
      </c>
      <c r="I530" s="284">
        <f t="shared" si="64"/>
        <v>0.19049999999999834</v>
      </c>
      <c r="J530" s="283">
        <f t="shared" si="62"/>
        <v>1.9300000000001649E-2</v>
      </c>
      <c r="K530" s="285">
        <f t="shared" si="63"/>
        <v>9.1992373689235691</v>
      </c>
      <c r="L530">
        <v>18</v>
      </c>
      <c r="M530" s="286">
        <v>43363</v>
      </c>
      <c r="N530" s="286">
        <v>43364</v>
      </c>
      <c r="O530" s="283" t="s">
        <v>3756</v>
      </c>
      <c r="R530" s="285"/>
    </row>
    <row r="531" spans="1:18">
      <c r="A531" t="s">
        <v>466</v>
      </c>
      <c r="C531" t="s">
        <v>3420</v>
      </c>
      <c r="D531">
        <v>0.95330000000000004</v>
      </c>
      <c r="E531">
        <v>21.075600000000001</v>
      </c>
      <c r="F531">
        <v>0.20039999999999999</v>
      </c>
      <c r="G531" s="284">
        <f t="shared" si="61"/>
        <v>21.276</v>
      </c>
      <c r="H531" s="284">
        <v>21.1403</v>
      </c>
      <c r="I531" s="284">
        <f t="shared" si="64"/>
        <v>0.13569999999999993</v>
      </c>
      <c r="J531" s="283">
        <f t="shared" si="62"/>
        <v>6.4700000000000063E-2</v>
      </c>
      <c r="K531" s="285">
        <f t="shared" si="63"/>
        <v>32.285429141716598</v>
      </c>
      <c r="L531">
        <v>42</v>
      </c>
      <c r="M531" s="286">
        <v>43363</v>
      </c>
      <c r="N531" s="286">
        <v>43364</v>
      </c>
      <c r="O531" s="283" t="s">
        <v>3756</v>
      </c>
      <c r="R531" s="285"/>
    </row>
    <row r="532" spans="1:18">
      <c r="A532" t="s">
        <v>465</v>
      </c>
      <c r="C532" t="s">
        <v>3459</v>
      </c>
      <c r="D532">
        <v>1.427</v>
      </c>
      <c r="E532">
        <v>9.0231999999999992</v>
      </c>
      <c r="F532">
        <v>0.2041</v>
      </c>
      <c r="G532" s="284">
        <f t="shared" si="61"/>
        <v>9.2272999999999996</v>
      </c>
      <c r="H532" s="284">
        <v>9.0401000000000007</v>
      </c>
      <c r="I532" s="284">
        <f t="shared" si="64"/>
        <v>0.18719999999999892</v>
      </c>
      <c r="J532" s="283">
        <f t="shared" si="62"/>
        <v>1.6900000000001081E-2</v>
      </c>
      <c r="K532" s="285">
        <f t="shared" si="63"/>
        <v>8.2802547770705939</v>
      </c>
      <c r="L532">
        <v>40</v>
      </c>
      <c r="M532" s="286">
        <v>43362</v>
      </c>
      <c r="N532" s="286">
        <v>43363</v>
      </c>
      <c r="R532" s="285"/>
    </row>
    <row r="533" spans="1:18">
      <c r="A533" t="s">
        <v>464</v>
      </c>
      <c r="C533" t="s">
        <v>3705</v>
      </c>
      <c r="D533">
        <v>1.8621000000000001</v>
      </c>
      <c r="E533">
        <v>7.3545999999999996</v>
      </c>
      <c r="F533">
        <v>0.22309999999999999</v>
      </c>
      <c r="G533" s="284">
        <f t="shared" si="61"/>
        <v>7.5776999999999992</v>
      </c>
      <c r="H533" s="284">
        <v>7.3631000000000002</v>
      </c>
      <c r="I533" s="284">
        <f>(G533-H533)</f>
        <v>0.21459999999999901</v>
      </c>
      <c r="J533" s="283">
        <f t="shared" si="62"/>
        <v>8.500000000000979E-3</v>
      </c>
      <c r="K533" s="285">
        <f t="shared" si="63"/>
        <v>3.8099506947561541</v>
      </c>
      <c r="L533">
        <v>42</v>
      </c>
      <c r="M533" s="286">
        <v>43360</v>
      </c>
      <c r="N533" s="286">
        <v>43361</v>
      </c>
      <c r="R533" s="285"/>
    </row>
    <row r="534" spans="1:18">
      <c r="A534" t="s">
        <v>463</v>
      </c>
      <c r="B534">
        <v>202</v>
      </c>
      <c r="C534" t="s">
        <v>2504</v>
      </c>
      <c r="D534">
        <v>1.4817</v>
      </c>
      <c r="E534">
        <v>8.734</v>
      </c>
      <c r="F534">
        <v>0.20230000000000001</v>
      </c>
      <c r="G534" s="284">
        <f t="shared" si="61"/>
        <v>8.9362999999999992</v>
      </c>
      <c r="H534" s="284">
        <v>8.7569999999999997</v>
      </c>
      <c r="I534" s="284">
        <f>G534-H534</f>
        <v>0.17929999999999957</v>
      </c>
      <c r="J534" s="283">
        <f t="shared" si="62"/>
        <v>2.3000000000000437E-2</v>
      </c>
      <c r="K534" s="285">
        <f t="shared" si="63"/>
        <v>11.369253583786671</v>
      </c>
      <c r="L534">
        <v>33</v>
      </c>
      <c r="M534" s="16">
        <v>43399</v>
      </c>
      <c r="N534" s="16">
        <v>43400</v>
      </c>
      <c r="R534" s="285"/>
    </row>
    <row r="535" spans="1:18">
      <c r="A535" t="s">
        <v>462</v>
      </c>
      <c r="B535">
        <v>214</v>
      </c>
      <c r="D535">
        <v>1.5709</v>
      </c>
      <c r="E535">
        <v>8.7352000000000007</v>
      </c>
      <c r="F535">
        <v>0.2084</v>
      </c>
      <c r="G535" s="284">
        <f t="shared" si="61"/>
        <v>8.9436</v>
      </c>
      <c r="H535" s="284">
        <v>8.7574000000000005</v>
      </c>
      <c r="I535" s="284">
        <f>G535-H535</f>
        <v>0.18619999999999948</v>
      </c>
      <c r="J535" s="283">
        <f t="shared" si="62"/>
        <v>2.2200000000000525E-2</v>
      </c>
      <c r="K535" s="285">
        <f t="shared" si="63"/>
        <v>10.652591170825588</v>
      </c>
      <c r="L535">
        <v>39</v>
      </c>
      <c r="M535" s="16">
        <v>43395</v>
      </c>
      <c r="N535" s="16">
        <v>43396</v>
      </c>
      <c r="R535" s="285"/>
    </row>
    <row r="536" spans="1:18">
      <c r="A536" t="s">
        <v>461</v>
      </c>
      <c r="B536">
        <v>209</v>
      </c>
      <c r="C536" t="s">
        <v>2504</v>
      </c>
      <c r="D536">
        <v>1.4972000000000001</v>
      </c>
      <c r="E536">
        <v>9.2225000000000001</v>
      </c>
      <c r="F536">
        <v>0.21579999999999999</v>
      </c>
      <c r="G536">
        <f t="shared" ref="G536:G537" si="65">E536+F536</f>
        <v>9.4382999999999999</v>
      </c>
      <c r="H536">
        <v>9.2308000000000003</v>
      </c>
      <c r="I536" s="284">
        <f>G536-H536</f>
        <v>0.20749999999999957</v>
      </c>
      <c r="J536" s="283">
        <f t="shared" ref="J536:J537" si="66">F536-I536</f>
        <v>8.3000000000004182E-3</v>
      </c>
      <c r="K536" s="285">
        <f t="shared" ref="K536:K537" si="67">(J536/F536)*100</f>
        <v>3.8461538461540399</v>
      </c>
      <c r="L536">
        <v>4</v>
      </c>
      <c r="M536" s="16">
        <v>43402</v>
      </c>
      <c r="N536" s="16">
        <v>43403</v>
      </c>
      <c r="R536" s="285"/>
    </row>
    <row r="537" spans="1:18">
      <c r="A537" t="s">
        <v>460</v>
      </c>
      <c r="C537" t="s">
        <v>3415</v>
      </c>
      <c r="D537">
        <v>1.5135000000000001</v>
      </c>
      <c r="E537">
        <v>20.898</v>
      </c>
      <c r="F537">
        <v>0.2021</v>
      </c>
      <c r="G537" s="284">
        <f t="shared" si="65"/>
        <v>21.100100000000001</v>
      </c>
      <c r="H537" s="284">
        <v>20.921700000000001</v>
      </c>
      <c r="I537" s="284">
        <f>G537-H537</f>
        <v>0.17839999999999989</v>
      </c>
      <c r="J537" s="283">
        <f t="shared" si="66"/>
        <v>2.370000000000011E-2</v>
      </c>
      <c r="K537" s="285">
        <f t="shared" si="67"/>
        <v>11.726867887184616</v>
      </c>
      <c r="L537">
        <v>38</v>
      </c>
      <c r="M537" s="286">
        <v>43363</v>
      </c>
      <c r="N537" s="286">
        <v>43364</v>
      </c>
      <c r="R537" s="285"/>
    </row>
    <row r="538" spans="1:18">
      <c r="A538" t="s">
        <v>459</v>
      </c>
      <c r="B538">
        <v>218</v>
      </c>
      <c r="D538">
        <v>0</v>
      </c>
      <c r="E538">
        <v>0</v>
      </c>
      <c r="F538">
        <v>0</v>
      </c>
      <c r="G538">
        <v>0</v>
      </c>
      <c r="H538">
        <v>0</v>
      </c>
      <c r="I538">
        <v>0</v>
      </c>
      <c r="J538">
        <v>0</v>
      </c>
      <c r="K538">
        <v>0</v>
      </c>
    </row>
    <row r="539" spans="1:18">
      <c r="A539" t="s">
        <v>458</v>
      </c>
      <c r="C539" t="s">
        <v>3702</v>
      </c>
      <c r="D539">
        <v>1.8384</v>
      </c>
      <c r="E539">
        <v>9.7210999999999999</v>
      </c>
      <c r="F539">
        <v>0.24</v>
      </c>
      <c r="G539" s="284">
        <f t="shared" ref="G539:G576" si="68">E539+F539</f>
        <v>9.9611000000000001</v>
      </c>
      <c r="H539" s="284">
        <v>9.7309999999999999</v>
      </c>
      <c r="I539" s="284">
        <f>(G539-H539)</f>
        <v>0.23010000000000019</v>
      </c>
      <c r="J539" s="283">
        <f t="shared" ref="J539:J570" si="69">F539-I539</f>
        <v>9.8999999999997979E-3</v>
      </c>
      <c r="K539" s="285">
        <f t="shared" ref="K539:K570" si="70">(J539/F539)*100</f>
        <v>4.1249999999999165</v>
      </c>
      <c r="L539">
        <v>37</v>
      </c>
      <c r="M539" s="286">
        <v>43360</v>
      </c>
      <c r="N539" s="286">
        <v>43361</v>
      </c>
      <c r="R539" s="285"/>
    </row>
    <row r="540" spans="1:18">
      <c r="A540" t="s">
        <v>457</v>
      </c>
      <c r="C540" t="s">
        <v>3469</v>
      </c>
      <c r="D540">
        <v>1.5762</v>
      </c>
      <c r="E540">
        <v>7.4819000000000004</v>
      </c>
      <c r="F540">
        <v>0.20100000000000001</v>
      </c>
      <c r="G540" s="284">
        <f t="shared" si="68"/>
        <v>7.6829000000000001</v>
      </c>
      <c r="H540" s="284">
        <v>7.4954999999999998</v>
      </c>
      <c r="I540" s="284">
        <f>G540-H540</f>
        <v>0.18740000000000023</v>
      </c>
      <c r="J540" s="283">
        <f t="shared" si="69"/>
        <v>1.3599999999999779E-2</v>
      </c>
      <c r="K540" s="285">
        <f t="shared" si="70"/>
        <v>6.766169154228745</v>
      </c>
      <c r="L540">
        <v>11</v>
      </c>
      <c r="M540" s="286">
        <v>43374</v>
      </c>
      <c r="N540" s="286">
        <v>43375</v>
      </c>
      <c r="O540" s="283" t="s">
        <v>3730</v>
      </c>
      <c r="R540" s="285"/>
    </row>
    <row r="541" spans="1:18">
      <c r="A541" t="s">
        <v>455</v>
      </c>
      <c r="C541" t="s">
        <v>3466</v>
      </c>
      <c r="D541">
        <v>1.6233</v>
      </c>
      <c r="E541">
        <v>8.7615999999999996</v>
      </c>
      <c r="F541">
        <v>0.20699999999999999</v>
      </c>
      <c r="G541" s="284">
        <f t="shared" si="68"/>
        <v>8.9686000000000003</v>
      </c>
      <c r="H541" s="284">
        <v>8.7857000000000003</v>
      </c>
      <c r="I541" s="284">
        <f>G541-H541</f>
        <v>0.18290000000000006</v>
      </c>
      <c r="J541" s="283">
        <f t="shared" si="69"/>
        <v>2.4099999999999927E-2</v>
      </c>
      <c r="K541" s="285">
        <f t="shared" si="70"/>
        <v>11.642512077294652</v>
      </c>
      <c r="L541">
        <v>25</v>
      </c>
      <c r="M541" s="16">
        <v>43399</v>
      </c>
      <c r="N541" s="16">
        <v>43400</v>
      </c>
      <c r="R541" s="285"/>
    </row>
    <row r="542" spans="1:18">
      <c r="A542" t="s">
        <v>454</v>
      </c>
      <c r="B542">
        <v>203</v>
      </c>
      <c r="C542" t="s">
        <v>2504</v>
      </c>
      <c r="D542">
        <v>1.6259999999999999</v>
      </c>
      <c r="E542">
        <v>8.8458000000000006</v>
      </c>
      <c r="F542">
        <v>0.2016</v>
      </c>
      <c r="G542">
        <f t="shared" si="68"/>
        <v>9.0473999999999997</v>
      </c>
      <c r="H542">
        <v>8.8603000000000005</v>
      </c>
      <c r="I542" s="284">
        <f>G542-H542</f>
        <v>0.18709999999999916</v>
      </c>
      <c r="J542" s="283">
        <f t="shared" si="69"/>
        <v>1.4500000000000846E-2</v>
      </c>
      <c r="K542" s="285">
        <f t="shared" si="70"/>
        <v>7.1924603174607373</v>
      </c>
      <c r="L542">
        <v>27</v>
      </c>
      <c r="M542" s="16">
        <v>43399</v>
      </c>
      <c r="N542" s="16">
        <v>43400</v>
      </c>
      <c r="R542" s="285"/>
    </row>
    <row r="543" spans="1:18">
      <c r="A543" t="s">
        <v>453</v>
      </c>
      <c r="B543">
        <v>206</v>
      </c>
      <c r="C543" t="s">
        <v>2504</v>
      </c>
      <c r="D543">
        <v>3.2006000000000001</v>
      </c>
      <c r="E543">
        <v>7.8619000000000003</v>
      </c>
      <c r="F543">
        <v>0.2109</v>
      </c>
      <c r="G543">
        <f t="shared" si="68"/>
        <v>8.0728000000000009</v>
      </c>
      <c r="H543">
        <v>8.0627999999999993</v>
      </c>
      <c r="I543" s="284">
        <f>G543-H543</f>
        <v>1.0000000000001563E-2</v>
      </c>
      <c r="J543" s="283">
        <f t="shared" si="69"/>
        <v>0.20089999999999844</v>
      </c>
      <c r="K543" s="285">
        <f t="shared" si="70"/>
        <v>95.258416311047142</v>
      </c>
      <c r="L543">
        <v>32</v>
      </c>
      <c r="M543" s="16">
        <v>43399</v>
      </c>
      <c r="N543" s="16">
        <v>43400</v>
      </c>
      <c r="P543" t="s">
        <v>3791</v>
      </c>
      <c r="R543" s="285"/>
    </row>
    <row r="544" spans="1:18">
      <c r="A544" t="s">
        <v>450</v>
      </c>
      <c r="C544" t="s">
        <v>3699</v>
      </c>
      <c r="D544">
        <v>1.7596000000000001</v>
      </c>
      <c r="E544">
        <v>8.1327999999999996</v>
      </c>
      <c r="F544">
        <v>0.2024</v>
      </c>
      <c r="G544" s="284">
        <f t="shared" si="68"/>
        <v>8.3352000000000004</v>
      </c>
      <c r="H544" s="284">
        <v>8.1370000000000005</v>
      </c>
      <c r="I544" s="284">
        <f>(G544-H544)</f>
        <v>0.19819999999999993</v>
      </c>
      <c r="J544" s="283">
        <f t="shared" si="69"/>
        <v>4.2000000000000648E-3</v>
      </c>
      <c r="K544" s="285">
        <f t="shared" si="70"/>
        <v>2.075098814229281</v>
      </c>
      <c r="L544">
        <v>18</v>
      </c>
      <c r="M544" s="286">
        <v>43360</v>
      </c>
      <c r="N544" s="286">
        <v>43361</v>
      </c>
      <c r="O544" s="283" t="s">
        <v>3707</v>
      </c>
      <c r="R544" s="285"/>
    </row>
    <row r="545" spans="1:18">
      <c r="A545" t="s">
        <v>448</v>
      </c>
      <c r="C545" t="s">
        <v>3704</v>
      </c>
      <c r="D545">
        <v>1.8503000000000001</v>
      </c>
      <c r="E545">
        <v>11.161</v>
      </c>
      <c r="F545">
        <v>0.2228</v>
      </c>
      <c r="G545" s="288">
        <f t="shared" si="68"/>
        <v>11.383799999999999</v>
      </c>
      <c r="H545" s="284">
        <v>11.169600000000001</v>
      </c>
      <c r="I545" s="288">
        <f>G545-H545</f>
        <v>0.21419999999999817</v>
      </c>
      <c r="J545" s="283">
        <f t="shared" si="69"/>
        <v>8.6000000000018284E-3</v>
      </c>
      <c r="K545" s="285">
        <f t="shared" si="70"/>
        <v>3.8599640933580917</v>
      </c>
      <c r="L545">
        <v>33</v>
      </c>
      <c r="M545" s="286">
        <v>43379</v>
      </c>
      <c r="N545" s="286">
        <v>43379</v>
      </c>
      <c r="R545" s="285"/>
    </row>
    <row r="546" spans="1:18">
      <c r="A546" t="s">
        <v>447</v>
      </c>
      <c r="B546">
        <v>197</v>
      </c>
      <c r="D546">
        <v>1.4258</v>
      </c>
      <c r="E546">
        <v>11.259</v>
      </c>
      <c r="F546">
        <v>0.22670000000000001</v>
      </c>
      <c r="G546" s="284">
        <f t="shared" si="68"/>
        <v>11.4857</v>
      </c>
      <c r="H546" s="284">
        <v>11.273999999999999</v>
      </c>
      <c r="I546" s="284">
        <f>G546-H546</f>
        <v>0.21170000000000044</v>
      </c>
      <c r="J546" s="283">
        <f t="shared" si="69"/>
        <v>1.4999999999999569E-2</v>
      </c>
      <c r="K546" s="285">
        <f t="shared" si="70"/>
        <v>6.6166740185264974</v>
      </c>
      <c r="L546">
        <v>21</v>
      </c>
      <c r="M546" s="16">
        <v>43388</v>
      </c>
      <c r="N546" s="286">
        <v>43389</v>
      </c>
      <c r="O546" s="16"/>
      <c r="R546" s="285"/>
    </row>
    <row r="547" spans="1:18">
      <c r="A547" t="s">
        <v>446</v>
      </c>
      <c r="C547" t="s">
        <v>3472</v>
      </c>
      <c r="D547">
        <v>1.6752</v>
      </c>
      <c r="E547">
        <v>11.9047</v>
      </c>
      <c r="F547">
        <v>0.21129999999999999</v>
      </c>
      <c r="G547" s="284">
        <f t="shared" si="68"/>
        <v>12.116</v>
      </c>
      <c r="H547" s="284">
        <v>11.92</v>
      </c>
      <c r="I547" s="284">
        <f>G547-H547</f>
        <v>0.19599999999999973</v>
      </c>
      <c r="J547" s="283">
        <f t="shared" si="69"/>
        <v>1.5300000000000258E-2</v>
      </c>
      <c r="K547" s="285">
        <f t="shared" si="70"/>
        <v>7.2408897302414861</v>
      </c>
      <c r="L547">
        <v>3</v>
      </c>
      <c r="M547" s="286">
        <v>43374</v>
      </c>
      <c r="N547" s="286">
        <v>43375</v>
      </c>
      <c r="O547" s="283" t="s">
        <v>3730</v>
      </c>
      <c r="R547" s="285"/>
    </row>
    <row r="548" spans="1:18">
      <c r="A548" t="s">
        <v>445</v>
      </c>
      <c r="C548" t="s">
        <v>3462</v>
      </c>
      <c r="D548">
        <v>1.6236999999999999</v>
      </c>
      <c r="E548">
        <v>8.1190999999999995</v>
      </c>
      <c r="F548">
        <v>0.20100000000000001</v>
      </c>
      <c r="G548" s="288">
        <f t="shared" si="68"/>
        <v>8.3201000000000001</v>
      </c>
      <c r="H548" s="284">
        <v>8.1289999999999996</v>
      </c>
      <c r="I548" s="288">
        <f>G548-H548</f>
        <v>0.19110000000000049</v>
      </c>
      <c r="J548" s="283">
        <f t="shared" si="69"/>
        <v>9.8999999999995203E-3</v>
      </c>
      <c r="K548" s="285">
        <f t="shared" si="70"/>
        <v>4.9253731343281189</v>
      </c>
      <c r="L548">
        <v>7</v>
      </c>
      <c r="M548" s="286">
        <v>43379</v>
      </c>
      <c r="N548" s="286">
        <v>43379</v>
      </c>
      <c r="O548" s="283"/>
      <c r="R548" s="285"/>
    </row>
    <row r="549" spans="1:18">
      <c r="A549" t="s">
        <v>444</v>
      </c>
      <c r="B549">
        <v>193</v>
      </c>
      <c r="D549">
        <v>1.2557</v>
      </c>
      <c r="E549">
        <v>8.0960000000000001</v>
      </c>
      <c r="F549">
        <v>0.23080000000000001</v>
      </c>
      <c r="G549" s="284">
        <f t="shared" si="68"/>
        <v>8.3268000000000004</v>
      </c>
      <c r="H549" s="284">
        <v>8.1158000000000001</v>
      </c>
      <c r="I549" s="284">
        <f>G549-H549</f>
        <v>0.2110000000000003</v>
      </c>
      <c r="J549" s="283">
        <f t="shared" si="69"/>
        <v>1.9799999999999707E-2</v>
      </c>
      <c r="K549" s="285">
        <f t="shared" si="70"/>
        <v>8.5788561525128699</v>
      </c>
      <c r="L549">
        <v>38</v>
      </c>
      <c r="M549" s="16">
        <v>43388</v>
      </c>
      <c r="N549" s="286">
        <v>43389</v>
      </c>
      <c r="O549" s="16"/>
      <c r="R549" s="285"/>
    </row>
    <row r="550" spans="1:18">
      <c r="A550" t="s">
        <v>443</v>
      </c>
      <c r="C550" t="s">
        <v>3669</v>
      </c>
      <c r="D550">
        <v>1.8042</v>
      </c>
      <c r="E550">
        <v>7.3540999999999999</v>
      </c>
      <c r="F550">
        <v>0.20569999999999999</v>
      </c>
      <c r="G550" s="284">
        <f t="shared" si="68"/>
        <v>7.5598000000000001</v>
      </c>
      <c r="H550" s="284">
        <v>7.3587999999999996</v>
      </c>
      <c r="I550" s="284">
        <f>(G550-H550)</f>
        <v>0.20100000000000051</v>
      </c>
      <c r="J550" s="283">
        <f t="shared" si="69"/>
        <v>4.6999999999994824E-3</v>
      </c>
      <c r="K550" s="285">
        <f t="shared" si="70"/>
        <v>2.2848808945063115</v>
      </c>
      <c r="L550">
        <v>22</v>
      </c>
      <c r="M550" s="16">
        <v>43358</v>
      </c>
      <c r="N550" s="16">
        <v>43358</v>
      </c>
      <c r="R550" s="285"/>
    </row>
    <row r="551" spans="1:18">
      <c r="A551" t="s">
        <v>442</v>
      </c>
      <c r="C551" t="s">
        <v>3767</v>
      </c>
      <c r="D551">
        <v>1.6237999999999999</v>
      </c>
      <c r="E551">
        <v>11.1555</v>
      </c>
      <c r="F551">
        <v>0.22109999999999999</v>
      </c>
      <c r="G551" s="284">
        <f t="shared" si="68"/>
        <v>11.3766</v>
      </c>
      <c r="H551" s="284">
        <v>11.1755</v>
      </c>
      <c r="I551" s="284">
        <f>G551-H551</f>
        <v>0.20110000000000028</v>
      </c>
      <c r="J551" s="283">
        <f t="shared" si="69"/>
        <v>1.9999999999999712E-2</v>
      </c>
      <c r="K551" s="285">
        <f t="shared" si="70"/>
        <v>9.0456806874716023</v>
      </c>
      <c r="L551">
        <v>22</v>
      </c>
      <c r="M551" s="286">
        <v>43374</v>
      </c>
      <c r="N551" s="286">
        <v>43375</v>
      </c>
      <c r="O551" s="283" t="s">
        <v>3730</v>
      </c>
      <c r="R551" s="285"/>
    </row>
    <row r="552" spans="1:18">
      <c r="A552" t="s">
        <v>441</v>
      </c>
      <c r="C552" t="s">
        <v>3668</v>
      </c>
      <c r="D552">
        <v>1.8461000000000001</v>
      </c>
      <c r="E552">
        <v>7.0926999999999998</v>
      </c>
      <c r="F552">
        <v>0.19989999999999999</v>
      </c>
      <c r="G552" s="284">
        <f t="shared" si="68"/>
        <v>7.2926000000000002</v>
      </c>
      <c r="H552" s="284">
        <v>7.0994999999999999</v>
      </c>
      <c r="I552" s="284">
        <f>(G552-H552)</f>
        <v>0.19310000000000027</v>
      </c>
      <c r="J552" s="283">
        <f t="shared" si="69"/>
        <v>6.7999999999997229E-3</v>
      </c>
      <c r="K552" s="285">
        <f t="shared" si="70"/>
        <v>3.4017008504250739</v>
      </c>
      <c r="L552">
        <v>7</v>
      </c>
      <c r="M552" s="16">
        <v>43358</v>
      </c>
      <c r="N552" s="16">
        <v>43358</v>
      </c>
      <c r="R552" s="285"/>
    </row>
    <row r="553" spans="1:18">
      <c r="A553" t="s">
        <v>440</v>
      </c>
      <c r="B553">
        <v>213</v>
      </c>
      <c r="D553">
        <v>1.5916999999999999</v>
      </c>
      <c r="E553">
        <v>7.9617000000000004</v>
      </c>
      <c r="F553">
        <v>0.20119999999999999</v>
      </c>
      <c r="G553" s="284">
        <f t="shared" si="68"/>
        <v>8.1629000000000005</v>
      </c>
      <c r="H553" s="284">
        <v>7.9724000000000004</v>
      </c>
      <c r="I553" s="284">
        <f>G553-H553</f>
        <v>0.19050000000000011</v>
      </c>
      <c r="J553" s="283">
        <f t="shared" si="69"/>
        <v>1.0699999999999876E-2</v>
      </c>
      <c r="K553" s="285">
        <f t="shared" si="70"/>
        <v>5.3180914512921857</v>
      </c>
      <c r="L553">
        <v>25</v>
      </c>
      <c r="M553" s="16">
        <v>43388</v>
      </c>
      <c r="N553" s="286">
        <v>43389</v>
      </c>
      <c r="O553" s="16"/>
      <c r="R553" s="285"/>
    </row>
    <row r="554" spans="1:18">
      <c r="A554" t="s">
        <v>438</v>
      </c>
      <c r="C554" t="s">
        <v>3682</v>
      </c>
      <c r="D554">
        <v>1.6721999999999999</v>
      </c>
      <c r="E554">
        <v>10.5037</v>
      </c>
      <c r="F554">
        <v>0.223</v>
      </c>
      <c r="G554" s="284">
        <f t="shared" si="68"/>
        <v>10.726700000000001</v>
      </c>
      <c r="H554" s="284">
        <v>10.5131</v>
      </c>
      <c r="I554" s="284">
        <f>(G554-H554)</f>
        <v>0.21360000000000134</v>
      </c>
      <c r="J554" s="283">
        <f t="shared" si="69"/>
        <v>9.3999999999986594E-3</v>
      </c>
      <c r="K554" s="285">
        <f t="shared" si="70"/>
        <v>4.2152466367706989</v>
      </c>
      <c r="L554">
        <v>5</v>
      </c>
      <c r="M554" s="286">
        <v>43360</v>
      </c>
      <c r="N554" s="286">
        <v>43361</v>
      </c>
      <c r="O554" s="283"/>
      <c r="R554" s="285"/>
    </row>
    <row r="555" spans="1:18">
      <c r="A555" t="s">
        <v>437</v>
      </c>
      <c r="C555" t="s">
        <v>3431</v>
      </c>
      <c r="D555">
        <v>1.5290999999999999</v>
      </c>
      <c r="E555">
        <v>9.8880999999999997</v>
      </c>
      <c r="F555">
        <v>0.20960000000000001</v>
      </c>
      <c r="G555" s="284">
        <f t="shared" si="68"/>
        <v>10.0977</v>
      </c>
      <c r="H555" s="284">
        <v>9.9144000000000005</v>
      </c>
      <c r="I555" s="284">
        <f t="shared" ref="I555:I564" si="71">G555-H555</f>
        <v>0.18329999999999913</v>
      </c>
      <c r="J555" s="283">
        <f t="shared" si="69"/>
        <v>2.6300000000000878E-2</v>
      </c>
      <c r="K555" s="285">
        <f t="shared" si="70"/>
        <v>12.547709923664542</v>
      </c>
      <c r="L555">
        <v>28</v>
      </c>
      <c r="M555">
        <v>23.101800000000001</v>
      </c>
      <c r="N555" s="16">
        <v>43397</v>
      </c>
      <c r="R555" s="285"/>
    </row>
    <row r="556" spans="1:18">
      <c r="A556" t="s">
        <v>436</v>
      </c>
      <c r="C556" t="s">
        <v>3489</v>
      </c>
      <c r="D556">
        <v>1.7666999999999999</v>
      </c>
      <c r="E556">
        <v>9.4878</v>
      </c>
      <c r="F556">
        <v>0.20330000000000001</v>
      </c>
      <c r="G556" s="284">
        <f t="shared" si="68"/>
        <v>9.6911000000000005</v>
      </c>
      <c r="H556" s="284">
        <v>9.4940999999999995</v>
      </c>
      <c r="I556" s="284">
        <f t="shared" si="71"/>
        <v>0.19700000000000095</v>
      </c>
      <c r="J556" s="283">
        <f t="shared" si="69"/>
        <v>6.2999999999990564E-3</v>
      </c>
      <c r="K556" s="285">
        <f t="shared" si="70"/>
        <v>3.0988686669941248</v>
      </c>
      <c r="L556">
        <v>36</v>
      </c>
      <c r="M556" s="286">
        <v>43363</v>
      </c>
      <c r="N556" s="286">
        <v>43364</v>
      </c>
      <c r="O556" s="283" t="s">
        <v>3756</v>
      </c>
      <c r="R556" s="285"/>
    </row>
    <row r="557" spans="1:18">
      <c r="A557" t="s">
        <v>435</v>
      </c>
      <c r="C557" t="s">
        <v>3748</v>
      </c>
      <c r="D557">
        <v>1.7797000000000001</v>
      </c>
      <c r="E557">
        <v>8.1206999999999994</v>
      </c>
      <c r="F557">
        <v>0.21329999999999999</v>
      </c>
      <c r="G557" s="284">
        <f t="shared" si="68"/>
        <v>8.3339999999999996</v>
      </c>
      <c r="H557" s="284">
        <v>8.1259999999999994</v>
      </c>
      <c r="I557" s="284">
        <f t="shared" si="71"/>
        <v>0.20800000000000018</v>
      </c>
      <c r="J557" s="283">
        <f t="shared" si="69"/>
        <v>5.2999999999998049E-3</v>
      </c>
      <c r="K557" s="285">
        <f t="shared" si="70"/>
        <v>2.4847632442568237</v>
      </c>
      <c r="L557">
        <v>27</v>
      </c>
      <c r="M557" s="16">
        <v>43381</v>
      </c>
      <c r="N557" s="16">
        <v>43382</v>
      </c>
      <c r="R557" s="285"/>
    </row>
    <row r="558" spans="1:18">
      <c r="A558" t="s">
        <v>434</v>
      </c>
      <c r="C558" t="s">
        <v>3742</v>
      </c>
      <c r="D558">
        <v>1.9027000000000001</v>
      </c>
      <c r="E558">
        <v>11.257899999999999</v>
      </c>
      <c r="F558">
        <v>0.2127</v>
      </c>
      <c r="G558" s="284">
        <f t="shared" si="68"/>
        <v>11.470599999999999</v>
      </c>
      <c r="H558" s="284">
        <v>11.265599999999999</v>
      </c>
      <c r="I558" s="284">
        <f t="shared" si="71"/>
        <v>0.20500000000000007</v>
      </c>
      <c r="J558" s="283">
        <f t="shared" si="69"/>
        <v>7.6999999999999291E-3</v>
      </c>
      <c r="K558" s="285">
        <f t="shared" si="70"/>
        <v>3.6201222378937139</v>
      </c>
      <c r="L558">
        <v>16</v>
      </c>
      <c r="M558" s="286">
        <v>43362</v>
      </c>
      <c r="N558" s="286">
        <v>43363</v>
      </c>
      <c r="O558" s="283"/>
      <c r="R558" s="285"/>
    </row>
    <row r="559" spans="1:18">
      <c r="A559" t="s">
        <v>433</v>
      </c>
      <c r="C559" t="s">
        <v>3428</v>
      </c>
      <c r="D559">
        <v>1.4073</v>
      </c>
      <c r="E559">
        <v>10.8559</v>
      </c>
      <c r="F559">
        <v>0.20549999999999999</v>
      </c>
      <c r="G559" s="284">
        <f t="shared" si="68"/>
        <v>11.061400000000001</v>
      </c>
      <c r="H559" s="284">
        <v>10.872199999999999</v>
      </c>
      <c r="I559" s="284">
        <f t="shared" si="71"/>
        <v>0.18920000000000137</v>
      </c>
      <c r="J559" s="283">
        <f t="shared" si="69"/>
        <v>1.6299999999998621E-2</v>
      </c>
      <c r="K559" s="285">
        <f t="shared" si="70"/>
        <v>7.9318734793180647</v>
      </c>
      <c r="L559">
        <v>38</v>
      </c>
      <c r="M559" s="286">
        <v>43363</v>
      </c>
      <c r="N559" s="286">
        <v>43364</v>
      </c>
      <c r="O559" s="283" t="s">
        <v>3756</v>
      </c>
      <c r="R559" s="285"/>
    </row>
    <row r="560" spans="1:18">
      <c r="A560" t="s">
        <v>432</v>
      </c>
      <c r="C560" t="s">
        <v>3758</v>
      </c>
      <c r="D560">
        <v>1.6654</v>
      </c>
      <c r="E560">
        <v>8.0650999999999993</v>
      </c>
      <c r="F560">
        <v>0.21160000000000001</v>
      </c>
      <c r="G560" s="284">
        <f t="shared" si="68"/>
        <v>8.2766999999999999</v>
      </c>
      <c r="H560" s="284">
        <v>8.0739999999999998</v>
      </c>
      <c r="I560" s="284">
        <f t="shared" si="71"/>
        <v>0.2027000000000001</v>
      </c>
      <c r="J560" s="283">
        <f t="shared" si="69"/>
        <v>8.899999999999908E-3</v>
      </c>
      <c r="K560" s="285">
        <f t="shared" si="70"/>
        <v>4.2060491493383303</v>
      </c>
      <c r="L560">
        <v>13</v>
      </c>
      <c r="M560" s="286">
        <v>43363</v>
      </c>
      <c r="N560" s="286">
        <v>43364</v>
      </c>
      <c r="O560" s="283"/>
      <c r="R560" s="285"/>
    </row>
    <row r="561" spans="1:19">
      <c r="A561" t="s">
        <v>431</v>
      </c>
      <c r="B561">
        <v>204</v>
      </c>
      <c r="C561" t="s">
        <v>2504</v>
      </c>
      <c r="D561">
        <v>1.5386</v>
      </c>
      <c r="E561">
        <v>10.677</v>
      </c>
      <c r="F561">
        <v>0.23350000000000001</v>
      </c>
      <c r="G561">
        <f t="shared" si="68"/>
        <v>10.910499999999999</v>
      </c>
      <c r="H561">
        <v>10.690899999999999</v>
      </c>
      <c r="I561" s="284">
        <f t="shared" si="71"/>
        <v>0.2195999999999998</v>
      </c>
      <c r="J561" s="283">
        <f t="shared" si="69"/>
        <v>1.3900000000000218E-2</v>
      </c>
      <c r="K561" s="285">
        <f t="shared" si="70"/>
        <v>5.9528907922913135</v>
      </c>
      <c r="L561">
        <v>36</v>
      </c>
      <c r="M561" s="16">
        <v>43399</v>
      </c>
      <c r="N561" s="16">
        <v>43400</v>
      </c>
      <c r="R561" s="285"/>
    </row>
    <row r="562" spans="1:19">
      <c r="A562" t="s">
        <v>430</v>
      </c>
      <c r="B562">
        <v>196</v>
      </c>
      <c r="D562">
        <v>1.7162999999999999</v>
      </c>
      <c r="E562">
        <v>7.0763999999999996</v>
      </c>
      <c r="F562">
        <v>0.2036</v>
      </c>
      <c r="G562" s="284">
        <f t="shared" si="68"/>
        <v>7.2799999999999994</v>
      </c>
      <c r="H562" s="284">
        <v>7.0815999999999999</v>
      </c>
      <c r="I562" s="284">
        <f t="shared" si="71"/>
        <v>0.19839999999999947</v>
      </c>
      <c r="J562" s="283">
        <f t="shared" si="69"/>
        <v>5.2000000000005375E-3</v>
      </c>
      <c r="K562" s="285">
        <f t="shared" si="70"/>
        <v>2.5540275049118555</v>
      </c>
      <c r="L562">
        <v>31</v>
      </c>
      <c r="M562" s="16">
        <v>43388</v>
      </c>
      <c r="N562" s="286">
        <v>43389</v>
      </c>
      <c r="O562" s="16"/>
      <c r="R562" s="285"/>
    </row>
    <row r="563" spans="1:19">
      <c r="A563" t="s">
        <v>429</v>
      </c>
      <c r="C563" t="s">
        <v>3458</v>
      </c>
      <c r="D563">
        <v>1.5687</v>
      </c>
      <c r="E563">
        <v>21.209199999999999</v>
      </c>
      <c r="F563">
        <v>0.20300000000000001</v>
      </c>
      <c r="G563" s="284">
        <f t="shared" si="68"/>
        <v>21.412199999999999</v>
      </c>
      <c r="H563" s="284">
        <v>21.238099999999999</v>
      </c>
      <c r="I563" s="284">
        <f t="shared" si="71"/>
        <v>0.17409999999999926</v>
      </c>
      <c r="J563" s="283">
        <f t="shared" si="69"/>
        <v>2.8900000000000758E-2</v>
      </c>
      <c r="K563" s="285">
        <f t="shared" si="70"/>
        <v>14.236453201970816</v>
      </c>
      <c r="L563">
        <v>5</v>
      </c>
      <c r="M563" s="286">
        <v>43362</v>
      </c>
      <c r="N563" s="286">
        <v>43363</v>
      </c>
      <c r="O563" s="283"/>
      <c r="R563" s="285"/>
    </row>
    <row r="564" spans="1:19">
      <c r="A564" t="s">
        <v>428</v>
      </c>
      <c r="B564">
        <v>198</v>
      </c>
      <c r="D564">
        <v>1.5419</v>
      </c>
      <c r="E564">
        <v>9.0214999999999996</v>
      </c>
      <c r="F564">
        <v>0.2021</v>
      </c>
      <c r="G564" s="284">
        <f t="shared" si="68"/>
        <v>9.2235999999999994</v>
      </c>
      <c r="H564" s="284">
        <v>9.0299999999999994</v>
      </c>
      <c r="I564" s="284">
        <f t="shared" si="71"/>
        <v>0.19359999999999999</v>
      </c>
      <c r="J564" s="283">
        <f t="shared" si="69"/>
        <v>8.5000000000000075E-3</v>
      </c>
      <c r="K564" s="285">
        <f t="shared" si="70"/>
        <v>4.205838693715986</v>
      </c>
      <c r="L564">
        <v>33</v>
      </c>
      <c r="M564" s="16">
        <v>43388</v>
      </c>
      <c r="N564" s="286">
        <v>43389</v>
      </c>
      <c r="O564" s="16"/>
      <c r="R564" s="285"/>
    </row>
    <row r="565" spans="1:19">
      <c r="A565" t="s">
        <v>427</v>
      </c>
      <c r="C565" t="s">
        <v>3677</v>
      </c>
      <c r="D565">
        <v>1.8376999999999999</v>
      </c>
      <c r="E565">
        <v>11.0549</v>
      </c>
      <c r="F565">
        <v>0.20349999999999999</v>
      </c>
      <c r="G565" s="284">
        <f t="shared" si="68"/>
        <v>11.2584</v>
      </c>
      <c r="H565" s="284">
        <v>11.0593</v>
      </c>
      <c r="I565" s="284">
        <f>(G565-H565)</f>
        <v>0.19909999999999961</v>
      </c>
      <c r="J565" s="283">
        <f t="shared" si="69"/>
        <v>4.4000000000003758E-3</v>
      </c>
      <c r="K565" s="285">
        <f t="shared" si="70"/>
        <v>2.162162162162347</v>
      </c>
      <c r="L565">
        <v>32</v>
      </c>
      <c r="M565" s="16">
        <v>43358</v>
      </c>
      <c r="N565" s="16">
        <v>43358</v>
      </c>
      <c r="R565" s="285"/>
    </row>
    <row r="566" spans="1:19">
      <c r="A566" t="s">
        <v>426</v>
      </c>
      <c r="C566" t="s">
        <v>3711</v>
      </c>
      <c r="D566">
        <v>1.8581000000000001</v>
      </c>
      <c r="E566">
        <v>7.0766999999999998</v>
      </c>
      <c r="F566">
        <v>0.20610000000000001</v>
      </c>
      <c r="G566" s="284">
        <f t="shared" si="68"/>
        <v>7.2827999999999999</v>
      </c>
      <c r="H566" s="284">
        <v>7.0818000000000003</v>
      </c>
      <c r="I566" s="284">
        <f>(G566-H566)</f>
        <v>0.20099999999999962</v>
      </c>
      <c r="J566" s="283">
        <f t="shared" si="69"/>
        <v>5.100000000000382E-3</v>
      </c>
      <c r="K566" s="285">
        <f t="shared" si="70"/>
        <v>2.4745269286755853</v>
      </c>
      <c r="L566">
        <v>7</v>
      </c>
      <c r="M566" s="286">
        <v>43360</v>
      </c>
      <c r="N566" s="286">
        <v>43361</v>
      </c>
      <c r="O566" s="283" t="s">
        <v>3707</v>
      </c>
      <c r="R566" s="285"/>
    </row>
    <row r="567" spans="1:19">
      <c r="A567" t="s">
        <v>425</v>
      </c>
      <c r="C567" t="s">
        <v>3679</v>
      </c>
      <c r="D567">
        <v>1.6758</v>
      </c>
      <c r="E567">
        <v>20.044699999999999</v>
      </c>
      <c r="F567">
        <v>0.22570000000000001</v>
      </c>
      <c r="G567" s="284">
        <f t="shared" si="68"/>
        <v>20.270399999999999</v>
      </c>
      <c r="H567" s="284">
        <v>20.054600000000001</v>
      </c>
      <c r="I567" s="284">
        <f>G567-H567</f>
        <v>0.21579999999999799</v>
      </c>
      <c r="J567" s="283">
        <f t="shared" si="69"/>
        <v>9.9000000000020183E-3</v>
      </c>
      <c r="K567" s="285">
        <f t="shared" si="70"/>
        <v>4.3863535666823292</v>
      </c>
      <c r="L567">
        <v>34</v>
      </c>
      <c r="M567" s="286">
        <v>43361</v>
      </c>
      <c r="N567" s="286">
        <v>43362</v>
      </c>
      <c r="O567" s="283" t="s">
        <v>3730</v>
      </c>
      <c r="R567" s="285"/>
    </row>
    <row r="568" spans="1:19">
      <c r="A568" t="s">
        <v>424</v>
      </c>
      <c r="C568" t="s">
        <v>3412</v>
      </c>
      <c r="D568">
        <v>1.696</v>
      </c>
      <c r="E568">
        <v>8.1326999999999998</v>
      </c>
      <c r="F568">
        <v>0.20660000000000001</v>
      </c>
      <c r="G568" s="284">
        <f t="shared" si="68"/>
        <v>8.3392999999999997</v>
      </c>
      <c r="H568" s="284">
        <v>8.1448999999999998</v>
      </c>
      <c r="I568" s="284">
        <f>G568-H568</f>
        <v>0.19439999999999991</v>
      </c>
      <c r="J568" s="283">
        <f t="shared" si="69"/>
        <v>1.22000000000001E-2</v>
      </c>
      <c r="K568" s="285">
        <f t="shared" si="70"/>
        <v>5.9051306873185379</v>
      </c>
      <c r="L568">
        <v>37</v>
      </c>
      <c r="M568" s="286">
        <v>43374</v>
      </c>
      <c r="N568" s="286">
        <v>43375</v>
      </c>
      <c r="O568" s="283" t="s">
        <v>3730</v>
      </c>
      <c r="R568" s="285"/>
    </row>
    <row r="569" spans="1:19">
      <c r="A569" t="s">
        <v>423</v>
      </c>
      <c r="C569" t="s">
        <v>3733</v>
      </c>
      <c r="D569">
        <v>1.8660000000000001</v>
      </c>
      <c r="E569">
        <v>10.417899999999999</v>
      </c>
      <c r="F569">
        <v>0.20100000000000001</v>
      </c>
      <c r="G569" s="284">
        <f t="shared" si="68"/>
        <v>10.6189</v>
      </c>
      <c r="H569" s="284">
        <v>10.4238</v>
      </c>
      <c r="I569" s="284">
        <f>G569-H569</f>
        <v>0.19510000000000005</v>
      </c>
      <c r="J569" s="283">
        <f t="shared" si="69"/>
        <v>5.8999999999999608E-3</v>
      </c>
      <c r="K569" s="285">
        <f t="shared" si="70"/>
        <v>2.9353233830845578</v>
      </c>
      <c r="L569">
        <v>4</v>
      </c>
      <c r="M569" s="286">
        <v>43363</v>
      </c>
      <c r="N569" s="286">
        <v>43364</v>
      </c>
      <c r="O569" s="283" t="s">
        <v>3756</v>
      </c>
      <c r="R569" s="285"/>
    </row>
    <row r="570" spans="1:19">
      <c r="A570" t="s">
        <v>422</v>
      </c>
      <c r="C570" t="s">
        <v>3414</v>
      </c>
      <c r="D570">
        <v>1.5751999999999999</v>
      </c>
      <c r="E570">
        <v>11.089</v>
      </c>
      <c r="F570">
        <v>0.20469999999999999</v>
      </c>
      <c r="G570">
        <f t="shared" si="68"/>
        <v>11.293700000000001</v>
      </c>
      <c r="H570">
        <v>11.153</v>
      </c>
      <c r="I570" s="284">
        <f>G570-H570</f>
        <v>0.14070000000000071</v>
      </c>
      <c r="J570" s="283">
        <f t="shared" si="69"/>
        <v>6.399999999999928E-2</v>
      </c>
      <c r="K570" s="285">
        <f t="shared" si="70"/>
        <v>31.265266243282504</v>
      </c>
      <c r="L570">
        <v>33</v>
      </c>
      <c r="M570" s="16">
        <v>43399</v>
      </c>
      <c r="N570" s="16">
        <v>43400</v>
      </c>
      <c r="R570" s="285"/>
    </row>
    <row r="571" spans="1:19">
      <c r="A571" t="s">
        <v>421</v>
      </c>
      <c r="C571" t="s">
        <v>3464</v>
      </c>
      <c r="D571">
        <v>1.593</v>
      </c>
      <c r="E571">
        <v>9.32</v>
      </c>
      <c r="F571">
        <v>0.2074</v>
      </c>
      <c r="G571">
        <f t="shared" si="68"/>
        <v>9.5274000000000001</v>
      </c>
      <c r="H571">
        <v>9.3346999999999998</v>
      </c>
      <c r="I571" s="284">
        <f>G571-H571</f>
        <v>0.19270000000000032</v>
      </c>
      <c r="J571" s="283">
        <f t="shared" ref="J571:J596" si="72">F571-I571</f>
        <v>1.4699999999999686E-2</v>
      </c>
      <c r="K571" s="285">
        <f t="shared" ref="K571:K596" si="73">(J571/F571)*100</f>
        <v>7.0877531340403506</v>
      </c>
      <c r="L571">
        <v>5</v>
      </c>
      <c r="M571" s="16">
        <v>43402</v>
      </c>
      <c r="N571" s="16">
        <v>43403</v>
      </c>
      <c r="R571" s="285"/>
    </row>
    <row r="572" spans="1:19">
      <c r="A572" t="s">
        <v>419</v>
      </c>
      <c r="C572" t="s">
        <v>3670</v>
      </c>
      <c r="D572">
        <v>1.8747</v>
      </c>
      <c r="E572">
        <v>10.4156</v>
      </c>
      <c r="F572">
        <v>0.2051</v>
      </c>
      <c r="G572" s="284">
        <f t="shared" si="68"/>
        <v>10.620699999999999</v>
      </c>
      <c r="H572" s="284">
        <v>10.4209</v>
      </c>
      <c r="I572" s="284">
        <f>(G572-H572)</f>
        <v>0.19979999999999976</v>
      </c>
      <c r="J572" s="283">
        <f t="shared" si="72"/>
        <v>5.300000000000249E-3</v>
      </c>
      <c r="K572" s="285">
        <f t="shared" si="73"/>
        <v>2.5841053144808623</v>
      </c>
      <c r="L572">
        <v>6</v>
      </c>
      <c r="M572" s="16">
        <v>43358</v>
      </c>
      <c r="N572" s="16">
        <v>43358</v>
      </c>
      <c r="R572" s="285"/>
    </row>
    <row r="573" spans="1:19">
      <c r="A573" t="s">
        <v>418</v>
      </c>
      <c r="C573" t="s">
        <v>3658</v>
      </c>
      <c r="D573" s="283">
        <v>1.7976000000000001</v>
      </c>
      <c r="E573" s="284">
        <v>9.0028000000000006</v>
      </c>
      <c r="F573" s="284">
        <v>0.2084</v>
      </c>
      <c r="G573" s="284">
        <f t="shared" si="68"/>
        <v>9.2111999999999998</v>
      </c>
      <c r="H573" s="284">
        <v>9.0084</v>
      </c>
      <c r="I573" s="284">
        <f>(G573-H573)</f>
        <v>0.20279999999999987</v>
      </c>
      <c r="J573" s="283">
        <f t="shared" si="72"/>
        <v>5.6000000000001326E-3</v>
      </c>
      <c r="K573" s="285">
        <f t="shared" si="73"/>
        <v>2.6871401151632113</v>
      </c>
      <c r="L573" s="283">
        <v>1</v>
      </c>
      <c r="M573" s="286">
        <v>43355.625</v>
      </c>
      <c r="N573" s="286">
        <v>43355.791666666664</v>
      </c>
      <c r="O573" s="283" t="s">
        <v>3659</v>
      </c>
      <c r="P573" s="283"/>
      <c r="R573" s="285"/>
      <c r="S573" s="283"/>
    </row>
    <row r="574" spans="1:19">
      <c r="A574" s="92" t="s">
        <v>417</v>
      </c>
      <c r="B574" s="92"/>
      <c r="C574" s="92" t="s">
        <v>3702</v>
      </c>
      <c r="D574" s="92">
        <v>5.4800000000000001E-2</v>
      </c>
      <c r="E574" s="92">
        <v>18.110299999999999</v>
      </c>
      <c r="F574" s="92">
        <v>5.21E-2</v>
      </c>
      <c r="G574" s="397">
        <f t="shared" si="68"/>
        <v>18.162399999999998</v>
      </c>
      <c r="H574" s="397">
        <v>18.160599999999999</v>
      </c>
      <c r="I574" s="397">
        <f>G574-H574</f>
        <v>1.7999999999993577E-3</v>
      </c>
      <c r="J574" s="398">
        <f t="shared" si="72"/>
        <v>5.0300000000000643E-2</v>
      </c>
      <c r="K574" s="399">
        <f t="shared" si="73"/>
        <v>96.545105566220045</v>
      </c>
      <c r="L574" s="92">
        <v>23</v>
      </c>
      <c r="M574" s="400">
        <v>43361</v>
      </c>
      <c r="N574" s="400">
        <v>43362</v>
      </c>
      <c r="O574" s="398" t="s">
        <v>3730</v>
      </c>
      <c r="P574" s="92" t="s">
        <v>3736</v>
      </c>
      <c r="R574" s="399"/>
    </row>
    <row r="575" spans="1:19">
      <c r="A575" t="s">
        <v>416</v>
      </c>
      <c r="C575" t="s">
        <v>3739</v>
      </c>
      <c r="D575">
        <v>1.7596000000000001</v>
      </c>
      <c r="E575">
        <v>7.5297000000000001</v>
      </c>
      <c r="F575">
        <v>0.23369999999999999</v>
      </c>
      <c r="G575" s="284">
        <f t="shared" si="68"/>
        <v>7.7633999999999999</v>
      </c>
      <c r="H575" s="284">
        <v>7.5378999999999996</v>
      </c>
      <c r="I575" s="284">
        <f>G575-H575</f>
        <v>0.22550000000000026</v>
      </c>
      <c r="J575" s="283">
        <f t="shared" si="72"/>
        <v>8.1999999999997353E-3</v>
      </c>
      <c r="K575" s="285">
        <f t="shared" si="73"/>
        <v>3.508771929824448</v>
      </c>
      <c r="L575">
        <v>34</v>
      </c>
      <c r="M575">
        <v>23.101800000000001</v>
      </c>
      <c r="N575" s="16">
        <v>43397</v>
      </c>
      <c r="R575" s="285"/>
    </row>
    <row r="576" spans="1:19">
      <c r="A576" t="s">
        <v>414</v>
      </c>
      <c r="C576" t="s">
        <v>3699</v>
      </c>
      <c r="D576">
        <v>0.54479999999999995</v>
      </c>
      <c r="E576">
        <v>10.698600000000001</v>
      </c>
      <c r="F576">
        <v>0.22389999999999999</v>
      </c>
      <c r="G576" s="284">
        <f t="shared" si="68"/>
        <v>10.922500000000001</v>
      </c>
      <c r="H576" s="284">
        <v>10.7065</v>
      </c>
      <c r="I576" s="284">
        <f>(G576-H576)</f>
        <v>0.21600000000000108</v>
      </c>
      <c r="J576" s="283">
        <f t="shared" si="72"/>
        <v>7.8999999999989079E-3</v>
      </c>
      <c r="K576" s="285">
        <f t="shared" si="73"/>
        <v>3.528360875390312</v>
      </c>
      <c r="L576">
        <v>32</v>
      </c>
      <c r="M576" s="286">
        <v>43360</v>
      </c>
      <c r="N576" s="286">
        <v>43361</v>
      </c>
      <c r="R576" s="285"/>
    </row>
    <row r="577" spans="1:18">
      <c r="A577" t="s">
        <v>414</v>
      </c>
      <c r="C577" t="s">
        <v>3699</v>
      </c>
      <c r="D577">
        <v>0.68500000000000005</v>
      </c>
      <c r="E577" t="s">
        <v>2054</v>
      </c>
      <c r="F577" t="s">
        <v>2054</v>
      </c>
      <c r="G577" s="284" t="s">
        <v>2054</v>
      </c>
      <c r="H577" s="284"/>
      <c r="I577" s="284" t="e">
        <f>(G577-H577)</f>
        <v>#VALUE!</v>
      </c>
      <c r="J577" s="283" t="e">
        <f t="shared" si="72"/>
        <v>#VALUE!</v>
      </c>
      <c r="K577" s="285" t="e">
        <f t="shared" si="73"/>
        <v>#VALUE!</v>
      </c>
      <c r="L577" s="284" t="s">
        <v>2054</v>
      </c>
      <c r="M577" s="286">
        <v>43360</v>
      </c>
      <c r="N577" s="286">
        <v>43361</v>
      </c>
      <c r="P577" t="s">
        <v>3703</v>
      </c>
      <c r="R577" s="285"/>
    </row>
    <row r="578" spans="1:18">
      <c r="A578" t="s">
        <v>413</v>
      </c>
      <c r="C578" t="s">
        <v>3663</v>
      </c>
      <c r="D578">
        <v>1.7851999999999999</v>
      </c>
      <c r="E578">
        <v>10.854100000000001</v>
      </c>
      <c r="F578">
        <v>0.2094</v>
      </c>
      <c r="G578" s="284">
        <f t="shared" ref="G578:G596" si="74">E578+F578</f>
        <v>11.063500000000001</v>
      </c>
      <c r="H578" s="284">
        <v>10.860099999999999</v>
      </c>
      <c r="I578" s="284">
        <f>(G578-H578)</f>
        <v>0.20340000000000202</v>
      </c>
      <c r="J578" s="283">
        <f t="shared" si="72"/>
        <v>5.9999999999979792E-3</v>
      </c>
      <c r="K578" s="285">
        <f t="shared" si="73"/>
        <v>2.8653295128930178</v>
      </c>
      <c r="L578">
        <v>5</v>
      </c>
      <c r="M578" s="286">
        <v>43355.625</v>
      </c>
      <c r="N578" s="286">
        <v>43355.791666666664</v>
      </c>
      <c r="O578" s="283" t="s">
        <v>3659</v>
      </c>
      <c r="R578" s="285"/>
    </row>
    <row r="579" spans="1:18">
      <c r="A579" t="s">
        <v>412</v>
      </c>
      <c r="C579" t="s">
        <v>3749</v>
      </c>
      <c r="D579">
        <v>2.0343</v>
      </c>
      <c r="E579">
        <v>9.8882999999999992</v>
      </c>
      <c r="F579">
        <v>0.22700000000000001</v>
      </c>
      <c r="G579" s="284">
        <f t="shared" si="74"/>
        <v>10.1153</v>
      </c>
      <c r="H579" s="284">
        <v>10.0966</v>
      </c>
      <c r="I579" s="284">
        <f>G579-H579</f>
        <v>1.8699999999999051E-2</v>
      </c>
      <c r="J579" s="283">
        <f t="shared" si="72"/>
        <v>0.20830000000000096</v>
      </c>
      <c r="K579" s="285">
        <f t="shared" si="73"/>
        <v>91.762114537445356</v>
      </c>
      <c r="L579">
        <v>7</v>
      </c>
      <c r="M579" s="286">
        <v>43374</v>
      </c>
      <c r="N579" s="286">
        <v>43375</v>
      </c>
      <c r="O579" s="283" t="s">
        <v>3730</v>
      </c>
      <c r="P579" t="s">
        <v>3766</v>
      </c>
      <c r="R579" s="285"/>
    </row>
    <row r="580" spans="1:18">
      <c r="A580" t="s">
        <v>411</v>
      </c>
      <c r="C580" t="s">
        <v>3500</v>
      </c>
      <c r="D580">
        <v>1.8024</v>
      </c>
      <c r="E580">
        <v>10.7454</v>
      </c>
      <c r="F580">
        <v>0.2016</v>
      </c>
      <c r="G580" s="284">
        <f t="shared" si="74"/>
        <v>10.946999999999999</v>
      </c>
      <c r="H580" s="284">
        <v>10.751799999999999</v>
      </c>
      <c r="I580" s="284">
        <f>G580-H580</f>
        <v>0.19519999999999982</v>
      </c>
      <c r="J580" s="283">
        <f t="shared" si="72"/>
        <v>6.4000000000001833E-3</v>
      </c>
      <c r="K580" s="285">
        <f t="shared" si="73"/>
        <v>3.1746031746032655</v>
      </c>
      <c r="L580">
        <v>6</v>
      </c>
      <c r="M580" s="286">
        <v>43363</v>
      </c>
      <c r="N580" s="286">
        <v>43364</v>
      </c>
      <c r="O580" s="283" t="s">
        <v>3756</v>
      </c>
      <c r="R580" s="285"/>
    </row>
    <row r="581" spans="1:18">
      <c r="A581" t="s">
        <v>410</v>
      </c>
      <c r="C581" t="s">
        <v>3458</v>
      </c>
      <c r="D581">
        <v>1.5952</v>
      </c>
      <c r="E581">
        <v>7.0944000000000003</v>
      </c>
      <c r="F581">
        <v>0.2034</v>
      </c>
      <c r="G581" s="284">
        <f t="shared" si="74"/>
        <v>7.2978000000000005</v>
      </c>
      <c r="H581" s="284">
        <v>7.1093999999999999</v>
      </c>
      <c r="I581" s="284">
        <f>G581-H581</f>
        <v>0.18840000000000057</v>
      </c>
      <c r="J581" s="283">
        <f t="shared" si="72"/>
        <v>1.499999999999943E-2</v>
      </c>
      <c r="K581" s="285">
        <f t="shared" si="73"/>
        <v>7.374631268436298</v>
      </c>
      <c r="L581">
        <v>3</v>
      </c>
      <c r="M581" s="16">
        <v>43381</v>
      </c>
      <c r="N581" s="16">
        <v>43382</v>
      </c>
      <c r="R581" s="285"/>
    </row>
    <row r="582" spans="1:18">
      <c r="A582" t="s">
        <v>407</v>
      </c>
      <c r="C582" t="s">
        <v>3741</v>
      </c>
      <c r="D582">
        <v>1.8533999999999999</v>
      </c>
      <c r="E582">
        <v>7.9618000000000002</v>
      </c>
      <c r="F582">
        <v>0.20180000000000001</v>
      </c>
      <c r="G582" s="284">
        <f t="shared" si="74"/>
        <v>8.1636000000000006</v>
      </c>
      <c r="H582" s="284">
        <v>7.9668000000000001</v>
      </c>
      <c r="I582" s="284">
        <f>G582-H582</f>
        <v>0.19680000000000053</v>
      </c>
      <c r="J582" s="283">
        <f t="shared" si="72"/>
        <v>4.9999999999994771E-3</v>
      </c>
      <c r="K582" s="285">
        <f t="shared" si="73"/>
        <v>2.4777006937559349</v>
      </c>
      <c r="L582">
        <v>33</v>
      </c>
      <c r="M582" s="286">
        <v>43362</v>
      </c>
      <c r="N582" s="286">
        <v>43363</v>
      </c>
      <c r="R582" s="285"/>
    </row>
    <row r="583" spans="1:18">
      <c r="A583" t="s">
        <v>406</v>
      </c>
      <c r="C583" t="s">
        <v>3711</v>
      </c>
      <c r="D583">
        <v>1.7805</v>
      </c>
      <c r="E583">
        <v>9.3201000000000001</v>
      </c>
      <c r="F583">
        <v>0.23269999999999999</v>
      </c>
      <c r="G583" s="284">
        <f t="shared" si="74"/>
        <v>9.5527999999999995</v>
      </c>
      <c r="H583" s="284">
        <v>9.3248999999999995</v>
      </c>
      <c r="I583" s="284">
        <f>(G583-H583)</f>
        <v>0.22789999999999999</v>
      </c>
      <c r="J583" s="283">
        <f t="shared" si="72"/>
        <v>4.7999999999999987E-3</v>
      </c>
      <c r="K583" s="285">
        <f t="shared" si="73"/>
        <v>2.0627417275461966</v>
      </c>
      <c r="L583">
        <v>20</v>
      </c>
      <c r="M583" s="286">
        <v>43360</v>
      </c>
      <c r="N583" s="286">
        <v>43361</v>
      </c>
      <c r="O583" s="283" t="s">
        <v>3707</v>
      </c>
      <c r="R583" s="285"/>
    </row>
    <row r="584" spans="1:18">
      <c r="A584" t="s">
        <v>405</v>
      </c>
      <c r="C584" t="s">
        <v>3686</v>
      </c>
      <c r="D584">
        <v>1.7475000000000001</v>
      </c>
      <c r="E584">
        <v>8.7026000000000003</v>
      </c>
      <c r="F584">
        <v>0.20119999999999999</v>
      </c>
      <c r="G584" s="284">
        <f t="shared" si="74"/>
        <v>8.9038000000000004</v>
      </c>
      <c r="H584" s="284">
        <v>8.7079000000000004</v>
      </c>
      <c r="I584" s="284">
        <f>(G584-H584)</f>
        <v>0.19589999999999996</v>
      </c>
      <c r="J584" s="283">
        <f t="shared" si="72"/>
        <v>5.3000000000000269E-3</v>
      </c>
      <c r="K584" s="285">
        <f t="shared" si="73"/>
        <v>2.63419483101393</v>
      </c>
      <c r="L584">
        <v>10</v>
      </c>
      <c r="M584" s="286">
        <v>43360</v>
      </c>
      <c r="N584" s="286">
        <v>43361</v>
      </c>
      <c r="O584" s="283"/>
      <c r="R584" s="285"/>
    </row>
    <row r="585" spans="1:18">
      <c r="A585" t="s">
        <v>404</v>
      </c>
      <c r="C585" t="s">
        <v>3487</v>
      </c>
      <c r="D585">
        <v>0.85099999999999998</v>
      </c>
      <c r="E585">
        <v>8.9600000000000009</v>
      </c>
      <c r="F585">
        <v>0.20649999999999999</v>
      </c>
      <c r="G585" s="284">
        <f t="shared" si="74"/>
        <v>9.166500000000001</v>
      </c>
      <c r="H585" s="284">
        <v>9.0650999999999993</v>
      </c>
      <c r="I585" s="284">
        <f>G585-H585</f>
        <v>0.10140000000000171</v>
      </c>
      <c r="J585" s="283">
        <f t="shared" si="72"/>
        <v>0.10509999999999828</v>
      </c>
      <c r="K585" s="285">
        <f t="shared" si="73"/>
        <v>50.895883777238879</v>
      </c>
      <c r="L585">
        <v>24</v>
      </c>
      <c r="M585" s="286">
        <v>43363</v>
      </c>
      <c r="N585" s="286">
        <v>43364</v>
      </c>
      <c r="O585" s="283" t="s">
        <v>3756</v>
      </c>
      <c r="R585" s="285"/>
    </row>
    <row r="586" spans="1:18">
      <c r="A586" t="s">
        <v>403</v>
      </c>
      <c r="C586" t="s">
        <v>3431</v>
      </c>
      <c r="D586">
        <v>1.4211</v>
      </c>
      <c r="E586">
        <v>9.0036000000000005</v>
      </c>
      <c r="F586">
        <v>0.23499999999999999</v>
      </c>
      <c r="G586">
        <f t="shared" si="74"/>
        <v>9.2385999999999999</v>
      </c>
      <c r="H586">
        <v>9.0282999999999998</v>
      </c>
      <c r="I586" s="284">
        <f>G586-H586</f>
        <v>0.21030000000000015</v>
      </c>
      <c r="J586" s="283">
        <f t="shared" si="72"/>
        <v>2.4699999999999833E-2</v>
      </c>
      <c r="K586" s="285">
        <f t="shared" si="73"/>
        <v>10.510638297872269</v>
      </c>
      <c r="L586">
        <v>13</v>
      </c>
      <c r="M586" s="16">
        <v>43399</v>
      </c>
      <c r="N586" s="16">
        <v>43400</v>
      </c>
      <c r="R586" s="285"/>
    </row>
    <row r="587" spans="1:18">
      <c r="A587" t="s">
        <v>402</v>
      </c>
      <c r="C587" t="s">
        <v>3668</v>
      </c>
      <c r="D587">
        <v>1.8143</v>
      </c>
      <c r="E587">
        <v>8.1168999999999993</v>
      </c>
      <c r="F587">
        <v>0.19980000000000001</v>
      </c>
      <c r="G587" s="284">
        <f t="shared" si="74"/>
        <v>8.3166999999999991</v>
      </c>
      <c r="H587" s="284">
        <v>8.1232000000000006</v>
      </c>
      <c r="I587" s="284">
        <f>(G587-H587)</f>
        <v>0.19349999999999845</v>
      </c>
      <c r="J587" s="283">
        <f t="shared" si="72"/>
        <v>6.3000000000015544E-3</v>
      </c>
      <c r="K587" s="285">
        <f t="shared" si="73"/>
        <v>3.1531531531539305</v>
      </c>
      <c r="L587">
        <v>15</v>
      </c>
      <c r="M587" s="286">
        <v>43355.625</v>
      </c>
      <c r="N587" s="286">
        <v>43355.791666666664</v>
      </c>
      <c r="O587" s="283" t="s">
        <v>3659</v>
      </c>
      <c r="R587" s="285"/>
    </row>
    <row r="588" spans="1:18">
      <c r="A588" t="s">
        <v>400</v>
      </c>
      <c r="C588" t="s">
        <v>3780</v>
      </c>
      <c r="D588">
        <v>1.8338000000000001</v>
      </c>
      <c r="E588">
        <v>10.567600000000001</v>
      </c>
      <c r="F588">
        <v>0.20280000000000001</v>
      </c>
      <c r="G588" s="284">
        <f t="shared" si="74"/>
        <v>10.7704</v>
      </c>
      <c r="H588" s="284">
        <v>10.573</v>
      </c>
      <c r="I588" s="284">
        <f>G588-H588</f>
        <v>0.19740000000000002</v>
      </c>
      <c r="J588" s="283">
        <f t="shared" si="72"/>
        <v>5.3999999999999881E-3</v>
      </c>
      <c r="K588" s="285">
        <f t="shared" si="73"/>
        <v>2.6627218934911183</v>
      </c>
      <c r="L588">
        <v>11</v>
      </c>
      <c r="M588" s="16">
        <v>43388</v>
      </c>
      <c r="N588" s="286">
        <v>43389</v>
      </c>
      <c r="O588" s="286"/>
      <c r="P588" s="283"/>
      <c r="R588" s="285"/>
    </row>
    <row r="589" spans="1:18">
      <c r="A589" t="s">
        <v>399</v>
      </c>
      <c r="C589" t="s">
        <v>3701</v>
      </c>
      <c r="D589">
        <v>1.4898</v>
      </c>
      <c r="E589">
        <v>20.760200000000001</v>
      </c>
      <c r="F589">
        <v>0.21190000000000001</v>
      </c>
      <c r="G589" s="284">
        <f t="shared" si="74"/>
        <v>20.972100000000001</v>
      </c>
      <c r="H589" s="284">
        <v>20.782499999999999</v>
      </c>
      <c r="I589" s="284">
        <f>G589-H589</f>
        <v>0.18960000000000221</v>
      </c>
      <c r="J589" s="283">
        <f t="shared" si="72"/>
        <v>2.2299999999997794E-2</v>
      </c>
      <c r="K589" s="285">
        <f t="shared" si="73"/>
        <v>10.523831996223592</v>
      </c>
      <c r="L589">
        <v>39</v>
      </c>
      <c r="M589" s="286">
        <v>43363</v>
      </c>
      <c r="N589" s="286">
        <v>43364</v>
      </c>
      <c r="R589" s="285"/>
    </row>
    <row r="590" spans="1:18">
      <c r="A590" t="s">
        <v>398</v>
      </c>
      <c r="C590" t="s">
        <v>3666</v>
      </c>
      <c r="D590">
        <v>1.8038000000000001</v>
      </c>
      <c r="E590">
        <v>11.7446</v>
      </c>
      <c r="F590">
        <v>0.19980000000000001</v>
      </c>
      <c r="G590" s="284">
        <f t="shared" si="74"/>
        <v>11.9444</v>
      </c>
      <c r="H590" s="284">
        <v>11.7517</v>
      </c>
      <c r="I590" s="284">
        <f>(G590-H590)</f>
        <v>0.19270000000000032</v>
      </c>
      <c r="J590" s="283">
        <f t="shared" si="72"/>
        <v>7.0999999999996899E-3</v>
      </c>
      <c r="K590" s="285">
        <f t="shared" si="73"/>
        <v>3.5535535535533986</v>
      </c>
      <c r="L590">
        <v>1</v>
      </c>
      <c r="M590" s="16">
        <v>43358</v>
      </c>
      <c r="N590" s="16">
        <v>43358</v>
      </c>
      <c r="R590" s="285"/>
    </row>
    <row r="591" spans="1:18">
      <c r="A591" t="s">
        <v>397</v>
      </c>
      <c r="C591" t="s">
        <v>3770</v>
      </c>
      <c r="D591">
        <v>1.7324999999999999</v>
      </c>
      <c r="E591">
        <v>10.856</v>
      </c>
      <c r="F591">
        <v>0.21</v>
      </c>
      <c r="G591" s="288">
        <f t="shared" si="74"/>
        <v>11.066000000000001</v>
      </c>
      <c r="H591" s="284">
        <v>10.861700000000001</v>
      </c>
      <c r="I591" s="288">
        <f t="shared" ref="I591:I596" si="75">G591-H591</f>
        <v>0.20429999999999993</v>
      </c>
      <c r="J591" s="283">
        <f t="shared" si="72"/>
        <v>5.7000000000000661E-3</v>
      </c>
      <c r="K591" s="285">
        <f t="shared" si="73"/>
        <v>2.7142857142857459</v>
      </c>
      <c r="L591">
        <v>37</v>
      </c>
      <c r="M591" s="286">
        <v>43379</v>
      </c>
      <c r="N591" s="286">
        <v>43379</v>
      </c>
      <c r="R591" s="285"/>
    </row>
    <row r="592" spans="1:18">
      <c r="A592" t="s">
        <v>396</v>
      </c>
      <c r="C592" t="s">
        <v>3755</v>
      </c>
      <c r="D592">
        <v>1.8544</v>
      </c>
      <c r="E592">
        <v>7.9950999999999999</v>
      </c>
      <c r="F592">
        <v>0.2021</v>
      </c>
      <c r="G592" s="288">
        <f t="shared" si="74"/>
        <v>8.1972000000000005</v>
      </c>
      <c r="H592" s="284">
        <v>8.0017999999999994</v>
      </c>
      <c r="I592" s="288">
        <f t="shared" si="75"/>
        <v>0.19540000000000113</v>
      </c>
      <c r="J592" s="283">
        <f t="shared" si="72"/>
        <v>6.6999999999988735E-3</v>
      </c>
      <c r="K592" s="285">
        <f t="shared" si="73"/>
        <v>3.3151904997520401</v>
      </c>
      <c r="L592">
        <v>28</v>
      </c>
      <c r="M592" s="286">
        <v>43379</v>
      </c>
      <c r="N592" s="286">
        <v>43379</v>
      </c>
      <c r="R592" s="285"/>
    </row>
    <row r="593" spans="1:18">
      <c r="A593" t="s">
        <v>395</v>
      </c>
      <c r="C593" t="s">
        <v>3760</v>
      </c>
      <c r="D593">
        <v>0.46639999999999998</v>
      </c>
      <c r="E593">
        <v>7.8403999999999998</v>
      </c>
      <c r="F593">
        <v>0.2036</v>
      </c>
      <c r="G593" s="284">
        <f t="shared" si="74"/>
        <v>8.0440000000000005</v>
      </c>
      <c r="H593" s="284">
        <v>8.0124999999999993</v>
      </c>
      <c r="I593" s="284">
        <f t="shared" si="75"/>
        <v>3.1500000000001194E-2</v>
      </c>
      <c r="J593" s="283">
        <f t="shared" si="72"/>
        <v>0.17209999999999881</v>
      </c>
      <c r="K593" s="285">
        <f t="shared" si="73"/>
        <v>84.528487229861895</v>
      </c>
      <c r="L593">
        <v>35</v>
      </c>
      <c r="M593" s="16">
        <v>43381</v>
      </c>
      <c r="N593" s="16">
        <v>43382</v>
      </c>
      <c r="R593" s="285"/>
    </row>
    <row r="594" spans="1:18">
      <c r="A594" t="s">
        <v>393</v>
      </c>
      <c r="C594" t="s">
        <v>3427</v>
      </c>
      <c r="D594">
        <v>4.7215999999999996</v>
      </c>
      <c r="E594">
        <v>7.7751000000000001</v>
      </c>
      <c r="F594">
        <v>0.22</v>
      </c>
      <c r="G594" s="284">
        <f t="shared" si="74"/>
        <v>7.9950999999999999</v>
      </c>
      <c r="H594" s="284">
        <v>7.9756999999999998</v>
      </c>
      <c r="I594" s="284">
        <f t="shared" si="75"/>
        <v>1.9400000000000084E-2</v>
      </c>
      <c r="J594" s="283">
        <f t="shared" si="72"/>
        <v>0.20059999999999992</v>
      </c>
      <c r="K594" s="285">
        <f t="shared" si="73"/>
        <v>91.181818181818144</v>
      </c>
      <c r="L594">
        <v>26</v>
      </c>
      <c r="M594" s="16">
        <v>43399</v>
      </c>
      <c r="N594" s="16">
        <v>43400</v>
      </c>
      <c r="P594" t="s">
        <v>3790</v>
      </c>
      <c r="R594" s="285"/>
    </row>
    <row r="595" spans="1:18">
      <c r="A595" t="s">
        <v>391</v>
      </c>
      <c r="C595" t="s">
        <v>3743</v>
      </c>
      <c r="D595">
        <v>0.61480000000000001</v>
      </c>
      <c r="E595">
        <v>19.644200000000001</v>
      </c>
      <c r="F595">
        <v>0.20799999999999999</v>
      </c>
      <c r="G595" s="284">
        <f t="shared" si="74"/>
        <v>19.8522</v>
      </c>
      <c r="H595" s="284">
        <v>19.831299999999999</v>
      </c>
      <c r="I595" s="284">
        <f t="shared" si="75"/>
        <v>2.0900000000001029E-2</v>
      </c>
      <c r="J595" s="283">
        <f t="shared" si="72"/>
        <v>0.18709999999999896</v>
      </c>
      <c r="K595" s="285">
        <f t="shared" si="73"/>
        <v>89.951923076922583</v>
      </c>
      <c r="L595">
        <v>8</v>
      </c>
      <c r="M595" s="286">
        <v>43362</v>
      </c>
      <c r="N595" s="286">
        <v>43363</v>
      </c>
      <c r="O595" s="283"/>
      <c r="R595" s="285"/>
    </row>
    <row r="596" spans="1:18">
      <c r="A596" t="s">
        <v>390</v>
      </c>
      <c r="C596" t="s">
        <v>3744</v>
      </c>
      <c r="D596">
        <v>1.7874000000000001</v>
      </c>
      <c r="E596">
        <v>7.3555000000000001</v>
      </c>
      <c r="F596">
        <v>0.20649999999999999</v>
      </c>
      <c r="G596" s="288">
        <f t="shared" si="74"/>
        <v>7.5620000000000003</v>
      </c>
      <c r="H596" s="284">
        <v>7.3621999999999996</v>
      </c>
      <c r="I596" s="288">
        <f t="shared" si="75"/>
        <v>0.19980000000000064</v>
      </c>
      <c r="J596" s="283">
        <f t="shared" si="72"/>
        <v>6.6999999999993454E-3</v>
      </c>
      <c r="K596" s="285">
        <f t="shared" si="73"/>
        <v>3.2445520581110632</v>
      </c>
      <c r="L596">
        <v>20</v>
      </c>
      <c r="M596" s="286">
        <v>43379</v>
      </c>
      <c r="N596" s="286">
        <v>43379</v>
      </c>
      <c r="R596" s="285"/>
    </row>
    <row r="597" spans="1:18">
      <c r="A597" t="s">
        <v>1066</v>
      </c>
      <c r="B597">
        <v>200</v>
      </c>
      <c r="C597" t="s">
        <v>2504</v>
      </c>
      <c r="D597">
        <v>0</v>
      </c>
      <c r="E597">
        <v>0</v>
      </c>
      <c r="F597">
        <v>0</v>
      </c>
      <c r="G597">
        <v>0</v>
      </c>
      <c r="H597">
        <v>0</v>
      </c>
      <c r="I597">
        <v>0</v>
      </c>
      <c r="J597">
        <v>0</v>
      </c>
      <c r="K597">
        <v>0</v>
      </c>
    </row>
    <row r="598" spans="1:18">
      <c r="A598" t="s">
        <v>388</v>
      </c>
      <c r="C598" t="s">
        <v>3720</v>
      </c>
      <c r="D598">
        <v>1.4699</v>
      </c>
      <c r="E598">
        <v>9.5189000000000004</v>
      </c>
      <c r="F598">
        <v>0.20399999999999999</v>
      </c>
      <c r="G598" s="284">
        <f t="shared" ref="G598:G620" si="76">E598+F598</f>
        <v>9.722900000000001</v>
      </c>
      <c r="H598" s="284">
        <v>9.5271000000000008</v>
      </c>
      <c r="I598" s="284">
        <f>(G598-H598)</f>
        <v>0.1958000000000002</v>
      </c>
      <c r="J598" s="283">
        <f t="shared" ref="J598:J620" si="77">F598-I598</f>
        <v>8.1999999999997908E-3</v>
      </c>
      <c r="K598" s="285">
        <f t="shared" ref="K598:K620" si="78">(J598/F598)*100</f>
        <v>4.0196078431371527</v>
      </c>
      <c r="L598">
        <v>29</v>
      </c>
      <c r="M598" s="286">
        <v>43360</v>
      </c>
      <c r="N598" s="286">
        <v>43361</v>
      </c>
      <c r="O598" s="283" t="s">
        <v>3707</v>
      </c>
      <c r="R598" s="285"/>
    </row>
    <row r="599" spans="1:18">
      <c r="A599" t="s">
        <v>387</v>
      </c>
      <c r="C599" t="s">
        <v>3475</v>
      </c>
      <c r="D599">
        <v>1.5062</v>
      </c>
      <c r="E599">
        <v>10.057</v>
      </c>
      <c r="F599">
        <v>0.21659999999999999</v>
      </c>
      <c r="G599" s="284">
        <f t="shared" si="76"/>
        <v>10.2736</v>
      </c>
      <c r="H599" s="284">
        <v>10.0754</v>
      </c>
      <c r="I599" s="284">
        <f>G599-H599</f>
        <v>0.19819999999999993</v>
      </c>
      <c r="J599" s="283">
        <f t="shared" si="77"/>
        <v>1.8400000000000055E-2</v>
      </c>
      <c r="K599" s="285">
        <f t="shared" si="78"/>
        <v>8.4949215143121215</v>
      </c>
      <c r="L599">
        <v>38</v>
      </c>
      <c r="M599" s="286">
        <v>43374</v>
      </c>
      <c r="N599" s="286">
        <v>43375</v>
      </c>
      <c r="O599" s="283" t="s">
        <v>3730</v>
      </c>
      <c r="R599" s="285"/>
    </row>
    <row r="600" spans="1:18">
      <c r="A600" t="s">
        <v>383</v>
      </c>
      <c r="C600" t="s">
        <v>3421</v>
      </c>
      <c r="D600">
        <v>1.7665999999999999</v>
      </c>
      <c r="E600">
        <v>7.8396999999999997</v>
      </c>
      <c r="F600">
        <v>0.2021</v>
      </c>
      <c r="G600" s="284">
        <f t="shared" si="76"/>
        <v>8.0418000000000003</v>
      </c>
      <c r="H600" s="284">
        <v>8.0214999999999996</v>
      </c>
      <c r="I600" s="284">
        <f>G600-H600</f>
        <v>2.0300000000000651E-2</v>
      </c>
      <c r="J600" s="283">
        <f t="shared" si="77"/>
        <v>0.18179999999999935</v>
      </c>
      <c r="K600" s="285">
        <f t="shared" si="78"/>
        <v>89.95546759030151</v>
      </c>
      <c r="L600">
        <v>33</v>
      </c>
      <c r="M600" s="286">
        <v>43374</v>
      </c>
      <c r="N600" s="286">
        <v>43375</v>
      </c>
      <c r="O600" s="283" t="s">
        <v>3730</v>
      </c>
      <c r="R600" s="285"/>
    </row>
    <row r="601" spans="1:18">
      <c r="A601" t="s">
        <v>382</v>
      </c>
      <c r="C601" t="s">
        <v>3765</v>
      </c>
      <c r="D601">
        <v>1.5597000000000001</v>
      </c>
      <c r="E601">
        <v>10.6996</v>
      </c>
      <c r="F601">
        <v>0.2155</v>
      </c>
      <c r="G601" s="284">
        <f t="shared" si="76"/>
        <v>10.915100000000001</v>
      </c>
      <c r="H601" s="284">
        <v>10.731199999999999</v>
      </c>
      <c r="I601" s="284">
        <f>G601-H601</f>
        <v>0.18390000000000128</v>
      </c>
      <c r="J601" s="283">
        <f t="shared" si="77"/>
        <v>3.1599999999998712E-2</v>
      </c>
      <c r="K601" s="285">
        <f t="shared" si="78"/>
        <v>14.66357308584627</v>
      </c>
      <c r="L601">
        <v>34</v>
      </c>
      <c r="M601" s="16">
        <v>43399</v>
      </c>
      <c r="N601" s="16">
        <v>43400</v>
      </c>
      <c r="R601" s="285"/>
    </row>
    <row r="602" spans="1:18">
      <c r="A602" t="s">
        <v>381</v>
      </c>
      <c r="C602" t="s">
        <v>3704</v>
      </c>
      <c r="D602">
        <v>1.4066000000000001</v>
      </c>
      <c r="E602">
        <v>7.0933999999999999</v>
      </c>
      <c r="F602">
        <v>0.23180000000000001</v>
      </c>
      <c r="G602" s="284">
        <f t="shared" si="76"/>
        <v>7.3251999999999997</v>
      </c>
      <c r="H602" s="284">
        <v>7.3068</v>
      </c>
      <c r="I602" s="284">
        <f>(G602-H602)</f>
        <v>1.839999999999975E-2</v>
      </c>
      <c r="J602" s="283">
        <f t="shared" si="77"/>
        <v>0.21340000000000026</v>
      </c>
      <c r="K602" s="285">
        <f t="shared" si="78"/>
        <v>92.062122519413393</v>
      </c>
      <c r="L602">
        <v>41</v>
      </c>
      <c r="M602" s="286">
        <v>43360</v>
      </c>
      <c r="N602" s="286">
        <v>43361</v>
      </c>
      <c r="R602" s="285"/>
    </row>
    <row r="603" spans="1:18">
      <c r="A603" t="s">
        <v>380</v>
      </c>
      <c r="C603" t="s">
        <v>3415</v>
      </c>
      <c r="D603">
        <v>1.5463</v>
      </c>
      <c r="E603">
        <v>11.1736</v>
      </c>
      <c r="F603">
        <v>0.2135</v>
      </c>
      <c r="G603" s="284">
        <f t="shared" si="76"/>
        <v>11.3871</v>
      </c>
      <c r="H603" s="284">
        <v>11.1936</v>
      </c>
      <c r="I603" s="284">
        <f>G603-H603</f>
        <v>0.19350000000000023</v>
      </c>
      <c r="J603" s="283">
        <f t="shared" si="77"/>
        <v>1.9999999999999768E-2</v>
      </c>
      <c r="K603" s="285">
        <f t="shared" si="78"/>
        <v>9.3676814988289312</v>
      </c>
      <c r="L603">
        <v>41</v>
      </c>
      <c r="M603">
        <v>23.101800000000001</v>
      </c>
      <c r="N603" s="16">
        <v>43397</v>
      </c>
      <c r="R603" s="285"/>
    </row>
    <row r="604" spans="1:18">
      <c r="A604" t="s">
        <v>379</v>
      </c>
      <c r="C604" t="s">
        <v>3687</v>
      </c>
      <c r="D604">
        <v>1.8381000000000001</v>
      </c>
      <c r="E604">
        <v>11.4543</v>
      </c>
      <c r="F604">
        <v>0.20380000000000001</v>
      </c>
      <c r="G604" s="284">
        <f t="shared" si="76"/>
        <v>11.658099999999999</v>
      </c>
      <c r="H604" s="284">
        <v>11.4602</v>
      </c>
      <c r="I604" s="284">
        <f>(G604-H604)</f>
        <v>0.19789999999999885</v>
      </c>
      <c r="J604" s="283">
        <f t="shared" si="77"/>
        <v>5.9000000000011543E-3</v>
      </c>
      <c r="K604" s="285">
        <f t="shared" si="78"/>
        <v>2.8949950932292219</v>
      </c>
      <c r="L604">
        <v>15</v>
      </c>
      <c r="M604" s="286">
        <v>43360</v>
      </c>
      <c r="N604" s="286">
        <v>43361</v>
      </c>
      <c r="O604" s="283"/>
      <c r="R604" s="285"/>
    </row>
    <row r="605" spans="1:18">
      <c r="A605" t="s">
        <v>378</v>
      </c>
      <c r="C605" t="s">
        <v>3664</v>
      </c>
      <c r="D605">
        <v>1.7369000000000001</v>
      </c>
      <c r="E605">
        <v>10.539199999999999</v>
      </c>
      <c r="F605">
        <v>0.20380000000000001</v>
      </c>
      <c r="G605" s="284">
        <f t="shared" si="76"/>
        <v>10.742999999999999</v>
      </c>
      <c r="H605" s="284">
        <v>10.5444</v>
      </c>
      <c r="I605" s="284">
        <f>(G605-H605)</f>
        <v>0.198599999999999</v>
      </c>
      <c r="J605" s="283">
        <f t="shared" si="77"/>
        <v>5.2000000000010094E-3</v>
      </c>
      <c r="K605" s="285">
        <f t="shared" si="78"/>
        <v>2.5515210991172763</v>
      </c>
      <c r="L605">
        <v>19</v>
      </c>
      <c r="M605" s="16">
        <v>43358</v>
      </c>
      <c r="N605" s="16">
        <v>43358</v>
      </c>
      <c r="R605" s="285"/>
    </row>
    <row r="606" spans="1:18">
      <c r="A606" t="s">
        <v>377</v>
      </c>
      <c r="C606" t="s">
        <v>3740</v>
      </c>
      <c r="D606">
        <v>1.5270999999999999</v>
      </c>
      <c r="E606">
        <v>20.929300000000001</v>
      </c>
      <c r="F606">
        <v>0.224</v>
      </c>
      <c r="G606" s="284">
        <f t="shared" si="76"/>
        <v>21.153300000000002</v>
      </c>
      <c r="H606" s="284">
        <v>20.943300000000001</v>
      </c>
      <c r="I606" s="284">
        <f>G606-H606</f>
        <v>0.21000000000000085</v>
      </c>
      <c r="J606" s="283">
        <f t="shared" si="77"/>
        <v>1.3999999999999152E-2</v>
      </c>
      <c r="K606" s="285">
        <f t="shared" si="78"/>
        <v>6.2499999999996207</v>
      </c>
      <c r="L606">
        <v>41</v>
      </c>
      <c r="M606" s="286">
        <v>43361</v>
      </c>
      <c r="N606" s="286">
        <v>43362</v>
      </c>
      <c r="O606" s="283" t="s">
        <v>3730</v>
      </c>
      <c r="R606" s="285"/>
    </row>
    <row r="607" spans="1:18">
      <c r="A607" t="s">
        <v>376</v>
      </c>
      <c r="C607" t="s">
        <v>3712</v>
      </c>
      <c r="D607">
        <v>1.8338000000000001</v>
      </c>
      <c r="E607">
        <v>9.0223999999999993</v>
      </c>
      <c r="F607">
        <v>0.20130000000000001</v>
      </c>
      <c r="G607" s="284">
        <f t="shared" si="76"/>
        <v>9.2236999999999991</v>
      </c>
      <c r="H607" s="284">
        <v>9.0281000000000002</v>
      </c>
      <c r="I607" s="284">
        <f>G607-H607</f>
        <v>0.19559999999999889</v>
      </c>
      <c r="J607" s="283">
        <f t="shared" si="77"/>
        <v>5.7000000000011208E-3</v>
      </c>
      <c r="K607" s="285">
        <f t="shared" si="78"/>
        <v>2.8315946348738801</v>
      </c>
      <c r="L607">
        <v>11</v>
      </c>
      <c r="M607" s="16">
        <v>43399</v>
      </c>
      <c r="N607" s="16">
        <v>43400</v>
      </c>
      <c r="R607" s="285"/>
    </row>
    <row r="608" spans="1:18">
      <c r="A608" t="s">
        <v>375</v>
      </c>
      <c r="C608" t="s">
        <v>3671</v>
      </c>
      <c r="D608">
        <v>1.827</v>
      </c>
      <c r="E608">
        <v>10.856</v>
      </c>
      <c r="F608">
        <v>0.2077</v>
      </c>
      <c r="G608">
        <f t="shared" si="76"/>
        <v>11.063700000000001</v>
      </c>
      <c r="H608">
        <v>10.860900000000001</v>
      </c>
      <c r="I608">
        <f>(G608-H608)</f>
        <v>0.20279999999999987</v>
      </c>
      <c r="J608" s="283">
        <f t="shared" si="77"/>
        <v>4.9000000000001265E-3</v>
      </c>
      <c r="K608" s="285">
        <f t="shared" si="78"/>
        <v>2.3591718825229306</v>
      </c>
      <c r="M608" s="16">
        <v>43399</v>
      </c>
      <c r="N608" s="16">
        <v>43400</v>
      </c>
      <c r="P608" t="s">
        <v>3708</v>
      </c>
      <c r="R608" s="285"/>
    </row>
    <row r="609" spans="1:18">
      <c r="A609" t="s">
        <v>374</v>
      </c>
      <c r="C609" t="s">
        <v>3665</v>
      </c>
      <c r="D609">
        <v>1.8258000000000001</v>
      </c>
      <c r="E609">
        <v>9.0312999999999999</v>
      </c>
      <c r="F609">
        <v>0.2011</v>
      </c>
      <c r="G609" s="284">
        <f t="shared" si="76"/>
        <v>9.2324000000000002</v>
      </c>
      <c r="H609" s="284">
        <v>9.0358999999999998</v>
      </c>
      <c r="I609" s="284">
        <f>(G609-H609)</f>
        <v>0.19650000000000034</v>
      </c>
      <c r="J609" s="283">
        <f t="shared" si="77"/>
        <v>4.5999999999996599E-3</v>
      </c>
      <c r="K609" s="285">
        <f t="shared" si="78"/>
        <v>2.2874191944304623</v>
      </c>
      <c r="L609">
        <v>10</v>
      </c>
      <c r="M609" s="16">
        <v>43358</v>
      </c>
      <c r="N609" s="16">
        <v>43358</v>
      </c>
      <c r="R609" s="285"/>
    </row>
    <row r="610" spans="1:18">
      <c r="A610" t="s">
        <v>373</v>
      </c>
      <c r="C610" t="s">
        <v>3693</v>
      </c>
      <c r="D610">
        <v>1.4701</v>
      </c>
      <c r="E610">
        <v>11.1556</v>
      </c>
      <c r="F610">
        <v>0.21870000000000001</v>
      </c>
      <c r="G610" s="284">
        <f t="shared" si="76"/>
        <v>11.3743</v>
      </c>
      <c r="H610" s="284">
        <v>11.206</v>
      </c>
      <c r="I610" s="284">
        <f>G610-H610</f>
        <v>0.16830000000000034</v>
      </c>
      <c r="J610" s="283">
        <f t="shared" si="77"/>
        <v>5.0399999999999667E-2</v>
      </c>
      <c r="K610" s="285">
        <f t="shared" si="78"/>
        <v>23.045267489711783</v>
      </c>
      <c r="L610">
        <v>42</v>
      </c>
      <c r="M610" s="16">
        <v>43381</v>
      </c>
      <c r="N610" s="16">
        <v>43382</v>
      </c>
      <c r="R610" s="285"/>
    </row>
    <row r="611" spans="1:18">
      <c r="A611" t="s">
        <v>371</v>
      </c>
      <c r="C611" t="s">
        <v>3424</v>
      </c>
      <c r="D611">
        <v>0.3957</v>
      </c>
      <c r="E611">
        <v>10.6371</v>
      </c>
      <c r="F611">
        <v>0.2109</v>
      </c>
      <c r="G611" s="284">
        <f t="shared" si="76"/>
        <v>10.848000000000001</v>
      </c>
      <c r="H611" s="284">
        <v>10.8222</v>
      </c>
      <c r="I611" s="284">
        <f>G611-H611</f>
        <v>2.5800000000000267E-2</v>
      </c>
      <c r="J611" s="283">
        <f t="shared" si="77"/>
        <v>0.18509999999999974</v>
      </c>
      <c r="K611" s="285">
        <f t="shared" si="78"/>
        <v>87.766714082503427</v>
      </c>
      <c r="L611">
        <v>40</v>
      </c>
      <c r="M611" s="16">
        <v>43399</v>
      </c>
      <c r="N611" s="16">
        <v>43400</v>
      </c>
      <c r="R611" s="285"/>
    </row>
    <row r="612" spans="1:18">
      <c r="A612" t="s">
        <v>370</v>
      </c>
      <c r="C612" t="s">
        <v>3683</v>
      </c>
      <c r="D612">
        <v>1.8451</v>
      </c>
      <c r="E612">
        <v>8.8619000000000003</v>
      </c>
      <c r="F612">
        <v>0.2142</v>
      </c>
      <c r="G612" s="284">
        <f t="shared" si="76"/>
        <v>9.0761000000000003</v>
      </c>
      <c r="H612" s="284">
        <v>8.8678000000000008</v>
      </c>
      <c r="I612" s="284">
        <f>(G612-H612)</f>
        <v>0.20829999999999949</v>
      </c>
      <c r="J612" s="283">
        <f t="shared" si="77"/>
        <v>5.9000000000005159E-3</v>
      </c>
      <c r="K612" s="285">
        <f t="shared" si="78"/>
        <v>2.7544351073765245</v>
      </c>
      <c r="L612">
        <v>19</v>
      </c>
      <c r="M612" s="286">
        <v>43360</v>
      </c>
      <c r="N612" s="286">
        <v>43361</v>
      </c>
      <c r="R612" s="285"/>
    </row>
    <row r="613" spans="1:18">
      <c r="A613" t="s">
        <v>369</v>
      </c>
      <c r="C613" t="s">
        <v>3690</v>
      </c>
      <c r="D613">
        <v>1.7992999999999999</v>
      </c>
      <c r="E613">
        <v>9.3224</v>
      </c>
      <c r="F613">
        <v>0.20669999999999999</v>
      </c>
      <c r="G613" s="284">
        <f t="shared" si="76"/>
        <v>9.5290999999999997</v>
      </c>
      <c r="H613" s="284">
        <v>9.3282000000000007</v>
      </c>
      <c r="I613" s="284">
        <f>(G613-H613)</f>
        <v>0.20089999999999897</v>
      </c>
      <c r="J613" s="283">
        <f t="shared" si="77"/>
        <v>5.8000000000010266E-3</v>
      </c>
      <c r="K613" s="285">
        <f t="shared" si="78"/>
        <v>2.8059990324146233</v>
      </c>
      <c r="L613">
        <v>16</v>
      </c>
      <c r="M613" s="286">
        <v>43360</v>
      </c>
      <c r="N613" s="286">
        <v>43361</v>
      </c>
      <c r="O613" s="283"/>
      <c r="R613" s="285"/>
    </row>
    <row r="614" spans="1:18">
      <c r="A614" t="s">
        <v>368</v>
      </c>
      <c r="B614">
        <v>217</v>
      </c>
      <c r="C614" t="s">
        <v>2504</v>
      </c>
      <c r="D614">
        <v>0.877</v>
      </c>
      <c r="E614">
        <v>10.504200000000001</v>
      </c>
      <c r="F614">
        <v>0.2281</v>
      </c>
      <c r="G614">
        <f t="shared" si="76"/>
        <v>10.7323</v>
      </c>
      <c r="H614">
        <v>10.6996</v>
      </c>
      <c r="I614" s="284">
        <f>G614-H614</f>
        <v>3.2700000000000173E-2</v>
      </c>
      <c r="J614" s="283">
        <f t="shared" si="77"/>
        <v>0.19539999999999982</v>
      </c>
      <c r="K614" s="285">
        <f t="shared" si="78"/>
        <v>85.664182376150734</v>
      </c>
      <c r="L614">
        <v>13</v>
      </c>
      <c r="M614" s="16">
        <v>43402</v>
      </c>
      <c r="N614" s="16">
        <v>43403</v>
      </c>
      <c r="R614" s="285"/>
    </row>
    <row r="615" spans="1:18">
      <c r="A615" t="s">
        <v>367</v>
      </c>
      <c r="C615" t="s">
        <v>3682</v>
      </c>
      <c r="D615">
        <v>1.6498999999999999</v>
      </c>
      <c r="E615">
        <v>10.9034</v>
      </c>
      <c r="F615">
        <v>0.21970000000000001</v>
      </c>
      <c r="G615" s="284">
        <f t="shared" si="76"/>
        <v>11.123099999999999</v>
      </c>
      <c r="H615" s="284">
        <v>11.0779</v>
      </c>
      <c r="I615" s="284">
        <f>(G615-H615)</f>
        <v>4.5199999999999463E-2</v>
      </c>
      <c r="J615" s="283">
        <f t="shared" si="77"/>
        <v>0.17450000000000054</v>
      </c>
      <c r="K615" s="285">
        <f t="shared" si="78"/>
        <v>79.426490669094463</v>
      </c>
      <c r="L615">
        <v>5</v>
      </c>
      <c r="M615" s="286">
        <v>43360</v>
      </c>
      <c r="N615" s="286">
        <v>43361</v>
      </c>
      <c r="O615" s="283" t="s">
        <v>3707</v>
      </c>
      <c r="R615" s="285"/>
    </row>
    <row r="616" spans="1:18">
      <c r="A616" t="s">
        <v>366</v>
      </c>
      <c r="C616" t="s">
        <v>3488</v>
      </c>
      <c r="D616">
        <v>0.76570000000000005</v>
      </c>
      <c r="E616">
        <v>11.2601</v>
      </c>
      <c r="F616">
        <v>0.2034</v>
      </c>
      <c r="G616" s="288">
        <f t="shared" si="76"/>
        <v>11.4635</v>
      </c>
      <c r="H616" s="284">
        <v>11.435499999999999</v>
      </c>
      <c r="I616" s="288">
        <f>G616-H616</f>
        <v>2.8000000000000469E-2</v>
      </c>
      <c r="J616" s="283">
        <f t="shared" si="77"/>
        <v>0.17539999999999953</v>
      </c>
      <c r="K616" s="285">
        <f t="shared" si="78"/>
        <v>86.234021632251483</v>
      </c>
      <c r="L616">
        <v>11</v>
      </c>
      <c r="M616" s="286">
        <v>43379</v>
      </c>
      <c r="N616" s="286">
        <v>43379</v>
      </c>
      <c r="O616" s="283"/>
      <c r="R616" s="285"/>
    </row>
    <row r="617" spans="1:18">
      <c r="A617" t="s">
        <v>365</v>
      </c>
      <c r="C617" t="s">
        <v>3417</v>
      </c>
      <c r="D617">
        <v>1.4045000000000001</v>
      </c>
      <c r="E617">
        <v>9.8879000000000001</v>
      </c>
      <c r="F617">
        <v>0.20319999999999999</v>
      </c>
      <c r="G617" s="284">
        <f t="shared" si="76"/>
        <v>10.091100000000001</v>
      </c>
      <c r="H617" s="284">
        <v>9.8986000000000001</v>
      </c>
      <c r="I617" s="284">
        <f>G617-H617</f>
        <v>0.19250000000000078</v>
      </c>
      <c r="J617" s="283">
        <f t="shared" si="77"/>
        <v>1.069999999999921E-2</v>
      </c>
      <c r="K617" s="285">
        <f t="shared" si="78"/>
        <v>5.2657480314956748</v>
      </c>
      <c r="L617">
        <v>6</v>
      </c>
      <c r="M617" s="16">
        <v>43388</v>
      </c>
      <c r="N617" s="286">
        <v>43389</v>
      </c>
      <c r="O617" s="286"/>
      <c r="P617" s="283"/>
      <c r="R617" s="285"/>
    </row>
    <row r="618" spans="1:18">
      <c r="A618" t="s">
        <v>363</v>
      </c>
      <c r="C618" t="s">
        <v>3673</v>
      </c>
      <c r="D618">
        <v>1.7914000000000001</v>
      </c>
      <c r="E618">
        <v>10.2004</v>
      </c>
      <c r="F618">
        <v>0.1981</v>
      </c>
      <c r="G618" s="284">
        <f t="shared" si="76"/>
        <v>10.3985</v>
      </c>
      <c r="H618" s="284">
        <v>10.207000000000001</v>
      </c>
      <c r="I618" s="284">
        <f>(G618-H618)</f>
        <v>0.19149999999999956</v>
      </c>
      <c r="J618" s="283">
        <f t="shared" si="77"/>
        <v>6.6000000000004388E-3</v>
      </c>
      <c r="K618" s="285">
        <f t="shared" si="78"/>
        <v>3.3316506814742248</v>
      </c>
      <c r="L618">
        <v>27</v>
      </c>
      <c r="M618" s="16">
        <v>43358</v>
      </c>
      <c r="N618" s="16">
        <v>43358</v>
      </c>
      <c r="R618" s="285"/>
    </row>
    <row r="619" spans="1:18">
      <c r="A619" t="s">
        <v>362</v>
      </c>
      <c r="C619" t="s">
        <v>3759</v>
      </c>
      <c r="D619">
        <v>1.6762999999999999</v>
      </c>
      <c r="E619">
        <v>20.9695</v>
      </c>
      <c r="F619">
        <v>0.23699999999999999</v>
      </c>
      <c r="G619" s="284">
        <f t="shared" si="76"/>
        <v>21.206499999999998</v>
      </c>
      <c r="H619" s="284">
        <v>20.980599999999999</v>
      </c>
      <c r="I619" s="284">
        <f>G619-H619</f>
        <v>0.22589999999999932</v>
      </c>
      <c r="J619" s="283">
        <f t="shared" si="77"/>
        <v>1.1100000000000665E-2</v>
      </c>
      <c r="K619" s="285">
        <f t="shared" si="78"/>
        <v>4.6835443037977491</v>
      </c>
      <c r="L619">
        <v>40</v>
      </c>
      <c r="M619" s="286">
        <v>43363</v>
      </c>
      <c r="N619" s="286">
        <v>43364</v>
      </c>
      <c r="R619" s="285"/>
    </row>
    <row r="620" spans="1:18">
      <c r="A620" t="s">
        <v>361</v>
      </c>
      <c r="C620" t="s">
        <v>3670</v>
      </c>
      <c r="D620">
        <v>1.8415999999999999</v>
      </c>
      <c r="E620">
        <v>10.743499999999999</v>
      </c>
      <c r="F620">
        <v>0.20080000000000001</v>
      </c>
      <c r="G620" s="284">
        <f t="shared" si="76"/>
        <v>10.944299999999998</v>
      </c>
      <c r="H620" s="284">
        <v>10.7486</v>
      </c>
      <c r="I620" s="284">
        <f>(G620-H620)</f>
        <v>0.19569999999999865</v>
      </c>
      <c r="J620" s="283">
        <f t="shared" si="77"/>
        <v>5.1000000000013535E-3</v>
      </c>
      <c r="K620" s="285">
        <f t="shared" si="78"/>
        <v>2.5398406374508733</v>
      </c>
      <c r="L620">
        <v>30</v>
      </c>
      <c r="M620" s="16">
        <v>43358</v>
      </c>
      <c r="N620" s="16">
        <v>43358</v>
      </c>
      <c r="R620" s="285"/>
    </row>
    <row r="621" spans="1:18">
      <c r="A621" t="s">
        <v>360</v>
      </c>
      <c r="C621" t="s">
        <v>3418</v>
      </c>
      <c r="D621">
        <v>0</v>
      </c>
      <c r="E621">
        <v>0</v>
      </c>
      <c r="F621">
        <v>0</v>
      </c>
      <c r="G621">
        <v>0</v>
      </c>
      <c r="H621">
        <v>0</v>
      </c>
      <c r="I621">
        <v>0</v>
      </c>
      <c r="J621">
        <v>0</v>
      </c>
      <c r="K621">
        <v>0</v>
      </c>
    </row>
    <row r="622" spans="1:18">
      <c r="A622" t="s">
        <v>359</v>
      </c>
      <c r="C622" t="s">
        <v>3722</v>
      </c>
      <c r="D622">
        <v>1.8035000000000001</v>
      </c>
      <c r="E622">
        <v>9.0223999999999993</v>
      </c>
      <c r="F622">
        <v>0.2195</v>
      </c>
      <c r="G622" s="284">
        <f t="shared" ref="G622:G633" si="79">E622+F622</f>
        <v>9.2418999999999993</v>
      </c>
      <c r="H622" s="284">
        <v>9.0267999999999997</v>
      </c>
      <c r="I622" s="284">
        <f>(G622-H622)</f>
        <v>0.21509999999999962</v>
      </c>
      <c r="J622" s="283">
        <f t="shared" ref="J622:J633" si="80">F622-I622</f>
        <v>4.4000000000003758E-3</v>
      </c>
      <c r="K622" s="285">
        <f t="shared" ref="K622:K633" si="81">(J622/F622)*100</f>
        <v>2.0045558086562076</v>
      </c>
      <c r="L622">
        <v>31</v>
      </c>
      <c r="M622" s="286">
        <v>43360</v>
      </c>
      <c r="N622" s="286">
        <v>43361</v>
      </c>
      <c r="O622" s="283" t="s">
        <v>3707</v>
      </c>
      <c r="R622" s="285"/>
    </row>
    <row r="623" spans="1:18">
      <c r="A623" t="s">
        <v>358</v>
      </c>
      <c r="C623" t="s">
        <v>3679</v>
      </c>
      <c r="D623">
        <v>1.6814</v>
      </c>
      <c r="E623">
        <v>7.4824000000000002</v>
      </c>
      <c r="F623">
        <v>0.21879999999999999</v>
      </c>
      <c r="G623" s="284">
        <f t="shared" si="79"/>
        <v>7.7012</v>
      </c>
      <c r="H623" s="284">
        <v>7.4909999999999997</v>
      </c>
      <c r="I623" s="284">
        <f>G623-H623</f>
        <v>0.21020000000000039</v>
      </c>
      <c r="J623" s="283">
        <f t="shared" si="80"/>
        <v>8.599999999999608E-3</v>
      </c>
      <c r="K623" s="285">
        <f t="shared" si="81"/>
        <v>3.9305301645336419</v>
      </c>
      <c r="L623">
        <v>2</v>
      </c>
      <c r="M623" s="286">
        <v>43363</v>
      </c>
      <c r="N623" s="286">
        <v>43364</v>
      </c>
      <c r="O623" s="283" t="s">
        <v>3756</v>
      </c>
      <c r="R623" s="285"/>
    </row>
    <row r="624" spans="1:18">
      <c r="A624" t="s">
        <v>357</v>
      </c>
      <c r="C624" t="s">
        <v>3700</v>
      </c>
      <c r="D624">
        <v>1.8359000000000001</v>
      </c>
      <c r="E624">
        <v>7.9050000000000002</v>
      </c>
      <c r="F624">
        <v>0.2029</v>
      </c>
      <c r="G624" s="284">
        <f t="shared" si="79"/>
        <v>8.1079000000000008</v>
      </c>
      <c r="H624" s="284">
        <v>7.9122000000000003</v>
      </c>
      <c r="I624" s="284">
        <f>(G624-H624)</f>
        <v>0.19570000000000043</v>
      </c>
      <c r="J624" s="283">
        <f t="shared" si="80"/>
        <v>7.1999999999995679E-3</v>
      </c>
      <c r="K624" s="285">
        <f t="shared" si="81"/>
        <v>3.5485460818134884</v>
      </c>
      <c r="L624">
        <v>33</v>
      </c>
      <c r="M624" s="286">
        <v>43360</v>
      </c>
      <c r="N624" s="286">
        <v>43361</v>
      </c>
      <c r="R624" s="285"/>
    </row>
    <row r="625" spans="1:18">
      <c r="A625" t="s">
        <v>356</v>
      </c>
      <c r="C625" t="s">
        <v>3733</v>
      </c>
      <c r="D625">
        <v>1.8251999999999999</v>
      </c>
      <c r="E625">
        <v>9.2355999999999998</v>
      </c>
      <c r="F625">
        <v>0.21049999999999999</v>
      </c>
      <c r="G625" s="284">
        <f t="shared" si="79"/>
        <v>9.4460999999999995</v>
      </c>
      <c r="H625" s="284">
        <v>9.2432999999999996</v>
      </c>
      <c r="I625" s="284">
        <f t="shared" ref="I625:I633" si="82">G625-H625</f>
        <v>0.20279999999999987</v>
      </c>
      <c r="J625" s="283">
        <f t="shared" si="80"/>
        <v>7.7000000000001234E-3</v>
      </c>
      <c r="K625" s="285">
        <f t="shared" si="81"/>
        <v>3.6579572446556408</v>
      </c>
      <c r="L625">
        <v>16</v>
      </c>
      <c r="M625" s="286">
        <v>43361</v>
      </c>
      <c r="N625" s="286">
        <v>43362</v>
      </c>
      <c r="O625" s="283" t="s">
        <v>3730</v>
      </c>
      <c r="R625" s="285"/>
    </row>
    <row r="626" spans="1:18">
      <c r="A626" t="s">
        <v>355</v>
      </c>
      <c r="C626" t="s">
        <v>3754</v>
      </c>
      <c r="D626">
        <v>2.7707999999999999</v>
      </c>
      <c r="E626">
        <v>8.7347999999999999</v>
      </c>
      <c r="F626">
        <v>0.23699999999999999</v>
      </c>
      <c r="G626" s="284">
        <f t="shared" si="79"/>
        <v>8.9718</v>
      </c>
      <c r="H626" s="284">
        <v>8.9545999999999992</v>
      </c>
      <c r="I626" s="284">
        <f t="shared" si="82"/>
        <v>1.720000000000077E-2</v>
      </c>
      <c r="J626" s="283">
        <f t="shared" si="80"/>
        <v>0.21979999999999922</v>
      </c>
      <c r="K626" s="285">
        <f t="shared" si="81"/>
        <v>92.742616033754956</v>
      </c>
      <c r="L626">
        <v>6</v>
      </c>
      <c r="M626" s="286">
        <v>43374</v>
      </c>
      <c r="N626" s="286">
        <v>43375</v>
      </c>
      <c r="O626" s="283" t="s">
        <v>3730</v>
      </c>
      <c r="R626" s="285"/>
    </row>
    <row r="627" spans="1:18">
      <c r="A627" t="s">
        <v>354</v>
      </c>
      <c r="C627" t="s">
        <v>3748</v>
      </c>
      <c r="D627">
        <v>3.5485000000000002</v>
      </c>
      <c r="E627">
        <v>9.3238000000000003</v>
      </c>
      <c r="F627">
        <v>0.20399999999999999</v>
      </c>
      <c r="G627" s="284">
        <f t="shared" si="79"/>
        <v>9.5278000000000009</v>
      </c>
      <c r="H627" s="284">
        <v>9.5198</v>
      </c>
      <c r="I627" s="284">
        <f t="shared" si="82"/>
        <v>8.0000000000008953E-3</v>
      </c>
      <c r="J627" s="283">
        <f t="shared" si="80"/>
        <v>0.19599999999999909</v>
      </c>
      <c r="K627" s="285">
        <f t="shared" si="81"/>
        <v>96.078431372548579</v>
      </c>
      <c r="L627">
        <v>20</v>
      </c>
      <c r="M627" s="286">
        <v>43362</v>
      </c>
      <c r="N627" s="286">
        <v>43363</v>
      </c>
      <c r="R627" s="285"/>
    </row>
    <row r="628" spans="1:18">
      <c r="A628" t="s">
        <v>353</v>
      </c>
      <c r="C628" t="s">
        <v>3787</v>
      </c>
      <c r="D628">
        <v>1.4107000000000001</v>
      </c>
      <c r="E628">
        <v>11.122</v>
      </c>
      <c r="F628">
        <v>0.22389999999999999</v>
      </c>
      <c r="G628" s="284">
        <f t="shared" si="79"/>
        <v>11.3459</v>
      </c>
      <c r="H628" s="284">
        <v>11.320600000000001</v>
      </c>
      <c r="I628" s="284">
        <f t="shared" si="82"/>
        <v>2.5299999999999656E-2</v>
      </c>
      <c r="J628" s="283">
        <f t="shared" si="80"/>
        <v>0.19860000000000033</v>
      </c>
      <c r="K628" s="285">
        <f t="shared" si="81"/>
        <v>88.700312639571393</v>
      </c>
      <c r="L628">
        <v>37</v>
      </c>
      <c r="M628" s="16">
        <v>43395</v>
      </c>
      <c r="N628" s="16">
        <v>43396</v>
      </c>
      <c r="R628" s="285"/>
    </row>
    <row r="629" spans="1:18">
      <c r="A629" t="s">
        <v>352</v>
      </c>
      <c r="C629" t="s">
        <v>3731</v>
      </c>
      <c r="D629">
        <v>1.7058</v>
      </c>
      <c r="E629">
        <v>9.5202000000000009</v>
      </c>
      <c r="F629">
        <v>0.221</v>
      </c>
      <c r="G629" s="284">
        <f t="shared" si="79"/>
        <v>9.741200000000001</v>
      </c>
      <c r="H629" s="284">
        <v>9.5281000000000002</v>
      </c>
      <c r="I629" s="284">
        <f t="shared" si="82"/>
        <v>0.21310000000000073</v>
      </c>
      <c r="J629" s="283">
        <f t="shared" si="80"/>
        <v>7.8999999999992687E-3</v>
      </c>
      <c r="K629" s="285">
        <f t="shared" si="81"/>
        <v>3.5746606334838318</v>
      </c>
      <c r="L629">
        <v>18</v>
      </c>
      <c r="M629" s="16">
        <v>43381</v>
      </c>
      <c r="N629" s="16">
        <v>43382</v>
      </c>
      <c r="R629" s="285"/>
    </row>
    <row r="630" spans="1:18">
      <c r="A630" t="s">
        <v>351</v>
      </c>
      <c r="C630" t="s">
        <v>3492</v>
      </c>
      <c r="D630">
        <v>0.33750000000000002</v>
      </c>
      <c r="E630">
        <v>9.7756000000000007</v>
      </c>
      <c r="F630">
        <v>0.2142</v>
      </c>
      <c r="G630" s="284">
        <f t="shared" si="79"/>
        <v>9.9898000000000007</v>
      </c>
      <c r="H630" s="284">
        <v>9.9679000000000002</v>
      </c>
      <c r="I630" s="284">
        <f t="shared" si="82"/>
        <v>2.1900000000000475E-2</v>
      </c>
      <c r="J630" s="283">
        <f t="shared" si="80"/>
        <v>0.19229999999999953</v>
      </c>
      <c r="K630" s="285">
        <f t="shared" si="81"/>
        <v>89.775910364145446</v>
      </c>
      <c r="L630">
        <v>28</v>
      </c>
      <c r="M630" s="286">
        <v>43363</v>
      </c>
      <c r="N630" s="286">
        <v>43364</v>
      </c>
      <c r="O630" s="283" t="s">
        <v>3756</v>
      </c>
      <c r="R630" s="285"/>
    </row>
    <row r="631" spans="1:18">
      <c r="A631" t="s">
        <v>350</v>
      </c>
      <c r="C631" t="s">
        <v>3433</v>
      </c>
      <c r="D631">
        <v>1.9995000000000001</v>
      </c>
      <c r="E631">
        <v>11.4442</v>
      </c>
      <c r="F631">
        <v>0.21110000000000001</v>
      </c>
      <c r="G631" s="288">
        <f t="shared" si="79"/>
        <v>11.6553</v>
      </c>
      <c r="H631" s="284">
        <v>11.638</v>
      </c>
      <c r="I631" s="288">
        <f t="shared" si="82"/>
        <v>1.7300000000000537E-2</v>
      </c>
      <c r="J631" s="283">
        <f t="shared" si="80"/>
        <v>0.19379999999999947</v>
      </c>
      <c r="K631" s="285">
        <f t="shared" si="81"/>
        <v>91.804831833254127</v>
      </c>
      <c r="L631">
        <v>21</v>
      </c>
      <c r="M631" s="286">
        <v>43379</v>
      </c>
      <c r="N631" s="286">
        <v>43379</v>
      </c>
      <c r="R631" s="285"/>
    </row>
    <row r="632" spans="1:18">
      <c r="A632" t="s">
        <v>349</v>
      </c>
      <c r="C632" t="s">
        <v>3719</v>
      </c>
      <c r="D632">
        <v>2.0394999999999999</v>
      </c>
      <c r="E632">
        <v>9.8217999999999996</v>
      </c>
      <c r="F632">
        <v>0.20469999999999999</v>
      </c>
      <c r="G632" s="284">
        <f t="shared" si="79"/>
        <v>10.0265</v>
      </c>
      <c r="H632" s="284">
        <v>9.9885999999999999</v>
      </c>
      <c r="I632" s="284">
        <f t="shared" si="82"/>
        <v>3.7900000000000489E-2</v>
      </c>
      <c r="J632" s="283">
        <f t="shared" si="80"/>
        <v>0.1667999999999995</v>
      </c>
      <c r="K632" s="285">
        <f t="shared" si="81"/>
        <v>81.485100146555695</v>
      </c>
      <c r="L632">
        <v>14</v>
      </c>
      <c r="M632" s="286">
        <v>43363</v>
      </c>
      <c r="N632" s="286">
        <v>43364</v>
      </c>
      <c r="O632" s="283"/>
      <c r="R632" s="285"/>
    </row>
    <row r="633" spans="1:18">
      <c r="A633" t="s">
        <v>348</v>
      </c>
      <c r="C633" t="s">
        <v>3763</v>
      </c>
      <c r="D633">
        <v>1.504</v>
      </c>
      <c r="E633">
        <v>10.2035</v>
      </c>
      <c r="F633">
        <v>0.21920000000000001</v>
      </c>
      <c r="G633" s="284">
        <f t="shared" si="79"/>
        <v>10.422700000000001</v>
      </c>
      <c r="H633" s="284">
        <v>10.219099999999999</v>
      </c>
      <c r="I633" s="284">
        <f t="shared" si="82"/>
        <v>0.20360000000000156</v>
      </c>
      <c r="J633" s="283">
        <f t="shared" si="80"/>
        <v>1.5599999999998448E-2</v>
      </c>
      <c r="K633" s="285">
        <f t="shared" si="81"/>
        <v>7.1167883211671752</v>
      </c>
      <c r="L633">
        <v>32</v>
      </c>
      <c r="M633" s="286">
        <v>43374</v>
      </c>
      <c r="N633" s="286">
        <v>43375</v>
      </c>
      <c r="O633" s="283" t="s">
        <v>3730</v>
      </c>
      <c r="R633" s="285"/>
    </row>
    <row r="634" spans="1:18">
      <c r="A634" t="s">
        <v>347</v>
      </c>
      <c r="C634" t="s">
        <v>3737</v>
      </c>
      <c r="D634">
        <v>0</v>
      </c>
      <c r="E634">
        <v>0</v>
      </c>
      <c r="F634">
        <v>0</v>
      </c>
      <c r="G634">
        <v>0</v>
      </c>
      <c r="H634">
        <v>0</v>
      </c>
      <c r="I634">
        <v>0</v>
      </c>
      <c r="J634">
        <v>0</v>
      </c>
      <c r="K634">
        <v>0</v>
      </c>
    </row>
    <row r="635" spans="1:18">
      <c r="A635" t="s">
        <v>346</v>
      </c>
      <c r="C635" t="s">
        <v>3774</v>
      </c>
      <c r="D635">
        <v>0</v>
      </c>
      <c r="E635">
        <v>0</v>
      </c>
      <c r="F635">
        <v>0</v>
      </c>
      <c r="G635">
        <v>0</v>
      </c>
      <c r="H635">
        <v>0</v>
      </c>
      <c r="I635">
        <v>0</v>
      </c>
      <c r="J635">
        <v>0</v>
      </c>
      <c r="K635">
        <v>0</v>
      </c>
    </row>
    <row r="636" spans="1:18">
      <c r="A636" t="s">
        <v>345</v>
      </c>
      <c r="C636" t="s">
        <v>3667</v>
      </c>
      <c r="D636">
        <v>1.7927</v>
      </c>
      <c r="E636">
        <v>10.9215</v>
      </c>
      <c r="F636">
        <v>0.20230000000000001</v>
      </c>
      <c r="G636" s="284">
        <f t="shared" ref="G636:G646" si="83">E636+F636</f>
        <v>11.123799999999999</v>
      </c>
      <c r="H636" s="284">
        <v>10.9269</v>
      </c>
      <c r="I636" s="284">
        <f>(G636-H636)</f>
        <v>0.19689999999999941</v>
      </c>
      <c r="J636" s="283">
        <f t="shared" ref="J636:J646" si="84">F636-I636</f>
        <v>5.4000000000005988E-3</v>
      </c>
      <c r="K636" s="285">
        <f t="shared" ref="K636:K646" si="85">(J636/F636)*100</f>
        <v>2.6693030153240724</v>
      </c>
      <c r="L636">
        <v>2</v>
      </c>
      <c r="M636" s="16">
        <v>43358</v>
      </c>
      <c r="N636" s="16">
        <v>43358</v>
      </c>
      <c r="R636" s="285"/>
    </row>
    <row r="637" spans="1:18">
      <c r="A637" t="s">
        <v>344</v>
      </c>
      <c r="C637" t="s">
        <v>3786</v>
      </c>
      <c r="D637">
        <v>0.55049999999999999</v>
      </c>
      <c r="E637">
        <v>10.699199999999999</v>
      </c>
      <c r="F637">
        <v>0.2</v>
      </c>
      <c r="G637" s="284">
        <f t="shared" si="83"/>
        <v>10.899199999999999</v>
      </c>
      <c r="H637" s="284">
        <v>10.883100000000001</v>
      </c>
      <c r="I637" s="284">
        <f>G637-H637</f>
        <v>1.6099999999998005E-2</v>
      </c>
      <c r="J637" s="283">
        <f t="shared" si="84"/>
        <v>0.18390000000000201</v>
      </c>
      <c r="K637" s="285">
        <f t="shared" si="85"/>
        <v>91.950000000000998</v>
      </c>
      <c r="L637">
        <v>33</v>
      </c>
      <c r="M637" s="16">
        <v>43395</v>
      </c>
      <c r="N637" s="16">
        <v>43396</v>
      </c>
      <c r="R637" s="285"/>
    </row>
    <row r="638" spans="1:18">
      <c r="A638" t="s">
        <v>343</v>
      </c>
      <c r="C638" t="s">
        <v>3718</v>
      </c>
      <c r="D638">
        <v>1.7378</v>
      </c>
      <c r="E638">
        <v>19.390799999999999</v>
      </c>
      <c r="F638">
        <v>0.2079</v>
      </c>
      <c r="G638" s="284">
        <f t="shared" si="83"/>
        <v>19.598699999999997</v>
      </c>
      <c r="H638" s="284">
        <v>19.4008</v>
      </c>
      <c r="I638" s="284">
        <f>G638-H638</f>
        <v>0.19789999999999708</v>
      </c>
      <c r="J638" s="283">
        <f t="shared" si="84"/>
        <v>1.0000000000002923E-2</v>
      </c>
      <c r="K638" s="285">
        <f t="shared" si="85"/>
        <v>4.810004810006216</v>
      </c>
      <c r="L638">
        <v>28</v>
      </c>
      <c r="M638" s="286">
        <v>43361</v>
      </c>
      <c r="N638" s="286">
        <v>43362</v>
      </c>
      <c r="O638" s="283" t="s">
        <v>3730</v>
      </c>
      <c r="R638" s="285"/>
    </row>
    <row r="639" spans="1:18">
      <c r="A639" t="s">
        <v>342</v>
      </c>
      <c r="C639" t="s">
        <v>3681</v>
      </c>
      <c r="D639">
        <v>1.4207000000000001</v>
      </c>
      <c r="E639">
        <v>7.1912000000000003</v>
      </c>
      <c r="F639">
        <v>0.21629999999999999</v>
      </c>
      <c r="G639">
        <f t="shared" si="83"/>
        <v>7.4075000000000006</v>
      </c>
      <c r="H639">
        <v>7.1985999999999999</v>
      </c>
      <c r="I639" s="284">
        <f>G639-H639</f>
        <v>0.20890000000000075</v>
      </c>
      <c r="J639" s="283">
        <f t="shared" si="84"/>
        <v>7.3999999999992405E-3</v>
      </c>
      <c r="K639" s="285">
        <f t="shared" si="85"/>
        <v>3.4211742949603519</v>
      </c>
      <c r="L639">
        <v>25</v>
      </c>
      <c r="M639" s="16">
        <v>43399</v>
      </c>
      <c r="N639" s="16">
        <v>43400</v>
      </c>
      <c r="R639" s="285"/>
    </row>
    <row r="640" spans="1:18">
      <c r="A640" t="s">
        <v>341</v>
      </c>
      <c r="C640" t="s">
        <v>3680</v>
      </c>
      <c r="D640">
        <v>1.7402</v>
      </c>
      <c r="E640">
        <v>10.921900000000001</v>
      </c>
      <c r="F640">
        <v>0.21279999999999999</v>
      </c>
      <c r="G640" s="284">
        <f t="shared" si="83"/>
        <v>11.1347</v>
      </c>
      <c r="H640" s="284">
        <v>10.928699999999999</v>
      </c>
      <c r="I640" s="284">
        <f>(G640-H640)</f>
        <v>0.20600000000000129</v>
      </c>
      <c r="J640" s="283">
        <f t="shared" si="84"/>
        <v>6.799999999998696E-3</v>
      </c>
      <c r="K640" s="285">
        <f t="shared" si="85"/>
        <v>3.1954887218038985</v>
      </c>
      <c r="L640">
        <v>35</v>
      </c>
      <c r="M640" s="286">
        <v>43360</v>
      </c>
      <c r="N640" s="286">
        <v>43361</v>
      </c>
      <c r="R640" s="285"/>
    </row>
    <row r="641" spans="1:18">
      <c r="A641" t="s">
        <v>340</v>
      </c>
      <c r="C641" t="s">
        <v>3715</v>
      </c>
      <c r="D641">
        <v>1.1197999999999999</v>
      </c>
      <c r="E641">
        <v>10.636100000000001</v>
      </c>
      <c r="F641">
        <v>0.21279999999999999</v>
      </c>
      <c r="G641" s="284">
        <f t="shared" si="83"/>
        <v>10.8489</v>
      </c>
      <c r="H641" s="284">
        <v>10.841699999999999</v>
      </c>
      <c r="I641" s="284">
        <f>(G641-H641)</f>
        <v>7.2000000000009834E-3</v>
      </c>
      <c r="J641" s="283">
        <f t="shared" si="84"/>
        <v>0.20559999999999901</v>
      </c>
      <c r="K641" s="285">
        <f t="shared" si="85"/>
        <v>96.616541353382999</v>
      </c>
      <c r="L641">
        <v>14</v>
      </c>
      <c r="M641" s="286">
        <v>43360</v>
      </c>
      <c r="N641" s="286">
        <v>43361</v>
      </c>
      <c r="O641" s="283" t="s">
        <v>3707</v>
      </c>
      <c r="R641" s="285"/>
    </row>
    <row r="642" spans="1:18">
      <c r="A642" t="s">
        <v>1061</v>
      </c>
      <c r="C642" t="s">
        <v>3466</v>
      </c>
      <c r="D642">
        <v>1.6708000000000001</v>
      </c>
      <c r="E642">
        <v>8.3566000000000003</v>
      </c>
      <c r="F642">
        <v>0.21190000000000001</v>
      </c>
      <c r="G642" s="284">
        <f t="shared" si="83"/>
        <v>8.5685000000000002</v>
      </c>
      <c r="H642" s="284">
        <v>8.3829999999999991</v>
      </c>
      <c r="I642" s="284">
        <f>G642-H642</f>
        <v>0.18550000000000111</v>
      </c>
      <c r="J642" s="283">
        <f t="shared" si="84"/>
        <v>2.6399999999998897E-2</v>
      </c>
      <c r="K642" s="285">
        <f t="shared" si="85"/>
        <v>12.458706937234023</v>
      </c>
      <c r="L642">
        <v>22</v>
      </c>
      <c r="M642" s="286">
        <v>43362</v>
      </c>
      <c r="N642" s="286">
        <v>43363</v>
      </c>
      <c r="R642" s="285"/>
    </row>
    <row r="643" spans="1:18">
      <c r="A643" t="s">
        <v>339</v>
      </c>
      <c r="C643" t="s">
        <v>3721</v>
      </c>
      <c r="D643">
        <v>1.7824</v>
      </c>
      <c r="E643">
        <v>9.9177999999999997</v>
      </c>
      <c r="F643">
        <v>0.2228</v>
      </c>
      <c r="G643" s="284">
        <f t="shared" si="83"/>
        <v>10.140599999999999</v>
      </c>
      <c r="H643" s="284">
        <v>9.9242000000000008</v>
      </c>
      <c r="I643" s="284">
        <f>G643-H643</f>
        <v>0.21639999999999837</v>
      </c>
      <c r="J643" s="283">
        <f t="shared" si="84"/>
        <v>6.4000000000016266E-3</v>
      </c>
      <c r="K643" s="285">
        <f t="shared" si="85"/>
        <v>2.8725314183131179</v>
      </c>
      <c r="L643">
        <v>10</v>
      </c>
      <c r="M643" s="286">
        <v>43361</v>
      </c>
      <c r="N643" s="286">
        <v>43362</v>
      </c>
      <c r="O643" s="283" t="s">
        <v>3730</v>
      </c>
      <c r="R643" s="285"/>
    </row>
    <row r="644" spans="1:18">
      <c r="A644" t="s">
        <v>337</v>
      </c>
      <c r="C644" t="s">
        <v>3692</v>
      </c>
      <c r="D644">
        <v>1.5168999999999999</v>
      </c>
      <c r="E644">
        <v>10.510199999999999</v>
      </c>
      <c r="F644">
        <v>0.2107</v>
      </c>
      <c r="G644" s="284">
        <f t="shared" si="83"/>
        <v>10.720899999999999</v>
      </c>
      <c r="H644" s="284">
        <v>10.529299999999999</v>
      </c>
      <c r="I644" s="284">
        <f>G644-H644</f>
        <v>0.19159999999999933</v>
      </c>
      <c r="J644" s="283">
        <f t="shared" si="84"/>
        <v>1.9100000000000672E-2</v>
      </c>
      <c r="K644" s="285">
        <f t="shared" si="85"/>
        <v>9.0650213573804805</v>
      </c>
      <c r="L644">
        <v>9</v>
      </c>
      <c r="M644" s="286">
        <v>43361</v>
      </c>
      <c r="N644" s="286">
        <v>43362</v>
      </c>
      <c r="O644" s="283" t="s">
        <v>3730</v>
      </c>
      <c r="R644" s="285"/>
    </row>
    <row r="645" spans="1:18">
      <c r="A645" t="s">
        <v>336</v>
      </c>
      <c r="B645">
        <v>212</v>
      </c>
      <c r="D645">
        <v>0.6573</v>
      </c>
      <c r="E645">
        <v>9.9193999999999996</v>
      </c>
      <c r="F645">
        <v>0.2041</v>
      </c>
      <c r="G645" s="284">
        <f t="shared" si="83"/>
        <v>10.1235</v>
      </c>
      <c r="H645" s="284">
        <v>9.9436</v>
      </c>
      <c r="I645" s="284">
        <f>G645-H645</f>
        <v>0.17989999999999995</v>
      </c>
      <c r="J645" s="283">
        <f t="shared" si="84"/>
        <v>2.4200000000000055E-2</v>
      </c>
      <c r="K645" s="285">
        <f t="shared" si="85"/>
        <v>11.856932876041183</v>
      </c>
      <c r="L645">
        <v>15</v>
      </c>
      <c r="M645" s="16">
        <v>43395</v>
      </c>
      <c r="N645" s="16">
        <v>43396</v>
      </c>
      <c r="R645" s="285"/>
    </row>
    <row r="646" spans="1:18">
      <c r="A646" t="s">
        <v>335</v>
      </c>
      <c r="C646" t="s">
        <v>3734</v>
      </c>
      <c r="D646">
        <v>1.1969000000000001</v>
      </c>
      <c r="E646">
        <v>9.8870000000000005</v>
      </c>
      <c r="F646">
        <v>0.2019</v>
      </c>
      <c r="G646" s="284">
        <f t="shared" si="83"/>
        <v>10.088900000000001</v>
      </c>
      <c r="H646" s="284">
        <v>10.0314</v>
      </c>
      <c r="I646" s="284">
        <f>G646-H646</f>
        <v>5.7500000000000995E-2</v>
      </c>
      <c r="J646" s="283">
        <f t="shared" si="84"/>
        <v>0.144399999999999</v>
      </c>
      <c r="K646" s="285">
        <f t="shared" si="85"/>
        <v>71.520554730063893</v>
      </c>
      <c r="L646">
        <v>22</v>
      </c>
      <c r="M646" s="286">
        <v>43361</v>
      </c>
      <c r="N646" s="286">
        <v>43362</v>
      </c>
      <c r="O646" s="283" t="s">
        <v>3730</v>
      </c>
      <c r="R646" s="285"/>
    </row>
    <row r="647" spans="1:18">
      <c r="A647" t="s">
        <v>333</v>
      </c>
      <c r="C647" t="s">
        <v>3726</v>
      </c>
      <c r="D647">
        <v>0</v>
      </c>
      <c r="E647">
        <v>0</v>
      </c>
      <c r="F647">
        <v>0</v>
      </c>
      <c r="G647">
        <v>0</v>
      </c>
      <c r="H647">
        <v>0</v>
      </c>
      <c r="I647">
        <v>0</v>
      </c>
      <c r="J647">
        <v>0</v>
      </c>
      <c r="K647">
        <v>0</v>
      </c>
    </row>
    <row r="648" spans="1:18">
      <c r="A648" t="s">
        <v>332</v>
      </c>
      <c r="C648" t="s">
        <v>3764</v>
      </c>
      <c r="D648">
        <v>1.3797999999999999</v>
      </c>
      <c r="E648">
        <v>11.0345</v>
      </c>
      <c r="F648">
        <v>0.20519999999999999</v>
      </c>
      <c r="G648">
        <f>E648+F648</f>
        <v>11.239699999999999</v>
      </c>
      <c r="H648">
        <v>11.053800000000001</v>
      </c>
      <c r="I648" s="284">
        <f>G648-H648</f>
        <v>0.1858999999999984</v>
      </c>
      <c r="J648" s="283">
        <f>F648-I648</f>
        <v>1.9300000000001594E-2</v>
      </c>
      <c r="K648" s="285">
        <f>(J648/F648)*100</f>
        <v>9.4054580896693931</v>
      </c>
      <c r="L648">
        <v>1</v>
      </c>
      <c r="M648" s="16">
        <v>43402</v>
      </c>
      <c r="N648" s="16">
        <v>43403</v>
      </c>
      <c r="R648" s="285"/>
    </row>
    <row r="649" spans="1:18">
      <c r="A649" t="s">
        <v>330</v>
      </c>
      <c r="C649" t="s">
        <v>3758</v>
      </c>
      <c r="D649">
        <v>0</v>
      </c>
      <c r="E649">
        <v>0</v>
      </c>
      <c r="F649">
        <v>0</v>
      </c>
      <c r="G649">
        <v>0</v>
      </c>
      <c r="H649">
        <v>0</v>
      </c>
      <c r="I649">
        <v>0</v>
      </c>
      <c r="J649">
        <v>0</v>
      </c>
      <c r="K649">
        <v>0</v>
      </c>
    </row>
    <row r="650" spans="1:18">
      <c r="A650" t="s">
        <v>328</v>
      </c>
      <c r="C650" t="s">
        <v>3768</v>
      </c>
      <c r="D650">
        <v>1.7222</v>
      </c>
      <c r="E650">
        <v>9.5569000000000006</v>
      </c>
      <c r="F650">
        <v>0.21920000000000001</v>
      </c>
      <c r="G650" s="284">
        <f t="shared" ref="G650:G658" si="86">E650+F650</f>
        <v>9.7761000000000013</v>
      </c>
      <c r="H650" s="284">
        <v>9.5655000000000001</v>
      </c>
      <c r="I650" s="284">
        <f>G650-H650</f>
        <v>0.21060000000000123</v>
      </c>
      <c r="J650" s="283">
        <f t="shared" ref="J650:J658" si="87">F650-I650</f>
        <v>8.5999999999987753E-3</v>
      </c>
      <c r="K650" s="285">
        <f t="shared" ref="K650:K658" si="88">(J650/F650)*100</f>
        <v>3.9233576642330181</v>
      </c>
      <c r="L650">
        <v>19</v>
      </c>
      <c r="M650" s="16">
        <v>43399</v>
      </c>
      <c r="N650" s="16">
        <v>43400</v>
      </c>
      <c r="R650" s="285"/>
    </row>
    <row r="651" spans="1:18">
      <c r="A651" t="s">
        <v>327</v>
      </c>
      <c r="C651" t="s">
        <v>3698</v>
      </c>
      <c r="D651">
        <v>1.7769999999999999</v>
      </c>
      <c r="E651">
        <v>10.1456</v>
      </c>
      <c r="F651">
        <v>0.20050000000000001</v>
      </c>
      <c r="G651" s="284">
        <f t="shared" si="86"/>
        <v>10.3461</v>
      </c>
      <c r="H651" s="284">
        <v>10.1494</v>
      </c>
      <c r="I651" s="284">
        <f>(G651-H651)</f>
        <v>0.19669999999999987</v>
      </c>
      <c r="J651" s="283">
        <f t="shared" si="87"/>
        <v>3.8000000000001366E-3</v>
      </c>
      <c r="K651" s="285">
        <f t="shared" si="88"/>
        <v>1.8952618453866015</v>
      </c>
      <c r="L651">
        <v>24</v>
      </c>
      <c r="M651" s="286">
        <v>43360</v>
      </c>
      <c r="N651" s="286">
        <v>43361</v>
      </c>
      <c r="O651" s="283" t="s">
        <v>3707</v>
      </c>
      <c r="R651" s="285"/>
    </row>
    <row r="652" spans="1:18">
      <c r="A652" t="s">
        <v>326</v>
      </c>
      <c r="C652" t="s">
        <v>3428</v>
      </c>
      <c r="D652">
        <v>1.8137000000000001</v>
      </c>
      <c r="E652">
        <v>8.3558000000000003</v>
      </c>
      <c r="F652">
        <v>0.2049</v>
      </c>
      <c r="G652">
        <f t="shared" si="86"/>
        <v>8.5607000000000006</v>
      </c>
      <c r="H652">
        <v>8.5378000000000007</v>
      </c>
      <c r="I652" s="284">
        <f>G652-H652</f>
        <v>2.289999999999992E-2</v>
      </c>
      <c r="J652" s="283">
        <f t="shared" si="87"/>
        <v>0.18200000000000008</v>
      </c>
      <c r="K652" s="285">
        <f t="shared" si="88"/>
        <v>88.823816495851673</v>
      </c>
      <c r="L652">
        <v>6</v>
      </c>
      <c r="M652" s="16">
        <v>43402</v>
      </c>
      <c r="N652" s="16">
        <v>43403</v>
      </c>
      <c r="R652" s="285"/>
    </row>
    <row r="653" spans="1:18">
      <c r="A653" t="s">
        <v>325</v>
      </c>
      <c r="C653" t="s">
        <v>3425</v>
      </c>
      <c r="D653">
        <v>2.0939999999999999</v>
      </c>
      <c r="E653">
        <v>9.1386000000000003</v>
      </c>
      <c r="F653">
        <v>0.2465</v>
      </c>
      <c r="G653">
        <f t="shared" si="86"/>
        <v>9.3850999999999996</v>
      </c>
      <c r="H653">
        <v>9.3635000000000002</v>
      </c>
      <c r="I653" s="284">
        <f>G653-H653</f>
        <v>2.1599999999999397E-2</v>
      </c>
      <c r="J653" s="283">
        <f t="shared" si="87"/>
        <v>0.2249000000000006</v>
      </c>
      <c r="K653" s="285">
        <f t="shared" si="88"/>
        <v>91.237322515213222</v>
      </c>
      <c r="L653">
        <v>26</v>
      </c>
      <c r="M653" s="16">
        <v>43399</v>
      </c>
      <c r="N653" s="16">
        <v>43400</v>
      </c>
      <c r="R653" s="285"/>
    </row>
    <row r="654" spans="1:18">
      <c r="A654" t="s">
        <v>324</v>
      </c>
      <c r="C654" t="s">
        <v>3691</v>
      </c>
      <c r="D654">
        <v>1.833</v>
      </c>
      <c r="E654">
        <v>10.5105</v>
      </c>
      <c r="F654">
        <v>0.2198</v>
      </c>
      <c r="G654" s="284">
        <f t="shared" si="86"/>
        <v>10.7303</v>
      </c>
      <c r="H654" s="284">
        <v>10.5167</v>
      </c>
      <c r="I654" s="284">
        <f>G654-H654</f>
        <v>0.21359999999999957</v>
      </c>
      <c r="J654" s="283">
        <f t="shared" si="87"/>
        <v>6.2000000000004274E-3</v>
      </c>
      <c r="K654" s="285">
        <f t="shared" si="88"/>
        <v>2.8207461328482384</v>
      </c>
      <c r="L654">
        <v>41</v>
      </c>
      <c r="M654" s="16">
        <v>43381</v>
      </c>
      <c r="N654" s="16">
        <v>43382</v>
      </c>
      <c r="R654" s="285"/>
    </row>
    <row r="655" spans="1:18">
      <c r="A655" t="s">
        <v>323</v>
      </c>
      <c r="C655" t="s">
        <v>3689</v>
      </c>
      <c r="D655">
        <v>1.7952999999999999</v>
      </c>
      <c r="E655">
        <v>11.745900000000001</v>
      </c>
      <c r="F655">
        <v>0.22670000000000001</v>
      </c>
      <c r="G655" s="284">
        <f t="shared" si="86"/>
        <v>11.9726</v>
      </c>
      <c r="H655" s="284">
        <v>11.753500000000001</v>
      </c>
      <c r="I655" s="284">
        <f>(G655-H655)</f>
        <v>0.21909999999999918</v>
      </c>
      <c r="J655" s="283">
        <f t="shared" si="87"/>
        <v>7.6000000000008283E-3</v>
      </c>
      <c r="K655" s="285">
        <f t="shared" si="88"/>
        <v>3.3524481693872197</v>
      </c>
      <c r="L655">
        <v>38</v>
      </c>
      <c r="M655" s="286">
        <v>43360</v>
      </c>
      <c r="N655" s="286">
        <v>43361</v>
      </c>
      <c r="R655" s="285"/>
    </row>
    <row r="656" spans="1:18">
      <c r="A656" t="s">
        <v>321</v>
      </c>
      <c r="C656" t="s">
        <v>3672</v>
      </c>
      <c r="D656">
        <v>1.7662</v>
      </c>
      <c r="E656">
        <v>9.3425999999999991</v>
      </c>
      <c r="F656">
        <v>0.20630000000000001</v>
      </c>
      <c r="G656" s="284">
        <f t="shared" si="86"/>
        <v>9.5488999999999997</v>
      </c>
      <c r="H656" s="284">
        <v>9.3483999999999998</v>
      </c>
      <c r="I656" s="284">
        <f>(G656-H656)</f>
        <v>0.2004999999999999</v>
      </c>
      <c r="J656" s="283">
        <f t="shared" si="87"/>
        <v>5.8000000000001106E-3</v>
      </c>
      <c r="K656" s="285">
        <f t="shared" si="88"/>
        <v>2.8114396509937518</v>
      </c>
      <c r="L656">
        <v>38</v>
      </c>
      <c r="M656" s="16">
        <v>43358</v>
      </c>
      <c r="N656" s="16">
        <v>43358</v>
      </c>
      <c r="R656" s="285"/>
    </row>
    <row r="657" spans="1:18">
      <c r="A657" t="s">
        <v>320</v>
      </c>
      <c r="C657" t="s">
        <v>3729</v>
      </c>
      <c r="D657">
        <v>2.5222000000000002</v>
      </c>
      <c r="E657">
        <v>20.8978</v>
      </c>
      <c r="F657">
        <v>0.21820000000000001</v>
      </c>
      <c r="G657" s="284">
        <f t="shared" si="86"/>
        <v>21.116</v>
      </c>
      <c r="H657" s="284">
        <v>21.087499999999999</v>
      </c>
      <c r="I657" s="284">
        <f>G657-H657</f>
        <v>2.850000000000108E-2</v>
      </c>
      <c r="J657" s="283">
        <f t="shared" si="87"/>
        <v>0.18969999999999893</v>
      </c>
      <c r="K657" s="285">
        <f t="shared" si="88"/>
        <v>86.93858845096193</v>
      </c>
      <c r="L657">
        <v>37</v>
      </c>
      <c r="M657" s="286">
        <v>43361</v>
      </c>
      <c r="N657" s="286">
        <v>43362</v>
      </c>
      <c r="O657" s="283" t="s">
        <v>3730</v>
      </c>
      <c r="R657" s="285"/>
    </row>
    <row r="658" spans="1:18">
      <c r="A658" t="s">
        <v>319</v>
      </c>
      <c r="C658" t="s">
        <v>3713</v>
      </c>
      <c r="D658">
        <v>1.1264000000000001</v>
      </c>
      <c r="E658">
        <v>8.0643999999999991</v>
      </c>
      <c r="F658">
        <v>0.20050000000000001</v>
      </c>
      <c r="G658" s="284">
        <f t="shared" si="86"/>
        <v>8.264899999999999</v>
      </c>
      <c r="H658" s="284">
        <v>8.0708000000000002</v>
      </c>
      <c r="I658" s="284">
        <f>G658-H658</f>
        <v>0.19409999999999883</v>
      </c>
      <c r="J658" s="283">
        <f t="shared" si="87"/>
        <v>6.4000000000011825E-3</v>
      </c>
      <c r="K658" s="285">
        <f t="shared" si="88"/>
        <v>3.1920199501252777</v>
      </c>
      <c r="L658">
        <v>7</v>
      </c>
      <c r="M658" s="286">
        <v>43361</v>
      </c>
      <c r="N658" s="286">
        <v>43362</v>
      </c>
      <c r="O658" s="283" t="s">
        <v>3730</v>
      </c>
      <c r="R658" s="285"/>
    </row>
    <row r="659" spans="1:18">
      <c r="A659" t="s">
        <v>318</v>
      </c>
      <c r="C659" t="s">
        <v>3417</v>
      </c>
      <c r="D659">
        <v>0</v>
      </c>
      <c r="E659">
        <v>0</v>
      </c>
      <c r="F659">
        <v>0</v>
      </c>
      <c r="G659">
        <v>0</v>
      </c>
      <c r="H659">
        <v>0</v>
      </c>
      <c r="I659">
        <v>0</v>
      </c>
      <c r="J659">
        <v>0</v>
      </c>
      <c r="K659">
        <v>0</v>
      </c>
    </row>
    <row r="660" spans="1:18">
      <c r="A660" t="s">
        <v>316</v>
      </c>
      <c r="C660" t="s">
        <v>3496</v>
      </c>
      <c r="D660">
        <v>2.2692000000000001</v>
      </c>
      <c r="E660">
        <v>11.9041</v>
      </c>
      <c r="F660">
        <v>0.21560000000000001</v>
      </c>
      <c r="G660" s="284">
        <f t="shared" ref="G660:G676" si="89">E660+F660</f>
        <v>12.1197</v>
      </c>
      <c r="H660" s="284">
        <v>12.098699999999999</v>
      </c>
      <c r="I660" s="284">
        <f>G660-H660</f>
        <v>2.1000000000000796E-2</v>
      </c>
      <c r="J660" s="283">
        <f t="shared" ref="J660:J676" si="90">F660-I660</f>
        <v>0.19459999999999922</v>
      </c>
      <c r="K660" s="285">
        <f t="shared" ref="K660:K676" si="91">(J660/F660)*100</f>
        <v>90.2597402597399</v>
      </c>
      <c r="L660">
        <v>29</v>
      </c>
      <c r="M660" s="286">
        <v>43363</v>
      </c>
      <c r="N660" s="286">
        <v>43364</v>
      </c>
      <c r="O660" s="283" t="s">
        <v>3756</v>
      </c>
      <c r="R660" s="285"/>
    </row>
    <row r="661" spans="1:18">
      <c r="A661" t="s">
        <v>315</v>
      </c>
      <c r="C661" t="s">
        <v>3684</v>
      </c>
      <c r="D661">
        <v>1.4730000000000001</v>
      </c>
      <c r="E661">
        <v>7.8400999999999996</v>
      </c>
      <c r="F661">
        <v>0.22159999999999999</v>
      </c>
      <c r="G661" s="284">
        <f t="shared" si="89"/>
        <v>8.0617000000000001</v>
      </c>
      <c r="H661" s="284">
        <v>8.0248000000000008</v>
      </c>
      <c r="I661" s="284">
        <f>(G661-H661)</f>
        <v>3.6899999999999267E-2</v>
      </c>
      <c r="J661" s="283">
        <f t="shared" si="90"/>
        <v>0.18470000000000072</v>
      </c>
      <c r="K661" s="285">
        <f t="shared" si="91"/>
        <v>83.348375451263863</v>
      </c>
      <c r="L661">
        <v>8</v>
      </c>
      <c r="M661" s="286">
        <v>43360</v>
      </c>
      <c r="N661" s="286">
        <v>43361</v>
      </c>
      <c r="O661" s="283"/>
      <c r="R661" s="285"/>
    </row>
    <row r="662" spans="1:18">
      <c r="A662" t="s">
        <v>314</v>
      </c>
      <c r="C662" t="s">
        <v>3696</v>
      </c>
      <c r="D662">
        <v>1.7524999999999999</v>
      </c>
      <c r="E662">
        <v>11.443899999999999</v>
      </c>
      <c r="F662">
        <v>0.23069999999999999</v>
      </c>
      <c r="G662" s="284">
        <f t="shared" si="89"/>
        <v>11.6746</v>
      </c>
      <c r="H662" s="284">
        <v>11.4503</v>
      </c>
      <c r="I662" s="284">
        <f>(G662-H662)</f>
        <v>0.2242999999999995</v>
      </c>
      <c r="J662" s="283">
        <f t="shared" si="90"/>
        <v>6.4000000000004886E-3</v>
      </c>
      <c r="K662" s="285">
        <f t="shared" si="91"/>
        <v>2.7741655830084477</v>
      </c>
      <c r="L662">
        <v>23</v>
      </c>
      <c r="M662" s="286">
        <v>43360</v>
      </c>
      <c r="N662" s="286">
        <v>43361</v>
      </c>
      <c r="R662" s="285"/>
    </row>
    <row r="663" spans="1:18">
      <c r="A663" t="s">
        <v>313</v>
      </c>
      <c r="C663" t="s">
        <v>3751</v>
      </c>
      <c r="D663">
        <v>1.7721</v>
      </c>
      <c r="E663">
        <v>10.698700000000001</v>
      </c>
      <c r="F663">
        <v>0.2084</v>
      </c>
      <c r="G663" s="284">
        <f t="shared" si="89"/>
        <v>10.9071</v>
      </c>
      <c r="H663" s="284">
        <v>10.705399999999999</v>
      </c>
      <c r="I663" s="284">
        <f>G663-H663</f>
        <v>0.20170000000000066</v>
      </c>
      <c r="J663" s="283">
        <f t="shared" si="90"/>
        <v>6.6999999999993454E-3</v>
      </c>
      <c r="K663" s="285">
        <f t="shared" si="91"/>
        <v>3.214971209212738</v>
      </c>
      <c r="L663">
        <v>9</v>
      </c>
      <c r="M663" s="16">
        <v>43381</v>
      </c>
      <c r="N663" s="16">
        <v>43382</v>
      </c>
      <c r="R663" s="285"/>
    </row>
    <row r="664" spans="1:18">
      <c r="A664" t="s">
        <v>311</v>
      </c>
      <c r="C664" t="s">
        <v>3716</v>
      </c>
      <c r="D664">
        <v>1.6318999999999999</v>
      </c>
      <c r="E664">
        <v>11.8645</v>
      </c>
      <c r="F664">
        <v>0.20219999999999999</v>
      </c>
      <c r="G664" s="284">
        <f t="shared" si="89"/>
        <v>12.066699999999999</v>
      </c>
      <c r="H664" s="284">
        <v>11.868600000000001</v>
      </c>
      <c r="I664" s="284">
        <f>(G664-H664)</f>
        <v>0.19809999999999839</v>
      </c>
      <c r="J664" s="283">
        <f t="shared" si="90"/>
        <v>4.1000000000016024E-3</v>
      </c>
      <c r="K664" s="285">
        <f t="shared" si="91"/>
        <v>2.0276953511382803</v>
      </c>
      <c r="L664">
        <v>16</v>
      </c>
      <c r="M664" s="286">
        <v>43360</v>
      </c>
      <c r="N664" s="286">
        <v>43361</v>
      </c>
      <c r="O664" s="283" t="s">
        <v>3707</v>
      </c>
      <c r="R664" s="285"/>
    </row>
    <row r="665" spans="1:18">
      <c r="A665" t="s">
        <v>310</v>
      </c>
      <c r="C665" t="s">
        <v>3717</v>
      </c>
      <c r="D665">
        <v>0.75860000000000005</v>
      </c>
      <c r="E665">
        <v>8.9598999999999993</v>
      </c>
      <c r="F665">
        <v>0.2281</v>
      </c>
      <c r="G665" s="284">
        <f t="shared" si="89"/>
        <v>9.1879999999999988</v>
      </c>
      <c r="H665" s="284">
        <v>9.1618999999999993</v>
      </c>
      <c r="I665" s="284">
        <f>G665-H665</f>
        <v>2.6099999999999568E-2</v>
      </c>
      <c r="J665" s="283">
        <f t="shared" si="90"/>
        <v>0.20200000000000043</v>
      </c>
      <c r="K665" s="285">
        <f t="shared" si="91"/>
        <v>88.557650153441656</v>
      </c>
      <c r="L665">
        <v>38</v>
      </c>
      <c r="M665" s="16">
        <v>43381</v>
      </c>
      <c r="N665" s="16">
        <v>43382</v>
      </c>
      <c r="R665" s="285"/>
    </row>
    <row r="666" spans="1:18">
      <c r="A666" t="s">
        <v>309</v>
      </c>
      <c r="C666" t="s">
        <v>3725</v>
      </c>
      <c r="D666">
        <v>1.8205</v>
      </c>
      <c r="E666">
        <v>9.1992999999999991</v>
      </c>
      <c r="F666">
        <v>0.2336</v>
      </c>
      <c r="G666" s="288">
        <f t="shared" si="89"/>
        <v>9.4328999999999983</v>
      </c>
      <c r="H666" s="284">
        <v>9.2043999999999997</v>
      </c>
      <c r="I666" s="288">
        <f>G666-H666</f>
        <v>0.22849999999999859</v>
      </c>
      <c r="J666" s="283">
        <f t="shared" si="90"/>
        <v>5.100000000001409E-3</v>
      </c>
      <c r="K666" s="285">
        <f t="shared" si="91"/>
        <v>2.183219178082795</v>
      </c>
      <c r="L666">
        <v>19</v>
      </c>
      <c r="M666" s="286">
        <v>43379</v>
      </c>
      <c r="N666" s="286">
        <v>43379</v>
      </c>
      <c r="R666" s="285"/>
    </row>
    <row r="667" spans="1:18">
      <c r="A667" t="s">
        <v>308</v>
      </c>
      <c r="C667" t="s">
        <v>3685</v>
      </c>
      <c r="D667">
        <v>1.7716000000000001</v>
      </c>
      <c r="E667">
        <v>11.120900000000001</v>
      </c>
      <c r="F667">
        <v>0.20280000000000001</v>
      </c>
      <c r="G667" s="284">
        <f t="shared" si="89"/>
        <v>11.323700000000001</v>
      </c>
      <c r="H667" s="284">
        <v>11.1302</v>
      </c>
      <c r="I667" s="284">
        <f>(G667-H667)</f>
        <v>0.19350000000000023</v>
      </c>
      <c r="J667" s="283">
        <f t="shared" si="90"/>
        <v>9.2999999999997807E-3</v>
      </c>
      <c r="K667" s="285">
        <f t="shared" si="91"/>
        <v>4.5857988165679391</v>
      </c>
      <c r="L667">
        <v>14</v>
      </c>
      <c r="M667" s="286">
        <v>43360</v>
      </c>
      <c r="N667" s="286">
        <v>43361</v>
      </c>
      <c r="O667" s="283"/>
      <c r="R667" s="285"/>
    </row>
    <row r="668" spans="1:18">
      <c r="A668" t="s">
        <v>307</v>
      </c>
      <c r="C668" t="s">
        <v>3486</v>
      </c>
      <c r="D668">
        <v>1.5866</v>
      </c>
      <c r="E668">
        <v>11.747299999999999</v>
      </c>
      <c r="F668">
        <v>0.21390000000000001</v>
      </c>
      <c r="G668" s="284">
        <f t="shared" si="89"/>
        <v>11.9612</v>
      </c>
      <c r="H668" s="284">
        <v>11.754099999999999</v>
      </c>
      <c r="I668" s="284">
        <f t="shared" ref="I668:I675" si="92">G668-H668</f>
        <v>0.20710000000000051</v>
      </c>
      <c r="J668" s="283">
        <f t="shared" si="90"/>
        <v>6.7999999999995009E-3</v>
      </c>
      <c r="K668" s="285">
        <f t="shared" si="91"/>
        <v>3.1790556334733524</v>
      </c>
      <c r="L668">
        <v>28</v>
      </c>
      <c r="M668" s="286">
        <v>43363</v>
      </c>
      <c r="N668" s="286">
        <v>43364</v>
      </c>
      <c r="R668" s="285"/>
    </row>
    <row r="669" spans="1:18">
      <c r="A669" t="s">
        <v>306</v>
      </c>
      <c r="C669" t="s">
        <v>3732</v>
      </c>
      <c r="D669">
        <v>1.871</v>
      </c>
      <c r="E669">
        <v>7.8597999999999999</v>
      </c>
      <c r="F669">
        <v>0.2097</v>
      </c>
      <c r="G669" s="284">
        <f t="shared" si="89"/>
        <v>8.0694999999999997</v>
      </c>
      <c r="H669" s="284">
        <v>7.8661000000000003</v>
      </c>
      <c r="I669" s="284">
        <f t="shared" si="92"/>
        <v>0.20339999999999936</v>
      </c>
      <c r="J669" s="283">
        <f t="shared" si="90"/>
        <v>6.3000000000006384E-3</v>
      </c>
      <c r="K669" s="285">
        <f t="shared" si="91"/>
        <v>3.0042918454938667</v>
      </c>
      <c r="L669">
        <v>13</v>
      </c>
      <c r="M669" s="286">
        <v>43361</v>
      </c>
      <c r="N669" s="286">
        <v>43362</v>
      </c>
      <c r="O669" s="283" t="s">
        <v>3730</v>
      </c>
      <c r="R669" s="285"/>
    </row>
    <row r="670" spans="1:18">
      <c r="A670" t="s">
        <v>304</v>
      </c>
      <c r="C670" t="s">
        <v>3777</v>
      </c>
      <c r="D670">
        <v>1.5912999999999999</v>
      </c>
      <c r="E670">
        <v>10.2033</v>
      </c>
      <c r="F670">
        <v>0.20910000000000001</v>
      </c>
      <c r="G670" s="284">
        <f t="shared" si="89"/>
        <v>10.4124</v>
      </c>
      <c r="H670" s="284">
        <v>10.2118</v>
      </c>
      <c r="I670" s="284">
        <f t="shared" si="92"/>
        <v>0.20059999999999967</v>
      </c>
      <c r="J670" s="283">
        <f t="shared" si="90"/>
        <v>8.5000000000003406E-3</v>
      </c>
      <c r="K670" s="285">
        <f t="shared" si="91"/>
        <v>4.065040650406667</v>
      </c>
      <c r="L670">
        <v>4</v>
      </c>
      <c r="M670" s="16">
        <v>43388</v>
      </c>
      <c r="N670" s="286">
        <v>43389</v>
      </c>
      <c r="O670" s="286"/>
      <c r="P670" s="283"/>
      <c r="R670" s="285"/>
    </row>
    <row r="671" spans="1:18">
      <c r="A671" t="s">
        <v>303</v>
      </c>
      <c r="C671" t="s">
        <v>3499</v>
      </c>
      <c r="D671">
        <v>0.375</v>
      </c>
      <c r="E671">
        <v>9.5196000000000005</v>
      </c>
      <c r="F671">
        <v>0.2044</v>
      </c>
      <c r="G671" s="284">
        <f t="shared" si="89"/>
        <v>9.7240000000000002</v>
      </c>
      <c r="H671" s="284">
        <v>9.6991999999999994</v>
      </c>
      <c r="I671" s="284">
        <f t="shared" si="92"/>
        <v>2.4800000000000821E-2</v>
      </c>
      <c r="J671" s="283">
        <f t="shared" si="90"/>
        <v>0.17959999999999918</v>
      </c>
      <c r="K671" s="285">
        <f t="shared" si="91"/>
        <v>87.866927592954596</v>
      </c>
      <c r="L671">
        <v>6</v>
      </c>
      <c r="M671" s="286">
        <v>43363</v>
      </c>
      <c r="N671" s="286">
        <v>43364</v>
      </c>
      <c r="O671" s="283"/>
      <c r="R671" s="285"/>
    </row>
    <row r="672" spans="1:18">
      <c r="A672" t="s">
        <v>302</v>
      </c>
      <c r="C672" t="s">
        <v>3483</v>
      </c>
      <c r="D672">
        <v>1.5733999999999999</v>
      </c>
      <c r="E672">
        <v>11.155900000000001</v>
      </c>
      <c r="F672">
        <v>0.22070000000000001</v>
      </c>
      <c r="G672" s="284">
        <f t="shared" si="89"/>
        <v>11.376600000000002</v>
      </c>
      <c r="H672" s="284">
        <v>11.1638</v>
      </c>
      <c r="I672" s="284">
        <f t="shared" si="92"/>
        <v>0.21280000000000143</v>
      </c>
      <c r="J672" s="283">
        <f t="shared" si="90"/>
        <v>7.8999999999985748E-3</v>
      </c>
      <c r="K672" s="285">
        <f t="shared" si="91"/>
        <v>3.5795197100129474</v>
      </c>
      <c r="L672">
        <v>27</v>
      </c>
      <c r="M672" s="286">
        <v>43363</v>
      </c>
      <c r="N672" s="286">
        <v>43364</v>
      </c>
      <c r="O672" s="283" t="s">
        <v>3756</v>
      </c>
      <c r="R672" s="285"/>
    </row>
    <row r="673" spans="1:18">
      <c r="A673" t="s">
        <v>301</v>
      </c>
      <c r="C673" t="s">
        <v>3752</v>
      </c>
      <c r="D673">
        <v>0.86339999999999995</v>
      </c>
      <c r="E673">
        <v>8.8617000000000008</v>
      </c>
      <c r="F673">
        <v>0.21929999999999999</v>
      </c>
      <c r="G673" s="284">
        <f t="shared" si="89"/>
        <v>9.0810000000000013</v>
      </c>
      <c r="H673" s="284">
        <v>9.0742999999999991</v>
      </c>
      <c r="I673" s="284">
        <f t="shared" si="92"/>
        <v>6.7000000000021487E-3</v>
      </c>
      <c r="J673" s="283">
        <f t="shared" si="90"/>
        <v>0.21259999999999785</v>
      </c>
      <c r="K673" s="285">
        <f t="shared" si="91"/>
        <v>96.944824441403483</v>
      </c>
      <c r="L673">
        <v>7</v>
      </c>
      <c r="M673" s="16">
        <v>43388</v>
      </c>
      <c r="N673" s="286">
        <v>43389</v>
      </c>
      <c r="O673" s="286"/>
      <c r="P673" s="283"/>
      <c r="R673" s="285"/>
    </row>
    <row r="674" spans="1:18">
      <c r="A674" t="s">
        <v>300</v>
      </c>
      <c r="C674" t="s">
        <v>3728</v>
      </c>
      <c r="D674" s="283">
        <v>1.8141</v>
      </c>
      <c r="E674" s="284">
        <v>10.109500000000001</v>
      </c>
      <c r="F674" s="284">
        <v>0.2167</v>
      </c>
      <c r="G674" s="284">
        <f t="shared" si="89"/>
        <v>10.3262</v>
      </c>
      <c r="H674" s="284">
        <v>10.115399999999999</v>
      </c>
      <c r="I674" s="284">
        <f t="shared" si="92"/>
        <v>0.21080000000000076</v>
      </c>
      <c r="J674" s="283">
        <f t="shared" si="90"/>
        <v>5.8999999999992392E-3</v>
      </c>
      <c r="K674" s="285">
        <f t="shared" si="91"/>
        <v>2.7226580526069402</v>
      </c>
      <c r="L674" s="283">
        <v>1</v>
      </c>
      <c r="M674" s="16">
        <v>43381</v>
      </c>
      <c r="N674" s="16">
        <v>43382</v>
      </c>
      <c r="R674" s="285"/>
    </row>
    <row r="675" spans="1:18">
      <c r="A675" t="s">
        <v>1057</v>
      </c>
      <c r="C675" t="s">
        <v>3498</v>
      </c>
      <c r="D675">
        <v>1.6523000000000001</v>
      </c>
      <c r="E675">
        <v>8.7696000000000005</v>
      </c>
      <c r="F675">
        <v>0.2402</v>
      </c>
      <c r="G675" s="284">
        <f t="shared" si="89"/>
        <v>9.0098000000000003</v>
      </c>
      <c r="H675" s="284">
        <v>8.7871000000000006</v>
      </c>
      <c r="I675" s="284">
        <f t="shared" si="92"/>
        <v>0.22269999999999968</v>
      </c>
      <c r="J675" s="283">
        <f t="shared" si="90"/>
        <v>1.7500000000000321E-2</v>
      </c>
      <c r="K675" s="285">
        <f t="shared" si="91"/>
        <v>7.2855953372191182</v>
      </c>
      <c r="L675">
        <v>3</v>
      </c>
      <c r="M675" s="286">
        <v>43363</v>
      </c>
      <c r="N675" s="286">
        <v>43364</v>
      </c>
      <c r="O675" s="283"/>
      <c r="R675" s="285"/>
    </row>
    <row r="676" spans="1:18">
      <c r="A676" t="s">
        <v>299</v>
      </c>
      <c r="C676" t="s">
        <v>3662</v>
      </c>
      <c r="D676">
        <v>1.8818999999999999</v>
      </c>
      <c r="E676">
        <v>10.6968</v>
      </c>
      <c r="F676">
        <v>0.2092</v>
      </c>
      <c r="G676" s="284">
        <f t="shared" si="89"/>
        <v>10.905999999999999</v>
      </c>
      <c r="H676" s="284">
        <v>10.7036</v>
      </c>
      <c r="I676" s="284">
        <f>(G676-H676)</f>
        <v>0.20239999999999903</v>
      </c>
      <c r="J676" s="283">
        <f t="shared" si="90"/>
        <v>6.8000000000009719E-3</v>
      </c>
      <c r="K676" s="285">
        <f t="shared" si="91"/>
        <v>3.2504780114727398</v>
      </c>
      <c r="L676">
        <v>8</v>
      </c>
      <c r="M676" s="16">
        <v>43358</v>
      </c>
      <c r="N676" s="16">
        <v>43358</v>
      </c>
      <c r="R676" s="285"/>
    </row>
  </sheetData>
  <sortState ref="A2:V676">
    <sortCondition ref="A2:A676"/>
    <sortCondition ref="C2:C676"/>
  </sortState>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5FABE-F10F-47A8-9896-CFD92FDDA7E0}">
  <dimension ref="A1:M20"/>
  <sheetViews>
    <sheetView zoomScale="85" zoomScaleNormal="85" workbookViewId="0">
      <selection activeCell="K20" sqref="K20"/>
    </sheetView>
  </sheetViews>
  <sheetFormatPr baseColWidth="10" defaultColWidth="11.44140625" defaultRowHeight="14.4"/>
  <cols>
    <col min="1" max="1" width="19.88671875" style="197" customWidth="1"/>
    <col min="2" max="16384" width="11.44140625" style="197"/>
  </cols>
  <sheetData>
    <row r="1" spans="1:9" ht="36.6">
      <c r="A1" s="221" t="s">
        <v>2640</v>
      </c>
    </row>
    <row r="2" spans="1:9">
      <c r="A2" s="219" t="s">
        <v>2639</v>
      </c>
    </row>
    <row r="3" spans="1:9">
      <c r="A3" s="219" t="s">
        <v>2638</v>
      </c>
    </row>
    <row r="4" spans="1:9">
      <c r="A4" s="219" t="s">
        <v>2637</v>
      </c>
    </row>
    <row r="5" spans="1:9">
      <c r="A5" s="219" t="s">
        <v>2636</v>
      </c>
    </row>
    <row r="6" spans="1:9">
      <c r="A6" s="219" t="s">
        <v>2635</v>
      </c>
    </row>
    <row r="7" spans="1:9">
      <c r="A7" s="219" t="s">
        <v>2634</v>
      </c>
    </row>
    <row r="8" spans="1:9">
      <c r="A8" s="219" t="s">
        <v>2633</v>
      </c>
    </row>
    <row r="9" spans="1:9">
      <c r="A9" s="219" t="s">
        <v>2632</v>
      </c>
    </row>
    <row r="10" spans="1:9">
      <c r="A10" s="219" t="s">
        <v>2631</v>
      </c>
    </row>
    <row r="11" spans="1:9">
      <c r="A11" s="219" t="s">
        <v>2630</v>
      </c>
    </row>
    <row r="12" spans="1:9">
      <c r="A12" s="220"/>
    </row>
    <row r="13" spans="1:9" ht="15" thickBot="1">
      <c r="A13" s="219" t="s">
        <v>2629</v>
      </c>
    </row>
    <row r="14" spans="1:9" ht="43.8" thickBot="1">
      <c r="A14" s="218" t="s">
        <v>1144</v>
      </c>
      <c r="B14" s="217" t="s">
        <v>1141</v>
      </c>
      <c r="C14" s="217" t="s">
        <v>2628</v>
      </c>
      <c r="D14" s="217" t="s">
        <v>2627</v>
      </c>
      <c r="E14" s="217" t="s">
        <v>2626</v>
      </c>
    </row>
    <row r="15" spans="1:9" ht="15" thickBot="1">
      <c r="A15" s="216" t="s">
        <v>1742</v>
      </c>
      <c r="B15" s="215">
        <v>43150</v>
      </c>
      <c r="C15" s="214" t="s">
        <v>2625</v>
      </c>
      <c r="D15" s="214" t="s">
        <v>2624</v>
      </c>
      <c r="E15" s="214" t="s">
        <v>2623</v>
      </c>
    </row>
    <row r="16" spans="1:9">
      <c r="A16" s="276" t="s">
        <v>3655</v>
      </c>
      <c r="B16" s="213">
        <v>20</v>
      </c>
      <c r="H16" s="197" t="s">
        <v>2622</v>
      </c>
      <c r="I16" s="197">
        <v>800</v>
      </c>
    </row>
    <row r="17" spans="1:13">
      <c r="B17" s="197" t="s">
        <v>2621</v>
      </c>
      <c r="C17" s="197" t="s">
        <v>2620</v>
      </c>
      <c r="D17" s="197" t="s">
        <v>2619</v>
      </c>
      <c r="F17" s="212" t="s">
        <v>3656</v>
      </c>
      <c r="H17" s="197" t="s">
        <v>2618</v>
      </c>
      <c r="I17" s="197">
        <v>0</v>
      </c>
    </row>
    <row r="18" spans="1:13">
      <c r="A18" s="197" t="s">
        <v>2617</v>
      </c>
      <c r="B18" s="197">
        <f>(5*B16)/60</f>
        <v>1.6666666666666667</v>
      </c>
      <c r="C18" s="197">
        <v>4</v>
      </c>
      <c r="D18" s="197">
        <v>1</v>
      </c>
      <c r="E18" s="197">
        <v>1</v>
      </c>
      <c r="F18" s="212">
        <f>B18+C18+D18+E18</f>
        <v>7.666666666666667</v>
      </c>
      <c r="H18" s="197" t="s">
        <v>2616</v>
      </c>
      <c r="I18" s="197">
        <f>I16-I17</f>
        <v>800</v>
      </c>
      <c r="J18" s="197" t="s">
        <v>2615</v>
      </c>
      <c r="K18" s="197">
        <f>I18/B16</f>
        <v>40</v>
      </c>
      <c r="L18" s="197">
        <v>1</v>
      </c>
      <c r="M18" s="197" t="s">
        <v>2614</v>
      </c>
    </row>
    <row r="19" spans="1:13">
      <c r="H19" s="197" t="s">
        <v>2613</v>
      </c>
      <c r="I19" s="197">
        <f>F18*K18</f>
        <v>306.66666666666669</v>
      </c>
      <c r="J19" s="197" t="s">
        <v>2612</v>
      </c>
    </row>
    <row r="20" spans="1:13">
      <c r="K20" s="212">
        <f>K18</f>
        <v>40</v>
      </c>
      <c r="L20" s="212" t="s">
        <v>2611</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5FA8F-E411-4DA8-A73F-3658B518E215}">
  <dimension ref="A1:O194"/>
  <sheetViews>
    <sheetView workbookViewId="0">
      <selection activeCell="M1" sqref="M1"/>
    </sheetView>
  </sheetViews>
  <sheetFormatPr baseColWidth="10" defaultColWidth="8.88671875" defaultRowHeight="14.4"/>
  <cols>
    <col min="12" max="12" width="8.88671875" style="240"/>
  </cols>
  <sheetData>
    <row r="1" spans="1:15">
      <c r="A1" t="s">
        <v>2682</v>
      </c>
      <c r="B1" t="s">
        <v>2683</v>
      </c>
      <c r="C1" t="s">
        <v>2684</v>
      </c>
      <c r="D1" t="s">
        <v>2685</v>
      </c>
      <c r="E1" t="s">
        <v>2686</v>
      </c>
      <c r="F1" t="s">
        <v>2687</v>
      </c>
      <c r="G1" t="s">
        <v>2688</v>
      </c>
      <c r="H1" t="s">
        <v>2689</v>
      </c>
      <c r="I1" t="s">
        <v>2690</v>
      </c>
      <c r="J1" t="s">
        <v>2691</v>
      </c>
      <c r="K1" t="s">
        <v>2692</v>
      </c>
      <c r="L1" s="240" t="s">
        <v>2693</v>
      </c>
      <c r="M1" t="s">
        <v>2694</v>
      </c>
      <c r="N1" t="s">
        <v>2695</v>
      </c>
      <c r="O1" t="s">
        <v>2681</v>
      </c>
    </row>
    <row r="2" spans="1:15">
      <c r="A2">
        <v>1</v>
      </c>
      <c r="B2" t="s">
        <v>2176</v>
      </c>
      <c r="C2" t="s">
        <v>2177</v>
      </c>
      <c r="D2" t="s">
        <v>2659</v>
      </c>
      <c r="E2" t="s">
        <v>2659</v>
      </c>
      <c r="F2" t="s">
        <v>2178</v>
      </c>
      <c r="G2" t="s">
        <v>2948</v>
      </c>
      <c r="H2" t="s">
        <v>2949</v>
      </c>
      <c r="I2">
        <v>107</v>
      </c>
      <c r="J2">
        <v>811</v>
      </c>
      <c r="K2">
        <v>377</v>
      </c>
      <c r="L2" s="240" t="s">
        <v>2950</v>
      </c>
      <c r="M2">
        <v>69</v>
      </c>
      <c r="N2" t="s">
        <v>2699</v>
      </c>
      <c r="O2">
        <v>6.900000125</v>
      </c>
    </row>
    <row r="3" spans="1:15">
      <c r="A3">
        <v>3</v>
      </c>
      <c r="B3" t="s">
        <v>2176</v>
      </c>
      <c r="C3" t="s">
        <v>2184</v>
      </c>
      <c r="D3" t="s">
        <v>2659</v>
      </c>
      <c r="E3" t="s">
        <v>2659</v>
      </c>
      <c r="F3" t="s">
        <v>2178</v>
      </c>
      <c r="G3" t="s">
        <v>2948</v>
      </c>
      <c r="H3" t="s">
        <v>2949</v>
      </c>
      <c r="I3">
        <v>259</v>
      </c>
      <c r="J3">
        <v>742</v>
      </c>
      <c r="K3">
        <v>44</v>
      </c>
      <c r="L3" s="240" t="s">
        <v>2951</v>
      </c>
      <c r="M3">
        <v>69</v>
      </c>
      <c r="N3" t="s">
        <v>2699</v>
      </c>
      <c r="O3">
        <v>6.900000125</v>
      </c>
    </row>
    <row r="4" spans="1:15">
      <c r="A4">
        <v>4</v>
      </c>
      <c r="B4" t="s">
        <v>2176</v>
      </c>
      <c r="C4" t="s">
        <v>2186</v>
      </c>
      <c r="D4" t="s">
        <v>2659</v>
      </c>
      <c r="E4" t="s">
        <v>2659</v>
      </c>
      <c r="F4" t="s">
        <v>2178</v>
      </c>
      <c r="G4" t="s">
        <v>2948</v>
      </c>
      <c r="H4" t="s">
        <v>2949</v>
      </c>
      <c r="I4">
        <v>255</v>
      </c>
      <c r="J4">
        <v>661</v>
      </c>
      <c r="K4">
        <v>357</v>
      </c>
      <c r="L4" s="240" t="s">
        <v>2952</v>
      </c>
      <c r="M4">
        <v>69</v>
      </c>
      <c r="N4" t="s">
        <v>2699</v>
      </c>
      <c r="O4">
        <v>6.900000125</v>
      </c>
    </row>
    <row r="5" spans="1:15">
      <c r="A5">
        <v>6</v>
      </c>
      <c r="B5" t="s">
        <v>2176</v>
      </c>
      <c r="C5" t="s">
        <v>2190</v>
      </c>
      <c r="D5" t="s">
        <v>2659</v>
      </c>
      <c r="E5" t="s">
        <v>2659</v>
      </c>
      <c r="F5" t="s">
        <v>2178</v>
      </c>
      <c r="G5" t="s">
        <v>2948</v>
      </c>
      <c r="H5" t="s">
        <v>2949</v>
      </c>
      <c r="I5">
        <v>478</v>
      </c>
      <c r="J5">
        <v>688</v>
      </c>
      <c r="K5">
        <v>164</v>
      </c>
      <c r="L5" s="240" t="s">
        <v>2953</v>
      </c>
      <c r="M5">
        <v>69</v>
      </c>
      <c r="N5" t="s">
        <v>2699</v>
      </c>
      <c r="O5">
        <v>6.900000125</v>
      </c>
    </row>
    <row r="6" spans="1:15">
      <c r="A6">
        <v>7</v>
      </c>
      <c r="B6" t="s">
        <v>2176</v>
      </c>
      <c r="C6" t="s">
        <v>2191</v>
      </c>
      <c r="D6" t="s">
        <v>2659</v>
      </c>
      <c r="E6" t="s">
        <v>2659</v>
      </c>
      <c r="F6" t="s">
        <v>2178</v>
      </c>
      <c r="G6" t="s">
        <v>2948</v>
      </c>
      <c r="H6" t="s">
        <v>2949</v>
      </c>
      <c r="I6">
        <v>106</v>
      </c>
      <c r="J6">
        <v>762</v>
      </c>
      <c r="K6">
        <v>776</v>
      </c>
      <c r="L6" s="240" t="s">
        <v>2954</v>
      </c>
      <c r="M6">
        <v>69</v>
      </c>
      <c r="N6" t="s">
        <v>2699</v>
      </c>
      <c r="O6">
        <v>6.900000125</v>
      </c>
    </row>
    <row r="7" spans="1:15">
      <c r="A7">
        <v>8</v>
      </c>
      <c r="B7" t="s">
        <v>2176</v>
      </c>
      <c r="C7" t="s">
        <v>2192</v>
      </c>
      <c r="D7" t="s">
        <v>2659</v>
      </c>
      <c r="E7" t="s">
        <v>2659</v>
      </c>
      <c r="F7" t="s">
        <v>2178</v>
      </c>
      <c r="G7" t="s">
        <v>2948</v>
      </c>
      <c r="H7" t="s">
        <v>2949</v>
      </c>
      <c r="I7">
        <v>228</v>
      </c>
      <c r="J7">
        <v>727</v>
      </c>
      <c r="K7">
        <v>23</v>
      </c>
      <c r="L7" s="240" t="s">
        <v>2955</v>
      </c>
      <c r="M7">
        <v>69</v>
      </c>
      <c r="N7" t="s">
        <v>2699</v>
      </c>
      <c r="O7">
        <v>6.900000125</v>
      </c>
    </row>
    <row r="8" spans="1:15">
      <c r="A8">
        <v>9</v>
      </c>
      <c r="B8" t="s">
        <v>2176</v>
      </c>
      <c r="C8" t="s">
        <v>2193</v>
      </c>
      <c r="D8" t="s">
        <v>2659</v>
      </c>
      <c r="E8" t="s">
        <v>2659</v>
      </c>
      <c r="F8" t="s">
        <v>2194</v>
      </c>
      <c r="G8" t="s">
        <v>2948</v>
      </c>
      <c r="H8" t="s">
        <v>2949</v>
      </c>
      <c r="I8">
        <v>277</v>
      </c>
      <c r="J8">
        <v>785</v>
      </c>
      <c r="K8">
        <v>570</v>
      </c>
      <c r="L8" s="240" t="s">
        <v>2956</v>
      </c>
      <c r="M8">
        <v>69</v>
      </c>
      <c r="N8" t="s">
        <v>2707</v>
      </c>
      <c r="O8">
        <v>6.900000125</v>
      </c>
    </row>
    <row r="9" spans="1:15">
      <c r="A9">
        <v>11</v>
      </c>
      <c r="B9" t="s">
        <v>2176</v>
      </c>
      <c r="C9" t="s">
        <v>2197</v>
      </c>
      <c r="D9" t="s">
        <v>2659</v>
      </c>
      <c r="E9" t="s">
        <v>2659</v>
      </c>
      <c r="F9" t="s">
        <v>2194</v>
      </c>
      <c r="G9" t="s">
        <v>2948</v>
      </c>
      <c r="H9" t="s">
        <v>2949</v>
      </c>
      <c r="I9">
        <v>435</v>
      </c>
      <c r="J9">
        <v>748</v>
      </c>
      <c r="K9">
        <v>663</v>
      </c>
      <c r="L9" s="240" t="s">
        <v>2957</v>
      </c>
      <c r="M9">
        <v>69</v>
      </c>
      <c r="N9" t="s">
        <v>2707</v>
      </c>
      <c r="O9">
        <v>6.900000125</v>
      </c>
    </row>
    <row r="10" spans="1:15">
      <c r="A10">
        <v>13</v>
      </c>
      <c r="B10" t="s">
        <v>2176</v>
      </c>
      <c r="C10" t="s">
        <v>2199</v>
      </c>
      <c r="D10" t="s">
        <v>2659</v>
      </c>
      <c r="E10" t="s">
        <v>2659</v>
      </c>
      <c r="F10" t="s">
        <v>2194</v>
      </c>
      <c r="G10" t="s">
        <v>2948</v>
      </c>
      <c r="H10" t="s">
        <v>2949</v>
      </c>
      <c r="I10">
        <v>2</v>
      </c>
      <c r="J10">
        <v>784</v>
      </c>
      <c r="K10">
        <v>874</v>
      </c>
      <c r="L10" s="240" t="s">
        <v>2958</v>
      </c>
      <c r="M10">
        <v>69</v>
      </c>
      <c r="N10" t="s">
        <v>2707</v>
      </c>
      <c r="O10">
        <v>6.900000125</v>
      </c>
    </row>
    <row r="11" spans="1:15">
      <c r="A11">
        <v>14</v>
      </c>
      <c r="B11" t="s">
        <v>2176</v>
      </c>
      <c r="C11" t="s">
        <v>2201</v>
      </c>
      <c r="D11" t="s">
        <v>2659</v>
      </c>
      <c r="E11" t="s">
        <v>2659</v>
      </c>
      <c r="F11" t="s">
        <v>2194</v>
      </c>
      <c r="G11" t="s">
        <v>2948</v>
      </c>
      <c r="H11" t="s">
        <v>2949</v>
      </c>
      <c r="I11">
        <v>225</v>
      </c>
      <c r="J11">
        <v>838</v>
      </c>
      <c r="K11">
        <v>219</v>
      </c>
      <c r="L11" s="240" t="s">
        <v>2959</v>
      </c>
      <c r="M11">
        <v>69</v>
      </c>
      <c r="N11" t="s">
        <v>2707</v>
      </c>
      <c r="O11">
        <v>6.900000125</v>
      </c>
    </row>
    <row r="12" spans="1:15">
      <c r="A12">
        <v>15</v>
      </c>
      <c r="B12" t="s">
        <v>2176</v>
      </c>
      <c r="C12" t="s">
        <v>2202</v>
      </c>
      <c r="D12" t="s">
        <v>2659</v>
      </c>
      <c r="E12" t="s">
        <v>2659</v>
      </c>
      <c r="F12" t="s">
        <v>2194</v>
      </c>
      <c r="G12" t="s">
        <v>2948</v>
      </c>
      <c r="H12" t="s">
        <v>2949</v>
      </c>
      <c r="I12">
        <v>444</v>
      </c>
      <c r="J12">
        <v>793</v>
      </c>
      <c r="K12">
        <v>630</v>
      </c>
      <c r="L12" s="240" t="s">
        <v>2960</v>
      </c>
      <c r="M12">
        <v>69</v>
      </c>
      <c r="N12" t="s">
        <v>2707</v>
      </c>
      <c r="O12">
        <v>6.900000125</v>
      </c>
    </row>
    <row r="13" spans="1:15">
      <c r="A13">
        <v>16</v>
      </c>
      <c r="B13" t="s">
        <v>2176</v>
      </c>
      <c r="C13" t="s">
        <v>2205</v>
      </c>
      <c r="D13" t="s">
        <v>2659</v>
      </c>
      <c r="E13" t="s">
        <v>2659</v>
      </c>
      <c r="F13" t="s">
        <v>2194</v>
      </c>
      <c r="G13" t="s">
        <v>2948</v>
      </c>
      <c r="H13" t="s">
        <v>2949</v>
      </c>
      <c r="I13">
        <v>376</v>
      </c>
      <c r="J13">
        <v>755</v>
      </c>
      <c r="K13">
        <v>662</v>
      </c>
      <c r="L13" s="240" t="s">
        <v>2961</v>
      </c>
      <c r="M13">
        <v>69</v>
      </c>
      <c r="N13" t="s">
        <v>2707</v>
      </c>
      <c r="O13">
        <v>6.900000125</v>
      </c>
    </row>
    <row r="14" spans="1:15">
      <c r="A14">
        <v>17</v>
      </c>
      <c r="B14" t="s">
        <v>2176</v>
      </c>
      <c r="C14" t="s">
        <v>2207</v>
      </c>
      <c r="D14" t="s">
        <v>2659</v>
      </c>
      <c r="E14" t="s">
        <v>2659</v>
      </c>
      <c r="F14" t="s">
        <v>2208</v>
      </c>
      <c r="G14" t="s">
        <v>2962</v>
      </c>
      <c r="H14" t="s">
        <v>2949</v>
      </c>
      <c r="I14">
        <v>209</v>
      </c>
      <c r="J14">
        <v>826</v>
      </c>
      <c r="K14">
        <v>349</v>
      </c>
      <c r="L14" s="240" t="s">
        <v>2963</v>
      </c>
      <c r="M14">
        <v>71</v>
      </c>
      <c r="N14" t="s">
        <v>2716</v>
      </c>
      <c r="O14">
        <v>6.900000125</v>
      </c>
    </row>
    <row r="15" spans="1:15">
      <c r="A15">
        <v>18</v>
      </c>
      <c r="B15" t="s">
        <v>2176</v>
      </c>
      <c r="C15" t="s">
        <v>2210</v>
      </c>
      <c r="D15" t="s">
        <v>2659</v>
      </c>
      <c r="E15" t="s">
        <v>2659</v>
      </c>
      <c r="F15" t="s">
        <v>2208</v>
      </c>
      <c r="G15" t="s">
        <v>2962</v>
      </c>
      <c r="H15" t="s">
        <v>2949</v>
      </c>
      <c r="I15">
        <v>10</v>
      </c>
      <c r="J15">
        <v>732</v>
      </c>
      <c r="K15">
        <v>113</v>
      </c>
      <c r="L15" s="240" t="s">
        <v>2964</v>
      </c>
      <c r="M15">
        <v>71</v>
      </c>
      <c r="N15" t="s">
        <v>2716</v>
      </c>
      <c r="O15">
        <v>6.900000125</v>
      </c>
    </row>
    <row r="16" spans="1:15">
      <c r="A16">
        <v>19</v>
      </c>
      <c r="B16" t="s">
        <v>2176</v>
      </c>
      <c r="C16" t="s">
        <v>2211</v>
      </c>
      <c r="D16" t="s">
        <v>2659</v>
      </c>
      <c r="E16" t="s">
        <v>2659</v>
      </c>
      <c r="F16" t="s">
        <v>2208</v>
      </c>
      <c r="G16" t="s">
        <v>2962</v>
      </c>
      <c r="H16" t="s">
        <v>2949</v>
      </c>
      <c r="I16">
        <v>190</v>
      </c>
      <c r="J16">
        <v>749</v>
      </c>
      <c r="K16">
        <v>394</v>
      </c>
      <c r="L16" s="240" t="s">
        <v>2965</v>
      </c>
      <c r="M16">
        <v>71</v>
      </c>
      <c r="N16" t="s">
        <v>2716</v>
      </c>
      <c r="O16">
        <v>6.900000125</v>
      </c>
    </row>
    <row r="17" spans="1:15">
      <c r="A17">
        <v>20</v>
      </c>
      <c r="B17" t="s">
        <v>2176</v>
      </c>
      <c r="C17" t="s">
        <v>2212</v>
      </c>
      <c r="D17" t="s">
        <v>2659</v>
      </c>
      <c r="E17" t="s">
        <v>2659</v>
      </c>
      <c r="F17" t="s">
        <v>2208</v>
      </c>
      <c r="G17" t="s">
        <v>2962</v>
      </c>
      <c r="H17" t="s">
        <v>2949</v>
      </c>
      <c r="I17">
        <v>38</v>
      </c>
      <c r="J17">
        <v>632</v>
      </c>
      <c r="K17">
        <v>79</v>
      </c>
      <c r="L17" s="240" t="s">
        <v>2966</v>
      </c>
      <c r="M17">
        <v>71</v>
      </c>
      <c r="N17" t="s">
        <v>2716</v>
      </c>
      <c r="O17">
        <v>6.900000125</v>
      </c>
    </row>
    <row r="18" spans="1:15">
      <c r="A18">
        <v>21</v>
      </c>
      <c r="B18" t="s">
        <v>2176</v>
      </c>
      <c r="C18" t="s">
        <v>2213</v>
      </c>
      <c r="D18" t="s">
        <v>2659</v>
      </c>
      <c r="E18" t="s">
        <v>2659</v>
      </c>
      <c r="F18" t="s">
        <v>2208</v>
      </c>
      <c r="G18" t="s">
        <v>2962</v>
      </c>
      <c r="H18" t="s">
        <v>2949</v>
      </c>
      <c r="I18">
        <v>468</v>
      </c>
      <c r="J18">
        <v>630</v>
      </c>
      <c r="K18">
        <v>488</v>
      </c>
      <c r="L18" s="240" t="s">
        <v>2967</v>
      </c>
      <c r="M18">
        <v>71</v>
      </c>
      <c r="N18" t="s">
        <v>2716</v>
      </c>
      <c r="O18">
        <v>6.900000125</v>
      </c>
    </row>
    <row r="19" spans="1:15">
      <c r="A19">
        <v>22</v>
      </c>
      <c r="B19" t="s">
        <v>2176</v>
      </c>
      <c r="C19" t="s">
        <v>2214</v>
      </c>
      <c r="D19" t="s">
        <v>2659</v>
      </c>
      <c r="E19" t="s">
        <v>2659</v>
      </c>
      <c r="F19" t="s">
        <v>2208</v>
      </c>
      <c r="G19" t="s">
        <v>2962</v>
      </c>
      <c r="H19" t="s">
        <v>2949</v>
      </c>
      <c r="I19">
        <v>8</v>
      </c>
      <c r="J19">
        <v>723</v>
      </c>
      <c r="K19">
        <v>750</v>
      </c>
      <c r="L19" s="240" t="s">
        <v>2968</v>
      </c>
      <c r="M19">
        <v>71</v>
      </c>
      <c r="N19" t="s">
        <v>2716</v>
      </c>
      <c r="O19">
        <v>6.900000125</v>
      </c>
    </row>
    <row r="20" spans="1:15">
      <c r="A20">
        <v>24</v>
      </c>
      <c r="B20" t="s">
        <v>2176</v>
      </c>
      <c r="C20" t="s">
        <v>2216</v>
      </c>
      <c r="D20" t="s">
        <v>2659</v>
      </c>
      <c r="E20" t="s">
        <v>2659</v>
      </c>
      <c r="F20" t="s">
        <v>2208</v>
      </c>
      <c r="G20" t="s">
        <v>2962</v>
      </c>
      <c r="H20" t="s">
        <v>2949</v>
      </c>
      <c r="I20">
        <v>320</v>
      </c>
      <c r="J20">
        <v>225</v>
      </c>
      <c r="K20">
        <v>562</v>
      </c>
      <c r="L20" s="240" t="s">
        <v>2969</v>
      </c>
      <c r="M20">
        <v>71</v>
      </c>
      <c r="N20" t="s">
        <v>2716</v>
      </c>
      <c r="O20">
        <v>6.900000125</v>
      </c>
    </row>
    <row r="21" spans="1:15">
      <c r="A21">
        <v>25</v>
      </c>
      <c r="B21" t="s">
        <v>2176</v>
      </c>
      <c r="C21" t="s">
        <v>2217</v>
      </c>
      <c r="D21" t="s">
        <v>2659</v>
      </c>
      <c r="E21" t="s">
        <v>2659</v>
      </c>
      <c r="F21" t="s">
        <v>2218</v>
      </c>
      <c r="G21" t="s">
        <v>2962</v>
      </c>
      <c r="H21" t="s">
        <v>2949</v>
      </c>
      <c r="I21">
        <v>32</v>
      </c>
      <c r="J21">
        <v>43</v>
      </c>
      <c r="K21">
        <v>156</v>
      </c>
      <c r="L21" s="240" t="s">
        <v>2970</v>
      </c>
      <c r="M21">
        <v>71</v>
      </c>
      <c r="N21" t="s">
        <v>2724</v>
      </c>
      <c r="O21">
        <v>6.900000125</v>
      </c>
    </row>
    <row r="22" spans="1:15">
      <c r="A22">
        <v>26</v>
      </c>
      <c r="B22" t="s">
        <v>2176</v>
      </c>
      <c r="C22" t="s">
        <v>2219</v>
      </c>
      <c r="D22" t="s">
        <v>2659</v>
      </c>
      <c r="E22" t="s">
        <v>2659</v>
      </c>
      <c r="F22" t="s">
        <v>2218</v>
      </c>
      <c r="G22" t="s">
        <v>2962</v>
      </c>
      <c r="H22" t="s">
        <v>2949</v>
      </c>
      <c r="I22">
        <v>58</v>
      </c>
      <c r="J22">
        <v>602</v>
      </c>
      <c r="K22">
        <v>555</v>
      </c>
      <c r="L22" s="240" t="s">
        <v>2971</v>
      </c>
      <c r="M22">
        <v>71</v>
      </c>
      <c r="N22" t="s">
        <v>2724</v>
      </c>
      <c r="O22">
        <v>6.900000125</v>
      </c>
    </row>
    <row r="23" spans="1:15">
      <c r="A23">
        <v>27</v>
      </c>
      <c r="B23" t="s">
        <v>2176</v>
      </c>
      <c r="C23" t="s">
        <v>2220</v>
      </c>
      <c r="D23" t="s">
        <v>2659</v>
      </c>
      <c r="E23" t="s">
        <v>2659</v>
      </c>
      <c r="F23" t="s">
        <v>2218</v>
      </c>
      <c r="G23" t="s">
        <v>2962</v>
      </c>
      <c r="H23" t="s">
        <v>2949</v>
      </c>
      <c r="I23">
        <v>340</v>
      </c>
      <c r="J23">
        <v>666</v>
      </c>
      <c r="K23">
        <v>378</v>
      </c>
      <c r="L23" s="240" t="s">
        <v>2972</v>
      </c>
      <c r="M23">
        <v>71</v>
      </c>
      <c r="N23" t="s">
        <v>2724</v>
      </c>
      <c r="O23">
        <v>6.900000125</v>
      </c>
    </row>
    <row r="24" spans="1:15">
      <c r="A24">
        <v>28</v>
      </c>
      <c r="B24" t="s">
        <v>2176</v>
      </c>
      <c r="C24" t="s">
        <v>2221</v>
      </c>
      <c r="D24" t="s">
        <v>2659</v>
      </c>
      <c r="E24" t="s">
        <v>2659</v>
      </c>
      <c r="F24" t="s">
        <v>2218</v>
      </c>
      <c r="G24" t="s">
        <v>2962</v>
      </c>
      <c r="H24" t="s">
        <v>2949</v>
      </c>
      <c r="I24">
        <v>61</v>
      </c>
      <c r="J24">
        <v>705</v>
      </c>
      <c r="K24">
        <v>46</v>
      </c>
      <c r="L24" s="240" t="s">
        <v>2973</v>
      </c>
      <c r="M24">
        <v>71</v>
      </c>
      <c r="N24" t="s">
        <v>2724</v>
      </c>
      <c r="O24">
        <v>6.900000125</v>
      </c>
    </row>
    <row r="25" spans="1:15">
      <c r="A25">
        <v>29</v>
      </c>
      <c r="B25" t="s">
        <v>2176</v>
      </c>
      <c r="C25" t="s">
        <v>2222</v>
      </c>
      <c r="D25" t="s">
        <v>2659</v>
      </c>
      <c r="E25" t="s">
        <v>2659</v>
      </c>
      <c r="F25" t="s">
        <v>2218</v>
      </c>
      <c r="G25" t="s">
        <v>2962</v>
      </c>
      <c r="H25" t="s">
        <v>2949</v>
      </c>
      <c r="I25">
        <v>319</v>
      </c>
      <c r="J25">
        <v>305</v>
      </c>
      <c r="K25">
        <v>397</v>
      </c>
      <c r="L25" s="240" t="s">
        <v>2974</v>
      </c>
      <c r="M25">
        <v>71</v>
      </c>
      <c r="N25" t="s">
        <v>2724</v>
      </c>
      <c r="O25">
        <v>6.900000125</v>
      </c>
    </row>
    <row r="26" spans="1:15">
      <c r="A26">
        <v>30</v>
      </c>
      <c r="B26" t="s">
        <v>2176</v>
      </c>
      <c r="C26" t="s">
        <v>2223</v>
      </c>
      <c r="D26" t="s">
        <v>2659</v>
      </c>
      <c r="E26" t="s">
        <v>2659</v>
      </c>
      <c r="F26" t="s">
        <v>2218</v>
      </c>
      <c r="G26" t="s">
        <v>2962</v>
      </c>
      <c r="H26" t="s">
        <v>2949</v>
      </c>
      <c r="I26">
        <v>273</v>
      </c>
      <c r="J26">
        <v>667</v>
      </c>
      <c r="K26">
        <v>166</v>
      </c>
      <c r="L26" s="240" t="s">
        <v>2975</v>
      </c>
      <c r="M26">
        <v>71</v>
      </c>
      <c r="N26" t="s">
        <v>2724</v>
      </c>
      <c r="O26">
        <v>6.900000125</v>
      </c>
    </row>
    <row r="27" spans="1:15">
      <c r="A27">
        <v>32</v>
      </c>
      <c r="B27" t="s">
        <v>2176</v>
      </c>
      <c r="C27" t="s">
        <v>2225</v>
      </c>
      <c r="D27" t="s">
        <v>2659</v>
      </c>
      <c r="E27" t="s">
        <v>2659</v>
      </c>
      <c r="F27" t="s">
        <v>2218</v>
      </c>
      <c r="G27" t="s">
        <v>2962</v>
      </c>
      <c r="H27" t="s">
        <v>2949</v>
      </c>
      <c r="I27">
        <v>193</v>
      </c>
      <c r="J27">
        <v>743</v>
      </c>
      <c r="K27">
        <v>293</v>
      </c>
      <c r="L27" s="240" t="s">
        <v>2976</v>
      </c>
      <c r="M27">
        <v>71</v>
      </c>
      <c r="N27" t="s">
        <v>2724</v>
      </c>
      <c r="O27">
        <v>6.900000125</v>
      </c>
    </row>
    <row r="28" spans="1:15">
      <c r="A28">
        <v>33</v>
      </c>
      <c r="B28" t="s">
        <v>2176</v>
      </c>
      <c r="C28" t="s">
        <v>2226</v>
      </c>
      <c r="D28" t="s">
        <v>2659</v>
      </c>
      <c r="E28" t="s">
        <v>2659</v>
      </c>
      <c r="F28" t="s">
        <v>2227</v>
      </c>
      <c r="G28" t="s">
        <v>2948</v>
      </c>
      <c r="H28" t="s">
        <v>2977</v>
      </c>
      <c r="I28">
        <v>218</v>
      </c>
      <c r="J28">
        <v>769</v>
      </c>
      <c r="K28">
        <v>139</v>
      </c>
      <c r="L28" s="240" t="s">
        <v>2978</v>
      </c>
      <c r="M28">
        <v>67</v>
      </c>
      <c r="N28" t="s">
        <v>2735</v>
      </c>
      <c r="O28">
        <v>6.5250000359999998</v>
      </c>
    </row>
    <row r="29" spans="1:15">
      <c r="A29">
        <v>34</v>
      </c>
      <c r="B29" t="s">
        <v>2176</v>
      </c>
      <c r="C29" t="s">
        <v>2229</v>
      </c>
      <c r="D29" t="s">
        <v>2659</v>
      </c>
      <c r="E29" t="s">
        <v>2659</v>
      </c>
      <c r="F29" t="s">
        <v>2227</v>
      </c>
      <c r="G29" t="s">
        <v>2948</v>
      </c>
      <c r="H29" t="s">
        <v>2977</v>
      </c>
      <c r="I29">
        <v>104</v>
      </c>
      <c r="J29">
        <v>753</v>
      </c>
      <c r="K29">
        <v>487</v>
      </c>
      <c r="L29" s="240" t="s">
        <v>2979</v>
      </c>
      <c r="M29">
        <v>67</v>
      </c>
      <c r="N29" t="s">
        <v>2735</v>
      </c>
      <c r="O29">
        <v>6.5250000359999998</v>
      </c>
    </row>
    <row r="30" spans="1:15">
      <c r="A30">
        <v>35</v>
      </c>
      <c r="B30" t="s">
        <v>2176</v>
      </c>
      <c r="C30" t="s">
        <v>2232</v>
      </c>
      <c r="D30" t="s">
        <v>2659</v>
      </c>
      <c r="E30" t="s">
        <v>2659</v>
      </c>
      <c r="F30" t="s">
        <v>2227</v>
      </c>
      <c r="G30" t="s">
        <v>2948</v>
      </c>
      <c r="H30" t="s">
        <v>2977</v>
      </c>
      <c r="I30">
        <v>188</v>
      </c>
      <c r="J30">
        <v>776</v>
      </c>
      <c r="K30">
        <v>717</v>
      </c>
      <c r="L30" s="240" t="s">
        <v>2980</v>
      </c>
      <c r="M30">
        <v>67</v>
      </c>
      <c r="N30" t="s">
        <v>2735</v>
      </c>
      <c r="O30">
        <v>6.5250000359999998</v>
      </c>
    </row>
    <row r="31" spans="1:15">
      <c r="A31">
        <v>36</v>
      </c>
      <c r="B31" t="s">
        <v>2176</v>
      </c>
      <c r="C31" t="s">
        <v>2233</v>
      </c>
      <c r="D31" t="s">
        <v>2659</v>
      </c>
      <c r="E31" t="s">
        <v>2659</v>
      </c>
      <c r="F31" t="s">
        <v>2227</v>
      </c>
      <c r="G31" t="s">
        <v>2948</v>
      </c>
      <c r="H31" t="s">
        <v>2977</v>
      </c>
      <c r="I31">
        <v>379</v>
      </c>
      <c r="J31">
        <v>799</v>
      </c>
      <c r="K31">
        <v>767</v>
      </c>
      <c r="L31" s="240" t="s">
        <v>2981</v>
      </c>
      <c r="M31">
        <v>67</v>
      </c>
      <c r="N31" t="s">
        <v>2735</v>
      </c>
      <c r="O31">
        <v>6.5250000359999998</v>
      </c>
    </row>
    <row r="32" spans="1:15">
      <c r="A32">
        <v>37</v>
      </c>
      <c r="B32" t="s">
        <v>2176</v>
      </c>
      <c r="C32" t="s">
        <v>2235</v>
      </c>
      <c r="D32" t="s">
        <v>2659</v>
      </c>
      <c r="E32" t="s">
        <v>2659</v>
      </c>
      <c r="F32" t="s">
        <v>2227</v>
      </c>
      <c r="G32" t="s">
        <v>2948</v>
      </c>
      <c r="H32" t="s">
        <v>2977</v>
      </c>
      <c r="I32">
        <v>66</v>
      </c>
      <c r="J32">
        <v>722</v>
      </c>
      <c r="K32">
        <v>473</v>
      </c>
      <c r="L32" s="240" t="s">
        <v>2982</v>
      </c>
      <c r="M32">
        <v>67</v>
      </c>
      <c r="N32" t="s">
        <v>2735</v>
      </c>
      <c r="O32">
        <v>6.5250000359999998</v>
      </c>
    </row>
    <row r="33" spans="1:15">
      <c r="A33">
        <v>38</v>
      </c>
      <c r="B33" t="s">
        <v>2176</v>
      </c>
      <c r="C33" t="s">
        <v>2237</v>
      </c>
      <c r="D33" t="s">
        <v>2659</v>
      </c>
      <c r="E33" t="s">
        <v>2659</v>
      </c>
      <c r="F33" t="s">
        <v>2227</v>
      </c>
      <c r="G33" t="s">
        <v>2948</v>
      </c>
      <c r="H33" t="s">
        <v>2977</v>
      </c>
      <c r="I33">
        <v>625</v>
      </c>
      <c r="J33">
        <v>796</v>
      </c>
      <c r="K33">
        <v>111</v>
      </c>
      <c r="L33" s="240" t="s">
        <v>2983</v>
      </c>
      <c r="M33">
        <v>67</v>
      </c>
      <c r="N33" t="s">
        <v>2735</v>
      </c>
      <c r="O33">
        <v>6.5250000359999998</v>
      </c>
    </row>
    <row r="34" spans="1:15">
      <c r="A34">
        <v>40</v>
      </c>
      <c r="B34" t="s">
        <v>2176</v>
      </c>
      <c r="C34" t="s">
        <v>2241</v>
      </c>
      <c r="D34" t="s">
        <v>2659</v>
      </c>
      <c r="E34" t="s">
        <v>2659</v>
      </c>
      <c r="F34" t="s">
        <v>2227</v>
      </c>
      <c r="G34" t="s">
        <v>2948</v>
      </c>
      <c r="H34" t="s">
        <v>2977</v>
      </c>
      <c r="I34">
        <v>88</v>
      </c>
      <c r="J34">
        <v>782</v>
      </c>
      <c r="K34">
        <v>646</v>
      </c>
      <c r="L34" s="240" t="s">
        <v>2984</v>
      </c>
      <c r="M34">
        <v>67</v>
      </c>
      <c r="N34" t="s">
        <v>2735</v>
      </c>
      <c r="O34">
        <v>6.5250000359999998</v>
      </c>
    </row>
    <row r="35" spans="1:15">
      <c r="A35">
        <v>41</v>
      </c>
      <c r="B35" t="s">
        <v>2176</v>
      </c>
      <c r="C35" t="s">
        <v>2243</v>
      </c>
      <c r="D35" t="s">
        <v>2659</v>
      </c>
      <c r="E35" t="s">
        <v>2659</v>
      </c>
      <c r="F35" t="s">
        <v>2244</v>
      </c>
      <c r="G35" t="s">
        <v>2948</v>
      </c>
      <c r="H35" t="s">
        <v>2977</v>
      </c>
      <c r="I35">
        <v>256</v>
      </c>
      <c r="J35">
        <v>820</v>
      </c>
      <c r="K35">
        <v>43</v>
      </c>
      <c r="L35" s="240" t="s">
        <v>2985</v>
      </c>
      <c r="M35">
        <v>67</v>
      </c>
      <c r="N35" t="s">
        <v>2744</v>
      </c>
      <c r="O35">
        <v>6.5250000359999998</v>
      </c>
    </row>
    <row r="36" spans="1:15">
      <c r="A36">
        <v>42</v>
      </c>
      <c r="B36" t="s">
        <v>2176</v>
      </c>
      <c r="C36" t="s">
        <v>2245</v>
      </c>
      <c r="D36" t="s">
        <v>2659</v>
      </c>
      <c r="E36" t="s">
        <v>2659</v>
      </c>
      <c r="F36" t="s">
        <v>2244</v>
      </c>
      <c r="G36" t="s">
        <v>2948</v>
      </c>
      <c r="H36" t="s">
        <v>2977</v>
      </c>
      <c r="I36">
        <v>341</v>
      </c>
      <c r="J36">
        <v>806</v>
      </c>
      <c r="K36">
        <v>268</v>
      </c>
      <c r="L36" s="240" t="s">
        <v>2986</v>
      </c>
      <c r="M36">
        <v>67</v>
      </c>
      <c r="N36" t="s">
        <v>2744</v>
      </c>
      <c r="O36">
        <v>6.5250000359999998</v>
      </c>
    </row>
    <row r="37" spans="1:15">
      <c r="A37">
        <v>43</v>
      </c>
      <c r="B37" t="s">
        <v>2176</v>
      </c>
      <c r="C37" t="s">
        <v>2247</v>
      </c>
      <c r="D37" t="s">
        <v>2659</v>
      </c>
      <c r="E37" t="s">
        <v>2659</v>
      </c>
      <c r="F37" t="s">
        <v>2244</v>
      </c>
      <c r="G37" t="s">
        <v>2948</v>
      </c>
      <c r="H37" t="s">
        <v>2977</v>
      </c>
      <c r="I37">
        <v>246</v>
      </c>
      <c r="J37">
        <v>758</v>
      </c>
      <c r="K37">
        <v>300</v>
      </c>
      <c r="L37" s="240" t="s">
        <v>2987</v>
      </c>
      <c r="M37">
        <v>67</v>
      </c>
      <c r="N37" t="s">
        <v>2744</v>
      </c>
      <c r="O37">
        <v>6.5250000359999998</v>
      </c>
    </row>
    <row r="38" spans="1:15">
      <c r="A38">
        <v>44</v>
      </c>
      <c r="B38" t="s">
        <v>2176</v>
      </c>
      <c r="C38" t="s">
        <v>2248</v>
      </c>
      <c r="D38" t="s">
        <v>2659</v>
      </c>
      <c r="E38" t="s">
        <v>2659</v>
      </c>
      <c r="F38" t="s">
        <v>2244</v>
      </c>
      <c r="G38" t="s">
        <v>2948</v>
      </c>
      <c r="H38" t="s">
        <v>2977</v>
      </c>
      <c r="I38">
        <v>115</v>
      </c>
      <c r="J38">
        <v>783</v>
      </c>
      <c r="K38">
        <v>823</v>
      </c>
      <c r="L38" s="240" t="s">
        <v>2988</v>
      </c>
      <c r="M38">
        <v>67</v>
      </c>
      <c r="N38" t="s">
        <v>2744</v>
      </c>
      <c r="O38">
        <v>6.5250000359999998</v>
      </c>
    </row>
    <row r="39" spans="1:15">
      <c r="A39">
        <v>45</v>
      </c>
      <c r="B39" t="s">
        <v>2176</v>
      </c>
      <c r="C39" t="s">
        <v>2249</v>
      </c>
      <c r="D39" t="s">
        <v>2659</v>
      </c>
      <c r="E39" t="s">
        <v>2659</v>
      </c>
      <c r="F39" t="s">
        <v>2244</v>
      </c>
      <c r="G39" t="s">
        <v>2948</v>
      </c>
      <c r="H39" t="s">
        <v>2977</v>
      </c>
      <c r="I39">
        <v>480</v>
      </c>
      <c r="J39">
        <v>827</v>
      </c>
      <c r="K39">
        <v>354</v>
      </c>
      <c r="L39" s="240" t="s">
        <v>2989</v>
      </c>
      <c r="M39">
        <v>67</v>
      </c>
      <c r="N39" t="s">
        <v>2744</v>
      </c>
      <c r="O39">
        <v>6.5250000359999998</v>
      </c>
    </row>
    <row r="40" spans="1:15">
      <c r="A40">
        <v>47</v>
      </c>
      <c r="B40" t="s">
        <v>2176</v>
      </c>
      <c r="C40" t="s">
        <v>2252</v>
      </c>
      <c r="D40" t="s">
        <v>2659</v>
      </c>
      <c r="E40" t="s">
        <v>2659</v>
      </c>
      <c r="F40" t="s">
        <v>2244</v>
      </c>
      <c r="G40" t="s">
        <v>2948</v>
      </c>
      <c r="H40" t="s">
        <v>2977</v>
      </c>
      <c r="I40">
        <v>110</v>
      </c>
      <c r="J40">
        <v>831</v>
      </c>
      <c r="K40">
        <v>659</v>
      </c>
      <c r="L40" s="240" t="s">
        <v>2990</v>
      </c>
      <c r="M40">
        <v>67</v>
      </c>
      <c r="N40" t="s">
        <v>2744</v>
      </c>
      <c r="O40">
        <v>6.5250000359999998</v>
      </c>
    </row>
    <row r="41" spans="1:15">
      <c r="A41">
        <v>48</v>
      </c>
      <c r="B41" t="s">
        <v>2176</v>
      </c>
      <c r="C41" t="s">
        <v>2254</v>
      </c>
      <c r="D41" t="s">
        <v>2659</v>
      </c>
      <c r="E41" t="s">
        <v>2659</v>
      </c>
      <c r="F41" t="s">
        <v>2244</v>
      </c>
      <c r="G41" t="s">
        <v>2948</v>
      </c>
      <c r="H41" t="s">
        <v>2977</v>
      </c>
      <c r="I41">
        <v>233</v>
      </c>
      <c r="J41">
        <v>828</v>
      </c>
      <c r="K41">
        <v>267</v>
      </c>
      <c r="L41" s="240" t="s">
        <v>2991</v>
      </c>
      <c r="M41">
        <v>67</v>
      </c>
      <c r="N41" t="s">
        <v>2744</v>
      </c>
      <c r="O41">
        <v>6.5250000359999998</v>
      </c>
    </row>
    <row r="42" spans="1:15">
      <c r="A42">
        <v>49</v>
      </c>
      <c r="B42" t="s">
        <v>2176</v>
      </c>
      <c r="C42" t="s">
        <v>2255</v>
      </c>
      <c r="D42" t="s">
        <v>2659</v>
      </c>
      <c r="E42" t="s">
        <v>2659</v>
      </c>
      <c r="F42" t="s">
        <v>2256</v>
      </c>
      <c r="G42" t="s">
        <v>2948</v>
      </c>
      <c r="H42" t="s">
        <v>2977</v>
      </c>
      <c r="I42">
        <v>54</v>
      </c>
      <c r="J42">
        <v>805</v>
      </c>
      <c r="K42">
        <v>812</v>
      </c>
      <c r="L42" s="240" t="s">
        <v>2992</v>
      </c>
      <c r="M42">
        <v>67</v>
      </c>
      <c r="N42" t="s">
        <v>2753</v>
      </c>
      <c r="O42">
        <v>6.5250000359999998</v>
      </c>
    </row>
    <row r="43" spans="1:15">
      <c r="A43">
        <v>51</v>
      </c>
      <c r="B43" t="s">
        <v>2176</v>
      </c>
      <c r="C43" t="s">
        <v>2258</v>
      </c>
      <c r="D43" t="s">
        <v>2659</v>
      </c>
      <c r="E43" t="s">
        <v>2659</v>
      </c>
      <c r="F43" t="s">
        <v>2256</v>
      </c>
      <c r="G43" t="s">
        <v>2948</v>
      </c>
      <c r="H43" t="s">
        <v>2977</v>
      </c>
      <c r="I43">
        <v>227</v>
      </c>
      <c r="J43">
        <v>798</v>
      </c>
      <c r="K43">
        <v>598</v>
      </c>
      <c r="L43" s="240" t="s">
        <v>2993</v>
      </c>
      <c r="M43">
        <v>67</v>
      </c>
      <c r="N43" t="s">
        <v>2753</v>
      </c>
      <c r="O43">
        <v>6.5250000359999998</v>
      </c>
    </row>
    <row r="44" spans="1:15">
      <c r="A44">
        <v>52</v>
      </c>
      <c r="B44" t="s">
        <v>2176</v>
      </c>
      <c r="C44" t="s">
        <v>2259</v>
      </c>
      <c r="D44" t="s">
        <v>2659</v>
      </c>
      <c r="E44" t="s">
        <v>2659</v>
      </c>
      <c r="F44" t="s">
        <v>2256</v>
      </c>
      <c r="G44" t="s">
        <v>2948</v>
      </c>
      <c r="H44" t="s">
        <v>2977</v>
      </c>
      <c r="I44">
        <v>237</v>
      </c>
      <c r="J44">
        <v>833</v>
      </c>
      <c r="K44">
        <v>818</v>
      </c>
      <c r="L44" s="240" t="s">
        <v>2994</v>
      </c>
      <c r="M44">
        <v>67</v>
      </c>
      <c r="N44" t="s">
        <v>2753</v>
      </c>
      <c r="O44">
        <v>6.5250000359999998</v>
      </c>
    </row>
    <row r="45" spans="1:15">
      <c r="A45">
        <v>53</v>
      </c>
      <c r="B45" t="s">
        <v>2176</v>
      </c>
      <c r="C45" t="s">
        <v>2260</v>
      </c>
      <c r="D45" t="s">
        <v>2659</v>
      </c>
      <c r="E45" t="s">
        <v>2659</v>
      </c>
      <c r="F45" t="s">
        <v>2256</v>
      </c>
      <c r="G45" t="s">
        <v>2948</v>
      </c>
      <c r="H45" t="s">
        <v>2977</v>
      </c>
      <c r="I45">
        <v>172</v>
      </c>
      <c r="J45">
        <v>734</v>
      </c>
      <c r="K45">
        <v>759</v>
      </c>
      <c r="L45" s="240" t="s">
        <v>2995</v>
      </c>
      <c r="M45">
        <v>67</v>
      </c>
      <c r="N45" t="s">
        <v>2753</v>
      </c>
      <c r="O45">
        <v>6.5250000359999998</v>
      </c>
    </row>
    <row r="46" spans="1:15">
      <c r="A46">
        <v>55</v>
      </c>
      <c r="B46" t="s">
        <v>2176</v>
      </c>
      <c r="C46" t="s">
        <v>2262</v>
      </c>
      <c r="D46" t="s">
        <v>2659</v>
      </c>
      <c r="E46" t="s">
        <v>2659</v>
      </c>
      <c r="F46" t="s">
        <v>2256</v>
      </c>
      <c r="G46" t="s">
        <v>2948</v>
      </c>
      <c r="H46" t="s">
        <v>2977</v>
      </c>
      <c r="I46">
        <v>86</v>
      </c>
      <c r="J46">
        <v>839</v>
      </c>
      <c r="K46">
        <v>260</v>
      </c>
      <c r="L46" s="240" t="s">
        <v>2996</v>
      </c>
      <c r="M46">
        <v>67</v>
      </c>
      <c r="N46" t="s">
        <v>2753</v>
      </c>
      <c r="O46">
        <v>6.5250000359999998</v>
      </c>
    </row>
    <row r="47" spans="1:15">
      <c r="A47">
        <v>56</v>
      </c>
      <c r="B47" t="s">
        <v>2176</v>
      </c>
      <c r="C47" t="s">
        <v>2263</v>
      </c>
      <c r="D47" t="s">
        <v>2659</v>
      </c>
      <c r="E47" t="s">
        <v>2659</v>
      </c>
      <c r="F47" t="s">
        <v>2256</v>
      </c>
      <c r="G47" t="s">
        <v>2948</v>
      </c>
      <c r="H47" t="s">
        <v>2977</v>
      </c>
      <c r="I47">
        <v>107</v>
      </c>
      <c r="J47">
        <v>760</v>
      </c>
      <c r="K47">
        <v>493</v>
      </c>
      <c r="L47" s="240" t="s">
        <v>2997</v>
      </c>
      <c r="M47">
        <v>67</v>
      </c>
      <c r="N47" t="s">
        <v>2753</v>
      </c>
      <c r="O47">
        <v>6.5250000359999998</v>
      </c>
    </row>
    <row r="48" spans="1:15">
      <c r="A48">
        <v>57</v>
      </c>
      <c r="B48" t="s">
        <v>2176</v>
      </c>
      <c r="C48" t="s">
        <v>2264</v>
      </c>
      <c r="D48" t="s">
        <v>2659</v>
      </c>
      <c r="E48" t="s">
        <v>2659</v>
      </c>
      <c r="F48" t="s">
        <v>2265</v>
      </c>
      <c r="G48" t="s">
        <v>2948</v>
      </c>
      <c r="H48" t="s">
        <v>2977</v>
      </c>
      <c r="I48">
        <v>41</v>
      </c>
      <c r="J48">
        <v>830</v>
      </c>
      <c r="K48">
        <v>347</v>
      </c>
      <c r="L48" s="240" t="s">
        <v>2998</v>
      </c>
      <c r="M48">
        <v>67</v>
      </c>
      <c r="N48" t="s">
        <v>2761</v>
      </c>
      <c r="O48">
        <v>6.5250000359999998</v>
      </c>
    </row>
    <row r="49" spans="1:15">
      <c r="A49">
        <v>58</v>
      </c>
      <c r="B49" t="s">
        <v>2176</v>
      </c>
      <c r="C49" t="s">
        <v>2267</v>
      </c>
      <c r="D49" t="s">
        <v>2659</v>
      </c>
      <c r="E49" t="s">
        <v>2659</v>
      </c>
      <c r="F49" t="s">
        <v>2265</v>
      </c>
      <c r="G49" t="s">
        <v>2948</v>
      </c>
      <c r="H49" t="s">
        <v>2977</v>
      </c>
      <c r="I49">
        <v>481</v>
      </c>
      <c r="J49">
        <v>725</v>
      </c>
      <c r="K49">
        <v>735</v>
      </c>
      <c r="L49" s="240" t="s">
        <v>2999</v>
      </c>
      <c r="M49">
        <v>67</v>
      </c>
      <c r="N49" t="s">
        <v>2761</v>
      </c>
      <c r="O49">
        <v>6.5250000359999998</v>
      </c>
    </row>
    <row r="50" spans="1:15">
      <c r="A50">
        <v>59</v>
      </c>
      <c r="B50" t="s">
        <v>2176</v>
      </c>
      <c r="C50" t="s">
        <v>2268</v>
      </c>
      <c r="D50" t="s">
        <v>2659</v>
      </c>
      <c r="E50" t="s">
        <v>2659</v>
      </c>
      <c r="F50" t="s">
        <v>2265</v>
      </c>
      <c r="G50" t="s">
        <v>2948</v>
      </c>
      <c r="H50" t="s">
        <v>2977</v>
      </c>
      <c r="I50">
        <v>261</v>
      </c>
      <c r="J50">
        <v>721</v>
      </c>
      <c r="K50">
        <v>558</v>
      </c>
      <c r="L50" s="240" t="s">
        <v>3000</v>
      </c>
      <c r="M50">
        <v>67</v>
      </c>
      <c r="N50" t="s">
        <v>2761</v>
      </c>
      <c r="O50">
        <v>6.5250000359999998</v>
      </c>
    </row>
    <row r="51" spans="1:15">
      <c r="A51">
        <v>60</v>
      </c>
      <c r="B51" t="s">
        <v>2176</v>
      </c>
      <c r="C51" t="s">
        <v>2269</v>
      </c>
      <c r="D51" t="s">
        <v>2659</v>
      </c>
      <c r="E51" t="s">
        <v>2659</v>
      </c>
      <c r="F51" t="s">
        <v>2265</v>
      </c>
      <c r="G51" t="s">
        <v>2948</v>
      </c>
      <c r="H51" t="s">
        <v>2977</v>
      </c>
      <c r="I51">
        <v>152</v>
      </c>
      <c r="J51">
        <v>763</v>
      </c>
      <c r="K51">
        <v>751</v>
      </c>
      <c r="L51" s="240" t="s">
        <v>3001</v>
      </c>
      <c r="M51">
        <v>67</v>
      </c>
      <c r="N51" t="s">
        <v>2761</v>
      </c>
      <c r="O51">
        <v>6.5250000359999998</v>
      </c>
    </row>
    <row r="52" spans="1:15">
      <c r="A52">
        <v>61</v>
      </c>
      <c r="B52" t="s">
        <v>2176</v>
      </c>
      <c r="C52" t="s">
        <v>2271</v>
      </c>
      <c r="D52" t="s">
        <v>2659</v>
      </c>
      <c r="E52" t="s">
        <v>2659</v>
      </c>
      <c r="F52" t="s">
        <v>2265</v>
      </c>
      <c r="G52" t="s">
        <v>2948</v>
      </c>
      <c r="H52" t="s">
        <v>2977</v>
      </c>
      <c r="I52">
        <v>191</v>
      </c>
      <c r="J52">
        <v>775</v>
      </c>
      <c r="K52">
        <v>748</v>
      </c>
      <c r="L52" s="240" t="s">
        <v>3002</v>
      </c>
      <c r="M52">
        <v>67</v>
      </c>
      <c r="N52" t="s">
        <v>2761</v>
      </c>
      <c r="O52">
        <v>6.5250000359999998</v>
      </c>
    </row>
    <row r="53" spans="1:15">
      <c r="A53">
        <v>63</v>
      </c>
      <c r="B53" t="s">
        <v>2176</v>
      </c>
      <c r="C53" t="s">
        <v>2274</v>
      </c>
      <c r="D53" t="s">
        <v>2659</v>
      </c>
      <c r="E53" t="s">
        <v>2659</v>
      </c>
      <c r="F53" t="s">
        <v>2265</v>
      </c>
      <c r="G53" t="s">
        <v>2948</v>
      </c>
      <c r="H53" t="s">
        <v>2977</v>
      </c>
      <c r="I53">
        <v>49</v>
      </c>
      <c r="J53">
        <v>733</v>
      </c>
      <c r="K53">
        <v>629</v>
      </c>
      <c r="L53" s="240" t="s">
        <v>3003</v>
      </c>
      <c r="M53">
        <v>67</v>
      </c>
      <c r="N53" t="s">
        <v>2761</v>
      </c>
      <c r="O53">
        <v>6.5250000359999998</v>
      </c>
    </row>
    <row r="54" spans="1:15">
      <c r="A54">
        <v>64</v>
      </c>
      <c r="B54" t="s">
        <v>2176</v>
      </c>
      <c r="C54" t="s">
        <v>2275</v>
      </c>
      <c r="D54" t="s">
        <v>2659</v>
      </c>
      <c r="E54" t="s">
        <v>2659</v>
      </c>
      <c r="F54" t="s">
        <v>2265</v>
      </c>
      <c r="G54" t="s">
        <v>2948</v>
      </c>
      <c r="H54" t="s">
        <v>2977</v>
      </c>
      <c r="I54">
        <v>347</v>
      </c>
      <c r="J54">
        <v>765</v>
      </c>
      <c r="K54">
        <v>84</v>
      </c>
      <c r="L54" s="240" t="s">
        <v>3004</v>
      </c>
      <c r="M54">
        <v>67</v>
      </c>
      <c r="N54" t="s">
        <v>2761</v>
      </c>
      <c r="O54">
        <v>6.5250000359999998</v>
      </c>
    </row>
    <row r="55" spans="1:15">
      <c r="A55">
        <v>65</v>
      </c>
      <c r="B55" t="s">
        <v>2276</v>
      </c>
      <c r="C55" t="s">
        <v>2277</v>
      </c>
      <c r="D55" t="s">
        <v>2659</v>
      </c>
      <c r="E55" t="s">
        <v>2659</v>
      </c>
      <c r="F55" t="s">
        <v>2278</v>
      </c>
      <c r="G55" t="s">
        <v>3005</v>
      </c>
      <c r="H55" t="s">
        <v>2977</v>
      </c>
      <c r="I55">
        <v>495</v>
      </c>
      <c r="J55">
        <v>731</v>
      </c>
      <c r="K55">
        <v>586</v>
      </c>
      <c r="L55" s="240" t="s">
        <v>3006</v>
      </c>
      <c r="M55">
        <v>68</v>
      </c>
      <c r="N55" t="s">
        <v>2770</v>
      </c>
      <c r="O55">
        <v>6.900000125</v>
      </c>
    </row>
    <row r="56" spans="1:15">
      <c r="A56">
        <v>66</v>
      </c>
      <c r="B56" t="s">
        <v>2276</v>
      </c>
      <c r="C56" t="s">
        <v>2279</v>
      </c>
      <c r="D56" t="s">
        <v>2659</v>
      </c>
      <c r="E56" t="s">
        <v>2659</v>
      </c>
      <c r="F56" t="s">
        <v>2278</v>
      </c>
      <c r="G56" t="s">
        <v>3005</v>
      </c>
      <c r="H56" t="s">
        <v>2977</v>
      </c>
      <c r="I56">
        <v>247</v>
      </c>
      <c r="J56">
        <v>816</v>
      </c>
      <c r="K56">
        <v>851</v>
      </c>
      <c r="L56" s="240" t="s">
        <v>3007</v>
      </c>
      <c r="M56">
        <v>68</v>
      </c>
      <c r="N56" t="s">
        <v>2770</v>
      </c>
      <c r="O56">
        <v>6.900000125</v>
      </c>
    </row>
    <row r="57" spans="1:15">
      <c r="A57">
        <v>68</v>
      </c>
      <c r="B57" t="s">
        <v>2276</v>
      </c>
      <c r="C57" t="s">
        <v>2281</v>
      </c>
      <c r="D57" t="s">
        <v>2659</v>
      </c>
      <c r="E57" t="s">
        <v>2659</v>
      </c>
      <c r="F57" t="s">
        <v>2278</v>
      </c>
      <c r="G57" t="s">
        <v>3005</v>
      </c>
      <c r="H57" t="s">
        <v>2977</v>
      </c>
      <c r="I57">
        <v>63</v>
      </c>
      <c r="J57">
        <v>815</v>
      </c>
      <c r="K57">
        <v>467</v>
      </c>
      <c r="L57" s="240" t="s">
        <v>3008</v>
      </c>
      <c r="M57">
        <v>68</v>
      </c>
      <c r="N57" t="s">
        <v>2770</v>
      </c>
      <c r="O57">
        <v>6.900000125</v>
      </c>
    </row>
    <row r="58" spans="1:15">
      <c r="A58">
        <v>69</v>
      </c>
      <c r="B58" t="s">
        <v>2276</v>
      </c>
      <c r="C58" t="s">
        <v>2282</v>
      </c>
      <c r="D58" t="s">
        <v>2659</v>
      </c>
      <c r="E58" t="s">
        <v>2659</v>
      </c>
      <c r="F58" t="s">
        <v>2278</v>
      </c>
      <c r="G58" t="s">
        <v>3005</v>
      </c>
      <c r="H58" t="s">
        <v>3009</v>
      </c>
      <c r="I58">
        <v>382</v>
      </c>
      <c r="J58">
        <v>741</v>
      </c>
      <c r="K58">
        <v>766</v>
      </c>
      <c r="L58" s="240" t="s">
        <v>3010</v>
      </c>
      <c r="M58">
        <v>69</v>
      </c>
      <c r="N58" t="s">
        <v>2770</v>
      </c>
      <c r="O58">
        <v>6.900000125</v>
      </c>
    </row>
    <row r="59" spans="1:15">
      <c r="A59">
        <v>70</v>
      </c>
      <c r="B59" t="s">
        <v>2276</v>
      </c>
      <c r="C59" t="s">
        <v>2283</v>
      </c>
      <c r="D59" t="s">
        <v>2659</v>
      </c>
      <c r="E59" t="s">
        <v>2659</v>
      </c>
      <c r="F59" t="s">
        <v>2278</v>
      </c>
      <c r="G59" t="s">
        <v>3005</v>
      </c>
      <c r="H59" t="s">
        <v>3009</v>
      </c>
      <c r="I59">
        <v>278</v>
      </c>
      <c r="J59">
        <v>294</v>
      </c>
      <c r="K59">
        <v>430</v>
      </c>
      <c r="L59" s="240" t="s">
        <v>3011</v>
      </c>
      <c r="M59">
        <v>69</v>
      </c>
      <c r="N59" t="s">
        <v>2770</v>
      </c>
      <c r="O59">
        <v>6.900000125</v>
      </c>
    </row>
    <row r="60" spans="1:15">
      <c r="A60">
        <v>71</v>
      </c>
      <c r="B60" t="s">
        <v>2276</v>
      </c>
      <c r="C60" t="s">
        <v>2284</v>
      </c>
      <c r="D60" t="s">
        <v>2659</v>
      </c>
      <c r="E60" t="s">
        <v>2659</v>
      </c>
      <c r="F60" t="s">
        <v>2278</v>
      </c>
      <c r="G60" t="s">
        <v>3005</v>
      </c>
      <c r="H60" t="s">
        <v>3009</v>
      </c>
      <c r="I60">
        <v>138</v>
      </c>
      <c r="J60">
        <v>761</v>
      </c>
      <c r="K60">
        <v>174</v>
      </c>
      <c r="L60" s="240" t="s">
        <v>3012</v>
      </c>
      <c r="M60">
        <v>69</v>
      </c>
      <c r="N60" t="s">
        <v>2770</v>
      </c>
      <c r="O60">
        <v>6.900000125</v>
      </c>
    </row>
    <row r="61" spans="1:15">
      <c r="A61">
        <v>72</v>
      </c>
      <c r="B61" t="s">
        <v>2276</v>
      </c>
      <c r="C61" t="s">
        <v>2285</v>
      </c>
      <c r="D61" t="s">
        <v>2659</v>
      </c>
      <c r="E61" t="s">
        <v>2659</v>
      </c>
      <c r="F61" t="s">
        <v>2278</v>
      </c>
      <c r="G61" t="s">
        <v>3005</v>
      </c>
      <c r="H61" t="s">
        <v>3009</v>
      </c>
      <c r="I61">
        <v>431</v>
      </c>
      <c r="J61">
        <v>780</v>
      </c>
      <c r="K61">
        <v>714</v>
      </c>
      <c r="L61" s="240" t="s">
        <v>3013</v>
      </c>
      <c r="M61">
        <v>69</v>
      </c>
      <c r="N61" t="s">
        <v>2770</v>
      </c>
      <c r="O61">
        <v>6.900000125</v>
      </c>
    </row>
    <row r="62" spans="1:15">
      <c r="A62">
        <v>73</v>
      </c>
      <c r="B62" t="s">
        <v>2276</v>
      </c>
      <c r="C62" t="s">
        <v>2286</v>
      </c>
      <c r="D62" t="s">
        <v>2659</v>
      </c>
      <c r="E62" t="s">
        <v>2659</v>
      </c>
      <c r="F62" t="s">
        <v>2287</v>
      </c>
      <c r="G62" t="s">
        <v>3005</v>
      </c>
      <c r="H62" t="s">
        <v>3009</v>
      </c>
      <c r="I62">
        <v>321</v>
      </c>
      <c r="J62">
        <v>730</v>
      </c>
      <c r="K62">
        <v>726</v>
      </c>
      <c r="L62" s="240" t="s">
        <v>3014</v>
      </c>
      <c r="M62">
        <v>69</v>
      </c>
      <c r="N62" t="s">
        <v>2779</v>
      </c>
      <c r="O62">
        <v>6.900000125</v>
      </c>
    </row>
    <row r="63" spans="1:15">
      <c r="A63">
        <v>74</v>
      </c>
      <c r="B63" t="s">
        <v>2276</v>
      </c>
      <c r="C63" t="s">
        <v>2288</v>
      </c>
      <c r="D63" t="s">
        <v>2659</v>
      </c>
      <c r="E63" t="s">
        <v>2659</v>
      </c>
      <c r="F63" t="s">
        <v>2287</v>
      </c>
      <c r="G63" t="s">
        <v>3005</v>
      </c>
      <c r="H63" t="s">
        <v>3009</v>
      </c>
      <c r="I63">
        <v>329</v>
      </c>
      <c r="J63">
        <v>825</v>
      </c>
      <c r="K63">
        <v>866</v>
      </c>
      <c r="L63" s="240" t="s">
        <v>3015</v>
      </c>
      <c r="M63">
        <v>69</v>
      </c>
      <c r="N63" t="s">
        <v>2779</v>
      </c>
      <c r="O63">
        <v>6.900000125</v>
      </c>
    </row>
    <row r="64" spans="1:15">
      <c r="A64">
        <v>75</v>
      </c>
      <c r="B64" t="s">
        <v>2276</v>
      </c>
      <c r="C64" t="s">
        <v>2289</v>
      </c>
      <c r="D64" t="s">
        <v>2659</v>
      </c>
      <c r="E64" t="s">
        <v>2659</v>
      </c>
      <c r="F64" t="s">
        <v>2287</v>
      </c>
      <c r="G64" t="s">
        <v>3005</v>
      </c>
      <c r="H64" t="s">
        <v>3009</v>
      </c>
      <c r="I64">
        <v>215</v>
      </c>
      <c r="J64">
        <v>840</v>
      </c>
      <c r="K64">
        <v>705</v>
      </c>
      <c r="L64" s="240" t="s">
        <v>3016</v>
      </c>
      <c r="M64">
        <v>69</v>
      </c>
      <c r="N64" t="s">
        <v>2779</v>
      </c>
      <c r="O64">
        <v>6.900000125</v>
      </c>
    </row>
    <row r="65" spans="1:15">
      <c r="A65">
        <v>76</v>
      </c>
      <c r="B65" t="s">
        <v>2276</v>
      </c>
      <c r="C65" t="s">
        <v>2290</v>
      </c>
      <c r="D65" t="s">
        <v>2659</v>
      </c>
      <c r="E65" t="s">
        <v>2659</v>
      </c>
      <c r="F65" t="s">
        <v>2287</v>
      </c>
      <c r="G65" t="s">
        <v>3005</v>
      </c>
      <c r="H65" t="s">
        <v>3009</v>
      </c>
      <c r="I65">
        <v>60</v>
      </c>
      <c r="J65">
        <v>770</v>
      </c>
      <c r="K65">
        <v>601</v>
      </c>
      <c r="L65" s="240" t="s">
        <v>3017</v>
      </c>
      <c r="M65">
        <v>69</v>
      </c>
      <c r="N65" t="s">
        <v>2779</v>
      </c>
      <c r="O65">
        <v>6.900000125</v>
      </c>
    </row>
    <row r="66" spans="1:15">
      <c r="A66">
        <v>78</v>
      </c>
      <c r="B66" t="s">
        <v>2276</v>
      </c>
      <c r="C66" t="s">
        <v>2292</v>
      </c>
      <c r="D66" t="s">
        <v>2659</v>
      </c>
      <c r="E66" t="s">
        <v>2659</v>
      </c>
      <c r="F66" t="s">
        <v>2287</v>
      </c>
      <c r="G66" t="s">
        <v>3005</v>
      </c>
      <c r="H66" t="s">
        <v>3009</v>
      </c>
      <c r="I66">
        <v>97</v>
      </c>
      <c r="J66">
        <v>696</v>
      </c>
      <c r="K66">
        <v>157</v>
      </c>
      <c r="L66" s="240" t="s">
        <v>3018</v>
      </c>
      <c r="M66">
        <v>69</v>
      </c>
      <c r="N66" t="s">
        <v>2779</v>
      </c>
      <c r="O66">
        <v>6.900000125</v>
      </c>
    </row>
    <row r="67" spans="1:15">
      <c r="A67">
        <v>79</v>
      </c>
      <c r="B67" t="s">
        <v>2276</v>
      </c>
      <c r="C67" t="s">
        <v>2293</v>
      </c>
      <c r="D67" t="s">
        <v>2659</v>
      </c>
      <c r="E67" t="s">
        <v>2659</v>
      </c>
      <c r="F67" t="s">
        <v>2287</v>
      </c>
      <c r="G67" t="s">
        <v>3005</v>
      </c>
      <c r="H67" t="s">
        <v>3009</v>
      </c>
      <c r="I67">
        <v>120</v>
      </c>
      <c r="J67">
        <v>270</v>
      </c>
      <c r="K67">
        <v>226</v>
      </c>
      <c r="L67" s="240" t="s">
        <v>3019</v>
      </c>
      <c r="M67">
        <v>69</v>
      </c>
      <c r="N67" t="s">
        <v>2779</v>
      </c>
      <c r="O67">
        <v>6.900000125</v>
      </c>
    </row>
    <row r="68" spans="1:15">
      <c r="A68">
        <v>80</v>
      </c>
      <c r="B68" t="s">
        <v>2276</v>
      </c>
      <c r="C68" t="s">
        <v>2294</v>
      </c>
      <c r="D68" t="s">
        <v>2659</v>
      </c>
      <c r="E68" t="s">
        <v>2659</v>
      </c>
      <c r="F68" t="s">
        <v>2287</v>
      </c>
      <c r="G68" t="s">
        <v>3005</v>
      </c>
      <c r="H68" t="s">
        <v>3009</v>
      </c>
      <c r="I68">
        <v>24</v>
      </c>
      <c r="J68">
        <v>726</v>
      </c>
      <c r="K68">
        <v>855</v>
      </c>
      <c r="L68" s="240" t="s">
        <v>3020</v>
      </c>
      <c r="M68">
        <v>69</v>
      </c>
      <c r="N68" t="s">
        <v>2779</v>
      </c>
      <c r="O68">
        <v>6.900000125</v>
      </c>
    </row>
    <row r="69" spans="1:15">
      <c r="A69">
        <v>81</v>
      </c>
      <c r="B69" t="s">
        <v>2276</v>
      </c>
      <c r="C69" t="s">
        <v>2295</v>
      </c>
      <c r="D69" t="s">
        <v>2659</v>
      </c>
      <c r="E69" t="s">
        <v>2659</v>
      </c>
      <c r="F69" t="s">
        <v>2296</v>
      </c>
      <c r="G69" t="s">
        <v>3005</v>
      </c>
      <c r="H69" t="s">
        <v>3009</v>
      </c>
      <c r="I69">
        <v>312</v>
      </c>
      <c r="J69">
        <v>739</v>
      </c>
      <c r="K69">
        <v>413</v>
      </c>
      <c r="L69" s="240" t="s">
        <v>3021</v>
      </c>
      <c r="M69">
        <v>69</v>
      </c>
      <c r="N69" t="s">
        <v>2788</v>
      </c>
      <c r="O69">
        <v>12.563016860999999</v>
      </c>
    </row>
    <row r="70" spans="1:15">
      <c r="A70">
        <v>82</v>
      </c>
      <c r="B70" t="s">
        <v>2276</v>
      </c>
      <c r="C70" t="s">
        <v>2298</v>
      </c>
      <c r="D70" t="s">
        <v>2659</v>
      </c>
      <c r="E70" t="s">
        <v>2659</v>
      </c>
      <c r="F70" t="s">
        <v>2296</v>
      </c>
      <c r="G70" t="s">
        <v>3005</v>
      </c>
      <c r="H70" t="s">
        <v>3009</v>
      </c>
      <c r="I70">
        <v>356</v>
      </c>
      <c r="J70">
        <v>800</v>
      </c>
      <c r="K70">
        <v>370</v>
      </c>
      <c r="L70" s="240" t="s">
        <v>3022</v>
      </c>
      <c r="M70">
        <v>69</v>
      </c>
      <c r="N70" t="s">
        <v>2788</v>
      </c>
      <c r="O70">
        <v>12.563016860999999</v>
      </c>
    </row>
    <row r="71" spans="1:15">
      <c r="A71">
        <v>83</v>
      </c>
      <c r="B71" t="s">
        <v>2276</v>
      </c>
      <c r="C71" t="s">
        <v>2299</v>
      </c>
      <c r="D71" t="s">
        <v>2659</v>
      </c>
      <c r="E71" t="s">
        <v>2659</v>
      </c>
      <c r="F71" t="s">
        <v>2296</v>
      </c>
      <c r="G71" t="s">
        <v>3005</v>
      </c>
      <c r="H71" t="s">
        <v>3009</v>
      </c>
      <c r="I71">
        <v>331</v>
      </c>
      <c r="J71">
        <v>764</v>
      </c>
      <c r="K71">
        <v>879</v>
      </c>
      <c r="L71" s="240" t="s">
        <v>3023</v>
      </c>
      <c r="M71">
        <v>69</v>
      </c>
      <c r="N71" t="s">
        <v>2788</v>
      </c>
      <c r="O71">
        <v>12.563016860999999</v>
      </c>
    </row>
    <row r="72" spans="1:15">
      <c r="A72">
        <v>84</v>
      </c>
      <c r="B72" t="s">
        <v>2276</v>
      </c>
      <c r="C72" t="s">
        <v>2300</v>
      </c>
      <c r="D72" t="s">
        <v>2659</v>
      </c>
      <c r="E72" t="s">
        <v>2659</v>
      </c>
      <c r="F72" t="s">
        <v>2296</v>
      </c>
      <c r="G72" t="s">
        <v>3005</v>
      </c>
      <c r="H72" t="s">
        <v>3009</v>
      </c>
      <c r="I72">
        <v>101</v>
      </c>
      <c r="J72">
        <v>778</v>
      </c>
      <c r="K72">
        <v>854</v>
      </c>
      <c r="L72" s="240" t="s">
        <v>3024</v>
      </c>
      <c r="M72">
        <v>69</v>
      </c>
      <c r="N72" t="s">
        <v>2788</v>
      </c>
      <c r="O72">
        <v>12.563016860999999</v>
      </c>
    </row>
    <row r="73" spans="1:15">
      <c r="A73">
        <v>86</v>
      </c>
      <c r="B73" t="s">
        <v>2276</v>
      </c>
      <c r="C73" t="s">
        <v>2302</v>
      </c>
      <c r="D73" t="s">
        <v>2659</v>
      </c>
      <c r="E73" t="s">
        <v>2659</v>
      </c>
      <c r="F73" t="s">
        <v>2296</v>
      </c>
      <c r="G73" t="s">
        <v>3005</v>
      </c>
      <c r="H73" t="s">
        <v>3009</v>
      </c>
      <c r="I73">
        <v>31</v>
      </c>
      <c r="J73">
        <v>738</v>
      </c>
      <c r="K73">
        <v>788</v>
      </c>
      <c r="L73" s="240" t="s">
        <v>3025</v>
      </c>
      <c r="M73">
        <v>69</v>
      </c>
      <c r="N73" t="s">
        <v>2788</v>
      </c>
      <c r="O73">
        <v>12.563016860999999</v>
      </c>
    </row>
    <row r="74" spans="1:15">
      <c r="A74">
        <v>87</v>
      </c>
      <c r="B74" t="s">
        <v>2276</v>
      </c>
      <c r="C74" t="s">
        <v>2303</v>
      </c>
      <c r="D74" t="s">
        <v>2659</v>
      </c>
      <c r="E74" t="s">
        <v>2659</v>
      </c>
      <c r="F74" t="s">
        <v>2296</v>
      </c>
      <c r="G74" t="s">
        <v>3005</v>
      </c>
      <c r="H74" t="s">
        <v>3009</v>
      </c>
      <c r="I74">
        <v>220</v>
      </c>
      <c r="J74">
        <v>394</v>
      </c>
      <c r="K74">
        <v>91</v>
      </c>
      <c r="L74" s="240" t="s">
        <v>3026</v>
      </c>
      <c r="M74">
        <v>69</v>
      </c>
      <c r="N74" t="s">
        <v>2788</v>
      </c>
      <c r="O74">
        <v>12.563016860999999</v>
      </c>
    </row>
    <row r="75" spans="1:15">
      <c r="A75">
        <v>88</v>
      </c>
      <c r="B75" t="s">
        <v>2276</v>
      </c>
      <c r="C75" t="s">
        <v>2304</v>
      </c>
      <c r="D75" t="s">
        <v>2659</v>
      </c>
      <c r="E75" t="s">
        <v>2659</v>
      </c>
      <c r="F75" t="s">
        <v>2296</v>
      </c>
      <c r="G75" t="s">
        <v>3005</v>
      </c>
      <c r="H75" t="s">
        <v>3009</v>
      </c>
      <c r="I75">
        <v>531</v>
      </c>
      <c r="J75">
        <v>819</v>
      </c>
      <c r="K75">
        <v>364</v>
      </c>
      <c r="L75" s="240" t="s">
        <v>3027</v>
      </c>
      <c r="M75">
        <v>69</v>
      </c>
      <c r="N75" t="s">
        <v>2788</v>
      </c>
      <c r="O75">
        <v>12.563016860999999</v>
      </c>
    </row>
    <row r="76" spans="1:15">
      <c r="A76">
        <v>89</v>
      </c>
      <c r="B76" t="s">
        <v>2276</v>
      </c>
      <c r="C76" t="s">
        <v>2305</v>
      </c>
      <c r="D76" t="s">
        <v>2659</v>
      </c>
      <c r="E76" t="s">
        <v>2659</v>
      </c>
      <c r="F76" t="s">
        <v>2306</v>
      </c>
      <c r="G76" t="s">
        <v>3005</v>
      </c>
      <c r="H76" t="s">
        <v>3009</v>
      </c>
      <c r="I76">
        <v>35</v>
      </c>
      <c r="J76">
        <v>818</v>
      </c>
      <c r="K76">
        <v>862</v>
      </c>
      <c r="L76" s="240" t="s">
        <v>3028</v>
      </c>
      <c r="M76">
        <v>69</v>
      </c>
      <c r="N76" t="s">
        <v>2797</v>
      </c>
      <c r="O76">
        <v>12.563016860999999</v>
      </c>
    </row>
    <row r="77" spans="1:15">
      <c r="A77">
        <v>90</v>
      </c>
      <c r="B77" t="s">
        <v>2276</v>
      </c>
      <c r="C77" t="s">
        <v>2307</v>
      </c>
      <c r="D77" t="s">
        <v>2659</v>
      </c>
      <c r="E77" t="s">
        <v>2659</v>
      </c>
      <c r="F77" t="s">
        <v>2306</v>
      </c>
      <c r="G77" t="s">
        <v>3005</v>
      </c>
      <c r="H77" t="s">
        <v>3009</v>
      </c>
      <c r="I77">
        <v>264</v>
      </c>
      <c r="J77">
        <v>767</v>
      </c>
      <c r="K77">
        <v>330</v>
      </c>
      <c r="L77" s="240" t="s">
        <v>3029</v>
      </c>
      <c r="M77">
        <v>69</v>
      </c>
      <c r="N77" t="s">
        <v>2797</v>
      </c>
      <c r="O77">
        <v>12.563016860999999</v>
      </c>
    </row>
    <row r="78" spans="1:15">
      <c r="A78">
        <v>91</v>
      </c>
      <c r="B78" t="s">
        <v>2276</v>
      </c>
      <c r="C78" t="s">
        <v>2308</v>
      </c>
      <c r="D78" t="s">
        <v>2659</v>
      </c>
      <c r="E78" t="s">
        <v>2659</v>
      </c>
      <c r="F78" t="s">
        <v>2306</v>
      </c>
      <c r="G78" t="s">
        <v>3005</v>
      </c>
      <c r="H78" t="s">
        <v>3009</v>
      </c>
      <c r="I78">
        <v>13</v>
      </c>
      <c r="J78">
        <v>787</v>
      </c>
      <c r="K78">
        <v>596</v>
      </c>
      <c r="L78" s="240" t="s">
        <v>3030</v>
      </c>
      <c r="M78">
        <v>69</v>
      </c>
      <c r="N78" t="s">
        <v>2797</v>
      </c>
      <c r="O78">
        <v>12.563016860999999</v>
      </c>
    </row>
    <row r="79" spans="1:15">
      <c r="A79">
        <v>92</v>
      </c>
      <c r="B79" t="s">
        <v>2276</v>
      </c>
      <c r="C79" t="s">
        <v>2309</v>
      </c>
      <c r="D79" t="s">
        <v>2659</v>
      </c>
      <c r="E79" t="s">
        <v>2659</v>
      </c>
      <c r="F79" t="s">
        <v>2306</v>
      </c>
      <c r="G79" t="s">
        <v>3005</v>
      </c>
      <c r="H79" t="s">
        <v>3009</v>
      </c>
      <c r="I79">
        <v>324</v>
      </c>
      <c r="J79">
        <v>812</v>
      </c>
      <c r="K79">
        <v>380</v>
      </c>
      <c r="L79" s="240" t="s">
        <v>3031</v>
      </c>
      <c r="M79">
        <v>69</v>
      </c>
      <c r="N79" t="s">
        <v>2797</v>
      </c>
      <c r="O79">
        <v>12.563016860999999</v>
      </c>
    </row>
    <row r="80" spans="1:15">
      <c r="A80">
        <v>93</v>
      </c>
      <c r="B80" t="s">
        <v>2276</v>
      </c>
      <c r="C80" t="s">
        <v>2310</v>
      </c>
      <c r="D80" t="s">
        <v>2659</v>
      </c>
      <c r="E80" t="s">
        <v>2659</v>
      </c>
      <c r="F80" t="s">
        <v>2306</v>
      </c>
      <c r="G80" t="s">
        <v>3005</v>
      </c>
      <c r="H80" t="s">
        <v>3009</v>
      </c>
      <c r="I80">
        <v>99</v>
      </c>
      <c r="J80">
        <v>675</v>
      </c>
      <c r="K80">
        <v>872</v>
      </c>
      <c r="L80" s="240" t="s">
        <v>3032</v>
      </c>
      <c r="M80">
        <v>69</v>
      </c>
      <c r="N80" t="s">
        <v>2797</v>
      </c>
      <c r="O80">
        <v>12.563016860999999</v>
      </c>
    </row>
    <row r="81" spans="1:15">
      <c r="A81">
        <v>95</v>
      </c>
      <c r="B81" t="s">
        <v>2276</v>
      </c>
      <c r="C81" t="s">
        <v>2312</v>
      </c>
      <c r="D81" t="s">
        <v>2659</v>
      </c>
      <c r="E81" t="s">
        <v>2659</v>
      </c>
      <c r="F81" t="s">
        <v>2306</v>
      </c>
      <c r="G81" t="s">
        <v>3005</v>
      </c>
      <c r="H81" t="s">
        <v>3009</v>
      </c>
      <c r="I81">
        <v>126</v>
      </c>
      <c r="J81">
        <v>794</v>
      </c>
      <c r="K81">
        <v>844</v>
      </c>
      <c r="L81" s="240" t="s">
        <v>3033</v>
      </c>
      <c r="M81">
        <v>69</v>
      </c>
      <c r="N81" t="s">
        <v>2797</v>
      </c>
      <c r="O81">
        <v>12.563016860999999</v>
      </c>
    </row>
    <row r="82" spans="1:15">
      <c r="A82">
        <v>96</v>
      </c>
      <c r="B82" t="s">
        <v>2276</v>
      </c>
      <c r="C82" t="s">
        <v>2313</v>
      </c>
      <c r="D82" t="s">
        <v>2659</v>
      </c>
      <c r="E82" t="s">
        <v>2659</v>
      </c>
      <c r="F82" t="s">
        <v>2306</v>
      </c>
      <c r="G82" t="s">
        <v>3005</v>
      </c>
      <c r="H82" t="s">
        <v>3009</v>
      </c>
      <c r="I82">
        <v>244</v>
      </c>
      <c r="J82">
        <v>737</v>
      </c>
      <c r="K82">
        <v>372</v>
      </c>
      <c r="L82" s="240" t="s">
        <v>3034</v>
      </c>
      <c r="M82">
        <v>69</v>
      </c>
      <c r="N82" t="s">
        <v>2797</v>
      </c>
      <c r="O82">
        <v>12.563016860999999</v>
      </c>
    </row>
    <row r="83" spans="1:15">
      <c r="A83">
        <v>97</v>
      </c>
      <c r="B83" t="s">
        <v>2666</v>
      </c>
      <c r="C83" t="s">
        <v>2315</v>
      </c>
      <c r="D83" t="s">
        <v>2460</v>
      </c>
      <c r="E83" t="s">
        <v>2659</v>
      </c>
      <c r="F83" t="s">
        <v>2178</v>
      </c>
      <c r="G83" t="s">
        <v>3035</v>
      </c>
      <c r="H83" t="s">
        <v>3036</v>
      </c>
      <c r="I83">
        <v>432</v>
      </c>
      <c r="J83">
        <v>801</v>
      </c>
      <c r="K83">
        <v>3</v>
      </c>
      <c r="L83" s="240" t="s">
        <v>3037</v>
      </c>
      <c r="M83">
        <v>71</v>
      </c>
      <c r="N83" t="s">
        <v>2807</v>
      </c>
      <c r="O83">
        <v>137.19979645800001</v>
      </c>
    </row>
    <row r="84" spans="1:15">
      <c r="A84">
        <v>98</v>
      </c>
      <c r="B84" t="s">
        <v>2666</v>
      </c>
      <c r="C84" t="s">
        <v>2316</v>
      </c>
      <c r="D84" t="s">
        <v>2460</v>
      </c>
      <c r="E84" t="s">
        <v>2659</v>
      </c>
      <c r="F84" t="s">
        <v>2178</v>
      </c>
      <c r="G84" t="s">
        <v>3035</v>
      </c>
      <c r="H84" t="s">
        <v>3036</v>
      </c>
      <c r="I84">
        <v>184</v>
      </c>
      <c r="J84">
        <v>808</v>
      </c>
      <c r="K84">
        <v>25</v>
      </c>
      <c r="L84" s="240" t="s">
        <v>3038</v>
      </c>
      <c r="M84">
        <v>71</v>
      </c>
      <c r="N84" t="s">
        <v>2807</v>
      </c>
      <c r="O84">
        <v>137.19979645800001</v>
      </c>
    </row>
    <row r="85" spans="1:15">
      <c r="A85">
        <v>100</v>
      </c>
      <c r="B85" t="s">
        <v>2666</v>
      </c>
      <c r="C85" t="s">
        <v>2318</v>
      </c>
      <c r="D85" t="s">
        <v>2460</v>
      </c>
      <c r="E85" t="s">
        <v>2659</v>
      </c>
      <c r="F85" t="s">
        <v>2178</v>
      </c>
      <c r="G85" t="s">
        <v>3035</v>
      </c>
      <c r="H85" t="s">
        <v>3036</v>
      </c>
      <c r="I85">
        <v>176</v>
      </c>
      <c r="J85">
        <v>276</v>
      </c>
      <c r="K85">
        <v>187</v>
      </c>
      <c r="L85" s="240" t="s">
        <v>3039</v>
      </c>
      <c r="M85">
        <v>71</v>
      </c>
      <c r="N85" t="s">
        <v>2807</v>
      </c>
      <c r="O85">
        <v>137.19979645800001</v>
      </c>
    </row>
    <row r="86" spans="1:15">
      <c r="A86">
        <v>101</v>
      </c>
      <c r="B86" t="s">
        <v>2666</v>
      </c>
      <c r="C86" t="s">
        <v>2320</v>
      </c>
      <c r="D86" t="s">
        <v>2460</v>
      </c>
      <c r="E86" t="s">
        <v>2659</v>
      </c>
      <c r="F86" t="s">
        <v>2178</v>
      </c>
      <c r="G86" t="s">
        <v>3035</v>
      </c>
      <c r="H86" t="s">
        <v>3036</v>
      </c>
      <c r="I86">
        <v>11</v>
      </c>
      <c r="J86">
        <v>624</v>
      </c>
      <c r="K86">
        <v>398</v>
      </c>
      <c r="L86" s="240" t="s">
        <v>3040</v>
      </c>
      <c r="M86">
        <v>71</v>
      </c>
      <c r="N86" t="s">
        <v>2807</v>
      </c>
      <c r="O86">
        <v>137.19979645800001</v>
      </c>
    </row>
    <row r="87" spans="1:15">
      <c r="A87">
        <v>102</v>
      </c>
      <c r="B87" t="s">
        <v>2666</v>
      </c>
      <c r="C87" t="s">
        <v>2321</v>
      </c>
      <c r="D87" t="s">
        <v>2460</v>
      </c>
      <c r="E87" t="s">
        <v>2659</v>
      </c>
      <c r="F87" t="s">
        <v>2178</v>
      </c>
      <c r="G87" t="s">
        <v>3035</v>
      </c>
      <c r="H87" t="s">
        <v>3036</v>
      </c>
      <c r="I87">
        <v>284</v>
      </c>
      <c r="J87">
        <v>781</v>
      </c>
      <c r="K87">
        <v>120</v>
      </c>
      <c r="L87" s="240" t="s">
        <v>3041</v>
      </c>
      <c r="M87">
        <v>71</v>
      </c>
      <c r="N87" t="s">
        <v>2807</v>
      </c>
      <c r="O87">
        <v>137.19979645800001</v>
      </c>
    </row>
    <row r="88" spans="1:15">
      <c r="A88">
        <v>103</v>
      </c>
      <c r="B88" t="s">
        <v>2666</v>
      </c>
      <c r="C88" t="s">
        <v>2322</v>
      </c>
      <c r="D88" t="s">
        <v>2460</v>
      </c>
      <c r="E88" t="s">
        <v>2659</v>
      </c>
      <c r="F88" t="s">
        <v>2178</v>
      </c>
      <c r="G88" t="s">
        <v>3035</v>
      </c>
      <c r="H88" t="s">
        <v>3036</v>
      </c>
      <c r="I88">
        <v>326</v>
      </c>
      <c r="J88">
        <v>772</v>
      </c>
      <c r="K88">
        <v>145</v>
      </c>
      <c r="L88" s="240" t="s">
        <v>3042</v>
      </c>
      <c r="M88">
        <v>71</v>
      </c>
      <c r="N88" t="s">
        <v>2807</v>
      </c>
      <c r="O88">
        <v>137.19979645800001</v>
      </c>
    </row>
    <row r="89" spans="1:15">
      <c r="A89">
        <v>104</v>
      </c>
      <c r="B89" t="s">
        <v>2666</v>
      </c>
      <c r="C89" t="s">
        <v>2323</v>
      </c>
      <c r="D89" t="s">
        <v>2460</v>
      </c>
      <c r="E89" t="s">
        <v>2659</v>
      </c>
      <c r="F89" t="s">
        <v>2178</v>
      </c>
      <c r="G89" t="s">
        <v>3035</v>
      </c>
      <c r="H89" t="s">
        <v>3036</v>
      </c>
      <c r="I89">
        <v>162</v>
      </c>
      <c r="J89">
        <v>744</v>
      </c>
      <c r="K89">
        <v>76</v>
      </c>
      <c r="L89" s="240" t="s">
        <v>3043</v>
      </c>
      <c r="M89">
        <v>71</v>
      </c>
      <c r="N89" t="s">
        <v>2807</v>
      </c>
      <c r="O89">
        <v>137.19979645800001</v>
      </c>
    </row>
    <row r="90" spans="1:15">
      <c r="A90">
        <v>105</v>
      </c>
      <c r="B90" t="s">
        <v>2666</v>
      </c>
      <c r="C90" t="s">
        <v>2324</v>
      </c>
      <c r="D90" t="s">
        <v>2460</v>
      </c>
      <c r="E90" t="s">
        <v>2659</v>
      </c>
      <c r="F90" t="s">
        <v>2194</v>
      </c>
      <c r="G90" t="s">
        <v>3035</v>
      </c>
      <c r="H90" t="s">
        <v>3036</v>
      </c>
      <c r="I90">
        <v>6</v>
      </c>
      <c r="J90">
        <v>824</v>
      </c>
      <c r="K90">
        <v>57</v>
      </c>
      <c r="L90" s="240" t="s">
        <v>3044</v>
      </c>
      <c r="M90">
        <v>71</v>
      </c>
      <c r="N90" t="s">
        <v>2816</v>
      </c>
      <c r="O90">
        <v>137.19979645800001</v>
      </c>
    </row>
    <row r="91" spans="1:15">
      <c r="A91">
        <v>106</v>
      </c>
      <c r="B91" t="s">
        <v>2666</v>
      </c>
      <c r="C91" t="s">
        <v>2325</v>
      </c>
      <c r="D91" t="s">
        <v>2460</v>
      </c>
      <c r="E91" t="s">
        <v>2659</v>
      </c>
      <c r="F91" t="s">
        <v>2194</v>
      </c>
      <c r="G91" t="s">
        <v>3035</v>
      </c>
      <c r="H91" t="s">
        <v>3036</v>
      </c>
      <c r="I91">
        <v>20</v>
      </c>
      <c r="J91">
        <v>790</v>
      </c>
      <c r="K91">
        <v>167</v>
      </c>
      <c r="L91" s="240" t="s">
        <v>3045</v>
      </c>
      <c r="M91">
        <v>71</v>
      </c>
      <c r="N91" t="s">
        <v>2816</v>
      </c>
      <c r="O91">
        <v>137.19979645800001</v>
      </c>
    </row>
    <row r="92" spans="1:15">
      <c r="A92">
        <v>107</v>
      </c>
      <c r="B92" t="s">
        <v>2666</v>
      </c>
      <c r="C92" t="s">
        <v>2326</v>
      </c>
      <c r="D92" t="s">
        <v>2460</v>
      </c>
      <c r="E92" t="s">
        <v>2659</v>
      </c>
      <c r="F92" t="s">
        <v>2194</v>
      </c>
      <c r="G92" t="s">
        <v>3035</v>
      </c>
      <c r="H92" t="s">
        <v>3036</v>
      </c>
      <c r="I92">
        <v>129</v>
      </c>
      <c r="J92">
        <v>809</v>
      </c>
      <c r="K92">
        <v>208</v>
      </c>
      <c r="L92" s="240" t="s">
        <v>3046</v>
      </c>
      <c r="M92">
        <v>71</v>
      </c>
      <c r="N92" t="s">
        <v>2816</v>
      </c>
      <c r="O92">
        <v>137.19979645800001</v>
      </c>
    </row>
    <row r="93" spans="1:15">
      <c r="A93">
        <v>108</v>
      </c>
      <c r="B93" t="s">
        <v>2666</v>
      </c>
      <c r="C93" t="s">
        <v>2327</v>
      </c>
      <c r="D93" t="s">
        <v>2460</v>
      </c>
      <c r="E93" t="s">
        <v>2659</v>
      </c>
      <c r="F93" t="s">
        <v>2194</v>
      </c>
      <c r="G93" t="s">
        <v>3035</v>
      </c>
      <c r="H93" t="s">
        <v>3036</v>
      </c>
      <c r="I93">
        <v>258</v>
      </c>
      <c r="J93">
        <v>777</v>
      </c>
      <c r="K93">
        <v>62</v>
      </c>
      <c r="L93" s="240" t="s">
        <v>3047</v>
      </c>
      <c r="M93">
        <v>71</v>
      </c>
      <c r="N93" t="s">
        <v>2816</v>
      </c>
      <c r="O93">
        <v>137.19979645800001</v>
      </c>
    </row>
    <row r="94" spans="1:15">
      <c r="A94">
        <v>109</v>
      </c>
      <c r="B94" t="s">
        <v>2666</v>
      </c>
      <c r="C94" t="s">
        <v>2329</v>
      </c>
      <c r="D94" t="s">
        <v>2460</v>
      </c>
      <c r="E94" t="s">
        <v>2659</v>
      </c>
      <c r="F94" t="s">
        <v>2194</v>
      </c>
      <c r="G94" t="s">
        <v>3035</v>
      </c>
      <c r="H94" t="s">
        <v>3036</v>
      </c>
      <c r="I94">
        <v>294</v>
      </c>
      <c r="J94">
        <v>804</v>
      </c>
      <c r="K94">
        <v>102</v>
      </c>
      <c r="L94" s="240" t="s">
        <v>3048</v>
      </c>
      <c r="M94">
        <v>71</v>
      </c>
      <c r="N94" t="s">
        <v>2816</v>
      </c>
      <c r="O94">
        <v>137.19979645800001</v>
      </c>
    </row>
    <row r="95" spans="1:15">
      <c r="A95">
        <v>110</v>
      </c>
      <c r="B95" t="s">
        <v>2666</v>
      </c>
      <c r="C95" t="s">
        <v>2330</v>
      </c>
      <c r="D95" t="s">
        <v>2460</v>
      </c>
      <c r="E95" t="s">
        <v>2659</v>
      </c>
      <c r="F95" t="s">
        <v>2194</v>
      </c>
      <c r="G95" t="s">
        <v>3035</v>
      </c>
      <c r="H95" t="s">
        <v>3036</v>
      </c>
      <c r="I95">
        <v>350</v>
      </c>
      <c r="J95">
        <v>786</v>
      </c>
      <c r="K95">
        <v>265</v>
      </c>
      <c r="L95" s="240" t="s">
        <v>3049</v>
      </c>
      <c r="M95">
        <v>71</v>
      </c>
      <c r="N95" t="s">
        <v>2816</v>
      </c>
      <c r="O95">
        <v>137.19979645800001</v>
      </c>
    </row>
    <row r="96" spans="1:15">
      <c r="A96">
        <v>111</v>
      </c>
      <c r="B96" t="s">
        <v>2666</v>
      </c>
      <c r="C96" t="s">
        <v>2331</v>
      </c>
      <c r="D96" t="s">
        <v>2460</v>
      </c>
      <c r="E96" t="s">
        <v>2659</v>
      </c>
      <c r="F96" t="s">
        <v>2194</v>
      </c>
      <c r="G96" t="s">
        <v>3035</v>
      </c>
      <c r="H96" t="s">
        <v>3036</v>
      </c>
      <c r="I96">
        <v>274</v>
      </c>
      <c r="J96">
        <v>835</v>
      </c>
      <c r="K96">
        <v>455</v>
      </c>
      <c r="L96" s="240" t="s">
        <v>3050</v>
      </c>
      <c r="M96">
        <v>71</v>
      </c>
      <c r="N96" t="s">
        <v>2816</v>
      </c>
      <c r="O96">
        <v>137.19979645800001</v>
      </c>
    </row>
    <row r="97" spans="1:15">
      <c r="A97">
        <v>113</v>
      </c>
      <c r="B97" t="s">
        <v>2666</v>
      </c>
      <c r="C97" t="s">
        <v>2333</v>
      </c>
      <c r="D97" t="s">
        <v>2460</v>
      </c>
      <c r="E97" t="s">
        <v>2659</v>
      </c>
      <c r="F97" t="s">
        <v>2208</v>
      </c>
      <c r="G97" t="s">
        <v>3035</v>
      </c>
      <c r="H97" t="s">
        <v>3051</v>
      </c>
      <c r="I97">
        <v>314</v>
      </c>
      <c r="J97">
        <v>807</v>
      </c>
      <c r="K97">
        <v>490</v>
      </c>
      <c r="L97" s="240" t="s">
        <v>3052</v>
      </c>
      <c r="M97">
        <v>69</v>
      </c>
      <c r="N97" t="s">
        <v>2824</v>
      </c>
      <c r="O97">
        <v>136.27214243</v>
      </c>
    </row>
    <row r="98" spans="1:15">
      <c r="A98">
        <v>114</v>
      </c>
      <c r="B98" t="s">
        <v>2666</v>
      </c>
      <c r="C98" t="s">
        <v>2334</v>
      </c>
      <c r="D98" t="s">
        <v>2460</v>
      </c>
      <c r="E98" t="s">
        <v>2659</v>
      </c>
      <c r="F98" t="s">
        <v>2208</v>
      </c>
      <c r="G98" t="s">
        <v>3035</v>
      </c>
      <c r="H98" t="s">
        <v>3051</v>
      </c>
      <c r="I98">
        <v>263</v>
      </c>
      <c r="J98">
        <v>829</v>
      </c>
      <c r="K98">
        <v>650</v>
      </c>
      <c r="L98" s="240" t="s">
        <v>3053</v>
      </c>
      <c r="M98">
        <v>69</v>
      </c>
      <c r="N98" t="s">
        <v>2824</v>
      </c>
      <c r="O98">
        <v>136.27214243</v>
      </c>
    </row>
    <row r="99" spans="1:15">
      <c r="A99">
        <v>115</v>
      </c>
      <c r="B99" t="s">
        <v>2666</v>
      </c>
      <c r="C99" t="s">
        <v>2335</v>
      </c>
      <c r="D99" t="s">
        <v>2460</v>
      </c>
      <c r="E99" t="s">
        <v>2659</v>
      </c>
      <c r="F99" t="s">
        <v>2208</v>
      </c>
      <c r="G99" t="s">
        <v>3035</v>
      </c>
      <c r="H99" t="s">
        <v>3051</v>
      </c>
      <c r="I99">
        <v>125</v>
      </c>
      <c r="J99">
        <v>766</v>
      </c>
      <c r="K99">
        <v>873</v>
      </c>
      <c r="L99" s="240" t="s">
        <v>3054</v>
      </c>
      <c r="M99">
        <v>69</v>
      </c>
      <c r="N99" t="s">
        <v>2824</v>
      </c>
      <c r="O99">
        <v>136.27214243</v>
      </c>
    </row>
    <row r="100" spans="1:15">
      <c r="A100">
        <v>116</v>
      </c>
      <c r="B100" t="s">
        <v>2666</v>
      </c>
      <c r="C100" t="s">
        <v>2336</v>
      </c>
      <c r="D100" t="s">
        <v>2460</v>
      </c>
      <c r="E100" t="s">
        <v>2659</v>
      </c>
      <c r="F100" t="s">
        <v>2208</v>
      </c>
      <c r="G100" t="s">
        <v>3035</v>
      </c>
      <c r="H100" t="s">
        <v>3051</v>
      </c>
      <c r="I100">
        <v>189</v>
      </c>
      <c r="J100">
        <v>757</v>
      </c>
      <c r="K100">
        <v>206</v>
      </c>
      <c r="L100" s="240" t="s">
        <v>3055</v>
      </c>
      <c r="M100">
        <v>69</v>
      </c>
      <c r="N100" t="s">
        <v>2824</v>
      </c>
      <c r="O100">
        <v>136.27214243</v>
      </c>
    </row>
    <row r="101" spans="1:15">
      <c r="A101">
        <v>117</v>
      </c>
      <c r="B101" t="s">
        <v>2666</v>
      </c>
      <c r="C101" t="s">
        <v>2337</v>
      </c>
      <c r="D101" t="s">
        <v>2460</v>
      </c>
      <c r="E101" t="s">
        <v>2659</v>
      </c>
      <c r="F101" t="s">
        <v>2208</v>
      </c>
      <c r="G101" t="s">
        <v>3035</v>
      </c>
      <c r="H101" t="s">
        <v>3051</v>
      </c>
      <c r="I101">
        <v>533</v>
      </c>
      <c r="J101">
        <v>745</v>
      </c>
      <c r="K101">
        <v>163</v>
      </c>
      <c r="L101" s="240" t="s">
        <v>3056</v>
      </c>
      <c r="M101">
        <v>69</v>
      </c>
      <c r="N101" t="s">
        <v>2824</v>
      </c>
      <c r="O101">
        <v>136.27214243</v>
      </c>
    </row>
    <row r="102" spans="1:15">
      <c r="A102">
        <v>118</v>
      </c>
      <c r="B102" t="s">
        <v>2666</v>
      </c>
      <c r="C102" t="s">
        <v>2338</v>
      </c>
      <c r="D102" t="s">
        <v>2460</v>
      </c>
      <c r="E102" t="s">
        <v>2659</v>
      </c>
      <c r="F102" t="s">
        <v>2208</v>
      </c>
      <c r="G102" t="s">
        <v>3035</v>
      </c>
      <c r="H102" t="s">
        <v>3051</v>
      </c>
      <c r="I102">
        <v>200</v>
      </c>
      <c r="J102">
        <v>791</v>
      </c>
      <c r="K102">
        <v>83</v>
      </c>
      <c r="L102" s="240" t="s">
        <v>3057</v>
      </c>
      <c r="M102">
        <v>69</v>
      </c>
      <c r="N102" t="s">
        <v>2824</v>
      </c>
      <c r="O102">
        <v>136.27214243</v>
      </c>
    </row>
    <row r="103" spans="1:15">
      <c r="A103">
        <v>119</v>
      </c>
      <c r="B103" t="s">
        <v>2666</v>
      </c>
      <c r="C103" t="s">
        <v>2339</v>
      </c>
      <c r="D103" t="s">
        <v>2460</v>
      </c>
      <c r="E103" t="s">
        <v>2659</v>
      </c>
      <c r="F103" t="s">
        <v>2208</v>
      </c>
      <c r="G103" t="s">
        <v>3035</v>
      </c>
      <c r="H103" t="s">
        <v>3051</v>
      </c>
      <c r="I103">
        <v>236</v>
      </c>
      <c r="J103">
        <v>802</v>
      </c>
      <c r="K103">
        <v>159</v>
      </c>
      <c r="L103" s="240" t="s">
        <v>3058</v>
      </c>
      <c r="M103">
        <v>69</v>
      </c>
      <c r="N103" t="s">
        <v>2824</v>
      </c>
      <c r="O103">
        <v>136.27214243</v>
      </c>
    </row>
    <row r="104" spans="1:15">
      <c r="A104">
        <v>121</v>
      </c>
      <c r="B104" t="s">
        <v>2666</v>
      </c>
      <c r="C104" t="s">
        <v>2341</v>
      </c>
      <c r="D104" t="s">
        <v>2460</v>
      </c>
      <c r="E104" t="s">
        <v>2659</v>
      </c>
      <c r="F104" t="s">
        <v>2218</v>
      </c>
      <c r="G104" t="s">
        <v>3035</v>
      </c>
      <c r="H104" t="s">
        <v>3051</v>
      </c>
      <c r="I104">
        <v>280</v>
      </c>
      <c r="J104">
        <v>822</v>
      </c>
      <c r="K104">
        <v>16</v>
      </c>
      <c r="L104" s="240" t="s">
        <v>3059</v>
      </c>
      <c r="M104">
        <v>69</v>
      </c>
      <c r="N104" t="s">
        <v>2833</v>
      </c>
      <c r="O104">
        <v>136.27214243</v>
      </c>
    </row>
    <row r="105" spans="1:15">
      <c r="A105">
        <v>122</v>
      </c>
      <c r="B105" t="s">
        <v>2666</v>
      </c>
      <c r="C105" t="s">
        <v>2342</v>
      </c>
      <c r="D105" t="s">
        <v>2460</v>
      </c>
      <c r="E105" t="s">
        <v>2659</v>
      </c>
      <c r="F105" t="s">
        <v>2218</v>
      </c>
      <c r="G105" t="s">
        <v>3035</v>
      </c>
      <c r="H105" t="s">
        <v>3051</v>
      </c>
      <c r="I105">
        <v>231</v>
      </c>
      <c r="J105">
        <v>792</v>
      </c>
      <c r="K105">
        <v>109</v>
      </c>
      <c r="L105" s="240" t="s">
        <v>3060</v>
      </c>
      <c r="M105">
        <v>69</v>
      </c>
      <c r="N105" t="s">
        <v>2833</v>
      </c>
      <c r="O105">
        <v>136.27214243</v>
      </c>
    </row>
    <row r="106" spans="1:15">
      <c r="A106">
        <v>123</v>
      </c>
      <c r="B106" t="s">
        <v>2666</v>
      </c>
      <c r="C106" t="s">
        <v>2343</v>
      </c>
      <c r="D106" t="s">
        <v>2460</v>
      </c>
      <c r="E106" t="s">
        <v>2659</v>
      </c>
      <c r="F106" t="s">
        <v>2218</v>
      </c>
      <c r="G106" t="s">
        <v>3035</v>
      </c>
      <c r="H106" t="s">
        <v>3051</v>
      </c>
      <c r="I106">
        <v>292</v>
      </c>
      <c r="J106">
        <v>740</v>
      </c>
      <c r="K106">
        <v>344</v>
      </c>
      <c r="L106" s="240" t="s">
        <v>3061</v>
      </c>
      <c r="M106">
        <v>69</v>
      </c>
      <c r="N106" t="s">
        <v>2833</v>
      </c>
      <c r="O106">
        <v>136.27214243</v>
      </c>
    </row>
    <row r="107" spans="1:15">
      <c r="A107">
        <v>124</v>
      </c>
      <c r="B107" t="s">
        <v>2666</v>
      </c>
      <c r="C107" t="s">
        <v>2345</v>
      </c>
      <c r="D107" t="s">
        <v>2460</v>
      </c>
      <c r="E107" t="s">
        <v>2659</v>
      </c>
      <c r="F107" t="s">
        <v>2218</v>
      </c>
      <c r="G107" t="s">
        <v>3035</v>
      </c>
      <c r="H107" t="s">
        <v>3051</v>
      </c>
      <c r="I107">
        <v>116</v>
      </c>
      <c r="J107">
        <v>797</v>
      </c>
      <c r="K107">
        <v>221</v>
      </c>
      <c r="L107" s="240" t="s">
        <v>3062</v>
      </c>
      <c r="M107">
        <v>69</v>
      </c>
      <c r="N107" t="s">
        <v>2833</v>
      </c>
      <c r="O107">
        <v>136.27214243</v>
      </c>
    </row>
    <row r="108" spans="1:15">
      <c r="A108">
        <v>125</v>
      </c>
      <c r="B108" t="s">
        <v>2666</v>
      </c>
      <c r="C108" t="s">
        <v>2346</v>
      </c>
      <c r="D108" t="s">
        <v>2460</v>
      </c>
      <c r="E108" t="s">
        <v>2659</v>
      </c>
      <c r="F108" t="s">
        <v>2218</v>
      </c>
      <c r="G108" t="s">
        <v>3035</v>
      </c>
      <c r="H108" t="s">
        <v>3051</v>
      </c>
      <c r="I108">
        <v>50</v>
      </c>
      <c r="J108">
        <v>795</v>
      </c>
      <c r="K108">
        <v>757</v>
      </c>
      <c r="L108" s="240" t="s">
        <v>2909</v>
      </c>
      <c r="M108">
        <v>69</v>
      </c>
      <c r="N108" t="s">
        <v>2833</v>
      </c>
      <c r="O108">
        <v>136.27214243</v>
      </c>
    </row>
    <row r="109" spans="1:15">
      <c r="A109">
        <v>127</v>
      </c>
      <c r="B109" t="s">
        <v>2666</v>
      </c>
      <c r="C109" t="s">
        <v>2348</v>
      </c>
      <c r="D109" t="s">
        <v>2460</v>
      </c>
      <c r="E109" t="s">
        <v>2659</v>
      </c>
      <c r="F109" t="s">
        <v>2218</v>
      </c>
      <c r="G109" t="s">
        <v>3035</v>
      </c>
      <c r="H109" t="s">
        <v>3051</v>
      </c>
      <c r="I109">
        <v>318</v>
      </c>
      <c r="J109">
        <v>751</v>
      </c>
      <c r="K109">
        <v>96</v>
      </c>
      <c r="L109" s="240" t="s">
        <v>3063</v>
      </c>
      <c r="M109">
        <v>69</v>
      </c>
      <c r="N109" t="s">
        <v>2833</v>
      </c>
      <c r="O109">
        <v>136.27214243</v>
      </c>
    </row>
    <row r="110" spans="1:15">
      <c r="A110">
        <v>128</v>
      </c>
      <c r="B110" t="s">
        <v>2666</v>
      </c>
      <c r="C110" t="s">
        <v>2349</v>
      </c>
      <c r="D110" t="s">
        <v>2460</v>
      </c>
      <c r="E110" t="s">
        <v>2659</v>
      </c>
      <c r="F110" t="s">
        <v>2218</v>
      </c>
      <c r="G110" t="s">
        <v>3035</v>
      </c>
      <c r="H110" t="s">
        <v>3051</v>
      </c>
      <c r="I110">
        <v>34</v>
      </c>
      <c r="J110">
        <v>819</v>
      </c>
      <c r="K110">
        <v>134</v>
      </c>
      <c r="L110" s="240" t="s">
        <v>3064</v>
      </c>
      <c r="M110">
        <v>69</v>
      </c>
      <c r="N110" t="s">
        <v>2833</v>
      </c>
      <c r="O110">
        <v>136.27214243</v>
      </c>
    </row>
    <row r="111" spans="1:15">
      <c r="A111">
        <v>129</v>
      </c>
      <c r="B111" t="s">
        <v>2666</v>
      </c>
      <c r="C111" t="s">
        <v>2350</v>
      </c>
      <c r="D111" t="s">
        <v>2460</v>
      </c>
      <c r="E111" t="s">
        <v>2659</v>
      </c>
      <c r="F111" t="s">
        <v>2227</v>
      </c>
      <c r="G111" t="s">
        <v>3035</v>
      </c>
      <c r="H111" t="s">
        <v>3051</v>
      </c>
      <c r="I111">
        <v>80</v>
      </c>
      <c r="J111">
        <v>768</v>
      </c>
      <c r="K111">
        <v>671</v>
      </c>
      <c r="L111" s="240" t="s">
        <v>3065</v>
      </c>
      <c r="M111">
        <v>69</v>
      </c>
      <c r="N111" t="s">
        <v>2842</v>
      </c>
      <c r="O111">
        <v>136.27214243</v>
      </c>
    </row>
    <row r="112" spans="1:15">
      <c r="A112">
        <v>130</v>
      </c>
      <c r="B112" t="s">
        <v>2666</v>
      </c>
      <c r="C112" t="s">
        <v>2351</v>
      </c>
      <c r="D112" t="s">
        <v>2460</v>
      </c>
      <c r="E112" t="s">
        <v>2659</v>
      </c>
      <c r="F112" t="s">
        <v>2227</v>
      </c>
      <c r="G112" t="s">
        <v>3035</v>
      </c>
      <c r="H112" t="s">
        <v>3051</v>
      </c>
      <c r="I112">
        <v>64</v>
      </c>
      <c r="J112">
        <v>789</v>
      </c>
      <c r="K112">
        <v>400</v>
      </c>
      <c r="L112" s="240" t="s">
        <v>3066</v>
      </c>
      <c r="M112">
        <v>69</v>
      </c>
      <c r="N112" t="s">
        <v>2842</v>
      </c>
      <c r="O112">
        <v>136.27214243</v>
      </c>
    </row>
    <row r="113" spans="1:15">
      <c r="A113">
        <v>131</v>
      </c>
      <c r="B113" t="s">
        <v>2666</v>
      </c>
      <c r="C113" t="s">
        <v>2352</v>
      </c>
      <c r="D113" t="s">
        <v>2460</v>
      </c>
      <c r="E113" t="s">
        <v>2659</v>
      </c>
      <c r="F113" t="s">
        <v>2227</v>
      </c>
      <c r="G113" t="s">
        <v>3035</v>
      </c>
      <c r="H113" t="s">
        <v>3051</v>
      </c>
      <c r="I113">
        <v>118</v>
      </c>
      <c r="J113">
        <v>586</v>
      </c>
      <c r="K113">
        <v>48</v>
      </c>
      <c r="L113" s="240" t="s">
        <v>3067</v>
      </c>
      <c r="M113">
        <v>69</v>
      </c>
      <c r="N113" t="s">
        <v>2842</v>
      </c>
      <c r="O113">
        <v>136.27214243</v>
      </c>
    </row>
    <row r="114" spans="1:15">
      <c r="A114">
        <v>133</v>
      </c>
      <c r="B114" t="s">
        <v>2666</v>
      </c>
      <c r="C114" t="s">
        <v>2354</v>
      </c>
      <c r="D114" t="s">
        <v>2460</v>
      </c>
      <c r="E114" t="s">
        <v>2659</v>
      </c>
      <c r="F114" t="s">
        <v>2227</v>
      </c>
      <c r="G114" t="s">
        <v>3035</v>
      </c>
      <c r="H114" t="s">
        <v>3051</v>
      </c>
      <c r="I114">
        <v>270</v>
      </c>
      <c r="J114">
        <v>817</v>
      </c>
      <c r="K114">
        <v>210</v>
      </c>
      <c r="L114" s="240" t="s">
        <v>3068</v>
      </c>
      <c r="M114">
        <v>69</v>
      </c>
      <c r="N114" t="s">
        <v>2842</v>
      </c>
      <c r="O114">
        <v>136.27214243</v>
      </c>
    </row>
    <row r="115" spans="1:15">
      <c r="A115">
        <v>134</v>
      </c>
      <c r="B115" t="s">
        <v>2666</v>
      </c>
      <c r="C115" t="s">
        <v>2355</v>
      </c>
      <c r="D115" t="s">
        <v>2460</v>
      </c>
      <c r="E115" t="s">
        <v>2659</v>
      </c>
      <c r="F115" t="s">
        <v>2227</v>
      </c>
      <c r="G115" t="s">
        <v>3035</v>
      </c>
      <c r="H115" t="s">
        <v>3051</v>
      </c>
      <c r="I115">
        <v>316</v>
      </c>
      <c r="J115">
        <v>837</v>
      </c>
      <c r="K115">
        <v>40</v>
      </c>
      <c r="L115" s="240" t="s">
        <v>3069</v>
      </c>
      <c r="M115">
        <v>69</v>
      </c>
      <c r="N115" t="s">
        <v>2842</v>
      </c>
      <c r="O115">
        <v>136.27214243</v>
      </c>
    </row>
    <row r="116" spans="1:15">
      <c r="A116">
        <v>135</v>
      </c>
      <c r="B116" t="s">
        <v>2666</v>
      </c>
      <c r="C116" t="s">
        <v>2356</v>
      </c>
      <c r="D116" t="s">
        <v>2460</v>
      </c>
      <c r="E116" t="s">
        <v>2659</v>
      </c>
      <c r="F116" t="s">
        <v>2227</v>
      </c>
      <c r="G116" t="s">
        <v>3035</v>
      </c>
      <c r="H116" t="s">
        <v>3051</v>
      </c>
      <c r="I116">
        <v>77</v>
      </c>
      <c r="J116">
        <v>756</v>
      </c>
      <c r="K116">
        <v>517</v>
      </c>
      <c r="L116" s="240" t="s">
        <v>2911</v>
      </c>
      <c r="M116">
        <v>69</v>
      </c>
      <c r="N116" t="s">
        <v>2842</v>
      </c>
      <c r="O116">
        <v>136.27214243</v>
      </c>
    </row>
    <row r="117" spans="1:15">
      <c r="A117">
        <v>136</v>
      </c>
      <c r="B117" t="s">
        <v>2666</v>
      </c>
      <c r="C117" t="s">
        <v>2357</v>
      </c>
      <c r="D117" t="s">
        <v>2460</v>
      </c>
      <c r="E117" t="s">
        <v>2659</v>
      </c>
      <c r="F117" t="s">
        <v>2227</v>
      </c>
      <c r="G117" t="s">
        <v>3035</v>
      </c>
      <c r="H117" t="s">
        <v>3051</v>
      </c>
      <c r="I117">
        <v>332</v>
      </c>
      <c r="J117">
        <v>184</v>
      </c>
      <c r="K117">
        <v>67</v>
      </c>
      <c r="L117" s="240" t="s">
        <v>3070</v>
      </c>
      <c r="M117">
        <v>69</v>
      </c>
      <c r="N117" t="s">
        <v>2842</v>
      </c>
      <c r="O117">
        <v>136.27214243</v>
      </c>
    </row>
    <row r="118" spans="1:15">
      <c r="A118">
        <v>137</v>
      </c>
      <c r="B118" t="s">
        <v>2666</v>
      </c>
      <c r="C118" t="s">
        <v>2358</v>
      </c>
      <c r="D118" t="s">
        <v>2460</v>
      </c>
      <c r="E118" t="s">
        <v>2659</v>
      </c>
      <c r="F118" t="s">
        <v>2244</v>
      </c>
      <c r="G118" t="s">
        <v>3035</v>
      </c>
      <c r="H118" t="s">
        <v>3051</v>
      </c>
      <c r="I118">
        <v>30</v>
      </c>
      <c r="J118">
        <v>746</v>
      </c>
      <c r="K118">
        <v>335</v>
      </c>
      <c r="L118" s="240" t="s">
        <v>3071</v>
      </c>
      <c r="M118">
        <v>69</v>
      </c>
      <c r="N118" t="s">
        <v>2851</v>
      </c>
      <c r="O118">
        <v>136.27214243</v>
      </c>
    </row>
    <row r="119" spans="1:15">
      <c r="A119">
        <v>138</v>
      </c>
      <c r="B119" t="s">
        <v>2666</v>
      </c>
      <c r="C119" t="s">
        <v>2359</v>
      </c>
      <c r="D119" t="s">
        <v>2460</v>
      </c>
      <c r="E119" t="s">
        <v>2659</v>
      </c>
      <c r="F119" t="s">
        <v>2244</v>
      </c>
      <c r="G119" t="s">
        <v>3035</v>
      </c>
      <c r="H119" t="s">
        <v>3051</v>
      </c>
      <c r="I119">
        <v>213</v>
      </c>
      <c r="J119">
        <v>821</v>
      </c>
      <c r="K119">
        <v>484</v>
      </c>
      <c r="L119" s="240" t="s">
        <v>3072</v>
      </c>
      <c r="M119">
        <v>69</v>
      </c>
      <c r="N119" t="s">
        <v>2851</v>
      </c>
      <c r="O119">
        <v>136.27214243</v>
      </c>
    </row>
    <row r="120" spans="1:15">
      <c r="A120">
        <v>139</v>
      </c>
      <c r="B120" t="s">
        <v>2666</v>
      </c>
      <c r="C120" t="s">
        <v>2360</v>
      </c>
      <c r="D120" t="s">
        <v>2460</v>
      </c>
      <c r="E120" t="s">
        <v>2659</v>
      </c>
      <c r="F120" t="s">
        <v>2244</v>
      </c>
      <c r="G120" t="s">
        <v>3035</v>
      </c>
      <c r="H120" t="s">
        <v>3051</v>
      </c>
      <c r="I120">
        <v>250</v>
      </c>
      <c r="J120">
        <v>813</v>
      </c>
      <c r="K120">
        <v>868</v>
      </c>
      <c r="L120" s="240" t="s">
        <v>3073</v>
      </c>
      <c r="M120">
        <v>69</v>
      </c>
      <c r="N120" t="s">
        <v>2851</v>
      </c>
      <c r="O120">
        <v>136.27214243</v>
      </c>
    </row>
    <row r="121" spans="1:15">
      <c r="A121">
        <v>140</v>
      </c>
      <c r="B121" t="s">
        <v>2666</v>
      </c>
      <c r="C121" t="s">
        <v>2362</v>
      </c>
      <c r="D121" t="s">
        <v>2460</v>
      </c>
      <c r="E121" t="s">
        <v>2659</v>
      </c>
      <c r="F121" t="s">
        <v>2244</v>
      </c>
      <c r="G121" t="s">
        <v>3035</v>
      </c>
      <c r="H121" t="s">
        <v>3051</v>
      </c>
      <c r="I121">
        <v>401</v>
      </c>
      <c r="J121">
        <v>729</v>
      </c>
      <c r="K121">
        <v>792</v>
      </c>
      <c r="L121" s="240" t="s">
        <v>3074</v>
      </c>
      <c r="M121">
        <v>69</v>
      </c>
      <c r="N121" t="s">
        <v>2851</v>
      </c>
      <c r="O121">
        <v>136.27214243</v>
      </c>
    </row>
    <row r="122" spans="1:15">
      <c r="A122">
        <v>142</v>
      </c>
      <c r="B122" t="s">
        <v>2666</v>
      </c>
      <c r="C122" t="s">
        <v>2364</v>
      </c>
      <c r="D122" t="s">
        <v>2460</v>
      </c>
      <c r="E122" t="s">
        <v>2659</v>
      </c>
      <c r="F122" t="s">
        <v>2244</v>
      </c>
      <c r="G122" t="s">
        <v>3035</v>
      </c>
      <c r="H122" t="s">
        <v>3051</v>
      </c>
      <c r="I122">
        <v>87</v>
      </c>
      <c r="J122">
        <v>834</v>
      </c>
      <c r="K122">
        <v>711</v>
      </c>
      <c r="L122" s="240" t="s">
        <v>3075</v>
      </c>
      <c r="M122">
        <v>69</v>
      </c>
      <c r="N122" t="s">
        <v>2851</v>
      </c>
      <c r="O122">
        <v>136.27214243</v>
      </c>
    </row>
    <row r="123" spans="1:15">
      <c r="A123">
        <v>143</v>
      </c>
      <c r="B123" t="s">
        <v>2666</v>
      </c>
      <c r="C123" t="s">
        <v>2365</v>
      </c>
      <c r="D123" t="s">
        <v>2460</v>
      </c>
      <c r="E123" t="s">
        <v>2659</v>
      </c>
      <c r="F123" t="s">
        <v>2244</v>
      </c>
      <c r="G123" t="s">
        <v>3035</v>
      </c>
      <c r="H123" t="s">
        <v>3051</v>
      </c>
      <c r="I123">
        <v>501</v>
      </c>
      <c r="J123">
        <v>774</v>
      </c>
      <c r="K123">
        <v>205</v>
      </c>
      <c r="L123" s="240" t="s">
        <v>3076</v>
      </c>
      <c r="M123">
        <v>69</v>
      </c>
      <c r="N123" t="s">
        <v>2851</v>
      </c>
      <c r="O123">
        <v>136.27214243</v>
      </c>
    </row>
    <row r="124" spans="1:15">
      <c r="A124">
        <v>144</v>
      </c>
      <c r="B124" t="s">
        <v>2666</v>
      </c>
      <c r="C124" t="s">
        <v>2366</v>
      </c>
      <c r="D124" t="s">
        <v>2460</v>
      </c>
      <c r="E124" t="s">
        <v>2659</v>
      </c>
      <c r="F124" t="s">
        <v>2244</v>
      </c>
      <c r="G124" t="s">
        <v>3035</v>
      </c>
      <c r="H124" t="s">
        <v>3051</v>
      </c>
      <c r="I124">
        <v>141</v>
      </c>
      <c r="J124">
        <v>779</v>
      </c>
      <c r="K124">
        <v>384</v>
      </c>
      <c r="L124" s="240" t="s">
        <v>3077</v>
      </c>
      <c r="M124">
        <v>69</v>
      </c>
      <c r="N124" t="s">
        <v>2851</v>
      </c>
      <c r="O124">
        <v>136.27214243</v>
      </c>
    </row>
    <row r="125" spans="1:15">
      <c r="A125">
        <v>145</v>
      </c>
      <c r="B125" t="s">
        <v>2666</v>
      </c>
      <c r="C125" t="s">
        <v>2367</v>
      </c>
      <c r="D125" t="s">
        <v>2460</v>
      </c>
      <c r="E125" t="s">
        <v>2659</v>
      </c>
      <c r="F125" t="s">
        <v>2256</v>
      </c>
      <c r="G125" t="s">
        <v>3035</v>
      </c>
      <c r="H125" t="s">
        <v>3036</v>
      </c>
      <c r="I125">
        <v>131</v>
      </c>
      <c r="J125">
        <v>728</v>
      </c>
      <c r="K125">
        <v>72</v>
      </c>
      <c r="L125" s="240" t="s">
        <v>3078</v>
      </c>
      <c r="M125">
        <v>71</v>
      </c>
      <c r="N125" t="s">
        <v>2861</v>
      </c>
      <c r="O125">
        <v>137.19979645800001</v>
      </c>
    </row>
    <row r="126" spans="1:15">
      <c r="A126">
        <v>146</v>
      </c>
      <c r="B126" t="s">
        <v>2666</v>
      </c>
      <c r="C126" t="s">
        <v>2368</v>
      </c>
      <c r="D126" t="s">
        <v>2460</v>
      </c>
      <c r="E126" t="s">
        <v>2659</v>
      </c>
      <c r="F126" t="s">
        <v>2256</v>
      </c>
      <c r="G126" t="s">
        <v>3035</v>
      </c>
      <c r="H126" t="s">
        <v>3036</v>
      </c>
      <c r="I126">
        <v>465</v>
      </c>
      <c r="J126">
        <v>13</v>
      </c>
      <c r="K126">
        <v>336</v>
      </c>
      <c r="L126" s="240" t="s">
        <v>3079</v>
      </c>
      <c r="M126">
        <v>71</v>
      </c>
      <c r="N126" t="s">
        <v>2861</v>
      </c>
      <c r="O126">
        <v>137.19979645800001</v>
      </c>
    </row>
    <row r="127" spans="1:15">
      <c r="A127">
        <v>147</v>
      </c>
      <c r="B127" t="s">
        <v>2666</v>
      </c>
      <c r="C127" t="s">
        <v>2369</v>
      </c>
      <c r="D127" t="s">
        <v>2460</v>
      </c>
      <c r="E127" t="s">
        <v>2659</v>
      </c>
      <c r="F127" t="s">
        <v>2256</v>
      </c>
      <c r="G127" t="s">
        <v>3035</v>
      </c>
      <c r="H127" t="s">
        <v>3036</v>
      </c>
      <c r="I127">
        <v>15</v>
      </c>
      <c r="J127">
        <v>832</v>
      </c>
      <c r="K127">
        <v>303</v>
      </c>
      <c r="L127" s="240" t="s">
        <v>3080</v>
      </c>
      <c r="M127">
        <v>71</v>
      </c>
      <c r="N127" t="s">
        <v>2861</v>
      </c>
      <c r="O127">
        <v>137.19979645800001</v>
      </c>
    </row>
    <row r="128" spans="1:15">
      <c r="A128">
        <v>148</v>
      </c>
      <c r="B128" t="s">
        <v>2666</v>
      </c>
      <c r="C128" t="s">
        <v>2370</v>
      </c>
      <c r="D128" t="s">
        <v>2460</v>
      </c>
      <c r="E128" t="s">
        <v>2659</v>
      </c>
      <c r="F128" t="s">
        <v>2256</v>
      </c>
      <c r="G128" t="s">
        <v>3035</v>
      </c>
      <c r="H128" t="s">
        <v>3036</v>
      </c>
      <c r="I128">
        <v>290</v>
      </c>
      <c r="J128">
        <v>823</v>
      </c>
      <c r="K128">
        <v>161</v>
      </c>
      <c r="L128" s="240" t="s">
        <v>3081</v>
      </c>
      <c r="M128">
        <v>71</v>
      </c>
      <c r="N128" t="s">
        <v>2861</v>
      </c>
      <c r="O128">
        <v>137.19979645800001</v>
      </c>
    </row>
    <row r="129" spans="1:15">
      <c r="A129">
        <v>149</v>
      </c>
      <c r="B129" t="s">
        <v>2666</v>
      </c>
      <c r="C129" t="s">
        <v>2371</v>
      </c>
      <c r="D129" t="s">
        <v>2460</v>
      </c>
      <c r="E129" t="s">
        <v>2659</v>
      </c>
      <c r="F129" t="s">
        <v>2256</v>
      </c>
      <c r="G129" t="s">
        <v>3035</v>
      </c>
      <c r="H129" t="s">
        <v>3036</v>
      </c>
      <c r="I129">
        <v>194</v>
      </c>
      <c r="J129">
        <v>703</v>
      </c>
      <c r="K129">
        <v>464</v>
      </c>
      <c r="L129" s="240" t="s">
        <v>3082</v>
      </c>
      <c r="M129">
        <v>71</v>
      </c>
      <c r="N129" t="s">
        <v>2861</v>
      </c>
      <c r="O129">
        <v>137.19979645800001</v>
      </c>
    </row>
    <row r="130" spans="1:15">
      <c r="A130">
        <v>150</v>
      </c>
      <c r="B130" t="s">
        <v>2666</v>
      </c>
      <c r="C130" t="s">
        <v>2372</v>
      </c>
      <c r="D130" t="s">
        <v>2460</v>
      </c>
      <c r="E130" t="s">
        <v>2659</v>
      </c>
      <c r="F130" t="s">
        <v>2256</v>
      </c>
      <c r="G130" t="s">
        <v>3035</v>
      </c>
      <c r="H130" t="s">
        <v>3036</v>
      </c>
      <c r="I130">
        <v>272</v>
      </c>
      <c r="J130">
        <v>668</v>
      </c>
      <c r="K130">
        <v>843</v>
      </c>
      <c r="L130" s="240" t="s">
        <v>3083</v>
      </c>
      <c r="M130">
        <v>71</v>
      </c>
      <c r="N130" t="s">
        <v>2861</v>
      </c>
      <c r="O130">
        <v>137.19979645800001</v>
      </c>
    </row>
    <row r="131" spans="1:15">
      <c r="A131">
        <v>152</v>
      </c>
      <c r="B131" t="s">
        <v>2666</v>
      </c>
      <c r="C131" t="s">
        <v>2374</v>
      </c>
      <c r="D131" t="s">
        <v>2460</v>
      </c>
      <c r="E131" t="s">
        <v>2659</v>
      </c>
      <c r="F131" t="s">
        <v>2256</v>
      </c>
      <c r="G131" t="s">
        <v>3035</v>
      </c>
      <c r="H131" t="s">
        <v>3036</v>
      </c>
      <c r="I131">
        <v>198</v>
      </c>
      <c r="J131">
        <v>788</v>
      </c>
      <c r="K131">
        <v>617</v>
      </c>
      <c r="L131" s="240" t="s">
        <v>3084</v>
      </c>
      <c r="M131">
        <v>71</v>
      </c>
      <c r="N131" t="s">
        <v>2861</v>
      </c>
      <c r="O131">
        <v>137.19979645800001</v>
      </c>
    </row>
    <row r="132" spans="1:15">
      <c r="A132">
        <v>153</v>
      </c>
      <c r="B132" t="s">
        <v>2666</v>
      </c>
      <c r="C132" t="s">
        <v>2376</v>
      </c>
      <c r="D132" t="s">
        <v>2460</v>
      </c>
      <c r="E132" t="s">
        <v>2659</v>
      </c>
      <c r="F132" t="s">
        <v>2265</v>
      </c>
      <c r="G132" t="s">
        <v>3035</v>
      </c>
      <c r="H132" t="s">
        <v>3036</v>
      </c>
      <c r="I132">
        <v>197</v>
      </c>
      <c r="J132">
        <v>735</v>
      </c>
      <c r="K132">
        <v>19</v>
      </c>
      <c r="L132" s="240" t="s">
        <v>3085</v>
      </c>
      <c r="M132">
        <v>71</v>
      </c>
      <c r="N132" t="s">
        <v>2870</v>
      </c>
      <c r="O132">
        <v>137.19979645800001</v>
      </c>
    </row>
    <row r="133" spans="1:15">
      <c r="A133">
        <v>154</v>
      </c>
      <c r="B133" t="s">
        <v>2666</v>
      </c>
      <c r="C133" t="s">
        <v>2377</v>
      </c>
      <c r="D133" t="s">
        <v>2460</v>
      </c>
      <c r="E133" t="s">
        <v>2659</v>
      </c>
      <c r="F133" t="s">
        <v>2265</v>
      </c>
      <c r="G133" t="s">
        <v>3035</v>
      </c>
      <c r="H133" t="s">
        <v>3036</v>
      </c>
      <c r="I133">
        <v>127</v>
      </c>
      <c r="J133">
        <v>836</v>
      </c>
      <c r="K133">
        <v>275</v>
      </c>
      <c r="L133" s="240" t="s">
        <v>3086</v>
      </c>
      <c r="M133">
        <v>71</v>
      </c>
      <c r="N133" t="s">
        <v>2870</v>
      </c>
      <c r="O133">
        <v>137.19979645800001</v>
      </c>
    </row>
    <row r="134" spans="1:15">
      <c r="A134">
        <v>155</v>
      </c>
      <c r="B134" t="s">
        <v>2666</v>
      </c>
      <c r="C134" t="s">
        <v>2378</v>
      </c>
      <c r="D134" t="s">
        <v>2460</v>
      </c>
      <c r="E134" t="s">
        <v>2659</v>
      </c>
      <c r="F134" t="s">
        <v>2265</v>
      </c>
      <c r="G134" t="s">
        <v>3035</v>
      </c>
      <c r="H134" t="s">
        <v>3036</v>
      </c>
      <c r="I134">
        <v>253</v>
      </c>
      <c r="J134">
        <v>337</v>
      </c>
      <c r="K134">
        <v>289</v>
      </c>
      <c r="L134" s="240" t="s">
        <v>3087</v>
      </c>
      <c r="M134">
        <v>71</v>
      </c>
      <c r="N134" t="s">
        <v>2870</v>
      </c>
      <c r="O134">
        <v>137.19979645800001</v>
      </c>
    </row>
    <row r="135" spans="1:15">
      <c r="A135">
        <v>156</v>
      </c>
      <c r="B135" t="s">
        <v>2666</v>
      </c>
      <c r="C135" t="s">
        <v>2379</v>
      </c>
      <c r="D135" t="s">
        <v>2460</v>
      </c>
      <c r="E135" t="s">
        <v>2659</v>
      </c>
      <c r="F135" t="s">
        <v>2265</v>
      </c>
      <c r="G135" t="s">
        <v>3035</v>
      </c>
      <c r="H135" t="s">
        <v>3036</v>
      </c>
      <c r="I135">
        <v>47</v>
      </c>
      <c r="J135">
        <v>118</v>
      </c>
      <c r="K135">
        <v>65</v>
      </c>
      <c r="L135" s="240" t="s">
        <v>3088</v>
      </c>
      <c r="M135">
        <v>71</v>
      </c>
      <c r="N135" t="s">
        <v>2870</v>
      </c>
      <c r="O135">
        <v>137.19979645800001</v>
      </c>
    </row>
    <row r="136" spans="1:15">
      <c r="A136">
        <v>157</v>
      </c>
      <c r="B136" t="s">
        <v>2666</v>
      </c>
      <c r="C136" t="s">
        <v>2381</v>
      </c>
      <c r="D136" t="s">
        <v>2460</v>
      </c>
      <c r="E136" t="s">
        <v>2659</v>
      </c>
      <c r="F136" t="s">
        <v>2265</v>
      </c>
      <c r="G136" t="s">
        <v>3035</v>
      </c>
      <c r="H136" t="s">
        <v>3036</v>
      </c>
      <c r="I136">
        <v>328</v>
      </c>
      <c r="J136">
        <v>478</v>
      </c>
      <c r="K136">
        <v>33</v>
      </c>
      <c r="L136" s="240" t="s">
        <v>3089</v>
      </c>
      <c r="M136">
        <v>71</v>
      </c>
      <c r="N136" t="s">
        <v>2870</v>
      </c>
      <c r="O136">
        <v>137.19979645800001</v>
      </c>
    </row>
    <row r="137" spans="1:15">
      <c r="A137">
        <v>158</v>
      </c>
      <c r="B137" t="s">
        <v>2666</v>
      </c>
      <c r="C137" t="s">
        <v>2382</v>
      </c>
      <c r="D137" t="s">
        <v>2460</v>
      </c>
      <c r="E137" t="s">
        <v>2659</v>
      </c>
      <c r="F137" t="s">
        <v>2265</v>
      </c>
      <c r="G137" t="s">
        <v>3035</v>
      </c>
      <c r="H137" t="s">
        <v>3036</v>
      </c>
      <c r="I137">
        <v>21</v>
      </c>
      <c r="J137">
        <v>773</v>
      </c>
      <c r="K137">
        <v>153</v>
      </c>
      <c r="L137" s="240" t="s">
        <v>3090</v>
      </c>
      <c r="M137">
        <v>71</v>
      </c>
      <c r="N137" t="s">
        <v>2870</v>
      </c>
      <c r="O137">
        <v>137.19979645800001</v>
      </c>
    </row>
    <row r="138" spans="1:15">
      <c r="A138">
        <v>160</v>
      </c>
      <c r="B138" t="s">
        <v>2666</v>
      </c>
      <c r="C138" t="s">
        <v>2384</v>
      </c>
      <c r="D138" t="s">
        <v>2460</v>
      </c>
      <c r="E138" t="s">
        <v>2659</v>
      </c>
      <c r="F138" t="s">
        <v>2265</v>
      </c>
      <c r="G138" t="s">
        <v>3035</v>
      </c>
      <c r="H138" t="s">
        <v>3036</v>
      </c>
      <c r="I138">
        <v>482</v>
      </c>
      <c r="J138">
        <v>401</v>
      </c>
      <c r="K138">
        <v>175</v>
      </c>
      <c r="L138" s="240" t="s">
        <v>3091</v>
      </c>
      <c r="M138">
        <v>71</v>
      </c>
      <c r="N138" t="s">
        <v>2870</v>
      </c>
      <c r="O138">
        <v>137.19979645800001</v>
      </c>
    </row>
    <row r="139" spans="1:15">
      <c r="A139">
        <v>161</v>
      </c>
      <c r="B139" t="s">
        <v>2385</v>
      </c>
      <c r="C139" t="s">
        <v>2386</v>
      </c>
      <c r="D139" t="s">
        <v>2460</v>
      </c>
      <c r="E139" t="s">
        <v>2659</v>
      </c>
      <c r="F139" t="s">
        <v>2278</v>
      </c>
      <c r="G139" t="s">
        <v>3092</v>
      </c>
      <c r="H139" t="s">
        <v>3093</v>
      </c>
      <c r="I139">
        <v>51</v>
      </c>
      <c r="J139">
        <v>673</v>
      </c>
      <c r="K139">
        <v>207</v>
      </c>
      <c r="L139" s="240" t="s">
        <v>3094</v>
      </c>
      <c r="M139">
        <v>69</v>
      </c>
      <c r="N139" t="s">
        <v>2881</v>
      </c>
      <c r="O139">
        <v>162.634207253</v>
      </c>
    </row>
    <row r="140" spans="1:15">
      <c r="A140">
        <v>162</v>
      </c>
      <c r="B140" t="s">
        <v>2385</v>
      </c>
      <c r="C140" t="s">
        <v>2387</v>
      </c>
      <c r="D140" t="s">
        <v>2460</v>
      </c>
      <c r="E140" t="s">
        <v>2659</v>
      </c>
      <c r="F140" t="s">
        <v>2278</v>
      </c>
      <c r="G140" t="s">
        <v>3092</v>
      </c>
      <c r="H140" t="s">
        <v>3093</v>
      </c>
      <c r="I140">
        <v>238</v>
      </c>
      <c r="J140">
        <v>814</v>
      </c>
      <c r="K140">
        <v>580</v>
      </c>
      <c r="L140" s="240" t="s">
        <v>3095</v>
      </c>
      <c r="M140">
        <v>69</v>
      </c>
      <c r="N140" t="s">
        <v>2881</v>
      </c>
      <c r="O140">
        <v>162.634207253</v>
      </c>
    </row>
    <row r="141" spans="1:15">
      <c r="A141">
        <v>163</v>
      </c>
      <c r="B141" t="s">
        <v>2385</v>
      </c>
      <c r="C141" t="s">
        <v>2388</v>
      </c>
      <c r="D141" t="s">
        <v>2460</v>
      </c>
      <c r="E141" t="s">
        <v>2659</v>
      </c>
      <c r="F141" t="s">
        <v>2278</v>
      </c>
      <c r="G141" t="s">
        <v>3092</v>
      </c>
      <c r="H141" t="s">
        <v>3093</v>
      </c>
      <c r="I141">
        <v>59</v>
      </c>
      <c r="J141">
        <v>615</v>
      </c>
      <c r="K141">
        <v>722</v>
      </c>
      <c r="L141" s="240" t="s">
        <v>3096</v>
      </c>
      <c r="M141">
        <v>69</v>
      </c>
      <c r="N141" t="s">
        <v>2881</v>
      </c>
      <c r="O141">
        <v>162.634207253</v>
      </c>
    </row>
    <row r="142" spans="1:15">
      <c r="A142">
        <v>164</v>
      </c>
      <c r="B142" t="s">
        <v>2385</v>
      </c>
      <c r="C142" t="s">
        <v>2389</v>
      </c>
      <c r="D142" t="s">
        <v>2460</v>
      </c>
      <c r="E142" t="s">
        <v>2659</v>
      </c>
      <c r="F142" t="s">
        <v>2278</v>
      </c>
      <c r="G142" t="s">
        <v>3092</v>
      </c>
      <c r="H142" t="s">
        <v>3093</v>
      </c>
      <c r="I142">
        <v>7</v>
      </c>
      <c r="J142">
        <v>514</v>
      </c>
      <c r="K142">
        <v>239</v>
      </c>
      <c r="L142" s="240" t="s">
        <v>3097</v>
      </c>
      <c r="M142">
        <v>69</v>
      </c>
      <c r="N142" t="s">
        <v>2881</v>
      </c>
      <c r="O142">
        <v>162.634207253</v>
      </c>
    </row>
    <row r="143" spans="1:15">
      <c r="A143">
        <v>165</v>
      </c>
      <c r="B143" t="s">
        <v>2385</v>
      </c>
      <c r="C143" t="s">
        <v>2390</v>
      </c>
      <c r="D143" t="s">
        <v>2460</v>
      </c>
      <c r="E143" t="s">
        <v>2659</v>
      </c>
      <c r="F143" t="s">
        <v>2278</v>
      </c>
      <c r="G143" t="s">
        <v>3092</v>
      </c>
      <c r="H143" t="s">
        <v>3093</v>
      </c>
      <c r="I143">
        <v>85</v>
      </c>
      <c r="J143">
        <v>127</v>
      </c>
      <c r="K143">
        <v>343</v>
      </c>
      <c r="L143" s="240" t="s">
        <v>3098</v>
      </c>
      <c r="M143">
        <v>69</v>
      </c>
      <c r="N143" t="s">
        <v>2881</v>
      </c>
      <c r="O143">
        <v>162.634207253</v>
      </c>
    </row>
    <row r="144" spans="1:15">
      <c r="A144">
        <v>166</v>
      </c>
      <c r="B144" t="s">
        <v>2385</v>
      </c>
      <c r="C144" t="s">
        <v>2391</v>
      </c>
      <c r="D144" t="s">
        <v>2460</v>
      </c>
      <c r="E144" t="s">
        <v>2659</v>
      </c>
      <c r="F144" t="s">
        <v>2278</v>
      </c>
      <c r="G144" t="s">
        <v>3092</v>
      </c>
      <c r="H144" t="s">
        <v>3093</v>
      </c>
      <c r="I144">
        <v>1</v>
      </c>
      <c r="J144">
        <v>752</v>
      </c>
      <c r="K144">
        <v>409</v>
      </c>
      <c r="L144" s="240" t="s">
        <v>2925</v>
      </c>
      <c r="M144">
        <v>69</v>
      </c>
      <c r="N144" t="s">
        <v>2881</v>
      </c>
      <c r="O144">
        <v>162.634207253</v>
      </c>
    </row>
    <row r="145" spans="1:15">
      <c r="A145">
        <v>168</v>
      </c>
      <c r="B145" t="s">
        <v>2385</v>
      </c>
      <c r="C145" t="s">
        <v>2394</v>
      </c>
      <c r="D145" t="s">
        <v>2460</v>
      </c>
      <c r="E145" t="s">
        <v>2659</v>
      </c>
      <c r="F145" t="s">
        <v>2278</v>
      </c>
      <c r="G145" t="s">
        <v>3092</v>
      </c>
      <c r="H145" t="s">
        <v>3093</v>
      </c>
      <c r="I145">
        <v>70</v>
      </c>
      <c r="J145">
        <v>690</v>
      </c>
      <c r="K145">
        <v>304</v>
      </c>
      <c r="L145" s="240" t="s">
        <v>3099</v>
      </c>
      <c r="M145">
        <v>69</v>
      </c>
      <c r="N145" t="s">
        <v>2881</v>
      </c>
      <c r="O145">
        <v>162.634207253</v>
      </c>
    </row>
    <row r="146" spans="1:15">
      <c r="A146">
        <v>169</v>
      </c>
      <c r="B146" t="s">
        <v>2385</v>
      </c>
      <c r="C146" t="s">
        <v>2395</v>
      </c>
      <c r="D146" t="s">
        <v>2460</v>
      </c>
      <c r="E146" t="s">
        <v>2659</v>
      </c>
      <c r="F146" t="s">
        <v>2287</v>
      </c>
      <c r="G146" t="s">
        <v>3092</v>
      </c>
      <c r="H146" t="s">
        <v>3093</v>
      </c>
      <c r="I146">
        <v>250</v>
      </c>
      <c r="J146">
        <v>684</v>
      </c>
      <c r="K146">
        <v>135</v>
      </c>
      <c r="L146" s="240" t="s">
        <v>3100</v>
      </c>
      <c r="M146">
        <v>69</v>
      </c>
      <c r="N146" t="s">
        <v>2890</v>
      </c>
      <c r="O146">
        <v>162.634207253</v>
      </c>
    </row>
    <row r="147" spans="1:15">
      <c r="A147">
        <v>170</v>
      </c>
      <c r="B147" t="s">
        <v>2385</v>
      </c>
      <c r="C147" t="s">
        <v>2396</v>
      </c>
      <c r="D147" t="s">
        <v>2460</v>
      </c>
      <c r="E147" t="s">
        <v>2659</v>
      </c>
      <c r="F147" t="s">
        <v>2287</v>
      </c>
      <c r="G147" t="s">
        <v>3092</v>
      </c>
      <c r="H147" t="s">
        <v>3093</v>
      </c>
      <c r="I147">
        <v>624</v>
      </c>
      <c r="J147">
        <v>694</v>
      </c>
      <c r="K147">
        <v>515</v>
      </c>
      <c r="L147" s="240" t="s">
        <v>3101</v>
      </c>
      <c r="M147">
        <v>69</v>
      </c>
      <c r="N147" t="s">
        <v>2890</v>
      </c>
      <c r="O147">
        <v>162.634207253</v>
      </c>
    </row>
    <row r="148" spans="1:15">
      <c r="A148">
        <v>171</v>
      </c>
      <c r="B148" t="s">
        <v>2385</v>
      </c>
      <c r="C148" t="s">
        <v>2397</v>
      </c>
      <c r="D148" t="s">
        <v>2460</v>
      </c>
      <c r="E148" t="s">
        <v>2659</v>
      </c>
      <c r="F148" t="s">
        <v>2287</v>
      </c>
      <c r="G148" t="s">
        <v>3092</v>
      </c>
      <c r="H148" t="s">
        <v>3093</v>
      </c>
      <c r="I148">
        <v>149</v>
      </c>
      <c r="J148">
        <v>655</v>
      </c>
      <c r="K148">
        <v>348</v>
      </c>
      <c r="L148" s="240" t="s">
        <v>3102</v>
      </c>
      <c r="M148">
        <v>69</v>
      </c>
      <c r="N148" t="s">
        <v>2890</v>
      </c>
      <c r="O148">
        <v>162.634207253</v>
      </c>
    </row>
    <row r="149" spans="1:15">
      <c r="A149">
        <v>173</v>
      </c>
      <c r="B149" t="s">
        <v>2385</v>
      </c>
      <c r="C149" t="s">
        <v>2399</v>
      </c>
      <c r="D149" t="s">
        <v>2460</v>
      </c>
      <c r="E149" t="s">
        <v>2659</v>
      </c>
      <c r="F149" t="s">
        <v>2287</v>
      </c>
      <c r="G149" t="s">
        <v>3092</v>
      </c>
      <c r="H149" t="s">
        <v>3093</v>
      </c>
      <c r="I149">
        <v>597</v>
      </c>
      <c r="J149">
        <v>405</v>
      </c>
      <c r="K149">
        <v>307</v>
      </c>
      <c r="L149" s="240" t="s">
        <v>3103</v>
      </c>
      <c r="M149">
        <v>69</v>
      </c>
      <c r="N149" t="s">
        <v>2890</v>
      </c>
      <c r="O149">
        <v>162.634207253</v>
      </c>
    </row>
    <row r="150" spans="1:15">
      <c r="A150">
        <v>174</v>
      </c>
      <c r="B150" t="s">
        <v>2385</v>
      </c>
      <c r="C150" t="s">
        <v>2400</v>
      </c>
      <c r="D150" t="s">
        <v>2460</v>
      </c>
      <c r="E150" t="s">
        <v>2659</v>
      </c>
      <c r="F150" t="s">
        <v>2287</v>
      </c>
      <c r="G150" t="s">
        <v>3092</v>
      </c>
      <c r="H150" t="s">
        <v>3093</v>
      </c>
      <c r="I150">
        <v>396</v>
      </c>
      <c r="J150">
        <v>736</v>
      </c>
      <c r="K150">
        <v>155</v>
      </c>
      <c r="L150" s="240" t="s">
        <v>3104</v>
      </c>
      <c r="M150">
        <v>69</v>
      </c>
      <c r="N150" t="s">
        <v>2890</v>
      </c>
      <c r="O150">
        <v>162.634207253</v>
      </c>
    </row>
    <row r="151" spans="1:15">
      <c r="A151">
        <v>175</v>
      </c>
      <c r="B151" t="s">
        <v>2385</v>
      </c>
      <c r="C151" t="s">
        <v>2401</v>
      </c>
      <c r="D151" t="s">
        <v>2460</v>
      </c>
      <c r="E151" t="s">
        <v>2659</v>
      </c>
      <c r="F151" t="s">
        <v>2287</v>
      </c>
      <c r="G151" t="s">
        <v>3092</v>
      </c>
      <c r="H151" t="s">
        <v>3093</v>
      </c>
      <c r="I151">
        <v>612</v>
      </c>
      <c r="J151">
        <v>338</v>
      </c>
      <c r="K151">
        <v>719</v>
      </c>
      <c r="L151" s="240" t="s">
        <v>3105</v>
      </c>
      <c r="M151">
        <v>69</v>
      </c>
      <c r="N151" t="s">
        <v>2890</v>
      </c>
      <c r="O151">
        <v>162.634207253</v>
      </c>
    </row>
    <row r="152" spans="1:15">
      <c r="A152">
        <v>176</v>
      </c>
      <c r="B152" t="s">
        <v>2385</v>
      </c>
      <c r="C152" t="s">
        <v>2402</v>
      </c>
      <c r="D152" t="s">
        <v>2460</v>
      </c>
      <c r="E152" t="s">
        <v>2659</v>
      </c>
      <c r="F152" t="s">
        <v>2287</v>
      </c>
      <c r="G152" t="s">
        <v>3092</v>
      </c>
      <c r="H152" t="s">
        <v>3093</v>
      </c>
      <c r="I152">
        <v>183</v>
      </c>
      <c r="J152">
        <v>52</v>
      </c>
      <c r="K152">
        <v>323</v>
      </c>
      <c r="L152" s="240" t="s">
        <v>3106</v>
      </c>
      <c r="M152">
        <v>69</v>
      </c>
      <c r="N152" t="s">
        <v>2890</v>
      </c>
      <c r="O152">
        <v>162.634207253</v>
      </c>
    </row>
    <row r="153" spans="1:15">
      <c r="A153">
        <v>177</v>
      </c>
      <c r="B153" t="s">
        <v>2385</v>
      </c>
      <c r="C153" t="s">
        <v>2403</v>
      </c>
      <c r="D153" t="s">
        <v>2460</v>
      </c>
      <c r="E153" t="s">
        <v>2659</v>
      </c>
      <c r="F153" t="s">
        <v>2296</v>
      </c>
      <c r="G153" t="s">
        <v>3092</v>
      </c>
      <c r="H153" t="s">
        <v>3093</v>
      </c>
      <c r="I153">
        <v>98</v>
      </c>
      <c r="J153">
        <v>750</v>
      </c>
      <c r="K153">
        <v>14</v>
      </c>
      <c r="L153" s="240" t="s">
        <v>3107</v>
      </c>
      <c r="M153">
        <v>69</v>
      </c>
      <c r="N153" t="s">
        <v>2899</v>
      </c>
      <c r="O153">
        <v>162.634207253</v>
      </c>
    </row>
    <row r="154" spans="1:15">
      <c r="A154">
        <v>178</v>
      </c>
      <c r="B154" t="s">
        <v>2385</v>
      </c>
      <c r="C154" t="s">
        <v>2404</v>
      </c>
      <c r="D154" t="s">
        <v>2460</v>
      </c>
      <c r="E154" t="s">
        <v>2659</v>
      </c>
      <c r="F154" t="s">
        <v>2296</v>
      </c>
      <c r="G154" t="s">
        <v>3092</v>
      </c>
      <c r="H154" t="s">
        <v>3093</v>
      </c>
      <c r="I154">
        <v>353</v>
      </c>
      <c r="J154">
        <v>612</v>
      </c>
      <c r="K154">
        <v>410</v>
      </c>
      <c r="L154" s="240" t="s">
        <v>3108</v>
      </c>
      <c r="M154">
        <v>69</v>
      </c>
      <c r="N154" t="s">
        <v>2899</v>
      </c>
      <c r="O154">
        <v>162.634207253</v>
      </c>
    </row>
    <row r="155" spans="1:15">
      <c r="A155">
        <v>179</v>
      </c>
      <c r="B155" t="s">
        <v>2385</v>
      </c>
      <c r="C155" t="s">
        <v>2405</v>
      </c>
      <c r="D155" t="s">
        <v>2460</v>
      </c>
      <c r="E155" t="s">
        <v>2659</v>
      </c>
      <c r="F155" t="s">
        <v>2296</v>
      </c>
      <c r="G155" t="s">
        <v>3092</v>
      </c>
      <c r="H155" t="s">
        <v>3093</v>
      </c>
      <c r="I155">
        <v>42</v>
      </c>
      <c r="J155">
        <v>491</v>
      </c>
      <c r="K155">
        <v>78</v>
      </c>
      <c r="L155" s="240" t="s">
        <v>3109</v>
      </c>
      <c r="M155">
        <v>69</v>
      </c>
      <c r="N155" t="s">
        <v>2899</v>
      </c>
      <c r="O155">
        <v>162.634207253</v>
      </c>
    </row>
    <row r="156" spans="1:15">
      <c r="A156">
        <v>180</v>
      </c>
      <c r="B156" t="s">
        <v>2385</v>
      </c>
      <c r="C156" t="s">
        <v>2406</v>
      </c>
      <c r="D156" t="s">
        <v>2460</v>
      </c>
      <c r="E156" t="s">
        <v>2659</v>
      </c>
      <c r="F156" t="s">
        <v>2296</v>
      </c>
      <c r="G156" t="s">
        <v>3092</v>
      </c>
      <c r="H156" t="s">
        <v>3093</v>
      </c>
      <c r="I156">
        <v>245</v>
      </c>
      <c r="J156">
        <v>325</v>
      </c>
      <c r="K156">
        <v>422</v>
      </c>
      <c r="L156" s="240" t="s">
        <v>3110</v>
      </c>
      <c r="M156">
        <v>69</v>
      </c>
      <c r="N156" t="s">
        <v>2899</v>
      </c>
      <c r="O156">
        <v>162.634207253</v>
      </c>
    </row>
    <row r="157" spans="1:15">
      <c r="A157">
        <v>181</v>
      </c>
      <c r="B157" t="s">
        <v>2385</v>
      </c>
      <c r="C157" t="s">
        <v>2407</v>
      </c>
      <c r="D157" t="s">
        <v>2460</v>
      </c>
      <c r="E157" t="s">
        <v>2659</v>
      </c>
      <c r="F157" t="s">
        <v>2296</v>
      </c>
      <c r="G157" t="s">
        <v>3092</v>
      </c>
      <c r="H157" t="s">
        <v>3093</v>
      </c>
      <c r="I157">
        <v>411</v>
      </c>
      <c r="J157">
        <v>116</v>
      </c>
      <c r="K157">
        <v>870</v>
      </c>
      <c r="L157" s="240" t="s">
        <v>3111</v>
      </c>
      <c r="M157">
        <v>69</v>
      </c>
      <c r="N157" t="s">
        <v>2899</v>
      </c>
      <c r="O157">
        <v>162.634207253</v>
      </c>
    </row>
    <row r="158" spans="1:15">
      <c r="A158">
        <v>182</v>
      </c>
      <c r="B158" t="s">
        <v>2385</v>
      </c>
      <c r="C158" t="s">
        <v>2408</v>
      </c>
      <c r="D158" t="s">
        <v>2460</v>
      </c>
      <c r="E158" t="s">
        <v>2659</v>
      </c>
      <c r="F158" t="s">
        <v>2296</v>
      </c>
      <c r="G158" t="s">
        <v>3092</v>
      </c>
      <c r="H158" t="s">
        <v>3093</v>
      </c>
      <c r="I158">
        <v>309</v>
      </c>
      <c r="J158">
        <v>613</v>
      </c>
      <c r="K158">
        <v>136</v>
      </c>
      <c r="L158" s="240" t="s">
        <v>3112</v>
      </c>
      <c r="M158">
        <v>69</v>
      </c>
      <c r="N158" t="s">
        <v>2899</v>
      </c>
      <c r="O158">
        <v>162.634207253</v>
      </c>
    </row>
    <row r="159" spans="1:15">
      <c r="A159">
        <v>184</v>
      </c>
      <c r="B159" t="s">
        <v>2385</v>
      </c>
      <c r="C159" t="s">
        <v>2410</v>
      </c>
      <c r="D159" t="s">
        <v>2460</v>
      </c>
      <c r="E159" t="s">
        <v>2659</v>
      </c>
      <c r="F159" t="s">
        <v>2296</v>
      </c>
      <c r="G159" t="s">
        <v>3092</v>
      </c>
      <c r="H159" t="s">
        <v>3093</v>
      </c>
      <c r="I159">
        <v>235</v>
      </c>
      <c r="J159">
        <v>179</v>
      </c>
      <c r="K159">
        <v>266</v>
      </c>
      <c r="L159" s="240" t="s">
        <v>3113</v>
      </c>
      <c r="M159">
        <v>69</v>
      </c>
      <c r="N159" t="s">
        <v>2899</v>
      </c>
      <c r="O159">
        <v>162.634207253</v>
      </c>
    </row>
    <row r="160" spans="1:15">
      <c r="A160">
        <v>185</v>
      </c>
      <c r="B160" t="s">
        <v>2385</v>
      </c>
      <c r="C160" t="s">
        <v>2412</v>
      </c>
      <c r="D160" t="s">
        <v>2460</v>
      </c>
      <c r="E160" t="s">
        <v>2659</v>
      </c>
      <c r="F160" t="s">
        <v>2306</v>
      </c>
      <c r="G160" t="s">
        <v>3092</v>
      </c>
      <c r="H160" t="s">
        <v>3093</v>
      </c>
      <c r="I160">
        <v>369</v>
      </c>
      <c r="J160">
        <v>300</v>
      </c>
      <c r="K160">
        <v>165</v>
      </c>
      <c r="L160" s="240" t="s">
        <v>3114</v>
      </c>
      <c r="M160">
        <v>69</v>
      </c>
      <c r="N160" t="s">
        <v>2908</v>
      </c>
      <c r="O160">
        <v>162.634207253</v>
      </c>
    </row>
    <row r="161" spans="1:15">
      <c r="A161">
        <v>186</v>
      </c>
      <c r="B161" t="s">
        <v>2385</v>
      </c>
      <c r="C161" t="s">
        <v>2413</v>
      </c>
      <c r="D161" t="s">
        <v>2460</v>
      </c>
      <c r="E161" t="s">
        <v>2659</v>
      </c>
      <c r="F161" t="s">
        <v>2306</v>
      </c>
      <c r="G161" t="s">
        <v>3092</v>
      </c>
      <c r="H161" t="s">
        <v>3093</v>
      </c>
      <c r="I161">
        <v>295</v>
      </c>
      <c r="J161">
        <v>717</v>
      </c>
      <c r="K161">
        <v>22</v>
      </c>
      <c r="L161" s="240" t="s">
        <v>3115</v>
      </c>
      <c r="M161">
        <v>69</v>
      </c>
      <c r="N161" t="s">
        <v>2908</v>
      </c>
      <c r="O161">
        <v>162.634207253</v>
      </c>
    </row>
    <row r="162" spans="1:15">
      <c r="A162">
        <v>187</v>
      </c>
      <c r="B162" t="s">
        <v>2385</v>
      </c>
      <c r="C162" t="s">
        <v>2414</v>
      </c>
      <c r="D162" t="s">
        <v>2460</v>
      </c>
      <c r="E162" t="s">
        <v>2659</v>
      </c>
      <c r="F162" t="s">
        <v>2306</v>
      </c>
      <c r="G162" t="s">
        <v>3092</v>
      </c>
      <c r="H162" t="s">
        <v>3093</v>
      </c>
      <c r="I162">
        <v>242</v>
      </c>
      <c r="J162">
        <v>759</v>
      </c>
      <c r="K162">
        <v>371</v>
      </c>
      <c r="L162" s="240" t="s">
        <v>3116</v>
      </c>
      <c r="M162">
        <v>69</v>
      </c>
      <c r="N162" t="s">
        <v>2908</v>
      </c>
      <c r="O162">
        <v>162.634207253</v>
      </c>
    </row>
    <row r="163" spans="1:15">
      <c r="A163">
        <v>188</v>
      </c>
      <c r="B163" t="s">
        <v>2385</v>
      </c>
      <c r="C163" t="s">
        <v>2415</v>
      </c>
      <c r="D163" t="s">
        <v>2460</v>
      </c>
      <c r="E163" t="s">
        <v>2659</v>
      </c>
      <c r="F163" t="s">
        <v>2306</v>
      </c>
      <c r="G163" t="s">
        <v>3092</v>
      </c>
      <c r="H163" t="s">
        <v>3093</v>
      </c>
      <c r="I163">
        <v>146</v>
      </c>
      <c r="J163">
        <v>357</v>
      </c>
      <c r="K163">
        <v>185</v>
      </c>
      <c r="L163" s="240" t="s">
        <v>3117</v>
      </c>
      <c r="M163">
        <v>69</v>
      </c>
      <c r="N163" t="s">
        <v>2908</v>
      </c>
      <c r="O163">
        <v>162.634207253</v>
      </c>
    </row>
    <row r="164" spans="1:15">
      <c r="A164">
        <v>189</v>
      </c>
      <c r="B164" t="s">
        <v>2385</v>
      </c>
      <c r="C164" t="s">
        <v>2417</v>
      </c>
      <c r="D164" t="s">
        <v>2460</v>
      </c>
      <c r="E164" t="s">
        <v>2659</v>
      </c>
      <c r="F164" t="s">
        <v>2306</v>
      </c>
      <c r="G164" t="s">
        <v>3092</v>
      </c>
      <c r="H164" t="s">
        <v>3093</v>
      </c>
      <c r="I164">
        <v>144</v>
      </c>
      <c r="J164">
        <v>18</v>
      </c>
      <c r="K164">
        <v>301</v>
      </c>
      <c r="L164" s="240" t="s">
        <v>3118</v>
      </c>
      <c r="M164">
        <v>69</v>
      </c>
      <c r="N164" t="s">
        <v>2908</v>
      </c>
      <c r="O164">
        <v>162.634207253</v>
      </c>
    </row>
    <row r="165" spans="1:15">
      <c r="A165">
        <v>190</v>
      </c>
      <c r="B165" t="s">
        <v>2385</v>
      </c>
      <c r="C165" t="s">
        <v>2418</v>
      </c>
      <c r="D165" t="s">
        <v>2460</v>
      </c>
      <c r="E165" t="s">
        <v>2659</v>
      </c>
      <c r="F165" t="s">
        <v>2306</v>
      </c>
      <c r="G165" t="s">
        <v>3092</v>
      </c>
      <c r="H165" t="s">
        <v>3093</v>
      </c>
      <c r="I165">
        <v>171</v>
      </c>
      <c r="J165">
        <v>397</v>
      </c>
      <c r="K165">
        <v>466</v>
      </c>
      <c r="L165" s="240" t="s">
        <v>3119</v>
      </c>
      <c r="M165">
        <v>69</v>
      </c>
      <c r="N165" t="s">
        <v>2908</v>
      </c>
      <c r="O165">
        <v>162.634207253</v>
      </c>
    </row>
    <row r="166" spans="1:15">
      <c r="A166">
        <v>191</v>
      </c>
      <c r="B166" t="s">
        <v>2385</v>
      </c>
      <c r="C166" t="s">
        <v>2419</v>
      </c>
      <c r="D166" t="s">
        <v>2460</v>
      </c>
      <c r="E166" t="s">
        <v>2659</v>
      </c>
      <c r="F166" t="s">
        <v>2306</v>
      </c>
      <c r="G166" t="s">
        <v>3092</v>
      </c>
      <c r="H166" t="s">
        <v>3093</v>
      </c>
      <c r="I166">
        <v>232</v>
      </c>
      <c r="J166">
        <v>715</v>
      </c>
      <c r="K166">
        <v>32</v>
      </c>
      <c r="L166" s="240" t="s">
        <v>3120</v>
      </c>
      <c r="M166">
        <v>69</v>
      </c>
      <c r="N166" t="s">
        <v>2908</v>
      </c>
      <c r="O166">
        <v>162.634207253</v>
      </c>
    </row>
    <row r="167" spans="1:15">
      <c r="A167">
        <v>193</v>
      </c>
      <c r="B167" t="s">
        <v>2428</v>
      </c>
      <c r="C167" t="s">
        <v>2445</v>
      </c>
      <c r="D167" t="s">
        <v>2659</v>
      </c>
      <c r="E167" t="s">
        <v>2659</v>
      </c>
      <c r="F167" t="s">
        <v>2504</v>
      </c>
      <c r="G167" t="s">
        <v>3121</v>
      </c>
      <c r="H167" t="s">
        <v>3122</v>
      </c>
      <c r="I167">
        <v>257</v>
      </c>
      <c r="J167">
        <v>695</v>
      </c>
      <c r="K167">
        <v>45</v>
      </c>
      <c r="L167" s="240" t="s">
        <v>3123</v>
      </c>
      <c r="M167">
        <v>62</v>
      </c>
      <c r="N167" t="s">
        <v>2919</v>
      </c>
      <c r="O167">
        <v>171.84818423999999</v>
      </c>
    </row>
    <row r="168" spans="1:15">
      <c r="A168">
        <v>194</v>
      </c>
      <c r="B168" t="s">
        <v>2428</v>
      </c>
      <c r="C168" t="s">
        <v>2438</v>
      </c>
      <c r="D168" t="s">
        <v>2659</v>
      </c>
      <c r="E168" t="s">
        <v>2659</v>
      </c>
      <c r="F168" t="s">
        <v>2504</v>
      </c>
      <c r="G168" t="s">
        <v>3121</v>
      </c>
      <c r="H168" t="s">
        <v>3122</v>
      </c>
      <c r="I168">
        <v>148</v>
      </c>
      <c r="J168">
        <v>653</v>
      </c>
      <c r="K168">
        <v>90</v>
      </c>
      <c r="L168" s="240" t="s">
        <v>3124</v>
      </c>
      <c r="M168">
        <v>62</v>
      </c>
      <c r="N168" t="s">
        <v>2919</v>
      </c>
      <c r="O168">
        <v>171.84818423999999</v>
      </c>
    </row>
    <row r="169" spans="1:15">
      <c r="A169">
        <v>195</v>
      </c>
      <c r="B169" t="s">
        <v>2428</v>
      </c>
      <c r="C169" t="s">
        <v>2430</v>
      </c>
      <c r="D169" t="s">
        <v>2659</v>
      </c>
      <c r="E169" t="s">
        <v>2659</v>
      </c>
      <c r="F169" t="s">
        <v>2504</v>
      </c>
      <c r="G169" t="s">
        <v>3121</v>
      </c>
      <c r="H169" t="s">
        <v>3122</v>
      </c>
      <c r="I169">
        <v>105</v>
      </c>
      <c r="J169">
        <v>389</v>
      </c>
      <c r="K169">
        <v>338</v>
      </c>
      <c r="L169" s="240" t="s">
        <v>3125</v>
      </c>
      <c r="M169">
        <v>62</v>
      </c>
      <c r="N169" t="s">
        <v>2919</v>
      </c>
      <c r="O169">
        <v>171.84818423999999</v>
      </c>
    </row>
    <row r="170" spans="1:15">
      <c r="A170">
        <v>196</v>
      </c>
      <c r="B170" t="s">
        <v>2428</v>
      </c>
      <c r="C170" t="s">
        <v>2421</v>
      </c>
      <c r="D170" t="s">
        <v>2659</v>
      </c>
      <c r="E170" t="s">
        <v>2659</v>
      </c>
      <c r="F170" t="s">
        <v>2504</v>
      </c>
      <c r="G170" t="s">
        <v>3121</v>
      </c>
      <c r="H170" t="s">
        <v>3122</v>
      </c>
      <c r="I170">
        <v>12</v>
      </c>
      <c r="J170">
        <v>455</v>
      </c>
      <c r="K170">
        <v>243</v>
      </c>
      <c r="L170" s="240" t="s">
        <v>3126</v>
      </c>
      <c r="M170">
        <v>62</v>
      </c>
      <c r="N170" t="s">
        <v>2919</v>
      </c>
      <c r="O170">
        <v>171.84818423999999</v>
      </c>
    </row>
    <row r="171" spans="1:15">
      <c r="A171">
        <v>197</v>
      </c>
      <c r="B171" t="s">
        <v>2428</v>
      </c>
      <c r="C171" t="s">
        <v>2431</v>
      </c>
      <c r="D171" t="s">
        <v>2659</v>
      </c>
      <c r="E171" t="s">
        <v>2659</v>
      </c>
      <c r="F171" t="s">
        <v>2504</v>
      </c>
      <c r="G171" t="s">
        <v>3121</v>
      </c>
      <c r="H171" t="s">
        <v>3122</v>
      </c>
      <c r="I171">
        <v>399</v>
      </c>
      <c r="J171">
        <v>692</v>
      </c>
      <c r="K171">
        <v>254</v>
      </c>
      <c r="L171" s="240" t="s">
        <v>3127</v>
      </c>
      <c r="M171">
        <v>62</v>
      </c>
      <c r="N171" t="s">
        <v>2919</v>
      </c>
      <c r="O171">
        <v>171.84818423999999</v>
      </c>
    </row>
    <row r="172" spans="1:15">
      <c r="A172">
        <v>198</v>
      </c>
      <c r="B172" t="s">
        <v>2428</v>
      </c>
      <c r="C172" t="s">
        <v>2439</v>
      </c>
      <c r="D172" t="s">
        <v>2659</v>
      </c>
      <c r="E172" t="s">
        <v>2659</v>
      </c>
      <c r="F172" t="s">
        <v>2504</v>
      </c>
      <c r="G172" t="s">
        <v>3121</v>
      </c>
      <c r="H172" t="s">
        <v>3122</v>
      </c>
      <c r="I172">
        <v>27</v>
      </c>
      <c r="J172">
        <v>352</v>
      </c>
      <c r="K172">
        <v>780</v>
      </c>
      <c r="L172" s="240" t="s">
        <v>3128</v>
      </c>
      <c r="M172">
        <v>62</v>
      </c>
      <c r="N172" t="s">
        <v>2919</v>
      </c>
      <c r="O172">
        <v>171.84818423999999</v>
      </c>
    </row>
    <row r="173" spans="1:15">
      <c r="A173">
        <v>199</v>
      </c>
      <c r="B173" t="s">
        <v>2428</v>
      </c>
      <c r="C173" t="s">
        <v>2423</v>
      </c>
      <c r="D173" t="s">
        <v>2659</v>
      </c>
      <c r="E173" t="s">
        <v>2659</v>
      </c>
      <c r="F173" t="s">
        <v>2504</v>
      </c>
      <c r="G173" t="s">
        <v>3121</v>
      </c>
      <c r="H173" t="s">
        <v>3122</v>
      </c>
      <c r="I173">
        <v>224</v>
      </c>
      <c r="J173">
        <v>327</v>
      </c>
      <c r="K173">
        <v>182</v>
      </c>
      <c r="L173" s="240" t="s">
        <v>3129</v>
      </c>
      <c r="M173">
        <v>62</v>
      </c>
      <c r="N173" t="s">
        <v>2919</v>
      </c>
      <c r="O173">
        <v>171.84818423999999</v>
      </c>
    </row>
    <row r="174" spans="1:15">
      <c r="A174">
        <v>200</v>
      </c>
      <c r="B174" t="s">
        <v>2428</v>
      </c>
      <c r="C174" t="s">
        <v>2446</v>
      </c>
      <c r="D174" t="s">
        <v>2659</v>
      </c>
      <c r="E174" t="s">
        <v>2659</v>
      </c>
      <c r="F174" t="s">
        <v>2504</v>
      </c>
      <c r="G174" t="s">
        <v>3121</v>
      </c>
      <c r="H174" t="s">
        <v>3122</v>
      </c>
      <c r="I174">
        <v>158</v>
      </c>
      <c r="J174">
        <v>75</v>
      </c>
      <c r="K174">
        <v>186</v>
      </c>
      <c r="L174" s="240" t="s">
        <v>3130</v>
      </c>
      <c r="M174">
        <v>62</v>
      </c>
      <c r="N174" t="s">
        <v>2919</v>
      </c>
      <c r="O174">
        <v>171.84818423999999</v>
      </c>
    </row>
    <row r="175" spans="1:15">
      <c r="A175">
        <v>201</v>
      </c>
      <c r="B175" t="s">
        <v>2428</v>
      </c>
      <c r="C175" t="s">
        <v>2447</v>
      </c>
      <c r="D175" t="s">
        <v>2659</v>
      </c>
      <c r="E175" t="s">
        <v>2659</v>
      </c>
      <c r="F175" t="s">
        <v>2504</v>
      </c>
      <c r="G175" t="s">
        <v>3121</v>
      </c>
      <c r="H175" t="s">
        <v>3122</v>
      </c>
      <c r="I175">
        <v>211</v>
      </c>
      <c r="J175">
        <v>36</v>
      </c>
      <c r="K175">
        <v>315</v>
      </c>
      <c r="L175" s="240" t="s">
        <v>3131</v>
      </c>
      <c r="M175">
        <v>62</v>
      </c>
      <c r="N175" t="s">
        <v>2919</v>
      </c>
      <c r="O175">
        <v>171.84818423999999</v>
      </c>
    </row>
    <row r="176" spans="1:15">
      <c r="A176">
        <v>202</v>
      </c>
      <c r="B176" t="s">
        <v>2428</v>
      </c>
      <c r="C176" t="s">
        <v>2424</v>
      </c>
      <c r="D176" t="s">
        <v>2659</v>
      </c>
      <c r="E176" t="s">
        <v>2659</v>
      </c>
      <c r="F176" t="s">
        <v>2504</v>
      </c>
      <c r="G176" t="s">
        <v>3121</v>
      </c>
      <c r="H176" t="s">
        <v>3122</v>
      </c>
      <c r="I176">
        <v>181</v>
      </c>
      <c r="J176">
        <v>676</v>
      </c>
      <c r="K176">
        <v>147</v>
      </c>
      <c r="L176" s="240" t="s">
        <v>3132</v>
      </c>
      <c r="M176">
        <v>62</v>
      </c>
      <c r="N176" t="s">
        <v>2919</v>
      </c>
      <c r="O176">
        <v>171.84818423999999</v>
      </c>
    </row>
    <row r="177" spans="1:15">
      <c r="A177">
        <v>203</v>
      </c>
      <c r="B177" t="s">
        <v>2428</v>
      </c>
      <c r="C177" t="s">
        <v>2433</v>
      </c>
      <c r="D177" t="s">
        <v>2659</v>
      </c>
      <c r="E177" t="s">
        <v>2659</v>
      </c>
      <c r="F177" t="s">
        <v>2504</v>
      </c>
      <c r="G177" t="s">
        <v>3121</v>
      </c>
      <c r="H177" t="s">
        <v>3122</v>
      </c>
      <c r="I177">
        <v>179</v>
      </c>
      <c r="J177">
        <v>685</v>
      </c>
      <c r="K177">
        <v>168</v>
      </c>
      <c r="L177" s="240" t="s">
        <v>3133</v>
      </c>
      <c r="M177">
        <v>62</v>
      </c>
      <c r="N177" t="s">
        <v>2919</v>
      </c>
      <c r="O177">
        <v>171.84818423999999</v>
      </c>
    </row>
    <row r="178" spans="1:15">
      <c r="A178">
        <v>204</v>
      </c>
      <c r="B178" t="s">
        <v>2428</v>
      </c>
      <c r="C178" t="s">
        <v>2440</v>
      </c>
      <c r="D178" t="s">
        <v>2659</v>
      </c>
      <c r="E178" t="s">
        <v>2659</v>
      </c>
      <c r="F178" t="s">
        <v>2504</v>
      </c>
      <c r="G178" t="s">
        <v>3121</v>
      </c>
      <c r="H178" t="s">
        <v>3122</v>
      </c>
      <c r="I178">
        <v>248</v>
      </c>
      <c r="J178">
        <v>254</v>
      </c>
      <c r="K178">
        <v>672</v>
      </c>
      <c r="L178" s="240" t="s">
        <v>3101</v>
      </c>
      <c r="M178">
        <v>62</v>
      </c>
      <c r="N178" t="s">
        <v>2919</v>
      </c>
      <c r="O178">
        <v>171.84818423999999</v>
      </c>
    </row>
    <row r="179" spans="1:15">
      <c r="A179">
        <v>205</v>
      </c>
      <c r="B179" t="s">
        <v>2428</v>
      </c>
      <c r="C179" t="s">
        <v>2434</v>
      </c>
      <c r="D179" t="s">
        <v>2460</v>
      </c>
      <c r="E179" t="s">
        <v>2659</v>
      </c>
      <c r="F179" t="s">
        <v>2504</v>
      </c>
      <c r="G179" t="s">
        <v>3121</v>
      </c>
      <c r="H179" t="s">
        <v>3122</v>
      </c>
      <c r="I179">
        <v>55</v>
      </c>
      <c r="J179">
        <v>348</v>
      </c>
      <c r="K179">
        <v>173</v>
      </c>
      <c r="L179" s="240" t="s">
        <v>3134</v>
      </c>
      <c r="M179">
        <v>62</v>
      </c>
      <c r="N179" t="s">
        <v>2919</v>
      </c>
      <c r="O179">
        <v>171.84818423999999</v>
      </c>
    </row>
    <row r="180" spans="1:15">
      <c r="A180">
        <v>206</v>
      </c>
      <c r="B180" t="s">
        <v>2428</v>
      </c>
      <c r="C180" t="s">
        <v>2425</v>
      </c>
      <c r="D180" t="s">
        <v>2460</v>
      </c>
      <c r="E180" t="s">
        <v>2659</v>
      </c>
      <c r="F180" t="s">
        <v>2504</v>
      </c>
      <c r="G180" t="s">
        <v>3121</v>
      </c>
      <c r="H180" t="s">
        <v>3122</v>
      </c>
      <c r="I180">
        <v>124</v>
      </c>
      <c r="J180">
        <v>686</v>
      </c>
      <c r="K180">
        <v>262</v>
      </c>
      <c r="L180" s="240" t="s">
        <v>3135</v>
      </c>
      <c r="M180">
        <v>62</v>
      </c>
      <c r="N180" t="s">
        <v>2919</v>
      </c>
      <c r="O180">
        <v>171.84818423999999</v>
      </c>
    </row>
    <row r="181" spans="1:15">
      <c r="A181">
        <v>207</v>
      </c>
      <c r="B181" t="s">
        <v>2428</v>
      </c>
      <c r="C181" t="s">
        <v>2448</v>
      </c>
      <c r="D181" t="s">
        <v>2460</v>
      </c>
      <c r="E181" t="s">
        <v>2659</v>
      </c>
      <c r="F181" t="s">
        <v>2504</v>
      </c>
      <c r="G181" t="s">
        <v>3121</v>
      </c>
      <c r="H181" t="s">
        <v>3122</v>
      </c>
      <c r="I181">
        <v>234</v>
      </c>
      <c r="J181">
        <v>551</v>
      </c>
      <c r="K181">
        <v>230</v>
      </c>
      <c r="L181" s="240" t="s">
        <v>3136</v>
      </c>
      <c r="M181">
        <v>62</v>
      </c>
      <c r="N181" t="s">
        <v>2919</v>
      </c>
      <c r="O181">
        <v>171.84818423999999</v>
      </c>
    </row>
    <row r="182" spans="1:15">
      <c r="A182">
        <v>208</v>
      </c>
      <c r="B182" t="s">
        <v>2428</v>
      </c>
      <c r="C182" t="s">
        <v>2441</v>
      </c>
      <c r="D182" t="s">
        <v>2460</v>
      </c>
      <c r="E182" t="s">
        <v>2659</v>
      </c>
      <c r="F182" t="s">
        <v>2504</v>
      </c>
      <c r="G182" t="s">
        <v>3121</v>
      </c>
      <c r="H182" t="s">
        <v>3122</v>
      </c>
      <c r="I182">
        <v>412</v>
      </c>
      <c r="J182">
        <v>516</v>
      </c>
      <c r="K182">
        <v>140</v>
      </c>
      <c r="L182" s="240" t="s">
        <v>3137</v>
      </c>
      <c r="M182">
        <v>62</v>
      </c>
      <c r="N182" t="s">
        <v>2919</v>
      </c>
      <c r="O182">
        <v>171.84818423999999</v>
      </c>
    </row>
    <row r="183" spans="1:15">
      <c r="A183">
        <v>209</v>
      </c>
      <c r="B183" t="s">
        <v>2428</v>
      </c>
      <c r="C183" t="s">
        <v>2435</v>
      </c>
      <c r="D183" t="s">
        <v>2460</v>
      </c>
      <c r="E183" t="s">
        <v>2659</v>
      </c>
      <c r="F183" t="s">
        <v>2504</v>
      </c>
      <c r="G183" t="s">
        <v>3121</v>
      </c>
      <c r="H183" t="s">
        <v>3122</v>
      </c>
      <c r="I183">
        <v>94</v>
      </c>
      <c r="J183">
        <v>678</v>
      </c>
      <c r="K183">
        <v>92</v>
      </c>
      <c r="L183" s="240" t="s">
        <v>3138</v>
      </c>
      <c r="M183">
        <v>62</v>
      </c>
      <c r="N183" t="s">
        <v>2919</v>
      </c>
      <c r="O183">
        <v>171.84818423999999</v>
      </c>
    </row>
    <row r="184" spans="1:15">
      <c r="A184">
        <v>210</v>
      </c>
      <c r="B184" t="s">
        <v>2428</v>
      </c>
      <c r="C184" t="s">
        <v>2449</v>
      </c>
      <c r="D184" t="s">
        <v>2460</v>
      </c>
      <c r="E184" t="s">
        <v>2659</v>
      </c>
      <c r="F184" t="s">
        <v>2504</v>
      </c>
      <c r="G184" t="s">
        <v>3121</v>
      </c>
      <c r="H184" t="s">
        <v>3122</v>
      </c>
      <c r="I184">
        <v>93</v>
      </c>
      <c r="J184">
        <v>335</v>
      </c>
      <c r="K184">
        <v>36</v>
      </c>
      <c r="L184" s="240" t="s">
        <v>3139</v>
      </c>
      <c r="M184">
        <v>62</v>
      </c>
      <c r="N184" t="s">
        <v>2919</v>
      </c>
      <c r="O184">
        <v>171.84818423999999</v>
      </c>
    </row>
    <row r="185" spans="1:15">
      <c r="A185">
        <v>211</v>
      </c>
      <c r="B185" t="s">
        <v>2428</v>
      </c>
      <c r="C185" t="s">
        <v>2426</v>
      </c>
      <c r="D185" t="s">
        <v>2460</v>
      </c>
      <c r="E185" t="s">
        <v>2659</v>
      </c>
      <c r="F185" t="s">
        <v>2504</v>
      </c>
      <c r="G185" t="s">
        <v>3121</v>
      </c>
      <c r="H185" t="s">
        <v>3122</v>
      </c>
      <c r="I185">
        <v>26</v>
      </c>
      <c r="J185">
        <v>249</v>
      </c>
      <c r="K185">
        <v>434</v>
      </c>
      <c r="L185" s="240" t="s">
        <v>3140</v>
      </c>
      <c r="M185">
        <v>62</v>
      </c>
      <c r="N185" t="s">
        <v>2919</v>
      </c>
      <c r="O185">
        <v>171.84818423999999</v>
      </c>
    </row>
    <row r="186" spans="1:15">
      <c r="A186">
        <v>211</v>
      </c>
      <c r="B186" t="s">
        <v>2428</v>
      </c>
      <c r="C186" t="s">
        <v>2426</v>
      </c>
      <c r="D186" t="s">
        <v>2460</v>
      </c>
      <c r="E186" t="s">
        <v>2659</v>
      </c>
      <c r="F186" t="s">
        <v>2504</v>
      </c>
      <c r="G186" t="s">
        <v>3121</v>
      </c>
      <c r="H186" t="s">
        <v>3122</v>
      </c>
      <c r="I186">
        <v>169</v>
      </c>
      <c r="J186">
        <v>627</v>
      </c>
      <c r="K186">
        <v>56</v>
      </c>
      <c r="L186" s="240" t="s">
        <v>3141</v>
      </c>
      <c r="M186">
        <v>62</v>
      </c>
      <c r="N186" t="s">
        <v>2919</v>
      </c>
      <c r="O186">
        <v>171.84818423999999</v>
      </c>
    </row>
    <row r="187" spans="1:15">
      <c r="A187">
        <v>212</v>
      </c>
      <c r="B187" t="s">
        <v>2428</v>
      </c>
      <c r="C187" t="s">
        <v>2442</v>
      </c>
      <c r="D187" t="s">
        <v>2460</v>
      </c>
      <c r="E187" t="s">
        <v>2659</v>
      </c>
      <c r="F187" t="s">
        <v>2504</v>
      </c>
      <c r="G187" t="s">
        <v>3121</v>
      </c>
      <c r="H187" t="s">
        <v>3122</v>
      </c>
      <c r="I187">
        <v>68</v>
      </c>
      <c r="J187">
        <v>803</v>
      </c>
      <c r="K187">
        <v>365</v>
      </c>
      <c r="L187" s="240" t="s">
        <v>3142</v>
      </c>
      <c r="M187">
        <v>62</v>
      </c>
      <c r="N187" t="s">
        <v>2919</v>
      </c>
      <c r="O187">
        <v>171.84818423999999</v>
      </c>
    </row>
    <row r="188" spans="1:15">
      <c r="A188">
        <v>213</v>
      </c>
      <c r="B188" t="s">
        <v>2428</v>
      </c>
      <c r="C188" t="s">
        <v>2450</v>
      </c>
      <c r="D188" t="s">
        <v>2460</v>
      </c>
      <c r="E188" t="s">
        <v>2659</v>
      </c>
      <c r="F188" t="s">
        <v>2504</v>
      </c>
      <c r="G188" t="s">
        <v>3121</v>
      </c>
      <c r="H188" t="s">
        <v>3122</v>
      </c>
      <c r="I188">
        <v>143</v>
      </c>
      <c r="J188">
        <v>321</v>
      </c>
      <c r="K188">
        <v>5</v>
      </c>
      <c r="L188" s="240" t="s">
        <v>3143</v>
      </c>
      <c r="M188">
        <v>62</v>
      </c>
      <c r="N188" t="s">
        <v>2919</v>
      </c>
      <c r="O188">
        <v>171.84818423999999</v>
      </c>
    </row>
    <row r="189" spans="1:15">
      <c r="A189">
        <v>214</v>
      </c>
      <c r="B189" t="s">
        <v>2428</v>
      </c>
      <c r="C189" t="s">
        <v>2443</v>
      </c>
      <c r="D189" t="s">
        <v>2460</v>
      </c>
      <c r="E189" t="s">
        <v>2659</v>
      </c>
      <c r="F189" t="s">
        <v>2504</v>
      </c>
      <c r="G189" t="s">
        <v>3121</v>
      </c>
      <c r="H189" t="s">
        <v>3122</v>
      </c>
      <c r="I189">
        <v>128</v>
      </c>
      <c r="J189">
        <v>771</v>
      </c>
      <c r="K189">
        <v>677</v>
      </c>
      <c r="L189" s="240" t="s">
        <v>3144</v>
      </c>
      <c r="M189">
        <v>62</v>
      </c>
      <c r="N189" t="s">
        <v>2919</v>
      </c>
      <c r="O189">
        <v>171.84818423999999</v>
      </c>
    </row>
    <row r="190" spans="1:15">
      <c r="A190">
        <v>216</v>
      </c>
      <c r="B190" t="s">
        <v>2428</v>
      </c>
      <c r="C190" t="s">
        <v>2436</v>
      </c>
      <c r="D190" t="s">
        <v>2460</v>
      </c>
      <c r="E190" t="s">
        <v>2659</v>
      </c>
      <c r="F190" t="s">
        <v>2504</v>
      </c>
      <c r="G190" t="s">
        <v>3121</v>
      </c>
      <c r="H190" t="s">
        <v>3122</v>
      </c>
      <c r="I190">
        <v>95</v>
      </c>
      <c r="J190">
        <v>379</v>
      </c>
      <c r="K190">
        <v>361</v>
      </c>
      <c r="L190" s="240" t="s">
        <v>3145</v>
      </c>
      <c r="M190">
        <v>62</v>
      </c>
      <c r="N190" t="s">
        <v>2919</v>
      </c>
      <c r="O190">
        <v>171.84818423999999</v>
      </c>
    </row>
    <row r="191" spans="1:15">
      <c r="A191">
        <v>217</v>
      </c>
      <c r="B191" t="s">
        <v>2428</v>
      </c>
      <c r="C191" t="s">
        <v>2429</v>
      </c>
      <c r="D191" t="s">
        <v>2943</v>
      </c>
      <c r="E191" t="s">
        <v>2659</v>
      </c>
      <c r="F191" t="s">
        <v>2504</v>
      </c>
      <c r="G191" t="s">
        <v>3121</v>
      </c>
      <c r="H191" t="s">
        <v>3122</v>
      </c>
      <c r="I191">
        <v>313</v>
      </c>
      <c r="J191">
        <v>771</v>
      </c>
      <c r="K191">
        <v>204</v>
      </c>
      <c r="L191" s="240" t="s">
        <v>3146</v>
      </c>
      <c r="M191">
        <v>62</v>
      </c>
      <c r="N191" t="s">
        <v>2919</v>
      </c>
      <c r="O191">
        <v>171.84818423999999</v>
      </c>
    </row>
    <row r="192" spans="1:15">
      <c r="A192">
        <v>218</v>
      </c>
      <c r="B192" t="s">
        <v>2428</v>
      </c>
      <c r="C192" t="s">
        <v>2437</v>
      </c>
      <c r="D192" t="s">
        <v>2943</v>
      </c>
      <c r="E192" t="s">
        <v>2659</v>
      </c>
      <c r="F192" t="s">
        <v>2504</v>
      </c>
      <c r="G192" t="s">
        <v>3121</v>
      </c>
      <c r="H192" t="s">
        <v>3122</v>
      </c>
      <c r="I192">
        <v>485</v>
      </c>
      <c r="J192">
        <v>680</v>
      </c>
      <c r="K192">
        <v>170</v>
      </c>
      <c r="L192" s="240" t="s">
        <v>3147</v>
      </c>
      <c r="M192">
        <v>62</v>
      </c>
      <c r="N192" t="s">
        <v>2919</v>
      </c>
      <c r="O192">
        <v>171.84818423999999</v>
      </c>
    </row>
    <row r="193" spans="1:15">
      <c r="A193">
        <v>219</v>
      </c>
      <c r="B193" t="s">
        <v>2428</v>
      </c>
      <c r="C193" t="s">
        <v>2444</v>
      </c>
      <c r="D193" t="s">
        <v>2943</v>
      </c>
      <c r="E193" t="s">
        <v>2659</v>
      </c>
      <c r="F193" t="s">
        <v>2504</v>
      </c>
      <c r="G193" t="s">
        <v>3121</v>
      </c>
      <c r="H193" t="s">
        <v>3122</v>
      </c>
      <c r="I193">
        <v>196</v>
      </c>
      <c r="J193">
        <v>178</v>
      </c>
      <c r="K193">
        <v>123</v>
      </c>
      <c r="L193" s="240" t="s">
        <v>3148</v>
      </c>
      <c r="M193">
        <v>62</v>
      </c>
      <c r="N193" t="s">
        <v>2919</v>
      </c>
      <c r="O193">
        <v>171.84818423999999</v>
      </c>
    </row>
    <row r="194" spans="1:15">
      <c r="A194">
        <v>220</v>
      </c>
      <c r="B194" t="s">
        <v>2428</v>
      </c>
      <c r="C194" t="s">
        <v>2451</v>
      </c>
      <c r="D194" t="s">
        <v>2943</v>
      </c>
      <c r="E194" t="s">
        <v>2659</v>
      </c>
      <c r="F194" t="s">
        <v>2504</v>
      </c>
      <c r="G194" t="s">
        <v>3121</v>
      </c>
      <c r="H194" t="s">
        <v>3122</v>
      </c>
      <c r="I194">
        <v>39</v>
      </c>
      <c r="J194">
        <v>194</v>
      </c>
      <c r="K194">
        <v>53</v>
      </c>
      <c r="L194" s="240" t="s">
        <v>3149</v>
      </c>
      <c r="M194">
        <v>62</v>
      </c>
      <c r="N194" t="s">
        <v>2919</v>
      </c>
      <c r="O194">
        <v>171.84818423999999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A9E0F-7327-48BB-AD2A-9703D8D50DC3}">
  <dimension ref="A1:T1749"/>
  <sheetViews>
    <sheetView topLeftCell="A146" zoomScale="115" zoomScaleNormal="115" workbookViewId="0">
      <selection activeCell="A158" sqref="A1:A1048576"/>
    </sheetView>
  </sheetViews>
  <sheetFormatPr baseColWidth="10" defaultColWidth="11.5546875" defaultRowHeight="14.4"/>
  <cols>
    <col min="1" max="16384" width="11.5546875" style="110"/>
  </cols>
  <sheetData>
    <row r="1" spans="1:20">
      <c r="A1" s="419" t="s">
        <v>1146</v>
      </c>
      <c r="B1" s="419"/>
      <c r="C1" s="419"/>
      <c r="D1" s="419"/>
      <c r="E1" s="419"/>
      <c r="F1" s="419"/>
      <c r="G1" s="419"/>
      <c r="H1" s="419"/>
      <c r="I1" s="110" t="s">
        <v>1145</v>
      </c>
      <c r="M1" s="419"/>
      <c r="N1" s="419"/>
      <c r="O1" s="419"/>
      <c r="P1" s="419"/>
      <c r="Q1" s="419"/>
      <c r="R1" s="419"/>
      <c r="S1" s="419"/>
      <c r="T1" s="419"/>
    </row>
    <row r="2" spans="1:20">
      <c r="A2" s="419"/>
      <c r="B2" s="419"/>
      <c r="C2" s="419"/>
      <c r="D2" s="419"/>
      <c r="E2" s="419"/>
      <c r="F2" s="419"/>
      <c r="G2" s="419"/>
      <c r="H2" s="419"/>
      <c r="M2" s="419"/>
      <c r="N2" s="419"/>
      <c r="O2" s="419"/>
      <c r="P2" s="419"/>
      <c r="Q2" s="419"/>
      <c r="R2" s="419"/>
      <c r="S2" s="419"/>
      <c r="T2" s="419"/>
    </row>
    <row r="3" spans="1:20">
      <c r="A3" s="419"/>
      <c r="B3" s="419"/>
      <c r="C3" s="419"/>
      <c r="D3" s="419"/>
      <c r="E3" s="419"/>
      <c r="F3" s="419"/>
      <c r="G3" s="419"/>
      <c r="H3" s="419"/>
      <c r="M3" s="419"/>
      <c r="N3" s="419"/>
      <c r="O3" s="419"/>
      <c r="P3" s="419"/>
      <c r="Q3" s="419"/>
      <c r="R3" s="419"/>
      <c r="S3" s="419"/>
      <c r="T3" s="419"/>
    </row>
    <row r="4" spans="1:20">
      <c r="A4" s="111" t="s">
        <v>1144</v>
      </c>
      <c r="B4" s="111" t="s">
        <v>1143</v>
      </c>
      <c r="C4" s="111" t="s">
        <v>1142</v>
      </c>
      <c r="D4" s="111" t="s">
        <v>1141</v>
      </c>
      <c r="G4" s="167"/>
      <c r="M4" s="111"/>
      <c r="N4" s="111"/>
      <c r="O4" s="111"/>
      <c r="P4" s="111"/>
    </row>
    <row r="5" spans="1:20">
      <c r="A5" s="110" t="s">
        <v>2049</v>
      </c>
      <c r="B5" s="110" t="s">
        <v>1147</v>
      </c>
      <c r="C5" s="110">
        <v>1.9870000000000001</v>
      </c>
      <c r="D5" s="112">
        <v>42749</v>
      </c>
    </row>
    <row r="6" spans="1:20">
      <c r="A6" s="110" t="s">
        <v>2048</v>
      </c>
      <c r="B6" s="110" t="s">
        <v>1147</v>
      </c>
      <c r="C6" s="110">
        <v>2</v>
      </c>
      <c r="D6" s="112">
        <v>42749</v>
      </c>
    </row>
    <row r="7" spans="1:20">
      <c r="A7" s="110" t="s">
        <v>2047</v>
      </c>
      <c r="B7" s="110" t="s">
        <v>1147</v>
      </c>
      <c r="C7" s="110">
        <v>2.0470000000000002</v>
      </c>
      <c r="D7" s="112">
        <v>42749</v>
      </c>
    </row>
    <row r="8" spans="1:20">
      <c r="A8" s="110" t="s">
        <v>2046</v>
      </c>
      <c r="B8" s="110" t="s">
        <v>1147</v>
      </c>
      <c r="C8" s="110">
        <v>1.998</v>
      </c>
      <c r="D8" s="112">
        <v>42749</v>
      </c>
    </row>
    <row r="9" spans="1:20">
      <c r="A9" s="110" t="s">
        <v>2045</v>
      </c>
      <c r="B9" s="110" t="s">
        <v>1147</v>
      </c>
      <c r="C9" s="110">
        <v>2.0139999999999998</v>
      </c>
      <c r="D9" s="112">
        <v>42749</v>
      </c>
    </row>
    <row r="10" spans="1:20">
      <c r="A10" s="110" t="s">
        <v>2044</v>
      </c>
      <c r="B10" s="110" t="s">
        <v>1147</v>
      </c>
      <c r="C10" s="110">
        <v>2.016</v>
      </c>
      <c r="D10" s="112">
        <v>42749</v>
      </c>
    </row>
    <row r="11" spans="1:20">
      <c r="A11" s="110" t="s">
        <v>2043</v>
      </c>
      <c r="B11" s="110" t="s">
        <v>1147</v>
      </c>
      <c r="C11" s="110">
        <v>1.974</v>
      </c>
      <c r="D11" s="112">
        <v>42749</v>
      </c>
    </row>
    <row r="12" spans="1:20">
      <c r="A12" s="110" t="s">
        <v>2042</v>
      </c>
      <c r="B12" s="110" t="s">
        <v>1147</v>
      </c>
      <c r="C12" s="110">
        <v>2.0209999999999999</v>
      </c>
      <c r="D12" s="112">
        <v>42749</v>
      </c>
    </row>
    <row r="13" spans="1:20">
      <c r="A13" s="110" t="s">
        <v>2041</v>
      </c>
      <c r="B13" s="110" t="s">
        <v>1147</v>
      </c>
      <c r="C13" s="110">
        <v>2.0409999999999999</v>
      </c>
      <c r="D13" s="112">
        <v>42749</v>
      </c>
    </row>
    <row r="14" spans="1:20">
      <c r="A14" s="110" t="s">
        <v>2040</v>
      </c>
      <c r="B14" s="110" t="s">
        <v>1147</v>
      </c>
      <c r="C14" s="110">
        <v>1.9710000000000001</v>
      </c>
      <c r="D14" s="112">
        <v>42749</v>
      </c>
    </row>
    <row r="15" spans="1:20">
      <c r="A15" s="110" t="s">
        <v>2039</v>
      </c>
      <c r="B15" s="110" t="s">
        <v>1147</v>
      </c>
      <c r="C15" s="110">
        <v>1.839</v>
      </c>
      <c r="D15" s="112">
        <v>42749</v>
      </c>
    </row>
    <row r="16" spans="1:20">
      <c r="A16" s="110" t="s">
        <v>2038</v>
      </c>
      <c r="B16" s="110" t="s">
        <v>1147</v>
      </c>
      <c r="C16" s="110">
        <v>1.9870000000000001</v>
      </c>
      <c r="D16" s="112">
        <v>42749</v>
      </c>
    </row>
    <row r="17" spans="1:4">
      <c r="A17" s="110" t="s">
        <v>2037</v>
      </c>
      <c r="B17" s="110" t="s">
        <v>1147</v>
      </c>
      <c r="C17" s="110">
        <v>2.085</v>
      </c>
      <c r="D17" s="112">
        <v>42749</v>
      </c>
    </row>
    <row r="18" spans="1:4">
      <c r="A18" s="110" t="s">
        <v>2036</v>
      </c>
      <c r="B18" s="110" t="s">
        <v>1147</v>
      </c>
      <c r="C18" s="110">
        <v>2.0750000000000002</v>
      </c>
      <c r="D18" s="112">
        <v>42749</v>
      </c>
    </row>
    <row r="19" spans="1:4">
      <c r="A19" s="110" t="s">
        <v>2035</v>
      </c>
      <c r="B19" s="110" t="s">
        <v>1147</v>
      </c>
      <c r="C19" s="110">
        <v>2.0510000000000002</v>
      </c>
      <c r="D19" s="112">
        <v>42749</v>
      </c>
    </row>
    <row r="20" spans="1:4">
      <c r="A20" s="110" t="s">
        <v>2034</v>
      </c>
      <c r="B20" s="110" t="s">
        <v>1147</v>
      </c>
      <c r="C20" s="110">
        <v>1.9410000000000001</v>
      </c>
      <c r="D20" s="112">
        <v>42749</v>
      </c>
    </row>
    <row r="21" spans="1:4">
      <c r="A21" s="110" t="s">
        <v>2033</v>
      </c>
      <c r="B21" s="110" t="s">
        <v>1147</v>
      </c>
      <c r="C21" s="110">
        <v>1.9870000000000001</v>
      </c>
      <c r="D21" s="112">
        <v>42749</v>
      </c>
    </row>
    <row r="22" spans="1:4">
      <c r="A22" s="110" t="s">
        <v>2032</v>
      </c>
      <c r="B22" s="110" t="s">
        <v>1147</v>
      </c>
      <c r="C22" s="110">
        <v>2.0230000000000001</v>
      </c>
      <c r="D22" s="112">
        <v>42749</v>
      </c>
    </row>
    <row r="23" spans="1:4">
      <c r="A23" s="110" t="s">
        <v>2031</v>
      </c>
      <c r="B23" s="110" t="s">
        <v>1147</v>
      </c>
      <c r="C23" s="110">
        <v>2.0659999999999998</v>
      </c>
      <c r="D23" s="112">
        <v>42749</v>
      </c>
    </row>
    <row r="24" spans="1:4">
      <c r="A24" s="110" t="s">
        <v>2030</v>
      </c>
      <c r="B24" s="110" t="s">
        <v>1147</v>
      </c>
      <c r="C24" s="110">
        <v>2.032</v>
      </c>
      <c r="D24" s="112">
        <v>42749</v>
      </c>
    </row>
    <row r="25" spans="1:4">
      <c r="A25" s="110" t="s">
        <v>2029</v>
      </c>
      <c r="B25" s="110" t="s">
        <v>1147</v>
      </c>
      <c r="C25" s="110">
        <v>2.04</v>
      </c>
      <c r="D25" s="112">
        <v>42749</v>
      </c>
    </row>
    <row r="26" spans="1:4">
      <c r="A26" s="110" t="s">
        <v>2028</v>
      </c>
      <c r="B26" s="110" t="s">
        <v>1147</v>
      </c>
      <c r="C26" s="110">
        <v>2.1</v>
      </c>
      <c r="D26" s="112">
        <v>42749</v>
      </c>
    </row>
    <row r="27" spans="1:4">
      <c r="A27" s="110" t="s">
        <v>2027</v>
      </c>
      <c r="B27" s="110" t="s">
        <v>1147</v>
      </c>
      <c r="C27" s="110">
        <v>2.0750000000000002</v>
      </c>
      <c r="D27" s="112">
        <v>42749</v>
      </c>
    </row>
    <row r="28" spans="1:4">
      <c r="A28" s="110" t="s">
        <v>2026</v>
      </c>
      <c r="B28" s="110" t="s">
        <v>1147</v>
      </c>
      <c r="C28" s="110">
        <v>2.09</v>
      </c>
      <c r="D28" s="112">
        <v>42749</v>
      </c>
    </row>
    <row r="29" spans="1:4">
      <c r="A29" s="110" t="s">
        <v>2025</v>
      </c>
      <c r="B29" s="110" t="s">
        <v>1147</v>
      </c>
      <c r="C29" s="110">
        <v>2.0230000000000001</v>
      </c>
      <c r="D29" s="112">
        <v>42749</v>
      </c>
    </row>
    <row r="30" spans="1:4">
      <c r="A30" s="110" t="s">
        <v>2024</v>
      </c>
      <c r="B30" s="110" t="s">
        <v>1147</v>
      </c>
      <c r="C30" s="110">
        <v>2.1059999999999999</v>
      </c>
      <c r="D30" s="112">
        <v>42749</v>
      </c>
    </row>
    <row r="31" spans="1:4">
      <c r="A31" s="110" t="s">
        <v>2023</v>
      </c>
      <c r="B31" s="110" t="s">
        <v>1147</v>
      </c>
      <c r="C31" s="110">
        <v>1.966</v>
      </c>
      <c r="D31" s="112">
        <v>42749</v>
      </c>
    </row>
    <row r="32" spans="1:4">
      <c r="A32" s="110" t="s">
        <v>2022</v>
      </c>
      <c r="B32" s="110" t="s">
        <v>1147</v>
      </c>
      <c r="C32" s="110">
        <v>2.0499999999999998</v>
      </c>
      <c r="D32" s="112">
        <v>42749</v>
      </c>
    </row>
    <row r="33" spans="1:4">
      <c r="A33" s="110" t="s">
        <v>2021</v>
      </c>
      <c r="B33" s="110" t="s">
        <v>1147</v>
      </c>
      <c r="C33" s="110">
        <v>2.1179999999999999</v>
      </c>
      <c r="D33" s="112">
        <v>42749</v>
      </c>
    </row>
    <row r="34" spans="1:4">
      <c r="A34" s="110" t="s">
        <v>2020</v>
      </c>
      <c r="B34" s="110" t="s">
        <v>1147</v>
      </c>
      <c r="C34" s="110">
        <v>2.0680000000000001</v>
      </c>
      <c r="D34" s="112">
        <v>42749</v>
      </c>
    </row>
    <row r="35" spans="1:4">
      <c r="A35" s="110" t="s">
        <v>2019</v>
      </c>
      <c r="B35" s="110" t="s">
        <v>1147</v>
      </c>
      <c r="C35" s="110">
        <v>1.9390000000000001</v>
      </c>
      <c r="D35" s="112">
        <v>42749</v>
      </c>
    </row>
    <row r="36" spans="1:4">
      <c r="A36" s="110" t="s">
        <v>2018</v>
      </c>
      <c r="B36" s="110" t="s">
        <v>1147</v>
      </c>
      <c r="C36" s="110">
        <v>2.0510000000000002</v>
      </c>
      <c r="D36" s="112">
        <v>42749</v>
      </c>
    </row>
    <row r="37" spans="1:4">
      <c r="A37" s="110" t="s">
        <v>2017</v>
      </c>
      <c r="B37" s="110" t="s">
        <v>1147</v>
      </c>
      <c r="C37" s="110">
        <v>2.0579999999999998</v>
      </c>
      <c r="D37" s="112">
        <v>42749</v>
      </c>
    </row>
    <row r="38" spans="1:4">
      <c r="A38" s="110" t="s">
        <v>2016</v>
      </c>
      <c r="B38" s="110" t="s">
        <v>1147</v>
      </c>
      <c r="C38" s="110">
        <v>2.133</v>
      </c>
      <c r="D38" s="112">
        <v>42749</v>
      </c>
    </row>
    <row r="39" spans="1:4">
      <c r="A39" s="110" t="s">
        <v>2015</v>
      </c>
      <c r="B39" s="110" t="s">
        <v>1147</v>
      </c>
      <c r="C39" s="110">
        <v>2.0299999999999998</v>
      </c>
      <c r="D39" s="112">
        <v>42749</v>
      </c>
    </row>
    <row r="40" spans="1:4">
      <c r="A40" s="110" t="s">
        <v>2014</v>
      </c>
      <c r="B40" s="110" t="s">
        <v>1147</v>
      </c>
      <c r="C40" s="110">
        <v>2.1429999999999998</v>
      </c>
      <c r="D40" s="112">
        <v>42749</v>
      </c>
    </row>
    <row r="41" spans="1:4">
      <c r="A41" s="110" t="s">
        <v>2013</v>
      </c>
      <c r="B41" s="110" t="s">
        <v>1147</v>
      </c>
      <c r="C41" s="110">
        <v>2.077</v>
      </c>
      <c r="D41" s="112">
        <v>42749</v>
      </c>
    </row>
    <row r="42" spans="1:4">
      <c r="A42" s="110" t="s">
        <v>2012</v>
      </c>
      <c r="B42" s="110" t="s">
        <v>1147</v>
      </c>
      <c r="C42" s="110">
        <v>1.93</v>
      </c>
      <c r="D42" s="112">
        <v>42749</v>
      </c>
    </row>
    <row r="43" spans="1:4">
      <c r="A43" s="110" t="s">
        <v>2011</v>
      </c>
      <c r="B43" s="110" t="s">
        <v>1147</v>
      </c>
      <c r="C43" s="110">
        <v>2.0670000000000002</v>
      </c>
      <c r="D43" s="112">
        <v>42749</v>
      </c>
    </row>
    <row r="44" spans="1:4">
      <c r="A44" s="110" t="s">
        <v>2010</v>
      </c>
      <c r="B44" s="110" t="s">
        <v>1147</v>
      </c>
      <c r="C44" s="110">
        <v>2.0369999999999999</v>
      </c>
      <c r="D44" s="112">
        <v>42749</v>
      </c>
    </row>
    <row r="45" spans="1:4">
      <c r="A45" s="110" t="s">
        <v>2009</v>
      </c>
      <c r="B45" s="110" t="s">
        <v>1147</v>
      </c>
      <c r="C45" s="110">
        <v>1.9850000000000001</v>
      </c>
      <c r="D45" s="112">
        <v>42749</v>
      </c>
    </row>
    <row r="46" spans="1:4">
      <c r="A46" s="110" t="s">
        <v>2008</v>
      </c>
      <c r="B46" s="110" t="s">
        <v>1147</v>
      </c>
      <c r="C46" s="110">
        <v>1.9530000000000001</v>
      </c>
      <c r="D46" s="112">
        <v>42749</v>
      </c>
    </row>
    <row r="47" spans="1:4">
      <c r="A47" s="110" t="s">
        <v>2007</v>
      </c>
      <c r="B47" s="110" t="s">
        <v>1147</v>
      </c>
      <c r="C47" s="110">
        <v>1.9650000000000001</v>
      </c>
      <c r="D47" s="112">
        <v>42749</v>
      </c>
    </row>
    <row r="48" spans="1:4">
      <c r="A48" s="110" t="s">
        <v>2006</v>
      </c>
      <c r="B48" s="110" t="s">
        <v>1147</v>
      </c>
      <c r="C48" s="110">
        <v>2.0680000000000001</v>
      </c>
      <c r="D48" s="112">
        <v>42749</v>
      </c>
    </row>
    <row r="49" spans="1:4">
      <c r="A49" s="110" t="s">
        <v>2005</v>
      </c>
      <c r="B49" s="110" t="s">
        <v>1147</v>
      </c>
      <c r="C49" s="110">
        <v>2.0779999999999998</v>
      </c>
      <c r="D49" s="112">
        <v>42749</v>
      </c>
    </row>
    <row r="50" spans="1:4">
      <c r="A50" s="110" t="s">
        <v>2004</v>
      </c>
      <c r="B50" s="110" t="s">
        <v>1147</v>
      </c>
      <c r="C50" s="110">
        <v>1.895</v>
      </c>
      <c r="D50" s="112">
        <v>42749</v>
      </c>
    </row>
    <row r="51" spans="1:4">
      <c r="A51" s="110" t="s">
        <v>2003</v>
      </c>
      <c r="B51" s="110" t="s">
        <v>1147</v>
      </c>
      <c r="C51" s="110">
        <v>2.0840000000000001</v>
      </c>
      <c r="D51" s="112">
        <v>42749</v>
      </c>
    </row>
    <row r="52" spans="1:4">
      <c r="A52" s="110" t="s">
        <v>2002</v>
      </c>
      <c r="B52" s="110" t="s">
        <v>1147</v>
      </c>
      <c r="C52" s="110">
        <v>2.0590000000000002</v>
      </c>
      <c r="D52" s="112">
        <v>42749</v>
      </c>
    </row>
    <row r="53" spans="1:4">
      <c r="A53" s="110" t="s">
        <v>2001</v>
      </c>
      <c r="B53" s="110" t="s">
        <v>1147</v>
      </c>
      <c r="C53" s="110">
        <v>2.0859999999999999</v>
      </c>
      <c r="D53" s="112">
        <v>42749</v>
      </c>
    </row>
    <row r="54" spans="1:4">
      <c r="A54" s="110" t="s">
        <v>2000</v>
      </c>
      <c r="B54" s="110" t="s">
        <v>1147</v>
      </c>
      <c r="C54" s="110">
        <v>1.954</v>
      </c>
      <c r="D54" s="112">
        <v>42749</v>
      </c>
    </row>
    <row r="55" spans="1:4">
      <c r="A55" s="110" t="s">
        <v>1999</v>
      </c>
      <c r="B55" s="110" t="s">
        <v>1147</v>
      </c>
      <c r="C55" s="110">
        <v>2.0259999999999998</v>
      </c>
      <c r="D55" s="112">
        <v>42749</v>
      </c>
    </row>
    <row r="56" spans="1:4">
      <c r="A56" s="110" t="s">
        <v>1998</v>
      </c>
      <c r="B56" s="110" t="s">
        <v>1147</v>
      </c>
      <c r="C56" s="110">
        <v>2.0920000000000001</v>
      </c>
      <c r="D56" s="112">
        <v>42749</v>
      </c>
    </row>
    <row r="57" spans="1:4">
      <c r="A57" s="110" t="s">
        <v>1997</v>
      </c>
      <c r="B57" s="110" t="s">
        <v>1147</v>
      </c>
      <c r="C57" s="110">
        <v>1.907</v>
      </c>
      <c r="D57" s="112">
        <v>42749</v>
      </c>
    </row>
    <row r="58" spans="1:4">
      <c r="A58" s="110" t="s">
        <v>1996</v>
      </c>
      <c r="B58" s="110" t="s">
        <v>1147</v>
      </c>
      <c r="C58" s="110">
        <v>2.0539999999999998</v>
      </c>
      <c r="D58" s="112">
        <v>42749</v>
      </c>
    </row>
    <row r="59" spans="1:4">
      <c r="A59" s="110" t="s">
        <v>1995</v>
      </c>
      <c r="B59" s="110" t="s">
        <v>1147</v>
      </c>
      <c r="C59" s="110">
        <v>2.024</v>
      </c>
      <c r="D59" s="112">
        <v>42749</v>
      </c>
    </row>
    <row r="60" spans="1:4">
      <c r="A60" s="110" t="s">
        <v>1994</v>
      </c>
      <c r="B60" s="110" t="s">
        <v>1147</v>
      </c>
      <c r="C60" s="110">
        <v>2.02</v>
      </c>
      <c r="D60" s="112">
        <v>42749</v>
      </c>
    </row>
    <row r="61" spans="1:4">
      <c r="A61" s="110" t="s">
        <v>1993</v>
      </c>
      <c r="B61" s="110" t="s">
        <v>1147</v>
      </c>
      <c r="C61" s="110">
        <v>2.077</v>
      </c>
      <c r="D61" s="112">
        <v>42749</v>
      </c>
    </row>
    <row r="62" spans="1:4">
      <c r="A62" s="110" t="s">
        <v>1992</v>
      </c>
      <c r="B62" s="110" t="s">
        <v>1147</v>
      </c>
      <c r="C62" s="110">
        <v>1.9370000000000001</v>
      </c>
      <c r="D62" s="112">
        <v>42749</v>
      </c>
    </row>
    <row r="63" spans="1:4">
      <c r="A63" s="110" t="s">
        <v>1991</v>
      </c>
      <c r="B63" s="110" t="s">
        <v>1147</v>
      </c>
      <c r="C63" s="110">
        <v>1.929</v>
      </c>
      <c r="D63" s="112">
        <v>42749</v>
      </c>
    </row>
    <row r="64" spans="1:4">
      <c r="A64" s="110" t="s">
        <v>1990</v>
      </c>
      <c r="B64" s="110" t="s">
        <v>1147</v>
      </c>
      <c r="C64" s="110">
        <v>2.1230000000000002</v>
      </c>
      <c r="D64" s="112">
        <v>42749</v>
      </c>
    </row>
    <row r="65" spans="1:5">
      <c r="A65" s="110" t="s">
        <v>1989</v>
      </c>
      <c r="B65" s="110" t="s">
        <v>1147</v>
      </c>
      <c r="C65" s="110">
        <v>1.88</v>
      </c>
      <c r="D65" s="112">
        <v>42749</v>
      </c>
    </row>
    <row r="66" spans="1:5">
      <c r="A66" s="110" t="s">
        <v>1988</v>
      </c>
      <c r="B66" s="110" t="s">
        <v>1147</v>
      </c>
      <c r="C66" s="110">
        <v>2.0819999999999999</v>
      </c>
      <c r="D66" s="112">
        <v>42749</v>
      </c>
    </row>
    <row r="67" spans="1:5">
      <c r="A67" s="110" t="s">
        <v>1987</v>
      </c>
      <c r="B67" s="110" t="s">
        <v>1147</v>
      </c>
      <c r="C67" s="110">
        <v>2</v>
      </c>
      <c r="D67" s="112">
        <v>42749</v>
      </c>
    </row>
    <row r="68" spans="1:5">
      <c r="A68" s="110" t="s">
        <v>1986</v>
      </c>
      <c r="B68" s="110" t="s">
        <v>1147</v>
      </c>
      <c r="C68" s="110">
        <v>2.0840000000000001</v>
      </c>
      <c r="D68" s="112">
        <v>42749</v>
      </c>
    </row>
    <row r="69" spans="1:5">
      <c r="A69" s="110" t="s">
        <v>1985</v>
      </c>
      <c r="B69" s="110" t="s">
        <v>1147</v>
      </c>
      <c r="C69" s="110">
        <v>2.0750000000000002</v>
      </c>
      <c r="D69" s="112">
        <v>42749</v>
      </c>
    </row>
    <row r="70" spans="1:5">
      <c r="A70" s="110" t="s">
        <v>1984</v>
      </c>
      <c r="B70" s="110" t="s">
        <v>1147</v>
      </c>
      <c r="C70" s="110">
        <v>1.9490000000000001</v>
      </c>
      <c r="D70" s="112">
        <v>42749</v>
      </c>
    </row>
    <row r="71" spans="1:5">
      <c r="A71" s="110" t="s">
        <v>1983</v>
      </c>
      <c r="B71" s="110" t="s">
        <v>1147</v>
      </c>
      <c r="C71" s="110">
        <v>1.984</v>
      </c>
      <c r="D71" s="112">
        <v>42749</v>
      </c>
    </row>
    <row r="72" spans="1:5">
      <c r="A72" s="110" t="s">
        <v>1982</v>
      </c>
      <c r="B72" s="110" t="s">
        <v>1147</v>
      </c>
      <c r="C72" s="110">
        <v>1.921</v>
      </c>
      <c r="D72" s="112">
        <v>42749</v>
      </c>
    </row>
    <row r="73" spans="1:5">
      <c r="A73" s="110" t="s">
        <v>1981</v>
      </c>
      <c r="B73" s="110" t="s">
        <v>1147</v>
      </c>
      <c r="C73" s="110">
        <v>2.0670000000000002</v>
      </c>
      <c r="D73" s="112">
        <v>42749</v>
      </c>
    </row>
    <row r="74" spans="1:5">
      <c r="A74" s="110" t="s">
        <v>1980</v>
      </c>
      <c r="B74" s="110" t="s">
        <v>1147</v>
      </c>
      <c r="C74" s="110">
        <v>2.0939999999999999</v>
      </c>
      <c r="D74" s="112">
        <v>42749</v>
      </c>
    </row>
    <row r="75" spans="1:5">
      <c r="A75" s="110" t="s">
        <v>1979</v>
      </c>
      <c r="B75" s="110" t="s">
        <v>1147</v>
      </c>
      <c r="C75" s="110">
        <v>2.0409999999999999</v>
      </c>
      <c r="D75" s="112">
        <v>42749</v>
      </c>
    </row>
    <row r="76" spans="1:5">
      <c r="A76" s="110" t="s">
        <v>1978</v>
      </c>
      <c r="B76" s="110" t="s">
        <v>1147</v>
      </c>
      <c r="C76" s="110">
        <v>2.0190000000000001</v>
      </c>
      <c r="D76" s="112">
        <v>42749</v>
      </c>
    </row>
    <row r="77" spans="1:5">
      <c r="A77" s="176" t="s">
        <v>1977</v>
      </c>
      <c r="B77" s="176" t="s">
        <v>1147</v>
      </c>
      <c r="C77" s="176">
        <v>2.1190000000000002</v>
      </c>
      <c r="D77" s="177">
        <v>42749</v>
      </c>
      <c r="E77" s="176" t="s">
        <v>2479</v>
      </c>
    </row>
    <row r="78" spans="1:5">
      <c r="A78" s="110" t="s">
        <v>1976</v>
      </c>
      <c r="B78" s="110" t="s">
        <v>1147</v>
      </c>
      <c r="C78" s="110">
        <v>2.0049999999999999</v>
      </c>
      <c r="D78" s="112">
        <v>42749</v>
      </c>
    </row>
    <row r="79" spans="1:5">
      <c r="A79" s="110" t="s">
        <v>1975</v>
      </c>
      <c r="B79" s="110" t="s">
        <v>1147</v>
      </c>
      <c r="C79" s="110">
        <v>2.028</v>
      </c>
      <c r="D79" s="112">
        <v>42749</v>
      </c>
    </row>
    <row r="80" spans="1:5">
      <c r="A80" s="110" t="s">
        <v>1974</v>
      </c>
      <c r="B80" s="110" t="s">
        <v>1147</v>
      </c>
      <c r="C80" s="110">
        <v>2.0129999999999999</v>
      </c>
      <c r="D80" s="112">
        <v>42749</v>
      </c>
    </row>
    <row r="81" spans="1:5">
      <c r="A81" s="110" t="s">
        <v>1973</v>
      </c>
      <c r="B81" s="110" t="s">
        <v>1147</v>
      </c>
      <c r="C81" s="110">
        <v>2.0190000000000001</v>
      </c>
      <c r="D81" s="112">
        <v>42749</v>
      </c>
    </row>
    <row r="82" spans="1:5">
      <c r="A82" s="110" t="s">
        <v>1972</v>
      </c>
      <c r="B82" s="110" t="s">
        <v>1147</v>
      </c>
      <c r="C82" s="110">
        <v>2.0379999999999998</v>
      </c>
      <c r="D82" s="112">
        <v>42749</v>
      </c>
    </row>
    <row r="83" spans="1:5">
      <c r="A83" s="110" t="s">
        <v>1971</v>
      </c>
      <c r="B83" s="110" t="s">
        <v>1147</v>
      </c>
      <c r="C83" s="110">
        <v>2.1120000000000001</v>
      </c>
      <c r="D83" s="112">
        <v>42749</v>
      </c>
    </row>
    <row r="84" spans="1:5">
      <c r="A84" s="110" t="s">
        <v>1970</v>
      </c>
      <c r="B84" s="110" t="s">
        <v>1147</v>
      </c>
      <c r="C84" s="110">
        <v>2.0259999999999998</v>
      </c>
      <c r="D84" s="112">
        <v>42749</v>
      </c>
    </row>
    <row r="85" spans="1:5">
      <c r="A85" s="176" t="s">
        <v>1969</v>
      </c>
      <c r="B85" s="176" t="s">
        <v>1147</v>
      </c>
      <c r="C85" s="176">
        <v>2.097</v>
      </c>
      <c r="D85" s="177">
        <v>42750</v>
      </c>
      <c r="E85" s="176" t="s">
        <v>2479</v>
      </c>
    </row>
    <row r="86" spans="1:5">
      <c r="A86" s="110" t="s">
        <v>1968</v>
      </c>
      <c r="B86" s="110" t="s">
        <v>1147</v>
      </c>
      <c r="C86" s="110">
        <v>2.0270000000000001</v>
      </c>
      <c r="D86" s="112">
        <v>42750</v>
      </c>
    </row>
    <row r="87" spans="1:5">
      <c r="A87" s="110" t="s">
        <v>1967</v>
      </c>
      <c r="B87" s="110" t="s">
        <v>1147</v>
      </c>
      <c r="C87" s="110">
        <v>2.0209999999999999</v>
      </c>
      <c r="D87" s="112">
        <v>42750</v>
      </c>
    </row>
    <row r="88" spans="1:5">
      <c r="A88" s="110" t="s">
        <v>1966</v>
      </c>
      <c r="B88" s="110" t="s">
        <v>1147</v>
      </c>
      <c r="C88" s="110">
        <v>2.1259999999999999</v>
      </c>
      <c r="D88" s="112">
        <v>42750</v>
      </c>
    </row>
    <row r="89" spans="1:5">
      <c r="A89" s="110" t="s">
        <v>1965</v>
      </c>
      <c r="B89" s="110" t="s">
        <v>1147</v>
      </c>
      <c r="C89" s="110">
        <v>2.1360000000000001</v>
      </c>
      <c r="D89" s="112">
        <v>42750</v>
      </c>
    </row>
    <row r="90" spans="1:5">
      <c r="A90" s="110" t="s">
        <v>1964</v>
      </c>
      <c r="B90" s="110" t="s">
        <v>1147</v>
      </c>
      <c r="C90" s="110">
        <v>2.1030000000000002</v>
      </c>
      <c r="D90" s="112">
        <v>42750</v>
      </c>
    </row>
    <row r="91" spans="1:5">
      <c r="A91" s="110" t="s">
        <v>1963</v>
      </c>
      <c r="B91" s="110" t="s">
        <v>1147</v>
      </c>
      <c r="C91" s="110">
        <v>1.9870000000000001</v>
      </c>
      <c r="D91" s="112">
        <v>42750</v>
      </c>
    </row>
    <row r="92" spans="1:5">
      <c r="A92" s="110" t="s">
        <v>1962</v>
      </c>
      <c r="B92" s="110" t="s">
        <v>1147</v>
      </c>
      <c r="C92" s="110">
        <v>2.1549999999999998</v>
      </c>
      <c r="D92" s="112">
        <v>42750</v>
      </c>
    </row>
    <row r="93" spans="1:5">
      <c r="A93" s="110" t="s">
        <v>1961</v>
      </c>
      <c r="B93" s="110" t="s">
        <v>1147</v>
      </c>
      <c r="C93" s="110">
        <v>1.9590000000000001</v>
      </c>
      <c r="D93" s="112">
        <v>42750</v>
      </c>
    </row>
    <row r="94" spans="1:5">
      <c r="A94" s="110" t="s">
        <v>1960</v>
      </c>
      <c r="B94" s="110" t="s">
        <v>1147</v>
      </c>
      <c r="C94" s="110">
        <v>2.0409999999999999</v>
      </c>
      <c r="D94" s="112">
        <v>42750</v>
      </c>
    </row>
    <row r="95" spans="1:5">
      <c r="A95" s="110" t="s">
        <v>1959</v>
      </c>
      <c r="B95" s="110" t="s">
        <v>1147</v>
      </c>
      <c r="C95" s="110">
        <v>2.044</v>
      </c>
      <c r="D95" s="112">
        <v>42750</v>
      </c>
    </row>
    <row r="96" spans="1:5">
      <c r="A96" s="110" t="s">
        <v>1958</v>
      </c>
      <c r="B96" s="110" t="s">
        <v>1147</v>
      </c>
      <c r="C96" s="110">
        <v>2.1930000000000001</v>
      </c>
      <c r="D96" s="112">
        <v>42750</v>
      </c>
    </row>
    <row r="97" spans="1:4">
      <c r="A97" s="110" t="s">
        <v>1957</v>
      </c>
      <c r="B97" s="110" t="s">
        <v>1147</v>
      </c>
      <c r="C97" s="110">
        <v>2.1230000000000002</v>
      </c>
      <c r="D97" s="112">
        <v>42750</v>
      </c>
    </row>
    <row r="98" spans="1:4">
      <c r="A98" s="110" t="s">
        <v>1956</v>
      </c>
      <c r="B98" s="110" t="s">
        <v>1147</v>
      </c>
      <c r="C98" s="110">
        <v>2.0630000000000002</v>
      </c>
      <c r="D98" s="112">
        <v>42750</v>
      </c>
    </row>
    <row r="99" spans="1:4">
      <c r="A99" s="110" t="s">
        <v>1955</v>
      </c>
      <c r="B99" s="110" t="s">
        <v>1147</v>
      </c>
      <c r="C99" s="110">
        <v>2.1110000000000002</v>
      </c>
      <c r="D99" s="112">
        <v>42750</v>
      </c>
    </row>
    <row r="100" spans="1:4">
      <c r="A100" s="110" t="s">
        <v>1954</v>
      </c>
      <c r="B100" s="110" t="s">
        <v>1147</v>
      </c>
      <c r="C100" s="110">
        <v>2.2349999999999999</v>
      </c>
      <c r="D100" s="112">
        <v>42750</v>
      </c>
    </row>
    <row r="101" spans="1:4">
      <c r="A101" s="110" t="s">
        <v>1953</v>
      </c>
      <c r="B101" s="110" t="s">
        <v>1147</v>
      </c>
      <c r="C101" s="110">
        <v>2.0960000000000001</v>
      </c>
      <c r="D101" s="112">
        <v>42750</v>
      </c>
    </row>
    <row r="102" spans="1:4">
      <c r="A102" s="110" t="s">
        <v>1952</v>
      </c>
      <c r="B102" s="110" t="s">
        <v>1147</v>
      </c>
      <c r="C102" s="110">
        <v>2.0979999999999999</v>
      </c>
      <c r="D102" s="112">
        <v>42750</v>
      </c>
    </row>
    <row r="103" spans="1:4">
      <c r="A103" s="110" t="s">
        <v>1951</v>
      </c>
      <c r="B103" s="110" t="s">
        <v>1147</v>
      </c>
      <c r="C103" s="110">
        <v>2.097</v>
      </c>
      <c r="D103" s="112">
        <v>42750</v>
      </c>
    </row>
    <row r="104" spans="1:4">
      <c r="A104" s="110" t="s">
        <v>1950</v>
      </c>
      <c r="B104" s="110" t="s">
        <v>1147</v>
      </c>
      <c r="C104" s="110">
        <v>2.0840000000000001</v>
      </c>
      <c r="D104" s="112">
        <v>42750</v>
      </c>
    </row>
    <row r="105" spans="1:4">
      <c r="A105" s="110" t="s">
        <v>1949</v>
      </c>
      <c r="B105" s="110" t="s">
        <v>1147</v>
      </c>
      <c r="C105" s="110">
        <v>2.173</v>
      </c>
      <c r="D105" s="112">
        <v>42750</v>
      </c>
    </row>
    <row r="106" spans="1:4">
      <c r="A106" s="110" t="s">
        <v>1948</v>
      </c>
      <c r="B106" s="110" t="s">
        <v>1147</v>
      </c>
      <c r="C106" s="110">
        <v>2.0920000000000001</v>
      </c>
      <c r="D106" s="112">
        <v>42750</v>
      </c>
    </row>
    <row r="107" spans="1:4">
      <c r="A107" s="110" t="s">
        <v>1947</v>
      </c>
      <c r="B107" s="110" t="s">
        <v>1147</v>
      </c>
      <c r="C107" s="110">
        <v>2.06</v>
      </c>
      <c r="D107" s="112">
        <v>42750</v>
      </c>
    </row>
    <row r="108" spans="1:4">
      <c r="A108" s="110" t="s">
        <v>1946</v>
      </c>
      <c r="B108" s="110" t="s">
        <v>1147</v>
      </c>
      <c r="C108" s="110">
        <v>2.0259999999999998</v>
      </c>
      <c r="D108" s="112">
        <v>42750</v>
      </c>
    </row>
    <row r="109" spans="1:4">
      <c r="A109" s="110" t="s">
        <v>1945</v>
      </c>
      <c r="B109" s="110" t="s">
        <v>1147</v>
      </c>
      <c r="C109" s="110">
        <v>2.1440000000000001</v>
      </c>
      <c r="D109" s="112">
        <v>42750</v>
      </c>
    </row>
    <row r="110" spans="1:4">
      <c r="A110" s="110" t="s">
        <v>1944</v>
      </c>
      <c r="B110" s="110" t="s">
        <v>1147</v>
      </c>
      <c r="C110" s="110">
        <v>2.1230000000000002</v>
      </c>
      <c r="D110" s="112">
        <v>42750</v>
      </c>
    </row>
    <row r="111" spans="1:4">
      <c r="A111" s="110" t="s">
        <v>1943</v>
      </c>
      <c r="B111" s="110" t="s">
        <v>1147</v>
      </c>
      <c r="C111" s="110">
        <v>2.1749999999999998</v>
      </c>
      <c r="D111" s="112">
        <v>42750</v>
      </c>
    </row>
    <row r="112" spans="1:4">
      <c r="A112" s="110" t="s">
        <v>1942</v>
      </c>
      <c r="B112" s="110" t="s">
        <v>1147</v>
      </c>
      <c r="C112" s="110">
        <v>2.032</v>
      </c>
      <c r="D112" s="112">
        <v>42750</v>
      </c>
    </row>
    <row r="113" spans="1:5">
      <c r="A113" s="110" t="s">
        <v>1941</v>
      </c>
      <c r="B113" s="110" t="s">
        <v>1147</v>
      </c>
      <c r="C113" s="110">
        <v>1.992</v>
      </c>
      <c r="D113" s="112">
        <v>42750</v>
      </c>
    </row>
    <row r="114" spans="1:5">
      <c r="A114" s="110" t="s">
        <v>1940</v>
      </c>
      <c r="B114" s="110" t="s">
        <v>1147</v>
      </c>
      <c r="C114" s="110">
        <v>2.093</v>
      </c>
      <c r="D114" s="112">
        <v>42750</v>
      </c>
    </row>
    <row r="115" spans="1:5">
      <c r="A115" s="110" t="s">
        <v>1939</v>
      </c>
      <c r="B115" s="110" t="s">
        <v>1147</v>
      </c>
      <c r="C115" s="110">
        <v>2.0750000000000002</v>
      </c>
      <c r="D115" s="112">
        <v>42750</v>
      </c>
    </row>
    <row r="116" spans="1:5">
      <c r="A116" s="176" t="s">
        <v>1938</v>
      </c>
      <c r="B116" s="176" t="s">
        <v>1147</v>
      </c>
      <c r="C116" s="176">
        <v>2.0859999999999999</v>
      </c>
      <c r="D116" s="177">
        <v>42750</v>
      </c>
      <c r="E116" s="176" t="s">
        <v>2479</v>
      </c>
    </row>
    <row r="117" spans="1:5">
      <c r="A117" s="110" t="s">
        <v>1937</v>
      </c>
      <c r="B117" s="110" t="s">
        <v>1147</v>
      </c>
      <c r="C117" s="110">
        <v>2.0539999999999998</v>
      </c>
      <c r="D117" s="112">
        <v>42750</v>
      </c>
    </row>
    <row r="118" spans="1:5">
      <c r="A118" s="110" t="s">
        <v>1936</v>
      </c>
      <c r="B118" s="110" t="s">
        <v>1147</v>
      </c>
      <c r="C118" s="110">
        <v>2.0249999999999999</v>
      </c>
      <c r="D118" s="112">
        <v>42750</v>
      </c>
    </row>
    <row r="119" spans="1:5">
      <c r="A119" s="110" t="s">
        <v>1935</v>
      </c>
      <c r="B119" s="110" t="s">
        <v>1147</v>
      </c>
      <c r="C119" s="110">
        <v>2.048</v>
      </c>
      <c r="D119" s="112">
        <v>42750</v>
      </c>
    </row>
    <row r="120" spans="1:5">
      <c r="A120" s="110" t="s">
        <v>1934</v>
      </c>
      <c r="B120" s="110" t="s">
        <v>1147</v>
      </c>
      <c r="C120" s="110">
        <v>1.925</v>
      </c>
      <c r="D120" s="112">
        <v>42750</v>
      </c>
    </row>
    <row r="121" spans="1:5">
      <c r="A121" s="110" t="s">
        <v>1933</v>
      </c>
      <c r="B121" s="110" t="s">
        <v>1147</v>
      </c>
      <c r="C121" s="110">
        <v>2.0990000000000002</v>
      </c>
      <c r="D121" s="112">
        <v>42750</v>
      </c>
    </row>
    <row r="122" spans="1:5">
      <c r="A122" s="110" t="s">
        <v>1932</v>
      </c>
      <c r="B122" s="110" t="s">
        <v>1147</v>
      </c>
      <c r="C122" s="110">
        <v>2.0870000000000002</v>
      </c>
      <c r="D122" s="112">
        <v>42750</v>
      </c>
    </row>
    <row r="123" spans="1:5">
      <c r="A123" s="110" t="s">
        <v>1931</v>
      </c>
      <c r="B123" s="110" t="s">
        <v>1147</v>
      </c>
      <c r="C123" s="110">
        <v>2.032</v>
      </c>
      <c r="D123" s="112">
        <v>42750</v>
      </c>
    </row>
    <row r="124" spans="1:5">
      <c r="A124" s="110" t="s">
        <v>1930</v>
      </c>
      <c r="B124" s="110" t="s">
        <v>1147</v>
      </c>
      <c r="C124" s="110">
        <v>2.0449999999999999</v>
      </c>
      <c r="D124" s="112">
        <v>42750</v>
      </c>
    </row>
    <row r="125" spans="1:5">
      <c r="A125" s="110" t="s">
        <v>1929</v>
      </c>
      <c r="B125" s="110" t="s">
        <v>1147</v>
      </c>
      <c r="C125" s="110">
        <v>2.024</v>
      </c>
      <c r="D125" s="112">
        <v>42750</v>
      </c>
    </row>
    <row r="126" spans="1:5">
      <c r="A126" s="110" t="s">
        <v>1928</v>
      </c>
      <c r="B126" s="110" t="s">
        <v>1147</v>
      </c>
      <c r="C126" s="110">
        <v>1.95</v>
      </c>
      <c r="D126" s="112">
        <v>42750</v>
      </c>
    </row>
    <row r="127" spans="1:5">
      <c r="A127" s="110" t="s">
        <v>1927</v>
      </c>
      <c r="B127" s="110" t="s">
        <v>1147</v>
      </c>
      <c r="C127" s="110">
        <v>2.133</v>
      </c>
      <c r="D127" s="112">
        <v>42750</v>
      </c>
    </row>
    <row r="128" spans="1:5">
      <c r="A128" s="110" t="s">
        <v>1926</v>
      </c>
      <c r="B128" s="110" t="s">
        <v>1147</v>
      </c>
      <c r="C128" s="110">
        <v>1.9390000000000001</v>
      </c>
      <c r="D128" s="112">
        <v>42750</v>
      </c>
    </row>
    <row r="129" spans="1:4">
      <c r="A129" s="110" t="s">
        <v>1925</v>
      </c>
      <c r="B129" s="110" t="s">
        <v>1147</v>
      </c>
      <c r="C129" s="110">
        <v>2.0979999999999999</v>
      </c>
      <c r="D129" s="112">
        <v>42750</v>
      </c>
    </row>
    <row r="130" spans="1:4">
      <c r="A130" s="110" t="s">
        <v>1924</v>
      </c>
      <c r="B130" s="110" t="s">
        <v>1147</v>
      </c>
      <c r="C130" s="110">
        <v>2.093</v>
      </c>
      <c r="D130" s="112">
        <v>42750</v>
      </c>
    </row>
    <row r="131" spans="1:4">
      <c r="A131" s="110" t="s">
        <v>1923</v>
      </c>
      <c r="B131" s="110" t="s">
        <v>1147</v>
      </c>
      <c r="C131" s="110">
        <v>1.9490000000000001</v>
      </c>
      <c r="D131" s="112">
        <v>42750</v>
      </c>
    </row>
    <row r="132" spans="1:4">
      <c r="A132" s="110" t="s">
        <v>1922</v>
      </c>
      <c r="B132" s="110" t="s">
        <v>1147</v>
      </c>
      <c r="C132" s="110">
        <v>2.0219999999999998</v>
      </c>
      <c r="D132" s="112">
        <v>42750</v>
      </c>
    </row>
    <row r="133" spans="1:4">
      <c r="A133" s="110" t="s">
        <v>1921</v>
      </c>
      <c r="B133" s="110" t="s">
        <v>1147</v>
      </c>
      <c r="C133" s="110">
        <v>1.9630000000000001</v>
      </c>
      <c r="D133" s="112">
        <v>42750</v>
      </c>
    </row>
    <row r="134" spans="1:4">
      <c r="A134" s="110" t="s">
        <v>1920</v>
      </c>
      <c r="B134" s="110" t="s">
        <v>1147</v>
      </c>
      <c r="C134" s="110">
        <v>1.976</v>
      </c>
      <c r="D134" s="112">
        <v>42750</v>
      </c>
    </row>
    <row r="135" spans="1:4">
      <c r="A135" s="110" t="s">
        <v>1919</v>
      </c>
      <c r="B135" s="110" t="s">
        <v>1147</v>
      </c>
      <c r="C135" s="110">
        <v>1.9670000000000001</v>
      </c>
      <c r="D135" s="112">
        <v>42750</v>
      </c>
    </row>
    <row r="136" spans="1:4">
      <c r="A136" s="110" t="s">
        <v>1918</v>
      </c>
      <c r="B136" s="110" t="s">
        <v>1147</v>
      </c>
      <c r="C136" s="110">
        <v>2.0590000000000002</v>
      </c>
      <c r="D136" s="112">
        <v>42750</v>
      </c>
    </row>
    <row r="137" spans="1:4">
      <c r="A137" s="110" t="s">
        <v>1917</v>
      </c>
      <c r="B137" s="110" t="s">
        <v>1147</v>
      </c>
      <c r="C137" s="110">
        <v>1.8580000000000001</v>
      </c>
      <c r="D137" s="112">
        <v>42750</v>
      </c>
    </row>
    <row r="138" spans="1:4">
      <c r="A138" s="110" t="s">
        <v>1916</v>
      </c>
      <c r="B138" s="110" t="s">
        <v>1147</v>
      </c>
      <c r="C138" s="110">
        <v>2.0089999999999999</v>
      </c>
      <c r="D138" s="112">
        <v>42750</v>
      </c>
    </row>
    <row r="139" spans="1:4">
      <c r="A139" s="110" t="s">
        <v>1915</v>
      </c>
      <c r="B139" s="110" t="s">
        <v>1147</v>
      </c>
      <c r="C139" s="110">
        <v>2.0049999999999999</v>
      </c>
      <c r="D139" s="112">
        <v>42750</v>
      </c>
    </row>
    <row r="140" spans="1:4">
      <c r="A140" s="110" t="s">
        <v>1914</v>
      </c>
      <c r="B140" s="110" t="s">
        <v>1147</v>
      </c>
      <c r="C140" s="110">
        <v>1.9430000000000001</v>
      </c>
      <c r="D140" s="112">
        <v>42750</v>
      </c>
    </row>
    <row r="141" spans="1:4">
      <c r="A141" s="110" t="s">
        <v>1913</v>
      </c>
      <c r="B141" s="110" t="s">
        <v>1147</v>
      </c>
      <c r="C141" s="110">
        <v>1.9690000000000001</v>
      </c>
      <c r="D141" s="112">
        <v>42750</v>
      </c>
    </row>
    <row r="142" spans="1:4">
      <c r="A142" s="110" t="s">
        <v>1912</v>
      </c>
      <c r="B142" s="110" t="s">
        <v>1147</v>
      </c>
      <c r="C142" s="110">
        <v>1.956</v>
      </c>
      <c r="D142" s="112">
        <v>42750</v>
      </c>
    </row>
    <row r="143" spans="1:4">
      <c r="A143" s="110" t="s">
        <v>1911</v>
      </c>
      <c r="B143" s="110" t="s">
        <v>1147</v>
      </c>
      <c r="C143" s="110">
        <v>2.0059999999999998</v>
      </c>
      <c r="D143" s="112">
        <v>42750</v>
      </c>
    </row>
    <row r="144" spans="1:4">
      <c r="A144" s="110" t="s">
        <v>1910</v>
      </c>
      <c r="B144" s="110" t="s">
        <v>1147</v>
      </c>
      <c r="C144" s="110">
        <v>2.0590000000000002</v>
      </c>
      <c r="D144" s="112">
        <v>42750</v>
      </c>
    </row>
    <row r="145" spans="1:4">
      <c r="A145" s="110" t="s">
        <v>1909</v>
      </c>
      <c r="B145" s="110" t="s">
        <v>1147</v>
      </c>
      <c r="C145" s="110">
        <v>2.0310000000000001</v>
      </c>
      <c r="D145" s="112">
        <v>42750</v>
      </c>
    </row>
    <row r="146" spans="1:4">
      <c r="A146" s="110" t="s">
        <v>1908</v>
      </c>
      <c r="B146" s="110" t="s">
        <v>1147</v>
      </c>
      <c r="C146" s="110">
        <v>2.0590000000000002</v>
      </c>
      <c r="D146" s="112">
        <v>42750</v>
      </c>
    </row>
    <row r="147" spans="1:4">
      <c r="A147" s="110" t="s">
        <v>1907</v>
      </c>
      <c r="B147" s="110" t="s">
        <v>1147</v>
      </c>
      <c r="C147" s="110">
        <v>1.9450000000000001</v>
      </c>
      <c r="D147" s="112">
        <v>42750</v>
      </c>
    </row>
    <row r="148" spans="1:4">
      <c r="A148" s="110" t="s">
        <v>1906</v>
      </c>
      <c r="B148" s="110" t="s">
        <v>1147</v>
      </c>
      <c r="C148" s="110">
        <v>2.0230000000000001</v>
      </c>
      <c r="D148" s="112">
        <v>42750</v>
      </c>
    </row>
    <row r="149" spans="1:4">
      <c r="A149" s="110" t="s">
        <v>1905</v>
      </c>
      <c r="B149" s="110" t="s">
        <v>1147</v>
      </c>
      <c r="C149" s="110">
        <v>2.044</v>
      </c>
      <c r="D149" s="112">
        <v>42750</v>
      </c>
    </row>
    <row r="150" spans="1:4">
      <c r="A150" s="110" t="s">
        <v>1904</v>
      </c>
      <c r="B150" s="110" t="s">
        <v>1147</v>
      </c>
      <c r="C150" s="110">
        <v>2.0529999999999999</v>
      </c>
      <c r="D150" s="112">
        <v>42750</v>
      </c>
    </row>
    <row r="151" spans="1:4">
      <c r="A151" s="110" t="s">
        <v>1903</v>
      </c>
      <c r="B151" s="110" t="s">
        <v>1147</v>
      </c>
      <c r="C151" s="110">
        <v>2.0369999999999999</v>
      </c>
      <c r="D151" s="112">
        <v>42750</v>
      </c>
    </row>
    <row r="152" spans="1:4">
      <c r="A152" s="110" t="s">
        <v>1902</v>
      </c>
      <c r="B152" s="110" t="s">
        <v>1147</v>
      </c>
      <c r="C152" s="110">
        <v>2.0710000000000002</v>
      </c>
      <c r="D152" s="112">
        <v>42750</v>
      </c>
    </row>
    <row r="153" spans="1:4">
      <c r="A153" s="110" t="s">
        <v>1901</v>
      </c>
      <c r="B153" s="110" t="s">
        <v>1147</v>
      </c>
      <c r="C153" s="110">
        <v>2.1789999999999998</v>
      </c>
      <c r="D153" s="112">
        <v>42750</v>
      </c>
    </row>
    <row r="154" spans="1:4">
      <c r="A154" s="110" t="s">
        <v>1900</v>
      </c>
      <c r="B154" s="110" t="s">
        <v>1147</v>
      </c>
      <c r="C154" s="110">
        <v>2.0009999999999999</v>
      </c>
      <c r="D154" s="112">
        <v>42750</v>
      </c>
    </row>
    <row r="155" spans="1:4">
      <c r="A155" s="110" t="s">
        <v>1899</v>
      </c>
      <c r="B155" s="110" t="s">
        <v>1147</v>
      </c>
      <c r="C155" s="110">
        <v>1.9159999999999999</v>
      </c>
      <c r="D155" s="112">
        <v>42750</v>
      </c>
    </row>
    <row r="156" spans="1:4">
      <c r="A156" s="110" t="s">
        <v>1898</v>
      </c>
      <c r="B156" s="110" t="s">
        <v>1147</v>
      </c>
      <c r="C156" s="110">
        <v>2.0489999999999999</v>
      </c>
      <c r="D156" s="112">
        <v>42750</v>
      </c>
    </row>
    <row r="157" spans="1:4">
      <c r="A157" s="110" t="s">
        <v>1897</v>
      </c>
      <c r="B157" s="110" t="s">
        <v>1147</v>
      </c>
      <c r="C157" s="110">
        <v>2.0529999999999999</v>
      </c>
      <c r="D157" s="112">
        <v>42750</v>
      </c>
    </row>
    <row r="158" spans="1:4">
      <c r="A158" s="110" t="s">
        <v>1896</v>
      </c>
      <c r="B158" s="110" t="s">
        <v>1147</v>
      </c>
      <c r="C158" s="110">
        <v>1.9970000000000001</v>
      </c>
      <c r="D158" s="112">
        <v>42750</v>
      </c>
    </row>
    <row r="159" spans="1:4">
      <c r="A159" s="110" t="s">
        <v>1895</v>
      </c>
      <c r="B159" s="110" t="s">
        <v>1147</v>
      </c>
      <c r="C159" s="110">
        <v>2.0379999999999998</v>
      </c>
      <c r="D159" s="112">
        <v>42750</v>
      </c>
    </row>
    <row r="160" spans="1:4">
      <c r="A160" s="110" t="s">
        <v>1894</v>
      </c>
      <c r="B160" s="110" t="s">
        <v>1147</v>
      </c>
      <c r="C160" s="110">
        <v>1.944</v>
      </c>
      <c r="D160" s="112">
        <v>42750</v>
      </c>
    </row>
    <row r="161" spans="1:4">
      <c r="A161" s="110" t="s">
        <v>1893</v>
      </c>
      <c r="B161" s="110" t="s">
        <v>1147</v>
      </c>
      <c r="C161" s="110">
        <v>1.994</v>
      </c>
      <c r="D161" s="112">
        <v>42750</v>
      </c>
    </row>
    <row r="162" spans="1:4">
      <c r="A162" s="110" t="s">
        <v>1892</v>
      </c>
      <c r="B162" s="110" t="s">
        <v>1147</v>
      </c>
      <c r="C162" s="110">
        <v>2.0609999999999999</v>
      </c>
      <c r="D162" s="112">
        <v>42750</v>
      </c>
    </row>
    <row r="163" spans="1:4">
      <c r="A163" s="110" t="s">
        <v>1891</v>
      </c>
      <c r="B163" s="110" t="s">
        <v>1147</v>
      </c>
      <c r="C163" s="110">
        <v>2.1419999999999999</v>
      </c>
      <c r="D163" s="112">
        <v>42750</v>
      </c>
    </row>
    <row r="164" spans="1:4">
      <c r="A164" s="110" t="s">
        <v>1890</v>
      </c>
      <c r="B164" s="110" t="s">
        <v>1147</v>
      </c>
      <c r="C164" s="110">
        <v>2.081</v>
      </c>
      <c r="D164" s="112">
        <v>42750</v>
      </c>
    </row>
    <row r="165" spans="1:4">
      <c r="A165" s="110" t="s">
        <v>1889</v>
      </c>
      <c r="B165" s="110" t="s">
        <v>1147</v>
      </c>
      <c r="C165" s="110">
        <v>2.0979999999999999</v>
      </c>
      <c r="D165" s="112">
        <v>42750</v>
      </c>
    </row>
    <row r="166" spans="1:4">
      <c r="A166" s="110" t="s">
        <v>1888</v>
      </c>
      <c r="B166" s="110" t="s">
        <v>1147</v>
      </c>
      <c r="C166" s="110">
        <v>2.0390000000000001</v>
      </c>
      <c r="D166" s="112">
        <v>42750</v>
      </c>
    </row>
    <row r="167" spans="1:4">
      <c r="A167" s="110" t="s">
        <v>1887</v>
      </c>
      <c r="B167" s="110" t="s">
        <v>1147</v>
      </c>
      <c r="C167" s="110">
        <v>2.04</v>
      </c>
      <c r="D167" s="112">
        <v>42750</v>
      </c>
    </row>
    <row r="168" spans="1:4">
      <c r="A168" s="110" t="s">
        <v>1886</v>
      </c>
      <c r="B168" s="110" t="s">
        <v>1147</v>
      </c>
      <c r="C168" s="110">
        <v>1.994</v>
      </c>
      <c r="D168" s="112">
        <v>42750</v>
      </c>
    </row>
    <row r="169" spans="1:4">
      <c r="A169" s="110" t="s">
        <v>1885</v>
      </c>
      <c r="B169" s="110" t="s">
        <v>1147</v>
      </c>
      <c r="C169" s="110">
        <v>2.0089999999999999</v>
      </c>
      <c r="D169" s="112">
        <v>42750</v>
      </c>
    </row>
    <row r="170" spans="1:4">
      <c r="A170" s="110" t="s">
        <v>1884</v>
      </c>
      <c r="B170" s="110" t="s">
        <v>1147</v>
      </c>
      <c r="C170" s="110">
        <v>2.032</v>
      </c>
      <c r="D170" s="112">
        <v>42750</v>
      </c>
    </row>
    <row r="171" spans="1:4">
      <c r="A171" s="110" t="s">
        <v>1883</v>
      </c>
      <c r="B171" s="110" t="s">
        <v>1147</v>
      </c>
      <c r="C171" s="110">
        <v>1.996</v>
      </c>
      <c r="D171" s="112">
        <v>42750</v>
      </c>
    </row>
    <row r="172" spans="1:4">
      <c r="A172" s="110" t="s">
        <v>1882</v>
      </c>
      <c r="B172" s="110" t="s">
        <v>1147</v>
      </c>
      <c r="C172" s="110">
        <v>2.0499999999999998</v>
      </c>
      <c r="D172" s="112">
        <v>42750</v>
      </c>
    </row>
    <row r="173" spans="1:4">
      <c r="A173" s="110" t="s">
        <v>1881</v>
      </c>
      <c r="B173" s="110" t="s">
        <v>1147</v>
      </c>
      <c r="C173" s="110">
        <v>2.0649999999999999</v>
      </c>
      <c r="D173" s="112">
        <v>42750</v>
      </c>
    </row>
    <row r="174" spans="1:4">
      <c r="A174" s="110" t="s">
        <v>1880</v>
      </c>
      <c r="B174" s="110" t="s">
        <v>1147</v>
      </c>
      <c r="C174" s="110">
        <v>2.0390000000000001</v>
      </c>
      <c r="D174" s="112">
        <v>42750</v>
      </c>
    </row>
    <row r="175" spans="1:4">
      <c r="A175" s="110" t="s">
        <v>1879</v>
      </c>
      <c r="B175" s="110" t="s">
        <v>1147</v>
      </c>
      <c r="C175" s="110">
        <v>1.9239999999999999</v>
      </c>
      <c r="D175" s="112">
        <v>42750</v>
      </c>
    </row>
    <row r="176" spans="1:4">
      <c r="A176" s="110" t="s">
        <v>1878</v>
      </c>
      <c r="B176" s="110" t="s">
        <v>1147</v>
      </c>
      <c r="C176" s="110">
        <v>1.9870000000000001</v>
      </c>
      <c r="D176" s="112">
        <v>42750</v>
      </c>
    </row>
    <row r="177" spans="1:4">
      <c r="A177" s="110" t="s">
        <v>1877</v>
      </c>
      <c r="B177" s="110" t="s">
        <v>1147</v>
      </c>
      <c r="C177" s="110">
        <v>2.1419999999999999</v>
      </c>
      <c r="D177" s="112">
        <v>42750</v>
      </c>
    </row>
    <row r="178" spans="1:4">
      <c r="A178" s="110" t="s">
        <v>1876</v>
      </c>
      <c r="B178" s="110" t="s">
        <v>1147</v>
      </c>
      <c r="C178" s="110">
        <v>2.0649999999999999</v>
      </c>
      <c r="D178" s="112">
        <v>42750</v>
      </c>
    </row>
    <row r="179" spans="1:4">
      <c r="A179" s="110" t="s">
        <v>1875</v>
      </c>
      <c r="B179" s="110" t="s">
        <v>1147</v>
      </c>
      <c r="C179" s="110">
        <v>1.9930000000000001</v>
      </c>
      <c r="D179" s="112">
        <v>42750</v>
      </c>
    </row>
    <row r="180" spans="1:4">
      <c r="A180" s="110" t="s">
        <v>1874</v>
      </c>
      <c r="B180" s="110" t="s">
        <v>1147</v>
      </c>
      <c r="C180" s="110">
        <v>2.0590000000000002</v>
      </c>
      <c r="D180" s="112">
        <v>42750</v>
      </c>
    </row>
    <row r="181" spans="1:4">
      <c r="A181" s="110" t="s">
        <v>1873</v>
      </c>
      <c r="B181" s="110" t="s">
        <v>1147</v>
      </c>
      <c r="C181" s="110">
        <v>2.0190000000000001</v>
      </c>
      <c r="D181" s="112">
        <v>42750</v>
      </c>
    </row>
    <row r="182" spans="1:4">
      <c r="A182" s="110" t="s">
        <v>1872</v>
      </c>
      <c r="B182" s="110" t="s">
        <v>1147</v>
      </c>
      <c r="C182" s="110">
        <v>2.1360000000000001</v>
      </c>
      <c r="D182" s="112">
        <v>42750</v>
      </c>
    </row>
    <row r="183" spans="1:4">
      <c r="A183" s="110" t="s">
        <v>1871</v>
      </c>
      <c r="B183" s="110" t="s">
        <v>1147</v>
      </c>
      <c r="C183" s="110">
        <v>1.9750000000000001</v>
      </c>
      <c r="D183" s="112">
        <v>42750</v>
      </c>
    </row>
    <row r="184" spans="1:4">
      <c r="A184" s="110" t="s">
        <v>1870</v>
      </c>
      <c r="B184" s="110" t="s">
        <v>1147</v>
      </c>
      <c r="C184" s="110">
        <v>1.9810000000000001</v>
      </c>
      <c r="D184" s="112">
        <v>42750</v>
      </c>
    </row>
    <row r="185" spans="1:4">
      <c r="A185" s="110" t="s">
        <v>1869</v>
      </c>
      <c r="B185" s="110" t="s">
        <v>1147</v>
      </c>
      <c r="C185" s="110">
        <v>1.7629999999999999</v>
      </c>
      <c r="D185" s="112">
        <v>42750</v>
      </c>
    </row>
    <row r="186" spans="1:4">
      <c r="A186" s="110" t="s">
        <v>1868</v>
      </c>
      <c r="B186" s="110" t="s">
        <v>1147</v>
      </c>
      <c r="C186" s="110">
        <v>1.8919999999999999</v>
      </c>
      <c r="D186" s="112">
        <v>42750</v>
      </c>
    </row>
    <row r="187" spans="1:4">
      <c r="A187" s="110" t="s">
        <v>1867</v>
      </c>
      <c r="B187" s="110" t="s">
        <v>1147</v>
      </c>
      <c r="C187" s="110">
        <v>1.897</v>
      </c>
      <c r="D187" s="112">
        <v>42750</v>
      </c>
    </row>
    <row r="188" spans="1:4">
      <c r="A188" s="110" t="s">
        <v>1866</v>
      </c>
      <c r="B188" s="110" t="s">
        <v>1147</v>
      </c>
      <c r="C188" s="110">
        <v>1.925</v>
      </c>
      <c r="D188" s="112">
        <v>42750</v>
      </c>
    </row>
    <row r="189" spans="1:4">
      <c r="A189" s="110" t="s">
        <v>1865</v>
      </c>
      <c r="B189" s="110" t="s">
        <v>1147</v>
      </c>
      <c r="C189" s="110">
        <v>2.13</v>
      </c>
      <c r="D189" s="112">
        <v>42750</v>
      </c>
    </row>
    <row r="190" spans="1:4">
      <c r="A190" s="110" t="s">
        <v>1864</v>
      </c>
      <c r="B190" s="110" t="s">
        <v>1147</v>
      </c>
      <c r="C190" s="110">
        <v>2.0419999999999998</v>
      </c>
      <c r="D190" s="112">
        <v>42750</v>
      </c>
    </row>
    <row r="191" spans="1:4">
      <c r="A191" s="110" t="s">
        <v>1863</v>
      </c>
      <c r="B191" s="110" t="s">
        <v>1147</v>
      </c>
      <c r="C191" s="110">
        <v>1.996</v>
      </c>
      <c r="D191" s="112">
        <v>42750</v>
      </c>
    </row>
    <row r="192" spans="1:4">
      <c r="A192" s="110" t="s">
        <v>1862</v>
      </c>
      <c r="B192" s="110" t="s">
        <v>1147</v>
      </c>
      <c r="C192" s="110">
        <v>1.952</v>
      </c>
      <c r="D192" s="112">
        <v>42750</v>
      </c>
    </row>
    <row r="193" spans="1:4">
      <c r="A193" s="110" t="s">
        <v>1861</v>
      </c>
      <c r="B193" s="110" t="s">
        <v>1147</v>
      </c>
      <c r="C193" s="110">
        <v>2.0059999999999998</v>
      </c>
      <c r="D193" s="112">
        <v>42750</v>
      </c>
    </row>
    <row r="194" spans="1:4">
      <c r="A194" s="110" t="s">
        <v>1860</v>
      </c>
      <c r="B194" s="110" t="s">
        <v>1147</v>
      </c>
      <c r="C194" s="110">
        <v>1.909</v>
      </c>
      <c r="D194" s="112">
        <v>42750</v>
      </c>
    </row>
    <row r="195" spans="1:4">
      <c r="A195" s="110" t="s">
        <v>1859</v>
      </c>
      <c r="B195" s="110" t="s">
        <v>1147</v>
      </c>
      <c r="C195" s="110">
        <v>2.0590000000000002</v>
      </c>
      <c r="D195" s="112">
        <v>42750</v>
      </c>
    </row>
    <row r="196" spans="1:4">
      <c r="A196" s="110" t="s">
        <v>1858</v>
      </c>
      <c r="B196" s="110" t="s">
        <v>1147</v>
      </c>
      <c r="C196" s="110">
        <v>2.008</v>
      </c>
      <c r="D196" s="112">
        <v>42750</v>
      </c>
    </row>
    <row r="197" spans="1:4">
      <c r="A197" s="110" t="s">
        <v>1857</v>
      </c>
      <c r="B197" s="110" t="s">
        <v>1147</v>
      </c>
      <c r="C197" s="110">
        <v>2.177</v>
      </c>
      <c r="D197" s="112">
        <v>42750</v>
      </c>
    </row>
    <row r="198" spans="1:4">
      <c r="A198" s="110" t="s">
        <v>1856</v>
      </c>
      <c r="B198" s="110" t="s">
        <v>1147</v>
      </c>
      <c r="C198" s="110">
        <v>2.032</v>
      </c>
      <c r="D198" s="112">
        <v>42750</v>
      </c>
    </row>
    <row r="199" spans="1:4">
      <c r="A199" s="110" t="s">
        <v>1855</v>
      </c>
      <c r="B199" s="110" t="s">
        <v>1147</v>
      </c>
      <c r="C199" s="110">
        <v>2.0619999999999998</v>
      </c>
      <c r="D199" s="112">
        <v>42750</v>
      </c>
    </row>
    <row r="200" spans="1:4">
      <c r="A200" s="110" t="s">
        <v>1854</v>
      </c>
      <c r="B200" s="110" t="s">
        <v>1147</v>
      </c>
      <c r="C200" s="110">
        <v>2.028</v>
      </c>
      <c r="D200" s="112">
        <v>42750</v>
      </c>
    </row>
    <row r="201" spans="1:4">
      <c r="A201" s="110" t="s">
        <v>1853</v>
      </c>
      <c r="B201" s="110" t="s">
        <v>1147</v>
      </c>
      <c r="C201" s="110">
        <v>2.1120000000000001</v>
      </c>
      <c r="D201" s="112">
        <v>42750</v>
      </c>
    </row>
    <row r="202" spans="1:4">
      <c r="A202" s="110" t="s">
        <v>1852</v>
      </c>
      <c r="B202" s="110" t="s">
        <v>1147</v>
      </c>
      <c r="C202" s="110">
        <v>1.931</v>
      </c>
      <c r="D202" s="112">
        <v>42750</v>
      </c>
    </row>
    <row r="203" spans="1:4">
      <c r="A203" s="110" t="s">
        <v>1851</v>
      </c>
      <c r="B203" s="110" t="s">
        <v>1147</v>
      </c>
      <c r="C203" s="110">
        <v>1.9930000000000001</v>
      </c>
      <c r="D203" s="112">
        <v>42750</v>
      </c>
    </row>
    <row r="204" spans="1:4">
      <c r="A204" s="110" t="s">
        <v>1850</v>
      </c>
      <c r="B204" s="110" t="s">
        <v>1147</v>
      </c>
      <c r="C204" s="110">
        <v>2.0150000000000001</v>
      </c>
      <c r="D204" s="112">
        <v>42750</v>
      </c>
    </row>
    <row r="205" spans="1:4">
      <c r="A205" s="110" t="s">
        <v>1849</v>
      </c>
      <c r="B205" s="110" t="s">
        <v>1147</v>
      </c>
      <c r="C205" s="110">
        <v>2.2370000000000001</v>
      </c>
      <c r="D205" s="112">
        <v>42750</v>
      </c>
    </row>
    <row r="206" spans="1:4">
      <c r="A206" s="110" t="s">
        <v>1848</v>
      </c>
      <c r="B206" s="110" t="s">
        <v>1147</v>
      </c>
      <c r="C206" s="110">
        <v>1.986</v>
      </c>
      <c r="D206" s="112">
        <v>42750</v>
      </c>
    </row>
    <row r="207" spans="1:4">
      <c r="A207" s="110" t="s">
        <v>1847</v>
      </c>
      <c r="B207" s="110" t="s">
        <v>1147</v>
      </c>
      <c r="C207" s="110">
        <v>2.9689999999999999</v>
      </c>
      <c r="D207" s="112">
        <v>42750</v>
      </c>
    </row>
    <row r="208" spans="1:4">
      <c r="A208" s="110" t="s">
        <v>1846</v>
      </c>
      <c r="B208" s="110" t="s">
        <v>1147</v>
      </c>
      <c r="C208" s="110">
        <v>2.1970000000000001</v>
      </c>
      <c r="D208" s="112">
        <v>42750</v>
      </c>
    </row>
    <row r="209" spans="1:4">
      <c r="A209" s="110" t="s">
        <v>1845</v>
      </c>
      <c r="B209" s="110" t="s">
        <v>1147</v>
      </c>
      <c r="C209" s="110">
        <v>2.1240000000000001</v>
      </c>
      <c r="D209" s="112">
        <v>42750</v>
      </c>
    </row>
    <row r="210" spans="1:4">
      <c r="A210" s="110" t="s">
        <v>1844</v>
      </c>
      <c r="B210" s="110" t="s">
        <v>1147</v>
      </c>
      <c r="C210" s="110">
        <v>2.0249999999999999</v>
      </c>
      <c r="D210" s="112">
        <v>42750</v>
      </c>
    </row>
    <row r="211" spans="1:4">
      <c r="A211" s="110" t="s">
        <v>1843</v>
      </c>
      <c r="B211" s="110" t="s">
        <v>1147</v>
      </c>
      <c r="C211" s="110">
        <v>2.1539999999999999</v>
      </c>
      <c r="D211" s="112">
        <v>42750</v>
      </c>
    </row>
    <row r="212" spans="1:4">
      <c r="A212" s="110" t="s">
        <v>1842</v>
      </c>
      <c r="B212" s="110" t="s">
        <v>1147</v>
      </c>
      <c r="C212" s="110">
        <v>2.0019999999999998</v>
      </c>
      <c r="D212" s="112">
        <v>42750</v>
      </c>
    </row>
    <row r="213" spans="1:4">
      <c r="A213" s="110" t="s">
        <v>1841</v>
      </c>
      <c r="B213" s="110" t="s">
        <v>1147</v>
      </c>
      <c r="C213" s="110">
        <v>2.1160000000000001</v>
      </c>
      <c r="D213" s="112">
        <v>42750</v>
      </c>
    </row>
    <row r="214" spans="1:4">
      <c r="A214" s="110" t="s">
        <v>1840</v>
      </c>
      <c r="B214" s="110" t="s">
        <v>1147</v>
      </c>
      <c r="C214" s="110">
        <v>1.923</v>
      </c>
      <c r="D214" s="112">
        <v>42750</v>
      </c>
    </row>
    <row r="215" spans="1:4">
      <c r="A215" s="110" t="s">
        <v>1839</v>
      </c>
      <c r="B215" s="110" t="s">
        <v>1147</v>
      </c>
      <c r="C215" s="110">
        <v>2.06</v>
      </c>
      <c r="D215" s="112">
        <v>42750</v>
      </c>
    </row>
    <row r="216" spans="1:4">
      <c r="A216" s="110" t="s">
        <v>1838</v>
      </c>
      <c r="B216" s="110" t="s">
        <v>1147</v>
      </c>
      <c r="C216" s="110">
        <v>1.9570000000000001</v>
      </c>
      <c r="D216" s="112">
        <v>42750</v>
      </c>
    </row>
    <row r="217" spans="1:4">
      <c r="A217" s="110" t="s">
        <v>1837</v>
      </c>
      <c r="B217" s="110" t="s">
        <v>1147</v>
      </c>
      <c r="C217" s="110">
        <v>2.0670000000000002</v>
      </c>
      <c r="D217" s="112">
        <v>42750</v>
      </c>
    </row>
    <row r="218" spans="1:4">
      <c r="A218" s="110" t="s">
        <v>1836</v>
      </c>
      <c r="B218" s="110" t="s">
        <v>1147</v>
      </c>
      <c r="C218" s="110">
        <v>1.9850000000000001</v>
      </c>
      <c r="D218" s="112">
        <v>42750</v>
      </c>
    </row>
    <row r="219" spans="1:4">
      <c r="A219" s="110" t="s">
        <v>1835</v>
      </c>
      <c r="B219" s="110" t="s">
        <v>1147</v>
      </c>
      <c r="C219" s="110">
        <v>2.0579999999999998</v>
      </c>
      <c r="D219" s="112">
        <v>42750</v>
      </c>
    </row>
    <row r="220" spans="1:4">
      <c r="A220" s="110" t="s">
        <v>1834</v>
      </c>
      <c r="B220" s="110" t="s">
        <v>1147</v>
      </c>
      <c r="C220" s="110">
        <v>2.1150000000000002</v>
      </c>
      <c r="D220" s="112">
        <v>42750</v>
      </c>
    </row>
    <row r="221" spans="1:4">
      <c r="A221" s="110" t="s">
        <v>1833</v>
      </c>
      <c r="B221" s="110" t="s">
        <v>1147</v>
      </c>
      <c r="C221" s="110">
        <v>1.944</v>
      </c>
      <c r="D221" s="112">
        <v>42750</v>
      </c>
    </row>
    <row r="222" spans="1:4">
      <c r="A222" s="110" t="s">
        <v>1832</v>
      </c>
      <c r="B222" s="110" t="s">
        <v>1147</v>
      </c>
      <c r="C222" s="110">
        <v>1.96</v>
      </c>
      <c r="D222" s="112">
        <v>42750</v>
      </c>
    </row>
    <row r="223" spans="1:4">
      <c r="A223" s="110" t="s">
        <v>1831</v>
      </c>
      <c r="B223" s="110" t="s">
        <v>1147</v>
      </c>
      <c r="C223" s="110">
        <v>2.0110000000000001</v>
      </c>
      <c r="D223" s="112">
        <v>42750</v>
      </c>
    </row>
    <row r="224" spans="1:4">
      <c r="A224" s="110" t="s">
        <v>1830</v>
      </c>
      <c r="B224" s="110" t="s">
        <v>1147</v>
      </c>
      <c r="C224" s="110">
        <v>2.1179999999999999</v>
      </c>
      <c r="D224" s="112">
        <v>42750</v>
      </c>
    </row>
    <row r="225" spans="1:4">
      <c r="A225" s="110" t="s">
        <v>1829</v>
      </c>
      <c r="B225" s="110" t="s">
        <v>1147</v>
      </c>
      <c r="C225" s="110">
        <v>2.004</v>
      </c>
      <c r="D225" s="112">
        <v>42750</v>
      </c>
    </row>
    <row r="226" spans="1:4">
      <c r="A226" s="110" t="s">
        <v>1828</v>
      </c>
      <c r="B226" s="110" t="s">
        <v>1147</v>
      </c>
      <c r="C226" s="110">
        <v>1.889</v>
      </c>
      <c r="D226" s="112">
        <v>42750</v>
      </c>
    </row>
    <row r="227" spans="1:4">
      <c r="A227" s="110" t="s">
        <v>1827</v>
      </c>
      <c r="B227" s="110" t="s">
        <v>1147</v>
      </c>
      <c r="C227" s="110">
        <v>1.9630000000000001</v>
      </c>
      <c r="D227" s="112">
        <v>42750</v>
      </c>
    </row>
    <row r="228" spans="1:4">
      <c r="A228" s="110" t="s">
        <v>1826</v>
      </c>
      <c r="B228" s="110" t="s">
        <v>1147</v>
      </c>
      <c r="C228" s="110">
        <v>2.0259999999999998</v>
      </c>
      <c r="D228" s="112">
        <v>42750</v>
      </c>
    </row>
    <row r="229" spans="1:4">
      <c r="A229" s="110" t="s">
        <v>1825</v>
      </c>
      <c r="B229" s="110" t="s">
        <v>1147</v>
      </c>
      <c r="C229" s="110">
        <v>2.117</v>
      </c>
      <c r="D229" s="112">
        <v>42750</v>
      </c>
    </row>
    <row r="230" spans="1:4">
      <c r="A230" s="110" t="s">
        <v>1824</v>
      </c>
      <c r="B230" s="110" t="s">
        <v>1147</v>
      </c>
      <c r="C230" s="110">
        <v>1.929</v>
      </c>
      <c r="D230" s="112">
        <v>42750</v>
      </c>
    </row>
    <row r="231" spans="1:4">
      <c r="A231" s="110" t="s">
        <v>1823</v>
      </c>
      <c r="B231" s="110" t="s">
        <v>1147</v>
      </c>
      <c r="C231" s="110">
        <v>1.986</v>
      </c>
      <c r="D231" s="112">
        <v>42750</v>
      </c>
    </row>
    <row r="232" spans="1:4">
      <c r="A232" s="110" t="s">
        <v>1822</v>
      </c>
      <c r="B232" s="110" t="s">
        <v>1147</v>
      </c>
      <c r="C232" s="110">
        <v>1.976</v>
      </c>
      <c r="D232" s="112">
        <v>42750</v>
      </c>
    </row>
    <row r="233" spans="1:4">
      <c r="A233" s="110" t="s">
        <v>1821</v>
      </c>
      <c r="B233" s="110" t="s">
        <v>1147</v>
      </c>
      <c r="C233" s="110">
        <v>2.0699999999999998</v>
      </c>
      <c r="D233" s="112">
        <v>42750</v>
      </c>
    </row>
    <row r="234" spans="1:4">
      <c r="A234" s="110" t="s">
        <v>1820</v>
      </c>
      <c r="B234" s="110" t="s">
        <v>1147</v>
      </c>
      <c r="C234" s="110">
        <v>2.0030000000000001</v>
      </c>
      <c r="D234" s="112">
        <v>42750</v>
      </c>
    </row>
    <row r="235" spans="1:4">
      <c r="A235" s="110" t="s">
        <v>1819</v>
      </c>
      <c r="B235" s="110" t="s">
        <v>1147</v>
      </c>
      <c r="C235" s="110">
        <v>2.085</v>
      </c>
      <c r="D235" s="112">
        <v>42750</v>
      </c>
    </row>
    <row r="236" spans="1:4">
      <c r="A236" s="110" t="s">
        <v>1818</v>
      </c>
      <c r="B236" s="110" t="s">
        <v>1147</v>
      </c>
      <c r="C236" s="110">
        <v>2.04</v>
      </c>
      <c r="D236" s="112">
        <v>42750</v>
      </c>
    </row>
    <row r="237" spans="1:4">
      <c r="A237" s="110" t="s">
        <v>1817</v>
      </c>
      <c r="B237" s="110" t="s">
        <v>1147</v>
      </c>
      <c r="C237" s="110">
        <v>1.9490000000000001</v>
      </c>
      <c r="D237" s="112">
        <v>42750</v>
      </c>
    </row>
    <row r="238" spans="1:4">
      <c r="A238" s="110" t="s">
        <v>1816</v>
      </c>
      <c r="B238" s="110" t="s">
        <v>1147</v>
      </c>
      <c r="C238" s="110">
        <v>2.13</v>
      </c>
      <c r="D238" s="112">
        <v>42750</v>
      </c>
    </row>
    <row r="239" spans="1:4">
      <c r="A239" s="110" t="s">
        <v>1815</v>
      </c>
      <c r="B239" s="110" t="s">
        <v>1147</v>
      </c>
      <c r="C239" s="110">
        <v>1.9259999999999999</v>
      </c>
      <c r="D239" s="112">
        <v>42750</v>
      </c>
    </row>
    <row r="240" spans="1:4">
      <c r="A240" s="110" t="s">
        <v>1814</v>
      </c>
      <c r="B240" s="110" t="s">
        <v>1147</v>
      </c>
      <c r="C240" s="110">
        <v>2.0529999999999999</v>
      </c>
      <c r="D240" s="112">
        <v>42750</v>
      </c>
    </row>
    <row r="241" spans="1:4">
      <c r="A241" s="110" t="s">
        <v>1813</v>
      </c>
      <c r="B241" s="110" t="s">
        <v>1147</v>
      </c>
      <c r="C241" s="110">
        <v>1.988</v>
      </c>
      <c r="D241" s="112">
        <v>42750</v>
      </c>
    </row>
    <row r="242" spans="1:4">
      <c r="A242" s="110" t="s">
        <v>1812</v>
      </c>
      <c r="B242" s="110" t="s">
        <v>1147</v>
      </c>
      <c r="C242" s="110">
        <v>2.1160000000000001</v>
      </c>
      <c r="D242" s="112">
        <v>42750</v>
      </c>
    </row>
    <row r="243" spans="1:4">
      <c r="A243" s="110" t="s">
        <v>1811</v>
      </c>
      <c r="B243" s="110" t="s">
        <v>1147</v>
      </c>
      <c r="C243" s="110">
        <v>2.1019999999999999</v>
      </c>
      <c r="D243" s="112">
        <v>42750</v>
      </c>
    </row>
    <row r="244" spans="1:4">
      <c r="A244" s="110" t="s">
        <v>1810</v>
      </c>
      <c r="B244" s="110" t="s">
        <v>1147</v>
      </c>
      <c r="C244" s="110">
        <v>2.117</v>
      </c>
      <c r="D244" s="112">
        <v>42750</v>
      </c>
    </row>
    <row r="245" spans="1:4">
      <c r="A245" s="110" t="s">
        <v>1809</v>
      </c>
      <c r="B245" s="110" t="s">
        <v>1147</v>
      </c>
      <c r="C245" s="110">
        <v>2.0179999999999998</v>
      </c>
      <c r="D245" s="112">
        <v>42751</v>
      </c>
    </row>
    <row r="246" spans="1:4">
      <c r="A246" s="110" t="s">
        <v>1808</v>
      </c>
      <c r="B246" s="110" t="s">
        <v>1147</v>
      </c>
      <c r="C246" s="110">
        <v>1.9470000000000001</v>
      </c>
      <c r="D246" s="112">
        <v>42751</v>
      </c>
    </row>
    <row r="247" spans="1:4">
      <c r="A247" s="110" t="s">
        <v>1807</v>
      </c>
      <c r="B247" s="110" t="s">
        <v>1147</v>
      </c>
      <c r="C247" s="110">
        <v>2.13</v>
      </c>
      <c r="D247" s="112">
        <v>42751</v>
      </c>
    </row>
    <row r="248" spans="1:4">
      <c r="A248" s="110" t="s">
        <v>1806</v>
      </c>
      <c r="B248" s="110" t="s">
        <v>1147</v>
      </c>
      <c r="C248" s="110">
        <v>2.04</v>
      </c>
      <c r="D248" s="112">
        <v>42751</v>
      </c>
    </row>
    <row r="249" spans="1:4">
      <c r="A249" s="110" t="s">
        <v>1805</v>
      </c>
      <c r="B249" s="110" t="s">
        <v>1147</v>
      </c>
      <c r="C249" s="110">
        <v>2.0150000000000001</v>
      </c>
      <c r="D249" s="112">
        <v>42751</v>
      </c>
    </row>
    <row r="250" spans="1:4">
      <c r="A250" s="110" t="s">
        <v>1804</v>
      </c>
      <c r="B250" s="110" t="s">
        <v>1147</v>
      </c>
      <c r="C250" s="110">
        <v>2.1829999999999998</v>
      </c>
      <c r="D250" s="112">
        <v>42751</v>
      </c>
    </row>
    <row r="251" spans="1:4">
      <c r="A251" s="110" t="s">
        <v>1803</v>
      </c>
      <c r="B251" s="110" t="s">
        <v>1147</v>
      </c>
      <c r="C251" s="110">
        <v>2.13</v>
      </c>
      <c r="D251" s="112">
        <v>42751</v>
      </c>
    </row>
    <row r="252" spans="1:4">
      <c r="A252" s="110" t="s">
        <v>1802</v>
      </c>
      <c r="B252" s="110" t="s">
        <v>1147</v>
      </c>
      <c r="C252" s="110">
        <v>1.9950000000000001</v>
      </c>
      <c r="D252" s="112">
        <v>42751</v>
      </c>
    </row>
    <row r="253" spans="1:4">
      <c r="A253" s="110" t="s">
        <v>1801</v>
      </c>
      <c r="B253" s="110" t="s">
        <v>1147</v>
      </c>
      <c r="C253" s="110">
        <v>2.0219999999999998</v>
      </c>
      <c r="D253" s="112">
        <v>42751</v>
      </c>
    </row>
    <row r="254" spans="1:4">
      <c r="A254" s="110" t="s">
        <v>1800</v>
      </c>
      <c r="B254" s="110" t="s">
        <v>1147</v>
      </c>
      <c r="C254" s="110">
        <v>2.0139999999999998</v>
      </c>
      <c r="D254" s="112">
        <v>42751</v>
      </c>
    </row>
    <row r="255" spans="1:4">
      <c r="A255" s="110" t="s">
        <v>1799</v>
      </c>
      <c r="B255" s="110" t="s">
        <v>1147</v>
      </c>
      <c r="C255" s="110">
        <v>2.0539999999999998</v>
      </c>
      <c r="D255" s="112">
        <v>42751</v>
      </c>
    </row>
    <row r="256" spans="1:4">
      <c r="A256" s="110" t="s">
        <v>1798</v>
      </c>
      <c r="B256" s="110" t="s">
        <v>1147</v>
      </c>
      <c r="C256" s="110">
        <v>2.0190000000000001</v>
      </c>
      <c r="D256" s="112">
        <v>42751</v>
      </c>
    </row>
    <row r="257" spans="1:4">
      <c r="A257" s="110" t="s">
        <v>1797</v>
      </c>
      <c r="B257" s="110" t="s">
        <v>1147</v>
      </c>
      <c r="C257" s="110">
        <v>2.0169999999999999</v>
      </c>
      <c r="D257" s="112">
        <v>42751</v>
      </c>
    </row>
    <row r="258" spans="1:4">
      <c r="A258" s="110" t="s">
        <v>1796</v>
      </c>
      <c r="B258" s="110" t="s">
        <v>1147</v>
      </c>
      <c r="C258" s="110">
        <v>1.917</v>
      </c>
      <c r="D258" s="112">
        <v>42751</v>
      </c>
    </row>
    <row r="259" spans="1:4">
      <c r="A259" s="110" t="s">
        <v>1795</v>
      </c>
      <c r="B259" s="110" t="s">
        <v>1147</v>
      </c>
      <c r="C259" s="110">
        <v>2.0310000000000001</v>
      </c>
      <c r="D259" s="112">
        <v>42751</v>
      </c>
    </row>
    <row r="260" spans="1:4">
      <c r="A260" s="110" t="s">
        <v>1794</v>
      </c>
      <c r="B260" s="110" t="s">
        <v>1147</v>
      </c>
      <c r="C260" s="110">
        <v>2.11</v>
      </c>
      <c r="D260" s="112">
        <v>42751</v>
      </c>
    </row>
    <row r="261" spans="1:4">
      <c r="A261" s="110" t="s">
        <v>1793</v>
      </c>
      <c r="B261" s="110" t="s">
        <v>1147</v>
      </c>
      <c r="C261" s="110">
        <v>1.9319999999999999</v>
      </c>
      <c r="D261" s="112">
        <v>42751</v>
      </c>
    </row>
    <row r="262" spans="1:4">
      <c r="A262" s="110" t="s">
        <v>1792</v>
      </c>
      <c r="B262" s="110" t="s">
        <v>1147</v>
      </c>
      <c r="C262" s="110">
        <v>2.1280000000000001</v>
      </c>
      <c r="D262" s="112">
        <v>42751</v>
      </c>
    </row>
    <row r="263" spans="1:4">
      <c r="A263" s="110" t="s">
        <v>1791</v>
      </c>
      <c r="B263" s="110" t="s">
        <v>1147</v>
      </c>
      <c r="C263" s="110">
        <v>1.913</v>
      </c>
      <c r="D263" s="112">
        <v>42751</v>
      </c>
    </row>
    <row r="264" spans="1:4">
      <c r="A264" s="110" t="s">
        <v>1790</v>
      </c>
      <c r="B264" s="110" t="s">
        <v>1147</v>
      </c>
      <c r="C264" s="110">
        <v>2.1560000000000001</v>
      </c>
      <c r="D264" s="112">
        <v>42751</v>
      </c>
    </row>
    <row r="265" spans="1:4">
      <c r="A265" s="110" t="s">
        <v>1789</v>
      </c>
      <c r="B265" s="110" t="s">
        <v>1147</v>
      </c>
      <c r="C265" s="110">
        <v>1.9850000000000001</v>
      </c>
      <c r="D265" s="112">
        <v>42751</v>
      </c>
    </row>
    <row r="266" spans="1:4">
      <c r="A266" s="110" t="s">
        <v>1788</v>
      </c>
      <c r="B266" s="110" t="s">
        <v>1147</v>
      </c>
      <c r="C266" s="110">
        <v>2.012</v>
      </c>
      <c r="D266" s="112">
        <v>42751</v>
      </c>
    </row>
    <row r="267" spans="1:4">
      <c r="A267" s="110" t="s">
        <v>1787</v>
      </c>
      <c r="B267" s="110" t="s">
        <v>1147</v>
      </c>
      <c r="C267" s="110">
        <v>2.0960000000000001</v>
      </c>
      <c r="D267" s="112">
        <v>42751</v>
      </c>
    </row>
    <row r="268" spans="1:4">
      <c r="A268" s="110" t="s">
        <v>1786</v>
      </c>
      <c r="B268" s="110" t="s">
        <v>1147</v>
      </c>
      <c r="C268" s="110">
        <v>2.1070000000000002</v>
      </c>
      <c r="D268" s="112">
        <v>42751</v>
      </c>
    </row>
    <row r="269" spans="1:4">
      <c r="A269" s="110" t="s">
        <v>1785</v>
      </c>
      <c r="B269" s="110" t="s">
        <v>1147</v>
      </c>
      <c r="C269" s="110">
        <v>1.9790000000000001</v>
      </c>
      <c r="D269" s="112">
        <v>42751</v>
      </c>
    </row>
    <row r="270" spans="1:4">
      <c r="A270" s="110" t="s">
        <v>1784</v>
      </c>
      <c r="B270" s="110" t="s">
        <v>1147</v>
      </c>
      <c r="C270" s="110">
        <v>1.9570000000000001</v>
      </c>
      <c r="D270" s="112">
        <v>42751</v>
      </c>
    </row>
    <row r="271" spans="1:4">
      <c r="A271" s="110" t="s">
        <v>1783</v>
      </c>
      <c r="B271" s="110" t="s">
        <v>1147</v>
      </c>
      <c r="C271" s="110">
        <v>2.069</v>
      </c>
      <c r="D271" s="112">
        <v>42751</v>
      </c>
    </row>
    <row r="272" spans="1:4">
      <c r="A272" s="110" t="s">
        <v>1782</v>
      </c>
      <c r="B272" s="110" t="s">
        <v>1147</v>
      </c>
      <c r="C272" s="110">
        <v>2.1389999999999998</v>
      </c>
      <c r="D272" s="112">
        <v>42751</v>
      </c>
    </row>
    <row r="273" spans="1:4">
      <c r="A273" s="110" t="s">
        <v>1781</v>
      </c>
      <c r="B273" s="110" t="s">
        <v>1147</v>
      </c>
      <c r="C273" s="110">
        <v>2.0419999999999998</v>
      </c>
      <c r="D273" s="112">
        <v>42751</v>
      </c>
    </row>
    <row r="274" spans="1:4">
      <c r="A274" s="110" t="s">
        <v>1780</v>
      </c>
      <c r="B274" s="110" t="s">
        <v>1147</v>
      </c>
      <c r="C274" s="110">
        <v>2.0139999999999998</v>
      </c>
      <c r="D274" s="112">
        <v>42751</v>
      </c>
    </row>
    <row r="275" spans="1:4">
      <c r="A275" s="110" t="s">
        <v>1779</v>
      </c>
      <c r="B275" s="110" t="s">
        <v>1147</v>
      </c>
      <c r="C275" s="110">
        <v>2.0950000000000002</v>
      </c>
      <c r="D275" s="112">
        <v>42751</v>
      </c>
    </row>
    <row r="276" spans="1:4">
      <c r="A276" s="110" t="s">
        <v>1778</v>
      </c>
      <c r="B276" s="110" t="s">
        <v>1147</v>
      </c>
      <c r="C276" s="110">
        <v>2.0649999999999999</v>
      </c>
      <c r="D276" s="112">
        <v>42751</v>
      </c>
    </row>
    <row r="277" spans="1:4">
      <c r="A277" s="110" t="s">
        <v>1777</v>
      </c>
      <c r="B277" s="110" t="s">
        <v>1147</v>
      </c>
      <c r="C277" s="110">
        <v>2.073</v>
      </c>
      <c r="D277" s="112">
        <v>42751</v>
      </c>
    </row>
    <row r="278" spans="1:4">
      <c r="A278" s="110" t="s">
        <v>1776</v>
      </c>
      <c r="B278" s="110" t="s">
        <v>1147</v>
      </c>
      <c r="C278" s="110">
        <v>2.12</v>
      </c>
      <c r="D278" s="112">
        <v>42751</v>
      </c>
    </row>
    <row r="279" spans="1:4">
      <c r="A279" s="110" t="s">
        <v>1775</v>
      </c>
      <c r="B279" s="110" t="s">
        <v>1147</v>
      </c>
      <c r="C279" s="110">
        <v>2.097</v>
      </c>
      <c r="D279" s="112">
        <v>42751</v>
      </c>
    </row>
    <row r="280" spans="1:4">
      <c r="A280" s="110" t="s">
        <v>1774</v>
      </c>
      <c r="B280" s="110" t="s">
        <v>1147</v>
      </c>
      <c r="C280" s="110">
        <v>1.966</v>
      </c>
      <c r="D280" s="112">
        <v>42751</v>
      </c>
    </row>
    <row r="281" spans="1:4">
      <c r="A281" s="110" t="s">
        <v>1773</v>
      </c>
      <c r="B281" s="110" t="s">
        <v>1147</v>
      </c>
      <c r="C281" s="110">
        <v>1.93</v>
      </c>
      <c r="D281" s="112">
        <v>42751</v>
      </c>
    </row>
    <row r="282" spans="1:4">
      <c r="A282" s="110" t="s">
        <v>1772</v>
      </c>
      <c r="B282" s="110" t="s">
        <v>1147</v>
      </c>
      <c r="C282" s="110">
        <v>2.0049999999999999</v>
      </c>
      <c r="D282" s="112">
        <v>42751</v>
      </c>
    </row>
    <row r="283" spans="1:4">
      <c r="A283" s="110" t="s">
        <v>1771</v>
      </c>
      <c r="B283" s="110" t="s">
        <v>1147</v>
      </c>
      <c r="C283" s="110">
        <v>2.0369999999999999</v>
      </c>
      <c r="D283" s="112">
        <v>42751</v>
      </c>
    </row>
    <row r="284" spans="1:4">
      <c r="A284" s="110" t="s">
        <v>1770</v>
      </c>
      <c r="B284" s="110" t="s">
        <v>1147</v>
      </c>
      <c r="C284" s="110">
        <v>1.9450000000000001</v>
      </c>
      <c r="D284" s="112">
        <v>42751</v>
      </c>
    </row>
    <row r="285" spans="1:4">
      <c r="A285" s="110" t="s">
        <v>1769</v>
      </c>
      <c r="B285" s="110" t="s">
        <v>1147</v>
      </c>
      <c r="C285" s="110">
        <v>2.0419999999999998</v>
      </c>
      <c r="D285" s="112">
        <v>42751</v>
      </c>
    </row>
    <row r="286" spans="1:4">
      <c r="A286" s="110" t="s">
        <v>1768</v>
      </c>
      <c r="B286" s="110" t="s">
        <v>1147</v>
      </c>
      <c r="C286" s="110">
        <v>1.9730000000000001</v>
      </c>
      <c r="D286" s="112">
        <v>42751</v>
      </c>
    </row>
    <row r="287" spans="1:4">
      <c r="A287" s="110" t="s">
        <v>1767</v>
      </c>
      <c r="B287" s="110" t="s">
        <v>1147</v>
      </c>
      <c r="C287" s="110">
        <v>1.8660000000000001</v>
      </c>
      <c r="D287" s="112">
        <v>42751</v>
      </c>
    </row>
    <row r="288" spans="1:4">
      <c r="A288" s="110" t="s">
        <v>1766</v>
      </c>
      <c r="B288" s="110" t="s">
        <v>1147</v>
      </c>
      <c r="C288" s="110">
        <v>2.0760000000000001</v>
      </c>
      <c r="D288" s="112">
        <v>42751</v>
      </c>
    </row>
    <row r="289" spans="1:4">
      <c r="A289" s="110" t="s">
        <v>1765</v>
      </c>
      <c r="B289" s="110" t="s">
        <v>1147</v>
      </c>
      <c r="C289" s="110">
        <v>2.1240000000000001</v>
      </c>
      <c r="D289" s="112">
        <v>42751</v>
      </c>
    </row>
    <row r="290" spans="1:4">
      <c r="A290" s="110" t="s">
        <v>1764</v>
      </c>
      <c r="B290" s="110" t="s">
        <v>1147</v>
      </c>
      <c r="C290" s="110">
        <v>2.0710000000000002</v>
      </c>
      <c r="D290" s="112">
        <v>42751</v>
      </c>
    </row>
    <row r="291" spans="1:4">
      <c r="A291" s="110" t="s">
        <v>1763</v>
      </c>
      <c r="B291" s="110" t="s">
        <v>1147</v>
      </c>
      <c r="C291" s="110">
        <v>1.9970000000000001</v>
      </c>
      <c r="D291" s="112">
        <v>42751</v>
      </c>
    </row>
    <row r="292" spans="1:4">
      <c r="A292" s="110" t="s">
        <v>1762</v>
      </c>
      <c r="B292" s="110" t="s">
        <v>1147</v>
      </c>
      <c r="C292" s="110">
        <v>1.9830000000000001</v>
      </c>
      <c r="D292" s="112">
        <v>42751</v>
      </c>
    </row>
    <row r="293" spans="1:4">
      <c r="A293" s="110" t="s">
        <v>1761</v>
      </c>
      <c r="B293" s="110" t="s">
        <v>1147</v>
      </c>
      <c r="C293" s="110">
        <v>2.093</v>
      </c>
      <c r="D293" s="112">
        <v>42751</v>
      </c>
    </row>
    <row r="294" spans="1:4">
      <c r="A294" s="110" t="s">
        <v>1760</v>
      </c>
      <c r="B294" s="110" t="s">
        <v>1147</v>
      </c>
      <c r="C294" s="110">
        <v>2.0539999999999998</v>
      </c>
      <c r="D294" s="112">
        <v>42751</v>
      </c>
    </row>
    <row r="295" spans="1:4">
      <c r="A295" s="110" t="s">
        <v>1759</v>
      </c>
      <c r="B295" s="110" t="s">
        <v>1147</v>
      </c>
      <c r="C295" s="110">
        <v>2.0880000000000001</v>
      </c>
      <c r="D295" s="112">
        <v>42751</v>
      </c>
    </row>
    <row r="296" spans="1:4">
      <c r="A296" s="110" t="s">
        <v>1758</v>
      </c>
      <c r="B296" s="110" t="s">
        <v>1147</v>
      </c>
      <c r="C296" s="110">
        <v>2.0289999999999999</v>
      </c>
      <c r="D296" s="112">
        <v>42751</v>
      </c>
    </row>
    <row r="297" spans="1:4">
      <c r="A297" s="110" t="s">
        <v>1757</v>
      </c>
      <c r="B297" s="110" t="s">
        <v>1147</v>
      </c>
      <c r="C297" s="110">
        <v>2.0699999999999998</v>
      </c>
      <c r="D297" s="112">
        <v>42751</v>
      </c>
    </row>
    <row r="298" spans="1:4">
      <c r="A298" s="110" t="s">
        <v>1756</v>
      </c>
      <c r="B298" s="110" t="s">
        <v>1147</v>
      </c>
      <c r="C298" s="110">
        <v>1.994</v>
      </c>
      <c r="D298" s="112">
        <v>42751</v>
      </c>
    </row>
    <row r="299" spans="1:4">
      <c r="A299" s="110" t="s">
        <v>1755</v>
      </c>
      <c r="B299" s="110" t="s">
        <v>1147</v>
      </c>
      <c r="C299" s="110">
        <v>2.0379999999999998</v>
      </c>
      <c r="D299" s="112">
        <v>42751</v>
      </c>
    </row>
    <row r="300" spans="1:4">
      <c r="A300" s="110" t="s">
        <v>1754</v>
      </c>
      <c r="B300" s="110" t="s">
        <v>1147</v>
      </c>
      <c r="C300" s="110">
        <v>2.0539999999999998</v>
      </c>
      <c r="D300" s="112">
        <v>42751</v>
      </c>
    </row>
    <row r="301" spans="1:4">
      <c r="A301" s="110" t="s">
        <v>1753</v>
      </c>
      <c r="B301" s="110" t="s">
        <v>1147</v>
      </c>
      <c r="C301" s="110">
        <v>1.9419999999999999</v>
      </c>
      <c r="D301" s="112">
        <v>42751</v>
      </c>
    </row>
    <row r="302" spans="1:4">
      <c r="A302" s="110" t="s">
        <v>1752</v>
      </c>
      <c r="B302" s="110" t="s">
        <v>1147</v>
      </c>
      <c r="C302" s="110">
        <v>2.0550000000000002</v>
      </c>
      <c r="D302" s="112">
        <v>42751</v>
      </c>
    </row>
    <row r="303" spans="1:4">
      <c r="A303" s="110" t="s">
        <v>1751</v>
      </c>
      <c r="B303" s="110" t="s">
        <v>1147</v>
      </c>
      <c r="C303" s="110">
        <v>2.0110000000000001</v>
      </c>
      <c r="D303" s="112">
        <v>42751</v>
      </c>
    </row>
    <row r="304" spans="1:4">
      <c r="A304" s="110" t="s">
        <v>1750</v>
      </c>
      <c r="B304" s="110" t="s">
        <v>1147</v>
      </c>
      <c r="C304" s="110">
        <v>2.052</v>
      </c>
      <c r="D304" s="112">
        <v>42751</v>
      </c>
    </row>
    <row r="305" spans="1:4">
      <c r="A305" s="110" t="s">
        <v>1749</v>
      </c>
      <c r="B305" s="110" t="s">
        <v>1147</v>
      </c>
      <c r="C305" s="110">
        <v>1.9379999999999999</v>
      </c>
      <c r="D305" s="112">
        <v>42751</v>
      </c>
    </row>
    <row r="306" spans="1:4">
      <c r="A306" s="110" t="s">
        <v>1748</v>
      </c>
      <c r="B306" s="110" t="s">
        <v>1147</v>
      </c>
      <c r="C306" s="110">
        <v>0.93100000000000005</v>
      </c>
      <c r="D306" s="112">
        <v>42751</v>
      </c>
    </row>
    <row r="307" spans="1:4">
      <c r="A307" s="110" t="s">
        <v>1747</v>
      </c>
      <c r="B307" s="110" t="s">
        <v>1147</v>
      </c>
      <c r="C307" s="110">
        <v>1.9850000000000001</v>
      </c>
      <c r="D307" s="112">
        <v>42751</v>
      </c>
    </row>
    <row r="308" spans="1:4">
      <c r="A308" s="110" t="s">
        <v>1746</v>
      </c>
      <c r="B308" s="110" t="s">
        <v>1147</v>
      </c>
      <c r="C308" s="110">
        <v>1.9490000000000001</v>
      </c>
      <c r="D308" s="112">
        <v>42751</v>
      </c>
    </row>
    <row r="309" spans="1:4">
      <c r="A309" s="110" t="s">
        <v>1745</v>
      </c>
      <c r="B309" s="110" t="s">
        <v>1147</v>
      </c>
      <c r="C309" s="110">
        <v>2.0960000000000001</v>
      </c>
      <c r="D309" s="112">
        <v>42751</v>
      </c>
    </row>
    <row r="310" spans="1:4">
      <c r="A310" s="110" t="s">
        <v>1744</v>
      </c>
      <c r="B310" s="110" t="s">
        <v>1147</v>
      </c>
      <c r="C310" s="110">
        <v>2.048</v>
      </c>
      <c r="D310" s="112">
        <v>42751</v>
      </c>
    </row>
    <row r="311" spans="1:4">
      <c r="A311" s="110" t="s">
        <v>1743</v>
      </c>
      <c r="B311" s="110" t="s">
        <v>1147</v>
      </c>
      <c r="C311" s="110">
        <v>1.9810000000000001</v>
      </c>
      <c r="D311" s="112">
        <v>42751</v>
      </c>
    </row>
    <row r="312" spans="1:4">
      <c r="A312" s="110" t="s">
        <v>1742</v>
      </c>
      <c r="B312" s="110" t="s">
        <v>1147</v>
      </c>
      <c r="C312" s="110">
        <v>1.982</v>
      </c>
      <c r="D312" s="112">
        <v>42751</v>
      </c>
    </row>
    <row r="313" spans="1:4">
      <c r="A313" s="110" t="s">
        <v>1741</v>
      </c>
      <c r="B313" s="110" t="s">
        <v>1147</v>
      </c>
      <c r="C313" s="110">
        <v>2.0579999999999998</v>
      </c>
      <c r="D313" s="112">
        <v>42751</v>
      </c>
    </row>
    <row r="314" spans="1:4">
      <c r="A314" s="110" t="s">
        <v>1740</v>
      </c>
      <c r="B314" s="110" t="s">
        <v>1147</v>
      </c>
      <c r="C314" s="110">
        <v>2.0459999999999998</v>
      </c>
      <c r="D314" s="112">
        <v>42751</v>
      </c>
    </row>
    <row r="315" spans="1:4">
      <c r="A315" s="110" t="s">
        <v>1739</v>
      </c>
      <c r="B315" s="110" t="s">
        <v>1147</v>
      </c>
      <c r="C315" s="110">
        <v>1.98</v>
      </c>
      <c r="D315" s="112">
        <v>42751</v>
      </c>
    </row>
    <row r="316" spans="1:4">
      <c r="A316" s="110" t="s">
        <v>1738</v>
      </c>
      <c r="B316" s="110" t="s">
        <v>1147</v>
      </c>
      <c r="C316" s="110">
        <v>2.0179999999999998</v>
      </c>
      <c r="D316" s="112">
        <v>42751</v>
      </c>
    </row>
    <row r="317" spans="1:4">
      <c r="A317" s="110" t="s">
        <v>1737</v>
      </c>
      <c r="B317" s="110" t="s">
        <v>1147</v>
      </c>
      <c r="C317" s="110">
        <v>1.923</v>
      </c>
      <c r="D317" s="112">
        <v>42751</v>
      </c>
    </row>
    <row r="318" spans="1:4">
      <c r="A318" s="110" t="s">
        <v>1736</v>
      </c>
      <c r="B318" s="110" t="s">
        <v>1147</v>
      </c>
      <c r="C318" s="110">
        <v>2.0430000000000001</v>
      </c>
      <c r="D318" s="112">
        <v>42751</v>
      </c>
    </row>
    <row r="319" spans="1:4">
      <c r="A319" s="110" t="s">
        <v>1735</v>
      </c>
      <c r="B319" s="110" t="s">
        <v>1147</v>
      </c>
      <c r="C319" s="110">
        <v>2.0960000000000001</v>
      </c>
      <c r="D319" s="112">
        <v>42751</v>
      </c>
    </row>
    <row r="320" spans="1:4">
      <c r="A320" s="110" t="s">
        <v>1734</v>
      </c>
      <c r="B320" s="110" t="s">
        <v>1147</v>
      </c>
      <c r="C320" s="110">
        <v>2.0579999999999998</v>
      </c>
      <c r="D320" s="112">
        <v>42751</v>
      </c>
    </row>
    <row r="321" spans="1:4">
      <c r="A321" s="110" t="s">
        <v>1733</v>
      </c>
      <c r="B321" s="110" t="s">
        <v>1147</v>
      </c>
      <c r="C321" s="110">
        <v>2.073</v>
      </c>
      <c r="D321" s="112">
        <v>42751</v>
      </c>
    </row>
    <row r="322" spans="1:4">
      <c r="A322" s="110" t="s">
        <v>1732</v>
      </c>
      <c r="B322" s="110" t="s">
        <v>1147</v>
      </c>
      <c r="C322" s="110">
        <v>1.929</v>
      </c>
      <c r="D322" s="112">
        <v>42751</v>
      </c>
    </row>
    <row r="323" spans="1:4">
      <c r="A323" s="110" t="s">
        <v>1731</v>
      </c>
      <c r="B323" s="110" t="s">
        <v>1147</v>
      </c>
      <c r="C323" s="110">
        <v>2.012</v>
      </c>
      <c r="D323" s="112">
        <v>42751</v>
      </c>
    </row>
    <row r="324" spans="1:4">
      <c r="A324" s="110" t="s">
        <v>1730</v>
      </c>
      <c r="B324" s="110" t="s">
        <v>1147</v>
      </c>
      <c r="C324" s="110">
        <v>2.044</v>
      </c>
      <c r="D324" s="112">
        <v>42751</v>
      </c>
    </row>
    <row r="325" spans="1:4">
      <c r="A325" s="110" t="s">
        <v>1729</v>
      </c>
      <c r="B325" s="110" t="s">
        <v>1147</v>
      </c>
      <c r="C325" s="110">
        <v>1.9179999999999999</v>
      </c>
      <c r="D325" s="112">
        <v>42751</v>
      </c>
    </row>
    <row r="326" spans="1:4">
      <c r="A326" s="110" t="s">
        <v>1728</v>
      </c>
      <c r="B326" s="110" t="s">
        <v>1147</v>
      </c>
      <c r="C326" s="110">
        <v>2.0169999999999999</v>
      </c>
      <c r="D326" s="112">
        <v>42751</v>
      </c>
    </row>
    <row r="327" spans="1:4">
      <c r="A327" s="110" t="s">
        <v>1727</v>
      </c>
      <c r="B327" s="110" t="s">
        <v>1147</v>
      </c>
      <c r="C327" s="110">
        <v>1.97</v>
      </c>
      <c r="D327" s="112">
        <v>42751</v>
      </c>
    </row>
    <row r="328" spans="1:4">
      <c r="A328" s="110" t="s">
        <v>1726</v>
      </c>
      <c r="B328" s="110" t="s">
        <v>1147</v>
      </c>
      <c r="C328" s="110">
        <v>2.0430000000000001</v>
      </c>
      <c r="D328" s="112">
        <v>42751</v>
      </c>
    </row>
    <row r="329" spans="1:4">
      <c r="A329" s="110" t="s">
        <v>1725</v>
      </c>
      <c r="B329" s="110" t="s">
        <v>1147</v>
      </c>
      <c r="C329" s="110">
        <v>1.8959999999999999</v>
      </c>
      <c r="D329" s="112">
        <v>42751</v>
      </c>
    </row>
    <row r="330" spans="1:4">
      <c r="A330" s="110" t="s">
        <v>1724</v>
      </c>
      <c r="B330" s="110" t="s">
        <v>1147</v>
      </c>
      <c r="C330" s="110">
        <v>2.04</v>
      </c>
      <c r="D330" s="112">
        <v>42751</v>
      </c>
    </row>
    <row r="331" spans="1:4">
      <c r="A331" s="110" t="s">
        <v>1723</v>
      </c>
      <c r="B331" s="110" t="s">
        <v>1147</v>
      </c>
      <c r="C331" s="110">
        <v>2.105</v>
      </c>
      <c r="D331" s="112">
        <v>42751</v>
      </c>
    </row>
    <row r="332" spans="1:4">
      <c r="A332" s="110" t="s">
        <v>1722</v>
      </c>
      <c r="B332" s="110" t="s">
        <v>1147</v>
      </c>
      <c r="C332" s="110">
        <v>2.1309999999999998</v>
      </c>
      <c r="D332" s="112">
        <v>42751</v>
      </c>
    </row>
    <row r="333" spans="1:4">
      <c r="A333" s="110" t="s">
        <v>1721</v>
      </c>
      <c r="B333" s="110" t="s">
        <v>1147</v>
      </c>
      <c r="C333" s="110">
        <v>1.9550000000000001</v>
      </c>
      <c r="D333" s="112">
        <v>42751</v>
      </c>
    </row>
    <row r="334" spans="1:4">
      <c r="A334" s="110" t="s">
        <v>1720</v>
      </c>
      <c r="B334" s="110" t="s">
        <v>1147</v>
      </c>
      <c r="C334" s="110">
        <v>2.1379999999999999</v>
      </c>
      <c r="D334" s="112">
        <v>42751</v>
      </c>
    </row>
    <row r="335" spans="1:4">
      <c r="A335" s="110" t="s">
        <v>1719</v>
      </c>
      <c r="B335" s="110" t="s">
        <v>1147</v>
      </c>
      <c r="C335" s="110">
        <v>2.0550000000000002</v>
      </c>
      <c r="D335" s="112">
        <v>42751</v>
      </c>
    </row>
    <row r="336" spans="1:4">
      <c r="A336" s="110" t="s">
        <v>1718</v>
      </c>
      <c r="B336" s="110" t="s">
        <v>1147</v>
      </c>
      <c r="C336" s="110">
        <v>2.121</v>
      </c>
      <c r="D336" s="112">
        <v>42751</v>
      </c>
    </row>
    <row r="337" spans="1:4">
      <c r="A337" s="110" t="s">
        <v>1717</v>
      </c>
      <c r="B337" s="110" t="s">
        <v>1147</v>
      </c>
      <c r="C337" s="110">
        <v>2.0990000000000002</v>
      </c>
      <c r="D337" s="112">
        <v>42751</v>
      </c>
    </row>
    <row r="338" spans="1:4">
      <c r="A338" s="110" t="s">
        <v>1716</v>
      </c>
      <c r="B338" s="110" t="s">
        <v>1147</v>
      </c>
      <c r="C338" s="110">
        <v>2.0710000000000002</v>
      </c>
      <c r="D338" s="112">
        <v>42751</v>
      </c>
    </row>
    <row r="339" spans="1:4">
      <c r="A339" s="110" t="s">
        <v>1715</v>
      </c>
      <c r="B339" s="110" t="s">
        <v>1147</v>
      </c>
      <c r="C339" s="110">
        <v>1.956</v>
      </c>
      <c r="D339" s="112">
        <v>42751</v>
      </c>
    </row>
    <row r="340" spans="1:4">
      <c r="A340" s="110" t="s">
        <v>1714</v>
      </c>
      <c r="B340" s="110" t="s">
        <v>1147</v>
      </c>
      <c r="C340" s="110">
        <v>1.9950000000000001</v>
      </c>
      <c r="D340" s="112">
        <v>42751</v>
      </c>
    </row>
    <row r="341" spans="1:4">
      <c r="A341" s="110" t="s">
        <v>1713</v>
      </c>
      <c r="B341" s="110" t="s">
        <v>1147</v>
      </c>
      <c r="C341" s="110">
        <v>1.8680000000000001</v>
      </c>
      <c r="D341" s="112">
        <v>42751</v>
      </c>
    </row>
    <row r="342" spans="1:4">
      <c r="A342" s="110" t="s">
        <v>1712</v>
      </c>
      <c r="B342" s="110" t="s">
        <v>1147</v>
      </c>
      <c r="C342" s="110">
        <v>1.946</v>
      </c>
      <c r="D342" s="112">
        <v>42751</v>
      </c>
    </row>
    <row r="343" spans="1:4">
      <c r="A343" s="110" t="s">
        <v>1711</v>
      </c>
      <c r="B343" s="110" t="s">
        <v>1147</v>
      </c>
      <c r="C343" s="110">
        <v>2.0219999999999998</v>
      </c>
      <c r="D343" s="112">
        <v>42751</v>
      </c>
    </row>
    <row r="344" spans="1:4">
      <c r="A344" s="110" t="s">
        <v>1710</v>
      </c>
      <c r="B344" s="110" t="s">
        <v>1147</v>
      </c>
      <c r="C344" s="110">
        <v>2.0150000000000001</v>
      </c>
      <c r="D344" s="112">
        <v>42751</v>
      </c>
    </row>
    <row r="345" spans="1:4">
      <c r="A345" s="110" t="s">
        <v>1709</v>
      </c>
      <c r="B345" s="110" t="s">
        <v>1147</v>
      </c>
      <c r="C345" s="110">
        <v>1.954</v>
      </c>
      <c r="D345" s="112">
        <v>42751</v>
      </c>
    </row>
    <row r="346" spans="1:4">
      <c r="A346" s="110" t="s">
        <v>1708</v>
      </c>
      <c r="B346" s="110" t="s">
        <v>1147</v>
      </c>
      <c r="C346" s="110">
        <v>1.9039999999999999</v>
      </c>
      <c r="D346" s="112">
        <v>42751</v>
      </c>
    </row>
    <row r="347" spans="1:4">
      <c r="A347" s="110" t="s">
        <v>1707</v>
      </c>
      <c r="B347" s="110" t="s">
        <v>1147</v>
      </c>
      <c r="C347" s="110">
        <v>1.8340000000000001</v>
      </c>
      <c r="D347" s="112">
        <v>42751</v>
      </c>
    </row>
    <row r="348" spans="1:4">
      <c r="A348" s="110" t="s">
        <v>1706</v>
      </c>
      <c r="B348" s="110" t="s">
        <v>1147</v>
      </c>
      <c r="C348" s="110">
        <v>1.93</v>
      </c>
      <c r="D348" s="112">
        <v>42751</v>
      </c>
    </row>
    <row r="349" spans="1:4">
      <c r="A349" s="110" t="s">
        <v>1705</v>
      </c>
      <c r="B349" s="110" t="s">
        <v>1147</v>
      </c>
      <c r="C349" s="110">
        <v>2.012</v>
      </c>
      <c r="D349" s="112">
        <v>42751</v>
      </c>
    </row>
    <row r="350" spans="1:4">
      <c r="A350" s="110" t="s">
        <v>1704</v>
      </c>
      <c r="B350" s="110" t="s">
        <v>1147</v>
      </c>
      <c r="C350" s="110">
        <v>2.012</v>
      </c>
      <c r="D350" s="112">
        <v>42751</v>
      </c>
    </row>
    <row r="351" spans="1:4">
      <c r="A351" s="110" t="s">
        <v>1703</v>
      </c>
      <c r="B351" s="110" t="s">
        <v>1147</v>
      </c>
      <c r="C351" s="110">
        <v>1.8919999999999999</v>
      </c>
      <c r="D351" s="112">
        <v>42751</v>
      </c>
    </row>
    <row r="352" spans="1:4">
      <c r="A352" s="110" t="s">
        <v>1702</v>
      </c>
      <c r="B352" s="110" t="s">
        <v>1147</v>
      </c>
      <c r="C352" s="110">
        <v>2.0139999999999998</v>
      </c>
      <c r="D352" s="112">
        <v>42751</v>
      </c>
    </row>
    <row r="353" spans="1:4">
      <c r="A353" s="110" t="s">
        <v>1701</v>
      </c>
      <c r="B353" s="110" t="s">
        <v>1147</v>
      </c>
      <c r="C353" s="110">
        <v>1.9450000000000001</v>
      </c>
      <c r="D353" s="112">
        <v>42751</v>
      </c>
    </row>
    <row r="354" spans="1:4">
      <c r="A354" s="110" t="s">
        <v>1700</v>
      </c>
      <c r="B354" s="110" t="s">
        <v>1147</v>
      </c>
      <c r="C354" s="110">
        <v>2.0640000000000001</v>
      </c>
      <c r="D354" s="112">
        <v>42751</v>
      </c>
    </row>
    <row r="355" spans="1:4">
      <c r="A355" s="110" t="s">
        <v>1699</v>
      </c>
      <c r="B355" s="110" t="s">
        <v>1147</v>
      </c>
      <c r="C355" s="110">
        <v>1.909</v>
      </c>
      <c r="D355" s="112">
        <v>42751</v>
      </c>
    </row>
    <row r="356" spans="1:4">
      <c r="A356" s="110" t="s">
        <v>1698</v>
      </c>
      <c r="B356" s="110" t="s">
        <v>1147</v>
      </c>
      <c r="C356" s="110">
        <v>1.9490000000000001</v>
      </c>
      <c r="D356" s="112">
        <v>42751</v>
      </c>
    </row>
    <row r="357" spans="1:4">
      <c r="A357" s="110" t="s">
        <v>1697</v>
      </c>
      <c r="B357" s="110" t="s">
        <v>1147</v>
      </c>
      <c r="C357" s="110">
        <v>1.988</v>
      </c>
      <c r="D357" s="112">
        <v>42751</v>
      </c>
    </row>
    <row r="358" spans="1:4">
      <c r="A358" s="110" t="s">
        <v>1696</v>
      </c>
      <c r="B358" s="110" t="s">
        <v>1147</v>
      </c>
      <c r="C358" s="110">
        <v>1.835</v>
      </c>
      <c r="D358" s="112">
        <v>42751</v>
      </c>
    </row>
    <row r="359" spans="1:4">
      <c r="A359" s="110" t="s">
        <v>1695</v>
      </c>
      <c r="B359" s="110" t="s">
        <v>1147</v>
      </c>
      <c r="C359" s="110">
        <v>2.0489999999999999</v>
      </c>
      <c r="D359" s="112">
        <v>42751</v>
      </c>
    </row>
    <row r="360" spans="1:4">
      <c r="A360" s="110" t="s">
        <v>1694</v>
      </c>
      <c r="B360" s="110" t="s">
        <v>1147</v>
      </c>
      <c r="C360" s="110">
        <v>1.9870000000000001</v>
      </c>
      <c r="D360" s="112">
        <v>42751</v>
      </c>
    </row>
    <row r="361" spans="1:4">
      <c r="A361" s="110" t="s">
        <v>1693</v>
      </c>
      <c r="B361" s="110" t="s">
        <v>1147</v>
      </c>
      <c r="C361" s="110">
        <v>1.996</v>
      </c>
      <c r="D361" s="112">
        <v>42751</v>
      </c>
    </row>
    <row r="362" spans="1:4">
      <c r="A362" s="110" t="s">
        <v>1692</v>
      </c>
      <c r="B362" s="110" t="s">
        <v>1147</v>
      </c>
      <c r="C362" s="110">
        <v>2.016</v>
      </c>
      <c r="D362" s="112">
        <v>42751</v>
      </c>
    </row>
    <row r="363" spans="1:4">
      <c r="A363" s="110" t="s">
        <v>1691</v>
      </c>
      <c r="B363" s="110" t="s">
        <v>1147</v>
      </c>
      <c r="C363" s="110">
        <v>1.9790000000000001</v>
      </c>
      <c r="D363" s="112">
        <v>42751</v>
      </c>
    </row>
    <row r="364" spans="1:4">
      <c r="A364" s="110" t="s">
        <v>1690</v>
      </c>
      <c r="B364" s="110" t="s">
        <v>1147</v>
      </c>
      <c r="C364" s="110">
        <v>2.0099999999999998</v>
      </c>
      <c r="D364" s="112">
        <v>42751</v>
      </c>
    </row>
    <row r="365" spans="1:4">
      <c r="A365" s="110" t="s">
        <v>1689</v>
      </c>
      <c r="B365" s="110" t="s">
        <v>1147</v>
      </c>
      <c r="C365" s="110">
        <v>2.0590000000000002</v>
      </c>
      <c r="D365" s="112">
        <v>42751</v>
      </c>
    </row>
    <row r="366" spans="1:4">
      <c r="A366" s="110" t="s">
        <v>1688</v>
      </c>
      <c r="B366" s="110" t="s">
        <v>1147</v>
      </c>
      <c r="C366" s="110">
        <v>2.0659999999999998</v>
      </c>
      <c r="D366" s="112">
        <v>42751</v>
      </c>
    </row>
    <row r="367" spans="1:4">
      <c r="A367" s="110" t="s">
        <v>1687</v>
      </c>
      <c r="B367" s="110" t="s">
        <v>1147</v>
      </c>
      <c r="C367" s="110">
        <v>2.02</v>
      </c>
      <c r="D367" s="112">
        <v>42751</v>
      </c>
    </row>
    <row r="368" spans="1:4">
      <c r="A368" s="110" t="s">
        <v>1686</v>
      </c>
      <c r="B368" s="110" t="s">
        <v>1147</v>
      </c>
      <c r="C368" s="110">
        <v>2.0569999999999999</v>
      </c>
      <c r="D368" s="112">
        <v>42751</v>
      </c>
    </row>
    <row r="369" spans="1:4">
      <c r="A369" s="110" t="s">
        <v>1685</v>
      </c>
      <c r="B369" s="110" t="s">
        <v>1147</v>
      </c>
      <c r="C369" s="110">
        <v>1.954</v>
      </c>
      <c r="D369" s="112">
        <v>42751</v>
      </c>
    </row>
    <row r="370" spans="1:4">
      <c r="A370" s="110" t="s">
        <v>1684</v>
      </c>
      <c r="B370" s="110" t="s">
        <v>1147</v>
      </c>
      <c r="C370" s="110">
        <v>2.1070000000000002</v>
      </c>
      <c r="D370" s="112">
        <v>42751</v>
      </c>
    </row>
    <row r="371" spans="1:4">
      <c r="A371" s="110" t="s">
        <v>1683</v>
      </c>
      <c r="B371" s="110" t="s">
        <v>1147</v>
      </c>
      <c r="C371" s="110">
        <v>2.0990000000000002</v>
      </c>
      <c r="D371" s="112">
        <v>42751</v>
      </c>
    </row>
    <row r="372" spans="1:4">
      <c r="A372" s="110" t="s">
        <v>1682</v>
      </c>
      <c r="B372" s="110" t="s">
        <v>1147</v>
      </c>
      <c r="C372" s="110">
        <v>2.1709999999999998</v>
      </c>
      <c r="D372" s="112">
        <v>42751</v>
      </c>
    </row>
    <row r="373" spans="1:4">
      <c r="A373" s="110" t="s">
        <v>1681</v>
      </c>
      <c r="B373" s="110" t="s">
        <v>1147</v>
      </c>
      <c r="C373" s="110">
        <v>2.1219999999999999</v>
      </c>
      <c r="D373" s="112">
        <v>42751</v>
      </c>
    </row>
    <row r="374" spans="1:4">
      <c r="A374" s="110" t="s">
        <v>1680</v>
      </c>
      <c r="B374" s="110" t="s">
        <v>1147</v>
      </c>
      <c r="C374" s="110">
        <v>2.0619999999999998</v>
      </c>
      <c r="D374" s="112">
        <v>42751</v>
      </c>
    </row>
    <row r="375" spans="1:4">
      <c r="A375" s="110" t="s">
        <v>1679</v>
      </c>
      <c r="B375" s="110" t="s">
        <v>1147</v>
      </c>
      <c r="C375" s="110">
        <v>2.06</v>
      </c>
      <c r="D375" s="112">
        <v>42751</v>
      </c>
    </row>
    <row r="376" spans="1:4">
      <c r="A376" s="110" t="s">
        <v>1678</v>
      </c>
      <c r="B376" s="110" t="s">
        <v>1147</v>
      </c>
      <c r="C376" s="110">
        <v>2.1539999999999999</v>
      </c>
      <c r="D376" s="112">
        <v>42751</v>
      </c>
    </row>
    <row r="377" spans="1:4">
      <c r="A377" s="110" t="s">
        <v>1677</v>
      </c>
      <c r="B377" s="110" t="s">
        <v>1147</v>
      </c>
      <c r="C377" s="110">
        <v>2.1</v>
      </c>
      <c r="D377" s="112">
        <v>42751</v>
      </c>
    </row>
    <row r="378" spans="1:4">
      <c r="A378" s="110" t="s">
        <v>1676</v>
      </c>
      <c r="B378" s="110" t="s">
        <v>1147</v>
      </c>
      <c r="C378" s="110">
        <v>2.024</v>
      </c>
      <c r="D378" s="112">
        <v>42751</v>
      </c>
    </row>
    <row r="379" spans="1:4">
      <c r="A379" s="110" t="s">
        <v>1675</v>
      </c>
      <c r="B379" s="110" t="s">
        <v>1147</v>
      </c>
      <c r="C379" s="110">
        <v>1.9810000000000001</v>
      </c>
      <c r="D379" s="112">
        <v>42751</v>
      </c>
    </row>
    <row r="380" spans="1:4">
      <c r="A380" s="110" t="s">
        <v>1674</v>
      </c>
      <c r="B380" s="110" t="s">
        <v>1147</v>
      </c>
      <c r="C380" s="110">
        <v>2.0329999999999999</v>
      </c>
      <c r="D380" s="112">
        <v>42751</v>
      </c>
    </row>
    <row r="381" spans="1:4">
      <c r="A381" s="110" t="s">
        <v>1673</v>
      </c>
      <c r="B381" s="110" t="s">
        <v>1147</v>
      </c>
      <c r="C381" s="110">
        <v>2.1030000000000002</v>
      </c>
      <c r="D381" s="112">
        <v>42751</v>
      </c>
    </row>
    <row r="382" spans="1:4">
      <c r="A382" s="110" t="s">
        <v>1672</v>
      </c>
      <c r="B382" s="110" t="s">
        <v>1147</v>
      </c>
      <c r="C382" s="110">
        <v>2.0830000000000002</v>
      </c>
      <c r="D382" s="112">
        <v>42751</v>
      </c>
    </row>
    <row r="383" spans="1:4">
      <c r="A383" s="110" t="s">
        <v>1671</v>
      </c>
      <c r="B383" s="110" t="s">
        <v>1147</v>
      </c>
      <c r="C383" s="110">
        <v>2.052</v>
      </c>
      <c r="D383" s="112">
        <v>42751</v>
      </c>
    </row>
    <row r="384" spans="1:4">
      <c r="A384" s="110" t="s">
        <v>1670</v>
      </c>
      <c r="B384" s="110" t="s">
        <v>1147</v>
      </c>
      <c r="C384" s="110">
        <v>2.0619999999999998</v>
      </c>
      <c r="D384" s="112">
        <v>42751</v>
      </c>
    </row>
    <row r="385" spans="1:4">
      <c r="A385" s="110" t="s">
        <v>1669</v>
      </c>
      <c r="B385" s="110" t="s">
        <v>1147</v>
      </c>
      <c r="C385" s="110">
        <v>1.8919999999999999</v>
      </c>
      <c r="D385" s="112">
        <v>42751</v>
      </c>
    </row>
    <row r="386" spans="1:4">
      <c r="A386" s="110" t="s">
        <v>1668</v>
      </c>
      <c r="B386" s="110" t="s">
        <v>1147</v>
      </c>
      <c r="C386" s="110">
        <v>2.0960000000000001</v>
      </c>
      <c r="D386" s="112">
        <v>42751</v>
      </c>
    </row>
    <row r="387" spans="1:4">
      <c r="A387" s="110" t="s">
        <v>1667</v>
      </c>
      <c r="B387" s="110" t="s">
        <v>1147</v>
      </c>
      <c r="C387" s="110">
        <v>1.956</v>
      </c>
      <c r="D387" s="112">
        <v>42751</v>
      </c>
    </row>
    <row r="388" spans="1:4">
      <c r="A388" s="110" t="s">
        <v>1666</v>
      </c>
      <c r="B388" s="110" t="s">
        <v>1147</v>
      </c>
      <c r="C388" s="110">
        <v>2.0499999999999998</v>
      </c>
      <c r="D388" s="112">
        <v>42751</v>
      </c>
    </row>
    <row r="389" spans="1:4">
      <c r="A389" s="110" t="s">
        <v>1665</v>
      </c>
      <c r="B389" s="110" t="s">
        <v>1147</v>
      </c>
      <c r="C389" s="110">
        <v>1.962</v>
      </c>
      <c r="D389" s="112">
        <v>42751</v>
      </c>
    </row>
    <row r="390" spans="1:4">
      <c r="A390" s="110" t="s">
        <v>1664</v>
      </c>
      <c r="B390" s="110" t="s">
        <v>1147</v>
      </c>
      <c r="C390" s="110">
        <v>1.897</v>
      </c>
      <c r="D390" s="112">
        <v>42751</v>
      </c>
    </row>
    <row r="391" spans="1:4">
      <c r="A391" s="110" t="s">
        <v>1663</v>
      </c>
      <c r="B391" s="110" t="s">
        <v>1147</v>
      </c>
      <c r="C391" s="110">
        <v>2.0139999999999998</v>
      </c>
      <c r="D391" s="112">
        <v>42751</v>
      </c>
    </row>
    <row r="392" spans="1:4">
      <c r="A392" s="110" t="s">
        <v>1662</v>
      </c>
      <c r="B392" s="110" t="s">
        <v>1147</v>
      </c>
      <c r="C392" s="110">
        <v>2.024</v>
      </c>
      <c r="D392" s="112">
        <v>42751</v>
      </c>
    </row>
    <row r="393" spans="1:4">
      <c r="A393" s="110" t="s">
        <v>1661</v>
      </c>
      <c r="B393" s="110" t="s">
        <v>1147</v>
      </c>
      <c r="C393" s="110">
        <v>1.9710000000000001</v>
      </c>
      <c r="D393" s="112">
        <v>42751</v>
      </c>
    </row>
    <row r="394" spans="1:4">
      <c r="A394" s="110" t="s">
        <v>1660</v>
      </c>
      <c r="B394" s="110" t="s">
        <v>1147</v>
      </c>
      <c r="C394" s="110">
        <v>2.0630000000000002</v>
      </c>
      <c r="D394" s="112">
        <v>42751</v>
      </c>
    </row>
    <row r="395" spans="1:4">
      <c r="A395" s="110" t="s">
        <v>1659</v>
      </c>
      <c r="B395" s="110" t="s">
        <v>1147</v>
      </c>
      <c r="C395" s="110">
        <v>1.9419999999999999</v>
      </c>
      <c r="D395" s="112">
        <v>42751</v>
      </c>
    </row>
    <row r="396" spans="1:4">
      <c r="A396" s="110" t="s">
        <v>1658</v>
      </c>
      <c r="B396" s="110" t="s">
        <v>1147</v>
      </c>
      <c r="C396" s="110">
        <v>2.008</v>
      </c>
      <c r="D396" s="112">
        <v>42751</v>
      </c>
    </row>
    <row r="397" spans="1:4">
      <c r="A397" s="110" t="s">
        <v>1657</v>
      </c>
      <c r="B397" s="110" t="s">
        <v>1147</v>
      </c>
      <c r="C397" s="110">
        <v>2.0089999999999999</v>
      </c>
      <c r="D397" s="112">
        <v>42751</v>
      </c>
    </row>
    <row r="398" spans="1:4">
      <c r="A398" s="110" t="s">
        <v>1656</v>
      </c>
      <c r="B398" s="110" t="s">
        <v>1147</v>
      </c>
      <c r="C398" s="110">
        <v>2.056</v>
      </c>
      <c r="D398" s="112">
        <v>42751</v>
      </c>
    </row>
    <row r="399" spans="1:4">
      <c r="A399" s="110" t="s">
        <v>1655</v>
      </c>
      <c r="B399" s="110" t="s">
        <v>1147</v>
      </c>
      <c r="C399" s="110">
        <v>1.93</v>
      </c>
      <c r="D399" s="112">
        <v>42751</v>
      </c>
    </row>
    <row r="400" spans="1:4">
      <c r="A400" s="110" t="s">
        <v>1654</v>
      </c>
      <c r="B400" s="110" t="s">
        <v>1147</v>
      </c>
      <c r="C400" s="110">
        <v>2.0070000000000001</v>
      </c>
      <c r="D400" s="112">
        <v>42751</v>
      </c>
    </row>
    <row r="401" spans="1:4">
      <c r="A401" s="110" t="s">
        <v>1653</v>
      </c>
      <c r="B401" s="110" t="s">
        <v>1147</v>
      </c>
      <c r="C401" s="110">
        <v>1.968</v>
      </c>
      <c r="D401" s="112">
        <v>42751</v>
      </c>
    </row>
    <row r="402" spans="1:4">
      <c r="A402" s="110" t="s">
        <v>1652</v>
      </c>
      <c r="B402" s="110" t="s">
        <v>1147</v>
      </c>
      <c r="C402" s="110">
        <v>1.9870000000000001</v>
      </c>
      <c r="D402" s="112">
        <v>42751</v>
      </c>
    </row>
    <row r="403" spans="1:4">
      <c r="A403" s="110" t="s">
        <v>1651</v>
      </c>
      <c r="B403" s="110" t="s">
        <v>1147</v>
      </c>
      <c r="C403" s="110">
        <v>2.0070000000000001</v>
      </c>
      <c r="D403" s="112">
        <v>42751</v>
      </c>
    </row>
    <row r="404" spans="1:4">
      <c r="A404" s="110" t="s">
        <v>1650</v>
      </c>
      <c r="B404" s="110" t="s">
        <v>1147</v>
      </c>
      <c r="C404" s="110">
        <v>2.0089999999999999</v>
      </c>
      <c r="D404" s="112">
        <v>42751</v>
      </c>
    </row>
    <row r="405" spans="1:4">
      <c r="A405" s="110" t="s">
        <v>1649</v>
      </c>
      <c r="B405" s="110" t="s">
        <v>1147</v>
      </c>
      <c r="C405" s="110">
        <v>1.9390000000000001</v>
      </c>
      <c r="D405" s="112">
        <v>42751</v>
      </c>
    </row>
    <row r="406" spans="1:4">
      <c r="A406" s="110" t="s">
        <v>1648</v>
      </c>
      <c r="B406" s="110" t="s">
        <v>1147</v>
      </c>
      <c r="C406" s="110">
        <v>2.1389999999999998</v>
      </c>
      <c r="D406" s="112">
        <v>42751</v>
      </c>
    </row>
    <row r="407" spans="1:4">
      <c r="A407" s="110" t="s">
        <v>1647</v>
      </c>
      <c r="B407" s="110" t="s">
        <v>1147</v>
      </c>
      <c r="C407" s="110">
        <v>2.06</v>
      </c>
      <c r="D407" s="112">
        <v>42751</v>
      </c>
    </row>
    <row r="408" spans="1:4">
      <c r="A408" s="110" t="s">
        <v>1646</v>
      </c>
      <c r="B408" s="110" t="s">
        <v>1147</v>
      </c>
      <c r="C408" s="110">
        <v>2.113</v>
      </c>
      <c r="D408" s="112">
        <v>42751</v>
      </c>
    </row>
    <row r="409" spans="1:4">
      <c r="A409" s="110" t="s">
        <v>1645</v>
      </c>
      <c r="B409" s="110" t="s">
        <v>1147</v>
      </c>
      <c r="C409" s="110">
        <v>2.056</v>
      </c>
      <c r="D409" s="112">
        <v>42751</v>
      </c>
    </row>
    <row r="410" spans="1:4">
      <c r="A410" s="110" t="s">
        <v>1644</v>
      </c>
      <c r="B410" s="110" t="s">
        <v>1147</v>
      </c>
      <c r="C410" s="110">
        <v>2.0910000000000002</v>
      </c>
      <c r="D410" s="112">
        <v>42751</v>
      </c>
    </row>
    <row r="411" spans="1:4">
      <c r="A411" s="110" t="s">
        <v>1643</v>
      </c>
      <c r="B411" s="110" t="s">
        <v>1147</v>
      </c>
      <c r="C411" s="110">
        <v>1.966</v>
      </c>
      <c r="D411" s="112">
        <v>42751</v>
      </c>
    </row>
    <row r="412" spans="1:4">
      <c r="A412" s="110" t="s">
        <v>1642</v>
      </c>
      <c r="B412" s="110" t="s">
        <v>1147</v>
      </c>
      <c r="C412" s="110">
        <v>2.044</v>
      </c>
      <c r="D412" s="112">
        <v>42751</v>
      </c>
    </row>
    <row r="413" spans="1:4">
      <c r="A413" s="110" t="s">
        <v>1641</v>
      </c>
      <c r="B413" s="110" t="s">
        <v>1147</v>
      </c>
      <c r="C413" s="110">
        <v>1.968</v>
      </c>
      <c r="D413" s="112">
        <v>42751</v>
      </c>
    </row>
    <row r="414" spans="1:4">
      <c r="A414" s="110" t="s">
        <v>1640</v>
      </c>
      <c r="B414" s="110" t="s">
        <v>1147</v>
      </c>
      <c r="C414" s="110">
        <v>2.1110000000000002</v>
      </c>
      <c r="D414" s="112">
        <v>42751</v>
      </c>
    </row>
    <row r="415" spans="1:4">
      <c r="A415" s="110" t="s">
        <v>1639</v>
      </c>
      <c r="B415" s="110" t="s">
        <v>1147</v>
      </c>
      <c r="C415" s="110">
        <v>2.1120000000000001</v>
      </c>
      <c r="D415" s="112">
        <v>42751</v>
      </c>
    </row>
    <row r="416" spans="1:4">
      <c r="A416" s="110" t="s">
        <v>1638</v>
      </c>
      <c r="B416" s="110" t="s">
        <v>1147</v>
      </c>
      <c r="C416" s="110">
        <v>2.0049999999999999</v>
      </c>
      <c r="D416" s="112">
        <v>42751</v>
      </c>
    </row>
    <row r="417" spans="1:4">
      <c r="A417" s="110" t="s">
        <v>1637</v>
      </c>
      <c r="B417" s="110" t="s">
        <v>1147</v>
      </c>
      <c r="C417" s="110">
        <v>2.1589999999999998</v>
      </c>
      <c r="D417" s="112">
        <v>42751</v>
      </c>
    </row>
    <row r="418" spans="1:4">
      <c r="A418" s="110" t="s">
        <v>1636</v>
      </c>
      <c r="B418" s="110" t="s">
        <v>1147</v>
      </c>
      <c r="C418" s="110">
        <v>2.0590000000000002</v>
      </c>
      <c r="D418" s="112">
        <v>42751</v>
      </c>
    </row>
    <row r="419" spans="1:4">
      <c r="A419" s="110" t="s">
        <v>1635</v>
      </c>
      <c r="B419" s="110" t="s">
        <v>1147</v>
      </c>
      <c r="C419" s="110">
        <v>2.0249999999999999</v>
      </c>
      <c r="D419" s="112">
        <v>42751</v>
      </c>
    </row>
    <row r="420" spans="1:4">
      <c r="A420" s="110" t="s">
        <v>1634</v>
      </c>
      <c r="B420" s="110" t="s">
        <v>1147</v>
      </c>
      <c r="C420" s="110">
        <v>2.1819999999999999</v>
      </c>
      <c r="D420" s="112">
        <v>42751</v>
      </c>
    </row>
    <row r="421" spans="1:4">
      <c r="A421" s="110" t="s">
        <v>1633</v>
      </c>
      <c r="B421" s="110" t="s">
        <v>1147</v>
      </c>
      <c r="C421" s="110">
        <v>2.0209999999999999</v>
      </c>
      <c r="D421" s="112">
        <v>42751</v>
      </c>
    </row>
    <row r="422" spans="1:4">
      <c r="A422" s="110" t="s">
        <v>1632</v>
      </c>
      <c r="B422" s="110" t="s">
        <v>1147</v>
      </c>
      <c r="C422" s="110">
        <v>2.016</v>
      </c>
      <c r="D422" s="112">
        <v>42751</v>
      </c>
    </row>
    <row r="423" spans="1:4">
      <c r="A423" s="110" t="s">
        <v>1631</v>
      </c>
      <c r="B423" s="110" t="s">
        <v>1147</v>
      </c>
      <c r="C423" s="110">
        <v>2.0779999999999998</v>
      </c>
      <c r="D423" s="112">
        <v>42751</v>
      </c>
    </row>
    <row r="424" spans="1:4">
      <c r="A424" s="110" t="s">
        <v>1630</v>
      </c>
      <c r="B424" s="110" t="s">
        <v>1147</v>
      </c>
      <c r="C424" s="110">
        <v>2.0390000000000001</v>
      </c>
      <c r="D424" s="112">
        <v>42751</v>
      </c>
    </row>
    <row r="425" spans="1:4">
      <c r="A425" s="110" t="s">
        <v>1629</v>
      </c>
      <c r="B425" s="110" t="s">
        <v>1147</v>
      </c>
      <c r="C425" s="110">
        <v>2.052</v>
      </c>
      <c r="D425" s="112">
        <v>42751</v>
      </c>
    </row>
    <row r="426" spans="1:4">
      <c r="A426" s="110" t="s">
        <v>1628</v>
      </c>
      <c r="B426" s="110" t="s">
        <v>1147</v>
      </c>
      <c r="C426" s="110">
        <v>2.0049999999999999</v>
      </c>
      <c r="D426" s="112">
        <v>42751</v>
      </c>
    </row>
    <row r="427" spans="1:4">
      <c r="A427" s="110" t="s">
        <v>1627</v>
      </c>
      <c r="B427" s="110" t="s">
        <v>1147</v>
      </c>
      <c r="C427" s="110">
        <v>2.0649999999999999</v>
      </c>
      <c r="D427" s="112">
        <v>42751</v>
      </c>
    </row>
    <row r="428" spans="1:4">
      <c r="A428" s="110" t="s">
        <v>1626</v>
      </c>
      <c r="B428" s="110" t="s">
        <v>1147</v>
      </c>
      <c r="C428" s="110">
        <v>1.9590000000000001</v>
      </c>
      <c r="D428" s="112">
        <v>42751</v>
      </c>
    </row>
    <row r="429" spans="1:4">
      <c r="A429" s="110" t="s">
        <v>1625</v>
      </c>
      <c r="B429" s="110" t="s">
        <v>1147</v>
      </c>
      <c r="C429" s="110">
        <v>1.9750000000000001</v>
      </c>
      <c r="D429" s="112">
        <v>42751</v>
      </c>
    </row>
    <row r="430" spans="1:4">
      <c r="A430" s="110" t="s">
        <v>1624</v>
      </c>
      <c r="B430" s="110" t="s">
        <v>1147</v>
      </c>
      <c r="C430" s="110">
        <v>2.0230000000000001</v>
      </c>
      <c r="D430" s="112">
        <v>42751</v>
      </c>
    </row>
    <row r="431" spans="1:4">
      <c r="A431" s="110" t="s">
        <v>1623</v>
      </c>
      <c r="B431" s="110" t="s">
        <v>1147</v>
      </c>
      <c r="C431" s="110">
        <v>1.8959999999999999</v>
      </c>
      <c r="D431" s="112">
        <v>42751</v>
      </c>
    </row>
    <row r="432" spans="1:4">
      <c r="A432" s="110" t="s">
        <v>1622</v>
      </c>
      <c r="B432" s="110" t="s">
        <v>1147</v>
      </c>
      <c r="C432" s="110">
        <v>2.0870000000000002</v>
      </c>
      <c r="D432" s="112">
        <v>42751</v>
      </c>
    </row>
    <row r="433" spans="1:4">
      <c r="A433" s="110" t="s">
        <v>1621</v>
      </c>
      <c r="B433" s="110" t="s">
        <v>1147</v>
      </c>
      <c r="C433" s="110">
        <v>1.9319999999999999</v>
      </c>
      <c r="D433" s="112">
        <v>42751</v>
      </c>
    </row>
    <row r="434" spans="1:4">
      <c r="A434" s="110" t="s">
        <v>1620</v>
      </c>
      <c r="B434" s="110" t="s">
        <v>1147</v>
      </c>
      <c r="C434" s="110">
        <v>2.09</v>
      </c>
      <c r="D434" s="112">
        <v>42751</v>
      </c>
    </row>
    <row r="435" spans="1:4">
      <c r="A435" s="110" t="s">
        <v>1619</v>
      </c>
      <c r="B435" s="110" t="s">
        <v>1147</v>
      </c>
      <c r="C435" s="110">
        <v>2.08</v>
      </c>
      <c r="D435" s="112">
        <v>42751</v>
      </c>
    </row>
    <row r="436" spans="1:4">
      <c r="A436" s="110" t="s">
        <v>1618</v>
      </c>
      <c r="B436" s="110" t="s">
        <v>1147</v>
      </c>
      <c r="C436" s="110">
        <v>2.0659999999999998</v>
      </c>
      <c r="D436" s="112">
        <v>42751</v>
      </c>
    </row>
    <row r="437" spans="1:4">
      <c r="A437" s="110" t="s">
        <v>1617</v>
      </c>
      <c r="B437" s="110" t="s">
        <v>1147</v>
      </c>
      <c r="C437" s="110">
        <v>2.06</v>
      </c>
      <c r="D437" s="112">
        <v>42751</v>
      </c>
    </row>
    <row r="438" spans="1:4">
      <c r="A438" s="110" t="s">
        <v>1616</v>
      </c>
      <c r="B438" s="110" t="s">
        <v>1147</v>
      </c>
      <c r="C438" s="110">
        <v>2.0339999999999998</v>
      </c>
      <c r="D438" s="112">
        <v>42751</v>
      </c>
    </row>
    <row r="439" spans="1:4">
      <c r="A439" s="110" t="s">
        <v>1615</v>
      </c>
      <c r="B439" s="110" t="s">
        <v>1147</v>
      </c>
      <c r="C439" s="110">
        <v>2.0009999999999999</v>
      </c>
      <c r="D439" s="112">
        <v>42751</v>
      </c>
    </row>
    <row r="440" spans="1:4">
      <c r="A440" s="110" t="s">
        <v>1614</v>
      </c>
      <c r="B440" s="110" t="s">
        <v>1147</v>
      </c>
      <c r="C440" s="110">
        <v>2.0329999999999999</v>
      </c>
      <c r="D440" s="112">
        <v>42751</v>
      </c>
    </row>
    <row r="441" spans="1:4">
      <c r="A441" s="110" t="s">
        <v>1613</v>
      </c>
      <c r="B441" s="110" t="s">
        <v>1147</v>
      </c>
      <c r="C441" s="110">
        <v>2.1230000000000002</v>
      </c>
      <c r="D441" s="112">
        <v>42751</v>
      </c>
    </row>
    <row r="442" spans="1:4">
      <c r="A442" s="110" t="s">
        <v>1612</v>
      </c>
      <c r="B442" s="110" t="s">
        <v>1147</v>
      </c>
      <c r="C442" s="110">
        <v>2.0470000000000002</v>
      </c>
      <c r="D442" s="112">
        <v>42751</v>
      </c>
    </row>
    <row r="443" spans="1:4">
      <c r="A443" s="110" t="s">
        <v>1611</v>
      </c>
      <c r="B443" s="110" t="s">
        <v>1147</v>
      </c>
      <c r="C443" s="110">
        <v>2.069</v>
      </c>
      <c r="D443" s="112">
        <v>42751</v>
      </c>
    </row>
    <row r="444" spans="1:4">
      <c r="A444" s="110" t="s">
        <v>1610</v>
      </c>
      <c r="B444" s="110" t="s">
        <v>1147</v>
      </c>
      <c r="C444" s="110">
        <v>2.1070000000000002</v>
      </c>
      <c r="D444" s="112">
        <v>42751</v>
      </c>
    </row>
    <row r="445" spans="1:4">
      <c r="A445" s="110" t="s">
        <v>1609</v>
      </c>
      <c r="B445" s="110" t="s">
        <v>1147</v>
      </c>
      <c r="C445" s="110">
        <v>2.1040000000000001</v>
      </c>
      <c r="D445" s="112">
        <v>42751</v>
      </c>
    </row>
    <row r="446" spans="1:4">
      <c r="A446" s="110" t="s">
        <v>1608</v>
      </c>
      <c r="B446" s="110" t="s">
        <v>1147</v>
      </c>
      <c r="C446" s="110">
        <v>2.056</v>
      </c>
      <c r="D446" s="112">
        <v>42751</v>
      </c>
    </row>
    <row r="447" spans="1:4">
      <c r="A447" s="110" t="s">
        <v>1607</v>
      </c>
      <c r="B447" s="110" t="s">
        <v>1147</v>
      </c>
      <c r="C447" s="110">
        <v>2.0310000000000001</v>
      </c>
      <c r="D447" s="112">
        <v>42751</v>
      </c>
    </row>
    <row r="448" spans="1:4">
      <c r="A448" s="110" t="s">
        <v>1606</v>
      </c>
      <c r="B448" s="110" t="s">
        <v>1147</v>
      </c>
      <c r="C448" s="110">
        <v>2.0259999999999998</v>
      </c>
      <c r="D448" s="112">
        <v>42751</v>
      </c>
    </row>
    <row r="449" spans="1:4">
      <c r="A449" s="110" t="s">
        <v>1605</v>
      </c>
      <c r="B449" s="110" t="s">
        <v>1147</v>
      </c>
      <c r="C449" s="110">
        <v>2.1150000000000002</v>
      </c>
      <c r="D449" s="112">
        <v>42751</v>
      </c>
    </row>
    <row r="450" spans="1:4">
      <c r="A450" s="110" t="s">
        <v>1604</v>
      </c>
      <c r="B450" s="110" t="s">
        <v>1147</v>
      </c>
      <c r="C450" s="110">
        <v>1.9319999999999999</v>
      </c>
      <c r="D450" s="112">
        <v>42751</v>
      </c>
    </row>
    <row r="451" spans="1:4">
      <c r="A451" s="110" t="s">
        <v>1603</v>
      </c>
      <c r="B451" s="110" t="s">
        <v>1147</v>
      </c>
      <c r="C451" s="110">
        <v>2.0579999999999998</v>
      </c>
      <c r="D451" s="112">
        <v>42751</v>
      </c>
    </row>
    <row r="452" spans="1:4">
      <c r="A452" s="110" t="s">
        <v>1602</v>
      </c>
      <c r="B452" s="110" t="s">
        <v>1147</v>
      </c>
      <c r="C452" s="110">
        <v>2.0179999999999998</v>
      </c>
      <c r="D452" s="112">
        <v>42751</v>
      </c>
    </row>
    <row r="453" spans="1:4">
      <c r="A453" s="110" t="s">
        <v>1601</v>
      </c>
      <c r="B453" s="110" t="s">
        <v>1147</v>
      </c>
      <c r="C453" s="110">
        <v>2.1749999999999998</v>
      </c>
      <c r="D453" s="112">
        <v>42751</v>
      </c>
    </row>
    <row r="454" spans="1:4">
      <c r="A454" s="110" t="s">
        <v>1600</v>
      </c>
      <c r="B454" s="110" t="s">
        <v>1147</v>
      </c>
      <c r="C454" s="110">
        <v>2.1629999999999998</v>
      </c>
      <c r="D454" s="112">
        <v>42751</v>
      </c>
    </row>
    <row r="455" spans="1:4">
      <c r="A455" s="110" t="s">
        <v>1599</v>
      </c>
      <c r="B455" s="110" t="s">
        <v>1147</v>
      </c>
      <c r="C455" s="110">
        <v>2.1139999999999999</v>
      </c>
      <c r="D455" s="112">
        <v>42751</v>
      </c>
    </row>
    <row r="456" spans="1:4">
      <c r="A456" s="110" t="s">
        <v>1598</v>
      </c>
      <c r="B456" s="110" t="s">
        <v>1147</v>
      </c>
      <c r="C456" s="110">
        <v>2.0550000000000002</v>
      </c>
      <c r="D456" s="112">
        <v>42751</v>
      </c>
    </row>
    <row r="457" spans="1:4">
      <c r="A457" s="110" t="s">
        <v>1597</v>
      </c>
      <c r="B457" s="110" t="s">
        <v>1147</v>
      </c>
      <c r="C457" s="110">
        <v>2.0790000000000002</v>
      </c>
      <c r="D457" s="112">
        <v>42751</v>
      </c>
    </row>
    <row r="458" spans="1:4">
      <c r="A458" s="110" t="s">
        <v>1596</v>
      </c>
      <c r="B458" s="110" t="s">
        <v>1147</v>
      </c>
      <c r="C458" s="110">
        <v>2.0920000000000001</v>
      </c>
      <c r="D458" s="112">
        <v>42751</v>
      </c>
    </row>
    <row r="459" spans="1:4">
      <c r="A459" s="110" t="s">
        <v>1595</v>
      </c>
      <c r="B459" s="110" t="s">
        <v>1147</v>
      </c>
      <c r="C459" s="110">
        <v>2.0299999999999998</v>
      </c>
      <c r="D459" s="112">
        <v>42751</v>
      </c>
    </row>
    <row r="460" spans="1:4">
      <c r="A460" s="110" t="s">
        <v>1594</v>
      </c>
      <c r="B460" s="110" t="s">
        <v>1147</v>
      </c>
      <c r="C460" s="110">
        <v>2.117</v>
      </c>
      <c r="D460" s="112">
        <v>42751</v>
      </c>
    </row>
    <row r="461" spans="1:4">
      <c r="A461" s="110" t="s">
        <v>1593</v>
      </c>
      <c r="B461" s="110" t="s">
        <v>1147</v>
      </c>
      <c r="C461" s="110">
        <v>2.1579999999999999</v>
      </c>
      <c r="D461" s="112">
        <v>42751</v>
      </c>
    </row>
    <row r="462" spans="1:4">
      <c r="A462" s="110" t="s">
        <v>1592</v>
      </c>
      <c r="B462" s="110" t="s">
        <v>1147</v>
      </c>
      <c r="C462" s="110">
        <v>1.9770000000000001</v>
      </c>
      <c r="D462" s="112">
        <v>42751</v>
      </c>
    </row>
    <row r="463" spans="1:4">
      <c r="A463" s="110" t="s">
        <v>1591</v>
      </c>
      <c r="B463" s="110" t="s">
        <v>1147</v>
      </c>
      <c r="C463" s="110">
        <v>2.0449999999999999</v>
      </c>
      <c r="D463" s="112">
        <v>42751</v>
      </c>
    </row>
    <row r="464" spans="1:4">
      <c r="A464" s="110" t="s">
        <v>1590</v>
      </c>
      <c r="B464" s="110" t="s">
        <v>1147</v>
      </c>
      <c r="C464" s="110">
        <v>2.1560000000000001</v>
      </c>
      <c r="D464" s="112">
        <v>42751</v>
      </c>
    </row>
    <row r="465" spans="1:4">
      <c r="A465" s="110" t="s">
        <v>1589</v>
      </c>
      <c r="B465" s="110" t="s">
        <v>1147</v>
      </c>
      <c r="C465" s="110">
        <v>2.1030000000000002</v>
      </c>
      <c r="D465" s="112">
        <v>42751</v>
      </c>
    </row>
    <row r="466" spans="1:4">
      <c r="A466" s="110" t="s">
        <v>1588</v>
      </c>
      <c r="B466" s="110" t="s">
        <v>1147</v>
      </c>
      <c r="C466" s="110">
        <v>2.169</v>
      </c>
      <c r="D466" s="112">
        <v>42751</v>
      </c>
    </row>
    <row r="467" spans="1:4">
      <c r="A467" s="110" t="s">
        <v>1587</v>
      </c>
      <c r="B467" s="110" t="s">
        <v>1147</v>
      </c>
      <c r="C467" s="110">
        <v>1.9810000000000001</v>
      </c>
      <c r="D467" s="112">
        <v>42751</v>
      </c>
    </row>
    <row r="468" spans="1:4">
      <c r="A468" s="110" t="s">
        <v>1586</v>
      </c>
      <c r="B468" s="110" t="s">
        <v>1147</v>
      </c>
      <c r="C468" s="110">
        <v>1.964</v>
      </c>
      <c r="D468" s="112">
        <v>42751</v>
      </c>
    </row>
    <row r="469" spans="1:4">
      <c r="A469" s="110" t="s">
        <v>1585</v>
      </c>
      <c r="B469" s="110" t="s">
        <v>1147</v>
      </c>
      <c r="C469" s="110">
        <v>2.004</v>
      </c>
      <c r="D469" s="112">
        <v>42751</v>
      </c>
    </row>
    <row r="470" spans="1:4">
      <c r="A470" s="110" t="s">
        <v>1584</v>
      </c>
      <c r="B470" s="110" t="s">
        <v>1147</v>
      </c>
      <c r="C470" s="110">
        <v>1.9319999999999999</v>
      </c>
      <c r="D470" s="112">
        <v>42751</v>
      </c>
    </row>
    <row r="471" spans="1:4">
      <c r="A471" s="110" t="s">
        <v>1583</v>
      </c>
      <c r="B471" s="110" t="s">
        <v>1147</v>
      </c>
      <c r="C471" s="110">
        <v>2.0259999999999998</v>
      </c>
      <c r="D471" s="112">
        <v>42751</v>
      </c>
    </row>
    <row r="472" spans="1:4">
      <c r="A472" s="110" t="s">
        <v>1582</v>
      </c>
      <c r="B472" s="110" t="s">
        <v>1147</v>
      </c>
      <c r="C472" s="110">
        <v>2.1309999999999998</v>
      </c>
      <c r="D472" s="112">
        <v>42751</v>
      </c>
    </row>
    <row r="473" spans="1:4">
      <c r="A473" s="110" t="s">
        <v>1581</v>
      </c>
      <c r="B473" s="110" t="s">
        <v>1147</v>
      </c>
      <c r="C473" s="110">
        <v>1.9630000000000001</v>
      </c>
      <c r="D473" s="112">
        <v>42751</v>
      </c>
    </row>
    <row r="474" spans="1:4">
      <c r="A474" s="110" t="s">
        <v>1580</v>
      </c>
      <c r="B474" s="110" t="s">
        <v>1147</v>
      </c>
      <c r="C474" s="110">
        <v>1.9970000000000001</v>
      </c>
      <c r="D474" s="112">
        <v>42751</v>
      </c>
    </row>
    <row r="475" spans="1:4">
      <c r="A475" s="110" t="s">
        <v>1579</v>
      </c>
      <c r="B475" s="110" t="s">
        <v>1147</v>
      </c>
      <c r="C475" s="110">
        <v>1.9910000000000001</v>
      </c>
      <c r="D475" s="112">
        <v>42751</v>
      </c>
    </row>
    <row r="476" spans="1:4">
      <c r="A476" s="110" t="s">
        <v>1578</v>
      </c>
      <c r="B476" s="110" t="s">
        <v>1147</v>
      </c>
      <c r="C476" s="110">
        <v>1.9710000000000001</v>
      </c>
      <c r="D476" s="112">
        <v>42751</v>
      </c>
    </row>
    <row r="477" spans="1:4">
      <c r="A477" s="110" t="s">
        <v>1577</v>
      </c>
      <c r="B477" s="110" t="s">
        <v>1147</v>
      </c>
      <c r="C477" s="110">
        <v>2.077</v>
      </c>
      <c r="D477" s="112">
        <v>42751</v>
      </c>
    </row>
    <row r="478" spans="1:4">
      <c r="A478" s="110" t="s">
        <v>1576</v>
      </c>
      <c r="B478" s="110" t="s">
        <v>1147</v>
      </c>
      <c r="C478" s="110">
        <v>2.1930000000000001</v>
      </c>
      <c r="D478" s="112">
        <v>42751</v>
      </c>
    </row>
    <row r="479" spans="1:4">
      <c r="A479" s="110" t="s">
        <v>1575</v>
      </c>
      <c r="B479" s="110" t="s">
        <v>1147</v>
      </c>
      <c r="C479" s="110">
        <v>2.0110000000000001</v>
      </c>
      <c r="D479" s="112">
        <v>42751</v>
      </c>
    </row>
    <row r="480" spans="1:4">
      <c r="A480" s="110" t="s">
        <v>1574</v>
      </c>
      <c r="B480" s="110" t="s">
        <v>1147</v>
      </c>
      <c r="C480" s="110">
        <v>2.121</v>
      </c>
      <c r="D480" s="112">
        <v>42751</v>
      </c>
    </row>
    <row r="481" spans="1:4">
      <c r="A481" s="110" t="s">
        <v>1573</v>
      </c>
      <c r="B481" s="110" t="s">
        <v>1147</v>
      </c>
      <c r="C481" s="110">
        <v>2.073</v>
      </c>
      <c r="D481" s="112">
        <v>42751</v>
      </c>
    </row>
    <row r="482" spans="1:4">
      <c r="A482" s="110" t="s">
        <v>1572</v>
      </c>
      <c r="B482" s="110" t="s">
        <v>1147</v>
      </c>
      <c r="C482" s="110">
        <v>2.056</v>
      </c>
      <c r="D482" s="112">
        <v>42751</v>
      </c>
    </row>
    <row r="483" spans="1:4">
      <c r="A483" s="110" t="s">
        <v>1571</v>
      </c>
      <c r="B483" s="110" t="s">
        <v>1147</v>
      </c>
      <c r="C483" s="110">
        <v>1.982</v>
      </c>
      <c r="D483" s="112">
        <v>42751</v>
      </c>
    </row>
    <row r="484" spans="1:4">
      <c r="A484" s="110" t="s">
        <v>1570</v>
      </c>
      <c r="B484" s="110" t="s">
        <v>1147</v>
      </c>
      <c r="C484" s="110">
        <v>1.9850000000000001</v>
      </c>
      <c r="D484" s="112">
        <v>42751</v>
      </c>
    </row>
    <row r="485" spans="1:4">
      <c r="A485" s="110" t="s">
        <v>1569</v>
      </c>
      <c r="B485" s="110" t="s">
        <v>1147</v>
      </c>
      <c r="C485" s="110">
        <v>2.0529999999999999</v>
      </c>
      <c r="D485" s="112">
        <v>42751</v>
      </c>
    </row>
    <row r="486" spans="1:4">
      <c r="A486" s="110" t="s">
        <v>1568</v>
      </c>
      <c r="B486" s="110" t="s">
        <v>1147</v>
      </c>
      <c r="C486" s="110">
        <v>2.056</v>
      </c>
      <c r="D486" s="112">
        <v>42751</v>
      </c>
    </row>
    <row r="487" spans="1:4">
      <c r="A487" s="110" t="s">
        <v>1567</v>
      </c>
      <c r="B487" s="110" t="s">
        <v>1147</v>
      </c>
      <c r="C487" s="110">
        <v>1.9750000000000001</v>
      </c>
      <c r="D487" s="112">
        <v>42751</v>
      </c>
    </row>
    <row r="488" spans="1:4">
      <c r="A488" s="110" t="s">
        <v>1566</v>
      </c>
      <c r="B488" s="110" t="s">
        <v>1147</v>
      </c>
      <c r="C488" s="110">
        <v>2.0009999999999999</v>
      </c>
      <c r="D488" s="112">
        <v>42751</v>
      </c>
    </row>
    <row r="489" spans="1:4">
      <c r="A489" s="110" t="s">
        <v>1565</v>
      </c>
      <c r="B489" s="110" t="s">
        <v>1147</v>
      </c>
      <c r="C489" s="110">
        <v>1.9890000000000001</v>
      </c>
      <c r="D489" s="112">
        <v>42751</v>
      </c>
    </row>
    <row r="490" spans="1:4">
      <c r="A490" s="110" t="s">
        <v>1564</v>
      </c>
      <c r="B490" s="110" t="s">
        <v>1147</v>
      </c>
      <c r="C490" s="110">
        <v>2.0049999999999999</v>
      </c>
      <c r="D490" s="112">
        <v>42751</v>
      </c>
    </row>
    <row r="491" spans="1:4">
      <c r="A491" s="110" t="s">
        <v>1563</v>
      </c>
      <c r="B491" s="110" t="s">
        <v>1147</v>
      </c>
      <c r="C491" s="110">
        <v>1.9259999999999999</v>
      </c>
      <c r="D491" s="112">
        <v>42751</v>
      </c>
    </row>
    <row r="492" spans="1:4">
      <c r="A492" s="110" t="s">
        <v>1562</v>
      </c>
      <c r="B492" s="110" t="s">
        <v>1147</v>
      </c>
      <c r="C492" s="110">
        <v>1.9910000000000001</v>
      </c>
      <c r="D492" s="112">
        <v>42751</v>
      </c>
    </row>
    <row r="493" spans="1:4">
      <c r="A493" s="110" t="s">
        <v>1561</v>
      </c>
      <c r="B493" s="110" t="s">
        <v>1147</v>
      </c>
      <c r="C493" s="110">
        <v>1.9</v>
      </c>
      <c r="D493" s="112">
        <v>42751</v>
      </c>
    </row>
    <row r="494" spans="1:4">
      <c r="A494" s="110" t="s">
        <v>1560</v>
      </c>
      <c r="B494" s="110" t="s">
        <v>1147</v>
      </c>
      <c r="C494" s="110">
        <v>1.881</v>
      </c>
      <c r="D494" s="112">
        <v>42751</v>
      </c>
    </row>
    <row r="495" spans="1:4">
      <c r="A495" s="110" t="s">
        <v>1559</v>
      </c>
      <c r="B495" s="110" t="s">
        <v>1147</v>
      </c>
      <c r="C495" s="110">
        <v>2.0249999999999999</v>
      </c>
      <c r="D495" s="112">
        <v>42751</v>
      </c>
    </row>
    <row r="496" spans="1:4">
      <c r="A496" s="110" t="s">
        <v>1558</v>
      </c>
      <c r="B496" s="110" t="s">
        <v>1147</v>
      </c>
      <c r="C496" s="110">
        <v>1.948</v>
      </c>
      <c r="D496" s="112">
        <v>42751</v>
      </c>
    </row>
    <row r="497" spans="1:4">
      <c r="A497" s="110" t="s">
        <v>1557</v>
      </c>
      <c r="B497" s="110" t="s">
        <v>1147</v>
      </c>
      <c r="C497" s="110">
        <v>2.0510000000000002</v>
      </c>
      <c r="D497" s="112">
        <v>42751</v>
      </c>
    </row>
    <row r="498" spans="1:4">
      <c r="A498" s="110" t="s">
        <v>1556</v>
      </c>
      <c r="B498" s="110" t="s">
        <v>1147</v>
      </c>
      <c r="C498" s="110">
        <v>1.903</v>
      </c>
      <c r="D498" s="112">
        <v>42751</v>
      </c>
    </row>
    <row r="499" spans="1:4">
      <c r="A499" s="110" t="s">
        <v>1555</v>
      </c>
      <c r="B499" s="110" t="s">
        <v>1147</v>
      </c>
      <c r="C499" s="110">
        <v>2.0390000000000001</v>
      </c>
      <c r="D499" s="112">
        <v>42751</v>
      </c>
    </row>
    <row r="500" spans="1:4">
      <c r="A500" s="110" t="s">
        <v>1554</v>
      </c>
      <c r="B500" s="110" t="s">
        <v>1147</v>
      </c>
      <c r="C500" s="110">
        <v>1.8480000000000001</v>
      </c>
      <c r="D500" s="112">
        <v>42751</v>
      </c>
    </row>
    <row r="501" spans="1:4">
      <c r="A501" s="110" t="s">
        <v>1553</v>
      </c>
      <c r="B501" s="110" t="s">
        <v>1147</v>
      </c>
      <c r="C501" s="110">
        <v>2.0019999999999998</v>
      </c>
      <c r="D501" s="112">
        <v>42751</v>
      </c>
    </row>
    <row r="502" spans="1:4">
      <c r="A502" s="110" t="s">
        <v>1552</v>
      </c>
      <c r="B502" s="110" t="s">
        <v>1147</v>
      </c>
      <c r="C502" s="110">
        <v>1.744</v>
      </c>
      <c r="D502" s="112">
        <v>42751</v>
      </c>
    </row>
    <row r="503" spans="1:4">
      <c r="A503" s="110" t="s">
        <v>1551</v>
      </c>
      <c r="B503" s="110" t="s">
        <v>1147</v>
      </c>
      <c r="C503" s="110">
        <v>1.9419999999999999</v>
      </c>
      <c r="D503" s="112">
        <v>42751</v>
      </c>
    </row>
    <row r="504" spans="1:4">
      <c r="A504" s="110" t="s">
        <v>1550</v>
      </c>
      <c r="B504" s="110" t="s">
        <v>1147</v>
      </c>
      <c r="C504" s="110">
        <v>2.0830000000000002</v>
      </c>
      <c r="D504" s="112">
        <v>42751</v>
      </c>
    </row>
    <row r="505" spans="1:4">
      <c r="A505" s="110" t="s">
        <v>1549</v>
      </c>
      <c r="B505" s="110" t="s">
        <v>1147</v>
      </c>
      <c r="C505" s="110">
        <v>1.917</v>
      </c>
      <c r="D505" s="112">
        <v>42751</v>
      </c>
    </row>
    <row r="506" spans="1:4">
      <c r="A506" s="110" t="s">
        <v>1548</v>
      </c>
      <c r="B506" s="110" t="s">
        <v>1147</v>
      </c>
      <c r="C506" s="110">
        <v>1.929</v>
      </c>
      <c r="D506" s="112">
        <v>42751</v>
      </c>
    </row>
    <row r="507" spans="1:4">
      <c r="A507" s="110" t="s">
        <v>1547</v>
      </c>
      <c r="B507" s="110" t="s">
        <v>1147</v>
      </c>
      <c r="C507" s="110">
        <v>1.9810000000000001</v>
      </c>
      <c r="D507" s="112">
        <v>42751</v>
      </c>
    </row>
    <row r="508" spans="1:4">
      <c r="A508" s="110" t="s">
        <v>1546</v>
      </c>
      <c r="B508" s="110" t="s">
        <v>1147</v>
      </c>
      <c r="C508" s="110">
        <v>2.0009999999999999</v>
      </c>
      <c r="D508" s="112">
        <v>42751</v>
      </c>
    </row>
    <row r="509" spans="1:4">
      <c r="A509" s="110" t="s">
        <v>1545</v>
      </c>
      <c r="B509" s="110" t="s">
        <v>1147</v>
      </c>
      <c r="C509" s="110">
        <v>2.0510000000000002</v>
      </c>
      <c r="D509" s="112">
        <v>42751</v>
      </c>
    </row>
    <row r="510" spans="1:4">
      <c r="A510" s="110" t="s">
        <v>1544</v>
      </c>
      <c r="B510" s="110" t="s">
        <v>1147</v>
      </c>
      <c r="C510" s="110">
        <v>1.9079999999999999</v>
      </c>
      <c r="D510" s="112">
        <v>42751</v>
      </c>
    </row>
    <row r="511" spans="1:4">
      <c r="A511" s="110" t="s">
        <v>1543</v>
      </c>
      <c r="B511" s="110" t="s">
        <v>1147</v>
      </c>
      <c r="C511" s="110">
        <v>1.99</v>
      </c>
      <c r="D511" s="112">
        <v>42751</v>
      </c>
    </row>
    <row r="512" spans="1:4">
      <c r="A512" s="110" t="s">
        <v>1542</v>
      </c>
      <c r="B512" s="110" t="s">
        <v>1147</v>
      </c>
      <c r="C512" s="110">
        <v>1.9910000000000001</v>
      </c>
      <c r="D512" s="112">
        <v>42751</v>
      </c>
    </row>
    <row r="513" spans="1:4">
      <c r="A513" s="110" t="s">
        <v>1541</v>
      </c>
      <c r="B513" s="110" t="s">
        <v>1147</v>
      </c>
      <c r="C513" s="110">
        <v>2.048</v>
      </c>
      <c r="D513" s="112">
        <v>42751</v>
      </c>
    </row>
    <row r="514" spans="1:4">
      <c r="A514" s="110" t="s">
        <v>1540</v>
      </c>
      <c r="B514" s="110" t="s">
        <v>1147</v>
      </c>
      <c r="C514" s="110">
        <v>1.91</v>
      </c>
      <c r="D514" s="112">
        <v>42751</v>
      </c>
    </row>
    <row r="515" spans="1:4">
      <c r="A515" s="110" t="s">
        <v>1539</v>
      </c>
      <c r="B515" s="110" t="s">
        <v>1147</v>
      </c>
      <c r="C515" s="110">
        <v>1.9930000000000001</v>
      </c>
      <c r="D515" s="112">
        <v>42751</v>
      </c>
    </row>
    <row r="516" spans="1:4">
      <c r="A516" s="110" t="s">
        <v>1538</v>
      </c>
      <c r="B516" s="110" t="s">
        <v>1147</v>
      </c>
      <c r="C516" s="110">
        <v>2.0939999999999999</v>
      </c>
      <c r="D516" s="112">
        <v>42751</v>
      </c>
    </row>
    <row r="517" spans="1:4">
      <c r="A517" s="110" t="s">
        <v>1537</v>
      </c>
      <c r="B517" s="110" t="s">
        <v>1147</v>
      </c>
      <c r="C517" s="110">
        <v>2.0179999999999998</v>
      </c>
      <c r="D517" s="112">
        <v>42751</v>
      </c>
    </row>
    <row r="518" spans="1:4">
      <c r="A518" s="110" t="s">
        <v>1536</v>
      </c>
      <c r="B518" s="110" t="s">
        <v>1147</v>
      </c>
      <c r="C518" s="110">
        <v>1.9350000000000001</v>
      </c>
      <c r="D518" s="112">
        <v>42751</v>
      </c>
    </row>
    <row r="519" spans="1:4">
      <c r="A519" s="110" t="s">
        <v>1535</v>
      </c>
      <c r="B519" s="110" t="s">
        <v>1147</v>
      </c>
      <c r="C519" s="110">
        <v>1.9890000000000001</v>
      </c>
      <c r="D519" s="112">
        <v>42751</v>
      </c>
    </row>
    <row r="520" spans="1:4">
      <c r="A520" s="110" t="s">
        <v>1534</v>
      </c>
      <c r="B520" s="110" t="s">
        <v>1147</v>
      </c>
      <c r="C520" s="110">
        <v>2.1160000000000001</v>
      </c>
      <c r="D520" s="112">
        <v>42751</v>
      </c>
    </row>
    <row r="521" spans="1:4">
      <c r="A521" s="110" t="s">
        <v>1533</v>
      </c>
      <c r="B521" s="110" t="s">
        <v>1147</v>
      </c>
      <c r="C521" s="110">
        <v>2.069</v>
      </c>
      <c r="D521" s="112">
        <v>42751</v>
      </c>
    </row>
    <row r="522" spans="1:4">
      <c r="A522" s="110" t="s">
        <v>1532</v>
      </c>
      <c r="B522" s="110" t="s">
        <v>1147</v>
      </c>
      <c r="C522" s="110">
        <v>1.9950000000000001</v>
      </c>
      <c r="D522" s="112">
        <v>42751</v>
      </c>
    </row>
    <row r="523" spans="1:4">
      <c r="A523" s="110" t="s">
        <v>1531</v>
      </c>
      <c r="B523" s="110" t="s">
        <v>1147</v>
      </c>
      <c r="C523" s="110">
        <v>2.1429999999999998</v>
      </c>
      <c r="D523" s="112">
        <v>42751</v>
      </c>
    </row>
    <row r="524" spans="1:4">
      <c r="A524" s="110" t="s">
        <v>1530</v>
      </c>
      <c r="B524" s="110" t="s">
        <v>1147</v>
      </c>
      <c r="C524" s="110">
        <v>1.929</v>
      </c>
      <c r="D524" s="112">
        <v>42751</v>
      </c>
    </row>
    <row r="525" spans="1:4">
      <c r="A525" s="110" t="s">
        <v>1529</v>
      </c>
      <c r="B525" s="110" t="s">
        <v>1147</v>
      </c>
      <c r="C525" s="110">
        <v>2.1709999999999998</v>
      </c>
      <c r="D525" s="112">
        <v>42751</v>
      </c>
    </row>
    <row r="526" spans="1:4">
      <c r="A526" s="110" t="s">
        <v>1528</v>
      </c>
      <c r="B526" s="110" t="s">
        <v>1147</v>
      </c>
      <c r="C526" s="110">
        <v>1.821</v>
      </c>
      <c r="D526" s="112">
        <v>42751</v>
      </c>
    </row>
    <row r="527" spans="1:4">
      <c r="A527" s="110" t="s">
        <v>1527</v>
      </c>
      <c r="B527" s="110" t="s">
        <v>1147</v>
      </c>
      <c r="C527" s="110">
        <v>2.1419999999999999</v>
      </c>
      <c r="D527" s="112">
        <v>42751</v>
      </c>
    </row>
    <row r="528" spans="1:4">
      <c r="A528" s="110" t="s">
        <v>1526</v>
      </c>
      <c r="B528" s="110" t="s">
        <v>1147</v>
      </c>
      <c r="C528" s="110">
        <v>1.962</v>
      </c>
      <c r="D528" s="112">
        <v>42751</v>
      </c>
    </row>
    <row r="529" spans="1:4">
      <c r="A529" s="110" t="s">
        <v>1525</v>
      </c>
      <c r="B529" s="110" t="s">
        <v>1147</v>
      </c>
      <c r="C529" s="110">
        <v>2.0790000000000002</v>
      </c>
      <c r="D529" s="112">
        <v>42751</v>
      </c>
    </row>
    <row r="530" spans="1:4">
      <c r="A530" s="110" t="s">
        <v>1524</v>
      </c>
      <c r="B530" s="110" t="s">
        <v>1147</v>
      </c>
      <c r="C530" s="110">
        <v>2.0760000000000001</v>
      </c>
      <c r="D530" s="112">
        <v>42751</v>
      </c>
    </row>
    <row r="531" spans="1:4">
      <c r="A531" s="110" t="s">
        <v>1523</v>
      </c>
      <c r="B531" s="110" t="s">
        <v>1147</v>
      </c>
      <c r="C531" s="110">
        <v>1.913</v>
      </c>
      <c r="D531" s="112">
        <v>42751</v>
      </c>
    </row>
    <row r="532" spans="1:4">
      <c r="A532" s="110" t="s">
        <v>1522</v>
      </c>
      <c r="B532" s="110" t="s">
        <v>1147</v>
      </c>
      <c r="C532" s="110">
        <v>2.14</v>
      </c>
      <c r="D532" s="112">
        <v>42751</v>
      </c>
    </row>
    <row r="533" spans="1:4">
      <c r="A533" s="110" t="s">
        <v>1521</v>
      </c>
      <c r="B533" s="110" t="s">
        <v>1147</v>
      </c>
      <c r="C533" s="110">
        <v>2.089</v>
      </c>
      <c r="D533" s="112">
        <v>42751</v>
      </c>
    </row>
    <row r="534" spans="1:4">
      <c r="A534" s="110" t="s">
        <v>1520</v>
      </c>
      <c r="B534" s="110" t="s">
        <v>1147</v>
      </c>
      <c r="C534" s="110">
        <v>2.089</v>
      </c>
      <c r="D534" s="112">
        <v>42751</v>
      </c>
    </row>
    <row r="535" spans="1:4">
      <c r="A535" s="110" t="s">
        <v>1519</v>
      </c>
      <c r="B535" s="110" t="s">
        <v>1147</v>
      </c>
      <c r="C535" s="110">
        <v>2.0110000000000001</v>
      </c>
      <c r="D535" s="112">
        <v>42751</v>
      </c>
    </row>
    <row r="536" spans="1:4">
      <c r="A536" s="110" t="s">
        <v>1518</v>
      </c>
      <c r="B536" s="110" t="s">
        <v>1147</v>
      </c>
      <c r="C536" s="110">
        <v>2.036</v>
      </c>
      <c r="D536" s="112">
        <v>42751</v>
      </c>
    </row>
    <row r="537" spans="1:4">
      <c r="A537" s="110" t="s">
        <v>1517</v>
      </c>
      <c r="B537" s="110" t="s">
        <v>1147</v>
      </c>
      <c r="C537" s="110">
        <v>2.1070000000000002</v>
      </c>
      <c r="D537" s="112">
        <v>42751</v>
      </c>
    </row>
    <row r="538" spans="1:4">
      <c r="A538" s="110" t="s">
        <v>1516</v>
      </c>
      <c r="B538" s="110" t="s">
        <v>1147</v>
      </c>
      <c r="C538" s="110">
        <v>2.169</v>
      </c>
      <c r="D538" s="112">
        <v>42751</v>
      </c>
    </row>
    <row r="539" spans="1:4">
      <c r="A539" s="110" t="s">
        <v>1515</v>
      </c>
      <c r="B539" s="110" t="s">
        <v>1147</v>
      </c>
      <c r="C539" s="110">
        <v>2.0920000000000001</v>
      </c>
      <c r="D539" s="112">
        <v>42751</v>
      </c>
    </row>
    <row r="540" spans="1:4">
      <c r="A540" s="110" t="s">
        <v>1514</v>
      </c>
      <c r="B540" s="110" t="s">
        <v>1147</v>
      </c>
      <c r="C540" s="110">
        <v>2.0510000000000002</v>
      </c>
      <c r="D540" s="112">
        <v>42751</v>
      </c>
    </row>
    <row r="541" spans="1:4">
      <c r="A541" s="110" t="s">
        <v>1513</v>
      </c>
      <c r="B541" s="110" t="s">
        <v>1147</v>
      </c>
      <c r="C541" s="110">
        <v>1.9630000000000001</v>
      </c>
      <c r="D541" s="112">
        <v>42751</v>
      </c>
    </row>
    <row r="542" spans="1:4">
      <c r="A542" s="110" t="s">
        <v>1512</v>
      </c>
      <c r="B542" s="110" t="s">
        <v>1147</v>
      </c>
      <c r="C542" s="110">
        <v>2.1760000000000002</v>
      </c>
      <c r="D542" s="112">
        <v>42751</v>
      </c>
    </row>
    <row r="543" spans="1:4">
      <c r="A543" s="110" t="s">
        <v>1511</v>
      </c>
      <c r="B543" s="110" t="s">
        <v>1147</v>
      </c>
      <c r="C543" s="110">
        <v>2.1219999999999999</v>
      </c>
      <c r="D543" s="112">
        <v>42751</v>
      </c>
    </row>
    <row r="544" spans="1:4">
      <c r="A544" s="110" t="s">
        <v>1510</v>
      </c>
      <c r="B544" s="110" t="s">
        <v>1147</v>
      </c>
      <c r="C544" s="110">
        <v>2.0830000000000002</v>
      </c>
      <c r="D544" s="112">
        <v>42751</v>
      </c>
    </row>
    <row r="545" spans="1:4">
      <c r="A545" s="110" t="s">
        <v>1509</v>
      </c>
      <c r="B545" s="110" t="s">
        <v>1147</v>
      </c>
      <c r="C545" s="110">
        <v>1.978</v>
      </c>
      <c r="D545" s="112">
        <v>42751</v>
      </c>
    </row>
    <row r="546" spans="1:4">
      <c r="A546" s="110" t="s">
        <v>1508</v>
      </c>
      <c r="B546" s="110" t="s">
        <v>1147</v>
      </c>
      <c r="C546" s="110">
        <v>2.0779999999999998</v>
      </c>
      <c r="D546" s="112">
        <v>42751</v>
      </c>
    </row>
    <row r="547" spans="1:4">
      <c r="A547" s="110" t="s">
        <v>1507</v>
      </c>
      <c r="B547" s="110" t="s">
        <v>1147</v>
      </c>
      <c r="C547" s="110">
        <v>2.0920000000000001</v>
      </c>
      <c r="D547" s="112">
        <v>42751</v>
      </c>
    </row>
    <row r="548" spans="1:4">
      <c r="A548" s="110" t="s">
        <v>1506</v>
      </c>
      <c r="B548" s="110" t="s">
        <v>1147</v>
      </c>
      <c r="C548" s="110">
        <v>2.0830000000000002</v>
      </c>
      <c r="D548" s="112">
        <v>42751</v>
      </c>
    </row>
    <row r="549" spans="1:4">
      <c r="A549" s="110" t="s">
        <v>1505</v>
      </c>
      <c r="B549" s="110" t="s">
        <v>1147</v>
      </c>
      <c r="C549" s="110">
        <v>2.0720000000000001</v>
      </c>
      <c r="D549" s="112">
        <v>42751</v>
      </c>
    </row>
    <row r="550" spans="1:4">
      <c r="A550" s="110" t="s">
        <v>1504</v>
      </c>
      <c r="B550" s="110" t="s">
        <v>1147</v>
      </c>
      <c r="C550" s="110">
        <v>2.1429999999999998</v>
      </c>
      <c r="D550" s="112">
        <v>42751</v>
      </c>
    </row>
    <row r="551" spans="1:4">
      <c r="A551" s="110" t="s">
        <v>1503</v>
      </c>
      <c r="B551" s="110" t="s">
        <v>1147</v>
      </c>
      <c r="C551" s="110">
        <v>2.121</v>
      </c>
      <c r="D551" s="112">
        <v>42751</v>
      </c>
    </row>
    <row r="552" spans="1:4">
      <c r="A552" s="110" t="s">
        <v>1502</v>
      </c>
      <c r="B552" s="110" t="s">
        <v>1147</v>
      </c>
      <c r="C552" s="110">
        <v>2.169</v>
      </c>
      <c r="D552" s="112">
        <v>42751</v>
      </c>
    </row>
    <row r="553" spans="1:4">
      <c r="A553" s="110" t="s">
        <v>1501</v>
      </c>
      <c r="B553" s="110" t="s">
        <v>1147</v>
      </c>
      <c r="C553" s="110">
        <v>2.016</v>
      </c>
      <c r="D553" s="112">
        <v>42751</v>
      </c>
    </row>
    <row r="554" spans="1:4">
      <c r="A554" s="110" t="s">
        <v>1500</v>
      </c>
      <c r="B554" s="110" t="s">
        <v>1147</v>
      </c>
      <c r="C554" s="110">
        <v>2.097</v>
      </c>
      <c r="D554" s="112">
        <v>42751</v>
      </c>
    </row>
    <row r="555" spans="1:4">
      <c r="A555" s="110" t="s">
        <v>1499</v>
      </c>
      <c r="B555" s="110" t="s">
        <v>1147</v>
      </c>
      <c r="C555" s="110">
        <v>2.1160000000000001</v>
      </c>
      <c r="D555" s="112">
        <v>42751</v>
      </c>
    </row>
    <row r="556" spans="1:4">
      <c r="A556" s="110" t="s">
        <v>1498</v>
      </c>
      <c r="B556" s="110" t="s">
        <v>1147</v>
      </c>
      <c r="C556" s="110">
        <v>2.1110000000000002</v>
      </c>
      <c r="D556" s="112">
        <v>42751</v>
      </c>
    </row>
    <row r="557" spans="1:4">
      <c r="A557" s="110" t="s">
        <v>1497</v>
      </c>
      <c r="B557" s="110" t="s">
        <v>1147</v>
      </c>
      <c r="C557" s="110">
        <v>2.1139999999999999</v>
      </c>
      <c r="D557" s="112">
        <v>42751</v>
      </c>
    </row>
    <row r="558" spans="1:4">
      <c r="A558" s="110" t="s">
        <v>1496</v>
      </c>
      <c r="B558" s="110" t="s">
        <v>1147</v>
      </c>
      <c r="C558" s="110">
        <v>2.0840000000000001</v>
      </c>
      <c r="D558" s="112">
        <v>42751</v>
      </c>
    </row>
    <row r="559" spans="1:4">
      <c r="A559" s="110" t="s">
        <v>1495</v>
      </c>
      <c r="B559" s="110" t="s">
        <v>1147</v>
      </c>
      <c r="C559" s="110">
        <v>2.1469999999999998</v>
      </c>
      <c r="D559" s="112">
        <v>42751</v>
      </c>
    </row>
    <row r="560" spans="1:4">
      <c r="A560" s="110" t="s">
        <v>1494</v>
      </c>
      <c r="B560" s="110" t="s">
        <v>1147</v>
      </c>
      <c r="C560" s="110">
        <v>2.0329999999999999</v>
      </c>
      <c r="D560" s="112">
        <v>42751</v>
      </c>
    </row>
    <row r="561" spans="1:5">
      <c r="A561" s="110" t="s">
        <v>1493</v>
      </c>
      <c r="B561" s="110" t="s">
        <v>1147</v>
      </c>
      <c r="C561" s="110">
        <v>2.12</v>
      </c>
      <c r="D561" s="112">
        <v>42751</v>
      </c>
    </row>
    <row r="562" spans="1:5">
      <c r="A562" s="110" t="s">
        <v>1492</v>
      </c>
      <c r="B562" s="110" t="s">
        <v>1147</v>
      </c>
      <c r="C562" s="110">
        <v>2.1789999999999998</v>
      </c>
      <c r="D562" s="112">
        <v>42751</v>
      </c>
    </row>
    <row r="563" spans="1:5">
      <c r="A563" s="110" t="s">
        <v>1491</v>
      </c>
      <c r="B563" s="110" t="s">
        <v>1147</v>
      </c>
      <c r="C563" s="110">
        <v>2.085</v>
      </c>
      <c r="D563" s="112">
        <v>42751</v>
      </c>
    </row>
    <row r="564" spans="1:5">
      <c r="A564" s="110" t="s">
        <v>1490</v>
      </c>
      <c r="B564" s="110" t="s">
        <v>1147</v>
      </c>
      <c r="C564" s="110">
        <v>2.1219999999999999</v>
      </c>
      <c r="D564" s="112">
        <v>42751</v>
      </c>
    </row>
    <row r="565" spans="1:5">
      <c r="A565" s="110" t="s">
        <v>1489</v>
      </c>
      <c r="B565" s="110" t="s">
        <v>1147</v>
      </c>
      <c r="C565" s="110">
        <v>2.1259999999999999</v>
      </c>
      <c r="D565" s="112">
        <v>42751</v>
      </c>
    </row>
    <row r="566" spans="1:5">
      <c r="A566" s="110" t="s">
        <v>1488</v>
      </c>
      <c r="B566" s="110" t="s">
        <v>1147</v>
      </c>
      <c r="C566" s="110">
        <v>2.1419999999999999</v>
      </c>
      <c r="D566" s="112">
        <v>42751</v>
      </c>
    </row>
    <row r="567" spans="1:5">
      <c r="A567" s="110" t="s">
        <v>1487</v>
      </c>
      <c r="B567" s="110" t="s">
        <v>1147</v>
      </c>
      <c r="C567" s="110">
        <v>1.9390000000000001</v>
      </c>
      <c r="D567" s="112">
        <v>42751</v>
      </c>
    </row>
    <row r="568" spans="1:5">
      <c r="A568" s="110" t="s">
        <v>1486</v>
      </c>
      <c r="B568" s="110" t="s">
        <v>1147</v>
      </c>
      <c r="C568" s="110">
        <v>1.95</v>
      </c>
      <c r="D568" s="112">
        <v>42751</v>
      </c>
    </row>
    <row r="569" spans="1:5">
      <c r="A569" s="110" t="s">
        <v>1485</v>
      </c>
      <c r="B569" s="110" t="s">
        <v>1147</v>
      </c>
      <c r="C569" s="110">
        <v>2.109</v>
      </c>
      <c r="D569" s="112">
        <v>42751</v>
      </c>
    </row>
    <row r="570" spans="1:5">
      <c r="A570" s="110" t="s">
        <v>1484</v>
      </c>
      <c r="B570" s="110" t="s">
        <v>1147</v>
      </c>
      <c r="C570" s="110">
        <v>2.0449999999999999</v>
      </c>
      <c r="D570" s="112">
        <v>42751</v>
      </c>
    </row>
    <row r="571" spans="1:5">
      <c r="A571" s="110" t="s">
        <v>1483</v>
      </c>
      <c r="B571" s="110" t="s">
        <v>1147</v>
      </c>
      <c r="C571" s="110">
        <v>2.0569999999999999</v>
      </c>
      <c r="D571" s="112">
        <v>42751</v>
      </c>
    </row>
    <row r="572" spans="1:5">
      <c r="A572" s="110" t="s">
        <v>1482</v>
      </c>
      <c r="B572" s="110" t="s">
        <v>1147</v>
      </c>
      <c r="C572" s="110">
        <v>2.0059999999999998</v>
      </c>
      <c r="D572" s="112">
        <v>42751</v>
      </c>
    </row>
    <row r="573" spans="1:5">
      <c r="A573" s="176" t="s">
        <v>1481</v>
      </c>
      <c r="B573" s="176" t="s">
        <v>1147</v>
      </c>
      <c r="C573" s="176">
        <v>1.9950000000000001</v>
      </c>
      <c r="D573" s="177">
        <v>42751</v>
      </c>
      <c r="E573" s="176" t="s">
        <v>2480</v>
      </c>
    </row>
    <row r="574" spans="1:5">
      <c r="A574" s="110" t="s">
        <v>1480</v>
      </c>
      <c r="B574" s="110" t="s">
        <v>1147</v>
      </c>
      <c r="C574" s="110">
        <v>2.1040000000000001</v>
      </c>
      <c r="D574" s="112">
        <v>42751</v>
      </c>
    </row>
    <row r="575" spans="1:5">
      <c r="A575" s="110" t="s">
        <v>1479</v>
      </c>
      <c r="B575" s="110" t="s">
        <v>1147</v>
      </c>
      <c r="C575" s="110">
        <v>2.0489999999999999</v>
      </c>
      <c r="D575" s="112">
        <v>42751</v>
      </c>
    </row>
    <row r="576" spans="1:5">
      <c r="A576" s="110" t="s">
        <v>1478</v>
      </c>
      <c r="B576" s="110" t="s">
        <v>1147</v>
      </c>
      <c r="C576" s="110">
        <v>1.972</v>
      </c>
      <c r="D576" s="112">
        <v>42751</v>
      </c>
    </row>
    <row r="577" spans="1:4">
      <c r="A577" s="110" t="s">
        <v>1477</v>
      </c>
      <c r="B577" s="110" t="s">
        <v>1147</v>
      </c>
      <c r="C577" s="110">
        <v>2.0019999999999998</v>
      </c>
      <c r="D577" s="112">
        <v>42751</v>
      </c>
    </row>
    <row r="578" spans="1:4">
      <c r="A578" s="110" t="s">
        <v>1476</v>
      </c>
      <c r="B578" s="110" t="s">
        <v>1147</v>
      </c>
      <c r="C578" s="110">
        <v>1.984</v>
      </c>
      <c r="D578" s="112">
        <v>42751</v>
      </c>
    </row>
    <row r="579" spans="1:4">
      <c r="A579" s="110" t="s">
        <v>1475</v>
      </c>
      <c r="B579" s="110" t="s">
        <v>1147</v>
      </c>
      <c r="C579" s="110">
        <v>1.9970000000000001</v>
      </c>
      <c r="D579" s="112">
        <v>42751</v>
      </c>
    </row>
    <row r="580" spans="1:4">
      <c r="A580" s="110" t="s">
        <v>1474</v>
      </c>
      <c r="B580" s="110" t="s">
        <v>1147</v>
      </c>
      <c r="C580" s="110">
        <v>2.056</v>
      </c>
      <c r="D580" s="112">
        <v>42751</v>
      </c>
    </row>
    <row r="581" spans="1:4">
      <c r="A581" s="110" t="s">
        <v>1473</v>
      </c>
      <c r="B581" s="110" t="s">
        <v>1147</v>
      </c>
      <c r="C581" s="110">
        <v>1.9830000000000001</v>
      </c>
      <c r="D581" s="112">
        <v>42751</v>
      </c>
    </row>
    <row r="582" spans="1:4">
      <c r="A582" s="110" t="s">
        <v>1472</v>
      </c>
      <c r="B582" s="110" t="s">
        <v>1147</v>
      </c>
      <c r="C582" s="110">
        <v>1.998</v>
      </c>
      <c r="D582" s="112">
        <v>42751</v>
      </c>
    </row>
    <row r="583" spans="1:4">
      <c r="A583" s="110" t="s">
        <v>1471</v>
      </c>
      <c r="B583" s="110" t="s">
        <v>1147</v>
      </c>
      <c r="C583" s="110">
        <v>2.012</v>
      </c>
      <c r="D583" s="112">
        <v>42751</v>
      </c>
    </row>
    <row r="584" spans="1:4">
      <c r="A584" s="110" t="s">
        <v>1470</v>
      </c>
      <c r="B584" s="110" t="s">
        <v>1147</v>
      </c>
      <c r="C584" s="110">
        <v>2.1440000000000001</v>
      </c>
      <c r="D584" s="112">
        <v>42751</v>
      </c>
    </row>
    <row r="585" spans="1:4">
      <c r="A585" s="110" t="s">
        <v>1469</v>
      </c>
      <c r="B585" s="110" t="s">
        <v>1147</v>
      </c>
      <c r="C585" s="110">
        <v>2.0070000000000001</v>
      </c>
      <c r="D585" s="112">
        <v>42751</v>
      </c>
    </row>
    <row r="586" spans="1:4">
      <c r="A586" s="110" t="s">
        <v>1468</v>
      </c>
      <c r="B586" s="110" t="s">
        <v>1147</v>
      </c>
      <c r="C586" s="110">
        <v>2.0219999999999998</v>
      </c>
      <c r="D586" s="112">
        <v>42751</v>
      </c>
    </row>
    <row r="587" spans="1:4">
      <c r="A587" s="110" t="s">
        <v>1467</v>
      </c>
      <c r="B587" s="110" t="s">
        <v>1147</v>
      </c>
      <c r="C587" s="110">
        <v>2.1829999999999998</v>
      </c>
      <c r="D587" s="112">
        <v>42751</v>
      </c>
    </row>
    <row r="588" spans="1:4">
      <c r="A588" s="110" t="s">
        <v>1466</v>
      </c>
      <c r="B588" s="110" t="s">
        <v>1147</v>
      </c>
      <c r="C588" s="110">
        <v>2.1960000000000002</v>
      </c>
      <c r="D588" s="112">
        <v>42751</v>
      </c>
    </row>
    <row r="589" spans="1:4">
      <c r="A589" s="110" t="s">
        <v>1465</v>
      </c>
      <c r="B589" s="110" t="s">
        <v>1147</v>
      </c>
      <c r="C589" s="110">
        <v>2.1669999999999998</v>
      </c>
      <c r="D589" s="112">
        <v>42751</v>
      </c>
    </row>
    <row r="590" spans="1:4">
      <c r="A590" s="110" t="s">
        <v>1464</v>
      </c>
      <c r="B590" s="110" t="s">
        <v>1147</v>
      </c>
      <c r="C590" s="110">
        <v>1.9590000000000001</v>
      </c>
      <c r="D590" s="112">
        <v>42751</v>
      </c>
    </row>
    <row r="591" spans="1:4">
      <c r="A591" s="110" t="s">
        <v>1463</v>
      </c>
      <c r="B591" s="110" t="s">
        <v>1147</v>
      </c>
      <c r="C591" s="110">
        <v>2.0640000000000001</v>
      </c>
      <c r="D591" s="112">
        <v>42751</v>
      </c>
    </row>
    <row r="592" spans="1:4">
      <c r="A592" s="110" t="s">
        <v>1462</v>
      </c>
      <c r="B592" s="110" t="s">
        <v>1147</v>
      </c>
      <c r="C592" s="110">
        <v>2.14</v>
      </c>
      <c r="D592" s="112">
        <v>42751</v>
      </c>
    </row>
    <row r="593" spans="1:4">
      <c r="A593" s="110" t="s">
        <v>1461</v>
      </c>
      <c r="B593" s="110" t="s">
        <v>1147</v>
      </c>
      <c r="C593" s="110">
        <v>2.0419999999999998</v>
      </c>
      <c r="D593" s="112">
        <v>42751</v>
      </c>
    </row>
    <row r="594" spans="1:4">
      <c r="A594" s="110" t="s">
        <v>1460</v>
      </c>
      <c r="B594" s="110" t="s">
        <v>1147</v>
      </c>
      <c r="C594" s="110">
        <v>2.0830000000000002</v>
      </c>
      <c r="D594" s="112">
        <v>42751</v>
      </c>
    </row>
    <row r="595" spans="1:4">
      <c r="A595" s="110" t="s">
        <v>1459</v>
      </c>
      <c r="B595" s="110" t="s">
        <v>1147</v>
      </c>
      <c r="C595" s="110">
        <v>2.0920000000000001</v>
      </c>
      <c r="D595" s="112">
        <v>42751</v>
      </c>
    </row>
    <row r="596" spans="1:4">
      <c r="A596" s="110" t="s">
        <v>1458</v>
      </c>
      <c r="B596" s="110" t="s">
        <v>1147</v>
      </c>
      <c r="C596" s="110">
        <v>2.0699999999999998</v>
      </c>
      <c r="D596" s="112">
        <v>42751</v>
      </c>
    </row>
    <row r="597" spans="1:4">
      <c r="A597" s="110" t="s">
        <v>1457</v>
      </c>
      <c r="B597" s="110" t="s">
        <v>1147</v>
      </c>
      <c r="C597" s="110">
        <v>2.093</v>
      </c>
      <c r="D597" s="112">
        <v>42751</v>
      </c>
    </row>
    <row r="598" spans="1:4">
      <c r="A598" s="110" t="s">
        <v>1456</v>
      </c>
      <c r="B598" s="110" t="s">
        <v>1147</v>
      </c>
      <c r="C598" s="110">
        <v>2.0680000000000001</v>
      </c>
      <c r="D598" s="112">
        <v>42751</v>
      </c>
    </row>
    <row r="599" spans="1:4">
      <c r="A599" s="110" t="s">
        <v>1455</v>
      </c>
      <c r="B599" s="110" t="s">
        <v>1147</v>
      </c>
      <c r="C599" s="110">
        <v>2.1160000000000001</v>
      </c>
      <c r="D599" s="112">
        <v>42751</v>
      </c>
    </row>
    <row r="600" spans="1:4">
      <c r="A600" s="110" t="s">
        <v>1454</v>
      </c>
      <c r="B600" s="110" t="s">
        <v>1147</v>
      </c>
      <c r="C600" s="110">
        <v>2.0179999999999998</v>
      </c>
      <c r="D600" s="112">
        <v>42751</v>
      </c>
    </row>
    <row r="601" spans="1:4">
      <c r="A601" s="110" t="s">
        <v>1453</v>
      </c>
      <c r="B601" s="110" t="s">
        <v>1147</v>
      </c>
      <c r="C601" s="110">
        <v>1.948</v>
      </c>
      <c r="D601" s="112">
        <v>42751</v>
      </c>
    </row>
    <row r="602" spans="1:4">
      <c r="A602" s="110" t="s">
        <v>1452</v>
      </c>
      <c r="B602" s="110" t="s">
        <v>1147</v>
      </c>
      <c r="C602" s="110">
        <v>2.1680000000000001</v>
      </c>
      <c r="D602" s="112">
        <v>42751</v>
      </c>
    </row>
    <row r="603" spans="1:4">
      <c r="A603" s="110" t="s">
        <v>1451</v>
      </c>
      <c r="B603" s="110" t="s">
        <v>1147</v>
      </c>
      <c r="C603" s="110">
        <v>2.0760000000000001</v>
      </c>
      <c r="D603" s="112">
        <v>42751</v>
      </c>
    </row>
    <row r="604" spans="1:4">
      <c r="A604" s="110" t="s">
        <v>1450</v>
      </c>
      <c r="B604" s="110" t="s">
        <v>1147</v>
      </c>
      <c r="C604" s="110">
        <v>2.0049999999999999</v>
      </c>
      <c r="D604" s="112">
        <v>42751</v>
      </c>
    </row>
    <row r="605" spans="1:4">
      <c r="A605" s="110" t="s">
        <v>1449</v>
      </c>
      <c r="B605" s="110" t="s">
        <v>1147</v>
      </c>
      <c r="C605" s="110">
        <v>2.0099999999999998</v>
      </c>
      <c r="D605" s="112">
        <v>42752</v>
      </c>
    </row>
    <row r="606" spans="1:4">
      <c r="A606" s="110" t="s">
        <v>1448</v>
      </c>
      <c r="B606" s="110" t="s">
        <v>1147</v>
      </c>
      <c r="C606" s="110">
        <v>2.1030000000000002</v>
      </c>
      <c r="D606" s="112">
        <v>42752</v>
      </c>
    </row>
    <row r="607" spans="1:4">
      <c r="A607" s="110" t="s">
        <v>1447</v>
      </c>
      <c r="B607" s="110" t="s">
        <v>1147</v>
      </c>
      <c r="C607" s="110">
        <v>2.0430000000000001</v>
      </c>
      <c r="D607" s="112">
        <v>42752</v>
      </c>
    </row>
    <row r="608" spans="1:4">
      <c r="A608" s="110" t="s">
        <v>1446</v>
      </c>
      <c r="B608" s="110" t="s">
        <v>1147</v>
      </c>
      <c r="C608" s="110">
        <v>2.0390000000000001</v>
      </c>
      <c r="D608" s="112">
        <v>42752</v>
      </c>
    </row>
    <row r="609" spans="1:5">
      <c r="A609" s="110" t="s">
        <v>1445</v>
      </c>
      <c r="B609" s="110" t="s">
        <v>1147</v>
      </c>
      <c r="C609" s="110">
        <v>2.0459999999999998</v>
      </c>
      <c r="D609" s="112">
        <v>42752</v>
      </c>
    </row>
    <row r="610" spans="1:5">
      <c r="A610" s="110" t="s">
        <v>1444</v>
      </c>
      <c r="B610" s="110" t="s">
        <v>1147</v>
      </c>
      <c r="C610" s="110">
        <v>1.921</v>
      </c>
      <c r="D610" s="112">
        <v>42752</v>
      </c>
    </row>
    <row r="611" spans="1:5">
      <c r="A611" s="110" t="s">
        <v>1443</v>
      </c>
      <c r="B611" s="110" t="s">
        <v>1147</v>
      </c>
      <c r="C611" s="110">
        <v>1.9450000000000001</v>
      </c>
      <c r="D611" s="112">
        <v>42752</v>
      </c>
    </row>
    <row r="612" spans="1:5">
      <c r="A612" s="110" t="s">
        <v>1442</v>
      </c>
      <c r="B612" s="110" t="s">
        <v>1147</v>
      </c>
      <c r="C612" s="110">
        <v>2.0259999999999998</v>
      </c>
      <c r="D612" s="112">
        <v>42752</v>
      </c>
    </row>
    <row r="613" spans="1:5">
      <c r="A613" s="110" t="s">
        <v>1441</v>
      </c>
      <c r="B613" s="110" t="s">
        <v>1147</v>
      </c>
      <c r="C613" s="110">
        <v>2.089</v>
      </c>
      <c r="D613" s="112">
        <v>42752</v>
      </c>
    </row>
    <row r="614" spans="1:5">
      <c r="A614" s="110" t="s">
        <v>1440</v>
      </c>
      <c r="B614" s="110" t="s">
        <v>1147</v>
      </c>
      <c r="C614" s="110">
        <v>2.0379999999999998</v>
      </c>
      <c r="D614" s="112">
        <v>42752</v>
      </c>
    </row>
    <row r="615" spans="1:5">
      <c r="A615" s="176" t="s">
        <v>1439</v>
      </c>
      <c r="B615" s="176" t="s">
        <v>1147</v>
      </c>
      <c r="C615" s="176">
        <v>1.99</v>
      </c>
      <c r="D615" s="177">
        <v>42752</v>
      </c>
      <c r="E615" s="176" t="s">
        <v>2480</v>
      </c>
    </row>
    <row r="616" spans="1:5">
      <c r="A616" s="110" t="s">
        <v>1438</v>
      </c>
      <c r="B616" s="110" t="s">
        <v>1147</v>
      </c>
      <c r="C616" s="110">
        <v>2.004</v>
      </c>
      <c r="D616" s="112">
        <v>42752</v>
      </c>
    </row>
    <row r="617" spans="1:5">
      <c r="A617" s="110" t="s">
        <v>1437</v>
      </c>
      <c r="B617" s="110" t="s">
        <v>1147</v>
      </c>
      <c r="C617" s="110">
        <v>2.0339999999999998</v>
      </c>
      <c r="D617" s="112">
        <v>42752</v>
      </c>
    </row>
    <row r="618" spans="1:5">
      <c r="A618" s="110" t="s">
        <v>1436</v>
      </c>
      <c r="B618" s="110" t="s">
        <v>1147</v>
      </c>
      <c r="C618" s="110">
        <v>2.1709999999999998</v>
      </c>
      <c r="D618" s="112">
        <v>42752</v>
      </c>
    </row>
    <row r="619" spans="1:5">
      <c r="A619" s="110" t="s">
        <v>1435</v>
      </c>
      <c r="B619" s="110" t="s">
        <v>1147</v>
      </c>
      <c r="C619" s="110">
        <v>1.9630000000000001</v>
      </c>
      <c r="D619" s="112">
        <v>42752</v>
      </c>
    </row>
    <row r="620" spans="1:5">
      <c r="A620" s="110" t="s">
        <v>1434</v>
      </c>
      <c r="B620" s="110" t="s">
        <v>1147</v>
      </c>
      <c r="C620" s="110">
        <v>1.978</v>
      </c>
      <c r="D620" s="112">
        <v>42752</v>
      </c>
    </row>
    <row r="621" spans="1:5">
      <c r="A621" s="110" t="s">
        <v>1433</v>
      </c>
      <c r="B621" s="110" t="s">
        <v>1147</v>
      </c>
      <c r="C621" s="110">
        <v>2.0880000000000001</v>
      </c>
      <c r="D621" s="112">
        <v>42752</v>
      </c>
    </row>
    <row r="622" spans="1:5">
      <c r="A622" s="110" t="s">
        <v>1432</v>
      </c>
      <c r="B622" s="110" t="s">
        <v>1147</v>
      </c>
      <c r="C622" s="110">
        <v>2.0449999999999999</v>
      </c>
      <c r="D622" s="112">
        <v>42752</v>
      </c>
    </row>
    <row r="623" spans="1:5">
      <c r="A623" s="110" t="s">
        <v>1431</v>
      </c>
      <c r="B623" s="110" t="s">
        <v>1147</v>
      </c>
      <c r="C623" s="110">
        <v>2.036</v>
      </c>
      <c r="D623" s="112">
        <v>42752</v>
      </c>
    </row>
    <row r="624" spans="1:5">
      <c r="A624" s="110" t="s">
        <v>1430</v>
      </c>
      <c r="B624" s="110" t="s">
        <v>1147</v>
      </c>
      <c r="C624" s="110">
        <v>2.0019999999999998</v>
      </c>
      <c r="D624" s="112">
        <v>42752</v>
      </c>
    </row>
    <row r="625" spans="1:4">
      <c r="A625" s="110" t="s">
        <v>1429</v>
      </c>
      <c r="B625" s="110" t="s">
        <v>1147</v>
      </c>
      <c r="C625" s="110">
        <v>1.925</v>
      </c>
      <c r="D625" s="112">
        <v>42752</v>
      </c>
    </row>
    <row r="626" spans="1:4">
      <c r="A626" s="110" t="s">
        <v>1428</v>
      </c>
      <c r="B626" s="110" t="s">
        <v>1147</v>
      </c>
      <c r="C626" s="110">
        <v>1.978</v>
      </c>
      <c r="D626" s="112">
        <v>42752</v>
      </c>
    </row>
    <row r="627" spans="1:4">
      <c r="A627" s="110" t="s">
        <v>1427</v>
      </c>
      <c r="B627" s="110" t="s">
        <v>1147</v>
      </c>
      <c r="C627" s="110">
        <v>2.1040000000000001</v>
      </c>
      <c r="D627" s="112">
        <v>42752</v>
      </c>
    </row>
    <row r="628" spans="1:4">
      <c r="A628" s="110" t="s">
        <v>1426</v>
      </c>
      <c r="B628" s="110" t="s">
        <v>1147</v>
      </c>
      <c r="C628" s="110">
        <v>2.024</v>
      </c>
      <c r="D628" s="112">
        <v>42752</v>
      </c>
    </row>
    <row r="629" spans="1:4">
      <c r="A629" s="110" t="s">
        <v>1425</v>
      </c>
      <c r="B629" s="110" t="s">
        <v>1147</v>
      </c>
      <c r="C629" s="110">
        <v>1.9650000000000001</v>
      </c>
      <c r="D629" s="112">
        <v>42752</v>
      </c>
    </row>
    <row r="630" spans="1:4">
      <c r="A630" s="110" t="s">
        <v>1424</v>
      </c>
      <c r="B630" s="110" t="s">
        <v>1147</v>
      </c>
      <c r="C630" s="110">
        <v>2.1179999999999999</v>
      </c>
      <c r="D630" s="112">
        <v>42752</v>
      </c>
    </row>
    <row r="631" spans="1:4">
      <c r="A631" s="110" t="s">
        <v>1423</v>
      </c>
      <c r="B631" s="110" t="s">
        <v>1147</v>
      </c>
      <c r="C631" s="110">
        <v>2.153</v>
      </c>
      <c r="D631" s="112">
        <v>42752</v>
      </c>
    </row>
    <row r="632" spans="1:4">
      <c r="A632" s="110" t="s">
        <v>1422</v>
      </c>
      <c r="B632" s="110" t="s">
        <v>1147</v>
      </c>
      <c r="C632" s="110">
        <v>2.0739999999999998</v>
      </c>
      <c r="D632" s="112">
        <v>42752</v>
      </c>
    </row>
    <row r="633" spans="1:4">
      <c r="A633" s="110" t="s">
        <v>1421</v>
      </c>
      <c r="B633" s="110" t="s">
        <v>1147</v>
      </c>
      <c r="C633" s="110">
        <v>1.978</v>
      </c>
      <c r="D633" s="112">
        <v>42752</v>
      </c>
    </row>
    <row r="634" spans="1:4">
      <c r="A634" s="110" t="s">
        <v>1420</v>
      </c>
      <c r="B634" s="110" t="s">
        <v>1147</v>
      </c>
      <c r="C634" s="110">
        <v>2.12</v>
      </c>
      <c r="D634" s="112">
        <v>42752</v>
      </c>
    </row>
    <row r="635" spans="1:4">
      <c r="A635" s="110" t="s">
        <v>1419</v>
      </c>
      <c r="B635" s="110" t="s">
        <v>1147</v>
      </c>
      <c r="C635" s="110">
        <v>1.99</v>
      </c>
      <c r="D635" s="112">
        <v>42752</v>
      </c>
    </row>
    <row r="636" spans="1:4">
      <c r="A636" s="110" t="s">
        <v>1418</v>
      </c>
      <c r="B636" s="110" t="s">
        <v>1147</v>
      </c>
      <c r="C636" s="110">
        <v>2.0779999999999998</v>
      </c>
      <c r="D636" s="112">
        <v>42752</v>
      </c>
    </row>
    <row r="637" spans="1:4">
      <c r="A637" s="110" t="s">
        <v>1417</v>
      </c>
      <c r="B637" s="110" t="s">
        <v>1147</v>
      </c>
      <c r="C637" s="110">
        <v>2.0630000000000002</v>
      </c>
      <c r="D637" s="112">
        <v>42752</v>
      </c>
    </row>
    <row r="638" spans="1:4">
      <c r="A638" s="110" t="s">
        <v>1416</v>
      </c>
      <c r="B638" s="110" t="s">
        <v>1147</v>
      </c>
      <c r="C638" s="110">
        <v>2.02</v>
      </c>
      <c r="D638" s="112">
        <v>42752</v>
      </c>
    </row>
    <row r="639" spans="1:4">
      <c r="A639" s="110" t="s">
        <v>1415</v>
      </c>
      <c r="B639" s="110" t="s">
        <v>1147</v>
      </c>
      <c r="C639" s="110">
        <v>2.073</v>
      </c>
      <c r="D639" s="112">
        <v>42752</v>
      </c>
    </row>
    <row r="640" spans="1:4">
      <c r="A640" s="110" t="s">
        <v>1414</v>
      </c>
      <c r="B640" s="110" t="s">
        <v>1147</v>
      </c>
      <c r="C640" s="110">
        <v>2.133</v>
      </c>
      <c r="D640" s="112">
        <v>42752</v>
      </c>
    </row>
    <row r="641" spans="1:4">
      <c r="A641" s="110" t="s">
        <v>1413</v>
      </c>
      <c r="B641" s="110" t="s">
        <v>1147</v>
      </c>
      <c r="C641" s="110">
        <v>2.1110000000000002</v>
      </c>
      <c r="D641" s="112">
        <v>42752</v>
      </c>
    </row>
    <row r="642" spans="1:4">
      <c r="A642" s="110" t="s">
        <v>1412</v>
      </c>
      <c r="B642" s="110" t="s">
        <v>1147</v>
      </c>
      <c r="C642" s="110">
        <v>2.0409999999999999</v>
      </c>
      <c r="D642" s="112">
        <v>42752</v>
      </c>
    </row>
    <row r="643" spans="1:4">
      <c r="A643" s="110" t="s">
        <v>1411</v>
      </c>
      <c r="B643" s="110" t="s">
        <v>1147</v>
      </c>
      <c r="C643" s="110">
        <v>2.1909999999999998</v>
      </c>
      <c r="D643" s="112">
        <v>42752</v>
      </c>
    </row>
    <row r="644" spans="1:4">
      <c r="A644" s="110" t="s">
        <v>1410</v>
      </c>
      <c r="B644" s="110" t="s">
        <v>1147</v>
      </c>
      <c r="C644" s="110">
        <v>2.0640000000000001</v>
      </c>
      <c r="D644" s="112">
        <v>42752</v>
      </c>
    </row>
    <row r="645" spans="1:4">
      <c r="A645" s="110" t="s">
        <v>1409</v>
      </c>
      <c r="B645" s="110" t="s">
        <v>1147</v>
      </c>
      <c r="C645" s="110">
        <v>2.14</v>
      </c>
      <c r="D645" s="112">
        <v>42752</v>
      </c>
    </row>
    <row r="646" spans="1:4">
      <c r="A646" s="110" t="s">
        <v>1408</v>
      </c>
      <c r="B646" s="110" t="s">
        <v>1147</v>
      </c>
      <c r="C646" s="110">
        <v>2.1269999999999998</v>
      </c>
      <c r="D646" s="112">
        <v>42752</v>
      </c>
    </row>
    <row r="647" spans="1:4">
      <c r="A647" s="110" t="s">
        <v>1407</v>
      </c>
      <c r="B647" s="110" t="s">
        <v>1147</v>
      </c>
      <c r="C647" s="110">
        <v>2.0510000000000002</v>
      </c>
      <c r="D647" s="112">
        <v>42752</v>
      </c>
    </row>
    <row r="648" spans="1:4">
      <c r="A648" s="110" t="s">
        <v>1406</v>
      </c>
      <c r="B648" s="110" t="s">
        <v>1147</v>
      </c>
      <c r="C648" s="110">
        <v>2.157</v>
      </c>
      <c r="D648" s="112">
        <v>42752</v>
      </c>
    </row>
    <row r="649" spans="1:4">
      <c r="A649" s="110" t="s">
        <v>1405</v>
      </c>
      <c r="B649" s="110" t="s">
        <v>1147</v>
      </c>
      <c r="C649" s="110">
        <v>2.238</v>
      </c>
      <c r="D649" s="112">
        <v>42752</v>
      </c>
    </row>
    <row r="650" spans="1:4">
      <c r="A650" s="110" t="s">
        <v>1404</v>
      </c>
      <c r="B650" s="110" t="s">
        <v>1147</v>
      </c>
      <c r="C650" s="110">
        <v>2.1629999999999998</v>
      </c>
      <c r="D650" s="112">
        <v>42752</v>
      </c>
    </row>
    <row r="651" spans="1:4">
      <c r="A651" s="110" t="s">
        <v>1403</v>
      </c>
      <c r="B651" s="110" t="s">
        <v>1147</v>
      </c>
      <c r="C651" s="110">
        <v>2.1240000000000001</v>
      </c>
      <c r="D651" s="112">
        <v>42752</v>
      </c>
    </row>
    <row r="652" spans="1:4">
      <c r="A652" s="110" t="s">
        <v>1402</v>
      </c>
      <c r="B652" s="110" t="s">
        <v>1147</v>
      </c>
      <c r="C652" s="110">
        <v>2.0249999999999999</v>
      </c>
      <c r="D652" s="112">
        <v>42752</v>
      </c>
    </row>
    <row r="653" spans="1:4">
      <c r="A653" s="110" t="s">
        <v>1401</v>
      </c>
      <c r="B653" s="110" t="s">
        <v>1147</v>
      </c>
      <c r="C653" s="110">
        <v>2.1379999999999999</v>
      </c>
      <c r="D653" s="112">
        <v>42752</v>
      </c>
    </row>
    <row r="654" spans="1:4">
      <c r="A654" s="110" t="s">
        <v>1400</v>
      </c>
      <c r="B654" s="110" t="s">
        <v>1147</v>
      </c>
      <c r="C654" s="110">
        <v>2.0270000000000001</v>
      </c>
      <c r="D654" s="112">
        <v>42752</v>
      </c>
    </row>
    <row r="655" spans="1:4">
      <c r="A655" s="110" t="s">
        <v>1399</v>
      </c>
      <c r="B655" s="110" t="s">
        <v>1147</v>
      </c>
      <c r="C655" s="110">
        <v>1.97</v>
      </c>
      <c r="D655" s="112">
        <v>42752</v>
      </c>
    </row>
    <row r="656" spans="1:4">
      <c r="A656" s="110" t="s">
        <v>1398</v>
      </c>
      <c r="B656" s="110" t="s">
        <v>1147</v>
      </c>
      <c r="C656" s="110">
        <v>2.024</v>
      </c>
      <c r="D656" s="112">
        <v>42752</v>
      </c>
    </row>
    <row r="657" spans="1:4">
      <c r="A657" s="110" t="s">
        <v>1397</v>
      </c>
      <c r="B657" s="110" t="s">
        <v>1147</v>
      </c>
      <c r="C657" s="110">
        <v>2.089</v>
      </c>
      <c r="D657" s="112">
        <v>42752</v>
      </c>
    </row>
    <row r="658" spans="1:4">
      <c r="A658" s="110" t="s">
        <v>1396</v>
      </c>
      <c r="B658" s="110" t="s">
        <v>1147</v>
      </c>
      <c r="C658" s="110">
        <v>2.0169999999999999</v>
      </c>
      <c r="D658" s="112">
        <v>42752</v>
      </c>
    </row>
    <row r="659" spans="1:4">
      <c r="A659" s="110" t="s">
        <v>1395</v>
      </c>
      <c r="B659" s="110" t="s">
        <v>1147</v>
      </c>
      <c r="C659" s="110">
        <v>2.0009999999999999</v>
      </c>
      <c r="D659" s="112">
        <v>42752</v>
      </c>
    </row>
    <row r="660" spans="1:4">
      <c r="A660" s="110" t="s">
        <v>1394</v>
      </c>
      <c r="B660" s="110" t="s">
        <v>1147</v>
      </c>
      <c r="C660" s="110">
        <v>2.1320000000000001</v>
      </c>
      <c r="D660" s="112">
        <v>42752</v>
      </c>
    </row>
    <row r="661" spans="1:4">
      <c r="A661" s="110" t="s">
        <v>1393</v>
      </c>
      <c r="B661" s="110" t="s">
        <v>1147</v>
      </c>
      <c r="C661" s="110">
        <v>1.9910000000000001</v>
      </c>
      <c r="D661" s="112">
        <v>42752</v>
      </c>
    </row>
    <row r="662" spans="1:4">
      <c r="A662" s="110" t="s">
        <v>1392</v>
      </c>
      <c r="B662" s="110" t="s">
        <v>1147</v>
      </c>
      <c r="C662" s="110">
        <v>2.129</v>
      </c>
      <c r="D662" s="112">
        <v>42752</v>
      </c>
    </row>
    <row r="663" spans="1:4">
      <c r="A663" s="110" t="s">
        <v>1391</v>
      </c>
      <c r="B663" s="110" t="s">
        <v>1147</v>
      </c>
      <c r="C663" s="110">
        <v>2.0529999999999999</v>
      </c>
      <c r="D663" s="112">
        <v>42752</v>
      </c>
    </row>
    <row r="664" spans="1:4">
      <c r="A664" s="110" t="s">
        <v>1390</v>
      </c>
      <c r="B664" s="110" t="s">
        <v>1147</v>
      </c>
      <c r="C664" s="110">
        <v>2.0339999999999998</v>
      </c>
      <c r="D664" s="112">
        <v>42752</v>
      </c>
    </row>
    <row r="665" spans="1:4">
      <c r="A665" s="110" t="s">
        <v>1389</v>
      </c>
      <c r="B665" s="110" t="s">
        <v>1147</v>
      </c>
      <c r="C665" s="110">
        <v>2.0630000000000002</v>
      </c>
      <c r="D665" s="112">
        <v>42752</v>
      </c>
    </row>
    <row r="666" spans="1:4">
      <c r="A666" s="110" t="s">
        <v>1388</v>
      </c>
      <c r="B666" s="110" t="s">
        <v>1147</v>
      </c>
      <c r="C666" s="110">
        <v>2.1349999999999998</v>
      </c>
      <c r="D666" s="112">
        <v>42752</v>
      </c>
    </row>
    <row r="667" spans="1:4">
      <c r="A667" s="110" t="s">
        <v>1387</v>
      </c>
      <c r="B667" s="110" t="s">
        <v>1147</v>
      </c>
      <c r="C667" s="110">
        <v>2.0760000000000001</v>
      </c>
      <c r="D667" s="112">
        <v>42752</v>
      </c>
    </row>
    <row r="668" spans="1:4">
      <c r="A668" s="110" t="s">
        <v>1386</v>
      </c>
      <c r="B668" s="110" t="s">
        <v>1147</v>
      </c>
      <c r="C668" s="110">
        <v>2.0510000000000002</v>
      </c>
      <c r="D668" s="112">
        <v>42752</v>
      </c>
    </row>
    <row r="669" spans="1:4">
      <c r="A669" s="110" t="s">
        <v>1385</v>
      </c>
      <c r="B669" s="110" t="s">
        <v>1147</v>
      </c>
      <c r="C669" s="110">
        <v>2.09</v>
      </c>
      <c r="D669" s="112">
        <v>42752</v>
      </c>
    </row>
    <row r="670" spans="1:4">
      <c r="A670" s="110" t="s">
        <v>1384</v>
      </c>
      <c r="B670" s="110" t="s">
        <v>1147</v>
      </c>
      <c r="C670" s="110">
        <v>2.0819999999999999</v>
      </c>
      <c r="D670" s="112">
        <v>42752</v>
      </c>
    </row>
    <row r="671" spans="1:4">
      <c r="A671" s="110" t="s">
        <v>1383</v>
      </c>
      <c r="B671" s="110" t="s">
        <v>1147</v>
      </c>
      <c r="C671" s="110">
        <v>2.048</v>
      </c>
      <c r="D671" s="112">
        <v>42752</v>
      </c>
    </row>
    <row r="672" spans="1:4">
      <c r="A672" s="110" t="s">
        <v>1382</v>
      </c>
      <c r="B672" s="110" t="s">
        <v>1147</v>
      </c>
      <c r="C672" s="110">
        <v>2.0299999999999998</v>
      </c>
      <c r="D672" s="112">
        <v>42752</v>
      </c>
    </row>
    <row r="673" spans="1:4">
      <c r="A673" s="110" t="s">
        <v>1381</v>
      </c>
      <c r="B673" s="110" t="s">
        <v>1147</v>
      </c>
      <c r="C673" s="110">
        <v>1.9359999999999999</v>
      </c>
      <c r="D673" s="112">
        <v>42752</v>
      </c>
    </row>
    <row r="674" spans="1:4">
      <c r="A674" s="110" t="s">
        <v>1380</v>
      </c>
      <c r="B674" s="110" t="s">
        <v>1147</v>
      </c>
      <c r="C674" s="110">
        <v>2.0950000000000002</v>
      </c>
      <c r="D674" s="112">
        <v>42752</v>
      </c>
    </row>
    <row r="675" spans="1:4">
      <c r="A675" s="110" t="s">
        <v>1379</v>
      </c>
      <c r="B675" s="110" t="s">
        <v>1147</v>
      </c>
      <c r="C675" s="110">
        <v>2.0510000000000002</v>
      </c>
      <c r="D675" s="112">
        <v>42752</v>
      </c>
    </row>
    <row r="676" spans="1:4">
      <c r="A676" s="110" t="s">
        <v>1378</v>
      </c>
      <c r="B676" s="110" t="s">
        <v>1147</v>
      </c>
      <c r="C676" s="110">
        <v>2.0350000000000001</v>
      </c>
      <c r="D676" s="112">
        <v>42752</v>
      </c>
    </row>
    <row r="677" spans="1:4">
      <c r="A677" s="110" t="s">
        <v>1377</v>
      </c>
      <c r="B677" s="110" t="s">
        <v>1147</v>
      </c>
      <c r="C677" s="110">
        <v>2.1160000000000001</v>
      </c>
      <c r="D677" s="112">
        <v>42752</v>
      </c>
    </row>
    <row r="678" spans="1:4">
      <c r="A678" s="110" t="s">
        <v>1376</v>
      </c>
      <c r="B678" s="110" t="s">
        <v>1147</v>
      </c>
      <c r="C678" s="110">
        <v>1.9950000000000001</v>
      </c>
      <c r="D678" s="112">
        <v>42752</v>
      </c>
    </row>
    <row r="679" spans="1:4">
      <c r="A679" s="110" t="s">
        <v>1375</v>
      </c>
      <c r="B679" s="110" t="s">
        <v>1147</v>
      </c>
      <c r="C679" s="110">
        <v>1.9950000000000001</v>
      </c>
      <c r="D679" s="112">
        <v>42752</v>
      </c>
    </row>
    <row r="680" spans="1:4">
      <c r="A680" s="110" t="s">
        <v>1374</v>
      </c>
      <c r="B680" s="110" t="s">
        <v>1147</v>
      </c>
      <c r="C680" s="110">
        <v>2.048</v>
      </c>
      <c r="D680" s="112">
        <v>42752</v>
      </c>
    </row>
    <row r="681" spans="1:4">
      <c r="A681" s="110" t="s">
        <v>1373</v>
      </c>
      <c r="B681" s="110" t="s">
        <v>1147</v>
      </c>
      <c r="C681" s="110">
        <v>2.1269999999999998</v>
      </c>
      <c r="D681" s="112">
        <v>42752</v>
      </c>
    </row>
    <row r="682" spans="1:4">
      <c r="A682" s="110" t="s">
        <v>1372</v>
      </c>
      <c r="B682" s="110" t="s">
        <v>1147</v>
      </c>
      <c r="C682" s="110">
        <v>2.012</v>
      </c>
      <c r="D682" s="112">
        <v>42752</v>
      </c>
    </row>
    <row r="683" spans="1:4">
      <c r="A683" s="110" t="s">
        <v>1371</v>
      </c>
      <c r="B683" s="110" t="s">
        <v>1147</v>
      </c>
      <c r="C683" s="110">
        <v>2.052</v>
      </c>
      <c r="D683" s="112">
        <v>42752</v>
      </c>
    </row>
    <row r="684" spans="1:4">
      <c r="A684" s="110" t="s">
        <v>1370</v>
      </c>
      <c r="B684" s="110" t="s">
        <v>1147</v>
      </c>
      <c r="C684" s="110">
        <v>2.0049999999999999</v>
      </c>
      <c r="D684" s="112">
        <v>42752</v>
      </c>
    </row>
    <row r="685" spans="1:4">
      <c r="A685" s="110" t="s">
        <v>1369</v>
      </c>
      <c r="B685" s="110" t="s">
        <v>1147</v>
      </c>
      <c r="C685" s="110">
        <v>2.0790000000000002</v>
      </c>
      <c r="D685" s="112">
        <v>42752</v>
      </c>
    </row>
    <row r="686" spans="1:4">
      <c r="A686" s="110" t="s">
        <v>1368</v>
      </c>
      <c r="B686" s="110" t="s">
        <v>1147</v>
      </c>
      <c r="C686" s="110">
        <v>2.0230000000000001</v>
      </c>
      <c r="D686" s="112">
        <v>42752</v>
      </c>
    </row>
    <row r="687" spans="1:4">
      <c r="A687" s="110" t="s">
        <v>1367</v>
      </c>
      <c r="B687" s="110" t="s">
        <v>1147</v>
      </c>
      <c r="C687" s="110">
        <v>2.1179999999999999</v>
      </c>
      <c r="D687" s="112">
        <v>42752</v>
      </c>
    </row>
    <row r="688" spans="1:4">
      <c r="A688" s="110" t="s">
        <v>1366</v>
      </c>
      <c r="B688" s="110" t="s">
        <v>1147</v>
      </c>
      <c r="C688" s="110">
        <v>2.0819999999999999</v>
      </c>
      <c r="D688" s="112">
        <v>42752</v>
      </c>
    </row>
    <row r="689" spans="1:4">
      <c r="A689" s="110" t="s">
        <v>1365</v>
      </c>
      <c r="B689" s="110" t="s">
        <v>1147</v>
      </c>
      <c r="C689" s="110">
        <v>1.9810000000000001</v>
      </c>
      <c r="D689" s="112">
        <v>42752</v>
      </c>
    </row>
    <row r="690" spans="1:4">
      <c r="A690" s="110" t="s">
        <v>1364</v>
      </c>
      <c r="B690" s="110" t="s">
        <v>1147</v>
      </c>
      <c r="C690" s="110">
        <v>1.9510000000000001</v>
      </c>
      <c r="D690" s="112">
        <v>42752</v>
      </c>
    </row>
    <row r="691" spans="1:4">
      <c r="A691" s="110" t="s">
        <v>1363</v>
      </c>
      <c r="B691" s="110" t="s">
        <v>1147</v>
      </c>
      <c r="C691" s="110">
        <v>2.0649999999999999</v>
      </c>
      <c r="D691" s="112">
        <v>42752</v>
      </c>
    </row>
    <row r="692" spans="1:4">
      <c r="A692" s="110" t="s">
        <v>1362</v>
      </c>
      <c r="B692" s="110" t="s">
        <v>1147</v>
      </c>
      <c r="C692" s="110">
        <v>2.125</v>
      </c>
      <c r="D692" s="112">
        <v>42752</v>
      </c>
    </row>
    <row r="693" spans="1:4">
      <c r="A693" s="110" t="s">
        <v>1361</v>
      </c>
      <c r="B693" s="110" t="s">
        <v>1147</v>
      </c>
      <c r="C693" s="110">
        <v>2.0339999999999998</v>
      </c>
      <c r="D693" s="112">
        <v>42752</v>
      </c>
    </row>
    <row r="694" spans="1:4">
      <c r="A694" s="110" t="s">
        <v>1360</v>
      </c>
      <c r="B694" s="110" t="s">
        <v>1147</v>
      </c>
      <c r="C694" s="110">
        <v>2.0739999999999998</v>
      </c>
      <c r="D694" s="112">
        <v>42752</v>
      </c>
    </row>
    <row r="695" spans="1:4">
      <c r="A695" s="110" t="s">
        <v>1359</v>
      </c>
      <c r="B695" s="110" t="s">
        <v>1147</v>
      </c>
      <c r="C695" s="110">
        <v>2.0950000000000002</v>
      </c>
      <c r="D695" s="112">
        <v>42752</v>
      </c>
    </row>
    <row r="696" spans="1:4">
      <c r="A696" s="110" t="s">
        <v>1358</v>
      </c>
      <c r="B696" s="110" t="s">
        <v>1147</v>
      </c>
      <c r="C696" s="110">
        <v>2.028</v>
      </c>
      <c r="D696" s="112">
        <v>42752</v>
      </c>
    </row>
    <row r="697" spans="1:4">
      <c r="A697" s="110" t="s">
        <v>1357</v>
      </c>
      <c r="B697" s="110" t="s">
        <v>1147</v>
      </c>
      <c r="C697" s="110">
        <v>2.0710000000000002</v>
      </c>
      <c r="D697" s="112">
        <v>42752</v>
      </c>
    </row>
    <row r="698" spans="1:4">
      <c r="A698" s="110" t="s">
        <v>1356</v>
      </c>
      <c r="B698" s="110" t="s">
        <v>1147</v>
      </c>
      <c r="C698" s="110">
        <v>1.992</v>
      </c>
      <c r="D698" s="112">
        <v>42752</v>
      </c>
    </row>
    <row r="699" spans="1:4">
      <c r="A699" s="110" t="s">
        <v>1355</v>
      </c>
      <c r="B699" s="110" t="s">
        <v>1147</v>
      </c>
      <c r="C699" s="110">
        <v>2.0190000000000001</v>
      </c>
      <c r="D699" s="112">
        <v>42752</v>
      </c>
    </row>
    <row r="700" spans="1:4">
      <c r="A700" s="110" t="s">
        <v>1354</v>
      </c>
      <c r="B700" s="110" t="s">
        <v>1147</v>
      </c>
      <c r="C700" s="110">
        <v>2.036</v>
      </c>
      <c r="D700" s="112">
        <v>42752</v>
      </c>
    </row>
    <row r="701" spans="1:4">
      <c r="A701" s="110" t="s">
        <v>1353</v>
      </c>
      <c r="B701" s="110" t="s">
        <v>1147</v>
      </c>
      <c r="C701" s="110">
        <v>2.1110000000000002</v>
      </c>
      <c r="D701" s="112">
        <v>42752</v>
      </c>
    </row>
    <row r="702" spans="1:4">
      <c r="A702" s="110" t="s">
        <v>1352</v>
      </c>
      <c r="B702" s="110" t="s">
        <v>1147</v>
      </c>
      <c r="C702" s="110">
        <v>2.085</v>
      </c>
      <c r="D702" s="112">
        <v>42752</v>
      </c>
    </row>
    <row r="703" spans="1:4">
      <c r="A703" s="110" t="s">
        <v>1351</v>
      </c>
      <c r="B703" s="110" t="s">
        <v>1147</v>
      </c>
      <c r="C703" s="110">
        <v>1.984</v>
      </c>
      <c r="D703" s="112">
        <v>42752</v>
      </c>
    </row>
    <row r="704" spans="1:4">
      <c r="A704" s="110" t="s">
        <v>1350</v>
      </c>
      <c r="B704" s="110" t="s">
        <v>1147</v>
      </c>
      <c r="C704" s="110">
        <v>2.0190000000000001</v>
      </c>
      <c r="D704" s="112">
        <v>42752</v>
      </c>
    </row>
    <row r="705" spans="1:4">
      <c r="A705" s="110" t="s">
        <v>1349</v>
      </c>
      <c r="B705" s="110" t="s">
        <v>1147</v>
      </c>
      <c r="C705" s="110">
        <v>1.9159999999999999</v>
      </c>
      <c r="D705" s="112">
        <v>42752</v>
      </c>
    </row>
    <row r="706" spans="1:4">
      <c r="A706" s="110" t="s">
        <v>1348</v>
      </c>
      <c r="B706" s="110" t="s">
        <v>1147</v>
      </c>
      <c r="C706" s="110">
        <v>2.109</v>
      </c>
      <c r="D706" s="112">
        <v>42752</v>
      </c>
    </row>
    <row r="707" spans="1:4">
      <c r="A707" s="110" t="s">
        <v>1347</v>
      </c>
      <c r="B707" s="110" t="s">
        <v>1147</v>
      </c>
      <c r="C707" s="110">
        <v>1.9159999999999999</v>
      </c>
      <c r="D707" s="112">
        <v>42752</v>
      </c>
    </row>
    <row r="708" spans="1:4">
      <c r="A708" s="110" t="s">
        <v>1346</v>
      </c>
      <c r="B708" s="110" t="s">
        <v>1147</v>
      </c>
      <c r="C708" s="110">
        <v>2.0219999999999998</v>
      </c>
      <c r="D708" s="112">
        <v>42752</v>
      </c>
    </row>
    <row r="709" spans="1:4">
      <c r="A709" s="110" t="s">
        <v>1345</v>
      </c>
      <c r="B709" s="110" t="s">
        <v>1147</v>
      </c>
      <c r="C709" s="110">
        <v>1.9830000000000001</v>
      </c>
      <c r="D709" s="112">
        <v>42752</v>
      </c>
    </row>
    <row r="710" spans="1:4">
      <c r="A710" s="110" t="s">
        <v>1344</v>
      </c>
      <c r="B710" s="110" t="s">
        <v>1147</v>
      </c>
      <c r="C710" s="110">
        <v>1.9450000000000001</v>
      </c>
      <c r="D710" s="112">
        <v>42752</v>
      </c>
    </row>
    <row r="711" spans="1:4">
      <c r="A711" s="110" t="s">
        <v>1343</v>
      </c>
      <c r="B711" s="110" t="s">
        <v>1147</v>
      </c>
      <c r="C711" s="110">
        <v>2.008</v>
      </c>
      <c r="D711" s="112">
        <v>42752</v>
      </c>
    </row>
    <row r="712" spans="1:4">
      <c r="A712" s="110" t="s">
        <v>1342</v>
      </c>
      <c r="B712" s="110" t="s">
        <v>1147</v>
      </c>
      <c r="C712" s="110">
        <v>2.0030000000000001</v>
      </c>
      <c r="D712" s="112">
        <v>42752</v>
      </c>
    </row>
    <row r="713" spans="1:4">
      <c r="A713" s="110" t="s">
        <v>1341</v>
      </c>
      <c r="B713" s="110" t="s">
        <v>1147</v>
      </c>
      <c r="C713" s="110">
        <v>1.9670000000000001</v>
      </c>
      <c r="D713" s="112">
        <v>42752</v>
      </c>
    </row>
    <row r="714" spans="1:4">
      <c r="A714" s="110" t="s">
        <v>1340</v>
      </c>
      <c r="B714" s="110" t="s">
        <v>1147</v>
      </c>
      <c r="C714" s="110">
        <v>2.0270000000000001</v>
      </c>
      <c r="D714" s="112">
        <v>42752</v>
      </c>
    </row>
    <row r="715" spans="1:4">
      <c r="A715" s="110" t="s">
        <v>1339</v>
      </c>
      <c r="B715" s="110" t="s">
        <v>1147</v>
      </c>
      <c r="C715" s="110">
        <v>2.1070000000000002</v>
      </c>
      <c r="D715" s="112">
        <v>42752</v>
      </c>
    </row>
    <row r="716" spans="1:4">
      <c r="A716" s="110" t="s">
        <v>1338</v>
      </c>
      <c r="B716" s="110" t="s">
        <v>1147</v>
      </c>
      <c r="C716" s="110">
        <v>2.0630000000000002</v>
      </c>
      <c r="D716" s="112">
        <v>42752</v>
      </c>
    </row>
    <row r="717" spans="1:4">
      <c r="A717" s="110" t="s">
        <v>1337</v>
      </c>
      <c r="B717" s="110" t="s">
        <v>1147</v>
      </c>
      <c r="C717" s="110">
        <v>2.1779999999999999</v>
      </c>
      <c r="D717" s="112">
        <v>42752</v>
      </c>
    </row>
    <row r="718" spans="1:4">
      <c r="A718" s="110" t="s">
        <v>1336</v>
      </c>
      <c r="B718" s="110" t="s">
        <v>1147</v>
      </c>
      <c r="C718" s="110">
        <v>2.0459999999999998</v>
      </c>
      <c r="D718" s="112">
        <v>42752</v>
      </c>
    </row>
    <row r="719" spans="1:4">
      <c r="A719" s="110" t="s">
        <v>1335</v>
      </c>
      <c r="B719" s="110" t="s">
        <v>1147</v>
      </c>
      <c r="C719" s="110">
        <v>2.0179999999999998</v>
      </c>
      <c r="D719" s="112">
        <v>42752</v>
      </c>
    </row>
    <row r="720" spans="1:4">
      <c r="A720" s="110" t="s">
        <v>1334</v>
      </c>
      <c r="B720" s="110" t="s">
        <v>1147</v>
      </c>
      <c r="C720" s="110">
        <v>2.117</v>
      </c>
      <c r="D720" s="112">
        <v>42752</v>
      </c>
    </row>
    <row r="721" spans="1:4">
      <c r="A721" s="110" t="s">
        <v>1333</v>
      </c>
      <c r="B721" s="110" t="s">
        <v>1147</v>
      </c>
      <c r="C721" s="110">
        <v>1.944</v>
      </c>
      <c r="D721" s="112">
        <v>42752</v>
      </c>
    </row>
    <row r="722" spans="1:4">
      <c r="A722" s="110" t="s">
        <v>1332</v>
      </c>
      <c r="B722" s="110" t="s">
        <v>1147</v>
      </c>
      <c r="C722" s="110">
        <v>2.0369999999999999</v>
      </c>
      <c r="D722" s="112">
        <v>42752</v>
      </c>
    </row>
    <row r="723" spans="1:4">
      <c r="A723" s="110" t="s">
        <v>1331</v>
      </c>
      <c r="B723" s="110" t="s">
        <v>1147</v>
      </c>
      <c r="C723" s="110">
        <v>2.02</v>
      </c>
      <c r="D723" s="112">
        <v>42752</v>
      </c>
    </row>
    <row r="724" spans="1:4">
      <c r="A724" s="110" t="s">
        <v>1330</v>
      </c>
      <c r="B724" s="110" t="s">
        <v>1147</v>
      </c>
      <c r="C724" s="110">
        <v>2.0350000000000001</v>
      </c>
      <c r="D724" s="112">
        <v>42752</v>
      </c>
    </row>
    <row r="725" spans="1:4">
      <c r="A725" s="110" t="s">
        <v>1329</v>
      </c>
      <c r="B725" s="110" t="s">
        <v>1147</v>
      </c>
      <c r="C725" s="110">
        <v>1.9910000000000001</v>
      </c>
      <c r="D725" s="112">
        <v>42752</v>
      </c>
    </row>
    <row r="726" spans="1:4">
      <c r="A726" s="110" t="s">
        <v>1328</v>
      </c>
      <c r="B726" s="110" t="s">
        <v>1147</v>
      </c>
      <c r="C726" s="110">
        <v>2.0790000000000002</v>
      </c>
      <c r="D726" s="112">
        <v>42752</v>
      </c>
    </row>
    <row r="727" spans="1:4">
      <c r="A727" s="110" t="s">
        <v>1327</v>
      </c>
      <c r="B727" s="110" t="s">
        <v>1147</v>
      </c>
      <c r="C727" s="110">
        <v>2.0129999999999999</v>
      </c>
      <c r="D727" s="112">
        <v>42752</v>
      </c>
    </row>
    <row r="728" spans="1:4">
      <c r="A728" s="110" t="s">
        <v>1326</v>
      </c>
      <c r="B728" s="110" t="s">
        <v>1147</v>
      </c>
      <c r="C728" s="110">
        <v>2.0289999999999999</v>
      </c>
      <c r="D728" s="112">
        <v>42752</v>
      </c>
    </row>
    <row r="729" spans="1:4">
      <c r="A729" s="110" t="s">
        <v>1325</v>
      </c>
      <c r="B729" s="110" t="s">
        <v>1147</v>
      </c>
      <c r="C729" s="110">
        <v>2.0270000000000001</v>
      </c>
      <c r="D729" s="112">
        <v>42752</v>
      </c>
    </row>
    <row r="730" spans="1:4">
      <c r="A730" s="110" t="s">
        <v>1324</v>
      </c>
      <c r="B730" s="110" t="s">
        <v>1147</v>
      </c>
      <c r="C730" s="110">
        <v>1.9950000000000001</v>
      </c>
      <c r="D730" s="112">
        <v>42752</v>
      </c>
    </row>
    <row r="731" spans="1:4">
      <c r="A731" s="110" t="s">
        <v>1323</v>
      </c>
      <c r="B731" s="110" t="s">
        <v>1147</v>
      </c>
      <c r="C731" s="110">
        <v>2.0270000000000001</v>
      </c>
      <c r="D731" s="112">
        <v>42752</v>
      </c>
    </row>
    <row r="732" spans="1:4">
      <c r="A732" s="110" t="s">
        <v>1322</v>
      </c>
      <c r="B732" s="110" t="s">
        <v>1147</v>
      </c>
      <c r="C732" s="110">
        <v>1.962</v>
      </c>
      <c r="D732" s="112">
        <v>42752</v>
      </c>
    </row>
    <row r="733" spans="1:4">
      <c r="A733" s="110" t="s">
        <v>1321</v>
      </c>
      <c r="B733" s="110" t="s">
        <v>1147</v>
      </c>
      <c r="C733" s="110">
        <v>1.984</v>
      </c>
      <c r="D733" s="112">
        <v>42752</v>
      </c>
    </row>
    <row r="734" spans="1:4">
      <c r="A734" s="110" t="s">
        <v>1320</v>
      </c>
      <c r="B734" s="110" t="s">
        <v>1147</v>
      </c>
      <c r="C734" s="110">
        <v>2.048</v>
      </c>
      <c r="D734" s="112">
        <v>42752</v>
      </c>
    </row>
    <row r="735" spans="1:4">
      <c r="A735" s="110" t="s">
        <v>1319</v>
      </c>
      <c r="B735" s="110" t="s">
        <v>1147</v>
      </c>
      <c r="C735" s="110">
        <v>2.14</v>
      </c>
      <c r="D735" s="112">
        <v>42752</v>
      </c>
    </row>
    <row r="736" spans="1:4">
      <c r="A736" s="110" t="s">
        <v>1318</v>
      </c>
      <c r="B736" s="110" t="s">
        <v>1147</v>
      </c>
      <c r="C736" s="110">
        <v>2.0880000000000001</v>
      </c>
      <c r="D736" s="112">
        <v>42752</v>
      </c>
    </row>
    <row r="737" spans="1:4">
      <c r="A737" s="110" t="s">
        <v>1317</v>
      </c>
      <c r="B737" s="110" t="s">
        <v>1147</v>
      </c>
      <c r="C737" s="110">
        <v>1.8280000000000001</v>
      </c>
      <c r="D737" s="112">
        <v>42752</v>
      </c>
    </row>
    <row r="738" spans="1:4">
      <c r="A738" s="110" t="s">
        <v>1316</v>
      </c>
      <c r="B738" s="110" t="s">
        <v>1147</v>
      </c>
      <c r="C738" s="110">
        <v>1.9870000000000001</v>
      </c>
      <c r="D738" s="112">
        <v>42752</v>
      </c>
    </row>
    <row r="739" spans="1:4">
      <c r="A739" s="110" t="s">
        <v>1315</v>
      </c>
      <c r="B739" s="110" t="s">
        <v>1147</v>
      </c>
      <c r="C739" s="110">
        <v>2.0950000000000002</v>
      </c>
      <c r="D739" s="112">
        <v>42752</v>
      </c>
    </row>
    <row r="740" spans="1:4">
      <c r="A740" s="110" t="s">
        <v>1314</v>
      </c>
      <c r="B740" s="110" t="s">
        <v>1147</v>
      </c>
      <c r="C740" s="110">
        <v>2.0760000000000001</v>
      </c>
      <c r="D740" s="112">
        <v>42752</v>
      </c>
    </row>
    <row r="741" spans="1:4">
      <c r="A741" s="110" t="s">
        <v>1313</v>
      </c>
      <c r="B741" s="110" t="s">
        <v>1147</v>
      </c>
      <c r="C741" s="110">
        <v>1.841</v>
      </c>
      <c r="D741" s="112">
        <v>42752</v>
      </c>
    </row>
    <row r="742" spans="1:4">
      <c r="A742" s="110" t="s">
        <v>1312</v>
      </c>
      <c r="B742" s="110" t="s">
        <v>1147</v>
      </c>
      <c r="C742" s="110">
        <v>2.0089999999999999</v>
      </c>
      <c r="D742" s="112">
        <v>42752</v>
      </c>
    </row>
    <row r="743" spans="1:4">
      <c r="A743" s="110" t="s">
        <v>1311</v>
      </c>
      <c r="B743" s="110" t="s">
        <v>1147</v>
      </c>
      <c r="C743" s="110">
        <v>2.0499999999999998</v>
      </c>
      <c r="D743" s="112">
        <v>42752</v>
      </c>
    </row>
    <row r="744" spans="1:4">
      <c r="A744" s="110" t="s">
        <v>1310</v>
      </c>
      <c r="B744" s="110" t="s">
        <v>1147</v>
      </c>
      <c r="C744" s="110">
        <v>1.915</v>
      </c>
      <c r="D744" s="112">
        <v>42752</v>
      </c>
    </row>
    <row r="745" spans="1:4">
      <c r="A745" s="110" t="s">
        <v>1309</v>
      </c>
      <c r="B745" s="110" t="s">
        <v>1147</v>
      </c>
      <c r="C745" s="110">
        <v>2.1019999999999999</v>
      </c>
      <c r="D745" s="112">
        <v>42752</v>
      </c>
    </row>
    <row r="746" spans="1:4">
      <c r="A746" s="110" t="s">
        <v>1308</v>
      </c>
      <c r="B746" s="110" t="s">
        <v>1147</v>
      </c>
      <c r="C746" s="110">
        <v>2.0510000000000002</v>
      </c>
      <c r="D746" s="112">
        <v>42752</v>
      </c>
    </row>
    <row r="747" spans="1:4">
      <c r="A747" s="110" t="s">
        <v>1307</v>
      </c>
      <c r="B747" s="110" t="s">
        <v>1147</v>
      </c>
      <c r="C747" s="110">
        <v>2.0339999999999998</v>
      </c>
      <c r="D747" s="112">
        <v>42752</v>
      </c>
    </row>
    <row r="748" spans="1:4">
      <c r="A748" s="110" t="s">
        <v>1306</v>
      </c>
      <c r="B748" s="110" t="s">
        <v>1147</v>
      </c>
      <c r="C748" s="110">
        <v>2.085</v>
      </c>
      <c r="D748" s="112">
        <v>42752</v>
      </c>
    </row>
    <row r="749" spans="1:4">
      <c r="A749" s="110" t="s">
        <v>1305</v>
      </c>
      <c r="B749" s="110" t="s">
        <v>1147</v>
      </c>
      <c r="C749" s="110">
        <v>1.9570000000000001</v>
      </c>
      <c r="D749" s="112">
        <v>42752</v>
      </c>
    </row>
    <row r="750" spans="1:4">
      <c r="A750" s="110" t="s">
        <v>1304</v>
      </c>
      <c r="B750" s="110" t="s">
        <v>1147</v>
      </c>
      <c r="C750" s="110">
        <v>2.198</v>
      </c>
      <c r="D750" s="112">
        <v>42752</v>
      </c>
    </row>
    <row r="751" spans="1:4">
      <c r="A751" s="110" t="s">
        <v>1303</v>
      </c>
      <c r="B751" s="110" t="s">
        <v>1147</v>
      </c>
      <c r="C751" s="110">
        <v>2.044</v>
      </c>
      <c r="D751" s="112">
        <v>42752</v>
      </c>
    </row>
    <row r="752" spans="1:4">
      <c r="A752" s="110" t="s">
        <v>1302</v>
      </c>
      <c r="B752" s="110" t="s">
        <v>1147</v>
      </c>
      <c r="C752" s="110">
        <v>2.081</v>
      </c>
      <c r="D752" s="112">
        <v>42752</v>
      </c>
    </row>
    <row r="753" spans="1:4">
      <c r="A753" s="110" t="s">
        <v>1301</v>
      </c>
      <c r="B753" s="110" t="s">
        <v>1147</v>
      </c>
      <c r="C753" s="110">
        <v>2.0179999999999998</v>
      </c>
      <c r="D753" s="112">
        <v>42752</v>
      </c>
    </row>
    <row r="754" spans="1:4">
      <c r="A754" s="110" t="s">
        <v>1300</v>
      </c>
      <c r="B754" s="110" t="s">
        <v>1147</v>
      </c>
      <c r="C754" s="110">
        <v>1.966</v>
      </c>
      <c r="D754" s="112">
        <v>42752</v>
      </c>
    </row>
    <row r="755" spans="1:4">
      <c r="A755" s="110" t="s">
        <v>1299</v>
      </c>
      <c r="B755" s="110" t="s">
        <v>1147</v>
      </c>
      <c r="C755" s="110">
        <v>2.0750000000000002</v>
      </c>
      <c r="D755" s="112">
        <v>42752</v>
      </c>
    </row>
    <row r="756" spans="1:4">
      <c r="A756" s="110" t="s">
        <v>1298</v>
      </c>
      <c r="B756" s="110" t="s">
        <v>1147</v>
      </c>
      <c r="C756" s="110">
        <v>2.15</v>
      </c>
      <c r="D756" s="112">
        <v>42752</v>
      </c>
    </row>
    <row r="757" spans="1:4">
      <c r="A757" s="110" t="s">
        <v>1297</v>
      </c>
      <c r="B757" s="110" t="s">
        <v>1147</v>
      </c>
      <c r="C757" s="110">
        <v>2.0649999999999999</v>
      </c>
      <c r="D757" s="112">
        <v>42752</v>
      </c>
    </row>
    <row r="758" spans="1:4">
      <c r="A758" s="110" t="s">
        <v>1296</v>
      </c>
      <c r="B758" s="110" t="s">
        <v>1147</v>
      </c>
      <c r="C758" s="110">
        <v>2.0609999999999999</v>
      </c>
      <c r="D758" s="112">
        <v>42752</v>
      </c>
    </row>
    <row r="759" spans="1:4">
      <c r="A759" s="110" t="s">
        <v>1295</v>
      </c>
      <c r="B759" s="110" t="s">
        <v>1147</v>
      </c>
      <c r="C759" s="110">
        <v>2.0190000000000001</v>
      </c>
      <c r="D759" s="112">
        <v>42752</v>
      </c>
    </row>
    <row r="760" spans="1:4">
      <c r="A760" s="110" t="s">
        <v>1294</v>
      </c>
      <c r="B760" s="110" t="s">
        <v>1147</v>
      </c>
      <c r="C760" s="110">
        <v>2.1459999999999999</v>
      </c>
      <c r="D760" s="112">
        <v>42752</v>
      </c>
    </row>
    <row r="761" spans="1:4">
      <c r="A761" s="110" t="s">
        <v>1293</v>
      </c>
      <c r="B761" s="110" t="s">
        <v>1147</v>
      </c>
      <c r="C761" s="110">
        <v>2.0670000000000002</v>
      </c>
      <c r="D761" s="112">
        <v>42752</v>
      </c>
    </row>
    <row r="762" spans="1:4">
      <c r="A762" s="110" t="s">
        <v>1292</v>
      </c>
      <c r="B762" s="110" t="s">
        <v>1147</v>
      </c>
      <c r="C762" s="110">
        <v>2.0310000000000001</v>
      </c>
      <c r="D762" s="112">
        <v>42752</v>
      </c>
    </row>
    <row r="763" spans="1:4">
      <c r="A763" s="110" t="s">
        <v>1291</v>
      </c>
      <c r="B763" s="110" t="s">
        <v>1147</v>
      </c>
      <c r="C763" s="110">
        <v>2.0539999999999998</v>
      </c>
      <c r="D763" s="112">
        <v>42752</v>
      </c>
    </row>
    <row r="764" spans="1:4">
      <c r="A764" s="110" t="s">
        <v>1290</v>
      </c>
      <c r="B764" s="110" t="s">
        <v>1147</v>
      </c>
      <c r="C764" s="110">
        <v>1.948</v>
      </c>
      <c r="D764" s="112">
        <v>42752</v>
      </c>
    </row>
    <row r="765" spans="1:4">
      <c r="A765" s="110" t="s">
        <v>1289</v>
      </c>
      <c r="B765" s="110" t="s">
        <v>1147</v>
      </c>
      <c r="C765" s="110">
        <v>2.0110000000000001</v>
      </c>
      <c r="D765" s="112">
        <v>42752</v>
      </c>
    </row>
    <row r="766" spans="1:4">
      <c r="A766" s="110" t="s">
        <v>1288</v>
      </c>
      <c r="B766" s="110" t="s">
        <v>1147</v>
      </c>
      <c r="C766" s="110">
        <v>2.016</v>
      </c>
      <c r="D766" s="112">
        <v>42752</v>
      </c>
    </row>
    <row r="767" spans="1:4">
      <c r="A767" s="110" t="s">
        <v>1287</v>
      </c>
      <c r="B767" s="110" t="s">
        <v>1147</v>
      </c>
      <c r="C767" s="110">
        <v>2.0590000000000002</v>
      </c>
      <c r="D767" s="112">
        <v>42752</v>
      </c>
    </row>
    <row r="768" spans="1:4">
      <c r="A768" s="110" t="s">
        <v>1286</v>
      </c>
      <c r="B768" s="110" t="s">
        <v>1147</v>
      </c>
      <c r="C768" s="110">
        <v>1.9510000000000001</v>
      </c>
      <c r="D768" s="112">
        <v>42752</v>
      </c>
    </row>
    <row r="769" spans="1:4">
      <c r="A769" s="110" t="s">
        <v>1285</v>
      </c>
      <c r="B769" s="110" t="s">
        <v>1147</v>
      </c>
      <c r="C769" s="110">
        <v>2.08</v>
      </c>
      <c r="D769" s="112">
        <v>42752</v>
      </c>
    </row>
    <row r="770" spans="1:4">
      <c r="A770" s="110" t="s">
        <v>1284</v>
      </c>
      <c r="B770" s="110" t="s">
        <v>1147</v>
      </c>
      <c r="C770" s="110">
        <v>2.0409999999999999</v>
      </c>
      <c r="D770" s="112">
        <v>42752</v>
      </c>
    </row>
    <row r="771" spans="1:4">
      <c r="A771" s="110" t="s">
        <v>1283</v>
      </c>
      <c r="B771" s="110" t="s">
        <v>1147</v>
      </c>
      <c r="C771" s="110">
        <v>1.8879999999999999</v>
      </c>
      <c r="D771" s="112">
        <v>42752</v>
      </c>
    </row>
    <row r="772" spans="1:4">
      <c r="A772" s="110" t="s">
        <v>1282</v>
      </c>
      <c r="B772" s="110" t="s">
        <v>1147</v>
      </c>
      <c r="C772" s="110">
        <v>2.0089999999999999</v>
      </c>
      <c r="D772" s="112">
        <v>42752</v>
      </c>
    </row>
    <row r="773" spans="1:4">
      <c r="A773" s="110" t="s">
        <v>1281</v>
      </c>
      <c r="B773" s="110" t="s">
        <v>1147</v>
      </c>
      <c r="C773" s="110">
        <v>2.0550000000000002</v>
      </c>
      <c r="D773" s="112">
        <v>42752</v>
      </c>
    </row>
    <row r="774" spans="1:4">
      <c r="A774" s="110" t="s">
        <v>1280</v>
      </c>
      <c r="B774" s="110" t="s">
        <v>1147</v>
      </c>
      <c r="C774" s="110">
        <v>1.958</v>
      </c>
      <c r="D774" s="112">
        <v>42752</v>
      </c>
    </row>
    <row r="775" spans="1:4">
      <c r="A775" s="110" t="s">
        <v>1279</v>
      </c>
      <c r="B775" s="110" t="s">
        <v>1147</v>
      </c>
      <c r="C775" s="110">
        <v>1.9910000000000001</v>
      </c>
      <c r="D775" s="112">
        <v>42752</v>
      </c>
    </row>
    <row r="776" spans="1:4">
      <c r="A776" s="110" t="s">
        <v>1278</v>
      </c>
      <c r="B776" s="110" t="s">
        <v>1147</v>
      </c>
      <c r="C776" s="110">
        <v>2.0419999999999998</v>
      </c>
      <c r="D776" s="112">
        <v>42752</v>
      </c>
    </row>
    <row r="777" spans="1:4">
      <c r="A777" s="110" t="s">
        <v>1277</v>
      </c>
      <c r="B777" s="110" t="s">
        <v>1147</v>
      </c>
      <c r="C777" s="110">
        <v>1.718</v>
      </c>
      <c r="D777" s="112">
        <v>42752</v>
      </c>
    </row>
    <row r="778" spans="1:4">
      <c r="A778" s="110" t="s">
        <v>1276</v>
      </c>
      <c r="B778" s="110" t="s">
        <v>1147</v>
      </c>
      <c r="C778" s="110">
        <v>2.0049999999999999</v>
      </c>
      <c r="D778" s="112">
        <v>42752</v>
      </c>
    </row>
    <row r="779" spans="1:4">
      <c r="A779" s="110" t="s">
        <v>1275</v>
      </c>
      <c r="B779" s="110" t="s">
        <v>1147</v>
      </c>
      <c r="C779" s="110">
        <v>2.1389999999999998</v>
      </c>
      <c r="D779" s="112">
        <v>42752</v>
      </c>
    </row>
    <row r="780" spans="1:4">
      <c r="A780" s="110" t="s">
        <v>1274</v>
      </c>
      <c r="B780" s="110" t="s">
        <v>1147</v>
      </c>
      <c r="C780" s="110">
        <v>1.9790000000000001</v>
      </c>
      <c r="D780" s="112">
        <v>42752</v>
      </c>
    </row>
    <row r="781" spans="1:4">
      <c r="A781" s="110" t="s">
        <v>1273</v>
      </c>
      <c r="B781" s="110" t="s">
        <v>1147</v>
      </c>
      <c r="C781" s="110">
        <v>2.0470000000000002</v>
      </c>
      <c r="D781" s="112">
        <v>42752</v>
      </c>
    </row>
    <row r="782" spans="1:4">
      <c r="A782" s="110" t="s">
        <v>1272</v>
      </c>
      <c r="B782" s="110" t="s">
        <v>1147</v>
      </c>
      <c r="C782" s="110">
        <v>1.992</v>
      </c>
      <c r="D782" s="112">
        <v>42752</v>
      </c>
    </row>
    <row r="783" spans="1:4">
      <c r="A783" s="110" t="s">
        <v>1271</v>
      </c>
      <c r="B783" s="110" t="s">
        <v>1147</v>
      </c>
      <c r="C783" s="110">
        <v>2.0110000000000001</v>
      </c>
      <c r="D783" s="112">
        <v>42752</v>
      </c>
    </row>
    <row r="784" spans="1:4">
      <c r="A784" s="110" t="s">
        <v>1270</v>
      </c>
      <c r="B784" s="110" t="s">
        <v>1147</v>
      </c>
      <c r="C784" s="110">
        <v>1.962</v>
      </c>
      <c r="D784" s="112">
        <v>42752</v>
      </c>
    </row>
    <row r="785" spans="1:4">
      <c r="A785" s="110" t="s">
        <v>1269</v>
      </c>
      <c r="B785" s="110" t="s">
        <v>1147</v>
      </c>
      <c r="C785" s="110">
        <v>2.0920000000000001</v>
      </c>
      <c r="D785" s="112">
        <v>42752</v>
      </c>
    </row>
    <row r="786" spans="1:4">
      <c r="A786" s="110" t="s">
        <v>1268</v>
      </c>
      <c r="B786" s="110" t="s">
        <v>1147</v>
      </c>
      <c r="C786" s="110">
        <v>1.9510000000000001</v>
      </c>
      <c r="D786" s="112">
        <v>42752</v>
      </c>
    </row>
    <row r="787" spans="1:4">
      <c r="A787" s="110" t="s">
        <v>1267</v>
      </c>
      <c r="B787" s="110" t="s">
        <v>1147</v>
      </c>
      <c r="C787" s="110">
        <v>1.976</v>
      </c>
      <c r="D787" s="112">
        <v>42752</v>
      </c>
    </row>
    <row r="788" spans="1:4">
      <c r="A788" s="110" t="s">
        <v>1266</v>
      </c>
      <c r="B788" s="110" t="s">
        <v>1147</v>
      </c>
      <c r="C788" s="110">
        <v>2.1070000000000002</v>
      </c>
      <c r="D788" s="112">
        <v>42752</v>
      </c>
    </row>
    <row r="789" spans="1:4">
      <c r="A789" s="110" t="s">
        <v>1265</v>
      </c>
      <c r="B789" s="110" t="s">
        <v>1147</v>
      </c>
      <c r="C789" s="110">
        <v>2.008</v>
      </c>
      <c r="D789" s="112">
        <v>42752</v>
      </c>
    </row>
    <row r="790" spans="1:4">
      <c r="A790" s="110" t="s">
        <v>1264</v>
      </c>
      <c r="B790" s="110" t="s">
        <v>1147</v>
      </c>
      <c r="C790" s="110">
        <v>2.097</v>
      </c>
      <c r="D790" s="112">
        <v>42752</v>
      </c>
    </row>
    <row r="791" spans="1:4">
      <c r="A791" s="110" t="s">
        <v>1263</v>
      </c>
      <c r="B791" s="110" t="s">
        <v>1147</v>
      </c>
      <c r="C791" s="110">
        <v>2.11</v>
      </c>
      <c r="D791" s="112">
        <v>42752</v>
      </c>
    </row>
    <row r="792" spans="1:4">
      <c r="A792" s="110" t="s">
        <v>1262</v>
      </c>
      <c r="B792" s="110" t="s">
        <v>1147</v>
      </c>
      <c r="C792" s="110">
        <v>2.0699999999999998</v>
      </c>
      <c r="D792" s="112">
        <v>42752</v>
      </c>
    </row>
    <row r="793" spans="1:4">
      <c r="A793" s="110" t="s">
        <v>1261</v>
      </c>
      <c r="B793" s="110" t="s">
        <v>1147</v>
      </c>
      <c r="C793" s="110">
        <v>2.109</v>
      </c>
      <c r="D793" s="112">
        <v>42752</v>
      </c>
    </row>
    <row r="794" spans="1:4">
      <c r="A794" s="110" t="s">
        <v>1260</v>
      </c>
      <c r="B794" s="110" t="s">
        <v>1147</v>
      </c>
      <c r="C794" s="110">
        <v>2.0720000000000001</v>
      </c>
      <c r="D794" s="112">
        <v>42752</v>
      </c>
    </row>
    <row r="795" spans="1:4">
      <c r="A795" s="110" t="s">
        <v>1259</v>
      </c>
      <c r="B795" s="110" t="s">
        <v>1147</v>
      </c>
      <c r="C795" s="110">
        <v>2.0680000000000001</v>
      </c>
      <c r="D795" s="112">
        <v>42752</v>
      </c>
    </row>
    <row r="796" spans="1:4">
      <c r="A796" s="110" t="s">
        <v>1258</v>
      </c>
      <c r="B796" s="110" t="s">
        <v>1147</v>
      </c>
      <c r="C796" s="110">
        <v>2.0550000000000002</v>
      </c>
      <c r="D796" s="112">
        <v>42752</v>
      </c>
    </row>
    <row r="797" spans="1:4">
      <c r="A797" s="110" t="s">
        <v>1257</v>
      </c>
      <c r="B797" s="110" t="s">
        <v>1147</v>
      </c>
      <c r="C797" s="110">
        <v>2.0459999999999998</v>
      </c>
      <c r="D797" s="112">
        <v>42752</v>
      </c>
    </row>
    <row r="798" spans="1:4">
      <c r="A798" s="110" t="s">
        <v>1256</v>
      </c>
      <c r="B798" s="110" t="s">
        <v>1147</v>
      </c>
      <c r="C798" s="110">
        <v>2.0169999999999999</v>
      </c>
      <c r="D798" s="112">
        <v>42752</v>
      </c>
    </row>
    <row r="799" spans="1:4">
      <c r="A799" s="110" t="s">
        <v>1255</v>
      </c>
      <c r="B799" s="110" t="s">
        <v>1147</v>
      </c>
      <c r="C799" s="110">
        <v>1.9530000000000001</v>
      </c>
      <c r="D799" s="112">
        <v>42752</v>
      </c>
    </row>
    <row r="800" spans="1:4">
      <c r="A800" s="110" t="s">
        <v>1254</v>
      </c>
      <c r="B800" s="110" t="s">
        <v>1147</v>
      </c>
      <c r="C800" s="110">
        <v>2.1070000000000002</v>
      </c>
      <c r="D800" s="112">
        <v>42752</v>
      </c>
    </row>
    <row r="801" spans="1:4">
      <c r="A801" s="110" t="s">
        <v>1253</v>
      </c>
      <c r="B801" s="110" t="s">
        <v>1147</v>
      </c>
      <c r="C801" s="110">
        <v>2.0990000000000002</v>
      </c>
      <c r="D801" s="112">
        <v>42752</v>
      </c>
    </row>
    <row r="802" spans="1:4">
      <c r="A802" s="110" t="s">
        <v>1252</v>
      </c>
      <c r="B802" s="110" t="s">
        <v>1147</v>
      </c>
      <c r="C802" s="110">
        <v>2.089</v>
      </c>
      <c r="D802" s="112">
        <v>42752</v>
      </c>
    </row>
    <row r="803" spans="1:4">
      <c r="A803" s="110" t="s">
        <v>1251</v>
      </c>
      <c r="B803" s="110" t="s">
        <v>1147</v>
      </c>
      <c r="C803" s="110">
        <v>2.093</v>
      </c>
      <c r="D803" s="112">
        <v>42752</v>
      </c>
    </row>
    <row r="804" spans="1:4">
      <c r="A804" s="110" t="s">
        <v>1250</v>
      </c>
      <c r="B804" s="110" t="s">
        <v>1147</v>
      </c>
      <c r="C804" s="110">
        <v>2.1179999999999999</v>
      </c>
      <c r="D804" s="112">
        <v>42752</v>
      </c>
    </row>
    <row r="805" spans="1:4">
      <c r="A805" s="110" t="s">
        <v>1249</v>
      </c>
      <c r="B805" s="110" t="s">
        <v>1147</v>
      </c>
      <c r="C805" s="110">
        <v>2.0720000000000001</v>
      </c>
      <c r="D805" s="112">
        <v>42752</v>
      </c>
    </row>
    <row r="806" spans="1:4">
      <c r="A806" s="110" t="s">
        <v>1248</v>
      </c>
      <c r="B806" s="110" t="s">
        <v>1147</v>
      </c>
      <c r="C806" s="110">
        <v>2.194</v>
      </c>
      <c r="D806" s="112">
        <v>42752</v>
      </c>
    </row>
    <row r="807" spans="1:4">
      <c r="A807" s="110" t="s">
        <v>1247</v>
      </c>
      <c r="B807" s="110" t="s">
        <v>1147</v>
      </c>
      <c r="C807" s="110">
        <v>2.0590000000000002</v>
      </c>
      <c r="D807" s="112">
        <v>42752</v>
      </c>
    </row>
    <row r="808" spans="1:4">
      <c r="A808" s="110" t="s">
        <v>1246</v>
      </c>
      <c r="B808" s="110" t="s">
        <v>1147</v>
      </c>
      <c r="C808" s="110">
        <v>2.028</v>
      </c>
      <c r="D808" s="112">
        <v>42752</v>
      </c>
    </row>
    <row r="809" spans="1:4">
      <c r="A809" s="110" t="s">
        <v>1245</v>
      </c>
      <c r="B809" s="110" t="s">
        <v>1147</v>
      </c>
      <c r="C809" s="110">
        <v>1.9810000000000001</v>
      </c>
      <c r="D809" s="112">
        <v>42752</v>
      </c>
    </row>
    <row r="810" spans="1:4">
      <c r="A810" s="110" t="s">
        <v>1244</v>
      </c>
      <c r="B810" s="110" t="s">
        <v>1147</v>
      </c>
      <c r="C810" s="110">
        <v>2.0419999999999998</v>
      </c>
      <c r="D810" s="112">
        <v>42752</v>
      </c>
    </row>
    <row r="811" spans="1:4">
      <c r="A811" s="110" t="s">
        <v>1243</v>
      </c>
      <c r="B811" s="110" t="s">
        <v>1147</v>
      </c>
      <c r="C811" s="110">
        <v>2.0310000000000001</v>
      </c>
      <c r="D811" s="112">
        <v>42752</v>
      </c>
    </row>
    <row r="812" spans="1:4">
      <c r="A812" s="110" t="s">
        <v>1242</v>
      </c>
      <c r="B812" s="110" t="s">
        <v>1147</v>
      </c>
      <c r="C812" s="110">
        <v>1.86</v>
      </c>
      <c r="D812" s="112">
        <v>42752</v>
      </c>
    </row>
    <row r="813" spans="1:4">
      <c r="A813" s="110" t="s">
        <v>1241</v>
      </c>
      <c r="B813" s="110" t="s">
        <v>1147</v>
      </c>
      <c r="C813" s="110">
        <v>1.9279999999999999</v>
      </c>
      <c r="D813" s="112">
        <v>42752</v>
      </c>
    </row>
    <row r="814" spans="1:4">
      <c r="A814" s="110" t="s">
        <v>1240</v>
      </c>
      <c r="B814" s="110" t="s">
        <v>1147</v>
      </c>
      <c r="C814" s="110">
        <v>1.946</v>
      </c>
      <c r="D814" s="112">
        <v>42752</v>
      </c>
    </row>
    <row r="815" spans="1:4">
      <c r="A815" s="110" t="s">
        <v>1239</v>
      </c>
      <c r="B815" s="110" t="s">
        <v>1147</v>
      </c>
      <c r="C815" s="110">
        <v>1.9930000000000001</v>
      </c>
      <c r="D815" s="112">
        <v>42752</v>
      </c>
    </row>
    <row r="816" spans="1:4">
      <c r="A816" s="110" t="s">
        <v>1238</v>
      </c>
      <c r="B816" s="110" t="s">
        <v>1147</v>
      </c>
      <c r="C816" s="110">
        <v>2.0169999999999999</v>
      </c>
      <c r="D816" s="112">
        <v>42752</v>
      </c>
    </row>
    <row r="817" spans="1:4">
      <c r="A817" s="110" t="s">
        <v>1237</v>
      </c>
      <c r="B817" s="110" t="s">
        <v>1147</v>
      </c>
      <c r="C817" s="110">
        <v>1.9550000000000001</v>
      </c>
      <c r="D817" s="112">
        <v>42752</v>
      </c>
    </row>
    <row r="818" spans="1:4">
      <c r="A818" s="110" t="s">
        <v>1236</v>
      </c>
      <c r="B818" s="110" t="s">
        <v>1147</v>
      </c>
      <c r="C818" s="110">
        <v>2.1480000000000001</v>
      </c>
      <c r="D818" s="112">
        <v>42752</v>
      </c>
    </row>
    <row r="819" spans="1:4">
      <c r="A819" s="110" t="s">
        <v>1235</v>
      </c>
      <c r="B819" s="110" t="s">
        <v>1147</v>
      </c>
      <c r="C819" s="110">
        <v>1.998</v>
      </c>
      <c r="D819" s="112">
        <v>42752</v>
      </c>
    </row>
    <row r="820" spans="1:4">
      <c r="A820" s="110" t="s">
        <v>1234</v>
      </c>
      <c r="B820" s="110" t="s">
        <v>1147</v>
      </c>
      <c r="C820" s="110">
        <v>2.0139999999999998</v>
      </c>
      <c r="D820" s="112">
        <v>42752</v>
      </c>
    </row>
    <row r="821" spans="1:4">
      <c r="A821" s="110" t="s">
        <v>1233</v>
      </c>
      <c r="B821" s="110" t="s">
        <v>1147</v>
      </c>
      <c r="C821" s="110">
        <v>1.9770000000000001</v>
      </c>
      <c r="D821" s="112">
        <v>42752</v>
      </c>
    </row>
    <row r="822" spans="1:4">
      <c r="A822" s="110" t="s">
        <v>1232</v>
      </c>
      <c r="B822" s="110" t="s">
        <v>1147</v>
      </c>
      <c r="C822" s="110">
        <v>2.0099999999999998</v>
      </c>
      <c r="D822" s="112">
        <v>42752</v>
      </c>
    </row>
    <row r="823" spans="1:4">
      <c r="A823" s="110" t="s">
        <v>1231</v>
      </c>
      <c r="B823" s="110" t="s">
        <v>1147</v>
      </c>
      <c r="C823" s="110">
        <v>1.9770000000000001</v>
      </c>
      <c r="D823" s="112">
        <v>42752</v>
      </c>
    </row>
    <row r="824" spans="1:4">
      <c r="A824" s="110" t="s">
        <v>1230</v>
      </c>
      <c r="B824" s="110" t="s">
        <v>1147</v>
      </c>
      <c r="C824" s="110">
        <v>1.927</v>
      </c>
      <c r="D824" s="112">
        <v>42752</v>
      </c>
    </row>
    <row r="825" spans="1:4">
      <c r="A825" s="110" t="s">
        <v>1229</v>
      </c>
      <c r="B825" s="110" t="s">
        <v>1147</v>
      </c>
      <c r="C825" s="110">
        <v>1.9990000000000001</v>
      </c>
      <c r="D825" s="112">
        <v>42752</v>
      </c>
    </row>
    <row r="826" spans="1:4">
      <c r="A826" s="110" t="s">
        <v>1228</v>
      </c>
      <c r="B826" s="110" t="s">
        <v>1147</v>
      </c>
      <c r="C826" s="110">
        <v>2.02</v>
      </c>
      <c r="D826" s="112">
        <v>42752</v>
      </c>
    </row>
    <row r="827" spans="1:4">
      <c r="A827" s="110" t="s">
        <v>1227</v>
      </c>
      <c r="B827" s="110" t="s">
        <v>1147</v>
      </c>
      <c r="C827" s="110">
        <v>1.9630000000000001</v>
      </c>
      <c r="D827" s="112">
        <v>42752</v>
      </c>
    </row>
    <row r="828" spans="1:4">
      <c r="A828" s="110" t="s">
        <v>1226</v>
      </c>
      <c r="B828" s="110" t="s">
        <v>1147</v>
      </c>
      <c r="C828" s="110">
        <v>1.931</v>
      </c>
      <c r="D828" s="112">
        <v>42752</v>
      </c>
    </row>
    <row r="829" spans="1:4">
      <c r="A829" s="110" t="s">
        <v>1225</v>
      </c>
      <c r="B829" s="110" t="s">
        <v>1147</v>
      </c>
      <c r="C829" s="110">
        <v>2.1240000000000001</v>
      </c>
      <c r="D829" s="112">
        <v>42752</v>
      </c>
    </row>
    <row r="830" spans="1:4">
      <c r="A830" s="110" t="s">
        <v>1224</v>
      </c>
      <c r="B830" s="110" t="s">
        <v>1147</v>
      </c>
      <c r="C830" s="110">
        <v>2.15</v>
      </c>
      <c r="D830" s="112">
        <v>42752</v>
      </c>
    </row>
    <row r="831" spans="1:4">
      <c r="A831" s="110" t="s">
        <v>1223</v>
      </c>
      <c r="B831" s="110" t="s">
        <v>1147</v>
      </c>
      <c r="C831" s="110">
        <v>1.883</v>
      </c>
      <c r="D831" s="112">
        <v>42752</v>
      </c>
    </row>
    <row r="832" spans="1:4">
      <c r="A832" s="110" t="s">
        <v>1222</v>
      </c>
      <c r="B832" s="110" t="s">
        <v>1147</v>
      </c>
      <c r="C832" s="110">
        <v>1.986</v>
      </c>
      <c r="D832" s="112">
        <v>42752</v>
      </c>
    </row>
    <row r="833" spans="1:4">
      <c r="A833" s="110" t="s">
        <v>1221</v>
      </c>
      <c r="B833" s="110" t="s">
        <v>1147</v>
      </c>
      <c r="C833" s="110">
        <v>1.9610000000000001</v>
      </c>
      <c r="D833" s="112">
        <v>42752</v>
      </c>
    </row>
    <row r="834" spans="1:4">
      <c r="A834" s="110" t="s">
        <v>1220</v>
      </c>
      <c r="B834" s="110" t="s">
        <v>1147</v>
      </c>
      <c r="C834" s="110">
        <v>1.8939999999999999</v>
      </c>
      <c r="D834" s="112">
        <v>42752</v>
      </c>
    </row>
    <row r="835" spans="1:4">
      <c r="A835" s="110" t="s">
        <v>1219</v>
      </c>
      <c r="B835" s="110" t="s">
        <v>1147</v>
      </c>
      <c r="C835" s="110">
        <v>2.1190000000000002</v>
      </c>
      <c r="D835" s="112">
        <v>42752</v>
      </c>
    </row>
    <row r="836" spans="1:4">
      <c r="A836" s="110" t="s">
        <v>1218</v>
      </c>
      <c r="B836" s="110" t="s">
        <v>1147</v>
      </c>
      <c r="C836" s="110">
        <v>2.0470000000000002</v>
      </c>
      <c r="D836" s="112">
        <v>42752</v>
      </c>
    </row>
    <row r="837" spans="1:4">
      <c r="A837" s="110" t="s">
        <v>1217</v>
      </c>
      <c r="B837" s="110" t="s">
        <v>1147</v>
      </c>
      <c r="C837" s="110">
        <v>1.964</v>
      </c>
      <c r="D837" s="112">
        <v>42752</v>
      </c>
    </row>
    <row r="838" spans="1:4">
      <c r="A838" s="110" t="s">
        <v>1216</v>
      </c>
      <c r="B838" s="110" t="s">
        <v>1147</v>
      </c>
      <c r="C838" s="110">
        <v>1.956</v>
      </c>
      <c r="D838" s="112">
        <v>42752</v>
      </c>
    </row>
    <row r="839" spans="1:4">
      <c r="A839" s="110" t="s">
        <v>1215</v>
      </c>
      <c r="B839" s="110" t="s">
        <v>1147</v>
      </c>
      <c r="C839" s="110">
        <v>1.819</v>
      </c>
      <c r="D839" s="112">
        <v>42752</v>
      </c>
    </row>
    <row r="840" spans="1:4">
      <c r="A840" s="110" t="s">
        <v>1214</v>
      </c>
      <c r="B840" s="110" t="s">
        <v>1147</v>
      </c>
      <c r="C840" s="110">
        <v>2.0419999999999998</v>
      </c>
      <c r="D840" s="112">
        <v>42752</v>
      </c>
    </row>
    <row r="841" spans="1:4">
      <c r="A841" s="110" t="s">
        <v>1213</v>
      </c>
      <c r="B841" s="110" t="s">
        <v>1147</v>
      </c>
      <c r="C841" s="110">
        <v>1.1910000000000001</v>
      </c>
      <c r="D841" s="112">
        <v>42752</v>
      </c>
    </row>
    <row r="842" spans="1:4">
      <c r="A842" s="110" t="s">
        <v>1212</v>
      </c>
      <c r="B842" s="110" t="s">
        <v>1147</v>
      </c>
      <c r="C842" s="110">
        <v>2.0369999999999999</v>
      </c>
      <c r="D842" s="112">
        <v>42752</v>
      </c>
    </row>
    <row r="843" spans="1:4">
      <c r="A843" s="110" t="s">
        <v>1211</v>
      </c>
      <c r="B843" s="110" t="s">
        <v>1147</v>
      </c>
      <c r="C843" s="110">
        <v>2.0230000000000001</v>
      </c>
      <c r="D843" s="112">
        <v>42752</v>
      </c>
    </row>
    <row r="844" spans="1:4">
      <c r="A844" s="110" t="s">
        <v>1210</v>
      </c>
      <c r="B844" s="110" t="s">
        <v>1147</v>
      </c>
      <c r="C844" s="110">
        <v>2.056</v>
      </c>
      <c r="D844" s="112">
        <v>42752</v>
      </c>
    </row>
    <row r="845" spans="1:4">
      <c r="A845" s="110" t="s">
        <v>1209</v>
      </c>
      <c r="B845" s="110" t="s">
        <v>1147</v>
      </c>
      <c r="C845" s="110">
        <v>1.96</v>
      </c>
      <c r="D845" s="112">
        <v>42752</v>
      </c>
    </row>
    <row r="846" spans="1:4">
      <c r="A846" s="110" t="s">
        <v>1208</v>
      </c>
      <c r="B846" s="110" t="s">
        <v>1147</v>
      </c>
      <c r="C846" s="110">
        <v>1.9670000000000001</v>
      </c>
      <c r="D846" s="112">
        <v>42752</v>
      </c>
    </row>
    <row r="847" spans="1:4">
      <c r="A847" s="110" t="s">
        <v>1207</v>
      </c>
      <c r="B847" s="110" t="s">
        <v>1147</v>
      </c>
      <c r="C847" s="110">
        <v>1.964</v>
      </c>
      <c r="D847" s="112">
        <v>42752</v>
      </c>
    </row>
    <row r="848" spans="1:4">
      <c r="A848" s="110" t="s">
        <v>1206</v>
      </c>
      <c r="B848" s="110" t="s">
        <v>1147</v>
      </c>
      <c r="C848" s="110">
        <v>1.95</v>
      </c>
      <c r="D848" s="112">
        <v>42752</v>
      </c>
    </row>
    <row r="849" spans="1:4">
      <c r="A849" s="110" t="s">
        <v>1205</v>
      </c>
      <c r="B849" s="110" t="s">
        <v>1147</v>
      </c>
      <c r="C849" s="110">
        <v>2.0459999999999998</v>
      </c>
      <c r="D849" s="112">
        <v>42752</v>
      </c>
    </row>
    <row r="850" spans="1:4">
      <c r="A850" s="110" t="s">
        <v>1204</v>
      </c>
      <c r="B850" s="110" t="s">
        <v>1147</v>
      </c>
      <c r="C850" s="110">
        <v>2.0350000000000001</v>
      </c>
      <c r="D850" s="112">
        <v>42752</v>
      </c>
    </row>
    <row r="851" spans="1:4">
      <c r="A851" s="110" t="s">
        <v>1203</v>
      </c>
      <c r="B851" s="110" t="s">
        <v>1147</v>
      </c>
      <c r="C851" s="110">
        <v>2.1019999999999999</v>
      </c>
      <c r="D851" s="112">
        <v>42752</v>
      </c>
    </row>
    <row r="852" spans="1:4">
      <c r="A852" s="110" t="s">
        <v>1202</v>
      </c>
      <c r="B852" s="110" t="s">
        <v>1147</v>
      </c>
      <c r="C852" s="110">
        <v>2.0110000000000001</v>
      </c>
      <c r="D852" s="112">
        <v>42752</v>
      </c>
    </row>
    <row r="853" spans="1:4">
      <c r="A853" s="110" t="s">
        <v>1201</v>
      </c>
      <c r="B853" s="110" t="s">
        <v>1147</v>
      </c>
      <c r="C853" s="110">
        <v>2.1070000000000002</v>
      </c>
      <c r="D853" s="112">
        <v>42752</v>
      </c>
    </row>
    <row r="854" spans="1:4">
      <c r="A854" s="110" t="s">
        <v>1200</v>
      </c>
      <c r="B854" s="110" t="s">
        <v>1147</v>
      </c>
      <c r="C854" s="110">
        <v>2.0379999999999998</v>
      </c>
      <c r="D854" s="112">
        <v>42752</v>
      </c>
    </row>
    <row r="855" spans="1:4">
      <c r="A855" s="110" t="s">
        <v>1199</v>
      </c>
      <c r="B855" s="110" t="s">
        <v>1147</v>
      </c>
      <c r="C855" s="110">
        <v>1.9930000000000001</v>
      </c>
      <c r="D855" s="112">
        <v>42752</v>
      </c>
    </row>
    <row r="856" spans="1:4">
      <c r="A856" s="110" t="s">
        <v>1198</v>
      </c>
      <c r="B856" s="110" t="s">
        <v>1147</v>
      </c>
      <c r="C856" s="110">
        <v>2.0630000000000002</v>
      </c>
      <c r="D856" s="112">
        <v>42752</v>
      </c>
    </row>
    <row r="857" spans="1:4">
      <c r="A857" s="110" t="s">
        <v>1197</v>
      </c>
      <c r="B857" s="110" t="s">
        <v>1147</v>
      </c>
      <c r="C857" s="110">
        <v>1.972</v>
      </c>
      <c r="D857" s="112">
        <v>42752</v>
      </c>
    </row>
    <row r="858" spans="1:4">
      <c r="A858" s="110" t="s">
        <v>1196</v>
      </c>
      <c r="B858" s="110" t="s">
        <v>1147</v>
      </c>
      <c r="C858" s="110">
        <v>1.998</v>
      </c>
      <c r="D858" s="112">
        <v>42752</v>
      </c>
    </row>
    <row r="859" spans="1:4">
      <c r="A859" s="110" t="s">
        <v>1195</v>
      </c>
      <c r="B859" s="110" t="s">
        <v>1147</v>
      </c>
      <c r="C859" s="110">
        <v>1.9570000000000001</v>
      </c>
      <c r="D859" s="112">
        <v>42752</v>
      </c>
    </row>
    <row r="860" spans="1:4">
      <c r="A860" s="110" t="s">
        <v>1194</v>
      </c>
      <c r="B860" s="110" t="s">
        <v>1147</v>
      </c>
      <c r="C860" s="110">
        <v>1.9370000000000001</v>
      </c>
      <c r="D860" s="112">
        <v>42752</v>
      </c>
    </row>
    <row r="861" spans="1:4">
      <c r="A861" s="110" t="s">
        <v>1193</v>
      </c>
      <c r="B861" s="110" t="s">
        <v>1147</v>
      </c>
      <c r="C861" s="110">
        <v>1.927</v>
      </c>
      <c r="D861" s="112">
        <v>42752</v>
      </c>
    </row>
    <row r="862" spans="1:4">
      <c r="A862" s="110" t="s">
        <v>1192</v>
      </c>
      <c r="B862" s="110" t="s">
        <v>1147</v>
      </c>
      <c r="C862" s="110">
        <v>2.1040000000000001</v>
      </c>
      <c r="D862" s="112">
        <v>42752</v>
      </c>
    </row>
    <row r="863" spans="1:4">
      <c r="A863" s="110" t="s">
        <v>1191</v>
      </c>
      <c r="B863" s="110" t="s">
        <v>1147</v>
      </c>
      <c r="C863" s="110">
        <v>2</v>
      </c>
      <c r="D863" s="112">
        <v>42752</v>
      </c>
    </row>
    <row r="864" spans="1:4">
      <c r="A864" s="110" t="s">
        <v>1190</v>
      </c>
      <c r="B864" s="110" t="s">
        <v>1147</v>
      </c>
      <c r="C864" s="110">
        <v>1.9570000000000001</v>
      </c>
      <c r="D864" s="112">
        <v>42752</v>
      </c>
    </row>
    <row r="865" spans="1:4">
      <c r="A865" s="110" t="s">
        <v>1189</v>
      </c>
      <c r="B865" s="110" t="s">
        <v>1147</v>
      </c>
      <c r="C865" s="110">
        <v>1.9339999999999999</v>
      </c>
      <c r="D865" s="112">
        <v>42752</v>
      </c>
    </row>
    <row r="866" spans="1:4">
      <c r="A866" s="110" t="s">
        <v>1188</v>
      </c>
      <c r="B866" s="110" t="s">
        <v>1147</v>
      </c>
      <c r="C866" s="110">
        <v>1.996</v>
      </c>
      <c r="D866" s="112">
        <v>42752</v>
      </c>
    </row>
    <row r="867" spans="1:4">
      <c r="A867" s="110" t="s">
        <v>1187</v>
      </c>
      <c r="B867" s="110" t="s">
        <v>1147</v>
      </c>
      <c r="C867" s="110">
        <v>2.0230000000000001</v>
      </c>
      <c r="D867" s="112">
        <v>42752</v>
      </c>
    </row>
    <row r="868" spans="1:4">
      <c r="A868" s="110" t="s">
        <v>1186</v>
      </c>
      <c r="B868" s="110" t="s">
        <v>1147</v>
      </c>
      <c r="C868" s="110">
        <v>2.0310000000000001</v>
      </c>
      <c r="D868" s="112">
        <v>42752</v>
      </c>
    </row>
    <row r="869" spans="1:4">
      <c r="A869" s="110" t="s">
        <v>1185</v>
      </c>
      <c r="B869" s="110" t="s">
        <v>1147</v>
      </c>
      <c r="C869" s="110">
        <v>2.036</v>
      </c>
      <c r="D869" s="112">
        <v>42752</v>
      </c>
    </row>
    <row r="870" spans="1:4">
      <c r="A870" s="110" t="s">
        <v>1184</v>
      </c>
      <c r="B870" s="110" t="s">
        <v>1147</v>
      </c>
      <c r="C870" s="110">
        <v>2.0310000000000001</v>
      </c>
      <c r="D870" s="112">
        <v>42752</v>
      </c>
    </row>
    <row r="871" spans="1:4">
      <c r="A871" s="110" t="s">
        <v>1183</v>
      </c>
      <c r="B871" s="110" t="s">
        <v>1147</v>
      </c>
      <c r="C871" s="110">
        <v>1.907</v>
      </c>
      <c r="D871" s="112">
        <v>42752</v>
      </c>
    </row>
    <row r="872" spans="1:4">
      <c r="A872" s="110" t="s">
        <v>1182</v>
      </c>
      <c r="B872" s="110" t="s">
        <v>1147</v>
      </c>
      <c r="C872" s="110">
        <v>1.95</v>
      </c>
      <c r="D872" s="112">
        <v>42752</v>
      </c>
    </row>
    <row r="873" spans="1:4">
      <c r="A873" s="110" t="s">
        <v>1181</v>
      </c>
      <c r="B873" s="110" t="s">
        <v>1147</v>
      </c>
      <c r="C873" s="110">
        <v>2.0489999999999999</v>
      </c>
      <c r="D873" s="112">
        <v>42752</v>
      </c>
    </row>
    <row r="874" spans="1:4">
      <c r="A874" s="110" t="s">
        <v>1180</v>
      </c>
      <c r="B874" s="110" t="s">
        <v>1147</v>
      </c>
      <c r="C874" s="110">
        <v>1.972</v>
      </c>
      <c r="D874" s="112">
        <v>42752</v>
      </c>
    </row>
    <row r="875" spans="1:4">
      <c r="A875" s="110" t="s">
        <v>1179</v>
      </c>
      <c r="B875" s="110" t="s">
        <v>1147</v>
      </c>
      <c r="C875" s="110">
        <v>2.0680000000000001</v>
      </c>
      <c r="D875" s="112">
        <v>42752</v>
      </c>
    </row>
    <row r="876" spans="1:4">
      <c r="A876" s="110" t="s">
        <v>1178</v>
      </c>
      <c r="B876" s="110" t="s">
        <v>1147</v>
      </c>
      <c r="C876" s="110">
        <v>2.008</v>
      </c>
      <c r="D876" s="112">
        <v>42752</v>
      </c>
    </row>
    <row r="877" spans="1:4">
      <c r="A877" s="110" t="s">
        <v>1177</v>
      </c>
      <c r="B877" s="110" t="s">
        <v>1147</v>
      </c>
      <c r="C877" s="110">
        <v>2.0089999999999999</v>
      </c>
      <c r="D877" s="112">
        <v>42752</v>
      </c>
    </row>
    <row r="878" spans="1:4">
      <c r="A878" s="110" t="s">
        <v>1176</v>
      </c>
      <c r="B878" s="110" t="s">
        <v>1147</v>
      </c>
      <c r="C878" s="110">
        <v>2.032</v>
      </c>
      <c r="D878" s="112">
        <v>42752</v>
      </c>
    </row>
    <row r="879" spans="1:4">
      <c r="A879" s="110" t="s">
        <v>1175</v>
      </c>
      <c r="B879" s="110" t="s">
        <v>1147</v>
      </c>
      <c r="C879" s="110">
        <v>2.0880000000000001</v>
      </c>
      <c r="D879" s="112">
        <v>42752</v>
      </c>
    </row>
    <row r="880" spans="1:4">
      <c r="A880" s="110" t="s">
        <v>1174</v>
      </c>
      <c r="B880" s="110" t="s">
        <v>1147</v>
      </c>
      <c r="C880" s="110">
        <v>1.9550000000000001</v>
      </c>
      <c r="D880" s="112">
        <v>42752</v>
      </c>
    </row>
    <row r="881" spans="1:4">
      <c r="A881" s="110" t="s">
        <v>1173</v>
      </c>
      <c r="B881" s="110" t="s">
        <v>1147</v>
      </c>
      <c r="C881" s="110">
        <v>2.0649999999999999</v>
      </c>
      <c r="D881" s="112">
        <v>42752</v>
      </c>
    </row>
    <row r="882" spans="1:4">
      <c r="A882" s="110" t="s">
        <v>1172</v>
      </c>
      <c r="B882" s="110" t="s">
        <v>1147</v>
      </c>
      <c r="C882" s="110">
        <v>2.0939999999999999</v>
      </c>
      <c r="D882" s="112">
        <v>42752</v>
      </c>
    </row>
    <row r="883" spans="1:4">
      <c r="A883" s="110" t="s">
        <v>1171</v>
      </c>
      <c r="B883" s="110" t="s">
        <v>1147</v>
      </c>
      <c r="C883" s="110">
        <v>2.09</v>
      </c>
      <c r="D883" s="112">
        <v>42752</v>
      </c>
    </row>
    <row r="884" spans="1:4">
      <c r="A884" s="110" t="s">
        <v>1170</v>
      </c>
      <c r="B884" s="110" t="s">
        <v>1147</v>
      </c>
      <c r="C884" s="110">
        <v>2.1030000000000002</v>
      </c>
      <c r="D884" s="112">
        <v>42752</v>
      </c>
    </row>
    <row r="885" spans="1:4">
      <c r="A885" s="110" t="s">
        <v>1169</v>
      </c>
      <c r="B885" s="110" t="s">
        <v>1147</v>
      </c>
      <c r="C885" s="110">
        <v>1.9570000000000001</v>
      </c>
      <c r="D885" s="112">
        <v>42752</v>
      </c>
    </row>
    <row r="886" spans="1:4">
      <c r="A886" s="110" t="s">
        <v>1168</v>
      </c>
      <c r="B886" s="110" t="s">
        <v>1147</v>
      </c>
      <c r="C886" s="110">
        <v>2.0979999999999999</v>
      </c>
      <c r="D886" s="112">
        <v>42752</v>
      </c>
    </row>
    <row r="887" spans="1:4">
      <c r="A887" s="110" t="s">
        <v>1167</v>
      </c>
      <c r="B887" s="110" t="s">
        <v>1147</v>
      </c>
      <c r="C887" s="110">
        <v>2.073</v>
      </c>
      <c r="D887" s="112">
        <v>42752</v>
      </c>
    </row>
    <row r="888" spans="1:4">
      <c r="A888" s="110" t="s">
        <v>1166</v>
      </c>
      <c r="B888" s="110" t="s">
        <v>1147</v>
      </c>
      <c r="C888" s="110">
        <v>2.0710000000000002</v>
      </c>
      <c r="D888" s="112">
        <v>42752</v>
      </c>
    </row>
    <row r="889" spans="1:4">
      <c r="A889" s="110" t="s">
        <v>1165</v>
      </c>
      <c r="B889" s="110" t="s">
        <v>1147</v>
      </c>
      <c r="C889" s="110">
        <v>1.8939999999999999</v>
      </c>
      <c r="D889" s="112">
        <v>42752</v>
      </c>
    </row>
    <row r="890" spans="1:4">
      <c r="A890" s="110" t="s">
        <v>1164</v>
      </c>
      <c r="B890" s="110" t="s">
        <v>1147</v>
      </c>
      <c r="C890" s="110">
        <v>1.9590000000000001</v>
      </c>
      <c r="D890" s="112">
        <v>42752</v>
      </c>
    </row>
    <row r="891" spans="1:4">
      <c r="A891" s="110" t="s">
        <v>1163</v>
      </c>
      <c r="B891" s="110" t="s">
        <v>1147</v>
      </c>
      <c r="C891" s="110">
        <v>1.998</v>
      </c>
      <c r="D891" s="112">
        <v>42752</v>
      </c>
    </row>
    <row r="892" spans="1:4">
      <c r="A892" s="110" t="s">
        <v>1162</v>
      </c>
      <c r="B892" s="110" t="s">
        <v>1147</v>
      </c>
      <c r="C892" s="110">
        <v>2.089</v>
      </c>
      <c r="D892" s="112">
        <v>42752</v>
      </c>
    </row>
    <row r="893" spans="1:4">
      <c r="A893" s="110" t="s">
        <v>1161</v>
      </c>
      <c r="B893" s="110" t="s">
        <v>1147</v>
      </c>
      <c r="C893" s="110">
        <v>1.9830000000000001</v>
      </c>
      <c r="D893" s="112">
        <v>42752</v>
      </c>
    </row>
    <row r="894" spans="1:4">
      <c r="A894" s="110" t="s">
        <v>1160</v>
      </c>
      <c r="B894" s="110" t="s">
        <v>1147</v>
      </c>
      <c r="C894" s="110">
        <v>1.9930000000000001</v>
      </c>
      <c r="D894" s="112">
        <v>42752</v>
      </c>
    </row>
    <row r="895" spans="1:4">
      <c r="A895" s="110" t="s">
        <v>1159</v>
      </c>
      <c r="B895" s="110" t="s">
        <v>1147</v>
      </c>
      <c r="C895" s="110">
        <v>2.0169999999999999</v>
      </c>
      <c r="D895" s="112">
        <v>42752</v>
      </c>
    </row>
    <row r="896" spans="1:4">
      <c r="A896" s="110" t="s">
        <v>1158</v>
      </c>
      <c r="B896" s="110" t="s">
        <v>1147</v>
      </c>
      <c r="C896" s="110">
        <v>1.9510000000000001</v>
      </c>
      <c r="D896" s="112">
        <v>42752</v>
      </c>
    </row>
    <row r="897" spans="1:5">
      <c r="A897" s="110" t="s">
        <v>1157</v>
      </c>
      <c r="B897" s="110" t="s">
        <v>1147</v>
      </c>
      <c r="C897" s="110">
        <v>2.036</v>
      </c>
      <c r="D897" s="112">
        <v>42752</v>
      </c>
    </row>
    <row r="898" spans="1:5">
      <c r="A898" s="110" t="s">
        <v>1156</v>
      </c>
      <c r="B898" s="110" t="s">
        <v>1147</v>
      </c>
      <c r="C898" s="110">
        <v>1.9630000000000001</v>
      </c>
      <c r="D898" s="112">
        <v>42752</v>
      </c>
    </row>
    <row r="899" spans="1:5">
      <c r="A899" s="110" t="s">
        <v>1155</v>
      </c>
      <c r="B899" s="110" t="s">
        <v>1147</v>
      </c>
      <c r="C899" s="110">
        <v>1.9259999999999999</v>
      </c>
      <c r="D899" s="112">
        <v>42752</v>
      </c>
    </row>
    <row r="900" spans="1:5">
      <c r="A900" s="110" t="s">
        <v>1154</v>
      </c>
      <c r="B900" s="110" t="s">
        <v>1147</v>
      </c>
      <c r="C900" s="110">
        <v>1.982</v>
      </c>
      <c r="D900" s="112">
        <v>42752</v>
      </c>
    </row>
    <row r="901" spans="1:5">
      <c r="A901" s="110" t="s">
        <v>1153</v>
      </c>
      <c r="B901" s="110" t="s">
        <v>1147</v>
      </c>
      <c r="C901" s="110">
        <v>2.0299999999999998</v>
      </c>
      <c r="D901" s="112">
        <v>42752</v>
      </c>
    </row>
    <row r="902" spans="1:5">
      <c r="A902" s="110" t="s">
        <v>1152</v>
      </c>
      <c r="B902" s="110" t="s">
        <v>1147</v>
      </c>
      <c r="C902" s="110">
        <v>1.893</v>
      </c>
      <c r="D902" s="112">
        <v>42752</v>
      </c>
    </row>
    <row r="903" spans="1:5">
      <c r="A903" s="110" t="s">
        <v>1151</v>
      </c>
      <c r="B903" s="110" t="s">
        <v>1147</v>
      </c>
      <c r="C903" s="110">
        <v>2.0129999999999999</v>
      </c>
      <c r="D903" s="112">
        <v>42752</v>
      </c>
    </row>
    <row r="904" spans="1:5">
      <c r="A904" s="110" t="s">
        <v>1150</v>
      </c>
      <c r="B904" s="110" t="s">
        <v>1147</v>
      </c>
      <c r="C904" s="110">
        <v>2.0910000000000002</v>
      </c>
      <c r="D904" s="112">
        <v>42752</v>
      </c>
    </row>
    <row r="905" spans="1:5">
      <c r="A905" s="110" t="s">
        <v>1149</v>
      </c>
      <c r="B905" s="110" t="s">
        <v>1147</v>
      </c>
      <c r="C905" s="110">
        <v>2.0270000000000001</v>
      </c>
      <c r="D905" s="112">
        <v>42752</v>
      </c>
    </row>
    <row r="906" spans="1:5">
      <c r="A906" s="110" t="s">
        <v>1148</v>
      </c>
      <c r="B906" s="110" t="s">
        <v>1147</v>
      </c>
      <c r="C906" s="110">
        <v>2.0750000000000002</v>
      </c>
      <c r="D906" s="112">
        <v>42752</v>
      </c>
    </row>
    <row r="907" spans="1:5">
      <c r="A907" s="176" t="s">
        <v>2482</v>
      </c>
      <c r="B907" s="176" t="s">
        <v>1147</v>
      </c>
      <c r="C907" s="176">
        <v>2.0253999999999999</v>
      </c>
      <c r="D907" s="177">
        <v>43150</v>
      </c>
      <c r="E907" s="176" t="s">
        <v>2483</v>
      </c>
    </row>
    <row r="908" spans="1:5">
      <c r="A908" s="176" t="s">
        <v>2484</v>
      </c>
      <c r="B908" s="176" t="s">
        <v>1147</v>
      </c>
      <c r="C908" s="176">
        <v>2.125</v>
      </c>
      <c r="D908" s="177">
        <v>43150</v>
      </c>
      <c r="E908" s="176" t="s">
        <v>2483</v>
      </c>
    </row>
    <row r="909" spans="1:5">
      <c r="A909" s="110" t="s">
        <v>1140</v>
      </c>
      <c r="B909" s="110" t="s">
        <v>298</v>
      </c>
      <c r="C909" s="110">
        <v>2.2109999999999999</v>
      </c>
      <c r="D909" s="112">
        <v>42745</v>
      </c>
    </row>
    <row r="910" spans="1:5">
      <c r="A910" s="110" t="s">
        <v>1139</v>
      </c>
      <c r="B910" s="110" t="s">
        <v>298</v>
      </c>
      <c r="C910" s="110">
        <v>2.2679999999999998</v>
      </c>
      <c r="D910" s="112">
        <v>42745</v>
      </c>
    </row>
    <row r="911" spans="1:5">
      <c r="A911" s="110" t="s">
        <v>1138</v>
      </c>
      <c r="B911" s="110" t="s">
        <v>298</v>
      </c>
      <c r="C911" s="110">
        <v>2.242</v>
      </c>
      <c r="D911" s="112">
        <v>42745</v>
      </c>
    </row>
    <row r="912" spans="1:5">
      <c r="A912" s="110" t="s">
        <v>1137</v>
      </c>
      <c r="B912" s="110" t="s">
        <v>298</v>
      </c>
      <c r="C912" s="110">
        <v>2.1549999999999998</v>
      </c>
      <c r="D912" s="112">
        <v>42745</v>
      </c>
    </row>
    <row r="913" spans="1:5">
      <c r="A913" s="176" t="s">
        <v>1136</v>
      </c>
      <c r="B913" s="176" t="s">
        <v>298</v>
      </c>
      <c r="C913" s="176">
        <v>2.1800000000000002</v>
      </c>
      <c r="D913" s="177">
        <v>42745</v>
      </c>
      <c r="E913" s="176" t="s">
        <v>2480</v>
      </c>
    </row>
    <row r="914" spans="1:5">
      <c r="A914" s="110" t="s">
        <v>1135</v>
      </c>
      <c r="B914" s="110" t="s">
        <v>298</v>
      </c>
      <c r="C914" s="110">
        <v>2.226</v>
      </c>
      <c r="D914" s="112">
        <v>42745</v>
      </c>
    </row>
    <row r="915" spans="1:5">
      <c r="A915" s="110" t="s">
        <v>1134</v>
      </c>
      <c r="B915" s="110" t="s">
        <v>298</v>
      </c>
      <c r="C915" s="110">
        <v>2.2090000000000001</v>
      </c>
      <c r="D915" s="112">
        <v>42745</v>
      </c>
    </row>
    <row r="916" spans="1:5">
      <c r="A916" s="110" t="s">
        <v>1133</v>
      </c>
      <c r="B916" s="110" t="s">
        <v>298</v>
      </c>
      <c r="C916" s="110">
        <v>2.23</v>
      </c>
      <c r="D916" s="112">
        <v>42745</v>
      </c>
    </row>
    <row r="917" spans="1:5">
      <c r="A917" s="110" t="s">
        <v>1132</v>
      </c>
      <c r="B917" s="110" t="s">
        <v>298</v>
      </c>
      <c r="C917" s="110">
        <v>2.2679999999999998</v>
      </c>
      <c r="D917" s="112">
        <v>42745</v>
      </c>
    </row>
    <row r="918" spans="1:5">
      <c r="A918" s="110" t="s">
        <v>1131</v>
      </c>
      <c r="B918" s="110" t="s">
        <v>298</v>
      </c>
      <c r="C918" s="110">
        <v>2.29</v>
      </c>
      <c r="D918" s="112">
        <v>42745</v>
      </c>
    </row>
    <row r="919" spans="1:5">
      <c r="A919" s="110" t="s">
        <v>1130</v>
      </c>
      <c r="B919" s="110" t="s">
        <v>298</v>
      </c>
      <c r="C919" s="110">
        <v>2.2160000000000002</v>
      </c>
      <c r="D919" s="112">
        <v>42745</v>
      </c>
    </row>
    <row r="920" spans="1:5">
      <c r="A920" s="110" t="s">
        <v>1129</v>
      </c>
      <c r="B920" s="110" t="s">
        <v>298</v>
      </c>
      <c r="C920" s="110">
        <v>2.1709999999999998</v>
      </c>
      <c r="D920" s="112">
        <v>42745</v>
      </c>
    </row>
    <row r="921" spans="1:5">
      <c r="A921" s="110" t="s">
        <v>1128</v>
      </c>
      <c r="B921" s="110" t="s">
        <v>298</v>
      </c>
      <c r="C921" s="110">
        <v>2.2490000000000001</v>
      </c>
      <c r="D921" s="112">
        <v>42745</v>
      </c>
    </row>
    <row r="922" spans="1:5">
      <c r="A922" s="110" t="s">
        <v>1127</v>
      </c>
      <c r="B922" s="110" t="s">
        <v>298</v>
      </c>
      <c r="C922" s="110">
        <v>2.181</v>
      </c>
      <c r="D922" s="112">
        <v>42745</v>
      </c>
    </row>
    <row r="923" spans="1:5">
      <c r="A923" s="110" t="s">
        <v>1126</v>
      </c>
      <c r="B923" s="110" t="s">
        <v>298</v>
      </c>
      <c r="C923" s="110">
        <v>2.2269999999999999</v>
      </c>
      <c r="D923" s="112">
        <v>42745</v>
      </c>
    </row>
    <row r="924" spans="1:5">
      <c r="A924" s="110" t="s">
        <v>1125</v>
      </c>
      <c r="B924" s="110" t="s">
        <v>298</v>
      </c>
      <c r="C924" s="110">
        <v>2.2629999999999999</v>
      </c>
      <c r="D924" s="112">
        <v>42745</v>
      </c>
    </row>
    <row r="925" spans="1:5">
      <c r="A925" s="110" t="s">
        <v>1124</v>
      </c>
      <c r="B925" s="110" t="s">
        <v>298</v>
      </c>
      <c r="C925" s="110">
        <v>2.169</v>
      </c>
      <c r="D925" s="112">
        <v>42745</v>
      </c>
    </row>
    <row r="926" spans="1:5">
      <c r="A926" s="110" t="s">
        <v>1123</v>
      </c>
      <c r="B926" s="110" t="s">
        <v>298</v>
      </c>
      <c r="C926" s="110">
        <v>2.2519999999999998</v>
      </c>
      <c r="D926" s="112">
        <v>42745</v>
      </c>
    </row>
    <row r="927" spans="1:5">
      <c r="A927" s="110" t="s">
        <v>1122</v>
      </c>
      <c r="B927" s="110" t="s">
        <v>298</v>
      </c>
      <c r="C927" s="110">
        <v>2.2589999999999999</v>
      </c>
      <c r="D927" s="112">
        <v>42745</v>
      </c>
    </row>
    <row r="928" spans="1:5">
      <c r="A928" s="110" t="s">
        <v>1121</v>
      </c>
      <c r="B928" s="110" t="s">
        <v>298</v>
      </c>
      <c r="C928" s="110">
        <v>2.2400000000000002</v>
      </c>
      <c r="D928" s="112">
        <v>42745</v>
      </c>
    </row>
    <row r="929" spans="1:4">
      <c r="A929" s="110" t="s">
        <v>1120</v>
      </c>
      <c r="B929" s="110" t="s">
        <v>298</v>
      </c>
      <c r="C929" s="110">
        <v>2.0249999999999999</v>
      </c>
      <c r="D929" s="112">
        <v>42745</v>
      </c>
    </row>
    <row r="930" spans="1:4">
      <c r="A930" s="110" t="s">
        <v>1119</v>
      </c>
      <c r="B930" s="110" t="s">
        <v>298</v>
      </c>
      <c r="C930" s="110">
        <v>2.0590000000000002</v>
      </c>
      <c r="D930" s="112">
        <v>42745</v>
      </c>
    </row>
    <row r="931" spans="1:4">
      <c r="A931" s="110" t="s">
        <v>1118</v>
      </c>
      <c r="B931" s="110" t="s">
        <v>298</v>
      </c>
      <c r="C931" s="110">
        <v>2.2770000000000001</v>
      </c>
      <c r="D931" s="112">
        <v>42745</v>
      </c>
    </row>
    <row r="932" spans="1:4">
      <c r="A932" s="110" t="s">
        <v>1117</v>
      </c>
      <c r="B932" s="110" t="s">
        <v>298</v>
      </c>
      <c r="C932" s="110">
        <v>2.14</v>
      </c>
      <c r="D932" s="112">
        <v>42745</v>
      </c>
    </row>
    <row r="933" spans="1:4">
      <c r="A933" s="110" t="s">
        <v>1116</v>
      </c>
      <c r="B933" s="110" t="s">
        <v>298</v>
      </c>
      <c r="C933" s="110">
        <v>2.16</v>
      </c>
      <c r="D933" s="112">
        <v>42745</v>
      </c>
    </row>
    <row r="934" spans="1:4">
      <c r="A934" s="110" t="s">
        <v>1115</v>
      </c>
      <c r="B934" s="110" t="s">
        <v>298</v>
      </c>
      <c r="C934" s="110">
        <v>2.2559999999999998</v>
      </c>
      <c r="D934" s="112">
        <v>42745</v>
      </c>
    </row>
    <row r="935" spans="1:4">
      <c r="A935" s="110" t="s">
        <v>1114</v>
      </c>
      <c r="B935" s="110" t="s">
        <v>298</v>
      </c>
      <c r="C935" s="110">
        <v>2.0550000000000002</v>
      </c>
      <c r="D935" s="112">
        <v>42745</v>
      </c>
    </row>
    <row r="936" spans="1:4">
      <c r="A936" s="110" t="s">
        <v>1113</v>
      </c>
      <c r="B936" s="110" t="s">
        <v>298</v>
      </c>
      <c r="C936" s="110">
        <v>2.1030000000000002</v>
      </c>
      <c r="D936" s="112">
        <v>42745</v>
      </c>
    </row>
    <row r="937" spans="1:4">
      <c r="A937" s="110" t="s">
        <v>1112</v>
      </c>
      <c r="B937" s="110" t="s">
        <v>298</v>
      </c>
      <c r="C937" s="110">
        <v>2.2400000000000002</v>
      </c>
      <c r="D937" s="112">
        <v>42745</v>
      </c>
    </row>
    <row r="938" spans="1:4">
      <c r="A938" s="110" t="s">
        <v>1111</v>
      </c>
      <c r="B938" s="110" t="s">
        <v>298</v>
      </c>
      <c r="C938" s="110">
        <v>2.177</v>
      </c>
      <c r="D938" s="112">
        <v>42745</v>
      </c>
    </row>
    <row r="939" spans="1:4">
      <c r="A939" s="110" t="s">
        <v>1110</v>
      </c>
      <c r="B939" s="110" t="s">
        <v>298</v>
      </c>
      <c r="C939" s="110">
        <v>2.1589999999999998</v>
      </c>
      <c r="D939" s="112">
        <v>42745</v>
      </c>
    </row>
    <row r="940" spans="1:4">
      <c r="A940" s="110" t="s">
        <v>1109</v>
      </c>
      <c r="B940" s="110" t="s">
        <v>298</v>
      </c>
      <c r="C940" s="110">
        <v>2.2290000000000001</v>
      </c>
      <c r="D940" s="112">
        <v>42745</v>
      </c>
    </row>
    <row r="941" spans="1:4">
      <c r="A941" s="110" t="s">
        <v>1108</v>
      </c>
      <c r="B941" s="110" t="s">
        <v>298</v>
      </c>
      <c r="C941" s="110">
        <v>2.1989999999999998</v>
      </c>
      <c r="D941" s="112">
        <v>42745</v>
      </c>
    </row>
    <row r="942" spans="1:4">
      <c r="A942" s="110" t="s">
        <v>1107</v>
      </c>
      <c r="B942" s="110" t="s">
        <v>298</v>
      </c>
      <c r="C942" s="110">
        <v>2.1349999999999998</v>
      </c>
      <c r="D942" s="112">
        <v>42745</v>
      </c>
    </row>
    <row r="943" spans="1:4">
      <c r="A943" s="110" t="s">
        <v>1106</v>
      </c>
      <c r="B943" s="110" t="s">
        <v>298</v>
      </c>
      <c r="C943" s="110">
        <v>2.0630000000000002</v>
      </c>
      <c r="D943" s="112">
        <v>42745</v>
      </c>
    </row>
    <row r="944" spans="1:4">
      <c r="A944" s="110" t="s">
        <v>1105</v>
      </c>
      <c r="B944" s="110" t="s">
        <v>298</v>
      </c>
      <c r="C944" s="110">
        <v>2.298</v>
      </c>
      <c r="D944" s="112">
        <v>42745</v>
      </c>
    </row>
    <row r="945" spans="1:4">
      <c r="A945" s="110" t="s">
        <v>1104</v>
      </c>
      <c r="B945" s="110" t="s">
        <v>298</v>
      </c>
      <c r="C945" s="110">
        <v>2.0979999999999999</v>
      </c>
      <c r="D945" s="112">
        <v>42745</v>
      </c>
    </row>
    <row r="946" spans="1:4">
      <c r="A946" s="110" t="s">
        <v>1103</v>
      </c>
      <c r="B946" s="110" t="s">
        <v>298</v>
      </c>
      <c r="C946" s="110">
        <v>2.12</v>
      </c>
      <c r="D946" s="112">
        <v>42745</v>
      </c>
    </row>
    <row r="947" spans="1:4">
      <c r="A947" s="110" t="s">
        <v>1102</v>
      </c>
      <c r="B947" s="110" t="s">
        <v>298</v>
      </c>
      <c r="C947" s="110">
        <v>2.1429999999999998</v>
      </c>
      <c r="D947" s="112">
        <v>42745</v>
      </c>
    </row>
    <row r="948" spans="1:4">
      <c r="A948" s="110" t="s">
        <v>1101</v>
      </c>
      <c r="B948" s="110" t="s">
        <v>298</v>
      </c>
      <c r="C948" s="110">
        <v>2.121</v>
      </c>
      <c r="D948" s="112">
        <v>42745</v>
      </c>
    </row>
    <row r="949" spans="1:4">
      <c r="A949" s="110" t="s">
        <v>1100</v>
      </c>
      <c r="B949" s="110" t="s">
        <v>298</v>
      </c>
      <c r="C949" s="110">
        <v>2.2010000000000001</v>
      </c>
      <c r="D949" s="112">
        <v>42746</v>
      </c>
    </row>
    <row r="950" spans="1:4">
      <c r="A950" s="110" t="s">
        <v>1099</v>
      </c>
      <c r="B950" s="110" t="s">
        <v>298</v>
      </c>
      <c r="C950" s="110">
        <v>2.2389999999999999</v>
      </c>
      <c r="D950" s="112">
        <v>42746</v>
      </c>
    </row>
    <row r="951" spans="1:4">
      <c r="A951" s="110" t="s">
        <v>1098</v>
      </c>
      <c r="B951" s="110" t="s">
        <v>298</v>
      </c>
      <c r="C951" s="110">
        <v>2.2759999999999998</v>
      </c>
      <c r="D951" s="112">
        <v>42746</v>
      </c>
    </row>
    <row r="952" spans="1:4">
      <c r="A952" s="110" t="s">
        <v>1097</v>
      </c>
      <c r="B952" s="110" t="s">
        <v>298</v>
      </c>
      <c r="C952" s="110">
        <v>2.2480000000000002</v>
      </c>
      <c r="D952" s="112">
        <v>42746</v>
      </c>
    </row>
    <row r="953" spans="1:4">
      <c r="A953" s="110" t="s">
        <v>1096</v>
      </c>
      <c r="B953" s="110" t="s">
        <v>298</v>
      </c>
      <c r="C953" s="110">
        <v>2.1989999999999998</v>
      </c>
      <c r="D953" s="112">
        <v>42746</v>
      </c>
    </row>
    <row r="954" spans="1:4">
      <c r="A954" s="110" t="s">
        <v>1095</v>
      </c>
      <c r="B954" s="110" t="s">
        <v>298</v>
      </c>
      <c r="C954" s="110">
        <v>2.2890000000000001</v>
      </c>
      <c r="D954" s="112">
        <v>42746</v>
      </c>
    </row>
    <row r="955" spans="1:4">
      <c r="A955" s="110" t="s">
        <v>1094</v>
      </c>
      <c r="B955" s="110" t="s">
        <v>298</v>
      </c>
      <c r="C955" s="110">
        <v>2.1850000000000001</v>
      </c>
      <c r="D955" s="112">
        <v>42746</v>
      </c>
    </row>
    <row r="956" spans="1:4">
      <c r="A956" s="110" t="s">
        <v>1093</v>
      </c>
      <c r="B956" s="110" t="s">
        <v>298</v>
      </c>
      <c r="C956" s="110">
        <v>2.2149999999999999</v>
      </c>
      <c r="D956" s="112">
        <v>42746</v>
      </c>
    </row>
    <row r="957" spans="1:4">
      <c r="A957" s="110" t="s">
        <v>1092</v>
      </c>
      <c r="B957" s="110" t="s">
        <v>298</v>
      </c>
      <c r="C957" s="110">
        <v>2.2999999999999998</v>
      </c>
      <c r="D957" s="112">
        <v>42746</v>
      </c>
    </row>
    <row r="958" spans="1:4">
      <c r="A958" s="110" t="s">
        <v>1091</v>
      </c>
      <c r="B958" s="110" t="s">
        <v>298</v>
      </c>
      <c r="C958" s="110">
        <v>2.2490000000000001</v>
      </c>
      <c r="D958" s="112">
        <v>42746</v>
      </c>
    </row>
    <row r="959" spans="1:4">
      <c r="A959" s="110" t="s">
        <v>1090</v>
      </c>
      <c r="B959" s="110" t="s">
        <v>298</v>
      </c>
      <c r="C959" s="110">
        <v>2.3149999999999999</v>
      </c>
      <c r="D959" s="112">
        <v>42746</v>
      </c>
    </row>
    <row r="960" spans="1:4">
      <c r="A960" s="110" t="s">
        <v>1089</v>
      </c>
      <c r="B960" s="110" t="s">
        <v>298</v>
      </c>
      <c r="C960" s="110">
        <v>2.1629999999999998</v>
      </c>
      <c r="D960" s="112">
        <v>42746</v>
      </c>
    </row>
    <row r="961" spans="1:5">
      <c r="A961" s="110" t="s">
        <v>1088</v>
      </c>
      <c r="B961" s="110" t="s">
        <v>298</v>
      </c>
      <c r="C961" s="110">
        <v>2.2829999999999999</v>
      </c>
      <c r="D961" s="112">
        <v>42746</v>
      </c>
    </row>
    <row r="962" spans="1:5">
      <c r="A962" s="113" t="s">
        <v>1087</v>
      </c>
      <c r="B962" s="113" t="s">
        <v>298</v>
      </c>
      <c r="C962" s="113">
        <v>2.2069999999999999</v>
      </c>
      <c r="D962" s="114">
        <v>42746</v>
      </c>
      <c r="E962" s="113" t="s">
        <v>3911</v>
      </c>
    </row>
    <row r="963" spans="1:5">
      <c r="A963" s="110" t="s">
        <v>1086</v>
      </c>
      <c r="B963" s="110" t="s">
        <v>298</v>
      </c>
      <c r="C963" s="110">
        <v>2.2010000000000001</v>
      </c>
      <c r="D963" s="112">
        <v>42746</v>
      </c>
    </row>
    <row r="964" spans="1:5">
      <c r="A964" s="110" t="s">
        <v>1085</v>
      </c>
      <c r="B964" s="110" t="s">
        <v>298</v>
      </c>
      <c r="C964" s="110">
        <v>2.1829999999999998</v>
      </c>
      <c r="D964" s="112">
        <v>42746</v>
      </c>
    </row>
    <row r="965" spans="1:5">
      <c r="A965" s="110" t="s">
        <v>1084</v>
      </c>
      <c r="B965" s="110" t="s">
        <v>298</v>
      </c>
      <c r="C965" s="110">
        <v>2.1890000000000001</v>
      </c>
      <c r="D965" s="112">
        <v>42746</v>
      </c>
    </row>
    <row r="966" spans="1:5">
      <c r="A966" s="110" t="s">
        <v>1083</v>
      </c>
      <c r="B966" s="110" t="s">
        <v>298</v>
      </c>
      <c r="C966" s="110">
        <v>2.1760000000000002</v>
      </c>
      <c r="D966" s="112">
        <v>42746</v>
      </c>
    </row>
    <row r="967" spans="1:5">
      <c r="A967" s="110" t="s">
        <v>1082</v>
      </c>
      <c r="B967" s="110" t="s">
        <v>298</v>
      </c>
      <c r="C967" s="110">
        <v>2.2029999999999998</v>
      </c>
      <c r="D967" s="112">
        <v>42746</v>
      </c>
    </row>
    <row r="968" spans="1:5">
      <c r="A968" s="110" t="s">
        <v>1081</v>
      </c>
      <c r="B968" s="110" t="s">
        <v>298</v>
      </c>
      <c r="C968" s="110">
        <v>2.3220000000000001</v>
      </c>
      <c r="D968" s="112">
        <v>42746</v>
      </c>
    </row>
    <row r="969" spans="1:5">
      <c r="A969" s="110" t="s">
        <v>1080</v>
      </c>
      <c r="B969" s="110" t="s">
        <v>298</v>
      </c>
      <c r="C969" s="110">
        <v>2.2450000000000001</v>
      </c>
      <c r="D969" s="112">
        <v>42746</v>
      </c>
    </row>
    <row r="970" spans="1:5">
      <c r="A970" s="110" t="s">
        <v>1079</v>
      </c>
      <c r="B970" s="110" t="s">
        <v>298</v>
      </c>
      <c r="C970" s="110">
        <v>2.3660000000000001</v>
      </c>
      <c r="D970" s="112">
        <v>42746</v>
      </c>
    </row>
    <row r="971" spans="1:5">
      <c r="A971" s="110" t="s">
        <v>1078</v>
      </c>
      <c r="B971" s="110" t="s">
        <v>298</v>
      </c>
      <c r="C971" s="110">
        <v>2.1749999999999998</v>
      </c>
      <c r="D971" s="112">
        <v>42746</v>
      </c>
    </row>
    <row r="972" spans="1:5">
      <c r="A972" s="110" t="s">
        <v>1077</v>
      </c>
      <c r="B972" s="110" t="s">
        <v>298</v>
      </c>
      <c r="C972" s="110">
        <v>2.2879999999999998</v>
      </c>
      <c r="D972" s="112">
        <v>42746</v>
      </c>
    </row>
    <row r="973" spans="1:5">
      <c r="A973" s="110" t="s">
        <v>1076</v>
      </c>
      <c r="B973" s="110" t="s">
        <v>298</v>
      </c>
      <c r="C973" s="110">
        <v>2.2559999999999998</v>
      </c>
      <c r="D973" s="112">
        <v>42746</v>
      </c>
    </row>
    <row r="974" spans="1:5">
      <c r="A974" s="110" t="s">
        <v>1075</v>
      </c>
      <c r="B974" s="110" t="s">
        <v>298</v>
      </c>
      <c r="C974" s="110">
        <v>2.1120000000000001</v>
      </c>
      <c r="D974" s="112">
        <v>42746</v>
      </c>
    </row>
    <row r="975" spans="1:5">
      <c r="A975" s="110" t="s">
        <v>1074</v>
      </c>
      <c r="B975" s="110" t="s">
        <v>298</v>
      </c>
      <c r="C975" s="110">
        <v>2.1859999999999999</v>
      </c>
      <c r="D975" s="112">
        <v>42746</v>
      </c>
    </row>
    <row r="976" spans="1:5">
      <c r="A976" s="110" t="s">
        <v>1073</v>
      </c>
      <c r="B976" s="110" t="s">
        <v>298</v>
      </c>
      <c r="C976" s="110">
        <v>2.2370000000000001</v>
      </c>
      <c r="D976" s="112">
        <v>42746</v>
      </c>
    </row>
    <row r="977" spans="1:4">
      <c r="A977" s="110" t="s">
        <v>1072</v>
      </c>
      <c r="B977" s="110" t="s">
        <v>298</v>
      </c>
      <c r="C977" s="110">
        <v>2.2149999999999999</v>
      </c>
      <c r="D977" s="112">
        <v>42746</v>
      </c>
    </row>
    <row r="978" spans="1:4">
      <c r="A978" s="110" t="s">
        <v>1071</v>
      </c>
      <c r="B978" s="110" t="s">
        <v>298</v>
      </c>
      <c r="C978" s="110">
        <v>2.23</v>
      </c>
      <c r="D978" s="112">
        <v>42746</v>
      </c>
    </row>
    <row r="979" spans="1:4">
      <c r="A979" s="110" t="s">
        <v>1070</v>
      </c>
      <c r="B979" s="110" t="s">
        <v>298</v>
      </c>
      <c r="C979" s="110">
        <v>2.2440000000000002</v>
      </c>
      <c r="D979" s="112">
        <v>42746</v>
      </c>
    </row>
    <row r="980" spans="1:4">
      <c r="A980" s="110" t="s">
        <v>1069</v>
      </c>
      <c r="B980" s="110" t="s">
        <v>298</v>
      </c>
      <c r="C980" s="110">
        <v>2.2349999999999999</v>
      </c>
      <c r="D980" s="112">
        <v>42746</v>
      </c>
    </row>
    <row r="981" spans="1:4">
      <c r="A981" s="110" t="s">
        <v>1068</v>
      </c>
      <c r="B981" s="110" t="s">
        <v>298</v>
      </c>
      <c r="C981" s="110">
        <v>2.1459999999999999</v>
      </c>
      <c r="D981" s="112">
        <v>42746</v>
      </c>
    </row>
    <row r="982" spans="1:4">
      <c r="A982" s="110" t="s">
        <v>1067</v>
      </c>
      <c r="B982" s="110" t="s">
        <v>298</v>
      </c>
      <c r="C982" s="110">
        <v>2.3340000000000001</v>
      </c>
      <c r="D982" s="112">
        <v>42746</v>
      </c>
    </row>
    <row r="983" spans="1:4">
      <c r="A983" s="110" t="s">
        <v>1066</v>
      </c>
      <c r="B983" s="110" t="s">
        <v>298</v>
      </c>
      <c r="C983" s="110">
        <v>2.1819999999999999</v>
      </c>
      <c r="D983" s="112">
        <v>42746</v>
      </c>
    </row>
    <row r="984" spans="1:4">
      <c r="A984" s="110" t="s">
        <v>1065</v>
      </c>
      <c r="B984" s="110" t="s">
        <v>298</v>
      </c>
      <c r="C984" s="110">
        <v>2.2970000000000002</v>
      </c>
      <c r="D984" s="112">
        <v>42746</v>
      </c>
    </row>
    <row r="985" spans="1:4">
      <c r="A985" s="110" t="s">
        <v>1064</v>
      </c>
      <c r="B985" s="110" t="s">
        <v>298</v>
      </c>
      <c r="C985" s="110">
        <v>2.1749999999999998</v>
      </c>
      <c r="D985" s="112">
        <v>42746</v>
      </c>
    </row>
    <row r="986" spans="1:4">
      <c r="A986" s="110" t="s">
        <v>1063</v>
      </c>
      <c r="B986" s="110" t="s">
        <v>298</v>
      </c>
      <c r="C986" s="110">
        <v>2.2200000000000002</v>
      </c>
      <c r="D986" s="112">
        <v>42746</v>
      </c>
    </row>
    <row r="987" spans="1:4">
      <c r="A987" s="110" t="s">
        <v>1062</v>
      </c>
      <c r="B987" s="110" t="s">
        <v>298</v>
      </c>
      <c r="C987" s="110">
        <v>2.1890000000000001</v>
      </c>
      <c r="D987" s="112">
        <v>42746</v>
      </c>
    </row>
    <row r="988" spans="1:4">
      <c r="A988" s="110" t="s">
        <v>1061</v>
      </c>
      <c r="B988" s="110" t="s">
        <v>298</v>
      </c>
      <c r="C988" s="110">
        <v>2.177</v>
      </c>
      <c r="D988" s="112">
        <v>42746</v>
      </c>
    </row>
    <row r="989" spans="1:4">
      <c r="A989" s="110" t="s">
        <v>1060</v>
      </c>
      <c r="B989" s="110" t="s">
        <v>298</v>
      </c>
      <c r="C989" s="110">
        <v>2.004</v>
      </c>
      <c r="D989" s="112">
        <v>42746</v>
      </c>
    </row>
    <row r="990" spans="1:4">
      <c r="A990" s="110" t="s">
        <v>1059</v>
      </c>
      <c r="B990" s="110" t="s">
        <v>298</v>
      </c>
      <c r="C990" s="110">
        <v>2.2490000000000001</v>
      </c>
      <c r="D990" s="112">
        <v>42746</v>
      </c>
    </row>
    <row r="991" spans="1:4">
      <c r="A991" s="110" t="s">
        <v>1058</v>
      </c>
      <c r="B991" s="110" t="s">
        <v>298</v>
      </c>
      <c r="C991" s="110">
        <v>2.0390000000000001</v>
      </c>
      <c r="D991" s="112">
        <v>42746</v>
      </c>
    </row>
    <row r="992" spans="1:4">
      <c r="A992" s="110" t="s">
        <v>1057</v>
      </c>
      <c r="B992" s="110" t="s">
        <v>298</v>
      </c>
      <c r="C992" s="110">
        <v>2.1629999999999998</v>
      </c>
      <c r="D992" s="112">
        <v>42746</v>
      </c>
    </row>
    <row r="993" spans="1:4">
      <c r="A993" s="110" t="s">
        <v>1056</v>
      </c>
      <c r="B993" s="110" t="s">
        <v>298</v>
      </c>
      <c r="C993" s="110">
        <v>2.1930000000000001</v>
      </c>
      <c r="D993" s="112">
        <v>42746</v>
      </c>
    </row>
    <row r="994" spans="1:4">
      <c r="A994" s="110" t="s">
        <v>1055</v>
      </c>
      <c r="B994" s="110" t="s">
        <v>298</v>
      </c>
      <c r="C994" s="110">
        <v>2.242</v>
      </c>
      <c r="D994" s="112">
        <v>42746</v>
      </c>
    </row>
    <row r="995" spans="1:4">
      <c r="A995" s="110" t="s">
        <v>1054</v>
      </c>
      <c r="B995" s="110" t="s">
        <v>298</v>
      </c>
      <c r="C995" s="110">
        <v>2.2930000000000001</v>
      </c>
      <c r="D995" s="112">
        <v>42746</v>
      </c>
    </row>
    <row r="996" spans="1:4">
      <c r="A996" s="110" t="s">
        <v>1053</v>
      </c>
      <c r="B996" s="110" t="s">
        <v>298</v>
      </c>
      <c r="C996" s="110">
        <v>2.1520000000000001</v>
      </c>
      <c r="D996" s="112">
        <v>42746</v>
      </c>
    </row>
    <row r="997" spans="1:4">
      <c r="A997" s="110" t="s">
        <v>1052</v>
      </c>
      <c r="B997" s="110" t="s">
        <v>298</v>
      </c>
      <c r="C997" s="110">
        <v>2.1949999999999998</v>
      </c>
      <c r="D997" s="112">
        <v>42746</v>
      </c>
    </row>
    <row r="998" spans="1:4">
      <c r="A998" s="110" t="s">
        <v>1051</v>
      </c>
      <c r="B998" s="110" t="s">
        <v>298</v>
      </c>
      <c r="C998" s="110">
        <v>2.206</v>
      </c>
      <c r="D998" s="112">
        <v>42746</v>
      </c>
    </row>
    <row r="999" spans="1:4">
      <c r="A999" s="110" t="s">
        <v>1050</v>
      </c>
      <c r="B999" s="110" t="s">
        <v>298</v>
      </c>
      <c r="C999" s="110">
        <v>2.133</v>
      </c>
      <c r="D999" s="112">
        <v>42746</v>
      </c>
    </row>
    <row r="1000" spans="1:4">
      <c r="A1000" s="110" t="s">
        <v>1049</v>
      </c>
      <c r="B1000" s="110" t="s">
        <v>298</v>
      </c>
      <c r="C1000" s="110">
        <v>2.246</v>
      </c>
      <c r="D1000" s="112">
        <v>42746</v>
      </c>
    </row>
    <row r="1001" spans="1:4">
      <c r="A1001" s="110" t="s">
        <v>1048</v>
      </c>
      <c r="B1001" s="110" t="s">
        <v>298</v>
      </c>
      <c r="C1001" s="110">
        <v>2.1709999999999998</v>
      </c>
      <c r="D1001" s="112">
        <v>42746</v>
      </c>
    </row>
    <row r="1002" spans="1:4">
      <c r="A1002" s="110" t="s">
        <v>1047</v>
      </c>
      <c r="B1002" s="110" t="s">
        <v>298</v>
      </c>
      <c r="C1002" s="110">
        <v>2.2770000000000001</v>
      </c>
      <c r="D1002" s="112">
        <v>42746</v>
      </c>
    </row>
    <row r="1003" spans="1:4">
      <c r="A1003" s="110" t="s">
        <v>1046</v>
      </c>
      <c r="B1003" s="110" t="s">
        <v>298</v>
      </c>
      <c r="C1003" s="110">
        <v>2.2160000000000002</v>
      </c>
      <c r="D1003" s="112">
        <v>42746</v>
      </c>
    </row>
    <row r="1004" spans="1:4">
      <c r="A1004" s="110" t="s">
        <v>1045</v>
      </c>
      <c r="B1004" s="110" t="s">
        <v>298</v>
      </c>
      <c r="C1004" s="110">
        <v>2.2309999999999999</v>
      </c>
      <c r="D1004" s="112">
        <v>42746</v>
      </c>
    </row>
    <row r="1005" spans="1:4">
      <c r="A1005" s="110" t="s">
        <v>1044</v>
      </c>
      <c r="B1005" s="110" t="s">
        <v>298</v>
      </c>
      <c r="C1005" s="110">
        <v>2.2959999999999998</v>
      </c>
      <c r="D1005" s="112">
        <v>42746</v>
      </c>
    </row>
    <row r="1006" spans="1:4">
      <c r="A1006" s="110" t="s">
        <v>1043</v>
      </c>
      <c r="B1006" s="110" t="s">
        <v>298</v>
      </c>
      <c r="C1006" s="110">
        <v>2.1960000000000002</v>
      </c>
      <c r="D1006" s="112">
        <v>42746</v>
      </c>
    </row>
    <row r="1007" spans="1:4">
      <c r="A1007" s="110" t="s">
        <v>1042</v>
      </c>
      <c r="B1007" s="110" t="s">
        <v>298</v>
      </c>
      <c r="C1007" s="110">
        <v>2.1920000000000002</v>
      </c>
      <c r="D1007" s="112">
        <v>42746</v>
      </c>
    </row>
    <row r="1008" spans="1:4">
      <c r="A1008" s="110" t="s">
        <v>1041</v>
      </c>
      <c r="B1008" s="110" t="s">
        <v>298</v>
      </c>
      <c r="C1008" s="110">
        <v>2.2549999999999999</v>
      </c>
      <c r="D1008" s="112">
        <v>42746</v>
      </c>
    </row>
    <row r="1009" spans="1:4">
      <c r="A1009" s="110" t="s">
        <v>1040</v>
      </c>
      <c r="B1009" s="110" t="s">
        <v>298</v>
      </c>
      <c r="C1009" s="110">
        <v>2.3039999999999998</v>
      </c>
      <c r="D1009" s="112">
        <v>42746</v>
      </c>
    </row>
    <row r="1010" spans="1:4">
      <c r="A1010" s="110" t="s">
        <v>1039</v>
      </c>
      <c r="B1010" s="110" t="s">
        <v>298</v>
      </c>
      <c r="C1010" s="110">
        <v>2.2469999999999999</v>
      </c>
      <c r="D1010" s="112">
        <v>42746</v>
      </c>
    </row>
    <row r="1011" spans="1:4">
      <c r="A1011" s="110" t="s">
        <v>1038</v>
      </c>
      <c r="B1011" s="110" t="s">
        <v>298</v>
      </c>
      <c r="C1011" s="110">
        <v>2.246</v>
      </c>
      <c r="D1011" s="112">
        <v>42746</v>
      </c>
    </row>
    <row r="1012" spans="1:4">
      <c r="A1012" s="110" t="s">
        <v>1037</v>
      </c>
      <c r="B1012" s="110" t="s">
        <v>298</v>
      </c>
      <c r="C1012" s="110">
        <v>2.2109999999999999</v>
      </c>
      <c r="D1012" s="112">
        <v>42746</v>
      </c>
    </row>
    <row r="1013" spans="1:4">
      <c r="A1013" s="110" t="s">
        <v>1036</v>
      </c>
      <c r="B1013" s="110" t="s">
        <v>298</v>
      </c>
      <c r="C1013" s="110">
        <v>2.254</v>
      </c>
      <c r="D1013" s="112">
        <v>42746</v>
      </c>
    </row>
    <row r="1014" spans="1:4">
      <c r="A1014" s="110" t="s">
        <v>1035</v>
      </c>
      <c r="B1014" s="110" t="s">
        <v>298</v>
      </c>
      <c r="C1014" s="110">
        <v>2.2330000000000001</v>
      </c>
      <c r="D1014" s="112">
        <v>42746</v>
      </c>
    </row>
    <row r="1015" spans="1:4">
      <c r="A1015" s="110" t="s">
        <v>1034</v>
      </c>
      <c r="B1015" s="110" t="s">
        <v>298</v>
      </c>
      <c r="C1015" s="110">
        <v>2.19</v>
      </c>
      <c r="D1015" s="112">
        <v>42746</v>
      </c>
    </row>
    <row r="1016" spans="1:4">
      <c r="A1016" s="110" t="s">
        <v>1033</v>
      </c>
      <c r="B1016" s="110" t="s">
        <v>298</v>
      </c>
      <c r="C1016" s="110">
        <v>2.1680000000000001</v>
      </c>
      <c r="D1016" s="112">
        <v>42746</v>
      </c>
    </row>
    <row r="1017" spans="1:4">
      <c r="A1017" s="110" t="s">
        <v>1032</v>
      </c>
      <c r="B1017" s="110" t="s">
        <v>298</v>
      </c>
      <c r="C1017" s="110">
        <v>2.2090000000000001</v>
      </c>
      <c r="D1017" s="112">
        <v>42746</v>
      </c>
    </row>
    <row r="1018" spans="1:4">
      <c r="A1018" s="110" t="s">
        <v>1031</v>
      </c>
      <c r="B1018" s="110" t="s">
        <v>298</v>
      </c>
      <c r="C1018" s="110">
        <v>2.2530000000000001</v>
      </c>
      <c r="D1018" s="112">
        <v>42746</v>
      </c>
    </row>
    <row r="1019" spans="1:4">
      <c r="A1019" s="110" t="s">
        <v>1030</v>
      </c>
      <c r="B1019" s="110" t="s">
        <v>298</v>
      </c>
      <c r="C1019" s="110">
        <v>2.3170000000000002</v>
      </c>
      <c r="D1019" s="112">
        <v>42746</v>
      </c>
    </row>
    <row r="1020" spans="1:4">
      <c r="A1020" s="110" t="s">
        <v>1029</v>
      </c>
      <c r="B1020" s="110" t="s">
        <v>298</v>
      </c>
      <c r="C1020" s="110">
        <v>2.2610000000000001</v>
      </c>
      <c r="D1020" s="112">
        <v>42746</v>
      </c>
    </row>
    <row r="1021" spans="1:4">
      <c r="A1021" s="110" t="s">
        <v>1028</v>
      </c>
      <c r="B1021" s="110" t="s">
        <v>298</v>
      </c>
      <c r="C1021" s="110">
        <v>2.202</v>
      </c>
      <c r="D1021" s="112">
        <v>42746</v>
      </c>
    </row>
    <row r="1022" spans="1:4">
      <c r="A1022" s="110" t="s">
        <v>1027</v>
      </c>
      <c r="B1022" s="110" t="s">
        <v>298</v>
      </c>
      <c r="C1022" s="110">
        <v>2.2450000000000001</v>
      </c>
      <c r="D1022" s="112">
        <v>42746</v>
      </c>
    </row>
    <row r="1023" spans="1:4">
      <c r="A1023" s="110" t="s">
        <v>1026</v>
      </c>
      <c r="B1023" s="110" t="s">
        <v>298</v>
      </c>
      <c r="C1023" s="110">
        <v>2.3119999999999998</v>
      </c>
      <c r="D1023" s="112">
        <v>42746</v>
      </c>
    </row>
    <row r="1024" spans="1:4">
      <c r="A1024" s="110" t="s">
        <v>1025</v>
      </c>
      <c r="B1024" s="110" t="s">
        <v>298</v>
      </c>
      <c r="C1024" s="110">
        <v>2.2909999999999999</v>
      </c>
      <c r="D1024" s="112">
        <v>42746</v>
      </c>
    </row>
    <row r="1025" spans="1:4">
      <c r="A1025" s="110" t="s">
        <v>1024</v>
      </c>
      <c r="B1025" s="110" t="s">
        <v>298</v>
      </c>
      <c r="C1025" s="110">
        <v>2.2029999999999998</v>
      </c>
      <c r="D1025" s="112">
        <v>42746</v>
      </c>
    </row>
    <row r="1026" spans="1:4">
      <c r="A1026" s="110" t="s">
        <v>1023</v>
      </c>
      <c r="B1026" s="110" t="s">
        <v>298</v>
      </c>
      <c r="C1026" s="110">
        <v>2.3330000000000002</v>
      </c>
      <c r="D1026" s="112">
        <v>42746</v>
      </c>
    </row>
    <row r="1027" spans="1:4">
      <c r="A1027" s="110" t="s">
        <v>1022</v>
      </c>
      <c r="B1027" s="110" t="s">
        <v>298</v>
      </c>
      <c r="C1027" s="110">
        <v>2.1589999999999998</v>
      </c>
      <c r="D1027" s="112">
        <v>42746</v>
      </c>
    </row>
    <row r="1028" spans="1:4">
      <c r="A1028" s="110" t="s">
        <v>1021</v>
      </c>
      <c r="B1028" s="110" t="s">
        <v>298</v>
      </c>
      <c r="C1028" s="110">
        <v>2.2450000000000001</v>
      </c>
      <c r="D1028" s="112">
        <v>42746</v>
      </c>
    </row>
    <row r="1029" spans="1:4">
      <c r="A1029" s="110" t="s">
        <v>1020</v>
      </c>
      <c r="B1029" s="110" t="s">
        <v>298</v>
      </c>
      <c r="C1029" s="110">
        <v>2.165</v>
      </c>
      <c r="D1029" s="112">
        <v>42747</v>
      </c>
    </row>
    <row r="1030" spans="1:4">
      <c r="A1030" s="110" t="s">
        <v>1019</v>
      </c>
      <c r="B1030" s="110" t="s">
        <v>298</v>
      </c>
      <c r="C1030" s="110">
        <v>2.2189999999999999</v>
      </c>
      <c r="D1030" s="112">
        <v>42747</v>
      </c>
    </row>
    <row r="1031" spans="1:4">
      <c r="A1031" s="110" t="s">
        <v>1018</v>
      </c>
      <c r="B1031" s="110" t="s">
        <v>298</v>
      </c>
      <c r="C1031" s="110">
        <v>2.2610000000000001</v>
      </c>
      <c r="D1031" s="112">
        <v>42747</v>
      </c>
    </row>
    <row r="1032" spans="1:4">
      <c r="A1032" s="110" t="s">
        <v>1017</v>
      </c>
      <c r="B1032" s="110" t="s">
        <v>298</v>
      </c>
      <c r="C1032" s="110">
        <v>2.2120000000000002</v>
      </c>
      <c r="D1032" s="112">
        <v>42747</v>
      </c>
    </row>
    <row r="1033" spans="1:4">
      <c r="A1033" s="110" t="s">
        <v>1016</v>
      </c>
      <c r="B1033" s="110" t="s">
        <v>298</v>
      </c>
      <c r="C1033" s="110">
        <v>2.2040000000000002</v>
      </c>
      <c r="D1033" s="112">
        <v>42747</v>
      </c>
    </row>
    <row r="1034" spans="1:4">
      <c r="A1034" s="110" t="s">
        <v>1015</v>
      </c>
      <c r="B1034" s="110" t="s">
        <v>298</v>
      </c>
      <c r="C1034" s="110">
        <v>2.2400000000000002</v>
      </c>
      <c r="D1034" s="112">
        <v>42747</v>
      </c>
    </row>
    <row r="1035" spans="1:4">
      <c r="A1035" s="110" t="s">
        <v>1014</v>
      </c>
      <c r="B1035" s="110" t="s">
        <v>298</v>
      </c>
      <c r="C1035" s="110">
        <v>2.1869999999999998</v>
      </c>
      <c r="D1035" s="112">
        <v>42747</v>
      </c>
    </row>
    <row r="1036" spans="1:4">
      <c r="A1036" s="167" t="s">
        <v>1013</v>
      </c>
      <c r="B1036" s="110" t="s">
        <v>298</v>
      </c>
      <c r="C1036" s="110">
        <v>2.2370000000000001</v>
      </c>
      <c r="D1036" s="112">
        <v>42747</v>
      </c>
    </row>
    <row r="1037" spans="1:4">
      <c r="A1037" s="110" t="s">
        <v>1012</v>
      </c>
      <c r="B1037" s="110" t="s">
        <v>298</v>
      </c>
      <c r="C1037" s="110">
        <v>2.2829999999999999</v>
      </c>
      <c r="D1037" s="112">
        <v>42747</v>
      </c>
    </row>
    <row r="1038" spans="1:4">
      <c r="A1038" s="110" t="s">
        <v>1011</v>
      </c>
      <c r="B1038" s="110" t="s">
        <v>298</v>
      </c>
      <c r="C1038" s="110">
        <v>2.2410000000000001</v>
      </c>
      <c r="D1038" s="112">
        <v>42747</v>
      </c>
    </row>
    <row r="1039" spans="1:4">
      <c r="A1039" s="110" t="s">
        <v>1010</v>
      </c>
      <c r="B1039" s="110" t="s">
        <v>298</v>
      </c>
      <c r="C1039" s="110">
        <v>2.1560000000000001</v>
      </c>
      <c r="D1039" s="112">
        <v>42747</v>
      </c>
    </row>
    <row r="1040" spans="1:4">
      <c r="A1040" s="110" t="s">
        <v>1009</v>
      </c>
      <c r="B1040" s="110" t="s">
        <v>298</v>
      </c>
      <c r="C1040" s="110">
        <v>2.133</v>
      </c>
      <c r="D1040" s="112">
        <v>42747</v>
      </c>
    </row>
    <row r="1041" spans="1:4">
      <c r="A1041" s="110" t="s">
        <v>1008</v>
      </c>
      <c r="B1041" s="110" t="s">
        <v>298</v>
      </c>
      <c r="C1041" s="110">
        <v>2.1760000000000002</v>
      </c>
      <c r="D1041" s="112">
        <v>42747</v>
      </c>
    </row>
    <row r="1042" spans="1:4">
      <c r="A1042" s="110" t="s">
        <v>1007</v>
      </c>
      <c r="B1042" s="110" t="s">
        <v>298</v>
      </c>
      <c r="C1042" s="110">
        <v>2.21</v>
      </c>
      <c r="D1042" s="112">
        <v>42747</v>
      </c>
    </row>
    <row r="1043" spans="1:4">
      <c r="A1043" s="110" t="s">
        <v>1006</v>
      </c>
      <c r="B1043" s="110" t="s">
        <v>298</v>
      </c>
      <c r="C1043" s="110">
        <v>2.286</v>
      </c>
      <c r="D1043" s="112">
        <v>42747</v>
      </c>
    </row>
    <row r="1044" spans="1:4">
      <c r="A1044" s="110" t="s">
        <v>1005</v>
      </c>
      <c r="B1044" s="110" t="s">
        <v>298</v>
      </c>
      <c r="C1044" s="110">
        <v>2.21</v>
      </c>
      <c r="D1044" s="112">
        <v>42747</v>
      </c>
    </row>
    <row r="1045" spans="1:4">
      <c r="A1045" s="110" t="s">
        <v>1004</v>
      </c>
      <c r="B1045" s="110" t="s">
        <v>298</v>
      </c>
      <c r="C1045" s="110">
        <v>2.198</v>
      </c>
      <c r="D1045" s="112">
        <v>42747</v>
      </c>
    </row>
    <row r="1046" spans="1:4">
      <c r="A1046" s="110" t="s">
        <v>1003</v>
      </c>
      <c r="B1046" s="110" t="s">
        <v>298</v>
      </c>
      <c r="C1046" s="110">
        <v>2.3140000000000001</v>
      </c>
      <c r="D1046" s="112">
        <v>42747</v>
      </c>
    </row>
    <row r="1047" spans="1:4">
      <c r="A1047" s="110" t="s">
        <v>1002</v>
      </c>
      <c r="B1047" s="110" t="s">
        <v>298</v>
      </c>
      <c r="C1047" s="110">
        <v>2.2829999999999999</v>
      </c>
      <c r="D1047" s="112">
        <v>42747</v>
      </c>
    </row>
    <row r="1048" spans="1:4">
      <c r="A1048" s="110" t="s">
        <v>1001</v>
      </c>
      <c r="B1048" s="110" t="s">
        <v>298</v>
      </c>
      <c r="C1048" s="110">
        <v>2.1930000000000001</v>
      </c>
      <c r="D1048" s="112">
        <v>42747</v>
      </c>
    </row>
    <row r="1049" spans="1:4">
      <c r="A1049" s="110" t="s">
        <v>1000</v>
      </c>
      <c r="B1049" s="110" t="s">
        <v>298</v>
      </c>
      <c r="C1049" s="110">
        <v>2.2029999999999998</v>
      </c>
      <c r="D1049" s="112">
        <v>42747</v>
      </c>
    </row>
    <row r="1050" spans="1:4">
      <c r="A1050" s="110" t="s">
        <v>999</v>
      </c>
      <c r="B1050" s="110" t="s">
        <v>298</v>
      </c>
      <c r="C1050" s="110">
        <v>2.0870000000000002</v>
      </c>
      <c r="D1050" s="112">
        <v>42747</v>
      </c>
    </row>
    <row r="1051" spans="1:4">
      <c r="A1051" s="110" t="s">
        <v>998</v>
      </c>
      <c r="B1051" s="110" t="s">
        <v>298</v>
      </c>
      <c r="C1051" s="110">
        <v>2.1560000000000001</v>
      </c>
      <c r="D1051" s="112">
        <v>42747</v>
      </c>
    </row>
    <row r="1052" spans="1:4">
      <c r="A1052" s="110" t="s">
        <v>997</v>
      </c>
      <c r="B1052" s="110" t="s">
        <v>298</v>
      </c>
      <c r="C1052" s="110">
        <v>2.1429999999999998</v>
      </c>
      <c r="D1052" s="112">
        <v>42747</v>
      </c>
    </row>
    <row r="1053" spans="1:4">
      <c r="A1053" s="110" t="s">
        <v>996</v>
      </c>
      <c r="B1053" s="110" t="s">
        <v>298</v>
      </c>
      <c r="C1053" s="110">
        <v>2.2719999999999998</v>
      </c>
      <c r="D1053" s="112">
        <v>42747</v>
      </c>
    </row>
    <row r="1054" spans="1:4">
      <c r="A1054" s="110" t="s">
        <v>995</v>
      </c>
      <c r="B1054" s="110" t="s">
        <v>298</v>
      </c>
      <c r="C1054" s="110">
        <v>2.2010000000000001</v>
      </c>
      <c r="D1054" s="112">
        <v>42747</v>
      </c>
    </row>
    <row r="1055" spans="1:4">
      <c r="A1055" s="110" t="s">
        <v>994</v>
      </c>
      <c r="B1055" s="110" t="s">
        <v>298</v>
      </c>
      <c r="C1055" s="110">
        <v>2.1960000000000002</v>
      </c>
      <c r="D1055" s="112">
        <v>42747</v>
      </c>
    </row>
    <row r="1056" spans="1:4">
      <c r="A1056" s="110" t="s">
        <v>993</v>
      </c>
      <c r="B1056" s="110" t="s">
        <v>298</v>
      </c>
      <c r="C1056" s="110">
        <v>2.149</v>
      </c>
      <c r="D1056" s="112">
        <v>42747</v>
      </c>
    </row>
    <row r="1057" spans="1:4">
      <c r="A1057" s="110" t="s">
        <v>992</v>
      </c>
      <c r="B1057" s="110" t="s">
        <v>298</v>
      </c>
      <c r="C1057" s="110">
        <v>2.2400000000000002</v>
      </c>
      <c r="D1057" s="112">
        <v>42747</v>
      </c>
    </row>
    <row r="1058" spans="1:4">
      <c r="A1058" s="110" t="s">
        <v>991</v>
      </c>
      <c r="B1058" s="110" t="s">
        <v>298</v>
      </c>
      <c r="C1058" s="110">
        <v>2.1469999999999998</v>
      </c>
      <c r="D1058" s="112">
        <v>42747</v>
      </c>
    </row>
    <row r="1059" spans="1:4">
      <c r="A1059" s="110" t="s">
        <v>990</v>
      </c>
      <c r="B1059" s="110" t="s">
        <v>298</v>
      </c>
      <c r="C1059" s="110">
        <v>2.1920000000000002</v>
      </c>
      <c r="D1059" s="112">
        <v>42747</v>
      </c>
    </row>
    <row r="1060" spans="1:4">
      <c r="A1060" s="110" t="s">
        <v>989</v>
      </c>
      <c r="B1060" s="110" t="s">
        <v>298</v>
      </c>
      <c r="C1060" s="110">
        <v>2.1800000000000002</v>
      </c>
      <c r="D1060" s="112">
        <v>42747</v>
      </c>
    </row>
    <row r="1061" spans="1:4">
      <c r="A1061" s="110" t="s">
        <v>988</v>
      </c>
      <c r="B1061" s="110" t="s">
        <v>298</v>
      </c>
      <c r="C1061" s="110">
        <v>2.2200000000000002</v>
      </c>
      <c r="D1061" s="112">
        <v>42747</v>
      </c>
    </row>
    <row r="1062" spans="1:4">
      <c r="A1062" s="110" t="s">
        <v>987</v>
      </c>
      <c r="B1062" s="110" t="s">
        <v>298</v>
      </c>
      <c r="C1062" s="110">
        <v>2.2010000000000001</v>
      </c>
      <c r="D1062" s="112">
        <v>42747</v>
      </c>
    </row>
    <row r="1063" spans="1:4">
      <c r="A1063" s="110" t="s">
        <v>986</v>
      </c>
      <c r="B1063" s="110" t="s">
        <v>298</v>
      </c>
      <c r="C1063" s="110">
        <v>2.206</v>
      </c>
      <c r="D1063" s="112">
        <v>42747</v>
      </c>
    </row>
    <row r="1064" spans="1:4">
      <c r="A1064" s="110" t="s">
        <v>985</v>
      </c>
      <c r="B1064" s="110" t="s">
        <v>298</v>
      </c>
      <c r="C1064" s="110">
        <v>2.246</v>
      </c>
      <c r="D1064" s="112">
        <v>42747</v>
      </c>
    </row>
    <row r="1065" spans="1:4">
      <c r="A1065" s="110" t="s">
        <v>984</v>
      </c>
      <c r="B1065" s="110" t="s">
        <v>298</v>
      </c>
      <c r="C1065" s="110">
        <v>2.1819999999999999</v>
      </c>
      <c r="D1065" s="112">
        <v>42747</v>
      </c>
    </row>
    <row r="1066" spans="1:4">
      <c r="A1066" s="110" t="s">
        <v>983</v>
      </c>
      <c r="B1066" s="110" t="s">
        <v>298</v>
      </c>
      <c r="C1066" s="110">
        <v>2.2959999999999998</v>
      </c>
      <c r="D1066" s="112">
        <v>42747</v>
      </c>
    </row>
    <row r="1067" spans="1:4">
      <c r="A1067" s="110" t="s">
        <v>982</v>
      </c>
      <c r="B1067" s="110" t="s">
        <v>298</v>
      </c>
      <c r="C1067" s="110">
        <v>2.2930000000000001</v>
      </c>
      <c r="D1067" s="112">
        <v>42747</v>
      </c>
    </row>
    <row r="1068" spans="1:4">
      <c r="A1068" s="110" t="s">
        <v>981</v>
      </c>
      <c r="B1068" s="110" t="s">
        <v>298</v>
      </c>
      <c r="C1068" s="110">
        <v>2.1880000000000002</v>
      </c>
      <c r="D1068" s="112">
        <v>42747</v>
      </c>
    </row>
    <row r="1069" spans="1:4">
      <c r="A1069" s="110" t="s">
        <v>980</v>
      </c>
      <c r="B1069" s="110" t="s">
        <v>298</v>
      </c>
      <c r="C1069" s="110">
        <v>2.1829999999999998</v>
      </c>
      <c r="D1069" s="112">
        <v>42747</v>
      </c>
    </row>
    <row r="1070" spans="1:4">
      <c r="A1070" s="110" t="s">
        <v>979</v>
      </c>
      <c r="B1070" s="110" t="s">
        <v>298</v>
      </c>
      <c r="C1070" s="110">
        <v>2.242</v>
      </c>
      <c r="D1070" s="112">
        <v>42747</v>
      </c>
    </row>
    <row r="1071" spans="1:4">
      <c r="A1071" s="110" t="s">
        <v>978</v>
      </c>
      <c r="B1071" s="110" t="s">
        <v>298</v>
      </c>
      <c r="C1071" s="110">
        <v>2.23</v>
      </c>
      <c r="D1071" s="112">
        <v>42747</v>
      </c>
    </row>
    <row r="1072" spans="1:4">
      <c r="A1072" s="110" t="s">
        <v>977</v>
      </c>
      <c r="B1072" s="110" t="s">
        <v>298</v>
      </c>
      <c r="C1072" s="110">
        <v>2.2040000000000002</v>
      </c>
      <c r="D1072" s="112">
        <v>42747</v>
      </c>
    </row>
    <row r="1073" spans="1:4">
      <c r="A1073" s="110" t="s">
        <v>976</v>
      </c>
      <c r="B1073" s="110" t="s">
        <v>298</v>
      </c>
      <c r="C1073" s="110">
        <v>2.169</v>
      </c>
      <c r="D1073" s="112">
        <v>42747</v>
      </c>
    </row>
    <row r="1074" spans="1:4">
      <c r="A1074" s="110" t="s">
        <v>975</v>
      </c>
      <c r="B1074" s="110" t="s">
        <v>298</v>
      </c>
      <c r="C1074" s="110">
        <v>2.222</v>
      </c>
      <c r="D1074" s="112">
        <v>42747</v>
      </c>
    </row>
    <row r="1075" spans="1:4">
      <c r="A1075" s="110" t="s">
        <v>974</v>
      </c>
      <c r="B1075" s="110" t="s">
        <v>298</v>
      </c>
      <c r="C1075" s="110">
        <v>2.177</v>
      </c>
      <c r="D1075" s="112">
        <v>42747</v>
      </c>
    </row>
    <row r="1076" spans="1:4">
      <c r="A1076" s="110" t="s">
        <v>973</v>
      </c>
      <c r="B1076" s="110" t="s">
        <v>298</v>
      </c>
      <c r="C1076" s="110">
        <v>2.1459999999999999</v>
      </c>
      <c r="D1076" s="112">
        <v>42747</v>
      </c>
    </row>
    <row r="1077" spans="1:4">
      <c r="A1077" s="110" t="s">
        <v>972</v>
      </c>
      <c r="B1077" s="110" t="s">
        <v>298</v>
      </c>
      <c r="C1077" s="110">
        <v>2.2010000000000001</v>
      </c>
      <c r="D1077" s="112">
        <v>42747</v>
      </c>
    </row>
    <row r="1078" spans="1:4">
      <c r="A1078" s="110" t="s">
        <v>971</v>
      </c>
      <c r="B1078" s="110" t="s">
        <v>298</v>
      </c>
      <c r="C1078" s="110">
        <v>2.1120000000000001</v>
      </c>
      <c r="D1078" s="112">
        <v>42747</v>
      </c>
    </row>
    <row r="1079" spans="1:4">
      <c r="A1079" s="110" t="s">
        <v>970</v>
      </c>
      <c r="B1079" s="110" t="s">
        <v>298</v>
      </c>
      <c r="C1079" s="110">
        <v>2.1160000000000001</v>
      </c>
      <c r="D1079" s="112">
        <v>42747</v>
      </c>
    </row>
    <row r="1080" spans="1:4">
      <c r="A1080" s="110" t="s">
        <v>969</v>
      </c>
      <c r="B1080" s="110" t="s">
        <v>298</v>
      </c>
      <c r="C1080" s="110">
        <v>2.1520000000000001</v>
      </c>
      <c r="D1080" s="112">
        <v>42747</v>
      </c>
    </row>
    <row r="1081" spans="1:4">
      <c r="A1081" s="110" t="s">
        <v>968</v>
      </c>
      <c r="B1081" s="110" t="s">
        <v>298</v>
      </c>
      <c r="C1081" s="110">
        <v>2.2040000000000002</v>
      </c>
      <c r="D1081" s="112">
        <v>42747</v>
      </c>
    </row>
    <row r="1082" spans="1:4">
      <c r="A1082" s="110" t="s">
        <v>967</v>
      </c>
      <c r="B1082" s="110" t="s">
        <v>298</v>
      </c>
      <c r="C1082" s="110">
        <v>2.2410000000000001</v>
      </c>
      <c r="D1082" s="112">
        <v>42747</v>
      </c>
    </row>
    <row r="1083" spans="1:4">
      <c r="A1083" s="110" t="s">
        <v>966</v>
      </c>
      <c r="B1083" s="110" t="s">
        <v>298</v>
      </c>
      <c r="C1083" s="110">
        <v>2.2330000000000001</v>
      </c>
      <c r="D1083" s="112">
        <v>42747</v>
      </c>
    </row>
    <row r="1084" spans="1:4">
      <c r="A1084" s="110" t="s">
        <v>965</v>
      </c>
      <c r="B1084" s="110" t="s">
        <v>298</v>
      </c>
      <c r="C1084" s="110">
        <v>2.2160000000000002</v>
      </c>
      <c r="D1084" s="112">
        <v>42747</v>
      </c>
    </row>
    <row r="1085" spans="1:4">
      <c r="A1085" s="110" t="s">
        <v>964</v>
      </c>
      <c r="B1085" s="110" t="s">
        <v>298</v>
      </c>
      <c r="C1085" s="110">
        <v>2.153</v>
      </c>
      <c r="D1085" s="112">
        <v>42747</v>
      </c>
    </row>
    <row r="1086" spans="1:4">
      <c r="A1086" s="110" t="s">
        <v>963</v>
      </c>
      <c r="B1086" s="110" t="s">
        <v>298</v>
      </c>
      <c r="C1086" s="110">
        <v>2.222</v>
      </c>
      <c r="D1086" s="112">
        <v>42747</v>
      </c>
    </row>
    <row r="1087" spans="1:4">
      <c r="A1087" s="110" t="s">
        <v>962</v>
      </c>
      <c r="B1087" s="110" t="s">
        <v>298</v>
      </c>
      <c r="C1087" s="110">
        <v>2.177</v>
      </c>
      <c r="D1087" s="112">
        <v>42747</v>
      </c>
    </row>
    <row r="1088" spans="1:4">
      <c r="A1088" s="110" t="s">
        <v>961</v>
      </c>
      <c r="B1088" s="110" t="s">
        <v>298</v>
      </c>
      <c r="C1088" s="110">
        <v>2.2010000000000001</v>
      </c>
      <c r="D1088" s="112">
        <v>42747</v>
      </c>
    </row>
    <row r="1089" spans="1:4">
      <c r="A1089" s="110" t="s">
        <v>960</v>
      </c>
      <c r="B1089" s="110" t="s">
        <v>298</v>
      </c>
      <c r="C1089" s="110">
        <v>2.1749999999999998</v>
      </c>
      <c r="D1089" s="112">
        <v>42747</v>
      </c>
    </row>
    <row r="1090" spans="1:4">
      <c r="A1090" s="110" t="s">
        <v>959</v>
      </c>
      <c r="B1090" s="110" t="s">
        <v>298</v>
      </c>
      <c r="C1090" s="110">
        <v>2.161</v>
      </c>
      <c r="D1090" s="112">
        <v>42747</v>
      </c>
    </row>
    <row r="1091" spans="1:4">
      <c r="A1091" s="110" t="s">
        <v>958</v>
      </c>
      <c r="B1091" s="110" t="s">
        <v>298</v>
      </c>
      <c r="C1091" s="110">
        <v>2.262</v>
      </c>
      <c r="D1091" s="112">
        <v>42747</v>
      </c>
    </row>
    <row r="1092" spans="1:4">
      <c r="A1092" s="110" t="s">
        <v>957</v>
      </c>
      <c r="B1092" s="110" t="s">
        <v>298</v>
      </c>
      <c r="C1092" s="110">
        <v>2.202</v>
      </c>
      <c r="D1092" s="112">
        <v>42747</v>
      </c>
    </row>
    <row r="1093" spans="1:4">
      <c r="A1093" s="110" t="s">
        <v>956</v>
      </c>
      <c r="B1093" s="110" t="s">
        <v>298</v>
      </c>
      <c r="C1093" s="110">
        <v>2.2909999999999999</v>
      </c>
      <c r="D1093" s="112">
        <v>42747</v>
      </c>
    </row>
    <row r="1094" spans="1:4">
      <c r="A1094" s="110" t="s">
        <v>955</v>
      </c>
      <c r="B1094" s="110" t="s">
        <v>298</v>
      </c>
      <c r="C1094" s="110">
        <v>2.2530000000000001</v>
      </c>
      <c r="D1094" s="112">
        <v>42747</v>
      </c>
    </row>
    <row r="1095" spans="1:4">
      <c r="A1095" s="110" t="s">
        <v>954</v>
      </c>
      <c r="B1095" s="110" t="s">
        <v>298</v>
      </c>
      <c r="C1095" s="110">
        <v>2.2210000000000001</v>
      </c>
      <c r="D1095" s="112">
        <v>42747</v>
      </c>
    </row>
    <row r="1096" spans="1:4">
      <c r="A1096" s="110" t="s">
        <v>953</v>
      </c>
      <c r="B1096" s="110" t="s">
        <v>298</v>
      </c>
      <c r="C1096" s="110">
        <v>2.2440000000000002</v>
      </c>
      <c r="D1096" s="112">
        <v>42747</v>
      </c>
    </row>
    <row r="1097" spans="1:4">
      <c r="A1097" s="110" t="s">
        <v>952</v>
      </c>
      <c r="B1097" s="110" t="s">
        <v>298</v>
      </c>
      <c r="C1097" s="110">
        <v>2.274</v>
      </c>
      <c r="D1097" s="112">
        <v>42747</v>
      </c>
    </row>
    <row r="1098" spans="1:4">
      <c r="A1098" s="110" t="s">
        <v>951</v>
      </c>
      <c r="B1098" s="110" t="s">
        <v>298</v>
      </c>
      <c r="C1098" s="110">
        <v>2.2240000000000002</v>
      </c>
      <c r="D1098" s="112">
        <v>42747</v>
      </c>
    </row>
    <row r="1099" spans="1:4">
      <c r="A1099" s="110" t="s">
        <v>950</v>
      </c>
      <c r="B1099" s="110" t="s">
        <v>298</v>
      </c>
      <c r="C1099" s="110">
        <v>2.1789999999999998</v>
      </c>
      <c r="D1099" s="112">
        <v>42747</v>
      </c>
    </row>
    <row r="1100" spans="1:4">
      <c r="A1100" s="110" t="s">
        <v>949</v>
      </c>
      <c r="B1100" s="110" t="s">
        <v>298</v>
      </c>
      <c r="C1100" s="110">
        <v>2.1970000000000001</v>
      </c>
      <c r="D1100" s="112">
        <v>42747</v>
      </c>
    </row>
    <row r="1101" spans="1:4">
      <c r="A1101" s="110" t="s">
        <v>948</v>
      </c>
      <c r="B1101" s="110" t="s">
        <v>298</v>
      </c>
      <c r="C1101" s="110">
        <v>2.198</v>
      </c>
      <c r="D1101" s="112">
        <v>42747</v>
      </c>
    </row>
    <row r="1102" spans="1:4">
      <c r="A1102" s="110" t="s">
        <v>947</v>
      </c>
      <c r="B1102" s="110" t="s">
        <v>298</v>
      </c>
      <c r="C1102" s="110">
        <v>2.149</v>
      </c>
      <c r="D1102" s="112">
        <v>42747</v>
      </c>
    </row>
    <row r="1103" spans="1:4">
      <c r="A1103" s="110" t="s">
        <v>946</v>
      </c>
      <c r="B1103" s="110" t="s">
        <v>298</v>
      </c>
      <c r="C1103" s="110">
        <v>2.1640000000000001</v>
      </c>
      <c r="D1103" s="112">
        <v>42747</v>
      </c>
    </row>
    <row r="1104" spans="1:4">
      <c r="A1104" s="110" t="s">
        <v>945</v>
      </c>
      <c r="B1104" s="110" t="s">
        <v>298</v>
      </c>
      <c r="C1104" s="110">
        <v>2.242</v>
      </c>
      <c r="D1104" s="112">
        <v>42747</v>
      </c>
    </row>
    <row r="1105" spans="1:4">
      <c r="A1105" s="110" t="s">
        <v>944</v>
      </c>
      <c r="B1105" s="110" t="s">
        <v>298</v>
      </c>
      <c r="C1105" s="110">
        <v>2.2330000000000001</v>
      </c>
      <c r="D1105" s="112">
        <v>42747</v>
      </c>
    </row>
    <row r="1106" spans="1:4">
      <c r="A1106" s="110" t="s">
        <v>943</v>
      </c>
      <c r="B1106" s="110" t="s">
        <v>298</v>
      </c>
      <c r="C1106" s="110">
        <v>2.1970000000000001</v>
      </c>
      <c r="D1106" s="112">
        <v>42747</v>
      </c>
    </row>
    <row r="1107" spans="1:4">
      <c r="A1107" s="110" t="s">
        <v>942</v>
      </c>
      <c r="B1107" s="110" t="s">
        <v>298</v>
      </c>
      <c r="C1107" s="110">
        <v>2.1850000000000001</v>
      </c>
      <c r="D1107" s="112">
        <v>42747</v>
      </c>
    </row>
    <row r="1108" spans="1:4">
      <c r="A1108" s="110" t="s">
        <v>941</v>
      </c>
      <c r="B1108" s="110" t="s">
        <v>298</v>
      </c>
      <c r="C1108" s="110">
        <v>2.242</v>
      </c>
      <c r="D1108" s="112">
        <v>42747</v>
      </c>
    </row>
    <row r="1109" spans="1:4">
      <c r="A1109" s="110" t="s">
        <v>940</v>
      </c>
      <c r="B1109" s="110" t="s">
        <v>298</v>
      </c>
      <c r="C1109" s="110">
        <v>2.2349999999999999</v>
      </c>
      <c r="D1109" s="112">
        <v>42747</v>
      </c>
    </row>
    <row r="1110" spans="1:4">
      <c r="A1110" s="110" t="s">
        <v>939</v>
      </c>
      <c r="B1110" s="110" t="s">
        <v>298</v>
      </c>
      <c r="C1110" s="110">
        <v>2.298</v>
      </c>
      <c r="D1110" s="112">
        <v>42747</v>
      </c>
    </row>
    <row r="1111" spans="1:4">
      <c r="A1111" s="110" t="s">
        <v>938</v>
      </c>
      <c r="B1111" s="110" t="s">
        <v>298</v>
      </c>
      <c r="C1111" s="110">
        <v>2.2839999999999998</v>
      </c>
      <c r="D1111" s="112">
        <v>42747</v>
      </c>
    </row>
    <row r="1112" spans="1:4">
      <c r="A1112" s="110" t="s">
        <v>937</v>
      </c>
      <c r="B1112" s="110" t="s">
        <v>298</v>
      </c>
      <c r="C1112" s="110">
        <v>2.2290000000000001</v>
      </c>
      <c r="D1112" s="112">
        <v>42747</v>
      </c>
    </row>
    <row r="1113" spans="1:4">
      <c r="A1113" s="110" t="s">
        <v>936</v>
      </c>
      <c r="B1113" s="110" t="s">
        <v>298</v>
      </c>
      <c r="C1113" s="110">
        <v>2.181</v>
      </c>
      <c r="D1113" s="112">
        <v>42747</v>
      </c>
    </row>
    <row r="1114" spans="1:4">
      <c r="A1114" s="110" t="s">
        <v>935</v>
      </c>
      <c r="B1114" s="110" t="s">
        <v>298</v>
      </c>
      <c r="C1114" s="110">
        <v>2.2549999999999999</v>
      </c>
      <c r="D1114" s="112">
        <v>42747</v>
      </c>
    </row>
    <row r="1115" spans="1:4">
      <c r="A1115" s="110" t="s">
        <v>934</v>
      </c>
      <c r="B1115" s="110" t="s">
        <v>298</v>
      </c>
      <c r="C1115" s="110">
        <v>2.1800000000000002</v>
      </c>
      <c r="D1115" s="112">
        <v>42747</v>
      </c>
    </row>
    <row r="1116" spans="1:4">
      <c r="A1116" s="110" t="s">
        <v>933</v>
      </c>
      <c r="B1116" s="110" t="s">
        <v>298</v>
      </c>
      <c r="C1116" s="110">
        <v>2.2250000000000001</v>
      </c>
      <c r="D1116" s="112">
        <v>42747</v>
      </c>
    </row>
    <row r="1117" spans="1:4">
      <c r="A1117" s="110" t="s">
        <v>932</v>
      </c>
      <c r="B1117" s="110" t="s">
        <v>298</v>
      </c>
      <c r="C1117" s="110">
        <v>2.2069999999999999</v>
      </c>
      <c r="D1117" s="112">
        <v>42747</v>
      </c>
    </row>
    <row r="1118" spans="1:4">
      <c r="A1118" s="110" t="s">
        <v>931</v>
      </c>
      <c r="B1118" s="110" t="s">
        <v>298</v>
      </c>
      <c r="C1118" s="110">
        <v>2.2429999999999999</v>
      </c>
      <c r="D1118" s="112">
        <v>42747</v>
      </c>
    </row>
    <row r="1119" spans="1:4">
      <c r="A1119" s="110" t="s">
        <v>930</v>
      </c>
      <c r="B1119" s="110" t="s">
        <v>298</v>
      </c>
      <c r="C1119" s="110">
        <v>2.2389999999999999</v>
      </c>
      <c r="D1119" s="112">
        <v>42747</v>
      </c>
    </row>
    <row r="1120" spans="1:4">
      <c r="A1120" s="110" t="s">
        <v>929</v>
      </c>
      <c r="B1120" s="110" t="s">
        <v>298</v>
      </c>
      <c r="C1120" s="110">
        <v>2.2519999999999998</v>
      </c>
      <c r="D1120" s="112">
        <v>42747</v>
      </c>
    </row>
    <row r="1121" spans="1:4">
      <c r="A1121" s="110" t="s">
        <v>928</v>
      </c>
      <c r="B1121" s="110" t="s">
        <v>298</v>
      </c>
      <c r="C1121" s="110">
        <v>2.254</v>
      </c>
      <c r="D1121" s="112">
        <v>42747</v>
      </c>
    </row>
    <row r="1122" spans="1:4">
      <c r="A1122" s="110" t="s">
        <v>927</v>
      </c>
      <c r="B1122" s="110" t="s">
        <v>298</v>
      </c>
      <c r="C1122" s="110">
        <v>2.1960000000000002</v>
      </c>
      <c r="D1122" s="112">
        <v>42747</v>
      </c>
    </row>
    <row r="1123" spans="1:4">
      <c r="A1123" s="110" t="s">
        <v>926</v>
      </c>
      <c r="B1123" s="110" t="s">
        <v>298</v>
      </c>
      <c r="C1123" s="110">
        <v>2.1949999999999998</v>
      </c>
      <c r="D1123" s="112">
        <v>42747</v>
      </c>
    </row>
    <row r="1124" spans="1:4">
      <c r="A1124" s="110" t="s">
        <v>925</v>
      </c>
      <c r="B1124" s="110" t="s">
        <v>298</v>
      </c>
      <c r="C1124" s="110">
        <v>2.1880000000000002</v>
      </c>
      <c r="D1124" s="112">
        <v>42747</v>
      </c>
    </row>
    <row r="1125" spans="1:4">
      <c r="A1125" s="110" t="s">
        <v>924</v>
      </c>
      <c r="B1125" s="110" t="s">
        <v>298</v>
      </c>
      <c r="C1125" s="110">
        <v>2.2109999999999999</v>
      </c>
      <c r="D1125" s="112">
        <v>42747</v>
      </c>
    </row>
    <row r="1126" spans="1:4">
      <c r="A1126" s="110" t="s">
        <v>923</v>
      </c>
      <c r="B1126" s="110" t="s">
        <v>298</v>
      </c>
      <c r="C1126" s="110">
        <v>2.2309999999999999</v>
      </c>
      <c r="D1126" s="112">
        <v>42747</v>
      </c>
    </row>
    <row r="1127" spans="1:4">
      <c r="A1127" s="110" t="s">
        <v>922</v>
      </c>
      <c r="B1127" s="110" t="s">
        <v>298</v>
      </c>
      <c r="C1127" s="110">
        <v>2.2160000000000002</v>
      </c>
      <c r="D1127" s="112">
        <v>42747</v>
      </c>
    </row>
    <row r="1128" spans="1:4">
      <c r="A1128" s="110" t="s">
        <v>921</v>
      </c>
      <c r="B1128" s="110" t="s">
        <v>298</v>
      </c>
      <c r="C1128" s="110">
        <v>2.2269999999999999</v>
      </c>
      <c r="D1128" s="112">
        <v>42747</v>
      </c>
    </row>
    <row r="1129" spans="1:4">
      <c r="A1129" s="110" t="s">
        <v>920</v>
      </c>
      <c r="B1129" s="110" t="s">
        <v>298</v>
      </c>
      <c r="C1129" s="110">
        <v>2.2210000000000001</v>
      </c>
      <c r="D1129" s="112">
        <v>42747</v>
      </c>
    </row>
    <row r="1130" spans="1:4">
      <c r="A1130" s="110" t="s">
        <v>919</v>
      </c>
      <c r="B1130" s="110" t="s">
        <v>298</v>
      </c>
      <c r="C1130" s="110">
        <v>2.194</v>
      </c>
      <c r="D1130" s="112">
        <v>42747</v>
      </c>
    </row>
    <row r="1131" spans="1:4">
      <c r="A1131" s="110" t="s">
        <v>918</v>
      </c>
      <c r="B1131" s="110" t="s">
        <v>298</v>
      </c>
      <c r="C1131" s="110">
        <v>2.2170000000000001</v>
      </c>
      <c r="D1131" s="112">
        <v>42747</v>
      </c>
    </row>
    <row r="1132" spans="1:4">
      <c r="A1132" s="110" t="s">
        <v>917</v>
      </c>
      <c r="B1132" s="110" t="s">
        <v>298</v>
      </c>
      <c r="C1132" s="110">
        <v>2.298</v>
      </c>
      <c r="D1132" s="112">
        <v>42747</v>
      </c>
    </row>
    <row r="1133" spans="1:4">
      <c r="A1133" s="110" t="s">
        <v>916</v>
      </c>
      <c r="B1133" s="110" t="s">
        <v>298</v>
      </c>
      <c r="C1133" s="110">
        <v>2.214</v>
      </c>
      <c r="D1133" s="112">
        <v>42747</v>
      </c>
    </row>
    <row r="1134" spans="1:4">
      <c r="A1134" s="110" t="s">
        <v>915</v>
      </c>
      <c r="B1134" s="110" t="s">
        <v>298</v>
      </c>
      <c r="C1134" s="110">
        <v>2.2410000000000001</v>
      </c>
      <c r="D1134" s="112">
        <v>42747</v>
      </c>
    </row>
    <row r="1135" spans="1:4">
      <c r="A1135" s="110" t="s">
        <v>914</v>
      </c>
      <c r="B1135" s="110" t="s">
        <v>298</v>
      </c>
      <c r="C1135" s="110">
        <v>2.254</v>
      </c>
      <c r="D1135" s="112">
        <v>42747</v>
      </c>
    </row>
    <row r="1136" spans="1:4">
      <c r="A1136" s="110" t="s">
        <v>913</v>
      </c>
      <c r="B1136" s="110" t="s">
        <v>298</v>
      </c>
      <c r="C1136" s="110">
        <v>2.2040000000000002</v>
      </c>
      <c r="D1136" s="112">
        <v>42747</v>
      </c>
    </row>
    <row r="1137" spans="1:4">
      <c r="A1137" s="110" t="s">
        <v>912</v>
      </c>
      <c r="B1137" s="110" t="s">
        <v>298</v>
      </c>
      <c r="C1137" s="110">
        <v>2.2530000000000001</v>
      </c>
      <c r="D1137" s="112">
        <v>42747</v>
      </c>
    </row>
    <row r="1138" spans="1:4">
      <c r="A1138" s="110" t="s">
        <v>911</v>
      </c>
      <c r="B1138" s="110" t="s">
        <v>298</v>
      </c>
      <c r="C1138" s="110">
        <v>2.2589999999999999</v>
      </c>
      <c r="D1138" s="112">
        <v>42747</v>
      </c>
    </row>
    <row r="1139" spans="1:4">
      <c r="A1139" s="110" t="s">
        <v>910</v>
      </c>
      <c r="B1139" s="110" t="s">
        <v>298</v>
      </c>
      <c r="C1139" s="110">
        <v>2.1230000000000002</v>
      </c>
      <c r="D1139" s="112">
        <v>42747</v>
      </c>
    </row>
    <row r="1140" spans="1:4">
      <c r="A1140" s="110" t="s">
        <v>909</v>
      </c>
      <c r="B1140" s="110" t="s">
        <v>298</v>
      </c>
      <c r="C1140" s="110">
        <v>2.2440000000000002</v>
      </c>
      <c r="D1140" s="112">
        <v>42747</v>
      </c>
    </row>
    <row r="1141" spans="1:4">
      <c r="A1141" s="110" t="s">
        <v>908</v>
      </c>
      <c r="B1141" s="110" t="s">
        <v>298</v>
      </c>
      <c r="C1141" s="110">
        <v>2.1749999999999998</v>
      </c>
      <c r="D1141" s="112">
        <v>42747</v>
      </c>
    </row>
    <row r="1142" spans="1:4">
      <c r="A1142" s="110" t="s">
        <v>907</v>
      </c>
      <c r="B1142" s="110" t="s">
        <v>298</v>
      </c>
      <c r="C1142" s="110">
        <v>2.194</v>
      </c>
      <c r="D1142" s="112">
        <v>42747</v>
      </c>
    </row>
    <row r="1143" spans="1:4">
      <c r="A1143" s="110" t="s">
        <v>906</v>
      </c>
      <c r="B1143" s="110" t="s">
        <v>298</v>
      </c>
      <c r="C1143" s="110">
        <v>2.169</v>
      </c>
      <c r="D1143" s="112">
        <v>42747</v>
      </c>
    </row>
    <row r="1144" spans="1:4">
      <c r="A1144" s="110" t="s">
        <v>905</v>
      </c>
      <c r="B1144" s="110" t="s">
        <v>298</v>
      </c>
      <c r="C1144" s="110">
        <v>2.2440000000000002</v>
      </c>
      <c r="D1144" s="112">
        <v>42747</v>
      </c>
    </row>
    <row r="1145" spans="1:4">
      <c r="A1145" s="110" t="s">
        <v>904</v>
      </c>
      <c r="B1145" s="110" t="s">
        <v>298</v>
      </c>
      <c r="C1145" s="110">
        <v>2.1989999999999998</v>
      </c>
      <c r="D1145" s="112">
        <v>42747</v>
      </c>
    </row>
    <row r="1146" spans="1:4">
      <c r="A1146" s="110" t="s">
        <v>903</v>
      </c>
      <c r="B1146" s="110" t="s">
        <v>298</v>
      </c>
      <c r="C1146" s="110">
        <v>2.2389999999999999</v>
      </c>
      <c r="D1146" s="112">
        <v>42747</v>
      </c>
    </row>
    <row r="1147" spans="1:4">
      <c r="A1147" s="110" t="s">
        <v>902</v>
      </c>
      <c r="B1147" s="110" t="s">
        <v>298</v>
      </c>
      <c r="C1147" s="110">
        <v>2.2189999999999999</v>
      </c>
      <c r="D1147" s="112">
        <v>42747</v>
      </c>
    </row>
    <row r="1148" spans="1:4">
      <c r="A1148" s="110" t="s">
        <v>901</v>
      </c>
      <c r="B1148" s="110" t="s">
        <v>298</v>
      </c>
      <c r="C1148" s="110">
        <v>2.1800000000000002</v>
      </c>
      <c r="D1148" s="112">
        <v>42747</v>
      </c>
    </row>
    <row r="1149" spans="1:4">
      <c r="A1149" s="110" t="s">
        <v>900</v>
      </c>
      <c r="B1149" s="110" t="s">
        <v>298</v>
      </c>
      <c r="C1149" s="110">
        <v>2.1680000000000001</v>
      </c>
      <c r="D1149" s="112">
        <v>42747</v>
      </c>
    </row>
    <row r="1150" spans="1:4">
      <c r="A1150" s="110" t="s">
        <v>899</v>
      </c>
      <c r="B1150" s="110" t="s">
        <v>298</v>
      </c>
      <c r="C1150" s="110">
        <v>2.194</v>
      </c>
      <c r="D1150" s="112">
        <v>42747</v>
      </c>
    </row>
    <row r="1151" spans="1:4">
      <c r="A1151" s="110" t="s">
        <v>898</v>
      </c>
      <c r="B1151" s="110" t="s">
        <v>298</v>
      </c>
      <c r="C1151" s="110">
        <v>2.1680000000000001</v>
      </c>
      <c r="D1151" s="112">
        <v>42747</v>
      </c>
    </row>
    <row r="1152" spans="1:4">
      <c r="A1152" s="110" t="s">
        <v>897</v>
      </c>
      <c r="B1152" s="110" t="s">
        <v>298</v>
      </c>
      <c r="C1152" s="110">
        <v>2.2490000000000001</v>
      </c>
      <c r="D1152" s="112">
        <v>42747</v>
      </c>
    </row>
    <row r="1153" spans="1:4">
      <c r="A1153" s="110" t="s">
        <v>896</v>
      </c>
      <c r="B1153" s="110" t="s">
        <v>298</v>
      </c>
      <c r="C1153" s="110">
        <v>2.258</v>
      </c>
      <c r="D1153" s="112">
        <v>42747</v>
      </c>
    </row>
    <row r="1154" spans="1:4">
      <c r="A1154" s="110" t="s">
        <v>895</v>
      </c>
      <c r="B1154" s="110" t="s">
        <v>298</v>
      </c>
      <c r="C1154" s="110">
        <v>2.2170000000000001</v>
      </c>
      <c r="D1154" s="112">
        <v>42747</v>
      </c>
    </row>
    <row r="1155" spans="1:4">
      <c r="A1155" s="110" t="s">
        <v>894</v>
      </c>
      <c r="B1155" s="110" t="s">
        <v>298</v>
      </c>
      <c r="C1155" s="110">
        <v>2.2330000000000001</v>
      </c>
      <c r="D1155" s="112">
        <v>42747</v>
      </c>
    </row>
    <row r="1156" spans="1:4">
      <c r="A1156" s="110" t="s">
        <v>893</v>
      </c>
      <c r="B1156" s="110" t="s">
        <v>298</v>
      </c>
      <c r="C1156" s="110">
        <v>2.1829999999999998</v>
      </c>
      <c r="D1156" s="112">
        <v>42747</v>
      </c>
    </row>
    <row r="1157" spans="1:4">
      <c r="A1157" s="110" t="s">
        <v>892</v>
      </c>
      <c r="B1157" s="110" t="s">
        <v>298</v>
      </c>
      <c r="C1157" s="110">
        <v>2.294</v>
      </c>
      <c r="D1157" s="112">
        <v>42747</v>
      </c>
    </row>
    <row r="1158" spans="1:4">
      <c r="A1158" s="110" t="s">
        <v>891</v>
      </c>
      <c r="B1158" s="110" t="s">
        <v>298</v>
      </c>
      <c r="C1158" s="110">
        <v>2.2639999999999998</v>
      </c>
      <c r="D1158" s="112">
        <v>42747</v>
      </c>
    </row>
    <row r="1159" spans="1:4">
      <c r="A1159" s="110" t="s">
        <v>890</v>
      </c>
      <c r="B1159" s="110" t="s">
        <v>298</v>
      </c>
      <c r="C1159" s="110">
        <v>2.266</v>
      </c>
      <c r="D1159" s="112">
        <v>42747</v>
      </c>
    </row>
    <row r="1160" spans="1:4">
      <c r="A1160" s="110" t="s">
        <v>889</v>
      </c>
      <c r="B1160" s="110" t="s">
        <v>298</v>
      </c>
      <c r="C1160" s="110">
        <v>2.2069999999999999</v>
      </c>
      <c r="D1160" s="112">
        <v>42747</v>
      </c>
    </row>
    <row r="1161" spans="1:4">
      <c r="A1161" s="110" t="s">
        <v>888</v>
      </c>
      <c r="B1161" s="110" t="s">
        <v>298</v>
      </c>
      <c r="C1161" s="110">
        <v>2.2130000000000001</v>
      </c>
      <c r="D1161" s="112">
        <v>42747</v>
      </c>
    </row>
    <row r="1162" spans="1:4">
      <c r="A1162" s="110" t="s">
        <v>887</v>
      </c>
      <c r="B1162" s="110" t="s">
        <v>298</v>
      </c>
      <c r="C1162" s="110">
        <v>2.266</v>
      </c>
      <c r="D1162" s="112">
        <v>42747</v>
      </c>
    </row>
    <row r="1163" spans="1:4">
      <c r="A1163" s="110" t="s">
        <v>886</v>
      </c>
      <c r="B1163" s="110" t="s">
        <v>298</v>
      </c>
      <c r="C1163" s="110">
        <v>2.1859999999999999</v>
      </c>
      <c r="D1163" s="112">
        <v>42747</v>
      </c>
    </row>
    <row r="1164" spans="1:4">
      <c r="A1164" s="110" t="s">
        <v>885</v>
      </c>
      <c r="B1164" s="110" t="s">
        <v>298</v>
      </c>
      <c r="C1164" s="110">
        <v>2.2000000000000002</v>
      </c>
      <c r="D1164" s="112">
        <v>42747</v>
      </c>
    </row>
    <row r="1165" spans="1:4">
      <c r="A1165" s="110" t="s">
        <v>884</v>
      </c>
      <c r="B1165" s="110" t="s">
        <v>298</v>
      </c>
      <c r="C1165" s="110">
        <v>2.222</v>
      </c>
      <c r="D1165" s="112">
        <v>42747</v>
      </c>
    </row>
    <row r="1166" spans="1:4">
      <c r="A1166" s="110" t="s">
        <v>883</v>
      </c>
      <c r="B1166" s="110" t="s">
        <v>298</v>
      </c>
      <c r="C1166" s="110">
        <v>2.17</v>
      </c>
      <c r="D1166" s="112">
        <v>42747</v>
      </c>
    </row>
    <row r="1167" spans="1:4">
      <c r="A1167" s="110" t="s">
        <v>882</v>
      </c>
      <c r="B1167" s="110" t="s">
        <v>298</v>
      </c>
      <c r="C1167" s="110">
        <v>2.218</v>
      </c>
      <c r="D1167" s="112">
        <v>42747</v>
      </c>
    </row>
    <row r="1168" spans="1:4">
      <c r="A1168" s="110" t="s">
        <v>881</v>
      </c>
      <c r="B1168" s="110" t="s">
        <v>298</v>
      </c>
      <c r="C1168" s="110">
        <v>2.1779999999999999</v>
      </c>
      <c r="D1168" s="112">
        <v>42747</v>
      </c>
    </row>
    <row r="1169" spans="1:4">
      <c r="A1169" s="110" t="s">
        <v>880</v>
      </c>
      <c r="B1169" s="110" t="s">
        <v>298</v>
      </c>
      <c r="C1169" s="110">
        <v>2.2080000000000002</v>
      </c>
      <c r="D1169" s="112">
        <v>42747</v>
      </c>
    </row>
    <row r="1170" spans="1:4">
      <c r="A1170" s="110" t="s">
        <v>879</v>
      </c>
      <c r="B1170" s="110" t="s">
        <v>298</v>
      </c>
      <c r="C1170" s="110">
        <v>2.1949999999999998</v>
      </c>
      <c r="D1170" s="112">
        <v>42747</v>
      </c>
    </row>
    <row r="1171" spans="1:4">
      <c r="A1171" s="110" t="s">
        <v>878</v>
      </c>
      <c r="B1171" s="110" t="s">
        <v>298</v>
      </c>
      <c r="C1171" s="110">
        <v>2.1850000000000001</v>
      </c>
      <c r="D1171" s="112">
        <v>42747</v>
      </c>
    </row>
    <row r="1172" spans="1:4">
      <c r="A1172" s="110" t="s">
        <v>877</v>
      </c>
      <c r="B1172" s="110" t="s">
        <v>298</v>
      </c>
      <c r="C1172" s="110">
        <v>2.2250000000000001</v>
      </c>
      <c r="D1172" s="112">
        <v>42747</v>
      </c>
    </row>
    <row r="1173" spans="1:4">
      <c r="A1173" s="110" t="s">
        <v>876</v>
      </c>
      <c r="B1173" s="110" t="s">
        <v>298</v>
      </c>
      <c r="C1173" s="110">
        <v>2.2210000000000001</v>
      </c>
      <c r="D1173" s="112">
        <v>42747</v>
      </c>
    </row>
    <row r="1174" spans="1:4">
      <c r="A1174" s="110" t="s">
        <v>875</v>
      </c>
      <c r="B1174" s="110" t="s">
        <v>298</v>
      </c>
      <c r="C1174" s="110">
        <v>2.1720000000000002</v>
      </c>
      <c r="D1174" s="112">
        <v>42747</v>
      </c>
    </row>
    <row r="1175" spans="1:4">
      <c r="A1175" s="110" t="s">
        <v>874</v>
      </c>
      <c r="B1175" s="110" t="s">
        <v>298</v>
      </c>
      <c r="C1175" s="110">
        <v>2.1930000000000001</v>
      </c>
      <c r="D1175" s="112">
        <v>42747</v>
      </c>
    </row>
    <row r="1176" spans="1:4">
      <c r="A1176" s="110" t="s">
        <v>873</v>
      </c>
      <c r="B1176" s="110" t="s">
        <v>298</v>
      </c>
      <c r="C1176" s="110">
        <v>2.1709999999999998</v>
      </c>
      <c r="D1176" s="112">
        <v>42747</v>
      </c>
    </row>
    <row r="1177" spans="1:4">
      <c r="A1177" s="110" t="s">
        <v>872</v>
      </c>
      <c r="B1177" s="110" t="s">
        <v>298</v>
      </c>
      <c r="C1177" s="110">
        <v>2.278</v>
      </c>
      <c r="D1177" s="112">
        <v>42747</v>
      </c>
    </row>
    <row r="1178" spans="1:4">
      <c r="A1178" s="110" t="s">
        <v>871</v>
      </c>
      <c r="B1178" s="110" t="s">
        <v>298</v>
      </c>
      <c r="C1178" s="110">
        <v>2.2170000000000001</v>
      </c>
      <c r="D1178" s="112">
        <v>42747</v>
      </c>
    </row>
    <row r="1179" spans="1:4">
      <c r="A1179" s="110" t="s">
        <v>870</v>
      </c>
      <c r="B1179" s="110" t="s">
        <v>298</v>
      </c>
      <c r="C1179" s="110">
        <v>2.2829999999999999</v>
      </c>
      <c r="D1179" s="112">
        <v>42747</v>
      </c>
    </row>
    <row r="1180" spans="1:4">
      <c r="A1180" s="110" t="s">
        <v>869</v>
      </c>
      <c r="B1180" s="110" t="s">
        <v>298</v>
      </c>
      <c r="C1180" s="110">
        <v>2.2999999999999998</v>
      </c>
      <c r="D1180" s="112">
        <v>42747</v>
      </c>
    </row>
    <row r="1181" spans="1:4">
      <c r="A1181" s="110" t="s">
        <v>868</v>
      </c>
      <c r="B1181" s="110" t="s">
        <v>298</v>
      </c>
      <c r="C1181" s="110">
        <v>2.2090000000000001</v>
      </c>
      <c r="D1181" s="112">
        <v>42747</v>
      </c>
    </row>
    <row r="1182" spans="1:4">
      <c r="A1182" s="110" t="s">
        <v>867</v>
      </c>
      <c r="B1182" s="110" t="s">
        <v>298</v>
      </c>
      <c r="C1182" s="110">
        <v>2.1880000000000002</v>
      </c>
      <c r="D1182" s="112">
        <v>42747</v>
      </c>
    </row>
    <row r="1183" spans="1:4">
      <c r="A1183" s="110" t="s">
        <v>866</v>
      </c>
      <c r="B1183" s="110" t="s">
        <v>298</v>
      </c>
      <c r="C1183" s="110">
        <v>0.22900000000000001</v>
      </c>
      <c r="D1183" s="112">
        <v>42747</v>
      </c>
    </row>
    <row r="1184" spans="1:4">
      <c r="A1184" s="110" t="s">
        <v>865</v>
      </c>
      <c r="B1184" s="110" t="s">
        <v>298</v>
      </c>
      <c r="C1184" s="110">
        <v>2.1930000000000001</v>
      </c>
      <c r="D1184" s="112">
        <v>42747</v>
      </c>
    </row>
    <row r="1185" spans="1:5">
      <c r="A1185" s="110" t="s">
        <v>864</v>
      </c>
      <c r="B1185" s="110" t="s">
        <v>298</v>
      </c>
      <c r="C1185" s="110">
        <v>2.1949999999999998</v>
      </c>
      <c r="D1185" s="112">
        <v>42747</v>
      </c>
    </row>
    <row r="1186" spans="1:5">
      <c r="A1186" s="110" t="s">
        <v>863</v>
      </c>
      <c r="B1186" s="110" t="s">
        <v>298</v>
      </c>
      <c r="C1186" s="110">
        <v>2.198</v>
      </c>
      <c r="D1186" s="112">
        <v>42747</v>
      </c>
    </row>
    <row r="1187" spans="1:5">
      <c r="A1187" s="110" t="s">
        <v>862</v>
      </c>
      <c r="B1187" s="110" t="s">
        <v>298</v>
      </c>
      <c r="C1187" s="110">
        <v>2.161</v>
      </c>
      <c r="D1187" s="112">
        <v>42747</v>
      </c>
    </row>
    <row r="1188" spans="1:5">
      <c r="A1188" s="110" t="s">
        <v>861</v>
      </c>
      <c r="B1188" s="110" t="s">
        <v>298</v>
      </c>
      <c r="C1188" s="110">
        <v>2.11</v>
      </c>
      <c r="D1188" s="112">
        <v>42747</v>
      </c>
    </row>
    <row r="1189" spans="1:5">
      <c r="A1189" s="110" t="s">
        <v>860</v>
      </c>
      <c r="B1189" s="110" t="s">
        <v>298</v>
      </c>
      <c r="C1189" s="110">
        <v>2.17</v>
      </c>
      <c r="D1189" s="112">
        <v>42748</v>
      </c>
    </row>
    <row r="1190" spans="1:5">
      <c r="A1190" s="110" t="s">
        <v>859</v>
      </c>
      <c r="B1190" s="110" t="s">
        <v>298</v>
      </c>
      <c r="C1190" s="110">
        <v>2.1829999999999998</v>
      </c>
      <c r="D1190" s="112">
        <v>42748</v>
      </c>
    </row>
    <row r="1191" spans="1:5">
      <c r="A1191" s="110" t="s">
        <v>858</v>
      </c>
      <c r="B1191" s="110" t="s">
        <v>298</v>
      </c>
      <c r="C1191" s="110">
        <v>2.21</v>
      </c>
      <c r="D1191" s="112">
        <v>42748</v>
      </c>
    </row>
    <row r="1192" spans="1:5">
      <c r="A1192" s="110" t="s">
        <v>857</v>
      </c>
      <c r="B1192" s="110" t="s">
        <v>298</v>
      </c>
      <c r="C1192" s="110">
        <v>2.2480000000000002</v>
      </c>
      <c r="D1192" s="112">
        <v>42748</v>
      </c>
    </row>
    <row r="1193" spans="1:5">
      <c r="A1193" s="110" t="s">
        <v>856</v>
      </c>
      <c r="B1193" s="110" t="s">
        <v>298</v>
      </c>
      <c r="C1193" s="110">
        <v>2.2400000000000002</v>
      </c>
      <c r="D1193" s="112">
        <v>42748</v>
      </c>
    </row>
    <row r="1194" spans="1:5">
      <c r="A1194" s="110" t="s">
        <v>855</v>
      </c>
      <c r="B1194" s="110" t="s">
        <v>298</v>
      </c>
      <c r="C1194" s="110">
        <v>2.2160000000000002</v>
      </c>
      <c r="D1194" s="112">
        <v>42748</v>
      </c>
    </row>
    <row r="1195" spans="1:5">
      <c r="A1195" s="110" t="s">
        <v>854</v>
      </c>
      <c r="B1195" s="110" t="s">
        <v>298</v>
      </c>
      <c r="C1195" s="110">
        <v>2.1960000000000002</v>
      </c>
      <c r="D1195" s="112">
        <v>42748</v>
      </c>
    </row>
    <row r="1196" spans="1:5">
      <c r="A1196" s="176" t="s">
        <v>853</v>
      </c>
      <c r="B1196" s="176" t="s">
        <v>298</v>
      </c>
      <c r="C1196" s="176">
        <v>2.2450000000000001</v>
      </c>
      <c r="D1196" s="177">
        <v>42748</v>
      </c>
      <c r="E1196" s="176" t="s">
        <v>2480</v>
      </c>
    </row>
    <row r="1197" spans="1:5">
      <c r="A1197" s="110" t="s">
        <v>852</v>
      </c>
      <c r="B1197" s="110" t="s">
        <v>298</v>
      </c>
      <c r="C1197" s="110">
        <v>2.2160000000000002</v>
      </c>
      <c r="D1197" s="112">
        <v>42748</v>
      </c>
    </row>
    <row r="1198" spans="1:5">
      <c r="A1198" s="110" t="s">
        <v>851</v>
      </c>
      <c r="B1198" s="110" t="s">
        <v>298</v>
      </c>
      <c r="C1198" s="110">
        <v>2.153</v>
      </c>
      <c r="D1198" s="112">
        <v>42748</v>
      </c>
    </row>
    <row r="1199" spans="1:5">
      <c r="A1199" s="110" t="s">
        <v>850</v>
      </c>
      <c r="B1199" s="110" t="s">
        <v>298</v>
      </c>
      <c r="C1199" s="110">
        <v>2.2320000000000002</v>
      </c>
      <c r="D1199" s="112">
        <v>42748</v>
      </c>
    </row>
    <row r="1200" spans="1:5">
      <c r="A1200" s="110" t="s">
        <v>849</v>
      </c>
      <c r="B1200" s="110" t="s">
        <v>298</v>
      </c>
      <c r="C1200" s="110">
        <v>2.2370000000000001</v>
      </c>
      <c r="D1200" s="112">
        <v>42748</v>
      </c>
    </row>
    <row r="1201" spans="1:4">
      <c r="A1201" s="110" t="s">
        <v>848</v>
      </c>
      <c r="B1201" s="110" t="s">
        <v>298</v>
      </c>
      <c r="C1201" s="110">
        <v>2.165</v>
      </c>
      <c r="D1201" s="112">
        <v>42748</v>
      </c>
    </row>
    <row r="1202" spans="1:4">
      <c r="A1202" s="110" t="s">
        <v>847</v>
      </c>
      <c r="B1202" s="110" t="s">
        <v>298</v>
      </c>
      <c r="C1202" s="110">
        <v>2.226</v>
      </c>
      <c r="D1202" s="112">
        <v>42748</v>
      </c>
    </row>
    <row r="1203" spans="1:4">
      <c r="A1203" s="110" t="s">
        <v>846</v>
      </c>
      <c r="B1203" s="110" t="s">
        <v>298</v>
      </c>
      <c r="C1203" s="110">
        <v>2.194</v>
      </c>
      <c r="D1203" s="112">
        <v>42748</v>
      </c>
    </row>
    <row r="1204" spans="1:4">
      <c r="A1204" s="110" t="s">
        <v>845</v>
      </c>
      <c r="B1204" s="110" t="s">
        <v>298</v>
      </c>
      <c r="C1204" s="110">
        <v>2.226</v>
      </c>
      <c r="D1204" s="112">
        <v>42748</v>
      </c>
    </row>
    <row r="1205" spans="1:4">
      <c r="A1205" s="110" t="s">
        <v>844</v>
      </c>
      <c r="B1205" s="110" t="s">
        <v>298</v>
      </c>
      <c r="C1205" s="110">
        <v>2.1800000000000002</v>
      </c>
      <c r="D1205" s="112">
        <v>42748</v>
      </c>
    </row>
    <row r="1206" spans="1:4">
      <c r="A1206" s="110" t="s">
        <v>843</v>
      </c>
      <c r="B1206" s="110" t="s">
        <v>298</v>
      </c>
      <c r="C1206" s="110">
        <v>2.2229999999999999</v>
      </c>
      <c r="D1206" s="112">
        <v>42748</v>
      </c>
    </row>
    <row r="1207" spans="1:4">
      <c r="A1207" s="110" t="s">
        <v>842</v>
      </c>
      <c r="B1207" s="110" t="s">
        <v>298</v>
      </c>
      <c r="C1207" s="110">
        <v>2.2919999999999998</v>
      </c>
      <c r="D1207" s="112">
        <v>42748</v>
      </c>
    </row>
    <row r="1208" spans="1:4">
      <c r="A1208" s="110" t="s">
        <v>841</v>
      </c>
      <c r="B1208" s="110" t="s">
        <v>298</v>
      </c>
      <c r="C1208" s="110">
        <v>2.2330000000000001</v>
      </c>
      <c r="D1208" s="112">
        <v>42748</v>
      </c>
    </row>
    <row r="1209" spans="1:4">
      <c r="A1209" s="110" t="s">
        <v>840</v>
      </c>
      <c r="B1209" s="110" t="s">
        <v>298</v>
      </c>
      <c r="C1209" s="110">
        <v>2.2530000000000001</v>
      </c>
      <c r="D1209" s="112">
        <v>42748</v>
      </c>
    </row>
    <row r="1210" spans="1:4">
      <c r="A1210" s="110" t="s">
        <v>839</v>
      </c>
      <c r="B1210" s="110" t="s">
        <v>298</v>
      </c>
      <c r="C1210" s="110">
        <v>2.19</v>
      </c>
      <c r="D1210" s="112">
        <v>42748</v>
      </c>
    </row>
    <row r="1211" spans="1:4">
      <c r="A1211" s="110" t="s">
        <v>838</v>
      </c>
      <c r="B1211" s="110" t="s">
        <v>298</v>
      </c>
      <c r="C1211" s="110">
        <v>2.2490000000000001</v>
      </c>
      <c r="D1211" s="112">
        <v>42748</v>
      </c>
    </row>
    <row r="1212" spans="1:4">
      <c r="A1212" s="110" t="s">
        <v>837</v>
      </c>
      <c r="B1212" s="110" t="s">
        <v>298</v>
      </c>
      <c r="C1212" s="110">
        <v>2.1930000000000001</v>
      </c>
      <c r="D1212" s="112">
        <v>42748</v>
      </c>
    </row>
    <row r="1213" spans="1:4">
      <c r="A1213" s="110" t="s">
        <v>836</v>
      </c>
      <c r="B1213" s="110" t="s">
        <v>298</v>
      </c>
      <c r="C1213" s="110">
        <v>2.2829999999999999</v>
      </c>
      <c r="D1213" s="112">
        <v>42748</v>
      </c>
    </row>
    <row r="1214" spans="1:4">
      <c r="A1214" s="110" t="s">
        <v>835</v>
      </c>
      <c r="B1214" s="110" t="s">
        <v>298</v>
      </c>
      <c r="C1214" s="110">
        <v>2.2440000000000002</v>
      </c>
      <c r="D1214" s="112">
        <v>42748</v>
      </c>
    </row>
    <row r="1215" spans="1:4">
      <c r="A1215" s="110" t="s">
        <v>834</v>
      </c>
      <c r="B1215" s="110" t="s">
        <v>298</v>
      </c>
      <c r="C1215" s="110">
        <v>2.2010000000000001</v>
      </c>
      <c r="D1215" s="112">
        <v>42748</v>
      </c>
    </row>
    <row r="1216" spans="1:4">
      <c r="A1216" s="110" t="s">
        <v>833</v>
      </c>
      <c r="B1216" s="110" t="s">
        <v>298</v>
      </c>
      <c r="C1216" s="110">
        <v>2.173</v>
      </c>
      <c r="D1216" s="112">
        <v>42748</v>
      </c>
    </row>
    <row r="1217" spans="1:4">
      <c r="A1217" s="110" t="s">
        <v>832</v>
      </c>
      <c r="B1217" s="110" t="s">
        <v>298</v>
      </c>
      <c r="C1217" s="110">
        <v>2.1960000000000002</v>
      </c>
      <c r="D1217" s="112">
        <v>42748</v>
      </c>
    </row>
    <row r="1218" spans="1:4">
      <c r="A1218" s="110" t="s">
        <v>831</v>
      </c>
      <c r="B1218" s="110" t="s">
        <v>298</v>
      </c>
      <c r="C1218" s="110">
        <v>2.2170000000000001</v>
      </c>
      <c r="D1218" s="112">
        <v>42748</v>
      </c>
    </row>
    <row r="1219" spans="1:4">
      <c r="A1219" s="110" t="s">
        <v>830</v>
      </c>
      <c r="B1219" s="110" t="s">
        <v>298</v>
      </c>
      <c r="C1219" s="110">
        <v>2.2719999999999998</v>
      </c>
      <c r="D1219" s="112">
        <v>42748</v>
      </c>
    </row>
    <row r="1220" spans="1:4">
      <c r="A1220" s="110" t="s">
        <v>829</v>
      </c>
      <c r="B1220" s="110" t="s">
        <v>298</v>
      </c>
      <c r="C1220" s="110">
        <v>2.2360000000000002</v>
      </c>
      <c r="D1220" s="112">
        <v>42748</v>
      </c>
    </row>
    <row r="1221" spans="1:4">
      <c r="A1221" s="110" t="s">
        <v>828</v>
      </c>
      <c r="B1221" s="110" t="s">
        <v>298</v>
      </c>
      <c r="C1221" s="110">
        <v>2.2450000000000001</v>
      </c>
      <c r="D1221" s="112">
        <v>42748</v>
      </c>
    </row>
    <row r="1222" spans="1:4">
      <c r="A1222" s="110" t="s">
        <v>827</v>
      </c>
      <c r="B1222" s="110" t="s">
        <v>298</v>
      </c>
      <c r="C1222" s="110">
        <v>2.17</v>
      </c>
      <c r="D1222" s="112">
        <v>42748</v>
      </c>
    </row>
    <row r="1223" spans="1:4">
      <c r="A1223" s="110" t="s">
        <v>826</v>
      </c>
      <c r="B1223" s="110" t="s">
        <v>298</v>
      </c>
      <c r="C1223" s="110">
        <v>2.2440000000000002</v>
      </c>
      <c r="D1223" s="112">
        <v>42748</v>
      </c>
    </row>
    <row r="1224" spans="1:4">
      <c r="A1224" s="110" t="s">
        <v>825</v>
      </c>
      <c r="B1224" s="110" t="s">
        <v>298</v>
      </c>
      <c r="C1224" s="110">
        <v>2.1779999999999999</v>
      </c>
      <c r="D1224" s="112">
        <v>42748</v>
      </c>
    </row>
    <row r="1225" spans="1:4">
      <c r="A1225" s="110" t="s">
        <v>824</v>
      </c>
      <c r="B1225" s="110" t="s">
        <v>298</v>
      </c>
      <c r="C1225" s="110">
        <v>2.2240000000000002</v>
      </c>
      <c r="D1225" s="112">
        <v>42748</v>
      </c>
    </row>
    <row r="1226" spans="1:4">
      <c r="A1226" s="110" t="s">
        <v>823</v>
      </c>
      <c r="B1226" s="110" t="s">
        <v>298</v>
      </c>
      <c r="C1226" s="110">
        <v>2.23</v>
      </c>
      <c r="D1226" s="112">
        <v>42748</v>
      </c>
    </row>
    <row r="1227" spans="1:4">
      <c r="A1227" s="110" t="s">
        <v>822</v>
      </c>
      <c r="B1227" s="110" t="s">
        <v>298</v>
      </c>
      <c r="C1227" s="110">
        <v>2.1709999999999998</v>
      </c>
      <c r="D1227" s="112">
        <v>42748</v>
      </c>
    </row>
    <row r="1228" spans="1:4">
      <c r="A1228" s="110" t="s">
        <v>821</v>
      </c>
      <c r="B1228" s="110" t="s">
        <v>298</v>
      </c>
      <c r="C1228" s="110">
        <v>2.1459999999999999</v>
      </c>
      <c r="D1228" s="112">
        <v>42748</v>
      </c>
    </row>
    <row r="1229" spans="1:4">
      <c r="A1229" s="110" t="s">
        <v>820</v>
      </c>
      <c r="B1229" s="110" t="s">
        <v>298</v>
      </c>
      <c r="C1229" s="110">
        <v>2.1859999999999999</v>
      </c>
      <c r="D1229" s="112">
        <v>42748</v>
      </c>
    </row>
    <row r="1230" spans="1:4">
      <c r="A1230" s="110" t="s">
        <v>819</v>
      </c>
      <c r="B1230" s="110" t="s">
        <v>298</v>
      </c>
      <c r="C1230" s="110">
        <v>2.1909999999999998</v>
      </c>
      <c r="D1230" s="112">
        <v>42748</v>
      </c>
    </row>
    <row r="1231" spans="1:4">
      <c r="A1231" s="110" t="s">
        <v>818</v>
      </c>
      <c r="B1231" s="110" t="s">
        <v>298</v>
      </c>
      <c r="C1231" s="110">
        <v>2.1949999999999998</v>
      </c>
      <c r="D1231" s="112">
        <v>42748</v>
      </c>
    </row>
    <row r="1232" spans="1:4">
      <c r="A1232" s="110" t="s">
        <v>817</v>
      </c>
      <c r="B1232" s="110" t="s">
        <v>298</v>
      </c>
      <c r="C1232" s="110">
        <v>2.2410000000000001</v>
      </c>
      <c r="D1232" s="112">
        <v>42748</v>
      </c>
    </row>
    <row r="1233" spans="1:4">
      <c r="A1233" s="110" t="s">
        <v>816</v>
      </c>
      <c r="B1233" s="110" t="s">
        <v>298</v>
      </c>
      <c r="C1233" s="110">
        <v>2.2069999999999999</v>
      </c>
      <c r="D1233" s="112">
        <v>42748</v>
      </c>
    </row>
    <row r="1234" spans="1:4">
      <c r="A1234" s="110" t="s">
        <v>815</v>
      </c>
      <c r="B1234" s="110" t="s">
        <v>298</v>
      </c>
      <c r="C1234" s="110">
        <v>2.1890000000000001</v>
      </c>
      <c r="D1234" s="112">
        <v>42748</v>
      </c>
    </row>
    <row r="1235" spans="1:4">
      <c r="A1235" s="110" t="s">
        <v>814</v>
      </c>
      <c r="B1235" s="110" t="s">
        <v>298</v>
      </c>
      <c r="C1235" s="110">
        <v>2.2229999999999999</v>
      </c>
      <c r="D1235" s="112">
        <v>42748</v>
      </c>
    </row>
    <row r="1236" spans="1:4">
      <c r="A1236" s="110" t="s">
        <v>813</v>
      </c>
      <c r="B1236" s="110" t="s">
        <v>298</v>
      </c>
      <c r="C1236" s="110">
        <v>2.2549999999999999</v>
      </c>
      <c r="D1236" s="112">
        <v>42748</v>
      </c>
    </row>
    <row r="1237" spans="1:4">
      <c r="A1237" s="110" t="s">
        <v>812</v>
      </c>
      <c r="B1237" s="110" t="s">
        <v>298</v>
      </c>
      <c r="C1237" s="110">
        <v>2.2120000000000002</v>
      </c>
      <c r="D1237" s="112">
        <v>42748</v>
      </c>
    </row>
    <row r="1238" spans="1:4">
      <c r="A1238" s="110" t="s">
        <v>811</v>
      </c>
      <c r="B1238" s="110" t="s">
        <v>298</v>
      </c>
      <c r="C1238" s="110">
        <v>2.12</v>
      </c>
      <c r="D1238" s="112">
        <v>42748</v>
      </c>
    </row>
    <row r="1239" spans="1:4">
      <c r="A1239" s="110" t="s">
        <v>810</v>
      </c>
      <c r="B1239" s="110" t="s">
        <v>298</v>
      </c>
      <c r="C1239" s="110">
        <v>2.2410000000000001</v>
      </c>
      <c r="D1239" s="112">
        <v>42748</v>
      </c>
    </row>
    <row r="1240" spans="1:4">
      <c r="A1240" s="110" t="s">
        <v>809</v>
      </c>
      <c r="B1240" s="110" t="s">
        <v>298</v>
      </c>
      <c r="C1240" s="110">
        <v>2.1880000000000002</v>
      </c>
      <c r="D1240" s="112">
        <v>42748</v>
      </c>
    </row>
    <row r="1241" spans="1:4">
      <c r="A1241" s="110" t="s">
        <v>808</v>
      </c>
      <c r="B1241" s="110" t="s">
        <v>298</v>
      </c>
      <c r="C1241" s="110">
        <v>2.27</v>
      </c>
      <c r="D1241" s="112">
        <v>42748</v>
      </c>
    </row>
    <row r="1242" spans="1:4">
      <c r="A1242" s="110" t="s">
        <v>807</v>
      </c>
      <c r="B1242" s="110" t="s">
        <v>298</v>
      </c>
      <c r="C1242" s="110">
        <v>2.1419999999999999</v>
      </c>
      <c r="D1242" s="112">
        <v>42748</v>
      </c>
    </row>
    <row r="1243" spans="1:4">
      <c r="A1243" s="110" t="s">
        <v>806</v>
      </c>
      <c r="B1243" s="110" t="s">
        <v>298</v>
      </c>
      <c r="C1243" s="110">
        <v>2.1629999999999998</v>
      </c>
      <c r="D1243" s="112">
        <v>42748</v>
      </c>
    </row>
    <row r="1244" spans="1:4">
      <c r="A1244" s="110" t="s">
        <v>805</v>
      </c>
      <c r="B1244" s="110" t="s">
        <v>298</v>
      </c>
      <c r="C1244" s="110">
        <v>2.11</v>
      </c>
      <c r="D1244" s="112">
        <v>42748</v>
      </c>
    </row>
    <row r="1245" spans="1:4">
      <c r="A1245" s="110" t="s">
        <v>804</v>
      </c>
      <c r="B1245" s="110" t="s">
        <v>298</v>
      </c>
      <c r="C1245" s="110">
        <v>2.2309999999999999</v>
      </c>
      <c r="D1245" s="112">
        <v>42748</v>
      </c>
    </row>
    <row r="1246" spans="1:4">
      <c r="A1246" s="110" t="s">
        <v>803</v>
      </c>
      <c r="B1246" s="110" t="s">
        <v>298</v>
      </c>
      <c r="C1246" s="110">
        <v>2.1709999999999998</v>
      </c>
      <c r="D1246" s="112">
        <v>42748</v>
      </c>
    </row>
    <row r="1247" spans="1:4">
      <c r="A1247" s="110" t="s">
        <v>802</v>
      </c>
      <c r="B1247" s="110" t="s">
        <v>298</v>
      </c>
      <c r="C1247" s="110">
        <v>2.214</v>
      </c>
      <c r="D1247" s="112">
        <v>42748</v>
      </c>
    </row>
    <row r="1248" spans="1:4">
      <c r="A1248" s="110" t="s">
        <v>801</v>
      </c>
      <c r="B1248" s="110" t="s">
        <v>298</v>
      </c>
      <c r="C1248" s="110">
        <v>2.2130000000000001</v>
      </c>
      <c r="D1248" s="112">
        <v>42748</v>
      </c>
    </row>
    <row r="1249" spans="1:4">
      <c r="A1249" s="110" t="s">
        <v>800</v>
      </c>
      <c r="B1249" s="110" t="s">
        <v>298</v>
      </c>
      <c r="C1249" s="110">
        <v>2.1560000000000001</v>
      </c>
      <c r="D1249" s="112">
        <v>42748</v>
      </c>
    </row>
    <row r="1250" spans="1:4">
      <c r="A1250" s="110" t="s">
        <v>799</v>
      </c>
      <c r="B1250" s="110" t="s">
        <v>298</v>
      </c>
      <c r="C1250" s="110">
        <v>2.2450000000000001</v>
      </c>
      <c r="D1250" s="112">
        <v>42748</v>
      </c>
    </row>
    <row r="1251" spans="1:4">
      <c r="A1251" s="110" t="s">
        <v>798</v>
      </c>
      <c r="B1251" s="110" t="s">
        <v>298</v>
      </c>
      <c r="C1251" s="110">
        <v>2.2429999999999999</v>
      </c>
      <c r="D1251" s="112">
        <v>42748</v>
      </c>
    </row>
    <row r="1252" spans="1:4">
      <c r="A1252" s="110" t="s">
        <v>797</v>
      </c>
      <c r="B1252" s="110" t="s">
        <v>298</v>
      </c>
      <c r="C1252" s="110">
        <v>2.153</v>
      </c>
      <c r="D1252" s="112">
        <v>42748</v>
      </c>
    </row>
    <row r="1253" spans="1:4">
      <c r="A1253" s="110" t="s">
        <v>796</v>
      </c>
      <c r="B1253" s="110" t="s">
        <v>298</v>
      </c>
      <c r="C1253" s="110">
        <v>2.2599999999999998</v>
      </c>
      <c r="D1253" s="112">
        <v>42748</v>
      </c>
    </row>
    <row r="1254" spans="1:4">
      <c r="A1254" s="110" t="s">
        <v>795</v>
      </c>
      <c r="B1254" s="110" t="s">
        <v>298</v>
      </c>
      <c r="C1254" s="110">
        <v>2.2349999999999999</v>
      </c>
      <c r="D1254" s="112">
        <v>42748</v>
      </c>
    </row>
    <row r="1255" spans="1:4">
      <c r="A1255" s="110" t="s">
        <v>794</v>
      </c>
      <c r="B1255" s="110" t="s">
        <v>298</v>
      </c>
      <c r="C1255" s="110">
        <v>2.2400000000000002</v>
      </c>
      <c r="D1255" s="112">
        <v>42748</v>
      </c>
    </row>
    <row r="1256" spans="1:4">
      <c r="A1256" s="110" t="s">
        <v>793</v>
      </c>
      <c r="B1256" s="110" t="s">
        <v>298</v>
      </c>
      <c r="C1256" s="110">
        <v>2.31</v>
      </c>
      <c r="D1256" s="112">
        <v>42748</v>
      </c>
    </row>
    <row r="1257" spans="1:4">
      <c r="A1257" s="110" t="s">
        <v>792</v>
      </c>
      <c r="B1257" s="110" t="s">
        <v>298</v>
      </c>
      <c r="C1257" s="110">
        <v>2.2469999999999999</v>
      </c>
      <c r="D1257" s="112">
        <v>42748</v>
      </c>
    </row>
    <row r="1258" spans="1:4">
      <c r="A1258" s="110" t="s">
        <v>791</v>
      </c>
      <c r="B1258" s="110" t="s">
        <v>298</v>
      </c>
      <c r="C1258" s="110">
        <v>2.21</v>
      </c>
      <c r="D1258" s="112">
        <v>42748</v>
      </c>
    </row>
    <row r="1259" spans="1:4">
      <c r="A1259" s="110" t="s">
        <v>790</v>
      </c>
      <c r="B1259" s="110" t="s">
        <v>298</v>
      </c>
      <c r="C1259" s="110">
        <v>2.17</v>
      </c>
      <c r="D1259" s="112">
        <v>42748</v>
      </c>
    </row>
    <row r="1260" spans="1:4">
      <c r="A1260" s="110" t="s">
        <v>789</v>
      </c>
      <c r="B1260" s="110" t="s">
        <v>298</v>
      </c>
      <c r="C1260" s="110">
        <v>2.2789999999999999</v>
      </c>
      <c r="D1260" s="112">
        <v>42748</v>
      </c>
    </row>
    <row r="1261" spans="1:4">
      <c r="A1261" s="110" t="s">
        <v>788</v>
      </c>
      <c r="B1261" s="110" t="s">
        <v>298</v>
      </c>
      <c r="C1261" s="110">
        <v>2.2909999999999999</v>
      </c>
      <c r="D1261" s="112">
        <v>42748</v>
      </c>
    </row>
    <row r="1262" spans="1:4">
      <c r="A1262" s="110" t="s">
        <v>787</v>
      </c>
      <c r="B1262" s="110" t="s">
        <v>298</v>
      </c>
      <c r="C1262" s="110">
        <v>2.286</v>
      </c>
      <c r="D1262" s="112">
        <v>42748</v>
      </c>
    </row>
    <row r="1263" spans="1:4">
      <c r="A1263" s="110" t="s">
        <v>786</v>
      </c>
      <c r="B1263" s="110" t="s">
        <v>298</v>
      </c>
      <c r="C1263" s="110">
        <v>2.1850000000000001</v>
      </c>
      <c r="D1263" s="112">
        <v>42748</v>
      </c>
    </row>
    <row r="1264" spans="1:4">
      <c r="A1264" s="110" t="s">
        <v>785</v>
      </c>
      <c r="B1264" s="110" t="s">
        <v>298</v>
      </c>
      <c r="C1264" s="110">
        <v>2.1619999999999999</v>
      </c>
      <c r="D1264" s="112">
        <v>42748</v>
      </c>
    </row>
    <row r="1265" spans="1:4">
      <c r="A1265" s="110" t="s">
        <v>784</v>
      </c>
      <c r="B1265" s="110" t="s">
        <v>298</v>
      </c>
      <c r="C1265" s="110">
        <v>2.2090000000000001</v>
      </c>
      <c r="D1265" s="112">
        <v>42748</v>
      </c>
    </row>
    <row r="1266" spans="1:4">
      <c r="A1266" s="110" t="s">
        <v>783</v>
      </c>
      <c r="B1266" s="110" t="s">
        <v>298</v>
      </c>
      <c r="C1266" s="110">
        <v>2.2210000000000001</v>
      </c>
      <c r="D1266" s="112">
        <v>42748</v>
      </c>
    </row>
    <row r="1267" spans="1:4">
      <c r="A1267" s="110" t="s">
        <v>782</v>
      </c>
      <c r="B1267" s="110" t="s">
        <v>298</v>
      </c>
      <c r="C1267" s="110">
        <v>2.198</v>
      </c>
      <c r="D1267" s="112">
        <v>42748</v>
      </c>
    </row>
    <row r="1268" spans="1:4">
      <c r="A1268" s="110" t="s">
        <v>781</v>
      </c>
      <c r="B1268" s="110" t="s">
        <v>298</v>
      </c>
      <c r="C1268" s="110">
        <v>2.206</v>
      </c>
      <c r="D1268" s="112">
        <v>42748</v>
      </c>
    </row>
    <row r="1269" spans="1:4">
      <c r="A1269" s="110" t="s">
        <v>780</v>
      </c>
      <c r="B1269" s="110" t="s">
        <v>298</v>
      </c>
      <c r="C1269" s="110">
        <v>2.2210000000000001</v>
      </c>
      <c r="D1269" s="112">
        <v>42748</v>
      </c>
    </row>
    <row r="1270" spans="1:4">
      <c r="A1270" s="110" t="s">
        <v>779</v>
      </c>
      <c r="B1270" s="110" t="s">
        <v>298</v>
      </c>
      <c r="C1270" s="110">
        <v>2.246</v>
      </c>
      <c r="D1270" s="112">
        <v>42748</v>
      </c>
    </row>
    <row r="1271" spans="1:4">
      <c r="A1271" s="110" t="s">
        <v>778</v>
      </c>
      <c r="B1271" s="110" t="s">
        <v>298</v>
      </c>
      <c r="C1271" s="110">
        <v>2.1659999999999999</v>
      </c>
      <c r="D1271" s="112">
        <v>42748</v>
      </c>
    </row>
    <row r="1272" spans="1:4">
      <c r="A1272" s="110" t="s">
        <v>777</v>
      </c>
      <c r="B1272" s="110" t="s">
        <v>298</v>
      </c>
      <c r="C1272" s="110">
        <v>2.234</v>
      </c>
      <c r="D1272" s="112">
        <v>42748</v>
      </c>
    </row>
    <row r="1273" spans="1:4">
      <c r="A1273" s="110" t="s">
        <v>776</v>
      </c>
      <c r="B1273" s="110" t="s">
        <v>298</v>
      </c>
      <c r="C1273" s="110">
        <v>2.2130000000000001</v>
      </c>
      <c r="D1273" s="112">
        <v>42748</v>
      </c>
    </row>
    <row r="1274" spans="1:4">
      <c r="A1274" s="110" t="s">
        <v>775</v>
      </c>
      <c r="B1274" s="110" t="s">
        <v>298</v>
      </c>
      <c r="C1274" s="110">
        <v>2.2330000000000001</v>
      </c>
      <c r="D1274" s="112">
        <v>42748</v>
      </c>
    </row>
    <row r="1275" spans="1:4">
      <c r="A1275" s="110" t="s">
        <v>774</v>
      </c>
      <c r="B1275" s="110" t="s">
        <v>298</v>
      </c>
      <c r="C1275" s="110">
        <v>2.165</v>
      </c>
      <c r="D1275" s="112">
        <v>42748</v>
      </c>
    </row>
    <row r="1276" spans="1:4">
      <c r="A1276" s="110" t="s">
        <v>773</v>
      </c>
      <c r="B1276" s="110" t="s">
        <v>298</v>
      </c>
      <c r="C1276" s="110">
        <v>2.2549999999999999</v>
      </c>
      <c r="D1276" s="112">
        <v>42748</v>
      </c>
    </row>
    <row r="1277" spans="1:4">
      <c r="A1277" s="110" t="s">
        <v>772</v>
      </c>
      <c r="B1277" s="110" t="s">
        <v>298</v>
      </c>
      <c r="C1277" s="110">
        <v>2.2400000000000002</v>
      </c>
      <c r="D1277" s="112">
        <v>42748</v>
      </c>
    </row>
    <row r="1278" spans="1:4">
      <c r="A1278" s="110" t="s">
        <v>771</v>
      </c>
      <c r="B1278" s="110" t="s">
        <v>298</v>
      </c>
      <c r="C1278" s="110">
        <v>2.2290000000000001</v>
      </c>
      <c r="D1278" s="112">
        <v>42748</v>
      </c>
    </row>
    <row r="1279" spans="1:4">
      <c r="A1279" s="110" t="s">
        <v>770</v>
      </c>
      <c r="B1279" s="110" t="s">
        <v>298</v>
      </c>
      <c r="C1279" s="110">
        <v>2.2530000000000001</v>
      </c>
      <c r="D1279" s="112">
        <v>42748</v>
      </c>
    </row>
    <row r="1280" spans="1:4">
      <c r="A1280" s="110" t="s">
        <v>769</v>
      </c>
      <c r="B1280" s="110" t="s">
        <v>298</v>
      </c>
      <c r="C1280" s="110">
        <v>2.202</v>
      </c>
      <c r="D1280" s="112">
        <v>42748</v>
      </c>
    </row>
    <row r="1281" spans="1:4">
      <c r="A1281" s="110" t="s">
        <v>768</v>
      </c>
      <c r="B1281" s="110" t="s">
        <v>298</v>
      </c>
      <c r="C1281" s="110">
        <v>2.226</v>
      </c>
      <c r="D1281" s="112">
        <v>42748</v>
      </c>
    </row>
    <row r="1282" spans="1:4">
      <c r="A1282" s="110" t="s">
        <v>767</v>
      </c>
      <c r="B1282" s="110" t="s">
        <v>298</v>
      </c>
      <c r="C1282" s="110">
        <v>2.2090000000000001</v>
      </c>
      <c r="D1282" s="112">
        <v>42748</v>
      </c>
    </row>
    <row r="1283" spans="1:4">
      <c r="A1283" s="110" t="s">
        <v>766</v>
      </c>
      <c r="B1283" s="110" t="s">
        <v>298</v>
      </c>
      <c r="C1283" s="110">
        <v>2.23</v>
      </c>
      <c r="D1283" s="112">
        <v>42748</v>
      </c>
    </row>
    <row r="1284" spans="1:4">
      <c r="A1284" s="110" t="s">
        <v>765</v>
      </c>
      <c r="B1284" s="110" t="s">
        <v>298</v>
      </c>
      <c r="C1284" s="110">
        <v>2.177</v>
      </c>
      <c r="D1284" s="112">
        <v>42748</v>
      </c>
    </row>
    <row r="1285" spans="1:4">
      <c r="A1285" s="110" t="s">
        <v>764</v>
      </c>
      <c r="B1285" s="110" t="s">
        <v>298</v>
      </c>
      <c r="C1285" s="110">
        <v>2.2309999999999999</v>
      </c>
      <c r="D1285" s="112">
        <v>42748</v>
      </c>
    </row>
    <row r="1286" spans="1:4">
      <c r="A1286" s="110" t="s">
        <v>763</v>
      </c>
      <c r="B1286" s="110" t="s">
        <v>298</v>
      </c>
      <c r="C1286" s="110">
        <v>2.2320000000000002</v>
      </c>
      <c r="D1286" s="112">
        <v>42748</v>
      </c>
    </row>
    <row r="1287" spans="1:4">
      <c r="A1287" s="110" t="s">
        <v>762</v>
      </c>
      <c r="B1287" s="110" t="s">
        <v>298</v>
      </c>
      <c r="C1287" s="110">
        <v>2.246</v>
      </c>
      <c r="D1287" s="112">
        <v>42748</v>
      </c>
    </row>
    <row r="1288" spans="1:4">
      <c r="A1288" s="110" t="s">
        <v>761</v>
      </c>
      <c r="B1288" s="110" t="s">
        <v>298</v>
      </c>
      <c r="C1288" s="110">
        <v>2.2799999999999998</v>
      </c>
      <c r="D1288" s="112">
        <v>42748</v>
      </c>
    </row>
    <row r="1289" spans="1:4">
      <c r="A1289" s="110" t="s">
        <v>760</v>
      </c>
      <c r="B1289" s="110" t="s">
        <v>298</v>
      </c>
      <c r="C1289" s="110">
        <v>2.2349999999999999</v>
      </c>
      <c r="D1289" s="112">
        <v>42748</v>
      </c>
    </row>
    <row r="1290" spans="1:4">
      <c r="A1290" s="110" t="s">
        <v>759</v>
      </c>
      <c r="B1290" s="110" t="s">
        <v>298</v>
      </c>
      <c r="C1290" s="110">
        <v>2.2210000000000001</v>
      </c>
      <c r="D1290" s="112">
        <v>42748</v>
      </c>
    </row>
    <row r="1291" spans="1:4">
      <c r="A1291" s="110" t="s">
        <v>758</v>
      </c>
      <c r="B1291" s="110" t="s">
        <v>298</v>
      </c>
      <c r="C1291" s="110">
        <v>2.234</v>
      </c>
      <c r="D1291" s="112">
        <v>42748</v>
      </c>
    </row>
    <row r="1292" spans="1:4">
      <c r="A1292" s="110" t="s">
        <v>757</v>
      </c>
      <c r="B1292" s="110" t="s">
        <v>298</v>
      </c>
      <c r="C1292" s="110">
        <v>2.2240000000000002</v>
      </c>
      <c r="D1292" s="112">
        <v>42748</v>
      </c>
    </row>
    <row r="1293" spans="1:4">
      <c r="A1293" s="110" t="s">
        <v>756</v>
      </c>
      <c r="B1293" s="110" t="s">
        <v>298</v>
      </c>
      <c r="C1293" s="110">
        <v>2.2559999999999998</v>
      </c>
      <c r="D1293" s="112">
        <v>42748</v>
      </c>
    </row>
    <row r="1294" spans="1:4">
      <c r="A1294" s="110" t="s">
        <v>755</v>
      </c>
      <c r="B1294" s="110" t="s">
        <v>298</v>
      </c>
      <c r="C1294" s="110">
        <v>2.2309999999999999</v>
      </c>
      <c r="D1294" s="112">
        <v>42748</v>
      </c>
    </row>
    <row r="1295" spans="1:4">
      <c r="A1295" s="110" t="s">
        <v>754</v>
      </c>
      <c r="B1295" s="110" t="s">
        <v>298</v>
      </c>
      <c r="C1295" s="110">
        <v>2.1080000000000001</v>
      </c>
      <c r="D1295" s="112">
        <v>42748</v>
      </c>
    </row>
    <row r="1296" spans="1:4">
      <c r="A1296" s="110" t="s">
        <v>753</v>
      </c>
      <c r="B1296" s="110" t="s">
        <v>298</v>
      </c>
      <c r="C1296" s="110">
        <v>2.2349999999999999</v>
      </c>
      <c r="D1296" s="112">
        <v>42748</v>
      </c>
    </row>
    <row r="1297" spans="1:4">
      <c r="A1297" s="110" t="s">
        <v>752</v>
      </c>
      <c r="B1297" s="110" t="s">
        <v>298</v>
      </c>
      <c r="C1297" s="110">
        <v>2.2349999999999999</v>
      </c>
      <c r="D1297" s="112">
        <v>42748</v>
      </c>
    </row>
    <row r="1298" spans="1:4">
      <c r="A1298" s="110" t="s">
        <v>751</v>
      </c>
      <c r="B1298" s="110" t="s">
        <v>298</v>
      </c>
      <c r="C1298" s="110">
        <v>2.2480000000000002</v>
      </c>
      <c r="D1298" s="112">
        <v>42748</v>
      </c>
    </row>
    <row r="1299" spans="1:4">
      <c r="A1299" s="110" t="s">
        <v>750</v>
      </c>
      <c r="B1299" s="110" t="s">
        <v>298</v>
      </c>
      <c r="C1299" s="110">
        <v>2.1960000000000002</v>
      </c>
      <c r="D1299" s="112">
        <v>42748</v>
      </c>
    </row>
    <row r="1300" spans="1:4">
      <c r="A1300" s="110" t="s">
        <v>749</v>
      </c>
      <c r="B1300" s="110" t="s">
        <v>298</v>
      </c>
      <c r="C1300" s="110">
        <v>2.2309999999999999</v>
      </c>
      <c r="D1300" s="112">
        <v>42748</v>
      </c>
    </row>
    <row r="1301" spans="1:4">
      <c r="A1301" s="110" t="s">
        <v>748</v>
      </c>
      <c r="B1301" s="110" t="s">
        <v>298</v>
      </c>
      <c r="C1301" s="110">
        <v>2.1829999999999998</v>
      </c>
      <c r="D1301" s="112">
        <v>42748</v>
      </c>
    </row>
    <row r="1302" spans="1:4">
      <c r="A1302" s="110" t="s">
        <v>747</v>
      </c>
      <c r="B1302" s="110" t="s">
        <v>298</v>
      </c>
      <c r="C1302" s="110">
        <v>2.1800000000000002</v>
      </c>
      <c r="D1302" s="112">
        <v>42748</v>
      </c>
    </row>
    <row r="1303" spans="1:4">
      <c r="A1303" s="110" t="s">
        <v>746</v>
      </c>
      <c r="B1303" s="110" t="s">
        <v>298</v>
      </c>
      <c r="C1303" s="110">
        <v>2.1280000000000001</v>
      </c>
      <c r="D1303" s="112">
        <v>42748</v>
      </c>
    </row>
    <row r="1304" spans="1:4">
      <c r="A1304" s="110" t="s">
        <v>745</v>
      </c>
      <c r="B1304" s="110" t="s">
        <v>298</v>
      </c>
      <c r="C1304" s="110">
        <v>2.14</v>
      </c>
      <c r="D1304" s="112">
        <v>42748</v>
      </c>
    </row>
    <row r="1305" spans="1:4">
      <c r="A1305" s="110" t="s">
        <v>744</v>
      </c>
      <c r="B1305" s="110" t="s">
        <v>298</v>
      </c>
      <c r="C1305" s="110">
        <v>2.1970000000000001</v>
      </c>
      <c r="D1305" s="112">
        <v>42748</v>
      </c>
    </row>
    <row r="1306" spans="1:4">
      <c r="A1306" s="110" t="s">
        <v>743</v>
      </c>
      <c r="B1306" s="110" t="s">
        <v>298</v>
      </c>
      <c r="C1306" s="110">
        <v>2.19</v>
      </c>
      <c r="D1306" s="112">
        <v>42748</v>
      </c>
    </row>
    <row r="1307" spans="1:4">
      <c r="A1307" s="110" t="s">
        <v>742</v>
      </c>
      <c r="B1307" s="110" t="s">
        <v>298</v>
      </c>
      <c r="C1307" s="110">
        <v>2.1389999999999998</v>
      </c>
      <c r="D1307" s="112">
        <v>42748</v>
      </c>
    </row>
    <row r="1308" spans="1:4">
      <c r="A1308" s="110" t="s">
        <v>741</v>
      </c>
      <c r="B1308" s="110" t="s">
        <v>298</v>
      </c>
      <c r="C1308" s="110">
        <v>2.181</v>
      </c>
      <c r="D1308" s="112">
        <v>42748</v>
      </c>
    </row>
    <row r="1309" spans="1:4">
      <c r="A1309" s="110" t="s">
        <v>740</v>
      </c>
      <c r="B1309" s="110" t="s">
        <v>298</v>
      </c>
      <c r="C1309" s="110">
        <v>2.214</v>
      </c>
      <c r="D1309" s="112">
        <v>42748</v>
      </c>
    </row>
    <row r="1310" spans="1:4">
      <c r="A1310" s="110" t="s">
        <v>739</v>
      </c>
      <c r="B1310" s="110" t="s">
        <v>298</v>
      </c>
      <c r="C1310" s="110">
        <v>2.1459999999999999</v>
      </c>
      <c r="D1310" s="112">
        <v>42748</v>
      </c>
    </row>
    <row r="1311" spans="1:4">
      <c r="A1311" s="110" t="s">
        <v>738</v>
      </c>
      <c r="B1311" s="110" t="s">
        <v>298</v>
      </c>
      <c r="C1311" s="110">
        <v>2.2679999999999998</v>
      </c>
      <c r="D1311" s="112">
        <v>42748</v>
      </c>
    </row>
    <row r="1312" spans="1:4">
      <c r="A1312" s="110" t="s">
        <v>737</v>
      </c>
      <c r="B1312" s="110" t="s">
        <v>298</v>
      </c>
      <c r="C1312" s="110">
        <v>2.1779999999999999</v>
      </c>
      <c r="D1312" s="112">
        <v>42748</v>
      </c>
    </row>
    <row r="1313" spans="1:4">
      <c r="A1313" s="110" t="s">
        <v>736</v>
      </c>
      <c r="B1313" s="110" t="s">
        <v>298</v>
      </c>
      <c r="C1313" s="110">
        <v>2.2400000000000002</v>
      </c>
      <c r="D1313" s="112">
        <v>42748</v>
      </c>
    </row>
    <row r="1314" spans="1:4">
      <c r="A1314" s="110" t="s">
        <v>735</v>
      </c>
      <c r="B1314" s="110" t="s">
        <v>298</v>
      </c>
      <c r="C1314" s="110">
        <v>2.1739999999999999</v>
      </c>
      <c r="D1314" s="112">
        <v>42748</v>
      </c>
    </row>
    <row r="1315" spans="1:4">
      <c r="A1315" s="110" t="s">
        <v>734</v>
      </c>
      <c r="B1315" s="110" t="s">
        <v>298</v>
      </c>
      <c r="C1315" s="110">
        <v>2.1859999999999999</v>
      </c>
      <c r="D1315" s="112">
        <v>42748</v>
      </c>
    </row>
    <row r="1316" spans="1:4">
      <c r="A1316" s="110" t="s">
        <v>733</v>
      </c>
      <c r="B1316" s="110" t="s">
        <v>298</v>
      </c>
      <c r="C1316" s="110">
        <v>2.2480000000000002</v>
      </c>
      <c r="D1316" s="112">
        <v>42748</v>
      </c>
    </row>
    <row r="1317" spans="1:4">
      <c r="A1317" s="110" t="s">
        <v>732</v>
      </c>
      <c r="B1317" s="110" t="s">
        <v>298</v>
      </c>
      <c r="C1317" s="110">
        <v>2.2000000000000002</v>
      </c>
      <c r="D1317" s="112">
        <v>42748</v>
      </c>
    </row>
    <row r="1318" spans="1:4">
      <c r="A1318" s="110" t="s">
        <v>731</v>
      </c>
      <c r="B1318" s="110" t="s">
        <v>298</v>
      </c>
      <c r="C1318" s="110">
        <v>2.1930000000000001</v>
      </c>
      <c r="D1318" s="112">
        <v>42748</v>
      </c>
    </row>
    <row r="1319" spans="1:4">
      <c r="A1319" s="110" t="s">
        <v>730</v>
      </c>
      <c r="B1319" s="110" t="s">
        <v>298</v>
      </c>
      <c r="C1319" s="110">
        <v>2.2240000000000002</v>
      </c>
      <c r="D1319" s="112">
        <v>42748</v>
      </c>
    </row>
    <row r="1320" spans="1:4">
      <c r="A1320" s="110" t="s">
        <v>729</v>
      </c>
      <c r="B1320" s="110" t="s">
        <v>298</v>
      </c>
      <c r="C1320" s="110">
        <v>2.2709999999999999</v>
      </c>
      <c r="D1320" s="112">
        <v>42748</v>
      </c>
    </row>
    <row r="1321" spans="1:4">
      <c r="A1321" s="110" t="s">
        <v>728</v>
      </c>
      <c r="B1321" s="110" t="s">
        <v>298</v>
      </c>
      <c r="C1321" s="110">
        <v>2.214</v>
      </c>
      <c r="D1321" s="112">
        <v>42748</v>
      </c>
    </row>
    <row r="1322" spans="1:4">
      <c r="A1322" s="110" t="s">
        <v>727</v>
      </c>
      <c r="B1322" s="110" t="s">
        <v>298</v>
      </c>
      <c r="C1322" s="110">
        <v>2.1349999999999998</v>
      </c>
      <c r="D1322" s="112">
        <v>42748</v>
      </c>
    </row>
    <row r="1323" spans="1:4">
      <c r="A1323" s="110" t="s">
        <v>726</v>
      </c>
      <c r="B1323" s="110" t="s">
        <v>298</v>
      </c>
      <c r="C1323" s="110">
        <v>2.2160000000000002</v>
      </c>
      <c r="D1323" s="112">
        <v>42748</v>
      </c>
    </row>
    <row r="1324" spans="1:4">
      <c r="A1324" s="110" t="s">
        <v>725</v>
      </c>
      <c r="B1324" s="110" t="s">
        <v>298</v>
      </c>
      <c r="C1324" s="110">
        <v>2.2469999999999999</v>
      </c>
      <c r="D1324" s="112">
        <v>42748</v>
      </c>
    </row>
    <row r="1325" spans="1:4">
      <c r="A1325" s="110" t="s">
        <v>724</v>
      </c>
      <c r="B1325" s="110" t="s">
        <v>298</v>
      </c>
      <c r="C1325" s="110">
        <v>2.2269999999999999</v>
      </c>
      <c r="D1325" s="112">
        <v>42748</v>
      </c>
    </row>
    <row r="1326" spans="1:4">
      <c r="A1326" s="110" t="s">
        <v>723</v>
      </c>
      <c r="B1326" s="110" t="s">
        <v>298</v>
      </c>
      <c r="C1326" s="110">
        <v>2.2029999999999998</v>
      </c>
      <c r="D1326" s="112">
        <v>42748</v>
      </c>
    </row>
    <row r="1327" spans="1:4">
      <c r="A1327" s="110" t="s">
        <v>722</v>
      </c>
      <c r="B1327" s="110" t="s">
        <v>298</v>
      </c>
      <c r="C1327" s="110">
        <v>2.2189999999999999</v>
      </c>
      <c r="D1327" s="112">
        <v>42748</v>
      </c>
    </row>
    <row r="1328" spans="1:4">
      <c r="A1328" s="110" t="s">
        <v>721</v>
      </c>
      <c r="B1328" s="110" t="s">
        <v>298</v>
      </c>
      <c r="C1328" s="110">
        <v>2.2749999999999999</v>
      </c>
      <c r="D1328" s="112">
        <v>42748</v>
      </c>
    </row>
    <row r="1329" spans="1:4">
      <c r="A1329" s="110" t="s">
        <v>720</v>
      </c>
      <c r="B1329" s="110" t="s">
        <v>298</v>
      </c>
      <c r="C1329" s="110">
        <v>2.2170000000000001</v>
      </c>
      <c r="D1329" s="112">
        <v>42748</v>
      </c>
    </row>
    <row r="1330" spans="1:4">
      <c r="A1330" s="110" t="s">
        <v>719</v>
      </c>
      <c r="B1330" s="110" t="s">
        <v>298</v>
      </c>
      <c r="C1330" s="110">
        <v>2.1760000000000002</v>
      </c>
      <c r="D1330" s="112">
        <v>42748</v>
      </c>
    </row>
    <row r="1331" spans="1:4">
      <c r="A1331" s="110" t="s">
        <v>718</v>
      </c>
      <c r="B1331" s="110" t="s">
        <v>298</v>
      </c>
      <c r="C1331" s="110">
        <v>2.1760000000000002</v>
      </c>
      <c r="D1331" s="112">
        <v>42748</v>
      </c>
    </row>
    <row r="1332" spans="1:4">
      <c r="A1332" s="110" t="s">
        <v>717</v>
      </c>
      <c r="B1332" s="110" t="s">
        <v>298</v>
      </c>
      <c r="C1332" s="110">
        <v>2.214</v>
      </c>
      <c r="D1332" s="112">
        <v>42748</v>
      </c>
    </row>
    <row r="1333" spans="1:4">
      <c r="A1333" s="110" t="s">
        <v>716</v>
      </c>
      <c r="B1333" s="110" t="s">
        <v>298</v>
      </c>
      <c r="C1333" s="110">
        <v>2.25</v>
      </c>
      <c r="D1333" s="112">
        <v>42748</v>
      </c>
    </row>
    <row r="1334" spans="1:4">
      <c r="A1334" s="110" t="s">
        <v>715</v>
      </c>
      <c r="B1334" s="110" t="s">
        <v>298</v>
      </c>
      <c r="C1334" s="110">
        <v>2.153</v>
      </c>
      <c r="D1334" s="112">
        <v>42748</v>
      </c>
    </row>
    <row r="1335" spans="1:4">
      <c r="A1335" s="110" t="s">
        <v>714</v>
      </c>
      <c r="B1335" s="110" t="s">
        <v>298</v>
      </c>
      <c r="C1335" s="110">
        <v>2.1760000000000002</v>
      </c>
      <c r="D1335" s="112">
        <v>42748</v>
      </c>
    </row>
    <row r="1336" spans="1:4">
      <c r="A1336" s="110" t="s">
        <v>713</v>
      </c>
      <c r="B1336" s="110" t="s">
        <v>298</v>
      </c>
      <c r="C1336" s="110">
        <v>2.202</v>
      </c>
      <c r="D1336" s="112">
        <v>42748</v>
      </c>
    </row>
    <row r="1337" spans="1:4">
      <c r="A1337" s="110" t="s">
        <v>712</v>
      </c>
      <c r="B1337" s="110" t="s">
        <v>298</v>
      </c>
      <c r="C1337" s="110">
        <v>2.21</v>
      </c>
      <c r="D1337" s="112">
        <v>42748</v>
      </c>
    </row>
    <row r="1338" spans="1:4">
      <c r="A1338" s="110" t="s">
        <v>711</v>
      </c>
      <c r="B1338" s="110" t="s">
        <v>298</v>
      </c>
      <c r="C1338" s="110">
        <v>2.1829999999999998</v>
      </c>
      <c r="D1338" s="112">
        <v>42748</v>
      </c>
    </row>
    <row r="1339" spans="1:4">
      <c r="A1339" s="110" t="s">
        <v>710</v>
      </c>
      <c r="B1339" s="110" t="s">
        <v>298</v>
      </c>
      <c r="C1339" s="110">
        <v>2.133</v>
      </c>
      <c r="D1339" s="112">
        <v>42748</v>
      </c>
    </row>
    <row r="1340" spans="1:4">
      <c r="A1340" s="110" t="s">
        <v>709</v>
      </c>
      <c r="B1340" s="110" t="s">
        <v>298</v>
      </c>
      <c r="C1340" s="110">
        <v>2.2240000000000002</v>
      </c>
      <c r="D1340" s="112">
        <v>42748</v>
      </c>
    </row>
    <row r="1341" spans="1:4">
      <c r="A1341" s="110" t="s">
        <v>708</v>
      </c>
      <c r="B1341" s="110" t="s">
        <v>298</v>
      </c>
      <c r="C1341" s="110">
        <v>2.0750000000000002</v>
      </c>
      <c r="D1341" s="112">
        <v>42748</v>
      </c>
    </row>
    <row r="1342" spans="1:4">
      <c r="A1342" s="110" t="s">
        <v>707</v>
      </c>
      <c r="B1342" s="110" t="s">
        <v>298</v>
      </c>
      <c r="C1342" s="110">
        <v>2.0840000000000001</v>
      </c>
      <c r="D1342" s="112">
        <v>42748</v>
      </c>
    </row>
    <row r="1343" spans="1:4">
      <c r="A1343" s="110" t="s">
        <v>706</v>
      </c>
      <c r="B1343" s="110" t="s">
        <v>298</v>
      </c>
      <c r="C1343" s="110">
        <v>2.141</v>
      </c>
      <c r="D1343" s="112">
        <v>42748</v>
      </c>
    </row>
    <row r="1344" spans="1:4">
      <c r="A1344" s="110" t="s">
        <v>705</v>
      </c>
      <c r="B1344" s="110" t="s">
        <v>298</v>
      </c>
      <c r="C1344" s="110">
        <v>2.2240000000000002</v>
      </c>
      <c r="D1344" s="112">
        <v>42748</v>
      </c>
    </row>
    <row r="1345" spans="1:4">
      <c r="A1345" s="110" t="s">
        <v>704</v>
      </c>
      <c r="B1345" s="110" t="s">
        <v>298</v>
      </c>
      <c r="C1345" s="110">
        <v>2.1970000000000001</v>
      </c>
      <c r="D1345" s="112">
        <v>42748</v>
      </c>
    </row>
    <row r="1346" spans="1:4">
      <c r="A1346" s="110" t="s">
        <v>703</v>
      </c>
      <c r="B1346" s="110" t="s">
        <v>298</v>
      </c>
      <c r="C1346" s="110">
        <v>2.1829999999999998</v>
      </c>
      <c r="D1346" s="112">
        <v>42748</v>
      </c>
    </row>
    <row r="1347" spans="1:4">
      <c r="A1347" s="110" t="s">
        <v>702</v>
      </c>
      <c r="B1347" s="110" t="s">
        <v>298</v>
      </c>
      <c r="C1347" s="110">
        <v>2.2450000000000001</v>
      </c>
      <c r="D1347" s="112">
        <v>42748</v>
      </c>
    </row>
    <row r="1348" spans="1:4">
      <c r="A1348" s="110" t="s">
        <v>701</v>
      </c>
      <c r="B1348" s="110" t="s">
        <v>298</v>
      </c>
      <c r="C1348" s="110">
        <v>2.1110000000000002</v>
      </c>
      <c r="D1348" s="112">
        <v>42748</v>
      </c>
    </row>
    <row r="1349" spans="1:4">
      <c r="A1349" s="110" t="s">
        <v>700</v>
      </c>
      <c r="B1349" s="110" t="s">
        <v>298</v>
      </c>
      <c r="C1349" s="110">
        <v>2.1280000000000001</v>
      </c>
      <c r="D1349" s="112">
        <v>42748</v>
      </c>
    </row>
    <row r="1350" spans="1:4">
      <c r="A1350" s="110" t="s">
        <v>699</v>
      </c>
      <c r="B1350" s="110" t="s">
        <v>298</v>
      </c>
      <c r="C1350" s="110">
        <v>2.2290000000000001</v>
      </c>
      <c r="D1350" s="112">
        <v>42748</v>
      </c>
    </row>
    <row r="1351" spans="1:4">
      <c r="A1351" s="110" t="s">
        <v>698</v>
      </c>
      <c r="B1351" s="110" t="s">
        <v>298</v>
      </c>
      <c r="C1351" s="110">
        <v>2.2149999999999999</v>
      </c>
      <c r="D1351" s="112">
        <v>42748</v>
      </c>
    </row>
    <row r="1352" spans="1:4">
      <c r="A1352" s="110" t="s">
        <v>697</v>
      </c>
      <c r="B1352" s="110" t="s">
        <v>298</v>
      </c>
      <c r="C1352" s="110">
        <v>2.2149999999999999</v>
      </c>
      <c r="D1352" s="112">
        <v>42748</v>
      </c>
    </row>
    <row r="1353" spans="1:4">
      <c r="A1353" s="110" t="s">
        <v>696</v>
      </c>
      <c r="B1353" s="110" t="s">
        <v>298</v>
      </c>
      <c r="C1353" s="110">
        <v>2.2389999999999999</v>
      </c>
      <c r="D1353" s="112">
        <v>42748</v>
      </c>
    </row>
    <row r="1354" spans="1:4">
      <c r="A1354" s="110" t="s">
        <v>695</v>
      </c>
      <c r="B1354" s="110" t="s">
        <v>298</v>
      </c>
      <c r="C1354" s="110">
        <v>2.2679999999999998</v>
      </c>
      <c r="D1354" s="112">
        <v>42748</v>
      </c>
    </row>
    <row r="1355" spans="1:4">
      <c r="A1355" s="110" t="s">
        <v>694</v>
      </c>
      <c r="B1355" s="110" t="s">
        <v>298</v>
      </c>
      <c r="C1355" s="110">
        <v>2.206</v>
      </c>
      <c r="D1355" s="112">
        <v>42748</v>
      </c>
    </row>
    <row r="1356" spans="1:4">
      <c r="A1356" s="110" t="s">
        <v>693</v>
      </c>
      <c r="B1356" s="110" t="s">
        <v>298</v>
      </c>
      <c r="C1356" s="110">
        <v>2.2029999999999998</v>
      </c>
      <c r="D1356" s="112">
        <v>42748</v>
      </c>
    </row>
    <row r="1357" spans="1:4">
      <c r="A1357" s="110" t="s">
        <v>692</v>
      </c>
      <c r="B1357" s="110" t="s">
        <v>298</v>
      </c>
      <c r="C1357" s="110">
        <v>2.2709999999999999</v>
      </c>
      <c r="D1357" s="112">
        <v>42748</v>
      </c>
    </row>
    <row r="1358" spans="1:4">
      <c r="A1358" s="110" t="s">
        <v>691</v>
      </c>
      <c r="B1358" s="110" t="s">
        <v>298</v>
      </c>
      <c r="C1358" s="110">
        <v>2.2250000000000001</v>
      </c>
      <c r="D1358" s="112">
        <v>42748</v>
      </c>
    </row>
    <row r="1359" spans="1:4">
      <c r="A1359" s="110" t="s">
        <v>690</v>
      </c>
      <c r="B1359" s="110" t="s">
        <v>298</v>
      </c>
      <c r="C1359" s="110">
        <v>2.1970000000000001</v>
      </c>
      <c r="D1359" s="112">
        <v>42748</v>
      </c>
    </row>
    <row r="1360" spans="1:4">
      <c r="A1360" s="110" t="s">
        <v>689</v>
      </c>
      <c r="B1360" s="110" t="s">
        <v>298</v>
      </c>
      <c r="C1360" s="110">
        <v>2.2320000000000002</v>
      </c>
      <c r="D1360" s="112">
        <v>42748</v>
      </c>
    </row>
    <row r="1361" spans="1:4">
      <c r="A1361" s="110" t="s">
        <v>688</v>
      </c>
      <c r="B1361" s="110" t="s">
        <v>298</v>
      </c>
      <c r="C1361" s="110">
        <v>2.165</v>
      </c>
      <c r="D1361" s="112">
        <v>42748</v>
      </c>
    </row>
    <row r="1362" spans="1:4">
      <c r="A1362" s="110" t="s">
        <v>687</v>
      </c>
      <c r="B1362" s="110" t="s">
        <v>298</v>
      </c>
      <c r="C1362" s="110">
        <v>2.1819999999999999</v>
      </c>
      <c r="D1362" s="112">
        <v>42748</v>
      </c>
    </row>
    <row r="1363" spans="1:4">
      <c r="A1363" s="110" t="s">
        <v>686</v>
      </c>
      <c r="B1363" s="110" t="s">
        <v>298</v>
      </c>
      <c r="C1363" s="110">
        <v>2.1850000000000001</v>
      </c>
      <c r="D1363" s="112">
        <v>42748</v>
      </c>
    </row>
    <row r="1364" spans="1:4">
      <c r="A1364" s="110" t="s">
        <v>685</v>
      </c>
      <c r="B1364" s="110" t="s">
        <v>298</v>
      </c>
      <c r="C1364" s="110">
        <v>2.23</v>
      </c>
      <c r="D1364" s="112">
        <v>42748</v>
      </c>
    </row>
    <row r="1365" spans="1:4">
      <c r="A1365" s="110" t="s">
        <v>684</v>
      </c>
      <c r="B1365" s="110" t="s">
        <v>298</v>
      </c>
      <c r="C1365" s="110">
        <v>2.2410000000000001</v>
      </c>
      <c r="D1365" s="112">
        <v>42748</v>
      </c>
    </row>
    <row r="1366" spans="1:4">
      <c r="A1366" s="110" t="s">
        <v>683</v>
      </c>
      <c r="B1366" s="110" t="s">
        <v>298</v>
      </c>
      <c r="C1366" s="110">
        <v>2.2370000000000001</v>
      </c>
      <c r="D1366" s="112">
        <v>42748</v>
      </c>
    </row>
    <row r="1367" spans="1:4">
      <c r="A1367" s="110" t="s">
        <v>682</v>
      </c>
      <c r="B1367" s="110" t="s">
        <v>298</v>
      </c>
      <c r="C1367" s="110">
        <v>2.2090000000000001</v>
      </c>
      <c r="D1367" s="112">
        <v>42748</v>
      </c>
    </row>
    <row r="1368" spans="1:4">
      <c r="A1368" s="110" t="s">
        <v>681</v>
      </c>
      <c r="B1368" s="110" t="s">
        <v>298</v>
      </c>
      <c r="C1368" s="110">
        <v>2.1659999999999999</v>
      </c>
      <c r="D1368" s="112">
        <v>42748</v>
      </c>
    </row>
    <row r="1369" spans="1:4">
      <c r="A1369" s="110" t="s">
        <v>680</v>
      </c>
      <c r="B1369" s="110" t="s">
        <v>298</v>
      </c>
      <c r="C1369" s="110">
        <v>2.1930000000000001</v>
      </c>
      <c r="D1369" s="112">
        <v>42748</v>
      </c>
    </row>
    <row r="1370" spans="1:4">
      <c r="A1370" s="110" t="s">
        <v>679</v>
      </c>
      <c r="B1370" s="110" t="s">
        <v>298</v>
      </c>
      <c r="C1370" s="110">
        <v>2.226</v>
      </c>
      <c r="D1370" s="112">
        <v>42748</v>
      </c>
    </row>
    <row r="1371" spans="1:4">
      <c r="A1371" s="110" t="s">
        <v>678</v>
      </c>
      <c r="B1371" s="110" t="s">
        <v>298</v>
      </c>
      <c r="C1371" s="110">
        <v>2.1579999999999999</v>
      </c>
      <c r="D1371" s="112">
        <v>42748</v>
      </c>
    </row>
    <row r="1372" spans="1:4">
      <c r="A1372" s="110" t="s">
        <v>677</v>
      </c>
      <c r="B1372" s="110" t="s">
        <v>298</v>
      </c>
      <c r="C1372" s="110">
        <v>2.2040000000000002</v>
      </c>
      <c r="D1372" s="112">
        <v>42748</v>
      </c>
    </row>
    <row r="1373" spans="1:4">
      <c r="A1373" s="110" t="s">
        <v>676</v>
      </c>
      <c r="B1373" s="110" t="s">
        <v>298</v>
      </c>
      <c r="C1373" s="110">
        <v>2.206</v>
      </c>
      <c r="D1373" s="112">
        <v>42748</v>
      </c>
    </row>
    <row r="1374" spans="1:4">
      <c r="A1374" s="110" t="s">
        <v>675</v>
      </c>
      <c r="B1374" s="110" t="s">
        <v>298</v>
      </c>
      <c r="C1374" s="110">
        <v>2.2269999999999999</v>
      </c>
      <c r="D1374" s="112">
        <v>42748</v>
      </c>
    </row>
    <row r="1375" spans="1:4">
      <c r="A1375" s="110" t="s">
        <v>674</v>
      </c>
      <c r="B1375" s="110" t="s">
        <v>298</v>
      </c>
      <c r="C1375" s="110">
        <v>2.3140000000000001</v>
      </c>
      <c r="D1375" s="112">
        <v>42748</v>
      </c>
    </row>
    <row r="1376" spans="1:4">
      <c r="A1376" s="110" t="s">
        <v>673</v>
      </c>
      <c r="B1376" s="110" t="s">
        <v>298</v>
      </c>
      <c r="C1376" s="110">
        <v>2.2869999999999999</v>
      </c>
      <c r="D1376" s="112">
        <v>42748</v>
      </c>
    </row>
    <row r="1377" spans="1:4">
      <c r="A1377" s="110" t="s">
        <v>672</v>
      </c>
      <c r="B1377" s="110" t="s">
        <v>298</v>
      </c>
      <c r="C1377" s="110">
        <v>2.2309999999999999</v>
      </c>
      <c r="D1377" s="112">
        <v>42748</v>
      </c>
    </row>
    <row r="1378" spans="1:4">
      <c r="A1378" s="110" t="s">
        <v>671</v>
      </c>
      <c r="B1378" s="110" t="s">
        <v>298</v>
      </c>
      <c r="C1378" s="110">
        <v>2.1240000000000001</v>
      </c>
      <c r="D1378" s="112">
        <v>42748</v>
      </c>
    </row>
    <row r="1379" spans="1:4">
      <c r="A1379" s="110" t="s">
        <v>670</v>
      </c>
      <c r="B1379" s="110" t="s">
        <v>298</v>
      </c>
      <c r="C1379" s="110">
        <v>2.238</v>
      </c>
      <c r="D1379" s="112">
        <v>42748</v>
      </c>
    </row>
    <row r="1380" spans="1:4">
      <c r="A1380" s="110" t="s">
        <v>669</v>
      </c>
      <c r="B1380" s="110" t="s">
        <v>298</v>
      </c>
      <c r="C1380" s="110">
        <v>2.2679999999999998</v>
      </c>
      <c r="D1380" s="112">
        <v>42748</v>
      </c>
    </row>
    <row r="1381" spans="1:4">
      <c r="A1381" s="110" t="s">
        <v>668</v>
      </c>
      <c r="B1381" s="110" t="s">
        <v>298</v>
      </c>
      <c r="C1381" s="110">
        <v>2.302</v>
      </c>
      <c r="D1381" s="112">
        <v>42748</v>
      </c>
    </row>
    <row r="1382" spans="1:4">
      <c r="A1382" s="110" t="s">
        <v>667</v>
      </c>
      <c r="B1382" s="110" t="s">
        <v>298</v>
      </c>
      <c r="C1382" s="110">
        <v>2.258</v>
      </c>
      <c r="D1382" s="112">
        <v>42748</v>
      </c>
    </row>
    <row r="1383" spans="1:4">
      <c r="A1383" s="110" t="s">
        <v>666</v>
      </c>
      <c r="B1383" s="110" t="s">
        <v>298</v>
      </c>
      <c r="C1383" s="110">
        <v>2.2210000000000001</v>
      </c>
      <c r="D1383" s="112">
        <v>42748</v>
      </c>
    </row>
    <row r="1384" spans="1:4">
      <c r="A1384" s="110" t="s">
        <v>665</v>
      </c>
      <c r="B1384" s="110" t="s">
        <v>298</v>
      </c>
      <c r="C1384" s="110">
        <v>2.2429999999999999</v>
      </c>
      <c r="D1384" s="112">
        <v>42748</v>
      </c>
    </row>
    <row r="1385" spans="1:4">
      <c r="A1385" s="110" t="s">
        <v>664</v>
      </c>
      <c r="B1385" s="110" t="s">
        <v>298</v>
      </c>
      <c r="C1385" s="110">
        <v>2.169</v>
      </c>
      <c r="D1385" s="112">
        <v>42748</v>
      </c>
    </row>
    <row r="1386" spans="1:4">
      <c r="A1386" s="110" t="s">
        <v>663</v>
      </c>
      <c r="B1386" s="110" t="s">
        <v>298</v>
      </c>
      <c r="C1386" s="110">
        <v>2.1640000000000001</v>
      </c>
      <c r="D1386" s="112">
        <v>42748</v>
      </c>
    </row>
    <row r="1387" spans="1:4">
      <c r="A1387" s="110" t="s">
        <v>662</v>
      </c>
      <c r="B1387" s="110" t="s">
        <v>298</v>
      </c>
      <c r="C1387" s="110">
        <v>2.2749999999999999</v>
      </c>
      <c r="D1387" s="112">
        <v>42748</v>
      </c>
    </row>
    <row r="1388" spans="1:4">
      <c r="A1388" s="110" t="s">
        <v>661</v>
      </c>
      <c r="B1388" s="110" t="s">
        <v>298</v>
      </c>
      <c r="C1388" s="110">
        <v>2.17</v>
      </c>
      <c r="D1388" s="112">
        <v>42748</v>
      </c>
    </row>
    <row r="1389" spans="1:4">
      <c r="A1389" s="110" t="s">
        <v>660</v>
      </c>
      <c r="B1389" s="110" t="s">
        <v>298</v>
      </c>
      <c r="C1389" s="110">
        <v>2.1589999999999998</v>
      </c>
      <c r="D1389" s="112">
        <v>42749</v>
      </c>
    </row>
    <row r="1390" spans="1:4">
      <c r="A1390" s="110" t="s">
        <v>659</v>
      </c>
      <c r="B1390" s="110" t="s">
        <v>298</v>
      </c>
      <c r="C1390" s="110">
        <v>2.17</v>
      </c>
      <c r="D1390" s="112">
        <v>42749</v>
      </c>
    </row>
    <row r="1391" spans="1:4">
      <c r="A1391" s="110" t="s">
        <v>658</v>
      </c>
      <c r="B1391" s="110" t="s">
        <v>298</v>
      </c>
      <c r="C1391" s="110">
        <v>2.1970000000000001</v>
      </c>
      <c r="D1391" s="112">
        <v>42749</v>
      </c>
    </row>
    <row r="1392" spans="1:4">
      <c r="A1392" s="110" t="s">
        <v>657</v>
      </c>
      <c r="B1392" s="110" t="s">
        <v>298</v>
      </c>
      <c r="C1392" s="110">
        <v>2.1850000000000001</v>
      </c>
      <c r="D1392" s="112">
        <v>42749</v>
      </c>
    </row>
    <row r="1393" spans="1:4">
      <c r="A1393" s="110" t="s">
        <v>656</v>
      </c>
      <c r="B1393" s="110" t="s">
        <v>298</v>
      </c>
      <c r="C1393" s="110">
        <v>2.242</v>
      </c>
      <c r="D1393" s="112">
        <v>42749</v>
      </c>
    </row>
    <row r="1394" spans="1:4">
      <c r="A1394" s="110" t="s">
        <v>655</v>
      </c>
      <c r="B1394" s="110" t="s">
        <v>298</v>
      </c>
      <c r="C1394" s="110">
        <v>2.218</v>
      </c>
      <c r="D1394" s="112">
        <v>42749</v>
      </c>
    </row>
    <row r="1395" spans="1:4">
      <c r="A1395" s="110" t="s">
        <v>654</v>
      </c>
      <c r="B1395" s="110" t="s">
        <v>298</v>
      </c>
      <c r="C1395" s="110">
        <v>2.222</v>
      </c>
      <c r="D1395" s="112">
        <v>42749</v>
      </c>
    </row>
    <row r="1396" spans="1:4">
      <c r="A1396" s="110" t="s">
        <v>653</v>
      </c>
      <c r="B1396" s="110" t="s">
        <v>298</v>
      </c>
      <c r="C1396" s="110">
        <v>2.1589999999999998</v>
      </c>
      <c r="D1396" s="112">
        <v>42749</v>
      </c>
    </row>
    <row r="1397" spans="1:4">
      <c r="A1397" s="110" t="s">
        <v>652</v>
      </c>
      <c r="B1397" s="110" t="s">
        <v>298</v>
      </c>
      <c r="C1397" s="110">
        <v>2.157</v>
      </c>
      <c r="D1397" s="112">
        <v>42749</v>
      </c>
    </row>
    <row r="1398" spans="1:4">
      <c r="A1398" s="110" t="s">
        <v>651</v>
      </c>
      <c r="B1398" s="110" t="s">
        <v>298</v>
      </c>
      <c r="C1398" s="110">
        <v>2.1890000000000001</v>
      </c>
      <c r="D1398" s="112">
        <v>42749</v>
      </c>
    </row>
    <row r="1399" spans="1:4">
      <c r="A1399" s="110" t="s">
        <v>650</v>
      </c>
      <c r="B1399" s="110" t="s">
        <v>298</v>
      </c>
      <c r="C1399" s="110">
        <v>2.2690000000000001</v>
      </c>
      <c r="D1399" s="112">
        <v>42749</v>
      </c>
    </row>
    <row r="1400" spans="1:4">
      <c r="A1400" s="110" t="s">
        <v>649</v>
      </c>
      <c r="B1400" s="110" t="s">
        <v>298</v>
      </c>
      <c r="C1400" s="110">
        <v>2.2519999999999998</v>
      </c>
      <c r="D1400" s="112">
        <v>42749</v>
      </c>
    </row>
    <row r="1401" spans="1:4">
      <c r="A1401" s="110" t="s">
        <v>648</v>
      </c>
      <c r="B1401" s="110" t="s">
        <v>298</v>
      </c>
      <c r="C1401" s="110">
        <v>2.2410000000000001</v>
      </c>
      <c r="D1401" s="112">
        <v>42749</v>
      </c>
    </row>
    <row r="1402" spans="1:4">
      <c r="A1402" s="110" t="s">
        <v>647</v>
      </c>
      <c r="B1402" s="110" t="s">
        <v>298</v>
      </c>
      <c r="C1402" s="110">
        <v>2.2130000000000001</v>
      </c>
      <c r="D1402" s="112">
        <v>42749</v>
      </c>
    </row>
    <row r="1403" spans="1:4">
      <c r="A1403" s="110" t="s">
        <v>646</v>
      </c>
      <c r="B1403" s="110" t="s">
        <v>298</v>
      </c>
      <c r="C1403" s="110">
        <v>2.25</v>
      </c>
      <c r="D1403" s="112">
        <v>42749</v>
      </c>
    </row>
    <row r="1404" spans="1:4">
      <c r="A1404" s="110" t="s">
        <v>645</v>
      </c>
      <c r="B1404" s="110" t="s">
        <v>298</v>
      </c>
      <c r="C1404" s="110">
        <v>2.2389999999999999</v>
      </c>
      <c r="D1404" s="112">
        <v>42749</v>
      </c>
    </row>
    <row r="1405" spans="1:4">
      <c r="A1405" s="110" t="s">
        <v>644</v>
      </c>
      <c r="B1405" s="110" t="s">
        <v>298</v>
      </c>
      <c r="C1405" s="110">
        <v>2.2240000000000002</v>
      </c>
      <c r="D1405" s="112">
        <v>42749</v>
      </c>
    </row>
    <row r="1406" spans="1:4">
      <c r="A1406" s="110" t="s">
        <v>643</v>
      </c>
      <c r="B1406" s="110" t="s">
        <v>298</v>
      </c>
      <c r="C1406" s="110">
        <v>2.1520000000000001</v>
      </c>
      <c r="D1406" s="112">
        <v>42749</v>
      </c>
    </row>
    <row r="1407" spans="1:4">
      <c r="A1407" s="110" t="s">
        <v>642</v>
      </c>
      <c r="B1407" s="110" t="s">
        <v>298</v>
      </c>
      <c r="C1407" s="110">
        <v>2.194</v>
      </c>
      <c r="D1407" s="112">
        <v>42749</v>
      </c>
    </row>
    <row r="1408" spans="1:4">
      <c r="A1408" s="110" t="s">
        <v>641</v>
      </c>
      <c r="B1408" s="110" t="s">
        <v>298</v>
      </c>
      <c r="C1408" s="110">
        <v>2.2069999999999999</v>
      </c>
      <c r="D1408" s="112">
        <v>42749</v>
      </c>
    </row>
    <row r="1409" spans="1:4">
      <c r="A1409" s="110" t="s">
        <v>640</v>
      </c>
      <c r="B1409" s="110" t="s">
        <v>298</v>
      </c>
      <c r="C1409" s="110">
        <v>2.1379999999999999</v>
      </c>
      <c r="D1409" s="112">
        <v>42749</v>
      </c>
    </row>
    <row r="1410" spans="1:4">
      <c r="A1410" s="110" t="s">
        <v>639</v>
      </c>
      <c r="B1410" s="110" t="s">
        <v>298</v>
      </c>
      <c r="C1410" s="110">
        <v>2.1840000000000002</v>
      </c>
      <c r="D1410" s="112">
        <v>42749</v>
      </c>
    </row>
    <row r="1411" spans="1:4">
      <c r="A1411" s="110" t="s">
        <v>638</v>
      </c>
      <c r="B1411" s="110" t="s">
        <v>298</v>
      </c>
      <c r="C1411" s="110">
        <v>2.1709999999999998</v>
      </c>
      <c r="D1411" s="112">
        <v>42749</v>
      </c>
    </row>
    <row r="1412" spans="1:4">
      <c r="A1412" s="110" t="s">
        <v>637</v>
      </c>
      <c r="B1412" s="110" t="s">
        <v>298</v>
      </c>
      <c r="C1412" s="110">
        <v>2.1629999999999998</v>
      </c>
      <c r="D1412" s="112">
        <v>42749</v>
      </c>
    </row>
    <row r="1413" spans="1:4">
      <c r="A1413" s="110" t="s">
        <v>636</v>
      </c>
      <c r="B1413" s="110" t="s">
        <v>298</v>
      </c>
      <c r="C1413" s="110">
        <v>2.198</v>
      </c>
      <c r="D1413" s="112">
        <v>42749</v>
      </c>
    </row>
    <row r="1414" spans="1:4">
      <c r="A1414" s="110" t="s">
        <v>635</v>
      </c>
      <c r="B1414" s="110" t="s">
        <v>298</v>
      </c>
      <c r="C1414" s="110">
        <v>2.1579999999999999</v>
      </c>
      <c r="D1414" s="112">
        <v>42749</v>
      </c>
    </row>
    <row r="1415" spans="1:4">
      <c r="A1415" s="110" t="s">
        <v>634</v>
      </c>
      <c r="B1415" s="110" t="s">
        <v>298</v>
      </c>
      <c r="C1415" s="110">
        <v>2.1920000000000002</v>
      </c>
      <c r="D1415" s="112">
        <v>42749</v>
      </c>
    </row>
    <row r="1416" spans="1:4">
      <c r="A1416" s="110" t="s">
        <v>633</v>
      </c>
      <c r="B1416" s="110" t="s">
        <v>298</v>
      </c>
      <c r="C1416" s="110">
        <v>2.169</v>
      </c>
      <c r="D1416" s="112">
        <v>42749</v>
      </c>
    </row>
    <row r="1417" spans="1:4">
      <c r="A1417" s="110" t="s">
        <v>632</v>
      </c>
      <c r="B1417" s="110" t="s">
        <v>298</v>
      </c>
      <c r="C1417" s="110">
        <v>2.161</v>
      </c>
      <c r="D1417" s="112">
        <v>42749</v>
      </c>
    </row>
    <row r="1418" spans="1:4">
      <c r="A1418" s="110" t="s">
        <v>631</v>
      </c>
      <c r="B1418" s="110" t="s">
        <v>298</v>
      </c>
      <c r="C1418" s="110">
        <v>2.2349999999999999</v>
      </c>
      <c r="D1418" s="112">
        <v>42749</v>
      </c>
    </row>
    <row r="1419" spans="1:4">
      <c r="A1419" s="110" t="s">
        <v>630</v>
      </c>
      <c r="B1419" s="110" t="s">
        <v>298</v>
      </c>
      <c r="C1419" s="110">
        <v>2.1779999999999999</v>
      </c>
      <c r="D1419" s="112">
        <v>42749</v>
      </c>
    </row>
    <row r="1420" spans="1:4">
      <c r="A1420" s="110" t="s">
        <v>629</v>
      </c>
      <c r="B1420" s="110" t="s">
        <v>298</v>
      </c>
      <c r="C1420" s="110">
        <v>2.1509999999999998</v>
      </c>
      <c r="D1420" s="112">
        <v>42749</v>
      </c>
    </row>
    <row r="1421" spans="1:4">
      <c r="A1421" s="110" t="s">
        <v>628</v>
      </c>
      <c r="B1421" s="110" t="s">
        <v>298</v>
      </c>
      <c r="C1421" s="110">
        <v>2.1389999999999998</v>
      </c>
      <c r="D1421" s="112">
        <v>42749</v>
      </c>
    </row>
    <row r="1422" spans="1:4">
      <c r="A1422" s="110" t="s">
        <v>627</v>
      </c>
      <c r="B1422" s="110" t="s">
        <v>298</v>
      </c>
      <c r="C1422" s="110">
        <v>2.1059999999999999</v>
      </c>
      <c r="D1422" s="112">
        <v>42749</v>
      </c>
    </row>
    <row r="1423" spans="1:4">
      <c r="A1423" s="110" t="s">
        <v>626</v>
      </c>
      <c r="B1423" s="110" t="s">
        <v>298</v>
      </c>
      <c r="C1423" s="110">
        <v>2.2050000000000001</v>
      </c>
      <c r="D1423" s="112">
        <v>42749</v>
      </c>
    </row>
    <row r="1424" spans="1:4">
      <c r="A1424" s="110" t="s">
        <v>625</v>
      </c>
      <c r="B1424" s="110" t="s">
        <v>298</v>
      </c>
      <c r="C1424" s="110">
        <v>2.141</v>
      </c>
      <c r="D1424" s="112">
        <v>42749</v>
      </c>
    </row>
    <row r="1425" spans="1:4">
      <c r="A1425" s="110" t="s">
        <v>624</v>
      </c>
      <c r="B1425" s="110" t="s">
        <v>298</v>
      </c>
      <c r="C1425" s="110">
        <v>2.222</v>
      </c>
      <c r="D1425" s="112">
        <v>42749</v>
      </c>
    </row>
    <row r="1426" spans="1:4">
      <c r="A1426" s="110" t="s">
        <v>623</v>
      </c>
      <c r="B1426" s="110" t="s">
        <v>298</v>
      </c>
      <c r="C1426" s="110">
        <v>2.198</v>
      </c>
      <c r="D1426" s="112">
        <v>42749</v>
      </c>
    </row>
    <row r="1427" spans="1:4">
      <c r="A1427" s="110" t="s">
        <v>622</v>
      </c>
      <c r="B1427" s="110" t="s">
        <v>298</v>
      </c>
      <c r="C1427" s="110">
        <v>2.21</v>
      </c>
      <c r="D1427" s="112">
        <v>42749</v>
      </c>
    </row>
    <row r="1428" spans="1:4">
      <c r="A1428" s="110" t="s">
        <v>621</v>
      </c>
      <c r="B1428" s="110" t="s">
        <v>298</v>
      </c>
      <c r="C1428" s="110">
        <v>2.2210000000000001</v>
      </c>
      <c r="D1428" s="112">
        <v>42749</v>
      </c>
    </row>
    <row r="1429" spans="1:4">
      <c r="A1429" s="110" t="s">
        <v>620</v>
      </c>
      <c r="B1429" s="110" t="s">
        <v>298</v>
      </c>
      <c r="C1429" s="110">
        <v>2.1440000000000001</v>
      </c>
      <c r="D1429" s="112">
        <v>42749</v>
      </c>
    </row>
    <row r="1430" spans="1:4">
      <c r="A1430" s="110" t="s">
        <v>619</v>
      </c>
      <c r="B1430" s="110" t="s">
        <v>298</v>
      </c>
      <c r="C1430" s="110">
        <v>2.1819999999999999</v>
      </c>
      <c r="D1430" s="112">
        <v>42749</v>
      </c>
    </row>
    <row r="1431" spans="1:4">
      <c r="A1431" s="110" t="s">
        <v>618</v>
      </c>
      <c r="B1431" s="110" t="s">
        <v>298</v>
      </c>
      <c r="C1431" s="110">
        <v>2.1179999999999999</v>
      </c>
      <c r="D1431" s="112">
        <v>42749</v>
      </c>
    </row>
    <row r="1432" spans="1:4">
      <c r="A1432" s="110" t="s">
        <v>617</v>
      </c>
      <c r="B1432" s="110" t="s">
        <v>298</v>
      </c>
      <c r="C1432" s="110">
        <v>2.1080000000000001</v>
      </c>
      <c r="D1432" s="112">
        <v>42749</v>
      </c>
    </row>
    <row r="1433" spans="1:4">
      <c r="A1433" s="110" t="s">
        <v>616</v>
      </c>
      <c r="B1433" s="110" t="s">
        <v>298</v>
      </c>
      <c r="C1433" s="110">
        <v>2.1469999999999998</v>
      </c>
      <c r="D1433" s="112">
        <v>42749</v>
      </c>
    </row>
    <row r="1434" spans="1:4">
      <c r="A1434" s="110" t="s">
        <v>615</v>
      </c>
      <c r="B1434" s="110" t="s">
        <v>298</v>
      </c>
      <c r="C1434" s="110">
        <v>2.0960000000000001</v>
      </c>
      <c r="D1434" s="112">
        <v>42749</v>
      </c>
    </row>
    <row r="1435" spans="1:4">
      <c r="A1435" s="110" t="s">
        <v>614</v>
      </c>
      <c r="B1435" s="110" t="s">
        <v>298</v>
      </c>
      <c r="C1435" s="110">
        <v>2.1859999999999999</v>
      </c>
      <c r="D1435" s="112">
        <v>42749</v>
      </c>
    </row>
    <row r="1436" spans="1:4">
      <c r="A1436" s="110" t="s">
        <v>613</v>
      </c>
      <c r="B1436" s="110" t="s">
        <v>298</v>
      </c>
      <c r="C1436" s="110">
        <v>2.1019999999999999</v>
      </c>
      <c r="D1436" s="112">
        <v>42749</v>
      </c>
    </row>
    <row r="1437" spans="1:4">
      <c r="A1437" s="110" t="s">
        <v>612</v>
      </c>
      <c r="B1437" s="110" t="s">
        <v>298</v>
      </c>
      <c r="C1437" s="110">
        <v>2.157</v>
      </c>
      <c r="D1437" s="112">
        <v>42749</v>
      </c>
    </row>
    <row r="1438" spans="1:4">
      <c r="A1438" s="110" t="s">
        <v>611</v>
      </c>
      <c r="B1438" s="110" t="s">
        <v>298</v>
      </c>
      <c r="C1438" s="110">
        <v>2.1659999999999999</v>
      </c>
      <c r="D1438" s="112">
        <v>42749</v>
      </c>
    </row>
    <row r="1439" spans="1:4">
      <c r="A1439" s="110" t="s">
        <v>610</v>
      </c>
      <c r="B1439" s="110" t="s">
        <v>298</v>
      </c>
      <c r="C1439" s="110">
        <v>2.101</v>
      </c>
      <c r="D1439" s="112">
        <v>42749</v>
      </c>
    </row>
    <row r="1440" spans="1:4">
      <c r="A1440" s="110" t="s">
        <v>609</v>
      </c>
      <c r="B1440" s="110" t="s">
        <v>298</v>
      </c>
      <c r="C1440" s="110">
        <v>2.19</v>
      </c>
      <c r="D1440" s="112">
        <v>42749</v>
      </c>
    </row>
    <row r="1441" spans="1:4">
      <c r="A1441" s="110" t="s">
        <v>608</v>
      </c>
      <c r="B1441" s="110" t="s">
        <v>298</v>
      </c>
      <c r="C1441" s="110">
        <v>2.1970000000000001</v>
      </c>
      <c r="D1441" s="112">
        <v>42749</v>
      </c>
    </row>
    <row r="1442" spans="1:4">
      <c r="A1442" s="110" t="s">
        <v>607</v>
      </c>
      <c r="B1442" s="110" t="s">
        <v>298</v>
      </c>
      <c r="C1442" s="110">
        <v>2.17</v>
      </c>
      <c r="D1442" s="112">
        <v>42749</v>
      </c>
    </row>
    <row r="1443" spans="1:4">
      <c r="A1443" s="110" t="s">
        <v>606</v>
      </c>
      <c r="B1443" s="110" t="s">
        <v>298</v>
      </c>
      <c r="C1443" s="110">
        <v>2.1259999999999999</v>
      </c>
      <c r="D1443" s="112">
        <v>42749</v>
      </c>
    </row>
    <row r="1444" spans="1:4">
      <c r="A1444" s="110" t="s">
        <v>605</v>
      </c>
      <c r="B1444" s="110" t="s">
        <v>298</v>
      </c>
      <c r="C1444" s="110">
        <v>2.1970000000000001</v>
      </c>
      <c r="D1444" s="112">
        <v>42749</v>
      </c>
    </row>
    <row r="1445" spans="1:4">
      <c r="A1445" s="110" t="s">
        <v>604</v>
      </c>
      <c r="B1445" s="110" t="s">
        <v>298</v>
      </c>
      <c r="C1445" s="110">
        <v>2.145</v>
      </c>
      <c r="D1445" s="112">
        <v>42749</v>
      </c>
    </row>
    <row r="1446" spans="1:4">
      <c r="A1446" s="110" t="s">
        <v>603</v>
      </c>
      <c r="B1446" s="110" t="s">
        <v>298</v>
      </c>
      <c r="C1446" s="110">
        <v>2.2000000000000002</v>
      </c>
      <c r="D1446" s="112">
        <v>42749</v>
      </c>
    </row>
    <row r="1447" spans="1:4">
      <c r="A1447" s="110" t="s">
        <v>602</v>
      </c>
      <c r="B1447" s="110" t="s">
        <v>298</v>
      </c>
      <c r="C1447" s="110">
        <v>2.16</v>
      </c>
      <c r="D1447" s="112">
        <v>42749</v>
      </c>
    </row>
    <row r="1448" spans="1:4">
      <c r="A1448" s="110" t="s">
        <v>601</v>
      </c>
      <c r="B1448" s="110" t="s">
        <v>298</v>
      </c>
      <c r="C1448" s="110">
        <v>2.194</v>
      </c>
      <c r="D1448" s="112">
        <v>42749</v>
      </c>
    </row>
    <row r="1449" spans="1:4">
      <c r="A1449" s="110" t="s">
        <v>600</v>
      </c>
      <c r="B1449" s="110" t="s">
        <v>298</v>
      </c>
      <c r="C1449" s="110">
        <v>2.226</v>
      </c>
      <c r="D1449" s="112">
        <v>42749</v>
      </c>
    </row>
    <row r="1450" spans="1:4">
      <c r="A1450" s="110" t="s">
        <v>599</v>
      </c>
      <c r="B1450" s="110" t="s">
        <v>298</v>
      </c>
      <c r="C1450" s="110">
        <v>2.2010000000000001</v>
      </c>
      <c r="D1450" s="112">
        <v>42749</v>
      </c>
    </row>
    <row r="1451" spans="1:4">
      <c r="A1451" s="110" t="s">
        <v>598</v>
      </c>
      <c r="B1451" s="110" t="s">
        <v>298</v>
      </c>
      <c r="C1451" s="110">
        <v>2.2730000000000001</v>
      </c>
      <c r="D1451" s="112">
        <v>42749</v>
      </c>
    </row>
    <row r="1452" spans="1:4">
      <c r="A1452" s="110" t="s">
        <v>597</v>
      </c>
      <c r="B1452" s="110" t="s">
        <v>298</v>
      </c>
      <c r="C1452" s="110">
        <v>2.2109999999999999</v>
      </c>
      <c r="D1452" s="112">
        <v>42749</v>
      </c>
    </row>
    <row r="1453" spans="1:4">
      <c r="A1453" s="110" t="s">
        <v>596</v>
      </c>
      <c r="B1453" s="110" t="s">
        <v>298</v>
      </c>
      <c r="C1453" s="110">
        <v>2.2280000000000002</v>
      </c>
      <c r="D1453" s="112">
        <v>42749</v>
      </c>
    </row>
    <row r="1454" spans="1:4">
      <c r="A1454" s="110" t="s">
        <v>595</v>
      </c>
      <c r="B1454" s="110" t="s">
        <v>298</v>
      </c>
      <c r="C1454" s="110">
        <v>2.2250000000000001</v>
      </c>
      <c r="D1454" s="112">
        <v>42749</v>
      </c>
    </row>
    <row r="1455" spans="1:4">
      <c r="A1455" s="110" t="s">
        <v>594</v>
      </c>
      <c r="B1455" s="110" t="s">
        <v>298</v>
      </c>
      <c r="C1455" s="110">
        <v>2.194</v>
      </c>
      <c r="D1455" s="112">
        <v>42749</v>
      </c>
    </row>
    <row r="1456" spans="1:4">
      <c r="A1456" s="110" t="s">
        <v>593</v>
      </c>
      <c r="B1456" s="110" t="s">
        <v>298</v>
      </c>
      <c r="C1456" s="110">
        <v>2.1920000000000002</v>
      </c>
      <c r="D1456" s="112">
        <v>42749</v>
      </c>
    </row>
    <row r="1457" spans="1:4">
      <c r="A1457" s="110" t="s">
        <v>592</v>
      </c>
      <c r="B1457" s="110" t="s">
        <v>298</v>
      </c>
      <c r="C1457" s="110">
        <v>2.2320000000000002</v>
      </c>
      <c r="D1457" s="112">
        <v>42749</v>
      </c>
    </row>
    <row r="1458" spans="1:4">
      <c r="A1458" s="110" t="s">
        <v>591</v>
      </c>
      <c r="B1458" s="110" t="s">
        <v>298</v>
      </c>
      <c r="C1458" s="110">
        <v>2.177</v>
      </c>
      <c r="D1458" s="112">
        <v>42749</v>
      </c>
    </row>
    <row r="1459" spans="1:4">
      <c r="A1459" s="110" t="s">
        <v>590</v>
      </c>
      <c r="B1459" s="110" t="s">
        <v>298</v>
      </c>
      <c r="C1459" s="110">
        <v>2.1739999999999999</v>
      </c>
      <c r="D1459" s="112">
        <v>42749</v>
      </c>
    </row>
    <row r="1460" spans="1:4">
      <c r="A1460" s="110" t="s">
        <v>589</v>
      </c>
      <c r="B1460" s="110" t="s">
        <v>298</v>
      </c>
      <c r="C1460" s="110">
        <v>2.222</v>
      </c>
      <c r="D1460" s="112">
        <v>42749</v>
      </c>
    </row>
    <row r="1461" spans="1:4">
      <c r="A1461" s="110" t="s">
        <v>588</v>
      </c>
      <c r="B1461" s="110" t="s">
        <v>298</v>
      </c>
      <c r="C1461" s="110">
        <v>2.1949999999999998</v>
      </c>
      <c r="D1461" s="112">
        <v>42749</v>
      </c>
    </row>
    <row r="1462" spans="1:4">
      <c r="A1462" s="110" t="s">
        <v>587</v>
      </c>
      <c r="B1462" s="110" t="s">
        <v>298</v>
      </c>
      <c r="C1462" s="110">
        <v>2.1779999999999999</v>
      </c>
      <c r="D1462" s="112">
        <v>42749</v>
      </c>
    </row>
    <row r="1463" spans="1:4">
      <c r="A1463" s="110" t="s">
        <v>586</v>
      </c>
      <c r="B1463" s="110" t="s">
        <v>298</v>
      </c>
      <c r="C1463" s="110">
        <v>2.1789999999999998</v>
      </c>
      <c r="D1463" s="112">
        <v>42749</v>
      </c>
    </row>
    <row r="1464" spans="1:4">
      <c r="A1464" s="110" t="s">
        <v>585</v>
      </c>
      <c r="B1464" s="110" t="s">
        <v>298</v>
      </c>
      <c r="C1464" s="110">
        <v>2.0830000000000002</v>
      </c>
      <c r="D1464" s="112">
        <v>42749</v>
      </c>
    </row>
    <row r="1465" spans="1:4">
      <c r="A1465" s="110" t="s">
        <v>584</v>
      </c>
      <c r="B1465" s="110" t="s">
        <v>298</v>
      </c>
      <c r="C1465" s="110">
        <v>2.2229999999999999</v>
      </c>
      <c r="D1465" s="112">
        <v>42749</v>
      </c>
    </row>
    <row r="1466" spans="1:4">
      <c r="A1466" s="110" t="s">
        <v>583</v>
      </c>
      <c r="B1466" s="110" t="s">
        <v>298</v>
      </c>
      <c r="C1466" s="110">
        <v>2.1760000000000002</v>
      </c>
      <c r="D1466" s="112">
        <v>42749</v>
      </c>
    </row>
    <row r="1467" spans="1:4">
      <c r="A1467" s="110" t="s">
        <v>582</v>
      </c>
      <c r="B1467" s="110" t="s">
        <v>298</v>
      </c>
      <c r="C1467" s="110">
        <v>2.161</v>
      </c>
      <c r="D1467" s="112">
        <v>42749</v>
      </c>
    </row>
    <row r="1468" spans="1:4">
      <c r="A1468" s="110" t="s">
        <v>581</v>
      </c>
      <c r="B1468" s="110" t="s">
        <v>298</v>
      </c>
      <c r="C1468" s="110">
        <v>2.157</v>
      </c>
      <c r="D1468" s="112">
        <v>42749</v>
      </c>
    </row>
    <row r="1469" spans="1:4">
      <c r="A1469" s="110" t="s">
        <v>580</v>
      </c>
      <c r="B1469" s="110" t="s">
        <v>298</v>
      </c>
      <c r="C1469" s="110">
        <v>2.0760000000000001</v>
      </c>
      <c r="D1469" s="112">
        <v>42749</v>
      </c>
    </row>
    <row r="1470" spans="1:4">
      <c r="A1470" s="110" t="s">
        <v>579</v>
      </c>
      <c r="B1470" s="110" t="s">
        <v>298</v>
      </c>
      <c r="C1470" s="110">
        <v>2.2810000000000001</v>
      </c>
      <c r="D1470" s="112">
        <v>42749</v>
      </c>
    </row>
    <row r="1471" spans="1:4">
      <c r="A1471" s="110" t="s">
        <v>578</v>
      </c>
      <c r="B1471" s="110" t="s">
        <v>298</v>
      </c>
      <c r="C1471" s="110">
        <v>2.1150000000000002</v>
      </c>
      <c r="D1471" s="112">
        <v>42749</v>
      </c>
    </row>
    <row r="1472" spans="1:4">
      <c r="A1472" s="110" t="s">
        <v>577</v>
      </c>
      <c r="B1472" s="110" t="s">
        <v>298</v>
      </c>
      <c r="C1472" s="110">
        <v>2.145</v>
      </c>
      <c r="D1472" s="112">
        <v>42749</v>
      </c>
    </row>
    <row r="1473" spans="1:4">
      <c r="A1473" s="110" t="s">
        <v>576</v>
      </c>
      <c r="B1473" s="110" t="s">
        <v>298</v>
      </c>
      <c r="C1473" s="110">
        <v>2.0649999999999999</v>
      </c>
      <c r="D1473" s="112">
        <v>42749</v>
      </c>
    </row>
    <row r="1474" spans="1:4">
      <c r="A1474" s="110" t="s">
        <v>575</v>
      </c>
      <c r="B1474" s="110" t="s">
        <v>298</v>
      </c>
      <c r="C1474" s="110">
        <v>2.117</v>
      </c>
      <c r="D1474" s="112">
        <v>42749</v>
      </c>
    </row>
    <row r="1475" spans="1:4">
      <c r="A1475" s="110" t="s">
        <v>574</v>
      </c>
      <c r="B1475" s="110" t="s">
        <v>298</v>
      </c>
      <c r="C1475" s="110">
        <v>2.097</v>
      </c>
      <c r="D1475" s="112">
        <v>42749</v>
      </c>
    </row>
    <row r="1476" spans="1:4">
      <c r="A1476" s="110" t="s">
        <v>573</v>
      </c>
      <c r="B1476" s="110" t="s">
        <v>298</v>
      </c>
      <c r="C1476" s="110">
        <v>2.04</v>
      </c>
      <c r="D1476" s="112">
        <v>42749</v>
      </c>
    </row>
    <row r="1477" spans="1:4">
      <c r="A1477" s="110" t="s">
        <v>572</v>
      </c>
      <c r="B1477" s="110" t="s">
        <v>298</v>
      </c>
      <c r="C1477" s="110">
        <v>2.0960000000000001</v>
      </c>
      <c r="D1477" s="112">
        <v>42749</v>
      </c>
    </row>
    <row r="1478" spans="1:4">
      <c r="A1478" s="110" t="s">
        <v>571</v>
      </c>
      <c r="B1478" s="110" t="s">
        <v>298</v>
      </c>
      <c r="C1478" s="110">
        <v>2.0910000000000002</v>
      </c>
      <c r="D1478" s="112">
        <v>42749</v>
      </c>
    </row>
    <row r="1479" spans="1:4">
      <c r="A1479" s="110" t="s">
        <v>570</v>
      </c>
      <c r="B1479" s="110" t="s">
        <v>298</v>
      </c>
      <c r="C1479" s="110">
        <v>2.117</v>
      </c>
      <c r="D1479" s="112">
        <v>42749</v>
      </c>
    </row>
    <row r="1480" spans="1:4">
      <c r="A1480" s="110" t="s">
        <v>569</v>
      </c>
      <c r="B1480" s="110" t="s">
        <v>298</v>
      </c>
      <c r="C1480" s="110">
        <v>2.0819999999999999</v>
      </c>
      <c r="D1480" s="112">
        <v>42749</v>
      </c>
    </row>
    <row r="1481" spans="1:4">
      <c r="A1481" s="110" t="s">
        <v>568</v>
      </c>
      <c r="B1481" s="110" t="s">
        <v>298</v>
      </c>
      <c r="C1481" s="110">
        <v>2.097</v>
      </c>
      <c r="D1481" s="112">
        <v>42749</v>
      </c>
    </row>
    <row r="1482" spans="1:4">
      <c r="A1482" s="110" t="s">
        <v>567</v>
      </c>
      <c r="B1482" s="110" t="s">
        <v>298</v>
      </c>
      <c r="C1482" s="110">
        <v>2.16</v>
      </c>
      <c r="D1482" s="112">
        <v>42749</v>
      </c>
    </row>
    <row r="1483" spans="1:4">
      <c r="A1483" s="110" t="s">
        <v>566</v>
      </c>
      <c r="B1483" s="110" t="s">
        <v>298</v>
      </c>
      <c r="C1483" s="110">
        <v>2.0990000000000002</v>
      </c>
      <c r="D1483" s="112">
        <v>42749</v>
      </c>
    </row>
    <row r="1484" spans="1:4">
      <c r="A1484" s="110" t="s">
        <v>565</v>
      </c>
      <c r="B1484" s="110" t="s">
        <v>298</v>
      </c>
      <c r="C1484" s="110">
        <v>2.109</v>
      </c>
      <c r="D1484" s="112">
        <v>42749</v>
      </c>
    </row>
    <row r="1485" spans="1:4">
      <c r="A1485" s="110" t="s">
        <v>564</v>
      </c>
      <c r="B1485" s="110" t="s">
        <v>298</v>
      </c>
      <c r="C1485" s="110">
        <v>2.0859999999999999</v>
      </c>
      <c r="D1485" s="112">
        <v>42749</v>
      </c>
    </row>
    <row r="1486" spans="1:4">
      <c r="A1486" s="110" t="s">
        <v>563</v>
      </c>
      <c r="B1486" s="110" t="s">
        <v>298</v>
      </c>
      <c r="C1486" s="110">
        <v>2.1259999999999999</v>
      </c>
      <c r="D1486" s="112">
        <v>42749</v>
      </c>
    </row>
    <row r="1487" spans="1:4">
      <c r="A1487" s="110" t="s">
        <v>562</v>
      </c>
      <c r="B1487" s="110" t="s">
        <v>298</v>
      </c>
      <c r="C1487" s="110">
        <v>2.1349999999999998</v>
      </c>
      <c r="D1487" s="112">
        <v>42749</v>
      </c>
    </row>
    <row r="1488" spans="1:4">
      <c r="A1488" s="110" t="s">
        <v>561</v>
      </c>
      <c r="B1488" s="110" t="s">
        <v>298</v>
      </c>
      <c r="C1488" s="110">
        <v>2.0870000000000002</v>
      </c>
      <c r="D1488" s="112">
        <v>42749</v>
      </c>
    </row>
    <row r="1489" spans="1:4">
      <c r="A1489" s="110" t="s">
        <v>560</v>
      </c>
      <c r="B1489" s="110" t="s">
        <v>298</v>
      </c>
      <c r="C1489" s="110">
        <v>2.069</v>
      </c>
      <c r="D1489" s="112">
        <v>42749</v>
      </c>
    </row>
    <row r="1490" spans="1:4">
      <c r="A1490" s="110" t="s">
        <v>559</v>
      </c>
      <c r="B1490" s="110" t="s">
        <v>298</v>
      </c>
      <c r="C1490" s="110">
        <v>2.2360000000000002</v>
      </c>
      <c r="D1490" s="112">
        <v>42749</v>
      </c>
    </row>
    <row r="1491" spans="1:4">
      <c r="A1491" s="110" t="s">
        <v>558</v>
      </c>
      <c r="B1491" s="110" t="s">
        <v>298</v>
      </c>
      <c r="C1491" s="110">
        <v>2.2549999999999999</v>
      </c>
      <c r="D1491" s="112">
        <v>42749</v>
      </c>
    </row>
    <row r="1492" spans="1:4">
      <c r="A1492" s="110" t="s">
        <v>557</v>
      </c>
      <c r="B1492" s="110" t="s">
        <v>298</v>
      </c>
      <c r="C1492" s="110">
        <v>2.2170000000000001</v>
      </c>
      <c r="D1492" s="112">
        <v>42749</v>
      </c>
    </row>
    <row r="1493" spans="1:4">
      <c r="A1493" s="110" t="s">
        <v>556</v>
      </c>
      <c r="B1493" s="110" t="s">
        <v>298</v>
      </c>
      <c r="C1493" s="110">
        <v>2.17</v>
      </c>
      <c r="D1493" s="112">
        <v>42749</v>
      </c>
    </row>
    <row r="1494" spans="1:4">
      <c r="A1494" s="110" t="s">
        <v>555</v>
      </c>
      <c r="B1494" s="110" t="s">
        <v>298</v>
      </c>
      <c r="C1494" s="110">
        <v>2.1520000000000001</v>
      </c>
      <c r="D1494" s="112">
        <v>42749</v>
      </c>
    </row>
    <row r="1495" spans="1:4">
      <c r="A1495" s="110" t="s">
        <v>554</v>
      </c>
      <c r="B1495" s="110" t="s">
        <v>298</v>
      </c>
      <c r="C1495" s="110">
        <v>2.2250000000000001</v>
      </c>
      <c r="D1495" s="112">
        <v>42749</v>
      </c>
    </row>
    <row r="1496" spans="1:4">
      <c r="A1496" s="110" t="s">
        <v>553</v>
      </c>
      <c r="B1496" s="110" t="s">
        <v>298</v>
      </c>
      <c r="C1496" s="110">
        <v>2.1360000000000001</v>
      </c>
      <c r="D1496" s="112">
        <v>42749</v>
      </c>
    </row>
    <row r="1497" spans="1:4">
      <c r="A1497" s="110" t="s">
        <v>552</v>
      </c>
      <c r="B1497" s="110" t="s">
        <v>298</v>
      </c>
      <c r="C1497" s="110">
        <v>2.157</v>
      </c>
      <c r="D1497" s="112">
        <v>42749</v>
      </c>
    </row>
    <row r="1498" spans="1:4">
      <c r="A1498" s="110" t="s">
        <v>551</v>
      </c>
      <c r="B1498" s="110" t="s">
        <v>298</v>
      </c>
      <c r="C1498" s="110">
        <v>2.218</v>
      </c>
      <c r="D1498" s="112">
        <v>42749</v>
      </c>
    </row>
    <row r="1499" spans="1:4">
      <c r="A1499" s="110" t="s">
        <v>550</v>
      </c>
      <c r="B1499" s="110" t="s">
        <v>298</v>
      </c>
      <c r="C1499" s="110">
        <v>2.2599999999999998</v>
      </c>
      <c r="D1499" s="112">
        <v>42749</v>
      </c>
    </row>
    <row r="1500" spans="1:4">
      <c r="A1500" s="110" t="s">
        <v>549</v>
      </c>
      <c r="B1500" s="110" t="s">
        <v>298</v>
      </c>
      <c r="C1500" s="110">
        <v>2.2549999999999999</v>
      </c>
      <c r="D1500" s="112">
        <v>42749</v>
      </c>
    </row>
    <row r="1501" spans="1:4">
      <c r="A1501" s="110" t="s">
        <v>548</v>
      </c>
      <c r="B1501" s="110" t="s">
        <v>298</v>
      </c>
      <c r="C1501" s="110">
        <v>2.2090000000000001</v>
      </c>
      <c r="D1501" s="112">
        <v>42749</v>
      </c>
    </row>
    <row r="1502" spans="1:4">
      <c r="A1502" s="110" t="s">
        <v>547</v>
      </c>
      <c r="B1502" s="110" t="s">
        <v>298</v>
      </c>
      <c r="C1502" s="110">
        <v>2.2400000000000002</v>
      </c>
      <c r="D1502" s="112">
        <v>42749</v>
      </c>
    </row>
    <row r="1503" spans="1:4">
      <c r="A1503" s="110" t="s">
        <v>546</v>
      </c>
      <c r="B1503" s="110" t="s">
        <v>298</v>
      </c>
      <c r="C1503" s="110">
        <v>2.1819999999999999</v>
      </c>
      <c r="D1503" s="112">
        <v>42749</v>
      </c>
    </row>
    <row r="1504" spans="1:4">
      <c r="A1504" s="110" t="s">
        <v>545</v>
      </c>
      <c r="B1504" s="110" t="s">
        <v>298</v>
      </c>
      <c r="C1504" s="110">
        <v>2.1749999999999998</v>
      </c>
      <c r="D1504" s="112">
        <v>42749</v>
      </c>
    </row>
    <row r="1505" spans="1:5">
      <c r="A1505" s="110" t="s">
        <v>544</v>
      </c>
      <c r="B1505" s="110" t="s">
        <v>298</v>
      </c>
      <c r="C1505" s="110">
        <v>2.165</v>
      </c>
      <c r="D1505" s="112">
        <v>42749</v>
      </c>
    </row>
    <row r="1506" spans="1:5">
      <c r="A1506" s="110" t="s">
        <v>543</v>
      </c>
      <c r="B1506" s="110" t="s">
        <v>298</v>
      </c>
      <c r="C1506" s="110">
        <v>2.206</v>
      </c>
      <c r="D1506" s="112">
        <v>42749</v>
      </c>
    </row>
    <row r="1507" spans="1:5">
      <c r="A1507" s="110" t="s">
        <v>542</v>
      </c>
      <c r="B1507" s="110" t="s">
        <v>298</v>
      </c>
      <c r="C1507" s="110">
        <v>2.1760000000000002</v>
      </c>
      <c r="D1507" s="112">
        <v>42749</v>
      </c>
    </row>
    <row r="1508" spans="1:5">
      <c r="A1508" s="110" t="s">
        <v>541</v>
      </c>
      <c r="B1508" s="110" t="s">
        <v>298</v>
      </c>
      <c r="C1508" s="110">
        <v>2.2440000000000002</v>
      </c>
      <c r="D1508" s="112">
        <v>42749</v>
      </c>
    </row>
    <row r="1509" spans="1:5">
      <c r="A1509" s="110" t="s">
        <v>539</v>
      </c>
      <c r="B1509" s="113" t="s">
        <v>298</v>
      </c>
      <c r="C1509" s="113">
        <v>2.198</v>
      </c>
      <c r="D1509" s="114">
        <v>42749</v>
      </c>
      <c r="E1509" s="113" t="s">
        <v>540</v>
      </c>
    </row>
    <row r="1510" spans="1:5">
      <c r="A1510" s="396" t="s">
        <v>3898</v>
      </c>
      <c r="B1510" s="113" t="s">
        <v>298</v>
      </c>
      <c r="C1510" s="113">
        <v>2.13</v>
      </c>
      <c r="D1510" s="114">
        <v>42744</v>
      </c>
      <c r="E1510" s="113" t="s">
        <v>538</v>
      </c>
    </row>
    <row r="1511" spans="1:5">
      <c r="A1511" s="110" t="s">
        <v>537</v>
      </c>
      <c r="B1511" s="110" t="s">
        <v>298</v>
      </c>
      <c r="C1511" s="110">
        <v>2.19</v>
      </c>
      <c r="D1511" s="112">
        <v>42744</v>
      </c>
    </row>
    <row r="1512" spans="1:5">
      <c r="A1512" s="110" t="s">
        <v>536</v>
      </c>
      <c r="B1512" s="110" t="s">
        <v>298</v>
      </c>
      <c r="C1512" s="110">
        <v>2.1440000000000001</v>
      </c>
      <c r="D1512" s="112">
        <v>42744</v>
      </c>
    </row>
    <row r="1513" spans="1:5">
      <c r="A1513" s="110" t="s">
        <v>535</v>
      </c>
      <c r="B1513" s="110" t="s">
        <v>298</v>
      </c>
      <c r="C1513" s="110">
        <v>2.1230000000000002</v>
      </c>
      <c r="D1513" s="112">
        <v>42744</v>
      </c>
    </row>
    <row r="1514" spans="1:5">
      <c r="A1514" s="110" t="s">
        <v>534</v>
      </c>
      <c r="B1514" s="110" t="s">
        <v>298</v>
      </c>
      <c r="C1514" s="110">
        <v>2.165</v>
      </c>
      <c r="D1514" s="112">
        <v>42744</v>
      </c>
    </row>
    <row r="1515" spans="1:5">
      <c r="A1515" s="110" t="s">
        <v>533</v>
      </c>
      <c r="B1515" s="110" t="s">
        <v>298</v>
      </c>
      <c r="C1515" s="110">
        <v>2.15</v>
      </c>
      <c r="D1515" s="112">
        <v>42744</v>
      </c>
    </row>
    <row r="1516" spans="1:5">
      <c r="A1516" s="110" t="s">
        <v>532</v>
      </c>
      <c r="B1516" s="110" t="s">
        <v>298</v>
      </c>
      <c r="C1516" s="110">
        <v>2.14</v>
      </c>
      <c r="D1516" s="112">
        <v>42744</v>
      </c>
    </row>
    <row r="1517" spans="1:5">
      <c r="A1517" s="110" t="s">
        <v>531</v>
      </c>
      <c r="B1517" s="110" t="s">
        <v>298</v>
      </c>
      <c r="C1517" s="110">
        <v>2.1440000000000001</v>
      </c>
      <c r="D1517" s="112">
        <v>42744</v>
      </c>
    </row>
    <row r="1518" spans="1:5">
      <c r="A1518" s="110" t="s">
        <v>530</v>
      </c>
      <c r="B1518" s="110" t="s">
        <v>298</v>
      </c>
      <c r="C1518" s="110">
        <v>2.165</v>
      </c>
      <c r="D1518" s="112">
        <v>42744</v>
      </c>
    </row>
    <row r="1519" spans="1:5">
      <c r="A1519" s="110" t="s">
        <v>529</v>
      </c>
      <c r="B1519" s="110" t="s">
        <v>298</v>
      </c>
      <c r="C1519" s="110">
        <v>2.1230000000000002</v>
      </c>
      <c r="D1519" s="112">
        <v>42744</v>
      </c>
    </row>
    <row r="1520" spans="1:5">
      <c r="A1520" s="110" t="s">
        <v>528</v>
      </c>
      <c r="B1520" s="110" t="s">
        <v>298</v>
      </c>
      <c r="C1520" s="110">
        <v>2.157</v>
      </c>
      <c r="D1520" s="112">
        <v>42744</v>
      </c>
    </row>
    <row r="1521" spans="1:4">
      <c r="A1521" s="110" t="s">
        <v>527</v>
      </c>
      <c r="B1521" s="110" t="s">
        <v>298</v>
      </c>
      <c r="C1521" s="110">
        <v>2.11</v>
      </c>
      <c r="D1521" s="112">
        <v>42744</v>
      </c>
    </row>
    <row r="1522" spans="1:4">
      <c r="A1522" s="110" t="s">
        <v>526</v>
      </c>
      <c r="B1522" s="110" t="s">
        <v>298</v>
      </c>
      <c r="C1522" s="110">
        <v>2.1680000000000001</v>
      </c>
      <c r="D1522" s="112">
        <v>42744</v>
      </c>
    </row>
    <row r="1523" spans="1:4">
      <c r="A1523" s="110" t="s">
        <v>525</v>
      </c>
      <c r="B1523" s="110" t="s">
        <v>298</v>
      </c>
      <c r="C1523" s="110">
        <v>2.1459999999999999</v>
      </c>
      <c r="D1523" s="112">
        <v>42744</v>
      </c>
    </row>
    <row r="1524" spans="1:4">
      <c r="A1524" s="110" t="s">
        <v>524</v>
      </c>
      <c r="B1524" s="110" t="s">
        <v>298</v>
      </c>
      <c r="C1524" s="110">
        <v>2.157</v>
      </c>
      <c r="D1524" s="112">
        <v>42744</v>
      </c>
    </row>
    <row r="1525" spans="1:4">
      <c r="A1525" s="110" t="s">
        <v>523</v>
      </c>
      <c r="B1525" s="110" t="s">
        <v>298</v>
      </c>
      <c r="C1525" s="110">
        <v>2.1739999999999999</v>
      </c>
      <c r="D1525" s="112">
        <v>42744</v>
      </c>
    </row>
    <row r="1526" spans="1:4">
      <c r="A1526" s="110" t="s">
        <v>522</v>
      </c>
      <c r="B1526" s="110" t="s">
        <v>298</v>
      </c>
      <c r="C1526" s="110">
        <v>2.2010000000000001</v>
      </c>
      <c r="D1526" s="112">
        <v>42744</v>
      </c>
    </row>
    <row r="1527" spans="1:4">
      <c r="A1527" s="110" t="s">
        <v>521</v>
      </c>
      <c r="B1527" s="110" t="s">
        <v>298</v>
      </c>
      <c r="C1527" s="110">
        <v>2.1240000000000001</v>
      </c>
      <c r="D1527" s="112">
        <v>42744</v>
      </c>
    </row>
    <row r="1528" spans="1:4">
      <c r="A1528" s="110" t="s">
        <v>520</v>
      </c>
      <c r="B1528" s="110" t="s">
        <v>298</v>
      </c>
      <c r="C1528" s="110">
        <v>2.1480000000000001</v>
      </c>
      <c r="D1528" s="112">
        <v>42744</v>
      </c>
    </row>
    <row r="1529" spans="1:4">
      <c r="A1529" s="110" t="s">
        <v>519</v>
      </c>
      <c r="B1529" s="110" t="s">
        <v>298</v>
      </c>
      <c r="C1529" s="110">
        <v>2.1800000000000002</v>
      </c>
      <c r="D1529" s="112">
        <v>42744</v>
      </c>
    </row>
    <row r="1530" spans="1:4">
      <c r="A1530" s="110" t="s">
        <v>518</v>
      </c>
      <c r="B1530" s="110" t="s">
        <v>298</v>
      </c>
      <c r="C1530" s="110">
        <v>2.0459999999999998</v>
      </c>
      <c r="D1530" s="112">
        <v>42744</v>
      </c>
    </row>
    <row r="1531" spans="1:4">
      <c r="A1531" s="110" t="s">
        <v>517</v>
      </c>
      <c r="B1531" s="110" t="s">
        <v>298</v>
      </c>
      <c r="C1531" s="110">
        <v>2.1640000000000001</v>
      </c>
      <c r="D1531" s="112">
        <v>42744</v>
      </c>
    </row>
    <row r="1532" spans="1:4">
      <c r="A1532" s="110" t="s">
        <v>516</v>
      </c>
      <c r="B1532" s="110" t="s">
        <v>298</v>
      </c>
      <c r="C1532" s="110">
        <v>2.056</v>
      </c>
      <c r="D1532" s="112">
        <v>42744</v>
      </c>
    </row>
    <row r="1533" spans="1:4">
      <c r="A1533" s="110" t="s">
        <v>515</v>
      </c>
      <c r="B1533" s="110" t="s">
        <v>298</v>
      </c>
      <c r="C1533" s="110">
        <v>2.0739999999999998</v>
      </c>
      <c r="D1533" s="112">
        <v>42744</v>
      </c>
    </row>
    <row r="1534" spans="1:4">
      <c r="A1534" s="110" t="s">
        <v>514</v>
      </c>
      <c r="B1534" s="110" t="s">
        <v>298</v>
      </c>
      <c r="C1534" s="110">
        <v>2.1589999999999998</v>
      </c>
      <c r="D1534" s="112">
        <v>42744</v>
      </c>
    </row>
    <row r="1535" spans="1:4">
      <c r="A1535" s="110" t="s">
        <v>513</v>
      </c>
      <c r="B1535" s="110" t="s">
        <v>298</v>
      </c>
      <c r="C1535" s="110">
        <v>2.0699999999999998</v>
      </c>
      <c r="D1535" s="112">
        <v>42744</v>
      </c>
    </row>
    <row r="1536" spans="1:4">
      <c r="A1536" s="110" t="s">
        <v>512</v>
      </c>
      <c r="B1536" s="110" t="s">
        <v>298</v>
      </c>
      <c r="C1536" s="110">
        <v>2.1429999999999998</v>
      </c>
      <c r="D1536" s="112">
        <v>42744</v>
      </c>
    </row>
    <row r="1537" spans="1:4">
      <c r="A1537" s="110" t="s">
        <v>511</v>
      </c>
      <c r="B1537" s="110" t="s">
        <v>298</v>
      </c>
      <c r="C1537" s="110">
        <v>2.0110000000000001</v>
      </c>
      <c r="D1537" s="112">
        <v>42744</v>
      </c>
    </row>
    <row r="1538" spans="1:4">
      <c r="A1538" s="110" t="s">
        <v>510</v>
      </c>
      <c r="B1538" s="110" t="s">
        <v>298</v>
      </c>
      <c r="C1538" s="110">
        <v>2.1669999999999998</v>
      </c>
      <c r="D1538" s="112">
        <v>42744</v>
      </c>
    </row>
    <row r="1539" spans="1:4">
      <c r="A1539" s="110" t="s">
        <v>509</v>
      </c>
      <c r="B1539" s="110" t="s">
        <v>298</v>
      </c>
      <c r="C1539" s="110">
        <v>2.13</v>
      </c>
      <c r="D1539" s="112">
        <v>42744</v>
      </c>
    </row>
    <row r="1540" spans="1:4">
      <c r="A1540" s="110" t="s">
        <v>508</v>
      </c>
      <c r="B1540" s="110" t="s">
        <v>298</v>
      </c>
      <c r="C1540" s="110">
        <v>2.133</v>
      </c>
      <c r="D1540" s="112">
        <v>42744</v>
      </c>
    </row>
    <row r="1541" spans="1:4">
      <c r="A1541" s="110" t="s">
        <v>507</v>
      </c>
      <c r="B1541" s="110" t="s">
        <v>298</v>
      </c>
      <c r="C1541" s="110">
        <v>2.1269999999999998</v>
      </c>
      <c r="D1541" s="112">
        <v>42744</v>
      </c>
    </row>
    <row r="1542" spans="1:4">
      <c r="A1542" s="110" t="s">
        <v>506</v>
      </c>
      <c r="B1542" s="110" t="s">
        <v>298</v>
      </c>
      <c r="C1542" s="110">
        <v>2.0760000000000001</v>
      </c>
      <c r="D1542" s="112">
        <v>42744</v>
      </c>
    </row>
    <row r="1543" spans="1:4">
      <c r="A1543" s="110" t="s">
        <v>505</v>
      </c>
      <c r="B1543" s="110" t="s">
        <v>298</v>
      </c>
      <c r="C1543" s="110">
        <v>2.0979999999999999</v>
      </c>
      <c r="D1543" s="112">
        <v>42744</v>
      </c>
    </row>
    <row r="1544" spans="1:4">
      <c r="A1544" s="110" t="s">
        <v>504</v>
      </c>
      <c r="B1544" s="110" t="s">
        <v>298</v>
      </c>
      <c r="C1544" s="110">
        <v>2.1320000000000001</v>
      </c>
      <c r="D1544" s="112">
        <v>42744</v>
      </c>
    </row>
    <row r="1545" spans="1:4">
      <c r="A1545" s="110" t="s">
        <v>503</v>
      </c>
      <c r="B1545" s="110" t="s">
        <v>298</v>
      </c>
      <c r="C1545" s="110">
        <v>2.1080000000000001</v>
      </c>
      <c r="D1545" s="112">
        <v>42744</v>
      </c>
    </row>
    <row r="1546" spans="1:4">
      <c r="A1546" s="110" t="s">
        <v>502</v>
      </c>
      <c r="B1546" s="110" t="s">
        <v>298</v>
      </c>
      <c r="C1546" s="110">
        <v>2.129</v>
      </c>
      <c r="D1546" s="112">
        <v>42744</v>
      </c>
    </row>
    <row r="1547" spans="1:4">
      <c r="A1547" s="110" t="s">
        <v>501</v>
      </c>
      <c r="B1547" s="110" t="s">
        <v>298</v>
      </c>
      <c r="C1547" s="110">
        <v>2.1659999999999999</v>
      </c>
      <c r="D1547" s="112">
        <v>42744</v>
      </c>
    </row>
    <row r="1548" spans="1:4">
      <c r="A1548" s="110" t="s">
        <v>500</v>
      </c>
      <c r="B1548" s="110" t="s">
        <v>298</v>
      </c>
      <c r="C1548" s="110">
        <v>2.0840000000000001</v>
      </c>
      <c r="D1548" s="112">
        <v>42744</v>
      </c>
    </row>
    <row r="1549" spans="1:4">
      <c r="A1549" s="110" t="s">
        <v>499</v>
      </c>
      <c r="B1549" s="110" t="s">
        <v>298</v>
      </c>
      <c r="C1549" s="110">
        <v>2.1019999999999999</v>
      </c>
      <c r="D1549" s="112">
        <v>42744</v>
      </c>
    </row>
    <row r="1550" spans="1:4">
      <c r="A1550" s="110" t="s">
        <v>498</v>
      </c>
      <c r="B1550" s="110" t="s">
        <v>298</v>
      </c>
      <c r="C1550" s="110">
        <v>2.1459999999999999</v>
      </c>
      <c r="D1550" s="112">
        <v>42744</v>
      </c>
    </row>
    <row r="1551" spans="1:4">
      <c r="A1551" s="110" t="s">
        <v>497</v>
      </c>
      <c r="B1551" s="110" t="s">
        <v>298</v>
      </c>
      <c r="C1551" s="110">
        <v>2.14</v>
      </c>
      <c r="D1551" s="112">
        <v>42744</v>
      </c>
    </row>
    <row r="1552" spans="1:4">
      <c r="A1552" s="110" t="s">
        <v>496</v>
      </c>
      <c r="B1552" s="110" t="s">
        <v>298</v>
      </c>
      <c r="C1552" s="110">
        <v>2.1930000000000001</v>
      </c>
      <c r="D1552" s="112">
        <v>42744</v>
      </c>
    </row>
    <row r="1553" spans="1:5">
      <c r="A1553" s="110" t="s">
        <v>495</v>
      </c>
      <c r="B1553" s="110" t="s">
        <v>298</v>
      </c>
      <c r="C1553" s="110">
        <v>2.2240000000000002</v>
      </c>
      <c r="D1553" s="112">
        <v>42744</v>
      </c>
    </row>
    <row r="1554" spans="1:5">
      <c r="A1554" s="110" t="s">
        <v>494</v>
      </c>
      <c r="B1554" s="110" t="s">
        <v>298</v>
      </c>
      <c r="C1554" s="110">
        <v>2.2469999999999999</v>
      </c>
      <c r="D1554" s="112">
        <v>42744</v>
      </c>
    </row>
    <row r="1555" spans="1:5">
      <c r="A1555" s="110" t="s">
        <v>493</v>
      </c>
      <c r="B1555" s="110" t="s">
        <v>298</v>
      </c>
      <c r="C1555" s="110">
        <v>2.1480000000000001</v>
      </c>
      <c r="D1555" s="112">
        <v>42744</v>
      </c>
    </row>
    <row r="1556" spans="1:5">
      <c r="A1556" s="110" t="s">
        <v>492</v>
      </c>
      <c r="B1556" s="110" t="s">
        <v>298</v>
      </c>
      <c r="C1556" s="110">
        <v>2.1640000000000001</v>
      </c>
      <c r="D1556" s="112">
        <v>42744</v>
      </c>
    </row>
    <row r="1557" spans="1:5">
      <c r="A1557" s="110" t="s">
        <v>491</v>
      </c>
      <c r="B1557" s="110" t="s">
        <v>298</v>
      </c>
      <c r="C1557" s="110">
        <v>2.1920000000000002</v>
      </c>
      <c r="D1557" s="112">
        <v>42744</v>
      </c>
    </row>
    <row r="1558" spans="1:5">
      <c r="A1558" s="110" t="s">
        <v>490</v>
      </c>
      <c r="B1558" s="110" t="s">
        <v>298</v>
      </c>
      <c r="C1558" s="110">
        <v>2.161</v>
      </c>
      <c r="D1558" s="112">
        <v>42744</v>
      </c>
    </row>
    <row r="1559" spans="1:5">
      <c r="A1559" s="110" t="s">
        <v>489</v>
      </c>
      <c r="B1559" s="110" t="s">
        <v>298</v>
      </c>
      <c r="C1559" s="110">
        <v>2.169</v>
      </c>
      <c r="D1559" s="112">
        <v>42744</v>
      </c>
    </row>
    <row r="1560" spans="1:5">
      <c r="A1560" s="110" t="s">
        <v>488</v>
      </c>
      <c r="B1560" s="110" t="s">
        <v>298</v>
      </c>
      <c r="C1560" s="110">
        <v>2.2349999999999999</v>
      </c>
      <c r="D1560" s="112">
        <v>42744</v>
      </c>
    </row>
    <row r="1561" spans="1:5">
      <c r="A1561" s="110" t="s">
        <v>487</v>
      </c>
      <c r="B1561" s="110" t="s">
        <v>298</v>
      </c>
      <c r="C1561" s="110">
        <v>2.2090000000000001</v>
      </c>
      <c r="D1561" s="112">
        <v>42744</v>
      </c>
    </row>
    <row r="1562" spans="1:5">
      <c r="A1562" s="110" t="s">
        <v>486</v>
      </c>
      <c r="B1562" s="110" t="s">
        <v>298</v>
      </c>
      <c r="C1562" s="110">
        <v>2.1989999999999998</v>
      </c>
      <c r="D1562" s="112">
        <v>42744</v>
      </c>
    </row>
    <row r="1563" spans="1:5">
      <c r="A1563" s="110" t="s">
        <v>485</v>
      </c>
      <c r="B1563" s="110" t="s">
        <v>298</v>
      </c>
      <c r="C1563" s="110">
        <v>2.2040000000000002</v>
      </c>
      <c r="D1563" s="112">
        <v>42744</v>
      </c>
    </row>
    <row r="1564" spans="1:5">
      <c r="A1564" s="110" t="s">
        <v>484</v>
      </c>
      <c r="B1564" s="110" t="s">
        <v>298</v>
      </c>
      <c r="C1564" s="110">
        <v>2.1779999999999999</v>
      </c>
      <c r="D1564" s="112">
        <v>42744</v>
      </c>
    </row>
    <row r="1565" spans="1:5">
      <c r="A1565" s="176" t="s">
        <v>483</v>
      </c>
      <c r="B1565" s="176" t="s">
        <v>298</v>
      </c>
      <c r="C1565" s="176">
        <v>2.206</v>
      </c>
      <c r="D1565" s="177">
        <v>42744</v>
      </c>
      <c r="E1565" s="176" t="s">
        <v>2479</v>
      </c>
    </row>
    <row r="1566" spans="1:5">
      <c r="A1566" s="110" t="s">
        <v>482</v>
      </c>
      <c r="B1566" s="110" t="s">
        <v>298</v>
      </c>
      <c r="C1566" s="110">
        <v>2.2509999999999999</v>
      </c>
      <c r="D1566" s="112">
        <v>42744</v>
      </c>
    </row>
    <row r="1567" spans="1:5">
      <c r="A1567" s="110" t="s">
        <v>481</v>
      </c>
      <c r="B1567" s="110" t="s">
        <v>298</v>
      </c>
      <c r="C1567" s="110">
        <v>2.2080000000000002</v>
      </c>
      <c r="D1567" s="112">
        <v>42744</v>
      </c>
    </row>
    <row r="1568" spans="1:5">
      <c r="A1568" s="110" t="s">
        <v>480</v>
      </c>
      <c r="B1568" s="110" t="s">
        <v>298</v>
      </c>
      <c r="C1568" s="110">
        <v>2.2349999999999999</v>
      </c>
      <c r="D1568" s="112">
        <v>42744</v>
      </c>
    </row>
    <row r="1569" spans="1:5">
      <c r="A1569" s="110" t="s">
        <v>479</v>
      </c>
      <c r="B1569" s="110" t="s">
        <v>298</v>
      </c>
      <c r="C1569" s="110">
        <v>2.2080000000000002</v>
      </c>
      <c r="D1569" s="112">
        <v>42744</v>
      </c>
    </row>
    <row r="1570" spans="1:5">
      <c r="A1570" s="110" t="s">
        <v>478</v>
      </c>
      <c r="B1570" s="110" t="s">
        <v>298</v>
      </c>
      <c r="C1570" s="110">
        <v>2.1629999999999998</v>
      </c>
      <c r="D1570" s="112">
        <v>42744</v>
      </c>
    </row>
    <row r="1571" spans="1:5">
      <c r="A1571" s="176" t="s">
        <v>477</v>
      </c>
      <c r="B1571" s="176" t="s">
        <v>298</v>
      </c>
      <c r="C1571" s="176">
        <v>2.1259999999999999</v>
      </c>
      <c r="D1571" s="177">
        <v>42744</v>
      </c>
      <c r="E1571" s="176" t="s">
        <v>2479</v>
      </c>
    </row>
    <row r="1572" spans="1:5">
      <c r="A1572" s="110" t="s">
        <v>476</v>
      </c>
      <c r="B1572" s="110" t="s">
        <v>298</v>
      </c>
      <c r="C1572" s="110">
        <v>2.105</v>
      </c>
      <c r="D1572" s="112">
        <v>42744</v>
      </c>
    </row>
    <row r="1573" spans="1:5">
      <c r="A1573" s="110" t="s">
        <v>475</v>
      </c>
      <c r="B1573" s="110" t="s">
        <v>298</v>
      </c>
      <c r="C1573" s="110">
        <v>2.09</v>
      </c>
      <c r="D1573" s="112">
        <v>42744</v>
      </c>
    </row>
    <row r="1574" spans="1:5">
      <c r="A1574" s="110" t="s">
        <v>474</v>
      </c>
      <c r="B1574" s="110" t="s">
        <v>298</v>
      </c>
      <c r="C1574" s="110">
        <v>2.1579999999999999</v>
      </c>
      <c r="D1574" s="112">
        <v>42744</v>
      </c>
    </row>
    <row r="1575" spans="1:5">
      <c r="A1575" s="110" t="s">
        <v>473</v>
      </c>
      <c r="B1575" s="110" t="s">
        <v>298</v>
      </c>
      <c r="C1575" s="110">
        <v>2.15</v>
      </c>
      <c r="D1575" s="112">
        <v>42744</v>
      </c>
    </row>
    <row r="1576" spans="1:5">
      <c r="A1576" s="110" t="s">
        <v>472</v>
      </c>
      <c r="B1576" s="110" t="s">
        <v>298</v>
      </c>
      <c r="C1576" s="110">
        <v>2.1949999999999998</v>
      </c>
      <c r="D1576" s="112">
        <v>42744</v>
      </c>
    </row>
    <row r="1577" spans="1:5">
      <c r="A1577" s="110" t="s">
        <v>471</v>
      </c>
      <c r="B1577" s="110" t="s">
        <v>298</v>
      </c>
      <c r="C1577" s="110">
        <v>2.1419999999999999</v>
      </c>
      <c r="D1577" s="112">
        <v>42744</v>
      </c>
    </row>
    <row r="1578" spans="1:5">
      <c r="A1578" s="110" t="s">
        <v>470</v>
      </c>
      <c r="B1578" s="110" t="s">
        <v>298</v>
      </c>
      <c r="C1578" s="110">
        <v>2.1480000000000001</v>
      </c>
      <c r="D1578" s="112">
        <v>42744</v>
      </c>
    </row>
    <row r="1579" spans="1:5">
      <c r="A1579" s="110" t="s">
        <v>469</v>
      </c>
      <c r="B1579" s="110" t="s">
        <v>298</v>
      </c>
      <c r="C1579" s="110">
        <v>2.1059999999999999</v>
      </c>
      <c r="D1579" s="112">
        <v>42744</v>
      </c>
    </row>
    <row r="1580" spans="1:5">
      <c r="A1580" s="110" t="s">
        <v>468</v>
      </c>
      <c r="B1580" s="110" t="s">
        <v>298</v>
      </c>
      <c r="C1580" s="110">
        <v>2.202</v>
      </c>
      <c r="D1580" s="112">
        <v>42744</v>
      </c>
    </row>
    <row r="1581" spans="1:5">
      <c r="A1581" s="110" t="s">
        <v>467</v>
      </c>
      <c r="B1581" s="110" t="s">
        <v>298</v>
      </c>
      <c r="C1581" s="110">
        <v>2.161</v>
      </c>
      <c r="D1581" s="112">
        <v>42744</v>
      </c>
    </row>
    <row r="1582" spans="1:5">
      <c r="A1582" s="110" t="s">
        <v>466</v>
      </c>
      <c r="B1582" s="110" t="s">
        <v>298</v>
      </c>
      <c r="C1582" s="110">
        <v>2.121</v>
      </c>
      <c r="D1582" s="112">
        <v>42744</v>
      </c>
    </row>
    <row r="1583" spans="1:5">
      <c r="A1583" s="110" t="s">
        <v>465</v>
      </c>
      <c r="B1583" s="110" t="s">
        <v>298</v>
      </c>
      <c r="C1583" s="110">
        <v>2.1629999999999998</v>
      </c>
      <c r="D1583" s="112">
        <v>42744</v>
      </c>
    </row>
    <row r="1584" spans="1:5">
      <c r="A1584" s="110" t="s">
        <v>464</v>
      </c>
      <c r="B1584" s="110" t="s">
        <v>298</v>
      </c>
      <c r="C1584" s="110">
        <v>2.2069999999999999</v>
      </c>
      <c r="D1584" s="112">
        <v>42744</v>
      </c>
    </row>
    <row r="1585" spans="1:4">
      <c r="A1585" s="110" t="s">
        <v>463</v>
      </c>
      <c r="B1585" s="110" t="s">
        <v>298</v>
      </c>
      <c r="C1585" s="110">
        <v>2.1459999999999999</v>
      </c>
      <c r="D1585" s="112">
        <v>42744</v>
      </c>
    </row>
    <row r="1586" spans="1:4">
      <c r="A1586" s="110" t="s">
        <v>462</v>
      </c>
      <c r="B1586" s="110" t="s">
        <v>298</v>
      </c>
      <c r="C1586" s="110">
        <v>2.1240000000000001</v>
      </c>
      <c r="D1586" s="112">
        <v>42744</v>
      </c>
    </row>
    <row r="1587" spans="1:4">
      <c r="A1587" s="110" t="s">
        <v>461</v>
      </c>
      <c r="B1587" s="110" t="s">
        <v>298</v>
      </c>
      <c r="C1587" s="110">
        <v>2.1320000000000001</v>
      </c>
      <c r="D1587" s="112">
        <v>42744</v>
      </c>
    </row>
    <row r="1588" spans="1:4">
      <c r="A1588" s="110" t="s">
        <v>460</v>
      </c>
      <c r="B1588" s="110" t="s">
        <v>298</v>
      </c>
      <c r="C1588" s="110">
        <v>2.149</v>
      </c>
      <c r="D1588" s="112">
        <v>42744</v>
      </c>
    </row>
    <row r="1589" spans="1:4">
      <c r="A1589" s="110" t="s">
        <v>459</v>
      </c>
      <c r="B1589" s="110" t="s">
        <v>298</v>
      </c>
      <c r="C1589" s="110">
        <v>2.1080000000000001</v>
      </c>
      <c r="D1589" s="112">
        <v>42744</v>
      </c>
    </row>
    <row r="1590" spans="1:4">
      <c r="A1590" s="110" t="s">
        <v>458</v>
      </c>
      <c r="B1590" s="110" t="s">
        <v>298</v>
      </c>
      <c r="C1590" s="110">
        <v>2.1859999999999999</v>
      </c>
      <c r="D1590" s="112">
        <v>42744</v>
      </c>
    </row>
    <row r="1591" spans="1:4">
      <c r="A1591" s="110" t="s">
        <v>457</v>
      </c>
      <c r="B1591" s="110" t="s">
        <v>298</v>
      </c>
      <c r="C1591" s="110">
        <v>2.1720000000000002</v>
      </c>
      <c r="D1591" s="112">
        <v>42744</v>
      </c>
    </row>
    <row r="1592" spans="1:4">
      <c r="A1592" s="110" t="s">
        <v>456</v>
      </c>
      <c r="B1592" s="110" t="s">
        <v>298</v>
      </c>
      <c r="C1592" s="110">
        <v>2.141</v>
      </c>
      <c r="D1592" s="112">
        <v>42744</v>
      </c>
    </row>
    <row r="1593" spans="1:4">
      <c r="A1593" s="110" t="s">
        <v>455</v>
      </c>
      <c r="B1593" s="110" t="s">
        <v>298</v>
      </c>
      <c r="C1593" s="110">
        <v>2.1139999999999999</v>
      </c>
      <c r="D1593" s="112">
        <v>42744</v>
      </c>
    </row>
    <row r="1594" spans="1:4">
      <c r="A1594" s="110" t="s">
        <v>454</v>
      </c>
      <c r="B1594" s="110" t="s">
        <v>298</v>
      </c>
      <c r="C1594" s="110">
        <v>2.1629999999999998</v>
      </c>
      <c r="D1594" s="112">
        <v>42744</v>
      </c>
    </row>
    <row r="1595" spans="1:4">
      <c r="A1595" s="110" t="s">
        <v>453</v>
      </c>
      <c r="B1595" s="110" t="s">
        <v>298</v>
      </c>
      <c r="C1595" s="110">
        <v>2.1890000000000001</v>
      </c>
      <c r="D1595" s="112">
        <v>42744</v>
      </c>
    </row>
    <row r="1596" spans="1:4">
      <c r="A1596" s="110" t="s">
        <v>452</v>
      </c>
      <c r="B1596" s="110" t="s">
        <v>298</v>
      </c>
      <c r="C1596" s="110">
        <v>2.2029999999999998</v>
      </c>
      <c r="D1596" s="112">
        <v>42744</v>
      </c>
    </row>
    <row r="1597" spans="1:4">
      <c r="A1597" s="110" t="s">
        <v>451</v>
      </c>
      <c r="B1597" s="110" t="s">
        <v>298</v>
      </c>
      <c r="C1597" s="110">
        <v>2.1709999999999998</v>
      </c>
      <c r="D1597" s="112">
        <v>42744</v>
      </c>
    </row>
    <row r="1598" spans="1:4">
      <c r="A1598" s="110" t="s">
        <v>450</v>
      </c>
      <c r="B1598" s="110" t="s">
        <v>298</v>
      </c>
      <c r="C1598" s="110">
        <v>2.11</v>
      </c>
      <c r="D1598" s="112">
        <v>42744</v>
      </c>
    </row>
    <row r="1599" spans="1:4">
      <c r="A1599" s="110" t="s">
        <v>449</v>
      </c>
      <c r="B1599" s="110" t="s">
        <v>298</v>
      </c>
      <c r="C1599" s="110">
        <v>2.141</v>
      </c>
      <c r="D1599" s="112">
        <v>42744</v>
      </c>
    </row>
    <row r="1600" spans="1:4">
      <c r="A1600" s="110" t="s">
        <v>448</v>
      </c>
      <c r="B1600" s="110" t="s">
        <v>298</v>
      </c>
      <c r="C1600" s="110">
        <v>2.1859999999999999</v>
      </c>
      <c r="D1600" s="112">
        <v>42744</v>
      </c>
    </row>
    <row r="1601" spans="1:5">
      <c r="A1601" s="110" t="s">
        <v>447</v>
      </c>
      <c r="B1601" s="110" t="s">
        <v>298</v>
      </c>
      <c r="C1601" s="110">
        <v>2.1419999999999999</v>
      </c>
      <c r="D1601" s="112">
        <v>42744</v>
      </c>
    </row>
    <row r="1602" spans="1:5">
      <c r="A1602" s="110" t="s">
        <v>446</v>
      </c>
      <c r="B1602" s="110" t="s">
        <v>298</v>
      </c>
      <c r="C1602" s="110">
        <v>2.1789999999999998</v>
      </c>
      <c r="D1602" s="112">
        <v>42744</v>
      </c>
    </row>
    <row r="1603" spans="1:5">
      <c r="A1603" s="110" t="s">
        <v>445</v>
      </c>
      <c r="B1603" s="110" t="s">
        <v>298</v>
      </c>
      <c r="C1603" s="110">
        <v>2.23</v>
      </c>
      <c r="D1603" s="112">
        <v>42744</v>
      </c>
    </row>
    <row r="1604" spans="1:5">
      <c r="A1604" s="110" t="s">
        <v>444</v>
      </c>
      <c r="B1604" s="110" t="s">
        <v>298</v>
      </c>
      <c r="C1604" s="110">
        <v>2.1789999999999998</v>
      </c>
      <c r="D1604" s="112">
        <v>42744</v>
      </c>
    </row>
    <row r="1605" spans="1:5">
      <c r="A1605" s="110" t="s">
        <v>443</v>
      </c>
      <c r="B1605" s="110" t="s">
        <v>298</v>
      </c>
      <c r="C1605" s="110">
        <v>2.1389999999999998</v>
      </c>
      <c r="D1605" s="112">
        <v>42744</v>
      </c>
    </row>
    <row r="1606" spans="1:5">
      <c r="A1606" s="110" t="s">
        <v>442</v>
      </c>
      <c r="B1606" s="110" t="s">
        <v>298</v>
      </c>
      <c r="C1606" s="110">
        <v>2.133</v>
      </c>
      <c r="D1606" s="112">
        <v>42744</v>
      </c>
    </row>
    <row r="1607" spans="1:5">
      <c r="A1607" s="110" t="s">
        <v>441</v>
      </c>
      <c r="B1607" s="110" t="s">
        <v>298</v>
      </c>
      <c r="C1607" s="110">
        <v>2.1779999999999999</v>
      </c>
      <c r="D1607" s="112">
        <v>42744</v>
      </c>
    </row>
    <row r="1608" spans="1:5">
      <c r="A1608" s="110" t="s">
        <v>440</v>
      </c>
      <c r="B1608" s="110" t="s">
        <v>298</v>
      </c>
      <c r="C1608" s="110">
        <v>2.157</v>
      </c>
      <c r="D1608" s="112">
        <v>42744</v>
      </c>
    </row>
    <row r="1609" spans="1:5">
      <c r="A1609" s="176" t="s">
        <v>439</v>
      </c>
      <c r="B1609" s="176" t="s">
        <v>298</v>
      </c>
      <c r="C1609" s="176">
        <v>2.1890000000000001</v>
      </c>
      <c r="D1609" s="177">
        <v>42744</v>
      </c>
      <c r="E1609" s="176" t="s">
        <v>2479</v>
      </c>
    </row>
    <row r="1610" spans="1:5">
      <c r="A1610" s="110" t="s">
        <v>438</v>
      </c>
      <c r="B1610" s="110" t="s">
        <v>298</v>
      </c>
      <c r="C1610" s="110">
        <v>2.1549999999999998</v>
      </c>
      <c r="D1610" s="112">
        <v>42744</v>
      </c>
    </row>
    <row r="1611" spans="1:5">
      <c r="A1611" s="110" t="s">
        <v>437</v>
      </c>
      <c r="B1611" s="110" t="s">
        <v>298</v>
      </c>
      <c r="C1611" s="110">
        <v>2.2010000000000001</v>
      </c>
      <c r="D1611" s="112">
        <v>42744</v>
      </c>
    </row>
    <row r="1612" spans="1:5">
      <c r="A1612" s="110" t="s">
        <v>436</v>
      </c>
      <c r="B1612" s="110" t="s">
        <v>298</v>
      </c>
      <c r="C1612" s="110">
        <v>2.1379999999999999</v>
      </c>
      <c r="D1612" s="112">
        <v>42744</v>
      </c>
    </row>
    <row r="1613" spans="1:5">
      <c r="A1613" s="110" t="s">
        <v>435</v>
      </c>
      <c r="B1613" s="110" t="s">
        <v>298</v>
      </c>
      <c r="C1613" s="110">
        <v>2.1480000000000001</v>
      </c>
      <c r="D1613" s="112">
        <v>42744</v>
      </c>
    </row>
    <row r="1614" spans="1:5">
      <c r="A1614" s="110" t="s">
        <v>434</v>
      </c>
      <c r="B1614" s="110" t="s">
        <v>298</v>
      </c>
      <c r="C1614" s="110">
        <v>2.1859999999999999</v>
      </c>
      <c r="D1614" s="112">
        <v>42744</v>
      </c>
    </row>
    <row r="1615" spans="1:5">
      <c r="A1615" s="110" t="s">
        <v>433</v>
      </c>
      <c r="B1615" s="110" t="s">
        <v>298</v>
      </c>
      <c r="C1615" s="110">
        <v>2.1480000000000001</v>
      </c>
      <c r="D1615" s="112">
        <v>42744</v>
      </c>
    </row>
    <row r="1616" spans="1:5">
      <c r="A1616" s="110" t="s">
        <v>432</v>
      </c>
      <c r="B1616" s="110" t="s">
        <v>298</v>
      </c>
      <c r="C1616" s="110">
        <v>2.145</v>
      </c>
      <c r="D1616" s="112">
        <v>42744</v>
      </c>
    </row>
    <row r="1617" spans="1:4">
      <c r="A1617" s="110" t="s">
        <v>431</v>
      </c>
      <c r="B1617" s="110" t="s">
        <v>298</v>
      </c>
      <c r="C1617" s="110">
        <v>2.157</v>
      </c>
      <c r="D1617" s="112">
        <v>42744</v>
      </c>
    </row>
    <row r="1618" spans="1:4">
      <c r="A1618" s="110" t="s">
        <v>430</v>
      </c>
      <c r="B1618" s="110" t="s">
        <v>298</v>
      </c>
      <c r="C1618" s="110">
        <v>2.157</v>
      </c>
      <c r="D1618" s="112">
        <v>42744</v>
      </c>
    </row>
    <row r="1619" spans="1:4">
      <c r="A1619" s="110" t="s">
        <v>429</v>
      </c>
      <c r="B1619" s="110" t="s">
        <v>298</v>
      </c>
      <c r="C1619" s="110">
        <v>2.1070000000000002</v>
      </c>
      <c r="D1619" s="112">
        <v>42744</v>
      </c>
    </row>
    <row r="1620" spans="1:4">
      <c r="A1620" s="110" t="s">
        <v>428</v>
      </c>
      <c r="B1620" s="110" t="s">
        <v>298</v>
      </c>
      <c r="C1620" s="110">
        <v>2.13</v>
      </c>
      <c r="D1620" s="112">
        <v>42744</v>
      </c>
    </row>
    <row r="1621" spans="1:4">
      <c r="A1621" s="110" t="s">
        <v>427</v>
      </c>
      <c r="B1621" s="110" t="s">
        <v>298</v>
      </c>
      <c r="C1621" s="110">
        <v>2.161</v>
      </c>
      <c r="D1621" s="112">
        <v>42744</v>
      </c>
    </row>
    <row r="1622" spans="1:4">
      <c r="A1622" s="110" t="s">
        <v>426</v>
      </c>
      <c r="B1622" s="110" t="s">
        <v>298</v>
      </c>
      <c r="C1622" s="110">
        <v>2.1619999999999999</v>
      </c>
      <c r="D1622" s="112">
        <v>42744</v>
      </c>
    </row>
    <row r="1623" spans="1:4">
      <c r="A1623" s="110" t="s">
        <v>425</v>
      </c>
      <c r="B1623" s="110" t="s">
        <v>298</v>
      </c>
      <c r="C1623" s="110">
        <v>2.1560000000000001</v>
      </c>
      <c r="D1623" s="112">
        <v>42744</v>
      </c>
    </row>
    <row r="1624" spans="1:4">
      <c r="A1624" s="110" t="s">
        <v>424</v>
      </c>
      <c r="B1624" s="110" t="s">
        <v>298</v>
      </c>
      <c r="C1624" s="110">
        <v>2.161</v>
      </c>
      <c r="D1624" s="112">
        <v>42744</v>
      </c>
    </row>
    <row r="1625" spans="1:4">
      <c r="A1625" s="110" t="s">
        <v>423</v>
      </c>
      <c r="B1625" s="110" t="s">
        <v>298</v>
      </c>
      <c r="C1625" s="110">
        <v>2.2280000000000002</v>
      </c>
      <c r="D1625" s="112">
        <v>42744</v>
      </c>
    </row>
    <row r="1626" spans="1:4">
      <c r="A1626" s="110" t="s">
        <v>422</v>
      </c>
      <c r="B1626" s="110" t="s">
        <v>298</v>
      </c>
      <c r="C1626" s="110">
        <v>2.1619999999999999</v>
      </c>
      <c r="D1626" s="112">
        <v>42744</v>
      </c>
    </row>
    <row r="1627" spans="1:4">
      <c r="A1627" s="110" t="s">
        <v>421</v>
      </c>
      <c r="B1627" s="110" t="s">
        <v>298</v>
      </c>
      <c r="C1627" s="110">
        <v>2.2050000000000001</v>
      </c>
      <c r="D1627" s="112">
        <v>42744</v>
      </c>
    </row>
    <row r="1628" spans="1:4">
      <c r="A1628" s="110" t="s">
        <v>420</v>
      </c>
      <c r="B1628" s="110" t="s">
        <v>298</v>
      </c>
      <c r="C1628" s="110">
        <v>2.2050000000000001</v>
      </c>
      <c r="D1628" s="112">
        <v>42744</v>
      </c>
    </row>
    <row r="1629" spans="1:4">
      <c r="A1629" s="110" t="s">
        <v>419</v>
      </c>
      <c r="B1629" s="110" t="s">
        <v>298</v>
      </c>
      <c r="C1629" s="110">
        <v>2.2080000000000002</v>
      </c>
      <c r="D1629" s="112">
        <v>42744</v>
      </c>
    </row>
    <row r="1630" spans="1:4">
      <c r="A1630" s="110" t="s">
        <v>418</v>
      </c>
      <c r="B1630" s="110" t="s">
        <v>298</v>
      </c>
      <c r="C1630" s="110">
        <v>2.2229999999999999</v>
      </c>
      <c r="D1630" s="112">
        <v>42792</v>
      </c>
    </row>
    <row r="1631" spans="1:4">
      <c r="A1631" s="110" t="s">
        <v>417</v>
      </c>
      <c r="B1631" s="110" t="s">
        <v>298</v>
      </c>
      <c r="C1631" s="110">
        <v>2.2069999999999999</v>
      </c>
      <c r="D1631" s="112">
        <v>42792</v>
      </c>
    </row>
    <row r="1632" spans="1:4">
      <c r="A1632" s="110" t="s">
        <v>416</v>
      </c>
      <c r="B1632" s="110" t="s">
        <v>298</v>
      </c>
      <c r="C1632" s="110">
        <v>2.2559999999999998</v>
      </c>
      <c r="D1632" s="112">
        <v>42792</v>
      </c>
    </row>
    <row r="1633" spans="1:6">
      <c r="A1633" s="110" t="s">
        <v>415</v>
      </c>
      <c r="B1633" s="110" t="s">
        <v>298</v>
      </c>
      <c r="C1633" s="110">
        <v>2.149</v>
      </c>
      <c r="D1633" s="112">
        <v>42792</v>
      </c>
    </row>
    <row r="1634" spans="1:6">
      <c r="A1634" s="110" t="s">
        <v>414</v>
      </c>
      <c r="B1634" s="110" t="s">
        <v>298</v>
      </c>
      <c r="C1634" s="110">
        <v>2.1930000000000001</v>
      </c>
      <c r="D1634" s="112">
        <v>42792</v>
      </c>
      <c r="E1634" s="111" t="s">
        <v>297</v>
      </c>
      <c r="F1634" s="110" t="s">
        <v>296</v>
      </c>
    </row>
    <row r="1635" spans="1:6">
      <c r="A1635" s="110" t="s">
        <v>413</v>
      </c>
      <c r="B1635" s="110" t="s">
        <v>298</v>
      </c>
      <c r="C1635" s="110">
        <v>2.2810000000000001</v>
      </c>
      <c r="D1635" s="112">
        <v>42792</v>
      </c>
      <c r="E1635" s="111" t="s">
        <v>297</v>
      </c>
      <c r="F1635" s="110" t="s">
        <v>296</v>
      </c>
    </row>
    <row r="1636" spans="1:6">
      <c r="A1636" s="110" t="s">
        <v>412</v>
      </c>
      <c r="B1636" s="110" t="s">
        <v>298</v>
      </c>
      <c r="C1636" s="110">
        <v>2.1629999999999998</v>
      </c>
      <c r="D1636" s="112">
        <v>42792</v>
      </c>
      <c r="E1636" s="111" t="s">
        <v>297</v>
      </c>
      <c r="F1636" s="110" t="s">
        <v>296</v>
      </c>
    </row>
    <row r="1637" spans="1:6">
      <c r="A1637" s="110" t="s">
        <v>411</v>
      </c>
      <c r="B1637" s="110" t="s">
        <v>298</v>
      </c>
      <c r="C1637" s="110">
        <v>2.2429999999999999</v>
      </c>
      <c r="D1637" s="112">
        <v>42792</v>
      </c>
      <c r="E1637" s="111" t="s">
        <v>297</v>
      </c>
      <c r="F1637" s="110" t="s">
        <v>296</v>
      </c>
    </row>
    <row r="1638" spans="1:6">
      <c r="A1638" s="110" t="s">
        <v>410</v>
      </c>
      <c r="B1638" s="110" t="s">
        <v>298</v>
      </c>
      <c r="C1638" s="110">
        <v>2.1970000000000001</v>
      </c>
      <c r="D1638" s="112">
        <v>42792</v>
      </c>
      <c r="E1638" s="111" t="s">
        <v>297</v>
      </c>
      <c r="F1638" s="110" t="s">
        <v>296</v>
      </c>
    </row>
    <row r="1639" spans="1:6">
      <c r="A1639" s="110" t="s">
        <v>409</v>
      </c>
      <c r="B1639" s="110" t="s">
        <v>298</v>
      </c>
      <c r="C1639" s="110">
        <v>2.1509999999999998</v>
      </c>
      <c r="D1639" s="112">
        <v>42792</v>
      </c>
      <c r="E1639" s="111" t="s">
        <v>297</v>
      </c>
      <c r="F1639" s="110" t="s">
        <v>296</v>
      </c>
    </row>
    <row r="1640" spans="1:6">
      <c r="A1640" s="110" t="s">
        <v>408</v>
      </c>
      <c r="B1640" s="110" t="s">
        <v>298</v>
      </c>
      <c r="C1640" s="110">
        <v>2.2480000000000002</v>
      </c>
      <c r="D1640" s="112">
        <v>42792</v>
      </c>
      <c r="E1640" s="111" t="s">
        <v>297</v>
      </c>
      <c r="F1640" s="110" t="s">
        <v>296</v>
      </c>
    </row>
    <row r="1641" spans="1:6">
      <c r="A1641" s="110" t="s">
        <v>407</v>
      </c>
      <c r="B1641" s="110" t="s">
        <v>298</v>
      </c>
      <c r="C1641" s="110">
        <v>2.2189999999999999</v>
      </c>
      <c r="D1641" s="112">
        <v>42792</v>
      </c>
      <c r="E1641" s="111" t="s">
        <v>297</v>
      </c>
      <c r="F1641" s="110" t="s">
        <v>296</v>
      </c>
    </row>
    <row r="1642" spans="1:6">
      <c r="A1642" s="110" t="s">
        <v>406</v>
      </c>
      <c r="B1642" s="110" t="s">
        <v>298</v>
      </c>
      <c r="C1642" s="110">
        <v>2.181</v>
      </c>
      <c r="D1642" s="112">
        <v>42792</v>
      </c>
      <c r="E1642" s="111" t="s">
        <v>297</v>
      </c>
      <c r="F1642" s="110" t="s">
        <v>296</v>
      </c>
    </row>
    <row r="1643" spans="1:6">
      <c r="A1643" s="110" t="s">
        <v>405</v>
      </c>
      <c r="B1643" s="110" t="s">
        <v>298</v>
      </c>
      <c r="C1643" s="110">
        <v>2.1589999999999998</v>
      </c>
      <c r="D1643" s="112">
        <v>42792</v>
      </c>
      <c r="E1643" s="111" t="s">
        <v>297</v>
      </c>
      <c r="F1643" s="110" t="s">
        <v>296</v>
      </c>
    </row>
    <row r="1644" spans="1:6">
      <c r="A1644" s="110" t="s">
        <v>404</v>
      </c>
      <c r="B1644" s="110" t="s">
        <v>298</v>
      </c>
      <c r="C1644" s="110">
        <v>2.12</v>
      </c>
      <c r="D1644" s="112">
        <v>42792</v>
      </c>
      <c r="E1644" s="111" t="s">
        <v>297</v>
      </c>
      <c r="F1644" s="110" t="s">
        <v>296</v>
      </c>
    </row>
    <row r="1645" spans="1:6">
      <c r="A1645" s="110" t="s">
        <v>403</v>
      </c>
      <c r="B1645" s="110" t="s">
        <v>298</v>
      </c>
      <c r="C1645" s="110">
        <v>2.2189999999999999</v>
      </c>
      <c r="D1645" s="112">
        <v>42792</v>
      </c>
      <c r="E1645" s="111" t="s">
        <v>297</v>
      </c>
      <c r="F1645" s="110" t="s">
        <v>296</v>
      </c>
    </row>
    <row r="1646" spans="1:6">
      <c r="A1646" s="110" t="s">
        <v>402</v>
      </c>
      <c r="B1646" s="110" t="s">
        <v>298</v>
      </c>
      <c r="C1646" s="110">
        <v>2.222</v>
      </c>
      <c r="D1646" s="112">
        <v>42792</v>
      </c>
      <c r="E1646" s="111" t="s">
        <v>297</v>
      </c>
      <c r="F1646" s="110" t="s">
        <v>296</v>
      </c>
    </row>
    <row r="1647" spans="1:6">
      <c r="A1647" s="110" t="s">
        <v>401</v>
      </c>
      <c r="B1647" s="110" t="s">
        <v>298</v>
      </c>
      <c r="C1647" s="110">
        <v>2.1890000000000001</v>
      </c>
      <c r="D1647" s="112">
        <v>42792</v>
      </c>
      <c r="E1647" s="111" t="s">
        <v>297</v>
      </c>
      <c r="F1647" s="110" t="s">
        <v>296</v>
      </c>
    </row>
    <row r="1648" spans="1:6">
      <c r="A1648" s="110" t="s">
        <v>400</v>
      </c>
      <c r="B1648" s="110" t="s">
        <v>298</v>
      </c>
      <c r="C1648" s="110">
        <v>2.222</v>
      </c>
      <c r="D1648" s="112">
        <v>42792</v>
      </c>
      <c r="E1648" s="111" t="s">
        <v>297</v>
      </c>
      <c r="F1648" s="110" t="s">
        <v>296</v>
      </c>
    </row>
    <row r="1649" spans="1:6">
      <c r="A1649" s="110" t="s">
        <v>399</v>
      </c>
      <c r="B1649" s="110" t="s">
        <v>298</v>
      </c>
      <c r="C1649" s="110">
        <v>2.161</v>
      </c>
      <c r="D1649" s="112">
        <v>42792</v>
      </c>
      <c r="E1649" s="111" t="s">
        <v>297</v>
      </c>
      <c r="F1649" s="110" t="s">
        <v>296</v>
      </c>
    </row>
    <row r="1650" spans="1:6">
      <c r="A1650" s="110" t="s">
        <v>398</v>
      </c>
      <c r="B1650" s="110" t="s">
        <v>298</v>
      </c>
      <c r="C1650" s="110">
        <v>2.262</v>
      </c>
      <c r="D1650" s="112">
        <v>42792</v>
      </c>
      <c r="E1650" s="111" t="s">
        <v>297</v>
      </c>
      <c r="F1650" s="110" t="s">
        <v>296</v>
      </c>
    </row>
    <row r="1651" spans="1:6">
      <c r="A1651" s="110" t="s">
        <v>397</v>
      </c>
      <c r="B1651" s="110" t="s">
        <v>298</v>
      </c>
      <c r="C1651" s="110">
        <v>2.1259999999999999</v>
      </c>
      <c r="D1651" s="112">
        <v>42792</v>
      </c>
      <c r="E1651" s="111" t="s">
        <v>297</v>
      </c>
      <c r="F1651" s="110" t="s">
        <v>296</v>
      </c>
    </row>
    <row r="1652" spans="1:6">
      <c r="A1652" s="110" t="s">
        <v>396</v>
      </c>
      <c r="B1652" s="110" t="s">
        <v>298</v>
      </c>
      <c r="C1652" s="110">
        <v>2.2480000000000002</v>
      </c>
      <c r="D1652" s="112">
        <v>42792</v>
      </c>
      <c r="E1652" s="111" t="s">
        <v>297</v>
      </c>
      <c r="F1652" s="110" t="s">
        <v>296</v>
      </c>
    </row>
    <row r="1653" spans="1:6">
      <c r="A1653" s="110" t="s">
        <v>395</v>
      </c>
      <c r="B1653" s="110" t="s">
        <v>298</v>
      </c>
      <c r="C1653" s="110">
        <v>2.2280000000000002</v>
      </c>
      <c r="D1653" s="112">
        <v>42792</v>
      </c>
      <c r="E1653" s="111" t="s">
        <v>297</v>
      </c>
      <c r="F1653" s="110" t="s">
        <v>296</v>
      </c>
    </row>
    <row r="1654" spans="1:6">
      <c r="A1654" s="110" t="s">
        <v>394</v>
      </c>
      <c r="B1654" s="110" t="s">
        <v>298</v>
      </c>
      <c r="C1654" s="110">
        <v>2.2909999999999999</v>
      </c>
      <c r="D1654" s="112">
        <v>42792</v>
      </c>
      <c r="E1654" s="111" t="s">
        <v>297</v>
      </c>
      <c r="F1654" s="110" t="s">
        <v>296</v>
      </c>
    </row>
    <row r="1655" spans="1:6">
      <c r="A1655" s="110" t="s">
        <v>393</v>
      </c>
      <c r="B1655" s="110" t="s">
        <v>298</v>
      </c>
      <c r="C1655" s="110">
        <v>2.2290000000000001</v>
      </c>
      <c r="D1655" s="112">
        <v>42792</v>
      </c>
      <c r="E1655" s="111" t="s">
        <v>297</v>
      </c>
      <c r="F1655" s="110" t="s">
        <v>296</v>
      </c>
    </row>
    <row r="1656" spans="1:6">
      <c r="A1656" s="110" t="s">
        <v>392</v>
      </c>
      <c r="B1656" s="110" t="s">
        <v>298</v>
      </c>
      <c r="C1656" s="110">
        <v>2.1549999999999998</v>
      </c>
      <c r="D1656" s="112">
        <v>42792</v>
      </c>
      <c r="E1656" s="111" t="s">
        <v>297</v>
      </c>
      <c r="F1656" s="110" t="s">
        <v>296</v>
      </c>
    </row>
    <row r="1657" spans="1:6">
      <c r="A1657" s="110" t="s">
        <v>391</v>
      </c>
      <c r="B1657" s="110" t="s">
        <v>298</v>
      </c>
      <c r="C1657" s="110">
        <v>2.1829999999999998</v>
      </c>
      <c r="D1657" s="112">
        <v>42792</v>
      </c>
      <c r="E1657" s="111" t="s">
        <v>297</v>
      </c>
      <c r="F1657" s="110" t="s">
        <v>296</v>
      </c>
    </row>
    <row r="1658" spans="1:6">
      <c r="A1658" s="110" t="s">
        <v>390</v>
      </c>
      <c r="B1658" s="110" t="s">
        <v>298</v>
      </c>
      <c r="C1658" s="110">
        <v>2.2050000000000001</v>
      </c>
      <c r="D1658" s="112">
        <v>42792</v>
      </c>
      <c r="E1658" s="111" t="s">
        <v>297</v>
      </c>
      <c r="F1658" s="110" t="s">
        <v>296</v>
      </c>
    </row>
    <row r="1659" spans="1:6">
      <c r="A1659" s="110" t="s">
        <v>389</v>
      </c>
      <c r="B1659" s="110" t="s">
        <v>298</v>
      </c>
      <c r="C1659" s="110">
        <v>2.2029999999999998</v>
      </c>
      <c r="D1659" s="112">
        <v>42792</v>
      </c>
      <c r="E1659" s="111" t="s">
        <v>297</v>
      </c>
      <c r="F1659" s="110" t="s">
        <v>296</v>
      </c>
    </row>
    <row r="1660" spans="1:6">
      <c r="A1660" s="110" t="s">
        <v>388</v>
      </c>
      <c r="B1660" s="110" t="s">
        <v>298</v>
      </c>
      <c r="C1660" s="110">
        <v>2.262</v>
      </c>
      <c r="D1660" s="112">
        <v>42792</v>
      </c>
      <c r="E1660" s="111" t="s">
        <v>297</v>
      </c>
      <c r="F1660" s="110" t="s">
        <v>296</v>
      </c>
    </row>
    <row r="1661" spans="1:6">
      <c r="A1661" s="110" t="s">
        <v>387</v>
      </c>
      <c r="B1661" s="110" t="s">
        <v>298</v>
      </c>
      <c r="C1661" s="110">
        <v>2.1970000000000001</v>
      </c>
      <c r="D1661" s="112">
        <v>42792</v>
      </c>
      <c r="E1661" s="111" t="s">
        <v>297</v>
      </c>
      <c r="F1661" s="110" t="s">
        <v>296</v>
      </c>
    </row>
    <row r="1662" spans="1:6">
      <c r="A1662" s="110" t="s">
        <v>386</v>
      </c>
      <c r="B1662" s="110" t="s">
        <v>298</v>
      </c>
      <c r="C1662" s="110">
        <v>2.2400000000000002</v>
      </c>
      <c r="D1662" s="112">
        <v>42792</v>
      </c>
      <c r="E1662" s="111" t="s">
        <v>297</v>
      </c>
      <c r="F1662" s="110" t="s">
        <v>296</v>
      </c>
    </row>
    <row r="1663" spans="1:6">
      <c r="A1663" s="110" t="s">
        <v>385</v>
      </c>
      <c r="B1663" s="110" t="s">
        <v>298</v>
      </c>
      <c r="C1663" s="110">
        <v>2.2069999999999999</v>
      </c>
      <c r="D1663" s="112">
        <v>42792</v>
      </c>
      <c r="E1663" s="111" t="s">
        <v>297</v>
      </c>
      <c r="F1663" s="110" t="s">
        <v>296</v>
      </c>
    </row>
    <row r="1664" spans="1:6">
      <c r="A1664" s="110" t="s">
        <v>384</v>
      </c>
      <c r="B1664" s="110" t="s">
        <v>298</v>
      </c>
      <c r="C1664" s="110">
        <v>2.2120000000000002</v>
      </c>
      <c r="D1664" s="112">
        <v>42792</v>
      </c>
      <c r="E1664" s="111" t="s">
        <v>297</v>
      </c>
      <c r="F1664" s="110" t="s">
        <v>296</v>
      </c>
    </row>
    <row r="1665" spans="1:6">
      <c r="A1665" s="110" t="s">
        <v>383</v>
      </c>
      <c r="B1665" s="110" t="s">
        <v>298</v>
      </c>
      <c r="C1665" s="110">
        <v>2.2690000000000001</v>
      </c>
      <c r="D1665" s="112">
        <v>42792</v>
      </c>
      <c r="E1665" s="111" t="s">
        <v>297</v>
      </c>
      <c r="F1665" s="110" t="s">
        <v>296</v>
      </c>
    </row>
    <row r="1666" spans="1:6">
      <c r="A1666" s="110" t="s">
        <v>382</v>
      </c>
      <c r="B1666" s="110" t="s">
        <v>298</v>
      </c>
      <c r="C1666" s="110">
        <v>2.2050000000000001</v>
      </c>
      <c r="D1666" s="112">
        <v>42792</v>
      </c>
      <c r="E1666" s="111" t="s">
        <v>297</v>
      </c>
      <c r="F1666" s="110" t="s">
        <v>296</v>
      </c>
    </row>
    <row r="1667" spans="1:6">
      <c r="A1667" s="110" t="s">
        <v>381</v>
      </c>
      <c r="B1667" s="110" t="s">
        <v>298</v>
      </c>
      <c r="C1667" s="110">
        <v>2.2200000000000002</v>
      </c>
      <c r="D1667" s="112">
        <v>42792</v>
      </c>
      <c r="E1667" s="111" t="s">
        <v>297</v>
      </c>
      <c r="F1667" s="110" t="s">
        <v>296</v>
      </c>
    </row>
    <row r="1668" spans="1:6">
      <c r="A1668" s="110" t="s">
        <v>380</v>
      </c>
      <c r="B1668" s="110" t="s">
        <v>298</v>
      </c>
      <c r="C1668" s="110">
        <v>2.2469999999999999</v>
      </c>
      <c r="D1668" s="112">
        <v>42792</v>
      </c>
      <c r="E1668" s="111" t="s">
        <v>297</v>
      </c>
      <c r="F1668" s="110" t="s">
        <v>296</v>
      </c>
    </row>
    <row r="1669" spans="1:6">
      <c r="A1669" s="110" t="s">
        <v>379</v>
      </c>
      <c r="B1669" s="110" t="s">
        <v>298</v>
      </c>
      <c r="C1669" s="110">
        <v>2.2320000000000002</v>
      </c>
      <c r="D1669" s="112">
        <v>42792</v>
      </c>
      <c r="E1669" s="111" t="s">
        <v>297</v>
      </c>
      <c r="F1669" s="110" t="s">
        <v>296</v>
      </c>
    </row>
    <row r="1670" spans="1:6">
      <c r="A1670" s="110" t="s">
        <v>378</v>
      </c>
      <c r="B1670" s="110" t="s">
        <v>298</v>
      </c>
      <c r="C1670" s="110">
        <v>2.1509999999999998</v>
      </c>
      <c r="D1670" s="112">
        <v>42792</v>
      </c>
      <c r="E1670" s="111" t="s">
        <v>297</v>
      </c>
      <c r="F1670" s="110" t="s">
        <v>296</v>
      </c>
    </row>
    <row r="1671" spans="1:6">
      <c r="A1671" s="110" t="s">
        <v>377</v>
      </c>
      <c r="B1671" s="110" t="s">
        <v>298</v>
      </c>
      <c r="C1671" s="110">
        <v>2.1949999999999998</v>
      </c>
      <c r="D1671" s="112">
        <v>42792</v>
      </c>
      <c r="E1671" s="111" t="s">
        <v>297</v>
      </c>
      <c r="F1671" s="110" t="s">
        <v>296</v>
      </c>
    </row>
    <row r="1672" spans="1:6">
      <c r="A1672" s="110" t="s">
        <v>376</v>
      </c>
      <c r="B1672" s="110" t="s">
        <v>298</v>
      </c>
      <c r="C1672" s="110">
        <v>2.2589999999999999</v>
      </c>
      <c r="D1672" s="112">
        <v>42792</v>
      </c>
      <c r="E1672" s="111" t="s">
        <v>297</v>
      </c>
      <c r="F1672" s="110" t="s">
        <v>296</v>
      </c>
    </row>
    <row r="1673" spans="1:6">
      <c r="A1673" s="110" t="s">
        <v>375</v>
      </c>
      <c r="B1673" s="110" t="s">
        <v>298</v>
      </c>
      <c r="C1673" s="110">
        <v>2.2160000000000002</v>
      </c>
      <c r="D1673" s="112">
        <v>42792</v>
      </c>
      <c r="E1673" s="111" t="s">
        <v>297</v>
      </c>
      <c r="F1673" s="110" t="s">
        <v>296</v>
      </c>
    </row>
    <row r="1674" spans="1:6">
      <c r="A1674" s="110" t="s">
        <v>374</v>
      </c>
      <c r="B1674" s="110" t="s">
        <v>298</v>
      </c>
      <c r="C1674" s="110">
        <v>2.2400000000000002</v>
      </c>
      <c r="D1674" s="112">
        <v>42792</v>
      </c>
      <c r="E1674" s="111" t="s">
        <v>297</v>
      </c>
      <c r="F1674" s="110" t="s">
        <v>296</v>
      </c>
    </row>
    <row r="1675" spans="1:6">
      <c r="A1675" s="110" t="s">
        <v>373</v>
      </c>
      <c r="B1675" s="110" t="s">
        <v>298</v>
      </c>
      <c r="C1675" s="110">
        <v>2.21</v>
      </c>
      <c r="D1675" s="112">
        <v>42792</v>
      </c>
      <c r="E1675" s="111" t="s">
        <v>297</v>
      </c>
      <c r="F1675" s="110" t="s">
        <v>296</v>
      </c>
    </row>
    <row r="1676" spans="1:6">
      <c r="A1676" s="110" t="s">
        <v>372</v>
      </c>
      <c r="B1676" s="110" t="s">
        <v>298</v>
      </c>
      <c r="C1676" s="110">
        <v>2.1890000000000001</v>
      </c>
      <c r="D1676" s="112">
        <v>42792</v>
      </c>
      <c r="E1676" s="111" t="s">
        <v>297</v>
      </c>
      <c r="F1676" s="110" t="s">
        <v>296</v>
      </c>
    </row>
    <row r="1677" spans="1:6">
      <c r="A1677" s="110" t="s">
        <v>371</v>
      </c>
      <c r="B1677" s="110" t="s">
        <v>298</v>
      </c>
      <c r="C1677" s="110">
        <v>2.2120000000000002</v>
      </c>
      <c r="D1677" s="112">
        <v>42792</v>
      </c>
      <c r="E1677" s="111" t="s">
        <v>297</v>
      </c>
      <c r="F1677" s="110" t="s">
        <v>296</v>
      </c>
    </row>
    <row r="1678" spans="1:6">
      <c r="A1678" s="110" t="s">
        <v>370</v>
      </c>
      <c r="B1678" s="110" t="s">
        <v>298</v>
      </c>
      <c r="C1678" s="110">
        <v>2.2480000000000002</v>
      </c>
      <c r="D1678" s="112">
        <v>42792</v>
      </c>
      <c r="E1678" s="111" t="s">
        <v>297</v>
      </c>
      <c r="F1678" s="110" t="s">
        <v>296</v>
      </c>
    </row>
    <row r="1679" spans="1:6">
      <c r="A1679" s="110" t="s">
        <v>369</v>
      </c>
      <c r="B1679" s="110" t="s">
        <v>298</v>
      </c>
      <c r="C1679" s="110">
        <v>2.206</v>
      </c>
      <c r="D1679" s="112">
        <v>42792</v>
      </c>
      <c r="E1679" s="111" t="s">
        <v>297</v>
      </c>
      <c r="F1679" s="110" t="s">
        <v>296</v>
      </c>
    </row>
    <row r="1680" spans="1:6">
      <c r="A1680" s="110" t="s">
        <v>368</v>
      </c>
      <c r="B1680" s="110" t="s">
        <v>298</v>
      </c>
      <c r="C1680" s="110">
        <v>2.2309999999999999</v>
      </c>
      <c r="D1680" s="112">
        <v>42792</v>
      </c>
      <c r="E1680" s="111" t="s">
        <v>297</v>
      </c>
      <c r="F1680" s="110" t="s">
        <v>296</v>
      </c>
    </row>
    <row r="1681" spans="1:6">
      <c r="A1681" s="110" t="s">
        <v>367</v>
      </c>
      <c r="B1681" s="110" t="s">
        <v>298</v>
      </c>
      <c r="C1681" s="110">
        <v>2.1909999999999998</v>
      </c>
      <c r="D1681" s="112">
        <v>42792</v>
      </c>
      <c r="E1681" s="111" t="s">
        <v>297</v>
      </c>
      <c r="F1681" s="110" t="s">
        <v>296</v>
      </c>
    </row>
    <row r="1682" spans="1:6">
      <c r="A1682" s="110" t="s">
        <v>366</v>
      </c>
      <c r="B1682" s="110" t="s">
        <v>298</v>
      </c>
      <c r="C1682" s="110">
        <v>2.2320000000000002</v>
      </c>
      <c r="D1682" s="112">
        <v>42792</v>
      </c>
      <c r="E1682" s="111" t="s">
        <v>297</v>
      </c>
      <c r="F1682" s="110" t="s">
        <v>296</v>
      </c>
    </row>
    <row r="1683" spans="1:6">
      <c r="A1683" s="110" t="s">
        <v>365</v>
      </c>
      <c r="B1683" s="110" t="s">
        <v>298</v>
      </c>
      <c r="C1683" s="110">
        <v>2.1629999999999998</v>
      </c>
      <c r="D1683" s="112">
        <v>42792</v>
      </c>
      <c r="E1683" s="111" t="s">
        <v>297</v>
      </c>
      <c r="F1683" s="110" t="s">
        <v>296</v>
      </c>
    </row>
    <row r="1684" spans="1:6">
      <c r="A1684" s="110" t="s">
        <v>364</v>
      </c>
      <c r="B1684" s="110" t="s">
        <v>298</v>
      </c>
      <c r="C1684" s="110">
        <v>2.2290000000000001</v>
      </c>
      <c r="D1684" s="112">
        <v>42792</v>
      </c>
      <c r="E1684" s="111" t="s">
        <v>297</v>
      </c>
      <c r="F1684" s="110" t="s">
        <v>296</v>
      </c>
    </row>
    <row r="1685" spans="1:6">
      <c r="A1685" s="110" t="s">
        <v>363</v>
      </c>
      <c r="B1685" s="110" t="s">
        <v>298</v>
      </c>
      <c r="C1685" s="110">
        <v>2.1989999999999998</v>
      </c>
      <c r="D1685" s="112">
        <v>42792</v>
      </c>
      <c r="E1685" s="111" t="s">
        <v>297</v>
      </c>
      <c r="F1685" s="110" t="s">
        <v>296</v>
      </c>
    </row>
    <row r="1686" spans="1:6">
      <c r="A1686" s="110" t="s">
        <v>362</v>
      </c>
      <c r="B1686" s="110" t="s">
        <v>298</v>
      </c>
      <c r="C1686" s="110">
        <v>2.2549999999999999</v>
      </c>
      <c r="D1686" s="112">
        <v>42792</v>
      </c>
      <c r="E1686" s="111" t="s">
        <v>297</v>
      </c>
      <c r="F1686" s="110" t="s">
        <v>296</v>
      </c>
    </row>
    <row r="1687" spans="1:6">
      <c r="A1687" s="110" t="s">
        <v>361</v>
      </c>
      <c r="B1687" s="110" t="s">
        <v>298</v>
      </c>
      <c r="C1687" s="110">
        <v>2.2450000000000001</v>
      </c>
      <c r="D1687" s="112">
        <v>42792</v>
      </c>
      <c r="E1687" s="111" t="s">
        <v>297</v>
      </c>
      <c r="F1687" s="110" t="s">
        <v>296</v>
      </c>
    </row>
    <row r="1688" spans="1:6">
      <c r="A1688" s="110" t="s">
        <v>360</v>
      </c>
      <c r="B1688" s="110" t="s">
        <v>298</v>
      </c>
      <c r="C1688" s="110">
        <v>2.16</v>
      </c>
      <c r="D1688" s="112">
        <v>42792</v>
      </c>
      <c r="E1688" s="111" t="s">
        <v>297</v>
      </c>
      <c r="F1688" s="110" t="s">
        <v>296</v>
      </c>
    </row>
    <row r="1689" spans="1:6">
      <c r="A1689" s="110" t="s">
        <v>359</v>
      </c>
      <c r="B1689" s="110" t="s">
        <v>298</v>
      </c>
      <c r="C1689" s="110">
        <v>2.19</v>
      </c>
      <c r="D1689" s="112">
        <v>42792</v>
      </c>
      <c r="E1689" s="111" t="s">
        <v>297</v>
      </c>
      <c r="F1689" s="110" t="s">
        <v>296</v>
      </c>
    </row>
    <row r="1690" spans="1:6">
      <c r="A1690" s="110" t="s">
        <v>358</v>
      </c>
      <c r="B1690" s="110" t="s">
        <v>298</v>
      </c>
      <c r="C1690" s="110">
        <v>2.194</v>
      </c>
      <c r="D1690" s="112">
        <v>42792</v>
      </c>
      <c r="E1690" s="111" t="s">
        <v>297</v>
      </c>
      <c r="F1690" s="110" t="s">
        <v>296</v>
      </c>
    </row>
    <row r="1691" spans="1:6">
      <c r="A1691" s="110" t="s">
        <v>357</v>
      </c>
      <c r="B1691" s="110" t="s">
        <v>298</v>
      </c>
      <c r="C1691" s="110">
        <v>2.2410000000000001</v>
      </c>
      <c r="D1691" s="112">
        <v>42792</v>
      </c>
      <c r="E1691" s="111" t="s">
        <v>297</v>
      </c>
      <c r="F1691" s="110" t="s">
        <v>296</v>
      </c>
    </row>
    <row r="1692" spans="1:6">
      <c r="A1692" s="110" t="s">
        <v>356</v>
      </c>
      <c r="B1692" s="110" t="s">
        <v>298</v>
      </c>
      <c r="C1692" s="110">
        <v>2.1989999999999998</v>
      </c>
      <c r="D1692" s="112">
        <v>42792</v>
      </c>
      <c r="E1692" s="111" t="s">
        <v>297</v>
      </c>
      <c r="F1692" s="110" t="s">
        <v>296</v>
      </c>
    </row>
    <row r="1693" spans="1:6">
      <c r="A1693" s="110" t="s">
        <v>355</v>
      </c>
      <c r="B1693" s="110" t="s">
        <v>298</v>
      </c>
      <c r="C1693" s="110">
        <v>2.17</v>
      </c>
      <c r="D1693" s="112">
        <v>42792</v>
      </c>
      <c r="E1693" s="111" t="s">
        <v>297</v>
      </c>
      <c r="F1693" s="110" t="s">
        <v>296</v>
      </c>
    </row>
    <row r="1694" spans="1:6">
      <c r="A1694" s="110" t="s">
        <v>354</v>
      </c>
      <c r="B1694" s="110" t="s">
        <v>298</v>
      </c>
      <c r="C1694" s="110">
        <v>2.2549999999999999</v>
      </c>
      <c r="D1694" s="112">
        <v>42792</v>
      </c>
      <c r="E1694" s="111" t="s">
        <v>297</v>
      </c>
      <c r="F1694" s="110" t="s">
        <v>296</v>
      </c>
    </row>
    <row r="1695" spans="1:6">
      <c r="A1695" s="110" t="s">
        <v>353</v>
      </c>
      <c r="B1695" s="110" t="s">
        <v>298</v>
      </c>
      <c r="C1695" s="110">
        <v>2.177</v>
      </c>
      <c r="D1695" s="112">
        <v>42792</v>
      </c>
      <c r="E1695" s="111" t="s">
        <v>297</v>
      </c>
      <c r="F1695" s="110" t="s">
        <v>296</v>
      </c>
    </row>
    <row r="1696" spans="1:6">
      <c r="A1696" s="110" t="s">
        <v>352</v>
      </c>
      <c r="B1696" s="110" t="s">
        <v>298</v>
      </c>
      <c r="C1696" s="110">
        <v>2.1579999999999999</v>
      </c>
      <c r="D1696" s="112">
        <v>42792</v>
      </c>
      <c r="E1696" s="111" t="s">
        <v>297</v>
      </c>
      <c r="F1696" s="110" t="s">
        <v>296</v>
      </c>
    </row>
    <row r="1697" spans="1:6">
      <c r="A1697" s="110" t="s">
        <v>351</v>
      </c>
      <c r="B1697" s="110" t="s">
        <v>298</v>
      </c>
      <c r="C1697" s="110">
        <v>2.1869999999999998</v>
      </c>
      <c r="D1697" s="112">
        <v>42792</v>
      </c>
      <c r="E1697" s="111" t="s">
        <v>297</v>
      </c>
      <c r="F1697" s="110" t="s">
        <v>296</v>
      </c>
    </row>
    <row r="1698" spans="1:6">
      <c r="A1698" s="110" t="s">
        <v>350</v>
      </c>
      <c r="B1698" s="110" t="s">
        <v>298</v>
      </c>
      <c r="C1698" s="110">
        <v>2.2549999999999999</v>
      </c>
      <c r="D1698" s="112">
        <v>42792</v>
      </c>
      <c r="E1698" s="111" t="s">
        <v>297</v>
      </c>
      <c r="F1698" s="110" t="s">
        <v>296</v>
      </c>
    </row>
    <row r="1699" spans="1:6">
      <c r="A1699" s="110" t="s">
        <v>349</v>
      </c>
      <c r="B1699" s="110" t="s">
        <v>298</v>
      </c>
      <c r="C1699" s="110">
        <v>2.266</v>
      </c>
      <c r="D1699" s="112">
        <v>42792</v>
      </c>
      <c r="E1699" s="111" t="s">
        <v>297</v>
      </c>
      <c r="F1699" s="110" t="s">
        <v>296</v>
      </c>
    </row>
    <row r="1700" spans="1:6">
      <c r="A1700" s="110" t="s">
        <v>348</v>
      </c>
      <c r="B1700" s="110" t="s">
        <v>298</v>
      </c>
      <c r="C1700" s="110">
        <v>2.1579999999999999</v>
      </c>
      <c r="D1700" s="112">
        <v>42792</v>
      </c>
      <c r="E1700" s="111" t="s">
        <v>297</v>
      </c>
      <c r="F1700" s="110" t="s">
        <v>296</v>
      </c>
    </row>
    <row r="1701" spans="1:6">
      <c r="A1701" s="110" t="s">
        <v>347</v>
      </c>
      <c r="B1701" s="110" t="s">
        <v>298</v>
      </c>
      <c r="C1701" s="110">
        <v>2.2389999999999999</v>
      </c>
      <c r="D1701" s="112">
        <v>42792</v>
      </c>
      <c r="E1701" s="111" t="s">
        <v>297</v>
      </c>
      <c r="F1701" s="110" t="s">
        <v>296</v>
      </c>
    </row>
    <row r="1702" spans="1:6">
      <c r="A1702" s="110" t="s">
        <v>346</v>
      </c>
      <c r="B1702" s="110" t="s">
        <v>298</v>
      </c>
      <c r="C1702" s="110">
        <v>2.2050000000000001</v>
      </c>
      <c r="D1702" s="112">
        <v>42792</v>
      </c>
      <c r="E1702" s="111" t="s">
        <v>297</v>
      </c>
      <c r="F1702" s="110" t="s">
        <v>296</v>
      </c>
    </row>
    <row r="1703" spans="1:6">
      <c r="A1703" s="110" t="s">
        <v>345</v>
      </c>
      <c r="B1703" s="110" t="s">
        <v>298</v>
      </c>
      <c r="C1703" s="110">
        <v>2.2000000000000002</v>
      </c>
      <c r="D1703" s="112">
        <v>42792</v>
      </c>
      <c r="E1703" s="111" t="s">
        <v>297</v>
      </c>
      <c r="F1703" s="110" t="s">
        <v>296</v>
      </c>
    </row>
    <row r="1704" spans="1:6">
      <c r="A1704" s="110" t="s">
        <v>344</v>
      </c>
      <c r="B1704" s="110" t="s">
        <v>298</v>
      </c>
      <c r="C1704" s="110">
        <v>2.2170000000000001</v>
      </c>
      <c r="D1704" s="112">
        <v>42792</v>
      </c>
      <c r="E1704" s="111" t="s">
        <v>297</v>
      </c>
      <c r="F1704" s="110" t="s">
        <v>296</v>
      </c>
    </row>
    <row r="1705" spans="1:6">
      <c r="A1705" s="110" t="s">
        <v>343</v>
      </c>
      <c r="B1705" s="110" t="s">
        <v>298</v>
      </c>
      <c r="C1705" s="110">
        <v>2.2360000000000002</v>
      </c>
      <c r="D1705" s="112">
        <v>42792</v>
      </c>
      <c r="E1705" s="111" t="s">
        <v>297</v>
      </c>
      <c r="F1705" s="110" t="s">
        <v>296</v>
      </c>
    </row>
    <row r="1706" spans="1:6">
      <c r="A1706" s="110" t="s">
        <v>342</v>
      </c>
      <c r="B1706" s="110" t="s">
        <v>298</v>
      </c>
      <c r="C1706" s="110">
        <v>2.2130000000000001</v>
      </c>
      <c r="D1706" s="112">
        <v>42792</v>
      </c>
      <c r="E1706" s="111" t="s">
        <v>297</v>
      </c>
      <c r="F1706" s="110" t="s">
        <v>296</v>
      </c>
    </row>
    <row r="1707" spans="1:6">
      <c r="A1707" s="110" t="s">
        <v>341</v>
      </c>
      <c r="B1707" s="110" t="s">
        <v>298</v>
      </c>
      <c r="C1707" s="110">
        <v>2.1850000000000001</v>
      </c>
      <c r="D1707" s="112">
        <v>42792</v>
      </c>
      <c r="E1707" s="111" t="s">
        <v>297</v>
      </c>
      <c r="F1707" s="110" t="s">
        <v>296</v>
      </c>
    </row>
    <row r="1708" spans="1:6">
      <c r="A1708" s="110" t="s">
        <v>340</v>
      </c>
      <c r="B1708" s="110" t="s">
        <v>298</v>
      </c>
      <c r="C1708" s="110">
        <v>2.2040000000000002</v>
      </c>
      <c r="D1708" s="112">
        <v>42792</v>
      </c>
      <c r="E1708" s="111" t="s">
        <v>297</v>
      </c>
      <c r="F1708" s="110" t="s">
        <v>296</v>
      </c>
    </row>
    <row r="1709" spans="1:6">
      <c r="A1709" s="110" t="s">
        <v>339</v>
      </c>
      <c r="B1709" s="110" t="s">
        <v>298</v>
      </c>
      <c r="C1709" s="110">
        <v>2.1579999999999999</v>
      </c>
      <c r="D1709" s="112">
        <v>42792</v>
      </c>
      <c r="E1709" s="111" t="s">
        <v>297</v>
      </c>
      <c r="F1709" s="110" t="s">
        <v>296</v>
      </c>
    </row>
    <row r="1710" spans="1:6">
      <c r="A1710" s="110" t="s">
        <v>338</v>
      </c>
      <c r="B1710" s="110" t="s">
        <v>298</v>
      </c>
      <c r="C1710" s="110">
        <v>2.17</v>
      </c>
      <c r="D1710" s="112">
        <v>42792</v>
      </c>
      <c r="E1710" s="111" t="s">
        <v>297</v>
      </c>
      <c r="F1710" s="110" t="s">
        <v>296</v>
      </c>
    </row>
    <row r="1711" spans="1:6">
      <c r="A1711" s="110" t="s">
        <v>337</v>
      </c>
      <c r="B1711" s="110" t="s">
        <v>298</v>
      </c>
      <c r="C1711" s="110">
        <v>2.25</v>
      </c>
      <c r="D1711" s="112">
        <v>42792</v>
      </c>
      <c r="E1711" s="111" t="s">
        <v>297</v>
      </c>
      <c r="F1711" s="110" t="s">
        <v>296</v>
      </c>
    </row>
    <row r="1712" spans="1:6">
      <c r="A1712" s="110" t="s">
        <v>336</v>
      </c>
      <c r="B1712" s="110" t="s">
        <v>298</v>
      </c>
      <c r="C1712" s="110">
        <v>2.1930000000000001</v>
      </c>
      <c r="D1712" s="112">
        <v>42792</v>
      </c>
      <c r="E1712" s="111" t="s">
        <v>297</v>
      </c>
      <c r="F1712" s="110" t="s">
        <v>296</v>
      </c>
    </row>
    <row r="1713" spans="1:6">
      <c r="A1713" s="110" t="s">
        <v>335</v>
      </c>
      <c r="B1713" s="110" t="s">
        <v>298</v>
      </c>
      <c r="C1713" s="110">
        <v>2.1960000000000002</v>
      </c>
      <c r="D1713" s="112">
        <v>42792</v>
      </c>
      <c r="E1713" s="111" t="s">
        <v>297</v>
      </c>
      <c r="F1713" s="110" t="s">
        <v>296</v>
      </c>
    </row>
    <row r="1714" spans="1:6">
      <c r="A1714" s="110" t="s">
        <v>334</v>
      </c>
      <c r="B1714" s="110" t="s">
        <v>298</v>
      </c>
      <c r="C1714" s="110">
        <v>2.2469999999999999</v>
      </c>
      <c r="D1714" s="112">
        <v>42792</v>
      </c>
      <c r="E1714" s="111" t="s">
        <v>297</v>
      </c>
      <c r="F1714" s="110" t="s">
        <v>296</v>
      </c>
    </row>
    <row r="1715" spans="1:6">
      <c r="A1715" s="110" t="s">
        <v>333</v>
      </c>
      <c r="B1715" s="110" t="s">
        <v>298</v>
      </c>
      <c r="C1715" s="110">
        <v>2.2389999999999999</v>
      </c>
      <c r="D1715" s="112">
        <v>42792</v>
      </c>
      <c r="E1715" s="111" t="s">
        <v>297</v>
      </c>
      <c r="F1715" s="110" t="s">
        <v>296</v>
      </c>
    </row>
    <row r="1716" spans="1:6">
      <c r="A1716" s="110" t="s">
        <v>332</v>
      </c>
      <c r="B1716" s="110" t="s">
        <v>298</v>
      </c>
      <c r="C1716" s="110">
        <v>2.21</v>
      </c>
      <c r="D1716" s="112">
        <v>42792</v>
      </c>
      <c r="E1716" s="111" t="s">
        <v>297</v>
      </c>
      <c r="F1716" s="110" t="s">
        <v>296</v>
      </c>
    </row>
    <row r="1717" spans="1:6">
      <c r="A1717" s="110" t="s">
        <v>331</v>
      </c>
      <c r="B1717" s="110" t="s">
        <v>298</v>
      </c>
      <c r="C1717" s="110">
        <v>2.2309999999999999</v>
      </c>
      <c r="D1717" s="112">
        <v>42792</v>
      </c>
      <c r="E1717" s="111" t="s">
        <v>297</v>
      </c>
      <c r="F1717" s="110" t="s">
        <v>296</v>
      </c>
    </row>
    <row r="1718" spans="1:6">
      <c r="A1718" s="110" t="s">
        <v>330</v>
      </c>
      <c r="B1718" s="110" t="s">
        <v>298</v>
      </c>
      <c r="C1718" s="110">
        <v>2.2210000000000001</v>
      </c>
      <c r="D1718" s="112">
        <v>42792</v>
      </c>
      <c r="E1718" s="111" t="s">
        <v>297</v>
      </c>
      <c r="F1718" s="110" t="s">
        <v>296</v>
      </c>
    </row>
    <row r="1719" spans="1:6">
      <c r="A1719" s="110" t="s">
        <v>329</v>
      </c>
      <c r="B1719" s="110" t="s">
        <v>298</v>
      </c>
      <c r="C1719" s="110">
        <v>2.2109999999999999</v>
      </c>
      <c r="D1719" s="112">
        <v>42792</v>
      </c>
      <c r="E1719" s="111" t="s">
        <v>297</v>
      </c>
      <c r="F1719" s="110" t="s">
        <v>296</v>
      </c>
    </row>
    <row r="1720" spans="1:6">
      <c r="A1720" s="110" t="s">
        <v>328</v>
      </c>
      <c r="B1720" s="110" t="s">
        <v>298</v>
      </c>
      <c r="C1720" s="110">
        <v>2.226</v>
      </c>
      <c r="D1720" s="112">
        <v>42792</v>
      </c>
      <c r="E1720" s="111" t="s">
        <v>297</v>
      </c>
      <c r="F1720" s="110" t="s">
        <v>296</v>
      </c>
    </row>
    <row r="1721" spans="1:6">
      <c r="A1721" s="110" t="s">
        <v>327</v>
      </c>
      <c r="B1721" s="110" t="s">
        <v>298</v>
      </c>
      <c r="C1721" s="110">
        <v>2.1819999999999999</v>
      </c>
      <c r="D1721" s="112">
        <v>42792</v>
      </c>
      <c r="E1721" s="111" t="s">
        <v>297</v>
      </c>
      <c r="F1721" s="110" t="s">
        <v>296</v>
      </c>
    </row>
    <row r="1722" spans="1:6">
      <c r="A1722" s="110" t="s">
        <v>326</v>
      </c>
      <c r="B1722" s="110" t="s">
        <v>298</v>
      </c>
      <c r="C1722" s="110">
        <v>2.2309999999999999</v>
      </c>
      <c r="D1722" s="112">
        <v>42792</v>
      </c>
      <c r="E1722" s="111" t="s">
        <v>297</v>
      </c>
      <c r="F1722" s="110" t="s">
        <v>296</v>
      </c>
    </row>
    <row r="1723" spans="1:6">
      <c r="A1723" s="110" t="s">
        <v>325</v>
      </c>
      <c r="B1723" s="110" t="s">
        <v>298</v>
      </c>
      <c r="C1723" s="110">
        <v>2.2210000000000001</v>
      </c>
      <c r="D1723" s="112">
        <v>42792</v>
      </c>
      <c r="E1723" s="111" t="s">
        <v>297</v>
      </c>
      <c r="F1723" s="110" t="s">
        <v>296</v>
      </c>
    </row>
    <row r="1724" spans="1:6">
      <c r="A1724" s="110" t="s">
        <v>324</v>
      </c>
      <c r="B1724" s="110" t="s">
        <v>298</v>
      </c>
      <c r="C1724" s="110">
        <v>2.2130000000000001</v>
      </c>
      <c r="D1724" s="112">
        <v>42792</v>
      </c>
      <c r="E1724" s="111" t="s">
        <v>297</v>
      </c>
      <c r="F1724" s="110" t="s">
        <v>296</v>
      </c>
    </row>
    <row r="1725" spans="1:6">
      <c r="A1725" s="110" t="s">
        <v>323</v>
      </c>
      <c r="B1725" s="110" t="s">
        <v>298</v>
      </c>
      <c r="C1725" s="110">
        <v>2.194</v>
      </c>
      <c r="D1725" s="112">
        <v>42792</v>
      </c>
      <c r="E1725" s="111" t="s">
        <v>297</v>
      </c>
      <c r="F1725" s="110" t="s">
        <v>296</v>
      </c>
    </row>
    <row r="1726" spans="1:6">
      <c r="A1726" s="110" t="s">
        <v>322</v>
      </c>
      <c r="B1726" s="110" t="s">
        <v>298</v>
      </c>
      <c r="C1726" s="110">
        <v>2.1749999999999998</v>
      </c>
      <c r="D1726" s="112">
        <v>42792</v>
      </c>
      <c r="E1726" s="111" t="s">
        <v>297</v>
      </c>
      <c r="F1726" s="110" t="s">
        <v>296</v>
      </c>
    </row>
    <row r="1727" spans="1:6">
      <c r="A1727" s="110" t="s">
        <v>321</v>
      </c>
      <c r="B1727" s="110" t="s">
        <v>298</v>
      </c>
      <c r="C1727" s="110">
        <v>2.1680000000000001</v>
      </c>
      <c r="D1727" s="112">
        <v>42792</v>
      </c>
      <c r="E1727" s="111" t="s">
        <v>297</v>
      </c>
      <c r="F1727" s="110" t="s">
        <v>296</v>
      </c>
    </row>
    <row r="1728" spans="1:6">
      <c r="A1728" s="110" t="s">
        <v>320</v>
      </c>
      <c r="B1728" s="110" t="s">
        <v>298</v>
      </c>
      <c r="C1728" s="110">
        <v>2.16</v>
      </c>
      <c r="D1728" s="112">
        <v>42792</v>
      </c>
      <c r="E1728" s="111" t="s">
        <v>297</v>
      </c>
      <c r="F1728" s="110" t="s">
        <v>296</v>
      </c>
    </row>
    <row r="1729" spans="1:6">
      <c r="A1729" s="110" t="s">
        <v>319</v>
      </c>
      <c r="B1729" s="110" t="s">
        <v>298</v>
      </c>
      <c r="C1729" s="110">
        <v>2.2170000000000001</v>
      </c>
      <c r="D1729" s="112">
        <v>42792</v>
      </c>
      <c r="E1729" s="111" t="s">
        <v>297</v>
      </c>
      <c r="F1729" s="110" t="s">
        <v>296</v>
      </c>
    </row>
    <row r="1730" spans="1:6">
      <c r="A1730" s="110" t="s">
        <v>318</v>
      </c>
      <c r="B1730" s="110" t="s">
        <v>298</v>
      </c>
      <c r="C1730" s="110">
        <v>2.1680000000000001</v>
      </c>
      <c r="D1730" s="112">
        <v>42792</v>
      </c>
      <c r="E1730" s="111" t="s">
        <v>297</v>
      </c>
      <c r="F1730" s="110" t="s">
        <v>296</v>
      </c>
    </row>
    <row r="1731" spans="1:6">
      <c r="A1731" s="110" t="s">
        <v>317</v>
      </c>
      <c r="B1731" s="110" t="s">
        <v>298</v>
      </c>
      <c r="C1731" s="110">
        <v>2.1880000000000002</v>
      </c>
      <c r="D1731" s="112">
        <v>42792</v>
      </c>
      <c r="E1731" s="111" t="s">
        <v>297</v>
      </c>
      <c r="F1731" s="110" t="s">
        <v>296</v>
      </c>
    </row>
    <row r="1732" spans="1:6">
      <c r="A1732" s="110" t="s">
        <v>316</v>
      </c>
      <c r="B1732" s="110" t="s">
        <v>298</v>
      </c>
      <c r="C1732" s="110">
        <v>2.214</v>
      </c>
      <c r="D1732" s="112">
        <v>42792</v>
      </c>
      <c r="E1732" s="111" t="s">
        <v>297</v>
      </c>
      <c r="F1732" s="110" t="s">
        <v>296</v>
      </c>
    </row>
    <row r="1733" spans="1:6">
      <c r="A1733" s="110" t="s">
        <v>315</v>
      </c>
      <c r="B1733" s="110" t="s">
        <v>298</v>
      </c>
      <c r="C1733" s="110">
        <v>2.173</v>
      </c>
      <c r="D1733" s="112">
        <v>42792</v>
      </c>
      <c r="E1733" s="111" t="s">
        <v>297</v>
      </c>
      <c r="F1733" s="110" t="s">
        <v>296</v>
      </c>
    </row>
    <row r="1734" spans="1:6">
      <c r="A1734" s="110" t="s">
        <v>314</v>
      </c>
      <c r="B1734" s="110" t="s">
        <v>298</v>
      </c>
      <c r="C1734" s="110">
        <v>2.1419999999999999</v>
      </c>
      <c r="D1734" s="112">
        <v>42792</v>
      </c>
      <c r="E1734" s="111" t="s">
        <v>297</v>
      </c>
      <c r="F1734" s="110" t="s">
        <v>296</v>
      </c>
    </row>
    <row r="1735" spans="1:6">
      <c r="A1735" s="110" t="s">
        <v>313</v>
      </c>
      <c r="B1735" s="110" t="s">
        <v>298</v>
      </c>
      <c r="C1735" s="110">
        <v>2.1659999999999999</v>
      </c>
      <c r="D1735" s="112">
        <v>42792</v>
      </c>
      <c r="E1735" s="111" t="s">
        <v>297</v>
      </c>
      <c r="F1735" s="110" t="s">
        <v>296</v>
      </c>
    </row>
    <row r="1736" spans="1:6">
      <c r="A1736" s="110" t="s">
        <v>312</v>
      </c>
      <c r="B1736" s="110" t="s">
        <v>298</v>
      </c>
      <c r="C1736" s="110">
        <v>2.222</v>
      </c>
      <c r="D1736" s="112">
        <v>42792</v>
      </c>
      <c r="E1736" s="111" t="s">
        <v>297</v>
      </c>
      <c r="F1736" s="110" t="s">
        <v>296</v>
      </c>
    </row>
    <row r="1737" spans="1:6">
      <c r="A1737" s="110" t="s">
        <v>311</v>
      </c>
      <c r="B1737" s="110" t="s">
        <v>298</v>
      </c>
      <c r="C1737" s="110">
        <v>2.2330000000000001</v>
      </c>
      <c r="D1737" s="112">
        <v>42792</v>
      </c>
      <c r="E1737" s="111" t="s">
        <v>297</v>
      </c>
      <c r="F1737" s="110" t="s">
        <v>296</v>
      </c>
    </row>
    <row r="1738" spans="1:6">
      <c r="A1738" s="110" t="s">
        <v>310</v>
      </c>
      <c r="B1738" s="110" t="s">
        <v>298</v>
      </c>
      <c r="C1738" s="110">
        <v>2.1880000000000002</v>
      </c>
      <c r="D1738" s="112">
        <v>42792</v>
      </c>
      <c r="E1738" s="111" t="s">
        <v>297</v>
      </c>
      <c r="F1738" s="110" t="s">
        <v>296</v>
      </c>
    </row>
    <row r="1739" spans="1:6">
      <c r="A1739" s="110" t="s">
        <v>309</v>
      </c>
      <c r="B1739" s="110" t="s">
        <v>298</v>
      </c>
      <c r="C1739" s="110">
        <v>2.2160000000000002</v>
      </c>
      <c r="D1739" s="112">
        <v>42792</v>
      </c>
      <c r="E1739" s="111" t="s">
        <v>297</v>
      </c>
      <c r="F1739" s="110" t="s">
        <v>296</v>
      </c>
    </row>
    <row r="1740" spans="1:6">
      <c r="A1740" s="110" t="s">
        <v>308</v>
      </c>
      <c r="B1740" s="110" t="s">
        <v>298</v>
      </c>
      <c r="C1740" s="110">
        <v>2.2410000000000001</v>
      </c>
      <c r="D1740" s="112">
        <v>42792</v>
      </c>
      <c r="E1740" s="111" t="s">
        <v>297</v>
      </c>
      <c r="F1740" s="110" t="s">
        <v>296</v>
      </c>
    </row>
    <row r="1741" spans="1:6">
      <c r="A1741" s="110" t="s">
        <v>307</v>
      </c>
      <c r="B1741" s="110" t="s">
        <v>298</v>
      </c>
      <c r="C1741" s="110">
        <v>2.2149999999999999</v>
      </c>
      <c r="D1741" s="112">
        <v>42792</v>
      </c>
      <c r="E1741" s="111" t="s">
        <v>297</v>
      </c>
      <c r="F1741" s="110" t="s">
        <v>296</v>
      </c>
    </row>
    <row r="1742" spans="1:6">
      <c r="A1742" s="110" t="s">
        <v>306</v>
      </c>
      <c r="B1742" s="110" t="s">
        <v>298</v>
      </c>
      <c r="C1742" s="110">
        <v>2.218</v>
      </c>
      <c r="D1742" s="112">
        <v>42792</v>
      </c>
      <c r="E1742" s="111" t="s">
        <v>297</v>
      </c>
      <c r="F1742" s="110" t="s">
        <v>296</v>
      </c>
    </row>
    <row r="1743" spans="1:6">
      <c r="A1743" s="110" t="s">
        <v>305</v>
      </c>
      <c r="B1743" s="110" t="s">
        <v>298</v>
      </c>
      <c r="C1743" s="110">
        <v>2.1840000000000002</v>
      </c>
      <c r="D1743" s="112">
        <v>42792</v>
      </c>
      <c r="E1743" s="111" t="s">
        <v>297</v>
      </c>
      <c r="F1743" s="110" t="s">
        <v>296</v>
      </c>
    </row>
    <row r="1744" spans="1:6">
      <c r="A1744" s="110" t="s">
        <v>304</v>
      </c>
      <c r="B1744" s="110" t="s">
        <v>298</v>
      </c>
      <c r="C1744" s="110">
        <v>2.15</v>
      </c>
      <c r="D1744" s="112">
        <v>42792</v>
      </c>
      <c r="E1744" s="111" t="s">
        <v>297</v>
      </c>
      <c r="F1744" s="110" t="s">
        <v>296</v>
      </c>
    </row>
    <row r="1745" spans="1:6">
      <c r="A1745" s="110" t="s">
        <v>303</v>
      </c>
      <c r="B1745" s="110" t="s">
        <v>298</v>
      </c>
      <c r="C1745" s="110">
        <v>2.2000000000000002</v>
      </c>
      <c r="D1745" s="112">
        <v>42792</v>
      </c>
      <c r="E1745" s="111" t="s">
        <v>297</v>
      </c>
      <c r="F1745" s="110" t="s">
        <v>296</v>
      </c>
    </row>
    <row r="1746" spans="1:6">
      <c r="A1746" s="110" t="s">
        <v>302</v>
      </c>
      <c r="B1746" s="110" t="s">
        <v>298</v>
      </c>
      <c r="C1746" s="110">
        <v>2.1909999999999998</v>
      </c>
      <c r="D1746" s="112">
        <v>42792</v>
      </c>
      <c r="E1746" s="111" t="s">
        <v>297</v>
      </c>
      <c r="F1746" s="110" t="s">
        <v>296</v>
      </c>
    </row>
    <row r="1747" spans="1:6">
      <c r="A1747" s="110" t="s">
        <v>301</v>
      </c>
      <c r="B1747" s="110" t="s">
        <v>298</v>
      </c>
      <c r="C1747" s="110">
        <v>2.1589999999999998</v>
      </c>
      <c r="D1747" s="112">
        <v>42792</v>
      </c>
      <c r="E1747" s="111" t="s">
        <v>297</v>
      </c>
      <c r="F1747" s="110" t="s">
        <v>296</v>
      </c>
    </row>
    <row r="1748" spans="1:6">
      <c r="A1748" s="110" t="s">
        <v>300</v>
      </c>
      <c r="B1748" s="110" t="s">
        <v>298</v>
      </c>
      <c r="C1748" s="110">
        <v>2.2269999999999999</v>
      </c>
      <c r="D1748" s="112">
        <v>42792</v>
      </c>
      <c r="E1748" s="111" t="s">
        <v>297</v>
      </c>
      <c r="F1748" s="110" t="s">
        <v>296</v>
      </c>
    </row>
    <row r="1749" spans="1:6">
      <c r="A1749" s="110" t="s">
        <v>299</v>
      </c>
      <c r="B1749" s="110" t="s">
        <v>298</v>
      </c>
      <c r="C1749" s="110">
        <v>2.3010000000000002</v>
      </c>
      <c r="D1749" s="112">
        <v>42792</v>
      </c>
      <c r="E1749" s="111" t="s">
        <v>297</v>
      </c>
      <c r="F1749" s="110" t="s">
        <v>296</v>
      </c>
    </row>
  </sheetData>
  <mergeCells count="2">
    <mergeCell ref="A1:H3"/>
    <mergeCell ref="M1:T3"/>
  </mergeCell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05753-36E7-4723-A7BF-0D06796C003A}">
  <dimension ref="A1:K677"/>
  <sheetViews>
    <sheetView zoomScale="115" zoomScaleNormal="115" workbookViewId="0">
      <selection activeCell="F465" sqref="F465"/>
    </sheetView>
  </sheetViews>
  <sheetFormatPr baseColWidth="10" defaultColWidth="11.44140625" defaultRowHeight="14.4"/>
  <cols>
    <col min="5" max="5" width="11.44140625" style="223"/>
    <col min="11" max="11" width="11.44140625" style="166"/>
  </cols>
  <sheetData>
    <row r="1" spans="1:10">
      <c r="J1" s="166"/>
    </row>
    <row r="2" spans="1:10">
      <c r="A2" s="166" t="s">
        <v>1144</v>
      </c>
      <c r="B2" s="166" t="s">
        <v>2164</v>
      </c>
      <c r="C2" s="166"/>
      <c r="D2" s="166" t="s">
        <v>2503</v>
      </c>
      <c r="E2" s="392" t="s">
        <v>2147</v>
      </c>
      <c r="F2" s="166" t="s">
        <v>1141</v>
      </c>
    </row>
    <row r="3" spans="1:10">
      <c r="A3" t="s">
        <v>2049</v>
      </c>
      <c r="B3" t="s">
        <v>3475</v>
      </c>
      <c r="D3">
        <v>0.85040000000000004</v>
      </c>
      <c r="E3" s="254"/>
      <c r="F3" s="248">
        <v>43009</v>
      </c>
    </row>
    <row r="4" spans="1:10">
      <c r="A4" t="s">
        <v>2040</v>
      </c>
      <c r="B4" t="s">
        <v>3446</v>
      </c>
      <c r="D4">
        <v>1.7706999999999999</v>
      </c>
      <c r="E4" s="254"/>
      <c r="F4" s="248">
        <v>43007</v>
      </c>
    </row>
    <row r="5" spans="1:10">
      <c r="A5" t="s">
        <v>1949</v>
      </c>
      <c r="B5" t="s">
        <v>3622</v>
      </c>
      <c r="D5" s="255">
        <v>1.9434</v>
      </c>
      <c r="E5" t="s">
        <v>2119</v>
      </c>
      <c r="F5" s="248">
        <v>43337</v>
      </c>
    </row>
    <row r="6" spans="1:10">
      <c r="A6" t="s">
        <v>1948</v>
      </c>
      <c r="B6" t="s">
        <v>3505</v>
      </c>
      <c r="D6" s="247">
        <v>1.0327999999999999</v>
      </c>
      <c r="E6"/>
      <c r="F6" s="248">
        <v>43010</v>
      </c>
    </row>
    <row r="7" spans="1:10">
      <c r="A7" t="s">
        <v>1945</v>
      </c>
      <c r="B7">
        <v>195</v>
      </c>
      <c r="C7" t="s">
        <v>2504</v>
      </c>
      <c r="D7">
        <v>1.2050000000000001</v>
      </c>
      <c r="E7" s="223" t="s">
        <v>2455</v>
      </c>
      <c r="F7" s="16">
        <v>43208</v>
      </c>
    </row>
    <row r="8" spans="1:10">
      <c r="A8" t="s">
        <v>1944</v>
      </c>
      <c r="B8" t="s">
        <v>3480</v>
      </c>
      <c r="D8">
        <v>2.0188999999999999</v>
      </c>
      <c r="E8" s="254"/>
      <c r="F8" s="248">
        <v>43007</v>
      </c>
    </row>
    <row r="9" spans="1:10">
      <c r="A9" t="s">
        <v>1943</v>
      </c>
      <c r="B9" t="s">
        <v>3595</v>
      </c>
      <c r="D9" s="255">
        <v>2.0276000000000001</v>
      </c>
      <c r="E9"/>
      <c r="F9" s="248">
        <v>43334</v>
      </c>
    </row>
    <row r="10" spans="1:10">
      <c r="A10" t="s">
        <v>1941</v>
      </c>
      <c r="B10" t="s">
        <v>3507</v>
      </c>
      <c r="D10" s="247">
        <v>0.67359999999999998</v>
      </c>
      <c r="E10"/>
      <c r="F10" s="248">
        <v>43008</v>
      </c>
    </row>
    <row r="11" spans="1:10">
      <c r="A11" t="s">
        <v>2039</v>
      </c>
      <c r="B11" t="s">
        <v>3485</v>
      </c>
      <c r="D11">
        <v>1.0169999999999999</v>
      </c>
      <c r="E11" s="254"/>
      <c r="F11" s="248">
        <v>43010</v>
      </c>
    </row>
    <row r="12" spans="1:10">
      <c r="A12" t="s">
        <v>1940</v>
      </c>
      <c r="B12" t="s">
        <v>3589</v>
      </c>
      <c r="D12" s="255">
        <v>1.8372999999999999</v>
      </c>
      <c r="E12" t="s">
        <v>2119</v>
      </c>
      <c r="F12" s="248">
        <v>43334</v>
      </c>
    </row>
    <row r="13" spans="1:10">
      <c r="A13" t="s">
        <v>1939</v>
      </c>
      <c r="B13" t="s">
        <v>3586</v>
      </c>
      <c r="D13" s="255">
        <v>1.8357000000000001</v>
      </c>
      <c r="E13"/>
      <c r="F13" s="248">
        <v>43333</v>
      </c>
    </row>
    <row r="14" spans="1:10">
      <c r="A14" t="s">
        <v>1938</v>
      </c>
      <c r="B14" t="s">
        <v>3426</v>
      </c>
      <c r="D14">
        <v>1.0448</v>
      </c>
      <c r="E14" s="254"/>
      <c r="F14" s="248">
        <v>43009</v>
      </c>
    </row>
    <row r="15" spans="1:10">
      <c r="A15" t="s">
        <v>1937</v>
      </c>
      <c r="B15" t="s">
        <v>3446</v>
      </c>
      <c r="D15">
        <v>1.8204</v>
      </c>
      <c r="E15" s="254"/>
      <c r="F15" s="248">
        <v>43007</v>
      </c>
    </row>
    <row r="16" spans="1:10">
      <c r="A16" t="s">
        <v>1935</v>
      </c>
      <c r="B16" t="s">
        <v>3582</v>
      </c>
      <c r="D16" s="255">
        <v>1.7069000000000001</v>
      </c>
      <c r="E16" t="s">
        <v>2119</v>
      </c>
      <c r="F16" s="248">
        <v>43333</v>
      </c>
    </row>
    <row r="17" spans="1:6">
      <c r="A17" t="s">
        <v>1934</v>
      </c>
      <c r="B17" t="s">
        <v>3617</v>
      </c>
      <c r="D17" s="255">
        <v>0.63749999999999996</v>
      </c>
      <c r="E17"/>
      <c r="F17" s="248">
        <v>43334</v>
      </c>
    </row>
    <row r="18" spans="1:6">
      <c r="A18" t="s">
        <v>1932</v>
      </c>
      <c r="B18" t="s">
        <v>3423</v>
      </c>
      <c r="D18">
        <v>0.87509999999999999</v>
      </c>
      <c r="E18" s="254"/>
      <c r="F18" s="248">
        <v>43008</v>
      </c>
    </row>
    <row r="19" spans="1:6">
      <c r="A19" t="s">
        <v>2038</v>
      </c>
      <c r="B19">
        <v>196</v>
      </c>
      <c r="C19" t="s">
        <v>2504</v>
      </c>
      <c r="D19">
        <v>0.748</v>
      </c>
      <c r="E19" s="223" t="s">
        <v>2455</v>
      </c>
      <c r="F19" s="16">
        <v>43208</v>
      </c>
    </row>
    <row r="20" spans="1:6">
      <c r="A20" t="s">
        <v>1930</v>
      </c>
      <c r="B20" t="s">
        <v>3504</v>
      </c>
      <c r="D20" s="249">
        <v>1.0569999999999999</v>
      </c>
      <c r="E20"/>
      <c r="F20" s="248">
        <v>43010</v>
      </c>
    </row>
    <row r="21" spans="1:6">
      <c r="A21" t="s">
        <v>1927</v>
      </c>
      <c r="B21" t="s">
        <v>3408</v>
      </c>
      <c r="D21">
        <v>0.82250000000000001</v>
      </c>
      <c r="E21" s="254"/>
      <c r="F21" s="247"/>
    </row>
    <row r="22" spans="1:6">
      <c r="A22" t="s">
        <v>1926</v>
      </c>
      <c r="B22" t="s">
        <v>3404</v>
      </c>
      <c r="D22">
        <v>0.66969999999999996</v>
      </c>
      <c r="E22" s="254"/>
      <c r="F22" s="247"/>
    </row>
    <row r="23" spans="1:6">
      <c r="A23" t="s">
        <v>1925</v>
      </c>
      <c r="B23" t="s">
        <v>3610</v>
      </c>
      <c r="D23" s="255">
        <v>0.78120000000000001</v>
      </c>
      <c r="E23"/>
      <c r="F23" s="248">
        <v>43334</v>
      </c>
    </row>
    <row r="24" spans="1:6">
      <c r="A24" t="s">
        <v>1924</v>
      </c>
      <c r="B24" t="s">
        <v>3647</v>
      </c>
      <c r="D24" s="255">
        <v>1.8705000000000001</v>
      </c>
      <c r="E24"/>
      <c r="F24" s="248">
        <v>43338</v>
      </c>
    </row>
    <row r="25" spans="1:6">
      <c r="A25" t="s">
        <v>1923</v>
      </c>
      <c r="B25" t="s">
        <v>3499</v>
      </c>
      <c r="D25" s="247">
        <v>1.1896</v>
      </c>
      <c r="E25"/>
      <c r="F25" s="248">
        <v>43010</v>
      </c>
    </row>
    <row r="26" spans="1:6">
      <c r="A26" t="s">
        <v>1922</v>
      </c>
      <c r="B26">
        <v>214</v>
      </c>
      <c r="C26" t="s">
        <v>2504</v>
      </c>
      <c r="D26">
        <v>0.70599999999999996</v>
      </c>
      <c r="E26" s="223" t="s">
        <v>2508</v>
      </c>
      <c r="F26" s="16">
        <v>43208</v>
      </c>
    </row>
    <row r="27" spans="1:6">
      <c r="A27" t="s">
        <v>2037</v>
      </c>
      <c r="B27" t="s">
        <v>3636</v>
      </c>
      <c r="D27" s="255">
        <v>1.9104000000000001</v>
      </c>
      <c r="E27"/>
      <c r="F27" s="248">
        <v>43337</v>
      </c>
    </row>
    <row r="28" spans="1:6">
      <c r="A28" t="s">
        <v>1920</v>
      </c>
      <c r="B28" t="s">
        <v>3593</v>
      </c>
      <c r="D28" s="255">
        <v>1.8545</v>
      </c>
      <c r="E28" t="s">
        <v>3594</v>
      </c>
      <c r="F28" s="248">
        <v>43334</v>
      </c>
    </row>
    <row r="29" spans="1:6">
      <c r="A29" t="s">
        <v>1919</v>
      </c>
      <c r="B29" t="s">
        <v>3500</v>
      </c>
      <c r="D29" s="249">
        <v>1.544</v>
      </c>
      <c r="E29"/>
      <c r="F29" s="248">
        <v>43010</v>
      </c>
    </row>
    <row r="30" spans="1:6">
      <c r="A30" t="s">
        <v>1916</v>
      </c>
      <c r="B30" t="s">
        <v>3509</v>
      </c>
      <c r="D30" s="247">
        <v>0.82289999999999996</v>
      </c>
      <c r="E30"/>
      <c r="F30" s="248">
        <v>43008</v>
      </c>
    </row>
    <row r="31" spans="1:6">
      <c r="A31" t="s">
        <v>1915</v>
      </c>
      <c r="B31" t="s">
        <v>3466</v>
      </c>
      <c r="D31">
        <v>0.78129999999999999</v>
      </c>
      <c r="E31" s="254"/>
      <c r="F31" s="248">
        <v>43009</v>
      </c>
    </row>
    <row r="32" spans="1:6">
      <c r="A32" t="s">
        <v>1914</v>
      </c>
      <c r="B32" t="s">
        <v>3468</v>
      </c>
      <c r="D32">
        <v>0.71589999999999998</v>
      </c>
      <c r="E32" s="254"/>
      <c r="F32" s="248">
        <v>43009</v>
      </c>
    </row>
    <row r="33" spans="1:6">
      <c r="A33" t="s">
        <v>1912</v>
      </c>
      <c r="B33" t="s">
        <v>3648</v>
      </c>
      <c r="D33" s="255">
        <v>1.782</v>
      </c>
      <c r="E33"/>
      <c r="F33" s="248">
        <v>43338</v>
      </c>
    </row>
    <row r="34" spans="1:6">
      <c r="A34" t="s">
        <v>1911</v>
      </c>
      <c r="B34" t="s">
        <v>3629</v>
      </c>
      <c r="D34" s="255">
        <v>1.8048</v>
      </c>
      <c r="E34" t="s">
        <v>2115</v>
      </c>
      <c r="F34" s="248">
        <v>43337</v>
      </c>
    </row>
    <row r="35" spans="1:6">
      <c r="A35" t="s">
        <v>1910</v>
      </c>
      <c r="B35">
        <v>208</v>
      </c>
      <c r="C35" t="s">
        <v>2504</v>
      </c>
      <c r="D35">
        <v>0.74199999999999999</v>
      </c>
      <c r="E35" s="223" t="s">
        <v>2454</v>
      </c>
      <c r="F35" s="16">
        <v>43208</v>
      </c>
    </row>
    <row r="36" spans="1:6">
      <c r="A36" t="s">
        <v>1909</v>
      </c>
      <c r="B36" t="s">
        <v>3418</v>
      </c>
      <c r="D36">
        <v>0.66180000000000005</v>
      </c>
      <c r="E36" s="254"/>
      <c r="F36" s="248">
        <v>43008</v>
      </c>
    </row>
    <row r="37" spans="1:6">
      <c r="A37" t="s">
        <v>1907</v>
      </c>
      <c r="B37">
        <v>213</v>
      </c>
      <c r="C37" t="s">
        <v>2504</v>
      </c>
      <c r="D37">
        <v>0.57899999999999996</v>
      </c>
      <c r="E37" s="223" t="s">
        <v>2505</v>
      </c>
      <c r="F37" s="16">
        <v>43208</v>
      </c>
    </row>
    <row r="38" spans="1:6">
      <c r="A38" t="s">
        <v>1906</v>
      </c>
      <c r="B38" t="s">
        <v>3472</v>
      </c>
      <c r="D38">
        <v>0.68520000000000003</v>
      </c>
      <c r="E38" s="254"/>
      <c r="F38" s="248">
        <v>43009</v>
      </c>
    </row>
    <row r="39" spans="1:6">
      <c r="A39" t="s">
        <v>1905</v>
      </c>
      <c r="B39" t="s">
        <v>3501</v>
      </c>
      <c r="D39" s="247">
        <v>1.0654999999999999</v>
      </c>
      <c r="E39"/>
      <c r="F39" s="248">
        <v>43010</v>
      </c>
    </row>
    <row r="40" spans="1:6">
      <c r="A40" t="s">
        <v>1904</v>
      </c>
      <c r="B40" t="s">
        <v>3469</v>
      </c>
      <c r="D40">
        <v>0.91069999999999995</v>
      </c>
      <c r="E40" s="254" t="s">
        <v>3406</v>
      </c>
      <c r="F40" s="248">
        <v>43009</v>
      </c>
    </row>
    <row r="41" spans="1:6">
      <c r="A41" t="s">
        <v>1903</v>
      </c>
      <c r="B41" t="s">
        <v>3399</v>
      </c>
      <c r="D41">
        <v>0.71709999999999996</v>
      </c>
      <c r="E41" s="254"/>
      <c r="F41" s="247"/>
    </row>
    <row r="42" spans="1:6">
      <c r="A42" t="s">
        <v>1902</v>
      </c>
      <c r="B42">
        <v>194</v>
      </c>
      <c r="C42" t="s">
        <v>2504</v>
      </c>
      <c r="D42">
        <v>0.433</v>
      </c>
      <c r="E42" s="223" t="s">
        <v>2505</v>
      </c>
      <c r="F42" s="16">
        <v>43208</v>
      </c>
    </row>
    <row r="43" spans="1:6">
      <c r="A43" t="s">
        <v>1901</v>
      </c>
      <c r="B43" t="s">
        <v>3422</v>
      </c>
      <c r="D43">
        <v>0.75890000000000002</v>
      </c>
      <c r="E43" s="254"/>
      <c r="F43" s="248">
        <v>43009</v>
      </c>
    </row>
    <row r="44" spans="1:6">
      <c r="A44" t="s">
        <v>2035</v>
      </c>
      <c r="B44" t="s">
        <v>3486</v>
      </c>
      <c r="D44">
        <v>1.6711</v>
      </c>
      <c r="E44" s="254"/>
      <c r="F44" s="248">
        <v>43010</v>
      </c>
    </row>
    <row r="45" spans="1:6">
      <c r="A45" t="s">
        <v>1898</v>
      </c>
      <c r="B45" t="s">
        <v>3585</v>
      </c>
      <c r="D45" s="255">
        <v>1.8697999999999999</v>
      </c>
      <c r="E45"/>
      <c r="F45" s="248">
        <v>43333</v>
      </c>
    </row>
    <row r="46" spans="1:6">
      <c r="A46" t="s">
        <v>1897</v>
      </c>
      <c r="B46" t="s">
        <v>3488</v>
      </c>
      <c r="D46">
        <v>0.87609999999999999</v>
      </c>
      <c r="E46"/>
      <c r="F46" s="248">
        <v>43010</v>
      </c>
    </row>
    <row r="47" spans="1:6">
      <c r="A47" t="s">
        <v>1895</v>
      </c>
      <c r="B47" t="s">
        <v>3431</v>
      </c>
      <c r="D47">
        <v>0.78239999999999998</v>
      </c>
      <c r="E47" s="254"/>
      <c r="F47" s="248">
        <v>43009</v>
      </c>
    </row>
    <row r="48" spans="1:6">
      <c r="A48" t="s">
        <v>1894</v>
      </c>
      <c r="B48" t="s">
        <v>3438</v>
      </c>
      <c r="D48">
        <v>1.8079000000000001</v>
      </c>
      <c r="E48" s="254"/>
      <c r="F48" s="248">
        <v>43007</v>
      </c>
    </row>
    <row r="49" spans="1:6">
      <c r="A49" t="s">
        <v>1893</v>
      </c>
      <c r="B49" t="s">
        <v>3638</v>
      </c>
      <c r="D49" s="255">
        <v>1.8103</v>
      </c>
      <c r="E49"/>
      <c r="F49" s="248">
        <v>43338</v>
      </c>
    </row>
    <row r="50" spans="1:6">
      <c r="A50" t="s">
        <v>1892</v>
      </c>
      <c r="B50" t="s">
        <v>3401</v>
      </c>
      <c r="D50">
        <v>0.71050000000000002</v>
      </c>
      <c r="E50" s="254" t="s">
        <v>2136</v>
      </c>
      <c r="F50" s="247"/>
    </row>
    <row r="51" spans="1:6">
      <c r="A51" t="s">
        <v>1891</v>
      </c>
      <c r="B51" t="s">
        <v>3604</v>
      </c>
      <c r="D51" s="255">
        <v>0.76990000000000003</v>
      </c>
      <c r="E51"/>
      <c r="F51" s="248">
        <v>43334</v>
      </c>
    </row>
    <row r="52" spans="1:6">
      <c r="A52" t="s">
        <v>1889</v>
      </c>
      <c r="B52" t="s">
        <v>3496</v>
      </c>
      <c r="D52" s="247">
        <v>1.7174</v>
      </c>
      <c r="E52"/>
      <c r="F52" s="248">
        <v>43010</v>
      </c>
    </row>
    <row r="53" spans="1:6">
      <c r="A53" t="s">
        <v>1888</v>
      </c>
      <c r="B53" t="s">
        <v>3484</v>
      </c>
      <c r="D53">
        <v>1.4899</v>
      </c>
      <c r="E53" s="254"/>
      <c r="F53" s="248">
        <v>43010</v>
      </c>
    </row>
    <row r="54" spans="1:6">
      <c r="A54" t="s">
        <v>1884</v>
      </c>
      <c r="B54" t="s">
        <v>3451</v>
      </c>
      <c r="D54">
        <v>1.8809</v>
      </c>
      <c r="E54" s="254"/>
      <c r="F54" s="248">
        <v>43007</v>
      </c>
    </row>
    <row r="55" spans="1:6">
      <c r="A55" t="s">
        <v>1883</v>
      </c>
      <c r="B55" t="s">
        <v>3502</v>
      </c>
      <c r="D55" s="247">
        <v>0.98309999999999997</v>
      </c>
      <c r="E55"/>
      <c r="F55" s="248">
        <v>43010</v>
      </c>
    </row>
    <row r="56" spans="1:6">
      <c r="A56" t="s">
        <v>1882</v>
      </c>
      <c r="B56" t="s">
        <v>3390</v>
      </c>
      <c r="D56">
        <v>0.72609999999999997</v>
      </c>
      <c r="E56" s="254"/>
      <c r="F56" s="247"/>
    </row>
    <row r="57" spans="1:6">
      <c r="A57" t="s">
        <v>1881</v>
      </c>
      <c r="B57" t="s">
        <v>3392</v>
      </c>
      <c r="D57">
        <v>0.70899999999999996</v>
      </c>
      <c r="E57" s="254"/>
      <c r="F57" s="247"/>
    </row>
    <row r="58" spans="1:6">
      <c r="A58" t="s">
        <v>2033</v>
      </c>
      <c r="B58" t="s">
        <v>3428</v>
      </c>
      <c r="D58">
        <v>0.73580000000000001</v>
      </c>
      <c r="E58" s="254"/>
      <c r="F58" s="248">
        <v>43008</v>
      </c>
    </row>
    <row r="59" spans="1:6">
      <c r="A59" t="s">
        <v>1880</v>
      </c>
      <c r="B59">
        <v>218</v>
      </c>
      <c r="C59" t="s">
        <v>2504</v>
      </c>
      <c r="D59">
        <v>0.66100000000000003</v>
      </c>
      <c r="E59" s="223" t="s">
        <v>2509</v>
      </c>
      <c r="F59" s="16">
        <v>43208</v>
      </c>
    </row>
    <row r="60" spans="1:6">
      <c r="A60" t="s">
        <v>1879</v>
      </c>
      <c r="B60" t="s">
        <v>3467</v>
      </c>
      <c r="D60">
        <v>0.75309999999999999</v>
      </c>
      <c r="E60" s="254"/>
      <c r="F60" s="248">
        <v>43009</v>
      </c>
    </row>
    <row r="61" spans="1:6">
      <c r="A61" t="s">
        <v>1878</v>
      </c>
      <c r="B61" t="s">
        <v>3623</v>
      </c>
      <c r="D61" s="255">
        <v>1.8197000000000001</v>
      </c>
      <c r="E61"/>
      <c r="F61" s="248">
        <v>43337</v>
      </c>
    </row>
    <row r="62" spans="1:6">
      <c r="A62" t="s">
        <v>1877</v>
      </c>
      <c r="B62" t="s">
        <v>3405</v>
      </c>
      <c r="D62">
        <v>0.79190000000000005</v>
      </c>
      <c r="E62" s="254" t="s">
        <v>2136</v>
      </c>
      <c r="F62" s="247"/>
    </row>
    <row r="63" spans="1:6">
      <c r="A63" t="s">
        <v>1876</v>
      </c>
      <c r="B63" t="s">
        <v>3648</v>
      </c>
      <c r="D63" s="255">
        <v>1.8838999999999999</v>
      </c>
      <c r="E63"/>
      <c r="F63" s="248">
        <v>43338</v>
      </c>
    </row>
    <row r="64" spans="1:6">
      <c r="A64" t="s">
        <v>1875</v>
      </c>
      <c r="B64" t="s">
        <v>3490</v>
      </c>
      <c r="D64" s="247">
        <v>1.2042999999999999</v>
      </c>
      <c r="E64"/>
      <c r="F64" s="248">
        <v>43010</v>
      </c>
    </row>
    <row r="65" spans="1:6">
      <c r="A65" t="s">
        <v>1874</v>
      </c>
      <c r="B65" t="s">
        <v>3614</v>
      </c>
      <c r="D65" s="255">
        <v>1.3146</v>
      </c>
      <c r="E65" t="s">
        <v>3616</v>
      </c>
      <c r="F65" s="248">
        <v>43334</v>
      </c>
    </row>
    <row r="66" spans="1:6">
      <c r="A66" t="s">
        <v>1871</v>
      </c>
      <c r="B66" t="s">
        <v>3390</v>
      </c>
      <c r="D66">
        <v>0.59770000000000001</v>
      </c>
      <c r="E66" s="254"/>
      <c r="F66" s="247"/>
    </row>
    <row r="67" spans="1:6">
      <c r="A67" t="s">
        <v>1869</v>
      </c>
      <c r="B67" t="s">
        <v>3399</v>
      </c>
      <c r="D67">
        <v>0.80740000000000001</v>
      </c>
      <c r="E67" s="254"/>
      <c r="F67" s="247"/>
    </row>
    <row r="68" spans="1:6">
      <c r="A68" t="s">
        <v>1868</v>
      </c>
      <c r="B68" t="s">
        <v>3407</v>
      </c>
      <c r="D68">
        <v>0.62490000000000001</v>
      </c>
      <c r="E68" s="254"/>
      <c r="F68" s="247"/>
    </row>
    <row r="69" spans="1:6">
      <c r="A69" t="s">
        <v>1867</v>
      </c>
      <c r="B69" t="s">
        <v>3473</v>
      </c>
      <c r="D69">
        <v>0.92459999999999998</v>
      </c>
      <c r="E69" s="254"/>
      <c r="F69" s="248">
        <v>43009</v>
      </c>
    </row>
    <row r="70" spans="1:6">
      <c r="A70" t="s">
        <v>1866</v>
      </c>
      <c r="B70" t="s">
        <v>3493</v>
      </c>
      <c r="D70" s="247">
        <v>0.99180000000000001</v>
      </c>
      <c r="E70"/>
      <c r="F70" s="248">
        <v>43010</v>
      </c>
    </row>
    <row r="71" spans="1:6">
      <c r="A71" t="s">
        <v>1865</v>
      </c>
      <c r="B71" t="s">
        <v>3469</v>
      </c>
      <c r="D71">
        <v>0.74670000000000003</v>
      </c>
      <c r="E71" s="254"/>
      <c r="F71" s="248">
        <v>43009</v>
      </c>
    </row>
    <row r="72" spans="1:6">
      <c r="A72" t="s">
        <v>1864</v>
      </c>
      <c r="B72" t="s">
        <v>3401</v>
      </c>
      <c r="D72">
        <v>0.6643</v>
      </c>
      <c r="E72" s="254" t="s">
        <v>2136</v>
      </c>
      <c r="F72" s="247"/>
    </row>
    <row r="73" spans="1:6">
      <c r="A73" t="s">
        <v>1863</v>
      </c>
      <c r="B73" t="s">
        <v>3614</v>
      </c>
      <c r="D73" s="255">
        <v>1.1655</v>
      </c>
      <c r="E73"/>
      <c r="F73" s="248">
        <v>43334</v>
      </c>
    </row>
    <row r="74" spans="1:6">
      <c r="A74" t="s">
        <v>1862</v>
      </c>
      <c r="B74" t="s">
        <v>3625</v>
      </c>
      <c r="D74" s="255">
        <v>1.7849999999999999</v>
      </c>
      <c r="E74"/>
      <c r="F74" s="248">
        <v>43337</v>
      </c>
    </row>
    <row r="75" spans="1:6">
      <c r="A75" t="s">
        <v>1861</v>
      </c>
      <c r="B75" t="s">
        <v>3511</v>
      </c>
      <c r="D75" s="247">
        <v>0.76890000000000003</v>
      </c>
      <c r="E75"/>
      <c r="F75" s="248">
        <v>43008</v>
      </c>
    </row>
    <row r="76" spans="1:6">
      <c r="A76" t="s">
        <v>2031</v>
      </c>
      <c r="B76" t="s">
        <v>3487</v>
      </c>
      <c r="D76">
        <v>1.0404</v>
      </c>
      <c r="E76" s="254"/>
      <c r="F76" s="248">
        <v>43010</v>
      </c>
    </row>
    <row r="77" spans="1:6">
      <c r="A77" t="s">
        <v>1860</v>
      </c>
      <c r="B77" t="s">
        <v>3444</v>
      </c>
      <c r="D77">
        <v>1.7041999999999999</v>
      </c>
      <c r="E77" s="254"/>
      <c r="F77" s="248">
        <v>43007</v>
      </c>
    </row>
    <row r="78" spans="1:6">
      <c r="A78" t="s">
        <v>1857</v>
      </c>
      <c r="B78" t="s">
        <v>3442</v>
      </c>
      <c r="D78">
        <v>1.8848</v>
      </c>
      <c r="E78" s="254"/>
      <c r="F78" s="248">
        <v>43007</v>
      </c>
    </row>
    <row r="79" spans="1:6">
      <c r="A79" t="s">
        <v>1856</v>
      </c>
      <c r="B79" t="s">
        <v>3489</v>
      </c>
      <c r="D79" s="249">
        <v>1.56</v>
      </c>
      <c r="E79"/>
      <c r="F79" s="248">
        <v>43010</v>
      </c>
    </row>
    <row r="80" spans="1:6">
      <c r="A80" t="s">
        <v>1854</v>
      </c>
      <c r="B80" t="s">
        <v>3408</v>
      </c>
      <c r="D80">
        <v>0.5756</v>
      </c>
      <c r="E80" s="254"/>
      <c r="F80" s="247"/>
    </row>
    <row r="81" spans="1:6">
      <c r="A81" t="s">
        <v>1853</v>
      </c>
      <c r="B81" t="s">
        <v>3487</v>
      </c>
      <c r="D81">
        <v>1.2847</v>
      </c>
      <c r="E81" s="254"/>
      <c r="F81" s="248">
        <v>43010</v>
      </c>
    </row>
    <row r="82" spans="1:6">
      <c r="A82" t="s">
        <v>1852</v>
      </c>
      <c r="B82" t="s">
        <v>3492</v>
      </c>
      <c r="D82" s="247">
        <v>1.3654999999999999</v>
      </c>
      <c r="E82"/>
      <c r="F82" s="248">
        <v>43010</v>
      </c>
    </row>
    <row r="83" spans="1:6">
      <c r="A83" t="s">
        <v>2048</v>
      </c>
      <c r="B83" t="s">
        <v>3478</v>
      </c>
      <c r="D83">
        <v>1.7587999999999999</v>
      </c>
      <c r="E83" s="254"/>
      <c r="F83" s="248">
        <v>43007</v>
      </c>
    </row>
    <row r="84" spans="1:6">
      <c r="A84" t="s">
        <v>2030</v>
      </c>
      <c r="B84" t="s">
        <v>3502</v>
      </c>
      <c r="D84" s="247">
        <v>1.0826</v>
      </c>
      <c r="E84"/>
      <c r="F84" s="248">
        <v>43010</v>
      </c>
    </row>
    <row r="85" spans="1:6">
      <c r="A85" t="s">
        <v>1850</v>
      </c>
      <c r="B85" t="s">
        <v>3510</v>
      </c>
      <c r="D85" s="247">
        <v>0.71760000000000002</v>
      </c>
      <c r="E85" t="s">
        <v>3463</v>
      </c>
      <c r="F85" s="248">
        <v>43008</v>
      </c>
    </row>
    <row r="86" spans="1:6">
      <c r="A86" t="s">
        <v>1846</v>
      </c>
      <c r="B86" t="s">
        <v>3400</v>
      </c>
      <c r="D86">
        <v>0.80579999999999996</v>
      </c>
      <c r="E86" s="254"/>
      <c r="F86" s="247"/>
    </row>
    <row r="87" spans="1:6">
      <c r="A87" t="s">
        <v>1845</v>
      </c>
      <c r="B87" t="s">
        <v>3417</v>
      </c>
      <c r="D87">
        <v>0.82040000000000002</v>
      </c>
      <c r="E87" s="254"/>
      <c r="F87" s="248">
        <v>43008</v>
      </c>
    </row>
    <row r="88" spans="1:6">
      <c r="A88" t="s">
        <v>1844</v>
      </c>
      <c r="B88" t="s">
        <v>3511</v>
      </c>
      <c r="D88" s="247">
        <v>0.75260000000000005</v>
      </c>
      <c r="E88"/>
      <c r="F88" s="248">
        <v>43008</v>
      </c>
    </row>
    <row r="89" spans="1:6">
      <c r="A89" t="s">
        <v>1843</v>
      </c>
      <c r="B89" t="s">
        <v>3420</v>
      </c>
      <c r="D89">
        <v>0.76570000000000005</v>
      </c>
      <c r="E89" s="254"/>
      <c r="F89" s="248">
        <v>43008</v>
      </c>
    </row>
    <row r="90" spans="1:6">
      <c r="A90" t="s">
        <v>1841</v>
      </c>
      <c r="B90" t="s">
        <v>3443</v>
      </c>
      <c r="D90">
        <v>1.9087000000000001</v>
      </c>
      <c r="E90" s="254"/>
      <c r="F90" s="248">
        <v>43007</v>
      </c>
    </row>
    <row r="91" spans="1:6">
      <c r="A91" t="s">
        <v>2029</v>
      </c>
      <c r="B91" t="s">
        <v>3488</v>
      </c>
      <c r="E91" t="s">
        <v>3471</v>
      </c>
      <c r="F91" s="248">
        <v>43010</v>
      </c>
    </row>
    <row r="92" spans="1:6">
      <c r="A92" t="s">
        <v>1839</v>
      </c>
      <c r="B92">
        <v>201</v>
      </c>
      <c r="C92" t="s">
        <v>2504</v>
      </c>
      <c r="D92">
        <v>0.67300000000000004</v>
      </c>
      <c r="E92" s="223" t="s">
        <v>2509</v>
      </c>
      <c r="F92" s="16">
        <v>43208</v>
      </c>
    </row>
    <row r="93" spans="1:6">
      <c r="A93" t="s">
        <v>1837</v>
      </c>
      <c r="B93" t="s">
        <v>3417</v>
      </c>
      <c r="D93">
        <v>0.66200000000000003</v>
      </c>
      <c r="E93" s="254"/>
      <c r="F93" s="248">
        <v>43008</v>
      </c>
    </row>
    <row r="94" spans="1:6">
      <c r="A94" t="s">
        <v>1835</v>
      </c>
      <c r="B94" t="s">
        <v>3643</v>
      </c>
      <c r="D94" s="255">
        <v>1.9146000000000001</v>
      </c>
      <c r="E94"/>
      <c r="F94" s="248">
        <v>43338</v>
      </c>
    </row>
    <row r="95" spans="1:6">
      <c r="A95" t="s">
        <v>1832</v>
      </c>
      <c r="B95" t="s">
        <v>3629</v>
      </c>
      <c r="D95" s="255">
        <v>1.7766</v>
      </c>
      <c r="E95"/>
      <c r="F95" s="248">
        <v>43337</v>
      </c>
    </row>
    <row r="96" spans="1:6">
      <c r="A96" t="s">
        <v>1831</v>
      </c>
      <c r="B96" t="s">
        <v>3441</v>
      </c>
      <c r="D96">
        <v>0.76939999999999997</v>
      </c>
      <c r="E96" s="254"/>
      <c r="F96" s="248">
        <v>43007</v>
      </c>
    </row>
    <row r="97" spans="1:6">
      <c r="A97" t="s">
        <v>2028</v>
      </c>
      <c r="B97" t="s">
        <v>3414</v>
      </c>
      <c r="D97">
        <v>0.7238</v>
      </c>
      <c r="E97" s="254"/>
      <c r="F97" s="248">
        <v>43009</v>
      </c>
    </row>
    <row r="98" spans="1:6">
      <c r="A98" t="s">
        <v>1830</v>
      </c>
      <c r="B98" t="s">
        <v>3588</v>
      </c>
      <c r="D98" s="255">
        <v>1.9671000000000001</v>
      </c>
      <c r="E98" t="s">
        <v>2119</v>
      </c>
      <c r="F98" s="248">
        <v>43334</v>
      </c>
    </row>
    <row r="99" spans="1:6">
      <c r="A99" t="s">
        <v>1829</v>
      </c>
      <c r="B99" t="s">
        <v>3617</v>
      </c>
      <c r="D99" s="255">
        <v>0.66700000000000004</v>
      </c>
      <c r="E99" t="s">
        <v>3618</v>
      </c>
      <c r="F99" s="248">
        <v>43334</v>
      </c>
    </row>
    <row r="100" spans="1:6">
      <c r="A100" t="s">
        <v>1826</v>
      </c>
      <c r="B100" t="s">
        <v>3407</v>
      </c>
      <c r="D100">
        <v>0.53049999999999997</v>
      </c>
      <c r="E100" s="254"/>
      <c r="F100" s="247"/>
    </row>
    <row r="101" spans="1:6">
      <c r="A101" t="s">
        <v>1825</v>
      </c>
      <c r="B101" t="s">
        <v>3441</v>
      </c>
      <c r="D101">
        <v>1.25</v>
      </c>
      <c r="E101" s="254" t="s">
        <v>2511</v>
      </c>
      <c r="F101" s="248">
        <v>43007</v>
      </c>
    </row>
    <row r="102" spans="1:6">
      <c r="A102" t="s">
        <v>1824</v>
      </c>
      <c r="B102" t="s">
        <v>3593</v>
      </c>
      <c r="D102" s="255">
        <v>1.7826</v>
      </c>
      <c r="E102"/>
      <c r="F102" s="248">
        <v>43334</v>
      </c>
    </row>
    <row r="103" spans="1:6">
      <c r="A103" t="s">
        <v>1823</v>
      </c>
      <c r="B103" t="s">
        <v>3597</v>
      </c>
      <c r="D103" s="255">
        <v>1.7715000000000001</v>
      </c>
      <c r="E103"/>
      <c r="F103" s="248">
        <v>43334</v>
      </c>
    </row>
    <row r="104" spans="1:6">
      <c r="A104" t="s">
        <v>1822</v>
      </c>
      <c r="B104" t="s">
        <v>3481</v>
      </c>
      <c r="D104">
        <v>0.83330000000000004</v>
      </c>
      <c r="E104" s="254"/>
      <c r="F104" s="248">
        <v>43007</v>
      </c>
    </row>
    <row r="105" spans="1:6">
      <c r="A105" t="s">
        <v>2027</v>
      </c>
      <c r="B105" t="s">
        <v>3481</v>
      </c>
      <c r="D105">
        <v>0.94159999999999999</v>
      </c>
      <c r="E105" s="254"/>
      <c r="F105" s="248">
        <v>43007</v>
      </c>
    </row>
    <row r="106" spans="1:6">
      <c r="A106" t="s">
        <v>1820</v>
      </c>
      <c r="B106">
        <v>207</v>
      </c>
      <c r="C106" t="s">
        <v>2504</v>
      </c>
      <c r="D106">
        <v>0.73299999999999998</v>
      </c>
      <c r="E106" s="223" t="s">
        <v>2452</v>
      </c>
      <c r="F106" s="16">
        <v>43208</v>
      </c>
    </row>
    <row r="107" spans="1:6">
      <c r="A107" t="s">
        <v>1819</v>
      </c>
      <c r="B107" t="s">
        <v>3626</v>
      </c>
      <c r="D107" s="255">
        <v>1.8747</v>
      </c>
      <c r="E107"/>
      <c r="F107" s="248">
        <v>43337</v>
      </c>
    </row>
    <row r="108" spans="1:6">
      <c r="A108" t="s">
        <v>1819</v>
      </c>
      <c r="B108" t="s">
        <v>3507</v>
      </c>
      <c r="D108" s="247">
        <v>0.78859999999999997</v>
      </c>
      <c r="E108"/>
      <c r="F108" s="248">
        <v>43008</v>
      </c>
    </row>
    <row r="109" spans="1:6">
      <c r="A109" t="s">
        <v>1818</v>
      </c>
      <c r="B109" t="s">
        <v>3412</v>
      </c>
      <c r="D109">
        <v>0.80369999999999997</v>
      </c>
      <c r="E109" s="254"/>
      <c r="F109" s="248">
        <v>43009</v>
      </c>
    </row>
    <row r="110" spans="1:6">
      <c r="A110" t="s">
        <v>1817</v>
      </c>
      <c r="B110" t="s">
        <v>3637</v>
      </c>
      <c r="D110" s="255">
        <v>1.6727000000000001</v>
      </c>
      <c r="E110" t="s">
        <v>2119</v>
      </c>
      <c r="F110" s="248">
        <v>43337</v>
      </c>
    </row>
    <row r="111" spans="1:6">
      <c r="A111" t="s">
        <v>1816</v>
      </c>
      <c r="B111">
        <v>207</v>
      </c>
      <c r="C111" t="s">
        <v>2504</v>
      </c>
      <c r="D111">
        <v>0.745</v>
      </c>
      <c r="E111" s="223" t="s">
        <v>2452</v>
      </c>
      <c r="F111" s="16">
        <v>43208</v>
      </c>
    </row>
    <row r="112" spans="1:6">
      <c r="A112" t="s">
        <v>1815</v>
      </c>
      <c r="B112" t="s">
        <v>3459</v>
      </c>
      <c r="D112">
        <v>0.66620000000000001</v>
      </c>
      <c r="E112" s="254"/>
      <c r="F112" s="248">
        <v>43009</v>
      </c>
    </row>
    <row r="113" spans="1:6">
      <c r="A113" t="s">
        <v>1814</v>
      </c>
      <c r="B113" t="s">
        <v>3604</v>
      </c>
      <c r="D113" s="255">
        <v>0.81489999999999996</v>
      </c>
      <c r="E113" t="s">
        <v>3594</v>
      </c>
      <c r="F113" s="248">
        <v>43334</v>
      </c>
    </row>
    <row r="114" spans="1:6">
      <c r="A114" t="s">
        <v>1813</v>
      </c>
      <c r="B114" t="s">
        <v>3567</v>
      </c>
      <c r="D114" s="255">
        <v>1.8220000000000001</v>
      </c>
      <c r="E114"/>
      <c r="F114" s="248">
        <v>43333</v>
      </c>
    </row>
    <row r="115" spans="1:6" ht="15.6" customHeight="1">
      <c r="A115" t="s">
        <v>1812</v>
      </c>
      <c r="B115" t="s">
        <v>3425</v>
      </c>
      <c r="D115">
        <v>0.81089999999999995</v>
      </c>
      <c r="E115" s="254"/>
      <c r="F115" s="248">
        <v>43009</v>
      </c>
    </row>
    <row r="116" spans="1:6" ht="15" customHeight="1">
      <c r="A116" t="s">
        <v>1811</v>
      </c>
      <c r="B116" t="s">
        <v>3436</v>
      </c>
      <c r="D116">
        <v>0.73950000000000005</v>
      </c>
      <c r="E116" s="254"/>
      <c r="F116" s="248">
        <v>43009</v>
      </c>
    </row>
    <row r="117" spans="1:6">
      <c r="A117" t="s">
        <v>2026</v>
      </c>
      <c r="B117" t="s">
        <v>3645</v>
      </c>
      <c r="D117" s="255">
        <v>1.9084000000000001</v>
      </c>
      <c r="E117"/>
      <c r="F117" s="248">
        <v>43338</v>
      </c>
    </row>
    <row r="118" spans="1:6">
      <c r="A118" t="s">
        <v>1808</v>
      </c>
      <c r="B118" t="s">
        <v>3415</v>
      </c>
      <c r="D118">
        <v>0.70840000000000003</v>
      </c>
      <c r="E118" s="254"/>
      <c r="F118" s="248">
        <v>43009</v>
      </c>
    </row>
    <row r="119" spans="1:6">
      <c r="A119" t="s">
        <v>1807</v>
      </c>
      <c r="B119">
        <v>196</v>
      </c>
      <c r="C119" t="s">
        <v>2504</v>
      </c>
      <c r="D119">
        <v>1.04</v>
      </c>
      <c r="E119" s="223" t="s">
        <v>2455</v>
      </c>
      <c r="F119" s="16">
        <v>43208</v>
      </c>
    </row>
    <row r="120" spans="1:6">
      <c r="A120" t="s">
        <v>1806</v>
      </c>
      <c r="B120" t="s">
        <v>3640</v>
      </c>
      <c r="D120" s="255">
        <v>1.8649</v>
      </c>
      <c r="E120"/>
      <c r="F120" s="248">
        <v>43338</v>
      </c>
    </row>
    <row r="121" spans="1:6" ht="15" customHeight="1">
      <c r="A121" t="s">
        <v>1805</v>
      </c>
      <c r="B121" t="s">
        <v>3435</v>
      </c>
      <c r="D121">
        <v>0.81240000000000001</v>
      </c>
      <c r="E121" s="254"/>
      <c r="F121" s="248">
        <v>43009</v>
      </c>
    </row>
    <row r="122" spans="1:6" ht="15" customHeight="1">
      <c r="A122" t="s">
        <v>1804</v>
      </c>
      <c r="B122" t="s">
        <v>3568</v>
      </c>
      <c r="D122" s="255">
        <v>1.9577</v>
      </c>
      <c r="E122" t="s">
        <v>3571</v>
      </c>
      <c r="F122" s="248">
        <v>43333</v>
      </c>
    </row>
    <row r="123" spans="1:6">
      <c r="A123" t="s">
        <v>1803</v>
      </c>
      <c r="B123" t="s">
        <v>3596</v>
      </c>
      <c r="D123" s="255">
        <v>1.9853000000000001</v>
      </c>
      <c r="E123"/>
      <c r="F123" s="248">
        <v>43334</v>
      </c>
    </row>
    <row r="124" spans="1:6">
      <c r="A124" t="s">
        <v>1802</v>
      </c>
      <c r="B124" t="s">
        <v>3410</v>
      </c>
      <c r="D124">
        <v>1.7124999999999999</v>
      </c>
      <c r="E124" s="254"/>
      <c r="F124" s="247"/>
    </row>
    <row r="125" spans="1:6">
      <c r="A125" t="s">
        <v>2025</v>
      </c>
      <c r="B125" t="s">
        <v>3493</v>
      </c>
      <c r="D125" s="249">
        <v>0.995</v>
      </c>
      <c r="E125"/>
      <c r="F125" s="248">
        <v>43010</v>
      </c>
    </row>
    <row r="126" spans="1:6">
      <c r="A126" t="s">
        <v>1800</v>
      </c>
      <c r="B126" t="s">
        <v>3466</v>
      </c>
      <c r="D126">
        <v>0.80610000000000004</v>
      </c>
      <c r="E126" s="254"/>
      <c r="F126" s="248">
        <v>43009</v>
      </c>
    </row>
    <row r="127" spans="1:6">
      <c r="A127" t="s">
        <v>1797</v>
      </c>
      <c r="B127" t="s">
        <v>3491</v>
      </c>
      <c r="D127" s="247">
        <v>1.2484</v>
      </c>
      <c r="E127"/>
      <c r="F127" s="248">
        <v>43010</v>
      </c>
    </row>
    <row r="128" spans="1:6">
      <c r="A128" t="s">
        <v>1796</v>
      </c>
      <c r="B128">
        <v>197</v>
      </c>
      <c r="C128" t="s">
        <v>2504</v>
      </c>
      <c r="D128">
        <v>0.82399999999999995</v>
      </c>
      <c r="E128" s="223" t="s">
        <v>2452</v>
      </c>
      <c r="F128" s="16">
        <v>43208</v>
      </c>
    </row>
    <row r="129" spans="1:6">
      <c r="A129" t="s">
        <v>1795</v>
      </c>
      <c r="B129" t="s">
        <v>3447</v>
      </c>
      <c r="D129">
        <v>1.6215999999999999</v>
      </c>
      <c r="E129" s="254"/>
      <c r="F129" s="248">
        <v>43007</v>
      </c>
    </row>
    <row r="130" spans="1:6">
      <c r="A130" t="s">
        <v>1794</v>
      </c>
      <c r="B130" t="s">
        <v>3599</v>
      </c>
      <c r="D130" s="255">
        <v>1.6208</v>
      </c>
      <c r="E130" t="s">
        <v>3600</v>
      </c>
      <c r="F130" s="248">
        <v>43334</v>
      </c>
    </row>
    <row r="131" spans="1:6">
      <c r="A131" t="s">
        <v>1793</v>
      </c>
      <c r="B131">
        <v>193</v>
      </c>
      <c r="C131" t="s">
        <v>2504</v>
      </c>
      <c r="D131">
        <v>0.67</v>
      </c>
      <c r="E131" s="223" t="s">
        <v>2454</v>
      </c>
      <c r="F131" s="16">
        <v>43208</v>
      </c>
    </row>
    <row r="132" spans="1:6">
      <c r="A132" t="s">
        <v>1792</v>
      </c>
      <c r="B132" t="s">
        <v>3495</v>
      </c>
      <c r="D132" s="247">
        <v>0.92730000000000001</v>
      </c>
      <c r="E132" t="s">
        <v>3406</v>
      </c>
      <c r="F132" s="248">
        <v>43010</v>
      </c>
    </row>
    <row r="133" spans="1:6">
      <c r="A133" t="s">
        <v>1791</v>
      </c>
      <c r="B133" t="s">
        <v>3439</v>
      </c>
      <c r="D133">
        <v>1.5964</v>
      </c>
      <c r="E133" s="254"/>
      <c r="F133" s="248">
        <v>43007</v>
      </c>
    </row>
    <row r="134" spans="1:6">
      <c r="A134" t="s">
        <v>2024</v>
      </c>
      <c r="B134">
        <v>211</v>
      </c>
      <c r="C134" t="s">
        <v>2504</v>
      </c>
      <c r="D134">
        <v>0.38400000000000001</v>
      </c>
      <c r="F134" s="16">
        <v>43208</v>
      </c>
    </row>
    <row r="135" spans="1:6">
      <c r="A135" t="s">
        <v>1790</v>
      </c>
      <c r="B135" t="s">
        <v>3583</v>
      </c>
      <c r="D135" s="255">
        <v>1.9074</v>
      </c>
      <c r="E135"/>
      <c r="F135" s="248">
        <v>43333</v>
      </c>
    </row>
    <row r="136" spans="1:6">
      <c r="A136" t="s">
        <v>1789</v>
      </c>
      <c r="B136" t="s">
        <v>3626</v>
      </c>
      <c r="D136" s="255">
        <v>1.8041</v>
      </c>
      <c r="E136"/>
      <c r="F136" s="248">
        <v>43337</v>
      </c>
    </row>
    <row r="137" spans="1:6">
      <c r="A137" t="s">
        <v>1788</v>
      </c>
      <c r="B137" t="s">
        <v>3404</v>
      </c>
      <c r="D137">
        <v>0.59640000000000004</v>
      </c>
      <c r="E137" s="254"/>
      <c r="F137" s="247"/>
    </row>
    <row r="138" spans="1:6">
      <c r="A138" t="s">
        <v>1787</v>
      </c>
      <c r="B138" t="s">
        <v>3612</v>
      </c>
      <c r="D138" s="255">
        <v>0.83330000000000004</v>
      </c>
      <c r="E138" t="s">
        <v>3613</v>
      </c>
      <c r="F138" s="248">
        <v>43334</v>
      </c>
    </row>
    <row r="139" spans="1:6">
      <c r="A139" t="s">
        <v>1785</v>
      </c>
      <c r="B139" t="s">
        <v>3397</v>
      </c>
      <c r="D139">
        <v>0.93579999999999997</v>
      </c>
      <c r="E139" s="254"/>
      <c r="F139" s="248">
        <v>43008</v>
      </c>
    </row>
    <row r="140" spans="1:6">
      <c r="A140" t="s">
        <v>1784</v>
      </c>
      <c r="B140" t="s">
        <v>3459</v>
      </c>
      <c r="D140">
        <v>0.69879999999999998</v>
      </c>
      <c r="E140" s="254"/>
      <c r="F140" s="248">
        <v>43009</v>
      </c>
    </row>
    <row r="141" spans="1:6">
      <c r="A141" t="s">
        <v>1783</v>
      </c>
      <c r="B141" t="s">
        <v>3637</v>
      </c>
      <c r="D141" s="255">
        <v>1.8248</v>
      </c>
      <c r="E141" t="s">
        <v>2119</v>
      </c>
      <c r="F141" s="248">
        <v>43337</v>
      </c>
    </row>
    <row r="142" spans="1:6">
      <c r="A142" t="s">
        <v>1782</v>
      </c>
      <c r="B142" t="s">
        <v>3572</v>
      </c>
      <c r="D142" s="255">
        <v>1.7633000000000001</v>
      </c>
      <c r="E142" t="s">
        <v>2119</v>
      </c>
      <c r="F142" s="248">
        <v>43333</v>
      </c>
    </row>
    <row r="143" spans="1:6">
      <c r="A143" t="s">
        <v>2023</v>
      </c>
      <c r="B143">
        <v>198</v>
      </c>
      <c r="C143" t="s">
        <v>2504</v>
      </c>
      <c r="D143">
        <v>0.73799999999999999</v>
      </c>
      <c r="E143" s="223" t="s">
        <v>2453</v>
      </c>
      <c r="F143" s="16">
        <v>43208</v>
      </c>
    </row>
    <row r="144" spans="1:6">
      <c r="A144" t="s">
        <v>1777</v>
      </c>
      <c r="B144" t="s">
        <v>3451</v>
      </c>
      <c r="D144">
        <v>1.9318</v>
      </c>
      <c r="E144" s="254"/>
      <c r="F144" s="248">
        <v>43007</v>
      </c>
    </row>
    <row r="145" spans="1:6">
      <c r="A145" t="s">
        <v>1776</v>
      </c>
      <c r="B145" t="s">
        <v>3397</v>
      </c>
      <c r="D145">
        <v>1.0779000000000001</v>
      </c>
      <c r="E145" s="254"/>
      <c r="F145" s="248">
        <v>43008</v>
      </c>
    </row>
    <row r="146" spans="1:6">
      <c r="A146" t="s">
        <v>1775</v>
      </c>
      <c r="B146" t="s">
        <v>3499</v>
      </c>
      <c r="D146" s="247">
        <v>1.2171000000000001</v>
      </c>
      <c r="E146"/>
      <c r="F146" s="248">
        <v>43010</v>
      </c>
    </row>
    <row r="147" spans="1:6">
      <c r="A147" t="s">
        <v>1773</v>
      </c>
      <c r="B147" t="s">
        <v>3448</v>
      </c>
      <c r="D147">
        <v>1.9345000000000001</v>
      </c>
      <c r="E147" s="254"/>
      <c r="F147" s="248">
        <v>43007</v>
      </c>
    </row>
    <row r="148" spans="1:6">
      <c r="A148" t="s">
        <v>1772</v>
      </c>
      <c r="B148" t="s">
        <v>3602</v>
      </c>
      <c r="D148" s="255">
        <v>1.8243</v>
      </c>
      <c r="E148"/>
      <c r="F148" s="248">
        <v>43334</v>
      </c>
    </row>
    <row r="149" spans="1:6">
      <c r="A149" t="s">
        <v>1766</v>
      </c>
      <c r="B149" t="s">
        <v>3504</v>
      </c>
      <c r="D149" s="247">
        <v>1.1585000000000001</v>
      </c>
      <c r="E149"/>
      <c r="F149" s="248">
        <v>43010</v>
      </c>
    </row>
    <row r="150" spans="1:6">
      <c r="A150" t="s">
        <v>1761</v>
      </c>
      <c r="B150" t="s">
        <v>3491</v>
      </c>
      <c r="D150" s="247">
        <v>1.2491000000000001</v>
      </c>
      <c r="E150"/>
      <c r="F150" s="248">
        <v>43010</v>
      </c>
    </row>
    <row r="151" spans="1:6">
      <c r="A151" t="s">
        <v>1760</v>
      </c>
      <c r="B151" t="s">
        <v>3496</v>
      </c>
      <c r="D151" s="247">
        <v>1.6564000000000001</v>
      </c>
      <c r="E151"/>
      <c r="F151" s="248">
        <v>43010</v>
      </c>
    </row>
    <row r="152" spans="1:6">
      <c r="A152" t="s">
        <v>1758</v>
      </c>
      <c r="B152" t="s">
        <v>3508</v>
      </c>
      <c r="D152" s="247">
        <v>0.88980000000000004</v>
      </c>
      <c r="E152"/>
      <c r="F152" s="248">
        <v>43008</v>
      </c>
    </row>
    <row r="153" spans="1:6">
      <c r="A153" t="s">
        <v>1757</v>
      </c>
      <c r="B153" t="s">
        <v>3442</v>
      </c>
      <c r="D153">
        <v>1.8129</v>
      </c>
      <c r="E153" s="254"/>
      <c r="F153" s="248">
        <v>43007</v>
      </c>
    </row>
    <row r="154" spans="1:6">
      <c r="A154" t="s">
        <v>1756</v>
      </c>
      <c r="B154" t="s">
        <v>3505</v>
      </c>
      <c r="D154" s="247">
        <v>0.93010000000000004</v>
      </c>
      <c r="E154"/>
      <c r="F154" s="248">
        <v>43010</v>
      </c>
    </row>
    <row r="155" spans="1:6">
      <c r="A155" t="s">
        <v>1755</v>
      </c>
      <c r="B155" t="s">
        <v>3414</v>
      </c>
      <c r="D155">
        <v>0.92659999999999998</v>
      </c>
      <c r="E155" s="254" t="s">
        <v>3406</v>
      </c>
      <c r="F155" s="248">
        <v>43009</v>
      </c>
    </row>
    <row r="156" spans="1:6">
      <c r="A156" t="s">
        <v>2020</v>
      </c>
      <c r="B156" t="s">
        <v>3427</v>
      </c>
      <c r="D156">
        <v>0.80879999999999996</v>
      </c>
      <c r="E156" s="254"/>
      <c r="F156" s="248">
        <v>43008</v>
      </c>
    </row>
    <row r="157" spans="1:6">
      <c r="A157" t="s">
        <v>1750</v>
      </c>
      <c r="B157" t="s">
        <v>3568</v>
      </c>
      <c r="D157" s="255">
        <v>1.8340000000000001</v>
      </c>
      <c r="E157" t="s">
        <v>3391</v>
      </c>
      <c r="F157" s="248">
        <v>43333</v>
      </c>
    </row>
    <row r="158" spans="1:6">
      <c r="A158" t="s">
        <v>1749</v>
      </c>
      <c r="B158" t="s">
        <v>3472</v>
      </c>
      <c r="D158">
        <v>0.66849999999999998</v>
      </c>
      <c r="E158" s="254"/>
      <c r="F158" s="248">
        <v>43009</v>
      </c>
    </row>
    <row r="159" spans="1:6">
      <c r="A159" t="s">
        <v>1747</v>
      </c>
      <c r="B159" t="s">
        <v>3486</v>
      </c>
      <c r="D159">
        <v>1.6654</v>
      </c>
      <c r="E159" s="254"/>
      <c r="F159" s="248">
        <v>43010</v>
      </c>
    </row>
    <row r="160" spans="1:6">
      <c r="A160" t="s">
        <v>1741</v>
      </c>
      <c r="B160" t="s">
        <v>3468</v>
      </c>
      <c r="D160">
        <v>0.88170000000000004</v>
      </c>
      <c r="E160" s="254"/>
      <c r="F160" s="248">
        <v>43009</v>
      </c>
    </row>
    <row r="161" spans="1:6">
      <c r="A161" t="s">
        <v>1738</v>
      </c>
      <c r="B161" t="s">
        <v>3587</v>
      </c>
      <c r="D161" s="255">
        <v>1.7978000000000001</v>
      </c>
      <c r="E161" t="s">
        <v>2119</v>
      </c>
      <c r="F161" s="248">
        <v>43334</v>
      </c>
    </row>
    <row r="162" spans="1:6">
      <c r="A162" t="s">
        <v>1737</v>
      </c>
      <c r="B162" t="s">
        <v>3400</v>
      </c>
      <c r="D162">
        <v>0.74719999999999998</v>
      </c>
      <c r="E162" s="254"/>
      <c r="F162" s="247"/>
    </row>
    <row r="163" spans="1:6">
      <c r="A163" t="s">
        <v>1736</v>
      </c>
      <c r="B163" t="s">
        <v>3413</v>
      </c>
      <c r="D163">
        <v>0.78080000000000005</v>
      </c>
      <c r="E163" s="254"/>
      <c r="F163" s="248">
        <v>43008</v>
      </c>
    </row>
    <row r="164" spans="1:6">
      <c r="A164" t="s">
        <v>1735</v>
      </c>
      <c r="B164">
        <v>201</v>
      </c>
      <c r="C164" t="s">
        <v>2504</v>
      </c>
      <c r="D164">
        <v>0.84</v>
      </c>
      <c r="E164" s="223" t="s">
        <v>2509</v>
      </c>
      <c r="F164" s="16">
        <v>43208</v>
      </c>
    </row>
    <row r="165" spans="1:6">
      <c r="A165" t="s">
        <v>1734</v>
      </c>
      <c r="B165" t="s">
        <v>3483</v>
      </c>
      <c r="D165">
        <v>0.6512</v>
      </c>
      <c r="E165" s="254" t="s">
        <v>3406</v>
      </c>
      <c r="F165" s="248">
        <v>43008</v>
      </c>
    </row>
    <row r="166" spans="1:6">
      <c r="A166" t="s">
        <v>1732</v>
      </c>
      <c r="B166" t="s">
        <v>3604</v>
      </c>
      <c r="D166" s="255">
        <v>0.70609999999999995</v>
      </c>
      <c r="E166" t="s">
        <v>2115</v>
      </c>
      <c r="F166" s="248">
        <v>43334</v>
      </c>
    </row>
    <row r="167" spans="1:6">
      <c r="A167" t="s">
        <v>1731</v>
      </c>
      <c r="B167" t="s">
        <v>3445</v>
      </c>
      <c r="D167">
        <v>1.8162</v>
      </c>
      <c r="E167" s="254"/>
      <c r="F167" s="248">
        <v>43007</v>
      </c>
    </row>
    <row r="168" spans="1:6">
      <c r="A168" t="s">
        <v>2018</v>
      </c>
      <c r="B168" t="s">
        <v>3412</v>
      </c>
      <c r="D168">
        <v>0.77580000000000005</v>
      </c>
      <c r="E168" s="254"/>
      <c r="F168" s="248">
        <v>43009</v>
      </c>
    </row>
    <row r="169" spans="1:6">
      <c r="A169" t="s">
        <v>1730</v>
      </c>
      <c r="B169" t="s">
        <v>3455</v>
      </c>
      <c r="D169">
        <v>1.7525999999999999</v>
      </c>
      <c r="E169" s="254"/>
      <c r="F169" s="248">
        <v>43007</v>
      </c>
    </row>
    <row r="170" spans="1:6">
      <c r="A170" t="s">
        <v>1728</v>
      </c>
      <c r="B170" t="s">
        <v>3438</v>
      </c>
      <c r="D170">
        <v>1.8697999999999999</v>
      </c>
      <c r="E170" s="254"/>
      <c r="F170" s="248">
        <v>43007</v>
      </c>
    </row>
    <row r="171" spans="1:6">
      <c r="A171" t="s">
        <v>1727</v>
      </c>
      <c r="B171" t="s">
        <v>3473</v>
      </c>
      <c r="D171">
        <v>0.74829999999999997</v>
      </c>
      <c r="E171" s="254"/>
      <c r="F171" s="248">
        <v>43009</v>
      </c>
    </row>
    <row r="172" spans="1:6">
      <c r="A172" t="s">
        <v>1726</v>
      </c>
      <c r="B172" t="s">
        <v>3632</v>
      </c>
      <c r="D172" s="255">
        <v>1.6847000000000001</v>
      </c>
      <c r="E172" t="s">
        <v>3620</v>
      </c>
      <c r="F172" s="248">
        <v>43337</v>
      </c>
    </row>
    <row r="173" spans="1:6">
      <c r="A173" t="s">
        <v>1724</v>
      </c>
      <c r="B173" t="s">
        <v>3501</v>
      </c>
      <c r="D173" s="247">
        <v>1.0625</v>
      </c>
      <c r="E173"/>
      <c r="F173" s="248">
        <v>43010</v>
      </c>
    </row>
    <row r="174" spans="1:6">
      <c r="A174" t="s">
        <v>1721</v>
      </c>
      <c r="B174" t="s">
        <v>3644</v>
      </c>
      <c r="D174" s="255">
        <v>1.7850999999999999</v>
      </c>
      <c r="E174"/>
      <c r="F174" s="248">
        <v>43338</v>
      </c>
    </row>
    <row r="175" spans="1:6">
      <c r="A175" t="s">
        <v>1719</v>
      </c>
      <c r="B175" t="s">
        <v>3630</v>
      </c>
      <c r="D175" s="255">
        <v>1.8354999999999999</v>
      </c>
      <c r="E175" t="s">
        <v>2119</v>
      </c>
      <c r="F175" s="248">
        <v>43337</v>
      </c>
    </row>
    <row r="176" spans="1:6">
      <c r="A176" t="s">
        <v>1718</v>
      </c>
      <c r="B176" t="s">
        <v>3430</v>
      </c>
      <c r="D176">
        <v>0.98260000000000003</v>
      </c>
      <c r="E176" s="254"/>
      <c r="F176" s="248">
        <v>43008</v>
      </c>
    </row>
    <row r="177" spans="1:6">
      <c r="A177" t="s">
        <v>1715</v>
      </c>
      <c r="B177" t="s">
        <v>3427</v>
      </c>
      <c r="D177">
        <v>0.85829999999999995</v>
      </c>
      <c r="E177" s="254"/>
      <c r="F177" s="248">
        <v>43008</v>
      </c>
    </row>
    <row r="178" spans="1:6">
      <c r="A178" t="s">
        <v>1714</v>
      </c>
      <c r="B178" t="s">
        <v>3607</v>
      </c>
      <c r="D178" s="255">
        <v>1.6466000000000001</v>
      </c>
      <c r="E178" t="s">
        <v>3609</v>
      </c>
      <c r="F178" s="248">
        <v>43334</v>
      </c>
    </row>
    <row r="179" spans="1:6">
      <c r="A179" t="s">
        <v>1712</v>
      </c>
      <c r="B179">
        <v>195</v>
      </c>
      <c r="C179" t="s">
        <v>2504</v>
      </c>
      <c r="D179">
        <v>0.83299999999999996</v>
      </c>
      <c r="E179" s="223" t="s">
        <v>2455</v>
      </c>
      <c r="F179" s="16">
        <v>43208</v>
      </c>
    </row>
    <row r="180" spans="1:6">
      <c r="A180" t="s">
        <v>2016</v>
      </c>
      <c r="B180" t="s">
        <v>3509</v>
      </c>
      <c r="D180" s="247">
        <v>0.92579999999999996</v>
      </c>
      <c r="E180"/>
      <c r="F180" s="248">
        <v>43008</v>
      </c>
    </row>
    <row r="181" spans="1:6">
      <c r="A181" t="s">
        <v>1709</v>
      </c>
      <c r="B181" t="s">
        <v>3572</v>
      </c>
      <c r="D181" s="255">
        <v>1.7267999999999999</v>
      </c>
      <c r="E181" t="s">
        <v>3574</v>
      </c>
      <c r="F181" s="248">
        <v>43333</v>
      </c>
    </row>
    <row r="182" spans="1:6">
      <c r="A182" t="s">
        <v>1708</v>
      </c>
      <c r="B182" t="s">
        <v>3598</v>
      </c>
      <c r="D182" s="255">
        <v>1.7556</v>
      </c>
      <c r="E182"/>
      <c r="F182" s="248">
        <v>43334</v>
      </c>
    </row>
    <row r="183" spans="1:6">
      <c r="A183" t="s">
        <v>1707</v>
      </c>
      <c r="B183" t="s">
        <v>3416</v>
      </c>
      <c r="D183">
        <v>0.68059999999999998</v>
      </c>
      <c r="E183" s="254"/>
      <c r="F183" s="248">
        <v>43009</v>
      </c>
    </row>
    <row r="184" spans="1:6">
      <c r="A184" t="s">
        <v>1706</v>
      </c>
      <c r="B184" t="s">
        <v>3508</v>
      </c>
      <c r="D184" s="247">
        <v>0.78580000000000005</v>
      </c>
      <c r="E184"/>
      <c r="F184" s="248">
        <v>43008</v>
      </c>
    </row>
    <row r="185" spans="1:6">
      <c r="A185" t="s">
        <v>1703</v>
      </c>
      <c r="B185" t="s">
        <v>3642</v>
      </c>
      <c r="D185" s="255">
        <v>1.6924999999999999</v>
      </c>
      <c r="E185" t="s">
        <v>3628</v>
      </c>
      <c r="F185" s="248">
        <v>43338</v>
      </c>
    </row>
    <row r="186" spans="1:6">
      <c r="A186" t="s">
        <v>1702</v>
      </c>
      <c r="B186" t="s">
        <v>3422</v>
      </c>
      <c r="D186">
        <v>0.69310000000000005</v>
      </c>
      <c r="E186" s="254"/>
      <c r="F186" s="248">
        <v>43009</v>
      </c>
    </row>
    <row r="187" spans="1:6">
      <c r="A187" t="s">
        <v>1701</v>
      </c>
      <c r="B187" t="s">
        <v>3443</v>
      </c>
      <c r="D187">
        <v>1.7968</v>
      </c>
      <c r="E187" s="254"/>
      <c r="F187" s="248">
        <v>43007</v>
      </c>
    </row>
    <row r="188" spans="1:6">
      <c r="A188" t="s">
        <v>2015</v>
      </c>
      <c r="B188" t="s">
        <v>3624</v>
      </c>
      <c r="D188" s="255">
        <v>1.8633999999999999</v>
      </c>
      <c r="E188"/>
      <c r="F188" s="248">
        <v>43337</v>
      </c>
    </row>
    <row r="189" spans="1:6">
      <c r="A189" t="s">
        <v>1700</v>
      </c>
      <c r="B189" t="s">
        <v>3396</v>
      </c>
      <c r="D189">
        <v>0.95640000000000003</v>
      </c>
      <c r="E189" s="254"/>
      <c r="F189" s="248">
        <v>43008</v>
      </c>
    </row>
    <row r="190" spans="1:6">
      <c r="A190" t="s">
        <v>1697</v>
      </c>
      <c r="B190" t="s">
        <v>3464</v>
      </c>
      <c r="D190">
        <v>0.80569999999999997</v>
      </c>
      <c r="E190" s="254"/>
      <c r="F190" s="248">
        <v>43009</v>
      </c>
    </row>
    <row r="191" spans="1:6">
      <c r="A191" t="s">
        <v>1694</v>
      </c>
      <c r="B191" t="s">
        <v>3634</v>
      </c>
      <c r="D191" s="255">
        <v>1.7767999999999999</v>
      </c>
      <c r="E191" t="s">
        <v>2119</v>
      </c>
      <c r="F191" s="248">
        <v>43337</v>
      </c>
    </row>
    <row r="192" spans="1:6">
      <c r="A192" t="s">
        <v>1693</v>
      </c>
      <c r="B192" t="s">
        <v>3447</v>
      </c>
      <c r="D192">
        <v>1.6417999999999999</v>
      </c>
      <c r="E192" s="254"/>
      <c r="F192" s="248">
        <v>43007</v>
      </c>
    </row>
    <row r="193" spans="1:6">
      <c r="A193" t="s">
        <v>2014</v>
      </c>
      <c r="B193">
        <v>210</v>
      </c>
      <c r="C193" t="s">
        <v>2504</v>
      </c>
      <c r="D193">
        <v>0.84599999999999997</v>
      </c>
      <c r="E193" s="223" t="s">
        <v>2453</v>
      </c>
      <c r="F193" s="16">
        <v>43208</v>
      </c>
    </row>
    <row r="194" spans="1:6">
      <c r="A194" t="s">
        <v>1689</v>
      </c>
      <c r="B194">
        <v>216</v>
      </c>
      <c r="C194" t="s">
        <v>2504</v>
      </c>
      <c r="D194">
        <v>0.73499999999999999</v>
      </c>
      <c r="E194" s="223" t="s">
        <v>2453</v>
      </c>
      <c r="F194" s="16">
        <v>43208</v>
      </c>
    </row>
    <row r="195" spans="1:6">
      <c r="A195" t="s">
        <v>1687</v>
      </c>
      <c r="B195">
        <v>212</v>
      </c>
      <c r="C195" t="s">
        <v>2504</v>
      </c>
      <c r="D195">
        <v>0.753</v>
      </c>
      <c r="E195" s="223" t="s">
        <v>2509</v>
      </c>
      <c r="F195" s="16">
        <v>43208</v>
      </c>
    </row>
    <row r="196" spans="1:6">
      <c r="A196" t="s">
        <v>1686</v>
      </c>
      <c r="B196" t="s">
        <v>3633</v>
      </c>
      <c r="D196" s="255">
        <v>1.8589</v>
      </c>
      <c r="E196" t="s">
        <v>2119</v>
      </c>
      <c r="F196" s="248">
        <v>43337</v>
      </c>
    </row>
    <row r="197" spans="1:6">
      <c r="A197" t="s">
        <v>1680</v>
      </c>
      <c r="B197" t="s">
        <v>3634</v>
      </c>
      <c r="D197" s="255">
        <v>1.8433999999999999</v>
      </c>
      <c r="E197" t="s">
        <v>2119</v>
      </c>
      <c r="F197" s="248">
        <v>43337</v>
      </c>
    </row>
    <row r="198" spans="1:6">
      <c r="A198" t="s">
        <v>1679</v>
      </c>
      <c r="B198" t="s">
        <v>3415</v>
      </c>
      <c r="D198">
        <v>0.81369999999999998</v>
      </c>
      <c r="E198" s="254"/>
      <c r="F198" s="248">
        <v>43009</v>
      </c>
    </row>
    <row r="199" spans="1:6">
      <c r="A199" t="s">
        <v>1678</v>
      </c>
      <c r="B199" t="s">
        <v>3640</v>
      </c>
      <c r="D199" s="255">
        <v>1.9605999999999999</v>
      </c>
      <c r="E199"/>
      <c r="F199" s="248">
        <v>43338</v>
      </c>
    </row>
    <row r="200" spans="1:6">
      <c r="A200" t="s">
        <v>1673</v>
      </c>
      <c r="B200" t="s">
        <v>3450</v>
      </c>
      <c r="D200">
        <v>1.3894</v>
      </c>
      <c r="E200" s="254" t="s">
        <v>3406</v>
      </c>
      <c r="F200" s="248">
        <v>43007</v>
      </c>
    </row>
    <row r="201" spans="1:6">
      <c r="A201" t="s">
        <v>1671</v>
      </c>
      <c r="B201" t="s">
        <v>3605</v>
      </c>
      <c r="D201" s="255">
        <v>1.65</v>
      </c>
      <c r="E201"/>
      <c r="F201" s="248">
        <v>43334</v>
      </c>
    </row>
    <row r="202" spans="1:6">
      <c r="A202" t="s">
        <v>2012</v>
      </c>
      <c r="B202" t="s">
        <v>3453</v>
      </c>
      <c r="D202">
        <v>1.6738</v>
      </c>
      <c r="E202" s="254"/>
      <c r="F202" s="248">
        <v>43007</v>
      </c>
    </row>
    <row r="203" spans="1:6">
      <c r="A203" t="s">
        <v>1670</v>
      </c>
      <c r="B203" t="s">
        <v>3632</v>
      </c>
      <c r="D203" s="255">
        <v>1.8685</v>
      </c>
      <c r="E203"/>
      <c r="F203" s="248">
        <v>43337</v>
      </c>
    </row>
    <row r="204" spans="1:6">
      <c r="A204" t="s">
        <v>1668</v>
      </c>
      <c r="B204" t="s">
        <v>3641</v>
      </c>
      <c r="D204" s="255">
        <v>1.8677999999999999</v>
      </c>
      <c r="E204" t="s">
        <v>2115</v>
      </c>
      <c r="F204" s="248">
        <v>43338</v>
      </c>
    </row>
    <row r="205" spans="1:6">
      <c r="A205" t="s">
        <v>1666</v>
      </c>
      <c r="B205" t="s">
        <v>3418</v>
      </c>
      <c r="D205">
        <v>0.73660000000000003</v>
      </c>
      <c r="E205" s="254" t="s">
        <v>3419</v>
      </c>
      <c r="F205" s="248">
        <v>43008</v>
      </c>
    </row>
    <row r="206" spans="1:6">
      <c r="A206" t="s">
        <v>1656</v>
      </c>
      <c r="B206" t="s">
        <v>3444</v>
      </c>
      <c r="D206">
        <v>1.8532999999999999</v>
      </c>
      <c r="E206" s="254"/>
      <c r="F206" s="248">
        <v>43007</v>
      </c>
    </row>
    <row r="207" spans="1:6">
      <c r="A207" t="s">
        <v>1654</v>
      </c>
      <c r="B207" t="s">
        <v>3431</v>
      </c>
      <c r="D207">
        <v>0.80349999999999999</v>
      </c>
      <c r="E207" s="254" t="s">
        <v>3432</v>
      </c>
      <c r="F207" s="248">
        <v>43009</v>
      </c>
    </row>
    <row r="208" spans="1:6">
      <c r="A208" t="s">
        <v>1653</v>
      </c>
      <c r="B208" t="s">
        <v>3445</v>
      </c>
      <c r="D208">
        <v>1.7436</v>
      </c>
      <c r="E208" s="254"/>
      <c r="F208" s="248">
        <v>43007</v>
      </c>
    </row>
    <row r="209" spans="1:6">
      <c r="A209" t="s">
        <v>1652</v>
      </c>
      <c r="B209" t="s">
        <v>3485</v>
      </c>
      <c r="D209">
        <v>1.0217000000000001</v>
      </c>
      <c r="E209" s="254"/>
      <c r="F209" s="248">
        <v>43010</v>
      </c>
    </row>
    <row r="210" spans="1:6">
      <c r="A210" t="s">
        <v>1651</v>
      </c>
      <c r="B210">
        <v>197</v>
      </c>
      <c r="C210" t="s">
        <v>2504</v>
      </c>
      <c r="D210">
        <v>0.69</v>
      </c>
      <c r="E210" s="223" t="s">
        <v>2452</v>
      </c>
      <c r="F210" s="16">
        <v>43208</v>
      </c>
    </row>
    <row r="211" spans="1:6">
      <c r="A211" t="s">
        <v>2010</v>
      </c>
      <c r="B211" t="s">
        <v>3483</v>
      </c>
      <c r="D211">
        <v>0.68400000000000005</v>
      </c>
      <c r="E211" s="254" t="s">
        <v>3406</v>
      </c>
      <c r="F211" s="248">
        <v>43008</v>
      </c>
    </row>
    <row r="212" spans="1:6">
      <c r="A212" t="s">
        <v>1650</v>
      </c>
      <c r="B212" t="s">
        <v>3433</v>
      </c>
      <c r="D212">
        <v>0.86</v>
      </c>
      <c r="E212" s="254" t="s">
        <v>3434</v>
      </c>
      <c r="F212" s="248">
        <v>43008</v>
      </c>
    </row>
    <row r="213" spans="1:6">
      <c r="A213" t="s">
        <v>1649</v>
      </c>
      <c r="B213" t="s">
        <v>3458</v>
      </c>
      <c r="D213">
        <v>0.9304</v>
      </c>
      <c r="E213" s="254"/>
      <c r="F213" s="248">
        <v>43008</v>
      </c>
    </row>
    <row r="214" spans="1:6">
      <c r="A214" t="s">
        <v>1643</v>
      </c>
      <c r="B214" t="s">
        <v>3450</v>
      </c>
      <c r="D214">
        <v>1.278</v>
      </c>
      <c r="E214" s="254"/>
      <c r="F214" s="248">
        <v>43007</v>
      </c>
    </row>
    <row r="215" spans="1:6">
      <c r="A215" t="s">
        <v>1641</v>
      </c>
      <c r="B215" t="s">
        <v>3475</v>
      </c>
      <c r="D215">
        <v>0.77039999999999997</v>
      </c>
      <c r="E215" s="254"/>
      <c r="F215" s="248">
        <v>43009</v>
      </c>
    </row>
    <row r="216" spans="1:6">
      <c r="A216" t="s">
        <v>2009</v>
      </c>
      <c r="B216" t="s">
        <v>3598</v>
      </c>
      <c r="D216" s="255">
        <v>1.7847</v>
      </c>
      <c r="E216" t="s">
        <v>2115</v>
      </c>
      <c r="F216" s="248">
        <v>43334</v>
      </c>
    </row>
    <row r="217" spans="1:6">
      <c r="A217" t="s">
        <v>1640</v>
      </c>
      <c r="B217" t="s">
        <v>3464</v>
      </c>
      <c r="D217">
        <v>0.71050000000000002</v>
      </c>
      <c r="E217" s="254"/>
      <c r="F217" s="248">
        <v>43009</v>
      </c>
    </row>
    <row r="218" spans="1:6">
      <c r="A218" t="s">
        <v>1639</v>
      </c>
      <c r="B218" t="s">
        <v>3476</v>
      </c>
      <c r="D218">
        <v>0.76629999999999998</v>
      </c>
      <c r="E218" s="254"/>
      <c r="F218" s="248">
        <v>43009</v>
      </c>
    </row>
    <row r="219" spans="1:6">
      <c r="A219" t="s">
        <v>1638</v>
      </c>
      <c r="B219">
        <v>208</v>
      </c>
      <c r="C219" t="s">
        <v>2504</v>
      </c>
      <c r="D219">
        <v>0.72499999999999998</v>
      </c>
      <c r="E219" s="223" t="s">
        <v>2454</v>
      </c>
      <c r="F219" s="16">
        <v>43208</v>
      </c>
    </row>
    <row r="220" spans="1:6">
      <c r="A220" t="s">
        <v>1637</v>
      </c>
      <c r="B220" t="s">
        <v>3587</v>
      </c>
      <c r="D220" s="255">
        <v>1.9466000000000001</v>
      </c>
      <c r="E220" t="s">
        <v>2119</v>
      </c>
      <c r="F220" s="248">
        <v>43334</v>
      </c>
    </row>
    <row r="221" spans="1:6">
      <c r="A221" t="s">
        <v>1628</v>
      </c>
      <c r="B221" t="s">
        <v>3435</v>
      </c>
      <c r="D221">
        <v>0.751</v>
      </c>
      <c r="E221" s="254"/>
      <c r="F221" s="248">
        <v>43009</v>
      </c>
    </row>
    <row r="222" spans="1:6">
      <c r="A222" t="s">
        <v>2007</v>
      </c>
      <c r="B222" t="s">
        <v>3599</v>
      </c>
      <c r="D222" s="255">
        <v>1.7821</v>
      </c>
      <c r="E222" t="s">
        <v>2115</v>
      </c>
      <c r="F222" s="248">
        <v>43334</v>
      </c>
    </row>
    <row r="223" spans="1:6">
      <c r="A223" t="s">
        <v>1620</v>
      </c>
      <c r="B223" t="s">
        <v>3602</v>
      </c>
      <c r="D223" s="255">
        <v>1.8875999999999999</v>
      </c>
      <c r="E223" t="s">
        <v>2115</v>
      </c>
      <c r="F223" s="248">
        <v>43334</v>
      </c>
    </row>
    <row r="224" spans="1:6">
      <c r="A224" t="s">
        <v>1619</v>
      </c>
      <c r="B224" t="s">
        <v>3646</v>
      </c>
      <c r="D224" s="255">
        <v>1.8758999999999999</v>
      </c>
      <c r="E224"/>
      <c r="F224" s="248">
        <v>43338</v>
      </c>
    </row>
    <row r="225" spans="1:6">
      <c r="A225" t="s">
        <v>1616</v>
      </c>
      <c r="B225">
        <v>211</v>
      </c>
      <c r="C225" t="s">
        <v>2504</v>
      </c>
      <c r="D225">
        <v>0.74099999999999999</v>
      </c>
      <c r="F225" s="16">
        <v>43208</v>
      </c>
    </row>
    <row r="226" spans="1:6">
      <c r="A226" t="s">
        <v>1615</v>
      </c>
      <c r="B226" t="s">
        <v>3452</v>
      </c>
      <c r="D226">
        <v>1.7934000000000001</v>
      </c>
      <c r="E226" s="254" t="s">
        <v>2511</v>
      </c>
      <c r="F226" s="248">
        <v>43007</v>
      </c>
    </row>
    <row r="227" spans="1:6">
      <c r="A227" t="s">
        <v>2006</v>
      </c>
      <c r="B227" t="s">
        <v>3439</v>
      </c>
      <c r="D227">
        <v>1.5553999999999999</v>
      </c>
      <c r="E227" s="254" t="s">
        <v>3440</v>
      </c>
      <c r="F227" s="248">
        <v>43007</v>
      </c>
    </row>
    <row r="228" spans="1:6">
      <c r="A228" t="s">
        <v>1606</v>
      </c>
      <c r="B228" t="s">
        <v>3437</v>
      </c>
      <c r="D228">
        <v>1.3574999999999999</v>
      </c>
      <c r="E228" s="254"/>
      <c r="F228" s="248">
        <v>43007</v>
      </c>
    </row>
    <row r="229" spans="1:6">
      <c r="A229" t="s">
        <v>2005</v>
      </c>
      <c r="B229">
        <v>193</v>
      </c>
      <c r="C229" t="s">
        <v>2504</v>
      </c>
      <c r="D229">
        <v>0.82699999999999996</v>
      </c>
      <c r="E229" s="223" t="s">
        <v>2454</v>
      </c>
      <c r="F229" s="16">
        <v>43208</v>
      </c>
    </row>
    <row r="230" spans="1:6">
      <c r="A230" t="s">
        <v>1595</v>
      </c>
      <c r="B230" t="s">
        <v>3396</v>
      </c>
      <c r="D230">
        <v>0.92169999999999996</v>
      </c>
      <c r="E230" s="254"/>
      <c r="F230" s="248">
        <v>43008</v>
      </c>
    </row>
    <row r="231" spans="1:6">
      <c r="A231" t="s">
        <v>2004</v>
      </c>
      <c r="B231" t="s">
        <v>3454</v>
      </c>
      <c r="D231">
        <v>1.5884</v>
      </c>
      <c r="E231" s="254" t="s">
        <v>3406</v>
      </c>
      <c r="F231" s="248">
        <v>43007</v>
      </c>
    </row>
    <row r="232" spans="1:6">
      <c r="A232" t="s">
        <v>1586</v>
      </c>
      <c r="B232" t="s">
        <v>3489</v>
      </c>
      <c r="D232" s="249">
        <v>1.571</v>
      </c>
      <c r="E232"/>
      <c r="F232" s="248">
        <v>43010</v>
      </c>
    </row>
    <row r="233" spans="1:6">
      <c r="A233" t="s">
        <v>1585</v>
      </c>
      <c r="B233" t="s">
        <v>3607</v>
      </c>
      <c r="D233" s="255">
        <v>1.6845000000000001</v>
      </c>
      <c r="E233"/>
      <c r="F233" s="248">
        <v>43334</v>
      </c>
    </row>
    <row r="234" spans="1:6">
      <c r="A234" t="s">
        <v>1584</v>
      </c>
      <c r="B234" t="s">
        <v>3467</v>
      </c>
      <c r="D234">
        <v>0.81599999999999995</v>
      </c>
      <c r="E234" s="254"/>
      <c r="F234" s="248">
        <v>43009</v>
      </c>
    </row>
    <row r="235" spans="1:6">
      <c r="A235" t="s">
        <v>1583</v>
      </c>
      <c r="B235" t="s">
        <v>3635</v>
      </c>
      <c r="D235" s="255">
        <v>1.8359000000000001</v>
      </c>
      <c r="E235"/>
      <c r="F235" s="248">
        <v>43337</v>
      </c>
    </row>
    <row r="236" spans="1:6">
      <c r="A236" t="s">
        <v>2003</v>
      </c>
      <c r="B236" t="s">
        <v>3498</v>
      </c>
      <c r="D236" s="247">
        <v>1.1167</v>
      </c>
      <c r="E236"/>
      <c r="F236" s="248">
        <v>43010</v>
      </c>
    </row>
    <row r="237" spans="1:6">
      <c r="A237" t="s">
        <v>1577</v>
      </c>
      <c r="B237" t="s">
        <v>3579</v>
      </c>
      <c r="D237" s="255">
        <v>1.8992</v>
      </c>
      <c r="E237"/>
      <c r="F237" s="248">
        <v>43333</v>
      </c>
    </row>
    <row r="238" spans="1:6">
      <c r="A238" t="s">
        <v>2002</v>
      </c>
      <c r="B238" t="s">
        <v>3423</v>
      </c>
      <c r="D238">
        <v>0.84750000000000003</v>
      </c>
      <c r="E238" s="254"/>
      <c r="F238" s="248">
        <v>43008</v>
      </c>
    </row>
    <row r="239" spans="1:6">
      <c r="A239" t="s">
        <v>1569</v>
      </c>
      <c r="B239" t="s">
        <v>3577</v>
      </c>
      <c r="D239" s="255">
        <v>1.7612000000000001</v>
      </c>
      <c r="E239"/>
      <c r="F239" s="248">
        <v>43333</v>
      </c>
    </row>
    <row r="240" spans="1:6">
      <c r="A240" t="s">
        <v>1568</v>
      </c>
      <c r="B240" t="s">
        <v>3490</v>
      </c>
      <c r="D240" s="247">
        <v>1.4819</v>
      </c>
      <c r="E240"/>
      <c r="F240" s="248">
        <v>43010</v>
      </c>
    </row>
    <row r="241" spans="1:6">
      <c r="A241" t="s">
        <v>1566</v>
      </c>
      <c r="B241" t="s">
        <v>3417</v>
      </c>
      <c r="D241">
        <v>0.66439999999999999</v>
      </c>
      <c r="E241" s="254"/>
      <c r="F241" s="248">
        <v>43008</v>
      </c>
    </row>
    <row r="242" spans="1:6">
      <c r="A242" t="s">
        <v>1565</v>
      </c>
      <c r="B242">
        <v>218</v>
      </c>
      <c r="C242" t="s">
        <v>2504</v>
      </c>
      <c r="D242">
        <v>0.66900000000000004</v>
      </c>
      <c r="E242" s="223" t="s">
        <v>2509</v>
      </c>
      <c r="F242" s="16">
        <v>43208</v>
      </c>
    </row>
    <row r="243" spans="1:6">
      <c r="A243" t="s">
        <v>2001</v>
      </c>
      <c r="B243" t="s">
        <v>3591</v>
      </c>
      <c r="D243" s="255">
        <v>1.9326000000000001</v>
      </c>
      <c r="E243"/>
      <c r="F243" s="248">
        <v>43334</v>
      </c>
    </row>
    <row r="244" spans="1:6">
      <c r="A244" t="s">
        <v>1560</v>
      </c>
      <c r="B244" t="s">
        <v>3413</v>
      </c>
      <c r="D244">
        <v>0.72760000000000002</v>
      </c>
      <c r="E244" s="254" t="s">
        <v>3393</v>
      </c>
      <c r="F244" s="248">
        <v>43008</v>
      </c>
    </row>
    <row r="245" spans="1:6">
      <c r="A245" t="s">
        <v>2045</v>
      </c>
      <c r="B245">
        <v>213</v>
      </c>
      <c r="C245" t="s">
        <v>2504</v>
      </c>
      <c r="D245">
        <v>0.67</v>
      </c>
      <c r="E245" s="223" t="s">
        <v>2505</v>
      </c>
      <c r="F245" s="16">
        <v>43208</v>
      </c>
    </row>
    <row r="246" spans="1:6">
      <c r="A246" t="s">
        <v>2000</v>
      </c>
      <c r="B246" t="s">
        <v>3619</v>
      </c>
      <c r="D246" s="255">
        <v>0.8911</v>
      </c>
      <c r="E246" t="s">
        <v>3620</v>
      </c>
      <c r="F246" s="248">
        <v>43334</v>
      </c>
    </row>
    <row r="247" spans="1:6">
      <c r="A247" t="s">
        <v>1549</v>
      </c>
      <c r="B247" t="s">
        <v>3417</v>
      </c>
      <c r="D247">
        <v>0.78680000000000005</v>
      </c>
      <c r="E247" s="254"/>
      <c r="F247" s="248">
        <v>43008</v>
      </c>
    </row>
    <row r="248" spans="1:6">
      <c r="A248" t="s">
        <v>1999</v>
      </c>
      <c r="B248" t="s">
        <v>3420</v>
      </c>
      <c r="D248">
        <v>0.81589999999999996</v>
      </c>
      <c r="E248" s="254"/>
      <c r="F248" s="248">
        <v>43008</v>
      </c>
    </row>
    <row r="249" spans="1:6">
      <c r="A249" t="s">
        <v>1535</v>
      </c>
      <c r="B249" t="s">
        <v>3462</v>
      </c>
      <c r="D249">
        <v>0.77959999999999996</v>
      </c>
      <c r="E249" s="254"/>
      <c r="F249" s="248">
        <v>43009</v>
      </c>
    </row>
    <row r="250" spans="1:6">
      <c r="A250" t="s">
        <v>1533</v>
      </c>
      <c r="B250" t="s">
        <v>3421</v>
      </c>
      <c r="D250">
        <v>0.7097</v>
      </c>
      <c r="E250" s="254" t="s">
        <v>3406</v>
      </c>
      <c r="F250" s="248">
        <v>43008</v>
      </c>
    </row>
    <row r="251" spans="1:6">
      <c r="A251" t="s">
        <v>1519</v>
      </c>
      <c r="B251" t="s">
        <v>3633</v>
      </c>
      <c r="D251" s="255">
        <v>1.8593999999999999</v>
      </c>
      <c r="E251"/>
      <c r="F251" s="248">
        <v>43337</v>
      </c>
    </row>
    <row r="252" spans="1:6">
      <c r="A252" t="s">
        <v>1995</v>
      </c>
      <c r="B252" t="s">
        <v>3405</v>
      </c>
      <c r="D252">
        <v>0.86550000000000005</v>
      </c>
      <c r="E252" s="254"/>
      <c r="F252" s="247"/>
    </row>
    <row r="253" spans="1:6">
      <c r="A253" t="s">
        <v>1495</v>
      </c>
      <c r="B253" t="s">
        <v>3449</v>
      </c>
      <c r="D253">
        <v>2.0030000000000001</v>
      </c>
      <c r="E253" s="254"/>
      <c r="F253" s="248">
        <v>43007</v>
      </c>
    </row>
    <row r="254" spans="1:6">
      <c r="A254" t="s">
        <v>1492</v>
      </c>
      <c r="B254" t="s">
        <v>3626</v>
      </c>
      <c r="D254" s="255">
        <v>1.9415</v>
      </c>
      <c r="E254"/>
      <c r="F254" s="248">
        <v>43337</v>
      </c>
    </row>
    <row r="255" spans="1:6">
      <c r="A255" t="s">
        <v>1994</v>
      </c>
      <c r="B255" t="s">
        <v>3392</v>
      </c>
      <c r="D255">
        <v>0.7238</v>
      </c>
      <c r="E255" s="254"/>
      <c r="F255" s="247"/>
    </row>
    <row r="256" spans="1:6">
      <c r="A256" t="s">
        <v>1488</v>
      </c>
      <c r="B256" t="s">
        <v>3454</v>
      </c>
      <c r="D256">
        <v>1.8862000000000001</v>
      </c>
      <c r="E256" s="254"/>
      <c r="F256" s="248">
        <v>43007</v>
      </c>
    </row>
    <row r="257" spans="1:6">
      <c r="A257" t="s">
        <v>1481</v>
      </c>
      <c r="D257">
        <v>0.75700000000000001</v>
      </c>
      <c r="E257" s="247" t="s">
        <v>3409</v>
      </c>
      <c r="F257" s="247"/>
    </row>
    <row r="258" spans="1:6">
      <c r="A258" t="s">
        <v>1993</v>
      </c>
      <c r="B258" t="s">
        <v>3506</v>
      </c>
      <c r="D258" s="247">
        <v>1.0114000000000001</v>
      </c>
      <c r="E258"/>
      <c r="F258" s="248">
        <v>43010</v>
      </c>
    </row>
    <row r="259" spans="1:6">
      <c r="A259" t="s">
        <v>1480</v>
      </c>
      <c r="B259" t="s">
        <v>3448</v>
      </c>
      <c r="D259">
        <v>1.9100999999999999</v>
      </c>
      <c r="E259" s="254"/>
      <c r="F259" s="248">
        <v>43007</v>
      </c>
    </row>
    <row r="260" spans="1:6">
      <c r="A260" t="s">
        <v>1992</v>
      </c>
      <c r="B260" t="s">
        <v>3449</v>
      </c>
      <c r="D260">
        <v>1.7357</v>
      </c>
      <c r="E260" s="254"/>
      <c r="F260" s="248">
        <v>43007</v>
      </c>
    </row>
    <row r="261" spans="1:6">
      <c r="A261" t="s">
        <v>1470</v>
      </c>
      <c r="B261" t="s">
        <v>3425</v>
      </c>
      <c r="D261">
        <v>0.84409999999999996</v>
      </c>
      <c r="E261" s="254"/>
      <c r="F261" s="248">
        <v>43009</v>
      </c>
    </row>
    <row r="262" spans="1:6">
      <c r="A262" t="s">
        <v>1991</v>
      </c>
      <c r="B262" t="s">
        <v>3456</v>
      </c>
      <c r="D262">
        <v>0.95679999999999998</v>
      </c>
      <c r="E262" s="254"/>
      <c r="F262" s="248">
        <v>43009</v>
      </c>
    </row>
    <row r="263" spans="1:6">
      <c r="A263" t="s">
        <v>1454</v>
      </c>
      <c r="B263" t="s">
        <v>3636</v>
      </c>
      <c r="D263" s="255">
        <v>1.8642000000000001</v>
      </c>
      <c r="E263"/>
      <c r="F263" s="248">
        <v>43337</v>
      </c>
    </row>
    <row r="264" spans="1:6">
      <c r="A264" t="s">
        <v>1452</v>
      </c>
      <c r="B264" t="s">
        <v>3597</v>
      </c>
      <c r="D264" s="255">
        <v>1.9169</v>
      </c>
      <c r="E264"/>
      <c r="F264" s="248">
        <v>43334</v>
      </c>
    </row>
    <row r="265" spans="1:6">
      <c r="A265" t="s">
        <v>2044</v>
      </c>
      <c r="B265" t="s">
        <v>3506</v>
      </c>
      <c r="D265" s="247">
        <v>1.1637</v>
      </c>
      <c r="E265"/>
      <c r="F265" s="248">
        <v>43010</v>
      </c>
    </row>
    <row r="266" spans="1:6">
      <c r="A266" t="s">
        <v>1990</v>
      </c>
      <c r="B266" t="s">
        <v>3631</v>
      </c>
      <c r="D266" s="255">
        <v>1.9540999999999999</v>
      </c>
      <c r="E266"/>
      <c r="F266" s="248">
        <v>43337</v>
      </c>
    </row>
    <row r="267" spans="1:6">
      <c r="A267" t="s">
        <v>1449</v>
      </c>
      <c r="B267" t="s">
        <v>3631</v>
      </c>
      <c r="D267" s="255">
        <v>1.8379000000000001</v>
      </c>
      <c r="E267"/>
      <c r="F267" s="248">
        <v>43337</v>
      </c>
    </row>
    <row r="268" spans="1:6">
      <c r="A268" t="s">
        <v>1989</v>
      </c>
      <c r="B268" t="s">
        <v>3454</v>
      </c>
      <c r="D268">
        <v>1.4991000000000001</v>
      </c>
      <c r="E268" s="254"/>
      <c r="F268" s="248">
        <v>43007</v>
      </c>
    </row>
    <row r="269" spans="1:6">
      <c r="A269" t="s">
        <v>1439</v>
      </c>
      <c r="D269">
        <v>0.89510000000000001</v>
      </c>
      <c r="E269" s="247" t="s">
        <v>3409</v>
      </c>
      <c r="F269" s="247"/>
    </row>
    <row r="270" spans="1:6">
      <c r="A270" t="s">
        <v>1438</v>
      </c>
      <c r="B270" t="s">
        <v>3461</v>
      </c>
      <c r="D270">
        <v>0.83</v>
      </c>
      <c r="E270" s="254"/>
      <c r="F270" s="248">
        <v>43009</v>
      </c>
    </row>
    <row r="271" spans="1:6">
      <c r="A271" t="s">
        <v>1433</v>
      </c>
      <c r="B271" t="s">
        <v>3492</v>
      </c>
      <c r="D271" s="247">
        <v>1.3632</v>
      </c>
      <c r="E271"/>
      <c r="F271" s="248">
        <v>43010</v>
      </c>
    </row>
    <row r="272" spans="1:6">
      <c r="A272" t="s">
        <v>1988</v>
      </c>
      <c r="B272" t="s">
        <v>3495</v>
      </c>
      <c r="D272" s="247">
        <v>1.0947</v>
      </c>
      <c r="E272"/>
      <c r="F272" s="248">
        <v>43010</v>
      </c>
    </row>
    <row r="273" spans="1:6">
      <c r="A273" t="s">
        <v>1426</v>
      </c>
      <c r="B273" t="s">
        <v>3462</v>
      </c>
      <c r="D273">
        <v>0.94779999999999998</v>
      </c>
      <c r="E273" s="254"/>
      <c r="F273" s="248">
        <v>43009</v>
      </c>
    </row>
    <row r="274" spans="1:6">
      <c r="A274" t="s">
        <v>1425</v>
      </c>
      <c r="B274" t="s">
        <v>3586</v>
      </c>
      <c r="D274" s="255">
        <v>1.8379000000000001</v>
      </c>
      <c r="E274" t="s">
        <v>3574</v>
      </c>
      <c r="F274" s="248">
        <v>43333</v>
      </c>
    </row>
    <row r="275" spans="1:6">
      <c r="A275" t="s">
        <v>1421</v>
      </c>
      <c r="B275" t="s">
        <v>3591</v>
      </c>
      <c r="D275" s="255">
        <v>1.8411</v>
      </c>
      <c r="E275"/>
      <c r="F275" s="248">
        <v>43334</v>
      </c>
    </row>
    <row r="276" spans="1:6">
      <c r="A276" t="s">
        <v>1987</v>
      </c>
      <c r="B276" t="s">
        <v>3635</v>
      </c>
      <c r="D276" s="255">
        <v>1.8152999999999999</v>
      </c>
      <c r="E276"/>
      <c r="F276" s="248">
        <v>43337</v>
      </c>
    </row>
    <row r="277" spans="1:6">
      <c r="A277" t="s">
        <v>1420</v>
      </c>
      <c r="B277" t="s">
        <v>3437</v>
      </c>
      <c r="D277">
        <v>1.8631</v>
      </c>
      <c r="E277" s="254"/>
      <c r="F277" s="248">
        <v>43007</v>
      </c>
    </row>
    <row r="278" spans="1:6">
      <c r="A278" t="s">
        <v>1986</v>
      </c>
      <c r="B278" t="s">
        <v>3433</v>
      </c>
      <c r="D278">
        <v>0.83650000000000002</v>
      </c>
      <c r="E278" s="254"/>
      <c r="F278" s="248">
        <v>43008</v>
      </c>
    </row>
    <row r="279" spans="1:6">
      <c r="A279" t="s">
        <v>1404</v>
      </c>
      <c r="B279" t="s">
        <v>3575</v>
      </c>
      <c r="D279" s="255">
        <v>1.9007000000000001</v>
      </c>
      <c r="E279" t="s">
        <v>2115</v>
      </c>
      <c r="F279" s="248">
        <v>43333</v>
      </c>
    </row>
    <row r="280" spans="1:6">
      <c r="A280" t="s">
        <v>1985</v>
      </c>
      <c r="B280" t="s">
        <v>3498</v>
      </c>
      <c r="D280" s="247">
        <v>1.0561</v>
      </c>
      <c r="E280"/>
      <c r="F280" s="248">
        <v>43010</v>
      </c>
    </row>
    <row r="281" spans="1:6">
      <c r="A281" t="s">
        <v>1400</v>
      </c>
      <c r="B281" t="s">
        <v>3612</v>
      </c>
      <c r="D281" s="255">
        <v>0.86890000000000001</v>
      </c>
      <c r="E281"/>
      <c r="F281" s="248">
        <v>43334</v>
      </c>
    </row>
    <row r="282" spans="1:6">
      <c r="A282" t="s">
        <v>1391</v>
      </c>
      <c r="B282" t="s">
        <v>3589</v>
      </c>
      <c r="D282" s="255">
        <v>1.8913</v>
      </c>
      <c r="E282" t="s">
        <v>2119</v>
      </c>
      <c r="F282" s="248">
        <v>43334</v>
      </c>
    </row>
    <row r="283" spans="1:6">
      <c r="A283" t="s">
        <v>1984</v>
      </c>
      <c r="B283" t="s">
        <v>3579</v>
      </c>
      <c r="D283" s="255">
        <v>3.3298000000000001</v>
      </c>
      <c r="E283" t="s">
        <v>3581</v>
      </c>
      <c r="F283" s="248">
        <v>43333</v>
      </c>
    </row>
    <row r="284" spans="1:6">
      <c r="A284" t="s">
        <v>1387</v>
      </c>
      <c r="B284" t="s">
        <v>3452</v>
      </c>
      <c r="D284">
        <v>1.6718</v>
      </c>
      <c r="E284" s="254"/>
      <c r="F284" s="248">
        <v>43007</v>
      </c>
    </row>
    <row r="285" spans="1:6">
      <c r="A285" t="s">
        <v>1983</v>
      </c>
      <c r="B285" t="s">
        <v>3430</v>
      </c>
      <c r="D285">
        <v>0.77739999999999998</v>
      </c>
      <c r="E285" s="254"/>
      <c r="F285" s="248">
        <v>43008</v>
      </c>
    </row>
    <row r="286" spans="1:6">
      <c r="A286" t="s">
        <v>1379</v>
      </c>
      <c r="B286" t="s">
        <v>3424</v>
      </c>
      <c r="D286">
        <v>0.68540000000000001</v>
      </c>
      <c r="E286" s="254"/>
      <c r="F286" s="248">
        <v>43008</v>
      </c>
    </row>
    <row r="287" spans="1:6">
      <c r="A287" t="s">
        <v>1378</v>
      </c>
      <c r="B287" t="s">
        <v>3410</v>
      </c>
      <c r="D287">
        <v>0.75690000000000002</v>
      </c>
      <c r="E287" s="254"/>
      <c r="F287" s="247"/>
    </row>
    <row r="288" spans="1:6">
      <c r="A288" t="s">
        <v>1982</v>
      </c>
      <c r="B288">
        <v>212</v>
      </c>
      <c r="C288" t="s">
        <v>2504</v>
      </c>
      <c r="D288">
        <v>0.71</v>
      </c>
      <c r="E288" s="223" t="s">
        <v>2509</v>
      </c>
      <c r="F288" s="16">
        <v>43208</v>
      </c>
    </row>
    <row r="289" spans="1:6">
      <c r="A289" t="s">
        <v>2043</v>
      </c>
      <c r="B289" t="s">
        <v>3436</v>
      </c>
      <c r="D289">
        <v>0.82040000000000002</v>
      </c>
      <c r="E289" s="254"/>
      <c r="F289" s="248">
        <v>43009</v>
      </c>
    </row>
    <row r="290" spans="1:6">
      <c r="A290" t="s">
        <v>1345</v>
      </c>
      <c r="B290" t="s">
        <v>3643</v>
      </c>
      <c r="D290" s="255">
        <v>1.8152999999999999</v>
      </c>
      <c r="E290"/>
      <c r="F290" s="248">
        <v>43338</v>
      </c>
    </row>
    <row r="291" spans="1:6">
      <c r="A291" t="s">
        <v>1336</v>
      </c>
      <c r="B291" t="s">
        <v>3646</v>
      </c>
      <c r="D291" s="255">
        <v>1.8528</v>
      </c>
      <c r="E291"/>
      <c r="F291" s="248">
        <v>43338</v>
      </c>
    </row>
    <row r="292" spans="1:6">
      <c r="A292" t="s">
        <v>1333</v>
      </c>
      <c r="B292" t="s">
        <v>3625</v>
      </c>
      <c r="D292" s="255">
        <v>1.8165</v>
      </c>
      <c r="E292"/>
      <c r="F292" s="248">
        <v>43337</v>
      </c>
    </row>
    <row r="293" spans="1:6">
      <c r="A293" t="s">
        <v>1331</v>
      </c>
      <c r="B293" t="s">
        <v>3461</v>
      </c>
      <c r="D293">
        <v>0.80269999999999997</v>
      </c>
      <c r="E293" s="254"/>
      <c r="F293" s="248">
        <v>43009</v>
      </c>
    </row>
    <row r="294" spans="1:6">
      <c r="A294" t="s">
        <v>1978</v>
      </c>
      <c r="B294" t="s">
        <v>3500</v>
      </c>
      <c r="D294" s="247">
        <v>1.7161999999999999</v>
      </c>
      <c r="E294"/>
      <c r="F294" s="248">
        <v>43010</v>
      </c>
    </row>
    <row r="295" spans="1:6">
      <c r="A295" t="s">
        <v>1328</v>
      </c>
      <c r="B295" t="s">
        <v>3456</v>
      </c>
      <c r="D295">
        <v>0.86109999999999998</v>
      </c>
      <c r="E295" s="254"/>
      <c r="F295" s="248">
        <v>43009</v>
      </c>
    </row>
    <row r="296" spans="1:6">
      <c r="A296" t="s">
        <v>1315</v>
      </c>
      <c r="B296" t="s">
        <v>3577</v>
      </c>
      <c r="D296" s="255">
        <v>1.9036</v>
      </c>
      <c r="E296"/>
      <c r="F296" s="248">
        <v>43333</v>
      </c>
    </row>
    <row r="297" spans="1:6">
      <c r="A297" t="s">
        <v>1300</v>
      </c>
      <c r="B297" t="s">
        <v>3477</v>
      </c>
      <c r="D297">
        <v>1.3833</v>
      </c>
      <c r="E297" s="254"/>
      <c r="F297" s="248">
        <v>43007</v>
      </c>
    </row>
    <row r="298" spans="1:6">
      <c r="A298" t="s">
        <v>1293</v>
      </c>
      <c r="B298" t="s">
        <v>3619</v>
      </c>
      <c r="D298" s="255">
        <v>0.92230000000000001</v>
      </c>
      <c r="E298"/>
      <c r="F298" s="248">
        <v>43334</v>
      </c>
    </row>
    <row r="299" spans="1:6">
      <c r="A299" t="s">
        <v>1291</v>
      </c>
      <c r="B299" t="s">
        <v>3623</v>
      </c>
      <c r="D299" s="255">
        <v>1.8980999999999999</v>
      </c>
      <c r="E299"/>
      <c r="F299" s="248">
        <v>43337</v>
      </c>
    </row>
    <row r="300" spans="1:6">
      <c r="A300" t="s">
        <v>1974</v>
      </c>
      <c r="B300" t="s">
        <v>3484</v>
      </c>
      <c r="D300">
        <v>1.2876000000000001</v>
      </c>
      <c r="E300" s="254"/>
      <c r="F300" s="248">
        <v>43010</v>
      </c>
    </row>
    <row r="301" spans="1:6">
      <c r="A301" t="s">
        <v>1284</v>
      </c>
      <c r="B301" t="s">
        <v>3641</v>
      </c>
      <c r="D301" s="255">
        <v>1.8654999999999999</v>
      </c>
      <c r="E301"/>
      <c r="F301" s="248">
        <v>43338</v>
      </c>
    </row>
    <row r="302" spans="1:6">
      <c r="A302" t="s">
        <v>1283</v>
      </c>
      <c r="B302" t="s">
        <v>3605</v>
      </c>
      <c r="D302" s="255">
        <v>1.4665999999999999</v>
      </c>
      <c r="E302"/>
      <c r="F302" s="248">
        <v>43334</v>
      </c>
    </row>
    <row r="303" spans="1:6">
      <c r="A303" t="s">
        <v>1973</v>
      </c>
      <c r="B303" t="s">
        <v>3421</v>
      </c>
      <c r="D303">
        <v>0.94330000000000003</v>
      </c>
      <c r="E303" s="254"/>
      <c r="F303" s="248">
        <v>43008</v>
      </c>
    </row>
    <row r="304" spans="1:6">
      <c r="A304" t="s">
        <v>1279</v>
      </c>
      <c r="B304">
        <v>214</v>
      </c>
      <c r="C304" t="s">
        <v>2504</v>
      </c>
      <c r="D304">
        <v>0.65300000000000002</v>
      </c>
      <c r="E304" s="223" t="s">
        <v>2508</v>
      </c>
      <c r="F304" s="16">
        <v>43208</v>
      </c>
    </row>
    <row r="305" spans="1:6">
      <c r="A305" t="s">
        <v>1274</v>
      </c>
      <c r="B305" t="s">
        <v>3480</v>
      </c>
      <c r="D305">
        <v>1.8093999999999999</v>
      </c>
      <c r="E305" s="254"/>
      <c r="F305" s="248">
        <v>43007</v>
      </c>
    </row>
    <row r="306" spans="1:6">
      <c r="A306" t="s">
        <v>1972</v>
      </c>
      <c r="B306" t="s">
        <v>3426</v>
      </c>
      <c r="D306">
        <v>0.871</v>
      </c>
      <c r="E306" s="254"/>
      <c r="F306" s="248">
        <v>43009</v>
      </c>
    </row>
    <row r="307" spans="1:6">
      <c r="A307" t="s">
        <v>1270</v>
      </c>
      <c r="B307">
        <v>198</v>
      </c>
      <c r="C307" t="s">
        <v>2504</v>
      </c>
      <c r="D307">
        <v>0.69899999999999995</v>
      </c>
      <c r="E307" s="223" t="s">
        <v>2453</v>
      </c>
      <c r="F307" s="16">
        <v>43208</v>
      </c>
    </row>
    <row r="308" spans="1:6">
      <c r="A308" t="s">
        <v>1971</v>
      </c>
      <c r="B308" t="s">
        <v>3445</v>
      </c>
      <c r="D308">
        <v>1.8559000000000001</v>
      </c>
      <c r="E308" s="254"/>
      <c r="F308" s="248">
        <v>43007</v>
      </c>
    </row>
    <row r="309" spans="1:6">
      <c r="A309" t="s">
        <v>1258</v>
      </c>
      <c r="B309" t="s">
        <v>3458</v>
      </c>
      <c r="D309">
        <v>0.87409999999999999</v>
      </c>
      <c r="E309" s="254"/>
      <c r="F309" s="248">
        <v>43008</v>
      </c>
    </row>
    <row r="310" spans="1:6">
      <c r="A310" t="s">
        <v>2042</v>
      </c>
      <c r="B310" t="s">
        <v>3477</v>
      </c>
      <c r="D310">
        <v>1.4722999999999999</v>
      </c>
      <c r="E310" s="254"/>
      <c r="F310" s="248">
        <v>43007</v>
      </c>
    </row>
    <row r="311" spans="1:6">
      <c r="A311" t="s">
        <v>1970</v>
      </c>
      <c r="B311" t="s">
        <v>3424</v>
      </c>
      <c r="D311">
        <v>0.72970000000000002</v>
      </c>
      <c r="E311" s="254"/>
      <c r="F311" s="248">
        <v>43008</v>
      </c>
    </row>
    <row r="312" spans="1:6">
      <c r="A312" t="s">
        <v>1234</v>
      </c>
      <c r="B312" t="s">
        <v>3596</v>
      </c>
      <c r="D312" s="255">
        <v>1.9451000000000001</v>
      </c>
      <c r="E312"/>
      <c r="F312" s="248">
        <v>43334</v>
      </c>
    </row>
    <row r="313" spans="1:6">
      <c r="A313" t="s">
        <v>1227</v>
      </c>
      <c r="B313" t="s">
        <v>3582</v>
      </c>
      <c r="D313" s="255">
        <v>1.8245</v>
      </c>
      <c r="E313" t="s">
        <v>2125</v>
      </c>
      <c r="F313" s="248">
        <v>43333</v>
      </c>
    </row>
    <row r="314" spans="1:6">
      <c r="A314" t="s">
        <v>1967</v>
      </c>
      <c r="B314" t="s">
        <v>3510</v>
      </c>
      <c r="D314" s="247">
        <v>0.81779999999999997</v>
      </c>
      <c r="E314"/>
      <c r="F314" s="248">
        <v>43008</v>
      </c>
    </row>
    <row r="315" spans="1:6">
      <c r="A315" t="s">
        <v>1966</v>
      </c>
      <c r="B315" t="s">
        <v>3642</v>
      </c>
      <c r="D315" s="255">
        <v>1.9314</v>
      </c>
      <c r="E315" t="s">
        <v>2115</v>
      </c>
      <c r="F315" s="248">
        <v>43338</v>
      </c>
    </row>
    <row r="316" spans="1:6">
      <c r="A316" t="s">
        <v>1206</v>
      </c>
      <c r="B316" t="s">
        <v>3647</v>
      </c>
      <c r="D316" s="255">
        <v>1.7751999999999999</v>
      </c>
      <c r="E316"/>
      <c r="F316" s="248">
        <v>43338</v>
      </c>
    </row>
    <row r="317" spans="1:6">
      <c r="A317" t="s">
        <v>1202</v>
      </c>
      <c r="B317" t="s">
        <v>3567</v>
      </c>
      <c r="D317" s="255">
        <v>1.8361000000000001</v>
      </c>
      <c r="E317"/>
      <c r="F317" s="248">
        <v>43333</v>
      </c>
    </row>
    <row r="318" spans="1:6">
      <c r="A318" t="s">
        <v>1965</v>
      </c>
      <c r="B318" t="s">
        <v>3416</v>
      </c>
      <c r="D318">
        <v>0.84360000000000002</v>
      </c>
      <c r="E318" s="254"/>
      <c r="F318" s="248">
        <v>43009</v>
      </c>
    </row>
    <row r="319" spans="1:6">
      <c r="A319" t="s">
        <v>1199</v>
      </c>
      <c r="B319" t="s">
        <v>3596</v>
      </c>
      <c r="D319" s="255">
        <v>1.8367</v>
      </c>
      <c r="E319"/>
      <c r="F319" s="248">
        <v>43334</v>
      </c>
    </row>
    <row r="320" spans="1:6">
      <c r="A320" t="s">
        <v>1196</v>
      </c>
      <c r="B320" t="s">
        <v>3622</v>
      </c>
      <c r="D320" s="255">
        <v>1.8062</v>
      </c>
      <c r="E320" t="s">
        <v>2119</v>
      </c>
      <c r="F320" s="248">
        <v>43337</v>
      </c>
    </row>
    <row r="321" spans="1:6">
      <c r="A321" t="s">
        <v>1195</v>
      </c>
      <c r="B321" t="s">
        <v>3645</v>
      </c>
      <c r="D321" s="255">
        <v>1.7664</v>
      </c>
      <c r="E321"/>
      <c r="F321" s="248">
        <v>43338</v>
      </c>
    </row>
    <row r="322" spans="1:6">
      <c r="A322" t="s">
        <v>1964</v>
      </c>
      <c r="B322" t="s">
        <v>3583</v>
      </c>
      <c r="D322" s="255">
        <v>1.8914</v>
      </c>
      <c r="E322" t="s">
        <v>3584</v>
      </c>
      <c r="F322" s="248">
        <v>43333</v>
      </c>
    </row>
    <row r="323" spans="1:6">
      <c r="A323" t="s">
        <v>1188</v>
      </c>
      <c r="B323" t="s">
        <v>3624</v>
      </c>
      <c r="D323" s="255">
        <v>1.8160000000000001</v>
      </c>
      <c r="E323"/>
      <c r="F323" s="248">
        <v>43337</v>
      </c>
    </row>
    <row r="324" spans="1:6">
      <c r="A324" t="s">
        <v>1184</v>
      </c>
      <c r="B324" t="s">
        <v>3644</v>
      </c>
      <c r="D324" s="255">
        <v>1.8541000000000001</v>
      </c>
      <c r="E324"/>
      <c r="F324" s="248">
        <v>43338</v>
      </c>
    </row>
    <row r="325" spans="1:6">
      <c r="A325" t="s">
        <v>1182</v>
      </c>
      <c r="B325" t="s">
        <v>3428</v>
      </c>
      <c r="D325">
        <v>0.71699999999999997</v>
      </c>
      <c r="E325" s="254"/>
      <c r="F325" s="248">
        <v>43008</v>
      </c>
    </row>
    <row r="326" spans="1:6">
      <c r="A326" t="s">
        <v>1180</v>
      </c>
      <c r="B326" t="s">
        <v>3476</v>
      </c>
      <c r="D326">
        <v>0.75219999999999998</v>
      </c>
      <c r="E326" s="254"/>
      <c r="F326" s="248">
        <v>43009</v>
      </c>
    </row>
    <row r="327" spans="1:6">
      <c r="A327" t="s">
        <v>1178</v>
      </c>
      <c r="B327" t="s">
        <v>3627</v>
      </c>
      <c r="D327" s="255">
        <v>1.8389</v>
      </c>
      <c r="E327"/>
      <c r="F327" s="248">
        <v>43337</v>
      </c>
    </row>
    <row r="328" spans="1:6">
      <c r="A328" t="s">
        <v>1177</v>
      </c>
      <c r="B328" t="s">
        <v>3610</v>
      </c>
      <c r="D328" s="255">
        <v>0.68469999999999998</v>
      </c>
      <c r="E328"/>
      <c r="F328" s="248">
        <v>43334</v>
      </c>
    </row>
    <row r="329" spans="1:6">
      <c r="A329" t="s">
        <v>1176</v>
      </c>
      <c r="B329" t="s">
        <v>3478</v>
      </c>
      <c r="D329">
        <v>1.361</v>
      </c>
      <c r="E329" s="254"/>
      <c r="F329" s="248">
        <v>43007</v>
      </c>
    </row>
    <row r="330" spans="1:6">
      <c r="A330" t="s">
        <v>1171</v>
      </c>
      <c r="B330" t="s">
        <v>3630</v>
      </c>
      <c r="D330" s="255">
        <v>1.8814</v>
      </c>
      <c r="E330" t="s">
        <v>2119</v>
      </c>
      <c r="F330" s="248">
        <v>43337</v>
      </c>
    </row>
    <row r="331" spans="1:6">
      <c r="A331" t="s">
        <v>1962</v>
      </c>
      <c r="B331" t="s">
        <v>3575</v>
      </c>
      <c r="D331" s="255">
        <v>1.9495</v>
      </c>
      <c r="E331" t="s">
        <v>3576</v>
      </c>
      <c r="F331" s="248">
        <v>43333</v>
      </c>
    </row>
    <row r="332" spans="1:6">
      <c r="A332" t="s">
        <v>1960</v>
      </c>
      <c r="B332">
        <v>194</v>
      </c>
      <c r="C332" t="s">
        <v>2504</v>
      </c>
      <c r="D332">
        <v>0.74199999999999999</v>
      </c>
      <c r="E332" s="223" t="s">
        <v>2505</v>
      </c>
      <c r="F332" s="16">
        <v>43208</v>
      </c>
    </row>
    <row r="333" spans="1:6">
      <c r="A333" t="s">
        <v>1959</v>
      </c>
      <c r="B333" t="s">
        <v>3588</v>
      </c>
      <c r="D333" s="255">
        <v>1.8609</v>
      </c>
      <c r="E333"/>
      <c r="F333" s="248">
        <v>43334</v>
      </c>
    </row>
    <row r="334" spans="1:6">
      <c r="A334" t="s">
        <v>1958</v>
      </c>
      <c r="B334" t="s">
        <v>3403</v>
      </c>
      <c r="D334">
        <v>0.73619999999999997</v>
      </c>
      <c r="E334" s="254"/>
      <c r="F334" s="247"/>
    </row>
    <row r="335" spans="1:6">
      <c r="A335" t="s">
        <v>1957</v>
      </c>
      <c r="B335">
        <v>210</v>
      </c>
      <c r="C335" t="s">
        <v>2504</v>
      </c>
      <c r="D335">
        <v>0.80600000000000005</v>
      </c>
      <c r="E335" s="223" t="s">
        <v>2453</v>
      </c>
      <c r="F335" s="16">
        <v>43208</v>
      </c>
    </row>
    <row r="336" spans="1:6">
      <c r="A336" t="s">
        <v>1955</v>
      </c>
      <c r="B336">
        <v>216</v>
      </c>
      <c r="C336" t="s">
        <v>2504</v>
      </c>
      <c r="D336">
        <v>0.80600000000000005</v>
      </c>
      <c r="E336" s="223" t="s">
        <v>2453</v>
      </c>
      <c r="F336" s="16">
        <v>43208</v>
      </c>
    </row>
    <row r="337" spans="1:6">
      <c r="A337" t="s">
        <v>1954</v>
      </c>
      <c r="B337" t="s">
        <v>3605</v>
      </c>
      <c r="D337" s="255">
        <v>0.77790000000000004</v>
      </c>
      <c r="E337"/>
      <c r="F337" s="248">
        <v>43334</v>
      </c>
    </row>
    <row r="338" spans="1:6">
      <c r="A338" t="s">
        <v>1953</v>
      </c>
      <c r="B338" t="s">
        <v>3638</v>
      </c>
      <c r="D338" s="255">
        <v>1.7647999999999999</v>
      </c>
      <c r="E338" t="s">
        <v>3639</v>
      </c>
      <c r="F338" s="248">
        <v>43338</v>
      </c>
    </row>
    <row r="339" spans="1:6">
      <c r="A339" t="s">
        <v>1951</v>
      </c>
      <c r="B339" t="s">
        <v>3627</v>
      </c>
      <c r="D339" s="255">
        <v>1.9186000000000001</v>
      </c>
      <c r="E339" t="s">
        <v>3628</v>
      </c>
      <c r="F339" s="248">
        <v>43337</v>
      </c>
    </row>
    <row r="340" spans="1:6">
      <c r="A340" t="s">
        <v>1035</v>
      </c>
      <c r="B340" t="s">
        <v>3627</v>
      </c>
      <c r="D340" s="255">
        <v>2.0352999999999999</v>
      </c>
      <c r="E340"/>
      <c r="F340" s="248">
        <v>43337</v>
      </c>
    </row>
    <row r="341" spans="1:6">
      <c r="A341" t="s">
        <v>1033</v>
      </c>
      <c r="B341" t="s">
        <v>3625</v>
      </c>
      <c r="D341" s="255">
        <v>1.9638</v>
      </c>
      <c r="E341"/>
      <c r="F341" s="248">
        <v>43337</v>
      </c>
    </row>
    <row r="342" spans="1:6">
      <c r="A342" t="s">
        <v>1025</v>
      </c>
      <c r="B342" t="s">
        <v>3476</v>
      </c>
      <c r="D342">
        <v>2.0322</v>
      </c>
      <c r="E342" s="254"/>
      <c r="F342" s="248">
        <v>43009</v>
      </c>
    </row>
    <row r="343" spans="1:6">
      <c r="A343" t="s">
        <v>1023</v>
      </c>
      <c r="B343" t="s">
        <v>3498</v>
      </c>
      <c r="D343" s="247">
        <v>0.79290000000000005</v>
      </c>
      <c r="E343"/>
      <c r="F343" s="248">
        <v>43010</v>
      </c>
    </row>
    <row r="344" spans="1:6">
      <c r="A344" t="s">
        <v>1014</v>
      </c>
      <c r="B344" t="s">
        <v>3416</v>
      </c>
      <c r="D344">
        <v>1.7946</v>
      </c>
      <c r="E344" s="254"/>
      <c r="F344" s="248">
        <v>43009</v>
      </c>
    </row>
    <row r="345" spans="1:6">
      <c r="A345" t="s">
        <v>1128</v>
      </c>
      <c r="B345" t="s">
        <v>3607</v>
      </c>
      <c r="D345" s="255">
        <v>0.68400000000000005</v>
      </c>
      <c r="E345" t="s">
        <v>3608</v>
      </c>
      <c r="F345" s="248">
        <v>43334</v>
      </c>
    </row>
    <row r="346" spans="1:6">
      <c r="A346" t="s">
        <v>1010</v>
      </c>
      <c r="B346">
        <v>197</v>
      </c>
      <c r="C346" t="s">
        <v>2504</v>
      </c>
      <c r="D346">
        <v>1.577</v>
      </c>
      <c r="E346" s="223" t="s">
        <v>2452</v>
      </c>
      <c r="F346" s="16">
        <v>43208</v>
      </c>
    </row>
    <row r="347" spans="1:6">
      <c r="A347" t="s">
        <v>1001</v>
      </c>
      <c r="B347" t="s">
        <v>3623</v>
      </c>
      <c r="D347" s="255">
        <v>1.9561999999999999</v>
      </c>
      <c r="E347"/>
      <c r="F347" s="248">
        <v>43337</v>
      </c>
    </row>
    <row r="348" spans="1:6">
      <c r="A348" t="s">
        <v>979</v>
      </c>
      <c r="B348" t="s">
        <v>3454</v>
      </c>
      <c r="D348">
        <v>1.964</v>
      </c>
      <c r="E348" s="254"/>
      <c r="F348" s="248">
        <v>43007</v>
      </c>
    </row>
    <row r="349" spans="1:6">
      <c r="A349" t="s">
        <v>978</v>
      </c>
      <c r="B349" t="s">
        <v>3445</v>
      </c>
      <c r="D349">
        <v>1.9955000000000001</v>
      </c>
      <c r="E349" s="254"/>
      <c r="F349" s="248">
        <v>43007</v>
      </c>
    </row>
    <row r="350" spans="1:6">
      <c r="A350" t="s">
        <v>971</v>
      </c>
      <c r="B350" t="s">
        <v>3476</v>
      </c>
      <c r="D350">
        <v>1.7410000000000001</v>
      </c>
      <c r="E350" s="254"/>
      <c r="F350" s="248">
        <v>43009</v>
      </c>
    </row>
    <row r="351" spans="1:6">
      <c r="A351" t="s">
        <v>968</v>
      </c>
      <c r="B351" t="s">
        <v>3510</v>
      </c>
      <c r="D351" s="247">
        <v>1.5261</v>
      </c>
      <c r="E351" t="s">
        <v>3463</v>
      </c>
      <c r="F351" s="248">
        <v>43008</v>
      </c>
    </row>
    <row r="352" spans="1:6">
      <c r="A352" t="s">
        <v>967</v>
      </c>
      <c r="B352" t="s">
        <v>3641</v>
      </c>
      <c r="D352" s="255">
        <v>1.9946999999999999</v>
      </c>
      <c r="E352"/>
      <c r="F352" s="248">
        <v>43338</v>
      </c>
    </row>
    <row r="353" spans="1:6">
      <c r="A353" t="s">
        <v>966</v>
      </c>
      <c r="B353" t="s">
        <v>3461</v>
      </c>
      <c r="D353">
        <v>1.8721000000000001</v>
      </c>
      <c r="E353" s="254"/>
      <c r="F353" s="248">
        <v>43009</v>
      </c>
    </row>
    <row r="354" spans="1:6">
      <c r="A354" t="s">
        <v>963</v>
      </c>
      <c r="B354" t="s">
        <v>3408</v>
      </c>
      <c r="D354">
        <v>1.8229</v>
      </c>
      <c r="E354" s="254"/>
      <c r="F354" s="247"/>
    </row>
    <row r="355" spans="1:6">
      <c r="A355" t="s">
        <v>962</v>
      </c>
      <c r="B355" t="s">
        <v>3459</v>
      </c>
      <c r="D355">
        <v>1.7174</v>
      </c>
      <c r="E355" s="254"/>
      <c r="F355" s="248">
        <v>43009</v>
      </c>
    </row>
    <row r="356" spans="1:6">
      <c r="A356" t="s">
        <v>1123</v>
      </c>
      <c r="B356" t="s">
        <v>3472</v>
      </c>
      <c r="E356" s="254" t="s">
        <v>3465</v>
      </c>
      <c r="F356" s="248">
        <v>43009</v>
      </c>
    </row>
    <row r="357" spans="1:6">
      <c r="A357" t="s">
        <v>961</v>
      </c>
      <c r="B357" t="s">
        <v>3619</v>
      </c>
      <c r="D357" s="255">
        <v>1.595</v>
      </c>
      <c r="E357"/>
      <c r="F357" s="248">
        <v>43334</v>
      </c>
    </row>
    <row r="358" spans="1:6">
      <c r="A358" t="s">
        <v>957</v>
      </c>
      <c r="B358" t="s">
        <v>3430</v>
      </c>
      <c r="D358">
        <v>1.7850999999999999</v>
      </c>
      <c r="E358" s="254"/>
      <c r="F358" s="248">
        <v>43008</v>
      </c>
    </row>
    <row r="359" spans="1:6">
      <c r="A359" t="s">
        <v>953</v>
      </c>
      <c r="B359" t="s">
        <v>3423</v>
      </c>
      <c r="D359">
        <v>1.7876000000000001</v>
      </c>
      <c r="E359" s="254"/>
      <c r="F359" s="248">
        <v>43008</v>
      </c>
    </row>
    <row r="360" spans="1:6">
      <c r="A360" t="s">
        <v>950</v>
      </c>
      <c r="B360" t="s">
        <v>3646</v>
      </c>
      <c r="D360" s="255">
        <v>1.9675</v>
      </c>
      <c r="E360"/>
      <c r="F360" s="248">
        <v>43338</v>
      </c>
    </row>
    <row r="361" spans="1:6">
      <c r="A361" t="s">
        <v>949</v>
      </c>
      <c r="B361" t="s">
        <v>3583</v>
      </c>
      <c r="D361" s="255">
        <v>1.9886999999999999</v>
      </c>
      <c r="E361"/>
      <c r="F361" s="248">
        <v>43333</v>
      </c>
    </row>
    <row r="362" spans="1:6">
      <c r="A362" t="s">
        <v>948</v>
      </c>
      <c r="B362" t="s">
        <v>3433</v>
      </c>
      <c r="D362">
        <v>1.7978000000000001</v>
      </c>
      <c r="E362" s="254"/>
      <c r="F362" s="248">
        <v>43008</v>
      </c>
    </row>
    <row r="363" spans="1:6">
      <c r="A363" t="s">
        <v>946</v>
      </c>
      <c r="B363" t="s">
        <v>3417</v>
      </c>
      <c r="D363">
        <v>1.6592</v>
      </c>
      <c r="E363" s="254"/>
      <c r="F363" s="248">
        <v>43008</v>
      </c>
    </row>
    <row r="364" spans="1:6">
      <c r="A364" t="s">
        <v>944</v>
      </c>
      <c r="B364" t="s">
        <v>3633</v>
      </c>
      <c r="D364" s="255">
        <v>1.9945999999999999</v>
      </c>
      <c r="E364" t="s">
        <v>2119</v>
      </c>
      <c r="F364" s="248">
        <v>43337</v>
      </c>
    </row>
    <row r="365" spans="1:6">
      <c r="A365" t="s">
        <v>943</v>
      </c>
      <c r="B365" t="s">
        <v>3417</v>
      </c>
      <c r="D365">
        <v>1.7765</v>
      </c>
      <c r="E365" s="254"/>
      <c r="F365" s="248">
        <v>43008</v>
      </c>
    </row>
    <row r="366" spans="1:6">
      <c r="A366" t="s">
        <v>940</v>
      </c>
      <c r="B366" t="s">
        <v>3635</v>
      </c>
      <c r="D366" s="255">
        <v>2.0015000000000001</v>
      </c>
      <c r="E366"/>
      <c r="F366" s="248">
        <v>43337</v>
      </c>
    </row>
    <row r="367" spans="1:6">
      <c r="A367" t="s">
        <v>938</v>
      </c>
      <c r="B367" t="s">
        <v>3648</v>
      </c>
      <c r="D367" s="255">
        <v>2.0466000000000002</v>
      </c>
      <c r="E367"/>
      <c r="F367" s="248">
        <v>43338</v>
      </c>
    </row>
    <row r="368" spans="1:6">
      <c r="A368" t="s">
        <v>937</v>
      </c>
      <c r="B368" t="s">
        <v>3450</v>
      </c>
      <c r="D368">
        <v>1.8874</v>
      </c>
      <c r="E368" s="254"/>
      <c r="F368" s="248">
        <v>43007</v>
      </c>
    </row>
    <row r="369" spans="1:6">
      <c r="A369" t="s">
        <v>936</v>
      </c>
      <c r="B369" t="s">
        <v>3401</v>
      </c>
      <c r="D369">
        <v>1.6595</v>
      </c>
      <c r="E369" s="254"/>
      <c r="F369" s="247"/>
    </row>
    <row r="370" spans="1:6">
      <c r="A370" t="s">
        <v>935</v>
      </c>
      <c r="B370" t="s">
        <v>3495</v>
      </c>
      <c r="D370" s="247">
        <v>1.9655</v>
      </c>
      <c r="E370"/>
      <c r="F370" s="248">
        <v>43010</v>
      </c>
    </row>
    <row r="371" spans="1:6">
      <c r="A371" t="s">
        <v>934</v>
      </c>
      <c r="B371" t="s">
        <v>3424</v>
      </c>
      <c r="D371">
        <v>1.6962999999999999</v>
      </c>
      <c r="E371" s="254"/>
      <c r="F371" s="248">
        <v>43008</v>
      </c>
    </row>
    <row r="372" spans="1:6">
      <c r="A372" t="s">
        <v>933</v>
      </c>
      <c r="B372" t="s">
        <v>3462</v>
      </c>
      <c r="D372">
        <v>1.8463000000000001</v>
      </c>
      <c r="E372" s="254"/>
      <c r="F372" s="248">
        <v>43009</v>
      </c>
    </row>
    <row r="373" spans="1:6">
      <c r="A373" t="s">
        <v>931</v>
      </c>
      <c r="B373" t="s">
        <v>3480</v>
      </c>
      <c r="D373">
        <v>2.0261</v>
      </c>
      <c r="E373" s="254"/>
      <c r="F373" s="248">
        <v>43007</v>
      </c>
    </row>
    <row r="374" spans="1:6">
      <c r="A374" t="s">
        <v>930</v>
      </c>
      <c r="B374" t="s">
        <v>3436</v>
      </c>
      <c r="D374">
        <v>1.7732000000000001</v>
      </c>
      <c r="E374" s="254"/>
      <c r="F374" s="248">
        <v>43009</v>
      </c>
    </row>
    <row r="375" spans="1:6">
      <c r="A375" t="s">
        <v>929</v>
      </c>
      <c r="B375" t="s">
        <v>3506</v>
      </c>
      <c r="D375" s="247">
        <v>1.9135</v>
      </c>
      <c r="E375"/>
      <c r="F375" s="248">
        <v>43010</v>
      </c>
    </row>
    <row r="376" spans="1:6">
      <c r="A376" t="s">
        <v>928</v>
      </c>
      <c r="B376" t="s">
        <v>3481</v>
      </c>
      <c r="D376">
        <v>1.7698</v>
      </c>
      <c r="E376" s="254"/>
      <c r="F376" s="248">
        <v>43007</v>
      </c>
    </row>
    <row r="377" spans="1:6">
      <c r="A377" t="s">
        <v>927</v>
      </c>
      <c r="B377" t="s">
        <v>3430</v>
      </c>
      <c r="D377">
        <v>1.7265999999999999</v>
      </c>
      <c r="E377" s="254"/>
      <c r="F377" s="248">
        <v>43008</v>
      </c>
    </row>
    <row r="378" spans="1:6">
      <c r="A378" t="s">
        <v>920</v>
      </c>
      <c r="B378" t="s">
        <v>3637</v>
      </c>
      <c r="D378" s="255">
        <v>1.8791</v>
      </c>
      <c r="E378" t="s">
        <v>2119</v>
      </c>
      <c r="F378" s="248">
        <v>43337</v>
      </c>
    </row>
    <row r="379" spans="1:6">
      <c r="A379" t="s">
        <v>918</v>
      </c>
      <c r="B379" t="s">
        <v>3421</v>
      </c>
      <c r="D379">
        <v>1.7884</v>
      </c>
      <c r="E379" s="254"/>
      <c r="F379" s="248">
        <v>43008</v>
      </c>
    </row>
    <row r="380" spans="1:6">
      <c r="A380" t="s">
        <v>917</v>
      </c>
      <c r="B380" t="s">
        <v>3399</v>
      </c>
      <c r="D380">
        <v>1.8384</v>
      </c>
      <c r="E380" s="254"/>
      <c r="F380" s="248"/>
    </row>
    <row r="381" spans="1:6">
      <c r="A381" t="s">
        <v>916</v>
      </c>
      <c r="B381" t="s">
        <v>3455</v>
      </c>
      <c r="D381">
        <v>1.9572000000000001</v>
      </c>
      <c r="E381" s="254"/>
      <c r="F381" s="248">
        <v>43007</v>
      </c>
    </row>
    <row r="382" spans="1:6">
      <c r="A382" t="s">
        <v>914</v>
      </c>
      <c r="B382" t="s">
        <v>3595</v>
      </c>
      <c r="D382" s="255">
        <v>2.0263</v>
      </c>
      <c r="E382"/>
      <c r="F382" s="248">
        <v>43334</v>
      </c>
    </row>
    <row r="383" spans="1:6">
      <c r="A383" t="s">
        <v>912</v>
      </c>
      <c r="B383" t="s">
        <v>3604</v>
      </c>
      <c r="D383" s="255">
        <v>1.5876999999999999</v>
      </c>
      <c r="E383" t="s">
        <v>2125</v>
      </c>
      <c r="F383" s="248">
        <v>43334</v>
      </c>
    </row>
    <row r="384" spans="1:6">
      <c r="A384" t="s">
        <v>911</v>
      </c>
      <c r="B384" t="s">
        <v>3438</v>
      </c>
      <c r="D384">
        <v>2.0360999999999998</v>
      </c>
      <c r="E384" s="254"/>
      <c r="F384" s="248">
        <v>43007</v>
      </c>
    </row>
    <row r="385" spans="1:6">
      <c r="A385" t="s">
        <v>908</v>
      </c>
      <c r="B385" t="s">
        <v>3647</v>
      </c>
      <c r="D385" s="255">
        <v>1.9479</v>
      </c>
      <c r="E385"/>
      <c r="F385" s="248">
        <v>43338</v>
      </c>
    </row>
    <row r="386" spans="1:6">
      <c r="A386" t="s">
        <v>905</v>
      </c>
      <c r="B386" t="s">
        <v>3407</v>
      </c>
      <c r="D386">
        <v>1.62</v>
      </c>
      <c r="E386" s="254"/>
      <c r="F386" s="247"/>
    </row>
    <row r="387" spans="1:6">
      <c r="A387" t="s">
        <v>904</v>
      </c>
      <c r="B387" t="s">
        <v>3642</v>
      </c>
      <c r="D387" s="255">
        <v>1.9715</v>
      </c>
      <c r="E387"/>
      <c r="F387" s="248">
        <v>43338</v>
      </c>
    </row>
    <row r="388" spans="1:6">
      <c r="A388" t="s">
        <v>903</v>
      </c>
      <c r="B388" t="s">
        <v>3488</v>
      </c>
      <c r="D388">
        <v>1.7898000000000001</v>
      </c>
      <c r="E388" s="254"/>
      <c r="F388" s="248">
        <v>43010</v>
      </c>
    </row>
    <row r="389" spans="1:6">
      <c r="A389" t="s">
        <v>902</v>
      </c>
      <c r="B389" t="s">
        <v>3398</v>
      </c>
      <c r="D389">
        <v>1.8743000000000001</v>
      </c>
      <c r="E389" s="254"/>
      <c r="F389" s="248">
        <v>43008</v>
      </c>
    </row>
    <row r="390" spans="1:6">
      <c r="A390" t="s">
        <v>901</v>
      </c>
      <c r="B390" t="s">
        <v>3412</v>
      </c>
      <c r="D390">
        <v>1.7597</v>
      </c>
      <c r="E390" s="254"/>
      <c r="F390" s="248">
        <v>43009</v>
      </c>
    </row>
    <row r="391" spans="1:6">
      <c r="A391" t="s">
        <v>899</v>
      </c>
      <c r="B391" t="s">
        <v>3597</v>
      </c>
      <c r="D391" s="255">
        <v>1.9262999999999999</v>
      </c>
      <c r="E391"/>
      <c r="F391" s="248">
        <v>43334</v>
      </c>
    </row>
    <row r="392" spans="1:6">
      <c r="A392" t="s">
        <v>898</v>
      </c>
      <c r="B392" t="s">
        <v>3486</v>
      </c>
      <c r="D392">
        <v>1.9182999999999999</v>
      </c>
      <c r="E392" s="254"/>
      <c r="F392" s="248">
        <v>43010</v>
      </c>
    </row>
    <row r="393" spans="1:6">
      <c r="A393" t="s">
        <v>896</v>
      </c>
      <c r="B393" t="s">
        <v>3485</v>
      </c>
      <c r="D393">
        <v>1.8418000000000001</v>
      </c>
      <c r="E393" s="254"/>
      <c r="F393" s="248">
        <v>43010</v>
      </c>
    </row>
    <row r="394" spans="1:6">
      <c r="A394" t="s">
        <v>895</v>
      </c>
      <c r="B394" t="s">
        <v>3408</v>
      </c>
      <c r="D394">
        <v>1.639</v>
      </c>
      <c r="E394" s="254"/>
      <c r="F394" s="247"/>
    </row>
    <row r="395" spans="1:6">
      <c r="A395" t="s">
        <v>894</v>
      </c>
      <c r="B395" t="s">
        <v>3612</v>
      </c>
      <c r="D395" s="255">
        <v>1.7551000000000001</v>
      </c>
      <c r="E395"/>
      <c r="F395" s="248">
        <v>43334</v>
      </c>
    </row>
    <row r="396" spans="1:6">
      <c r="A396" t="s">
        <v>892</v>
      </c>
      <c r="B396">
        <v>211</v>
      </c>
      <c r="C396" t="s">
        <v>2504</v>
      </c>
      <c r="D396">
        <v>1.1160000000000001</v>
      </c>
      <c r="E396" s="223" t="s">
        <v>2507</v>
      </c>
      <c r="F396" s="16">
        <v>43208</v>
      </c>
    </row>
    <row r="397" spans="1:6">
      <c r="A397" t="s">
        <v>887</v>
      </c>
      <c r="B397" t="s">
        <v>3410</v>
      </c>
      <c r="D397">
        <v>1.8010999999999999</v>
      </c>
      <c r="E397" s="254"/>
      <c r="F397" s="247"/>
    </row>
    <row r="398" spans="1:6">
      <c r="A398" t="s">
        <v>885</v>
      </c>
      <c r="B398" t="s">
        <v>3392</v>
      </c>
      <c r="D398">
        <v>1.5882000000000001</v>
      </c>
      <c r="E398" s="254"/>
      <c r="F398" s="247"/>
    </row>
    <row r="399" spans="1:6">
      <c r="A399" t="s">
        <v>884</v>
      </c>
      <c r="B399" t="s">
        <v>3572</v>
      </c>
      <c r="D399" s="255">
        <v>1.956</v>
      </c>
      <c r="E399" t="s">
        <v>2119</v>
      </c>
      <c r="F399" s="248">
        <v>43333</v>
      </c>
    </row>
    <row r="400" spans="1:6">
      <c r="A400" t="s">
        <v>881</v>
      </c>
      <c r="B400" t="s">
        <v>3586</v>
      </c>
      <c r="D400" s="255">
        <v>1.8734</v>
      </c>
      <c r="E400"/>
      <c r="F400" s="248">
        <v>43333</v>
      </c>
    </row>
    <row r="401" spans="1:6">
      <c r="A401" t="s">
        <v>880</v>
      </c>
      <c r="B401" t="s">
        <v>3602</v>
      </c>
      <c r="D401" s="255">
        <v>1.9642999999999999</v>
      </c>
      <c r="E401" t="s">
        <v>2119</v>
      </c>
      <c r="F401" s="248">
        <v>43334</v>
      </c>
    </row>
    <row r="402" spans="1:6">
      <c r="A402" t="s">
        <v>874</v>
      </c>
      <c r="B402" t="s">
        <v>3456</v>
      </c>
      <c r="D402">
        <v>1.7754000000000001</v>
      </c>
      <c r="E402" s="254"/>
      <c r="F402" s="248">
        <v>43009</v>
      </c>
    </row>
    <row r="403" spans="1:6">
      <c r="A403" t="s">
        <v>872</v>
      </c>
      <c r="B403" t="s">
        <v>3475</v>
      </c>
      <c r="D403">
        <v>1.8042</v>
      </c>
      <c r="E403" s="254"/>
      <c r="F403" s="248">
        <v>43009</v>
      </c>
    </row>
    <row r="404" spans="1:6">
      <c r="A404" t="s">
        <v>871</v>
      </c>
      <c r="B404" t="s">
        <v>3593</v>
      </c>
      <c r="D404" s="255">
        <v>1.9970000000000001</v>
      </c>
      <c r="E404"/>
      <c r="F404" s="248">
        <v>43334</v>
      </c>
    </row>
    <row r="405" spans="1:6">
      <c r="A405" t="s">
        <v>869</v>
      </c>
      <c r="B405" t="s">
        <v>3509</v>
      </c>
      <c r="D405" s="247">
        <v>1.6163000000000001</v>
      </c>
      <c r="E405"/>
      <c r="F405" s="248">
        <v>43008</v>
      </c>
    </row>
    <row r="406" spans="1:6">
      <c r="A406" t="s">
        <v>866</v>
      </c>
      <c r="B406" t="s">
        <v>3644</v>
      </c>
      <c r="D406" s="255">
        <v>1.9981</v>
      </c>
      <c r="E406"/>
      <c r="F406" s="248">
        <v>43338</v>
      </c>
    </row>
    <row r="407" spans="1:6">
      <c r="A407" t="s">
        <v>865</v>
      </c>
      <c r="B407" t="s">
        <v>3614</v>
      </c>
      <c r="D407" s="255">
        <v>1.4581</v>
      </c>
      <c r="E407" t="s">
        <v>3615</v>
      </c>
      <c r="F407" s="248">
        <v>43334</v>
      </c>
    </row>
    <row r="408" spans="1:6">
      <c r="A408" t="s">
        <v>864</v>
      </c>
      <c r="B408" t="s">
        <v>3588</v>
      </c>
      <c r="D408" s="255">
        <v>1.9473</v>
      </c>
      <c r="E408" t="s">
        <v>2119</v>
      </c>
      <c r="F408" s="248">
        <v>43334</v>
      </c>
    </row>
    <row r="409" spans="1:6">
      <c r="A409" t="s">
        <v>861</v>
      </c>
      <c r="B409" t="s">
        <v>3444</v>
      </c>
      <c r="D409">
        <v>1.9007000000000001</v>
      </c>
      <c r="E409" s="254"/>
      <c r="F409" s="248">
        <v>43007</v>
      </c>
    </row>
    <row r="410" spans="1:6">
      <c r="A410" t="s">
        <v>860</v>
      </c>
      <c r="B410" t="s">
        <v>3508</v>
      </c>
      <c r="D410" s="247">
        <v>1.7361</v>
      </c>
      <c r="E410"/>
      <c r="F410" s="248">
        <v>43008</v>
      </c>
    </row>
    <row r="411" spans="1:6">
      <c r="A411" t="s">
        <v>858</v>
      </c>
      <c r="B411" t="s">
        <v>3439</v>
      </c>
      <c r="D411">
        <v>1.9180999999999999</v>
      </c>
      <c r="E411" s="254"/>
      <c r="F411" s="248">
        <v>43007</v>
      </c>
    </row>
    <row r="412" spans="1:6">
      <c r="A412" t="s">
        <v>857</v>
      </c>
      <c r="B412" t="s">
        <v>3404</v>
      </c>
      <c r="D412">
        <v>1.6192</v>
      </c>
      <c r="E412" s="254"/>
      <c r="F412" s="247"/>
    </row>
    <row r="413" spans="1:6">
      <c r="A413" t="s">
        <v>853</v>
      </c>
      <c r="D413">
        <v>1.514</v>
      </c>
      <c r="E413" s="247" t="s">
        <v>3409</v>
      </c>
      <c r="F413" s="247"/>
    </row>
    <row r="414" spans="1:6">
      <c r="A414" t="s">
        <v>849</v>
      </c>
      <c r="B414" t="s">
        <v>3607</v>
      </c>
      <c r="D414" s="255">
        <v>2.0505</v>
      </c>
      <c r="E414"/>
      <c r="F414" s="248">
        <v>43334</v>
      </c>
    </row>
    <row r="415" spans="1:6">
      <c r="A415" t="s">
        <v>847</v>
      </c>
      <c r="B415" t="s">
        <v>3602</v>
      </c>
      <c r="D415" s="255">
        <v>0.51</v>
      </c>
      <c r="E415" t="s">
        <v>3603</v>
      </c>
      <c r="F415" s="248">
        <v>43334</v>
      </c>
    </row>
    <row r="416" spans="1:6">
      <c r="A416" t="s">
        <v>846</v>
      </c>
      <c r="B416" t="s">
        <v>3418</v>
      </c>
      <c r="D416">
        <v>1.7096</v>
      </c>
      <c r="E416" s="254" t="s">
        <v>3406</v>
      </c>
      <c r="F416" s="248">
        <v>43008</v>
      </c>
    </row>
    <row r="417" spans="1:6">
      <c r="A417" t="s">
        <v>844</v>
      </c>
      <c r="B417" t="s">
        <v>3585</v>
      </c>
      <c r="D417" s="255">
        <v>1.9569000000000001</v>
      </c>
      <c r="E417"/>
      <c r="F417" s="248">
        <v>43333</v>
      </c>
    </row>
    <row r="418" spans="1:6">
      <c r="A418" t="s">
        <v>843</v>
      </c>
      <c r="B418" t="s">
        <v>3447</v>
      </c>
      <c r="D418">
        <v>1.9487000000000001</v>
      </c>
      <c r="E418" s="254" t="s">
        <v>3406</v>
      </c>
      <c r="F418" s="248">
        <v>43007</v>
      </c>
    </row>
    <row r="419" spans="1:6">
      <c r="A419" t="s">
        <v>842</v>
      </c>
      <c r="B419" t="s">
        <v>3505</v>
      </c>
      <c r="D419" s="247">
        <v>1.8811</v>
      </c>
      <c r="E419"/>
      <c r="F419" s="248">
        <v>43010</v>
      </c>
    </row>
    <row r="420" spans="1:6">
      <c r="A420" t="s">
        <v>837</v>
      </c>
      <c r="B420" t="s">
        <v>3437</v>
      </c>
      <c r="D420">
        <v>1.8989</v>
      </c>
      <c r="E420" s="254"/>
      <c r="F420" s="248">
        <v>43007</v>
      </c>
    </row>
    <row r="421" spans="1:6">
      <c r="A421" t="s">
        <v>836</v>
      </c>
      <c r="B421" t="s">
        <v>3445</v>
      </c>
      <c r="D421">
        <v>2.0718999999999999</v>
      </c>
      <c r="E421" s="254"/>
      <c r="F421" s="248">
        <v>43007</v>
      </c>
    </row>
    <row r="422" spans="1:6">
      <c r="A422" t="s">
        <v>835</v>
      </c>
      <c r="B422" t="s">
        <v>3631</v>
      </c>
      <c r="D422" s="255">
        <v>2.0337999999999998</v>
      </c>
      <c r="E422"/>
      <c r="F422" s="248">
        <v>43337</v>
      </c>
    </row>
    <row r="423" spans="1:6">
      <c r="A423" t="s">
        <v>831</v>
      </c>
      <c r="B423" t="s">
        <v>3416</v>
      </c>
      <c r="D423">
        <v>1.7559</v>
      </c>
      <c r="E423" s="254"/>
      <c r="F423" s="248">
        <v>43009</v>
      </c>
    </row>
    <row r="424" spans="1:6">
      <c r="A424" t="s">
        <v>828</v>
      </c>
      <c r="B424" t="s">
        <v>3413</v>
      </c>
      <c r="D424">
        <v>1.6048</v>
      </c>
      <c r="E424" s="254"/>
      <c r="F424" s="248">
        <v>43008</v>
      </c>
    </row>
    <row r="425" spans="1:6">
      <c r="A425" t="s">
        <v>827</v>
      </c>
      <c r="B425" t="s">
        <v>3420</v>
      </c>
      <c r="D425">
        <v>1.7397</v>
      </c>
      <c r="E425" s="254"/>
      <c r="F425" s="248">
        <v>43008</v>
      </c>
    </row>
    <row r="426" spans="1:6">
      <c r="A426" t="s">
        <v>821</v>
      </c>
      <c r="B426" t="s">
        <v>3453</v>
      </c>
      <c r="D426">
        <v>1.9332</v>
      </c>
      <c r="E426" s="254"/>
      <c r="F426" s="248">
        <v>43007</v>
      </c>
    </row>
    <row r="427" spans="1:6">
      <c r="A427" t="s">
        <v>820</v>
      </c>
      <c r="B427">
        <v>213</v>
      </c>
      <c r="C427" t="s">
        <v>2504</v>
      </c>
      <c r="D427">
        <v>1.6859999999999999</v>
      </c>
      <c r="E427" s="223" t="s">
        <v>2505</v>
      </c>
      <c r="F427" s="16">
        <v>43208</v>
      </c>
    </row>
    <row r="428" spans="1:6">
      <c r="A428" t="s">
        <v>816</v>
      </c>
      <c r="B428" t="s">
        <v>3435</v>
      </c>
      <c r="D428">
        <v>1.6720999999999999</v>
      </c>
      <c r="E428" s="254"/>
      <c r="F428" s="248">
        <v>43009</v>
      </c>
    </row>
    <row r="429" spans="1:6">
      <c r="A429" t="s">
        <v>814</v>
      </c>
      <c r="B429" t="s">
        <v>3407</v>
      </c>
      <c r="D429">
        <v>1.5642</v>
      </c>
      <c r="E429" s="254"/>
      <c r="F429" s="247"/>
    </row>
    <row r="430" spans="1:6">
      <c r="A430" t="s">
        <v>809</v>
      </c>
      <c r="B430" t="s">
        <v>3473</v>
      </c>
      <c r="D430">
        <v>1.8720000000000001</v>
      </c>
      <c r="E430" s="254"/>
      <c r="F430" s="248">
        <v>43009</v>
      </c>
    </row>
    <row r="431" spans="1:6">
      <c r="A431" t="s">
        <v>806</v>
      </c>
      <c r="B431">
        <v>210</v>
      </c>
      <c r="C431" t="s">
        <v>2504</v>
      </c>
      <c r="D431">
        <v>1.716</v>
      </c>
      <c r="E431" s="223" t="s">
        <v>2453</v>
      </c>
      <c r="F431" s="16">
        <v>43208</v>
      </c>
    </row>
    <row r="432" spans="1:6">
      <c r="A432" t="s">
        <v>804</v>
      </c>
      <c r="B432" t="s">
        <v>3491</v>
      </c>
      <c r="D432" s="247">
        <v>1.8893</v>
      </c>
      <c r="E432"/>
      <c r="F432" s="248">
        <v>43010</v>
      </c>
    </row>
    <row r="433" spans="1:11">
      <c r="A433" t="s">
        <v>803</v>
      </c>
      <c r="B433" t="s">
        <v>3461</v>
      </c>
      <c r="D433">
        <v>1.8117000000000001</v>
      </c>
      <c r="E433" s="254"/>
      <c r="F433" s="248">
        <v>43009</v>
      </c>
    </row>
    <row r="434" spans="1:11">
      <c r="A434" t="s">
        <v>796</v>
      </c>
      <c r="B434" t="s">
        <v>3451</v>
      </c>
      <c r="D434">
        <v>2.0409000000000002</v>
      </c>
      <c r="E434" s="254"/>
      <c r="F434" s="248">
        <v>43007</v>
      </c>
    </row>
    <row r="435" spans="1:11">
      <c r="A435" t="s">
        <v>793</v>
      </c>
      <c r="B435" t="s">
        <v>3405</v>
      </c>
      <c r="D435">
        <v>1.7168000000000001</v>
      </c>
      <c r="E435" s="254" t="s">
        <v>3406</v>
      </c>
      <c r="F435" s="247"/>
    </row>
    <row r="436" spans="1:11">
      <c r="A436" t="s">
        <v>791</v>
      </c>
      <c r="B436" t="s">
        <v>3490</v>
      </c>
      <c r="D436" s="247">
        <v>1.9824999999999999</v>
      </c>
      <c r="E436"/>
      <c r="F436" s="248">
        <v>43010</v>
      </c>
    </row>
    <row r="437" spans="1:11">
      <c r="A437" t="s">
        <v>789</v>
      </c>
      <c r="B437">
        <v>198</v>
      </c>
      <c r="C437" t="s">
        <v>2504</v>
      </c>
      <c r="D437">
        <v>1.615</v>
      </c>
      <c r="E437" s="223" t="s">
        <v>2453</v>
      </c>
      <c r="F437" s="16">
        <v>43208</v>
      </c>
    </row>
    <row r="438" spans="1:11">
      <c r="A438" t="s">
        <v>784</v>
      </c>
      <c r="B438" t="s">
        <v>3469</v>
      </c>
      <c r="E438" s="254" t="s">
        <v>3471</v>
      </c>
      <c r="F438" s="248">
        <v>43009</v>
      </c>
    </row>
    <row r="439" spans="1:11">
      <c r="A439" t="s">
        <v>1105</v>
      </c>
      <c r="B439">
        <v>201</v>
      </c>
      <c r="C439" t="s">
        <v>2504</v>
      </c>
      <c r="D439">
        <v>1.968</v>
      </c>
      <c r="E439" s="223" t="s">
        <v>2509</v>
      </c>
      <c r="F439" s="16">
        <v>43208</v>
      </c>
    </row>
    <row r="440" spans="1:11">
      <c r="A440" t="s">
        <v>780</v>
      </c>
      <c r="B440" t="s">
        <v>3446</v>
      </c>
      <c r="D440">
        <v>2.0156999999999998</v>
      </c>
      <c r="E440" s="254"/>
      <c r="F440" s="248">
        <v>43007</v>
      </c>
    </row>
    <row r="441" spans="1:11">
      <c r="A441" t="s">
        <v>777</v>
      </c>
      <c r="B441" t="s">
        <v>3633</v>
      </c>
      <c r="D441" s="255">
        <v>1.9188000000000001</v>
      </c>
      <c r="E441" t="s">
        <v>2119</v>
      </c>
      <c r="F441" s="248">
        <v>43337</v>
      </c>
      <c r="K441" s="256"/>
    </row>
    <row r="442" spans="1:11">
      <c r="A442" t="s">
        <v>776</v>
      </c>
      <c r="B442" t="s">
        <v>3484</v>
      </c>
      <c r="D442">
        <v>1.9468000000000001</v>
      </c>
      <c r="E442" s="254"/>
      <c r="F442" s="248">
        <v>43010</v>
      </c>
    </row>
    <row r="443" spans="1:11">
      <c r="A443" t="s">
        <v>775</v>
      </c>
      <c r="B443" t="s">
        <v>3587</v>
      </c>
      <c r="D443" s="255">
        <v>1.9832000000000001</v>
      </c>
      <c r="E443" t="s">
        <v>2119</v>
      </c>
      <c r="F443" s="248">
        <v>43334</v>
      </c>
    </row>
    <row r="444" spans="1:11">
      <c r="A444" t="s">
        <v>774</v>
      </c>
      <c r="B444" t="s">
        <v>3499</v>
      </c>
      <c r="D444" s="247">
        <v>1.8496999999999999</v>
      </c>
      <c r="E444"/>
      <c r="F444" s="248">
        <v>43010</v>
      </c>
    </row>
    <row r="445" spans="1:11">
      <c r="A445" t="s">
        <v>768</v>
      </c>
      <c r="B445" t="s">
        <v>3604</v>
      </c>
      <c r="D445" s="255">
        <v>1.5419</v>
      </c>
      <c r="E445"/>
      <c r="F445" s="248">
        <v>43334</v>
      </c>
    </row>
    <row r="446" spans="1:11">
      <c r="A446" t="s">
        <v>764</v>
      </c>
      <c r="B446" t="s">
        <v>3638</v>
      </c>
      <c r="D446" s="255">
        <v>1.9925999999999999</v>
      </c>
      <c r="E446"/>
      <c r="F446" s="248">
        <v>43338</v>
      </c>
    </row>
    <row r="447" spans="1:11">
      <c r="A447" t="s">
        <v>762</v>
      </c>
      <c r="B447">
        <v>216</v>
      </c>
      <c r="C447" t="s">
        <v>2504</v>
      </c>
      <c r="D447">
        <v>1.736</v>
      </c>
      <c r="E447" s="223" t="s">
        <v>2453</v>
      </c>
      <c r="F447" s="16">
        <v>43208</v>
      </c>
    </row>
    <row r="448" spans="1:11">
      <c r="A448" t="s">
        <v>753</v>
      </c>
      <c r="B448" t="s">
        <v>3507</v>
      </c>
      <c r="D448" s="247">
        <v>1.4536</v>
      </c>
      <c r="E448"/>
      <c r="F448" s="248">
        <v>43008</v>
      </c>
    </row>
    <row r="449" spans="1:6">
      <c r="A449" t="s">
        <v>752</v>
      </c>
      <c r="B449">
        <v>195</v>
      </c>
      <c r="C449" t="s">
        <v>2504</v>
      </c>
      <c r="D449">
        <v>0.78200000000000003</v>
      </c>
      <c r="E449" s="223" t="s">
        <v>2455</v>
      </c>
      <c r="F449" s="16">
        <v>43208</v>
      </c>
    </row>
    <row r="450" spans="1:6">
      <c r="A450" t="s">
        <v>747</v>
      </c>
      <c r="B450" t="s">
        <v>3588</v>
      </c>
      <c r="D450" s="255">
        <v>1.9392</v>
      </c>
      <c r="E450" t="s">
        <v>2119</v>
      </c>
      <c r="F450" s="248">
        <v>43334</v>
      </c>
    </row>
    <row r="451" spans="1:6">
      <c r="A451" t="s">
        <v>744</v>
      </c>
      <c r="B451" t="s">
        <v>3467</v>
      </c>
      <c r="D451">
        <v>1.7444999999999999</v>
      </c>
      <c r="E451" s="254" t="s">
        <v>3463</v>
      </c>
      <c r="F451" s="248">
        <v>43009</v>
      </c>
    </row>
    <row r="452" spans="1:6">
      <c r="A452" t="s">
        <v>740</v>
      </c>
      <c r="B452" t="s">
        <v>3490</v>
      </c>
      <c r="D452" s="247">
        <v>1.7884</v>
      </c>
      <c r="E452"/>
      <c r="F452" s="248">
        <v>43010</v>
      </c>
    </row>
    <row r="453" spans="1:6">
      <c r="A453" t="s">
        <v>739</v>
      </c>
      <c r="B453" t="s">
        <v>3575</v>
      </c>
      <c r="D453" s="255">
        <v>1.9192</v>
      </c>
      <c r="E453"/>
      <c r="F453" s="248">
        <v>43333</v>
      </c>
    </row>
    <row r="454" spans="1:6">
      <c r="A454" t="s">
        <v>734</v>
      </c>
      <c r="B454" t="s">
        <v>3443</v>
      </c>
      <c r="D454">
        <v>2.0062000000000002</v>
      </c>
      <c r="E454" s="254"/>
      <c r="F454" s="248">
        <v>43007</v>
      </c>
    </row>
    <row r="455" spans="1:6">
      <c r="A455" t="s">
        <v>725</v>
      </c>
      <c r="B455" t="s">
        <v>3598</v>
      </c>
      <c r="D455" s="255">
        <v>2.0192999999999999</v>
      </c>
      <c r="E455"/>
      <c r="F455" s="248">
        <v>43334</v>
      </c>
    </row>
    <row r="456" spans="1:6">
      <c r="A456" t="s">
        <v>719</v>
      </c>
      <c r="B456" t="s">
        <v>3496</v>
      </c>
      <c r="D456" s="247">
        <v>1.9601999999999999</v>
      </c>
      <c r="E456"/>
      <c r="F456" s="248">
        <v>43010</v>
      </c>
    </row>
    <row r="457" spans="1:6">
      <c r="A457" t="s">
        <v>716</v>
      </c>
      <c r="B457" t="s">
        <v>3425</v>
      </c>
      <c r="D457">
        <v>1.8856999999999999</v>
      </c>
      <c r="E457" s="254"/>
      <c r="F457" s="248">
        <v>43009</v>
      </c>
    </row>
    <row r="458" spans="1:6">
      <c r="A458" t="s">
        <v>1098</v>
      </c>
      <c r="B458" t="s">
        <v>3438</v>
      </c>
      <c r="D458">
        <v>2.0165999999999999</v>
      </c>
      <c r="E458" s="254"/>
      <c r="F458" s="248">
        <v>43007</v>
      </c>
    </row>
    <row r="459" spans="1:6">
      <c r="A459" t="s">
        <v>698</v>
      </c>
      <c r="B459" t="s">
        <v>3617</v>
      </c>
      <c r="D459" s="255">
        <v>1.5766</v>
      </c>
      <c r="E459"/>
      <c r="F459" s="248">
        <v>43334</v>
      </c>
    </row>
    <row r="460" spans="1:6">
      <c r="A460" t="s">
        <v>686</v>
      </c>
      <c r="B460">
        <v>196</v>
      </c>
      <c r="C460" t="s">
        <v>2504</v>
      </c>
      <c r="D460">
        <v>0.19900000000000001</v>
      </c>
      <c r="E460" s="223" t="s">
        <v>2455</v>
      </c>
      <c r="F460" s="16">
        <v>43208</v>
      </c>
    </row>
    <row r="461" spans="1:6">
      <c r="A461" t="s">
        <v>650</v>
      </c>
      <c r="B461" t="s">
        <v>3426</v>
      </c>
      <c r="D461">
        <v>2.0198</v>
      </c>
      <c r="E461" s="254"/>
      <c r="F461" s="248">
        <v>43009</v>
      </c>
    </row>
    <row r="462" spans="1:6">
      <c r="A462" t="s">
        <v>648</v>
      </c>
      <c r="B462" t="s">
        <v>3595</v>
      </c>
      <c r="D462" s="255">
        <v>1.8869</v>
      </c>
      <c r="E462"/>
      <c r="F462" s="248">
        <v>43334</v>
      </c>
    </row>
    <row r="463" spans="1:6">
      <c r="A463" t="s">
        <v>1136</v>
      </c>
      <c r="D463">
        <v>0.32769999999999999</v>
      </c>
      <c r="E463" s="247" t="s">
        <v>3411</v>
      </c>
      <c r="F463" s="247"/>
    </row>
    <row r="464" spans="1:6">
      <c r="A464" t="s">
        <v>627</v>
      </c>
      <c r="B464" t="s">
        <v>3436</v>
      </c>
      <c r="D464">
        <v>1.8293999999999999</v>
      </c>
      <c r="E464" s="254"/>
      <c r="F464" s="248">
        <v>43009</v>
      </c>
    </row>
    <row r="465" spans="1:6">
      <c r="A465" t="s">
        <v>625</v>
      </c>
      <c r="B465">
        <v>208</v>
      </c>
      <c r="C465" t="s">
        <v>2504</v>
      </c>
      <c r="D465">
        <v>1.7749999999999999</v>
      </c>
      <c r="E465" s="223" t="s">
        <v>2454</v>
      </c>
      <c r="F465" s="16">
        <v>43208</v>
      </c>
    </row>
    <row r="466" spans="1:6">
      <c r="A466" t="s">
        <v>1089</v>
      </c>
      <c r="B466" t="s">
        <v>3473</v>
      </c>
      <c r="E466" s="254" t="s">
        <v>3474</v>
      </c>
      <c r="F466" s="248">
        <v>43009</v>
      </c>
    </row>
    <row r="467" spans="1:6">
      <c r="A467" t="s">
        <v>590</v>
      </c>
      <c r="B467">
        <v>207</v>
      </c>
      <c r="C467" t="s">
        <v>2504</v>
      </c>
      <c r="D467">
        <v>8.3109999999999999</v>
      </c>
      <c r="E467" s="223" t="s">
        <v>2452</v>
      </c>
      <c r="F467" s="16">
        <v>43208</v>
      </c>
    </row>
    <row r="468" spans="1:6">
      <c r="A468" t="s">
        <v>555</v>
      </c>
      <c r="B468" t="s">
        <v>3423</v>
      </c>
      <c r="D468">
        <v>2.2069000000000001</v>
      </c>
      <c r="E468" s="254"/>
      <c r="F468" s="248">
        <v>43008</v>
      </c>
    </row>
    <row r="469" spans="1:6">
      <c r="A469" t="s">
        <v>542</v>
      </c>
      <c r="B469">
        <v>210</v>
      </c>
      <c r="C469" t="s">
        <v>2504</v>
      </c>
      <c r="D469">
        <v>1.742</v>
      </c>
      <c r="E469" s="223" t="s">
        <v>2453</v>
      </c>
      <c r="F469" s="16">
        <v>43208</v>
      </c>
    </row>
    <row r="470" spans="1:6">
      <c r="A470" t="s">
        <v>3898</v>
      </c>
      <c r="B470" t="s">
        <v>3624</v>
      </c>
      <c r="D470" s="255">
        <v>1.9592000000000001</v>
      </c>
      <c r="E470"/>
      <c r="F470" s="248">
        <v>43337</v>
      </c>
    </row>
    <row r="471" spans="1:6">
      <c r="A471" t="s">
        <v>537</v>
      </c>
      <c r="B471" t="s">
        <v>3449</v>
      </c>
      <c r="D471">
        <v>1.9849000000000001</v>
      </c>
      <c r="E471" s="254" t="s">
        <v>3406</v>
      </c>
      <c r="F471" s="248">
        <v>43007</v>
      </c>
    </row>
    <row r="472" spans="1:6">
      <c r="A472" t="s">
        <v>536</v>
      </c>
      <c r="B472" t="s">
        <v>3478</v>
      </c>
      <c r="D472">
        <v>1.9094</v>
      </c>
      <c r="E472" s="254"/>
      <c r="F472" s="248">
        <v>43007</v>
      </c>
    </row>
    <row r="473" spans="1:6">
      <c r="A473" t="s">
        <v>535</v>
      </c>
      <c r="B473">
        <v>207</v>
      </c>
      <c r="C473" t="s">
        <v>2504</v>
      </c>
      <c r="D473">
        <v>1.615</v>
      </c>
      <c r="E473" s="223" t="s">
        <v>2452</v>
      </c>
      <c r="F473" s="16">
        <v>43208</v>
      </c>
    </row>
    <row r="474" spans="1:6">
      <c r="A474" t="s">
        <v>534</v>
      </c>
      <c r="B474" t="s">
        <v>3467</v>
      </c>
      <c r="D474">
        <v>1.8051999999999999</v>
      </c>
      <c r="E474" s="254"/>
      <c r="F474" s="248">
        <v>43009</v>
      </c>
    </row>
    <row r="475" spans="1:6">
      <c r="A475" t="s">
        <v>533</v>
      </c>
      <c r="B475" t="s">
        <v>3589</v>
      </c>
      <c r="D475" s="255">
        <v>1.9615</v>
      </c>
      <c r="E475" t="s">
        <v>2119</v>
      </c>
      <c r="F475" s="248">
        <v>43334</v>
      </c>
    </row>
    <row r="476" spans="1:6">
      <c r="A476" t="s">
        <v>531</v>
      </c>
      <c r="B476" t="s">
        <v>3400</v>
      </c>
      <c r="D476">
        <v>1.6455</v>
      </c>
      <c r="E476" s="254"/>
      <c r="F476" s="247"/>
    </row>
    <row r="477" spans="1:6">
      <c r="A477" t="s">
        <v>530</v>
      </c>
      <c r="B477" t="s">
        <v>3500</v>
      </c>
      <c r="D477" s="247">
        <v>1.9753000000000001</v>
      </c>
      <c r="E477"/>
      <c r="F477" s="248">
        <v>43010</v>
      </c>
    </row>
    <row r="478" spans="1:6">
      <c r="A478" t="s">
        <v>1080</v>
      </c>
      <c r="B478" t="s">
        <v>3593</v>
      </c>
      <c r="D478" s="255">
        <v>1.9782999999999999</v>
      </c>
      <c r="E478"/>
      <c r="F478" s="248">
        <v>43334</v>
      </c>
    </row>
    <row r="479" spans="1:6">
      <c r="A479" t="s">
        <v>529</v>
      </c>
      <c r="B479" t="s">
        <v>3634</v>
      </c>
      <c r="D479" s="255">
        <v>1.9097999999999999</v>
      </c>
      <c r="E479" t="s">
        <v>2119</v>
      </c>
      <c r="F479" s="248">
        <v>43337</v>
      </c>
    </row>
    <row r="480" spans="1:6">
      <c r="A480" t="s">
        <v>528</v>
      </c>
      <c r="B480">
        <v>194</v>
      </c>
      <c r="C480" t="s">
        <v>2504</v>
      </c>
      <c r="D480">
        <v>1.593</v>
      </c>
      <c r="E480" s="223" t="s">
        <v>2505</v>
      </c>
      <c r="F480" s="16">
        <v>43208</v>
      </c>
    </row>
    <row r="481" spans="1:6">
      <c r="A481" t="s">
        <v>527</v>
      </c>
      <c r="B481" t="s">
        <v>3464</v>
      </c>
      <c r="E481" s="254" t="s">
        <v>3465</v>
      </c>
      <c r="F481" s="248">
        <v>43009</v>
      </c>
    </row>
    <row r="482" spans="1:6">
      <c r="A482" t="s">
        <v>526</v>
      </c>
      <c r="B482" t="s">
        <v>3468</v>
      </c>
      <c r="D482">
        <v>1.7827</v>
      </c>
      <c r="E482" s="254"/>
      <c r="F482" s="248">
        <v>43009</v>
      </c>
    </row>
    <row r="483" spans="1:6">
      <c r="A483" t="s">
        <v>525</v>
      </c>
      <c r="B483" t="s">
        <v>3630</v>
      </c>
      <c r="D483" s="255">
        <v>1.9262999999999999</v>
      </c>
      <c r="E483" t="s">
        <v>2119</v>
      </c>
      <c r="F483" s="248">
        <v>43337</v>
      </c>
    </row>
    <row r="484" spans="1:6">
      <c r="A484" t="s">
        <v>524</v>
      </c>
      <c r="B484" t="s">
        <v>3456</v>
      </c>
      <c r="D484">
        <v>1.4872000000000001</v>
      </c>
      <c r="E484" s="254" t="s">
        <v>3457</v>
      </c>
      <c r="F484" s="248">
        <v>43009</v>
      </c>
    </row>
    <row r="485" spans="1:6">
      <c r="A485" t="s">
        <v>523</v>
      </c>
      <c r="B485" t="s">
        <v>3452</v>
      </c>
      <c r="D485">
        <v>1.9423999999999999</v>
      </c>
      <c r="E485" s="254"/>
      <c r="F485" s="248">
        <v>43007</v>
      </c>
    </row>
    <row r="486" spans="1:6">
      <c r="A486" t="s">
        <v>522</v>
      </c>
      <c r="B486" t="s">
        <v>3491</v>
      </c>
      <c r="D486" s="247">
        <v>1.8621000000000001</v>
      </c>
      <c r="E486"/>
      <c r="F486" s="248">
        <v>43010</v>
      </c>
    </row>
    <row r="487" spans="1:6">
      <c r="A487" t="s">
        <v>521</v>
      </c>
      <c r="B487" t="s">
        <v>3567</v>
      </c>
      <c r="D487" s="255">
        <v>1.9595</v>
      </c>
      <c r="E487"/>
      <c r="F487" s="248">
        <v>43333</v>
      </c>
    </row>
    <row r="488" spans="1:6">
      <c r="A488" t="s">
        <v>520</v>
      </c>
      <c r="B488" t="s">
        <v>3632</v>
      </c>
      <c r="D488" s="255">
        <v>1.9713000000000001</v>
      </c>
      <c r="E488"/>
      <c r="F488" s="248">
        <v>43337</v>
      </c>
    </row>
    <row r="489" spans="1:6">
      <c r="A489" t="s">
        <v>519</v>
      </c>
      <c r="B489" t="s">
        <v>3645</v>
      </c>
      <c r="D489" s="255">
        <v>2.0047999999999999</v>
      </c>
      <c r="E489"/>
      <c r="F489" s="248">
        <v>43338</v>
      </c>
    </row>
    <row r="490" spans="1:6">
      <c r="A490" t="s">
        <v>518</v>
      </c>
      <c r="B490" t="s">
        <v>3390</v>
      </c>
      <c r="D490">
        <v>1.6888000000000001</v>
      </c>
      <c r="F490" s="247"/>
    </row>
    <row r="491" spans="1:6">
      <c r="A491" t="s">
        <v>517</v>
      </c>
      <c r="B491">
        <v>216</v>
      </c>
      <c r="C491" t="s">
        <v>2504</v>
      </c>
      <c r="D491">
        <v>1.6419999999999999</v>
      </c>
      <c r="E491" s="223" t="s">
        <v>2505</v>
      </c>
      <c r="F491" s="16">
        <v>43208</v>
      </c>
    </row>
    <row r="492" spans="1:6">
      <c r="A492" t="s">
        <v>516</v>
      </c>
      <c r="B492">
        <v>193</v>
      </c>
      <c r="C492" t="s">
        <v>2504</v>
      </c>
      <c r="D492">
        <v>1.397</v>
      </c>
      <c r="E492" s="223" t="s">
        <v>2454</v>
      </c>
      <c r="F492" s="16">
        <v>43208</v>
      </c>
    </row>
    <row r="493" spans="1:6">
      <c r="A493" t="s">
        <v>515</v>
      </c>
      <c r="B493" t="s">
        <v>3485</v>
      </c>
      <c r="E493" s="254" t="s">
        <v>3479</v>
      </c>
      <c r="F493" s="248">
        <v>43010</v>
      </c>
    </row>
    <row r="494" spans="1:6">
      <c r="A494" t="s">
        <v>514</v>
      </c>
      <c r="B494">
        <v>208</v>
      </c>
      <c r="C494" t="s">
        <v>2504</v>
      </c>
      <c r="D494">
        <v>1.6539999999999999</v>
      </c>
      <c r="E494" s="223" t="s">
        <v>2454</v>
      </c>
      <c r="F494" s="16">
        <v>43208</v>
      </c>
    </row>
    <row r="495" spans="1:6">
      <c r="A495" t="s">
        <v>512</v>
      </c>
      <c r="B495" t="s">
        <v>3392</v>
      </c>
      <c r="D495">
        <v>1.7356</v>
      </c>
      <c r="E495" s="254" t="s">
        <v>3393</v>
      </c>
      <c r="F495" s="247"/>
    </row>
    <row r="496" spans="1:6">
      <c r="A496" t="s">
        <v>511</v>
      </c>
      <c r="B496" t="s">
        <v>3427</v>
      </c>
      <c r="D496">
        <v>1.7652000000000001</v>
      </c>
      <c r="E496" s="254" t="s">
        <v>3393</v>
      </c>
      <c r="F496" s="248">
        <v>43008</v>
      </c>
    </row>
    <row r="497" spans="1:6">
      <c r="A497" t="s">
        <v>510</v>
      </c>
      <c r="B497" t="s">
        <v>3414</v>
      </c>
      <c r="D497">
        <v>1.8498000000000001</v>
      </c>
      <c r="E497" s="254"/>
      <c r="F497" s="248">
        <v>43009</v>
      </c>
    </row>
    <row r="498" spans="1:6">
      <c r="A498" t="s">
        <v>507</v>
      </c>
      <c r="B498" t="s">
        <v>3453</v>
      </c>
      <c r="D498">
        <v>1.9161999999999999</v>
      </c>
      <c r="E498" s="254"/>
      <c r="F498" s="248">
        <v>43007</v>
      </c>
    </row>
    <row r="499" spans="1:6">
      <c r="A499" t="s">
        <v>506</v>
      </c>
      <c r="B499" t="s">
        <v>3422</v>
      </c>
      <c r="D499">
        <v>1.6096999999999999</v>
      </c>
      <c r="E499" s="254"/>
      <c r="F499" s="248">
        <v>43009</v>
      </c>
    </row>
    <row r="500" spans="1:6">
      <c r="A500" t="s">
        <v>505</v>
      </c>
      <c r="B500" t="s">
        <v>3596</v>
      </c>
      <c r="D500" s="255">
        <v>1.9177</v>
      </c>
      <c r="E500"/>
      <c r="F500" s="248">
        <v>43334</v>
      </c>
    </row>
    <row r="501" spans="1:6">
      <c r="A501" t="s">
        <v>504</v>
      </c>
      <c r="B501" t="s">
        <v>3492</v>
      </c>
      <c r="D501" s="247">
        <v>1.9524999999999999</v>
      </c>
      <c r="E501"/>
      <c r="F501" s="248">
        <v>43010</v>
      </c>
    </row>
    <row r="502" spans="1:6">
      <c r="A502" t="s">
        <v>503</v>
      </c>
      <c r="B502" t="s">
        <v>3395</v>
      </c>
      <c r="D502">
        <v>1.8521000000000001</v>
      </c>
      <c r="E502" s="254"/>
      <c r="F502" s="248">
        <v>43008</v>
      </c>
    </row>
    <row r="503" spans="1:6">
      <c r="A503" t="s">
        <v>502</v>
      </c>
      <c r="B503" t="s">
        <v>3405</v>
      </c>
      <c r="D503">
        <v>1.6534</v>
      </c>
      <c r="E503" s="254"/>
      <c r="F503" s="247"/>
    </row>
    <row r="504" spans="1:6">
      <c r="A504" t="s">
        <v>501</v>
      </c>
      <c r="B504" t="s">
        <v>3511</v>
      </c>
      <c r="D504" s="247">
        <v>1.5814999999999999</v>
      </c>
      <c r="E504"/>
      <c r="F504" s="248">
        <v>43008</v>
      </c>
    </row>
    <row r="505" spans="1:6">
      <c r="A505" t="s">
        <v>500</v>
      </c>
      <c r="B505">
        <v>218</v>
      </c>
      <c r="C505" t="s">
        <v>2504</v>
      </c>
      <c r="D505">
        <v>1.6519999999999999</v>
      </c>
      <c r="E505" s="223" t="s">
        <v>2509</v>
      </c>
      <c r="F505" s="16">
        <v>43208</v>
      </c>
    </row>
    <row r="506" spans="1:6">
      <c r="A506" t="s">
        <v>499</v>
      </c>
      <c r="B506" t="s">
        <v>3426</v>
      </c>
      <c r="D506">
        <v>1.6580999999999999</v>
      </c>
      <c r="E506" s="254"/>
      <c r="F506" s="248">
        <v>43009</v>
      </c>
    </row>
    <row r="507" spans="1:6">
      <c r="A507" t="s">
        <v>498</v>
      </c>
      <c r="B507" t="s">
        <v>3614</v>
      </c>
      <c r="D507" s="255">
        <v>1.9777</v>
      </c>
      <c r="E507"/>
      <c r="F507" s="248">
        <v>43334</v>
      </c>
    </row>
    <row r="508" spans="1:6">
      <c r="A508" t="s">
        <v>497</v>
      </c>
      <c r="B508" t="s">
        <v>3449</v>
      </c>
      <c r="D508">
        <v>1.9686999999999999</v>
      </c>
      <c r="E508" s="254"/>
      <c r="F508" s="248">
        <v>43007</v>
      </c>
    </row>
    <row r="509" spans="1:6">
      <c r="A509" t="s">
        <v>494</v>
      </c>
      <c r="B509">
        <v>195</v>
      </c>
      <c r="C509" t="s">
        <v>2504</v>
      </c>
      <c r="D509">
        <v>1.7509999999999999</v>
      </c>
      <c r="E509" s="223" t="s">
        <v>2115</v>
      </c>
      <c r="F509" s="16">
        <v>43208</v>
      </c>
    </row>
    <row r="510" spans="1:6">
      <c r="A510" t="s">
        <v>493</v>
      </c>
      <c r="B510" t="s">
        <v>3477</v>
      </c>
      <c r="D510">
        <v>1.8704000000000001</v>
      </c>
      <c r="E510" s="254"/>
      <c r="F510" s="248">
        <v>43007</v>
      </c>
    </row>
    <row r="511" spans="1:6">
      <c r="A511" t="s">
        <v>492</v>
      </c>
      <c r="B511" t="s">
        <v>3403</v>
      </c>
      <c r="D511">
        <v>1.6881999999999999</v>
      </c>
      <c r="E511" s="254"/>
      <c r="F511" s="247"/>
    </row>
    <row r="512" spans="1:6">
      <c r="A512" t="s">
        <v>491</v>
      </c>
      <c r="B512" t="s">
        <v>3599</v>
      </c>
      <c r="D512" s="255">
        <v>1.9649000000000001</v>
      </c>
      <c r="E512" t="s">
        <v>2119</v>
      </c>
      <c r="F512" s="248">
        <v>43334</v>
      </c>
    </row>
    <row r="513" spans="1:6">
      <c r="A513" t="s">
        <v>490</v>
      </c>
      <c r="B513" t="s">
        <v>3483</v>
      </c>
      <c r="D513">
        <v>1.7554000000000001</v>
      </c>
      <c r="E513" s="254" t="s">
        <v>3406</v>
      </c>
      <c r="F513" s="248">
        <v>43008</v>
      </c>
    </row>
    <row r="514" spans="1:6">
      <c r="A514" t="s">
        <v>489</v>
      </c>
      <c r="B514" t="s">
        <v>3455</v>
      </c>
      <c r="D514">
        <v>1.9756</v>
      </c>
      <c r="E514" s="254"/>
      <c r="F514" s="248">
        <v>43007</v>
      </c>
    </row>
    <row r="515" spans="1:6">
      <c r="A515" t="s">
        <v>488</v>
      </c>
      <c r="B515" t="s">
        <v>3487</v>
      </c>
      <c r="D515">
        <v>2.0049000000000001</v>
      </c>
      <c r="E515" s="254"/>
      <c r="F515" s="248">
        <v>43010</v>
      </c>
    </row>
    <row r="516" spans="1:6">
      <c r="A516" t="s">
        <v>487</v>
      </c>
      <c r="B516" t="s">
        <v>3441</v>
      </c>
      <c r="D516">
        <v>1.9245000000000001</v>
      </c>
      <c r="E516" s="254"/>
      <c r="F516" s="248">
        <v>43007</v>
      </c>
    </row>
    <row r="517" spans="1:6">
      <c r="A517" t="s">
        <v>486</v>
      </c>
      <c r="B517">
        <v>194</v>
      </c>
      <c r="C517" t="s">
        <v>2504</v>
      </c>
      <c r="D517">
        <v>1.613</v>
      </c>
      <c r="E517" s="223" t="s">
        <v>2506</v>
      </c>
      <c r="F517" s="16">
        <v>43208</v>
      </c>
    </row>
    <row r="518" spans="1:6">
      <c r="A518" t="s">
        <v>484</v>
      </c>
      <c r="B518" t="s">
        <v>3422</v>
      </c>
      <c r="D518">
        <v>3.7545000000000002</v>
      </c>
      <c r="E518" s="254" t="s">
        <v>2511</v>
      </c>
      <c r="F518" s="248">
        <v>43009</v>
      </c>
    </row>
    <row r="519" spans="1:6">
      <c r="A519" t="s">
        <v>482</v>
      </c>
      <c r="B519" t="s">
        <v>3643</v>
      </c>
      <c r="D519" s="255">
        <v>2.0581999999999998</v>
      </c>
      <c r="E519"/>
      <c r="F519" s="248">
        <v>43338</v>
      </c>
    </row>
    <row r="520" spans="1:6">
      <c r="A520" t="s">
        <v>481</v>
      </c>
      <c r="B520">
        <v>212</v>
      </c>
      <c r="C520" t="s">
        <v>2504</v>
      </c>
      <c r="D520">
        <v>1.655</v>
      </c>
      <c r="E520" s="223" t="s">
        <v>2509</v>
      </c>
      <c r="F520" s="16">
        <v>43208</v>
      </c>
    </row>
    <row r="521" spans="1:6">
      <c r="A521" t="s">
        <v>480</v>
      </c>
      <c r="B521" t="s">
        <v>3636</v>
      </c>
      <c r="D521" s="255">
        <v>2.0495999999999999</v>
      </c>
      <c r="E521"/>
      <c r="F521" s="248">
        <v>43337</v>
      </c>
    </row>
    <row r="522" spans="1:6">
      <c r="A522" t="s">
        <v>1075</v>
      </c>
      <c r="B522" t="s">
        <v>3502</v>
      </c>
      <c r="D522" s="247">
        <v>1.7972999999999999</v>
      </c>
      <c r="E522"/>
      <c r="F522" s="248">
        <v>43010</v>
      </c>
    </row>
    <row r="523" spans="1:6">
      <c r="A523" t="s">
        <v>479</v>
      </c>
      <c r="B523" t="s">
        <v>3442</v>
      </c>
      <c r="D523">
        <v>2.0331000000000001</v>
      </c>
      <c r="E523" s="254"/>
      <c r="F523" s="248">
        <v>43007</v>
      </c>
    </row>
    <row r="524" spans="1:6">
      <c r="A524" t="s">
        <v>478</v>
      </c>
      <c r="B524" t="s">
        <v>3447</v>
      </c>
      <c r="D524">
        <v>1.837</v>
      </c>
      <c r="E524" s="254" t="s">
        <v>3393</v>
      </c>
      <c r="F524" s="248">
        <v>43007</v>
      </c>
    </row>
    <row r="525" spans="1:6">
      <c r="A525" t="s">
        <v>476</v>
      </c>
      <c r="B525">
        <v>214</v>
      </c>
      <c r="C525" t="s">
        <v>2504</v>
      </c>
      <c r="D525">
        <v>1.6679999999999999</v>
      </c>
      <c r="E525" s="223" t="s">
        <v>2508</v>
      </c>
      <c r="F525" s="16">
        <v>43208</v>
      </c>
    </row>
    <row r="526" spans="1:6">
      <c r="A526" t="s">
        <v>475</v>
      </c>
      <c r="B526" t="s">
        <v>3489</v>
      </c>
      <c r="D526" s="247">
        <v>1.8895999999999999</v>
      </c>
      <c r="E526"/>
      <c r="F526" s="248">
        <v>43010</v>
      </c>
    </row>
    <row r="527" spans="1:6">
      <c r="A527" t="s">
        <v>474</v>
      </c>
      <c r="B527">
        <v>201</v>
      </c>
      <c r="C527" t="s">
        <v>2504</v>
      </c>
      <c r="D527">
        <v>1.7869999999999999</v>
      </c>
      <c r="E527" s="223" t="s">
        <v>2509</v>
      </c>
      <c r="F527" s="16">
        <v>43208</v>
      </c>
    </row>
    <row r="528" spans="1:6">
      <c r="A528" t="s">
        <v>472</v>
      </c>
      <c r="B528" t="s">
        <v>3451</v>
      </c>
      <c r="D528">
        <v>2.0158999999999998</v>
      </c>
      <c r="E528" s="254"/>
      <c r="F528" s="248">
        <v>43007</v>
      </c>
    </row>
    <row r="529" spans="1:6">
      <c r="A529" t="s">
        <v>470</v>
      </c>
      <c r="B529" t="s">
        <v>3435</v>
      </c>
      <c r="D529">
        <v>1.6716</v>
      </c>
      <c r="E529" s="254"/>
      <c r="F529" s="248">
        <v>43009</v>
      </c>
    </row>
    <row r="530" spans="1:6">
      <c r="A530" t="s">
        <v>469</v>
      </c>
      <c r="B530">
        <v>211</v>
      </c>
      <c r="C530" t="s">
        <v>2504</v>
      </c>
      <c r="D530">
        <v>1.4770000000000001</v>
      </c>
      <c r="F530" s="16">
        <v>43208</v>
      </c>
    </row>
    <row r="531" spans="1:6">
      <c r="A531" t="s">
        <v>468</v>
      </c>
      <c r="B531" t="s">
        <v>3610</v>
      </c>
      <c r="D531" s="255">
        <v>1.6099000000000001</v>
      </c>
      <c r="E531"/>
      <c r="F531" s="248">
        <v>43334</v>
      </c>
    </row>
    <row r="532" spans="1:6">
      <c r="A532" t="s">
        <v>466</v>
      </c>
      <c r="B532" t="s">
        <v>3420</v>
      </c>
      <c r="D532">
        <v>1.1623000000000001</v>
      </c>
      <c r="E532" s="254" t="s">
        <v>2511</v>
      </c>
      <c r="F532" s="248">
        <v>43008</v>
      </c>
    </row>
    <row r="533" spans="1:6">
      <c r="A533" t="s">
        <v>465</v>
      </c>
      <c r="B533" t="s">
        <v>3459</v>
      </c>
      <c r="D533">
        <v>1.6498999999999999</v>
      </c>
      <c r="E533" s="254" t="s">
        <v>3460</v>
      </c>
      <c r="F533" s="248">
        <v>43009</v>
      </c>
    </row>
    <row r="534" spans="1:6">
      <c r="A534" t="s">
        <v>464</v>
      </c>
      <c r="B534" t="s">
        <v>3627</v>
      </c>
      <c r="D534" s="255">
        <v>2.0310000000000001</v>
      </c>
      <c r="E534" t="s">
        <v>3429</v>
      </c>
      <c r="F534" s="248">
        <v>43337</v>
      </c>
    </row>
    <row r="535" spans="1:6">
      <c r="A535" t="s">
        <v>463</v>
      </c>
      <c r="B535" t="s">
        <v>3399</v>
      </c>
      <c r="D535">
        <v>1.6712</v>
      </c>
      <c r="E535" s="254"/>
      <c r="F535" s="248"/>
    </row>
    <row r="536" spans="1:6">
      <c r="A536" t="s">
        <v>462</v>
      </c>
      <c r="B536">
        <v>214</v>
      </c>
      <c r="C536" t="s">
        <v>2504</v>
      </c>
      <c r="D536">
        <v>1.7569999999999999</v>
      </c>
      <c r="E536" s="223" t="s">
        <v>2508</v>
      </c>
      <c r="F536" s="16">
        <v>43208</v>
      </c>
    </row>
    <row r="537" spans="1:6">
      <c r="A537" t="s">
        <v>461</v>
      </c>
      <c r="B537" t="s">
        <v>3403</v>
      </c>
      <c r="D537">
        <v>1.6856</v>
      </c>
      <c r="E537" s="254"/>
      <c r="F537" s="247"/>
    </row>
    <row r="538" spans="1:6">
      <c r="A538" t="s">
        <v>460</v>
      </c>
      <c r="B538" t="s">
        <v>3415</v>
      </c>
      <c r="D538">
        <v>1.7021999999999999</v>
      </c>
      <c r="E538" s="254"/>
      <c r="F538" s="248">
        <v>43009</v>
      </c>
    </row>
    <row r="539" spans="1:6">
      <c r="A539" t="s">
        <v>459</v>
      </c>
      <c r="B539">
        <v>218</v>
      </c>
      <c r="C539" t="s">
        <v>2504</v>
      </c>
      <c r="D539">
        <v>0.17100000000000001</v>
      </c>
      <c r="E539" s="223" t="s">
        <v>2509</v>
      </c>
      <c r="F539" s="16">
        <v>43208</v>
      </c>
    </row>
    <row r="540" spans="1:6">
      <c r="A540" t="s">
        <v>458</v>
      </c>
      <c r="B540" t="s">
        <v>3579</v>
      </c>
      <c r="D540" s="255">
        <v>1.9663999999999999</v>
      </c>
      <c r="E540" t="s">
        <v>2115</v>
      </c>
      <c r="F540" s="248">
        <v>43333</v>
      </c>
    </row>
    <row r="541" spans="1:6">
      <c r="A541" t="s">
        <v>457</v>
      </c>
      <c r="B541" t="s">
        <v>3469</v>
      </c>
      <c r="D541">
        <v>1.7353000000000001</v>
      </c>
      <c r="E541" s="254" t="s">
        <v>3470</v>
      </c>
      <c r="F541" s="248">
        <v>43009</v>
      </c>
    </row>
    <row r="542" spans="1:6">
      <c r="A542" t="s">
        <v>455</v>
      </c>
      <c r="B542" t="s">
        <v>3466</v>
      </c>
      <c r="D542">
        <v>1.8154999999999999</v>
      </c>
      <c r="E542" s="254"/>
      <c r="F542" s="248">
        <v>43009</v>
      </c>
    </row>
    <row r="543" spans="1:6">
      <c r="A543" t="s">
        <v>454</v>
      </c>
      <c r="B543" t="s">
        <v>3390</v>
      </c>
      <c r="D543">
        <v>1.7919</v>
      </c>
      <c r="E543" s="223" t="s">
        <v>3391</v>
      </c>
      <c r="F543" s="247"/>
    </row>
    <row r="544" spans="1:6">
      <c r="A544" t="s">
        <v>453</v>
      </c>
      <c r="B544" t="s">
        <v>3404</v>
      </c>
      <c r="D544">
        <v>3.4599000000000002</v>
      </c>
      <c r="E544" s="254" t="s">
        <v>2511</v>
      </c>
      <c r="F544" s="247"/>
    </row>
    <row r="545" spans="1:6">
      <c r="A545" t="s">
        <v>450</v>
      </c>
      <c r="B545" t="s">
        <v>3577</v>
      </c>
      <c r="D545" s="255">
        <v>1.9226000000000001</v>
      </c>
      <c r="E545"/>
      <c r="F545" s="248">
        <v>43333</v>
      </c>
    </row>
    <row r="546" spans="1:6">
      <c r="A546" t="s">
        <v>448</v>
      </c>
      <c r="B546" t="s">
        <v>3568</v>
      </c>
      <c r="D546" s="255">
        <v>1.9609000000000001</v>
      </c>
      <c r="E546" t="s">
        <v>3569</v>
      </c>
      <c r="F546" s="248">
        <v>43333</v>
      </c>
    </row>
    <row r="547" spans="1:6">
      <c r="A547" t="s">
        <v>447</v>
      </c>
      <c r="B547">
        <v>197</v>
      </c>
      <c r="C547" t="s">
        <v>2504</v>
      </c>
      <c r="D547">
        <v>1.6160000000000001</v>
      </c>
      <c r="E547" s="223" t="s">
        <v>2452</v>
      </c>
      <c r="F547" s="16">
        <v>43208</v>
      </c>
    </row>
    <row r="548" spans="1:6">
      <c r="A548" t="s">
        <v>446</v>
      </c>
      <c r="B548" t="s">
        <v>3472</v>
      </c>
      <c r="D548">
        <v>1.919</v>
      </c>
      <c r="E548" s="254"/>
      <c r="F548" s="248">
        <v>43009</v>
      </c>
    </row>
    <row r="549" spans="1:6">
      <c r="A549" t="s">
        <v>445</v>
      </c>
      <c r="B549" t="s">
        <v>3462</v>
      </c>
      <c r="D549">
        <v>1.7605</v>
      </c>
      <c r="E549" s="254" t="s">
        <v>3463</v>
      </c>
      <c r="F549" s="248">
        <v>43009</v>
      </c>
    </row>
    <row r="550" spans="1:6">
      <c r="A550" t="s">
        <v>444</v>
      </c>
      <c r="B550">
        <v>193</v>
      </c>
      <c r="C550" t="s">
        <v>2504</v>
      </c>
      <c r="D550">
        <v>1.42</v>
      </c>
      <c r="E550" s="223" t="s">
        <v>2454</v>
      </c>
      <c r="F550" s="16">
        <v>43208</v>
      </c>
    </row>
    <row r="551" spans="1:6">
      <c r="A551" t="s">
        <v>443</v>
      </c>
      <c r="B551" t="s">
        <v>3638</v>
      </c>
      <c r="D551" s="255">
        <v>1.9605999999999999</v>
      </c>
      <c r="E551"/>
      <c r="F551" s="248">
        <v>43338</v>
      </c>
    </row>
    <row r="552" spans="1:6">
      <c r="A552" t="s">
        <v>442</v>
      </c>
      <c r="B552" t="s">
        <v>3468</v>
      </c>
      <c r="D552">
        <v>1.8089</v>
      </c>
      <c r="E552" s="254"/>
      <c r="F552" s="248">
        <v>43009</v>
      </c>
    </row>
    <row r="553" spans="1:6">
      <c r="A553" t="s">
        <v>441</v>
      </c>
      <c r="B553" t="s">
        <v>3640</v>
      </c>
      <c r="D553" s="255">
        <v>2.0065</v>
      </c>
      <c r="E553"/>
      <c r="F553" s="248">
        <v>43338</v>
      </c>
    </row>
    <row r="554" spans="1:6">
      <c r="A554" t="s">
        <v>440</v>
      </c>
      <c r="B554">
        <v>213</v>
      </c>
      <c r="C554" t="s">
        <v>2504</v>
      </c>
      <c r="D554">
        <v>1.748</v>
      </c>
      <c r="E554" s="223" t="s">
        <v>2505</v>
      </c>
      <c r="F554" s="16">
        <v>43208</v>
      </c>
    </row>
    <row r="555" spans="1:6">
      <c r="A555" t="s">
        <v>438</v>
      </c>
      <c r="B555" t="s">
        <v>3501</v>
      </c>
      <c r="D555" s="247">
        <v>1.8272999999999999</v>
      </c>
      <c r="E555"/>
      <c r="F555" s="248">
        <v>43010</v>
      </c>
    </row>
    <row r="556" spans="1:6">
      <c r="A556" t="s">
        <v>437</v>
      </c>
      <c r="B556" t="s">
        <v>3431</v>
      </c>
      <c r="D556">
        <v>1.7047000000000001</v>
      </c>
      <c r="E556" s="254"/>
      <c r="F556" s="248">
        <v>43009</v>
      </c>
    </row>
    <row r="557" spans="1:6">
      <c r="A557" t="s">
        <v>436</v>
      </c>
      <c r="B557" t="s">
        <v>3489</v>
      </c>
      <c r="D557" s="247">
        <v>1.9032</v>
      </c>
      <c r="E557"/>
      <c r="F557" s="248">
        <v>43010</v>
      </c>
    </row>
    <row r="558" spans="1:6">
      <c r="A558" t="s">
        <v>435</v>
      </c>
      <c r="B558" t="s">
        <v>3448</v>
      </c>
      <c r="D558">
        <v>1.9311</v>
      </c>
      <c r="E558" s="254"/>
      <c r="F558" s="248">
        <v>43007</v>
      </c>
    </row>
    <row r="559" spans="1:6">
      <c r="A559" t="s">
        <v>434</v>
      </c>
      <c r="B559" t="s">
        <v>3454</v>
      </c>
      <c r="D559">
        <v>2.0167999999999999</v>
      </c>
      <c r="E559" s="254"/>
      <c r="F559" s="248">
        <v>43007</v>
      </c>
    </row>
    <row r="560" spans="1:6">
      <c r="A560" t="s">
        <v>433</v>
      </c>
      <c r="B560" t="s">
        <v>3428</v>
      </c>
      <c r="D560">
        <v>1.5846</v>
      </c>
      <c r="E560" s="254"/>
      <c r="F560" s="248">
        <v>43008</v>
      </c>
    </row>
    <row r="561" spans="1:11">
      <c r="A561" t="s">
        <v>432</v>
      </c>
      <c r="B561" t="s">
        <v>3493</v>
      </c>
      <c r="D561" s="247">
        <v>1.8146</v>
      </c>
      <c r="E561"/>
      <c r="F561" s="248">
        <v>43010</v>
      </c>
    </row>
    <row r="562" spans="1:11">
      <c r="A562" t="s">
        <v>431</v>
      </c>
      <c r="B562" t="s">
        <v>3410</v>
      </c>
      <c r="D562">
        <v>1.7259</v>
      </c>
      <c r="E562" s="254"/>
      <c r="F562" s="247"/>
    </row>
    <row r="563" spans="1:11">
      <c r="A563" t="s">
        <v>430</v>
      </c>
      <c r="B563">
        <v>196</v>
      </c>
      <c r="C563" t="s">
        <v>2504</v>
      </c>
      <c r="D563">
        <v>1.863</v>
      </c>
      <c r="E563" s="223" t="s">
        <v>2455</v>
      </c>
      <c r="F563" s="16">
        <v>43208</v>
      </c>
    </row>
    <row r="564" spans="1:11">
      <c r="A564" t="s">
        <v>429</v>
      </c>
      <c r="B564" t="s">
        <v>3458</v>
      </c>
      <c r="D564">
        <v>1.7403999999999999</v>
      </c>
      <c r="E564" s="254"/>
      <c r="F564" s="248">
        <v>43008</v>
      </c>
    </row>
    <row r="565" spans="1:11">
      <c r="A565" t="s">
        <v>428</v>
      </c>
      <c r="B565">
        <v>198</v>
      </c>
      <c r="C565" t="s">
        <v>2504</v>
      </c>
      <c r="D565">
        <v>1.7210000000000001</v>
      </c>
      <c r="E565" s="223" t="s">
        <v>2453</v>
      </c>
      <c r="F565" s="16">
        <v>43208</v>
      </c>
    </row>
    <row r="566" spans="1:11">
      <c r="A566" t="s">
        <v>427</v>
      </c>
      <c r="B566" t="s">
        <v>3629</v>
      </c>
      <c r="D566" s="255">
        <v>1.9524999999999999</v>
      </c>
      <c r="E566" t="s">
        <v>2115</v>
      </c>
      <c r="F566" s="248">
        <v>43337</v>
      </c>
    </row>
    <row r="567" spans="1:11">
      <c r="A567" t="s">
        <v>426</v>
      </c>
      <c r="B567" t="s">
        <v>3591</v>
      </c>
      <c r="D567" s="255">
        <v>1.9921</v>
      </c>
      <c r="E567" t="s">
        <v>3592</v>
      </c>
      <c r="F567" s="248">
        <v>43334</v>
      </c>
    </row>
    <row r="568" spans="1:11">
      <c r="A568" t="s">
        <v>425</v>
      </c>
      <c r="B568" t="s">
        <v>3504</v>
      </c>
      <c r="D568" s="247">
        <v>1.8105</v>
      </c>
      <c r="E568"/>
      <c r="F568" s="248">
        <v>43010</v>
      </c>
    </row>
    <row r="569" spans="1:11">
      <c r="A569" t="s">
        <v>424</v>
      </c>
      <c r="B569" t="s">
        <v>3412</v>
      </c>
      <c r="D569">
        <v>1.9014</v>
      </c>
      <c r="E569" s="254"/>
      <c r="F569" s="248">
        <v>43009</v>
      </c>
    </row>
    <row r="570" spans="1:11">
      <c r="A570" t="s">
        <v>423</v>
      </c>
      <c r="B570" t="s">
        <v>3582</v>
      </c>
      <c r="D570" s="255">
        <v>1.9879</v>
      </c>
      <c r="E570" t="s">
        <v>2119</v>
      </c>
      <c r="F570" s="248">
        <v>43333</v>
      </c>
      <c r="K570" s="256"/>
    </row>
    <row r="571" spans="1:11">
      <c r="A571" t="s">
        <v>422</v>
      </c>
      <c r="B571" t="s">
        <v>3414</v>
      </c>
      <c r="D571">
        <v>1.7592000000000001</v>
      </c>
      <c r="E571" s="254"/>
      <c r="F571" s="248">
        <v>43009</v>
      </c>
    </row>
    <row r="572" spans="1:11">
      <c r="A572" t="s">
        <v>421</v>
      </c>
      <c r="B572" t="s">
        <v>3464</v>
      </c>
      <c r="D572">
        <v>1.8359000000000001</v>
      </c>
      <c r="E572" s="254"/>
      <c r="F572" s="248">
        <v>43009</v>
      </c>
    </row>
    <row r="573" spans="1:11">
      <c r="A573" t="s">
        <v>419</v>
      </c>
      <c r="B573" t="s">
        <v>3622</v>
      </c>
      <c r="D573" s="255">
        <v>1.9978</v>
      </c>
      <c r="E573" t="s">
        <v>2119</v>
      </c>
      <c r="F573" s="248">
        <v>43337</v>
      </c>
      <c r="K573" s="256"/>
    </row>
    <row r="574" spans="1:11">
      <c r="A574" t="s">
        <v>418</v>
      </c>
      <c r="B574" t="s">
        <v>3626</v>
      </c>
      <c r="D574" s="255">
        <v>1.9549000000000001</v>
      </c>
      <c r="E574"/>
      <c r="F574" s="248">
        <v>43337</v>
      </c>
      <c r="K574" s="256"/>
    </row>
    <row r="575" spans="1:11">
      <c r="A575" t="s">
        <v>417</v>
      </c>
      <c r="B575" t="s">
        <v>3579</v>
      </c>
      <c r="D575" s="255">
        <v>0.13320000000000001</v>
      </c>
      <c r="E575" t="s">
        <v>3580</v>
      </c>
      <c r="F575" s="248">
        <v>43333</v>
      </c>
    </row>
    <row r="576" spans="1:11">
      <c r="A576" t="s">
        <v>416</v>
      </c>
      <c r="B576" t="s">
        <v>3477</v>
      </c>
      <c r="D576">
        <v>1.8997999999999999</v>
      </c>
      <c r="E576" s="254"/>
      <c r="F576" s="248">
        <v>43007</v>
      </c>
    </row>
    <row r="577" spans="1:6">
      <c r="A577" t="s">
        <v>414</v>
      </c>
      <c r="B577" t="s">
        <v>3577</v>
      </c>
      <c r="D577" s="255">
        <v>0.71450000000000002</v>
      </c>
      <c r="E577" t="s">
        <v>3578</v>
      </c>
      <c r="F577" s="248">
        <v>43333</v>
      </c>
    </row>
    <row r="578" spans="1:6">
      <c r="A578" t="s">
        <v>413</v>
      </c>
      <c r="B578" t="s">
        <v>3645</v>
      </c>
      <c r="D578" s="255">
        <v>1.9471000000000001</v>
      </c>
      <c r="E578"/>
      <c r="F578" s="248">
        <v>43338</v>
      </c>
    </row>
    <row r="579" spans="1:6">
      <c r="A579" t="s">
        <v>412</v>
      </c>
      <c r="B579" t="s">
        <v>3481</v>
      </c>
      <c r="E579" s="254" t="s">
        <v>3482</v>
      </c>
      <c r="F579" s="248">
        <v>43007</v>
      </c>
    </row>
    <row r="580" spans="1:6">
      <c r="A580" t="s">
        <v>411</v>
      </c>
      <c r="B580" t="s">
        <v>3500</v>
      </c>
      <c r="D580" s="247">
        <v>1.9579</v>
      </c>
      <c r="E580"/>
      <c r="F580" s="248">
        <v>43010</v>
      </c>
    </row>
    <row r="581" spans="1:6">
      <c r="A581" t="s">
        <v>410</v>
      </c>
      <c r="B581" t="s">
        <v>3458</v>
      </c>
      <c r="D581">
        <v>1.7859</v>
      </c>
      <c r="E581" s="254"/>
      <c r="F581" s="248">
        <v>43008</v>
      </c>
    </row>
    <row r="582" spans="1:6">
      <c r="A582" t="s">
        <v>407</v>
      </c>
      <c r="B582" t="s">
        <v>3446</v>
      </c>
      <c r="D582">
        <v>1.9874000000000001</v>
      </c>
      <c r="E582" s="254"/>
      <c r="F582" s="248">
        <v>43007</v>
      </c>
    </row>
    <row r="583" spans="1:6">
      <c r="A583" t="s">
        <v>406</v>
      </c>
      <c r="B583" t="s">
        <v>3591</v>
      </c>
      <c r="D583" s="255">
        <v>1.9025000000000001</v>
      </c>
      <c r="E583" t="s">
        <v>2115</v>
      </c>
      <c r="F583" s="248">
        <v>43334</v>
      </c>
    </row>
    <row r="584" spans="1:6">
      <c r="A584" t="s">
        <v>405</v>
      </c>
      <c r="B584" t="s">
        <v>3623</v>
      </c>
      <c r="D584" s="255">
        <v>1.8914</v>
      </c>
      <c r="E584"/>
      <c r="F584" s="248">
        <v>43337</v>
      </c>
    </row>
    <row r="585" spans="1:6">
      <c r="A585" t="s">
        <v>404</v>
      </c>
      <c r="B585" t="s">
        <v>3487</v>
      </c>
      <c r="D585">
        <v>1.0566</v>
      </c>
      <c r="E585" s="254"/>
      <c r="F585" s="248">
        <v>43010</v>
      </c>
    </row>
    <row r="586" spans="1:6">
      <c r="A586" t="s">
        <v>403</v>
      </c>
      <c r="B586" t="s">
        <v>3431</v>
      </c>
      <c r="D586">
        <v>1.6238999999999999</v>
      </c>
      <c r="E586" s="254"/>
      <c r="F586" s="248">
        <v>43009</v>
      </c>
    </row>
    <row r="587" spans="1:6">
      <c r="A587" t="s">
        <v>402</v>
      </c>
      <c r="B587" t="s">
        <v>3640</v>
      </c>
      <c r="D587" s="255">
        <v>1.9686999999999999</v>
      </c>
      <c r="E587"/>
      <c r="F587" s="248">
        <v>43338</v>
      </c>
    </row>
    <row r="588" spans="1:6">
      <c r="A588" t="s">
        <v>400</v>
      </c>
      <c r="B588" t="s">
        <v>3587</v>
      </c>
      <c r="D588" s="255">
        <v>1.9457</v>
      </c>
      <c r="E588" t="s">
        <v>2119</v>
      </c>
      <c r="F588" s="248">
        <v>43334</v>
      </c>
    </row>
    <row r="589" spans="1:6">
      <c r="A589" t="s">
        <v>399</v>
      </c>
      <c r="B589" t="s">
        <v>3508</v>
      </c>
      <c r="D589" s="247">
        <v>1.6575</v>
      </c>
      <c r="E589"/>
      <c r="F589" s="248">
        <v>43008</v>
      </c>
    </row>
    <row r="590" spans="1:6">
      <c r="A590" t="s">
        <v>398</v>
      </c>
      <c r="B590" t="s">
        <v>3641</v>
      </c>
      <c r="D590" s="255">
        <v>1.9702999999999999</v>
      </c>
      <c r="E590" t="s">
        <v>3628</v>
      </c>
      <c r="F590" s="248">
        <v>43338</v>
      </c>
    </row>
    <row r="591" spans="1:6">
      <c r="A591" t="s">
        <v>397</v>
      </c>
      <c r="B591" t="s">
        <v>3439</v>
      </c>
      <c r="D591">
        <v>1.8767</v>
      </c>
      <c r="E591" s="254"/>
      <c r="F591" s="248">
        <v>43007</v>
      </c>
    </row>
    <row r="592" spans="1:6">
      <c r="A592" t="s">
        <v>396</v>
      </c>
      <c r="B592" t="s">
        <v>3442</v>
      </c>
      <c r="D592">
        <v>1.9944999999999999</v>
      </c>
      <c r="E592" s="254"/>
      <c r="F592" s="248">
        <v>43007</v>
      </c>
    </row>
    <row r="593" spans="1:11">
      <c r="A593" t="s">
        <v>395</v>
      </c>
      <c r="B593" t="s">
        <v>3484</v>
      </c>
      <c r="E593" s="254" t="s">
        <v>3479</v>
      </c>
      <c r="F593" s="248">
        <v>43010</v>
      </c>
    </row>
    <row r="594" spans="1:11">
      <c r="A594" t="s">
        <v>393</v>
      </c>
      <c r="B594" t="s">
        <v>3427</v>
      </c>
      <c r="D594">
        <v>5.0305999999999997</v>
      </c>
      <c r="E594" s="254"/>
      <c r="F594" s="248">
        <v>43008</v>
      </c>
      <c r="K594" s="256"/>
    </row>
    <row r="595" spans="1:11">
      <c r="A595" t="s">
        <v>391</v>
      </c>
      <c r="B595" t="s">
        <v>3452</v>
      </c>
      <c r="D595">
        <v>0.98360000000000003</v>
      </c>
      <c r="E595" s="254" t="s">
        <v>2511</v>
      </c>
      <c r="F595" s="248">
        <v>43007</v>
      </c>
    </row>
    <row r="596" spans="1:11">
      <c r="A596" t="s">
        <v>390</v>
      </c>
      <c r="B596" t="s">
        <v>3444</v>
      </c>
      <c r="D596">
        <v>1.9492</v>
      </c>
      <c r="E596" s="254"/>
      <c r="F596" s="248">
        <v>43007</v>
      </c>
    </row>
    <row r="597" spans="1:11">
      <c r="A597" t="s">
        <v>1066</v>
      </c>
      <c r="B597" t="s">
        <v>3401</v>
      </c>
      <c r="D597">
        <v>0.1565</v>
      </c>
      <c r="E597" s="254" t="s">
        <v>3402</v>
      </c>
      <c r="F597" s="247"/>
    </row>
    <row r="598" spans="1:11">
      <c r="A598" t="s">
        <v>388</v>
      </c>
      <c r="B598" t="s">
        <v>3605</v>
      </c>
      <c r="D598" s="255">
        <v>1.6394</v>
      </c>
      <c r="E598"/>
      <c r="F598" s="248">
        <v>43334</v>
      </c>
    </row>
    <row r="599" spans="1:11">
      <c r="A599" t="s">
        <v>387</v>
      </c>
      <c r="B599" t="s">
        <v>3475</v>
      </c>
      <c r="D599">
        <v>1.6897</v>
      </c>
      <c r="E599" s="254"/>
      <c r="F599" s="248">
        <v>43009</v>
      </c>
    </row>
    <row r="600" spans="1:11">
      <c r="A600" t="s">
        <v>383</v>
      </c>
      <c r="B600" t="s">
        <v>3421</v>
      </c>
      <c r="D600">
        <v>2.0406</v>
      </c>
      <c r="E600" s="254" t="s">
        <v>2511</v>
      </c>
      <c r="F600" s="248">
        <v>43008</v>
      </c>
    </row>
    <row r="601" spans="1:11">
      <c r="A601" t="s">
        <v>382</v>
      </c>
      <c r="B601" t="s">
        <v>3511</v>
      </c>
      <c r="D601" s="247">
        <v>1.7337</v>
      </c>
      <c r="E601"/>
      <c r="F601" s="248">
        <v>43008</v>
      </c>
    </row>
    <row r="602" spans="1:11">
      <c r="A602" t="s">
        <v>381</v>
      </c>
      <c r="B602" t="s">
        <v>3568</v>
      </c>
      <c r="D602" s="255">
        <v>1.6818</v>
      </c>
      <c r="E602" t="s">
        <v>3570</v>
      </c>
      <c r="F602" s="248">
        <v>43333</v>
      </c>
    </row>
    <row r="603" spans="1:11">
      <c r="A603" t="s">
        <v>380</v>
      </c>
      <c r="B603" t="s">
        <v>3415</v>
      </c>
      <c r="D603">
        <v>1.7075</v>
      </c>
      <c r="E603" s="254"/>
      <c r="F603" s="248">
        <v>43009</v>
      </c>
    </row>
    <row r="604" spans="1:11">
      <c r="A604" t="s">
        <v>379</v>
      </c>
      <c r="B604" t="s">
        <v>3595</v>
      </c>
      <c r="D604" s="255">
        <v>1.9821</v>
      </c>
      <c r="E604"/>
      <c r="F604" s="248">
        <v>43334</v>
      </c>
    </row>
    <row r="605" spans="1:11">
      <c r="A605" t="s">
        <v>378</v>
      </c>
      <c r="B605" t="s">
        <v>3648</v>
      </c>
      <c r="D605" s="255">
        <v>1.9017999999999999</v>
      </c>
      <c r="E605"/>
      <c r="F605" s="248">
        <v>43338</v>
      </c>
    </row>
    <row r="606" spans="1:11">
      <c r="A606" t="s">
        <v>377</v>
      </c>
      <c r="B606" t="s">
        <v>3480</v>
      </c>
      <c r="D606">
        <v>1.7052</v>
      </c>
      <c r="E606" s="254"/>
      <c r="F606" s="248">
        <v>43007</v>
      </c>
    </row>
    <row r="607" spans="1:11">
      <c r="A607" t="s">
        <v>376</v>
      </c>
      <c r="B607" t="s">
        <v>3585</v>
      </c>
      <c r="D607" s="255">
        <v>1.9797</v>
      </c>
      <c r="E607"/>
      <c r="F607" s="248">
        <v>43333</v>
      </c>
    </row>
    <row r="608" spans="1:11">
      <c r="A608" t="s">
        <v>375</v>
      </c>
      <c r="B608" t="s">
        <v>3630</v>
      </c>
      <c r="D608" s="255">
        <v>1.9178999999999999</v>
      </c>
      <c r="E608" t="s">
        <v>2119</v>
      </c>
      <c r="F608" s="248">
        <v>43337</v>
      </c>
    </row>
    <row r="609" spans="1:11">
      <c r="A609" t="s">
        <v>374</v>
      </c>
      <c r="B609" t="s">
        <v>3642</v>
      </c>
      <c r="D609" s="255">
        <v>1.9783999999999999</v>
      </c>
      <c r="E609"/>
      <c r="F609" s="248">
        <v>43338</v>
      </c>
    </row>
    <row r="610" spans="1:11">
      <c r="A610" t="s">
        <v>373</v>
      </c>
      <c r="B610" t="s">
        <v>3610</v>
      </c>
      <c r="D610" s="255">
        <v>1.6694</v>
      </c>
      <c r="E610" t="s">
        <v>3611</v>
      </c>
      <c r="F610" s="248">
        <v>43334</v>
      </c>
    </row>
    <row r="611" spans="1:11">
      <c r="A611" t="s">
        <v>371</v>
      </c>
      <c r="B611" t="s">
        <v>3424</v>
      </c>
      <c r="D611">
        <v>0.67179999999999995</v>
      </c>
      <c r="E611" s="254"/>
      <c r="F611" s="248">
        <v>43008</v>
      </c>
    </row>
    <row r="612" spans="1:11">
      <c r="A612" t="s">
        <v>370</v>
      </c>
      <c r="B612" t="s">
        <v>3629</v>
      </c>
      <c r="D612" s="255">
        <v>1.9911000000000001</v>
      </c>
      <c r="E612"/>
      <c r="F612" s="248">
        <v>43337</v>
      </c>
    </row>
    <row r="613" spans="1:11">
      <c r="A613" t="s">
        <v>369</v>
      </c>
      <c r="B613" t="s">
        <v>3631</v>
      </c>
      <c r="D613" s="255">
        <v>1.9444999999999999</v>
      </c>
      <c r="E613"/>
      <c r="F613" s="248">
        <v>43337</v>
      </c>
    </row>
    <row r="614" spans="1:11">
      <c r="A614" t="s">
        <v>368</v>
      </c>
      <c r="B614" t="s">
        <v>3400</v>
      </c>
      <c r="D614">
        <v>1.0895999999999999</v>
      </c>
      <c r="E614" s="254" t="s">
        <v>3391</v>
      </c>
      <c r="F614" s="247"/>
    </row>
    <row r="615" spans="1:11">
      <c r="A615" t="s">
        <v>367</v>
      </c>
      <c r="B615" t="s">
        <v>3501</v>
      </c>
      <c r="D615" s="247">
        <v>1.5579000000000001</v>
      </c>
      <c r="E615"/>
      <c r="F615" s="248">
        <v>43010</v>
      </c>
    </row>
    <row r="616" spans="1:11">
      <c r="A616" t="s">
        <v>366</v>
      </c>
      <c r="B616" t="s">
        <v>3488</v>
      </c>
      <c r="D616" s="247">
        <v>1.3551</v>
      </c>
      <c r="E616"/>
      <c r="F616" s="248">
        <v>43010</v>
      </c>
    </row>
    <row r="617" spans="1:11">
      <c r="A617" t="s">
        <v>365</v>
      </c>
      <c r="B617" t="s">
        <v>3417</v>
      </c>
      <c r="D617">
        <v>1.5979000000000001</v>
      </c>
      <c r="E617" s="254"/>
      <c r="F617" s="248">
        <v>43008</v>
      </c>
    </row>
    <row r="618" spans="1:11">
      <c r="A618" t="s">
        <v>363</v>
      </c>
      <c r="B618" t="s">
        <v>3625</v>
      </c>
      <c r="D618" s="255">
        <v>1.9447000000000001</v>
      </c>
      <c r="E618"/>
      <c r="F618" s="248">
        <v>43337</v>
      </c>
      <c r="K618" s="256"/>
    </row>
    <row r="619" spans="1:11">
      <c r="A619" t="s">
        <v>362</v>
      </c>
      <c r="B619" t="s">
        <v>3495</v>
      </c>
      <c r="D619" s="249">
        <v>1.8240000000000001</v>
      </c>
      <c r="E619"/>
      <c r="F619" s="248">
        <v>43010</v>
      </c>
    </row>
    <row r="620" spans="1:11">
      <c r="A620" t="s">
        <v>361</v>
      </c>
      <c r="B620" t="s">
        <v>3622</v>
      </c>
      <c r="D620" s="255">
        <v>1.9495</v>
      </c>
      <c r="E620" t="s">
        <v>2115</v>
      </c>
      <c r="F620" s="248">
        <v>43337</v>
      </c>
    </row>
    <row r="621" spans="1:11">
      <c r="A621" t="s">
        <v>360</v>
      </c>
      <c r="B621" t="s">
        <v>3418</v>
      </c>
      <c r="D621">
        <v>0.17680000000000001</v>
      </c>
      <c r="E621" s="254" t="s">
        <v>2145</v>
      </c>
      <c r="F621" s="248">
        <v>43008</v>
      </c>
    </row>
    <row r="622" spans="1:11">
      <c r="A622" t="s">
        <v>359</v>
      </c>
      <c r="B622" t="s">
        <v>3646</v>
      </c>
      <c r="D622" s="255">
        <v>1.9477</v>
      </c>
      <c r="E622"/>
      <c r="F622" s="248">
        <v>43338</v>
      </c>
    </row>
    <row r="623" spans="1:11">
      <c r="A623" t="s">
        <v>358</v>
      </c>
      <c r="B623" t="s">
        <v>3504</v>
      </c>
      <c r="D623" s="247">
        <v>1.8687</v>
      </c>
      <c r="E623"/>
      <c r="F623" s="248">
        <v>43010</v>
      </c>
    </row>
    <row r="624" spans="1:11">
      <c r="A624" t="s">
        <v>357</v>
      </c>
      <c r="B624" t="s">
        <v>3575</v>
      </c>
      <c r="D624" s="255">
        <v>1.992</v>
      </c>
      <c r="E624"/>
      <c r="F624" s="248">
        <v>43333</v>
      </c>
    </row>
    <row r="625" spans="1:6">
      <c r="A625" t="s">
        <v>356</v>
      </c>
      <c r="B625" t="s">
        <v>3582</v>
      </c>
      <c r="D625" s="255">
        <v>1.8973</v>
      </c>
      <c r="E625" t="s">
        <v>2115</v>
      </c>
      <c r="F625" s="248">
        <v>43333</v>
      </c>
    </row>
    <row r="626" spans="1:6">
      <c r="A626" t="s">
        <v>355</v>
      </c>
      <c r="B626" t="s">
        <v>3478</v>
      </c>
      <c r="E626" s="254" t="s">
        <v>3479</v>
      </c>
      <c r="F626" s="248">
        <v>43007</v>
      </c>
    </row>
    <row r="627" spans="1:6">
      <c r="A627" t="s">
        <v>354</v>
      </c>
      <c r="B627" t="s">
        <v>3448</v>
      </c>
      <c r="D627">
        <v>3.7812999999999999</v>
      </c>
      <c r="E627" s="254" t="s">
        <v>2511</v>
      </c>
      <c r="F627" s="248">
        <v>43007</v>
      </c>
    </row>
    <row r="628" spans="1:6">
      <c r="A628" t="s">
        <v>353</v>
      </c>
      <c r="B628" t="s">
        <v>3394</v>
      </c>
      <c r="D628">
        <v>1.7806</v>
      </c>
      <c r="E628" s="254" t="s">
        <v>2511</v>
      </c>
      <c r="F628" s="248">
        <v>43008</v>
      </c>
    </row>
    <row r="629" spans="1:6">
      <c r="A629" t="s">
        <v>352</v>
      </c>
      <c r="B629" t="s">
        <v>3636</v>
      </c>
      <c r="D629" s="255">
        <v>1.8551</v>
      </c>
      <c r="E629"/>
      <c r="F629" s="248">
        <v>43337</v>
      </c>
    </row>
    <row r="630" spans="1:6">
      <c r="A630" t="s">
        <v>351</v>
      </c>
      <c r="B630" t="s">
        <v>3492</v>
      </c>
      <c r="D630" s="247">
        <v>0.43190000000000001</v>
      </c>
      <c r="E630" t="s">
        <v>3479</v>
      </c>
      <c r="F630" s="248">
        <v>43010</v>
      </c>
    </row>
    <row r="631" spans="1:6">
      <c r="A631" t="s">
        <v>350</v>
      </c>
      <c r="B631" t="s">
        <v>3433</v>
      </c>
      <c r="D631">
        <v>2.4607999999999999</v>
      </c>
      <c r="E631" s="254" t="s">
        <v>3429</v>
      </c>
      <c r="F631" s="248">
        <v>43008</v>
      </c>
    </row>
    <row r="632" spans="1:6">
      <c r="A632" t="s">
        <v>349</v>
      </c>
      <c r="B632" t="s">
        <v>3502</v>
      </c>
      <c r="D632" s="247">
        <v>2.2315</v>
      </c>
      <c r="E632" t="s">
        <v>3503</v>
      </c>
      <c r="F632" s="248">
        <v>43010</v>
      </c>
    </row>
    <row r="633" spans="1:6">
      <c r="A633" t="s">
        <v>348</v>
      </c>
      <c r="B633" t="s">
        <v>3510</v>
      </c>
      <c r="D633" s="249">
        <v>1.629</v>
      </c>
      <c r="E633" t="s">
        <v>3463</v>
      </c>
      <c r="F633" s="248">
        <v>43008</v>
      </c>
    </row>
    <row r="634" spans="1:6">
      <c r="A634" t="s">
        <v>347</v>
      </c>
      <c r="B634" t="s">
        <v>3507</v>
      </c>
      <c r="D634" s="247"/>
      <c r="E634" t="s">
        <v>3566</v>
      </c>
      <c r="F634" s="248">
        <v>43008</v>
      </c>
    </row>
    <row r="635" spans="1:6">
      <c r="A635" t="s">
        <v>346</v>
      </c>
      <c r="B635" t="s">
        <v>3437</v>
      </c>
      <c r="D635">
        <v>0.24560000000000001</v>
      </c>
      <c r="E635" s="254" t="s">
        <v>2145</v>
      </c>
      <c r="F635" s="248">
        <v>43007</v>
      </c>
    </row>
    <row r="636" spans="1:6">
      <c r="A636" t="s">
        <v>345</v>
      </c>
      <c r="B636" t="s">
        <v>3647</v>
      </c>
      <c r="D636" s="255">
        <v>1.9469000000000001</v>
      </c>
      <c r="E636"/>
      <c r="F636" s="248">
        <v>43338</v>
      </c>
    </row>
    <row r="637" spans="1:6">
      <c r="A637" t="s">
        <v>344</v>
      </c>
      <c r="B637" t="s">
        <v>3619</v>
      </c>
      <c r="D637" s="255">
        <v>0.83220000000000005</v>
      </c>
      <c r="E637" t="s">
        <v>3621</v>
      </c>
      <c r="F637" s="248">
        <v>43334</v>
      </c>
    </row>
    <row r="638" spans="1:6">
      <c r="A638" t="s">
        <v>343</v>
      </c>
      <c r="B638" t="s">
        <v>3586</v>
      </c>
      <c r="D638" s="255">
        <v>1.9076</v>
      </c>
      <c r="E638"/>
      <c r="F638" s="248">
        <v>43333</v>
      </c>
    </row>
    <row r="639" spans="1:6">
      <c r="A639" t="s">
        <v>342</v>
      </c>
      <c r="B639" t="s">
        <v>3617</v>
      </c>
      <c r="D639" s="255">
        <v>1.5708</v>
      </c>
      <c r="E639"/>
      <c r="F639" s="248">
        <v>43334</v>
      </c>
    </row>
    <row r="640" spans="1:6">
      <c r="A640" t="s">
        <v>341</v>
      </c>
      <c r="B640" t="s">
        <v>3597</v>
      </c>
      <c r="D640" s="255">
        <v>1.8956999999999999</v>
      </c>
      <c r="E640"/>
      <c r="F640" s="248">
        <v>43334</v>
      </c>
    </row>
    <row r="641" spans="1:6">
      <c r="A641" t="s">
        <v>340</v>
      </c>
      <c r="B641" t="s">
        <v>3605</v>
      </c>
      <c r="D641" s="255">
        <v>1.3494999999999999</v>
      </c>
      <c r="E641" t="s">
        <v>3606</v>
      </c>
      <c r="F641" s="248">
        <v>43334</v>
      </c>
    </row>
    <row r="642" spans="1:6">
      <c r="A642" t="s">
        <v>1061</v>
      </c>
      <c r="B642" t="s">
        <v>3466</v>
      </c>
      <c r="D642">
        <v>1.8815999999999999</v>
      </c>
      <c r="E642" s="254"/>
      <c r="F642" s="248">
        <v>43009</v>
      </c>
    </row>
    <row r="643" spans="1:6">
      <c r="A643" t="s">
        <v>339</v>
      </c>
      <c r="B643" t="s">
        <v>3634</v>
      </c>
      <c r="D643" s="255">
        <v>1.8712</v>
      </c>
      <c r="E643" t="s">
        <v>2119</v>
      </c>
      <c r="F643" s="248">
        <v>43337</v>
      </c>
    </row>
    <row r="644" spans="1:6">
      <c r="A644" t="s">
        <v>337</v>
      </c>
      <c r="B644" t="s">
        <v>3604</v>
      </c>
      <c r="D644" s="255">
        <v>1.6778</v>
      </c>
      <c r="E644"/>
      <c r="F644" s="248">
        <v>43334</v>
      </c>
    </row>
    <row r="645" spans="1:6">
      <c r="A645" t="s">
        <v>336</v>
      </c>
      <c r="B645">
        <v>212</v>
      </c>
      <c r="C645" t="s">
        <v>2504</v>
      </c>
      <c r="D645">
        <v>0.78500000000000003</v>
      </c>
      <c r="E645" s="223" t="s">
        <v>2510</v>
      </c>
      <c r="F645" s="16">
        <v>43208</v>
      </c>
    </row>
    <row r="646" spans="1:6">
      <c r="A646" t="s">
        <v>335</v>
      </c>
      <c r="B646" t="s">
        <v>3505</v>
      </c>
      <c r="D646" s="247">
        <v>1.3936999999999999</v>
      </c>
      <c r="E646"/>
      <c r="F646" s="248">
        <v>43010</v>
      </c>
    </row>
    <row r="647" spans="1:6">
      <c r="A647" t="s">
        <v>333</v>
      </c>
      <c r="B647" t="s">
        <v>3572</v>
      </c>
      <c r="D647" s="255">
        <v>0.14760000000000001</v>
      </c>
      <c r="E647" t="s">
        <v>3573</v>
      </c>
      <c r="F647" s="248">
        <v>43333</v>
      </c>
    </row>
    <row r="648" spans="1:6">
      <c r="A648" t="s">
        <v>332</v>
      </c>
      <c r="B648" t="s">
        <v>3413</v>
      </c>
      <c r="D648">
        <v>1.5793999999999999</v>
      </c>
      <c r="E648" s="254" t="s">
        <v>3406</v>
      </c>
      <c r="F648" s="248">
        <v>43008</v>
      </c>
    </row>
    <row r="649" spans="1:6">
      <c r="A649" t="s">
        <v>331</v>
      </c>
      <c r="B649" t="s">
        <v>3493</v>
      </c>
      <c r="D649" s="247">
        <v>0</v>
      </c>
      <c r="E649" t="s">
        <v>3494</v>
      </c>
      <c r="F649" s="248">
        <v>43010</v>
      </c>
    </row>
    <row r="650" spans="1:6">
      <c r="A650" t="s">
        <v>328</v>
      </c>
      <c r="B650" t="s">
        <v>3450</v>
      </c>
      <c r="D650">
        <v>1.8292999999999999</v>
      </c>
      <c r="E650" s="254" t="s">
        <v>3406</v>
      </c>
      <c r="F650" s="248">
        <v>43007</v>
      </c>
    </row>
    <row r="651" spans="1:6">
      <c r="A651" t="s">
        <v>327</v>
      </c>
      <c r="B651" t="s">
        <v>3632</v>
      </c>
      <c r="D651" s="255">
        <v>1.8855</v>
      </c>
      <c r="E651"/>
      <c r="F651" s="248">
        <v>43337</v>
      </c>
    </row>
    <row r="652" spans="1:6">
      <c r="A652" t="s">
        <v>326</v>
      </c>
      <c r="B652" t="s">
        <v>3428</v>
      </c>
      <c r="D652">
        <v>2.1772999999999998</v>
      </c>
      <c r="E652" s="254" t="s">
        <v>3429</v>
      </c>
      <c r="F652" s="248">
        <v>43008</v>
      </c>
    </row>
    <row r="653" spans="1:6">
      <c r="A653" t="s">
        <v>325</v>
      </c>
      <c r="B653" t="s">
        <v>3425</v>
      </c>
      <c r="D653">
        <v>2.4714999999999998</v>
      </c>
      <c r="E653" s="254"/>
      <c r="F653" s="248">
        <v>43009</v>
      </c>
    </row>
    <row r="654" spans="1:6">
      <c r="A654" t="s">
        <v>324</v>
      </c>
      <c r="B654" t="s">
        <v>3635</v>
      </c>
      <c r="D654" s="255">
        <v>1.9467000000000001</v>
      </c>
      <c r="E654"/>
      <c r="F654" s="248">
        <v>43337</v>
      </c>
    </row>
    <row r="655" spans="1:6">
      <c r="A655" t="s">
        <v>321</v>
      </c>
      <c r="B655" t="s">
        <v>3624</v>
      </c>
      <c r="D655" s="255">
        <v>1.9155</v>
      </c>
      <c r="E655"/>
      <c r="F655" s="248">
        <v>43337</v>
      </c>
    </row>
    <row r="656" spans="1:6">
      <c r="A656" t="s">
        <v>320</v>
      </c>
      <c r="B656" t="s">
        <v>3509</v>
      </c>
      <c r="D656" s="247">
        <v>2.8028</v>
      </c>
      <c r="E656"/>
      <c r="F656" s="248">
        <v>43008</v>
      </c>
    </row>
    <row r="657" spans="1:6">
      <c r="A657" t="s">
        <v>319</v>
      </c>
      <c r="B657" t="s">
        <v>3599</v>
      </c>
      <c r="D657" s="255">
        <v>1.2708999999999999</v>
      </c>
      <c r="E657" t="s">
        <v>3601</v>
      </c>
      <c r="F657" s="248">
        <v>43334</v>
      </c>
    </row>
    <row r="658" spans="1:6">
      <c r="A658" t="s">
        <v>318</v>
      </c>
      <c r="B658" t="s">
        <v>3417</v>
      </c>
      <c r="D658">
        <v>0.2059</v>
      </c>
      <c r="E658" s="254" t="s">
        <v>3406</v>
      </c>
      <c r="F658" s="248">
        <v>43008</v>
      </c>
    </row>
    <row r="659" spans="1:6">
      <c r="A659" t="s">
        <v>316</v>
      </c>
      <c r="B659" t="s">
        <v>3496</v>
      </c>
      <c r="D659" s="247"/>
      <c r="E659" t="s">
        <v>3497</v>
      </c>
      <c r="F659" s="248">
        <v>43010</v>
      </c>
    </row>
    <row r="660" spans="1:6">
      <c r="A660" t="s">
        <v>315</v>
      </c>
      <c r="B660" t="s">
        <v>3506</v>
      </c>
      <c r="D660" s="247">
        <v>1.7653000000000001</v>
      </c>
      <c r="E660"/>
      <c r="F660" s="248">
        <v>43010</v>
      </c>
    </row>
    <row r="661" spans="1:6">
      <c r="A661" t="s">
        <v>314</v>
      </c>
      <c r="B661" t="s">
        <v>3644</v>
      </c>
      <c r="D661" s="255">
        <v>1.8925000000000001</v>
      </c>
      <c r="E661"/>
      <c r="F661" s="248">
        <v>43338</v>
      </c>
    </row>
    <row r="662" spans="1:6">
      <c r="A662" t="s">
        <v>313</v>
      </c>
      <c r="B662" t="s">
        <v>3443</v>
      </c>
      <c r="D662">
        <v>1.9086000000000001</v>
      </c>
      <c r="E662" s="254"/>
      <c r="F662" s="248">
        <v>43007</v>
      </c>
    </row>
    <row r="663" spans="1:6">
      <c r="A663" t="s">
        <v>311</v>
      </c>
      <c r="B663" t="s">
        <v>3637</v>
      </c>
      <c r="D663" s="255">
        <v>1.7596000000000001</v>
      </c>
      <c r="E663" t="s">
        <v>2119</v>
      </c>
      <c r="F663" s="248">
        <v>43337</v>
      </c>
    </row>
    <row r="664" spans="1:6">
      <c r="A664" t="s">
        <v>310</v>
      </c>
      <c r="B664" t="s">
        <v>3612</v>
      </c>
      <c r="D664" s="255">
        <v>1.1127</v>
      </c>
      <c r="E664" t="s">
        <v>3603</v>
      </c>
      <c r="F664" s="248">
        <v>43334</v>
      </c>
    </row>
    <row r="665" spans="1:6">
      <c r="A665" t="s">
        <v>309</v>
      </c>
      <c r="B665" t="s">
        <v>3598</v>
      </c>
      <c r="D665" s="255">
        <v>1.9719</v>
      </c>
      <c r="E665"/>
      <c r="F665" s="248">
        <v>43334</v>
      </c>
    </row>
    <row r="666" spans="1:6">
      <c r="A666" t="s">
        <v>308</v>
      </c>
      <c r="B666" t="s">
        <v>3589</v>
      </c>
      <c r="D666" s="255">
        <v>1.9105000000000001</v>
      </c>
      <c r="E666" t="s">
        <v>3590</v>
      </c>
      <c r="F666" s="248">
        <v>43334</v>
      </c>
    </row>
    <row r="667" spans="1:6">
      <c r="A667" t="s">
        <v>307</v>
      </c>
      <c r="B667" t="s">
        <v>3486</v>
      </c>
      <c r="D667">
        <v>1.7279</v>
      </c>
      <c r="E667" s="254"/>
      <c r="F667" s="248">
        <v>43010</v>
      </c>
    </row>
    <row r="668" spans="1:6">
      <c r="A668" t="s">
        <v>306</v>
      </c>
      <c r="B668" t="s">
        <v>3567</v>
      </c>
      <c r="D668" s="255">
        <v>1.9791000000000001</v>
      </c>
      <c r="E668"/>
      <c r="F668" s="248">
        <v>43333</v>
      </c>
    </row>
    <row r="669" spans="1:6">
      <c r="A669" t="s">
        <v>304</v>
      </c>
      <c r="B669" t="s">
        <v>3395</v>
      </c>
      <c r="D669">
        <v>1.7563</v>
      </c>
      <c r="E669" s="254"/>
      <c r="F669" s="248">
        <v>43008</v>
      </c>
    </row>
    <row r="670" spans="1:6">
      <c r="A670" t="s">
        <v>303</v>
      </c>
      <c r="B670" t="s">
        <v>3499</v>
      </c>
      <c r="D670" s="247">
        <v>0.62509999999999999</v>
      </c>
      <c r="E670"/>
      <c r="F670" s="248">
        <v>43010</v>
      </c>
    </row>
    <row r="671" spans="1:6">
      <c r="A671" t="s">
        <v>302</v>
      </c>
      <c r="B671" t="s">
        <v>3483</v>
      </c>
      <c r="D671">
        <v>1.7436</v>
      </c>
      <c r="E671" s="254"/>
      <c r="F671" s="248">
        <v>43008</v>
      </c>
    </row>
    <row r="672" spans="1:6">
      <c r="A672" t="s">
        <v>301</v>
      </c>
      <c r="B672" t="s">
        <v>3441</v>
      </c>
      <c r="D672">
        <v>1.0848</v>
      </c>
      <c r="E672" s="254" t="s">
        <v>3652</v>
      </c>
      <c r="F672" s="248">
        <v>43007</v>
      </c>
    </row>
    <row r="673" spans="1:6">
      <c r="A673" t="s">
        <v>300</v>
      </c>
      <c r="B673" t="s">
        <v>3583</v>
      </c>
      <c r="D673" s="255">
        <v>1.9775</v>
      </c>
      <c r="E673"/>
      <c r="F673" s="248">
        <v>43333</v>
      </c>
    </row>
    <row r="674" spans="1:6">
      <c r="A674" t="s">
        <v>1057</v>
      </c>
      <c r="B674" t="s">
        <v>3498</v>
      </c>
      <c r="D674" s="247">
        <v>1.8827</v>
      </c>
      <c r="E674"/>
      <c r="F674" s="248">
        <v>43010</v>
      </c>
    </row>
    <row r="675" spans="1:6">
      <c r="A675" t="s">
        <v>299</v>
      </c>
      <c r="B675" t="s">
        <v>3643</v>
      </c>
      <c r="D675" s="255">
        <v>2.0405000000000002</v>
      </c>
      <c r="E675"/>
      <c r="F675" s="248">
        <v>43338</v>
      </c>
    </row>
    <row r="676" spans="1:6">
      <c r="A676" t="s">
        <v>1047</v>
      </c>
      <c r="B676" t="s">
        <v>3403</v>
      </c>
      <c r="D676">
        <v>0.76</v>
      </c>
      <c r="E676" s="254" t="s">
        <v>2136</v>
      </c>
      <c r="F676" s="247"/>
    </row>
    <row r="677" spans="1:6">
      <c r="C677" s="255"/>
      <c r="E677"/>
    </row>
  </sheetData>
  <sortState ref="A3:F676">
    <sortCondition ref="A3:A676"/>
    <sortCondition ref="B3:B676"/>
  </sortState>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465DB-441C-4A95-80C5-FDC7510BEC9F}">
  <dimension ref="A1:R443"/>
  <sheetViews>
    <sheetView zoomScale="85" zoomScaleNormal="85" workbookViewId="0">
      <selection activeCell="N4" sqref="N4"/>
    </sheetView>
  </sheetViews>
  <sheetFormatPr baseColWidth="10" defaultColWidth="11.44140625" defaultRowHeight="14.4"/>
  <cols>
    <col min="11" max="11" width="21.44140625" customWidth="1"/>
  </cols>
  <sheetData>
    <row r="1" spans="1:18">
      <c r="A1" s="193" t="s">
        <v>2164</v>
      </c>
      <c r="B1" s="193" t="s">
        <v>2165</v>
      </c>
      <c r="C1" s="193" t="s">
        <v>2166</v>
      </c>
      <c r="D1" s="193" t="s">
        <v>2167</v>
      </c>
      <c r="E1" s="193" t="s">
        <v>2529</v>
      </c>
      <c r="F1" s="193" t="s">
        <v>31</v>
      </c>
      <c r="G1" s="193" t="s">
        <v>1147</v>
      </c>
      <c r="H1" s="193" t="s">
        <v>298</v>
      </c>
      <c r="I1" s="193" t="s">
        <v>2170</v>
      </c>
      <c r="J1" s="193" t="s">
        <v>2171</v>
      </c>
      <c r="K1" s="193" t="s">
        <v>2530</v>
      </c>
      <c r="M1" s="250" t="s">
        <v>3512</v>
      </c>
      <c r="N1" s="250" t="s">
        <v>3512</v>
      </c>
      <c r="P1" s="250" t="s">
        <v>3512</v>
      </c>
    </row>
    <row r="2" spans="1:18">
      <c r="A2" s="121">
        <v>1</v>
      </c>
      <c r="B2" s="185" t="s">
        <v>2176</v>
      </c>
      <c r="C2" s="185" t="s">
        <v>2177</v>
      </c>
      <c r="D2" s="122" t="s">
        <v>2178</v>
      </c>
      <c r="E2" s="124">
        <v>42938</v>
      </c>
      <c r="F2" s="124">
        <v>43007</v>
      </c>
      <c r="G2" s="123">
        <v>107</v>
      </c>
      <c r="H2" s="123">
        <v>811</v>
      </c>
      <c r="I2" s="123">
        <v>377</v>
      </c>
      <c r="J2" s="123">
        <v>204</v>
      </c>
      <c r="K2" s="123">
        <f>IFERROR(F2-E2,"")</f>
        <v>69</v>
      </c>
      <c r="M2" t="b">
        <f>COUNTIF($G$2:$G$841, G2)&gt;1</f>
        <v>1</v>
      </c>
      <c r="P2" t="b">
        <f>COUNTIF($G$2:$G$841, J2)&gt;1</f>
        <v>0</v>
      </c>
      <c r="Q2" s="166" t="s">
        <v>3515</v>
      </c>
    </row>
    <row r="3" spans="1:18">
      <c r="A3" s="121">
        <v>2</v>
      </c>
      <c r="B3" s="185" t="s">
        <v>2176</v>
      </c>
      <c r="C3" s="185" t="s">
        <v>2183</v>
      </c>
      <c r="D3" s="122" t="s">
        <v>2178</v>
      </c>
      <c r="E3" s="123" t="s">
        <v>2057</v>
      </c>
      <c r="F3" s="125" t="s">
        <v>2057</v>
      </c>
      <c r="G3" s="123" t="s">
        <v>2057</v>
      </c>
      <c r="H3" s="123" t="s">
        <v>2057</v>
      </c>
      <c r="I3" s="123" t="s">
        <v>2057</v>
      </c>
      <c r="J3" s="123" t="s">
        <v>2057</v>
      </c>
      <c r="K3" s="123" t="str">
        <f t="shared" ref="K3:K66" si="0">IFERROR(F3-E3,"")</f>
        <v/>
      </c>
      <c r="M3" t="s">
        <v>3513</v>
      </c>
      <c r="O3" t="s">
        <v>3514</v>
      </c>
      <c r="Q3" t="s">
        <v>1147</v>
      </c>
      <c r="R3" t="s">
        <v>3516</v>
      </c>
    </row>
    <row r="4" spans="1:18">
      <c r="A4" s="121">
        <v>3</v>
      </c>
      <c r="B4" s="185" t="s">
        <v>2176</v>
      </c>
      <c r="C4" s="185" t="s">
        <v>2184</v>
      </c>
      <c r="D4" s="122" t="s">
        <v>2178</v>
      </c>
      <c r="E4" s="124">
        <v>42938</v>
      </c>
      <c r="F4" s="124">
        <v>43007</v>
      </c>
      <c r="G4" s="123">
        <v>259</v>
      </c>
      <c r="H4" s="123">
        <v>742</v>
      </c>
      <c r="I4" s="123">
        <v>44</v>
      </c>
      <c r="J4" s="123">
        <v>283</v>
      </c>
      <c r="K4" s="123">
        <f t="shared" si="0"/>
        <v>69</v>
      </c>
      <c r="M4" s="165">
        <v>107</v>
      </c>
      <c r="N4" s="113" t="b">
        <f t="shared" ref="N4:N67" si="1">COUNTIF($M$4:$M$443, M4)&gt;1</f>
        <v>1</v>
      </c>
      <c r="O4" s="123">
        <v>811</v>
      </c>
      <c r="P4" t="b">
        <f>COUNTIF($O$4:$O$443, O4)&gt;1</f>
        <v>0</v>
      </c>
      <c r="Q4">
        <v>107</v>
      </c>
      <c r="R4">
        <v>819</v>
      </c>
    </row>
    <row r="5" spans="1:18">
      <c r="A5" s="121">
        <v>4</v>
      </c>
      <c r="B5" s="185" t="s">
        <v>2176</v>
      </c>
      <c r="C5" s="185" t="s">
        <v>2186</v>
      </c>
      <c r="D5" s="122" t="s">
        <v>2178</v>
      </c>
      <c r="E5" s="124">
        <v>42938</v>
      </c>
      <c r="F5" s="124">
        <v>43007</v>
      </c>
      <c r="G5" s="123">
        <v>255</v>
      </c>
      <c r="H5" s="123">
        <v>661</v>
      </c>
      <c r="I5" s="123">
        <v>357</v>
      </c>
      <c r="J5" s="123">
        <v>298</v>
      </c>
      <c r="K5" s="123">
        <f t="shared" si="0"/>
        <v>69</v>
      </c>
      <c r="M5" s="169" t="s">
        <v>2057</v>
      </c>
      <c r="N5" s="181" t="b">
        <f t="shared" si="1"/>
        <v>1</v>
      </c>
      <c r="O5" s="169" t="s">
        <v>2057</v>
      </c>
      <c r="P5" s="181" t="b">
        <f t="shared" ref="P5:P68" si="2">COUNTIF($O$4:$O$443, O5)&gt;1</f>
        <v>1</v>
      </c>
      <c r="Q5">
        <v>32</v>
      </c>
      <c r="R5">
        <v>208</v>
      </c>
    </row>
    <row r="6" spans="1:18">
      <c r="A6" s="121">
        <v>5</v>
      </c>
      <c r="B6" s="185" t="s">
        <v>2176</v>
      </c>
      <c r="C6" s="185" t="s">
        <v>2189</v>
      </c>
      <c r="D6" s="122" t="s">
        <v>2178</v>
      </c>
      <c r="E6" s="124">
        <v>42938</v>
      </c>
      <c r="F6" s="123" t="s">
        <v>2057</v>
      </c>
      <c r="G6" s="123">
        <v>122</v>
      </c>
      <c r="H6" s="123">
        <v>724</v>
      </c>
      <c r="I6" s="164">
        <v>734</v>
      </c>
      <c r="J6" s="123">
        <v>226</v>
      </c>
      <c r="K6" s="123" t="str">
        <f t="shared" si="0"/>
        <v/>
      </c>
      <c r="M6" s="123">
        <v>259</v>
      </c>
      <c r="N6" t="b">
        <f t="shared" si="1"/>
        <v>0</v>
      </c>
      <c r="O6" s="123">
        <v>742</v>
      </c>
      <c r="P6" t="b">
        <f t="shared" si="2"/>
        <v>0</v>
      </c>
      <c r="Q6">
        <v>347</v>
      </c>
      <c r="R6">
        <v>771</v>
      </c>
    </row>
    <row r="7" spans="1:18">
      <c r="A7" s="121">
        <v>6</v>
      </c>
      <c r="B7" s="185" t="s">
        <v>2176</v>
      </c>
      <c r="C7" s="185" t="s">
        <v>2190</v>
      </c>
      <c r="D7" s="122" t="s">
        <v>2178</v>
      </c>
      <c r="E7" s="124">
        <v>42938</v>
      </c>
      <c r="F7" s="124">
        <v>43007</v>
      </c>
      <c r="G7" s="123">
        <v>478</v>
      </c>
      <c r="H7" s="123">
        <v>688</v>
      </c>
      <c r="I7" s="123">
        <v>164</v>
      </c>
      <c r="J7" s="123">
        <v>286</v>
      </c>
      <c r="K7" s="123">
        <f t="shared" si="0"/>
        <v>69</v>
      </c>
      <c r="M7" s="123">
        <v>255</v>
      </c>
      <c r="N7" t="b">
        <f t="shared" si="1"/>
        <v>0</v>
      </c>
      <c r="O7" s="123">
        <v>661</v>
      </c>
      <c r="P7" t="b">
        <f t="shared" si="2"/>
        <v>0</v>
      </c>
      <c r="Q7">
        <v>120</v>
      </c>
    </row>
    <row r="8" spans="1:18">
      <c r="A8" s="121">
        <v>7</v>
      </c>
      <c r="B8" s="185" t="s">
        <v>2176</v>
      </c>
      <c r="C8" s="185" t="s">
        <v>2191</v>
      </c>
      <c r="D8" s="122" t="s">
        <v>2178</v>
      </c>
      <c r="E8" s="124">
        <v>42938</v>
      </c>
      <c r="F8" s="124">
        <v>43007</v>
      </c>
      <c r="G8" s="123">
        <v>106</v>
      </c>
      <c r="H8" s="123">
        <v>762</v>
      </c>
      <c r="I8" s="123">
        <v>776</v>
      </c>
      <c r="J8" s="123">
        <v>210</v>
      </c>
      <c r="K8" s="123">
        <f t="shared" si="0"/>
        <v>69</v>
      </c>
      <c r="M8" s="123">
        <v>122</v>
      </c>
      <c r="N8" t="b">
        <f t="shared" si="1"/>
        <v>0</v>
      </c>
      <c r="O8" s="123">
        <v>724</v>
      </c>
      <c r="P8" t="b">
        <f t="shared" si="2"/>
        <v>0</v>
      </c>
      <c r="Q8">
        <v>250</v>
      </c>
    </row>
    <row r="9" spans="1:18">
      <c r="A9" s="121">
        <v>8</v>
      </c>
      <c r="B9" s="185" t="s">
        <v>2176</v>
      </c>
      <c r="C9" s="185" t="s">
        <v>2192</v>
      </c>
      <c r="D9" s="122" t="s">
        <v>2178</v>
      </c>
      <c r="E9" s="124">
        <v>42938</v>
      </c>
      <c r="F9" s="124">
        <v>43007</v>
      </c>
      <c r="G9" s="123">
        <v>228</v>
      </c>
      <c r="H9" s="123">
        <v>727</v>
      </c>
      <c r="I9" s="123">
        <v>23</v>
      </c>
      <c r="J9" s="123">
        <v>213</v>
      </c>
      <c r="K9" s="123">
        <f t="shared" si="0"/>
        <v>69</v>
      </c>
      <c r="M9" s="123">
        <v>478</v>
      </c>
      <c r="N9" t="b">
        <f t="shared" si="1"/>
        <v>0</v>
      </c>
      <c r="O9" s="123">
        <v>688</v>
      </c>
      <c r="P9" t="b">
        <f t="shared" si="2"/>
        <v>0</v>
      </c>
    </row>
    <row r="10" spans="1:18">
      <c r="A10" s="121">
        <v>9</v>
      </c>
      <c r="B10" s="185" t="s">
        <v>2176</v>
      </c>
      <c r="C10" s="185" t="s">
        <v>2193</v>
      </c>
      <c r="D10" s="122" t="s">
        <v>2194</v>
      </c>
      <c r="E10" s="124">
        <v>42938</v>
      </c>
      <c r="F10" s="124">
        <v>43007</v>
      </c>
      <c r="G10" s="123">
        <v>277</v>
      </c>
      <c r="H10" s="123">
        <v>785</v>
      </c>
      <c r="I10" s="123">
        <v>570</v>
      </c>
      <c r="J10" s="123">
        <v>704</v>
      </c>
      <c r="K10" s="123">
        <f t="shared" si="0"/>
        <v>69</v>
      </c>
      <c r="M10" s="123">
        <v>106</v>
      </c>
      <c r="N10" t="b">
        <f t="shared" si="1"/>
        <v>0</v>
      </c>
      <c r="O10" s="123">
        <v>762</v>
      </c>
      <c r="P10" t="b">
        <f t="shared" si="2"/>
        <v>0</v>
      </c>
    </row>
    <row r="11" spans="1:18">
      <c r="A11" s="121">
        <v>10</v>
      </c>
      <c r="B11" s="185" t="s">
        <v>2176</v>
      </c>
      <c r="C11" s="185" t="s">
        <v>2196</v>
      </c>
      <c r="D11" s="122" t="s">
        <v>2194</v>
      </c>
      <c r="E11" s="124">
        <v>42938</v>
      </c>
      <c r="F11" s="124" t="s">
        <v>2057</v>
      </c>
      <c r="G11" s="123">
        <v>310</v>
      </c>
      <c r="H11" s="123">
        <v>747</v>
      </c>
      <c r="I11" s="123">
        <v>642</v>
      </c>
      <c r="J11" s="123">
        <v>355</v>
      </c>
      <c r="K11" s="123" t="str">
        <f t="shared" si="0"/>
        <v/>
      </c>
      <c r="M11" s="123">
        <v>228</v>
      </c>
      <c r="N11" t="b">
        <f t="shared" si="1"/>
        <v>0</v>
      </c>
      <c r="O11" s="123">
        <v>727</v>
      </c>
      <c r="P11" t="b">
        <f t="shared" si="2"/>
        <v>0</v>
      </c>
    </row>
    <row r="12" spans="1:18">
      <c r="A12" s="121">
        <v>11</v>
      </c>
      <c r="B12" s="185" t="s">
        <v>2176</v>
      </c>
      <c r="C12" s="185" t="s">
        <v>2197</v>
      </c>
      <c r="D12" s="122" t="s">
        <v>2194</v>
      </c>
      <c r="E12" s="124">
        <v>42938</v>
      </c>
      <c r="F12" s="124">
        <v>43007</v>
      </c>
      <c r="G12" s="123">
        <v>435</v>
      </c>
      <c r="H12" s="129">
        <v>748</v>
      </c>
      <c r="I12" s="123">
        <v>663</v>
      </c>
      <c r="J12" s="123">
        <v>616</v>
      </c>
      <c r="K12" s="123">
        <f t="shared" si="0"/>
        <v>69</v>
      </c>
      <c r="M12" s="123">
        <v>277</v>
      </c>
      <c r="N12" t="b">
        <f t="shared" si="1"/>
        <v>0</v>
      </c>
      <c r="O12" s="123">
        <v>785</v>
      </c>
      <c r="P12" t="b">
        <f t="shared" si="2"/>
        <v>0</v>
      </c>
    </row>
    <row r="13" spans="1:18">
      <c r="A13" s="121">
        <v>12</v>
      </c>
      <c r="B13" s="185" t="s">
        <v>2176</v>
      </c>
      <c r="C13" s="185" t="s">
        <v>2198</v>
      </c>
      <c r="D13" s="122" t="s">
        <v>2194</v>
      </c>
      <c r="E13" s="124">
        <v>42938</v>
      </c>
      <c r="F13" s="124" t="s">
        <v>2057</v>
      </c>
      <c r="G13" s="123" t="s">
        <v>2057</v>
      </c>
      <c r="H13" s="123" t="s">
        <v>2057</v>
      </c>
      <c r="I13" s="123" t="s">
        <v>2057</v>
      </c>
      <c r="J13" s="123" t="s">
        <v>2057</v>
      </c>
      <c r="K13" s="123" t="str">
        <f t="shared" si="0"/>
        <v/>
      </c>
      <c r="M13" s="123">
        <v>310</v>
      </c>
      <c r="N13" t="b">
        <f t="shared" si="1"/>
        <v>0</v>
      </c>
      <c r="O13" s="123">
        <v>747</v>
      </c>
      <c r="P13" t="b">
        <f t="shared" si="2"/>
        <v>0</v>
      </c>
    </row>
    <row r="14" spans="1:18">
      <c r="A14" s="121">
        <v>13</v>
      </c>
      <c r="B14" s="185" t="s">
        <v>2176</v>
      </c>
      <c r="C14" s="185" t="s">
        <v>2199</v>
      </c>
      <c r="D14" s="122" t="s">
        <v>2194</v>
      </c>
      <c r="E14" s="124">
        <v>42938</v>
      </c>
      <c r="F14" s="124">
        <v>43007</v>
      </c>
      <c r="G14" s="123">
        <v>2</v>
      </c>
      <c r="H14" s="123">
        <v>784</v>
      </c>
      <c r="I14" s="123">
        <v>874</v>
      </c>
      <c r="J14" s="123">
        <v>603</v>
      </c>
      <c r="K14" s="123">
        <f t="shared" si="0"/>
        <v>69</v>
      </c>
      <c r="M14" s="123">
        <v>435</v>
      </c>
      <c r="N14" t="b">
        <f t="shared" si="1"/>
        <v>0</v>
      </c>
      <c r="O14" s="129">
        <v>748</v>
      </c>
      <c r="P14" t="b">
        <f t="shared" si="2"/>
        <v>0</v>
      </c>
    </row>
    <row r="15" spans="1:18">
      <c r="A15" s="121">
        <v>14</v>
      </c>
      <c r="B15" s="185" t="s">
        <v>2176</v>
      </c>
      <c r="C15" s="185" t="s">
        <v>2201</v>
      </c>
      <c r="D15" s="122" t="s">
        <v>2194</v>
      </c>
      <c r="E15" s="124">
        <v>42938</v>
      </c>
      <c r="F15" s="124">
        <v>43007</v>
      </c>
      <c r="G15" s="123">
        <v>225</v>
      </c>
      <c r="H15" s="123">
        <v>838</v>
      </c>
      <c r="I15" s="129">
        <v>219</v>
      </c>
      <c r="J15" s="123">
        <v>652</v>
      </c>
      <c r="K15" s="123">
        <f t="shared" si="0"/>
        <v>69</v>
      </c>
      <c r="M15" s="169" t="s">
        <v>2057</v>
      </c>
      <c r="N15" s="181" t="b">
        <f t="shared" si="1"/>
        <v>1</v>
      </c>
      <c r="O15" s="169" t="s">
        <v>2057</v>
      </c>
      <c r="P15" s="181" t="b">
        <f t="shared" si="2"/>
        <v>1</v>
      </c>
    </row>
    <row r="16" spans="1:18">
      <c r="A16" s="121">
        <v>15</v>
      </c>
      <c r="B16" s="185" t="s">
        <v>2176</v>
      </c>
      <c r="C16" s="185" t="s">
        <v>2202</v>
      </c>
      <c r="D16" s="122" t="s">
        <v>2194</v>
      </c>
      <c r="E16" s="124">
        <v>42938</v>
      </c>
      <c r="F16" s="124">
        <v>43007</v>
      </c>
      <c r="G16" s="123">
        <v>444</v>
      </c>
      <c r="H16" s="123">
        <v>793</v>
      </c>
      <c r="I16" s="123">
        <v>630</v>
      </c>
      <c r="J16" s="123">
        <v>304</v>
      </c>
      <c r="K16" s="123">
        <f t="shared" si="0"/>
        <v>69</v>
      </c>
      <c r="M16" s="123">
        <v>2</v>
      </c>
      <c r="N16" t="b">
        <f t="shared" si="1"/>
        <v>0</v>
      </c>
      <c r="O16" s="123">
        <v>784</v>
      </c>
      <c r="P16" t="b">
        <f t="shared" si="2"/>
        <v>0</v>
      </c>
    </row>
    <row r="17" spans="1:16">
      <c r="A17" s="121">
        <v>16</v>
      </c>
      <c r="B17" s="185" t="s">
        <v>2176</v>
      </c>
      <c r="C17" s="185" t="s">
        <v>2205</v>
      </c>
      <c r="D17" s="122" t="s">
        <v>2194</v>
      </c>
      <c r="E17" s="124">
        <v>42938</v>
      </c>
      <c r="F17" s="124">
        <v>43007</v>
      </c>
      <c r="G17" s="123">
        <v>376</v>
      </c>
      <c r="H17" s="123">
        <v>755</v>
      </c>
      <c r="I17" s="123">
        <v>662</v>
      </c>
      <c r="J17" s="123">
        <v>687</v>
      </c>
      <c r="K17" s="123">
        <f t="shared" si="0"/>
        <v>69</v>
      </c>
      <c r="M17" s="123">
        <v>225</v>
      </c>
      <c r="N17" t="b">
        <f t="shared" si="1"/>
        <v>0</v>
      </c>
      <c r="O17" s="123">
        <v>838</v>
      </c>
      <c r="P17" t="b">
        <f t="shared" si="2"/>
        <v>0</v>
      </c>
    </row>
    <row r="18" spans="1:16">
      <c r="A18" s="121">
        <v>17</v>
      </c>
      <c r="B18" s="185" t="s">
        <v>2176</v>
      </c>
      <c r="C18" s="185" t="s">
        <v>2207</v>
      </c>
      <c r="D18" s="122" t="s">
        <v>2208</v>
      </c>
      <c r="E18" s="124">
        <v>42936</v>
      </c>
      <c r="F18" s="124">
        <v>43007</v>
      </c>
      <c r="G18" s="123">
        <v>209</v>
      </c>
      <c r="H18" s="123">
        <v>826</v>
      </c>
      <c r="I18" s="123">
        <v>349</v>
      </c>
      <c r="J18" s="123">
        <v>407</v>
      </c>
      <c r="K18" s="123">
        <f t="shared" si="0"/>
        <v>71</v>
      </c>
      <c r="M18" s="123">
        <v>444</v>
      </c>
      <c r="N18" t="b">
        <f t="shared" si="1"/>
        <v>0</v>
      </c>
      <c r="O18" s="123">
        <v>793</v>
      </c>
      <c r="P18" t="b">
        <f t="shared" si="2"/>
        <v>0</v>
      </c>
    </row>
    <row r="19" spans="1:16">
      <c r="A19" s="121">
        <v>18</v>
      </c>
      <c r="B19" s="185" t="s">
        <v>2176</v>
      </c>
      <c r="C19" s="185" t="s">
        <v>2210</v>
      </c>
      <c r="D19" s="122" t="s">
        <v>2208</v>
      </c>
      <c r="E19" s="124">
        <v>42936</v>
      </c>
      <c r="F19" s="124">
        <v>43007</v>
      </c>
      <c r="G19" s="123">
        <v>10</v>
      </c>
      <c r="H19" s="123">
        <v>732</v>
      </c>
      <c r="I19" s="123">
        <v>113</v>
      </c>
      <c r="J19" s="123">
        <v>361</v>
      </c>
      <c r="K19" s="123">
        <f t="shared" si="0"/>
        <v>71</v>
      </c>
      <c r="M19" s="123">
        <v>376</v>
      </c>
      <c r="N19" t="b">
        <f t="shared" si="1"/>
        <v>0</v>
      </c>
      <c r="O19" s="123">
        <v>755</v>
      </c>
      <c r="P19" t="b">
        <f t="shared" si="2"/>
        <v>0</v>
      </c>
    </row>
    <row r="20" spans="1:16">
      <c r="A20" s="121">
        <v>19</v>
      </c>
      <c r="B20" s="185" t="s">
        <v>2176</v>
      </c>
      <c r="C20" s="185" t="s">
        <v>2211</v>
      </c>
      <c r="D20" s="122" t="s">
        <v>2208</v>
      </c>
      <c r="E20" s="124">
        <v>42936</v>
      </c>
      <c r="F20" s="124">
        <v>43007</v>
      </c>
      <c r="G20" s="123">
        <v>190</v>
      </c>
      <c r="H20" s="123">
        <v>749</v>
      </c>
      <c r="I20" s="123">
        <v>394</v>
      </c>
      <c r="J20" s="123">
        <v>280</v>
      </c>
      <c r="K20" s="123">
        <f t="shared" si="0"/>
        <v>71</v>
      </c>
      <c r="M20" s="123">
        <v>209</v>
      </c>
      <c r="N20" t="b">
        <f t="shared" si="1"/>
        <v>0</v>
      </c>
      <c r="O20" s="123">
        <v>826</v>
      </c>
      <c r="P20" t="b">
        <f t="shared" si="2"/>
        <v>0</v>
      </c>
    </row>
    <row r="21" spans="1:16">
      <c r="A21" s="121">
        <v>20</v>
      </c>
      <c r="B21" s="185" t="s">
        <v>2176</v>
      </c>
      <c r="C21" s="185" t="s">
        <v>2212</v>
      </c>
      <c r="D21" s="122" t="s">
        <v>2208</v>
      </c>
      <c r="E21" s="124">
        <v>42936</v>
      </c>
      <c r="F21" s="124">
        <v>43007</v>
      </c>
      <c r="G21" s="123">
        <v>38</v>
      </c>
      <c r="H21" s="123">
        <v>632</v>
      </c>
      <c r="I21" s="123">
        <v>79</v>
      </c>
      <c r="J21" s="123">
        <v>320</v>
      </c>
      <c r="K21" s="123">
        <f t="shared" si="0"/>
        <v>71</v>
      </c>
      <c r="M21" s="123">
        <v>10</v>
      </c>
      <c r="N21" t="b">
        <f t="shared" si="1"/>
        <v>0</v>
      </c>
      <c r="O21" s="123">
        <v>732</v>
      </c>
      <c r="P21" t="b">
        <f t="shared" si="2"/>
        <v>0</v>
      </c>
    </row>
    <row r="22" spans="1:16">
      <c r="A22" s="121">
        <v>21</v>
      </c>
      <c r="B22" s="185" t="s">
        <v>2176</v>
      </c>
      <c r="C22" s="185" t="s">
        <v>2213</v>
      </c>
      <c r="D22" s="122" t="s">
        <v>2208</v>
      </c>
      <c r="E22" s="124">
        <v>42936</v>
      </c>
      <c r="F22" s="124">
        <v>43007</v>
      </c>
      <c r="G22" s="123">
        <v>468</v>
      </c>
      <c r="H22" s="123">
        <v>630</v>
      </c>
      <c r="I22" s="123">
        <v>488</v>
      </c>
      <c r="J22" s="123">
        <v>209</v>
      </c>
      <c r="K22" s="123">
        <f t="shared" si="0"/>
        <v>71</v>
      </c>
      <c r="M22" s="123">
        <v>190</v>
      </c>
      <c r="N22" t="b">
        <f t="shared" si="1"/>
        <v>0</v>
      </c>
      <c r="O22" s="123">
        <v>749</v>
      </c>
      <c r="P22" t="b">
        <f t="shared" si="2"/>
        <v>0</v>
      </c>
    </row>
    <row r="23" spans="1:16">
      <c r="A23" s="121">
        <v>22</v>
      </c>
      <c r="B23" s="185" t="s">
        <v>2176</v>
      </c>
      <c r="C23" s="185" t="s">
        <v>2214</v>
      </c>
      <c r="D23" s="122" t="s">
        <v>2208</v>
      </c>
      <c r="E23" s="124">
        <v>42936</v>
      </c>
      <c r="F23" s="124">
        <v>43007</v>
      </c>
      <c r="G23" s="123">
        <v>8</v>
      </c>
      <c r="H23" s="123">
        <v>723</v>
      </c>
      <c r="I23" s="123">
        <v>750</v>
      </c>
      <c r="J23" s="123">
        <v>646</v>
      </c>
      <c r="K23" s="123">
        <f t="shared" si="0"/>
        <v>71</v>
      </c>
      <c r="M23" s="123">
        <v>38</v>
      </c>
      <c r="N23" t="b">
        <f t="shared" si="1"/>
        <v>0</v>
      </c>
      <c r="O23" s="123">
        <v>632</v>
      </c>
      <c r="P23" t="b">
        <f t="shared" si="2"/>
        <v>0</v>
      </c>
    </row>
    <row r="24" spans="1:16">
      <c r="A24" s="121">
        <v>23</v>
      </c>
      <c r="B24" s="185" t="s">
        <v>2176</v>
      </c>
      <c r="C24" s="185" t="s">
        <v>2215</v>
      </c>
      <c r="D24" s="122" t="s">
        <v>2208</v>
      </c>
      <c r="E24" s="125" t="s">
        <v>2057</v>
      </c>
      <c r="F24" s="125" t="s">
        <v>2057</v>
      </c>
      <c r="G24" s="125" t="s">
        <v>2057</v>
      </c>
      <c r="H24" s="125" t="s">
        <v>2057</v>
      </c>
      <c r="I24" s="125" t="s">
        <v>2057</v>
      </c>
      <c r="J24" s="125" t="s">
        <v>2057</v>
      </c>
      <c r="K24" s="123" t="str">
        <f t="shared" si="0"/>
        <v/>
      </c>
      <c r="M24" s="123">
        <v>468</v>
      </c>
      <c r="N24" t="b">
        <f t="shared" si="1"/>
        <v>0</v>
      </c>
      <c r="O24" s="123">
        <v>630</v>
      </c>
      <c r="P24" t="b">
        <f t="shared" si="2"/>
        <v>0</v>
      </c>
    </row>
    <row r="25" spans="1:16">
      <c r="A25" s="121">
        <v>24</v>
      </c>
      <c r="B25" s="185" t="s">
        <v>2176</v>
      </c>
      <c r="C25" s="185" t="s">
        <v>2216</v>
      </c>
      <c r="D25" s="122" t="s">
        <v>2208</v>
      </c>
      <c r="E25" s="124">
        <v>42936</v>
      </c>
      <c r="F25" s="124">
        <v>43007</v>
      </c>
      <c r="G25" s="123">
        <v>320</v>
      </c>
      <c r="H25" s="123">
        <v>225</v>
      </c>
      <c r="I25" s="123">
        <v>562</v>
      </c>
      <c r="J25" s="123">
        <v>650</v>
      </c>
      <c r="K25" s="123">
        <f t="shared" si="0"/>
        <v>71</v>
      </c>
      <c r="M25" s="123">
        <v>8</v>
      </c>
      <c r="N25" t="b">
        <f t="shared" si="1"/>
        <v>0</v>
      </c>
      <c r="O25" s="123">
        <v>723</v>
      </c>
      <c r="P25" t="b">
        <f t="shared" si="2"/>
        <v>0</v>
      </c>
    </row>
    <row r="26" spans="1:16">
      <c r="A26" s="121">
        <v>25</v>
      </c>
      <c r="B26" s="185" t="s">
        <v>2176</v>
      </c>
      <c r="C26" s="185" t="s">
        <v>2217</v>
      </c>
      <c r="D26" s="122" t="s">
        <v>2218</v>
      </c>
      <c r="E26" s="124">
        <v>42936</v>
      </c>
      <c r="F26" s="124">
        <v>43007</v>
      </c>
      <c r="G26" s="123">
        <v>32</v>
      </c>
      <c r="H26" s="123">
        <v>43</v>
      </c>
      <c r="I26" s="123">
        <v>156</v>
      </c>
      <c r="J26" s="123">
        <v>230</v>
      </c>
      <c r="K26" s="123">
        <f t="shared" si="0"/>
        <v>71</v>
      </c>
      <c r="M26" s="125" t="s">
        <v>2057</v>
      </c>
      <c r="N26" t="b">
        <f t="shared" si="1"/>
        <v>1</v>
      </c>
      <c r="O26" s="125" t="s">
        <v>2057</v>
      </c>
      <c r="P26" t="b">
        <f t="shared" si="2"/>
        <v>1</v>
      </c>
    </row>
    <row r="27" spans="1:16">
      <c r="A27" s="121">
        <v>26</v>
      </c>
      <c r="B27" s="185" t="s">
        <v>2176</v>
      </c>
      <c r="C27" s="185" t="s">
        <v>2219</v>
      </c>
      <c r="D27" s="122" t="s">
        <v>2218</v>
      </c>
      <c r="E27" s="124">
        <v>42936</v>
      </c>
      <c r="F27" s="124">
        <v>43007</v>
      </c>
      <c r="G27" s="123">
        <v>58</v>
      </c>
      <c r="H27" s="123">
        <v>602</v>
      </c>
      <c r="I27" s="123">
        <v>555</v>
      </c>
      <c r="J27" s="123">
        <v>642</v>
      </c>
      <c r="K27" s="123">
        <f t="shared" si="0"/>
        <v>71</v>
      </c>
      <c r="M27" s="123">
        <v>320</v>
      </c>
      <c r="N27" t="b">
        <f t="shared" si="1"/>
        <v>0</v>
      </c>
      <c r="O27" s="123">
        <v>225</v>
      </c>
      <c r="P27" t="b">
        <f t="shared" si="2"/>
        <v>0</v>
      </c>
    </row>
    <row r="28" spans="1:16">
      <c r="A28" s="121">
        <v>27</v>
      </c>
      <c r="B28" s="185" t="s">
        <v>2176</v>
      </c>
      <c r="C28" s="185" t="s">
        <v>2220</v>
      </c>
      <c r="D28" s="122" t="s">
        <v>2218</v>
      </c>
      <c r="E28" s="124">
        <v>42936</v>
      </c>
      <c r="F28" s="124">
        <v>43007</v>
      </c>
      <c r="G28" s="123">
        <v>340</v>
      </c>
      <c r="H28" s="123">
        <v>666</v>
      </c>
      <c r="I28" s="123">
        <v>378</v>
      </c>
      <c r="J28" s="123">
        <v>199</v>
      </c>
      <c r="K28" s="123">
        <f t="shared" si="0"/>
        <v>71</v>
      </c>
      <c r="M28" s="165">
        <v>32</v>
      </c>
      <c r="N28" t="b">
        <f t="shared" si="1"/>
        <v>1</v>
      </c>
      <c r="O28" s="123">
        <v>43</v>
      </c>
      <c r="P28" t="b">
        <f t="shared" si="2"/>
        <v>0</v>
      </c>
    </row>
    <row r="29" spans="1:16">
      <c r="A29" s="121">
        <v>28</v>
      </c>
      <c r="B29" s="185" t="s">
        <v>2176</v>
      </c>
      <c r="C29" s="185" t="s">
        <v>2221</v>
      </c>
      <c r="D29" s="122" t="s">
        <v>2218</v>
      </c>
      <c r="E29" s="124">
        <v>42936</v>
      </c>
      <c r="F29" s="124">
        <v>43007</v>
      </c>
      <c r="G29" s="123">
        <v>61</v>
      </c>
      <c r="H29" s="123">
        <v>705</v>
      </c>
      <c r="I29" s="123">
        <v>46</v>
      </c>
      <c r="J29" s="123">
        <v>162</v>
      </c>
      <c r="K29" s="123">
        <f t="shared" si="0"/>
        <v>71</v>
      </c>
      <c r="M29" s="123">
        <v>58</v>
      </c>
      <c r="N29" t="b">
        <f t="shared" si="1"/>
        <v>0</v>
      </c>
      <c r="O29" s="123">
        <v>602</v>
      </c>
      <c r="P29" t="b">
        <f t="shared" si="2"/>
        <v>0</v>
      </c>
    </row>
    <row r="30" spans="1:16">
      <c r="A30" s="121">
        <v>29</v>
      </c>
      <c r="B30" s="185" t="s">
        <v>2176</v>
      </c>
      <c r="C30" s="185" t="s">
        <v>2222</v>
      </c>
      <c r="D30" s="122" t="s">
        <v>2218</v>
      </c>
      <c r="E30" s="124">
        <v>42936</v>
      </c>
      <c r="F30" s="124">
        <v>43007</v>
      </c>
      <c r="G30" s="123">
        <v>319</v>
      </c>
      <c r="H30" s="123">
        <v>305</v>
      </c>
      <c r="I30" s="123">
        <v>397</v>
      </c>
      <c r="J30" s="123">
        <v>163</v>
      </c>
      <c r="K30" s="123">
        <f t="shared" si="0"/>
        <v>71</v>
      </c>
      <c r="M30" s="123">
        <v>340</v>
      </c>
      <c r="N30" t="b">
        <f t="shared" si="1"/>
        <v>0</v>
      </c>
      <c r="O30" s="123">
        <v>666</v>
      </c>
      <c r="P30" t="b">
        <f t="shared" si="2"/>
        <v>0</v>
      </c>
    </row>
    <row r="31" spans="1:16">
      <c r="A31" s="121">
        <v>30</v>
      </c>
      <c r="B31" s="185" t="s">
        <v>2176</v>
      </c>
      <c r="C31" s="185" t="s">
        <v>2223</v>
      </c>
      <c r="D31" s="122" t="s">
        <v>2218</v>
      </c>
      <c r="E31" s="124">
        <v>42936</v>
      </c>
      <c r="F31" s="124">
        <v>43007</v>
      </c>
      <c r="G31" s="123">
        <v>273</v>
      </c>
      <c r="H31" s="123">
        <v>667</v>
      </c>
      <c r="I31" s="123">
        <v>166</v>
      </c>
      <c r="J31" s="123">
        <v>345</v>
      </c>
      <c r="K31" s="123">
        <f t="shared" si="0"/>
        <v>71</v>
      </c>
      <c r="M31" s="123">
        <v>61</v>
      </c>
      <c r="N31" t="b">
        <f t="shared" si="1"/>
        <v>0</v>
      </c>
      <c r="O31" s="123">
        <v>705</v>
      </c>
      <c r="P31" t="b">
        <f t="shared" si="2"/>
        <v>0</v>
      </c>
    </row>
    <row r="32" spans="1:16">
      <c r="A32" s="121">
        <v>31</v>
      </c>
      <c r="B32" s="185" t="s">
        <v>2176</v>
      </c>
      <c r="C32" s="185" t="s">
        <v>2224</v>
      </c>
      <c r="D32" s="122" t="s">
        <v>2218</v>
      </c>
      <c r="E32" s="125" t="s">
        <v>2057</v>
      </c>
      <c r="F32" s="125" t="s">
        <v>2057</v>
      </c>
      <c r="G32" s="125" t="s">
        <v>2057</v>
      </c>
      <c r="H32" s="125" t="s">
        <v>2057</v>
      </c>
      <c r="I32" s="125" t="s">
        <v>2057</v>
      </c>
      <c r="J32" s="125" t="s">
        <v>2057</v>
      </c>
      <c r="K32" s="123" t="str">
        <f t="shared" si="0"/>
        <v/>
      </c>
      <c r="M32" s="123">
        <v>319</v>
      </c>
      <c r="N32" t="b">
        <f t="shared" si="1"/>
        <v>0</v>
      </c>
      <c r="O32" s="123">
        <v>305</v>
      </c>
      <c r="P32" t="b">
        <f t="shared" si="2"/>
        <v>0</v>
      </c>
    </row>
    <row r="33" spans="1:16">
      <c r="A33" s="121">
        <v>32</v>
      </c>
      <c r="B33" s="185" t="s">
        <v>2176</v>
      </c>
      <c r="C33" s="185" t="s">
        <v>2225</v>
      </c>
      <c r="D33" s="122" t="s">
        <v>2218</v>
      </c>
      <c r="E33" s="124">
        <v>42936</v>
      </c>
      <c r="F33" s="124">
        <v>43007</v>
      </c>
      <c r="G33" s="123">
        <v>193</v>
      </c>
      <c r="H33" s="123">
        <v>743</v>
      </c>
      <c r="I33" s="123">
        <v>293</v>
      </c>
      <c r="J33" s="123">
        <v>660</v>
      </c>
      <c r="K33" s="123">
        <f t="shared" si="0"/>
        <v>71</v>
      </c>
      <c r="M33" s="123">
        <v>273</v>
      </c>
      <c r="N33" t="b">
        <f t="shared" si="1"/>
        <v>0</v>
      </c>
      <c r="O33" s="123">
        <v>667</v>
      </c>
      <c r="P33" t="b">
        <f t="shared" si="2"/>
        <v>0</v>
      </c>
    </row>
    <row r="34" spans="1:16">
      <c r="A34" s="121">
        <v>33</v>
      </c>
      <c r="B34" s="185" t="s">
        <v>2176</v>
      </c>
      <c r="C34" s="185" t="s">
        <v>2226</v>
      </c>
      <c r="D34" s="122" t="s">
        <v>2227</v>
      </c>
      <c r="E34" s="124">
        <v>42938</v>
      </c>
      <c r="F34" s="124">
        <v>43005</v>
      </c>
      <c r="G34" s="123">
        <v>218</v>
      </c>
      <c r="H34" s="123">
        <v>769</v>
      </c>
      <c r="I34" s="123">
        <v>139</v>
      </c>
      <c r="J34" s="123">
        <v>712</v>
      </c>
      <c r="K34" s="123">
        <f t="shared" si="0"/>
        <v>67</v>
      </c>
      <c r="M34" s="125" t="s">
        <v>2057</v>
      </c>
      <c r="N34" t="b">
        <f t="shared" si="1"/>
        <v>1</v>
      </c>
      <c r="O34" s="125" t="s">
        <v>2057</v>
      </c>
      <c r="P34" t="b">
        <f t="shared" si="2"/>
        <v>1</v>
      </c>
    </row>
    <row r="35" spans="1:16">
      <c r="A35" s="121">
        <v>34</v>
      </c>
      <c r="B35" s="185" t="s">
        <v>2176</v>
      </c>
      <c r="C35" s="185" t="s">
        <v>2229</v>
      </c>
      <c r="D35" s="122" t="s">
        <v>2227</v>
      </c>
      <c r="E35" s="124">
        <v>42938</v>
      </c>
      <c r="F35" s="124">
        <v>43005</v>
      </c>
      <c r="G35" s="123">
        <v>104</v>
      </c>
      <c r="H35" s="123">
        <v>753</v>
      </c>
      <c r="I35" s="123">
        <v>487</v>
      </c>
      <c r="J35" s="123">
        <v>324</v>
      </c>
      <c r="K35" s="123">
        <f t="shared" si="0"/>
        <v>67</v>
      </c>
      <c r="M35" s="123">
        <v>193</v>
      </c>
      <c r="N35" t="b">
        <f t="shared" si="1"/>
        <v>0</v>
      </c>
      <c r="O35" s="123">
        <v>743</v>
      </c>
      <c r="P35" t="b">
        <f t="shared" si="2"/>
        <v>0</v>
      </c>
    </row>
    <row r="36" spans="1:16">
      <c r="A36" s="121">
        <v>35</v>
      </c>
      <c r="B36" s="185" t="s">
        <v>2176</v>
      </c>
      <c r="C36" s="185" t="s">
        <v>2232</v>
      </c>
      <c r="D36" s="122" t="s">
        <v>2227</v>
      </c>
      <c r="E36" s="124">
        <v>42938</v>
      </c>
      <c r="F36" s="124">
        <v>43005</v>
      </c>
      <c r="G36" s="123">
        <v>188</v>
      </c>
      <c r="H36" s="123">
        <v>776</v>
      </c>
      <c r="I36" s="123">
        <v>717</v>
      </c>
      <c r="J36" s="123">
        <v>108</v>
      </c>
      <c r="K36" s="123">
        <f t="shared" si="0"/>
        <v>67</v>
      </c>
      <c r="M36" s="123">
        <v>218</v>
      </c>
      <c r="N36" t="b">
        <f t="shared" si="1"/>
        <v>0</v>
      </c>
      <c r="O36" s="123">
        <v>769</v>
      </c>
      <c r="P36" t="b">
        <f t="shared" si="2"/>
        <v>0</v>
      </c>
    </row>
    <row r="37" spans="1:16">
      <c r="A37" s="121">
        <v>36</v>
      </c>
      <c r="B37" s="185" t="s">
        <v>2176</v>
      </c>
      <c r="C37" s="185" t="s">
        <v>2233</v>
      </c>
      <c r="D37" s="122" t="s">
        <v>2227</v>
      </c>
      <c r="E37" s="124">
        <v>42938</v>
      </c>
      <c r="F37" s="124">
        <v>43005</v>
      </c>
      <c r="G37" s="123">
        <v>379</v>
      </c>
      <c r="H37" s="123">
        <v>799</v>
      </c>
      <c r="I37" s="123">
        <v>767</v>
      </c>
      <c r="J37" s="123">
        <v>152</v>
      </c>
      <c r="K37" s="123">
        <f t="shared" si="0"/>
        <v>67</v>
      </c>
      <c r="M37" s="123">
        <v>104</v>
      </c>
      <c r="N37" t="b">
        <f t="shared" si="1"/>
        <v>0</v>
      </c>
      <c r="O37" s="123">
        <v>753</v>
      </c>
      <c r="P37" t="b">
        <f t="shared" si="2"/>
        <v>0</v>
      </c>
    </row>
    <row r="38" spans="1:16">
      <c r="A38" s="121">
        <v>37</v>
      </c>
      <c r="B38" s="185" t="s">
        <v>2176</v>
      </c>
      <c r="C38" s="185" t="s">
        <v>2235</v>
      </c>
      <c r="D38" s="122" t="s">
        <v>2227</v>
      </c>
      <c r="E38" s="124">
        <v>42938</v>
      </c>
      <c r="F38" s="124">
        <v>43005</v>
      </c>
      <c r="G38" s="123">
        <v>66</v>
      </c>
      <c r="H38" s="123">
        <v>722</v>
      </c>
      <c r="I38" s="123">
        <v>473</v>
      </c>
      <c r="J38" s="123">
        <v>681</v>
      </c>
      <c r="K38" s="123">
        <f t="shared" si="0"/>
        <v>67</v>
      </c>
      <c r="M38" s="123">
        <v>188</v>
      </c>
      <c r="N38" t="b">
        <f t="shared" si="1"/>
        <v>0</v>
      </c>
      <c r="O38" s="123">
        <v>776</v>
      </c>
      <c r="P38" t="b">
        <f t="shared" si="2"/>
        <v>0</v>
      </c>
    </row>
    <row r="39" spans="1:16">
      <c r="A39" s="121">
        <v>38</v>
      </c>
      <c r="B39" s="185" t="s">
        <v>2176</v>
      </c>
      <c r="C39" s="185" t="s">
        <v>2237</v>
      </c>
      <c r="D39" s="122" t="s">
        <v>2227</v>
      </c>
      <c r="E39" s="124">
        <v>42938</v>
      </c>
      <c r="F39" s="124">
        <v>43005</v>
      </c>
      <c r="G39" s="123">
        <v>625</v>
      </c>
      <c r="H39" s="123">
        <v>796</v>
      </c>
      <c r="I39" s="123">
        <v>111</v>
      </c>
      <c r="J39" s="129">
        <v>260</v>
      </c>
      <c r="K39" s="123">
        <f t="shared" si="0"/>
        <v>67</v>
      </c>
      <c r="M39" s="123">
        <v>379</v>
      </c>
      <c r="N39" t="b">
        <f t="shared" si="1"/>
        <v>0</v>
      </c>
      <c r="O39" s="123">
        <v>799</v>
      </c>
      <c r="P39" t="b">
        <f t="shared" si="2"/>
        <v>0</v>
      </c>
    </row>
    <row r="40" spans="1:16">
      <c r="A40" s="121">
        <v>39</v>
      </c>
      <c r="B40" s="185" t="s">
        <v>2176</v>
      </c>
      <c r="C40" s="185" t="s">
        <v>2239</v>
      </c>
      <c r="D40" s="122" t="s">
        <v>2227</v>
      </c>
      <c r="E40" s="124">
        <v>42938</v>
      </c>
      <c r="F40" s="123" t="s">
        <v>2057</v>
      </c>
      <c r="G40" s="125" t="s">
        <v>2057</v>
      </c>
      <c r="H40" s="125" t="s">
        <v>2057</v>
      </c>
      <c r="I40" s="125" t="s">
        <v>2057</v>
      </c>
      <c r="J40" s="125" t="s">
        <v>2057</v>
      </c>
      <c r="K40" s="123" t="str">
        <f t="shared" si="0"/>
        <v/>
      </c>
      <c r="M40" s="123">
        <v>66</v>
      </c>
      <c r="N40" t="b">
        <f t="shared" si="1"/>
        <v>0</v>
      </c>
      <c r="O40" s="123">
        <v>722</v>
      </c>
      <c r="P40" t="b">
        <f t="shared" si="2"/>
        <v>0</v>
      </c>
    </row>
    <row r="41" spans="1:16">
      <c r="A41" s="121">
        <v>40</v>
      </c>
      <c r="B41" s="185" t="s">
        <v>2176</v>
      </c>
      <c r="C41" s="185" t="s">
        <v>2241</v>
      </c>
      <c r="D41" s="122" t="s">
        <v>2227</v>
      </c>
      <c r="E41" s="124">
        <v>42938</v>
      </c>
      <c r="F41" s="124">
        <v>43005</v>
      </c>
      <c r="G41" s="123">
        <v>88</v>
      </c>
      <c r="H41" s="123">
        <v>782</v>
      </c>
      <c r="I41" s="123">
        <v>646</v>
      </c>
      <c r="J41" s="123">
        <v>402</v>
      </c>
      <c r="K41" s="123">
        <f t="shared" si="0"/>
        <v>67</v>
      </c>
      <c r="M41" s="123">
        <v>625</v>
      </c>
      <c r="N41" t="b">
        <f t="shared" si="1"/>
        <v>0</v>
      </c>
      <c r="O41" s="123">
        <v>796</v>
      </c>
      <c r="P41" t="b">
        <f t="shared" si="2"/>
        <v>0</v>
      </c>
    </row>
    <row r="42" spans="1:16">
      <c r="A42" s="121">
        <v>41</v>
      </c>
      <c r="B42" s="185" t="s">
        <v>2176</v>
      </c>
      <c r="C42" s="185" t="s">
        <v>2243</v>
      </c>
      <c r="D42" s="122" t="s">
        <v>2244</v>
      </c>
      <c r="E42" s="124">
        <v>42938</v>
      </c>
      <c r="F42" s="124">
        <v>43005</v>
      </c>
      <c r="G42" s="123">
        <v>256</v>
      </c>
      <c r="H42" s="123">
        <v>820</v>
      </c>
      <c r="I42" s="123">
        <v>43</v>
      </c>
      <c r="J42" s="123">
        <v>648</v>
      </c>
      <c r="K42" s="123">
        <f t="shared" si="0"/>
        <v>67</v>
      </c>
      <c r="M42" s="125" t="s">
        <v>2057</v>
      </c>
      <c r="N42" t="b">
        <f t="shared" si="1"/>
        <v>1</v>
      </c>
      <c r="O42" s="125" t="s">
        <v>2057</v>
      </c>
      <c r="P42" t="b">
        <f t="shared" si="2"/>
        <v>1</v>
      </c>
    </row>
    <row r="43" spans="1:16">
      <c r="A43" s="121">
        <v>42</v>
      </c>
      <c r="B43" s="185" t="s">
        <v>2176</v>
      </c>
      <c r="C43" s="185" t="s">
        <v>2245</v>
      </c>
      <c r="D43" s="122" t="s">
        <v>2244</v>
      </c>
      <c r="E43" s="124">
        <v>42938</v>
      </c>
      <c r="F43" s="124">
        <v>43005</v>
      </c>
      <c r="G43" s="123">
        <v>341</v>
      </c>
      <c r="H43" s="123">
        <v>806</v>
      </c>
      <c r="I43" s="123">
        <v>268</v>
      </c>
      <c r="J43" s="123">
        <v>257</v>
      </c>
      <c r="K43" s="123">
        <f t="shared" si="0"/>
        <v>67</v>
      </c>
      <c r="M43" s="123">
        <v>88</v>
      </c>
      <c r="N43" t="b">
        <f t="shared" si="1"/>
        <v>0</v>
      </c>
      <c r="O43" s="123">
        <v>782</v>
      </c>
      <c r="P43" t="b">
        <f t="shared" si="2"/>
        <v>0</v>
      </c>
    </row>
    <row r="44" spans="1:16">
      <c r="A44" s="121">
        <v>43</v>
      </c>
      <c r="B44" s="185" t="s">
        <v>2176</v>
      </c>
      <c r="C44" s="185" t="s">
        <v>2247</v>
      </c>
      <c r="D44" s="122" t="s">
        <v>2244</v>
      </c>
      <c r="E44" s="124">
        <v>42938</v>
      </c>
      <c r="F44" s="124">
        <v>43005</v>
      </c>
      <c r="G44" s="123">
        <v>246</v>
      </c>
      <c r="H44" s="123">
        <v>758</v>
      </c>
      <c r="I44" s="123">
        <v>300</v>
      </c>
      <c r="J44" s="123">
        <v>691</v>
      </c>
      <c r="K44" s="123">
        <f t="shared" si="0"/>
        <v>67</v>
      </c>
      <c r="M44" s="123">
        <v>256</v>
      </c>
      <c r="N44" t="b">
        <f t="shared" si="1"/>
        <v>0</v>
      </c>
      <c r="O44" s="123">
        <v>820</v>
      </c>
      <c r="P44" t="b">
        <f t="shared" si="2"/>
        <v>0</v>
      </c>
    </row>
    <row r="45" spans="1:16">
      <c r="A45" s="121">
        <v>44</v>
      </c>
      <c r="B45" s="185" t="s">
        <v>2176</v>
      </c>
      <c r="C45" s="185" t="s">
        <v>2248</v>
      </c>
      <c r="D45" s="122" t="s">
        <v>2244</v>
      </c>
      <c r="E45" s="124">
        <v>42938</v>
      </c>
      <c r="F45" s="124">
        <v>43005</v>
      </c>
      <c r="G45" s="123">
        <v>115</v>
      </c>
      <c r="H45" s="123">
        <v>783</v>
      </c>
      <c r="I45" s="123">
        <v>823</v>
      </c>
      <c r="J45" s="123">
        <v>716</v>
      </c>
      <c r="K45" s="123">
        <f t="shared" si="0"/>
        <v>67</v>
      </c>
      <c r="M45" s="123">
        <v>341</v>
      </c>
      <c r="N45" t="b">
        <f t="shared" si="1"/>
        <v>0</v>
      </c>
      <c r="O45" s="123">
        <v>806</v>
      </c>
      <c r="P45" t="b">
        <f t="shared" si="2"/>
        <v>0</v>
      </c>
    </row>
    <row r="46" spans="1:16">
      <c r="A46" s="121">
        <v>45</v>
      </c>
      <c r="B46" s="185" t="s">
        <v>2176</v>
      </c>
      <c r="C46" s="185" t="s">
        <v>2249</v>
      </c>
      <c r="D46" s="122" t="s">
        <v>2244</v>
      </c>
      <c r="E46" s="124">
        <v>42938</v>
      </c>
      <c r="F46" s="124">
        <v>43005</v>
      </c>
      <c r="G46" s="123">
        <v>480</v>
      </c>
      <c r="H46" s="123">
        <v>827</v>
      </c>
      <c r="I46" s="123">
        <v>354</v>
      </c>
      <c r="J46" s="123">
        <v>631</v>
      </c>
      <c r="K46" s="123">
        <f t="shared" si="0"/>
        <v>67</v>
      </c>
      <c r="M46" s="123">
        <v>246</v>
      </c>
      <c r="N46" t="b">
        <f t="shared" si="1"/>
        <v>0</v>
      </c>
      <c r="O46" s="123">
        <v>758</v>
      </c>
      <c r="P46" t="b">
        <f t="shared" si="2"/>
        <v>0</v>
      </c>
    </row>
    <row r="47" spans="1:16">
      <c r="A47" s="121">
        <v>46</v>
      </c>
      <c r="B47" s="185" t="s">
        <v>2176</v>
      </c>
      <c r="C47" s="185" t="s">
        <v>2251</v>
      </c>
      <c r="D47" s="122" t="s">
        <v>2244</v>
      </c>
      <c r="E47" s="123" t="s">
        <v>2057</v>
      </c>
      <c r="F47" s="124" t="s">
        <v>2057</v>
      </c>
      <c r="G47" s="123" t="s">
        <v>2057</v>
      </c>
      <c r="H47" s="123" t="s">
        <v>2057</v>
      </c>
      <c r="I47" s="123" t="s">
        <v>2057</v>
      </c>
      <c r="J47" s="123" t="s">
        <v>2057</v>
      </c>
      <c r="K47" s="123" t="str">
        <f t="shared" si="0"/>
        <v/>
      </c>
      <c r="M47" s="123">
        <v>115</v>
      </c>
      <c r="N47" t="b">
        <f t="shared" si="1"/>
        <v>0</v>
      </c>
      <c r="O47" s="123">
        <v>783</v>
      </c>
      <c r="P47" t="b">
        <f t="shared" si="2"/>
        <v>0</v>
      </c>
    </row>
    <row r="48" spans="1:16">
      <c r="A48" s="121">
        <v>47</v>
      </c>
      <c r="B48" s="185" t="s">
        <v>2176</v>
      </c>
      <c r="C48" s="185" t="s">
        <v>2252</v>
      </c>
      <c r="D48" s="122" t="s">
        <v>2244</v>
      </c>
      <c r="E48" s="124">
        <v>42938</v>
      </c>
      <c r="F48" s="124">
        <v>43005</v>
      </c>
      <c r="G48" s="123">
        <v>110</v>
      </c>
      <c r="H48" s="123">
        <v>831</v>
      </c>
      <c r="I48" s="123">
        <v>659</v>
      </c>
      <c r="J48" s="123">
        <v>606</v>
      </c>
      <c r="K48" s="123">
        <f t="shared" si="0"/>
        <v>67</v>
      </c>
      <c r="M48" s="123">
        <v>480</v>
      </c>
      <c r="N48" t="b">
        <f t="shared" si="1"/>
        <v>0</v>
      </c>
      <c r="O48" s="123">
        <v>827</v>
      </c>
      <c r="P48" t="b">
        <f t="shared" si="2"/>
        <v>0</v>
      </c>
    </row>
    <row r="49" spans="1:16">
      <c r="A49" s="121">
        <v>48</v>
      </c>
      <c r="B49" s="185" t="s">
        <v>2176</v>
      </c>
      <c r="C49" s="185" t="s">
        <v>2254</v>
      </c>
      <c r="D49" s="122" t="s">
        <v>2244</v>
      </c>
      <c r="E49" s="124">
        <v>42938</v>
      </c>
      <c r="F49" s="124">
        <v>43005</v>
      </c>
      <c r="G49" s="123">
        <v>233</v>
      </c>
      <c r="H49" s="123">
        <v>828</v>
      </c>
      <c r="I49" s="123">
        <v>267</v>
      </c>
      <c r="J49" s="123">
        <v>221</v>
      </c>
      <c r="K49" s="123">
        <f t="shared" si="0"/>
        <v>67</v>
      </c>
      <c r="M49" s="123" t="s">
        <v>2057</v>
      </c>
      <c r="N49" t="b">
        <f t="shared" si="1"/>
        <v>1</v>
      </c>
      <c r="O49" s="123" t="s">
        <v>2057</v>
      </c>
      <c r="P49" t="b">
        <f t="shared" si="2"/>
        <v>1</v>
      </c>
    </row>
    <row r="50" spans="1:16">
      <c r="A50" s="121">
        <v>49</v>
      </c>
      <c r="B50" s="185" t="s">
        <v>2176</v>
      </c>
      <c r="C50" s="185" t="s">
        <v>2255</v>
      </c>
      <c r="D50" s="122" t="s">
        <v>2256</v>
      </c>
      <c r="E50" s="124">
        <v>42938</v>
      </c>
      <c r="F50" s="124">
        <v>43005</v>
      </c>
      <c r="G50" s="123">
        <v>54</v>
      </c>
      <c r="H50" s="123">
        <v>805</v>
      </c>
      <c r="I50" s="123">
        <v>812</v>
      </c>
      <c r="J50" s="123">
        <v>308</v>
      </c>
      <c r="K50" s="123">
        <f t="shared" si="0"/>
        <v>67</v>
      </c>
      <c r="M50" s="123">
        <v>110</v>
      </c>
      <c r="N50" t="b">
        <f t="shared" si="1"/>
        <v>0</v>
      </c>
      <c r="O50" s="123">
        <v>831</v>
      </c>
      <c r="P50" t="b">
        <f t="shared" si="2"/>
        <v>0</v>
      </c>
    </row>
    <row r="51" spans="1:16">
      <c r="A51" s="121">
        <v>50</v>
      </c>
      <c r="B51" s="185" t="s">
        <v>2176</v>
      </c>
      <c r="C51" s="185" t="s">
        <v>2257</v>
      </c>
      <c r="D51" s="122" t="s">
        <v>2256</v>
      </c>
      <c r="E51" s="124">
        <v>42938</v>
      </c>
      <c r="F51" s="124" t="s">
        <v>2057</v>
      </c>
      <c r="G51" s="123">
        <v>276</v>
      </c>
      <c r="H51" s="123">
        <v>754</v>
      </c>
      <c r="I51" s="123">
        <v>212</v>
      </c>
      <c r="J51" s="123">
        <v>644</v>
      </c>
      <c r="K51" s="123" t="str">
        <f t="shared" si="0"/>
        <v/>
      </c>
      <c r="M51" s="123">
        <v>233</v>
      </c>
      <c r="N51" t="b">
        <f t="shared" si="1"/>
        <v>0</v>
      </c>
      <c r="O51" s="123">
        <v>828</v>
      </c>
      <c r="P51" t="b">
        <f t="shared" si="2"/>
        <v>0</v>
      </c>
    </row>
    <row r="52" spans="1:16">
      <c r="A52" s="121">
        <v>51</v>
      </c>
      <c r="B52" s="185" t="s">
        <v>2176</v>
      </c>
      <c r="C52" s="185" t="s">
        <v>2258</v>
      </c>
      <c r="D52" s="122" t="s">
        <v>2256</v>
      </c>
      <c r="E52" s="124">
        <v>42938</v>
      </c>
      <c r="F52" s="124">
        <v>43005</v>
      </c>
      <c r="G52" s="123">
        <v>227</v>
      </c>
      <c r="H52" s="123">
        <v>798</v>
      </c>
      <c r="I52" s="123">
        <v>598</v>
      </c>
      <c r="J52" s="123">
        <v>242</v>
      </c>
      <c r="K52" s="123">
        <f t="shared" si="0"/>
        <v>67</v>
      </c>
      <c r="M52" s="123">
        <v>54</v>
      </c>
      <c r="N52" t="b">
        <f t="shared" si="1"/>
        <v>0</v>
      </c>
      <c r="O52" s="123">
        <v>805</v>
      </c>
      <c r="P52" t="b">
        <f t="shared" si="2"/>
        <v>0</v>
      </c>
    </row>
    <row r="53" spans="1:16">
      <c r="A53" s="121">
        <v>52</v>
      </c>
      <c r="B53" s="185" t="s">
        <v>2176</v>
      </c>
      <c r="C53" s="185" t="s">
        <v>2259</v>
      </c>
      <c r="D53" s="122" t="s">
        <v>2256</v>
      </c>
      <c r="E53" s="124">
        <v>42938</v>
      </c>
      <c r="F53" s="124">
        <v>43005</v>
      </c>
      <c r="G53" s="123">
        <v>237</v>
      </c>
      <c r="H53" s="123">
        <v>833</v>
      </c>
      <c r="I53" s="123">
        <v>818</v>
      </c>
      <c r="J53" s="123">
        <v>618</v>
      </c>
      <c r="K53" s="123">
        <f t="shared" si="0"/>
        <v>67</v>
      </c>
      <c r="M53" s="123">
        <v>276</v>
      </c>
      <c r="N53" t="b">
        <f t="shared" si="1"/>
        <v>0</v>
      </c>
      <c r="O53" s="123">
        <v>754</v>
      </c>
      <c r="P53" t="b">
        <f t="shared" si="2"/>
        <v>0</v>
      </c>
    </row>
    <row r="54" spans="1:16">
      <c r="A54" s="121">
        <v>53</v>
      </c>
      <c r="B54" s="185" t="s">
        <v>2176</v>
      </c>
      <c r="C54" s="185" t="s">
        <v>2260</v>
      </c>
      <c r="D54" s="122" t="s">
        <v>2256</v>
      </c>
      <c r="E54" s="124">
        <v>42938</v>
      </c>
      <c r="F54" s="124">
        <v>43005</v>
      </c>
      <c r="G54" s="123">
        <v>172</v>
      </c>
      <c r="H54" s="123">
        <v>734</v>
      </c>
      <c r="I54" s="123">
        <v>759</v>
      </c>
      <c r="J54" s="123">
        <v>140</v>
      </c>
      <c r="K54" s="123">
        <f t="shared" si="0"/>
        <v>67</v>
      </c>
      <c r="M54" s="123">
        <v>227</v>
      </c>
      <c r="N54" t="b">
        <f t="shared" si="1"/>
        <v>0</v>
      </c>
      <c r="O54" s="123">
        <v>798</v>
      </c>
      <c r="P54" t="b">
        <f t="shared" si="2"/>
        <v>0</v>
      </c>
    </row>
    <row r="55" spans="1:16">
      <c r="A55" s="121">
        <v>54</v>
      </c>
      <c r="B55" s="185" t="s">
        <v>2176</v>
      </c>
      <c r="C55" s="185" t="s">
        <v>2261</v>
      </c>
      <c r="D55" s="122" t="s">
        <v>2256</v>
      </c>
      <c r="E55" s="123" t="s">
        <v>2057</v>
      </c>
      <c r="F55" s="123" t="s">
        <v>2057</v>
      </c>
      <c r="G55" s="123" t="s">
        <v>2057</v>
      </c>
      <c r="H55" s="123" t="s">
        <v>2057</v>
      </c>
      <c r="I55" s="123" t="s">
        <v>2057</v>
      </c>
      <c r="J55" s="123" t="s">
        <v>2057</v>
      </c>
      <c r="K55" s="123" t="str">
        <f t="shared" si="0"/>
        <v/>
      </c>
      <c r="M55" s="123">
        <v>237</v>
      </c>
      <c r="N55" t="b">
        <f t="shared" si="1"/>
        <v>0</v>
      </c>
      <c r="O55" s="123">
        <v>833</v>
      </c>
      <c r="P55" t="b">
        <f t="shared" si="2"/>
        <v>0</v>
      </c>
    </row>
    <row r="56" spans="1:16">
      <c r="A56" s="121">
        <v>55</v>
      </c>
      <c r="B56" s="185" t="s">
        <v>2176</v>
      </c>
      <c r="C56" s="185" t="s">
        <v>2262</v>
      </c>
      <c r="D56" s="122" t="s">
        <v>2256</v>
      </c>
      <c r="E56" s="124">
        <v>42938</v>
      </c>
      <c r="F56" s="124">
        <v>43005</v>
      </c>
      <c r="G56" s="123">
        <v>86</v>
      </c>
      <c r="H56" s="129">
        <v>839</v>
      </c>
      <c r="I56" s="123">
        <v>260</v>
      </c>
      <c r="J56" s="123">
        <v>192</v>
      </c>
      <c r="K56" s="123">
        <f t="shared" si="0"/>
        <v>67</v>
      </c>
      <c r="M56" s="123">
        <v>172</v>
      </c>
      <c r="N56" t="b">
        <f t="shared" si="1"/>
        <v>0</v>
      </c>
      <c r="O56" s="123">
        <v>734</v>
      </c>
      <c r="P56" t="b">
        <f t="shared" si="2"/>
        <v>0</v>
      </c>
    </row>
    <row r="57" spans="1:16">
      <c r="A57" s="121">
        <v>56</v>
      </c>
      <c r="B57" s="185" t="s">
        <v>2176</v>
      </c>
      <c r="C57" s="185" t="s">
        <v>2263</v>
      </c>
      <c r="D57" s="122" t="s">
        <v>2256</v>
      </c>
      <c r="E57" s="124">
        <v>42938</v>
      </c>
      <c r="F57" s="124">
        <v>43005</v>
      </c>
      <c r="G57" s="123">
        <v>107</v>
      </c>
      <c r="H57" s="123">
        <v>760</v>
      </c>
      <c r="I57" s="123">
        <v>493</v>
      </c>
      <c r="J57" s="123">
        <v>227</v>
      </c>
      <c r="K57" s="123">
        <f t="shared" si="0"/>
        <v>67</v>
      </c>
      <c r="M57" s="123" t="s">
        <v>2057</v>
      </c>
      <c r="N57" t="b">
        <f t="shared" si="1"/>
        <v>1</v>
      </c>
      <c r="O57" s="123" t="s">
        <v>2057</v>
      </c>
      <c r="P57" t="b">
        <f t="shared" si="2"/>
        <v>1</v>
      </c>
    </row>
    <row r="58" spans="1:16">
      <c r="A58" s="121">
        <v>57</v>
      </c>
      <c r="B58" s="185" t="s">
        <v>2176</v>
      </c>
      <c r="C58" s="187" t="s">
        <v>2264</v>
      </c>
      <c r="D58" s="122" t="s">
        <v>2265</v>
      </c>
      <c r="E58" s="124">
        <v>42938</v>
      </c>
      <c r="F58" s="124">
        <v>43005</v>
      </c>
      <c r="G58" s="123">
        <v>41</v>
      </c>
      <c r="H58" s="123">
        <v>830</v>
      </c>
      <c r="I58" s="123">
        <v>347</v>
      </c>
      <c r="J58" s="123">
        <v>416</v>
      </c>
      <c r="K58" s="123">
        <f t="shared" si="0"/>
        <v>67</v>
      </c>
      <c r="M58" s="123">
        <v>86</v>
      </c>
      <c r="N58" t="b">
        <f t="shared" si="1"/>
        <v>0</v>
      </c>
      <c r="O58" s="129">
        <v>839</v>
      </c>
      <c r="P58" t="b">
        <f t="shared" si="2"/>
        <v>0</v>
      </c>
    </row>
    <row r="59" spans="1:16">
      <c r="A59" s="121">
        <v>58</v>
      </c>
      <c r="B59" s="185" t="s">
        <v>2176</v>
      </c>
      <c r="C59" s="187" t="s">
        <v>2267</v>
      </c>
      <c r="D59" s="122" t="s">
        <v>2265</v>
      </c>
      <c r="E59" s="124">
        <v>42938</v>
      </c>
      <c r="F59" s="124">
        <v>43005</v>
      </c>
      <c r="G59" s="123">
        <v>481</v>
      </c>
      <c r="H59" s="123">
        <v>725</v>
      </c>
      <c r="I59" s="123">
        <v>735</v>
      </c>
      <c r="J59" s="123">
        <v>689</v>
      </c>
      <c r="K59" s="123">
        <f t="shared" si="0"/>
        <v>67</v>
      </c>
      <c r="M59" s="165">
        <v>107</v>
      </c>
      <c r="N59" t="b">
        <f t="shared" si="1"/>
        <v>1</v>
      </c>
      <c r="O59" s="123">
        <v>760</v>
      </c>
      <c r="P59" t="b">
        <f t="shared" si="2"/>
        <v>0</v>
      </c>
    </row>
    <row r="60" spans="1:16">
      <c r="A60" s="121">
        <v>59</v>
      </c>
      <c r="B60" s="185" t="s">
        <v>2176</v>
      </c>
      <c r="C60" s="187" t="s">
        <v>2268</v>
      </c>
      <c r="D60" s="122" t="s">
        <v>2265</v>
      </c>
      <c r="E60" s="124">
        <v>42938</v>
      </c>
      <c r="F60" s="124">
        <v>43005</v>
      </c>
      <c r="G60" s="123">
        <v>261</v>
      </c>
      <c r="H60" s="123">
        <v>721</v>
      </c>
      <c r="I60" s="123">
        <v>558</v>
      </c>
      <c r="J60" s="123">
        <v>231</v>
      </c>
      <c r="K60" s="123">
        <f t="shared" si="0"/>
        <v>67</v>
      </c>
      <c r="M60" s="123">
        <v>41</v>
      </c>
      <c r="N60" t="b">
        <f t="shared" si="1"/>
        <v>0</v>
      </c>
      <c r="O60" s="123">
        <v>830</v>
      </c>
      <c r="P60" t="b">
        <f t="shared" si="2"/>
        <v>0</v>
      </c>
    </row>
    <row r="61" spans="1:16">
      <c r="A61" s="121">
        <v>60</v>
      </c>
      <c r="B61" s="185" t="s">
        <v>2176</v>
      </c>
      <c r="C61" s="187" t="s">
        <v>2269</v>
      </c>
      <c r="D61" s="122" t="s">
        <v>2265</v>
      </c>
      <c r="E61" s="124">
        <v>42938</v>
      </c>
      <c r="F61" s="124">
        <v>43005</v>
      </c>
      <c r="G61" s="123">
        <v>152</v>
      </c>
      <c r="H61" s="123">
        <v>763</v>
      </c>
      <c r="I61" s="123">
        <v>751</v>
      </c>
      <c r="J61" s="123">
        <v>297</v>
      </c>
      <c r="K61" s="123">
        <f t="shared" si="0"/>
        <v>67</v>
      </c>
      <c r="M61" s="123">
        <v>481</v>
      </c>
      <c r="N61" t="b">
        <f t="shared" si="1"/>
        <v>0</v>
      </c>
      <c r="O61" s="123">
        <v>725</v>
      </c>
      <c r="P61" t="b">
        <f t="shared" si="2"/>
        <v>0</v>
      </c>
    </row>
    <row r="62" spans="1:16">
      <c r="A62" s="121">
        <v>61</v>
      </c>
      <c r="B62" s="185" t="s">
        <v>2176</v>
      </c>
      <c r="C62" s="187" t="s">
        <v>2271</v>
      </c>
      <c r="D62" s="122" t="s">
        <v>2265</v>
      </c>
      <c r="E62" s="124">
        <v>42938</v>
      </c>
      <c r="F62" s="124">
        <v>43005</v>
      </c>
      <c r="G62" s="123">
        <v>191</v>
      </c>
      <c r="H62" s="123">
        <v>775</v>
      </c>
      <c r="I62" s="123">
        <v>748</v>
      </c>
      <c r="J62" s="123">
        <v>200</v>
      </c>
      <c r="K62" s="123">
        <f t="shared" si="0"/>
        <v>67</v>
      </c>
      <c r="M62" s="123">
        <v>261</v>
      </c>
      <c r="N62" t="b">
        <f t="shared" si="1"/>
        <v>0</v>
      </c>
      <c r="O62" s="123">
        <v>721</v>
      </c>
      <c r="P62" t="b">
        <f t="shared" si="2"/>
        <v>0</v>
      </c>
    </row>
    <row r="63" spans="1:16">
      <c r="A63" s="121">
        <v>62</v>
      </c>
      <c r="B63" s="185" t="s">
        <v>2176</v>
      </c>
      <c r="C63" s="187" t="s">
        <v>2272</v>
      </c>
      <c r="D63" s="122" t="s">
        <v>2265</v>
      </c>
      <c r="E63" s="125" t="s">
        <v>2057</v>
      </c>
      <c r="F63" s="124" t="s">
        <v>2057</v>
      </c>
      <c r="G63" s="125" t="s">
        <v>2057</v>
      </c>
      <c r="H63" s="125" t="s">
        <v>2057</v>
      </c>
      <c r="I63" s="125" t="s">
        <v>2057</v>
      </c>
      <c r="J63" s="125" t="s">
        <v>2057</v>
      </c>
      <c r="K63" s="123" t="str">
        <f t="shared" si="0"/>
        <v/>
      </c>
      <c r="M63" s="123">
        <v>152</v>
      </c>
      <c r="N63" t="b">
        <f t="shared" si="1"/>
        <v>0</v>
      </c>
      <c r="O63" s="123">
        <v>763</v>
      </c>
      <c r="P63" t="b">
        <f t="shared" si="2"/>
        <v>0</v>
      </c>
    </row>
    <row r="64" spans="1:16">
      <c r="A64" s="121">
        <v>63</v>
      </c>
      <c r="B64" s="185" t="s">
        <v>2176</v>
      </c>
      <c r="C64" s="187" t="s">
        <v>2274</v>
      </c>
      <c r="D64" s="122" t="s">
        <v>2265</v>
      </c>
      <c r="E64" s="124">
        <v>42938</v>
      </c>
      <c r="F64" s="124">
        <v>43005</v>
      </c>
      <c r="G64" s="123">
        <v>49</v>
      </c>
      <c r="H64" s="123">
        <v>733</v>
      </c>
      <c r="I64" s="123">
        <v>629</v>
      </c>
      <c r="J64" s="123">
        <v>713</v>
      </c>
      <c r="K64" s="123">
        <f t="shared" si="0"/>
        <v>67</v>
      </c>
      <c r="M64" s="123">
        <v>191</v>
      </c>
      <c r="N64" t="b">
        <f t="shared" si="1"/>
        <v>0</v>
      </c>
      <c r="O64" s="123">
        <v>775</v>
      </c>
      <c r="P64" t="b">
        <f t="shared" si="2"/>
        <v>0</v>
      </c>
    </row>
    <row r="65" spans="1:16">
      <c r="A65" s="121">
        <v>64</v>
      </c>
      <c r="B65" s="185" t="s">
        <v>2176</v>
      </c>
      <c r="C65" s="187" t="s">
        <v>2275</v>
      </c>
      <c r="D65" s="122" t="s">
        <v>2265</v>
      </c>
      <c r="E65" s="124">
        <v>42938</v>
      </c>
      <c r="F65" s="124">
        <v>43005</v>
      </c>
      <c r="G65" s="129">
        <v>347</v>
      </c>
      <c r="H65" s="123">
        <v>765</v>
      </c>
      <c r="I65" s="123">
        <v>84</v>
      </c>
      <c r="J65" s="129">
        <v>237</v>
      </c>
      <c r="K65" s="123">
        <f t="shared" si="0"/>
        <v>67</v>
      </c>
      <c r="M65" s="125" t="s">
        <v>2057</v>
      </c>
      <c r="N65" t="b">
        <f t="shared" si="1"/>
        <v>1</v>
      </c>
      <c r="O65" s="125" t="s">
        <v>2057</v>
      </c>
      <c r="P65" t="b">
        <f t="shared" si="2"/>
        <v>1</v>
      </c>
    </row>
    <row r="66" spans="1:16">
      <c r="A66" s="121">
        <v>65</v>
      </c>
      <c r="B66" s="185" t="s">
        <v>2276</v>
      </c>
      <c r="C66" s="185" t="s">
        <v>2277</v>
      </c>
      <c r="D66" s="122" t="s">
        <v>2278</v>
      </c>
      <c r="E66" s="124">
        <v>42937</v>
      </c>
      <c r="F66" s="124">
        <v>43005</v>
      </c>
      <c r="G66" s="123">
        <v>495</v>
      </c>
      <c r="H66" s="123">
        <v>731</v>
      </c>
      <c r="I66" s="164">
        <v>586</v>
      </c>
      <c r="J66" s="164">
        <v>654</v>
      </c>
      <c r="K66" s="123">
        <f t="shared" si="0"/>
        <v>68</v>
      </c>
      <c r="M66" s="123">
        <v>49</v>
      </c>
      <c r="N66" t="b">
        <f t="shared" si="1"/>
        <v>0</v>
      </c>
      <c r="O66" s="123">
        <v>733</v>
      </c>
      <c r="P66" t="b">
        <f t="shared" si="2"/>
        <v>0</v>
      </c>
    </row>
    <row r="67" spans="1:16">
      <c r="A67" s="121">
        <v>66</v>
      </c>
      <c r="B67" s="185" t="s">
        <v>2276</v>
      </c>
      <c r="C67" s="185" t="s">
        <v>2279</v>
      </c>
      <c r="D67" s="122" t="s">
        <v>2278</v>
      </c>
      <c r="E67" s="124">
        <v>42937</v>
      </c>
      <c r="F67" s="124">
        <v>43005</v>
      </c>
      <c r="G67" s="123">
        <v>247</v>
      </c>
      <c r="H67" s="123">
        <v>816</v>
      </c>
      <c r="I67" s="123">
        <v>851</v>
      </c>
      <c r="J67" s="123">
        <v>634</v>
      </c>
      <c r="K67" s="123">
        <f t="shared" ref="K67:K130" si="3">IFERROR(F67-E67,"")</f>
        <v>68</v>
      </c>
      <c r="M67" s="165">
        <v>347</v>
      </c>
      <c r="N67" t="b">
        <f t="shared" si="1"/>
        <v>1</v>
      </c>
      <c r="O67" s="123">
        <v>765</v>
      </c>
      <c r="P67" t="b">
        <f t="shared" si="2"/>
        <v>0</v>
      </c>
    </row>
    <row r="68" spans="1:16">
      <c r="A68" s="121">
        <v>67</v>
      </c>
      <c r="B68" s="185" t="s">
        <v>2276</v>
      </c>
      <c r="C68" s="185" t="s">
        <v>2280</v>
      </c>
      <c r="D68" s="122" t="s">
        <v>2278</v>
      </c>
      <c r="E68" s="125" t="s">
        <v>2519</v>
      </c>
      <c r="F68" s="124" t="s">
        <v>2057</v>
      </c>
      <c r="G68" s="125" t="s">
        <v>2519</v>
      </c>
      <c r="H68" s="125" t="s">
        <v>2519</v>
      </c>
      <c r="I68" s="125" t="s">
        <v>2519</v>
      </c>
      <c r="J68" s="125" t="s">
        <v>2519</v>
      </c>
      <c r="K68" s="123" t="str">
        <f t="shared" si="3"/>
        <v/>
      </c>
      <c r="M68" s="123">
        <v>495</v>
      </c>
      <c r="N68" t="b">
        <f t="shared" ref="N68:N131" si="4">COUNTIF($M$4:$M$443, M68)&gt;1</f>
        <v>0</v>
      </c>
      <c r="O68" s="123">
        <v>731</v>
      </c>
      <c r="P68" t="b">
        <f t="shared" si="2"/>
        <v>0</v>
      </c>
    </row>
    <row r="69" spans="1:16">
      <c r="A69" s="121">
        <v>68</v>
      </c>
      <c r="B69" s="185" t="s">
        <v>2276</v>
      </c>
      <c r="C69" s="185" t="s">
        <v>2281</v>
      </c>
      <c r="D69" s="122" t="s">
        <v>2278</v>
      </c>
      <c r="E69" s="124">
        <v>42937</v>
      </c>
      <c r="F69" s="124">
        <v>43005</v>
      </c>
      <c r="G69" s="123">
        <v>63</v>
      </c>
      <c r="H69" s="123">
        <v>815</v>
      </c>
      <c r="I69" s="123">
        <v>467</v>
      </c>
      <c r="J69" s="123">
        <v>201</v>
      </c>
      <c r="K69" s="123">
        <f t="shared" si="3"/>
        <v>68</v>
      </c>
      <c r="M69" s="123">
        <v>247</v>
      </c>
      <c r="N69" t="b">
        <f t="shared" si="4"/>
        <v>0</v>
      </c>
      <c r="O69" s="123">
        <v>816</v>
      </c>
      <c r="P69" t="b">
        <f t="shared" ref="P69:P132" si="5">COUNTIF($O$4:$O$443, O69)&gt;1</f>
        <v>0</v>
      </c>
    </row>
    <row r="70" spans="1:16">
      <c r="A70" s="121">
        <v>69</v>
      </c>
      <c r="B70" s="185" t="s">
        <v>2276</v>
      </c>
      <c r="C70" s="185" t="s">
        <v>2282</v>
      </c>
      <c r="D70" s="122" t="s">
        <v>2278</v>
      </c>
      <c r="E70" s="124">
        <v>42937</v>
      </c>
      <c r="F70" s="124">
        <v>43006</v>
      </c>
      <c r="G70" s="123">
        <v>382</v>
      </c>
      <c r="H70" s="123">
        <v>741</v>
      </c>
      <c r="I70" s="123">
        <v>766</v>
      </c>
      <c r="J70" s="123">
        <v>174</v>
      </c>
      <c r="K70" s="123">
        <f t="shared" si="3"/>
        <v>69</v>
      </c>
      <c r="M70" s="125" t="s">
        <v>2519</v>
      </c>
      <c r="N70" t="b">
        <f t="shared" si="4"/>
        <v>1</v>
      </c>
      <c r="O70" s="125" t="s">
        <v>2519</v>
      </c>
      <c r="P70" t="b">
        <f t="shared" si="5"/>
        <v>1</v>
      </c>
    </row>
    <row r="71" spans="1:16">
      <c r="A71" s="121">
        <v>70</v>
      </c>
      <c r="B71" s="185" t="s">
        <v>2276</v>
      </c>
      <c r="C71" s="185" t="s">
        <v>2283</v>
      </c>
      <c r="D71" s="122" t="s">
        <v>2278</v>
      </c>
      <c r="E71" s="124">
        <v>42937</v>
      </c>
      <c r="F71" s="124">
        <v>43006</v>
      </c>
      <c r="G71" s="123">
        <v>278</v>
      </c>
      <c r="H71" s="123">
        <v>294</v>
      </c>
      <c r="I71" s="129">
        <v>430</v>
      </c>
      <c r="J71" s="123">
        <v>261</v>
      </c>
      <c r="K71" s="123">
        <f t="shared" si="3"/>
        <v>69</v>
      </c>
      <c r="M71" s="123">
        <v>63</v>
      </c>
      <c r="N71" t="b">
        <f t="shared" si="4"/>
        <v>0</v>
      </c>
      <c r="O71" s="123">
        <v>815</v>
      </c>
      <c r="P71" t="b">
        <f t="shared" si="5"/>
        <v>0</v>
      </c>
    </row>
    <row r="72" spans="1:16">
      <c r="A72" s="121">
        <v>71</v>
      </c>
      <c r="B72" s="185" t="s">
        <v>2276</v>
      </c>
      <c r="C72" s="185" t="s">
        <v>2284</v>
      </c>
      <c r="D72" s="122" t="s">
        <v>2278</v>
      </c>
      <c r="E72" s="124">
        <v>42937</v>
      </c>
      <c r="F72" s="124">
        <v>43006</v>
      </c>
      <c r="G72" s="123">
        <v>138</v>
      </c>
      <c r="H72" s="123">
        <v>761</v>
      </c>
      <c r="I72" s="123">
        <v>174</v>
      </c>
      <c r="J72" s="123">
        <v>203</v>
      </c>
      <c r="K72" s="123">
        <f t="shared" si="3"/>
        <v>69</v>
      </c>
      <c r="M72" s="123">
        <v>382</v>
      </c>
      <c r="N72" t="b">
        <f t="shared" si="4"/>
        <v>0</v>
      </c>
      <c r="O72" s="123">
        <v>741</v>
      </c>
      <c r="P72" t="b">
        <f t="shared" si="5"/>
        <v>0</v>
      </c>
    </row>
    <row r="73" spans="1:16">
      <c r="A73" s="121">
        <v>72</v>
      </c>
      <c r="B73" s="185" t="s">
        <v>2276</v>
      </c>
      <c r="C73" s="185" t="s">
        <v>2285</v>
      </c>
      <c r="D73" s="122" t="s">
        <v>2278</v>
      </c>
      <c r="E73" s="124">
        <v>42937</v>
      </c>
      <c r="F73" s="124">
        <v>43006</v>
      </c>
      <c r="G73" s="123">
        <v>431</v>
      </c>
      <c r="H73" s="123">
        <v>780</v>
      </c>
      <c r="I73" s="123">
        <v>714</v>
      </c>
      <c r="J73" s="123">
        <v>191</v>
      </c>
      <c r="K73" s="123">
        <f t="shared" si="3"/>
        <v>69</v>
      </c>
      <c r="M73" s="123">
        <v>278</v>
      </c>
      <c r="N73" t="b">
        <f t="shared" si="4"/>
        <v>0</v>
      </c>
      <c r="O73" s="123">
        <v>294</v>
      </c>
      <c r="P73" t="b">
        <f t="shared" si="5"/>
        <v>0</v>
      </c>
    </row>
    <row r="74" spans="1:16">
      <c r="A74" s="121">
        <v>73</v>
      </c>
      <c r="B74" s="185" t="s">
        <v>2276</v>
      </c>
      <c r="C74" s="185" t="s">
        <v>2286</v>
      </c>
      <c r="D74" s="122" t="s">
        <v>2287</v>
      </c>
      <c r="E74" s="124">
        <v>42937</v>
      </c>
      <c r="F74" s="124">
        <v>43006</v>
      </c>
      <c r="G74" s="123">
        <v>321</v>
      </c>
      <c r="H74" s="123">
        <v>730</v>
      </c>
      <c r="I74" s="123">
        <v>726</v>
      </c>
      <c r="J74" s="123">
        <v>160</v>
      </c>
      <c r="K74" s="123">
        <f t="shared" si="3"/>
        <v>69</v>
      </c>
      <c r="M74" s="123">
        <v>138</v>
      </c>
      <c r="N74" t="b">
        <f t="shared" si="4"/>
        <v>0</v>
      </c>
      <c r="O74" s="123">
        <v>761</v>
      </c>
      <c r="P74" t="b">
        <f t="shared" si="5"/>
        <v>0</v>
      </c>
    </row>
    <row r="75" spans="1:16">
      <c r="A75" s="121">
        <v>74</v>
      </c>
      <c r="B75" s="185" t="s">
        <v>2276</v>
      </c>
      <c r="C75" s="185" t="s">
        <v>2288</v>
      </c>
      <c r="D75" s="122" t="s">
        <v>2287</v>
      </c>
      <c r="E75" s="124">
        <v>42937</v>
      </c>
      <c r="F75" s="124">
        <v>43006</v>
      </c>
      <c r="G75" s="123">
        <v>329</v>
      </c>
      <c r="H75" s="123">
        <v>825</v>
      </c>
      <c r="I75" s="123">
        <v>866</v>
      </c>
      <c r="J75" s="123">
        <v>275</v>
      </c>
      <c r="K75" s="123">
        <f t="shared" si="3"/>
        <v>69</v>
      </c>
      <c r="M75" s="123">
        <v>431</v>
      </c>
      <c r="N75" t="b">
        <f t="shared" si="4"/>
        <v>0</v>
      </c>
      <c r="O75" s="123">
        <v>780</v>
      </c>
      <c r="P75" t="b">
        <f t="shared" si="5"/>
        <v>0</v>
      </c>
    </row>
    <row r="76" spans="1:16">
      <c r="A76" s="121">
        <v>75</v>
      </c>
      <c r="B76" s="185" t="s">
        <v>2276</v>
      </c>
      <c r="C76" s="185" t="s">
        <v>2289</v>
      </c>
      <c r="D76" s="122" t="s">
        <v>2287</v>
      </c>
      <c r="E76" s="124">
        <v>42937</v>
      </c>
      <c r="F76" s="124">
        <v>43006</v>
      </c>
      <c r="G76" s="123">
        <v>215</v>
      </c>
      <c r="H76" s="123">
        <v>840</v>
      </c>
      <c r="I76" s="123">
        <v>705</v>
      </c>
      <c r="J76" s="123">
        <v>657</v>
      </c>
      <c r="K76" s="123">
        <f t="shared" si="3"/>
        <v>69</v>
      </c>
      <c r="M76" s="123">
        <v>321</v>
      </c>
      <c r="N76" t="b">
        <f t="shared" si="4"/>
        <v>0</v>
      </c>
      <c r="O76" s="123">
        <v>730</v>
      </c>
      <c r="P76" t="b">
        <f t="shared" si="5"/>
        <v>0</v>
      </c>
    </row>
    <row r="77" spans="1:16">
      <c r="A77" s="121">
        <v>76</v>
      </c>
      <c r="B77" s="185" t="s">
        <v>2276</v>
      </c>
      <c r="C77" s="185" t="s">
        <v>2290</v>
      </c>
      <c r="D77" s="122" t="s">
        <v>2287</v>
      </c>
      <c r="E77" s="124">
        <v>42937</v>
      </c>
      <c r="F77" s="124">
        <v>43006</v>
      </c>
      <c r="G77" s="132">
        <v>60</v>
      </c>
      <c r="H77" s="123">
        <v>770</v>
      </c>
      <c r="I77" s="123">
        <v>601</v>
      </c>
      <c r="J77" s="123">
        <v>306</v>
      </c>
      <c r="K77" s="123">
        <f t="shared" si="3"/>
        <v>69</v>
      </c>
      <c r="M77" s="123">
        <v>329</v>
      </c>
      <c r="N77" t="b">
        <f t="shared" si="4"/>
        <v>0</v>
      </c>
      <c r="O77" s="123">
        <v>825</v>
      </c>
      <c r="P77" t="b">
        <f t="shared" si="5"/>
        <v>0</v>
      </c>
    </row>
    <row r="78" spans="1:16">
      <c r="A78" s="121">
        <v>77</v>
      </c>
      <c r="B78" s="185" t="s">
        <v>2276</v>
      </c>
      <c r="C78" s="185" t="s">
        <v>2291</v>
      </c>
      <c r="D78" s="122" t="s">
        <v>2287</v>
      </c>
      <c r="E78" s="123" t="s">
        <v>2057</v>
      </c>
      <c r="F78" s="123" t="s">
        <v>2057</v>
      </c>
      <c r="G78" s="123" t="s">
        <v>2057</v>
      </c>
      <c r="H78" s="123" t="s">
        <v>2057</v>
      </c>
      <c r="I78" s="123" t="s">
        <v>2057</v>
      </c>
      <c r="J78" s="123" t="s">
        <v>2057</v>
      </c>
      <c r="K78" s="123" t="str">
        <f t="shared" si="3"/>
        <v/>
      </c>
      <c r="M78" s="123">
        <v>215</v>
      </c>
      <c r="N78" t="b">
        <f t="shared" si="4"/>
        <v>0</v>
      </c>
      <c r="O78" s="123">
        <v>840</v>
      </c>
      <c r="P78" t="b">
        <f t="shared" si="5"/>
        <v>0</v>
      </c>
    </row>
    <row r="79" spans="1:16">
      <c r="A79" s="121">
        <v>78</v>
      </c>
      <c r="B79" s="185" t="s">
        <v>2276</v>
      </c>
      <c r="C79" s="185" t="s">
        <v>2292</v>
      </c>
      <c r="D79" s="122" t="s">
        <v>2287</v>
      </c>
      <c r="E79" s="124">
        <v>42937</v>
      </c>
      <c r="F79" s="124">
        <v>43006</v>
      </c>
      <c r="G79" s="123">
        <v>97</v>
      </c>
      <c r="H79" s="123">
        <v>696</v>
      </c>
      <c r="I79" s="123">
        <v>157</v>
      </c>
      <c r="J79" s="123">
        <v>377</v>
      </c>
      <c r="K79" s="123">
        <f t="shared" si="3"/>
        <v>69</v>
      </c>
      <c r="M79" s="132">
        <v>60</v>
      </c>
      <c r="N79" t="b">
        <f t="shared" si="4"/>
        <v>0</v>
      </c>
      <c r="O79" s="123">
        <v>770</v>
      </c>
      <c r="P79" t="b">
        <f t="shared" si="5"/>
        <v>0</v>
      </c>
    </row>
    <row r="80" spans="1:16">
      <c r="A80" s="121">
        <v>79</v>
      </c>
      <c r="B80" s="185" t="s">
        <v>2276</v>
      </c>
      <c r="C80" s="185" t="s">
        <v>2293</v>
      </c>
      <c r="D80" s="122" t="s">
        <v>2287</v>
      </c>
      <c r="E80" s="124">
        <v>42937</v>
      </c>
      <c r="F80" s="124">
        <v>43006</v>
      </c>
      <c r="G80" s="123">
        <v>120</v>
      </c>
      <c r="H80" s="123">
        <v>270</v>
      </c>
      <c r="I80" s="123">
        <v>226</v>
      </c>
      <c r="J80" s="123">
        <v>61</v>
      </c>
      <c r="K80" s="123">
        <f t="shared" si="3"/>
        <v>69</v>
      </c>
      <c r="M80" s="123" t="s">
        <v>2057</v>
      </c>
      <c r="N80" t="b">
        <f t="shared" si="4"/>
        <v>1</v>
      </c>
      <c r="O80" s="123" t="s">
        <v>2057</v>
      </c>
      <c r="P80" t="b">
        <f t="shared" si="5"/>
        <v>1</v>
      </c>
    </row>
    <row r="81" spans="1:16">
      <c r="A81" s="121">
        <v>80</v>
      </c>
      <c r="B81" s="185" t="s">
        <v>2276</v>
      </c>
      <c r="C81" s="185" t="s">
        <v>2294</v>
      </c>
      <c r="D81" s="122" t="s">
        <v>2287</v>
      </c>
      <c r="E81" s="124">
        <v>42937</v>
      </c>
      <c r="F81" s="124">
        <v>43006</v>
      </c>
      <c r="G81" s="123">
        <v>24</v>
      </c>
      <c r="H81" s="123">
        <v>726</v>
      </c>
      <c r="I81" s="123">
        <v>855</v>
      </c>
      <c r="J81" s="129">
        <v>620</v>
      </c>
      <c r="K81" s="123">
        <f t="shared" si="3"/>
        <v>69</v>
      </c>
      <c r="M81" s="123">
        <v>97</v>
      </c>
      <c r="N81" t="b">
        <f t="shared" si="4"/>
        <v>0</v>
      </c>
      <c r="O81" s="123">
        <v>696</v>
      </c>
      <c r="P81" t="b">
        <f t="shared" si="5"/>
        <v>0</v>
      </c>
    </row>
    <row r="82" spans="1:16">
      <c r="A82" s="121">
        <v>81</v>
      </c>
      <c r="B82" s="185" t="s">
        <v>2276</v>
      </c>
      <c r="C82" s="185" t="s">
        <v>2295</v>
      </c>
      <c r="D82" s="122" t="s">
        <v>2296</v>
      </c>
      <c r="E82" s="124">
        <v>42937</v>
      </c>
      <c r="F82" s="124">
        <v>43006</v>
      </c>
      <c r="G82" s="123">
        <v>312</v>
      </c>
      <c r="H82" s="123">
        <v>739</v>
      </c>
      <c r="I82" s="123">
        <v>413</v>
      </c>
      <c r="J82" s="123">
        <v>366</v>
      </c>
      <c r="K82" s="123">
        <f t="shared" si="3"/>
        <v>69</v>
      </c>
      <c r="M82" s="165">
        <v>120</v>
      </c>
      <c r="N82" t="b">
        <f t="shared" si="4"/>
        <v>1</v>
      </c>
      <c r="O82" s="123">
        <v>270</v>
      </c>
      <c r="P82" t="b">
        <f t="shared" si="5"/>
        <v>0</v>
      </c>
    </row>
    <row r="83" spans="1:16">
      <c r="A83" s="121">
        <v>82</v>
      </c>
      <c r="B83" s="185" t="s">
        <v>2297</v>
      </c>
      <c r="C83" s="185" t="s">
        <v>2298</v>
      </c>
      <c r="D83" s="122" t="s">
        <v>2296</v>
      </c>
      <c r="E83" s="124">
        <v>42937</v>
      </c>
      <c r="F83" s="124">
        <v>43006</v>
      </c>
      <c r="G83" s="123">
        <v>356</v>
      </c>
      <c r="H83" s="123">
        <v>800</v>
      </c>
      <c r="I83" s="123">
        <v>370</v>
      </c>
      <c r="J83" s="123">
        <v>610</v>
      </c>
      <c r="K83" s="123">
        <f t="shared" si="3"/>
        <v>69</v>
      </c>
      <c r="M83" s="123">
        <v>24</v>
      </c>
      <c r="N83" t="b">
        <f t="shared" si="4"/>
        <v>0</v>
      </c>
      <c r="O83" s="123">
        <v>726</v>
      </c>
      <c r="P83" t="b">
        <f t="shared" si="5"/>
        <v>0</v>
      </c>
    </row>
    <row r="84" spans="1:16">
      <c r="A84" s="121">
        <v>83</v>
      </c>
      <c r="B84" s="185" t="s">
        <v>2297</v>
      </c>
      <c r="C84" s="185" t="s">
        <v>2299</v>
      </c>
      <c r="D84" s="122" t="s">
        <v>2296</v>
      </c>
      <c r="E84" s="124">
        <v>42937</v>
      </c>
      <c r="F84" s="124">
        <v>43006</v>
      </c>
      <c r="G84" s="123">
        <v>331</v>
      </c>
      <c r="H84" s="123">
        <v>764</v>
      </c>
      <c r="I84" s="123">
        <v>879</v>
      </c>
      <c r="J84" s="123">
        <v>614</v>
      </c>
      <c r="K84" s="123">
        <f t="shared" si="3"/>
        <v>69</v>
      </c>
      <c r="M84" s="123">
        <v>312</v>
      </c>
      <c r="N84" t="b">
        <f t="shared" si="4"/>
        <v>0</v>
      </c>
      <c r="O84" s="123">
        <v>739</v>
      </c>
      <c r="P84" t="b">
        <f t="shared" si="5"/>
        <v>0</v>
      </c>
    </row>
    <row r="85" spans="1:16">
      <c r="A85" s="121">
        <v>84</v>
      </c>
      <c r="B85" s="185" t="s">
        <v>2297</v>
      </c>
      <c r="C85" s="185" t="s">
        <v>2300</v>
      </c>
      <c r="D85" s="122" t="s">
        <v>2296</v>
      </c>
      <c r="E85" s="124">
        <v>42937</v>
      </c>
      <c r="F85" s="124">
        <v>43006</v>
      </c>
      <c r="G85" s="129">
        <v>101</v>
      </c>
      <c r="H85" s="123">
        <v>778</v>
      </c>
      <c r="I85" s="123">
        <v>854</v>
      </c>
      <c r="J85" s="123">
        <v>720</v>
      </c>
      <c r="K85" s="123">
        <f t="shared" si="3"/>
        <v>69</v>
      </c>
      <c r="M85" s="123">
        <v>356</v>
      </c>
      <c r="N85" t="b">
        <f t="shared" si="4"/>
        <v>0</v>
      </c>
      <c r="O85" s="123">
        <v>800</v>
      </c>
      <c r="P85" t="b">
        <f t="shared" si="5"/>
        <v>0</v>
      </c>
    </row>
    <row r="86" spans="1:16">
      <c r="A86" s="121">
        <v>85</v>
      </c>
      <c r="B86" s="185" t="s">
        <v>2297</v>
      </c>
      <c r="C86" s="185" t="s">
        <v>2301</v>
      </c>
      <c r="D86" s="122" t="s">
        <v>2296</v>
      </c>
      <c r="E86" s="123" t="s">
        <v>2057</v>
      </c>
      <c r="F86" s="123" t="s">
        <v>2057</v>
      </c>
      <c r="G86" s="123" t="s">
        <v>2057</v>
      </c>
      <c r="H86" s="123" t="s">
        <v>2057</v>
      </c>
      <c r="I86" s="123" t="s">
        <v>2057</v>
      </c>
      <c r="J86" s="123" t="s">
        <v>2057</v>
      </c>
      <c r="K86" s="123" t="str">
        <f t="shared" si="3"/>
        <v/>
      </c>
      <c r="M86" s="123">
        <v>331</v>
      </c>
      <c r="N86" t="b">
        <f t="shared" si="4"/>
        <v>0</v>
      </c>
      <c r="O86" s="123">
        <v>764</v>
      </c>
      <c r="P86" t="b">
        <f t="shared" si="5"/>
        <v>0</v>
      </c>
    </row>
    <row r="87" spans="1:16">
      <c r="A87" s="121">
        <v>86</v>
      </c>
      <c r="B87" s="185" t="s">
        <v>2297</v>
      </c>
      <c r="C87" s="185" t="s">
        <v>2302</v>
      </c>
      <c r="D87" s="122" t="s">
        <v>2296</v>
      </c>
      <c r="E87" s="124">
        <v>42937</v>
      </c>
      <c r="F87" s="124">
        <v>43006</v>
      </c>
      <c r="G87" s="123">
        <v>31</v>
      </c>
      <c r="H87" s="123">
        <v>738</v>
      </c>
      <c r="I87" s="123">
        <v>788</v>
      </c>
      <c r="J87" s="123">
        <v>643</v>
      </c>
      <c r="K87" s="123">
        <f t="shared" si="3"/>
        <v>69</v>
      </c>
      <c r="M87" s="129">
        <v>101</v>
      </c>
      <c r="N87" t="b">
        <f t="shared" si="4"/>
        <v>0</v>
      </c>
      <c r="O87" s="123">
        <v>778</v>
      </c>
      <c r="P87" t="b">
        <f t="shared" si="5"/>
        <v>0</v>
      </c>
    </row>
    <row r="88" spans="1:16">
      <c r="A88" s="121">
        <v>87</v>
      </c>
      <c r="B88" s="185" t="s">
        <v>2297</v>
      </c>
      <c r="C88" s="185" t="s">
        <v>2303</v>
      </c>
      <c r="D88" s="122" t="s">
        <v>2296</v>
      </c>
      <c r="E88" s="124">
        <v>42937</v>
      </c>
      <c r="F88" s="124">
        <v>43006</v>
      </c>
      <c r="G88" s="123">
        <v>220</v>
      </c>
      <c r="H88" s="123">
        <v>394</v>
      </c>
      <c r="I88" s="123">
        <v>91</v>
      </c>
      <c r="J88" s="123">
        <v>277</v>
      </c>
      <c r="K88" s="123">
        <f t="shared" si="3"/>
        <v>69</v>
      </c>
      <c r="M88" s="123" t="s">
        <v>2057</v>
      </c>
      <c r="N88" t="b">
        <f t="shared" si="4"/>
        <v>1</v>
      </c>
      <c r="O88" s="123" t="s">
        <v>2057</v>
      </c>
      <c r="P88" t="b">
        <f t="shared" si="5"/>
        <v>1</v>
      </c>
    </row>
    <row r="89" spans="1:16">
      <c r="A89" s="121">
        <v>88</v>
      </c>
      <c r="B89" s="185" t="s">
        <v>2297</v>
      </c>
      <c r="C89" s="185" t="s">
        <v>2304</v>
      </c>
      <c r="D89" s="122" t="s">
        <v>2296</v>
      </c>
      <c r="E89" s="124">
        <v>42937</v>
      </c>
      <c r="F89" s="124">
        <v>43006</v>
      </c>
      <c r="G89" s="123">
        <v>531</v>
      </c>
      <c r="H89" s="123">
        <v>819</v>
      </c>
      <c r="I89" s="123">
        <v>364</v>
      </c>
      <c r="J89" s="123">
        <v>197</v>
      </c>
      <c r="K89" s="123">
        <f t="shared" si="3"/>
        <v>69</v>
      </c>
      <c r="M89" s="123">
        <v>31</v>
      </c>
      <c r="N89" t="b">
        <f t="shared" si="4"/>
        <v>0</v>
      </c>
      <c r="O89" s="123">
        <v>738</v>
      </c>
      <c r="P89" t="b">
        <f t="shared" si="5"/>
        <v>0</v>
      </c>
    </row>
    <row r="90" spans="1:16">
      <c r="A90" s="121">
        <v>89</v>
      </c>
      <c r="B90" s="185" t="s">
        <v>2297</v>
      </c>
      <c r="C90" s="185" t="s">
        <v>2305</v>
      </c>
      <c r="D90" s="122" t="s">
        <v>2306</v>
      </c>
      <c r="E90" s="124">
        <v>42937</v>
      </c>
      <c r="F90" s="124">
        <v>43006</v>
      </c>
      <c r="G90" s="123">
        <v>35</v>
      </c>
      <c r="H90" s="123">
        <v>818</v>
      </c>
      <c r="I90" s="123">
        <v>862</v>
      </c>
      <c r="J90" s="123">
        <v>601</v>
      </c>
      <c r="K90" s="123">
        <f t="shared" si="3"/>
        <v>69</v>
      </c>
      <c r="M90" s="123">
        <v>220</v>
      </c>
      <c r="N90" t="b">
        <f t="shared" si="4"/>
        <v>0</v>
      </c>
      <c r="O90" s="123">
        <v>394</v>
      </c>
      <c r="P90" t="b">
        <f t="shared" si="5"/>
        <v>0</v>
      </c>
    </row>
    <row r="91" spans="1:16">
      <c r="A91" s="121">
        <v>90</v>
      </c>
      <c r="B91" s="185" t="s">
        <v>2297</v>
      </c>
      <c r="C91" s="185" t="s">
        <v>2307</v>
      </c>
      <c r="D91" s="122" t="s">
        <v>2306</v>
      </c>
      <c r="E91" s="124">
        <v>42937</v>
      </c>
      <c r="F91" s="124">
        <v>43006</v>
      </c>
      <c r="G91" s="123">
        <v>264</v>
      </c>
      <c r="H91" s="123">
        <v>767</v>
      </c>
      <c r="I91" s="123">
        <v>330</v>
      </c>
      <c r="J91" s="123">
        <v>220</v>
      </c>
      <c r="K91" s="123">
        <f t="shared" si="3"/>
        <v>69</v>
      </c>
      <c r="M91" s="123">
        <v>531</v>
      </c>
      <c r="N91" t="b">
        <f t="shared" si="4"/>
        <v>0</v>
      </c>
      <c r="O91" s="165">
        <v>819</v>
      </c>
      <c r="P91" t="b">
        <f t="shared" si="5"/>
        <v>1</v>
      </c>
    </row>
    <row r="92" spans="1:16">
      <c r="A92" s="121">
        <v>91</v>
      </c>
      <c r="B92" s="185" t="s">
        <v>2297</v>
      </c>
      <c r="C92" s="185" t="s">
        <v>2308</v>
      </c>
      <c r="D92" s="122" t="s">
        <v>2306</v>
      </c>
      <c r="E92" s="124">
        <v>42937</v>
      </c>
      <c r="F92" s="124">
        <v>43006</v>
      </c>
      <c r="G92" s="123">
        <v>13</v>
      </c>
      <c r="H92" s="123">
        <v>787</v>
      </c>
      <c r="I92" s="123">
        <v>596</v>
      </c>
      <c r="J92" s="123">
        <v>659</v>
      </c>
      <c r="K92" s="123">
        <f t="shared" si="3"/>
        <v>69</v>
      </c>
      <c r="M92" s="123">
        <v>35</v>
      </c>
      <c r="N92" t="b">
        <f t="shared" si="4"/>
        <v>0</v>
      </c>
      <c r="O92" s="123">
        <v>818</v>
      </c>
      <c r="P92" t="b">
        <f t="shared" si="5"/>
        <v>0</v>
      </c>
    </row>
    <row r="93" spans="1:16">
      <c r="A93" s="121">
        <v>92</v>
      </c>
      <c r="B93" s="185" t="s">
        <v>2297</v>
      </c>
      <c r="C93" s="185" t="s">
        <v>2309</v>
      </c>
      <c r="D93" s="122" t="s">
        <v>2306</v>
      </c>
      <c r="E93" s="124">
        <v>42937</v>
      </c>
      <c r="F93" s="124">
        <v>43006</v>
      </c>
      <c r="G93" s="123">
        <v>324</v>
      </c>
      <c r="H93" s="123">
        <v>812</v>
      </c>
      <c r="I93" s="123">
        <v>380</v>
      </c>
      <c r="J93" s="129">
        <v>619</v>
      </c>
      <c r="K93" s="123">
        <f t="shared" si="3"/>
        <v>69</v>
      </c>
      <c r="M93" s="123">
        <v>264</v>
      </c>
      <c r="N93" t="b">
        <f t="shared" si="4"/>
        <v>0</v>
      </c>
      <c r="O93" s="123">
        <v>767</v>
      </c>
      <c r="P93" t="b">
        <f t="shared" si="5"/>
        <v>0</v>
      </c>
    </row>
    <row r="94" spans="1:16">
      <c r="A94" s="121">
        <v>93</v>
      </c>
      <c r="B94" s="185" t="s">
        <v>2297</v>
      </c>
      <c r="C94" s="185" t="s">
        <v>2310</v>
      </c>
      <c r="D94" s="122" t="s">
        <v>2306</v>
      </c>
      <c r="E94" s="124">
        <v>42937</v>
      </c>
      <c r="F94" s="124">
        <v>43006</v>
      </c>
      <c r="G94" s="123">
        <v>99</v>
      </c>
      <c r="H94" s="123">
        <v>675</v>
      </c>
      <c r="I94" s="123">
        <v>872</v>
      </c>
      <c r="J94" s="123">
        <v>106</v>
      </c>
      <c r="K94" s="123">
        <f t="shared" si="3"/>
        <v>69</v>
      </c>
      <c r="M94" s="123">
        <v>13</v>
      </c>
      <c r="N94" t="b">
        <f t="shared" si="4"/>
        <v>0</v>
      </c>
      <c r="O94" s="123">
        <v>787</v>
      </c>
      <c r="P94" t="b">
        <f t="shared" si="5"/>
        <v>0</v>
      </c>
    </row>
    <row r="95" spans="1:16">
      <c r="A95" s="121">
        <v>94</v>
      </c>
      <c r="B95" s="185" t="s">
        <v>2297</v>
      </c>
      <c r="C95" s="185" t="s">
        <v>2311</v>
      </c>
      <c r="D95" s="122" t="s">
        <v>2306</v>
      </c>
      <c r="E95" s="123" t="s">
        <v>2057</v>
      </c>
      <c r="F95" s="123" t="s">
        <v>2057</v>
      </c>
      <c r="G95" s="123" t="s">
        <v>2057</v>
      </c>
      <c r="H95" s="123" t="s">
        <v>2057</v>
      </c>
      <c r="I95" s="123" t="s">
        <v>2057</v>
      </c>
      <c r="J95" s="123" t="s">
        <v>2057</v>
      </c>
      <c r="K95" s="123" t="str">
        <f t="shared" si="3"/>
        <v/>
      </c>
      <c r="M95" s="123">
        <v>324</v>
      </c>
      <c r="N95" t="b">
        <f t="shared" si="4"/>
        <v>0</v>
      </c>
      <c r="O95" s="123">
        <v>812</v>
      </c>
      <c r="P95" t="b">
        <f t="shared" si="5"/>
        <v>0</v>
      </c>
    </row>
    <row r="96" spans="1:16">
      <c r="A96" s="121">
        <v>95</v>
      </c>
      <c r="B96" s="185" t="s">
        <v>2297</v>
      </c>
      <c r="C96" s="185" t="s">
        <v>2312</v>
      </c>
      <c r="D96" s="122" t="s">
        <v>2306</v>
      </c>
      <c r="E96" s="124">
        <v>42937</v>
      </c>
      <c r="F96" s="124">
        <v>43006</v>
      </c>
      <c r="G96" s="123">
        <v>126</v>
      </c>
      <c r="H96" s="123">
        <v>794</v>
      </c>
      <c r="I96" s="123">
        <v>844</v>
      </c>
      <c r="J96" s="123">
        <v>233</v>
      </c>
      <c r="K96" s="123">
        <f t="shared" si="3"/>
        <v>69</v>
      </c>
      <c r="M96" s="123">
        <v>99</v>
      </c>
      <c r="N96" t="b">
        <f t="shared" si="4"/>
        <v>0</v>
      </c>
      <c r="O96" s="123">
        <v>675</v>
      </c>
      <c r="P96" t="b">
        <f t="shared" si="5"/>
        <v>0</v>
      </c>
    </row>
    <row r="97" spans="1:16">
      <c r="A97" s="121">
        <v>96</v>
      </c>
      <c r="B97" s="185" t="s">
        <v>2297</v>
      </c>
      <c r="C97" s="185" t="s">
        <v>2313</v>
      </c>
      <c r="D97" s="122" t="s">
        <v>2306</v>
      </c>
      <c r="E97" s="124">
        <v>42937</v>
      </c>
      <c r="F97" s="124">
        <v>43006</v>
      </c>
      <c r="G97" s="123">
        <v>244</v>
      </c>
      <c r="H97" s="123">
        <v>737</v>
      </c>
      <c r="I97" s="123">
        <v>372</v>
      </c>
      <c r="J97" s="123">
        <v>698</v>
      </c>
      <c r="K97" s="123">
        <f t="shared" si="3"/>
        <v>69</v>
      </c>
      <c r="M97" s="123" t="s">
        <v>2057</v>
      </c>
      <c r="N97" t="b">
        <f t="shared" si="4"/>
        <v>1</v>
      </c>
      <c r="O97" s="123" t="s">
        <v>2057</v>
      </c>
      <c r="P97" t="b">
        <f t="shared" si="5"/>
        <v>1</v>
      </c>
    </row>
    <row r="98" spans="1:16">
      <c r="A98" s="121">
        <v>97</v>
      </c>
      <c r="B98" s="185" t="s">
        <v>2314</v>
      </c>
      <c r="C98" s="185" t="s">
        <v>2315</v>
      </c>
      <c r="D98" s="122" t="s">
        <v>2178</v>
      </c>
      <c r="E98" s="124">
        <v>42939</v>
      </c>
      <c r="F98" s="124">
        <v>43010</v>
      </c>
      <c r="G98" s="123">
        <v>432</v>
      </c>
      <c r="H98" s="123">
        <v>801</v>
      </c>
      <c r="I98" s="123">
        <v>3</v>
      </c>
      <c r="J98" s="123">
        <v>47</v>
      </c>
      <c r="K98" s="123">
        <f t="shared" si="3"/>
        <v>71</v>
      </c>
      <c r="M98" s="123">
        <v>126</v>
      </c>
      <c r="N98" t="b">
        <f t="shared" si="4"/>
        <v>0</v>
      </c>
      <c r="O98" s="123">
        <v>794</v>
      </c>
      <c r="P98" t="b">
        <f t="shared" si="5"/>
        <v>0</v>
      </c>
    </row>
    <row r="99" spans="1:16">
      <c r="A99" s="121">
        <v>98</v>
      </c>
      <c r="B99" s="185" t="s">
        <v>2314</v>
      </c>
      <c r="C99" s="185" t="s">
        <v>2316</v>
      </c>
      <c r="D99" s="122" t="s">
        <v>2178</v>
      </c>
      <c r="E99" s="124">
        <v>42939</v>
      </c>
      <c r="F99" s="124">
        <v>43010</v>
      </c>
      <c r="G99" s="123">
        <v>184</v>
      </c>
      <c r="H99" s="123">
        <v>808</v>
      </c>
      <c r="I99" s="123">
        <v>25</v>
      </c>
      <c r="J99" s="123">
        <v>707</v>
      </c>
      <c r="K99" s="123">
        <f t="shared" si="3"/>
        <v>71</v>
      </c>
      <c r="M99" s="123">
        <v>244</v>
      </c>
      <c r="N99" t="b">
        <f t="shared" si="4"/>
        <v>0</v>
      </c>
      <c r="O99" s="123">
        <v>737</v>
      </c>
      <c r="P99" t="b">
        <f t="shared" si="5"/>
        <v>0</v>
      </c>
    </row>
    <row r="100" spans="1:16">
      <c r="A100" s="121">
        <v>99</v>
      </c>
      <c r="B100" s="185" t="s">
        <v>2314</v>
      </c>
      <c r="C100" s="185" t="s">
        <v>2317</v>
      </c>
      <c r="D100" s="122" t="s">
        <v>2178</v>
      </c>
      <c r="E100" s="123" t="s">
        <v>2057</v>
      </c>
      <c r="F100" s="123" t="s">
        <v>2057</v>
      </c>
      <c r="G100" s="123" t="s">
        <v>2057</v>
      </c>
      <c r="H100" s="123" t="s">
        <v>2057</v>
      </c>
      <c r="I100" s="123" t="s">
        <v>2057</v>
      </c>
      <c r="J100" s="123" t="s">
        <v>2057</v>
      </c>
      <c r="K100" s="123" t="str">
        <f t="shared" si="3"/>
        <v/>
      </c>
      <c r="M100" s="123">
        <v>432</v>
      </c>
      <c r="N100" t="b">
        <f t="shared" si="4"/>
        <v>0</v>
      </c>
      <c r="O100" s="123">
        <v>801</v>
      </c>
      <c r="P100" t="b">
        <f t="shared" si="5"/>
        <v>0</v>
      </c>
    </row>
    <row r="101" spans="1:16">
      <c r="A101" s="121">
        <v>100</v>
      </c>
      <c r="B101" s="185" t="s">
        <v>2314</v>
      </c>
      <c r="C101" s="185" t="s">
        <v>2318</v>
      </c>
      <c r="D101" s="122" t="s">
        <v>2178</v>
      </c>
      <c r="E101" s="124">
        <v>42939</v>
      </c>
      <c r="F101" s="124">
        <v>43010</v>
      </c>
      <c r="G101" s="123">
        <v>176</v>
      </c>
      <c r="H101" s="123">
        <v>276</v>
      </c>
      <c r="I101" s="123">
        <v>187</v>
      </c>
      <c r="J101" s="123">
        <v>641</v>
      </c>
      <c r="K101" s="123">
        <f t="shared" si="3"/>
        <v>71</v>
      </c>
      <c r="M101" s="123">
        <v>184</v>
      </c>
      <c r="N101" t="b">
        <f t="shared" si="4"/>
        <v>0</v>
      </c>
      <c r="O101" s="123">
        <v>808</v>
      </c>
      <c r="P101" t="b">
        <f t="shared" si="5"/>
        <v>0</v>
      </c>
    </row>
    <row r="102" spans="1:16">
      <c r="A102" s="121">
        <v>101</v>
      </c>
      <c r="B102" s="185" t="s">
        <v>2314</v>
      </c>
      <c r="C102" s="185" t="s">
        <v>2320</v>
      </c>
      <c r="D102" s="122" t="s">
        <v>2178</v>
      </c>
      <c r="E102" s="124">
        <v>42939</v>
      </c>
      <c r="F102" s="124">
        <v>43010</v>
      </c>
      <c r="G102" s="123">
        <v>11</v>
      </c>
      <c r="H102" s="123">
        <v>624</v>
      </c>
      <c r="I102" s="123">
        <v>398</v>
      </c>
      <c r="J102" s="123">
        <v>245</v>
      </c>
      <c r="K102" s="123">
        <f t="shared" si="3"/>
        <v>71</v>
      </c>
      <c r="M102" s="123" t="s">
        <v>2057</v>
      </c>
      <c r="N102" t="b">
        <f t="shared" si="4"/>
        <v>1</v>
      </c>
      <c r="O102" s="123" t="s">
        <v>2057</v>
      </c>
      <c r="P102" t="b">
        <f t="shared" si="5"/>
        <v>1</v>
      </c>
    </row>
    <row r="103" spans="1:16">
      <c r="A103" s="121">
        <v>102</v>
      </c>
      <c r="B103" s="185" t="s">
        <v>2314</v>
      </c>
      <c r="C103" s="185" t="s">
        <v>2321</v>
      </c>
      <c r="D103" s="122" t="s">
        <v>2178</v>
      </c>
      <c r="E103" s="124">
        <v>42939</v>
      </c>
      <c r="F103" s="124">
        <v>43010</v>
      </c>
      <c r="G103" s="123">
        <v>284</v>
      </c>
      <c r="H103" s="123">
        <v>781</v>
      </c>
      <c r="I103" s="123">
        <v>120</v>
      </c>
      <c r="J103" s="123">
        <v>714</v>
      </c>
      <c r="K103" s="123">
        <f t="shared" si="3"/>
        <v>71</v>
      </c>
      <c r="M103" s="123">
        <v>176</v>
      </c>
      <c r="N103" t="b">
        <f t="shared" si="4"/>
        <v>0</v>
      </c>
      <c r="O103" s="123">
        <v>276</v>
      </c>
      <c r="P103" t="b">
        <f t="shared" si="5"/>
        <v>0</v>
      </c>
    </row>
    <row r="104" spans="1:16">
      <c r="A104" s="121">
        <v>103</v>
      </c>
      <c r="B104" s="185" t="s">
        <v>2314</v>
      </c>
      <c r="C104" s="185" t="s">
        <v>2322</v>
      </c>
      <c r="D104" s="122" t="s">
        <v>2178</v>
      </c>
      <c r="E104" s="124">
        <v>42939</v>
      </c>
      <c r="F104" s="124">
        <v>43010</v>
      </c>
      <c r="G104" s="123">
        <v>326</v>
      </c>
      <c r="H104" s="123">
        <v>772</v>
      </c>
      <c r="I104" s="123">
        <v>145</v>
      </c>
      <c r="J104" s="123">
        <v>701</v>
      </c>
      <c r="K104" s="123">
        <f t="shared" si="3"/>
        <v>71</v>
      </c>
      <c r="M104" s="123">
        <v>11</v>
      </c>
      <c r="N104" t="b">
        <f t="shared" si="4"/>
        <v>0</v>
      </c>
      <c r="O104" s="123">
        <v>624</v>
      </c>
      <c r="P104" t="b">
        <f t="shared" si="5"/>
        <v>0</v>
      </c>
    </row>
    <row r="105" spans="1:16">
      <c r="A105" s="121">
        <v>104</v>
      </c>
      <c r="B105" s="185" t="s">
        <v>2314</v>
      </c>
      <c r="C105" s="185" t="s">
        <v>2323</v>
      </c>
      <c r="D105" s="122" t="s">
        <v>2178</v>
      </c>
      <c r="E105" s="124">
        <v>42939</v>
      </c>
      <c r="F105" s="124">
        <v>43010</v>
      </c>
      <c r="G105" s="123">
        <v>162</v>
      </c>
      <c r="H105" s="123">
        <v>744</v>
      </c>
      <c r="I105" s="123">
        <v>76</v>
      </c>
      <c r="J105" s="164">
        <v>365</v>
      </c>
      <c r="K105" s="123">
        <f t="shared" si="3"/>
        <v>71</v>
      </c>
      <c r="M105" s="123">
        <v>284</v>
      </c>
      <c r="N105" t="b">
        <f t="shared" si="4"/>
        <v>0</v>
      </c>
      <c r="O105" s="123">
        <v>781</v>
      </c>
      <c r="P105" t="b">
        <f t="shared" si="5"/>
        <v>0</v>
      </c>
    </row>
    <row r="106" spans="1:16">
      <c r="A106" s="121">
        <v>105</v>
      </c>
      <c r="B106" s="185" t="s">
        <v>2314</v>
      </c>
      <c r="C106" s="185" t="s">
        <v>2324</v>
      </c>
      <c r="D106" s="122" t="s">
        <v>2194</v>
      </c>
      <c r="E106" s="124">
        <v>42939</v>
      </c>
      <c r="F106" s="124">
        <v>43010</v>
      </c>
      <c r="G106" s="123">
        <v>6</v>
      </c>
      <c r="H106" s="123">
        <v>824</v>
      </c>
      <c r="I106" s="123">
        <v>57</v>
      </c>
      <c r="J106" s="123">
        <v>212</v>
      </c>
      <c r="K106" s="123">
        <f t="shared" si="3"/>
        <v>71</v>
      </c>
      <c r="M106" s="123">
        <v>326</v>
      </c>
      <c r="N106" t="b">
        <f t="shared" si="4"/>
        <v>0</v>
      </c>
      <c r="O106" s="123">
        <v>772</v>
      </c>
      <c r="P106" t="b">
        <f t="shared" si="5"/>
        <v>0</v>
      </c>
    </row>
    <row r="107" spans="1:16">
      <c r="A107" s="121">
        <v>106</v>
      </c>
      <c r="B107" s="185" t="s">
        <v>2314</v>
      </c>
      <c r="C107" s="185" t="s">
        <v>2325</v>
      </c>
      <c r="D107" s="122" t="s">
        <v>2194</v>
      </c>
      <c r="E107" s="124">
        <v>42939</v>
      </c>
      <c r="F107" s="124">
        <v>43010</v>
      </c>
      <c r="G107" s="123">
        <v>20</v>
      </c>
      <c r="H107" s="123">
        <v>790</v>
      </c>
      <c r="I107" s="123">
        <v>167</v>
      </c>
      <c r="J107" s="123">
        <v>66</v>
      </c>
      <c r="K107" s="123">
        <f t="shared" si="3"/>
        <v>71</v>
      </c>
      <c r="M107" s="123">
        <v>162</v>
      </c>
      <c r="N107" t="b">
        <f t="shared" si="4"/>
        <v>0</v>
      </c>
      <c r="O107" s="123">
        <v>744</v>
      </c>
      <c r="P107" t="b">
        <f t="shared" si="5"/>
        <v>0</v>
      </c>
    </row>
    <row r="108" spans="1:16">
      <c r="A108" s="121">
        <v>107</v>
      </c>
      <c r="B108" s="185" t="s">
        <v>2314</v>
      </c>
      <c r="C108" s="185" t="s">
        <v>2326</v>
      </c>
      <c r="D108" s="122" t="s">
        <v>2194</v>
      </c>
      <c r="E108" s="124">
        <v>42939</v>
      </c>
      <c r="F108" s="124">
        <v>43010</v>
      </c>
      <c r="G108" s="123">
        <v>129</v>
      </c>
      <c r="H108" s="123">
        <v>809</v>
      </c>
      <c r="I108" s="123">
        <v>208</v>
      </c>
      <c r="J108" s="123">
        <v>347</v>
      </c>
      <c r="K108" s="123">
        <f t="shared" si="3"/>
        <v>71</v>
      </c>
      <c r="M108" s="123">
        <v>6</v>
      </c>
      <c r="N108" t="b">
        <f t="shared" si="4"/>
        <v>0</v>
      </c>
      <c r="O108" s="123">
        <v>824</v>
      </c>
      <c r="P108" t="b">
        <f t="shared" si="5"/>
        <v>0</v>
      </c>
    </row>
    <row r="109" spans="1:16">
      <c r="A109" s="121">
        <v>108</v>
      </c>
      <c r="B109" s="185" t="s">
        <v>2314</v>
      </c>
      <c r="C109" s="185" t="s">
        <v>2327</v>
      </c>
      <c r="D109" s="122" t="s">
        <v>2194</v>
      </c>
      <c r="E109" s="124">
        <v>42939</v>
      </c>
      <c r="F109" s="124">
        <v>43010</v>
      </c>
      <c r="G109" s="123">
        <v>258</v>
      </c>
      <c r="H109" s="123">
        <v>777</v>
      </c>
      <c r="I109" s="123">
        <v>62</v>
      </c>
      <c r="J109" s="123">
        <v>206</v>
      </c>
      <c r="K109" s="123">
        <f t="shared" si="3"/>
        <v>71</v>
      </c>
      <c r="M109" s="123">
        <v>20</v>
      </c>
      <c r="N109" t="b">
        <f t="shared" si="4"/>
        <v>0</v>
      </c>
      <c r="O109" s="123">
        <v>790</v>
      </c>
      <c r="P109" t="b">
        <f t="shared" si="5"/>
        <v>0</v>
      </c>
    </row>
    <row r="110" spans="1:16">
      <c r="A110" s="121">
        <v>109</v>
      </c>
      <c r="B110" s="185" t="s">
        <v>2314</v>
      </c>
      <c r="C110" s="185" t="s">
        <v>2329</v>
      </c>
      <c r="D110" s="122" t="s">
        <v>2194</v>
      </c>
      <c r="E110" s="124">
        <v>42939</v>
      </c>
      <c r="F110" s="124">
        <v>43010</v>
      </c>
      <c r="G110" s="123">
        <v>294</v>
      </c>
      <c r="H110" s="123">
        <v>804</v>
      </c>
      <c r="I110" s="123">
        <v>102</v>
      </c>
      <c r="J110" s="123">
        <v>299</v>
      </c>
      <c r="K110" s="123">
        <f t="shared" si="3"/>
        <v>71</v>
      </c>
      <c r="M110" s="123">
        <v>129</v>
      </c>
      <c r="N110" t="b">
        <f t="shared" si="4"/>
        <v>0</v>
      </c>
      <c r="O110" s="123">
        <v>809</v>
      </c>
      <c r="P110" t="b">
        <f t="shared" si="5"/>
        <v>0</v>
      </c>
    </row>
    <row r="111" spans="1:16">
      <c r="A111" s="121">
        <v>110</v>
      </c>
      <c r="B111" s="185" t="s">
        <v>2314</v>
      </c>
      <c r="C111" s="185" t="s">
        <v>2330</v>
      </c>
      <c r="D111" s="122" t="s">
        <v>2194</v>
      </c>
      <c r="E111" s="124">
        <v>42939</v>
      </c>
      <c r="F111" s="124">
        <v>43010</v>
      </c>
      <c r="G111" s="123">
        <v>350</v>
      </c>
      <c r="H111" s="123">
        <v>786</v>
      </c>
      <c r="I111" s="123">
        <v>265</v>
      </c>
      <c r="J111" s="123">
        <v>636</v>
      </c>
      <c r="K111" s="123">
        <f t="shared" si="3"/>
        <v>71</v>
      </c>
      <c r="M111" s="123">
        <v>258</v>
      </c>
      <c r="N111" t="b">
        <f t="shared" si="4"/>
        <v>0</v>
      </c>
      <c r="O111" s="123">
        <v>777</v>
      </c>
      <c r="P111" t="b">
        <f t="shared" si="5"/>
        <v>0</v>
      </c>
    </row>
    <row r="112" spans="1:16">
      <c r="A112" s="121">
        <v>111</v>
      </c>
      <c r="B112" s="185" t="s">
        <v>2314</v>
      </c>
      <c r="C112" s="185" t="s">
        <v>2331</v>
      </c>
      <c r="D112" s="122" t="s">
        <v>2194</v>
      </c>
      <c r="E112" s="124">
        <v>42939</v>
      </c>
      <c r="F112" s="124">
        <v>43010</v>
      </c>
      <c r="G112" s="123">
        <v>274</v>
      </c>
      <c r="H112" s="123">
        <v>835</v>
      </c>
      <c r="I112" s="123">
        <v>455</v>
      </c>
      <c r="J112" s="123">
        <v>239</v>
      </c>
      <c r="K112" s="123">
        <f t="shared" si="3"/>
        <v>71</v>
      </c>
      <c r="M112" s="123">
        <v>294</v>
      </c>
      <c r="N112" t="b">
        <f t="shared" si="4"/>
        <v>0</v>
      </c>
      <c r="O112" s="123">
        <v>804</v>
      </c>
      <c r="P112" t="b">
        <f t="shared" si="5"/>
        <v>0</v>
      </c>
    </row>
    <row r="113" spans="1:16">
      <c r="A113" s="121">
        <v>112</v>
      </c>
      <c r="B113" s="185" t="s">
        <v>2314</v>
      </c>
      <c r="C113" s="185" t="s">
        <v>2332</v>
      </c>
      <c r="D113" s="122" t="s">
        <v>2194</v>
      </c>
      <c r="E113" s="124" t="s">
        <v>2057</v>
      </c>
      <c r="F113" s="124" t="s">
        <v>2057</v>
      </c>
      <c r="G113" s="124" t="s">
        <v>2057</v>
      </c>
      <c r="H113" s="124" t="s">
        <v>2057</v>
      </c>
      <c r="I113" s="124" t="s">
        <v>2057</v>
      </c>
      <c r="J113" s="124" t="s">
        <v>2057</v>
      </c>
      <c r="K113" s="123" t="str">
        <f t="shared" si="3"/>
        <v/>
      </c>
      <c r="M113" s="123">
        <v>350</v>
      </c>
      <c r="N113" t="b">
        <f t="shared" si="4"/>
        <v>0</v>
      </c>
      <c r="O113" s="123">
        <v>786</v>
      </c>
      <c r="P113" t="b">
        <f t="shared" si="5"/>
        <v>0</v>
      </c>
    </row>
    <row r="114" spans="1:16">
      <c r="A114" s="121">
        <v>113</v>
      </c>
      <c r="B114" s="185" t="s">
        <v>2314</v>
      </c>
      <c r="C114" s="185" t="s">
        <v>2333</v>
      </c>
      <c r="D114" s="122" t="s">
        <v>2208</v>
      </c>
      <c r="E114" s="124">
        <v>42939</v>
      </c>
      <c r="F114" s="124">
        <v>43008</v>
      </c>
      <c r="G114" s="123">
        <v>314</v>
      </c>
      <c r="H114" s="123">
        <v>807</v>
      </c>
      <c r="I114" s="123">
        <v>490</v>
      </c>
      <c r="J114" s="123">
        <v>313</v>
      </c>
      <c r="K114" s="123">
        <f t="shared" si="3"/>
        <v>69</v>
      </c>
      <c r="M114" s="123">
        <v>274</v>
      </c>
      <c r="N114" t="b">
        <f t="shared" si="4"/>
        <v>0</v>
      </c>
      <c r="O114" s="123">
        <v>835</v>
      </c>
      <c r="P114" t="b">
        <f t="shared" si="5"/>
        <v>0</v>
      </c>
    </row>
    <row r="115" spans="1:16">
      <c r="A115" s="121">
        <v>114</v>
      </c>
      <c r="B115" s="185" t="s">
        <v>2314</v>
      </c>
      <c r="C115" s="185" t="s">
        <v>2334</v>
      </c>
      <c r="D115" s="122" t="s">
        <v>2208</v>
      </c>
      <c r="E115" s="124">
        <v>42939</v>
      </c>
      <c r="F115" s="124">
        <v>43008</v>
      </c>
      <c r="G115" s="123">
        <v>263</v>
      </c>
      <c r="H115" s="123">
        <v>829</v>
      </c>
      <c r="I115" s="123">
        <v>650</v>
      </c>
      <c r="J115" s="123">
        <v>247</v>
      </c>
      <c r="K115" s="123">
        <f t="shared" si="3"/>
        <v>69</v>
      </c>
      <c r="M115" s="124" t="s">
        <v>2057</v>
      </c>
      <c r="N115" t="b">
        <f t="shared" si="4"/>
        <v>1</v>
      </c>
      <c r="O115" s="124" t="s">
        <v>2057</v>
      </c>
      <c r="P115" t="b">
        <f t="shared" si="5"/>
        <v>1</v>
      </c>
    </row>
    <row r="116" spans="1:16">
      <c r="A116" s="121">
        <v>115</v>
      </c>
      <c r="B116" s="185" t="s">
        <v>2314</v>
      </c>
      <c r="C116" s="185" t="s">
        <v>2335</v>
      </c>
      <c r="D116" s="122" t="s">
        <v>2208</v>
      </c>
      <c r="E116" s="124">
        <v>42939</v>
      </c>
      <c r="F116" s="124">
        <v>43008</v>
      </c>
      <c r="G116" s="123">
        <v>125</v>
      </c>
      <c r="H116" s="123">
        <v>766</v>
      </c>
      <c r="I116" s="123">
        <v>873</v>
      </c>
      <c r="J116" s="123">
        <v>671</v>
      </c>
      <c r="K116" s="123">
        <f t="shared" si="3"/>
        <v>69</v>
      </c>
      <c r="M116" s="123">
        <v>314</v>
      </c>
      <c r="N116" t="b">
        <f t="shared" si="4"/>
        <v>0</v>
      </c>
      <c r="O116" s="123">
        <v>807</v>
      </c>
      <c r="P116" t="b">
        <f t="shared" si="5"/>
        <v>0</v>
      </c>
    </row>
    <row r="117" spans="1:16">
      <c r="A117" s="121">
        <v>116</v>
      </c>
      <c r="B117" s="185" t="s">
        <v>2314</v>
      </c>
      <c r="C117" s="185" t="s">
        <v>2336</v>
      </c>
      <c r="D117" s="122" t="s">
        <v>2208</v>
      </c>
      <c r="E117" s="124">
        <v>42939</v>
      </c>
      <c r="F117" s="124">
        <v>43008</v>
      </c>
      <c r="G117" s="123">
        <v>189</v>
      </c>
      <c r="H117" s="123">
        <v>757</v>
      </c>
      <c r="I117" s="123">
        <v>206</v>
      </c>
      <c r="J117" s="123">
        <v>638</v>
      </c>
      <c r="K117" s="123">
        <f t="shared" si="3"/>
        <v>69</v>
      </c>
      <c r="M117" s="123">
        <v>263</v>
      </c>
      <c r="N117" t="b">
        <f t="shared" si="4"/>
        <v>0</v>
      </c>
      <c r="O117" s="123">
        <v>829</v>
      </c>
      <c r="P117" t="b">
        <f t="shared" si="5"/>
        <v>0</v>
      </c>
    </row>
    <row r="118" spans="1:16">
      <c r="A118" s="121">
        <v>117</v>
      </c>
      <c r="B118" s="185" t="s">
        <v>2314</v>
      </c>
      <c r="C118" s="185" t="s">
        <v>2337</v>
      </c>
      <c r="D118" s="122" t="s">
        <v>2208</v>
      </c>
      <c r="E118" s="124">
        <v>42939</v>
      </c>
      <c r="F118" s="124">
        <v>43008</v>
      </c>
      <c r="G118" s="123">
        <v>533</v>
      </c>
      <c r="H118" s="123">
        <v>745</v>
      </c>
      <c r="I118" s="123">
        <v>163</v>
      </c>
      <c r="J118" s="123">
        <v>719</v>
      </c>
      <c r="K118" s="123">
        <f t="shared" si="3"/>
        <v>69</v>
      </c>
      <c r="M118" s="123">
        <v>125</v>
      </c>
      <c r="N118" t="b">
        <f t="shared" si="4"/>
        <v>0</v>
      </c>
      <c r="O118" s="123">
        <v>766</v>
      </c>
      <c r="P118" t="b">
        <f t="shared" si="5"/>
        <v>0</v>
      </c>
    </row>
    <row r="119" spans="1:16">
      <c r="A119" s="121">
        <v>118</v>
      </c>
      <c r="B119" s="185" t="s">
        <v>2314</v>
      </c>
      <c r="C119" s="185" t="s">
        <v>2338</v>
      </c>
      <c r="D119" s="122" t="s">
        <v>2208</v>
      </c>
      <c r="E119" s="124">
        <v>42939</v>
      </c>
      <c r="F119" s="124">
        <v>43008</v>
      </c>
      <c r="G119" s="123">
        <v>200</v>
      </c>
      <c r="H119" s="123">
        <v>791</v>
      </c>
      <c r="I119" s="123">
        <v>83</v>
      </c>
      <c r="J119" s="123">
        <v>173</v>
      </c>
      <c r="K119" s="123">
        <f t="shared" si="3"/>
        <v>69</v>
      </c>
      <c r="M119" s="123">
        <v>189</v>
      </c>
      <c r="N119" t="b">
        <f t="shared" si="4"/>
        <v>0</v>
      </c>
      <c r="O119" s="123">
        <v>757</v>
      </c>
      <c r="P119" t="b">
        <f t="shared" si="5"/>
        <v>0</v>
      </c>
    </row>
    <row r="120" spans="1:16">
      <c r="A120" s="121">
        <v>119</v>
      </c>
      <c r="B120" s="185" t="s">
        <v>2314</v>
      </c>
      <c r="C120" s="185" t="s">
        <v>2339</v>
      </c>
      <c r="D120" s="122" t="s">
        <v>2208</v>
      </c>
      <c r="E120" s="124">
        <v>42939</v>
      </c>
      <c r="F120" s="124">
        <v>43008</v>
      </c>
      <c r="G120" s="123">
        <v>236</v>
      </c>
      <c r="H120" s="123">
        <v>802</v>
      </c>
      <c r="I120" s="123">
        <v>159</v>
      </c>
      <c r="J120" s="123">
        <v>373</v>
      </c>
      <c r="K120" s="123">
        <f t="shared" si="3"/>
        <v>69</v>
      </c>
      <c r="M120" s="123">
        <v>533</v>
      </c>
      <c r="N120" t="b">
        <f t="shared" si="4"/>
        <v>0</v>
      </c>
      <c r="O120" s="123">
        <v>745</v>
      </c>
      <c r="P120" t="b">
        <f t="shared" si="5"/>
        <v>0</v>
      </c>
    </row>
    <row r="121" spans="1:16">
      <c r="A121" s="121">
        <v>120</v>
      </c>
      <c r="B121" s="185" t="s">
        <v>2314</v>
      </c>
      <c r="C121" s="185" t="s">
        <v>2340</v>
      </c>
      <c r="D121" s="122" t="s">
        <v>2208</v>
      </c>
      <c r="E121" s="124" t="s">
        <v>2057</v>
      </c>
      <c r="F121" s="124" t="s">
        <v>2057</v>
      </c>
      <c r="G121" s="124" t="s">
        <v>2057</v>
      </c>
      <c r="H121" s="124" t="s">
        <v>2057</v>
      </c>
      <c r="I121" s="124" t="s">
        <v>2057</v>
      </c>
      <c r="J121" s="124" t="s">
        <v>2057</v>
      </c>
      <c r="K121" s="123" t="str">
        <f t="shared" si="3"/>
        <v/>
      </c>
      <c r="M121" s="123">
        <v>200</v>
      </c>
      <c r="N121" t="b">
        <f t="shared" si="4"/>
        <v>0</v>
      </c>
      <c r="O121" s="123">
        <v>791</v>
      </c>
      <c r="P121" t="b">
        <f t="shared" si="5"/>
        <v>0</v>
      </c>
    </row>
    <row r="122" spans="1:16">
      <c r="A122" s="121">
        <v>121</v>
      </c>
      <c r="B122" s="185" t="s">
        <v>2314</v>
      </c>
      <c r="C122" s="185" t="s">
        <v>2341</v>
      </c>
      <c r="D122" s="122" t="s">
        <v>2218</v>
      </c>
      <c r="E122" s="124">
        <v>42939</v>
      </c>
      <c r="F122" s="124">
        <v>43008</v>
      </c>
      <c r="G122" s="123">
        <v>280</v>
      </c>
      <c r="H122" s="123">
        <v>822</v>
      </c>
      <c r="I122" s="123">
        <v>16</v>
      </c>
      <c r="J122" s="123">
        <v>374</v>
      </c>
      <c r="K122" s="123">
        <f t="shared" si="3"/>
        <v>69</v>
      </c>
      <c r="M122" s="123">
        <v>236</v>
      </c>
      <c r="N122" t="b">
        <f t="shared" si="4"/>
        <v>0</v>
      </c>
      <c r="O122" s="123">
        <v>802</v>
      </c>
      <c r="P122" t="b">
        <f t="shared" si="5"/>
        <v>0</v>
      </c>
    </row>
    <row r="123" spans="1:16">
      <c r="A123" s="121">
        <v>122</v>
      </c>
      <c r="B123" s="185" t="s">
        <v>2314</v>
      </c>
      <c r="C123" s="185" t="s">
        <v>2342</v>
      </c>
      <c r="D123" s="122" t="s">
        <v>2218</v>
      </c>
      <c r="E123" s="124">
        <v>42939</v>
      </c>
      <c r="F123" s="124">
        <v>43008</v>
      </c>
      <c r="G123" s="123">
        <v>231</v>
      </c>
      <c r="H123" s="123">
        <v>792</v>
      </c>
      <c r="I123" s="123">
        <v>109</v>
      </c>
      <c r="J123" s="123">
        <v>388</v>
      </c>
      <c r="K123" s="123">
        <f t="shared" si="3"/>
        <v>69</v>
      </c>
      <c r="M123" s="124" t="s">
        <v>2057</v>
      </c>
      <c r="N123" t="b">
        <f t="shared" si="4"/>
        <v>1</v>
      </c>
      <c r="O123" s="124" t="s">
        <v>2057</v>
      </c>
      <c r="P123" t="b">
        <f t="shared" si="5"/>
        <v>1</v>
      </c>
    </row>
    <row r="124" spans="1:16">
      <c r="A124" s="121">
        <v>123</v>
      </c>
      <c r="B124" s="185" t="s">
        <v>2314</v>
      </c>
      <c r="C124" s="185" t="s">
        <v>2343</v>
      </c>
      <c r="D124" s="122" t="s">
        <v>2218</v>
      </c>
      <c r="E124" s="124">
        <v>42939</v>
      </c>
      <c r="F124" s="124">
        <v>43008</v>
      </c>
      <c r="G124" s="123">
        <v>292</v>
      </c>
      <c r="H124" s="129">
        <v>740</v>
      </c>
      <c r="I124" s="123">
        <v>344</v>
      </c>
      <c r="J124" s="123">
        <v>281</v>
      </c>
      <c r="K124" s="123">
        <f t="shared" si="3"/>
        <v>69</v>
      </c>
      <c r="M124" s="123">
        <v>280</v>
      </c>
      <c r="N124" t="b">
        <f t="shared" si="4"/>
        <v>0</v>
      </c>
      <c r="O124" s="123">
        <v>822</v>
      </c>
      <c r="P124" t="b">
        <f t="shared" si="5"/>
        <v>0</v>
      </c>
    </row>
    <row r="125" spans="1:16">
      <c r="A125" s="121">
        <v>124</v>
      </c>
      <c r="B125" s="185" t="s">
        <v>2314</v>
      </c>
      <c r="C125" s="185" t="s">
        <v>2345</v>
      </c>
      <c r="D125" s="122" t="s">
        <v>2218</v>
      </c>
      <c r="E125" s="124">
        <v>42939</v>
      </c>
      <c r="F125" s="124">
        <v>43008</v>
      </c>
      <c r="G125" s="123">
        <v>116</v>
      </c>
      <c r="H125" s="123">
        <v>797</v>
      </c>
      <c r="I125" s="123">
        <v>221</v>
      </c>
      <c r="J125" s="123">
        <v>443</v>
      </c>
      <c r="K125" s="123">
        <f t="shared" si="3"/>
        <v>69</v>
      </c>
      <c r="M125" s="123">
        <v>231</v>
      </c>
      <c r="N125" t="b">
        <f t="shared" si="4"/>
        <v>0</v>
      </c>
      <c r="O125" s="123">
        <v>792</v>
      </c>
      <c r="P125" t="b">
        <f t="shared" si="5"/>
        <v>0</v>
      </c>
    </row>
    <row r="126" spans="1:16">
      <c r="A126" s="121">
        <v>125</v>
      </c>
      <c r="B126" s="185" t="s">
        <v>2314</v>
      </c>
      <c r="C126" s="185" t="s">
        <v>2346</v>
      </c>
      <c r="D126" s="122" t="s">
        <v>2218</v>
      </c>
      <c r="E126" s="124">
        <v>42939</v>
      </c>
      <c r="F126" s="124">
        <v>43008</v>
      </c>
      <c r="G126" s="123">
        <v>50</v>
      </c>
      <c r="H126" s="123">
        <v>795</v>
      </c>
      <c r="I126" s="123">
        <v>757</v>
      </c>
      <c r="J126" s="123">
        <v>180</v>
      </c>
      <c r="K126" s="123">
        <f t="shared" si="3"/>
        <v>69</v>
      </c>
      <c r="M126" s="123">
        <v>292</v>
      </c>
      <c r="N126" t="b">
        <f t="shared" si="4"/>
        <v>0</v>
      </c>
      <c r="O126" s="129">
        <v>740</v>
      </c>
      <c r="P126" t="b">
        <f t="shared" si="5"/>
        <v>0</v>
      </c>
    </row>
    <row r="127" spans="1:16">
      <c r="A127" s="121">
        <v>126</v>
      </c>
      <c r="B127" s="185" t="s">
        <v>2314</v>
      </c>
      <c r="C127" s="185" t="s">
        <v>2347</v>
      </c>
      <c r="D127" s="122" t="s">
        <v>2218</v>
      </c>
      <c r="E127" s="124" t="s">
        <v>2057</v>
      </c>
      <c r="F127" s="124" t="s">
        <v>2057</v>
      </c>
      <c r="G127" s="124" t="s">
        <v>2057</v>
      </c>
      <c r="H127" s="124" t="s">
        <v>2057</v>
      </c>
      <c r="I127" s="124" t="s">
        <v>2057</v>
      </c>
      <c r="J127" s="124" t="s">
        <v>2057</v>
      </c>
      <c r="K127" s="123" t="str">
        <f t="shared" si="3"/>
        <v/>
      </c>
      <c r="M127" s="123">
        <v>116</v>
      </c>
      <c r="N127" t="b">
        <f t="shared" si="4"/>
        <v>0</v>
      </c>
      <c r="O127" s="123">
        <v>797</v>
      </c>
      <c r="P127" t="b">
        <f t="shared" si="5"/>
        <v>0</v>
      </c>
    </row>
    <row r="128" spans="1:16">
      <c r="A128" s="121">
        <v>127</v>
      </c>
      <c r="B128" s="185" t="s">
        <v>2314</v>
      </c>
      <c r="C128" s="185" t="s">
        <v>2348</v>
      </c>
      <c r="D128" s="122" t="s">
        <v>2218</v>
      </c>
      <c r="E128" s="124">
        <v>42939</v>
      </c>
      <c r="F128" s="124">
        <v>43008</v>
      </c>
      <c r="G128" s="123">
        <v>318</v>
      </c>
      <c r="H128" s="123">
        <v>751</v>
      </c>
      <c r="I128" s="123">
        <v>96</v>
      </c>
      <c r="J128" s="123">
        <v>229</v>
      </c>
      <c r="K128" s="123">
        <f t="shared" si="3"/>
        <v>69</v>
      </c>
      <c r="M128" s="123">
        <v>50</v>
      </c>
      <c r="N128" t="b">
        <f t="shared" si="4"/>
        <v>0</v>
      </c>
      <c r="O128" s="123">
        <v>795</v>
      </c>
      <c r="P128" t="b">
        <f t="shared" si="5"/>
        <v>0</v>
      </c>
    </row>
    <row r="129" spans="1:16">
      <c r="A129" s="121">
        <v>128</v>
      </c>
      <c r="B129" s="185" t="s">
        <v>2314</v>
      </c>
      <c r="C129" s="185" t="s">
        <v>2349</v>
      </c>
      <c r="D129" s="122" t="s">
        <v>2218</v>
      </c>
      <c r="E129" s="124">
        <v>42939</v>
      </c>
      <c r="F129" s="124">
        <v>43008</v>
      </c>
      <c r="G129" s="123">
        <v>34</v>
      </c>
      <c r="H129" s="123">
        <v>819</v>
      </c>
      <c r="I129" s="123">
        <v>134</v>
      </c>
      <c r="J129" s="123">
        <v>272</v>
      </c>
      <c r="K129" s="123">
        <f t="shared" si="3"/>
        <v>69</v>
      </c>
      <c r="M129" s="124" t="s">
        <v>2057</v>
      </c>
      <c r="N129" t="b">
        <f t="shared" si="4"/>
        <v>1</v>
      </c>
      <c r="O129" s="124" t="s">
        <v>2057</v>
      </c>
      <c r="P129" t="b">
        <f t="shared" si="5"/>
        <v>1</v>
      </c>
    </row>
    <row r="130" spans="1:16">
      <c r="A130" s="121">
        <v>129</v>
      </c>
      <c r="B130" s="185" t="s">
        <v>2314</v>
      </c>
      <c r="C130" s="185" t="s">
        <v>2350</v>
      </c>
      <c r="D130" s="122" t="s">
        <v>2227</v>
      </c>
      <c r="E130" s="124">
        <v>42939</v>
      </c>
      <c r="F130" s="124">
        <v>43008</v>
      </c>
      <c r="G130" s="123">
        <v>80</v>
      </c>
      <c r="H130" s="123">
        <v>768</v>
      </c>
      <c r="I130" s="123">
        <v>671</v>
      </c>
      <c r="J130" s="123">
        <v>207</v>
      </c>
      <c r="K130" s="123">
        <f t="shared" si="3"/>
        <v>69</v>
      </c>
      <c r="M130" s="123">
        <v>318</v>
      </c>
      <c r="N130" t="b">
        <f t="shared" si="4"/>
        <v>0</v>
      </c>
      <c r="O130" s="123">
        <v>751</v>
      </c>
      <c r="P130" t="b">
        <f t="shared" si="5"/>
        <v>0</v>
      </c>
    </row>
    <row r="131" spans="1:16">
      <c r="A131" s="121">
        <v>130</v>
      </c>
      <c r="B131" s="185" t="s">
        <v>2314</v>
      </c>
      <c r="C131" s="185" t="s">
        <v>2351</v>
      </c>
      <c r="D131" s="122" t="s">
        <v>2227</v>
      </c>
      <c r="E131" s="124">
        <v>42939</v>
      </c>
      <c r="F131" s="124">
        <v>43008</v>
      </c>
      <c r="G131" s="123">
        <v>64</v>
      </c>
      <c r="H131" s="123">
        <v>789</v>
      </c>
      <c r="I131" s="123">
        <v>400</v>
      </c>
      <c r="J131" s="123">
        <v>193</v>
      </c>
      <c r="K131" s="123">
        <f t="shared" ref="K131:K194" si="6">IFERROR(F131-E131,"")</f>
        <v>69</v>
      </c>
      <c r="M131" s="123">
        <v>34</v>
      </c>
      <c r="N131" t="b">
        <f t="shared" si="4"/>
        <v>0</v>
      </c>
      <c r="O131" s="165">
        <v>819</v>
      </c>
      <c r="P131" t="b">
        <f t="shared" si="5"/>
        <v>1</v>
      </c>
    </row>
    <row r="132" spans="1:16">
      <c r="A132" s="121">
        <v>131</v>
      </c>
      <c r="B132" s="185" t="s">
        <v>2314</v>
      </c>
      <c r="C132" s="185" t="s">
        <v>2352</v>
      </c>
      <c r="D132" s="122" t="s">
        <v>2227</v>
      </c>
      <c r="E132" s="124">
        <v>42939</v>
      </c>
      <c r="F132" s="124">
        <v>43008</v>
      </c>
      <c r="G132" s="123">
        <v>118</v>
      </c>
      <c r="H132" s="123">
        <v>586</v>
      </c>
      <c r="I132" s="123">
        <v>48</v>
      </c>
      <c r="J132" s="123">
        <v>188</v>
      </c>
      <c r="K132" s="123">
        <f t="shared" si="6"/>
        <v>69</v>
      </c>
      <c r="M132" s="123">
        <v>80</v>
      </c>
      <c r="N132" t="b">
        <f t="shared" ref="N132:N195" si="7">COUNTIF($M$4:$M$443, M132)&gt;1</f>
        <v>0</v>
      </c>
      <c r="O132" s="123">
        <v>768</v>
      </c>
      <c r="P132" t="b">
        <f t="shared" si="5"/>
        <v>0</v>
      </c>
    </row>
    <row r="133" spans="1:16">
      <c r="A133" s="121">
        <v>132</v>
      </c>
      <c r="B133" s="185" t="s">
        <v>2314</v>
      </c>
      <c r="C133" s="185" t="s">
        <v>2353</v>
      </c>
      <c r="D133" s="122" t="s">
        <v>2227</v>
      </c>
      <c r="E133" s="124" t="s">
        <v>2057</v>
      </c>
      <c r="F133" s="124" t="s">
        <v>2057</v>
      </c>
      <c r="G133" s="124" t="s">
        <v>2057</v>
      </c>
      <c r="H133" s="124" t="s">
        <v>2057</v>
      </c>
      <c r="I133" s="124" t="s">
        <v>2057</v>
      </c>
      <c r="J133" s="124" t="s">
        <v>2057</v>
      </c>
      <c r="K133" s="123" t="str">
        <f t="shared" si="6"/>
        <v/>
      </c>
      <c r="M133" s="123">
        <v>64</v>
      </c>
      <c r="N133" t="b">
        <f t="shared" si="7"/>
        <v>0</v>
      </c>
      <c r="O133" s="123">
        <v>789</v>
      </c>
      <c r="P133" t="b">
        <f t="shared" ref="P133:P196" si="8">COUNTIF($O$4:$O$443, O133)&gt;1</f>
        <v>0</v>
      </c>
    </row>
    <row r="134" spans="1:16">
      <c r="A134" s="121">
        <v>133</v>
      </c>
      <c r="B134" s="185" t="s">
        <v>2314</v>
      </c>
      <c r="C134" s="185" t="s">
        <v>2354</v>
      </c>
      <c r="D134" s="122" t="s">
        <v>2227</v>
      </c>
      <c r="E134" s="124">
        <v>42939</v>
      </c>
      <c r="F134" s="124">
        <v>43008</v>
      </c>
      <c r="G134" s="123">
        <v>270</v>
      </c>
      <c r="H134" s="123">
        <v>817</v>
      </c>
      <c r="I134" s="123">
        <v>210</v>
      </c>
      <c r="J134" s="123">
        <v>683</v>
      </c>
      <c r="K134" s="123">
        <f t="shared" si="6"/>
        <v>69</v>
      </c>
      <c r="M134" s="123">
        <v>118</v>
      </c>
      <c r="N134" t="b">
        <f t="shared" si="7"/>
        <v>0</v>
      </c>
      <c r="O134" s="123">
        <v>586</v>
      </c>
      <c r="P134" t="b">
        <f t="shared" si="8"/>
        <v>0</v>
      </c>
    </row>
    <row r="135" spans="1:16">
      <c r="A135" s="121">
        <v>134</v>
      </c>
      <c r="B135" s="185" t="s">
        <v>2314</v>
      </c>
      <c r="C135" s="185" t="s">
        <v>2355</v>
      </c>
      <c r="D135" s="122" t="s">
        <v>2227</v>
      </c>
      <c r="E135" s="124">
        <v>42939</v>
      </c>
      <c r="F135" s="124">
        <v>43008</v>
      </c>
      <c r="G135" s="123">
        <v>316</v>
      </c>
      <c r="H135" s="123">
        <v>837</v>
      </c>
      <c r="I135" s="123">
        <v>40</v>
      </c>
      <c r="J135" s="123">
        <v>649</v>
      </c>
      <c r="K135" s="123">
        <f t="shared" si="6"/>
        <v>69</v>
      </c>
      <c r="M135" s="124" t="s">
        <v>2057</v>
      </c>
      <c r="N135" t="b">
        <f t="shared" si="7"/>
        <v>1</v>
      </c>
      <c r="O135" s="124" t="s">
        <v>2057</v>
      </c>
      <c r="P135" t="b">
        <f t="shared" si="8"/>
        <v>1</v>
      </c>
    </row>
    <row r="136" spans="1:16">
      <c r="A136" s="121">
        <v>135</v>
      </c>
      <c r="B136" s="185" t="s">
        <v>2314</v>
      </c>
      <c r="C136" s="185" t="s">
        <v>2356</v>
      </c>
      <c r="D136" s="122" t="s">
        <v>2227</v>
      </c>
      <c r="E136" s="124">
        <v>42939</v>
      </c>
      <c r="F136" s="124">
        <v>43008</v>
      </c>
      <c r="G136" s="123">
        <v>77</v>
      </c>
      <c r="H136" s="123">
        <v>756</v>
      </c>
      <c r="I136" s="123">
        <v>517</v>
      </c>
      <c r="J136" s="123">
        <v>222</v>
      </c>
      <c r="K136" s="123">
        <f t="shared" si="6"/>
        <v>69</v>
      </c>
      <c r="M136" s="123">
        <v>270</v>
      </c>
      <c r="N136" t="b">
        <f t="shared" si="7"/>
        <v>0</v>
      </c>
      <c r="O136" s="123">
        <v>817</v>
      </c>
      <c r="P136" t="b">
        <f t="shared" si="8"/>
        <v>0</v>
      </c>
    </row>
    <row r="137" spans="1:16">
      <c r="A137" s="121">
        <v>136</v>
      </c>
      <c r="B137" s="185" t="s">
        <v>2314</v>
      </c>
      <c r="C137" s="185" t="s">
        <v>2357</v>
      </c>
      <c r="D137" s="122" t="s">
        <v>2227</v>
      </c>
      <c r="E137" s="124">
        <v>42939</v>
      </c>
      <c r="F137" s="124">
        <v>43008</v>
      </c>
      <c r="G137" s="123">
        <v>332</v>
      </c>
      <c r="H137" s="123">
        <v>184</v>
      </c>
      <c r="I137" s="123">
        <v>67</v>
      </c>
      <c r="J137" s="123">
        <v>214</v>
      </c>
      <c r="K137" s="123">
        <f t="shared" si="6"/>
        <v>69</v>
      </c>
      <c r="M137" s="123">
        <v>316</v>
      </c>
      <c r="N137" t="b">
        <f t="shared" si="7"/>
        <v>0</v>
      </c>
      <c r="O137" s="123">
        <v>837</v>
      </c>
      <c r="P137" t="b">
        <f t="shared" si="8"/>
        <v>0</v>
      </c>
    </row>
    <row r="138" spans="1:16">
      <c r="A138" s="121">
        <v>137</v>
      </c>
      <c r="B138" s="185" t="s">
        <v>2314</v>
      </c>
      <c r="C138" s="185" t="s">
        <v>2358</v>
      </c>
      <c r="D138" s="122" t="s">
        <v>2244</v>
      </c>
      <c r="E138" s="124">
        <v>42939</v>
      </c>
      <c r="F138" s="124">
        <v>43008</v>
      </c>
      <c r="G138" s="123">
        <v>30</v>
      </c>
      <c r="H138" s="123">
        <v>746</v>
      </c>
      <c r="I138" s="123">
        <v>335</v>
      </c>
      <c r="J138" s="123">
        <v>628</v>
      </c>
      <c r="K138" s="123">
        <f t="shared" si="6"/>
        <v>69</v>
      </c>
      <c r="M138" s="123">
        <v>77</v>
      </c>
      <c r="N138" t="b">
        <f t="shared" si="7"/>
        <v>0</v>
      </c>
      <c r="O138" s="123">
        <v>756</v>
      </c>
      <c r="P138" t="b">
        <f t="shared" si="8"/>
        <v>0</v>
      </c>
    </row>
    <row r="139" spans="1:16">
      <c r="A139" s="121">
        <v>138</v>
      </c>
      <c r="B139" s="185" t="s">
        <v>2314</v>
      </c>
      <c r="C139" s="185" t="s">
        <v>2359</v>
      </c>
      <c r="D139" s="122" t="s">
        <v>2244</v>
      </c>
      <c r="E139" s="124">
        <v>42939</v>
      </c>
      <c r="F139" s="124">
        <v>43008</v>
      </c>
      <c r="G139" s="123">
        <v>213</v>
      </c>
      <c r="H139" s="123">
        <v>821</v>
      </c>
      <c r="I139" s="123">
        <v>484</v>
      </c>
      <c r="J139" s="123">
        <v>198</v>
      </c>
      <c r="K139" s="123">
        <f t="shared" si="6"/>
        <v>69</v>
      </c>
      <c r="M139" s="123">
        <v>332</v>
      </c>
      <c r="N139" t="b">
        <f t="shared" si="7"/>
        <v>0</v>
      </c>
      <c r="O139" s="123">
        <v>184</v>
      </c>
      <c r="P139" t="b">
        <f t="shared" si="8"/>
        <v>0</v>
      </c>
    </row>
    <row r="140" spans="1:16">
      <c r="A140" s="121">
        <v>139</v>
      </c>
      <c r="B140" s="185" t="s">
        <v>2314</v>
      </c>
      <c r="C140" s="185" t="s">
        <v>2360</v>
      </c>
      <c r="D140" s="122" t="s">
        <v>2244</v>
      </c>
      <c r="E140" s="124">
        <v>42939</v>
      </c>
      <c r="F140" s="124">
        <v>43008</v>
      </c>
      <c r="G140" s="129">
        <v>250</v>
      </c>
      <c r="H140" s="123">
        <v>813</v>
      </c>
      <c r="I140" s="123">
        <v>868</v>
      </c>
      <c r="J140" s="123">
        <v>706</v>
      </c>
      <c r="K140" s="123">
        <f t="shared" si="6"/>
        <v>69</v>
      </c>
      <c r="M140" s="123">
        <v>30</v>
      </c>
      <c r="N140" t="b">
        <f t="shared" si="7"/>
        <v>0</v>
      </c>
      <c r="O140" s="123">
        <v>746</v>
      </c>
      <c r="P140" t="b">
        <f t="shared" si="8"/>
        <v>0</v>
      </c>
    </row>
    <row r="141" spans="1:16">
      <c r="A141" s="121">
        <v>140</v>
      </c>
      <c r="B141" s="185" t="s">
        <v>2314</v>
      </c>
      <c r="C141" s="185" t="s">
        <v>2362</v>
      </c>
      <c r="D141" s="122" t="s">
        <v>2244</v>
      </c>
      <c r="E141" s="124">
        <v>42939</v>
      </c>
      <c r="F141" s="124">
        <v>43008</v>
      </c>
      <c r="G141" s="123">
        <v>401</v>
      </c>
      <c r="H141" s="123">
        <v>729</v>
      </c>
      <c r="I141" s="123">
        <v>792</v>
      </c>
      <c r="J141" s="123">
        <v>710</v>
      </c>
      <c r="K141" s="123">
        <f t="shared" si="6"/>
        <v>69</v>
      </c>
      <c r="M141" s="123">
        <v>213</v>
      </c>
      <c r="N141" t="b">
        <f t="shared" si="7"/>
        <v>0</v>
      </c>
      <c r="O141" s="123">
        <v>821</v>
      </c>
      <c r="P141" t="b">
        <f t="shared" si="8"/>
        <v>0</v>
      </c>
    </row>
    <row r="142" spans="1:16">
      <c r="A142" s="121">
        <v>141</v>
      </c>
      <c r="B142" s="185" t="s">
        <v>2314</v>
      </c>
      <c r="C142" s="185" t="s">
        <v>2363</v>
      </c>
      <c r="D142" s="122" t="s">
        <v>2244</v>
      </c>
      <c r="E142" s="124" t="s">
        <v>2057</v>
      </c>
      <c r="F142" s="124" t="s">
        <v>2057</v>
      </c>
      <c r="G142" s="124" t="s">
        <v>2057</v>
      </c>
      <c r="H142" s="124" t="s">
        <v>2057</v>
      </c>
      <c r="I142" s="124" t="s">
        <v>2057</v>
      </c>
      <c r="J142" s="124" t="s">
        <v>2057</v>
      </c>
      <c r="K142" s="123" t="str">
        <f t="shared" si="6"/>
        <v/>
      </c>
      <c r="M142" s="165">
        <v>250</v>
      </c>
      <c r="N142" t="b">
        <f t="shared" si="7"/>
        <v>1</v>
      </c>
      <c r="O142" s="123">
        <v>813</v>
      </c>
      <c r="P142" t="b">
        <f t="shared" si="8"/>
        <v>0</v>
      </c>
    </row>
    <row r="143" spans="1:16">
      <c r="A143" s="121">
        <v>142</v>
      </c>
      <c r="B143" s="185" t="s">
        <v>2314</v>
      </c>
      <c r="C143" s="185" t="s">
        <v>2364</v>
      </c>
      <c r="D143" s="122" t="s">
        <v>2244</v>
      </c>
      <c r="E143" s="124">
        <v>42939</v>
      </c>
      <c r="F143" s="124">
        <v>43008</v>
      </c>
      <c r="G143" s="123">
        <v>87</v>
      </c>
      <c r="H143" s="123">
        <v>834</v>
      </c>
      <c r="I143" s="123">
        <v>711</v>
      </c>
      <c r="J143" s="123">
        <v>626</v>
      </c>
      <c r="K143" s="123">
        <f t="shared" si="6"/>
        <v>69</v>
      </c>
      <c r="M143" s="123">
        <v>401</v>
      </c>
      <c r="N143" t="b">
        <f t="shared" si="7"/>
        <v>0</v>
      </c>
      <c r="O143" s="123">
        <v>729</v>
      </c>
      <c r="P143" t="b">
        <f t="shared" si="8"/>
        <v>0</v>
      </c>
    </row>
    <row r="144" spans="1:16">
      <c r="A144" s="121">
        <v>143</v>
      </c>
      <c r="B144" s="185" t="s">
        <v>2314</v>
      </c>
      <c r="C144" s="185" t="s">
        <v>2365</v>
      </c>
      <c r="D144" s="122" t="s">
        <v>2244</v>
      </c>
      <c r="E144" s="124">
        <v>42939</v>
      </c>
      <c r="F144" s="124">
        <v>43008</v>
      </c>
      <c r="G144" s="123">
        <v>501</v>
      </c>
      <c r="H144" s="123">
        <v>774</v>
      </c>
      <c r="I144" s="123">
        <v>205</v>
      </c>
      <c r="J144" s="123">
        <v>195</v>
      </c>
      <c r="K144" s="123">
        <f t="shared" si="6"/>
        <v>69</v>
      </c>
      <c r="M144" s="124" t="s">
        <v>2057</v>
      </c>
      <c r="N144" t="b">
        <f t="shared" si="7"/>
        <v>1</v>
      </c>
      <c r="O144" s="124" t="s">
        <v>2057</v>
      </c>
      <c r="P144" t="b">
        <f t="shared" si="8"/>
        <v>1</v>
      </c>
    </row>
    <row r="145" spans="1:16">
      <c r="A145" s="121">
        <v>144</v>
      </c>
      <c r="B145" s="185" t="s">
        <v>2314</v>
      </c>
      <c r="C145" s="185" t="s">
        <v>2366</v>
      </c>
      <c r="D145" s="122" t="s">
        <v>2244</v>
      </c>
      <c r="E145" s="124">
        <v>42939</v>
      </c>
      <c r="F145" s="124">
        <v>43008</v>
      </c>
      <c r="G145" s="123">
        <v>141</v>
      </c>
      <c r="H145" s="123">
        <v>779</v>
      </c>
      <c r="I145" s="123">
        <v>384</v>
      </c>
      <c r="J145" s="123">
        <v>295</v>
      </c>
      <c r="K145" s="123">
        <f t="shared" si="6"/>
        <v>69</v>
      </c>
      <c r="M145" s="123">
        <v>87</v>
      </c>
      <c r="N145" t="b">
        <f t="shared" si="7"/>
        <v>0</v>
      </c>
      <c r="O145" s="123">
        <v>834</v>
      </c>
      <c r="P145" t="b">
        <f t="shared" si="8"/>
        <v>0</v>
      </c>
    </row>
    <row r="146" spans="1:16">
      <c r="A146" s="121">
        <v>145</v>
      </c>
      <c r="B146" s="185" t="s">
        <v>2314</v>
      </c>
      <c r="C146" s="185" t="s">
        <v>2367</v>
      </c>
      <c r="D146" s="122" t="s">
        <v>2256</v>
      </c>
      <c r="E146" s="124">
        <v>42939</v>
      </c>
      <c r="F146" s="124">
        <v>43010</v>
      </c>
      <c r="G146" s="123">
        <v>131</v>
      </c>
      <c r="H146" s="123">
        <v>728</v>
      </c>
      <c r="I146" s="129">
        <v>72</v>
      </c>
      <c r="J146" s="123">
        <v>609</v>
      </c>
      <c r="K146" s="123">
        <f t="shared" si="6"/>
        <v>71</v>
      </c>
      <c r="M146" s="123">
        <v>501</v>
      </c>
      <c r="N146" t="b">
        <f t="shared" si="7"/>
        <v>0</v>
      </c>
      <c r="O146" s="123">
        <v>774</v>
      </c>
      <c r="P146" t="b">
        <f t="shared" si="8"/>
        <v>0</v>
      </c>
    </row>
    <row r="147" spans="1:16">
      <c r="A147" s="121">
        <v>146</v>
      </c>
      <c r="B147" s="185" t="s">
        <v>2314</v>
      </c>
      <c r="C147" s="185" t="s">
        <v>2368</v>
      </c>
      <c r="D147" s="122" t="s">
        <v>2256</v>
      </c>
      <c r="E147" s="124">
        <v>42939</v>
      </c>
      <c r="F147" s="124">
        <v>43010</v>
      </c>
      <c r="G147" s="123">
        <v>465</v>
      </c>
      <c r="H147" s="123">
        <v>13</v>
      </c>
      <c r="I147" s="123">
        <v>336</v>
      </c>
      <c r="J147" s="123">
        <v>292</v>
      </c>
      <c r="K147" s="123">
        <f t="shared" si="6"/>
        <v>71</v>
      </c>
      <c r="M147" s="123">
        <v>141</v>
      </c>
      <c r="N147" t="b">
        <f t="shared" si="7"/>
        <v>0</v>
      </c>
      <c r="O147" s="123">
        <v>779</v>
      </c>
      <c r="P147" t="b">
        <f t="shared" si="8"/>
        <v>0</v>
      </c>
    </row>
    <row r="148" spans="1:16">
      <c r="A148" s="121">
        <v>147</v>
      </c>
      <c r="B148" s="185" t="s">
        <v>2314</v>
      </c>
      <c r="C148" s="185" t="s">
        <v>2369</v>
      </c>
      <c r="D148" s="122" t="s">
        <v>2256</v>
      </c>
      <c r="E148" s="124">
        <v>42939</v>
      </c>
      <c r="F148" s="124">
        <v>43010</v>
      </c>
      <c r="G148" s="123">
        <v>15</v>
      </c>
      <c r="H148" s="123">
        <v>832</v>
      </c>
      <c r="I148" s="123">
        <v>303</v>
      </c>
      <c r="J148" s="123">
        <v>243</v>
      </c>
      <c r="K148" s="123">
        <f t="shared" si="6"/>
        <v>71</v>
      </c>
      <c r="M148" s="123">
        <v>131</v>
      </c>
      <c r="N148" t="b">
        <f t="shared" si="7"/>
        <v>0</v>
      </c>
      <c r="O148" s="123">
        <v>728</v>
      </c>
      <c r="P148" t="b">
        <f t="shared" si="8"/>
        <v>0</v>
      </c>
    </row>
    <row r="149" spans="1:16">
      <c r="A149" s="121">
        <v>148</v>
      </c>
      <c r="B149" s="185" t="s">
        <v>2314</v>
      </c>
      <c r="C149" s="185" t="s">
        <v>2370</v>
      </c>
      <c r="D149" s="122" t="s">
        <v>2256</v>
      </c>
      <c r="E149" s="124">
        <v>42939</v>
      </c>
      <c r="F149" s="124">
        <v>43010</v>
      </c>
      <c r="G149" s="123">
        <v>290</v>
      </c>
      <c r="H149" s="123">
        <v>823</v>
      </c>
      <c r="I149" s="123">
        <v>161</v>
      </c>
      <c r="J149" s="123">
        <v>422</v>
      </c>
      <c r="K149" s="123">
        <f t="shared" si="6"/>
        <v>71</v>
      </c>
      <c r="M149" s="123">
        <v>465</v>
      </c>
      <c r="N149" t="b">
        <f t="shared" si="7"/>
        <v>0</v>
      </c>
      <c r="O149" s="123">
        <v>13</v>
      </c>
      <c r="P149" t="b">
        <f t="shared" si="8"/>
        <v>0</v>
      </c>
    </row>
    <row r="150" spans="1:16">
      <c r="A150" s="121">
        <v>149</v>
      </c>
      <c r="B150" s="185" t="s">
        <v>2314</v>
      </c>
      <c r="C150" s="185" t="s">
        <v>2371</v>
      </c>
      <c r="D150" s="122" t="s">
        <v>2256</v>
      </c>
      <c r="E150" s="124">
        <v>42939</v>
      </c>
      <c r="F150" s="124">
        <v>43010</v>
      </c>
      <c r="G150" s="129">
        <v>194</v>
      </c>
      <c r="H150" s="123">
        <v>703</v>
      </c>
      <c r="I150" s="123">
        <v>464</v>
      </c>
      <c r="J150" s="123">
        <v>664</v>
      </c>
      <c r="K150" s="123">
        <f t="shared" si="6"/>
        <v>71</v>
      </c>
      <c r="M150" s="123">
        <v>15</v>
      </c>
      <c r="N150" t="b">
        <f t="shared" si="7"/>
        <v>0</v>
      </c>
      <c r="O150" s="123">
        <v>832</v>
      </c>
      <c r="P150" t="b">
        <f t="shared" si="8"/>
        <v>0</v>
      </c>
    </row>
    <row r="151" spans="1:16">
      <c r="A151" s="121">
        <v>150</v>
      </c>
      <c r="B151" s="185" t="s">
        <v>2314</v>
      </c>
      <c r="C151" s="185" t="s">
        <v>2372</v>
      </c>
      <c r="D151" s="122" t="s">
        <v>2256</v>
      </c>
      <c r="E151" s="124">
        <v>42939</v>
      </c>
      <c r="F151" s="124">
        <v>43010</v>
      </c>
      <c r="G151" s="123">
        <v>272</v>
      </c>
      <c r="H151" s="123">
        <v>668</v>
      </c>
      <c r="I151" s="123">
        <v>843</v>
      </c>
      <c r="J151" s="123">
        <v>316</v>
      </c>
      <c r="K151" s="123">
        <f t="shared" si="6"/>
        <v>71</v>
      </c>
      <c r="M151" s="123">
        <v>290</v>
      </c>
      <c r="N151" t="b">
        <f t="shared" si="7"/>
        <v>0</v>
      </c>
      <c r="O151" s="123">
        <v>823</v>
      </c>
      <c r="P151" t="b">
        <f t="shared" si="8"/>
        <v>0</v>
      </c>
    </row>
    <row r="152" spans="1:16">
      <c r="A152" s="121">
        <v>151</v>
      </c>
      <c r="B152" s="185" t="s">
        <v>2314</v>
      </c>
      <c r="C152" s="185" t="s">
        <v>2373</v>
      </c>
      <c r="D152" s="122" t="s">
        <v>2256</v>
      </c>
      <c r="E152" s="123" t="s">
        <v>2057</v>
      </c>
      <c r="F152" s="123" t="s">
        <v>2057</v>
      </c>
      <c r="G152" s="123" t="s">
        <v>2057</v>
      </c>
      <c r="H152" s="123" t="s">
        <v>2057</v>
      </c>
      <c r="I152" s="123" t="s">
        <v>2057</v>
      </c>
      <c r="J152" s="123" t="s">
        <v>2057</v>
      </c>
      <c r="K152" s="123" t="str">
        <f t="shared" si="6"/>
        <v/>
      </c>
      <c r="M152" s="129">
        <v>194</v>
      </c>
      <c r="N152" t="b">
        <f t="shared" si="7"/>
        <v>0</v>
      </c>
      <c r="O152" s="123">
        <v>703</v>
      </c>
      <c r="P152" t="b">
        <f t="shared" si="8"/>
        <v>0</v>
      </c>
    </row>
    <row r="153" spans="1:16">
      <c r="A153" s="121">
        <v>152</v>
      </c>
      <c r="B153" s="185" t="s">
        <v>2314</v>
      </c>
      <c r="C153" s="185" t="s">
        <v>2374</v>
      </c>
      <c r="D153" s="122" t="s">
        <v>2256</v>
      </c>
      <c r="E153" s="124">
        <v>42939</v>
      </c>
      <c r="F153" s="124">
        <v>43010</v>
      </c>
      <c r="G153" s="123">
        <v>198</v>
      </c>
      <c r="H153" s="123">
        <v>788</v>
      </c>
      <c r="I153" s="123">
        <v>617</v>
      </c>
      <c r="J153" s="123">
        <v>635</v>
      </c>
      <c r="K153" s="123">
        <f t="shared" si="6"/>
        <v>71</v>
      </c>
      <c r="M153" s="123">
        <v>272</v>
      </c>
      <c r="N153" t="b">
        <f t="shared" si="7"/>
        <v>0</v>
      </c>
      <c r="O153" s="123">
        <v>668</v>
      </c>
      <c r="P153" t="b">
        <f t="shared" si="8"/>
        <v>0</v>
      </c>
    </row>
    <row r="154" spans="1:16">
      <c r="A154" s="121">
        <v>153</v>
      </c>
      <c r="B154" s="185" t="s">
        <v>2314</v>
      </c>
      <c r="C154" s="185" t="s">
        <v>2376</v>
      </c>
      <c r="D154" s="122" t="s">
        <v>2265</v>
      </c>
      <c r="E154" s="124">
        <v>42939</v>
      </c>
      <c r="F154" s="124">
        <v>43010</v>
      </c>
      <c r="G154" s="123">
        <v>197</v>
      </c>
      <c r="H154" s="123">
        <v>735</v>
      </c>
      <c r="I154" s="123">
        <v>19</v>
      </c>
      <c r="J154" s="123">
        <v>651</v>
      </c>
      <c r="K154" s="123">
        <f t="shared" si="6"/>
        <v>71</v>
      </c>
      <c r="M154" s="123" t="s">
        <v>2057</v>
      </c>
      <c r="N154" t="b">
        <f t="shared" si="7"/>
        <v>1</v>
      </c>
      <c r="O154" s="123" t="s">
        <v>2057</v>
      </c>
      <c r="P154" t="b">
        <f t="shared" si="8"/>
        <v>1</v>
      </c>
    </row>
    <row r="155" spans="1:16">
      <c r="A155" s="121">
        <v>154</v>
      </c>
      <c r="B155" s="185" t="s">
        <v>2314</v>
      </c>
      <c r="C155" s="185" t="s">
        <v>2377</v>
      </c>
      <c r="D155" s="122" t="s">
        <v>2265</v>
      </c>
      <c r="E155" s="124">
        <v>42939</v>
      </c>
      <c r="F155" s="124">
        <v>43010</v>
      </c>
      <c r="G155" s="123">
        <v>127</v>
      </c>
      <c r="H155" s="123">
        <v>836</v>
      </c>
      <c r="I155" s="123">
        <v>275</v>
      </c>
      <c r="J155" s="123">
        <v>367</v>
      </c>
      <c r="K155" s="123">
        <f t="shared" si="6"/>
        <v>71</v>
      </c>
      <c r="M155" s="123">
        <v>198</v>
      </c>
      <c r="N155" t="b">
        <f t="shared" si="7"/>
        <v>0</v>
      </c>
      <c r="O155" s="123">
        <v>788</v>
      </c>
      <c r="P155" t="b">
        <f t="shared" si="8"/>
        <v>0</v>
      </c>
    </row>
    <row r="156" spans="1:16">
      <c r="A156" s="121">
        <v>155</v>
      </c>
      <c r="B156" s="185" t="s">
        <v>2314</v>
      </c>
      <c r="C156" s="185" t="s">
        <v>2378</v>
      </c>
      <c r="D156" s="122" t="s">
        <v>2265</v>
      </c>
      <c r="E156" s="124">
        <v>42939</v>
      </c>
      <c r="F156" s="124">
        <v>43010</v>
      </c>
      <c r="G156" s="123">
        <v>253</v>
      </c>
      <c r="H156" s="123">
        <v>337</v>
      </c>
      <c r="I156" s="123">
        <v>289</v>
      </c>
      <c r="J156" s="123">
        <v>617</v>
      </c>
      <c r="K156" s="123">
        <f t="shared" si="6"/>
        <v>71</v>
      </c>
      <c r="M156" s="123">
        <v>197</v>
      </c>
      <c r="N156" t="b">
        <f t="shared" si="7"/>
        <v>0</v>
      </c>
      <c r="O156" s="123">
        <v>735</v>
      </c>
      <c r="P156" t="b">
        <f t="shared" si="8"/>
        <v>0</v>
      </c>
    </row>
    <row r="157" spans="1:16">
      <c r="A157" s="121">
        <v>156</v>
      </c>
      <c r="B157" s="185" t="s">
        <v>2314</v>
      </c>
      <c r="C157" s="185" t="s">
        <v>2379</v>
      </c>
      <c r="D157" s="122" t="s">
        <v>2265</v>
      </c>
      <c r="E157" s="124">
        <v>42939</v>
      </c>
      <c r="F157" s="124">
        <v>43010</v>
      </c>
      <c r="G157" s="123">
        <v>47</v>
      </c>
      <c r="H157" s="123">
        <v>118</v>
      </c>
      <c r="I157" s="123">
        <v>65</v>
      </c>
      <c r="J157" s="123">
        <v>84</v>
      </c>
      <c r="K157" s="123">
        <f t="shared" si="6"/>
        <v>71</v>
      </c>
      <c r="M157" s="123">
        <v>127</v>
      </c>
      <c r="N157" t="b">
        <f t="shared" si="7"/>
        <v>0</v>
      </c>
      <c r="O157" s="123">
        <v>836</v>
      </c>
      <c r="P157" t="b">
        <f t="shared" si="8"/>
        <v>0</v>
      </c>
    </row>
    <row r="158" spans="1:16">
      <c r="A158" s="121">
        <v>157</v>
      </c>
      <c r="B158" s="185" t="s">
        <v>2314</v>
      </c>
      <c r="C158" s="185" t="s">
        <v>2381</v>
      </c>
      <c r="D158" s="122" t="s">
        <v>2265</v>
      </c>
      <c r="E158" s="124">
        <v>42939</v>
      </c>
      <c r="F158" s="124">
        <v>43010</v>
      </c>
      <c r="G158" s="123">
        <v>328</v>
      </c>
      <c r="H158" s="123">
        <v>478</v>
      </c>
      <c r="I158" s="123">
        <v>33</v>
      </c>
      <c r="J158" s="123">
        <v>248</v>
      </c>
      <c r="K158" s="123">
        <f t="shared" si="6"/>
        <v>71</v>
      </c>
      <c r="M158" s="123">
        <v>253</v>
      </c>
      <c r="N158" t="b">
        <f t="shared" si="7"/>
        <v>0</v>
      </c>
      <c r="O158" s="123">
        <v>337</v>
      </c>
      <c r="P158" t="b">
        <f t="shared" si="8"/>
        <v>0</v>
      </c>
    </row>
    <row r="159" spans="1:16">
      <c r="A159" s="121">
        <v>158</v>
      </c>
      <c r="B159" s="185" t="s">
        <v>2314</v>
      </c>
      <c r="C159" s="185" t="s">
        <v>2382</v>
      </c>
      <c r="D159" s="122" t="s">
        <v>2265</v>
      </c>
      <c r="E159" s="124">
        <v>42939</v>
      </c>
      <c r="F159" s="124">
        <v>43010</v>
      </c>
      <c r="G159" s="123">
        <v>21</v>
      </c>
      <c r="H159" s="123">
        <v>773</v>
      </c>
      <c r="I159" s="123">
        <v>153</v>
      </c>
      <c r="J159" s="123">
        <v>238</v>
      </c>
      <c r="K159" s="123">
        <f t="shared" si="6"/>
        <v>71</v>
      </c>
      <c r="M159" s="123">
        <v>47</v>
      </c>
      <c r="N159" t="b">
        <f t="shared" si="7"/>
        <v>0</v>
      </c>
      <c r="O159" s="123">
        <v>118</v>
      </c>
      <c r="P159" t="b">
        <f t="shared" si="8"/>
        <v>0</v>
      </c>
    </row>
    <row r="160" spans="1:16">
      <c r="A160" s="121">
        <v>159</v>
      </c>
      <c r="B160" s="185" t="s">
        <v>2314</v>
      </c>
      <c r="C160" s="185" t="s">
        <v>2383</v>
      </c>
      <c r="D160" s="122" t="s">
        <v>2265</v>
      </c>
      <c r="E160" s="123" t="s">
        <v>2057</v>
      </c>
      <c r="F160" s="123" t="s">
        <v>2057</v>
      </c>
      <c r="G160" s="123" t="s">
        <v>2057</v>
      </c>
      <c r="H160" s="123" t="s">
        <v>2057</v>
      </c>
      <c r="I160" s="123" t="s">
        <v>2057</v>
      </c>
      <c r="J160" s="123" t="s">
        <v>2057</v>
      </c>
      <c r="K160" s="123" t="str">
        <f t="shared" si="6"/>
        <v/>
      </c>
      <c r="M160" s="123">
        <v>328</v>
      </c>
      <c r="N160" t="b">
        <f t="shared" si="7"/>
        <v>0</v>
      </c>
      <c r="O160" s="123">
        <v>478</v>
      </c>
      <c r="P160" t="b">
        <f t="shared" si="8"/>
        <v>0</v>
      </c>
    </row>
    <row r="161" spans="1:16">
      <c r="A161" s="121">
        <v>160</v>
      </c>
      <c r="B161" s="185" t="s">
        <v>2314</v>
      </c>
      <c r="C161" s="185" t="s">
        <v>2384</v>
      </c>
      <c r="D161" s="122" t="s">
        <v>2265</v>
      </c>
      <c r="E161" s="124">
        <v>42939</v>
      </c>
      <c r="F161" s="124">
        <v>43010</v>
      </c>
      <c r="G161" s="123">
        <v>482</v>
      </c>
      <c r="H161" s="123">
        <v>401</v>
      </c>
      <c r="I161" s="123">
        <v>175</v>
      </c>
      <c r="J161" s="123">
        <v>350</v>
      </c>
      <c r="K161" s="123">
        <f t="shared" si="6"/>
        <v>71</v>
      </c>
      <c r="M161" s="123">
        <v>21</v>
      </c>
      <c r="N161" t="b">
        <f t="shared" si="7"/>
        <v>0</v>
      </c>
      <c r="O161" s="123">
        <v>773</v>
      </c>
      <c r="P161" t="b">
        <f t="shared" si="8"/>
        <v>0</v>
      </c>
    </row>
    <row r="162" spans="1:16">
      <c r="A162" s="121">
        <v>161</v>
      </c>
      <c r="B162" s="185" t="s">
        <v>2385</v>
      </c>
      <c r="C162" s="185" t="s">
        <v>2386</v>
      </c>
      <c r="D162" s="122" t="s">
        <v>2278</v>
      </c>
      <c r="E162" s="124">
        <v>42940</v>
      </c>
      <c r="F162" s="124">
        <v>43009</v>
      </c>
      <c r="G162" s="123">
        <v>51</v>
      </c>
      <c r="H162" s="123">
        <v>673</v>
      </c>
      <c r="I162" s="123">
        <v>207</v>
      </c>
      <c r="J162" s="123">
        <v>314</v>
      </c>
      <c r="K162" s="123">
        <f t="shared" si="6"/>
        <v>69</v>
      </c>
      <c r="M162" s="123" t="s">
        <v>2057</v>
      </c>
      <c r="N162" t="b">
        <f t="shared" si="7"/>
        <v>1</v>
      </c>
      <c r="O162" s="123" t="s">
        <v>2057</v>
      </c>
      <c r="P162" t="b">
        <f t="shared" si="8"/>
        <v>1</v>
      </c>
    </row>
    <row r="163" spans="1:16">
      <c r="A163" s="121">
        <v>162</v>
      </c>
      <c r="B163" s="185" t="s">
        <v>2385</v>
      </c>
      <c r="C163" s="185" t="s">
        <v>2387</v>
      </c>
      <c r="D163" s="122" t="s">
        <v>2278</v>
      </c>
      <c r="E163" s="124">
        <v>42940</v>
      </c>
      <c r="F163" s="124">
        <v>43009</v>
      </c>
      <c r="G163" s="123">
        <v>238</v>
      </c>
      <c r="H163" s="123">
        <v>814</v>
      </c>
      <c r="I163" s="123">
        <v>580</v>
      </c>
      <c r="J163" s="123">
        <v>425</v>
      </c>
      <c r="K163" s="123">
        <f t="shared" si="6"/>
        <v>69</v>
      </c>
      <c r="M163" s="123">
        <v>482</v>
      </c>
      <c r="N163" t="b">
        <f t="shared" si="7"/>
        <v>0</v>
      </c>
      <c r="O163" s="123">
        <v>401</v>
      </c>
      <c r="P163" t="b">
        <f t="shared" si="8"/>
        <v>0</v>
      </c>
    </row>
    <row r="164" spans="1:16">
      <c r="A164" s="121">
        <v>163</v>
      </c>
      <c r="B164" s="185" t="s">
        <v>2385</v>
      </c>
      <c r="C164" s="185" t="s">
        <v>2388</v>
      </c>
      <c r="D164" s="122" t="s">
        <v>2278</v>
      </c>
      <c r="E164" s="124">
        <v>42940</v>
      </c>
      <c r="F164" s="124">
        <v>43009</v>
      </c>
      <c r="G164" s="123">
        <v>59</v>
      </c>
      <c r="H164" s="123">
        <v>615</v>
      </c>
      <c r="I164" s="123">
        <v>722</v>
      </c>
      <c r="J164" s="123">
        <v>267</v>
      </c>
      <c r="K164" s="123">
        <f t="shared" si="6"/>
        <v>69</v>
      </c>
      <c r="M164" s="123">
        <v>51</v>
      </c>
      <c r="N164" t="b">
        <f t="shared" si="7"/>
        <v>0</v>
      </c>
      <c r="O164" s="123">
        <v>673</v>
      </c>
      <c r="P164" t="b">
        <f t="shared" si="8"/>
        <v>0</v>
      </c>
    </row>
    <row r="165" spans="1:16">
      <c r="A165" s="121">
        <v>164</v>
      </c>
      <c r="B165" s="185" t="s">
        <v>2385</v>
      </c>
      <c r="C165" s="185" t="s">
        <v>2389</v>
      </c>
      <c r="D165" s="122" t="s">
        <v>2278</v>
      </c>
      <c r="E165" s="124">
        <v>42940</v>
      </c>
      <c r="F165" s="124">
        <v>43009</v>
      </c>
      <c r="G165" s="123">
        <v>7</v>
      </c>
      <c r="H165" s="123">
        <v>514</v>
      </c>
      <c r="I165" s="123">
        <v>239</v>
      </c>
      <c r="J165" s="129">
        <v>211</v>
      </c>
      <c r="K165" s="123">
        <f t="shared" si="6"/>
        <v>69</v>
      </c>
      <c r="M165" s="123">
        <v>238</v>
      </c>
      <c r="N165" t="b">
        <f t="shared" si="7"/>
        <v>0</v>
      </c>
      <c r="O165" s="123">
        <v>814</v>
      </c>
      <c r="P165" t="b">
        <f t="shared" si="8"/>
        <v>0</v>
      </c>
    </row>
    <row r="166" spans="1:16">
      <c r="A166" s="121">
        <v>165</v>
      </c>
      <c r="B166" s="185" t="s">
        <v>2385</v>
      </c>
      <c r="C166" s="185" t="s">
        <v>2390</v>
      </c>
      <c r="D166" s="122" t="s">
        <v>2278</v>
      </c>
      <c r="E166" s="124">
        <v>42940</v>
      </c>
      <c r="F166" s="124">
        <v>43009</v>
      </c>
      <c r="G166" s="123">
        <v>85</v>
      </c>
      <c r="H166" s="123">
        <v>127</v>
      </c>
      <c r="I166" s="123">
        <v>343</v>
      </c>
      <c r="J166" s="123">
        <v>310</v>
      </c>
      <c r="K166" s="123">
        <f t="shared" si="6"/>
        <v>69</v>
      </c>
      <c r="M166" s="123">
        <v>59</v>
      </c>
      <c r="N166" t="b">
        <f t="shared" si="7"/>
        <v>0</v>
      </c>
      <c r="O166" s="123">
        <v>615</v>
      </c>
      <c r="P166" t="b">
        <f t="shared" si="8"/>
        <v>0</v>
      </c>
    </row>
    <row r="167" spans="1:16">
      <c r="A167" s="121">
        <v>166</v>
      </c>
      <c r="B167" s="185" t="s">
        <v>2385</v>
      </c>
      <c r="C167" s="185" t="s">
        <v>2391</v>
      </c>
      <c r="D167" s="122" t="s">
        <v>2278</v>
      </c>
      <c r="E167" s="124">
        <v>42940</v>
      </c>
      <c r="F167" s="124">
        <v>43009</v>
      </c>
      <c r="G167" s="123">
        <v>1</v>
      </c>
      <c r="H167" s="123">
        <v>752</v>
      </c>
      <c r="I167" s="123">
        <v>409</v>
      </c>
      <c r="J167" s="123">
        <v>269</v>
      </c>
      <c r="K167" s="123">
        <f t="shared" si="6"/>
        <v>69</v>
      </c>
      <c r="M167" s="123">
        <v>7</v>
      </c>
      <c r="N167" t="b">
        <f t="shared" si="7"/>
        <v>0</v>
      </c>
      <c r="O167" s="123">
        <v>514</v>
      </c>
      <c r="P167" t="b">
        <f t="shared" si="8"/>
        <v>0</v>
      </c>
    </row>
    <row r="168" spans="1:16">
      <c r="A168" s="121">
        <v>167</v>
      </c>
      <c r="B168" s="185" t="s">
        <v>2385</v>
      </c>
      <c r="C168" s="185" t="s">
        <v>2393</v>
      </c>
      <c r="D168" s="122" t="s">
        <v>2278</v>
      </c>
      <c r="E168" s="123" t="s">
        <v>2057</v>
      </c>
      <c r="F168" s="123" t="s">
        <v>2057</v>
      </c>
      <c r="G168" s="123" t="s">
        <v>2057</v>
      </c>
      <c r="H168" s="123" t="s">
        <v>2057</v>
      </c>
      <c r="I168" s="123" t="s">
        <v>2057</v>
      </c>
      <c r="J168" s="123" t="s">
        <v>2057</v>
      </c>
      <c r="K168" s="123" t="str">
        <f t="shared" si="6"/>
        <v/>
      </c>
      <c r="M168" s="123">
        <v>85</v>
      </c>
      <c r="N168" t="b">
        <f t="shared" si="7"/>
        <v>0</v>
      </c>
      <c r="O168" s="123">
        <v>127</v>
      </c>
      <c r="P168" t="b">
        <f t="shared" si="8"/>
        <v>0</v>
      </c>
    </row>
    <row r="169" spans="1:16">
      <c r="A169" s="121">
        <v>168</v>
      </c>
      <c r="B169" s="185" t="s">
        <v>2385</v>
      </c>
      <c r="C169" s="185" t="s">
        <v>2394</v>
      </c>
      <c r="D169" s="122" t="s">
        <v>2278</v>
      </c>
      <c r="E169" s="124">
        <v>42940</v>
      </c>
      <c r="F169" s="124">
        <v>43009</v>
      </c>
      <c r="G169" s="123">
        <v>70</v>
      </c>
      <c r="H169" s="123">
        <v>690</v>
      </c>
      <c r="I169" s="123">
        <v>304</v>
      </c>
      <c r="J169" s="123">
        <v>413</v>
      </c>
      <c r="K169" s="123">
        <f t="shared" si="6"/>
        <v>69</v>
      </c>
      <c r="M169" s="123">
        <v>1</v>
      </c>
      <c r="N169" t="b">
        <f t="shared" si="7"/>
        <v>0</v>
      </c>
      <c r="O169" s="123">
        <v>752</v>
      </c>
      <c r="P169" t="b">
        <f t="shared" si="8"/>
        <v>0</v>
      </c>
    </row>
    <row r="170" spans="1:16">
      <c r="A170" s="121">
        <v>169</v>
      </c>
      <c r="B170" s="185" t="s">
        <v>2385</v>
      </c>
      <c r="C170" s="185" t="s">
        <v>2395</v>
      </c>
      <c r="D170" s="122" t="s">
        <v>2287</v>
      </c>
      <c r="E170" s="124">
        <v>42940</v>
      </c>
      <c r="F170" s="124">
        <v>43009</v>
      </c>
      <c r="G170" s="123">
        <v>250</v>
      </c>
      <c r="H170" s="123">
        <v>684</v>
      </c>
      <c r="I170" s="123">
        <v>135</v>
      </c>
      <c r="J170" s="123">
        <v>80</v>
      </c>
      <c r="K170" s="123">
        <f t="shared" si="6"/>
        <v>69</v>
      </c>
      <c r="M170" s="123" t="s">
        <v>2057</v>
      </c>
      <c r="N170" t="b">
        <f t="shared" si="7"/>
        <v>1</v>
      </c>
      <c r="O170" s="123" t="s">
        <v>2057</v>
      </c>
      <c r="P170" t="b">
        <f t="shared" si="8"/>
        <v>1</v>
      </c>
    </row>
    <row r="171" spans="1:16">
      <c r="A171" s="121">
        <v>170</v>
      </c>
      <c r="B171" s="185" t="s">
        <v>2385</v>
      </c>
      <c r="C171" s="185" t="s">
        <v>2396</v>
      </c>
      <c r="D171" s="122" t="s">
        <v>2287</v>
      </c>
      <c r="E171" s="124">
        <v>42940</v>
      </c>
      <c r="F171" s="124">
        <v>43009</v>
      </c>
      <c r="G171" s="123">
        <v>624</v>
      </c>
      <c r="H171" s="123">
        <v>694</v>
      </c>
      <c r="I171" s="123">
        <v>515</v>
      </c>
      <c r="J171" s="123">
        <v>208</v>
      </c>
      <c r="K171" s="123">
        <f t="shared" si="6"/>
        <v>69</v>
      </c>
      <c r="M171" s="123">
        <v>70</v>
      </c>
      <c r="N171" t="b">
        <f t="shared" si="7"/>
        <v>0</v>
      </c>
      <c r="O171" s="123">
        <v>690</v>
      </c>
      <c r="P171" t="b">
        <f t="shared" si="8"/>
        <v>0</v>
      </c>
    </row>
    <row r="172" spans="1:16">
      <c r="A172" s="121">
        <v>171</v>
      </c>
      <c r="B172" s="185" t="s">
        <v>2385</v>
      </c>
      <c r="C172" s="185" t="s">
        <v>2397</v>
      </c>
      <c r="D172" s="122" t="s">
        <v>2287</v>
      </c>
      <c r="E172" s="124">
        <v>42940</v>
      </c>
      <c r="F172" s="124">
        <v>43009</v>
      </c>
      <c r="G172" s="123">
        <v>149</v>
      </c>
      <c r="H172" s="123">
        <v>655</v>
      </c>
      <c r="I172" s="123">
        <v>348</v>
      </c>
      <c r="J172" s="123">
        <v>633</v>
      </c>
      <c r="K172" s="123">
        <f t="shared" si="6"/>
        <v>69</v>
      </c>
      <c r="M172" s="165">
        <v>250</v>
      </c>
      <c r="N172" t="b">
        <f t="shared" si="7"/>
        <v>1</v>
      </c>
      <c r="O172" s="123">
        <v>684</v>
      </c>
      <c r="P172" t="b">
        <f t="shared" si="8"/>
        <v>0</v>
      </c>
    </row>
    <row r="173" spans="1:16">
      <c r="A173" s="121">
        <v>172</v>
      </c>
      <c r="B173" s="185" t="s">
        <v>2385</v>
      </c>
      <c r="C173" s="185" t="s">
        <v>2398</v>
      </c>
      <c r="D173" s="122" t="s">
        <v>2287</v>
      </c>
      <c r="E173" s="124" t="s">
        <v>2057</v>
      </c>
      <c r="F173" s="124" t="s">
        <v>2057</v>
      </c>
      <c r="G173" s="124" t="s">
        <v>2057</v>
      </c>
      <c r="H173" s="124" t="s">
        <v>2057</v>
      </c>
      <c r="I173" s="124" t="s">
        <v>2057</v>
      </c>
      <c r="J173" s="124" t="s">
        <v>2057</v>
      </c>
      <c r="K173" s="123" t="str">
        <f t="shared" si="6"/>
        <v/>
      </c>
      <c r="M173" s="123">
        <v>624</v>
      </c>
      <c r="N173" t="b">
        <f t="shared" si="7"/>
        <v>0</v>
      </c>
      <c r="O173" s="123">
        <v>694</v>
      </c>
      <c r="P173" t="b">
        <f t="shared" si="8"/>
        <v>0</v>
      </c>
    </row>
    <row r="174" spans="1:16">
      <c r="A174" s="121">
        <v>173</v>
      </c>
      <c r="B174" s="185" t="s">
        <v>2385</v>
      </c>
      <c r="C174" s="185" t="s">
        <v>2399</v>
      </c>
      <c r="D174" s="122" t="s">
        <v>2287</v>
      </c>
      <c r="E174" s="124">
        <v>42940</v>
      </c>
      <c r="F174" s="124">
        <v>43009</v>
      </c>
      <c r="G174" s="123">
        <v>597</v>
      </c>
      <c r="H174" s="123">
        <v>405</v>
      </c>
      <c r="I174" s="123">
        <v>307</v>
      </c>
      <c r="J174" s="123">
        <v>473</v>
      </c>
      <c r="K174" s="123">
        <f t="shared" si="6"/>
        <v>69</v>
      </c>
      <c r="M174" s="123">
        <v>149</v>
      </c>
      <c r="N174" t="b">
        <f t="shared" si="7"/>
        <v>0</v>
      </c>
      <c r="O174" s="123">
        <v>655</v>
      </c>
      <c r="P174" t="b">
        <f t="shared" si="8"/>
        <v>0</v>
      </c>
    </row>
    <row r="175" spans="1:16">
      <c r="A175" s="121">
        <v>174</v>
      </c>
      <c r="B175" s="185" t="s">
        <v>2385</v>
      </c>
      <c r="C175" s="185" t="s">
        <v>2400</v>
      </c>
      <c r="D175" s="122" t="s">
        <v>2287</v>
      </c>
      <c r="E175" s="124">
        <v>42940</v>
      </c>
      <c r="F175" s="124">
        <v>43009</v>
      </c>
      <c r="G175" s="123">
        <v>396</v>
      </c>
      <c r="H175" s="123">
        <v>736</v>
      </c>
      <c r="I175" s="123">
        <v>155</v>
      </c>
      <c r="J175" s="123">
        <v>702</v>
      </c>
      <c r="K175" s="123">
        <f t="shared" si="6"/>
        <v>69</v>
      </c>
      <c r="M175" s="124" t="s">
        <v>2057</v>
      </c>
      <c r="N175" t="b">
        <f t="shared" si="7"/>
        <v>1</v>
      </c>
      <c r="O175" s="124" t="s">
        <v>2057</v>
      </c>
      <c r="P175" t="b">
        <f t="shared" si="8"/>
        <v>1</v>
      </c>
    </row>
    <row r="176" spans="1:16">
      <c r="A176" s="121">
        <v>175</v>
      </c>
      <c r="B176" s="185" t="s">
        <v>2385</v>
      </c>
      <c r="C176" s="185" t="s">
        <v>2401</v>
      </c>
      <c r="D176" s="122" t="s">
        <v>2287</v>
      </c>
      <c r="E176" s="124">
        <v>42940</v>
      </c>
      <c r="F176" s="124">
        <v>43009</v>
      </c>
      <c r="G176" s="123">
        <v>612</v>
      </c>
      <c r="H176" s="123">
        <v>338</v>
      </c>
      <c r="I176" s="123">
        <v>719</v>
      </c>
      <c r="J176" s="123">
        <v>175</v>
      </c>
      <c r="K176" s="123">
        <f t="shared" si="6"/>
        <v>69</v>
      </c>
      <c r="M176" s="123">
        <v>597</v>
      </c>
      <c r="N176" t="b">
        <f t="shared" si="7"/>
        <v>0</v>
      </c>
      <c r="O176" s="123">
        <v>405</v>
      </c>
      <c r="P176" t="b">
        <f t="shared" si="8"/>
        <v>0</v>
      </c>
    </row>
    <row r="177" spans="1:16">
      <c r="A177" s="121">
        <v>176</v>
      </c>
      <c r="B177" s="185" t="s">
        <v>2385</v>
      </c>
      <c r="C177" s="185" t="s">
        <v>2402</v>
      </c>
      <c r="D177" s="122" t="s">
        <v>2287</v>
      </c>
      <c r="E177" s="124">
        <v>42940</v>
      </c>
      <c r="F177" s="124">
        <v>43009</v>
      </c>
      <c r="G177" s="123">
        <v>183</v>
      </c>
      <c r="H177" s="123">
        <v>52</v>
      </c>
      <c r="I177" s="123">
        <v>323</v>
      </c>
      <c r="J177" s="123">
        <v>332</v>
      </c>
      <c r="K177" s="123">
        <f t="shared" si="6"/>
        <v>69</v>
      </c>
      <c r="M177" s="123">
        <v>396</v>
      </c>
      <c r="N177" t="b">
        <f t="shared" si="7"/>
        <v>0</v>
      </c>
      <c r="O177" s="123">
        <v>736</v>
      </c>
      <c r="P177" t="b">
        <f t="shared" si="8"/>
        <v>0</v>
      </c>
    </row>
    <row r="178" spans="1:16">
      <c r="A178" s="121">
        <v>177</v>
      </c>
      <c r="B178" s="185" t="s">
        <v>2385</v>
      </c>
      <c r="C178" s="185" t="s">
        <v>2403</v>
      </c>
      <c r="D178" s="122" t="s">
        <v>2296</v>
      </c>
      <c r="E178" s="124">
        <v>42940</v>
      </c>
      <c r="F178" s="124">
        <v>43009</v>
      </c>
      <c r="G178" s="123">
        <v>98</v>
      </c>
      <c r="H178" s="123">
        <v>750</v>
      </c>
      <c r="I178" s="123">
        <v>14</v>
      </c>
      <c r="J178" s="123">
        <v>279</v>
      </c>
      <c r="K178" s="123">
        <f t="shared" si="6"/>
        <v>69</v>
      </c>
      <c r="M178" s="123">
        <v>612</v>
      </c>
      <c r="N178" t="b">
        <f t="shared" si="7"/>
        <v>0</v>
      </c>
      <c r="O178" s="123">
        <v>338</v>
      </c>
      <c r="P178" t="b">
        <f t="shared" si="8"/>
        <v>0</v>
      </c>
    </row>
    <row r="179" spans="1:16">
      <c r="A179" s="121">
        <v>178</v>
      </c>
      <c r="B179" s="185" t="s">
        <v>2385</v>
      </c>
      <c r="C179" s="185" t="s">
        <v>2404</v>
      </c>
      <c r="D179" s="122" t="s">
        <v>2296</v>
      </c>
      <c r="E179" s="124">
        <v>42940</v>
      </c>
      <c r="F179" s="124">
        <v>43009</v>
      </c>
      <c r="G179" s="129">
        <v>353</v>
      </c>
      <c r="H179" s="123">
        <v>612</v>
      </c>
      <c r="I179" s="123">
        <v>410</v>
      </c>
      <c r="J179" s="123">
        <v>718</v>
      </c>
      <c r="K179" s="123">
        <f t="shared" si="6"/>
        <v>69</v>
      </c>
      <c r="M179" s="123">
        <v>183</v>
      </c>
      <c r="N179" t="b">
        <f t="shared" si="7"/>
        <v>0</v>
      </c>
      <c r="O179" s="123">
        <v>52</v>
      </c>
      <c r="P179" t="b">
        <f t="shared" si="8"/>
        <v>0</v>
      </c>
    </row>
    <row r="180" spans="1:16">
      <c r="A180" s="121">
        <v>179</v>
      </c>
      <c r="B180" s="185" t="s">
        <v>2385</v>
      </c>
      <c r="C180" s="185" t="s">
        <v>2405</v>
      </c>
      <c r="D180" s="122" t="s">
        <v>2296</v>
      </c>
      <c r="E180" s="124">
        <v>42940</v>
      </c>
      <c r="F180" s="124">
        <v>43009</v>
      </c>
      <c r="G180" s="123">
        <v>42</v>
      </c>
      <c r="H180" s="123">
        <v>491</v>
      </c>
      <c r="I180" s="123">
        <v>78</v>
      </c>
      <c r="J180" s="123">
        <v>640</v>
      </c>
      <c r="K180" s="123">
        <f t="shared" si="6"/>
        <v>69</v>
      </c>
      <c r="M180" s="123">
        <v>98</v>
      </c>
      <c r="N180" t="b">
        <f t="shared" si="7"/>
        <v>0</v>
      </c>
      <c r="O180" s="123">
        <v>750</v>
      </c>
      <c r="P180" t="b">
        <f t="shared" si="8"/>
        <v>0</v>
      </c>
    </row>
    <row r="181" spans="1:16">
      <c r="A181" s="121">
        <v>180</v>
      </c>
      <c r="B181" s="185" t="s">
        <v>2385</v>
      </c>
      <c r="C181" s="185" t="s">
        <v>2406</v>
      </c>
      <c r="D181" s="122" t="s">
        <v>2296</v>
      </c>
      <c r="E181" s="124">
        <v>42940</v>
      </c>
      <c r="F181" s="124">
        <v>43009</v>
      </c>
      <c r="G181" s="123">
        <v>245</v>
      </c>
      <c r="H181" s="123">
        <v>325</v>
      </c>
      <c r="I181" s="123">
        <v>422</v>
      </c>
      <c r="J181" s="123">
        <v>669</v>
      </c>
      <c r="K181" s="123">
        <f t="shared" si="6"/>
        <v>69</v>
      </c>
      <c r="M181" s="129">
        <v>353</v>
      </c>
      <c r="N181" t="b">
        <f t="shared" si="7"/>
        <v>0</v>
      </c>
      <c r="O181" s="123">
        <v>612</v>
      </c>
      <c r="P181" t="b">
        <f t="shared" si="8"/>
        <v>0</v>
      </c>
    </row>
    <row r="182" spans="1:16">
      <c r="A182" s="121">
        <v>181</v>
      </c>
      <c r="B182" s="185" t="s">
        <v>2385</v>
      </c>
      <c r="C182" s="185" t="s">
        <v>2407</v>
      </c>
      <c r="D182" s="122" t="s">
        <v>2296</v>
      </c>
      <c r="E182" s="124">
        <v>42940</v>
      </c>
      <c r="F182" s="124">
        <v>43009</v>
      </c>
      <c r="G182" s="123">
        <v>411</v>
      </c>
      <c r="H182" s="123">
        <v>116</v>
      </c>
      <c r="I182" s="123">
        <v>870</v>
      </c>
      <c r="J182" s="123">
        <v>170</v>
      </c>
      <c r="K182" s="123">
        <f t="shared" si="6"/>
        <v>69</v>
      </c>
      <c r="M182" s="123">
        <v>42</v>
      </c>
      <c r="N182" t="b">
        <f t="shared" si="7"/>
        <v>0</v>
      </c>
      <c r="O182" s="123">
        <v>491</v>
      </c>
      <c r="P182" t="b">
        <f t="shared" si="8"/>
        <v>0</v>
      </c>
    </row>
    <row r="183" spans="1:16">
      <c r="A183" s="121">
        <v>182</v>
      </c>
      <c r="B183" s="185" t="s">
        <v>2385</v>
      </c>
      <c r="C183" s="185" t="s">
        <v>2408</v>
      </c>
      <c r="D183" s="122" t="s">
        <v>2296</v>
      </c>
      <c r="E183" s="124">
        <v>42940</v>
      </c>
      <c r="F183" s="124">
        <v>43009</v>
      </c>
      <c r="G183" s="123">
        <v>309</v>
      </c>
      <c r="H183" s="123">
        <v>613</v>
      </c>
      <c r="I183" s="123">
        <v>136</v>
      </c>
      <c r="J183" s="123">
        <v>697</v>
      </c>
      <c r="K183" s="123">
        <f t="shared" si="6"/>
        <v>69</v>
      </c>
      <c r="M183" s="123">
        <v>245</v>
      </c>
      <c r="N183" t="b">
        <f t="shared" si="7"/>
        <v>0</v>
      </c>
      <c r="O183" s="123">
        <v>325</v>
      </c>
      <c r="P183" t="b">
        <f t="shared" si="8"/>
        <v>0</v>
      </c>
    </row>
    <row r="184" spans="1:16">
      <c r="A184" s="121">
        <v>183</v>
      </c>
      <c r="B184" s="185" t="s">
        <v>2385</v>
      </c>
      <c r="C184" s="185" t="s">
        <v>2409</v>
      </c>
      <c r="D184" s="122" t="s">
        <v>2296</v>
      </c>
      <c r="E184" s="124" t="s">
        <v>2057</v>
      </c>
      <c r="F184" s="124" t="s">
        <v>2057</v>
      </c>
      <c r="G184" s="124" t="s">
        <v>2057</v>
      </c>
      <c r="H184" s="124" t="s">
        <v>2057</v>
      </c>
      <c r="I184" s="124" t="s">
        <v>2057</v>
      </c>
      <c r="J184" s="124" t="s">
        <v>2057</v>
      </c>
      <c r="K184" s="123" t="str">
        <f t="shared" si="6"/>
        <v/>
      </c>
      <c r="M184" s="123">
        <v>411</v>
      </c>
      <c r="N184" t="b">
        <f t="shared" si="7"/>
        <v>0</v>
      </c>
      <c r="O184" s="123">
        <v>116</v>
      </c>
      <c r="P184" t="b">
        <f t="shared" si="8"/>
        <v>0</v>
      </c>
    </row>
    <row r="185" spans="1:16">
      <c r="A185" s="121">
        <v>184</v>
      </c>
      <c r="B185" s="185" t="s">
        <v>2385</v>
      </c>
      <c r="C185" s="185" t="s">
        <v>2410</v>
      </c>
      <c r="D185" s="122" t="s">
        <v>2296</v>
      </c>
      <c r="E185" s="124">
        <v>42940</v>
      </c>
      <c r="F185" s="124">
        <v>43009</v>
      </c>
      <c r="G185" s="123">
        <v>235</v>
      </c>
      <c r="H185" s="129">
        <v>179</v>
      </c>
      <c r="I185" s="123">
        <v>266</v>
      </c>
      <c r="J185" s="123">
        <v>674</v>
      </c>
      <c r="K185" s="123">
        <f t="shared" si="6"/>
        <v>69</v>
      </c>
      <c r="M185" s="123">
        <v>309</v>
      </c>
      <c r="N185" t="b">
        <f t="shared" si="7"/>
        <v>0</v>
      </c>
      <c r="O185" s="123">
        <v>613</v>
      </c>
      <c r="P185" t="b">
        <f t="shared" si="8"/>
        <v>0</v>
      </c>
    </row>
    <row r="186" spans="1:16">
      <c r="A186" s="121">
        <v>185</v>
      </c>
      <c r="B186" s="185" t="s">
        <v>2385</v>
      </c>
      <c r="C186" s="185" t="s">
        <v>2412</v>
      </c>
      <c r="D186" s="122" t="s">
        <v>2306</v>
      </c>
      <c r="E186" s="124">
        <v>42940</v>
      </c>
      <c r="F186" s="124">
        <v>43009</v>
      </c>
      <c r="G186" s="123">
        <v>369</v>
      </c>
      <c r="H186" s="123">
        <v>300</v>
      </c>
      <c r="I186" s="123">
        <v>165</v>
      </c>
      <c r="J186" s="123">
        <v>607</v>
      </c>
      <c r="K186" s="123">
        <f t="shared" si="6"/>
        <v>69</v>
      </c>
      <c r="M186" s="124" t="s">
        <v>2057</v>
      </c>
      <c r="N186" t="b">
        <f t="shared" si="7"/>
        <v>1</v>
      </c>
      <c r="O186" s="124" t="s">
        <v>2057</v>
      </c>
      <c r="P186" t="b">
        <f t="shared" si="8"/>
        <v>1</v>
      </c>
    </row>
    <row r="187" spans="1:16">
      <c r="A187" s="121">
        <v>186</v>
      </c>
      <c r="B187" s="185" t="s">
        <v>2385</v>
      </c>
      <c r="C187" s="185" t="s">
        <v>2413</v>
      </c>
      <c r="D187" s="122" t="s">
        <v>2306</v>
      </c>
      <c r="E187" s="124">
        <v>42940</v>
      </c>
      <c r="F187" s="124">
        <v>43009</v>
      </c>
      <c r="G187" s="123">
        <v>295</v>
      </c>
      <c r="H187" s="123">
        <v>717</v>
      </c>
      <c r="I187" s="123">
        <v>22</v>
      </c>
      <c r="J187" s="123">
        <v>629</v>
      </c>
      <c r="K187" s="123">
        <f t="shared" si="6"/>
        <v>69</v>
      </c>
      <c r="M187" s="123">
        <v>235</v>
      </c>
      <c r="N187" t="b">
        <f t="shared" si="7"/>
        <v>0</v>
      </c>
      <c r="O187" s="129">
        <v>179</v>
      </c>
      <c r="P187" t="b">
        <f t="shared" si="8"/>
        <v>0</v>
      </c>
    </row>
    <row r="188" spans="1:16">
      <c r="A188" s="121">
        <v>187</v>
      </c>
      <c r="B188" s="185" t="s">
        <v>2385</v>
      </c>
      <c r="C188" s="185" t="s">
        <v>2414</v>
      </c>
      <c r="D188" s="122" t="s">
        <v>2306</v>
      </c>
      <c r="E188" s="124">
        <v>42940</v>
      </c>
      <c r="F188" s="124">
        <v>43009</v>
      </c>
      <c r="G188" s="123">
        <v>242</v>
      </c>
      <c r="H188" s="123">
        <v>759</v>
      </c>
      <c r="I188" s="123">
        <v>371</v>
      </c>
      <c r="J188" s="123">
        <v>679</v>
      </c>
      <c r="K188" s="123">
        <f t="shared" si="6"/>
        <v>69</v>
      </c>
      <c r="M188" s="123">
        <v>369</v>
      </c>
      <c r="N188" t="b">
        <f t="shared" si="7"/>
        <v>0</v>
      </c>
      <c r="O188" s="123">
        <v>300</v>
      </c>
      <c r="P188" t="b">
        <f t="shared" si="8"/>
        <v>0</v>
      </c>
    </row>
    <row r="189" spans="1:16">
      <c r="A189" s="121">
        <v>188</v>
      </c>
      <c r="B189" s="185" t="s">
        <v>2385</v>
      </c>
      <c r="C189" s="185" t="s">
        <v>2415</v>
      </c>
      <c r="D189" s="122" t="s">
        <v>2306</v>
      </c>
      <c r="E189" s="124">
        <v>42940</v>
      </c>
      <c r="F189" s="124">
        <v>43009</v>
      </c>
      <c r="G189" s="123">
        <v>146</v>
      </c>
      <c r="H189" s="123">
        <v>357</v>
      </c>
      <c r="I189" s="123">
        <v>185</v>
      </c>
      <c r="J189" s="123">
        <v>682</v>
      </c>
      <c r="K189" s="123">
        <f t="shared" si="6"/>
        <v>69</v>
      </c>
      <c r="M189" s="123">
        <v>295</v>
      </c>
      <c r="N189" t="b">
        <f t="shared" si="7"/>
        <v>0</v>
      </c>
      <c r="O189" s="123">
        <v>717</v>
      </c>
      <c r="P189" t="b">
        <f t="shared" si="8"/>
        <v>0</v>
      </c>
    </row>
    <row r="190" spans="1:16">
      <c r="A190" s="121">
        <v>189</v>
      </c>
      <c r="B190" s="185" t="s">
        <v>2385</v>
      </c>
      <c r="C190" s="185" t="s">
        <v>2417</v>
      </c>
      <c r="D190" s="122" t="s">
        <v>2306</v>
      </c>
      <c r="E190" s="124">
        <v>42940</v>
      </c>
      <c r="F190" s="124">
        <v>43009</v>
      </c>
      <c r="G190" s="129">
        <v>144</v>
      </c>
      <c r="H190" s="123">
        <v>18</v>
      </c>
      <c r="I190" s="123">
        <v>301</v>
      </c>
      <c r="J190" s="123">
        <v>693</v>
      </c>
      <c r="K190" s="123">
        <f t="shared" si="6"/>
        <v>69</v>
      </c>
      <c r="M190" s="123">
        <v>242</v>
      </c>
      <c r="N190" t="b">
        <f t="shared" si="7"/>
        <v>0</v>
      </c>
      <c r="O190" s="123">
        <v>759</v>
      </c>
      <c r="P190" t="b">
        <f t="shared" si="8"/>
        <v>0</v>
      </c>
    </row>
    <row r="191" spans="1:16">
      <c r="A191" s="121">
        <v>190</v>
      </c>
      <c r="B191" s="185" t="s">
        <v>2385</v>
      </c>
      <c r="C191" s="185" t="s">
        <v>2418</v>
      </c>
      <c r="D191" s="122" t="s">
        <v>2306</v>
      </c>
      <c r="E191" s="124">
        <v>42940</v>
      </c>
      <c r="F191" s="124">
        <v>43009</v>
      </c>
      <c r="G191" s="123">
        <v>171</v>
      </c>
      <c r="H191" s="123">
        <v>397</v>
      </c>
      <c r="I191" s="123">
        <v>466</v>
      </c>
      <c r="J191" s="123">
        <v>605</v>
      </c>
      <c r="K191" s="123">
        <f t="shared" si="6"/>
        <v>69</v>
      </c>
      <c r="M191" s="123">
        <v>146</v>
      </c>
      <c r="N191" t="b">
        <f t="shared" si="7"/>
        <v>0</v>
      </c>
      <c r="O191" s="123">
        <v>357</v>
      </c>
      <c r="P191" t="b">
        <f t="shared" si="8"/>
        <v>0</v>
      </c>
    </row>
    <row r="192" spans="1:16">
      <c r="A192" s="121">
        <v>191</v>
      </c>
      <c r="B192" s="185" t="s">
        <v>2385</v>
      </c>
      <c r="C192" s="185" t="s">
        <v>2419</v>
      </c>
      <c r="D192" s="122" t="s">
        <v>2306</v>
      </c>
      <c r="E192" s="124">
        <v>42940</v>
      </c>
      <c r="F192" s="124">
        <v>43009</v>
      </c>
      <c r="G192" s="123">
        <v>232</v>
      </c>
      <c r="H192" s="123">
        <v>715</v>
      </c>
      <c r="I192" s="123">
        <v>32</v>
      </c>
      <c r="J192" s="123">
        <v>240</v>
      </c>
      <c r="K192" s="123">
        <f t="shared" si="6"/>
        <v>69</v>
      </c>
      <c r="M192" s="129">
        <v>144</v>
      </c>
      <c r="N192" t="b">
        <f t="shared" si="7"/>
        <v>0</v>
      </c>
      <c r="O192" s="123">
        <v>18</v>
      </c>
      <c r="P192" t="b">
        <f t="shared" si="8"/>
        <v>0</v>
      </c>
    </row>
    <row r="193" spans="1:16">
      <c r="A193" s="121">
        <v>192</v>
      </c>
      <c r="B193" s="185" t="s">
        <v>2385</v>
      </c>
      <c r="C193" s="185" t="s">
        <v>2420</v>
      </c>
      <c r="D193" s="122" t="s">
        <v>2306</v>
      </c>
      <c r="E193" s="123" t="s">
        <v>2057</v>
      </c>
      <c r="F193" s="123" t="s">
        <v>2057</v>
      </c>
      <c r="G193" s="123" t="s">
        <v>2057</v>
      </c>
      <c r="H193" s="123" t="s">
        <v>2057</v>
      </c>
      <c r="I193" s="123" t="s">
        <v>2057</v>
      </c>
      <c r="J193" s="123" t="s">
        <v>2057</v>
      </c>
      <c r="K193" s="123" t="str">
        <f t="shared" si="6"/>
        <v/>
      </c>
      <c r="M193" s="123">
        <v>171</v>
      </c>
      <c r="N193" t="b">
        <f t="shared" si="7"/>
        <v>0</v>
      </c>
      <c r="O193" s="123">
        <v>397</v>
      </c>
      <c r="P193" t="b">
        <f t="shared" si="8"/>
        <v>0</v>
      </c>
    </row>
    <row r="194" spans="1:16">
      <c r="A194" s="189">
        <v>193</v>
      </c>
      <c r="B194" s="190" t="s">
        <v>2176</v>
      </c>
      <c r="C194" s="190" t="s">
        <v>2445</v>
      </c>
      <c r="D194" s="122">
        <v>3</v>
      </c>
      <c r="E194" s="124">
        <v>42942</v>
      </c>
      <c r="F194" s="124">
        <v>43004</v>
      </c>
      <c r="G194" s="123">
        <v>257</v>
      </c>
      <c r="H194" s="123">
        <v>695</v>
      </c>
      <c r="I194" s="123">
        <v>45</v>
      </c>
      <c r="J194" s="123">
        <v>623</v>
      </c>
      <c r="K194" s="123">
        <f t="shared" si="6"/>
        <v>62</v>
      </c>
      <c r="M194" s="123">
        <v>232</v>
      </c>
      <c r="N194" t="b">
        <f t="shared" si="7"/>
        <v>0</v>
      </c>
      <c r="O194" s="123">
        <v>715</v>
      </c>
      <c r="P194" t="b">
        <f t="shared" si="8"/>
        <v>0</v>
      </c>
    </row>
    <row r="195" spans="1:16">
      <c r="A195" s="189">
        <v>194</v>
      </c>
      <c r="B195" s="190" t="s">
        <v>2176</v>
      </c>
      <c r="C195" s="190" t="s">
        <v>2438</v>
      </c>
      <c r="D195" s="133">
        <v>6</v>
      </c>
      <c r="E195" s="124">
        <v>42942</v>
      </c>
      <c r="F195" s="124">
        <v>43004</v>
      </c>
      <c r="G195" s="123">
        <v>148</v>
      </c>
      <c r="H195" s="123">
        <v>653</v>
      </c>
      <c r="I195" s="123">
        <v>90</v>
      </c>
      <c r="J195" s="123">
        <v>611</v>
      </c>
      <c r="K195" s="123">
        <f t="shared" ref="K195:K221" si="9">IFERROR(F195-E195,"")</f>
        <v>62</v>
      </c>
      <c r="M195" s="123" t="s">
        <v>2057</v>
      </c>
      <c r="N195" t="b">
        <f t="shared" si="7"/>
        <v>1</v>
      </c>
      <c r="O195" s="123" t="s">
        <v>2057</v>
      </c>
      <c r="P195" t="b">
        <f t="shared" si="8"/>
        <v>1</v>
      </c>
    </row>
    <row r="196" spans="1:16">
      <c r="A196" s="189">
        <v>195</v>
      </c>
      <c r="B196" s="190" t="s">
        <v>2176</v>
      </c>
      <c r="C196" s="190" t="s">
        <v>2430</v>
      </c>
      <c r="D196" s="133">
        <v>4</v>
      </c>
      <c r="E196" s="124">
        <v>42942</v>
      </c>
      <c r="F196" s="124">
        <v>43004</v>
      </c>
      <c r="G196" s="123">
        <v>105</v>
      </c>
      <c r="H196" s="123">
        <v>389</v>
      </c>
      <c r="I196" s="123">
        <v>338</v>
      </c>
      <c r="J196" s="123">
        <v>645</v>
      </c>
      <c r="K196" s="123">
        <f t="shared" si="9"/>
        <v>62</v>
      </c>
      <c r="M196" s="123">
        <v>257</v>
      </c>
      <c r="N196" t="b">
        <f t="shared" ref="N196:N259" si="10">COUNTIF($M$4:$M$443, M196)&gt;1</f>
        <v>0</v>
      </c>
      <c r="O196" s="123">
        <v>695</v>
      </c>
      <c r="P196" t="b">
        <f t="shared" si="8"/>
        <v>0</v>
      </c>
    </row>
    <row r="197" spans="1:16">
      <c r="A197" s="189">
        <v>196</v>
      </c>
      <c r="B197" s="190" t="s">
        <v>2176</v>
      </c>
      <c r="C197" s="185" t="s">
        <v>2421</v>
      </c>
      <c r="D197" s="133">
        <v>4</v>
      </c>
      <c r="E197" s="124">
        <v>42942</v>
      </c>
      <c r="F197" s="124">
        <v>43004</v>
      </c>
      <c r="G197" s="123">
        <v>12</v>
      </c>
      <c r="H197" s="123">
        <v>455</v>
      </c>
      <c r="I197" s="123">
        <v>243</v>
      </c>
      <c r="J197" s="123">
        <v>709</v>
      </c>
      <c r="K197" s="123">
        <f t="shared" si="9"/>
        <v>62</v>
      </c>
      <c r="M197" s="123">
        <v>148</v>
      </c>
      <c r="N197" t="b">
        <f t="shared" si="10"/>
        <v>0</v>
      </c>
      <c r="O197" s="123">
        <v>653</v>
      </c>
      <c r="P197" t="b">
        <f t="shared" ref="P197:P260" si="11">COUNTIF($O$4:$O$443, O197)&gt;1</f>
        <v>0</v>
      </c>
    </row>
    <row r="198" spans="1:16">
      <c r="A198" s="189">
        <v>197</v>
      </c>
      <c r="B198" s="190" t="s">
        <v>2176</v>
      </c>
      <c r="C198" s="190" t="s">
        <v>2431</v>
      </c>
      <c r="D198" s="133">
        <v>1</v>
      </c>
      <c r="E198" s="124">
        <v>42942</v>
      </c>
      <c r="F198" s="124">
        <v>43004</v>
      </c>
      <c r="G198" s="123">
        <v>399</v>
      </c>
      <c r="H198" s="123">
        <v>692</v>
      </c>
      <c r="I198" s="123">
        <v>254</v>
      </c>
      <c r="J198" s="123">
        <v>131</v>
      </c>
      <c r="K198" s="123">
        <f t="shared" si="9"/>
        <v>62</v>
      </c>
      <c r="M198" s="123">
        <v>105</v>
      </c>
      <c r="N198" t="b">
        <f t="shared" si="10"/>
        <v>0</v>
      </c>
      <c r="O198" s="123">
        <v>389</v>
      </c>
      <c r="P198" t="b">
        <f t="shared" si="11"/>
        <v>0</v>
      </c>
    </row>
    <row r="199" spans="1:16">
      <c r="A199" s="189">
        <v>198</v>
      </c>
      <c r="B199" s="190" t="s">
        <v>2176</v>
      </c>
      <c r="C199" s="190" t="s">
        <v>2439</v>
      </c>
      <c r="D199" s="133">
        <v>2</v>
      </c>
      <c r="E199" s="124">
        <v>42942</v>
      </c>
      <c r="F199" s="124">
        <v>43004</v>
      </c>
      <c r="G199" s="123">
        <v>27</v>
      </c>
      <c r="H199" s="123">
        <v>352</v>
      </c>
      <c r="I199" s="123">
        <v>780</v>
      </c>
      <c r="J199" s="123">
        <v>711</v>
      </c>
      <c r="K199" s="123">
        <f t="shared" si="9"/>
        <v>62</v>
      </c>
      <c r="M199" s="123">
        <v>12</v>
      </c>
      <c r="N199" t="b">
        <f t="shared" si="10"/>
        <v>0</v>
      </c>
      <c r="O199" s="123">
        <v>455</v>
      </c>
      <c r="P199" t="b">
        <f t="shared" si="11"/>
        <v>0</v>
      </c>
    </row>
    <row r="200" spans="1:16">
      <c r="A200" s="189">
        <v>199</v>
      </c>
      <c r="B200" s="190" t="s">
        <v>2176</v>
      </c>
      <c r="C200" s="190" t="s">
        <v>2423</v>
      </c>
      <c r="D200" s="191">
        <v>1</v>
      </c>
      <c r="E200" s="124">
        <v>42942</v>
      </c>
      <c r="F200" s="124">
        <v>43004</v>
      </c>
      <c r="G200" s="123">
        <v>224</v>
      </c>
      <c r="H200" s="123">
        <v>327</v>
      </c>
      <c r="I200" s="123">
        <v>182</v>
      </c>
      <c r="J200" s="123">
        <v>236</v>
      </c>
      <c r="K200" s="123">
        <f t="shared" si="9"/>
        <v>62</v>
      </c>
      <c r="M200" s="123">
        <v>399</v>
      </c>
      <c r="N200" t="b">
        <f t="shared" si="10"/>
        <v>0</v>
      </c>
      <c r="O200" s="123">
        <v>692</v>
      </c>
      <c r="P200" t="b">
        <f t="shared" si="11"/>
        <v>0</v>
      </c>
    </row>
    <row r="201" spans="1:16">
      <c r="A201" s="189">
        <v>200</v>
      </c>
      <c r="B201" s="190" t="s">
        <v>2176</v>
      </c>
      <c r="C201" s="190" t="s">
        <v>2446</v>
      </c>
      <c r="D201" s="133">
        <v>7</v>
      </c>
      <c r="E201" s="124">
        <v>42942</v>
      </c>
      <c r="F201" s="124">
        <v>43004</v>
      </c>
      <c r="G201" s="123">
        <v>158</v>
      </c>
      <c r="H201" s="123">
        <v>75</v>
      </c>
      <c r="I201" s="123">
        <v>186</v>
      </c>
      <c r="J201" s="123">
        <v>205</v>
      </c>
      <c r="K201" s="123">
        <f t="shared" si="9"/>
        <v>62</v>
      </c>
      <c r="M201" s="123">
        <v>27</v>
      </c>
      <c r="N201" t="b">
        <f t="shared" si="10"/>
        <v>0</v>
      </c>
      <c r="O201" s="123">
        <v>352</v>
      </c>
      <c r="P201" t="b">
        <f t="shared" si="11"/>
        <v>0</v>
      </c>
    </row>
    <row r="202" spans="1:16">
      <c r="A202" s="189">
        <v>201</v>
      </c>
      <c r="B202" s="190" t="s">
        <v>2276</v>
      </c>
      <c r="C202" s="190" t="s">
        <v>2447</v>
      </c>
      <c r="D202" s="133">
        <v>5</v>
      </c>
      <c r="E202" s="124">
        <v>42942</v>
      </c>
      <c r="F202" s="124">
        <v>43004</v>
      </c>
      <c r="G202" s="123">
        <v>211</v>
      </c>
      <c r="H202" s="123">
        <v>36</v>
      </c>
      <c r="I202" s="123">
        <v>315</v>
      </c>
      <c r="J202" s="123">
        <v>665</v>
      </c>
      <c r="K202" s="123">
        <f t="shared" si="9"/>
        <v>62</v>
      </c>
      <c r="M202" s="123">
        <v>224</v>
      </c>
      <c r="N202" t="b">
        <f t="shared" si="10"/>
        <v>0</v>
      </c>
      <c r="O202" s="123">
        <v>327</v>
      </c>
      <c r="P202" t="b">
        <f t="shared" si="11"/>
        <v>0</v>
      </c>
    </row>
    <row r="203" spans="1:16">
      <c r="A203" s="189">
        <v>202</v>
      </c>
      <c r="B203" s="190" t="s">
        <v>2276</v>
      </c>
      <c r="C203" s="190" t="s">
        <v>2424</v>
      </c>
      <c r="D203" s="133">
        <v>5</v>
      </c>
      <c r="E203" s="124">
        <v>42942</v>
      </c>
      <c r="F203" s="124">
        <v>43004</v>
      </c>
      <c r="G203" s="123">
        <v>181</v>
      </c>
      <c r="H203" s="123">
        <v>676</v>
      </c>
      <c r="I203" s="123">
        <v>147</v>
      </c>
      <c r="J203" s="123">
        <v>224</v>
      </c>
      <c r="K203" s="123">
        <f t="shared" si="9"/>
        <v>62</v>
      </c>
      <c r="M203" s="123">
        <v>158</v>
      </c>
      <c r="N203" t="b">
        <f t="shared" si="10"/>
        <v>0</v>
      </c>
      <c r="O203" s="123">
        <v>75</v>
      </c>
      <c r="P203" t="b">
        <f t="shared" si="11"/>
        <v>0</v>
      </c>
    </row>
    <row r="204" spans="1:16">
      <c r="A204" s="189">
        <v>203</v>
      </c>
      <c r="B204" s="190" t="s">
        <v>2276</v>
      </c>
      <c r="C204" s="190" t="s">
        <v>2433</v>
      </c>
      <c r="D204" s="133">
        <v>7</v>
      </c>
      <c r="E204" s="124">
        <v>42942</v>
      </c>
      <c r="F204" s="124">
        <v>43004</v>
      </c>
      <c r="G204" s="123">
        <v>179</v>
      </c>
      <c r="H204" s="123">
        <v>685</v>
      </c>
      <c r="I204" s="123">
        <v>168</v>
      </c>
      <c r="J204" s="123">
        <v>621</v>
      </c>
      <c r="K204" s="123">
        <f t="shared" si="9"/>
        <v>62</v>
      </c>
      <c r="M204" s="123">
        <v>211</v>
      </c>
      <c r="N204" t="b">
        <f t="shared" si="10"/>
        <v>0</v>
      </c>
      <c r="O204" s="123">
        <v>36</v>
      </c>
      <c r="P204" t="b">
        <f t="shared" si="11"/>
        <v>0</v>
      </c>
    </row>
    <row r="205" spans="1:16">
      <c r="A205" s="189">
        <v>204</v>
      </c>
      <c r="B205" s="190" t="s">
        <v>2276</v>
      </c>
      <c r="C205" s="190" t="s">
        <v>2440</v>
      </c>
      <c r="D205" s="133">
        <v>4</v>
      </c>
      <c r="E205" s="124">
        <v>42942</v>
      </c>
      <c r="F205" s="124">
        <v>43004</v>
      </c>
      <c r="G205" s="123">
        <v>248</v>
      </c>
      <c r="H205" s="123">
        <v>254</v>
      </c>
      <c r="I205" s="123">
        <v>672</v>
      </c>
      <c r="J205" s="123">
        <v>208</v>
      </c>
      <c r="K205" s="123">
        <f t="shared" si="9"/>
        <v>62</v>
      </c>
      <c r="M205" s="123">
        <v>181</v>
      </c>
      <c r="N205" t="b">
        <f t="shared" si="10"/>
        <v>0</v>
      </c>
      <c r="O205" s="123">
        <v>676</v>
      </c>
      <c r="P205" t="b">
        <f t="shared" si="11"/>
        <v>0</v>
      </c>
    </row>
    <row r="206" spans="1:16">
      <c r="A206" s="189">
        <v>205</v>
      </c>
      <c r="B206" s="190" t="s">
        <v>2314</v>
      </c>
      <c r="C206" s="190" t="s">
        <v>2434</v>
      </c>
      <c r="D206" s="133">
        <v>6</v>
      </c>
      <c r="E206" s="124">
        <v>42942</v>
      </c>
      <c r="F206" s="124">
        <v>43004</v>
      </c>
      <c r="G206" s="123">
        <v>55</v>
      </c>
      <c r="H206" s="123">
        <v>348</v>
      </c>
      <c r="I206" s="123">
        <v>173</v>
      </c>
      <c r="J206" s="123">
        <v>637</v>
      </c>
      <c r="K206" s="123">
        <f t="shared" si="9"/>
        <v>62</v>
      </c>
      <c r="M206" s="123">
        <v>179</v>
      </c>
      <c r="N206" t="b">
        <f t="shared" si="10"/>
        <v>0</v>
      </c>
      <c r="O206" s="123">
        <v>685</v>
      </c>
      <c r="P206" t="b">
        <f t="shared" si="11"/>
        <v>0</v>
      </c>
    </row>
    <row r="207" spans="1:16">
      <c r="A207" s="189">
        <v>206</v>
      </c>
      <c r="B207" s="190" t="s">
        <v>2314</v>
      </c>
      <c r="C207" s="190" t="s">
        <v>2425</v>
      </c>
      <c r="D207" s="133">
        <v>3</v>
      </c>
      <c r="E207" s="124">
        <v>42942</v>
      </c>
      <c r="F207" s="124">
        <v>43004</v>
      </c>
      <c r="G207" s="123">
        <v>124</v>
      </c>
      <c r="H207" s="123">
        <v>686</v>
      </c>
      <c r="I207" s="123">
        <v>262</v>
      </c>
      <c r="J207" s="123">
        <v>284</v>
      </c>
      <c r="K207" s="123">
        <f t="shared" si="9"/>
        <v>62</v>
      </c>
      <c r="M207" s="123">
        <v>248</v>
      </c>
      <c r="N207" t="b">
        <f t="shared" si="10"/>
        <v>0</v>
      </c>
      <c r="O207" s="123">
        <v>254</v>
      </c>
      <c r="P207" t="b">
        <f t="shared" si="11"/>
        <v>0</v>
      </c>
    </row>
    <row r="208" spans="1:16">
      <c r="A208" s="189">
        <v>207</v>
      </c>
      <c r="B208" s="190" t="s">
        <v>2314</v>
      </c>
      <c r="C208" s="190" t="s">
        <v>2448</v>
      </c>
      <c r="D208" s="133">
        <v>1</v>
      </c>
      <c r="E208" s="124">
        <v>42942</v>
      </c>
      <c r="F208" s="124">
        <v>43004</v>
      </c>
      <c r="G208" s="123">
        <v>234</v>
      </c>
      <c r="H208" s="123">
        <v>551</v>
      </c>
      <c r="I208" s="123">
        <v>230</v>
      </c>
      <c r="J208" s="123">
        <v>604</v>
      </c>
      <c r="K208" s="123">
        <f t="shared" si="9"/>
        <v>62</v>
      </c>
      <c r="M208" s="123">
        <v>55</v>
      </c>
      <c r="N208" t="b">
        <f t="shared" si="10"/>
        <v>0</v>
      </c>
      <c r="O208" s="123">
        <v>348</v>
      </c>
      <c r="P208" t="b">
        <f t="shared" si="11"/>
        <v>0</v>
      </c>
    </row>
    <row r="209" spans="1:16">
      <c r="A209" s="189">
        <v>208</v>
      </c>
      <c r="B209" s="190" t="s">
        <v>2314</v>
      </c>
      <c r="C209" s="190" t="s">
        <v>2441</v>
      </c>
      <c r="D209" s="133">
        <v>3</v>
      </c>
      <c r="E209" s="124">
        <v>42942</v>
      </c>
      <c r="F209" s="124">
        <v>43004</v>
      </c>
      <c r="G209" s="123">
        <v>412</v>
      </c>
      <c r="H209" s="144">
        <v>516</v>
      </c>
      <c r="I209" s="144">
        <v>140</v>
      </c>
      <c r="J209" s="123">
        <v>625</v>
      </c>
      <c r="K209" s="123">
        <f t="shared" si="9"/>
        <v>62</v>
      </c>
      <c r="M209" s="123">
        <v>124</v>
      </c>
      <c r="N209" t="b">
        <f t="shared" si="10"/>
        <v>0</v>
      </c>
      <c r="O209" s="123">
        <v>686</v>
      </c>
      <c r="P209" t="b">
        <f t="shared" si="11"/>
        <v>0</v>
      </c>
    </row>
    <row r="210" spans="1:16">
      <c r="A210" s="189">
        <v>209</v>
      </c>
      <c r="B210" s="190" t="s">
        <v>2314</v>
      </c>
      <c r="C210" s="190" t="s">
        <v>2435</v>
      </c>
      <c r="D210" s="133">
        <v>3</v>
      </c>
      <c r="E210" s="124">
        <v>42942</v>
      </c>
      <c r="F210" s="124">
        <v>43004</v>
      </c>
      <c r="G210" s="123">
        <v>94</v>
      </c>
      <c r="H210" s="123">
        <v>678</v>
      </c>
      <c r="I210" s="123">
        <v>92</v>
      </c>
      <c r="J210" s="123">
        <v>647</v>
      </c>
      <c r="K210" s="123">
        <f t="shared" si="9"/>
        <v>62</v>
      </c>
      <c r="M210" s="123">
        <v>234</v>
      </c>
      <c r="N210" t="b">
        <f t="shared" si="10"/>
        <v>0</v>
      </c>
      <c r="O210" s="123">
        <v>551</v>
      </c>
      <c r="P210" t="b">
        <f t="shared" si="11"/>
        <v>0</v>
      </c>
    </row>
    <row r="211" spans="1:16">
      <c r="A211" s="189">
        <v>210</v>
      </c>
      <c r="B211" s="190" t="s">
        <v>2314</v>
      </c>
      <c r="C211" s="190" t="s">
        <v>2449</v>
      </c>
      <c r="D211" s="133">
        <v>2</v>
      </c>
      <c r="E211" s="124">
        <v>42942</v>
      </c>
      <c r="F211" s="124">
        <v>43004</v>
      </c>
      <c r="G211" s="123">
        <v>93</v>
      </c>
      <c r="H211" s="123">
        <v>335</v>
      </c>
      <c r="I211" s="123">
        <v>36</v>
      </c>
      <c r="J211" s="123">
        <v>599</v>
      </c>
      <c r="K211" s="123">
        <f t="shared" si="9"/>
        <v>62</v>
      </c>
      <c r="M211" s="123">
        <v>412</v>
      </c>
      <c r="N211" t="b">
        <f t="shared" si="10"/>
        <v>0</v>
      </c>
      <c r="O211" s="144">
        <v>516</v>
      </c>
      <c r="P211" t="b">
        <f t="shared" si="11"/>
        <v>0</v>
      </c>
    </row>
    <row r="212" spans="1:16">
      <c r="A212" s="189">
        <v>211</v>
      </c>
      <c r="B212" s="190" t="s">
        <v>2314</v>
      </c>
      <c r="C212" s="190" t="s">
        <v>2426</v>
      </c>
      <c r="D212" s="133">
        <v>2</v>
      </c>
      <c r="E212" s="124">
        <v>42942</v>
      </c>
      <c r="F212" s="124">
        <v>43004</v>
      </c>
      <c r="G212" s="123">
        <v>26</v>
      </c>
      <c r="H212" s="123">
        <v>249</v>
      </c>
      <c r="I212" s="123">
        <v>434</v>
      </c>
      <c r="J212" s="123">
        <v>670</v>
      </c>
      <c r="K212" s="123">
        <f t="shared" si="9"/>
        <v>62</v>
      </c>
      <c r="M212" s="123">
        <v>94</v>
      </c>
      <c r="N212" t="b">
        <f t="shared" si="10"/>
        <v>0</v>
      </c>
      <c r="O212" s="123">
        <v>678</v>
      </c>
      <c r="P212" t="b">
        <f t="shared" si="11"/>
        <v>0</v>
      </c>
    </row>
    <row r="213" spans="1:16">
      <c r="A213" s="189">
        <v>211</v>
      </c>
      <c r="B213" s="190" t="s">
        <v>2314</v>
      </c>
      <c r="C213" s="190" t="s">
        <v>2426</v>
      </c>
      <c r="D213" s="133">
        <v>7</v>
      </c>
      <c r="E213" s="124">
        <v>42942</v>
      </c>
      <c r="F213" s="124">
        <v>43004</v>
      </c>
      <c r="G213" s="123">
        <v>169</v>
      </c>
      <c r="H213" s="123">
        <v>627</v>
      </c>
      <c r="I213" s="192">
        <v>56</v>
      </c>
      <c r="J213" s="123">
        <v>256</v>
      </c>
      <c r="K213" s="123">
        <f t="shared" si="9"/>
        <v>62</v>
      </c>
      <c r="M213" s="123">
        <v>93</v>
      </c>
      <c r="N213" t="b">
        <f t="shared" si="10"/>
        <v>0</v>
      </c>
      <c r="O213" s="123">
        <v>335</v>
      </c>
      <c r="P213" t="b">
        <f t="shared" si="11"/>
        <v>0</v>
      </c>
    </row>
    <row r="214" spans="1:16">
      <c r="A214" s="189">
        <v>212</v>
      </c>
      <c r="B214" s="190" t="s">
        <v>2314</v>
      </c>
      <c r="C214" s="190" t="s">
        <v>2442</v>
      </c>
      <c r="D214" s="133">
        <v>5</v>
      </c>
      <c r="E214" s="124">
        <v>42942</v>
      </c>
      <c r="F214" s="124">
        <v>43004</v>
      </c>
      <c r="G214" s="123">
        <v>68</v>
      </c>
      <c r="H214" s="123">
        <v>803</v>
      </c>
      <c r="I214" s="123">
        <v>365</v>
      </c>
      <c r="J214" s="123">
        <v>658</v>
      </c>
      <c r="K214" s="123">
        <f t="shared" si="9"/>
        <v>62</v>
      </c>
      <c r="M214" s="123">
        <v>26</v>
      </c>
      <c r="N214" t="b">
        <f t="shared" si="10"/>
        <v>0</v>
      </c>
      <c r="O214" s="123">
        <v>249</v>
      </c>
      <c r="P214" t="b">
        <f t="shared" si="11"/>
        <v>0</v>
      </c>
    </row>
    <row r="215" spans="1:16">
      <c r="A215" s="189">
        <v>213</v>
      </c>
      <c r="B215" s="190" t="s">
        <v>2385</v>
      </c>
      <c r="C215" s="190" t="s">
        <v>2450</v>
      </c>
      <c r="D215" s="133">
        <v>6</v>
      </c>
      <c r="E215" s="124">
        <v>42942</v>
      </c>
      <c r="F215" s="124">
        <v>43004</v>
      </c>
      <c r="G215" s="123">
        <v>143</v>
      </c>
      <c r="H215" s="123">
        <v>321</v>
      </c>
      <c r="I215" s="123">
        <v>5</v>
      </c>
      <c r="J215" s="123">
        <v>699</v>
      </c>
      <c r="K215" s="123">
        <f t="shared" si="9"/>
        <v>62</v>
      </c>
      <c r="M215" s="123">
        <v>169</v>
      </c>
      <c r="N215" t="b">
        <f t="shared" si="10"/>
        <v>0</v>
      </c>
      <c r="O215" s="123">
        <v>627</v>
      </c>
      <c r="P215" t="b">
        <f t="shared" si="11"/>
        <v>0</v>
      </c>
    </row>
    <row r="216" spans="1:16">
      <c r="A216" s="189">
        <v>214</v>
      </c>
      <c r="B216" s="190" t="s">
        <v>2385</v>
      </c>
      <c r="C216" s="190" t="s">
        <v>2443</v>
      </c>
      <c r="D216" s="133">
        <v>7</v>
      </c>
      <c r="E216" s="124">
        <v>42942</v>
      </c>
      <c r="F216" s="124">
        <v>43004</v>
      </c>
      <c r="G216" s="123">
        <v>128</v>
      </c>
      <c r="H216" s="123">
        <v>771</v>
      </c>
      <c r="I216" s="123">
        <v>677</v>
      </c>
      <c r="J216" s="123">
        <v>663</v>
      </c>
      <c r="K216" s="123">
        <f t="shared" si="9"/>
        <v>62</v>
      </c>
      <c r="M216" s="123">
        <v>68</v>
      </c>
      <c r="N216" t="b">
        <f t="shared" si="10"/>
        <v>0</v>
      </c>
      <c r="O216" s="123">
        <v>803</v>
      </c>
      <c r="P216" t="b">
        <f t="shared" si="11"/>
        <v>0</v>
      </c>
    </row>
    <row r="217" spans="1:16">
      <c r="A217" s="189">
        <v>216</v>
      </c>
      <c r="B217" s="190" t="s">
        <v>2385</v>
      </c>
      <c r="C217" s="190" t="s">
        <v>2436</v>
      </c>
      <c r="D217" s="133">
        <v>2</v>
      </c>
      <c r="E217" s="124">
        <v>42942</v>
      </c>
      <c r="F217" s="124">
        <v>43004</v>
      </c>
      <c r="G217" s="123">
        <v>95</v>
      </c>
      <c r="H217" s="123">
        <v>379</v>
      </c>
      <c r="I217" s="123">
        <v>361</v>
      </c>
      <c r="J217" s="123">
        <v>622</v>
      </c>
      <c r="K217" s="123">
        <f t="shared" si="9"/>
        <v>62</v>
      </c>
      <c r="M217" s="123">
        <v>143</v>
      </c>
      <c r="N217" t="b">
        <f t="shared" si="10"/>
        <v>0</v>
      </c>
      <c r="O217" s="123">
        <v>321</v>
      </c>
      <c r="P217" t="b">
        <f t="shared" si="11"/>
        <v>0</v>
      </c>
    </row>
    <row r="218" spans="1:16">
      <c r="A218" s="189">
        <v>217</v>
      </c>
      <c r="B218" s="190" t="s">
        <v>2428</v>
      </c>
      <c r="C218" s="190" t="s">
        <v>2429</v>
      </c>
      <c r="D218" s="133">
        <v>6</v>
      </c>
      <c r="E218" s="124">
        <v>42942</v>
      </c>
      <c r="F218" s="124">
        <v>43004</v>
      </c>
      <c r="G218" s="123">
        <v>313</v>
      </c>
      <c r="H218" s="123">
        <v>771</v>
      </c>
      <c r="I218" s="123">
        <v>204</v>
      </c>
      <c r="J218" s="123">
        <v>608</v>
      </c>
      <c r="K218" s="123">
        <f t="shared" si="9"/>
        <v>62</v>
      </c>
      <c r="M218" s="123">
        <v>128</v>
      </c>
      <c r="N218" t="b">
        <f t="shared" si="10"/>
        <v>0</v>
      </c>
      <c r="O218" s="165">
        <v>771</v>
      </c>
      <c r="P218" t="b">
        <f t="shared" si="11"/>
        <v>1</v>
      </c>
    </row>
    <row r="219" spans="1:16">
      <c r="A219" s="189">
        <v>218</v>
      </c>
      <c r="B219" s="190" t="s">
        <v>2428</v>
      </c>
      <c r="C219" s="190" t="s">
        <v>2437</v>
      </c>
      <c r="D219" s="133">
        <v>5</v>
      </c>
      <c r="E219" s="124">
        <v>42942</v>
      </c>
      <c r="F219" s="124">
        <v>43004</v>
      </c>
      <c r="G219" s="123">
        <v>485</v>
      </c>
      <c r="H219" s="123">
        <v>680</v>
      </c>
      <c r="I219" s="123">
        <v>170</v>
      </c>
      <c r="J219" s="123">
        <v>639</v>
      </c>
      <c r="K219" s="123">
        <f t="shared" si="9"/>
        <v>62</v>
      </c>
      <c r="M219" s="123">
        <v>95</v>
      </c>
      <c r="N219" t="b">
        <f t="shared" si="10"/>
        <v>0</v>
      </c>
      <c r="O219" s="123">
        <v>379</v>
      </c>
      <c r="P219" t="b">
        <f t="shared" si="11"/>
        <v>0</v>
      </c>
    </row>
    <row r="220" spans="1:16">
      <c r="A220" s="189">
        <v>219</v>
      </c>
      <c r="B220" s="190" t="s">
        <v>2428</v>
      </c>
      <c r="C220" s="190" t="s">
        <v>2444</v>
      </c>
      <c r="D220" s="133">
        <v>1</v>
      </c>
      <c r="E220" s="124">
        <v>42942</v>
      </c>
      <c r="F220" s="124">
        <v>43004</v>
      </c>
      <c r="G220" s="123">
        <v>196</v>
      </c>
      <c r="H220" s="145">
        <v>178</v>
      </c>
      <c r="I220" s="145">
        <v>123</v>
      </c>
      <c r="J220" s="123">
        <v>246</v>
      </c>
      <c r="K220" s="123">
        <f t="shared" si="9"/>
        <v>62</v>
      </c>
      <c r="M220" s="123">
        <v>313</v>
      </c>
      <c r="N220" t="b">
        <f t="shared" si="10"/>
        <v>0</v>
      </c>
      <c r="O220" s="165">
        <v>771</v>
      </c>
      <c r="P220" t="b">
        <f t="shared" si="11"/>
        <v>1</v>
      </c>
    </row>
    <row r="221" spans="1:16">
      <c r="A221" s="189">
        <v>220</v>
      </c>
      <c r="B221" s="190" t="s">
        <v>2428</v>
      </c>
      <c r="C221" s="190" t="s">
        <v>2451</v>
      </c>
      <c r="D221" s="133">
        <v>4</v>
      </c>
      <c r="E221" s="124">
        <v>42942</v>
      </c>
      <c r="F221" s="124">
        <v>43004</v>
      </c>
      <c r="G221" s="123">
        <v>39</v>
      </c>
      <c r="H221" s="123">
        <v>194</v>
      </c>
      <c r="I221" s="123">
        <v>53</v>
      </c>
      <c r="J221" s="123">
        <v>672</v>
      </c>
      <c r="K221" s="123">
        <f t="shared" si="9"/>
        <v>62</v>
      </c>
      <c r="M221" s="123">
        <v>485</v>
      </c>
      <c r="N221" t="b">
        <f t="shared" si="10"/>
        <v>0</v>
      </c>
      <c r="O221" s="123">
        <v>680</v>
      </c>
      <c r="P221" t="b">
        <f t="shared" si="11"/>
        <v>0</v>
      </c>
    </row>
    <row r="222" spans="1:16">
      <c r="M222" s="123">
        <v>196</v>
      </c>
      <c r="N222" t="b">
        <f t="shared" si="10"/>
        <v>0</v>
      </c>
      <c r="O222" s="145">
        <v>178</v>
      </c>
      <c r="P222" t="b">
        <f t="shared" si="11"/>
        <v>0</v>
      </c>
    </row>
    <row r="223" spans="1:16">
      <c r="M223" s="123">
        <v>39</v>
      </c>
      <c r="N223" t="b">
        <f t="shared" si="10"/>
        <v>0</v>
      </c>
      <c r="O223" s="123">
        <v>194</v>
      </c>
      <c r="P223" t="b">
        <f t="shared" si="11"/>
        <v>0</v>
      </c>
    </row>
    <row r="224" spans="1:16">
      <c r="M224" s="123">
        <v>377</v>
      </c>
      <c r="N224" t="b">
        <f t="shared" si="10"/>
        <v>0</v>
      </c>
      <c r="O224" s="123">
        <v>204</v>
      </c>
      <c r="P224" t="b">
        <f t="shared" si="11"/>
        <v>0</v>
      </c>
    </row>
    <row r="225" spans="13:16">
      <c r="M225" s="123" t="s">
        <v>2057</v>
      </c>
      <c r="N225" t="b">
        <f t="shared" si="10"/>
        <v>1</v>
      </c>
      <c r="O225" s="123" t="s">
        <v>2057</v>
      </c>
      <c r="P225" t="b">
        <f t="shared" si="11"/>
        <v>1</v>
      </c>
    </row>
    <row r="226" spans="13:16">
      <c r="M226" s="123">
        <v>44</v>
      </c>
      <c r="N226" t="b">
        <f t="shared" si="10"/>
        <v>0</v>
      </c>
      <c r="O226" s="123">
        <v>283</v>
      </c>
      <c r="P226" t="b">
        <f t="shared" si="11"/>
        <v>0</v>
      </c>
    </row>
    <row r="227" spans="13:16">
      <c r="M227" s="123">
        <v>357</v>
      </c>
      <c r="N227" t="b">
        <f t="shared" si="10"/>
        <v>0</v>
      </c>
      <c r="O227" s="123">
        <v>298</v>
      </c>
      <c r="P227" t="b">
        <f t="shared" si="11"/>
        <v>0</v>
      </c>
    </row>
    <row r="228" spans="13:16">
      <c r="M228" s="164">
        <v>734</v>
      </c>
      <c r="N228" t="b">
        <f t="shared" si="10"/>
        <v>0</v>
      </c>
      <c r="O228" s="123">
        <v>226</v>
      </c>
      <c r="P228" t="b">
        <f t="shared" si="11"/>
        <v>0</v>
      </c>
    </row>
    <row r="229" spans="13:16">
      <c r="M229" s="123">
        <v>164</v>
      </c>
      <c r="N229" t="b">
        <f t="shared" si="10"/>
        <v>0</v>
      </c>
      <c r="O229" s="123">
        <v>286</v>
      </c>
      <c r="P229" t="b">
        <f t="shared" si="11"/>
        <v>0</v>
      </c>
    </row>
    <row r="230" spans="13:16">
      <c r="M230" s="123">
        <v>776</v>
      </c>
      <c r="N230" t="b">
        <f t="shared" si="10"/>
        <v>0</v>
      </c>
      <c r="O230" s="123">
        <v>210</v>
      </c>
      <c r="P230" t="b">
        <f t="shared" si="11"/>
        <v>0</v>
      </c>
    </row>
    <row r="231" spans="13:16">
      <c r="M231" s="123">
        <v>23</v>
      </c>
      <c r="N231" t="b">
        <f t="shared" si="10"/>
        <v>0</v>
      </c>
      <c r="O231" s="123">
        <v>213</v>
      </c>
      <c r="P231" t="b">
        <f t="shared" si="11"/>
        <v>0</v>
      </c>
    </row>
    <row r="232" spans="13:16">
      <c r="M232" s="123">
        <v>570</v>
      </c>
      <c r="N232" t="b">
        <f t="shared" si="10"/>
        <v>0</v>
      </c>
      <c r="O232" s="123">
        <v>704</v>
      </c>
      <c r="P232" t="b">
        <f t="shared" si="11"/>
        <v>0</v>
      </c>
    </row>
    <row r="233" spans="13:16">
      <c r="M233" s="123">
        <v>642</v>
      </c>
      <c r="N233" t="b">
        <f t="shared" si="10"/>
        <v>0</v>
      </c>
      <c r="O233" s="123">
        <v>355</v>
      </c>
      <c r="P233" t="b">
        <f t="shared" si="11"/>
        <v>0</v>
      </c>
    </row>
    <row r="234" spans="13:16">
      <c r="M234" s="123">
        <v>663</v>
      </c>
      <c r="N234" t="b">
        <f t="shared" si="10"/>
        <v>0</v>
      </c>
      <c r="O234" s="123">
        <v>616</v>
      </c>
      <c r="P234" t="b">
        <f t="shared" si="11"/>
        <v>0</v>
      </c>
    </row>
    <row r="235" spans="13:16">
      <c r="M235" s="123" t="s">
        <v>2057</v>
      </c>
      <c r="N235" t="b">
        <f t="shared" si="10"/>
        <v>1</v>
      </c>
      <c r="O235" s="123" t="s">
        <v>2057</v>
      </c>
      <c r="P235" t="b">
        <f t="shared" si="11"/>
        <v>1</v>
      </c>
    </row>
    <row r="236" spans="13:16">
      <c r="M236" s="123">
        <v>874</v>
      </c>
      <c r="N236" t="b">
        <f t="shared" si="10"/>
        <v>0</v>
      </c>
      <c r="O236" s="123">
        <v>603</v>
      </c>
      <c r="P236" t="b">
        <f t="shared" si="11"/>
        <v>0</v>
      </c>
    </row>
    <row r="237" spans="13:16">
      <c r="M237" s="129">
        <v>219</v>
      </c>
      <c r="N237" t="b">
        <f t="shared" si="10"/>
        <v>0</v>
      </c>
      <c r="O237" s="123">
        <v>652</v>
      </c>
      <c r="P237" t="b">
        <f t="shared" si="11"/>
        <v>0</v>
      </c>
    </row>
    <row r="238" spans="13:16">
      <c r="M238" s="123">
        <v>630</v>
      </c>
      <c r="N238" t="b">
        <f t="shared" si="10"/>
        <v>0</v>
      </c>
      <c r="O238" s="123">
        <v>304</v>
      </c>
      <c r="P238" t="b">
        <f t="shared" si="11"/>
        <v>0</v>
      </c>
    </row>
    <row r="239" spans="13:16">
      <c r="M239" s="123">
        <v>662</v>
      </c>
      <c r="N239" t="b">
        <f t="shared" si="10"/>
        <v>0</v>
      </c>
      <c r="O239" s="123">
        <v>687</v>
      </c>
      <c r="P239" t="b">
        <f t="shared" si="11"/>
        <v>0</v>
      </c>
    </row>
    <row r="240" spans="13:16">
      <c r="M240" s="123">
        <v>349</v>
      </c>
      <c r="N240" t="b">
        <f t="shared" si="10"/>
        <v>0</v>
      </c>
      <c r="O240" s="123">
        <v>407</v>
      </c>
      <c r="P240" t="b">
        <f t="shared" si="11"/>
        <v>0</v>
      </c>
    </row>
    <row r="241" spans="13:16">
      <c r="M241" s="123">
        <v>113</v>
      </c>
      <c r="N241" t="b">
        <f t="shared" si="10"/>
        <v>0</v>
      </c>
      <c r="O241" s="123">
        <v>361</v>
      </c>
      <c r="P241" t="b">
        <f t="shared" si="11"/>
        <v>0</v>
      </c>
    </row>
    <row r="242" spans="13:16">
      <c r="M242" s="123">
        <v>394</v>
      </c>
      <c r="N242" t="b">
        <f t="shared" si="10"/>
        <v>0</v>
      </c>
      <c r="O242" s="123">
        <v>280</v>
      </c>
      <c r="P242" t="b">
        <f t="shared" si="11"/>
        <v>0</v>
      </c>
    </row>
    <row r="243" spans="13:16">
      <c r="M243" s="123">
        <v>79</v>
      </c>
      <c r="N243" t="b">
        <f t="shared" si="10"/>
        <v>0</v>
      </c>
      <c r="O243" s="123">
        <v>320</v>
      </c>
      <c r="P243" t="b">
        <f t="shared" si="11"/>
        <v>0</v>
      </c>
    </row>
    <row r="244" spans="13:16">
      <c r="M244" s="123">
        <v>488</v>
      </c>
      <c r="N244" t="b">
        <f t="shared" si="10"/>
        <v>0</v>
      </c>
      <c r="O244" s="123">
        <v>209</v>
      </c>
      <c r="P244" t="b">
        <f t="shared" si="11"/>
        <v>0</v>
      </c>
    </row>
    <row r="245" spans="13:16">
      <c r="M245" s="123">
        <v>750</v>
      </c>
      <c r="N245" t="b">
        <f t="shared" si="10"/>
        <v>0</v>
      </c>
      <c r="O245" s="123">
        <v>646</v>
      </c>
      <c r="P245" t="b">
        <f t="shared" si="11"/>
        <v>0</v>
      </c>
    </row>
    <row r="246" spans="13:16">
      <c r="M246" s="125" t="s">
        <v>2057</v>
      </c>
      <c r="N246" t="b">
        <f t="shared" si="10"/>
        <v>1</v>
      </c>
      <c r="O246" s="125" t="s">
        <v>2057</v>
      </c>
      <c r="P246" t="b">
        <f t="shared" si="11"/>
        <v>1</v>
      </c>
    </row>
    <row r="247" spans="13:16">
      <c r="M247" s="123">
        <v>562</v>
      </c>
      <c r="N247" t="b">
        <f t="shared" si="10"/>
        <v>0</v>
      </c>
      <c r="O247" s="123">
        <v>650</v>
      </c>
      <c r="P247" t="b">
        <f t="shared" si="11"/>
        <v>0</v>
      </c>
    </row>
    <row r="248" spans="13:16">
      <c r="M248" s="123">
        <v>156</v>
      </c>
      <c r="N248" t="b">
        <f t="shared" si="10"/>
        <v>0</v>
      </c>
      <c r="O248" s="123">
        <v>230</v>
      </c>
      <c r="P248" t="b">
        <f t="shared" si="11"/>
        <v>0</v>
      </c>
    </row>
    <row r="249" spans="13:16">
      <c r="M249" s="123">
        <v>555</v>
      </c>
      <c r="N249" t="b">
        <f t="shared" si="10"/>
        <v>0</v>
      </c>
      <c r="O249" s="123">
        <v>642</v>
      </c>
      <c r="P249" t="b">
        <f t="shared" si="11"/>
        <v>0</v>
      </c>
    </row>
    <row r="250" spans="13:16">
      <c r="M250" s="123">
        <v>378</v>
      </c>
      <c r="N250" t="b">
        <f t="shared" si="10"/>
        <v>0</v>
      </c>
      <c r="O250" s="123">
        <v>199</v>
      </c>
      <c r="P250" t="b">
        <f t="shared" si="11"/>
        <v>0</v>
      </c>
    </row>
    <row r="251" spans="13:16">
      <c r="M251" s="123">
        <v>46</v>
      </c>
      <c r="N251" t="b">
        <f t="shared" si="10"/>
        <v>0</v>
      </c>
      <c r="O251" s="123">
        <v>162</v>
      </c>
      <c r="P251" t="b">
        <f t="shared" si="11"/>
        <v>0</v>
      </c>
    </row>
    <row r="252" spans="13:16">
      <c r="M252" s="123">
        <v>397</v>
      </c>
      <c r="N252" t="b">
        <f t="shared" si="10"/>
        <v>0</v>
      </c>
      <c r="O252" s="123">
        <v>163</v>
      </c>
      <c r="P252" t="b">
        <f t="shared" si="11"/>
        <v>0</v>
      </c>
    </row>
    <row r="253" spans="13:16">
      <c r="M253" s="123">
        <v>166</v>
      </c>
      <c r="N253" t="b">
        <f t="shared" si="10"/>
        <v>0</v>
      </c>
      <c r="O253" s="123">
        <v>345</v>
      </c>
      <c r="P253" t="b">
        <f t="shared" si="11"/>
        <v>0</v>
      </c>
    </row>
    <row r="254" spans="13:16">
      <c r="M254" s="125" t="s">
        <v>2057</v>
      </c>
      <c r="N254" t="b">
        <f t="shared" si="10"/>
        <v>1</v>
      </c>
      <c r="O254" s="125" t="s">
        <v>2057</v>
      </c>
      <c r="P254" t="b">
        <f t="shared" si="11"/>
        <v>1</v>
      </c>
    </row>
    <row r="255" spans="13:16">
      <c r="M255" s="123">
        <v>293</v>
      </c>
      <c r="N255" t="b">
        <f t="shared" si="10"/>
        <v>0</v>
      </c>
      <c r="O255" s="123">
        <v>660</v>
      </c>
      <c r="P255" t="b">
        <f t="shared" si="11"/>
        <v>0</v>
      </c>
    </row>
    <row r="256" spans="13:16">
      <c r="M256" s="123">
        <v>139</v>
      </c>
      <c r="N256" t="b">
        <f t="shared" si="10"/>
        <v>0</v>
      </c>
      <c r="O256" s="123">
        <v>712</v>
      </c>
      <c r="P256" t="b">
        <f t="shared" si="11"/>
        <v>0</v>
      </c>
    </row>
    <row r="257" spans="13:16">
      <c r="M257" s="123">
        <v>487</v>
      </c>
      <c r="N257" t="b">
        <f t="shared" si="10"/>
        <v>0</v>
      </c>
      <c r="O257" s="123">
        <v>324</v>
      </c>
      <c r="P257" t="b">
        <f t="shared" si="11"/>
        <v>0</v>
      </c>
    </row>
    <row r="258" spans="13:16">
      <c r="M258" s="123">
        <v>717</v>
      </c>
      <c r="N258" t="b">
        <f t="shared" si="10"/>
        <v>0</v>
      </c>
      <c r="O258" s="123">
        <v>108</v>
      </c>
      <c r="P258" t="b">
        <f t="shared" si="11"/>
        <v>0</v>
      </c>
    </row>
    <row r="259" spans="13:16">
      <c r="M259" s="123">
        <v>767</v>
      </c>
      <c r="N259" t="b">
        <f t="shared" si="10"/>
        <v>0</v>
      </c>
      <c r="O259" s="123">
        <v>152</v>
      </c>
      <c r="P259" t="b">
        <f t="shared" si="11"/>
        <v>0</v>
      </c>
    </row>
    <row r="260" spans="13:16">
      <c r="M260" s="123">
        <v>473</v>
      </c>
      <c r="N260" t="b">
        <f t="shared" ref="N260:N323" si="12">COUNTIF($M$4:$M$443, M260)&gt;1</f>
        <v>0</v>
      </c>
      <c r="O260" s="123">
        <v>681</v>
      </c>
      <c r="P260" t="b">
        <f t="shared" si="11"/>
        <v>0</v>
      </c>
    </row>
    <row r="261" spans="13:16">
      <c r="M261" s="123">
        <v>111</v>
      </c>
      <c r="N261" t="b">
        <f t="shared" si="12"/>
        <v>0</v>
      </c>
      <c r="O261" s="129">
        <v>260</v>
      </c>
      <c r="P261" t="b">
        <f t="shared" ref="P261:P324" si="13">COUNTIF($O$4:$O$443, O261)&gt;1</f>
        <v>0</v>
      </c>
    </row>
    <row r="262" spans="13:16">
      <c r="M262" s="125" t="s">
        <v>2057</v>
      </c>
      <c r="N262" t="b">
        <f t="shared" si="12"/>
        <v>1</v>
      </c>
      <c r="O262" s="125" t="s">
        <v>2057</v>
      </c>
      <c r="P262" t="b">
        <f t="shared" si="13"/>
        <v>1</v>
      </c>
    </row>
    <row r="263" spans="13:16">
      <c r="M263" s="123">
        <v>646</v>
      </c>
      <c r="N263" t="b">
        <f t="shared" si="12"/>
        <v>0</v>
      </c>
      <c r="O263" s="123">
        <v>402</v>
      </c>
      <c r="P263" t="b">
        <f t="shared" si="13"/>
        <v>0</v>
      </c>
    </row>
    <row r="264" spans="13:16">
      <c r="M264" s="123">
        <v>43</v>
      </c>
      <c r="N264" t="b">
        <f t="shared" si="12"/>
        <v>0</v>
      </c>
      <c r="O264" s="123">
        <v>648</v>
      </c>
      <c r="P264" t="b">
        <f t="shared" si="13"/>
        <v>0</v>
      </c>
    </row>
    <row r="265" spans="13:16">
      <c r="M265" s="123">
        <v>268</v>
      </c>
      <c r="N265" t="b">
        <f t="shared" si="12"/>
        <v>0</v>
      </c>
      <c r="O265" s="123">
        <v>257</v>
      </c>
      <c r="P265" t="b">
        <f t="shared" si="13"/>
        <v>0</v>
      </c>
    </row>
    <row r="266" spans="13:16">
      <c r="M266" s="123">
        <v>300</v>
      </c>
      <c r="N266" t="b">
        <f t="shared" si="12"/>
        <v>0</v>
      </c>
      <c r="O266" s="123">
        <v>691</v>
      </c>
      <c r="P266" t="b">
        <f t="shared" si="13"/>
        <v>0</v>
      </c>
    </row>
    <row r="267" spans="13:16">
      <c r="M267" s="123">
        <v>823</v>
      </c>
      <c r="N267" t="b">
        <f t="shared" si="12"/>
        <v>0</v>
      </c>
      <c r="O267" s="123">
        <v>716</v>
      </c>
      <c r="P267" t="b">
        <f t="shared" si="13"/>
        <v>0</v>
      </c>
    </row>
    <row r="268" spans="13:16">
      <c r="M268" s="123">
        <v>354</v>
      </c>
      <c r="N268" t="b">
        <f t="shared" si="12"/>
        <v>0</v>
      </c>
      <c r="O268" s="123">
        <v>631</v>
      </c>
      <c r="P268" t="b">
        <f t="shared" si="13"/>
        <v>0</v>
      </c>
    </row>
    <row r="269" spans="13:16">
      <c r="M269" s="123" t="s">
        <v>2057</v>
      </c>
      <c r="N269" t="b">
        <f t="shared" si="12"/>
        <v>1</v>
      </c>
      <c r="O269" s="123" t="s">
        <v>2057</v>
      </c>
      <c r="P269" t="b">
        <f t="shared" si="13"/>
        <v>1</v>
      </c>
    </row>
    <row r="270" spans="13:16">
      <c r="M270" s="123">
        <v>659</v>
      </c>
      <c r="N270" t="b">
        <f t="shared" si="12"/>
        <v>0</v>
      </c>
      <c r="O270" s="123">
        <v>606</v>
      </c>
      <c r="P270" t="b">
        <f t="shared" si="13"/>
        <v>0</v>
      </c>
    </row>
    <row r="271" spans="13:16">
      <c r="M271" s="123">
        <v>267</v>
      </c>
      <c r="N271" t="b">
        <f t="shared" si="12"/>
        <v>0</v>
      </c>
      <c r="O271" s="123">
        <v>221</v>
      </c>
      <c r="P271" t="b">
        <f t="shared" si="13"/>
        <v>0</v>
      </c>
    </row>
    <row r="272" spans="13:16">
      <c r="M272" s="123">
        <v>812</v>
      </c>
      <c r="N272" t="b">
        <f t="shared" si="12"/>
        <v>0</v>
      </c>
      <c r="O272" s="123">
        <v>308</v>
      </c>
      <c r="P272" t="b">
        <f t="shared" si="13"/>
        <v>0</v>
      </c>
    </row>
    <row r="273" spans="13:16">
      <c r="M273" s="123">
        <v>212</v>
      </c>
      <c r="N273" t="b">
        <f t="shared" si="12"/>
        <v>0</v>
      </c>
      <c r="O273" s="123">
        <v>644</v>
      </c>
      <c r="P273" t="b">
        <f t="shared" si="13"/>
        <v>0</v>
      </c>
    </row>
    <row r="274" spans="13:16">
      <c r="M274" s="123">
        <v>598</v>
      </c>
      <c r="N274" t="b">
        <f t="shared" si="12"/>
        <v>0</v>
      </c>
      <c r="O274" s="123">
        <v>242</v>
      </c>
      <c r="P274" t="b">
        <f t="shared" si="13"/>
        <v>0</v>
      </c>
    </row>
    <row r="275" spans="13:16">
      <c r="M275" s="123">
        <v>818</v>
      </c>
      <c r="N275" t="b">
        <f t="shared" si="12"/>
        <v>0</v>
      </c>
      <c r="O275" s="123">
        <v>618</v>
      </c>
      <c r="P275" t="b">
        <f t="shared" si="13"/>
        <v>0</v>
      </c>
    </row>
    <row r="276" spans="13:16">
      <c r="M276" s="123">
        <v>759</v>
      </c>
      <c r="N276" t="b">
        <f t="shared" si="12"/>
        <v>0</v>
      </c>
      <c r="O276" s="123">
        <v>140</v>
      </c>
      <c r="P276" t="b">
        <f t="shared" si="13"/>
        <v>0</v>
      </c>
    </row>
    <row r="277" spans="13:16">
      <c r="M277" s="123" t="s">
        <v>2057</v>
      </c>
      <c r="N277" t="b">
        <f t="shared" si="12"/>
        <v>1</v>
      </c>
      <c r="O277" s="123" t="s">
        <v>2057</v>
      </c>
      <c r="P277" t="b">
        <f t="shared" si="13"/>
        <v>1</v>
      </c>
    </row>
    <row r="278" spans="13:16">
      <c r="M278" s="123">
        <v>260</v>
      </c>
      <c r="N278" t="b">
        <f t="shared" si="12"/>
        <v>0</v>
      </c>
      <c r="O278" s="123">
        <v>192</v>
      </c>
      <c r="P278" t="b">
        <f t="shared" si="13"/>
        <v>0</v>
      </c>
    </row>
    <row r="279" spans="13:16">
      <c r="M279" s="123">
        <v>493</v>
      </c>
      <c r="N279" t="b">
        <f t="shared" si="12"/>
        <v>0</v>
      </c>
      <c r="O279" s="123">
        <v>227</v>
      </c>
      <c r="P279" t="b">
        <f t="shared" si="13"/>
        <v>0</v>
      </c>
    </row>
    <row r="280" spans="13:16">
      <c r="M280" s="165">
        <v>347</v>
      </c>
      <c r="N280" t="b">
        <f t="shared" si="12"/>
        <v>1</v>
      </c>
      <c r="O280" s="123">
        <v>416</v>
      </c>
      <c r="P280" t="b">
        <f t="shared" si="13"/>
        <v>0</v>
      </c>
    </row>
    <row r="281" spans="13:16">
      <c r="M281" s="123">
        <v>735</v>
      </c>
      <c r="N281" t="b">
        <f t="shared" si="12"/>
        <v>0</v>
      </c>
      <c r="O281" s="123">
        <v>689</v>
      </c>
      <c r="P281" t="b">
        <f t="shared" si="13"/>
        <v>0</v>
      </c>
    </row>
    <row r="282" spans="13:16">
      <c r="M282" s="123">
        <v>558</v>
      </c>
      <c r="N282" t="b">
        <f t="shared" si="12"/>
        <v>0</v>
      </c>
      <c r="O282" s="123">
        <v>231</v>
      </c>
      <c r="P282" t="b">
        <f t="shared" si="13"/>
        <v>0</v>
      </c>
    </row>
    <row r="283" spans="13:16">
      <c r="M283" s="123">
        <v>751</v>
      </c>
      <c r="N283" t="b">
        <f t="shared" si="12"/>
        <v>0</v>
      </c>
      <c r="O283" s="123">
        <v>297</v>
      </c>
      <c r="P283" t="b">
        <f t="shared" si="13"/>
        <v>0</v>
      </c>
    </row>
    <row r="284" spans="13:16">
      <c r="M284" s="123">
        <v>748</v>
      </c>
      <c r="N284" t="b">
        <f t="shared" si="12"/>
        <v>0</v>
      </c>
      <c r="O284" s="123">
        <v>200</v>
      </c>
      <c r="P284" t="b">
        <f t="shared" si="13"/>
        <v>0</v>
      </c>
    </row>
    <row r="285" spans="13:16">
      <c r="M285" s="125" t="s">
        <v>2057</v>
      </c>
      <c r="N285" t="b">
        <f t="shared" si="12"/>
        <v>1</v>
      </c>
      <c r="O285" s="125" t="s">
        <v>2057</v>
      </c>
      <c r="P285" t="b">
        <f t="shared" si="13"/>
        <v>1</v>
      </c>
    </row>
    <row r="286" spans="13:16">
      <c r="M286" s="123">
        <v>629</v>
      </c>
      <c r="N286" t="b">
        <f t="shared" si="12"/>
        <v>0</v>
      </c>
      <c r="O286" s="123">
        <v>713</v>
      </c>
      <c r="P286" t="b">
        <f t="shared" si="13"/>
        <v>0</v>
      </c>
    </row>
    <row r="287" spans="13:16">
      <c r="M287" s="123">
        <v>84</v>
      </c>
      <c r="N287" t="b">
        <f t="shared" si="12"/>
        <v>0</v>
      </c>
      <c r="O287" s="129">
        <v>237</v>
      </c>
      <c r="P287" t="b">
        <f t="shared" si="13"/>
        <v>0</v>
      </c>
    </row>
    <row r="288" spans="13:16">
      <c r="M288" s="164">
        <v>586</v>
      </c>
      <c r="N288" t="b">
        <f t="shared" si="12"/>
        <v>0</v>
      </c>
      <c r="O288" s="164">
        <v>654</v>
      </c>
      <c r="P288" t="b">
        <f t="shared" si="13"/>
        <v>0</v>
      </c>
    </row>
    <row r="289" spans="13:16">
      <c r="M289" s="123">
        <v>851</v>
      </c>
      <c r="N289" t="b">
        <f t="shared" si="12"/>
        <v>0</v>
      </c>
      <c r="O289" s="123">
        <v>634</v>
      </c>
      <c r="P289" t="b">
        <f t="shared" si="13"/>
        <v>0</v>
      </c>
    </row>
    <row r="290" spans="13:16">
      <c r="M290" s="125" t="s">
        <v>2519</v>
      </c>
      <c r="N290" t="b">
        <f t="shared" si="12"/>
        <v>1</v>
      </c>
      <c r="O290" s="125" t="s">
        <v>2519</v>
      </c>
      <c r="P290" t="b">
        <f t="shared" si="13"/>
        <v>1</v>
      </c>
    </row>
    <row r="291" spans="13:16">
      <c r="M291" s="123">
        <v>467</v>
      </c>
      <c r="N291" t="b">
        <f t="shared" si="12"/>
        <v>0</v>
      </c>
      <c r="O291" s="123">
        <v>201</v>
      </c>
      <c r="P291" t="b">
        <f t="shared" si="13"/>
        <v>0</v>
      </c>
    </row>
    <row r="292" spans="13:16">
      <c r="M292" s="123">
        <v>766</v>
      </c>
      <c r="N292" t="b">
        <f t="shared" si="12"/>
        <v>0</v>
      </c>
      <c r="O292" s="123">
        <v>174</v>
      </c>
      <c r="P292" t="b">
        <f t="shared" si="13"/>
        <v>0</v>
      </c>
    </row>
    <row r="293" spans="13:16">
      <c r="M293" s="129">
        <v>430</v>
      </c>
      <c r="N293" t="b">
        <f t="shared" si="12"/>
        <v>0</v>
      </c>
      <c r="O293" s="123">
        <v>261</v>
      </c>
      <c r="P293" t="b">
        <f t="shared" si="13"/>
        <v>0</v>
      </c>
    </row>
    <row r="294" spans="13:16">
      <c r="M294" s="123">
        <v>174</v>
      </c>
      <c r="N294" t="b">
        <f t="shared" si="12"/>
        <v>0</v>
      </c>
      <c r="O294" s="123">
        <v>203</v>
      </c>
      <c r="P294" t="b">
        <f t="shared" si="13"/>
        <v>0</v>
      </c>
    </row>
    <row r="295" spans="13:16">
      <c r="M295" s="123">
        <v>714</v>
      </c>
      <c r="N295" t="b">
        <f t="shared" si="12"/>
        <v>0</v>
      </c>
      <c r="O295" s="123">
        <v>191</v>
      </c>
      <c r="P295" t="b">
        <f t="shared" si="13"/>
        <v>0</v>
      </c>
    </row>
    <row r="296" spans="13:16">
      <c r="M296" s="123">
        <v>726</v>
      </c>
      <c r="N296" t="b">
        <f t="shared" si="12"/>
        <v>0</v>
      </c>
      <c r="O296" s="123">
        <v>160</v>
      </c>
      <c r="P296" t="b">
        <f t="shared" si="13"/>
        <v>0</v>
      </c>
    </row>
    <row r="297" spans="13:16">
      <c r="M297" s="123">
        <v>866</v>
      </c>
      <c r="N297" t="b">
        <f t="shared" si="12"/>
        <v>0</v>
      </c>
      <c r="O297" s="123">
        <v>275</v>
      </c>
      <c r="P297" t="b">
        <f t="shared" si="13"/>
        <v>0</v>
      </c>
    </row>
    <row r="298" spans="13:16">
      <c r="M298" s="123">
        <v>705</v>
      </c>
      <c r="N298" t="b">
        <f t="shared" si="12"/>
        <v>0</v>
      </c>
      <c r="O298" s="123">
        <v>657</v>
      </c>
      <c r="P298" t="b">
        <f t="shared" si="13"/>
        <v>0</v>
      </c>
    </row>
    <row r="299" spans="13:16">
      <c r="M299" s="123">
        <v>601</v>
      </c>
      <c r="N299" t="b">
        <f t="shared" si="12"/>
        <v>0</v>
      </c>
      <c r="O299" s="123">
        <v>306</v>
      </c>
      <c r="P299" t="b">
        <f t="shared" si="13"/>
        <v>0</v>
      </c>
    </row>
    <row r="300" spans="13:16">
      <c r="M300" s="123" t="s">
        <v>2057</v>
      </c>
      <c r="N300" t="b">
        <f t="shared" si="12"/>
        <v>1</v>
      </c>
      <c r="O300" s="123" t="s">
        <v>2057</v>
      </c>
      <c r="P300" t="b">
        <f t="shared" si="13"/>
        <v>1</v>
      </c>
    </row>
    <row r="301" spans="13:16">
      <c r="M301" s="123">
        <v>157</v>
      </c>
      <c r="N301" t="b">
        <f t="shared" si="12"/>
        <v>0</v>
      </c>
      <c r="O301" s="123">
        <v>377</v>
      </c>
      <c r="P301" t="b">
        <f t="shared" si="13"/>
        <v>0</v>
      </c>
    </row>
    <row r="302" spans="13:16">
      <c r="M302" s="123">
        <v>226</v>
      </c>
      <c r="N302" t="b">
        <f t="shared" si="12"/>
        <v>0</v>
      </c>
      <c r="O302" s="123">
        <v>61</v>
      </c>
      <c r="P302" t="b">
        <f t="shared" si="13"/>
        <v>0</v>
      </c>
    </row>
    <row r="303" spans="13:16">
      <c r="M303" s="123">
        <v>855</v>
      </c>
      <c r="N303" t="b">
        <f t="shared" si="12"/>
        <v>0</v>
      </c>
      <c r="O303" s="129">
        <v>620</v>
      </c>
      <c r="P303" t="b">
        <f t="shared" si="13"/>
        <v>0</v>
      </c>
    </row>
    <row r="304" spans="13:16">
      <c r="M304" s="123">
        <v>413</v>
      </c>
      <c r="N304" t="b">
        <f t="shared" si="12"/>
        <v>0</v>
      </c>
      <c r="O304" s="123">
        <v>366</v>
      </c>
      <c r="P304" t="b">
        <f t="shared" si="13"/>
        <v>0</v>
      </c>
    </row>
    <row r="305" spans="13:16">
      <c r="M305" s="123">
        <v>370</v>
      </c>
      <c r="N305" t="b">
        <f t="shared" si="12"/>
        <v>0</v>
      </c>
      <c r="O305" s="123">
        <v>610</v>
      </c>
      <c r="P305" t="b">
        <f t="shared" si="13"/>
        <v>0</v>
      </c>
    </row>
    <row r="306" spans="13:16">
      <c r="M306" s="123">
        <v>879</v>
      </c>
      <c r="N306" t="b">
        <f t="shared" si="12"/>
        <v>0</v>
      </c>
      <c r="O306" s="123">
        <v>614</v>
      </c>
      <c r="P306" t="b">
        <f t="shared" si="13"/>
        <v>0</v>
      </c>
    </row>
    <row r="307" spans="13:16">
      <c r="M307" s="123">
        <v>854</v>
      </c>
      <c r="N307" t="b">
        <f t="shared" si="12"/>
        <v>0</v>
      </c>
      <c r="O307" s="123">
        <v>720</v>
      </c>
      <c r="P307" t="b">
        <f t="shared" si="13"/>
        <v>0</v>
      </c>
    </row>
    <row r="308" spans="13:16">
      <c r="M308" s="123" t="s">
        <v>2057</v>
      </c>
      <c r="N308" t="b">
        <f t="shared" si="12"/>
        <v>1</v>
      </c>
      <c r="O308" s="123" t="s">
        <v>2057</v>
      </c>
      <c r="P308" t="b">
        <f t="shared" si="13"/>
        <v>1</v>
      </c>
    </row>
    <row r="309" spans="13:16">
      <c r="M309" s="123">
        <v>788</v>
      </c>
      <c r="N309" t="b">
        <f t="shared" si="12"/>
        <v>0</v>
      </c>
      <c r="O309" s="123">
        <v>643</v>
      </c>
      <c r="P309" t="b">
        <f t="shared" si="13"/>
        <v>0</v>
      </c>
    </row>
    <row r="310" spans="13:16">
      <c r="M310" s="123">
        <v>91</v>
      </c>
      <c r="N310" t="b">
        <f t="shared" si="12"/>
        <v>0</v>
      </c>
      <c r="O310" s="123">
        <v>277</v>
      </c>
      <c r="P310" t="b">
        <f t="shared" si="13"/>
        <v>0</v>
      </c>
    </row>
    <row r="311" spans="13:16">
      <c r="M311" s="123">
        <v>364</v>
      </c>
      <c r="N311" t="b">
        <f t="shared" si="12"/>
        <v>0</v>
      </c>
      <c r="O311" s="123">
        <v>197</v>
      </c>
      <c r="P311" t="b">
        <f t="shared" si="13"/>
        <v>0</v>
      </c>
    </row>
    <row r="312" spans="13:16">
      <c r="M312" s="123">
        <v>862</v>
      </c>
      <c r="N312" t="b">
        <f t="shared" si="12"/>
        <v>0</v>
      </c>
      <c r="O312" s="123">
        <v>601</v>
      </c>
      <c r="P312" t="b">
        <f t="shared" si="13"/>
        <v>0</v>
      </c>
    </row>
    <row r="313" spans="13:16">
      <c r="M313" s="123">
        <v>330</v>
      </c>
      <c r="N313" t="b">
        <f t="shared" si="12"/>
        <v>0</v>
      </c>
      <c r="O313" s="123">
        <v>220</v>
      </c>
      <c r="P313" t="b">
        <f t="shared" si="13"/>
        <v>0</v>
      </c>
    </row>
    <row r="314" spans="13:16">
      <c r="M314" s="123">
        <v>596</v>
      </c>
      <c r="N314" t="b">
        <f t="shared" si="12"/>
        <v>0</v>
      </c>
      <c r="O314" s="123">
        <v>659</v>
      </c>
      <c r="P314" t="b">
        <f t="shared" si="13"/>
        <v>0</v>
      </c>
    </row>
    <row r="315" spans="13:16">
      <c r="M315" s="123">
        <v>380</v>
      </c>
      <c r="N315" t="b">
        <f t="shared" si="12"/>
        <v>0</v>
      </c>
      <c r="O315" s="129">
        <v>619</v>
      </c>
      <c r="P315" t="b">
        <f t="shared" si="13"/>
        <v>0</v>
      </c>
    </row>
    <row r="316" spans="13:16">
      <c r="M316" s="123">
        <v>872</v>
      </c>
      <c r="N316" t="b">
        <f t="shared" si="12"/>
        <v>0</v>
      </c>
      <c r="O316" s="123">
        <v>106</v>
      </c>
      <c r="P316" t="b">
        <f t="shared" si="13"/>
        <v>0</v>
      </c>
    </row>
    <row r="317" spans="13:16">
      <c r="M317" s="123" t="s">
        <v>2057</v>
      </c>
      <c r="N317" t="b">
        <f t="shared" si="12"/>
        <v>1</v>
      </c>
      <c r="O317" s="123" t="s">
        <v>2057</v>
      </c>
      <c r="P317" t="b">
        <f t="shared" si="13"/>
        <v>1</v>
      </c>
    </row>
    <row r="318" spans="13:16">
      <c r="M318" s="123">
        <v>844</v>
      </c>
      <c r="N318" t="b">
        <f t="shared" si="12"/>
        <v>0</v>
      </c>
      <c r="O318" s="123">
        <v>233</v>
      </c>
      <c r="P318" t="b">
        <f t="shared" si="13"/>
        <v>0</v>
      </c>
    </row>
    <row r="319" spans="13:16">
      <c r="M319" s="123">
        <v>372</v>
      </c>
      <c r="N319" t="b">
        <f t="shared" si="12"/>
        <v>0</v>
      </c>
      <c r="O319" s="123">
        <v>698</v>
      </c>
      <c r="P319" t="b">
        <f t="shared" si="13"/>
        <v>0</v>
      </c>
    </row>
    <row r="320" spans="13:16">
      <c r="M320" s="123">
        <v>3</v>
      </c>
      <c r="N320" t="b">
        <f t="shared" si="12"/>
        <v>0</v>
      </c>
      <c r="O320" s="123">
        <v>47</v>
      </c>
      <c r="P320" t="b">
        <f t="shared" si="13"/>
        <v>0</v>
      </c>
    </row>
    <row r="321" spans="13:16">
      <c r="M321" s="123">
        <v>25</v>
      </c>
      <c r="N321" t="b">
        <f t="shared" si="12"/>
        <v>0</v>
      </c>
      <c r="O321" s="123">
        <v>707</v>
      </c>
      <c r="P321" t="b">
        <f t="shared" si="13"/>
        <v>0</v>
      </c>
    </row>
    <row r="322" spans="13:16">
      <c r="M322" s="123" t="s">
        <v>2057</v>
      </c>
      <c r="N322" t="b">
        <f t="shared" si="12"/>
        <v>1</v>
      </c>
      <c r="O322" s="123" t="s">
        <v>2057</v>
      </c>
      <c r="P322" t="b">
        <f t="shared" si="13"/>
        <v>1</v>
      </c>
    </row>
    <row r="323" spans="13:16">
      <c r="M323" s="123">
        <v>187</v>
      </c>
      <c r="N323" t="b">
        <f t="shared" si="12"/>
        <v>0</v>
      </c>
      <c r="O323" s="123">
        <v>641</v>
      </c>
      <c r="P323" t="b">
        <f t="shared" si="13"/>
        <v>0</v>
      </c>
    </row>
    <row r="324" spans="13:16">
      <c r="M324" s="123">
        <v>398</v>
      </c>
      <c r="N324" t="b">
        <f t="shared" ref="N324:N387" si="14">COUNTIF($M$4:$M$443, M324)&gt;1</f>
        <v>0</v>
      </c>
      <c r="O324" s="123">
        <v>245</v>
      </c>
      <c r="P324" t="b">
        <f t="shared" si="13"/>
        <v>0</v>
      </c>
    </row>
    <row r="325" spans="13:16">
      <c r="M325" s="165">
        <v>120</v>
      </c>
      <c r="N325" t="b">
        <f t="shared" si="14"/>
        <v>1</v>
      </c>
      <c r="O325" s="123">
        <v>714</v>
      </c>
      <c r="P325" t="b">
        <f t="shared" ref="P325:P388" si="15">COUNTIF($O$4:$O$443, O325)&gt;1</f>
        <v>0</v>
      </c>
    </row>
    <row r="326" spans="13:16">
      <c r="M326" s="123">
        <v>145</v>
      </c>
      <c r="N326" t="b">
        <f t="shared" si="14"/>
        <v>0</v>
      </c>
      <c r="O326" s="123">
        <v>701</v>
      </c>
      <c r="P326" t="b">
        <f t="shared" si="15"/>
        <v>0</v>
      </c>
    </row>
    <row r="327" spans="13:16">
      <c r="M327" s="123">
        <v>76</v>
      </c>
      <c r="N327" t="b">
        <f t="shared" si="14"/>
        <v>0</v>
      </c>
      <c r="O327" s="164">
        <v>365</v>
      </c>
      <c r="P327" t="b">
        <f t="shared" si="15"/>
        <v>0</v>
      </c>
    </row>
    <row r="328" spans="13:16">
      <c r="M328" s="123">
        <v>57</v>
      </c>
      <c r="N328" t="b">
        <f t="shared" si="14"/>
        <v>0</v>
      </c>
      <c r="O328" s="123">
        <v>212</v>
      </c>
      <c r="P328" t="b">
        <f t="shared" si="15"/>
        <v>0</v>
      </c>
    </row>
    <row r="329" spans="13:16">
      <c r="M329" s="123">
        <v>167</v>
      </c>
      <c r="N329" t="b">
        <f t="shared" si="14"/>
        <v>0</v>
      </c>
      <c r="O329" s="123">
        <v>66</v>
      </c>
      <c r="P329" t="b">
        <f t="shared" si="15"/>
        <v>0</v>
      </c>
    </row>
    <row r="330" spans="13:16">
      <c r="M330" s="123">
        <v>208</v>
      </c>
      <c r="N330" t="b">
        <f t="shared" si="14"/>
        <v>0</v>
      </c>
      <c r="O330" s="123">
        <v>347</v>
      </c>
      <c r="P330" t="b">
        <f t="shared" si="15"/>
        <v>0</v>
      </c>
    </row>
    <row r="331" spans="13:16">
      <c r="M331" s="123">
        <v>62</v>
      </c>
      <c r="N331" t="b">
        <f t="shared" si="14"/>
        <v>0</v>
      </c>
      <c r="O331" s="123">
        <v>206</v>
      </c>
      <c r="P331" t="b">
        <f t="shared" si="15"/>
        <v>0</v>
      </c>
    </row>
    <row r="332" spans="13:16">
      <c r="M332" s="123">
        <v>102</v>
      </c>
      <c r="N332" t="b">
        <f t="shared" si="14"/>
        <v>0</v>
      </c>
      <c r="O332" s="123">
        <v>299</v>
      </c>
      <c r="P332" t="b">
        <f t="shared" si="15"/>
        <v>0</v>
      </c>
    </row>
    <row r="333" spans="13:16">
      <c r="M333" s="123">
        <v>265</v>
      </c>
      <c r="N333" t="b">
        <f t="shared" si="14"/>
        <v>0</v>
      </c>
      <c r="O333" s="123">
        <v>636</v>
      </c>
      <c r="P333" t="b">
        <f t="shared" si="15"/>
        <v>0</v>
      </c>
    </row>
    <row r="334" spans="13:16">
      <c r="M334" s="123">
        <v>455</v>
      </c>
      <c r="N334" t="b">
        <f t="shared" si="14"/>
        <v>0</v>
      </c>
      <c r="O334" s="123">
        <v>239</v>
      </c>
      <c r="P334" t="b">
        <f t="shared" si="15"/>
        <v>0</v>
      </c>
    </row>
    <row r="335" spans="13:16">
      <c r="M335" s="124" t="s">
        <v>2057</v>
      </c>
      <c r="N335" t="b">
        <f t="shared" si="14"/>
        <v>1</v>
      </c>
      <c r="O335" s="124" t="s">
        <v>2057</v>
      </c>
      <c r="P335" t="b">
        <f t="shared" si="15"/>
        <v>1</v>
      </c>
    </row>
    <row r="336" spans="13:16">
      <c r="M336" s="123">
        <v>490</v>
      </c>
      <c r="N336" t="b">
        <f t="shared" si="14"/>
        <v>0</v>
      </c>
      <c r="O336" s="123">
        <v>313</v>
      </c>
      <c r="P336" t="b">
        <f t="shared" si="15"/>
        <v>0</v>
      </c>
    </row>
    <row r="337" spans="13:16">
      <c r="M337" s="123">
        <v>650</v>
      </c>
      <c r="N337" t="b">
        <f t="shared" si="14"/>
        <v>0</v>
      </c>
      <c r="O337" s="123">
        <v>247</v>
      </c>
      <c r="P337" t="b">
        <f t="shared" si="15"/>
        <v>0</v>
      </c>
    </row>
    <row r="338" spans="13:16">
      <c r="M338" s="123">
        <v>873</v>
      </c>
      <c r="N338" t="b">
        <f t="shared" si="14"/>
        <v>0</v>
      </c>
      <c r="O338" s="123">
        <v>671</v>
      </c>
      <c r="P338" t="b">
        <f t="shared" si="15"/>
        <v>0</v>
      </c>
    </row>
    <row r="339" spans="13:16">
      <c r="M339" s="123">
        <v>206</v>
      </c>
      <c r="N339" t="b">
        <f t="shared" si="14"/>
        <v>0</v>
      </c>
      <c r="O339" s="123">
        <v>638</v>
      </c>
      <c r="P339" t="b">
        <f t="shared" si="15"/>
        <v>0</v>
      </c>
    </row>
    <row r="340" spans="13:16">
      <c r="M340" s="123">
        <v>163</v>
      </c>
      <c r="N340" t="b">
        <f t="shared" si="14"/>
        <v>0</v>
      </c>
      <c r="O340" s="123">
        <v>719</v>
      </c>
      <c r="P340" t="b">
        <f t="shared" si="15"/>
        <v>0</v>
      </c>
    </row>
    <row r="341" spans="13:16">
      <c r="M341" s="123">
        <v>83</v>
      </c>
      <c r="N341" t="b">
        <f t="shared" si="14"/>
        <v>0</v>
      </c>
      <c r="O341" s="123">
        <v>173</v>
      </c>
      <c r="P341" t="b">
        <f t="shared" si="15"/>
        <v>0</v>
      </c>
    </row>
    <row r="342" spans="13:16">
      <c r="M342" s="123">
        <v>159</v>
      </c>
      <c r="N342" t="b">
        <f t="shared" si="14"/>
        <v>0</v>
      </c>
      <c r="O342" s="123">
        <v>373</v>
      </c>
      <c r="P342" t="b">
        <f t="shared" si="15"/>
        <v>0</v>
      </c>
    </row>
    <row r="343" spans="13:16">
      <c r="M343" s="124" t="s">
        <v>2057</v>
      </c>
      <c r="N343" t="b">
        <f t="shared" si="14"/>
        <v>1</v>
      </c>
      <c r="O343" s="124" t="s">
        <v>2057</v>
      </c>
      <c r="P343" t="b">
        <f t="shared" si="15"/>
        <v>1</v>
      </c>
    </row>
    <row r="344" spans="13:16">
      <c r="M344" s="123">
        <v>16</v>
      </c>
      <c r="N344" t="b">
        <f t="shared" si="14"/>
        <v>0</v>
      </c>
      <c r="O344" s="123">
        <v>374</v>
      </c>
      <c r="P344" t="b">
        <f t="shared" si="15"/>
        <v>0</v>
      </c>
    </row>
    <row r="345" spans="13:16">
      <c r="M345" s="123">
        <v>109</v>
      </c>
      <c r="N345" t="b">
        <f t="shared" si="14"/>
        <v>0</v>
      </c>
      <c r="O345" s="123">
        <v>388</v>
      </c>
      <c r="P345" t="b">
        <f t="shared" si="15"/>
        <v>0</v>
      </c>
    </row>
    <row r="346" spans="13:16">
      <c r="M346" s="123">
        <v>344</v>
      </c>
      <c r="N346" t="b">
        <f t="shared" si="14"/>
        <v>0</v>
      </c>
      <c r="O346" s="123">
        <v>281</v>
      </c>
      <c r="P346" t="b">
        <f t="shared" si="15"/>
        <v>0</v>
      </c>
    </row>
    <row r="347" spans="13:16">
      <c r="M347" s="123">
        <v>221</v>
      </c>
      <c r="N347" t="b">
        <f t="shared" si="14"/>
        <v>0</v>
      </c>
      <c r="O347" s="123">
        <v>443</v>
      </c>
      <c r="P347" t="b">
        <f t="shared" si="15"/>
        <v>0</v>
      </c>
    </row>
    <row r="348" spans="13:16">
      <c r="M348" s="123">
        <v>757</v>
      </c>
      <c r="N348" t="b">
        <f t="shared" si="14"/>
        <v>0</v>
      </c>
      <c r="O348" s="123">
        <v>180</v>
      </c>
      <c r="P348" t="b">
        <f t="shared" si="15"/>
        <v>0</v>
      </c>
    </row>
    <row r="349" spans="13:16">
      <c r="M349" s="124" t="s">
        <v>2057</v>
      </c>
      <c r="N349" t="b">
        <f t="shared" si="14"/>
        <v>1</v>
      </c>
      <c r="O349" s="124" t="s">
        <v>2057</v>
      </c>
      <c r="P349" t="b">
        <f t="shared" si="15"/>
        <v>1</v>
      </c>
    </row>
    <row r="350" spans="13:16">
      <c r="M350" s="123">
        <v>96</v>
      </c>
      <c r="N350" t="b">
        <f t="shared" si="14"/>
        <v>0</v>
      </c>
      <c r="O350" s="123">
        <v>229</v>
      </c>
      <c r="P350" t="b">
        <f t="shared" si="15"/>
        <v>0</v>
      </c>
    </row>
    <row r="351" spans="13:16">
      <c r="M351" s="123">
        <v>134</v>
      </c>
      <c r="N351" t="b">
        <f t="shared" si="14"/>
        <v>0</v>
      </c>
      <c r="O351" s="123">
        <v>272</v>
      </c>
      <c r="P351" t="b">
        <f t="shared" si="15"/>
        <v>0</v>
      </c>
    </row>
    <row r="352" spans="13:16">
      <c r="M352" s="123">
        <v>671</v>
      </c>
      <c r="N352" t="b">
        <f t="shared" si="14"/>
        <v>0</v>
      </c>
      <c r="O352" s="123">
        <v>207</v>
      </c>
      <c r="P352" t="b">
        <f t="shared" si="15"/>
        <v>0</v>
      </c>
    </row>
    <row r="353" spans="13:16">
      <c r="M353" s="123">
        <v>400</v>
      </c>
      <c r="N353" t="b">
        <f t="shared" si="14"/>
        <v>0</v>
      </c>
      <c r="O353" s="123">
        <v>193</v>
      </c>
      <c r="P353" t="b">
        <f t="shared" si="15"/>
        <v>0</v>
      </c>
    </row>
    <row r="354" spans="13:16">
      <c r="M354" s="123">
        <v>48</v>
      </c>
      <c r="N354" t="b">
        <f t="shared" si="14"/>
        <v>0</v>
      </c>
      <c r="O354" s="123">
        <v>188</v>
      </c>
      <c r="P354" t="b">
        <f t="shared" si="15"/>
        <v>0</v>
      </c>
    </row>
    <row r="355" spans="13:16">
      <c r="M355" s="124" t="s">
        <v>2057</v>
      </c>
      <c r="N355" t="b">
        <f t="shared" si="14"/>
        <v>1</v>
      </c>
      <c r="O355" s="124" t="s">
        <v>2057</v>
      </c>
      <c r="P355" t="b">
        <f t="shared" si="15"/>
        <v>1</v>
      </c>
    </row>
    <row r="356" spans="13:16">
      <c r="M356" s="123">
        <v>210</v>
      </c>
      <c r="N356" t="b">
        <f t="shared" si="14"/>
        <v>0</v>
      </c>
      <c r="O356" s="123">
        <v>683</v>
      </c>
      <c r="P356" t="b">
        <f t="shared" si="15"/>
        <v>0</v>
      </c>
    </row>
    <row r="357" spans="13:16">
      <c r="M357" s="123">
        <v>40</v>
      </c>
      <c r="N357" t="b">
        <f t="shared" si="14"/>
        <v>0</v>
      </c>
      <c r="O357" s="123">
        <v>649</v>
      </c>
      <c r="P357" t="b">
        <f t="shared" si="15"/>
        <v>0</v>
      </c>
    </row>
    <row r="358" spans="13:16">
      <c r="M358" s="123">
        <v>517</v>
      </c>
      <c r="N358" t="b">
        <f t="shared" si="14"/>
        <v>0</v>
      </c>
      <c r="O358" s="123">
        <v>222</v>
      </c>
      <c r="P358" t="b">
        <f t="shared" si="15"/>
        <v>0</v>
      </c>
    </row>
    <row r="359" spans="13:16">
      <c r="M359" s="123">
        <v>67</v>
      </c>
      <c r="N359" t="b">
        <f t="shared" si="14"/>
        <v>0</v>
      </c>
      <c r="O359" s="123">
        <v>214</v>
      </c>
      <c r="P359" t="b">
        <f t="shared" si="15"/>
        <v>0</v>
      </c>
    </row>
    <row r="360" spans="13:16">
      <c r="M360" s="123">
        <v>335</v>
      </c>
      <c r="N360" t="b">
        <f t="shared" si="14"/>
        <v>0</v>
      </c>
      <c r="O360" s="123">
        <v>628</v>
      </c>
      <c r="P360" t="b">
        <f t="shared" si="15"/>
        <v>0</v>
      </c>
    </row>
    <row r="361" spans="13:16">
      <c r="M361" s="123">
        <v>484</v>
      </c>
      <c r="N361" t="b">
        <f t="shared" si="14"/>
        <v>0</v>
      </c>
      <c r="O361" s="123">
        <v>198</v>
      </c>
      <c r="P361" t="b">
        <f t="shared" si="15"/>
        <v>0</v>
      </c>
    </row>
    <row r="362" spans="13:16">
      <c r="M362" s="123">
        <v>868</v>
      </c>
      <c r="N362" t="b">
        <f t="shared" si="14"/>
        <v>0</v>
      </c>
      <c r="O362" s="123">
        <v>706</v>
      </c>
      <c r="P362" t="b">
        <f t="shared" si="15"/>
        <v>0</v>
      </c>
    </row>
    <row r="363" spans="13:16">
      <c r="M363" s="123">
        <v>792</v>
      </c>
      <c r="N363" t="b">
        <f t="shared" si="14"/>
        <v>0</v>
      </c>
      <c r="O363" s="123">
        <v>710</v>
      </c>
      <c r="P363" t="b">
        <f t="shared" si="15"/>
        <v>0</v>
      </c>
    </row>
    <row r="364" spans="13:16">
      <c r="M364" s="124" t="s">
        <v>2057</v>
      </c>
      <c r="N364" t="b">
        <f t="shared" si="14"/>
        <v>1</v>
      </c>
      <c r="O364" s="124" t="s">
        <v>2057</v>
      </c>
      <c r="P364" t="b">
        <f t="shared" si="15"/>
        <v>1</v>
      </c>
    </row>
    <row r="365" spans="13:16">
      <c r="M365" s="123">
        <v>711</v>
      </c>
      <c r="N365" t="b">
        <f t="shared" si="14"/>
        <v>0</v>
      </c>
      <c r="O365" s="123">
        <v>626</v>
      </c>
      <c r="P365" t="b">
        <f t="shared" si="15"/>
        <v>0</v>
      </c>
    </row>
    <row r="366" spans="13:16">
      <c r="M366" s="123">
        <v>205</v>
      </c>
      <c r="N366" t="b">
        <f t="shared" si="14"/>
        <v>0</v>
      </c>
      <c r="O366" s="123">
        <v>195</v>
      </c>
      <c r="P366" t="b">
        <f t="shared" si="15"/>
        <v>0</v>
      </c>
    </row>
    <row r="367" spans="13:16">
      <c r="M367" s="123">
        <v>384</v>
      </c>
      <c r="N367" t="b">
        <f t="shared" si="14"/>
        <v>0</v>
      </c>
      <c r="O367" s="123">
        <v>295</v>
      </c>
      <c r="P367" t="b">
        <f t="shared" si="15"/>
        <v>0</v>
      </c>
    </row>
    <row r="368" spans="13:16">
      <c r="M368" s="129">
        <v>72</v>
      </c>
      <c r="N368" t="b">
        <f t="shared" si="14"/>
        <v>0</v>
      </c>
      <c r="O368" s="123">
        <v>609</v>
      </c>
      <c r="P368" t="b">
        <f t="shared" si="15"/>
        <v>0</v>
      </c>
    </row>
    <row r="369" spans="13:16">
      <c r="M369" s="123">
        <v>336</v>
      </c>
      <c r="N369" t="b">
        <f t="shared" si="14"/>
        <v>0</v>
      </c>
      <c r="O369" s="123">
        <v>292</v>
      </c>
      <c r="P369" t="b">
        <f t="shared" si="15"/>
        <v>0</v>
      </c>
    </row>
    <row r="370" spans="13:16">
      <c r="M370" s="123">
        <v>303</v>
      </c>
      <c r="N370" t="b">
        <f t="shared" si="14"/>
        <v>0</v>
      </c>
      <c r="O370" s="123">
        <v>243</v>
      </c>
      <c r="P370" t="b">
        <f t="shared" si="15"/>
        <v>0</v>
      </c>
    </row>
    <row r="371" spans="13:16">
      <c r="M371" s="123">
        <v>161</v>
      </c>
      <c r="N371" t="b">
        <f t="shared" si="14"/>
        <v>0</v>
      </c>
      <c r="O371" s="123">
        <v>422</v>
      </c>
      <c r="P371" t="b">
        <f t="shared" si="15"/>
        <v>0</v>
      </c>
    </row>
    <row r="372" spans="13:16">
      <c r="M372" s="123">
        <v>464</v>
      </c>
      <c r="N372" t="b">
        <f t="shared" si="14"/>
        <v>0</v>
      </c>
      <c r="O372" s="123">
        <v>664</v>
      </c>
      <c r="P372" t="b">
        <f t="shared" si="15"/>
        <v>0</v>
      </c>
    </row>
    <row r="373" spans="13:16">
      <c r="M373" s="123">
        <v>843</v>
      </c>
      <c r="N373" t="b">
        <f t="shared" si="14"/>
        <v>0</v>
      </c>
      <c r="O373" s="123">
        <v>316</v>
      </c>
      <c r="P373" t="b">
        <f t="shared" si="15"/>
        <v>0</v>
      </c>
    </row>
    <row r="374" spans="13:16">
      <c r="M374" s="123" t="s">
        <v>2057</v>
      </c>
      <c r="N374" t="b">
        <f t="shared" si="14"/>
        <v>1</v>
      </c>
      <c r="O374" s="123" t="s">
        <v>2057</v>
      </c>
      <c r="P374" t="b">
        <f t="shared" si="15"/>
        <v>1</v>
      </c>
    </row>
    <row r="375" spans="13:16">
      <c r="M375" s="123">
        <v>617</v>
      </c>
      <c r="N375" t="b">
        <f t="shared" si="14"/>
        <v>0</v>
      </c>
      <c r="O375" s="123">
        <v>635</v>
      </c>
      <c r="P375" t="b">
        <f t="shared" si="15"/>
        <v>0</v>
      </c>
    </row>
    <row r="376" spans="13:16">
      <c r="M376" s="123">
        <v>19</v>
      </c>
      <c r="N376" t="b">
        <f t="shared" si="14"/>
        <v>0</v>
      </c>
      <c r="O376" s="123">
        <v>651</v>
      </c>
      <c r="P376" t="b">
        <f t="shared" si="15"/>
        <v>0</v>
      </c>
    </row>
    <row r="377" spans="13:16">
      <c r="M377" s="123">
        <v>275</v>
      </c>
      <c r="N377" t="b">
        <f t="shared" si="14"/>
        <v>0</v>
      </c>
      <c r="O377" s="123">
        <v>367</v>
      </c>
      <c r="P377" t="b">
        <f t="shared" si="15"/>
        <v>0</v>
      </c>
    </row>
    <row r="378" spans="13:16">
      <c r="M378" s="123">
        <v>289</v>
      </c>
      <c r="N378" t="b">
        <f t="shared" si="14"/>
        <v>0</v>
      </c>
      <c r="O378" s="123">
        <v>617</v>
      </c>
      <c r="P378" t="b">
        <f t="shared" si="15"/>
        <v>0</v>
      </c>
    </row>
    <row r="379" spans="13:16">
      <c r="M379" s="123">
        <v>65</v>
      </c>
      <c r="N379" t="b">
        <f t="shared" si="14"/>
        <v>0</v>
      </c>
      <c r="O379" s="123">
        <v>84</v>
      </c>
      <c r="P379" t="b">
        <f t="shared" si="15"/>
        <v>0</v>
      </c>
    </row>
    <row r="380" spans="13:16">
      <c r="M380" s="123">
        <v>33</v>
      </c>
      <c r="N380" t="b">
        <f t="shared" si="14"/>
        <v>0</v>
      </c>
      <c r="O380" s="123">
        <v>248</v>
      </c>
      <c r="P380" t="b">
        <f t="shared" si="15"/>
        <v>0</v>
      </c>
    </row>
    <row r="381" spans="13:16">
      <c r="M381" s="123">
        <v>153</v>
      </c>
      <c r="N381" t="b">
        <f t="shared" si="14"/>
        <v>0</v>
      </c>
      <c r="O381" s="123">
        <v>238</v>
      </c>
      <c r="P381" t="b">
        <f t="shared" si="15"/>
        <v>0</v>
      </c>
    </row>
    <row r="382" spans="13:16">
      <c r="M382" s="123" t="s">
        <v>2057</v>
      </c>
      <c r="N382" t="b">
        <f t="shared" si="14"/>
        <v>1</v>
      </c>
      <c r="O382" s="123" t="s">
        <v>2057</v>
      </c>
      <c r="P382" t="b">
        <f t="shared" si="15"/>
        <v>1</v>
      </c>
    </row>
    <row r="383" spans="13:16">
      <c r="M383" s="123">
        <v>175</v>
      </c>
      <c r="N383" t="b">
        <f t="shared" si="14"/>
        <v>0</v>
      </c>
      <c r="O383" s="123">
        <v>350</v>
      </c>
      <c r="P383" t="b">
        <f t="shared" si="15"/>
        <v>0</v>
      </c>
    </row>
    <row r="384" spans="13:16">
      <c r="M384" s="123">
        <v>207</v>
      </c>
      <c r="N384" t="b">
        <f t="shared" si="14"/>
        <v>0</v>
      </c>
      <c r="O384" s="123">
        <v>314</v>
      </c>
      <c r="P384" t="b">
        <f t="shared" si="15"/>
        <v>0</v>
      </c>
    </row>
    <row r="385" spans="13:16">
      <c r="M385" s="123">
        <v>580</v>
      </c>
      <c r="N385" t="b">
        <f t="shared" si="14"/>
        <v>0</v>
      </c>
      <c r="O385" s="123">
        <v>425</v>
      </c>
      <c r="P385" t="b">
        <f t="shared" si="15"/>
        <v>0</v>
      </c>
    </row>
    <row r="386" spans="13:16">
      <c r="M386" s="123">
        <v>722</v>
      </c>
      <c r="N386" t="b">
        <f t="shared" si="14"/>
        <v>0</v>
      </c>
      <c r="O386" s="123">
        <v>267</v>
      </c>
      <c r="P386" t="b">
        <f t="shared" si="15"/>
        <v>0</v>
      </c>
    </row>
    <row r="387" spans="13:16">
      <c r="M387" s="123">
        <v>239</v>
      </c>
      <c r="N387" t="b">
        <f t="shared" si="14"/>
        <v>0</v>
      </c>
      <c r="O387" s="129">
        <v>211</v>
      </c>
      <c r="P387" t="b">
        <f t="shared" si="15"/>
        <v>0</v>
      </c>
    </row>
    <row r="388" spans="13:16">
      <c r="M388" s="123">
        <v>343</v>
      </c>
      <c r="N388" t="b">
        <f t="shared" ref="N388:N443" si="16">COUNTIF($M$4:$M$443, M388)&gt;1</f>
        <v>0</v>
      </c>
      <c r="O388" s="123">
        <v>310</v>
      </c>
      <c r="P388" t="b">
        <f t="shared" si="15"/>
        <v>0</v>
      </c>
    </row>
    <row r="389" spans="13:16">
      <c r="M389" s="123">
        <v>409</v>
      </c>
      <c r="N389" t="b">
        <f t="shared" si="16"/>
        <v>0</v>
      </c>
      <c r="O389" s="123">
        <v>269</v>
      </c>
      <c r="P389" t="b">
        <f t="shared" ref="P389:P443" si="17">COUNTIF($O$4:$O$443, O389)&gt;1</f>
        <v>0</v>
      </c>
    </row>
    <row r="390" spans="13:16">
      <c r="M390" s="123" t="s">
        <v>2057</v>
      </c>
      <c r="N390" t="b">
        <f t="shared" si="16"/>
        <v>1</v>
      </c>
      <c r="O390" s="123" t="s">
        <v>2057</v>
      </c>
      <c r="P390" t="b">
        <f t="shared" si="17"/>
        <v>1</v>
      </c>
    </row>
    <row r="391" spans="13:16">
      <c r="M391" s="123">
        <v>304</v>
      </c>
      <c r="N391" t="b">
        <f t="shared" si="16"/>
        <v>0</v>
      </c>
      <c r="O391" s="123">
        <v>413</v>
      </c>
      <c r="P391" t="b">
        <f t="shared" si="17"/>
        <v>0</v>
      </c>
    </row>
    <row r="392" spans="13:16">
      <c r="M392" s="123">
        <v>135</v>
      </c>
      <c r="N392" t="b">
        <f t="shared" si="16"/>
        <v>0</v>
      </c>
      <c r="O392" s="123">
        <v>80</v>
      </c>
      <c r="P392" t="b">
        <f t="shared" si="17"/>
        <v>0</v>
      </c>
    </row>
    <row r="393" spans="13:16">
      <c r="M393" s="123">
        <v>515</v>
      </c>
      <c r="N393" t="b">
        <f t="shared" si="16"/>
        <v>0</v>
      </c>
      <c r="O393" s="165">
        <v>208</v>
      </c>
      <c r="P393" t="b">
        <f t="shared" si="17"/>
        <v>1</v>
      </c>
    </row>
    <row r="394" spans="13:16">
      <c r="M394" s="123">
        <v>348</v>
      </c>
      <c r="N394" t="b">
        <f t="shared" si="16"/>
        <v>0</v>
      </c>
      <c r="O394" s="123">
        <v>633</v>
      </c>
      <c r="P394" t="b">
        <f t="shared" si="17"/>
        <v>0</v>
      </c>
    </row>
    <row r="395" spans="13:16">
      <c r="M395" s="124" t="s">
        <v>2057</v>
      </c>
      <c r="N395" t="b">
        <f t="shared" si="16"/>
        <v>1</v>
      </c>
      <c r="O395" s="124" t="s">
        <v>2057</v>
      </c>
      <c r="P395" t="b">
        <f t="shared" si="17"/>
        <v>1</v>
      </c>
    </row>
    <row r="396" spans="13:16">
      <c r="M396" s="123">
        <v>307</v>
      </c>
      <c r="N396" t="b">
        <f t="shared" si="16"/>
        <v>0</v>
      </c>
      <c r="O396" s="123">
        <v>473</v>
      </c>
      <c r="P396" t="b">
        <f t="shared" si="17"/>
        <v>0</v>
      </c>
    </row>
    <row r="397" spans="13:16">
      <c r="M397" s="123">
        <v>155</v>
      </c>
      <c r="N397" t="b">
        <f t="shared" si="16"/>
        <v>0</v>
      </c>
      <c r="O397" s="123">
        <v>702</v>
      </c>
      <c r="P397" t="b">
        <f t="shared" si="17"/>
        <v>0</v>
      </c>
    </row>
    <row r="398" spans="13:16">
      <c r="M398" s="123">
        <v>719</v>
      </c>
      <c r="N398" t="b">
        <f t="shared" si="16"/>
        <v>0</v>
      </c>
      <c r="O398" s="123">
        <v>175</v>
      </c>
      <c r="P398" t="b">
        <f t="shared" si="17"/>
        <v>0</v>
      </c>
    </row>
    <row r="399" spans="13:16">
      <c r="M399" s="123">
        <v>323</v>
      </c>
      <c r="N399" t="b">
        <f t="shared" si="16"/>
        <v>0</v>
      </c>
      <c r="O399" s="123">
        <v>332</v>
      </c>
      <c r="P399" t="b">
        <f t="shared" si="17"/>
        <v>0</v>
      </c>
    </row>
    <row r="400" spans="13:16">
      <c r="M400" s="123">
        <v>14</v>
      </c>
      <c r="N400" t="b">
        <f t="shared" si="16"/>
        <v>0</v>
      </c>
      <c r="O400" s="123">
        <v>279</v>
      </c>
      <c r="P400" t="b">
        <f t="shared" si="17"/>
        <v>0</v>
      </c>
    </row>
    <row r="401" spans="13:16">
      <c r="M401" s="123">
        <v>410</v>
      </c>
      <c r="N401" t="b">
        <f t="shared" si="16"/>
        <v>0</v>
      </c>
      <c r="O401" s="123">
        <v>718</v>
      </c>
      <c r="P401" t="b">
        <f t="shared" si="17"/>
        <v>0</v>
      </c>
    </row>
    <row r="402" spans="13:16">
      <c r="M402" s="123">
        <v>78</v>
      </c>
      <c r="N402" t="b">
        <f t="shared" si="16"/>
        <v>0</v>
      </c>
      <c r="O402" s="123">
        <v>640</v>
      </c>
      <c r="P402" t="b">
        <f t="shared" si="17"/>
        <v>0</v>
      </c>
    </row>
    <row r="403" spans="13:16">
      <c r="M403" s="123">
        <v>422</v>
      </c>
      <c r="N403" t="b">
        <f t="shared" si="16"/>
        <v>0</v>
      </c>
      <c r="O403" s="123">
        <v>669</v>
      </c>
      <c r="P403" t="b">
        <f t="shared" si="17"/>
        <v>0</v>
      </c>
    </row>
    <row r="404" spans="13:16">
      <c r="M404" s="123">
        <v>870</v>
      </c>
      <c r="N404" t="b">
        <f t="shared" si="16"/>
        <v>0</v>
      </c>
      <c r="O404" s="123">
        <v>170</v>
      </c>
      <c r="P404" t="b">
        <f t="shared" si="17"/>
        <v>0</v>
      </c>
    </row>
    <row r="405" spans="13:16">
      <c r="M405" s="123">
        <v>136</v>
      </c>
      <c r="N405" t="b">
        <f t="shared" si="16"/>
        <v>0</v>
      </c>
      <c r="O405" s="123">
        <v>697</v>
      </c>
      <c r="P405" t="b">
        <f t="shared" si="17"/>
        <v>0</v>
      </c>
    </row>
    <row r="406" spans="13:16">
      <c r="M406" s="124" t="s">
        <v>2057</v>
      </c>
      <c r="N406" t="b">
        <f t="shared" si="16"/>
        <v>1</v>
      </c>
      <c r="O406" s="124" t="s">
        <v>2057</v>
      </c>
      <c r="P406" t="b">
        <f t="shared" si="17"/>
        <v>1</v>
      </c>
    </row>
    <row r="407" spans="13:16">
      <c r="M407" s="123">
        <v>266</v>
      </c>
      <c r="N407" t="b">
        <f t="shared" si="16"/>
        <v>0</v>
      </c>
      <c r="O407" s="123">
        <v>674</v>
      </c>
      <c r="P407" t="b">
        <f t="shared" si="17"/>
        <v>0</v>
      </c>
    </row>
    <row r="408" spans="13:16">
      <c r="M408" s="123">
        <v>165</v>
      </c>
      <c r="N408" t="b">
        <f t="shared" si="16"/>
        <v>0</v>
      </c>
      <c r="O408" s="123">
        <v>607</v>
      </c>
      <c r="P408" t="b">
        <f t="shared" si="17"/>
        <v>0</v>
      </c>
    </row>
    <row r="409" spans="13:16">
      <c r="M409" s="123">
        <v>22</v>
      </c>
      <c r="N409" t="b">
        <f t="shared" si="16"/>
        <v>0</v>
      </c>
      <c r="O409" s="123">
        <v>629</v>
      </c>
      <c r="P409" t="b">
        <f t="shared" si="17"/>
        <v>0</v>
      </c>
    </row>
    <row r="410" spans="13:16">
      <c r="M410" s="123">
        <v>371</v>
      </c>
      <c r="N410" t="b">
        <f t="shared" si="16"/>
        <v>0</v>
      </c>
      <c r="O410" s="123">
        <v>679</v>
      </c>
      <c r="P410" t="b">
        <f t="shared" si="17"/>
        <v>0</v>
      </c>
    </row>
    <row r="411" spans="13:16">
      <c r="M411" s="123">
        <v>185</v>
      </c>
      <c r="N411" t="b">
        <f t="shared" si="16"/>
        <v>0</v>
      </c>
      <c r="O411" s="123">
        <v>682</v>
      </c>
      <c r="P411" t="b">
        <f t="shared" si="17"/>
        <v>0</v>
      </c>
    </row>
    <row r="412" spans="13:16">
      <c r="M412" s="123">
        <v>301</v>
      </c>
      <c r="N412" t="b">
        <f t="shared" si="16"/>
        <v>0</v>
      </c>
      <c r="O412" s="123">
        <v>693</v>
      </c>
      <c r="P412" t="b">
        <f t="shared" si="17"/>
        <v>0</v>
      </c>
    </row>
    <row r="413" spans="13:16">
      <c r="M413" s="123">
        <v>466</v>
      </c>
      <c r="N413" t="b">
        <f t="shared" si="16"/>
        <v>0</v>
      </c>
      <c r="O413" s="123">
        <v>605</v>
      </c>
      <c r="P413" t="b">
        <f t="shared" si="17"/>
        <v>0</v>
      </c>
    </row>
    <row r="414" spans="13:16">
      <c r="M414" s="165">
        <v>32</v>
      </c>
      <c r="N414" t="b">
        <f t="shared" si="16"/>
        <v>1</v>
      </c>
      <c r="O414" s="123">
        <v>240</v>
      </c>
      <c r="P414" t="b">
        <f t="shared" si="17"/>
        <v>0</v>
      </c>
    </row>
    <row r="415" spans="13:16">
      <c r="M415" s="123" t="s">
        <v>2057</v>
      </c>
      <c r="N415" t="b">
        <f t="shared" si="16"/>
        <v>1</v>
      </c>
      <c r="O415" s="123" t="s">
        <v>2057</v>
      </c>
      <c r="P415" t="b">
        <f t="shared" si="17"/>
        <v>1</v>
      </c>
    </row>
    <row r="416" spans="13:16">
      <c r="M416" s="123">
        <v>45</v>
      </c>
      <c r="N416" t="b">
        <f t="shared" si="16"/>
        <v>0</v>
      </c>
      <c r="O416" s="123">
        <v>623</v>
      </c>
      <c r="P416" t="b">
        <f t="shared" si="17"/>
        <v>0</v>
      </c>
    </row>
    <row r="417" spans="13:16">
      <c r="M417" s="123">
        <v>90</v>
      </c>
      <c r="N417" t="b">
        <f t="shared" si="16"/>
        <v>0</v>
      </c>
      <c r="O417" s="123">
        <v>611</v>
      </c>
      <c r="P417" t="b">
        <f t="shared" si="17"/>
        <v>0</v>
      </c>
    </row>
    <row r="418" spans="13:16">
      <c r="M418" s="123">
        <v>338</v>
      </c>
      <c r="N418" t="b">
        <f t="shared" si="16"/>
        <v>0</v>
      </c>
      <c r="O418" s="123">
        <v>645</v>
      </c>
      <c r="P418" t="b">
        <f t="shared" si="17"/>
        <v>0</v>
      </c>
    </row>
    <row r="419" spans="13:16">
      <c r="M419" s="123">
        <v>243</v>
      </c>
      <c r="N419" t="b">
        <f t="shared" si="16"/>
        <v>0</v>
      </c>
      <c r="O419" s="123">
        <v>709</v>
      </c>
      <c r="P419" t="b">
        <f t="shared" si="17"/>
        <v>0</v>
      </c>
    </row>
    <row r="420" spans="13:16">
      <c r="M420" s="123">
        <v>254</v>
      </c>
      <c r="N420" t="b">
        <f t="shared" si="16"/>
        <v>0</v>
      </c>
      <c r="O420" s="123">
        <v>131</v>
      </c>
      <c r="P420" t="b">
        <f t="shared" si="17"/>
        <v>0</v>
      </c>
    </row>
    <row r="421" spans="13:16">
      <c r="M421" s="123">
        <v>780</v>
      </c>
      <c r="N421" t="b">
        <f t="shared" si="16"/>
        <v>0</v>
      </c>
      <c r="O421" s="123">
        <v>711</v>
      </c>
      <c r="P421" t="b">
        <f t="shared" si="17"/>
        <v>0</v>
      </c>
    </row>
    <row r="422" spans="13:16">
      <c r="M422" s="123">
        <v>182</v>
      </c>
      <c r="N422" t="b">
        <f t="shared" si="16"/>
        <v>0</v>
      </c>
      <c r="O422" s="123">
        <v>236</v>
      </c>
      <c r="P422" t="b">
        <f t="shared" si="17"/>
        <v>0</v>
      </c>
    </row>
    <row r="423" spans="13:16">
      <c r="M423" s="123">
        <v>186</v>
      </c>
      <c r="N423" t="b">
        <f t="shared" si="16"/>
        <v>0</v>
      </c>
      <c r="O423" s="123">
        <v>205</v>
      </c>
      <c r="P423" t="b">
        <f t="shared" si="17"/>
        <v>0</v>
      </c>
    </row>
    <row r="424" spans="13:16">
      <c r="M424" s="123">
        <v>315</v>
      </c>
      <c r="N424" t="b">
        <f t="shared" si="16"/>
        <v>0</v>
      </c>
      <c r="O424" s="123">
        <v>665</v>
      </c>
      <c r="P424" t="b">
        <f t="shared" si="17"/>
        <v>0</v>
      </c>
    </row>
    <row r="425" spans="13:16">
      <c r="M425" s="123">
        <v>147</v>
      </c>
      <c r="N425" t="b">
        <f t="shared" si="16"/>
        <v>0</v>
      </c>
      <c r="O425" s="123">
        <v>224</v>
      </c>
      <c r="P425" t="b">
        <f t="shared" si="17"/>
        <v>0</v>
      </c>
    </row>
    <row r="426" spans="13:16">
      <c r="M426" s="123">
        <v>168</v>
      </c>
      <c r="N426" t="b">
        <f t="shared" si="16"/>
        <v>0</v>
      </c>
      <c r="O426" s="123">
        <v>621</v>
      </c>
      <c r="P426" t="b">
        <f t="shared" si="17"/>
        <v>0</v>
      </c>
    </row>
    <row r="427" spans="13:16">
      <c r="M427" s="123">
        <v>672</v>
      </c>
      <c r="N427" t="b">
        <f t="shared" si="16"/>
        <v>0</v>
      </c>
      <c r="O427" s="165">
        <v>208</v>
      </c>
      <c r="P427" t="b">
        <f t="shared" si="17"/>
        <v>1</v>
      </c>
    </row>
    <row r="428" spans="13:16">
      <c r="M428" s="123">
        <v>173</v>
      </c>
      <c r="N428" t="b">
        <f t="shared" si="16"/>
        <v>0</v>
      </c>
      <c r="O428" s="123">
        <v>637</v>
      </c>
      <c r="P428" t="b">
        <f t="shared" si="17"/>
        <v>0</v>
      </c>
    </row>
    <row r="429" spans="13:16">
      <c r="M429" s="123">
        <v>262</v>
      </c>
      <c r="N429" t="b">
        <f t="shared" si="16"/>
        <v>0</v>
      </c>
      <c r="O429" s="123">
        <v>284</v>
      </c>
      <c r="P429" t="b">
        <f t="shared" si="17"/>
        <v>0</v>
      </c>
    </row>
    <row r="430" spans="13:16">
      <c r="M430" s="123">
        <v>230</v>
      </c>
      <c r="N430" t="b">
        <f t="shared" si="16"/>
        <v>0</v>
      </c>
      <c r="O430" s="123">
        <v>604</v>
      </c>
      <c r="P430" t="b">
        <f t="shared" si="17"/>
        <v>0</v>
      </c>
    </row>
    <row r="431" spans="13:16">
      <c r="M431" s="144">
        <v>140</v>
      </c>
      <c r="N431" t="b">
        <f t="shared" si="16"/>
        <v>0</v>
      </c>
      <c r="O431" s="123">
        <v>625</v>
      </c>
      <c r="P431" t="b">
        <f t="shared" si="17"/>
        <v>0</v>
      </c>
    </row>
    <row r="432" spans="13:16">
      <c r="M432" s="123">
        <v>92</v>
      </c>
      <c r="N432" t="b">
        <f t="shared" si="16"/>
        <v>0</v>
      </c>
      <c r="O432" s="123">
        <v>647</v>
      </c>
      <c r="P432" t="b">
        <f t="shared" si="17"/>
        <v>0</v>
      </c>
    </row>
    <row r="433" spans="13:16">
      <c r="M433" s="123">
        <v>36</v>
      </c>
      <c r="N433" t="b">
        <f t="shared" si="16"/>
        <v>0</v>
      </c>
      <c r="O433" s="123">
        <v>599</v>
      </c>
      <c r="P433" t="b">
        <f t="shared" si="17"/>
        <v>0</v>
      </c>
    </row>
    <row r="434" spans="13:16">
      <c r="M434" s="123">
        <v>434</v>
      </c>
      <c r="N434" t="b">
        <f t="shared" si="16"/>
        <v>0</v>
      </c>
      <c r="O434" s="123">
        <v>670</v>
      </c>
      <c r="P434" t="b">
        <f t="shared" si="17"/>
        <v>0</v>
      </c>
    </row>
    <row r="435" spans="13:16">
      <c r="M435" s="192">
        <v>56</v>
      </c>
      <c r="N435" t="b">
        <f t="shared" si="16"/>
        <v>0</v>
      </c>
      <c r="O435" s="123">
        <v>256</v>
      </c>
      <c r="P435" t="b">
        <f t="shared" si="17"/>
        <v>0</v>
      </c>
    </row>
    <row r="436" spans="13:16">
      <c r="M436" s="123">
        <v>365</v>
      </c>
      <c r="N436" t="b">
        <f t="shared" si="16"/>
        <v>0</v>
      </c>
      <c r="O436" s="123">
        <v>658</v>
      </c>
      <c r="P436" t="b">
        <f t="shared" si="17"/>
        <v>0</v>
      </c>
    </row>
    <row r="437" spans="13:16">
      <c r="M437" s="123">
        <v>5</v>
      </c>
      <c r="N437" t="b">
        <f t="shared" si="16"/>
        <v>0</v>
      </c>
      <c r="O437" s="123">
        <v>699</v>
      </c>
      <c r="P437" t="b">
        <f t="shared" si="17"/>
        <v>0</v>
      </c>
    </row>
    <row r="438" spans="13:16">
      <c r="M438" s="123">
        <v>677</v>
      </c>
      <c r="N438" t="b">
        <f t="shared" si="16"/>
        <v>0</v>
      </c>
      <c r="O438" s="123">
        <v>663</v>
      </c>
      <c r="P438" t="b">
        <f t="shared" si="17"/>
        <v>0</v>
      </c>
    </row>
    <row r="439" spans="13:16">
      <c r="M439" s="123">
        <v>361</v>
      </c>
      <c r="N439" t="b">
        <f t="shared" si="16"/>
        <v>0</v>
      </c>
      <c r="O439" s="123">
        <v>622</v>
      </c>
      <c r="P439" t="b">
        <f t="shared" si="17"/>
        <v>0</v>
      </c>
    </row>
    <row r="440" spans="13:16">
      <c r="M440" s="123">
        <v>204</v>
      </c>
      <c r="N440" t="b">
        <f t="shared" si="16"/>
        <v>0</v>
      </c>
      <c r="O440" s="123">
        <v>608</v>
      </c>
      <c r="P440" t="b">
        <f t="shared" si="17"/>
        <v>0</v>
      </c>
    </row>
    <row r="441" spans="13:16">
      <c r="M441" s="123">
        <v>170</v>
      </c>
      <c r="N441" t="b">
        <f t="shared" si="16"/>
        <v>0</v>
      </c>
      <c r="O441" s="123">
        <v>639</v>
      </c>
      <c r="P441" t="b">
        <f t="shared" si="17"/>
        <v>0</v>
      </c>
    </row>
    <row r="442" spans="13:16">
      <c r="M442" s="145">
        <v>123</v>
      </c>
      <c r="N442" t="b">
        <f t="shared" si="16"/>
        <v>0</v>
      </c>
      <c r="O442" s="123">
        <v>246</v>
      </c>
      <c r="P442" t="b">
        <f t="shared" si="17"/>
        <v>0</v>
      </c>
    </row>
    <row r="443" spans="13:16">
      <c r="M443" s="123">
        <v>53</v>
      </c>
      <c r="N443" t="b">
        <f t="shared" si="16"/>
        <v>0</v>
      </c>
      <c r="O443" s="123">
        <v>672</v>
      </c>
      <c r="P443" t="b">
        <f t="shared" si="17"/>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A9AE9-158F-48BA-B4B5-2C90F11954AE}">
  <dimension ref="A1:K221"/>
  <sheetViews>
    <sheetView zoomScale="70" zoomScaleNormal="70" workbookViewId="0">
      <selection activeCell="J14" sqref="J14"/>
    </sheetView>
  </sheetViews>
  <sheetFormatPr baseColWidth="10" defaultColWidth="11.44140625" defaultRowHeight="14.4"/>
  <cols>
    <col min="5" max="6" width="16.109375" customWidth="1"/>
    <col min="11" max="11" width="22.6640625" customWidth="1"/>
  </cols>
  <sheetData>
    <row r="1" spans="1:11">
      <c r="A1" s="193" t="s">
        <v>2164</v>
      </c>
      <c r="B1" s="193" t="s">
        <v>2165</v>
      </c>
      <c r="C1" s="193" t="s">
        <v>2166</v>
      </c>
      <c r="D1" s="193" t="s">
        <v>2167</v>
      </c>
      <c r="E1" s="193" t="s">
        <v>2529</v>
      </c>
      <c r="F1" s="193" t="s">
        <v>31</v>
      </c>
      <c r="G1" s="193" t="s">
        <v>1147</v>
      </c>
      <c r="H1" s="193" t="s">
        <v>298</v>
      </c>
      <c r="I1" s="193" t="s">
        <v>2170</v>
      </c>
      <c r="J1" s="193" t="s">
        <v>2171</v>
      </c>
      <c r="K1" s="193" t="s">
        <v>2530</v>
      </c>
    </row>
    <row r="2" spans="1:11">
      <c r="A2" s="134">
        <v>1</v>
      </c>
      <c r="B2" s="136" t="s">
        <v>2176</v>
      </c>
      <c r="C2" s="136" t="s">
        <v>2177</v>
      </c>
      <c r="D2" s="137" t="s">
        <v>2178</v>
      </c>
      <c r="E2" s="140">
        <v>42766</v>
      </c>
      <c r="F2" s="140">
        <v>42818</v>
      </c>
      <c r="G2" s="123">
        <v>436</v>
      </c>
      <c r="H2" s="123">
        <v>17</v>
      </c>
      <c r="I2" s="123">
        <v>752</v>
      </c>
      <c r="J2" s="123">
        <v>133</v>
      </c>
      <c r="K2" s="194">
        <f>IFERROR(F2-E2,"")</f>
        <v>52</v>
      </c>
    </row>
    <row r="3" spans="1:11">
      <c r="A3" s="121">
        <v>2</v>
      </c>
      <c r="B3" s="122" t="s">
        <v>2176</v>
      </c>
      <c r="C3" s="122" t="s">
        <v>2183</v>
      </c>
      <c r="D3" s="122" t="s">
        <v>2178</v>
      </c>
      <c r="E3" s="140">
        <v>42766</v>
      </c>
      <c r="F3" s="124">
        <v>42818</v>
      </c>
      <c r="G3" s="123">
        <v>568</v>
      </c>
      <c r="H3" s="123">
        <v>121</v>
      </c>
      <c r="I3" s="123">
        <v>737</v>
      </c>
      <c r="J3" s="123">
        <v>527</v>
      </c>
      <c r="K3" s="194">
        <f t="shared" ref="K3:K66" si="0">IFERROR(F3-E3,"")</f>
        <v>52</v>
      </c>
    </row>
    <row r="4" spans="1:11">
      <c r="A4" s="169">
        <v>3</v>
      </c>
      <c r="B4" s="170" t="s">
        <v>2176</v>
      </c>
      <c r="C4" s="170" t="s">
        <v>2184</v>
      </c>
      <c r="D4" s="170" t="s">
        <v>2178</v>
      </c>
      <c r="E4" s="173">
        <v>42766</v>
      </c>
      <c r="F4" s="169" t="s">
        <v>2057</v>
      </c>
      <c r="G4" s="169">
        <v>631</v>
      </c>
      <c r="H4" s="169">
        <v>158</v>
      </c>
      <c r="I4" s="169">
        <v>661</v>
      </c>
      <c r="J4" s="169">
        <v>498</v>
      </c>
      <c r="K4" s="194" t="str">
        <f t="shared" si="0"/>
        <v/>
      </c>
    </row>
    <row r="5" spans="1:11">
      <c r="A5" s="121">
        <v>4</v>
      </c>
      <c r="B5" s="122" t="s">
        <v>2176</v>
      </c>
      <c r="C5" s="122" t="s">
        <v>2186</v>
      </c>
      <c r="D5" s="122" t="s">
        <v>2178</v>
      </c>
      <c r="E5" s="140">
        <v>42766</v>
      </c>
      <c r="F5" s="124">
        <v>42818</v>
      </c>
      <c r="G5" s="123">
        <v>652</v>
      </c>
      <c r="H5" s="123">
        <v>115</v>
      </c>
      <c r="I5" s="123">
        <v>532</v>
      </c>
      <c r="J5" s="123">
        <v>508</v>
      </c>
      <c r="K5" s="194">
        <f t="shared" si="0"/>
        <v>52</v>
      </c>
    </row>
    <row r="6" spans="1:11">
      <c r="A6" s="121">
        <v>5</v>
      </c>
      <c r="B6" s="122" t="s">
        <v>2176</v>
      </c>
      <c r="C6" s="122" t="s">
        <v>2189</v>
      </c>
      <c r="D6" s="122" t="s">
        <v>2178</v>
      </c>
      <c r="E6" s="140">
        <v>42766</v>
      </c>
      <c r="F6" s="124">
        <v>42818</v>
      </c>
      <c r="G6" s="123">
        <v>497</v>
      </c>
      <c r="H6" s="123">
        <v>502</v>
      </c>
      <c r="I6" s="123">
        <v>577</v>
      </c>
      <c r="J6" s="123">
        <v>38</v>
      </c>
      <c r="K6" s="194">
        <f t="shared" si="0"/>
        <v>52</v>
      </c>
    </row>
    <row r="7" spans="1:11">
      <c r="A7" s="121">
        <v>6</v>
      </c>
      <c r="B7" s="122" t="s">
        <v>2176</v>
      </c>
      <c r="C7" s="122" t="s">
        <v>2190</v>
      </c>
      <c r="D7" s="122" t="s">
        <v>2178</v>
      </c>
      <c r="E7" s="140">
        <v>42766</v>
      </c>
      <c r="F7" s="124">
        <v>42818</v>
      </c>
      <c r="G7" s="123">
        <v>447</v>
      </c>
      <c r="H7" s="123">
        <v>177</v>
      </c>
      <c r="I7" s="123">
        <v>634</v>
      </c>
      <c r="J7" s="123">
        <v>59</v>
      </c>
      <c r="K7" s="194">
        <f t="shared" si="0"/>
        <v>52</v>
      </c>
    </row>
    <row r="8" spans="1:11">
      <c r="A8" s="121">
        <v>7</v>
      </c>
      <c r="B8" s="122" t="s">
        <v>2176</v>
      </c>
      <c r="C8" s="122" t="s">
        <v>2191</v>
      </c>
      <c r="D8" s="122" t="s">
        <v>2178</v>
      </c>
      <c r="E8" s="140">
        <v>42766</v>
      </c>
      <c r="F8" s="124">
        <v>42818</v>
      </c>
      <c r="G8" s="123">
        <v>452</v>
      </c>
      <c r="H8" s="123">
        <v>531</v>
      </c>
      <c r="I8" s="123">
        <v>665</v>
      </c>
      <c r="J8" s="123">
        <v>398</v>
      </c>
      <c r="K8" s="194">
        <f t="shared" si="0"/>
        <v>52</v>
      </c>
    </row>
    <row r="9" spans="1:11">
      <c r="A9" s="121">
        <v>8</v>
      </c>
      <c r="B9" s="122" t="s">
        <v>2176</v>
      </c>
      <c r="C9" s="122" t="s">
        <v>2192</v>
      </c>
      <c r="D9" s="122" t="s">
        <v>2178</v>
      </c>
      <c r="E9" s="140">
        <v>42766</v>
      </c>
      <c r="F9" s="124">
        <v>42818</v>
      </c>
      <c r="G9" s="123">
        <v>389</v>
      </c>
      <c r="H9" s="123">
        <v>406</v>
      </c>
      <c r="I9" s="123">
        <v>701</v>
      </c>
      <c r="J9" s="123">
        <v>512</v>
      </c>
      <c r="K9" s="194">
        <f t="shared" si="0"/>
        <v>52</v>
      </c>
    </row>
    <row r="10" spans="1:11">
      <c r="A10" s="121">
        <v>9</v>
      </c>
      <c r="B10" s="122" t="s">
        <v>2176</v>
      </c>
      <c r="C10" s="122" t="s">
        <v>2193</v>
      </c>
      <c r="D10" s="122" t="s">
        <v>2194</v>
      </c>
      <c r="E10" s="140">
        <v>42766</v>
      </c>
      <c r="F10" s="124">
        <v>42818</v>
      </c>
      <c r="G10">
        <v>514</v>
      </c>
      <c r="H10" s="123">
        <v>169</v>
      </c>
      <c r="I10" s="123">
        <v>476</v>
      </c>
      <c r="J10" s="123">
        <v>101</v>
      </c>
      <c r="K10" s="194">
        <f t="shared" si="0"/>
        <v>52</v>
      </c>
    </row>
    <row r="11" spans="1:11">
      <c r="A11" s="121">
        <v>10</v>
      </c>
      <c r="B11" s="122" t="s">
        <v>2176</v>
      </c>
      <c r="C11" s="122" t="s">
        <v>2196</v>
      </c>
      <c r="D11" s="122" t="s">
        <v>2194</v>
      </c>
      <c r="E11" s="140">
        <v>42766</v>
      </c>
      <c r="F11" s="124">
        <v>42818</v>
      </c>
      <c r="G11" s="123">
        <v>286</v>
      </c>
      <c r="H11" s="123">
        <v>91</v>
      </c>
      <c r="I11" s="123">
        <v>606</v>
      </c>
      <c r="J11" s="123">
        <v>515</v>
      </c>
      <c r="K11" s="194">
        <f t="shared" si="0"/>
        <v>52</v>
      </c>
    </row>
    <row r="12" spans="1:11">
      <c r="A12" s="121">
        <v>11</v>
      </c>
      <c r="B12" s="122" t="s">
        <v>2176</v>
      </c>
      <c r="C12" s="122" t="s">
        <v>2197</v>
      </c>
      <c r="D12" s="122" t="s">
        <v>2194</v>
      </c>
      <c r="E12" s="140">
        <v>42766</v>
      </c>
      <c r="F12" s="124">
        <v>42818</v>
      </c>
      <c r="G12" s="123">
        <v>543</v>
      </c>
      <c r="H12" s="129">
        <v>446</v>
      </c>
      <c r="I12" s="123">
        <v>523</v>
      </c>
      <c r="J12" s="123">
        <v>2</v>
      </c>
      <c r="K12" s="194">
        <f t="shared" si="0"/>
        <v>52</v>
      </c>
    </row>
    <row r="13" spans="1:11">
      <c r="A13" s="169">
        <v>12</v>
      </c>
      <c r="B13" s="170" t="s">
        <v>2176</v>
      </c>
      <c r="C13" s="170" t="s">
        <v>2198</v>
      </c>
      <c r="D13" s="170" t="s">
        <v>2194</v>
      </c>
      <c r="E13" s="173">
        <v>42766</v>
      </c>
      <c r="F13" s="169" t="s">
        <v>2057</v>
      </c>
      <c r="G13" s="169">
        <v>590</v>
      </c>
      <c r="H13" s="169">
        <v>409</v>
      </c>
      <c r="I13" s="169">
        <v>490</v>
      </c>
      <c r="J13" s="169">
        <v>123</v>
      </c>
      <c r="K13" s="194" t="str">
        <f t="shared" si="0"/>
        <v/>
      </c>
    </row>
    <row r="14" spans="1:11">
      <c r="A14" s="121">
        <v>13</v>
      </c>
      <c r="B14" s="122" t="s">
        <v>2176</v>
      </c>
      <c r="C14" s="122" t="s">
        <v>2199</v>
      </c>
      <c r="D14" s="122" t="s">
        <v>2194</v>
      </c>
      <c r="E14" s="140">
        <v>42766</v>
      </c>
      <c r="F14" s="124">
        <v>42818</v>
      </c>
      <c r="G14" s="123">
        <v>595</v>
      </c>
      <c r="H14" s="123">
        <v>450</v>
      </c>
      <c r="I14" s="123">
        <v>241</v>
      </c>
      <c r="J14" s="123">
        <v>3</v>
      </c>
      <c r="K14" s="194">
        <f t="shared" si="0"/>
        <v>52</v>
      </c>
    </row>
    <row r="15" spans="1:11">
      <c r="A15" s="121">
        <v>14</v>
      </c>
      <c r="B15" s="122" t="s">
        <v>2176</v>
      </c>
      <c r="C15" s="122" t="s">
        <v>2201</v>
      </c>
      <c r="D15" s="122" t="s">
        <v>2194</v>
      </c>
      <c r="E15" s="140">
        <v>42766</v>
      </c>
      <c r="F15" s="124">
        <v>42818</v>
      </c>
      <c r="G15" s="123">
        <v>609</v>
      </c>
      <c r="H15" s="123">
        <v>382</v>
      </c>
      <c r="I15" s="129">
        <v>503</v>
      </c>
      <c r="J15" s="123">
        <v>282</v>
      </c>
      <c r="K15" s="194">
        <f t="shared" si="0"/>
        <v>52</v>
      </c>
    </row>
    <row r="16" spans="1:11">
      <c r="A16" s="121">
        <v>15</v>
      </c>
      <c r="B16" s="122" t="s">
        <v>2176</v>
      </c>
      <c r="C16" s="122" t="s">
        <v>2202</v>
      </c>
      <c r="D16" s="122" t="s">
        <v>2194</v>
      </c>
      <c r="E16" s="140">
        <v>42766</v>
      </c>
      <c r="F16" s="124">
        <v>42818</v>
      </c>
      <c r="G16" s="123">
        <v>222</v>
      </c>
      <c r="H16" s="123">
        <v>415</v>
      </c>
      <c r="I16" s="123">
        <v>685</v>
      </c>
      <c r="J16" s="123">
        <v>99</v>
      </c>
      <c r="K16" s="194">
        <f t="shared" si="0"/>
        <v>52</v>
      </c>
    </row>
    <row r="17" spans="1:11">
      <c r="A17" s="121">
        <v>16</v>
      </c>
      <c r="B17" s="122" t="s">
        <v>2176</v>
      </c>
      <c r="C17" s="122" t="s">
        <v>2205</v>
      </c>
      <c r="D17" s="122" t="s">
        <v>2194</v>
      </c>
      <c r="E17" s="140">
        <v>42766</v>
      </c>
      <c r="F17" s="124">
        <v>42818</v>
      </c>
      <c r="G17" s="123">
        <v>405</v>
      </c>
      <c r="H17" s="123">
        <v>519</v>
      </c>
      <c r="I17" s="123">
        <v>644</v>
      </c>
      <c r="J17" s="123">
        <v>154</v>
      </c>
      <c r="K17" s="194">
        <f t="shared" si="0"/>
        <v>52</v>
      </c>
    </row>
    <row r="18" spans="1:11">
      <c r="A18" s="121">
        <v>17</v>
      </c>
      <c r="B18" s="122" t="s">
        <v>2176</v>
      </c>
      <c r="C18" s="122" t="s">
        <v>2207</v>
      </c>
      <c r="D18" s="122" t="s">
        <v>2208</v>
      </c>
      <c r="E18" s="124">
        <v>42767</v>
      </c>
      <c r="F18" s="124">
        <v>42818</v>
      </c>
      <c r="G18" s="123">
        <v>571</v>
      </c>
      <c r="H18" s="123">
        <v>542</v>
      </c>
      <c r="I18" s="123">
        <v>648</v>
      </c>
      <c r="J18" s="123">
        <v>380</v>
      </c>
      <c r="K18" s="194">
        <f t="shared" si="0"/>
        <v>51</v>
      </c>
    </row>
    <row r="19" spans="1:11">
      <c r="A19" s="121">
        <v>18</v>
      </c>
      <c r="B19" s="122" t="s">
        <v>2176</v>
      </c>
      <c r="C19" s="122" t="s">
        <v>2210</v>
      </c>
      <c r="D19" s="122" t="s">
        <v>2208</v>
      </c>
      <c r="E19" s="124">
        <v>42767</v>
      </c>
      <c r="F19" s="124">
        <v>42818</v>
      </c>
      <c r="G19" s="123">
        <v>419</v>
      </c>
      <c r="H19" s="123">
        <v>128</v>
      </c>
      <c r="I19" s="123">
        <v>573</v>
      </c>
      <c r="J19" s="123">
        <v>274</v>
      </c>
      <c r="K19" s="194">
        <f t="shared" si="0"/>
        <v>51</v>
      </c>
    </row>
    <row r="20" spans="1:11">
      <c r="A20" s="121">
        <v>19</v>
      </c>
      <c r="B20" s="122" t="s">
        <v>2176</v>
      </c>
      <c r="C20" s="122" t="s">
        <v>2211</v>
      </c>
      <c r="D20" s="122" t="s">
        <v>2208</v>
      </c>
      <c r="E20" s="124">
        <v>42767</v>
      </c>
      <c r="F20" s="124">
        <v>42818</v>
      </c>
      <c r="G20" s="123">
        <v>240</v>
      </c>
      <c r="H20" s="123">
        <v>82</v>
      </c>
      <c r="I20" s="123">
        <v>639</v>
      </c>
      <c r="J20" s="123">
        <v>566</v>
      </c>
      <c r="K20" s="194">
        <f t="shared" si="0"/>
        <v>51</v>
      </c>
    </row>
    <row r="21" spans="1:11">
      <c r="A21" s="121">
        <v>20</v>
      </c>
      <c r="B21" s="122" t="s">
        <v>2176</v>
      </c>
      <c r="C21" s="122" t="s">
        <v>2212</v>
      </c>
      <c r="D21" s="122" t="s">
        <v>2208</v>
      </c>
      <c r="E21" s="124">
        <v>42767</v>
      </c>
      <c r="F21" s="124">
        <v>42818</v>
      </c>
      <c r="G21" s="123">
        <v>524</v>
      </c>
      <c r="H21" s="123">
        <v>50</v>
      </c>
      <c r="I21" s="123">
        <v>505</v>
      </c>
      <c r="J21" s="123">
        <v>110</v>
      </c>
      <c r="K21" s="194">
        <f t="shared" si="0"/>
        <v>51</v>
      </c>
    </row>
    <row r="22" spans="1:11">
      <c r="A22" s="121">
        <v>21</v>
      </c>
      <c r="B22" s="122" t="s">
        <v>2176</v>
      </c>
      <c r="C22" s="122" t="s">
        <v>2213</v>
      </c>
      <c r="D22" s="122" t="s">
        <v>2208</v>
      </c>
      <c r="E22" s="124">
        <v>42767</v>
      </c>
      <c r="F22" s="124">
        <v>42818</v>
      </c>
      <c r="G22" s="123">
        <v>699</v>
      </c>
      <c r="H22" s="123">
        <v>529</v>
      </c>
      <c r="I22" s="123">
        <v>721</v>
      </c>
      <c r="J22" s="165" t="s">
        <v>2499</v>
      </c>
      <c r="K22" s="194">
        <f t="shared" si="0"/>
        <v>51</v>
      </c>
    </row>
    <row r="23" spans="1:11">
      <c r="A23" s="121">
        <v>22</v>
      </c>
      <c r="B23" s="122" t="s">
        <v>2176</v>
      </c>
      <c r="C23" s="122" t="s">
        <v>2214</v>
      </c>
      <c r="D23" s="122" t="s">
        <v>2208</v>
      </c>
      <c r="E23" s="124">
        <v>42767</v>
      </c>
      <c r="F23" s="124">
        <v>42818</v>
      </c>
      <c r="G23" s="123">
        <v>575</v>
      </c>
      <c r="H23" s="123">
        <v>363</v>
      </c>
      <c r="I23" s="123">
        <v>552</v>
      </c>
      <c r="J23" s="123">
        <v>45</v>
      </c>
      <c r="K23" s="194">
        <f t="shared" si="0"/>
        <v>51</v>
      </c>
    </row>
    <row r="24" spans="1:11">
      <c r="A24" s="121">
        <v>23</v>
      </c>
      <c r="B24" s="122" t="s">
        <v>2176</v>
      </c>
      <c r="C24" s="122" t="s">
        <v>2215</v>
      </c>
      <c r="D24" s="122" t="s">
        <v>2208</v>
      </c>
      <c r="E24" s="124">
        <v>42767</v>
      </c>
      <c r="F24" s="124">
        <v>42818</v>
      </c>
      <c r="G24" s="123">
        <v>492</v>
      </c>
      <c r="H24" s="123">
        <v>190</v>
      </c>
      <c r="I24" s="123">
        <v>456</v>
      </c>
      <c r="J24" s="123">
        <v>132</v>
      </c>
      <c r="K24" s="194">
        <f t="shared" si="0"/>
        <v>51</v>
      </c>
    </row>
    <row r="25" spans="1:11">
      <c r="A25" s="121">
        <v>24</v>
      </c>
      <c r="B25" s="122" t="s">
        <v>2176</v>
      </c>
      <c r="C25" s="122" t="s">
        <v>2216</v>
      </c>
      <c r="D25" s="122" t="s">
        <v>2208</v>
      </c>
      <c r="E25" s="124">
        <v>42767</v>
      </c>
      <c r="F25" s="124">
        <v>42818</v>
      </c>
      <c r="G25" s="123">
        <v>813</v>
      </c>
      <c r="H25" s="123">
        <v>144</v>
      </c>
      <c r="I25" s="123">
        <v>421</v>
      </c>
      <c r="J25" s="123">
        <v>71</v>
      </c>
      <c r="K25" s="194">
        <f t="shared" si="0"/>
        <v>51</v>
      </c>
    </row>
    <row r="26" spans="1:11">
      <c r="A26" s="121">
        <v>25</v>
      </c>
      <c r="B26" s="122" t="s">
        <v>2176</v>
      </c>
      <c r="C26" s="122" t="s">
        <v>2217</v>
      </c>
      <c r="D26" s="122" t="s">
        <v>2218</v>
      </c>
      <c r="E26" s="124">
        <v>42767</v>
      </c>
      <c r="F26" s="124">
        <v>42818</v>
      </c>
      <c r="G26" s="123">
        <v>406</v>
      </c>
      <c r="H26" s="123">
        <v>279</v>
      </c>
      <c r="I26" s="123">
        <v>864</v>
      </c>
      <c r="J26" s="123">
        <v>104</v>
      </c>
      <c r="K26" s="194">
        <f t="shared" si="0"/>
        <v>51</v>
      </c>
    </row>
    <row r="27" spans="1:11">
      <c r="A27" s="121">
        <v>26</v>
      </c>
      <c r="B27" s="122" t="s">
        <v>2176</v>
      </c>
      <c r="C27" s="122" t="s">
        <v>2219</v>
      </c>
      <c r="D27" s="122" t="s">
        <v>2218</v>
      </c>
      <c r="E27" s="124">
        <v>42767</v>
      </c>
      <c r="F27" s="124">
        <v>42818</v>
      </c>
      <c r="G27" s="123">
        <v>651</v>
      </c>
      <c r="H27" s="123">
        <v>148</v>
      </c>
      <c r="I27" s="123">
        <v>506</v>
      </c>
      <c r="J27" s="123">
        <v>189</v>
      </c>
      <c r="K27" s="194">
        <f t="shared" si="0"/>
        <v>51</v>
      </c>
    </row>
    <row r="28" spans="1:11">
      <c r="A28" s="121">
        <v>27</v>
      </c>
      <c r="B28" s="122" t="s">
        <v>2176</v>
      </c>
      <c r="C28" s="122" t="s">
        <v>2220</v>
      </c>
      <c r="D28" s="122" t="s">
        <v>2218</v>
      </c>
      <c r="E28" s="124">
        <v>42767</v>
      </c>
      <c r="F28" s="124">
        <v>42818</v>
      </c>
      <c r="G28" s="123">
        <v>583</v>
      </c>
      <c r="H28" s="123">
        <v>112</v>
      </c>
      <c r="I28" s="123">
        <v>449</v>
      </c>
      <c r="J28" s="123">
        <v>217</v>
      </c>
      <c r="K28" s="194">
        <f t="shared" si="0"/>
        <v>51</v>
      </c>
    </row>
    <row r="29" spans="1:11">
      <c r="A29" s="121">
        <v>28</v>
      </c>
      <c r="B29" s="122" t="s">
        <v>2176</v>
      </c>
      <c r="C29" s="122" t="s">
        <v>2221</v>
      </c>
      <c r="D29" s="122" t="s">
        <v>2218</v>
      </c>
      <c r="E29" s="124">
        <v>42767</v>
      </c>
      <c r="F29" s="124">
        <v>42818</v>
      </c>
      <c r="G29" s="123">
        <v>702</v>
      </c>
      <c r="H29" s="123">
        <v>436</v>
      </c>
      <c r="I29" s="123">
        <v>502</v>
      </c>
      <c r="J29" s="123">
        <v>172</v>
      </c>
      <c r="K29" s="194">
        <f t="shared" si="0"/>
        <v>51</v>
      </c>
    </row>
    <row r="30" spans="1:11">
      <c r="A30" s="121">
        <v>29</v>
      </c>
      <c r="B30" s="122" t="s">
        <v>2176</v>
      </c>
      <c r="C30" s="122" t="s">
        <v>2222</v>
      </c>
      <c r="D30" s="122" t="s">
        <v>2218</v>
      </c>
      <c r="E30" s="124">
        <v>42767</v>
      </c>
      <c r="F30" s="124">
        <v>42818</v>
      </c>
      <c r="G30" s="123">
        <v>838</v>
      </c>
      <c r="H30" s="123">
        <v>386</v>
      </c>
      <c r="I30" s="123">
        <v>345</v>
      </c>
      <c r="J30" s="123">
        <v>349</v>
      </c>
      <c r="K30" s="194">
        <f t="shared" si="0"/>
        <v>51</v>
      </c>
    </row>
    <row r="31" spans="1:11">
      <c r="A31" s="121">
        <v>30</v>
      </c>
      <c r="B31" s="122" t="s">
        <v>2176</v>
      </c>
      <c r="C31" s="122" t="s">
        <v>2223</v>
      </c>
      <c r="D31" s="122" t="s">
        <v>2218</v>
      </c>
      <c r="E31" s="124">
        <v>42767</v>
      </c>
      <c r="F31" s="124">
        <v>42818</v>
      </c>
      <c r="G31" s="123">
        <v>518</v>
      </c>
      <c r="H31">
        <v>507</v>
      </c>
      <c r="I31" s="123">
        <v>500</v>
      </c>
      <c r="J31" s="123">
        <v>296</v>
      </c>
      <c r="K31" s="194">
        <f t="shared" si="0"/>
        <v>51</v>
      </c>
    </row>
    <row r="32" spans="1:11">
      <c r="A32" s="121">
        <v>31</v>
      </c>
      <c r="B32" s="122" t="s">
        <v>2176</v>
      </c>
      <c r="C32" s="122" t="s">
        <v>2224</v>
      </c>
      <c r="D32" s="122" t="s">
        <v>2218</v>
      </c>
      <c r="E32" s="124">
        <v>42767</v>
      </c>
      <c r="F32" s="124">
        <v>42818</v>
      </c>
      <c r="G32" s="129">
        <v>404</v>
      </c>
      <c r="H32" s="123">
        <v>141</v>
      </c>
      <c r="I32" s="123">
        <v>521</v>
      </c>
      <c r="J32" s="123">
        <v>323</v>
      </c>
      <c r="K32" s="194">
        <f t="shared" si="0"/>
        <v>51</v>
      </c>
    </row>
    <row r="33" spans="1:11">
      <c r="A33" s="121">
        <v>32</v>
      </c>
      <c r="B33" s="122" t="s">
        <v>2176</v>
      </c>
      <c r="C33" s="122" t="s">
        <v>2225</v>
      </c>
      <c r="D33" s="122" t="s">
        <v>2218</v>
      </c>
      <c r="E33" s="124">
        <v>42767</v>
      </c>
      <c r="F33" s="124">
        <v>42818</v>
      </c>
      <c r="G33" s="123">
        <v>527</v>
      </c>
      <c r="H33" s="123">
        <v>396</v>
      </c>
      <c r="I33" s="123">
        <v>201</v>
      </c>
      <c r="J33" s="123">
        <v>156</v>
      </c>
      <c r="K33" s="194">
        <f t="shared" si="0"/>
        <v>51</v>
      </c>
    </row>
    <row r="34" spans="1:11">
      <c r="A34" s="121">
        <v>33</v>
      </c>
      <c r="B34" s="122" t="s">
        <v>2176</v>
      </c>
      <c r="C34" s="122" t="s">
        <v>2226</v>
      </c>
      <c r="D34" s="122" t="s">
        <v>2227</v>
      </c>
      <c r="E34" s="124">
        <v>42765</v>
      </c>
      <c r="F34" s="124">
        <v>42820</v>
      </c>
      <c r="G34" s="123">
        <v>366</v>
      </c>
      <c r="H34" s="123">
        <v>109</v>
      </c>
      <c r="I34" s="123">
        <v>556</v>
      </c>
      <c r="J34" s="123">
        <v>452</v>
      </c>
      <c r="K34" s="194">
        <f t="shared" si="0"/>
        <v>55</v>
      </c>
    </row>
    <row r="35" spans="1:11">
      <c r="A35" s="121">
        <v>34</v>
      </c>
      <c r="B35" s="122" t="s">
        <v>2176</v>
      </c>
      <c r="C35" s="122" t="s">
        <v>2229</v>
      </c>
      <c r="D35" s="122" t="s">
        <v>2227</v>
      </c>
      <c r="E35" s="124">
        <v>42765</v>
      </c>
      <c r="F35" s="124">
        <v>42820</v>
      </c>
      <c r="G35" s="123">
        <v>516</v>
      </c>
      <c r="H35" s="123">
        <v>153</v>
      </c>
      <c r="I35" s="123">
        <v>649</v>
      </c>
      <c r="J35" s="123">
        <v>24</v>
      </c>
      <c r="K35" s="194">
        <f t="shared" si="0"/>
        <v>55</v>
      </c>
    </row>
    <row r="36" spans="1:11">
      <c r="A36" s="121">
        <v>35</v>
      </c>
      <c r="B36" s="122" t="s">
        <v>2176</v>
      </c>
      <c r="C36" s="122" t="s">
        <v>2232</v>
      </c>
      <c r="D36" s="122" t="s">
        <v>2227</v>
      </c>
      <c r="E36" s="124">
        <v>42765</v>
      </c>
      <c r="F36" s="124">
        <v>42820</v>
      </c>
      <c r="G36" s="123">
        <v>670</v>
      </c>
      <c r="H36" s="123">
        <v>64</v>
      </c>
      <c r="I36" s="123">
        <v>732</v>
      </c>
      <c r="J36" s="123">
        <v>69</v>
      </c>
      <c r="K36" s="194">
        <f t="shared" si="0"/>
        <v>55</v>
      </c>
    </row>
    <row r="37" spans="1:11">
      <c r="A37" s="121">
        <v>36</v>
      </c>
      <c r="B37" s="122" t="s">
        <v>2176</v>
      </c>
      <c r="C37" s="122" t="s">
        <v>2233</v>
      </c>
      <c r="D37" s="122" t="s">
        <v>2227</v>
      </c>
      <c r="E37" s="124">
        <v>42765</v>
      </c>
      <c r="F37" s="124">
        <v>42820</v>
      </c>
      <c r="G37" s="123">
        <v>507</v>
      </c>
      <c r="H37" s="123">
        <v>126</v>
      </c>
      <c r="I37" s="123">
        <v>550</v>
      </c>
      <c r="J37" s="123">
        <v>97</v>
      </c>
      <c r="K37" s="194">
        <f t="shared" si="0"/>
        <v>55</v>
      </c>
    </row>
    <row r="38" spans="1:11">
      <c r="A38" s="121">
        <v>37</v>
      </c>
      <c r="B38" s="122" t="s">
        <v>2176</v>
      </c>
      <c r="C38" s="122" t="s">
        <v>2235</v>
      </c>
      <c r="D38" s="122" t="s">
        <v>2227</v>
      </c>
      <c r="E38" s="124">
        <v>42765</v>
      </c>
      <c r="F38" s="124">
        <v>42820</v>
      </c>
      <c r="G38" s="123">
        <v>359</v>
      </c>
      <c r="H38" s="123">
        <v>63</v>
      </c>
      <c r="I38" s="123">
        <v>528</v>
      </c>
      <c r="J38" s="123">
        <v>89</v>
      </c>
      <c r="K38" s="194">
        <f t="shared" si="0"/>
        <v>55</v>
      </c>
    </row>
    <row r="39" spans="1:11">
      <c r="A39" s="121">
        <v>38</v>
      </c>
      <c r="B39" s="122" t="s">
        <v>2176</v>
      </c>
      <c r="C39" s="122" t="s">
        <v>2237</v>
      </c>
      <c r="D39" s="122" t="s">
        <v>2227</v>
      </c>
      <c r="E39" s="124">
        <v>42765</v>
      </c>
      <c r="F39" s="124">
        <v>42820</v>
      </c>
      <c r="G39" s="123">
        <v>499</v>
      </c>
      <c r="H39" s="123">
        <v>87</v>
      </c>
      <c r="I39" s="123">
        <v>703</v>
      </c>
      <c r="J39" s="129">
        <v>147</v>
      </c>
      <c r="K39" s="194">
        <f t="shared" si="0"/>
        <v>55</v>
      </c>
    </row>
    <row r="40" spans="1:11">
      <c r="A40" s="121">
        <v>39</v>
      </c>
      <c r="B40" s="122" t="s">
        <v>2176</v>
      </c>
      <c r="C40" s="122" t="s">
        <v>2239</v>
      </c>
      <c r="D40" s="122" t="s">
        <v>2227</v>
      </c>
      <c r="E40" s="124">
        <v>42765</v>
      </c>
      <c r="F40" s="124">
        <v>42820</v>
      </c>
      <c r="G40" s="123">
        <v>214</v>
      </c>
      <c r="H40" s="123">
        <v>437</v>
      </c>
      <c r="I40" s="123">
        <v>566</v>
      </c>
      <c r="J40" s="123">
        <v>65</v>
      </c>
      <c r="K40" s="194">
        <f t="shared" si="0"/>
        <v>55</v>
      </c>
    </row>
    <row r="41" spans="1:11">
      <c r="A41" s="121">
        <v>40</v>
      </c>
      <c r="B41" s="122" t="s">
        <v>2176</v>
      </c>
      <c r="C41" s="122" t="s">
        <v>2241</v>
      </c>
      <c r="D41" s="122" t="s">
        <v>2227</v>
      </c>
      <c r="E41" s="124">
        <v>42765</v>
      </c>
      <c r="F41" s="124">
        <v>42820</v>
      </c>
      <c r="G41" s="123">
        <v>582</v>
      </c>
      <c r="H41" s="123">
        <v>114</v>
      </c>
      <c r="I41" s="123">
        <v>619</v>
      </c>
      <c r="J41" s="123">
        <v>420</v>
      </c>
      <c r="K41" s="194">
        <f t="shared" si="0"/>
        <v>55</v>
      </c>
    </row>
    <row r="42" spans="1:11">
      <c r="A42" s="121">
        <v>41</v>
      </c>
      <c r="B42" s="122" t="s">
        <v>2176</v>
      </c>
      <c r="C42" s="122" t="s">
        <v>2243</v>
      </c>
      <c r="D42" s="122" t="s">
        <v>2244</v>
      </c>
      <c r="E42" s="124">
        <v>42766</v>
      </c>
      <c r="F42" s="124">
        <v>42820</v>
      </c>
      <c r="G42" s="123">
        <v>453</v>
      </c>
      <c r="H42" s="123">
        <v>521</v>
      </c>
      <c r="I42" s="123">
        <v>626</v>
      </c>
      <c r="J42" s="123">
        <v>77</v>
      </c>
      <c r="K42" s="194">
        <f t="shared" si="0"/>
        <v>54</v>
      </c>
    </row>
    <row r="43" spans="1:11">
      <c r="A43" s="121">
        <v>42</v>
      </c>
      <c r="B43" s="122" t="s">
        <v>2176</v>
      </c>
      <c r="C43" s="122" t="s">
        <v>2245</v>
      </c>
      <c r="D43" s="122" t="s">
        <v>2244</v>
      </c>
      <c r="E43" s="124">
        <v>42766</v>
      </c>
      <c r="F43" s="124">
        <v>42820</v>
      </c>
      <c r="G43" s="123">
        <v>764</v>
      </c>
      <c r="H43" s="123">
        <v>371</v>
      </c>
      <c r="I43" s="123">
        <v>437</v>
      </c>
      <c r="J43" s="123">
        <v>81</v>
      </c>
      <c r="K43" s="194">
        <f t="shared" si="0"/>
        <v>54</v>
      </c>
    </row>
    <row r="44" spans="1:11">
      <c r="A44" s="121">
        <v>43</v>
      </c>
      <c r="B44" s="122" t="s">
        <v>2176</v>
      </c>
      <c r="C44" s="122" t="s">
        <v>2247</v>
      </c>
      <c r="D44" s="122" t="s">
        <v>2244</v>
      </c>
      <c r="E44" s="124">
        <v>42766</v>
      </c>
      <c r="F44" s="124">
        <v>42820</v>
      </c>
      <c r="G44" s="123">
        <v>690</v>
      </c>
      <c r="H44" s="123">
        <v>376</v>
      </c>
      <c r="I44" s="123">
        <v>643</v>
      </c>
      <c r="J44" s="123">
        <v>117</v>
      </c>
      <c r="K44" s="194">
        <f t="shared" si="0"/>
        <v>54</v>
      </c>
    </row>
    <row r="45" spans="1:11">
      <c r="A45" s="121">
        <v>44</v>
      </c>
      <c r="B45" s="122" t="s">
        <v>2176</v>
      </c>
      <c r="C45" s="122" t="s">
        <v>2248</v>
      </c>
      <c r="D45" s="122" t="s">
        <v>2244</v>
      </c>
      <c r="E45" s="124">
        <v>42766</v>
      </c>
      <c r="F45" s="124">
        <v>42820</v>
      </c>
      <c r="G45" s="123">
        <v>774</v>
      </c>
      <c r="H45" s="123">
        <v>166</v>
      </c>
      <c r="I45">
        <v>283</v>
      </c>
      <c r="J45" s="123">
        <v>6</v>
      </c>
      <c r="K45" s="194">
        <f t="shared" si="0"/>
        <v>54</v>
      </c>
    </row>
    <row r="46" spans="1:11">
      <c r="A46" s="121">
        <v>45</v>
      </c>
      <c r="B46" s="122" t="s">
        <v>2176</v>
      </c>
      <c r="C46" s="122" t="s">
        <v>2249</v>
      </c>
      <c r="D46" s="122" t="s">
        <v>2244</v>
      </c>
      <c r="E46" s="124">
        <v>42766</v>
      </c>
      <c r="F46" s="124">
        <v>42820</v>
      </c>
      <c r="G46" s="123">
        <v>519</v>
      </c>
      <c r="H46" s="123">
        <v>469</v>
      </c>
      <c r="I46" s="123">
        <v>602</v>
      </c>
      <c r="J46" s="123">
        <v>74</v>
      </c>
      <c r="K46" s="194">
        <f t="shared" si="0"/>
        <v>54</v>
      </c>
    </row>
    <row r="47" spans="1:11">
      <c r="A47" s="169">
        <v>46</v>
      </c>
      <c r="B47" s="170" t="s">
        <v>2176</v>
      </c>
      <c r="C47" s="170" t="s">
        <v>2251</v>
      </c>
      <c r="D47" s="170" t="s">
        <v>2244</v>
      </c>
      <c r="E47" s="171">
        <v>42766</v>
      </c>
      <c r="F47" s="171">
        <v>42820</v>
      </c>
      <c r="G47" s="169">
        <v>635</v>
      </c>
      <c r="H47" s="169">
        <v>86</v>
      </c>
      <c r="I47" s="169">
        <v>427</v>
      </c>
      <c r="J47" s="169">
        <v>102</v>
      </c>
      <c r="K47" s="194">
        <f t="shared" si="0"/>
        <v>54</v>
      </c>
    </row>
    <row r="48" spans="1:11">
      <c r="A48" s="121">
        <v>47</v>
      </c>
      <c r="B48" s="122" t="s">
        <v>2176</v>
      </c>
      <c r="C48" s="122" t="s">
        <v>2252</v>
      </c>
      <c r="D48" s="122" t="s">
        <v>2244</v>
      </c>
      <c r="E48" s="124">
        <v>42766</v>
      </c>
      <c r="F48" s="124">
        <v>42820</v>
      </c>
      <c r="G48" s="123">
        <v>539</v>
      </c>
      <c r="H48" s="123">
        <v>146</v>
      </c>
      <c r="I48" s="123">
        <v>512</v>
      </c>
      <c r="J48" s="123">
        <v>76</v>
      </c>
      <c r="K48" s="194">
        <f t="shared" si="0"/>
        <v>54</v>
      </c>
    </row>
    <row r="49" spans="1:11">
      <c r="A49" s="121">
        <v>48</v>
      </c>
      <c r="B49" s="122" t="s">
        <v>2176</v>
      </c>
      <c r="C49" s="122" t="s">
        <v>2254</v>
      </c>
      <c r="D49" s="122" t="s">
        <v>2244</v>
      </c>
      <c r="E49" s="124">
        <v>42766</v>
      </c>
      <c r="F49" s="124">
        <v>42820</v>
      </c>
      <c r="G49" s="123">
        <v>679</v>
      </c>
      <c r="H49" s="123">
        <v>72</v>
      </c>
      <c r="I49" s="123">
        <v>299</v>
      </c>
      <c r="J49" s="123">
        <v>107</v>
      </c>
      <c r="K49" s="194">
        <f t="shared" si="0"/>
        <v>54</v>
      </c>
    </row>
    <row r="50" spans="1:11">
      <c r="A50" s="121">
        <v>49</v>
      </c>
      <c r="B50" s="122" t="s">
        <v>2176</v>
      </c>
      <c r="C50" s="122" t="s">
        <v>2255</v>
      </c>
      <c r="D50" s="122" t="s">
        <v>2256</v>
      </c>
      <c r="E50" s="124">
        <v>42766</v>
      </c>
      <c r="F50" s="124">
        <v>42820</v>
      </c>
      <c r="G50" s="123">
        <v>346</v>
      </c>
      <c r="H50" s="123">
        <v>28</v>
      </c>
      <c r="I50" s="123">
        <v>739</v>
      </c>
      <c r="J50" s="123">
        <v>155</v>
      </c>
      <c r="K50" s="194">
        <f t="shared" si="0"/>
        <v>54</v>
      </c>
    </row>
    <row r="51" spans="1:11">
      <c r="A51" s="121">
        <v>50</v>
      </c>
      <c r="B51" s="122" t="s">
        <v>2176</v>
      </c>
      <c r="C51" s="122" t="s">
        <v>2257</v>
      </c>
      <c r="D51" s="122" t="s">
        <v>2256</v>
      </c>
      <c r="E51" s="124">
        <v>42766</v>
      </c>
      <c r="F51" s="124">
        <v>42820</v>
      </c>
      <c r="G51" s="123">
        <v>418</v>
      </c>
      <c r="H51" s="123">
        <v>5</v>
      </c>
      <c r="I51" s="123">
        <v>559</v>
      </c>
      <c r="J51" s="123">
        <v>98</v>
      </c>
      <c r="K51" s="194">
        <f t="shared" si="0"/>
        <v>54</v>
      </c>
    </row>
    <row r="52" spans="1:11">
      <c r="A52" s="121">
        <v>51</v>
      </c>
      <c r="B52" s="122" t="s">
        <v>2176</v>
      </c>
      <c r="C52" s="122" t="s">
        <v>2258</v>
      </c>
      <c r="D52" s="122" t="s">
        <v>2256</v>
      </c>
      <c r="E52" s="124">
        <v>42766</v>
      </c>
      <c r="F52" s="124">
        <v>42820</v>
      </c>
      <c r="G52" s="123">
        <v>548</v>
      </c>
      <c r="H52" s="123">
        <v>85</v>
      </c>
      <c r="I52" s="123">
        <v>856</v>
      </c>
      <c r="J52" s="123">
        <v>29</v>
      </c>
      <c r="K52" s="194">
        <f t="shared" si="0"/>
        <v>54</v>
      </c>
    </row>
    <row r="53" spans="1:11">
      <c r="A53" s="121">
        <v>52</v>
      </c>
      <c r="B53" s="122" t="s">
        <v>2176</v>
      </c>
      <c r="C53" s="122" t="s">
        <v>2259</v>
      </c>
      <c r="D53" s="122" t="s">
        <v>2256</v>
      </c>
      <c r="E53" s="124">
        <v>42766</v>
      </c>
      <c r="F53" s="124">
        <v>42820</v>
      </c>
      <c r="G53" s="123">
        <v>638</v>
      </c>
      <c r="H53" s="123">
        <v>513</v>
      </c>
      <c r="I53" s="123">
        <v>599</v>
      </c>
      <c r="J53" s="123">
        <v>312</v>
      </c>
      <c r="K53" s="194">
        <f t="shared" si="0"/>
        <v>54</v>
      </c>
    </row>
    <row r="54" spans="1:11">
      <c r="A54" s="169">
        <v>53</v>
      </c>
      <c r="B54" s="170" t="s">
        <v>2176</v>
      </c>
      <c r="C54" s="170" t="s">
        <v>2260</v>
      </c>
      <c r="D54" s="170" t="s">
        <v>2256</v>
      </c>
      <c r="E54" s="171">
        <v>42766</v>
      </c>
      <c r="F54" s="171">
        <v>42820</v>
      </c>
      <c r="G54" s="169">
        <v>426</v>
      </c>
      <c r="H54" s="169">
        <v>399</v>
      </c>
      <c r="I54" s="169">
        <v>683</v>
      </c>
      <c r="J54" s="169">
        <v>113</v>
      </c>
      <c r="K54" s="194">
        <f t="shared" si="0"/>
        <v>54</v>
      </c>
    </row>
    <row r="55" spans="1:11">
      <c r="A55" s="169">
        <v>54</v>
      </c>
      <c r="B55" s="170" t="s">
        <v>2176</v>
      </c>
      <c r="C55" s="170" t="s">
        <v>2261</v>
      </c>
      <c r="D55" s="170" t="s">
        <v>2256</v>
      </c>
      <c r="E55" s="171">
        <v>42766</v>
      </c>
      <c r="F55" s="171">
        <v>42820</v>
      </c>
      <c r="G55" s="169">
        <v>589</v>
      </c>
      <c r="H55" s="169">
        <v>400</v>
      </c>
      <c r="I55" s="169">
        <v>288</v>
      </c>
      <c r="J55" s="169">
        <v>441</v>
      </c>
      <c r="K55" s="194">
        <f t="shared" si="0"/>
        <v>54</v>
      </c>
    </row>
    <row r="56" spans="1:11">
      <c r="A56" s="121">
        <v>55</v>
      </c>
      <c r="B56" s="122" t="s">
        <v>2176</v>
      </c>
      <c r="C56" s="122" t="s">
        <v>2262</v>
      </c>
      <c r="D56" s="122" t="s">
        <v>2256</v>
      </c>
      <c r="E56" s="124">
        <v>42766</v>
      </c>
      <c r="F56" s="124">
        <v>42820</v>
      </c>
      <c r="G56" s="123">
        <v>622</v>
      </c>
      <c r="H56" s="113">
        <v>19</v>
      </c>
      <c r="I56" s="123">
        <v>616</v>
      </c>
      <c r="J56" s="165" t="s">
        <v>2498</v>
      </c>
      <c r="K56" s="194">
        <f t="shared" si="0"/>
        <v>54</v>
      </c>
    </row>
    <row r="57" spans="1:11">
      <c r="A57" s="121">
        <v>56</v>
      </c>
      <c r="B57" s="122" t="s">
        <v>2176</v>
      </c>
      <c r="C57" s="122" t="s">
        <v>2263</v>
      </c>
      <c r="D57" s="122" t="s">
        <v>2256</v>
      </c>
      <c r="E57" s="124">
        <v>42766</v>
      </c>
      <c r="F57" s="124">
        <v>42820</v>
      </c>
      <c r="G57" s="178">
        <v>538</v>
      </c>
      <c r="H57" s="123">
        <v>60</v>
      </c>
      <c r="I57" s="123">
        <v>557</v>
      </c>
      <c r="J57" s="123">
        <v>58</v>
      </c>
      <c r="K57" s="194">
        <f t="shared" si="0"/>
        <v>54</v>
      </c>
    </row>
    <row r="58" spans="1:11">
      <c r="A58" s="121">
        <v>57</v>
      </c>
      <c r="B58" s="122" t="s">
        <v>2176</v>
      </c>
      <c r="C58" s="131" t="s">
        <v>2264</v>
      </c>
      <c r="D58" s="122" t="s">
        <v>2265</v>
      </c>
      <c r="E58" s="124">
        <v>42766</v>
      </c>
      <c r="F58" s="124">
        <v>42820</v>
      </c>
      <c r="G58" s="165">
        <v>540</v>
      </c>
      <c r="H58" s="123">
        <v>161</v>
      </c>
      <c r="I58" s="123">
        <v>618</v>
      </c>
      <c r="J58" s="123">
        <v>435</v>
      </c>
      <c r="K58" s="194">
        <f t="shared" si="0"/>
        <v>54</v>
      </c>
    </row>
    <row r="59" spans="1:11">
      <c r="A59" s="121">
        <v>58</v>
      </c>
      <c r="B59" s="122" t="s">
        <v>2176</v>
      </c>
      <c r="C59" s="131" t="s">
        <v>2267</v>
      </c>
      <c r="D59" s="122" t="s">
        <v>2265</v>
      </c>
      <c r="E59" s="124">
        <v>42766</v>
      </c>
      <c r="F59" s="124">
        <v>42820</v>
      </c>
      <c r="G59" s="123">
        <v>513</v>
      </c>
      <c r="H59" s="123">
        <v>48</v>
      </c>
      <c r="I59" s="123">
        <v>593</v>
      </c>
      <c r="J59" s="123">
        <v>31</v>
      </c>
      <c r="K59" s="194">
        <f t="shared" si="0"/>
        <v>54</v>
      </c>
    </row>
    <row r="60" spans="1:11">
      <c r="A60" s="121">
        <v>59</v>
      </c>
      <c r="B60" s="122" t="s">
        <v>2176</v>
      </c>
      <c r="C60" s="131" t="s">
        <v>2268</v>
      </c>
      <c r="D60" s="122" t="s">
        <v>2265</v>
      </c>
      <c r="E60" s="124">
        <v>42766</v>
      </c>
      <c r="F60" s="124">
        <v>42820</v>
      </c>
      <c r="G60" s="123">
        <v>489</v>
      </c>
      <c r="H60" s="123">
        <v>23</v>
      </c>
      <c r="I60" s="123">
        <v>600</v>
      </c>
      <c r="J60" s="123">
        <v>120</v>
      </c>
      <c r="K60" s="194">
        <f t="shared" si="0"/>
        <v>54</v>
      </c>
    </row>
    <row r="61" spans="1:11">
      <c r="A61" s="121">
        <v>60</v>
      </c>
      <c r="B61" s="122" t="s">
        <v>2176</v>
      </c>
      <c r="C61" s="131" t="s">
        <v>2269</v>
      </c>
      <c r="D61" s="122" t="s">
        <v>2265</v>
      </c>
      <c r="E61" s="124">
        <v>42766</v>
      </c>
      <c r="F61" s="124">
        <v>42820</v>
      </c>
      <c r="G61" s="123">
        <v>633</v>
      </c>
      <c r="H61" s="123">
        <v>78</v>
      </c>
      <c r="I61" s="123">
        <v>535</v>
      </c>
      <c r="J61" s="123">
        <v>390</v>
      </c>
      <c r="K61" s="194">
        <f t="shared" si="0"/>
        <v>54</v>
      </c>
    </row>
    <row r="62" spans="1:11">
      <c r="A62" s="121">
        <v>61</v>
      </c>
      <c r="B62" s="122" t="s">
        <v>2176</v>
      </c>
      <c r="C62" s="131" t="s">
        <v>2271</v>
      </c>
      <c r="D62" s="122" t="s">
        <v>2265</v>
      </c>
      <c r="E62" s="124">
        <v>42766</v>
      </c>
      <c r="F62" s="124">
        <v>42820</v>
      </c>
      <c r="G62" s="123">
        <v>541</v>
      </c>
      <c r="H62" s="123">
        <v>42</v>
      </c>
      <c r="I62" s="123">
        <v>391</v>
      </c>
      <c r="J62" s="123">
        <v>143</v>
      </c>
      <c r="K62" s="194">
        <f t="shared" si="0"/>
        <v>54</v>
      </c>
    </row>
    <row r="63" spans="1:11">
      <c r="A63" s="121">
        <v>62</v>
      </c>
      <c r="B63" s="122" t="s">
        <v>2176</v>
      </c>
      <c r="C63" s="131" t="s">
        <v>2272</v>
      </c>
      <c r="D63" s="122" t="s">
        <v>2265</v>
      </c>
      <c r="E63" s="124">
        <v>42766</v>
      </c>
      <c r="F63" s="124">
        <v>42820</v>
      </c>
      <c r="G63" s="123">
        <v>565</v>
      </c>
      <c r="H63" s="123">
        <v>119</v>
      </c>
      <c r="I63" s="123">
        <v>445</v>
      </c>
      <c r="J63" s="123">
        <v>448</v>
      </c>
      <c r="K63" s="194">
        <f t="shared" si="0"/>
        <v>54</v>
      </c>
    </row>
    <row r="64" spans="1:11">
      <c r="A64" s="121">
        <v>63</v>
      </c>
      <c r="B64" s="122" t="s">
        <v>2176</v>
      </c>
      <c r="C64" s="131" t="s">
        <v>2274</v>
      </c>
      <c r="D64" s="122" t="s">
        <v>2265</v>
      </c>
      <c r="E64" s="124">
        <v>42766</v>
      </c>
      <c r="F64" s="124">
        <v>42820</v>
      </c>
      <c r="G64" s="123">
        <v>387</v>
      </c>
      <c r="H64" s="123">
        <v>185</v>
      </c>
      <c r="I64" s="123">
        <v>440</v>
      </c>
      <c r="J64" s="123">
        <v>423</v>
      </c>
      <c r="K64" s="194">
        <f t="shared" si="0"/>
        <v>54</v>
      </c>
    </row>
    <row r="65" spans="1:11">
      <c r="A65" s="121">
        <v>64</v>
      </c>
      <c r="B65" s="122" t="s">
        <v>2176</v>
      </c>
      <c r="C65" s="131" t="s">
        <v>2275</v>
      </c>
      <c r="D65" s="122" t="s">
        <v>2265</v>
      </c>
      <c r="E65" s="124">
        <v>42766</v>
      </c>
      <c r="F65" s="124">
        <v>42820</v>
      </c>
      <c r="G65" s="129">
        <v>554</v>
      </c>
      <c r="H65" s="123">
        <v>159</v>
      </c>
      <c r="I65" s="123">
        <v>673</v>
      </c>
      <c r="J65" s="129">
        <v>550</v>
      </c>
      <c r="K65" s="194">
        <f t="shared" si="0"/>
        <v>54</v>
      </c>
    </row>
    <row r="66" spans="1:11">
      <c r="A66" s="121">
        <v>65</v>
      </c>
      <c r="B66" s="122" t="s">
        <v>2276</v>
      </c>
      <c r="C66" s="122" t="s">
        <v>2277</v>
      </c>
      <c r="D66" s="122" t="s">
        <v>2278</v>
      </c>
      <c r="E66" s="124">
        <v>42767</v>
      </c>
      <c r="F66" s="124">
        <v>42818</v>
      </c>
      <c r="G66" s="123">
        <v>614</v>
      </c>
      <c r="H66" s="123">
        <v>525</v>
      </c>
      <c r="I66" s="123">
        <v>700</v>
      </c>
      <c r="J66" s="123">
        <v>333</v>
      </c>
      <c r="K66" s="194">
        <f t="shared" si="0"/>
        <v>51</v>
      </c>
    </row>
    <row r="67" spans="1:11">
      <c r="A67" s="121">
        <v>66</v>
      </c>
      <c r="B67" s="122" t="s">
        <v>2276</v>
      </c>
      <c r="C67" s="122" t="s">
        <v>2279</v>
      </c>
      <c r="D67" s="122" t="s">
        <v>2278</v>
      </c>
      <c r="E67" s="124">
        <v>42767</v>
      </c>
      <c r="F67" s="124">
        <v>42818</v>
      </c>
      <c r="G67" s="123">
        <v>282</v>
      </c>
      <c r="H67" s="123">
        <v>150</v>
      </c>
      <c r="I67" s="123">
        <v>760</v>
      </c>
      <c r="J67" s="123">
        <v>252</v>
      </c>
      <c r="K67" s="194">
        <f t="shared" ref="K67:K130" si="1">IFERROR(F67-E67,"")</f>
        <v>51</v>
      </c>
    </row>
    <row r="68" spans="1:11">
      <c r="A68" s="121">
        <v>67</v>
      </c>
      <c r="B68" s="122" t="s">
        <v>2276</v>
      </c>
      <c r="C68" s="122" t="s">
        <v>2280</v>
      </c>
      <c r="D68" s="122" t="s">
        <v>2278</v>
      </c>
      <c r="E68" s="124">
        <v>42767</v>
      </c>
      <c r="F68" s="124">
        <v>42818</v>
      </c>
      <c r="G68" s="123">
        <v>450</v>
      </c>
      <c r="H68" s="123">
        <v>165</v>
      </c>
      <c r="I68" s="123">
        <v>660</v>
      </c>
      <c r="J68" s="123">
        <v>44</v>
      </c>
      <c r="K68" s="194">
        <f t="shared" si="1"/>
        <v>51</v>
      </c>
    </row>
    <row r="69" spans="1:11">
      <c r="A69" s="121">
        <v>68</v>
      </c>
      <c r="B69" s="122" t="s">
        <v>2276</v>
      </c>
      <c r="C69" s="122" t="s">
        <v>2281</v>
      </c>
      <c r="D69" s="122" t="s">
        <v>2278</v>
      </c>
      <c r="E69" s="124">
        <v>42767</v>
      </c>
      <c r="F69" s="124">
        <v>42818</v>
      </c>
      <c r="G69" s="123">
        <v>269</v>
      </c>
      <c r="H69" s="123">
        <v>129</v>
      </c>
      <c r="I69" s="123">
        <v>477</v>
      </c>
      <c r="J69" s="123">
        <v>9</v>
      </c>
      <c r="K69" s="194">
        <f t="shared" si="1"/>
        <v>51</v>
      </c>
    </row>
    <row r="70" spans="1:11">
      <c r="A70" s="121">
        <v>69</v>
      </c>
      <c r="B70" s="122" t="s">
        <v>2276</v>
      </c>
      <c r="C70" s="122" t="s">
        <v>2282</v>
      </c>
      <c r="D70" s="122" t="s">
        <v>2278</v>
      </c>
      <c r="E70" s="124">
        <v>42767</v>
      </c>
      <c r="F70" s="124">
        <v>42818</v>
      </c>
      <c r="G70" s="123">
        <v>448</v>
      </c>
      <c r="H70" s="123">
        <v>414</v>
      </c>
      <c r="I70" s="123">
        <v>386</v>
      </c>
      <c r="J70" s="123">
        <v>251</v>
      </c>
      <c r="K70" s="194">
        <f t="shared" si="1"/>
        <v>51</v>
      </c>
    </row>
    <row r="71" spans="1:11">
      <c r="A71" s="121">
        <v>70</v>
      </c>
      <c r="B71" s="122" t="s">
        <v>2276</v>
      </c>
      <c r="C71" s="122" t="s">
        <v>2283</v>
      </c>
      <c r="D71" s="122" t="s">
        <v>2278</v>
      </c>
      <c r="E71" s="124">
        <v>42767</v>
      </c>
      <c r="F71" s="124">
        <v>42818</v>
      </c>
      <c r="G71" s="178">
        <v>358</v>
      </c>
      <c r="H71" s="123">
        <v>151</v>
      </c>
      <c r="I71" s="129">
        <v>414</v>
      </c>
      <c r="J71" s="123">
        <v>266</v>
      </c>
      <c r="K71" s="194">
        <f t="shared" si="1"/>
        <v>51</v>
      </c>
    </row>
    <row r="72" spans="1:11">
      <c r="A72" s="121">
        <v>71</v>
      </c>
      <c r="B72" s="122" t="s">
        <v>2276</v>
      </c>
      <c r="C72" s="122" t="s">
        <v>2284</v>
      </c>
      <c r="D72" s="122" t="s">
        <v>2278</v>
      </c>
      <c r="E72" s="124">
        <v>42767</v>
      </c>
      <c r="F72" s="124">
        <v>42818</v>
      </c>
      <c r="G72" s="123">
        <v>511</v>
      </c>
      <c r="H72" s="123">
        <v>95</v>
      </c>
      <c r="I72" s="123">
        <v>459</v>
      </c>
      <c r="J72" s="123">
        <v>528</v>
      </c>
      <c r="K72" s="194">
        <f t="shared" si="1"/>
        <v>51</v>
      </c>
    </row>
    <row r="73" spans="1:11">
      <c r="A73" s="121">
        <v>72</v>
      </c>
      <c r="B73" s="122" t="s">
        <v>2276</v>
      </c>
      <c r="C73" s="122" t="s">
        <v>2285</v>
      </c>
      <c r="D73" s="122" t="s">
        <v>2278</v>
      </c>
      <c r="E73" s="124">
        <v>42767</v>
      </c>
      <c r="F73" s="124">
        <v>42818</v>
      </c>
      <c r="G73" s="123">
        <v>383</v>
      </c>
      <c r="H73" s="123">
        <v>546</v>
      </c>
      <c r="I73" s="123">
        <v>627</v>
      </c>
      <c r="J73" s="178">
        <v>14</v>
      </c>
      <c r="K73" s="194">
        <f t="shared" si="1"/>
        <v>51</v>
      </c>
    </row>
    <row r="74" spans="1:11">
      <c r="A74" s="121">
        <v>73</v>
      </c>
      <c r="B74" s="122" t="s">
        <v>2276</v>
      </c>
      <c r="C74" s="122" t="s">
        <v>2286</v>
      </c>
      <c r="D74" s="122" t="s">
        <v>2287</v>
      </c>
      <c r="E74" s="124">
        <v>42767</v>
      </c>
      <c r="F74" s="124">
        <v>42818</v>
      </c>
      <c r="G74" s="123">
        <v>549</v>
      </c>
      <c r="H74" s="123">
        <v>438</v>
      </c>
      <c r="I74" s="123">
        <v>498</v>
      </c>
      <c r="J74" s="123">
        <v>393</v>
      </c>
      <c r="K74" s="194">
        <f t="shared" si="1"/>
        <v>51</v>
      </c>
    </row>
    <row r="75" spans="1:11">
      <c r="A75" s="121">
        <v>74</v>
      </c>
      <c r="B75" s="122" t="s">
        <v>2276</v>
      </c>
      <c r="C75" s="122" t="s">
        <v>2288</v>
      </c>
      <c r="D75" s="122" t="s">
        <v>2287</v>
      </c>
      <c r="E75" s="124">
        <v>42767</v>
      </c>
      <c r="F75" s="124">
        <v>42818</v>
      </c>
      <c r="G75" s="123">
        <v>605</v>
      </c>
      <c r="H75" s="123">
        <v>122</v>
      </c>
      <c r="I75" s="123">
        <v>579</v>
      </c>
      <c r="J75" s="123">
        <v>138</v>
      </c>
      <c r="K75" s="194">
        <f t="shared" si="1"/>
        <v>51</v>
      </c>
    </row>
    <row r="76" spans="1:11">
      <c r="A76" s="121">
        <v>75</v>
      </c>
      <c r="B76" s="122" t="s">
        <v>2276</v>
      </c>
      <c r="C76" s="122" t="s">
        <v>2289</v>
      </c>
      <c r="D76" s="122" t="s">
        <v>2287</v>
      </c>
      <c r="E76" s="124">
        <v>42767</v>
      </c>
      <c r="F76" s="124">
        <v>42818</v>
      </c>
      <c r="G76" s="123">
        <v>408</v>
      </c>
      <c r="H76" s="123">
        <v>404</v>
      </c>
      <c r="I76" s="123">
        <v>373</v>
      </c>
      <c r="J76">
        <v>311</v>
      </c>
      <c r="K76" s="194">
        <f t="shared" si="1"/>
        <v>51</v>
      </c>
    </row>
    <row r="77" spans="1:11">
      <c r="A77" s="121">
        <v>76</v>
      </c>
      <c r="B77" s="122" t="s">
        <v>2276</v>
      </c>
      <c r="C77" s="122" t="s">
        <v>2290</v>
      </c>
      <c r="D77" s="122" t="s">
        <v>2287</v>
      </c>
      <c r="E77" s="124">
        <v>42767</v>
      </c>
      <c r="F77" s="124">
        <v>42818</v>
      </c>
      <c r="G77">
        <v>416</v>
      </c>
      <c r="H77" s="123">
        <v>501</v>
      </c>
      <c r="I77" s="123">
        <v>603</v>
      </c>
      <c r="J77" s="123">
        <v>183</v>
      </c>
      <c r="K77" s="194">
        <f t="shared" si="1"/>
        <v>51</v>
      </c>
    </row>
    <row r="78" spans="1:11">
      <c r="A78" s="121">
        <v>77</v>
      </c>
      <c r="B78" s="122" t="s">
        <v>2276</v>
      </c>
      <c r="C78" s="122" t="s">
        <v>2291</v>
      </c>
      <c r="D78" s="122" t="s">
        <v>2287</v>
      </c>
      <c r="E78" s="124">
        <v>42767</v>
      </c>
      <c r="F78" s="124">
        <v>42818</v>
      </c>
      <c r="G78">
        <v>594</v>
      </c>
      <c r="H78" s="123">
        <v>137</v>
      </c>
      <c r="I78" s="123">
        <v>509</v>
      </c>
      <c r="J78" s="123">
        <v>228</v>
      </c>
      <c r="K78" s="194">
        <f t="shared" si="1"/>
        <v>51</v>
      </c>
    </row>
    <row r="79" spans="1:11">
      <c r="A79" s="121">
        <v>78</v>
      </c>
      <c r="B79" s="122" t="s">
        <v>2276</v>
      </c>
      <c r="C79" s="122" t="s">
        <v>2292</v>
      </c>
      <c r="D79" s="122" t="s">
        <v>2287</v>
      </c>
      <c r="E79" s="124">
        <v>42767</v>
      </c>
      <c r="F79" s="124">
        <v>42818</v>
      </c>
      <c r="G79" s="123">
        <v>460</v>
      </c>
      <c r="H79" s="123">
        <v>278</v>
      </c>
      <c r="I79" s="123">
        <v>446</v>
      </c>
      <c r="J79" s="123">
        <v>100</v>
      </c>
      <c r="K79" s="194">
        <f t="shared" si="1"/>
        <v>51</v>
      </c>
    </row>
    <row r="80" spans="1:11">
      <c r="A80" s="121">
        <v>79</v>
      </c>
      <c r="B80" s="122" t="s">
        <v>2276</v>
      </c>
      <c r="C80" s="122" t="s">
        <v>2293</v>
      </c>
      <c r="D80" s="122" t="s">
        <v>2287</v>
      </c>
      <c r="E80" s="124">
        <v>42767</v>
      </c>
      <c r="F80" s="124">
        <v>42818</v>
      </c>
      <c r="G80" s="123">
        <v>217</v>
      </c>
      <c r="H80" s="123">
        <v>235</v>
      </c>
      <c r="I80" s="123">
        <v>249</v>
      </c>
      <c r="J80" s="123">
        <v>56</v>
      </c>
      <c r="K80" s="194">
        <f t="shared" si="1"/>
        <v>51</v>
      </c>
    </row>
    <row r="81" spans="1:11">
      <c r="A81" s="121">
        <v>80</v>
      </c>
      <c r="B81" s="122" t="s">
        <v>2276</v>
      </c>
      <c r="C81" s="122" t="s">
        <v>2294</v>
      </c>
      <c r="D81" s="122" t="s">
        <v>2287</v>
      </c>
      <c r="E81" s="124">
        <v>42767</v>
      </c>
      <c r="F81" s="124">
        <v>42818</v>
      </c>
      <c r="G81" s="123">
        <v>607</v>
      </c>
      <c r="H81" s="123">
        <v>181</v>
      </c>
      <c r="I81" s="123">
        <v>474</v>
      </c>
      <c r="J81" s="132">
        <v>68</v>
      </c>
      <c r="K81" s="194">
        <f t="shared" si="1"/>
        <v>51</v>
      </c>
    </row>
    <row r="82" spans="1:11">
      <c r="A82" s="121">
        <v>81</v>
      </c>
      <c r="B82" s="122" t="s">
        <v>2276</v>
      </c>
      <c r="C82" s="122" t="s">
        <v>2295</v>
      </c>
      <c r="D82" s="122" t="s">
        <v>2296</v>
      </c>
      <c r="E82" s="124">
        <v>42767</v>
      </c>
      <c r="F82" s="124">
        <v>42818</v>
      </c>
      <c r="G82" s="123">
        <v>542</v>
      </c>
      <c r="H82" s="123">
        <v>187</v>
      </c>
      <c r="I82" s="123">
        <v>475</v>
      </c>
      <c r="J82" s="123">
        <v>293</v>
      </c>
      <c r="K82" s="194">
        <f t="shared" si="1"/>
        <v>51</v>
      </c>
    </row>
    <row r="83" spans="1:11">
      <c r="A83" s="121">
        <v>82</v>
      </c>
      <c r="B83" s="122" t="s">
        <v>2297</v>
      </c>
      <c r="C83" s="122" t="s">
        <v>2298</v>
      </c>
      <c r="D83" s="122" t="s">
        <v>2296</v>
      </c>
      <c r="E83" s="124">
        <v>42767</v>
      </c>
      <c r="F83" s="124">
        <v>42819</v>
      </c>
      <c r="G83" s="123">
        <v>536</v>
      </c>
      <c r="H83" s="123">
        <v>83</v>
      </c>
      <c r="I83" s="123">
        <v>840</v>
      </c>
      <c r="J83" s="123">
        <v>368</v>
      </c>
      <c r="K83" s="194">
        <f t="shared" si="1"/>
        <v>52</v>
      </c>
    </row>
    <row r="84" spans="1:11">
      <c r="A84" s="121">
        <v>83</v>
      </c>
      <c r="B84" s="122" t="s">
        <v>2297</v>
      </c>
      <c r="C84" s="122" t="s">
        <v>2299</v>
      </c>
      <c r="D84" s="122" t="s">
        <v>2296</v>
      </c>
      <c r="E84" s="124">
        <v>42767</v>
      </c>
      <c r="F84" s="124">
        <v>42819</v>
      </c>
      <c r="G84" s="123">
        <v>494</v>
      </c>
      <c r="H84" s="123">
        <v>134</v>
      </c>
      <c r="I84" s="123">
        <v>298</v>
      </c>
      <c r="J84" s="123">
        <v>22</v>
      </c>
      <c r="K84" s="194">
        <f t="shared" si="1"/>
        <v>52</v>
      </c>
    </row>
    <row r="85" spans="1:11">
      <c r="A85" s="121">
        <v>84</v>
      </c>
      <c r="B85" s="122" t="s">
        <v>2297</v>
      </c>
      <c r="C85" s="122" t="s">
        <v>2300</v>
      </c>
      <c r="D85" s="122" t="s">
        <v>2296</v>
      </c>
      <c r="E85" s="124">
        <v>42767</v>
      </c>
      <c r="F85" s="124">
        <v>42819</v>
      </c>
      <c r="G85" s="132">
        <v>291</v>
      </c>
      <c r="H85" s="123">
        <v>49</v>
      </c>
      <c r="I85" s="123">
        <v>520</v>
      </c>
      <c r="J85" s="123">
        <v>417</v>
      </c>
      <c r="K85" s="194">
        <f t="shared" si="1"/>
        <v>52</v>
      </c>
    </row>
    <row r="86" spans="1:11">
      <c r="A86" s="121">
        <v>85</v>
      </c>
      <c r="B86" s="122" t="s">
        <v>2297</v>
      </c>
      <c r="C86" s="122" t="s">
        <v>2301</v>
      </c>
      <c r="D86" s="122" t="s">
        <v>2296</v>
      </c>
      <c r="E86" s="124">
        <v>42767</v>
      </c>
      <c r="F86" s="124">
        <v>42819</v>
      </c>
      <c r="G86" s="123">
        <v>308</v>
      </c>
      <c r="H86" s="123">
        <v>315</v>
      </c>
      <c r="I86" s="123">
        <v>441</v>
      </c>
      <c r="J86" s="123">
        <v>391</v>
      </c>
      <c r="K86" s="194">
        <f t="shared" si="1"/>
        <v>52</v>
      </c>
    </row>
    <row r="87" spans="1:11">
      <c r="A87" s="121">
        <v>86</v>
      </c>
      <c r="B87" s="122" t="s">
        <v>2297</v>
      </c>
      <c r="C87" s="122" t="s">
        <v>2302</v>
      </c>
      <c r="D87" s="122" t="s">
        <v>2296</v>
      </c>
      <c r="E87" s="124">
        <v>42767</v>
      </c>
      <c r="F87" s="124">
        <v>42819</v>
      </c>
      <c r="G87" s="123">
        <v>723</v>
      </c>
      <c r="H87" s="123">
        <v>1</v>
      </c>
      <c r="I87" s="123">
        <v>561</v>
      </c>
      <c r="J87" s="123">
        <v>62</v>
      </c>
      <c r="K87" s="194">
        <f t="shared" si="1"/>
        <v>52</v>
      </c>
    </row>
    <row r="88" spans="1:11">
      <c r="A88" s="121">
        <v>87</v>
      </c>
      <c r="B88" s="122" t="s">
        <v>2297</v>
      </c>
      <c r="C88" s="122" t="s">
        <v>2303</v>
      </c>
      <c r="D88" s="122" t="s">
        <v>2296</v>
      </c>
      <c r="E88" s="124">
        <v>42767</v>
      </c>
      <c r="F88" s="124">
        <v>42819</v>
      </c>
      <c r="G88" s="123">
        <v>628</v>
      </c>
      <c r="H88" s="123">
        <v>408</v>
      </c>
      <c r="I88" s="123">
        <v>632</v>
      </c>
      <c r="J88" s="123">
        <v>329</v>
      </c>
      <c r="K88" s="194">
        <f t="shared" si="1"/>
        <v>52</v>
      </c>
    </row>
    <row r="89" spans="1:11">
      <c r="A89" s="169">
        <v>88</v>
      </c>
      <c r="B89" s="170" t="s">
        <v>2297</v>
      </c>
      <c r="C89" s="170" t="s">
        <v>2304</v>
      </c>
      <c r="D89" s="170" t="s">
        <v>2296</v>
      </c>
      <c r="E89" s="171">
        <v>42767</v>
      </c>
      <c r="F89" s="169" t="s">
        <v>2057</v>
      </c>
      <c r="G89" s="169">
        <v>569</v>
      </c>
      <c r="H89" s="169">
        <v>385</v>
      </c>
      <c r="I89" s="169">
        <v>611</v>
      </c>
      <c r="J89" s="169">
        <v>288</v>
      </c>
      <c r="K89" s="194" t="str">
        <f t="shared" si="1"/>
        <v/>
      </c>
    </row>
    <row r="90" spans="1:11">
      <c r="A90" s="121">
        <v>89</v>
      </c>
      <c r="B90" s="122" t="s">
        <v>2297</v>
      </c>
      <c r="C90" s="122" t="s">
        <v>2305</v>
      </c>
      <c r="D90" s="122" t="s">
        <v>2306</v>
      </c>
      <c r="E90" s="124">
        <v>42767</v>
      </c>
      <c r="F90" s="124">
        <v>42819</v>
      </c>
      <c r="G90" s="123">
        <v>339</v>
      </c>
      <c r="H90" s="123">
        <v>196</v>
      </c>
      <c r="I90" s="123">
        <v>469</v>
      </c>
      <c r="J90" s="123">
        <v>171</v>
      </c>
      <c r="K90" s="194">
        <f t="shared" si="1"/>
        <v>52</v>
      </c>
    </row>
    <row r="91" spans="1:11">
      <c r="A91" s="121">
        <v>90</v>
      </c>
      <c r="B91" s="122" t="s">
        <v>2297</v>
      </c>
      <c r="C91" s="122" t="s">
        <v>2307</v>
      </c>
      <c r="D91" s="122" t="s">
        <v>2306</v>
      </c>
      <c r="E91" s="124">
        <v>42767</v>
      </c>
      <c r="F91" s="124">
        <v>42819</v>
      </c>
      <c r="G91" s="123">
        <v>592</v>
      </c>
      <c r="H91" s="123">
        <v>94</v>
      </c>
      <c r="I91" s="123">
        <v>355</v>
      </c>
      <c r="J91">
        <v>517</v>
      </c>
      <c r="K91" s="194">
        <f t="shared" si="1"/>
        <v>52</v>
      </c>
    </row>
    <row r="92" spans="1:11">
      <c r="A92" s="121">
        <v>91</v>
      </c>
      <c r="B92" s="122" t="s">
        <v>2297</v>
      </c>
      <c r="C92" s="122" t="s">
        <v>2308</v>
      </c>
      <c r="D92" s="122" t="s">
        <v>2306</v>
      </c>
      <c r="E92" s="124">
        <v>42767</v>
      </c>
      <c r="F92" s="124">
        <v>42819</v>
      </c>
      <c r="G92">
        <v>472</v>
      </c>
      <c r="H92" s="123">
        <v>343</v>
      </c>
      <c r="I92" s="123">
        <v>547</v>
      </c>
      <c r="J92" s="123">
        <v>73</v>
      </c>
      <c r="K92" s="194">
        <f t="shared" si="1"/>
        <v>52</v>
      </c>
    </row>
    <row r="93" spans="1:11">
      <c r="A93" s="121">
        <v>92</v>
      </c>
      <c r="B93" s="122" t="s">
        <v>2297</v>
      </c>
      <c r="C93" s="122" t="s">
        <v>2309</v>
      </c>
      <c r="D93" s="122" t="s">
        <v>2306</v>
      </c>
      <c r="E93" s="124">
        <v>42767</v>
      </c>
      <c r="F93" s="124">
        <v>42819</v>
      </c>
      <c r="G93" s="123">
        <v>529</v>
      </c>
      <c r="H93" s="123">
        <v>445</v>
      </c>
      <c r="I93" s="123">
        <v>763</v>
      </c>
      <c r="J93" s="132">
        <v>4</v>
      </c>
      <c r="K93" s="194">
        <f t="shared" si="1"/>
        <v>52</v>
      </c>
    </row>
    <row r="94" spans="1:11">
      <c r="A94" s="121">
        <v>93</v>
      </c>
      <c r="B94" s="122" t="s">
        <v>2297</v>
      </c>
      <c r="C94" s="122" t="s">
        <v>2310</v>
      </c>
      <c r="D94" s="122" t="s">
        <v>2306</v>
      </c>
      <c r="E94" s="124">
        <v>42767</v>
      </c>
      <c r="F94" s="124">
        <v>42819</v>
      </c>
      <c r="G94" s="123">
        <v>636</v>
      </c>
      <c r="H94" s="123">
        <v>12</v>
      </c>
      <c r="I94" s="123">
        <v>424</v>
      </c>
      <c r="J94" s="123">
        <v>136</v>
      </c>
      <c r="K94" s="194">
        <f t="shared" si="1"/>
        <v>52</v>
      </c>
    </row>
    <row r="95" spans="1:11">
      <c r="A95" s="169">
        <v>94</v>
      </c>
      <c r="B95" s="170" t="s">
        <v>2297</v>
      </c>
      <c r="C95" s="170" t="s">
        <v>2311</v>
      </c>
      <c r="D95" s="170" t="s">
        <v>2306</v>
      </c>
      <c r="E95" s="171">
        <v>42767</v>
      </c>
      <c r="F95" s="171" t="s">
        <v>2057</v>
      </c>
      <c r="G95" s="169">
        <v>534</v>
      </c>
      <c r="H95" s="169">
        <v>244</v>
      </c>
      <c r="I95" s="169">
        <v>588</v>
      </c>
      <c r="J95" s="169">
        <v>358</v>
      </c>
      <c r="K95" s="194" t="str">
        <f t="shared" si="1"/>
        <v/>
      </c>
    </row>
    <row r="96" spans="1:11">
      <c r="A96" s="121">
        <v>95</v>
      </c>
      <c r="B96" s="122" t="s">
        <v>2297</v>
      </c>
      <c r="C96" s="122" t="s">
        <v>2312</v>
      </c>
      <c r="D96" s="122" t="s">
        <v>2306</v>
      </c>
      <c r="E96" s="124">
        <v>42767</v>
      </c>
      <c r="F96" s="124">
        <v>42819</v>
      </c>
      <c r="G96" s="123">
        <v>641</v>
      </c>
      <c r="H96" s="123">
        <v>360</v>
      </c>
      <c r="I96" s="123">
        <v>486</v>
      </c>
      <c r="J96" s="123">
        <v>547</v>
      </c>
      <c r="K96" s="194">
        <f t="shared" si="1"/>
        <v>52</v>
      </c>
    </row>
    <row r="97" spans="1:11">
      <c r="A97" s="121">
        <v>96</v>
      </c>
      <c r="B97" s="122" t="s">
        <v>2297</v>
      </c>
      <c r="C97" s="122" t="s">
        <v>2313</v>
      </c>
      <c r="D97" s="122" t="s">
        <v>2306</v>
      </c>
      <c r="E97" s="124">
        <v>42767</v>
      </c>
      <c r="F97" s="124">
        <v>42819</v>
      </c>
      <c r="G97" s="123">
        <v>479</v>
      </c>
      <c r="H97" s="123">
        <v>318</v>
      </c>
      <c r="I97" s="123">
        <v>545</v>
      </c>
      <c r="J97" s="123">
        <v>588</v>
      </c>
      <c r="K97" s="194">
        <f t="shared" si="1"/>
        <v>52</v>
      </c>
    </row>
    <row r="98" spans="1:11">
      <c r="A98" s="121">
        <v>97</v>
      </c>
      <c r="B98" s="122" t="s">
        <v>2314</v>
      </c>
      <c r="C98" s="122" t="s">
        <v>2315</v>
      </c>
      <c r="D98" s="122" t="s">
        <v>2178</v>
      </c>
      <c r="E98" s="124">
        <v>42762</v>
      </c>
      <c r="F98" s="124">
        <v>42816</v>
      </c>
      <c r="G98" s="123">
        <v>741</v>
      </c>
      <c r="H98" s="123">
        <v>518</v>
      </c>
      <c r="I98" s="123">
        <v>847</v>
      </c>
      <c r="J98" s="123">
        <v>576</v>
      </c>
      <c r="K98" s="194">
        <f t="shared" si="1"/>
        <v>54</v>
      </c>
    </row>
    <row r="99" spans="1:11">
      <c r="A99" s="121">
        <v>98</v>
      </c>
      <c r="B99" s="122" t="s">
        <v>2314</v>
      </c>
      <c r="C99" s="122" t="s">
        <v>2316</v>
      </c>
      <c r="D99" s="122" t="s">
        <v>2178</v>
      </c>
      <c r="E99" s="124">
        <v>42762</v>
      </c>
      <c r="F99" s="124">
        <v>42816</v>
      </c>
      <c r="G99" s="123">
        <v>610</v>
      </c>
      <c r="H99" s="123">
        <v>489</v>
      </c>
      <c r="I99" s="123">
        <v>730</v>
      </c>
      <c r="J99" s="123">
        <v>561</v>
      </c>
      <c r="K99" s="194">
        <f t="shared" si="1"/>
        <v>54</v>
      </c>
    </row>
    <row r="100" spans="1:11">
      <c r="A100" s="121">
        <v>99</v>
      </c>
      <c r="B100" s="122" t="s">
        <v>2314</v>
      </c>
      <c r="C100" s="122" t="s">
        <v>2317</v>
      </c>
      <c r="D100" s="122" t="s">
        <v>2178</v>
      </c>
      <c r="E100" s="124">
        <v>42762</v>
      </c>
      <c r="F100" s="124">
        <v>42816</v>
      </c>
      <c r="G100" s="123">
        <v>765</v>
      </c>
      <c r="H100" s="123">
        <v>549</v>
      </c>
      <c r="I100" s="123">
        <v>691</v>
      </c>
      <c r="J100" s="123">
        <v>496</v>
      </c>
      <c r="K100" s="194">
        <f t="shared" si="1"/>
        <v>54</v>
      </c>
    </row>
    <row r="101" spans="1:11">
      <c r="A101" s="121">
        <v>100</v>
      </c>
      <c r="B101" s="122" t="s">
        <v>2314</v>
      </c>
      <c r="C101" s="122" t="s">
        <v>2318</v>
      </c>
      <c r="D101" s="122" t="s">
        <v>2178</v>
      </c>
      <c r="E101" s="124">
        <v>42762</v>
      </c>
      <c r="F101" s="124">
        <v>42816</v>
      </c>
      <c r="G101" s="123">
        <v>728</v>
      </c>
      <c r="H101" s="123">
        <v>500</v>
      </c>
      <c r="I101" s="123">
        <v>828</v>
      </c>
      <c r="J101" s="123">
        <v>497</v>
      </c>
      <c r="K101" s="194">
        <f t="shared" si="1"/>
        <v>54</v>
      </c>
    </row>
    <row r="102" spans="1:11">
      <c r="A102" s="121">
        <v>101</v>
      </c>
      <c r="B102" s="122" t="s">
        <v>2314</v>
      </c>
      <c r="C102" s="122" t="s">
        <v>2320</v>
      </c>
      <c r="D102" s="122" t="s">
        <v>2178</v>
      </c>
      <c r="E102" s="124">
        <v>42762</v>
      </c>
      <c r="F102" s="124">
        <v>42816</v>
      </c>
      <c r="G102" s="123">
        <v>808</v>
      </c>
      <c r="H102" s="123">
        <v>482</v>
      </c>
      <c r="I102" s="123">
        <v>875</v>
      </c>
      <c r="J102" s="123">
        <v>10</v>
      </c>
      <c r="K102" s="194">
        <f t="shared" si="1"/>
        <v>54</v>
      </c>
    </row>
    <row r="103" spans="1:11">
      <c r="A103" s="121">
        <v>102</v>
      </c>
      <c r="B103" s="122" t="s">
        <v>2314</v>
      </c>
      <c r="C103" s="122" t="s">
        <v>2321</v>
      </c>
      <c r="D103" s="122" t="s">
        <v>2178</v>
      </c>
      <c r="E103" s="124">
        <v>42762</v>
      </c>
      <c r="F103" s="124">
        <v>42816</v>
      </c>
      <c r="G103" s="123">
        <v>892</v>
      </c>
      <c r="H103" s="123">
        <v>569</v>
      </c>
      <c r="I103" s="123">
        <v>824</v>
      </c>
      <c r="J103" s="123">
        <v>26</v>
      </c>
      <c r="K103" s="194">
        <f t="shared" si="1"/>
        <v>54</v>
      </c>
    </row>
    <row r="104" spans="1:11">
      <c r="A104" s="121">
        <v>103</v>
      </c>
      <c r="B104" s="122" t="s">
        <v>2314</v>
      </c>
      <c r="C104" s="122" t="s">
        <v>2322</v>
      </c>
      <c r="D104" s="122" t="s">
        <v>2178</v>
      </c>
      <c r="E104" s="124">
        <v>42762</v>
      </c>
      <c r="F104" s="124">
        <v>42816</v>
      </c>
      <c r="G104" s="123">
        <v>869</v>
      </c>
      <c r="H104" s="123">
        <v>430</v>
      </c>
      <c r="I104" s="123">
        <v>692</v>
      </c>
      <c r="J104" s="123">
        <v>494</v>
      </c>
      <c r="K104" s="194">
        <f t="shared" si="1"/>
        <v>54</v>
      </c>
    </row>
    <row r="105" spans="1:11">
      <c r="A105" s="121">
        <v>104</v>
      </c>
      <c r="B105" s="122" t="s">
        <v>2314</v>
      </c>
      <c r="C105" s="122" t="s">
        <v>2323</v>
      </c>
      <c r="D105" s="122" t="s">
        <v>2178</v>
      </c>
      <c r="E105" s="124">
        <v>42762</v>
      </c>
      <c r="F105" s="124">
        <v>42816</v>
      </c>
      <c r="G105" s="123">
        <v>881</v>
      </c>
      <c r="H105" s="123">
        <v>577</v>
      </c>
      <c r="I105" s="123">
        <v>806</v>
      </c>
      <c r="J105" s="123">
        <v>475</v>
      </c>
      <c r="K105" s="194">
        <f t="shared" si="1"/>
        <v>54</v>
      </c>
    </row>
    <row r="106" spans="1:11">
      <c r="A106" s="121">
        <v>105</v>
      </c>
      <c r="B106" s="122" t="s">
        <v>2314</v>
      </c>
      <c r="C106" s="122" t="s">
        <v>2324</v>
      </c>
      <c r="D106" s="122" t="s">
        <v>2194</v>
      </c>
      <c r="E106" s="124">
        <v>42762</v>
      </c>
      <c r="F106" s="124">
        <v>42816</v>
      </c>
      <c r="G106" s="123">
        <v>729</v>
      </c>
      <c r="H106" s="123">
        <v>548</v>
      </c>
      <c r="I106" s="123">
        <v>861</v>
      </c>
      <c r="J106">
        <v>540</v>
      </c>
      <c r="K106" s="194">
        <f t="shared" si="1"/>
        <v>54</v>
      </c>
    </row>
    <row r="107" spans="1:11">
      <c r="A107" s="121">
        <v>106</v>
      </c>
      <c r="B107" s="122" t="s">
        <v>2314</v>
      </c>
      <c r="C107" s="122" t="s">
        <v>2325</v>
      </c>
      <c r="D107" s="122" t="s">
        <v>2194</v>
      </c>
      <c r="E107" s="124">
        <v>42762</v>
      </c>
      <c r="F107" s="124">
        <v>42816</v>
      </c>
      <c r="G107" s="123">
        <v>837</v>
      </c>
      <c r="H107" s="123">
        <v>590</v>
      </c>
      <c r="I107" s="123">
        <v>738</v>
      </c>
      <c r="J107" s="123">
        <v>593</v>
      </c>
      <c r="K107" s="194">
        <f t="shared" si="1"/>
        <v>54</v>
      </c>
    </row>
    <row r="108" spans="1:11">
      <c r="A108" s="121">
        <v>107</v>
      </c>
      <c r="B108" s="122" t="s">
        <v>2314</v>
      </c>
      <c r="C108" s="122" t="s">
        <v>2326</v>
      </c>
      <c r="D108" s="122" t="s">
        <v>2194</v>
      </c>
      <c r="E108" s="124">
        <v>42762</v>
      </c>
      <c r="F108" s="124">
        <v>42816</v>
      </c>
      <c r="G108" s="123">
        <v>688</v>
      </c>
      <c r="H108" s="123">
        <v>574</v>
      </c>
      <c r="I108" s="123">
        <v>676</v>
      </c>
      <c r="J108" s="123">
        <v>510</v>
      </c>
      <c r="K108" s="194">
        <f t="shared" si="1"/>
        <v>54</v>
      </c>
    </row>
    <row r="109" spans="1:11">
      <c r="A109" s="121">
        <v>108</v>
      </c>
      <c r="B109" s="122" t="s">
        <v>2314</v>
      </c>
      <c r="C109" s="122" t="s">
        <v>2327</v>
      </c>
      <c r="D109" s="122" t="s">
        <v>2194</v>
      </c>
      <c r="E109" s="124">
        <v>42762</v>
      </c>
      <c r="F109" s="124">
        <v>42816</v>
      </c>
      <c r="G109" s="123">
        <v>883</v>
      </c>
      <c r="H109" s="123">
        <v>8</v>
      </c>
      <c r="I109" s="123">
        <v>845</v>
      </c>
      <c r="J109" s="123">
        <v>509</v>
      </c>
      <c r="K109" s="194">
        <f t="shared" si="1"/>
        <v>54</v>
      </c>
    </row>
    <row r="110" spans="1:11">
      <c r="A110" s="121">
        <v>109</v>
      </c>
      <c r="B110" s="122" t="s">
        <v>2314</v>
      </c>
      <c r="C110" s="122" t="s">
        <v>2329</v>
      </c>
      <c r="D110" s="122" t="s">
        <v>2194</v>
      </c>
      <c r="E110" s="124">
        <v>42762</v>
      </c>
      <c r="F110" s="124">
        <v>42816</v>
      </c>
      <c r="G110" s="123">
        <v>704</v>
      </c>
      <c r="H110" s="123">
        <v>552</v>
      </c>
      <c r="I110" s="123">
        <v>887</v>
      </c>
      <c r="J110" s="123">
        <v>33</v>
      </c>
      <c r="K110" s="194">
        <f t="shared" si="1"/>
        <v>54</v>
      </c>
    </row>
    <row r="111" spans="1:11">
      <c r="A111" s="121">
        <v>110</v>
      </c>
      <c r="B111" s="122" t="s">
        <v>2314</v>
      </c>
      <c r="C111" s="122" t="s">
        <v>2330</v>
      </c>
      <c r="D111" s="122" t="s">
        <v>2194</v>
      </c>
      <c r="E111" s="124">
        <v>42762</v>
      </c>
      <c r="F111" s="124">
        <v>42816</v>
      </c>
      <c r="G111" s="123">
        <v>742</v>
      </c>
      <c r="H111" s="123">
        <v>462</v>
      </c>
      <c r="I111" s="178">
        <v>882</v>
      </c>
      <c r="J111" s="165" t="s">
        <v>2497</v>
      </c>
      <c r="K111" s="194">
        <f t="shared" si="1"/>
        <v>54</v>
      </c>
    </row>
    <row r="112" spans="1:11">
      <c r="A112" s="121">
        <v>111</v>
      </c>
      <c r="B112" s="122" t="s">
        <v>2314</v>
      </c>
      <c r="C112" s="122" t="s">
        <v>2331</v>
      </c>
      <c r="D112" s="122" t="s">
        <v>2194</v>
      </c>
      <c r="E112" s="124">
        <v>42762</v>
      </c>
      <c r="F112" s="124">
        <v>42816</v>
      </c>
      <c r="G112" s="123">
        <v>831</v>
      </c>
      <c r="H112" s="123">
        <v>505</v>
      </c>
      <c r="I112" s="123">
        <v>695</v>
      </c>
      <c r="J112" s="123">
        <v>487</v>
      </c>
      <c r="K112" s="194">
        <f t="shared" si="1"/>
        <v>54</v>
      </c>
    </row>
    <row r="113" spans="1:11">
      <c r="A113" s="121">
        <v>112</v>
      </c>
      <c r="B113" s="122" t="s">
        <v>2314</v>
      </c>
      <c r="C113" s="122" t="s">
        <v>2332</v>
      </c>
      <c r="D113" s="122" t="s">
        <v>2194</v>
      </c>
      <c r="E113" s="124">
        <v>42762</v>
      </c>
      <c r="F113" s="124">
        <v>42816</v>
      </c>
      <c r="G113" s="123">
        <v>899</v>
      </c>
      <c r="H113" s="123">
        <v>41</v>
      </c>
      <c r="I113" s="123">
        <v>852</v>
      </c>
      <c r="J113" s="123">
        <v>530</v>
      </c>
      <c r="K113" s="194">
        <f t="shared" si="1"/>
        <v>54</v>
      </c>
    </row>
    <row r="114" spans="1:11">
      <c r="A114" s="121">
        <v>113</v>
      </c>
      <c r="B114" s="122" t="s">
        <v>2314</v>
      </c>
      <c r="C114" s="122" t="s">
        <v>2333</v>
      </c>
      <c r="D114" s="122" t="s">
        <v>2208</v>
      </c>
      <c r="E114" s="124">
        <v>42762</v>
      </c>
      <c r="F114" s="124">
        <v>42816</v>
      </c>
      <c r="G114" s="123">
        <v>724</v>
      </c>
      <c r="H114" s="123">
        <v>428</v>
      </c>
      <c r="I114" s="123">
        <v>769</v>
      </c>
      <c r="J114" s="123">
        <v>578</v>
      </c>
      <c r="K114" s="194">
        <f t="shared" si="1"/>
        <v>54</v>
      </c>
    </row>
    <row r="115" spans="1:11">
      <c r="A115" s="121">
        <v>114</v>
      </c>
      <c r="B115" s="122" t="s">
        <v>2314</v>
      </c>
      <c r="C115" s="122" t="s">
        <v>2334</v>
      </c>
      <c r="D115" s="122" t="s">
        <v>2208</v>
      </c>
      <c r="E115" s="124">
        <v>42762</v>
      </c>
      <c r="F115" s="124">
        <v>42816</v>
      </c>
      <c r="G115" s="123">
        <v>803</v>
      </c>
      <c r="H115" s="123">
        <v>601</v>
      </c>
      <c r="I115" s="123">
        <v>889</v>
      </c>
      <c r="J115" s="123">
        <v>37</v>
      </c>
      <c r="K115" s="194">
        <f t="shared" si="1"/>
        <v>54</v>
      </c>
    </row>
    <row r="116" spans="1:11">
      <c r="A116" s="121">
        <v>115</v>
      </c>
      <c r="B116" s="122" t="s">
        <v>2314</v>
      </c>
      <c r="C116" s="122" t="s">
        <v>2335</v>
      </c>
      <c r="D116" s="122" t="s">
        <v>2208</v>
      </c>
      <c r="E116" s="124">
        <v>42762</v>
      </c>
      <c r="F116" s="124">
        <v>42816</v>
      </c>
      <c r="G116" s="123">
        <v>693</v>
      </c>
      <c r="H116" s="123">
        <v>553</v>
      </c>
      <c r="I116" s="123">
        <v>778</v>
      </c>
      <c r="J116" s="123">
        <v>522</v>
      </c>
      <c r="K116" s="194">
        <f t="shared" si="1"/>
        <v>54</v>
      </c>
    </row>
    <row r="117" spans="1:11">
      <c r="A117" s="121">
        <v>116</v>
      </c>
      <c r="B117" s="122" t="s">
        <v>2314</v>
      </c>
      <c r="C117" s="122" t="s">
        <v>2336</v>
      </c>
      <c r="D117" s="122" t="s">
        <v>2208</v>
      </c>
      <c r="E117" s="124">
        <v>42762</v>
      </c>
      <c r="F117" s="124">
        <v>42816</v>
      </c>
      <c r="G117" s="123">
        <v>897</v>
      </c>
      <c r="H117" s="123">
        <v>459</v>
      </c>
      <c r="I117" s="123">
        <v>563</v>
      </c>
      <c r="J117" s="123">
        <v>480</v>
      </c>
      <c r="K117" s="194">
        <f t="shared" si="1"/>
        <v>54</v>
      </c>
    </row>
    <row r="118" spans="1:11">
      <c r="A118" s="121">
        <v>117</v>
      </c>
      <c r="B118" s="122" t="s">
        <v>2314</v>
      </c>
      <c r="C118" s="122" t="s">
        <v>2337</v>
      </c>
      <c r="D118" s="122" t="s">
        <v>2208</v>
      </c>
      <c r="E118" s="124">
        <v>42762</v>
      </c>
      <c r="F118" s="124">
        <v>42816</v>
      </c>
      <c r="G118" s="123">
        <v>789</v>
      </c>
      <c r="H118" s="123">
        <v>511</v>
      </c>
      <c r="I118" s="123">
        <v>901</v>
      </c>
      <c r="J118" s="123">
        <v>565</v>
      </c>
      <c r="K118" s="194">
        <f t="shared" si="1"/>
        <v>54</v>
      </c>
    </row>
    <row r="119" spans="1:11">
      <c r="A119" s="121">
        <v>118</v>
      </c>
      <c r="B119" s="122" t="s">
        <v>2314</v>
      </c>
      <c r="C119" s="122" t="s">
        <v>2338</v>
      </c>
      <c r="D119" s="122" t="s">
        <v>2208</v>
      </c>
      <c r="E119" s="124">
        <v>42762</v>
      </c>
      <c r="F119" s="124">
        <v>42816</v>
      </c>
      <c r="G119" s="123">
        <v>681</v>
      </c>
      <c r="H119" s="123">
        <v>495</v>
      </c>
      <c r="I119" s="123">
        <v>791</v>
      </c>
      <c r="J119" s="123">
        <v>544</v>
      </c>
      <c r="K119" s="194">
        <f t="shared" si="1"/>
        <v>54</v>
      </c>
    </row>
    <row r="120" spans="1:11">
      <c r="A120" s="121">
        <v>119</v>
      </c>
      <c r="B120" s="122" t="s">
        <v>2314</v>
      </c>
      <c r="C120" s="122" t="s">
        <v>2339</v>
      </c>
      <c r="D120" s="122" t="s">
        <v>2208</v>
      </c>
      <c r="E120" s="124">
        <v>42762</v>
      </c>
      <c r="F120" s="124">
        <v>42816</v>
      </c>
      <c r="G120" s="123">
        <v>657</v>
      </c>
      <c r="H120" s="123">
        <v>584</v>
      </c>
      <c r="I120" s="123">
        <v>802</v>
      </c>
      <c r="J120" s="123">
        <v>526</v>
      </c>
      <c r="K120" s="194">
        <f t="shared" si="1"/>
        <v>54</v>
      </c>
    </row>
    <row r="121" spans="1:11">
      <c r="A121" s="121">
        <v>120</v>
      </c>
      <c r="B121" s="122" t="s">
        <v>2314</v>
      </c>
      <c r="C121" s="122" t="s">
        <v>2340</v>
      </c>
      <c r="D121" s="122" t="s">
        <v>2208</v>
      </c>
      <c r="E121" s="124">
        <v>42762</v>
      </c>
      <c r="F121" s="124">
        <v>42816</v>
      </c>
      <c r="G121" s="123">
        <v>758</v>
      </c>
      <c r="H121" s="123">
        <v>454</v>
      </c>
      <c r="I121" s="123">
        <v>698</v>
      </c>
      <c r="J121" s="123">
        <v>594</v>
      </c>
      <c r="K121" s="194">
        <f t="shared" si="1"/>
        <v>54</v>
      </c>
    </row>
    <row r="122" spans="1:11">
      <c r="A122" s="121">
        <v>121</v>
      </c>
      <c r="B122" s="122" t="s">
        <v>2314</v>
      </c>
      <c r="C122" s="122" t="s">
        <v>2341</v>
      </c>
      <c r="D122" s="122" t="s">
        <v>2218</v>
      </c>
      <c r="E122" s="124">
        <v>42762</v>
      </c>
      <c r="F122" s="124">
        <v>42816</v>
      </c>
      <c r="G122" s="123">
        <v>666</v>
      </c>
      <c r="H122" s="123">
        <v>532</v>
      </c>
      <c r="I122" s="123">
        <v>825</v>
      </c>
      <c r="J122" s="123">
        <v>564</v>
      </c>
      <c r="K122" s="194">
        <f t="shared" si="1"/>
        <v>54</v>
      </c>
    </row>
    <row r="123" spans="1:11">
      <c r="A123" s="121">
        <v>122</v>
      </c>
      <c r="B123" s="122" t="s">
        <v>2314</v>
      </c>
      <c r="C123" s="122" t="s">
        <v>2342</v>
      </c>
      <c r="D123" s="122" t="s">
        <v>2218</v>
      </c>
      <c r="E123" s="124">
        <v>42762</v>
      </c>
      <c r="F123" s="124">
        <v>42816</v>
      </c>
      <c r="G123" s="123">
        <v>860</v>
      </c>
      <c r="H123" s="123">
        <v>11</v>
      </c>
      <c r="I123" s="123">
        <v>839</v>
      </c>
      <c r="J123" s="123">
        <v>429</v>
      </c>
      <c r="K123" s="194">
        <f t="shared" si="1"/>
        <v>54</v>
      </c>
    </row>
    <row r="124" spans="1:11">
      <c r="A124" s="121">
        <v>123</v>
      </c>
      <c r="B124" s="122" t="s">
        <v>2314</v>
      </c>
      <c r="C124" s="122" t="s">
        <v>2343</v>
      </c>
      <c r="D124" s="122" t="s">
        <v>2218</v>
      </c>
      <c r="E124" s="124">
        <v>42762</v>
      </c>
      <c r="F124" s="124">
        <v>42816</v>
      </c>
      <c r="G124" s="123">
        <v>694</v>
      </c>
      <c r="H124" s="129">
        <v>575</v>
      </c>
      <c r="I124" s="123">
        <v>895</v>
      </c>
      <c r="J124" s="123">
        <v>466</v>
      </c>
      <c r="K124" s="194">
        <f t="shared" si="1"/>
        <v>54</v>
      </c>
    </row>
    <row r="125" spans="1:11">
      <c r="A125" s="121">
        <v>124</v>
      </c>
      <c r="B125" s="122" t="s">
        <v>2314</v>
      </c>
      <c r="C125" s="122" t="s">
        <v>2345</v>
      </c>
      <c r="D125" s="122" t="s">
        <v>2218</v>
      </c>
      <c r="E125" s="124">
        <v>42762</v>
      </c>
      <c r="F125" s="124">
        <v>42816</v>
      </c>
      <c r="G125" s="123">
        <v>867</v>
      </c>
      <c r="H125" s="123">
        <v>39</v>
      </c>
      <c r="I125" s="123">
        <v>682</v>
      </c>
      <c r="J125" s="123">
        <v>471</v>
      </c>
      <c r="K125" s="194">
        <f t="shared" si="1"/>
        <v>54</v>
      </c>
    </row>
    <row r="126" spans="1:11">
      <c r="A126" s="121">
        <v>125</v>
      </c>
      <c r="B126" s="122" t="s">
        <v>2314</v>
      </c>
      <c r="C126" s="122" t="s">
        <v>2346</v>
      </c>
      <c r="D126" s="122" t="s">
        <v>2218</v>
      </c>
      <c r="E126" s="124">
        <v>42762</v>
      </c>
      <c r="F126" s="124">
        <v>42816</v>
      </c>
      <c r="G126" s="123">
        <v>793</v>
      </c>
      <c r="H126" s="123">
        <v>560</v>
      </c>
      <c r="I126" s="123">
        <v>740</v>
      </c>
      <c r="J126" s="123">
        <v>486</v>
      </c>
      <c r="K126" s="194">
        <f t="shared" si="1"/>
        <v>54</v>
      </c>
    </row>
    <row r="127" spans="1:11">
      <c r="A127" s="121">
        <v>126</v>
      </c>
      <c r="B127" s="122" t="s">
        <v>2314</v>
      </c>
      <c r="C127" s="122" t="s">
        <v>2347</v>
      </c>
      <c r="D127" s="122" t="s">
        <v>2218</v>
      </c>
      <c r="E127" s="124">
        <v>42762</v>
      </c>
      <c r="F127" s="124">
        <v>42816</v>
      </c>
      <c r="G127" s="123">
        <v>749</v>
      </c>
      <c r="H127" s="123">
        <v>562</v>
      </c>
      <c r="I127" s="123">
        <v>841</v>
      </c>
      <c r="J127" s="129">
        <v>55</v>
      </c>
      <c r="K127" s="194">
        <f t="shared" si="1"/>
        <v>54</v>
      </c>
    </row>
    <row r="128" spans="1:11">
      <c r="A128" s="121">
        <v>127</v>
      </c>
      <c r="B128" s="122" t="s">
        <v>2314</v>
      </c>
      <c r="C128" s="122" t="s">
        <v>2348</v>
      </c>
      <c r="D128" s="122" t="s">
        <v>2218</v>
      </c>
      <c r="E128" s="124">
        <v>42762</v>
      </c>
      <c r="F128" s="124">
        <v>42816</v>
      </c>
      <c r="G128" s="123">
        <v>898</v>
      </c>
      <c r="H128" s="123">
        <v>506</v>
      </c>
      <c r="I128" s="123">
        <v>687</v>
      </c>
      <c r="J128" s="123">
        <v>424</v>
      </c>
      <c r="K128" s="194">
        <f t="shared" si="1"/>
        <v>54</v>
      </c>
    </row>
    <row r="129" spans="1:11">
      <c r="A129" s="121">
        <v>128</v>
      </c>
      <c r="B129" s="122" t="s">
        <v>2314</v>
      </c>
      <c r="C129" s="122" t="s">
        <v>2349</v>
      </c>
      <c r="D129" s="122" t="s">
        <v>2218</v>
      </c>
      <c r="E129" s="124">
        <v>42762</v>
      </c>
      <c r="F129" s="124">
        <v>42816</v>
      </c>
      <c r="G129" s="123">
        <v>834</v>
      </c>
      <c r="H129" s="123">
        <v>554</v>
      </c>
      <c r="I129" s="123">
        <v>833</v>
      </c>
      <c r="J129" s="123">
        <v>418</v>
      </c>
      <c r="K129" s="194">
        <f t="shared" si="1"/>
        <v>54</v>
      </c>
    </row>
    <row r="130" spans="1:11">
      <c r="A130" s="121">
        <v>129</v>
      </c>
      <c r="B130" s="122" t="s">
        <v>2314</v>
      </c>
      <c r="C130" s="122" t="s">
        <v>2350</v>
      </c>
      <c r="D130" s="122" t="s">
        <v>2227</v>
      </c>
      <c r="E130" s="124">
        <v>42762</v>
      </c>
      <c r="F130" s="124">
        <v>42816</v>
      </c>
      <c r="G130" s="123">
        <v>819</v>
      </c>
      <c r="H130" s="123">
        <v>46</v>
      </c>
      <c r="I130" s="123">
        <v>888</v>
      </c>
      <c r="J130" s="123">
        <v>520</v>
      </c>
      <c r="K130" s="194">
        <f t="shared" si="1"/>
        <v>54</v>
      </c>
    </row>
    <row r="131" spans="1:11">
      <c r="A131" s="121">
        <v>130</v>
      </c>
      <c r="B131" s="122" t="s">
        <v>2314</v>
      </c>
      <c r="C131" s="122" t="s">
        <v>2351</v>
      </c>
      <c r="D131" s="122" t="s">
        <v>2227</v>
      </c>
      <c r="E131" s="124">
        <v>42762</v>
      </c>
      <c r="F131" s="124">
        <v>42816</v>
      </c>
      <c r="G131" s="123">
        <v>830</v>
      </c>
      <c r="H131" s="123">
        <v>585</v>
      </c>
      <c r="I131" s="123">
        <v>708</v>
      </c>
      <c r="J131" s="123">
        <v>433</v>
      </c>
      <c r="K131" s="194">
        <f t="shared" ref="K131:K194" si="2">IFERROR(F131-E131,"")</f>
        <v>54</v>
      </c>
    </row>
    <row r="132" spans="1:11">
      <c r="A132" s="121">
        <v>131</v>
      </c>
      <c r="B132" s="122" t="s">
        <v>2314</v>
      </c>
      <c r="C132" s="122" t="s">
        <v>2352</v>
      </c>
      <c r="D132" s="122" t="s">
        <v>2227</v>
      </c>
      <c r="E132" s="124">
        <v>42762</v>
      </c>
      <c r="F132" s="124">
        <v>42816</v>
      </c>
      <c r="G132" s="123">
        <v>746</v>
      </c>
      <c r="H132" s="123">
        <v>476</v>
      </c>
      <c r="I132" s="123">
        <v>768</v>
      </c>
      <c r="J132" s="123">
        <v>592</v>
      </c>
      <c r="K132" s="194">
        <f t="shared" si="2"/>
        <v>54</v>
      </c>
    </row>
    <row r="133" spans="1:11">
      <c r="A133" s="121">
        <v>132</v>
      </c>
      <c r="B133" s="122" t="s">
        <v>2314</v>
      </c>
      <c r="C133" s="122" t="s">
        <v>2353</v>
      </c>
      <c r="D133" s="122" t="s">
        <v>2227</v>
      </c>
      <c r="E133" s="124">
        <v>42762</v>
      </c>
      <c r="F133" s="124">
        <v>42816</v>
      </c>
      <c r="G133" s="123">
        <v>725</v>
      </c>
      <c r="H133" s="123">
        <v>536</v>
      </c>
      <c r="I133" s="123">
        <v>779</v>
      </c>
      <c r="J133" s="123">
        <v>477</v>
      </c>
      <c r="K133" s="194">
        <f t="shared" si="2"/>
        <v>54</v>
      </c>
    </row>
    <row r="134" spans="1:11">
      <c r="A134" s="121">
        <v>133</v>
      </c>
      <c r="B134" s="122" t="s">
        <v>2314</v>
      </c>
      <c r="C134" s="122" t="s">
        <v>2354</v>
      </c>
      <c r="D134" s="122" t="s">
        <v>2227</v>
      </c>
      <c r="E134" s="124">
        <v>42762</v>
      </c>
      <c r="F134" s="124">
        <v>42816</v>
      </c>
      <c r="G134" s="123">
        <v>846</v>
      </c>
      <c r="H134" s="123">
        <v>524</v>
      </c>
      <c r="I134" s="123">
        <v>799</v>
      </c>
      <c r="J134" s="123">
        <v>597</v>
      </c>
      <c r="K134" s="194">
        <f t="shared" si="2"/>
        <v>54</v>
      </c>
    </row>
    <row r="135" spans="1:11">
      <c r="A135" s="121">
        <v>134</v>
      </c>
      <c r="B135" s="122" t="s">
        <v>2314</v>
      </c>
      <c r="C135" s="122" t="s">
        <v>2355</v>
      </c>
      <c r="D135" s="122" t="s">
        <v>2227</v>
      </c>
      <c r="E135" s="124">
        <v>42762</v>
      </c>
      <c r="F135" s="124">
        <v>42816</v>
      </c>
      <c r="G135" s="123">
        <v>756</v>
      </c>
      <c r="H135" s="123">
        <v>600</v>
      </c>
      <c r="I135" s="123">
        <v>820</v>
      </c>
      <c r="J135" s="123">
        <v>467</v>
      </c>
      <c r="K135" s="194">
        <f t="shared" si="2"/>
        <v>54</v>
      </c>
    </row>
    <row r="136" spans="1:11">
      <c r="A136" s="121">
        <v>135</v>
      </c>
      <c r="B136" s="122" t="s">
        <v>2314</v>
      </c>
      <c r="C136" s="122" t="s">
        <v>2356</v>
      </c>
      <c r="D136" s="122" t="s">
        <v>2227</v>
      </c>
      <c r="E136" s="124">
        <v>42762</v>
      </c>
      <c r="F136" s="124">
        <v>42816</v>
      </c>
      <c r="G136" s="123">
        <v>745</v>
      </c>
      <c r="H136" s="123">
        <v>432</v>
      </c>
      <c r="I136" s="123">
        <v>842</v>
      </c>
      <c r="J136" s="123">
        <v>596</v>
      </c>
      <c r="K136" s="194">
        <f t="shared" si="2"/>
        <v>54</v>
      </c>
    </row>
    <row r="137" spans="1:11">
      <c r="A137" s="121">
        <v>136</v>
      </c>
      <c r="B137" s="122" t="s">
        <v>2314</v>
      </c>
      <c r="C137" s="122" t="s">
        <v>2357</v>
      </c>
      <c r="D137" s="122" t="s">
        <v>2227</v>
      </c>
      <c r="E137" s="124">
        <v>42762</v>
      </c>
      <c r="F137" s="124">
        <v>42816</v>
      </c>
      <c r="G137" s="123">
        <v>832</v>
      </c>
      <c r="H137" s="123">
        <v>474</v>
      </c>
      <c r="I137" s="123">
        <v>747</v>
      </c>
      <c r="J137" s="123">
        <v>543</v>
      </c>
      <c r="K137" s="194">
        <f t="shared" si="2"/>
        <v>54</v>
      </c>
    </row>
    <row r="138" spans="1:11">
      <c r="A138" s="121">
        <v>137</v>
      </c>
      <c r="B138" s="122" t="s">
        <v>2314</v>
      </c>
      <c r="C138" s="122" t="s">
        <v>2358</v>
      </c>
      <c r="D138" s="122" t="s">
        <v>2244</v>
      </c>
      <c r="E138" s="124">
        <v>42762</v>
      </c>
      <c r="F138" s="124">
        <v>42816</v>
      </c>
      <c r="G138" s="123">
        <v>805</v>
      </c>
      <c r="H138" s="123">
        <v>34</v>
      </c>
      <c r="I138" s="123">
        <v>857</v>
      </c>
      <c r="J138" s="123">
        <v>483</v>
      </c>
      <c r="K138" s="194">
        <f t="shared" si="2"/>
        <v>54</v>
      </c>
    </row>
    <row r="139" spans="1:11">
      <c r="A139" s="121">
        <v>138</v>
      </c>
      <c r="B139" s="122" t="s">
        <v>2314</v>
      </c>
      <c r="C139" s="122" t="s">
        <v>2359</v>
      </c>
      <c r="D139" s="122" t="s">
        <v>2244</v>
      </c>
      <c r="E139" s="124">
        <v>42762</v>
      </c>
      <c r="F139" s="124">
        <v>42816</v>
      </c>
      <c r="G139" s="123">
        <v>815</v>
      </c>
      <c r="H139" s="123">
        <v>426</v>
      </c>
      <c r="I139" s="123">
        <v>623</v>
      </c>
      <c r="J139" s="123">
        <v>21</v>
      </c>
      <c r="K139" s="194">
        <f t="shared" si="2"/>
        <v>54</v>
      </c>
    </row>
    <row r="140" spans="1:11">
      <c r="A140" s="121">
        <v>139</v>
      </c>
      <c r="B140" s="122" t="s">
        <v>2314</v>
      </c>
      <c r="C140" s="122" t="s">
        <v>2360</v>
      </c>
      <c r="D140" s="122" t="s">
        <v>2244</v>
      </c>
      <c r="E140" s="124">
        <v>42762</v>
      </c>
      <c r="F140" s="124">
        <v>42816</v>
      </c>
      <c r="G140" s="129">
        <v>798</v>
      </c>
      <c r="H140" s="123">
        <v>563</v>
      </c>
      <c r="I140" s="123">
        <v>880</v>
      </c>
      <c r="J140" s="123">
        <v>538</v>
      </c>
      <c r="K140" s="194">
        <f t="shared" si="2"/>
        <v>54</v>
      </c>
    </row>
    <row r="141" spans="1:11">
      <c r="A141" s="121">
        <v>140</v>
      </c>
      <c r="B141" s="122" t="s">
        <v>2314</v>
      </c>
      <c r="C141" s="122" t="s">
        <v>2362</v>
      </c>
      <c r="D141" s="122" t="s">
        <v>2244</v>
      </c>
      <c r="E141" s="124">
        <v>42762</v>
      </c>
      <c r="F141" s="124">
        <v>42816</v>
      </c>
      <c r="G141" s="123">
        <v>787</v>
      </c>
      <c r="H141" s="123">
        <v>535</v>
      </c>
      <c r="I141" s="123">
        <v>706</v>
      </c>
      <c r="J141" s="123">
        <v>559</v>
      </c>
      <c r="K141" s="194">
        <f t="shared" si="2"/>
        <v>54</v>
      </c>
    </row>
    <row r="142" spans="1:11">
      <c r="A142" s="121">
        <v>141</v>
      </c>
      <c r="B142" s="122" t="s">
        <v>2314</v>
      </c>
      <c r="C142" s="122" t="s">
        <v>2363</v>
      </c>
      <c r="D142" s="122" t="s">
        <v>2244</v>
      </c>
      <c r="E142" s="124">
        <v>42762</v>
      </c>
      <c r="F142" s="124">
        <v>42816</v>
      </c>
      <c r="G142" s="123">
        <v>900</v>
      </c>
      <c r="H142" s="123">
        <v>581</v>
      </c>
      <c r="I142" s="123">
        <v>775</v>
      </c>
      <c r="J142" s="123">
        <v>465</v>
      </c>
      <c r="K142" s="194">
        <f t="shared" si="2"/>
        <v>54</v>
      </c>
    </row>
    <row r="143" spans="1:11">
      <c r="A143" s="121">
        <v>142</v>
      </c>
      <c r="B143" s="122" t="s">
        <v>2314</v>
      </c>
      <c r="C143" s="122" t="s">
        <v>2364</v>
      </c>
      <c r="D143" s="122" t="s">
        <v>2244</v>
      </c>
      <c r="E143" s="124">
        <v>42762</v>
      </c>
      <c r="F143" s="124">
        <v>42816</v>
      </c>
      <c r="G143" s="123">
        <v>817</v>
      </c>
      <c r="H143" s="123">
        <v>460</v>
      </c>
      <c r="I143" s="123">
        <v>850</v>
      </c>
      <c r="J143" s="123">
        <v>503</v>
      </c>
      <c r="K143" s="194">
        <f t="shared" si="2"/>
        <v>54</v>
      </c>
    </row>
    <row r="144" spans="1:11">
      <c r="A144" s="121">
        <v>143</v>
      </c>
      <c r="B144" s="122" t="s">
        <v>2314</v>
      </c>
      <c r="C144" s="122" t="s">
        <v>2365</v>
      </c>
      <c r="D144" s="122" t="s">
        <v>2244</v>
      </c>
      <c r="E144" s="124">
        <v>42762</v>
      </c>
      <c r="F144" s="124">
        <v>42816</v>
      </c>
      <c r="G144" s="123">
        <v>836</v>
      </c>
      <c r="H144" s="123">
        <v>456</v>
      </c>
      <c r="I144" s="123">
        <v>697</v>
      </c>
      <c r="J144" s="123">
        <v>567</v>
      </c>
      <c r="K144" s="194">
        <f t="shared" si="2"/>
        <v>54</v>
      </c>
    </row>
    <row r="145" spans="1:11">
      <c r="A145" s="121">
        <v>144</v>
      </c>
      <c r="B145" s="122" t="s">
        <v>2314</v>
      </c>
      <c r="C145" s="122" t="s">
        <v>2366</v>
      </c>
      <c r="D145" s="122" t="s">
        <v>2244</v>
      </c>
      <c r="E145" s="124">
        <v>42762</v>
      </c>
      <c r="F145" s="124">
        <v>42816</v>
      </c>
      <c r="G145" s="123">
        <v>784</v>
      </c>
      <c r="H145" s="123">
        <v>571</v>
      </c>
      <c r="I145" s="123">
        <v>894</v>
      </c>
      <c r="J145" s="123">
        <v>15</v>
      </c>
      <c r="K145" s="194">
        <f t="shared" si="2"/>
        <v>54</v>
      </c>
    </row>
    <row r="146" spans="1:11">
      <c r="A146" s="121">
        <v>145</v>
      </c>
      <c r="B146" s="122" t="s">
        <v>2314</v>
      </c>
      <c r="C146" s="122" t="s">
        <v>2367</v>
      </c>
      <c r="D146" s="122" t="s">
        <v>2256</v>
      </c>
      <c r="E146" s="124">
        <v>42762</v>
      </c>
      <c r="F146" s="124">
        <v>42815</v>
      </c>
      <c r="G146" s="123">
        <v>902</v>
      </c>
      <c r="H146" s="123">
        <v>27</v>
      </c>
      <c r="I146" s="129">
        <v>653</v>
      </c>
      <c r="J146" s="123">
        <v>40</v>
      </c>
      <c r="K146" s="194">
        <f t="shared" si="2"/>
        <v>53</v>
      </c>
    </row>
    <row r="147" spans="1:11">
      <c r="A147" s="121">
        <v>146</v>
      </c>
      <c r="B147" s="122" t="s">
        <v>2314</v>
      </c>
      <c r="C147" s="122" t="s">
        <v>2368</v>
      </c>
      <c r="D147" s="122" t="s">
        <v>2256</v>
      </c>
      <c r="E147" s="124">
        <v>42762</v>
      </c>
      <c r="F147" s="124">
        <v>42815</v>
      </c>
      <c r="G147" s="123">
        <v>689</v>
      </c>
      <c r="H147" s="123">
        <v>492</v>
      </c>
      <c r="I147" s="123">
        <v>762</v>
      </c>
      <c r="J147" s="123">
        <v>468</v>
      </c>
      <c r="K147" s="194">
        <f t="shared" si="2"/>
        <v>53</v>
      </c>
    </row>
    <row r="148" spans="1:11">
      <c r="A148" s="121">
        <v>147</v>
      </c>
      <c r="B148" s="122" t="s">
        <v>2314</v>
      </c>
      <c r="C148" s="122" t="s">
        <v>2369</v>
      </c>
      <c r="D148" s="122" t="s">
        <v>2256</v>
      </c>
      <c r="E148" s="124">
        <v>42762</v>
      </c>
      <c r="F148" s="124">
        <v>42816</v>
      </c>
      <c r="G148" s="123">
        <v>678</v>
      </c>
      <c r="H148" s="123">
        <v>573</v>
      </c>
      <c r="I148" s="123">
        <v>878</v>
      </c>
      <c r="J148" s="123">
        <v>582</v>
      </c>
      <c r="K148" s="194">
        <f t="shared" si="2"/>
        <v>54</v>
      </c>
    </row>
    <row r="149" spans="1:11">
      <c r="A149" s="121">
        <v>148</v>
      </c>
      <c r="B149" s="122" t="s">
        <v>2314</v>
      </c>
      <c r="C149" s="122" t="s">
        <v>2370</v>
      </c>
      <c r="D149" s="122" t="s">
        <v>2256</v>
      </c>
      <c r="E149" s="124">
        <v>42762</v>
      </c>
      <c r="F149" s="124">
        <v>42816</v>
      </c>
      <c r="G149" s="123">
        <v>835</v>
      </c>
      <c r="H149" s="123">
        <v>472</v>
      </c>
      <c r="I149" s="123">
        <v>807</v>
      </c>
      <c r="J149" s="123">
        <v>20</v>
      </c>
      <c r="K149" s="194">
        <f t="shared" si="2"/>
        <v>54</v>
      </c>
    </row>
    <row r="150" spans="1:11">
      <c r="A150" s="121">
        <v>149</v>
      </c>
      <c r="B150" s="122" t="s">
        <v>2314</v>
      </c>
      <c r="C150" s="122" t="s">
        <v>2371</v>
      </c>
      <c r="D150" s="122" t="s">
        <v>2256</v>
      </c>
      <c r="E150" s="124">
        <v>42762</v>
      </c>
      <c r="F150" s="124">
        <v>42816</v>
      </c>
      <c r="G150" s="129">
        <v>733</v>
      </c>
      <c r="H150" s="123">
        <v>545</v>
      </c>
      <c r="I150" s="123">
        <v>696</v>
      </c>
      <c r="J150" s="123">
        <v>533</v>
      </c>
      <c r="K150" s="194">
        <f t="shared" si="2"/>
        <v>54</v>
      </c>
    </row>
    <row r="151" spans="1:11">
      <c r="A151" s="121">
        <v>150</v>
      </c>
      <c r="B151" s="122" t="s">
        <v>2314</v>
      </c>
      <c r="C151" s="122" t="s">
        <v>2372</v>
      </c>
      <c r="D151" s="122" t="s">
        <v>2256</v>
      </c>
      <c r="E151" s="124">
        <v>42762</v>
      </c>
      <c r="F151" s="124">
        <v>42816</v>
      </c>
      <c r="G151" s="123">
        <v>658</v>
      </c>
      <c r="H151" s="123">
        <v>7</v>
      </c>
      <c r="I151" s="123">
        <v>801</v>
      </c>
      <c r="J151" s="123">
        <v>572</v>
      </c>
      <c r="K151" s="194">
        <f t="shared" si="2"/>
        <v>54</v>
      </c>
    </row>
    <row r="152" spans="1:11">
      <c r="A152" s="121">
        <v>151</v>
      </c>
      <c r="B152" s="122" t="s">
        <v>2314</v>
      </c>
      <c r="C152" s="122" t="s">
        <v>2373</v>
      </c>
      <c r="D152" s="122" t="s">
        <v>2256</v>
      </c>
      <c r="E152" s="124">
        <v>42762</v>
      </c>
      <c r="F152" s="124">
        <v>42816</v>
      </c>
      <c r="G152" s="123">
        <v>567</v>
      </c>
      <c r="H152" s="123">
        <v>447</v>
      </c>
      <c r="I152" s="123">
        <v>647</v>
      </c>
      <c r="J152" s="123">
        <v>504</v>
      </c>
      <c r="K152" s="194">
        <f t="shared" si="2"/>
        <v>54</v>
      </c>
    </row>
    <row r="153" spans="1:11">
      <c r="A153" s="121">
        <v>152</v>
      </c>
      <c r="B153" s="122" t="s">
        <v>2314</v>
      </c>
      <c r="C153" s="122" t="s">
        <v>2374</v>
      </c>
      <c r="D153" s="122" t="s">
        <v>2256</v>
      </c>
      <c r="E153" s="124">
        <v>42762</v>
      </c>
      <c r="F153" s="124">
        <v>42816</v>
      </c>
      <c r="G153" s="123">
        <v>853</v>
      </c>
      <c r="H153" s="123">
        <v>591</v>
      </c>
      <c r="I153" s="123">
        <v>744</v>
      </c>
      <c r="J153" s="123">
        <v>579</v>
      </c>
      <c r="K153" s="194">
        <f t="shared" si="2"/>
        <v>54</v>
      </c>
    </row>
    <row r="154" spans="1:11">
      <c r="A154" s="121">
        <v>153</v>
      </c>
      <c r="B154" s="122" t="s">
        <v>2314</v>
      </c>
      <c r="C154" s="122" t="s">
        <v>2376</v>
      </c>
      <c r="D154" s="122" t="s">
        <v>2265</v>
      </c>
      <c r="E154" s="124">
        <v>42762</v>
      </c>
      <c r="F154" s="124">
        <v>42816</v>
      </c>
      <c r="G154" s="123">
        <v>800</v>
      </c>
      <c r="H154" s="123">
        <v>479</v>
      </c>
      <c r="I154" s="123">
        <v>885</v>
      </c>
      <c r="J154" s="123">
        <v>440</v>
      </c>
      <c r="K154" s="194">
        <f t="shared" si="2"/>
        <v>54</v>
      </c>
    </row>
    <row r="155" spans="1:11">
      <c r="A155" s="121">
        <v>154</v>
      </c>
      <c r="B155" s="122" t="s">
        <v>2314</v>
      </c>
      <c r="C155" s="122" t="s">
        <v>2377</v>
      </c>
      <c r="D155" s="122" t="s">
        <v>2265</v>
      </c>
      <c r="E155" s="124">
        <v>42762</v>
      </c>
      <c r="F155" s="124">
        <v>42816</v>
      </c>
      <c r="G155" s="123">
        <v>675</v>
      </c>
      <c r="H155" s="123">
        <v>493</v>
      </c>
      <c r="I155" s="123">
        <v>684</v>
      </c>
      <c r="J155" s="123">
        <v>485</v>
      </c>
      <c r="K155" s="194">
        <f t="shared" si="2"/>
        <v>54</v>
      </c>
    </row>
    <row r="156" spans="1:11">
      <c r="A156" s="121">
        <v>155</v>
      </c>
      <c r="B156" s="122" t="s">
        <v>2314</v>
      </c>
      <c r="C156" s="122" t="s">
        <v>2378</v>
      </c>
      <c r="D156" s="122" t="s">
        <v>2265</v>
      </c>
      <c r="E156" s="124">
        <v>42762</v>
      </c>
      <c r="F156" s="124">
        <v>42816</v>
      </c>
      <c r="G156" s="123">
        <v>859</v>
      </c>
      <c r="H156" s="123">
        <v>484</v>
      </c>
      <c r="I156" s="123">
        <v>827</v>
      </c>
      <c r="J156" s="123">
        <v>556</v>
      </c>
      <c r="K156" s="194">
        <f t="shared" si="2"/>
        <v>54</v>
      </c>
    </row>
    <row r="157" spans="1:11">
      <c r="A157" s="121">
        <v>156</v>
      </c>
      <c r="B157" s="122" t="s">
        <v>2314</v>
      </c>
      <c r="C157" s="122" t="s">
        <v>2379</v>
      </c>
      <c r="D157" s="122" t="s">
        <v>2265</v>
      </c>
      <c r="E157" s="124">
        <v>42762</v>
      </c>
      <c r="F157" s="124">
        <v>42816</v>
      </c>
      <c r="G157" s="123">
        <v>654</v>
      </c>
      <c r="H157" s="123">
        <v>598</v>
      </c>
      <c r="I157" s="123">
        <v>667</v>
      </c>
      <c r="J157" s="123">
        <v>464</v>
      </c>
      <c r="K157" s="194">
        <f t="shared" si="2"/>
        <v>54</v>
      </c>
    </row>
    <row r="158" spans="1:11">
      <c r="A158" s="121">
        <v>157</v>
      </c>
      <c r="B158" s="122" t="s">
        <v>2314</v>
      </c>
      <c r="C158" s="122" t="s">
        <v>2381</v>
      </c>
      <c r="D158" s="122" t="s">
        <v>2265</v>
      </c>
      <c r="E158" s="124">
        <v>42762</v>
      </c>
      <c r="F158" s="124">
        <v>42816</v>
      </c>
      <c r="G158" s="123">
        <v>890</v>
      </c>
      <c r="H158" s="123">
        <v>30</v>
      </c>
      <c r="I158" s="123">
        <v>777</v>
      </c>
      <c r="J158" s="123">
        <v>35</v>
      </c>
      <c r="K158" s="194">
        <f t="shared" si="2"/>
        <v>54</v>
      </c>
    </row>
    <row r="159" spans="1:11">
      <c r="A159" s="121">
        <v>158</v>
      </c>
      <c r="B159" s="122" t="s">
        <v>2314</v>
      </c>
      <c r="C159" s="122" t="s">
        <v>2382</v>
      </c>
      <c r="D159" s="122" t="s">
        <v>2265</v>
      </c>
      <c r="E159" s="124">
        <v>42762</v>
      </c>
      <c r="F159" s="124">
        <v>42816</v>
      </c>
      <c r="G159" s="123">
        <v>576</v>
      </c>
      <c r="H159" s="123">
        <v>16</v>
      </c>
      <c r="I159" s="123">
        <v>884</v>
      </c>
      <c r="J159" s="123">
        <v>570</v>
      </c>
      <c r="K159" s="194">
        <f t="shared" si="2"/>
        <v>54</v>
      </c>
    </row>
    <row r="160" spans="1:11">
      <c r="A160" s="169">
        <v>159</v>
      </c>
      <c r="B160" s="170" t="s">
        <v>2314</v>
      </c>
      <c r="C160" s="170" t="s">
        <v>2383</v>
      </c>
      <c r="D160" s="170" t="s">
        <v>2265</v>
      </c>
      <c r="E160" s="171">
        <v>42762</v>
      </c>
      <c r="F160" s="171">
        <v>42816</v>
      </c>
      <c r="G160" s="169">
        <v>829</v>
      </c>
      <c r="H160" s="169">
        <v>499</v>
      </c>
      <c r="I160" s="169">
        <v>731</v>
      </c>
      <c r="J160" s="169">
        <v>439</v>
      </c>
      <c r="K160" s="194">
        <f t="shared" si="2"/>
        <v>54</v>
      </c>
    </row>
    <row r="161" spans="1:11">
      <c r="A161" s="121">
        <v>160</v>
      </c>
      <c r="B161" s="122" t="s">
        <v>2314</v>
      </c>
      <c r="C161" s="122" t="s">
        <v>2384</v>
      </c>
      <c r="D161" s="122" t="s">
        <v>2265</v>
      </c>
      <c r="E161" s="124">
        <v>42762</v>
      </c>
      <c r="F161" s="124">
        <v>42816</v>
      </c>
      <c r="G161" s="123">
        <v>809</v>
      </c>
      <c r="H161" s="123">
        <v>421</v>
      </c>
      <c r="I161" s="123">
        <v>876</v>
      </c>
      <c r="J161" s="123">
        <v>461</v>
      </c>
      <c r="K161" s="194">
        <f t="shared" si="2"/>
        <v>54</v>
      </c>
    </row>
    <row r="162" spans="1:11">
      <c r="A162" s="121">
        <v>161</v>
      </c>
      <c r="B162" s="122" t="s">
        <v>2385</v>
      </c>
      <c r="C162" s="122" t="s">
        <v>2386</v>
      </c>
      <c r="D162" s="122" t="s">
        <v>2278</v>
      </c>
      <c r="E162" s="124">
        <v>42763</v>
      </c>
      <c r="F162" s="124">
        <v>42814</v>
      </c>
      <c r="G162" s="123">
        <v>252</v>
      </c>
      <c r="H162" s="123">
        <v>124</v>
      </c>
      <c r="I162" s="123">
        <v>351</v>
      </c>
      <c r="J162" s="123">
        <v>253</v>
      </c>
      <c r="K162" s="194">
        <f t="shared" si="2"/>
        <v>51</v>
      </c>
    </row>
    <row r="163" spans="1:11">
      <c r="A163" s="121">
        <v>162</v>
      </c>
      <c r="B163" s="122" t="s">
        <v>2385</v>
      </c>
      <c r="C163" s="122" t="s">
        <v>2387</v>
      </c>
      <c r="D163" s="122" t="s">
        <v>2278</v>
      </c>
      <c r="E163" s="124">
        <v>42763</v>
      </c>
      <c r="F163" s="124">
        <v>42814</v>
      </c>
      <c r="G163" s="123">
        <v>385</v>
      </c>
      <c r="H163" s="123">
        <v>202</v>
      </c>
      <c r="I163" s="123">
        <v>442</v>
      </c>
      <c r="J163" s="123">
        <v>285</v>
      </c>
      <c r="K163" s="194">
        <f t="shared" si="2"/>
        <v>51</v>
      </c>
    </row>
    <row r="164" spans="1:11">
      <c r="A164" s="121">
        <v>163</v>
      </c>
      <c r="B164" s="122" t="s">
        <v>2385</v>
      </c>
      <c r="C164" s="122" t="s">
        <v>2388</v>
      </c>
      <c r="D164" s="122" t="s">
        <v>2278</v>
      </c>
      <c r="E164" s="124">
        <v>42763</v>
      </c>
      <c r="F164" s="124">
        <v>42814</v>
      </c>
      <c r="G164" s="123">
        <v>202</v>
      </c>
      <c r="H164" s="123">
        <v>96</v>
      </c>
      <c r="I164" s="123">
        <v>743</v>
      </c>
      <c r="J164" s="123">
        <v>341</v>
      </c>
      <c r="K164" s="194">
        <f t="shared" si="2"/>
        <v>51</v>
      </c>
    </row>
    <row r="165" spans="1:11">
      <c r="A165" s="121">
        <v>164</v>
      </c>
      <c r="B165" s="122" t="s">
        <v>2385</v>
      </c>
      <c r="C165" s="122" t="s">
        <v>2389</v>
      </c>
      <c r="D165" s="122" t="s">
        <v>2278</v>
      </c>
      <c r="E165" s="124">
        <v>42763</v>
      </c>
      <c r="F165" s="124">
        <v>42814</v>
      </c>
      <c r="G165" s="123">
        <v>686</v>
      </c>
      <c r="H165" s="123">
        <v>317</v>
      </c>
      <c r="I165" s="123">
        <v>390</v>
      </c>
      <c r="J165" s="129">
        <v>264</v>
      </c>
      <c r="K165" s="194">
        <f t="shared" si="2"/>
        <v>51</v>
      </c>
    </row>
    <row r="166" spans="1:11">
      <c r="A166" s="121">
        <v>165</v>
      </c>
      <c r="B166" s="122" t="s">
        <v>2385</v>
      </c>
      <c r="C166" s="122" t="s">
        <v>2390</v>
      </c>
      <c r="D166" s="122" t="s">
        <v>2278</v>
      </c>
      <c r="E166" s="124">
        <v>42763</v>
      </c>
      <c r="F166" s="124">
        <v>42814</v>
      </c>
      <c r="G166" s="123">
        <v>368</v>
      </c>
      <c r="H166" s="123">
        <v>331</v>
      </c>
      <c r="I166" s="123">
        <v>810</v>
      </c>
      <c r="J166" s="123">
        <v>411</v>
      </c>
      <c r="K166" s="194">
        <f t="shared" si="2"/>
        <v>51</v>
      </c>
    </row>
    <row r="167" spans="1:11">
      <c r="A167" s="121">
        <v>166</v>
      </c>
      <c r="B167" s="122" t="s">
        <v>2385</v>
      </c>
      <c r="C167" s="122" t="s">
        <v>2391</v>
      </c>
      <c r="D167" s="122" t="s">
        <v>2278</v>
      </c>
      <c r="E167" s="124">
        <v>42763</v>
      </c>
      <c r="F167" s="124">
        <v>42814</v>
      </c>
      <c r="G167" s="123">
        <v>334</v>
      </c>
      <c r="H167" s="123">
        <v>287</v>
      </c>
      <c r="I167" s="123">
        <v>287</v>
      </c>
      <c r="J167" s="123">
        <v>259</v>
      </c>
      <c r="K167" s="194">
        <f t="shared" si="2"/>
        <v>51</v>
      </c>
    </row>
    <row r="168" spans="1:11">
      <c r="A168" s="121">
        <v>167</v>
      </c>
      <c r="B168" s="122" t="s">
        <v>2385</v>
      </c>
      <c r="C168" s="122" t="s">
        <v>2393</v>
      </c>
      <c r="D168" s="122" t="s">
        <v>2278</v>
      </c>
      <c r="E168" s="124">
        <v>42763</v>
      </c>
      <c r="F168" s="124">
        <v>42814</v>
      </c>
      <c r="G168" s="123">
        <v>429</v>
      </c>
      <c r="H168" s="123">
        <v>255</v>
      </c>
      <c r="I168" s="123">
        <v>443</v>
      </c>
      <c r="J168" s="123">
        <v>215</v>
      </c>
      <c r="K168" s="194">
        <f t="shared" si="2"/>
        <v>51</v>
      </c>
    </row>
    <row r="169" spans="1:11">
      <c r="A169" s="121">
        <v>168</v>
      </c>
      <c r="B169" s="122" t="s">
        <v>2385</v>
      </c>
      <c r="C169" s="122" t="s">
        <v>2394</v>
      </c>
      <c r="D169" s="122" t="s">
        <v>2278</v>
      </c>
      <c r="E169" s="124">
        <v>42763</v>
      </c>
      <c r="F169" s="124">
        <v>42814</v>
      </c>
      <c r="G169" s="123">
        <v>461</v>
      </c>
      <c r="H169" s="123">
        <v>534</v>
      </c>
      <c r="I169" s="123">
        <v>680</v>
      </c>
      <c r="J169" s="123">
        <v>322</v>
      </c>
      <c r="K169" s="194">
        <f t="shared" si="2"/>
        <v>51</v>
      </c>
    </row>
    <row r="170" spans="1:11">
      <c r="A170" s="121">
        <v>169</v>
      </c>
      <c r="B170" s="122" t="s">
        <v>2385</v>
      </c>
      <c r="C170" s="122" t="s">
        <v>2395</v>
      </c>
      <c r="D170" s="122" t="s">
        <v>2287</v>
      </c>
      <c r="E170" s="124">
        <v>42763</v>
      </c>
      <c r="F170" s="124">
        <v>42814</v>
      </c>
      <c r="G170" s="123">
        <v>425</v>
      </c>
      <c r="H170" s="123">
        <v>453</v>
      </c>
      <c r="I170" s="123">
        <v>496</v>
      </c>
      <c r="J170" s="123">
        <v>403</v>
      </c>
      <c r="K170" s="194">
        <f t="shared" si="2"/>
        <v>51</v>
      </c>
    </row>
    <row r="171" spans="1:11">
      <c r="A171" s="121">
        <v>170</v>
      </c>
      <c r="B171" s="122" t="s">
        <v>2385</v>
      </c>
      <c r="C171" s="122" t="s">
        <v>2396</v>
      </c>
      <c r="D171" s="122" t="s">
        <v>2287</v>
      </c>
      <c r="E171" s="124">
        <v>42763</v>
      </c>
      <c r="F171" s="124">
        <v>42814</v>
      </c>
      <c r="G171" s="123">
        <v>433</v>
      </c>
      <c r="H171" s="123">
        <v>330</v>
      </c>
      <c r="I171" s="123">
        <v>674</v>
      </c>
      <c r="J171" s="123">
        <v>583</v>
      </c>
      <c r="K171" s="194">
        <f t="shared" si="2"/>
        <v>51</v>
      </c>
    </row>
    <row r="172" spans="1:11">
      <c r="A172" s="121">
        <v>171</v>
      </c>
      <c r="B172" s="122" t="s">
        <v>2385</v>
      </c>
      <c r="C172" s="122" t="s">
        <v>2397</v>
      </c>
      <c r="D172" s="122" t="s">
        <v>2287</v>
      </c>
      <c r="E172" s="124">
        <v>42763</v>
      </c>
      <c r="F172" s="124">
        <v>42814</v>
      </c>
      <c r="G172" s="123">
        <v>656</v>
      </c>
      <c r="H172" s="123">
        <v>558</v>
      </c>
      <c r="I172" s="123">
        <v>504</v>
      </c>
      <c r="J172" s="123">
        <v>451</v>
      </c>
      <c r="K172" s="194">
        <f t="shared" si="2"/>
        <v>51</v>
      </c>
    </row>
    <row r="173" spans="1:11">
      <c r="A173" s="121">
        <v>172</v>
      </c>
      <c r="B173" s="122" t="s">
        <v>2385</v>
      </c>
      <c r="C173" s="122" t="s">
        <v>2398</v>
      </c>
      <c r="D173" s="122" t="s">
        <v>2287</v>
      </c>
      <c r="E173" s="124">
        <v>42763</v>
      </c>
      <c r="F173" s="124">
        <v>42814</v>
      </c>
      <c r="G173" s="123">
        <v>281</v>
      </c>
      <c r="H173" s="123">
        <v>157</v>
      </c>
      <c r="I173" s="123">
        <v>439</v>
      </c>
      <c r="J173" s="123">
        <v>353</v>
      </c>
      <c r="K173" s="194">
        <f t="shared" si="2"/>
        <v>51</v>
      </c>
    </row>
    <row r="174" spans="1:11">
      <c r="A174" s="121">
        <v>173</v>
      </c>
      <c r="B174" s="122" t="s">
        <v>2385</v>
      </c>
      <c r="C174" s="122" t="s">
        <v>2399</v>
      </c>
      <c r="D174" s="122" t="s">
        <v>2287</v>
      </c>
      <c r="E174" s="124">
        <v>42763</v>
      </c>
      <c r="F174" s="124">
        <v>42814</v>
      </c>
      <c r="G174" s="123">
        <v>216</v>
      </c>
      <c r="H174" s="123">
        <v>57</v>
      </c>
      <c r="I174" s="123">
        <v>865</v>
      </c>
      <c r="J174" s="123">
        <v>105</v>
      </c>
      <c r="K174" s="194">
        <f t="shared" si="2"/>
        <v>51</v>
      </c>
    </row>
    <row r="175" spans="1:11">
      <c r="A175" s="121">
        <v>174</v>
      </c>
      <c r="B175" s="122" t="s">
        <v>2385</v>
      </c>
      <c r="C175" s="122" t="s">
        <v>2400</v>
      </c>
      <c r="D175" s="122" t="s">
        <v>2287</v>
      </c>
      <c r="E175" s="124">
        <v>42763</v>
      </c>
      <c r="F175" s="124">
        <v>42814</v>
      </c>
      <c r="G175" s="123">
        <v>655</v>
      </c>
      <c r="H175" s="123">
        <v>307</v>
      </c>
      <c r="I175" s="123">
        <v>736</v>
      </c>
      <c r="J175" s="123">
        <v>384</v>
      </c>
      <c r="K175" s="194">
        <f t="shared" si="2"/>
        <v>51</v>
      </c>
    </row>
    <row r="176" spans="1:11">
      <c r="A176" s="121">
        <v>175</v>
      </c>
      <c r="B176" s="122" t="s">
        <v>2385</v>
      </c>
      <c r="C176" s="122" t="s">
        <v>2401</v>
      </c>
      <c r="D176" s="122" t="s">
        <v>2287</v>
      </c>
      <c r="E176" s="124">
        <v>42763</v>
      </c>
      <c r="F176" s="124">
        <v>42814</v>
      </c>
      <c r="G176" s="123">
        <v>457</v>
      </c>
      <c r="H176" s="123">
        <v>458</v>
      </c>
      <c r="I176" s="123">
        <v>792</v>
      </c>
      <c r="J176" s="123">
        <v>481</v>
      </c>
      <c r="K176" s="194">
        <f t="shared" si="2"/>
        <v>51</v>
      </c>
    </row>
    <row r="177" spans="1:11">
      <c r="A177" s="121">
        <v>176</v>
      </c>
      <c r="B177" s="122" t="s">
        <v>2385</v>
      </c>
      <c r="C177" s="122" t="s">
        <v>2402</v>
      </c>
      <c r="D177" s="122" t="s">
        <v>2287</v>
      </c>
      <c r="E177" s="124">
        <v>42763</v>
      </c>
      <c r="F177" s="124">
        <v>42814</v>
      </c>
      <c r="G177" s="123">
        <v>454</v>
      </c>
      <c r="H177" s="123">
        <v>326</v>
      </c>
      <c r="I177" s="123">
        <v>470</v>
      </c>
      <c r="J177" s="123">
        <v>490</v>
      </c>
      <c r="K177" s="194">
        <f t="shared" si="2"/>
        <v>51</v>
      </c>
    </row>
    <row r="178" spans="1:11">
      <c r="A178" s="121">
        <v>177</v>
      </c>
      <c r="B178" s="122" t="s">
        <v>2385</v>
      </c>
      <c r="C178" s="122" t="s">
        <v>2403</v>
      </c>
      <c r="D178" s="122" t="s">
        <v>2296</v>
      </c>
      <c r="E178" s="124">
        <v>42763</v>
      </c>
      <c r="F178" s="124">
        <v>42815</v>
      </c>
      <c r="G178" s="123">
        <v>362</v>
      </c>
      <c r="H178" s="123">
        <v>262</v>
      </c>
      <c r="I178" s="123">
        <v>483</v>
      </c>
      <c r="J178" s="123">
        <v>470</v>
      </c>
      <c r="K178" s="194">
        <f t="shared" si="2"/>
        <v>52</v>
      </c>
    </row>
    <row r="179" spans="1:11">
      <c r="A179" s="121">
        <v>178</v>
      </c>
      <c r="B179" s="122" t="s">
        <v>2385</v>
      </c>
      <c r="C179" s="122" t="s">
        <v>2404</v>
      </c>
      <c r="D179" s="122" t="s">
        <v>2296</v>
      </c>
      <c r="E179" s="124">
        <v>42763</v>
      </c>
      <c r="F179" s="124">
        <v>42815</v>
      </c>
      <c r="G179" s="129">
        <v>781</v>
      </c>
      <c r="H179" s="123">
        <v>309</v>
      </c>
      <c r="I179" s="123">
        <v>893</v>
      </c>
      <c r="J179" s="123">
        <v>488</v>
      </c>
      <c r="K179" s="194">
        <f t="shared" si="2"/>
        <v>52</v>
      </c>
    </row>
    <row r="180" spans="1:11">
      <c r="A180" s="121">
        <v>179</v>
      </c>
      <c r="B180" s="122" t="s">
        <v>2385</v>
      </c>
      <c r="C180" s="122" t="s">
        <v>2405</v>
      </c>
      <c r="D180" s="122" t="s">
        <v>2296</v>
      </c>
      <c r="E180" s="124">
        <v>42763</v>
      </c>
      <c r="F180" s="124">
        <v>42815</v>
      </c>
      <c r="G180" s="123">
        <v>451</v>
      </c>
      <c r="H180" s="123">
        <v>32</v>
      </c>
      <c r="I180" s="123">
        <v>826</v>
      </c>
      <c r="J180" s="123">
        <v>273</v>
      </c>
      <c r="K180" s="194">
        <f t="shared" si="2"/>
        <v>52</v>
      </c>
    </row>
    <row r="181" spans="1:11">
      <c r="A181" s="121">
        <v>180</v>
      </c>
      <c r="B181" s="122" t="s">
        <v>2385</v>
      </c>
      <c r="C181" s="122" t="s">
        <v>2406</v>
      </c>
      <c r="D181" s="122" t="s">
        <v>2296</v>
      </c>
      <c r="E181" s="124">
        <v>42763</v>
      </c>
      <c r="F181" s="124">
        <v>42815</v>
      </c>
      <c r="G181" s="123">
        <v>360</v>
      </c>
      <c r="H181" s="123">
        <v>268</v>
      </c>
      <c r="I181" s="123">
        <v>783</v>
      </c>
      <c r="J181" s="123">
        <v>301</v>
      </c>
      <c r="K181" s="194">
        <f t="shared" si="2"/>
        <v>52</v>
      </c>
    </row>
    <row r="182" spans="1:11">
      <c r="A182" s="121">
        <v>181</v>
      </c>
      <c r="B182" s="122" t="s">
        <v>2385</v>
      </c>
      <c r="C182" s="122" t="s">
        <v>2407</v>
      </c>
      <c r="D182" s="122" t="s">
        <v>2296</v>
      </c>
      <c r="E182" s="124">
        <v>42763</v>
      </c>
      <c r="F182" s="124">
        <v>42815</v>
      </c>
      <c r="G182" s="123">
        <v>458</v>
      </c>
      <c r="H182" s="123">
        <v>587</v>
      </c>
      <c r="I182" s="123">
        <v>551</v>
      </c>
      <c r="J182" s="123">
        <v>291</v>
      </c>
      <c r="K182" s="194">
        <f t="shared" si="2"/>
        <v>52</v>
      </c>
    </row>
    <row r="183" spans="1:11">
      <c r="A183" s="121">
        <v>182</v>
      </c>
      <c r="B183" s="122" t="s">
        <v>2385</v>
      </c>
      <c r="C183" s="122" t="s">
        <v>2408</v>
      </c>
      <c r="D183" s="122" t="s">
        <v>2296</v>
      </c>
      <c r="E183" s="124">
        <v>42763</v>
      </c>
      <c r="F183" s="124">
        <v>42815</v>
      </c>
      <c r="G183" s="123">
        <v>403</v>
      </c>
      <c r="H183" s="123">
        <v>444</v>
      </c>
      <c r="I183" s="123">
        <v>818</v>
      </c>
      <c r="J183" s="123">
        <v>537</v>
      </c>
      <c r="K183" s="194">
        <f t="shared" si="2"/>
        <v>52</v>
      </c>
    </row>
    <row r="184" spans="1:11">
      <c r="A184" s="121">
        <v>183</v>
      </c>
      <c r="B184" s="122" t="s">
        <v>2385</v>
      </c>
      <c r="C184" s="122" t="s">
        <v>2409</v>
      </c>
      <c r="D184" s="122" t="s">
        <v>2296</v>
      </c>
      <c r="E184" s="124">
        <v>42763</v>
      </c>
      <c r="F184" s="124">
        <v>42815</v>
      </c>
      <c r="G184" s="123">
        <v>585</v>
      </c>
      <c r="H184" s="123">
        <v>568</v>
      </c>
      <c r="I184" s="123">
        <v>896</v>
      </c>
      <c r="J184" s="123">
        <v>290</v>
      </c>
      <c r="K184" s="194">
        <f t="shared" si="2"/>
        <v>52</v>
      </c>
    </row>
    <row r="185" spans="1:11">
      <c r="A185" s="121">
        <v>184</v>
      </c>
      <c r="B185" s="122" t="s">
        <v>2385</v>
      </c>
      <c r="C185" s="122" t="s">
        <v>2410</v>
      </c>
      <c r="D185" s="122" t="s">
        <v>2296</v>
      </c>
      <c r="E185" s="124">
        <v>42763</v>
      </c>
      <c r="F185" s="124">
        <v>42815</v>
      </c>
      <c r="G185" s="123">
        <v>669</v>
      </c>
      <c r="H185" s="129">
        <v>541</v>
      </c>
      <c r="I185" s="123">
        <v>337</v>
      </c>
      <c r="J185" s="123">
        <v>555</v>
      </c>
      <c r="K185" s="194">
        <f t="shared" si="2"/>
        <v>52</v>
      </c>
    </row>
    <row r="186" spans="1:11">
      <c r="A186" s="121">
        <v>185</v>
      </c>
      <c r="B186" s="122" t="s">
        <v>2385</v>
      </c>
      <c r="C186" s="122" t="s">
        <v>2412</v>
      </c>
      <c r="D186" s="122" t="s">
        <v>2306</v>
      </c>
      <c r="E186" s="124">
        <v>42763</v>
      </c>
      <c r="F186" s="124">
        <v>42815</v>
      </c>
      <c r="G186" s="123">
        <v>423</v>
      </c>
      <c r="H186" s="123">
        <v>51</v>
      </c>
      <c r="I186" s="123">
        <v>564</v>
      </c>
      <c r="J186" s="123">
        <v>539</v>
      </c>
      <c r="K186" s="194">
        <f t="shared" si="2"/>
        <v>52</v>
      </c>
    </row>
    <row r="187" spans="1:11">
      <c r="A187" s="121">
        <v>186</v>
      </c>
      <c r="B187" s="122" t="s">
        <v>2385</v>
      </c>
      <c r="C187" s="122" t="s">
        <v>2413</v>
      </c>
      <c r="D187" s="122" t="s">
        <v>2306</v>
      </c>
      <c r="E187" s="124">
        <v>42763</v>
      </c>
      <c r="F187" s="124">
        <v>42815</v>
      </c>
      <c r="G187" s="123">
        <v>544</v>
      </c>
      <c r="H187" s="123">
        <v>557</v>
      </c>
      <c r="I187" s="123">
        <v>608</v>
      </c>
      <c r="J187" s="123">
        <v>180</v>
      </c>
      <c r="K187" s="194">
        <f t="shared" si="2"/>
        <v>52</v>
      </c>
    </row>
    <row r="188" spans="1:11">
      <c r="A188" s="121">
        <v>187</v>
      </c>
      <c r="B188" s="122" t="s">
        <v>2385</v>
      </c>
      <c r="C188" s="122" t="s">
        <v>2414</v>
      </c>
      <c r="D188" s="122" t="s">
        <v>2306</v>
      </c>
      <c r="E188" s="124">
        <v>42763</v>
      </c>
      <c r="F188" s="124">
        <v>42815</v>
      </c>
      <c r="G188" s="123">
        <v>620</v>
      </c>
      <c r="H188" s="123">
        <v>427</v>
      </c>
      <c r="I188" s="123">
        <v>365</v>
      </c>
      <c r="J188" s="183">
        <v>580</v>
      </c>
      <c r="K188" s="194">
        <f t="shared" si="2"/>
        <v>52</v>
      </c>
    </row>
    <row r="189" spans="1:11">
      <c r="A189" s="121">
        <v>188</v>
      </c>
      <c r="B189" s="122" t="s">
        <v>2385</v>
      </c>
      <c r="C189" s="122" t="s">
        <v>2415</v>
      </c>
      <c r="D189" s="122" t="s">
        <v>2306</v>
      </c>
      <c r="E189" s="124">
        <v>42763</v>
      </c>
      <c r="F189" s="124">
        <v>42815</v>
      </c>
      <c r="G189" s="123">
        <v>420</v>
      </c>
      <c r="H189" s="123">
        <v>223</v>
      </c>
      <c r="I189" s="123">
        <v>375</v>
      </c>
      <c r="J189" s="123">
        <v>222</v>
      </c>
      <c r="K189" s="194">
        <f t="shared" si="2"/>
        <v>52</v>
      </c>
    </row>
    <row r="190" spans="1:11">
      <c r="A190" s="121">
        <v>189</v>
      </c>
      <c r="B190" s="122" t="s">
        <v>2385</v>
      </c>
      <c r="C190" s="122" t="s">
        <v>2417</v>
      </c>
      <c r="D190" s="122" t="s">
        <v>2306</v>
      </c>
      <c r="E190" s="124">
        <v>42763</v>
      </c>
      <c r="F190" s="124">
        <v>42815</v>
      </c>
      <c r="G190" s="129">
        <v>367</v>
      </c>
      <c r="H190" s="123">
        <v>354</v>
      </c>
      <c r="I190" s="123">
        <v>537</v>
      </c>
      <c r="J190" s="123">
        <v>216</v>
      </c>
      <c r="K190" s="194">
        <f t="shared" si="2"/>
        <v>52</v>
      </c>
    </row>
    <row r="191" spans="1:11">
      <c r="A191" s="121">
        <v>190</v>
      </c>
      <c r="B191" s="122" t="s">
        <v>2385</v>
      </c>
      <c r="C191" s="122" t="s">
        <v>2418</v>
      </c>
      <c r="D191" s="122" t="s">
        <v>2306</v>
      </c>
      <c r="E191" s="124">
        <v>42763</v>
      </c>
      <c r="F191" s="124">
        <v>42815</v>
      </c>
      <c r="G191" s="123">
        <v>526</v>
      </c>
      <c r="H191" s="123">
        <v>164</v>
      </c>
      <c r="I191" s="123">
        <v>393</v>
      </c>
      <c r="J191" s="123">
        <v>232</v>
      </c>
      <c r="K191" s="194">
        <f t="shared" si="2"/>
        <v>52</v>
      </c>
    </row>
    <row r="192" spans="1:11">
      <c r="A192" s="121">
        <v>191</v>
      </c>
      <c r="B192" s="122" t="s">
        <v>2385</v>
      </c>
      <c r="C192" s="122" t="s">
        <v>2419</v>
      </c>
      <c r="D192" s="122" t="s">
        <v>2306</v>
      </c>
      <c r="E192" s="124">
        <v>42763</v>
      </c>
      <c r="F192" s="124">
        <v>42815</v>
      </c>
      <c r="G192" s="123">
        <v>522</v>
      </c>
      <c r="H192" s="123">
        <v>336</v>
      </c>
      <c r="I192" s="123">
        <v>417</v>
      </c>
      <c r="J192" s="123">
        <v>387</v>
      </c>
      <c r="K192" s="194">
        <f t="shared" si="2"/>
        <v>52</v>
      </c>
    </row>
    <row r="193" spans="1:11">
      <c r="A193" s="121">
        <v>192</v>
      </c>
      <c r="B193" s="122" t="s">
        <v>2385</v>
      </c>
      <c r="C193" s="122" t="s">
        <v>2420</v>
      </c>
      <c r="D193" s="122" t="s">
        <v>2306</v>
      </c>
      <c r="E193" s="124">
        <v>42763</v>
      </c>
      <c r="F193" s="124">
        <v>42815</v>
      </c>
      <c r="G193" s="123">
        <v>591</v>
      </c>
      <c r="H193" s="123">
        <v>263</v>
      </c>
      <c r="I193" s="129">
        <v>297</v>
      </c>
      <c r="J193" s="123">
        <v>346</v>
      </c>
      <c r="K193" s="194">
        <f t="shared" si="2"/>
        <v>52</v>
      </c>
    </row>
    <row r="194" spans="1:11">
      <c r="A194" s="121">
        <v>193</v>
      </c>
      <c r="B194" s="133" t="s">
        <v>2176</v>
      </c>
      <c r="C194" s="133" t="s">
        <v>2445</v>
      </c>
      <c r="D194" s="122" t="s">
        <v>2455</v>
      </c>
      <c r="E194" s="124">
        <v>42769</v>
      </c>
      <c r="F194" s="124">
        <v>42813</v>
      </c>
      <c r="G194" s="123">
        <v>863</v>
      </c>
      <c r="H194" s="123">
        <v>125</v>
      </c>
      <c r="I194" s="123">
        <v>584</v>
      </c>
      <c r="J194" s="123">
        <v>364</v>
      </c>
      <c r="K194" s="194">
        <f t="shared" si="2"/>
        <v>44</v>
      </c>
    </row>
    <row r="195" spans="1:11">
      <c r="A195" s="121">
        <v>194</v>
      </c>
      <c r="B195" s="133" t="s">
        <v>2176</v>
      </c>
      <c r="C195" s="133" t="s">
        <v>2438</v>
      </c>
      <c r="D195" s="133" t="s">
        <v>2454</v>
      </c>
      <c r="E195" s="124">
        <v>42769</v>
      </c>
      <c r="F195" s="124">
        <v>42813</v>
      </c>
      <c r="G195" s="123">
        <v>615</v>
      </c>
      <c r="H195" s="123">
        <v>289</v>
      </c>
      <c r="I195" s="123">
        <v>713</v>
      </c>
      <c r="J195" s="123">
        <v>167</v>
      </c>
      <c r="K195" s="194">
        <f t="shared" ref="K195:K221" si="3">IFERROR(F195-E195,"")</f>
        <v>44</v>
      </c>
    </row>
    <row r="196" spans="1:11">
      <c r="A196" s="121">
        <v>195</v>
      </c>
      <c r="B196" s="133" t="s">
        <v>2176</v>
      </c>
      <c r="C196" s="133" t="s">
        <v>2430</v>
      </c>
      <c r="D196" s="133" t="s">
        <v>2453</v>
      </c>
      <c r="E196" s="124">
        <v>42769</v>
      </c>
      <c r="F196" s="124">
        <v>42814</v>
      </c>
      <c r="G196" s="123">
        <v>821</v>
      </c>
      <c r="H196" s="123">
        <v>378</v>
      </c>
      <c r="I196" s="123">
        <v>525</v>
      </c>
      <c r="J196" s="123">
        <v>25</v>
      </c>
      <c r="K196" s="194">
        <f t="shared" si="3"/>
        <v>45</v>
      </c>
    </row>
    <row r="197" spans="1:11">
      <c r="A197" s="121">
        <v>196</v>
      </c>
      <c r="B197" s="133" t="s">
        <v>2176</v>
      </c>
      <c r="C197" s="122" t="s">
        <v>2421</v>
      </c>
      <c r="D197" s="133" t="s">
        <v>2452</v>
      </c>
      <c r="E197" s="124">
        <v>42769</v>
      </c>
      <c r="F197" s="124">
        <v>42814</v>
      </c>
      <c r="G197" s="123">
        <v>754</v>
      </c>
      <c r="H197" s="123">
        <v>375</v>
      </c>
      <c r="I197" s="123">
        <v>886</v>
      </c>
      <c r="J197" s="123">
        <v>362</v>
      </c>
      <c r="K197" s="194">
        <f t="shared" si="3"/>
        <v>45</v>
      </c>
    </row>
    <row r="198" spans="1:11">
      <c r="A198" s="121">
        <v>197</v>
      </c>
      <c r="B198" s="133" t="s">
        <v>2176</v>
      </c>
      <c r="C198" s="133" t="s">
        <v>2431</v>
      </c>
      <c r="D198" s="133" t="s">
        <v>2453</v>
      </c>
      <c r="E198" s="124">
        <v>42769</v>
      </c>
      <c r="F198" s="124">
        <v>42814</v>
      </c>
      <c r="G198" s="123">
        <v>715</v>
      </c>
      <c r="H198" s="123">
        <v>219</v>
      </c>
      <c r="I198" s="123">
        <v>388</v>
      </c>
      <c r="J198" s="123">
        <v>370</v>
      </c>
      <c r="K198" s="194">
        <f t="shared" si="3"/>
        <v>45</v>
      </c>
    </row>
    <row r="199" spans="1:11">
      <c r="A199" s="121">
        <v>198</v>
      </c>
      <c r="B199" s="133" t="s">
        <v>2176</v>
      </c>
      <c r="C199" s="133" t="s">
        <v>2439</v>
      </c>
      <c r="D199" s="133" t="s">
        <v>2454</v>
      </c>
      <c r="E199" s="124">
        <v>42769</v>
      </c>
      <c r="F199" s="124">
        <v>42813</v>
      </c>
      <c r="G199" s="123">
        <v>785</v>
      </c>
      <c r="H199" s="123">
        <v>463</v>
      </c>
      <c r="I199" s="123">
        <v>462</v>
      </c>
      <c r="J199" s="123">
        <v>168</v>
      </c>
      <c r="K199" s="194">
        <f t="shared" si="3"/>
        <v>44</v>
      </c>
    </row>
    <row r="200" spans="1:11">
      <c r="A200" s="121">
        <v>199</v>
      </c>
      <c r="B200" s="133" t="s">
        <v>2176</v>
      </c>
      <c r="C200" s="133" t="s">
        <v>2423</v>
      </c>
      <c r="D200" s="133" t="s">
        <v>2452</v>
      </c>
      <c r="E200" s="124">
        <v>42769</v>
      </c>
      <c r="F200" s="124">
        <v>42814</v>
      </c>
      <c r="G200" s="123">
        <v>877</v>
      </c>
      <c r="H200" s="123">
        <v>339</v>
      </c>
      <c r="I200" s="123">
        <v>712</v>
      </c>
      <c r="J200" s="123">
        <v>269</v>
      </c>
      <c r="K200" s="194">
        <f t="shared" si="3"/>
        <v>45</v>
      </c>
    </row>
    <row r="201" spans="1:11">
      <c r="A201" s="121">
        <v>200</v>
      </c>
      <c r="B201" s="133" t="s">
        <v>2176</v>
      </c>
      <c r="C201" s="133" t="s">
        <v>2446</v>
      </c>
      <c r="D201" s="122" t="s">
        <v>2455</v>
      </c>
      <c r="E201" s="124">
        <v>42769</v>
      </c>
      <c r="F201" s="124">
        <v>42813</v>
      </c>
      <c r="G201" s="123">
        <v>816</v>
      </c>
      <c r="H201" s="123">
        <v>303</v>
      </c>
      <c r="I201" s="123">
        <v>709</v>
      </c>
      <c r="J201" s="123">
        <v>359</v>
      </c>
      <c r="K201" s="194">
        <f t="shared" si="3"/>
        <v>44</v>
      </c>
    </row>
    <row r="202" spans="1:11">
      <c r="A202" s="121">
        <v>201</v>
      </c>
      <c r="B202" s="133" t="s">
        <v>2276</v>
      </c>
      <c r="C202" s="133" t="s">
        <v>2447</v>
      </c>
      <c r="D202" s="122" t="s">
        <v>2455</v>
      </c>
      <c r="E202" s="124">
        <v>42769</v>
      </c>
      <c r="F202" s="124">
        <v>42813</v>
      </c>
      <c r="G202" s="123">
        <v>811</v>
      </c>
      <c r="H202" s="123">
        <v>218</v>
      </c>
      <c r="I202" s="123">
        <v>707</v>
      </c>
      <c r="J202" s="123">
        <v>395</v>
      </c>
      <c r="K202" s="194">
        <f t="shared" si="3"/>
        <v>44</v>
      </c>
    </row>
    <row r="203" spans="1:11">
      <c r="A203" s="121">
        <v>202</v>
      </c>
      <c r="B203" s="133" t="s">
        <v>2276</v>
      </c>
      <c r="C203" s="133" t="s">
        <v>2424</v>
      </c>
      <c r="D203" s="133" t="s">
        <v>2452</v>
      </c>
      <c r="E203" s="124">
        <v>42769</v>
      </c>
      <c r="F203" s="124">
        <v>42814</v>
      </c>
      <c r="G203" s="123">
        <v>773</v>
      </c>
      <c r="H203" s="123">
        <v>135</v>
      </c>
      <c r="I203" s="123">
        <v>770</v>
      </c>
      <c r="J203" s="123">
        <v>182</v>
      </c>
      <c r="K203" s="194">
        <f t="shared" si="3"/>
        <v>45</v>
      </c>
    </row>
    <row r="204" spans="1:11">
      <c r="A204" s="121">
        <v>203</v>
      </c>
      <c r="B204" s="133" t="s">
        <v>2276</v>
      </c>
      <c r="C204" s="133" t="s">
        <v>2433</v>
      </c>
      <c r="D204" s="133" t="s">
        <v>2453</v>
      </c>
      <c r="E204" s="124">
        <v>42769</v>
      </c>
      <c r="F204" s="124">
        <v>42814</v>
      </c>
      <c r="G204" s="123">
        <v>645</v>
      </c>
      <c r="H204" s="123">
        <v>372</v>
      </c>
      <c r="I204" s="123">
        <v>753</v>
      </c>
      <c r="J204" s="123">
        <v>342</v>
      </c>
      <c r="K204" s="194">
        <f t="shared" si="3"/>
        <v>45</v>
      </c>
    </row>
    <row r="205" spans="1:11">
      <c r="A205" s="121">
        <v>204</v>
      </c>
      <c r="B205" s="133" t="s">
        <v>2276</v>
      </c>
      <c r="C205" s="133" t="s">
        <v>2440</v>
      </c>
      <c r="D205" s="133" t="s">
        <v>2454</v>
      </c>
      <c r="E205" s="124">
        <v>42769</v>
      </c>
      <c r="F205" s="124">
        <v>42813</v>
      </c>
      <c r="G205" s="123">
        <v>814</v>
      </c>
      <c r="H205" s="123">
        <v>334</v>
      </c>
      <c r="I205" s="123">
        <v>640</v>
      </c>
      <c r="J205" s="123">
        <v>139</v>
      </c>
      <c r="K205" s="194">
        <f t="shared" si="3"/>
        <v>44</v>
      </c>
    </row>
    <row r="206" spans="1:11">
      <c r="A206" s="121">
        <v>205</v>
      </c>
      <c r="B206" s="133" t="s">
        <v>2314</v>
      </c>
      <c r="C206" s="133" t="s">
        <v>2434</v>
      </c>
      <c r="D206" s="133" t="s">
        <v>2453</v>
      </c>
      <c r="E206" s="124">
        <v>42769</v>
      </c>
      <c r="F206" s="124">
        <v>42814</v>
      </c>
      <c r="G206" s="123">
        <v>621</v>
      </c>
      <c r="H206" s="123">
        <v>265</v>
      </c>
      <c r="I206" s="123">
        <v>668</v>
      </c>
      <c r="J206" s="123">
        <v>92</v>
      </c>
      <c r="K206" s="194">
        <f t="shared" si="3"/>
        <v>45</v>
      </c>
    </row>
    <row r="207" spans="1:11">
      <c r="A207" s="121">
        <v>206</v>
      </c>
      <c r="B207" s="133" t="s">
        <v>2314</v>
      </c>
      <c r="C207" s="133" t="s">
        <v>2425</v>
      </c>
      <c r="D207" s="133" t="s">
        <v>2452</v>
      </c>
      <c r="E207" s="124">
        <v>42769</v>
      </c>
      <c r="F207" s="124">
        <v>42814</v>
      </c>
      <c r="G207" s="123">
        <v>677</v>
      </c>
      <c r="H207" s="123">
        <v>234</v>
      </c>
      <c r="I207" s="123">
        <v>891</v>
      </c>
      <c r="J207" s="123">
        <v>328</v>
      </c>
      <c r="K207" s="194">
        <f t="shared" si="3"/>
        <v>45</v>
      </c>
    </row>
    <row r="208" spans="1:11">
      <c r="A208" s="121">
        <v>207</v>
      </c>
      <c r="B208" s="133" t="s">
        <v>2314</v>
      </c>
      <c r="C208" s="133" t="s">
        <v>2448</v>
      </c>
      <c r="D208" s="122" t="s">
        <v>2455</v>
      </c>
      <c r="E208" s="124">
        <v>42769</v>
      </c>
      <c r="F208" s="124">
        <v>42813</v>
      </c>
      <c r="G208" s="123">
        <v>574</v>
      </c>
      <c r="H208" s="123">
        <v>258</v>
      </c>
      <c r="I208" s="123">
        <v>540</v>
      </c>
      <c r="J208" s="123">
        <v>149</v>
      </c>
      <c r="K208" s="194">
        <f t="shared" si="3"/>
        <v>44</v>
      </c>
    </row>
    <row r="209" spans="1:11">
      <c r="A209" s="121">
        <v>208</v>
      </c>
      <c r="B209" s="133" t="s">
        <v>2314</v>
      </c>
      <c r="C209" s="133" t="s">
        <v>2441</v>
      </c>
      <c r="D209" s="133" t="s">
        <v>2454</v>
      </c>
      <c r="E209" s="124">
        <v>42769</v>
      </c>
      <c r="F209" s="124">
        <v>42813</v>
      </c>
      <c r="G209" s="123">
        <v>710</v>
      </c>
      <c r="H209" s="123">
        <v>344</v>
      </c>
      <c r="I209" s="123">
        <v>508</v>
      </c>
      <c r="J209" s="123">
        <v>449</v>
      </c>
      <c r="K209" s="194">
        <f t="shared" si="3"/>
        <v>44</v>
      </c>
    </row>
    <row r="210" spans="1:11">
      <c r="A210" s="121">
        <v>209</v>
      </c>
      <c r="B210" s="133" t="s">
        <v>2314</v>
      </c>
      <c r="C210" s="133" t="s">
        <v>2435</v>
      </c>
      <c r="D210" s="133" t="s">
        <v>2453</v>
      </c>
      <c r="E210" s="124">
        <v>42769</v>
      </c>
      <c r="F210" s="124">
        <v>42814</v>
      </c>
      <c r="G210" s="123">
        <v>604</v>
      </c>
      <c r="H210" s="123">
        <v>271</v>
      </c>
      <c r="I210" s="123">
        <v>637</v>
      </c>
      <c r="J210" s="123">
        <v>142</v>
      </c>
      <c r="K210" s="194">
        <f t="shared" si="3"/>
        <v>45</v>
      </c>
    </row>
    <row r="211" spans="1:11">
      <c r="A211" s="121">
        <v>210</v>
      </c>
      <c r="B211" s="133" t="s">
        <v>2314</v>
      </c>
      <c r="C211" s="133" t="s">
        <v>2449</v>
      </c>
      <c r="D211" s="122" t="s">
        <v>2455</v>
      </c>
      <c r="E211" s="124">
        <v>42769</v>
      </c>
      <c r="F211" s="124">
        <v>42813</v>
      </c>
      <c r="G211" s="123">
        <v>871</v>
      </c>
      <c r="H211" s="123">
        <v>340</v>
      </c>
      <c r="I211" s="123">
        <v>720</v>
      </c>
      <c r="J211" s="123">
        <v>392</v>
      </c>
      <c r="K211" s="194">
        <f t="shared" si="3"/>
        <v>44</v>
      </c>
    </row>
    <row r="212" spans="1:11">
      <c r="A212" s="121">
        <v>211</v>
      </c>
      <c r="B212" s="133" t="s">
        <v>2314</v>
      </c>
      <c r="C212" s="133" t="s">
        <v>2426</v>
      </c>
      <c r="D212" s="133" t="s">
        <v>2452</v>
      </c>
      <c r="E212" s="124">
        <v>42769</v>
      </c>
      <c r="F212" s="124">
        <v>42814</v>
      </c>
      <c r="G212" s="123">
        <v>822</v>
      </c>
      <c r="H212" s="123">
        <v>381</v>
      </c>
      <c r="I212" s="123">
        <v>796</v>
      </c>
      <c r="J212" s="123">
        <v>589</v>
      </c>
      <c r="K212" s="194">
        <f t="shared" si="3"/>
        <v>45</v>
      </c>
    </row>
    <row r="213" spans="1:11">
      <c r="A213" s="121">
        <v>212</v>
      </c>
      <c r="B213" s="133" t="s">
        <v>2314</v>
      </c>
      <c r="C213" s="133" t="s">
        <v>2442</v>
      </c>
      <c r="D213" s="133" t="s">
        <v>2454</v>
      </c>
      <c r="E213" s="124">
        <v>42769</v>
      </c>
      <c r="F213" s="124">
        <v>42813</v>
      </c>
      <c r="G213" s="123">
        <v>786</v>
      </c>
      <c r="H213" s="123">
        <v>93</v>
      </c>
      <c r="I213" s="123">
        <v>560</v>
      </c>
      <c r="J213" s="123">
        <v>130</v>
      </c>
      <c r="K213" s="194">
        <f t="shared" si="3"/>
        <v>44</v>
      </c>
    </row>
    <row r="214" spans="1:11">
      <c r="A214" s="121">
        <v>213</v>
      </c>
      <c r="B214" s="133" t="s">
        <v>2385</v>
      </c>
      <c r="C214" s="133" t="s">
        <v>2450</v>
      </c>
      <c r="D214" s="122" t="s">
        <v>2455</v>
      </c>
      <c r="E214" s="124">
        <v>42769</v>
      </c>
      <c r="F214" s="124">
        <v>42813</v>
      </c>
      <c r="G214" s="123">
        <v>572</v>
      </c>
      <c r="H214" s="123">
        <v>88</v>
      </c>
      <c r="I214" s="123">
        <v>716</v>
      </c>
      <c r="J214" s="123">
        <v>111</v>
      </c>
      <c r="K214" s="194">
        <f t="shared" si="3"/>
        <v>44</v>
      </c>
    </row>
    <row r="215" spans="1:11">
      <c r="A215" s="121">
        <v>214</v>
      </c>
      <c r="B215" s="133" t="s">
        <v>2385</v>
      </c>
      <c r="C215" s="133" t="s">
        <v>2443</v>
      </c>
      <c r="D215" s="133" t="s">
        <v>2454</v>
      </c>
      <c r="E215" s="124">
        <v>42769</v>
      </c>
      <c r="F215" s="124">
        <v>42813</v>
      </c>
      <c r="G215" s="123">
        <v>761</v>
      </c>
      <c r="H215" s="123">
        <v>383</v>
      </c>
      <c r="I215" s="123">
        <v>581</v>
      </c>
      <c r="J215" s="123">
        <v>412</v>
      </c>
      <c r="K215" s="194">
        <f t="shared" si="3"/>
        <v>44</v>
      </c>
    </row>
    <row r="216" spans="1:11">
      <c r="A216" s="121">
        <v>215</v>
      </c>
      <c r="B216" s="133" t="s">
        <v>2385</v>
      </c>
      <c r="C216" s="133" t="s">
        <v>2427</v>
      </c>
      <c r="D216" s="133" t="s">
        <v>2452</v>
      </c>
      <c r="E216" s="124">
        <v>42769</v>
      </c>
      <c r="F216" s="124">
        <v>42814</v>
      </c>
      <c r="G216" s="123">
        <v>858</v>
      </c>
      <c r="H216" s="123">
        <v>145</v>
      </c>
      <c r="I216" s="123">
        <v>718</v>
      </c>
      <c r="J216" s="123">
        <v>434</v>
      </c>
      <c r="K216" s="194">
        <f t="shared" si="3"/>
        <v>45</v>
      </c>
    </row>
    <row r="217" spans="1:11">
      <c r="A217" s="121">
        <v>216</v>
      </c>
      <c r="B217" s="133" t="s">
        <v>2385</v>
      </c>
      <c r="C217" s="133" t="s">
        <v>2436</v>
      </c>
      <c r="D217" s="133" t="s">
        <v>2453</v>
      </c>
      <c r="E217" s="124">
        <v>42769</v>
      </c>
      <c r="F217" s="124">
        <v>42814</v>
      </c>
      <c r="G217" s="123">
        <v>755</v>
      </c>
      <c r="H217" s="123">
        <v>241</v>
      </c>
      <c r="I217" s="123">
        <v>613</v>
      </c>
      <c r="J217" s="123">
        <v>457</v>
      </c>
      <c r="K217" s="194">
        <f t="shared" si="3"/>
        <v>45</v>
      </c>
    </row>
    <row r="218" spans="1:11">
      <c r="A218" s="121">
        <v>217</v>
      </c>
      <c r="B218" s="133" t="s">
        <v>2428</v>
      </c>
      <c r="C218" s="133" t="s">
        <v>2429</v>
      </c>
      <c r="D218" s="133" t="s">
        <v>2452</v>
      </c>
      <c r="E218" s="124">
        <v>42769</v>
      </c>
      <c r="F218" s="124">
        <v>42814</v>
      </c>
      <c r="G218" s="123">
        <v>795</v>
      </c>
      <c r="H218" s="123">
        <v>302</v>
      </c>
      <c r="I218" s="123">
        <v>804</v>
      </c>
      <c r="J218" s="123">
        <v>410</v>
      </c>
      <c r="K218" s="194">
        <f t="shared" si="3"/>
        <v>45</v>
      </c>
    </row>
    <row r="219" spans="1:11">
      <c r="A219" s="121">
        <v>218</v>
      </c>
      <c r="B219" s="133" t="s">
        <v>2428</v>
      </c>
      <c r="C219" s="133" t="s">
        <v>2437</v>
      </c>
      <c r="D219" s="133" t="s">
        <v>2453</v>
      </c>
      <c r="E219" s="124">
        <v>42769</v>
      </c>
      <c r="F219" s="124">
        <v>42814</v>
      </c>
      <c r="G219" s="123">
        <v>251</v>
      </c>
      <c r="H219" s="123">
        <v>442</v>
      </c>
      <c r="I219" s="123">
        <v>587</v>
      </c>
      <c r="J219" s="123">
        <v>103</v>
      </c>
      <c r="K219" s="194">
        <f t="shared" si="3"/>
        <v>45</v>
      </c>
    </row>
    <row r="220" spans="1:11">
      <c r="A220" s="121">
        <v>219</v>
      </c>
      <c r="B220" s="133" t="s">
        <v>2428</v>
      </c>
      <c r="C220" s="133" t="s">
        <v>2444</v>
      </c>
      <c r="D220" s="133" t="s">
        <v>2454</v>
      </c>
      <c r="E220" s="124">
        <v>42769</v>
      </c>
      <c r="F220" s="124">
        <v>42813</v>
      </c>
      <c r="G220" s="164">
        <v>727</v>
      </c>
      <c r="H220" s="164">
        <v>176</v>
      </c>
      <c r="I220" s="164">
        <v>491</v>
      </c>
      <c r="J220" s="164">
        <v>356</v>
      </c>
      <c r="K220" s="194">
        <f t="shared" si="3"/>
        <v>44</v>
      </c>
    </row>
    <row r="221" spans="1:11">
      <c r="A221" s="121">
        <v>220</v>
      </c>
      <c r="B221" s="133" t="s">
        <v>2428</v>
      </c>
      <c r="C221" s="133" t="s">
        <v>2451</v>
      </c>
      <c r="D221" s="122" t="s">
        <v>2455</v>
      </c>
      <c r="E221" s="124">
        <v>42769</v>
      </c>
      <c r="F221" s="124">
        <v>42813</v>
      </c>
      <c r="G221" s="123">
        <v>782</v>
      </c>
      <c r="H221" s="123">
        <v>250</v>
      </c>
      <c r="I221" s="123">
        <v>849</v>
      </c>
      <c r="J221" s="123">
        <v>319</v>
      </c>
      <c r="K221" s="194">
        <f t="shared" si="3"/>
        <v>44</v>
      </c>
    </row>
  </sheetData>
  <conditionalFormatting sqref="K2:K221">
    <cfRule type="containsErrors" dxfId="1" priority="1" stopIfTrue="1">
      <formula>ISERROR(K2)</formula>
    </cfRule>
  </conditionalFormatting>
  <pageMargins left="0.7" right="0.7" top="0.75" bottom="0.75" header="0.3" footer="0.3"/>
  <pageSetup paperSize="9"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92"/>
  <sheetViews>
    <sheetView topLeftCell="A57" workbookViewId="0">
      <selection activeCell="B72" sqref="B72"/>
    </sheetView>
  </sheetViews>
  <sheetFormatPr baseColWidth="10" defaultColWidth="11.44140625" defaultRowHeight="14.4"/>
  <cols>
    <col min="1" max="1" width="36.44140625" style="30" customWidth="1"/>
    <col min="2" max="2" width="110.109375" style="30" customWidth="1"/>
    <col min="3" max="3" width="32.109375" customWidth="1"/>
    <col min="4" max="4" width="10.109375" customWidth="1"/>
  </cols>
  <sheetData>
    <row r="1" spans="1:5">
      <c r="A1" s="48" t="s">
        <v>42</v>
      </c>
      <c r="B1" s="48"/>
    </row>
    <row r="2" spans="1:5">
      <c r="A2" s="48"/>
      <c r="B2" s="48"/>
    </row>
    <row r="3" spans="1:5">
      <c r="A3" s="48">
        <v>1</v>
      </c>
      <c r="B3" s="48" t="s">
        <v>219</v>
      </c>
    </row>
    <row r="4" spans="1:5">
      <c r="A4" s="48"/>
      <c r="B4" s="48" t="s">
        <v>43</v>
      </c>
    </row>
    <row r="5" spans="1:5">
      <c r="A5" s="48">
        <v>2</v>
      </c>
      <c r="B5" s="48" t="s">
        <v>44</v>
      </c>
    </row>
    <row r="6" spans="1:5" ht="29.25" customHeight="1">
      <c r="A6" s="48">
        <v>3</v>
      </c>
      <c r="B6" s="49" t="s">
        <v>45</v>
      </c>
    </row>
    <row r="7" spans="1:5" ht="43.2">
      <c r="A7" s="54">
        <v>4</v>
      </c>
      <c r="B7" s="53" t="s">
        <v>46</v>
      </c>
    </row>
    <row r="8" spans="1:5">
      <c r="A8" s="54">
        <v>5</v>
      </c>
      <c r="B8" s="53" t="s">
        <v>295</v>
      </c>
    </row>
    <row r="10" spans="1:5">
      <c r="B10" s="77" t="s">
        <v>220</v>
      </c>
    </row>
    <row r="11" spans="1:5">
      <c r="B11" s="78" t="s">
        <v>221</v>
      </c>
    </row>
    <row r="12" spans="1:5">
      <c r="B12" s="79"/>
    </row>
    <row r="13" spans="1:5">
      <c r="A13" s="30" t="s">
        <v>47</v>
      </c>
      <c r="E13" s="51"/>
    </row>
    <row r="14" spans="1:5">
      <c r="A14" s="51" t="s">
        <v>48</v>
      </c>
      <c r="E14" s="51"/>
    </row>
    <row r="15" spans="1:5">
      <c r="A15" s="51" t="s">
        <v>49</v>
      </c>
      <c r="E15" s="51"/>
    </row>
    <row r="16" spans="1:5">
      <c r="A16" s="51" t="s">
        <v>50</v>
      </c>
      <c r="E16" s="51"/>
    </row>
    <row r="17" spans="1:11">
      <c r="A17" s="51" t="s">
        <v>51</v>
      </c>
      <c r="E17" s="51"/>
    </row>
    <row r="18" spans="1:11">
      <c r="A18" s="51" t="s">
        <v>52</v>
      </c>
      <c r="D18" s="1"/>
      <c r="E18" s="58"/>
    </row>
    <row r="19" spans="1:11">
      <c r="A19" s="51" t="s">
        <v>53</v>
      </c>
      <c r="E19" s="51"/>
    </row>
    <row r="20" spans="1:11">
      <c r="A20" s="51" t="s">
        <v>54</v>
      </c>
      <c r="E20" s="51"/>
    </row>
    <row r="21" spans="1:11">
      <c r="A21" s="51" t="s">
        <v>55</v>
      </c>
      <c r="E21" s="51"/>
    </row>
    <row r="22" spans="1:11">
      <c r="A22" s="51" t="s">
        <v>56</v>
      </c>
      <c r="E22" s="51"/>
    </row>
    <row r="23" spans="1:11">
      <c r="A23" s="51" t="s">
        <v>57</v>
      </c>
    </row>
    <row r="25" spans="1:11">
      <c r="A25" s="30" t="s">
        <v>58</v>
      </c>
    </row>
    <row r="26" spans="1:11" ht="27" customHeight="1" thickBot="1">
      <c r="A26" s="80" t="s">
        <v>59</v>
      </c>
      <c r="B26" s="31"/>
      <c r="C26" s="5"/>
      <c r="D26" s="5"/>
      <c r="F26" s="1"/>
      <c r="G26" s="1"/>
      <c r="H26" s="1"/>
      <c r="I26" s="1"/>
      <c r="J26" s="1"/>
      <c r="K26" s="1"/>
    </row>
    <row r="27" spans="1:11">
      <c r="A27" s="66" t="s">
        <v>0</v>
      </c>
      <c r="B27" s="67" t="s">
        <v>60</v>
      </c>
      <c r="C27" s="67"/>
      <c r="D27" s="67"/>
      <c r="F27" s="1"/>
      <c r="G27" s="1"/>
      <c r="H27" s="1"/>
      <c r="I27" s="1"/>
      <c r="J27" s="1"/>
      <c r="K27" s="1"/>
    </row>
    <row r="28" spans="1:11" s="2" customFormat="1">
      <c r="A28" s="64" t="s">
        <v>1</v>
      </c>
      <c r="B28" s="65" t="s">
        <v>61</v>
      </c>
      <c r="C28" s="65"/>
      <c r="D28" s="65"/>
    </row>
    <row r="29" spans="1:11" s="2" customFormat="1">
      <c r="A29" s="64" t="s">
        <v>2</v>
      </c>
      <c r="B29" s="65" t="s">
        <v>62</v>
      </c>
      <c r="C29" s="65"/>
      <c r="D29" s="65"/>
    </row>
    <row r="30" spans="1:11" s="2" customFormat="1">
      <c r="A30" s="64" t="s">
        <v>3</v>
      </c>
      <c r="B30" s="65" t="s">
        <v>63</v>
      </c>
      <c r="C30" s="65"/>
      <c r="D30" s="65"/>
    </row>
    <row r="31" spans="1:11" s="2" customFormat="1" ht="28.8">
      <c r="A31" s="64" t="s">
        <v>5</v>
      </c>
      <c r="B31" s="27" t="s">
        <v>64</v>
      </c>
      <c r="C31" s="65"/>
      <c r="D31" s="65"/>
    </row>
    <row r="32" spans="1:11" s="2" customFormat="1">
      <c r="A32" s="64" t="s">
        <v>4</v>
      </c>
      <c r="B32" s="65" t="s">
        <v>65</v>
      </c>
      <c r="C32" s="65"/>
      <c r="D32" s="65"/>
    </row>
    <row r="33" spans="1:9" s="2" customFormat="1" ht="28.8">
      <c r="A33" s="64" t="s">
        <v>6</v>
      </c>
      <c r="B33" s="27" t="s">
        <v>66</v>
      </c>
      <c r="C33" s="65"/>
      <c r="D33" s="65"/>
    </row>
    <row r="34" spans="1:9" s="2" customFormat="1" ht="15" thickBot="1">
      <c r="A34" s="68" t="s">
        <v>7</v>
      </c>
      <c r="B34" s="28" t="s">
        <v>67</v>
      </c>
      <c r="C34" s="69"/>
      <c r="D34" s="69"/>
    </row>
    <row r="35" spans="1:9" s="2" customFormat="1" ht="30.75" customHeight="1" thickBot="1">
      <c r="A35" s="81" t="s">
        <v>68</v>
      </c>
      <c r="B35" s="33"/>
      <c r="C35" s="52"/>
      <c r="D35" s="6"/>
      <c r="E35" s="3"/>
    </row>
    <row r="36" spans="1:9" s="2" customFormat="1" ht="29.25" customHeight="1">
      <c r="A36" s="66" t="s">
        <v>8</v>
      </c>
      <c r="B36" s="29" t="s">
        <v>69</v>
      </c>
      <c r="C36" s="65" t="s">
        <v>70</v>
      </c>
      <c r="D36" s="67"/>
    </row>
    <row r="37" spans="1:9" s="2" customFormat="1" ht="15" thickBot="1">
      <c r="A37" s="64" t="s">
        <v>9</v>
      </c>
      <c r="B37" s="65" t="s">
        <v>71</v>
      </c>
      <c r="C37" s="65" t="s">
        <v>70</v>
      </c>
      <c r="D37" s="65"/>
    </row>
    <row r="38" spans="1:9" s="2" customFormat="1" ht="15" thickBot="1">
      <c r="A38" s="64" t="s">
        <v>10</v>
      </c>
      <c r="B38" s="65" t="s">
        <v>72</v>
      </c>
      <c r="C38" s="65" t="s">
        <v>73</v>
      </c>
      <c r="D38" s="65"/>
      <c r="F38" s="82" t="s">
        <v>222</v>
      </c>
      <c r="G38" s="83"/>
      <c r="H38" s="83"/>
      <c r="I38" s="84"/>
    </row>
    <row r="39" spans="1:9" s="2" customFormat="1">
      <c r="A39" s="64" t="s">
        <v>11</v>
      </c>
      <c r="B39" s="65" t="s">
        <v>74</v>
      </c>
      <c r="C39" s="65" t="s">
        <v>73</v>
      </c>
      <c r="D39" s="65"/>
      <c r="F39" s="64" t="s">
        <v>78</v>
      </c>
      <c r="G39" s="65" t="s">
        <v>79</v>
      </c>
      <c r="H39" s="65" t="s">
        <v>80</v>
      </c>
      <c r="I39" s="85" t="s">
        <v>81</v>
      </c>
    </row>
    <row r="40" spans="1:9" s="2" customFormat="1">
      <c r="A40" s="71" t="s">
        <v>12</v>
      </c>
      <c r="B40" s="65" t="s">
        <v>223</v>
      </c>
      <c r="C40" s="65"/>
      <c r="D40" s="65"/>
      <c r="F40" s="64" t="s">
        <v>82</v>
      </c>
      <c r="G40" s="50">
        <v>2.0009999999999999</v>
      </c>
      <c r="H40" s="50">
        <v>1.7889999999999999</v>
      </c>
      <c r="I40" s="86" t="e">
        <f>(H40-Wcordandbag)/(G40-(Wcordandbag+Wlabel))</f>
        <v>#NAME?</v>
      </c>
    </row>
    <row r="41" spans="1:9" s="2" customFormat="1">
      <c r="A41" s="2" t="s">
        <v>13</v>
      </c>
      <c r="B41" s="65" t="s">
        <v>75</v>
      </c>
      <c r="C41" s="65" t="s">
        <v>73</v>
      </c>
      <c r="D41" s="65"/>
      <c r="E41" s="65"/>
      <c r="F41" s="64" t="s">
        <v>83</v>
      </c>
      <c r="G41" s="50" t="s">
        <v>84</v>
      </c>
      <c r="H41" s="50"/>
      <c r="I41" s="86" t="e">
        <f>(H41-Wcordandbag)/(G41-(Wcordandbag+Wlabel))</f>
        <v>#NAME?</v>
      </c>
    </row>
    <row r="42" spans="1:9" s="2" customFormat="1" ht="43.2">
      <c r="A42" s="64" t="s">
        <v>14</v>
      </c>
      <c r="B42" s="27" t="s">
        <v>76</v>
      </c>
      <c r="C42" s="65" t="s">
        <v>77</v>
      </c>
      <c r="D42" s="65"/>
      <c r="E42" s="65"/>
      <c r="F42" s="64" t="s">
        <v>85</v>
      </c>
      <c r="G42" s="50"/>
      <c r="H42" s="50"/>
      <c r="I42" s="86" t="e">
        <f>(H42-Wcordandbag)/(G42-(Wcordandbag+Wlabel))</f>
        <v>#NAME?</v>
      </c>
    </row>
    <row r="43" spans="1:9" s="2" customFormat="1">
      <c r="A43" s="65" t="s">
        <v>15</v>
      </c>
      <c r="B43" s="65" t="s">
        <v>71</v>
      </c>
      <c r="C43" s="65" t="s">
        <v>77</v>
      </c>
      <c r="D43" s="65"/>
      <c r="E43" s="65"/>
      <c r="F43" s="64" t="s">
        <v>86</v>
      </c>
      <c r="G43" s="50"/>
      <c r="H43" s="50"/>
      <c r="I43" s="86" t="e">
        <f>(H43-Wcordandbag)/(G43-(Wcordandbag+Wlabel))</f>
        <v>#NAME?</v>
      </c>
    </row>
    <row r="44" spans="1:9" s="2" customFormat="1" ht="29.4" thickBot="1">
      <c r="A44" s="69" t="s">
        <v>211</v>
      </c>
      <c r="B44" s="28" t="s">
        <v>224</v>
      </c>
      <c r="C44" s="69"/>
      <c r="D44" s="69"/>
      <c r="E44" s="65"/>
      <c r="F44" s="68" t="s">
        <v>84</v>
      </c>
      <c r="G44" s="87"/>
      <c r="H44" s="87"/>
      <c r="I44" s="86" t="e">
        <f>(H44-Wcordandbag)/(G44-(Wcordandbag+Wlabel))</f>
        <v>#NAME?</v>
      </c>
    </row>
    <row r="45" spans="1:9" s="2" customFormat="1" ht="29.25" customHeight="1" thickBot="1">
      <c r="A45" s="88" t="s">
        <v>87</v>
      </c>
      <c r="B45" s="34"/>
      <c r="C45" s="4"/>
      <c r="D45" s="4"/>
    </row>
    <row r="46" spans="1:9" s="2" customFormat="1" ht="77.25" customHeight="1">
      <c r="A46" s="35" t="s">
        <v>16</v>
      </c>
      <c r="B46" s="29" t="s">
        <v>225</v>
      </c>
      <c r="C46" s="60"/>
      <c r="D46" s="60"/>
      <c r="G46" s="1"/>
    </row>
    <row r="47" spans="1:9" s="2" customFormat="1" ht="15" customHeight="1">
      <c r="A47" s="65" t="s">
        <v>19</v>
      </c>
      <c r="B47" s="65" t="s">
        <v>88</v>
      </c>
      <c r="C47" s="26"/>
      <c r="D47" s="26"/>
      <c r="E47" s="61"/>
      <c r="G47" s="1"/>
      <c r="H47" s="1"/>
    </row>
    <row r="48" spans="1:9" s="2" customFormat="1" ht="15" customHeight="1">
      <c r="A48" s="65" t="s">
        <v>20</v>
      </c>
      <c r="B48" s="65" t="s">
        <v>88</v>
      </c>
      <c r="C48" s="26"/>
      <c r="D48" s="26"/>
      <c r="E48" s="61"/>
      <c r="G48" s="1"/>
      <c r="H48" s="1"/>
    </row>
    <row r="49" spans="1:13" s="2" customFormat="1" ht="15" customHeight="1">
      <c r="A49" s="2" t="s">
        <v>17</v>
      </c>
      <c r="C49" s="26"/>
      <c r="D49" s="26"/>
      <c r="E49" s="61"/>
      <c r="G49" s="1"/>
      <c r="H49" s="1"/>
    </row>
    <row r="50" spans="1:13" s="2" customFormat="1" ht="15" customHeight="1" thickBot="1">
      <c r="A50" s="2" t="s">
        <v>18</v>
      </c>
      <c r="B50" s="27" t="s">
        <v>226</v>
      </c>
      <c r="C50" s="26"/>
    </row>
    <row r="51" spans="1:13" s="2" customFormat="1" ht="15" customHeight="1" thickBot="1">
      <c r="A51" s="65" t="s">
        <v>212</v>
      </c>
      <c r="B51" s="27" t="s">
        <v>227</v>
      </c>
      <c r="C51" s="26"/>
      <c r="F51" s="72" t="s">
        <v>204</v>
      </c>
      <c r="G51" s="73" t="s">
        <v>203</v>
      </c>
      <c r="H51" s="75" t="s">
        <v>205</v>
      </c>
      <c r="I51" s="76" t="s">
        <v>216</v>
      </c>
      <c r="J51" s="76" t="s">
        <v>206</v>
      </c>
      <c r="K51" s="73" t="s">
        <v>207</v>
      </c>
      <c r="L51" s="73" t="s">
        <v>217</v>
      </c>
      <c r="M51" s="74" t="s">
        <v>218</v>
      </c>
    </row>
    <row r="52" spans="1:13" s="2" customFormat="1" ht="15" customHeight="1">
      <c r="A52" s="2" t="s">
        <v>213</v>
      </c>
      <c r="B52" s="27" t="s">
        <v>228</v>
      </c>
      <c r="C52" s="61" t="s">
        <v>77</v>
      </c>
      <c r="F52" s="89" t="s">
        <v>229</v>
      </c>
      <c r="G52" s="61" t="s">
        <v>230</v>
      </c>
      <c r="H52" s="61" t="s">
        <v>231</v>
      </c>
      <c r="I52" s="90" t="s">
        <v>232</v>
      </c>
      <c r="J52" s="61" t="s">
        <v>233</v>
      </c>
      <c r="K52" s="61" t="s">
        <v>233</v>
      </c>
      <c r="L52" s="61" t="s">
        <v>234</v>
      </c>
      <c r="M52" s="85" t="s">
        <v>235</v>
      </c>
    </row>
    <row r="53" spans="1:13" s="2" customFormat="1" ht="15" customHeight="1">
      <c r="A53" s="2" t="s">
        <v>293</v>
      </c>
      <c r="B53" s="27" t="s">
        <v>294</v>
      </c>
      <c r="C53" s="61" t="s">
        <v>77</v>
      </c>
      <c r="F53" s="89"/>
      <c r="G53" s="61"/>
      <c r="H53" s="61"/>
      <c r="I53" s="90"/>
      <c r="J53" s="61"/>
      <c r="K53" s="61"/>
      <c r="L53" s="61"/>
      <c r="M53" s="85"/>
    </row>
    <row r="54" spans="1:13" s="2" customFormat="1" ht="33" customHeight="1">
      <c r="A54" s="2" t="s">
        <v>214</v>
      </c>
      <c r="B54" s="27" t="s">
        <v>236</v>
      </c>
      <c r="C54" s="61" t="s">
        <v>77</v>
      </c>
      <c r="F54" s="89" t="s">
        <v>237</v>
      </c>
      <c r="G54" s="61" t="s">
        <v>286</v>
      </c>
      <c r="H54" s="61" t="s">
        <v>238</v>
      </c>
      <c r="I54" s="90" t="s">
        <v>239</v>
      </c>
      <c r="J54" s="61" t="s">
        <v>240</v>
      </c>
      <c r="K54" s="61" t="s">
        <v>240</v>
      </c>
      <c r="L54" s="61" t="s">
        <v>280</v>
      </c>
      <c r="M54" s="85" t="s">
        <v>241</v>
      </c>
    </row>
    <row r="55" spans="1:13" s="2" customFormat="1" ht="30.75" customHeight="1">
      <c r="A55" s="2" t="s">
        <v>215</v>
      </c>
      <c r="B55" s="27" t="s">
        <v>242</v>
      </c>
      <c r="C55" s="61" t="s">
        <v>77</v>
      </c>
      <c r="F55" s="89" t="s">
        <v>243</v>
      </c>
      <c r="G55" s="61" t="s">
        <v>244</v>
      </c>
      <c r="H55" s="61" t="s">
        <v>245</v>
      </c>
      <c r="I55" s="90" t="s">
        <v>246</v>
      </c>
      <c r="J55" s="61" t="s">
        <v>247</v>
      </c>
      <c r="K55" s="61" t="s">
        <v>247</v>
      </c>
      <c r="L55" s="61" t="s">
        <v>248</v>
      </c>
      <c r="M55" s="85" t="s">
        <v>249</v>
      </c>
    </row>
    <row r="56" spans="1:13" s="2" customFormat="1" ht="16.5" customHeight="1">
      <c r="A56" s="2" t="s">
        <v>208</v>
      </c>
      <c r="B56" s="27" t="s">
        <v>250</v>
      </c>
      <c r="C56" s="61" t="s">
        <v>77</v>
      </c>
      <c r="F56" s="89" t="s">
        <v>251</v>
      </c>
      <c r="G56" s="61" t="s">
        <v>252</v>
      </c>
      <c r="H56" s="61"/>
      <c r="I56" s="90" t="s">
        <v>253</v>
      </c>
      <c r="J56" s="90"/>
      <c r="K56" s="61"/>
      <c r="L56" s="61"/>
      <c r="M56" s="85" t="s">
        <v>254</v>
      </c>
    </row>
    <row r="57" spans="1:13" s="2" customFormat="1" ht="16.5" customHeight="1">
      <c r="A57" s="2" t="s">
        <v>204</v>
      </c>
      <c r="B57" s="27" t="s">
        <v>255</v>
      </c>
      <c r="C57" s="61" t="s">
        <v>77</v>
      </c>
      <c r="F57" s="91" t="s">
        <v>256</v>
      </c>
      <c r="G57" s="92" t="s">
        <v>257</v>
      </c>
      <c r="H57" s="90"/>
      <c r="I57" s="90" t="s">
        <v>258</v>
      </c>
      <c r="J57" s="61"/>
      <c r="K57" s="61"/>
      <c r="L57" s="61"/>
      <c r="M57" s="85" t="s">
        <v>259</v>
      </c>
    </row>
    <row r="58" spans="1:13" s="2" customFormat="1" ht="29.25" customHeight="1">
      <c r="A58" s="2" t="s">
        <v>203</v>
      </c>
      <c r="B58" s="27" t="s">
        <v>260</v>
      </c>
      <c r="C58" s="61" t="s">
        <v>77</v>
      </c>
      <c r="F58" s="89"/>
      <c r="G58" s="61"/>
      <c r="H58" s="61"/>
      <c r="I58" s="90" t="s">
        <v>261</v>
      </c>
      <c r="J58" s="61"/>
      <c r="K58" s="61"/>
      <c r="L58" s="61"/>
      <c r="M58" s="85" t="s">
        <v>262</v>
      </c>
    </row>
    <row r="59" spans="1:13" s="2" customFormat="1" ht="16.5" customHeight="1">
      <c r="A59" s="2" t="s">
        <v>205</v>
      </c>
      <c r="B59" s="27" t="s">
        <v>263</v>
      </c>
      <c r="C59" s="61" t="s">
        <v>77</v>
      </c>
      <c r="F59" s="89"/>
      <c r="G59" s="61"/>
      <c r="H59" s="61"/>
      <c r="I59" s="61" t="s">
        <v>264</v>
      </c>
      <c r="J59" s="61"/>
      <c r="K59" s="61"/>
      <c r="L59" s="61"/>
      <c r="M59" s="85" t="s">
        <v>265</v>
      </c>
    </row>
    <row r="60" spans="1:13" s="2" customFormat="1">
      <c r="A60" s="2" t="s">
        <v>266</v>
      </c>
      <c r="B60" s="61" t="s">
        <v>267</v>
      </c>
      <c r="C60" s="61" t="s">
        <v>77</v>
      </c>
      <c r="F60" s="89"/>
      <c r="G60" s="61"/>
      <c r="H60" s="61"/>
      <c r="I60" s="61" t="s">
        <v>268</v>
      </c>
      <c r="J60" s="61"/>
      <c r="K60" s="61"/>
      <c r="L60" s="61"/>
      <c r="M60" s="85" t="s">
        <v>269</v>
      </c>
    </row>
    <row r="61" spans="1:13" s="2" customFormat="1">
      <c r="A61" s="2" t="s">
        <v>206</v>
      </c>
      <c r="B61" s="61" t="s">
        <v>270</v>
      </c>
      <c r="C61" s="61"/>
      <c r="F61" s="89"/>
      <c r="G61" s="61"/>
      <c r="H61" s="61"/>
      <c r="I61" s="61" t="s">
        <v>271</v>
      </c>
      <c r="J61" s="61"/>
      <c r="K61" s="61"/>
      <c r="L61" s="61"/>
      <c r="M61" s="85"/>
    </row>
    <row r="62" spans="1:13" s="2" customFormat="1">
      <c r="A62" s="2" t="s">
        <v>207</v>
      </c>
      <c r="B62" s="61" t="s">
        <v>272</v>
      </c>
      <c r="C62" s="61" t="s">
        <v>77</v>
      </c>
      <c r="F62" s="89"/>
      <c r="G62" s="61"/>
      <c r="H62" s="61"/>
      <c r="I62" s="61" t="s">
        <v>273</v>
      </c>
      <c r="J62" s="61"/>
      <c r="K62" s="61"/>
      <c r="L62" s="61"/>
      <c r="M62" s="85"/>
    </row>
    <row r="63" spans="1:13" s="2" customFormat="1">
      <c r="A63" s="1" t="s">
        <v>217</v>
      </c>
      <c r="B63" s="65" t="s">
        <v>274</v>
      </c>
      <c r="C63" s="61" t="s">
        <v>77</v>
      </c>
      <c r="F63" s="89"/>
      <c r="G63" s="61"/>
      <c r="H63" s="61"/>
      <c r="I63" s="61" t="s">
        <v>275</v>
      </c>
      <c r="J63" s="61"/>
      <c r="K63" s="61"/>
      <c r="L63" s="61"/>
      <c r="M63" s="85"/>
    </row>
    <row r="64" spans="1:13" s="2" customFormat="1" ht="15" thickBot="1">
      <c r="A64" s="1" t="s">
        <v>218</v>
      </c>
      <c r="B64" s="65" t="s">
        <v>276</v>
      </c>
      <c r="C64" s="61" t="s">
        <v>77</v>
      </c>
      <c r="F64" s="93"/>
      <c r="G64" s="61"/>
      <c r="H64" s="61"/>
      <c r="I64" s="61" t="s">
        <v>277</v>
      </c>
      <c r="J64" s="61"/>
      <c r="K64" s="61"/>
      <c r="L64" s="61"/>
      <c r="M64" s="85"/>
    </row>
    <row r="65" spans="1:16" s="2" customFormat="1" ht="21" customHeight="1" thickBot="1">
      <c r="A65" s="82" t="s">
        <v>89</v>
      </c>
      <c r="B65" s="83"/>
      <c r="C65" s="94"/>
      <c r="D65" s="95"/>
      <c r="F65" s="96"/>
      <c r="G65" s="62"/>
      <c r="H65" s="62"/>
      <c r="I65" s="62" t="s">
        <v>278</v>
      </c>
      <c r="J65" s="62"/>
      <c r="K65" s="62"/>
      <c r="L65" s="62"/>
      <c r="M65" s="97"/>
    </row>
    <row r="66" spans="1:16" s="2" customFormat="1" ht="28.8">
      <c r="A66" s="64" t="s">
        <v>21</v>
      </c>
      <c r="B66" s="27" t="s">
        <v>90</v>
      </c>
      <c r="C66" s="26"/>
    </row>
    <row r="67" spans="1:16" s="2" customFormat="1" ht="27.75" customHeight="1">
      <c r="A67" s="64" t="s">
        <v>22</v>
      </c>
      <c r="B67" s="27" t="s">
        <v>91</v>
      </c>
      <c r="C67" s="26"/>
    </row>
    <row r="68" spans="1:16" s="2" customFormat="1" ht="18" customHeight="1" thickBot="1">
      <c r="A68" s="68" t="s">
        <v>25</v>
      </c>
      <c r="B68" s="69" t="s">
        <v>92</v>
      </c>
      <c r="C68" s="62"/>
      <c r="D68" s="62"/>
    </row>
    <row r="69" spans="1:16" ht="15" thickBot="1">
      <c r="B69" s="31"/>
      <c r="C69" s="5"/>
      <c r="D69" s="5"/>
      <c r="H69" s="1"/>
      <c r="I69" s="1"/>
      <c r="J69" s="1"/>
      <c r="K69" s="1"/>
      <c r="L69" s="1"/>
      <c r="M69" s="1"/>
      <c r="N69" s="1"/>
      <c r="O69" s="1"/>
      <c r="P69" s="1"/>
    </row>
    <row r="70" spans="1:16" s="92" customFormat="1" ht="15" thickBot="1">
      <c r="A70" s="98" t="s">
        <v>93</v>
      </c>
      <c r="B70" s="99"/>
      <c r="C70" s="100"/>
      <c r="D70" s="100"/>
      <c r="G70" s="90"/>
      <c r="H70" s="90"/>
      <c r="I70" s="90"/>
      <c r="J70" s="90"/>
      <c r="K70" s="90"/>
      <c r="L70" s="90"/>
      <c r="M70" s="90"/>
      <c r="N70" s="90"/>
      <c r="O70" s="90"/>
      <c r="P70" s="90"/>
    </row>
    <row r="71" spans="1:16">
      <c r="A71" s="101" t="s">
        <v>23</v>
      </c>
      <c r="B71" s="31" t="s">
        <v>94</v>
      </c>
      <c r="C71" s="5"/>
      <c r="G71" s="1"/>
      <c r="H71" s="1"/>
      <c r="I71" s="1"/>
      <c r="J71" s="1"/>
      <c r="K71" s="1"/>
      <c r="L71" s="1"/>
      <c r="M71" s="1"/>
      <c r="N71" s="1"/>
      <c r="O71" s="1"/>
      <c r="P71" s="1"/>
    </row>
    <row r="72" spans="1:16">
      <c r="A72" s="101" t="s">
        <v>24</v>
      </c>
      <c r="B72" s="31" t="s">
        <v>95</v>
      </c>
      <c r="C72" s="5"/>
      <c r="G72" s="1"/>
      <c r="H72" s="1"/>
      <c r="I72" s="1"/>
      <c r="J72" s="1"/>
      <c r="K72" s="1"/>
      <c r="L72" s="1"/>
      <c r="M72" s="1"/>
      <c r="N72" s="1"/>
      <c r="O72" s="1"/>
      <c r="P72" s="1"/>
    </row>
    <row r="73" spans="1:16">
      <c r="A73" s="101" t="s">
        <v>25</v>
      </c>
      <c r="B73" s="36" t="s">
        <v>96</v>
      </c>
      <c r="C73" s="5"/>
      <c r="G73" s="1"/>
      <c r="H73" s="1"/>
      <c r="I73" s="1"/>
      <c r="J73" s="1"/>
      <c r="K73" s="1"/>
      <c r="L73" s="1"/>
      <c r="M73" s="1"/>
      <c r="N73" s="1"/>
      <c r="O73" s="1"/>
      <c r="P73" s="1"/>
    </row>
    <row r="74" spans="1:16">
      <c r="A74" s="101" t="s">
        <v>26</v>
      </c>
      <c r="B74" s="31" t="s">
        <v>97</v>
      </c>
      <c r="C74" s="5"/>
      <c r="G74" s="1"/>
      <c r="H74" s="1"/>
      <c r="I74" s="1"/>
      <c r="J74" s="1"/>
      <c r="K74" s="1"/>
      <c r="L74" s="1"/>
      <c r="M74" s="1"/>
      <c r="N74" s="1"/>
      <c r="O74" s="1"/>
      <c r="P74" s="1"/>
    </row>
    <row r="75" spans="1:16" ht="18" customHeight="1">
      <c r="A75" s="102" t="s">
        <v>27</v>
      </c>
      <c r="B75" s="36" t="s">
        <v>99</v>
      </c>
      <c r="C75" s="5"/>
      <c r="G75" s="1"/>
      <c r="H75" s="1"/>
      <c r="I75" s="1"/>
      <c r="J75" s="1"/>
      <c r="K75" s="1"/>
      <c r="L75" s="1"/>
      <c r="M75" s="1"/>
      <c r="N75" s="1"/>
      <c r="O75" s="1"/>
      <c r="P75" s="1"/>
    </row>
    <row r="76" spans="1:16" ht="28.8">
      <c r="A76" s="103" t="s">
        <v>100</v>
      </c>
      <c r="B76" s="30" t="s">
        <v>101</v>
      </c>
      <c r="C76" s="5"/>
      <c r="G76" s="1"/>
      <c r="H76" s="1"/>
      <c r="I76" s="1"/>
      <c r="J76" s="1"/>
      <c r="K76" s="1"/>
      <c r="L76" s="1"/>
      <c r="M76" s="1"/>
      <c r="N76" s="1"/>
      <c r="O76" s="1"/>
      <c r="P76" s="1"/>
    </row>
    <row r="77" spans="1:16" ht="28.8">
      <c r="A77" s="103" t="s">
        <v>28</v>
      </c>
      <c r="B77" s="30" t="s">
        <v>102</v>
      </c>
      <c r="C77" s="5"/>
      <c r="G77" s="1"/>
      <c r="H77" s="1"/>
      <c r="I77" s="1"/>
      <c r="J77" s="1"/>
      <c r="K77" s="1"/>
      <c r="L77" s="1"/>
      <c r="M77" s="1"/>
      <c r="N77" s="1"/>
      <c r="O77" s="1"/>
      <c r="P77" s="1"/>
    </row>
    <row r="78" spans="1:16">
      <c r="A78" s="103" t="s">
        <v>29</v>
      </c>
      <c r="B78" s="11" t="s">
        <v>103</v>
      </c>
      <c r="C78" s="5" t="s">
        <v>104</v>
      </c>
      <c r="G78" s="1"/>
      <c r="H78" s="1"/>
      <c r="I78" s="1"/>
      <c r="J78" s="1"/>
      <c r="K78" s="1"/>
      <c r="L78" s="1"/>
      <c r="M78" s="1"/>
      <c r="N78" s="1"/>
      <c r="O78" s="1"/>
      <c r="P78" s="1"/>
    </row>
    <row r="79" spans="1:16">
      <c r="A79" s="103" t="s">
        <v>30</v>
      </c>
      <c r="B79" s="11" t="s">
        <v>105</v>
      </c>
      <c r="C79" s="5" t="s">
        <v>106</v>
      </c>
      <c r="G79" s="1"/>
      <c r="H79" s="1"/>
      <c r="I79" s="1"/>
      <c r="J79" s="1"/>
      <c r="K79" s="1"/>
      <c r="L79" s="1"/>
      <c r="M79" s="1"/>
      <c r="N79" s="1"/>
      <c r="O79" s="1"/>
      <c r="P79" s="1"/>
    </row>
    <row r="80" spans="1:16">
      <c r="A80" s="102" t="s">
        <v>31</v>
      </c>
      <c r="B80" s="32" t="s">
        <v>108</v>
      </c>
      <c r="C80" s="5"/>
      <c r="G80" s="1"/>
      <c r="H80" s="1"/>
      <c r="I80" s="1"/>
      <c r="J80" s="1"/>
      <c r="K80" s="1"/>
      <c r="L80" s="1"/>
      <c r="M80" s="1"/>
      <c r="N80" s="1"/>
      <c r="O80" s="1"/>
      <c r="P80" s="1"/>
    </row>
    <row r="81" spans="1:16" ht="28.8">
      <c r="A81" s="104" t="s">
        <v>32</v>
      </c>
      <c r="B81" s="32" t="s">
        <v>279</v>
      </c>
      <c r="G81" s="1"/>
      <c r="H81" s="1"/>
      <c r="I81" s="1"/>
      <c r="J81" s="1"/>
      <c r="K81" s="1"/>
      <c r="L81" s="1"/>
      <c r="M81" s="1"/>
      <c r="N81" s="1"/>
      <c r="O81" s="1"/>
      <c r="P81" s="1"/>
    </row>
    <row r="82" spans="1:16" ht="28.8">
      <c r="A82" s="104" t="s">
        <v>33</v>
      </c>
      <c r="B82" s="32" t="s">
        <v>71</v>
      </c>
    </row>
    <row r="83" spans="1:16">
      <c r="A83" s="101" t="s">
        <v>34</v>
      </c>
      <c r="B83" s="11" t="s">
        <v>109</v>
      </c>
    </row>
    <row r="84" spans="1:16">
      <c r="A84" s="101" t="s">
        <v>35</v>
      </c>
      <c r="B84" s="11" t="s">
        <v>110</v>
      </c>
    </row>
    <row r="85" spans="1:16">
      <c r="A85" s="30" t="s">
        <v>287</v>
      </c>
      <c r="B85" s="30" t="s">
        <v>111</v>
      </c>
    </row>
    <row r="86" spans="1:16">
      <c r="A86" s="30" t="s">
        <v>288</v>
      </c>
      <c r="B86" s="30" t="s">
        <v>112</v>
      </c>
    </row>
    <row r="87" spans="1:16">
      <c r="A87" s="30" t="s">
        <v>289</v>
      </c>
      <c r="B87" s="30" t="s">
        <v>113</v>
      </c>
    </row>
    <row r="88" spans="1:16">
      <c r="A88" s="30" t="s">
        <v>290</v>
      </c>
      <c r="B88" s="30" t="s">
        <v>114</v>
      </c>
    </row>
    <row r="89" spans="1:16">
      <c r="A89" s="30" t="s">
        <v>40</v>
      </c>
      <c r="B89" s="30" t="s">
        <v>115</v>
      </c>
    </row>
    <row r="90" spans="1:16">
      <c r="A90" s="30" t="s">
        <v>41</v>
      </c>
      <c r="B90" s="30" t="s">
        <v>116</v>
      </c>
    </row>
    <row r="92" spans="1:16">
      <c r="A92" s="37" t="s">
        <v>117</v>
      </c>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51"/>
  <sheetViews>
    <sheetView topLeftCell="A23" workbookViewId="0">
      <selection activeCell="E38" sqref="E38"/>
    </sheetView>
  </sheetViews>
  <sheetFormatPr baseColWidth="10" defaultColWidth="11.44140625" defaultRowHeight="14.4"/>
  <cols>
    <col min="3" max="3" width="13.44140625" style="16" customWidth="1"/>
    <col min="4" max="4" width="6.109375" style="17" customWidth="1"/>
    <col min="5" max="5" width="11.44140625" style="17" customWidth="1"/>
    <col min="6" max="6" width="9.88671875" style="17" customWidth="1"/>
    <col min="7" max="7" width="87" customWidth="1"/>
  </cols>
  <sheetData>
    <row r="1" spans="1:7">
      <c r="A1" t="s">
        <v>118</v>
      </c>
      <c r="B1" t="s">
        <v>119</v>
      </c>
      <c r="C1" s="16" t="s">
        <v>120</v>
      </c>
      <c r="D1" s="17" t="s">
        <v>121</v>
      </c>
      <c r="E1" s="17" t="s">
        <v>122</v>
      </c>
      <c r="F1" s="17" t="s">
        <v>123</v>
      </c>
    </row>
    <row r="2" spans="1:7" s="18" customFormat="1">
      <c r="A2" s="18">
        <v>1</v>
      </c>
      <c r="B2" s="18" t="s">
        <v>124</v>
      </c>
      <c r="C2" s="19">
        <v>42163</v>
      </c>
      <c r="D2" s="20" t="str">
        <f ca="1">IF(AND(C2&lt;&gt;"",B2&lt;&gt;"Resolved"),TODAY()-C2,"")</f>
        <v/>
      </c>
      <c r="E2" s="20" t="s">
        <v>125</v>
      </c>
      <c r="F2" s="20" t="s">
        <v>126</v>
      </c>
      <c r="G2" s="18" t="s">
        <v>127</v>
      </c>
    </row>
    <row r="3" spans="1:7" s="18" customFormat="1">
      <c r="A3" s="18">
        <f>A2+1</f>
        <v>2</v>
      </c>
      <c r="B3" s="18" t="s">
        <v>124</v>
      </c>
      <c r="C3" s="19">
        <v>42163</v>
      </c>
      <c r="D3" s="20" t="str">
        <f t="shared" ref="D3:D41" ca="1" si="0">IF(AND(C3&lt;&gt;"",B3&lt;&gt;"Resolved"),TODAY()-C3,"")</f>
        <v/>
      </c>
      <c r="E3" s="20" t="s">
        <v>125</v>
      </c>
      <c r="F3" s="20" t="s">
        <v>126</v>
      </c>
      <c r="G3" s="18" t="s">
        <v>128</v>
      </c>
    </row>
    <row r="4" spans="1:7" s="18" customFormat="1">
      <c r="A4" s="18">
        <v>3</v>
      </c>
      <c r="B4" s="18" t="s">
        <v>124</v>
      </c>
      <c r="C4" s="19">
        <v>42170</v>
      </c>
      <c r="D4" s="20" t="str">
        <f t="shared" ca="1" si="0"/>
        <v/>
      </c>
      <c r="E4" s="20" t="s">
        <v>129</v>
      </c>
      <c r="F4" s="20" t="s">
        <v>126</v>
      </c>
      <c r="G4" s="18" t="s">
        <v>130</v>
      </c>
    </row>
    <row r="5" spans="1:7" s="18" customFormat="1">
      <c r="A5" s="18">
        <v>4</v>
      </c>
      <c r="B5" s="18" t="s">
        <v>124</v>
      </c>
      <c r="C5" s="19">
        <v>42170</v>
      </c>
      <c r="D5" s="20" t="str">
        <f t="shared" ca="1" si="0"/>
        <v/>
      </c>
      <c r="E5" s="20" t="s">
        <v>129</v>
      </c>
      <c r="F5" s="20" t="s">
        <v>126</v>
      </c>
      <c r="G5" s="18" t="s">
        <v>131</v>
      </c>
    </row>
    <row r="6" spans="1:7" s="18" customFormat="1">
      <c r="A6" s="18">
        <v>5</v>
      </c>
      <c r="B6" s="18" t="s">
        <v>124</v>
      </c>
      <c r="C6" s="19">
        <v>42170</v>
      </c>
      <c r="D6" s="20" t="str">
        <f t="shared" ca="1" si="0"/>
        <v/>
      </c>
      <c r="E6" s="20" t="s">
        <v>129</v>
      </c>
      <c r="F6" s="20" t="s">
        <v>126</v>
      </c>
      <c r="G6" s="18" t="s">
        <v>132</v>
      </c>
    </row>
    <row r="7" spans="1:7" s="21" customFormat="1" ht="28.5" customHeight="1">
      <c r="A7" s="21">
        <v>6</v>
      </c>
      <c r="B7" s="21" t="s">
        <v>133</v>
      </c>
      <c r="C7" s="22">
        <v>42170</v>
      </c>
      <c r="D7" s="23">
        <f ca="1">IF(AND(C7&lt;&gt;"",B7&lt;&gt;"Resolved"),TODAY()-C7,"")</f>
        <v>1261</v>
      </c>
      <c r="E7" s="23" t="s">
        <v>129</v>
      </c>
      <c r="F7" s="23"/>
      <c r="G7" s="41" t="s">
        <v>134</v>
      </c>
    </row>
    <row r="8" spans="1:7">
      <c r="G8" s="24" t="s">
        <v>135</v>
      </c>
    </row>
    <row r="9" spans="1:7" s="43" customFormat="1" ht="28.8">
      <c r="A9" s="43">
        <v>7</v>
      </c>
      <c r="B9" s="43" t="s">
        <v>133</v>
      </c>
      <c r="C9" s="44">
        <v>42170</v>
      </c>
      <c r="D9" s="45">
        <f t="shared" ca="1" si="0"/>
        <v>1261</v>
      </c>
      <c r="E9" s="45" t="s">
        <v>129</v>
      </c>
      <c r="F9" s="45" t="s">
        <v>125</v>
      </c>
      <c r="G9" s="46" t="s">
        <v>136</v>
      </c>
    </row>
    <row r="10" spans="1:7" s="18" customFormat="1" ht="28.8">
      <c r="C10" s="19"/>
      <c r="D10" s="20" t="str">
        <f ca="1">IF(AND(C10&lt;&gt;"",B10&lt;&gt;"Resolved"),TODAY()-C10,"")</f>
        <v/>
      </c>
      <c r="E10" s="20"/>
      <c r="F10" s="20"/>
      <c r="G10" s="47" t="s">
        <v>137</v>
      </c>
    </row>
    <row r="11" spans="1:7" s="18" customFormat="1" ht="28.8">
      <c r="C11" s="19"/>
      <c r="D11" s="20" t="str">
        <f t="shared" ca="1" si="0"/>
        <v/>
      </c>
      <c r="E11" s="20"/>
      <c r="F11" s="20"/>
      <c r="G11" s="47" t="s">
        <v>138</v>
      </c>
    </row>
    <row r="12" spans="1:7" s="38" customFormat="1">
      <c r="A12" s="38">
        <v>8</v>
      </c>
      <c r="B12" s="38" t="s">
        <v>124</v>
      </c>
      <c r="C12" s="39">
        <v>42279</v>
      </c>
      <c r="D12" s="40" t="str">
        <f t="shared" ca="1" si="0"/>
        <v/>
      </c>
      <c r="E12" s="40" t="s">
        <v>126</v>
      </c>
      <c r="F12" s="40" t="s">
        <v>126</v>
      </c>
      <c r="G12" s="38" t="s">
        <v>139</v>
      </c>
    </row>
    <row r="13" spans="1:7" s="38" customFormat="1" ht="28.8">
      <c r="C13" s="39"/>
      <c r="D13" s="40"/>
      <c r="E13" s="40"/>
      <c r="F13" s="40"/>
      <c r="G13" s="63" t="s">
        <v>140</v>
      </c>
    </row>
    <row r="14" spans="1:7" s="18" customFormat="1">
      <c r="A14" s="18">
        <f>A12+1</f>
        <v>9</v>
      </c>
      <c r="B14" s="18" t="s">
        <v>124</v>
      </c>
      <c r="C14" s="19"/>
      <c r="D14" s="20" t="str">
        <f t="shared" ca="1" si="0"/>
        <v/>
      </c>
      <c r="E14" s="20" t="s">
        <v>125</v>
      </c>
      <c r="F14" s="20" t="s">
        <v>125</v>
      </c>
      <c r="G14" s="18" t="s">
        <v>141</v>
      </c>
    </row>
    <row r="15" spans="1:7" s="18" customFormat="1">
      <c r="A15" s="18">
        <f>A14+1</f>
        <v>10</v>
      </c>
      <c r="B15" s="18" t="s">
        <v>124</v>
      </c>
      <c r="C15" s="19"/>
      <c r="D15" s="20" t="str">
        <f t="shared" ca="1" si="0"/>
        <v/>
      </c>
      <c r="E15" s="20" t="s">
        <v>125</v>
      </c>
      <c r="F15" s="20" t="s">
        <v>126</v>
      </c>
      <c r="G15" s="18" t="s">
        <v>142</v>
      </c>
    </row>
    <row r="16" spans="1:7" s="18" customFormat="1">
      <c r="A16" s="18">
        <f>A15+1</f>
        <v>11</v>
      </c>
      <c r="B16" s="18" t="s">
        <v>124</v>
      </c>
      <c r="C16" s="19"/>
      <c r="D16" s="20" t="str">
        <f t="shared" ca="1" si="0"/>
        <v/>
      </c>
      <c r="E16" s="20" t="s">
        <v>125</v>
      </c>
      <c r="F16" s="20" t="s">
        <v>125</v>
      </c>
      <c r="G16" s="18" t="s">
        <v>143</v>
      </c>
    </row>
    <row r="17" spans="1:7" s="18" customFormat="1">
      <c r="A17" s="18">
        <f>A16+1</f>
        <v>12</v>
      </c>
      <c r="B17" s="18" t="s">
        <v>124</v>
      </c>
      <c r="C17" s="19"/>
      <c r="D17" s="20" t="str">
        <f t="shared" ca="1" si="0"/>
        <v/>
      </c>
      <c r="E17" s="20" t="s">
        <v>125</v>
      </c>
      <c r="F17" s="20" t="s">
        <v>126</v>
      </c>
      <c r="G17" s="18" t="s">
        <v>144</v>
      </c>
    </row>
    <row r="18" spans="1:7" s="18" customFormat="1">
      <c r="A18" s="18">
        <f>A17+1</f>
        <v>13</v>
      </c>
      <c r="B18" s="18" t="s">
        <v>124</v>
      </c>
      <c r="C18" s="19"/>
      <c r="D18" s="20" t="str">
        <f t="shared" ca="1" si="0"/>
        <v/>
      </c>
      <c r="E18" s="20" t="s">
        <v>125</v>
      </c>
      <c r="F18" s="20" t="s">
        <v>126</v>
      </c>
      <c r="G18" s="18" t="s">
        <v>145</v>
      </c>
    </row>
    <row r="19" spans="1:7" s="18" customFormat="1">
      <c r="C19" s="19"/>
      <c r="D19" s="20"/>
      <c r="E19" s="20"/>
      <c r="F19" s="20"/>
      <c r="G19" s="18" t="s">
        <v>146</v>
      </c>
    </row>
    <row r="20" spans="1:7" s="18" customFormat="1">
      <c r="A20" s="18">
        <f>A18+1</f>
        <v>14</v>
      </c>
      <c r="B20" s="18" t="s">
        <v>124</v>
      </c>
      <c r="C20" s="19"/>
      <c r="D20" s="20" t="str">
        <f t="shared" ca="1" si="0"/>
        <v/>
      </c>
      <c r="E20" s="20" t="s">
        <v>125</v>
      </c>
      <c r="F20" s="20" t="s">
        <v>126</v>
      </c>
      <c r="G20" s="18" t="s">
        <v>147</v>
      </c>
    </row>
    <row r="21" spans="1:7" s="18" customFormat="1">
      <c r="C21" s="19"/>
      <c r="D21" s="20"/>
      <c r="E21" s="20"/>
      <c r="F21" s="20" t="s">
        <v>125</v>
      </c>
      <c r="G21" s="18" t="s">
        <v>148</v>
      </c>
    </row>
    <row r="22" spans="1:7" s="18" customFormat="1" ht="57.6">
      <c r="C22" s="19"/>
      <c r="D22" s="20"/>
      <c r="E22" s="20"/>
      <c r="F22" s="18" t="s">
        <v>125</v>
      </c>
      <c r="G22" s="47" t="s">
        <v>149</v>
      </c>
    </row>
    <row r="23" spans="1:7" s="18" customFormat="1">
      <c r="A23" s="18">
        <f>A20+1</f>
        <v>15</v>
      </c>
      <c r="B23" s="18" t="s">
        <v>124</v>
      </c>
      <c r="C23" s="19"/>
      <c r="D23" s="20" t="str">
        <f t="shared" ca="1" si="0"/>
        <v/>
      </c>
      <c r="E23" s="20" t="s">
        <v>125</v>
      </c>
      <c r="F23" s="20" t="s">
        <v>126</v>
      </c>
      <c r="G23" s="18" t="s">
        <v>150</v>
      </c>
    </row>
    <row r="24" spans="1:7" s="18" customFormat="1">
      <c r="C24" s="19"/>
      <c r="D24" s="20"/>
      <c r="E24" s="20"/>
      <c r="F24" s="20" t="s">
        <v>125</v>
      </c>
      <c r="G24" s="18" t="s">
        <v>151</v>
      </c>
    </row>
    <row r="25" spans="1:7" s="18" customFormat="1">
      <c r="C25" s="59"/>
      <c r="D25" s="20"/>
      <c r="E25" s="20"/>
      <c r="F25" s="20"/>
      <c r="G25" s="18" t="s">
        <v>152</v>
      </c>
    </row>
    <row r="26" spans="1:7" s="18" customFormat="1">
      <c r="C26" s="59"/>
      <c r="D26" s="20"/>
      <c r="E26" s="20"/>
      <c r="F26" s="20"/>
      <c r="G26" s="18" t="s">
        <v>153</v>
      </c>
    </row>
    <row r="27" spans="1:7" s="18" customFormat="1">
      <c r="C27" s="19"/>
      <c r="D27" s="20"/>
      <c r="E27" s="20"/>
      <c r="F27" s="20"/>
      <c r="G27" s="18" t="s">
        <v>154</v>
      </c>
    </row>
    <row r="28" spans="1:7" s="18" customFormat="1">
      <c r="C28" s="19"/>
      <c r="D28" s="20"/>
      <c r="E28" s="20"/>
      <c r="F28" s="20"/>
      <c r="G28" s="18" t="s">
        <v>155</v>
      </c>
    </row>
    <row r="29" spans="1:7" s="18" customFormat="1">
      <c r="A29" s="18">
        <f>A23+1</f>
        <v>16</v>
      </c>
      <c r="B29" s="18" t="s">
        <v>124</v>
      </c>
      <c r="C29" s="19"/>
      <c r="D29" s="20" t="str">
        <f t="shared" ca="1" si="0"/>
        <v/>
      </c>
      <c r="E29" s="20" t="s">
        <v>125</v>
      </c>
      <c r="F29" s="20" t="s">
        <v>126</v>
      </c>
      <c r="G29" s="18" t="s">
        <v>156</v>
      </c>
    </row>
    <row r="30" spans="1:7" s="18" customFormat="1">
      <c r="C30" s="19"/>
      <c r="D30" s="20"/>
      <c r="E30" s="20"/>
      <c r="F30" s="20"/>
      <c r="G30" s="18" t="s">
        <v>157</v>
      </c>
    </row>
    <row r="31" spans="1:7" s="18" customFormat="1">
      <c r="A31" s="18">
        <f>A29+1</f>
        <v>17</v>
      </c>
      <c r="B31" s="18" t="s">
        <v>124</v>
      </c>
      <c r="C31" s="19"/>
      <c r="D31" s="20" t="str">
        <f t="shared" ca="1" si="0"/>
        <v/>
      </c>
      <c r="E31" s="20" t="s">
        <v>125</v>
      </c>
      <c r="F31" s="20" t="s">
        <v>126</v>
      </c>
      <c r="G31" s="18" t="s">
        <v>158</v>
      </c>
    </row>
    <row r="32" spans="1:7" s="18" customFormat="1">
      <c r="C32" s="19"/>
      <c r="D32" s="20"/>
      <c r="E32" s="20"/>
      <c r="F32" s="20"/>
      <c r="G32" s="18" t="s">
        <v>159</v>
      </c>
    </row>
    <row r="33" spans="1:7" s="18" customFormat="1">
      <c r="A33" s="18">
        <f>A31+1</f>
        <v>18</v>
      </c>
      <c r="B33" s="18" t="s">
        <v>124</v>
      </c>
      <c r="C33" s="19"/>
      <c r="D33" s="20" t="str">
        <f t="shared" ca="1" si="0"/>
        <v/>
      </c>
      <c r="E33" s="20" t="s">
        <v>125</v>
      </c>
      <c r="F33" s="20" t="s">
        <v>126</v>
      </c>
      <c r="G33" s="18" t="s">
        <v>160</v>
      </c>
    </row>
    <row r="34" spans="1:7" s="18" customFormat="1">
      <c r="A34" s="18">
        <v>19</v>
      </c>
      <c r="B34" s="18" t="s">
        <v>124</v>
      </c>
      <c r="D34" s="20" t="str">
        <f t="shared" ca="1" si="0"/>
        <v/>
      </c>
      <c r="E34" s="18" t="s">
        <v>126</v>
      </c>
      <c r="F34" s="18" t="s">
        <v>125</v>
      </c>
      <c r="G34" s="18" t="s">
        <v>161</v>
      </c>
    </row>
    <row r="35" spans="1:7" s="24" customFormat="1">
      <c r="A35" s="24">
        <v>20</v>
      </c>
      <c r="B35" s="24" t="s">
        <v>162</v>
      </c>
      <c r="D35" s="25" t="str">
        <f t="shared" ca="1" si="0"/>
        <v/>
      </c>
      <c r="E35" s="25" t="s">
        <v>126</v>
      </c>
      <c r="F35" s="24" t="s">
        <v>125</v>
      </c>
      <c r="G35" s="24" t="s">
        <v>163</v>
      </c>
    </row>
    <row r="36" spans="1:7" s="24" customFormat="1">
      <c r="D36" s="25"/>
      <c r="E36" s="25"/>
      <c r="G36" s="24" t="s">
        <v>164</v>
      </c>
    </row>
    <row r="37" spans="1:7" s="18" customFormat="1">
      <c r="A37" s="18">
        <v>21</v>
      </c>
      <c r="B37" s="18" t="s">
        <v>124</v>
      </c>
      <c r="D37" s="20" t="str">
        <f t="shared" ca="1" si="0"/>
        <v/>
      </c>
      <c r="E37" s="20" t="s">
        <v>126</v>
      </c>
      <c r="F37" s="18" t="s">
        <v>125</v>
      </c>
      <c r="G37" s="18" t="s">
        <v>165</v>
      </c>
    </row>
    <row r="38" spans="1:7" s="18" customFormat="1">
      <c r="A38" s="18">
        <v>22</v>
      </c>
      <c r="B38" s="18" t="s">
        <v>124</v>
      </c>
      <c r="D38" s="20" t="str">
        <f t="shared" ca="1" si="0"/>
        <v/>
      </c>
      <c r="E38" s="18" t="s">
        <v>125</v>
      </c>
      <c r="F38" s="18" t="s">
        <v>126</v>
      </c>
      <c r="G38" s="18" t="s">
        <v>166</v>
      </c>
    </row>
    <row r="39" spans="1:7" s="18" customFormat="1">
      <c r="A39" s="18">
        <v>23</v>
      </c>
      <c r="C39" s="19">
        <v>42522</v>
      </c>
      <c r="D39" s="20"/>
      <c r="E39" s="18" t="s">
        <v>125</v>
      </c>
      <c r="F39" s="18" t="s">
        <v>126</v>
      </c>
      <c r="G39" s="18" t="s">
        <v>167</v>
      </c>
    </row>
    <row r="40" spans="1:7" s="18" customFormat="1">
      <c r="A40" s="18">
        <v>24</v>
      </c>
      <c r="C40" s="19">
        <v>42523</v>
      </c>
      <c r="D40" s="20"/>
      <c r="E40" s="18" t="s">
        <v>129</v>
      </c>
      <c r="G40" s="18" t="s">
        <v>168</v>
      </c>
    </row>
    <row r="41" spans="1:7" s="18" customFormat="1">
      <c r="D41" s="20" t="str">
        <f t="shared" ca="1" si="0"/>
        <v/>
      </c>
      <c r="E41" s="20"/>
      <c r="G41" s="18" t="s">
        <v>169</v>
      </c>
    </row>
    <row r="42" spans="1:7" s="18" customFormat="1">
      <c r="A42" s="18">
        <v>25</v>
      </c>
      <c r="C42" s="19"/>
      <c r="D42" s="20"/>
      <c r="E42" s="18" t="s">
        <v>125</v>
      </c>
      <c r="F42" s="20" t="s">
        <v>126</v>
      </c>
      <c r="G42" s="18" t="s">
        <v>170</v>
      </c>
    </row>
    <row r="43" spans="1:7" s="18" customFormat="1">
      <c r="A43" s="18">
        <v>26</v>
      </c>
      <c r="C43" s="19"/>
      <c r="D43" s="20"/>
      <c r="E43" s="20"/>
      <c r="F43" s="20" t="s">
        <v>126</v>
      </c>
      <c r="G43" s="18" t="s">
        <v>171</v>
      </c>
    </row>
    <row r="44" spans="1:7" s="55" customFormat="1">
      <c r="A44" s="55">
        <v>27</v>
      </c>
      <c r="B44" s="55" t="s">
        <v>202</v>
      </c>
      <c r="C44" s="57"/>
      <c r="D44" s="56"/>
      <c r="E44" s="56" t="s">
        <v>125</v>
      </c>
      <c r="F44" s="56" t="s">
        <v>126</v>
      </c>
      <c r="G44" s="55" t="s">
        <v>172</v>
      </c>
    </row>
    <row r="45" spans="1:7" s="18" customFormat="1" ht="43.2">
      <c r="A45" s="18">
        <v>28</v>
      </c>
      <c r="C45" s="19"/>
      <c r="D45" s="20"/>
      <c r="E45" s="20" t="s">
        <v>125</v>
      </c>
      <c r="F45" s="20"/>
      <c r="G45" s="47" t="s">
        <v>173</v>
      </c>
    </row>
    <row r="46" spans="1:7" s="18" customFormat="1">
      <c r="A46" s="18">
        <v>29</v>
      </c>
      <c r="B46" s="18" t="s">
        <v>202</v>
      </c>
      <c r="C46" s="19">
        <v>42480</v>
      </c>
      <c r="D46" s="20"/>
      <c r="E46" s="20" t="s">
        <v>125</v>
      </c>
      <c r="F46" s="20"/>
      <c r="G46" s="18" t="s">
        <v>282</v>
      </c>
    </row>
    <row r="47" spans="1:7" s="18" customFormat="1">
      <c r="A47" s="18">
        <v>30</v>
      </c>
      <c r="B47" s="18" t="s">
        <v>202</v>
      </c>
      <c r="C47" s="19">
        <v>42480</v>
      </c>
      <c r="D47" s="20"/>
      <c r="E47" s="20" t="s">
        <v>125</v>
      </c>
      <c r="F47" s="20"/>
      <c r="G47" s="18" t="s">
        <v>283</v>
      </c>
    </row>
    <row r="48" spans="1:7" s="105" customFormat="1">
      <c r="A48" s="105">
        <v>31</v>
      </c>
      <c r="B48" s="105" t="s">
        <v>202</v>
      </c>
      <c r="C48" s="106"/>
      <c r="D48" s="107"/>
      <c r="E48" s="107" t="s">
        <v>125</v>
      </c>
      <c r="F48" s="107" t="s">
        <v>125</v>
      </c>
      <c r="G48" s="105" t="s">
        <v>209</v>
      </c>
    </row>
    <row r="49" spans="1:7" s="105" customFormat="1">
      <c r="C49" s="106"/>
      <c r="D49" s="107"/>
      <c r="E49" s="107"/>
      <c r="F49" s="107"/>
      <c r="G49" s="105" t="s">
        <v>281</v>
      </c>
    </row>
    <row r="50" spans="1:7" s="24" customFormat="1">
      <c r="C50" s="108"/>
      <c r="D50" s="25"/>
      <c r="E50" s="25"/>
      <c r="F50" s="25"/>
      <c r="G50" s="24" t="s">
        <v>210</v>
      </c>
    </row>
    <row r="51" spans="1:7" s="55" customFormat="1">
      <c r="A51" s="55">
        <v>32</v>
      </c>
      <c r="B51" s="55" t="s">
        <v>202</v>
      </c>
      <c r="C51" s="57">
        <v>42480</v>
      </c>
      <c r="D51" s="56"/>
      <c r="E51" s="56" t="s">
        <v>284</v>
      </c>
      <c r="F51" s="56"/>
      <c r="G51" s="55" t="s">
        <v>285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D8E7E-34B2-4101-8511-21E00606BFDF}">
  <dimension ref="A1"/>
  <sheetViews>
    <sheetView workbookViewId="0">
      <selection activeCell="A2" sqref="A2"/>
    </sheetView>
  </sheetViews>
  <sheetFormatPr baseColWidth="10" defaultColWidth="11.44140625" defaultRowHeight="14.4"/>
  <sheetData>
    <row r="1" spans="1:1">
      <c r="A1" t="s">
        <v>2481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C05DE-C911-481B-A93A-70E5441F976C}">
  <dimension ref="A1:AO515"/>
  <sheetViews>
    <sheetView topLeftCell="O72" zoomScale="85" zoomScaleNormal="85" workbookViewId="0">
      <selection activeCell="B6" sqref="B6"/>
    </sheetView>
  </sheetViews>
  <sheetFormatPr baseColWidth="10" defaultRowHeight="14.4"/>
  <cols>
    <col min="3" max="3" width="9.6640625" customWidth="1"/>
    <col min="4" max="4" width="23" customWidth="1"/>
    <col min="5" max="5" width="22.21875" customWidth="1"/>
    <col min="6" max="6" width="20.33203125" customWidth="1"/>
    <col min="7" max="7" width="18.33203125" customWidth="1"/>
    <col min="8" max="8" width="18.77734375" customWidth="1"/>
    <col min="9" max="9" width="13.77734375" customWidth="1"/>
    <col min="11" max="11" width="25.44140625" customWidth="1"/>
    <col min="14" max="14" width="25.77734375" customWidth="1"/>
    <col min="15" max="15" width="15.44140625" customWidth="1"/>
    <col min="16" max="16" width="27.33203125" customWidth="1"/>
    <col min="17" max="17" width="17.21875" customWidth="1"/>
    <col min="18" max="18" width="15.21875" customWidth="1"/>
  </cols>
  <sheetData>
    <row r="1" spans="2:13" s="289" customFormat="1">
      <c r="B1" s="289" t="s">
        <v>3793</v>
      </c>
      <c r="D1" s="289" t="s">
        <v>3794</v>
      </c>
      <c r="E1" s="290"/>
      <c r="K1" s="290"/>
      <c r="L1" s="291"/>
      <c r="M1" s="291"/>
    </row>
    <row r="2" spans="2:13" s="289" customFormat="1">
      <c r="B2" s="292" t="s">
        <v>3795</v>
      </c>
      <c r="E2" s="290"/>
      <c r="K2" s="290"/>
      <c r="L2" s="291"/>
      <c r="M2" s="291"/>
    </row>
    <row r="3" spans="2:13" s="294" customFormat="1" ht="30" customHeight="1">
      <c r="B3" s="293" t="s">
        <v>3796</v>
      </c>
      <c r="E3" s="295"/>
      <c r="K3" s="295"/>
      <c r="L3" s="296"/>
      <c r="M3" s="296"/>
    </row>
    <row r="4" spans="2:13" s="298" customFormat="1">
      <c r="B4" s="297" t="s">
        <v>3797</v>
      </c>
      <c r="E4" s="299"/>
      <c r="K4" s="299"/>
      <c r="L4" s="300"/>
      <c r="M4" s="300"/>
    </row>
    <row r="5" spans="2:13" s="298" customFormat="1">
      <c r="B5" s="298" t="s">
        <v>3798</v>
      </c>
      <c r="E5" s="299"/>
      <c r="K5" s="299"/>
      <c r="L5" s="300"/>
      <c r="M5" s="300"/>
    </row>
    <row r="6" spans="2:13" s="297" customFormat="1">
      <c r="B6" s="297" t="s">
        <v>3799</v>
      </c>
      <c r="E6" s="301"/>
      <c r="K6" s="301"/>
      <c r="L6" s="302"/>
      <c r="M6" s="302"/>
    </row>
    <row r="7" spans="2:13" s="289" customFormat="1">
      <c r="B7" s="303" t="s">
        <v>3800</v>
      </c>
      <c r="C7" s="304"/>
      <c r="D7" s="304"/>
      <c r="E7" s="305"/>
      <c r="G7" s="304"/>
      <c r="K7" s="290"/>
      <c r="L7" s="291"/>
      <c r="M7" s="291"/>
    </row>
    <row r="8" spans="2:13" s="289" customFormat="1">
      <c r="B8" s="304"/>
      <c r="C8" s="304"/>
      <c r="D8" s="304"/>
      <c r="E8" s="305"/>
      <c r="G8" s="304"/>
      <c r="K8" s="290"/>
      <c r="L8" s="291"/>
      <c r="M8" s="291"/>
    </row>
    <row r="9" spans="2:13" s="289" customFormat="1">
      <c r="B9" s="304"/>
      <c r="C9" s="304"/>
      <c r="D9" s="304"/>
      <c r="E9" s="305"/>
      <c r="G9" s="304"/>
      <c r="K9" s="290"/>
      <c r="L9" s="291"/>
      <c r="M9" s="291"/>
    </row>
    <row r="10" spans="2:13" s="304" customFormat="1">
      <c r="B10" s="306" t="s">
        <v>3801</v>
      </c>
      <c r="C10" s="306"/>
      <c r="E10" s="305"/>
      <c r="K10" s="305"/>
      <c r="L10" s="307"/>
      <c r="M10" s="307"/>
    </row>
    <row r="11" spans="2:13" s="304" customFormat="1" ht="15" thickBot="1">
      <c r="B11" s="306" t="s">
        <v>3802</v>
      </c>
      <c r="C11" s="306"/>
      <c r="E11" s="305"/>
      <c r="F11" s="304" t="s">
        <v>3803</v>
      </c>
      <c r="K11" s="305"/>
      <c r="L11" s="307"/>
      <c r="M11" s="307"/>
    </row>
    <row r="12" spans="2:13" s="303" customFormat="1">
      <c r="B12" s="445" t="s">
        <v>0</v>
      </c>
      <c r="C12" s="436"/>
      <c r="D12" s="436"/>
      <c r="E12" s="436"/>
      <c r="F12" s="308" t="s">
        <v>3804</v>
      </c>
      <c r="G12" s="312"/>
      <c r="H12" s="312"/>
      <c r="I12" s="312"/>
      <c r="K12" s="310"/>
      <c r="L12" s="311"/>
      <c r="M12" s="311"/>
    </row>
    <row r="13" spans="2:13" s="303" customFormat="1">
      <c r="B13" s="441" t="s">
        <v>3805</v>
      </c>
      <c r="C13" s="442"/>
      <c r="D13" s="442"/>
      <c r="E13" s="442"/>
      <c r="F13" s="313" t="s">
        <v>3806</v>
      </c>
      <c r="G13" s="312"/>
      <c r="H13" s="312"/>
      <c r="I13" s="312"/>
      <c r="K13" s="310"/>
      <c r="L13" s="311"/>
      <c r="M13" s="311"/>
    </row>
    <row r="14" spans="2:13" s="303" customFormat="1">
      <c r="B14" s="441" t="s">
        <v>1</v>
      </c>
      <c r="C14" s="442"/>
      <c r="D14" s="442"/>
      <c r="E14" s="442"/>
      <c r="F14" s="314" t="s">
        <v>3807</v>
      </c>
      <c r="G14" s="315"/>
      <c r="H14" s="316"/>
      <c r="I14" s="316"/>
      <c r="J14" s="316"/>
      <c r="K14" s="310"/>
      <c r="L14" s="311"/>
      <c r="M14" s="311"/>
    </row>
    <row r="15" spans="2:13" s="303" customFormat="1">
      <c r="B15" s="441" t="s">
        <v>2</v>
      </c>
      <c r="C15" s="442"/>
      <c r="D15" s="442"/>
      <c r="E15" s="442"/>
      <c r="F15" s="317" t="s">
        <v>3808</v>
      </c>
      <c r="G15" s="318"/>
      <c r="H15" s="319"/>
      <c r="I15" s="319"/>
      <c r="K15" s="310"/>
      <c r="L15" s="311"/>
      <c r="M15" s="311"/>
    </row>
    <row r="16" spans="2:13" s="303" customFormat="1">
      <c r="B16" s="441" t="s">
        <v>3</v>
      </c>
      <c r="C16" s="442"/>
      <c r="D16" s="442"/>
      <c r="E16" s="442"/>
      <c r="F16" s="320" t="s">
        <v>3809</v>
      </c>
      <c r="G16" s="319"/>
      <c r="H16" s="319"/>
      <c r="I16" s="319"/>
      <c r="K16" s="310"/>
      <c r="L16" s="311"/>
      <c r="M16" s="311"/>
    </row>
    <row r="17" spans="2:14" s="303" customFormat="1">
      <c r="B17" s="441" t="s">
        <v>4</v>
      </c>
      <c r="C17" s="442"/>
      <c r="D17" s="442"/>
      <c r="E17" s="442"/>
      <c r="F17" s="321" t="s">
        <v>3810</v>
      </c>
      <c r="G17" s="319"/>
      <c r="H17" s="319"/>
      <c r="I17" s="319"/>
      <c r="K17" s="310"/>
      <c r="L17" s="311"/>
      <c r="M17" s="311"/>
    </row>
    <row r="18" spans="2:14" s="303" customFormat="1">
      <c r="B18" s="441" t="s">
        <v>5</v>
      </c>
      <c r="C18" s="442"/>
      <c r="D18" s="442"/>
      <c r="E18" s="442"/>
      <c r="F18" s="321" t="s">
        <v>3811</v>
      </c>
      <c r="G18" s="319"/>
      <c r="H18" s="319"/>
      <c r="I18" s="319"/>
      <c r="K18" s="310"/>
      <c r="L18" s="311"/>
      <c r="M18" s="311"/>
    </row>
    <row r="19" spans="2:14" s="303" customFormat="1">
      <c r="B19" s="441" t="s">
        <v>6</v>
      </c>
      <c r="C19" s="442"/>
      <c r="D19" s="442"/>
      <c r="E19" s="442"/>
      <c r="F19" s="314" t="s">
        <v>3812</v>
      </c>
      <c r="G19" s="318"/>
      <c r="H19" s="322"/>
      <c r="I19" s="322"/>
      <c r="J19" s="322"/>
      <c r="K19" s="322"/>
      <c r="L19" s="322"/>
      <c r="M19" s="322"/>
      <c r="N19" s="322"/>
    </row>
    <row r="20" spans="2:14" s="303" customFormat="1" ht="15" thickBot="1">
      <c r="B20" s="443" t="s">
        <v>7</v>
      </c>
      <c r="C20" s="444"/>
      <c r="D20" s="444"/>
      <c r="E20" s="444"/>
      <c r="F20" s="323" t="s">
        <v>3813</v>
      </c>
      <c r="G20" s="319"/>
      <c r="H20" s="319"/>
      <c r="I20" s="319"/>
      <c r="K20" s="310"/>
      <c r="L20" s="311"/>
      <c r="M20" s="311"/>
    </row>
    <row r="21" spans="2:14">
      <c r="B21" s="312" t="s">
        <v>3814</v>
      </c>
      <c r="C21" s="312"/>
      <c r="D21" s="312"/>
      <c r="E21" s="312"/>
      <c r="F21" s="319"/>
    </row>
    <row r="23" spans="2:14">
      <c r="B23" s="324" t="s">
        <v>3815</v>
      </c>
      <c r="C23" s="312"/>
      <c r="D23" s="325"/>
      <c r="E23" s="326"/>
      <c r="F23" s="303"/>
      <c r="G23" s="303"/>
      <c r="H23" s="303"/>
      <c r="I23" s="303"/>
    </row>
    <row r="24" spans="2:14" ht="15" thickBot="1">
      <c r="B24" s="324" t="s">
        <v>3816</v>
      </c>
      <c r="C24" s="312"/>
      <c r="D24" s="325"/>
      <c r="E24" s="326"/>
      <c r="F24" s="303" t="s">
        <v>3803</v>
      </c>
      <c r="G24" s="303"/>
      <c r="H24" s="303"/>
      <c r="I24" s="303"/>
    </row>
    <row r="25" spans="2:14">
      <c r="B25" s="445" t="s">
        <v>8</v>
      </c>
      <c r="C25" s="436"/>
      <c r="D25" s="436"/>
      <c r="E25" s="436"/>
      <c r="F25" s="327">
        <v>0.84199999999999997</v>
      </c>
      <c r="G25" s="303"/>
      <c r="H25" s="303"/>
      <c r="I25" s="303"/>
    </row>
    <row r="26" spans="2:14">
      <c r="B26" s="441" t="s">
        <v>9</v>
      </c>
      <c r="C26" s="442"/>
      <c r="D26" s="442"/>
      <c r="E26" s="442"/>
      <c r="F26" s="328">
        <v>0.55200000000000005</v>
      </c>
      <c r="G26" s="303"/>
      <c r="H26" s="303"/>
      <c r="I26" s="303"/>
    </row>
    <row r="27" spans="2:14">
      <c r="B27" s="441" t="s">
        <v>10</v>
      </c>
      <c r="C27" s="442"/>
      <c r="D27" s="442"/>
      <c r="E27" s="442"/>
      <c r="F27" s="329">
        <v>0.12180000000000001</v>
      </c>
      <c r="G27" s="303"/>
      <c r="H27" s="303"/>
      <c r="I27" s="303"/>
    </row>
    <row r="28" spans="2:14">
      <c r="B28" s="441" t="s">
        <v>11</v>
      </c>
      <c r="C28" s="442"/>
      <c r="D28" s="442"/>
      <c r="E28" s="442"/>
      <c r="F28" s="329">
        <v>2.8799999999999999E-2</v>
      </c>
      <c r="G28" s="303"/>
      <c r="H28" s="303"/>
      <c r="I28" s="303"/>
    </row>
    <row r="29" spans="2:14">
      <c r="B29" s="441" t="s">
        <v>12</v>
      </c>
      <c r="C29" s="442"/>
      <c r="D29" s="442"/>
      <c r="E29" s="442"/>
      <c r="F29" s="330">
        <f>F27+F28</f>
        <v>0.15060000000000001</v>
      </c>
      <c r="G29" s="303"/>
      <c r="H29" s="303"/>
      <c r="I29" s="303"/>
    </row>
    <row r="30" spans="2:14">
      <c r="B30" s="441" t="s">
        <v>13</v>
      </c>
      <c r="C30" s="442"/>
      <c r="D30" s="442"/>
      <c r="E30" s="442"/>
      <c r="F30" s="329">
        <v>9.9199999999999997E-2</v>
      </c>
      <c r="G30" s="303"/>
      <c r="H30" s="303"/>
      <c r="I30" s="303"/>
    </row>
    <row r="31" spans="2:14">
      <c r="B31" s="441" t="s">
        <v>14</v>
      </c>
      <c r="C31" s="442"/>
      <c r="D31" s="442"/>
      <c r="E31" s="442"/>
      <c r="F31" s="329">
        <v>1</v>
      </c>
      <c r="G31" s="303" t="s">
        <v>3817</v>
      </c>
      <c r="H31" s="303"/>
      <c r="I31" s="303"/>
    </row>
    <row r="32" spans="2:14" ht="15" thickBot="1">
      <c r="B32" s="443" t="s">
        <v>15</v>
      </c>
      <c r="C32" s="444"/>
      <c r="D32" s="444"/>
      <c r="E32" s="444"/>
      <c r="F32" s="331">
        <v>1</v>
      </c>
      <c r="G32" s="303"/>
      <c r="H32" s="303"/>
      <c r="I32" s="303"/>
    </row>
    <row r="33" spans="1:24">
      <c r="A33" s="303"/>
      <c r="B33" s="312"/>
      <c r="C33" s="312"/>
      <c r="D33" s="312"/>
      <c r="E33" s="312"/>
      <c r="F33" s="332"/>
      <c r="G33" s="303"/>
      <c r="H33" s="303"/>
      <c r="I33" s="303"/>
      <c r="J33" s="303"/>
      <c r="K33" s="310"/>
      <c r="L33" s="311"/>
      <c r="M33" s="311"/>
      <c r="N33" s="303"/>
      <c r="O33" s="303"/>
      <c r="P33" s="303"/>
      <c r="Q33" s="303"/>
      <c r="R33" s="303"/>
      <c r="S33" s="303"/>
      <c r="T33" s="303"/>
      <c r="U33" s="303"/>
      <c r="V33" s="303"/>
      <c r="W33" s="303"/>
      <c r="X33" s="303"/>
    </row>
    <row r="34" spans="1:24">
      <c r="A34" s="303"/>
      <c r="B34" s="333" t="s">
        <v>3818</v>
      </c>
      <c r="C34" s="319"/>
      <c r="D34" s="303"/>
      <c r="E34" s="310"/>
      <c r="F34" s="303"/>
      <c r="G34" s="303"/>
      <c r="H34" s="303"/>
      <c r="I34" s="303"/>
      <c r="J34" s="303"/>
      <c r="K34" s="310"/>
      <c r="L34" s="311"/>
      <c r="M34" s="311"/>
      <c r="N34" s="303"/>
      <c r="O34" s="303"/>
      <c r="P34" s="303"/>
      <c r="Q34" s="303"/>
      <c r="R34" s="303"/>
      <c r="S34" s="303"/>
      <c r="T34" s="303"/>
      <c r="U34" s="303"/>
      <c r="V34" s="303"/>
      <c r="W34" s="303"/>
      <c r="X34" s="303"/>
    </row>
    <row r="35" spans="1:24">
      <c r="A35" s="289"/>
      <c r="B35" s="289"/>
      <c r="C35" s="289"/>
      <c r="D35" s="289"/>
      <c r="E35" s="289"/>
      <c r="F35" s="290"/>
      <c r="G35" s="289"/>
      <c r="H35" s="304"/>
      <c r="I35" s="304"/>
      <c r="J35" s="289"/>
      <c r="K35" s="289"/>
      <c r="L35" s="289"/>
      <c r="M35" s="289"/>
      <c r="N35" s="289"/>
      <c r="O35" s="289"/>
      <c r="P35" s="289"/>
      <c r="Q35" s="289"/>
      <c r="R35" s="289"/>
      <c r="S35" s="289"/>
      <c r="T35" s="289"/>
      <c r="U35" s="289"/>
      <c r="V35" s="289"/>
      <c r="W35" s="289"/>
      <c r="X35" s="289"/>
    </row>
    <row r="36" spans="1:24" ht="15" thickBot="1">
      <c r="A36" s="303"/>
      <c r="B36" s="333" t="s">
        <v>3819</v>
      </c>
      <c r="C36" s="303"/>
      <c r="D36" s="303"/>
      <c r="E36" s="310"/>
      <c r="F36" s="310"/>
      <c r="G36" s="303"/>
      <c r="H36" s="303" t="s">
        <v>3820</v>
      </c>
      <c r="I36" s="303"/>
      <c r="J36" s="303"/>
      <c r="K36" s="303"/>
      <c r="L36" s="303"/>
      <c r="M36" s="303"/>
      <c r="N36" s="303"/>
      <c r="O36" s="303"/>
      <c r="P36" s="303"/>
      <c r="Q36" s="303"/>
      <c r="R36" s="303"/>
      <c r="S36" s="303"/>
      <c r="T36" s="303"/>
      <c r="U36" s="303"/>
      <c r="V36" s="303"/>
      <c r="W36" s="303"/>
      <c r="X36" s="303"/>
    </row>
    <row r="37" spans="1:24" ht="15" customHeight="1" thickBot="1">
      <c r="A37" s="319"/>
      <c r="B37" s="437" t="s">
        <v>3821</v>
      </c>
      <c r="C37" s="438"/>
      <c r="D37" s="438"/>
      <c r="E37" s="439" t="s">
        <v>17</v>
      </c>
      <c r="F37" s="440"/>
      <c r="G37" s="334" t="s">
        <v>3822</v>
      </c>
      <c r="H37" s="335"/>
      <c r="I37" s="335"/>
      <c r="J37" s="336"/>
      <c r="K37" s="431" t="s">
        <v>3823</v>
      </c>
      <c r="L37" s="432"/>
      <c r="M37" s="432"/>
      <c r="N37" s="432"/>
      <c r="O37" s="432"/>
      <c r="P37" s="432"/>
      <c r="Q37" s="432"/>
      <c r="R37" s="433"/>
    </row>
    <row r="38" spans="1:24" ht="15" thickBot="1">
      <c r="A38" s="319"/>
      <c r="B38" s="434" t="s">
        <v>16</v>
      </c>
      <c r="C38" s="435"/>
      <c r="D38" s="435"/>
      <c r="E38" s="337" t="s">
        <v>18</v>
      </c>
      <c r="F38" s="338" t="s">
        <v>212</v>
      </c>
      <c r="G38" s="339" t="s">
        <v>2677</v>
      </c>
      <c r="H38" s="340" t="s">
        <v>2678</v>
      </c>
      <c r="I38" s="340" t="s">
        <v>2679</v>
      </c>
      <c r="J38" s="340" t="s">
        <v>2680</v>
      </c>
      <c r="K38" s="334" t="s">
        <v>204</v>
      </c>
      <c r="L38" s="336" t="s">
        <v>203</v>
      </c>
      <c r="M38" s="336"/>
      <c r="N38" s="336" t="s">
        <v>205</v>
      </c>
      <c r="O38" s="436" t="s">
        <v>216</v>
      </c>
      <c r="P38" s="436"/>
      <c r="Q38" s="336" t="s">
        <v>206</v>
      </c>
      <c r="R38" s="336" t="s">
        <v>207</v>
      </c>
      <c r="S38" s="336" t="s">
        <v>217</v>
      </c>
      <c r="T38" s="327" t="s">
        <v>218</v>
      </c>
    </row>
    <row r="39" spans="1:24">
      <c r="A39" s="319"/>
      <c r="B39" s="341" t="s">
        <v>3824</v>
      </c>
      <c r="C39" s="342"/>
      <c r="D39" s="343" t="s">
        <v>3825</v>
      </c>
      <c r="E39" s="344">
        <v>-3.3978609999999998</v>
      </c>
      <c r="F39" s="345">
        <v>34.837608000000003</v>
      </c>
      <c r="G39" s="346">
        <v>12.565665055683967</v>
      </c>
      <c r="H39" s="347">
        <v>0.9665896196679955</v>
      </c>
      <c r="I39" s="347">
        <v>86.467745324648035</v>
      </c>
      <c r="J39" s="348">
        <v>1.0225726959093147</v>
      </c>
      <c r="K39" s="344" t="s">
        <v>229</v>
      </c>
      <c r="L39" s="349" t="s">
        <v>257</v>
      </c>
      <c r="M39" s="349"/>
      <c r="N39" s="349" t="s">
        <v>2672</v>
      </c>
      <c r="O39" s="349" t="s">
        <v>3826</v>
      </c>
      <c r="P39" s="349"/>
      <c r="Q39" s="349" t="s">
        <v>247</v>
      </c>
      <c r="R39" s="349" t="s">
        <v>247</v>
      </c>
      <c r="S39" s="349" t="s">
        <v>234</v>
      </c>
      <c r="T39" s="308" t="s">
        <v>3827</v>
      </c>
    </row>
    <row r="40" spans="1:24">
      <c r="A40" s="319"/>
      <c r="B40" s="350" t="s">
        <v>3828</v>
      </c>
      <c r="C40" s="351"/>
      <c r="D40" s="352" t="s">
        <v>3825</v>
      </c>
      <c r="E40" s="378">
        <v>-3.3978290019999999</v>
      </c>
      <c r="F40" s="354">
        <v>34.837011969999999</v>
      </c>
      <c r="G40" s="355">
        <v>21.13063730679653</v>
      </c>
      <c r="H40" s="356">
        <v>3.0912555579081076</v>
      </c>
      <c r="I40" s="356">
        <v>75.778107135295357</v>
      </c>
      <c r="J40" s="357">
        <v>0.46131099063578063</v>
      </c>
      <c r="K40" s="378" t="s">
        <v>229</v>
      </c>
      <c r="L40" s="423" t="s">
        <v>257</v>
      </c>
      <c r="M40" s="423"/>
      <c r="N40" s="358" t="s">
        <v>2670</v>
      </c>
      <c r="O40" s="358" t="s">
        <v>3826</v>
      </c>
      <c r="P40" s="358"/>
      <c r="Q40" s="358" t="s">
        <v>247</v>
      </c>
      <c r="R40" s="358" t="s">
        <v>247</v>
      </c>
      <c r="S40" s="358" t="s">
        <v>234</v>
      </c>
      <c r="T40" s="313" t="s">
        <v>3827</v>
      </c>
    </row>
    <row r="41" spans="1:24">
      <c r="A41" s="319"/>
      <c r="B41" s="350" t="s">
        <v>3829</v>
      </c>
      <c r="C41" s="351"/>
      <c r="D41" s="352" t="s">
        <v>3825</v>
      </c>
      <c r="E41" s="378">
        <v>-3.3854090330000002</v>
      </c>
      <c r="F41" s="354">
        <v>34.818901029999999</v>
      </c>
      <c r="G41" s="355">
        <v>54.080969906906262</v>
      </c>
      <c r="H41" s="356">
        <v>21.264484651351896</v>
      </c>
      <c r="I41" s="356">
        <v>24.654545441741845</v>
      </c>
      <c r="J41" s="357">
        <v>1.8433218334154755</v>
      </c>
      <c r="K41" s="378" t="s">
        <v>229</v>
      </c>
      <c r="L41" s="423" t="s">
        <v>257</v>
      </c>
      <c r="M41" s="423"/>
      <c r="N41" s="358" t="s">
        <v>2673</v>
      </c>
      <c r="O41" s="358" t="s">
        <v>3826</v>
      </c>
      <c r="P41" s="358"/>
      <c r="Q41" s="358" t="s">
        <v>247</v>
      </c>
      <c r="R41" s="358" t="s">
        <v>247</v>
      </c>
      <c r="S41" s="358" t="s">
        <v>234</v>
      </c>
      <c r="T41" s="313" t="s">
        <v>3827</v>
      </c>
    </row>
    <row r="42" spans="1:24">
      <c r="A42" s="319"/>
      <c r="B42" s="350" t="s">
        <v>3830</v>
      </c>
      <c r="C42" s="351"/>
      <c r="D42" s="352" t="s">
        <v>3825</v>
      </c>
      <c r="E42" s="378">
        <v>-3.3849129919999998</v>
      </c>
      <c r="F42" s="354">
        <v>34.818899020000003</v>
      </c>
      <c r="G42" s="355">
        <v>51.960000000000008</v>
      </c>
      <c r="H42" s="356">
        <v>18.919999999999995</v>
      </c>
      <c r="I42" s="356">
        <v>29.120000000000005</v>
      </c>
      <c r="J42" s="357">
        <v>1.85293247905372</v>
      </c>
      <c r="K42" s="378" t="s">
        <v>229</v>
      </c>
      <c r="L42" s="423" t="s">
        <v>257</v>
      </c>
      <c r="M42" s="423"/>
      <c r="N42" s="358" t="s">
        <v>2673</v>
      </c>
      <c r="O42" s="358" t="s">
        <v>3826</v>
      </c>
      <c r="P42" s="358"/>
      <c r="Q42" s="358" t="s">
        <v>247</v>
      </c>
      <c r="R42" s="358" t="s">
        <v>247</v>
      </c>
      <c r="S42" s="358" t="s">
        <v>234</v>
      </c>
      <c r="T42" s="313" t="s">
        <v>3827</v>
      </c>
    </row>
    <row r="43" spans="1:24">
      <c r="A43" s="319"/>
      <c r="B43" s="350" t="s">
        <v>3831</v>
      </c>
      <c r="C43" s="351"/>
      <c r="D43" s="352" t="s">
        <v>3832</v>
      </c>
      <c r="E43" s="378">
        <v>-3.4092039989999998</v>
      </c>
      <c r="F43" s="354">
        <v>34.852751009999999</v>
      </c>
      <c r="G43" s="355">
        <v>23.96</v>
      </c>
      <c r="H43" s="356">
        <v>0.91999999999999804</v>
      </c>
      <c r="I43" s="356">
        <v>75.12</v>
      </c>
      <c r="J43" s="357">
        <v>1.2493839329719072</v>
      </c>
      <c r="K43" s="378" t="s">
        <v>229</v>
      </c>
      <c r="L43" s="423" t="s">
        <v>244</v>
      </c>
      <c r="M43" s="423"/>
      <c r="N43" s="358" t="s">
        <v>2670</v>
      </c>
      <c r="O43" s="358" t="s">
        <v>3826</v>
      </c>
      <c r="P43" s="358"/>
      <c r="Q43" s="358" t="s">
        <v>247</v>
      </c>
      <c r="R43" s="358" t="s">
        <v>247</v>
      </c>
      <c r="S43" s="358" t="s">
        <v>234</v>
      </c>
      <c r="T43" s="313" t="s">
        <v>3827</v>
      </c>
    </row>
    <row r="44" spans="1:24">
      <c r="A44" s="319"/>
      <c r="B44" s="350" t="s">
        <v>3833</v>
      </c>
      <c r="C44" s="351"/>
      <c r="D44" s="352" t="s">
        <v>3832</v>
      </c>
      <c r="E44" s="378">
        <v>-3.4083420040000001</v>
      </c>
      <c r="F44" s="354">
        <v>34.850283040000001</v>
      </c>
      <c r="G44" s="355">
        <v>19.96</v>
      </c>
      <c r="H44" s="356">
        <v>4.9199999999999982</v>
      </c>
      <c r="I44" s="356">
        <v>75.12</v>
      </c>
      <c r="J44" s="357">
        <v>1.641498275012321</v>
      </c>
      <c r="K44" s="378" t="s">
        <v>229</v>
      </c>
      <c r="L44" s="423" t="s">
        <v>244</v>
      </c>
      <c r="M44" s="423"/>
      <c r="N44" s="358" t="s">
        <v>2671</v>
      </c>
      <c r="O44" s="358" t="s">
        <v>3826</v>
      </c>
      <c r="P44" s="358"/>
      <c r="Q44" s="358" t="s">
        <v>247</v>
      </c>
      <c r="R44" s="358" t="s">
        <v>247</v>
      </c>
      <c r="S44" s="358" t="s">
        <v>234</v>
      </c>
      <c r="T44" s="313" t="s">
        <v>3827</v>
      </c>
    </row>
    <row r="45" spans="1:24">
      <c r="A45" s="319"/>
      <c r="B45" s="350" t="s">
        <v>3834</v>
      </c>
      <c r="C45" s="351"/>
      <c r="D45" s="352" t="s">
        <v>3832</v>
      </c>
      <c r="E45" s="378">
        <v>-3.406225992</v>
      </c>
      <c r="F45" s="354">
        <v>34.85055998</v>
      </c>
      <c r="G45" s="355">
        <v>21.96</v>
      </c>
      <c r="H45" s="356">
        <v>8.9199999999999982</v>
      </c>
      <c r="I45" s="356">
        <v>69.12</v>
      </c>
      <c r="J45" s="357">
        <v>1.7491375061606702</v>
      </c>
      <c r="K45" s="378" t="s">
        <v>229</v>
      </c>
      <c r="L45" s="423" t="s">
        <v>244</v>
      </c>
      <c r="M45" s="423"/>
      <c r="N45" s="358" t="s">
        <v>2670</v>
      </c>
      <c r="O45" s="358" t="s">
        <v>3826</v>
      </c>
      <c r="P45" s="358"/>
      <c r="Q45" s="358" t="s">
        <v>247</v>
      </c>
      <c r="R45" s="358" t="s">
        <v>247</v>
      </c>
      <c r="S45" s="358" t="s">
        <v>234</v>
      </c>
      <c r="T45" s="313" t="s">
        <v>3827</v>
      </c>
    </row>
    <row r="46" spans="1:24">
      <c r="A46" s="319"/>
      <c r="B46" s="350" t="s">
        <v>3835</v>
      </c>
      <c r="C46" s="351"/>
      <c r="D46" s="352" t="s">
        <v>3832</v>
      </c>
      <c r="E46" s="378">
        <v>-3.4064239729999999</v>
      </c>
      <c r="F46" s="354">
        <v>34.851213010000002</v>
      </c>
      <c r="G46" s="355">
        <v>25.96</v>
      </c>
      <c r="H46" s="356">
        <v>6.9200000000000008</v>
      </c>
      <c r="I46" s="356">
        <v>67.12</v>
      </c>
      <c r="J46" s="357">
        <v>1.7568260226712666</v>
      </c>
      <c r="K46" s="378" t="s">
        <v>229</v>
      </c>
      <c r="L46" s="423" t="s">
        <v>244</v>
      </c>
      <c r="M46" s="423"/>
      <c r="N46" s="358" t="s">
        <v>2670</v>
      </c>
      <c r="O46" s="358" t="s">
        <v>3826</v>
      </c>
      <c r="P46" s="358"/>
      <c r="Q46" s="358" t="s">
        <v>247</v>
      </c>
      <c r="R46" s="358" t="s">
        <v>247</v>
      </c>
      <c r="S46" s="358" t="s">
        <v>234</v>
      </c>
      <c r="T46" s="313" t="s">
        <v>3827</v>
      </c>
    </row>
    <row r="47" spans="1:24">
      <c r="A47" s="319"/>
      <c r="B47" s="350" t="s">
        <v>3836</v>
      </c>
      <c r="C47" s="351"/>
      <c r="D47" s="352" t="s">
        <v>3837</v>
      </c>
      <c r="E47" s="378">
        <v>-3.2993960379999998</v>
      </c>
      <c r="F47" s="354">
        <v>34.848240959999998</v>
      </c>
      <c r="G47" s="355">
        <v>47.96</v>
      </c>
      <c r="H47" s="356">
        <v>22.919999999999995</v>
      </c>
      <c r="I47" s="356">
        <v>29.120000000000012</v>
      </c>
      <c r="J47" s="357">
        <v>2.8831936914736325</v>
      </c>
      <c r="K47" s="378" t="s">
        <v>229</v>
      </c>
      <c r="L47" s="423" t="s">
        <v>230</v>
      </c>
      <c r="M47" s="423"/>
      <c r="N47" s="358" t="s">
        <v>2673</v>
      </c>
      <c r="O47" s="358" t="s">
        <v>3826</v>
      </c>
      <c r="P47" s="358"/>
      <c r="Q47" s="358" t="s">
        <v>247</v>
      </c>
      <c r="R47" s="358" t="s">
        <v>247</v>
      </c>
      <c r="S47" s="358" t="s">
        <v>234</v>
      </c>
      <c r="T47" s="313" t="s">
        <v>3827</v>
      </c>
    </row>
    <row r="48" spans="1:24">
      <c r="A48" s="319"/>
      <c r="B48" s="350" t="s">
        <v>3838</v>
      </c>
      <c r="C48" s="351"/>
      <c r="D48" s="352" t="s">
        <v>3837</v>
      </c>
      <c r="E48" s="378">
        <v>-3.3025860229999999</v>
      </c>
      <c r="F48" s="354">
        <v>34.848048009999999</v>
      </c>
      <c r="G48" s="355">
        <v>45.272914521112256</v>
      </c>
      <c r="H48" s="356">
        <v>23.604531410916575</v>
      </c>
      <c r="I48" s="356">
        <v>31.122554067971166</v>
      </c>
      <c r="J48" s="357">
        <v>2.0547560374568752</v>
      </c>
      <c r="K48" s="378" t="s">
        <v>229</v>
      </c>
      <c r="L48" s="423" t="s">
        <v>230</v>
      </c>
      <c r="M48" s="423"/>
      <c r="N48" s="358" t="s">
        <v>2673</v>
      </c>
      <c r="O48" s="358" t="s">
        <v>3826</v>
      </c>
      <c r="P48" s="358"/>
      <c r="Q48" s="358" t="s">
        <v>247</v>
      </c>
      <c r="R48" s="358" t="s">
        <v>247</v>
      </c>
      <c r="S48" s="358" t="s">
        <v>234</v>
      </c>
      <c r="T48" s="313" t="s">
        <v>3827</v>
      </c>
    </row>
    <row r="49" spans="1:20">
      <c r="A49" s="319"/>
      <c r="B49" s="350" t="s">
        <v>3839</v>
      </c>
      <c r="C49" s="351"/>
      <c r="D49" s="352" t="s">
        <v>3837</v>
      </c>
      <c r="E49" s="378">
        <v>-3.2957159630000001</v>
      </c>
      <c r="F49" s="354">
        <v>34.852460999999998</v>
      </c>
      <c r="G49" s="355">
        <v>38.691629007962128</v>
      </c>
      <c r="H49" s="356">
        <v>26.81299763288143</v>
      </c>
      <c r="I49" s="356">
        <v>34.495373359156439</v>
      </c>
      <c r="J49" s="357">
        <v>2.5483587974371611</v>
      </c>
      <c r="K49" s="378" t="s">
        <v>229</v>
      </c>
      <c r="L49" s="423" t="s">
        <v>230</v>
      </c>
      <c r="M49" s="423"/>
      <c r="N49" s="358" t="s">
        <v>2675</v>
      </c>
      <c r="O49" s="358" t="s">
        <v>3826</v>
      </c>
      <c r="P49" s="358"/>
      <c r="Q49" s="358" t="s">
        <v>247</v>
      </c>
      <c r="R49" s="358" t="s">
        <v>247</v>
      </c>
      <c r="S49" s="358" t="s">
        <v>234</v>
      </c>
      <c r="T49" s="313" t="s">
        <v>3827</v>
      </c>
    </row>
    <row r="50" spans="1:20">
      <c r="A50" s="319"/>
      <c r="B50" s="350" t="s">
        <v>3840</v>
      </c>
      <c r="C50" s="351"/>
      <c r="D50" s="352" t="s">
        <v>3837</v>
      </c>
      <c r="E50" s="378">
        <v>-3.2966709980000002</v>
      </c>
      <c r="F50" s="354">
        <v>34.854407019999996</v>
      </c>
      <c r="G50" s="355">
        <v>28.145762029394</v>
      </c>
      <c r="H50" s="356">
        <v>25.085564727199518</v>
      </c>
      <c r="I50" s="356">
        <v>46.768673243406489</v>
      </c>
      <c r="J50" s="357">
        <v>2.1716214884179394</v>
      </c>
      <c r="K50" s="378" t="s">
        <v>229</v>
      </c>
      <c r="L50" s="423" t="s">
        <v>230</v>
      </c>
      <c r="M50" s="423"/>
      <c r="N50" s="358" t="s">
        <v>2670</v>
      </c>
      <c r="O50" s="358" t="s">
        <v>3826</v>
      </c>
      <c r="P50" s="358"/>
      <c r="Q50" s="358" t="s">
        <v>247</v>
      </c>
      <c r="R50" s="358" t="s">
        <v>247</v>
      </c>
      <c r="S50" s="358" t="s">
        <v>234</v>
      </c>
      <c r="T50" s="313" t="s">
        <v>3827</v>
      </c>
    </row>
    <row r="51" spans="1:20">
      <c r="A51" s="303"/>
      <c r="B51" s="350" t="s">
        <v>3841</v>
      </c>
      <c r="C51" s="351"/>
      <c r="D51" s="352" t="s">
        <v>3842</v>
      </c>
      <c r="E51" s="378">
        <v>-2.3691620310000001</v>
      </c>
      <c r="F51" s="354">
        <v>34.06028104</v>
      </c>
      <c r="G51" s="355">
        <v>45.96</v>
      </c>
      <c r="H51" s="356">
        <v>14.920000000000003</v>
      </c>
      <c r="I51" s="356">
        <v>39.119999999999997</v>
      </c>
      <c r="J51" s="357">
        <v>2.0374568753080333</v>
      </c>
      <c r="K51" s="378" t="s">
        <v>229</v>
      </c>
      <c r="L51" s="423" t="s">
        <v>257</v>
      </c>
      <c r="M51" s="423"/>
      <c r="N51" s="358" t="s">
        <v>2673</v>
      </c>
      <c r="O51" s="358" t="s">
        <v>3826</v>
      </c>
      <c r="P51" s="358"/>
      <c r="Q51" s="358" t="s">
        <v>247</v>
      </c>
      <c r="R51" s="358" t="s">
        <v>247</v>
      </c>
      <c r="S51" s="358" t="s">
        <v>234</v>
      </c>
      <c r="T51" s="313" t="s">
        <v>3827</v>
      </c>
    </row>
    <row r="52" spans="1:20">
      <c r="A52" s="303"/>
      <c r="B52" s="350" t="s">
        <v>3843</v>
      </c>
      <c r="C52" s="351"/>
      <c r="D52" s="352" t="s">
        <v>3842</v>
      </c>
      <c r="E52" s="378">
        <v>-2.3698080240000001</v>
      </c>
      <c r="F52" s="354">
        <v>34.059671010000002</v>
      </c>
      <c r="G52" s="355">
        <v>34.344660194174757</v>
      </c>
      <c r="H52" s="356">
        <v>19.22727272727273</v>
      </c>
      <c r="I52" s="356">
        <v>46.428067078552509</v>
      </c>
      <c r="J52" s="357">
        <v>1.7452932479053718</v>
      </c>
      <c r="K52" s="378" t="s">
        <v>229</v>
      </c>
      <c r="L52" s="423" t="s">
        <v>257</v>
      </c>
      <c r="M52" s="423"/>
      <c r="N52" s="358" t="s">
        <v>2670</v>
      </c>
      <c r="O52" s="358" t="s">
        <v>3826</v>
      </c>
      <c r="P52" s="358"/>
      <c r="Q52" s="358" t="s">
        <v>247</v>
      </c>
      <c r="R52" s="358" t="s">
        <v>247</v>
      </c>
      <c r="S52" s="358" t="s">
        <v>234</v>
      </c>
      <c r="T52" s="313" t="s">
        <v>3827</v>
      </c>
    </row>
    <row r="53" spans="1:20">
      <c r="A53" s="303"/>
      <c r="B53" s="350" t="s">
        <v>3844</v>
      </c>
      <c r="C53" s="351"/>
      <c r="D53" s="352" t="s">
        <v>3842</v>
      </c>
      <c r="E53" s="378">
        <v>-2.3487199940000001</v>
      </c>
      <c r="F53" s="354">
        <v>34.051391029999998</v>
      </c>
      <c r="G53" s="355">
        <v>27.96</v>
      </c>
      <c r="H53" s="356">
        <v>4.9200000000000017</v>
      </c>
      <c r="I53" s="356">
        <v>67.12</v>
      </c>
      <c r="J53" s="357">
        <v>0.88610152784622953</v>
      </c>
      <c r="K53" s="378" t="s">
        <v>229</v>
      </c>
      <c r="L53" s="423" t="s">
        <v>257</v>
      </c>
      <c r="M53" s="423"/>
      <c r="N53" s="358" t="s">
        <v>2670</v>
      </c>
      <c r="O53" s="358" t="s">
        <v>3826</v>
      </c>
      <c r="P53" s="358"/>
      <c r="Q53" s="358" t="s">
        <v>247</v>
      </c>
      <c r="R53" s="358" t="s">
        <v>247</v>
      </c>
      <c r="S53" s="358" t="s">
        <v>234</v>
      </c>
      <c r="T53" s="313" t="s">
        <v>3827</v>
      </c>
    </row>
    <row r="54" spans="1:20">
      <c r="A54" s="303"/>
      <c r="B54" s="350" t="s">
        <v>3845</v>
      </c>
      <c r="C54" s="351"/>
      <c r="D54" s="352" t="s">
        <v>3842</v>
      </c>
      <c r="E54" s="378">
        <v>-2.3492639789999998</v>
      </c>
      <c r="F54" s="354">
        <v>34.051464029999998</v>
      </c>
      <c r="G54" s="355">
        <v>17.96</v>
      </c>
      <c r="H54" s="356">
        <v>4.9199999999999982</v>
      </c>
      <c r="I54" s="356">
        <v>77.12</v>
      </c>
      <c r="J54" s="357">
        <v>2.0220798422868409</v>
      </c>
      <c r="K54" s="378" t="s">
        <v>229</v>
      </c>
      <c r="L54" s="423" t="s">
        <v>257</v>
      </c>
      <c r="M54" s="423"/>
      <c r="N54" s="358" t="s">
        <v>2671</v>
      </c>
      <c r="O54" s="358" t="s">
        <v>3826</v>
      </c>
      <c r="P54" s="358"/>
      <c r="Q54" s="358" t="s">
        <v>247</v>
      </c>
      <c r="R54" s="358" t="s">
        <v>247</v>
      </c>
      <c r="S54" s="358" t="s">
        <v>234</v>
      </c>
      <c r="T54" s="313" t="s">
        <v>3827</v>
      </c>
    </row>
    <row r="55" spans="1:20">
      <c r="B55" s="350" t="s">
        <v>3846</v>
      </c>
      <c r="C55" s="351"/>
      <c r="D55" s="352" t="s">
        <v>3847</v>
      </c>
      <c r="E55" s="378">
        <v>-2.3503360249999998</v>
      </c>
      <c r="F55" s="354">
        <v>34.049662009999999</v>
      </c>
      <c r="G55" s="355">
        <v>31.214836424255054</v>
      </c>
      <c r="H55" s="356">
        <v>11.377370285476141</v>
      </c>
      <c r="I55" s="356">
        <v>57.407793290268799</v>
      </c>
      <c r="J55" s="357">
        <v>1.7337604731394776</v>
      </c>
      <c r="K55" s="378" t="s">
        <v>229</v>
      </c>
      <c r="L55" s="423" t="s">
        <v>244</v>
      </c>
      <c r="M55" s="423"/>
      <c r="N55" s="358" t="s">
        <v>2670</v>
      </c>
      <c r="O55" s="358" t="s">
        <v>3826</v>
      </c>
      <c r="P55" s="358"/>
      <c r="Q55" s="358" t="s">
        <v>247</v>
      </c>
      <c r="R55" s="358" t="s">
        <v>247</v>
      </c>
      <c r="S55" s="358" t="s">
        <v>234</v>
      </c>
      <c r="T55" s="313" t="s">
        <v>3827</v>
      </c>
    </row>
    <row r="56" spans="1:20">
      <c r="B56" s="350" t="s">
        <v>3848</v>
      </c>
      <c r="C56" s="351"/>
      <c r="D56" s="352" t="s">
        <v>3847</v>
      </c>
      <c r="E56" s="378">
        <v>-2.348596025</v>
      </c>
      <c r="F56" s="354">
        <v>34.050070959999999</v>
      </c>
      <c r="G56" s="355">
        <v>33.96</v>
      </c>
      <c r="H56" s="356">
        <v>8.9200000000000017</v>
      </c>
      <c r="I56" s="356">
        <v>57.12</v>
      </c>
      <c r="J56" s="357">
        <v>2.072055199605717</v>
      </c>
      <c r="K56" s="378" t="s">
        <v>229</v>
      </c>
      <c r="L56" s="423" t="s">
        <v>244</v>
      </c>
      <c r="M56" s="423"/>
      <c r="N56" s="358" t="s">
        <v>2670</v>
      </c>
      <c r="O56" s="358" t="s">
        <v>3826</v>
      </c>
      <c r="P56" s="358"/>
      <c r="Q56" s="358" t="s">
        <v>247</v>
      </c>
      <c r="R56" s="358" t="s">
        <v>247</v>
      </c>
      <c r="S56" s="358" t="s">
        <v>234</v>
      </c>
      <c r="T56" s="313" t="s">
        <v>3827</v>
      </c>
    </row>
    <row r="57" spans="1:20">
      <c r="B57" s="350" t="s">
        <v>3849</v>
      </c>
      <c r="C57" s="351"/>
      <c r="D57" s="352" t="s">
        <v>3847</v>
      </c>
      <c r="E57" s="378">
        <v>-2.3675269729999999</v>
      </c>
      <c r="F57" s="354">
        <v>34.06035799</v>
      </c>
      <c r="G57" s="355">
        <v>39.96</v>
      </c>
      <c r="H57" s="356">
        <v>12.920000000000002</v>
      </c>
      <c r="I57" s="356">
        <v>47.12</v>
      </c>
      <c r="J57" s="357">
        <v>1.6549531789058647</v>
      </c>
      <c r="K57" s="378" t="s">
        <v>229</v>
      </c>
      <c r="L57" s="423" t="s">
        <v>244</v>
      </c>
      <c r="M57" s="423"/>
      <c r="N57" s="358" t="s">
        <v>2674</v>
      </c>
      <c r="O57" s="358" t="s">
        <v>3826</v>
      </c>
      <c r="P57" s="358"/>
      <c r="Q57" s="358" t="s">
        <v>247</v>
      </c>
      <c r="R57" s="358" t="s">
        <v>247</v>
      </c>
      <c r="S57" s="358" t="s">
        <v>234</v>
      </c>
      <c r="T57" s="313" t="s">
        <v>3827</v>
      </c>
    </row>
    <row r="58" spans="1:20">
      <c r="B58" s="350" t="s">
        <v>3850</v>
      </c>
      <c r="C58" s="351"/>
      <c r="D58" s="352" t="s">
        <v>3847</v>
      </c>
      <c r="E58" s="378">
        <v>-2.3676780150000001</v>
      </c>
      <c r="F58" s="354">
        <v>34.05937797</v>
      </c>
      <c r="G58" s="355">
        <v>27.96</v>
      </c>
      <c r="H58" s="356">
        <v>4.9200000000000017</v>
      </c>
      <c r="I58" s="356">
        <v>67.12</v>
      </c>
      <c r="J58" s="357">
        <v>1.0437161163134547</v>
      </c>
      <c r="K58" s="378" t="s">
        <v>229</v>
      </c>
      <c r="L58" s="423" t="s">
        <v>244</v>
      </c>
      <c r="M58" s="423"/>
      <c r="N58" s="358" t="s">
        <v>2670</v>
      </c>
      <c r="O58" s="358" t="s">
        <v>3826</v>
      </c>
      <c r="P58" s="358"/>
      <c r="Q58" s="358" t="s">
        <v>247</v>
      </c>
      <c r="R58" s="358" t="s">
        <v>247</v>
      </c>
      <c r="S58" s="358" t="s">
        <v>234</v>
      </c>
      <c r="T58" s="313" t="s">
        <v>3827</v>
      </c>
    </row>
    <row r="59" spans="1:20">
      <c r="B59" s="350" t="s">
        <v>3851</v>
      </c>
      <c r="C59" s="351"/>
      <c r="D59" s="352" t="s">
        <v>3852</v>
      </c>
      <c r="E59" s="378">
        <v>-2.272751033</v>
      </c>
      <c r="F59" s="354">
        <v>34.023176030000002</v>
      </c>
      <c r="G59" s="355">
        <v>21.96</v>
      </c>
      <c r="H59" s="356">
        <v>4.9199999999999982</v>
      </c>
      <c r="I59" s="356">
        <v>73.12</v>
      </c>
      <c r="J59" s="357">
        <v>1.2416954164613114</v>
      </c>
      <c r="K59" s="378" t="s">
        <v>229</v>
      </c>
      <c r="L59" s="423" t="s">
        <v>230</v>
      </c>
      <c r="M59" s="423"/>
      <c r="N59" s="358" t="s">
        <v>2670</v>
      </c>
      <c r="O59" s="358" t="s">
        <v>3826</v>
      </c>
      <c r="P59" s="358"/>
      <c r="Q59" s="358" t="s">
        <v>247</v>
      </c>
      <c r="R59" s="358" t="s">
        <v>247</v>
      </c>
      <c r="S59" s="358" t="s">
        <v>234</v>
      </c>
      <c r="T59" s="313" t="s">
        <v>3827</v>
      </c>
    </row>
    <row r="60" spans="1:20">
      <c r="B60" s="350" t="s">
        <v>3853</v>
      </c>
      <c r="C60" s="351"/>
      <c r="D60" s="352" t="s">
        <v>3852</v>
      </c>
      <c r="E60" s="378">
        <v>-2.2784290180000002</v>
      </c>
      <c r="F60" s="354">
        <v>34.024240030000001</v>
      </c>
      <c r="G60" s="355">
        <v>23.96</v>
      </c>
      <c r="H60" s="356">
        <v>4.9199999999999982</v>
      </c>
      <c r="I60" s="356">
        <v>71.12</v>
      </c>
      <c r="J60" s="357">
        <v>3.30913750616067</v>
      </c>
      <c r="K60" s="378" t="s">
        <v>229</v>
      </c>
      <c r="L60" s="423" t="s">
        <v>230</v>
      </c>
      <c r="M60" s="423"/>
      <c r="N60" s="358" t="s">
        <v>2670</v>
      </c>
      <c r="O60" s="358" t="s">
        <v>3826</v>
      </c>
      <c r="P60" s="358"/>
      <c r="Q60" s="358" t="s">
        <v>247</v>
      </c>
      <c r="R60" s="358" t="s">
        <v>247</v>
      </c>
      <c r="S60" s="358" t="s">
        <v>234</v>
      </c>
      <c r="T60" s="313" t="s">
        <v>3827</v>
      </c>
    </row>
    <row r="61" spans="1:20">
      <c r="B61" s="350" t="s">
        <v>3854</v>
      </c>
      <c r="C61" s="351"/>
      <c r="D61" s="352" t="s">
        <v>3852</v>
      </c>
      <c r="E61" s="378">
        <v>-2.277740026</v>
      </c>
      <c r="F61" s="354">
        <v>34.027640990000002</v>
      </c>
      <c r="G61" s="355">
        <v>25.96</v>
      </c>
      <c r="H61" s="356">
        <v>8.9200000000000017</v>
      </c>
      <c r="I61" s="356">
        <v>65.12</v>
      </c>
      <c r="J61" s="357">
        <v>1.614588467225234</v>
      </c>
      <c r="K61" s="378" t="s">
        <v>229</v>
      </c>
      <c r="L61" s="423" t="s">
        <v>230</v>
      </c>
      <c r="M61" s="423"/>
      <c r="N61" s="358" t="s">
        <v>2670</v>
      </c>
      <c r="O61" s="358" t="s">
        <v>3826</v>
      </c>
      <c r="P61" s="358"/>
      <c r="Q61" s="358" t="s">
        <v>247</v>
      </c>
      <c r="R61" s="358" t="s">
        <v>247</v>
      </c>
      <c r="S61" s="358" t="s">
        <v>234</v>
      </c>
      <c r="T61" s="313" t="s">
        <v>3827</v>
      </c>
    </row>
    <row r="62" spans="1:20">
      <c r="B62" s="350" t="s">
        <v>3855</v>
      </c>
      <c r="C62" s="351"/>
      <c r="D62" s="352" t="s">
        <v>3852</v>
      </c>
      <c r="E62" s="378">
        <v>-2.2787330300000002</v>
      </c>
      <c r="F62" s="354">
        <v>34.032136029999997</v>
      </c>
      <c r="G62" s="355">
        <v>25.96</v>
      </c>
      <c r="H62" s="356">
        <v>8.9200000000000017</v>
      </c>
      <c r="I62" s="356">
        <v>65.12</v>
      </c>
      <c r="J62" s="357">
        <v>1.6991621488417901</v>
      </c>
      <c r="K62" s="378" t="s">
        <v>229</v>
      </c>
      <c r="L62" s="423" t="s">
        <v>230</v>
      </c>
      <c r="M62" s="423"/>
      <c r="N62" s="358" t="s">
        <v>2670</v>
      </c>
      <c r="O62" s="358" t="s">
        <v>3826</v>
      </c>
      <c r="P62" s="358"/>
      <c r="Q62" s="358" t="s">
        <v>247</v>
      </c>
      <c r="R62" s="358" t="s">
        <v>247</v>
      </c>
      <c r="S62" s="358" t="s">
        <v>234</v>
      </c>
      <c r="T62" s="313" t="s">
        <v>3827</v>
      </c>
    </row>
    <row r="63" spans="1:20" ht="15" thickBot="1">
      <c r="B63" s="359" t="s">
        <v>2526</v>
      </c>
      <c r="C63" s="360"/>
      <c r="D63" s="361" t="s">
        <v>3856</v>
      </c>
      <c r="E63" s="362">
        <v>-2.439403972</v>
      </c>
      <c r="F63" s="363">
        <v>34.838404959999998</v>
      </c>
      <c r="G63" s="364">
        <v>22.017293559158162</v>
      </c>
      <c r="H63" s="365">
        <v>6.5855206693798616</v>
      </c>
      <c r="I63" s="365">
        <v>71.397185771461977</v>
      </c>
      <c r="J63" s="366">
        <v>1.1393420404139967</v>
      </c>
      <c r="K63" s="362" t="s">
        <v>229</v>
      </c>
      <c r="L63" s="367" t="s">
        <v>230</v>
      </c>
      <c r="M63" s="367"/>
      <c r="N63" s="367" t="s">
        <v>2670</v>
      </c>
      <c r="O63" s="367" t="s">
        <v>3826</v>
      </c>
      <c r="P63" s="367"/>
      <c r="Q63" s="367" t="s">
        <v>247</v>
      </c>
      <c r="R63" s="367" t="s">
        <v>247</v>
      </c>
      <c r="S63" s="367" t="s">
        <v>234</v>
      </c>
      <c r="T63" s="368" t="s">
        <v>3827</v>
      </c>
    </row>
    <row r="64" spans="1:20">
      <c r="B64" s="333" t="s">
        <v>3857</v>
      </c>
    </row>
    <row r="67" spans="2:41" ht="15" thickBot="1">
      <c r="B67" s="333" t="s">
        <v>3858</v>
      </c>
      <c r="C67" s="319"/>
      <c r="D67" s="319"/>
      <c r="E67" s="319"/>
      <c r="F67" s="369"/>
      <c r="G67" s="369"/>
      <c r="H67" s="369"/>
      <c r="I67" s="369"/>
      <c r="J67" s="319"/>
      <c r="K67" s="370"/>
      <c r="L67" s="371"/>
    </row>
    <row r="68" spans="2:41" ht="15" thickBot="1">
      <c r="B68" s="424" t="s">
        <v>21</v>
      </c>
      <c r="C68" s="425"/>
      <c r="D68" s="425"/>
      <c r="E68" s="425"/>
      <c r="F68" s="372" t="s">
        <v>3859</v>
      </c>
      <c r="G68" s="373"/>
      <c r="H68" s="373"/>
      <c r="I68" s="373"/>
      <c r="J68" s="373"/>
      <c r="K68" s="373"/>
      <c r="L68" s="374"/>
    </row>
    <row r="69" spans="2:41">
      <c r="B69" s="426" t="s">
        <v>22</v>
      </c>
      <c r="C69" s="427"/>
      <c r="D69" s="427"/>
      <c r="E69" s="427"/>
      <c r="F69" s="375" t="s">
        <v>3860</v>
      </c>
      <c r="G69" s="376"/>
      <c r="H69" s="376"/>
      <c r="I69" s="376"/>
      <c r="J69" s="376"/>
      <c r="K69" s="376"/>
      <c r="L69" s="377"/>
    </row>
    <row r="70" spans="2:41" ht="15" thickBot="1">
      <c r="B70" s="428" t="s">
        <v>25</v>
      </c>
      <c r="C70" s="429"/>
      <c r="D70" s="429"/>
      <c r="E70" s="429"/>
      <c r="F70" s="430" t="s">
        <v>3861</v>
      </c>
      <c r="G70" s="423"/>
      <c r="H70" s="423"/>
      <c r="I70" s="423"/>
      <c r="J70" s="423"/>
      <c r="K70" s="423"/>
      <c r="L70" s="423"/>
      <c r="M70" s="423"/>
      <c r="N70" s="423"/>
    </row>
    <row r="71" spans="2:41">
      <c r="B71" s="333" t="s">
        <v>3862</v>
      </c>
    </row>
    <row r="72" spans="2:41" ht="18">
      <c r="AO72" s="379"/>
    </row>
    <row r="73" spans="2:41">
      <c r="D73" s="420" t="s">
        <v>3885</v>
      </c>
      <c r="E73" s="420"/>
      <c r="F73" s="420"/>
      <c r="G73" s="420"/>
      <c r="H73" s="420"/>
    </row>
    <row r="74" spans="2:41" ht="18.600000000000001" thickBot="1">
      <c r="B74" s="380" t="s">
        <v>3864</v>
      </c>
      <c r="D74" s="421"/>
      <c r="E74" s="421"/>
      <c r="F74" s="421"/>
      <c r="G74" s="421"/>
      <c r="H74" s="421"/>
      <c r="Z74" s="422" t="s">
        <v>3865</v>
      </c>
      <c r="AA74" s="422"/>
      <c r="AB74" s="422"/>
      <c r="AC74" s="422"/>
      <c r="AD74" s="422"/>
      <c r="AE74" s="422"/>
    </row>
    <row r="75" spans="2:41" ht="101.4" thickBot="1">
      <c r="B75" s="381" t="s">
        <v>2457</v>
      </c>
      <c r="C75" s="109" t="s">
        <v>23</v>
      </c>
      <c r="D75" s="109" t="s">
        <v>3866</v>
      </c>
      <c r="E75" s="109" t="s">
        <v>25</v>
      </c>
      <c r="F75" s="109" t="s">
        <v>26</v>
      </c>
      <c r="G75" s="382" t="s">
        <v>27</v>
      </c>
      <c r="H75" s="109" t="s">
        <v>3867</v>
      </c>
      <c r="I75" s="109" t="s">
        <v>3868</v>
      </c>
      <c r="J75" s="109" t="s">
        <v>3869</v>
      </c>
      <c r="K75" s="109" t="s">
        <v>28</v>
      </c>
      <c r="L75" s="109" t="s">
        <v>29</v>
      </c>
      <c r="M75" s="109" t="s">
        <v>3870</v>
      </c>
      <c r="N75" s="109" t="s">
        <v>30</v>
      </c>
      <c r="O75" s="382" t="s">
        <v>31</v>
      </c>
      <c r="P75" s="109" t="s">
        <v>3874</v>
      </c>
      <c r="Q75" s="109" t="s">
        <v>3875</v>
      </c>
      <c r="R75" s="109" t="s">
        <v>34</v>
      </c>
      <c r="S75" s="109" t="s">
        <v>35</v>
      </c>
      <c r="T75" s="109" t="s">
        <v>3880</v>
      </c>
      <c r="U75" s="109" t="s">
        <v>288</v>
      </c>
      <c r="V75" s="109" t="s">
        <v>291</v>
      </c>
      <c r="W75" s="109" t="s">
        <v>292</v>
      </c>
      <c r="X75" s="109" t="s">
        <v>40</v>
      </c>
      <c r="Y75" s="383" t="s">
        <v>41</v>
      </c>
      <c r="Z75" s="384" t="s">
        <v>3888</v>
      </c>
      <c r="AA75" s="384" t="s">
        <v>3881</v>
      </c>
      <c r="AB75" s="384" t="s">
        <v>3882</v>
      </c>
      <c r="AC75" s="384" t="s">
        <v>3887</v>
      </c>
      <c r="AD75" s="384" t="s">
        <v>3883</v>
      </c>
      <c r="AE75" s="385" t="s">
        <v>3884</v>
      </c>
    </row>
    <row r="76" spans="2:41">
      <c r="B76" t="str">
        <f>'Final data_for_R_analysis_Wetse'!A2</f>
        <v>Wet</v>
      </c>
      <c r="C76" s="263">
        <f>'Final data_for_R_analysis_Wetse'!B2</f>
        <v>1</v>
      </c>
      <c r="D76" t="s">
        <v>3824</v>
      </c>
      <c r="E76" t="s">
        <v>22</v>
      </c>
      <c r="F76" s="386">
        <v>1</v>
      </c>
      <c r="G76" s="16">
        <f>'WetLitterbags placem_collection'!E3</f>
        <v>42766</v>
      </c>
      <c r="H76" t="str">
        <f>'Final data_for_R_analysis_Wetse'!J2</f>
        <v>G436</v>
      </c>
      <c r="I76" t="str">
        <f>'Final data_for_R_analysis_Wetse'!J222</f>
        <v>R17</v>
      </c>
      <c r="J76">
        <f>IFERROR(INDEX('Green_rooibos initial weight'!$C$5:$C$1749,MATCH(H76, 'Green_rooibos initial weight'!$A$5:$A$1749,0)),"")</f>
        <v>2.0329999999999999</v>
      </c>
      <c r="K76">
        <f>IFERROR(INDEX('Green_rooibos initial weight'!$C$5:$C$1749,MATCH(I76, 'Green_rooibos initial weight'!$A$5:$A$1749,0)),"")</f>
        <v>2.169</v>
      </c>
      <c r="L76" s="195">
        <f>IF(J76&gt;0,(J76*$F$31-($F$29+$F$30)),"")</f>
        <v>1.7831999999999999</v>
      </c>
      <c r="M76" s="195">
        <f>AVERAGE(Ashed_controlls!$K$2:$K$11)</f>
        <v>5.5147656768714146</v>
      </c>
      <c r="N76" s="195">
        <f t="shared" ref="N76:N139" si="0">IF(K76&gt;0,(K76*$F$32-($F$29+$F$30)),"")</f>
        <v>1.9192</v>
      </c>
      <c r="O76" s="16">
        <f>IF('WetLitterbags placem_collection'!G3="N.A","",'WetLitterbags placem_collection'!G3)</f>
        <v>42818</v>
      </c>
      <c r="P76" s="195">
        <f>IF(IFERROR(INDEX('Both teabags AfterWet'!$C$3:$C$841,MATCH(H76,'Both teabags AfterWet'!$A$3:$A$841,0)),"")="N.A","",(IFERROR(INDEX('Both teabags AfterWet'!$C$3:$C$841,MATCH(H76,'Both teabags AfterWet'!$A$3:$A$841,0)),"")))</f>
        <v>0.43290000000000001</v>
      </c>
      <c r="Q76" s="195">
        <f>IFERROR(INDEX('Both teabags AfterWet'!$C$3:$C$841,MATCH(I76,'Both teabags AfterWet'!$A$3:$A$841,0)),"")</f>
        <v>1.0208999999999999</v>
      </c>
      <c r="R76" s="195">
        <f>IFERROR(IF(P76&gt;0,P76-($F$29),""),"")</f>
        <v>0.2823</v>
      </c>
      <c r="S76" s="195">
        <f>IFERROR(IF(Q76&gt;0,Q76-($F$29),""),"")</f>
        <v>0.87029999999999985</v>
      </c>
      <c r="T76" s="195">
        <f>IFERROR(1-R76/L76,"")</f>
        <v>0.84168909825033644</v>
      </c>
      <c r="U76" s="195">
        <f>IFERROR($F$26*(1-X76),"")</f>
        <v>0.55179617842539874</v>
      </c>
      <c r="V76" s="195">
        <f>IFERROR(S76/N76,"")</f>
        <v>0.45347019591496451</v>
      </c>
      <c r="W76">
        <f t="shared" ref="W76:W139" si="1">IF((O76-G76)&gt;0,(IFERROR(O76-G76,"")),"")</f>
        <v>52</v>
      </c>
      <c r="X76" s="195">
        <f>IFERROR(1-(T76/$F$25),"")</f>
        <v>3.6924198297327848E-4</v>
      </c>
      <c r="Y76" s="195">
        <f>IFERROR(LN(U76/(V76-(1-U76)))/W76,"")</f>
        <v>8.9458395986105416E-2</v>
      </c>
      <c r="Z76" s="255" t="str">
        <f>IF(ISNUMBER(SEARCH("C",'WetLitterbags placem_collection'!W3)),"YES","NO")</f>
        <v>NO</v>
      </c>
      <c r="AA76" s="255" t="str">
        <f>IF(ISNUMBER(SEARCH("H", 'WetLitterbags placem_collection'!W3)),"YES","NO")</f>
        <v>YES</v>
      </c>
      <c r="AB76" s="255" t="str">
        <f>IF(ISNUMBER(SEARCH("R", 'WetLitterbags placem_collection'!W3)),"YES","NO")</f>
        <v>NO</v>
      </c>
      <c r="AC76" s="255" t="str">
        <f>IF(ISNUMBER(SEARCH("C", 'WetLitterbags placem_collection'!V3)),"YES","NO")</f>
        <v>NO</v>
      </c>
      <c r="AD76" s="255" t="str">
        <f>IF(ISNUMBER(SEARCH("H", 'WetLitterbags placem_collection'!V3)),"YES","NO")</f>
        <v>YES</v>
      </c>
      <c r="AE76" s="255" t="str">
        <f>IF(ISNUMBER(SEARCH("R", 'WetLitterbags placem_collection'!V3)),"YES","NO")</f>
        <v>NO</v>
      </c>
    </row>
    <row r="77" spans="2:41">
      <c r="B77" t="str">
        <f>'Final data_for_R_analysis_Wetse'!A3</f>
        <v>Wet</v>
      </c>
      <c r="C77" s="263">
        <f>'Final data_for_R_analysis_Wetse'!B3</f>
        <v>2</v>
      </c>
      <c r="D77" t="s">
        <v>3824</v>
      </c>
      <c r="E77" t="s">
        <v>22</v>
      </c>
      <c r="F77" s="386">
        <v>2</v>
      </c>
      <c r="G77" s="16">
        <f>'WetLitterbags placem_collection'!E4</f>
        <v>42766</v>
      </c>
      <c r="H77" t="str">
        <f>'Final data_for_R_analysis_Wetse'!J3</f>
        <v>G568</v>
      </c>
      <c r="I77" t="str">
        <f>'Final data_for_R_analysis_Wetse'!J223</f>
        <v>R121</v>
      </c>
      <c r="J77">
        <f>IFERROR(INDEX('Green_rooibos initial weight'!$C$5:$C$1749,MATCH(H77, 'Green_rooibos initial weight'!$A$5:$A$1749,0)),"")</f>
        <v>2.0059999999999998</v>
      </c>
      <c r="K77">
        <f>IFERROR(INDEX('Green_rooibos initial weight'!$C$5:$C$1749,MATCH(I77, 'Green_rooibos initial weight'!$A$5:$A$1749,0)),"")</f>
        <v>2.165</v>
      </c>
      <c r="L77" s="195">
        <f t="shared" ref="L77:L140" si="2">IF(J77&gt;0,(J77*$F$31-($F$29+$F$30)),"")</f>
        <v>1.7561999999999998</v>
      </c>
      <c r="M77" s="195">
        <f>AVERAGE(Ashed_controlls!$K$2:$K$11)</f>
        <v>5.5147656768714146</v>
      </c>
      <c r="N77" s="195">
        <f t="shared" si="0"/>
        <v>1.9152</v>
      </c>
      <c r="O77" s="16">
        <f>IF('WetLitterbags placem_collection'!G4="N.A","",'WetLitterbags placem_collection'!G4)</f>
        <v>42818</v>
      </c>
      <c r="P77" s="195">
        <f>IF(IFERROR(INDEX('Both teabags AfterWet'!$C$3:$C$841,MATCH(H77,'Both teabags AfterWet'!$A$3:$A$841,0)),"")="N.A","",(IFERROR(INDEX('Both teabags AfterWet'!$C$3:$C$841,MATCH(H77,'Both teabags AfterWet'!$A$3:$A$841,0)),"")))</f>
        <v>0.629</v>
      </c>
      <c r="Q77" s="195">
        <f>IFERROR(INDEX('Both teabags AfterWet'!$C$3:$C$841,MATCH(I77,'Both teabags AfterWet'!$A$3:$A$841,0)),"")</f>
        <v>1.3073999999999999</v>
      </c>
      <c r="R77" s="195">
        <f t="shared" ref="R77:S140" si="3">IFERROR(IF(P77&gt;0,P77-($F$29),""),"")</f>
        <v>0.47839999999999999</v>
      </c>
      <c r="S77" s="195">
        <f t="shared" si="3"/>
        <v>1.1567999999999998</v>
      </c>
      <c r="T77" s="195">
        <f t="shared" ref="T77:T140" si="4">IFERROR(1-R77/L77,"")</f>
        <v>0.72759366814713577</v>
      </c>
      <c r="U77" s="195">
        <f t="shared" ref="U77:U140" si="5">IFERROR($F$26*(1-X77),"")</f>
        <v>0.47699727412971377</v>
      </c>
      <c r="V77" s="195">
        <f t="shared" ref="V77:V140" si="6">IFERROR(S77/N77,"")</f>
        <v>0.60401002506265655</v>
      </c>
      <c r="W77">
        <f t="shared" si="1"/>
        <v>52</v>
      </c>
      <c r="X77" s="195">
        <f t="shared" ref="X77:X140" si="7">IFERROR(1-(T77/$F$25),"")</f>
        <v>0.13587450338819973</v>
      </c>
      <c r="Y77" s="195">
        <f t="shared" ref="Y77:Y140" si="8">IFERROR(LN(U77/(V77-(1-U77)))/W77,"")</f>
        <v>3.4095606003091118E-2</v>
      </c>
      <c r="Z77" s="255" t="str">
        <f>IF(ISNUMBER(SEARCH("C",'WetLitterbags placem_collection'!W4)),"YES","NO")</f>
        <v>NO</v>
      </c>
      <c r="AA77" s="255" t="str">
        <f>IF(ISNUMBER(SEARCH("H", 'WetLitterbags placem_collection'!W4)),"YES","NO")</f>
        <v>NO</v>
      </c>
      <c r="AB77" s="255" t="str">
        <f>IF(ISNUMBER(SEARCH("R", 'WetLitterbags placem_collection'!W4)),"YES","NO")</f>
        <v>NO</v>
      </c>
      <c r="AC77" s="255" t="str">
        <f>IF(ISNUMBER(SEARCH("C", 'WetLitterbags placem_collection'!V4)),"YES","NO")</f>
        <v>NO</v>
      </c>
      <c r="AD77" s="255" t="str">
        <f>IF(ISNUMBER(SEARCH("H", 'WetLitterbags placem_collection'!V4)),"YES","NO")</f>
        <v>NO</v>
      </c>
      <c r="AE77" s="255" t="str">
        <f>IF(ISNUMBER(SEARCH("R", 'WetLitterbags placem_collection'!V4)),"YES","NO")</f>
        <v>NO</v>
      </c>
    </row>
    <row r="78" spans="2:41">
      <c r="B78" t="str">
        <f>'Final data_for_R_analysis_Wetse'!A4</f>
        <v>Wet</v>
      </c>
      <c r="C78" s="263">
        <f>'Final data_for_R_analysis_Wetse'!B4</f>
        <v>3</v>
      </c>
      <c r="D78" t="s">
        <v>3824</v>
      </c>
      <c r="E78" t="s">
        <v>22</v>
      </c>
      <c r="F78" s="386">
        <v>3</v>
      </c>
      <c r="G78" s="16">
        <f>'WetLitterbags placem_collection'!E5</f>
        <v>42766</v>
      </c>
      <c r="H78" t="str">
        <f>'Final data_for_R_analysis_Wetse'!J4</f>
        <v>G631</v>
      </c>
      <c r="I78" t="str">
        <f>'Final data_for_R_analysis_Wetse'!J224</f>
        <v>R158</v>
      </c>
      <c r="J78">
        <f>IFERROR(INDEX('Green_rooibos initial weight'!$C$5:$C$1749,MATCH(H78, 'Green_rooibos initial weight'!$A$5:$A$1749,0)),"")</f>
        <v>1.99</v>
      </c>
      <c r="K78">
        <f>IFERROR(INDEX('Green_rooibos initial weight'!$C$5:$C$1749,MATCH(I78, 'Green_rooibos initial weight'!$A$5:$A$1749,0)),"")</f>
        <v>2.2959999999999998</v>
      </c>
      <c r="L78" s="195">
        <f t="shared" si="2"/>
        <v>1.7402</v>
      </c>
      <c r="M78" s="195">
        <f>AVERAGE(Ashed_controlls!$K$2:$K$11)</f>
        <v>5.5147656768714146</v>
      </c>
      <c r="N78" s="195">
        <f t="shared" si="0"/>
        <v>2.0461999999999998</v>
      </c>
      <c r="O78" s="16">
        <f>IF('WetLitterbags placem_collection'!G5="N.A","",'WetLitterbags placem_collection'!G5)</f>
        <v>0</v>
      </c>
      <c r="P78" s="195" t="str">
        <f>IF(IFERROR(INDEX('Both teabags AfterWet'!$C$3:$C$841,MATCH(H78,'Both teabags AfterWet'!$A$3:$A$841,0)),"")="N.A","",(IFERROR(INDEX('Both teabags AfterWet'!$C$3:$C$841,MATCH(H78,'Both teabags AfterWet'!$A$3:$A$841,0)),"")))</f>
        <v/>
      </c>
      <c r="Q78" s="195" t="str">
        <f>IFERROR(INDEX('Both teabags AfterWet'!$C$3:$C$841,MATCH(I78,'Both teabags AfterWet'!$A$3:$A$841,0)),"")</f>
        <v/>
      </c>
      <c r="R78" s="195" t="str">
        <f t="shared" si="3"/>
        <v/>
      </c>
      <c r="S78" s="195" t="str">
        <f t="shared" si="3"/>
        <v/>
      </c>
      <c r="T78" s="195" t="str">
        <f t="shared" si="4"/>
        <v/>
      </c>
      <c r="U78" s="195" t="str">
        <f t="shared" si="5"/>
        <v/>
      </c>
      <c r="V78" s="195" t="str">
        <f t="shared" si="6"/>
        <v/>
      </c>
      <c r="W78" t="str">
        <f t="shared" si="1"/>
        <v/>
      </c>
      <c r="X78" s="195" t="str">
        <f t="shared" si="7"/>
        <v/>
      </c>
      <c r="Y78" s="195" t="str">
        <f t="shared" si="8"/>
        <v/>
      </c>
      <c r="Z78" s="255" t="str">
        <f>IF(ISNUMBER(SEARCH("C",'WetLitterbags placem_collection'!W5)),"YES","NO")</f>
        <v>NO</v>
      </c>
      <c r="AA78" s="255" t="str">
        <f>IF(ISNUMBER(SEARCH("H", 'WetLitterbags placem_collection'!W5)),"YES","NO")</f>
        <v>NO</v>
      </c>
      <c r="AB78" s="255" t="str">
        <f>IF(ISNUMBER(SEARCH("R", 'WetLitterbags placem_collection'!W5)),"YES","NO")</f>
        <v>NO</v>
      </c>
      <c r="AC78" s="255" t="str">
        <f>IF(ISNUMBER(SEARCH("C", 'WetLitterbags placem_collection'!V5)),"YES","NO")</f>
        <v>NO</v>
      </c>
      <c r="AD78" s="255" t="str">
        <f>IF(ISNUMBER(SEARCH("H", 'WetLitterbags placem_collection'!V5)),"YES","NO")</f>
        <v>NO</v>
      </c>
      <c r="AE78" s="255" t="str">
        <f>IF(ISNUMBER(SEARCH("R", 'WetLitterbags placem_collection'!V5)),"YES","NO")</f>
        <v>NO</v>
      </c>
    </row>
    <row r="79" spans="2:41">
      <c r="B79" t="str">
        <f>'Final data_for_R_analysis_Wetse'!A5</f>
        <v>Wet</v>
      </c>
      <c r="C79" s="263">
        <f>'Final data_for_R_analysis_Wetse'!B5</f>
        <v>4</v>
      </c>
      <c r="D79" t="s">
        <v>3824</v>
      </c>
      <c r="E79" t="s">
        <v>22</v>
      </c>
      <c r="F79" s="387">
        <v>4</v>
      </c>
      <c r="G79" s="16">
        <f>'WetLitterbags placem_collection'!E6</f>
        <v>42766</v>
      </c>
      <c r="H79" t="str">
        <f>'Final data_for_R_analysis_Wetse'!J5</f>
        <v>G652</v>
      </c>
      <c r="I79" t="str">
        <f>'Final data_for_R_analysis_Wetse'!J225</f>
        <v>R115</v>
      </c>
      <c r="J79">
        <f>IFERROR(INDEX('Green_rooibos initial weight'!$C$5:$C$1749,MATCH(H79, 'Green_rooibos initial weight'!$A$5:$A$1749,0)),"")</f>
        <v>2.024</v>
      </c>
      <c r="K79">
        <f>IFERROR(INDEX('Green_rooibos initial weight'!$C$5:$C$1749,MATCH(I79, 'Green_rooibos initial weight'!$A$5:$A$1749,0)),"")</f>
        <v>2.3119999999999998</v>
      </c>
      <c r="L79" s="195">
        <f t="shared" si="2"/>
        <v>1.7742</v>
      </c>
      <c r="M79" s="195">
        <f>AVERAGE(Ashed_controlls!$K$2:$K$11)</f>
        <v>5.5147656768714146</v>
      </c>
      <c r="N79" s="195">
        <f t="shared" si="0"/>
        <v>2.0621999999999998</v>
      </c>
      <c r="O79" s="16">
        <f>IF('WetLitterbags placem_collection'!G6="N.A","",'WetLitterbags placem_collection'!G6)</f>
        <v>42818</v>
      </c>
      <c r="P79" s="195" t="str">
        <f>IF(IFERROR(INDEX('Both teabags AfterWet'!$C$3:$C$841,MATCH(H79,'Both teabags AfterWet'!$A$3:$A$841,0)),"")="N.A","",(IFERROR(INDEX('Both teabags AfterWet'!$C$3:$C$841,MATCH(H79,'Both teabags AfterWet'!$A$3:$A$841,0)),"")))</f>
        <v/>
      </c>
      <c r="Q79" s="195">
        <f>IFERROR(INDEX('Both teabags AfterWet'!$C$3:$C$841,MATCH(I79,'Both teabags AfterWet'!$A$3:$A$841,0)),"")</f>
        <v>1.4075</v>
      </c>
      <c r="R79" s="195" t="str">
        <f t="shared" si="3"/>
        <v/>
      </c>
      <c r="S79" s="195">
        <f t="shared" si="3"/>
        <v>1.2568999999999999</v>
      </c>
      <c r="T79" s="195" t="str">
        <f t="shared" si="4"/>
        <v/>
      </c>
      <c r="U79" s="195" t="str">
        <f t="shared" si="5"/>
        <v/>
      </c>
      <c r="V79" s="195">
        <f t="shared" si="6"/>
        <v>0.60949471438269809</v>
      </c>
      <c r="W79">
        <f t="shared" si="1"/>
        <v>52</v>
      </c>
      <c r="X79" s="195" t="str">
        <f t="shared" si="7"/>
        <v/>
      </c>
      <c r="Y79" s="195" t="str">
        <f t="shared" si="8"/>
        <v/>
      </c>
      <c r="Z79" s="255" t="str">
        <f>IF(ISNUMBER(SEARCH("C",'WetLitterbags placem_collection'!W6)),"YES","NO")</f>
        <v>NO</v>
      </c>
      <c r="AA79" s="255" t="str">
        <f>IF(ISNUMBER(SEARCH("H", 'WetLitterbags placem_collection'!W6)),"YES","NO")</f>
        <v>NO</v>
      </c>
      <c r="AB79" s="255" t="str">
        <f>IF(ISNUMBER(SEARCH("R", 'WetLitterbags placem_collection'!W6)),"YES","NO")</f>
        <v>YES</v>
      </c>
      <c r="AC79" s="255" t="str">
        <f>IF(ISNUMBER(SEARCH("C", 'WetLitterbags placem_collection'!V6)),"YES","NO")</f>
        <v>NO</v>
      </c>
      <c r="AD79" s="255" t="str">
        <f>IF(ISNUMBER(SEARCH("H", 'WetLitterbags placem_collection'!V6)),"YES","NO")</f>
        <v>NO</v>
      </c>
      <c r="AE79" s="255" t="str">
        <f>IF(ISNUMBER(SEARCH("R", 'WetLitterbags placem_collection'!V6)),"YES","NO")</f>
        <v>NO</v>
      </c>
    </row>
    <row r="80" spans="2:41">
      <c r="B80" t="str">
        <f>'Final data_for_R_analysis_Wetse'!A6</f>
        <v>Wet</v>
      </c>
      <c r="C80" s="263">
        <f>'Final data_for_R_analysis_Wetse'!B6</f>
        <v>5</v>
      </c>
      <c r="D80" t="s">
        <v>3824</v>
      </c>
      <c r="E80" t="s">
        <v>22</v>
      </c>
      <c r="F80" s="387">
        <v>5</v>
      </c>
      <c r="G80" s="16">
        <f>'WetLitterbags placem_collection'!E7</f>
        <v>42766</v>
      </c>
      <c r="H80" t="str">
        <f>'Final data_for_R_analysis_Wetse'!J6</f>
        <v>G497</v>
      </c>
      <c r="I80" t="str">
        <f>'Final data_for_R_analysis_Wetse'!J226</f>
        <v>R502</v>
      </c>
      <c r="J80">
        <f>IFERROR(INDEX('Green_rooibos initial weight'!$C$5:$C$1749,MATCH(H80, 'Green_rooibos initial weight'!$A$5:$A$1749,0)),"")</f>
        <v>2.0019999999999998</v>
      </c>
      <c r="K80">
        <f>IFERROR(INDEX('Green_rooibos initial weight'!$C$5:$C$1749,MATCH(I80, 'Green_rooibos initial weight'!$A$5:$A$1749,0)),"")</f>
        <v>2.1840000000000002</v>
      </c>
      <c r="L80" s="195">
        <f t="shared" si="2"/>
        <v>1.7521999999999998</v>
      </c>
      <c r="M80" s="195">
        <f>AVERAGE(Ashed_controlls!$K$2:$K$11)</f>
        <v>5.5147656768714146</v>
      </c>
      <c r="N80" s="195">
        <f t="shared" si="0"/>
        <v>1.9342000000000001</v>
      </c>
      <c r="O80" s="16">
        <f>IF('WetLitterbags placem_collection'!G7="N.A","",'WetLitterbags placem_collection'!G7)</f>
        <v>42818</v>
      </c>
      <c r="P80" s="195">
        <f>IF(IFERROR(INDEX('Both teabags AfterWet'!$C$3:$C$841,MATCH(H80,'Both teabags AfterWet'!$A$3:$A$841,0)),"")="N.A","",(IFERROR(INDEX('Both teabags AfterWet'!$C$3:$C$841,MATCH(H80,'Both teabags AfterWet'!$A$3:$A$841,0)),"")))</f>
        <v>0.46</v>
      </c>
      <c r="Q80" s="195">
        <f>IFERROR(INDEX('Both teabags AfterWet'!$C$3:$C$841,MATCH(I80,'Both teabags AfterWet'!$A$3:$A$841,0)),"")</f>
        <v>1.3823000000000001</v>
      </c>
      <c r="R80" s="195">
        <f t="shared" si="3"/>
        <v>0.30940000000000001</v>
      </c>
      <c r="S80" s="195">
        <f t="shared" si="3"/>
        <v>1.2317</v>
      </c>
      <c r="T80" s="195">
        <f t="shared" si="4"/>
        <v>0.82342198379180453</v>
      </c>
      <c r="U80" s="195">
        <f t="shared" si="5"/>
        <v>0.53982058794902155</v>
      </c>
      <c r="V80" s="195">
        <f t="shared" si="6"/>
        <v>0.63680074449384749</v>
      </c>
      <c r="W80">
        <f t="shared" si="1"/>
        <v>52</v>
      </c>
      <c r="X80" s="195">
        <f t="shared" si="7"/>
        <v>2.2064152266265347E-2</v>
      </c>
      <c r="Y80" s="195">
        <f t="shared" si="8"/>
        <v>2.1485168532299852E-2</v>
      </c>
      <c r="Z80" s="255" t="str">
        <f>IF(ISNUMBER(SEARCH("C",'WetLitterbags placem_collection'!W7)),"YES","NO")</f>
        <v>NO</v>
      </c>
      <c r="AA80" s="255" t="str">
        <f>IF(ISNUMBER(SEARCH("H", 'WetLitterbags placem_collection'!W7)),"YES","NO")</f>
        <v>NO</v>
      </c>
      <c r="AB80" s="255" t="str">
        <f>IF(ISNUMBER(SEARCH("R", 'WetLitterbags placem_collection'!W7)),"YES","NO")</f>
        <v>NO</v>
      </c>
      <c r="AC80" s="255" t="str">
        <f>IF(ISNUMBER(SEARCH("C", 'WetLitterbags placem_collection'!V7)),"YES","NO")</f>
        <v>NO</v>
      </c>
      <c r="AD80" s="255" t="str">
        <f>IF(ISNUMBER(SEARCH("H", 'WetLitterbags placem_collection'!V7)),"YES","NO")</f>
        <v>NO</v>
      </c>
      <c r="AE80" s="255" t="str">
        <f>IF(ISNUMBER(SEARCH("R", 'WetLitterbags placem_collection'!V7)),"YES","NO")</f>
        <v>NO</v>
      </c>
    </row>
    <row r="81" spans="2:31">
      <c r="B81" t="str">
        <f>'Final data_for_R_analysis_Wetse'!A7</f>
        <v>Wet</v>
      </c>
      <c r="C81" s="263">
        <f>'Final data_for_R_analysis_Wetse'!B7</f>
        <v>6</v>
      </c>
      <c r="D81" t="s">
        <v>3824</v>
      </c>
      <c r="E81" t="s">
        <v>22</v>
      </c>
      <c r="F81" s="387">
        <v>6</v>
      </c>
      <c r="G81" s="16">
        <f>'WetLitterbags placem_collection'!E8</f>
        <v>42766</v>
      </c>
      <c r="H81" t="str">
        <f>'Final data_for_R_analysis_Wetse'!J7</f>
        <v>G447</v>
      </c>
      <c r="I81" t="str">
        <f>'Final data_for_R_analysis_Wetse'!J227</f>
        <v>R177</v>
      </c>
      <c r="J81">
        <f>IFERROR(INDEX('Green_rooibos initial weight'!$C$5:$C$1749,MATCH(H81, 'Green_rooibos initial weight'!$A$5:$A$1749,0)),"")</f>
        <v>2.0579999999999998</v>
      </c>
      <c r="K81">
        <f>IFERROR(INDEX('Green_rooibos initial weight'!$C$5:$C$1749,MATCH(I81, 'Green_rooibos initial weight'!$A$5:$A$1749,0)),"")</f>
        <v>2.153</v>
      </c>
      <c r="L81" s="195">
        <f t="shared" si="2"/>
        <v>1.8081999999999998</v>
      </c>
      <c r="M81" s="195">
        <f>AVERAGE(Ashed_controlls!$K$2:$K$11)</f>
        <v>5.5147656768714146</v>
      </c>
      <c r="N81" s="195">
        <f t="shared" si="0"/>
        <v>1.9032</v>
      </c>
      <c r="O81" s="16">
        <f>IF('WetLitterbags placem_collection'!G8="N.A","",'WetLitterbags placem_collection'!G8)</f>
        <v>42818</v>
      </c>
      <c r="P81" s="195">
        <f>IF(IFERROR(INDEX('Both teabags AfterWet'!$C$3:$C$841,MATCH(H81,'Both teabags AfterWet'!$A$3:$A$841,0)),"")="N.A","",(IFERROR(INDEX('Both teabags AfterWet'!$C$3:$C$841,MATCH(H81,'Both teabags AfterWet'!$A$3:$A$841,0)),"")))</f>
        <v>0.67749999999999999</v>
      </c>
      <c r="Q81" s="195">
        <f>IFERROR(INDEX('Both teabags AfterWet'!$C$3:$C$841,MATCH(I81,'Both teabags AfterWet'!$A$3:$A$841,0)),"")</f>
        <v>1.4271</v>
      </c>
      <c r="R81" s="195">
        <f t="shared" si="3"/>
        <v>0.52689999999999992</v>
      </c>
      <c r="S81" s="195">
        <f t="shared" si="3"/>
        <v>1.2765</v>
      </c>
      <c r="T81" s="195">
        <f t="shared" si="4"/>
        <v>0.70860524278287795</v>
      </c>
      <c r="U81" s="195">
        <f t="shared" si="5"/>
        <v>0.46454880524483216</v>
      </c>
      <c r="V81" s="195">
        <f t="shared" si="6"/>
        <v>0.67071248423707441</v>
      </c>
      <c r="W81">
        <f t="shared" si="1"/>
        <v>52</v>
      </c>
      <c r="X81" s="195">
        <f t="shared" si="7"/>
        <v>0.15842607745501425</v>
      </c>
      <c r="Y81" s="195">
        <f t="shared" si="8"/>
        <v>2.3728043034048699E-2</v>
      </c>
      <c r="Z81" s="255" t="str">
        <f>IF(ISNUMBER(SEARCH("C",'WetLitterbags placem_collection'!W8)),"YES","NO")</f>
        <v>NO</v>
      </c>
      <c r="AA81" s="255" t="str">
        <f>IF(ISNUMBER(SEARCH("H", 'WetLitterbags placem_collection'!W8)),"YES","NO")</f>
        <v>NO</v>
      </c>
      <c r="AB81" s="255" t="str">
        <f>IF(ISNUMBER(SEARCH("R", 'WetLitterbags placem_collection'!W8)),"YES","NO")</f>
        <v>YES</v>
      </c>
      <c r="AC81" s="255" t="str">
        <f>IF(ISNUMBER(SEARCH("C", 'WetLitterbags placem_collection'!V8)),"YES","NO")</f>
        <v>NO</v>
      </c>
      <c r="AD81" s="255" t="str">
        <f>IF(ISNUMBER(SEARCH("H", 'WetLitterbags placem_collection'!V8)),"YES","NO")</f>
        <v>NO</v>
      </c>
      <c r="AE81" s="255" t="str">
        <f>IF(ISNUMBER(SEARCH("R", 'WetLitterbags placem_collection'!V8)),"YES","NO")</f>
        <v>NO</v>
      </c>
    </row>
    <row r="82" spans="2:31">
      <c r="B82" t="str">
        <f>'Final data_for_R_analysis_Wetse'!A8</f>
        <v>Wet</v>
      </c>
      <c r="C82" s="263">
        <f>'Final data_for_R_analysis_Wetse'!B8</f>
        <v>7</v>
      </c>
      <c r="D82" t="s">
        <v>3824</v>
      </c>
      <c r="E82" t="s">
        <v>22</v>
      </c>
      <c r="F82" s="387">
        <v>7</v>
      </c>
      <c r="G82" s="16">
        <f>'WetLitterbags placem_collection'!E9</f>
        <v>42766</v>
      </c>
      <c r="H82" t="str">
        <f>'Final data_for_R_analysis_Wetse'!J8</f>
        <v>G452</v>
      </c>
      <c r="I82" t="str">
        <f>'Final data_for_R_analysis_Wetse'!J228</f>
        <v>R531</v>
      </c>
      <c r="J82">
        <f>IFERROR(INDEX('Green_rooibos initial weight'!$C$5:$C$1749,MATCH(H82, 'Green_rooibos initial weight'!$A$5:$A$1749,0)),"")</f>
        <v>2.0550000000000002</v>
      </c>
      <c r="K82">
        <f>IFERROR(INDEX('Green_rooibos initial weight'!$C$5:$C$1749,MATCH(I82, 'Green_rooibos initial weight'!$A$5:$A$1749,0)),"")</f>
        <v>2.101</v>
      </c>
      <c r="L82" s="195">
        <f t="shared" si="2"/>
        <v>1.8052000000000001</v>
      </c>
      <c r="M82" s="195">
        <f>AVERAGE(Ashed_controlls!$K$2:$K$11)</f>
        <v>5.5147656768714146</v>
      </c>
      <c r="N82" s="195">
        <f t="shared" si="0"/>
        <v>1.8512</v>
      </c>
      <c r="O82" s="16">
        <f>IF('WetLitterbags placem_collection'!G9="N.A","",'WetLitterbags placem_collection'!G9)</f>
        <v>42818</v>
      </c>
      <c r="P82" s="195">
        <f>IF(IFERROR(INDEX('Both teabags AfterWet'!$C$3:$C$841,MATCH(H82,'Both teabags AfterWet'!$A$3:$A$841,0)),"")="N.A","",(IFERROR(INDEX('Both teabags AfterWet'!$C$3:$C$841,MATCH(H82,'Both teabags AfterWet'!$A$3:$A$841,0)),"")))</f>
        <v>0.67900000000000005</v>
      </c>
      <c r="Q82" s="195">
        <f>IFERROR(INDEX('Both teabags AfterWet'!$C$3:$C$841,MATCH(I82,'Both teabags AfterWet'!$A$3:$A$841,0)),"")</f>
        <v>1.4430000000000001</v>
      </c>
      <c r="R82" s="195">
        <f t="shared" si="3"/>
        <v>0.52839999999999998</v>
      </c>
      <c r="S82" s="195">
        <f t="shared" si="3"/>
        <v>1.2924</v>
      </c>
      <c r="T82" s="195">
        <f t="shared" si="4"/>
        <v>0.7072900509638822</v>
      </c>
      <c r="U82" s="195">
        <f t="shared" si="5"/>
        <v>0.46368658923047862</v>
      </c>
      <c r="V82" s="195">
        <f t="shared" si="6"/>
        <v>0.69814174589455491</v>
      </c>
      <c r="W82">
        <f t="shared" si="1"/>
        <v>52</v>
      </c>
      <c r="X82" s="195">
        <f t="shared" si="7"/>
        <v>0.1599880629882634</v>
      </c>
      <c r="Y82" s="195">
        <f t="shared" si="8"/>
        <v>2.0243706847798783E-2</v>
      </c>
      <c r="Z82" s="255" t="str">
        <f>IF(ISNUMBER(SEARCH("C",'WetLitterbags placem_collection'!W9)),"YES","NO")</f>
        <v>NO</v>
      </c>
      <c r="AA82" s="255" t="str">
        <f>IF(ISNUMBER(SEARCH("H", 'WetLitterbags placem_collection'!W9)),"YES","NO")</f>
        <v>NO</v>
      </c>
      <c r="AB82" s="255" t="str">
        <f>IF(ISNUMBER(SEARCH("R", 'WetLitterbags placem_collection'!W9)),"YES","NO")</f>
        <v>NO</v>
      </c>
      <c r="AC82" s="255" t="str">
        <f>IF(ISNUMBER(SEARCH("C", 'WetLitterbags placem_collection'!V9)),"YES","NO")</f>
        <v>NO</v>
      </c>
      <c r="AD82" s="255" t="str">
        <f>IF(ISNUMBER(SEARCH("H", 'WetLitterbags placem_collection'!V9)),"YES","NO")</f>
        <v>NO</v>
      </c>
      <c r="AE82" s="255" t="str">
        <f>IF(ISNUMBER(SEARCH("R", 'WetLitterbags placem_collection'!V9)),"YES","NO")</f>
        <v>NO</v>
      </c>
    </row>
    <row r="83" spans="2:31">
      <c r="B83" t="str">
        <f>'Final data_for_R_analysis_Wetse'!A9</f>
        <v>Wet</v>
      </c>
      <c r="C83" s="263">
        <f>'Final data_for_R_analysis_Wetse'!B9</f>
        <v>8</v>
      </c>
      <c r="D83" t="s">
        <v>3824</v>
      </c>
      <c r="E83" t="s">
        <v>22</v>
      </c>
      <c r="F83" s="387">
        <v>8</v>
      </c>
      <c r="G83" s="16">
        <f>'WetLitterbags placem_collection'!E10</f>
        <v>42766</v>
      </c>
      <c r="H83" t="str">
        <f>'Final data_for_R_analysis_Wetse'!J9</f>
        <v>G389</v>
      </c>
      <c r="I83" t="str">
        <f>'Final data_for_R_analysis_Wetse'!J229</f>
        <v>R406</v>
      </c>
      <c r="J83">
        <f>IFERROR(INDEX('Green_rooibos initial weight'!$C$5:$C$1749,MATCH(H83, 'Green_rooibos initial weight'!$A$5:$A$1749,0)),"")</f>
        <v>1.9710000000000001</v>
      </c>
      <c r="K83">
        <f>IFERROR(INDEX('Green_rooibos initial weight'!$C$5:$C$1749,MATCH(I83, 'Green_rooibos initial weight'!$A$5:$A$1749,0)),"")</f>
        <v>2.1739999999999999</v>
      </c>
      <c r="L83" s="195">
        <f t="shared" si="2"/>
        <v>1.7212000000000001</v>
      </c>
      <c r="M83" s="195">
        <f>AVERAGE(Ashed_controlls!$K$2:$K$11)</f>
        <v>5.5147656768714146</v>
      </c>
      <c r="N83" s="195">
        <f t="shared" si="0"/>
        <v>1.9241999999999999</v>
      </c>
      <c r="O83" s="16">
        <f>IF('WetLitterbags placem_collection'!G10="N.A","",'WetLitterbags placem_collection'!G10)</f>
        <v>42818</v>
      </c>
      <c r="P83" s="195">
        <f>IF(IFERROR(INDEX('Both teabags AfterWet'!$C$3:$C$841,MATCH(H83,'Both teabags AfterWet'!$A$3:$A$841,0)),"")="N.A","",(IFERROR(INDEX('Both teabags AfterWet'!$C$3:$C$841,MATCH(H83,'Both teabags AfterWet'!$A$3:$A$841,0)),"")))</f>
        <v>0.61950000000000005</v>
      </c>
      <c r="Q83" s="195">
        <f>IFERROR(INDEX('Both teabags AfterWet'!$C$3:$C$841,MATCH(I83,'Both teabags AfterWet'!$A$3:$A$841,0)),"")</f>
        <v>1.4278999999999999</v>
      </c>
      <c r="R83" s="195">
        <f t="shared" si="3"/>
        <v>0.46890000000000004</v>
      </c>
      <c r="S83" s="195">
        <f t="shared" si="3"/>
        <v>1.2772999999999999</v>
      </c>
      <c r="T83" s="195">
        <f t="shared" si="4"/>
        <v>0.72757378573088549</v>
      </c>
      <c r="U83" s="195">
        <f t="shared" si="5"/>
        <v>0.47698423957654257</v>
      </c>
      <c r="V83" s="195">
        <f t="shared" si="6"/>
        <v>0.66380833593181576</v>
      </c>
      <c r="W83">
        <f t="shared" si="1"/>
        <v>52</v>
      </c>
      <c r="X83" s="195">
        <f t="shared" si="7"/>
        <v>0.13589811670916208</v>
      </c>
      <c r="Y83" s="195">
        <f t="shared" si="8"/>
        <v>2.3465302654871581E-2</v>
      </c>
      <c r="Z83" s="255" t="str">
        <f>IF(ISNUMBER(SEARCH("C",'WetLitterbags placem_collection'!W10)),"YES","NO")</f>
        <v>NO</v>
      </c>
      <c r="AA83" s="255" t="str">
        <f>IF(ISNUMBER(SEARCH("H", 'WetLitterbags placem_collection'!W10)),"YES","NO")</f>
        <v>NO</v>
      </c>
      <c r="AB83" s="255" t="str">
        <f>IF(ISNUMBER(SEARCH("R", 'WetLitterbags placem_collection'!W10)),"YES","NO")</f>
        <v>YES</v>
      </c>
      <c r="AC83" s="255" t="str">
        <f>IF(ISNUMBER(SEARCH("C", 'WetLitterbags placem_collection'!V10)),"YES","NO")</f>
        <v>NO</v>
      </c>
      <c r="AD83" s="255" t="str">
        <f>IF(ISNUMBER(SEARCH("H", 'WetLitterbags placem_collection'!V10)),"YES","NO")</f>
        <v>YES</v>
      </c>
      <c r="AE83" s="255" t="str">
        <f>IF(ISNUMBER(SEARCH("R", 'WetLitterbags placem_collection'!V10)),"YES","NO")</f>
        <v>NO</v>
      </c>
    </row>
    <row r="84" spans="2:31">
      <c r="B84" t="str">
        <f>'Final data_for_R_analysis_Wetse'!A10</f>
        <v>Wet</v>
      </c>
      <c r="C84" s="263">
        <f>'Final data_for_R_analysis_Wetse'!B10</f>
        <v>9</v>
      </c>
      <c r="D84" t="s">
        <v>3828</v>
      </c>
      <c r="E84" t="s">
        <v>22</v>
      </c>
      <c r="F84" s="386">
        <v>1</v>
      </c>
      <c r="G84" s="16">
        <f>'WetLitterbags placem_collection'!E11</f>
        <v>42766</v>
      </c>
      <c r="H84" t="str">
        <f>'Final data_for_R_analysis_Wetse'!J10</f>
        <v>G514</v>
      </c>
      <c r="I84" t="str">
        <f>'Final data_for_R_analysis_Wetse'!J230</f>
        <v>R169</v>
      </c>
      <c r="J84">
        <f>IFERROR(INDEX('Green_rooibos initial weight'!$C$5:$C$1749,MATCH(H84, 'Green_rooibos initial weight'!$A$5:$A$1749,0)),"")</f>
        <v>1.9350000000000001</v>
      </c>
      <c r="K84">
        <f>IFERROR(INDEX('Green_rooibos initial weight'!$C$5:$C$1749,MATCH(I84, 'Green_rooibos initial weight'!$A$5:$A$1749,0)),"")</f>
        <v>2.2010000000000001</v>
      </c>
      <c r="L84" s="195">
        <f t="shared" si="2"/>
        <v>1.6852</v>
      </c>
      <c r="M84" s="195">
        <f>AVERAGE(Ashed_controlls!$K$2:$K$11)</f>
        <v>5.5147656768714146</v>
      </c>
      <c r="N84" s="195">
        <f t="shared" si="0"/>
        <v>1.9512</v>
      </c>
      <c r="O84" s="16">
        <f>IF('WetLitterbags placem_collection'!G11="N.A","",'WetLitterbags placem_collection'!G11)</f>
        <v>42818</v>
      </c>
      <c r="P84" s="195" t="str">
        <f>IF(IFERROR(INDEX('Both teabags AfterWet'!$C$3:$C$841,MATCH(H84,'Both teabags AfterWet'!$A$3:$A$841,0)),"")="N.A","",(IFERROR(INDEX('Both teabags AfterWet'!$C$3:$C$841,MATCH(H84,'Both teabags AfterWet'!$A$3:$A$841,0)),"")))</f>
        <v/>
      </c>
      <c r="Q84" s="195">
        <f>IFERROR(INDEX('Both teabags AfterWet'!$C$3:$C$841,MATCH(I84,'Both teabags AfterWet'!$A$3:$A$841,0)),"")</f>
        <v>2.8336999999999999</v>
      </c>
      <c r="R84" s="195" t="str">
        <f t="shared" si="3"/>
        <v/>
      </c>
      <c r="S84" s="195">
        <f t="shared" si="3"/>
        <v>2.6831</v>
      </c>
      <c r="T84" s="195" t="str">
        <f t="shared" si="4"/>
        <v/>
      </c>
      <c r="U84" s="195" t="str">
        <f t="shared" si="5"/>
        <v/>
      </c>
      <c r="V84" s="195">
        <f t="shared" si="6"/>
        <v>1.3751025010250102</v>
      </c>
      <c r="W84">
        <f t="shared" si="1"/>
        <v>52</v>
      </c>
      <c r="X84" s="195" t="str">
        <f t="shared" si="7"/>
        <v/>
      </c>
      <c r="Y84" s="195" t="str">
        <f t="shared" si="8"/>
        <v/>
      </c>
      <c r="Z84" s="255" t="str">
        <f>IF(ISNUMBER(SEARCH("C",'WetLitterbags placem_collection'!W11)),"YES","NO")</f>
        <v>YES</v>
      </c>
      <c r="AA84" s="255" t="str">
        <f>IF(ISNUMBER(SEARCH("H", 'WetLitterbags placem_collection'!W11)),"YES","NO")</f>
        <v>YES</v>
      </c>
      <c r="AB84" s="255" t="str">
        <f>IF(ISNUMBER(SEARCH("R", 'WetLitterbags placem_collection'!W11)),"YES","NO")</f>
        <v>NO</v>
      </c>
      <c r="AC84" s="255" t="str">
        <f>IF(ISNUMBER(SEARCH("C", 'WetLitterbags placem_collection'!V11)),"YES","NO")</f>
        <v>NO</v>
      </c>
      <c r="AD84" s="255" t="str">
        <f>IF(ISNUMBER(SEARCH("H", 'WetLitterbags placem_collection'!V11)),"YES","NO")</f>
        <v>NO</v>
      </c>
      <c r="AE84" s="255" t="str">
        <f>IF(ISNUMBER(SEARCH("R", 'WetLitterbags placem_collection'!V11)),"YES","NO")</f>
        <v>YES</v>
      </c>
    </row>
    <row r="85" spans="2:31">
      <c r="B85" t="str">
        <f>'Final data_for_R_analysis_Wetse'!A11</f>
        <v>Wet</v>
      </c>
      <c r="C85" s="263">
        <f>'Final data_for_R_analysis_Wetse'!B11</f>
        <v>10</v>
      </c>
      <c r="D85" t="s">
        <v>3828</v>
      </c>
      <c r="E85" t="s">
        <v>22</v>
      </c>
      <c r="F85" s="386">
        <v>2</v>
      </c>
      <c r="G85" s="16">
        <f>'WetLitterbags placem_collection'!E12</f>
        <v>42766</v>
      </c>
      <c r="H85" t="str">
        <f>'Final data_for_R_analysis_Wetse'!J11</f>
        <v>G286</v>
      </c>
      <c r="I85" t="str">
        <f>'Final data_for_R_analysis_Wetse'!J231</f>
        <v>R91</v>
      </c>
      <c r="J85">
        <f>IFERROR(INDEX('Green_rooibos initial weight'!$C$5:$C$1749,MATCH(H85, 'Green_rooibos initial weight'!$A$5:$A$1749,0)),"")</f>
        <v>2.0710000000000002</v>
      </c>
      <c r="K85">
        <f>IFERROR(INDEX('Green_rooibos initial weight'!$C$5:$C$1749,MATCH(I85, 'Green_rooibos initial weight'!$A$5:$A$1749,0)),"")</f>
        <v>2.133</v>
      </c>
      <c r="L85" s="195">
        <f t="shared" si="2"/>
        <v>1.8212000000000002</v>
      </c>
      <c r="M85" s="195">
        <f>AVERAGE(Ashed_controlls!$K$2:$K$11)</f>
        <v>5.5147656768714146</v>
      </c>
      <c r="N85" s="195">
        <f t="shared" si="0"/>
        <v>1.8832</v>
      </c>
      <c r="O85" s="16">
        <f>IF('WetLitterbags placem_collection'!G12="N.A","",'WetLitterbags placem_collection'!G12)</f>
        <v>42818</v>
      </c>
      <c r="P85" s="195">
        <f>IF(IFERROR(INDEX('Both teabags AfterWet'!$C$3:$C$841,MATCH(H85,'Both teabags AfterWet'!$A$3:$A$841,0)),"")="N.A","",(IFERROR(INDEX('Both teabags AfterWet'!$C$3:$C$841,MATCH(H85,'Both teabags AfterWet'!$A$3:$A$841,0)),"")))</f>
        <v>0.80200000000000005</v>
      </c>
      <c r="Q85" s="195">
        <f>IFERROR(INDEX('Both teabags AfterWet'!$C$3:$C$841,MATCH(I85,'Both teabags AfterWet'!$A$3:$A$841,0)),"")</f>
        <v>1.3628</v>
      </c>
      <c r="R85" s="195">
        <f t="shared" si="3"/>
        <v>0.65139999999999998</v>
      </c>
      <c r="S85" s="195">
        <f t="shared" si="3"/>
        <v>1.2121999999999999</v>
      </c>
      <c r="T85" s="195">
        <f t="shared" si="4"/>
        <v>0.64232374258730518</v>
      </c>
      <c r="U85" s="195">
        <f t="shared" si="5"/>
        <v>0.42109585024725954</v>
      </c>
      <c r="V85" s="195">
        <f t="shared" si="6"/>
        <v>0.64369158878504673</v>
      </c>
      <c r="W85">
        <f t="shared" si="1"/>
        <v>52</v>
      </c>
      <c r="X85" s="195">
        <f t="shared" si="7"/>
        <v>0.23714519882742846</v>
      </c>
      <c r="Y85" s="195">
        <f t="shared" si="8"/>
        <v>3.5995168040208123E-2</v>
      </c>
      <c r="Z85" s="255" t="str">
        <f>IF(ISNUMBER(SEARCH("C",'WetLitterbags placem_collection'!W12)),"YES","NO")</f>
        <v>NO</v>
      </c>
      <c r="AA85" s="255" t="str">
        <f>IF(ISNUMBER(SEARCH("H", 'WetLitterbags placem_collection'!W12)),"YES","NO")</f>
        <v>NO</v>
      </c>
      <c r="AB85" s="255" t="str">
        <f>IF(ISNUMBER(SEARCH("R", 'WetLitterbags placem_collection'!W12)),"YES","NO")</f>
        <v>NO</v>
      </c>
      <c r="AC85" s="255" t="str">
        <f>IF(ISNUMBER(SEARCH("C", 'WetLitterbags placem_collection'!V12)),"YES","NO")</f>
        <v>NO</v>
      </c>
      <c r="AD85" s="255" t="str">
        <f>IF(ISNUMBER(SEARCH("H", 'WetLitterbags placem_collection'!V12)),"YES","NO")</f>
        <v>NO</v>
      </c>
      <c r="AE85" s="255" t="str">
        <f>IF(ISNUMBER(SEARCH("R", 'WetLitterbags placem_collection'!V12)),"YES","NO")</f>
        <v>NO</v>
      </c>
    </row>
    <row r="86" spans="2:31">
      <c r="B86" t="str">
        <f>'Final data_for_R_analysis_Wetse'!A12</f>
        <v>Wet</v>
      </c>
      <c r="C86" s="263">
        <f>'Final data_for_R_analysis_Wetse'!B12</f>
        <v>11</v>
      </c>
      <c r="D86" t="s">
        <v>3828</v>
      </c>
      <c r="E86" t="s">
        <v>22</v>
      </c>
      <c r="F86" s="386">
        <v>3</v>
      </c>
      <c r="G86" s="16">
        <f>'WetLitterbags placem_collection'!E13</f>
        <v>42766</v>
      </c>
      <c r="H86" t="str">
        <f>'Final data_for_R_analysis_Wetse'!J12</f>
        <v>G543</v>
      </c>
      <c r="I86" t="str">
        <f>'Final data_for_R_analysis_Wetse'!J232</f>
        <v>R446</v>
      </c>
      <c r="J86">
        <f>IFERROR(INDEX('Green_rooibos initial weight'!$C$5:$C$1749,MATCH(H86, 'Green_rooibos initial weight'!$A$5:$A$1749,0)),"")</f>
        <v>2.0920000000000001</v>
      </c>
      <c r="K86">
        <f>IFERROR(INDEX('Green_rooibos initial weight'!$C$5:$C$1749,MATCH(I86, 'Green_rooibos initial weight'!$A$5:$A$1749,0)),"")</f>
        <v>2.2679999999999998</v>
      </c>
      <c r="L86" s="195">
        <f t="shared" si="2"/>
        <v>1.8422000000000001</v>
      </c>
      <c r="M86" s="195">
        <f>AVERAGE(Ashed_controlls!$K$2:$K$11)</f>
        <v>5.5147656768714146</v>
      </c>
      <c r="N86" s="195">
        <f t="shared" si="0"/>
        <v>2.0181999999999998</v>
      </c>
      <c r="O86" s="16">
        <f>IF('WetLitterbags placem_collection'!G13="N.A","",'WetLitterbags placem_collection'!G13)</f>
        <v>42818</v>
      </c>
      <c r="P86" s="195">
        <f>IF(IFERROR(INDEX('Both teabags AfterWet'!$C$3:$C$841,MATCH(H86,'Both teabags AfterWet'!$A$3:$A$841,0)),"")="N.A","",(IFERROR(INDEX('Both teabags AfterWet'!$C$3:$C$841,MATCH(H86,'Both teabags AfterWet'!$A$3:$A$841,0)),"")))</f>
        <v>0.71650000000000003</v>
      </c>
      <c r="Q86" s="195">
        <f>IFERROR(INDEX('Both teabags AfterWet'!$C$3:$C$841,MATCH(I86,'Both teabags AfterWet'!$A$3:$A$841,0)),"")</f>
        <v>1.4224000000000001</v>
      </c>
      <c r="R86" s="195">
        <f t="shared" si="3"/>
        <v>0.56590000000000007</v>
      </c>
      <c r="S86" s="195">
        <f t="shared" si="3"/>
        <v>1.2718</v>
      </c>
      <c r="T86" s="195">
        <f t="shared" si="4"/>
        <v>0.69281294104874602</v>
      </c>
      <c r="U86" s="195">
        <f t="shared" si="5"/>
        <v>0.45419565731461736</v>
      </c>
      <c r="V86" s="195">
        <f t="shared" si="6"/>
        <v>0.63016549400455857</v>
      </c>
      <c r="W86">
        <f t="shared" si="1"/>
        <v>52</v>
      </c>
      <c r="X86" s="195">
        <f t="shared" si="7"/>
        <v>0.17718178022714248</v>
      </c>
      <c r="Y86" s="195">
        <f t="shared" si="8"/>
        <v>3.2373482023911687E-2</v>
      </c>
      <c r="Z86" s="255" t="str">
        <f>IF(ISNUMBER(SEARCH("C",'WetLitterbags placem_collection'!W13)),"YES","NO")</f>
        <v>NO</v>
      </c>
      <c r="AA86" s="255" t="str">
        <f>IF(ISNUMBER(SEARCH("H", 'WetLitterbags placem_collection'!W13)),"YES","NO")</f>
        <v>NO</v>
      </c>
      <c r="AB86" s="255" t="str">
        <f>IF(ISNUMBER(SEARCH("R", 'WetLitterbags placem_collection'!W13)),"YES","NO")</f>
        <v>NO</v>
      </c>
      <c r="AC86" s="255" t="str">
        <f>IF(ISNUMBER(SEARCH("C", 'WetLitterbags placem_collection'!V13)),"YES","NO")</f>
        <v>NO</v>
      </c>
      <c r="AD86" s="255" t="str">
        <f>IF(ISNUMBER(SEARCH("H", 'WetLitterbags placem_collection'!V13)),"YES","NO")</f>
        <v>NO</v>
      </c>
      <c r="AE86" s="255" t="str">
        <f>IF(ISNUMBER(SEARCH("R", 'WetLitterbags placem_collection'!V13)),"YES","NO")</f>
        <v>YES</v>
      </c>
    </row>
    <row r="87" spans="2:31">
      <c r="B87" t="str">
        <f>'Final data_for_R_analysis_Wetse'!A13</f>
        <v>Wet</v>
      </c>
      <c r="C87" s="263">
        <f>'Final data_for_R_analysis_Wetse'!B13</f>
        <v>12</v>
      </c>
      <c r="D87" t="s">
        <v>3828</v>
      </c>
      <c r="E87" t="s">
        <v>22</v>
      </c>
      <c r="F87" s="387">
        <v>4</v>
      </c>
      <c r="G87" s="16">
        <f>'WetLitterbags placem_collection'!E14</f>
        <v>42766</v>
      </c>
      <c r="H87" t="str">
        <f>'Final data_for_R_analysis_Wetse'!J13</f>
        <v>G590</v>
      </c>
      <c r="I87" t="str">
        <f>'Final data_for_R_analysis_Wetse'!J233</f>
        <v>R409</v>
      </c>
      <c r="J87">
        <f>IFERROR(INDEX('Green_rooibos initial weight'!$C$5:$C$1749,MATCH(H87, 'Green_rooibos initial weight'!$A$5:$A$1749,0)),"")</f>
        <v>2.0830000000000002</v>
      </c>
      <c r="K87">
        <f>IFERROR(INDEX('Green_rooibos initial weight'!$C$5:$C$1749,MATCH(I87, 'Green_rooibos initial weight'!$A$5:$A$1749,0)),"")</f>
        <v>2.2000000000000002</v>
      </c>
      <c r="L87" s="195">
        <f t="shared" si="2"/>
        <v>1.8332000000000002</v>
      </c>
      <c r="M87" s="195">
        <f>AVERAGE(Ashed_controlls!$K$2:$K$11)</f>
        <v>5.5147656768714146</v>
      </c>
      <c r="N87" s="195">
        <f t="shared" si="0"/>
        <v>1.9502000000000002</v>
      </c>
      <c r="O87" s="16">
        <f>IF('WetLitterbags placem_collection'!G14="N.A","",'WetLitterbags placem_collection'!G14)</f>
        <v>0</v>
      </c>
      <c r="P87" s="195" t="str">
        <f>IF(IFERROR(INDEX('Both teabags AfterWet'!$C$3:$C$841,MATCH(H87,'Both teabags AfterWet'!$A$3:$A$841,0)),"")="N.A","",(IFERROR(INDEX('Both teabags AfterWet'!$C$3:$C$841,MATCH(H87,'Both teabags AfterWet'!$A$3:$A$841,0)),"")))</f>
        <v/>
      </c>
      <c r="Q87" s="195" t="str">
        <f>IFERROR(INDEX('Both teabags AfterWet'!$C$3:$C$841,MATCH(I87,'Both teabags AfterWet'!$A$3:$A$841,0)),"")</f>
        <v/>
      </c>
      <c r="R87" s="195" t="str">
        <f t="shared" si="3"/>
        <v/>
      </c>
      <c r="S87" s="195" t="str">
        <f t="shared" si="3"/>
        <v/>
      </c>
      <c r="T87" s="195" t="str">
        <f t="shared" si="4"/>
        <v/>
      </c>
      <c r="U87" s="195" t="str">
        <f t="shared" si="5"/>
        <v/>
      </c>
      <c r="V87" s="195" t="str">
        <f t="shared" si="6"/>
        <v/>
      </c>
      <c r="W87" t="str">
        <f t="shared" si="1"/>
        <v/>
      </c>
      <c r="X87" s="195" t="str">
        <f t="shared" si="7"/>
        <v/>
      </c>
      <c r="Y87" s="195" t="str">
        <f t="shared" si="8"/>
        <v/>
      </c>
      <c r="Z87" s="255" t="str">
        <f>IF(ISNUMBER(SEARCH("C",'WetLitterbags placem_collection'!W14)),"YES","NO")</f>
        <v>NO</v>
      </c>
      <c r="AA87" s="255" t="str">
        <f>IF(ISNUMBER(SEARCH("H", 'WetLitterbags placem_collection'!W14)),"YES","NO")</f>
        <v>NO</v>
      </c>
      <c r="AB87" s="255" t="str">
        <f>IF(ISNUMBER(SEARCH("R", 'WetLitterbags placem_collection'!W14)),"YES","NO")</f>
        <v>NO</v>
      </c>
      <c r="AC87" s="255" t="str">
        <f>IF(ISNUMBER(SEARCH("C", 'WetLitterbags placem_collection'!V14)),"YES","NO")</f>
        <v>NO</v>
      </c>
      <c r="AD87" s="255" t="str">
        <f>IF(ISNUMBER(SEARCH("H", 'WetLitterbags placem_collection'!V14)),"YES","NO")</f>
        <v>NO</v>
      </c>
      <c r="AE87" s="255" t="str">
        <f>IF(ISNUMBER(SEARCH("R", 'WetLitterbags placem_collection'!V14)),"YES","NO")</f>
        <v>NO</v>
      </c>
    </row>
    <row r="88" spans="2:31">
      <c r="B88" t="str">
        <f>'Final data_for_R_analysis_Wetse'!A14</f>
        <v>Wet</v>
      </c>
      <c r="C88" s="263">
        <f>'Final data_for_R_analysis_Wetse'!B14</f>
        <v>13</v>
      </c>
      <c r="D88" t="s">
        <v>3828</v>
      </c>
      <c r="E88" t="s">
        <v>22</v>
      </c>
      <c r="F88" s="387">
        <v>5</v>
      </c>
      <c r="G88" s="16">
        <f>'WetLitterbags placem_collection'!E15</f>
        <v>42766</v>
      </c>
      <c r="H88" t="str">
        <f>'Final data_for_R_analysis_Wetse'!J14</f>
        <v>G595</v>
      </c>
      <c r="I88" t="str">
        <f>'Final data_for_R_analysis_Wetse'!J234</f>
        <v>R450</v>
      </c>
      <c r="J88">
        <f>IFERROR(INDEX('Green_rooibos initial weight'!$C$5:$C$1749,MATCH(H88, 'Green_rooibos initial weight'!$A$5:$A$1749,0)),"")</f>
        <v>2.1160000000000001</v>
      </c>
      <c r="K88">
        <f>IFERROR(INDEX('Green_rooibos initial weight'!$C$5:$C$1749,MATCH(I88, 'Green_rooibos initial weight'!$A$5:$A$1749,0)),"")</f>
        <v>2.2250000000000001</v>
      </c>
      <c r="L88" s="195">
        <f t="shared" si="2"/>
        <v>1.8662000000000001</v>
      </c>
      <c r="M88" s="195">
        <f>AVERAGE(Ashed_controlls!$K$2:$K$11)</f>
        <v>5.5147656768714146</v>
      </c>
      <c r="N88" s="195">
        <f t="shared" si="0"/>
        <v>1.9752000000000001</v>
      </c>
      <c r="O88" s="16">
        <f>IF('WetLitterbags placem_collection'!G15="N.A","",'WetLitterbags placem_collection'!G15)</f>
        <v>42818</v>
      </c>
      <c r="P88" s="195">
        <f>IF(IFERROR(INDEX('Both teabags AfterWet'!$C$3:$C$841,MATCH(H88,'Both teabags AfterWet'!$A$3:$A$841,0)),"")="N.A","",(IFERROR(INDEX('Both teabags AfterWet'!$C$3:$C$841,MATCH(H88,'Both teabags AfterWet'!$A$3:$A$841,0)),"")))</f>
        <v>0.62809999999999999</v>
      </c>
      <c r="Q88" s="195">
        <f>IFERROR(INDEX('Both teabags AfterWet'!$C$3:$C$841,MATCH(I88,'Both teabags AfterWet'!$A$3:$A$841,0)),"")</f>
        <v>0.91920000000000002</v>
      </c>
      <c r="R88" s="195">
        <f t="shared" si="3"/>
        <v>0.47749999999999998</v>
      </c>
      <c r="S88" s="195">
        <f t="shared" si="3"/>
        <v>0.76859999999999995</v>
      </c>
      <c r="T88" s="195">
        <f t="shared" si="4"/>
        <v>0.74413246168685032</v>
      </c>
      <c r="U88" s="195">
        <f t="shared" si="5"/>
        <v>0.48783980861180692</v>
      </c>
      <c r="V88" s="195">
        <f t="shared" si="6"/>
        <v>0.38912515188335356</v>
      </c>
      <c r="W88">
        <f t="shared" si="1"/>
        <v>52</v>
      </c>
      <c r="X88" s="195">
        <f t="shared" si="7"/>
        <v>0.11623223077571221</v>
      </c>
      <c r="Y88" s="195" t="str">
        <f t="shared" si="8"/>
        <v/>
      </c>
      <c r="Z88" s="255" t="str">
        <f>IF(ISNUMBER(SEARCH("C",'WetLitterbags placem_collection'!W15)),"YES","NO")</f>
        <v>NO</v>
      </c>
      <c r="AA88" s="255" t="str">
        <f>IF(ISNUMBER(SEARCH("H", 'WetLitterbags placem_collection'!W15)),"YES","NO")</f>
        <v>YES</v>
      </c>
      <c r="AB88" s="255" t="str">
        <f>IF(ISNUMBER(SEARCH("R", 'WetLitterbags placem_collection'!W15)),"YES","NO")</f>
        <v>YES</v>
      </c>
      <c r="AC88" s="255" t="str">
        <f>IF(ISNUMBER(SEARCH("C", 'WetLitterbags placem_collection'!V15)),"YES","NO")</f>
        <v>NO</v>
      </c>
      <c r="AD88" s="255" t="str">
        <f>IF(ISNUMBER(SEARCH("H", 'WetLitterbags placem_collection'!V15)),"YES","NO")</f>
        <v>YES</v>
      </c>
      <c r="AE88" s="255" t="str">
        <f>IF(ISNUMBER(SEARCH("R", 'WetLitterbags placem_collection'!V15)),"YES","NO")</f>
        <v>NO</v>
      </c>
    </row>
    <row r="89" spans="2:31">
      <c r="B89" t="str">
        <f>'Final data_for_R_analysis_Wetse'!A15</f>
        <v>Wet</v>
      </c>
      <c r="C89" s="263">
        <f>'Final data_for_R_analysis_Wetse'!B15</f>
        <v>14</v>
      </c>
      <c r="D89" t="s">
        <v>3828</v>
      </c>
      <c r="E89" t="s">
        <v>22</v>
      </c>
      <c r="F89" s="387">
        <v>6</v>
      </c>
      <c r="G89" s="16">
        <f>'WetLitterbags placem_collection'!E16</f>
        <v>42766</v>
      </c>
      <c r="H89" t="str">
        <f>'Final data_for_R_analysis_Wetse'!J15</f>
        <v>G609</v>
      </c>
      <c r="I89" t="str">
        <f>'Final data_for_R_analysis_Wetse'!J235</f>
        <v>R382</v>
      </c>
      <c r="J89">
        <f>IFERROR(INDEX('Green_rooibos initial weight'!$C$5:$C$1749,MATCH(H89, 'Green_rooibos initial weight'!$A$5:$A$1749,0)),"")</f>
        <v>2.089</v>
      </c>
      <c r="K89">
        <f>IFERROR(INDEX('Green_rooibos initial weight'!$C$5:$C$1749,MATCH(I89, 'Green_rooibos initial weight'!$A$5:$A$1749,0)),"")</f>
        <v>2.2210000000000001</v>
      </c>
      <c r="L89" s="195">
        <f t="shared" si="2"/>
        <v>1.8391999999999999</v>
      </c>
      <c r="M89" s="195">
        <f>AVERAGE(Ashed_controlls!$K$2:$K$11)</f>
        <v>5.5147656768714146</v>
      </c>
      <c r="N89" s="195">
        <f t="shared" si="0"/>
        <v>1.9712000000000001</v>
      </c>
      <c r="O89" s="16">
        <f>IF('WetLitterbags placem_collection'!G16="N.A","",'WetLitterbags placem_collection'!G16)</f>
        <v>42818</v>
      </c>
      <c r="P89" s="195">
        <f>IF(IFERROR(INDEX('Both teabags AfterWet'!$C$3:$C$841,MATCH(H89,'Both teabags AfterWet'!$A$3:$A$841,0)),"")="N.A","",(IFERROR(INDEX('Both teabags AfterWet'!$C$3:$C$841,MATCH(H89,'Both teabags AfterWet'!$A$3:$A$841,0)),"")))</f>
        <v>0.498</v>
      </c>
      <c r="Q89" s="195">
        <f>IFERROR(INDEX('Both teabags AfterWet'!$C$3:$C$841,MATCH(I89,'Both teabags AfterWet'!$A$3:$A$841,0)),"")</f>
        <v>1.794</v>
      </c>
      <c r="R89" s="195">
        <f t="shared" si="3"/>
        <v>0.34739999999999999</v>
      </c>
      <c r="S89" s="195">
        <f t="shared" si="3"/>
        <v>1.6434</v>
      </c>
      <c r="T89" s="195">
        <f t="shared" si="4"/>
        <v>0.81111352762070466</v>
      </c>
      <c r="U89" s="195">
        <f t="shared" si="5"/>
        <v>0.53175138627865681</v>
      </c>
      <c r="V89" s="195">
        <f t="shared" si="6"/>
        <v>0.8337053571428571</v>
      </c>
      <c r="W89">
        <f t="shared" si="1"/>
        <v>52</v>
      </c>
      <c r="X89" s="195">
        <f t="shared" si="7"/>
        <v>3.6682271234317443E-2</v>
      </c>
      <c r="Y89" s="195">
        <f t="shared" si="8"/>
        <v>7.2120795760559787E-3</v>
      </c>
      <c r="Z89" s="255" t="str">
        <f>IF(ISNUMBER(SEARCH("C",'WetLitterbags placem_collection'!W16)),"YES","NO")</f>
        <v>NO</v>
      </c>
      <c r="AA89" s="255" t="str">
        <f>IF(ISNUMBER(SEARCH("H", 'WetLitterbags placem_collection'!W16)),"YES","NO")</f>
        <v>YES</v>
      </c>
      <c r="AB89" s="255" t="str">
        <f>IF(ISNUMBER(SEARCH("R", 'WetLitterbags placem_collection'!W16)),"YES","NO")</f>
        <v>YES</v>
      </c>
      <c r="AC89" s="255" t="str">
        <f>IF(ISNUMBER(SEARCH("C", 'WetLitterbags placem_collection'!V16)),"YES","NO")</f>
        <v>NO</v>
      </c>
      <c r="AD89" s="255" t="str">
        <f>IF(ISNUMBER(SEARCH("H", 'WetLitterbags placem_collection'!V16)),"YES","NO")</f>
        <v>NO</v>
      </c>
      <c r="AE89" s="255" t="str">
        <f>IF(ISNUMBER(SEARCH("R", 'WetLitterbags placem_collection'!V16)),"YES","NO")</f>
        <v>NO</v>
      </c>
    </row>
    <row r="90" spans="2:31">
      <c r="B90" t="str">
        <f>'Final data_for_R_analysis_Wetse'!A16</f>
        <v>Wet</v>
      </c>
      <c r="C90" s="263">
        <f>'Final data_for_R_analysis_Wetse'!B16</f>
        <v>15</v>
      </c>
      <c r="D90" t="s">
        <v>3828</v>
      </c>
      <c r="E90" t="s">
        <v>22</v>
      </c>
      <c r="F90" s="387">
        <v>7</v>
      </c>
      <c r="G90" s="16">
        <f>'WetLitterbags placem_collection'!E17</f>
        <v>42766</v>
      </c>
      <c r="H90" t="str">
        <f>'Final data_for_R_analysis_Wetse'!J16</f>
        <v>G222</v>
      </c>
      <c r="I90" t="str">
        <f>'Final data_for_R_analysis_Wetse'!J236</f>
        <v>R415</v>
      </c>
      <c r="J90">
        <f>IFERROR(INDEX('Green_rooibos initial weight'!$C$5:$C$1749,MATCH(H90, 'Green_rooibos initial weight'!$A$5:$A$1749,0)),"")</f>
        <v>1.889</v>
      </c>
      <c r="K90">
        <f>IFERROR(INDEX('Green_rooibos initial weight'!$C$5:$C$1749,MATCH(I90, 'Green_rooibos initial weight'!$A$5:$A$1749,0)),"")</f>
        <v>2.2160000000000002</v>
      </c>
      <c r="L90" s="195">
        <f t="shared" si="2"/>
        <v>1.6392</v>
      </c>
      <c r="M90" s="195">
        <f>AVERAGE(Ashed_controlls!$K$2:$K$11)</f>
        <v>5.5147656768714146</v>
      </c>
      <c r="N90" s="195">
        <f t="shared" si="0"/>
        <v>1.9662000000000002</v>
      </c>
      <c r="O90" s="16">
        <f>IF('WetLitterbags placem_collection'!G17="N.A","",'WetLitterbags placem_collection'!G17)</f>
        <v>42818</v>
      </c>
      <c r="P90" s="195">
        <f>IF(IFERROR(INDEX('Both teabags AfterWet'!$C$3:$C$841,MATCH(H90,'Both teabags AfterWet'!$A$3:$A$841,0)),"")="N.A","",(IFERROR(INDEX('Both teabags AfterWet'!$C$3:$C$841,MATCH(H90,'Both teabags AfterWet'!$A$3:$A$841,0)),"")))</f>
        <v>0.67100000000000004</v>
      </c>
      <c r="Q90" s="195">
        <f>IFERROR(INDEX('Both teabags AfterWet'!$C$3:$C$841,MATCH(I90,'Both teabags AfterWet'!$A$3:$A$841,0)),"")</f>
        <v>2.96</v>
      </c>
      <c r="R90" s="195">
        <f t="shared" si="3"/>
        <v>0.52039999999999997</v>
      </c>
      <c r="S90" s="195">
        <f t="shared" si="3"/>
        <v>2.8094000000000001</v>
      </c>
      <c r="T90" s="195">
        <f t="shared" si="4"/>
        <v>0.68252806246949738</v>
      </c>
      <c r="U90" s="195">
        <f t="shared" si="5"/>
        <v>0.4474530765833285</v>
      </c>
      <c r="V90" s="195">
        <f t="shared" si="6"/>
        <v>1.4288475231410842</v>
      </c>
      <c r="W90">
        <f t="shared" si="1"/>
        <v>52</v>
      </c>
      <c r="X90" s="195">
        <f t="shared" si="7"/>
        <v>0.18939660039252093</v>
      </c>
      <c r="Y90" s="195">
        <f t="shared" si="8"/>
        <v>-1.2925721288924656E-2</v>
      </c>
      <c r="Z90" s="255" t="str">
        <f>IF(ISNUMBER(SEARCH("C",'WetLitterbags placem_collection'!W17)),"YES","NO")</f>
        <v>YES</v>
      </c>
      <c r="AA90" s="255" t="str">
        <f>IF(ISNUMBER(SEARCH("H", 'WetLitterbags placem_collection'!W17)),"YES","NO")</f>
        <v>YES</v>
      </c>
      <c r="AB90" s="255" t="str">
        <f>IF(ISNUMBER(SEARCH("R", 'WetLitterbags placem_collection'!W17)),"YES","NO")</f>
        <v>YES</v>
      </c>
      <c r="AC90" s="255" t="str">
        <f>IF(ISNUMBER(SEARCH("C", 'WetLitterbags placem_collection'!V17)),"YES","NO")</f>
        <v>NO</v>
      </c>
      <c r="AD90" s="255" t="str">
        <f>IF(ISNUMBER(SEARCH("H", 'WetLitterbags placem_collection'!V17)),"YES","NO")</f>
        <v>NO</v>
      </c>
      <c r="AE90" s="255" t="str">
        <f>IF(ISNUMBER(SEARCH("R", 'WetLitterbags placem_collection'!V17)),"YES","NO")</f>
        <v>NO</v>
      </c>
    </row>
    <row r="91" spans="2:31">
      <c r="B91" t="str">
        <f>'Final data_for_R_analysis_Wetse'!A17</f>
        <v>Wet</v>
      </c>
      <c r="C91" s="263">
        <f>'Final data_for_R_analysis_Wetse'!B17</f>
        <v>16</v>
      </c>
      <c r="D91" t="s">
        <v>3828</v>
      </c>
      <c r="E91" t="s">
        <v>22</v>
      </c>
      <c r="F91" s="387">
        <v>8</v>
      </c>
      <c r="G91" s="16">
        <f>'WetLitterbags placem_collection'!E18</f>
        <v>42766</v>
      </c>
      <c r="H91" t="str">
        <f>'Final data_for_R_analysis_Wetse'!J17</f>
        <v>G405</v>
      </c>
      <c r="I91" t="str">
        <f>'Final data_for_R_analysis_Wetse'!J237</f>
        <v>R519</v>
      </c>
      <c r="J91">
        <f>IFERROR(INDEX('Green_rooibos initial weight'!$C$5:$C$1749,MATCH(H91, 'Green_rooibos initial weight'!$A$5:$A$1749,0)),"")</f>
        <v>2.056</v>
      </c>
      <c r="K91">
        <f>IFERROR(INDEX('Green_rooibos initial weight'!$C$5:$C$1749,MATCH(I91, 'Green_rooibos initial weight'!$A$5:$A$1749,0)),"")</f>
        <v>2.21</v>
      </c>
      <c r="L91" s="195">
        <f t="shared" si="2"/>
        <v>1.8062</v>
      </c>
      <c r="M91" s="195">
        <f>AVERAGE(Ashed_controlls!$K$2:$K$11)</f>
        <v>5.5147656768714146</v>
      </c>
      <c r="N91" s="195">
        <f t="shared" si="0"/>
        <v>1.9601999999999999</v>
      </c>
      <c r="O91" s="16">
        <f>IF('WetLitterbags placem_collection'!G18="N.A","",'WetLitterbags placem_collection'!G18)</f>
        <v>42818</v>
      </c>
      <c r="P91" s="195">
        <f>IF(IFERROR(INDEX('Both teabags AfterWet'!$C$3:$C$841,MATCH(H91,'Both teabags AfterWet'!$A$3:$A$841,0)),"")="N.A","",(IFERROR(INDEX('Both teabags AfterWet'!$C$3:$C$841,MATCH(H91,'Both teabags AfterWet'!$A$3:$A$841,0)),"")))</f>
        <v>0.70150000000000001</v>
      </c>
      <c r="Q91" s="195">
        <f>IFERROR(INDEX('Both teabags AfterWet'!$C$3:$C$841,MATCH(I91,'Both teabags AfterWet'!$A$3:$A$841,0)),"")</f>
        <v>1.4281999999999999</v>
      </c>
      <c r="R91" s="195">
        <f t="shared" si="3"/>
        <v>0.55089999999999995</v>
      </c>
      <c r="S91" s="195">
        <f t="shared" si="3"/>
        <v>1.2775999999999998</v>
      </c>
      <c r="T91" s="195">
        <f t="shared" si="4"/>
        <v>0.69499501716310497</v>
      </c>
      <c r="U91" s="195">
        <f t="shared" si="5"/>
        <v>0.45562618702379337</v>
      </c>
      <c r="V91" s="195">
        <f t="shared" si="6"/>
        <v>0.65177022752780323</v>
      </c>
      <c r="W91">
        <f t="shared" si="1"/>
        <v>52</v>
      </c>
      <c r="X91" s="195">
        <f t="shared" si="7"/>
        <v>0.17459024089892516</v>
      </c>
      <c r="Y91" s="195">
        <f t="shared" si="8"/>
        <v>2.7791267510965615E-2</v>
      </c>
      <c r="Z91" s="255" t="str">
        <f>IF(ISNUMBER(SEARCH("C",'WetLitterbags placem_collection'!W18)),"YES","NO")</f>
        <v>NO</v>
      </c>
      <c r="AA91" s="255" t="str">
        <f>IF(ISNUMBER(SEARCH("H", 'WetLitterbags placem_collection'!W18)),"YES","NO")</f>
        <v>YES</v>
      </c>
      <c r="AB91" s="255" t="str">
        <f>IF(ISNUMBER(SEARCH("R", 'WetLitterbags placem_collection'!W18)),"YES","NO")</f>
        <v>YES</v>
      </c>
      <c r="AC91" s="255" t="str">
        <f>IF(ISNUMBER(SEARCH("C", 'WetLitterbags placem_collection'!V18)),"YES","NO")</f>
        <v>NO</v>
      </c>
      <c r="AD91" s="255" t="str">
        <f>IF(ISNUMBER(SEARCH("H", 'WetLitterbags placem_collection'!V18)),"YES","NO")</f>
        <v>YES</v>
      </c>
      <c r="AE91" s="255" t="str">
        <f>IF(ISNUMBER(SEARCH("R", 'WetLitterbags placem_collection'!V18)),"YES","NO")</f>
        <v>YES</v>
      </c>
    </row>
    <row r="92" spans="2:31">
      <c r="B92" t="str">
        <f>'Final data_for_R_analysis_Wetse'!A18</f>
        <v>Wet</v>
      </c>
      <c r="C92" s="263">
        <f>'Final data_for_R_analysis_Wetse'!B18</f>
        <v>17</v>
      </c>
      <c r="D92" t="s">
        <v>3829</v>
      </c>
      <c r="E92" t="s">
        <v>22</v>
      </c>
      <c r="F92" s="386">
        <v>1</v>
      </c>
      <c r="G92" s="16">
        <f>'WetLitterbags placem_collection'!E19</f>
        <v>42767</v>
      </c>
      <c r="H92" t="str">
        <f>'Final data_for_R_analysis_Wetse'!J18</f>
        <v>G571</v>
      </c>
      <c r="I92" t="str">
        <f>'Final data_for_R_analysis_Wetse'!J238</f>
        <v>R542</v>
      </c>
      <c r="J92">
        <f>IFERROR(INDEX('Green_rooibos initial weight'!$C$5:$C$1749,MATCH(H92, 'Green_rooibos initial weight'!$A$5:$A$1749,0)),"")</f>
        <v>2.0489999999999999</v>
      </c>
      <c r="K92">
        <f>IFERROR(INDEX('Green_rooibos initial weight'!$C$5:$C$1749,MATCH(I92, 'Green_rooibos initial weight'!$A$5:$A$1749,0)),"")</f>
        <v>2.2010000000000001</v>
      </c>
      <c r="L92" s="195">
        <f t="shared" si="2"/>
        <v>1.7991999999999999</v>
      </c>
      <c r="M92" s="195">
        <f>AVERAGE(Ashed_controlls!$K$2:$K$11)</f>
        <v>5.5147656768714146</v>
      </c>
      <c r="N92" s="195">
        <f t="shared" si="0"/>
        <v>1.9512</v>
      </c>
      <c r="O92" s="16">
        <f>IF('WetLitterbags placem_collection'!G19="N.A","",'WetLitterbags placem_collection'!G19)</f>
        <v>42818</v>
      </c>
      <c r="P92" s="195">
        <f>IF(IFERROR(INDEX('Both teabags AfterWet'!$C$3:$C$841,MATCH(H92,'Both teabags AfterWet'!$A$3:$A$841,0)),"")="N.A","",(IFERROR(INDEX('Both teabags AfterWet'!$C$3:$C$841,MATCH(H92,'Both teabags AfterWet'!$A$3:$A$841,0)),"")))</f>
        <v>0.67520000000000002</v>
      </c>
      <c r="Q92" s="195">
        <f>IFERROR(INDEX('Both teabags AfterWet'!$C$3:$C$841,MATCH(I92,'Both teabags AfterWet'!$A$3:$A$841,0)),"")</f>
        <v>1.6227</v>
      </c>
      <c r="R92" s="195">
        <f t="shared" si="3"/>
        <v>0.52459999999999996</v>
      </c>
      <c r="S92" s="195">
        <f t="shared" si="3"/>
        <v>1.4721</v>
      </c>
      <c r="T92" s="195">
        <f t="shared" si="4"/>
        <v>0.70842596709648742</v>
      </c>
      <c r="U92" s="195">
        <f t="shared" si="5"/>
        <v>0.46443127534116524</v>
      </c>
      <c r="V92" s="195">
        <f t="shared" si="6"/>
        <v>0.75445879458794585</v>
      </c>
      <c r="W92">
        <f t="shared" si="1"/>
        <v>51</v>
      </c>
      <c r="X92" s="195">
        <f t="shared" si="7"/>
        <v>0.15863899394716452</v>
      </c>
      <c r="Y92" s="195">
        <f t="shared" si="8"/>
        <v>1.474988143638249E-2</v>
      </c>
      <c r="Z92" s="255" t="str">
        <f>IF(ISNUMBER(SEARCH("C",'WetLitterbags placem_collection'!W19)),"YES","NO")</f>
        <v>NO</v>
      </c>
      <c r="AA92" s="255" t="str">
        <f>IF(ISNUMBER(SEARCH("H", 'WetLitterbags placem_collection'!W19)),"YES","NO")</f>
        <v>NO</v>
      </c>
      <c r="AB92" s="255" t="str">
        <f>IF(ISNUMBER(SEARCH("R", 'WetLitterbags placem_collection'!W19)),"YES","NO")</f>
        <v>YES</v>
      </c>
      <c r="AC92" s="255" t="str">
        <f>IF(ISNUMBER(SEARCH("C", 'WetLitterbags placem_collection'!V19)),"YES","NO")</f>
        <v>NO</v>
      </c>
      <c r="AD92" s="255" t="str">
        <f>IF(ISNUMBER(SEARCH("H", 'WetLitterbags placem_collection'!V19)),"YES","NO")</f>
        <v>NO</v>
      </c>
      <c r="AE92" s="255" t="str">
        <f>IF(ISNUMBER(SEARCH("R", 'WetLitterbags placem_collection'!V19)),"YES","NO")</f>
        <v>NO</v>
      </c>
    </row>
    <row r="93" spans="2:31">
      <c r="B93" t="str">
        <f>'Final data_for_R_analysis_Wetse'!A19</f>
        <v>Wet</v>
      </c>
      <c r="C93" s="263">
        <f>'Final data_for_R_analysis_Wetse'!B19</f>
        <v>18</v>
      </c>
      <c r="D93" t="s">
        <v>3829</v>
      </c>
      <c r="E93" t="s">
        <v>22</v>
      </c>
      <c r="F93" s="386">
        <v>2</v>
      </c>
      <c r="G93" s="16">
        <f>'WetLitterbags placem_collection'!E20</f>
        <v>42767</v>
      </c>
      <c r="H93" t="str">
        <f>'Final data_for_R_analysis_Wetse'!J19</f>
        <v>G419</v>
      </c>
      <c r="I93" t="str">
        <f>'Final data_for_R_analysis_Wetse'!J239</f>
        <v>R128</v>
      </c>
      <c r="J93">
        <f>IFERROR(INDEX('Green_rooibos initial weight'!$C$5:$C$1749,MATCH(H93, 'Green_rooibos initial weight'!$A$5:$A$1749,0)),"")</f>
        <v>2.0779999999999998</v>
      </c>
      <c r="K93">
        <f>IFERROR(INDEX('Green_rooibos initial weight'!$C$5:$C$1749,MATCH(I93, 'Green_rooibos initial weight'!$A$5:$A$1749,0)),"")</f>
        <v>2.2370000000000001</v>
      </c>
      <c r="L93" s="195">
        <f t="shared" si="2"/>
        <v>1.8281999999999998</v>
      </c>
      <c r="M93" s="195">
        <f>AVERAGE(Ashed_controlls!$K$2:$K$11)</f>
        <v>5.5147656768714146</v>
      </c>
      <c r="N93" s="195">
        <f t="shared" si="0"/>
        <v>1.9872000000000001</v>
      </c>
      <c r="O93" s="16">
        <f>IF('WetLitterbags placem_collection'!G20="N.A","",'WetLitterbags placem_collection'!G20)</f>
        <v>42818</v>
      </c>
      <c r="P93" s="195">
        <f>IF(IFERROR(INDEX('Both teabags AfterWet'!$C$3:$C$841,MATCH(H93,'Both teabags AfterWet'!$A$3:$A$841,0)),"")="N.A","",(IFERROR(INDEX('Both teabags AfterWet'!$C$3:$C$841,MATCH(H93,'Both teabags AfterWet'!$A$3:$A$841,0)),"")))</f>
        <v>0.79100000000000004</v>
      </c>
      <c r="Q93" s="195">
        <f>IFERROR(INDEX('Both teabags AfterWet'!$C$3:$C$841,MATCH(I93,'Both teabags AfterWet'!$A$3:$A$841,0)),"")</f>
        <v>1.79</v>
      </c>
      <c r="R93" s="195">
        <f t="shared" si="3"/>
        <v>0.64040000000000008</v>
      </c>
      <c r="S93" s="195">
        <f t="shared" si="3"/>
        <v>1.6394</v>
      </c>
      <c r="T93" s="195">
        <f t="shared" si="4"/>
        <v>0.64971009736352681</v>
      </c>
      <c r="U93" s="195">
        <f t="shared" si="5"/>
        <v>0.42593821109817914</v>
      </c>
      <c r="V93" s="195">
        <f t="shared" si="6"/>
        <v>0.82497987117552329</v>
      </c>
      <c r="W93">
        <f t="shared" si="1"/>
        <v>51</v>
      </c>
      <c r="X93" s="195">
        <f t="shared" si="7"/>
        <v>0.22837280598155962</v>
      </c>
      <c r="Y93" s="195">
        <f t="shared" si="8"/>
        <v>1.0375838646262188E-2</v>
      </c>
      <c r="Z93" s="255" t="str">
        <f>IF(ISNUMBER(SEARCH("C",'WetLitterbags placem_collection'!W20)),"YES","NO")</f>
        <v>NO</v>
      </c>
      <c r="AA93" s="255" t="str">
        <f>IF(ISNUMBER(SEARCH("H", 'WetLitterbags placem_collection'!W20)),"YES","NO")</f>
        <v>NO</v>
      </c>
      <c r="AB93" s="255" t="str">
        <f>IF(ISNUMBER(SEARCH("R", 'WetLitterbags placem_collection'!W20)),"YES","NO")</f>
        <v>NO</v>
      </c>
      <c r="AC93" s="255" t="str">
        <f>IF(ISNUMBER(SEARCH("C", 'WetLitterbags placem_collection'!V20)),"YES","NO")</f>
        <v>NO</v>
      </c>
      <c r="AD93" s="255" t="str">
        <f>IF(ISNUMBER(SEARCH("H", 'WetLitterbags placem_collection'!V20)),"YES","NO")</f>
        <v>NO</v>
      </c>
      <c r="AE93" s="255" t="str">
        <f>IF(ISNUMBER(SEARCH("R", 'WetLitterbags placem_collection'!V20)),"YES","NO")</f>
        <v>YES</v>
      </c>
    </row>
    <row r="94" spans="2:31">
      <c r="B94" t="str">
        <f>'Final data_for_R_analysis_Wetse'!A20</f>
        <v>Wet</v>
      </c>
      <c r="C94" s="263">
        <f>'Final data_for_R_analysis_Wetse'!B20</f>
        <v>19</v>
      </c>
      <c r="D94" t="s">
        <v>3829</v>
      </c>
      <c r="E94" t="s">
        <v>22</v>
      </c>
      <c r="F94" s="386">
        <v>3</v>
      </c>
      <c r="G94" s="16">
        <f>'WetLitterbags placem_collection'!E21</f>
        <v>42767</v>
      </c>
      <c r="H94" t="str">
        <f>'Final data_for_R_analysis_Wetse'!J20</f>
        <v>G240</v>
      </c>
      <c r="I94" t="str">
        <f>'Final data_for_R_analysis_Wetse'!J240</f>
        <v>R82</v>
      </c>
      <c r="J94">
        <f>IFERROR(INDEX('Green_rooibos initial weight'!$C$5:$C$1749,MATCH(H94, 'Green_rooibos initial weight'!$A$5:$A$1749,0)),"")</f>
        <v>2.117</v>
      </c>
      <c r="K94">
        <f>IFERROR(INDEX('Green_rooibos initial weight'!$C$5:$C$1749,MATCH(I94, 'Green_rooibos initial weight'!$A$5:$A$1749,0)),"")</f>
        <v>2.2490000000000001</v>
      </c>
      <c r="L94" s="195">
        <f t="shared" si="2"/>
        <v>1.8672</v>
      </c>
      <c r="M94" s="195">
        <f>AVERAGE(Ashed_controlls!$K$2:$K$11)</f>
        <v>5.5147656768714146</v>
      </c>
      <c r="N94" s="195">
        <f t="shared" si="0"/>
        <v>1.9992000000000001</v>
      </c>
      <c r="O94" s="16">
        <f>IF('WetLitterbags placem_collection'!G21="N.A","",'WetLitterbags placem_collection'!G21)</f>
        <v>42818</v>
      </c>
      <c r="P94" s="195">
        <f>IF(IFERROR(INDEX('Both teabags AfterWet'!$C$3:$C$841,MATCH(H94,'Both teabags AfterWet'!$A$3:$A$841,0)),"")="N.A","",(IFERROR(INDEX('Both teabags AfterWet'!$C$3:$C$841,MATCH(H94,'Both teabags AfterWet'!$A$3:$A$841,0)),"")))</f>
        <v>0.88690000000000002</v>
      </c>
      <c r="Q94" s="195">
        <f>IFERROR(INDEX('Both teabags AfterWet'!$C$3:$C$841,MATCH(I94,'Both teabags AfterWet'!$A$3:$A$841,0)),"")</f>
        <v>1.514</v>
      </c>
      <c r="R94" s="195">
        <f t="shared" si="3"/>
        <v>0.73629999999999995</v>
      </c>
      <c r="S94" s="195">
        <f t="shared" si="3"/>
        <v>1.3633999999999999</v>
      </c>
      <c r="T94" s="195">
        <f t="shared" si="4"/>
        <v>0.60566623821765209</v>
      </c>
      <c r="U94" s="195">
        <f t="shared" si="5"/>
        <v>0.39706385213318768</v>
      </c>
      <c r="V94" s="195">
        <f t="shared" si="6"/>
        <v>0.68197278911564618</v>
      </c>
      <c r="W94">
        <f t="shared" si="1"/>
        <v>51</v>
      </c>
      <c r="X94" s="195">
        <f t="shared" si="7"/>
        <v>0.28068142729494994</v>
      </c>
      <c r="Y94" s="195">
        <f t="shared" si="8"/>
        <v>3.1650696983267168E-2</v>
      </c>
      <c r="Z94" s="255" t="str">
        <f>IF(ISNUMBER(SEARCH("C",'WetLitterbags placem_collection'!W21)),"YES","NO")</f>
        <v>NO</v>
      </c>
      <c r="AA94" s="255" t="str">
        <f>IF(ISNUMBER(SEARCH("H", 'WetLitterbags placem_collection'!W21)),"YES","NO")</f>
        <v>NO</v>
      </c>
      <c r="AB94" s="255" t="str">
        <f>IF(ISNUMBER(SEARCH("R", 'WetLitterbags placem_collection'!W21)),"YES","NO")</f>
        <v>NO</v>
      </c>
      <c r="AC94" s="255" t="str">
        <f>IF(ISNUMBER(SEARCH("C", 'WetLitterbags placem_collection'!V21)),"YES","NO")</f>
        <v>NO</v>
      </c>
      <c r="AD94" s="255" t="str">
        <f>IF(ISNUMBER(SEARCH("H", 'WetLitterbags placem_collection'!V21)),"YES","NO")</f>
        <v>NO</v>
      </c>
      <c r="AE94" s="255" t="str">
        <f>IF(ISNUMBER(SEARCH("R", 'WetLitterbags placem_collection'!V21)),"YES","NO")</f>
        <v>NO</v>
      </c>
    </row>
    <row r="95" spans="2:31">
      <c r="B95" t="str">
        <f>'Final data_for_R_analysis_Wetse'!A21</f>
        <v>Wet</v>
      </c>
      <c r="C95" s="263">
        <f>'Final data_for_R_analysis_Wetse'!B21</f>
        <v>20</v>
      </c>
      <c r="D95" t="s">
        <v>3829</v>
      </c>
      <c r="E95" t="s">
        <v>22</v>
      </c>
      <c r="F95" s="387">
        <v>4</v>
      </c>
      <c r="G95" s="16">
        <f>'WetLitterbags placem_collection'!E22</f>
        <v>42767</v>
      </c>
      <c r="H95" t="str">
        <f>'Final data_for_R_analysis_Wetse'!J21</f>
        <v>G524</v>
      </c>
      <c r="I95" t="str">
        <f>'Final data_for_R_analysis_Wetse'!J241</f>
        <v>R50</v>
      </c>
      <c r="J95">
        <f>IFERROR(INDEX('Green_rooibos initial weight'!$C$5:$C$1749,MATCH(H95, 'Green_rooibos initial weight'!$A$5:$A$1749,0)),"")</f>
        <v>1.962</v>
      </c>
      <c r="K95">
        <f>IFERROR(INDEX('Green_rooibos initial weight'!$C$5:$C$1749,MATCH(I95, 'Green_rooibos initial weight'!$A$5:$A$1749,0)),"")</f>
        <v>2.2490000000000001</v>
      </c>
      <c r="L95" s="195">
        <f t="shared" si="2"/>
        <v>1.7121999999999999</v>
      </c>
      <c r="M95" s="195">
        <f>AVERAGE(Ashed_controlls!$K$2:$K$11)</f>
        <v>5.5147656768714146</v>
      </c>
      <c r="N95" s="195">
        <f t="shared" si="0"/>
        <v>1.9992000000000001</v>
      </c>
      <c r="O95" s="16">
        <f>IF('WetLitterbags placem_collection'!G22="N.A","",'WetLitterbags placem_collection'!G22)</f>
        <v>42818</v>
      </c>
      <c r="P95" s="195">
        <f>IF(IFERROR(INDEX('Both teabags AfterWet'!$C$3:$C$841,MATCH(H95,'Both teabags AfterWet'!$A$3:$A$841,0)),"")="N.A","",(IFERROR(INDEX('Both teabags AfterWet'!$C$3:$C$841,MATCH(H95,'Both teabags AfterWet'!$A$3:$A$841,0)),"")))</f>
        <v>0.71609999999999996</v>
      </c>
      <c r="Q95" s="195">
        <f>IFERROR(INDEX('Both teabags AfterWet'!$C$3:$C$841,MATCH(I95,'Both teabags AfterWet'!$A$3:$A$841,0)),"")</f>
        <v>1.51</v>
      </c>
      <c r="R95" s="195">
        <f t="shared" si="3"/>
        <v>0.56549999999999989</v>
      </c>
      <c r="S95" s="195">
        <f t="shared" si="3"/>
        <v>1.3593999999999999</v>
      </c>
      <c r="T95" s="195">
        <f t="shared" si="4"/>
        <v>0.66972316318187131</v>
      </c>
      <c r="U95" s="195">
        <f t="shared" si="5"/>
        <v>0.43905841576768762</v>
      </c>
      <c r="V95" s="195">
        <f t="shared" si="6"/>
        <v>0.67997198879551812</v>
      </c>
      <c r="W95">
        <f t="shared" si="1"/>
        <v>51</v>
      </c>
      <c r="X95" s="195">
        <f t="shared" si="7"/>
        <v>0.20460431926143552</v>
      </c>
      <c r="Y95" s="195">
        <f t="shared" si="8"/>
        <v>2.5593206053819834E-2</v>
      </c>
      <c r="Z95" s="255" t="str">
        <f>IF(ISNUMBER(SEARCH("C",'WetLitterbags placem_collection'!W22)),"YES","NO")</f>
        <v>NO</v>
      </c>
      <c r="AA95" s="255" t="str">
        <f>IF(ISNUMBER(SEARCH("H", 'WetLitterbags placem_collection'!W22)),"YES","NO")</f>
        <v>NO</v>
      </c>
      <c r="AB95" s="255" t="str">
        <f>IF(ISNUMBER(SEARCH("R", 'WetLitterbags placem_collection'!W22)),"YES","NO")</f>
        <v>NO</v>
      </c>
      <c r="AC95" s="255" t="str">
        <f>IF(ISNUMBER(SEARCH("C", 'WetLitterbags placem_collection'!V22)),"YES","NO")</f>
        <v>NO</v>
      </c>
      <c r="AD95" s="255" t="str">
        <f>IF(ISNUMBER(SEARCH("H", 'WetLitterbags placem_collection'!V22)),"YES","NO")</f>
        <v>NO</v>
      </c>
      <c r="AE95" s="255" t="str">
        <f>IF(ISNUMBER(SEARCH("R", 'WetLitterbags placem_collection'!V22)),"YES","NO")</f>
        <v>NO</v>
      </c>
    </row>
    <row r="96" spans="2:31">
      <c r="B96" t="str">
        <f>'Final data_for_R_analysis_Wetse'!A22</f>
        <v>Wet</v>
      </c>
      <c r="C96" s="263">
        <f>'Final data_for_R_analysis_Wetse'!B22</f>
        <v>21</v>
      </c>
      <c r="D96" t="s">
        <v>3829</v>
      </c>
      <c r="E96" t="s">
        <v>22</v>
      </c>
      <c r="F96" s="387">
        <v>5</v>
      </c>
      <c r="G96" s="16">
        <f>'WetLitterbags placem_collection'!E23</f>
        <v>42767</v>
      </c>
      <c r="H96" t="str">
        <f>'Final data_for_R_analysis_Wetse'!J22</f>
        <v>G699</v>
      </c>
      <c r="I96" t="str">
        <f>'Final data_for_R_analysis_Wetse'!J242</f>
        <v>R529</v>
      </c>
      <c r="J96">
        <f>IFERROR(INDEX('Green_rooibos initial weight'!$C$5:$C$1749,MATCH(H96, 'Green_rooibos initial weight'!$A$5:$A$1749,0)),"")</f>
        <v>1.984</v>
      </c>
      <c r="K96">
        <f>IFERROR(INDEX('Green_rooibos initial weight'!$C$5:$C$1749,MATCH(I96, 'Green_rooibos initial weight'!$A$5:$A$1749,0)),"")</f>
        <v>2.157</v>
      </c>
      <c r="L96" s="195">
        <f t="shared" si="2"/>
        <v>1.7342</v>
      </c>
      <c r="M96" s="195">
        <f>AVERAGE(Ashed_controlls!$K$2:$K$11)</f>
        <v>5.5147656768714146</v>
      </c>
      <c r="N96" s="195">
        <f t="shared" si="0"/>
        <v>1.9072</v>
      </c>
      <c r="O96" s="16">
        <f>IF('WetLitterbags placem_collection'!G23="N.A","",'WetLitterbags placem_collection'!G23)</f>
        <v>42818</v>
      </c>
      <c r="P96" s="195">
        <f>IF(IFERROR(INDEX('Both teabags AfterWet'!$C$3:$C$841,MATCH(H96,'Both teabags AfterWet'!$A$3:$A$841,0)),"")="N.A","",(IFERROR(INDEX('Both teabags AfterWet'!$C$3:$C$841,MATCH(H96,'Both teabags AfterWet'!$A$3:$A$841,0)),"")))</f>
        <v>0.7389</v>
      </c>
      <c r="Q96" s="195">
        <f>IFERROR(INDEX('Both teabags AfterWet'!$C$3:$C$841,MATCH(I96,'Both teabags AfterWet'!$A$3:$A$841,0)),"")</f>
        <v>1.4387000000000001</v>
      </c>
      <c r="R96" s="195">
        <f t="shared" si="3"/>
        <v>0.58830000000000005</v>
      </c>
      <c r="S96" s="195">
        <f t="shared" si="3"/>
        <v>1.2881</v>
      </c>
      <c r="T96" s="195">
        <f t="shared" si="4"/>
        <v>0.66076577096067346</v>
      </c>
      <c r="U96" s="195">
        <f t="shared" si="5"/>
        <v>0.43318611112861255</v>
      </c>
      <c r="V96" s="195">
        <f t="shared" si="6"/>
        <v>0.6753880033557047</v>
      </c>
      <c r="W96">
        <f t="shared" si="1"/>
        <v>51</v>
      </c>
      <c r="X96" s="195">
        <f t="shared" si="7"/>
        <v>0.21524255230323819</v>
      </c>
      <c r="Y96" s="195">
        <f t="shared" si="8"/>
        <v>2.7132047665016409E-2</v>
      </c>
      <c r="Z96" s="255" t="str">
        <f>IF(ISNUMBER(SEARCH("C",'WetLitterbags placem_collection'!W23)),"YES","NO")</f>
        <v>NO</v>
      </c>
      <c r="AA96" s="255" t="str">
        <f>IF(ISNUMBER(SEARCH("H", 'WetLitterbags placem_collection'!W23)),"YES","NO")</f>
        <v>NO</v>
      </c>
      <c r="AB96" s="255" t="str">
        <f>IF(ISNUMBER(SEARCH("R", 'WetLitterbags placem_collection'!W23)),"YES","NO")</f>
        <v>YES</v>
      </c>
      <c r="AC96" s="255" t="str">
        <f>IF(ISNUMBER(SEARCH("C", 'WetLitterbags placem_collection'!V23)),"YES","NO")</f>
        <v>NO</v>
      </c>
      <c r="AD96" s="255" t="str">
        <f>IF(ISNUMBER(SEARCH("H", 'WetLitterbags placem_collection'!V23)),"YES","NO")</f>
        <v>NO</v>
      </c>
      <c r="AE96" s="255" t="str">
        <f>IF(ISNUMBER(SEARCH("R", 'WetLitterbags placem_collection'!V23)),"YES","NO")</f>
        <v>YES</v>
      </c>
    </row>
    <row r="97" spans="2:31">
      <c r="B97" t="str">
        <f>'Final data_for_R_analysis_Wetse'!A23</f>
        <v>Wet</v>
      </c>
      <c r="C97" s="263">
        <f>'Final data_for_R_analysis_Wetse'!B23</f>
        <v>22</v>
      </c>
      <c r="D97" t="s">
        <v>3829</v>
      </c>
      <c r="E97" t="s">
        <v>22</v>
      </c>
      <c r="F97" s="387">
        <v>6</v>
      </c>
      <c r="G97" s="16">
        <f>'WetLitterbags placem_collection'!E24</f>
        <v>42767</v>
      </c>
      <c r="H97" t="str">
        <f>'Final data_for_R_analysis_Wetse'!J23</f>
        <v>G575</v>
      </c>
      <c r="I97" t="str">
        <f>'Final data_for_R_analysis_Wetse'!J243</f>
        <v>R363</v>
      </c>
      <c r="J97">
        <f>IFERROR(INDEX('Green_rooibos initial weight'!$C$5:$C$1749,MATCH(H97, 'Green_rooibos initial weight'!$A$5:$A$1749,0)),"")</f>
        <v>1.9970000000000001</v>
      </c>
      <c r="K97">
        <f>IFERROR(INDEX('Green_rooibos initial weight'!$C$5:$C$1749,MATCH(I97, 'Green_rooibos initial weight'!$A$5:$A$1749,0)),"")</f>
        <v>2.1659999999999999</v>
      </c>
      <c r="L97" s="195">
        <f t="shared" si="2"/>
        <v>1.7472000000000001</v>
      </c>
      <c r="M97" s="195">
        <f>AVERAGE(Ashed_controlls!$K$2:$K$11)</f>
        <v>5.5147656768714146</v>
      </c>
      <c r="N97" s="195">
        <f t="shared" si="0"/>
        <v>1.9161999999999999</v>
      </c>
      <c r="O97" s="16">
        <f>IF('WetLitterbags placem_collection'!G24="N.A","",'WetLitterbags placem_collection'!G24)</f>
        <v>42818</v>
      </c>
      <c r="P97" s="195">
        <f>IF(IFERROR(INDEX('Both teabags AfterWet'!$C$3:$C$841,MATCH(H97,'Both teabags AfterWet'!$A$3:$A$841,0)),"")="N.A","",(IFERROR(INDEX('Both teabags AfterWet'!$C$3:$C$841,MATCH(H97,'Both teabags AfterWet'!$A$3:$A$841,0)),"")))</f>
        <v>0.74019999999999997</v>
      </c>
      <c r="Q97" s="195">
        <f>IFERROR(INDEX('Both teabags AfterWet'!$C$3:$C$841,MATCH(I97,'Both teabags AfterWet'!$A$3:$A$841,0)),"")</f>
        <v>1.5164</v>
      </c>
      <c r="R97" s="195">
        <f t="shared" si="3"/>
        <v>0.5895999999999999</v>
      </c>
      <c r="S97" s="195">
        <f t="shared" si="3"/>
        <v>1.3657999999999999</v>
      </c>
      <c r="T97" s="195">
        <f t="shared" si="4"/>
        <v>0.66254578754578763</v>
      </c>
      <c r="U97" s="195">
        <f t="shared" si="5"/>
        <v>0.43435305786849737</v>
      </c>
      <c r="V97" s="195">
        <f t="shared" si="6"/>
        <v>0.71276484709320531</v>
      </c>
      <c r="W97">
        <f t="shared" si="1"/>
        <v>51</v>
      </c>
      <c r="X97" s="195">
        <f t="shared" si="7"/>
        <v>0.21312851835417146</v>
      </c>
      <c r="Y97" s="195">
        <f t="shared" si="8"/>
        <v>2.1227909037752256E-2</v>
      </c>
      <c r="Z97" s="255" t="str">
        <f>IF(ISNUMBER(SEARCH("C",'WetLitterbags placem_collection'!W24)),"YES","NO")</f>
        <v>NO</v>
      </c>
      <c r="AA97" s="255" t="str">
        <f>IF(ISNUMBER(SEARCH("H", 'WetLitterbags placem_collection'!W24)),"YES","NO")</f>
        <v>NO</v>
      </c>
      <c r="AB97" s="255" t="str">
        <f>IF(ISNUMBER(SEARCH("R", 'WetLitterbags placem_collection'!W24)),"YES","NO")</f>
        <v>NO</v>
      </c>
      <c r="AC97" s="255" t="str">
        <f>IF(ISNUMBER(SEARCH("C", 'WetLitterbags placem_collection'!V24)),"YES","NO")</f>
        <v>NO</v>
      </c>
      <c r="AD97" s="255" t="str">
        <f>IF(ISNUMBER(SEARCH("H", 'WetLitterbags placem_collection'!V24)),"YES","NO")</f>
        <v>NO</v>
      </c>
      <c r="AE97" s="255" t="str">
        <f>IF(ISNUMBER(SEARCH("R", 'WetLitterbags placem_collection'!V24)),"YES","NO")</f>
        <v>YES</v>
      </c>
    </row>
    <row r="98" spans="2:31">
      <c r="B98" t="str">
        <f>'Final data_for_R_analysis_Wetse'!A24</f>
        <v>Wet</v>
      </c>
      <c r="C98" s="263">
        <f>'Final data_for_R_analysis_Wetse'!B24</f>
        <v>23</v>
      </c>
      <c r="D98" t="s">
        <v>3829</v>
      </c>
      <c r="E98" t="s">
        <v>22</v>
      </c>
      <c r="F98" s="387">
        <v>7</v>
      </c>
      <c r="G98" s="16">
        <f>'WetLitterbags placem_collection'!E25</f>
        <v>42767</v>
      </c>
      <c r="H98" t="str">
        <f>'Final data_for_R_analysis_Wetse'!J24</f>
        <v>G492</v>
      </c>
      <c r="I98" t="str">
        <f>'Final data_for_R_analysis_Wetse'!J244</f>
        <v>R190</v>
      </c>
      <c r="J98">
        <f>IFERROR(INDEX('Green_rooibos initial weight'!$C$5:$C$1749,MATCH(H98, 'Green_rooibos initial weight'!$A$5:$A$1749,0)),"")</f>
        <v>1.948</v>
      </c>
      <c r="K98">
        <f>IFERROR(INDEX('Green_rooibos initial weight'!$C$5:$C$1749,MATCH(I98, 'Green_rooibos initial weight'!$A$5:$A$1749,0)),"")</f>
        <v>2.2240000000000002</v>
      </c>
      <c r="L98" s="195">
        <f t="shared" si="2"/>
        <v>1.6981999999999999</v>
      </c>
      <c r="M98" s="195">
        <f>AVERAGE(Ashed_controlls!$K$2:$K$11)</f>
        <v>5.5147656768714146</v>
      </c>
      <c r="N98" s="195">
        <f t="shared" si="0"/>
        <v>1.9742000000000002</v>
      </c>
      <c r="O98" s="16">
        <f>IF('WetLitterbags placem_collection'!G25="N.A","",'WetLitterbags placem_collection'!G25)</f>
        <v>42818</v>
      </c>
      <c r="P98" s="195">
        <f>IF(IFERROR(INDEX('Both teabags AfterWet'!$C$3:$C$841,MATCH(H98,'Both teabags AfterWet'!$A$3:$A$841,0)),"")="N.A","",(IFERROR(INDEX('Both teabags AfterWet'!$C$3:$C$841,MATCH(H98,'Both teabags AfterWet'!$A$3:$A$841,0)),"")))</f>
        <v>0.76959999999999995</v>
      </c>
      <c r="Q98" s="195">
        <f>IFERROR(INDEX('Both teabags AfterWet'!$C$3:$C$841,MATCH(I98,'Both teabags AfterWet'!$A$3:$A$841,0)),"")</f>
        <v>1.5019</v>
      </c>
      <c r="R98" s="195">
        <f t="shared" si="3"/>
        <v>0.61899999999999999</v>
      </c>
      <c r="S98" s="195">
        <f t="shared" si="3"/>
        <v>1.3512999999999999</v>
      </c>
      <c r="T98" s="195">
        <f t="shared" si="4"/>
        <v>0.63549640796137086</v>
      </c>
      <c r="U98" s="195">
        <f t="shared" si="5"/>
        <v>0.41661997291529307</v>
      </c>
      <c r="V98" s="195">
        <f t="shared" si="6"/>
        <v>0.68447978928173425</v>
      </c>
      <c r="W98">
        <f t="shared" si="1"/>
        <v>51</v>
      </c>
      <c r="X98" s="195">
        <f t="shared" si="7"/>
        <v>0.24525367225490391</v>
      </c>
      <c r="Y98" s="195">
        <f t="shared" si="8"/>
        <v>2.7766013656422357E-2</v>
      </c>
      <c r="Z98" s="255" t="str">
        <f>IF(ISNUMBER(SEARCH("C",'WetLitterbags placem_collection'!W25)),"YES","NO")</f>
        <v>NO</v>
      </c>
      <c r="AA98" s="255" t="str">
        <f>IF(ISNUMBER(SEARCH("H", 'WetLitterbags placem_collection'!W25)),"YES","NO")</f>
        <v>NO</v>
      </c>
      <c r="AB98" s="255" t="str">
        <f>IF(ISNUMBER(SEARCH("R", 'WetLitterbags placem_collection'!W25)),"YES","NO")</f>
        <v>NO</v>
      </c>
      <c r="AC98" s="255" t="str">
        <f>IF(ISNUMBER(SEARCH("C", 'WetLitterbags placem_collection'!V25)),"YES","NO")</f>
        <v>NO</v>
      </c>
      <c r="AD98" s="255" t="str">
        <f>IF(ISNUMBER(SEARCH("H", 'WetLitterbags placem_collection'!V25)),"YES","NO")</f>
        <v>NO</v>
      </c>
      <c r="AE98" s="255" t="str">
        <f>IF(ISNUMBER(SEARCH("R", 'WetLitterbags placem_collection'!V25)),"YES","NO")</f>
        <v>YES</v>
      </c>
    </row>
    <row r="99" spans="2:31">
      <c r="B99" t="str">
        <f>'Final data_for_R_analysis_Wetse'!A25</f>
        <v>Wet</v>
      </c>
      <c r="C99" s="263">
        <f>'Final data_for_R_analysis_Wetse'!B25</f>
        <v>24</v>
      </c>
      <c r="D99" t="s">
        <v>3829</v>
      </c>
      <c r="E99" t="s">
        <v>22</v>
      </c>
      <c r="F99" s="387">
        <v>8</v>
      </c>
      <c r="G99" s="16">
        <f>'WetLitterbags placem_collection'!E26</f>
        <v>42767</v>
      </c>
      <c r="H99" t="str">
        <f>'Final data_for_R_analysis_Wetse'!J25</f>
        <v>G813</v>
      </c>
      <c r="I99" t="str">
        <f>'Final data_for_R_analysis_Wetse'!J245</f>
        <v>R144</v>
      </c>
      <c r="J99">
        <f>IFERROR(INDEX('Green_rooibos initial weight'!$C$5:$C$1749,MATCH(H99, 'Green_rooibos initial weight'!$A$5:$A$1749,0)),"")</f>
        <v>1.9550000000000001</v>
      </c>
      <c r="K99">
        <f>IFERROR(INDEX('Green_rooibos initial weight'!$C$5:$C$1749,MATCH(I99, 'Green_rooibos initial weight'!$A$5:$A$1749,0)),"")</f>
        <v>2.1429999999999998</v>
      </c>
      <c r="L99" s="195">
        <f t="shared" si="2"/>
        <v>1.7052</v>
      </c>
      <c r="M99" s="195">
        <f>AVERAGE(Ashed_controlls!$K$2:$K$11)</f>
        <v>5.5147656768714146</v>
      </c>
      <c r="N99" s="195">
        <f t="shared" si="0"/>
        <v>1.8931999999999998</v>
      </c>
      <c r="O99" s="16">
        <f>IF('WetLitterbags placem_collection'!G26="N.A","",'WetLitterbags placem_collection'!G26)</f>
        <v>42818</v>
      </c>
      <c r="P99" s="195">
        <f>IF(IFERROR(INDEX('Both teabags AfterWet'!$C$3:$C$841,MATCH(H99,'Both teabags AfterWet'!$A$3:$A$841,0)),"")="N.A","",(IFERROR(INDEX('Both teabags AfterWet'!$C$3:$C$841,MATCH(H99,'Both teabags AfterWet'!$A$3:$A$841,0)),"")))</f>
        <v>0.74790000000000001</v>
      </c>
      <c r="Q99" s="195">
        <f>IFERROR(INDEX('Both teabags AfterWet'!$C$3:$C$841,MATCH(I99,'Both teabags AfterWet'!$A$3:$A$841,0)),"")</f>
        <v>1.6077999999999999</v>
      </c>
      <c r="R99" s="195">
        <f t="shared" si="3"/>
        <v>0.59729999999999994</v>
      </c>
      <c r="S99" s="195">
        <f t="shared" si="3"/>
        <v>1.4571999999999998</v>
      </c>
      <c r="T99" s="195">
        <f t="shared" si="4"/>
        <v>0.64971850809289244</v>
      </c>
      <c r="U99" s="195">
        <f t="shared" si="5"/>
        <v>0.42594372502051864</v>
      </c>
      <c r="V99" s="195">
        <f t="shared" si="6"/>
        <v>0.76970209169659831</v>
      </c>
      <c r="W99">
        <f t="shared" si="1"/>
        <v>51</v>
      </c>
      <c r="X99" s="195">
        <f t="shared" si="7"/>
        <v>0.22836281699181415</v>
      </c>
      <c r="Y99" s="195">
        <f t="shared" si="8"/>
        <v>1.5254926856585081E-2</v>
      </c>
      <c r="Z99" s="255" t="str">
        <f>IF(ISNUMBER(SEARCH("C",'WetLitterbags placem_collection'!W26)),"YES","NO")</f>
        <v>NO</v>
      </c>
      <c r="AA99" s="255" t="str">
        <f>IF(ISNUMBER(SEARCH("H", 'WetLitterbags placem_collection'!W26)),"YES","NO")</f>
        <v>NO</v>
      </c>
      <c r="AB99" s="255" t="str">
        <f>IF(ISNUMBER(SEARCH("R", 'WetLitterbags placem_collection'!W26)),"YES","NO")</f>
        <v>YES</v>
      </c>
      <c r="AC99" s="255" t="str">
        <f>IF(ISNUMBER(SEARCH("C", 'WetLitterbags placem_collection'!V26)),"YES","NO")</f>
        <v>NO</v>
      </c>
      <c r="AD99" s="255" t="str">
        <f>IF(ISNUMBER(SEARCH("H", 'WetLitterbags placem_collection'!V26)),"YES","NO")</f>
        <v>NO</v>
      </c>
      <c r="AE99" s="255" t="str">
        <f>IF(ISNUMBER(SEARCH("R", 'WetLitterbags placem_collection'!V26)),"YES","NO")</f>
        <v>YES</v>
      </c>
    </row>
    <row r="100" spans="2:31">
      <c r="B100" t="str">
        <f>'Final data_for_R_analysis_Wetse'!A26</f>
        <v>Wet</v>
      </c>
      <c r="C100" s="263">
        <f>'Final data_for_R_analysis_Wetse'!B26</f>
        <v>25</v>
      </c>
      <c r="D100" t="s">
        <v>3830</v>
      </c>
      <c r="E100" t="s">
        <v>22</v>
      </c>
      <c r="F100" s="386">
        <v>1</v>
      </c>
      <c r="G100" s="16">
        <f>'WetLitterbags placem_collection'!E27</f>
        <v>42767</v>
      </c>
      <c r="H100" t="str">
        <f>'Final data_for_R_analysis_Wetse'!J26</f>
        <v>G406</v>
      </c>
      <c r="I100" t="str">
        <f>'Final data_for_R_analysis_Wetse'!J246</f>
        <v>R279</v>
      </c>
      <c r="J100">
        <f>IFERROR(INDEX('Green_rooibos initial weight'!$C$5:$C$1749,MATCH(H100, 'Green_rooibos initial weight'!$A$5:$A$1749,0)),"")</f>
        <v>2.0910000000000002</v>
      </c>
      <c r="K100">
        <f>IFERROR(INDEX('Green_rooibos initial weight'!$C$5:$C$1749,MATCH(I100, 'Green_rooibos initial weight'!$A$5:$A$1749,0)),"")</f>
        <v>2.161</v>
      </c>
      <c r="L100" s="195">
        <f t="shared" si="2"/>
        <v>1.8412000000000002</v>
      </c>
      <c r="M100" s="195">
        <f>AVERAGE(Ashed_controlls!$K$2:$K$11)</f>
        <v>5.5147656768714146</v>
      </c>
      <c r="N100" s="195">
        <f t="shared" si="0"/>
        <v>1.9112</v>
      </c>
      <c r="O100" s="16">
        <f>IF('WetLitterbags placem_collection'!G27="N.A","",'WetLitterbags placem_collection'!G27)</f>
        <v>42818</v>
      </c>
      <c r="P100" s="195">
        <f>IF(IFERROR(INDEX('Both teabags AfterWet'!$C$3:$C$841,MATCH(H100,'Both teabags AfterWet'!$A$3:$A$841,0)),"")="N.A","",(IFERROR(INDEX('Both teabags AfterWet'!$C$3:$C$841,MATCH(H100,'Both teabags AfterWet'!$A$3:$A$841,0)),"")))</f>
        <v>0.68400000000000005</v>
      </c>
      <c r="Q100" s="195" t="str">
        <f>IFERROR(INDEX('Both teabags AfterWet'!$C$3:$C$841,MATCH(I100,'Both teabags AfterWet'!$A$3:$A$841,0)),"")</f>
        <v/>
      </c>
      <c r="R100" s="195">
        <f t="shared" si="3"/>
        <v>0.5334000000000001</v>
      </c>
      <c r="S100" s="195" t="str">
        <f t="shared" si="3"/>
        <v/>
      </c>
      <c r="T100" s="195">
        <f t="shared" si="4"/>
        <v>0.71029763197914408</v>
      </c>
      <c r="U100" s="195">
        <f t="shared" si="5"/>
        <v>0.4656583050504603</v>
      </c>
      <c r="V100" s="195" t="str">
        <f t="shared" si="6"/>
        <v/>
      </c>
      <c r="W100">
        <f t="shared" si="1"/>
        <v>51</v>
      </c>
      <c r="X100" s="195">
        <f t="shared" si="7"/>
        <v>0.15641611403902123</v>
      </c>
      <c r="Y100" s="195" t="str">
        <f t="shared" si="8"/>
        <v/>
      </c>
      <c r="Z100" s="255" t="str">
        <f>IF(ISNUMBER(SEARCH("C",'WetLitterbags placem_collection'!W27)),"YES","NO")</f>
        <v>NO</v>
      </c>
      <c r="AA100" s="255" t="str">
        <f>IF(ISNUMBER(SEARCH("H", 'WetLitterbags placem_collection'!W27)),"YES","NO")</f>
        <v>NO</v>
      </c>
      <c r="AB100" s="255" t="str">
        <f>IF(ISNUMBER(SEARCH("R", 'WetLitterbags placem_collection'!W27)),"YES","NO")</f>
        <v>NO</v>
      </c>
      <c r="AC100" s="255" t="str">
        <f>IF(ISNUMBER(SEARCH("C", 'WetLitterbags placem_collection'!V27)),"YES","NO")</f>
        <v>NO</v>
      </c>
      <c r="AD100" s="255" t="str">
        <f>IF(ISNUMBER(SEARCH("H", 'WetLitterbags placem_collection'!V27)),"YES","NO")</f>
        <v>NO</v>
      </c>
      <c r="AE100" s="255" t="str">
        <f>IF(ISNUMBER(SEARCH("R", 'WetLitterbags placem_collection'!V27)),"YES","NO")</f>
        <v>NO</v>
      </c>
    </row>
    <row r="101" spans="2:31">
      <c r="B101" t="str">
        <f>'Final data_for_R_analysis_Wetse'!A27</f>
        <v>Wet</v>
      </c>
      <c r="C101" s="263">
        <f>'Final data_for_R_analysis_Wetse'!B27</f>
        <v>26</v>
      </c>
      <c r="D101" t="s">
        <v>3830</v>
      </c>
      <c r="E101" t="s">
        <v>22</v>
      </c>
      <c r="F101" s="386">
        <v>2</v>
      </c>
      <c r="G101" s="16">
        <f>'WetLitterbags placem_collection'!E28</f>
        <v>42767</v>
      </c>
      <c r="H101" t="str">
        <f>'Final data_for_R_analysis_Wetse'!J27</f>
        <v>G651</v>
      </c>
      <c r="I101" t="str">
        <f>'Final data_for_R_analysis_Wetse'!J247</f>
        <v>R148</v>
      </c>
      <c r="J101">
        <f>IFERROR(INDEX('Green_rooibos initial weight'!$C$5:$C$1749,MATCH(H101, 'Green_rooibos initial weight'!$A$5:$A$1749,0)),"")</f>
        <v>1.97</v>
      </c>
      <c r="K101">
        <f>IFERROR(INDEX('Green_rooibos initial weight'!$C$5:$C$1749,MATCH(I101, 'Green_rooibos initial weight'!$A$5:$A$1749,0)),"")</f>
        <v>2.149</v>
      </c>
      <c r="L101" s="195">
        <f t="shared" si="2"/>
        <v>1.7202</v>
      </c>
      <c r="M101" s="195">
        <f>AVERAGE(Ashed_controlls!$K$2:$K$11)</f>
        <v>5.5147656768714146</v>
      </c>
      <c r="N101" s="195">
        <f t="shared" si="0"/>
        <v>1.8992</v>
      </c>
      <c r="O101" s="16">
        <f>IF('WetLitterbags placem_collection'!G28="N.A","",'WetLitterbags placem_collection'!G28)</f>
        <v>42818</v>
      </c>
      <c r="P101" s="195">
        <f>IF(IFERROR(INDEX('Both teabags AfterWet'!$C$3:$C$841,MATCH(H101,'Both teabags AfterWet'!$A$3:$A$841,0)),"")="N.A","",(IFERROR(INDEX('Both teabags AfterWet'!$C$3:$C$841,MATCH(H101,'Both teabags AfterWet'!$A$3:$A$841,0)),"")))</f>
        <v>0.77580000000000005</v>
      </c>
      <c r="Q101" s="195">
        <f>IFERROR(INDEX('Both teabags AfterWet'!$C$3:$C$841,MATCH(I101,'Both teabags AfterWet'!$A$3:$A$841,0)),"")</f>
        <v>1.5741000000000001</v>
      </c>
      <c r="R101" s="195">
        <f t="shared" si="3"/>
        <v>0.62519999999999998</v>
      </c>
      <c r="S101" s="195">
        <f t="shared" si="3"/>
        <v>1.4235</v>
      </c>
      <c r="T101" s="195">
        <f t="shared" si="4"/>
        <v>0.63655388908266475</v>
      </c>
      <c r="U101" s="195">
        <f t="shared" si="5"/>
        <v>0.41731323844849288</v>
      </c>
      <c r="V101" s="195">
        <f t="shared" si="6"/>
        <v>0.74952611625947763</v>
      </c>
      <c r="W101">
        <f t="shared" si="1"/>
        <v>51</v>
      </c>
      <c r="X101" s="195">
        <f t="shared" si="7"/>
        <v>0.24399775643388977</v>
      </c>
      <c r="Y101" s="195">
        <f t="shared" si="8"/>
        <v>1.7976582540364727E-2</v>
      </c>
      <c r="Z101" s="255" t="str">
        <f>IF(ISNUMBER(SEARCH("C",'WetLitterbags placem_collection'!W28)),"YES","NO")</f>
        <v>NO</v>
      </c>
      <c r="AA101" s="255" t="str">
        <f>IF(ISNUMBER(SEARCH("H", 'WetLitterbags placem_collection'!W28)),"YES","NO")</f>
        <v>NO</v>
      </c>
      <c r="AB101" s="255" t="str">
        <f>IF(ISNUMBER(SEARCH("R", 'WetLitterbags placem_collection'!W28)),"YES","NO")</f>
        <v>NO</v>
      </c>
      <c r="AC101" s="255" t="str">
        <f>IF(ISNUMBER(SEARCH("C", 'WetLitterbags placem_collection'!V28)),"YES","NO")</f>
        <v>NO</v>
      </c>
      <c r="AD101" s="255" t="str">
        <f>IF(ISNUMBER(SEARCH("H", 'WetLitterbags placem_collection'!V28)),"YES","NO")</f>
        <v>NO</v>
      </c>
      <c r="AE101" s="255" t="str">
        <f>IF(ISNUMBER(SEARCH("R", 'WetLitterbags placem_collection'!V28)),"YES","NO")</f>
        <v>YES</v>
      </c>
    </row>
    <row r="102" spans="2:31">
      <c r="B102" t="str">
        <f>'Final data_for_R_analysis_Wetse'!A28</f>
        <v>Wet</v>
      </c>
      <c r="C102" s="263">
        <f>'Final data_for_R_analysis_Wetse'!B28</f>
        <v>27</v>
      </c>
      <c r="D102" t="s">
        <v>3830</v>
      </c>
      <c r="E102" t="s">
        <v>22</v>
      </c>
      <c r="F102" s="386">
        <v>3</v>
      </c>
      <c r="G102" s="16">
        <f>'WetLitterbags placem_collection'!E29</f>
        <v>42767</v>
      </c>
      <c r="H102" t="str">
        <f>'Final data_for_R_analysis_Wetse'!J28</f>
        <v>G583</v>
      </c>
      <c r="I102" t="str">
        <f>'Final data_for_R_analysis_Wetse'!J248</f>
        <v>R112</v>
      </c>
      <c r="J102">
        <f>IFERROR(INDEX('Green_rooibos initial weight'!$C$5:$C$1749,MATCH(H102, 'Green_rooibos initial weight'!$A$5:$A$1749,0)),"")</f>
        <v>2.1829999999999998</v>
      </c>
      <c r="K102">
        <f>IFERROR(INDEX('Green_rooibos initial weight'!$C$5:$C$1749,MATCH(I102, 'Green_rooibos initial weight'!$A$5:$A$1749,0)),"")</f>
        <v>2.2610000000000001</v>
      </c>
      <c r="L102" s="195">
        <f t="shared" si="2"/>
        <v>1.9331999999999998</v>
      </c>
      <c r="M102" s="195">
        <f>AVERAGE(Ashed_controlls!$K$2:$K$11)</f>
        <v>5.5147656768714146</v>
      </c>
      <c r="N102" s="195">
        <f t="shared" si="0"/>
        <v>2.0112000000000001</v>
      </c>
      <c r="O102" s="16">
        <f>IF('WetLitterbags placem_collection'!G29="N.A","",'WetLitterbags placem_collection'!G29)</f>
        <v>42818</v>
      </c>
      <c r="P102" s="195">
        <f>IF(IFERROR(INDEX('Both teabags AfterWet'!$C$3:$C$841,MATCH(H102,'Both teabags AfterWet'!$A$3:$A$841,0)),"")="N.A","",(IFERROR(INDEX('Both teabags AfterWet'!$C$3:$C$841,MATCH(H102,'Both teabags AfterWet'!$A$3:$A$841,0)),"")))</f>
        <v>0.66169999999999995</v>
      </c>
      <c r="Q102" s="195">
        <f>IFERROR(INDEX('Both teabags AfterWet'!$C$3:$C$841,MATCH(I102,'Both teabags AfterWet'!$A$3:$A$841,0)),"")</f>
        <v>1.3584000000000001</v>
      </c>
      <c r="R102" s="195">
        <f t="shared" si="3"/>
        <v>0.51109999999999989</v>
      </c>
      <c r="S102" s="195">
        <f t="shared" si="3"/>
        <v>1.2078</v>
      </c>
      <c r="T102" s="195">
        <f t="shared" si="4"/>
        <v>0.73561969791020076</v>
      </c>
      <c r="U102" s="195">
        <f t="shared" si="5"/>
        <v>0.48225899435443093</v>
      </c>
      <c r="V102" s="195">
        <f t="shared" si="6"/>
        <v>0.60053699284009543</v>
      </c>
      <c r="W102">
        <f t="shared" si="1"/>
        <v>51</v>
      </c>
      <c r="X102" s="195">
        <f t="shared" si="7"/>
        <v>0.12634240153182807</v>
      </c>
      <c r="Y102" s="195">
        <f t="shared" si="8"/>
        <v>3.4551013843961691E-2</v>
      </c>
      <c r="Z102" s="255" t="str">
        <f>IF(ISNUMBER(SEARCH("C",'WetLitterbags placem_collection'!W29)),"YES","NO")</f>
        <v>NO</v>
      </c>
      <c r="AA102" s="255" t="str">
        <f>IF(ISNUMBER(SEARCH("H", 'WetLitterbags placem_collection'!W29)),"YES","NO")</f>
        <v>NO</v>
      </c>
      <c r="AB102" s="255" t="str">
        <f>IF(ISNUMBER(SEARCH("R", 'WetLitterbags placem_collection'!W29)),"YES","NO")</f>
        <v>NO</v>
      </c>
      <c r="AC102" s="255" t="str">
        <f>IF(ISNUMBER(SEARCH("C", 'WetLitterbags placem_collection'!V29)),"YES","NO")</f>
        <v>NO</v>
      </c>
      <c r="AD102" s="255" t="str">
        <f>IF(ISNUMBER(SEARCH("H", 'WetLitterbags placem_collection'!V29)),"YES","NO")</f>
        <v>NO</v>
      </c>
      <c r="AE102" s="255" t="str">
        <f>IF(ISNUMBER(SEARCH("R", 'WetLitterbags placem_collection'!V29)),"YES","NO")</f>
        <v>NO</v>
      </c>
    </row>
    <row r="103" spans="2:31">
      <c r="B103" t="str">
        <f>'Final data_for_R_analysis_Wetse'!A29</f>
        <v>Wet</v>
      </c>
      <c r="C103" s="263">
        <f>'Final data_for_R_analysis_Wetse'!B29</f>
        <v>28</v>
      </c>
      <c r="D103" t="s">
        <v>3830</v>
      </c>
      <c r="E103" t="s">
        <v>22</v>
      </c>
      <c r="F103" s="387">
        <v>4</v>
      </c>
      <c r="G103" s="16">
        <f>'WetLitterbags placem_collection'!E30</f>
        <v>42767</v>
      </c>
      <c r="H103" t="str">
        <f>'Final data_for_R_analysis_Wetse'!J29</f>
        <v>G702</v>
      </c>
      <c r="I103" t="str">
        <f>'Final data_for_R_analysis_Wetse'!J249</f>
        <v>R436</v>
      </c>
      <c r="J103">
        <f>IFERROR(INDEX('Green_rooibos initial weight'!$C$5:$C$1749,MATCH(H103, 'Green_rooibos initial weight'!$A$5:$A$1749,0)),"")</f>
        <v>2.109</v>
      </c>
      <c r="K103">
        <f>IFERROR(INDEX('Green_rooibos initial weight'!$C$5:$C$1749,MATCH(I103, 'Green_rooibos initial weight'!$A$5:$A$1749,0)),"")</f>
        <v>2.2240000000000002</v>
      </c>
      <c r="L103" s="195">
        <f t="shared" si="2"/>
        <v>1.8592</v>
      </c>
      <c r="M103" s="195">
        <f>AVERAGE(Ashed_controlls!$K$2:$K$11)</f>
        <v>5.5147656768714146</v>
      </c>
      <c r="N103" s="195">
        <f t="shared" si="0"/>
        <v>1.9742000000000002</v>
      </c>
      <c r="O103" s="16">
        <f>IF('WetLitterbags placem_collection'!G30="N.A","",'WetLitterbags placem_collection'!G30)</f>
        <v>42818</v>
      </c>
      <c r="P103" s="195">
        <f>IF(IFERROR(INDEX('Both teabags AfterWet'!$C$3:$C$841,MATCH(H103,'Both teabags AfterWet'!$A$3:$A$841,0)),"")="N.A","",(IFERROR(INDEX('Both teabags AfterWet'!$C$3:$C$841,MATCH(H103,'Both teabags AfterWet'!$A$3:$A$841,0)),"")))</f>
        <v>0.73699999999999999</v>
      </c>
      <c r="Q103" s="195">
        <f>IFERROR(INDEX('Both teabags AfterWet'!$C$3:$C$841,MATCH(I103,'Both teabags AfterWet'!$A$3:$A$841,0)),"")</f>
        <v>1.5295000000000001</v>
      </c>
      <c r="R103" s="195">
        <f t="shared" si="3"/>
        <v>0.58640000000000003</v>
      </c>
      <c r="S103" s="195">
        <f t="shared" si="3"/>
        <v>1.3789</v>
      </c>
      <c r="T103" s="195">
        <f t="shared" si="4"/>
        <v>0.68459552495697074</v>
      </c>
      <c r="U103" s="195">
        <f t="shared" si="5"/>
        <v>0.44880846766775284</v>
      </c>
      <c r="V103" s="195">
        <f t="shared" si="6"/>
        <v>0.69846013575119026</v>
      </c>
      <c r="W103">
        <f t="shared" si="1"/>
        <v>51</v>
      </c>
      <c r="X103" s="195">
        <f t="shared" si="7"/>
        <v>0.18694118176131735</v>
      </c>
      <c r="Y103" s="195">
        <f t="shared" si="8"/>
        <v>2.1849766035748872E-2</v>
      </c>
      <c r="Z103" s="255" t="str">
        <f>IF(ISNUMBER(SEARCH("C",'WetLitterbags placem_collection'!W30)),"YES","NO")</f>
        <v>NO</v>
      </c>
      <c r="AA103" s="255" t="str">
        <f>IF(ISNUMBER(SEARCH("H", 'WetLitterbags placem_collection'!W30)),"YES","NO")</f>
        <v>NO</v>
      </c>
      <c r="AB103" s="255" t="str">
        <f>IF(ISNUMBER(SEARCH("R", 'WetLitterbags placem_collection'!W30)),"YES","NO")</f>
        <v>NO</v>
      </c>
      <c r="AC103" s="255" t="str">
        <f>IF(ISNUMBER(SEARCH("C", 'WetLitterbags placem_collection'!V30)),"YES","NO")</f>
        <v>NO</v>
      </c>
      <c r="AD103" s="255" t="str">
        <f>IF(ISNUMBER(SEARCH("H", 'WetLitterbags placem_collection'!V30)),"YES","NO")</f>
        <v>NO</v>
      </c>
      <c r="AE103" s="255" t="str">
        <f>IF(ISNUMBER(SEARCH("R", 'WetLitterbags placem_collection'!V30)),"YES","NO")</f>
        <v>NO</v>
      </c>
    </row>
    <row r="104" spans="2:31">
      <c r="B104" t="str">
        <f>'Final data_for_R_analysis_Wetse'!A30</f>
        <v>Wet</v>
      </c>
      <c r="C104" s="263">
        <f>'Final data_for_R_analysis_Wetse'!B30</f>
        <v>29</v>
      </c>
      <c r="D104" t="s">
        <v>3830</v>
      </c>
      <c r="E104" t="s">
        <v>22</v>
      </c>
      <c r="F104" s="387">
        <v>5</v>
      </c>
      <c r="G104" s="16">
        <f>'WetLitterbags placem_collection'!E31</f>
        <v>42767</v>
      </c>
      <c r="H104" t="str">
        <f>'Final data_for_R_analysis_Wetse'!J30</f>
        <v>G838</v>
      </c>
      <c r="I104" t="str">
        <f>'Final data_for_R_analysis_Wetse'!J250</f>
        <v>R386</v>
      </c>
      <c r="J104">
        <f>IFERROR(INDEX('Green_rooibos initial weight'!$C$5:$C$1749,MATCH(H104, 'Green_rooibos initial weight'!$A$5:$A$1749,0)),"")</f>
        <v>2.0369999999999999</v>
      </c>
      <c r="K104">
        <f>IFERROR(INDEX('Green_rooibos initial weight'!$C$5:$C$1749,MATCH(I104, 'Green_rooibos initial weight'!$A$5:$A$1749,0)),"")</f>
        <v>2.2309999999999999</v>
      </c>
      <c r="L104" s="195">
        <f t="shared" si="2"/>
        <v>1.7871999999999999</v>
      </c>
      <c r="M104" s="195">
        <f>AVERAGE(Ashed_controlls!$K$2:$K$11)</f>
        <v>5.5147656768714146</v>
      </c>
      <c r="N104" s="195">
        <f t="shared" si="0"/>
        <v>1.9811999999999999</v>
      </c>
      <c r="O104" s="16">
        <f>IF('WetLitterbags placem_collection'!G31="N.A","",'WetLitterbags placem_collection'!G31)</f>
        <v>42818</v>
      </c>
      <c r="P104" s="195">
        <f>IF(IFERROR(INDEX('Both teabags AfterWet'!$C$3:$C$841,MATCH(H104,'Both teabags AfterWet'!$A$3:$A$841,0)),"")="N.A","",(IFERROR(INDEX('Both teabags AfterWet'!$C$3:$C$841,MATCH(H104,'Both teabags AfterWet'!$A$3:$A$841,0)),"")))</f>
        <v>0.70830000000000004</v>
      </c>
      <c r="Q104" s="195">
        <f>IFERROR(INDEX('Both teabags AfterWet'!$C$3:$C$841,MATCH(I104,'Both teabags AfterWet'!$A$3:$A$841,0)),"")</f>
        <v>1.5941000000000001</v>
      </c>
      <c r="R104" s="195">
        <f t="shared" si="3"/>
        <v>0.55770000000000008</v>
      </c>
      <c r="S104" s="195">
        <f t="shared" si="3"/>
        <v>1.4435</v>
      </c>
      <c r="T104" s="195">
        <f t="shared" si="4"/>
        <v>0.68794762757385852</v>
      </c>
      <c r="U104" s="195">
        <f t="shared" si="5"/>
        <v>0.45100604563036811</v>
      </c>
      <c r="V104" s="195">
        <f t="shared" si="6"/>
        <v>0.72859882899252981</v>
      </c>
      <c r="W104">
        <f t="shared" si="1"/>
        <v>51</v>
      </c>
      <c r="X104" s="195">
        <f t="shared" si="7"/>
        <v>0.182960062263826</v>
      </c>
      <c r="Y104" s="195">
        <f t="shared" si="8"/>
        <v>1.8053361711873699E-2</v>
      </c>
      <c r="Z104" s="255" t="str">
        <f>IF(ISNUMBER(SEARCH("C",'WetLitterbags placem_collection'!W31)),"YES","NO")</f>
        <v>NO</v>
      </c>
      <c r="AA104" s="255" t="str">
        <f>IF(ISNUMBER(SEARCH("H", 'WetLitterbags placem_collection'!W31)),"YES","NO")</f>
        <v>YES</v>
      </c>
      <c r="AB104" s="255" t="str">
        <f>IF(ISNUMBER(SEARCH("R", 'WetLitterbags placem_collection'!W31)),"YES","NO")</f>
        <v>YES</v>
      </c>
      <c r="AC104" s="255" t="str">
        <f>IF(ISNUMBER(SEARCH("C", 'WetLitterbags placem_collection'!V31)),"YES","NO")</f>
        <v>NO</v>
      </c>
      <c r="AD104" s="255" t="str">
        <f>IF(ISNUMBER(SEARCH("H", 'WetLitterbags placem_collection'!V31)),"YES","NO")</f>
        <v>NO</v>
      </c>
      <c r="AE104" s="255" t="str">
        <f>IF(ISNUMBER(SEARCH("R", 'WetLitterbags placem_collection'!V31)),"YES","NO")</f>
        <v>YES</v>
      </c>
    </row>
    <row r="105" spans="2:31">
      <c r="B105" t="str">
        <f>'Final data_for_R_analysis_Wetse'!A31</f>
        <v>Wet</v>
      </c>
      <c r="C105" s="263">
        <f>'Final data_for_R_analysis_Wetse'!B31</f>
        <v>30</v>
      </c>
      <c r="D105" t="s">
        <v>3830</v>
      </c>
      <c r="E105" t="s">
        <v>22</v>
      </c>
      <c r="F105" s="387">
        <v>6</v>
      </c>
      <c r="G105" s="16">
        <f>'WetLitterbags placem_collection'!E32</f>
        <v>42767</v>
      </c>
      <c r="H105" t="str">
        <f>'Final data_for_R_analysis_Wetse'!J31</f>
        <v>G518</v>
      </c>
      <c r="I105" t="str">
        <f>'Final data_for_R_analysis_Wetse'!J251</f>
        <v>R507</v>
      </c>
      <c r="J105">
        <f>IFERROR(INDEX('Green_rooibos initial weight'!$C$5:$C$1749,MATCH(H105, 'Green_rooibos initial weight'!$A$5:$A$1749,0)),"")</f>
        <v>1.9950000000000001</v>
      </c>
      <c r="K105">
        <f>IFERROR(INDEX('Green_rooibos initial weight'!$C$5:$C$1749,MATCH(I105, 'Green_rooibos initial weight'!$A$5:$A$1749,0)),"")</f>
        <v>2.1920000000000002</v>
      </c>
      <c r="L105" s="195">
        <f t="shared" si="2"/>
        <v>1.7452000000000001</v>
      </c>
      <c r="M105" s="195">
        <f>AVERAGE(Ashed_controlls!$K$2:$K$11)</f>
        <v>5.5147656768714146</v>
      </c>
      <c r="N105" s="195">
        <f t="shared" si="0"/>
        <v>1.9422000000000001</v>
      </c>
      <c r="O105" s="16">
        <f>IF('WetLitterbags placem_collection'!G32="N.A","",'WetLitterbags placem_collection'!G32)</f>
        <v>42818</v>
      </c>
      <c r="P105" s="195">
        <f>IF(IFERROR(INDEX('Both teabags AfterWet'!$C$3:$C$841,MATCH(H105,'Both teabags AfterWet'!$A$3:$A$841,0)),"")="N.A","",(IFERROR(INDEX('Both teabags AfterWet'!$C$3:$C$841,MATCH(H105,'Both teabags AfterWet'!$A$3:$A$841,0)),"")))</f>
        <v>0.68200000000000005</v>
      </c>
      <c r="Q105" s="195">
        <f>IFERROR(INDEX('Both teabags AfterWet'!$C$3:$C$841,MATCH(I105,'Both teabags AfterWet'!$A$3:$A$841,0)),"")</f>
        <v>1.3523000000000001</v>
      </c>
      <c r="R105" s="195">
        <f t="shared" si="3"/>
        <v>0.53140000000000009</v>
      </c>
      <c r="S105" s="195">
        <f t="shared" si="3"/>
        <v>1.2017</v>
      </c>
      <c r="T105" s="195">
        <f t="shared" si="4"/>
        <v>0.69550767820307124</v>
      </c>
      <c r="U105" s="195">
        <f t="shared" si="5"/>
        <v>0.45596227834690661</v>
      </c>
      <c r="V105" s="195">
        <f t="shared" si="6"/>
        <v>0.61873133559880544</v>
      </c>
      <c r="W105">
        <f t="shared" si="1"/>
        <v>51</v>
      </c>
      <c r="X105" s="195">
        <f t="shared" si="7"/>
        <v>0.17398137980632866</v>
      </c>
      <c r="Y105" s="195">
        <f t="shared" si="8"/>
        <v>3.5470891843779495E-2</v>
      </c>
      <c r="Z105" s="255" t="str">
        <f>IF(ISNUMBER(SEARCH("C",'WetLitterbags placem_collection'!W32)),"YES","NO")</f>
        <v>NO</v>
      </c>
      <c r="AA105" s="255" t="str">
        <f>IF(ISNUMBER(SEARCH("H", 'WetLitterbags placem_collection'!W32)),"YES","NO")</f>
        <v>NO</v>
      </c>
      <c r="AB105" s="255" t="str">
        <f>IF(ISNUMBER(SEARCH("R", 'WetLitterbags placem_collection'!W32)),"YES","NO")</f>
        <v>YES</v>
      </c>
      <c r="AC105" s="255" t="str">
        <f>IF(ISNUMBER(SEARCH("C", 'WetLitterbags placem_collection'!V32)),"YES","NO")</f>
        <v>NO</v>
      </c>
      <c r="AD105" s="255" t="str">
        <f>IF(ISNUMBER(SEARCH("H", 'WetLitterbags placem_collection'!V32)),"YES","NO")</f>
        <v>NO</v>
      </c>
      <c r="AE105" s="255" t="str">
        <f>IF(ISNUMBER(SEARCH("R", 'WetLitterbags placem_collection'!V32)),"YES","NO")</f>
        <v>YES</v>
      </c>
    </row>
    <row r="106" spans="2:31">
      <c r="B106" t="str">
        <f>'Final data_for_R_analysis_Wetse'!A32</f>
        <v>Wet</v>
      </c>
      <c r="C106" s="263">
        <f>'Final data_for_R_analysis_Wetse'!B32</f>
        <v>31</v>
      </c>
      <c r="D106" t="s">
        <v>3830</v>
      </c>
      <c r="E106" t="s">
        <v>22</v>
      </c>
      <c r="F106" s="387">
        <v>7</v>
      </c>
      <c r="G106" s="16">
        <f>'WetLitterbags placem_collection'!E33</f>
        <v>42767</v>
      </c>
      <c r="H106" t="str">
        <f>'Final data_for_R_analysis_Wetse'!J32</f>
        <v>G404</v>
      </c>
      <c r="I106" t="str">
        <f>'Final data_for_R_analysis_Wetse'!J252</f>
        <v>R141</v>
      </c>
      <c r="J106">
        <f>IFERROR(INDEX('Green_rooibos initial weight'!$C$5:$C$1749,MATCH(H106, 'Green_rooibos initial weight'!$A$5:$A$1749,0)),"")</f>
        <v>2.113</v>
      </c>
      <c r="K106">
        <f>IFERROR(INDEX('Green_rooibos initial weight'!$C$5:$C$1749,MATCH(I106, 'Green_rooibos initial weight'!$A$5:$A$1749,0)),"")</f>
        <v>2.2029999999999998</v>
      </c>
      <c r="L106" s="195">
        <f t="shared" si="2"/>
        <v>1.8632</v>
      </c>
      <c r="M106" s="195">
        <f>AVERAGE(Ashed_controlls!$K$2:$K$11)</f>
        <v>5.5147656768714146</v>
      </c>
      <c r="N106" s="195">
        <f t="shared" si="0"/>
        <v>1.9531999999999998</v>
      </c>
      <c r="O106" s="16">
        <f>IF('WetLitterbags placem_collection'!G33="N.A","",'WetLitterbags placem_collection'!G33)</f>
        <v>42818</v>
      </c>
      <c r="P106" s="195">
        <f>IF(IFERROR(INDEX('Both teabags AfterWet'!$C$3:$C$841,MATCH(H106,'Both teabags AfterWet'!$A$3:$A$841,0)),"")="N.A","",(IFERROR(INDEX('Both teabags AfterWet'!$C$3:$C$841,MATCH(H106,'Both teabags AfterWet'!$A$3:$A$841,0)),"")))</f>
        <v>0.75349999999999995</v>
      </c>
      <c r="Q106" s="195">
        <f>IFERROR(INDEX('Both teabags AfterWet'!$C$3:$C$841,MATCH(I106,'Both teabags AfterWet'!$A$3:$A$841,0)),"")</f>
        <v>1.3197000000000001</v>
      </c>
      <c r="R106" s="195">
        <f t="shared" si="3"/>
        <v>0.60289999999999999</v>
      </c>
      <c r="S106" s="195">
        <f t="shared" si="3"/>
        <v>1.1691</v>
      </c>
      <c r="T106" s="195">
        <f t="shared" si="4"/>
        <v>0.67641691713181618</v>
      </c>
      <c r="U106" s="195">
        <f t="shared" si="5"/>
        <v>0.44344672001990804</v>
      </c>
      <c r="V106" s="195">
        <f t="shared" si="6"/>
        <v>0.59855621544132709</v>
      </c>
      <c r="W106">
        <f t="shared" si="1"/>
        <v>51</v>
      </c>
      <c r="X106" s="195">
        <f t="shared" si="7"/>
        <v>0.19665449271755797</v>
      </c>
      <c r="Y106" s="195">
        <f t="shared" si="8"/>
        <v>4.6212512774804121E-2</v>
      </c>
      <c r="Z106" s="255" t="str">
        <f>IF(ISNUMBER(SEARCH("C",'WetLitterbags placem_collection'!W33)),"YES","NO")</f>
        <v>NO</v>
      </c>
      <c r="AA106" s="255" t="str">
        <f>IF(ISNUMBER(SEARCH("H", 'WetLitterbags placem_collection'!W33)),"YES","NO")</f>
        <v>NO</v>
      </c>
      <c r="AB106" s="255" t="str">
        <f>IF(ISNUMBER(SEARCH("R", 'WetLitterbags placem_collection'!W33)),"YES","NO")</f>
        <v>YES</v>
      </c>
      <c r="AC106" s="255" t="str">
        <f>IF(ISNUMBER(SEARCH("C", 'WetLitterbags placem_collection'!V33)),"YES","NO")</f>
        <v>NO</v>
      </c>
      <c r="AD106" s="255" t="str">
        <f>IF(ISNUMBER(SEARCH("H", 'WetLitterbags placem_collection'!V33)),"YES","NO")</f>
        <v>NO</v>
      </c>
      <c r="AE106" s="255" t="str">
        <f>IF(ISNUMBER(SEARCH("R", 'WetLitterbags placem_collection'!V33)),"YES","NO")</f>
        <v>YES</v>
      </c>
    </row>
    <row r="107" spans="2:31">
      <c r="B107" t="str">
        <f>'Final data_for_R_analysis_Wetse'!A33</f>
        <v>Wet</v>
      </c>
      <c r="C107" s="263">
        <f>'Final data_for_R_analysis_Wetse'!B33</f>
        <v>32</v>
      </c>
      <c r="D107" t="s">
        <v>3830</v>
      </c>
      <c r="E107" t="s">
        <v>22</v>
      </c>
      <c r="F107" s="387">
        <v>8</v>
      </c>
      <c r="G107" s="16">
        <f>'WetLitterbags placem_collection'!E34</f>
        <v>42767</v>
      </c>
      <c r="H107" t="str">
        <f>'Final data_for_R_analysis_Wetse'!J33</f>
        <v>G527</v>
      </c>
      <c r="I107" t="str">
        <f>'Final data_for_R_analysis_Wetse'!J253</f>
        <v>R396</v>
      </c>
      <c r="J107">
        <f>IFERROR(INDEX('Green_rooibos initial weight'!$C$5:$C$1749,MATCH(H107, 'Green_rooibos initial weight'!$A$5:$A$1749,0)),"")</f>
        <v>1.913</v>
      </c>
      <c r="K107">
        <f>IFERROR(INDEX('Green_rooibos initial weight'!$C$5:$C$1749,MATCH(I107, 'Green_rooibos initial weight'!$A$5:$A$1749,0)),"")</f>
        <v>2.14</v>
      </c>
      <c r="L107" s="195">
        <f t="shared" si="2"/>
        <v>1.6632</v>
      </c>
      <c r="M107" s="195">
        <f>AVERAGE(Ashed_controlls!$K$2:$K$11)</f>
        <v>5.5147656768714146</v>
      </c>
      <c r="N107" s="195">
        <f t="shared" si="0"/>
        <v>1.8902000000000001</v>
      </c>
      <c r="O107" s="16">
        <f>IF('WetLitterbags placem_collection'!G34="N.A","",'WetLitterbags placem_collection'!G34)</f>
        <v>42818</v>
      </c>
      <c r="P107" s="195">
        <f>IF(IFERROR(INDEX('Both teabags AfterWet'!$C$3:$C$841,MATCH(H107,'Both teabags AfterWet'!$A$3:$A$841,0)),"")="N.A","",(IFERROR(INDEX('Both teabags AfterWet'!$C$3:$C$841,MATCH(H107,'Both teabags AfterWet'!$A$3:$A$841,0)),"")))</f>
        <v>0.66439999999999999</v>
      </c>
      <c r="Q107" s="195">
        <f>IFERROR(INDEX('Both teabags AfterWet'!$C$3:$C$841,MATCH(I107,'Both teabags AfterWet'!$A$3:$A$841,0)),"")</f>
        <v>1.3464</v>
      </c>
      <c r="R107" s="195">
        <f t="shared" si="3"/>
        <v>0.51380000000000003</v>
      </c>
      <c r="S107" s="195">
        <f t="shared" si="3"/>
        <v>1.1958</v>
      </c>
      <c r="T107" s="195">
        <f t="shared" si="4"/>
        <v>0.69107744107744107</v>
      </c>
      <c r="U107" s="195">
        <f t="shared" si="5"/>
        <v>0.45305789486312054</v>
      </c>
      <c r="V107" s="195">
        <f t="shared" si="6"/>
        <v>0.63263146756956934</v>
      </c>
      <c r="W107">
        <f t="shared" si="1"/>
        <v>51</v>
      </c>
      <c r="X107" s="195">
        <f t="shared" si="7"/>
        <v>0.17924294408854979</v>
      </c>
      <c r="Y107" s="195">
        <f t="shared" si="8"/>
        <v>3.265276918209397E-2</v>
      </c>
      <c r="Z107" s="255" t="str">
        <f>IF(ISNUMBER(SEARCH("C",'WetLitterbags placem_collection'!W34)),"YES","NO")</f>
        <v>NO</v>
      </c>
      <c r="AA107" s="255" t="str">
        <f>IF(ISNUMBER(SEARCH("H", 'WetLitterbags placem_collection'!W34)),"YES","NO")</f>
        <v>NO</v>
      </c>
      <c r="AB107" s="255" t="str">
        <f>IF(ISNUMBER(SEARCH("R", 'WetLitterbags placem_collection'!W34)),"YES","NO")</f>
        <v>YES</v>
      </c>
      <c r="AC107" s="255" t="str">
        <f>IF(ISNUMBER(SEARCH("C", 'WetLitterbags placem_collection'!V34)),"YES","NO")</f>
        <v>NO</v>
      </c>
      <c r="AD107" s="255" t="str">
        <f>IF(ISNUMBER(SEARCH("H", 'WetLitterbags placem_collection'!V34)),"YES","NO")</f>
        <v>NO</v>
      </c>
      <c r="AE107" s="255" t="str">
        <f>IF(ISNUMBER(SEARCH("R", 'WetLitterbags placem_collection'!V34)),"YES","NO")</f>
        <v>YES</v>
      </c>
    </row>
    <row r="108" spans="2:31">
      <c r="B108" t="str">
        <f>'Final data_for_R_analysis_Wetse'!A34</f>
        <v>Wet</v>
      </c>
      <c r="C108" s="263">
        <f>'Final data_for_R_analysis_Wetse'!B34</f>
        <v>33</v>
      </c>
      <c r="D108" t="s">
        <v>3831</v>
      </c>
      <c r="E108" t="s">
        <v>22</v>
      </c>
      <c r="F108" s="386">
        <v>1</v>
      </c>
      <c r="G108" s="16">
        <f>'WetLitterbags placem_collection'!E35</f>
        <v>42765</v>
      </c>
      <c r="H108" t="str">
        <f>'Final data_for_R_analysis_Wetse'!J34</f>
        <v>G366</v>
      </c>
      <c r="I108" t="str">
        <f>'Final data_for_R_analysis_Wetse'!J254</f>
        <v>R109</v>
      </c>
      <c r="J108">
        <f>IFERROR(INDEX('Green_rooibos initial weight'!$C$5:$C$1749,MATCH(H108, 'Green_rooibos initial weight'!$A$5:$A$1749,0)),"")</f>
        <v>2.1070000000000002</v>
      </c>
      <c r="K108">
        <f>IFERROR(INDEX('Green_rooibos initial weight'!$C$5:$C$1749,MATCH(I108, 'Green_rooibos initial weight'!$A$5:$A$1749,0)),"")</f>
        <v>2.2090000000000001</v>
      </c>
      <c r="L108" s="195">
        <f t="shared" si="2"/>
        <v>1.8572000000000002</v>
      </c>
      <c r="M108" s="195">
        <f>AVERAGE(Ashed_controlls!$K$2:$K$11)</f>
        <v>5.5147656768714146</v>
      </c>
      <c r="N108" s="195">
        <f t="shared" si="0"/>
        <v>1.9592000000000001</v>
      </c>
      <c r="O108" s="16">
        <f>IF('WetLitterbags placem_collection'!G35="N.A","",'WetLitterbags placem_collection'!G35)</f>
        <v>42820</v>
      </c>
      <c r="P108" s="195">
        <f>IF(IFERROR(INDEX('Both teabags AfterWet'!$C$3:$C$841,MATCH(H108,'Both teabags AfterWet'!$A$3:$A$841,0)),"")="N.A","",(IFERROR(INDEX('Both teabags AfterWet'!$C$3:$C$841,MATCH(H108,'Both teabags AfterWet'!$A$3:$A$841,0)),"")))</f>
        <v>0.76700000000000002</v>
      </c>
      <c r="Q108" s="195">
        <f>IFERROR(INDEX('Both teabags AfterWet'!$C$3:$C$841,MATCH(I108,'Both teabags AfterWet'!$A$3:$A$841,0)),"")</f>
        <v>0.41499999999999998</v>
      </c>
      <c r="R108" s="195">
        <f t="shared" si="3"/>
        <v>0.61640000000000006</v>
      </c>
      <c r="S108" s="195">
        <f t="shared" si="3"/>
        <v>0.26439999999999997</v>
      </c>
      <c r="T108" s="195">
        <f t="shared" si="4"/>
        <v>0.66810251992246394</v>
      </c>
      <c r="U108" s="195">
        <f t="shared" si="5"/>
        <v>0.43799595130308805</v>
      </c>
      <c r="V108" s="195">
        <f t="shared" si="6"/>
        <v>0.13495304205798284</v>
      </c>
      <c r="W108">
        <f t="shared" si="1"/>
        <v>55</v>
      </c>
      <c r="X108" s="195">
        <f t="shared" si="7"/>
        <v>0.20652907372628981</v>
      </c>
      <c r="Y108" s="195" t="str">
        <f t="shared" si="8"/>
        <v/>
      </c>
      <c r="Z108" s="255" t="str">
        <f>IF(ISNUMBER(SEARCH("C",'WetLitterbags placem_collection'!W35)),"YES","NO")</f>
        <v>YES</v>
      </c>
      <c r="AA108" s="255" t="str">
        <f>IF(ISNUMBER(SEARCH("H", 'WetLitterbags placem_collection'!W35)),"YES","NO")</f>
        <v>YES</v>
      </c>
      <c r="AB108" s="255" t="str">
        <f>IF(ISNUMBER(SEARCH("R", 'WetLitterbags placem_collection'!W35)),"YES","NO")</f>
        <v>NO</v>
      </c>
      <c r="AC108" s="255" t="str">
        <f>IF(ISNUMBER(SEARCH("C", 'WetLitterbags placem_collection'!V35)),"YES","NO")</f>
        <v>NO</v>
      </c>
      <c r="AD108" s="255" t="str">
        <f>IF(ISNUMBER(SEARCH("H", 'WetLitterbags placem_collection'!V35)),"YES","NO")</f>
        <v>NO</v>
      </c>
      <c r="AE108" s="255" t="str">
        <f>IF(ISNUMBER(SEARCH("R", 'WetLitterbags placem_collection'!V35)),"YES","NO")</f>
        <v>YES</v>
      </c>
    </row>
    <row r="109" spans="2:31">
      <c r="B109" t="str">
        <f>'Final data_for_R_analysis_Wetse'!A35</f>
        <v>Wet</v>
      </c>
      <c r="C109" s="263">
        <f>'Final data_for_R_analysis_Wetse'!B35</f>
        <v>34</v>
      </c>
      <c r="D109" t="s">
        <v>3831</v>
      </c>
      <c r="E109" t="s">
        <v>22</v>
      </c>
      <c r="F109" s="386">
        <v>2</v>
      </c>
      <c r="G109" s="16">
        <f>'WetLitterbags placem_collection'!E36</f>
        <v>42765</v>
      </c>
      <c r="H109" t="str">
        <f>'Final data_for_R_analysis_Wetse'!J35</f>
        <v>G516</v>
      </c>
      <c r="I109" t="str">
        <f>'Final data_for_R_analysis_Wetse'!J255</f>
        <v>R153</v>
      </c>
      <c r="J109">
        <f>IFERROR(INDEX('Green_rooibos initial weight'!$C$5:$C$1749,MATCH(H109, 'Green_rooibos initial weight'!$A$5:$A$1749,0)),"")</f>
        <v>2.1160000000000001</v>
      </c>
      <c r="K109">
        <f>IFERROR(INDEX('Green_rooibos initial weight'!$C$5:$C$1749,MATCH(I109, 'Green_rooibos initial weight'!$A$5:$A$1749,0)),"")</f>
        <v>2.2200000000000002</v>
      </c>
      <c r="L109" s="195">
        <f t="shared" si="2"/>
        <v>1.8662000000000001</v>
      </c>
      <c r="M109" s="195">
        <f>AVERAGE(Ashed_controlls!$K$2:$K$11)</f>
        <v>5.5147656768714146</v>
      </c>
      <c r="N109" s="195">
        <f t="shared" si="0"/>
        <v>1.9702000000000002</v>
      </c>
      <c r="O109" s="16">
        <f>IF('WetLitterbags placem_collection'!G36="N.A","",'WetLitterbags placem_collection'!G36)</f>
        <v>42820</v>
      </c>
      <c r="P109" s="195">
        <f>IF(IFERROR(INDEX('Both teabags AfterWet'!$C$3:$C$841,MATCH(H109,'Both teabags AfterWet'!$A$3:$A$841,0)),"")="N.A","",(IFERROR(INDEX('Both teabags AfterWet'!$C$3:$C$841,MATCH(H109,'Both teabags AfterWet'!$A$3:$A$841,0)),"")))</f>
        <v>0.87270000000000003</v>
      </c>
      <c r="Q109" s="195">
        <f>IFERROR(INDEX('Both teabags AfterWet'!$C$3:$C$841,MATCH(I109,'Both teabags AfterWet'!$A$3:$A$841,0)),"")</f>
        <v>0.34520000000000001</v>
      </c>
      <c r="R109" s="195">
        <f t="shared" si="3"/>
        <v>0.72209999999999996</v>
      </c>
      <c r="S109" s="195">
        <f t="shared" si="3"/>
        <v>0.1946</v>
      </c>
      <c r="T109" s="195">
        <f t="shared" si="4"/>
        <v>0.61306398028078446</v>
      </c>
      <c r="U109" s="195">
        <f t="shared" si="5"/>
        <v>0.40191367828383973</v>
      </c>
      <c r="V109" s="195">
        <f t="shared" si="6"/>
        <v>9.8771698304740627E-2</v>
      </c>
      <c r="W109">
        <f t="shared" si="1"/>
        <v>55</v>
      </c>
      <c r="X109" s="195">
        <f t="shared" si="7"/>
        <v>0.27189551035536286</v>
      </c>
      <c r="Y109" s="195" t="str">
        <f t="shared" si="8"/>
        <v/>
      </c>
      <c r="Z109" s="255" t="str">
        <f>IF(ISNUMBER(SEARCH("C",'WetLitterbags placem_collection'!W36)),"YES","NO")</f>
        <v>YES</v>
      </c>
      <c r="AA109" s="255" t="str">
        <f>IF(ISNUMBER(SEARCH("H", 'WetLitterbags placem_collection'!W36)),"YES","NO")</f>
        <v>YES</v>
      </c>
      <c r="AB109" s="255" t="str">
        <f>IF(ISNUMBER(SEARCH("R", 'WetLitterbags placem_collection'!W36)),"YES","NO")</f>
        <v>NO</v>
      </c>
      <c r="AC109" s="255" t="str">
        <f>IF(ISNUMBER(SEARCH("C", 'WetLitterbags placem_collection'!V36)),"YES","NO")</f>
        <v>YES</v>
      </c>
      <c r="AD109" s="255" t="str">
        <f>IF(ISNUMBER(SEARCH("H", 'WetLitterbags placem_collection'!V36)),"YES","NO")</f>
        <v>YES</v>
      </c>
      <c r="AE109" s="255" t="str">
        <f>IF(ISNUMBER(SEARCH("R", 'WetLitterbags placem_collection'!V36)),"YES","NO")</f>
        <v>YES</v>
      </c>
    </row>
    <row r="110" spans="2:31">
      <c r="B110" t="str">
        <f>'Final data_for_R_analysis_Wetse'!A36</f>
        <v>Wet</v>
      </c>
      <c r="C110" s="263">
        <f>'Final data_for_R_analysis_Wetse'!B36</f>
        <v>35</v>
      </c>
      <c r="D110" t="s">
        <v>3831</v>
      </c>
      <c r="E110" t="s">
        <v>22</v>
      </c>
      <c r="F110" s="386">
        <v>3</v>
      </c>
      <c r="G110" s="16">
        <f>'WetLitterbags placem_collection'!E37</f>
        <v>42765</v>
      </c>
      <c r="H110" t="str">
        <f>'Final data_for_R_analysis_Wetse'!J36</f>
        <v>G670</v>
      </c>
      <c r="I110" t="str">
        <f>'Final data_for_R_analysis_Wetse'!J256</f>
        <v>R64</v>
      </c>
      <c r="J110">
        <f>IFERROR(INDEX('Green_rooibos initial weight'!$C$5:$C$1749,MATCH(H110, 'Green_rooibos initial weight'!$A$5:$A$1749,0)),"")</f>
        <v>2.0950000000000002</v>
      </c>
      <c r="K110">
        <f>IFERROR(INDEX('Green_rooibos initial weight'!$C$5:$C$1749,MATCH(I110, 'Green_rooibos initial weight'!$A$5:$A$1749,0)),"")</f>
        <v>2.2879999999999998</v>
      </c>
      <c r="L110" s="195">
        <f t="shared" si="2"/>
        <v>1.8452000000000002</v>
      </c>
      <c r="M110" s="195">
        <f>AVERAGE(Ashed_controlls!$K$2:$K$11)</f>
        <v>5.5147656768714146</v>
      </c>
      <c r="N110" s="195">
        <f t="shared" si="0"/>
        <v>2.0381999999999998</v>
      </c>
      <c r="O110" s="16">
        <f>IF('WetLitterbags placem_collection'!G37="N.A","",'WetLitterbags placem_collection'!G37)</f>
        <v>42820</v>
      </c>
      <c r="P110" s="195">
        <f>IF(IFERROR(INDEX('Both teabags AfterWet'!$C$3:$C$841,MATCH(H110,'Both teabags AfterWet'!$A$3:$A$841,0)),"")="N.A","",(IFERROR(INDEX('Both teabags AfterWet'!$C$3:$C$841,MATCH(H110,'Both teabags AfterWet'!$A$3:$A$841,0)),"")))</f>
        <v>0.81699999999999995</v>
      </c>
      <c r="Q110" s="195">
        <f>IFERROR(INDEX('Both teabags AfterWet'!$C$3:$C$841,MATCH(I110,'Both teabags AfterWet'!$A$3:$A$841,0)),"")</f>
        <v>1.615</v>
      </c>
      <c r="R110" s="195">
        <f t="shared" si="3"/>
        <v>0.66639999999999988</v>
      </c>
      <c r="S110" s="195">
        <f t="shared" si="3"/>
        <v>1.4643999999999999</v>
      </c>
      <c r="T110" s="195">
        <f t="shared" si="4"/>
        <v>0.63884673748103205</v>
      </c>
      <c r="U110" s="195">
        <f t="shared" si="5"/>
        <v>0.41881638846737501</v>
      </c>
      <c r="V110" s="195">
        <f t="shared" si="6"/>
        <v>0.718477087626337</v>
      </c>
      <c r="W110">
        <f t="shared" si="1"/>
        <v>55</v>
      </c>
      <c r="X110" s="195">
        <f t="shared" si="7"/>
        <v>0.24127465857359609</v>
      </c>
      <c r="Y110" s="195">
        <f t="shared" si="8"/>
        <v>2.0278396622849085E-2</v>
      </c>
      <c r="Z110" s="255" t="str">
        <f>IF(ISNUMBER(SEARCH("C",'WetLitterbags placem_collection'!W37)),"YES","NO")</f>
        <v>NO</v>
      </c>
      <c r="AA110" s="255" t="str">
        <f>IF(ISNUMBER(SEARCH("H", 'WetLitterbags placem_collection'!W37)),"YES","NO")</f>
        <v>NO</v>
      </c>
      <c r="AB110" s="255" t="str">
        <f>IF(ISNUMBER(SEARCH("R", 'WetLitterbags placem_collection'!W37)),"YES","NO")</f>
        <v>NO</v>
      </c>
      <c r="AC110" s="255" t="str">
        <f>IF(ISNUMBER(SEARCH("C", 'WetLitterbags placem_collection'!V37)),"YES","NO")</f>
        <v>NO</v>
      </c>
      <c r="AD110" s="255" t="str">
        <f>IF(ISNUMBER(SEARCH("H", 'WetLitterbags placem_collection'!V37)),"YES","NO")</f>
        <v>NO</v>
      </c>
      <c r="AE110" s="255" t="str">
        <f>IF(ISNUMBER(SEARCH("R", 'WetLitterbags placem_collection'!V37)),"YES","NO")</f>
        <v>NO</v>
      </c>
    </row>
    <row r="111" spans="2:31">
      <c r="B111" t="str">
        <f>'Final data_for_R_analysis_Wetse'!A37</f>
        <v>Wet</v>
      </c>
      <c r="C111" s="263">
        <f>'Final data_for_R_analysis_Wetse'!B37</f>
        <v>36</v>
      </c>
      <c r="D111" t="s">
        <v>3831</v>
      </c>
      <c r="E111" t="s">
        <v>22</v>
      </c>
      <c r="F111" s="387">
        <v>4</v>
      </c>
      <c r="G111" s="16">
        <f>'WetLitterbags placem_collection'!E38</f>
        <v>42765</v>
      </c>
      <c r="H111" t="str">
        <f>'Final data_for_R_analysis_Wetse'!J37</f>
        <v>G507</v>
      </c>
      <c r="I111" t="str">
        <f>'Final data_for_R_analysis_Wetse'!J257</f>
        <v>R126</v>
      </c>
      <c r="J111">
        <f>IFERROR(INDEX('Green_rooibos initial weight'!$C$5:$C$1749,MATCH(H111, 'Green_rooibos initial weight'!$A$5:$A$1749,0)),"")</f>
        <v>1.99</v>
      </c>
      <c r="K111">
        <f>IFERROR(INDEX('Green_rooibos initial weight'!$C$5:$C$1749,MATCH(I111, 'Green_rooibos initial weight'!$A$5:$A$1749,0)),"")</f>
        <v>2.2400000000000002</v>
      </c>
      <c r="L111" s="195">
        <f t="shared" si="2"/>
        <v>1.7402</v>
      </c>
      <c r="M111" s="195">
        <f>AVERAGE(Ashed_controlls!$K$2:$K$11)</f>
        <v>5.5147656768714146</v>
      </c>
      <c r="N111" s="195">
        <f t="shared" si="0"/>
        <v>1.9902000000000002</v>
      </c>
      <c r="O111" s="16">
        <f>IF('WetLitterbags placem_collection'!G38="N.A","",'WetLitterbags placem_collection'!G38)</f>
        <v>42820</v>
      </c>
      <c r="P111" s="195">
        <f>IF(IFERROR(INDEX('Both teabags AfterWet'!$C$3:$C$841,MATCH(H111,'Both teabags AfterWet'!$A$3:$A$841,0)),"")="N.A","",(IFERROR(INDEX('Both teabags AfterWet'!$C$3:$C$841,MATCH(H111,'Both teabags AfterWet'!$A$3:$A$841,0)),"")))</f>
        <v>0.68100000000000005</v>
      </c>
      <c r="Q111" s="195">
        <f>IFERROR(INDEX('Both teabags AfterWet'!$C$3:$C$841,MATCH(I111,'Both teabags AfterWet'!$A$3:$A$841,0)),"")</f>
        <v>1.6180000000000001</v>
      </c>
      <c r="R111" s="195">
        <f t="shared" si="3"/>
        <v>0.53039999999999998</v>
      </c>
      <c r="S111" s="195">
        <f t="shared" si="3"/>
        <v>1.4674</v>
      </c>
      <c r="T111" s="195">
        <f t="shared" si="4"/>
        <v>0.69520744741983687</v>
      </c>
      <c r="U111" s="195">
        <f t="shared" si="5"/>
        <v>0.45576545246526129</v>
      </c>
      <c r="V111" s="195">
        <f t="shared" si="6"/>
        <v>0.73731283288111737</v>
      </c>
      <c r="W111">
        <f t="shared" si="1"/>
        <v>55</v>
      </c>
      <c r="X111" s="195">
        <f t="shared" si="7"/>
        <v>0.17433794843249772</v>
      </c>
      <c r="Y111" s="195">
        <f t="shared" si="8"/>
        <v>1.561604706071891E-2</v>
      </c>
      <c r="Z111" s="255" t="str">
        <f>IF(ISNUMBER(SEARCH("C",'WetLitterbags placem_collection'!W38)),"YES","NO")</f>
        <v>YES</v>
      </c>
      <c r="AA111" s="255" t="str">
        <f>IF(ISNUMBER(SEARCH("H", 'WetLitterbags placem_collection'!W38)),"YES","NO")</f>
        <v>NO</v>
      </c>
      <c r="AB111" s="255" t="str">
        <f>IF(ISNUMBER(SEARCH("R", 'WetLitterbags placem_collection'!W38)),"YES","NO")</f>
        <v>YES</v>
      </c>
      <c r="AC111" s="255" t="str">
        <f>IF(ISNUMBER(SEARCH("C", 'WetLitterbags placem_collection'!V38)),"YES","NO")</f>
        <v>NO</v>
      </c>
      <c r="AD111" s="255" t="str">
        <f>IF(ISNUMBER(SEARCH("H", 'WetLitterbags placem_collection'!V38)),"YES","NO")</f>
        <v>NO</v>
      </c>
      <c r="AE111" s="255" t="str">
        <f>IF(ISNUMBER(SEARCH("R", 'WetLitterbags placem_collection'!V38)),"YES","NO")</f>
        <v>YES</v>
      </c>
    </row>
    <row r="112" spans="2:31">
      <c r="B112" t="str">
        <f>'Final data_for_R_analysis_Wetse'!A38</f>
        <v>Wet</v>
      </c>
      <c r="C112" s="263">
        <f>'Final data_for_R_analysis_Wetse'!B38</f>
        <v>37</v>
      </c>
      <c r="D112" t="s">
        <v>3831</v>
      </c>
      <c r="E112" t="s">
        <v>22</v>
      </c>
      <c r="F112" s="387">
        <v>5</v>
      </c>
      <c r="G112" s="16">
        <f>'WetLitterbags placem_collection'!E39</f>
        <v>42765</v>
      </c>
      <c r="H112" t="str">
        <f>'Final data_for_R_analysis_Wetse'!J38</f>
        <v>G359</v>
      </c>
      <c r="I112" t="str">
        <f>'Final data_for_R_analysis_Wetse'!J258</f>
        <v>R63</v>
      </c>
      <c r="J112">
        <f>IFERROR(INDEX('Green_rooibos initial weight'!$C$5:$C$1749,MATCH(H112, 'Green_rooibos initial weight'!$A$5:$A$1749,0)),"")</f>
        <v>1.9790000000000001</v>
      </c>
      <c r="K112">
        <f>IFERROR(INDEX('Green_rooibos initial weight'!$C$5:$C$1749,MATCH(I112, 'Green_rooibos initial weight'!$A$5:$A$1749,0)),"")</f>
        <v>2.1749999999999998</v>
      </c>
      <c r="L112" s="195">
        <f t="shared" si="2"/>
        <v>1.7292000000000001</v>
      </c>
      <c r="M112" s="195">
        <f>AVERAGE(Ashed_controlls!$K$2:$K$11)</f>
        <v>5.5147656768714146</v>
      </c>
      <c r="N112" s="195">
        <f t="shared" si="0"/>
        <v>1.9251999999999998</v>
      </c>
      <c r="O112" s="16">
        <f>IF('WetLitterbags placem_collection'!G39="N.A","",'WetLitterbags placem_collection'!G39)</f>
        <v>42820</v>
      </c>
      <c r="P112" s="195">
        <f>IF(IFERROR(INDEX('Both teabags AfterWet'!$C$3:$C$841,MATCH(H112,'Both teabags AfterWet'!$A$3:$A$841,0)),"")="N.A","",(IFERROR(INDEX('Both teabags AfterWet'!$C$3:$C$841,MATCH(H112,'Both teabags AfterWet'!$A$3:$A$841,0)),"")))</f>
        <v>0.94699999999999995</v>
      </c>
      <c r="Q112" s="195">
        <f>IFERROR(INDEX('Both teabags AfterWet'!$C$3:$C$841,MATCH(I112,'Both teabags AfterWet'!$A$3:$A$841,0)),"")</f>
        <v>1.3620000000000001</v>
      </c>
      <c r="R112" s="195">
        <f t="shared" si="3"/>
        <v>0.7964</v>
      </c>
      <c r="S112" s="195">
        <f t="shared" si="3"/>
        <v>1.2114</v>
      </c>
      <c r="T112" s="195">
        <f t="shared" si="4"/>
        <v>0.53944020356234101</v>
      </c>
      <c r="U112" s="195">
        <f t="shared" si="5"/>
        <v>0.35364725934253244</v>
      </c>
      <c r="V112" s="195">
        <f t="shared" si="6"/>
        <v>0.62923332640764607</v>
      </c>
      <c r="W112">
        <f t="shared" si="1"/>
        <v>55</v>
      </c>
      <c r="X112" s="195">
        <f t="shared" si="7"/>
        <v>0.35933467510410799</v>
      </c>
      <c r="Y112" s="195" t="str">
        <f t="shared" si="8"/>
        <v/>
      </c>
      <c r="Z112" s="255" t="str">
        <f>IF(ISNUMBER(SEARCH("C",'WetLitterbags placem_collection'!W39)),"YES","NO")</f>
        <v>YES</v>
      </c>
      <c r="AA112" s="255" t="str">
        <f>IF(ISNUMBER(SEARCH("H", 'WetLitterbags placem_collection'!W39)),"YES","NO")</f>
        <v>YES</v>
      </c>
      <c r="AB112" s="255" t="str">
        <f>IF(ISNUMBER(SEARCH("R", 'WetLitterbags placem_collection'!W39)),"YES","NO")</f>
        <v>YES</v>
      </c>
      <c r="AC112" s="255" t="str">
        <f>IF(ISNUMBER(SEARCH("C", 'WetLitterbags placem_collection'!V39)),"YES","NO")</f>
        <v>YES</v>
      </c>
      <c r="AD112" s="255" t="str">
        <f>IF(ISNUMBER(SEARCH("H", 'WetLitterbags placem_collection'!V39)),"YES","NO")</f>
        <v>YES</v>
      </c>
      <c r="AE112" s="255" t="str">
        <f>IF(ISNUMBER(SEARCH("R", 'WetLitterbags placem_collection'!V39)),"YES","NO")</f>
        <v>NO</v>
      </c>
    </row>
    <row r="113" spans="2:31">
      <c r="B113" t="str">
        <f>'Final data_for_R_analysis_Wetse'!A39</f>
        <v>Wet</v>
      </c>
      <c r="C113" s="263">
        <f>'Final data_for_R_analysis_Wetse'!B39</f>
        <v>38</v>
      </c>
      <c r="D113" t="s">
        <v>3831</v>
      </c>
      <c r="E113" t="s">
        <v>22</v>
      </c>
      <c r="F113" s="387">
        <v>6</v>
      </c>
      <c r="G113" s="16">
        <f>'WetLitterbags placem_collection'!E40</f>
        <v>42765</v>
      </c>
      <c r="H113" t="str">
        <f>'Final data_for_R_analysis_Wetse'!J39</f>
        <v>G499</v>
      </c>
      <c r="I113" t="str">
        <f>'Final data_for_R_analysis_Wetse'!J259</f>
        <v>R87</v>
      </c>
      <c r="J113">
        <f>IFERROR(INDEX('Green_rooibos initial weight'!$C$5:$C$1749,MATCH(H113, 'Green_rooibos initial weight'!$A$5:$A$1749,0)),"")</f>
        <v>1.9419999999999999</v>
      </c>
      <c r="K113">
        <f>IFERROR(INDEX('Green_rooibos initial weight'!$C$5:$C$1749,MATCH(I113, 'Green_rooibos initial weight'!$A$5:$A$1749,0)),"")</f>
        <v>2.2930000000000001</v>
      </c>
      <c r="L113" s="195">
        <f t="shared" si="2"/>
        <v>1.6921999999999999</v>
      </c>
      <c r="M113" s="195">
        <f>AVERAGE(Ashed_controlls!$K$2:$K$11)</f>
        <v>5.5147656768714146</v>
      </c>
      <c r="N113" s="195">
        <f t="shared" si="0"/>
        <v>2.0432000000000001</v>
      </c>
      <c r="O113" s="16">
        <f>IF('WetLitterbags placem_collection'!G40="N.A","",'WetLitterbags placem_collection'!G40)</f>
        <v>42820</v>
      </c>
      <c r="P113" s="195">
        <f>IF(IFERROR(INDEX('Both teabags AfterWet'!$C$3:$C$841,MATCH(H113,'Both teabags AfterWet'!$A$3:$A$841,0)),"")="N.A","",(IFERROR(INDEX('Both teabags AfterWet'!$C$3:$C$841,MATCH(H113,'Both teabags AfterWet'!$A$3:$A$841,0)),"")))</f>
        <v>1.4741</v>
      </c>
      <c r="Q113" s="195">
        <f>IFERROR(INDEX('Both teabags AfterWet'!$C$3:$C$841,MATCH(I113,'Both teabags AfterWet'!$A$3:$A$841,0)),"")</f>
        <v>1.1399999999999999</v>
      </c>
      <c r="R113" s="195">
        <f t="shared" si="3"/>
        <v>1.3234999999999999</v>
      </c>
      <c r="S113" s="195">
        <f t="shared" si="3"/>
        <v>0.98939999999999984</v>
      </c>
      <c r="T113" s="195">
        <f t="shared" si="4"/>
        <v>0.2178820470393571</v>
      </c>
      <c r="U113" s="195">
        <f t="shared" si="5"/>
        <v>0.14283953677639566</v>
      </c>
      <c r="V113" s="195">
        <f t="shared" si="6"/>
        <v>0.48424040720438516</v>
      </c>
      <c r="W113">
        <f t="shared" si="1"/>
        <v>55</v>
      </c>
      <c r="X113" s="195">
        <f t="shared" si="7"/>
        <v>0.74123272323116729</v>
      </c>
      <c r="Y113" s="195" t="str">
        <f t="shared" si="8"/>
        <v/>
      </c>
      <c r="Z113" s="255" t="str">
        <f>IF(ISNUMBER(SEARCH("C",'WetLitterbags placem_collection'!W40)),"YES","NO")</f>
        <v>YES</v>
      </c>
      <c r="AA113" s="255" t="str">
        <f>IF(ISNUMBER(SEARCH("H", 'WetLitterbags placem_collection'!W40)),"YES","NO")</f>
        <v>YES</v>
      </c>
      <c r="AB113" s="255" t="str">
        <f>IF(ISNUMBER(SEARCH("R", 'WetLitterbags placem_collection'!W40)),"YES","NO")</f>
        <v>NO</v>
      </c>
      <c r="AC113" s="255" t="str">
        <f>IF(ISNUMBER(SEARCH("C", 'WetLitterbags placem_collection'!V40)),"YES","NO")</f>
        <v>YES</v>
      </c>
      <c r="AD113" s="255" t="str">
        <f>IF(ISNUMBER(SEARCH("H", 'WetLitterbags placem_collection'!V40)),"YES","NO")</f>
        <v>YES</v>
      </c>
      <c r="AE113" s="255" t="str">
        <f>IF(ISNUMBER(SEARCH("R", 'WetLitterbags placem_collection'!V40)),"YES","NO")</f>
        <v>YES</v>
      </c>
    </row>
    <row r="114" spans="2:31">
      <c r="B114" t="str">
        <f>'Final data_for_R_analysis_Wetse'!A40</f>
        <v>Wet</v>
      </c>
      <c r="C114" s="263">
        <f>'Final data_for_R_analysis_Wetse'!B40</f>
        <v>39</v>
      </c>
      <c r="D114" t="s">
        <v>3831</v>
      </c>
      <c r="E114" t="s">
        <v>22</v>
      </c>
      <c r="F114" s="387">
        <v>7</v>
      </c>
      <c r="G114" s="16">
        <f>'WetLitterbags placem_collection'!E41</f>
        <v>42765</v>
      </c>
      <c r="H114" t="str">
        <f>'Final data_for_R_analysis_Wetse'!J40</f>
        <v>G214</v>
      </c>
      <c r="I114" t="str">
        <f>'Final data_for_R_analysis_Wetse'!J260</f>
        <v>R437</v>
      </c>
      <c r="J114">
        <f>IFERROR(INDEX('Green_rooibos initial weight'!$C$5:$C$1749,MATCH(H114, 'Green_rooibos initial weight'!$A$5:$A$1749,0)),"")</f>
        <v>1.9850000000000001</v>
      </c>
      <c r="K114">
        <f>IFERROR(INDEX('Green_rooibos initial weight'!$C$5:$C$1749,MATCH(I114, 'Green_rooibos initial weight'!$A$5:$A$1749,0)),"")</f>
        <v>2.1970000000000001</v>
      </c>
      <c r="L114" s="195">
        <f t="shared" si="2"/>
        <v>1.7352000000000001</v>
      </c>
      <c r="M114" s="195">
        <f>AVERAGE(Ashed_controlls!$K$2:$K$11)</f>
        <v>5.5147656768714146</v>
      </c>
      <c r="N114" s="195">
        <f t="shared" si="0"/>
        <v>1.9472</v>
      </c>
      <c r="O114" s="16">
        <f>IF('WetLitterbags placem_collection'!G41="N.A","",'WetLitterbags placem_collection'!G41)</f>
        <v>42820</v>
      </c>
      <c r="P114" s="195">
        <f>IF(IFERROR(INDEX('Both teabags AfterWet'!$C$3:$C$841,MATCH(H114,'Both teabags AfterWet'!$A$3:$A$841,0)),"")="N.A","",(IFERROR(INDEX('Both teabags AfterWet'!$C$3:$C$841,MATCH(H114,'Both teabags AfterWet'!$A$3:$A$841,0)),"")))</f>
        <v>0.8327</v>
      </c>
      <c r="Q114" s="195">
        <f>IFERROR(INDEX('Both teabags AfterWet'!$C$3:$C$841,MATCH(I114,'Both teabags AfterWet'!$A$3:$A$841,0)),"")</f>
        <v>1.4531000000000001</v>
      </c>
      <c r="R114" s="195">
        <f t="shared" si="3"/>
        <v>0.68209999999999993</v>
      </c>
      <c r="S114" s="195">
        <f t="shared" si="3"/>
        <v>1.3025</v>
      </c>
      <c r="T114" s="195">
        <f t="shared" si="4"/>
        <v>0.60690410327339794</v>
      </c>
      <c r="U114" s="195">
        <f t="shared" si="5"/>
        <v>0.39787537411747709</v>
      </c>
      <c r="V114" s="195">
        <f t="shared" si="6"/>
        <v>0.66890920295809364</v>
      </c>
      <c r="W114">
        <f t="shared" si="1"/>
        <v>55</v>
      </c>
      <c r="X114" s="195">
        <f t="shared" si="7"/>
        <v>0.27921127877268648</v>
      </c>
      <c r="Y114" s="195">
        <f t="shared" si="8"/>
        <v>3.2448484620141875E-2</v>
      </c>
      <c r="Z114" s="255" t="str">
        <f>IF(ISNUMBER(SEARCH("C",'WetLitterbags placem_collection'!W41)),"YES","NO")</f>
        <v>NO</v>
      </c>
      <c r="AA114" s="255" t="str">
        <f>IF(ISNUMBER(SEARCH("H", 'WetLitterbags placem_collection'!W41)),"YES","NO")</f>
        <v>NO</v>
      </c>
      <c r="AB114" s="255" t="str">
        <f>IF(ISNUMBER(SEARCH("R", 'WetLitterbags placem_collection'!W41)),"YES","NO")</f>
        <v>YES</v>
      </c>
      <c r="AC114" s="255" t="str">
        <f>IF(ISNUMBER(SEARCH("C", 'WetLitterbags placem_collection'!V41)),"YES","NO")</f>
        <v>NO</v>
      </c>
      <c r="AD114" s="255" t="str">
        <f>IF(ISNUMBER(SEARCH("H", 'WetLitterbags placem_collection'!V41)),"YES","NO")</f>
        <v>NO</v>
      </c>
      <c r="AE114" s="255" t="str">
        <f>IF(ISNUMBER(SEARCH("R", 'WetLitterbags placem_collection'!V41)),"YES","NO")</f>
        <v>YES</v>
      </c>
    </row>
    <row r="115" spans="2:31">
      <c r="B115" t="str">
        <f>'Final data_for_R_analysis_Wetse'!A41</f>
        <v>Wet</v>
      </c>
      <c r="C115" s="263">
        <f>'Final data_for_R_analysis_Wetse'!B41</f>
        <v>40</v>
      </c>
      <c r="D115" t="s">
        <v>3831</v>
      </c>
      <c r="E115" t="s">
        <v>22</v>
      </c>
      <c r="F115" s="387">
        <v>8</v>
      </c>
      <c r="G115" s="16">
        <f>'WetLitterbags placem_collection'!E42</f>
        <v>42765</v>
      </c>
      <c r="H115" t="str">
        <f>'Final data_for_R_analysis_Wetse'!J41</f>
        <v>G582</v>
      </c>
      <c r="I115" t="str">
        <f>'Final data_for_R_analysis_Wetse'!J261</f>
        <v>R114</v>
      </c>
      <c r="J115">
        <f>IFERROR(INDEX('Green_rooibos initial weight'!$C$5:$C$1749,MATCH(H115, 'Green_rooibos initial weight'!$A$5:$A$1749,0)),"")</f>
        <v>2.0219999999999998</v>
      </c>
      <c r="K115">
        <f>IFERROR(INDEX('Green_rooibos initial weight'!$C$5:$C$1749,MATCH(I115, 'Green_rooibos initial weight'!$A$5:$A$1749,0)),"")</f>
        <v>2.2450000000000001</v>
      </c>
      <c r="L115" s="195">
        <f t="shared" si="2"/>
        <v>1.7721999999999998</v>
      </c>
      <c r="M115" s="195">
        <f>AVERAGE(Ashed_controlls!$K$2:$K$11)</f>
        <v>5.5147656768714146</v>
      </c>
      <c r="N115" s="195">
        <f t="shared" si="0"/>
        <v>1.9952000000000001</v>
      </c>
      <c r="O115" s="16">
        <f>IF('WetLitterbags placem_collection'!G42="N.A","",'WetLitterbags placem_collection'!G42)</f>
        <v>42820</v>
      </c>
      <c r="P115" s="195">
        <f>IF(IFERROR(INDEX('Both teabags AfterWet'!$C$3:$C$841,MATCH(H115,'Both teabags AfterWet'!$A$3:$A$841,0)),"")="N.A","",(IFERROR(INDEX('Both teabags AfterWet'!$C$3:$C$841,MATCH(H115,'Both teabags AfterWet'!$A$3:$A$841,0)),"")))</f>
        <v>0.89800000000000002</v>
      </c>
      <c r="Q115" s="195">
        <f>IFERROR(INDEX('Both teabags AfterWet'!$C$3:$C$841,MATCH(I115,'Both teabags AfterWet'!$A$3:$A$841,0)),"")</f>
        <v>2.2269999999999999</v>
      </c>
      <c r="R115" s="195">
        <f t="shared" si="3"/>
        <v>0.74740000000000006</v>
      </c>
      <c r="S115" s="195">
        <f t="shared" si="3"/>
        <v>2.0764</v>
      </c>
      <c r="T115" s="195">
        <f t="shared" si="4"/>
        <v>0.57826430425459874</v>
      </c>
      <c r="U115" s="195">
        <f t="shared" si="5"/>
        <v>0.37909963889375126</v>
      </c>
      <c r="V115" s="195">
        <f t="shared" si="6"/>
        <v>1.0406976744186047</v>
      </c>
      <c r="W115">
        <f t="shared" si="1"/>
        <v>55</v>
      </c>
      <c r="X115" s="195">
        <f t="shared" si="7"/>
        <v>0.31322529185914638</v>
      </c>
      <c r="Y115" s="195">
        <f t="shared" si="8"/>
        <v>-1.8540534083072672E-3</v>
      </c>
      <c r="Z115" s="255" t="str">
        <f>IF(ISNUMBER(SEARCH("C",'WetLitterbags placem_collection'!W42)),"YES","NO")</f>
        <v>NO</v>
      </c>
      <c r="AA115" s="255" t="str">
        <f>IF(ISNUMBER(SEARCH("H", 'WetLitterbags placem_collection'!W42)),"YES","NO")</f>
        <v>YES</v>
      </c>
      <c r="AB115" s="255" t="str">
        <f>IF(ISNUMBER(SEARCH("R", 'WetLitterbags placem_collection'!W42)),"YES","NO")</f>
        <v>NO</v>
      </c>
      <c r="AC115" s="255" t="str">
        <f>IF(ISNUMBER(SEARCH("C", 'WetLitterbags placem_collection'!V42)),"YES","NO")</f>
        <v>NO</v>
      </c>
      <c r="AD115" s="255" t="str">
        <f>IF(ISNUMBER(SEARCH("H", 'WetLitterbags placem_collection'!V42)),"YES","NO")</f>
        <v>YES</v>
      </c>
      <c r="AE115" s="255" t="str">
        <f>IF(ISNUMBER(SEARCH("R", 'WetLitterbags placem_collection'!V42)),"YES","NO")</f>
        <v>NO</v>
      </c>
    </row>
    <row r="116" spans="2:31">
      <c r="B116" t="str">
        <f>'Final data_for_R_analysis_Wetse'!A42</f>
        <v>Wet</v>
      </c>
      <c r="C116" s="263">
        <f>'Final data_for_R_analysis_Wetse'!B42</f>
        <v>41</v>
      </c>
      <c r="D116" t="s">
        <v>3833</v>
      </c>
      <c r="E116" t="s">
        <v>22</v>
      </c>
      <c r="F116" s="386">
        <v>1</v>
      </c>
      <c r="G116" s="16">
        <f>'WetLitterbags placem_collection'!E43</f>
        <v>42766</v>
      </c>
      <c r="H116" t="str">
        <f>'Final data_for_R_analysis_Wetse'!J42</f>
        <v>G453</v>
      </c>
      <c r="I116" t="str">
        <f>'Final data_for_R_analysis_Wetse'!J262</f>
        <v>R521</v>
      </c>
      <c r="J116">
        <f>IFERROR(INDEX('Green_rooibos initial weight'!$C$5:$C$1749,MATCH(H116, 'Green_rooibos initial weight'!$A$5:$A$1749,0)),"")</f>
        <v>2.0790000000000002</v>
      </c>
      <c r="K116">
        <f>IFERROR(INDEX('Green_rooibos initial weight'!$C$5:$C$1749,MATCH(I116, 'Green_rooibos initial weight'!$A$5:$A$1749,0)),"")</f>
        <v>2.1440000000000001</v>
      </c>
      <c r="L116" s="195">
        <f t="shared" si="2"/>
        <v>1.8292000000000002</v>
      </c>
      <c r="M116" s="195">
        <f>AVERAGE(Ashed_controlls!$K$2:$K$11)</f>
        <v>5.5147656768714146</v>
      </c>
      <c r="N116" s="195">
        <f t="shared" si="0"/>
        <v>1.8942000000000001</v>
      </c>
      <c r="O116" s="16">
        <f>IF('WetLitterbags placem_collection'!G43="N.A","",'WetLitterbags placem_collection'!G43)</f>
        <v>42820</v>
      </c>
      <c r="P116" s="195">
        <f>IF(IFERROR(INDEX('Both teabags AfterWet'!$C$3:$C$841,MATCH(H116,'Both teabags AfterWet'!$A$3:$A$841,0)),"")="N.A","",(IFERROR(INDEX('Both teabags AfterWet'!$C$3:$C$841,MATCH(H116,'Both teabags AfterWet'!$A$3:$A$841,0)),"")))</f>
        <v>1.0509999999999999</v>
      </c>
      <c r="Q116" s="195">
        <f>IFERROR(INDEX('Both teabags AfterWet'!$C$3:$C$841,MATCH(I116,'Both teabags AfterWet'!$A$3:$A$841,0)),"")</f>
        <v>1.512</v>
      </c>
      <c r="R116" s="195">
        <f t="shared" si="3"/>
        <v>0.90039999999999987</v>
      </c>
      <c r="S116" s="195">
        <f t="shared" si="3"/>
        <v>1.3613999999999999</v>
      </c>
      <c r="T116" s="195">
        <f t="shared" si="4"/>
        <v>0.50776295648370884</v>
      </c>
      <c r="U116" s="195">
        <f t="shared" si="5"/>
        <v>0.33288022800357164</v>
      </c>
      <c r="V116" s="195">
        <f t="shared" si="6"/>
        <v>0.71872030408615772</v>
      </c>
      <c r="W116">
        <f t="shared" si="1"/>
        <v>54</v>
      </c>
      <c r="X116" s="195">
        <f t="shared" si="7"/>
        <v>0.39695610868918185</v>
      </c>
      <c r="Y116" s="195">
        <f t="shared" si="8"/>
        <v>3.4523162321590306E-2</v>
      </c>
      <c r="Z116" s="255" t="str">
        <f>IF(ISNUMBER(SEARCH("C",'WetLitterbags placem_collection'!W43)),"YES","NO")</f>
        <v>NO</v>
      </c>
      <c r="AA116" s="255" t="str">
        <f>IF(ISNUMBER(SEARCH("H", 'WetLitterbags placem_collection'!W43)),"YES","NO")</f>
        <v>NO</v>
      </c>
      <c r="AB116" s="255" t="str">
        <f>IF(ISNUMBER(SEARCH("R", 'WetLitterbags placem_collection'!W43)),"YES","NO")</f>
        <v>NO</v>
      </c>
      <c r="AC116" s="255" t="str">
        <f>IF(ISNUMBER(SEARCH("C", 'WetLitterbags placem_collection'!V43)),"YES","NO")</f>
        <v>NO</v>
      </c>
      <c r="AD116" s="255" t="str">
        <f>IF(ISNUMBER(SEARCH("H", 'WetLitterbags placem_collection'!V43)),"YES","NO")</f>
        <v>YES</v>
      </c>
      <c r="AE116" s="255" t="str">
        <f>IF(ISNUMBER(SEARCH("R", 'WetLitterbags placem_collection'!V43)),"YES","NO")</f>
        <v>YES</v>
      </c>
    </row>
    <row r="117" spans="2:31">
      <c r="B117" t="str">
        <f>'Final data_for_R_analysis_Wetse'!A43</f>
        <v>Wet</v>
      </c>
      <c r="C117" s="263">
        <f>'Final data_for_R_analysis_Wetse'!B43</f>
        <v>42</v>
      </c>
      <c r="D117" t="s">
        <v>3833</v>
      </c>
      <c r="E117" t="s">
        <v>22</v>
      </c>
      <c r="F117" s="386">
        <v>2</v>
      </c>
      <c r="G117" s="16">
        <f>'WetLitterbags placem_collection'!E44</f>
        <v>42766</v>
      </c>
      <c r="H117" t="str">
        <f>'Final data_for_R_analysis_Wetse'!J43</f>
        <v>G764</v>
      </c>
      <c r="I117" t="str">
        <f>'Final data_for_R_analysis_Wetse'!J263</f>
        <v>R371</v>
      </c>
      <c r="J117">
        <f>IFERROR(INDEX('Green_rooibos initial weight'!$C$5:$C$1749,MATCH(H117, 'Green_rooibos initial weight'!$A$5:$A$1749,0)),"")</f>
        <v>1.9510000000000001</v>
      </c>
      <c r="K117">
        <f>IFERROR(INDEX('Green_rooibos initial weight'!$C$5:$C$1749,MATCH(I117, 'Green_rooibos initial weight'!$A$5:$A$1749,0)),"")</f>
        <v>2.2530000000000001</v>
      </c>
      <c r="L117" s="195">
        <f t="shared" si="2"/>
        <v>1.7012</v>
      </c>
      <c r="M117" s="195">
        <f>AVERAGE(Ashed_controlls!$K$2:$K$11)</f>
        <v>5.5147656768714146</v>
      </c>
      <c r="N117" s="195">
        <f t="shared" si="0"/>
        <v>2.0032000000000001</v>
      </c>
      <c r="O117" s="16">
        <f>IF('WetLitterbags placem_collection'!G44="N.A","",'WetLitterbags placem_collection'!G44)</f>
        <v>42820</v>
      </c>
      <c r="P117" s="195">
        <f>IF(IFERROR(INDEX('Both teabags AfterWet'!$C$3:$C$841,MATCH(H117,'Both teabags AfterWet'!$A$3:$A$841,0)),"")="N.A","",(IFERROR(INDEX('Both teabags AfterWet'!$C$3:$C$841,MATCH(H117,'Both teabags AfterWet'!$A$3:$A$841,0)),"")))</f>
        <v>0.72199999999999998</v>
      </c>
      <c r="Q117" s="195">
        <f>IFERROR(INDEX('Both teabags AfterWet'!$C$3:$C$841,MATCH(I117,'Both teabags AfterWet'!$A$3:$A$841,0)),"")</f>
        <v>1.649</v>
      </c>
      <c r="R117" s="195">
        <f t="shared" si="3"/>
        <v>0.57139999999999991</v>
      </c>
      <c r="S117" s="195">
        <f t="shared" si="3"/>
        <v>1.4984</v>
      </c>
      <c r="T117" s="195">
        <f t="shared" si="4"/>
        <v>0.66411944509757825</v>
      </c>
      <c r="U117" s="195">
        <f t="shared" si="5"/>
        <v>0.43538471935138151</v>
      </c>
      <c r="V117" s="195">
        <f t="shared" si="6"/>
        <v>0.7480031948881789</v>
      </c>
      <c r="W117">
        <f t="shared" si="1"/>
        <v>54</v>
      </c>
      <c r="X117" s="195">
        <f t="shared" si="7"/>
        <v>0.21125956639242482</v>
      </c>
      <c r="Y117" s="195">
        <f t="shared" si="8"/>
        <v>1.6011599874893426E-2</v>
      </c>
      <c r="Z117" s="255" t="str">
        <f>IF(ISNUMBER(SEARCH("C",'WetLitterbags placem_collection'!W44)),"YES","NO")</f>
        <v>NO</v>
      </c>
      <c r="AA117" s="255" t="str">
        <f>IF(ISNUMBER(SEARCH("H", 'WetLitterbags placem_collection'!W44)),"YES","NO")</f>
        <v>NO</v>
      </c>
      <c r="AB117" s="255" t="str">
        <f>IF(ISNUMBER(SEARCH("R", 'WetLitterbags placem_collection'!W44)),"YES","NO")</f>
        <v>NO</v>
      </c>
      <c r="AC117" s="255" t="str">
        <f>IF(ISNUMBER(SEARCH("C", 'WetLitterbags placem_collection'!V44)),"YES","NO")</f>
        <v>NO</v>
      </c>
      <c r="AD117" s="255" t="str">
        <f>IF(ISNUMBER(SEARCH("H", 'WetLitterbags placem_collection'!V44)),"YES","NO")</f>
        <v>YES</v>
      </c>
      <c r="AE117" s="255" t="str">
        <f>IF(ISNUMBER(SEARCH("R", 'WetLitterbags placem_collection'!V44)),"YES","NO")</f>
        <v>NO</v>
      </c>
    </row>
    <row r="118" spans="2:31">
      <c r="B118" t="str">
        <f>'Final data_for_R_analysis_Wetse'!A44</f>
        <v>Wet</v>
      </c>
      <c r="C118" s="263">
        <f>'Final data_for_R_analysis_Wetse'!B44</f>
        <v>43</v>
      </c>
      <c r="D118" t="s">
        <v>3833</v>
      </c>
      <c r="E118" t="s">
        <v>22</v>
      </c>
      <c r="F118" s="386">
        <v>3</v>
      </c>
      <c r="G118" s="16">
        <f>'WetLitterbags placem_collection'!E45</f>
        <v>42766</v>
      </c>
      <c r="H118" t="str">
        <f>'Final data_for_R_analysis_Wetse'!J44</f>
        <v>G690</v>
      </c>
      <c r="I118" t="str">
        <f>'Final data_for_R_analysis_Wetse'!J264</f>
        <v>R376</v>
      </c>
      <c r="J118">
        <f>IFERROR(INDEX('Green_rooibos initial weight'!$C$5:$C$1749,MATCH(H118, 'Green_rooibos initial weight'!$A$5:$A$1749,0)),"")</f>
        <v>2.0739999999999998</v>
      </c>
      <c r="K118">
        <f>IFERROR(INDEX('Green_rooibos initial weight'!$C$5:$C$1749,MATCH(I118, 'Green_rooibos initial weight'!$A$5:$A$1749,0)),"")</f>
        <v>2.177</v>
      </c>
      <c r="L118" s="195">
        <f t="shared" si="2"/>
        <v>1.8241999999999998</v>
      </c>
      <c r="M118" s="195">
        <f>AVERAGE(Ashed_controlls!$K$2:$K$11)</f>
        <v>5.5147656768714146</v>
      </c>
      <c r="N118" s="195">
        <f t="shared" si="0"/>
        <v>1.9272</v>
      </c>
      <c r="O118" s="16">
        <f>IF('WetLitterbags placem_collection'!G45="N.A","",'WetLitterbags placem_collection'!G45)</f>
        <v>42820</v>
      </c>
      <c r="P118" s="195">
        <f>IF(IFERROR(INDEX('Both teabags AfterWet'!$C$3:$C$841,MATCH(H118,'Both teabags AfterWet'!$A$3:$A$841,0)),"")="N.A","",(IFERROR(INDEX('Both teabags AfterWet'!$C$3:$C$841,MATCH(H118,'Both teabags AfterWet'!$A$3:$A$841,0)),"")))</f>
        <v>0.71519999999999995</v>
      </c>
      <c r="Q118" s="195">
        <f>IFERROR(INDEX('Both teabags AfterWet'!$C$3:$C$841,MATCH(I118,'Both teabags AfterWet'!$A$3:$A$841,0)),"")</f>
        <v>1.3532999999999999</v>
      </c>
      <c r="R118" s="195">
        <f t="shared" si="3"/>
        <v>0.56459999999999999</v>
      </c>
      <c r="S118" s="195">
        <f t="shared" si="3"/>
        <v>1.2026999999999999</v>
      </c>
      <c r="T118" s="195">
        <f t="shared" si="4"/>
        <v>0.69049446332638964</v>
      </c>
      <c r="U118" s="195">
        <f t="shared" si="5"/>
        <v>0.45267570517359518</v>
      </c>
      <c r="V118" s="195">
        <f t="shared" si="6"/>
        <v>0.62406600249065991</v>
      </c>
      <c r="W118">
        <f t="shared" si="1"/>
        <v>54</v>
      </c>
      <c r="X118" s="195">
        <f t="shared" si="7"/>
        <v>0.17993531671450158</v>
      </c>
      <c r="Y118" s="195">
        <f t="shared" si="8"/>
        <v>3.2865382394999997E-2</v>
      </c>
      <c r="Z118" s="255" t="str">
        <f>IF(ISNUMBER(SEARCH("C",'WetLitterbags placem_collection'!W45)),"YES","NO")</f>
        <v>YES</v>
      </c>
      <c r="AA118" s="255" t="str">
        <f>IF(ISNUMBER(SEARCH("H", 'WetLitterbags placem_collection'!W45)),"YES","NO")</f>
        <v>YES</v>
      </c>
      <c r="AB118" s="255" t="str">
        <f>IF(ISNUMBER(SEARCH("R", 'WetLitterbags placem_collection'!W45)),"YES","NO")</f>
        <v>NO</v>
      </c>
      <c r="AC118" s="255" t="str">
        <f>IF(ISNUMBER(SEARCH("C", 'WetLitterbags placem_collection'!V45)),"YES","NO")</f>
        <v>NO</v>
      </c>
      <c r="AD118" s="255" t="str">
        <f>IF(ISNUMBER(SEARCH("H", 'WetLitterbags placem_collection'!V45)),"YES","NO")</f>
        <v>YES</v>
      </c>
      <c r="AE118" s="255" t="str">
        <f>IF(ISNUMBER(SEARCH("R", 'WetLitterbags placem_collection'!V45)),"YES","NO")</f>
        <v>YES</v>
      </c>
    </row>
    <row r="119" spans="2:31">
      <c r="B119" t="str">
        <f>'Final data_for_R_analysis_Wetse'!A45</f>
        <v>Wet</v>
      </c>
      <c r="C119" s="263">
        <f>'Final data_for_R_analysis_Wetse'!B45</f>
        <v>44</v>
      </c>
      <c r="D119" t="s">
        <v>3833</v>
      </c>
      <c r="E119" t="s">
        <v>22</v>
      </c>
      <c r="F119" s="387">
        <v>4</v>
      </c>
      <c r="G119" s="16">
        <f>'WetLitterbags placem_collection'!E46</f>
        <v>42766</v>
      </c>
      <c r="H119" t="str">
        <f>'Final data_for_R_analysis_Wetse'!J45</f>
        <v>G774</v>
      </c>
      <c r="I119" t="str">
        <f>'Final data_for_R_analysis_Wetse'!J265</f>
        <v>R166</v>
      </c>
      <c r="J119">
        <f>IFERROR(INDEX('Green_rooibos initial weight'!$C$5:$C$1749,MATCH(H119, 'Green_rooibos initial weight'!$A$5:$A$1749,0)),"")</f>
        <v>2.0049999999999999</v>
      </c>
      <c r="K119">
        <f>IFERROR(INDEX('Green_rooibos initial weight'!$C$5:$C$1749,MATCH(I119, 'Green_rooibos initial weight'!$A$5:$A$1749,0)),"")</f>
        <v>2.222</v>
      </c>
      <c r="L119" s="195">
        <f t="shared" si="2"/>
        <v>1.7551999999999999</v>
      </c>
      <c r="M119" s="195">
        <f>AVERAGE(Ashed_controlls!$K$2:$K$11)</f>
        <v>5.5147656768714146</v>
      </c>
      <c r="N119" s="195">
        <f t="shared" si="0"/>
        <v>1.9722</v>
      </c>
      <c r="O119" s="16">
        <f>IF('WetLitterbags placem_collection'!G46="N.A","",'WetLitterbags placem_collection'!G46)</f>
        <v>42820</v>
      </c>
      <c r="P119" s="195">
        <f>IF(IFERROR(INDEX('Both teabags AfterWet'!$C$3:$C$841,MATCH(H119,'Both teabags AfterWet'!$A$3:$A$841,0)),"")="N.A","",(IFERROR(INDEX('Both teabags AfterWet'!$C$3:$C$841,MATCH(H119,'Both teabags AfterWet'!$A$3:$A$841,0)),"")))</f>
        <v>0.89559999999999995</v>
      </c>
      <c r="Q119" s="195">
        <f>IFERROR(INDEX('Both teabags AfterWet'!$C$3:$C$841,MATCH(I119,'Both teabags AfterWet'!$A$3:$A$841,0)),"")</f>
        <v>1.6101000000000001</v>
      </c>
      <c r="R119" s="195">
        <f t="shared" si="3"/>
        <v>0.74499999999999988</v>
      </c>
      <c r="S119" s="195">
        <f t="shared" si="3"/>
        <v>1.4595</v>
      </c>
      <c r="T119" s="195">
        <f t="shared" si="4"/>
        <v>0.57554694621695535</v>
      </c>
      <c r="U119" s="195">
        <f t="shared" si="5"/>
        <v>0.37731818801871658</v>
      </c>
      <c r="V119" s="195">
        <f t="shared" si="6"/>
        <v>0.74003650745360516</v>
      </c>
      <c r="W119">
        <f t="shared" si="1"/>
        <v>54</v>
      </c>
      <c r="X119" s="195">
        <f t="shared" si="7"/>
        <v>0.31645255793710769</v>
      </c>
      <c r="Y119" s="195">
        <f t="shared" si="8"/>
        <v>2.1627553657165281E-2</v>
      </c>
      <c r="Z119" s="255" t="str">
        <f>IF(ISNUMBER(SEARCH("C",'WetLitterbags placem_collection'!W46)),"YES","NO")</f>
        <v>NO</v>
      </c>
      <c r="AA119" s="255" t="str">
        <f>IF(ISNUMBER(SEARCH("H", 'WetLitterbags placem_collection'!W46)),"YES","NO")</f>
        <v>NO</v>
      </c>
      <c r="AB119" s="255" t="str">
        <f>IF(ISNUMBER(SEARCH("R", 'WetLitterbags placem_collection'!W46)),"YES","NO")</f>
        <v>YES</v>
      </c>
      <c r="AC119" s="255" t="str">
        <f>IF(ISNUMBER(SEARCH("C", 'WetLitterbags placem_collection'!V46)),"YES","NO")</f>
        <v>NO</v>
      </c>
      <c r="AD119" s="255" t="str">
        <f>IF(ISNUMBER(SEARCH("H", 'WetLitterbags placem_collection'!V46)),"YES","NO")</f>
        <v>NO</v>
      </c>
      <c r="AE119" s="255" t="str">
        <f>IF(ISNUMBER(SEARCH("R", 'WetLitterbags placem_collection'!V46)),"YES","NO")</f>
        <v>YES</v>
      </c>
    </row>
    <row r="120" spans="2:31">
      <c r="B120" t="str">
        <f>'Final data_for_R_analysis_Wetse'!A46</f>
        <v>Wet</v>
      </c>
      <c r="C120" s="263">
        <f>'Final data_for_R_analysis_Wetse'!B46</f>
        <v>45</v>
      </c>
      <c r="D120" t="s">
        <v>3833</v>
      </c>
      <c r="E120" t="s">
        <v>22</v>
      </c>
      <c r="F120" s="387">
        <v>5</v>
      </c>
      <c r="G120" s="16">
        <f>'WetLitterbags placem_collection'!E47</f>
        <v>42766</v>
      </c>
      <c r="H120" t="str">
        <f>'Final data_for_R_analysis_Wetse'!J46</f>
        <v>G519</v>
      </c>
      <c r="I120" t="str">
        <f>'Final data_for_R_analysis_Wetse'!J266</f>
        <v>R469</v>
      </c>
      <c r="J120">
        <f>IFERROR(INDEX('Green_rooibos initial weight'!$C$5:$C$1749,MATCH(H120, 'Green_rooibos initial weight'!$A$5:$A$1749,0)),"")</f>
        <v>2.1429999999999998</v>
      </c>
      <c r="K120">
        <f>IFERROR(INDEX('Green_rooibos initial weight'!$C$5:$C$1749,MATCH(I120, 'Green_rooibos initial weight'!$A$5:$A$1749,0)),"")</f>
        <v>2.2309999999999999</v>
      </c>
      <c r="L120" s="195">
        <f t="shared" si="2"/>
        <v>1.8931999999999998</v>
      </c>
      <c r="M120" s="195">
        <f>AVERAGE(Ashed_controlls!$K$2:$K$11)</f>
        <v>5.5147656768714146</v>
      </c>
      <c r="N120" s="195">
        <f t="shared" si="0"/>
        <v>1.9811999999999999</v>
      </c>
      <c r="O120" s="16">
        <f>IF('WetLitterbags placem_collection'!G47="N.A","",'WetLitterbags placem_collection'!G47)</f>
        <v>42820</v>
      </c>
      <c r="P120" s="195">
        <f>IF(IFERROR(INDEX('Both teabags AfterWet'!$C$3:$C$841,MATCH(H120,'Both teabags AfterWet'!$A$3:$A$841,0)),"")="N.A","",(IFERROR(INDEX('Both teabags AfterWet'!$C$3:$C$841,MATCH(H120,'Both teabags AfterWet'!$A$3:$A$841,0)),"")))</f>
        <v>0.77569999999999995</v>
      </c>
      <c r="Q120" s="195">
        <f>IFERROR(INDEX('Both teabags AfterWet'!$C$3:$C$841,MATCH(I120,'Both teabags AfterWet'!$A$3:$A$841,0)),"")</f>
        <v>1.5804</v>
      </c>
      <c r="R120" s="195">
        <f t="shared" si="3"/>
        <v>0.62509999999999999</v>
      </c>
      <c r="S120" s="195">
        <f t="shared" si="3"/>
        <v>1.4298</v>
      </c>
      <c r="T120" s="195">
        <f t="shared" si="4"/>
        <v>0.66981829706317342</v>
      </c>
      <c r="U120" s="195">
        <f t="shared" si="5"/>
        <v>0.43912078382288805</v>
      </c>
      <c r="V120" s="195">
        <f t="shared" si="6"/>
        <v>0.72168382798304065</v>
      </c>
      <c r="W120">
        <f t="shared" si="1"/>
        <v>54</v>
      </c>
      <c r="X120" s="195">
        <f t="shared" si="7"/>
        <v>0.20449133365418837</v>
      </c>
      <c r="Y120" s="195">
        <f t="shared" si="8"/>
        <v>1.8603416157536037E-2</v>
      </c>
      <c r="Z120" s="255" t="str">
        <f>IF(ISNUMBER(SEARCH("C",'WetLitterbags placem_collection'!W47)),"YES","NO")</f>
        <v>NO</v>
      </c>
      <c r="AA120" s="255" t="str">
        <f>IF(ISNUMBER(SEARCH("H", 'WetLitterbags placem_collection'!W47)),"YES","NO")</f>
        <v>NO</v>
      </c>
      <c r="AB120" s="255" t="str">
        <f>IF(ISNUMBER(SEARCH("R", 'WetLitterbags placem_collection'!W47)),"YES","NO")</f>
        <v>NO</v>
      </c>
      <c r="AC120" s="255" t="str">
        <f>IF(ISNUMBER(SEARCH("C", 'WetLitterbags placem_collection'!V47)),"YES","NO")</f>
        <v>NO</v>
      </c>
      <c r="AD120" s="255" t="str">
        <f>IF(ISNUMBER(SEARCH("H", 'WetLitterbags placem_collection'!V47)),"YES","NO")</f>
        <v>NO</v>
      </c>
      <c r="AE120" s="255" t="str">
        <f>IF(ISNUMBER(SEARCH("R", 'WetLitterbags placem_collection'!V47)),"YES","NO")</f>
        <v>YES</v>
      </c>
    </row>
    <row r="121" spans="2:31">
      <c r="B121" t="str">
        <f>'Final data_for_R_analysis_Wetse'!A47</f>
        <v>Wet</v>
      </c>
      <c r="C121" s="263">
        <f>'Final data_for_R_analysis_Wetse'!B47</f>
        <v>46</v>
      </c>
      <c r="D121" t="s">
        <v>3833</v>
      </c>
      <c r="E121" t="s">
        <v>22</v>
      </c>
      <c r="F121" s="387">
        <v>6</v>
      </c>
      <c r="G121" s="16">
        <f>'WetLitterbags placem_collection'!E48</f>
        <v>42766</v>
      </c>
      <c r="H121" t="str">
        <f>'Final data_for_R_analysis_Wetse'!J47</f>
        <v>G635</v>
      </c>
      <c r="I121" t="str">
        <f>'Final data_for_R_analysis_Wetse'!J267</f>
        <v>R86</v>
      </c>
      <c r="J121">
        <f>IFERROR(INDEX('Green_rooibos initial weight'!$C$5:$C$1749,MATCH(H121, 'Green_rooibos initial weight'!$A$5:$A$1749,0)),"")</f>
        <v>2.073</v>
      </c>
      <c r="K121">
        <f>IFERROR(INDEX('Green_rooibos initial weight'!$C$5:$C$1749,MATCH(I121, 'Green_rooibos initial weight'!$A$5:$A$1749,0)),"")</f>
        <v>2.242</v>
      </c>
      <c r="L121" s="195">
        <f t="shared" si="2"/>
        <v>1.8231999999999999</v>
      </c>
      <c r="M121" s="195">
        <f>AVERAGE(Ashed_controlls!$K$2:$K$11)</f>
        <v>5.5147656768714146</v>
      </c>
      <c r="N121" s="195">
        <f t="shared" si="0"/>
        <v>1.9922</v>
      </c>
      <c r="O121" s="16">
        <f>IF('WetLitterbags placem_collection'!G48="N.A","",'WetLitterbags placem_collection'!G48)</f>
        <v>42820</v>
      </c>
      <c r="P121" s="195" t="str">
        <f>IF(IFERROR(INDEX('Both teabags AfterWet'!$C$3:$C$841,MATCH(H121,'Both teabags AfterWet'!$A$3:$A$841,0)),"")="N.A","",(IFERROR(INDEX('Both teabags AfterWet'!$C$3:$C$841,MATCH(H121,'Both teabags AfterWet'!$A$3:$A$841,0)),"")))</f>
        <v/>
      </c>
      <c r="Q121" s="195" t="str">
        <f>IFERROR(INDEX('Both teabags AfterWet'!$C$3:$C$841,MATCH(I121,'Both teabags AfterWet'!$A$3:$A$841,0)),"")</f>
        <v/>
      </c>
      <c r="R121" s="195" t="str">
        <f t="shared" si="3"/>
        <v/>
      </c>
      <c r="S121" s="195" t="str">
        <f t="shared" si="3"/>
        <v/>
      </c>
      <c r="T121" s="195" t="str">
        <f t="shared" si="4"/>
        <v/>
      </c>
      <c r="U121" s="195" t="str">
        <f t="shared" si="5"/>
        <v/>
      </c>
      <c r="V121" s="195" t="str">
        <f t="shared" si="6"/>
        <v/>
      </c>
      <c r="W121">
        <f t="shared" si="1"/>
        <v>54</v>
      </c>
      <c r="X121" s="195" t="str">
        <f t="shared" si="7"/>
        <v/>
      </c>
      <c r="Y121" s="195" t="str">
        <f t="shared" si="8"/>
        <v/>
      </c>
      <c r="Z121" s="255" t="str">
        <f>IF(ISNUMBER(SEARCH("C",'WetLitterbags placem_collection'!W48)),"YES","NO")</f>
        <v>NO</v>
      </c>
      <c r="AA121" s="255" t="str">
        <f>IF(ISNUMBER(SEARCH("H", 'WetLitterbags placem_collection'!W48)),"YES","NO")</f>
        <v>NO</v>
      </c>
      <c r="AB121" s="255" t="str">
        <f>IF(ISNUMBER(SEARCH("R", 'WetLitterbags placem_collection'!W48)),"YES","NO")</f>
        <v>NO</v>
      </c>
      <c r="AC121" s="255" t="str">
        <f>IF(ISNUMBER(SEARCH("C", 'WetLitterbags placem_collection'!V48)),"YES","NO")</f>
        <v>NO</v>
      </c>
      <c r="AD121" s="255" t="str">
        <f>IF(ISNUMBER(SEARCH("H", 'WetLitterbags placem_collection'!V48)),"YES","NO")</f>
        <v>NO</v>
      </c>
      <c r="AE121" s="255" t="str">
        <f>IF(ISNUMBER(SEARCH("R", 'WetLitterbags placem_collection'!V48)),"YES","NO")</f>
        <v>NO</v>
      </c>
    </row>
    <row r="122" spans="2:31">
      <c r="B122" t="str">
        <f>'Final data_for_R_analysis_Wetse'!A48</f>
        <v>Wet</v>
      </c>
      <c r="C122" s="263">
        <f>'Final data_for_R_analysis_Wetse'!B48</f>
        <v>47</v>
      </c>
      <c r="D122" t="s">
        <v>3833</v>
      </c>
      <c r="E122" t="s">
        <v>22</v>
      </c>
      <c r="F122" s="387">
        <v>7</v>
      </c>
      <c r="G122" s="16">
        <f>'WetLitterbags placem_collection'!E49</f>
        <v>42766</v>
      </c>
      <c r="H122" t="str">
        <f>'Final data_for_R_analysis_Wetse'!J48</f>
        <v>G539</v>
      </c>
      <c r="I122" t="str">
        <f>'Final data_for_R_analysis_Wetse'!J268</f>
        <v>R146</v>
      </c>
      <c r="J122">
        <f>IFERROR(INDEX('Green_rooibos initial weight'!$C$5:$C$1749,MATCH(H122, 'Green_rooibos initial weight'!$A$5:$A$1749,0)),"")</f>
        <v>2.1219999999999999</v>
      </c>
      <c r="K122">
        <f>IFERROR(INDEX('Green_rooibos initial weight'!$C$5:$C$1749,MATCH(I122, 'Green_rooibos initial weight'!$A$5:$A$1749,0)),"")</f>
        <v>2.2010000000000001</v>
      </c>
      <c r="L122" s="195">
        <f t="shared" si="2"/>
        <v>1.8721999999999999</v>
      </c>
      <c r="M122" s="195">
        <f>AVERAGE(Ashed_controlls!$K$2:$K$11)</f>
        <v>5.5147656768714146</v>
      </c>
      <c r="N122" s="195">
        <f t="shared" si="0"/>
        <v>1.9512</v>
      </c>
      <c r="O122" s="16">
        <f>IF('WetLitterbags placem_collection'!G49="N.A","",'WetLitterbags placem_collection'!G49)</f>
        <v>42820</v>
      </c>
      <c r="P122" s="195">
        <f>IF(IFERROR(INDEX('Both teabags AfterWet'!$C$3:$C$841,MATCH(H122,'Both teabags AfterWet'!$A$3:$A$841,0)),"")="N.A","",(IFERROR(INDEX('Both teabags AfterWet'!$C$3:$C$841,MATCH(H122,'Both teabags AfterWet'!$A$3:$A$841,0)),"")))</f>
        <v>0.80700000000000005</v>
      </c>
      <c r="Q122" s="195">
        <f>IFERROR(INDEX('Both teabags AfterWet'!$C$3:$C$841,MATCH(I122,'Both teabags AfterWet'!$A$3:$A$841,0)),"")</f>
        <v>1.651</v>
      </c>
      <c r="R122" s="195">
        <f t="shared" si="3"/>
        <v>0.65640000000000009</v>
      </c>
      <c r="S122" s="195">
        <f t="shared" si="3"/>
        <v>1.5004</v>
      </c>
      <c r="T122" s="195">
        <f t="shared" si="4"/>
        <v>0.64939643200512753</v>
      </c>
      <c r="U122" s="195">
        <f t="shared" si="5"/>
        <v>0.42573257775158008</v>
      </c>
      <c r="V122" s="195">
        <f t="shared" si="6"/>
        <v>0.76896268962689618</v>
      </c>
      <c r="W122">
        <f t="shared" si="1"/>
        <v>54</v>
      </c>
      <c r="X122" s="195">
        <f t="shared" si="7"/>
        <v>0.22874533016018106</v>
      </c>
      <c r="Y122" s="195">
        <f t="shared" si="8"/>
        <v>1.4488440602979479E-2</v>
      </c>
      <c r="Z122" s="255" t="str">
        <f>IF(ISNUMBER(SEARCH("C",'WetLitterbags placem_collection'!W49)),"YES","NO")</f>
        <v>NO</v>
      </c>
      <c r="AA122" s="255" t="str">
        <f>IF(ISNUMBER(SEARCH("H", 'WetLitterbags placem_collection'!W49)),"YES","NO")</f>
        <v>YES</v>
      </c>
      <c r="AB122" s="255" t="str">
        <f>IF(ISNUMBER(SEARCH("R", 'WetLitterbags placem_collection'!W49)),"YES","NO")</f>
        <v>YES</v>
      </c>
      <c r="AC122" s="255" t="str">
        <f>IF(ISNUMBER(SEARCH("C", 'WetLitterbags placem_collection'!V49)),"YES","NO")</f>
        <v>NO</v>
      </c>
      <c r="AD122" s="255" t="str">
        <f>IF(ISNUMBER(SEARCH("H", 'WetLitterbags placem_collection'!V49)),"YES","NO")</f>
        <v>NO</v>
      </c>
      <c r="AE122" s="255" t="str">
        <f>IF(ISNUMBER(SEARCH("R", 'WetLitterbags placem_collection'!V49)),"YES","NO")</f>
        <v>YES</v>
      </c>
    </row>
    <row r="123" spans="2:31">
      <c r="B123" t="str">
        <f>'Final data_for_R_analysis_Wetse'!A49</f>
        <v>Wet</v>
      </c>
      <c r="C123" s="263">
        <f>'Final data_for_R_analysis_Wetse'!B49</f>
        <v>48</v>
      </c>
      <c r="D123" t="s">
        <v>3833</v>
      </c>
      <c r="E123" t="s">
        <v>22</v>
      </c>
      <c r="F123" s="387">
        <v>8</v>
      </c>
      <c r="G123" s="16">
        <f>'WetLitterbags placem_collection'!E50</f>
        <v>42766</v>
      </c>
      <c r="H123" t="str">
        <f>'Final data_for_R_analysis_Wetse'!J49</f>
        <v>G679</v>
      </c>
      <c r="I123" t="str">
        <f>'Final data_for_R_analysis_Wetse'!J269</f>
        <v>R72</v>
      </c>
      <c r="J123">
        <f>IFERROR(INDEX('Green_rooibos initial weight'!$C$5:$C$1749,MATCH(H123, 'Green_rooibos initial weight'!$A$5:$A$1749,0)),"")</f>
        <v>2.052</v>
      </c>
      <c r="K123">
        <f>IFERROR(INDEX('Green_rooibos initial weight'!$C$5:$C$1749,MATCH(I123, 'Green_rooibos initial weight'!$A$5:$A$1749,0)),"")</f>
        <v>2.2349999999999999</v>
      </c>
      <c r="L123" s="195">
        <f t="shared" si="2"/>
        <v>1.8022</v>
      </c>
      <c r="M123" s="195">
        <f>AVERAGE(Ashed_controlls!$K$2:$K$11)</f>
        <v>5.5147656768714146</v>
      </c>
      <c r="N123" s="195">
        <f t="shared" si="0"/>
        <v>1.9851999999999999</v>
      </c>
      <c r="O123" s="16">
        <f>IF('WetLitterbags placem_collection'!G50="N.A","",'WetLitterbags placem_collection'!G50)</f>
        <v>42820</v>
      </c>
      <c r="P123" s="195">
        <f>IF(IFERROR(INDEX('Both teabags AfterWet'!$C$3:$C$841,MATCH(H123,'Both teabags AfterWet'!$A$3:$A$841,0)),"")="N.A","",(IFERROR(INDEX('Both teabags AfterWet'!$C$3:$C$841,MATCH(H123,'Both teabags AfterWet'!$A$3:$A$841,0)),"")))</f>
        <v>0.83199999999999996</v>
      </c>
      <c r="Q123" s="195">
        <f>IFERROR(INDEX('Both teabags AfterWet'!$C$3:$C$841,MATCH(I123,'Both teabags AfterWet'!$A$3:$A$841,0)),"")</f>
        <v>1.6359999999999999</v>
      </c>
      <c r="R123" s="195">
        <f t="shared" si="3"/>
        <v>0.68140000000000001</v>
      </c>
      <c r="S123" s="195">
        <f t="shared" si="3"/>
        <v>1.4853999999999998</v>
      </c>
      <c r="T123" s="195">
        <f t="shared" si="4"/>
        <v>0.62190655865053823</v>
      </c>
      <c r="U123" s="195">
        <f t="shared" si="5"/>
        <v>0.40771071303455714</v>
      </c>
      <c r="V123" s="195">
        <f t="shared" si="6"/>
        <v>0.74823695345557117</v>
      </c>
      <c r="W123">
        <f t="shared" si="1"/>
        <v>54</v>
      </c>
      <c r="X123" s="195">
        <f t="shared" si="7"/>
        <v>0.26139363580696173</v>
      </c>
      <c r="Y123" s="195">
        <f t="shared" si="8"/>
        <v>1.7796989009063176E-2</v>
      </c>
      <c r="Z123" s="255" t="str">
        <f>IF(ISNUMBER(SEARCH("C",'WetLitterbags placem_collection'!W50)),"YES","NO")</f>
        <v>NO</v>
      </c>
      <c r="AA123" s="255" t="str">
        <f>IF(ISNUMBER(SEARCH("H", 'WetLitterbags placem_collection'!W50)),"YES","NO")</f>
        <v>NO</v>
      </c>
      <c r="AB123" s="255" t="str">
        <f>IF(ISNUMBER(SEARCH("R", 'WetLitterbags placem_collection'!W50)),"YES","NO")</f>
        <v>YES</v>
      </c>
      <c r="AC123" s="255" t="str">
        <f>IF(ISNUMBER(SEARCH("C", 'WetLitterbags placem_collection'!V50)),"YES","NO")</f>
        <v>NO</v>
      </c>
      <c r="AD123" s="255" t="str">
        <f>IF(ISNUMBER(SEARCH("H", 'WetLitterbags placem_collection'!V50)),"YES","NO")</f>
        <v>NO</v>
      </c>
      <c r="AE123" s="255" t="str">
        <f>IF(ISNUMBER(SEARCH("R", 'WetLitterbags placem_collection'!V50)),"YES","NO")</f>
        <v>YES</v>
      </c>
    </row>
    <row r="124" spans="2:31">
      <c r="B124" t="str">
        <f>'Final data_for_R_analysis_Wetse'!A50</f>
        <v>Wet</v>
      </c>
      <c r="C124" s="263">
        <f>'Final data_for_R_analysis_Wetse'!B50</f>
        <v>49</v>
      </c>
      <c r="D124" t="s">
        <v>3834</v>
      </c>
      <c r="E124" t="s">
        <v>22</v>
      </c>
      <c r="F124" s="386">
        <v>1</v>
      </c>
      <c r="G124" s="16">
        <f>'WetLitterbags placem_collection'!E51</f>
        <v>42766</v>
      </c>
      <c r="H124" t="str">
        <f>'Final data_for_R_analysis_Wetse'!J50</f>
        <v>G346</v>
      </c>
      <c r="I124" t="str">
        <f>'Final data_for_R_analysis_Wetse'!J270</f>
        <v>R28</v>
      </c>
      <c r="J124">
        <f>IFERROR(INDEX('Green_rooibos initial weight'!$C$5:$C$1749,MATCH(H124, 'Green_rooibos initial weight'!$A$5:$A$1749,0)),"")</f>
        <v>2.012</v>
      </c>
      <c r="K124">
        <f>IFERROR(INDEX('Green_rooibos initial weight'!$C$5:$C$1749,MATCH(I124, 'Green_rooibos initial weight'!$A$5:$A$1749,0)),"")</f>
        <v>2.1030000000000002</v>
      </c>
      <c r="L124" s="195">
        <f t="shared" si="2"/>
        <v>1.7622</v>
      </c>
      <c r="M124" s="195">
        <f>AVERAGE(Ashed_controlls!$K$2:$K$11)</f>
        <v>5.5147656768714146</v>
      </c>
      <c r="N124" s="195">
        <f t="shared" si="0"/>
        <v>1.8532000000000002</v>
      </c>
      <c r="O124" s="16">
        <f>IF('WetLitterbags placem_collection'!G51="N.A","",'WetLitterbags placem_collection'!G51)</f>
        <v>42820</v>
      </c>
      <c r="P124" s="195">
        <f>IF(IFERROR(INDEX('Both teabags AfterWet'!$C$3:$C$841,MATCH(H124,'Both teabags AfterWet'!$A$3:$A$841,0)),"")="N.A","",(IFERROR(INDEX('Both teabags AfterWet'!$C$3:$C$841,MATCH(H124,'Both teabags AfterWet'!$A$3:$A$841,0)),"")))</f>
        <v>1.0001</v>
      </c>
      <c r="Q124" s="195">
        <f>IFERROR(INDEX('Both teabags AfterWet'!$C$3:$C$841,MATCH(I124,'Both teabags AfterWet'!$A$3:$A$841,0)),"")</f>
        <v>1.5992999999999999</v>
      </c>
      <c r="R124" s="195">
        <f t="shared" si="3"/>
        <v>0.84949999999999992</v>
      </c>
      <c r="S124" s="195">
        <f t="shared" si="3"/>
        <v>1.4486999999999999</v>
      </c>
      <c r="T124" s="195">
        <f t="shared" si="4"/>
        <v>0.51793213029168084</v>
      </c>
      <c r="U124" s="195">
        <f t="shared" si="5"/>
        <v>0.33954695477554375</v>
      </c>
      <c r="V124" s="195">
        <f t="shared" si="6"/>
        <v>0.78172890135980988</v>
      </c>
      <c r="W124">
        <f t="shared" si="1"/>
        <v>54</v>
      </c>
      <c r="X124" s="195">
        <f t="shared" si="7"/>
        <v>0.38487870511676858</v>
      </c>
      <c r="Y124" s="195">
        <f t="shared" si="8"/>
        <v>1.9065638695299446E-2</v>
      </c>
      <c r="Z124" s="255" t="str">
        <f>IF(ISNUMBER(SEARCH("C",'WetLitterbags placem_collection'!W51)),"YES","NO")</f>
        <v>NO</v>
      </c>
      <c r="AA124" s="255" t="str">
        <f>IF(ISNUMBER(SEARCH("H", 'WetLitterbags placem_collection'!W51)),"YES","NO")</f>
        <v>YES</v>
      </c>
      <c r="AB124" s="255" t="str">
        <f>IF(ISNUMBER(SEARCH("R", 'WetLitterbags placem_collection'!W51)),"YES","NO")</f>
        <v>YES</v>
      </c>
      <c r="AC124" s="255" t="str">
        <f>IF(ISNUMBER(SEARCH("C", 'WetLitterbags placem_collection'!V51)),"YES","NO")</f>
        <v>NO</v>
      </c>
      <c r="AD124" s="255" t="str">
        <f>IF(ISNUMBER(SEARCH("H", 'WetLitterbags placem_collection'!V51)),"YES","NO")</f>
        <v>NO</v>
      </c>
      <c r="AE124" s="255" t="str">
        <f>IF(ISNUMBER(SEARCH("R", 'WetLitterbags placem_collection'!V51)),"YES","NO")</f>
        <v>YES</v>
      </c>
    </row>
    <row r="125" spans="2:31">
      <c r="B125" t="str">
        <f>'Final data_for_R_analysis_Wetse'!A51</f>
        <v>Wet</v>
      </c>
      <c r="C125" s="263">
        <f>'Final data_for_R_analysis_Wetse'!B51</f>
        <v>50</v>
      </c>
      <c r="D125" t="s">
        <v>3834</v>
      </c>
      <c r="E125" t="s">
        <v>22</v>
      </c>
      <c r="F125" s="386">
        <v>2</v>
      </c>
      <c r="G125" s="16">
        <f>'WetLitterbags placem_collection'!E52</f>
        <v>42766</v>
      </c>
      <c r="H125" t="str">
        <f>'Final data_for_R_analysis_Wetse'!J51</f>
        <v>G418</v>
      </c>
      <c r="I125" t="str">
        <f>'Final data_for_R_analysis_Wetse'!J271</f>
        <v>R5</v>
      </c>
      <c r="J125">
        <f>IFERROR(INDEX('Green_rooibos initial weight'!$C$5:$C$1749,MATCH(H125, 'Green_rooibos initial weight'!$A$5:$A$1749,0)),"")</f>
        <v>2.016</v>
      </c>
      <c r="K125">
        <f>IFERROR(INDEX('Green_rooibos initial weight'!$C$5:$C$1749,MATCH(I125, 'Green_rooibos initial weight'!$A$5:$A$1749,0)),"")</f>
        <v>2.1800000000000002</v>
      </c>
      <c r="L125" s="195">
        <f t="shared" si="2"/>
        <v>1.7662</v>
      </c>
      <c r="M125" s="195">
        <f>AVERAGE(Ashed_controlls!$K$2:$K$11)</f>
        <v>5.5147656768714146</v>
      </c>
      <c r="N125" s="195">
        <f t="shared" si="0"/>
        <v>1.9302000000000001</v>
      </c>
      <c r="O125" s="16">
        <f>IF('WetLitterbags placem_collection'!G52="N.A","",'WetLitterbags placem_collection'!G52)</f>
        <v>42820</v>
      </c>
      <c r="P125" s="195" t="str">
        <f>IF(IFERROR(INDEX('Both teabags AfterWet'!$C$3:$C$841,MATCH(H125,'Both teabags AfterWet'!$A$3:$A$841,0)),"")="N.A","",(IFERROR(INDEX('Both teabags AfterWet'!$C$3:$C$841,MATCH(H125,'Both teabags AfterWet'!$A$3:$A$841,0)),"")))</f>
        <v/>
      </c>
      <c r="Q125" s="195" t="str">
        <f>IFERROR(INDEX('Both teabags AfterWet'!$C$3:$C$841,MATCH(I125,'Both teabags AfterWet'!$A$3:$A$841,0)),"")</f>
        <v/>
      </c>
      <c r="R125" s="195" t="str">
        <f t="shared" si="3"/>
        <v/>
      </c>
      <c r="S125" s="195" t="str">
        <f t="shared" si="3"/>
        <v/>
      </c>
      <c r="T125" s="195" t="str">
        <f t="shared" si="4"/>
        <v/>
      </c>
      <c r="U125" s="195" t="str">
        <f t="shared" si="5"/>
        <v/>
      </c>
      <c r="V125" s="195" t="str">
        <f t="shared" si="6"/>
        <v/>
      </c>
      <c r="W125">
        <f t="shared" si="1"/>
        <v>54</v>
      </c>
      <c r="X125" s="195" t="str">
        <f t="shared" si="7"/>
        <v/>
      </c>
      <c r="Y125" s="195" t="str">
        <f t="shared" si="8"/>
        <v/>
      </c>
      <c r="Z125" s="255" t="str">
        <f>IF(ISNUMBER(SEARCH("C",'WetLitterbags placem_collection'!W52)),"YES","NO")</f>
        <v>NO</v>
      </c>
      <c r="AA125" s="255" t="str">
        <f>IF(ISNUMBER(SEARCH("H", 'WetLitterbags placem_collection'!W52)),"YES","NO")</f>
        <v>NO</v>
      </c>
      <c r="AB125" s="255" t="str">
        <f>IF(ISNUMBER(SEARCH("R", 'WetLitterbags placem_collection'!W52)),"YES","NO")</f>
        <v>NO</v>
      </c>
      <c r="AC125" s="255" t="str">
        <f>IF(ISNUMBER(SEARCH("C", 'WetLitterbags placem_collection'!V52)),"YES","NO")</f>
        <v>NO</v>
      </c>
      <c r="AD125" s="255" t="str">
        <f>IF(ISNUMBER(SEARCH("H", 'WetLitterbags placem_collection'!V52)),"YES","NO")</f>
        <v>NO</v>
      </c>
      <c r="AE125" s="255" t="str">
        <f>IF(ISNUMBER(SEARCH("R", 'WetLitterbags placem_collection'!V52)),"YES","NO")</f>
        <v>NO</v>
      </c>
    </row>
    <row r="126" spans="2:31">
      <c r="B126" t="str">
        <f>'Final data_for_R_analysis_Wetse'!A52</f>
        <v>Wet</v>
      </c>
      <c r="C126" s="263">
        <f>'Final data_for_R_analysis_Wetse'!B52</f>
        <v>51</v>
      </c>
      <c r="D126" t="s">
        <v>3834</v>
      </c>
      <c r="E126" t="s">
        <v>22</v>
      </c>
      <c r="F126" s="386">
        <v>3</v>
      </c>
      <c r="G126" s="16">
        <f>'WetLitterbags placem_collection'!E53</f>
        <v>42766</v>
      </c>
      <c r="H126" t="str">
        <f>'Final data_for_R_analysis_Wetse'!J52</f>
        <v>G548</v>
      </c>
      <c r="I126" t="str">
        <f>'Final data_for_R_analysis_Wetse'!J272</f>
        <v>R85</v>
      </c>
      <c r="J126">
        <f>IFERROR(INDEX('Green_rooibos initial weight'!$C$5:$C$1749,MATCH(H126, 'Green_rooibos initial weight'!$A$5:$A$1749,0)),"")</f>
        <v>2.169</v>
      </c>
      <c r="K126">
        <f>IFERROR(INDEX('Green_rooibos initial weight'!$C$5:$C$1749,MATCH(I126, 'Green_rooibos initial weight'!$A$5:$A$1749,0)),"")</f>
        <v>2.1930000000000001</v>
      </c>
      <c r="L126" s="195">
        <f t="shared" si="2"/>
        <v>1.9192</v>
      </c>
      <c r="M126" s="195">
        <f>AVERAGE(Ashed_controlls!$K$2:$K$11)</f>
        <v>5.5147656768714146</v>
      </c>
      <c r="N126" s="195">
        <f t="shared" si="0"/>
        <v>1.9432</v>
      </c>
      <c r="O126" s="16">
        <f>IF('WetLitterbags placem_collection'!G53="N.A","",'WetLitterbags placem_collection'!G53)</f>
        <v>42820</v>
      </c>
      <c r="P126" s="195">
        <f>IF(IFERROR(INDEX('Both teabags AfterWet'!$C$3:$C$841,MATCH(H126,'Both teabags AfterWet'!$A$3:$A$841,0)),"")="N.A","",(IFERROR(INDEX('Both teabags AfterWet'!$C$3:$C$841,MATCH(H126,'Both teabags AfterWet'!$A$3:$A$841,0)),"")))</f>
        <v>0.86399999999999999</v>
      </c>
      <c r="Q126" s="195">
        <f>IFERROR(INDEX('Both teabags AfterWet'!$C$3:$C$841,MATCH(I126,'Both teabags AfterWet'!$A$3:$A$841,0)),"")</f>
        <v>1.599</v>
      </c>
      <c r="R126" s="195">
        <f t="shared" si="3"/>
        <v>0.71340000000000003</v>
      </c>
      <c r="S126" s="195">
        <f t="shared" si="3"/>
        <v>1.4483999999999999</v>
      </c>
      <c r="T126" s="195">
        <f t="shared" si="4"/>
        <v>0.62828261775739891</v>
      </c>
      <c r="U126" s="195">
        <f t="shared" si="5"/>
        <v>0.41189074228276035</v>
      </c>
      <c r="V126" s="195">
        <f t="shared" si="6"/>
        <v>0.74536846438863724</v>
      </c>
      <c r="W126">
        <f t="shared" si="1"/>
        <v>54</v>
      </c>
      <c r="X126" s="195">
        <f t="shared" si="7"/>
        <v>0.25382111905297045</v>
      </c>
      <c r="Y126" s="195">
        <f t="shared" si="8"/>
        <v>1.7830790438708017E-2</v>
      </c>
      <c r="Z126" s="255" t="str">
        <f>IF(ISNUMBER(SEARCH("C",'WetLitterbags placem_collection'!W53)),"YES","NO")</f>
        <v>NO</v>
      </c>
      <c r="AA126" s="255" t="str">
        <f>IF(ISNUMBER(SEARCH("H", 'WetLitterbags placem_collection'!W53)),"YES","NO")</f>
        <v>NO</v>
      </c>
      <c r="AB126" s="255" t="str">
        <f>IF(ISNUMBER(SEARCH("R", 'WetLitterbags placem_collection'!W53)),"YES","NO")</f>
        <v>YES</v>
      </c>
      <c r="AC126" s="255" t="str">
        <f>IF(ISNUMBER(SEARCH("C", 'WetLitterbags placem_collection'!V53)),"YES","NO")</f>
        <v>NO</v>
      </c>
      <c r="AD126" s="255" t="str">
        <f>IF(ISNUMBER(SEARCH("H", 'WetLitterbags placem_collection'!V53)),"YES","NO")</f>
        <v>NO</v>
      </c>
      <c r="AE126" s="255" t="str">
        <f>IF(ISNUMBER(SEARCH("R", 'WetLitterbags placem_collection'!V53)),"YES","NO")</f>
        <v>YES</v>
      </c>
    </row>
    <row r="127" spans="2:31">
      <c r="B127" t="str">
        <f>'Final data_for_R_analysis_Wetse'!A53</f>
        <v>Wet</v>
      </c>
      <c r="C127" s="263">
        <f>'Final data_for_R_analysis_Wetse'!B53</f>
        <v>52</v>
      </c>
      <c r="D127" t="s">
        <v>3834</v>
      </c>
      <c r="E127" t="s">
        <v>22</v>
      </c>
      <c r="F127" s="387">
        <v>4</v>
      </c>
      <c r="G127" s="16">
        <f>'WetLitterbags placem_collection'!E54</f>
        <v>42766</v>
      </c>
      <c r="H127" t="str">
        <f>'Final data_for_R_analysis_Wetse'!J53</f>
        <v>G638</v>
      </c>
      <c r="I127" t="str">
        <f>'Final data_for_R_analysis_Wetse'!J273</f>
        <v>R513</v>
      </c>
      <c r="J127">
        <f>IFERROR(INDEX('Green_rooibos initial weight'!$C$5:$C$1749,MATCH(H127, 'Green_rooibos initial weight'!$A$5:$A$1749,0)),"")</f>
        <v>2.0409999999999999</v>
      </c>
      <c r="K127">
        <f>IFERROR(INDEX('Green_rooibos initial weight'!$C$5:$C$1749,MATCH(I127, 'Green_rooibos initial weight'!$A$5:$A$1749,0)),"")</f>
        <v>2.1389999999999998</v>
      </c>
      <c r="L127" s="195">
        <f t="shared" si="2"/>
        <v>1.7911999999999999</v>
      </c>
      <c r="M127" s="195">
        <f>AVERAGE(Ashed_controlls!$K$2:$K$11)</f>
        <v>5.5147656768714146</v>
      </c>
      <c r="N127" s="195">
        <f t="shared" si="0"/>
        <v>1.8891999999999998</v>
      </c>
      <c r="O127" s="16">
        <f>IF('WetLitterbags placem_collection'!G54="N.A","",'WetLitterbags placem_collection'!G54)</f>
        <v>42820</v>
      </c>
      <c r="P127" s="195">
        <f>IF(IFERROR(INDEX('Both teabags AfterWet'!$C$3:$C$841,MATCH(H127,'Both teabags AfterWet'!$A$3:$A$841,0)),"")="N.A","",(IFERROR(INDEX('Both teabags AfterWet'!$C$3:$C$841,MATCH(H127,'Both teabags AfterWet'!$A$3:$A$841,0)),"")))</f>
        <v>1.075</v>
      </c>
      <c r="Q127" s="195">
        <f>IFERROR(INDEX('Both teabags AfterWet'!$C$3:$C$841,MATCH(I127,'Both teabags AfterWet'!$A$3:$A$841,0)),"")</f>
        <v>1.6279999999999999</v>
      </c>
      <c r="R127" s="195">
        <f t="shared" si="3"/>
        <v>0.92439999999999989</v>
      </c>
      <c r="S127" s="195">
        <f t="shared" si="3"/>
        <v>1.4773999999999998</v>
      </c>
      <c r="T127" s="195">
        <f t="shared" si="4"/>
        <v>0.4839213934792318</v>
      </c>
      <c r="U127" s="195">
        <f t="shared" si="5"/>
        <v>0.31725012969184796</v>
      </c>
      <c r="V127" s="195">
        <f t="shared" si="6"/>
        <v>0.78202413720093167</v>
      </c>
      <c r="W127">
        <f t="shared" si="1"/>
        <v>54</v>
      </c>
      <c r="X127" s="195">
        <f t="shared" si="7"/>
        <v>0.42527150418143489</v>
      </c>
      <c r="Y127" s="195">
        <f t="shared" si="8"/>
        <v>2.1514891166947162E-2</v>
      </c>
      <c r="Z127" s="255" t="str">
        <f>IF(ISNUMBER(SEARCH("C",'WetLitterbags placem_collection'!W54)),"YES","NO")</f>
        <v>NO</v>
      </c>
      <c r="AA127" s="255" t="str">
        <f>IF(ISNUMBER(SEARCH("H", 'WetLitterbags placem_collection'!W54)),"YES","NO")</f>
        <v>YES</v>
      </c>
      <c r="AB127" s="255" t="str">
        <f>IF(ISNUMBER(SEARCH("R", 'WetLitterbags placem_collection'!W54)),"YES","NO")</f>
        <v>NO</v>
      </c>
      <c r="AC127" s="255" t="str">
        <f>IF(ISNUMBER(SEARCH("C", 'WetLitterbags placem_collection'!V54)),"YES","NO")</f>
        <v>NO</v>
      </c>
      <c r="AD127" s="255" t="str">
        <f>IF(ISNUMBER(SEARCH("H", 'WetLitterbags placem_collection'!V54)),"YES","NO")</f>
        <v>YES</v>
      </c>
      <c r="AE127" s="255" t="str">
        <f>IF(ISNUMBER(SEARCH("R", 'WetLitterbags placem_collection'!V54)),"YES","NO")</f>
        <v>YES</v>
      </c>
    </row>
    <row r="128" spans="2:31">
      <c r="B128" t="str">
        <f>'Final data_for_R_analysis_Wetse'!A54</f>
        <v>Wet</v>
      </c>
      <c r="C128" s="263">
        <f>'Final data_for_R_analysis_Wetse'!B54</f>
        <v>53</v>
      </c>
      <c r="D128" t="s">
        <v>3834</v>
      </c>
      <c r="E128" t="s">
        <v>22</v>
      </c>
      <c r="F128" s="387">
        <v>5</v>
      </c>
      <c r="G128" s="16">
        <f>'WetLitterbags placem_collection'!E55</f>
        <v>42766</v>
      </c>
      <c r="H128" t="str">
        <f>'Final data_for_R_analysis_Wetse'!J54</f>
        <v>G426</v>
      </c>
      <c r="I128" t="str">
        <f>'Final data_for_R_analysis_Wetse'!J274</f>
        <v>R399</v>
      </c>
      <c r="J128">
        <f>IFERROR(INDEX('Green_rooibos initial weight'!$C$5:$C$1749,MATCH(H128, 'Green_rooibos initial weight'!$A$5:$A$1749,0)),"")</f>
        <v>2.0230000000000001</v>
      </c>
      <c r="K128">
        <f>IFERROR(INDEX('Green_rooibos initial weight'!$C$5:$C$1749,MATCH(I128, 'Green_rooibos initial weight'!$A$5:$A$1749,0)),"")</f>
        <v>2.1389999999999998</v>
      </c>
      <c r="L128" s="195">
        <f t="shared" si="2"/>
        <v>1.7732000000000001</v>
      </c>
      <c r="M128" s="195">
        <f>AVERAGE(Ashed_controlls!$K$2:$K$11)</f>
        <v>5.5147656768714146</v>
      </c>
      <c r="N128" s="195">
        <f t="shared" si="0"/>
        <v>1.8891999999999998</v>
      </c>
      <c r="O128" s="16">
        <f>IF('WetLitterbags placem_collection'!G55="N.A","",'WetLitterbags placem_collection'!G55)</f>
        <v>42820</v>
      </c>
      <c r="P128" s="195" t="str">
        <f>IF(IFERROR(INDEX('Both teabags AfterWet'!$C$3:$C$841,MATCH(H128,'Both teabags AfterWet'!$A$3:$A$841,0)),"")="N.A","",(IFERROR(INDEX('Both teabags AfterWet'!$C$3:$C$841,MATCH(H128,'Both teabags AfterWet'!$A$3:$A$841,0)),"")))</f>
        <v/>
      </c>
      <c r="Q128" s="195" t="str">
        <f>IFERROR(INDEX('Both teabags AfterWet'!$C$3:$C$841,MATCH(I128,'Both teabags AfterWet'!$A$3:$A$841,0)),"")</f>
        <v/>
      </c>
      <c r="R128" s="195" t="str">
        <f t="shared" si="3"/>
        <v/>
      </c>
      <c r="S128" s="195" t="str">
        <f t="shared" si="3"/>
        <v/>
      </c>
      <c r="T128" s="195" t="str">
        <f t="shared" si="4"/>
        <v/>
      </c>
      <c r="U128" s="195" t="str">
        <f t="shared" si="5"/>
        <v/>
      </c>
      <c r="V128" s="195" t="str">
        <f t="shared" si="6"/>
        <v/>
      </c>
      <c r="W128">
        <f t="shared" si="1"/>
        <v>54</v>
      </c>
      <c r="X128" s="195" t="str">
        <f t="shared" si="7"/>
        <v/>
      </c>
      <c r="Y128" s="195" t="str">
        <f t="shared" si="8"/>
        <v/>
      </c>
      <c r="Z128" s="255" t="str">
        <f>IF(ISNUMBER(SEARCH("C",'WetLitterbags placem_collection'!W55)),"YES","NO")</f>
        <v>NO</v>
      </c>
      <c r="AA128" s="255" t="str">
        <f>IF(ISNUMBER(SEARCH("H", 'WetLitterbags placem_collection'!W55)),"YES","NO")</f>
        <v>NO</v>
      </c>
      <c r="AB128" s="255" t="str">
        <f>IF(ISNUMBER(SEARCH("R", 'WetLitterbags placem_collection'!W55)),"YES","NO")</f>
        <v>NO</v>
      </c>
      <c r="AC128" s="255" t="str">
        <f>IF(ISNUMBER(SEARCH("C", 'WetLitterbags placem_collection'!V55)),"YES","NO")</f>
        <v>NO</v>
      </c>
      <c r="AD128" s="255" t="str">
        <f>IF(ISNUMBER(SEARCH("H", 'WetLitterbags placem_collection'!V55)),"YES","NO")</f>
        <v>NO</v>
      </c>
      <c r="AE128" s="255" t="str">
        <f>IF(ISNUMBER(SEARCH("R", 'WetLitterbags placem_collection'!V55)),"YES","NO")</f>
        <v>NO</v>
      </c>
    </row>
    <row r="129" spans="2:31">
      <c r="B129" t="str">
        <f>'Final data_for_R_analysis_Wetse'!A55</f>
        <v>Wet</v>
      </c>
      <c r="C129" s="263">
        <f>'Final data_for_R_analysis_Wetse'!B55</f>
        <v>54</v>
      </c>
      <c r="D129" t="s">
        <v>3834</v>
      </c>
      <c r="E129" t="s">
        <v>22</v>
      </c>
      <c r="F129" s="387">
        <v>6</v>
      </c>
      <c r="G129" s="16">
        <f>'WetLitterbags placem_collection'!E56</f>
        <v>42766</v>
      </c>
      <c r="H129" t="str">
        <f>'Final data_for_R_analysis_Wetse'!J55</f>
        <v>G589</v>
      </c>
      <c r="I129" t="str">
        <f>'Final data_for_R_analysis_Wetse'!J275</f>
        <v>R400</v>
      </c>
      <c r="J129">
        <f>IFERROR(INDEX('Green_rooibos initial weight'!$C$5:$C$1749,MATCH(H129, 'Green_rooibos initial weight'!$A$5:$A$1749,0)),"")</f>
        <v>2.0419999999999998</v>
      </c>
      <c r="K129">
        <f>IFERROR(INDEX('Green_rooibos initial weight'!$C$5:$C$1749,MATCH(I129, 'Green_rooibos initial weight'!$A$5:$A$1749,0)),"")</f>
        <v>2.181</v>
      </c>
      <c r="L129" s="195">
        <f t="shared" si="2"/>
        <v>1.7921999999999998</v>
      </c>
      <c r="M129" s="195">
        <f>AVERAGE(Ashed_controlls!$K$2:$K$11)</f>
        <v>5.5147656768714146</v>
      </c>
      <c r="N129" s="195">
        <f t="shared" si="0"/>
        <v>1.9312</v>
      </c>
      <c r="O129" s="16">
        <f>IF('WetLitterbags placem_collection'!G56="N.A","",'WetLitterbags placem_collection'!G56)</f>
        <v>42820</v>
      </c>
      <c r="P129" s="195" t="str">
        <f>IF(IFERROR(INDEX('Both teabags AfterWet'!$C$3:$C$841,MATCH(H129,'Both teabags AfterWet'!$A$3:$A$841,0)),"")="N.A","",(IFERROR(INDEX('Both teabags AfterWet'!$C$3:$C$841,MATCH(H129,'Both teabags AfterWet'!$A$3:$A$841,0)),"")))</f>
        <v/>
      </c>
      <c r="Q129" s="195" t="str">
        <f>IFERROR(INDEX('Both teabags AfterWet'!$C$3:$C$841,MATCH(I129,'Both teabags AfterWet'!$A$3:$A$841,0)),"")</f>
        <v/>
      </c>
      <c r="R129" s="195" t="str">
        <f t="shared" si="3"/>
        <v/>
      </c>
      <c r="S129" s="195" t="str">
        <f t="shared" si="3"/>
        <v/>
      </c>
      <c r="T129" s="195" t="str">
        <f t="shared" si="4"/>
        <v/>
      </c>
      <c r="U129" s="195" t="str">
        <f t="shared" si="5"/>
        <v/>
      </c>
      <c r="V129" s="195" t="str">
        <f t="shared" si="6"/>
        <v/>
      </c>
      <c r="W129">
        <f t="shared" si="1"/>
        <v>54</v>
      </c>
      <c r="X129" s="195" t="str">
        <f t="shared" si="7"/>
        <v/>
      </c>
      <c r="Y129" s="195" t="str">
        <f t="shared" si="8"/>
        <v/>
      </c>
      <c r="Z129" s="255" t="str">
        <f>IF(ISNUMBER(SEARCH("C",'WetLitterbags placem_collection'!W56)),"YES","NO")</f>
        <v>NO</v>
      </c>
      <c r="AA129" s="255" t="str">
        <f>IF(ISNUMBER(SEARCH("H", 'WetLitterbags placem_collection'!W56)),"YES","NO")</f>
        <v>NO</v>
      </c>
      <c r="AB129" s="255" t="str">
        <f>IF(ISNUMBER(SEARCH("R", 'WetLitterbags placem_collection'!W56)),"YES","NO")</f>
        <v>NO</v>
      </c>
      <c r="AC129" s="255" t="str">
        <f>IF(ISNUMBER(SEARCH("C", 'WetLitterbags placem_collection'!V56)),"YES","NO")</f>
        <v>NO</v>
      </c>
      <c r="AD129" s="255" t="str">
        <f>IF(ISNUMBER(SEARCH("H", 'WetLitterbags placem_collection'!V56)),"YES","NO")</f>
        <v>NO</v>
      </c>
      <c r="AE129" s="255" t="str">
        <f>IF(ISNUMBER(SEARCH("R", 'WetLitterbags placem_collection'!V56)),"YES","NO")</f>
        <v>NO</v>
      </c>
    </row>
    <row r="130" spans="2:31">
      <c r="B130" t="str">
        <f>'Final data_for_R_analysis_Wetse'!A56</f>
        <v>Wet</v>
      </c>
      <c r="C130" s="263">
        <f>'Final data_for_R_analysis_Wetse'!B56</f>
        <v>55</v>
      </c>
      <c r="D130" t="s">
        <v>3834</v>
      </c>
      <c r="E130" t="s">
        <v>22</v>
      </c>
      <c r="F130" s="387">
        <v>7</v>
      </c>
      <c r="G130" s="16">
        <f>'WetLitterbags placem_collection'!E57</f>
        <v>42766</v>
      </c>
      <c r="H130" t="str">
        <f>'Final data_for_R_analysis_Wetse'!J56</f>
        <v>G622</v>
      </c>
      <c r="I130" t="str">
        <f>'Final data_for_R_analysis_Wetse'!J276</f>
        <v>R19</v>
      </c>
      <c r="J130">
        <f>IFERROR(INDEX('Green_rooibos initial weight'!$C$5:$C$1749,MATCH(H130, 'Green_rooibos initial weight'!$A$5:$A$1749,0)),"")</f>
        <v>1.978</v>
      </c>
      <c r="K130">
        <f>IFERROR(INDEX('Green_rooibos initial weight'!$C$5:$C$1749,MATCH(I130, 'Green_rooibos initial weight'!$A$5:$A$1749,0)),"")</f>
        <v>2.2589999999999999</v>
      </c>
      <c r="L130" s="195">
        <f t="shared" si="2"/>
        <v>1.7282</v>
      </c>
      <c r="M130" s="195">
        <f>AVERAGE(Ashed_controlls!$K$2:$K$11)</f>
        <v>5.5147656768714146</v>
      </c>
      <c r="N130" s="195">
        <f t="shared" si="0"/>
        <v>2.0091999999999999</v>
      </c>
      <c r="O130" s="16">
        <f>IF('WetLitterbags placem_collection'!G57="N.A","",'WetLitterbags placem_collection'!G57)</f>
        <v>42820</v>
      </c>
      <c r="P130" s="195" t="str">
        <f>IF(IFERROR(INDEX('Both teabags AfterWet'!$C$3:$C$841,MATCH(H130,'Both teabags AfterWet'!$A$3:$A$841,0)),"")="N.A","",(IFERROR(INDEX('Both teabags AfterWet'!$C$3:$C$841,MATCH(H130,'Both teabags AfterWet'!$A$3:$A$841,0)),"")))</f>
        <v/>
      </c>
      <c r="Q130" s="195">
        <f>IFERROR(INDEX('Both teabags AfterWet'!$C$3:$C$841,MATCH(I130,'Both teabags AfterWet'!$A$3:$A$841,0)),"")</f>
        <v>0.22600000000000001</v>
      </c>
      <c r="R130" s="195" t="str">
        <f t="shared" si="3"/>
        <v/>
      </c>
      <c r="S130" s="195">
        <f t="shared" si="3"/>
        <v>7.5399999999999995E-2</v>
      </c>
      <c r="T130" s="195" t="str">
        <f t="shared" si="4"/>
        <v/>
      </c>
      <c r="U130" s="195" t="str">
        <f t="shared" si="5"/>
        <v/>
      </c>
      <c r="V130" s="195">
        <f t="shared" si="6"/>
        <v>3.7527374079235516E-2</v>
      </c>
      <c r="W130">
        <f t="shared" si="1"/>
        <v>54</v>
      </c>
      <c r="X130" s="195" t="str">
        <f t="shared" si="7"/>
        <v/>
      </c>
      <c r="Y130" s="195" t="str">
        <f t="shared" si="8"/>
        <v/>
      </c>
      <c r="Z130" s="255" t="str">
        <f>IF(ISNUMBER(SEARCH("C",'WetLitterbags placem_collection'!W57)),"YES","NO")</f>
        <v>NO</v>
      </c>
      <c r="AA130" s="255" t="str">
        <f>IF(ISNUMBER(SEARCH("H", 'WetLitterbags placem_collection'!W57)),"YES","NO")</f>
        <v>YES</v>
      </c>
      <c r="AB130" s="255" t="str">
        <f>IF(ISNUMBER(SEARCH("R", 'WetLitterbags placem_collection'!W57)),"YES","NO")</f>
        <v>NO</v>
      </c>
      <c r="AC130" s="255" t="str">
        <f>IF(ISNUMBER(SEARCH("C", 'WetLitterbags placem_collection'!V57)),"YES","NO")</f>
        <v>NO</v>
      </c>
      <c r="AD130" s="255" t="str">
        <f>IF(ISNUMBER(SEARCH("H", 'WetLitterbags placem_collection'!V57)),"YES","NO")</f>
        <v>NO</v>
      </c>
      <c r="AE130" s="255" t="str">
        <f>IF(ISNUMBER(SEARCH("R", 'WetLitterbags placem_collection'!V57)),"YES","NO")</f>
        <v>NO</v>
      </c>
    </row>
    <row r="131" spans="2:31">
      <c r="B131" t="str">
        <f>'Final data_for_R_analysis_Wetse'!A57</f>
        <v>Wet</v>
      </c>
      <c r="C131" s="263">
        <f>'Final data_for_R_analysis_Wetse'!B57</f>
        <v>56</v>
      </c>
      <c r="D131" t="s">
        <v>3834</v>
      </c>
      <c r="E131" t="s">
        <v>22</v>
      </c>
      <c r="F131" s="387">
        <v>8</v>
      </c>
      <c r="G131" s="16">
        <f>'WetLitterbags placem_collection'!E58</f>
        <v>42766</v>
      </c>
      <c r="H131" t="str">
        <f>'Final data_for_R_analysis_Wetse'!J57</f>
        <v>G538</v>
      </c>
      <c r="I131" t="str">
        <f>'Final data_for_R_analysis_Wetse'!J277</f>
        <v>R60</v>
      </c>
      <c r="J131">
        <f>IFERROR(INDEX('Green_rooibos initial weight'!$C$5:$C$1749,MATCH(H131, 'Green_rooibos initial weight'!$A$5:$A$1749,0)),"")</f>
        <v>2.1760000000000002</v>
      </c>
      <c r="K131">
        <f>IFERROR(INDEX('Green_rooibos initial weight'!$C$5:$C$1749,MATCH(I131, 'Green_rooibos initial weight'!$A$5:$A$1749,0)),"")</f>
        <v>2.3220000000000001</v>
      </c>
      <c r="L131" s="195">
        <f t="shared" si="2"/>
        <v>1.9262000000000001</v>
      </c>
      <c r="M131" s="195">
        <f>AVERAGE(Ashed_controlls!$K$2:$K$11)</f>
        <v>5.5147656768714146</v>
      </c>
      <c r="N131" s="195">
        <f t="shared" si="0"/>
        <v>2.0722</v>
      </c>
      <c r="O131" s="16">
        <f>IF('WetLitterbags placem_collection'!G58="N.A","",'WetLitterbags placem_collection'!G58)</f>
        <v>42820</v>
      </c>
      <c r="P131" s="195">
        <f>IF(IFERROR(INDEX('Both teabags AfterWet'!$C$3:$C$841,MATCH(H131,'Both teabags AfterWet'!$A$3:$A$841,0)),"")="N.A","",(IFERROR(INDEX('Both teabags AfterWet'!$C$3:$C$841,MATCH(H131,'Both teabags AfterWet'!$A$3:$A$841,0)),"")))</f>
        <v>0.81</v>
      </c>
      <c r="Q131" s="195">
        <f>IFERROR(INDEX('Both teabags AfterWet'!$C$3:$C$841,MATCH(I131,'Both teabags AfterWet'!$A$3:$A$841,0)),"")</f>
        <v>2.2909999999999999</v>
      </c>
      <c r="R131" s="195">
        <f t="shared" si="3"/>
        <v>0.65939999999999999</v>
      </c>
      <c r="S131" s="195">
        <f t="shared" si="3"/>
        <v>2.1404000000000001</v>
      </c>
      <c r="T131" s="195">
        <f t="shared" si="4"/>
        <v>0.65766794725366007</v>
      </c>
      <c r="U131" s="195">
        <f t="shared" si="5"/>
        <v>0.43115523382900289</v>
      </c>
      <c r="V131" s="195">
        <f t="shared" si="6"/>
        <v>1.0329118810925586</v>
      </c>
      <c r="W131">
        <f t="shared" si="1"/>
        <v>54</v>
      </c>
      <c r="X131" s="195">
        <f t="shared" si="7"/>
        <v>0.21892167784600935</v>
      </c>
      <c r="Y131" s="195">
        <f t="shared" si="8"/>
        <v>-1.3622405451697067E-3</v>
      </c>
      <c r="Z131" s="255" t="str">
        <f>IF(ISNUMBER(SEARCH("C",'WetLitterbags placem_collection'!W58)),"YES","NO")</f>
        <v>YES</v>
      </c>
      <c r="AA131" s="255" t="str">
        <f>IF(ISNUMBER(SEARCH("H", 'WetLitterbags placem_collection'!W58)),"YES","NO")</f>
        <v>YES</v>
      </c>
      <c r="AB131" s="255" t="str">
        <f>IF(ISNUMBER(SEARCH("R", 'WetLitterbags placem_collection'!W58)),"YES","NO")</f>
        <v>NO</v>
      </c>
      <c r="AC131" s="255" t="str">
        <f>IF(ISNUMBER(SEARCH("C", 'WetLitterbags placem_collection'!V58)),"YES","NO")</f>
        <v>NO</v>
      </c>
      <c r="AD131" s="255" t="str">
        <f>IF(ISNUMBER(SEARCH("H", 'WetLitterbags placem_collection'!V58)),"YES","NO")</f>
        <v>YES</v>
      </c>
      <c r="AE131" s="255" t="str">
        <f>IF(ISNUMBER(SEARCH("R", 'WetLitterbags placem_collection'!V58)),"YES","NO")</f>
        <v>YES</v>
      </c>
    </row>
    <row r="132" spans="2:31">
      <c r="B132" t="str">
        <f>'Final data_for_R_analysis_Wetse'!A58</f>
        <v>Wet</v>
      </c>
      <c r="C132" s="263">
        <f>'Final data_for_R_analysis_Wetse'!B58</f>
        <v>57</v>
      </c>
      <c r="D132" t="s">
        <v>3835</v>
      </c>
      <c r="E132" t="s">
        <v>22</v>
      </c>
      <c r="F132" s="386">
        <v>1</v>
      </c>
      <c r="G132" s="16">
        <f>'WetLitterbags placem_collection'!E59</f>
        <v>42766</v>
      </c>
      <c r="H132" t="str">
        <f>'Final data_for_R_analysis_Wetse'!J58</f>
        <v>G546</v>
      </c>
      <c r="I132" t="str">
        <f>'Final data_for_R_analysis_Wetse'!J278</f>
        <v>R161</v>
      </c>
      <c r="J132">
        <f>IFERROR(INDEX('Green_rooibos initial weight'!$C$5:$C$1749,MATCH(H132, 'Green_rooibos initial weight'!$A$5:$A$1749,0)),"")</f>
        <v>2.1429999999999998</v>
      </c>
      <c r="K132">
        <f>IFERROR(INDEX('Green_rooibos initial weight'!$C$5:$C$1749,MATCH(I132, 'Green_rooibos initial weight'!$A$5:$A$1749,0)),"")</f>
        <v>2.1829999999999998</v>
      </c>
      <c r="L132" s="195">
        <f t="shared" si="2"/>
        <v>1.8931999999999998</v>
      </c>
      <c r="M132" s="195">
        <f>AVERAGE(Ashed_controlls!$K$2:$K$11)</f>
        <v>5.5147656768714146</v>
      </c>
      <c r="N132" s="195">
        <f t="shared" si="0"/>
        <v>1.9331999999999998</v>
      </c>
      <c r="O132" s="16">
        <f>IF('WetLitterbags placem_collection'!G59="N.A","",'WetLitterbags placem_collection'!G59)</f>
        <v>42820</v>
      </c>
      <c r="P132" s="195">
        <f>IF(IFERROR(INDEX('Both teabags AfterWet'!$C$3:$C$841,MATCH(H132,'Both teabags AfterWet'!$A$3:$A$841,0)),"")="N.A","",(IFERROR(INDEX('Both teabags AfterWet'!$C$3:$C$841,MATCH(H132,'Both teabags AfterWet'!$A$3:$A$841,0)),"")))</f>
        <v>0.88660000000000005</v>
      </c>
      <c r="Q132" s="195">
        <f>IFERROR(INDEX('Both teabags AfterWet'!$C$3:$C$841,MATCH(I132,'Both teabags AfterWet'!$A$3:$A$841,0)),"")</f>
        <v>1.266</v>
      </c>
      <c r="R132" s="195">
        <f t="shared" si="3"/>
        <v>0.73599999999999999</v>
      </c>
      <c r="S132" s="195">
        <f t="shared" si="3"/>
        <v>1.1153999999999999</v>
      </c>
      <c r="T132" s="195">
        <f t="shared" si="4"/>
        <v>0.61124022818508339</v>
      </c>
      <c r="U132" s="195">
        <f t="shared" si="5"/>
        <v>0.40071805933273885</v>
      </c>
      <c r="V132" s="195">
        <f t="shared" si="6"/>
        <v>0.57697082557417756</v>
      </c>
      <c r="W132">
        <f t="shared" si="1"/>
        <v>54</v>
      </c>
      <c r="X132" s="195">
        <f t="shared" si="7"/>
        <v>0.2740614867160529</v>
      </c>
      <c r="Y132" s="195" t="str">
        <f t="shared" si="8"/>
        <v/>
      </c>
      <c r="Z132" s="255" t="str">
        <f>IF(ISNUMBER(SEARCH("C",'WetLitterbags placem_collection'!W59)),"YES","NO")</f>
        <v>NO</v>
      </c>
      <c r="AA132" s="255" t="str">
        <f>IF(ISNUMBER(SEARCH("H", 'WetLitterbags placem_collection'!W59)),"YES","NO")</f>
        <v>YES</v>
      </c>
      <c r="AB132" s="255" t="str">
        <f>IF(ISNUMBER(SEARCH("R", 'WetLitterbags placem_collection'!W59)),"YES","NO")</f>
        <v>YES</v>
      </c>
      <c r="AC132" s="255" t="str">
        <f>IF(ISNUMBER(SEARCH("C", 'WetLitterbags placem_collection'!V59)),"YES","NO")</f>
        <v>NO</v>
      </c>
      <c r="AD132" s="255" t="str">
        <f>IF(ISNUMBER(SEARCH("H", 'WetLitterbags placem_collection'!V59)),"YES","NO")</f>
        <v>NO</v>
      </c>
      <c r="AE132" s="255" t="str">
        <f>IF(ISNUMBER(SEARCH("R", 'WetLitterbags placem_collection'!V59)),"YES","NO")</f>
        <v>YES</v>
      </c>
    </row>
    <row r="133" spans="2:31">
      <c r="B133" t="str">
        <f>'Final data_for_R_analysis_Wetse'!A59</f>
        <v>Wet</v>
      </c>
      <c r="C133" s="263">
        <f>'Final data_for_R_analysis_Wetse'!B59</f>
        <v>58</v>
      </c>
      <c r="D133" t="s">
        <v>3835</v>
      </c>
      <c r="E133" t="s">
        <v>22</v>
      </c>
      <c r="F133" s="386">
        <v>2</v>
      </c>
      <c r="G133" s="16">
        <f>'WetLitterbags placem_collection'!E60</f>
        <v>42766</v>
      </c>
      <c r="H133" t="str">
        <f>'Final data_for_R_analysis_Wetse'!J59</f>
        <v>G513</v>
      </c>
      <c r="I133" t="str">
        <f>'Final data_for_R_analysis_Wetse'!J279</f>
        <v>R48</v>
      </c>
      <c r="J133">
        <f>IFERROR(INDEX('Green_rooibos initial weight'!$C$5:$C$1749,MATCH(H133, 'Green_rooibos initial weight'!$A$5:$A$1749,0)),"")</f>
        <v>2.0179999999999998</v>
      </c>
      <c r="K133">
        <f>IFERROR(INDEX('Green_rooibos initial weight'!$C$5:$C$1749,MATCH(I133, 'Green_rooibos initial weight'!$A$5:$A$1749,0)),"")</f>
        <v>2.2149999999999999</v>
      </c>
      <c r="L133" s="195">
        <f t="shared" si="2"/>
        <v>1.7681999999999998</v>
      </c>
      <c r="M133" s="195">
        <f>AVERAGE(Ashed_controlls!$K$2:$K$11)</f>
        <v>5.5147656768714146</v>
      </c>
      <c r="N133" s="195">
        <f t="shared" si="0"/>
        <v>1.9651999999999998</v>
      </c>
      <c r="O133" s="16">
        <f>IF('WetLitterbags placem_collection'!G60="N.A","",'WetLitterbags placem_collection'!G60)</f>
        <v>42820</v>
      </c>
      <c r="P133" s="195">
        <f>IF(IFERROR(INDEX('Both teabags AfterWet'!$C$3:$C$841,MATCH(H133,'Both teabags AfterWet'!$A$3:$A$841,0)),"")="N.A","",(IFERROR(INDEX('Both teabags AfterWet'!$C$3:$C$841,MATCH(H133,'Both teabags AfterWet'!$A$3:$A$841,0)),"")))</f>
        <v>0.93279999999999996</v>
      </c>
      <c r="Q133" s="195">
        <f>IFERROR(INDEX('Both teabags AfterWet'!$C$3:$C$841,MATCH(I133,'Both teabags AfterWet'!$A$3:$A$841,0)),"")</f>
        <v>0.74880000000000002</v>
      </c>
      <c r="R133" s="195">
        <f t="shared" si="3"/>
        <v>0.78220000000000001</v>
      </c>
      <c r="S133" s="195">
        <f t="shared" si="3"/>
        <v>0.59820000000000007</v>
      </c>
      <c r="T133" s="195">
        <f t="shared" si="4"/>
        <v>0.55762922746295662</v>
      </c>
      <c r="U133" s="195">
        <f t="shared" si="5"/>
        <v>0.36557165505885048</v>
      </c>
      <c r="V133" s="195">
        <f t="shared" si="6"/>
        <v>0.30439649908406274</v>
      </c>
      <c r="W133">
        <f t="shared" si="1"/>
        <v>54</v>
      </c>
      <c r="X133" s="195">
        <f t="shared" si="7"/>
        <v>0.33773250895135787</v>
      </c>
      <c r="Y133" s="195" t="str">
        <f t="shared" si="8"/>
        <v/>
      </c>
      <c r="Z133" s="255" t="str">
        <f>IF(ISNUMBER(SEARCH("C",'WetLitterbags placem_collection'!W60)),"YES","NO")</f>
        <v>NO</v>
      </c>
      <c r="AA133" s="255" t="str">
        <f>IF(ISNUMBER(SEARCH("H", 'WetLitterbags placem_collection'!W60)),"YES","NO")</f>
        <v>YES</v>
      </c>
      <c r="AB133" s="255" t="str">
        <f>IF(ISNUMBER(SEARCH("R", 'WetLitterbags placem_collection'!W60)),"YES","NO")</f>
        <v>NO</v>
      </c>
      <c r="AC133" s="255" t="str">
        <f>IF(ISNUMBER(SEARCH("C", 'WetLitterbags placem_collection'!V60)),"YES","NO")</f>
        <v>NO</v>
      </c>
      <c r="AD133" s="255" t="str">
        <f>IF(ISNUMBER(SEARCH("H", 'WetLitterbags placem_collection'!V60)),"YES","NO")</f>
        <v>YES</v>
      </c>
      <c r="AE133" s="255" t="str">
        <f>IF(ISNUMBER(SEARCH("R", 'WetLitterbags placem_collection'!V60)),"YES","NO")</f>
        <v>YES</v>
      </c>
    </row>
    <row r="134" spans="2:31">
      <c r="B134" t="str">
        <f>'Final data_for_R_analysis_Wetse'!A60</f>
        <v>Wet</v>
      </c>
      <c r="C134" s="263">
        <f>'Final data_for_R_analysis_Wetse'!B60</f>
        <v>59</v>
      </c>
      <c r="D134" t="s">
        <v>3835</v>
      </c>
      <c r="E134" t="s">
        <v>22</v>
      </c>
      <c r="F134" s="386">
        <v>3</v>
      </c>
      <c r="G134" s="16">
        <f>'WetLitterbags placem_collection'!E61</f>
        <v>42766</v>
      </c>
      <c r="H134" t="str">
        <f>'Final data_for_R_analysis_Wetse'!J60</f>
        <v>G489</v>
      </c>
      <c r="I134" t="str">
        <f>'Final data_for_R_analysis_Wetse'!J280</f>
        <v>R23</v>
      </c>
      <c r="J134">
        <f>IFERROR(INDEX('Green_rooibos initial weight'!$C$5:$C$1749,MATCH(H134, 'Green_rooibos initial weight'!$A$5:$A$1749,0)),"")</f>
        <v>1.9</v>
      </c>
      <c r="K134">
        <f>IFERROR(INDEX('Green_rooibos initial weight'!$C$5:$C$1749,MATCH(I134, 'Green_rooibos initial weight'!$A$5:$A$1749,0)),"")</f>
        <v>2.2770000000000001</v>
      </c>
      <c r="L134" s="195">
        <f t="shared" si="2"/>
        <v>1.6501999999999999</v>
      </c>
      <c r="M134" s="195">
        <f>AVERAGE(Ashed_controlls!$K$2:$K$11)</f>
        <v>5.5147656768714146</v>
      </c>
      <c r="N134" s="195">
        <f t="shared" si="0"/>
        <v>2.0272000000000001</v>
      </c>
      <c r="O134" s="16">
        <f>IF('WetLitterbags placem_collection'!G61="N.A","",'WetLitterbags placem_collection'!G61)</f>
        <v>42820</v>
      </c>
      <c r="P134" s="195">
        <f>IF(IFERROR(INDEX('Both teabags AfterWet'!$C$3:$C$841,MATCH(H134,'Both teabags AfterWet'!$A$3:$A$841,0)),"")="N.A","",(IFERROR(INDEX('Both teabags AfterWet'!$C$3:$C$841,MATCH(H134,'Both teabags AfterWet'!$A$3:$A$841,0)),"")))</f>
        <v>0.88400000000000001</v>
      </c>
      <c r="Q134" s="195">
        <f>IFERROR(INDEX('Both teabags AfterWet'!$C$3:$C$841,MATCH(I134,'Both teabags AfterWet'!$A$3:$A$841,0)),"")</f>
        <v>1.38</v>
      </c>
      <c r="R134" s="195">
        <f t="shared" si="3"/>
        <v>0.73340000000000005</v>
      </c>
      <c r="S134" s="195">
        <f t="shared" si="3"/>
        <v>1.2293999999999998</v>
      </c>
      <c r="T134" s="195">
        <f t="shared" si="4"/>
        <v>0.55556902193673485</v>
      </c>
      <c r="U134" s="195">
        <f t="shared" si="5"/>
        <v>0.36422102150721819</v>
      </c>
      <c r="V134" s="195">
        <f t="shared" si="6"/>
        <v>0.60645224940805043</v>
      </c>
      <c r="W134">
        <f t="shared" si="1"/>
        <v>54</v>
      </c>
      <c r="X134" s="195">
        <f t="shared" si="7"/>
        <v>0.34017930886373526</v>
      </c>
      <c r="Y134" s="195" t="str">
        <f t="shared" si="8"/>
        <v/>
      </c>
      <c r="Z134" s="255" t="str">
        <f>IF(ISNUMBER(SEARCH("C",'WetLitterbags placem_collection'!W61)),"YES","NO")</f>
        <v>NO</v>
      </c>
      <c r="AA134" s="255" t="str">
        <f>IF(ISNUMBER(SEARCH("H", 'WetLitterbags placem_collection'!W61)),"YES","NO")</f>
        <v>NO</v>
      </c>
      <c r="AB134" s="255" t="str">
        <f>IF(ISNUMBER(SEARCH("R", 'WetLitterbags placem_collection'!W61)),"YES","NO")</f>
        <v>NO</v>
      </c>
      <c r="AC134" s="255" t="str">
        <f>IF(ISNUMBER(SEARCH("C", 'WetLitterbags placem_collection'!V61)),"YES","NO")</f>
        <v>NO</v>
      </c>
      <c r="AD134" s="255" t="str">
        <f>IF(ISNUMBER(SEARCH("H", 'WetLitterbags placem_collection'!V61)),"YES","NO")</f>
        <v>NO</v>
      </c>
      <c r="AE134" s="255" t="str">
        <f>IF(ISNUMBER(SEARCH("R", 'WetLitterbags placem_collection'!V61)),"YES","NO")</f>
        <v>NO</v>
      </c>
    </row>
    <row r="135" spans="2:31">
      <c r="B135" t="str">
        <f>'Final data_for_R_analysis_Wetse'!A61</f>
        <v>Wet</v>
      </c>
      <c r="C135" s="263">
        <f>'Final data_for_R_analysis_Wetse'!B61</f>
        <v>60</v>
      </c>
      <c r="D135" t="s">
        <v>3835</v>
      </c>
      <c r="E135" t="s">
        <v>22</v>
      </c>
      <c r="F135" s="387">
        <v>4</v>
      </c>
      <c r="G135" s="16">
        <f>'WetLitterbags placem_collection'!E62</f>
        <v>42766</v>
      </c>
      <c r="H135" t="str">
        <f>'Final data_for_R_analysis_Wetse'!J61</f>
        <v>G633</v>
      </c>
      <c r="I135" t="str">
        <f>'Final data_for_R_analysis_Wetse'!J281</f>
        <v>R78</v>
      </c>
      <c r="J135">
        <f>IFERROR(INDEX('Green_rooibos initial weight'!$C$5:$C$1749,MATCH(H135, 'Green_rooibos initial weight'!$A$5:$A$1749,0)),"")</f>
        <v>2.0630000000000002</v>
      </c>
      <c r="K135">
        <f>IFERROR(INDEX('Green_rooibos initial weight'!$C$5:$C$1749,MATCH(I135, 'Green_rooibos initial weight'!$A$5:$A$1749,0)),"")</f>
        <v>2.2200000000000002</v>
      </c>
      <c r="L135" s="195">
        <f t="shared" si="2"/>
        <v>1.8132000000000001</v>
      </c>
      <c r="M135" s="195">
        <f>AVERAGE(Ashed_controlls!$K$2:$K$11)</f>
        <v>5.5147656768714146</v>
      </c>
      <c r="N135" s="195">
        <f t="shared" si="0"/>
        <v>1.9702000000000002</v>
      </c>
      <c r="O135" s="16">
        <f>IF('WetLitterbags placem_collection'!G62="N.A","",'WetLitterbags placem_collection'!G62)</f>
        <v>42820</v>
      </c>
      <c r="P135" s="195">
        <f>IF(IFERROR(INDEX('Both teabags AfterWet'!$C$3:$C$841,MATCH(H135,'Both teabags AfterWet'!$A$3:$A$841,0)),"")="N.A","",(IFERROR(INDEX('Both teabags AfterWet'!$C$3:$C$841,MATCH(H135,'Both teabags AfterWet'!$A$3:$A$841,0)),"")))</f>
        <v>0.874</v>
      </c>
      <c r="Q135" s="195">
        <f>IFERROR(INDEX('Both teabags AfterWet'!$C$3:$C$841,MATCH(I135,'Both teabags AfterWet'!$A$3:$A$841,0)),"")</f>
        <v>1.665</v>
      </c>
      <c r="R135" s="195">
        <f t="shared" si="3"/>
        <v>0.72340000000000004</v>
      </c>
      <c r="S135" s="195">
        <f t="shared" si="3"/>
        <v>1.5144</v>
      </c>
      <c r="T135" s="195">
        <f t="shared" si="4"/>
        <v>0.60103684094418708</v>
      </c>
      <c r="U135" s="195">
        <f t="shared" si="5"/>
        <v>0.39402890285177111</v>
      </c>
      <c r="V135" s="195">
        <f t="shared" si="6"/>
        <v>0.76865292863668655</v>
      </c>
      <c r="W135">
        <f t="shared" si="1"/>
        <v>54</v>
      </c>
      <c r="X135" s="195">
        <f t="shared" si="7"/>
        <v>0.28617952381925527</v>
      </c>
      <c r="Y135" s="195">
        <f t="shared" si="8"/>
        <v>1.6381998609185364E-2</v>
      </c>
      <c r="Z135" s="255" t="str">
        <f>IF(ISNUMBER(SEARCH("C",'WetLitterbags placem_collection'!W62)),"YES","NO")</f>
        <v>NO</v>
      </c>
      <c r="AA135" s="255" t="str">
        <f>IF(ISNUMBER(SEARCH("H", 'WetLitterbags placem_collection'!W62)),"YES","NO")</f>
        <v>NO</v>
      </c>
      <c r="AB135" s="255" t="str">
        <f>IF(ISNUMBER(SEARCH("R", 'WetLitterbags placem_collection'!W62)),"YES","NO")</f>
        <v>NO</v>
      </c>
      <c r="AC135" s="255" t="str">
        <f>IF(ISNUMBER(SEARCH("C", 'WetLitterbags placem_collection'!V62)),"YES","NO")</f>
        <v>NO</v>
      </c>
      <c r="AD135" s="255" t="str">
        <f>IF(ISNUMBER(SEARCH("H", 'WetLitterbags placem_collection'!V62)),"YES","NO")</f>
        <v>NO</v>
      </c>
      <c r="AE135" s="255" t="str">
        <f>IF(ISNUMBER(SEARCH("R", 'WetLitterbags placem_collection'!V62)),"YES","NO")</f>
        <v>YES</v>
      </c>
    </row>
    <row r="136" spans="2:31">
      <c r="B136" t="str">
        <f>'Final data_for_R_analysis_Wetse'!A62</f>
        <v>Wet</v>
      </c>
      <c r="C136" s="263">
        <f>'Final data_for_R_analysis_Wetse'!B62</f>
        <v>61</v>
      </c>
      <c r="D136" t="s">
        <v>3835</v>
      </c>
      <c r="E136" t="s">
        <v>22</v>
      </c>
      <c r="F136" s="387">
        <v>5</v>
      </c>
      <c r="G136" s="16">
        <f>'WetLitterbags placem_collection'!E63</f>
        <v>42766</v>
      </c>
      <c r="H136" t="str">
        <f>'Final data_for_R_analysis_Wetse'!J62</f>
        <v>G541</v>
      </c>
      <c r="I136" t="str">
        <f>'Final data_for_R_analysis_Wetse'!J282</f>
        <v>R42</v>
      </c>
      <c r="J136">
        <f>IFERROR(INDEX('Green_rooibos initial weight'!$C$5:$C$1749,MATCH(H136, 'Green_rooibos initial weight'!$A$5:$A$1749,0)),"")</f>
        <v>1.978</v>
      </c>
      <c r="K136">
        <f>IFERROR(INDEX('Green_rooibos initial weight'!$C$5:$C$1749,MATCH(I136, 'Green_rooibos initial weight'!$A$5:$A$1749,0)),"")</f>
        <v>2.2389999999999999</v>
      </c>
      <c r="L136" s="195">
        <f t="shared" si="2"/>
        <v>1.7282</v>
      </c>
      <c r="M136" s="195">
        <f>AVERAGE(Ashed_controlls!$K$2:$K$11)</f>
        <v>5.5147656768714146</v>
      </c>
      <c r="N136" s="195">
        <f t="shared" si="0"/>
        <v>1.9891999999999999</v>
      </c>
      <c r="O136" s="16">
        <f>IF('WetLitterbags placem_collection'!G63="N.A","",'WetLitterbags placem_collection'!G63)</f>
        <v>42820</v>
      </c>
      <c r="P136" s="195">
        <f>IF(IFERROR(INDEX('Both teabags AfterWet'!$C$3:$C$841,MATCH(H136,'Both teabags AfterWet'!$A$3:$A$841,0)),"")="N.A","",(IFERROR(INDEX('Both teabags AfterWet'!$C$3:$C$841,MATCH(H136,'Both teabags AfterWet'!$A$3:$A$841,0)),"")))</f>
        <v>0.78600000000000003</v>
      </c>
      <c r="Q136" s="195">
        <f>IFERROR(INDEX('Both teabags AfterWet'!$C$3:$C$841,MATCH(I136,'Both teabags AfterWet'!$A$3:$A$841,0)),"")</f>
        <v>0.182</v>
      </c>
      <c r="R136" s="195">
        <f t="shared" si="3"/>
        <v>0.63539999999999996</v>
      </c>
      <c r="S136" s="195">
        <f t="shared" si="3"/>
        <v>3.1399999999999983E-2</v>
      </c>
      <c r="T136" s="195">
        <f t="shared" si="4"/>
        <v>0.63233422057632227</v>
      </c>
      <c r="U136" s="195">
        <f t="shared" si="5"/>
        <v>0.41454689995027305</v>
      </c>
      <c r="V136" s="195">
        <f t="shared" si="6"/>
        <v>1.578524029760707E-2</v>
      </c>
      <c r="W136">
        <f t="shared" si="1"/>
        <v>54</v>
      </c>
      <c r="X136" s="195">
        <f t="shared" si="7"/>
        <v>0.24900923922051987</v>
      </c>
      <c r="Y136" s="195" t="str">
        <f t="shared" si="8"/>
        <v/>
      </c>
      <c r="Z136" s="255" t="str">
        <f>IF(ISNUMBER(SEARCH("C",'WetLitterbags placem_collection'!W63)),"YES","NO")</f>
        <v>YES</v>
      </c>
      <c r="AA136" s="255" t="str">
        <f>IF(ISNUMBER(SEARCH("H", 'WetLitterbags placem_collection'!W63)),"YES","NO")</f>
        <v>YES</v>
      </c>
      <c r="AB136" s="255" t="str">
        <f>IF(ISNUMBER(SEARCH("R", 'WetLitterbags placem_collection'!W63)),"YES","NO")</f>
        <v>NO</v>
      </c>
      <c r="AC136" s="255" t="str">
        <f>IF(ISNUMBER(SEARCH("C", 'WetLitterbags placem_collection'!V63)),"YES","NO")</f>
        <v>YES</v>
      </c>
      <c r="AD136" s="255" t="str">
        <f>IF(ISNUMBER(SEARCH("H", 'WetLitterbags placem_collection'!V63)),"YES","NO")</f>
        <v>YES</v>
      </c>
      <c r="AE136" s="255" t="str">
        <f>IF(ISNUMBER(SEARCH("R", 'WetLitterbags placem_collection'!V63)),"YES","NO")</f>
        <v>NO</v>
      </c>
    </row>
    <row r="137" spans="2:31">
      <c r="B137" t="str">
        <f>'Final data_for_R_analysis_Wetse'!A63</f>
        <v>Wet</v>
      </c>
      <c r="C137" s="263">
        <f>'Final data_for_R_analysis_Wetse'!B63</f>
        <v>62</v>
      </c>
      <c r="D137" t="s">
        <v>3835</v>
      </c>
      <c r="E137" t="s">
        <v>22</v>
      </c>
      <c r="F137" s="387">
        <v>6</v>
      </c>
      <c r="G137" s="16">
        <f>'WetLitterbags placem_collection'!E64</f>
        <v>42766</v>
      </c>
      <c r="H137" t="str">
        <f>'Final data_for_R_analysis_Wetse'!J63</f>
        <v>G565</v>
      </c>
      <c r="I137" t="str">
        <f>'Final data_for_R_analysis_Wetse'!J283</f>
        <v>R119</v>
      </c>
      <c r="J137">
        <f>IFERROR(INDEX('Green_rooibos initial weight'!$C$5:$C$1749,MATCH(H137, 'Green_rooibos initial weight'!$A$5:$A$1749,0)),"")</f>
        <v>2.109</v>
      </c>
      <c r="K137">
        <f>IFERROR(INDEX('Green_rooibos initial weight'!$C$5:$C$1749,MATCH(I137, 'Green_rooibos initial weight'!$A$5:$A$1749,0)),"")</f>
        <v>2.1589999999999998</v>
      </c>
      <c r="L137" s="195">
        <f t="shared" si="2"/>
        <v>1.8592</v>
      </c>
      <c r="M137" s="195">
        <f>AVERAGE(Ashed_controlls!$K$2:$K$11)</f>
        <v>5.5147656768714146</v>
      </c>
      <c r="N137" s="195">
        <f t="shared" si="0"/>
        <v>1.9091999999999998</v>
      </c>
      <c r="O137" s="16">
        <f>IF('WetLitterbags placem_collection'!G64="N.A","",'WetLitterbags placem_collection'!G64)</f>
        <v>42820</v>
      </c>
      <c r="P137" s="195">
        <f>IF(IFERROR(INDEX('Both teabags AfterWet'!$C$3:$C$841,MATCH(H137,'Both teabags AfterWet'!$A$3:$A$841,0)),"")="N.A","",(IFERROR(INDEX('Both teabags AfterWet'!$C$3:$C$841,MATCH(H137,'Both teabags AfterWet'!$A$3:$A$841,0)),"")))</f>
        <v>0.9224</v>
      </c>
      <c r="Q137" s="195">
        <f>IFERROR(INDEX('Both teabags AfterWet'!$C$3:$C$841,MATCH(I137,'Both teabags AfterWet'!$A$3:$A$841,0)),"")</f>
        <v>1.6374</v>
      </c>
      <c r="R137" s="195">
        <f t="shared" si="3"/>
        <v>0.77180000000000004</v>
      </c>
      <c r="S137" s="195">
        <f t="shared" si="3"/>
        <v>1.4867999999999999</v>
      </c>
      <c r="T137" s="195">
        <f t="shared" si="4"/>
        <v>0.58487521514629948</v>
      </c>
      <c r="U137" s="195">
        <f t="shared" si="5"/>
        <v>0.38343363273249093</v>
      </c>
      <c r="V137" s="195">
        <f t="shared" si="6"/>
        <v>0.77875549968573232</v>
      </c>
      <c r="W137">
        <f t="shared" si="1"/>
        <v>54</v>
      </c>
      <c r="X137" s="195">
        <f t="shared" si="7"/>
        <v>0.30537385374548753</v>
      </c>
      <c r="Y137" s="195">
        <f t="shared" si="8"/>
        <v>1.5933396495466514E-2</v>
      </c>
      <c r="Z137" s="255" t="str">
        <f>IF(ISNUMBER(SEARCH("C",'WetLitterbags placem_collection'!W64)),"YES","NO")</f>
        <v>NO</v>
      </c>
      <c r="AA137" s="255" t="str">
        <f>IF(ISNUMBER(SEARCH("H", 'WetLitterbags placem_collection'!W64)),"YES","NO")</f>
        <v>YES</v>
      </c>
      <c r="AB137" s="255" t="str">
        <f>IF(ISNUMBER(SEARCH("R", 'WetLitterbags placem_collection'!W64)),"YES","NO")</f>
        <v>NO</v>
      </c>
      <c r="AC137" s="255" t="str">
        <f>IF(ISNUMBER(SEARCH("C", 'WetLitterbags placem_collection'!V64)),"YES","NO")</f>
        <v>NO</v>
      </c>
      <c r="AD137" s="255" t="str">
        <f>IF(ISNUMBER(SEARCH("H", 'WetLitterbags placem_collection'!V64)),"YES","NO")</f>
        <v>YES</v>
      </c>
      <c r="AE137" s="255" t="str">
        <f>IF(ISNUMBER(SEARCH("R", 'WetLitterbags placem_collection'!V64)),"YES","NO")</f>
        <v>NO</v>
      </c>
    </row>
    <row r="138" spans="2:31">
      <c r="B138" t="str">
        <f>'Final data_for_R_analysis_Wetse'!A64</f>
        <v>Wet</v>
      </c>
      <c r="C138" s="263">
        <f>'Final data_for_R_analysis_Wetse'!B64</f>
        <v>63</v>
      </c>
      <c r="D138" t="s">
        <v>3835</v>
      </c>
      <c r="E138" t="s">
        <v>22</v>
      </c>
      <c r="F138" s="387">
        <v>7</v>
      </c>
      <c r="G138" s="16">
        <f>'WetLitterbags placem_collection'!E65</f>
        <v>42766</v>
      </c>
      <c r="H138" t="str">
        <f>'Final data_for_R_analysis_Wetse'!J64</f>
        <v>G387</v>
      </c>
      <c r="I138" t="str">
        <f>'Final data_for_R_analysis_Wetse'!J284</f>
        <v>R185</v>
      </c>
      <c r="J138">
        <f>IFERROR(INDEX('Green_rooibos initial weight'!$C$5:$C$1749,MATCH(H138, 'Green_rooibos initial weight'!$A$5:$A$1749,0)),"")</f>
        <v>2.0139999999999998</v>
      </c>
      <c r="K138">
        <f>IFERROR(INDEX('Green_rooibos initial weight'!$C$5:$C$1749,MATCH(I138, 'Green_rooibos initial weight'!$A$5:$A$1749,0)),"")</f>
        <v>2.2909999999999999</v>
      </c>
      <c r="L138" s="195">
        <f t="shared" si="2"/>
        <v>1.7641999999999998</v>
      </c>
      <c r="M138" s="195">
        <f>AVERAGE(Ashed_controlls!$K$2:$K$11)</f>
        <v>5.5147656768714146</v>
      </c>
      <c r="N138" s="195">
        <f t="shared" si="0"/>
        <v>2.0411999999999999</v>
      </c>
      <c r="O138" s="16">
        <f>IF('WetLitterbags placem_collection'!G65="N.A","",'WetLitterbags placem_collection'!G65)</f>
        <v>42820</v>
      </c>
      <c r="P138" s="195">
        <f>IF(IFERROR(INDEX('Both teabags AfterWet'!$C$3:$C$841,MATCH(H138,'Both teabags AfterWet'!$A$3:$A$841,0)),"")="N.A","",(IFERROR(INDEX('Both teabags AfterWet'!$C$3:$C$841,MATCH(H138,'Both teabags AfterWet'!$A$3:$A$841,0)),"")))</f>
        <v>1.083</v>
      </c>
      <c r="Q138" s="195">
        <f>IFERROR(INDEX('Both teabags AfterWet'!$C$3:$C$841,MATCH(I138,'Both teabags AfterWet'!$A$3:$A$841,0)),"")</f>
        <v>1.6850000000000001</v>
      </c>
      <c r="R138" s="195">
        <f t="shared" si="3"/>
        <v>0.9323999999999999</v>
      </c>
      <c r="S138" s="195">
        <f t="shared" si="3"/>
        <v>1.5344</v>
      </c>
      <c r="T138" s="195">
        <f t="shared" si="4"/>
        <v>0.47148849336809884</v>
      </c>
      <c r="U138" s="195">
        <f t="shared" si="5"/>
        <v>0.30909934482089146</v>
      </c>
      <c r="V138" s="195">
        <f t="shared" si="6"/>
        <v>0.75171467764060362</v>
      </c>
      <c r="W138">
        <f t="shared" si="1"/>
        <v>54</v>
      </c>
      <c r="X138" s="195">
        <f t="shared" si="7"/>
        <v>0.44003741880273295</v>
      </c>
      <c r="Y138" s="195">
        <f t="shared" si="8"/>
        <v>3.0108191380188106E-2</v>
      </c>
      <c r="Z138" s="255" t="str">
        <f>IF(ISNUMBER(SEARCH("C",'WetLitterbags placem_collection'!W65)),"YES","NO")</f>
        <v>NO</v>
      </c>
      <c r="AA138" s="255" t="str">
        <f>IF(ISNUMBER(SEARCH("H", 'WetLitterbags placem_collection'!W65)),"YES","NO")</f>
        <v>NO</v>
      </c>
      <c r="AB138" s="255" t="str">
        <f>IF(ISNUMBER(SEARCH("R", 'WetLitterbags placem_collection'!W65)),"YES","NO")</f>
        <v>YES</v>
      </c>
      <c r="AC138" s="255" t="str">
        <f>IF(ISNUMBER(SEARCH("C", 'WetLitterbags placem_collection'!V65)),"YES","NO")</f>
        <v>NO</v>
      </c>
      <c r="AD138" s="255" t="str">
        <f>IF(ISNUMBER(SEARCH("H", 'WetLitterbags placem_collection'!V65)),"YES","NO")</f>
        <v>NO</v>
      </c>
      <c r="AE138" s="255" t="str">
        <f>IF(ISNUMBER(SEARCH("R", 'WetLitterbags placem_collection'!V65)),"YES","NO")</f>
        <v>YES</v>
      </c>
    </row>
    <row r="139" spans="2:31">
      <c r="B139" t="str">
        <f>'Final data_for_R_analysis_Wetse'!A65</f>
        <v>Wet</v>
      </c>
      <c r="C139" s="263">
        <f>'Final data_for_R_analysis_Wetse'!B65</f>
        <v>64</v>
      </c>
      <c r="D139" t="s">
        <v>3835</v>
      </c>
      <c r="E139" t="s">
        <v>22</v>
      </c>
      <c r="F139" s="387">
        <v>8</v>
      </c>
      <c r="G139" s="16">
        <f>'WetLitterbags placem_collection'!E66</f>
        <v>42766</v>
      </c>
      <c r="H139" t="str">
        <f>'Final data_for_R_analysis_Wetse'!J65</f>
        <v>G554</v>
      </c>
      <c r="I139" t="str">
        <f>'Final data_for_R_analysis_Wetse'!J285</f>
        <v>R159</v>
      </c>
      <c r="J139">
        <f>IFERROR(INDEX('Green_rooibos initial weight'!$C$5:$C$1749,MATCH(H139, 'Green_rooibos initial weight'!$A$5:$A$1749,0)),"")</f>
        <v>2.0840000000000001</v>
      </c>
      <c r="K139">
        <f>IFERROR(INDEX('Green_rooibos initial weight'!$C$5:$C$1749,MATCH(I139, 'Green_rooibos initial weight'!$A$5:$A$1749,0)),"")</f>
        <v>2.2930000000000001</v>
      </c>
      <c r="L139" s="195">
        <f t="shared" si="2"/>
        <v>1.8342000000000001</v>
      </c>
      <c r="M139" s="195">
        <f>AVERAGE(Ashed_controlls!$K$2:$K$11)</f>
        <v>5.5147656768714146</v>
      </c>
      <c r="N139" s="195">
        <f t="shared" si="0"/>
        <v>2.0432000000000001</v>
      </c>
      <c r="O139" s="16">
        <f>IF('WetLitterbags placem_collection'!G66="N.A","",'WetLitterbags placem_collection'!G66)</f>
        <v>42820</v>
      </c>
      <c r="P139" s="195">
        <f>IF(IFERROR(INDEX('Both teabags AfterWet'!$C$3:$C$841,MATCH(H139,'Both teabags AfterWet'!$A$3:$A$841,0)),"")="N.A","",(IFERROR(INDEX('Both teabags AfterWet'!$C$3:$C$841,MATCH(H139,'Both teabags AfterWet'!$A$3:$A$841,0)),"")))</f>
        <v>1.29</v>
      </c>
      <c r="Q139" s="195">
        <f>IFERROR(INDEX('Both teabags AfterWet'!$C$3:$C$841,MATCH(I139,'Both teabags AfterWet'!$A$3:$A$841,0)),"")</f>
        <v>1.3160000000000001</v>
      </c>
      <c r="R139" s="195">
        <f t="shared" si="3"/>
        <v>1.1394</v>
      </c>
      <c r="S139" s="195">
        <f t="shared" si="3"/>
        <v>1.1654</v>
      </c>
      <c r="T139" s="195">
        <f t="shared" si="4"/>
        <v>0.37880274779195289</v>
      </c>
      <c r="U139" s="195">
        <f t="shared" si="5"/>
        <v>0.24833624320802619</v>
      </c>
      <c r="V139" s="195">
        <f t="shared" si="6"/>
        <v>0.57037979639780734</v>
      </c>
      <c r="W139">
        <f t="shared" si="1"/>
        <v>54</v>
      </c>
      <c r="X139" s="195">
        <f t="shared" si="7"/>
        <v>0.5501155014347352</v>
      </c>
      <c r="Y139" s="195" t="str">
        <f t="shared" si="8"/>
        <v/>
      </c>
      <c r="Z139" s="255" t="str">
        <f>IF(ISNUMBER(SEARCH("C",'WetLitterbags placem_collection'!W66)),"YES","NO")</f>
        <v>YES</v>
      </c>
      <c r="AA139" s="255" t="str">
        <f>IF(ISNUMBER(SEARCH("H", 'WetLitterbags placem_collection'!W66)),"YES","NO")</f>
        <v>YES</v>
      </c>
      <c r="AB139" s="255" t="str">
        <f>IF(ISNUMBER(SEARCH("R", 'WetLitterbags placem_collection'!W66)),"YES","NO")</f>
        <v>NO</v>
      </c>
      <c r="AC139" s="255" t="str">
        <f>IF(ISNUMBER(SEARCH("C", 'WetLitterbags placem_collection'!V66)),"YES","NO")</f>
        <v>NO</v>
      </c>
      <c r="AD139" s="255" t="str">
        <f>IF(ISNUMBER(SEARCH("H", 'WetLitterbags placem_collection'!V66)),"YES","NO")</f>
        <v>YES</v>
      </c>
      <c r="AE139" s="255" t="str">
        <f>IF(ISNUMBER(SEARCH("R", 'WetLitterbags placem_collection'!V66)),"YES","NO")</f>
        <v>YES</v>
      </c>
    </row>
    <row r="140" spans="2:31">
      <c r="B140" t="str">
        <f>'Final data_for_R_analysis_Wetse'!A66</f>
        <v>Wet</v>
      </c>
      <c r="C140" s="263">
        <f>'Final data_for_R_analysis_Wetse'!B66</f>
        <v>65</v>
      </c>
      <c r="D140" t="s">
        <v>3836</v>
      </c>
      <c r="E140" t="s">
        <v>22</v>
      </c>
      <c r="F140" s="386">
        <v>1</v>
      </c>
      <c r="G140" s="16">
        <f>'WetLitterbags placem_collection'!E67</f>
        <v>42767</v>
      </c>
      <c r="H140" t="str">
        <f>'Final data_for_R_analysis_Wetse'!J66</f>
        <v>G614</v>
      </c>
      <c r="I140" t="str">
        <f>'Final data_for_R_analysis_Wetse'!J286</f>
        <v>R525</v>
      </c>
      <c r="J140">
        <f>IFERROR(INDEX('Green_rooibos initial weight'!$C$5:$C$1749,MATCH(H140, 'Green_rooibos initial weight'!$A$5:$A$1749,0)),"")</f>
        <v>2.1709999999999998</v>
      </c>
      <c r="K140">
        <f>IFERROR(INDEX('Green_rooibos initial weight'!$C$5:$C$1749,MATCH(I140, 'Green_rooibos initial weight'!$A$5:$A$1749,0)),"")</f>
        <v>2.1469999999999998</v>
      </c>
      <c r="L140" s="195">
        <f t="shared" si="2"/>
        <v>1.9211999999999998</v>
      </c>
      <c r="M140" s="195">
        <f>AVERAGE(Ashed_controlls!$K$2:$K$11)</f>
        <v>5.5147656768714146</v>
      </c>
      <c r="N140" s="195">
        <f t="shared" ref="N140:N203" si="9">IF(K140&gt;0,(K140*$F$32-($F$29+$F$30)),"")</f>
        <v>1.8971999999999998</v>
      </c>
      <c r="O140" s="16">
        <f>IF('WetLitterbags placem_collection'!G67="N.A","",'WetLitterbags placem_collection'!G67)</f>
        <v>42818</v>
      </c>
      <c r="P140" s="195">
        <f>IF(IFERROR(INDEX('Both teabags AfterWet'!$C$3:$C$841,MATCH(H140,'Both teabags AfterWet'!$A$3:$A$841,0)),"")="N.A","",(IFERROR(INDEX('Both teabags AfterWet'!$C$3:$C$841,MATCH(H140,'Both teabags AfterWet'!$A$3:$A$841,0)),"")))</f>
        <v>0.96099999999999997</v>
      </c>
      <c r="Q140" s="195">
        <f>IFERROR(INDEX('Both teabags AfterWet'!$C$3:$C$841,MATCH(I140,'Both teabags AfterWet'!$A$3:$A$841,0)),"")</f>
        <v>1.704</v>
      </c>
      <c r="R140" s="195">
        <f t="shared" si="3"/>
        <v>0.81040000000000001</v>
      </c>
      <c r="S140" s="195">
        <f t="shared" si="3"/>
        <v>1.5533999999999999</v>
      </c>
      <c r="T140" s="195">
        <f t="shared" si="4"/>
        <v>0.57818030397668119</v>
      </c>
      <c r="U140" s="195">
        <f t="shared" si="5"/>
        <v>0.37904456982794305</v>
      </c>
      <c r="V140" s="195">
        <f t="shared" si="6"/>
        <v>0.81878557874762814</v>
      </c>
      <c r="W140">
        <f t="shared" ref="W140:W203" si="10">IF((O140-G140)&gt;0,(IFERROR(O140-G140,"")),"")</f>
        <v>51</v>
      </c>
      <c r="X140" s="195">
        <f t="shared" si="7"/>
        <v>0.31332505465952354</v>
      </c>
      <c r="Y140" s="195">
        <f t="shared" si="8"/>
        <v>1.2749901364562137E-2</v>
      </c>
      <c r="Z140" s="255" t="str">
        <f>IF(ISNUMBER(SEARCH("C",'WetLitterbags placem_collection'!W67)),"YES","NO")</f>
        <v>NO</v>
      </c>
      <c r="AA140" s="255" t="str">
        <f>IF(ISNUMBER(SEARCH("H", 'WetLitterbags placem_collection'!W67)),"YES","NO")</f>
        <v>NO</v>
      </c>
      <c r="AB140" s="255" t="str">
        <f>IF(ISNUMBER(SEARCH("R", 'WetLitterbags placem_collection'!W67)),"YES","NO")</f>
        <v>NO</v>
      </c>
      <c r="AC140" s="255" t="str">
        <f>IF(ISNUMBER(SEARCH("C", 'WetLitterbags placem_collection'!V67)),"YES","NO")</f>
        <v>NO</v>
      </c>
      <c r="AD140" s="255" t="str">
        <f>IF(ISNUMBER(SEARCH("H", 'WetLitterbags placem_collection'!V67)),"YES","NO")</f>
        <v>NO</v>
      </c>
      <c r="AE140" s="255" t="str">
        <f>IF(ISNUMBER(SEARCH("R", 'WetLitterbags placem_collection'!V67)),"YES","NO")</f>
        <v>YES</v>
      </c>
    </row>
    <row r="141" spans="2:31">
      <c r="B141" t="str">
        <f>'Final data_for_R_analysis_Wetse'!A67</f>
        <v>Wet</v>
      </c>
      <c r="C141" s="263">
        <f>'Final data_for_R_analysis_Wetse'!B67</f>
        <v>66</v>
      </c>
      <c r="D141" t="s">
        <v>3836</v>
      </c>
      <c r="E141" t="s">
        <v>22</v>
      </c>
      <c r="F141" s="386">
        <v>2</v>
      </c>
      <c r="G141" s="16">
        <f>'WetLitterbags placem_collection'!E68</f>
        <v>42767</v>
      </c>
      <c r="H141" t="str">
        <f>'Final data_for_R_analysis_Wetse'!J67</f>
        <v>G282</v>
      </c>
      <c r="I141" t="str">
        <f>'Final data_for_R_analysis_Wetse'!J287</f>
        <v>R150</v>
      </c>
      <c r="J141">
        <f>IFERROR(INDEX('Green_rooibos initial weight'!$C$5:$C$1749,MATCH(H141, 'Green_rooibos initial weight'!$A$5:$A$1749,0)),"")</f>
        <v>1.9730000000000001</v>
      </c>
      <c r="K141">
        <f>IFERROR(INDEX('Green_rooibos initial weight'!$C$5:$C$1749,MATCH(I141, 'Green_rooibos initial weight'!$A$5:$A$1749,0)),"")</f>
        <v>2.1469999999999998</v>
      </c>
      <c r="L141" s="195">
        <f t="shared" ref="L141:L204" si="11">IF(J141&gt;0,(J141*$F$31-($F$29+$F$30)),"")</f>
        <v>1.7232000000000001</v>
      </c>
      <c r="M141" s="195">
        <f>AVERAGE(Ashed_controlls!$K$2:$K$11)</f>
        <v>5.5147656768714146</v>
      </c>
      <c r="N141" s="195">
        <f t="shared" si="9"/>
        <v>1.8971999999999998</v>
      </c>
      <c r="O141" s="16">
        <f>IF('WetLitterbags placem_collection'!G68="N.A","",'WetLitterbags placem_collection'!G68)</f>
        <v>42818</v>
      </c>
      <c r="P141" s="195">
        <f>IF(IFERROR(INDEX('Both teabags AfterWet'!$C$3:$C$841,MATCH(H141,'Both teabags AfterWet'!$A$3:$A$841,0)),"")="N.A","",(IFERROR(INDEX('Both teabags AfterWet'!$C$3:$C$841,MATCH(H141,'Both teabags AfterWet'!$A$3:$A$841,0)),"")))</f>
        <v>1.1456</v>
      </c>
      <c r="Q141" s="195">
        <f>IFERROR(INDEX('Both teabags AfterWet'!$C$3:$C$841,MATCH(I141,'Both teabags AfterWet'!$A$3:$A$841,0)),"")</f>
        <v>0.21360000000000001</v>
      </c>
      <c r="R141" s="195">
        <f t="shared" ref="R141:S204" si="12">IFERROR(IF(P141&gt;0,P141-($F$29),""),"")</f>
        <v>0.99499999999999988</v>
      </c>
      <c r="S141" s="195">
        <f t="shared" si="12"/>
        <v>6.3E-2</v>
      </c>
      <c r="T141" s="195">
        <f t="shared" ref="T141:T204" si="13">IFERROR(1-R141/L141,"")</f>
        <v>0.42258588672237707</v>
      </c>
      <c r="U141" s="195">
        <f t="shared" ref="U141:U204" si="14">IFERROR($F$26*(1-X141),"")</f>
        <v>0.27703967870635648</v>
      </c>
      <c r="V141" s="195">
        <f t="shared" ref="V141:V204" si="15">IFERROR(S141/N141,"")</f>
        <v>3.3206831119544596E-2</v>
      </c>
      <c r="W141">
        <f t="shared" si="10"/>
        <v>51</v>
      </c>
      <c r="X141" s="195">
        <f t="shared" ref="X141:X204" si="16">IFERROR(1-(T141/$F$25),"")</f>
        <v>0.49811652408268758</v>
      </c>
      <c r="Y141" s="195" t="str">
        <f t="shared" ref="Y141:Y204" si="17">IFERROR(LN(U141/(V141-(1-U141)))/W141,"")</f>
        <v/>
      </c>
      <c r="Z141" s="255" t="str">
        <f>IF(ISNUMBER(SEARCH("C",'WetLitterbags placem_collection'!W68)),"YES","NO")</f>
        <v>NO</v>
      </c>
      <c r="AA141" s="255" t="str">
        <f>IF(ISNUMBER(SEARCH("H", 'WetLitterbags placem_collection'!W68)),"YES","NO")</f>
        <v>YES</v>
      </c>
      <c r="AB141" s="255" t="str">
        <f>IF(ISNUMBER(SEARCH("R", 'WetLitterbags placem_collection'!W68)),"YES","NO")</f>
        <v>NO</v>
      </c>
      <c r="AC141" s="255" t="str">
        <f>IF(ISNUMBER(SEARCH("C", 'WetLitterbags placem_collection'!V68)),"YES","NO")</f>
        <v>NO</v>
      </c>
      <c r="AD141" s="255" t="str">
        <f>IF(ISNUMBER(SEARCH("H", 'WetLitterbags placem_collection'!V68)),"YES","NO")</f>
        <v>NO</v>
      </c>
      <c r="AE141" s="255" t="str">
        <f>IF(ISNUMBER(SEARCH("R", 'WetLitterbags placem_collection'!V68)),"YES","NO")</f>
        <v>YES</v>
      </c>
    </row>
    <row r="142" spans="2:31">
      <c r="B142" t="str">
        <f>'Final data_for_R_analysis_Wetse'!A68</f>
        <v>Wet</v>
      </c>
      <c r="C142" s="263">
        <f>'Final data_for_R_analysis_Wetse'!B68</f>
        <v>67</v>
      </c>
      <c r="D142" t="s">
        <v>3836</v>
      </c>
      <c r="E142" t="s">
        <v>22</v>
      </c>
      <c r="F142" s="386">
        <v>3</v>
      </c>
      <c r="G142" s="16">
        <f>'WetLitterbags placem_collection'!E69</f>
        <v>42767</v>
      </c>
      <c r="H142" t="str">
        <f>'Final data_for_R_analysis_Wetse'!J68</f>
        <v>G450</v>
      </c>
      <c r="I142" t="str">
        <f>'Final data_for_R_analysis_Wetse'!J288</f>
        <v>R165</v>
      </c>
      <c r="J142">
        <f>IFERROR(INDEX('Green_rooibos initial weight'!$C$5:$C$1749,MATCH(H142, 'Green_rooibos initial weight'!$A$5:$A$1749,0)),"")</f>
        <v>2.1629999999999998</v>
      </c>
      <c r="K142">
        <f>IFERROR(INDEX('Green_rooibos initial weight'!$C$5:$C$1749,MATCH(I142, 'Green_rooibos initial weight'!$A$5:$A$1749,0)),"")</f>
        <v>2.169</v>
      </c>
      <c r="L142" s="195">
        <f t="shared" si="11"/>
        <v>1.9131999999999998</v>
      </c>
      <c r="M142" s="195">
        <f>AVERAGE(Ashed_controlls!$K$2:$K$11)</f>
        <v>5.5147656768714146</v>
      </c>
      <c r="N142" s="195">
        <f t="shared" si="9"/>
        <v>1.9192</v>
      </c>
      <c r="O142" s="16">
        <f>IF('WetLitterbags placem_collection'!G69="N.A","",'WetLitterbags placem_collection'!G69)</f>
        <v>42818</v>
      </c>
      <c r="P142" s="195">
        <f>IF(IFERROR(INDEX('Both teabags AfterWet'!$C$3:$C$841,MATCH(H142,'Both teabags AfterWet'!$A$3:$A$841,0)),"")="N.A","",(IFERROR(INDEX('Both teabags AfterWet'!$C$3:$C$841,MATCH(H142,'Both teabags AfterWet'!$A$3:$A$841,0)),"")))</f>
        <v>0.89059999999999995</v>
      </c>
      <c r="Q142" s="195">
        <f>IFERROR(INDEX('Both teabags AfterWet'!$C$3:$C$841,MATCH(I142,'Both teabags AfterWet'!$A$3:$A$841,0)),"")</f>
        <v>1.4942</v>
      </c>
      <c r="R142" s="195">
        <f t="shared" si="12"/>
        <v>0.74</v>
      </c>
      <c r="S142" s="195">
        <f t="shared" si="12"/>
        <v>1.3435999999999999</v>
      </c>
      <c r="T142" s="195">
        <f t="shared" si="13"/>
        <v>0.61321346435291657</v>
      </c>
      <c r="U142" s="195">
        <f t="shared" si="14"/>
        <v>0.40201167734300475</v>
      </c>
      <c r="V142" s="195">
        <f t="shared" si="15"/>
        <v>0.70008336807002913</v>
      </c>
      <c r="W142">
        <f t="shared" si="10"/>
        <v>51</v>
      </c>
      <c r="X142" s="195">
        <f t="shared" si="16"/>
        <v>0.27171797582789003</v>
      </c>
      <c r="Y142" s="195">
        <f t="shared" si="17"/>
        <v>2.6874057629953419E-2</v>
      </c>
      <c r="Z142" s="255" t="str">
        <f>IF(ISNUMBER(SEARCH("C",'WetLitterbags placem_collection'!W69)),"YES","NO")</f>
        <v>NO</v>
      </c>
      <c r="AA142" s="255" t="str">
        <f>IF(ISNUMBER(SEARCH("H", 'WetLitterbags placem_collection'!W69)),"YES","NO")</f>
        <v>NO</v>
      </c>
      <c r="AB142" s="255" t="str">
        <f>IF(ISNUMBER(SEARCH("R", 'WetLitterbags placem_collection'!W69)),"YES","NO")</f>
        <v>NO</v>
      </c>
      <c r="AC142" s="255" t="str">
        <f>IF(ISNUMBER(SEARCH("C", 'WetLitterbags placem_collection'!V69)),"YES","NO")</f>
        <v>NO</v>
      </c>
      <c r="AD142" s="255" t="str">
        <f>IF(ISNUMBER(SEARCH("H", 'WetLitterbags placem_collection'!V69)),"YES","NO")</f>
        <v>YES</v>
      </c>
      <c r="AE142" s="255" t="str">
        <f>IF(ISNUMBER(SEARCH("R", 'WetLitterbags placem_collection'!V69)),"YES","NO")</f>
        <v>YES</v>
      </c>
    </row>
    <row r="143" spans="2:31">
      <c r="B143" t="str">
        <f>'Final data_for_R_analysis_Wetse'!A69</f>
        <v>Wet</v>
      </c>
      <c r="C143" s="263">
        <f>'Final data_for_R_analysis_Wetse'!B69</f>
        <v>68</v>
      </c>
      <c r="D143" t="s">
        <v>3836</v>
      </c>
      <c r="E143" t="s">
        <v>22</v>
      </c>
      <c r="F143" s="387">
        <v>4</v>
      </c>
      <c r="G143" s="16">
        <f>'WetLitterbags placem_collection'!E70</f>
        <v>42767</v>
      </c>
      <c r="H143" t="str">
        <f>'Final data_for_R_analysis_Wetse'!J69</f>
        <v>G269</v>
      </c>
      <c r="I143" t="str">
        <f>'Final data_for_R_analysis_Wetse'!J289</f>
        <v>R129</v>
      </c>
      <c r="J143">
        <f>IFERROR(INDEX('Green_rooibos initial weight'!$C$5:$C$1749,MATCH(H143, 'Green_rooibos initial weight'!$A$5:$A$1749,0)),"")</f>
        <v>2.0419999999999998</v>
      </c>
      <c r="K143">
        <f>IFERROR(INDEX('Green_rooibos initial weight'!$C$5:$C$1749,MATCH(I143, 'Green_rooibos initial weight'!$A$5:$A$1749,0)),"")</f>
        <v>2.2829999999999999</v>
      </c>
      <c r="L143" s="195">
        <f t="shared" si="11"/>
        <v>1.7921999999999998</v>
      </c>
      <c r="M143" s="195">
        <f>AVERAGE(Ashed_controlls!$K$2:$K$11)</f>
        <v>5.5147656768714146</v>
      </c>
      <c r="N143" s="195">
        <f t="shared" si="9"/>
        <v>2.0331999999999999</v>
      </c>
      <c r="O143" s="16">
        <f>IF('WetLitterbags placem_collection'!G70="N.A","",'WetLitterbags placem_collection'!G70)</f>
        <v>42818</v>
      </c>
      <c r="P143" s="195">
        <f>IF(IFERROR(INDEX('Both teabags AfterWet'!$C$3:$C$841,MATCH(H143,'Both teabags AfterWet'!$A$3:$A$841,0)),"")="N.A","",(IFERROR(INDEX('Both teabags AfterWet'!$C$3:$C$841,MATCH(H143,'Both teabags AfterWet'!$A$3:$A$841,0)),"")))</f>
        <v>1.018</v>
      </c>
      <c r="Q143" s="195">
        <f>IFERROR(INDEX('Both teabags AfterWet'!$C$3:$C$841,MATCH(I143,'Both teabags AfterWet'!$A$3:$A$841,0)),"")</f>
        <v>1.885</v>
      </c>
      <c r="R143" s="195">
        <f t="shared" si="12"/>
        <v>0.86739999999999995</v>
      </c>
      <c r="S143" s="195">
        <f t="shared" si="12"/>
        <v>1.7343999999999999</v>
      </c>
      <c r="T143" s="195">
        <f t="shared" si="13"/>
        <v>0.51601383774132348</v>
      </c>
      <c r="U143" s="195">
        <f t="shared" si="14"/>
        <v>0.33828935680903865</v>
      </c>
      <c r="V143" s="195">
        <f t="shared" si="15"/>
        <v>0.85303954357662803</v>
      </c>
      <c r="W143">
        <f t="shared" si="10"/>
        <v>51</v>
      </c>
      <c r="X143" s="195">
        <f t="shared" si="16"/>
        <v>0.38715696230246621</v>
      </c>
      <c r="Y143" s="195">
        <f t="shared" si="17"/>
        <v>1.1174660310154306E-2</v>
      </c>
      <c r="Z143" s="255" t="str">
        <f>IF(ISNUMBER(SEARCH("C",'WetLitterbags placem_collection'!W70)),"YES","NO")</f>
        <v>NO</v>
      </c>
      <c r="AA143" s="255" t="str">
        <f>IF(ISNUMBER(SEARCH("H", 'WetLitterbags placem_collection'!W70)),"YES","NO")</f>
        <v>NO</v>
      </c>
      <c r="AB143" s="255" t="str">
        <f>IF(ISNUMBER(SEARCH("R", 'WetLitterbags placem_collection'!W70)),"YES","NO")</f>
        <v>NO</v>
      </c>
      <c r="AC143" s="255" t="str">
        <f>IF(ISNUMBER(SEARCH("C", 'WetLitterbags placem_collection'!V70)),"YES","NO")</f>
        <v>NO</v>
      </c>
      <c r="AD143" s="255" t="str">
        <f>IF(ISNUMBER(SEARCH("H", 'WetLitterbags placem_collection'!V70)),"YES","NO")</f>
        <v>NO</v>
      </c>
      <c r="AE143" s="255" t="str">
        <f>IF(ISNUMBER(SEARCH("R", 'WetLitterbags placem_collection'!V70)),"YES","NO")</f>
        <v>YES</v>
      </c>
    </row>
    <row r="144" spans="2:31">
      <c r="B144" t="str">
        <f>'Final data_for_R_analysis_Wetse'!A70</f>
        <v>Wet</v>
      </c>
      <c r="C144" s="263">
        <f>'Final data_for_R_analysis_Wetse'!B70</f>
        <v>69</v>
      </c>
      <c r="D144" t="s">
        <v>3836</v>
      </c>
      <c r="E144" t="s">
        <v>22</v>
      </c>
      <c r="F144" s="387">
        <v>5</v>
      </c>
      <c r="G144" s="16">
        <f>'WetLitterbags placem_collection'!E71</f>
        <v>42767</v>
      </c>
      <c r="H144" t="str">
        <f>'Final data_for_R_analysis_Wetse'!J70</f>
        <v>G448</v>
      </c>
      <c r="I144" t="str">
        <f>'Final data_for_R_analysis_Wetse'!J290</f>
        <v>R414</v>
      </c>
      <c r="J144">
        <f>IFERROR(INDEX('Green_rooibos initial weight'!$C$5:$C$1749,MATCH(H144, 'Green_rooibos initial weight'!$A$5:$A$1749,0)),"")</f>
        <v>2.0179999999999998</v>
      </c>
      <c r="K144">
        <f>IFERROR(INDEX('Green_rooibos initial weight'!$C$5:$C$1749,MATCH(I144, 'Green_rooibos initial weight'!$A$5:$A$1749,0)),"")</f>
        <v>2.1349999999999998</v>
      </c>
      <c r="L144" s="195">
        <f t="shared" si="11"/>
        <v>1.7681999999999998</v>
      </c>
      <c r="M144" s="195">
        <f>AVERAGE(Ashed_controlls!$K$2:$K$11)</f>
        <v>5.5147656768714146</v>
      </c>
      <c r="N144" s="195">
        <f t="shared" si="9"/>
        <v>1.8851999999999998</v>
      </c>
      <c r="O144" s="16">
        <f>IF('WetLitterbags placem_collection'!G71="N.A","",'WetLitterbags placem_collection'!G71)</f>
        <v>42818</v>
      </c>
      <c r="P144" s="195" t="str">
        <f>IF(IFERROR(INDEX('Both teabags AfterWet'!$C$3:$C$841,MATCH(H144,'Both teabags AfterWet'!$A$3:$A$841,0)),"")="N.A","",(IFERROR(INDEX('Both teabags AfterWet'!$C$3:$C$841,MATCH(H144,'Both teabags AfterWet'!$A$3:$A$841,0)),"")))</f>
        <v/>
      </c>
      <c r="Q144" s="195">
        <f>IFERROR(INDEX('Both teabags AfterWet'!$C$3:$C$841,MATCH(I144,'Both teabags AfterWet'!$A$3:$A$841,0)),"")</f>
        <v>2.403</v>
      </c>
      <c r="R144" s="195" t="str">
        <f t="shared" si="12"/>
        <v/>
      </c>
      <c r="S144" s="195">
        <f t="shared" si="12"/>
        <v>2.2524000000000002</v>
      </c>
      <c r="T144" s="195" t="str">
        <f t="shared" si="13"/>
        <v/>
      </c>
      <c r="U144" s="195" t="str">
        <f t="shared" si="14"/>
        <v/>
      </c>
      <c r="V144" s="195">
        <f t="shared" si="15"/>
        <v>1.1947803946530875</v>
      </c>
      <c r="W144">
        <f t="shared" si="10"/>
        <v>51</v>
      </c>
      <c r="X144" s="195" t="str">
        <f t="shared" si="16"/>
        <v/>
      </c>
      <c r="Y144" s="195" t="str">
        <f t="shared" si="17"/>
        <v/>
      </c>
      <c r="Z144" s="255" t="str">
        <f>IF(ISNUMBER(SEARCH("C",'WetLitterbags placem_collection'!W71)),"YES","NO")</f>
        <v>NO</v>
      </c>
      <c r="AA144" s="255" t="str">
        <f>IF(ISNUMBER(SEARCH("H", 'WetLitterbags placem_collection'!W71)),"YES","NO")</f>
        <v>NO</v>
      </c>
      <c r="AB144" s="255" t="str">
        <f>IF(ISNUMBER(SEARCH("R", 'WetLitterbags placem_collection'!W71)),"YES","NO")</f>
        <v>NO</v>
      </c>
      <c r="AC144" s="255" t="str">
        <f>IF(ISNUMBER(SEARCH("C", 'WetLitterbags placem_collection'!V71)),"YES","NO")</f>
        <v>NO</v>
      </c>
      <c r="AD144" s="255" t="str">
        <f>IF(ISNUMBER(SEARCH("H", 'WetLitterbags placem_collection'!V71)),"YES","NO")</f>
        <v>NO</v>
      </c>
      <c r="AE144" s="255" t="str">
        <f>IF(ISNUMBER(SEARCH("R", 'WetLitterbags placem_collection'!V71)),"YES","NO")</f>
        <v>NO</v>
      </c>
    </row>
    <row r="145" spans="2:31">
      <c r="B145" t="str">
        <f>'Final data_for_R_analysis_Wetse'!A71</f>
        <v>Wet</v>
      </c>
      <c r="C145" s="263">
        <f>'Final data_for_R_analysis_Wetse'!B71</f>
        <v>70</v>
      </c>
      <c r="D145" t="s">
        <v>3836</v>
      </c>
      <c r="E145" t="s">
        <v>22</v>
      </c>
      <c r="F145" s="387">
        <v>6</v>
      </c>
      <c r="G145" s="16">
        <f>'WetLitterbags placem_collection'!E72</f>
        <v>42767</v>
      </c>
      <c r="H145" t="str">
        <f>'Final data_for_R_analysis_Wetse'!J71</f>
        <v>G358</v>
      </c>
      <c r="I145" t="str">
        <f>'Final data_for_R_analysis_Wetse'!J291</f>
        <v>R151</v>
      </c>
      <c r="J145">
        <f>IFERROR(INDEX('Green_rooibos initial weight'!$C$5:$C$1749,MATCH(H145, 'Green_rooibos initial weight'!$A$5:$A$1749,0)),"")</f>
        <v>2.016</v>
      </c>
      <c r="K145">
        <f>IFERROR(INDEX('Green_rooibos initial weight'!$C$5:$C$1749,MATCH(I145, 'Green_rooibos initial weight'!$A$5:$A$1749,0)),"")</f>
        <v>2.1920000000000002</v>
      </c>
      <c r="L145" s="195">
        <f t="shared" si="11"/>
        <v>1.7662</v>
      </c>
      <c r="M145" s="195">
        <f>AVERAGE(Ashed_controlls!$K$2:$K$11)</f>
        <v>5.5147656768714146</v>
      </c>
      <c r="N145" s="195">
        <f t="shared" si="9"/>
        <v>1.9422000000000001</v>
      </c>
      <c r="O145" s="16">
        <f>IF('WetLitterbags placem_collection'!G72="N.A","",'WetLitterbags placem_collection'!G72)</f>
        <v>42818</v>
      </c>
      <c r="P145" s="195">
        <f>IF(IFERROR(INDEX('Both teabags AfterWet'!$C$3:$C$841,MATCH(H145,'Both teabags AfterWet'!$A$3:$A$841,0)),"")="N.A","",(IFERROR(INDEX('Both teabags AfterWet'!$C$3:$C$841,MATCH(H145,'Both teabags AfterWet'!$A$3:$A$841,0)),"")))</f>
        <v>0.84299999999999997</v>
      </c>
      <c r="Q145" s="195">
        <f>IFERROR(INDEX('Both teabags AfterWet'!$C$3:$C$841,MATCH(I145,'Both teabags AfterWet'!$A$3:$A$841,0)),"")</f>
        <v>1.536</v>
      </c>
      <c r="R145" s="195">
        <f t="shared" si="12"/>
        <v>0.6923999999999999</v>
      </c>
      <c r="S145" s="195">
        <f t="shared" si="12"/>
        <v>1.3854</v>
      </c>
      <c r="T145" s="195">
        <f t="shared" si="13"/>
        <v>0.60797191711018006</v>
      </c>
      <c r="U145" s="195">
        <f t="shared" si="14"/>
        <v>0.3985754135924221</v>
      </c>
      <c r="V145" s="195">
        <f t="shared" si="15"/>
        <v>0.713314797652147</v>
      </c>
      <c r="W145">
        <f t="shared" si="10"/>
        <v>51</v>
      </c>
      <c r="X145" s="195">
        <f t="shared" si="16"/>
        <v>0.27794309131807593</v>
      </c>
      <c r="Y145" s="195">
        <f t="shared" si="17"/>
        <v>2.4909384121300952E-2</v>
      </c>
      <c r="Z145" s="255" t="str">
        <f>IF(ISNUMBER(SEARCH("C",'WetLitterbags placem_collection'!W72)),"YES","NO")</f>
        <v>YES</v>
      </c>
      <c r="AA145" s="255" t="str">
        <f>IF(ISNUMBER(SEARCH("H", 'WetLitterbags placem_collection'!W72)),"YES","NO")</f>
        <v>YES</v>
      </c>
      <c r="AB145" s="255" t="str">
        <f>IF(ISNUMBER(SEARCH("R", 'WetLitterbags placem_collection'!W72)),"YES","NO")</f>
        <v>YES</v>
      </c>
      <c r="AC145" s="255" t="str">
        <f>IF(ISNUMBER(SEARCH("C", 'WetLitterbags placem_collection'!V72)),"YES","NO")</f>
        <v>YES</v>
      </c>
      <c r="AD145" s="255" t="str">
        <f>IF(ISNUMBER(SEARCH("H", 'WetLitterbags placem_collection'!V72)),"YES","NO")</f>
        <v>YES</v>
      </c>
      <c r="AE145" s="255" t="str">
        <f>IF(ISNUMBER(SEARCH("R", 'WetLitterbags placem_collection'!V72)),"YES","NO")</f>
        <v>YES</v>
      </c>
    </row>
    <row r="146" spans="2:31">
      <c r="B146" t="str">
        <f>'Final data_for_R_analysis_Wetse'!A72</f>
        <v>Wet</v>
      </c>
      <c r="C146" s="263">
        <f>'Final data_for_R_analysis_Wetse'!B72</f>
        <v>71</v>
      </c>
      <c r="D146" t="s">
        <v>3836</v>
      </c>
      <c r="E146" t="s">
        <v>22</v>
      </c>
      <c r="F146" s="387">
        <v>7</v>
      </c>
      <c r="G146" s="16">
        <f>'WetLitterbags placem_collection'!E73</f>
        <v>42767</v>
      </c>
      <c r="H146" t="str">
        <f>'Final data_for_R_analysis_Wetse'!J72</f>
        <v>G511</v>
      </c>
      <c r="I146" t="str">
        <f>'Final data_for_R_analysis_Wetse'!J292</f>
        <v>R95</v>
      </c>
      <c r="J146">
        <f>IFERROR(INDEX('Green_rooibos initial weight'!$C$5:$C$1749,MATCH(H146, 'Green_rooibos initial weight'!$A$5:$A$1749,0)),"")</f>
        <v>1.9930000000000001</v>
      </c>
      <c r="K146">
        <f>IFERROR(INDEX('Green_rooibos initial weight'!$C$5:$C$1749,MATCH(I146, 'Green_rooibos initial weight'!$A$5:$A$1749,0)),"")</f>
        <v>2.2160000000000002</v>
      </c>
      <c r="L146" s="195">
        <f t="shared" si="11"/>
        <v>1.7432000000000001</v>
      </c>
      <c r="M146" s="195">
        <f>AVERAGE(Ashed_controlls!$K$2:$K$11)</f>
        <v>5.5147656768714146</v>
      </c>
      <c r="N146" s="195">
        <f t="shared" si="9"/>
        <v>1.9662000000000002</v>
      </c>
      <c r="O146" s="16">
        <f>IF('WetLitterbags placem_collection'!G73="N.A","",'WetLitterbags placem_collection'!G73)</f>
        <v>42818</v>
      </c>
      <c r="P146" s="195">
        <f>IF(IFERROR(INDEX('Both teabags AfterWet'!$C$3:$C$841,MATCH(H146,'Both teabags AfterWet'!$A$3:$A$841,0)),"")="N.A","",(IFERROR(INDEX('Both teabags AfterWet'!$C$3:$C$841,MATCH(H146,'Both teabags AfterWet'!$A$3:$A$841,0)),"")))</f>
        <v>0.83740000000000003</v>
      </c>
      <c r="Q146" s="195">
        <f>IFERROR(INDEX('Both teabags AfterWet'!$C$3:$C$841,MATCH(I146,'Both teabags AfterWet'!$A$3:$A$841,0)),"")</f>
        <v>1.6388</v>
      </c>
      <c r="R146" s="195">
        <f t="shared" si="12"/>
        <v>0.68680000000000008</v>
      </c>
      <c r="S146" s="195">
        <f t="shared" si="12"/>
        <v>1.4882</v>
      </c>
      <c r="T146" s="195">
        <f t="shared" si="13"/>
        <v>0.60601193207893522</v>
      </c>
      <c r="U146" s="195">
        <f t="shared" si="14"/>
        <v>0.39729048278809059</v>
      </c>
      <c r="V146" s="195">
        <f t="shared" si="15"/>
        <v>0.75689146577153887</v>
      </c>
      <c r="W146">
        <f t="shared" si="10"/>
        <v>51</v>
      </c>
      <c r="X146" s="195">
        <f t="shared" si="16"/>
        <v>0.2802708645143287</v>
      </c>
      <c r="Y146" s="195">
        <f t="shared" si="17"/>
        <v>1.8559496444030359E-2</v>
      </c>
      <c r="Z146" s="255" t="str">
        <f>IF(ISNUMBER(SEARCH("C",'WetLitterbags placem_collection'!W73)),"YES","NO")</f>
        <v>NO</v>
      </c>
      <c r="AA146" s="255" t="str">
        <f>IF(ISNUMBER(SEARCH("H", 'WetLitterbags placem_collection'!W73)),"YES","NO")</f>
        <v>NO</v>
      </c>
      <c r="AB146" s="255" t="str">
        <f>IF(ISNUMBER(SEARCH("R", 'WetLitterbags placem_collection'!W73)),"YES","NO")</f>
        <v>YES</v>
      </c>
      <c r="AC146" s="255" t="str">
        <f>IF(ISNUMBER(SEARCH("C", 'WetLitterbags placem_collection'!V73)),"YES","NO")</f>
        <v>NO</v>
      </c>
      <c r="AD146" s="255" t="str">
        <f>IF(ISNUMBER(SEARCH("H", 'WetLitterbags placem_collection'!V73)),"YES","NO")</f>
        <v>NO</v>
      </c>
      <c r="AE146" s="255" t="str">
        <f>IF(ISNUMBER(SEARCH("R", 'WetLitterbags placem_collection'!V73)),"YES","NO")</f>
        <v>YES</v>
      </c>
    </row>
    <row r="147" spans="2:31">
      <c r="B147" t="str">
        <f>'Final data_for_R_analysis_Wetse'!A73</f>
        <v>Wet</v>
      </c>
      <c r="C147" s="263">
        <f>'Final data_for_R_analysis_Wetse'!B73</f>
        <v>72</v>
      </c>
      <c r="D147" t="s">
        <v>3836</v>
      </c>
      <c r="E147" t="s">
        <v>22</v>
      </c>
      <c r="F147" s="387">
        <v>8</v>
      </c>
      <c r="G147" s="16">
        <f>'WetLitterbags placem_collection'!E74</f>
        <v>42767</v>
      </c>
      <c r="H147" t="str">
        <f>'Final data_for_R_analysis_Wetse'!J73</f>
        <v>G383</v>
      </c>
      <c r="I147" t="str">
        <f>'Final data_for_R_analysis_Wetse'!J293</f>
        <v>R546</v>
      </c>
      <c r="J147">
        <f>IFERROR(INDEX('Green_rooibos initial weight'!$C$5:$C$1749,MATCH(H147, 'Green_rooibos initial weight'!$A$5:$A$1749,0)),"")</f>
        <v>1.956</v>
      </c>
      <c r="K147">
        <f>IFERROR(INDEX('Green_rooibos initial weight'!$C$5:$C$1749,MATCH(I147, 'Green_rooibos initial weight'!$A$5:$A$1749,0)),"")</f>
        <v>2.2250000000000001</v>
      </c>
      <c r="L147" s="195">
        <f t="shared" si="11"/>
        <v>1.7061999999999999</v>
      </c>
      <c r="M147" s="195">
        <f>AVERAGE(Ashed_controlls!$K$2:$K$11)</f>
        <v>5.5147656768714146</v>
      </c>
      <c r="N147" s="195">
        <f t="shared" si="9"/>
        <v>1.9752000000000001</v>
      </c>
      <c r="O147" s="16">
        <f>IF('WetLitterbags placem_collection'!G74="N.A","",'WetLitterbags placem_collection'!G74)</f>
        <v>42818</v>
      </c>
      <c r="P147" s="195">
        <f>IF(IFERROR(INDEX('Both teabags AfterWet'!$C$3:$C$841,MATCH(H147,'Both teabags AfterWet'!$A$3:$A$841,0)),"")="N.A","",(IFERROR(INDEX('Both teabags AfterWet'!$C$3:$C$841,MATCH(H147,'Both teabags AfterWet'!$A$3:$A$841,0)),"")))</f>
        <v>0.82550000000000001</v>
      </c>
      <c r="Q147" s="195" t="str">
        <f>IFERROR(INDEX('Both teabags AfterWet'!$C$3:$C$841,MATCH(I147,'Both teabags AfterWet'!$A$3:$A$841,0)),"")</f>
        <v/>
      </c>
      <c r="R147" s="195">
        <f t="shared" si="12"/>
        <v>0.67490000000000006</v>
      </c>
      <c r="S147" s="195" t="str">
        <f t="shared" si="12"/>
        <v/>
      </c>
      <c r="T147" s="195">
        <f t="shared" si="13"/>
        <v>0.60444262102918755</v>
      </c>
      <c r="U147" s="195">
        <f t="shared" si="14"/>
        <v>0.39626167079348168</v>
      </c>
      <c r="V147" s="195" t="str">
        <f t="shared" si="15"/>
        <v/>
      </c>
      <c r="W147">
        <f t="shared" si="10"/>
        <v>51</v>
      </c>
      <c r="X147" s="195">
        <f t="shared" si="16"/>
        <v>0.2821346543596347</v>
      </c>
      <c r="Y147" s="195" t="str">
        <f t="shared" si="17"/>
        <v/>
      </c>
      <c r="Z147" s="255" t="str">
        <f>IF(ISNUMBER(SEARCH("C",'WetLitterbags placem_collection'!W74)),"YES","NO")</f>
        <v>NO</v>
      </c>
      <c r="AA147" s="255" t="str">
        <f>IF(ISNUMBER(SEARCH("H", 'WetLitterbags placem_collection'!W74)),"YES","NO")</f>
        <v>NO</v>
      </c>
      <c r="AB147" s="255" t="str">
        <f>IF(ISNUMBER(SEARCH("R", 'WetLitterbags placem_collection'!W74)),"YES","NO")</f>
        <v>NO</v>
      </c>
      <c r="AC147" s="255" t="str">
        <f>IF(ISNUMBER(SEARCH("C", 'WetLitterbags placem_collection'!V74)),"YES","NO")</f>
        <v>NO</v>
      </c>
      <c r="AD147" s="255" t="str">
        <f>IF(ISNUMBER(SEARCH("H", 'WetLitterbags placem_collection'!V74)),"YES","NO")</f>
        <v>NO</v>
      </c>
      <c r="AE147" s="255" t="str">
        <f>IF(ISNUMBER(SEARCH("R", 'WetLitterbags placem_collection'!V74)),"YES","NO")</f>
        <v>YES</v>
      </c>
    </row>
    <row r="148" spans="2:31">
      <c r="B148" t="str">
        <f>'Final data_for_R_analysis_Wetse'!A74</f>
        <v>Wet</v>
      </c>
      <c r="C148" s="263">
        <f>'Final data_for_R_analysis_Wetse'!B74</f>
        <v>73</v>
      </c>
      <c r="D148" t="s">
        <v>3838</v>
      </c>
      <c r="E148" t="s">
        <v>22</v>
      </c>
      <c r="F148" s="386">
        <v>1</v>
      </c>
      <c r="G148" s="16">
        <f>'WetLitterbags placem_collection'!E75</f>
        <v>42767</v>
      </c>
      <c r="H148" t="str">
        <f>'Final data_for_R_analysis_Wetse'!J74</f>
        <v>G549</v>
      </c>
      <c r="I148" t="str">
        <f>'Final data_for_R_analysis_Wetse'!J294</f>
        <v>R438</v>
      </c>
      <c r="J148">
        <f>IFERROR(INDEX('Green_rooibos initial weight'!$C$5:$C$1749,MATCH(H148, 'Green_rooibos initial weight'!$A$5:$A$1749,0)),"")</f>
        <v>2.016</v>
      </c>
      <c r="K148">
        <f>IFERROR(INDEX('Green_rooibos initial weight'!$C$5:$C$1749,MATCH(I148, 'Green_rooibos initial weight'!$A$5:$A$1749,0)),"")</f>
        <v>2.1829999999999998</v>
      </c>
      <c r="L148" s="195">
        <f t="shared" si="11"/>
        <v>1.7662</v>
      </c>
      <c r="M148" s="195">
        <f>AVERAGE(Ashed_controlls!$K$2:$K$11)</f>
        <v>5.5147656768714146</v>
      </c>
      <c r="N148" s="195">
        <f t="shared" si="9"/>
        <v>1.9331999999999998</v>
      </c>
      <c r="O148" s="16">
        <f>IF('WetLitterbags placem_collection'!G75="N.A","",'WetLitterbags placem_collection'!G75)</f>
        <v>42818</v>
      </c>
      <c r="P148" s="195">
        <f>IF(IFERROR(INDEX('Both teabags AfterWet'!$C$3:$C$841,MATCH(H148,'Both teabags AfterWet'!$A$3:$A$841,0)),"")="N.A","",(IFERROR(INDEX('Both teabags AfterWet'!$C$3:$C$841,MATCH(H148,'Both teabags AfterWet'!$A$3:$A$841,0)),"")))</f>
        <v>0.74199999999999999</v>
      </c>
      <c r="Q148" s="195">
        <f>IFERROR(INDEX('Both teabags AfterWet'!$C$3:$C$841,MATCH(I148,'Both teabags AfterWet'!$A$3:$A$841,0)),"")</f>
        <v>0.17480000000000001</v>
      </c>
      <c r="R148" s="195">
        <f t="shared" si="12"/>
        <v>0.59139999999999993</v>
      </c>
      <c r="S148" s="195">
        <f t="shared" si="12"/>
        <v>2.4199999999999999E-2</v>
      </c>
      <c r="T148" s="195">
        <f t="shared" si="13"/>
        <v>0.66515683388064772</v>
      </c>
      <c r="U148" s="195">
        <f t="shared" si="14"/>
        <v>0.43606481271035341</v>
      </c>
      <c r="V148" s="195">
        <f t="shared" si="15"/>
        <v>1.2518104696875648E-2</v>
      </c>
      <c r="W148">
        <f t="shared" si="10"/>
        <v>51</v>
      </c>
      <c r="X148" s="195">
        <f t="shared" si="16"/>
        <v>0.21002751320588153</v>
      </c>
      <c r="Y148" s="195" t="str">
        <f t="shared" si="17"/>
        <v/>
      </c>
      <c r="Z148" s="255" t="str">
        <f>IF(ISNUMBER(SEARCH("C",'WetLitterbags placem_collection'!W75)),"YES","NO")</f>
        <v>NO</v>
      </c>
      <c r="AA148" s="255" t="str">
        <f>IF(ISNUMBER(SEARCH("H", 'WetLitterbags placem_collection'!W75)),"YES","NO")</f>
        <v>YES</v>
      </c>
      <c r="AB148" s="255" t="str">
        <f>IF(ISNUMBER(SEARCH("R", 'WetLitterbags placem_collection'!W75)),"YES","NO")</f>
        <v>YES</v>
      </c>
      <c r="AC148" s="255" t="str">
        <f>IF(ISNUMBER(SEARCH("C", 'WetLitterbags placem_collection'!V75)),"YES","NO")</f>
        <v>NO</v>
      </c>
      <c r="AD148" s="255" t="str">
        <f>IF(ISNUMBER(SEARCH("H", 'WetLitterbags placem_collection'!V75)),"YES","NO")</f>
        <v>YES</v>
      </c>
      <c r="AE148" s="255" t="str">
        <f>IF(ISNUMBER(SEARCH("R", 'WetLitterbags placem_collection'!V75)),"YES","NO")</f>
        <v>YES</v>
      </c>
    </row>
    <row r="149" spans="2:31">
      <c r="B149" t="str">
        <f>'Final data_for_R_analysis_Wetse'!A75</f>
        <v>Wet</v>
      </c>
      <c r="C149" s="263">
        <f>'Final data_for_R_analysis_Wetse'!B75</f>
        <v>74</v>
      </c>
      <c r="D149" t="s">
        <v>3838</v>
      </c>
      <c r="E149" t="s">
        <v>22</v>
      </c>
      <c r="F149" s="386">
        <v>2</v>
      </c>
      <c r="G149" s="16">
        <f>'WetLitterbags placem_collection'!E76</f>
        <v>42767</v>
      </c>
      <c r="H149" t="str">
        <f>'Final data_for_R_analysis_Wetse'!J75</f>
        <v>G605</v>
      </c>
      <c r="I149" t="str">
        <f>'Final data_for_R_analysis_Wetse'!J295</f>
        <v>R122</v>
      </c>
      <c r="J149">
        <f>IFERROR(INDEX('Green_rooibos initial weight'!$C$5:$C$1749,MATCH(H149, 'Green_rooibos initial weight'!$A$5:$A$1749,0)),"")</f>
        <v>2.0459999999999998</v>
      </c>
      <c r="K149">
        <f>IFERROR(INDEX('Green_rooibos initial weight'!$C$5:$C$1749,MATCH(I149, 'Green_rooibos initial weight'!$A$5:$A$1749,0)),"")</f>
        <v>2.2189999999999999</v>
      </c>
      <c r="L149" s="195">
        <f t="shared" si="11"/>
        <v>1.7961999999999998</v>
      </c>
      <c r="M149" s="195">
        <f>AVERAGE(Ashed_controlls!$K$2:$K$11)</f>
        <v>5.5147656768714146</v>
      </c>
      <c r="N149" s="195">
        <f t="shared" si="9"/>
        <v>1.9691999999999998</v>
      </c>
      <c r="O149" s="16">
        <f>IF('WetLitterbags placem_collection'!G76="N.A","",'WetLitterbags placem_collection'!G76)</f>
        <v>42818</v>
      </c>
      <c r="P149" s="195">
        <f>IF(IFERROR(INDEX('Both teabags AfterWet'!$C$3:$C$841,MATCH(H149,'Both teabags AfterWet'!$A$3:$A$841,0)),"")="N.A","",(IFERROR(INDEX('Both teabags AfterWet'!$C$3:$C$841,MATCH(H149,'Both teabags AfterWet'!$A$3:$A$841,0)),"")))</f>
        <v>1.1950000000000001</v>
      </c>
      <c r="Q149" s="195">
        <f>IFERROR(INDEX('Both teabags AfterWet'!$C$3:$C$841,MATCH(I149,'Both teabags AfterWet'!$A$3:$A$841,0)),"")</f>
        <v>0.35499999999999998</v>
      </c>
      <c r="R149" s="195">
        <f t="shared" si="12"/>
        <v>1.0444</v>
      </c>
      <c r="S149" s="195">
        <f t="shared" si="12"/>
        <v>0.20439999999999997</v>
      </c>
      <c r="T149" s="195">
        <f t="shared" si="13"/>
        <v>0.41855027279812929</v>
      </c>
      <c r="U149" s="195">
        <f t="shared" si="14"/>
        <v>0.27439400306955747</v>
      </c>
      <c r="V149" s="195">
        <f t="shared" si="15"/>
        <v>0.10379849685151329</v>
      </c>
      <c r="W149">
        <f t="shared" si="10"/>
        <v>51</v>
      </c>
      <c r="X149" s="195">
        <f t="shared" si="16"/>
        <v>0.50290941472906259</v>
      </c>
      <c r="Y149" s="195" t="str">
        <f t="shared" si="17"/>
        <v/>
      </c>
      <c r="Z149" s="255" t="str">
        <f>IF(ISNUMBER(SEARCH("C",'WetLitterbags placem_collection'!W76)),"YES","NO")</f>
        <v>YES</v>
      </c>
      <c r="AA149" s="255" t="str">
        <f>IF(ISNUMBER(SEARCH("H", 'WetLitterbags placem_collection'!W76)),"YES","NO")</f>
        <v>YES</v>
      </c>
      <c r="AB149" s="255" t="str">
        <f>IF(ISNUMBER(SEARCH("R", 'WetLitterbags placem_collection'!W76)),"YES","NO")</f>
        <v>NO</v>
      </c>
      <c r="AC149" s="255" t="str">
        <f>IF(ISNUMBER(SEARCH("C", 'WetLitterbags placem_collection'!V76)),"YES","NO")</f>
        <v>NO</v>
      </c>
      <c r="AD149" s="255" t="str">
        <f>IF(ISNUMBER(SEARCH("H", 'WetLitterbags placem_collection'!V76)),"YES","NO")</f>
        <v>YES</v>
      </c>
      <c r="AE149" s="255" t="str">
        <f>IF(ISNUMBER(SEARCH("R", 'WetLitterbags placem_collection'!V76)),"YES","NO")</f>
        <v>YES</v>
      </c>
    </row>
    <row r="150" spans="2:31">
      <c r="B150" t="str">
        <f>'Final data_for_R_analysis_Wetse'!A76</f>
        <v>Wet</v>
      </c>
      <c r="C150" s="263">
        <f>'Final data_for_R_analysis_Wetse'!B76</f>
        <v>75</v>
      </c>
      <c r="D150" t="s">
        <v>3838</v>
      </c>
      <c r="E150" t="s">
        <v>22</v>
      </c>
      <c r="F150" s="386">
        <v>3</v>
      </c>
      <c r="G150" s="16">
        <f>'WetLitterbags placem_collection'!E77</f>
        <v>42767</v>
      </c>
      <c r="H150" t="str">
        <f>'Final data_for_R_analysis_Wetse'!J76</f>
        <v>G408</v>
      </c>
      <c r="I150" t="str">
        <f>'Final data_for_R_analysis_Wetse'!J296</f>
        <v>R404</v>
      </c>
      <c r="J150">
        <f>IFERROR(INDEX('Green_rooibos initial weight'!$C$5:$C$1749,MATCH(H150, 'Green_rooibos initial weight'!$A$5:$A$1749,0)),"")</f>
        <v>2.044</v>
      </c>
      <c r="K150">
        <f>IFERROR(INDEX('Green_rooibos initial weight'!$C$5:$C$1749,MATCH(I150, 'Green_rooibos initial weight'!$A$5:$A$1749,0)),"")</f>
        <v>2.1779999999999999</v>
      </c>
      <c r="L150" s="195">
        <f t="shared" si="11"/>
        <v>1.7942</v>
      </c>
      <c r="M150" s="195">
        <f>AVERAGE(Ashed_controlls!$K$2:$K$11)</f>
        <v>5.5147656768714146</v>
      </c>
      <c r="N150" s="195">
        <f t="shared" si="9"/>
        <v>1.9281999999999999</v>
      </c>
      <c r="O150" s="16">
        <f>IF('WetLitterbags placem_collection'!G77="N.A","",'WetLitterbags placem_collection'!G77)</f>
        <v>42818</v>
      </c>
      <c r="P150" s="195">
        <f>IF(IFERROR(INDEX('Both teabags AfterWet'!$C$3:$C$841,MATCH(H150,'Both teabags AfterWet'!$A$3:$A$841,0)),"")="N.A","",(IFERROR(INDEX('Both teabags AfterWet'!$C$3:$C$841,MATCH(H150,'Both teabags AfterWet'!$A$3:$A$841,0)),"")))</f>
        <v>0.85780000000000001</v>
      </c>
      <c r="Q150" s="195">
        <f>IFERROR(INDEX('Both teabags AfterWet'!$C$3:$C$841,MATCH(I150,'Both teabags AfterWet'!$A$3:$A$841,0)),"")</f>
        <v>0.15579999999999999</v>
      </c>
      <c r="R150" s="195">
        <f t="shared" si="12"/>
        <v>0.70720000000000005</v>
      </c>
      <c r="S150" s="195">
        <f t="shared" si="12"/>
        <v>5.1999999999999824E-3</v>
      </c>
      <c r="T150" s="195">
        <f t="shared" si="13"/>
        <v>0.605841043361944</v>
      </c>
      <c r="U150" s="195">
        <f t="shared" si="14"/>
        <v>0.39717845123015816</v>
      </c>
      <c r="V150" s="195">
        <f t="shared" si="15"/>
        <v>2.6968156830204245E-3</v>
      </c>
      <c r="W150">
        <f t="shared" si="10"/>
        <v>51</v>
      </c>
      <c r="X150" s="195">
        <f t="shared" si="16"/>
        <v>0.28047382023522083</v>
      </c>
      <c r="Y150" s="195" t="str">
        <f t="shared" si="17"/>
        <v/>
      </c>
      <c r="Z150" s="255" t="str">
        <f>IF(ISNUMBER(SEARCH("C",'WetLitterbags placem_collection'!W77)),"YES","NO")</f>
        <v>NO</v>
      </c>
      <c r="AA150" s="255" t="str">
        <f>IF(ISNUMBER(SEARCH("H", 'WetLitterbags placem_collection'!W77)),"YES","NO")</f>
        <v>YES</v>
      </c>
      <c r="AB150" s="255" t="str">
        <f>IF(ISNUMBER(SEARCH("R", 'WetLitterbags placem_collection'!W77)),"YES","NO")</f>
        <v>YES</v>
      </c>
      <c r="AC150" s="255" t="str">
        <f>IF(ISNUMBER(SEARCH("C", 'WetLitterbags placem_collection'!V77)),"YES","NO")</f>
        <v>NO</v>
      </c>
      <c r="AD150" s="255" t="str">
        <f>IF(ISNUMBER(SEARCH("H", 'WetLitterbags placem_collection'!V77)),"YES","NO")</f>
        <v>YES</v>
      </c>
      <c r="AE150" s="255" t="str">
        <f>IF(ISNUMBER(SEARCH("R", 'WetLitterbags placem_collection'!V77)),"YES","NO")</f>
        <v>YES</v>
      </c>
    </row>
    <row r="151" spans="2:31">
      <c r="B151" t="str">
        <f>'Final data_for_R_analysis_Wetse'!A77</f>
        <v>Wet</v>
      </c>
      <c r="C151" s="263">
        <f>'Final data_for_R_analysis_Wetse'!B77</f>
        <v>76</v>
      </c>
      <c r="D151" t="s">
        <v>3838</v>
      </c>
      <c r="E151" t="s">
        <v>22</v>
      </c>
      <c r="F151" s="387">
        <v>4</v>
      </c>
      <c r="G151" s="16">
        <f>'WetLitterbags placem_collection'!E78</f>
        <v>42767</v>
      </c>
      <c r="H151" t="str">
        <f>'Final data_for_R_analysis_Wetse'!J77</f>
        <v>G416</v>
      </c>
      <c r="I151" t="str">
        <f>'Final data_for_R_analysis_Wetse'!J297</f>
        <v>R501</v>
      </c>
      <c r="J151">
        <f>IFERROR(INDEX('Green_rooibos initial weight'!$C$5:$C$1749,MATCH(H151, 'Green_rooibos initial weight'!$A$5:$A$1749,0)),"")</f>
        <v>2.1819999999999999</v>
      </c>
      <c r="K151">
        <f>IFERROR(INDEX('Green_rooibos initial weight'!$C$5:$C$1749,MATCH(I151, 'Green_rooibos initial weight'!$A$5:$A$1749,0)),"")</f>
        <v>2.1379999999999999</v>
      </c>
      <c r="L151" s="195">
        <f t="shared" si="11"/>
        <v>1.9321999999999999</v>
      </c>
      <c r="M151" s="195">
        <f>AVERAGE(Ashed_controlls!$K$2:$K$11)</f>
        <v>5.5147656768714146</v>
      </c>
      <c r="N151" s="195">
        <f t="shared" si="9"/>
        <v>1.8881999999999999</v>
      </c>
      <c r="O151" s="16">
        <f>IF('WetLitterbags placem_collection'!G78="N.A","",'WetLitterbags placem_collection'!G78)</f>
        <v>42818</v>
      </c>
      <c r="P151" s="195">
        <f>IF(IFERROR(INDEX('Both teabags AfterWet'!$C$3:$C$841,MATCH(H151,'Both teabags AfterWet'!$A$3:$A$841,0)),"")="N.A","",(IFERROR(INDEX('Both teabags AfterWet'!$C$3:$C$841,MATCH(H151,'Both teabags AfterWet'!$A$3:$A$841,0)),"")))</f>
        <v>0.94399999999999995</v>
      </c>
      <c r="Q151" s="195">
        <f>IFERROR(INDEX('Both teabags AfterWet'!$C$3:$C$841,MATCH(I151,'Both teabags AfterWet'!$A$3:$A$841,0)),"")</f>
        <v>0.29499999999999998</v>
      </c>
      <c r="R151" s="195">
        <f t="shared" si="12"/>
        <v>0.79339999999999988</v>
      </c>
      <c r="S151" s="195">
        <f t="shared" si="12"/>
        <v>0.14439999999999997</v>
      </c>
      <c r="T151" s="195">
        <f t="shared" si="13"/>
        <v>0.58937998136838843</v>
      </c>
      <c r="U151" s="195">
        <f t="shared" si="14"/>
        <v>0.38638687614649697</v>
      </c>
      <c r="V151" s="195">
        <f t="shared" si="15"/>
        <v>7.6474949687533086E-2</v>
      </c>
      <c r="W151">
        <f t="shared" si="10"/>
        <v>51</v>
      </c>
      <c r="X151" s="195">
        <f t="shared" si="16"/>
        <v>0.30002377509692579</v>
      </c>
      <c r="Y151" s="195" t="str">
        <f t="shared" si="17"/>
        <v/>
      </c>
      <c r="Z151" s="255" t="str">
        <f>IF(ISNUMBER(SEARCH("C",'WetLitterbags placem_collection'!W78)),"YES","NO")</f>
        <v>NO</v>
      </c>
      <c r="AA151" s="255" t="str">
        <f>IF(ISNUMBER(SEARCH("H", 'WetLitterbags placem_collection'!W78)),"YES","NO")</f>
        <v>YES</v>
      </c>
      <c r="AB151" s="255" t="str">
        <f>IF(ISNUMBER(SEARCH("R", 'WetLitterbags placem_collection'!W78)),"YES","NO")</f>
        <v>NO</v>
      </c>
      <c r="AC151" s="255" t="str">
        <f>IF(ISNUMBER(SEARCH("C", 'WetLitterbags placem_collection'!V78)),"YES","NO")</f>
        <v>NO</v>
      </c>
      <c r="AD151" s="255" t="str">
        <f>IF(ISNUMBER(SEARCH("H", 'WetLitterbags placem_collection'!V78)),"YES","NO")</f>
        <v>YES</v>
      </c>
      <c r="AE151" s="255" t="str">
        <f>IF(ISNUMBER(SEARCH("R", 'WetLitterbags placem_collection'!V78)),"YES","NO")</f>
        <v>NO</v>
      </c>
    </row>
    <row r="152" spans="2:31">
      <c r="B152" t="str">
        <f>'Final data_for_R_analysis_Wetse'!A78</f>
        <v>Wet</v>
      </c>
      <c r="C152" s="263">
        <f>'Final data_for_R_analysis_Wetse'!B78</f>
        <v>77</v>
      </c>
      <c r="D152" t="s">
        <v>3838</v>
      </c>
      <c r="E152" t="s">
        <v>22</v>
      </c>
      <c r="F152" s="387">
        <v>5</v>
      </c>
      <c r="G152" s="16">
        <f>'WetLitterbags placem_collection'!E79</f>
        <v>42767</v>
      </c>
      <c r="H152" t="str">
        <f>'Final data_for_R_analysis_Wetse'!J78</f>
        <v>G594</v>
      </c>
      <c r="I152" t="str">
        <f>'Final data_for_R_analysis_Wetse'!J298</f>
        <v>R137</v>
      </c>
      <c r="J152">
        <f>IFERROR(INDEX('Green_rooibos initial weight'!$C$5:$C$1749,MATCH(H152, 'Green_rooibos initial weight'!$A$5:$A$1749,0)),"")</f>
        <v>2.0680000000000001</v>
      </c>
      <c r="K152">
        <f>IFERROR(INDEX('Green_rooibos initial weight'!$C$5:$C$1749,MATCH(I152, 'Green_rooibos initial weight'!$A$5:$A$1749,0)),"")</f>
        <v>2.198</v>
      </c>
      <c r="L152" s="195">
        <f t="shared" si="11"/>
        <v>1.8182</v>
      </c>
      <c r="M152" s="195">
        <f>AVERAGE(Ashed_controlls!$K$2:$K$11)</f>
        <v>5.5147656768714146</v>
      </c>
      <c r="N152" s="195">
        <f t="shared" si="9"/>
        <v>1.9481999999999999</v>
      </c>
      <c r="O152" s="16">
        <f>IF('WetLitterbags placem_collection'!G79="N.A","",'WetLitterbags placem_collection'!G79)</f>
        <v>42818</v>
      </c>
      <c r="P152" s="195">
        <f>IF(IFERROR(INDEX('Both teabags AfterWet'!$C$3:$C$841,MATCH(H152,'Both teabags AfterWet'!$A$3:$A$841,0)),"")="N.A","",(IFERROR(INDEX('Both teabags AfterWet'!$C$3:$C$841,MATCH(H152,'Both teabags AfterWet'!$A$3:$A$841,0)),"")))</f>
        <v>0.94699999999999995</v>
      </c>
      <c r="Q152" s="195">
        <f>IFERROR(INDEX('Both teabags AfterWet'!$C$3:$C$841,MATCH(I152,'Both teabags AfterWet'!$A$3:$A$841,0)),"")</f>
        <v>1.698</v>
      </c>
      <c r="R152" s="195">
        <f t="shared" si="12"/>
        <v>0.7964</v>
      </c>
      <c r="S152" s="195">
        <f t="shared" si="12"/>
        <v>1.5473999999999999</v>
      </c>
      <c r="T152" s="195">
        <f t="shared" si="13"/>
        <v>0.56198438015619845</v>
      </c>
      <c r="U152" s="195">
        <f t="shared" si="14"/>
        <v>0.36842681454420612</v>
      </c>
      <c r="V152" s="195">
        <f t="shared" si="15"/>
        <v>0.79427163535571299</v>
      </c>
      <c r="W152">
        <f t="shared" si="10"/>
        <v>51</v>
      </c>
      <c r="X152" s="195">
        <f t="shared" si="16"/>
        <v>0.33256011857933676</v>
      </c>
      <c r="Y152" s="195">
        <f t="shared" si="17"/>
        <v>1.6026345125444878E-2</v>
      </c>
      <c r="Z152" s="255" t="str">
        <f>IF(ISNUMBER(SEARCH("C",'WetLitterbags placem_collection'!W79)),"YES","NO")</f>
        <v>NO</v>
      </c>
      <c r="AA152" s="255" t="str">
        <f>IF(ISNUMBER(SEARCH("H", 'WetLitterbags placem_collection'!W79)),"YES","NO")</f>
        <v>NO</v>
      </c>
      <c r="AB152" s="255" t="str">
        <f>IF(ISNUMBER(SEARCH("R", 'WetLitterbags placem_collection'!W79)),"YES","NO")</f>
        <v>YES</v>
      </c>
      <c r="AC152" s="255" t="str">
        <f>IF(ISNUMBER(SEARCH("C", 'WetLitterbags placem_collection'!V79)),"YES","NO")</f>
        <v>NO</v>
      </c>
      <c r="AD152" s="255" t="str">
        <f>IF(ISNUMBER(SEARCH("H", 'WetLitterbags placem_collection'!V79)),"YES","NO")</f>
        <v>NO</v>
      </c>
      <c r="AE152" s="255" t="str">
        <f>IF(ISNUMBER(SEARCH("R", 'WetLitterbags placem_collection'!V79)),"YES","NO")</f>
        <v>YES</v>
      </c>
    </row>
    <row r="153" spans="2:31">
      <c r="B153" t="str">
        <f>'Final data_for_R_analysis_Wetse'!A79</f>
        <v>Wet</v>
      </c>
      <c r="C153" s="263">
        <f>'Final data_for_R_analysis_Wetse'!B79</f>
        <v>78</v>
      </c>
      <c r="D153" t="s">
        <v>3838</v>
      </c>
      <c r="E153" t="s">
        <v>22</v>
      </c>
      <c r="F153" s="387">
        <v>6</v>
      </c>
      <c r="G153" s="16">
        <f>'WetLitterbags placem_collection'!E80</f>
        <v>42767</v>
      </c>
      <c r="H153" t="str">
        <f>'Final data_for_R_analysis_Wetse'!J79</f>
        <v>G460</v>
      </c>
      <c r="I153" t="str">
        <f>'Final data_for_R_analysis_Wetse'!J299</f>
        <v>R278</v>
      </c>
      <c r="J153">
        <f>IFERROR(INDEX('Green_rooibos initial weight'!$C$5:$C$1749,MATCH(H153, 'Green_rooibos initial weight'!$A$5:$A$1749,0)),"")</f>
        <v>2.1560000000000001</v>
      </c>
      <c r="K153">
        <f>IFERROR(INDEX('Green_rooibos initial weight'!$C$5:$C$1749,MATCH(I153, 'Green_rooibos initial weight'!$A$5:$A$1749,0)),"")</f>
        <v>2.198</v>
      </c>
      <c r="L153" s="195">
        <f t="shared" si="11"/>
        <v>1.9062000000000001</v>
      </c>
      <c r="M153" s="195">
        <f>AVERAGE(Ashed_controlls!$K$2:$K$11)</f>
        <v>5.5147656768714146</v>
      </c>
      <c r="N153" s="195">
        <f t="shared" si="9"/>
        <v>1.9481999999999999</v>
      </c>
      <c r="O153" s="16">
        <f>IF('WetLitterbags placem_collection'!G80="N.A","",'WetLitterbags placem_collection'!G80)</f>
        <v>42818</v>
      </c>
      <c r="P153" s="195">
        <f>IF(IFERROR(INDEX('Both teabags AfterWet'!$C$3:$C$841,MATCH(H153,'Both teabags AfterWet'!$A$3:$A$841,0)),"")="N.A","",(IFERROR(INDEX('Both teabags AfterWet'!$C$3:$C$841,MATCH(H153,'Both teabags AfterWet'!$A$3:$A$841,0)),"")))</f>
        <v>0.90669999999999995</v>
      </c>
      <c r="Q153" s="195">
        <f>IFERROR(INDEX('Both teabags AfterWet'!$C$3:$C$841,MATCH(I153,'Both teabags AfterWet'!$A$3:$A$841,0)),"")</f>
        <v>1.6845000000000001</v>
      </c>
      <c r="R153" s="195">
        <f t="shared" si="12"/>
        <v>0.75609999999999999</v>
      </c>
      <c r="S153" s="195">
        <f t="shared" si="12"/>
        <v>1.5339</v>
      </c>
      <c r="T153" s="195">
        <f t="shared" si="13"/>
        <v>0.60334697303535834</v>
      </c>
      <c r="U153" s="195">
        <f t="shared" si="14"/>
        <v>0.39554338374764592</v>
      </c>
      <c r="V153" s="195">
        <f t="shared" si="15"/>
        <v>0.78734216199568841</v>
      </c>
      <c r="W153">
        <f t="shared" si="10"/>
        <v>51</v>
      </c>
      <c r="X153" s="195">
        <f t="shared" si="16"/>
        <v>0.2834358990078879</v>
      </c>
      <c r="Y153" s="195">
        <f t="shared" si="17"/>
        <v>1.5125489226115613E-2</v>
      </c>
      <c r="Z153" s="255" t="str">
        <f>IF(ISNUMBER(SEARCH("C",'WetLitterbags placem_collection'!W80)),"YES","NO")</f>
        <v>NO</v>
      </c>
      <c r="AA153" s="255" t="str">
        <f>IF(ISNUMBER(SEARCH("H", 'WetLitterbags placem_collection'!W80)),"YES","NO")</f>
        <v>NO</v>
      </c>
      <c r="AB153" s="255" t="str">
        <f>IF(ISNUMBER(SEARCH("R", 'WetLitterbags placem_collection'!W80)),"YES","NO")</f>
        <v>YES</v>
      </c>
      <c r="AC153" s="255" t="str">
        <f>IF(ISNUMBER(SEARCH("C", 'WetLitterbags placem_collection'!V80)),"YES","NO")</f>
        <v>NO</v>
      </c>
      <c r="AD153" s="255" t="str">
        <f>IF(ISNUMBER(SEARCH("H", 'WetLitterbags placem_collection'!V80)),"YES","NO")</f>
        <v>NO</v>
      </c>
      <c r="AE153" s="255" t="str">
        <f>IF(ISNUMBER(SEARCH("R", 'WetLitterbags placem_collection'!V80)),"YES","NO")</f>
        <v>YES</v>
      </c>
    </row>
    <row r="154" spans="2:31">
      <c r="B154" t="str">
        <f>'Final data_for_R_analysis_Wetse'!A80</f>
        <v>Wet</v>
      </c>
      <c r="C154" s="263">
        <f>'Final data_for_R_analysis_Wetse'!B80</f>
        <v>79</v>
      </c>
      <c r="D154" t="s">
        <v>3838</v>
      </c>
      <c r="E154" t="s">
        <v>22</v>
      </c>
      <c r="F154" s="387">
        <v>7</v>
      </c>
      <c r="G154" s="16">
        <f>'WetLitterbags placem_collection'!E81</f>
        <v>42767</v>
      </c>
      <c r="H154" t="str">
        <f>'Final data_for_R_analysis_Wetse'!J80</f>
        <v>G217</v>
      </c>
      <c r="I154" t="str">
        <f>'Final data_for_R_analysis_Wetse'!J300</f>
        <v>R235</v>
      </c>
      <c r="J154">
        <f>IFERROR(INDEX('Green_rooibos initial weight'!$C$5:$C$1749,MATCH(H154, 'Green_rooibos initial weight'!$A$5:$A$1749,0)),"")</f>
        <v>1.944</v>
      </c>
      <c r="K154">
        <f>IFERROR(INDEX('Green_rooibos initial weight'!$C$5:$C$1749,MATCH(I154, 'Green_rooibos initial weight'!$A$5:$A$1749,0)),"")</f>
        <v>2.169</v>
      </c>
      <c r="L154" s="195">
        <f t="shared" si="11"/>
        <v>1.6941999999999999</v>
      </c>
      <c r="M154" s="195">
        <f>AVERAGE(Ashed_controlls!$K$2:$K$11)</f>
        <v>5.5147656768714146</v>
      </c>
      <c r="N154" s="195">
        <f t="shared" si="9"/>
        <v>1.9192</v>
      </c>
      <c r="O154" s="16">
        <f>IF('WetLitterbags placem_collection'!G81="N.A","",'WetLitterbags placem_collection'!G81)</f>
        <v>42818</v>
      </c>
      <c r="P154" s="195">
        <f>IF(IFERROR(INDEX('Both teabags AfterWet'!$C$3:$C$841,MATCH(H154,'Both teabags AfterWet'!$A$3:$A$841,0)),"")="N.A","",(IFERROR(INDEX('Both teabags AfterWet'!$C$3:$C$841,MATCH(H154,'Both teabags AfterWet'!$A$3:$A$841,0)),"")))</f>
        <v>0.85370000000000001</v>
      </c>
      <c r="Q154" s="195">
        <f>IFERROR(INDEX('Both teabags AfterWet'!$C$3:$C$841,MATCH(I154,'Both teabags AfterWet'!$A$3:$A$841,0)),"")</f>
        <v>1.5528</v>
      </c>
      <c r="R154" s="195">
        <f t="shared" si="12"/>
        <v>0.70310000000000006</v>
      </c>
      <c r="S154" s="195">
        <f t="shared" si="12"/>
        <v>1.4021999999999999</v>
      </c>
      <c r="T154" s="195">
        <f t="shared" si="13"/>
        <v>0.58499586825640415</v>
      </c>
      <c r="U154" s="195">
        <f t="shared" si="14"/>
        <v>0.38351273073341463</v>
      </c>
      <c r="V154" s="195">
        <f t="shared" si="15"/>
        <v>0.73061692371821585</v>
      </c>
      <c r="W154">
        <f t="shared" si="10"/>
        <v>51</v>
      </c>
      <c r="X154" s="195">
        <f t="shared" si="16"/>
        <v>0.30523056026555329</v>
      </c>
      <c r="Y154" s="195">
        <f t="shared" si="17"/>
        <v>2.3765444991071194E-2</v>
      </c>
      <c r="Z154" s="255" t="str">
        <f>IF(ISNUMBER(SEARCH("C",'WetLitterbags placem_collection'!W81)),"YES","NO")</f>
        <v>NO</v>
      </c>
      <c r="AA154" s="255" t="str">
        <f>IF(ISNUMBER(SEARCH("H", 'WetLitterbags placem_collection'!W81)),"YES","NO")</f>
        <v>NO</v>
      </c>
      <c r="AB154" s="255" t="str">
        <f>IF(ISNUMBER(SEARCH("R", 'WetLitterbags placem_collection'!W81)),"YES","NO")</f>
        <v>YES</v>
      </c>
      <c r="AC154" s="255" t="str">
        <f>IF(ISNUMBER(SEARCH("C", 'WetLitterbags placem_collection'!V81)),"YES","NO")</f>
        <v>NO</v>
      </c>
      <c r="AD154" s="255" t="str">
        <f>IF(ISNUMBER(SEARCH("H", 'WetLitterbags placem_collection'!V81)),"YES","NO")</f>
        <v>NO</v>
      </c>
      <c r="AE154" s="255" t="str">
        <f>IF(ISNUMBER(SEARCH("R", 'WetLitterbags placem_collection'!V81)),"YES","NO")</f>
        <v>YES</v>
      </c>
    </row>
    <row r="155" spans="2:31">
      <c r="B155" t="str">
        <f>'Final data_for_R_analysis_Wetse'!A81</f>
        <v>Wet</v>
      </c>
      <c r="C155" s="263">
        <f>'Final data_for_R_analysis_Wetse'!B81</f>
        <v>80</v>
      </c>
      <c r="D155" t="s">
        <v>3838</v>
      </c>
      <c r="E155" t="s">
        <v>22</v>
      </c>
      <c r="F155" s="387">
        <v>8</v>
      </c>
      <c r="G155" s="16">
        <f>'WetLitterbags placem_collection'!E82</f>
        <v>42767</v>
      </c>
      <c r="H155" t="str">
        <f>'Final data_for_R_analysis_Wetse'!J81</f>
        <v>G607</v>
      </c>
      <c r="I155" t="str">
        <f>'Final data_for_R_analysis_Wetse'!J301</f>
        <v>R181</v>
      </c>
      <c r="J155">
        <f>IFERROR(INDEX('Green_rooibos initial weight'!$C$5:$C$1749,MATCH(H155, 'Green_rooibos initial weight'!$A$5:$A$1749,0)),"")</f>
        <v>1.9450000000000001</v>
      </c>
      <c r="K155">
        <f>IFERROR(INDEX('Green_rooibos initial weight'!$C$5:$C$1749,MATCH(I155, 'Green_rooibos initial weight'!$A$5:$A$1749,0)),"")</f>
        <v>2.1749999999999998</v>
      </c>
      <c r="L155" s="195">
        <f t="shared" si="11"/>
        <v>1.6952</v>
      </c>
      <c r="M155" s="195">
        <f>AVERAGE(Ashed_controlls!$K$2:$K$11)</f>
        <v>5.5147656768714146</v>
      </c>
      <c r="N155" s="195">
        <f t="shared" si="9"/>
        <v>1.9251999999999998</v>
      </c>
      <c r="O155" s="16">
        <f>IF('WetLitterbags placem_collection'!G82="N.A","",'WetLitterbags placem_collection'!G82)</f>
        <v>42818</v>
      </c>
      <c r="P155" s="195">
        <f>IF(IFERROR(INDEX('Both teabags AfterWet'!$C$3:$C$841,MATCH(H155,'Both teabags AfterWet'!$A$3:$A$841,0)),"")="N.A","",(IFERROR(INDEX('Both teabags AfterWet'!$C$3:$C$841,MATCH(H155,'Both teabags AfterWet'!$A$3:$A$841,0)),"")))</f>
        <v>0.92400000000000004</v>
      </c>
      <c r="Q155" s="195">
        <f>IFERROR(INDEX('Both teabags AfterWet'!$C$3:$C$841,MATCH(I155,'Both teabags AfterWet'!$A$3:$A$841,0)),"")</f>
        <v>0.23799999999999999</v>
      </c>
      <c r="R155" s="195">
        <f t="shared" si="12"/>
        <v>0.77340000000000009</v>
      </c>
      <c r="S155" s="195">
        <f t="shared" si="12"/>
        <v>8.7399999999999978E-2</v>
      </c>
      <c r="T155" s="195">
        <f t="shared" si="13"/>
        <v>0.54377064653138274</v>
      </c>
      <c r="U155" s="195">
        <f t="shared" si="14"/>
        <v>0.3564862195787688</v>
      </c>
      <c r="V155" s="195">
        <f t="shared" si="15"/>
        <v>4.5397880739663402E-2</v>
      </c>
      <c r="W155">
        <f t="shared" si="10"/>
        <v>51</v>
      </c>
      <c r="X155" s="195">
        <f t="shared" si="16"/>
        <v>0.35419163119788266</v>
      </c>
      <c r="Y155" s="195" t="str">
        <f t="shared" si="17"/>
        <v/>
      </c>
      <c r="Z155" s="255" t="str">
        <f>IF(ISNUMBER(SEARCH("C",'WetLitterbags placem_collection'!W82)),"YES","NO")</f>
        <v>NO</v>
      </c>
      <c r="AA155" s="255" t="str">
        <f>IF(ISNUMBER(SEARCH("H", 'WetLitterbags placem_collection'!W82)),"YES","NO")</f>
        <v>YES</v>
      </c>
      <c r="AB155" s="255" t="str">
        <f>IF(ISNUMBER(SEARCH("R", 'WetLitterbags placem_collection'!W82)),"YES","NO")</f>
        <v>NO</v>
      </c>
      <c r="AC155" s="255" t="str">
        <f>IF(ISNUMBER(SEARCH("C", 'WetLitterbags placem_collection'!V82)),"YES","NO")</f>
        <v>YES</v>
      </c>
      <c r="AD155" s="255" t="str">
        <f>IF(ISNUMBER(SEARCH("H", 'WetLitterbags placem_collection'!V82)),"YES","NO")</f>
        <v>YES</v>
      </c>
      <c r="AE155" s="255" t="str">
        <f>IF(ISNUMBER(SEARCH("R", 'WetLitterbags placem_collection'!V82)),"YES","NO")</f>
        <v>NO</v>
      </c>
    </row>
    <row r="156" spans="2:31">
      <c r="B156" t="str">
        <f>'Final data_for_R_analysis_Wetse'!A82</f>
        <v>Wet</v>
      </c>
      <c r="C156" s="263">
        <f>'Final data_for_R_analysis_Wetse'!B82</f>
        <v>81</v>
      </c>
      <c r="D156" t="s">
        <v>3839</v>
      </c>
      <c r="E156" t="s">
        <v>22</v>
      </c>
      <c r="F156" s="386">
        <v>1</v>
      </c>
      <c r="G156" s="16">
        <f>'WetLitterbags placem_collection'!E83</f>
        <v>42767</v>
      </c>
      <c r="H156" t="str">
        <f>'Final data_for_R_analysis_Wetse'!J82</f>
        <v>G542</v>
      </c>
      <c r="I156" t="str">
        <f>'Final data_for_R_analysis_Wetse'!J302</f>
        <v>R187</v>
      </c>
      <c r="J156">
        <f>IFERROR(INDEX('Green_rooibos initial weight'!$C$5:$C$1749,MATCH(H156, 'Green_rooibos initial weight'!$A$5:$A$1749,0)),"")</f>
        <v>2.0779999999999998</v>
      </c>
      <c r="K156">
        <f>IFERROR(INDEX('Green_rooibos initial weight'!$C$5:$C$1749,MATCH(I156, 'Green_rooibos initial weight'!$A$5:$A$1749,0)),"")</f>
        <v>2.2210000000000001</v>
      </c>
      <c r="L156" s="195">
        <f t="shared" si="11"/>
        <v>1.8281999999999998</v>
      </c>
      <c r="M156" s="195">
        <f>AVERAGE(Ashed_controlls!$K$2:$K$11)</f>
        <v>5.5147656768714146</v>
      </c>
      <c r="N156" s="195">
        <f t="shared" si="9"/>
        <v>1.9712000000000001</v>
      </c>
      <c r="O156" s="16">
        <f>IF('WetLitterbags placem_collection'!G83="N.A","",'WetLitterbags placem_collection'!G83)</f>
        <v>42818</v>
      </c>
      <c r="P156" s="195">
        <f>IF(IFERROR(INDEX('Both teabags AfterWet'!$C$3:$C$841,MATCH(H156,'Both teabags AfterWet'!$A$3:$A$841,0)),"")="N.A","",(IFERROR(INDEX('Both teabags AfterWet'!$C$3:$C$841,MATCH(H156,'Both teabags AfterWet'!$A$3:$A$841,0)),"")))</f>
        <v>0.85099999999999998</v>
      </c>
      <c r="Q156" s="195">
        <f>IFERROR(INDEX('Both teabags AfterWet'!$C$3:$C$841,MATCH(I156,'Both teabags AfterWet'!$A$3:$A$841,0)),"")</f>
        <v>1.8420000000000001</v>
      </c>
      <c r="R156" s="195">
        <f t="shared" si="12"/>
        <v>0.70039999999999991</v>
      </c>
      <c r="S156" s="195">
        <f t="shared" si="12"/>
        <v>1.6914</v>
      </c>
      <c r="T156" s="195">
        <f t="shared" si="13"/>
        <v>0.61689093097035341</v>
      </c>
      <c r="U156" s="195">
        <f t="shared" si="14"/>
        <v>0.40442255807082561</v>
      </c>
      <c r="V156" s="195">
        <f t="shared" si="15"/>
        <v>0.85805600649350644</v>
      </c>
      <c r="W156">
        <f t="shared" si="10"/>
        <v>51</v>
      </c>
      <c r="X156" s="195">
        <f t="shared" si="16"/>
        <v>0.26735043827748994</v>
      </c>
      <c r="Y156" s="195">
        <f t="shared" si="17"/>
        <v>8.4762911230470001E-3</v>
      </c>
      <c r="Z156" s="255" t="str">
        <f>IF(ISNUMBER(SEARCH("C",'WetLitterbags placem_collection'!W83)),"YES","NO")</f>
        <v>NO</v>
      </c>
      <c r="AA156" s="255" t="str">
        <f>IF(ISNUMBER(SEARCH("H", 'WetLitterbags placem_collection'!W83)),"YES","NO")</f>
        <v>NO</v>
      </c>
      <c r="AB156" s="255" t="str">
        <f>IF(ISNUMBER(SEARCH("R", 'WetLitterbags placem_collection'!W83)),"YES","NO")</f>
        <v>NO</v>
      </c>
      <c r="AC156" s="255" t="str">
        <f>IF(ISNUMBER(SEARCH("C", 'WetLitterbags placem_collection'!V83)),"YES","NO")</f>
        <v>NO</v>
      </c>
      <c r="AD156" s="255" t="str">
        <f>IF(ISNUMBER(SEARCH("H", 'WetLitterbags placem_collection'!V83)),"YES","NO")</f>
        <v>YES</v>
      </c>
      <c r="AE156" s="255" t="str">
        <f>IF(ISNUMBER(SEARCH("R", 'WetLitterbags placem_collection'!V83)),"YES","NO")</f>
        <v>YES</v>
      </c>
    </row>
    <row r="157" spans="2:31">
      <c r="B157" t="str">
        <f>'Final data_for_R_analysis_Wetse'!A83</f>
        <v>Wet</v>
      </c>
      <c r="C157" s="263">
        <f>'Final data_for_R_analysis_Wetse'!B83</f>
        <v>82</v>
      </c>
      <c r="D157" t="s">
        <v>3839</v>
      </c>
      <c r="E157" t="s">
        <v>22</v>
      </c>
      <c r="F157" s="386">
        <v>2</v>
      </c>
      <c r="G157" s="16">
        <f>'WetLitterbags placem_collection'!E84</f>
        <v>42767</v>
      </c>
      <c r="H157" t="str">
        <f>'Final data_for_R_analysis_Wetse'!J83</f>
        <v>G536</v>
      </c>
      <c r="I157" t="str">
        <f>'Final data_for_R_analysis_Wetse'!J303</f>
        <v>R83</v>
      </c>
      <c r="J157">
        <f>IFERROR(INDEX('Green_rooibos initial weight'!$C$5:$C$1749,MATCH(H157, 'Green_rooibos initial weight'!$A$5:$A$1749,0)),"")</f>
        <v>2.0510000000000002</v>
      </c>
      <c r="K157">
        <f>IFERROR(INDEX('Green_rooibos initial weight'!$C$5:$C$1749,MATCH(I157, 'Green_rooibos initial weight'!$A$5:$A$1749,0)),"")</f>
        <v>2.0390000000000001</v>
      </c>
      <c r="L157" s="195">
        <f t="shared" si="11"/>
        <v>1.8012000000000001</v>
      </c>
      <c r="M157" s="195">
        <f>AVERAGE(Ashed_controlls!$K$2:$K$11)</f>
        <v>5.5147656768714146</v>
      </c>
      <c r="N157" s="195">
        <f t="shared" si="9"/>
        <v>1.7892000000000001</v>
      </c>
      <c r="O157" s="16">
        <f>IF('WetLitterbags placem_collection'!G84="N.A","",'WetLitterbags placem_collection'!G84)</f>
        <v>42819</v>
      </c>
      <c r="P157" s="195">
        <f>IF(IFERROR(INDEX('Both teabags AfterWet'!$C$3:$C$841,MATCH(H157,'Both teabags AfterWet'!$A$3:$A$841,0)),"")="N.A","",(IFERROR(INDEX('Both teabags AfterWet'!$C$3:$C$841,MATCH(H157,'Both teabags AfterWet'!$A$3:$A$841,0)),"")))</f>
        <v>0.748</v>
      </c>
      <c r="Q157" s="195">
        <f>IFERROR(INDEX('Both teabags AfterWet'!$C$3:$C$841,MATCH(I157,'Both teabags AfterWet'!$A$3:$A$841,0)),"")</f>
        <v>1.5940000000000001</v>
      </c>
      <c r="R157" s="195">
        <f t="shared" si="12"/>
        <v>0.59739999999999993</v>
      </c>
      <c r="S157" s="195">
        <f t="shared" si="12"/>
        <v>1.4434</v>
      </c>
      <c r="T157" s="195">
        <f t="shared" si="13"/>
        <v>0.66833222296246952</v>
      </c>
      <c r="U157" s="195">
        <f t="shared" si="14"/>
        <v>0.4381465404694575</v>
      </c>
      <c r="V157" s="195">
        <f t="shared" si="15"/>
        <v>0.80672926447574334</v>
      </c>
      <c r="W157">
        <f t="shared" si="10"/>
        <v>52</v>
      </c>
      <c r="X157" s="195">
        <f t="shared" si="16"/>
        <v>0.20625626726547563</v>
      </c>
      <c r="Y157" s="195">
        <f t="shared" si="17"/>
        <v>1.1188504966848371E-2</v>
      </c>
      <c r="Z157" s="255" t="str">
        <f>IF(ISNUMBER(SEARCH("C",'WetLitterbags placem_collection'!W84)),"YES","NO")</f>
        <v>NO</v>
      </c>
      <c r="AA157" s="255" t="str">
        <f>IF(ISNUMBER(SEARCH("H", 'WetLitterbags placem_collection'!W84)),"YES","NO")</f>
        <v>YES</v>
      </c>
      <c r="AB157" s="255" t="str">
        <f>IF(ISNUMBER(SEARCH("R", 'WetLitterbags placem_collection'!W84)),"YES","NO")</f>
        <v>YES</v>
      </c>
      <c r="AC157" s="255" t="str">
        <f>IF(ISNUMBER(SEARCH("C", 'WetLitterbags placem_collection'!V84)),"YES","NO")</f>
        <v>NO</v>
      </c>
      <c r="AD157" s="255" t="str">
        <f>IF(ISNUMBER(SEARCH("H", 'WetLitterbags placem_collection'!V84)),"YES","NO")</f>
        <v>YES</v>
      </c>
      <c r="AE157" s="255" t="str">
        <f>IF(ISNUMBER(SEARCH("R", 'WetLitterbags placem_collection'!V84)),"YES","NO")</f>
        <v>YES</v>
      </c>
    </row>
    <row r="158" spans="2:31">
      <c r="B158" t="str">
        <f>'Final data_for_R_analysis_Wetse'!A84</f>
        <v>Wet</v>
      </c>
      <c r="C158" s="263">
        <f>'Final data_for_R_analysis_Wetse'!B84</f>
        <v>83</v>
      </c>
      <c r="D158" t="s">
        <v>3839</v>
      </c>
      <c r="E158" t="s">
        <v>22</v>
      </c>
      <c r="F158" s="386">
        <v>3</v>
      </c>
      <c r="G158" s="16">
        <f>'WetLitterbags placem_collection'!E85</f>
        <v>42767</v>
      </c>
      <c r="H158" t="str">
        <f>'Final data_for_R_analysis_Wetse'!J84</f>
        <v>G494</v>
      </c>
      <c r="I158" t="str">
        <f>'Final data_for_R_analysis_Wetse'!J304</f>
        <v>R134</v>
      </c>
      <c r="J158">
        <f>IFERROR(INDEX('Green_rooibos initial weight'!$C$5:$C$1749,MATCH(H158, 'Green_rooibos initial weight'!$A$5:$A$1749,0)),"")</f>
        <v>1.903</v>
      </c>
      <c r="K158">
        <f>IFERROR(INDEX('Green_rooibos initial weight'!$C$5:$C$1749,MATCH(I158, 'Green_rooibos initial weight'!$A$5:$A$1749,0)),"")</f>
        <v>2.21</v>
      </c>
      <c r="L158" s="195">
        <f t="shared" si="11"/>
        <v>1.6532</v>
      </c>
      <c r="M158" s="195">
        <f>AVERAGE(Ashed_controlls!$K$2:$K$11)</f>
        <v>5.5147656768714146</v>
      </c>
      <c r="N158" s="195">
        <f t="shared" si="9"/>
        <v>1.9601999999999999</v>
      </c>
      <c r="O158" s="16">
        <f>IF('WetLitterbags placem_collection'!G85="N.A","",'WetLitterbags placem_collection'!G85)</f>
        <v>42819</v>
      </c>
      <c r="P158" s="195">
        <f>IF(IFERROR(INDEX('Both teabags AfterWet'!$C$3:$C$841,MATCH(H158,'Both teabags AfterWet'!$A$3:$A$841,0)),"")="N.A","",(IFERROR(INDEX('Both teabags AfterWet'!$C$3:$C$841,MATCH(H158,'Both teabags AfterWet'!$A$3:$A$841,0)),"")))</f>
        <v>0.90200000000000002</v>
      </c>
      <c r="Q158" s="195">
        <f>IFERROR(INDEX('Both teabags AfterWet'!$C$3:$C$841,MATCH(I158,'Both teabags AfterWet'!$A$3:$A$841,0)),"")</f>
        <v>0.98799999999999999</v>
      </c>
      <c r="R158" s="195">
        <f t="shared" si="12"/>
        <v>0.75140000000000007</v>
      </c>
      <c r="S158" s="195">
        <f t="shared" si="12"/>
        <v>0.83739999999999992</v>
      </c>
      <c r="T158" s="195">
        <f t="shared" si="13"/>
        <v>0.54548753931768679</v>
      </c>
      <c r="U158" s="195">
        <f t="shared" si="14"/>
        <v>0.35761178349568068</v>
      </c>
      <c r="V158" s="195">
        <f t="shared" si="15"/>
        <v>0.42720130598918477</v>
      </c>
      <c r="W158">
        <f t="shared" si="10"/>
        <v>52</v>
      </c>
      <c r="X158" s="195">
        <f t="shared" si="16"/>
        <v>0.35215256613101331</v>
      </c>
      <c r="Y158" s="195" t="str">
        <f t="shared" si="17"/>
        <v/>
      </c>
      <c r="Z158" s="255" t="str">
        <f>IF(ISNUMBER(SEARCH("C",'WetLitterbags placem_collection'!W85)),"YES","NO")</f>
        <v>NO</v>
      </c>
      <c r="AA158" s="255" t="str">
        <f>IF(ISNUMBER(SEARCH("H", 'WetLitterbags placem_collection'!W85)),"YES","NO")</f>
        <v>YES</v>
      </c>
      <c r="AB158" s="255" t="str">
        <f>IF(ISNUMBER(SEARCH("R", 'WetLitterbags placem_collection'!W85)),"YES","NO")</f>
        <v>NO</v>
      </c>
      <c r="AC158" s="255" t="str">
        <f>IF(ISNUMBER(SEARCH("C", 'WetLitterbags placem_collection'!V85)),"YES","NO")</f>
        <v>NO</v>
      </c>
      <c r="AD158" s="255" t="str">
        <f>IF(ISNUMBER(SEARCH("H", 'WetLitterbags placem_collection'!V85)),"YES","NO")</f>
        <v>NO</v>
      </c>
      <c r="AE158" s="255" t="str">
        <f>IF(ISNUMBER(SEARCH("R", 'WetLitterbags placem_collection'!V85)),"YES","NO")</f>
        <v>YES</v>
      </c>
    </row>
    <row r="159" spans="2:31">
      <c r="B159" t="str">
        <f>'Final data_for_R_analysis_Wetse'!A85</f>
        <v>Wet</v>
      </c>
      <c r="C159" s="263">
        <f>'Final data_for_R_analysis_Wetse'!B85</f>
        <v>84</v>
      </c>
      <c r="D159" t="s">
        <v>3839</v>
      </c>
      <c r="E159" t="s">
        <v>22</v>
      </c>
      <c r="F159" s="387">
        <v>4</v>
      </c>
      <c r="G159" s="16">
        <f>'WetLitterbags placem_collection'!E86</f>
        <v>42767</v>
      </c>
      <c r="H159" t="str">
        <f>'Final data_for_R_analysis_Wetse'!J85</f>
        <v>G291</v>
      </c>
      <c r="I159" t="str">
        <f>'Final data_for_R_analysis_Wetse'!J305</f>
        <v>R49</v>
      </c>
      <c r="J159">
        <f>IFERROR(INDEX('Green_rooibos initial weight'!$C$5:$C$1749,MATCH(H159, 'Green_rooibos initial weight'!$A$5:$A$1749,0)),"")</f>
        <v>2.0880000000000001</v>
      </c>
      <c r="K159">
        <f>IFERROR(INDEX('Green_rooibos initial weight'!$C$5:$C$1749,MATCH(I159, 'Green_rooibos initial weight'!$A$5:$A$1749,0)),"")</f>
        <v>2.2999999999999998</v>
      </c>
      <c r="L159" s="195">
        <f t="shared" si="11"/>
        <v>1.8382000000000001</v>
      </c>
      <c r="M159" s="195">
        <f>AVERAGE(Ashed_controlls!$K$2:$K$11)</f>
        <v>5.5147656768714146</v>
      </c>
      <c r="N159" s="195">
        <f t="shared" si="9"/>
        <v>2.0501999999999998</v>
      </c>
      <c r="O159" s="16">
        <f>IF('WetLitterbags placem_collection'!G86="N.A","",'WetLitterbags placem_collection'!G86)</f>
        <v>42819</v>
      </c>
      <c r="P159" s="195">
        <f>IF(IFERROR(INDEX('Both teabags AfterWet'!$C$3:$C$841,MATCH(H159,'Both teabags AfterWet'!$A$3:$A$841,0)),"")="N.A","",(IFERROR(INDEX('Both teabags AfterWet'!$C$3:$C$841,MATCH(H159,'Both teabags AfterWet'!$A$3:$A$841,0)),"")))</f>
        <v>0.90300000000000002</v>
      </c>
      <c r="Q159" s="195">
        <f>IFERROR(INDEX('Both teabags AfterWet'!$C$3:$C$841,MATCH(I159,'Both teabags AfterWet'!$A$3:$A$841,0)),"")</f>
        <v>1.6379999999999999</v>
      </c>
      <c r="R159" s="195">
        <f t="shared" si="12"/>
        <v>0.75239999999999996</v>
      </c>
      <c r="S159" s="195">
        <f t="shared" si="12"/>
        <v>1.4873999999999998</v>
      </c>
      <c r="T159" s="195">
        <f t="shared" si="13"/>
        <v>0.5906865411815907</v>
      </c>
      <c r="U159" s="195">
        <f t="shared" si="14"/>
        <v>0.38724343317367949</v>
      </c>
      <c r="V159" s="195">
        <f t="shared" si="15"/>
        <v>0.72549019607843135</v>
      </c>
      <c r="W159">
        <f t="shared" si="10"/>
        <v>52</v>
      </c>
      <c r="X159" s="195">
        <f t="shared" si="16"/>
        <v>0.29847204135202998</v>
      </c>
      <c r="Y159" s="195">
        <f t="shared" si="17"/>
        <v>2.3731264400509981E-2</v>
      </c>
      <c r="Z159" s="255" t="str">
        <f>IF(ISNUMBER(SEARCH("C",'WetLitterbags placem_collection'!W86)),"YES","NO")</f>
        <v>NO</v>
      </c>
      <c r="AA159" s="255" t="str">
        <f>IF(ISNUMBER(SEARCH("H", 'WetLitterbags placem_collection'!W86)),"YES","NO")</f>
        <v>NO</v>
      </c>
      <c r="AB159" s="255" t="str">
        <f>IF(ISNUMBER(SEARCH("R", 'WetLitterbags placem_collection'!W86)),"YES","NO")</f>
        <v>YES</v>
      </c>
      <c r="AC159" s="255" t="str">
        <f>IF(ISNUMBER(SEARCH("C", 'WetLitterbags placem_collection'!V86)),"YES","NO")</f>
        <v>NO</v>
      </c>
      <c r="AD159" s="255" t="str">
        <f>IF(ISNUMBER(SEARCH("H", 'WetLitterbags placem_collection'!V86)),"YES","NO")</f>
        <v>NO</v>
      </c>
      <c r="AE159" s="255" t="str">
        <f>IF(ISNUMBER(SEARCH("R", 'WetLitterbags placem_collection'!V86)),"YES","NO")</f>
        <v>YES</v>
      </c>
    </row>
    <row r="160" spans="2:31">
      <c r="B160" t="str">
        <f>'Final data_for_R_analysis_Wetse'!A86</f>
        <v>Wet</v>
      </c>
      <c r="C160" s="263">
        <f>'Final data_for_R_analysis_Wetse'!B86</f>
        <v>85</v>
      </c>
      <c r="D160" t="s">
        <v>3839</v>
      </c>
      <c r="E160" t="s">
        <v>22</v>
      </c>
      <c r="F160" s="387">
        <v>5</v>
      </c>
      <c r="G160" s="16">
        <f>'WetLitterbags placem_collection'!E87</f>
        <v>42767</v>
      </c>
      <c r="H160" t="str">
        <f>'Final data_for_R_analysis_Wetse'!J86</f>
        <v>G308</v>
      </c>
      <c r="I160" t="str">
        <f>'Final data_for_R_analysis_Wetse'!J306</f>
        <v>R315</v>
      </c>
      <c r="J160">
        <f>IFERROR(INDEX('Green_rooibos initial weight'!$C$5:$C$1749,MATCH(H160, 'Green_rooibos initial weight'!$A$5:$A$1749,0)),"")</f>
        <v>1.982</v>
      </c>
      <c r="K160">
        <f>IFERROR(INDEX('Green_rooibos initial weight'!$C$5:$C$1749,MATCH(I160, 'Green_rooibos initial weight'!$A$5:$A$1749,0)),"")</f>
        <v>2.2440000000000002</v>
      </c>
      <c r="L160" s="195">
        <f t="shared" si="11"/>
        <v>1.7322</v>
      </c>
      <c r="M160" s="195">
        <f>AVERAGE(Ashed_controlls!$K$2:$K$11)</f>
        <v>5.5147656768714146</v>
      </c>
      <c r="N160" s="195">
        <f t="shared" si="9"/>
        <v>1.9942000000000002</v>
      </c>
      <c r="O160" s="16">
        <f>IF('WetLitterbags placem_collection'!G87="N.A","",'WetLitterbags placem_collection'!G87)</f>
        <v>42819</v>
      </c>
      <c r="P160" s="195">
        <f>IF(IFERROR(INDEX('Both teabags AfterWet'!$C$3:$C$841,MATCH(H160,'Both teabags AfterWet'!$A$3:$A$841,0)),"")="N.A","",(IFERROR(INDEX('Both teabags AfterWet'!$C$3:$C$841,MATCH(H160,'Both teabags AfterWet'!$A$3:$A$841,0)),"")))</f>
        <v>1.256</v>
      </c>
      <c r="Q160" s="195">
        <f>IFERROR(INDEX('Both teabags AfterWet'!$C$3:$C$841,MATCH(I160,'Both teabags AfterWet'!$A$3:$A$841,0)),"")</f>
        <v>1.4850000000000001</v>
      </c>
      <c r="R160" s="195">
        <f t="shared" si="12"/>
        <v>1.1053999999999999</v>
      </c>
      <c r="S160" s="195">
        <f t="shared" si="12"/>
        <v>1.3344</v>
      </c>
      <c r="T160" s="195">
        <f t="shared" si="13"/>
        <v>0.3618519801408614</v>
      </c>
      <c r="U160" s="195">
        <f t="shared" si="14"/>
        <v>0.23722362593557661</v>
      </c>
      <c r="V160" s="195">
        <f t="shared" si="15"/>
        <v>0.66914050747166776</v>
      </c>
      <c r="W160">
        <f t="shared" si="10"/>
        <v>52</v>
      </c>
      <c r="X160" s="195">
        <f t="shared" si="16"/>
        <v>0.57024705446453516</v>
      </c>
      <c r="Y160" s="195" t="str">
        <f t="shared" si="17"/>
        <v/>
      </c>
      <c r="Z160" s="255" t="str">
        <f>IF(ISNUMBER(SEARCH("C",'WetLitterbags placem_collection'!W87)),"YES","NO")</f>
        <v>YES</v>
      </c>
      <c r="AA160" s="255" t="str">
        <f>IF(ISNUMBER(SEARCH("H", 'WetLitterbags placem_collection'!W87)),"YES","NO")</f>
        <v>YES</v>
      </c>
      <c r="AB160" s="255" t="str">
        <f>IF(ISNUMBER(SEARCH("R", 'WetLitterbags placem_collection'!W87)),"YES","NO")</f>
        <v>YES</v>
      </c>
      <c r="AC160" s="255" t="str">
        <f>IF(ISNUMBER(SEARCH("C", 'WetLitterbags placem_collection'!V87)),"YES","NO")</f>
        <v>NO</v>
      </c>
      <c r="AD160" s="255" t="str">
        <f>IF(ISNUMBER(SEARCH("H", 'WetLitterbags placem_collection'!V87)),"YES","NO")</f>
        <v>YES</v>
      </c>
      <c r="AE160" s="255" t="str">
        <f>IF(ISNUMBER(SEARCH("R", 'WetLitterbags placem_collection'!V87)),"YES","NO")</f>
        <v>YES</v>
      </c>
    </row>
    <row r="161" spans="2:31">
      <c r="B161" t="str">
        <f>'Final data_for_R_analysis_Wetse'!A87</f>
        <v>Wet</v>
      </c>
      <c r="C161" s="263">
        <f>'Final data_for_R_analysis_Wetse'!B87</f>
        <v>86</v>
      </c>
      <c r="D161" t="s">
        <v>3839</v>
      </c>
      <c r="E161" t="s">
        <v>22</v>
      </c>
      <c r="F161" s="387">
        <v>6</v>
      </c>
      <c r="G161" s="16">
        <f>'WetLitterbags placem_collection'!E88</f>
        <v>42767</v>
      </c>
      <c r="H161" t="str">
        <f>'Final data_for_R_analysis_Wetse'!J87</f>
        <v>G723</v>
      </c>
      <c r="I161" t="str">
        <f>'Final data_for_R_analysis_Wetse'!J307</f>
        <v>R1</v>
      </c>
      <c r="J161">
        <f>IFERROR(INDEX('Green_rooibos initial weight'!$C$5:$C$1749,MATCH(H161, 'Green_rooibos initial weight'!$A$5:$A$1749,0)),"")</f>
        <v>2.0129999999999999</v>
      </c>
      <c r="K161">
        <f>IFERROR(INDEX('Green_rooibos initial weight'!$C$5:$C$1749,MATCH(I161, 'Green_rooibos initial weight'!$A$5:$A$1749,0)),"")</f>
        <v>2.2109999999999999</v>
      </c>
      <c r="L161" s="195">
        <f t="shared" si="11"/>
        <v>1.7631999999999999</v>
      </c>
      <c r="M161" s="195">
        <f>AVERAGE(Ashed_controlls!$K$2:$K$11)</f>
        <v>5.5147656768714146</v>
      </c>
      <c r="N161" s="195">
        <f t="shared" si="9"/>
        <v>1.9611999999999998</v>
      </c>
      <c r="O161" s="16">
        <f>IF('WetLitterbags placem_collection'!G88="N.A","",'WetLitterbags placem_collection'!G88)</f>
        <v>42819</v>
      </c>
      <c r="P161" s="195">
        <f>IF(IFERROR(INDEX('Both teabags AfterWet'!$C$3:$C$841,MATCH(H161,'Both teabags AfterWet'!$A$3:$A$841,0)),"")="N.A","",(IFERROR(INDEX('Both teabags AfterWet'!$C$3:$C$841,MATCH(H161,'Both teabags AfterWet'!$A$3:$A$841,0)),"")))</f>
        <v>0.78249999999999997</v>
      </c>
      <c r="Q161" s="195">
        <f>IFERROR(INDEX('Both teabags AfterWet'!$C$3:$C$841,MATCH(I161,'Both teabags AfterWet'!$A$3:$A$841,0)),"")</f>
        <v>0.38169999999999998</v>
      </c>
      <c r="R161" s="195">
        <f t="shared" si="12"/>
        <v>0.63189999999999991</v>
      </c>
      <c r="S161" s="195">
        <f t="shared" si="12"/>
        <v>0.23109999999999997</v>
      </c>
      <c r="T161" s="195">
        <f t="shared" si="13"/>
        <v>0.64161751361161534</v>
      </c>
      <c r="U161" s="195">
        <f t="shared" si="14"/>
        <v>0.42063285927982386</v>
      </c>
      <c r="V161" s="195">
        <f t="shared" si="15"/>
        <v>0.11783601876402203</v>
      </c>
      <c r="W161">
        <f t="shared" si="10"/>
        <v>52</v>
      </c>
      <c r="X161" s="195">
        <f t="shared" si="16"/>
        <v>0.2379839505800293</v>
      </c>
      <c r="Y161" s="195" t="str">
        <f t="shared" si="17"/>
        <v/>
      </c>
      <c r="Z161" s="255" t="str">
        <f>IF(ISNUMBER(SEARCH("C",'WetLitterbags placem_collection'!W88)),"YES","NO")</f>
        <v>YES</v>
      </c>
      <c r="AA161" s="255" t="str">
        <f>IF(ISNUMBER(SEARCH("H", 'WetLitterbags placem_collection'!W88)),"YES","NO")</f>
        <v>YES</v>
      </c>
      <c r="AB161" s="255" t="str">
        <f>IF(ISNUMBER(SEARCH("R", 'WetLitterbags placem_collection'!W88)),"YES","NO")</f>
        <v>YES</v>
      </c>
      <c r="AC161" s="255" t="str">
        <f>IF(ISNUMBER(SEARCH("C", 'WetLitterbags placem_collection'!V88)),"YES","NO")</f>
        <v>NO</v>
      </c>
      <c r="AD161" s="255" t="str">
        <f>IF(ISNUMBER(SEARCH("H", 'WetLitterbags placem_collection'!V88)),"YES","NO")</f>
        <v>NO</v>
      </c>
      <c r="AE161" s="255" t="str">
        <f>IF(ISNUMBER(SEARCH("R", 'WetLitterbags placem_collection'!V88)),"YES","NO")</f>
        <v>YES</v>
      </c>
    </row>
    <row r="162" spans="2:31">
      <c r="B162" t="str">
        <f>'Final data_for_R_analysis_Wetse'!A88</f>
        <v>Wet</v>
      </c>
      <c r="C162" s="263">
        <f>'Final data_for_R_analysis_Wetse'!B88</f>
        <v>87</v>
      </c>
      <c r="D162" t="s">
        <v>3839</v>
      </c>
      <c r="E162" t="s">
        <v>22</v>
      </c>
      <c r="F162" s="387">
        <v>7</v>
      </c>
      <c r="G162" s="16">
        <f>'WetLitterbags placem_collection'!E89</f>
        <v>42767</v>
      </c>
      <c r="H162" t="str">
        <f>'Final data_for_R_analysis_Wetse'!J88</f>
        <v>G628</v>
      </c>
      <c r="I162" t="str">
        <f>'Final data_for_R_analysis_Wetse'!J308</f>
        <v>R408</v>
      </c>
      <c r="J162">
        <f>IFERROR(INDEX('Green_rooibos initial weight'!$C$5:$C$1749,MATCH(H162, 'Green_rooibos initial weight'!$A$5:$A$1749,0)),"")</f>
        <v>2.0739999999999998</v>
      </c>
      <c r="K162">
        <f>IFERROR(INDEX('Green_rooibos initial weight'!$C$5:$C$1749,MATCH(I162, 'Green_rooibos initial weight'!$A$5:$A$1749,0)),"")</f>
        <v>2.2480000000000002</v>
      </c>
      <c r="L162" s="195">
        <f t="shared" si="11"/>
        <v>1.8241999999999998</v>
      </c>
      <c r="M162" s="195">
        <f>AVERAGE(Ashed_controlls!$K$2:$K$11)</f>
        <v>5.5147656768714146</v>
      </c>
      <c r="N162" s="195">
        <f t="shared" si="9"/>
        <v>1.9982000000000002</v>
      </c>
      <c r="O162" s="16">
        <f>IF('WetLitterbags placem_collection'!G89="N.A","",'WetLitterbags placem_collection'!G89)</f>
        <v>42819</v>
      </c>
      <c r="P162" s="195">
        <f>IF(IFERROR(INDEX('Both teabags AfterWet'!$C$3:$C$841,MATCH(H162,'Both teabags AfterWet'!$A$3:$A$841,0)),"")="N.A","",(IFERROR(INDEX('Both teabags AfterWet'!$C$3:$C$841,MATCH(H162,'Both teabags AfterWet'!$A$3:$A$841,0)),"")))</f>
        <v>0.8639</v>
      </c>
      <c r="Q162" s="195">
        <f>IFERROR(INDEX('Both teabags AfterWet'!$C$3:$C$841,MATCH(I162,'Both teabags AfterWet'!$A$3:$A$841,0)),"")</f>
        <v>0.3599</v>
      </c>
      <c r="R162" s="195">
        <f t="shared" si="12"/>
        <v>0.71330000000000005</v>
      </c>
      <c r="S162" s="195">
        <f t="shared" si="12"/>
        <v>0.20929999999999999</v>
      </c>
      <c r="T162" s="195">
        <f t="shared" si="13"/>
        <v>0.60897927858787404</v>
      </c>
      <c r="U162" s="195">
        <f t="shared" si="14"/>
        <v>0.39923582159205045</v>
      </c>
      <c r="V162" s="195">
        <f t="shared" si="15"/>
        <v>0.10474426984285856</v>
      </c>
      <c r="W162">
        <f t="shared" si="10"/>
        <v>52</v>
      </c>
      <c r="X162" s="195">
        <f t="shared" si="16"/>
        <v>0.27674670001440138</v>
      </c>
      <c r="Y162" s="195" t="str">
        <f t="shared" si="17"/>
        <v/>
      </c>
      <c r="Z162" s="255" t="str">
        <f>IF(ISNUMBER(SEARCH("C",'WetLitterbags placem_collection'!W89)),"YES","NO")</f>
        <v>YES</v>
      </c>
      <c r="AA162" s="255" t="str">
        <f>IF(ISNUMBER(SEARCH("H", 'WetLitterbags placem_collection'!W89)),"YES","NO")</f>
        <v>NO</v>
      </c>
      <c r="AB162" s="255" t="str">
        <f>IF(ISNUMBER(SEARCH("R", 'WetLitterbags placem_collection'!W89)),"YES","NO")</f>
        <v>YES</v>
      </c>
      <c r="AC162" s="255" t="str">
        <f>IF(ISNUMBER(SEARCH("C", 'WetLitterbags placem_collection'!V89)),"YES","NO")</f>
        <v>YES</v>
      </c>
      <c r="AD162" s="255" t="str">
        <f>IF(ISNUMBER(SEARCH("H", 'WetLitterbags placem_collection'!V89)),"YES","NO")</f>
        <v>YES</v>
      </c>
      <c r="AE162" s="255" t="str">
        <f>IF(ISNUMBER(SEARCH("R", 'WetLitterbags placem_collection'!V89)),"YES","NO")</f>
        <v>YES</v>
      </c>
    </row>
    <row r="163" spans="2:31">
      <c r="B163" t="str">
        <f>'Final data_for_R_analysis_Wetse'!A89</f>
        <v>Wet</v>
      </c>
      <c r="C163" s="263">
        <f>'Final data_for_R_analysis_Wetse'!B89</f>
        <v>88</v>
      </c>
      <c r="D163" t="s">
        <v>3839</v>
      </c>
      <c r="E163" t="s">
        <v>22</v>
      </c>
      <c r="F163" s="387">
        <v>8</v>
      </c>
      <c r="G163" s="16">
        <f>'WetLitterbags placem_collection'!E90</f>
        <v>42767</v>
      </c>
      <c r="H163" t="str">
        <f>'Final data_for_R_analysis_Wetse'!J89</f>
        <v>G569</v>
      </c>
      <c r="I163" t="str">
        <f>'Final data_for_R_analysis_Wetse'!J309</f>
        <v>R385</v>
      </c>
      <c r="J163">
        <f>IFERROR(INDEX('Green_rooibos initial weight'!$C$5:$C$1749,MATCH(H163, 'Green_rooibos initial weight'!$A$5:$A$1749,0)),"")</f>
        <v>1.9950000000000001</v>
      </c>
      <c r="K163">
        <f>IFERROR(INDEX('Green_rooibos initial weight'!$C$5:$C$1749,MATCH(I163, 'Green_rooibos initial weight'!$A$5:$A$1749,0)),"")</f>
        <v>2.2559999999999998</v>
      </c>
      <c r="L163" s="195">
        <f t="shared" si="11"/>
        <v>1.7452000000000001</v>
      </c>
      <c r="M163" s="195">
        <f>AVERAGE(Ashed_controlls!$K$2:$K$11)</f>
        <v>5.5147656768714146</v>
      </c>
      <c r="N163" s="195">
        <f t="shared" si="9"/>
        <v>2.0061999999999998</v>
      </c>
      <c r="O163" s="16">
        <f>IF('WetLitterbags placem_collection'!G90="N.A","",'WetLitterbags placem_collection'!G90)</f>
        <v>0</v>
      </c>
      <c r="P163" s="195" t="str">
        <f>IF(IFERROR(INDEX('Both teabags AfterWet'!$C$3:$C$841,MATCH(H163,'Both teabags AfterWet'!$A$3:$A$841,0)),"")="N.A","",(IFERROR(INDEX('Both teabags AfterWet'!$C$3:$C$841,MATCH(H163,'Both teabags AfterWet'!$A$3:$A$841,0)),"")))</f>
        <v/>
      </c>
      <c r="Q163" s="195" t="str">
        <f>IFERROR(INDEX('Both teabags AfterWet'!$C$3:$C$841,MATCH(I163,'Both teabags AfterWet'!$A$3:$A$841,0)),"")</f>
        <v/>
      </c>
      <c r="R163" s="195" t="str">
        <f t="shared" si="12"/>
        <v/>
      </c>
      <c r="S163" s="195" t="str">
        <f t="shared" si="12"/>
        <v/>
      </c>
      <c r="T163" s="195" t="str">
        <f t="shared" si="13"/>
        <v/>
      </c>
      <c r="U163" s="195" t="str">
        <f t="shared" si="14"/>
        <v/>
      </c>
      <c r="V163" s="195" t="str">
        <f t="shared" si="15"/>
        <v/>
      </c>
      <c r="W163" t="str">
        <f t="shared" si="10"/>
        <v/>
      </c>
      <c r="X163" s="195" t="str">
        <f t="shared" si="16"/>
        <v/>
      </c>
      <c r="Y163" s="195" t="str">
        <f t="shared" si="17"/>
        <v/>
      </c>
      <c r="Z163" s="255" t="str">
        <f>IF(ISNUMBER(SEARCH("C",'WetLitterbags placem_collection'!W90)),"YES","NO")</f>
        <v>NO</v>
      </c>
      <c r="AA163" s="255" t="str">
        <f>IF(ISNUMBER(SEARCH("H", 'WetLitterbags placem_collection'!W90)),"YES","NO")</f>
        <v>NO</v>
      </c>
      <c r="AB163" s="255" t="str">
        <f>IF(ISNUMBER(SEARCH("R", 'WetLitterbags placem_collection'!W90)),"YES","NO")</f>
        <v>NO</v>
      </c>
      <c r="AC163" s="255" t="str">
        <f>IF(ISNUMBER(SEARCH("C", 'WetLitterbags placem_collection'!V90)),"YES","NO")</f>
        <v>NO</v>
      </c>
      <c r="AD163" s="255" t="str">
        <f>IF(ISNUMBER(SEARCH("H", 'WetLitterbags placem_collection'!V90)),"YES","NO")</f>
        <v>NO</v>
      </c>
      <c r="AE163" s="255" t="str">
        <f>IF(ISNUMBER(SEARCH("R", 'WetLitterbags placem_collection'!V90)),"YES","NO")</f>
        <v>NO</v>
      </c>
    </row>
    <row r="164" spans="2:31">
      <c r="B164" t="str">
        <f>'Final data_for_R_analysis_Wetse'!A90</f>
        <v>Wet</v>
      </c>
      <c r="C164" s="263">
        <f>'Final data_for_R_analysis_Wetse'!B90</f>
        <v>89</v>
      </c>
      <c r="D164" t="s">
        <v>3840</v>
      </c>
      <c r="E164" t="s">
        <v>22</v>
      </c>
      <c r="F164" s="386">
        <v>1</v>
      </c>
      <c r="G164" s="16">
        <f>'WetLitterbags placem_collection'!E91</f>
        <v>42767</v>
      </c>
      <c r="H164" t="str">
        <f>'Final data_for_R_analysis_Wetse'!J90</f>
        <v>G339</v>
      </c>
      <c r="I164" t="str">
        <f>'Final data_for_R_analysis_Wetse'!J310</f>
        <v>R196</v>
      </c>
      <c r="J164">
        <f>IFERROR(INDEX('Green_rooibos initial weight'!$C$5:$C$1749,MATCH(H164, 'Green_rooibos initial weight'!$A$5:$A$1749,0)),"")</f>
        <v>2.0219999999999998</v>
      </c>
      <c r="K164">
        <f>IFERROR(INDEX('Green_rooibos initial weight'!$C$5:$C$1749,MATCH(I164, 'Green_rooibos initial weight'!$A$5:$A$1749,0)),"")</f>
        <v>2.242</v>
      </c>
      <c r="L164" s="195">
        <f t="shared" si="11"/>
        <v>1.7721999999999998</v>
      </c>
      <c r="M164" s="195">
        <f>AVERAGE(Ashed_controlls!$K$2:$K$11)</f>
        <v>5.5147656768714146</v>
      </c>
      <c r="N164" s="195">
        <f t="shared" si="9"/>
        <v>1.9922</v>
      </c>
      <c r="O164" s="16">
        <f>IF('WetLitterbags placem_collection'!G91="N.A","",'WetLitterbags placem_collection'!G91)</f>
        <v>42819</v>
      </c>
      <c r="P164" s="195" t="str">
        <f>IF(IFERROR(INDEX('Both teabags AfterWet'!$C$3:$C$841,MATCH(H164,'Both teabags AfterWet'!$A$3:$A$841,0)),"")="N.A","",(IFERROR(INDEX('Both teabags AfterWet'!$C$3:$C$841,MATCH(H164,'Both teabags AfterWet'!$A$3:$A$841,0)),"")))</f>
        <v/>
      </c>
      <c r="Q164" s="195">
        <f>IFERROR(INDEX('Both teabags AfterWet'!$C$3:$C$841,MATCH(I164,'Both teabags AfterWet'!$A$3:$A$841,0)),"")</f>
        <v>0.17399999999999999</v>
      </c>
      <c r="R164" s="195" t="str">
        <f t="shared" si="12"/>
        <v/>
      </c>
      <c r="S164" s="195">
        <f t="shared" si="12"/>
        <v>2.3399999999999976E-2</v>
      </c>
      <c r="T164" s="195" t="str">
        <f t="shared" si="13"/>
        <v/>
      </c>
      <c r="U164" s="195" t="str">
        <f t="shared" si="14"/>
        <v/>
      </c>
      <c r="V164" s="195">
        <f t="shared" si="15"/>
        <v>1.1745808653749612E-2</v>
      </c>
      <c r="W164">
        <f t="shared" si="10"/>
        <v>52</v>
      </c>
      <c r="X164" s="195" t="str">
        <f t="shared" si="16"/>
        <v/>
      </c>
      <c r="Y164" s="195" t="str">
        <f t="shared" si="17"/>
        <v/>
      </c>
      <c r="Z164" s="255" t="str">
        <f>IF(ISNUMBER(SEARCH("C",'WetLitterbags placem_collection'!W91)),"YES","NO")</f>
        <v>NO</v>
      </c>
      <c r="AA164" s="255" t="str">
        <f>IF(ISNUMBER(SEARCH("H", 'WetLitterbags placem_collection'!W91)),"YES","NO")</f>
        <v>YES</v>
      </c>
      <c r="AB164" s="255" t="str">
        <f>IF(ISNUMBER(SEARCH("R", 'WetLitterbags placem_collection'!W91)),"YES","NO")</f>
        <v>YES</v>
      </c>
      <c r="AC164" s="255" t="str">
        <f>IF(ISNUMBER(SEARCH("C", 'WetLitterbags placem_collection'!V91)),"YES","NO")</f>
        <v>NO</v>
      </c>
      <c r="AD164" s="255" t="str">
        <f>IF(ISNUMBER(SEARCH("H", 'WetLitterbags placem_collection'!V91)),"YES","NO")</f>
        <v>NO</v>
      </c>
      <c r="AE164" s="255" t="str">
        <f>IF(ISNUMBER(SEARCH("R", 'WetLitterbags placem_collection'!V91)),"YES","NO")</f>
        <v>NO</v>
      </c>
    </row>
    <row r="165" spans="2:31">
      <c r="B165" t="str">
        <f>'Final data_for_R_analysis_Wetse'!A91</f>
        <v>Wet</v>
      </c>
      <c r="C165" s="263">
        <f>'Final data_for_R_analysis_Wetse'!B91</f>
        <v>90</v>
      </c>
      <c r="D165" t="s">
        <v>3840</v>
      </c>
      <c r="E165" t="s">
        <v>22</v>
      </c>
      <c r="F165" s="386">
        <v>2</v>
      </c>
      <c r="G165" s="16">
        <f>'WetLitterbags placem_collection'!E92</f>
        <v>42767</v>
      </c>
      <c r="H165" t="str">
        <f>'Final data_for_R_analysis_Wetse'!J91</f>
        <v>G592</v>
      </c>
      <c r="I165" t="str">
        <f>'Final data_for_R_analysis_Wetse'!J311</f>
        <v>R94</v>
      </c>
      <c r="J165">
        <f>IFERROR(INDEX('Green_rooibos initial weight'!$C$5:$C$1749,MATCH(H165, 'Green_rooibos initial weight'!$A$5:$A$1749,0)),"")</f>
        <v>2.0699999999999998</v>
      </c>
      <c r="K165">
        <f>IFERROR(INDEX('Green_rooibos initial weight'!$C$5:$C$1749,MATCH(I165, 'Green_rooibos initial weight'!$A$5:$A$1749,0)),"")</f>
        <v>2.2770000000000001</v>
      </c>
      <c r="L165" s="195">
        <f t="shared" si="11"/>
        <v>1.8201999999999998</v>
      </c>
      <c r="M165" s="195">
        <f>AVERAGE(Ashed_controlls!$K$2:$K$11)</f>
        <v>5.5147656768714146</v>
      </c>
      <c r="N165" s="195">
        <f t="shared" si="9"/>
        <v>2.0272000000000001</v>
      </c>
      <c r="O165" s="16">
        <f>IF('WetLitterbags placem_collection'!G92="N.A","",'WetLitterbags placem_collection'!G92)</f>
        <v>42819</v>
      </c>
      <c r="P165" s="195">
        <f>IF(IFERROR(INDEX('Both teabags AfterWet'!$C$3:$C$841,MATCH(H165,'Both teabags AfterWet'!$A$3:$A$841,0)),"")="N.A","",(IFERROR(INDEX('Both teabags AfterWet'!$C$3:$C$841,MATCH(H165,'Both teabags AfterWet'!$A$3:$A$841,0)),"")))</f>
        <v>1.0779000000000001</v>
      </c>
      <c r="Q165" s="195">
        <f>IFERROR(INDEX('Both teabags AfterWet'!$C$3:$C$841,MATCH(I165,'Both teabags AfterWet'!$A$3:$A$841,0)),"")</f>
        <v>1.7455000000000001</v>
      </c>
      <c r="R165" s="195">
        <f t="shared" si="12"/>
        <v>0.92730000000000001</v>
      </c>
      <c r="S165" s="195">
        <f t="shared" si="12"/>
        <v>1.5949</v>
      </c>
      <c r="T165" s="195">
        <f t="shared" si="13"/>
        <v>0.49055048895725739</v>
      </c>
      <c r="U165" s="195">
        <f t="shared" si="14"/>
        <v>0.32159604501710942</v>
      </c>
      <c r="V165" s="195">
        <f t="shared" si="15"/>
        <v>0.78675019731649565</v>
      </c>
      <c r="W165">
        <f t="shared" si="10"/>
        <v>52</v>
      </c>
      <c r="X165" s="195">
        <f t="shared" si="16"/>
        <v>0.41739846917190326</v>
      </c>
      <c r="Y165" s="195">
        <f t="shared" si="17"/>
        <v>2.0922388323686054E-2</v>
      </c>
      <c r="Z165" s="255" t="str">
        <f>IF(ISNUMBER(SEARCH("C",'WetLitterbags placem_collection'!W92)),"YES","NO")</f>
        <v>NO</v>
      </c>
      <c r="AA165" s="255" t="str">
        <f>IF(ISNUMBER(SEARCH("H", 'WetLitterbags placem_collection'!W92)),"YES","NO")</f>
        <v>NO</v>
      </c>
      <c r="AB165" s="255" t="str">
        <f>IF(ISNUMBER(SEARCH("R", 'WetLitterbags placem_collection'!W92)),"YES","NO")</f>
        <v>YES</v>
      </c>
      <c r="AC165" s="255" t="str">
        <f>IF(ISNUMBER(SEARCH("C", 'WetLitterbags placem_collection'!V92)),"YES","NO")</f>
        <v>NO</v>
      </c>
      <c r="AD165" s="255" t="str">
        <f>IF(ISNUMBER(SEARCH("H", 'WetLitterbags placem_collection'!V92)),"YES","NO")</f>
        <v>NO</v>
      </c>
      <c r="AE165" s="255" t="str">
        <f>IF(ISNUMBER(SEARCH("R", 'WetLitterbags placem_collection'!V92)),"YES","NO")</f>
        <v>NO</v>
      </c>
    </row>
    <row r="166" spans="2:31">
      <c r="B166" t="str">
        <f>'Final data_for_R_analysis_Wetse'!A92</f>
        <v>Wet</v>
      </c>
      <c r="C166" s="263">
        <f>'Final data_for_R_analysis_Wetse'!B92</f>
        <v>91</v>
      </c>
      <c r="D166" t="s">
        <v>3840</v>
      </c>
      <c r="E166" t="s">
        <v>22</v>
      </c>
      <c r="F166" s="386">
        <v>3</v>
      </c>
      <c r="G166" s="16">
        <f>'WetLitterbags placem_collection'!E93</f>
        <v>42767</v>
      </c>
      <c r="H166" t="str">
        <f>'Final data_for_R_analysis_Wetse'!J92</f>
        <v>G472</v>
      </c>
      <c r="I166" t="str">
        <f>'Final data_for_R_analysis_Wetse'!J312</f>
        <v>R343</v>
      </c>
      <c r="J166">
        <f>IFERROR(INDEX('Green_rooibos initial weight'!$C$5:$C$1749,MATCH(H166, 'Green_rooibos initial weight'!$A$5:$A$1749,0)),"")</f>
        <v>1.9710000000000001</v>
      </c>
      <c r="K166">
        <f>IFERROR(INDEX('Green_rooibos initial weight'!$C$5:$C$1749,MATCH(I166, 'Green_rooibos initial weight'!$A$5:$A$1749,0)),"")</f>
        <v>2.2429999999999999</v>
      </c>
      <c r="L166" s="195">
        <f t="shared" si="11"/>
        <v>1.7212000000000001</v>
      </c>
      <c r="M166" s="195">
        <f>AVERAGE(Ashed_controlls!$K$2:$K$11)</f>
        <v>5.5147656768714146</v>
      </c>
      <c r="N166" s="195">
        <f t="shared" si="9"/>
        <v>1.9931999999999999</v>
      </c>
      <c r="O166" s="16">
        <f>IF('WetLitterbags placem_collection'!G93="N.A","",'WetLitterbags placem_collection'!G93)</f>
        <v>42819</v>
      </c>
      <c r="P166" s="195">
        <f>IF(IFERROR(INDEX('Both teabags AfterWet'!$C$3:$C$841,MATCH(H166,'Both teabags AfterWet'!$A$3:$A$841,0)),"")="N.A","",(IFERROR(INDEX('Both teabags AfterWet'!$C$3:$C$841,MATCH(H166,'Both teabags AfterWet'!$A$3:$A$841,0)),"")))</f>
        <v>0.76100000000000001</v>
      </c>
      <c r="Q166" s="195">
        <f>IFERROR(INDEX('Both teabags AfterWet'!$C$3:$C$841,MATCH(I166,'Both teabags AfterWet'!$A$3:$A$841,0)),"")</f>
        <v>0.16200000000000001</v>
      </c>
      <c r="R166" s="195">
        <f t="shared" si="12"/>
        <v>0.61040000000000005</v>
      </c>
      <c r="S166" s="195">
        <f t="shared" si="12"/>
        <v>1.1399999999999993E-2</v>
      </c>
      <c r="T166" s="195">
        <f t="shared" si="13"/>
        <v>0.64536369974436436</v>
      </c>
      <c r="U166" s="195">
        <f t="shared" si="14"/>
        <v>0.42308879128134108</v>
      </c>
      <c r="V166" s="195">
        <f t="shared" si="15"/>
        <v>5.7194461167971071E-3</v>
      </c>
      <c r="W166">
        <f t="shared" si="10"/>
        <v>52</v>
      </c>
      <c r="X166" s="195">
        <f t="shared" si="16"/>
        <v>0.23353479840336766</v>
      </c>
      <c r="Y166" s="195" t="str">
        <f t="shared" si="17"/>
        <v/>
      </c>
      <c r="Z166" s="255" t="str">
        <f>IF(ISNUMBER(SEARCH("C",'WetLitterbags placem_collection'!W93)),"YES","NO")</f>
        <v>YES</v>
      </c>
      <c r="AA166" s="255" t="str">
        <f>IF(ISNUMBER(SEARCH("H", 'WetLitterbags placem_collection'!W93)),"YES","NO")</f>
        <v>YES</v>
      </c>
      <c r="AB166" s="255" t="str">
        <f>IF(ISNUMBER(SEARCH("R", 'WetLitterbags placem_collection'!W93)),"YES","NO")</f>
        <v>NO</v>
      </c>
      <c r="AC166" s="255" t="str">
        <f>IF(ISNUMBER(SEARCH("C", 'WetLitterbags placem_collection'!V93)),"YES","NO")</f>
        <v>NO</v>
      </c>
      <c r="AD166" s="255" t="str">
        <f>IF(ISNUMBER(SEARCH("H", 'WetLitterbags placem_collection'!V93)),"YES","NO")</f>
        <v>YES</v>
      </c>
      <c r="AE166" s="255" t="str">
        <f>IF(ISNUMBER(SEARCH("R", 'WetLitterbags placem_collection'!V93)),"YES","NO")</f>
        <v>YES</v>
      </c>
    </row>
    <row r="167" spans="2:31">
      <c r="B167" t="str">
        <f>'Final data_for_R_analysis_Wetse'!A93</f>
        <v>Wet</v>
      </c>
      <c r="C167" s="263">
        <f>'Final data_for_R_analysis_Wetse'!B93</f>
        <v>92</v>
      </c>
      <c r="D167" t="s">
        <v>3840</v>
      </c>
      <c r="E167" t="s">
        <v>22</v>
      </c>
      <c r="F167" s="387">
        <v>4</v>
      </c>
      <c r="G167" s="16">
        <f>'WetLitterbags placem_collection'!E94</f>
        <v>42767</v>
      </c>
      <c r="H167" t="str">
        <f>'Final data_for_R_analysis_Wetse'!J93</f>
        <v>G529</v>
      </c>
      <c r="I167" t="str">
        <f>'Final data_for_R_analysis_Wetse'!J313</f>
        <v>R445</v>
      </c>
      <c r="J167">
        <f>IFERROR(INDEX('Green_rooibos initial weight'!$C$5:$C$1749,MATCH(H167, 'Green_rooibos initial weight'!$A$5:$A$1749,0)),"")</f>
        <v>2.089</v>
      </c>
      <c r="K167">
        <f>IFERROR(INDEX('Green_rooibos initial weight'!$C$5:$C$1749,MATCH(I167, 'Green_rooibos initial weight'!$A$5:$A$1749,0)),"")</f>
        <v>2.2389999999999999</v>
      </c>
      <c r="L167" s="195">
        <f t="shared" si="11"/>
        <v>1.8391999999999999</v>
      </c>
      <c r="M167" s="195">
        <f>AVERAGE(Ashed_controlls!$K$2:$K$11)</f>
        <v>5.5147656768714146</v>
      </c>
      <c r="N167" s="195">
        <f t="shared" si="9"/>
        <v>1.9891999999999999</v>
      </c>
      <c r="O167" s="16">
        <f>IF('WetLitterbags placem_collection'!G94="N.A","",'WetLitterbags placem_collection'!G94)</f>
        <v>42819</v>
      </c>
      <c r="P167" s="195">
        <f>IF(IFERROR(INDEX('Both teabags AfterWet'!$C$3:$C$841,MATCH(H167,'Both teabags AfterWet'!$A$3:$A$841,0)),"")="N.A","",(IFERROR(INDEX('Both teabags AfterWet'!$C$3:$C$841,MATCH(H167,'Both teabags AfterWet'!$A$3:$A$841,0)),"")))</f>
        <v>0.76500000000000001</v>
      </c>
      <c r="Q167" s="195">
        <f>IFERROR(INDEX('Both teabags AfterWet'!$C$3:$C$841,MATCH(I167,'Both teabags AfterWet'!$A$3:$A$841,0)),"")</f>
        <v>0.31</v>
      </c>
      <c r="R167" s="195">
        <f t="shared" si="12"/>
        <v>0.61440000000000006</v>
      </c>
      <c r="S167" s="195">
        <f t="shared" si="12"/>
        <v>0.15939999999999999</v>
      </c>
      <c r="T167" s="195">
        <f t="shared" si="13"/>
        <v>0.66594171378860367</v>
      </c>
      <c r="U167" s="195">
        <f t="shared" si="14"/>
        <v>0.43657936580915591</v>
      </c>
      <c r="V167" s="195">
        <f t="shared" si="15"/>
        <v>8.0132716670018103E-2</v>
      </c>
      <c r="W167">
        <f t="shared" si="10"/>
        <v>52</v>
      </c>
      <c r="X167" s="195">
        <f t="shared" si="16"/>
        <v>0.20909535179500749</v>
      </c>
      <c r="Y167" s="195" t="str">
        <f t="shared" si="17"/>
        <v/>
      </c>
      <c r="Z167" s="255" t="str">
        <f>IF(ISNUMBER(SEARCH("C",'WetLitterbags placem_collection'!W94)),"YES","NO")</f>
        <v>YES</v>
      </c>
      <c r="AA167" s="255" t="str">
        <f>IF(ISNUMBER(SEARCH("H", 'WetLitterbags placem_collection'!W94)),"YES","NO")</f>
        <v>YES</v>
      </c>
      <c r="AB167" s="255" t="str">
        <f>IF(ISNUMBER(SEARCH("R", 'WetLitterbags placem_collection'!W94)),"YES","NO")</f>
        <v>NO</v>
      </c>
      <c r="AC167" s="255" t="str">
        <f>IF(ISNUMBER(SEARCH("C", 'WetLitterbags placem_collection'!V94)),"YES","NO")</f>
        <v>YES</v>
      </c>
      <c r="AD167" s="255" t="str">
        <f>IF(ISNUMBER(SEARCH("H", 'WetLitterbags placem_collection'!V94)),"YES","NO")</f>
        <v>YES</v>
      </c>
      <c r="AE167" s="255" t="str">
        <f>IF(ISNUMBER(SEARCH("R", 'WetLitterbags placem_collection'!V94)),"YES","NO")</f>
        <v>NO</v>
      </c>
    </row>
    <row r="168" spans="2:31">
      <c r="B168" t="str">
        <f>'Final data_for_R_analysis_Wetse'!A94</f>
        <v>Wet</v>
      </c>
      <c r="C168" s="263">
        <f>'Final data_for_R_analysis_Wetse'!B94</f>
        <v>93</v>
      </c>
      <c r="D168" t="s">
        <v>3840</v>
      </c>
      <c r="E168" t="s">
        <v>22</v>
      </c>
      <c r="F168" s="387">
        <v>5</v>
      </c>
      <c r="G168" s="16">
        <f>'WetLitterbags placem_collection'!E95</f>
        <v>42767</v>
      </c>
      <c r="H168" t="str">
        <f>'Final data_for_R_analysis_Wetse'!J94</f>
        <v>G636</v>
      </c>
      <c r="I168" t="str">
        <f>'Final data_for_R_analysis_Wetse'!J314</f>
        <v>R12</v>
      </c>
      <c r="J168">
        <f>IFERROR(INDEX('Green_rooibos initial weight'!$C$5:$C$1749,MATCH(H168, 'Green_rooibos initial weight'!$A$5:$A$1749,0)),"")</f>
        <v>2.133</v>
      </c>
      <c r="K168">
        <f>IFERROR(INDEX('Green_rooibos initial weight'!$C$5:$C$1749,MATCH(I168, 'Green_rooibos initial weight'!$A$5:$A$1749,0)),"")</f>
        <v>2.1709999999999998</v>
      </c>
      <c r="L168" s="195">
        <f t="shared" si="11"/>
        <v>1.8832</v>
      </c>
      <c r="M168" s="195">
        <f>AVERAGE(Ashed_controlls!$K$2:$K$11)</f>
        <v>5.5147656768714146</v>
      </c>
      <c r="N168" s="195">
        <f t="shared" si="9"/>
        <v>1.9211999999999998</v>
      </c>
      <c r="O168" s="16">
        <f>IF('WetLitterbags placem_collection'!G95="N.A","",'WetLitterbags placem_collection'!G95)</f>
        <v>42819</v>
      </c>
      <c r="P168" s="195">
        <f>IF(IFERROR(INDEX('Both teabags AfterWet'!$C$3:$C$841,MATCH(H168,'Both teabags AfterWet'!$A$3:$A$841,0)),"")="N.A","",(IFERROR(INDEX('Both teabags AfterWet'!$C$3:$C$841,MATCH(H168,'Both teabags AfterWet'!$A$3:$A$841,0)),"")))</f>
        <v>0.79630000000000001</v>
      </c>
      <c r="Q168" s="195">
        <f>IFERROR(INDEX('Both teabags AfterWet'!$C$3:$C$841,MATCH(I168,'Both teabags AfterWet'!$A$3:$A$841,0)),"")</f>
        <v>0.17</v>
      </c>
      <c r="R168" s="195">
        <f t="shared" si="12"/>
        <v>0.64569999999999994</v>
      </c>
      <c r="S168" s="195">
        <f t="shared" si="12"/>
        <v>1.9400000000000001E-2</v>
      </c>
      <c r="T168" s="195">
        <f t="shared" si="13"/>
        <v>0.65712616822429903</v>
      </c>
      <c r="U168" s="195">
        <f t="shared" si="14"/>
        <v>0.43080005327768778</v>
      </c>
      <c r="V168" s="195">
        <f t="shared" si="15"/>
        <v>1.0097855506974809E-2</v>
      </c>
      <c r="W168">
        <f t="shared" si="10"/>
        <v>52</v>
      </c>
      <c r="X168" s="195">
        <f t="shared" si="16"/>
        <v>0.21956512087375413</v>
      </c>
      <c r="Y168" s="195" t="str">
        <f t="shared" si="17"/>
        <v/>
      </c>
      <c r="Z168" s="255" t="str">
        <f>IF(ISNUMBER(SEARCH("C",'WetLitterbags placem_collection'!W95)),"YES","NO")</f>
        <v>NO</v>
      </c>
      <c r="AA168" s="255" t="str">
        <f>IF(ISNUMBER(SEARCH("H", 'WetLitterbags placem_collection'!W95)),"YES","NO")</f>
        <v>YES</v>
      </c>
      <c r="AB168" s="255" t="str">
        <f>IF(ISNUMBER(SEARCH("R", 'WetLitterbags placem_collection'!W95)),"YES","NO")</f>
        <v>NO</v>
      </c>
      <c r="AC168" s="255" t="str">
        <f>IF(ISNUMBER(SEARCH("C", 'WetLitterbags placem_collection'!V95)),"YES","NO")</f>
        <v>NO</v>
      </c>
      <c r="AD168" s="255" t="str">
        <f>IF(ISNUMBER(SEARCH("H", 'WetLitterbags placem_collection'!V95)),"YES","NO")</f>
        <v>NO</v>
      </c>
      <c r="AE168" s="255" t="str">
        <f>IF(ISNUMBER(SEARCH("R", 'WetLitterbags placem_collection'!V95)),"YES","NO")</f>
        <v>YES</v>
      </c>
    </row>
    <row r="169" spans="2:31">
      <c r="B169" t="str">
        <f>'Final data_for_R_analysis_Wetse'!A95</f>
        <v>Wet</v>
      </c>
      <c r="C169" s="263">
        <f>'Final data_for_R_analysis_Wetse'!B95</f>
        <v>94</v>
      </c>
      <c r="D169" t="s">
        <v>3840</v>
      </c>
      <c r="E169" t="s">
        <v>22</v>
      </c>
      <c r="F169" s="387">
        <v>6</v>
      </c>
      <c r="G169" s="16">
        <f>'WetLitterbags placem_collection'!E96</f>
        <v>42767</v>
      </c>
      <c r="H169" t="str">
        <f>'Final data_for_R_analysis_Wetse'!J95</f>
        <v>G534</v>
      </c>
      <c r="I169" t="str">
        <f>'Final data_for_R_analysis_Wetse'!J315</f>
        <v>R244</v>
      </c>
      <c r="J169">
        <f>IFERROR(INDEX('Green_rooibos initial weight'!$C$5:$C$1749,MATCH(H169, 'Green_rooibos initial weight'!$A$5:$A$1749,0)),"")</f>
        <v>2.169</v>
      </c>
      <c r="K169">
        <f>IFERROR(INDEX('Green_rooibos initial weight'!$C$5:$C$1749,MATCH(I169, 'Green_rooibos initial weight'!$A$5:$A$1749,0)),"")</f>
        <v>2.2490000000000001</v>
      </c>
      <c r="L169" s="195">
        <f t="shared" si="11"/>
        <v>1.9192</v>
      </c>
      <c r="M169" s="195">
        <f>AVERAGE(Ashed_controlls!$K$2:$K$11)</f>
        <v>5.5147656768714146</v>
      </c>
      <c r="N169" s="195">
        <f t="shared" si="9"/>
        <v>1.9992000000000001</v>
      </c>
      <c r="O169" s="16">
        <f>IF('WetLitterbags placem_collection'!G96="N.A","",'WetLitterbags placem_collection'!G96)</f>
        <v>0</v>
      </c>
      <c r="P169" s="195" t="str">
        <f>IF(IFERROR(INDEX('Both teabags AfterWet'!$C$3:$C$841,MATCH(H169,'Both teabags AfterWet'!$A$3:$A$841,0)),"")="N.A","",(IFERROR(INDEX('Both teabags AfterWet'!$C$3:$C$841,MATCH(H169,'Both teabags AfterWet'!$A$3:$A$841,0)),"")))</f>
        <v/>
      </c>
      <c r="Q169" s="195" t="str">
        <f>IFERROR(INDEX('Both teabags AfterWet'!$C$3:$C$841,MATCH(I169,'Both teabags AfterWet'!$A$3:$A$841,0)),"")</f>
        <v/>
      </c>
      <c r="R169" s="195" t="str">
        <f t="shared" si="12"/>
        <v/>
      </c>
      <c r="S169" s="195" t="str">
        <f t="shared" si="12"/>
        <v/>
      </c>
      <c r="T169" s="195" t="str">
        <f t="shared" si="13"/>
        <v/>
      </c>
      <c r="U169" s="195" t="str">
        <f t="shared" si="14"/>
        <v/>
      </c>
      <c r="V169" s="195" t="str">
        <f t="shared" si="15"/>
        <v/>
      </c>
      <c r="W169" t="str">
        <f t="shared" si="10"/>
        <v/>
      </c>
      <c r="X169" s="195" t="str">
        <f t="shared" si="16"/>
        <v/>
      </c>
      <c r="Y169" s="195" t="str">
        <f t="shared" si="17"/>
        <v/>
      </c>
      <c r="Z169" s="255" t="str">
        <f>IF(ISNUMBER(SEARCH("C",'WetLitterbags placem_collection'!W96)),"YES","NO")</f>
        <v>NO</v>
      </c>
      <c r="AA169" s="255" t="str">
        <f>IF(ISNUMBER(SEARCH("H", 'WetLitterbags placem_collection'!W96)),"YES","NO")</f>
        <v>NO</v>
      </c>
      <c r="AB169" s="255" t="str">
        <f>IF(ISNUMBER(SEARCH("R", 'WetLitterbags placem_collection'!W96)),"YES","NO")</f>
        <v>NO</v>
      </c>
      <c r="AC169" s="255" t="str">
        <f>IF(ISNUMBER(SEARCH("C", 'WetLitterbags placem_collection'!V96)),"YES","NO")</f>
        <v>NO</v>
      </c>
      <c r="AD169" s="255" t="str">
        <f>IF(ISNUMBER(SEARCH("H", 'WetLitterbags placem_collection'!V96)),"YES","NO")</f>
        <v>NO</v>
      </c>
      <c r="AE169" s="255" t="str">
        <f>IF(ISNUMBER(SEARCH("R", 'WetLitterbags placem_collection'!V96)),"YES","NO")</f>
        <v>NO</v>
      </c>
    </row>
    <row r="170" spans="2:31">
      <c r="B170" t="str">
        <f>'Final data_for_R_analysis_Wetse'!A96</f>
        <v>Wet</v>
      </c>
      <c r="C170" s="263">
        <f>'Final data_for_R_analysis_Wetse'!B96</f>
        <v>95</v>
      </c>
      <c r="D170" t="s">
        <v>3840</v>
      </c>
      <c r="E170" t="s">
        <v>22</v>
      </c>
      <c r="F170" s="387">
        <v>7</v>
      </c>
      <c r="G170" s="16">
        <f>'WetLitterbags placem_collection'!E97</f>
        <v>42767</v>
      </c>
      <c r="H170" t="str">
        <f>'Final data_for_R_analysis_Wetse'!J96</f>
        <v>G641</v>
      </c>
      <c r="I170" t="str">
        <f>'Final data_for_R_analysis_Wetse'!J316</f>
        <v>R360</v>
      </c>
      <c r="J170">
        <f>IFERROR(INDEX('Green_rooibos initial weight'!$C$5:$C$1749,MATCH(H170, 'Green_rooibos initial weight'!$A$5:$A$1749,0)),"")</f>
        <v>2.14</v>
      </c>
      <c r="K170">
        <f>IFERROR(INDEX('Green_rooibos initial weight'!$C$5:$C$1749,MATCH(I170, 'Green_rooibos initial weight'!$A$5:$A$1749,0)),"")</f>
        <v>2.206</v>
      </c>
      <c r="L170" s="195">
        <f t="shared" si="11"/>
        <v>1.8902000000000001</v>
      </c>
      <c r="M170" s="195">
        <f>AVERAGE(Ashed_controlls!$K$2:$K$11)</f>
        <v>5.5147656768714146</v>
      </c>
      <c r="N170" s="195">
        <f t="shared" si="9"/>
        <v>1.9561999999999999</v>
      </c>
      <c r="O170" s="16">
        <f>IF('WetLitterbags placem_collection'!G97="N.A","",'WetLitterbags placem_collection'!G97)</f>
        <v>42819</v>
      </c>
      <c r="P170" s="195">
        <f>IF(IFERROR(INDEX('Both teabags AfterWet'!$C$3:$C$841,MATCH(H170,'Both teabags AfterWet'!$A$3:$A$841,0)),"")="N.A","",(IFERROR(INDEX('Both teabags AfterWet'!$C$3:$C$841,MATCH(H170,'Both teabags AfterWet'!$A$3:$A$841,0)),"")))</f>
        <v>1.254</v>
      </c>
      <c r="Q170" s="195">
        <f>IFERROR(INDEX('Both teabags AfterWet'!$C$3:$C$841,MATCH(I170,'Both teabags AfterWet'!$A$3:$A$841,0)),"")</f>
        <v>0.45800000000000002</v>
      </c>
      <c r="R170" s="195">
        <f t="shared" si="12"/>
        <v>1.1033999999999999</v>
      </c>
      <c r="S170" s="195">
        <f t="shared" si="12"/>
        <v>0.30740000000000001</v>
      </c>
      <c r="T170" s="195">
        <f t="shared" si="13"/>
        <v>0.41625224843931863</v>
      </c>
      <c r="U170" s="195">
        <f t="shared" si="14"/>
        <v>0.27288745978444645</v>
      </c>
      <c r="V170" s="195">
        <f t="shared" si="15"/>
        <v>0.15714139658521625</v>
      </c>
      <c r="W170">
        <f t="shared" si="10"/>
        <v>52</v>
      </c>
      <c r="X170" s="195">
        <f t="shared" si="16"/>
        <v>0.50563865981078548</v>
      </c>
      <c r="Y170" s="195" t="str">
        <f t="shared" si="17"/>
        <v/>
      </c>
      <c r="Z170" s="255" t="str">
        <f>IF(ISNUMBER(SEARCH("C",'WetLitterbags placem_collection'!W97)),"YES","NO")</f>
        <v>NO</v>
      </c>
      <c r="AA170" s="255" t="str">
        <f>IF(ISNUMBER(SEARCH("H", 'WetLitterbags placem_collection'!W97)),"YES","NO")</f>
        <v>YES</v>
      </c>
      <c r="AB170" s="255" t="str">
        <f>IF(ISNUMBER(SEARCH("R", 'WetLitterbags placem_collection'!W97)),"YES","NO")</f>
        <v>YES</v>
      </c>
      <c r="AC170" s="255" t="str">
        <f>IF(ISNUMBER(SEARCH("C", 'WetLitterbags placem_collection'!V97)),"YES","NO")</f>
        <v>YES</v>
      </c>
      <c r="AD170" s="255" t="str">
        <f>IF(ISNUMBER(SEARCH("H", 'WetLitterbags placem_collection'!V97)),"YES","NO")</f>
        <v>YES</v>
      </c>
      <c r="AE170" s="255" t="str">
        <f>IF(ISNUMBER(SEARCH("R", 'WetLitterbags placem_collection'!V97)),"YES","NO")</f>
        <v>YES</v>
      </c>
    </row>
    <row r="171" spans="2:31">
      <c r="B171" t="str">
        <f>'Final data_for_R_analysis_Wetse'!A97</f>
        <v>Wet</v>
      </c>
      <c r="C171" s="263">
        <f>'Final data_for_R_analysis_Wetse'!B97</f>
        <v>96</v>
      </c>
      <c r="D171" t="s">
        <v>3840</v>
      </c>
      <c r="E171" t="s">
        <v>22</v>
      </c>
      <c r="F171" s="387">
        <v>8</v>
      </c>
      <c r="G171" s="16">
        <f>'WetLitterbags placem_collection'!E98</f>
        <v>42767</v>
      </c>
      <c r="H171" t="str">
        <f>'Final data_for_R_analysis_Wetse'!J97</f>
        <v>G479</v>
      </c>
      <c r="I171" t="str">
        <f>'Final data_for_R_analysis_Wetse'!J317</f>
        <v>R318</v>
      </c>
      <c r="J171">
        <f>IFERROR(INDEX('Green_rooibos initial weight'!$C$5:$C$1749,MATCH(H171, 'Green_rooibos initial weight'!$A$5:$A$1749,0)),"")</f>
        <v>1.982</v>
      </c>
      <c r="K171">
        <f>IFERROR(INDEX('Green_rooibos initial weight'!$C$5:$C$1749,MATCH(I171, 'Green_rooibos initial weight'!$A$5:$A$1749,0)),"")</f>
        <v>2.23</v>
      </c>
      <c r="L171" s="195">
        <f t="shared" si="11"/>
        <v>1.7322</v>
      </c>
      <c r="M171" s="195">
        <f>AVERAGE(Ashed_controlls!$K$2:$K$11)</f>
        <v>5.5147656768714146</v>
      </c>
      <c r="N171" s="195">
        <f t="shared" si="9"/>
        <v>1.9802</v>
      </c>
      <c r="O171" s="16">
        <f>IF('WetLitterbags placem_collection'!G98="N.A","",'WetLitterbags placem_collection'!G98)</f>
        <v>42819</v>
      </c>
      <c r="P171" s="195">
        <f>IF(IFERROR(INDEX('Both teabags AfterWet'!$C$3:$C$841,MATCH(H171,'Both teabags AfterWet'!$A$3:$A$841,0)),"")="N.A","",(IFERROR(INDEX('Both teabags AfterWet'!$C$3:$C$841,MATCH(H171,'Both teabags AfterWet'!$A$3:$A$841,0)),"")))</f>
        <v>0.90410000000000001</v>
      </c>
      <c r="Q171" s="195">
        <f>IFERROR(INDEX('Both teabags AfterWet'!$C$3:$C$841,MATCH(I171,'Both teabags AfterWet'!$A$3:$A$841,0)),"")</f>
        <v>1.748</v>
      </c>
      <c r="R171" s="195">
        <f t="shared" si="12"/>
        <v>0.75350000000000006</v>
      </c>
      <c r="S171" s="195">
        <f t="shared" si="12"/>
        <v>1.5973999999999999</v>
      </c>
      <c r="T171" s="195">
        <f t="shared" si="13"/>
        <v>0.56500404110379865</v>
      </c>
      <c r="U171" s="195">
        <f t="shared" si="14"/>
        <v>0.37040644974975878</v>
      </c>
      <c r="V171" s="195">
        <f t="shared" si="15"/>
        <v>0.80668619331380664</v>
      </c>
      <c r="W171">
        <f t="shared" si="10"/>
        <v>52</v>
      </c>
      <c r="X171" s="195">
        <f t="shared" si="16"/>
        <v>0.32897382291710375</v>
      </c>
      <c r="Y171" s="195">
        <f t="shared" si="17"/>
        <v>1.4190921399401094E-2</v>
      </c>
      <c r="Z171" s="255" t="str">
        <f>IF(ISNUMBER(SEARCH("C",'WetLitterbags placem_collection'!W98)),"YES","NO")</f>
        <v>YES</v>
      </c>
      <c r="AA171" s="255" t="str">
        <f>IF(ISNUMBER(SEARCH("H", 'WetLitterbags placem_collection'!W98)),"YES","NO")</f>
        <v>YES</v>
      </c>
      <c r="AB171" s="255" t="str">
        <f>IF(ISNUMBER(SEARCH("R", 'WetLitterbags placem_collection'!W98)),"YES","NO")</f>
        <v>NO</v>
      </c>
      <c r="AC171" s="255" t="str">
        <f>IF(ISNUMBER(SEARCH("C", 'WetLitterbags placem_collection'!V98)),"YES","NO")</f>
        <v>NO</v>
      </c>
      <c r="AD171" s="255" t="str">
        <f>IF(ISNUMBER(SEARCH("H", 'WetLitterbags placem_collection'!V98)),"YES","NO")</f>
        <v>NO</v>
      </c>
      <c r="AE171" s="255" t="str">
        <f>IF(ISNUMBER(SEARCH("R", 'WetLitterbags placem_collection'!V98)),"YES","NO")</f>
        <v>YES</v>
      </c>
    </row>
    <row r="172" spans="2:31">
      <c r="B172" t="str">
        <f>'Final data_for_R_analysis_Wetse'!A98</f>
        <v>Wet</v>
      </c>
      <c r="C172" s="263">
        <f>'Final data_for_R_analysis_Wetse'!B98</f>
        <v>97</v>
      </c>
      <c r="D172" t="s">
        <v>3841</v>
      </c>
      <c r="E172" t="s">
        <v>22</v>
      </c>
      <c r="F172" s="386">
        <v>1</v>
      </c>
      <c r="G172" s="16">
        <f>'WetLitterbags placem_collection'!E99</f>
        <v>42762</v>
      </c>
      <c r="H172" t="str">
        <f>'Final data_for_R_analysis_Wetse'!J98</f>
        <v>G741</v>
      </c>
      <c r="I172" t="str">
        <f>'Final data_for_R_analysis_Wetse'!J318</f>
        <v>R518</v>
      </c>
      <c r="J172">
        <f>IFERROR(INDEX('Green_rooibos initial weight'!$C$5:$C$1749,MATCH(H172, 'Green_rooibos initial weight'!$A$5:$A$1749,0)),"")</f>
        <v>2.1019999999999999</v>
      </c>
      <c r="K172">
        <f>IFERROR(INDEX('Green_rooibos initial weight'!$C$5:$C$1749,MATCH(I172, 'Green_rooibos initial weight'!$A$5:$A$1749,0)),"")</f>
        <v>2.198</v>
      </c>
      <c r="L172" s="195">
        <f t="shared" si="11"/>
        <v>1.8521999999999998</v>
      </c>
      <c r="M172" s="195">
        <f>AVERAGE(Ashed_controlls!$K$2:$K$11)</f>
        <v>5.5147656768714146</v>
      </c>
      <c r="N172" s="195">
        <f t="shared" si="9"/>
        <v>1.9481999999999999</v>
      </c>
      <c r="O172" s="16">
        <f>IF('WetLitterbags placem_collection'!G99="N.A","",'WetLitterbags placem_collection'!G99)</f>
        <v>42816</v>
      </c>
      <c r="P172" s="195">
        <f>IF(IFERROR(INDEX('Both teabags AfterWet'!$C$3:$C$841,MATCH(H172,'Both teabags AfterWet'!$A$3:$A$841,0)),"")="N.A","",(IFERROR(INDEX('Both teabags AfterWet'!$C$3:$C$841,MATCH(H172,'Both teabags AfterWet'!$A$3:$A$841,0)),"")))</f>
        <v>0.60680000000000001</v>
      </c>
      <c r="Q172" s="195">
        <f>IFERROR(INDEX('Both teabags AfterWet'!$C$3:$C$841,MATCH(I172,'Both teabags AfterWet'!$A$3:$A$841,0)),"")</f>
        <v>0</v>
      </c>
      <c r="R172" s="195">
        <f t="shared" si="12"/>
        <v>0.45619999999999999</v>
      </c>
      <c r="S172" s="195" t="str">
        <f t="shared" si="12"/>
        <v/>
      </c>
      <c r="T172" s="195">
        <f t="shared" si="13"/>
        <v>0.75369830471871291</v>
      </c>
      <c r="U172" s="195">
        <f t="shared" si="14"/>
        <v>0.49411100261844371</v>
      </c>
      <c r="V172" s="195" t="str">
        <f t="shared" si="15"/>
        <v/>
      </c>
      <c r="W172">
        <f t="shared" si="10"/>
        <v>54</v>
      </c>
      <c r="X172" s="195">
        <f t="shared" si="16"/>
        <v>0.10487137206803687</v>
      </c>
      <c r="Y172" s="195" t="str">
        <f t="shared" si="17"/>
        <v/>
      </c>
      <c r="Z172" s="255" t="str">
        <f>IF(ISNUMBER(SEARCH("C",'WetLitterbags placem_collection'!W99)),"YES","NO")</f>
        <v>YES</v>
      </c>
      <c r="AA172" s="255" t="str">
        <f>IF(ISNUMBER(SEARCH("H", 'WetLitterbags placem_collection'!W99)),"YES","NO")</f>
        <v>YES</v>
      </c>
      <c r="AB172" s="255" t="str">
        <f>IF(ISNUMBER(SEARCH("R", 'WetLitterbags placem_collection'!W99)),"YES","NO")</f>
        <v>NO</v>
      </c>
      <c r="AC172" s="255" t="str">
        <f>IF(ISNUMBER(SEARCH("C", 'WetLitterbags placem_collection'!V99)),"YES","NO")</f>
        <v>NO</v>
      </c>
      <c r="AD172" s="255" t="str">
        <f>IF(ISNUMBER(SEARCH("H", 'WetLitterbags placem_collection'!V99)),"YES","NO")</f>
        <v>NO</v>
      </c>
      <c r="AE172" s="255" t="str">
        <f>IF(ISNUMBER(SEARCH("R", 'WetLitterbags placem_collection'!V99)),"YES","NO")</f>
        <v>NO</v>
      </c>
    </row>
    <row r="173" spans="2:31">
      <c r="B173" t="str">
        <f>'Final data_for_R_analysis_Wetse'!A99</f>
        <v>Wet</v>
      </c>
      <c r="C173" s="263">
        <f>'Final data_for_R_analysis_Wetse'!B99</f>
        <v>98</v>
      </c>
      <c r="D173" t="s">
        <v>3841</v>
      </c>
      <c r="E173" t="s">
        <v>22</v>
      </c>
      <c r="F173" s="386">
        <v>2</v>
      </c>
      <c r="G173" s="16">
        <f>'WetLitterbags placem_collection'!E100</f>
        <v>42762</v>
      </c>
      <c r="H173" t="str">
        <f>'Final data_for_R_analysis_Wetse'!J99</f>
        <v>G610</v>
      </c>
      <c r="I173" t="str">
        <f>'Final data_for_R_analysis_Wetse'!J319</f>
        <v>R489</v>
      </c>
      <c r="J173">
        <f>IFERROR(INDEX('Green_rooibos initial weight'!$C$5:$C$1749,MATCH(H173, 'Green_rooibos initial weight'!$A$5:$A$1749,0)),"")</f>
        <v>2.0379999999999998</v>
      </c>
      <c r="K173">
        <f>IFERROR(INDEX('Green_rooibos initial weight'!$C$5:$C$1749,MATCH(I173, 'Green_rooibos initial weight'!$A$5:$A$1749,0)),"")</f>
        <v>2.157</v>
      </c>
      <c r="L173" s="195">
        <f t="shared" si="11"/>
        <v>1.7881999999999998</v>
      </c>
      <c r="M173" s="195">
        <f>AVERAGE(Ashed_controlls!$K$2:$K$11)</f>
        <v>5.5147656768714146</v>
      </c>
      <c r="N173" s="195">
        <f t="shared" si="9"/>
        <v>1.9072</v>
      </c>
      <c r="O173" s="16">
        <f>IF('WetLitterbags placem_collection'!G100="N.A","",'WetLitterbags placem_collection'!G100)</f>
        <v>42816</v>
      </c>
      <c r="P173" s="195">
        <f>IF(IFERROR(INDEX('Both teabags AfterWet'!$C$3:$C$841,MATCH(H173,'Both teabags AfterWet'!$A$3:$A$841,0)),"")="N.A","",(IFERROR(INDEX('Both teabags AfterWet'!$C$3:$C$841,MATCH(H173,'Both teabags AfterWet'!$A$3:$A$841,0)),"")))</f>
        <v>0.56599999999999995</v>
      </c>
      <c r="Q173" s="195">
        <f>IFERROR(INDEX('Both teabags AfterWet'!$C$3:$C$841,MATCH(I173,'Both teabags AfterWet'!$A$3:$A$841,0)),"")</f>
        <v>1.5389999999999999</v>
      </c>
      <c r="R173" s="195">
        <f t="shared" si="12"/>
        <v>0.41539999999999994</v>
      </c>
      <c r="S173" s="195">
        <f t="shared" si="12"/>
        <v>1.3883999999999999</v>
      </c>
      <c r="T173" s="195">
        <f t="shared" si="13"/>
        <v>0.76769936248741755</v>
      </c>
      <c r="U173" s="195">
        <f t="shared" si="14"/>
        <v>0.50328984334091986</v>
      </c>
      <c r="V173" s="195">
        <f t="shared" si="15"/>
        <v>0.727978187919463</v>
      </c>
      <c r="W173">
        <f t="shared" si="10"/>
        <v>54</v>
      </c>
      <c r="X173" s="195">
        <f t="shared" si="16"/>
        <v>8.8243037425869919E-2</v>
      </c>
      <c r="Y173" s="195">
        <f t="shared" si="17"/>
        <v>1.439979420516143E-2</v>
      </c>
      <c r="Z173" s="255" t="str">
        <f>IF(ISNUMBER(SEARCH("C",'WetLitterbags placem_collection'!W100)),"YES","NO")</f>
        <v>NO</v>
      </c>
      <c r="AA173" s="255" t="str">
        <f>IF(ISNUMBER(SEARCH("H", 'WetLitterbags placem_collection'!W100)),"YES","NO")</f>
        <v>NO</v>
      </c>
      <c r="AB173" s="255" t="str">
        <f>IF(ISNUMBER(SEARCH("R", 'WetLitterbags placem_collection'!W100)),"YES","NO")</f>
        <v>NO</v>
      </c>
      <c r="AC173" s="255" t="str">
        <f>IF(ISNUMBER(SEARCH("C", 'WetLitterbags placem_collection'!V100)),"YES","NO")</f>
        <v>NO</v>
      </c>
      <c r="AD173" s="255" t="str">
        <f>IF(ISNUMBER(SEARCH("H", 'WetLitterbags placem_collection'!V100)),"YES","NO")</f>
        <v>NO</v>
      </c>
      <c r="AE173" s="255" t="str">
        <f>IF(ISNUMBER(SEARCH("R", 'WetLitterbags placem_collection'!V100)),"YES","NO")</f>
        <v>NO</v>
      </c>
    </row>
    <row r="174" spans="2:31">
      <c r="B174" t="str">
        <f>'Final data_for_R_analysis_Wetse'!A100</f>
        <v>Wet</v>
      </c>
      <c r="C174" s="263">
        <f>'Final data_for_R_analysis_Wetse'!B100</f>
        <v>99</v>
      </c>
      <c r="D174" t="s">
        <v>3841</v>
      </c>
      <c r="E174" t="s">
        <v>22</v>
      </c>
      <c r="F174" s="386">
        <v>3</v>
      </c>
      <c r="G174" s="16">
        <f>'WetLitterbags placem_collection'!E101</f>
        <v>42762</v>
      </c>
      <c r="H174" t="str">
        <f>'Final data_for_R_analysis_Wetse'!J100</f>
        <v>G765</v>
      </c>
      <c r="I174" t="str">
        <f>'Final data_for_R_analysis_Wetse'!J320</f>
        <v>R549</v>
      </c>
      <c r="J174">
        <f>IFERROR(INDEX('Green_rooibos initial weight'!$C$5:$C$1749,MATCH(H174, 'Green_rooibos initial weight'!$A$5:$A$1749,0)),"")</f>
        <v>2.08</v>
      </c>
      <c r="K174">
        <f>IFERROR(INDEX('Green_rooibos initial weight'!$C$5:$C$1749,MATCH(I174, 'Green_rooibos initial weight'!$A$5:$A$1749,0)),"")</f>
        <v>2.2320000000000002</v>
      </c>
      <c r="L174" s="195">
        <f t="shared" si="11"/>
        <v>1.8302</v>
      </c>
      <c r="M174" s="195">
        <f>AVERAGE(Ashed_controlls!$K$2:$K$11)</f>
        <v>5.5147656768714146</v>
      </c>
      <c r="N174" s="195">
        <f t="shared" si="9"/>
        <v>1.9822000000000002</v>
      </c>
      <c r="O174" s="16">
        <f>IF('WetLitterbags placem_collection'!G101="N.A","",'WetLitterbags placem_collection'!G101)</f>
        <v>42816</v>
      </c>
      <c r="P174" s="195">
        <f>IF(IFERROR(INDEX('Both teabags AfterWet'!$C$3:$C$841,MATCH(H174,'Both teabags AfterWet'!$A$3:$A$841,0)),"")="N.A","",(IFERROR(INDEX('Both teabags AfterWet'!$C$3:$C$841,MATCH(H174,'Both teabags AfterWet'!$A$3:$A$841,0)),"")))</f>
        <v>0.65149999999999997</v>
      </c>
      <c r="Q174" s="195">
        <f>IFERROR(INDEX('Both teabags AfterWet'!$C$3:$C$841,MATCH(I174,'Both teabags AfterWet'!$A$3:$A$841,0)),"")</f>
        <v>1.5992</v>
      </c>
      <c r="R174" s="195">
        <f t="shared" si="12"/>
        <v>0.5008999999999999</v>
      </c>
      <c r="S174" s="195">
        <f t="shared" si="12"/>
        <v>1.4485999999999999</v>
      </c>
      <c r="T174" s="195">
        <f t="shared" si="13"/>
        <v>0.72631406403671739</v>
      </c>
      <c r="U174" s="195">
        <f t="shared" si="14"/>
        <v>0.4761583887746651</v>
      </c>
      <c r="V174" s="195">
        <f t="shared" si="15"/>
        <v>0.73080415699727563</v>
      </c>
      <c r="W174">
        <f t="shared" si="10"/>
        <v>54</v>
      </c>
      <c r="X174" s="195">
        <f t="shared" si="16"/>
        <v>0.13739422323430239</v>
      </c>
      <c r="Y174" s="195">
        <f t="shared" si="17"/>
        <v>1.542986499657268E-2</v>
      </c>
      <c r="Z174" s="255" t="str">
        <f>IF(ISNUMBER(SEARCH("C",'WetLitterbags placem_collection'!W101)),"YES","NO")</f>
        <v>NO</v>
      </c>
      <c r="AA174" s="255" t="str">
        <f>IF(ISNUMBER(SEARCH("H", 'WetLitterbags placem_collection'!W101)),"YES","NO")</f>
        <v>NO</v>
      </c>
      <c r="AB174" s="255" t="str">
        <f>IF(ISNUMBER(SEARCH("R", 'WetLitterbags placem_collection'!W101)),"YES","NO")</f>
        <v>YES</v>
      </c>
      <c r="AC174" s="255" t="str">
        <f>IF(ISNUMBER(SEARCH("C", 'WetLitterbags placem_collection'!V101)),"YES","NO")</f>
        <v>NO</v>
      </c>
      <c r="AD174" s="255" t="str">
        <f>IF(ISNUMBER(SEARCH("H", 'WetLitterbags placem_collection'!V101)),"YES","NO")</f>
        <v>NO</v>
      </c>
      <c r="AE174" s="255" t="str">
        <f>IF(ISNUMBER(SEARCH("R", 'WetLitterbags placem_collection'!V101)),"YES","NO")</f>
        <v>YES</v>
      </c>
    </row>
    <row r="175" spans="2:31">
      <c r="B175" t="str">
        <f>'Final data_for_R_analysis_Wetse'!A101</f>
        <v>Wet</v>
      </c>
      <c r="C175" s="263">
        <f>'Final data_for_R_analysis_Wetse'!B101</f>
        <v>100</v>
      </c>
      <c r="D175" t="s">
        <v>3841</v>
      </c>
      <c r="E175" t="s">
        <v>22</v>
      </c>
      <c r="F175" s="387">
        <v>4</v>
      </c>
      <c r="G175" s="16">
        <f>'WetLitterbags placem_collection'!E102</f>
        <v>42762</v>
      </c>
      <c r="H175" t="str">
        <f>'Final data_for_R_analysis_Wetse'!J101</f>
        <v>G728</v>
      </c>
      <c r="I175" t="str">
        <f>'Final data_for_R_analysis_Wetse'!J321</f>
        <v>R500</v>
      </c>
      <c r="J175">
        <f>IFERROR(INDEX('Green_rooibos initial weight'!$C$5:$C$1749,MATCH(H175, 'Green_rooibos initial weight'!$A$5:$A$1749,0)),"")</f>
        <v>1.962</v>
      </c>
      <c r="K175">
        <f>IFERROR(INDEX('Green_rooibos initial weight'!$C$5:$C$1749,MATCH(I175, 'Green_rooibos initial weight'!$A$5:$A$1749,0)),"")</f>
        <v>2.2069999999999999</v>
      </c>
      <c r="L175" s="195">
        <f t="shared" si="11"/>
        <v>1.7121999999999999</v>
      </c>
      <c r="M175" s="195">
        <f>AVERAGE(Ashed_controlls!$K$2:$K$11)</f>
        <v>5.5147656768714146</v>
      </c>
      <c r="N175" s="195">
        <f t="shared" si="9"/>
        <v>1.9571999999999998</v>
      </c>
      <c r="O175" s="16">
        <f>IF('WetLitterbags placem_collection'!G102="N.A","",'WetLitterbags placem_collection'!G102)</f>
        <v>42816</v>
      </c>
      <c r="P175" s="195">
        <f>IF(IFERROR(INDEX('Both teabags AfterWet'!$C$3:$C$841,MATCH(H175,'Both teabags AfterWet'!$A$3:$A$841,0)),"")="N.A","",(IFERROR(INDEX('Both teabags AfterWet'!$C$3:$C$841,MATCH(H175,'Both teabags AfterWet'!$A$3:$A$841,0)),"")))</f>
        <v>0.59699999999999998</v>
      </c>
      <c r="Q175" s="195">
        <f>IFERROR(INDEX('Both teabags AfterWet'!$C$3:$C$841,MATCH(I175,'Both teabags AfterWet'!$A$3:$A$841,0)),"")</f>
        <v>1.764</v>
      </c>
      <c r="R175" s="195">
        <f t="shared" si="12"/>
        <v>0.44639999999999996</v>
      </c>
      <c r="S175" s="195">
        <f t="shared" si="12"/>
        <v>1.6133999999999999</v>
      </c>
      <c r="T175" s="195">
        <f t="shared" si="13"/>
        <v>0.73928279406611375</v>
      </c>
      <c r="U175" s="195">
        <f t="shared" si="14"/>
        <v>0.48466045406709601</v>
      </c>
      <c r="V175" s="195">
        <f t="shared" si="15"/>
        <v>0.8243408951563459</v>
      </c>
      <c r="W175">
        <f t="shared" si="10"/>
        <v>54</v>
      </c>
      <c r="X175" s="195">
        <f t="shared" si="16"/>
        <v>0.12199193103786965</v>
      </c>
      <c r="Y175" s="195">
        <f t="shared" si="17"/>
        <v>8.3352390322704983E-3</v>
      </c>
      <c r="Z175" s="255" t="str">
        <f>IF(ISNUMBER(SEARCH("C",'WetLitterbags placem_collection'!W102)),"YES","NO")</f>
        <v>YES</v>
      </c>
      <c r="AA175" s="255" t="str">
        <f>IF(ISNUMBER(SEARCH("H", 'WetLitterbags placem_collection'!W102)),"YES","NO")</f>
        <v>YES</v>
      </c>
      <c r="AB175" s="255" t="str">
        <f>IF(ISNUMBER(SEARCH("R", 'WetLitterbags placem_collection'!W102)),"YES","NO")</f>
        <v>NO</v>
      </c>
      <c r="AC175" s="255" t="str">
        <f>IF(ISNUMBER(SEARCH("C", 'WetLitterbags placem_collection'!V102)),"YES","NO")</f>
        <v>YES</v>
      </c>
      <c r="AD175" s="255" t="str">
        <f>IF(ISNUMBER(SEARCH("H", 'WetLitterbags placem_collection'!V102)),"YES","NO")</f>
        <v>NO</v>
      </c>
      <c r="AE175" s="255" t="str">
        <f>IF(ISNUMBER(SEARCH("R", 'WetLitterbags placem_collection'!V102)),"YES","NO")</f>
        <v>NO</v>
      </c>
    </row>
    <row r="176" spans="2:31">
      <c r="B176" t="str">
        <f>'Final data_for_R_analysis_Wetse'!A102</f>
        <v>Wet</v>
      </c>
      <c r="C176" s="263">
        <f>'Final data_for_R_analysis_Wetse'!B102</f>
        <v>101</v>
      </c>
      <c r="D176" t="s">
        <v>3841</v>
      </c>
      <c r="E176" t="s">
        <v>22</v>
      </c>
      <c r="F176" s="387">
        <v>5</v>
      </c>
      <c r="G176" s="16">
        <f>'WetLitterbags placem_collection'!E103</f>
        <v>42762</v>
      </c>
      <c r="H176" t="str">
        <f>'Final data_for_R_analysis_Wetse'!J102</f>
        <v>G808</v>
      </c>
      <c r="I176" t="str">
        <f>'Final data_for_R_analysis_Wetse'!J322</f>
        <v>R482</v>
      </c>
      <c r="J176">
        <f>IFERROR(INDEX('Green_rooibos initial weight'!$C$5:$C$1749,MATCH(H176, 'Green_rooibos initial weight'!$A$5:$A$1749,0)),"")</f>
        <v>1.86</v>
      </c>
      <c r="K176">
        <f>IFERROR(INDEX('Green_rooibos initial weight'!$C$5:$C$1749,MATCH(I176, 'Green_rooibos initial weight'!$A$5:$A$1749,0)),"")</f>
        <v>2.17</v>
      </c>
      <c r="L176" s="195">
        <f t="shared" si="11"/>
        <v>1.6102000000000001</v>
      </c>
      <c r="M176" s="195">
        <f>AVERAGE(Ashed_controlls!$K$2:$K$11)</f>
        <v>5.5147656768714146</v>
      </c>
      <c r="N176" s="195">
        <f t="shared" si="9"/>
        <v>1.9201999999999999</v>
      </c>
      <c r="O176" s="16">
        <f>IF('WetLitterbags placem_collection'!G103="N.A","",'WetLitterbags placem_collection'!G103)</f>
        <v>42816</v>
      </c>
      <c r="P176" s="195">
        <f>IF(IFERROR(INDEX('Both teabags AfterWet'!$C$3:$C$841,MATCH(H176,'Both teabags AfterWet'!$A$3:$A$841,0)),"")="N.A","",(IFERROR(INDEX('Both teabags AfterWet'!$C$3:$C$841,MATCH(H176,'Both teabags AfterWet'!$A$3:$A$841,0)),"")))</f>
        <v>0.54810000000000003</v>
      </c>
      <c r="Q176" s="195">
        <f>IFERROR(INDEX('Both teabags AfterWet'!$C$3:$C$841,MATCH(I176,'Both teabags AfterWet'!$A$3:$A$841,0)),"")</f>
        <v>1.6348</v>
      </c>
      <c r="R176" s="195">
        <f t="shared" si="12"/>
        <v>0.39750000000000002</v>
      </c>
      <c r="S176" s="195">
        <f t="shared" si="12"/>
        <v>1.4842</v>
      </c>
      <c r="T176" s="195">
        <f t="shared" si="13"/>
        <v>0.75313625636566883</v>
      </c>
      <c r="U176" s="195">
        <f t="shared" si="14"/>
        <v>0.49374253386442907</v>
      </c>
      <c r="V176" s="195">
        <f t="shared" si="15"/>
        <v>0.77294031871680036</v>
      </c>
      <c r="W176">
        <f t="shared" si="10"/>
        <v>54</v>
      </c>
      <c r="X176" s="195">
        <f t="shared" si="16"/>
        <v>0.10553888792675903</v>
      </c>
      <c r="Y176" s="195">
        <f t="shared" si="17"/>
        <v>1.1406556675487834E-2</v>
      </c>
      <c r="Z176" s="255" t="str">
        <f>IF(ISNUMBER(SEARCH("C",'WetLitterbags placem_collection'!W103)),"YES","NO")</f>
        <v>NO</v>
      </c>
      <c r="AA176" s="255" t="str">
        <f>IF(ISNUMBER(SEARCH("H", 'WetLitterbags placem_collection'!W103)),"YES","NO")</f>
        <v>NO</v>
      </c>
      <c r="AB176" s="255" t="str">
        <f>IF(ISNUMBER(SEARCH("R", 'WetLitterbags placem_collection'!W103)),"YES","NO")</f>
        <v>NO</v>
      </c>
      <c r="AC176" s="255" t="str">
        <f>IF(ISNUMBER(SEARCH("C", 'WetLitterbags placem_collection'!V103)),"YES","NO")</f>
        <v>NO</v>
      </c>
      <c r="AD176" s="255" t="str">
        <f>IF(ISNUMBER(SEARCH("H", 'WetLitterbags placem_collection'!V103)),"YES","NO")</f>
        <v>YES</v>
      </c>
      <c r="AE176" s="255" t="str">
        <f>IF(ISNUMBER(SEARCH("R", 'WetLitterbags placem_collection'!V103)),"YES","NO")</f>
        <v>NO</v>
      </c>
    </row>
    <row r="177" spans="2:31">
      <c r="B177" t="str">
        <f>'Final data_for_R_analysis_Wetse'!A103</f>
        <v>Wet</v>
      </c>
      <c r="C177" s="263">
        <f>'Final data_for_R_analysis_Wetse'!B103</f>
        <v>102</v>
      </c>
      <c r="D177" t="s">
        <v>3841</v>
      </c>
      <c r="E177" t="s">
        <v>22</v>
      </c>
      <c r="F177" s="387">
        <v>6</v>
      </c>
      <c r="G177" s="16">
        <f>'WetLitterbags placem_collection'!E104</f>
        <v>42762</v>
      </c>
      <c r="H177" t="str">
        <f>'Final data_for_R_analysis_Wetse'!J103</f>
        <v>G892</v>
      </c>
      <c r="I177" t="str">
        <f>'Final data_for_R_analysis_Wetse'!J323</f>
        <v>R569</v>
      </c>
      <c r="J177">
        <f>IFERROR(INDEX('Green_rooibos initial weight'!$C$5:$C$1749,MATCH(H177, 'Green_rooibos initial weight'!$A$5:$A$1749,0)),"")</f>
        <v>1.9510000000000001</v>
      </c>
      <c r="K177">
        <f>IFERROR(INDEX('Green_rooibos initial weight'!$C$5:$C$1749,MATCH(I177, 'Green_rooibos initial weight'!$A$5:$A$1749,0)),"")</f>
        <v>2.0960000000000001</v>
      </c>
      <c r="L177" s="195">
        <f t="shared" si="11"/>
        <v>1.7012</v>
      </c>
      <c r="M177" s="195">
        <f>AVERAGE(Ashed_controlls!$K$2:$K$11)</f>
        <v>5.5147656768714146</v>
      </c>
      <c r="N177" s="195">
        <f t="shared" si="9"/>
        <v>1.8462000000000001</v>
      </c>
      <c r="O177" s="16">
        <f>IF('WetLitterbags placem_collection'!G104="N.A","",'WetLitterbags placem_collection'!G104)</f>
        <v>42816</v>
      </c>
      <c r="P177" s="195">
        <f>IF(IFERROR(INDEX('Both teabags AfterWet'!$C$3:$C$841,MATCH(H177,'Both teabags AfterWet'!$A$3:$A$841,0)),"")="N.A","",(IFERROR(INDEX('Both teabags AfterWet'!$C$3:$C$841,MATCH(H177,'Both teabags AfterWet'!$A$3:$A$841,0)),"")))</f>
        <v>0.63100000000000001</v>
      </c>
      <c r="Q177" s="195">
        <f>IFERROR(INDEX('Both teabags AfterWet'!$C$3:$C$841,MATCH(I177,'Both teabags AfterWet'!$A$3:$A$841,0)),"")</f>
        <v>1.655</v>
      </c>
      <c r="R177" s="195">
        <f t="shared" si="12"/>
        <v>0.48039999999999999</v>
      </c>
      <c r="S177" s="195">
        <f t="shared" si="12"/>
        <v>1.5044</v>
      </c>
      <c r="T177" s="195">
        <f t="shared" si="13"/>
        <v>0.71761109804843648</v>
      </c>
      <c r="U177" s="195">
        <f t="shared" si="14"/>
        <v>0.47045288138092273</v>
      </c>
      <c r="V177" s="195">
        <f t="shared" si="15"/>
        <v>0.81486296175928929</v>
      </c>
      <c r="W177">
        <f t="shared" si="10"/>
        <v>54</v>
      </c>
      <c r="X177" s="195">
        <f t="shared" si="16"/>
        <v>0.14773028735340088</v>
      </c>
      <c r="Y177" s="195">
        <f t="shared" si="17"/>
        <v>9.2610929625657219E-3</v>
      </c>
      <c r="Z177" s="255" t="str">
        <f>IF(ISNUMBER(SEARCH("C",'WetLitterbags placem_collection'!W104)),"YES","NO")</f>
        <v>NO</v>
      </c>
      <c r="AA177" s="255" t="str">
        <f>IF(ISNUMBER(SEARCH("H", 'WetLitterbags placem_collection'!W104)),"YES","NO")</f>
        <v>NO</v>
      </c>
      <c r="AB177" s="255" t="str">
        <f>IF(ISNUMBER(SEARCH("R", 'WetLitterbags placem_collection'!W104)),"YES","NO")</f>
        <v>NO</v>
      </c>
      <c r="AC177" s="255" t="str">
        <f>IF(ISNUMBER(SEARCH("C", 'WetLitterbags placem_collection'!V104)),"YES","NO")</f>
        <v>NO</v>
      </c>
      <c r="AD177" s="255" t="str">
        <f>IF(ISNUMBER(SEARCH("H", 'WetLitterbags placem_collection'!V104)),"YES","NO")</f>
        <v>NO</v>
      </c>
      <c r="AE177" s="255" t="str">
        <f>IF(ISNUMBER(SEARCH("R", 'WetLitterbags placem_collection'!V104)),"YES","NO")</f>
        <v>NO</v>
      </c>
    </row>
    <row r="178" spans="2:31">
      <c r="B178" t="str">
        <f>'Final data_for_R_analysis_Wetse'!A104</f>
        <v>Wet</v>
      </c>
      <c r="C178" s="263">
        <f>'Final data_for_R_analysis_Wetse'!B104</f>
        <v>103</v>
      </c>
      <c r="D178" t="s">
        <v>3841</v>
      </c>
      <c r="E178" t="s">
        <v>22</v>
      </c>
      <c r="F178" s="387">
        <v>7</v>
      </c>
      <c r="G178" s="16">
        <f>'WetLitterbags placem_collection'!E105</f>
        <v>42762</v>
      </c>
      <c r="H178" t="str">
        <f>'Final data_for_R_analysis_Wetse'!J104</f>
        <v>G869</v>
      </c>
      <c r="I178" t="str">
        <f>'Final data_for_R_analysis_Wetse'!J324</f>
        <v>R430</v>
      </c>
      <c r="J178">
        <f>IFERROR(INDEX('Green_rooibos initial weight'!$C$5:$C$1749,MATCH(H178, 'Green_rooibos initial weight'!$A$5:$A$1749,0)),"")</f>
        <v>2.0489999999999999</v>
      </c>
      <c r="K178">
        <f>IFERROR(INDEX('Green_rooibos initial weight'!$C$5:$C$1749,MATCH(I178, 'Green_rooibos initial weight'!$A$5:$A$1749,0)),"")</f>
        <v>2.1829999999999998</v>
      </c>
      <c r="L178" s="195">
        <f t="shared" si="11"/>
        <v>1.7991999999999999</v>
      </c>
      <c r="M178" s="195">
        <f>AVERAGE(Ashed_controlls!$K$2:$K$11)</f>
        <v>5.5147656768714146</v>
      </c>
      <c r="N178" s="195">
        <f t="shared" si="9"/>
        <v>1.9331999999999998</v>
      </c>
      <c r="O178" s="16">
        <f>IF('WetLitterbags placem_collection'!G105="N.A","",'WetLitterbags placem_collection'!G105)</f>
        <v>42816</v>
      </c>
      <c r="P178" s="195">
        <f>IF(IFERROR(INDEX('Both teabags AfterWet'!$C$3:$C$841,MATCH(H178,'Both teabags AfterWet'!$A$3:$A$841,0)),"")="N.A","",(IFERROR(INDEX('Both teabags AfterWet'!$C$3:$C$841,MATCH(H178,'Both teabags AfterWet'!$A$3:$A$841,0)),"")))</f>
        <v>0.55800000000000005</v>
      </c>
      <c r="Q178" s="195">
        <f>IFERROR(INDEX('Both teabags AfterWet'!$C$3:$C$841,MATCH(I178,'Both teabags AfterWet'!$A$3:$A$841,0)),"")</f>
        <v>1.629</v>
      </c>
      <c r="R178" s="195">
        <f t="shared" si="12"/>
        <v>0.40740000000000004</v>
      </c>
      <c r="S178" s="195">
        <f t="shared" si="12"/>
        <v>1.4783999999999999</v>
      </c>
      <c r="T178" s="195">
        <f t="shared" si="13"/>
        <v>0.77356602934637619</v>
      </c>
      <c r="U178" s="195">
        <f t="shared" si="14"/>
        <v>0.50713592422707809</v>
      </c>
      <c r="V178" s="195">
        <f t="shared" si="15"/>
        <v>0.76474239602731231</v>
      </c>
      <c r="W178">
        <f t="shared" si="10"/>
        <v>54</v>
      </c>
      <c r="X178" s="195">
        <f t="shared" si="16"/>
        <v>8.1275499588626787E-2</v>
      </c>
      <c r="Y178" s="195">
        <f t="shared" si="17"/>
        <v>1.1544897196004269E-2</v>
      </c>
      <c r="Z178" s="255" t="str">
        <f>IF(ISNUMBER(SEARCH("C",'WetLitterbags placem_collection'!W105)),"YES","NO")</f>
        <v>NO</v>
      </c>
      <c r="AA178" s="255" t="str">
        <f>IF(ISNUMBER(SEARCH("H", 'WetLitterbags placem_collection'!W105)),"YES","NO")</f>
        <v>NO</v>
      </c>
      <c r="AB178" s="255" t="str">
        <f>IF(ISNUMBER(SEARCH("R", 'WetLitterbags placem_collection'!W105)),"YES","NO")</f>
        <v>NO</v>
      </c>
      <c r="AC178" s="255" t="str">
        <f>IF(ISNUMBER(SEARCH("C", 'WetLitterbags placem_collection'!V105)),"YES","NO")</f>
        <v>NO</v>
      </c>
      <c r="AD178" s="255" t="str">
        <f>IF(ISNUMBER(SEARCH("H", 'WetLitterbags placem_collection'!V105)),"YES","NO")</f>
        <v>NO</v>
      </c>
      <c r="AE178" s="255" t="str">
        <f>IF(ISNUMBER(SEARCH("R", 'WetLitterbags placem_collection'!V105)),"YES","NO")</f>
        <v>NO</v>
      </c>
    </row>
    <row r="179" spans="2:31">
      <c r="B179" t="str">
        <f>'Final data_for_R_analysis_Wetse'!A105</f>
        <v>Wet</v>
      </c>
      <c r="C179" s="263">
        <f>'Final data_for_R_analysis_Wetse'!B105</f>
        <v>104</v>
      </c>
      <c r="D179" t="s">
        <v>3841</v>
      </c>
      <c r="E179" t="s">
        <v>22</v>
      </c>
      <c r="F179" s="387">
        <v>8</v>
      </c>
      <c r="G179" s="16">
        <f>'WetLitterbags placem_collection'!E106</f>
        <v>42762</v>
      </c>
      <c r="H179" t="str">
        <f>'Final data_for_R_analysis_Wetse'!J105</f>
        <v>G881</v>
      </c>
      <c r="I179" t="str">
        <f>'Final data_for_R_analysis_Wetse'!J325</f>
        <v>R577</v>
      </c>
      <c r="J179">
        <f>IFERROR(INDEX('Green_rooibos initial weight'!$C$5:$C$1749,MATCH(H179, 'Green_rooibos initial weight'!$A$5:$A$1749,0)),"")</f>
        <v>1.9570000000000001</v>
      </c>
      <c r="K179">
        <f>IFERROR(INDEX('Green_rooibos initial weight'!$C$5:$C$1749,MATCH(I179, 'Green_rooibos initial weight'!$A$5:$A$1749,0)),"")</f>
        <v>2.0859999999999999</v>
      </c>
      <c r="L179" s="195">
        <f t="shared" si="11"/>
        <v>1.7072000000000001</v>
      </c>
      <c r="M179" s="195">
        <f>AVERAGE(Ashed_controlls!$K$2:$K$11)</f>
        <v>5.5147656768714146</v>
      </c>
      <c r="N179" s="195">
        <f t="shared" si="9"/>
        <v>1.8361999999999998</v>
      </c>
      <c r="O179" s="16">
        <f>IF('WetLitterbags placem_collection'!G106="N.A","",'WetLitterbags placem_collection'!G106)</f>
        <v>42816</v>
      </c>
      <c r="P179" s="195">
        <f>IF(IFERROR(INDEX('Both teabags AfterWet'!$C$3:$C$841,MATCH(H179,'Both teabags AfterWet'!$A$3:$A$841,0)),"")="N.A","",(IFERROR(INDEX('Both teabags AfterWet'!$C$3:$C$841,MATCH(H179,'Both teabags AfterWet'!$A$3:$A$841,0)),"")))</f>
        <v>0.61</v>
      </c>
      <c r="Q179" s="195">
        <f>IFERROR(INDEX('Both teabags AfterWet'!$C$3:$C$841,MATCH(I179,'Both teabags AfterWet'!$A$3:$A$841,0)),"")</f>
        <v>1.4470000000000001</v>
      </c>
      <c r="R179" s="195">
        <f t="shared" si="12"/>
        <v>0.45939999999999998</v>
      </c>
      <c r="S179" s="195">
        <f t="shared" si="12"/>
        <v>1.2964</v>
      </c>
      <c r="T179" s="195">
        <f t="shared" si="13"/>
        <v>0.73090440487347708</v>
      </c>
      <c r="U179" s="195">
        <f t="shared" si="14"/>
        <v>0.47916773336123442</v>
      </c>
      <c r="V179" s="195">
        <f t="shared" si="15"/>
        <v>0.70602330900773347</v>
      </c>
      <c r="W179">
        <f t="shared" si="10"/>
        <v>54</v>
      </c>
      <c r="X179" s="195">
        <f t="shared" si="16"/>
        <v>0.13194251202674934</v>
      </c>
      <c r="Y179" s="195">
        <f t="shared" si="17"/>
        <v>1.7604865860036067E-2</v>
      </c>
      <c r="Z179" s="255" t="str">
        <f>IF(ISNUMBER(SEARCH("C",'WetLitterbags placem_collection'!W106)),"YES","NO")</f>
        <v>NO</v>
      </c>
      <c r="AA179" s="255" t="str">
        <f>IF(ISNUMBER(SEARCH("H", 'WetLitterbags placem_collection'!W106)),"YES","NO")</f>
        <v>NO</v>
      </c>
      <c r="AB179" s="255" t="str">
        <f>IF(ISNUMBER(SEARCH("R", 'WetLitterbags placem_collection'!W106)),"YES","NO")</f>
        <v>NO</v>
      </c>
      <c r="AC179" s="255" t="str">
        <f>IF(ISNUMBER(SEARCH("C", 'WetLitterbags placem_collection'!V106)),"YES","NO")</f>
        <v>NO</v>
      </c>
      <c r="AD179" s="255" t="str">
        <f>IF(ISNUMBER(SEARCH("H", 'WetLitterbags placem_collection'!V106)),"YES","NO")</f>
        <v>NO</v>
      </c>
      <c r="AE179" s="255" t="str">
        <f>IF(ISNUMBER(SEARCH("R", 'WetLitterbags placem_collection'!V106)),"YES","NO")</f>
        <v>NO</v>
      </c>
    </row>
    <row r="180" spans="2:31">
      <c r="B180" t="str">
        <f>'Final data_for_R_analysis_Wetse'!A106</f>
        <v>Wet</v>
      </c>
      <c r="C180" s="263">
        <f>'Final data_for_R_analysis_Wetse'!B106</f>
        <v>105</v>
      </c>
      <c r="D180" t="s">
        <v>3843</v>
      </c>
      <c r="E180" t="s">
        <v>22</v>
      </c>
      <c r="F180" s="386">
        <v>1</v>
      </c>
      <c r="G180" s="16">
        <f>'WetLitterbags placem_collection'!E107</f>
        <v>42762</v>
      </c>
      <c r="H180" t="str">
        <f>'Final data_for_R_analysis_Wetse'!J106</f>
        <v>G729</v>
      </c>
      <c r="I180" t="str">
        <f>'Final data_for_R_analysis_Wetse'!J326</f>
        <v>R548</v>
      </c>
      <c r="J180">
        <f>IFERROR(INDEX('Green_rooibos initial weight'!$C$5:$C$1749,MATCH(H180, 'Green_rooibos initial weight'!$A$5:$A$1749,0)),"")</f>
        <v>1.984</v>
      </c>
      <c r="K180">
        <f>IFERROR(INDEX('Green_rooibos initial weight'!$C$5:$C$1749,MATCH(I180, 'Green_rooibos initial weight'!$A$5:$A$1749,0)),"")</f>
        <v>2.1920000000000002</v>
      </c>
      <c r="L180" s="195">
        <f t="shared" si="11"/>
        <v>1.7342</v>
      </c>
      <c r="M180" s="195">
        <f>AVERAGE(Ashed_controlls!$K$2:$K$11)</f>
        <v>5.5147656768714146</v>
      </c>
      <c r="N180" s="195">
        <f t="shared" si="9"/>
        <v>1.9422000000000001</v>
      </c>
      <c r="O180" s="16">
        <f>IF('WetLitterbags placem_collection'!G107="N.A","",'WetLitterbags placem_collection'!G107)</f>
        <v>42816</v>
      </c>
      <c r="P180" s="195">
        <f>IF(IFERROR(INDEX('Both teabags AfterWet'!$C$3:$C$841,MATCH(H180,'Both teabags AfterWet'!$A$3:$A$841,0)),"")="N.A","",(IFERROR(INDEX('Both teabags AfterWet'!$C$3:$C$841,MATCH(H180,'Both teabags AfterWet'!$A$3:$A$841,0)),"")))</f>
        <v>0.72399999999999998</v>
      </c>
      <c r="Q180" s="195">
        <f>IFERROR(INDEX('Both teabags AfterWet'!$C$3:$C$841,MATCH(I180,'Both teabags AfterWet'!$A$3:$A$841,0)),"")</f>
        <v>1.859</v>
      </c>
      <c r="R180" s="195">
        <f t="shared" si="12"/>
        <v>0.57339999999999991</v>
      </c>
      <c r="S180" s="195">
        <f t="shared" si="12"/>
        <v>1.7083999999999999</v>
      </c>
      <c r="T180" s="195">
        <f t="shared" si="13"/>
        <v>0.66935762887786887</v>
      </c>
      <c r="U180" s="195">
        <f t="shared" si="14"/>
        <v>0.43881877807670272</v>
      </c>
      <c r="V180" s="195">
        <f t="shared" si="15"/>
        <v>0.87962104829574694</v>
      </c>
      <c r="W180">
        <f t="shared" si="10"/>
        <v>54</v>
      </c>
      <c r="X180" s="195">
        <f t="shared" si="16"/>
        <v>0.20503844551321981</v>
      </c>
      <c r="Y180" s="195">
        <f t="shared" si="17"/>
        <v>5.9380183827362062E-3</v>
      </c>
      <c r="Z180" s="255" t="str">
        <f>IF(ISNUMBER(SEARCH("C",'WetLitterbags placem_collection'!W107)),"YES","NO")</f>
        <v>NO</v>
      </c>
      <c r="AA180" s="255" t="str">
        <f>IF(ISNUMBER(SEARCH("H", 'WetLitterbags placem_collection'!W107)),"YES","NO")</f>
        <v>NO</v>
      </c>
      <c r="AB180" s="255" t="str">
        <f>IF(ISNUMBER(SEARCH("R", 'WetLitterbags placem_collection'!W107)),"YES","NO")</f>
        <v>YES</v>
      </c>
      <c r="AC180" s="255" t="str">
        <f>IF(ISNUMBER(SEARCH("C", 'WetLitterbags placem_collection'!V107)),"YES","NO")</f>
        <v>NO</v>
      </c>
      <c r="AD180" s="255" t="str">
        <f>IF(ISNUMBER(SEARCH("H", 'WetLitterbags placem_collection'!V107)),"YES","NO")</f>
        <v>NO</v>
      </c>
      <c r="AE180" s="255" t="str">
        <f>IF(ISNUMBER(SEARCH("R", 'WetLitterbags placem_collection'!V107)),"YES","NO")</f>
        <v>NO</v>
      </c>
    </row>
    <row r="181" spans="2:31">
      <c r="B181" t="str">
        <f>'Final data_for_R_analysis_Wetse'!A107</f>
        <v>Wet</v>
      </c>
      <c r="C181" s="263">
        <f>'Final data_for_R_analysis_Wetse'!B107</f>
        <v>106</v>
      </c>
      <c r="D181" t="s">
        <v>3843</v>
      </c>
      <c r="E181" t="s">
        <v>22</v>
      </c>
      <c r="F181" s="386">
        <v>2</v>
      </c>
      <c r="G181" s="16">
        <f>'WetLitterbags placem_collection'!E108</f>
        <v>42762</v>
      </c>
      <c r="H181" t="str">
        <f>'Final data_for_R_analysis_Wetse'!J107</f>
        <v>G837</v>
      </c>
      <c r="I181" t="str">
        <f>'Final data_for_R_analysis_Wetse'!J327</f>
        <v>R590</v>
      </c>
      <c r="J181">
        <f>IFERROR(INDEX('Green_rooibos initial weight'!$C$5:$C$1749,MATCH(H181, 'Green_rooibos initial weight'!$A$5:$A$1749,0)),"")</f>
        <v>1.1910000000000001</v>
      </c>
      <c r="K181">
        <f>IFERROR(INDEX('Green_rooibos initial weight'!$C$5:$C$1749,MATCH(I181, 'Green_rooibos initial weight'!$A$5:$A$1749,0)),"")</f>
        <v>2.218</v>
      </c>
      <c r="L181" s="195">
        <f t="shared" si="11"/>
        <v>0.94120000000000004</v>
      </c>
      <c r="M181" s="195">
        <f>AVERAGE(Ashed_controlls!$K$2:$K$11)</f>
        <v>5.5147656768714146</v>
      </c>
      <c r="N181" s="195">
        <f t="shared" si="9"/>
        <v>1.9681999999999999</v>
      </c>
      <c r="O181" s="16">
        <f>IF('WetLitterbags placem_collection'!G108="N.A","",'WetLitterbags placem_collection'!G108)</f>
        <v>42816</v>
      </c>
      <c r="P181" s="195">
        <f>IF(IFERROR(INDEX('Both teabags AfterWet'!$C$3:$C$841,MATCH(H181,'Both teabags AfterWet'!$A$3:$A$841,0)),"")="N.A","",(IFERROR(INDEX('Both teabags AfterWet'!$C$3:$C$841,MATCH(H181,'Both teabags AfterWet'!$A$3:$A$841,0)),"")))</f>
        <v>0.62</v>
      </c>
      <c r="Q181" s="195">
        <f>IFERROR(INDEX('Both teabags AfterWet'!$C$3:$C$841,MATCH(I181,'Both teabags AfterWet'!$A$3:$A$841,0)),"")</f>
        <v>1.7769999999999999</v>
      </c>
      <c r="R181" s="195">
        <f t="shared" si="12"/>
        <v>0.46939999999999998</v>
      </c>
      <c r="S181" s="195">
        <f t="shared" si="12"/>
        <v>1.6263999999999998</v>
      </c>
      <c r="T181" s="195">
        <f t="shared" si="13"/>
        <v>0.50127496812579686</v>
      </c>
      <c r="U181" s="195">
        <f t="shared" si="14"/>
        <v>0.32862681995895476</v>
      </c>
      <c r="V181" s="195">
        <f t="shared" si="15"/>
        <v>0.82633878670866778</v>
      </c>
      <c r="W181">
        <f t="shared" si="10"/>
        <v>54</v>
      </c>
      <c r="X181" s="195">
        <f t="shared" si="16"/>
        <v>0.40466155804537185</v>
      </c>
      <c r="Y181" s="195">
        <f t="shared" si="17"/>
        <v>1.3920733727902836E-2</v>
      </c>
      <c r="Z181" s="255" t="str">
        <f>IF(ISNUMBER(SEARCH("C",'WetLitterbags placem_collection'!W108)),"YES","NO")</f>
        <v>NO</v>
      </c>
      <c r="AA181" s="255" t="str">
        <f>IF(ISNUMBER(SEARCH("H", 'WetLitterbags placem_collection'!W108)),"YES","NO")</f>
        <v>NO</v>
      </c>
      <c r="AB181" s="255" t="str">
        <f>IF(ISNUMBER(SEARCH("R", 'WetLitterbags placem_collection'!W108)),"YES","NO")</f>
        <v>YES</v>
      </c>
      <c r="AC181" s="255" t="str">
        <f>IF(ISNUMBER(SEARCH("C", 'WetLitterbags placem_collection'!V108)),"YES","NO")</f>
        <v>NO</v>
      </c>
      <c r="AD181" s="255" t="str">
        <f>IF(ISNUMBER(SEARCH("H", 'WetLitterbags placem_collection'!V108)),"YES","NO")</f>
        <v>NO</v>
      </c>
      <c r="AE181" s="255" t="str">
        <f>IF(ISNUMBER(SEARCH("R", 'WetLitterbags placem_collection'!V108)),"YES","NO")</f>
        <v>YES</v>
      </c>
    </row>
    <row r="182" spans="2:31">
      <c r="B182" t="str">
        <f>'Final data_for_R_analysis_Wetse'!A108</f>
        <v>Wet</v>
      </c>
      <c r="C182" s="263">
        <f>'Final data_for_R_analysis_Wetse'!B108</f>
        <v>107</v>
      </c>
      <c r="D182" t="s">
        <v>3843</v>
      </c>
      <c r="E182" t="s">
        <v>22</v>
      </c>
      <c r="F182" s="386">
        <v>3</v>
      </c>
      <c r="G182" s="16">
        <f>'WetLitterbags placem_collection'!E109</f>
        <v>42762</v>
      </c>
      <c r="H182" t="str">
        <f>'Final data_for_R_analysis_Wetse'!J108</f>
        <v>G688</v>
      </c>
      <c r="I182" t="str">
        <f>'Final data_for_R_analysis_Wetse'!J328</f>
        <v>R574</v>
      </c>
      <c r="J182">
        <f>IFERROR(INDEX('Green_rooibos initial weight'!$C$5:$C$1749,MATCH(H182, 'Green_rooibos initial weight'!$A$5:$A$1749,0)),"")</f>
        <v>2.125</v>
      </c>
      <c r="K182">
        <f>IFERROR(INDEX('Green_rooibos initial weight'!$C$5:$C$1749,MATCH(I182, 'Green_rooibos initial weight'!$A$5:$A$1749,0)),"")</f>
        <v>2.16</v>
      </c>
      <c r="L182" s="195">
        <f t="shared" si="11"/>
        <v>1.8752</v>
      </c>
      <c r="M182" s="195">
        <f>AVERAGE(Ashed_controlls!$K$2:$K$11)</f>
        <v>5.5147656768714146</v>
      </c>
      <c r="N182" s="195">
        <f t="shared" si="9"/>
        <v>1.9102000000000001</v>
      </c>
      <c r="O182" s="16">
        <f>IF('WetLitterbags placem_collection'!G109="N.A","",'WetLitterbags placem_collection'!G109)</f>
        <v>42816</v>
      </c>
      <c r="P182" s="195">
        <f>IF(IFERROR(INDEX('Both teabags AfterWet'!$C$3:$C$841,MATCH(H182,'Both teabags AfterWet'!$A$3:$A$841,0)),"")="N.A","",(IFERROR(INDEX('Both teabags AfterWet'!$C$3:$C$841,MATCH(H182,'Both teabags AfterWet'!$A$3:$A$841,0)),"")))</f>
        <v>0.60899999999999999</v>
      </c>
      <c r="Q182" s="195">
        <f>IFERROR(INDEX('Both teabags AfterWet'!$C$3:$C$841,MATCH(I182,'Both teabags AfterWet'!$A$3:$A$841,0)),"")</f>
        <v>1.706</v>
      </c>
      <c r="R182" s="195">
        <f t="shared" si="12"/>
        <v>0.45839999999999997</v>
      </c>
      <c r="S182" s="195">
        <f t="shared" si="12"/>
        <v>1.5553999999999999</v>
      </c>
      <c r="T182" s="195">
        <f t="shared" si="13"/>
        <v>0.75554607508532423</v>
      </c>
      <c r="U182" s="195">
        <f t="shared" si="14"/>
        <v>0.49532236751436937</v>
      </c>
      <c r="V182" s="195">
        <f t="shared" si="15"/>
        <v>0.81426028688095475</v>
      </c>
      <c r="W182">
        <f t="shared" si="10"/>
        <v>54</v>
      </c>
      <c r="X182" s="195">
        <f t="shared" si="16"/>
        <v>0.10267687044498308</v>
      </c>
      <c r="Y182" s="195">
        <f t="shared" si="17"/>
        <v>8.7034015520679048E-3</v>
      </c>
      <c r="Z182" s="255" t="str">
        <f>IF(ISNUMBER(SEARCH("C",'WetLitterbags placem_collection'!W109)),"YES","NO")</f>
        <v>NO</v>
      </c>
      <c r="AA182" s="255" t="str">
        <f>IF(ISNUMBER(SEARCH("H", 'WetLitterbags placem_collection'!W109)),"YES","NO")</f>
        <v>NO</v>
      </c>
      <c r="AB182" s="255" t="str">
        <f>IF(ISNUMBER(SEARCH("R", 'WetLitterbags placem_collection'!W109)),"YES","NO")</f>
        <v>NO</v>
      </c>
      <c r="AC182" s="255" t="str">
        <f>IF(ISNUMBER(SEARCH("C", 'WetLitterbags placem_collection'!V109)),"YES","NO")</f>
        <v>NO</v>
      </c>
      <c r="AD182" s="255" t="str">
        <f>IF(ISNUMBER(SEARCH("H", 'WetLitterbags placem_collection'!V109)),"YES","NO")</f>
        <v>NO</v>
      </c>
      <c r="AE182" s="255" t="str">
        <f>IF(ISNUMBER(SEARCH("R", 'WetLitterbags placem_collection'!V109)),"YES","NO")</f>
        <v>YES</v>
      </c>
    </row>
    <row r="183" spans="2:31">
      <c r="B183" t="str">
        <f>'Final data_for_R_analysis_Wetse'!A109</f>
        <v>Wet</v>
      </c>
      <c r="C183" s="263">
        <f>'Final data_for_R_analysis_Wetse'!B109</f>
        <v>108</v>
      </c>
      <c r="D183" t="s">
        <v>3843</v>
      </c>
      <c r="E183" t="s">
        <v>22</v>
      </c>
      <c r="F183" s="387">
        <v>4</v>
      </c>
      <c r="G183" s="16">
        <f>'WetLitterbags placem_collection'!E110</f>
        <v>42762</v>
      </c>
      <c r="H183" t="str">
        <f>'Final data_for_R_analysis_Wetse'!J109</f>
        <v>G883</v>
      </c>
      <c r="I183" t="str">
        <f>'Final data_for_R_analysis_Wetse'!J329</f>
        <v>R8</v>
      </c>
      <c r="J183">
        <f>IFERROR(INDEX('Green_rooibos initial weight'!$C$5:$C$1749,MATCH(H183, 'Green_rooibos initial weight'!$A$5:$A$1749,0)),"")</f>
        <v>2.073</v>
      </c>
      <c r="K183">
        <f>IFERROR(INDEX('Green_rooibos initial weight'!$C$5:$C$1749,MATCH(I183, 'Green_rooibos initial weight'!$A$5:$A$1749,0)),"")</f>
        <v>2.23</v>
      </c>
      <c r="L183" s="195">
        <f t="shared" si="11"/>
        <v>1.8231999999999999</v>
      </c>
      <c r="M183" s="195">
        <f>AVERAGE(Ashed_controlls!$K$2:$K$11)</f>
        <v>5.5147656768714146</v>
      </c>
      <c r="N183" s="195">
        <f t="shared" si="9"/>
        <v>1.9802</v>
      </c>
      <c r="O183" s="16">
        <f>IF('WetLitterbags placem_collection'!G110="N.A","",'WetLitterbags placem_collection'!G110)</f>
        <v>42816</v>
      </c>
      <c r="P183" s="195">
        <f>IF(IFERROR(INDEX('Both teabags AfterWet'!$C$3:$C$841,MATCH(H183,'Both teabags AfterWet'!$A$3:$A$841,0)),"")="N.A","",(IFERROR(INDEX('Both teabags AfterWet'!$C$3:$C$841,MATCH(H183,'Both teabags AfterWet'!$A$3:$A$841,0)),"")))</f>
        <v>0.67200000000000004</v>
      </c>
      <c r="Q183" s="195">
        <f>IFERROR(INDEX('Both teabags AfterWet'!$C$3:$C$841,MATCH(I183,'Both teabags AfterWet'!$A$3:$A$841,0)),"")</f>
        <v>1.536</v>
      </c>
      <c r="R183" s="195">
        <f t="shared" si="12"/>
        <v>0.52140000000000009</v>
      </c>
      <c r="S183" s="195">
        <f t="shared" si="12"/>
        <v>1.3854</v>
      </c>
      <c r="T183" s="195">
        <f t="shared" si="13"/>
        <v>0.7140193067134708</v>
      </c>
      <c r="U183" s="195">
        <f t="shared" si="14"/>
        <v>0.46809816782165786</v>
      </c>
      <c r="V183" s="195">
        <f t="shared" si="15"/>
        <v>0.69962630037369966</v>
      </c>
      <c r="W183">
        <f t="shared" si="10"/>
        <v>54</v>
      </c>
      <c r="X183" s="195">
        <f t="shared" si="16"/>
        <v>0.15199607278685179</v>
      </c>
      <c r="Y183" s="195">
        <f t="shared" si="17"/>
        <v>1.900658280506929E-2</v>
      </c>
      <c r="Z183" s="255" t="str">
        <f>IF(ISNUMBER(SEARCH("C",'WetLitterbags placem_collection'!W110)),"YES","NO")</f>
        <v>NO</v>
      </c>
      <c r="AA183" s="255" t="str">
        <f>IF(ISNUMBER(SEARCH("H", 'WetLitterbags placem_collection'!W110)),"YES","NO")</f>
        <v>YES</v>
      </c>
      <c r="AB183" s="255" t="str">
        <f>IF(ISNUMBER(SEARCH("R", 'WetLitterbags placem_collection'!W110)),"YES","NO")</f>
        <v>NO</v>
      </c>
      <c r="AC183" s="255" t="str">
        <f>IF(ISNUMBER(SEARCH("C", 'WetLitterbags placem_collection'!V110)),"YES","NO")</f>
        <v>NO</v>
      </c>
      <c r="AD183" s="255" t="str">
        <f>IF(ISNUMBER(SEARCH("H", 'WetLitterbags placem_collection'!V110)),"YES","NO")</f>
        <v>NO</v>
      </c>
      <c r="AE183" s="255" t="str">
        <f>IF(ISNUMBER(SEARCH("R", 'WetLitterbags placem_collection'!V110)),"YES","NO")</f>
        <v>YES</v>
      </c>
    </row>
    <row r="184" spans="2:31">
      <c r="B184" t="str">
        <f>'Final data_for_R_analysis_Wetse'!A110</f>
        <v>Wet</v>
      </c>
      <c r="C184" s="263">
        <f>'Final data_for_R_analysis_Wetse'!B110</f>
        <v>109</v>
      </c>
      <c r="D184" t="s">
        <v>3843</v>
      </c>
      <c r="E184" t="s">
        <v>22</v>
      </c>
      <c r="F184" s="387">
        <v>5</v>
      </c>
      <c r="G184" s="16">
        <f>'WetLitterbags placem_collection'!E111</f>
        <v>42762</v>
      </c>
      <c r="H184" t="str">
        <f>'Final data_for_R_analysis_Wetse'!J110</f>
        <v>G704</v>
      </c>
      <c r="I184" t="str">
        <f>'Final data_for_R_analysis_Wetse'!J330</f>
        <v>R552</v>
      </c>
      <c r="J184">
        <f>IFERROR(INDEX('Green_rooibos initial weight'!$C$5:$C$1749,MATCH(H184, 'Green_rooibos initial weight'!$A$5:$A$1749,0)),"")</f>
        <v>2.0219999999999998</v>
      </c>
      <c r="K184">
        <f>IFERROR(INDEX('Green_rooibos initial weight'!$C$5:$C$1749,MATCH(I184, 'Green_rooibos initial weight'!$A$5:$A$1749,0)),"")</f>
        <v>2.222</v>
      </c>
      <c r="L184" s="195">
        <f t="shared" si="11"/>
        <v>1.7721999999999998</v>
      </c>
      <c r="M184" s="195">
        <f>AVERAGE(Ashed_controlls!$K$2:$K$11)</f>
        <v>5.5147656768714146</v>
      </c>
      <c r="N184" s="195">
        <f t="shared" si="9"/>
        <v>1.9722</v>
      </c>
      <c r="O184" s="16">
        <f>IF('WetLitterbags placem_collection'!G111="N.A","",'WetLitterbags placem_collection'!G111)</f>
        <v>42816</v>
      </c>
      <c r="P184" s="195">
        <f>IF(IFERROR(INDEX('Both teabags AfterWet'!$C$3:$C$841,MATCH(H184,'Both teabags AfterWet'!$A$3:$A$841,0)),"")="N.A","",(IFERROR(INDEX('Both teabags AfterWet'!$C$3:$C$841,MATCH(H184,'Both teabags AfterWet'!$A$3:$A$841,0)),"")))</f>
        <v>0.63019999999999998</v>
      </c>
      <c r="Q184" s="195">
        <f>IFERROR(INDEX('Both teabags AfterWet'!$C$3:$C$841,MATCH(I184,'Both teabags AfterWet'!$A$3:$A$841,0)),"")</f>
        <v>1.7532000000000001</v>
      </c>
      <c r="R184" s="195">
        <f t="shared" si="12"/>
        <v>0.47959999999999997</v>
      </c>
      <c r="S184" s="195">
        <f t="shared" si="12"/>
        <v>1.6026</v>
      </c>
      <c r="T184" s="195">
        <f t="shared" si="13"/>
        <v>0.72937591693939741</v>
      </c>
      <c r="U184" s="195">
        <f t="shared" si="14"/>
        <v>0.47816568426430806</v>
      </c>
      <c r="V184" s="195">
        <f t="shared" si="15"/>
        <v>0.81259507149376331</v>
      </c>
      <c r="W184">
        <f t="shared" si="10"/>
        <v>54</v>
      </c>
      <c r="X184" s="195">
        <f t="shared" si="16"/>
        <v>0.13375781836176082</v>
      </c>
      <c r="Y184" s="195">
        <f t="shared" si="17"/>
        <v>9.2121575623880722E-3</v>
      </c>
      <c r="Z184" s="255" t="str">
        <f>IF(ISNUMBER(SEARCH("C",'WetLitterbags placem_collection'!W111)),"YES","NO")</f>
        <v>NO</v>
      </c>
      <c r="AA184" s="255" t="str">
        <f>IF(ISNUMBER(SEARCH("H", 'WetLitterbags placem_collection'!W111)),"YES","NO")</f>
        <v>NO</v>
      </c>
      <c r="AB184" s="255" t="str">
        <f>IF(ISNUMBER(SEARCH("R", 'WetLitterbags placem_collection'!W111)),"YES","NO")</f>
        <v>NO</v>
      </c>
      <c r="AC184" s="255" t="str">
        <f>IF(ISNUMBER(SEARCH("C", 'WetLitterbags placem_collection'!V111)),"YES","NO")</f>
        <v>NO</v>
      </c>
      <c r="AD184" s="255" t="str">
        <f>IF(ISNUMBER(SEARCH("H", 'WetLitterbags placem_collection'!V111)),"YES","NO")</f>
        <v>YES</v>
      </c>
      <c r="AE184" s="255" t="str">
        <f>IF(ISNUMBER(SEARCH("R", 'WetLitterbags placem_collection'!V111)),"YES","NO")</f>
        <v>NO</v>
      </c>
    </row>
    <row r="185" spans="2:31">
      <c r="B185" t="str">
        <f>'Final data_for_R_analysis_Wetse'!A111</f>
        <v>Wet</v>
      </c>
      <c r="C185" s="263">
        <f>'Final data_for_R_analysis_Wetse'!B111</f>
        <v>110</v>
      </c>
      <c r="D185" t="s">
        <v>3843</v>
      </c>
      <c r="E185" t="s">
        <v>22</v>
      </c>
      <c r="F185" s="387">
        <v>6</v>
      </c>
      <c r="G185" s="16">
        <f>'WetLitterbags placem_collection'!E112</f>
        <v>42762</v>
      </c>
      <c r="H185" t="str">
        <f>'Final data_for_R_analysis_Wetse'!J111</f>
        <v>G742</v>
      </c>
      <c r="I185" t="str">
        <f>'Final data_for_R_analysis_Wetse'!J331</f>
        <v>R462</v>
      </c>
      <c r="J185">
        <f>IFERROR(INDEX('Green_rooibos initial weight'!$C$5:$C$1749,MATCH(H185, 'Green_rooibos initial weight'!$A$5:$A$1749,0)),"")</f>
        <v>2.0510000000000002</v>
      </c>
      <c r="K185">
        <f>IFERROR(INDEX('Green_rooibos initial weight'!$C$5:$C$1749,MATCH(I185, 'Green_rooibos initial weight'!$A$5:$A$1749,0)),"")</f>
        <v>2.226</v>
      </c>
      <c r="L185" s="195">
        <f t="shared" si="11"/>
        <v>1.8012000000000001</v>
      </c>
      <c r="M185" s="195">
        <f>AVERAGE(Ashed_controlls!$K$2:$K$11)</f>
        <v>5.5147656768714146</v>
      </c>
      <c r="N185" s="195">
        <f t="shared" si="9"/>
        <v>1.9762</v>
      </c>
      <c r="O185" s="16">
        <f>IF('WetLitterbags placem_collection'!G112="N.A","",'WetLitterbags placem_collection'!G112)</f>
        <v>42816</v>
      </c>
      <c r="P185" s="195">
        <f>IF(IFERROR(INDEX('Both teabags AfterWet'!$C$3:$C$841,MATCH(H185,'Both teabags AfterWet'!$A$3:$A$841,0)),"")="N.A","",(IFERROR(INDEX('Both teabags AfterWet'!$C$3:$C$841,MATCH(H185,'Both teabags AfterWet'!$A$3:$A$841,0)),"")))</f>
        <v>0.57879999999999998</v>
      </c>
      <c r="Q185" s="195">
        <f>IFERROR(INDEX('Both teabags AfterWet'!$C$3:$C$841,MATCH(I185,'Both teabags AfterWet'!$A$3:$A$841,0)),"")</f>
        <v>1.5465</v>
      </c>
      <c r="R185" s="195">
        <f t="shared" si="12"/>
        <v>0.42819999999999997</v>
      </c>
      <c r="S185" s="195">
        <f t="shared" si="12"/>
        <v>1.3958999999999999</v>
      </c>
      <c r="T185" s="195">
        <f t="shared" si="13"/>
        <v>0.76226959804574734</v>
      </c>
      <c r="U185" s="195">
        <f t="shared" si="14"/>
        <v>0.49973018779246153</v>
      </c>
      <c r="V185" s="195">
        <f t="shared" si="15"/>
        <v>0.70635563202105045</v>
      </c>
      <c r="W185">
        <f t="shared" si="10"/>
        <v>54</v>
      </c>
      <c r="X185" s="195">
        <f t="shared" si="16"/>
        <v>9.4691688781772698E-2</v>
      </c>
      <c r="Y185" s="195">
        <f t="shared" si="17"/>
        <v>1.6403252690472801E-2</v>
      </c>
      <c r="Z185" s="255" t="str">
        <f>IF(ISNUMBER(SEARCH("C",'WetLitterbags placem_collection'!W112)),"YES","NO")</f>
        <v>NO</v>
      </c>
      <c r="AA185" s="255" t="str">
        <f>IF(ISNUMBER(SEARCH("H", 'WetLitterbags placem_collection'!W112)),"YES","NO")</f>
        <v>NO</v>
      </c>
      <c r="AB185" s="255" t="str">
        <f>IF(ISNUMBER(SEARCH("R", 'WetLitterbags placem_collection'!W112)),"YES","NO")</f>
        <v>NO</v>
      </c>
      <c r="AC185" s="255" t="str">
        <f>IF(ISNUMBER(SEARCH("C", 'WetLitterbags placem_collection'!V112)),"YES","NO")</f>
        <v>NO</v>
      </c>
      <c r="AD185" s="255" t="str">
        <f>IF(ISNUMBER(SEARCH("H", 'WetLitterbags placem_collection'!V112)),"YES","NO")</f>
        <v>NO</v>
      </c>
      <c r="AE185" s="255" t="str">
        <f>IF(ISNUMBER(SEARCH("R", 'WetLitterbags placem_collection'!V112)),"YES","NO")</f>
        <v>NO</v>
      </c>
    </row>
    <row r="186" spans="2:31">
      <c r="B186" t="str">
        <f>'Final data_for_R_analysis_Wetse'!A112</f>
        <v>Wet</v>
      </c>
      <c r="C186" s="263">
        <f>'Final data_for_R_analysis_Wetse'!B112</f>
        <v>111</v>
      </c>
      <c r="D186" t="s">
        <v>3843</v>
      </c>
      <c r="E186" t="s">
        <v>22</v>
      </c>
      <c r="F186" s="387">
        <v>7</v>
      </c>
      <c r="G186" s="16">
        <f>'WetLitterbags placem_collection'!E113</f>
        <v>42762</v>
      </c>
      <c r="H186" t="str">
        <f>'Final data_for_R_analysis_Wetse'!J112</f>
        <v>G831</v>
      </c>
      <c r="I186" t="str">
        <f>'Final data_for_R_analysis_Wetse'!J332</f>
        <v>R505</v>
      </c>
      <c r="J186">
        <f>IFERROR(INDEX('Green_rooibos initial weight'!$C$5:$C$1749,MATCH(H186, 'Green_rooibos initial weight'!$A$5:$A$1749,0)),"")</f>
        <v>2.1190000000000002</v>
      </c>
      <c r="K186">
        <f>IFERROR(INDEX('Green_rooibos initial weight'!$C$5:$C$1749,MATCH(I186, 'Green_rooibos initial weight'!$A$5:$A$1749,0)),"")</f>
        <v>2.198</v>
      </c>
      <c r="L186" s="195">
        <f t="shared" si="11"/>
        <v>1.8692000000000002</v>
      </c>
      <c r="M186" s="195">
        <f>AVERAGE(Ashed_controlls!$K$2:$K$11)</f>
        <v>5.5147656768714146</v>
      </c>
      <c r="N186" s="195">
        <f t="shared" si="9"/>
        <v>1.9481999999999999</v>
      </c>
      <c r="O186" s="16">
        <f>IF('WetLitterbags placem_collection'!G113="N.A","",'WetLitterbags placem_collection'!G113)</f>
        <v>42816</v>
      </c>
      <c r="P186" s="195">
        <f>IF(IFERROR(INDEX('Both teabags AfterWet'!$C$3:$C$841,MATCH(H186,'Both teabags AfterWet'!$A$3:$A$841,0)),"")="N.A","",(IFERROR(INDEX('Both teabags AfterWet'!$C$3:$C$841,MATCH(H186,'Both teabags AfterWet'!$A$3:$A$841,0)),"")))</f>
        <v>0.66200000000000003</v>
      </c>
      <c r="Q186" s="195">
        <f>IFERROR(INDEX('Both teabags AfterWet'!$C$3:$C$841,MATCH(I186,'Both teabags AfterWet'!$A$3:$A$841,0)),"")</f>
        <v>1.673</v>
      </c>
      <c r="R186" s="195">
        <f t="shared" si="12"/>
        <v>0.51140000000000008</v>
      </c>
      <c r="S186" s="195">
        <f t="shared" si="12"/>
        <v>1.5224</v>
      </c>
      <c r="T186" s="195">
        <f t="shared" si="13"/>
        <v>0.72640701904558092</v>
      </c>
      <c r="U186" s="195">
        <f t="shared" si="14"/>
        <v>0.47621932840042841</v>
      </c>
      <c r="V186" s="195">
        <f t="shared" si="15"/>
        <v>0.78143927728159324</v>
      </c>
      <c r="W186">
        <f t="shared" si="10"/>
        <v>54</v>
      </c>
      <c r="X186" s="195">
        <f t="shared" si="16"/>
        <v>0.13728382536154282</v>
      </c>
      <c r="Y186" s="195">
        <f t="shared" si="17"/>
        <v>1.1374871243964479E-2</v>
      </c>
      <c r="Z186" s="255" t="str">
        <f>IF(ISNUMBER(SEARCH("C",'WetLitterbags placem_collection'!W113)),"YES","NO")</f>
        <v>NO</v>
      </c>
      <c r="AA186" s="255" t="str">
        <f>IF(ISNUMBER(SEARCH("H", 'WetLitterbags placem_collection'!W113)),"YES","NO")</f>
        <v>NO</v>
      </c>
      <c r="AB186" s="255" t="str">
        <f>IF(ISNUMBER(SEARCH("R", 'WetLitterbags placem_collection'!W113)),"YES","NO")</f>
        <v>NO</v>
      </c>
      <c r="AC186" s="255" t="str">
        <f>IF(ISNUMBER(SEARCH("C", 'WetLitterbags placem_collection'!V113)),"YES","NO")</f>
        <v>NO</v>
      </c>
      <c r="AD186" s="255" t="str">
        <f>IF(ISNUMBER(SEARCH("H", 'WetLitterbags placem_collection'!V113)),"YES","NO")</f>
        <v>NO</v>
      </c>
      <c r="AE186" s="255" t="str">
        <f>IF(ISNUMBER(SEARCH("R", 'WetLitterbags placem_collection'!V113)),"YES","NO")</f>
        <v>NO</v>
      </c>
    </row>
    <row r="187" spans="2:31">
      <c r="B187" t="str">
        <f>'Final data_for_R_analysis_Wetse'!A113</f>
        <v>Wet</v>
      </c>
      <c r="C187" s="263">
        <f>'Final data_for_R_analysis_Wetse'!B113</f>
        <v>112</v>
      </c>
      <c r="D187" t="s">
        <v>3843</v>
      </c>
      <c r="E187" t="s">
        <v>22</v>
      </c>
      <c r="F187" s="387">
        <v>8</v>
      </c>
      <c r="G187" s="16">
        <f>'WetLitterbags placem_collection'!E114</f>
        <v>42762</v>
      </c>
      <c r="H187" t="str">
        <f>'Final data_for_R_analysis_Wetse'!J113</f>
        <v>G899</v>
      </c>
      <c r="I187" t="str">
        <f>'Final data_for_R_analysis_Wetse'!J333</f>
        <v>R41</v>
      </c>
      <c r="J187">
        <f>IFERROR(INDEX('Green_rooibos initial weight'!$C$5:$C$1749,MATCH(H187, 'Green_rooibos initial weight'!$A$5:$A$1749,0)),"")</f>
        <v>2.0129999999999999</v>
      </c>
      <c r="K187">
        <f>IFERROR(INDEX('Green_rooibos initial weight'!$C$5:$C$1749,MATCH(I187, 'Green_rooibos initial weight'!$A$5:$A$1749,0)),"")</f>
        <v>2.2010000000000001</v>
      </c>
      <c r="L187" s="195">
        <f t="shared" si="11"/>
        <v>1.7631999999999999</v>
      </c>
      <c r="M187" s="195">
        <f>AVERAGE(Ashed_controlls!$K$2:$K$11)</f>
        <v>5.5147656768714146</v>
      </c>
      <c r="N187" s="195">
        <f t="shared" si="9"/>
        <v>1.9512</v>
      </c>
      <c r="O187" s="16">
        <f>IF('WetLitterbags placem_collection'!G114="N.A","",'WetLitterbags placem_collection'!G114)</f>
        <v>42816</v>
      </c>
      <c r="P187" s="195">
        <f>IF(IFERROR(INDEX('Both teabags AfterWet'!$C$3:$C$841,MATCH(H187,'Both teabags AfterWet'!$A$3:$A$841,0)),"")="N.A","",(IFERROR(INDEX('Both teabags AfterWet'!$C$3:$C$841,MATCH(H187,'Both teabags AfterWet'!$A$3:$A$841,0)),"")))</f>
        <v>0.71899999999999997</v>
      </c>
      <c r="Q187" s="195">
        <f>IFERROR(INDEX('Both teabags AfterWet'!$C$3:$C$841,MATCH(I187,'Both teabags AfterWet'!$A$3:$A$841,0)),"")</f>
        <v>1.6910000000000001</v>
      </c>
      <c r="R187" s="195">
        <f t="shared" si="12"/>
        <v>0.56840000000000002</v>
      </c>
      <c r="S187" s="195">
        <f t="shared" si="12"/>
        <v>1.5404</v>
      </c>
      <c r="T187" s="195">
        <f t="shared" si="13"/>
        <v>0.67763157894736836</v>
      </c>
      <c r="U187" s="195">
        <f t="shared" si="14"/>
        <v>0.44424303037879737</v>
      </c>
      <c r="V187" s="195">
        <f t="shared" si="15"/>
        <v>0.78946289462894625</v>
      </c>
      <c r="W187">
        <f t="shared" si="10"/>
        <v>54</v>
      </c>
      <c r="X187" s="195">
        <f t="shared" si="16"/>
        <v>0.19521190148768597</v>
      </c>
      <c r="Y187" s="195">
        <f t="shared" si="17"/>
        <v>1.1894596002352088E-2</v>
      </c>
      <c r="Z187" s="255" t="str">
        <f>IF(ISNUMBER(SEARCH("C",'WetLitterbags placem_collection'!W114)),"YES","NO")</f>
        <v>NO</v>
      </c>
      <c r="AA187" s="255" t="str">
        <f>IF(ISNUMBER(SEARCH("H", 'WetLitterbags placem_collection'!W114)),"YES","NO")</f>
        <v>NO</v>
      </c>
      <c r="AB187" s="255" t="str">
        <f>IF(ISNUMBER(SEARCH("R", 'WetLitterbags placem_collection'!W114)),"YES","NO")</f>
        <v>YES</v>
      </c>
      <c r="AC187" s="255" t="str">
        <f>IF(ISNUMBER(SEARCH("C", 'WetLitterbags placem_collection'!V114)),"YES","NO")</f>
        <v>NO</v>
      </c>
      <c r="AD187" s="255" t="str">
        <f>IF(ISNUMBER(SEARCH("H", 'WetLitterbags placem_collection'!V114)),"YES","NO")</f>
        <v>YES</v>
      </c>
      <c r="AE187" s="255" t="str">
        <f>IF(ISNUMBER(SEARCH("R", 'WetLitterbags placem_collection'!V114)),"YES","NO")</f>
        <v>NO</v>
      </c>
    </row>
    <row r="188" spans="2:31">
      <c r="B188" t="str">
        <f>'Final data_for_R_analysis_Wetse'!A114</f>
        <v>Wet</v>
      </c>
      <c r="C188" s="263">
        <f>'Final data_for_R_analysis_Wetse'!B114</f>
        <v>113</v>
      </c>
      <c r="D188" t="s">
        <v>3844</v>
      </c>
      <c r="E188" t="s">
        <v>22</v>
      </c>
      <c r="F188" s="386">
        <v>1</v>
      </c>
      <c r="G188" s="16">
        <f>'WetLitterbags placem_collection'!E115</f>
        <v>42762</v>
      </c>
      <c r="H188" t="str">
        <f>'Final data_for_R_analysis_Wetse'!J114</f>
        <v>G724</v>
      </c>
      <c r="I188" t="str">
        <f>'Final data_for_R_analysis_Wetse'!J334</f>
        <v>R428</v>
      </c>
      <c r="J188">
        <f>IFERROR(INDEX('Green_rooibos initial weight'!$C$5:$C$1749,MATCH(H188, 'Green_rooibos initial weight'!$A$5:$A$1749,0)),"")</f>
        <v>2.0289999999999999</v>
      </c>
      <c r="K188">
        <f>IFERROR(INDEX('Green_rooibos initial weight'!$C$5:$C$1749,MATCH(I188, 'Green_rooibos initial weight'!$A$5:$A$1749,0)),"")</f>
        <v>2.202</v>
      </c>
      <c r="L188" s="195">
        <f t="shared" si="11"/>
        <v>1.7791999999999999</v>
      </c>
      <c r="M188" s="195">
        <f>AVERAGE(Ashed_controlls!$K$2:$K$11)</f>
        <v>5.5147656768714146</v>
      </c>
      <c r="N188" s="195">
        <f t="shared" si="9"/>
        <v>1.9521999999999999</v>
      </c>
      <c r="O188" s="16">
        <f>IF('WetLitterbags placem_collection'!G115="N.A","",'WetLitterbags placem_collection'!G115)</f>
        <v>42816</v>
      </c>
      <c r="P188" s="195">
        <f>IF(IFERROR(INDEX('Both teabags AfterWet'!$C$3:$C$841,MATCH(H188,'Both teabags AfterWet'!$A$3:$A$841,0)),"")="N.A","",(IFERROR(INDEX('Both teabags AfterWet'!$C$3:$C$841,MATCH(H188,'Both teabags AfterWet'!$A$3:$A$841,0)),"")))</f>
        <v>0.61099999999999999</v>
      </c>
      <c r="Q188" s="195">
        <f>IFERROR(INDEX('Both teabags AfterWet'!$C$3:$C$841,MATCH(I188,'Both teabags AfterWet'!$A$3:$A$841,0)),"")</f>
        <v>1.768</v>
      </c>
      <c r="R188" s="195">
        <f t="shared" si="12"/>
        <v>0.46039999999999998</v>
      </c>
      <c r="S188" s="195">
        <f t="shared" si="12"/>
        <v>1.6173999999999999</v>
      </c>
      <c r="T188" s="195">
        <f t="shared" si="13"/>
        <v>0.74123201438848918</v>
      </c>
      <c r="U188" s="195">
        <f t="shared" si="14"/>
        <v>0.48593832772262002</v>
      </c>
      <c r="V188" s="195">
        <f t="shared" si="15"/>
        <v>0.82850117815797564</v>
      </c>
      <c r="W188">
        <f t="shared" si="10"/>
        <v>54</v>
      </c>
      <c r="X188" s="195">
        <f t="shared" si="16"/>
        <v>0.11967694253148553</v>
      </c>
      <c r="Y188" s="195">
        <f t="shared" si="17"/>
        <v>8.0609261233439717E-3</v>
      </c>
      <c r="Z188" s="255" t="str">
        <f>IF(ISNUMBER(SEARCH("C",'WetLitterbags placem_collection'!W115)),"YES","NO")</f>
        <v>NO</v>
      </c>
      <c r="AA188" s="255" t="str">
        <f>IF(ISNUMBER(SEARCH("H", 'WetLitterbags placem_collection'!W115)),"YES","NO")</f>
        <v>YES</v>
      </c>
      <c r="AB188" s="255" t="str">
        <f>IF(ISNUMBER(SEARCH("R", 'WetLitterbags placem_collection'!W115)),"YES","NO")</f>
        <v>YES</v>
      </c>
      <c r="AC188" s="255" t="str">
        <f>IF(ISNUMBER(SEARCH("C", 'WetLitterbags placem_collection'!V115)),"YES","NO")</f>
        <v>YES</v>
      </c>
      <c r="AD188" s="255" t="str">
        <f>IF(ISNUMBER(SEARCH("H", 'WetLitterbags placem_collection'!V115)),"YES","NO")</f>
        <v>NO</v>
      </c>
      <c r="AE188" s="255" t="str">
        <f>IF(ISNUMBER(SEARCH("R", 'WetLitterbags placem_collection'!V115)),"YES","NO")</f>
        <v>YES</v>
      </c>
    </row>
    <row r="189" spans="2:31">
      <c r="B189" t="str">
        <f>'Final data_for_R_analysis_Wetse'!A115</f>
        <v>Wet</v>
      </c>
      <c r="C189" s="263">
        <f>'Final data_for_R_analysis_Wetse'!B115</f>
        <v>114</v>
      </c>
      <c r="D189" t="s">
        <v>3844</v>
      </c>
      <c r="E189" t="s">
        <v>22</v>
      </c>
      <c r="F189" s="386">
        <v>2</v>
      </c>
      <c r="G189" s="16">
        <f>'WetLitterbags placem_collection'!E116</f>
        <v>42762</v>
      </c>
      <c r="H189" t="str">
        <f>'Final data_for_R_analysis_Wetse'!J115</f>
        <v>G803</v>
      </c>
      <c r="I189" t="str">
        <f>'Final data_for_R_analysis_Wetse'!J335</f>
        <v>R601</v>
      </c>
      <c r="J189">
        <f>IFERROR(INDEX('Green_rooibos initial weight'!$C$5:$C$1749,MATCH(H189, 'Green_rooibos initial weight'!$A$5:$A$1749,0)),"")</f>
        <v>2.0590000000000002</v>
      </c>
      <c r="K189">
        <f>IFERROR(INDEX('Green_rooibos initial weight'!$C$5:$C$1749,MATCH(I189, 'Green_rooibos initial weight'!$A$5:$A$1749,0)),"")</f>
        <v>2.198</v>
      </c>
      <c r="L189" s="195">
        <f t="shared" si="11"/>
        <v>1.8092000000000001</v>
      </c>
      <c r="M189" s="195">
        <f>AVERAGE(Ashed_controlls!$K$2:$K$11)</f>
        <v>5.5147656768714146</v>
      </c>
      <c r="N189" s="195">
        <f t="shared" si="9"/>
        <v>1.9481999999999999</v>
      </c>
      <c r="O189" s="16">
        <f>IF('WetLitterbags placem_collection'!G116="N.A","",'WetLitterbags placem_collection'!G116)</f>
        <v>42816</v>
      </c>
      <c r="P189" s="195">
        <f>IF(IFERROR(INDEX('Both teabags AfterWet'!$C$3:$C$841,MATCH(H189,'Both teabags AfterWet'!$A$3:$A$841,0)),"")="N.A","",(IFERROR(INDEX('Both teabags AfterWet'!$C$3:$C$841,MATCH(H189,'Both teabags AfterWet'!$A$3:$A$841,0)),"")))</f>
        <v>0.64300000000000002</v>
      </c>
      <c r="Q189" s="195">
        <f>IFERROR(INDEX('Both teabags AfterWet'!$C$3:$C$841,MATCH(I189,'Both teabags AfterWet'!$A$3:$A$841,0)),"")</f>
        <v>2.7930000000000001</v>
      </c>
      <c r="R189" s="195">
        <f t="shared" si="12"/>
        <v>0.4924</v>
      </c>
      <c r="S189" s="195">
        <f t="shared" si="12"/>
        <v>2.6424000000000003</v>
      </c>
      <c r="T189" s="195">
        <f t="shared" si="13"/>
        <v>0.72783550740658853</v>
      </c>
      <c r="U189" s="195">
        <f t="shared" si="14"/>
        <v>0.47715581958246667</v>
      </c>
      <c r="V189" s="195">
        <f t="shared" si="15"/>
        <v>1.3563289190021561</v>
      </c>
      <c r="W189">
        <f t="shared" si="10"/>
        <v>54</v>
      </c>
      <c r="X189" s="195">
        <f t="shared" si="16"/>
        <v>0.13558728336509673</v>
      </c>
      <c r="Y189" s="195">
        <f t="shared" si="17"/>
        <v>-1.0329116456495362E-2</v>
      </c>
      <c r="Z189" s="255" t="str">
        <f>IF(ISNUMBER(SEARCH("C",'WetLitterbags placem_collection'!W116)),"YES","NO")</f>
        <v>NO</v>
      </c>
      <c r="AA189" s="255" t="str">
        <f>IF(ISNUMBER(SEARCH("H", 'WetLitterbags placem_collection'!W116)),"YES","NO")</f>
        <v>YES</v>
      </c>
      <c r="AB189" s="255" t="str">
        <f>IF(ISNUMBER(SEARCH("R", 'WetLitterbags placem_collection'!W116)),"YES","NO")</f>
        <v>YES</v>
      </c>
      <c r="AC189" s="255" t="str">
        <f>IF(ISNUMBER(SEARCH("C", 'WetLitterbags placem_collection'!V116)),"YES","NO")</f>
        <v>NO</v>
      </c>
      <c r="AD189" s="255" t="str">
        <f>IF(ISNUMBER(SEARCH("H", 'WetLitterbags placem_collection'!V116)),"YES","NO")</f>
        <v>YES</v>
      </c>
      <c r="AE189" s="255" t="str">
        <f>IF(ISNUMBER(SEARCH("R", 'WetLitterbags placem_collection'!V116)),"YES","NO")</f>
        <v>YES</v>
      </c>
    </row>
    <row r="190" spans="2:31">
      <c r="B190" t="str">
        <f>'Final data_for_R_analysis_Wetse'!A116</f>
        <v>Wet</v>
      </c>
      <c r="C190" s="263">
        <f>'Final data_for_R_analysis_Wetse'!B116</f>
        <v>115</v>
      </c>
      <c r="D190" t="s">
        <v>3844</v>
      </c>
      <c r="E190" t="s">
        <v>22</v>
      </c>
      <c r="F190" s="386">
        <v>3</v>
      </c>
      <c r="G190" s="16">
        <f>'WetLitterbags placem_collection'!E117</f>
        <v>42762</v>
      </c>
      <c r="H190" t="str">
        <f>'Final data_for_R_analysis_Wetse'!J116</f>
        <v>G693</v>
      </c>
      <c r="I190" t="str">
        <f>'Final data_for_R_analysis_Wetse'!J336</f>
        <v>R553</v>
      </c>
      <c r="J190">
        <f>IFERROR(INDEX('Green_rooibos initial weight'!$C$5:$C$1749,MATCH(H190, 'Green_rooibos initial weight'!$A$5:$A$1749,0)),"")</f>
        <v>2.0710000000000002</v>
      </c>
      <c r="K190">
        <f>IFERROR(INDEX('Green_rooibos initial weight'!$C$5:$C$1749,MATCH(I190, 'Green_rooibos initial weight'!$A$5:$A$1749,0)),"")</f>
        <v>2.1949999999999998</v>
      </c>
      <c r="L190" s="195">
        <f t="shared" si="11"/>
        <v>1.8212000000000002</v>
      </c>
      <c r="M190" s="195">
        <f>AVERAGE(Ashed_controlls!$K$2:$K$11)</f>
        <v>5.5147656768714146</v>
      </c>
      <c r="N190" s="195">
        <f t="shared" si="9"/>
        <v>1.9451999999999998</v>
      </c>
      <c r="O190" s="16">
        <f>IF('WetLitterbags placem_collection'!G117="N.A","",'WetLitterbags placem_collection'!G117)</f>
        <v>42816</v>
      </c>
      <c r="P190" s="195">
        <f>IF(IFERROR(INDEX('Both teabags AfterWet'!$C$3:$C$841,MATCH(H190,'Both teabags AfterWet'!$A$3:$A$841,0)),"")="N.A","",(IFERROR(INDEX('Both teabags AfterWet'!$C$3:$C$841,MATCH(H190,'Both teabags AfterWet'!$A$3:$A$841,0)),"")))</f>
        <v>0.63400000000000001</v>
      </c>
      <c r="Q190" s="195">
        <f>IFERROR(INDEX('Both teabags AfterWet'!$C$3:$C$841,MATCH(I190,'Both teabags AfterWet'!$A$3:$A$841,0)),"")</f>
        <v>0.99990000000000001</v>
      </c>
      <c r="R190" s="195">
        <f t="shared" si="12"/>
        <v>0.4834</v>
      </c>
      <c r="S190" s="195">
        <f t="shared" si="12"/>
        <v>0.84929999999999994</v>
      </c>
      <c r="T190" s="195">
        <f t="shared" si="13"/>
        <v>0.73457061278278069</v>
      </c>
      <c r="U190" s="195">
        <f t="shared" si="14"/>
        <v>0.48157123308324823</v>
      </c>
      <c r="V190" s="195">
        <f t="shared" si="15"/>
        <v>0.43661320172732881</v>
      </c>
      <c r="W190">
        <f t="shared" si="10"/>
        <v>54</v>
      </c>
      <c r="X190" s="195">
        <f t="shared" si="16"/>
        <v>0.12758834586368084</v>
      </c>
      <c r="Y190" s="195" t="str">
        <f t="shared" si="17"/>
        <v/>
      </c>
      <c r="Z190" s="255" t="str">
        <f>IF(ISNUMBER(SEARCH("C",'WetLitterbags placem_collection'!W117)),"YES","NO")</f>
        <v>NO</v>
      </c>
      <c r="AA190" s="255" t="str">
        <f>IF(ISNUMBER(SEARCH("H", 'WetLitterbags placem_collection'!W117)),"YES","NO")</f>
        <v>YES</v>
      </c>
      <c r="AB190" s="255" t="str">
        <f>IF(ISNUMBER(SEARCH("R", 'WetLitterbags placem_collection'!W117)),"YES","NO")</f>
        <v>YES</v>
      </c>
      <c r="AC190" s="255" t="str">
        <f>IF(ISNUMBER(SEARCH("C", 'WetLitterbags placem_collection'!V117)),"YES","NO")</f>
        <v>NO</v>
      </c>
      <c r="AD190" s="255" t="str">
        <f>IF(ISNUMBER(SEARCH("H", 'WetLitterbags placem_collection'!V117)),"YES","NO")</f>
        <v>NO</v>
      </c>
      <c r="AE190" s="255" t="str">
        <f>IF(ISNUMBER(SEARCH("R", 'WetLitterbags placem_collection'!V117)),"YES","NO")</f>
        <v>YES</v>
      </c>
    </row>
    <row r="191" spans="2:31">
      <c r="B191" t="str">
        <f>'Final data_for_R_analysis_Wetse'!A117</f>
        <v>Wet</v>
      </c>
      <c r="C191" s="263">
        <f>'Final data_for_R_analysis_Wetse'!B117</f>
        <v>116</v>
      </c>
      <c r="D191" t="s">
        <v>3844</v>
      </c>
      <c r="E191" t="s">
        <v>22</v>
      </c>
      <c r="F191" s="387">
        <v>4</v>
      </c>
      <c r="G191" s="16">
        <f>'WetLitterbags placem_collection'!E118</f>
        <v>42762</v>
      </c>
      <c r="H191" t="str">
        <f>'Final data_for_R_analysis_Wetse'!J117</f>
        <v>G897</v>
      </c>
      <c r="I191" t="str">
        <f>'Final data_for_R_analysis_Wetse'!J337</f>
        <v>R459</v>
      </c>
      <c r="J191">
        <f>IFERROR(INDEX('Green_rooibos initial weight'!$C$5:$C$1749,MATCH(H191, 'Green_rooibos initial weight'!$A$5:$A$1749,0)),"")</f>
        <v>2.0299999999999998</v>
      </c>
      <c r="K191">
        <f>IFERROR(INDEX('Green_rooibos initial weight'!$C$5:$C$1749,MATCH(I191, 'Green_rooibos initial weight'!$A$5:$A$1749,0)),"")</f>
        <v>2.2090000000000001</v>
      </c>
      <c r="L191" s="195">
        <f t="shared" si="11"/>
        <v>1.7801999999999998</v>
      </c>
      <c r="M191" s="195">
        <f>AVERAGE(Ashed_controlls!$K$2:$K$11)</f>
        <v>5.5147656768714146</v>
      </c>
      <c r="N191" s="195">
        <f t="shared" si="9"/>
        <v>1.9592000000000001</v>
      </c>
      <c r="O191" s="16">
        <f>IF('WetLitterbags placem_collection'!G118="N.A","",'WetLitterbags placem_collection'!G118)</f>
        <v>42816</v>
      </c>
      <c r="P191" s="195">
        <f>IF(IFERROR(INDEX('Both teabags AfterWet'!$C$3:$C$841,MATCH(H191,'Both teabags AfterWet'!$A$3:$A$841,0)),"")="N.A","",(IFERROR(INDEX('Both teabags AfterWet'!$C$3:$C$841,MATCH(H191,'Both teabags AfterWet'!$A$3:$A$841,0)),"")))</f>
        <v>0.67869999999999997</v>
      </c>
      <c r="Q191" s="195">
        <f>IFERROR(INDEX('Both teabags AfterWet'!$C$3:$C$841,MATCH(I191,'Both teabags AfterWet'!$A$3:$A$841,0)),"")</f>
        <v>0.68710000000000004</v>
      </c>
      <c r="R191" s="195">
        <f t="shared" si="12"/>
        <v>0.52810000000000001</v>
      </c>
      <c r="S191" s="195">
        <f t="shared" si="12"/>
        <v>0.53649999999999998</v>
      </c>
      <c r="T191" s="195">
        <f t="shared" si="13"/>
        <v>0.70334793843388377</v>
      </c>
      <c r="U191" s="195">
        <f t="shared" si="14"/>
        <v>0.46110221141983837</v>
      </c>
      <c r="V191" s="195">
        <f t="shared" si="15"/>
        <v>0.27383625969783582</v>
      </c>
      <c r="W191">
        <f t="shared" si="10"/>
        <v>54</v>
      </c>
      <c r="X191" s="195">
        <f t="shared" si="16"/>
        <v>0.164669906848119</v>
      </c>
      <c r="Y191" s="195" t="str">
        <f t="shared" si="17"/>
        <v/>
      </c>
      <c r="Z191" s="255" t="str">
        <f>IF(ISNUMBER(SEARCH("C",'WetLitterbags placem_collection'!W118)),"YES","NO")</f>
        <v>NO</v>
      </c>
      <c r="AA191" s="255" t="str">
        <f>IF(ISNUMBER(SEARCH("H", 'WetLitterbags placem_collection'!W118)),"YES","NO")</f>
        <v>YES</v>
      </c>
      <c r="AB191" s="255" t="str">
        <f>IF(ISNUMBER(SEARCH("R", 'WetLitterbags placem_collection'!W118)),"YES","NO")</f>
        <v>YES</v>
      </c>
      <c r="AC191" s="255" t="str">
        <f>IF(ISNUMBER(SEARCH("C", 'WetLitterbags placem_collection'!V118)),"YES","NO")</f>
        <v>NO</v>
      </c>
      <c r="AD191" s="255" t="str">
        <f>IF(ISNUMBER(SEARCH("H", 'WetLitterbags placem_collection'!V118)),"YES","NO")</f>
        <v>NO</v>
      </c>
      <c r="AE191" s="255" t="str">
        <f>IF(ISNUMBER(SEARCH("R", 'WetLitterbags placem_collection'!V118)),"YES","NO")</f>
        <v>NO</v>
      </c>
    </row>
    <row r="192" spans="2:31">
      <c r="B192" t="str">
        <f>'Final data_for_R_analysis_Wetse'!A118</f>
        <v>Wet</v>
      </c>
      <c r="C192" s="263">
        <f>'Final data_for_R_analysis_Wetse'!B118</f>
        <v>117</v>
      </c>
      <c r="D192" t="s">
        <v>3844</v>
      </c>
      <c r="E192" t="s">
        <v>22</v>
      </c>
      <c r="F192" s="387">
        <v>5</v>
      </c>
      <c r="G192" s="16">
        <f>'WetLitterbags placem_collection'!E119</f>
        <v>42762</v>
      </c>
      <c r="H192" t="str">
        <f>'Final data_for_R_analysis_Wetse'!J118</f>
        <v>G789</v>
      </c>
      <c r="I192" t="str">
        <f>'Final data_for_R_analysis_Wetse'!J338</f>
        <v>R511</v>
      </c>
      <c r="J192">
        <f>IFERROR(INDEX('Green_rooibos initial weight'!$C$5:$C$1749,MATCH(H192, 'Green_rooibos initial weight'!$A$5:$A$1749,0)),"")</f>
        <v>2.109</v>
      </c>
      <c r="K192">
        <f>IFERROR(INDEX('Green_rooibos initial weight'!$C$5:$C$1749,MATCH(I192, 'Green_rooibos initial weight'!$A$5:$A$1749,0)),"")</f>
        <v>2.1779999999999999</v>
      </c>
      <c r="L192" s="195">
        <f t="shared" si="11"/>
        <v>1.8592</v>
      </c>
      <c r="M192" s="195">
        <f>AVERAGE(Ashed_controlls!$K$2:$K$11)</f>
        <v>5.5147656768714146</v>
      </c>
      <c r="N192" s="195">
        <f t="shared" si="9"/>
        <v>1.9281999999999999</v>
      </c>
      <c r="O192" s="16">
        <f>IF('WetLitterbags placem_collection'!G119="N.A","",'WetLitterbags placem_collection'!G119)</f>
        <v>42816</v>
      </c>
      <c r="P192" s="195">
        <f>IF(IFERROR(INDEX('Both teabags AfterWet'!$C$3:$C$841,MATCH(H192,'Both teabags AfterWet'!$A$3:$A$841,0)),"")="N.A","",(IFERROR(INDEX('Both teabags AfterWet'!$C$3:$C$841,MATCH(H192,'Both teabags AfterWet'!$A$3:$A$841,0)),"")))</f>
        <v>0.79800000000000004</v>
      </c>
      <c r="Q192" s="195">
        <f>IFERROR(INDEX('Both teabags AfterWet'!$C$3:$C$841,MATCH(I192,'Both teabags AfterWet'!$A$3:$A$841,0)),"")</f>
        <v>0.39700000000000002</v>
      </c>
      <c r="R192" s="195">
        <f t="shared" si="12"/>
        <v>0.64739999999999998</v>
      </c>
      <c r="S192" s="195">
        <f t="shared" si="12"/>
        <v>0.24640000000000001</v>
      </c>
      <c r="T192" s="195">
        <f t="shared" si="13"/>
        <v>0.6517857142857143</v>
      </c>
      <c r="U192" s="195">
        <f t="shared" si="14"/>
        <v>0.42729894808279617</v>
      </c>
      <c r="V192" s="195">
        <f t="shared" si="15"/>
        <v>0.12778757390312209</v>
      </c>
      <c r="W192">
        <f t="shared" si="10"/>
        <v>54</v>
      </c>
      <c r="X192" s="195">
        <f t="shared" si="16"/>
        <v>0.22590770274855776</v>
      </c>
      <c r="Y192" s="195" t="str">
        <f t="shared" si="17"/>
        <v/>
      </c>
      <c r="Z192" s="255" t="str">
        <f>IF(ISNUMBER(SEARCH("C",'WetLitterbags placem_collection'!W119)),"YES","NO")</f>
        <v>NO</v>
      </c>
      <c r="AA192" s="255" t="str">
        <f>IF(ISNUMBER(SEARCH("H", 'WetLitterbags placem_collection'!W119)),"YES","NO")</f>
        <v>YES</v>
      </c>
      <c r="AB192" s="255" t="str">
        <f>IF(ISNUMBER(SEARCH("R", 'WetLitterbags placem_collection'!W119)),"YES","NO")</f>
        <v>YES</v>
      </c>
      <c r="AC192" s="255" t="str">
        <f>IF(ISNUMBER(SEARCH("C", 'WetLitterbags placem_collection'!V119)),"YES","NO")</f>
        <v>NO</v>
      </c>
      <c r="AD192" s="255" t="str">
        <f>IF(ISNUMBER(SEARCH("H", 'WetLitterbags placem_collection'!V119)),"YES","NO")</f>
        <v>YES</v>
      </c>
      <c r="AE192" s="255" t="str">
        <f>IF(ISNUMBER(SEARCH("R", 'WetLitterbags placem_collection'!V119)),"YES","NO")</f>
        <v>YES</v>
      </c>
    </row>
    <row r="193" spans="2:31">
      <c r="B193" t="str">
        <f>'Final data_for_R_analysis_Wetse'!A119</f>
        <v>Wet</v>
      </c>
      <c r="C193" s="263">
        <f>'Final data_for_R_analysis_Wetse'!B119</f>
        <v>118</v>
      </c>
      <c r="D193" t="s">
        <v>3844</v>
      </c>
      <c r="E193" t="s">
        <v>22</v>
      </c>
      <c r="F193" s="387">
        <v>6</v>
      </c>
      <c r="G193" s="16">
        <f>'WetLitterbags placem_collection'!E120</f>
        <v>42762</v>
      </c>
      <c r="H193" t="str">
        <f>'Final data_for_R_analysis_Wetse'!J119</f>
        <v>G681</v>
      </c>
      <c r="I193" t="str">
        <f>'Final data_for_R_analysis_Wetse'!J339</f>
        <v>R495</v>
      </c>
      <c r="J193">
        <f>IFERROR(INDEX('Green_rooibos initial weight'!$C$5:$C$1749,MATCH(H193, 'Green_rooibos initial weight'!$A$5:$A$1749,0)),"")</f>
        <v>2.0790000000000002</v>
      </c>
      <c r="K193">
        <f>IFERROR(INDEX('Green_rooibos initial weight'!$C$5:$C$1749,MATCH(I193, 'Green_rooibos initial weight'!$A$5:$A$1749,0)),"")</f>
        <v>2.25</v>
      </c>
      <c r="L193" s="195">
        <f t="shared" si="11"/>
        <v>1.8292000000000002</v>
      </c>
      <c r="M193" s="195">
        <f>AVERAGE(Ashed_controlls!$K$2:$K$11)</f>
        <v>5.5147656768714146</v>
      </c>
      <c r="N193" s="195">
        <f t="shared" si="9"/>
        <v>2.0002</v>
      </c>
      <c r="O193" s="16">
        <f>IF('WetLitterbags placem_collection'!G120="N.A","",'WetLitterbags placem_collection'!G120)</f>
        <v>42816</v>
      </c>
      <c r="P193" s="195">
        <f>IF(IFERROR(INDEX('Both teabags AfterWet'!$C$3:$C$841,MATCH(H193,'Both teabags AfterWet'!$A$3:$A$841,0)),"")="N.A","",(IFERROR(INDEX('Both teabags AfterWet'!$C$3:$C$841,MATCH(H193,'Both teabags AfterWet'!$A$3:$A$841,0)),"")))</f>
        <v>0.56799999999999995</v>
      </c>
      <c r="Q193" s="195">
        <f>IFERROR(INDEX('Both teabags AfterWet'!$C$3:$C$841,MATCH(I193,'Both teabags AfterWet'!$A$3:$A$841,0)),"")</f>
        <v>1.468</v>
      </c>
      <c r="R193" s="195">
        <f t="shared" si="12"/>
        <v>0.41739999999999994</v>
      </c>
      <c r="S193" s="195">
        <f t="shared" si="12"/>
        <v>1.3173999999999999</v>
      </c>
      <c r="T193" s="195">
        <f t="shared" si="13"/>
        <v>0.77181281434506888</v>
      </c>
      <c r="U193" s="195">
        <f t="shared" si="14"/>
        <v>0.50598654812170796</v>
      </c>
      <c r="V193" s="195">
        <f t="shared" si="15"/>
        <v>0.65863413658634129</v>
      </c>
      <c r="W193">
        <f t="shared" si="10"/>
        <v>54</v>
      </c>
      <c r="X193" s="195">
        <f t="shared" si="16"/>
        <v>8.3357702678065415E-2</v>
      </c>
      <c r="Y193" s="195">
        <f t="shared" si="17"/>
        <v>2.0793817358031954E-2</v>
      </c>
      <c r="Z193" s="255" t="str">
        <f>IF(ISNUMBER(SEARCH("C",'WetLitterbags placem_collection'!W120)),"YES","NO")</f>
        <v>NO</v>
      </c>
      <c r="AA193" s="255" t="str">
        <f>IF(ISNUMBER(SEARCH("H", 'WetLitterbags placem_collection'!W120)),"YES","NO")</f>
        <v>YES</v>
      </c>
      <c r="AB193" s="255" t="str">
        <f>IF(ISNUMBER(SEARCH("R", 'WetLitterbags placem_collection'!W120)),"YES","NO")</f>
        <v>NO</v>
      </c>
      <c r="AC193" s="255" t="str">
        <f>IF(ISNUMBER(SEARCH("C", 'WetLitterbags placem_collection'!V120)),"YES","NO")</f>
        <v>YES</v>
      </c>
      <c r="AD193" s="255" t="str">
        <f>IF(ISNUMBER(SEARCH("H", 'WetLitterbags placem_collection'!V120)),"YES","NO")</f>
        <v>YES</v>
      </c>
      <c r="AE193" s="255" t="str">
        <f>IF(ISNUMBER(SEARCH("R", 'WetLitterbags placem_collection'!V120)),"YES","NO")</f>
        <v>YES</v>
      </c>
    </row>
    <row r="194" spans="2:31">
      <c r="B194" t="str">
        <f>'Final data_for_R_analysis_Wetse'!A120</f>
        <v>Wet</v>
      </c>
      <c r="C194" s="263">
        <f>'Final data_for_R_analysis_Wetse'!B120</f>
        <v>119</v>
      </c>
      <c r="D194" t="s">
        <v>3844</v>
      </c>
      <c r="E194" t="s">
        <v>22</v>
      </c>
      <c r="F194" s="387">
        <v>7</v>
      </c>
      <c r="G194" s="16">
        <f>'WetLitterbags placem_collection'!E121</f>
        <v>42762</v>
      </c>
      <c r="H194" t="str">
        <f>'Final data_for_R_analysis_Wetse'!J120</f>
        <v>G657</v>
      </c>
      <c r="I194" t="str">
        <f>'Final data_for_R_analysis_Wetse'!J340</f>
        <v>R584</v>
      </c>
      <c r="J194">
        <f>IFERROR(INDEX('Green_rooibos initial weight'!$C$5:$C$1749,MATCH(H194, 'Green_rooibos initial weight'!$A$5:$A$1749,0)),"")</f>
        <v>1.9910000000000001</v>
      </c>
      <c r="K194">
        <f>IFERROR(INDEX('Green_rooibos initial weight'!$C$5:$C$1749,MATCH(I194, 'Green_rooibos initial weight'!$A$5:$A$1749,0)),"")</f>
        <v>2.2170000000000001</v>
      </c>
      <c r="L194" s="195">
        <f t="shared" si="11"/>
        <v>1.7412000000000001</v>
      </c>
      <c r="M194" s="195">
        <f>AVERAGE(Ashed_controlls!$K$2:$K$11)</f>
        <v>5.5147656768714146</v>
      </c>
      <c r="N194" s="195">
        <f t="shared" si="9"/>
        <v>1.9672000000000001</v>
      </c>
      <c r="O194" s="16">
        <f>IF('WetLitterbags placem_collection'!G121="N.A","",'WetLitterbags placem_collection'!G121)</f>
        <v>42816</v>
      </c>
      <c r="P194" s="195">
        <f>IF(IFERROR(INDEX('Both teabags AfterWet'!$C$3:$C$841,MATCH(H194,'Both teabags AfterWet'!$A$3:$A$841,0)),"")="N.A","",(IFERROR(INDEX('Both teabags AfterWet'!$C$3:$C$841,MATCH(H194,'Both teabags AfterWet'!$A$3:$A$841,0)),"")))</f>
        <v>0.70099999999999996</v>
      </c>
      <c r="Q194" s="195">
        <f>IFERROR(INDEX('Both teabags AfterWet'!$C$3:$C$841,MATCH(I194,'Both teabags AfterWet'!$A$3:$A$841,0)),"")</f>
        <v>0.435</v>
      </c>
      <c r="R194" s="195">
        <f t="shared" si="12"/>
        <v>0.5504</v>
      </c>
      <c r="S194" s="195">
        <f t="shared" si="12"/>
        <v>0.28439999999999999</v>
      </c>
      <c r="T194" s="195">
        <f t="shared" si="13"/>
        <v>0.68389616356535732</v>
      </c>
      <c r="U194" s="195">
        <f t="shared" si="14"/>
        <v>0.44834997896446233</v>
      </c>
      <c r="V194" s="195">
        <f t="shared" si="15"/>
        <v>0.14457096380642537</v>
      </c>
      <c r="W194">
        <f t="shared" si="10"/>
        <v>54</v>
      </c>
      <c r="X194" s="195">
        <f t="shared" si="16"/>
        <v>0.18777177723829297</v>
      </c>
      <c r="Y194" s="195" t="str">
        <f t="shared" si="17"/>
        <v/>
      </c>
      <c r="Z194" s="255" t="str">
        <f>IF(ISNUMBER(SEARCH("C",'WetLitterbags placem_collection'!W121)),"YES","NO")</f>
        <v>NO</v>
      </c>
      <c r="AA194" s="255" t="str">
        <f>IF(ISNUMBER(SEARCH("H", 'WetLitterbags placem_collection'!W121)),"YES","NO")</f>
        <v>YES</v>
      </c>
      <c r="AB194" s="255" t="str">
        <f>IF(ISNUMBER(SEARCH("R", 'WetLitterbags placem_collection'!W121)),"YES","NO")</f>
        <v>NO</v>
      </c>
      <c r="AC194" s="255" t="str">
        <f>IF(ISNUMBER(SEARCH("C", 'WetLitterbags placem_collection'!V121)),"YES","NO")</f>
        <v>NO</v>
      </c>
      <c r="AD194" s="255" t="str">
        <f>IF(ISNUMBER(SEARCH("H", 'WetLitterbags placem_collection'!V121)),"YES","NO")</f>
        <v>NO</v>
      </c>
      <c r="AE194" s="255" t="str">
        <f>IF(ISNUMBER(SEARCH("R", 'WetLitterbags placem_collection'!V121)),"YES","NO")</f>
        <v>YES</v>
      </c>
    </row>
    <row r="195" spans="2:31">
      <c r="B195" t="str">
        <f>'Final data_for_R_analysis_Wetse'!A121</f>
        <v>Wet</v>
      </c>
      <c r="C195" s="263">
        <f>'Final data_for_R_analysis_Wetse'!B121</f>
        <v>120</v>
      </c>
      <c r="D195" t="s">
        <v>3844</v>
      </c>
      <c r="E195" t="s">
        <v>22</v>
      </c>
      <c r="F195" s="387">
        <v>8</v>
      </c>
      <c r="G195" s="16">
        <f>'WetLitterbags placem_collection'!E122</f>
        <v>42762</v>
      </c>
      <c r="H195" t="str">
        <f>'Final data_for_R_analysis_Wetse'!J121</f>
        <v>G758</v>
      </c>
      <c r="I195" t="str">
        <f>'Final data_for_R_analysis_Wetse'!J341</f>
        <v>R454</v>
      </c>
      <c r="J195">
        <f>IFERROR(INDEX('Green_rooibos initial weight'!$C$5:$C$1749,MATCH(H195, 'Green_rooibos initial weight'!$A$5:$A$1749,0)),"")</f>
        <v>2.0310000000000001</v>
      </c>
      <c r="K195">
        <f>IFERROR(INDEX('Green_rooibos initial weight'!$C$5:$C$1749,MATCH(I195, 'Green_rooibos initial weight'!$A$5:$A$1749,0)),"")</f>
        <v>2.1819999999999999</v>
      </c>
      <c r="L195" s="195">
        <f t="shared" si="11"/>
        <v>1.7812000000000001</v>
      </c>
      <c r="M195" s="195">
        <f>AVERAGE(Ashed_controlls!$K$2:$K$11)</f>
        <v>5.5147656768714146</v>
      </c>
      <c r="N195" s="195">
        <f t="shared" si="9"/>
        <v>1.9321999999999999</v>
      </c>
      <c r="O195" s="16">
        <f>IF('WetLitterbags placem_collection'!G122="N.A","",'WetLitterbags placem_collection'!G122)</f>
        <v>42816</v>
      </c>
      <c r="P195" s="195">
        <f>IF(IFERROR(INDEX('Both teabags AfterWet'!$C$3:$C$841,MATCH(H195,'Both teabags AfterWet'!$A$3:$A$841,0)),"")="N.A","",(IFERROR(INDEX('Both teabags AfterWet'!$C$3:$C$841,MATCH(H195,'Both teabags AfterWet'!$A$3:$A$841,0)),"")))</f>
        <v>0.67110000000000003</v>
      </c>
      <c r="Q195" s="195">
        <f>IFERROR(INDEX('Both teabags AfterWet'!$C$3:$C$841,MATCH(I195,'Both teabags AfterWet'!$A$3:$A$841,0)),"")</f>
        <v>0.3876</v>
      </c>
      <c r="R195" s="195">
        <f t="shared" si="12"/>
        <v>0.52049999999999996</v>
      </c>
      <c r="S195" s="195">
        <f t="shared" si="12"/>
        <v>0.23699999999999999</v>
      </c>
      <c r="T195" s="195">
        <f t="shared" si="13"/>
        <v>0.70778127105322253</v>
      </c>
      <c r="U195" s="195">
        <f t="shared" si="14"/>
        <v>0.4640086242534191</v>
      </c>
      <c r="V195" s="195">
        <f t="shared" si="15"/>
        <v>0.12265810992650865</v>
      </c>
      <c r="W195">
        <f t="shared" si="10"/>
        <v>54</v>
      </c>
      <c r="X195" s="195">
        <f t="shared" si="16"/>
        <v>0.15940466620757421</v>
      </c>
      <c r="Y195" s="195" t="str">
        <f t="shared" si="17"/>
        <v/>
      </c>
      <c r="Z195" s="255" t="str">
        <f>IF(ISNUMBER(SEARCH("C",'WetLitterbags placem_collection'!W122)),"YES","NO")</f>
        <v>NO</v>
      </c>
      <c r="AA195" s="255" t="str">
        <f>IF(ISNUMBER(SEARCH("H", 'WetLitterbags placem_collection'!W122)),"YES","NO")</f>
        <v>YES</v>
      </c>
      <c r="AB195" s="255" t="str">
        <f>IF(ISNUMBER(SEARCH("R", 'WetLitterbags placem_collection'!W122)),"YES","NO")</f>
        <v>NO</v>
      </c>
      <c r="AC195" s="255" t="str">
        <f>IF(ISNUMBER(SEARCH("C", 'WetLitterbags placem_collection'!V122)),"YES","NO")</f>
        <v>NO</v>
      </c>
      <c r="AD195" s="255" t="str">
        <f>IF(ISNUMBER(SEARCH("H", 'WetLitterbags placem_collection'!V122)),"YES","NO")</f>
        <v>YES</v>
      </c>
      <c r="AE195" s="255" t="str">
        <f>IF(ISNUMBER(SEARCH("R", 'WetLitterbags placem_collection'!V122)),"YES","NO")</f>
        <v>NO</v>
      </c>
    </row>
    <row r="196" spans="2:31">
      <c r="B196" t="str">
        <f>'Final data_for_R_analysis_Wetse'!A122</f>
        <v>Wet</v>
      </c>
      <c r="C196" s="263">
        <f>'Final data_for_R_analysis_Wetse'!B122</f>
        <v>121</v>
      </c>
      <c r="D196" t="s">
        <v>3845</v>
      </c>
      <c r="E196" t="s">
        <v>22</v>
      </c>
      <c r="F196" s="386">
        <v>1</v>
      </c>
      <c r="G196" s="16">
        <f>'WetLitterbags placem_collection'!E123</f>
        <v>42762</v>
      </c>
      <c r="H196" t="str">
        <f>'Final data_for_R_analysis_Wetse'!J122</f>
        <v>G666</v>
      </c>
      <c r="I196" t="str">
        <f>'Final data_for_R_analysis_Wetse'!J342</f>
        <v>R532</v>
      </c>
      <c r="J196">
        <f>IFERROR(INDEX('Green_rooibos initial weight'!$C$5:$C$1749,MATCH(H196, 'Green_rooibos initial weight'!$A$5:$A$1749,0)),"")</f>
        <v>2.0819999999999999</v>
      </c>
      <c r="K196">
        <f>IFERROR(INDEX('Green_rooibos initial weight'!$C$5:$C$1749,MATCH(I196, 'Green_rooibos initial weight'!$A$5:$A$1749,0)),"")</f>
        <v>2.19</v>
      </c>
      <c r="L196" s="195">
        <f t="shared" si="11"/>
        <v>1.8321999999999998</v>
      </c>
      <c r="M196" s="195">
        <f>AVERAGE(Ashed_controlls!$K$2:$K$11)</f>
        <v>5.5147656768714146</v>
      </c>
      <c r="N196" s="195">
        <f t="shared" si="9"/>
        <v>1.9401999999999999</v>
      </c>
      <c r="O196" s="16">
        <f>IF('WetLitterbags placem_collection'!G123="N.A","",'WetLitterbags placem_collection'!G123)</f>
        <v>42816</v>
      </c>
      <c r="P196" s="195">
        <f>IF(IFERROR(INDEX('Both teabags AfterWet'!$C$3:$C$841,MATCH(H196,'Both teabags AfterWet'!$A$3:$A$841,0)),"")="N.A","",(IFERROR(INDEX('Both teabags AfterWet'!$C$3:$C$841,MATCH(H196,'Both teabags AfterWet'!$A$3:$A$841,0)),"")))</f>
        <v>0.63500000000000001</v>
      </c>
      <c r="Q196" s="195">
        <f>IFERROR(INDEX('Both teabags AfterWet'!$C$3:$C$841,MATCH(I196,'Both teabags AfterWet'!$A$3:$A$841,0)),"")</f>
        <v>1.7050000000000001</v>
      </c>
      <c r="R196" s="195">
        <f t="shared" si="12"/>
        <v>0.4844</v>
      </c>
      <c r="S196" s="195">
        <f t="shared" si="12"/>
        <v>1.5544</v>
      </c>
      <c r="T196" s="195">
        <f t="shared" si="13"/>
        <v>0.73561838227267762</v>
      </c>
      <c r="U196" s="195">
        <f t="shared" si="14"/>
        <v>0.48225813184622102</v>
      </c>
      <c r="V196" s="195">
        <f t="shared" si="15"/>
        <v>0.80115452015256161</v>
      </c>
      <c r="W196">
        <f t="shared" si="10"/>
        <v>54</v>
      </c>
      <c r="X196" s="195">
        <f t="shared" si="16"/>
        <v>0.12634396404670112</v>
      </c>
      <c r="Y196" s="195">
        <f t="shared" si="17"/>
        <v>9.8439915570158968E-3</v>
      </c>
      <c r="Z196" s="255" t="str">
        <f>IF(ISNUMBER(SEARCH("C",'WetLitterbags placem_collection'!W123)),"YES","NO")</f>
        <v>YES</v>
      </c>
      <c r="AA196" s="255" t="str">
        <f>IF(ISNUMBER(SEARCH("H", 'WetLitterbags placem_collection'!W123)),"YES","NO")</f>
        <v>NO</v>
      </c>
      <c r="AB196" s="255" t="str">
        <f>IF(ISNUMBER(SEARCH("R", 'WetLitterbags placem_collection'!W123)),"YES","NO")</f>
        <v>YES</v>
      </c>
      <c r="AC196" s="255" t="str">
        <f>IF(ISNUMBER(SEARCH("C", 'WetLitterbags placem_collection'!V123)),"YES","NO")</f>
        <v>NO</v>
      </c>
      <c r="AD196" s="255" t="str">
        <f>IF(ISNUMBER(SEARCH("H", 'WetLitterbags placem_collection'!V123)),"YES","NO")</f>
        <v>NO</v>
      </c>
      <c r="AE196" s="255" t="str">
        <f>IF(ISNUMBER(SEARCH("R", 'WetLitterbags placem_collection'!V123)),"YES","NO")</f>
        <v>YES</v>
      </c>
    </row>
    <row r="197" spans="2:31">
      <c r="B197" t="str">
        <f>'Final data_for_R_analysis_Wetse'!A123</f>
        <v>Wet</v>
      </c>
      <c r="C197" s="263">
        <f>'Final data_for_R_analysis_Wetse'!B123</f>
        <v>122</v>
      </c>
      <c r="D197" t="s">
        <v>3845</v>
      </c>
      <c r="E197" t="s">
        <v>22</v>
      </c>
      <c r="F197" s="386">
        <v>2</v>
      </c>
      <c r="G197" s="16">
        <f>'WetLitterbags placem_collection'!E124</f>
        <v>42762</v>
      </c>
      <c r="H197" t="str">
        <f>'Final data_for_R_analysis_Wetse'!J123</f>
        <v>G860</v>
      </c>
      <c r="I197" t="str">
        <f>'Final data_for_R_analysis_Wetse'!J343</f>
        <v>R11</v>
      </c>
      <c r="J197">
        <f>IFERROR(INDEX('Green_rooibos initial weight'!$C$5:$C$1749,MATCH(H197, 'Green_rooibos initial weight'!$A$5:$A$1749,0)),"")</f>
        <v>1.9570000000000001</v>
      </c>
      <c r="K197">
        <f>IFERROR(INDEX('Green_rooibos initial weight'!$C$5:$C$1749,MATCH(I197, 'Green_rooibos initial weight'!$A$5:$A$1749,0)),"")</f>
        <v>2.2160000000000002</v>
      </c>
      <c r="L197" s="195">
        <f t="shared" si="11"/>
        <v>1.7072000000000001</v>
      </c>
      <c r="M197" s="195">
        <f>AVERAGE(Ashed_controlls!$K$2:$K$11)</f>
        <v>5.5147656768714146</v>
      </c>
      <c r="N197" s="195">
        <f t="shared" si="9"/>
        <v>1.9662000000000002</v>
      </c>
      <c r="O197" s="16">
        <f>IF('WetLitterbags placem_collection'!G124="N.A","",'WetLitterbags placem_collection'!G124)</f>
        <v>42816</v>
      </c>
      <c r="P197" s="195">
        <f>IF(IFERROR(INDEX('Both teabags AfterWet'!$C$3:$C$841,MATCH(H197,'Both teabags AfterWet'!$A$3:$A$841,0)),"")="N.A","",(IFERROR(INDEX('Both teabags AfterWet'!$C$3:$C$841,MATCH(H197,'Both teabags AfterWet'!$A$3:$A$841,0)),"")))</f>
        <v>0.76800000000000002</v>
      </c>
      <c r="Q197" s="195">
        <f>IFERROR(INDEX('Both teabags AfterWet'!$C$3:$C$841,MATCH(I197,'Both teabags AfterWet'!$A$3:$A$841,0)),"")</f>
        <v>1.25</v>
      </c>
      <c r="R197" s="195">
        <f t="shared" si="12"/>
        <v>0.61739999999999995</v>
      </c>
      <c r="S197" s="195">
        <f t="shared" si="12"/>
        <v>1.0993999999999999</v>
      </c>
      <c r="T197" s="195">
        <f t="shared" si="13"/>
        <v>0.63835520149953151</v>
      </c>
      <c r="U197" s="195">
        <f t="shared" si="14"/>
        <v>0.41849414635123683</v>
      </c>
      <c r="V197" s="195">
        <f t="shared" si="15"/>
        <v>0.55914962872546015</v>
      </c>
      <c r="W197">
        <f t="shared" si="10"/>
        <v>54</v>
      </c>
      <c r="X197" s="195">
        <f t="shared" si="16"/>
        <v>0.24185843052312173</v>
      </c>
      <c r="Y197" s="195" t="str">
        <f t="shared" si="17"/>
        <v/>
      </c>
      <c r="Z197" s="255" t="str">
        <f>IF(ISNUMBER(SEARCH("C",'WetLitterbags placem_collection'!W124)),"YES","NO")</f>
        <v>NO</v>
      </c>
      <c r="AA197" s="255" t="str">
        <f>IF(ISNUMBER(SEARCH("H", 'WetLitterbags placem_collection'!W124)),"YES","NO")</f>
        <v>NO</v>
      </c>
      <c r="AB197" s="255" t="str">
        <f>IF(ISNUMBER(SEARCH("R", 'WetLitterbags placem_collection'!W124)),"YES","NO")</f>
        <v>YES</v>
      </c>
      <c r="AC197" s="255" t="str">
        <f>IF(ISNUMBER(SEARCH("C", 'WetLitterbags placem_collection'!V124)),"YES","NO")</f>
        <v>NO</v>
      </c>
      <c r="AD197" s="255" t="str">
        <f>IF(ISNUMBER(SEARCH("H", 'WetLitterbags placem_collection'!V124)),"YES","NO")</f>
        <v>YES</v>
      </c>
      <c r="AE197" s="255" t="str">
        <f>IF(ISNUMBER(SEARCH("R", 'WetLitterbags placem_collection'!V124)),"YES","NO")</f>
        <v>YES</v>
      </c>
    </row>
    <row r="198" spans="2:31">
      <c r="B198" t="str">
        <f>'Final data_for_R_analysis_Wetse'!A124</f>
        <v>Wet</v>
      </c>
      <c r="C198" s="263">
        <f>'Final data_for_R_analysis_Wetse'!B124</f>
        <v>123</v>
      </c>
      <c r="D198" t="s">
        <v>3845</v>
      </c>
      <c r="E198" t="s">
        <v>22</v>
      </c>
      <c r="F198" s="386">
        <v>3</v>
      </c>
      <c r="G198" s="16">
        <f>'WetLitterbags placem_collection'!E125</f>
        <v>42762</v>
      </c>
      <c r="H198" t="str">
        <f>'Final data_for_R_analysis_Wetse'!J124</f>
        <v>G694</v>
      </c>
      <c r="I198" t="str">
        <f>'Final data_for_R_analysis_Wetse'!J344</f>
        <v>R575</v>
      </c>
      <c r="J198">
        <f>IFERROR(INDEX('Green_rooibos initial weight'!$C$5:$C$1749,MATCH(H198, 'Green_rooibos initial weight'!$A$5:$A$1749,0)),"")</f>
        <v>1.992</v>
      </c>
      <c r="K198">
        <f>IFERROR(INDEX('Green_rooibos initial weight'!$C$5:$C$1749,MATCH(I198, 'Green_rooibos initial weight'!$A$5:$A$1749,0)),"")</f>
        <v>2.0990000000000002</v>
      </c>
      <c r="L198" s="195">
        <f t="shared" si="11"/>
        <v>1.7422</v>
      </c>
      <c r="M198" s="195">
        <f>AVERAGE(Ashed_controlls!$K$2:$K$11)</f>
        <v>5.5147656768714146</v>
      </c>
      <c r="N198" s="195">
        <f t="shared" si="9"/>
        <v>1.8492000000000002</v>
      </c>
      <c r="O198" s="16">
        <f>IF('WetLitterbags placem_collection'!G125="N.A","",'WetLitterbags placem_collection'!G125)</f>
        <v>42816</v>
      </c>
      <c r="P198" s="195">
        <f>IF(IFERROR(INDEX('Both teabags AfterWet'!$C$3:$C$841,MATCH(H198,'Both teabags AfterWet'!$A$3:$A$841,0)),"")="N.A","",(IFERROR(INDEX('Both teabags AfterWet'!$C$3:$C$841,MATCH(H198,'Both teabags AfterWet'!$A$3:$A$841,0)),"")))</f>
        <v>0.622</v>
      </c>
      <c r="Q198" s="195">
        <f>IFERROR(INDEX('Both teabags AfterWet'!$C$3:$C$841,MATCH(I198,'Both teabags AfterWet'!$A$3:$A$841,0)),"")</f>
        <v>1.6872</v>
      </c>
      <c r="R198" s="195">
        <f t="shared" si="12"/>
        <v>0.47139999999999999</v>
      </c>
      <c r="S198" s="195">
        <f t="shared" si="12"/>
        <v>1.5366</v>
      </c>
      <c r="T198" s="195">
        <f t="shared" si="13"/>
        <v>0.72942256916542303</v>
      </c>
      <c r="U198" s="195">
        <f t="shared" si="14"/>
        <v>0.47819626862151254</v>
      </c>
      <c r="V198" s="195">
        <f t="shared" si="15"/>
        <v>0.83095392602206353</v>
      </c>
      <c r="W198">
        <f t="shared" si="10"/>
        <v>54</v>
      </c>
      <c r="X198" s="195">
        <f t="shared" si="16"/>
        <v>0.13370241191754983</v>
      </c>
      <c r="Y198" s="195">
        <f t="shared" si="17"/>
        <v>8.0776671558193593E-3</v>
      </c>
      <c r="Z198" s="255" t="str">
        <f>IF(ISNUMBER(SEARCH("C",'WetLitterbags placem_collection'!W125)),"YES","NO")</f>
        <v>YES</v>
      </c>
      <c r="AA198" s="255" t="str">
        <f>IF(ISNUMBER(SEARCH("H", 'WetLitterbags placem_collection'!W125)),"YES","NO")</f>
        <v>YES</v>
      </c>
      <c r="AB198" s="255" t="str">
        <f>IF(ISNUMBER(SEARCH("R", 'WetLitterbags placem_collection'!W125)),"YES","NO")</f>
        <v>NO</v>
      </c>
      <c r="AC198" s="255" t="str">
        <f>IF(ISNUMBER(SEARCH("C", 'WetLitterbags placem_collection'!V125)),"YES","NO")</f>
        <v>NO</v>
      </c>
      <c r="AD198" s="255" t="str">
        <f>IF(ISNUMBER(SEARCH("H", 'WetLitterbags placem_collection'!V125)),"YES","NO")</f>
        <v>NO</v>
      </c>
      <c r="AE198" s="255" t="str">
        <f>IF(ISNUMBER(SEARCH("R", 'WetLitterbags placem_collection'!V125)),"YES","NO")</f>
        <v>YES</v>
      </c>
    </row>
    <row r="199" spans="2:31">
      <c r="B199" t="str">
        <f>'Final data_for_R_analysis_Wetse'!A125</f>
        <v>Wet</v>
      </c>
      <c r="C199" s="263">
        <f>'Final data_for_R_analysis_Wetse'!B125</f>
        <v>124</v>
      </c>
      <c r="D199" t="s">
        <v>3845</v>
      </c>
      <c r="E199" t="s">
        <v>22</v>
      </c>
      <c r="F199" s="387">
        <v>4</v>
      </c>
      <c r="G199" s="16">
        <f>'WetLitterbags placem_collection'!E126</f>
        <v>42762</v>
      </c>
      <c r="H199" t="str">
        <f>'Final data_for_R_analysis_Wetse'!J125</f>
        <v>G867</v>
      </c>
      <c r="I199" t="str">
        <f>'Final data_for_R_analysis_Wetse'!J345</f>
        <v>R39</v>
      </c>
      <c r="J199">
        <f>IFERROR(INDEX('Green_rooibos initial weight'!$C$5:$C$1749,MATCH(H199, 'Green_rooibos initial weight'!$A$5:$A$1749,0)),"")</f>
        <v>1.907</v>
      </c>
      <c r="K199">
        <f>IFERROR(INDEX('Green_rooibos initial weight'!$C$5:$C$1749,MATCH(I199, 'Green_rooibos initial weight'!$A$5:$A$1749,0)),"")</f>
        <v>2.1429999999999998</v>
      </c>
      <c r="L199" s="195">
        <f t="shared" si="11"/>
        <v>1.6572</v>
      </c>
      <c r="M199" s="195">
        <f>AVERAGE(Ashed_controlls!$K$2:$K$11)</f>
        <v>5.5147656768714146</v>
      </c>
      <c r="N199" s="195">
        <f t="shared" si="9"/>
        <v>1.8931999999999998</v>
      </c>
      <c r="O199" s="16">
        <f>IF('WetLitterbags placem_collection'!G126="N.A","",'WetLitterbags placem_collection'!G126)</f>
        <v>42816</v>
      </c>
      <c r="P199" s="195" t="str">
        <f>IF(IFERROR(INDEX('Both teabags AfterWet'!$C$3:$C$841,MATCH(H199,'Both teabags AfterWet'!$A$3:$A$841,0)),"")="N.A","",(IFERROR(INDEX('Both teabags AfterWet'!$C$3:$C$841,MATCH(H199,'Both teabags AfterWet'!$A$3:$A$841,0)),"")))</f>
        <v/>
      </c>
      <c r="Q199" s="195">
        <f>IFERROR(INDEX('Both teabags AfterWet'!$C$3:$C$841,MATCH(I199,'Both teabags AfterWet'!$A$3:$A$841,0)),"")</f>
        <v>1.4910000000000001</v>
      </c>
      <c r="R199" s="195" t="str">
        <f t="shared" si="12"/>
        <v/>
      </c>
      <c r="S199" s="195">
        <f t="shared" si="12"/>
        <v>1.3404</v>
      </c>
      <c r="T199" s="195" t="str">
        <f t="shared" si="13"/>
        <v/>
      </c>
      <c r="U199" s="195" t="str">
        <f t="shared" si="14"/>
        <v/>
      </c>
      <c r="V199" s="195">
        <f t="shared" si="15"/>
        <v>0.70800760616944869</v>
      </c>
      <c r="W199">
        <f t="shared" si="10"/>
        <v>54</v>
      </c>
      <c r="X199" s="195" t="str">
        <f t="shared" si="16"/>
        <v/>
      </c>
      <c r="Y199" s="195" t="str">
        <f t="shared" si="17"/>
        <v/>
      </c>
      <c r="Z199" s="255" t="str">
        <f>IF(ISNUMBER(SEARCH("C",'WetLitterbags placem_collection'!W126)),"YES","NO")</f>
        <v>NO</v>
      </c>
      <c r="AA199" s="255" t="str">
        <f>IF(ISNUMBER(SEARCH("H", 'WetLitterbags placem_collection'!W126)),"YES","NO")</f>
        <v>NO</v>
      </c>
      <c r="AB199" s="255" t="str">
        <f>IF(ISNUMBER(SEARCH("R", 'WetLitterbags placem_collection'!W126)),"YES","NO")</f>
        <v>YES</v>
      </c>
      <c r="AC199" s="255" t="str">
        <f>IF(ISNUMBER(SEARCH("C", 'WetLitterbags placem_collection'!V126)),"YES","NO")</f>
        <v>NO</v>
      </c>
      <c r="AD199" s="255" t="str">
        <f>IF(ISNUMBER(SEARCH("H", 'WetLitterbags placem_collection'!V126)),"YES","NO")</f>
        <v>YES</v>
      </c>
      <c r="AE199" s="255" t="str">
        <f>IF(ISNUMBER(SEARCH("R", 'WetLitterbags placem_collection'!V126)),"YES","NO")</f>
        <v>YES</v>
      </c>
    </row>
    <row r="200" spans="2:31">
      <c r="B200" t="str">
        <f>'Final data_for_R_analysis_Wetse'!A126</f>
        <v>Wet</v>
      </c>
      <c r="C200" s="263">
        <f>'Final data_for_R_analysis_Wetse'!B126</f>
        <v>125</v>
      </c>
      <c r="D200" t="s">
        <v>3845</v>
      </c>
      <c r="E200" t="s">
        <v>22</v>
      </c>
      <c r="F200" s="387">
        <v>5</v>
      </c>
      <c r="G200" s="16">
        <f>'WetLitterbags placem_collection'!E127</f>
        <v>42762</v>
      </c>
      <c r="H200" t="str">
        <f>'Final data_for_R_analysis_Wetse'!J126</f>
        <v>G793</v>
      </c>
      <c r="I200" t="str">
        <f>'Final data_for_R_analysis_Wetse'!J346</f>
        <v>R560</v>
      </c>
      <c r="J200">
        <f>IFERROR(INDEX('Green_rooibos initial weight'!$C$5:$C$1749,MATCH(H200, 'Green_rooibos initial weight'!$A$5:$A$1749,0)),"")</f>
        <v>2.0459999999999998</v>
      </c>
      <c r="K200">
        <f>IFERROR(INDEX('Green_rooibos initial weight'!$C$5:$C$1749,MATCH(I200, 'Green_rooibos initial weight'!$A$5:$A$1749,0)),"")</f>
        <v>2.157</v>
      </c>
      <c r="L200" s="195">
        <f t="shared" si="11"/>
        <v>1.7961999999999998</v>
      </c>
      <c r="M200" s="195">
        <f>AVERAGE(Ashed_controlls!$K$2:$K$11)</f>
        <v>5.5147656768714146</v>
      </c>
      <c r="N200" s="195">
        <f t="shared" si="9"/>
        <v>1.9072</v>
      </c>
      <c r="O200" s="16">
        <f>IF('WetLitterbags placem_collection'!G127="N.A","",'WetLitterbags placem_collection'!G127)</f>
        <v>42816</v>
      </c>
      <c r="P200" s="195">
        <f>IF(IFERROR(INDEX('Both teabags AfterWet'!$C$3:$C$841,MATCH(H200,'Both teabags AfterWet'!$A$3:$A$841,0)),"")="N.A","",(IFERROR(INDEX('Both teabags AfterWet'!$C$3:$C$841,MATCH(H200,'Both teabags AfterWet'!$A$3:$A$841,0)),"")))</f>
        <v>0.77200000000000002</v>
      </c>
      <c r="Q200" s="195">
        <f>IFERROR(INDEX('Both teabags AfterWet'!$C$3:$C$841,MATCH(I200,'Both teabags AfterWet'!$A$3:$A$841,0)),"")</f>
        <v>1.254</v>
      </c>
      <c r="R200" s="195">
        <f t="shared" si="12"/>
        <v>0.62139999999999995</v>
      </c>
      <c r="S200" s="195">
        <f t="shared" si="12"/>
        <v>1.1033999999999999</v>
      </c>
      <c r="T200" s="195">
        <f t="shared" si="13"/>
        <v>0.6540474334706603</v>
      </c>
      <c r="U200" s="195">
        <f t="shared" si="14"/>
        <v>0.42878169035131175</v>
      </c>
      <c r="V200" s="195">
        <f t="shared" si="15"/>
        <v>0.57854446308724827</v>
      </c>
      <c r="W200">
        <f t="shared" si="10"/>
        <v>54</v>
      </c>
      <c r="X200" s="195">
        <f t="shared" si="16"/>
        <v>0.22322157545052224</v>
      </c>
      <c r="Y200" s="195">
        <f t="shared" si="17"/>
        <v>7.5361061121904466E-2</v>
      </c>
      <c r="Z200" s="255" t="str">
        <f>IF(ISNUMBER(SEARCH("C",'WetLitterbags placem_collection'!W127)),"YES","NO")</f>
        <v>NO</v>
      </c>
      <c r="AA200" s="255" t="str">
        <f>IF(ISNUMBER(SEARCH("H", 'WetLitterbags placem_collection'!W127)),"YES","NO")</f>
        <v>YES</v>
      </c>
      <c r="AB200" s="255" t="str">
        <f>IF(ISNUMBER(SEARCH("R", 'WetLitterbags placem_collection'!W127)),"YES","NO")</f>
        <v>YES</v>
      </c>
      <c r="AC200" s="255" t="str">
        <f>IF(ISNUMBER(SEARCH("C", 'WetLitterbags placem_collection'!V127)),"YES","NO")</f>
        <v>NO</v>
      </c>
      <c r="AD200" s="255" t="str">
        <f>IF(ISNUMBER(SEARCH("H", 'WetLitterbags placem_collection'!V127)),"YES","NO")</f>
        <v>YES</v>
      </c>
      <c r="AE200" s="255" t="str">
        <f>IF(ISNUMBER(SEARCH("R", 'WetLitterbags placem_collection'!V127)),"YES","NO")</f>
        <v>YES</v>
      </c>
    </row>
    <row r="201" spans="2:31">
      <c r="B201" t="str">
        <f>'Final data_for_R_analysis_Wetse'!A127</f>
        <v>Wet</v>
      </c>
      <c r="C201" s="263">
        <f>'Final data_for_R_analysis_Wetse'!B127</f>
        <v>126</v>
      </c>
      <c r="D201" t="s">
        <v>3845</v>
      </c>
      <c r="E201" t="s">
        <v>22</v>
      </c>
      <c r="F201" s="387">
        <v>6</v>
      </c>
      <c r="G201" s="16">
        <f>'WetLitterbags placem_collection'!E128</f>
        <v>42762</v>
      </c>
      <c r="H201" t="str">
        <f>'Final data_for_R_analysis_Wetse'!J127</f>
        <v>G749</v>
      </c>
      <c r="I201" t="str">
        <f>'Final data_for_R_analysis_Wetse'!J347</f>
        <v>R562</v>
      </c>
      <c r="J201">
        <f>IFERROR(INDEX('Green_rooibos initial weight'!$C$5:$C$1749,MATCH(H201, 'Green_rooibos initial weight'!$A$5:$A$1749,0)),"")</f>
        <v>2.0179999999999998</v>
      </c>
      <c r="K201">
        <f>IFERROR(INDEX('Green_rooibos initial weight'!$C$5:$C$1749,MATCH(I201, 'Green_rooibos initial weight'!$A$5:$A$1749,0)),"")</f>
        <v>2.2810000000000001</v>
      </c>
      <c r="L201" s="195">
        <f t="shared" si="11"/>
        <v>1.7681999999999998</v>
      </c>
      <c r="M201" s="195">
        <f>AVERAGE(Ashed_controlls!$K$2:$K$11)</f>
        <v>5.5147656768714146</v>
      </c>
      <c r="N201" s="195">
        <f t="shared" si="9"/>
        <v>2.0312000000000001</v>
      </c>
      <c r="O201" s="16">
        <f>IF('WetLitterbags placem_collection'!G128="N.A","",'WetLitterbags placem_collection'!G128)</f>
        <v>42816</v>
      </c>
      <c r="P201" s="195">
        <f>IF(IFERROR(INDEX('Both teabags AfterWet'!$C$3:$C$841,MATCH(H201,'Both teabags AfterWet'!$A$3:$A$841,0)),"")="N.A","",(IFERROR(INDEX('Both teabags AfterWet'!$C$3:$C$841,MATCH(H201,'Both teabags AfterWet'!$A$3:$A$841,0)),"")))</f>
        <v>0.67800000000000005</v>
      </c>
      <c r="Q201" s="195">
        <f>IFERROR(INDEX('Both teabags AfterWet'!$C$3:$C$841,MATCH(I201,'Both teabags AfterWet'!$A$3:$A$841,0)),"")</f>
        <v>0.17599999999999999</v>
      </c>
      <c r="R201" s="195">
        <f t="shared" si="12"/>
        <v>0.52740000000000009</v>
      </c>
      <c r="S201" s="195">
        <f t="shared" si="12"/>
        <v>2.5399999999999978E-2</v>
      </c>
      <c r="T201" s="195">
        <f t="shared" si="13"/>
        <v>0.70173057346454004</v>
      </c>
      <c r="U201" s="195">
        <f t="shared" si="14"/>
        <v>0.46004189614302393</v>
      </c>
      <c r="V201" s="195">
        <f t="shared" si="15"/>
        <v>1.250492319810948E-2</v>
      </c>
      <c r="W201">
        <f t="shared" si="10"/>
        <v>54</v>
      </c>
      <c r="X201" s="195">
        <f t="shared" si="16"/>
        <v>0.16659076785684079</v>
      </c>
      <c r="Y201" s="195" t="str">
        <f t="shared" si="17"/>
        <v/>
      </c>
      <c r="Z201" s="255" t="str">
        <f>IF(ISNUMBER(SEARCH("C",'WetLitterbags placem_collection'!W128)),"YES","NO")</f>
        <v>NO</v>
      </c>
      <c r="AA201" s="255" t="str">
        <f>IF(ISNUMBER(SEARCH("H", 'WetLitterbags placem_collection'!W128)),"YES","NO")</f>
        <v>NO</v>
      </c>
      <c r="AB201" s="255" t="str">
        <f>IF(ISNUMBER(SEARCH("R", 'WetLitterbags placem_collection'!W128)),"YES","NO")</f>
        <v>NO</v>
      </c>
      <c r="AC201" s="255" t="str">
        <f>IF(ISNUMBER(SEARCH("C", 'WetLitterbags placem_collection'!V128)),"YES","NO")</f>
        <v>NO</v>
      </c>
      <c r="AD201" s="255" t="str">
        <f>IF(ISNUMBER(SEARCH("H", 'WetLitterbags placem_collection'!V128)),"YES","NO")</f>
        <v>YES</v>
      </c>
      <c r="AE201" s="255" t="str">
        <f>IF(ISNUMBER(SEARCH("R", 'WetLitterbags placem_collection'!V128)),"YES","NO")</f>
        <v>YES</v>
      </c>
    </row>
    <row r="202" spans="2:31">
      <c r="B202" t="str">
        <f>'Final data_for_R_analysis_Wetse'!A128</f>
        <v>Wet</v>
      </c>
      <c r="C202" s="263">
        <f>'Final data_for_R_analysis_Wetse'!B128</f>
        <v>127</v>
      </c>
      <c r="D202" t="s">
        <v>3845</v>
      </c>
      <c r="E202" t="s">
        <v>22</v>
      </c>
      <c r="F202" s="387">
        <v>7</v>
      </c>
      <c r="G202" s="16">
        <f>'WetLitterbags placem_collection'!E129</f>
        <v>42762</v>
      </c>
      <c r="H202" t="str">
        <f>'Final data_for_R_analysis_Wetse'!J128</f>
        <v>G898</v>
      </c>
      <c r="I202" t="str">
        <f>'Final data_for_R_analysis_Wetse'!J348</f>
        <v>R506</v>
      </c>
      <c r="J202">
        <f>IFERROR(INDEX('Green_rooibos initial weight'!$C$5:$C$1749,MATCH(H202, 'Green_rooibos initial weight'!$A$5:$A$1749,0)),"")</f>
        <v>1.893</v>
      </c>
      <c r="K202">
        <f>IFERROR(INDEX('Green_rooibos initial weight'!$C$5:$C$1749,MATCH(I202, 'Green_rooibos initial weight'!$A$5:$A$1749,0)),"")</f>
        <v>2.1579999999999999</v>
      </c>
      <c r="L202" s="195">
        <f t="shared" si="11"/>
        <v>1.6432</v>
      </c>
      <c r="M202" s="195">
        <f>AVERAGE(Ashed_controlls!$K$2:$K$11)</f>
        <v>5.5147656768714146</v>
      </c>
      <c r="N202" s="195">
        <f t="shared" si="9"/>
        <v>1.9081999999999999</v>
      </c>
      <c r="O202" s="16">
        <f>IF('WetLitterbags placem_collection'!G129="N.A","",'WetLitterbags placem_collection'!G129)</f>
        <v>42816</v>
      </c>
      <c r="P202" s="195">
        <f>IF(IFERROR(INDEX('Both teabags AfterWet'!$C$3:$C$841,MATCH(H202,'Both teabags AfterWet'!$A$3:$A$841,0)),"")="N.A","",(IFERROR(INDEX('Both teabags AfterWet'!$C$3:$C$841,MATCH(H202,'Both teabags AfterWet'!$A$3:$A$841,0)),"")))</f>
        <v>0.59099999999999997</v>
      </c>
      <c r="Q202" s="195">
        <f>IFERROR(INDEX('Both teabags AfterWet'!$C$3:$C$841,MATCH(I202,'Both teabags AfterWet'!$A$3:$A$841,0)),"")</f>
        <v>1.4710000000000001</v>
      </c>
      <c r="R202" s="195">
        <f t="shared" si="12"/>
        <v>0.44039999999999996</v>
      </c>
      <c r="S202" s="195">
        <f t="shared" si="12"/>
        <v>1.3204</v>
      </c>
      <c r="T202" s="195">
        <f t="shared" si="13"/>
        <v>0.73198636806231743</v>
      </c>
      <c r="U202" s="195">
        <f t="shared" si="14"/>
        <v>0.47987704889596111</v>
      </c>
      <c r="V202" s="195">
        <f t="shared" si="15"/>
        <v>0.69196101037627089</v>
      </c>
      <c r="W202">
        <f t="shared" si="10"/>
        <v>54</v>
      </c>
      <c r="X202" s="195">
        <f t="shared" si="16"/>
        <v>0.1306575201160125</v>
      </c>
      <c r="Y202" s="195">
        <f t="shared" si="17"/>
        <v>1.9018100101983421E-2</v>
      </c>
      <c r="Z202" s="255" t="str">
        <f>IF(ISNUMBER(SEARCH("C",'WetLitterbags placem_collection'!W129)),"YES","NO")</f>
        <v>NO</v>
      </c>
      <c r="AA202" s="255" t="str">
        <f>IF(ISNUMBER(SEARCH("H", 'WetLitterbags placem_collection'!W129)),"YES","NO")</f>
        <v>NO</v>
      </c>
      <c r="AB202" s="255" t="str">
        <f>IF(ISNUMBER(SEARCH("R", 'WetLitterbags placem_collection'!W129)),"YES","NO")</f>
        <v>NO</v>
      </c>
      <c r="AC202" s="255" t="str">
        <f>IF(ISNUMBER(SEARCH("C", 'WetLitterbags placem_collection'!V129)),"YES","NO")</f>
        <v>NO</v>
      </c>
      <c r="AD202" s="255" t="str">
        <f>IF(ISNUMBER(SEARCH("H", 'WetLitterbags placem_collection'!V129)),"YES","NO")</f>
        <v>YES</v>
      </c>
      <c r="AE202" s="255" t="str">
        <f>IF(ISNUMBER(SEARCH("R", 'WetLitterbags placem_collection'!V129)),"YES","NO")</f>
        <v>YES</v>
      </c>
    </row>
    <row r="203" spans="2:31">
      <c r="B203" t="str">
        <f>'Final data_for_R_analysis_Wetse'!A129</f>
        <v>Wet</v>
      </c>
      <c r="C203" s="263">
        <f>'Final data_for_R_analysis_Wetse'!B129</f>
        <v>128</v>
      </c>
      <c r="D203" t="s">
        <v>3845</v>
      </c>
      <c r="E203" t="s">
        <v>22</v>
      </c>
      <c r="F203" s="387">
        <v>8</v>
      </c>
      <c r="G203" s="16">
        <f>'WetLitterbags placem_collection'!E130</f>
        <v>42762</v>
      </c>
      <c r="H203" t="str">
        <f>'Final data_for_R_analysis_Wetse'!J129</f>
        <v>G834</v>
      </c>
      <c r="I203" t="str">
        <f>'Final data_for_R_analysis_Wetse'!J349</f>
        <v>R554</v>
      </c>
      <c r="J203">
        <f>IFERROR(INDEX('Green_rooibos initial weight'!$C$5:$C$1749,MATCH(H203, 'Green_rooibos initial weight'!$A$5:$A$1749,0)),"")</f>
        <v>1.956</v>
      </c>
      <c r="K203">
        <f>IFERROR(INDEX('Green_rooibos initial weight'!$C$5:$C$1749,MATCH(I203, 'Green_rooibos initial weight'!$A$5:$A$1749,0)),"")</f>
        <v>2.1779999999999999</v>
      </c>
      <c r="L203" s="195">
        <f t="shared" si="11"/>
        <v>1.7061999999999999</v>
      </c>
      <c r="M203" s="195">
        <f>AVERAGE(Ashed_controlls!$K$2:$K$11)</f>
        <v>5.5147656768714146</v>
      </c>
      <c r="N203" s="195">
        <f t="shared" si="9"/>
        <v>1.9281999999999999</v>
      </c>
      <c r="O203" s="16">
        <f>IF('WetLitterbags placem_collection'!G130="N.A","",'WetLitterbags placem_collection'!G130)</f>
        <v>42816</v>
      </c>
      <c r="P203" s="195">
        <f>IF(IFERROR(INDEX('Both teabags AfterWet'!$C$3:$C$841,MATCH(H203,'Both teabags AfterWet'!$A$3:$A$841,0)),"")="N.A","",(IFERROR(INDEX('Both teabags AfterWet'!$C$3:$C$841,MATCH(H203,'Both teabags AfterWet'!$A$3:$A$841,0)),"")))</f>
        <v>0.54500000000000004</v>
      </c>
      <c r="Q203" s="195">
        <f>IFERROR(INDEX('Both teabags AfterWet'!$C$3:$C$841,MATCH(I203,'Both teabags AfterWet'!$A$3:$A$841,0)),"")</f>
        <v>2.5259999999999998</v>
      </c>
      <c r="R203" s="195">
        <f t="shared" si="12"/>
        <v>0.39440000000000003</v>
      </c>
      <c r="S203" s="195">
        <f t="shared" si="12"/>
        <v>2.3754</v>
      </c>
      <c r="T203" s="195">
        <f t="shared" si="13"/>
        <v>0.76884304301957562</v>
      </c>
      <c r="U203" s="195">
        <f t="shared" si="14"/>
        <v>0.50403961965178834</v>
      </c>
      <c r="V203" s="195">
        <f t="shared" si="15"/>
        <v>1.2319261487397573</v>
      </c>
      <c r="W203">
        <f t="shared" si="10"/>
        <v>54</v>
      </c>
      <c r="X203" s="195">
        <f t="shared" si="16"/>
        <v>8.6884747007629826E-2</v>
      </c>
      <c r="Y203" s="195">
        <f t="shared" si="17"/>
        <v>-7.0097913316243821E-3</v>
      </c>
      <c r="Z203" s="255" t="str">
        <f>IF(ISNUMBER(SEARCH("C",'WetLitterbags placem_collection'!W130)),"YES","NO")</f>
        <v>YES</v>
      </c>
      <c r="AA203" s="255" t="str">
        <f>IF(ISNUMBER(SEARCH("H", 'WetLitterbags placem_collection'!W130)),"YES","NO")</f>
        <v>YES</v>
      </c>
      <c r="AB203" s="255" t="str">
        <f>IF(ISNUMBER(SEARCH("R", 'WetLitterbags placem_collection'!W130)),"YES","NO")</f>
        <v>YES</v>
      </c>
      <c r="AC203" s="255" t="str">
        <f>IF(ISNUMBER(SEARCH("C", 'WetLitterbags placem_collection'!V130)),"YES","NO")</f>
        <v>NO</v>
      </c>
      <c r="AD203" s="255" t="str">
        <f>IF(ISNUMBER(SEARCH("H", 'WetLitterbags placem_collection'!V130)),"YES","NO")</f>
        <v>NO</v>
      </c>
      <c r="AE203" s="255" t="str">
        <f>IF(ISNUMBER(SEARCH("R", 'WetLitterbags placem_collection'!V130)),"YES","NO")</f>
        <v>YES</v>
      </c>
    </row>
    <row r="204" spans="2:31">
      <c r="B204" t="str">
        <f>'Final data_for_R_analysis_Wetse'!A130</f>
        <v>Wet</v>
      </c>
      <c r="C204" s="263">
        <f>'Final data_for_R_analysis_Wetse'!B130</f>
        <v>129</v>
      </c>
      <c r="D204" t="s">
        <v>3846</v>
      </c>
      <c r="E204" t="s">
        <v>22</v>
      </c>
      <c r="F204" s="386">
        <v>1</v>
      </c>
      <c r="G204" s="16">
        <f>'WetLitterbags placem_collection'!E131</f>
        <v>42762</v>
      </c>
      <c r="H204" t="str">
        <f>'Final data_for_R_analysis_Wetse'!J130</f>
        <v>G819</v>
      </c>
      <c r="I204" t="str">
        <f>'Final data_for_R_analysis_Wetse'!J350</f>
        <v>R46</v>
      </c>
      <c r="J204">
        <f>IFERROR(INDEX('Green_rooibos initial weight'!$C$5:$C$1749,MATCH(H204, 'Green_rooibos initial weight'!$A$5:$A$1749,0)),"")</f>
        <v>1.9770000000000001</v>
      </c>
      <c r="K204">
        <f>IFERROR(INDEX('Green_rooibos initial weight'!$C$5:$C$1749,MATCH(I204, 'Green_rooibos initial weight'!$A$5:$A$1749,0)),"")</f>
        <v>2.2890000000000001</v>
      </c>
      <c r="L204" s="195">
        <f t="shared" si="11"/>
        <v>1.7272000000000001</v>
      </c>
      <c r="M204" s="195">
        <f>AVERAGE(Ashed_controlls!$K$2:$K$11)</f>
        <v>5.5147656768714146</v>
      </c>
      <c r="N204" s="195">
        <f t="shared" ref="N204:N267" si="18">IF(K204&gt;0,(K204*$F$32-($F$29+$F$30)),"")</f>
        <v>2.0392000000000001</v>
      </c>
      <c r="O204" s="16">
        <f>IF('WetLitterbags placem_collection'!G131="N.A","",'WetLitterbags placem_collection'!G131)</f>
        <v>42816</v>
      </c>
      <c r="P204" s="195">
        <f>IF(IFERROR(INDEX('Both teabags AfterWet'!$C$3:$C$841,MATCH(H204,'Both teabags AfterWet'!$A$3:$A$841,0)),"")="N.A","",(IFERROR(INDEX('Both teabags AfterWet'!$C$3:$C$841,MATCH(H204,'Both teabags AfterWet'!$A$3:$A$841,0)),"")))</f>
        <v>0.59719999999999995</v>
      </c>
      <c r="Q204" s="195">
        <f>IFERROR(INDEX('Both teabags AfterWet'!$C$3:$C$841,MATCH(I204,'Both teabags AfterWet'!$A$3:$A$841,0)),"")</f>
        <v>0.48970000000000002</v>
      </c>
      <c r="R204" s="195">
        <f t="shared" si="12"/>
        <v>0.44659999999999994</v>
      </c>
      <c r="S204" s="195">
        <f t="shared" si="12"/>
        <v>0.33910000000000001</v>
      </c>
      <c r="T204" s="195">
        <f t="shared" si="13"/>
        <v>0.74143121815655399</v>
      </c>
      <c r="U204" s="195">
        <f t="shared" si="14"/>
        <v>0.48606892211688585</v>
      </c>
      <c r="V204" s="195">
        <f t="shared" si="15"/>
        <v>0.16629070223617104</v>
      </c>
      <c r="W204">
        <f t="shared" ref="W204:W267" si="19">IF((O204-G204)&gt;0,(IFERROR(O204-G204,"")),"")</f>
        <v>54</v>
      </c>
      <c r="X204" s="195">
        <f t="shared" si="16"/>
        <v>0.11944035848390255</v>
      </c>
      <c r="Y204" s="195" t="str">
        <f t="shared" si="17"/>
        <v/>
      </c>
      <c r="Z204" s="255" t="str">
        <f>IF(ISNUMBER(SEARCH("C",'WetLitterbags placem_collection'!W131)),"YES","NO")</f>
        <v>NO</v>
      </c>
      <c r="AA204" s="255" t="str">
        <f>IF(ISNUMBER(SEARCH("H", 'WetLitterbags placem_collection'!W131)),"YES","NO")</f>
        <v>YES</v>
      </c>
      <c r="AB204" s="255" t="str">
        <f>IF(ISNUMBER(SEARCH("R", 'WetLitterbags placem_collection'!W131)),"YES","NO")</f>
        <v>NO</v>
      </c>
      <c r="AC204" s="255" t="str">
        <f>IF(ISNUMBER(SEARCH("C", 'WetLitterbags placem_collection'!V131)),"YES","NO")</f>
        <v>NO</v>
      </c>
      <c r="AD204" s="255" t="str">
        <f>IF(ISNUMBER(SEARCH("H", 'WetLitterbags placem_collection'!V131)),"YES","NO")</f>
        <v>NO</v>
      </c>
      <c r="AE204" s="255" t="str">
        <f>IF(ISNUMBER(SEARCH("R", 'WetLitterbags placem_collection'!V131)),"YES","NO")</f>
        <v>NO</v>
      </c>
    </row>
    <row r="205" spans="2:31">
      <c r="B205" t="str">
        <f>'Final data_for_R_analysis_Wetse'!A131</f>
        <v>Wet</v>
      </c>
      <c r="C205" s="263">
        <f>'Final data_for_R_analysis_Wetse'!B131</f>
        <v>130</v>
      </c>
      <c r="D205" t="s">
        <v>3846</v>
      </c>
      <c r="E205" t="s">
        <v>22</v>
      </c>
      <c r="F205" s="386">
        <v>2</v>
      </c>
      <c r="G205" s="16">
        <f>'WetLitterbags placem_collection'!E132</f>
        <v>42762</v>
      </c>
      <c r="H205" t="str">
        <f>'Final data_for_R_analysis_Wetse'!J131</f>
        <v>G830</v>
      </c>
      <c r="I205" t="str">
        <f>'Final data_for_R_analysis_Wetse'!J351</f>
        <v>R585</v>
      </c>
      <c r="J205">
        <f>IFERROR(INDEX('Green_rooibos initial weight'!$C$5:$C$1749,MATCH(H205, 'Green_rooibos initial weight'!$A$5:$A$1749,0)),"")</f>
        <v>1.8939999999999999</v>
      </c>
      <c r="K205">
        <f>IFERROR(INDEX('Green_rooibos initial weight'!$C$5:$C$1749,MATCH(I205, 'Green_rooibos initial weight'!$A$5:$A$1749,0)),"")</f>
        <v>2.17</v>
      </c>
      <c r="L205" s="195">
        <f t="shared" ref="L205:L268" si="20">IF(J205&gt;0,(J205*$F$31-($F$29+$F$30)),"")</f>
        <v>1.6441999999999999</v>
      </c>
      <c r="M205" s="195">
        <f>AVERAGE(Ashed_controlls!$K$2:$K$11)</f>
        <v>5.5147656768714146</v>
      </c>
      <c r="N205" s="195">
        <f t="shared" si="18"/>
        <v>1.9201999999999999</v>
      </c>
      <c r="O205" s="16">
        <f>IF('WetLitterbags placem_collection'!G132="N.A","",'WetLitterbags placem_collection'!G132)</f>
        <v>42816</v>
      </c>
      <c r="P205" s="195">
        <f>IF(IFERROR(INDEX('Both teabags AfterWet'!$C$3:$C$841,MATCH(H205,'Both teabags AfterWet'!$A$3:$A$841,0)),"")="N.A","",(IFERROR(INDEX('Both teabags AfterWet'!$C$3:$C$841,MATCH(H205,'Both teabags AfterWet'!$A$3:$A$841,0)),"")))</f>
        <v>0.54</v>
      </c>
      <c r="Q205" s="195">
        <f>IFERROR(INDEX('Both teabags AfterWet'!$C$3:$C$841,MATCH(I205,'Both teabags AfterWet'!$A$3:$A$841,0)),"")</f>
        <v>1.6379999999999999</v>
      </c>
      <c r="R205" s="195">
        <f t="shared" ref="R205:S268" si="21">IFERROR(IF(P205&gt;0,P205-($F$29),""),"")</f>
        <v>0.38940000000000002</v>
      </c>
      <c r="S205" s="195">
        <f t="shared" si="21"/>
        <v>1.4873999999999998</v>
      </c>
      <c r="T205" s="195">
        <f t="shared" ref="T205:T268" si="22">IFERROR(1-R205/L205,"")</f>
        <v>0.76316749787130522</v>
      </c>
      <c r="U205" s="195">
        <f t="shared" ref="U205:U268" si="23">IFERROR($F$26*(1-X205),"")</f>
        <v>0.50031883470897931</v>
      </c>
      <c r="V205" s="195">
        <f t="shared" ref="V205:V268" si="24">IFERROR(S205/N205,"")</f>
        <v>0.77460681179043844</v>
      </c>
      <c r="W205">
        <f t="shared" si="19"/>
        <v>54</v>
      </c>
      <c r="X205" s="195">
        <f t="shared" ref="X205:X268" si="25">IFERROR(1-(T205/$F$25),"")</f>
        <v>9.3625299440254994E-2</v>
      </c>
      <c r="Y205" s="195">
        <f t="shared" ref="Y205:Y268" si="26">IFERROR(LN(U205/(V205-(1-U205)))/W205,"")</f>
        <v>1.1087868145793659E-2</v>
      </c>
      <c r="Z205" s="255" t="str">
        <f>IF(ISNUMBER(SEARCH("C",'WetLitterbags placem_collection'!W132)),"YES","NO")</f>
        <v>NO</v>
      </c>
      <c r="AA205" s="255" t="str">
        <f>IF(ISNUMBER(SEARCH("H", 'WetLitterbags placem_collection'!W132)),"YES","NO")</f>
        <v>NO</v>
      </c>
      <c r="AB205" s="255" t="str">
        <f>IF(ISNUMBER(SEARCH("R", 'WetLitterbags placem_collection'!W132)),"YES","NO")</f>
        <v>NO</v>
      </c>
      <c r="AC205" s="255" t="str">
        <f>IF(ISNUMBER(SEARCH("C", 'WetLitterbags placem_collection'!V132)),"YES","NO")</f>
        <v>NO</v>
      </c>
      <c r="AD205" s="255" t="str">
        <f>IF(ISNUMBER(SEARCH("H", 'WetLitterbags placem_collection'!V132)),"YES","NO")</f>
        <v>NO</v>
      </c>
      <c r="AE205" s="255" t="str">
        <f>IF(ISNUMBER(SEARCH("R", 'WetLitterbags placem_collection'!V132)),"YES","NO")</f>
        <v>YES</v>
      </c>
    </row>
    <row r="206" spans="2:31">
      <c r="B206" t="str">
        <f>'Final data_for_R_analysis_Wetse'!A132</f>
        <v>Wet</v>
      </c>
      <c r="C206" s="263">
        <f>'Final data_for_R_analysis_Wetse'!B132</f>
        <v>131</v>
      </c>
      <c r="D206" t="s">
        <v>3846</v>
      </c>
      <c r="E206" t="s">
        <v>22</v>
      </c>
      <c r="F206" s="386">
        <v>3</v>
      </c>
      <c r="G206" s="16">
        <f>'WetLitterbags placem_collection'!E133</f>
        <v>42762</v>
      </c>
      <c r="H206" t="str">
        <f>'Final data_for_R_analysis_Wetse'!J132</f>
        <v>G746</v>
      </c>
      <c r="I206" t="str">
        <f>'Final data_for_R_analysis_Wetse'!J352</f>
        <v>R476</v>
      </c>
      <c r="J206">
        <f>IFERROR(INDEX('Green_rooibos initial weight'!$C$5:$C$1749,MATCH(H206, 'Green_rooibos initial weight'!$A$5:$A$1749,0)),"")</f>
        <v>2.198</v>
      </c>
      <c r="K206">
        <f>IFERROR(INDEX('Green_rooibos initial weight'!$C$5:$C$1749,MATCH(I206, 'Green_rooibos initial weight'!$A$5:$A$1749,0)),"")</f>
        <v>2.2429999999999999</v>
      </c>
      <c r="L206" s="195">
        <f t="shared" si="20"/>
        <v>1.9481999999999999</v>
      </c>
      <c r="M206" s="195">
        <f>AVERAGE(Ashed_controlls!$K$2:$K$11)</f>
        <v>5.5147656768714146</v>
      </c>
      <c r="N206" s="195">
        <f t="shared" si="18"/>
        <v>1.9931999999999999</v>
      </c>
      <c r="O206" s="16">
        <f>IF('WetLitterbags placem_collection'!G133="N.A","",'WetLitterbags placem_collection'!G133)</f>
        <v>42816</v>
      </c>
      <c r="P206" s="195">
        <f>IF(IFERROR(INDEX('Both teabags AfterWet'!$C$3:$C$841,MATCH(H206,'Both teabags AfterWet'!$A$3:$A$841,0)),"")="N.A","",(IFERROR(INDEX('Both teabags AfterWet'!$C$3:$C$841,MATCH(H206,'Both teabags AfterWet'!$A$3:$A$841,0)),"")))</f>
        <v>0.6613</v>
      </c>
      <c r="Q206" s="195">
        <f>IFERROR(INDEX('Both teabags AfterWet'!$C$3:$C$841,MATCH(I206,'Both teabags AfterWet'!$A$3:$A$841,0)),"")</f>
        <v>0.64019999999999999</v>
      </c>
      <c r="R206" s="195">
        <f t="shared" si="21"/>
        <v>0.51069999999999993</v>
      </c>
      <c r="S206" s="195">
        <f t="shared" si="21"/>
        <v>0.48959999999999998</v>
      </c>
      <c r="T206" s="195">
        <f t="shared" si="22"/>
        <v>0.7378605892618828</v>
      </c>
      <c r="U206" s="195">
        <f t="shared" si="23"/>
        <v>0.4837280822714482</v>
      </c>
      <c r="V206" s="195">
        <f t="shared" si="24"/>
        <v>0.24563515954244433</v>
      </c>
      <c r="W206">
        <f t="shared" si="19"/>
        <v>54</v>
      </c>
      <c r="X206" s="195">
        <f t="shared" si="25"/>
        <v>0.12368101037781132</v>
      </c>
      <c r="Y206" s="195" t="str">
        <f t="shared" si="26"/>
        <v/>
      </c>
      <c r="Z206" s="255" t="str">
        <f>IF(ISNUMBER(SEARCH("C",'WetLitterbags placem_collection'!W133)),"YES","NO")</f>
        <v>YES</v>
      </c>
      <c r="AA206" s="255" t="str">
        <f>IF(ISNUMBER(SEARCH("H", 'WetLitterbags placem_collection'!W133)),"YES","NO")</f>
        <v>YES</v>
      </c>
      <c r="AB206" s="255" t="str">
        <f>IF(ISNUMBER(SEARCH("R", 'WetLitterbags placem_collection'!W133)),"YES","NO")</f>
        <v>NO</v>
      </c>
      <c r="AC206" s="255" t="str">
        <f>IF(ISNUMBER(SEARCH("C", 'WetLitterbags placem_collection'!V133)),"YES","NO")</f>
        <v>NO</v>
      </c>
      <c r="AD206" s="255" t="str">
        <f>IF(ISNUMBER(SEARCH("H", 'WetLitterbags placem_collection'!V133)),"YES","NO")</f>
        <v>YES</v>
      </c>
      <c r="AE206" s="255" t="str">
        <f>IF(ISNUMBER(SEARCH("R", 'WetLitterbags placem_collection'!V133)),"YES","NO")</f>
        <v>NO</v>
      </c>
    </row>
    <row r="207" spans="2:31">
      <c r="B207" t="str">
        <f>'Final data_for_R_analysis_Wetse'!A133</f>
        <v>Wet</v>
      </c>
      <c r="C207" s="263">
        <f>'Final data_for_R_analysis_Wetse'!B133</f>
        <v>132</v>
      </c>
      <c r="D207" t="s">
        <v>3846</v>
      </c>
      <c r="E207" t="s">
        <v>22</v>
      </c>
      <c r="F207" s="387">
        <v>4</v>
      </c>
      <c r="G207" s="16">
        <f>'WetLitterbags placem_collection'!E134</f>
        <v>42762</v>
      </c>
      <c r="H207" t="str">
        <f>'Final data_for_R_analysis_Wetse'!J133</f>
        <v>G725</v>
      </c>
      <c r="I207" t="str">
        <f>'Final data_for_R_analysis_Wetse'!J353</f>
        <v>R536</v>
      </c>
      <c r="J207">
        <f>IFERROR(INDEX('Green_rooibos initial weight'!$C$5:$C$1749,MATCH(H207, 'Green_rooibos initial weight'!$A$5:$A$1749,0)),"")</f>
        <v>2.0270000000000001</v>
      </c>
      <c r="K207">
        <f>IFERROR(INDEX('Green_rooibos initial weight'!$C$5:$C$1749,MATCH(I207, 'Green_rooibos initial weight'!$A$5:$A$1749,0)),"")</f>
        <v>2.1970000000000001</v>
      </c>
      <c r="L207" s="195">
        <f t="shared" si="20"/>
        <v>1.7772000000000001</v>
      </c>
      <c r="M207" s="195">
        <f>AVERAGE(Ashed_controlls!$K$2:$K$11)</f>
        <v>5.5147656768714146</v>
      </c>
      <c r="N207" s="195">
        <f t="shared" si="18"/>
        <v>1.9472</v>
      </c>
      <c r="O207" s="16">
        <f>IF('WetLitterbags placem_collection'!G134="N.A","",'WetLitterbags placem_collection'!G134)</f>
        <v>42816</v>
      </c>
      <c r="P207" s="195">
        <f>IF(IFERROR(INDEX('Both teabags AfterWet'!$C$3:$C$841,MATCH(H207,'Both teabags AfterWet'!$A$3:$A$841,0)),"")="N.A","",(IFERROR(INDEX('Both teabags AfterWet'!$C$3:$C$841,MATCH(H207,'Both teabags AfterWet'!$A$3:$A$841,0)),"")))</f>
        <v>0.56820000000000004</v>
      </c>
      <c r="Q207" s="195">
        <f>IFERROR(INDEX('Both teabags AfterWet'!$C$3:$C$841,MATCH(I207,'Both teabags AfterWet'!$A$3:$A$841,0)),"")</f>
        <v>1.593</v>
      </c>
      <c r="R207" s="195">
        <f t="shared" si="21"/>
        <v>0.41760000000000003</v>
      </c>
      <c r="S207" s="195">
        <f t="shared" si="21"/>
        <v>1.4423999999999999</v>
      </c>
      <c r="T207" s="195">
        <f t="shared" si="22"/>
        <v>0.76502363268062124</v>
      </c>
      <c r="U207" s="195">
        <f t="shared" si="23"/>
        <v>0.50153568318254504</v>
      </c>
      <c r="V207" s="195">
        <f t="shared" si="24"/>
        <v>0.74075595727198018</v>
      </c>
      <c r="W207">
        <f t="shared" si="19"/>
        <v>54</v>
      </c>
      <c r="X207" s="195">
        <f t="shared" si="25"/>
        <v>9.142086379973724E-2</v>
      </c>
      <c r="Y207" s="195">
        <f t="shared" si="26"/>
        <v>1.3472826506602713E-2</v>
      </c>
      <c r="Z207" s="255" t="str">
        <f>IF(ISNUMBER(SEARCH("C",'WetLitterbags placem_collection'!W134)),"YES","NO")</f>
        <v>YES</v>
      </c>
      <c r="AA207" s="255" t="str">
        <f>IF(ISNUMBER(SEARCH("H", 'WetLitterbags placem_collection'!W134)),"YES","NO")</f>
        <v>YES</v>
      </c>
      <c r="AB207" s="255" t="str">
        <f>IF(ISNUMBER(SEARCH("R", 'WetLitterbags placem_collection'!W134)),"YES","NO")</f>
        <v>NO</v>
      </c>
      <c r="AC207" s="255" t="str">
        <f>IF(ISNUMBER(SEARCH("C", 'WetLitterbags placem_collection'!V134)),"YES","NO")</f>
        <v>NO</v>
      </c>
      <c r="AD207" s="255" t="str">
        <f>IF(ISNUMBER(SEARCH("H", 'WetLitterbags placem_collection'!V134)),"YES","NO")</f>
        <v>NO</v>
      </c>
      <c r="AE207" s="255" t="str">
        <f>IF(ISNUMBER(SEARCH("R", 'WetLitterbags placem_collection'!V134)),"YES","NO")</f>
        <v>NO</v>
      </c>
    </row>
    <row r="208" spans="2:31">
      <c r="B208" t="str">
        <f>'Final data_for_R_analysis_Wetse'!A134</f>
        <v>Wet</v>
      </c>
      <c r="C208" s="263">
        <f>'Final data_for_R_analysis_Wetse'!B134</f>
        <v>133</v>
      </c>
      <c r="D208" t="s">
        <v>3846</v>
      </c>
      <c r="E208" t="s">
        <v>22</v>
      </c>
      <c r="F208" s="387">
        <v>5</v>
      </c>
      <c r="G208" s="16">
        <f>'WetLitterbags placem_collection'!E135</f>
        <v>42762</v>
      </c>
      <c r="H208" t="str">
        <f>'Final data_for_R_analysis_Wetse'!J134</f>
        <v>G846</v>
      </c>
      <c r="I208" t="str">
        <f>'Final data_for_R_analysis_Wetse'!J354</f>
        <v>R524</v>
      </c>
      <c r="J208">
        <f>IFERROR(INDEX('Green_rooibos initial weight'!$C$5:$C$1749,MATCH(H208, 'Green_rooibos initial weight'!$A$5:$A$1749,0)),"")</f>
        <v>2.0350000000000001</v>
      </c>
      <c r="K208">
        <f>IFERROR(INDEX('Green_rooibos initial weight'!$C$5:$C$1749,MATCH(I208, 'Green_rooibos initial weight'!$A$5:$A$1749,0)),"")</f>
        <v>2.1080000000000001</v>
      </c>
      <c r="L208" s="195">
        <f t="shared" si="20"/>
        <v>1.7852000000000001</v>
      </c>
      <c r="M208" s="195">
        <f>AVERAGE(Ashed_controlls!$K$2:$K$11)</f>
        <v>5.5147656768714146</v>
      </c>
      <c r="N208" s="195">
        <f t="shared" si="18"/>
        <v>1.8582000000000001</v>
      </c>
      <c r="O208" s="16">
        <f>IF('WetLitterbags placem_collection'!G135="N.A","",'WetLitterbags placem_collection'!G135)</f>
        <v>42816</v>
      </c>
      <c r="P208" s="195">
        <f>IF(IFERROR(INDEX('Both teabags AfterWet'!$C$3:$C$841,MATCH(H208,'Both teabags AfterWet'!$A$3:$A$841,0)),"")="N.A","",(IFERROR(INDEX('Both teabags AfterWet'!$C$3:$C$841,MATCH(H208,'Both teabags AfterWet'!$A$3:$A$841,0)),"")))</f>
        <v>0.59309999999999996</v>
      </c>
      <c r="Q208" s="195">
        <f>IFERROR(INDEX('Both teabags AfterWet'!$C$3:$C$841,MATCH(I208,'Both teabags AfterWet'!$A$3:$A$841,0)),"")</f>
        <v>1.5687</v>
      </c>
      <c r="R208" s="195">
        <f t="shared" si="21"/>
        <v>0.44249999999999995</v>
      </c>
      <c r="S208" s="195">
        <f t="shared" si="21"/>
        <v>1.4180999999999999</v>
      </c>
      <c r="T208" s="195">
        <f t="shared" si="22"/>
        <v>0.75212861304055578</v>
      </c>
      <c r="U208" s="195">
        <f t="shared" si="23"/>
        <v>0.49308194109072068</v>
      </c>
      <c r="V208" s="195">
        <f t="shared" si="24"/>
        <v>0.76315789473684204</v>
      </c>
      <c r="W208">
        <f t="shared" si="19"/>
        <v>54</v>
      </c>
      <c r="X208" s="195">
        <f t="shared" si="25"/>
        <v>0.10673561396608577</v>
      </c>
      <c r="Y208" s="195">
        <f t="shared" si="26"/>
        <v>1.2121509346994163E-2</v>
      </c>
      <c r="Z208" s="255" t="str">
        <f>IF(ISNUMBER(SEARCH("C",'WetLitterbags placem_collection'!W135)),"YES","NO")</f>
        <v>NO</v>
      </c>
      <c r="AA208" s="255" t="str">
        <f>IF(ISNUMBER(SEARCH("H", 'WetLitterbags placem_collection'!W135)),"YES","NO")</f>
        <v>NO</v>
      </c>
      <c r="AB208" s="255" t="str">
        <f>IF(ISNUMBER(SEARCH("R", 'WetLitterbags placem_collection'!W135)),"YES","NO")</f>
        <v>NO</v>
      </c>
      <c r="AC208" s="255" t="str">
        <f>IF(ISNUMBER(SEARCH("C", 'WetLitterbags placem_collection'!V135)),"YES","NO")</f>
        <v>NO</v>
      </c>
      <c r="AD208" s="255" t="str">
        <f>IF(ISNUMBER(SEARCH("H", 'WetLitterbags placem_collection'!V135)),"YES","NO")</f>
        <v>NO</v>
      </c>
      <c r="AE208" s="255" t="str">
        <f>IF(ISNUMBER(SEARCH("R", 'WetLitterbags placem_collection'!V135)),"YES","NO")</f>
        <v>NO</v>
      </c>
    </row>
    <row r="209" spans="2:31">
      <c r="B209" t="str">
        <f>'Final data_for_R_analysis_Wetse'!A135</f>
        <v>Wet</v>
      </c>
      <c r="C209" s="263">
        <f>'Final data_for_R_analysis_Wetse'!B135</f>
        <v>134</v>
      </c>
      <c r="D209" t="s">
        <v>3846</v>
      </c>
      <c r="E209" t="s">
        <v>22</v>
      </c>
      <c r="F209" s="387">
        <v>6</v>
      </c>
      <c r="G209" s="16">
        <f>'WetLitterbags placem_collection'!E136</f>
        <v>42762</v>
      </c>
      <c r="H209" t="str">
        <f>'Final data_for_R_analysis_Wetse'!J135</f>
        <v>G756</v>
      </c>
      <c r="I209" t="str">
        <f>'Final data_for_R_analysis_Wetse'!J355</f>
        <v>R600</v>
      </c>
      <c r="J209">
        <f>IFERROR(INDEX('Green_rooibos initial weight'!$C$5:$C$1749,MATCH(H209, 'Green_rooibos initial weight'!$A$5:$A$1749,0)),"")</f>
        <v>2.1459999999999999</v>
      </c>
      <c r="K209">
        <f>IFERROR(INDEX('Green_rooibos initial weight'!$C$5:$C$1749,MATCH(I209, 'Green_rooibos initial weight'!$A$5:$A$1749,0)),"")</f>
        <v>2.2440000000000002</v>
      </c>
      <c r="L209" s="195">
        <f t="shared" si="20"/>
        <v>1.8961999999999999</v>
      </c>
      <c r="M209" s="195">
        <f>AVERAGE(Ashed_controlls!$K$2:$K$11)</f>
        <v>5.5147656768714146</v>
      </c>
      <c r="N209" s="195">
        <f t="shared" si="18"/>
        <v>1.9942000000000002</v>
      </c>
      <c r="O209" s="16">
        <f>IF('WetLitterbags placem_collection'!G136="N.A","",'WetLitterbags placem_collection'!G136)</f>
        <v>42816</v>
      </c>
      <c r="P209" s="195">
        <f>IF(IFERROR(INDEX('Both teabags AfterWet'!$C$3:$C$841,MATCH(H209,'Both teabags AfterWet'!$A$3:$A$841,0)),"")="N.A","",(IFERROR(INDEX('Both teabags AfterWet'!$C$3:$C$841,MATCH(H209,'Both teabags AfterWet'!$A$3:$A$841,0)),"")))</f>
        <v>0.69399999999999995</v>
      </c>
      <c r="Q209" s="195">
        <f>IFERROR(INDEX('Both teabags AfterWet'!$C$3:$C$841,MATCH(I209,'Both teabags AfterWet'!$A$3:$A$841,0)),"")</f>
        <v>1.4419999999999999</v>
      </c>
      <c r="R209" s="195">
        <f t="shared" si="21"/>
        <v>0.54339999999999988</v>
      </c>
      <c r="S209" s="195">
        <f t="shared" si="21"/>
        <v>1.2913999999999999</v>
      </c>
      <c r="T209" s="195">
        <f t="shared" si="22"/>
        <v>0.71342685370741488</v>
      </c>
      <c r="U209" s="195">
        <f t="shared" si="23"/>
        <v>0.46770976632600125</v>
      </c>
      <c r="V209" s="195">
        <f t="shared" si="24"/>
        <v>0.64757797613077916</v>
      </c>
      <c r="W209">
        <f t="shared" si="19"/>
        <v>54</v>
      </c>
      <c r="X209" s="195">
        <f t="shared" si="25"/>
        <v>0.15269969868478039</v>
      </c>
      <c r="Y209" s="195">
        <f t="shared" si="26"/>
        <v>2.5933645083252174E-2</v>
      </c>
      <c r="Z209" s="255" t="str">
        <f>IF(ISNUMBER(SEARCH("C",'WetLitterbags placem_collection'!W136)),"YES","NO")</f>
        <v>NO</v>
      </c>
      <c r="AA209" s="255" t="str">
        <f>IF(ISNUMBER(SEARCH("H", 'WetLitterbags placem_collection'!W136)),"YES","NO")</f>
        <v>NO</v>
      </c>
      <c r="AB209" s="255" t="str">
        <f>IF(ISNUMBER(SEARCH("R", 'WetLitterbags placem_collection'!W136)),"YES","NO")</f>
        <v>NO</v>
      </c>
      <c r="AC209" s="255" t="str">
        <f>IF(ISNUMBER(SEARCH("C", 'WetLitterbags placem_collection'!V136)),"YES","NO")</f>
        <v>NO</v>
      </c>
      <c r="AD209" s="255" t="str">
        <f>IF(ISNUMBER(SEARCH("H", 'WetLitterbags placem_collection'!V136)),"YES","NO")</f>
        <v>NO</v>
      </c>
      <c r="AE209" s="255" t="str">
        <f>IF(ISNUMBER(SEARCH("R", 'WetLitterbags placem_collection'!V136)),"YES","NO")</f>
        <v>YES</v>
      </c>
    </row>
    <row r="210" spans="2:31">
      <c r="B210" t="str">
        <f>'Final data_for_R_analysis_Wetse'!A136</f>
        <v>Wet</v>
      </c>
      <c r="C210" s="263">
        <f>'Final data_for_R_analysis_Wetse'!B136</f>
        <v>135</v>
      </c>
      <c r="D210" t="s">
        <v>3846</v>
      </c>
      <c r="E210" t="s">
        <v>22</v>
      </c>
      <c r="F210" s="387">
        <v>7</v>
      </c>
      <c r="G210" s="16">
        <f>'WetLitterbags placem_collection'!E137</f>
        <v>42762</v>
      </c>
      <c r="H210" t="str">
        <f>'Final data_for_R_analysis_Wetse'!J136</f>
        <v>G745</v>
      </c>
      <c r="I210" t="str">
        <f>'Final data_for_R_analysis_Wetse'!J356</f>
        <v>R432</v>
      </c>
      <c r="J210">
        <f>IFERROR(INDEX('Green_rooibos initial weight'!$C$5:$C$1749,MATCH(H210, 'Green_rooibos initial weight'!$A$5:$A$1749,0)),"")</f>
        <v>1.9570000000000001</v>
      </c>
      <c r="K210">
        <f>IFERROR(INDEX('Green_rooibos initial weight'!$C$5:$C$1749,MATCH(I210, 'Green_rooibos initial weight'!$A$5:$A$1749,0)),"")</f>
        <v>2.2240000000000002</v>
      </c>
      <c r="L210" s="195">
        <f t="shared" si="20"/>
        <v>1.7072000000000001</v>
      </c>
      <c r="M210" s="195">
        <f>AVERAGE(Ashed_controlls!$K$2:$K$11)</f>
        <v>5.5147656768714146</v>
      </c>
      <c r="N210" s="195">
        <f t="shared" si="18"/>
        <v>1.9742000000000002</v>
      </c>
      <c r="O210" s="16">
        <f>IF('WetLitterbags placem_collection'!G137="N.A","",'WetLitterbags placem_collection'!G137)</f>
        <v>42816</v>
      </c>
      <c r="P210" s="195">
        <f>IF(IFERROR(INDEX('Both teabags AfterWet'!$C$3:$C$841,MATCH(H210,'Both teabags AfterWet'!$A$3:$A$841,0)),"")="N.A","",(IFERROR(INDEX('Both teabags AfterWet'!$C$3:$C$841,MATCH(H210,'Both teabags AfterWet'!$A$3:$A$841,0)),"")))</f>
        <v>0.61099999999999999</v>
      </c>
      <c r="Q210" s="195">
        <f>IFERROR(INDEX('Both teabags AfterWet'!$C$3:$C$841,MATCH(I210,'Both teabags AfterWet'!$A$3:$A$841,0)),"")</f>
        <v>1.6830000000000001</v>
      </c>
      <c r="R210" s="195">
        <f t="shared" si="21"/>
        <v>0.46039999999999998</v>
      </c>
      <c r="S210" s="195">
        <f t="shared" si="21"/>
        <v>1.5324</v>
      </c>
      <c r="T210" s="195">
        <f t="shared" si="22"/>
        <v>0.73031865042174315</v>
      </c>
      <c r="U210" s="195">
        <f t="shared" si="23"/>
        <v>0.4787837233168673</v>
      </c>
      <c r="V210" s="195">
        <f t="shared" si="24"/>
        <v>0.77621314963022991</v>
      </c>
      <c r="W210">
        <f t="shared" si="19"/>
        <v>54</v>
      </c>
      <c r="X210" s="195">
        <f t="shared" si="25"/>
        <v>0.13263818239697955</v>
      </c>
      <c r="Y210" s="195">
        <f t="shared" si="26"/>
        <v>1.1666624004294877E-2</v>
      </c>
      <c r="Z210" s="255" t="str">
        <f>IF(ISNUMBER(SEARCH("C",'WetLitterbags placem_collection'!W137)),"YES","NO")</f>
        <v>NO</v>
      </c>
      <c r="AA210" s="255" t="str">
        <f>IF(ISNUMBER(SEARCH("H", 'WetLitterbags placem_collection'!W137)),"YES","NO")</f>
        <v>NO</v>
      </c>
      <c r="AB210" s="255" t="str">
        <f>IF(ISNUMBER(SEARCH("R", 'WetLitterbags placem_collection'!W137)),"YES","NO")</f>
        <v>YES</v>
      </c>
      <c r="AC210" s="255" t="str">
        <f>IF(ISNUMBER(SEARCH("C", 'WetLitterbags placem_collection'!V137)),"YES","NO")</f>
        <v>NO</v>
      </c>
      <c r="AD210" s="255" t="str">
        <f>IF(ISNUMBER(SEARCH("H", 'WetLitterbags placem_collection'!V137)),"YES","NO")</f>
        <v>NO</v>
      </c>
      <c r="AE210" s="255" t="str">
        <f>IF(ISNUMBER(SEARCH("R", 'WetLitterbags placem_collection'!V137)),"YES","NO")</f>
        <v>YES</v>
      </c>
    </row>
    <row r="211" spans="2:31">
      <c r="B211" t="str">
        <f>'Final data_for_R_analysis_Wetse'!A137</f>
        <v>Wet</v>
      </c>
      <c r="C211" s="263">
        <f>'Final data_for_R_analysis_Wetse'!B137</f>
        <v>136</v>
      </c>
      <c r="D211" t="s">
        <v>3846</v>
      </c>
      <c r="E211" t="s">
        <v>22</v>
      </c>
      <c r="F211" s="387">
        <v>8</v>
      </c>
      <c r="G211" s="16">
        <f>'WetLitterbags placem_collection'!E138</f>
        <v>42762</v>
      </c>
      <c r="H211" t="str">
        <f>'Final data_for_R_analysis_Wetse'!J137</f>
        <v>G832</v>
      </c>
      <c r="I211" t="str">
        <f>'Final data_for_R_analysis_Wetse'!J357</f>
        <v>R474</v>
      </c>
      <c r="J211">
        <f>IFERROR(INDEX('Green_rooibos initial weight'!$C$5:$C$1749,MATCH(H211, 'Green_rooibos initial weight'!$A$5:$A$1749,0)),"")</f>
        <v>2.0470000000000002</v>
      </c>
      <c r="K211">
        <f>IFERROR(INDEX('Green_rooibos initial weight'!$C$5:$C$1749,MATCH(I211, 'Green_rooibos initial weight'!$A$5:$A$1749,0)),"")</f>
        <v>2.258</v>
      </c>
      <c r="L211" s="195">
        <f t="shared" si="20"/>
        <v>1.7972000000000001</v>
      </c>
      <c r="M211" s="195">
        <f>AVERAGE(Ashed_controlls!$K$2:$K$11)</f>
        <v>5.5147656768714146</v>
      </c>
      <c r="N211" s="195">
        <f t="shared" si="18"/>
        <v>2.0082</v>
      </c>
      <c r="O211" s="16">
        <f>IF('WetLitterbags placem_collection'!G138="N.A","",'WetLitterbags placem_collection'!G138)</f>
        <v>42816</v>
      </c>
      <c r="P211" s="195">
        <f>IF(IFERROR(INDEX('Both teabags AfterWet'!$C$3:$C$841,MATCH(H211,'Both teabags AfterWet'!$A$3:$A$841,0)),"")="N.A","",(IFERROR(INDEX('Both teabags AfterWet'!$C$3:$C$841,MATCH(H211,'Both teabags AfterWet'!$A$3:$A$841,0)),"")))</f>
        <v>0.5796</v>
      </c>
      <c r="Q211" s="195">
        <f>IFERROR(INDEX('Both teabags AfterWet'!$C$3:$C$841,MATCH(I211,'Both teabags AfterWet'!$A$3:$A$841,0)),"")</f>
        <v>1.5827</v>
      </c>
      <c r="R211" s="195">
        <f t="shared" si="21"/>
        <v>0.42899999999999999</v>
      </c>
      <c r="S211" s="195">
        <f t="shared" si="21"/>
        <v>1.4320999999999999</v>
      </c>
      <c r="T211" s="195">
        <f t="shared" si="22"/>
        <v>0.76129534831960832</v>
      </c>
      <c r="U211" s="195">
        <f t="shared" si="23"/>
        <v>0.49909148725941072</v>
      </c>
      <c r="V211" s="195">
        <f t="shared" si="24"/>
        <v>0.71312618265113037</v>
      </c>
      <c r="W211">
        <f t="shared" si="19"/>
        <v>54</v>
      </c>
      <c r="X211" s="195">
        <f t="shared" si="25"/>
        <v>9.5848754964835692E-2</v>
      </c>
      <c r="Y211" s="195">
        <f t="shared" si="26"/>
        <v>1.5836609765865289E-2</v>
      </c>
      <c r="Z211" s="255" t="str">
        <f>IF(ISNUMBER(SEARCH("C",'WetLitterbags placem_collection'!W138)),"YES","NO")</f>
        <v>NO</v>
      </c>
      <c r="AA211" s="255" t="str">
        <f>IF(ISNUMBER(SEARCH("H", 'WetLitterbags placem_collection'!W138)),"YES","NO")</f>
        <v>NO</v>
      </c>
      <c r="AB211" s="255" t="str">
        <f>IF(ISNUMBER(SEARCH("R", 'WetLitterbags placem_collection'!W138)),"YES","NO")</f>
        <v>YES</v>
      </c>
      <c r="AC211" s="255" t="str">
        <f>IF(ISNUMBER(SEARCH("C", 'WetLitterbags placem_collection'!V138)),"YES","NO")</f>
        <v>NO</v>
      </c>
      <c r="AD211" s="255" t="str">
        <f>IF(ISNUMBER(SEARCH("H", 'WetLitterbags placem_collection'!V138)),"YES","NO")</f>
        <v>NO</v>
      </c>
      <c r="AE211" s="255" t="str">
        <f>IF(ISNUMBER(SEARCH("R", 'WetLitterbags placem_collection'!V138)),"YES","NO")</f>
        <v>YES</v>
      </c>
    </row>
    <row r="212" spans="2:31">
      <c r="B212" t="str">
        <f>'Final data_for_R_analysis_Wetse'!A138</f>
        <v>Wet</v>
      </c>
      <c r="C212" s="263">
        <f>'Final data_for_R_analysis_Wetse'!B138</f>
        <v>137</v>
      </c>
      <c r="D212" t="s">
        <v>3848</v>
      </c>
      <c r="E212" t="s">
        <v>22</v>
      </c>
      <c r="F212" s="386">
        <v>1</v>
      </c>
      <c r="G212" s="16">
        <f>'WetLitterbags placem_collection'!E139</f>
        <v>42762</v>
      </c>
      <c r="H212" t="str">
        <f>'Final data_for_R_analysis_Wetse'!J138</f>
        <v>G805</v>
      </c>
      <c r="I212" t="str">
        <f>'Final data_for_R_analysis_Wetse'!J358</f>
        <v>R34</v>
      </c>
      <c r="J212">
        <f>IFERROR(INDEX('Green_rooibos initial weight'!$C$5:$C$1749,MATCH(H212, 'Green_rooibos initial weight'!$A$5:$A$1749,0)),"")</f>
        <v>1.9810000000000001</v>
      </c>
      <c r="K212">
        <f>IFERROR(INDEX('Green_rooibos initial weight'!$C$5:$C$1749,MATCH(I212, 'Green_rooibos initial weight'!$A$5:$A$1749,0)),"")</f>
        <v>2.1349999999999998</v>
      </c>
      <c r="L212" s="195">
        <f t="shared" si="20"/>
        <v>1.7312000000000001</v>
      </c>
      <c r="M212" s="195">
        <f>AVERAGE(Ashed_controlls!$K$2:$K$11)</f>
        <v>5.5147656768714146</v>
      </c>
      <c r="N212" s="195">
        <f t="shared" si="18"/>
        <v>1.8851999999999998</v>
      </c>
      <c r="O212" s="16">
        <f>IF('WetLitterbags placem_collection'!G139="N.A","",'WetLitterbags placem_collection'!G139)</f>
        <v>42816</v>
      </c>
      <c r="P212" s="195">
        <f>IF(IFERROR(INDEX('Both teabags AfterWet'!$C$3:$C$841,MATCH(H212,'Both teabags AfterWet'!$A$3:$A$841,0)),"")="N.A","",(IFERROR(INDEX('Both teabags AfterWet'!$C$3:$C$841,MATCH(H212,'Both teabags AfterWet'!$A$3:$A$841,0)),"")))</f>
        <v>1.5740000000000001</v>
      </c>
      <c r="Q212" s="195">
        <f>IFERROR(INDEX('Both teabags AfterWet'!$C$3:$C$841,MATCH(I212,'Both teabags AfterWet'!$A$3:$A$841,0)),"")</f>
        <v>1.571</v>
      </c>
      <c r="R212" s="195">
        <f t="shared" si="21"/>
        <v>1.4234</v>
      </c>
      <c r="S212" s="195">
        <f t="shared" si="21"/>
        <v>1.4203999999999999</v>
      </c>
      <c r="T212" s="195">
        <f t="shared" si="22"/>
        <v>0.17779574861367842</v>
      </c>
      <c r="U212" s="195">
        <f t="shared" si="23"/>
        <v>0.11655968317666331</v>
      </c>
      <c r="V212" s="195">
        <f t="shared" si="24"/>
        <v>0.75344791003607048</v>
      </c>
      <c r="W212">
        <f t="shared" si="19"/>
        <v>54</v>
      </c>
      <c r="X212" s="195">
        <f t="shared" si="25"/>
        <v>0.78884115366546503</v>
      </c>
      <c r="Y212" s="195" t="str">
        <f t="shared" si="26"/>
        <v/>
      </c>
      <c r="Z212" s="255" t="str">
        <f>IF(ISNUMBER(SEARCH("C",'WetLitterbags placem_collection'!W139)),"YES","NO")</f>
        <v>YES</v>
      </c>
      <c r="AA212" s="255" t="str">
        <f>IF(ISNUMBER(SEARCH("H", 'WetLitterbags placem_collection'!W139)),"YES","NO")</f>
        <v>NO</v>
      </c>
      <c r="AB212" s="255" t="str">
        <f>IF(ISNUMBER(SEARCH("R", 'WetLitterbags placem_collection'!W139)),"YES","NO")</f>
        <v>NO</v>
      </c>
      <c r="AC212" s="255" t="str">
        <f>IF(ISNUMBER(SEARCH("C", 'WetLitterbags placem_collection'!V139)),"YES","NO")</f>
        <v>NO</v>
      </c>
      <c r="AD212" s="255" t="str">
        <f>IF(ISNUMBER(SEARCH("H", 'WetLitterbags placem_collection'!V139)),"YES","NO")</f>
        <v>NO</v>
      </c>
      <c r="AE212" s="255" t="str">
        <f>IF(ISNUMBER(SEARCH("R", 'WetLitterbags placem_collection'!V139)),"YES","NO")</f>
        <v>YES</v>
      </c>
    </row>
    <row r="213" spans="2:31">
      <c r="B213" t="str">
        <f>'Final data_for_R_analysis_Wetse'!A139</f>
        <v>Wet</v>
      </c>
      <c r="C213" s="263">
        <f>'Final data_for_R_analysis_Wetse'!B139</f>
        <v>138</v>
      </c>
      <c r="D213" t="s">
        <v>3848</v>
      </c>
      <c r="E213" t="s">
        <v>22</v>
      </c>
      <c r="F213" s="386">
        <v>2</v>
      </c>
      <c r="G213" s="16">
        <f>'WetLitterbags placem_collection'!E140</f>
        <v>42762</v>
      </c>
      <c r="H213" t="str">
        <f>'Final data_for_R_analysis_Wetse'!J139</f>
        <v>G815</v>
      </c>
      <c r="I213" t="str">
        <f>'Final data_for_R_analysis_Wetse'!J359</f>
        <v>R426</v>
      </c>
      <c r="J213">
        <f>IFERROR(INDEX('Green_rooibos initial weight'!$C$5:$C$1749,MATCH(H213, 'Green_rooibos initial weight'!$A$5:$A$1749,0)),"")</f>
        <v>1.998</v>
      </c>
      <c r="K213">
        <f>IFERROR(INDEX('Green_rooibos initial weight'!$C$5:$C$1749,MATCH(I213, 'Green_rooibos initial weight'!$A$5:$A$1749,0)),"")</f>
        <v>2.153</v>
      </c>
      <c r="L213" s="195">
        <f t="shared" si="20"/>
        <v>1.7482</v>
      </c>
      <c r="M213" s="195">
        <f>AVERAGE(Ashed_controlls!$K$2:$K$11)</f>
        <v>5.5147656768714146</v>
      </c>
      <c r="N213" s="195">
        <f t="shared" si="18"/>
        <v>1.9032</v>
      </c>
      <c r="O213" s="16">
        <f>IF('WetLitterbags placem_collection'!G140="N.A","",'WetLitterbags placem_collection'!G140)</f>
        <v>42816</v>
      </c>
      <c r="P213" s="195">
        <f>IF(IFERROR(INDEX('Both teabags AfterWet'!$C$3:$C$841,MATCH(H213,'Both teabags AfterWet'!$A$3:$A$841,0)),"")="N.A","",(IFERROR(INDEX('Both teabags AfterWet'!$C$3:$C$841,MATCH(H213,'Both teabags AfterWet'!$A$3:$A$841,0)),"")))</f>
        <v>0.64300000000000002</v>
      </c>
      <c r="Q213" s="195">
        <f>IFERROR(INDEX('Both teabags AfterWet'!$C$3:$C$841,MATCH(I213,'Both teabags AfterWet'!$A$3:$A$841,0)),"")</f>
        <v>1.613</v>
      </c>
      <c r="R213" s="195">
        <f t="shared" si="21"/>
        <v>0.4924</v>
      </c>
      <c r="S213" s="195">
        <f t="shared" si="21"/>
        <v>1.4623999999999999</v>
      </c>
      <c r="T213" s="195">
        <f t="shared" si="22"/>
        <v>0.71833886283033976</v>
      </c>
      <c r="U213" s="195">
        <f t="shared" si="23"/>
        <v>0.47092999083414205</v>
      </c>
      <c r="V213" s="195">
        <f t="shared" si="24"/>
        <v>0.76839007986548968</v>
      </c>
      <c r="W213">
        <f t="shared" si="19"/>
        <v>54</v>
      </c>
      <c r="X213" s="195">
        <f t="shared" si="25"/>
        <v>0.1468659586338007</v>
      </c>
      <c r="Y213" s="195">
        <f t="shared" si="26"/>
        <v>1.2535325548331875E-2</v>
      </c>
      <c r="Z213" s="255" t="str">
        <f>IF(ISNUMBER(SEARCH("C",'WetLitterbags placem_collection'!W140)),"YES","NO")</f>
        <v>NO</v>
      </c>
      <c r="AA213" s="255" t="str">
        <f>IF(ISNUMBER(SEARCH("H", 'WetLitterbags placem_collection'!W140)),"YES","NO")</f>
        <v>NO</v>
      </c>
      <c r="AB213" s="255" t="str">
        <f>IF(ISNUMBER(SEARCH("R", 'WetLitterbags placem_collection'!W140)),"YES","NO")</f>
        <v>NO</v>
      </c>
      <c r="AC213" s="255" t="str">
        <f>IF(ISNUMBER(SEARCH("C", 'WetLitterbags placem_collection'!V140)),"YES","NO")</f>
        <v>NO</v>
      </c>
      <c r="AD213" s="255" t="str">
        <f>IF(ISNUMBER(SEARCH("H", 'WetLitterbags placem_collection'!V140)),"YES","NO")</f>
        <v>NO</v>
      </c>
      <c r="AE213" s="255" t="str">
        <f>IF(ISNUMBER(SEARCH("R", 'WetLitterbags placem_collection'!V140)),"YES","NO")</f>
        <v>YES</v>
      </c>
    </row>
    <row r="214" spans="2:31">
      <c r="B214" t="str">
        <f>'Final data_for_R_analysis_Wetse'!A140</f>
        <v>Wet</v>
      </c>
      <c r="C214" s="263">
        <f>'Final data_for_R_analysis_Wetse'!B140</f>
        <v>139</v>
      </c>
      <c r="D214" t="s">
        <v>3848</v>
      </c>
      <c r="E214" t="s">
        <v>22</v>
      </c>
      <c r="F214" s="386">
        <v>3</v>
      </c>
      <c r="G214" s="16">
        <f>'WetLitterbags placem_collection'!E141</f>
        <v>42762</v>
      </c>
      <c r="H214" t="str">
        <f>'Final data_for_R_analysis_Wetse'!J140</f>
        <v>G798</v>
      </c>
      <c r="I214" t="str">
        <f>'Final data_for_R_analysis_Wetse'!J360</f>
        <v>R563</v>
      </c>
      <c r="J214">
        <f>IFERROR(INDEX('Green_rooibos initial weight'!$C$5:$C$1749,MATCH(H214, 'Green_rooibos initial weight'!$A$5:$A$1749,0)),"")</f>
        <v>2.089</v>
      </c>
      <c r="K214">
        <f>IFERROR(INDEX('Green_rooibos initial weight'!$C$5:$C$1749,MATCH(I214, 'Green_rooibos initial weight'!$A$5:$A$1749,0)),"")</f>
        <v>2.1150000000000002</v>
      </c>
      <c r="L214" s="195">
        <f t="shared" si="20"/>
        <v>1.8391999999999999</v>
      </c>
      <c r="M214" s="195">
        <f>AVERAGE(Ashed_controlls!$K$2:$K$11)</f>
        <v>5.5147656768714146</v>
      </c>
      <c r="N214" s="195">
        <f t="shared" si="18"/>
        <v>1.8652000000000002</v>
      </c>
      <c r="O214" s="16">
        <f>IF('WetLitterbags placem_collection'!G141="N.A","",'WetLitterbags placem_collection'!G141)</f>
        <v>42816</v>
      </c>
      <c r="P214" s="195">
        <f>IF(IFERROR(INDEX('Both teabags AfterWet'!$C$3:$C$841,MATCH(H214,'Both teabags AfterWet'!$A$3:$A$841,0)),"")="N.A","",(IFERROR(INDEX('Both teabags AfterWet'!$C$3:$C$841,MATCH(H214,'Both teabags AfterWet'!$A$3:$A$841,0)),"")))</f>
        <v>0.73499999999999999</v>
      </c>
      <c r="Q214" s="195">
        <f>IFERROR(INDEX('Both teabags AfterWet'!$C$3:$C$841,MATCH(I214,'Both teabags AfterWet'!$A$3:$A$841,0)),"")</f>
        <v>2.5009999999999999</v>
      </c>
      <c r="R214" s="195">
        <f t="shared" si="21"/>
        <v>0.58440000000000003</v>
      </c>
      <c r="S214" s="195">
        <f t="shared" si="21"/>
        <v>2.3504</v>
      </c>
      <c r="T214" s="195">
        <f t="shared" si="22"/>
        <v>0.68225315354501959</v>
      </c>
      <c r="U214" s="195">
        <f t="shared" si="23"/>
        <v>0.4472728512551673</v>
      </c>
      <c r="V214" s="195">
        <f t="shared" si="24"/>
        <v>1.2601329616126955</v>
      </c>
      <c r="W214">
        <f t="shared" si="19"/>
        <v>54</v>
      </c>
      <c r="X214" s="195">
        <f t="shared" si="25"/>
        <v>0.18972309555223321</v>
      </c>
      <c r="Y214" s="195">
        <f t="shared" si="26"/>
        <v>-8.4895496311529327E-3</v>
      </c>
      <c r="Z214" s="255" t="str">
        <f>IF(ISNUMBER(SEARCH("C",'WetLitterbags placem_collection'!W141)),"YES","NO")</f>
        <v>YES</v>
      </c>
      <c r="AA214" s="255" t="str">
        <f>IF(ISNUMBER(SEARCH("H", 'WetLitterbags placem_collection'!W141)),"YES","NO")</f>
        <v>YES</v>
      </c>
      <c r="AB214" s="255" t="str">
        <f>IF(ISNUMBER(SEARCH("R", 'WetLitterbags placem_collection'!W141)),"YES","NO")</f>
        <v>YES</v>
      </c>
      <c r="AC214" s="255" t="str">
        <f>IF(ISNUMBER(SEARCH("C", 'WetLitterbags placem_collection'!V141)),"YES","NO")</f>
        <v>NO</v>
      </c>
      <c r="AD214" s="255" t="str">
        <f>IF(ISNUMBER(SEARCH("H", 'WetLitterbags placem_collection'!V141)),"YES","NO")</f>
        <v>NO</v>
      </c>
      <c r="AE214" s="255" t="str">
        <f>IF(ISNUMBER(SEARCH("R", 'WetLitterbags placem_collection'!V141)),"YES","NO")</f>
        <v>NO</v>
      </c>
    </row>
    <row r="215" spans="2:31">
      <c r="B215" t="str">
        <f>'Final data_for_R_analysis_Wetse'!A141</f>
        <v>Wet</v>
      </c>
      <c r="C215" s="263">
        <f>'Final data_for_R_analysis_Wetse'!B141</f>
        <v>140</v>
      </c>
      <c r="D215" t="s">
        <v>3848</v>
      </c>
      <c r="E215" t="s">
        <v>22</v>
      </c>
      <c r="F215" s="387">
        <v>4</v>
      </c>
      <c r="G215" s="16">
        <f>'WetLitterbags placem_collection'!E142</f>
        <v>42762</v>
      </c>
      <c r="H215" t="str">
        <f>'Final data_for_R_analysis_Wetse'!J141</f>
        <v>G787</v>
      </c>
      <c r="I215" t="str">
        <f>'Final data_for_R_analysis_Wetse'!J361</f>
        <v>R535</v>
      </c>
      <c r="J215">
        <f>IFERROR(INDEX('Green_rooibos initial weight'!$C$5:$C$1749,MATCH(H215, 'Green_rooibos initial weight'!$A$5:$A$1749,0)),"")</f>
        <v>2.11</v>
      </c>
      <c r="K215">
        <f>IFERROR(INDEX('Green_rooibos initial weight'!$C$5:$C$1749,MATCH(I215, 'Green_rooibos initial weight'!$A$5:$A$1749,0)),"")</f>
        <v>2.1259999999999999</v>
      </c>
      <c r="L215" s="195">
        <f t="shared" si="20"/>
        <v>1.8601999999999999</v>
      </c>
      <c r="M215" s="195">
        <f>AVERAGE(Ashed_controlls!$K$2:$K$11)</f>
        <v>5.5147656768714146</v>
      </c>
      <c r="N215" s="195">
        <f t="shared" si="18"/>
        <v>1.8761999999999999</v>
      </c>
      <c r="O215" s="16">
        <f>IF('WetLitterbags placem_collection'!G142="N.A","",'WetLitterbags placem_collection'!G142)</f>
        <v>42816</v>
      </c>
      <c r="P215" s="195">
        <f>IF(IFERROR(INDEX('Both teabags AfterWet'!$C$3:$C$841,MATCH(H215,'Both teabags AfterWet'!$A$3:$A$841,0)),"")="N.A","",(IFERROR(INDEX('Both teabags AfterWet'!$C$3:$C$841,MATCH(H215,'Both teabags AfterWet'!$A$3:$A$841,0)),"")))</f>
        <v>0.67869999999999997</v>
      </c>
      <c r="Q215" s="195">
        <f>IFERROR(INDEX('Both teabags AfterWet'!$C$3:$C$841,MATCH(I215,'Both teabags AfterWet'!$A$3:$A$841,0)),"")</f>
        <v>1.5517000000000001</v>
      </c>
      <c r="R215" s="195">
        <f t="shared" si="21"/>
        <v>0.52810000000000001</v>
      </c>
      <c r="S215" s="195">
        <f t="shared" si="21"/>
        <v>1.4011</v>
      </c>
      <c r="T215" s="195">
        <f t="shared" si="22"/>
        <v>0.7161057950757983</v>
      </c>
      <c r="U215" s="195">
        <f t="shared" si="23"/>
        <v>0.46946603192617659</v>
      </c>
      <c r="V215" s="195">
        <f t="shared" si="24"/>
        <v>0.74677539707920271</v>
      </c>
      <c r="W215">
        <f t="shared" si="19"/>
        <v>54</v>
      </c>
      <c r="X215" s="195">
        <f t="shared" si="25"/>
        <v>0.1495180581047526</v>
      </c>
      <c r="Y215" s="195">
        <f t="shared" si="26"/>
        <v>1.4355563633271241E-2</v>
      </c>
      <c r="Z215" s="255" t="str">
        <f>IF(ISNUMBER(SEARCH("C",'WetLitterbags placem_collection'!W142)),"YES","NO")</f>
        <v>NO</v>
      </c>
      <c r="AA215" s="255" t="str">
        <f>IF(ISNUMBER(SEARCH("H", 'WetLitterbags placem_collection'!W142)),"YES","NO")</f>
        <v>NO</v>
      </c>
      <c r="AB215" s="255" t="str">
        <f>IF(ISNUMBER(SEARCH("R", 'WetLitterbags placem_collection'!W142)),"YES","NO")</f>
        <v>YES</v>
      </c>
      <c r="AC215" s="255" t="str">
        <f>IF(ISNUMBER(SEARCH("C", 'WetLitterbags placem_collection'!V142)),"YES","NO")</f>
        <v>NO</v>
      </c>
      <c r="AD215" s="255" t="str">
        <f>IF(ISNUMBER(SEARCH("H", 'WetLitterbags placem_collection'!V142)),"YES","NO")</f>
        <v>NO</v>
      </c>
      <c r="AE215" s="255" t="str">
        <f>IF(ISNUMBER(SEARCH("R", 'WetLitterbags placem_collection'!V142)),"YES","NO")</f>
        <v>NO</v>
      </c>
    </row>
    <row r="216" spans="2:31">
      <c r="B216" t="str">
        <f>'Final data_for_R_analysis_Wetse'!A142</f>
        <v>Wet</v>
      </c>
      <c r="C216" s="263">
        <f>'Final data_for_R_analysis_Wetse'!B142</f>
        <v>141</v>
      </c>
      <c r="D216" t="s">
        <v>3848</v>
      </c>
      <c r="E216" t="s">
        <v>22</v>
      </c>
      <c r="F216" s="387">
        <v>5</v>
      </c>
      <c r="G216" s="16">
        <f>'WetLitterbags placem_collection'!E143</f>
        <v>42762</v>
      </c>
      <c r="H216" t="str">
        <f>'Final data_for_R_analysis_Wetse'!J142</f>
        <v>G900</v>
      </c>
      <c r="I216" t="str">
        <f>'Final data_for_R_analysis_Wetse'!J362</f>
        <v>R581</v>
      </c>
      <c r="J216">
        <f>IFERROR(INDEX('Green_rooibos initial weight'!$C$5:$C$1749,MATCH(H216, 'Green_rooibos initial weight'!$A$5:$A$1749,0)),"")</f>
        <v>2.0910000000000002</v>
      </c>
      <c r="K216">
        <f>IFERROR(INDEX('Green_rooibos initial weight'!$C$5:$C$1749,MATCH(I216, 'Green_rooibos initial weight'!$A$5:$A$1749,0)),"")</f>
        <v>2.069</v>
      </c>
      <c r="L216" s="195">
        <f t="shared" si="20"/>
        <v>1.8412000000000002</v>
      </c>
      <c r="M216" s="195">
        <f>AVERAGE(Ashed_controlls!$K$2:$K$11)</f>
        <v>5.5147656768714146</v>
      </c>
      <c r="N216" s="195">
        <f t="shared" si="18"/>
        <v>1.8191999999999999</v>
      </c>
      <c r="O216" s="16">
        <f>IF('WetLitterbags placem_collection'!G143="N.A","",'WetLitterbags placem_collection'!G143)</f>
        <v>42816</v>
      </c>
      <c r="P216" s="195">
        <f>IF(IFERROR(INDEX('Both teabags AfterWet'!$C$3:$C$841,MATCH(H216,'Both teabags AfterWet'!$A$3:$A$841,0)),"")="N.A","",(IFERROR(INDEX('Both teabags AfterWet'!$C$3:$C$841,MATCH(H216,'Both teabags AfterWet'!$A$3:$A$841,0)),"")))</f>
        <v>1.5369999999999999</v>
      </c>
      <c r="Q216" s="195">
        <f>IFERROR(INDEX('Both teabags AfterWet'!$C$3:$C$841,MATCH(I216,'Both teabags AfterWet'!$A$3:$A$841,0)),"")</f>
        <v>1.2849999999999999</v>
      </c>
      <c r="R216" s="195">
        <f t="shared" si="21"/>
        <v>1.3863999999999999</v>
      </c>
      <c r="S216" s="195">
        <f t="shared" si="21"/>
        <v>1.1343999999999999</v>
      </c>
      <c r="T216" s="195">
        <f t="shared" si="22"/>
        <v>0.24701281772756911</v>
      </c>
      <c r="U216" s="195">
        <f t="shared" si="23"/>
        <v>0.16193714416344199</v>
      </c>
      <c r="V216" s="195">
        <f t="shared" si="24"/>
        <v>0.6235708003518029</v>
      </c>
      <c r="W216">
        <f t="shared" si="19"/>
        <v>54</v>
      </c>
      <c r="X216" s="195">
        <f t="shared" si="25"/>
        <v>0.70663560839956163</v>
      </c>
      <c r="Y216" s="195" t="str">
        <f t="shared" si="26"/>
        <v/>
      </c>
      <c r="Z216" s="255" t="str">
        <f>IF(ISNUMBER(SEARCH("C",'WetLitterbags placem_collection'!W143)),"YES","NO")</f>
        <v>YES</v>
      </c>
      <c r="AA216" s="255" t="str">
        <f>IF(ISNUMBER(SEARCH("H", 'WetLitterbags placem_collection'!W143)),"YES","NO")</f>
        <v>YES</v>
      </c>
      <c r="AB216" s="255" t="str">
        <f>IF(ISNUMBER(SEARCH("R", 'WetLitterbags placem_collection'!W143)),"YES","NO")</f>
        <v>YES</v>
      </c>
      <c r="AC216" s="255" t="str">
        <f>IF(ISNUMBER(SEARCH("C", 'WetLitterbags placem_collection'!V143)),"YES","NO")</f>
        <v>NO</v>
      </c>
      <c r="AD216" s="255" t="str">
        <f>IF(ISNUMBER(SEARCH("H", 'WetLitterbags placem_collection'!V143)),"YES","NO")</f>
        <v>YES</v>
      </c>
      <c r="AE216" s="255" t="str">
        <f>IF(ISNUMBER(SEARCH("R", 'WetLitterbags placem_collection'!V143)),"YES","NO")</f>
        <v>YES</v>
      </c>
    </row>
    <row r="217" spans="2:31">
      <c r="B217" t="str">
        <f>'Final data_for_R_analysis_Wetse'!A143</f>
        <v>Wet</v>
      </c>
      <c r="C217" s="263">
        <f>'Final data_for_R_analysis_Wetse'!B143</f>
        <v>142</v>
      </c>
      <c r="D217" t="s">
        <v>3848</v>
      </c>
      <c r="E217" t="s">
        <v>22</v>
      </c>
      <c r="F217" s="387">
        <v>6</v>
      </c>
      <c r="G217" s="16">
        <f>'WetLitterbags placem_collection'!E144</f>
        <v>42762</v>
      </c>
      <c r="H217" t="str">
        <f>'Final data_for_R_analysis_Wetse'!J143</f>
        <v>G817</v>
      </c>
      <c r="I217" t="str">
        <f>'Final data_for_R_analysis_Wetse'!J363</f>
        <v>R460</v>
      </c>
      <c r="J217">
        <f>IFERROR(INDEX('Green_rooibos initial weight'!$C$5:$C$1749,MATCH(H217, 'Green_rooibos initial weight'!$A$5:$A$1749,0)),"")</f>
        <v>1.9770000000000001</v>
      </c>
      <c r="K217">
        <f>IFERROR(INDEX('Green_rooibos initial weight'!$C$5:$C$1749,MATCH(I217, 'Green_rooibos initial weight'!$A$5:$A$1749,0)),"")</f>
        <v>2.1659999999999999</v>
      </c>
      <c r="L217" s="195">
        <f t="shared" si="20"/>
        <v>1.7272000000000001</v>
      </c>
      <c r="M217" s="195">
        <f>AVERAGE(Ashed_controlls!$K$2:$K$11)</f>
        <v>5.5147656768714146</v>
      </c>
      <c r="N217" s="195">
        <f t="shared" si="18"/>
        <v>1.9161999999999999</v>
      </c>
      <c r="O217" s="16">
        <f>IF('WetLitterbags placem_collection'!G144="N.A","",'WetLitterbags placem_collection'!G144)</f>
        <v>42816</v>
      </c>
      <c r="P217" s="195" t="str">
        <f>IF(IFERROR(INDEX('Both teabags AfterWet'!$C$3:$C$841,MATCH(H217,'Both teabags AfterWet'!$A$3:$A$841,0)),"")="N.A","",(IFERROR(INDEX('Both teabags AfterWet'!$C$3:$C$841,MATCH(H217,'Both teabags AfterWet'!$A$3:$A$841,0)),"")))</f>
        <v/>
      </c>
      <c r="Q217" s="195">
        <f>IFERROR(INDEX('Both teabags AfterWet'!$C$3:$C$841,MATCH(I217,'Both teabags AfterWet'!$A$3:$A$841,0)),"")</f>
        <v>0.14299999999999999</v>
      </c>
      <c r="R217" s="195" t="str">
        <f t="shared" si="21"/>
        <v/>
      </c>
      <c r="S217" s="195">
        <f t="shared" si="21"/>
        <v>-7.6000000000000234E-3</v>
      </c>
      <c r="T217" s="195" t="str">
        <f t="shared" si="22"/>
        <v/>
      </c>
      <c r="U217" s="195" t="str">
        <f t="shared" si="23"/>
        <v/>
      </c>
      <c r="V217" s="195">
        <f t="shared" si="24"/>
        <v>-3.966183070660695E-3</v>
      </c>
      <c r="W217">
        <f t="shared" si="19"/>
        <v>54</v>
      </c>
      <c r="X217" s="195" t="str">
        <f t="shared" si="25"/>
        <v/>
      </c>
      <c r="Y217" s="195" t="str">
        <f t="shared" si="26"/>
        <v/>
      </c>
      <c r="Z217" s="255" t="str">
        <f>IF(ISNUMBER(SEARCH("C",'WetLitterbags placem_collection'!W144)),"YES","NO")</f>
        <v>NO</v>
      </c>
      <c r="AA217" s="255" t="str">
        <f>IF(ISNUMBER(SEARCH("H", 'WetLitterbags placem_collection'!W144)),"YES","NO")</f>
        <v>YES</v>
      </c>
      <c r="AB217" s="255" t="str">
        <f>IF(ISNUMBER(SEARCH("R", 'WetLitterbags placem_collection'!W144)),"YES","NO")</f>
        <v>NO</v>
      </c>
      <c r="AC217" s="255" t="str">
        <f>IF(ISNUMBER(SEARCH("C", 'WetLitterbags placem_collection'!V144)),"YES","NO")</f>
        <v>NO</v>
      </c>
      <c r="AD217" s="255" t="str">
        <f>IF(ISNUMBER(SEARCH("H", 'WetLitterbags placem_collection'!V144)),"YES","NO")</f>
        <v>YES</v>
      </c>
      <c r="AE217" s="255" t="str">
        <f>IF(ISNUMBER(SEARCH("R", 'WetLitterbags placem_collection'!V144)),"YES","NO")</f>
        <v>NO</v>
      </c>
    </row>
    <row r="218" spans="2:31">
      <c r="B218" t="str">
        <f>'Final data_for_R_analysis_Wetse'!A144</f>
        <v>Wet</v>
      </c>
      <c r="C218" s="263">
        <f>'Final data_for_R_analysis_Wetse'!B144</f>
        <v>143</v>
      </c>
      <c r="D218" t="s">
        <v>3848</v>
      </c>
      <c r="E218" t="s">
        <v>22</v>
      </c>
      <c r="F218" s="387">
        <v>7</v>
      </c>
      <c r="G218" s="16">
        <f>'WetLitterbags placem_collection'!E145</f>
        <v>42762</v>
      </c>
      <c r="H218" t="str">
        <f>'Final data_for_R_analysis_Wetse'!J144</f>
        <v>G836</v>
      </c>
      <c r="I218" t="str">
        <f>'Final data_for_R_analysis_Wetse'!J364</f>
        <v>R456</v>
      </c>
      <c r="J218">
        <f>IFERROR(INDEX('Green_rooibos initial weight'!$C$5:$C$1749,MATCH(H218, 'Green_rooibos initial weight'!$A$5:$A$1749,0)),"")</f>
        <v>2.0419999999999998</v>
      </c>
      <c r="K218">
        <f>IFERROR(INDEX('Green_rooibos initial weight'!$C$5:$C$1749,MATCH(I218, 'Green_rooibos initial weight'!$A$5:$A$1749,0)),"")</f>
        <v>2.23</v>
      </c>
      <c r="L218" s="195">
        <f t="shared" si="20"/>
        <v>1.7921999999999998</v>
      </c>
      <c r="M218" s="195">
        <f>AVERAGE(Ashed_controlls!$K$2:$K$11)</f>
        <v>5.5147656768714146</v>
      </c>
      <c r="N218" s="195">
        <f t="shared" si="18"/>
        <v>1.9802</v>
      </c>
      <c r="O218" s="16">
        <f>IF('WetLitterbags placem_collection'!G145="N.A","",'WetLitterbags placem_collection'!G145)</f>
        <v>42816</v>
      </c>
      <c r="P218" s="195">
        <f>IF(IFERROR(INDEX('Both teabags AfterWet'!$C$3:$C$841,MATCH(H218,'Both teabags AfterWet'!$A$3:$A$841,0)),"")="N.A","",(IFERROR(INDEX('Both teabags AfterWet'!$C$3:$C$841,MATCH(H218,'Both teabags AfterWet'!$A$3:$A$841,0)),"")))</f>
        <v>0.60970000000000002</v>
      </c>
      <c r="Q218" s="195">
        <f>IFERROR(INDEX('Both teabags AfterWet'!$C$3:$C$841,MATCH(I218,'Both teabags AfterWet'!$A$3:$A$841,0)),"")</f>
        <v>1.6178999999999999</v>
      </c>
      <c r="R218" s="195">
        <f t="shared" si="21"/>
        <v>0.45910000000000001</v>
      </c>
      <c r="S218" s="195">
        <f t="shared" si="21"/>
        <v>1.4672999999999998</v>
      </c>
      <c r="T218" s="195">
        <f t="shared" si="22"/>
        <v>0.74383439348287017</v>
      </c>
      <c r="U218" s="195">
        <f t="shared" si="23"/>
        <v>0.48764440047808122</v>
      </c>
      <c r="V218" s="195">
        <f t="shared" si="24"/>
        <v>0.74098575901424091</v>
      </c>
      <c r="W218">
        <f t="shared" si="19"/>
        <v>54</v>
      </c>
      <c r="X218" s="195">
        <f t="shared" si="25"/>
        <v>0.11658623101796883</v>
      </c>
      <c r="Y218" s="195">
        <f t="shared" si="26"/>
        <v>1.4027421828525486E-2</v>
      </c>
      <c r="Z218" s="255" t="str">
        <f>IF(ISNUMBER(SEARCH("C",'WetLitterbags placem_collection'!W145)),"YES","NO")</f>
        <v>NO</v>
      </c>
      <c r="AA218" s="255" t="str">
        <f>IF(ISNUMBER(SEARCH("H", 'WetLitterbags placem_collection'!W145)),"YES","NO")</f>
        <v>NO</v>
      </c>
      <c r="AB218" s="255" t="str">
        <f>IF(ISNUMBER(SEARCH("R", 'WetLitterbags placem_collection'!W145)),"YES","NO")</f>
        <v>NO</v>
      </c>
      <c r="AC218" s="255" t="str">
        <f>IF(ISNUMBER(SEARCH("C", 'WetLitterbags placem_collection'!V145)),"YES","NO")</f>
        <v>NO</v>
      </c>
      <c r="AD218" s="255" t="str">
        <f>IF(ISNUMBER(SEARCH("H", 'WetLitterbags placem_collection'!V145)),"YES","NO")</f>
        <v>NO</v>
      </c>
      <c r="AE218" s="255" t="str">
        <f>IF(ISNUMBER(SEARCH("R", 'WetLitterbags placem_collection'!V145)),"YES","NO")</f>
        <v>YES</v>
      </c>
    </row>
    <row r="219" spans="2:31">
      <c r="B219" t="str">
        <f>'Final data_for_R_analysis_Wetse'!A145</f>
        <v>Wet</v>
      </c>
      <c r="C219" s="263">
        <f>'Final data_for_R_analysis_Wetse'!B145</f>
        <v>144</v>
      </c>
      <c r="D219" t="s">
        <v>3848</v>
      </c>
      <c r="E219" t="s">
        <v>22</v>
      </c>
      <c r="F219" s="387">
        <v>8</v>
      </c>
      <c r="G219" s="16">
        <f>'WetLitterbags placem_collection'!E146</f>
        <v>42762</v>
      </c>
      <c r="H219" t="str">
        <f>'Final data_for_R_analysis_Wetse'!J145</f>
        <v>G784</v>
      </c>
      <c r="I219" t="str">
        <f>'Final data_for_R_analysis_Wetse'!J365</f>
        <v>R571</v>
      </c>
      <c r="J219">
        <f>IFERROR(INDEX('Green_rooibos initial weight'!$C$5:$C$1749,MATCH(H219, 'Green_rooibos initial weight'!$A$5:$A$1749,0)),"")</f>
        <v>2.1070000000000002</v>
      </c>
      <c r="K219">
        <f>IFERROR(INDEX('Green_rooibos initial weight'!$C$5:$C$1749,MATCH(I219, 'Green_rooibos initial weight'!$A$5:$A$1749,0)),"")</f>
        <v>2.117</v>
      </c>
      <c r="L219" s="195">
        <f t="shared" si="20"/>
        <v>1.8572000000000002</v>
      </c>
      <c r="M219" s="195">
        <f>AVERAGE(Ashed_controlls!$K$2:$K$11)</f>
        <v>5.5147656768714146</v>
      </c>
      <c r="N219" s="195">
        <f t="shared" si="18"/>
        <v>1.8672</v>
      </c>
      <c r="O219" s="16">
        <f>IF('WetLitterbags placem_collection'!G146="N.A","",'WetLitterbags placem_collection'!G146)</f>
        <v>42816</v>
      </c>
      <c r="P219" s="195">
        <f>IF(IFERROR(INDEX('Both teabags AfterWet'!$C$3:$C$841,MATCH(H219,'Both teabags AfterWet'!$A$3:$A$841,0)),"")="N.A","",(IFERROR(INDEX('Both teabags AfterWet'!$C$3:$C$841,MATCH(H219,'Both teabags AfterWet'!$A$3:$A$841,0)),"")))</f>
        <v>0.78500000000000003</v>
      </c>
      <c r="Q219" s="195">
        <f>IFERROR(INDEX('Both teabags AfterWet'!$C$3:$C$841,MATCH(I219,'Both teabags AfterWet'!$A$3:$A$841,0)),"")</f>
        <v>1.365</v>
      </c>
      <c r="R219" s="195">
        <f t="shared" si="21"/>
        <v>0.63440000000000007</v>
      </c>
      <c r="S219" s="195">
        <f t="shared" si="21"/>
        <v>1.2143999999999999</v>
      </c>
      <c r="T219" s="195">
        <f t="shared" si="22"/>
        <v>0.65841051044583243</v>
      </c>
      <c r="U219" s="195">
        <f t="shared" si="23"/>
        <v>0.43164204485284985</v>
      </c>
      <c r="V219" s="195">
        <f t="shared" si="24"/>
        <v>0.65038560411311053</v>
      </c>
      <c r="W219">
        <f t="shared" si="19"/>
        <v>54</v>
      </c>
      <c r="X219" s="195">
        <f t="shared" si="25"/>
        <v>0.21803977381730111</v>
      </c>
      <c r="Y219" s="195">
        <f t="shared" si="26"/>
        <v>3.0750745776761141E-2</v>
      </c>
      <c r="Z219" s="255" t="str">
        <f>IF(ISNUMBER(SEARCH("C",'WetLitterbags placem_collection'!W146)),"YES","NO")</f>
        <v>NO</v>
      </c>
      <c r="AA219" s="255" t="str">
        <f>IF(ISNUMBER(SEARCH("H", 'WetLitterbags placem_collection'!W146)),"YES","NO")</f>
        <v>YES</v>
      </c>
      <c r="AB219" s="255" t="str">
        <f>IF(ISNUMBER(SEARCH("R", 'WetLitterbags placem_collection'!W146)),"YES","NO")</f>
        <v>NO</v>
      </c>
      <c r="AC219" s="255" t="str">
        <f>IF(ISNUMBER(SEARCH("C", 'WetLitterbags placem_collection'!V146)),"YES","NO")</f>
        <v>NO</v>
      </c>
      <c r="AD219" s="255" t="str">
        <f>IF(ISNUMBER(SEARCH("H", 'WetLitterbags placem_collection'!V146)),"YES","NO")</f>
        <v>NO</v>
      </c>
      <c r="AE219" s="255" t="str">
        <f>IF(ISNUMBER(SEARCH("R", 'WetLitterbags placem_collection'!V146)),"YES","NO")</f>
        <v>YES</v>
      </c>
    </row>
    <row r="220" spans="2:31">
      <c r="B220" t="str">
        <f>'Final data_for_R_analysis_Wetse'!A146</f>
        <v>Wet</v>
      </c>
      <c r="C220" s="263">
        <f>'Final data_for_R_analysis_Wetse'!B146</f>
        <v>145</v>
      </c>
      <c r="D220" t="s">
        <v>3849</v>
      </c>
      <c r="E220" t="s">
        <v>22</v>
      </c>
      <c r="F220" s="386">
        <v>1</v>
      </c>
      <c r="G220" s="16">
        <f>'WetLitterbags placem_collection'!E147</f>
        <v>42762</v>
      </c>
      <c r="H220" t="str">
        <f>'Final data_for_R_analysis_Wetse'!J146</f>
        <v>G902</v>
      </c>
      <c r="I220" t="str">
        <f>'Final data_for_R_analysis_Wetse'!J366</f>
        <v>R27</v>
      </c>
      <c r="J220">
        <f>IFERROR(INDEX('Green_rooibos initial weight'!$C$5:$C$1749,MATCH(H220, 'Green_rooibos initial weight'!$A$5:$A$1749,0)),"")</f>
        <v>2.0750000000000002</v>
      </c>
      <c r="K220">
        <f>IFERROR(INDEX('Green_rooibos initial weight'!$C$5:$C$1749,MATCH(I220, 'Green_rooibos initial weight'!$A$5:$A$1749,0)),"")</f>
        <v>2.0550000000000002</v>
      </c>
      <c r="L220" s="195">
        <f t="shared" si="20"/>
        <v>1.8252000000000002</v>
      </c>
      <c r="M220" s="195">
        <f>AVERAGE(Ashed_controlls!$K$2:$K$11)</f>
        <v>5.5147656768714146</v>
      </c>
      <c r="N220" s="195">
        <f t="shared" si="18"/>
        <v>1.8052000000000001</v>
      </c>
      <c r="O220" s="16">
        <f>IF('WetLitterbags placem_collection'!G147="N.A","",'WetLitterbags placem_collection'!G147)</f>
        <v>42815</v>
      </c>
      <c r="P220" s="195">
        <f>IF(IFERROR(INDEX('Both teabags AfterWet'!$C$3:$C$841,MATCH(H220,'Both teabags AfterWet'!$A$3:$A$841,0)),"")="N.A","",(IFERROR(INDEX('Both teabags AfterWet'!$C$3:$C$841,MATCH(H220,'Both teabags AfterWet'!$A$3:$A$841,0)),"")))</f>
        <v>0.79200000000000004</v>
      </c>
      <c r="Q220" s="195">
        <f>IFERROR(INDEX('Both teabags AfterWet'!$C$3:$C$841,MATCH(I220,'Both teabags AfterWet'!$A$3:$A$841,0)),"")</f>
        <v>1.6830000000000001</v>
      </c>
      <c r="R220" s="195">
        <f t="shared" si="21"/>
        <v>0.64139999999999997</v>
      </c>
      <c r="S220" s="195">
        <f t="shared" si="21"/>
        <v>1.5324</v>
      </c>
      <c r="T220" s="195">
        <f t="shared" si="22"/>
        <v>0.64858645627876399</v>
      </c>
      <c r="U220" s="195">
        <f t="shared" si="23"/>
        <v>0.42520157228726574</v>
      </c>
      <c r="V220" s="195">
        <f t="shared" si="24"/>
        <v>0.84888101041435848</v>
      </c>
      <c r="W220">
        <f t="shared" si="19"/>
        <v>53</v>
      </c>
      <c r="X220" s="195">
        <f t="shared" si="25"/>
        <v>0.22970729658104039</v>
      </c>
      <c r="Y220" s="195">
        <f t="shared" si="26"/>
        <v>8.28554502871366E-3</v>
      </c>
      <c r="Z220" s="255" t="str">
        <f>IF(ISNUMBER(SEARCH("C",'WetLitterbags placem_collection'!W147)),"YES","NO")</f>
        <v>NO</v>
      </c>
      <c r="AA220" s="255" t="str">
        <f>IF(ISNUMBER(SEARCH("H", 'WetLitterbags placem_collection'!W147)),"YES","NO")</f>
        <v>NO</v>
      </c>
      <c r="AB220" s="255" t="str">
        <f>IF(ISNUMBER(SEARCH("R", 'WetLitterbags placem_collection'!W147)),"YES","NO")</f>
        <v>NO</v>
      </c>
      <c r="AC220" s="255" t="str">
        <f>IF(ISNUMBER(SEARCH("C", 'WetLitterbags placem_collection'!V147)),"YES","NO")</f>
        <v>NO</v>
      </c>
      <c r="AD220" s="255" t="str">
        <f>IF(ISNUMBER(SEARCH("H", 'WetLitterbags placem_collection'!V147)),"YES","NO")</f>
        <v>NO</v>
      </c>
      <c r="AE220" s="255" t="str">
        <f>IF(ISNUMBER(SEARCH("R", 'WetLitterbags placem_collection'!V147)),"YES","NO")</f>
        <v>YES</v>
      </c>
    </row>
    <row r="221" spans="2:31">
      <c r="B221" t="str">
        <f>'Final data_for_R_analysis_Wetse'!A147</f>
        <v>Wet</v>
      </c>
      <c r="C221" s="263">
        <f>'Final data_for_R_analysis_Wetse'!B147</f>
        <v>146</v>
      </c>
      <c r="D221" t="s">
        <v>3849</v>
      </c>
      <c r="E221" t="s">
        <v>22</v>
      </c>
      <c r="F221" s="386">
        <v>2</v>
      </c>
      <c r="G221" s="16">
        <f>'WetLitterbags placem_collection'!E148</f>
        <v>42762</v>
      </c>
      <c r="H221" t="str">
        <f>'Final data_for_R_analysis_Wetse'!J147</f>
        <v>G689</v>
      </c>
      <c r="I221" t="str">
        <f>'Final data_for_R_analysis_Wetse'!J367</f>
        <v>R492</v>
      </c>
      <c r="J221">
        <f>IFERROR(INDEX('Green_rooibos initial weight'!$C$5:$C$1749,MATCH(H221, 'Green_rooibos initial weight'!$A$5:$A$1749,0)),"")</f>
        <v>2.0339999999999998</v>
      </c>
      <c r="K221">
        <f>IFERROR(INDEX('Green_rooibos initial weight'!$C$5:$C$1749,MATCH(I221, 'Green_rooibos initial weight'!$A$5:$A$1749,0)),"")</f>
        <v>2.2519999999999998</v>
      </c>
      <c r="L221" s="195">
        <f t="shared" si="20"/>
        <v>1.7841999999999998</v>
      </c>
      <c r="M221" s="195">
        <f>AVERAGE(Ashed_controlls!$K$2:$K$11)</f>
        <v>5.5147656768714146</v>
      </c>
      <c r="N221" s="195">
        <f t="shared" si="18"/>
        <v>2.0021999999999998</v>
      </c>
      <c r="O221" s="16">
        <f>IF('WetLitterbags placem_collection'!G148="N.A","",'WetLitterbags placem_collection'!G148)</f>
        <v>42815</v>
      </c>
      <c r="P221" s="195">
        <f>IF(IFERROR(INDEX('Both teabags AfterWet'!$C$3:$C$841,MATCH(H221,'Both teabags AfterWet'!$A$3:$A$841,0)),"")="N.A","",(IFERROR(INDEX('Both teabags AfterWet'!$C$3:$C$841,MATCH(H221,'Both teabags AfterWet'!$A$3:$A$841,0)),"")))</f>
        <v>0.52200000000000002</v>
      </c>
      <c r="Q221" s="195">
        <f>IFERROR(INDEX('Both teabags AfterWet'!$C$3:$C$841,MATCH(I221,'Both teabags AfterWet'!$A$3:$A$841,0)),"")</f>
        <v>1.6579999999999999</v>
      </c>
      <c r="R221" s="195">
        <f t="shared" si="21"/>
        <v>0.37140000000000001</v>
      </c>
      <c r="S221" s="195">
        <f t="shared" si="21"/>
        <v>1.5073999999999999</v>
      </c>
      <c r="T221" s="195">
        <f t="shared" si="22"/>
        <v>0.79183947987893732</v>
      </c>
      <c r="U221" s="195">
        <f t="shared" si="23"/>
        <v>0.51911566851920832</v>
      </c>
      <c r="V221" s="195">
        <f t="shared" si="24"/>
        <v>0.75287184097492754</v>
      </c>
      <c r="W221">
        <f t="shared" si="19"/>
        <v>53</v>
      </c>
      <c r="X221" s="195">
        <f t="shared" si="25"/>
        <v>5.9573064276796539E-2</v>
      </c>
      <c r="Y221" s="195">
        <f t="shared" si="26"/>
        <v>1.2195671360806844E-2</v>
      </c>
      <c r="Z221" s="255" t="str">
        <f>IF(ISNUMBER(SEARCH("C",'WetLitterbags placem_collection'!W148)),"YES","NO")</f>
        <v>NO</v>
      </c>
      <c r="AA221" s="255" t="str">
        <f>IF(ISNUMBER(SEARCH("H", 'WetLitterbags placem_collection'!W148)),"YES","NO")</f>
        <v>NO</v>
      </c>
      <c r="AB221" s="255" t="str">
        <f>IF(ISNUMBER(SEARCH("R", 'WetLitterbags placem_collection'!W148)),"YES","NO")</f>
        <v>NO</v>
      </c>
      <c r="AC221" s="255" t="str">
        <f>IF(ISNUMBER(SEARCH("C", 'WetLitterbags placem_collection'!V148)),"YES","NO")</f>
        <v>NO</v>
      </c>
      <c r="AD221" s="255" t="str">
        <f>IF(ISNUMBER(SEARCH("H", 'WetLitterbags placem_collection'!V148)),"YES","NO")</f>
        <v>YES</v>
      </c>
      <c r="AE221" s="255" t="str">
        <f>IF(ISNUMBER(SEARCH("R", 'WetLitterbags placem_collection'!V148)),"YES","NO")</f>
        <v>YES</v>
      </c>
    </row>
    <row r="222" spans="2:31">
      <c r="B222" t="str">
        <f>'Final data_for_R_analysis_Wetse'!A148</f>
        <v>Wet</v>
      </c>
      <c r="C222" s="263">
        <f>'Final data_for_R_analysis_Wetse'!B148</f>
        <v>147</v>
      </c>
      <c r="D222" t="s">
        <v>3849</v>
      </c>
      <c r="E222" t="s">
        <v>22</v>
      </c>
      <c r="F222" s="386">
        <v>3</v>
      </c>
      <c r="G222" s="16">
        <f>'WetLitterbags placem_collection'!E149</f>
        <v>42762</v>
      </c>
      <c r="H222" t="str">
        <f>'Final data_for_R_analysis_Wetse'!J148</f>
        <v>G678</v>
      </c>
      <c r="I222" t="str">
        <f>'Final data_for_R_analysis_Wetse'!J368</f>
        <v>R573</v>
      </c>
      <c r="J222">
        <f>IFERROR(INDEX('Green_rooibos initial weight'!$C$5:$C$1749,MATCH(H222, 'Green_rooibos initial weight'!$A$5:$A$1749,0)),"")</f>
        <v>2.012</v>
      </c>
      <c r="K222">
        <f>IFERROR(INDEX('Green_rooibos initial weight'!$C$5:$C$1749,MATCH(I222, 'Green_rooibos initial weight'!$A$5:$A$1749,0)),"")</f>
        <v>2.097</v>
      </c>
      <c r="L222" s="195">
        <f t="shared" si="20"/>
        <v>1.7622</v>
      </c>
      <c r="M222" s="195">
        <f>AVERAGE(Ashed_controlls!$K$2:$K$11)</f>
        <v>5.5147656768714146</v>
      </c>
      <c r="N222" s="195">
        <f t="shared" si="18"/>
        <v>1.8472</v>
      </c>
      <c r="O222" s="16">
        <f>IF('WetLitterbags placem_collection'!G149="N.A","",'WetLitterbags placem_collection'!G149)</f>
        <v>42816</v>
      </c>
      <c r="P222" s="195">
        <f>IF(IFERROR(INDEX('Both teabags AfterWet'!$C$3:$C$841,MATCH(H222,'Both teabags AfterWet'!$A$3:$A$841,0)),"")="N.A","",(IFERROR(INDEX('Both teabags AfterWet'!$C$3:$C$841,MATCH(H222,'Both teabags AfterWet'!$A$3:$A$841,0)),"")))</f>
        <v>0.70199999999999996</v>
      </c>
      <c r="Q222" s="195">
        <f>IFERROR(INDEX('Both teabags AfterWet'!$C$3:$C$841,MATCH(I222,'Both teabags AfterWet'!$A$3:$A$841,0)),"")</f>
        <v>1.746</v>
      </c>
      <c r="R222" s="195">
        <f t="shared" si="21"/>
        <v>0.55139999999999989</v>
      </c>
      <c r="S222" s="195">
        <f t="shared" si="21"/>
        <v>1.5953999999999999</v>
      </c>
      <c r="T222" s="195">
        <f t="shared" si="22"/>
        <v>0.68709567585972087</v>
      </c>
      <c r="U222" s="195">
        <f t="shared" si="23"/>
        <v>0.45044752146623035</v>
      </c>
      <c r="V222" s="195">
        <f t="shared" si="24"/>
        <v>0.86368557817236902</v>
      </c>
      <c r="W222">
        <f t="shared" si="19"/>
        <v>54</v>
      </c>
      <c r="X222" s="195">
        <f t="shared" si="25"/>
        <v>0.18397188140175669</v>
      </c>
      <c r="Y222" s="195">
        <f t="shared" si="26"/>
        <v>6.6745333414398762E-3</v>
      </c>
      <c r="Z222" s="255" t="str">
        <f>IF(ISNUMBER(SEARCH("C",'WetLitterbags placem_collection'!W149)),"YES","NO")</f>
        <v>NO</v>
      </c>
      <c r="AA222" s="255" t="str">
        <f>IF(ISNUMBER(SEARCH("H", 'WetLitterbags placem_collection'!W149)),"YES","NO")</f>
        <v>NO</v>
      </c>
      <c r="AB222" s="255" t="str">
        <f>IF(ISNUMBER(SEARCH("R", 'WetLitterbags placem_collection'!W149)),"YES","NO")</f>
        <v>NO</v>
      </c>
      <c r="AC222" s="255" t="str">
        <f>IF(ISNUMBER(SEARCH("C", 'WetLitterbags placem_collection'!V149)),"YES","NO")</f>
        <v>NO</v>
      </c>
      <c r="AD222" s="255" t="str">
        <f>IF(ISNUMBER(SEARCH("H", 'WetLitterbags placem_collection'!V149)),"YES","NO")</f>
        <v>NO</v>
      </c>
      <c r="AE222" s="255" t="str">
        <f>IF(ISNUMBER(SEARCH("R", 'WetLitterbags placem_collection'!V149)),"YES","NO")</f>
        <v>NO</v>
      </c>
    </row>
    <row r="223" spans="2:31">
      <c r="B223" t="str">
        <f>'Final data_for_R_analysis_Wetse'!A149</f>
        <v>Wet</v>
      </c>
      <c r="C223" s="263">
        <f>'Final data_for_R_analysis_Wetse'!B149</f>
        <v>148</v>
      </c>
      <c r="D223" t="s">
        <v>3849</v>
      </c>
      <c r="E223" t="s">
        <v>22</v>
      </c>
      <c r="F223" s="387">
        <v>4</v>
      </c>
      <c r="G223" s="16">
        <f>'WetLitterbags placem_collection'!E150</f>
        <v>42762</v>
      </c>
      <c r="H223" t="str">
        <f>'Final data_for_R_analysis_Wetse'!J149</f>
        <v>G835</v>
      </c>
      <c r="I223" t="str">
        <f>'Final data_for_R_analysis_Wetse'!J369</f>
        <v>R472</v>
      </c>
      <c r="J223">
        <f>IFERROR(INDEX('Green_rooibos initial weight'!$C$5:$C$1749,MATCH(H223, 'Green_rooibos initial weight'!$A$5:$A$1749,0)),"")</f>
        <v>1.819</v>
      </c>
      <c r="K223">
        <f>IFERROR(INDEX('Green_rooibos initial weight'!$C$5:$C$1749,MATCH(I223, 'Green_rooibos initial weight'!$A$5:$A$1749,0)),"")</f>
        <v>2.2679999999999998</v>
      </c>
      <c r="L223" s="195">
        <f t="shared" si="20"/>
        <v>1.5691999999999999</v>
      </c>
      <c r="M223" s="195">
        <f>AVERAGE(Ashed_controlls!$K$2:$K$11)</f>
        <v>5.5147656768714146</v>
      </c>
      <c r="N223" s="195">
        <f t="shared" si="18"/>
        <v>2.0181999999999998</v>
      </c>
      <c r="O223" s="16">
        <f>IF('WetLitterbags placem_collection'!G150="N.A","",'WetLitterbags placem_collection'!G150)</f>
        <v>42816</v>
      </c>
      <c r="P223" s="195">
        <f>IF(IFERROR(INDEX('Both teabags AfterWet'!$C$3:$C$841,MATCH(H223,'Both teabags AfterWet'!$A$3:$A$841,0)),"")="N.A","",(IFERROR(INDEX('Both teabags AfterWet'!$C$3:$C$841,MATCH(H223,'Both teabags AfterWet'!$A$3:$A$841,0)),"")))</f>
        <v>0.24560000000000001</v>
      </c>
      <c r="Q223" s="195">
        <f>IFERROR(INDEX('Both teabags AfterWet'!$C$3:$C$841,MATCH(I223,'Both teabags AfterWet'!$A$3:$A$841,0)),"")</f>
        <v>0.37559999999999999</v>
      </c>
      <c r="R223" s="195">
        <f t="shared" si="21"/>
        <v>9.5000000000000001E-2</v>
      </c>
      <c r="S223" s="195">
        <f t="shared" si="21"/>
        <v>0.22499999999999998</v>
      </c>
      <c r="T223" s="195">
        <f t="shared" si="22"/>
        <v>0.93945959724700479</v>
      </c>
      <c r="U223" s="195">
        <f t="shared" si="23"/>
        <v>0.61589275258948539</v>
      </c>
      <c r="V223" s="195">
        <f t="shared" si="24"/>
        <v>0.11148548211277376</v>
      </c>
      <c r="W223">
        <f t="shared" si="19"/>
        <v>54</v>
      </c>
      <c r="X223" s="195">
        <f t="shared" si="25"/>
        <v>-0.11574774019834311</v>
      </c>
      <c r="Y223" s="195" t="str">
        <f t="shared" si="26"/>
        <v/>
      </c>
      <c r="Z223" s="255" t="str">
        <f>IF(ISNUMBER(SEARCH("C",'WetLitterbags placem_collection'!W150)),"YES","NO")</f>
        <v>NO</v>
      </c>
      <c r="AA223" s="255" t="str">
        <f>IF(ISNUMBER(SEARCH("H", 'WetLitterbags placem_collection'!W150)),"YES","NO")</f>
        <v>YES</v>
      </c>
      <c r="AB223" s="255" t="str">
        <f>IF(ISNUMBER(SEARCH("R", 'WetLitterbags placem_collection'!W150)),"YES","NO")</f>
        <v>NO</v>
      </c>
      <c r="AC223" s="255" t="str">
        <f>IF(ISNUMBER(SEARCH("C", 'WetLitterbags placem_collection'!V150)),"YES","NO")</f>
        <v>NO</v>
      </c>
      <c r="AD223" s="255" t="str">
        <f>IF(ISNUMBER(SEARCH("H", 'WetLitterbags placem_collection'!V150)),"YES","NO")</f>
        <v>YES</v>
      </c>
      <c r="AE223" s="255" t="str">
        <f>IF(ISNUMBER(SEARCH("R", 'WetLitterbags placem_collection'!V150)),"YES","NO")</f>
        <v>NO</v>
      </c>
    </row>
    <row r="224" spans="2:31">
      <c r="B224" t="str">
        <f>'Final data_for_R_analysis_Wetse'!A150</f>
        <v>Wet</v>
      </c>
      <c r="C224" s="263">
        <f>'Final data_for_R_analysis_Wetse'!B150</f>
        <v>149</v>
      </c>
      <c r="D224" t="s">
        <v>3849</v>
      </c>
      <c r="E224" t="s">
        <v>22</v>
      </c>
      <c r="F224" s="387">
        <v>5</v>
      </c>
      <c r="G224" s="16">
        <f>'WetLitterbags placem_collection'!E151</f>
        <v>42762</v>
      </c>
      <c r="H224" t="str">
        <f>'Final data_for_R_analysis_Wetse'!J150</f>
        <v>G733</v>
      </c>
      <c r="I224" t="str">
        <f>'Final data_for_R_analysis_Wetse'!J370</f>
        <v>R545</v>
      </c>
      <c r="J224">
        <f>IFERROR(INDEX('Green_rooibos initial weight'!$C$5:$C$1749,MATCH(H224, 'Green_rooibos initial weight'!$A$5:$A$1749,0)),"")</f>
        <v>1.8280000000000001</v>
      </c>
      <c r="K224">
        <f>IFERROR(INDEX('Green_rooibos initial weight'!$C$5:$C$1749,MATCH(I224, 'Green_rooibos initial weight'!$A$5:$A$1749,0)),"")</f>
        <v>2.2280000000000002</v>
      </c>
      <c r="L224" s="195">
        <f t="shared" si="20"/>
        <v>1.5782</v>
      </c>
      <c r="M224" s="195">
        <f>AVERAGE(Ashed_controlls!$K$2:$K$11)</f>
        <v>5.5147656768714146</v>
      </c>
      <c r="N224" s="195">
        <f t="shared" si="18"/>
        <v>1.9782000000000002</v>
      </c>
      <c r="O224" s="16">
        <f>IF('WetLitterbags placem_collection'!G151="N.A","",'WetLitterbags placem_collection'!G151)</f>
        <v>42816</v>
      </c>
      <c r="P224" s="195">
        <f>IF(IFERROR(INDEX('Both teabags AfterWet'!$C$3:$C$841,MATCH(H224,'Both teabags AfterWet'!$A$3:$A$841,0)),"")="N.A","",(IFERROR(INDEX('Both teabags AfterWet'!$C$3:$C$841,MATCH(H224,'Both teabags AfterWet'!$A$3:$A$841,0)),"")))</f>
        <v>0.73760000000000003</v>
      </c>
      <c r="Q224" s="195">
        <f>IFERROR(INDEX('Both teabags AfterWet'!$C$3:$C$841,MATCH(I224,'Both teabags AfterWet'!$A$3:$A$841,0)),"")</f>
        <v>1.7096</v>
      </c>
      <c r="R224" s="195">
        <f t="shared" si="21"/>
        <v>0.58699999999999997</v>
      </c>
      <c r="S224" s="195">
        <f t="shared" si="21"/>
        <v>1.5589999999999999</v>
      </c>
      <c r="T224" s="195">
        <f t="shared" si="22"/>
        <v>0.62805728044607778</v>
      </c>
      <c r="U224" s="195">
        <f t="shared" si="23"/>
        <v>0.41174301520930523</v>
      </c>
      <c r="V224" s="195">
        <f t="shared" si="24"/>
        <v>0.78809018299464151</v>
      </c>
      <c r="W224">
        <f t="shared" si="19"/>
        <v>54</v>
      </c>
      <c r="X224" s="195">
        <f t="shared" si="25"/>
        <v>0.25408874056285291</v>
      </c>
      <c r="Y224" s="195">
        <f t="shared" si="26"/>
        <v>1.3387340660298426E-2</v>
      </c>
      <c r="Z224" s="255" t="str">
        <f>IF(ISNUMBER(SEARCH("C",'WetLitterbags placem_collection'!W151)),"YES","NO")</f>
        <v>NO</v>
      </c>
      <c r="AA224" s="255" t="str">
        <f>IF(ISNUMBER(SEARCH("H", 'WetLitterbags placem_collection'!W151)),"YES","NO")</f>
        <v>NO</v>
      </c>
      <c r="AB224" s="255" t="str">
        <f>IF(ISNUMBER(SEARCH("R", 'WetLitterbags placem_collection'!W151)),"YES","NO")</f>
        <v>NO</v>
      </c>
      <c r="AC224" s="255" t="str">
        <f>IF(ISNUMBER(SEARCH("C", 'WetLitterbags placem_collection'!V151)),"YES","NO")</f>
        <v>NO</v>
      </c>
      <c r="AD224" s="255" t="str">
        <f>IF(ISNUMBER(SEARCH("H", 'WetLitterbags placem_collection'!V151)),"YES","NO")</f>
        <v>NO</v>
      </c>
      <c r="AE224" s="255" t="str">
        <f>IF(ISNUMBER(SEARCH("R", 'WetLitterbags placem_collection'!V151)),"YES","NO")</f>
        <v>NO</v>
      </c>
    </row>
    <row r="225" spans="2:31">
      <c r="B225" t="str">
        <f>'Final data_for_R_analysis_Wetse'!A151</f>
        <v>Wet</v>
      </c>
      <c r="C225" s="263">
        <f>'Final data_for_R_analysis_Wetse'!B151</f>
        <v>150</v>
      </c>
      <c r="D225" t="s">
        <v>3849</v>
      </c>
      <c r="E225" t="s">
        <v>22</v>
      </c>
      <c r="F225" s="387">
        <v>6</v>
      </c>
      <c r="G225" s="16">
        <f>'WetLitterbags placem_collection'!E152</f>
        <v>42762</v>
      </c>
      <c r="H225" t="str">
        <f>'Final data_for_R_analysis_Wetse'!J151</f>
        <v>G658</v>
      </c>
      <c r="I225" t="str">
        <f>'Final data_for_R_analysis_Wetse'!J371</f>
        <v>R7</v>
      </c>
      <c r="J225">
        <f>IFERROR(INDEX('Green_rooibos initial weight'!$C$5:$C$1749,MATCH(H225, 'Green_rooibos initial weight'!$A$5:$A$1749,0)),"")</f>
        <v>2.129</v>
      </c>
      <c r="K225">
        <f>IFERROR(INDEX('Green_rooibos initial weight'!$C$5:$C$1749,MATCH(I225, 'Green_rooibos initial weight'!$A$5:$A$1749,0)),"")</f>
        <v>2.2090000000000001</v>
      </c>
      <c r="L225" s="195">
        <f t="shared" si="20"/>
        <v>1.8792</v>
      </c>
      <c r="M225" s="195">
        <f>AVERAGE(Ashed_controlls!$K$2:$K$11)</f>
        <v>5.5147656768714146</v>
      </c>
      <c r="N225" s="195">
        <f t="shared" si="18"/>
        <v>1.9592000000000001</v>
      </c>
      <c r="O225" s="16">
        <f>IF('WetLitterbags placem_collection'!G152="N.A","",'WetLitterbags placem_collection'!G152)</f>
        <v>42816</v>
      </c>
      <c r="P225" s="195">
        <f>IF(IFERROR(INDEX('Both teabags AfterWet'!$C$3:$C$841,MATCH(H225,'Both teabags AfterWet'!$A$3:$A$841,0)),"")="N.A","",(IFERROR(INDEX('Both teabags AfterWet'!$C$3:$C$841,MATCH(H225,'Both teabags AfterWet'!$A$3:$A$841,0)),"")))</f>
        <v>0.71799999999999997</v>
      </c>
      <c r="Q225" s="195">
        <f>IFERROR(INDEX('Both teabags AfterWet'!$C$3:$C$841,MATCH(I225,'Both teabags AfterWet'!$A$3:$A$841,0)),"")</f>
        <v>1.718</v>
      </c>
      <c r="R225" s="195">
        <f t="shared" si="21"/>
        <v>0.5673999999999999</v>
      </c>
      <c r="S225" s="195">
        <f t="shared" si="21"/>
        <v>1.5673999999999999</v>
      </c>
      <c r="T225" s="195">
        <f t="shared" si="22"/>
        <v>0.69806300553427003</v>
      </c>
      <c r="U225" s="195">
        <f t="shared" si="23"/>
        <v>0.45763750481581605</v>
      </c>
      <c r="V225" s="195">
        <f t="shared" si="24"/>
        <v>0.80002041649652911</v>
      </c>
      <c r="W225">
        <f t="shared" si="19"/>
        <v>54</v>
      </c>
      <c r="X225" s="195">
        <f t="shared" si="25"/>
        <v>0.17094654924671016</v>
      </c>
      <c r="Y225" s="195">
        <f t="shared" si="26"/>
        <v>1.0637862551140107E-2</v>
      </c>
      <c r="Z225" s="255" t="str">
        <f>IF(ISNUMBER(SEARCH("C",'WetLitterbags placem_collection'!W152)),"YES","NO")</f>
        <v>NO</v>
      </c>
      <c r="AA225" s="255" t="str">
        <f>IF(ISNUMBER(SEARCH("H", 'WetLitterbags placem_collection'!W152)),"YES","NO")</f>
        <v>NO</v>
      </c>
      <c r="AB225" s="255" t="str">
        <f>IF(ISNUMBER(SEARCH("R", 'WetLitterbags placem_collection'!W152)),"YES","NO")</f>
        <v>NO</v>
      </c>
      <c r="AC225" s="255" t="str">
        <f>IF(ISNUMBER(SEARCH("C", 'WetLitterbags placem_collection'!V152)),"YES","NO")</f>
        <v>NO</v>
      </c>
      <c r="AD225" s="255" t="str">
        <f>IF(ISNUMBER(SEARCH("H", 'WetLitterbags placem_collection'!V152)),"YES","NO")</f>
        <v>NO</v>
      </c>
      <c r="AE225" s="255" t="str">
        <f>IF(ISNUMBER(SEARCH("R", 'WetLitterbags placem_collection'!V152)),"YES","NO")</f>
        <v>NO</v>
      </c>
    </row>
    <row r="226" spans="2:31">
      <c r="B226" t="str">
        <f>'Final data_for_R_analysis_Wetse'!A152</f>
        <v>Wet</v>
      </c>
      <c r="C226" s="263">
        <f>'Final data_for_R_analysis_Wetse'!B152</f>
        <v>151</v>
      </c>
      <c r="D226" t="s">
        <v>3849</v>
      </c>
      <c r="E226" t="s">
        <v>22</v>
      </c>
      <c r="F226" s="387">
        <v>7</v>
      </c>
      <c r="G226" s="16">
        <f>'WetLitterbags placem_collection'!E153</f>
        <v>42762</v>
      </c>
      <c r="H226" t="str">
        <f>'Final data_for_R_analysis_Wetse'!J152</f>
        <v>G567</v>
      </c>
      <c r="I226" t="str">
        <f>'Final data_for_R_analysis_Wetse'!J372</f>
        <v>R447</v>
      </c>
      <c r="J226">
        <f>IFERROR(INDEX('Green_rooibos initial weight'!$C$5:$C$1749,MATCH(H226, 'Green_rooibos initial weight'!$A$5:$A$1749,0)),"")</f>
        <v>2.0569999999999999</v>
      </c>
      <c r="K226">
        <f>IFERROR(INDEX('Green_rooibos initial weight'!$C$5:$C$1749,MATCH(I226, 'Green_rooibos initial weight'!$A$5:$A$1749,0)),"")</f>
        <v>2.206</v>
      </c>
      <c r="L226" s="195">
        <f t="shared" si="20"/>
        <v>1.8071999999999999</v>
      </c>
      <c r="M226" s="195">
        <f>AVERAGE(Ashed_controlls!$K$2:$K$11)</f>
        <v>5.5147656768714146</v>
      </c>
      <c r="N226" s="195">
        <f t="shared" si="18"/>
        <v>1.9561999999999999</v>
      </c>
      <c r="O226" s="16">
        <f>IF('WetLitterbags placem_collection'!G153="N.A","",'WetLitterbags placem_collection'!G153)</f>
        <v>42816</v>
      </c>
      <c r="P226" s="195">
        <f>IF(IFERROR(INDEX('Both teabags AfterWet'!$C$3:$C$841,MATCH(H226,'Both teabags AfterWet'!$A$3:$A$841,0)),"")="N.A","",(IFERROR(INDEX('Both teabags AfterWet'!$C$3:$C$841,MATCH(H226,'Both teabags AfterWet'!$A$3:$A$841,0)),"")))</f>
        <v>0.86499999999999999</v>
      </c>
      <c r="Q226" s="195">
        <f>IFERROR(INDEX('Both teabags AfterWet'!$C$3:$C$841,MATCH(I226,'Both teabags AfterWet'!$A$3:$A$841,0)),"")</f>
        <v>1.782</v>
      </c>
      <c r="R226" s="195">
        <f t="shared" si="21"/>
        <v>0.71439999999999992</v>
      </c>
      <c r="S226" s="195">
        <f t="shared" si="21"/>
        <v>1.6314</v>
      </c>
      <c r="T226" s="195">
        <f t="shared" si="22"/>
        <v>0.60469234174413455</v>
      </c>
      <c r="U226" s="195">
        <f t="shared" si="23"/>
        <v>0.39642538318617854</v>
      </c>
      <c r="V226" s="195">
        <f t="shared" si="24"/>
        <v>0.83396380738165832</v>
      </c>
      <c r="W226">
        <f t="shared" si="19"/>
        <v>54</v>
      </c>
      <c r="X226" s="195">
        <f t="shared" si="25"/>
        <v>0.28183807393808247</v>
      </c>
      <c r="Y226" s="195">
        <f t="shared" si="26"/>
        <v>1.0050330053642531E-2</v>
      </c>
      <c r="Z226" s="255" t="str">
        <f>IF(ISNUMBER(SEARCH("C",'WetLitterbags placem_collection'!W153)),"YES","NO")</f>
        <v>NO</v>
      </c>
      <c r="AA226" s="255" t="str">
        <f>IF(ISNUMBER(SEARCH("H", 'WetLitterbags placem_collection'!W153)),"YES","NO")</f>
        <v>NO</v>
      </c>
      <c r="AB226" s="255" t="str">
        <f>IF(ISNUMBER(SEARCH("R", 'WetLitterbags placem_collection'!W153)),"YES","NO")</f>
        <v>NO</v>
      </c>
      <c r="AC226" s="255" t="str">
        <f>IF(ISNUMBER(SEARCH("C", 'WetLitterbags placem_collection'!V153)),"YES","NO")</f>
        <v>NO</v>
      </c>
      <c r="AD226" s="255" t="str">
        <f>IF(ISNUMBER(SEARCH("H", 'WetLitterbags placem_collection'!V153)),"YES","NO")</f>
        <v>NO</v>
      </c>
      <c r="AE226" s="255" t="str">
        <f>IF(ISNUMBER(SEARCH("R", 'WetLitterbags placem_collection'!V153)),"YES","NO")</f>
        <v>YES</v>
      </c>
    </row>
    <row r="227" spans="2:31">
      <c r="B227" t="str">
        <f>'Final data_for_R_analysis_Wetse'!A153</f>
        <v>Wet</v>
      </c>
      <c r="C227" s="263">
        <f>'Final data_for_R_analysis_Wetse'!B153</f>
        <v>152</v>
      </c>
      <c r="D227" t="s">
        <v>3849</v>
      </c>
      <c r="E227" t="s">
        <v>22</v>
      </c>
      <c r="F227" s="387">
        <v>8</v>
      </c>
      <c r="G227" s="16">
        <f>'WetLitterbags placem_collection'!E154</f>
        <v>42762</v>
      </c>
      <c r="H227" t="str">
        <f>'Final data_for_R_analysis_Wetse'!J153</f>
        <v>G853</v>
      </c>
      <c r="I227" t="str">
        <f>'Final data_for_R_analysis_Wetse'!J373</f>
        <v>R591</v>
      </c>
      <c r="J227">
        <f>IFERROR(INDEX('Green_rooibos initial weight'!$C$5:$C$1749,MATCH(H227, 'Green_rooibos initial weight'!$A$5:$A$1749,0)),"")</f>
        <v>1.972</v>
      </c>
      <c r="K227">
        <f>IFERROR(INDEX('Green_rooibos initial weight'!$C$5:$C$1749,MATCH(I227, 'Green_rooibos initial weight'!$A$5:$A$1749,0)),"")</f>
        <v>2.2599999999999998</v>
      </c>
      <c r="L227" s="195">
        <f t="shared" si="20"/>
        <v>1.7222</v>
      </c>
      <c r="M227" s="195">
        <f>AVERAGE(Ashed_controlls!$K$2:$K$11)</f>
        <v>5.5147656768714146</v>
      </c>
      <c r="N227" s="195">
        <f t="shared" si="18"/>
        <v>2.0101999999999998</v>
      </c>
      <c r="O227" s="16">
        <f>IF('WetLitterbags placem_collection'!G154="N.A","",'WetLitterbags placem_collection'!G154)</f>
        <v>42816</v>
      </c>
      <c r="P227" s="195">
        <f>IF(IFERROR(INDEX('Both teabags AfterWet'!$C$3:$C$841,MATCH(H227,'Both teabags AfterWet'!$A$3:$A$841,0)),"")="N.A","",(IFERROR(INDEX('Both teabags AfterWet'!$C$3:$C$841,MATCH(H227,'Both teabags AfterWet'!$A$3:$A$841,0)),"")))</f>
        <v>0.58509999999999995</v>
      </c>
      <c r="Q227" s="195">
        <f>IFERROR(INDEX('Both teabags AfterWet'!$C$3:$C$841,MATCH(I227,'Both teabags AfterWet'!$A$3:$A$841,0)),"")</f>
        <v>1.6958</v>
      </c>
      <c r="R227" s="195">
        <f t="shared" si="21"/>
        <v>0.43449999999999994</v>
      </c>
      <c r="S227" s="195">
        <f t="shared" si="21"/>
        <v>1.5451999999999999</v>
      </c>
      <c r="T227" s="195">
        <f t="shared" si="22"/>
        <v>0.74770642201834869</v>
      </c>
      <c r="U227" s="195">
        <f t="shared" si="23"/>
        <v>0.49018283248708855</v>
      </c>
      <c r="V227" s="195">
        <f t="shared" si="24"/>
        <v>0.76867973335986473</v>
      </c>
      <c r="W227">
        <f t="shared" si="19"/>
        <v>54</v>
      </c>
      <c r="X227" s="195">
        <f t="shared" si="25"/>
        <v>0.11198762230599912</v>
      </c>
      <c r="Y227" s="195">
        <f t="shared" si="26"/>
        <v>1.1823725221602318E-2</v>
      </c>
      <c r="Z227" s="255" t="str">
        <f>IF(ISNUMBER(SEARCH("C",'WetLitterbags placem_collection'!W154)),"YES","NO")</f>
        <v>NO</v>
      </c>
      <c r="AA227" s="255" t="str">
        <f>IF(ISNUMBER(SEARCH("H", 'WetLitterbags placem_collection'!W154)),"YES","NO")</f>
        <v>NO</v>
      </c>
      <c r="AB227" s="255" t="str">
        <f>IF(ISNUMBER(SEARCH("R", 'WetLitterbags placem_collection'!W154)),"YES","NO")</f>
        <v>YES</v>
      </c>
      <c r="AC227" s="255" t="str">
        <f>IF(ISNUMBER(SEARCH("C", 'WetLitterbags placem_collection'!V154)),"YES","NO")</f>
        <v>NO</v>
      </c>
      <c r="AD227" s="255" t="str">
        <f>IF(ISNUMBER(SEARCH("H", 'WetLitterbags placem_collection'!V154)),"YES","NO")</f>
        <v>NO</v>
      </c>
      <c r="AE227" s="255" t="str">
        <f>IF(ISNUMBER(SEARCH("R", 'WetLitterbags placem_collection'!V154)),"YES","NO")</f>
        <v>NO</v>
      </c>
    </row>
    <row r="228" spans="2:31">
      <c r="B228" t="str">
        <f>'Final data_for_R_analysis_Wetse'!A154</f>
        <v>Wet</v>
      </c>
      <c r="C228" s="263">
        <f>'Final data_for_R_analysis_Wetse'!B154</f>
        <v>153</v>
      </c>
      <c r="D228" t="s">
        <v>3850</v>
      </c>
      <c r="E228" t="s">
        <v>22</v>
      </c>
      <c r="F228" s="386">
        <v>1</v>
      </c>
      <c r="G228" s="16">
        <f>'WetLitterbags placem_collection'!E155</f>
        <v>42762</v>
      </c>
      <c r="H228" t="str">
        <f>'Final data_for_R_analysis_Wetse'!J154</f>
        <v>G800</v>
      </c>
      <c r="I228" t="str">
        <f>'Final data_for_R_analysis_Wetse'!J374</f>
        <v>R479</v>
      </c>
      <c r="J228">
        <f>IFERROR(INDEX('Green_rooibos initial weight'!$C$5:$C$1749,MATCH(H228, 'Green_rooibos initial weight'!$A$5:$A$1749,0)),"")</f>
        <v>2.1179999999999999</v>
      </c>
      <c r="K228">
        <f>IFERROR(INDEX('Green_rooibos initial weight'!$C$5:$C$1749,MATCH(I228, 'Green_rooibos initial weight'!$A$5:$A$1749,0)),"")</f>
        <v>2.2749999999999999</v>
      </c>
      <c r="L228" s="195">
        <f t="shared" si="20"/>
        <v>1.8681999999999999</v>
      </c>
      <c r="M228" s="195">
        <f>AVERAGE(Ashed_controlls!$K$2:$K$11)</f>
        <v>5.5147656768714146</v>
      </c>
      <c r="N228" s="195">
        <f t="shared" si="18"/>
        <v>2.0251999999999999</v>
      </c>
      <c r="O228" s="16">
        <f>IF('WetLitterbags placem_collection'!G155="N.A","",'WetLitterbags placem_collection'!G155)</f>
        <v>42816</v>
      </c>
      <c r="P228" s="195">
        <f>IF(IFERROR(INDEX('Both teabags AfterWet'!$C$3:$C$841,MATCH(H228,'Both teabags AfterWet'!$A$3:$A$841,0)),"")="N.A","",(IFERROR(INDEX('Both teabags AfterWet'!$C$3:$C$841,MATCH(H228,'Both teabags AfterWet'!$A$3:$A$841,0)),"")))</f>
        <v>0.58630000000000004</v>
      </c>
      <c r="Q228" s="195">
        <f>IFERROR(INDEX('Both teabags AfterWet'!$C$3:$C$841,MATCH(I228,'Both teabags AfterWet'!$A$3:$A$841,0)),"")</f>
        <v>1.2541</v>
      </c>
      <c r="R228" s="195">
        <f t="shared" si="21"/>
        <v>0.43570000000000003</v>
      </c>
      <c r="S228" s="195">
        <f t="shared" si="21"/>
        <v>1.1034999999999999</v>
      </c>
      <c r="T228" s="195">
        <f t="shared" si="22"/>
        <v>0.76678085858045175</v>
      </c>
      <c r="U228" s="195">
        <f t="shared" si="23"/>
        <v>0.50268768876058123</v>
      </c>
      <c r="V228" s="195">
        <f t="shared" si="24"/>
        <v>0.5448844558562117</v>
      </c>
      <c r="W228">
        <f t="shared" si="19"/>
        <v>54</v>
      </c>
      <c r="X228" s="195">
        <f t="shared" si="25"/>
        <v>8.9333897172860111E-2</v>
      </c>
      <c r="Y228" s="195">
        <f t="shared" si="26"/>
        <v>4.3661512728713804E-2</v>
      </c>
      <c r="Z228" s="255" t="str">
        <f>IF(ISNUMBER(SEARCH("C",'WetLitterbags placem_collection'!W155)),"YES","NO")</f>
        <v>NO</v>
      </c>
      <c r="AA228" s="255" t="str">
        <f>IF(ISNUMBER(SEARCH("H", 'WetLitterbags placem_collection'!W155)),"YES","NO")</f>
        <v>YES</v>
      </c>
      <c r="AB228" s="255" t="str">
        <f>IF(ISNUMBER(SEARCH("R", 'WetLitterbags placem_collection'!W155)),"YES","NO")</f>
        <v>YES</v>
      </c>
      <c r="AC228" s="255" t="str">
        <f>IF(ISNUMBER(SEARCH("C", 'WetLitterbags placem_collection'!V155)),"YES","NO")</f>
        <v>NO</v>
      </c>
      <c r="AD228" s="255" t="str">
        <f>IF(ISNUMBER(SEARCH("H", 'WetLitterbags placem_collection'!V155)),"YES","NO")</f>
        <v>NO</v>
      </c>
      <c r="AE228" s="255" t="str">
        <f>IF(ISNUMBER(SEARCH("R", 'WetLitterbags placem_collection'!V155)),"YES","NO")</f>
        <v>YES</v>
      </c>
    </row>
    <row r="229" spans="2:31">
      <c r="B229" t="str">
        <f>'Final data_for_R_analysis_Wetse'!A155</f>
        <v>Wet</v>
      </c>
      <c r="C229" s="263">
        <f>'Final data_for_R_analysis_Wetse'!B155</f>
        <v>154</v>
      </c>
      <c r="D229" t="s">
        <v>3850</v>
      </c>
      <c r="E229" t="s">
        <v>22</v>
      </c>
      <c r="F229" s="386">
        <v>2</v>
      </c>
      <c r="G229" s="16">
        <f>'WetLitterbags placem_collection'!E156</f>
        <v>42762</v>
      </c>
      <c r="H229" t="str">
        <f>'Final data_for_R_analysis_Wetse'!J155</f>
        <v>G675</v>
      </c>
      <c r="I229" t="str">
        <f>'Final data_for_R_analysis_Wetse'!J375</f>
        <v>R493</v>
      </c>
      <c r="J229">
        <f>IFERROR(INDEX('Green_rooibos initial weight'!$C$5:$C$1749,MATCH(H229, 'Green_rooibos initial weight'!$A$5:$A$1749,0)),"")</f>
        <v>1.9950000000000001</v>
      </c>
      <c r="K229">
        <f>IFERROR(INDEX('Green_rooibos initial weight'!$C$5:$C$1749,MATCH(I229, 'Green_rooibos initial weight'!$A$5:$A$1749,0)),"")</f>
        <v>2.2410000000000001</v>
      </c>
      <c r="L229" s="195">
        <f t="shared" si="20"/>
        <v>1.7452000000000001</v>
      </c>
      <c r="M229" s="195">
        <f>AVERAGE(Ashed_controlls!$K$2:$K$11)</f>
        <v>5.5147656768714146</v>
      </c>
      <c r="N229" s="195">
        <f t="shared" si="18"/>
        <v>1.9912000000000001</v>
      </c>
      <c r="O229" s="16">
        <f>IF('WetLitterbags placem_collection'!G156="N.A","",'WetLitterbags placem_collection'!G156)</f>
        <v>42816</v>
      </c>
      <c r="P229" s="195">
        <f>IF(IFERROR(INDEX('Both teabags AfterWet'!$C$3:$C$841,MATCH(H229,'Both teabags AfterWet'!$A$3:$A$841,0)),"")="N.A","",(IFERROR(INDEX('Both teabags AfterWet'!$C$3:$C$841,MATCH(H229,'Both teabags AfterWet'!$A$3:$A$841,0)),"")))</f>
        <v>0.61299999999999999</v>
      </c>
      <c r="Q229" s="195">
        <f>IFERROR(INDEX('Both teabags AfterWet'!$C$3:$C$841,MATCH(I229,'Both teabags AfterWet'!$A$3:$A$841,0)),"")</f>
        <v>0.69099999999999995</v>
      </c>
      <c r="R229" s="195">
        <f t="shared" si="21"/>
        <v>0.46239999999999998</v>
      </c>
      <c r="S229" s="195">
        <f t="shared" si="21"/>
        <v>0.54039999999999999</v>
      </c>
      <c r="T229" s="195">
        <f t="shared" si="22"/>
        <v>0.73504469401787764</v>
      </c>
      <c r="U229" s="195">
        <f t="shared" si="23"/>
        <v>0.48188203218274167</v>
      </c>
      <c r="V229" s="195">
        <f t="shared" si="24"/>
        <v>0.2713941341904379</v>
      </c>
      <c r="W229">
        <f t="shared" si="19"/>
        <v>54</v>
      </c>
      <c r="X229" s="195">
        <f t="shared" si="25"/>
        <v>0.12702530401677237</v>
      </c>
      <c r="Y229" s="195" t="str">
        <f t="shared" si="26"/>
        <v/>
      </c>
      <c r="Z229" s="255" t="str">
        <f>IF(ISNUMBER(SEARCH("C",'WetLitterbags placem_collection'!W156)),"YES","NO")</f>
        <v>YES</v>
      </c>
      <c r="AA229" s="255" t="str">
        <f>IF(ISNUMBER(SEARCH("H", 'WetLitterbags placem_collection'!W156)),"YES","NO")</f>
        <v>YES</v>
      </c>
      <c r="AB229" s="255" t="str">
        <f>IF(ISNUMBER(SEARCH("R", 'WetLitterbags placem_collection'!W156)),"YES","NO")</f>
        <v>NO</v>
      </c>
      <c r="AC229" s="255" t="str">
        <f>IF(ISNUMBER(SEARCH("C", 'WetLitterbags placem_collection'!V156)),"YES","NO")</f>
        <v>YES</v>
      </c>
      <c r="AD229" s="255" t="str">
        <f>IF(ISNUMBER(SEARCH("H", 'WetLitterbags placem_collection'!V156)),"YES","NO")</f>
        <v>YES</v>
      </c>
      <c r="AE229" s="255" t="str">
        <f>IF(ISNUMBER(SEARCH("R", 'WetLitterbags placem_collection'!V156)),"YES","NO")</f>
        <v>NO</v>
      </c>
    </row>
    <row r="230" spans="2:31">
      <c r="B230" t="str">
        <f>'Final data_for_R_analysis_Wetse'!A156</f>
        <v>Wet</v>
      </c>
      <c r="C230" s="263">
        <f>'Final data_for_R_analysis_Wetse'!B156</f>
        <v>155</v>
      </c>
      <c r="D230" t="s">
        <v>3850</v>
      </c>
      <c r="E230" t="s">
        <v>22</v>
      </c>
      <c r="F230" s="386">
        <v>3</v>
      </c>
      <c r="G230" s="16">
        <f>'WetLitterbags placem_collection'!E157</f>
        <v>42762</v>
      </c>
      <c r="H230" t="str">
        <f>'Final data_for_R_analysis_Wetse'!J156</f>
        <v>G859</v>
      </c>
      <c r="I230" t="str">
        <f>'Final data_for_R_analysis_Wetse'!J376</f>
        <v>R484</v>
      </c>
      <c r="J230">
        <f>IFERROR(INDEX('Green_rooibos initial weight'!$C$5:$C$1749,MATCH(H230, 'Green_rooibos initial weight'!$A$5:$A$1749,0)),"")</f>
        <v>2</v>
      </c>
      <c r="K230">
        <f>IFERROR(INDEX('Green_rooibos initial weight'!$C$5:$C$1749,MATCH(I230, 'Green_rooibos initial weight'!$A$5:$A$1749,0)),"")</f>
        <v>2.1850000000000001</v>
      </c>
      <c r="L230" s="195">
        <f t="shared" si="20"/>
        <v>1.7502</v>
      </c>
      <c r="M230" s="195">
        <f>AVERAGE(Ashed_controlls!$K$2:$K$11)</f>
        <v>5.5147656768714146</v>
      </c>
      <c r="N230" s="195">
        <f t="shared" si="18"/>
        <v>1.9352</v>
      </c>
      <c r="O230" s="16">
        <f>IF('WetLitterbags placem_collection'!G157="N.A","",'WetLitterbags placem_collection'!G157)</f>
        <v>42816</v>
      </c>
      <c r="P230" s="195">
        <f>IF(IFERROR(INDEX('Both teabags AfterWet'!$C$3:$C$841,MATCH(H230,'Both teabags AfterWet'!$A$3:$A$841,0)),"")="N.A","",(IFERROR(INDEX('Both teabags AfterWet'!$C$3:$C$841,MATCH(H230,'Both teabags AfterWet'!$A$3:$A$841,0)),"")))</f>
        <v>0.71599999999999997</v>
      </c>
      <c r="Q230" s="195">
        <f>IFERROR(INDEX('Both teabags AfterWet'!$C$3:$C$841,MATCH(I230,'Both teabags AfterWet'!$A$3:$A$841,0)),"")</f>
        <v>1.7509999999999999</v>
      </c>
      <c r="R230" s="195">
        <f t="shared" si="21"/>
        <v>0.5653999999999999</v>
      </c>
      <c r="S230" s="195">
        <f t="shared" si="21"/>
        <v>1.6003999999999998</v>
      </c>
      <c r="T230" s="195">
        <f t="shared" si="22"/>
        <v>0.67695120557650568</v>
      </c>
      <c r="U230" s="195">
        <f t="shared" si="23"/>
        <v>0.44379698987913441</v>
      </c>
      <c r="V230" s="195">
        <f t="shared" si="24"/>
        <v>0.82699462587846206</v>
      </c>
      <c r="W230">
        <f t="shared" si="19"/>
        <v>54</v>
      </c>
      <c r="X230" s="195">
        <f t="shared" si="25"/>
        <v>0.19601994587113336</v>
      </c>
      <c r="Y230" s="195">
        <f t="shared" si="26"/>
        <v>9.1484749689491364E-3</v>
      </c>
      <c r="Z230" s="255" t="str">
        <f>IF(ISNUMBER(SEARCH("C",'WetLitterbags placem_collection'!W157)),"YES","NO")</f>
        <v>NO</v>
      </c>
      <c r="AA230" s="255" t="str">
        <f>IF(ISNUMBER(SEARCH("H", 'WetLitterbags placem_collection'!W157)),"YES","NO")</f>
        <v>NO</v>
      </c>
      <c r="AB230" s="255" t="str">
        <f>IF(ISNUMBER(SEARCH("R", 'WetLitterbags placem_collection'!W157)),"YES","NO")</f>
        <v>YES</v>
      </c>
      <c r="AC230" s="255" t="str">
        <f>IF(ISNUMBER(SEARCH("C", 'WetLitterbags placem_collection'!V157)),"YES","NO")</f>
        <v>NO</v>
      </c>
      <c r="AD230" s="255" t="str">
        <f>IF(ISNUMBER(SEARCH("H", 'WetLitterbags placem_collection'!V157)),"YES","NO")</f>
        <v>NO</v>
      </c>
      <c r="AE230" s="255" t="str">
        <f>IF(ISNUMBER(SEARCH("R", 'WetLitterbags placem_collection'!V157)),"YES","NO")</f>
        <v>YES</v>
      </c>
    </row>
    <row r="231" spans="2:31">
      <c r="B231" t="str">
        <f>'Final data_for_R_analysis_Wetse'!A157</f>
        <v>Wet</v>
      </c>
      <c r="C231" s="263">
        <f>'Final data_for_R_analysis_Wetse'!B157</f>
        <v>156</v>
      </c>
      <c r="D231" t="s">
        <v>3850</v>
      </c>
      <c r="E231" t="s">
        <v>22</v>
      </c>
      <c r="F231" s="387">
        <v>4</v>
      </c>
      <c r="G231" s="16">
        <f>'WetLitterbags placem_collection'!E158</f>
        <v>42762</v>
      </c>
      <c r="H231" t="str">
        <f>'Final data_for_R_analysis_Wetse'!J157</f>
        <v>G654</v>
      </c>
      <c r="I231" t="str">
        <f>'Final data_for_R_analysis_Wetse'!J377</f>
        <v>R598</v>
      </c>
      <c r="J231">
        <f>IFERROR(INDEX('Green_rooibos initial weight'!$C$5:$C$1749,MATCH(H231, 'Green_rooibos initial weight'!$A$5:$A$1749,0)),"")</f>
        <v>2.0169999999999999</v>
      </c>
      <c r="K231">
        <f>IFERROR(INDEX('Green_rooibos initial weight'!$C$5:$C$1749,MATCH(I231, 'Green_rooibos initial weight'!$A$5:$A$1749,0)),"")</f>
        <v>2.206</v>
      </c>
      <c r="L231" s="195">
        <f t="shared" si="20"/>
        <v>1.7671999999999999</v>
      </c>
      <c r="M231" s="195">
        <f>AVERAGE(Ashed_controlls!$K$2:$K$11)</f>
        <v>5.5147656768714146</v>
      </c>
      <c r="N231" s="195">
        <f t="shared" si="18"/>
        <v>1.9561999999999999</v>
      </c>
      <c r="O231" s="16">
        <f>IF('WetLitterbags placem_collection'!G158="N.A","",'WetLitterbags placem_collection'!G158)</f>
        <v>42816</v>
      </c>
      <c r="P231" s="195">
        <f>IF(IFERROR(INDEX('Both teabags AfterWet'!$C$3:$C$841,MATCH(H231,'Both teabags AfterWet'!$A$3:$A$841,0)),"")="N.A","",(IFERROR(INDEX('Both teabags AfterWet'!$C$3:$C$841,MATCH(H231,'Both teabags AfterWet'!$A$3:$A$841,0)),"")))</f>
        <v>0.73799999999999999</v>
      </c>
      <c r="Q231" s="195">
        <f>IFERROR(INDEX('Both teabags AfterWet'!$C$3:$C$841,MATCH(I231,'Both teabags AfterWet'!$A$3:$A$841,0)),"")</f>
        <v>1.8080000000000001</v>
      </c>
      <c r="R231" s="195">
        <f t="shared" si="21"/>
        <v>0.58739999999999992</v>
      </c>
      <c r="S231" s="195">
        <f t="shared" si="21"/>
        <v>1.6574</v>
      </c>
      <c r="T231" s="195">
        <f t="shared" si="22"/>
        <v>0.66760977818017198</v>
      </c>
      <c r="U231" s="195">
        <f t="shared" si="23"/>
        <v>0.43767291871194175</v>
      </c>
      <c r="V231" s="195">
        <f t="shared" si="24"/>
        <v>0.84725488191391474</v>
      </c>
      <c r="W231">
        <f t="shared" si="19"/>
        <v>54</v>
      </c>
      <c r="X231" s="195">
        <f t="shared" si="25"/>
        <v>0.20711427769575774</v>
      </c>
      <c r="Y231" s="195">
        <f t="shared" si="26"/>
        <v>7.9488158044892857E-3</v>
      </c>
      <c r="Z231" s="255" t="str">
        <f>IF(ISNUMBER(SEARCH("C",'WetLitterbags placem_collection'!W158)),"YES","NO")</f>
        <v>NO</v>
      </c>
      <c r="AA231" s="255" t="str">
        <f>IF(ISNUMBER(SEARCH("H", 'WetLitterbags placem_collection'!W158)),"YES","NO")</f>
        <v>NO</v>
      </c>
      <c r="AB231" s="255" t="str">
        <f>IF(ISNUMBER(SEARCH("R", 'WetLitterbags placem_collection'!W158)),"YES","NO")</f>
        <v>YES</v>
      </c>
      <c r="AC231" s="255" t="str">
        <f>IF(ISNUMBER(SEARCH("C", 'WetLitterbags placem_collection'!V158)),"YES","NO")</f>
        <v>NO</v>
      </c>
      <c r="AD231" s="255" t="str">
        <f>IF(ISNUMBER(SEARCH("H", 'WetLitterbags placem_collection'!V158)),"YES","NO")</f>
        <v>YES</v>
      </c>
      <c r="AE231" s="255" t="str">
        <f>IF(ISNUMBER(SEARCH("R", 'WetLitterbags placem_collection'!V158)),"YES","NO")</f>
        <v>NO</v>
      </c>
    </row>
    <row r="232" spans="2:31">
      <c r="B232" t="str">
        <f>'Final data_for_R_analysis_Wetse'!A158</f>
        <v>Wet</v>
      </c>
      <c r="C232" s="263">
        <f>'Final data_for_R_analysis_Wetse'!B158</f>
        <v>157</v>
      </c>
      <c r="D232" t="s">
        <v>3850</v>
      </c>
      <c r="E232" t="s">
        <v>22</v>
      </c>
      <c r="F232" s="387">
        <v>5</v>
      </c>
      <c r="G232" s="16">
        <f>'WetLitterbags placem_collection'!E159</f>
        <v>42762</v>
      </c>
      <c r="H232" t="str">
        <f>'Final data_for_R_analysis_Wetse'!J158</f>
        <v>G890</v>
      </c>
      <c r="I232" t="str">
        <f>'Final data_for_R_analysis_Wetse'!J378</f>
        <v>R30</v>
      </c>
      <c r="J232">
        <f>IFERROR(INDEX('Green_rooibos initial weight'!$C$5:$C$1749,MATCH(H232, 'Green_rooibos initial weight'!$A$5:$A$1749,0)),"")</f>
        <v>1.9930000000000001</v>
      </c>
      <c r="K232">
        <f>IFERROR(INDEX('Green_rooibos initial weight'!$C$5:$C$1749,MATCH(I232, 'Green_rooibos initial weight'!$A$5:$A$1749,0)),"")</f>
        <v>2.177</v>
      </c>
      <c r="L232" s="195">
        <f t="shared" si="20"/>
        <v>1.7432000000000001</v>
      </c>
      <c r="M232" s="195">
        <f>AVERAGE(Ashed_controlls!$K$2:$K$11)</f>
        <v>5.5147656768714146</v>
      </c>
      <c r="N232" s="195">
        <f t="shared" si="18"/>
        <v>1.9272</v>
      </c>
      <c r="O232" s="16">
        <f>IF('WetLitterbags placem_collection'!G159="N.A","",'WetLitterbags placem_collection'!G159)</f>
        <v>42816</v>
      </c>
      <c r="P232" s="195">
        <f>IF(IFERROR(INDEX('Both teabags AfterWet'!$C$3:$C$841,MATCH(H232,'Both teabags AfterWet'!$A$3:$A$841,0)),"")="N.A","",(IFERROR(INDEX('Both teabags AfterWet'!$C$3:$C$841,MATCH(H232,'Both teabags AfterWet'!$A$3:$A$841,0)),"")))</f>
        <v>0.74099999999999999</v>
      </c>
      <c r="Q232" s="195">
        <f>IFERROR(INDEX('Both teabags AfterWet'!$C$3:$C$841,MATCH(I232,'Both teabags AfterWet'!$A$3:$A$841,0)),"")</f>
        <v>1.825</v>
      </c>
      <c r="R232" s="195">
        <f t="shared" si="21"/>
        <v>0.59040000000000004</v>
      </c>
      <c r="S232" s="195">
        <f t="shared" si="21"/>
        <v>1.6743999999999999</v>
      </c>
      <c r="T232" s="195">
        <f t="shared" si="22"/>
        <v>0.66131252868288204</v>
      </c>
      <c r="U232" s="195">
        <f t="shared" si="23"/>
        <v>0.43354455562108191</v>
      </c>
      <c r="V232" s="195">
        <f t="shared" si="24"/>
        <v>0.86882523868825234</v>
      </c>
      <c r="W232">
        <f t="shared" si="19"/>
        <v>54</v>
      </c>
      <c r="X232" s="195">
        <f t="shared" si="25"/>
        <v>0.21459319633861984</v>
      </c>
      <c r="Y232" s="195">
        <f t="shared" si="26"/>
        <v>6.6730336907153669E-3</v>
      </c>
      <c r="Z232" s="255" t="str">
        <f>IF(ISNUMBER(SEARCH("C",'WetLitterbags placem_collection'!W159)),"YES","NO")</f>
        <v>YES</v>
      </c>
      <c r="AA232" s="255" t="str">
        <f>IF(ISNUMBER(SEARCH("H", 'WetLitterbags placem_collection'!W159)),"YES","NO")</f>
        <v>NO</v>
      </c>
      <c r="AB232" s="255" t="str">
        <f>IF(ISNUMBER(SEARCH("R", 'WetLitterbags placem_collection'!W159)),"YES","NO")</f>
        <v>YES</v>
      </c>
      <c r="AC232" s="255" t="str">
        <f>IF(ISNUMBER(SEARCH("C", 'WetLitterbags placem_collection'!V159)),"YES","NO")</f>
        <v>NO</v>
      </c>
      <c r="AD232" s="255" t="str">
        <f>IF(ISNUMBER(SEARCH("H", 'WetLitterbags placem_collection'!V159)),"YES","NO")</f>
        <v>NO</v>
      </c>
      <c r="AE232" s="255" t="str">
        <f>IF(ISNUMBER(SEARCH("R", 'WetLitterbags placem_collection'!V159)),"YES","NO")</f>
        <v>YES</v>
      </c>
    </row>
    <row r="233" spans="2:31">
      <c r="B233" t="str">
        <f>'Final data_for_R_analysis_Wetse'!A159</f>
        <v>Wet</v>
      </c>
      <c r="C233" s="263">
        <f>'Final data_for_R_analysis_Wetse'!B159</f>
        <v>158</v>
      </c>
      <c r="D233" t="s">
        <v>3850</v>
      </c>
      <c r="E233" t="s">
        <v>22</v>
      </c>
      <c r="F233" s="387">
        <v>6</v>
      </c>
      <c r="G233" s="16">
        <f>'WetLitterbags placem_collection'!E160</f>
        <v>42762</v>
      </c>
      <c r="H233" t="str">
        <f>'Final data_for_R_analysis_Wetse'!J159</f>
        <v>G576</v>
      </c>
      <c r="I233" t="str">
        <f>'Final data_for_R_analysis_Wetse'!J379</f>
        <v>R16</v>
      </c>
      <c r="J233">
        <f>IFERROR(INDEX('Green_rooibos initial weight'!$C$5:$C$1749,MATCH(H233, 'Green_rooibos initial weight'!$A$5:$A$1749,0)),"")</f>
        <v>2.056</v>
      </c>
      <c r="K233">
        <f>IFERROR(INDEX('Green_rooibos initial weight'!$C$5:$C$1749,MATCH(I233, 'Green_rooibos initial weight'!$A$5:$A$1749,0)),"")</f>
        <v>2.2629999999999999</v>
      </c>
      <c r="L233" s="195">
        <f t="shared" si="20"/>
        <v>1.8062</v>
      </c>
      <c r="M233" s="195">
        <f>AVERAGE(Ashed_controlls!$K$2:$K$11)</f>
        <v>5.5147656768714146</v>
      </c>
      <c r="N233" s="195">
        <f t="shared" si="18"/>
        <v>2.0131999999999999</v>
      </c>
      <c r="O233" s="16">
        <f>IF('WetLitterbags placem_collection'!G160="N.A","",'WetLitterbags placem_collection'!G160)</f>
        <v>42816</v>
      </c>
      <c r="P233" s="195">
        <f>IF(IFERROR(INDEX('Both teabags AfterWet'!$C$3:$C$841,MATCH(H233,'Both teabags AfterWet'!$A$3:$A$841,0)),"")="N.A","",(IFERROR(INDEX('Both teabags AfterWet'!$C$3:$C$841,MATCH(H233,'Both teabags AfterWet'!$A$3:$A$841,0)),"")))</f>
        <v>0.26600000000000001</v>
      </c>
      <c r="Q233" s="195">
        <f>IFERROR(INDEX('Both teabags AfterWet'!$C$3:$C$841,MATCH(I233,'Both teabags AfterWet'!$A$3:$A$841,0)),"")</f>
        <v>1.786</v>
      </c>
      <c r="R233" s="195">
        <f t="shared" si="21"/>
        <v>0.1154</v>
      </c>
      <c r="S233" s="195">
        <f t="shared" si="21"/>
        <v>1.6354</v>
      </c>
      <c r="T233" s="195">
        <f t="shared" si="22"/>
        <v>0.93610895803344041</v>
      </c>
      <c r="U233" s="195">
        <f t="shared" si="23"/>
        <v>0.6136961340076712</v>
      </c>
      <c r="V233" s="195">
        <f t="shared" si="24"/>
        <v>0.81233856546791183</v>
      </c>
      <c r="W233">
        <f t="shared" si="19"/>
        <v>54</v>
      </c>
      <c r="X233" s="195">
        <f t="shared" si="25"/>
        <v>-0.11176835870954926</v>
      </c>
      <c r="Y233" s="195">
        <f t="shared" si="26"/>
        <v>6.7588724587527241E-3</v>
      </c>
      <c r="Z233" s="255" t="str">
        <f>IF(ISNUMBER(SEARCH("C",'WetLitterbags placem_collection'!W160)),"YES","NO")</f>
        <v>NO</v>
      </c>
      <c r="AA233" s="255" t="str">
        <f>IF(ISNUMBER(SEARCH("H", 'WetLitterbags placem_collection'!W160)),"YES","NO")</f>
        <v>NO</v>
      </c>
      <c r="AB233" s="255" t="str">
        <f>IF(ISNUMBER(SEARCH("R", 'WetLitterbags placem_collection'!W160)),"YES","NO")</f>
        <v>YES</v>
      </c>
      <c r="AC233" s="255" t="str">
        <f>IF(ISNUMBER(SEARCH("C", 'WetLitterbags placem_collection'!V160)),"YES","NO")</f>
        <v>NO</v>
      </c>
      <c r="AD233" s="255" t="str">
        <f>IF(ISNUMBER(SEARCH("H", 'WetLitterbags placem_collection'!V160)),"YES","NO")</f>
        <v>YES</v>
      </c>
      <c r="AE233" s="255" t="str">
        <f>IF(ISNUMBER(SEARCH("R", 'WetLitterbags placem_collection'!V160)),"YES","NO")</f>
        <v>YES</v>
      </c>
    </row>
    <row r="234" spans="2:31">
      <c r="B234" t="str">
        <f>'Final data_for_R_analysis_Wetse'!A160</f>
        <v>Wet</v>
      </c>
      <c r="C234" s="263">
        <f>'Final data_for_R_analysis_Wetse'!B160</f>
        <v>159</v>
      </c>
      <c r="D234" t="s">
        <v>3850</v>
      </c>
      <c r="E234" t="s">
        <v>22</v>
      </c>
      <c r="F234" s="387">
        <v>7</v>
      </c>
      <c r="G234" s="16">
        <f>'WetLitterbags placem_collection'!E161</f>
        <v>42762</v>
      </c>
      <c r="H234" t="str">
        <f>'Final data_for_R_analysis_Wetse'!J160</f>
        <v>G829</v>
      </c>
      <c r="I234" t="str">
        <f>'Final data_for_R_analysis_Wetse'!J380</f>
        <v>R499</v>
      </c>
      <c r="J234">
        <f>IFERROR(INDEX('Green_rooibos initial weight'!$C$5:$C$1749,MATCH(H234, 'Green_rooibos initial weight'!$A$5:$A$1749,0)),"")</f>
        <v>1.9610000000000001</v>
      </c>
      <c r="K234">
        <f>IFERROR(INDEX('Green_rooibos initial weight'!$C$5:$C$1749,MATCH(I234, 'Green_rooibos initial weight'!$A$5:$A$1749,0)),"")</f>
        <v>2.194</v>
      </c>
      <c r="L234" s="195">
        <f t="shared" si="20"/>
        <v>1.7112000000000001</v>
      </c>
      <c r="M234" s="195">
        <f>AVERAGE(Ashed_controlls!$K$2:$K$11)</f>
        <v>5.5147656768714146</v>
      </c>
      <c r="N234" s="195">
        <f t="shared" si="18"/>
        <v>1.9441999999999999</v>
      </c>
      <c r="O234" s="16">
        <f>IF('WetLitterbags placem_collection'!G161="N.A","",'WetLitterbags placem_collection'!G161)</f>
        <v>42816</v>
      </c>
      <c r="P234" s="195">
        <f>IF(IFERROR(INDEX('Both teabags AfterWet'!$C$3:$C$841,MATCH(H234,'Both teabags AfterWet'!$A$3:$A$841,0)),"")="N.A","",(IFERROR(INDEX('Both teabags AfterWet'!$C$3:$C$841,MATCH(H234,'Both teabags AfterWet'!$A$3:$A$841,0)),"")))</f>
        <v>0.56499999999999995</v>
      </c>
      <c r="Q234" s="195" t="str">
        <f>IFERROR(INDEX('Both teabags AfterWet'!$C$3:$C$841,MATCH(I234,'Both teabags AfterWet'!$A$3:$A$841,0)),"")</f>
        <v/>
      </c>
      <c r="R234" s="195">
        <f t="shared" si="21"/>
        <v>0.41439999999999994</v>
      </c>
      <c r="S234" s="195" t="str">
        <f t="shared" si="21"/>
        <v/>
      </c>
      <c r="T234" s="195">
        <f t="shared" si="22"/>
        <v>0.75783076203833577</v>
      </c>
      <c r="U234" s="195">
        <f t="shared" si="23"/>
        <v>0.49682016703700876</v>
      </c>
      <c r="V234" s="195" t="str">
        <f t="shared" si="24"/>
        <v/>
      </c>
      <c r="W234">
        <f t="shared" si="19"/>
        <v>54</v>
      </c>
      <c r="X234" s="195">
        <f t="shared" si="25"/>
        <v>9.9963465512665328E-2</v>
      </c>
      <c r="Y234" s="195" t="str">
        <f t="shared" si="26"/>
        <v/>
      </c>
      <c r="Z234" s="255" t="str">
        <f>IF(ISNUMBER(SEARCH("C",'WetLitterbags placem_collection'!W161)),"YES","NO")</f>
        <v>NO</v>
      </c>
      <c r="AA234" s="255" t="str">
        <f>IF(ISNUMBER(SEARCH("H", 'WetLitterbags placem_collection'!W161)),"YES","NO")</f>
        <v>NO</v>
      </c>
      <c r="AB234" s="255" t="str">
        <f>IF(ISNUMBER(SEARCH("R", 'WetLitterbags placem_collection'!W161)),"YES","NO")</f>
        <v>NO</v>
      </c>
      <c r="AC234" s="255" t="str">
        <f>IF(ISNUMBER(SEARCH("C", 'WetLitterbags placem_collection'!V161)),"YES","NO")</f>
        <v>NO</v>
      </c>
      <c r="AD234" s="255" t="str">
        <f>IF(ISNUMBER(SEARCH("H", 'WetLitterbags placem_collection'!V161)),"YES","NO")</f>
        <v>NO</v>
      </c>
      <c r="AE234" s="255" t="str">
        <f>IF(ISNUMBER(SEARCH("R", 'WetLitterbags placem_collection'!V161)),"YES","NO")</f>
        <v>NO</v>
      </c>
    </row>
    <row r="235" spans="2:31">
      <c r="B235" t="str">
        <f>'Final data_for_R_analysis_Wetse'!A161</f>
        <v>Wet</v>
      </c>
      <c r="C235" s="263">
        <f>'Final data_for_R_analysis_Wetse'!B161</f>
        <v>160</v>
      </c>
      <c r="D235" t="s">
        <v>3850</v>
      </c>
      <c r="E235" t="s">
        <v>22</v>
      </c>
      <c r="F235" s="387">
        <v>8</v>
      </c>
      <c r="G235" s="16">
        <f>'WetLitterbags placem_collection'!E162</f>
        <v>42762</v>
      </c>
      <c r="H235" t="str">
        <f>'Final data_for_R_analysis_Wetse'!J161</f>
        <v>G809</v>
      </c>
      <c r="I235" t="str">
        <f>'Final data_for_R_analysis_Wetse'!J381</f>
        <v>R421</v>
      </c>
      <c r="J235">
        <f>IFERROR(INDEX('Green_rooibos initial weight'!$C$5:$C$1749,MATCH(H235, 'Green_rooibos initial weight'!$A$5:$A$1749,0)),"")</f>
        <v>1.9279999999999999</v>
      </c>
      <c r="K235">
        <f>IFERROR(INDEX('Green_rooibos initial weight'!$C$5:$C$1749,MATCH(I235, 'Green_rooibos initial weight'!$A$5:$A$1749,0)),"")</f>
        <v>2.2170000000000001</v>
      </c>
      <c r="L235" s="195">
        <f t="shared" si="20"/>
        <v>1.6781999999999999</v>
      </c>
      <c r="M235" s="195">
        <f>AVERAGE(Ashed_controlls!$K$2:$K$11)</f>
        <v>5.5147656768714146</v>
      </c>
      <c r="N235" s="195">
        <f t="shared" si="18"/>
        <v>1.9672000000000001</v>
      </c>
      <c r="O235" s="16">
        <f>IF('WetLitterbags placem_collection'!G162="N.A","",'WetLitterbags placem_collection'!G162)</f>
        <v>42816</v>
      </c>
      <c r="P235" s="195">
        <f>IF(IFERROR(INDEX('Both teabags AfterWet'!$C$3:$C$841,MATCH(H235,'Both teabags AfterWet'!$A$3:$A$841,0)),"")="N.A","",(IFERROR(INDEX('Both teabags AfterWet'!$C$3:$C$841,MATCH(H235,'Both teabags AfterWet'!$A$3:$A$841,0)),"")))</f>
        <v>0.72</v>
      </c>
      <c r="Q235" s="195">
        <f>IFERROR(INDEX('Both teabags AfterWet'!$C$3:$C$841,MATCH(I235,'Both teabags AfterWet'!$A$3:$A$841,0)),"")</f>
        <v>1.744</v>
      </c>
      <c r="R235" s="195">
        <f t="shared" si="21"/>
        <v>0.56939999999999991</v>
      </c>
      <c r="S235" s="195">
        <f t="shared" si="21"/>
        <v>1.5933999999999999</v>
      </c>
      <c r="T235" s="195">
        <f t="shared" si="22"/>
        <v>0.66070790132284596</v>
      </c>
      <c r="U235" s="195">
        <f t="shared" si="23"/>
        <v>0.43314817283873042</v>
      </c>
      <c r="V235" s="195">
        <f t="shared" si="24"/>
        <v>0.80998373322488815</v>
      </c>
      <c r="W235">
        <f t="shared" si="19"/>
        <v>54</v>
      </c>
      <c r="X235" s="195">
        <f t="shared" si="25"/>
        <v>0.21531128108925657</v>
      </c>
      <c r="Y235" s="195">
        <f t="shared" si="26"/>
        <v>1.0693995382300599E-2</v>
      </c>
      <c r="Z235" s="255" t="str">
        <f>IF(ISNUMBER(SEARCH("C",'WetLitterbags placem_collection'!W162)),"YES","NO")</f>
        <v>NO</v>
      </c>
      <c r="AA235" s="255" t="str">
        <f>IF(ISNUMBER(SEARCH("H", 'WetLitterbags placem_collection'!W162)),"YES","NO")</f>
        <v>NO</v>
      </c>
      <c r="AB235" s="255" t="str">
        <f>IF(ISNUMBER(SEARCH("R", 'WetLitterbags placem_collection'!W162)),"YES","NO")</f>
        <v>YES</v>
      </c>
      <c r="AC235" s="255" t="str">
        <f>IF(ISNUMBER(SEARCH("C", 'WetLitterbags placem_collection'!V162)),"YES","NO")</f>
        <v>NO</v>
      </c>
      <c r="AD235" s="255" t="str">
        <f>IF(ISNUMBER(SEARCH("H", 'WetLitterbags placem_collection'!V162)),"YES","NO")</f>
        <v>NO</v>
      </c>
      <c r="AE235" s="255" t="str">
        <f>IF(ISNUMBER(SEARCH("R", 'WetLitterbags placem_collection'!V162)),"YES","NO")</f>
        <v>YES</v>
      </c>
    </row>
    <row r="236" spans="2:31">
      <c r="B236" t="str">
        <f>'Final data_for_R_analysis_Wetse'!A162</f>
        <v>Wet</v>
      </c>
      <c r="C236" s="263">
        <f>'Final data_for_R_analysis_Wetse'!B162</f>
        <v>161</v>
      </c>
      <c r="D236" t="s">
        <v>3851</v>
      </c>
      <c r="E236" t="s">
        <v>22</v>
      </c>
      <c r="F236" s="386">
        <v>1</v>
      </c>
      <c r="G236" s="16">
        <f>'WetLitterbags placem_collection'!E163</f>
        <v>42763</v>
      </c>
      <c r="H236" t="str">
        <f>'Final data_for_R_analysis_Wetse'!J162</f>
        <v>G252</v>
      </c>
      <c r="I236" t="str">
        <f>'Final data_for_R_analysis_Wetse'!J382</f>
        <v>R124</v>
      </c>
      <c r="J236">
        <f>IFERROR(INDEX('Green_rooibos initial weight'!$C$5:$C$1749,MATCH(H236, 'Green_rooibos initial weight'!$A$5:$A$1749,0)),"")</f>
        <v>2.0190000000000001</v>
      </c>
      <c r="K236">
        <f>IFERROR(INDEX('Green_rooibos initial weight'!$C$5:$C$1749,MATCH(I236, 'Green_rooibos initial weight'!$A$5:$A$1749,0)),"")</f>
        <v>2.2120000000000002</v>
      </c>
      <c r="L236" s="195">
        <f t="shared" si="20"/>
        <v>1.7692000000000001</v>
      </c>
      <c r="M236" s="195">
        <f>AVERAGE(Ashed_controlls!$K$2:$K$11)</f>
        <v>5.5147656768714146</v>
      </c>
      <c r="N236" s="195">
        <f t="shared" si="18"/>
        <v>1.9622000000000002</v>
      </c>
      <c r="O236" s="16">
        <f>IF('WetLitterbags placem_collection'!G163="N.A","",'WetLitterbags placem_collection'!G163)</f>
        <v>42814</v>
      </c>
      <c r="P236" s="195" t="str">
        <f>IF(IFERROR(INDEX('Both teabags AfterWet'!$C$3:$C$841,MATCH(H236,'Both teabags AfterWet'!$A$3:$A$841,0)),"")="N.A","",(IFERROR(INDEX('Both teabags AfterWet'!$C$3:$C$841,MATCH(H236,'Both teabags AfterWet'!$A$3:$A$841,0)),"")))</f>
        <v/>
      </c>
      <c r="Q236" s="195">
        <f>IFERROR(INDEX('Both teabags AfterWet'!$C$3:$C$841,MATCH(I236,'Both teabags AfterWet'!$A$3:$A$841,0)),"")</f>
        <v>1.6863999999999999</v>
      </c>
      <c r="R236" s="195" t="str">
        <f t="shared" si="21"/>
        <v/>
      </c>
      <c r="S236" s="195">
        <f t="shared" si="21"/>
        <v>1.5357999999999998</v>
      </c>
      <c r="T236" s="195" t="str">
        <f t="shared" si="22"/>
        <v/>
      </c>
      <c r="U236" s="195" t="str">
        <f t="shared" si="23"/>
        <v/>
      </c>
      <c r="V236" s="195">
        <f t="shared" si="24"/>
        <v>0.78269289572928336</v>
      </c>
      <c r="W236">
        <f t="shared" si="19"/>
        <v>51</v>
      </c>
      <c r="X236" s="195" t="str">
        <f t="shared" si="25"/>
        <v/>
      </c>
      <c r="Y236" s="195" t="str">
        <f t="shared" si="26"/>
        <v/>
      </c>
      <c r="Z236" s="255" t="str">
        <f>IF(ISNUMBER(SEARCH("C",'WetLitterbags placem_collection'!W163)),"YES","NO")</f>
        <v>NO</v>
      </c>
      <c r="AA236" s="255" t="str">
        <f>IF(ISNUMBER(SEARCH("H", 'WetLitterbags placem_collection'!W163)),"YES","NO")</f>
        <v>NO</v>
      </c>
      <c r="AB236" s="255" t="str">
        <f>IF(ISNUMBER(SEARCH("R", 'WetLitterbags placem_collection'!W163)),"YES","NO")</f>
        <v>NO</v>
      </c>
      <c r="AC236" s="255" t="str">
        <f>IF(ISNUMBER(SEARCH("C", 'WetLitterbags placem_collection'!V163)),"YES","NO")</f>
        <v>NO</v>
      </c>
      <c r="AD236" s="255" t="str">
        <f>IF(ISNUMBER(SEARCH("H", 'WetLitterbags placem_collection'!V163)),"YES","NO")</f>
        <v>NO</v>
      </c>
      <c r="AE236" s="255" t="str">
        <f>IF(ISNUMBER(SEARCH("R", 'WetLitterbags placem_collection'!V163)),"YES","NO")</f>
        <v>NO</v>
      </c>
    </row>
    <row r="237" spans="2:31">
      <c r="B237" t="str">
        <f>'Final data_for_R_analysis_Wetse'!A163</f>
        <v>Wet</v>
      </c>
      <c r="C237" s="263">
        <f>'Final data_for_R_analysis_Wetse'!B163</f>
        <v>162</v>
      </c>
      <c r="D237" t="s">
        <v>3851</v>
      </c>
      <c r="E237" t="s">
        <v>22</v>
      </c>
      <c r="F237" s="386">
        <v>2</v>
      </c>
      <c r="G237" s="16">
        <f>'WetLitterbags placem_collection'!E164</f>
        <v>42763</v>
      </c>
      <c r="H237" t="str">
        <f>'Final data_for_R_analysis_Wetse'!J163</f>
        <v>G385</v>
      </c>
      <c r="I237" t="str">
        <f>'Final data_for_R_analysis_Wetse'!J383</f>
        <v>R202</v>
      </c>
      <c r="J237">
        <f>IFERROR(INDEX('Green_rooibos initial weight'!$C$5:$C$1749,MATCH(H237, 'Green_rooibos initial weight'!$A$5:$A$1749,0)),"")</f>
        <v>1.962</v>
      </c>
      <c r="K237">
        <f>IFERROR(INDEX('Green_rooibos initial weight'!$C$5:$C$1749,MATCH(I237, 'Green_rooibos initial weight'!$A$5:$A$1749,0)),"")</f>
        <v>2.298</v>
      </c>
      <c r="L237" s="195">
        <f t="shared" si="20"/>
        <v>1.7121999999999999</v>
      </c>
      <c r="M237" s="195">
        <f>AVERAGE(Ashed_controlls!$K$2:$K$11)</f>
        <v>5.5147656768714146</v>
      </c>
      <c r="N237" s="195">
        <f t="shared" si="18"/>
        <v>2.0482</v>
      </c>
      <c r="O237" s="16">
        <f>IF('WetLitterbags placem_collection'!G164="N.A","",'WetLitterbags placem_collection'!G164)</f>
        <v>42814</v>
      </c>
      <c r="P237" s="195">
        <f>IF(IFERROR(INDEX('Both teabags AfterWet'!$C$3:$C$841,MATCH(H237,'Both teabags AfterWet'!$A$3:$A$841,0)),"")="N.A","",(IFERROR(INDEX('Both teabags AfterWet'!$C$3:$C$841,MATCH(H237,'Both teabags AfterWet'!$A$3:$A$841,0)),"")))</f>
        <v>0.62280000000000002</v>
      </c>
      <c r="Q237" s="195">
        <f>IFERROR(INDEX('Both teabags AfterWet'!$C$3:$C$841,MATCH(I237,'Both teabags AfterWet'!$A$3:$A$841,0)),"")</f>
        <v>0.52</v>
      </c>
      <c r="R237" s="195">
        <f t="shared" si="21"/>
        <v>0.47220000000000001</v>
      </c>
      <c r="S237" s="195">
        <f t="shared" si="21"/>
        <v>0.36940000000000001</v>
      </c>
      <c r="T237" s="195">
        <f t="shared" si="22"/>
        <v>0.72421446092746167</v>
      </c>
      <c r="U237" s="195">
        <f t="shared" si="23"/>
        <v>0.47478192687881104</v>
      </c>
      <c r="V237" s="195">
        <f t="shared" si="24"/>
        <v>0.18035348110536081</v>
      </c>
      <c r="W237">
        <f t="shared" si="19"/>
        <v>51</v>
      </c>
      <c r="X237" s="195">
        <f t="shared" si="25"/>
        <v>0.13988781362534242</v>
      </c>
      <c r="Y237" s="195" t="str">
        <f t="shared" si="26"/>
        <v/>
      </c>
      <c r="Z237" s="255" t="str">
        <f>IF(ISNUMBER(SEARCH("C",'WetLitterbags placem_collection'!W164)),"YES","NO")</f>
        <v>NO</v>
      </c>
      <c r="AA237" s="255" t="str">
        <f>IF(ISNUMBER(SEARCH("H", 'WetLitterbags placem_collection'!W164)),"YES","NO")</f>
        <v>YES</v>
      </c>
      <c r="AB237" s="255" t="str">
        <f>IF(ISNUMBER(SEARCH("R", 'WetLitterbags placem_collection'!W164)),"YES","NO")</f>
        <v>NO</v>
      </c>
      <c r="AC237" s="255" t="str">
        <f>IF(ISNUMBER(SEARCH("C", 'WetLitterbags placem_collection'!V164)),"YES","NO")</f>
        <v>NO</v>
      </c>
      <c r="AD237" s="255" t="str">
        <f>IF(ISNUMBER(SEARCH("H", 'WetLitterbags placem_collection'!V164)),"YES","NO")</f>
        <v>NO</v>
      </c>
      <c r="AE237" s="255" t="str">
        <f>IF(ISNUMBER(SEARCH("R", 'WetLitterbags placem_collection'!V164)),"YES","NO")</f>
        <v>NO</v>
      </c>
    </row>
    <row r="238" spans="2:31">
      <c r="B238" t="str">
        <f>'Final data_for_R_analysis_Wetse'!A164</f>
        <v>Wet</v>
      </c>
      <c r="C238" s="263">
        <f>'Final data_for_R_analysis_Wetse'!B164</f>
        <v>163</v>
      </c>
      <c r="D238" t="s">
        <v>3851</v>
      </c>
      <c r="E238" t="s">
        <v>22</v>
      </c>
      <c r="F238" s="386">
        <v>3</v>
      </c>
      <c r="G238" s="16">
        <f>'WetLitterbags placem_collection'!E165</f>
        <v>42763</v>
      </c>
      <c r="H238" t="str">
        <f>'Final data_for_R_analysis_Wetse'!J164</f>
        <v>G202</v>
      </c>
      <c r="I238" t="str">
        <f>'Final data_for_R_analysis_Wetse'!J384</f>
        <v>R96</v>
      </c>
      <c r="J238">
        <f>IFERROR(INDEX('Green_rooibos initial weight'!$C$5:$C$1749,MATCH(H238, 'Green_rooibos initial weight'!$A$5:$A$1749,0)),"")</f>
        <v>1.986</v>
      </c>
      <c r="K238">
        <f>IFERROR(INDEX('Green_rooibos initial weight'!$C$5:$C$1749,MATCH(I238, 'Green_rooibos initial weight'!$A$5:$A$1749,0)),"")</f>
        <v>2.2309999999999999</v>
      </c>
      <c r="L238" s="195">
        <f t="shared" si="20"/>
        <v>1.7362</v>
      </c>
      <c r="M238" s="195">
        <f>AVERAGE(Ashed_controlls!$K$2:$K$11)</f>
        <v>5.5147656768714146</v>
      </c>
      <c r="N238" s="195">
        <f t="shared" si="18"/>
        <v>1.9811999999999999</v>
      </c>
      <c r="O238" s="16">
        <f>IF('WetLitterbags placem_collection'!G165="N.A","",'WetLitterbags placem_collection'!G165)</f>
        <v>42814</v>
      </c>
      <c r="P238" s="195">
        <f>IF(IFERROR(INDEX('Both teabags AfterWet'!$C$3:$C$841,MATCH(H238,'Both teabags AfterWet'!$A$3:$A$841,0)),"")="N.A","",(IFERROR(INDEX('Both teabags AfterWet'!$C$3:$C$841,MATCH(H238,'Both teabags AfterWet'!$A$3:$A$841,0)),"")))</f>
        <v>0.64500000000000002</v>
      </c>
      <c r="Q238" s="195">
        <f>IFERROR(INDEX('Both teabags AfterWet'!$C$3:$C$841,MATCH(I238,'Both teabags AfterWet'!$A$3:$A$841,0)),"")</f>
        <v>1.696</v>
      </c>
      <c r="R238" s="195">
        <f t="shared" si="21"/>
        <v>0.49440000000000001</v>
      </c>
      <c r="S238" s="195">
        <f t="shared" si="21"/>
        <v>1.5453999999999999</v>
      </c>
      <c r="T238" s="195">
        <f t="shared" si="22"/>
        <v>0.71524017970279918</v>
      </c>
      <c r="U238" s="195">
        <f t="shared" si="23"/>
        <v>0.46889855011394921</v>
      </c>
      <c r="V238" s="195">
        <f t="shared" si="24"/>
        <v>0.78003230365435094</v>
      </c>
      <c r="W238">
        <f t="shared" si="19"/>
        <v>51</v>
      </c>
      <c r="X238" s="195">
        <f t="shared" si="25"/>
        <v>0.15054610486603415</v>
      </c>
      <c r="Y238" s="195">
        <f t="shared" si="26"/>
        <v>1.2415907290186552E-2</v>
      </c>
      <c r="Z238" s="255" t="str">
        <f>IF(ISNUMBER(SEARCH("C",'WetLitterbags placem_collection'!W165)),"YES","NO")</f>
        <v>NO</v>
      </c>
      <c r="AA238" s="255" t="str">
        <f>IF(ISNUMBER(SEARCH("H", 'WetLitterbags placem_collection'!W165)),"YES","NO")</f>
        <v>NO</v>
      </c>
      <c r="AB238" s="255" t="str">
        <f>IF(ISNUMBER(SEARCH("R", 'WetLitterbags placem_collection'!W165)),"YES","NO")</f>
        <v>NO</v>
      </c>
      <c r="AC238" s="255" t="str">
        <f>IF(ISNUMBER(SEARCH("C", 'WetLitterbags placem_collection'!V165)),"YES","NO")</f>
        <v>NO</v>
      </c>
      <c r="AD238" s="255" t="str">
        <f>IF(ISNUMBER(SEARCH("H", 'WetLitterbags placem_collection'!V165)),"YES","NO")</f>
        <v>YES</v>
      </c>
      <c r="AE238" s="255" t="str">
        <f>IF(ISNUMBER(SEARCH("R", 'WetLitterbags placem_collection'!V165)),"YES","NO")</f>
        <v>NO</v>
      </c>
    </row>
    <row r="239" spans="2:31">
      <c r="B239" t="str">
        <f>'Final data_for_R_analysis_Wetse'!A165</f>
        <v>Wet</v>
      </c>
      <c r="C239" s="263">
        <f>'Final data_for_R_analysis_Wetse'!B165</f>
        <v>164</v>
      </c>
      <c r="D239" t="s">
        <v>3851</v>
      </c>
      <c r="E239" t="s">
        <v>22</v>
      </c>
      <c r="F239" s="387">
        <v>4</v>
      </c>
      <c r="G239" s="16">
        <f>'WetLitterbags placem_collection'!E166</f>
        <v>42763</v>
      </c>
      <c r="H239" t="str">
        <f>'Final data_for_R_analysis_Wetse'!J165</f>
        <v>G686</v>
      </c>
      <c r="I239" t="str">
        <f>'Final data_for_R_analysis_Wetse'!J385</f>
        <v>R317</v>
      </c>
      <c r="J239">
        <f>IFERROR(INDEX('Green_rooibos initial weight'!$C$5:$C$1749,MATCH(H239, 'Green_rooibos initial weight'!$A$5:$A$1749,0)),"")</f>
        <v>1.9510000000000001</v>
      </c>
      <c r="K239">
        <f>IFERROR(INDEX('Green_rooibos initial weight'!$C$5:$C$1749,MATCH(I239, 'Green_rooibos initial weight'!$A$5:$A$1749,0)),"")</f>
        <v>2.2240000000000002</v>
      </c>
      <c r="L239" s="195">
        <f t="shared" si="20"/>
        <v>1.7012</v>
      </c>
      <c r="M239" s="195">
        <f>AVERAGE(Ashed_controlls!$K$2:$K$11)</f>
        <v>5.5147656768714146</v>
      </c>
      <c r="N239" s="195">
        <f t="shared" si="18"/>
        <v>1.9742000000000002</v>
      </c>
      <c r="O239" s="16">
        <f>IF('WetLitterbags placem_collection'!G166="N.A","",'WetLitterbags placem_collection'!G166)</f>
        <v>42814</v>
      </c>
      <c r="P239" s="195">
        <f>IF(IFERROR(INDEX('Both teabags AfterWet'!$C$3:$C$841,MATCH(H239,'Both teabags AfterWet'!$A$3:$A$841,0)),"")="N.A","",(IFERROR(INDEX('Both teabags AfterWet'!$C$3:$C$841,MATCH(H239,'Both teabags AfterWet'!$A$3:$A$841,0)),"")))</f>
        <v>0.628</v>
      </c>
      <c r="Q239" s="195">
        <f>IFERROR(INDEX('Both teabags AfterWet'!$C$3:$C$841,MATCH(I239,'Both teabags AfterWet'!$A$3:$A$841,0)),"")</f>
        <v>1.7210000000000001</v>
      </c>
      <c r="R239" s="195">
        <f t="shared" si="21"/>
        <v>0.47739999999999999</v>
      </c>
      <c r="S239" s="195">
        <f t="shared" si="21"/>
        <v>1.5704</v>
      </c>
      <c r="T239" s="195">
        <f t="shared" si="22"/>
        <v>0.71937455913472848</v>
      </c>
      <c r="U239" s="195">
        <f t="shared" si="23"/>
        <v>0.47160897463464391</v>
      </c>
      <c r="V239" s="195">
        <f t="shared" si="24"/>
        <v>0.79546145274035041</v>
      </c>
      <c r="W239">
        <f t="shared" si="19"/>
        <v>51</v>
      </c>
      <c r="X239" s="195">
        <f t="shared" si="25"/>
        <v>0.14563591551694954</v>
      </c>
      <c r="Y239" s="195">
        <f t="shared" si="26"/>
        <v>1.1149760825637843E-2</v>
      </c>
      <c r="Z239" s="255" t="str">
        <f>IF(ISNUMBER(SEARCH("C",'WetLitterbags placem_collection'!W166)),"YES","NO")</f>
        <v>NO</v>
      </c>
      <c r="AA239" s="255" t="str">
        <f>IF(ISNUMBER(SEARCH("H", 'WetLitterbags placem_collection'!W166)),"YES","NO")</f>
        <v>NO</v>
      </c>
      <c r="AB239" s="255" t="str">
        <f>IF(ISNUMBER(SEARCH("R", 'WetLitterbags placem_collection'!W166)),"YES","NO")</f>
        <v>NO</v>
      </c>
      <c r="AC239" s="255" t="str">
        <f>IF(ISNUMBER(SEARCH("C", 'WetLitterbags placem_collection'!V166)),"YES","NO")</f>
        <v>NO</v>
      </c>
      <c r="AD239" s="255" t="str">
        <f>IF(ISNUMBER(SEARCH("H", 'WetLitterbags placem_collection'!V166)),"YES","NO")</f>
        <v>NO</v>
      </c>
      <c r="AE239" s="255" t="str">
        <f>IF(ISNUMBER(SEARCH("R", 'WetLitterbags placem_collection'!V166)),"YES","NO")</f>
        <v>NO</v>
      </c>
    </row>
    <row r="240" spans="2:31">
      <c r="B240" t="str">
        <f>'Final data_for_R_analysis_Wetse'!A166</f>
        <v>Wet</v>
      </c>
      <c r="C240" s="263">
        <f>'Final data_for_R_analysis_Wetse'!B166</f>
        <v>165</v>
      </c>
      <c r="D240" t="s">
        <v>3851</v>
      </c>
      <c r="E240" t="s">
        <v>22</v>
      </c>
      <c r="F240" s="387">
        <v>5</v>
      </c>
      <c r="G240" s="16">
        <f>'WetLitterbags placem_collection'!E167</f>
        <v>42763</v>
      </c>
      <c r="H240" t="str">
        <f>'Final data_for_R_analysis_Wetse'!J166</f>
        <v>G368</v>
      </c>
      <c r="I240" t="str">
        <f>'Final data_for_R_analysis_Wetse'!J386</f>
        <v>R331</v>
      </c>
      <c r="J240">
        <f>IFERROR(INDEX('Green_rooibos initial weight'!$C$5:$C$1749,MATCH(H240, 'Green_rooibos initial weight'!$A$5:$A$1749,0)),"")</f>
        <v>2.1709999999999998</v>
      </c>
      <c r="K240">
        <f>IFERROR(INDEX('Green_rooibos initial weight'!$C$5:$C$1749,MATCH(I240, 'Green_rooibos initial weight'!$A$5:$A$1749,0)),"")</f>
        <v>2.2410000000000001</v>
      </c>
      <c r="L240" s="195">
        <f t="shared" si="20"/>
        <v>1.9211999999999998</v>
      </c>
      <c r="M240" s="195">
        <f>AVERAGE(Ashed_controlls!$K$2:$K$11)</f>
        <v>5.5147656768714146</v>
      </c>
      <c r="N240" s="195">
        <f t="shared" si="18"/>
        <v>1.9912000000000001</v>
      </c>
      <c r="O240" s="16">
        <f>IF('WetLitterbags placem_collection'!G167="N.A","",'WetLitterbags placem_collection'!G167)</f>
        <v>42814</v>
      </c>
      <c r="P240" s="195">
        <f>IF(IFERROR(INDEX('Both teabags AfterWet'!$C$3:$C$841,MATCH(H240,'Both teabags AfterWet'!$A$3:$A$841,0)),"")="N.A","",(IFERROR(INDEX('Both teabags AfterWet'!$C$3:$C$841,MATCH(H240,'Both teabags AfterWet'!$A$3:$A$841,0)),"")))</f>
        <v>0.72699999999999998</v>
      </c>
      <c r="Q240" s="195">
        <f>IFERROR(INDEX('Both teabags AfterWet'!$C$3:$C$841,MATCH(I240,'Both teabags AfterWet'!$A$3:$A$841,0)),"")</f>
        <v>1.724</v>
      </c>
      <c r="R240" s="195">
        <f t="shared" si="21"/>
        <v>0.57640000000000002</v>
      </c>
      <c r="S240" s="195">
        <f t="shared" si="21"/>
        <v>1.5733999999999999</v>
      </c>
      <c r="T240" s="195">
        <f t="shared" si="22"/>
        <v>0.69997917967936707</v>
      </c>
      <c r="U240" s="195">
        <f t="shared" si="23"/>
        <v>0.45889371399407441</v>
      </c>
      <c r="V240" s="195">
        <f t="shared" si="24"/>
        <v>0.79017677782241857</v>
      </c>
      <c r="W240">
        <f t="shared" si="19"/>
        <v>51</v>
      </c>
      <c r="X240" s="195">
        <f t="shared" si="25"/>
        <v>0.16867080798174927</v>
      </c>
      <c r="Y240" s="195">
        <f t="shared" si="26"/>
        <v>1.198201308345986E-2</v>
      </c>
      <c r="Z240" s="255" t="str">
        <f>IF(ISNUMBER(SEARCH("C",'WetLitterbags placem_collection'!W167)),"YES","NO")</f>
        <v>NO</v>
      </c>
      <c r="AA240" s="255" t="str">
        <f>IF(ISNUMBER(SEARCH("H", 'WetLitterbags placem_collection'!W167)),"YES","NO")</f>
        <v>YES</v>
      </c>
      <c r="AB240" s="255" t="str">
        <f>IF(ISNUMBER(SEARCH("R", 'WetLitterbags placem_collection'!W167)),"YES","NO")</f>
        <v>NO</v>
      </c>
      <c r="AC240" s="255" t="str">
        <f>IF(ISNUMBER(SEARCH("C", 'WetLitterbags placem_collection'!V167)),"YES","NO")</f>
        <v>NO</v>
      </c>
      <c r="AD240" s="255" t="str">
        <f>IF(ISNUMBER(SEARCH("H", 'WetLitterbags placem_collection'!V167)),"YES","NO")</f>
        <v>NO</v>
      </c>
      <c r="AE240" s="255" t="str">
        <f>IF(ISNUMBER(SEARCH("R", 'WetLitterbags placem_collection'!V167)),"YES","NO")</f>
        <v>NO</v>
      </c>
    </row>
    <row r="241" spans="2:31">
      <c r="B241" t="str">
        <f>'Final data_for_R_analysis_Wetse'!A167</f>
        <v>Wet</v>
      </c>
      <c r="C241" s="263">
        <f>'Final data_for_R_analysis_Wetse'!B167</f>
        <v>166</v>
      </c>
      <c r="D241" t="s">
        <v>3851</v>
      </c>
      <c r="E241" t="s">
        <v>22</v>
      </c>
      <c r="F241" s="387">
        <v>6</v>
      </c>
      <c r="G241" s="16">
        <f>'WetLitterbags placem_collection'!E168</f>
        <v>42763</v>
      </c>
      <c r="H241" t="str">
        <f>'Final data_for_R_analysis_Wetse'!J167</f>
        <v>G334</v>
      </c>
      <c r="I241" t="str">
        <f>'Final data_for_R_analysis_Wetse'!J387</f>
        <v>R287</v>
      </c>
      <c r="J241">
        <f>IFERROR(INDEX('Green_rooibos initial weight'!$C$5:$C$1749,MATCH(H241, 'Green_rooibos initial weight'!$A$5:$A$1749,0)),"")</f>
        <v>2.0710000000000002</v>
      </c>
      <c r="K241">
        <f>IFERROR(INDEX('Green_rooibos initial weight'!$C$5:$C$1749,MATCH(I241, 'Green_rooibos initial weight'!$A$5:$A$1749,0)),"")</f>
        <v>2.1960000000000002</v>
      </c>
      <c r="L241" s="195">
        <f t="shared" si="20"/>
        <v>1.8212000000000002</v>
      </c>
      <c r="M241" s="195">
        <f>AVERAGE(Ashed_controlls!$K$2:$K$11)</f>
        <v>5.5147656768714146</v>
      </c>
      <c r="N241" s="195">
        <f t="shared" si="18"/>
        <v>1.9462000000000002</v>
      </c>
      <c r="O241" s="16">
        <f>IF('WetLitterbags placem_collection'!G168="N.A","",'WetLitterbags placem_collection'!G168)</f>
        <v>42814</v>
      </c>
      <c r="P241" s="195">
        <f>IF(IFERROR(INDEX('Both teabags AfterWet'!$C$3:$C$841,MATCH(H241,'Both teabags AfterWet'!$A$3:$A$841,0)),"")="N.A","",(IFERROR(INDEX('Both teabags AfterWet'!$C$3:$C$841,MATCH(H241,'Both teabags AfterWet'!$A$3:$A$841,0)),"")))</f>
        <v>0.80800000000000005</v>
      </c>
      <c r="Q241" s="195">
        <f>IFERROR(INDEX('Both teabags AfterWet'!$C$3:$C$841,MATCH(I241,'Both teabags AfterWet'!$A$3:$A$841,0)),"")</f>
        <v>1.6496999999999999</v>
      </c>
      <c r="R241" s="195">
        <f t="shared" si="21"/>
        <v>0.65739999999999998</v>
      </c>
      <c r="S241" s="195">
        <f t="shared" si="21"/>
        <v>1.4990999999999999</v>
      </c>
      <c r="T241" s="195">
        <f t="shared" si="22"/>
        <v>0.63902921150889525</v>
      </c>
      <c r="U241" s="195">
        <f t="shared" si="23"/>
        <v>0.41893601514597417</v>
      </c>
      <c r="V241" s="195">
        <f t="shared" si="24"/>
        <v>0.77027027027027017</v>
      </c>
      <c r="W241">
        <f t="shared" si="19"/>
        <v>51</v>
      </c>
      <c r="X241" s="195">
        <f t="shared" si="25"/>
        <v>0.24105794357613386</v>
      </c>
      <c r="Y241" s="195">
        <f t="shared" si="26"/>
        <v>1.5585888680329124E-2</v>
      </c>
      <c r="Z241" s="255" t="str">
        <f>IF(ISNUMBER(SEARCH("C",'WetLitterbags placem_collection'!W168)),"YES","NO")</f>
        <v>NO</v>
      </c>
      <c r="AA241" s="255" t="str">
        <f>IF(ISNUMBER(SEARCH("H", 'WetLitterbags placem_collection'!W168)),"YES","NO")</f>
        <v>NO</v>
      </c>
      <c r="AB241" s="255" t="str">
        <f>IF(ISNUMBER(SEARCH("R", 'WetLitterbags placem_collection'!W168)),"YES","NO")</f>
        <v>NO</v>
      </c>
      <c r="AC241" s="255" t="str">
        <f>IF(ISNUMBER(SEARCH("C", 'WetLitterbags placem_collection'!V168)),"YES","NO")</f>
        <v>NO</v>
      </c>
      <c r="AD241" s="255" t="str">
        <f>IF(ISNUMBER(SEARCH("H", 'WetLitterbags placem_collection'!V168)),"YES","NO")</f>
        <v>NO</v>
      </c>
      <c r="AE241" s="255" t="str">
        <f>IF(ISNUMBER(SEARCH("R", 'WetLitterbags placem_collection'!V168)),"YES","NO")</f>
        <v>NO</v>
      </c>
    </row>
    <row r="242" spans="2:31">
      <c r="B242" t="str">
        <f>'Final data_for_R_analysis_Wetse'!A168</f>
        <v>Wet</v>
      </c>
      <c r="C242" s="263">
        <f>'Final data_for_R_analysis_Wetse'!B168</f>
        <v>167</v>
      </c>
      <c r="D242" t="s">
        <v>3851</v>
      </c>
      <c r="E242" t="s">
        <v>22</v>
      </c>
      <c r="F242" s="387">
        <v>7</v>
      </c>
      <c r="G242" s="16">
        <f>'WetLitterbags placem_collection'!E169</f>
        <v>42763</v>
      </c>
      <c r="H242" t="str">
        <f>'Final data_for_R_analysis_Wetse'!J168</f>
        <v>G429</v>
      </c>
      <c r="I242" t="str">
        <f>'Final data_for_R_analysis_Wetse'!J388</f>
        <v>R255</v>
      </c>
      <c r="J242">
        <f>IFERROR(INDEX('Green_rooibos initial weight'!$C$5:$C$1749,MATCH(H242, 'Green_rooibos initial weight'!$A$5:$A$1749,0)),"")</f>
        <v>1.9319999999999999</v>
      </c>
      <c r="K242">
        <f>IFERROR(INDEX('Green_rooibos initial weight'!$C$5:$C$1749,MATCH(I242, 'Green_rooibos initial weight'!$A$5:$A$1749,0)),"")</f>
        <v>2.1859999999999999</v>
      </c>
      <c r="L242" s="195">
        <f t="shared" si="20"/>
        <v>1.6821999999999999</v>
      </c>
      <c r="M242" s="195">
        <f>AVERAGE(Ashed_controlls!$K$2:$K$11)</f>
        <v>5.5147656768714146</v>
      </c>
      <c r="N242" s="195">
        <f t="shared" si="18"/>
        <v>1.9361999999999999</v>
      </c>
      <c r="O242" s="16">
        <f>IF('WetLitterbags placem_collection'!G169="N.A","",'WetLitterbags placem_collection'!G169)</f>
        <v>42814</v>
      </c>
      <c r="P242" s="195">
        <f>IF(IFERROR(INDEX('Both teabags AfterWet'!$C$3:$C$841,MATCH(H242,'Both teabags AfterWet'!$A$3:$A$841,0)),"")="N.A","",(IFERROR(INDEX('Both teabags AfterWet'!$C$3:$C$841,MATCH(H242,'Both teabags AfterWet'!$A$3:$A$841,0)),"")))</f>
        <v>0.64529999999999998</v>
      </c>
      <c r="Q242" s="195">
        <f>IFERROR(INDEX('Both teabags AfterWet'!$C$3:$C$841,MATCH(I242,'Both teabags AfterWet'!$A$3:$A$841,0)),"")</f>
        <v>1.7073</v>
      </c>
      <c r="R242" s="195">
        <f t="shared" si="21"/>
        <v>0.49469999999999997</v>
      </c>
      <c r="S242" s="195">
        <f t="shared" si="21"/>
        <v>1.5567</v>
      </c>
      <c r="T242" s="195">
        <f t="shared" si="22"/>
        <v>0.70592081797645934</v>
      </c>
      <c r="U242" s="195">
        <f t="shared" si="23"/>
        <v>0.46278894480166938</v>
      </c>
      <c r="V242" s="195">
        <f t="shared" si="24"/>
        <v>0.80399752091726062</v>
      </c>
      <c r="W242">
        <f t="shared" si="19"/>
        <v>51</v>
      </c>
      <c r="X242" s="195">
        <f t="shared" si="25"/>
        <v>0.16161423043175849</v>
      </c>
      <c r="Y242" s="195">
        <f t="shared" si="26"/>
        <v>1.08004416241673E-2</v>
      </c>
      <c r="Z242" s="255" t="str">
        <f>IF(ISNUMBER(SEARCH("C",'WetLitterbags placem_collection'!W169)),"YES","NO")</f>
        <v>NO</v>
      </c>
      <c r="AA242" s="255" t="str">
        <f>IF(ISNUMBER(SEARCH("H", 'WetLitterbags placem_collection'!W169)),"YES","NO")</f>
        <v>NO</v>
      </c>
      <c r="AB242" s="255" t="str">
        <f>IF(ISNUMBER(SEARCH("R", 'WetLitterbags placem_collection'!W169)),"YES","NO")</f>
        <v>NO</v>
      </c>
      <c r="AC242" s="255" t="str">
        <f>IF(ISNUMBER(SEARCH("C", 'WetLitterbags placem_collection'!V169)),"YES","NO")</f>
        <v>NO</v>
      </c>
      <c r="AD242" s="255" t="str">
        <f>IF(ISNUMBER(SEARCH("H", 'WetLitterbags placem_collection'!V169)),"YES","NO")</f>
        <v>NO</v>
      </c>
      <c r="AE242" s="255" t="str">
        <f>IF(ISNUMBER(SEARCH("R", 'WetLitterbags placem_collection'!V169)),"YES","NO")</f>
        <v>NO</v>
      </c>
    </row>
    <row r="243" spans="2:31">
      <c r="B243" t="str">
        <f>'Final data_for_R_analysis_Wetse'!A169</f>
        <v>Wet</v>
      </c>
      <c r="C243" s="263">
        <f>'Final data_for_R_analysis_Wetse'!B169</f>
        <v>168</v>
      </c>
      <c r="D243" t="s">
        <v>3851</v>
      </c>
      <c r="E243" t="s">
        <v>22</v>
      </c>
      <c r="F243" s="387">
        <v>8</v>
      </c>
      <c r="G243" s="16">
        <f>'WetLitterbags placem_collection'!E170</f>
        <v>42763</v>
      </c>
      <c r="H243" t="str">
        <f>'Final data_for_R_analysis_Wetse'!J169</f>
        <v>G461</v>
      </c>
      <c r="I243" t="str">
        <f>'Final data_for_R_analysis_Wetse'!J389</f>
        <v>R534</v>
      </c>
      <c r="J243">
        <f>IFERROR(INDEX('Green_rooibos initial weight'!$C$5:$C$1749,MATCH(H243, 'Green_rooibos initial weight'!$A$5:$A$1749,0)),"")</f>
        <v>2.1030000000000002</v>
      </c>
      <c r="K243">
        <f>IFERROR(INDEX('Green_rooibos initial weight'!$C$5:$C$1749,MATCH(I243, 'Green_rooibos initial weight'!$A$5:$A$1749,0)),"")</f>
        <v>2.17</v>
      </c>
      <c r="L243" s="195">
        <f t="shared" si="20"/>
        <v>1.8532000000000002</v>
      </c>
      <c r="M243" s="195">
        <f>AVERAGE(Ashed_controlls!$K$2:$K$11)</f>
        <v>5.5147656768714146</v>
      </c>
      <c r="N243" s="195">
        <f t="shared" si="18"/>
        <v>1.9201999999999999</v>
      </c>
      <c r="O243" s="16">
        <f>IF('WetLitterbags placem_collection'!G170="N.A","",'WetLitterbags placem_collection'!G170)</f>
        <v>42814</v>
      </c>
      <c r="P243" s="195">
        <f>IF(IFERROR(INDEX('Both teabags AfterWet'!$C$3:$C$841,MATCH(H243,'Both teabags AfterWet'!$A$3:$A$841,0)),"")="N.A","",(IFERROR(INDEX('Both teabags AfterWet'!$C$3:$C$841,MATCH(H243,'Both teabags AfterWet'!$A$3:$A$841,0)),"")))</f>
        <v>0.79400000000000004</v>
      </c>
      <c r="Q243" s="195">
        <f>IFERROR(INDEX('Both teabags AfterWet'!$C$3:$C$841,MATCH(I243,'Both teabags AfterWet'!$A$3:$A$841,0)),"")</f>
        <v>1.722</v>
      </c>
      <c r="R243" s="195">
        <f t="shared" si="21"/>
        <v>0.64339999999999997</v>
      </c>
      <c r="S243" s="195">
        <f t="shared" si="21"/>
        <v>1.5713999999999999</v>
      </c>
      <c r="T243" s="195">
        <f t="shared" si="22"/>
        <v>0.65281674940643208</v>
      </c>
      <c r="U243" s="195">
        <f t="shared" si="23"/>
        <v>0.42797487609542817</v>
      </c>
      <c r="V243" s="195">
        <f t="shared" si="24"/>
        <v>0.81835225497344022</v>
      </c>
      <c r="W243">
        <f t="shared" si="19"/>
        <v>51</v>
      </c>
      <c r="X243" s="195">
        <f t="shared" si="25"/>
        <v>0.22468319547929683</v>
      </c>
      <c r="Y243" s="195">
        <f t="shared" si="26"/>
        <v>1.0831451755378356E-2</v>
      </c>
      <c r="Z243" s="255" t="str">
        <f>IF(ISNUMBER(SEARCH("C",'WetLitterbags placem_collection'!W170)),"YES","NO")</f>
        <v>NO</v>
      </c>
      <c r="AA243" s="255" t="str">
        <f>IF(ISNUMBER(SEARCH("H", 'WetLitterbags placem_collection'!W170)),"YES","NO")</f>
        <v>NO</v>
      </c>
      <c r="AB243" s="255" t="str">
        <f>IF(ISNUMBER(SEARCH("R", 'WetLitterbags placem_collection'!W170)),"YES","NO")</f>
        <v>NO</v>
      </c>
      <c r="AC243" s="255" t="str">
        <f>IF(ISNUMBER(SEARCH("C", 'WetLitterbags placem_collection'!V170)),"YES","NO")</f>
        <v>YES</v>
      </c>
      <c r="AD243" s="255" t="str">
        <f>IF(ISNUMBER(SEARCH("H", 'WetLitterbags placem_collection'!V170)),"YES","NO")</f>
        <v>YES</v>
      </c>
      <c r="AE243" s="255" t="str">
        <f>IF(ISNUMBER(SEARCH("R", 'WetLitterbags placem_collection'!V170)),"YES","NO")</f>
        <v>NO</v>
      </c>
    </row>
    <row r="244" spans="2:31">
      <c r="B244" t="str">
        <f>'Final data_for_R_analysis_Wetse'!A170</f>
        <v>Wet</v>
      </c>
      <c r="C244" s="263">
        <f>'Final data_for_R_analysis_Wetse'!B170</f>
        <v>169</v>
      </c>
      <c r="D244" t="s">
        <v>3853</v>
      </c>
      <c r="E244" t="s">
        <v>22</v>
      </c>
      <c r="F244" s="386">
        <v>1</v>
      </c>
      <c r="G244" s="16">
        <f>'WetLitterbags placem_collection'!E171</f>
        <v>42763</v>
      </c>
      <c r="H244" t="str">
        <f>'Final data_for_R_analysis_Wetse'!J170</f>
        <v>G425</v>
      </c>
      <c r="I244" t="str">
        <f>'Final data_for_R_analysis_Wetse'!J390</f>
        <v>R453</v>
      </c>
      <c r="J244">
        <f>IFERROR(INDEX('Green_rooibos initial weight'!$C$5:$C$1749,MATCH(H244, 'Green_rooibos initial weight'!$A$5:$A$1749,0)),"")</f>
        <v>1.9750000000000001</v>
      </c>
      <c r="K244">
        <f>IFERROR(INDEX('Green_rooibos initial weight'!$C$5:$C$1749,MATCH(I244, 'Green_rooibos initial weight'!$A$5:$A$1749,0)),"")</f>
        <v>2.165</v>
      </c>
      <c r="L244" s="195">
        <f t="shared" si="20"/>
        <v>1.7252000000000001</v>
      </c>
      <c r="M244" s="195">
        <f>AVERAGE(Ashed_controlls!$K$2:$K$11)</f>
        <v>5.5147656768714146</v>
      </c>
      <c r="N244" s="195">
        <f t="shared" si="18"/>
        <v>1.9152</v>
      </c>
      <c r="O244" s="16">
        <f>IF('WetLitterbags placem_collection'!G171="N.A","",'WetLitterbags placem_collection'!G171)</f>
        <v>42814</v>
      </c>
      <c r="P244" s="195">
        <f>IF(IFERROR(INDEX('Both teabags AfterWet'!$C$3:$C$841,MATCH(H244,'Both teabags AfterWet'!$A$3:$A$841,0)),"")="N.A","",(IFERROR(INDEX('Both teabags AfterWet'!$C$3:$C$841,MATCH(H244,'Both teabags AfterWet'!$A$3:$A$841,0)),"")))</f>
        <v>0.65800000000000003</v>
      </c>
      <c r="Q244" s="195">
        <f>IFERROR(INDEX('Both teabags AfterWet'!$C$3:$C$841,MATCH(I244,'Both teabags AfterWet'!$A$3:$A$841,0)),"")</f>
        <v>0.14299999999999999</v>
      </c>
      <c r="R244" s="195">
        <f t="shared" si="21"/>
        <v>0.50740000000000007</v>
      </c>
      <c r="S244" s="195">
        <f t="shared" si="21"/>
        <v>-7.6000000000000234E-3</v>
      </c>
      <c r="T244" s="195">
        <f t="shared" si="22"/>
        <v>0.70588917226988168</v>
      </c>
      <c r="U244" s="195">
        <f t="shared" si="23"/>
        <v>0.46276819844771344</v>
      </c>
      <c r="V244" s="195">
        <f t="shared" si="24"/>
        <v>-3.9682539682539802E-3</v>
      </c>
      <c r="W244">
        <f t="shared" si="19"/>
        <v>51</v>
      </c>
      <c r="X244" s="195">
        <f t="shared" si="25"/>
        <v>0.16165181440631626</v>
      </c>
      <c r="Y244" s="195" t="str">
        <f t="shared" si="26"/>
        <v/>
      </c>
      <c r="Z244" s="255" t="str">
        <f>IF(ISNUMBER(SEARCH("C",'WetLitterbags placem_collection'!W171)),"YES","NO")</f>
        <v>YES</v>
      </c>
      <c r="AA244" s="255" t="str">
        <f>IF(ISNUMBER(SEARCH("H", 'WetLitterbags placem_collection'!W171)),"YES","NO")</f>
        <v>YES</v>
      </c>
      <c r="AB244" s="255" t="str">
        <f>IF(ISNUMBER(SEARCH("R", 'WetLitterbags placem_collection'!W171)),"YES","NO")</f>
        <v>NO</v>
      </c>
      <c r="AC244" s="255" t="str">
        <f>IF(ISNUMBER(SEARCH("C", 'WetLitterbags placem_collection'!V171)),"YES","NO")</f>
        <v>NO</v>
      </c>
      <c r="AD244" s="255" t="str">
        <f>IF(ISNUMBER(SEARCH("H", 'WetLitterbags placem_collection'!V171)),"YES","NO")</f>
        <v>NO</v>
      </c>
      <c r="AE244" s="255" t="str">
        <f>IF(ISNUMBER(SEARCH("R", 'WetLitterbags placem_collection'!V171)),"YES","NO")</f>
        <v>NO</v>
      </c>
    </row>
    <row r="245" spans="2:31">
      <c r="B245" t="str">
        <f>'Final data_for_R_analysis_Wetse'!A171</f>
        <v>Wet</v>
      </c>
      <c r="C245" s="263">
        <f>'Final data_for_R_analysis_Wetse'!B171</f>
        <v>170</v>
      </c>
      <c r="D245" t="s">
        <v>3853</v>
      </c>
      <c r="E245" t="s">
        <v>22</v>
      </c>
      <c r="F245" s="386">
        <v>2</v>
      </c>
      <c r="G245" s="16">
        <f>'WetLitterbags placem_collection'!E172</f>
        <v>42763</v>
      </c>
      <c r="H245" t="str">
        <f>'Final data_for_R_analysis_Wetse'!J171</f>
        <v>G433</v>
      </c>
      <c r="I245" t="str">
        <f>'Final data_for_R_analysis_Wetse'!J391</f>
        <v>R330</v>
      </c>
      <c r="J245">
        <f>IFERROR(INDEX('Green_rooibos initial weight'!$C$5:$C$1749,MATCH(H245, 'Green_rooibos initial weight'!$A$5:$A$1749,0)),"")</f>
        <v>2.06</v>
      </c>
      <c r="K245">
        <f>IFERROR(INDEX('Green_rooibos initial weight'!$C$5:$C$1749,MATCH(I245, 'Green_rooibos initial weight'!$A$5:$A$1749,0)),"")</f>
        <v>2.12</v>
      </c>
      <c r="L245" s="195">
        <f t="shared" si="20"/>
        <v>1.8102</v>
      </c>
      <c r="M245" s="195">
        <f>AVERAGE(Ashed_controlls!$K$2:$K$11)</f>
        <v>5.5147656768714146</v>
      </c>
      <c r="N245" s="195">
        <f t="shared" si="18"/>
        <v>1.8702000000000001</v>
      </c>
      <c r="O245" s="16">
        <f>IF('WetLitterbags placem_collection'!G172="N.A","",'WetLitterbags placem_collection'!G172)</f>
        <v>42814</v>
      </c>
      <c r="P245" s="195">
        <f>IF(IFERROR(INDEX('Both teabags AfterWet'!$C$3:$C$841,MATCH(H245,'Both teabags AfterWet'!$A$3:$A$841,0)),"")="N.A","",(IFERROR(INDEX('Both teabags AfterWet'!$C$3:$C$841,MATCH(H245,'Both teabags AfterWet'!$A$3:$A$841,0)),"")))</f>
        <v>0.64800000000000002</v>
      </c>
      <c r="Q245" s="195">
        <f>IFERROR(INDEX('Both teabags AfterWet'!$C$3:$C$841,MATCH(I245,'Both teabags AfterWet'!$A$3:$A$841,0)),"")</f>
        <v>1.7769999999999999</v>
      </c>
      <c r="R245" s="195">
        <f t="shared" si="21"/>
        <v>0.49740000000000001</v>
      </c>
      <c r="S245" s="195">
        <f t="shared" si="21"/>
        <v>1.6263999999999998</v>
      </c>
      <c r="T245" s="195">
        <f t="shared" si="22"/>
        <v>0.72522373218428904</v>
      </c>
      <c r="U245" s="195">
        <f t="shared" si="23"/>
        <v>0.47544358689516342</v>
      </c>
      <c r="V245" s="195">
        <f t="shared" si="24"/>
        <v>0.8696396107368195</v>
      </c>
      <c r="W245">
        <f t="shared" si="19"/>
        <v>51</v>
      </c>
      <c r="X245" s="195">
        <f t="shared" si="25"/>
        <v>0.13868915417542871</v>
      </c>
      <c r="Y245" s="195">
        <f t="shared" si="26"/>
        <v>6.2835822526370278E-3</v>
      </c>
      <c r="Z245" s="255" t="str">
        <f>IF(ISNUMBER(SEARCH("C",'WetLitterbags placem_collection'!W172)),"YES","NO")</f>
        <v>NO</v>
      </c>
      <c r="AA245" s="255" t="str">
        <f>IF(ISNUMBER(SEARCH("H", 'WetLitterbags placem_collection'!W172)),"YES","NO")</f>
        <v>NO</v>
      </c>
      <c r="AB245" s="255" t="str">
        <f>IF(ISNUMBER(SEARCH("R", 'WetLitterbags placem_collection'!W172)),"YES","NO")</f>
        <v>NO</v>
      </c>
      <c r="AC245" s="255" t="str">
        <f>IF(ISNUMBER(SEARCH("C", 'WetLitterbags placem_collection'!V172)),"YES","NO")</f>
        <v>NO</v>
      </c>
      <c r="AD245" s="255" t="str">
        <f>IF(ISNUMBER(SEARCH("H", 'WetLitterbags placem_collection'!V172)),"YES","NO")</f>
        <v>NO</v>
      </c>
      <c r="AE245" s="255" t="str">
        <f>IF(ISNUMBER(SEARCH("R", 'WetLitterbags placem_collection'!V172)),"YES","NO")</f>
        <v>NO</v>
      </c>
    </row>
    <row r="246" spans="2:31">
      <c r="B246" t="str">
        <f>'Final data_for_R_analysis_Wetse'!A172</f>
        <v>Wet</v>
      </c>
      <c r="C246" s="263">
        <f>'Final data_for_R_analysis_Wetse'!B172</f>
        <v>171</v>
      </c>
      <c r="D246" t="s">
        <v>3853</v>
      </c>
      <c r="E246" t="s">
        <v>22</v>
      </c>
      <c r="F246" s="386">
        <v>3</v>
      </c>
      <c r="G246" s="16">
        <f>'WetLitterbags placem_collection'!E173</f>
        <v>42763</v>
      </c>
      <c r="H246" t="str">
        <f>'Final data_for_R_analysis_Wetse'!J172</f>
        <v>G656</v>
      </c>
      <c r="I246" t="str">
        <f>'Final data_for_R_analysis_Wetse'!J392</f>
        <v>R558</v>
      </c>
      <c r="J246">
        <f>IFERROR(INDEX('Green_rooibos initial weight'!$C$5:$C$1749,MATCH(H246, 'Green_rooibos initial weight'!$A$5:$A$1749,0)),"")</f>
        <v>2.1320000000000001</v>
      </c>
      <c r="K246">
        <f>IFERROR(INDEX('Green_rooibos initial weight'!$C$5:$C$1749,MATCH(I246, 'Green_rooibos initial weight'!$A$5:$A$1749,0)),"")</f>
        <v>2.1760000000000002</v>
      </c>
      <c r="L246" s="195">
        <f t="shared" si="20"/>
        <v>1.8822000000000001</v>
      </c>
      <c r="M246" s="195">
        <f>AVERAGE(Ashed_controlls!$K$2:$K$11)</f>
        <v>5.5147656768714146</v>
      </c>
      <c r="N246" s="195">
        <f t="shared" si="18"/>
        <v>1.9262000000000001</v>
      </c>
      <c r="O246" s="16">
        <f>IF('WetLitterbags placem_collection'!G173="N.A","",'WetLitterbags placem_collection'!G173)</f>
        <v>42814</v>
      </c>
      <c r="P246" s="195">
        <f>IF(IFERROR(INDEX('Both teabags AfterWet'!$C$3:$C$841,MATCH(H246,'Both teabags AfterWet'!$A$3:$A$841,0)),"")="N.A","",(IFERROR(INDEX('Both teabags AfterWet'!$C$3:$C$841,MATCH(H246,'Both teabags AfterWet'!$A$3:$A$841,0)),"")))</f>
        <v>0.63100000000000001</v>
      </c>
      <c r="Q246" s="195">
        <f>IFERROR(INDEX('Both teabags AfterWet'!$C$3:$C$841,MATCH(I246,'Both teabags AfterWet'!$A$3:$A$841,0)),"")</f>
        <v>1.61</v>
      </c>
      <c r="R246" s="195">
        <f t="shared" si="21"/>
        <v>0.48039999999999999</v>
      </c>
      <c r="S246" s="195">
        <f t="shared" si="21"/>
        <v>1.4594</v>
      </c>
      <c r="T246" s="195">
        <f t="shared" si="22"/>
        <v>0.74476676229943684</v>
      </c>
      <c r="U246" s="195">
        <f t="shared" si="23"/>
        <v>0.48825564464286125</v>
      </c>
      <c r="V246" s="195">
        <f t="shared" si="24"/>
        <v>0.75765756411587581</v>
      </c>
      <c r="W246">
        <f t="shared" si="19"/>
        <v>51</v>
      </c>
      <c r="X246" s="195">
        <f t="shared" si="25"/>
        <v>0.11547890463249777</v>
      </c>
      <c r="Y246" s="195">
        <f t="shared" si="26"/>
        <v>1.344824444905837E-2</v>
      </c>
      <c r="Z246" s="255" t="str">
        <f>IF(ISNUMBER(SEARCH("C",'WetLitterbags placem_collection'!W173)),"YES","NO")</f>
        <v>NO</v>
      </c>
      <c r="AA246" s="255" t="str">
        <f>IF(ISNUMBER(SEARCH("H", 'WetLitterbags placem_collection'!W173)),"YES","NO")</f>
        <v>NO</v>
      </c>
      <c r="AB246" s="255" t="str">
        <f>IF(ISNUMBER(SEARCH("R", 'WetLitterbags placem_collection'!W173)),"YES","NO")</f>
        <v>NO</v>
      </c>
      <c r="AC246" s="255" t="str">
        <f>IF(ISNUMBER(SEARCH("C", 'WetLitterbags placem_collection'!V173)),"YES","NO")</f>
        <v>NO</v>
      </c>
      <c r="AD246" s="255" t="str">
        <f>IF(ISNUMBER(SEARCH("H", 'WetLitterbags placem_collection'!V173)),"YES","NO")</f>
        <v>NO</v>
      </c>
      <c r="AE246" s="255" t="str">
        <f>IF(ISNUMBER(SEARCH("R", 'WetLitterbags placem_collection'!V173)),"YES","NO")</f>
        <v>YES</v>
      </c>
    </row>
    <row r="247" spans="2:31">
      <c r="B247" t="str">
        <f>'Final data_for_R_analysis_Wetse'!A173</f>
        <v>Wet</v>
      </c>
      <c r="C247" s="263">
        <f>'Final data_for_R_analysis_Wetse'!B173</f>
        <v>172</v>
      </c>
      <c r="D247" t="s">
        <v>3853</v>
      </c>
      <c r="E247" t="s">
        <v>22</v>
      </c>
      <c r="F247" s="387">
        <v>4</v>
      </c>
      <c r="G247" s="16">
        <f>'WetLitterbags placem_collection'!E174</f>
        <v>42763</v>
      </c>
      <c r="H247" t="str">
        <f>'Final data_for_R_analysis_Wetse'!J173</f>
        <v>G281</v>
      </c>
      <c r="I247" t="str">
        <f>'Final data_for_R_analysis_Wetse'!J393</f>
        <v>R157</v>
      </c>
      <c r="J247">
        <f>IFERROR(INDEX('Green_rooibos initial weight'!$C$5:$C$1749,MATCH(H247, 'Green_rooibos initial weight'!$A$5:$A$1749,0)),"")</f>
        <v>2.0419999999999998</v>
      </c>
      <c r="K247">
        <f>IFERROR(INDEX('Green_rooibos initial weight'!$C$5:$C$1749,MATCH(I247, 'Green_rooibos initial weight'!$A$5:$A$1749,0)),"")</f>
        <v>2.1819999999999999</v>
      </c>
      <c r="L247" s="195">
        <f t="shared" si="20"/>
        <v>1.7921999999999998</v>
      </c>
      <c r="M247" s="195">
        <f>AVERAGE(Ashed_controlls!$K$2:$K$11)</f>
        <v>5.5147656768714146</v>
      </c>
      <c r="N247" s="195">
        <f t="shared" si="18"/>
        <v>1.9321999999999999</v>
      </c>
      <c r="O247" s="16">
        <f>IF('WetLitterbags placem_collection'!G174="N.A","",'WetLitterbags placem_collection'!G174)</f>
        <v>42814</v>
      </c>
      <c r="P247" s="195">
        <f>IF(IFERROR(INDEX('Both teabags AfterWet'!$C$3:$C$841,MATCH(H247,'Both teabags AfterWet'!$A$3:$A$841,0)),"")="N.A","",(IFERROR(INDEX('Both teabags AfterWet'!$C$3:$C$841,MATCH(H247,'Both teabags AfterWet'!$A$3:$A$841,0)),"")))</f>
        <v>0.69520000000000004</v>
      </c>
      <c r="Q247" s="195">
        <f>IFERROR(INDEX('Both teabags AfterWet'!$C$3:$C$841,MATCH(I247,'Both teabags AfterWet'!$A$3:$A$841,0)),"")</f>
        <v>1.6782000000000001</v>
      </c>
      <c r="R247" s="195">
        <f t="shared" si="21"/>
        <v>0.54459999999999997</v>
      </c>
      <c r="S247" s="195">
        <f t="shared" si="21"/>
        <v>1.5276000000000001</v>
      </c>
      <c r="T247" s="195">
        <f t="shared" si="22"/>
        <v>0.69612766432317819</v>
      </c>
      <c r="U247" s="195">
        <f t="shared" si="23"/>
        <v>0.45636873005510026</v>
      </c>
      <c r="V247" s="195">
        <f t="shared" si="24"/>
        <v>0.79060138701997729</v>
      </c>
      <c r="W247">
        <f t="shared" si="19"/>
        <v>51</v>
      </c>
      <c r="X247" s="195">
        <f t="shared" si="25"/>
        <v>0.17324505424800685</v>
      </c>
      <c r="Y247" s="195">
        <f t="shared" si="26"/>
        <v>1.2039877558691417E-2</v>
      </c>
      <c r="Z247" s="255" t="str">
        <f>IF(ISNUMBER(SEARCH("C",'WetLitterbags placem_collection'!W174)),"YES","NO")</f>
        <v>NO</v>
      </c>
      <c r="AA247" s="255" t="str">
        <f>IF(ISNUMBER(SEARCH("H", 'WetLitterbags placem_collection'!W174)),"YES","NO")</f>
        <v>NO</v>
      </c>
      <c r="AB247" s="255" t="str">
        <f>IF(ISNUMBER(SEARCH("R", 'WetLitterbags placem_collection'!W174)),"YES","NO")</f>
        <v>YES</v>
      </c>
      <c r="AC247" s="255" t="str">
        <f>IF(ISNUMBER(SEARCH("C", 'WetLitterbags placem_collection'!V174)),"YES","NO")</f>
        <v>NO</v>
      </c>
      <c r="AD247" s="255" t="str">
        <f>IF(ISNUMBER(SEARCH("H", 'WetLitterbags placem_collection'!V174)),"YES","NO")</f>
        <v>NO</v>
      </c>
      <c r="AE247" s="255" t="str">
        <f>IF(ISNUMBER(SEARCH("R", 'WetLitterbags placem_collection'!V174)),"YES","NO")</f>
        <v>YES</v>
      </c>
    </row>
    <row r="248" spans="2:31">
      <c r="B248" t="str">
        <f>'Final data_for_R_analysis_Wetse'!A174</f>
        <v>Wet</v>
      </c>
      <c r="C248" s="263">
        <f>'Final data_for_R_analysis_Wetse'!B174</f>
        <v>173</v>
      </c>
      <c r="D248" t="s">
        <v>3853</v>
      </c>
      <c r="E248" t="s">
        <v>22</v>
      </c>
      <c r="F248" s="387">
        <v>5</v>
      </c>
      <c r="G248" s="16">
        <f>'WetLitterbags placem_collection'!E175</f>
        <v>42763</v>
      </c>
      <c r="H248" t="str">
        <f>'Final data_for_R_analysis_Wetse'!J174</f>
        <v>G216</v>
      </c>
      <c r="I248" t="str">
        <f>'Final data_for_R_analysis_Wetse'!J394</f>
        <v>R57</v>
      </c>
      <c r="J248">
        <f>IFERROR(INDEX('Green_rooibos initial weight'!$C$5:$C$1749,MATCH(H248, 'Green_rooibos initial weight'!$A$5:$A$1749,0)),"")</f>
        <v>2.1150000000000002</v>
      </c>
      <c r="K248">
        <f>IFERROR(INDEX('Green_rooibos initial weight'!$C$5:$C$1749,MATCH(I248, 'Green_rooibos initial weight'!$A$5:$A$1749,0)),"")</f>
        <v>2.1890000000000001</v>
      </c>
      <c r="L248" s="195">
        <f t="shared" si="20"/>
        <v>1.8652000000000002</v>
      </c>
      <c r="M248" s="195">
        <f>AVERAGE(Ashed_controlls!$K$2:$K$11)</f>
        <v>5.5147656768714146</v>
      </c>
      <c r="N248" s="195">
        <f t="shared" si="18"/>
        <v>1.9392</v>
      </c>
      <c r="O248" s="16">
        <f>IF('WetLitterbags placem_collection'!G175="N.A","",'WetLitterbags placem_collection'!G175)</f>
        <v>42814</v>
      </c>
      <c r="P248" s="195">
        <f>IF(IFERROR(INDEX('Both teabags AfterWet'!$C$3:$C$841,MATCH(H248,'Both teabags AfterWet'!$A$3:$A$841,0)),"")="N.A","",(IFERROR(INDEX('Both teabags AfterWet'!$C$3:$C$841,MATCH(H248,'Both teabags AfterWet'!$A$3:$A$841,0)),"")))</f>
        <v>0.57999999999999996</v>
      </c>
      <c r="Q248" s="195" t="str">
        <f>IFERROR(INDEX('Both teabags AfterWet'!$C$3:$C$841,MATCH(I248,'Both teabags AfterWet'!$A$3:$A$841,0)),"")</f>
        <v/>
      </c>
      <c r="R248" s="195">
        <f t="shared" si="21"/>
        <v>0.42939999999999995</v>
      </c>
      <c r="S248" s="195" t="str">
        <f t="shared" si="21"/>
        <v/>
      </c>
      <c r="T248" s="195">
        <f t="shared" si="22"/>
        <v>0.76978340124383449</v>
      </c>
      <c r="U248" s="195">
        <f t="shared" si="23"/>
        <v>0.50465610152802454</v>
      </c>
      <c r="V248" s="195" t="str">
        <f t="shared" si="24"/>
        <v/>
      </c>
      <c r="W248">
        <f t="shared" si="19"/>
        <v>51</v>
      </c>
      <c r="X248" s="195">
        <f t="shared" si="25"/>
        <v>8.5767932014448323E-2</v>
      </c>
      <c r="Y248" s="195" t="str">
        <f t="shared" si="26"/>
        <v/>
      </c>
      <c r="Z248" s="255" t="str">
        <f>IF(ISNUMBER(SEARCH("C",'WetLitterbags placem_collection'!W175)),"YES","NO")</f>
        <v>YES</v>
      </c>
      <c r="AA248" s="255" t="str">
        <f>IF(ISNUMBER(SEARCH("H", 'WetLitterbags placem_collection'!W175)),"YES","NO")</f>
        <v>YES</v>
      </c>
      <c r="AB248" s="255" t="str">
        <f>IF(ISNUMBER(SEARCH("R", 'WetLitterbags placem_collection'!W175)),"YES","NO")</f>
        <v>NO</v>
      </c>
      <c r="AC248" s="255" t="str">
        <f>IF(ISNUMBER(SEARCH("C", 'WetLitterbags placem_collection'!V175)),"YES","NO")</f>
        <v>NO</v>
      </c>
      <c r="AD248" s="255" t="str">
        <f>IF(ISNUMBER(SEARCH("H", 'WetLitterbags placem_collection'!V175)),"YES","NO")</f>
        <v>NO</v>
      </c>
      <c r="AE248" s="255" t="str">
        <f>IF(ISNUMBER(SEARCH("R", 'WetLitterbags placem_collection'!V175)),"YES","NO")</f>
        <v>YES</v>
      </c>
    </row>
    <row r="249" spans="2:31">
      <c r="B249" t="str">
        <f>'Final data_for_R_analysis_Wetse'!A175</f>
        <v>Wet</v>
      </c>
      <c r="C249" s="263">
        <f>'Final data_for_R_analysis_Wetse'!B175</f>
        <v>174</v>
      </c>
      <c r="D249" t="s">
        <v>3853</v>
      </c>
      <c r="E249" t="s">
        <v>22</v>
      </c>
      <c r="F249" s="387">
        <v>6</v>
      </c>
      <c r="G249" s="16">
        <f>'WetLitterbags placem_collection'!E176</f>
        <v>42763</v>
      </c>
      <c r="H249" t="str">
        <f>'Final data_for_R_analysis_Wetse'!J175</f>
        <v>G655</v>
      </c>
      <c r="I249" t="str">
        <f>'Final data_for_R_analysis_Wetse'!J395</f>
        <v>R307</v>
      </c>
      <c r="J249">
        <f>IFERROR(INDEX('Green_rooibos initial weight'!$C$5:$C$1749,MATCH(H249, 'Green_rooibos initial weight'!$A$5:$A$1749,0)),"")</f>
        <v>2.0009999999999999</v>
      </c>
      <c r="K249">
        <f>IFERROR(INDEX('Green_rooibos initial weight'!$C$5:$C$1749,MATCH(I249, 'Green_rooibos initial weight'!$A$5:$A$1749,0)),"")</f>
        <v>2.2010000000000001</v>
      </c>
      <c r="L249" s="195">
        <f t="shared" si="20"/>
        <v>1.7511999999999999</v>
      </c>
      <c r="M249" s="195">
        <f>AVERAGE(Ashed_controlls!$K$2:$K$11)</f>
        <v>5.5147656768714146</v>
      </c>
      <c r="N249" s="195">
        <f t="shared" si="18"/>
        <v>1.9512</v>
      </c>
      <c r="O249" s="16">
        <f>IF('WetLitterbags placem_collection'!G176="N.A","",'WetLitterbags placem_collection'!G176)</f>
        <v>42814</v>
      </c>
      <c r="P249" s="195">
        <f>IF(IFERROR(INDEX('Both teabags AfterWet'!$C$3:$C$841,MATCH(H249,'Both teabags AfterWet'!$A$3:$A$841,0)),"")="N.A","",(IFERROR(INDEX('Both teabags AfterWet'!$C$3:$C$841,MATCH(H249,'Both teabags AfterWet'!$A$3:$A$841,0)),"")))</f>
        <v>0.68300000000000005</v>
      </c>
      <c r="Q249" s="195">
        <f>IFERROR(INDEX('Both teabags AfterWet'!$C$3:$C$841,MATCH(I249,'Both teabags AfterWet'!$A$3:$A$841,0)),"")</f>
        <v>1.724</v>
      </c>
      <c r="R249" s="195">
        <f t="shared" si="21"/>
        <v>0.53239999999999998</v>
      </c>
      <c r="S249" s="195">
        <f t="shared" si="21"/>
        <v>1.5733999999999999</v>
      </c>
      <c r="T249" s="195">
        <f t="shared" si="22"/>
        <v>0.6959798994974874</v>
      </c>
      <c r="U249" s="195">
        <f t="shared" si="23"/>
        <v>0.45627185810286586</v>
      </c>
      <c r="V249" s="195">
        <f t="shared" si="24"/>
        <v>0.80637556375563746</v>
      </c>
      <c r="W249">
        <f t="shared" si="19"/>
        <v>51</v>
      </c>
      <c r="X249" s="195">
        <f t="shared" si="25"/>
        <v>0.17342054691509812</v>
      </c>
      <c r="Y249" s="195">
        <f t="shared" si="26"/>
        <v>1.0828946675497103E-2</v>
      </c>
      <c r="Z249" s="255" t="str">
        <f>IF(ISNUMBER(SEARCH("C",'WetLitterbags placem_collection'!W176)),"YES","NO")</f>
        <v>NO</v>
      </c>
      <c r="AA249" s="255" t="str">
        <f>IF(ISNUMBER(SEARCH("H", 'WetLitterbags placem_collection'!W176)),"YES","NO")</f>
        <v>NO</v>
      </c>
      <c r="AB249" s="255" t="str">
        <f>IF(ISNUMBER(SEARCH("R", 'WetLitterbags placem_collection'!W176)),"YES","NO")</f>
        <v>YES</v>
      </c>
      <c r="AC249" s="255" t="str">
        <f>IF(ISNUMBER(SEARCH("C", 'WetLitterbags placem_collection'!V176)),"YES","NO")</f>
        <v>NO</v>
      </c>
      <c r="AD249" s="255" t="str">
        <f>IF(ISNUMBER(SEARCH("H", 'WetLitterbags placem_collection'!V176)),"YES","NO")</f>
        <v>NO</v>
      </c>
      <c r="AE249" s="255" t="str">
        <f>IF(ISNUMBER(SEARCH("R", 'WetLitterbags placem_collection'!V176)),"YES","NO")</f>
        <v>YES</v>
      </c>
    </row>
    <row r="250" spans="2:31">
      <c r="B250" t="str">
        <f>'Final data_for_R_analysis_Wetse'!A176</f>
        <v>Wet</v>
      </c>
      <c r="C250" s="263">
        <f>'Final data_for_R_analysis_Wetse'!B176</f>
        <v>175</v>
      </c>
      <c r="D250" t="s">
        <v>3853</v>
      </c>
      <c r="E250" t="s">
        <v>22</v>
      </c>
      <c r="F250" s="387">
        <v>7</v>
      </c>
      <c r="G250" s="16">
        <f>'WetLitterbags placem_collection'!E177</f>
        <v>42763</v>
      </c>
      <c r="H250" t="str">
        <f>'Final data_for_R_analysis_Wetse'!J176</f>
        <v>G457</v>
      </c>
      <c r="I250" t="str">
        <f>'Final data_for_R_analysis_Wetse'!J396</f>
        <v>R458</v>
      </c>
      <c r="J250">
        <f>IFERROR(INDEX('Green_rooibos initial weight'!$C$5:$C$1749,MATCH(H250, 'Green_rooibos initial weight'!$A$5:$A$1749,0)),"")</f>
        <v>2.1579999999999999</v>
      </c>
      <c r="K250">
        <f>IFERROR(INDEX('Green_rooibos initial weight'!$C$5:$C$1749,MATCH(I250, 'Green_rooibos initial weight'!$A$5:$A$1749,0)),"")</f>
        <v>2.2370000000000001</v>
      </c>
      <c r="L250" s="195">
        <f t="shared" si="20"/>
        <v>1.9081999999999999</v>
      </c>
      <c r="M250" s="195">
        <f>AVERAGE(Ashed_controlls!$K$2:$K$11)</f>
        <v>5.5147656768714146</v>
      </c>
      <c r="N250" s="195">
        <f t="shared" si="18"/>
        <v>1.9872000000000001</v>
      </c>
      <c r="O250" s="16">
        <f>IF('WetLitterbags placem_collection'!G177="N.A","",'WetLitterbags placem_collection'!G177)</f>
        <v>42814</v>
      </c>
      <c r="P250" s="195">
        <f>IF(IFERROR(INDEX('Both teabags AfterWet'!$C$3:$C$841,MATCH(H250,'Both teabags AfterWet'!$A$3:$A$841,0)),"")="N.A","",(IFERROR(INDEX('Both teabags AfterWet'!$C$3:$C$841,MATCH(H250,'Both teabags AfterWet'!$A$3:$A$841,0)),"")))</f>
        <v>0.68200000000000005</v>
      </c>
      <c r="Q250" s="195">
        <f>IFERROR(INDEX('Both teabags AfterWet'!$C$3:$C$841,MATCH(I250,'Both teabags AfterWet'!$A$3:$A$841,0)),"")</f>
        <v>0.61699999999999999</v>
      </c>
      <c r="R250" s="195">
        <f t="shared" si="21"/>
        <v>0.53140000000000009</v>
      </c>
      <c r="S250" s="195">
        <f t="shared" si="21"/>
        <v>0.46639999999999998</v>
      </c>
      <c r="T250" s="195">
        <f t="shared" si="22"/>
        <v>0.72151766062257616</v>
      </c>
      <c r="U250" s="195">
        <f t="shared" si="23"/>
        <v>0.47301395328225904</v>
      </c>
      <c r="V250" s="195">
        <f t="shared" si="24"/>
        <v>0.23470209339774556</v>
      </c>
      <c r="W250">
        <f t="shared" si="19"/>
        <v>51</v>
      </c>
      <c r="X250" s="195">
        <f t="shared" si="25"/>
        <v>0.14309066434373374</v>
      </c>
      <c r="Y250" s="195" t="str">
        <f t="shared" si="26"/>
        <v/>
      </c>
      <c r="Z250" s="255" t="str">
        <f>IF(ISNUMBER(SEARCH("C",'WetLitterbags placem_collection'!W177)),"YES","NO")</f>
        <v>YES</v>
      </c>
      <c r="AA250" s="255" t="str">
        <f>IF(ISNUMBER(SEARCH("H", 'WetLitterbags placem_collection'!W177)),"YES","NO")</f>
        <v>YES</v>
      </c>
      <c r="AB250" s="255" t="str">
        <f>IF(ISNUMBER(SEARCH("R", 'WetLitterbags placem_collection'!W177)),"YES","NO")</f>
        <v>NO</v>
      </c>
      <c r="AC250" s="255" t="str">
        <f>IF(ISNUMBER(SEARCH("C", 'WetLitterbags placem_collection'!V177)),"YES","NO")</f>
        <v>NO</v>
      </c>
      <c r="AD250" s="255" t="str">
        <f>IF(ISNUMBER(SEARCH("H", 'WetLitterbags placem_collection'!V177)),"YES","NO")</f>
        <v>NO</v>
      </c>
      <c r="AE250" s="255" t="str">
        <f>IF(ISNUMBER(SEARCH("R", 'WetLitterbags placem_collection'!V177)),"YES","NO")</f>
        <v>NO</v>
      </c>
    </row>
    <row r="251" spans="2:31">
      <c r="B251" t="str">
        <f>'Final data_for_R_analysis_Wetse'!A177</f>
        <v>Wet</v>
      </c>
      <c r="C251" s="263">
        <f>'Final data_for_R_analysis_Wetse'!B177</f>
        <v>176</v>
      </c>
      <c r="D251" t="s">
        <v>3853</v>
      </c>
      <c r="E251" t="s">
        <v>22</v>
      </c>
      <c r="F251" s="387">
        <v>8</v>
      </c>
      <c r="G251" s="16">
        <f>'WetLitterbags placem_collection'!E178</f>
        <v>42763</v>
      </c>
      <c r="H251" t="str">
        <f>'Final data_for_R_analysis_Wetse'!J177</f>
        <v>G454</v>
      </c>
      <c r="I251" t="str">
        <f>'Final data_for_R_analysis_Wetse'!J397</f>
        <v>R326</v>
      </c>
      <c r="J251">
        <f>IFERROR(INDEX('Green_rooibos initial weight'!$C$5:$C$1749,MATCH(H251, 'Green_rooibos initial weight'!$A$5:$A$1749,0)),"")</f>
        <v>2.0920000000000001</v>
      </c>
      <c r="K251">
        <f>IFERROR(INDEX('Green_rooibos initial weight'!$C$5:$C$1749,MATCH(I251, 'Green_rooibos initial weight'!$A$5:$A$1749,0)),"")</f>
        <v>2.1890000000000001</v>
      </c>
      <c r="L251" s="195">
        <f t="shared" si="20"/>
        <v>1.8422000000000001</v>
      </c>
      <c r="M251" s="195">
        <f>AVERAGE(Ashed_controlls!$K$2:$K$11)</f>
        <v>5.5147656768714146</v>
      </c>
      <c r="N251" s="195">
        <f t="shared" si="18"/>
        <v>1.9392</v>
      </c>
      <c r="O251" s="16">
        <f>IF('WetLitterbags placem_collection'!G178="N.A","",'WetLitterbags placem_collection'!G178)</f>
        <v>42814</v>
      </c>
      <c r="P251" s="195">
        <f>IF(IFERROR(INDEX('Both teabags AfterWet'!$C$3:$C$841,MATCH(H251,'Both teabags AfterWet'!$A$3:$A$841,0)),"")="N.A","",(IFERROR(INDEX('Both teabags AfterWet'!$C$3:$C$841,MATCH(H251,'Both teabags AfterWet'!$A$3:$A$841,0)),"")))</f>
        <v>0.63900000000000001</v>
      </c>
      <c r="Q251" s="195">
        <f>IFERROR(INDEX('Both teabags AfterWet'!$C$3:$C$841,MATCH(I251,'Both teabags AfterWet'!$A$3:$A$841,0)),"")</f>
        <v>1.694</v>
      </c>
      <c r="R251" s="195">
        <f t="shared" si="21"/>
        <v>0.4884</v>
      </c>
      <c r="S251" s="195">
        <f t="shared" si="21"/>
        <v>1.5433999999999999</v>
      </c>
      <c r="T251" s="195">
        <f t="shared" si="22"/>
        <v>0.73488220605797416</v>
      </c>
      <c r="U251" s="195">
        <f t="shared" si="23"/>
        <v>0.48177550800950331</v>
      </c>
      <c r="V251" s="195">
        <f t="shared" si="24"/>
        <v>0.79589521452145207</v>
      </c>
      <c r="W251">
        <f t="shared" si="19"/>
        <v>51</v>
      </c>
      <c r="X251" s="195">
        <f t="shared" si="25"/>
        <v>0.1272182825914796</v>
      </c>
      <c r="Y251" s="195">
        <f t="shared" si="26"/>
        <v>1.0804750866490282E-2</v>
      </c>
      <c r="Z251" s="255" t="str">
        <f>IF(ISNUMBER(SEARCH("C",'WetLitterbags placem_collection'!W178)),"YES","NO")</f>
        <v>NO</v>
      </c>
      <c r="AA251" s="255" t="str">
        <f>IF(ISNUMBER(SEARCH("H", 'WetLitterbags placem_collection'!W178)),"YES","NO")</f>
        <v>NO</v>
      </c>
      <c r="AB251" s="255" t="str">
        <f>IF(ISNUMBER(SEARCH("R", 'WetLitterbags placem_collection'!W178)),"YES","NO")</f>
        <v>NO</v>
      </c>
      <c r="AC251" s="255" t="str">
        <f>IF(ISNUMBER(SEARCH("C", 'WetLitterbags placem_collection'!V178)),"YES","NO")</f>
        <v>NO</v>
      </c>
      <c r="AD251" s="255" t="str">
        <f>IF(ISNUMBER(SEARCH("H", 'WetLitterbags placem_collection'!V178)),"YES","NO")</f>
        <v>NO</v>
      </c>
      <c r="AE251" s="255" t="str">
        <f>IF(ISNUMBER(SEARCH("R", 'WetLitterbags placem_collection'!V178)),"YES","NO")</f>
        <v>NO</v>
      </c>
    </row>
    <row r="252" spans="2:31">
      <c r="B252" t="str">
        <f>'Final data_for_R_analysis_Wetse'!A178</f>
        <v>Wet</v>
      </c>
      <c r="C252" s="263">
        <f>'Final data_for_R_analysis_Wetse'!B178</f>
        <v>177</v>
      </c>
      <c r="D252" t="s">
        <v>3854</v>
      </c>
      <c r="E252" t="s">
        <v>22</v>
      </c>
      <c r="F252" s="386">
        <v>1</v>
      </c>
      <c r="G252" s="16">
        <f>'WetLitterbags placem_collection'!E179</f>
        <v>42763</v>
      </c>
      <c r="H252" t="str">
        <f>'Final data_for_R_analysis_Wetse'!J178</f>
        <v>G362</v>
      </c>
      <c r="I252" t="str">
        <f>'Final data_for_R_analysis_Wetse'!J398</f>
        <v>R262</v>
      </c>
      <c r="J252">
        <f>IFERROR(INDEX('Green_rooibos initial weight'!$C$5:$C$1749,MATCH(H252, 'Green_rooibos initial weight'!$A$5:$A$1749,0)),"")</f>
        <v>2.0659999999999998</v>
      </c>
      <c r="K252">
        <f>IFERROR(INDEX('Green_rooibos initial weight'!$C$5:$C$1749,MATCH(I252, 'Green_rooibos initial weight'!$A$5:$A$1749,0)),"")</f>
        <v>2.1949999999999998</v>
      </c>
      <c r="L252" s="195">
        <f t="shared" si="20"/>
        <v>1.8161999999999998</v>
      </c>
      <c r="M252" s="195">
        <f>AVERAGE(Ashed_controlls!$K$2:$K$11)</f>
        <v>5.5147656768714146</v>
      </c>
      <c r="N252" s="195">
        <f t="shared" si="18"/>
        <v>1.9451999999999998</v>
      </c>
      <c r="O252" s="16">
        <f>IF('WetLitterbags placem_collection'!G179="N.A","",'WetLitterbags placem_collection'!G179)</f>
        <v>42815</v>
      </c>
      <c r="P252" s="195">
        <f>IF(IFERROR(INDEX('Both teabags AfterWet'!$C$3:$C$841,MATCH(H252,'Both teabags AfterWet'!$A$3:$A$841,0)),"")="N.A","",(IFERROR(INDEX('Both teabags AfterWet'!$C$3:$C$841,MATCH(H252,'Both teabags AfterWet'!$A$3:$A$841,0)),"")))</f>
        <v>0.61299999999999999</v>
      </c>
      <c r="Q252" s="195">
        <f>IFERROR(INDEX('Both teabags AfterWet'!$C$3:$C$841,MATCH(I252,'Both teabags AfterWet'!$A$3:$A$841,0)),"")</f>
        <v>1.671</v>
      </c>
      <c r="R252" s="195">
        <f t="shared" si="21"/>
        <v>0.46239999999999998</v>
      </c>
      <c r="S252" s="195">
        <f t="shared" si="21"/>
        <v>1.5204</v>
      </c>
      <c r="T252" s="195">
        <f t="shared" si="22"/>
        <v>0.74540248871269688</v>
      </c>
      <c r="U252" s="195">
        <f t="shared" si="23"/>
        <v>0.48867241540309825</v>
      </c>
      <c r="V252" s="195">
        <f t="shared" si="24"/>
        <v>0.7816162862430599</v>
      </c>
      <c r="W252">
        <f t="shared" si="19"/>
        <v>52</v>
      </c>
      <c r="X252" s="195">
        <f t="shared" si="25"/>
        <v>0.11472388513931486</v>
      </c>
      <c r="Y252" s="195">
        <f t="shared" si="26"/>
        <v>1.1388494321888256E-2</v>
      </c>
      <c r="Z252" s="255" t="str">
        <f>IF(ISNUMBER(SEARCH("C",'WetLitterbags placem_collection'!W179)),"YES","NO")</f>
        <v>YES</v>
      </c>
      <c r="AA252" s="255" t="str">
        <f>IF(ISNUMBER(SEARCH("H", 'WetLitterbags placem_collection'!W179)),"YES","NO")</f>
        <v>NO</v>
      </c>
      <c r="AB252" s="255" t="str">
        <f>IF(ISNUMBER(SEARCH("R", 'WetLitterbags placem_collection'!W179)),"YES","NO")</f>
        <v>YES</v>
      </c>
      <c r="AC252" s="255" t="str">
        <f>IF(ISNUMBER(SEARCH("C", 'WetLitterbags placem_collection'!V179)),"YES","NO")</f>
        <v>NO</v>
      </c>
      <c r="AD252" s="255" t="str">
        <f>IF(ISNUMBER(SEARCH("H", 'WetLitterbags placem_collection'!V179)),"YES","NO")</f>
        <v>NO</v>
      </c>
      <c r="AE252" s="255" t="str">
        <f>IF(ISNUMBER(SEARCH("R", 'WetLitterbags placem_collection'!V179)),"YES","NO")</f>
        <v>NO</v>
      </c>
    </row>
    <row r="253" spans="2:31">
      <c r="B253" t="str">
        <f>'Final data_for_R_analysis_Wetse'!A179</f>
        <v>Wet</v>
      </c>
      <c r="C253" s="263">
        <f>'Final data_for_R_analysis_Wetse'!B179</f>
        <v>178</v>
      </c>
      <c r="D253" t="s">
        <v>3854</v>
      </c>
      <c r="E253" t="s">
        <v>22</v>
      </c>
      <c r="F253" s="386">
        <v>2</v>
      </c>
      <c r="G253" s="16">
        <f>'WetLitterbags placem_collection'!E180</f>
        <v>42763</v>
      </c>
      <c r="H253" t="str">
        <f>'Final data_for_R_analysis_Wetse'!J179</f>
        <v>G781</v>
      </c>
      <c r="I253" t="str">
        <f>'Final data_for_R_analysis_Wetse'!J399</f>
        <v>R309</v>
      </c>
      <c r="J253">
        <f>IFERROR(INDEX('Green_rooibos initial weight'!$C$5:$C$1749,MATCH(H253, 'Green_rooibos initial weight'!$A$5:$A$1749,0)),"")</f>
        <v>2.0920000000000001</v>
      </c>
      <c r="K253">
        <f>IFERROR(INDEX('Green_rooibos initial weight'!$C$5:$C$1749,MATCH(I253, 'Green_rooibos initial weight'!$A$5:$A$1749,0)),"")</f>
        <v>2.1960000000000002</v>
      </c>
      <c r="L253" s="195">
        <f t="shared" si="20"/>
        <v>1.8422000000000001</v>
      </c>
      <c r="M253" s="195">
        <f>AVERAGE(Ashed_controlls!$K$2:$K$11)</f>
        <v>5.5147656768714146</v>
      </c>
      <c r="N253" s="195">
        <f t="shared" si="18"/>
        <v>1.9462000000000002</v>
      </c>
      <c r="O253" s="16">
        <f>IF('WetLitterbags placem_collection'!G180="N.A","",'WetLitterbags placem_collection'!G180)</f>
        <v>42815</v>
      </c>
      <c r="P253" s="195">
        <f>IF(IFERROR(INDEX('Both teabags AfterWet'!$C$3:$C$841,MATCH(H253,'Both teabags AfterWet'!$A$3:$A$841,0)),"")="N.A","",(IFERROR(INDEX('Both teabags AfterWet'!$C$3:$C$841,MATCH(H253,'Both teabags AfterWet'!$A$3:$A$841,0)),"")))</f>
        <v>0.62549999999999994</v>
      </c>
      <c r="Q253" s="195">
        <f>IFERROR(INDEX('Both teabags AfterWet'!$C$3:$C$841,MATCH(I253,'Both teabags AfterWet'!$A$3:$A$841,0)),"")</f>
        <v>1.6866000000000001</v>
      </c>
      <c r="R253" s="195">
        <f t="shared" si="21"/>
        <v>0.47489999999999993</v>
      </c>
      <c r="S253" s="195">
        <f t="shared" si="21"/>
        <v>1.536</v>
      </c>
      <c r="T253" s="195">
        <f t="shared" si="22"/>
        <v>0.74221040060796883</v>
      </c>
      <c r="U253" s="195">
        <f t="shared" si="23"/>
        <v>0.48657974006603188</v>
      </c>
      <c r="V253" s="195">
        <f t="shared" si="24"/>
        <v>0.78923029493371699</v>
      </c>
      <c r="W253">
        <f t="shared" si="19"/>
        <v>52</v>
      </c>
      <c r="X253" s="195">
        <f t="shared" si="25"/>
        <v>0.11851496364849301</v>
      </c>
      <c r="Y253" s="195">
        <f t="shared" si="26"/>
        <v>1.0917085461919175E-2</v>
      </c>
      <c r="Z253" s="255" t="str">
        <f>IF(ISNUMBER(SEARCH("C",'WetLitterbags placem_collection'!W180)),"YES","NO")</f>
        <v>NO</v>
      </c>
      <c r="AA253" s="255" t="str">
        <f>IF(ISNUMBER(SEARCH("H", 'WetLitterbags placem_collection'!W180)),"YES","NO")</f>
        <v>NO</v>
      </c>
      <c r="AB253" s="255" t="str">
        <f>IF(ISNUMBER(SEARCH("R", 'WetLitterbags placem_collection'!W180)),"YES","NO")</f>
        <v>NO</v>
      </c>
      <c r="AC253" s="255" t="str">
        <f>IF(ISNUMBER(SEARCH("C", 'WetLitterbags placem_collection'!V180)),"YES","NO")</f>
        <v>YES</v>
      </c>
      <c r="AD253" s="255" t="str">
        <f>IF(ISNUMBER(SEARCH("H", 'WetLitterbags placem_collection'!V180)),"YES","NO")</f>
        <v>YES</v>
      </c>
      <c r="AE253" s="255" t="str">
        <f>IF(ISNUMBER(SEARCH("R", 'WetLitterbags placem_collection'!V180)),"YES","NO")</f>
        <v>NO</v>
      </c>
    </row>
    <row r="254" spans="2:31">
      <c r="B254" t="str">
        <f>'Final data_for_R_analysis_Wetse'!A180</f>
        <v>Wet</v>
      </c>
      <c r="C254" s="263">
        <f>'Final data_for_R_analysis_Wetse'!B180</f>
        <v>179</v>
      </c>
      <c r="D254" t="s">
        <v>3854</v>
      </c>
      <c r="E254" t="s">
        <v>22</v>
      </c>
      <c r="F254" s="386">
        <v>3</v>
      </c>
      <c r="G254" s="16">
        <f>'WetLitterbags placem_collection'!E181</f>
        <v>42763</v>
      </c>
      <c r="H254" t="str">
        <f>'Final data_for_R_analysis_Wetse'!J180</f>
        <v>G451</v>
      </c>
      <c r="I254" t="str">
        <f>'Final data_for_R_analysis_Wetse'!J400</f>
        <v>R32</v>
      </c>
      <c r="J254">
        <f>IFERROR(INDEX('Green_rooibos initial weight'!$C$5:$C$1749,MATCH(H254, 'Green_rooibos initial weight'!$A$5:$A$1749,0)),"")</f>
        <v>2.1139999999999999</v>
      </c>
      <c r="K254">
        <f>IFERROR(INDEX('Green_rooibos initial weight'!$C$5:$C$1749,MATCH(I254, 'Green_rooibos initial weight'!$A$5:$A$1749,0)),"")</f>
        <v>2.2290000000000001</v>
      </c>
      <c r="L254" s="195">
        <f t="shared" si="20"/>
        <v>1.8641999999999999</v>
      </c>
      <c r="M254" s="195">
        <f>AVERAGE(Ashed_controlls!$K$2:$K$11)</f>
        <v>5.5147656768714146</v>
      </c>
      <c r="N254" s="195">
        <f t="shared" si="18"/>
        <v>1.9792000000000001</v>
      </c>
      <c r="O254" s="16">
        <f>IF('WetLitterbags placem_collection'!G181="N.A","",'WetLitterbags placem_collection'!G181)</f>
        <v>42815</v>
      </c>
      <c r="P254" s="195">
        <f>IF(IFERROR(INDEX('Both teabags AfterWet'!$C$3:$C$841,MATCH(H254,'Both teabags AfterWet'!$A$3:$A$841,0)),"")="N.A","",(IFERROR(INDEX('Both teabags AfterWet'!$C$3:$C$841,MATCH(H254,'Both teabags AfterWet'!$A$3:$A$841,0)),"")))</f>
        <v>0.60329999999999995</v>
      </c>
      <c r="Q254" s="195">
        <f>IFERROR(INDEX('Both teabags AfterWet'!$C$3:$C$841,MATCH(I254,'Both teabags AfterWet'!$A$3:$A$841,0)),"")</f>
        <v>1.6146</v>
      </c>
      <c r="R254" s="195">
        <f t="shared" si="21"/>
        <v>0.45269999999999994</v>
      </c>
      <c r="S254" s="195">
        <f t="shared" si="21"/>
        <v>1.464</v>
      </c>
      <c r="T254" s="195">
        <f t="shared" si="22"/>
        <v>0.75716124879304791</v>
      </c>
      <c r="U254" s="195">
        <f t="shared" si="23"/>
        <v>0.49638124623962293</v>
      </c>
      <c r="V254" s="195">
        <f t="shared" si="24"/>
        <v>0.73969280517380753</v>
      </c>
      <c r="W254">
        <f t="shared" si="19"/>
        <v>52</v>
      </c>
      <c r="X254" s="195">
        <f t="shared" si="25"/>
        <v>0.10075861188474111</v>
      </c>
      <c r="Y254" s="195">
        <f t="shared" si="26"/>
        <v>1.4292283463461404E-2</v>
      </c>
      <c r="Z254" s="255" t="str">
        <f>IF(ISNUMBER(SEARCH("C",'WetLitterbags placem_collection'!W181)),"YES","NO")</f>
        <v>NO</v>
      </c>
      <c r="AA254" s="255" t="str">
        <f>IF(ISNUMBER(SEARCH("H", 'WetLitterbags placem_collection'!W181)),"YES","NO")</f>
        <v>NO</v>
      </c>
      <c r="AB254" s="255" t="str">
        <f>IF(ISNUMBER(SEARCH("R", 'WetLitterbags placem_collection'!W181)),"YES","NO")</f>
        <v>YES</v>
      </c>
      <c r="AC254" s="255" t="str">
        <f>IF(ISNUMBER(SEARCH("C", 'WetLitterbags placem_collection'!V181)),"YES","NO")</f>
        <v>NO</v>
      </c>
      <c r="AD254" s="255" t="str">
        <f>IF(ISNUMBER(SEARCH("H", 'WetLitterbags placem_collection'!V181)),"YES","NO")</f>
        <v>NO</v>
      </c>
      <c r="AE254" s="255" t="str">
        <f>IF(ISNUMBER(SEARCH("R", 'WetLitterbags placem_collection'!V181)),"YES","NO")</f>
        <v>YES</v>
      </c>
    </row>
    <row r="255" spans="2:31">
      <c r="B255" t="str">
        <f>'Final data_for_R_analysis_Wetse'!A181</f>
        <v>Wet</v>
      </c>
      <c r="C255" s="263">
        <f>'Final data_for_R_analysis_Wetse'!B181</f>
        <v>180</v>
      </c>
      <c r="D255" t="s">
        <v>3854</v>
      </c>
      <c r="E255" t="s">
        <v>22</v>
      </c>
      <c r="F255" s="387">
        <v>4</v>
      </c>
      <c r="G255" s="16">
        <f>'WetLitterbags placem_collection'!E182</f>
        <v>42763</v>
      </c>
      <c r="H255" t="str">
        <f>'Final data_for_R_analysis_Wetse'!J181</f>
        <v>G360</v>
      </c>
      <c r="I255" t="str">
        <f>'Final data_for_R_analysis_Wetse'!J401</f>
        <v>R268</v>
      </c>
      <c r="J255">
        <f>IFERROR(INDEX('Green_rooibos initial weight'!$C$5:$C$1749,MATCH(H255, 'Green_rooibos initial weight'!$A$5:$A$1749,0)),"")</f>
        <v>2.0099999999999998</v>
      </c>
      <c r="K255">
        <f>IFERROR(INDEX('Green_rooibos initial weight'!$C$5:$C$1749,MATCH(I255, 'Green_rooibos initial weight'!$A$5:$A$1749,0)),"")</f>
        <v>2.1709999999999998</v>
      </c>
      <c r="L255" s="195">
        <f t="shared" si="20"/>
        <v>1.7601999999999998</v>
      </c>
      <c r="M255" s="195">
        <f>AVERAGE(Ashed_controlls!$K$2:$K$11)</f>
        <v>5.5147656768714146</v>
      </c>
      <c r="N255" s="195">
        <f t="shared" si="18"/>
        <v>1.9211999999999998</v>
      </c>
      <c r="O255" s="16">
        <f>IF('WetLitterbags placem_collection'!G182="N.A","",'WetLitterbags placem_collection'!G182)</f>
        <v>42815</v>
      </c>
      <c r="P255" s="195">
        <f>IF(IFERROR(INDEX('Both teabags AfterWet'!$C$3:$C$841,MATCH(H255,'Both teabags AfterWet'!$A$3:$A$841,0)),"")="N.A","",(IFERROR(INDEX('Both teabags AfterWet'!$C$3:$C$841,MATCH(H255,'Both teabags AfterWet'!$A$3:$A$841,0)),"")))</f>
        <v>0.62219999999999998</v>
      </c>
      <c r="Q255" s="195">
        <f>IFERROR(INDEX('Both teabags AfterWet'!$C$3:$C$841,MATCH(I255,'Both teabags AfterWet'!$A$3:$A$841,0)),"")</f>
        <v>1.6403000000000001</v>
      </c>
      <c r="R255" s="195">
        <f t="shared" si="21"/>
        <v>0.47159999999999996</v>
      </c>
      <c r="S255" s="195">
        <f t="shared" si="21"/>
        <v>1.4897</v>
      </c>
      <c r="T255" s="195">
        <f t="shared" si="22"/>
        <v>0.73207590046585613</v>
      </c>
      <c r="U255" s="195">
        <f t="shared" si="23"/>
        <v>0.47993574472345918</v>
      </c>
      <c r="V255" s="195">
        <f t="shared" si="24"/>
        <v>0.77540079117218419</v>
      </c>
      <c r="W255">
        <f t="shared" si="19"/>
        <v>52</v>
      </c>
      <c r="X255" s="195">
        <f t="shared" si="25"/>
        <v>0.13055118709518276</v>
      </c>
      <c r="Y255" s="195">
        <f t="shared" si="26"/>
        <v>1.2135957809916944E-2</v>
      </c>
      <c r="Z255" s="255" t="str">
        <f>IF(ISNUMBER(SEARCH("C",'WetLitterbags placem_collection'!W182)),"YES","NO")</f>
        <v>NO</v>
      </c>
      <c r="AA255" s="255" t="str">
        <f>IF(ISNUMBER(SEARCH("H", 'WetLitterbags placem_collection'!W182)),"YES","NO")</f>
        <v>NO</v>
      </c>
      <c r="AB255" s="255" t="str">
        <f>IF(ISNUMBER(SEARCH("R", 'WetLitterbags placem_collection'!W182)),"YES","NO")</f>
        <v>NO</v>
      </c>
      <c r="AC255" s="255" t="str">
        <f>IF(ISNUMBER(SEARCH("C", 'WetLitterbags placem_collection'!V182)),"YES","NO")</f>
        <v>NO</v>
      </c>
      <c r="AD255" s="255" t="str">
        <f>IF(ISNUMBER(SEARCH("H", 'WetLitterbags placem_collection'!V182)),"YES","NO")</f>
        <v>NO</v>
      </c>
      <c r="AE255" s="255" t="str">
        <f>IF(ISNUMBER(SEARCH("R", 'WetLitterbags placem_collection'!V182)),"YES","NO")</f>
        <v>NO</v>
      </c>
    </row>
    <row r="256" spans="2:31">
      <c r="B256" t="str">
        <f>'Final data_for_R_analysis_Wetse'!A182</f>
        <v>Wet</v>
      </c>
      <c r="C256" s="263">
        <f>'Final data_for_R_analysis_Wetse'!B182</f>
        <v>181</v>
      </c>
      <c r="D256" t="s">
        <v>3854</v>
      </c>
      <c r="E256" t="s">
        <v>22</v>
      </c>
      <c r="F256" s="387">
        <v>5</v>
      </c>
      <c r="G256" s="16">
        <f>'WetLitterbags placem_collection'!E183</f>
        <v>42763</v>
      </c>
      <c r="H256" t="str">
        <f>'Final data_for_R_analysis_Wetse'!J182</f>
        <v>G458</v>
      </c>
      <c r="I256" t="str">
        <f>'Final data_for_R_analysis_Wetse'!J402</f>
        <v>R587</v>
      </c>
      <c r="J256">
        <f>IFERROR(INDEX('Green_rooibos initial weight'!$C$5:$C$1749,MATCH(H256, 'Green_rooibos initial weight'!$A$5:$A$1749,0)),"")</f>
        <v>1.9770000000000001</v>
      </c>
      <c r="K256">
        <f>IFERROR(INDEX('Green_rooibos initial weight'!$C$5:$C$1749,MATCH(I256, 'Green_rooibos initial weight'!$A$5:$A$1749,0)),"")</f>
        <v>2.2250000000000001</v>
      </c>
      <c r="L256" s="195">
        <f t="shared" si="20"/>
        <v>1.7272000000000001</v>
      </c>
      <c r="M256" s="195">
        <f>AVERAGE(Ashed_controlls!$K$2:$K$11)</f>
        <v>5.5147656768714146</v>
      </c>
      <c r="N256" s="195">
        <f t="shared" si="18"/>
        <v>1.9752000000000001</v>
      </c>
      <c r="O256" s="16">
        <f>IF('WetLitterbags placem_collection'!G183="N.A","",'WetLitterbags placem_collection'!G183)</f>
        <v>42815</v>
      </c>
      <c r="P256" s="195">
        <f>IF(IFERROR(INDEX('Both teabags AfterWet'!$C$3:$C$841,MATCH(H256,'Both teabags AfterWet'!$A$3:$A$841,0)),"")="N.A","",(IFERROR(INDEX('Both teabags AfterWet'!$C$3:$C$841,MATCH(H256,'Both teabags AfterWet'!$A$3:$A$841,0)),"")))</f>
        <v>0.57499999999999996</v>
      </c>
      <c r="Q256" s="195">
        <f>IFERROR(INDEX('Both teabags AfterWet'!$C$3:$C$841,MATCH(I256,'Both teabags AfterWet'!$A$3:$A$841,0)),"")</f>
        <v>1.5119</v>
      </c>
      <c r="R256" s="195">
        <f t="shared" si="21"/>
        <v>0.42439999999999994</v>
      </c>
      <c r="S256" s="195">
        <f t="shared" si="21"/>
        <v>1.3613</v>
      </c>
      <c r="T256" s="195">
        <f t="shared" si="22"/>
        <v>0.75428439092172306</v>
      </c>
      <c r="U256" s="195">
        <f t="shared" si="23"/>
        <v>0.49449523015295865</v>
      </c>
      <c r="V256" s="195">
        <f t="shared" si="24"/>
        <v>0.68919603078169289</v>
      </c>
      <c r="W256">
        <f t="shared" si="19"/>
        <v>52</v>
      </c>
      <c r="X256" s="195">
        <f t="shared" si="25"/>
        <v>0.10417530769391559</v>
      </c>
      <c r="Y256" s="195">
        <f t="shared" si="26"/>
        <v>1.9043867050252281E-2</v>
      </c>
      <c r="Z256" s="255" t="str">
        <f>IF(ISNUMBER(SEARCH("C",'WetLitterbags placem_collection'!W183)),"YES","NO")</f>
        <v>NO</v>
      </c>
      <c r="AA256" s="255" t="str">
        <f>IF(ISNUMBER(SEARCH("H", 'WetLitterbags placem_collection'!W183)),"YES","NO")</f>
        <v>NO</v>
      </c>
      <c r="AB256" s="255" t="str">
        <f>IF(ISNUMBER(SEARCH("R", 'WetLitterbags placem_collection'!W183)),"YES","NO")</f>
        <v>NO</v>
      </c>
      <c r="AC256" s="255" t="str">
        <f>IF(ISNUMBER(SEARCH("C", 'WetLitterbags placem_collection'!V183)),"YES","NO")</f>
        <v>NO</v>
      </c>
      <c r="AD256" s="255" t="str">
        <f>IF(ISNUMBER(SEARCH("H", 'WetLitterbags placem_collection'!V183)),"YES","NO")</f>
        <v>NO</v>
      </c>
      <c r="AE256" s="255" t="str">
        <f>IF(ISNUMBER(SEARCH("R", 'WetLitterbags placem_collection'!V183)),"YES","NO")</f>
        <v>NO</v>
      </c>
    </row>
    <row r="257" spans="2:31">
      <c r="B257" t="str">
        <f>'Final data_for_R_analysis_Wetse'!A183</f>
        <v>Wet</v>
      </c>
      <c r="C257" s="263">
        <f>'Final data_for_R_analysis_Wetse'!B183</f>
        <v>182</v>
      </c>
      <c r="D257" t="s">
        <v>3854</v>
      </c>
      <c r="E257" t="s">
        <v>22</v>
      </c>
      <c r="F257" s="387">
        <v>6</v>
      </c>
      <c r="G257" s="16">
        <f>'WetLitterbags placem_collection'!E184</f>
        <v>42763</v>
      </c>
      <c r="H257" t="str">
        <f>'Final data_for_R_analysis_Wetse'!J183</f>
        <v>G403</v>
      </c>
      <c r="I257" t="str">
        <f>'Final data_for_R_analysis_Wetse'!J403</f>
        <v>R444</v>
      </c>
      <c r="J257">
        <f>IFERROR(INDEX('Green_rooibos initial weight'!$C$5:$C$1749,MATCH(H257, 'Green_rooibos initial weight'!$A$5:$A$1749,0)),"")</f>
        <v>2.06</v>
      </c>
      <c r="K257">
        <f>IFERROR(INDEX('Green_rooibos initial weight'!$C$5:$C$1749,MATCH(I257, 'Green_rooibos initial weight'!$A$5:$A$1749,0)),"")</f>
        <v>2.2149999999999999</v>
      </c>
      <c r="L257" s="195">
        <f t="shared" si="20"/>
        <v>1.8102</v>
      </c>
      <c r="M257" s="195">
        <f>AVERAGE(Ashed_controlls!$K$2:$K$11)</f>
        <v>5.5147656768714146</v>
      </c>
      <c r="N257" s="195">
        <f t="shared" si="18"/>
        <v>1.9651999999999998</v>
      </c>
      <c r="O257" s="16">
        <f>IF('WetLitterbags placem_collection'!G184="N.A","",'WetLitterbags placem_collection'!G184)</f>
        <v>42815</v>
      </c>
      <c r="P257" s="195">
        <f>IF(IFERROR(INDEX('Both teabags AfterWet'!$C$3:$C$841,MATCH(H257,'Both teabags AfterWet'!$A$3:$A$841,0)),"")="N.A","",(IFERROR(INDEX('Both teabags AfterWet'!$C$3:$C$841,MATCH(H257,'Both teabags AfterWet'!$A$3:$A$841,0)),"")))</f>
        <v>0.69440000000000002</v>
      </c>
      <c r="Q257" s="195">
        <f>IFERROR(INDEX('Both teabags AfterWet'!$C$3:$C$841,MATCH(I257,'Both teabags AfterWet'!$A$3:$A$841,0)),"")</f>
        <v>1.7522</v>
      </c>
      <c r="R257" s="195">
        <f t="shared" si="21"/>
        <v>0.54380000000000006</v>
      </c>
      <c r="S257" s="195">
        <f t="shared" si="21"/>
        <v>1.6015999999999999</v>
      </c>
      <c r="T257" s="195">
        <f t="shared" si="22"/>
        <v>0.69959120539166941</v>
      </c>
      <c r="U257" s="195">
        <f t="shared" si="23"/>
        <v>0.45863936505487118</v>
      </c>
      <c r="V257" s="195">
        <f t="shared" si="24"/>
        <v>0.81498066354569509</v>
      </c>
      <c r="W257">
        <f t="shared" si="19"/>
        <v>52</v>
      </c>
      <c r="X257" s="195">
        <f t="shared" si="25"/>
        <v>0.16913158504552328</v>
      </c>
      <c r="Y257" s="195">
        <f t="shared" si="26"/>
        <v>9.9331503302323501E-3</v>
      </c>
      <c r="Z257" s="255" t="str">
        <f>IF(ISNUMBER(SEARCH("C",'WetLitterbags placem_collection'!W184)),"YES","NO")</f>
        <v>NO</v>
      </c>
      <c r="AA257" s="255" t="str">
        <f>IF(ISNUMBER(SEARCH("H", 'WetLitterbags placem_collection'!W184)),"YES","NO")</f>
        <v>NO</v>
      </c>
      <c r="AB257" s="255" t="str">
        <f>IF(ISNUMBER(SEARCH("R", 'WetLitterbags placem_collection'!W184)),"YES","NO")</f>
        <v>NO</v>
      </c>
      <c r="AC257" s="255" t="str">
        <f>IF(ISNUMBER(SEARCH("C", 'WetLitterbags placem_collection'!V184)),"YES","NO")</f>
        <v>NO</v>
      </c>
      <c r="AD257" s="255" t="str">
        <f>IF(ISNUMBER(SEARCH("H", 'WetLitterbags placem_collection'!V184)),"YES","NO")</f>
        <v>YES</v>
      </c>
      <c r="AE257" s="255" t="str">
        <f>IF(ISNUMBER(SEARCH("R", 'WetLitterbags placem_collection'!V184)),"YES","NO")</f>
        <v>YES</v>
      </c>
    </row>
    <row r="258" spans="2:31">
      <c r="B258" t="str">
        <f>'Final data_for_R_analysis_Wetse'!A184</f>
        <v>Wet</v>
      </c>
      <c r="C258" s="263">
        <f>'Final data_for_R_analysis_Wetse'!B184</f>
        <v>183</v>
      </c>
      <c r="D258" t="s">
        <v>3854</v>
      </c>
      <c r="E258" t="s">
        <v>22</v>
      </c>
      <c r="F258" s="387">
        <v>7</v>
      </c>
      <c r="G258" s="16">
        <f>'WetLitterbags placem_collection'!E185</f>
        <v>42763</v>
      </c>
      <c r="H258" t="str">
        <f>'Final data_for_R_analysis_Wetse'!J184</f>
        <v>G585</v>
      </c>
      <c r="I258" t="str">
        <f>'Final data_for_R_analysis_Wetse'!J404</f>
        <v>R568</v>
      </c>
      <c r="J258">
        <f>IFERROR(INDEX('Green_rooibos initial weight'!$C$5:$C$1749,MATCH(H258, 'Green_rooibos initial weight'!$A$5:$A$1749,0)),"")</f>
        <v>2.1669999999999998</v>
      </c>
      <c r="K258">
        <f>IFERROR(INDEX('Green_rooibos initial weight'!$C$5:$C$1749,MATCH(I258, 'Green_rooibos initial weight'!$A$5:$A$1749,0)),"")</f>
        <v>2.04</v>
      </c>
      <c r="L258" s="195">
        <f t="shared" si="20"/>
        <v>1.9171999999999998</v>
      </c>
      <c r="M258" s="195">
        <f>AVERAGE(Ashed_controlls!$K$2:$K$11)</f>
        <v>5.5147656768714146</v>
      </c>
      <c r="N258" s="195">
        <f t="shared" si="18"/>
        <v>1.7902</v>
      </c>
      <c r="O258" s="16">
        <f>IF('WetLitterbags placem_collection'!G185="N.A","",'WetLitterbags placem_collection'!G185)</f>
        <v>42815</v>
      </c>
      <c r="P258" s="195">
        <f>IF(IFERROR(INDEX('Both teabags AfterWet'!$C$3:$C$841,MATCH(H258,'Both teabags AfterWet'!$A$3:$A$841,0)),"")="N.A","",(IFERROR(INDEX('Both teabags AfterWet'!$C$3:$C$841,MATCH(H258,'Both teabags AfterWet'!$A$3:$A$841,0)),"")))</f>
        <v>0.71799999999999997</v>
      </c>
      <c r="Q258" s="195">
        <f>IFERROR(INDEX('Both teabags AfterWet'!$C$3:$C$841,MATCH(I258,'Both teabags AfterWet'!$A$3:$A$841,0)),"")</f>
        <v>0.30299999999999999</v>
      </c>
      <c r="R258" s="195">
        <f t="shared" si="21"/>
        <v>0.5673999999999999</v>
      </c>
      <c r="S258" s="195">
        <f t="shared" si="21"/>
        <v>0.15239999999999998</v>
      </c>
      <c r="T258" s="195">
        <f t="shared" si="22"/>
        <v>0.70404756937200086</v>
      </c>
      <c r="U258" s="195">
        <f t="shared" si="23"/>
        <v>0.46156087683295077</v>
      </c>
      <c r="V258" s="195">
        <f t="shared" si="24"/>
        <v>8.5130153055524516E-2</v>
      </c>
      <c r="W258">
        <f t="shared" si="19"/>
        <v>52</v>
      </c>
      <c r="X258" s="195">
        <f t="shared" si="25"/>
        <v>0.16383899124465451</v>
      </c>
      <c r="Y258" s="195" t="str">
        <f t="shared" si="26"/>
        <v/>
      </c>
      <c r="Z258" s="255" t="str">
        <f>IF(ISNUMBER(SEARCH("C",'WetLitterbags placem_collection'!W185)),"YES","NO")</f>
        <v>YES</v>
      </c>
      <c r="AA258" s="255" t="str">
        <f>IF(ISNUMBER(SEARCH("H", 'WetLitterbags placem_collection'!W185)),"YES","NO")</f>
        <v>YES</v>
      </c>
      <c r="AB258" s="255" t="str">
        <f>IF(ISNUMBER(SEARCH("R", 'WetLitterbags placem_collection'!W185)),"YES","NO")</f>
        <v>NO</v>
      </c>
      <c r="AC258" s="255" t="str">
        <f>IF(ISNUMBER(SEARCH("C", 'WetLitterbags placem_collection'!V185)),"YES","NO")</f>
        <v>YES</v>
      </c>
      <c r="AD258" s="255" t="str">
        <f>IF(ISNUMBER(SEARCH("H", 'WetLitterbags placem_collection'!V185)),"YES","NO")</f>
        <v>NO</v>
      </c>
      <c r="AE258" s="255" t="str">
        <f>IF(ISNUMBER(SEARCH("R", 'WetLitterbags placem_collection'!V185)),"YES","NO")</f>
        <v>NO</v>
      </c>
    </row>
    <row r="259" spans="2:31">
      <c r="B259" t="str">
        <f>'Final data_for_R_analysis_Wetse'!A185</f>
        <v>Wet</v>
      </c>
      <c r="C259" s="263">
        <f>'Final data_for_R_analysis_Wetse'!B185</f>
        <v>184</v>
      </c>
      <c r="D259" t="s">
        <v>3854</v>
      </c>
      <c r="E259" t="s">
        <v>22</v>
      </c>
      <c r="F259" s="387">
        <v>8</v>
      </c>
      <c r="G259" s="16">
        <f>'WetLitterbags placem_collection'!E186</f>
        <v>42763</v>
      </c>
      <c r="H259" t="str">
        <f>'Final data_for_R_analysis_Wetse'!J185</f>
        <v>G669</v>
      </c>
      <c r="I259" t="str">
        <f>'Final data_for_R_analysis_Wetse'!J405</f>
        <v>R541</v>
      </c>
      <c r="J259">
        <f>IFERROR(INDEX('Green_rooibos initial weight'!$C$5:$C$1749,MATCH(H259, 'Green_rooibos initial weight'!$A$5:$A$1749,0)),"")</f>
        <v>1.9359999999999999</v>
      </c>
      <c r="K259">
        <f>IFERROR(INDEX('Green_rooibos initial weight'!$C$5:$C$1749,MATCH(I259, 'Green_rooibos initial weight'!$A$5:$A$1749,0)),"")</f>
        <v>2.226</v>
      </c>
      <c r="L259" s="195">
        <f t="shared" si="20"/>
        <v>1.6861999999999999</v>
      </c>
      <c r="M259" s="195">
        <f>AVERAGE(Ashed_controlls!$K$2:$K$11)</f>
        <v>5.5147656768714146</v>
      </c>
      <c r="N259" s="195">
        <f t="shared" si="18"/>
        <v>1.9762</v>
      </c>
      <c r="O259" s="16">
        <f>IF('WetLitterbags placem_collection'!G186="N.A","",'WetLitterbags placem_collection'!G186)</f>
        <v>42815</v>
      </c>
      <c r="P259" s="195">
        <f>IF(IFERROR(INDEX('Both teabags AfterWet'!$C$3:$C$841,MATCH(H259,'Both teabags AfterWet'!$A$3:$A$841,0)),"")="N.A","",(IFERROR(INDEX('Both teabags AfterWet'!$C$3:$C$841,MATCH(H259,'Both teabags AfterWet'!$A$3:$A$841,0)),"")))</f>
        <v>0.7097</v>
      </c>
      <c r="Q259" s="195">
        <f>IFERROR(INDEX('Both teabags AfterWet'!$C$3:$C$841,MATCH(I259,'Both teabags AfterWet'!$A$3:$A$841,0)),"")</f>
        <v>1.7278</v>
      </c>
      <c r="R259" s="195">
        <f t="shared" si="21"/>
        <v>0.55909999999999993</v>
      </c>
      <c r="S259" s="195">
        <f t="shared" si="21"/>
        <v>1.5771999999999999</v>
      </c>
      <c r="T259" s="195">
        <f t="shared" si="22"/>
        <v>0.66842604673229755</v>
      </c>
      <c r="U259" s="195">
        <f t="shared" si="23"/>
        <v>0.43820804963922599</v>
      </c>
      <c r="V259" s="195">
        <f t="shared" si="24"/>
        <v>0.79809735856694664</v>
      </c>
      <c r="W259">
        <f t="shared" si="19"/>
        <v>52</v>
      </c>
      <c r="X259" s="195">
        <f t="shared" si="25"/>
        <v>0.20614483761009794</v>
      </c>
      <c r="Y259" s="195">
        <f t="shared" si="26"/>
        <v>1.1876321650216209E-2</v>
      </c>
      <c r="Z259" s="255" t="str">
        <f>IF(ISNUMBER(SEARCH("C",'WetLitterbags placem_collection'!W186)),"YES","NO")</f>
        <v>NO</v>
      </c>
      <c r="AA259" s="255" t="str">
        <f>IF(ISNUMBER(SEARCH("H", 'WetLitterbags placem_collection'!W186)),"YES","NO")</f>
        <v>NO</v>
      </c>
      <c r="AB259" s="255" t="str">
        <f>IF(ISNUMBER(SEARCH("R", 'WetLitterbags placem_collection'!W186)),"YES","NO")</f>
        <v>NO</v>
      </c>
      <c r="AC259" s="255" t="str">
        <f>IF(ISNUMBER(SEARCH("C", 'WetLitterbags placem_collection'!V186)),"YES","NO")</f>
        <v>NO</v>
      </c>
      <c r="AD259" s="255" t="str">
        <f>IF(ISNUMBER(SEARCH("H", 'WetLitterbags placem_collection'!V186)),"YES","NO")</f>
        <v>NO</v>
      </c>
      <c r="AE259" s="255" t="str">
        <f>IF(ISNUMBER(SEARCH("R", 'WetLitterbags placem_collection'!V186)),"YES","NO")</f>
        <v>YES</v>
      </c>
    </row>
    <row r="260" spans="2:31">
      <c r="B260" t="str">
        <f>'Final data_for_R_analysis_Wetse'!A186</f>
        <v>Wet</v>
      </c>
      <c r="C260" s="263">
        <f>'Final data_for_R_analysis_Wetse'!B186</f>
        <v>185</v>
      </c>
      <c r="D260" t="s">
        <v>3855</v>
      </c>
      <c r="E260" t="s">
        <v>22</v>
      </c>
      <c r="F260" s="386">
        <v>1</v>
      </c>
      <c r="G260" s="16">
        <f>'WetLitterbags placem_collection'!E187</f>
        <v>42763</v>
      </c>
      <c r="H260" t="str">
        <f>'Final data_for_R_analysis_Wetse'!J186</f>
        <v>G423</v>
      </c>
      <c r="I260" t="str">
        <f>'Final data_for_R_analysis_Wetse'!J406</f>
        <v>R51</v>
      </c>
      <c r="J260">
        <f>IFERROR(INDEX('Green_rooibos initial weight'!$C$5:$C$1749,MATCH(H260, 'Green_rooibos initial weight'!$A$5:$A$1749,0)),"")</f>
        <v>2.0649999999999999</v>
      </c>
      <c r="K260">
        <f>IFERROR(INDEX('Green_rooibos initial weight'!$C$5:$C$1749,MATCH(I260, 'Green_rooibos initial weight'!$A$5:$A$1749,0)),"")</f>
        <v>2.3149999999999999</v>
      </c>
      <c r="L260" s="195">
        <f t="shared" si="20"/>
        <v>1.8151999999999999</v>
      </c>
      <c r="M260" s="195">
        <f>AVERAGE(Ashed_controlls!$K$2:$K$11)</f>
        <v>5.5147656768714146</v>
      </c>
      <c r="N260" s="195">
        <f t="shared" si="18"/>
        <v>2.0651999999999999</v>
      </c>
      <c r="O260" s="16">
        <f>IF('WetLitterbags placem_collection'!G187="N.A","",'WetLitterbags placem_collection'!G187)</f>
        <v>42815</v>
      </c>
      <c r="P260" s="195">
        <f>IF(IFERROR(INDEX('Both teabags AfterWet'!$C$3:$C$841,MATCH(H260,'Both teabags AfterWet'!$A$3:$A$841,0)),"")="N.A","",(IFERROR(INDEX('Both teabags AfterWet'!$C$3:$C$841,MATCH(H260,'Both teabags AfterWet'!$A$3:$A$841,0)),"")))</f>
        <v>0.62319999999999998</v>
      </c>
      <c r="Q260" s="195">
        <f>IFERROR(INDEX('Both teabags AfterWet'!$C$3:$C$841,MATCH(I260,'Both teabags AfterWet'!$A$3:$A$841,0)),"")</f>
        <v>1.7762</v>
      </c>
      <c r="R260" s="195">
        <f t="shared" si="21"/>
        <v>0.47259999999999996</v>
      </c>
      <c r="S260" s="195">
        <f t="shared" si="21"/>
        <v>1.6255999999999999</v>
      </c>
      <c r="T260" s="195">
        <f t="shared" si="22"/>
        <v>0.73964301454385195</v>
      </c>
      <c r="U260" s="195">
        <f t="shared" si="23"/>
        <v>0.48489660810950869</v>
      </c>
      <c r="V260" s="195">
        <f t="shared" si="24"/>
        <v>0.78713926012008517</v>
      </c>
      <c r="W260">
        <f t="shared" si="19"/>
        <v>52</v>
      </c>
      <c r="X260" s="195">
        <f t="shared" si="25"/>
        <v>0.12156411574364379</v>
      </c>
      <c r="Y260" s="195">
        <f t="shared" si="26"/>
        <v>1.1115418518512669E-2</v>
      </c>
      <c r="Z260" s="255" t="str">
        <f>IF(ISNUMBER(SEARCH("C",'WetLitterbags placem_collection'!W187)),"YES","NO")</f>
        <v>YES</v>
      </c>
      <c r="AA260" s="255" t="str">
        <f>IF(ISNUMBER(SEARCH("H", 'WetLitterbags placem_collection'!W187)),"YES","NO")</f>
        <v>YES</v>
      </c>
      <c r="AB260" s="255" t="str">
        <f>IF(ISNUMBER(SEARCH("R", 'WetLitterbags placem_collection'!W187)),"YES","NO")</f>
        <v>NO</v>
      </c>
      <c r="AC260" s="255" t="str">
        <f>IF(ISNUMBER(SEARCH("C", 'WetLitterbags placem_collection'!V187)),"YES","NO")</f>
        <v>NO</v>
      </c>
      <c r="AD260" s="255" t="str">
        <f>IF(ISNUMBER(SEARCH("H", 'WetLitterbags placem_collection'!V187)),"YES","NO")</f>
        <v>NO</v>
      </c>
      <c r="AE260" s="255" t="str">
        <f>IF(ISNUMBER(SEARCH("R", 'WetLitterbags placem_collection'!V187)),"YES","NO")</f>
        <v>NO</v>
      </c>
    </row>
    <row r="261" spans="2:31">
      <c r="B261" t="str">
        <f>'Final data_for_R_analysis_Wetse'!A187</f>
        <v>Wet</v>
      </c>
      <c r="C261" s="263">
        <f>'Final data_for_R_analysis_Wetse'!B187</f>
        <v>186</v>
      </c>
      <c r="D261" t="s">
        <v>3855</v>
      </c>
      <c r="E261" t="s">
        <v>22</v>
      </c>
      <c r="F261" s="386">
        <v>2</v>
      </c>
      <c r="G261" s="16">
        <f>'WetLitterbags placem_collection'!E188</f>
        <v>42763</v>
      </c>
      <c r="H261" t="str">
        <f>'Final data_for_R_analysis_Wetse'!J187</f>
        <v>G544</v>
      </c>
      <c r="I261" t="str">
        <f>'Final data_for_R_analysis_Wetse'!J407</f>
        <v>R557</v>
      </c>
      <c r="J261">
        <f>IFERROR(INDEX('Green_rooibos initial weight'!$C$5:$C$1749,MATCH(H261, 'Green_rooibos initial weight'!$A$5:$A$1749,0)),"")</f>
        <v>2.0830000000000002</v>
      </c>
      <c r="K261">
        <f>IFERROR(INDEX('Green_rooibos initial weight'!$C$5:$C$1749,MATCH(I261, 'Green_rooibos initial weight'!$A$5:$A$1749,0)),"")</f>
        <v>2.2229999999999999</v>
      </c>
      <c r="L261" s="195">
        <f t="shared" si="20"/>
        <v>1.8332000000000002</v>
      </c>
      <c r="M261" s="195">
        <f>AVERAGE(Ashed_controlls!$K$2:$K$11)</f>
        <v>5.5147656768714146</v>
      </c>
      <c r="N261" s="195">
        <f t="shared" si="18"/>
        <v>1.9731999999999998</v>
      </c>
      <c r="O261" s="16">
        <f>IF('WetLitterbags placem_collection'!G188="N.A","",'WetLitterbags placem_collection'!G188)</f>
        <v>42815</v>
      </c>
      <c r="P261" s="195">
        <f>IF(IFERROR(INDEX('Both teabags AfterWet'!$C$3:$C$841,MATCH(H261,'Both teabags AfterWet'!$A$3:$A$841,0)),"")="N.A","",(IFERROR(INDEX('Both teabags AfterWet'!$C$3:$C$841,MATCH(H261,'Both teabags AfterWet'!$A$3:$A$841,0)),"")))</f>
        <v>0.69</v>
      </c>
      <c r="Q261" s="195">
        <f>IFERROR(INDEX('Both teabags AfterWet'!$C$3:$C$841,MATCH(I261,'Both teabags AfterWet'!$A$3:$A$841,0)),"")</f>
        <v>1.7509999999999999</v>
      </c>
      <c r="R261" s="195">
        <f t="shared" si="21"/>
        <v>0.53939999999999988</v>
      </c>
      <c r="S261" s="195">
        <f t="shared" si="21"/>
        <v>1.6003999999999998</v>
      </c>
      <c r="T261" s="195">
        <f t="shared" si="22"/>
        <v>0.70576041893955932</v>
      </c>
      <c r="U261" s="195">
        <f t="shared" si="23"/>
        <v>0.4626837900886423</v>
      </c>
      <c r="V261" s="195">
        <f t="shared" si="24"/>
        <v>0.81106831542671798</v>
      </c>
      <c r="W261">
        <f t="shared" si="19"/>
        <v>52</v>
      </c>
      <c r="X261" s="195">
        <f t="shared" si="25"/>
        <v>0.16180472810028579</v>
      </c>
      <c r="Y261" s="195">
        <f t="shared" si="26"/>
        <v>1.0092709413661128E-2</v>
      </c>
      <c r="Z261" s="255" t="str">
        <f>IF(ISNUMBER(SEARCH("C",'WetLitterbags placem_collection'!W188)),"YES","NO")</f>
        <v>NO</v>
      </c>
      <c r="AA261" s="255" t="str">
        <f>IF(ISNUMBER(SEARCH("H", 'WetLitterbags placem_collection'!W188)),"YES","NO")</f>
        <v>YES</v>
      </c>
      <c r="AB261" s="255" t="str">
        <f>IF(ISNUMBER(SEARCH("R", 'WetLitterbags placem_collection'!W188)),"YES","NO")</f>
        <v>NO</v>
      </c>
      <c r="AC261" s="255" t="str">
        <f>IF(ISNUMBER(SEARCH("C", 'WetLitterbags placem_collection'!V188)),"YES","NO")</f>
        <v>NO</v>
      </c>
      <c r="AD261" s="255" t="str">
        <f>IF(ISNUMBER(SEARCH("H", 'WetLitterbags placem_collection'!V188)),"YES","NO")</f>
        <v>NO</v>
      </c>
      <c r="AE261" s="255" t="str">
        <f>IF(ISNUMBER(SEARCH("R", 'WetLitterbags placem_collection'!V188)),"YES","NO")</f>
        <v>YES</v>
      </c>
    </row>
    <row r="262" spans="2:31">
      <c r="B262" t="str">
        <f>'Final data_for_R_analysis_Wetse'!A188</f>
        <v>Wet</v>
      </c>
      <c r="C262" s="263">
        <f>'Final data_for_R_analysis_Wetse'!B188</f>
        <v>187</v>
      </c>
      <c r="D262" t="s">
        <v>3855</v>
      </c>
      <c r="E262" t="s">
        <v>22</v>
      </c>
      <c r="F262" s="386">
        <v>3</v>
      </c>
      <c r="G262" s="16">
        <f>'WetLitterbags placem_collection'!E189</f>
        <v>42763</v>
      </c>
      <c r="H262" t="str">
        <f>'Final data_for_R_analysis_Wetse'!J188</f>
        <v>G620</v>
      </c>
      <c r="I262" t="str">
        <f>'Final data_for_R_analysis_Wetse'!J408</f>
        <v>R427</v>
      </c>
      <c r="J262">
        <f>IFERROR(INDEX('Green_rooibos initial weight'!$C$5:$C$1749,MATCH(H262, 'Green_rooibos initial weight'!$A$5:$A$1749,0)),"")</f>
        <v>2.0019999999999998</v>
      </c>
      <c r="K262">
        <f>IFERROR(INDEX('Green_rooibos initial weight'!$C$5:$C$1749,MATCH(I262, 'Green_rooibos initial weight'!$A$5:$A$1749,0)),"")</f>
        <v>2.1760000000000002</v>
      </c>
      <c r="L262" s="195">
        <f t="shared" si="20"/>
        <v>1.7521999999999998</v>
      </c>
      <c r="M262" s="195">
        <f>AVERAGE(Ashed_controlls!$K$2:$K$11)</f>
        <v>5.5147656768714146</v>
      </c>
      <c r="N262" s="195">
        <f t="shared" si="18"/>
        <v>1.9262000000000001</v>
      </c>
      <c r="O262" s="16">
        <f>IF('WetLitterbags placem_collection'!G189="N.A","",'WetLitterbags placem_collection'!G189)</f>
        <v>42815</v>
      </c>
      <c r="P262" s="195">
        <f>IF(IFERROR(INDEX('Both teabags AfterWet'!$C$3:$C$841,MATCH(H262,'Both teabags AfterWet'!$A$3:$A$841,0)),"")="N.A","",(IFERROR(INDEX('Both teabags AfterWet'!$C$3:$C$841,MATCH(H262,'Both teabags AfterWet'!$A$3:$A$841,0)),"")))</f>
        <v>0.59950000000000003</v>
      </c>
      <c r="Q262" s="195">
        <f>IFERROR(INDEX('Both teabags AfterWet'!$C$3:$C$841,MATCH(I262,'Both teabags AfterWet'!$A$3:$A$841,0)),"")</f>
        <v>1.6979</v>
      </c>
      <c r="R262" s="195">
        <f t="shared" si="21"/>
        <v>0.44890000000000002</v>
      </c>
      <c r="S262" s="195">
        <f t="shared" si="21"/>
        <v>1.5472999999999999</v>
      </c>
      <c r="T262" s="195">
        <f t="shared" si="22"/>
        <v>0.74380778449948637</v>
      </c>
      <c r="U262" s="195">
        <f t="shared" si="23"/>
        <v>0.48762695610892698</v>
      </c>
      <c r="V262" s="195">
        <f t="shared" si="24"/>
        <v>0.80329145467760343</v>
      </c>
      <c r="W262">
        <f t="shared" si="19"/>
        <v>52</v>
      </c>
      <c r="X262" s="195">
        <f t="shared" si="25"/>
        <v>0.11661783313600194</v>
      </c>
      <c r="Y262" s="195">
        <f t="shared" si="26"/>
        <v>9.9328428224297449E-3</v>
      </c>
      <c r="Z262" s="255" t="str">
        <f>IF(ISNUMBER(SEARCH("C",'WetLitterbags placem_collection'!W189)),"YES","NO")</f>
        <v>NO</v>
      </c>
      <c r="AA262" s="255" t="str">
        <f>IF(ISNUMBER(SEARCH("H", 'WetLitterbags placem_collection'!W189)),"YES","NO")</f>
        <v>NO</v>
      </c>
      <c r="AB262" s="255" t="str">
        <f>IF(ISNUMBER(SEARCH("R", 'WetLitterbags placem_collection'!W189)),"YES","NO")</f>
        <v>NO</v>
      </c>
      <c r="AC262" s="255" t="str">
        <f>IF(ISNUMBER(SEARCH("C", 'WetLitterbags placem_collection'!V189)),"YES","NO")</f>
        <v>NO</v>
      </c>
      <c r="AD262" s="255" t="str">
        <f>IF(ISNUMBER(SEARCH("H", 'WetLitterbags placem_collection'!V189)),"YES","NO")</f>
        <v>NO</v>
      </c>
      <c r="AE262" s="255" t="str">
        <f>IF(ISNUMBER(SEARCH("R", 'WetLitterbags placem_collection'!V189)),"YES","NO")</f>
        <v>NO</v>
      </c>
    </row>
    <row r="263" spans="2:31">
      <c r="B263" t="str">
        <f>'Final data_for_R_analysis_Wetse'!A189</f>
        <v>Wet</v>
      </c>
      <c r="C263" s="263">
        <f>'Final data_for_R_analysis_Wetse'!B189</f>
        <v>188</v>
      </c>
      <c r="D263" t="s">
        <v>3855</v>
      </c>
      <c r="E263" t="s">
        <v>22</v>
      </c>
      <c r="F263" s="387">
        <v>4</v>
      </c>
      <c r="G263" s="16">
        <f>'WetLitterbags placem_collection'!E190</f>
        <v>42763</v>
      </c>
      <c r="H263" t="str">
        <f>'Final data_for_R_analysis_Wetse'!J189</f>
        <v>G420</v>
      </c>
      <c r="I263" t="str">
        <f>'Final data_for_R_analysis_Wetse'!J409</f>
        <v>R523</v>
      </c>
      <c r="J263">
        <f>IFERROR(INDEX('Green_rooibos initial weight'!$C$5:$C$1749,MATCH(H263, 'Green_rooibos initial weight'!$A$5:$A$1749,0)),"")</f>
        <v>2.0390000000000001</v>
      </c>
      <c r="K263">
        <f>IFERROR(INDEX('Green_rooibos initial weight'!$C$5:$C$1749,MATCH(I263, 'Green_rooibos initial weight'!$A$5:$A$1749,0)),"")</f>
        <v>2.1179999999999999</v>
      </c>
      <c r="L263" s="195">
        <f t="shared" si="20"/>
        <v>1.7892000000000001</v>
      </c>
      <c r="M263" s="195">
        <f>AVERAGE(Ashed_controlls!$K$2:$K$11)</f>
        <v>5.5147656768714146</v>
      </c>
      <c r="N263" s="195">
        <f t="shared" si="18"/>
        <v>1.8681999999999999</v>
      </c>
      <c r="O263" s="16">
        <f>IF('WetLitterbags placem_collection'!G190="N.A","",'WetLitterbags placem_collection'!G190)</f>
        <v>42815</v>
      </c>
      <c r="P263" s="195">
        <f>IF(IFERROR(INDEX('Both teabags AfterWet'!$C$3:$C$841,MATCH(H263,'Both teabags AfterWet'!$A$3:$A$841,0)),"")="N.A","",(IFERROR(INDEX('Both teabags AfterWet'!$C$3:$C$841,MATCH(H263,'Both teabags AfterWet'!$A$3:$A$841,0)),"")))</f>
        <v>0.29980000000000001</v>
      </c>
      <c r="Q263" s="195">
        <f>IFERROR(INDEX('Both teabags AfterWet'!$C$3:$C$841,MATCH(I263,'Both teabags AfterWet'!$A$3:$A$841,0)),"")</f>
        <v>1.54</v>
      </c>
      <c r="R263" s="195">
        <f t="shared" si="21"/>
        <v>0.1492</v>
      </c>
      <c r="S263" s="195">
        <f t="shared" si="21"/>
        <v>1.3894</v>
      </c>
      <c r="T263" s="195">
        <f t="shared" si="22"/>
        <v>0.91661077576570538</v>
      </c>
      <c r="U263" s="195">
        <f t="shared" si="23"/>
        <v>0.60091347769913228</v>
      </c>
      <c r="V263" s="195">
        <f t="shared" si="24"/>
        <v>0.74371052349855482</v>
      </c>
      <c r="W263">
        <f t="shared" si="19"/>
        <v>52</v>
      </c>
      <c r="X263" s="195">
        <f t="shared" si="25"/>
        <v>-8.8611372643355502E-2</v>
      </c>
      <c r="Y263" s="195">
        <f t="shared" si="26"/>
        <v>1.0692249791656021E-2</v>
      </c>
      <c r="Z263" s="255" t="str">
        <f>IF(ISNUMBER(SEARCH("C",'WetLitterbags placem_collection'!W190)),"YES","NO")</f>
        <v>YES</v>
      </c>
      <c r="AA263" s="255" t="str">
        <f>IF(ISNUMBER(SEARCH("H", 'WetLitterbags placem_collection'!W190)),"YES","NO")</f>
        <v>YES</v>
      </c>
      <c r="AB263" s="255" t="str">
        <f>IF(ISNUMBER(SEARCH("R", 'WetLitterbags placem_collection'!W190)),"YES","NO")</f>
        <v>YES</v>
      </c>
      <c r="AC263" s="255" t="str">
        <f>IF(ISNUMBER(SEARCH("C", 'WetLitterbags placem_collection'!V190)),"YES","NO")</f>
        <v>NO</v>
      </c>
      <c r="AD263" s="255" t="str">
        <f>IF(ISNUMBER(SEARCH("H", 'WetLitterbags placem_collection'!V190)),"YES","NO")</f>
        <v>YES</v>
      </c>
      <c r="AE263" s="255" t="str">
        <f>IF(ISNUMBER(SEARCH("R", 'WetLitterbags placem_collection'!V190)),"YES","NO")</f>
        <v>NO</v>
      </c>
    </row>
    <row r="264" spans="2:31">
      <c r="B264" t="str">
        <f>'Final data_for_R_analysis_Wetse'!A190</f>
        <v>Wet</v>
      </c>
      <c r="C264" s="263">
        <f>'Final data_for_R_analysis_Wetse'!B190</f>
        <v>189</v>
      </c>
      <c r="D264" t="s">
        <v>3855</v>
      </c>
      <c r="E264" t="s">
        <v>22</v>
      </c>
      <c r="F264" s="387">
        <v>5</v>
      </c>
      <c r="G264" s="16">
        <f>'WetLitterbags placem_collection'!E191</f>
        <v>42763</v>
      </c>
      <c r="H264" t="str">
        <f>'Final data_for_R_analysis_Wetse'!J190</f>
        <v>G367</v>
      </c>
      <c r="I264" t="str">
        <f>'Final data_for_R_analysis_Wetse'!J410</f>
        <v>R354</v>
      </c>
      <c r="J264">
        <f>IFERROR(INDEX('Green_rooibos initial weight'!$C$5:$C$1749,MATCH(H264, 'Green_rooibos initial weight'!$A$5:$A$1749,0)),"")</f>
        <v>2.0990000000000002</v>
      </c>
      <c r="K264">
        <f>IFERROR(INDEX('Green_rooibos initial weight'!$C$5:$C$1749,MATCH(I264, 'Green_rooibos initial weight'!$A$5:$A$1749,0)),"")</f>
        <v>2.286</v>
      </c>
      <c r="L264" s="195">
        <f t="shared" si="20"/>
        <v>1.8492000000000002</v>
      </c>
      <c r="M264" s="195">
        <f>AVERAGE(Ashed_controlls!$K$2:$K$11)</f>
        <v>5.5147656768714146</v>
      </c>
      <c r="N264" s="195">
        <f t="shared" si="18"/>
        <v>2.0362</v>
      </c>
      <c r="O264" s="16">
        <f>IF('WetLitterbags placem_collection'!G191="N.A","",'WetLitterbags placem_collection'!G191)</f>
        <v>42815</v>
      </c>
      <c r="P264" s="195">
        <f>IF(IFERROR(INDEX('Both teabags AfterWet'!$C$3:$C$841,MATCH(H264,'Both teabags AfterWet'!$A$3:$A$841,0)),"")="N.A","",(IFERROR(INDEX('Both teabags AfterWet'!$C$3:$C$841,MATCH(H264,'Both teabags AfterWet'!$A$3:$A$841,0)),"")))</f>
        <v>0.80840000000000001</v>
      </c>
      <c r="Q264" s="195">
        <f>IFERROR(INDEX('Both teabags AfterWet'!$C$3:$C$841,MATCH(I264,'Both teabags AfterWet'!$A$3:$A$841,0)),"")</f>
        <v>1.7630999999999999</v>
      </c>
      <c r="R264" s="195">
        <f t="shared" si="21"/>
        <v>0.65779999999999994</v>
      </c>
      <c r="S264" s="195">
        <f t="shared" si="21"/>
        <v>1.6124999999999998</v>
      </c>
      <c r="T264" s="195">
        <f t="shared" si="22"/>
        <v>0.64427860696517425</v>
      </c>
      <c r="U264" s="195">
        <f t="shared" si="23"/>
        <v>0.42237742404367723</v>
      </c>
      <c r="V264" s="195">
        <f t="shared" si="24"/>
        <v>0.79191631470386004</v>
      </c>
      <c r="W264">
        <f t="shared" si="19"/>
        <v>52</v>
      </c>
      <c r="X264" s="195">
        <f t="shared" si="25"/>
        <v>0.23482350716725142</v>
      </c>
      <c r="Y264" s="195">
        <f t="shared" si="26"/>
        <v>1.3049069216828206E-2</v>
      </c>
      <c r="Z264" s="255" t="str">
        <f>IF(ISNUMBER(SEARCH("C",'WetLitterbags placem_collection'!W191)),"YES","NO")</f>
        <v>NO</v>
      </c>
      <c r="AA264" s="255" t="str">
        <f>IF(ISNUMBER(SEARCH("H", 'WetLitterbags placem_collection'!W191)),"YES","NO")</f>
        <v>NO</v>
      </c>
      <c r="AB264" s="255" t="str">
        <f>IF(ISNUMBER(SEARCH("R", 'WetLitterbags placem_collection'!W191)),"YES","NO")</f>
        <v>YES</v>
      </c>
      <c r="AC264" s="255" t="str">
        <f>IF(ISNUMBER(SEARCH("C", 'WetLitterbags placem_collection'!V191)),"YES","NO")</f>
        <v>YES</v>
      </c>
      <c r="AD264" s="255" t="str">
        <f>IF(ISNUMBER(SEARCH("H", 'WetLitterbags placem_collection'!V191)),"YES","NO")</f>
        <v>NO</v>
      </c>
      <c r="AE264" s="255" t="str">
        <f>IF(ISNUMBER(SEARCH("R", 'WetLitterbags placem_collection'!V191)),"YES","NO")</f>
        <v>YES</v>
      </c>
    </row>
    <row r="265" spans="2:31">
      <c r="B265" t="str">
        <f>'Final data_for_R_analysis_Wetse'!A191</f>
        <v>Wet</v>
      </c>
      <c r="C265" s="263">
        <f>'Final data_for_R_analysis_Wetse'!B191</f>
        <v>190</v>
      </c>
      <c r="D265" t="s">
        <v>3855</v>
      </c>
      <c r="E265" t="s">
        <v>22</v>
      </c>
      <c r="F265" s="387">
        <v>6</v>
      </c>
      <c r="G265" s="16">
        <f>'WetLitterbags placem_collection'!E192</f>
        <v>42763</v>
      </c>
      <c r="H265" t="str">
        <f>'Final data_for_R_analysis_Wetse'!J191</f>
        <v>G526</v>
      </c>
      <c r="I265" t="str">
        <f>'Final data_for_R_analysis_Wetse'!J411</f>
        <v>R164</v>
      </c>
      <c r="J265">
        <f>IFERROR(INDEX('Green_rooibos initial weight'!$C$5:$C$1749,MATCH(H265, 'Green_rooibos initial weight'!$A$5:$A$1749,0)),"")</f>
        <v>2.0760000000000001</v>
      </c>
      <c r="K265">
        <f>IFERROR(INDEX('Green_rooibos initial weight'!$C$5:$C$1749,MATCH(I265, 'Green_rooibos initial weight'!$A$5:$A$1749,0)),"")</f>
        <v>2.2040000000000002</v>
      </c>
      <c r="L265" s="195">
        <f t="shared" si="20"/>
        <v>1.8262</v>
      </c>
      <c r="M265" s="195">
        <f>AVERAGE(Ashed_controlls!$K$2:$K$11)</f>
        <v>5.5147656768714146</v>
      </c>
      <c r="N265" s="195">
        <f t="shared" si="18"/>
        <v>1.9542000000000002</v>
      </c>
      <c r="O265" s="16">
        <f>IF('WetLitterbags placem_collection'!G192="N.A","",'WetLitterbags placem_collection'!G192)</f>
        <v>42815</v>
      </c>
      <c r="P265" s="195">
        <f>IF(IFERROR(INDEX('Both teabags AfterWet'!$C$3:$C$841,MATCH(H265,'Both teabags AfterWet'!$A$3:$A$841,0)),"")="N.A","",(IFERROR(INDEX('Both teabags AfterWet'!$C$3:$C$841,MATCH(H265,'Both teabags AfterWet'!$A$3:$A$841,0)),"")))</f>
        <v>0.61960000000000004</v>
      </c>
      <c r="Q265" s="195">
        <f>IFERROR(INDEX('Both teabags AfterWet'!$C$3:$C$841,MATCH(I265,'Both teabags AfterWet'!$A$3:$A$841,0)),"")</f>
        <v>1.6649</v>
      </c>
      <c r="R265" s="195">
        <f t="shared" si="21"/>
        <v>0.46900000000000003</v>
      </c>
      <c r="S265" s="195">
        <f t="shared" si="21"/>
        <v>1.5143</v>
      </c>
      <c r="T265" s="195">
        <f t="shared" si="22"/>
        <v>0.74318256488884016</v>
      </c>
      <c r="U265" s="195">
        <f t="shared" si="23"/>
        <v>0.48721707341881215</v>
      </c>
      <c r="V265" s="195">
        <f t="shared" si="24"/>
        <v>0.77489509773820486</v>
      </c>
      <c r="W265">
        <f t="shared" si="19"/>
        <v>52</v>
      </c>
      <c r="X265" s="195">
        <f t="shared" si="25"/>
        <v>0.11736037424128243</v>
      </c>
      <c r="Y265" s="195">
        <f t="shared" si="26"/>
        <v>1.1921869488843211E-2</v>
      </c>
      <c r="Z265" s="255" t="str">
        <f>IF(ISNUMBER(SEARCH("C",'WetLitterbags placem_collection'!W192)),"YES","NO")</f>
        <v>YES</v>
      </c>
      <c r="AA265" s="255" t="str">
        <f>IF(ISNUMBER(SEARCH("H", 'WetLitterbags placem_collection'!W192)),"YES","NO")</f>
        <v>YES</v>
      </c>
      <c r="AB265" s="255" t="str">
        <f>IF(ISNUMBER(SEARCH("R", 'WetLitterbags placem_collection'!W192)),"YES","NO")</f>
        <v>NO</v>
      </c>
      <c r="AC265" s="255" t="str">
        <f>IF(ISNUMBER(SEARCH("C", 'WetLitterbags placem_collection'!V192)),"YES","NO")</f>
        <v>NO</v>
      </c>
      <c r="AD265" s="255" t="str">
        <f>IF(ISNUMBER(SEARCH("H", 'WetLitterbags placem_collection'!V192)),"YES","NO")</f>
        <v>NO</v>
      </c>
      <c r="AE265" s="255" t="str">
        <f>IF(ISNUMBER(SEARCH("R", 'WetLitterbags placem_collection'!V192)),"YES","NO")</f>
        <v>NO</v>
      </c>
    </row>
    <row r="266" spans="2:31">
      <c r="B266" t="str">
        <f>'Final data_for_R_analysis_Wetse'!A192</f>
        <v>Wet</v>
      </c>
      <c r="C266" s="263">
        <f>'Final data_for_R_analysis_Wetse'!B192</f>
        <v>191</v>
      </c>
      <c r="D266" t="s">
        <v>3855</v>
      </c>
      <c r="E266" t="s">
        <v>22</v>
      </c>
      <c r="F266" s="387">
        <v>7</v>
      </c>
      <c r="G266" s="16">
        <f>'WetLitterbags placem_collection'!E193</f>
        <v>42763</v>
      </c>
      <c r="H266" t="str">
        <f>'Final data_for_R_analysis_Wetse'!J192</f>
        <v>G522</v>
      </c>
      <c r="I266" t="str">
        <f>'Final data_for_R_analysis_Wetse'!J412</f>
        <v>R336</v>
      </c>
      <c r="J266">
        <f>IFERROR(INDEX('Green_rooibos initial weight'!$C$5:$C$1749,MATCH(H266, 'Green_rooibos initial weight'!$A$5:$A$1749,0)),"")</f>
        <v>1.821</v>
      </c>
      <c r="K266">
        <f>IFERROR(INDEX('Green_rooibos initial weight'!$C$5:$C$1749,MATCH(I266, 'Green_rooibos initial weight'!$A$5:$A$1749,0)),"")</f>
        <v>2.11</v>
      </c>
      <c r="L266" s="195">
        <f t="shared" si="20"/>
        <v>1.5711999999999999</v>
      </c>
      <c r="M266" s="195">
        <f>AVERAGE(Ashed_controlls!$K$2:$K$11)</f>
        <v>5.5147656768714146</v>
      </c>
      <c r="N266" s="195">
        <f t="shared" si="18"/>
        <v>1.8601999999999999</v>
      </c>
      <c r="O266" s="16">
        <f>IF('WetLitterbags placem_collection'!G193="N.A","",'WetLitterbags placem_collection'!G193)</f>
        <v>42815</v>
      </c>
      <c r="P266" s="195">
        <f>IF(IFERROR(INDEX('Both teabags AfterWet'!$C$3:$C$841,MATCH(H266,'Both teabags AfterWet'!$A$3:$A$841,0)),"")="N.A","",(IFERROR(INDEX('Both teabags AfterWet'!$C$3:$C$841,MATCH(H266,'Both teabags AfterWet'!$A$3:$A$841,0)),"")))</f>
        <v>0.628</v>
      </c>
      <c r="Q266" s="195">
        <f>IFERROR(INDEX('Both teabags AfterWet'!$C$3:$C$841,MATCH(I266,'Both teabags AfterWet'!$A$3:$A$841,0)),"")</f>
        <v>1.671</v>
      </c>
      <c r="R266" s="195">
        <f t="shared" si="21"/>
        <v>0.47739999999999999</v>
      </c>
      <c r="S266" s="195">
        <f t="shared" si="21"/>
        <v>1.5204</v>
      </c>
      <c r="T266" s="195">
        <f t="shared" si="22"/>
        <v>0.69615580448065173</v>
      </c>
      <c r="U266" s="195">
        <f t="shared" si="23"/>
        <v>0.4563871782343466</v>
      </c>
      <c r="V266" s="195">
        <f t="shared" si="24"/>
        <v>0.81733146973443715</v>
      </c>
      <c r="W266">
        <f t="shared" si="19"/>
        <v>52</v>
      </c>
      <c r="X266" s="195">
        <f t="shared" si="25"/>
        <v>0.17321163363343017</v>
      </c>
      <c r="Y266" s="195">
        <f t="shared" si="26"/>
        <v>9.8315534177963061E-3</v>
      </c>
      <c r="Z266" s="255" t="str">
        <f>IF(ISNUMBER(SEARCH("C",'WetLitterbags placem_collection'!W193)),"YES","NO")</f>
        <v>YES</v>
      </c>
      <c r="AA266" s="255" t="str">
        <f>IF(ISNUMBER(SEARCH("H", 'WetLitterbags placem_collection'!W193)),"YES","NO")</f>
        <v>YES</v>
      </c>
      <c r="AB266" s="255" t="str">
        <f>IF(ISNUMBER(SEARCH("R", 'WetLitterbags placem_collection'!W193)),"YES","NO")</f>
        <v>NO</v>
      </c>
      <c r="AC266" s="255" t="str">
        <f>IF(ISNUMBER(SEARCH("C", 'WetLitterbags placem_collection'!V193)),"YES","NO")</f>
        <v>NO</v>
      </c>
      <c r="AD266" s="255" t="str">
        <f>IF(ISNUMBER(SEARCH("H", 'WetLitterbags placem_collection'!V193)),"YES","NO")</f>
        <v>NO</v>
      </c>
      <c r="AE266" s="255" t="str">
        <f>IF(ISNUMBER(SEARCH("R", 'WetLitterbags placem_collection'!V193)),"YES","NO")</f>
        <v>NO</v>
      </c>
    </row>
    <row r="267" spans="2:31">
      <c r="B267" t="str">
        <f>'Final data_for_R_analysis_Wetse'!A193</f>
        <v>Wet</v>
      </c>
      <c r="C267" s="263">
        <f>'Final data_for_R_analysis_Wetse'!B193</f>
        <v>192</v>
      </c>
      <c r="D267" t="s">
        <v>3855</v>
      </c>
      <c r="E267" t="s">
        <v>22</v>
      </c>
      <c r="F267" s="387">
        <v>8</v>
      </c>
      <c r="G267" s="16">
        <f>'WetLitterbags placem_collection'!E194</f>
        <v>42763</v>
      </c>
      <c r="H267" t="str">
        <f>'Final data_for_R_analysis_Wetse'!J193</f>
        <v>G591</v>
      </c>
      <c r="I267" t="str">
        <f>'Final data_for_R_analysis_Wetse'!J413</f>
        <v>R263</v>
      </c>
      <c r="J267">
        <f>IFERROR(INDEX('Green_rooibos initial weight'!$C$5:$C$1749,MATCH(H267, 'Green_rooibos initial weight'!$A$5:$A$1749,0)),"")</f>
        <v>2.0920000000000001</v>
      </c>
      <c r="K267">
        <f>IFERROR(INDEX('Green_rooibos initial weight'!$C$5:$C$1749,MATCH(I267, 'Green_rooibos initial weight'!$A$5:$A$1749,0)),"")</f>
        <v>2.1850000000000001</v>
      </c>
      <c r="L267" s="195">
        <f t="shared" si="20"/>
        <v>1.8422000000000001</v>
      </c>
      <c r="M267" s="195">
        <f>AVERAGE(Ashed_controlls!$K$2:$K$11)</f>
        <v>5.5147656768714146</v>
      </c>
      <c r="N267" s="195">
        <f t="shared" si="18"/>
        <v>1.9352</v>
      </c>
      <c r="O267" s="16">
        <f>IF('WetLitterbags placem_collection'!G194="N.A","",'WetLitterbags placem_collection'!G194)</f>
        <v>42815</v>
      </c>
      <c r="P267" s="195">
        <f>IF(IFERROR(INDEX('Both teabags AfterWet'!$C$3:$C$841,MATCH(H267,'Both teabags AfterWet'!$A$3:$A$841,0)),"")="N.A","",(IFERROR(INDEX('Both teabags AfterWet'!$C$3:$C$841,MATCH(H267,'Both teabags AfterWet'!$A$3:$A$841,0)),"")))</f>
        <v>0.66100000000000003</v>
      </c>
      <c r="Q267" s="195">
        <f>IFERROR(INDEX('Both teabags AfterWet'!$C$3:$C$841,MATCH(I267,'Both teabags AfterWet'!$A$3:$A$841,0)),"")</f>
        <v>1.0369999999999999</v>
      </c>
      <c r="R267" s="195">
        <f t="shared" si="21"/>
        <v>0.51039999999999996</v>
      </c>
      <c r="S267" s="195">
        <f t="shared" si="21"/>
        <v>0.88639999999999985</v>
      </c>
      <c r="T267" s="195">
        <f t="shared" si="22"/>
        <v>0.72293996308761266</v>
      </c>
      <c r="U267" s="195">
        <f t="shared" si="23"/>
        <v>0.47394638910256798</v>
      </c>
      <c r="V267" s="195">
        <f t="shared" si="24"/>
        <v>0.45804051260851586</v>
      </c>
      <c r="W267">
        <f t="shared" si="19"/>
        <v>52</v>
      </c>
      <c r="X267" s="195">
        <f t="shared" si="25"/>
        <v>0.14140146901708706</v>
      </c>
      <c r="Y267" s="195" t="str">
        <f t="shared" si="26"/>
        <v/>
      </c>
      <c r="Z267" s="255" t="str">
        <f>IF(ISNUMBER(SEARCH("C",'WetLitterbags placem_collection'!W194)),"YES","NO")</f>
        <v>YES</v>
      </c>
      <c r="AA267" s="255" t="str">
        <f>IF(ISNUMBER(SEARCH("H", 'WetLitterbags placem_collection'!W194)),"YES","NO")</f>
        <v>YES</v>
      </c>
      <c r="AB267" s="255" t="str">
        <f>IF(ISNUMBER(SEARCH("R", 'WetLitterbags placem_collection'!W194)),"YES","NO")</f>
        <v>NO</v>
      </c>
      <c r="AC267" s="255" t="str">
        <f>IF(ISNUMBER(SEARCH("C", 'WetLitterbags placem_collection'!V194)),"YES","NO")</f>
        <v>NO</v>
      </c>
      <c r="AD267" s="255" t="str">
        <f>IF(ISNUMBER(SEARCH("H", 'WetLitterbags placem_collection'!V194)),"YES","NO")</f>
        <v>NO</v>
      </c>
      <c r="AE267" s="255" t="str">
        <f>IF(ISNUMBER(SEARCH("R", 'WetLitterbags placem_collection'!V194)),"YES","NO")</f>
        <v>NO</v>
      </c>
    </row>
    <row r="268" spans="2:31">
      <c r="B268" t="str">
        <f>'Final data_for_R_analysis_Wetse'!A194</f>
        <v>Wet</v>
      </c>
      <c r="C268" s="263">
        <f>'Final data_for_R_analysis_Wetse'!B194</f>
        <v>193</v>
      </c>
      <c r="D268" t="s">
        <v>2445</v>
      </c>
      <c r="E268" t="s">
        <v>22</v>
      </c>
      <c r="F268" s="387">
        <v>1</v>
      </c>
      <c r="G268" s="16">
        <f>'WetLitterbags placem_collection'!E195</f>
        <v>42769</v>
      </c>
      <c r="H268" t="str">
        <f>'Final data_for_R_analysis_Wetse'!J194</f>
        <v>G863</v>
      </c>
      <c r="I268" t="str">
        <f>'Final data_for_R_analysis_Wetse'!J414</f>
        <v>R125</v>
      </c>
      <c r="J268">
        <f>IFERROR(INDEX('Green_rooibos initial weight'!$C$5:$C$1749,MATCH(H268, 'Green_rooibos initial weight'!$A$5:$A$1749,0)),"")</f>
        <v>2.0230000000000001</v>
      </c>
      <c r="K268">
        <f>IFERROR(INDEX('Green_rooibos initial weight'!$C$5:$C$1749,MATCH(I268, 'Green_rooibos initial weight'!$A$5:$A$1749,0)),"")</f>
        <v>2.2040000000000002</v>
      </c>
      <c r="L268" s="195">
        <f t="shared" si="20"/>
        <v>1.7732000000000001</v>
      </c>
      <c r="M268" s="195">
        <f>AVERAGE(Ashed_controlls!$K$2:$K$11)</f>
        <v>5.5147656768714146</v>
      </c>
      <c r="N268" s="195">
        <f t="shared" ref="N268:N331" si="27">IF(K268&gt;0,(K268*$F$32-($F$29+$F$30)),"")</f>
        <v>1.9542000000000002</v>
      </c>
      <c r="O268" s="16">
        <f>IF('WetLitterbags placem_collection'!G195="N.A","",'WetLitterbags placem_collection'!G195)</f>
        <v>42813</v>
      </c>
      <c r="P268" s="195">
        <f>IF(IFERROR(INDEX('Both teabags AfterWet'!$C$3:$C$841,MATCH(H268,'Both teabags AfterWet'!$A$3:$A$841,0)),"")="N.A","",(IFERROR(INDEX('Both teabags AfterWet'!$C$3:$C$841,MATCH(H268,'Both teabags AfterWet'!$A$3:$A$841,0)),"")))</f>
        <v>0.64890000000000003</v>
      </c>
      <c r="Q268" s="195">
        <f>IFERROR(INDEX('Both teabags AfterWet'!$C$3:$C$841,MATCH(I268,'Both teabags AfterWet'!$A$3:$A$841,0)),"")</f>
        <v>1.2266999999999999</v>
      </c>
      <c r="R268" s="195">
        <f t="shared" si="21"/>
        <v>0.49830000000000002</v>
      </c>
      <c r="S268" s="195">
        <f t="shared" si="21"/>
        <v>1.0760999999999998</v>
      </c>
      <c r="T268" s="195">
        <f t="shared" si="22"/>
        <v>0.71898263027295284</v>
      </c>
      <c r="U268" s="195">
        <f t="shared" si="23"/>
        <v>0.47135203314806418</v>
      </c>
      <c r="V268" s="195">
        <f t="shared" si="24"/>
        <v>0.55066011667178372</v>
      </c>
      <c r="W268">
        <f t="shared" ref="W268:W331" si="28">IF((O268-G268)&gt;0,(IFERROR(O268-G268,"")),"")</f>
        <v>44</v>
      </c>
      <c r="X268" s="195">
        <f t="shared" si="25"/>
        <v>0.14610138922452154</v>
      </c>
      <c r="Y268" s="195">
        <f t="shared" si="26"/>
        <v>6.9636606041708293E-2</v>
      </c>
      <c r="Z268" s="255" t="str">
        <f>IF(ISNUMBER(SEARCH("C",'WetLitterbags placem_collection'!W195)),"YES","NO")</f>
        <v>NO</v>
      </c>
      <c r="AA268" s="255" t="str">
        <f>IF(ISNUMBER(SEARCH("H", 'WetLitterbags placem_collection'!W195)),"YES","NO")</f>
        <v>NO</v>
      </c>
      <c r="AB268" s="255" t="str">
        <f>IF(ISNUMBER(SEARCH("R", 'WetLitterbags placem_collection'!W195)),"YES","NO")</f>
        <v>NO</v>
      </c>
      <c r="AC268" s="255" t="str">
        <f>IF(ISNUMBER(SEARCH("C", 'WetLitterbags placem_collection'!V195)),"YES","NO")</f>
        <v>NO</v>
      </c>
      <c r="AD268" s="255" t="str">
        <f>IF(ISNUMBER(SEARCH("H", 'WetLitterbags placem_collection'!V195)),"YES","NO")</f>
        <v>NO</v>
      </c>
      <c r="AE268" s="255" t="str">
        <f>IF(ISNUMBER(SEARCH("R", 'WetLitterbags placem_collection'!V195)),"YES","NO")</f>
        <v>YES</v>
      </c>
    </row>
    <row r="269" spans="2:31">
      <c r="B269" t="str">
        <f>'Final data_for_R_analysis_Wetse'!A195</f>
        <v>Wet</v>
      </c>
      <c r="C269" s="263">
        <f>'Final data_for_R_analysis_Wetse'!B195</f>
        <v>194</v>
      </c>
      <c r="D269" t="s">
        <v>2438</v>
      </c>
      <c r="E269" t="s">
        <v>22</v>
      </c>
      <c r="F269" s="387">
        <v>2</v>
      </c>
      <c r="G269" s="16">
        <f>'WetLitterbags placem_collection'!E196</f>
        <v>42769</v>
      </c>
      <c r="H269" t="str">
        <f>'Final data_for_R_analysis_Wetse'!J195</f>
        <v>G615</v>
      </c>
      <c r="I269" t="str">
        <f>'Final data_for_R_analysis_Wetse'!J415</f>
        <v>R289</v>
      </c>
      <c r="J269">
        <f>IFERROR(INDEX('Green_rooibos initial weight'!$C$5:$C$1749,MATCH(H269, 'Green_rooibos initial weight'!$A$5:$A$1749,0)),"")</f>
        <v>1.9630000000000001</v>
      </c>
      <c r="K269">
        <f>IFERROR(INDEX('Green_rooibos initial weight'!$C$5:$C$1749,MATCH(I269, 'Green_rooibos initial weight'!$A$5:$A$1749,0)),"")</f>
        <v>2.2160000000000002</v>
      </c>
      <c r="L269" s="195">
        <f t="shared" ref="L269:L332" si="29">IF(J269&gt;0,(J269*$F$31-($F$29+$F$30)),"")</f>
        <v>1.7132000000000001</v>
      </c>
      <c r="M269" s="195">
        <f>AVERAGE(Ashed_controlls!$K$2:$K$11)</f>
        <v>5.5147656768714146</v>
      </c>
      <c r="N269" s="195">
        <f t="shared" si="27"/>
        <v>1.9662000000000002</v>
      </c>
      <c r="O269" s="16">
        <f>IF('WetLitterbags placem_collection'!G196="N.A","",'WetLitterbags placem_collection'!G196)</f>
        <v>42813</v>
      </c>
      <c r="P269" s="195" t="str">
        <f>IF(IFERROR(INDEX('Both teabags AfterWet'!$C$3:$C$841,MATCH(H269,'Both teabags AfterWet'!$A$3:$A$841,0)),"")="N.A","",(IFERROR(INDEX('Both teabags AfterWet'!$C$3:$C$841,MATCH(H269,'Both teabags AfterWet'!$A$3:$A$841,0)),"")))</f>
        <v/>
      </c>
      <c r="Q269" s="195">
        <f>IFERROR(INDEX('Both teabags AfterWet'!$C$3:$C$841,MATCH(I269,'Both teabags AfterWet'!$A$3:$A$841,0)),"")</f>
        <v>1.512</v>
      </c>
      <c r="R269" s="195" t="str">
        <f t="shared" ref="R269:S332" si="30">IFERROR(IF(P269&gt;0,P269-($F$29),""),"")</f>
        <v/>
      </c>
      <c r="S269" s="195">
        <f t="shared" si="30"/>
        <v>1.3613999999999999</v>
      </c>
      <c r="T269" s="195" t="str">
        <f t="shared" ref="T269:T332" si="31">IFERROR(1-R269/L269,"")</f>
        <v/>
      </c>
      <c r="U269" s="195" t="str">
        <f t="shared" ref="U269:U332" si="32">IFERROR($F$26*(1-X269),"")</f>
        <v/>
      </c>
      <c r="V269" s="195">
        <f t="shared" ref="V269:V332" si="33">IFERROR(S269/N269,"")</f>
        <v>0.69240158681721076</v>
      </c>
      <c r="W269">
        <f t="shared" si="28"/>
        <v>44</v>
      </c>
      <c r="X269" s="195" t="str">
        <f t="shared" ref="X269:X332" si="34">IFERROR(1-(T269/$F$25),"")</f>
        <v/>
      </c>
      <c r="Y269" s="195" t="str">
        <f t="shared" ref="Y269:Y332" si="35">IFERROR(LN(U269/(V269-(1-U269)))/W269,"")</f>
        <v/>
      </c>
      <c r="Z269" s="255" t="str">
        <f>IF(ISNUMBER(SEARCH("C",'WetLitterbags placem_collection'!W196)),"YES","NO")</f>
        <v>NO</v>
      </c>
      <c r="AA269" s="255" t="str">
        <f>IF(ISNUMBER(SEARCH("H", 'WetLitterbags placem_collection'!W196)),"YES","NO")</f>
        <v>NO</v>
      </c>
      <c r="AB269" s="255" t="str">
        <f>IF(ISNUMBER(SEARCH("R", 'WetLitterbags placem_collection'!W196)),"YES","NO")</f>
        <v>YES</v>
      </c>
      <c r="AC269" s="255" t="str">
        <f>IF(ISNUMBER(SEARCH("C", 'WetLitterbags placem_collection'!V196)),"YES","NO")</f>
        <v>NO</v>
      </c>
      <c r="AD269" s="255" t="str">
        <f>IF(ISNUMBER(SEARCH("H", 'WetLitterbags placem_collection'!V196)),"YES","NO")</f>
        <v>NO</v>
      </c>
      <c r="AE269" s="255" t="str">
        <f>IF(ISNUMBER(SEARCH("R", 'WetLitterbags placem_collection'!V196)),"YES","NO")</f>
        <v>YES</v>
      </c>
    </row>
    <row r="270" spans="2:31">
      <c r="B270" t="str">
        <f>'Final data_for_R_analysis_Wetse'!A196</f>
        <v>Wet</v>
      </c>
      <c r="C270" s="263">
        <f>'Final data_for_R_analysis_Wetse'!B196</f>
        <v>195</v>
      </c>
      <c r="D270" t="s">
        <v>2430</v>
      </c>
      <c r="E270" t="s">
        <v>22</v>
      </c>
      <c r="F270" s="387">
        <v>3</v>
      </c>
      <c r="G270" s="16">
        <f>'WetLitterbags placem_collection'!E197</f>
        <v>42769</v>
      </c>
      <c r="H270" t="str">
        <f>'Final data_for_R_analysis_Wetse'!J196</f>
        <v>G821</v>
      </c>
      <c r="I270" t="str">
        <f>'Final data_for_R_analysis_Wetse'!J416</f>
        <v>R378</v>
      </c>
      <c r="J270">
        <f>IFERROR(INDEX('Green_rooibos initial weight'!$C$5:$C$1749,MATCH(H270, 'Green_rooibos initial weight'!$A$5:$A$1749,0)),"")</f>
        <v>1.9990000000000001</v>
      </c>
      <c r="K270">
        <f>IFERROR(INDEX('Green_rooibos initial weight'!$C$5:$C$1749,MATCH(I270, 'Green_rooibos initial weight'!$A$5:$A$1749,0)),"")</f>
        <v>2.2320000000000002</v>
      </c>
      <c r="L270" s="195">
        <f t="shared" si="29"/>
        <v>1.7492000000000001</v>
      </c>
      <c r="M270" s="195">
        <f>AVERAGE(Ashed_controlls!$K$2:$K$11)</f>
        <v>5.5147656768714146</v>
      </c>
      <c r="N270" s="195">
        <f t="shared" si="27"/>
        <v>1.9822000000000002</v>
      </c>
      <c r="O270" s="16">
        <f>IF('WetLitterbags placem_collection'!G197="N.A","",'WetLitterbags placem_collection'!G197)</f>
        <v>42814</v>
      </c>
      <c r="P270" s="195">
        <f>IF(IFERROR(INDEX('Both teabags AfterWet'!$C$3:$C$841,MATCH(H270,'Both teabags AfterWet'!$A$3:$A$841,0)),"")="N.A","",(IFERROR(INDEX('Both teabags AfterWet'!$C$3:$C$841,MATCH(H270,'Both teabags AfterWet'!$A$3:$A$841,0)),"")))</f>
        <v>0.7641</v>
      </c>
      <c r="Q270" s="195">
        <f>IFERROR(INDEX('Both teabags AfterWet'!$C$3:$C$841,MATCH(I270,'Both teabags AfterWet'!$A$3:$A$841,0)),"")</f>
        <v>1.5296000000000001</v>
      </c>
      <c r="R270" s="195">
        <f t="shared" si="30"/>
        <v>0.61349999999999993</v>
      </c>
      <c r="S270" s="195">
        <f t="shared" si="30"/>
        <v>1.379</v>
      </c>
      <c r="T270" s="195">
        <f t="shared" si="31"/>
        <v>0.64926823690830093</v>
      </c>
      <c r="U270" s="195">
        <f t="shared" si="32"/>
        <v>0.42564853536031133</v>
      </c>
      <c r="V270" s="195">
        <f t="shared" si="33"/>
        <v>0.69569165573605074</v>
      </c>
      <c r="W270">
        <f t="shared" si="28"/>
        <v>45</v>
      </c>
      <c r="X270" s="195">
        <f t="shared" si="34"/>
        <v>0.22889758086900125</v>
      </c>
      <c r="Y270" s="195">
        <f t="shared" si="35"/>
        <v>2.7889241643985423E-2</v>
      </c>
      <c r="Z270" s="255" t="str">
        <f>IF(ISNUMBER(SEARCH("C",'WetLitterbags placem_collection'!W197)),"YES","NO")</f>
        <v>YES</v>
      </c>
      <c r="AA270" s="255" t="str">
        <f>IF(ISNUMBER(SEARCH("H", 'WetLitterbags placem_collection'!W197)),"YES","NO")</f>
        <v>NO</v>
      </c>
      <c r="AB270" s="255" t="str">
        <f>IF(ISNUMBER(SEARCH("R", 'WetLitterbags placem_collection'!W197)),"YES","NO")</f>
        <v>YES</v>
      </c>
      <c r="AC270" s="255" t="str">
        <f>IF(ISNUMBER(SEARCH("C", 'WetLitterbags placem_collection'!V197)),"YES","NO")</f>
        <v>NO</v>
      </c>
      <c r="AD270" s="255" t="str">
        <f>IF(ISNUMBER(SEARCH("H", 'WetLitterbags placem_collection'!V197)),"YES","NO")</f>
        <v>NO</v>
      </c>
      <c r="AE270" s="255" t="str">
        <f>IF(ISNUMBER(SEARCH("R", 'WetLitterbags placem_collection'!V197)),"YES","NO")</f>
        <v>YES</v>
      </c>
    </row>
    <row r="271" spans="2:31">
      <c r="B271" t="str">
        <f>'Final data_for_R_analysis_Wetse'!A197</f>
        <v>Wet</v>
      </c>
      <c r="C271" s="263">
        <f>'Final data_for_R_analysis_Wetse'!B197</f>
        <v>196</v>
      </c>
      <c r="D271" t="s">
        <v>2421</v>
      </c>
      <c r="E271" t="s">
        <v>22</v>
      </c>
      <c r="F271" s="387">
        <v>4</v>
      </c>
      <c r="G271" s="16">
        <f>'WetLitterbags placem_collection'!E198</f>
        <v>42769</v>
      </c>
      <c r="H271" t="str">
        <f>'Final data_for_R_analysis_Wetse'!J197</f>
        <v>G754</v>
      </c>
      <c r="I271" t="str">
        <f>'Final data_for_R_analysis_Wetse'!J417</f>
        <v>R375</v>
      </c>
      <c r="J271">
        <f>IFERROR(INDEX('Green_rooibos initial weight'!$C$5:$C$1749,MATCH(H271, 'Green_rooibos initial weight'!$A$5:$A$1749,0)),"")</f>
        <v>2.0609999999999999</v>
      </c>
      <c r="K271">
        <f>IFERROR(INDEX('Green_rooibos initial weight'!$C$5:$C$1749,MATCH(I271, 'Green_rooibos initial weight'!$A$5:$A$1749,0)),"")</f>
        <v>2.23</v>
      </c>
      <c r="L271" s="195">
        <f t="shared" si="29"/>
        <v>1.8111999999999999</v>
      </c>
      <c r="M271" s="195">
        <f>AVERAGE(Ashed_controlls!$K$2:$K$11)</f>
        <v>5.5147656768714146</v>
      </c>
      <c r="N271" s="195">
        <f t="shared" si="27"/>
        <v>1.9802</v>
      </c>
      <c r="O271" s="16">
        <f>IF('WetLitterbags placem_collection'!G198="N.A","",'WetLitterbags placem_collection'!G198)</f>
        <v>42814</v>
      </c>
      <c r="P271" s="195">
        <f>IF(IFERROR(INDEX('Both teabags AfterWet'!$C$3:$C$841,MATCH(H271,'Both teabags AfterWet'!$A$3:$A$841,0)),"")="N.A","",(IFERROR(INDEX('Both teabags AfterWet'!$C$3:$C$841,MATCH(H271,'Both teabags AfterWet'!$A$3:$A$841,0)),"")))</f>
        <v>0.6452</v>
      </c>
      <c r="Q271" s="195">
        <f>IFERROR(INDEX('Both teabags AfterWet'!$C$3:$C$841,MATCH(I271,'Both teabags AfterWet'!$A$3:$A$841,0)),"")</f>
        <v>1.3742000000000001</v>
      </c>
      <c r="R271" s="195">
        <f t="shared" si="30"/>
        <v>0.49459999999999998</v>
      </c>
      <c r="S271" s="195">
        <f t="shared" si="30"/>
        <v>1.2236</v>
      </c>
      <c r="T271" s="195">
        <f t="shared" si="31"/>
        <v>0.72692137809187285</v>
      </c>
      <c r="U271" s="195">
        <f t="shared" si="32"/>
        <v>0.47655653290583594</v>
      </c>
      <c r="V271" s="195">
        <f t="shared" si="33"/>
        <v>0.61791738208261793</v>
      </c>
      <c r="W271">
        <f t="shared" si="28"/>
        <v>45</v>
      </c>
      <c r="X271" s="195">
        <f t="shared" si="34"/>
        <v>0.13667294763435522</v>
      </c>
      <c r="Y271" s="195">
        <f t="shared" si="35"/>
        <v>3.5961390966980963E-2</v>
      </c>
      <c r="Z271" s="255" t="str">
        <f>IF(ISNUMBER(SEARCH("C",'WetLitterbags placem_collection'!W198)),"YES","NO")</f>
        <v>NO</v>
      </c>
      <c r="AA271" s="255" t="str">
        <f>IF(ISNUMBER(SEARCH("H", 'WetLitterbags placem_collection'!W198)),"YES","NO")</f>
        <v>NO</v>
      </c>
      <c r="AB271" s="255" t="str">
        <f>IF(ISNUMBER(SEARCH("R", 'WetLitterbags placem_collection'!W198)),"YES","NO")</f>
        <v>NO</v>
      </c>
      <c r="AC271" s="255" t="str">
        <f>IF(ISNUMBER(SEARCH("C", 'WetLitterbags placem_collection'!V198)),"YES","NO")</f>
        <v>NO</v>
      </c>
      <c r="AD271" s="255" t="str">
        <f>IF(ISNUMBER(SEARCH("H", 'WetLitterbags placem_collection'!V198)),"YES","NO")</f>
        <v>NO</v>
      </c>
      <c r="AE271" s="255" t="str">
        <f>IF(ISNUMBER(SEARCH("R", 'WetLitterbags placem_collection'!V198)),"YES","NO")</f>
        <v>YES</v>
      </c>
    </row>
    <row r="272" spans="2:31">
      <c r="B272" t="str">
        <f>'Final data_for_R_analysis_Wetse'!A198</f>
        <v>Wet</v>
      </c>
      <c r="C272" s="263">
        <f>'Final data_for_R_analysis_Wetse'!B198</f>
        <v>197</v>
      </c>
      <c r="D272" t="s">
        <v>2431</v>
      </c>
      <c r="E272" t="s">
        <v>22</v>
      </c>
      <c r="F272" s="387">
        <v>1</v>
      </c>
      <c r="G272" s="16">
        <f>'WetLitterbags placem_collection'!E199</f>
        <v>42769</v>
      </c>
      <c r="H272" t="str">
        <f>'Final data_for_R_analysis_Wetse'!J198</f>
        <v>G715</v>
      </c>
      <c r="I272" t="str">
        <f>'Final data_for_R_analysis_Wetse'!J418</f>
        <v>R219</v>
      </c>
      <c r="J272">
        <f>IFERROR(INDEX('Green_rooibos initial weight'!$C$5:$C$1749,MATCH(H272, 'Green_rooibos initial weight'!$A$5:$A$1749,0)),"")</f>
        <v>2.0179999999999998</v>
      </c>
      <c r="K272">
        <f>IFERROR(INDEX('Green_rooibos initial weight'!$C$5:$C$1749,MATCH(I272, 'Green_rooibos initial weight'!$A$5:$A$1749,0)),"")</f>
        <v>2.2160000000000002</v>
      </c>
      <c r="L272" s="195">
        <f t="shared" si="29"/>
        <v>1.7681999999999998</v>
      </c>
      <c r="M272" s="195">
        <f>AVERAGE(Ashed_controlls!$K$2:$K$11)</f>
        <v>5.5147656768714146</v>
      </c>
      <c r="N272" s="195">
        <f t="shared" si="27"/>
        <v>1.9662000000000002</v>
      </c>
      <c r="O272" s="16">
        <f>IF('WetLitterbags placem_collection'!G199="N.A","",'WetLitterbags placem_collection'!G199)</f>
        <v>42814</v>
      </c>
      <c r="P272" s="195">
        <f>IF(IFERROR(INDEX('Both teabags AfterWet'!$C$3:$C$841,MATCH(H272,'Both teabags AfterWet'!$A$3:$A$841,0)),"")="N.A","",(IFERROR(INDEX('Both teabags AfterWet'!$C$3:$C$841,MATCH(H272,'Both teabags AfterWet'!$A$3:$A$841,0)),"")))</f>
        <v>0.69089999999999996</v>
      </c>
      <c r="Q272" s="195">
        <f>IFERROR(INDEX('Both teabags AfterWet'!$C$3:$C$841,MATCH(I272,'Both teabags AfterWet'!$A$3:$A$841,0)),"")</f>
        <v>1.5786</v>
      </c>
      <c r="R272" s="195">
        <f t="shared" si="30"/>
        <v>0.5403</v>
      </c>
      <c r="S272" s="195">
        <f t="shared" si="30"/>
        <v>1.4279999999999999</v>
      </c>
      <c r="T272" s="195">
        <f t="shared" si="31"/>
        <v>0.69443501866304713</v>
      </c>
      <c r="U272" s="195">
        <f t="shared" si="32"/>
        <v>0.455259062116392</v>
      </c>
      <c r="V272" s="195">
        <f t="shared" si="33"/>
        <v>0.72627403112602984</v>
      </c>
      <c r="W272">
        <f t="shared" si="28"/>
        <v>45</v>
      </c>
      <c r="X272" s="195">
        <f t="shared" si="34"/>
        <v>0.17525532225291307</v>
      </c>
      <c r="Y272" s="195">
        <f t="shared" si="35"/>
        <v>2.043174789362303E-2</v>
      </c>
      <c r="Z272" s="255" t="str">
        <f>IF(ISNUMBER(SEARCH("C",'WetLitterbags placem_collection'!W199)),"YES","NO")</f>
        <v>YES</v>
      </c>
      <c r="AA272" s="255" t="str">
        <f>IF(ISNUMBER(SEARCH("H", 'WetLitterbags placem_collection'!W199)),"YES","NO")</f>
        <v>YES</v>
      </c>
      <c r="AB272" s="255" t="str">
        <f>IF(ISNUMBER(SEARCH("R", 'WetLitterbags placem_collection'!W199)),"YES","NO")</f>
        <v>YES</v>
      </c>
      <c r="AC272" s="255" t="str">
        <f>IF(ISNUMBER(SEARCH("C", 'WetLitterbags placem_collection'!V199)),"YES","NO")</f>
        <v>NO</v>
      </c>
      <c r="AD272" s="255" t="str">
        <f>IF(ISNUMBER(SEARCH("H", 'WetLitterbags placem_collection'!V199)),"YES","NO")</f>
        <v>NO</v>
      </c>
      <c r="AE272" s="255" t="str">
        <f>IF(ISNUMBER(SEARCH("R", 'WetLitterbags placem_collection'!V199)),"YES","NO")</f>
        <v>YES</v>
      </c>
    </row>
    <row r="273" spans="2:31">
      <c r="B273" t="str">
        <f>'Final data_for_R_analysis_Wetse'!A199</f>
        <v>Wet</v>
      </c>
      <c r="C273" s="263">
        <f>'Final data_for_R_analysis_Wetse'!B199</f>
        <v>198</v>
      </c>
      <c r="D273" t="s">
        <v>2439</v>
      </c>
      <c r="E273" t="s">
        <v>22</v>
      </c>
      <c r="F273" s="387">
        <v>2</v>
      </c>
      <c r="G273" s="16">
        <f>'WetLitterbags placem_collection'!E200</f>
        <v>42769</v>
      </c>
      <c r="H273" t="str">
        <f>'Final data_for_R_analysis_Wetse'!J199</f>
        <v>G785</v>
      </c>
      <c r="I273" t="str">
        <f>'Final data_for_R_analysis_Wetse'!J419</f>
        <v>R463</v>
      </c>
      <c r="J273">
        <f>IFERROR(INDEX('Green_rooibos initial weight'!$C$5:$C$1749,MATCH(H273, 'Green_rooibos initial weight'!$A$5:$A$1749,0)),"")</f>
        <v>2.008</v>
      </c>
      <c r="K273">
        <f>IFERROR(INDEX('Green_rooibos initial weight'!$C$5:$C$1749,MATCH(I273, 'Green_rooibos initial weight'!$A$5:$A$1749,0)),"")</f>
        <v>2.1579999999999999</v>
      </c>
      <c r="L273" s="195">
        <f t="shared" si="29"/>
        <v>1.7582</v>
      </c>
      <c r="M273" s="195">
        <f>AVERAGE(Ashed_controlls!$K$2:$K$11)</f>
        <v>5.5147656768714146</v>
      </c>
      <c r="N273" s="195">
        <f t="shared" si="27"/>
        <v>1.9081999999999999</v>
      </c>
      <c r="O273" s="16">
        <f>IF('WetLitterbags placem_collection'!G200="N.A","",'WetLitterbags placem_collection'!G200)</f>
        <v>42813</v>
      </c>
      <c r="P273" s="195">
        <f>IF(IFERROR(INDEX('Both teabags AfterWet'!$C$3:$C$841,MATCH(H273,'Both teabags AfterWet'!$A$3:$A$841,0)),"")="N.A","",(IFERROR(INDEX('Both teabags AfterWet'!$C$3:$C$841,MATCH(H273,'Both teabags AfterWet'!$A$3:$A$841,0)),"")))</f>
        <v>0.64690000000000003</v>
      </c>
      <c r="Q273" s="195">
        <f>IFERROR(INDEX('Both teabags AfterWet'!$C$3:$C$841,MATCH(I273,'Both teabags AfterWet'!$A$3:$A$841,0)),"")</f>
        <v>1.5485</v>
      </c>
      <c r="R273" s="195">
        <f t="shared" si="30"/>
        <v>0.49630000000000002</v>
      </c>
      <c r="S273" s="195">
        <f t="shared" si="30"/>
        <v>1.3978999999999999</v>
      </c>
      <c r="T273" s="195">
        <f t="shared" si="31"/>
        <v>0.71772267091343411</v>
      </c>
      <c r="U273" s="195">
        <f t="shared" si="32"/>
        <v>0.47052602653707326</v>
      </c>
      <c r="V273" s="195">
        <f t="shared" si="33"/>
        <v>0.73257520176082169</v>
      </c>
      <c r="W273">
        <f t="shared" si="28"/>
        <v>44</v>
      </c>
      <c r="X273" s="195">
        <f t="shared" si="34"/>
        <v>0.14759777801254848</v>
      </c>
      <c r="Y273" s="195">
        <f t="shared" si="35"/>
        <v>1.9094244498665487E-2</v>
      </c>
      <c r="Z273" s="255" t="str">
        <f>IF(ISNUMBER(SEARCH("C",'WetLitterbags placem_collection'!W200)),"YES","NO")</f>
        <v>NO</v>
      </c>
      <c r="AA273" s="255" t="str">
        <f>IF(ISNUMBER(SEARCH("H", 'WetLitterbags placem_collection'!W200)),"YES","NO")</f>
        <v>NO</v>
      </c>
      <c r="AB273" s="255" t="str">
        <f>IF(ISNUMBER(SEARCH("R", 'WetLitterbags placem_collection'!W200)),"YES","NO")</f>
        <v>NO</v>
      </c>
      <c r="AC273" s="255" t="str">
        <f>IF(ISNUMBER(SEARCH("C", 'WetLitterbags placem_collection'!V200)),"YES","NO")</f>
        <v>NO</v>
      </c>
      <c r="AD273" s="255" t="str">
        <f>IF(ISNUMBER(SEARCH("H", 'WetLitterbags placem_collection'!V200)),"YES","NO")</f>
        <v>NO</v>
      </c>
      <c r="AE273" s="255" t="str">
        <f>IF(ISNUMBER(SEARCH("R", 'WetLitterbags placem_collection'!V200)),"YES","NO")</f>
        <v>YES</v>
      </c>
    </row>
    <row r="274" spans="2:31">
      <c r="B274" t="str">
        <f>'Final data_for_R_analysis_Wetse'!A200</f>
        <v>Wet</v>
      </c>
      <c r="C274" s="263">
        <f>'Final data_for_R_analysis_Wetse'!B200</f>
        <v>199</v>
      </c>
      <c r="D274" t="s">
        <v>2423</v>
      </c>
      <c r="E274" t="s">
        <v>22</v>
      </c>
      <c r="F274" s="387">
        <v>3</v>
      </c>
      <c r="G274" s="16">
        <f>'WetLitterbags placem_collection'!E201</f>
        <v>42769</v>
      </c>
      <c r="H274" t="str">
        <f>'Final data_for_R_analysis_Wetse'!J200</f>
        <v>G877</v>
      </c>
      <c r="I274" t="str">
        <f>'Final data_for_R_analysis_Wetse'!J420</f>
        <v>R339</v>
      </c>
      <c r="J274">
        <f>IFERROR(INDEX('Green_rooibos initial weight'!$C$5:$C$1749,MATCH(H274, 'Green_rooibos initial weight'!$A$5:$A$1749,0)),"")</f>
        <v>2.0649999999999999</v>
      </c>
      <c r="K274">
        <f>IFERROR(INDEX('Green_rooibos initial weight'!$C$5:$C$1749,MATCH(I274, 'Green_rooibos initial weight'!$A$5:$A$1749,0)),"")</f>
        <v>2.214</v>
      </c>
      <c r="L274" s="195">
        <f t="shared" si="29"/>
        <v>1.8151999999999999</v>
      </c>
      <c r="M274" s="195">
        <f>AVERAGE(Ashed_controlls!$K$2:$K$11)</f>
        <v>5.5147656768714146</v>
      </c>
      <c r="N274" s="195">
        <f t="shared" si="27"/>
        <v>1.9641999999999999</v>
      </c>
      <c r="O274" s="16">
        <f>IF('WetLitterbags placem_collection'!G201="N.A","",'WetLitterbags placem_collection'!G201)</f>
        <v>42814</v>
      </c>
      <c r="P274" s="195">
        <f>IF(IFERROR(INDEX('Both teabags AfterWet'!$C$3:$C$841,MATCH(H274,'Both teabags AfterWet'!$A$3:$A$841,0)),"")="N.A","",(IFERROR(INDEX('Both teabags AfterWet'!$C$3:$C$841,MATCH(H274,'Both teabags AfterWet'!$A$3:$A$841,0)),"")))</f>
        <v>0.67900000000000005</v>
      </c>
      <c r="Q274" s="195">
        <f>IFERROR(INDEX('Both teabags AfterWet'!$C$3:$C$841,MATCH(I274,'Both teabags AfterWet'!$A$3:$A$841,0)),"")</f>
        <v>1.6160000000000001</v>
      </c>
      <c r="R274" s="195">
        <f t="shared" si="30"/>
        <v>0.52839999999999998</v>
      </c>
      <c r="S274" s="195">
        <f t="shared" si="30"/>
        <v>1.4654</v>
      </c>
      <c r="T274" s="195">
        <f t="shared" si="31"/>
        <v>0.70890260026443364</v>
      </c>
      <c r="U274" s="195">
        <f t="shared" si="32"/>
        <v>0.4647437474417665</v>
      </c>
      <c r="V274" s="195">
        <f t="shared" si="33"/>
        <v>0.74605437328174329</v>
      </c>
      <c r="W274">
        <f t="shared" si="28"/>
        <v>45</v>
      </c>
      <c r="X274" s="195">
        <f t="shared" si="34"/>
        <v>0.1580729213011477</v>
      </c>
      <c r="Y274" s="195">
        <f t="shared" si="35"/>
        <v>1.7568561583611975E-2</v>
      </c>
      <c r="Z274" s="255" t="str">
        <f>IF(ISNUMBER(SEARCH("C",'WetLitterbags placem_collection'!W201)),"YES","NO")</f>
        <v>NO</v>
      </c>
      <c r="AA274" s="255" t="str">
        <f>IF(ISNUMBER(SEARCH("H", 'WetLitterbags placem_collection'!W201)),"YES","NO")</f>
        <v>NO</v>
      </c>
      <c r="AB274" s="255" t="str">
        <f>IF(ISNUMBER(SEARCH("R", 'WetLitterbags placem_collection'!W201)),"YES","NO")</f>
        <v>YES</v>
      </c>
      <c r="AC274" s="255" t="str">
        <f>IF(ISNUMBER(SEARCH("C", 'WetLitterbags placem_collection'!V201)),"YES","NO")</f>
        <v>NO</v>
      </c>
      <c r="AD274" s="255" t="str">
        <f>IF(ISNUMBER(SEARCH("H", 'WetLitterbags placem_collection'!V201)),"YES","NO")</f>
        <v>NO</v>
      </c>
      <c r="AE274" s="255" t="str">
        <f>IF(ISNUMBER(SEARCH("R", 'WetLitterbags placem_collection'!V201)),"YES","NO")</f>
        <v>YES</v>
      </c>
    </row>
    <row r="275" spans="2:31">
      <c r="B275" t="str">
        <f>'Final data_for_R_analysis_Wetse'!A201</f>
        <v>Wet</v>
      </c>
      <c r="C275" s="263">
        <f>'Final data_for_R_analysis_Wetse'!B201</f>
        <v>200</v>
      </c>
      <c r="D275" t="s">
        <v>2446</v>
      </c>
      <c r="E275" t="s">
        <v>22</v>
      </c>
      <c r="F275" s="387">
        <v>4</v>
      </c>
      <c r="G275" s="16">
        <f>'WetLitterbags placem_collection'!E202</f>
        <v>42769</v>
      </c>
      <c r="H275" t="str">
        <f>'Final data_for_R_analysis_Wetse'!J201</f>
        <v>G816</v>
      </c>
      <c r="I275" t="str">
        <f>'Final data_for_R_analysis_Wetse'!J421</f>
        <v>R303</v>
      </c>
      <c r="J275">
        <f>IFERROR(INDEX('Green_rooibos initial weight'!$C$5:$C$1749,MATCH(H275, 'Green_rooibos initial weight'!$A$5:$A$1749,0)),"")</f>
        <v>2.0139999999999998</v>
      </c>
      <c r="K275">
        <f>IFERROR(INDEX('Green_rooibos initial weight'!$C$5:$C$1749,MATCH(I275, 'Green_rooibos initial weight'!$A$5:$A$1749,0)),"")</f>
        <v>2.2490000000000001</v>
      </c>
      <c r="L275" s="195">
        <f t="shared" si="29"/>
        <v>1.7641999999999998</v>
      </c>
      <c r="M275" s="195">
        <f>AVERAGE(Ashed_controlls!$K$2:$K$11)</f>
        <v>5.5147656768714146</v>
      </c>
      <c r="N275" s="195">
        <f t="shared" si="27"/>
        <v>1.9992000000000001</v>
      </c>
      <c r="O275" s="16">
        <f>IF('WetLitterbags placem_collection'!G202="N.A","",'WetLitterbags placem_collection'!G202)</f>
        <v>42813</v>
      </c>
      <c r="P275" s="195">
        <f>IF(IFERROR(INDEX('Both teabags AfterWet'!$C$3:$C$841,MATCH(H275,'Both teabags AfterWet'!$A$3:$A$841,0)),"")="N.A","",(IFERROR(INDEX('Both teabags AfterWet'!$C$3:$C$841,MATCH(H275,'Both teabags AfterWet'!$A$3:$A$841,0)),"")))</f>
        <v>0.67120000000000002</v>
      </c>
      <c r="Q275" s="195">
        <f>IFERROR(INDEX('Both teabags AfterWet'!$C$3:$C$841,MATCH(I275,'Both teabags AfterWet'!$A$3:$A$841,0)),"")</f>
        <v>1.5651999999999999</v>
      </c>
      <c r="R275" s="195">
        <f t="shared" si="30"/>
        <v>0.52059999999999995</v>
      </c>
      <c r="S275" s="195">
        <f t="shared" si="30"/>
        <v>1.4145999999999999</v>
      </c>
      <c r="T275" s="195">
        <f t="shared" si="31"/>
        <v>0.70490874050561159</v>
      </c>
      <c r="U275" s="195">
        <f t="shared" si="32"/>
        <v>0.46212544508206371</v>
      </c>
      <c r="V275" s="195">
        <f t="shared" si="33"/>
        <v>0.7075830332132852</v>
      </c>
      <c r="W275">
        <f t="shared" si="28"/>
        <v>44</v>
      </c>
      <c r="X275" s="195">
        <f t="shared" si="34"/>
        <v>0.16281622267742091</v>
      </c>
      <c r="Y275" s="195">
        <f t="shared" si="35"/>
        <v>2.2767142020306507E-2</v>
      </c>
      <c r="Z275" s="255" t="str">
        <f>IF(ISNUMBER(SEARCH("C",'WetLitterbags placem_collection'!W202)),"YES","NO")</f>
        <v>NO</v>
      </c>
      <c r="AA275" s="255" t="str">
        <f>IF(ISNUMBER(SEARCH("H", 'WetLitterbags placem_collection'!W202)),"YES","NO")</f>
        <v>NO</v>
      </c>
      <c r="AB275" s="255" t="str">
        <f>IF(ISNUMBER(SEARCH("R", 'WetLitterbags placem_collection'!W202)),"YES","NO")</f>
        <v>YES</v>
      </c>
      <c r="AC275" s="255" t="str">
        <f>IF(ISNUMBER(SEARCH("C", 'WetLitterbags placem_collection'!V202)),"YES","NO")</f>
        <v>NO</v>
      </c>
      <c r="AD275" s="255" t="str">
        <f>IF(ISNUMBER(SEARCH("H", 'WetLitterbags placem_collection'!V202)),"YES","NO")</f>
        <v>NO</v>
      </c>
      <c r="AE275" s="255" t="str">
        <f>IF(ISNUMBER(SEARCH("R", 'WetLitterbags placem_collection'!V202)),"YES","NO")</f>
        <v>YES</v>
      </c>
    </row>
    <row r="276" spans="2:31">
      <c r="B276" t="str">
        <f>'Final data_for_R_analysis_Wetse'!A202</f>
        <v>Wet</v>
      </c>
      <c r="C276" s="263">
        <f>'Final data_for_R_analysis_Wetse'!B202</f>
        <v>201</v>
      </c>
      <c r="D276" t="s">
        <v>2447</v>
      </c>
      <c r="E276" t="s">
        <v>22</v>
      </c>
      <c r="F276" s="387">
        <v>1</v>
      </c>
      <c r="G276" s="16">
        <f>'WetLitterbags placem_collection'!E203</f>
        <v>42769</v>
      </c>
      <c r="H276" t="str">
        <f>'Final data_for_R_analysis_Wetse'!J202</f>
        <v>G811</v>
      </c>
      <c r="I276" t="str">
        <f>'Final data_for_R_analysis_Wetse'!J422</f>
        <v>R218</v>
      </c>
      <c r="J276">
        <f>IFERROR(INDEX('Green_rooibos initial weight'!$C$5:$C$1749,MATCH(H276, 'Green_rooibos initial weight'!$A$5:$A$1749,0)),"")</f>
        <v>1.9930000000000001</v>
      </c>
      <c r="K276">
        <f>IFERROR(INDEX('Green_rooibos initial weight'!$C$5:$C$1749,MATCH(I276, 'Green_rooibos initial weight'!$A$5:$A$1749,0)),"")</f>
        <v>2.2309999999999999</v>
      </c>
      <c r="L276" s="195">
        <f t="shared" si="29"/>
        <v>1.7432000000000001</v>
      </c>
      <c r="M276" s="195">
        <f>AVERAGE(Ashed_controlls!$K$2:$K$11)</f>
        <v>5.5147656768714146</v>
      </c>
      <c r="N276" s="195">
        <f t="shared" si="27"/>
        <v>1.9811999999999999</v>
      </c>
      <c r="O276" s="16">
        <f>IF('WetLitterbags placem_collection'!G203="N.A","",'WetLitterbags placem_collection'!G203)</f>
        <v>42813</v>
      </c>
      <c r="P276" s="195">
        <f>IF(IFERROR(INDEX('Both teabags AfterWet'!$C$3:$C$841,MATCH(H276,'Both teabags AfterWet'!$A$3:$A$841,0)),"")="N.A","",(IFERROR(INDEX('Both teabags AfterWet'!$C$3:$C$841,MATCH(H276,'Both teabags AfterWet'!$A$3:$A$841,0)),"")))</f>
        <v>0.56630000000000003</v>
      </c>
      <c r="Q276" s="195">
        <f>IFERROR(INDEX('Both teabags AfterWet'!$C$3:$C$841,MATCH(I276,'Both teabags AfterWet'!$A$3:$A$841,0)),"")</f>
        <v>1.5928</v>
      </c>
      <c r="R276" s="195">
        <f t="shared" si="30"/>
        <v>0.41570000000000001</v>
      </c>
      <c r="S276" s="195">
        <f t="shared" si="30"/>
        <v>1.4421999999999999</v>
      </c>
      <c r="T276" s="195">
        <f t="shared" si="31"/>
        <v>0.76153051858650755</v>
      </c>
      <c r="U276" s="195">
        <f t="shared" si="32"/>
        <v>0.49924566064103593</v>
      </c>
      <c r="V276" s="195">
        <f t="shared" si="33"/>
        <v>0.72794266101352723</v>
      </c>
      <c r="W276">
        <f t="shared" si="28"/>
        <v>44</v>
      </c>
      <c r="X276" s="195">
        <f t="shared" si="34"/>
        <v>9.5569455360442257E-2</v>
      </c>
      <c r="Y276" s="195">
        <f t="shared" si="35"/>
        <v>1.789361354874942E-2</v>
      </c>
      <c r="Z276" s="255" t="str">
        <f>IF(ISNUMBER(SEARCH("C",'WetLitterbags placem_collection'!W203)),"YES","NO")</f>
        <v>NO</v>
      </c>
      <c r="AA276" s="255" t="str">
        <f>IF(ISNUMBER(SEARCH("H", 'WetLitterbags placem_collection'!W203)),"YES","NO")</f>
        <v>NO</v>
      </c>
      <c r="AB276" s="255" t="str">
        <f>IF(ISNUMBER(SEARCH("R", 'WetLitterbags placem_collection'!W203)),"YES","NO")</f>
        <v>YES</v>
      </c>
      <c r="AC276" s="255" t="str">
        <f>IF(ISNUMBER(SEARCH("C", 'WetLitterbags placem_collection'!V203)),"YES","NO")</f>
        <v>NO</v>
      </c>
      <c r="AD276" s="255" t="str">
        <f>IF(ISNUMBER(SEARCH("H", 'WetLitterbags placem_collection'!V203)),"YES","NO")</f>
        <v>NO</v>
      </c>
      <c r="AE276" s="255" t="str">
        <f>IF(ISNUMBER(SEARCH("R", 'WetLitterbags placem_collection'!V203)),"YES","NO")</f>
        <v>YES</v>
      </c>
    </row>
    <row r="277" spans="2:31">
      <c r="B277" t="str">
        <f>'Final data_for_R_analysis_Wetse'!A203</f>
        <v>Wet</v>
      </c>
      <c r="C277" s="263">
        <f>'Final data_for_R_analysis_Wetse'!B203</f>
        <v>202</v>
      </c>
      <c r="D277" t="s">
        <v>2424</v>
      </c>
      <c r="E277" t="s">
        <v>22</v>
      </c>
      <c r="F277" s="387">
        <v>2</v>
      </c>
      <c r="G277" s="16">
        <f>'WetLitterbags placem_collection'!E204</f>
        <v>42769</v>
      </c>
      <c r="H277" t="str">
        <f>'Final data_for_R_analysis_Wetse'!J203</f>
        <v>G773</v>
      </c>
      <c r="I277" t="str">
        <f>'Final data_for_R_analysis_Wetse'!J423</f>
        <v>R135</v>
      </c>
      <c r="J277">
        <f>IFERROR(INDEX('Green_rooibos initial weight'!$C$5:$C$1749,MATCH(H277, 'Green_rooibos initial weight'!$A$5:$A$1749,0)),"")</f>
        <v>1.718</v>
      </c>
      <c r="K277">
        <f>IFERROR(INDEX('Green_rooibos initial weight'!$C$5:$C$1749,MATCH(I277, 'Green_rooibos initial weight'!$A$5:$A$1749,0)),"")</f>
        <v>2.286</v>
      </c>
      <c r="L277" s="195">
        <f t="shared" si="29"/>
        <v>1.4681999999999999</v>
      </c>
      <c r="M277" s="195">
        <f>AVERAGE(Ashed_controlls!$K$2:$K$11)</f>
        <v>5.5147656768714146</v>
      </c>
      <c r="N277" s="195">
        <f t="shared" si="27"/>
        <v>2.0362</v>
      </c>
      <c r="O277" s="16">
        <f>IF('WetLitterbags placem_collection'!G204="N.A","",'WetLitterbags placem_collection'!G204)</f>
        <v>42814</v>
      </c>
      <c r="P277" s="195">
        <f>IF(IFERROR(INDEX('Both teabags AfterWet'!$C$3:$C$841,MATCH(H277,'Both teabags AfterWet'!$A$3:$A$841,0)),"")="N.A","",(IFERROR(INDEX('Both teabags AfterWet'!$C$3:$C$841,MATCH(H277,'Both teabags AfterWet'!$A$3:$A$841,0)),"")))</f>
        <v>0.84</v>
      </c>
      <c r="Q277" s="195">
        <f>IFERROR(INDEX('Both teabags AfterWet'!$C$3:$C$841,MATCH(I277,'Both teabags AfterWet'!$A$3:$A$841,0)),"")</f>
        <v>1.6419999999999999</v>
      </c>
      <c r="R277" s="195">
        <f t="shared" si="30"/>
        <v>0.68940000000000001</v>
      </c>
      <c r="S277" s="195">
        <f t="shared" si="30"/>
        <v>1.4913999999999998</v>
      </c>
      <c r="T277" s="195">
        <f t="shared" si="31"/>
        <v>0.53044544340008171</v>
      </c>
      <c r="U277" s="195">
        <f t="shared" si="32"/>
        <v>0.34775045695587309</v>
      </c>
      <c r="V277" s="195">
        <f t="shared" si="33"/>
        <v>0.73244278558098408</v>
      </c>
      <c r="W277">
        <f t="shared" si="28"/>
        <v>45</v>
      </c>
      <c r="X277" s="195">
        <f t="shared" si="34"/>
        <v>0.37001728812341839</v>
      </c>
      <c r="Y277" s="195">
        <f t="shared" si="35"/>
        <v>3.2601019803574376E-2</v>
      </c>
      <c r="Z277" s="255" t="str">
        <f>IF(ISNUMBER(SEARCH("C",'WetLitterbags placem_collection'!W204)),"YES","NO")</f>
        <v>NO</v>
      </c>
      <c r="AA277" s="255" t="str">
        <f>IF(ISNUMBER(SEARCH("H", 'WetLitterbags placem_collection'!W204)),"YES","NO")</f>
        <v>NO</v>
      </c>
      <c r="AB277" s="255" t="str">
        <f>IF(ISNUMBER(SEARCH("R", 'WetLitterbags placem_collection'!W204)),"YES","NO")</f>
        <v>YES</v>
      </c>
      <c r="AC277" s="255" t="str">
        <f>IF(ISNUMBER(SEARCH("C", 'WetLitterbags placem_collection'!V204)),"YES","NO")</f>
        <v>NO</v>
      </c>
      <c r="AD277" s="255" t="str">
        <f>IF(ISNUMBER(SEARCH("H", 'WetLitterbags placem_collection'!V204)),"YES","NO")</f>
        <v>NO</v>
      </c>
      <c r="AE277" s="255" t="str">
        <f>IF(ISNUMBER(SEARCH("R", 'WetLitterbags placem_collection'!V204)),"YES","NO")</f>
        <v>YES</v>
      </c>
    </row>
    <row r="278" spans="2:31">
      <c r="B278" t="str">
        <f>'Final data_for_R_analysis_Wetse'!A204</f>
        <v>Wet</v>
      </c>
      <c r="C278" s="263">
        <f>'Final data_for_R_analysis_Wetse'!B204</f>
        <v>203</v>
      </c>
      <c r="D278" t="s">
        <v>2433</v>
      </c>
      <c r="E278" t="s">
        <v>22</v>
      </c>
      <c r="F278" s="387">
        <v>3</v>
      </c>
      <c r="G278" s="16">
        <f>'WetLitterbags placem_collection'!E205</f>
        <v>42769</v>
      </c>
      <c r="H278" t="str">
        <f>'Final data_for_R_analysis_Wetse'!J204</f>
        <v>G645</v>
      </c>
      <c r="I278" t="str">
        <f>'Final data_for_R_analysis_Wetse'!J424</f>
        <v>R372</v>
      </c>
      <c r="J278">
        <f>IFERROR(INDEX('Green_rooibos initial weight'!$C$5:$C$1749,MATCH(H278, 'Green_rooibos initial weight'!$A$5:$A$1749,0)),"")</f>
        <v>2.238</v>
      </c>
      <c r="K278">
        <f>IFERROR(INDEX('Green_rooibos initial weight'!$C$5:$C$1749,MATCH(I278, 'Green_rooibos initial weight'!$A$5:$A$1749,0)),"")</f>
        <v>2.202</v>
      </c>
      <c r="L278" s="195">
        <f t="shared" si="29"/>
        <v>1.9882</v>
      </c>
      <c r="M278" s="195">
        <f>AVERAGE(Ashed_controlls!$K$2:$K$11)</f>
        <v>5.5147656768714146</v>
      </c>
      <c r="N278" s="195">
        <f t="shared" si="27"/>
        <v>1.9521999999999999</v>
      </c>
      <c r="O278" s="16">
        <f>IF('WetLitterbags placem_collection'!G205="N.A","",'WetLitterbags placem_collection'!G205)</f>
        <v>42814</v>
      </c>
      <c r="P278" s="195">
        <f>IF(IFERROR(INDEX('Both teabags AfterWet'!$C$3:$C$841,MATCH(H278,'Both teabags AfterWet'!$A$3:$A$841,0)),"")="N.A","",(IFERROR(INDEX('Both teabags AfterWet'!$C$3:$C$841,MATCH(H278,'Both teabags AfterWet'!$A$3:$A$841,0)),"")))</f>
        <v>0.80930000000000002</v>
      </c>
      <c r="Q278" s="195">
        <f>IFERROR(INDEX('Both teabags AfterWet'!$C$3:$C$841,MATCH(I278,'Both teabags AfterWet'!$A$3:$A$841,0)),"")</f>
        <v>1.6213</v>
      </c>
      <c r="R278" s="195">
        <f t="shared" si="30"/>
        <v>0.65870000000000006</v>
      </c>
      <c r="S278" s="195">
        <f t="shared" si="30"/>
        <v>1.4706999999999999</v>
      </c>
      <c r="T278" s="195">
        <f t="shared" si="31"/>
        <v>0.66869530228347251</v>
      </c>
      <c r="U278" s="195">
        <f t="shared" si="32"/>
        <v>0.43838456871790604</v>
      </c>
      <c r="V278" s="195">
        <f t="shared" si="33"/>
        <v>0.75335518901751863</v>
      </c>
      <c r="W278">
        <f t="shared" si="28"/>
        <v>45</v>
      </c>
      <c r="X278" s="195">
        <f t="shared" si="34"/>
        <v>0.20582505667046014</v>
      </c>
      <c r="Y278" s="195">
        <f t="shared" si="35"/>
        <v>1.8376833595100978E-2</v>
      </c>
      <c r="Z278" s="255" t="str">
        <f>IF(ISNUMBER(SEARCH("C",'WetLitterbags placem_collection'!W205)),"YES","NO")</f>
        <v>NO</v>
      </c>
      <c r="AA278" s="255" t="str">
        <f>IF(ISNUMBER(SEARCH("H", 'WetLitterbags placem_collection'!W205)),"YES","NO")</f>
        <v>YES</v>
      </c>
      <c r="AB278" s="255" t="str">
        <f>IF(ISNUMBER(SEARCH("R", 'WetLitterbags placem_collection'!W205)),"YES","NO")</f>
        <v>NO</v>
      </c>
      <c r="AC278" s="255" t="str">
        <f>IF(ISNUMBER(SEARCH("C", 'WetLitterbags placem_collection'!V205)),"YES","NO")</f>
        <v>NO</v>
      </c>
      <c r="AD278" s="255" t="str">
        <f>IF(ISNUMBER(SEARCH("H", 'WetLitterbags placem_collection'!V205)),"YES","NO")</f>
        <v>NO</v>
      </c>
      <c r="AE278" s="255" t="str">
        <f>IF(ISNUMBER(SEARCH("R", 'WetLitterbags placem_collection'!V205)),"YES","NO")</f>
        <v>YES</v>
      </c>
    </row>
    <row r="279" spans="2:31">
      <c r="B279" t="str">
        <f>'Final data_for_R_analysis_Wetse'!A205</f>
        <v>Wet</v>
      </c>
      <c r="C279" s="263">
        <f>'Final data_for_R_analysis_Wetse'!B205</f>
        <v>204</v>
      </c>
      <c r="D279" t="s">
        <v>2440</v>
      </c>
      <c r="E279" t="s">
        <v>22</v>
      </c>
      <c r="F279" s="387">
        <v>4</v>
      </c>
      <c r="G279" s="16">
        <f>'WetLitterbags placem_collection'!E206</f>
        <v>42769</v>
      </c>
      <c r="H279" t="str">
        <f>'Final data_for_R_analysis_Wetse'!J205</f>
        <v>G814</v>
      </c>
      <c r="I279" t="str">
        <f>'Final data_for_R_analysis_Wetse'!J425</f>
        <v>R334</v>
      </c>
      <c r="J279">
        <f>IFERROR(INDEX('Green_rooibos initial weight'!$C$5:$C$1749,MATCH(H279, 'Green_rooibos initial weight'!$A$5:$A$1749,0)),"")</f>
        <v>2.1480000000000001</v>
      </c>
      <c r="K279">
        <f>IFERROR(INDEX('Green_rooibos initial weight'!$C$5:$C$1749,MATCH(I279, 'Green_rooibos initial weight'!$A$5:$A$1749,0)),"")</f>
        <v>2.1419999999999999</v>
      </c>
      <c r="L279" s="195">
        <f t="shared" si="29"/>
        <v>1.8982000000000001</v>
      </c>
      <c r="M279" s="195">
        <f>AVERAGE(Ashed_controlls!$K$2:$K$11)</f>
        <v>5.5147656768714146</v>
      </c>
      <c r="N279" s="195">
        <f t="shared" si="27"/>
        <v>1.8921999999999999</v>
      </c>
      <c r="O279" s="16">
        <f>IF('WetLitterbags placem_collection'!G206="N.A","",'WetLitterbags placem_collection'!G206)</f>
        <v>42813</v>
      </c>
      <c r="P279" s="195">
        <f>IF(IFERROR(INDEX('Both teabags AfterWet'!$C$3:$C$841,MATCH(H279,'Both teabags AfterWet'!$A$3:$A$841,0)),"")="N.A","",(IFERROR(INDEX('Both teabags AfterWet'!$C$3:$C$841,MATCH(H279,'Both teabags AfterWet'!$A$3:$A$841,0)),"")))</f>
        <v>0.68300000000000005</v>
      </c>
      <c r="Q279" s="195">
        <f>IFERROR(INDEX('Both teabags AfterWet'!$C$3:$C$841,MATCH(I279,'Both teabags AfterWet'!$A$3:$A$841,0)),"")</f>
        <v>1.544</v>
      </c>
      <c r="R279" s="195">
        <f t="shared" si="30"/>
        <v>0.53239999999999998</v>
      </c>
      <c r="S279" s="195">
        <f t="shared" si="30"/>
        <v>1.3934</v>
      </c>
      <c r="T279" s="195">
        <f t="shared" si="31"/>
        <v>0.71952375935096402</v>
      </c>
      <c r="U279" s="195">
        <f t="shared" si="32"/>
        <v>0.47170678760300733</v>
      </c>
      <c r="V279" s="195">
        <f t="shared" si="33"/>
        <v>0.73639150195539582</v>
      </c>
      <c r="W279">
        <f t="shared" si="28"/>
        <v>44</v>
      </c>
      <c r="X279" s="195">
        <f t="shared" si="34"/>
        <v>0.14545871811049405</v>
      </c>
      <c r="Y279" s="195">
        <f t="shared" si="35"/>
        <v>1.859879695015914E-2</v>
      </c>
      <c r="Z279" s="255" t="str">
        <f>IF(ISNUMBER(SEARCH("C",'WetLitterbags placem_collection'!W206)),"YES","NO")</f>
        <v>NO</v>
      </c>
      <c r="AA279" s="255" t="str">
        <f>IF(ISNUMBER(SEARCH("H", 'WetLitterbags placem_collection'!W206)),"YES","NO")</f>
        <v>NO</v>
      </c>
      <c r="AB279" s="255" t="str">
        <f>IF(ISNUMBER(SEARCH("R", 'WetLitterbags placem_collection'!W206)),"YES","NO")</f>
        <v>YES</v>
      </c>
      <c r="AC279" s="255" t="str">
        <f>IF(ISNUMBER(SEARCH("C", 'WetLitterbags placem_collection'!V206)),"YES","NO")</f>
        <v>NO</v>
      </c>
      <c r="AD279" s="255" t="str">
        <f>IF(ISNUMBER(SEARCH("H", 'WetLitterbags placem_collection'!V206)),"YES","NO")</f>
        <v>NO</v>
      </c>
      <c r="AE279" s="255" t="str">
        <f>IF(ISNUMBER(SEARCH("R", 'WetLitterbags placem_collection'!V206)),"YES","NO")</f>
        <v>YES</v>
      </c>
    </row>
    <row r="280" spans="2:31">
      <c r="B280" t="str">
        <f>'Final data_for_R_analysis_Wetse'!A206</f>
        <v>Wet</v>
      </c>
      <c r="C280" s="263">
        <f>'Final data_for_R_analysis_Wetse'!B206</f>
        <v>205</v>
      </c>
      <c r="D280" t="s">
        <v>2434</v>
      </c>
      <c r="E280" t="s">
        <v>22</v>
      </c>
      <c r="F280" s="387">
        <v>1</v>
      </c>
      <c r="G280" s="16">
        <f>'WetLitterbags placem_collection'!E207</f>
        <v>42769</v>
      </c>
      <c r="H280" t="str">
        <f>'Final data_for_R_analysis_Wetse'!J206</f>
        <v>G621</v>
      </c>
      <c r="I280" t="str">
        <f>'Final data_for_R_analysis_Wetse'!J426</f>
        <v>R265</v>
      </c>
      <c r="J280">
        <f>IFERROR(INDEX('Green_rooibos initial weight'!$C$5:$C$1749,MATCH(H280, 'Green_rooibos initial weight'!$A$5:$A$1749,0)),"")</f>
        <v>1.925</v>
      </c>
      <c r="K280">
        <f>IFERROR(INDEX('Green_rooibos initial weight'!$C$5:$C$1749,MATCH(I280, 'Green_rooibos initial weight'!$A$5:$A$1749,0)),"")</f>
        <v>2.2210000000000001</v>
      </c>
      <c r="L280" s="195">
        <f t="shared" si="29"/>
        <v>1.6752</v>
      </c>
      <c r="M280" s="195">
        <f>AVERAGE(Ashed_controlls!$K$2:$K$11)</f>
        <v>5.5147656768714146</v>
      </c>
      <c r="N280" s="195">
        <f t="shared" si="27"/>
        <v>1.9712000000000001</v>
      </c>
      <c r="O280" s="16">
        <f>IF('WetLitterbags placem_collection'!G207="N.A","",'WetLitterbags placem_collection'!G207)</f>
        <v>42814</v>
      </c>
      <c r="P280" s="195">
        <f>IF(IFERROR(INDEX('Both teabags AfterWet'!$C$3:$C$841,MATCH(H280,'Both teabags AfterWet'!$A$3:$A$841,0)),"")="N.A","",(IFERROR(INDEX('Both teabags AfterWet'!$C$3:$C$841,MATCH(H280,'Both teabags AfterWet'!$A$3:$A$841,0)),"")))</f>
        <v>0.74099999999999999</v>
      </c>
      <c r="Q280" s="195">
        <f>IFERROR(INDEX('Both teabags AfterWet'!$C$3:$C$841,MATCH(I280,'Both teabags AfterWet'!$A$3:$A$841,0)),"")</f>
        <v>1.6680999999999999</v>
      </c>
      <c r="R280" s="195">
        <f t="shared" si="30"/>
        <v>0.59040000000000004</v>
      </c>
      <c r="S280" s="195">
        <f t="shared" si="30"/>
        <v>1.5174999999999998</v>
      </c>
      <c r="T280" s="195">
        <f t="shared" si="31"/>
        <v>0.64756446991404015</v>
      </c>
      <c r="U280" s="195">
        <f t="shared" si="32"/>
        <v>0.42453157647571282</v>
      </c>
      <c r="V280" s="195">
        <f t="shared" si="33"/>
        <v>0.76983563311688297</v>
      </c>
      <c r="W280">
        <f t="shared" si="28"/>
        <v>45</v>
      </c>
      <c r="X280" s="195">
        <f t="shared" si="34"/>
        <v>0.23092105710921595</v>
      </c>
      <c r="Y280" s="195">
        <f t="shared" si="35"/>
        <v>1.7360826338285545E-2</v>
      </c>
      <c r="Z280" s="255" t="str">
        <f>IF(ISNUMBER(SEARCH("C",'WetLitterbags placem_collection'!W207)),"YES","NO")</f>
        <v>NO</v>
      </c>
      <c r="AA280" s="255" t="str">
        <f>IF(ISNUMBER(SEARCH("H", 'WetLitterbags placem_collection'!W207)),"YES","NO")</f>
        <v>NO</v>
      </c>
      <c r="AB280" s="255" t="str">
        <f>IF(ISNUMBER(SEARCH("R", 'WetLitterbags placem_collection'!W207)),"YES","NO")</f>
        <v>YES</v>
      </c>
      <c r="AC280" s="255" t="str">
        <f>IF(ISNUMBER(SEARCH("C", 'WetLitterbags placem_collection'!V207)),"YES","NO")</f>
        <v>NO</v>
      </c>
      <c r="AD280" s="255" t="str">
        <f>IF(ISNUMBER(SEARCH("H", 'WetLitterbags placem_collection'!V207)),"YES","NO")</f>
        <v>YES</v>
      </c>
      <c r="AE280" s="255" t="str">
        <f>IF(ISNUMBER(SEARCH("R", 'WetLitterbags placem_collection'!V207)),"YES","NO")</f>
        <v>YES</v>
      </c>
    </row>
    <row r="281" spans="2:31">
      <c r="B281" t="str">
        <f>'Final data_for_R_analysis_Wetse'!A207</f>
        <v>Wet</v>
      </c>
      <c r="C281" s="263">
        <f>'Final data_for_R_analysis_Wetse'!B207</f>
        <v>206</v>
      </c>
      <c r="D281" t="s">
        <v>2425</v>
      </c>
      <c r="E281" t="s">
        <v>22</v>
      </c>
      <c r="F281" s="387">
        <v>2</v>
      </c>
      <c r="G281" s="16">
        <f>'WetLitterbags placem_collection'!E208</f>
        <v>42769</v>
      </c>
      <c r="H281" t="str">
        <f>'Final data_for_R_analysis_Wetse'!J207</f>
        <v>G677</v>
      </c>
      <c r="I281" t="str">
        <f>'Final data_for_R_analysis_Wetse'!J427</f>
        <v>R234</v>
      </c>
      <c r="J281">
        <f>IFERROR(INDEX('Green_rooibos initial weight'!$C$5:$C$1749,MATCH(H281, 'Green_rooibos initial weight'!$A$5:$A$1749,0)),"")</f>
        <v>2.1269999999999998</v>
      </c>
      <c r="K281">
        <f>IFERROR(INDEX('Green_rooibos initial weight'!$C$5:$C$1749,MATCH(I281, 'Green_rooibos initial weight'!$A$5:$A$1749,0)),"")</f>
        <v>2.194</v>
      </c>
      <c r="L281" s="195">
        <f t="shared" si="29"/>
        <v>1.8771999999999998</v>
      </c>
      <c r="M281" s="195">
        <f>AVERAGE(Ashed_controlls!$K$2:$K$11)</f>
        <v>5.5147656768714146</v>
      </c>
      <c r="N281" s="195">
        <f t="shared" si="27"/>
        <v>1.9441999999999999</v>
      </c>
      <c r="O281" s="16">
        <f>IF('WetLitterbags placem_collection'!G208="N.A","",'WetLitterbags placem_collection'!G208)</f>
        <v>42814</v>
      </c>
      <c r="P281" s="195">
        <f>IF(IFERROR(INDEX('Both teabags AfterWet'!$C$3:$C$841,MATCH(H281,'Both teabags AfterWet'!$A$3:$A$841,0)),"")="N.A","",(IFERROR(INDEX('Both teabags AfterWet'!$C$3:$C$841,MATCH(H281,'Both teabags AfterWet'!$A$3:$A$841,0)),"")))</f>
        <v>0.85699999999999998</v>
      </c>
      <c r="Q281" s="195">
        <f>IFERROR(INDEX('Both teabags AfterWet'!$C$3:$C$841,MATCH(I281,'Both teabags AfterWet'!$A$3:$A$841,0)),"")</f>
        <v>1.7410000000000001</v>
      </c>
      <c r="R281" s="195">
        <f t="shared" si="30"/>
        <v>0.70639999999999992</v>
      </c>
      <c r="S281" s="195">
        <f t="shared" si="30"/>
        <v>1.5904</v>
      </c>
      <c r="T281" s="195">
        <f t="shared" si="31"/>
        <v>0.62369486469209456</v>
      </c>
      <c r="U281" s="195">
        <f t="shared" si="32"/>
        <v>0.40888309419244212</v>
      </c>
      <c r="V281" s="195">
        <f t="shared" si="33"/>
        <v>0.81802283715667112</v>
      </c>
      <c r="W281">
        <f t="shared" si="28"/>
        <v>45</v>
      </c>
      <c r="X281" s="195">
        <f t="shared" si="34"/>
        <v>0.25926975689774989</v>
      </c>
      <c r="Y281" s="195">
        <f t="shared" si="35"/>
        <v>1.3086527770293796E-2</v>
      </c>
      <c r="Z281" s="255" t="str">
        <f>IF(ISNUMBER(SEARCH("C",'WetLitterbags placem_collection'!W208)),"YES","NO")</f>
        <v>NO</v>
      </c>
      <c r="AA281" s="255" t="str">
        <f>IF(ISNUMBER(SEARCH("H", 'WetLitterbags placem_collection'!W208)),"YES","NO")</f>
        <v>NO</v>
      </c>
      <c r="AB281" s="255" t="str">
        <f>IF(ISNUMBER(SEARCH("R", 'WetLitterbags placem_collection'!W208)),"YES","NO")</f>
        <v>NO</v>
      </c>
      <c r="AC281" s="255" t="str">
        <f>IF(ISNUMBER(SEARCH("C", 'WetLitterbags placem_collection'!V208)),"YES","NO")</f>
        <v>NO</v>
      </c>
      <c r="AD281" s="255" t="str">
        <f>IF(ISNUMBER(SEARCH("H", 'WetLitterbags placem_collection'!V208)),"YES","NO")</f>
        <v>NO</v>
      </c>
      <c r="AE281" s="255" t="str">
        <f>IF(ISNUMBER(SEARCH("R", 'WetLitterbags placem_collection'!V208)),"YES","NO")</f>
        <v>YES</v>
      </c>
    </row>
    <row r="282" spans="2:31">
      <c r="B282" t="str">
        <f>'Final data_for_R_analysis_Wetse'!A208</f>
        <v>Wet</v>
      </c>
      <c r="C282" s="263">
        <f>'Final data_for_R_analysis_Wetse'!B208</f>
        <v>207</v>
      </c>
      <c r="D282" t="s">
        <v>2448</v>
      </c>
      <c r="E282" t="s">
        <v>22</v>
      </c>
      <c r="F282" s="387">
        <v>3</v>
      </c>
      <c r="G282" s="16">
        <f>'WetLitterbags placem_collection'!E209</f>
        <v>42769</v>
      </c>
      <c r="H282" t="str">
        <f>'Final data_for_R_analysis_Wetse'!J208</f>
        <v>G574</v>
      </c>
      <c r="I282" t="str">
        <f>'Final data_for_R_analysis_Wetse'!J428</f>
        <v>R258</v>
      </c>
      <c r="J282">
        <f>IFERROR(INDEX('Green_rooibos initial weight'!$C$5:$C$1749,MATCH(H282, 'Green_rooibos initial weight'!$A$5:$A$1749,0)),"")</f>
        <v>1.984</v>
      </c>
      <c r="K282">
        <f>IFERROR(INDEX('Green_rooibos initial weight'!$C$5:$C$1749,MATCH(I282, 'Green_rooibos initial weight'!$A$5:$A$1749,0)),"")</f>
        <v>2.17</v>
      </c>
      <c r="L282" s="195">
        <f t="shared" si="29"/>
        <v>1.7342</v>
      </c>
      <c r="M282" s="195">
        <f>AVERAGE(Ashed_controlls!$K$2:$K$11)</f>
        <v>5.5147656768714146</v>
      </c>
      <c r="N282" s="195">
        <f t="shared" si="27"/>
        <v>1.9201999999999999</v>
      </c>
      <c r="O282" s="16">
        <f>IF('WetLitterbags placem_collection'!G209="N.A","",'WetLitterbags placem_collection'!G209)</f>
        <v>42813</v>
      </c>
      <c r="P282" s="195">
        <f>IF(IFERROR(INDEX('Both teabags AfterWet'!$C$3:$C$841,MATCH(H282,'Both teabags AfterWet'!$A$3:$A$841,0)),"")="N.A","",(IFERROR(INDEX('Both teabags AfterWet'!$C$3:$C$841,MATCH(H282,'Both teabags AfterWet'!$A$3:$A$841,0)),"")))</f>
        <v>0.77700000000000002</v>
      </c>
      <c r="Q282" s="195">
        <f>IFERROR(INDEX('Both teabags AfterWet'!$C$3:$C$841,MATCH(I282,'Both teabags AfterWet'!$A$3:$A$841,0)),"")</f>
        <v>1.5820000000000001</v>
      </c>
      <c r="R282" s="195">
        <f t="shared" si="30"/>
        <v>0.62640000000000007</v>
      </c>
      <c r="S282" s="195">
        <f t="shared" si="30"/>
        <v>1.4314</v>
      </c>
      <c r="T282" s="195">
        <f t="shared" si="31"/>
        <v>0.6387959866220736</v>
      </c>
      <c r="U282" s="195">
        <f t="shared" si="32"/>
        <v>0.41878311712040939</v>
      </c>
      <c r="V282" s="195">
        <f t="shared" si="33"/>
        <v>0.7454431830017707</v>
      </c>
      <c r="W282">
        <f t="shared" si="28"/>
        <v>44</v>
      </c>
      <c r="X282" s="195">
        <f t="shared" si="34"/>
        <v>0.24133493275288165</v>
      </c>
      <c r="Y282" s="195">
        <f t="shared" si="35"/>
        <v>2.1275177504834656E-2</v>
      </c>
      <c r="Z282" s="255" t="str">
        <f>IF(ISNUMBER(SEARCH("C",'WetLitterbags placem_collection'!W209)),"YES","NO")</f>
        <v>YES</v>
      </c>
      <c r="AA282" s="255" t="str">
        <f>IF(ISNUMBER(SEARCH("H", 'WetLitterbags placem_collection'!W209)),"YES","NO")</f>
        <v>YES</v>
      </c>
      <c r="AB282" s="255" t="str">
        <f>IF(ISNUMBER(SEARCH("R", 'WetLitterbags placem_collection'!W209)),"YES","NO")</f>
        <v>NO</v>
      </c>
      <c r="AC282" s="255" t="str">
        <f>IF(ISNUMBER(SEARCH("C", 'WetLitterbags placem_collection'!V209)),"YES","NO")</f>
        <v>NO</v>
      </c>
      <c r="AD282" s="255" t="str">
        <f>IF(ISNUMBER(SEARCH("H", 'WetLitterbags placem_collection'!V209)),"YES","NO")</f>
        <v>NO</v>
      </c>
      <c r="AE282" s="255" t="str">
        <f>IF(ISNUMBER(SEARCH("R", 'WetLitterbags placem_collection'!V209)),"YES","NO")</f>
        <v>YES</v>
      </c>
    </row>
    <row r="283" spans="2:31">
      <c r="B283" t="str">
        <f>'Final data_for_R_analysis_Wetse'!A209</f>
        <v>Wet</v>
      </c>
      <c r="C283" s="263">
        <f>'Final data_for_R_analysis_Wetse'!B209</f>
        <v>208</v>
      </c>
      <c r="D283" t="s">
        <v>2441</v>
      </c>
      <c r="E283" t="s">
        <v>22</v>
      </c>
      <c r="F283" s="387">
        <v>4</v>
      </c>
      <c r="G283" s="16">
        <f>'WetLitterbags placem_collection'!E210</f>
        <v>42769</v>
      </c>
      <c r="H283" t="str">
        <f>'Final data_for_R_analysis_Wetse'!J209</f>
        <v>G710</v>
      </c>
      <c r="I283" t="str">
        <f>'Final data_for_R_analysis_Wetse'!J429</f>
        <v>R344</v>
      </c>
      <c r="J283">
        <f>IFERROR(INDEX('Green_rooibos initial weight'!$C$5:$C$1749,MATCH(H283, 'Green_rooibos initial weight'!$A$5:$A$1749,0)),"")</f>
        <v>2.0270000000000001</v>
      </c>
      <c r="K283">
        <f>IFERROR(INDEX('Green_rooibos initial weight'!$C$5:$C$1749,MATCH(I283, 'Green_rooibos initial weight'!$A$5:$A$1749,0)),"")</f>
        <v>2.153</v>
      </c>
      <c r="L283" s="195">
        <f t="shared" si="29"/>
        <v>1.7772000000000001</v>
      </c>
      <c r="M283" s="195">
        <f>AVERAGE(Ashed_controlls!$K$2:$K$11)</f>
        <v>5.5147656768714146</v>
      </c>
      <c r="N283" s="195">
        <f t="shared" si="27"/>
        <v>1.9032</v>
      </c>
      <c r="O283" s="16">
        <f>IF('WetLitterbags placem_collection'!G210="N.A","",'WetLitterbags placem_collection'!G210)</f>
        <v>42813</v>
      </c>
      <c r="P283" s="195">
        <f>IF(IFERROR(INDEX('Both teabags AfterWet'!$C$3:$C$841,MATCH(H283,'Both teabags AfterWet'!$A$3:$A$841,0)),"")="N.A","",(IFERROR(INDEX('Both teabags AfterWet'!$C$3:$C$841,MATCH(H283,'Both teabags AfterWet'!$A$3:$A$841,0)),"")))</f>
        <v>0.91</v>
      </c>
      <c r="Q283" s="195">
        <f>IFERROR(INDEX('Both teabags AfterWet'!$C$3:$C$841,MATCH(I283,'Both teabags AfterWet'!$A$3:$A$841,0)),"")</f>
        <v>1.476</v>
      </c>
      <c r="R283" s="195">
        <f t="shared" si="30"/>
        <v>0.75940000000000007</v>
      </c>
      <c r="S283" s="195">
        <f t="shared" si="30"/>
        <v>1.3253999999999999</v>
      </c>
      <c r="T283" s="195">
        <f t="shared" si="31"/>
        <v>0.57269862705379249</v>
      </c>
      <c r="U283" s="195">
        <f t="shared" si="32"/>
        <v>0.37545088139393529</v>
      </c>
      <c r="V283" s="195">
        <f t="shared" si="33"/>
        <v>0.69640605296342994</v>
      </c>
      <c r="W283">
        <f t="shared" si="28"/>
        <v>44</v>
      </c>
      <c r="X283" s="195">
        <f t="shared" si="34"/>
        <v>0.31983535979359556</v>
      </c>
      <c r="Y283" s="195">
        <f t="shared" si="35"/>
        <v>3.757842124220527E-2</v>
      </c>
      <c r="Z283" s="255" t="str">
        <f>IF(ISNUMBER(SEARCH("C",'WetLitterbags placem_collection'!W210)),"YES","NO")</f>
        <v>NO</v>
      </c>
      <c r="AA283" s="255" t="str">
        <f>IF(ISNUMBER(SEARCH("H", 'WetLitterbags placem_collection'!W210)),"YES","NO")</f>
        <v>NO</v>
      </c>
      <c r="AB283" s="255" t="str">
        <f>IF(ISNUMBER(SEARCH("R", 'WetLitterbags placem_collection'!W210)),"YES","NO")</f>
        <v>YES</v>
      </c>
      <c r="AC283" s="255" t="str">
        <f>IF(ISNUMBER(SEARCH("C", 'WetLitterbags placem_collection'!V210)),"YES","NO")</f>
        <v>NO</v>
      </c>
      <c r="AD283" s="255" t="str">
        <f>IF(ISNUMBER(SEARCH("H", 'WetLitterbags placem_collection'!V210)),"YES","NO")</f>
        <v>NO</v>
      </c>
      <c r="AE283" s="255" t="str">
        <f>IF(ISNUMBER(SEARCH("R", 'WetLitterbags placem_collection'!V210)),"YES","NO")</f>
        <v>YES</v>
      </c>
    </row>
    <row r="284" spans="2:31">
      <c r="B284" t="str">
        <f>'Final data_for_R_analysis_Wetse'!A210</f>
        <v>Wet</v>
      </c>
      <c r="C284" s="263">
        <f>'Final data_for_R_analysis_Wetse'!B210</f>
        <v>209</v>
      </c>
      <c r="D284" t="s">
        <v>2435</v>
      </c>
      <c r="E284" t="s">
        <v>22</v>
      </c>
      <c r="F284" s="387">
        <v>1</v>
      </c>
      <c r="G284" s="16">
        <f>'WetLitterbags placem_collection'!E211</f>
        <v>42769</v>
      </c>
      <c r="H284" t="str">
        <f>'Final data_for_R_analysis_Wetse'!J210</f>
        <v>G604</v>
      </c>
      <c r="I284" t="str">
        <f>'Final data_for_R_analysis_Wetse'!J430</f>
        <v>R271</v>
      </c>
      <c r="J284">
        <f>IFERROR(INDEX('Green_rooibos initial weight'!$C$5:$C$1749,MATCH(H284, 'Green_rooibos initial weight'!$A$5:$A$1749,0)),"")</f>
        <v>2.0390000000000001</v>
      </c>
      <c r="K284">
        <f>IFERROR(INDEX('Green_rooibos initial weight'!$C$5:$C$1749,MATCH(I284, 'Green_rooibos initial weight'!$A$5:$A$1749,0)),"")</f>
        <v>2.2829999999999999</v>
      </c>
      <c r="L284" s="195">
        <f t="shared" si="29"/>
        <v>1.7892000000000001</v>
      </c>
      <c r="M284" s="195">
        <f>AVERAGE(Ashed_controlls!$K$2:$K$11)</f>
        <v>5.5147656768714146</v>
      </c>
      <c r="N284" s="195">
        <f t="shared" si="27"/>
        <v>2.0331999999999999</v>
      </c>
      <c r="O284" s="16">
        <f>IF('WetLitterbags placem_collection'!G211="N.A","",'WetLitterbags placem_collection'!G211)</f>
        <v>42814</v>
      </c>
      <c r="P284" s="195">
        <f>IF(IFERROR(INDEX('Both teabags AfterWet'!$C$3:$C$841,MATCH(H284,'Both teabags AfterWet'!$A$3:$A$841,0)),"")="N.A","",(IFERROR(INDEX('Both teabags AfterWet'!$C$3:$C$841,MATCH(H284,'Both teabags AfterWet'!$A$3:$A$841,0)),"")))</f>
        <v>0.748</v>
      </c>
      <c r="Q284" s="195">
        <f>IFERROR(INDEX('Both teabags AfterWet'!$C$3:$C$841,MATCH(I284,'Both teabags AfterWet'!$A$3:$A$841,0)),"")</f>
        <v>1.754</v>
      </c>
      <c r="R284" s="195">
        <f t="shared" si="30"/>
        <v>0.59739999999999993</v>
      </c>
      <c r="S284" s="195">
        <f t="shared" si="30"/>
        <v>1.6033999999999999</v>
      </c>
      <c r="T284" s="195">
        <f t="shared" si="31"/>
        <v>0.66610775765705355</v>
      </c>
      <c r="U284" s="195">
        <f t="shared" si="32"/>
        <v>0.43668822117184508</v>
      </c>
      <c r="V284" s="195">
        <f t="shared" si="33"/>
        <v>0.78860908912059813</v>
      </c>
      <c r="W284">
        <f t="shared" si="28"/>
        <v>45</v>
      </c>
      <c r="X284" s="195">
        <f t="shared" si="34"/>
        <v>0.20889815005100532</v>
      </c>
      <c r="Y284" s="195">
        <f t="shared" si="35"/>
        <v>1.4706635083159539E-2</v>
      </c>
      <c r="Z284" s="255" t="str">
        <f>IF(ISNUMBER(SEARCH("C",'WetLitterbags placem_collection'!W211)),"YES","NO")</f>
        <v>NO</v>
      </c>
      <c r="AA284" s="255" t="str">
        <f>IF(ISNUMBER(SEARCH("H", 'WetLitterbags placem_collection'!W211)),"YES","NO")</f>
        <v>NO</v>
      </c>
      <c r="AB284" s="255" t="str">
        <f>IF(ISNUMBER(SEARCH("R", 'WetLitterbags placem_collection'!W211)),"YES","NO")</f>
        <v>YES</v>
      </c>
      <c r="AC284" s="255" t="str">
        <f>IF(ISNUMBER(SEARCH("C", 'WetLitterbags placem_collection'!V211)),"YES","NO")</f>
        <v>NO</v>
      </c>
      <c r="AD284" s="255" t="str">
        <f>IF(ISNUMBER(SEARCH("H", 'WetLitterbags placem_collection'!V211)),"YES","NO")</f>
        <v>NO</v>
      </c>
      <c r="AE284" s="255" t="str">
        <f>IF(ISNUMBER(SEARCH("R", 'WetLitterbags placem_collection'!V211)),"YES","NO")</f>
        <v>YES</v>
      </c>
    </row>
    <row r="285" spans="2:31">
      <c r="B285" t="str">
        <f>'Final data_for_R_analysis_Wetse'!A211</f>
        <v>Wet</v>
      </c>
      <c r="C285" s="263">
        <f>'Final data_for_R_analysis_Wetse'!B211</f>
        <v>210</v>
      </c>
      <c r="D285" t="s">
        <v>2449</v>
      </c>
      <c r="E285" t="s">
        <v>22</v>
      </c>
      <c r="F285" s="387">
        <v>2</v>
      </c>
      <c r="G285" s="16">
        <f>'WetLitterbags placem_collection'!E212</f>
        <v>42769</v>
      </c>
      <c r="H285" t="str">
        <f>'Final data_for_R_analysis_Wetse'!J211</f>
        <v>G871</v>
      </c>
      <c r="I285" t="str">
        <f>'Final data_for_R_analysis_Wetse'!J431</f>
        <v>R340</v>
      </c>
      <c r="J285">
        <f>IFERROR(INDEX('Green_rooibos initial weight'!$C$5:$C$1749,MATCH(H285, 'Green_rooibos initial weight'!$A$5:$A$1749,0)),"")</f>
        <v>2.0680000000000001</v>
      </c>
      <c r="K285">
        <f>IFERROR(INDEX('Green_rooibos initial weight'!$C$5:$C$1749,MATCH(I285, 'Green_rooibos initial weight'!$A$5:$A$1749,0)),"")</f>
        <v>2.2130000000000001</v>
      </c>
      <c r="L285" s="195">
        <f t="shared" si="29"/>
        <v>1.8182</v>
      </c>
      <c r="M285" s="195">
        <f>AVERAGE(Ashed_controlls!$K$2:$K$11)</f>
        <v>5.5147656768714146</v>
      </c>
      <c r="N285" s="195">
        <f t="shared" si="27"/>
        <v>1.9632000000000001</v>
      </c>
      <c r="O285" s="16">
        <f>IF('WetLitterbags placem_collection'!G212="N.A","",'WetLitterbags placem_collection'!G212)</f>
        <v>42813</v>
      </c>
      <c r="P285" s="195">
        <f>IF(IFERROR(INDEX('Both teabags AfterWet'!$C$3:$C$841,MATCH(H285,'Both teabags AfterWet'!$A$3:$A$841,0)),"")="N.A","",(IFERROR(INDEX('Both teabags AfterWet'!$C$3:$C$841,MATCH(H285,'Both teabags AfterWet'!$A$3:$A$841,0)),"")))</f>
        <v>0.83130000000000004</v>
      </c>
      <c r="Q285" s="195">
        <f>IFERROR(INDEX('Both teabags AfterWet'!$C$3:$C$841,MATCH(I285,'Both teabags AfterWet'!$A$3:$A$841,0)),"")</f>
        <v>1.6197999999999999</v>
      </c>
      <c r="R285" s="195">
        <f t="shared" si="30"/>
        <v>0.68070000000000008</v>
      </c>
      <c r="S285" s="195">
        <f t="shared" si="30"/>
        <v>1.4691999999999998</v>
      </c>
      <c r="T285" s="195">
        <f t="shared" si="31"/>
        <v>0.62561874381256177</v>
      </c>
      <c r="U285" s="195">
        <f t="shared" si="32"/>
        <v>0.41014435461346094</v>
      </c>
      <c r="V285" s="195">
        <f t="shared" si="33"/>
        <v>0.74837000814995913</v>
      </c>
      <c r="W285">
        <f t="shared" si="28"/>
        <v>44</v>
      </c>
      <c r="X285" s="195">
        <f t="shared" si="34"/>
        <v>0.25698486483068672</v>
      </c>
      <c r="Y285" s="195">
        <f t="shared" si="35"/>
        <v>2.1605999457692288E-2</v>
      </c>
      <c r="Z285" s="255" t="str">
        <f>IF(ISNUMBER(SEARCH("C",'WetLitterbags placem_collection'!W212)),"YES","NO")</f>
        <v>NO</v>
      </c>
      <c r="AA285" s="255" t="str">
        <f>IF(ISNUMBER(SEARCH("H", 'WetLitterbags placem_collection'!W212)),"YES","NO")</f>
        <v>NO</v>
      </c>
      <c r="AB285" s="255" t="str">
        <f>IF(ISNUMBER(SEARCH("R", 'WetLitterbags placem_collection'!W212)),"YES","NO")</f>
        <v>YES</v>
      </c>
      <c r="AC285" s="255" t="str">
        <f>IF(ISNUMBER(SEARCH("C", 'WetLitterbags placem_collection'!V212)),"YES","NO")</f>
        <v>NO</v>
      </c>
      <c r="AD285" s="255" t="str">
        <f>IF(ISNUMBER(SEARCH("H", 'WetLitterbags placem_collection'!V212)),"YES","NO")</f>
        <v>NO</v>
      </c>
      <c r="AE285" s="255" t="str">
        <f>IF(ISNUMBER(SEARCH("R", 'WetLitterbags placem_collection'!V212)),"YES","NO")</f>
        <v>YES</v>
      </c>
    </row>
    <row r="286" spans="2:31">
      <c r="B286" t="str">
        <f>'Final data_for_R_analysis_Wetse'!A212</f>
        <v>Wet</v>
      </c>
      <c r="C286" s="263">
        <f>'Final data_for_R_analysis_Wetse'!B212</f>
        <v>211</v>
      </c>
      <c r="D286" t="s">
        <v>2426</v>
      </c>
      <c r="E286" t="s">
        <v>22</v>
      </c>
      <c r="F286" s="387">
        <v>3</v>
      </c>
      <c r="G286" s="16">
        <f>'WetLitterbags placem_collection'!E213</f>
        <v>42769</v>
      </c>
      <c r="H286" t="str">
        <f>'Final data_for_R_analysis_Wetse'!J212</f>
        <v>G822</v>
      </c>
      <c r="I286" t="str">
        <f>'Final data_for_R_analysis_Wetse'!J432</f>
        <v>R381</v>
      </c>
      <c r="J286">
        <f>IFERROR(INDEX('Green_rooibos initial weight'!$C$5:$C$1749,MATCH(H286, 'Green_rooibos initial weight'!$A$5:$A$1749,0)),"")</f>
        <v>2.02</v>
      </c>
      <c r="K286">
        <f>IFERROR(INDEX('Green_rooibos initial weight'!$C$5:$C$1749,MATCH(I286, 'Green_rooibos initial weight'!$A$5:$A$1749,0)),"")</f>
        <v>2.2349999999999999</v>
      </c>
      <c r="L286" s="195">
        <f t="shared" si="29"/>
        <v>1.7702</v>
      </c>
      <c r="M286" s="195">
        <f>AVERAGE(Ashed_controlls!$K$2:$K$11)</f>
        <v>5.5147656768714146</v>
      </c>
      <c r="N286" s="195">
        <f t="shared" si="27"/>
        <v>1.9851999999999999</v>
      </c>
      <c r="O286" s="16">
        <f>IF('WetLitterbags placem_collection'!G213="N.A","",'WetLitterbags placem_collection'!G213)</f>
        <v>42814</v>
      </c>
      <c r="P286" s="195">
        <f>IF(IFERROR(INDEX('Both teabags AfterWet'!$C$3:$C$841,MATCH(H286,'Both teabags AfterWet'!$A$3:$A$841,0)),"")="N.A","",(IFERROR(INDEX('Both teabags AfterWet'!$C$3:$C$841,MATCH(H286,'Both teabags AfterWet'!$A$3:$A$841,0)),"")))</f>
        <v>0.85699999999999998</v>
      </c>
      <c r="Q286" s="195">
        <f>IFERROR(INDEX('Both teabags AfterWet'!$C$3:$C$841,MATCH(I286,'Both teabags AfterWet'!$A$3:$A$841,0)),"")</f>
        <v>1.528</v>
      </c>
      <c r="R286" s="195">
        <f t="shared" si="30"/>
        <v>0.70639999999999992</v>
      </c>
      <c r="S286" s="195">
        <f t="shared" si="30"/>
        <v>1.3774</v>
      </c>
      <c r="T286" s="195">
        <f t="shared" si="31"/>
        <v>0.60094904530561521</v>
      </c>
      <c r="U286" s="195">
        <f t="shared" si="32"/>
        <v>0.39397134561603281</v>
      </c>
      <c r="V286" s="195">
        <f t="shared" si="33"/>
        <v>0.69383437437034057</v>
      </c>
      <c r="W286">
        <f t="shared" si="28"/>
        <v>45</v>
      </c>
      <c r="X286" s="195">
        <f t="shared" si="34"/>
        <v>0.28628379417385363</v>
      </c>
      <c r="Y286" s="195">
        <f t="shared" si="35"/>
        <v>3.3358922963616186E-2</v>
      </c>
      <c r="Z286" s="255" t="str">
        <f>IF(ISNUMBER(SEARCH("C",'WetLitterbags placem_collection'!W213)),"YES","NO")</f>
        <v>NO</v>
      </c>
      <c r="AA286" s="255" t="str">
        <f>IF(ISNUMBER(SEARCH("H", 'WetLitterbags placem_collection'!W213)),"YES","NO")</f>
        <v>NO</v>
      </c>
      <c r="AB286" s="255" t="str">
        <f>IF(ISNUMBER(SEARCH("R", 'WetLitterbags placem_collection'!W213)),"YES","NO")</f>
        <v>YES</v>
      </c>
      <c r="AC286" s="255" t="str">
        <f>IF(ISNUMBER(SEARCH("C", 'WetLitterbags placem_collection'!V213)),"YES","NO")</f>
        <v>NO</v>
      </c>
      <c r="AD286" s="255" t="str">
        <f>IF(ISNUMBER(SEARCH("H", 'WetLitterbags placem_collection'!V213)),"YES","NO")</f>
        <v>NO</v>
      </c>
      <c r="AE286" s="255" t="str">
        <f>IF(ISNUMBER(SEARCH("R", 'WetLitterbags placem_collection'!V213)),"YES","NO")</f>
        <v>YES</v>
      </c>
    </row>
    <row r="287" spans="2:31">
      <c r="B287" t="str">
        <f>'Final data_for_R_analysis_Wetse'!A213</f>
        <v>Wet</v>
      </c>
      <c r="C287" s="263">
        <f>'Final data_for_R_analysis_Wetse'!B213</f>
        <v>215</v>
      </c>
      <c r="D287" t="s">
        <v>2427</v>
      </c>
      <c r="E287" t="s">
        <v>22</v>
      </c>
      <c r="F287" s="387">
        <v>3</v>
      </c>
      <c r="G287" s="16">
        <f>'WetLitterbags placem_collection'!E214</f>
        <v>42769</v>
      </c>
      <c r="H287" t="str">
        <f>'Final data_for_R_analysis_Wetse'!J213</f>
        <v>G786</v>
      </c>
      <c r="I287" t="str">
        <f>'Final data_for_R_analysis_Wetse'!J433</f>
        <v>R93</v>
      </c>
      <c r="J287">
        <f>IFERROR(INDEX('Green_rooibos initial weight'!$C$5:$C$1749,MATCH(H287, 'Green_rooibos initial weight'!$A$5:$A$1749,0)),"")</f>
        <v>2.097</v>
      </c>
      <c r="K287">
        <f>IFERROR(INDEX('Green_rooibos initial weight'!$C$5:$C$1749,MATCH(I287, 'Green_rooibos initial weight'!$A$5:$A$1749,0)),"")</f>
        <v>2.1709999999999998</v>
      </c>
      <c r="L287" s="195">
        <f t="shared" si="29"/>
        <v>1.8472</v>
      </c>
      <c r="M287" s="195">
        <f>AVERAGE(Ashed_controlls!$K$2:$K$11)</f>
        <v>5.5147656768714146</v>
      </c>
      <c r="N287" s="195">
        <f t="shared" si="27"/>
        <v>1.9211999999999998</v>
      </c>
      <c r="O287" s="16">
        <f>IF('WetLitterbags placem_collection'!G214="N.A","",'WetLitterbags placem_collection'!G214)</f>
        <v>42813</v>
      </c>
      <c r="P287" s="195">
        <f>IF(IFERROR(INDEX('Both teabags AfterWet'!$C$3:$C$841,MATCH(H287,'Both teabags AfterWet'!$A$3:$A$841,0)),"")="N.A","",(IFERROR(INDEX('Both teabags AfterWet'!$C$3:$C$841,MATCH(H287,'Both teabags AfterWet'!$A$3:$A$841,0)),"")))</f>
        <v>0.86439999999999995</v>
      </c>
      <c r="Q287" s="195">
        <f>IFERROR(INDEX('Both teabags AfterWet'!$C$3:$C$841,MATCH(I287,'Both teabags AfterWet'!$A$3:$A$841,0)),"")</f>
        <v>1.5831999999999999</v>
      </c>
      <c r="R287" s="195">
        <f t="shared" si="30"/>
        <v>0.71379999999999999</v>
      </c>
      <c r="S287" s="195">
        <f t="shared" si="30"/>
        <v>1.4325999999999999</v>
      </c>
      <c r="T287" s="195">
        <f t="shared" si="31"/>
        <v>0.6135773061931572</v>
      </c>
      <c r="U287" s="195">
        <f t="shared" si="32"/>
        <v>0.40225020548530027</v>
      </c>
      <c r="V287" s="195">
        <f t="shared" si="33"/>
        <v>0.74567978346866548</v>
      </c>
      <c r="W287">
        <f t="shared" si="28"/>
        <v>44</v>
      </c>
      <c r="X287" s="195">
        <f t="shared" si="34"/>
        <v>0.27128585962807927</v>
      </c>
      <c r="Y287" s="195">
        <f t="shared" si="35"/>
        <v>2.2734890510879111E-2</v>
      </c>
      <c r="Z287" s="255" t="str">
        <f>IF(ISNUMBER(SEARCH("C",'WetLitterbags placem_collection'!W214)),"YES","NO")</f>
        <v>YES</v>
      </c>
      <c r="AA287" s="255" t="str">
        <f>IF(ISNUMBER(SEARCH("H", 'WetLitterbags placem_collection'!W214)),"YES","NO")</f>
        <v>NO</v>
      </c>
      <c r="AB287" s="255" t="str">
        <f>IF(ISNUMBER(SEARCH("R", 'WetLitterbags placem_collection'!W214)),"YES","NO")</f>
        <v>YES</v>
      </c>
      <c r="AC287" s="255" t="str">
        <f>IF(ISNUMBER(SEARCH("C", 'WetLitterbags placem_collection'!V214)),"YES","NO")</f>
        <v>NO</v>
      </c>
      <c r="AD287" s="255" t="str">
        <f>IF(ISNUMBER(SEARCH("H", 'WetLitterbags placem_collection'!V214)),"YES","NO")</f>
        <v>NO</v>
      </c>
      <c r="AE287" s="255" t="str">
        <f>IF(ISNUMBER(SEARCH("R", 'WetLitterbags placem_collection'!V214)),"YES","NO")</f>
        <v>NO</v>
      </c>
    </row>
    <row r="288" spans="2:31">
      <c r="B288" t="str">
        <f>'Final data_for_R_analysis_Wetse'!A214</f>
        <v>Wet</v>
      </c>
      <c r="C288" s="263">
        <f>'Final data_for_R_analysis_Wetse'!B214</f>
        <v>212</v>
      </c>
      <c r="D288" t="s">
        <v>2442</v>
      </c>
      <c r="E288" t="s">
        <v>22</v>
      </c>
      <c r="F288" s="387">
        <v>4</v>
      </c>
      <c r="G288" s="16">
        <f>'WetLitterbags placem_collection'!E215</f>
        <v>42769</v>
      </c>
      <c r="H288" t="str">
        <f>'Final data_for_R_analysis_Wetse'!J214</f>
        <v>G572</v>
      </c>
      <c r="I288" t="str">
        <f>'Final data_for_R_analysis_Wetse'!J434</f>
        <v>R88</v>
      </c>
      <c r="J288">
        <f>IFERROR(INDEX('Green_rooibos initial weight'!$C$5:$C$1749,MATCH(H288, 'Green_rooibos initial weight'!$A$5:$A$1749,0)),"")</f>
        <v>1.972</v>
      </c>
      <c r="K288">
        <f>IFERROR(INDEX('Green_rooibos initial weight'!$C$5:$C$1749,MATCH(I288, 'Green_rooibos initial weight'!$A$5:$A$1749,0)),"")</f>
        <v>2.1520000000000001</v>
      </c>
      <c r="L288" s="195">
        <f t="shared" si="29"/>
        <v>1.7222</v>
      </c>
      <c r="M288" s="195">
        <f>AVERAGE(Ashed_controlls!$K$2:$K$11)</f>
        <v>5.5147656768714146</v>
      </c>
      <c r="N288" s="195">
        <f t="shared" si="27"/>
        <v>1.9022000000000001</v>
      </c>
      <c r="O288" s="16">
        <f>IF('WetLitterbags placem_collection'!G215="N.A","",'WetLitterbags placem_collection'!G215)</f>
        <v>42813</v>
      </c>
      <c r="P288" s="195">
        <f>IF(IFERROR(INDEX('Both teabags AfterWet'!$C$3:$C$841,MATCH(H288,'Both teabags AfterWet'!$A$3:$A$841,0)),"")="N.A","",(IFERROR(INDEX('Both teabags AfterWet'!$C$3:$C$841,MATCH(H288,'Both teabags AfterWet'!$A$3:$A$841,0)),"")))</f>
        <v>0.71399999999999997</v>
      </c>
      <c r="Q288" s="195">
        <f>IFERROR(INDEX('Both teabags AfterWet'!$C$3:$C$841,MATCH(I288,'Both teabags AfterWet'!$A$3:$A$841,0)),"")</f>
        <v>1.542</v>
      </c>
      <c r="R288" s="195">
        <f t="shared" si="30"/>
        <v>0.5633999999999999</v>
      </c>
      <c r="S288" s="195">
        <f t="shared" si="30"/>
        <v>1.3914</v>
      </c>
      <c r="T288" s="195">
        <f t="shared" si="31"/>
        <v>0.67286029497154809</v>
      </c>
      <c r="U288" s="195">
        <f t="shared" si="32"/>
        <v>0.44111506273669193</v>
      </c>
      <c r="V288" s="195">
        <f t="shared" si="33"/>
        <v>0.73146882557039217</v>
      </c>
      <c r="W288">
        <f t="shared" si="28"/>
        <v>44</v>
      </c>
      <c r="X288" s="195">
        <f t="shared" si="34"/>
        <v>0.20087850953497843</v>
      </c>
      <c r="Y288" s="195">
        <f t="shared" si="35"/>
        <v>2.1327780167317251E-2</v>
      </c>
      <c r="Z288" s="255" t="str">
        <f>IF(ISNUMBER(SEARCH("C",'WetLitterbags placem_collection'!W215)),"YES","NO")</f>
        <v>NO</v>
      </c>
      <c r="AA288" s="255" t="str">
        <f>IF(ISNUMBER(SEARCH("H", 'WetLitterbags placem_collection'!W215)),"YES","NO")</f>
        <v>NO</v>
      </c>
      <c r="AB288" s="255" t="str">
        <f>IF(ISNUMBER(SEARCH("R", 'WetLitterbags placem_collection'!W215)),"YES","NO")</f>
        <v>YES</v>
      </c>
      <c r="AC288" s="255" t="str">
        <f>IF(ISNUMBER(SEARCH("C", 'WetLitterbags placem_collection'!V215)),"YES","NO")</f>
        <v>NO</v>
      </c>
      <c r="AD288" s="255" t="str">
        <f>IF(ISNUMBER(SEARCH("H", 'WetLitterbags placem_collection'!V215)),"YES","NO")</f>
        <v>NO</v>
      </c>
      <c r="AE288" s="255" t="str">
        <f>IF(ISNUMBER(SEARCH("R", 'WetLitterbags placem_collection'!V215)),"YES","NO")</f>
        <v>YES</v>
      </c>
    </row>
    <row r="289" spans="2:31">
      <c r="B289" t="str">
        <f>'Final data_for_R_analysis_Wetse'!A215</f>
        <v>Wet</v>
      </c>
      <c r="C289" s="263">
        <f>'Final data_for_R_analysis_Wetse'!B215</f>
        <v>213</v>
      </c>
      <c r="D289" t="s">
        <v>2450</v>
      </c>
      <c r="E289" t="s">
        <v>22</v>
      </c>
      <c r="F289" s="387">
        <v>1</v>
      </c>
      <c r="G289" s="16">
        <f>'WetLitterbags placem_collection'!E216</f>
        <v>42769</v>
      </c>
      <c r="H289" t="str">
        <f>'Final data_for_R_analysis_Wetse'!J215</f>
        <v>G761</v>
      </c>
      <c r="I289" t="str">
        <f>'Final data_for_R_analysis_Wetse'!J435</f>
        <v>R383</v>
      </c>
      <c r="J289">
        <f>IFERROR(INDEX('Green_rooibos initial weight'!$C$5:$C$1749,MATCH(H289, 'Green_rooibos initial weight'!$A$5:$A$1749,0)),"")</f>
        <v>2.0110000000000001</v>
      </c>
      <c r="K289">
        <f>IFERROR(INDEX('Green_rooibos initial weight'!$C$5:$C$1749,MATCH(I289, 'Green_rooibos initial weight'!$A$5:$A$1749,0)),"")</f>
        <v>2.234</v>
      </c>
      <c r="L289" s="195">
        <f t="shared" si="29"/>
        <v>1.7612000000000001</v>
      </c>
      <c r="M289" s="195">
        <f>AVERAGE(Ashed_controlls!$K$2:$K$11)</f>
        <v>5.5147656768714146</v>
      </c>
      <c r="N289" s="195">
        <f t="shared" si="27"/>
        <v>1.9842</v>
      </c>
      <c r="O289" s="16">
        <f>IF('WetLitterbags placem_collection'!G216="N.A","",'WetLitterbags placem_collection'!G216)</f>
        <v>42813</v>
      </c>
      <c r="P289" s="195">
        <f>IF(IFERROR(INDEX('Both teabags AfterWet'!$C$3:$C$841,MATCH(H289,'Both teabags AfterWet'!$A$3:$A$841,0)),"")="N.A","",(IFERROR(INDEX('Both teabags AfterWet'!$C$3:$C$841,MATCH(H289,'Both teabags AfterWet'!$A$3:$A$841,0)),"")))</f>
        <v>0.71299999999999997</v>
      </c>
      <c r="Q289" s="195">
        <f>IFERROR(INDEX('Both teabags AfterWet'!$C$3:$C$841,MATCH(I289,'Both teabags AfterWet'!$A$3:$A$841,0)),"")</f>
        <v>1.587</v>
      </c>
      <c r="R289" s="195">
        <f t="shared" si="30"/>
        <v>0.56240000000000001</v>
      </c>
      <c r="S289" s="195">
        <f t="shared" si="30"/>
        <v>1.4363999999999999</v>
      </c>
      <c r="T289" s="195">
        <f t="shared" si="31"/>
        <v>0.68067226890756305</v>
      </c>
      <c r="U289" s="195">
        <f t="shared" si="32"/>
        <v>0.44623645182538579</v>
      </c>
      <c r="V289" s="195">
        <f t="shared" si="33"/>
        <v>0.72391895978227994</v>
      </c>
      <c r="W289">
        <f t="shared" si="28"/>
        <v>44</v>
      </c>
      <c r="X289" s="195">
        <f t="shared" si="34"/>
        <v>0.19160063075111278</v>
      </c>
      <c r="Y289" s="195">
        <f t="shared" si="35"/>
        <v>2.1912199254853739E-2</v>
      </c>
      <c r="Z289" s="255" t="str">
        <f>IF(ISNUMBER(SEARCH("C",'WetLitterbags placem_collection'!W216)),"YES","NO")</f>
        <v>NO</v>
      </c>
      <c r="AA289" s="255" t="str">
        <f>IF(ISNUMBER(SEARCH("H", 'WetLitterbags placem_collection'!W216)),"YES","NO")</f>
        <v>NO</v>
      </c>
      <c r="AB289" s="255" t="str">
        <f>IF(ISNUMBER(SEARCH("R", 'WetLitterbags placem_collection'!W216)),"YES","NO")</f>
        <v>YES</v>
      </c>
      <c r="AC289" s="255" t="str">
        <f>IF(ISNUMBER(SEARCH("C", 'WetLitterbags placem_collection'!V216)),"YES","NO")</f>
        <v>NO</v>
      </c>
      <c r="AD289" s="255" t="str">
        <f>IF(ISNUMBER(SEARCH("H", 'WetLitterbags placem_collection'!V216)),"YES","NO")</f>
        <v>NO</v>
      </c>
      <c r="AE289" s="255" t="str">
        <f>IF(ISNUMBER(SEARCH("R", 'WetLitterbags placem_collection'!V216)),"YES","NO")</f>
        <v>YES</v>
      </c>
    </row>
    <row r="290" spans="2:31">
      <c r="B290" t="str">
        <f>'Final data_for_R_analysis_Wetse'!A216</f>
        <v>Wet</v>
      </c>
      <c r="C290" s="263">
        <f>'Final data_for_R_analysis_Wetse'!B216</f>
        <v>214</v>
      </c>
      <c r="D290" t="s">
        <v>2443</v>
      </c>
      <c r="E290" t="s">
        <v>22</v>
      </c>
      <c r="F290" s="387">
        <v>2</v>
      </c>
      <c r="G290" s="16">
        <f>'WetLitterbags placem_collection'!E217</f>
        <v>42769</v>
      </c>
      <c r="H290" t="str">
        <f>'Final data_for_R_analysis_Wetse'!J216</f>
        <v>G858</v>
      </c>
      <c r="I290" t="str">
        <f>'Final data_for_R_analysis_Wetse'!J436</f>
        <v>R145</v>
      </c>
      <c r="J290">
        <f>IFERROR(INDEX('Green_rooibos initial weight'!$C$5:$C$1749,MATCH(H290, 'Green_rooibos initial weight'!$A$5:$A$1749,0)),"")</f>
        <v>2.1040000000000001</v>
      </c>
      <c r="K290">
        <f>IFERROR(INDEX('Green_rooibos initial weight'!$C$5:$C$1749,MATCH(I290, 'Green_rooibos initial weight'!$A$5:$A$1749,0)),"")</f>
        <v>2.2719999999999998</v>
      </c>
      <c r="L290" s="195">
        <f t="shared" si="29"/>
        <v>1.8542000000000001</v>
      </c>
      <c r="M290" s="195">
        <f>AVERAGE(Ashed_controlls!$K$2:$K$11)</f>
        <v>5.5147656768714146</v>
      </c>
      <c r="N290" s="195">
        <f t="shared" si="27"/>
        <v>2.0221999999999998</v>
      </c>
      <c r="O290" s="16">
        <f>IF('WetLitterbags placem_collection'!G217="N.A","",'WetLitterbags placem_collection'!G217)</f>
        <v>42814</v>
      </c>
      <c r="P290" s="195">
        <f>IF(IFERROR(INDEX('Both teabags AfterWet'!$C$3:$C$841,MATCH(H290,'Both teabags AfterWet'!$A$3:$A$841,0)),"")="N.A","",(IFERROR(INDEX('Both teabags AfterWet'!$C$3:$C$841,MATCH(H290,'Both teabags AfterWet'!$A$3:$A$841,0)),"")))</f>
        <v>0.69730000000000003</v>
      </c>
      <c r="Q290" s="195">
        <f>IFERROR(INDEX('Both teabags AfterWet'!$C$3:$C$841,MATCH(I290,'Both teabags AfterWet'!$A$3:$A$841,0)),"")</f>
        <v>1.5481</v>
      </c>
      <c r="R290" s="195">
        <f t="shared" si="30"/>
        <v>0.54669999999999996</v>
      </c>
      <c r="S290" s="195">
        <f t="shared" si="30"/>
        <v>1.3975</v>
      </c>
      <c r="T290" s="195">
        <f t="shared" si="31"/>
        <v>0.70515586236651928</v>
      </c>
      <c r="U290" s="195">
        <f t="shared" si="32"/>
        <v>0.46228745371296753</v>
      </c>
      <c r="V290" s="195">
        <f t="shared" si="33"/>
        <v>0.69107902284640499</v>
      </c>
      <c r="W290">
        <f t="shared" si="28"/>
        <v>45</v>
      </c>
      <c r="X290" s="195">
        <f t="shared" si="34"/>
        <v>0.16252272878085594</v>
      </c>
      <c r="Y290" s="195">
        <f t="shared" si="35"/>
        <v>2.4519034730028141E-2</v>
      </c>
      <c r="Z290" s="255" t="str">
        <f>IF(ISNUMBER(SEARCH("C",'WetLitterbags placem_collection'!W217)),"YES","NO")</f>
        <v>NO</v>
      </c>
      <c r="AA290" s="255" t="str">
        <f>IF(ISNUMBER(SEARCH("H", 'WetLitterbags placem_collection'!W217)),"YES","NO")</f>
        <v>NO</v>
      </c>
      <c r="AB290" s="255" t="str">
        <f>IF(ISNUMBER(SEARCH("R", 'WetLitterbags placem_collection'!W217)),"YES","NO")</f>
        <v>NO</v>
      </c>
      <c r="AC290" s="255" t="str">
        <f>IF(ISNUMBER(SEARCH("C", 'WetLitterbags placem_collection'!V217)),"YES","NO")</f>
        <v>NO</v>
      </c>
      <c r="AD290" s="255" t="str">
        <f>IF(ISNUMBER(SEARCH("H", 'WetLitterbags placem_collection'!V217)),"YES","NO")</f>
        <v>NO</v>
      </c>
      <c r="AE290" s="255" t="str">
        <f>IF(ISNUMBER(SEARCH("R", 'WetLitterbags placem_collection'!V217)),"YES","NO")</f>
        <v>YES</v>
      </c>
    </row>
    <row r="291" spans="2:31">
      <c r="B291" t="str">
        <f>'Final data_for_R_analysis_Wetse'!A217</f>
        <v>Wet</v>
      </c>
      <c r="C291" s="263">
        <f>'Final data_for_R_analysis_Wetse'!B217</f>
        <v>216</v>
      </c>
      <c r="D291" t="s">
        <v>2436</v>
      </c>
      <c r="E291" t="s">
        <v>22</v>
      </c>
      <c r="F291" s="387">
        <v>4</v>
      </c>
      <c r="G291" s="16">
        <f>'WetLitterbags placem_collection'!E218</f>
        <v>42769</v>
      </c>
      <c r="H291" t="str">
        <f>'Final data_for_R_analysis_Wetse'!J217</f>
        <v>G755</v>
      </c>
      <c r="I291" t="str">
        <f>'Final data_for_R_analysis_Wetse'!J437</f>
        <v>R241</v>
      </c>
      <c r="J291">
        <f>IFERROR(INDEX('Green_rooibos initial weight'!$C$5:$C$1749,MATCH(H291, 'Green_rooibos initial weight'!$A$5:$A$1749,0)),"")</f>
        <v>2.0190000000000001</v>
      </c>
      <c r="K291">
        <f>IFERROR(INDEX('Green_rooibos initial weight'!$C$5:$C$1749,MATCH(I291, 'Green_rooibos initial weight'!$A$5:$A$1749,0)),"")</f>
        <v>2.1680000000000001</v>
      </c>
      <c r="L291" s="195">
        <f t="shared" si="29"/>
        <v>1.7692000000000001</v>
      </c>
      <c r="M291" s="195">
        <f>AVERAGE(Ashed_controlls!$K$2:$K$11)</f>
        <v>5.5147656768714146</v>
      </c>
      <c r="N291" s="195">
        <f t="shared" si="27"/>
        <v>1.9182000000000001</v>
      </c>
      <c r="O291" s="16">
        <f>IF('WetLitterbags placem_collection'!G218="N.A","",'WetLitterbags placem_collection'!G218)</f>
        <v>42814</v>
      </c>
      <c r="P291" s="195">
        <f>IF(IFERROR(INDEX('Both teabags AfterWet'!$C$3:$C$841,MATCH(H291,'Both teabags AfterWet'!$A$3:$A$841,0)),"")="N.A","",(IFERROR(INDEX('Both teabags AfterWet'!$C$3:$C$841,MATCH(H291,'Both teabags AfterWet'!$A$3:$A$841,0)),"")))</f>
        <v>0.88700000000000001</v>
      </c>
      <c r="Q291" s="195">
        <f>IFERROR(INDEX('Both teabags AfterWet'!$C$3:$C$841,MATCH(I291,'Both teabags AfterWet'!$A$3:$A$841,0)),"")</f>
        <v>1.5349999999999999</v>
      </c>
      <c r="R291" s="195">
        <f t="shared" si="30"/>
        <v>0.73639999999999994</v>
      </c>
      <c r="S291" s="195">
        <f t="shared" si="30"/>
        <v>1.3843999999999999</v>
      </c>
      <c r="T291" s="195">
        <f t="shared" si="31"/>
        <v>0.58376667420302963</v>
      </c>
      <c r="U291" s="195">
        <f t="shared" si="32"/>
        <v>0.38270689330174867</v>
      </c>
      <c r="V291" s="195">
        <f t="shared" si="33"/>
        <v>0.72171827755187146</v>
      </c>
      <c r="W291">
        <f t="shared" si="28"/>
        <v>45</v>
      </c>
      <c r="X291" s="195">
        <f t="shared" si="34"/>
        <v>0.30669041068523795</v>
      </c>
      <c r="Y291" s="195">
        <f t="shared" si="35"/>
        <v>2.8862192400802955E-2</v>
      </c>
      <c r="Z291" s="255" t="str">
        <f>IF(ISNUMBER(SEARCH("C",'WetLitterbags placem_collection'!W218)),"YES","NO")</f>
        <v>NO</v>
      </c>
      <c r="AA291" s="255" t="str">
        <f>IF(ISNUMBER(SEARCH("H", 'WetLitterbags placem_collection'!W218)),"YES","NO")</f>
        <v>YES</v>
      </c>
      <c r="AB291" s="255" t="str">
        <f>IF(ISNUMBER(SEARCH("R", 'WetLitterbags placem_collection'!W218)),"YES","NO")</f>
        <v>NO</v>
      </c>
      <c r="AC291" s="255" t="str">
        <f>IF(ISNUMBER(SEARCH("C", 'WetLitterbags placem_collection'!V218)),"YES","NO")</f>
        <v>YES</v>
      </c>
      <c r="AD291" s="255" t="str">
        <f>IF(ISNUMBER(SEARCH("H", 'WetLitterbags placem_collection'!V218)),"YES","NO")</f>
        <v>YES</v>
      </c>
      <c r="AE291" s="255" t="str">
        <f>IF(ISNUMBER(SEARCH("R", 'WetLitterbags placem_collection'!V218)),"YES","NO")</f>
        <v>YES</v>
      </c>
    </row>
    <row r="292" spans="2:31">
      <c r="B292" t="str">
        <f>'Final data_for_R_analysis_Wetse'!A218</f>
        <v>Wet</v>
      </c>
      <c r="C292" s="263">
        <f>'Final data_for_R_analysis_Wetse'!B218</f>
        <v>217</v>
      </c>
      <c r="D292" t="s">
        <v>2429</v>
      </c>
      <c r="E292" t="s">
        <v>22</v>
      </c>
      <c r="F292" s="387">
        <v>1</v>
      </c>
      <c r="G292" s="16">
        <f>'WetLitterbags placem_collection'!E219</f>
        <v>42769</v>
      </c>
      <c r="H292" t="str">
        <f>'Final data_for_R_analysis_Wetse'!J218</f>
        <v>G795</v>
      </c>
      <c r="I292" t="str">
        <f>'Final data_for_R_analysis_Wetse'!J438</f>
        <v>R302</v>
      </c>
      <c r="J292">
        <f>IFERROR(INDEX('Green_rooibos initial weight'!$C$5:$C$1749,MATCH(H292, 'Green_rooibos initial weight'!$A$5:$A$1749,0)),"")</f>
        <v>1.9530000000000001</v>
      </c>
      <c r="K292">
        <f>IFERROR(INDEX('Green_rooibos initial weight'!$C$5:$C$1749,MATCH(I292, 'Green_rooibos initial weight'!$A$5:$A$1749,0)),"")</f>
        <v>2.19</v>
      </c>
      <c r="L292" s="195">
        <f t="shared" si="29"/>
        <v>1.7032</v>
      </c>
      <c r="M292" s="195">
        <f>AVERAGE(Ashed_controlls!$K$2:$K$11)</f>
        <v>5.5147656768714146</v>
      </c>
      <c r="N292" s="195">
        <f t="shared" si="27"/>
        <v>1.9401999999999999</v>
      </c>
      <c r="O292" s="16">
        <f>IF('WetLitterbags placem_collection'!G219="N.A","",'WetLitterbags placem_collection'!G219)</f>
        <v>42814</v>
      </c>
      <c r="P292" s="195">
        <f>IF(IFERROR(INDEX('Both teabags AfterWet'!$C$3:$C$841,MATCH(H292,'Both teabags AfterWet'!$A$3:$A$841,0)),"")="N.A","",(IFERROR(INDEX('Both teabags AfterWet'!$C$3:$C$841,MATCH(H292,'Both teabags AfterWet'!$A$3:$A$841,0)),"")))</f>
        <v>0.78100000000000003</v>
      </c>
      <c r="Q292" s="195">
        <f>IFERROR(INDEX('Both teabags AfterWet'!$C$3:$C$841,MATCH(I292,'Both teabags AfterWet'!$A$3:$A$841,0)),"")</f>
        <v>1.38</v>
      </c>
      <c r="R292" s="195">
        <f t="shared" si="30"/>
        <v>0.63040000000000007</v>
      </c>
      <c r="S292" s="195">
        <f t="shared" si="30"/>
        <v>1.2293999999999998</v>
      </c>
      <c r="T292" s="195">
        <f t="shared" si="31"/>
        <v>0.62987317989666503</v>
      </c>
      <c r="U292" s="195">
        <f t="shared" si="32"/>
        <v>0.41293348610802749</v>
      </c>
      <c r="V292" s="195">
        <f t="shared" si="33"/>
        <v>0.63364601587465208</v>
      </c>
      <c r="W292">
        <f t="shared" si="28"/>
        <v>45</v>
      </c>
      <c r="X292" s="195">
        <f t="shared" si="34"/>
        <v>0.25193209038400821</v>
      </c>
      <c r="Y292" s="195">
        <f t="shared" si="35"/>
        <v>4.8491687925816034E-2</v>
      </c>
      <c r="Z292" s="255" t="str">
        <f>IF(ISNUMBER(SEARCH("C",'WetLitterbags placem_collection'!W219)),"YES","NO")</f>
        <v>NO</v>
      </c>
      <c r="AA292" s="255" t="str">
        <f>IF(ISNUMBER(SEARCH("H", 'WetLitterbags placem_collection'!W219)),"YES","NO")</f>
        <v>NO</v>
      </c>
      <c r="AB292" s="255" t="str">
        <f>IF(ISNUMBER(SEARCH("R", 'WetLitterbags placem_collection'!W219)),"YES","NO")</f>
        <v>YES</v>
      </c>
      <c r="AC292" s="255" t="str">
        <f>IF(ISNUMBER(SEARCH("C", 'WetLitterbags placem_collection'!V219)),"YES","NO")</f>
        <v>NO</v>
      </c>
      <c r="AD292" s="255" t="str">
        <f>IF(ISNUMBER(SEARCH("H", 'WetLitterbags placem_collection'!V219)),"YES","NO")</f>
        <v>NO</v>
      </c>
      <c r="AE292" s="255" t="str">
        <f>IF(ISNUMBER(SEARCH("R", 'WetLitterbags placem_collection'!V219)),"YES","NO")</f>
        <v>YES</v>
      </c>
    </row>
    <row r="293" spans="2:31">
      <c r="B293" t="str">
        <f>'Final data_for_R_analysis_Wetse'!A219</f>
        <v>Wet</v>
      </c>
      <c r="C293" s="263">
        <f>'Final data_for_R_analysis_Wetse'!B219</f>
        <v>218</v>
      </c>
      <c r="D293" t="s">
        <v>2437</v>
      </c>
      <c r="E293" t="s">
        <v>22</v>
      </c>
      <c r="F293" s="387">
        <v>2</v>
      </c>
      <c r="G293" s="16">
        <f>'WetLitterbags placem_collection'!E220</f>
        <v>42769</v>
      </c>
      <c r="H293" t="str">
        <f>'Final data_for_R_analysis_Wetse'!J219</f>
        <v>G251</v>
      </c>
      <c r="I293" t="str">
        <f>'Final data_for_R_analysis_Wetse'!J439</f>
        <v>R442</v>
      </c>
      <c r="J293">
        <f>IFERROR(INDEX('Green_rooibos initial weight'!$C$5:$C$1749,MATCH(H293, 'Green_rooibos initial weight'!$A$5:$A$1749,0)),"")</f>
        <v>2.0539999999999998</v>
      </c>
      <c r="K293">
        <f>IFERROR(INDEX('Green_rooibos initial weight'!$C$5:$C$1749,MATCH(I293, 'Green_rooibos initial weight'!$A$5:$A$1749,0)),"")</f>
        <v>2.2290000000000001</v>
      </c>
      <c r="L293" s="195">
        <f t="shared" si="29"/>
        <v>1.8041999999999998</v>
      </c>
      <c r="M293" s="195">
        <f>AVERAGE(Ashed_controlls!$K$2:$K$11)</f>
        <v>5.5147656768714146</v>
      </c>
      <c r="N293" s="195">
        <f t="shared" si="27"/>
        <v>1.9792000000000001</v>
      </c>
      <c r="O293" s="16">
        <f>IF('WetLitterbags placem_collection'!G220="N.A","",'WetLitterbags placem_collection'!G220)</f>
        <v>42814</v>
      </c>
      <c r="P293" s="195">
        <f>IF(IFERROR(INDEX('Both teabags AfterWet'!$C$3:$C$841,MATCH(H293,'Both teabags AfterWet'!$A$3:$A$841,0)),"")="N.A","",(IFERROR(INDEX('Both teabags AfterWet'!$C$3:$C$841,MATCH(H293,'Both teabags AfterWet'!$A$3:$A$841,0)),"")))</f>
        <v>0.75700000000000001</v>
      </c>
      <c r="Q293" s="195">
        <f>IFERROR(INDEX('Both teabags AfterWet'!$C$3:$C$841,MATCH(I293,'Both teabags AfterWet'!$A$3:$A$841,0)),"")</f>
        <v>1.3831</v>
      </c>
      <c r="R293" s="195">
        <f t="shared" si="30"/>
        <v>0.60640000000000005</v>
      </c>
      <c r="S293" s="195">
        <f t="shared" si="30"/>
        <v>1.2324999999999999</v>
      </c>
      <c r="T293" s="195">
        <f t="shared" si="31"/>
        <v>0.6638953552821194</v>
      </c>
      <c r="U293" s="195">
        <f t="shared" si="32"/>
        <v>0.43523781011369356</v>
      </c>
      <c r="V293" s="195">
        <f t="shared" si="33"/>
        <v>0.62272635408245747</v>
      </c>
      <c r="W293">
        <f t="shared" si="28"/>
        <v>45</v>
      </c>
      <c r="X293" s="195">
        <f t="shared" si="34"/>
        <v>0.21152570631577261</v>
      </c>
      <c r="Y293" s="195">
        <f t="shared" si="35"/>
        <v>4.4801502460415525E-2</v>
      </c>
      <c r="Z293" s="255" t="str">
        <f>IF(ISNUMBER(SEARCH("C",'WetLitterbags placem_collection'!W220)),"YES","NO")</f>
        <v>NO</v>
      </c>
      <c r="AA293" s="255" t="str">
        <f>IF(ISNUMBER(SEARCH("H", 'WetLitterbags placem_collection'!W220)),"YES","NO")</f>
        <v>NO</v>
      </c>
      <c r="AB293" s="255" t="str">
        <f>IF(ISNUMBER(SEARCH("R", 'WetLitterbags placem_collection'!W220)),"YES","NO")</f>
        <v>YES</v>
      </c>
      <c r="AC293" s="255" t="str">
        <f>IF(ISNUMBER(SEARCH("C", 'WetLitterbags placem_collection'!V220)),"YES","NO")</f>
        <v>NO</v>
      </c>
      <c r="AD293" s="255" t="str">
        <f>IF(ISNUMBER(SEARCH("H", 'WetLitterbags placem_collection'!V220)),"YES","NO")</f>
        <v>NO</v>
      </c>
      <c r="AE293" s="255" t="str">
        <f>IF(ISNUMBER(SEARCH("R", 'WetLitterbags placem_collection'!V220)),"YES","NO")</f>
        <v>YES</v>
      </c>
    </row>
    <row r="294" spans="2:31">
      <c r="B294" t="str">
        <f>'Final data_for_R_analysis_Wetse'!A220</f>
        <v>Wet</v>
      </c>
      <c r="C294" s="386">
        <f>'Final data_for_R_analysis_Wetse'!B220</f>
        <v>219</v>
      </c>
      <c r="D294" t="s">
        <v>2444</v>
      </c>
      <c r="E294" t="s">
        <v>22</v>
      </c>
      <c r="F294" s="387">
        <v>3</v>
      </c>
      <c r="G294" s="388">
        <f>'WetLitterbags placem_collection'!E221</f>
        <v>42769</v>
      </c>
      <c r="H294" s="92" t="str">
        <f>'Final data_for_R_analysis_Wetse'!J220</f>
        <v>G727</v>
      </c>
      <c r="I294" s="92" t="str">
        <f>'Final data_for_R_analysis_Wetse'!J440</f>
        <v>R176</v>
      </c>
      <c r="J294" s="92">
        <f>IFERROR(INDEX('Green_rooibos initial weight'!$C$5:$C$1749,MATCH(H294, 'Green_rooibos initial weight'!$A$5:$A$1749,0)),"")</f>
        <v>2.0270000000000001</v>
      </c>
      <c r="K294" s="92">
        <f>IFERROR(INDEX('Green_rooibos initial weight'!$C$5:$C$1749,MATCH(I294, 'Green_rooibos initial weight'!$A$5:$A$1749,0)),"")</f>
        <v>2.2160000000000002</v>
      </c>
      <c r="L294" s="195">
        <f t="shared" si="29"/>
        <v>1.7772000000000001</v>
      </c>
      <c r="M294" s="195">
        <f>AVERAGE(Ashed_controlls!$K$2:$K$11)</f>
        <v>5.5147656768714146</v>
      </c>
      <c r="N294" s="195">
        <f t="shared" si="27"/>
        <v>1.9662000000000002</v>
      </c>
      <c r="O294" s="388">
        <f>IF('WetLitterbags placem_collection'!G221="N.A","",'WetLitterbags placem_collection'!G221)</f>
        <v>42813</v>
      </c>
      <c r="P294" s="389">
        <f>IF(IFERROR(INDEX('Both teabags AfterWet'!$C$3:$C$841,MATCH(H294,'Both teabags AfterWet'!$A$3:$A$841,0)),"")="N.A","",(IFERROR(INDEX('Both teabags AfterWet'!$C$3:$C$841,MATCH(H294,'Both teabags AfterWet'!$A$3:$A$841,0)),"")))</f>
        <v>0.70650000000000002</v>
      </c>
      <c r="Q294" s="195">
        <f>IFERROR(INDEX('Both teabags AfterWet'!$C$3:$C$841,MATCH(I294,'Both teabags AfterWet'!$A$3:$A$841,0)),"")</f>
        <v>1.4293</v>
      </c>
      <c r="R294" s="195">
        <f t="shared" si="30"/>
        <v>0.55590000000000006</v>
      </c>
      <c r="S294" s="195">
        <f t="shared" si="30"/>
        <v>1.2786999999999999</v>
      </c>
      <c r="T294" s="195">
        <f t="shared" si="31"/>
        <v>0.6872045914922349</v>
      </c>
      <c r="U294" s="195">
        <f t="shared" si="32"/>
        <v>0.4505189245887336</v>
      </c>
      <c r="V294" s="195">
        <f t="shared" si="33"/>
        <v>0.65034075882412767</v>
      </c>
      <c r="W294" s="92">
        <f t="shared" si="28"/>
        <v>44</v>
      </c>
      <c r="X294" s="195">
        <f t="shared" si="34"/>
        <v>0.18384252791896094</v>
      </c>
      <c r="Y294" s="195">
        <f t="shared" si="35"/>
        <v>3.4015222871945167E-2</v>
      </c>
      <c r="Z294" s="255" t="str">
        <f>IF(ISNUMBER(SEARCH("C",'WetLitterbags placem_collection'!W221)),"YES","NO")</f>
        <v>NO</v>
      </c>
      <c r="AA294" s="255" t="str">
        <f>IF(ISNUMBER(SEARCH("H", 'WetLitterbags placem_collection'!W221)),"YES","NO")</f>
        <v>NO</v>
      </c>
      <c r="AB294" s="255" t="str">
        <f>IF(ISNUMBER(SEARCH("R", 'WetLitterbags placem_collection'!W221)),"YES","NO")</f>
        <v>YES</v>
      </c>
      <c r="AC294" s="255" t="str">
        <f>IF(ISNUMBER(SEARCH("C", 'WetLitterbags placem_collection'!V221)),"YES","NO")</f>
        <v>NO</v>
      </c>
      <c r="AD294" s="255" t="str">
        <f>IF(ISNUMBER(SEARCH("H", 'WetLitterbags placem_collection'!V221)),"YES","NO")</f>
        <v>YES</v>
      </c>
      <c r="AE294" s="255" t="str">
        <f>IF(ISNUMBER(SEARCH("R", 'WetLitterbags placem_collection'!V221)),"YES","NO")</f>
        <v>YES</v>
      </c>
    </row>
    <row r="295" spans="2:31">
      <c r="B295" t="str">
        <f>'Final data_for_R_analysis_Wetse'!A221</f>
        <v>Wet</v>
      </c>
      <c r="C295" s="386">
        <f>'Final data_for_R_analysis_Wetse'!B221</f>
        <v>220</v>
      </c>
      <c r="D295" t="s">
        <v>2451</v>
      </c>
      <c r="E295" t="s">
        <v>22</v>
      </c>
      <c r="F295" s="387">
        <v>4</v>
      </c>
      <c r="G295" s="388">
        <f>'WetLitterbags placem_collection'!E222</f>
        <v>42769</v>
      </c>
      <c r="H295" s="92" t="str">
        <f>'Final data_for_R_analysis_Wetse'!J221</f>
        <v>G782</v>
      </c>
      <c r="I295" s="92" t="str">
        <f>'Final data_for_R_analysis_Wetse'!J441</f>
        <v>R250</v>
      </c>
      <c r="J295" s="92">
        <f>IFERROR(INDEX('Green_rooibos initial weight'!$C$5:$C$1749,MATCH(H295, 'Green_rooibos initial weight'!$A$5:$A$1749,0)),"")</f>
        <v>1.9510000000000001</v>
      </c>
      <c r="K295" s="92">
        <f>IFERROR(INDEX('Green_rooibos initial weight'!$C$5:$C$1749,MATCH(I295, 'Green_rooibos initial weight'!$A$5:$A$1749,0)),"")</f>
        <v>2.2639999999999998</v>
      </c>
      <c r="L295" s="195">
        <f t="shared" si="29"/>
        <v>1.7012</v>
      </c>
      <c r="M295" s="195">
        <f>AVERAGE(Ashed_controlls!$K$2:$K$11)</f>
        <v>5.5147656768714146</v>
      </c>
      <c r="N295" s="195">
        <f t="shared" si="27"/>
        <v>2.0141999999999998</v>
      </c>
      <c r="O295" s="388">
        <f>IF('WetLitterbags placem_collection'!G222="N.A","",'WetLitterbags placem_collection'!G222)</f>
        <v>42813</v>
      </c>
      <c r="P295" s="389">
        <f>IF(IFERROR(INDEX('Both teabags AfterWet'!$C$3:$C$841,MATCH(H295,'Both teabags AfterWet'!$A$3:$A$841,0)),"")="N.A","",(IFERROR(INDEX('Both teabags AfterWet'!$C$3:$C$841,MATCH(H295,'Both teabags AfterWet'!$A$3:$A$841,0)),"")))</f>
        <v>0.6169</v>
      </c>
      <c r="Q295" s="195">
        <f>IFERROR(INDEX('Both teabags AfterWet'!$C$3:$C$841,MATCH(I295,'Both teabags AfterWet'!$A$3:$A$841,0)),"")</f>
        <v>1.5303</v>
      </c>
      <c r="R295" s="195">
        <f t="shared" si="30"/>
        <v>0.46629999999999999</v>
      </c>
      <c r="S295" s="195">
        <f t="shared" si="30"/>
        <v>1.3796999999999999</v>
      </c>
      <c r="T295" s="195">
        <f t="shared" si="31"/>
        <v>0.72589936515400888</v>
      </c>
      <c r="U295" s="195">
        <f t="shared" si="32"/>
        <v>0.47588651967341206</v>
      </c>
      <c r="V295" s="195">
        <f t="shared" si="33"/>
        <v>0.68498659517426275</v>
      </c>
      <c r="W295" s="92">
        <f t="shared" si="28"/>
        <v>44</v>
      </c>
      <c r="X295" s="195">
        <f t="shared" si="34"/>
        <v>0.13788673972207965</v>
      </c>
      <c r="Y295" s="195">
        <f t="shared" si="35"/>
        <v>2.4649169864366868E-2</v>
      </c>
      <c r="Z295" s="255" t="str">
        <f>IF(ISNUMBER(SEARCH("C",'WetLitterbags placem_collection'!W222)),"YES","NO")</f>
        <v>NO</v>
      </c>
      <c r="AA295" s="255" t="str">
        <f>IF(ISNUMBER(SEARCH("H", 'WetLitterbags placem_collection'!W222)),"YES","NO")</f>
        <v>YES</v>
      </c>
      <c r="AB295" s="255" t="str">
        <f>IF(ISNUMBER(SEARCH("R", 'WetLitterbags placem_collection'!W222)),"YES","NO")</f>
        <v>NO</v>
      </c>
      <c r="AC295" s="255" t="str">
        <f>IF(ISNUMBER(SEARCH("C", 'WetLitterbags placem_collection'!V222)),"YES","NO")</f>
        <v>NO</v>
      </c>
      <c r="AD295" s="255" t="str">
        <f>IF(ISNUMBER(SEARCH("H", 'WetLitterbags placem_collection'!V222)),"YES","NO")</f>
        <v>NO</v>
      </c>
      <c r="AE295" s="255" t="str">
        <f>IF(ISNUMBER(SEARCH("R", 'WetLitterbags placem_collection'!V222)),"YES","NO")</f>
        <v>YES</v>
      </c>
    </row>
    <row r="296" spans="2:31">
      <c r="B296" t="str">
        <f>'Final data_for_R_analysis_Wetse'!A442</f>
        <v>Wet</v>
      </c>
      <c r="C296" s="386">
        <f>'Final data_for_R_analysis_Wetse'!B442</f>
        <v>1</v>
      </c>
      <c r="D296" t="s">
        <v>3824</v>
      </c>
      <c r="E296" t="s">
        <v>25</v>
      </c>
      <c r="F296" s="386">
        <v>1</v>
      </c>
      <c r="G296" s="388">
        <f>'WetLitterbags placem_collection'!E3</f>
        <v>42766</v>
      </c>
      <c r="H296" s="92" t="str">
        <f>'Final data_for_R_analysis_Wetse'!J442</f>
        <v>G752</v>
      </c>
      <c r="I296" s="92" t="str">
        <f>'Final data_for_R_analysis_Wetse'!J662</f>
        <v>R133</v>
      </c>
      <c r="J296" s="92">
        <f>IFERROR(INDEX('Green_rooibos initial weight'!$C$5:$C$1749,MATCH(H296, 'Green_rooibos initial weight'!$A$5:$A$1749,0)),"")</f>
        <v>2.15</v>
      </c>
      <c r="K296" s="92">
        <f>IFERROR(INDEX('Green_rooibos initial weight'!$C$5:$C$1749,MATCH(I296, 'Green_rooibos initial weight'!$A$5:$A$1749,0)),"")</f>
        <v>2.1760000000000002</v>
      </c>
      <c r="L296" s="195">
        <f t="shared" si="29"/>
        <v>1.9001999999999999</v>
      </c>
      <c r="M296" s="195">
        <f>AVERAGE(Ashed_controlls!$K$2:$K$11)</f>
        <v>5.5147656768714146</v>
      </c>
      <c r="N296" s="195">
        <f t="shared" si="27"/>
        <v>1.9262000000000001</v>
      </c>
      <c r="O296" s="388">
        <f>IF('WetLitterbags placem_collection'!G3="N.A","",'WetLitterbags placem_collection'!G3)</f>
        <v>42818</v>
      </c>
      <c r="P296" s="389">
        <f>IF(IFERROR(INDEX('Both teabags AfterWet'!$C$3:$C$841,MATCH(H296,'Both teabags AfterWet'!$A$3:$A$841,0)),"")="N.A","",(IFERROR(INDEX('Both teabags AfterWet'!$C$3:$C$841,MATCH(H296,'Both teabags AfterWet'!$A$3:$A$841,0)),"")))</f>
        <v>0.47</v>
      </c>
      <c r="Q296" s="195">
        <f>IFERROR(INDEX('Both teabags AfterWet'!$C$3:$C$841,MATCH(I296,'Both teabags AfterWet'!$A$3:$A$841,0)),"")</f>
        <v>1.4104000000000001</v>
      </c>
      <c r="R296" s="195">
        <f t="shared" si="30"/>
        <v>0.31939999999999996</v>
      </c>
      <c r="S296" s="195">
        <f t="shared" si="30"/>
        <v>1.2598</v>
      </c>
      <c r="T296" s="195">
        <f t="shared" si="31"/>
        <v>0.83191243027049788</v>
      </c>
      <c r="U296" s="195">
        <f t="shared" si="32"/>
        <v>0.54538677138873504</v>
      </c>
      <c r="V296" s="195">
        <f t="shared" si="33"/>
        <v>0.65403384902917661</v>
      </c>
      <c r="W296" s="92">
        <f t="shared" si="28"/>
        <v>52</v>
      </c>
      <c r="X296" s="195">
        <f t="shared" si="34"/>
        <v>1.1980486614610597E-2</v>
      </c>
      <c r="Y296" s="195">
        <f t="shared" si="35"/>
        <v>1.9347672129428277E-2</v>
      </c>
      <c r="Z296" s="255" t="str">
        <f>IF(ISNUMBER(SEARCH("C",'WetLitterbags placem_collection'!Y3)),"YES","NO")</f>
        <v>NO</v>
      </c>
      <c r="AA296" s="255" t="str">
        <f>IF(ISNUMBER(SEARCH("H", 'WetLitterbags placem_collection'!Y3)),"YES","NO")</f>
        <v>NO</v>
      </c>
      <c r="AB296" s="255" t="str">
        <f>IF(ISNUMBER(SEARCH("R", 'WetLitterbags placem_collection'!WY3)),"YES","NO")</f>
        <v>NO</v>
      </c>
      <c r="AC296" s="255" t="str">
        <f>IF(ISNUMBER(SEARCH("C", 'WetLitterbags placem_collection'!VX3)),"YES","NO")</f>
        <v>NO</v>
      </c>
      <c r="AD296" s="255" t="str">
        <f>IF(ISNUMBER(SEARCH("H", 'WetLitterbags placem_collection'!X3)),"YES","NO")</f>
        <v>NO</v>
      </c>
      <c r="AE296" s="255" t="str">
        <f>IF(ISNUMBER(SEARCH("R", 'WetLitterbags placem_collection'!X3)),"YES","NO")</f>
        <v>NO</v>
      </c>
    </row>
    <row r="297" spans="2:31">
      <c r="B297" t="str">
        <f>'Final data_for_R_analysis_Wetse'!A443</f>
        <v>Wet</v>
      </c>
      <c r="C297" s="386">
        <f>'Final data_for_R_analysis_Wetse'!B443</f>
        <v>2</v>
      </c>
      <c r="D297" t="s">
        <v>3824</v>
      </c>
      <c r="E297" t="s">
        <v>25</v>
      </c>
      <c r="F297" s="386">
        <v>2</v>
      </c>
      <c r="G297" s="388">
        <f>'WetLitterbags placem_collection'!E4</f>
        <v>42766</v>
      </c>
      <c r="H297" s="92" t="str">
        <f>'Final data_for_R_analysis_Wetse'!J443</f>
        <v>G737</v>
      </c>
      <c r="I297" s="92" t="str">
        <f>'Final data_for_R_analysis_Wetse'!J663</f>
        <v>R527</v>
      </c>
      <c r="J297" s="92">
        <f>IFERROR(INDEX('Green_rooibos initial weight'!$C$5:$C$1749,MATCH(H297, 'Green_rooibos initial weight'!$A$5:$A$1749,0)),"")</f>
        <v>1.841</v>
      </c>
      <c r="K297" s="92">
        <f>IFERROR(INDEX('Green_rooibos initial weight'!$C$5:$C$1749,MATCH(I297, 'Green_rooibos initial weight'!$A$5:$A$1749,0)),"")</f>
        <v>2.1859999999999999</v>
      </c>
      <c r="L297" s="195">
        <f t="shared" si="29"/>
        <v>1.5911999999999999</v>
      </c>
      <c r="M297" s="195">
        <f>AVERAGE(Ashed_controlls!$K$2:$K$11)</f>
        <v>5.5147656768714146</v>
      </c>
      <c r="N297" s="195">
        <f t="shared" si="27"/>
        <v>1.9361999999999999</v>
      </c>
      <c r="O297" s="388">
        <f>IF('WetLitterbags placem_collection'!G4="N.A","",'WetLitterbags placem_collection'!G4)</f>
        <v>42818</v>
      </c>
      <c r="P297" s="389">
        <f>IF(IFERROR(INDEX('Both teabags AfterWet'!$C$3:$C$841,MATCH(H297,'Both teabags AfterWet'!$A$3:$A$841,0)),"")="N.A","",(IFERROR(INDEX('Both teabags AfterWet'!$C$3:$C$841,MATCH(H297,'Both teabags AfterWet'!$A$3:$A$841,0)),"")))</f>
        <v>0.57869999999999999</v>
      </c>
      <c r="Q297" s="195">
        <f>IFERROR(INDEX('Both teabags AfterWet'!$C$3:$C$841,MATCH(I297,'Both teabags AfterWet'!$A$3:$A$841,0)),"")</f>
        <v>1.3275999999999999</v>
      </c>
      <c r="R297" s="195">
        <f t="shared" si="30"/>
        <v>0.42809999999999998</v>
      </c>
      <c r="S297" s="195">
        <f t="shared" si="30"/>
        <v>1.1769999999999998</v>
      </c>
      <c r="T297" s="195">
        <f t="shared" si="31"/>
        <v>0.73095776772247367</v>
      </c>
      <c r="U297" s="195">
        <f t="shared" si="32"/>
        <v>0.4792027170817168</v>
      </c>
      <c r="V297" s="195">
        <f t="shared" si="33"/>
        <v>0.60789174672038004</v>
      </c>
      <c r="W297" s="92">
        <f t="shared" si="28"/>
        <v>52</v>
      </c>
      <c r="X297" s="195">
        <f t="shared" si="34"/>
        <v>0.13187913572152765</v>
      </c>
      <c r="Y297" s="195">
        <f t="shared" si="35"/>
        <v>3.2790969161218611E-2</v>
      </c>
      <c r="Z297" s="255" t="str">
        <f>IF(ISNUMBER(SEARCH("C",'WetLitterbags placem_collection'!W224)),"YES","NO")</f>
        <v>NO</v>
      </c>
      <c r="AA297" s="255" t="str">
        <f>IF(ISNUMBER(SEARCH("H", 'WetLitterbags placem_collection'!Y4)),"YES","NO")</f>
        <v>NO</v>
      </c>
      <c r="AB297" s="255" t="str">
        <f>IF(ISNUMBER(SEARCH("R", 'WetLitterbags placem_collection'!WY4)),"YES","NO")</f>
        <v>NO</v>
      </c>
      <c r="AC297" s="255" t="str">
        <f>IF(ISNUMBER(SEARCH("C", 'WetLitterbags placem_collection'!VX4)),"YES","NO")</f>
        <v>NO</v>
      </c>
      <c r="AD297" s="255" t="str">
        <f>IF(ISNUMBER(SEARCH("H", 'WetLitterbags placem_collection'!X4)),"YES","NO")</f>
        <v>NO</v>
      </c>
      <c r="AE297" s="255" t="str">
        <f>IF(ISNUMBER(SEARCH("R", 'WetLitterbags placem_collection'!X4)),"YES","NO")</f>
        <v>NO</v>
      </c>
    </row>
    <row r="298" spans="2:31">
      <c r="B298" t="str">
        <f>'Final data_for_R_analysis_Wetse'!A444</f>
        <v>Wet</v>
      </c>
      <c r="C298" s="263">
        <f>'Final data_for_R_analysis_Wetse'!B444</f>
        <v>3</v>
      </c>
      <c r="D298" t="s">
        <v>3824</v>
      </c>
      <c r="E298" t="s">
        <v>25</v>
      </c>
      <c r="F298" s="386">
        <v>3</v>
      </c>
      <c r="G298" s="16">
        <f>'WetLitterbags placem_collection'!E5</f>
        <v>42766</v>
      </c>
      <c r="H298" s="92" t="str">
        <f>'Final data_for_R_analysis_Wetse'!J444</f>
        <v>G661</v>
      </c>
      <c r="I298" t="str">
        <f>'Final data_for_R_analysis_Wetse'!J664</f>
        <v>R498</v>
      </c>
      <c r="J298">
        <f>IFERROR(INDEX('Green_rooibos initial weight'!$C$5:$C$1749,MATCH(H298, 'Green_rooibos initial weight'!$A$5:$A$1749,0)),"")</f>
        <v>2.0630000000000002</v>
      </c>
      <c r="K298">
        <f>IFERROR(INDEX('Green_rooibos initial weight'!$C$5:$C$1749,MATCH(I298, 'Green_rooibos initial weight'!$A$5:$A$1749,0)),"")</f>
        <v>2.1520000000000001</v>
      </c>
      <c r="L298" s="195">
        <f t="shared" si="29"/>
        <v>1.8132000000000001</v>
      </c>
      <c r="M298" s="195">
        <f>AVERAGE(Ashed_controlls!$K$2:$K$11)</f>
        <v>5.5147656768714146</v>
      </c>
      <c r="N298" s="195">
        <f t="shared" si="27"/>
        <v>1.9022000000000001</v>
      </c>
      <c r="O298" s="16">
        <f>IF('WetLitterbags placem_collection'!G5="N.A","",'WetLitterbags placem_collection'!G5)</f>
        <v>0</v>
      </c>
      <c r="P298" s="195" t="str">
        <f>IF(IFERROR(INDEX('Both teabags AfterWet'!$C$3:$C$841,MATCH(H298,'Both teabags AfterWet'!$A$3:$A$841,0)),"")="N.A","",(IFERROR(INDEX('Both teabags AfterWet'!$C$3:$C$841,MATCH(H298,'Both teabags AfterWet'!$A$3:$A$841,0)),"")))</f>
        <v/>
      </c>
      <c r="Q298" s="195" t="str">
        <f>IFERROR(INDEX('Both teabags AfterWet'!$C$3:$C$841,MATCH(I298,'Both teabags AfterWet'!$A$3:$A$841,0)),"")</f>
        <v/>
      </c>
      <c r="R298" s="195" t="str">
        <f t="shared" si="30"/>
        <v/>
      </c>
      <c r="S298" s="195" t="str">
        <f t="shared" si="30"/>
        <v/>
      </c>
      <c r="T298" s="195" t="str">
        <f t="shared" si="31"/>
        <v/>
      </c>
      <c r="U298" s="195" t="str">
        <f t="shared" si="32"/>
        <v/>
      </c>
      <c r="V298" s="195" t="str">
        <f t="shared" si="33"/>
        <v/>
      </c>
      <c r="W298" t="str">
        <f t="shared" si="28"/>
        <v/>
      </c>
      <c r="X298" s="195" t="str">
        <f t="shared" si="34"/>
        <v/>
      </c>
      <c r="Y298" s="195" t="str">
        <f t="shared" si="35"/>
        <v/>
      </c>
      <c r="Z298" s="255" t="str">
        <f>IF(ISNUMBER(SEARCH("C",'WetLitterbags placem_collection'!W225)),"YES","NO")</f>
        <v>NO</v>
      </c>
      <c r="AA298" s="255" t="str">
        <f>IF(ISNUMBER(SEARCH("H", 'WetLitterbags placem_collection'!Y5)),"YES","NO")</f>
        <v>NO</v>
      </c>
      <c r="AB298" s="255" t="str">
        <f>IF(ISNUMBER(SEARCH("R", 'WetLitterbags placem_collection'!WY5)),"YES","NO")</f>
        <v>NO</v>
      </c>
      <c r="AC298" s="255" t="str">
        <f>IF(ISNUMBER(SEARCH("C", 'WetLitterbags placem_collection'!VX5)),"YES","NO")</f>
        <v>NO</v>
      </c>
      <c r="AD298" s="255" t="str">
        <f>IF(ISNUMBER(SEARCH("H", 'WetLitterbags placem_collection'!X5)),"YES","NO")</f>
        <v>NO</v>
      </c>
      <c r="AE298" s="255" t="str">
        <f>IF(ISNUMBER(SEARCH("R", 'WetLitterbags placem_collection'!X5)),"YES","NO")</f>
        <v>NO</v>
      </c>
    </row>
    <row r="299" spans="2:31">
      <c r="B299" t="str">
        <f>'Final data_for_R_analysis_Wetse'!A445</f>
        <v>Wet</v>
      </c>
      <c r="C299" s="263">
        <f>'Final data_for_R_analysis_Wetse'!B445</f>
        <v>4</v>
      </c>
      <c r="D299" t="s">
        <v>3824</v>
      </c>
      <c r="E299" t="s">
        <v>25</v>
      </c>
      <c r="F299" s="387">
        <v>4</v>
      </c>
      <c r="G299" s="16">
        <f>'WetLitterbags placem_collection'!E6</f>
        <v>42766</v>
      </c>
      <c r="H299" s="92" t="str">
        <f>'Final data_for_R_analysis_Wetse'!J445</f>
        <v>G532</v>
      </c>
      <c r="I299" t="str">
        <f>'Final data_for_R_analysis_Wetse'!J665</f>
        <v>R508</v>
      </c>
      <c r="J299">
        <f>IFERROR(INDEX('Green_rooibos initial weight'!$C$5:$C$1749,MATCH(H299, 'Green_rooibos initial weight'!$A$5:$A$1749,0)),"")</f>
        <v>2.036</v>
      </c>
      <c r="K299">
        <f>IFERROR(INDEX('Green_rooibos initial weight'!$C$5:$C$1749,MATCH(I299, 'Green_rooibos initial weight'!$A$5:$A$1749,0)),"")</f>
        <v>2.169</v>
      </c>
      <c r="L299" s="195">
        <f t="shared" si="29"/>
        <v>1.7862</v>
      </c>
      <c r="M299" s="195">
        <f>AVERAGE(Ashed_controlls!$K$2:$K$11)</f>
        <v>5.5147656768714146</v>
      </c>
      <c r="N299" s="195">
        <f t="shared" si="27"/>
        <v>1.9192</v>
      </c>
      <c r="O299" s="16">
        <f>IF('WetLitterbags placem_collection'!G6="N.A","",'WetLitterbags placem_collection'!G6)</f>
        <v>42818</v>
      </c>
      <c r="P299" s="195">
        <f>IF(IFERROR(INDEX('Both teabags AfterWet'!$C$3:$C$841,MATCH(H299,'Both teabags AfterWet'!$A$3:$A$841,0)),"")="N.A","",(IFERROR(INDEX('Both teabags AfterWet'!$C$3:$C$841,MATCH(H299,'Both teabags AfterWet'!$A$3:$A$841,0)),"")))</f>
        <v>0.55969999999999998</v>
      </c>
      <c r="Q299" s="195">
        <f>IFERROR(INDEX('Both teabags AfterWet'!$C$3:$C$841,MATCH(I299,'Both teabags AfterWet'!$A$3:$A$841,0)),"")</f>
        <v>1.3392999999999999</v>
      </c>
      <c r="R299" s="195">
        <f t="shared" si="30"/>
        <v>0.40909999999999996</v>
      </c>
      <c r="S299" s="195">
        <f t="shared" si="30"/>
        <v>1.1886999999999999</v>
      </c>
      <c r="T299" s="195">
        <f t="shared" si="31"/>
        <v>0.77096629716717058</v>
      </c>
      <c r="U299" s="195">
        <f t="shared" si="32"/>
        <v>0.50543158674142308</v>
      </c>
      <c r="V299" s="195">
        <f t="shared" si="33"/>
        <v>0.61937265527303031</v>
      </c>
      <c r="W299">
        <f t="shared" si="28"/>
        <v>52</v>
      </c>
      <c r="X299" s="195">
        <f t="shared" si="34"/>
        <v>8.4363067497422062E-2</v>
      </c>
      <c r="Y299" s="195">
        <f t="shared" si="35"/>
        <v>2.6897427800809795E-2</v>
      </c>
      <c r="Z299" s="255" t="str">
        <f>IF(ISNUMBER(SEARCH("C",'WetLitterbags placem_collection'!W226)),"YES","NO")</f>
        <v>NO</v>
      </c>
      <c r="AA299" s="255" t="str">
        <f>IF(ISNUMBER(SEARCH("H", 'WetLitterbags placem_collection'!Y6)),"YES","NO")</f>
        <v>NO</v>
      </c>
      <c r="AB299" s="255" t="str">
        <f>IF(ISNUMBER(SEARCH("R", 'WetLitterbags placem_collection'!WY6)),"YES","NO")</f>
        <v>NO</v>
      </c>
      <c r="AC299" s="255" t="str">
        <f>IF(ISNUMBER(SEARCH("C", 'WetLitterbags placem_collection'!VX6)),"YES","NO")</f>
        <v>NO</v>
      </c>
      <c r="AD299" s="255" t="str">
        <f>IF(ISNUMBER(SEARCH("H", 'WetLitterbags placem_collection'!X6)),"YES","NO")</f>
        <v>NO</v>
      </c>
      <c r="AE299" s="255" t="str">
        <f>IF(ISNUMBER(SEARCH("R", 'WetLitterbags placem_collection'!X6)),"YES","NO")</f>
        <v>NO</v>
      </c>
    </row>
    <row r="300" spans="2:31">
      <c r="B300" t="str">
        <f>'Final data_for_R_analysis_Wetse'!A446</f>
        <v>Wet</v>
      </c>
      <c r="C300" s="263">
        <f>'Final data_for_R_analysis_Wetse'!B446</f>
        <v>5</v>
      </c>
      <c r="D300" t="s">
        <v>3824</v>
      </c>
      <c r="E300" t="s">
        <v>25</v>
      </c>
      <c r="F300" s="387">
        <v>5</v>
      </c>
      <c r="G300" s="16">
        <f>'WetLitterbags placem_collection'!E7</f>
        <v>42766</v>
      </c>
      <c r="H300" s="92" t="str">
        <f>'Final data_for_R_analysis_Wetse'!J446</f>
        <v>G577</v>
      </c>
      <c r="I300" t="str">
        <f>'Final data_for_R_analysis_Wetse'!J666</f>
        <v>R38</v>
      </c>
      <c r="J300">
        <f>IFERROR(INDEX('Green_rooibos initial weight'!$C$5:$C$1749,MATCH(H300, 'Green_rooibos initial weight'!$A$5:$A$1749,0)),"")</f>
        <v>1.9830000000000001</v>
      </c>
      <c r="K300">
        <f>IFERROR(INDEX('Green_rooibos initial weight'!$C$5:$C$1749,MATCH(I300, 'Green_rooibos initial weight'!$A$5:$A$1749,0)),"")</f>
        <v>2.12</v>
      </c>
      <c r="L300" s="195">
        <f t="shared" si="29"/>
        <v>1.7332000000000001</v>
      </c>
      <c r="M300" s="195">
        <f>AVERAGE(Ashed_controlls!$K$2:$K$11)</f>
        <v>5.5147656768714146</v>
      </c>
      <c r="N300" s="195">
        <f t="shared" si="27"/>
        <v>1.8702000000000001</v>
      </c>
      <c r="O300" s="16">
        <f>IF('WetLitterbags placem_collection'!G7="N.A","",'WetLitterbags placem_collection'!G7)</f>
        <v>42818</v>
      </c>
      <c r="P300" s="195">
        <f>IF(IFERROR(INDEX('Both teabags AfterWet'!$C$3:$C$841,MATCH(H300,'Both teabags AfterWet'!$A$3:$A$841,0)),"")="N.A","",(IFERROR(INDEX('Both teabags AfterWet'!$C$3:$C$841,MATCH(H300,'Both teabags AfterWet'!$A$3:$A$841,0)),"")))</f>
        <v>0.41870000000000002</v>
      </c>
      <c r="Q300" s="195">
        <f>IFERROR(INDEX('Both teabags AfterWet'!$C$3:$C$841,MATCH(I300,'Both teabags AfterWet'!$A$3:$A$841,0)),"")</f>
        <v>1.2627999999999999</v>
      </c>
      <c r="R300" s="195">
        <f t="shared" si="30"/>
        <v>0.2681</v>
      </c>
      <c r="S300" s="195">
        <f t="shared" si="30"/>
        <v>1.1121999999999999</v>
      </c>
      <c r="T300" s="195">
        <f t="shared" si="31"/>
        <v>0.84531502423263327</v>
      </c>
      <c r="U300" s="195">
        <f t="shared" si="32"/>
        <v>0.55417327004324657</v>
      </c>
      <c r="V300" s="195">
        <f t="shared" si="33"/>
        <v>0.59469575446476297</v>
      </c>
      <c r="W300">
        <f t="shared" si="28"/>
        <v>52</v>
      </c>
      <c r="X300" s="195">
        <f t="shared" si="34"/>
        <v>-3.9370834116785325E-3</v>
      </c>
      <c r="Y300" s="195">
        <f t="shared" si="35"/>
        <v>2.5277125200655833E-2</v>
      </c>
      <c r="Z300" s="255" t="str">
        <f>IF(ISNUMBER(SEARCH("C",'WetLitterbags placem_collection'!W227)),"YES","NO")</f>
        <v>NO</v>
      </c>
      <c r="AA300" s="255" t="str">
        <f>IF(ISNUMBER(SEARCH("H", 'WetLitterbags placem_collection'!Y7)),"YES","NO")</f>
        <v>NO</v>
      </c>
      <c r="AB300" s="255" t="str">
        <f>IF(ISNUMBER(SEARCH("R", 'WetLitterbags placem_collection'!WY7)),"YES","NO")</f>
        <v>NO</v>
      </c>
      <c r="AC300" s="255" t="str">
        <f>IF(ISNUMBER(SEARCH("C", 'WetLitterbags placem_collection'!VX7)),"YES","NO")</f>
        <v>NO</v>
      </c>
      <c r="AD300" s="255" t="str">
        <f>IF(ISNUMBER(SEARCH("H", 'WetLitterbags placem_collection'!X7)),"YES","NO")</f>
        <v>NO</v>
      </c>
      <c r="AE300" s="255" t="str">
        <f>IF(ISNUMBER(SEARCH("R", 'WetLitterbags placem_collection'!X7)),"YES","NO")</f>
        <v>NO</v>
      </c>
    </row>
    <row r="301" spans="2:31">
      <c r="B301" t="str">
        <f>'Final data_for_R_analysis_Wetse'!A447</f>
        <v>Wet</v>
      </c>
      <c r="C301" s="263">
        <f>'Final data_for_R_analysis_Wetse'!B447</f>
        <v>6</v>
      </c>
      <c r="D301" t="s">
        <v>3824</v>
      </c>
      <c r="E301" t="s">
        <v>25</v>
      </c>
      <c r="F301" s="387">
        <v>6</v>
      </c>
      <c r="G301" s="16">
        <f>'WetLitterbags placem_collection'!E8</f>
        <v>42766</v>
      </c>
      <c r="H301" s="92" t="str">
        <f>'Final data_for_R_analysis_Wetse'!J447</f>
        <v>G634</v>
      </c>
      <c r="I301" t="str">
        <f>'Final data_for_R_analysis_Wetse'!J667</f>
        <v>R59</v>
      </c>
      <c r="J301">
        <f>IFERROR(INDEX('Green_rooibos initial weight'!$C$5:$C$1749,MATCH(H301, 'Green_rooibos initial weight'!$A$5:$A$1749,0)),"")</f>
        <v>2.02</v>
      </c>
      <c r="K301">
        <f>IFERROR(INDEX('Green_rooibos initial weight'!$C$5:$C$1749,MATCH(I301, 'Green_rooibos initial weight'!$A$5:$A$1749,0)),"")</f>
        <v>2.2029999999999998</v>
      </c>
      <c r="L301" s="195">
        <f t="shared" si="29"/>
        <v>1.7702</v>
      </c>
      <c r="M301" s="195">
        <f>AVERAGE(Ashed_controlls!$K$2:$K$11)</f>
        <v>5.5147656768714146</v>
      </c>
      <c r="N301" s="195">
        <f t="shared" si="27"/>
        <v>1.9531999999999998</v>
      </c>
      <c r="O301" s="16">
        <f>IF('WetLitterbags placem_collection'!G8="N.A","",'WetLitterbags placem_collection'!G8)</f>
        <v>42818</v>
      </c>
      <c r="P301" s="195">
        <f>IF(IFERROR(INDEX('Both teabags AfterWet'!$C$3:$C$841,MATCH(H301,'Both teabags AfterWet'!$A$3:$A$841,0)),"")="N.A","",(IFERROR(INDEX('Both teabags AfterWet'!$C$3:$C$841,MATCH(H301,'Both teabags AfterWet'!$A$3:$A$841,0)),"")))</f>
        <v>0.60129999999999995</v>
      </c>
      <c r="Q301" s="195">
        <f>IFERROR(INDEX('Both teabags AfterWet'!$C$3:$C$841,MATCH(I301,'Both teabags AfterWet'!$A$3:$A$841,0)),"")</f>
        <v>1.4990000000000001</v>
      </c>
      <c r="R301" s="195">
        <f t="shared" si="30"/>
        <v>0.45069999999999993</v>
      </c>
      <c r="S301" s="195">
        <f t="shared" si="30"/>
        <v>1.3484</v>
      </c>
      <c r="T301" s="195">
        <f t="shared" si="31"/>
        <v>0.74539600045192644</v>
      </c>
      <c r="U301" s="195">
        <f t="shared" si="32"/>
        <v>0.48866816181646494</v>
      </c>
      <c r="V301" s="195">
        <f t="shared" si="33"/>
        <v>0.69035429039524887</v>
      </c>
      <c r="W301">
        <f t="shared" si="28"/>
        <v>52</v>
      </c>
      <c r="X301" s="195">
        <f t="shared" si="34"/>
        <v>0.11473159091220131</v>
      </c>
      <c r="Y301" s="195">
        <f t="shared" si="35"/>
        <v>1.9311008155774044E-2</v>
      </c>
      <c r="Z301" s="255" t="str">
        <f>IF(ISNUMBER(SEARCH("C",'WetLitterbags placem_collection'!W228)),"YES","NO")</f>
        <v>NO</v>
      </c>
      <c r="AA301" s="255" t="str">
        <f>IF(ISNUMBER(SEARCH("H", 'WetLitterbags placem_collection'!Y8)),"YES","NO")</f>
        <v>NO</v>
      </c>
      <c r="AB301" s="255" t="str">
        <f>IF(ISNUMBER(SEARCH("R", 'WetLitterbags placem_collection'!WY8)),"YES","NO")</f>
        <v>NO</v>
      </c>
      <c r="AC301" s="255" t="str">
        <f>IF(ISNUMBER(SEARCH("C", 'WetLitterbags placem_collection'!VX8)),"YES","NO")</f>
        <v>NO</v>
      </c>
      <c r="AD301" s="255" t="str">
        <f>IF(ISNUMBER(SEARCH("H", 'WetLitterbags placem_collection'!X8)),"YES","NO")</f>
        <v>NO</v>
      </c>
      <c r="AE301" s="255" t="str">
        <f>IF(ISNUMBER(SEARCH("R", 'WetLitterbags placem_collection'!X8)),"YES","NO")</f>
        <v>YES</v>
      </c>
    </row>
    <row r="302" spans="2:31">
      <c r="B302" t="str">
        <f>'Final data_for_R_analysis_Wetse'!A448</f>
        <v>Wet</v>
      </c>
      <c r="C302" s="263">
        <f>'Final data_for_R_analysis_Wetse'!B448</f>
        <v>7</v>
      </c>
      <c r="D302" t="s">
        <v>3824</v>
      </c>
      <c r="E302" t="s">
        <v>25</v>
      </c>
      <c r="F302" s="387">
        <v>7</v>
      </c>
      <c r="G302" s="16">
        <f>'WetLitterbags placem_collection'!E9</f>
        <v>42766</v>
      </c>
      <c r="H302" s="92" t="str">
        <f>'Final data_for_R_analysis_Wetse'!J448</f>
        <v>G665</v>
      </c>
      <c r="I302" t="str">
        <f>'Final data_for_R_analysis_Wetse'!J668</f>
        <v>R398</v>
      </c>
      <c r="J302">
        <f>IFERROR(INDEX('Green_rooibos initial weight'!$C$5:$C$1749,MATCH(H302, 'Green_rooibos initial weight'!$A$5:$A$1749,0)),"")</f>
        <v>2.09</v>
      </c>
      <c r="K302">
        <f>IFERROR(INDEX('Green_rooibos initial weight'!$C$5:$C$1749,MATCH(I302, 'Green_rooibos initial weight'!$A$5:$A$1749,0)),"")</f>
        <v>2.19</v>
      </c>
      <c r="L302" s="195">
        <f t="shared" si="29"/>
        <v>1.8401999999999998</v>
      </c>
      <c r="M302" s="195">
        <f>AVERAGE(Ashed_controlls!$K$2:$K$11)</f>
        <v>5.5147656768714146</v>
      </c>
      <c r="N302" s="195">
        <f t="shared" si="27"/>
        <v>1.9401999999999999</v>
      </c>
      <c r="O302" s="16">
        <f>IF('WetLitterbags placem_collection'!G9="N.A","",'WetLitterbags placem_collection'!G9)</f>
        <v>42818</v>
      </c>
      <c r="P302" s="195">
        <f>IF(IFERROR(INDEX('Both teabags AfterWet'!$C$3:$C$841,MATCH(H302,'Both teabags AfterWet'!$A$3:$A$841,0)),"")="N.A","",(IFERROR(INDEX('Both teabags AfterWet'!$C$3:$C$841,MATCH(H302,'Both teabags AfterWet'!$A$3:$A$841,0)),"")))</f>
        <v>0.56399999999999995</v>
      </c>
      <c r="Q302" s="195">
        <f>IFERROR(INDEX('Both teabags AfterWet'!$C$3:$C$841,MATCH(I302,'Both teabags AfterWet'!$A$3:$A$841,0)),"")</f>
        <v>1.518</v>
      </c>
      <c r="R302" s="195">
        <f t="shared" si="30"/>
        <v>0.41339999999999993</v>
      </c>
      <c r="S302" s="195">
        <f t="shared" si="30"/>
        <v>1.3673999999999999</v>
      </c>
      <c r="T302" s="195">
        <f t="shared" si="31"/>
        <v>0.77535050537985006</v>
      </c>
      <c r="U302" s="195">
        <f t="shared" si="32"/>
        <v>0.50830579450080438</v>
      </c>
      <c r="V302" s="195">
        <f t="shared" si="33"/>
        <v>0.70477270384496449</v>
      </c>
      <c r="W302">
        <f t="shared" si="28"/>
        <v>52</v>
      </c>
      <c r="X302" s="195">
        <f t="shared" si="34"/>
        <v>7.9156169382600838E-2</v>
      </c>
      <c r="Y302" s="195">
        <f t="shared" si="35"/>
        <v>1.6719665182738073E-2</v>
      </c>
      <c r="Z302" s="255" t="str">
        <f>IF(ISNUMBER(SEARCH("C",'WetLitterbags placem_collection'!W229)),"YES","NO")</f>
        <v>NO</v>
      </c>
      <c r="AA302" s="255" t="str">
        <f>IF(ISNUMBER(SEARCH("H", 'WetLitterbags placem_collection'!Y9)),"YES","NO")</f>
        <v>NO</v>
      </c>
      <c r="AB302" s="255" t="str">
        <f>IF(ISNUMBER(SEARCH("R", 'WetLitterbags placem_collection'!WY9)),"YES","NO")</f>
        <v>NO</v>
      </c>
      <c r="AC302" s="255" t="str">
        <f>IF(ISNUMBER(SEARCH("C", 'WetLitterbags placem_collection'!VX9)),"YES","NO")</f>
        <v>NO</v>
      </c>
      <c r="AD302" s="255" t="str">
        <f>IF(ISNUMBER(SEARCH("H", 'WetLitterbags placem_collection'!X9)),"YES","NO")</f>
        <v>NO</v>
      </c>
      <c r="AE302" s="255" t="str">
        <f>IF(ISNUMBER(SEARCH("R", 'WetLitterbags placem_collection'!X9)),"YES","NO")</f>
        <v>YES</v>
      </c>
    </row>
    <row r="303" spans="2:31">
      <c r="B303" t="str">
        <f>'Final data_for_R_analysis_Wetse'!A449</f>
        <v>Wet</v>
      </c>
      <c r="C303" s="263">
        <f>'Final data_for_R_analysis_Wetse'!B449</f>
        <v>8</v>
      </c>
      <c r="D303" t="s">
        <v>3824</v>
      </c>
      <c r="E303" t="s">
        <v>25</v>
      </c>
      <c r="F303" s="387">
        <v>8</v>
      </c>
      <c r="G303" s="16">
        <f>'WetLitterbags placem_collection'!E10</f>
        <v>42766</v>
      </c>
      <c r="H303" s="92" t="str">
        <f>'Final data_for_R_analysis_Wetse'!J449</f>
        <v>G701</v>
      </c>
      <c r="I303" t="str">
        <f>'Final data_for_R_analysis_Wetse'!J669</f>
        <v>R512</v>
      </c>
      <c r="J303">
        <f>IFERROR(INDEX('Green_rooibos initial weight'!$C$5:$C$1749,MATCH(H303, 'Green_rooibos initial weight'!$A$5:$A$1749,0)),"")</f>
        <v>1.9159999999999999</v>
      </c>
      <c r="K303">
        <f>IFERROR(INDEX('Green_rooibos initial weight'!$C$5:$C$1749,MATCH(I303, 'Green_rooibos initial weight'!$A$5:$A$1749,0)),"")</f>
        <v>2.1509999999999998</v>
      </c>
      <c r="L303" s="195">
        <f t="shared" si="29"/>
        <v>1.6661999999999999</v>
      </c>
      <c r="M303" s="195">
        <f>AVERAGE(Ashed_controlls!$K$2:$K$11)</f>
        <v>5.5147656768714146</v>
      </c>
      <c r="N303" s="195">
        <f t="shared" si="27"/>
        <v>1.9011999999999998</v>
      </c>
      <c r="O303" s="16">
        <f>IF('WetLitterbags placem_collection'!G10="N.A","",'WetLitterbags placem_collection'!G10)</f>
        <v>42818</v>
      </c>
      <c r="P303" s="195">
        <f>IF(IFERROR(INDEX('Both teabags AfterWet'!$C$3:$C$841,MATCH(H303,'Both teabags AfterWet'!$A$3:$A$841,0)),"")="N.A","",(IFERROR(INDEX('Both teabags AfterWet'!$C$3:$C$841,MATCH(H303,'Both teabags AfterWet'!$A$3:$A$841,0)),"")))</f>
        <v>0.59260000000000002</v>
      </c>
      <c r="Q303" s="195">
        <f>IFERROR(INDEX('Both teabags AfterWet'!$C$3:$C$841,MATCH(I303,'Both teabags AfterWet'!$A$3:$A$841,0)),"")</f>
        <v>1.4733000000000001</v>
      </c>
      <c r="R303" s="195">
        <f t="shared" si="30"/>
        <v>0.442</v>
      </c>
      <c r="S303" s="195">
        <f t="shared" si="30"/>
        <v>1.3227</v>
      </c>
      <c r="T303" s="195">
        <f t="shared" si="31"/>
        <v>0.73472572320249663</v>
      </c>
      <c r="U303" s="195">
        <f t="shared" si="32"/>
        <v>0.48167292067432088</v>
      </c>
      <c r="V303" s="195">
        <f t="shared" si="33"/>
        <v>0.69571849358300031</v>
      </c>
      <c r="W303">
        <f t="shared" si="28"/>
        <v>52</v>
      </c>
      <c r="X303" s="195">
        <f t="shared" si="34"/>
        <v>0.12740412921318689</v>
      </c>
      <c r="Y303" s="195">
        <f t="shared" si="35"/>
        <v>1.9209742785314624E-2</v>
      </c>
      <c r="Z303" s="255" t="str">
        <f>IF(ISNUMBER(SEARCH("C",'WetLitterbags placem_collection'!W230)),"YES","NO")</f>
        <v>NO</v>
      </c>
      <c r="AA303" s="255" t="str">
        <f>IF(ISNUMBER(SEARCH("H", 'WetLitterbags placem_collection'!Y10)),"YES","NO")</f>
        <v>NO</v>
      </c>
      <c r="AB303" s="255" t="str">
        <f>IF(ISNUMBER(SEARCH("R", 'WetLitterbags placem_collection'!WY10)),"YES","NO")</f>
        <v>NO</v>
      </c>
      <c r="AC303" s="255" t="str">
        <f>IF(ISNUMBER(SEARCH("C", 'WetLitterbags placem_collection'!VX10)),"YES","NO")</f>
        <v>NO</v>
      </c>
      <c r="AD303" s="255" t="str">
        <f>IF(ISNUMBER(SEARCH("H", 'WetLitterbags placem_collection'!X10)),"YES","NO")</f>
        <v>NO</v>
      </c>
      <c r="AE303" s="255" t="str">
        <f>IF(ISNUMBER(SEARCH("R", 'WetLitterbags placem_collection'!X10)),"YES","NO")</f>
        <v>NO</v>
      </c>
    </row>
    <row r="304" spans="2:31">
      <c r="B304" t="str">
        <f>'Final data_for_R_analysis_Wetse'!A450</f>
        <v>Wet</v>
      </c>
      <c r="C304" s="263">
        <f>'Final data_for_R_analysis_Wetse'!B450</f>
        <v>9</v>
      </c>
      <c r="D304" t="s">
        <v>3828</v>
      </c>
      <c r="E304" t="s">
        <v>25</v>
      </c>
      <c r="F304" s="386">
        <v>1</v>
      </c>
      <c r="G304" s="16">
        <f>'WetLitterbags placem_collection'!E11</f>
        <v>42766</v>
      </c>
      <c r="H304" s="92" t="str">
        <f>'Final data_for_R_analysis_Wetse'!J450</f>
        <v>G476</v>
      </c>
      <c r="I304" t="str">
        <f>'Final data_for_R_analysis_Wetse'!J670</f>
        <v>R101</v>
      </c>
      <c r="J304">
        <f>IFERROR(INDEX('Green_rooibos initial weight'!$C$5:$C$1749,MATCH(H304, 'Green_rooibos initial weight'!$A$5:$A$1749,0)),"")</f>
        <v>2.121</v>
      </c>
      <c r="K304">
        <f>IFERROR(INDEX('Green_rooibos initial weight'!$C$5:$C$1749,MATCH(I304, 'Green_rooibos initial weight'!$A$5:$A$1749,0)),"")</f>
        <v>2.3039999999999998</v>
      </c>
      <c r="L304" s="195">
        <f t="shared" si="29"/>
        <v>1.8712</v>
      </c>
      <c r="M304" s="195">
        <f>AVERAGE(Ashed_controlls!$K$2:$K$11)</f>
        <v>5.5147656768714146</v>
      </c>
      <c r="N304" s="195">
        <f t="shared" si="27"/>
        <v>2.0541999999999998</v>
      </c>
      <c r="O304" s="16">
        <f>IF('WetLitterbags placem_collection'!G11="N.A","",'WetLitterbags placem_collection'!G11)</f>
        <v>42818</v>
      </c>
      <c r="P304" s="195">
        <f>IF(IFERROR(INDEX('Both teabags AfterWet'!$C$3:$C$841,MATCH(H304,'Both teabags AfterWet'!$A$3:$A$841,0)),"")="N.A","",(IFERROR(INDEX('Both teabags AfterWet'!$C$3:$C$841,MATCH(H304,'Both teabags AfterWet'!$A$3:$A$841,0)),"")))</f>
        <v>0.66479999999999995</v>
      </c>
      <c r="Q304" s="195">
        <f>IFERROR(INDEX('Both teabags AfterWet'!$C$3:$C$841,MATCH(I304,'Both teabags AfterWet'!$A$3:$A$841,0)),"")</f>
        <v>1.5383</v>
      </c>
      <c r="R304" s="195">
        <f t="shared" si="30"/>
        <v>0.51419999999999999</v>
      </c>
      <c r="S304" s="195">
        <f t="shared" si="30"/>
        <v>1.3876999999999999</v>
      </c>
      <c r="T304" s="195">
        <f t="shared" si="31"/>
        <v>0.72520307823856345</v>
      </c>
      <c r="U304" s="195">
        <f t="shared" si="32"/>
        <v>0.47543004654119603</v>
      </c>
      <c r="V304" s="195">
        <f t="shared" si="33"/>
        <v>0.67554279038068354</v>
      </c>
      <c r="W304">
        <f t="shared" si="28"/>
        <v>52</v>
      </c>
      <c r="X304" s="195">
        <f t="shared" si="34"/>
        <v>0.13871368380218119</v>
      </c>
      <c r="Y304" s="195">
        <f t="shared" si="35"/>
        <v>2.2059996593908244E-2</v>
      </c>
      <c r="Z304" s="255" t="str">
        <f>IF(ISNUMBER(SEARCH("C",'WetLitterbags placem_collection'!W231)),"YES","NO")</f>
        <v>NO</v>
      </c>
      <c r="AA304" s="255" t="str">
        <f>IF(ISNUMBER(SEARCH("H", 'WetLitterbags placem_collection'!Y11)),"YES","NO")</f>
        <v>NO</v>
      </c>
      <c r="AB304" s="255" t="str">
        <f>IF(ISNUMBER(SEARCH("R", 'WetLitterbags placem_collection'!WY11)),"YES","NO")</f>
        <v>NO</v>
      </c>
      <c r="AC304" s="255" t="str">
        <f>IF(ISNUMBER(SEARCH("C", 'WetLitterbags placem_collection'!VX11)),"YES","NO")</f>
        <v>NO</v>
      </c>
      <c r="AD304" s="255" t="str">
        <f>IF(ISNUMBER(SEARCH("H", 'WetLitterbags placem_collection'!X11)),"YES","NO")</f>
        <v>NO</v>
      </c>
      <c r="AE304" s="255" t="str">
        <f>IF(ISNUMBER(SEARCH("R", 'WetLitterbags placem_collection'!X11)),"YES","NO")</f>
        <v>NO</v>
      </c>
    </row>
    <row r="305" spans="2:31">
      <c r="B305" t="str">
        <f>'Final data_for_R_analysis_Wetse'!A451</f>
        <v>Wet</v>
      </c>
      <c r="C305" s="263">
        <f>'Final data_for_R_analysis_Wetse'!B451</f>
        <v>10</v>
      </c>
      <c r="D305" t="s">
        <v>3828</v>
      </c>
      <c r="E305" t="s">
        <v>25</v>
      </c>
      <c r="F305" s="386">
        <v>2</v>
      </c>
      <c r="G305" s="16">
        <f>'WetLitterbags placem_collection'!E12</f>
        <v>42766</v>
      </c>
      <c r="H305" s="92" t="str">
        <f>'Final data_for_R_analysis_Wetse'!J451</f>
        <v>G606</v>
      </c>
      <c r="I305" t="str">
        <f>'Final data_for_R_analysis_Wetse'!J671</f>
        <v>R515</v>
      </c>
      <c r="J305">
        <f>IFERROR(INDEX('Green_rooibos initial weight'!$C$5:$C$1749,MATCH(H305, 'Green_rooibos initial weight'!$A$5:$A$1749,0)),"")</f>
        <v>1.921</v>
      </c>
      <c r="K305">
        <f>IFERROR(INDEX('Green_rooibos initial weight'!$C$5:$C$1749,MATCH(I305, 'Green_rooibos initial weight'!$A$5:$A$1749,0)),"")</f>
        <v>2.2050000000000001</v>
      </c>
      <c r="L305" s="195">
        <f t="shared" si="29"/>
        <v>1.6712</v>
      </c>
      <c r="M305" s="195">
        <f>AVERAGE(Ashed_controlls!$K$2:$K$11)</f>
        <v>5.5147656768714146</v>
      </c>
      <c r="N305" s="195">
        <f t="shared" si="27"/>
        <v>1.9552</v>
      </c>
      <c r="O305" s="16">
        <f>IF('WetLitterbags placem_collection'!G12="N.A","",'WetLitterbags placem_collection'!G12)</f>
        <v>42818</v>
      </c>
      <c r="P305" s="195">
        <f>IF(IFERROR(INDEX('Both teabags AfterWet'!$C$3:$C$841,MATCH(H305,'Both teabags AfterWet'!$A$3:$A$841,0)),"")="N.A","",(IFERROR(INDEX('Both teabags AfterWet'!$C$3:$C$841,MATCH(H305,'Both teabags AfterWet'!$A$3:$A$841,0)),"")))</f>
        <v>0.63539999999999996</v>
      </c>
      <c r="Q305" s="195">
        <f>IFERROR(INDEX('Both teabags AfterWet'!$C$3:$C$841,MATCH(I305,'Both teabags AfterWet'!$A$3:$A$841,0)),"")</f>
        <v>1.3853</v>
      </c>
      <c r="R305" s="195">
        <f t="shared" si="30"/>
        <v>0.48479999999999995</v>
      </c>
      <c r="S305" s="195">
        <f t="shared" si="30"/>
        <v>1.2346999999999999</v>
      </c>
      <c r="T305" s="195">
        <f t="shared" si="31"/>
        <v>0.70990904739109628</v>
      </c>
      <c r="U305" s="195">
        <f t="shared" si="32"/>
        <v>0.46540355600936484</v>
      </c>
      <c r="V305" s="195">
        <f t="shared" si="33"/>
        <v>0.63149549918166936</v>
      </c>
      <c r="W305">
        <f t="shared" si="28"/>
        <v>52</v>
      </c>
      <c r="X305" s="195">
        <f t="shared" si="34"/>
        <v>0.15687761592506377</v>
      </c>
      <c r="Y305" s="195">
        <f t="shared" si="35"/>
        <v>3.0177598521146373E-2</v>
      </c>
      <c r="Z305" s="255" t="str">
        <f>IF(ISNUMBER(SEARCH("C",'WetLitterbags placem_collection'!W232)),"YES","NO")</f>
        <v>NO</v>
      </c>
      <c r="AA305" s="255" t="str">
        <f>IF(ISNUMBER(SEARCH("H", 'WetLitterbags placem_collection'!Y12)),"YES","NO")</f>
        <v>NO</v>
      </c>
      <c r="AB305" s="255" t="str">
        <f>IF(ISNUMBER(SEARCH("R", 'WetLitterbags placem_collection'!WY12)),"YES","NO")</f>
        <v>NO</v>
      </c>
      <c r="AC305" s="255" t="str">
        <f>IF(ISNUMBER(SEARCH("C", 'WetLitterbags placem_collection'!VX12)),"YES","NO")</f>
        <v>NO</v>
      </c>
      <c r="AD305" s="255" t="str">
        <f>IF(ISNUMBER(SEARCH("H", 'WetLitterbags placem_collection'!X12)),"YES","NO")</f>
        <v>NO</v>
      </c>
      <c r="AE305" s="255" t="str">
        <f>IF(ISNUMBER(SEARCH("R", 'WetLitterbags placem_collection'!X12)),"YES","NO")</f>
        <v>NO</v>
      </c>
    </row>
    <row r="306" spans="2:31">
      <c r="B306" t="str">
        <f>'Final data_for_R_analysis_Wetse'!A452</f>
        <v>Wet</v>
      </c>
      <c r="C306" s="263">
        <f>'Final data_for_R_analysis_Wetse'!B452</f>
        <v>11</v>
      </c>
      <c r="D306" t="s">
        <v>3828</v>
      </c>
      <c r="E306" t="s">
        <v>25</v>
      </c>
      <c r="F306" s="386">
        <v>3</v>
      </c>
      <c r="G306" s="16">
        <f>'WetLitterbags placem_collection'!E13</f>
        <v>42766</v>
      </c>
      <c r="H306" s="92" t="str">
        <f>'Final data_for_R_analysis_Wetse'!J452</f>
        <v>G523</v>
      </c>
      <c r="I306" t="str">
        <f>'Final data_for_R_analysis_Wetse'!J672</f>
        <v>R2</v>
      </c>
      <c r="J306">
        <f>IFERROR(INDEX('Green_rooibos initial weight'!$C$5:$C$1749,MATCH(H306, 'Green_rooibos initial weight'!$A$5:$A$1749,0)),"")</f>
        <v>2.1419999999999999</v>
      </c>
      <c r="K306">
        <f>IFERROR(INDEX('Green_rooibos initial weight'!$C$5:$C$1749,MATCH(I306, 'Green_rooibos initial weight'!$A$5:$A$1749,0)),"")</f>
        <v>2.2679999999999998</v>
      </c>
      <c r="L306" s="195">
        <f t="shared" si="29"/>
        <v>1.8921999999999999</v>
      </c>
      <c r="M306" s="195">
        <f>AVERAGE(Ashed_controlls!$K$2:$K$11)</f>
        <v>5.5147656768714146</v>
      </c>
      <c r="N306" s="195">
        <f t="shared" si="27"/>
        <v>2.0181999999999998</v>
      </c>
      <c r="O306" s="16">
        <f>IF('WetLitterbags placem_collection'!G13="N.A","",'WetLitterbags placem_collection'!G13)</f>
        <v>42818</v>
      </c>
      <c r="P306" s="195">
        <f>IF(IFERROR(INDEX('Both teabags AfterWet'!$C$3:$C$841,MATCH(H306,'Both teabags AfterWet'!$A$3:$A$841,0)),"")="N.A","",(IFERROR(INDEX('Both teabags AfterWet'!$C$3:$C$841,MATCH(H306,'Both teabags AfterWet'!$A$3:$A$841,0)),"")))</f>
        <v>0.63119999999999998</v>
      </c>
      <c r="Q306" s="195">
        <f>IFERROR(INDEX('Both teabags AfterWet'!$C$3:$C$841,MATCH(I306,'Both teabags AfterWet'!$A$3:$A$841,0)),"")</f>
        <v>1.43</v>
      </c>
      <c r="R306" s="195">
        <f t="shared" si="30"/>
        <v>0.48059999999999997</v>
      </c>
      <c r="S306" s="195">
        <f t="shared" si="30"/>
        <v>1.2793999999999999</v>
      </c>
      <c r="T306" s="195">
        <f t="shared" si="31"/>
        <v>0.74600993552478601</v>
      </c>
      <c r="U306" s="195">
        <f t="shared" si="32"/>
        <v>0.48907064656731819</v>
      </c>
      <c r="V306" s="195">
        <f t="shared" si="33"/>
        <v>0.63393122584481221</v>
      </c>
      <c r="W306">
        <f t="shared" si="28"/>
        <v>52</v>
      </c>
      <c r="X306" s="195">
        <f t="shared" si="34"/>
        <v>0.11400245187080049</v>
      </c>
      <c r="Y306" s="195">
        <f t="shared" si="35"/>
        <v>2.6544372546697632E-2</v>
      </c>
      <c r="Z306" s="255" t="str">
        <f>IF(ISNUMBER(SEARCH("C",'WetLitterbags placem_collection'!W233)),"YES","NO")</f>
        <v>NO</v>
      </c>
      <c r="AA306" s="255" t="str">
        <f>IF(ISNUMBER(SEARCH("H", 'WetLitterbags placem_collection'!Y13)),"YES","NO")</f>
        <v>NO</v>
      </c>
      <c r="AB306" s="255" t="str">
        <f>IF(ISNUMBER(SEARCH("R", 'WetLitterbags placem_collection'!WY13)),"YES","NO")</f>
        <v>NO</v>
      </c>
      <c r="AC306" s="255" t="str">
        <f>IF(ISNUMBER(SEARCH("C", 'WetLitterbags placem_collection'!VX13)),"YES","NO")</f>
        <v>NO</v>
      </c>
      <c r="AD306" s="255" t="str">
        <f>IF(ISNUMBER(SEARCH("H", 'WetLitterbags placem_collection'!X13)),"YES","NO")</f>
        <v>NO</v>
      </c>
      <c r="AE306" s="255" t="str">
        <f>IF(ISNUMBER(SEARCH("R", 'WetLitterbags placem_collection'!X13)),"YES","NO")</f>
        <v>NO</v>
      </c>
    </row>
    <row r="307" spans="2:31">
      <c r="B307" t="str">
        <f>'Final data_for_R_analysis_Wetse'!A453</f>
        <v>Wet</v>
      </c>
      <c r="C307" s="263">
        <f>'Final data_for_R_analysis_Wetse'!B453</f>
        <v>12</v>
      </c>
      <c r="D307" t="s">
        <v>3828</v>
      </c>
      <c r="E307" t="s">
        <v>25</v>
      </c>
      <c r="F307" s="387">
        <v>4</v>
      </c>
      <c r="G307" s="16">
        <f>'WetLitterbags placem_collection'!E14</f>
        <v>42766</v>
      </c>
      <c r="H307" s="92" t="str">
        <f>'Final data_for_R_analysis_Wetse'!J453</f>
        <v>G490</v>
      </c>
      <c r="I307" t="str">
        <f>'Final data_for_R_analysis_Wetse'!J673</f>
        <v>R123</v>
      </c>
      <c r="J307">
        <f>IFERROR(INDEX('Green_rooibos initial weight'!$C$5:$C$1749,MATCH(H307, 'Green_rooibos initial weight'!$A$5:$A$1749,0)),"")</f>
        <v>1.881</v>
      </c>
      <c r="K307">
        <f>IFERROR(INDEX('Green_rooibos initial weight'!$C$5:$C$1749,MATCH(I307, 'Green_rooibos initial weight'!$A$5:$A$1749,0)),"")</f>
        <v>2.2610000000000001</v>
      </c>
      <c r="L307" s="195">
        <f t="shared" si="29"/>
        <v>1.6312</v>
      </c>
      <c r="M307" s="195">
        <f>AVERAGE(Ashed_controlls!$K$2:$K$11)</f>
        <v>5.5147656768714146</v>
      </c>
      <c r="N307" s="195">
        <f t="shared" si="27"/>
        <v>2.0112000000000001</v>
      </c>
      <c r="O307" s="16">
        <f>IF('WetLitterbags placem_collection'!G14="N.A","",'WetLitterbags placem_collection'!G14)</f>
        <v>0</v>
      </c>
      <c r="P307" s="195" t="str">
        <f>IF(IFERROR(INDEX('Both teabags AfterWet'!$C$3:$C$841,MATCH(H307,'Both teabags AfterWet'!$A$3:$A$841,0)),"")="N.A","",(IFERROR(INDEX('Both teabags AfterWet'!$C$3:$C$841,MATCH(H307,'Both teabags AfterWet'!$A$3:$A$841,0)),"")))</f>
        <v/>
      </c>
      <c r="Q307" s="195" t="str">
        <f>IFERROR(INDEX('Both teabags AfterWet'!$C$3:$C$841,MATCH(I307,'Both teabags AfterWet'!$A$3:$A$841,0)),"")</f>
        <v/>
      </c>
      <c r="R307" s="195" t="str">
        <f t="shared" si="30"/>
        <v/>
      </c>
      <c r="S307" s="195" t="str">
        <f t="shared" si="30"/>
        <v/>
      </c>
      <c r="T307" s="195" t="str">
        <f t="shared" si="31"/>
        <v/>
      </c>
      <c r="U307" s="195" t="str">
        <f t="shared" si="32"/>
        <v/>
      </c>
      <c r="V307" s="195" t="str">
        <f t="shared" si="33"/>
        <v/>
      </c>
      <c r="W307" t="str">
        <f t="shared" si="28"/>
        <v/>
      </c>
      <c r="X307" s="195" t="str">
        <f t="shared" si="34"/>
        <v/>
      </c>
      <c r="Y307" s="195" t="str">
        <f t="shared" si="35"/>
        <v/>
      </c>
      <c r="Z307" s="255" t="str">
        <f>IF(ISNUMBER(SEARCH("C",'WetLitterbags placem_collection'!W234)),"YES","NO")</f>
        <v>NO</v>
      </c>
      <c r="AA307" s="255" t="str">
        <f>IF(ISNUMBER(SEARCH("H", 'WetLitterbags placem_collection'!Y14)),"YES","NO")</f>
        <v>NO</v>
      </c>
      <c r="AB307" s="255" t="str">
        <f>IF(ISNUMBER(SEARCH("R", 'WetLitterbags placem_collection'!WY14)),"YES","NO")</f>
        <v>NO</v>
      </c>
      <c r="AC307" s="255" t="str">
        <f>IF(ISNUMBER(SEARCH("C", 'WetLitterbags placem_collection'!VX14)),"YES","NO")</f>
        <v>NO</v>
      </c>
      <c r="AD307" s="255" t="str">
        <f>IF(ISNUMBER(SEARCH("H", 'WetLitterbags placem_collection'!X14)),"YES","NO")</f>
        <v>NO</v>
      </c>
      <c r="AE307" s="255" t="str">
        <f>IF(ISNUMBER(SEARCH("R", 'WetLitterbags placem_collection'!X14)),"YES","NO")</f>
        <v>NO</v>
      </c>
    </row>
    <row r="308" spans="2:31">
      <c r="B308" t="str">
        <f>'Final data_for_R_analysis_Wetse'!A454</f>
        <v>Wet</v>
      </c>
      <c r="C308" s="263">
        <f>'Final data_for_R_analysis_Wetse'!B454</f>
        <v>13</v>
      </c>
      <c r="D308" t="s">
        <v>3828</v>
      </c>
      <c r="E308" t="s">
        <v>25</v>
      </c>
      <c r="F308" s="387">
        <v>5</v>
      </c>
      <c r="G308" s="16">
        <f>'WetLitterbags placem_collection'!E15</f>
        <v>42766</v>
      </c>
      <c r="H308" s="92" t="str">
        <f>'Final data_for_R_analysis_Wetse'!J454</f>
        <v>G241</v>
      </c>
      <c r="I308" t="str">
        <f>'Final data_for_R_analysis_Wetse'!J674</f>
        <v>R3</v>
      </c>
      <c r="J308">
        <f>IFERROR(INDEX('Green_rooibos initial weight'!$C$5:$C$1749,MATCH(H308, 'Green_rooibos initial weight'!$A$5:$A$1749,0)),"")</f>
        <v>2.0179999999999998</v>
      </c>
      <c r="K308">
        <f>IFERROR(INDEX('Green_rooibos initial weight'!$C$5:$C$1749,MATCH(I308, 'Green_rooibos initial weight'!$A$5:$A$1749,0)),"")</f>
        <v>2.242</v>
      </c>
      <c r="L308" s="195">
        <f t="shared" si="29"/>
        <v>1.7681999999999998</v>
      </c>
      <c r="M308" s="195">
        <f>AVERAGE(Ashed_controlls!$K$2:$K$11)</f>
        <v>5.5147656768714146</v>
      </c>
      <c r="N308" s="195">
        <f t="shared" si="27"/>
        <v>1.9922</v>
      </c>
      <c r="O308" s="16">
        <f>IF('WetLitterbags placem_collection'!G15="N.A","",'WetLitterbags placem_collection'!G15)</f>
        <v>42818</v>
      </c>
      <c r="P308" s="195">
        <f>IF(IFERROR(INDEX('Both teabags AfterWet'!$C$3:$C$841,MATCH(H308,'Both teabags AfterWet'!$A$3:$A$841,0)),"")="N.A","",(IFERROR(INDEX('Both teabags AfterWet'!$C$3:$C$841,MATCH(H308,'Both teabags AfterWet'!$A$3:$A$841,0)),"")))</f>
        <v>0.52059999999999995</v>
      </c>
      <c r="Q308" s="195">
        <f>IFERROR(INDEX('Both teabags AfterWet'!$C$3:$C$841,MATCH(I308,'Both teabags AfterWet'!$A$3:$A$841,0)),"")</f>
        <v>1.4899</v>
      </c>
      <c r="R308" s="195">
        <f t="shared" si="30"/>
        <v>0.36999999999999994</v>
      </c>
      <c r="S308" s="195">
        <f t="shared" si="30"/>
        <v>1.3392999999999999</v>
      </c>
      <c r="T308" s="195">
        <f t="shared" si="31"/>
        <v>0.79074765298043204</v>
      </c>
      <c r="U308" s="195">
        <f t="shared" si="32"/>
        <v>0.51839988651448754</v>
      </c>
      <c r="V308" s="195">
        <f t="shared" si="33"/>
        <v>0.67227186025499441</v>
      </c>
      <c r="W308">
        <f t="shared" si="28"/>
        <v>52</v>
      </c>
      <c r="X308" s="195">
        <f t="shared" si="34"/>
        <v>6.0869770807087775E-2</v>
      </c>
      <c r="Y308" s="195">
        <f t="shared" si="35"/>
        <v>1.9234491920585697E-2</v>
      </c>
      <c r="Z308" s="255" t="str">
        <f>IF(ISNUMBER(SEARCH("C",'WetLitterbags placem_collection'!W235)),"YES","NO")</f>
        <v>NO</v>
      </c>
      <c r="AA308" s="255" t="str">
        <f>IF(ISNUMBER(SEARCH("H", 'WetLitterbags placem_collection'!Y15)),"YES","NO")</f>
        <v>NO</v>
      </c>
      <c r="AB308" s="255" t="str">
        <f>IF(ISNUMBER(SEARCH("R", 'WetLitterbags placem_collection'!WY15)),"YES","NO")</f>
        <v>NO</v>
      </c>
      <c r="AC308" s="255" t="str">
        <f>IF(ISNUMBER(SEARCH("C", 'WetLitterbags placem_collection'!VX15)),"YES","NO")</f>
        <v>NO</v>
      </c>
      <c r="AD308" s="255" t="str">
        <f>IF(ISNUMBER(SEARCH("H", 'WetLitterbags placem_collection'!X15)),"YES","NO")</f>
        <v>NO</v>
      </c>
      <c r="AE308" s="255" t="str">
        <f>IF(ISNUMBER(SEARCH("R", 'WetLitterbags placem_collection'!X15)),"YES","NO")</f>
        <v>NO</v>
      </c>
    </row>
    <row r="309" spans="2:31">
      <c r="B309" t="str">
        <f>'Final data_for_R_analysis_Wetse'!A455</f>
        <v>Wet</v>
      </c>
      <c r="C309" s="263">
        <f>'Final data_for_R_analysis_Wetse'!B455</f>
        <v>14</v>
      </c>
      <c r="D309" t="s">
        <v>3828</v>
      </c>
      <c r="E309" t="s">
        <v>25</v>
      </c>
      <c r="F309" s="387">
        <v>6</v>
      </c>
      <c r="G309" s="16">
        <f>'WetLitterbags placem_collection'!E16</f>
        <v>42766</v>
      </c>
      <c r="H309" s="92" t="str">
        <f>'Final data_for_R_analysis_Wetse'!J455</f>
        <v>G503</v>
      </c>
      <c r="I309" t="str">
        <f>'Final data_for_R_analysis_Wetse'!J675</f>
        <v>R282</v>
      </c>
      <c r="J309">
        <f>IFERROR(INDEX('Green_rooibos initial weight'!$C$5:$C$1749,MATCH(H309, 'Green_rooibos initial weight'!$A$5:$A$1749,0)),"")</f>
        <v>1.9810000000000001</v>
      </c>
      <c r="K309">
        <f>IFERROR(INDEX('Green_rooibos initial weight'!$C$5:$C$1749,MATCH(I309, 'Green_rooibos initial weight'!$A$5:$A$1749,0)),"")</f>
        <v>2.1829999999999998</v>
      </c>
      <c r="L309" s="195">
        <f t="shared" si="29"/>
        <v>1.7312000000000001</v>
      </c>
      <c r="M309" s="195">
        <f>AVERAGE(Ashed_controlls!$K$2:$K$11)</f>
        <v>5.5147656768714146</v>
      </c>
      <c r="N309" s="195">
        <f t="shared" si="27"/>
        <v>1.9331999999999998</v>
      </c>
      <c r="O309" s="16">
        <f>IF('WetLitterbags placem_collection'!G16="N.A","",'WetLitterbags placem_collection'!G16)</f>
        <v>42818</v>
      </c>
      <c r="P309" s="195">
        <f>IF(IFERROR(INDEX('Both teabags AfterWet'!$C$3:$C$841,MATCH(H309,'Both teabags AfterWet'!$A$3:$A$841,0)),"")="N.A","",(IFERROR(INDEX('Both teabags AfterWet'!$C$3:$C$841,MATCH(H309,'Both teabags AfterWet'!$A$3:$A$841,0)),"")))</f>
        <v>0.501</v>
      </c>
      <c r="Q309" s="195">
        <f>IFERROR(INDEX('Both teabags AfterWet'!$C$3:$C$841,MATCH(I309,'Both teabags AfterWet'!$A$3:$A$841,0)),"")</f>
        <v>1.5669999999999999</v>
      </c>
      <c r="R309" s="195">
        <f t="shared" si="30"/>
        <v>0.35039999999999999</v>
      </c>
      <c r="S309" s="195">
        <f t="shared" si="30"/>
        <v>1.4163999999999999</v>
      </c>
      <c r="T309" s="195">
        <f t="shared" si="31"/>
        <v>0.79759704251386321</v>
      </c>
      <c r="U309" s="195">
        <f t="shared" si="32"/>
        <v>0.52289022264566809</v>
      </c>
      <c r="V309" s="195">
        <f t="shared" si="33"/>
        <v>0.73267121870473828</v>
      </c>
      <c r="W309">
        <f t="shared" si="28"/>
        <v>52</v>
      </c>
      <c r="X309" s="195">
        <f t="shared" si="34"/>
        <v>5.2735103902775249E-2</v>
      </c>
      <c r="Y309" s="195">
        <f t="shared" si="35"/>
        <v>1.3767474750133612E-2</v>
      </c>
      <c r="Z309" s="255" t="str">
        <f>IF(ISNUMBER(SEARCH("C",'WetLitterbags placem_collection'!W236)),"YES","NO")</f>
        <v>NO</v>
      </c>
      <c r="AA309" s="255" t="str">
        <f>IF(ISNUMBER(SEARCH("H", 'WetLitterbags placem_collection'!Y16)),"YES","NO")</f>
        <v>NO</v>
      </c>
      <c r="AB309" s="255" t="str">
        <f>IF(ISNUMBER(SEARCH("R", 'WetLitterbags placem_collection'!WY16)),"YES","NO")</f>
        <v>NO</v>
      </c>
      <c r="AC309" s="255" t="str">
        <f>IF(ISNUMBER(SEARCH("C", 'WetLitterbags placem_collection'!VX16)),"YES","NO")</f>
        <v>NO</v>
      </c>
      <c r="AD309" s="255" t="str">
        <f>IF(ISNUMBER(SEARCH("H", 'WetLitterbags placem_collection'!X16)),"YES","NO")</f>
        <v>NO</v>
      </c>
      <c r="AE309" s="255" t="str">
        <f>IF(ISNUMBER(SEARCH("R", 'WetLitterbags placem_collection'!X16)),"YES","NO")</f>
        <v>NO</v>
      </c>
    </row>
    <row r="310" spans="2:31">
      <c r="B310" t="str">
        <f>'Final data_for_R_analysis_Wetse'!A456</f>
        <v>Wet</v>
      </c>
      <c r="C310" s="263">
        <f>'Final data_for_R_analysis_Wetse'!B456</f>
        <v>15</v>
      </c>
      <c r="D310" t="s">
        <v>3828</v>
      </c>
      <c r="E310" t="s">
        <v>25</v>
      </c>
      <c r="F310" s="387">
        <v>7</v>
      </c>
      <c r="G310" s="16">
        <f>'WetLitterbags placem_collection'!E17</f>
        <v>42766</v>
      </c>
      <c r="H310" s="92" t="str">
        <f>'Final data_for_R_analysis_Wetse'!J456</f>
        <v>G685</v>
      </c>
      <c r="I310" t="str">
        <f>'Final data_for_R_analysis_Wetse'!J676</f>
        <v>R99</v>
      </c>
      <c r="J310">
        <f>IFERROR(INDEX('Green_rooibos initial weight'!$C$5:$C$1749,MATCH(H310, 'Green_rooibos initial weight'!$A$5:$A$1749,0)),"")</f>
        <v>1.9810000000000001</v>
      </c>
      <c r="K310">
        <f>IFERROR(INDEX('Green_rooibos initial weight'!$C$5:$C$1749,MATCH(I310, 'Green_rooibos initial weight'!$A$5:$A$1749,0)),"")</f>
        <v>2.1920000000000002</v>
      </c>
      <c r="L310" s="195">
        <f t="shared" si="29"/>
        <v>1.7312000000000001</v>
      </c>
      <c r="M310" s="195">
        <f>AVERAGE(Ashed_controlls!$K$2:$K$11)</f>
        <v>5.5147656768714146</v>
      </c>
      <c r="N310" s="195">
        <f t="shared" si="27"/>
        <v>1.9422000000000001</v>
      </c>
      <c r="O310" s="16">
        <f>IF('WetLitterbags placem_collection'!G17="N.A","",'WetLitterbags placem_collection'!G17)</f>
        <v>42818</v>
      </c>
      <c r="P310" s="195">
        <f>IF(IFERROR(INDEX('Both teabags AfterWet'!$C$3:$C$841,MATCH(H310,'Both teabags AfterWet'!$A$3:$A$841,0)),"")="N.A","",(IFERROR(INDEX('Both teabags AfterWet'!$C$3:$C$841,MATCH(H310,'Both teabags AfterWet'!$A$3:$A$841,0)),"")))</f>
        <v>0.72199999999999998</v>
      </c>
      <c r="Q310" s="195">
        <f>IFERROR(INDEX('Both teabags AfterWet'!$C$3:$C$841,MATCH(I310,'Both teabags AfterWet'!$A$3:$A$841,0)),"")</f>
        <v>1.355</v>
      </c>
      <c r="R310" s="195">
        <f t="shared" si="30"/>
        <v>0.57139999999999991</v>
      </c>
      <c r="S310" s="195">
        <f t="shared" si="30"/>
        <v>1.2043999999999999</v>
      </c>
      <c r="T310" s="195">
        <f t="shared" si="31"/>
        <v>0.66993992606284669</v>
      </c>
      <c r="U310" s="195">
        <f t="shared" si="32"/>
        <v>0.43920052159939599</v>
      </c>
      <c r="V310" s="195">
        <f t="shared" si="33"/>
        <v>0.62012151168777663</v>
      </c>
      <c r="W310">
        <f t="shared" si="28"/>
        <v>52</v>
      </c>
      <c r="X310" s="195">
        <f t="shared" si="34"/>
        <v>0.20434688116051458</v>
      </c>
      <c r="Y310" s="195">
        <f t="shared" si="35"/>
        <v>3.8499524702639357E-2</v>
      </c>
      <c r="Z310" s="255" t="str">
        <f>IF(ISNUMBER(SEARCH("C",'WetLitterbags placem_collection'!W237)),"YES","NO")</f>
        <v>NO</v>
      </c>
      <c r="AA310" s="255" t="str">
        <f>IF(ISNUMBER(SEARCH("H", 'WetLitterbags placem_collection'!Y17)),"YES","NO")</f>
        <v>NO</v>
      </c>
      <c r="AB310" s="255" t="str">
        <f>IF(ISNUMBER(SEARCH("R", 'WetLitterbags placem_collection'!WY17)),"YES","NO")</f>
        <v>NO</v>
      </c>
      <c r="AC310" s="255" t="str">
        <f>IF(ISNUMBER(SEARCH("C", 'WetLitterbags placem_collection'!VX17)),"YES","NO")</f>
        <v>NO</v>
      </c>
      <c r="AD310" s="255" t="str">
        <f>IF(ISNUMBER(SEARCH("H", 'WetLitterbags placem_collection'!X17)),"YES","NO")</f>
        <v>NO</v>
      </c>
      <c r="AE310" s="255" t="str">
        <f>IF(ISNUMBER(SEARCH("R", 'WetLitterbags placem_collection'!X17)),"YES","NO")</f>
        <v>YES</v>
      </c>
    </row>
    <row r="311" spans="2:31">
      <c r="B311" t="str">
        <f>'Final data_for_R_analysis_Wetse'!A457</f>
        <v>Wet</v>
      </c>
      <c r="C311" s="263">
        <f>'Final data_for_R_analysis_Wetse'!B457</f>
        <v>16</v>
      </c>
      <c r="D311" t="s">
        <v>3828</v>
      </c>
      <c r="E311" t="s">
        <v>25</v>
      </c>
      <c r="F311" s="387">
        <v>8</v>
      </c>
      <c r="G311" s="16">
        <f>'WetLitterbags placem_collection'!E18</f>
        <v>42766</v>
      </c>
      <c r="H311" s="92" t="str">
        <f>'Final data_for_R_analysis_Wetse'!J457</f>
        <v>G644</v>
      </c>
      <c r="I311" t="str">
        <f>'Final data_for_R_analysis_Wetse'!J677</f>
        <v>R154</v>
      </c>
      <c r="J311">
        <f>IFERROR(INDEX('Green_rooibos initial weight'!$C$5:$C$1749,MATCH(H311, 'Green_rooibos initial weight'!$A$5:$A$1749,0)),"")</f>
        <v>2.157</v>
      </c>
      <c r="K311">
        <f>IFERROR(INDEX('Green_rooibos initial weight'!$C$5:$C$1749,MATCH(I311, 'Green_rooibos initial weight'!$A$5:$A$1749,0)),"")</f>
        <v>2.2010000000000001</v>
      </c>
      <c r="L311" s="195">
        <f t="shared" si="29"/>
        <v>1.9072</v>
      </c>
      <c r="M311" s="195">
        <f>AVERAGE(Ashed_controlls!$K$2:$K$11)</f>
        <v>5.5147656768714146</v>
      </c>
      <c r="N311" s="195">
        <f t="shared" si="27"/>
        <v>1.9512</v>
      </c>
      <c r="O311" s="16">
        <f>IF('WetLitterbags placem_collection'!G18="N.A","",'WetLitterbags placem_collection'!G18)</f>
        <v>42818</v>
      </c>
      <c r="P311" s="195">
        <f>IF(IFERROR(INDEX('Both teabags AfterWet'!$C$3:$C$841,MATCH(H311,'Both teabags AfterWet'!$A$3:$A$841,0)),"")="N.A","",(IFERROR(INDEX('Both teabags AfterWet'!$C$3:$C$841,MATCH(H311,'Both teabags AfterWet'!$A$3:$A$841,0)),"")))</f>
        <v>0.65410000000000001</v>
      </c>
      <c r="Q311" s="195">
        <f>IFERROR(INDEX('Both teabags AfterWet'!$C$3:$C$841,MATCH(I311,'Both teabags AfterWet'!$A$3:$A$841,0)),"")</f>
        <v>1.421</v>
      </c>
      <c r="R311" s="195">
        <f t="shared" si="30"/>
        <v>0.50350000000000006</v>
      </c>
      <c r="S311" s="195">
        <f t="shared" si="30"/>
        <v>1.2704</v>
      </c>
      <c r="T311" s="195">
        <f t="shared" si="31"/>
        <v>0.73600041946308714</v>
      </c>
      <c r="U311" s="195">
        <f t="shared" si="32"/>
        <v>0.48250858853162015</v>
      </c>
      <c r="V311" s="195">
        <f t="shared" si="33"/>
        <v>0.6510865108651086</v>
      </c>
      <c r="W311">
        <f t="shared" si="28"/>
        <v>52</v>
      </c>
      <c r="X311" s="195">
        <f t="shared" si="34"/>
        <v>0.1258902381673549</v>
      </c>
      <c r="Y311" s="195">
        <f t="shared" si="35"/>
        <v>2.4695868104203655E-2</v>
      </c>
      <c r="Z311" s="255" t="str">
        <f>IF(ISNUMBER(SEARCH("C",'WetLitterbags placem_collection'!W238)),"YES","NO")</f>
        <v>NO</v>
      </c>
      <c r="AA311" s="255" t="str">
        <f>IF(ISNUMBER(SEARCH("H", 'WetLitterbags placem_collection'!Y18)),"YES","NO")</f>
        <v>NO</v>
      </c>
      <c r="AB311" s="255" t="str">
        <f>IF(ISNUMBER(SEARCH("R", 'WetLitterbags placem_collection'!WY18)),"YES","NO")</f>
        <v>NO</v>
      </c>
      <c r="AC311" s="255" t="str">
        <f>IF(ISNUMBER(SEARCH("C", 'WetLitterbags placem_collection'!VX18)),"YES","NO")</f>
        <v>NO</v>
      </c>
      <c r="AD311" s="255" t="str">
        <f>IF(ISNUMBER(SEARCH("H", 'WetLitterbags placem_collection'!X18)),"YES","NO")</f>
        <v>NO</v>
      </c>
      <c r="AE311" s="255" t="str">
        <f>IF(ISNUMBER(SEARCH("R", 'WetLitterbags placem_collection'!X18)),"YES","NO")</f>
        <v>YES</v>
      </c>
    </row>
    <row r="312" spans="2:31">
      <c r="B312" t="str">
        <f>'Final data_for_R_analysis_Wetse'!A458</f>
        <v>Wet</v>
      </c>
      <c r="C312" s="263">
        <f>'Final data_for_R_analysis_Wetse'!B458</f>
        <v>17</v>
      </c>
      <c r="D312" t="s">
        <v>3829</v>
      </c>
      <c r="E312" t="s">
        <v>25</v>
      </c>
      <c r="F312" s="386">
        <v>1</v>
      </c>
      <c r="G312" s="16">
        <f>'WetLitterbags placem_collection'!E19</f>
        <v>42767</v>
      </c>
      <c r="H312" s="92" t="str">
        <f>'Final data_for_R_analysis_Wetse'!J458</f>
        <v>G648</v>
      </c>
      <c r="I312" t="str">
        <f>'Final data_for_R_analysis_Wetse'!J678</f>
        <v>R380</v>
      </c>
      <c r="J312">
        <f>IFERROR(INDEX('Green_rooibos initial weight'!$C$5:$C$1749,MATCH(H312, 'Green_rooibos initial weight'!$A$5:$A$1749,0)),"")</f>
        <v>2.0249999999999999</v>
      </c>
      <c r="K312">
        <f>IFERROR(INDEX('Green_rooibos initial weight'!$C$5:$C$1749,MATCH(I312, 'Green_rooibos initial weight'!$A$5:$A$1749,0)),"")</f>
        <v>2.2799999999999998</v>
      </c>
      <c r="L312" s="195">
        <f t="shared" si="29"/>
        <v>1.7751999999999999</v>
      </c>
      <c r="M312" s="195">
        <f>AVERAGE(Ashed_controlls!$K$2:$K$11)</f>
        <v>5.5147656768714146</v>
      </c>
      <c r="N312" s="195">
        <f t="shared" si="27"/>
        <v>2.0301999999999998</v>
      </c>
      <c r="O312" s="16">
        <f>IF('WetLitterbags placem_collection'!G19="N.A","",'WetLitterbags placem_collection'!G19)</f>
        <v>42818</v>
      </c>
      <c r="P312" s="195">
        <f>IF(IFERROR(INDEX('Both teabags AfterWet'!$C$3:$C$841,MATCH(H312,'Both teabags AfterWet'!$A$3:$A$841,0)),"")="N.A","",(IFERROR(INDEX('Both teabags AfterWet'!$C$3:$C$841,MATCH(H312,'Both teabags AfterWet'!$A$3:$A$841,0)),"")))</f>
        <v>0.6905</v>
      </c>
      <c r="Q312" s="195">
        <f>IFERROR(INDEX('Both teabags AfterWet'!$C$3:$C$841,MATCH(I312,'Both teabags AfterWet'!$A$3:$A$841,0)),"")</f>
        <v>1.6271</v>
      </c>
      <c r="R312" s="195">
        <f t="shared" si="30"/>
        <v>0.53990000000000005</v>
      </c>
      <c r="S312" s="195">
        <f t="shared" si="30"/>
        <v>1.4764999999999999</v>
      </c>
      <c r="T312" s="195">
        <f t="shared" si="31"/>
        <v>0.69586525461919779</v>
      </c>
      <c r="U312" s="195">
        <f t="shared" si="32"/>
        <v>0.45619669899025794</v>
      </c>
      <c r="V312" s="195">
        <f t="shared" si="33"/>
        <v>0.72726824943355339</v>
      </c>
      <c r="W312">
        <f t="shared" si="28"/>
        <v>51</v>
      </c>
      <c r="X312" s="195">
        <f t="shared" si="34"/>
        <v>0.17355670472779361</v>
      </c>
      <c r="Y312" s="195">
        <f t="shared" si="35"/>
        <v>1.7860792969738453E-2</v>
      </c>
      <c r="Z312" s="255" t="str">
        <f>IF(ISNUMBER(SEARCH("C",'WetLitterbags placem_collection'!W239)),"YES","NO")</f>
        <v>NO</v>
      </c>
      <c r="AA312" s="255" t="str">
        <f>IF(ISNUMBER(SEARCH("H", 'WetLitterbags placem_collection'!Y19)),"YES","NO")</f>
        <v>NO</v>
      </c>
      <c r="AB312" s="255" t="str">
        <f>IF(ISNUMBER(SEARCH("R", 'WetLitterbags placem_collection'!WY19)),"YES","NO")</f>
        <v>NO</v>
      </c>
      <c r="AC312" s="255" t="str">
        <f>IF(ISNUMBER(SEARCH("C", 'WetLitterbags placem_collection'!VX19)),"YES","NO")</f>
        <v>NO</v>
      </c>
      <c r="AD312" s="255" t="str">
        <f>IF(ISNUMBER(SEARCH("H", 'WetLitterbags placem_collection'!X19)),"YES","NO")</f>
        <v>NO</v>
      </c>
      <c r="AE312" s="255" t="str">
        <f>IF(ISNUMBER(SEARCH("R", 'WetLitterbags placem_collection'!X19)),"YES","NO")</f>
        <v>YES</v>
      </c>
    </row>
    <row r="313" spans="2:31">
      <c r="B313" t="str">
        <f>'Final data_for_R_analysis_Wetse'!A459</f>
        <v>Wet</v>
      </c>
      <c r="C313" s="263">
        <f>'Final data_for_R_analysis_Wetse'!B459</f>
        <v>18</v>
      </c>
      <c r="D313" t="s">
        <v>3829</v>
      </c>
      <c r="E313" t="s">
        <v>25</v>
      </c>
      <c r="F313" s="386">
        <v>2</v>
      </c>
      <c r="G313" s="16">
        <f>'WetLitterbags placem_collection'!E20</f>
        <v>42767</v>
      </c>
      <c r="H313" s="92" t="str">
        <f>'Final data_for_R_analysis_Wetse'!J459</f>
        <v>G573</v>
      </c>
      <c r="I313" t="str">
        <f>'Final data_for_R_analysis_Wetse'!J679</f>
        <v>R274</v>
      </c>
      <c r="J313">
        <f>IFERROR(INDEX('Green_rooibos initial weight'!$C$5:$C$1749,MATCH(H313, 'Green_rooibos initial weight'!$A$5:$A$1749,0)),"")</f>
        <v>2.0019999999999998</v>
      </c>
      <c r="K313">
        <f>IFERROR(INDEX('Green_rooibos initial weight'!$C$5:$C$1749,MATCH(I313, 'Green_rooibos initial weight'!$A$5:$A$1749,0)),"")</f>
        <v>2.1880000000000002</v>
      </c>
      <c r="L313" s="195">
        <f t="shared" si="29"/>
        <v>1.7521999999999998</v>
      </c>
      <c r="M313" s="195">
        <f>AVERAGE(Ashed_controlls!$K$2:$K$11)</f>
        <v>5.5147656768714146</v>
      </c>
      <c r="N313" s="195">
        <f t="shared" si="27"/>
        <v>1.9382000000000001</v>
      </c>
      <c r="O313" s="16">
        <f>IF('WetLitterbags placem_collection'!G20="N.A","",'WetLitterbags placem_collection'!G20)</f>
        <v>42818</v>
      </c>
      <c r="P313" s="195">
        <f>IF(IFERROR(INDEX('Both teabags AfterWet'!$C$3:$C$841,MATCH(H313,'Both teabags AfterWet'!$A$3:$A$841,0)),"")="N.A","",(IFERROR(INDEX('Both teabags AfterWet'!$C$3:$C$841,MATCH(H313,'Both teabags AfterWet'!$A$3:$A$841,0)),"")))</f>
        <v>0.72099999999999997</v>
      </c>
      <c r="Q313" s="195">
        <f>IFERROR(INDEX('Both teabags AfterWet'!$C$3:$C$841,MATCH(I313,'Both teabags AfterWet'!$A$3:$A$841,0)),"")</f>
        <v>1.6060000000000001</v>
      </c>
      <c r="R313" s="195">
        <f t="shared" si="30"/>
        <v>0.57040000000000002</v>
      </c>
      <c r="S313" s="195">
        <f t="shared" si="30"/>
        <v>1.4554</v>
      </c>
      <c r="T313" s="195">
        <f t="shared" si="31"/>
        <v>0.67446638511585433</v>
      </c>
      <c r="U313" s="195">
        <f t="shared" si="32"/>
        <v>0.44216798644174776</v>
      </c>
      <c r="V313" s="195">
        <f t="shared" si="33"/>
        <v>0.75090289959756473</v>
      </c>
      <c r="W313">
        <f t="shared" si="28"/>
        <v>51</v>
      </c>
      <c r="X313" s="195">
        <f t="shared" si="34"/>
        <v>0.19897103905480484</v>
      </c>
      <c r="Y313" s="195">
        <f t="shared" si="35"/>
        <v>1.624769535384776E-2</v>
      </c>
      <c r="Z313" s="255" t="str">
        <f>IF(ISNUMBER(SEARCH("C",'WetLitterbags placem_collection'!W240)),"YES","NO")</f>
        <v>NO</v>
      </c>
      <c r="AA313" s="255" t="str">
        <f>IF(ISNUMBER(SEARCH("H", 'WetLitterbags placem_collection'!Y20)),"YES","NO")</f>
        <v>NO</v>
      </c>
      <c r="AB313" s="255" t="str">
        <f>IF(ISNUMBER(SEARCH("R", 'WetLitterbags placem_collection'!WY20)),"YES","NO")</f>
        <v>NO</v>
      </c>
      <c r="AC313" s="255" t="str">
        <f>IF(ISNUMBER(SEARCH("C", 'WetLitterbags placem_collection'!VX20)),"YES","NO")</f>
        <v>NO</v>
      </c>
      <c r="AD313" s="255" t="str">
        <f>IF(ISNUMBER(SEARCH("H", 'WetLitterbags placem_collection'!X20)),"YES","NO")</f>
        <v>NO</v>
      </c>
      <c r="AE313" s="255" t="str">
        <f>IF(ISNUMBER(SEARCH("R", 'WetLitterbags placem_collection'!X20)),"YES","NO")</f>
        <v>YES</v>
      </c>
    </row>
    <row r="314" spans="2:31">
      <c r="B314" t="str">
        <f>'Final data_for_R_analysis_Wetse'!A460</f>
        <v>Wet</v>
      </c>
      <c r="C314" s="263">
        <f>'Final data_for_R_analysis_Wetse'!B460</f>
        <v>19</v>
      </c>
      <c r="D314" t="s">
        <v>3829</v>
      </c>
      <c r="E314" t="s">
        <v>25</v>
      </c>
      <c r="F314" s="386">
        <v>3</v>
      </c>
      <c r="G314" s="16">
        <f>'WetLitterbags placem_collection'!E21</f>
        <v>42767</v>
      </c>
      <c r="H314" s="92" t="str">
        <f>'Final data_for_R_analysis_Wetse'!J460</f>
        <v>G639</v>
      </c>
      <c r="I314" t="str">
        <f>'Final data_for_R_analysis_Wetse'!J680</f>
        <v>R566</v>
      </c>
      <c r="J314">
        <f>IFERROR(INDEX('Green_rooibos initial weight'!$C$5:$C$1749,MATCH(H314, 'Green_rooibos initial weight'!$A$5:$A$1749,0)),"")</f>
        <v>2.1909999999999998</v>
      </c>
      <c r="K314">
        <f>IFERROR(INDEX('Green_rooibos initial weight'!$C$5:$C$1749,MATCH(I314, 'Green_rooibos initial weight'!$A$5:$A$1749,0)),"")</f>
        <v>2.117</v>
      </c>
      <c r="L314" s="195">
        <f t="shared" si="29"/>
        <v>1.9411999999999998</v>
      </c>
      <c r="M314" s="195">
        <f>AVERAGE(Ashed_controlls!$K$2:$K$11)</f>
        <v>5.5147656768714146</v>
      </c>
      <c r="N314" s="195">
        <f t="shared" si="27"/>
        <v>1.8672</v>
      </c>
      <c r="O314" s="16">
        <f>IF('WetLitterbags placem_collection'!G21="N.A","",'WetLitterbags placem_collection'!G21)</f>
        <v>42818</v>
      </c>
      <c r="P314" s="195">
        <f>IF(IFERROR(INDEX('Both teabags AfterWet'!$C$3:$C$841,MATCH(H314,'Both teabags AfterWet'!$A$3:$A$841,0)),"")="N.A","",(IFERROR(INDEX('Both teabags AfterWet'!$C$3:$C$841,MATCH(H314,'Both teabags AfterWet'!$A$3:$A$841,0)),"")))</f>
        <v>0.89200000000000002</v>
      </c>
      <c r="Q314" s="195">
        <f>IFERROR(INDEX('Both teabags AfterWet'!$C$3:$C$841,MATCH(I314,'Both teabags AfterWet'!$A$3:$A$841,0)),"")</f>
        <v>1.4496</v>
      </c>
      <c r="R314" s="195">
        <f t="shared" si="30"/>
        <v>0.74140000000000006</v>
      </c>
      <c r="S314" s="195">
        <f t="shared" si="30"/>
        <v>1.2989999999999999</v>
      </c>
      <c r="T314" s="195">
        <f t="shared" si="31"/>
        <v>0.61807129610550171</v>
      </c>
      <c r="U314" s="195">
        <f t="shared" si="32"/>
        <v>0.40519638414517456</v>
      </c>
      <c r="V314" s="195">
        <f t="shared" si="33"/>
        <v>0.69569408740359895</v>
      </c>
      <c r="W314">
        <f t="shared" si="28"/>
        <v>51</v>
      </c>
      <c r="X314" s="195">
        <f t="shared" si="34"/>
        <v>0.26594857944714756</v>
      </c>
      <c r="Y314" s="195">
        <f t="shared" si="35"/>
        <v>2.7261497262850175E-2</v>
      </c>
      <c r="Z314" s="255" t="str">
        <f>IF(ISNUMBER(SEARCH("C",'WetLitterbags placem_collection'!W241)),"YES","NO")</f>
        <v>NO</v>
      </c>
      <c r="AA314" s="255" t="str">
        <f>IF(ISNUMBER(SEARCH("H", 'WetLitterbags placem_collection'!Y21)),"YES","NO")</f>
        <v>NO</v>
      </c>
      <c r="AB314" s="255" t="str">
        <f>IF(ISNUMBER(SEARCH("R", 'WetLitterbags placem_collection'!WY21)),"YES","NO")</f>
        <v>NO</v>
      </c>
      <c r="AC314" s="255" t="str">
        <f>IF(ISNUMBER(SEARCH("C", 'WetLitterbags placem_collection'!VX21)),"YES","NO")</f>
        <v>NO</v>
      </c>
      <c r="AD314" s="255" t="str">
        <f>IF(ISNUMBER(SEARCH("H", 'WetLitterbags placem_collection'!X21)),"YES","NO")</f>
        <v>NO</v>
      </c>
      <c r="AE314" s="255" t="str">
        <f>IF(ISNUMBER(SEARCH("R", 'WetLitterbags placem_collection'!X21)),"YES","NO")</f>
        <v>NO</v>
      </c>
    </row>
    <row r="315" spans="2:31">
      <c r="B315" t="str">
        <f>'Final data_for_R_analysis_Wetse'!A461</f>
        <v>Wet</v>
      </c>
      <c r="C315" s="263">
        <f>'Final data_for_R_analysis_Wetse'!B461</f>
        <v>20</v>
      </c>
      <c r="D315" t="s">
        <v>3829</v>
      </c>
      <c r="E315" t="s">
        <v>25</v>
      </c>
      <c r="F315" s="387">
        <v>4</v>
      </c>
      <c r="G315" s="16">
        <f>'WetLitterbags placem_collection'!E22</f>
        <v>42767</v>
      </c>
      <c r="H315" s="92" t="str">
        <f>'Final data_for_R_analysis_Wetse'!J461</f>
        <v>G505</v>
      </c>
      <c r="I315" t="str">
        <f>'Final data_for_R_analysis_Wetse'!J681</f>
        <v>R110</v>
      </c>
      <c r="J315">
        <f>IFERROR(INDEX('Green_rooibos initial weight'!$C$5:$C$1749,MATCH(H315, 'Green_rooibos initial weight'!$A$5:$A$1749,0)),"")</f>
        <v>2.0510000000000002</v>
      </c>
      <c r="K315">
        <f>IFERROR(INDEX('Green_rooibos initial weight'!$C$5:$C$1749,MATCH(I315, 'Green_rooibos initial weight'!$A$5:$A$1749,0)),"")</f>
        <v>2.2530000000000001</v>
      </c>
      <c r="L315" s="195">
        <f t="shared" si="29"/>
        <v>1.8012000000000001</v>
      </c>
      <c r="M315" s="195">
        <f>AVERAGE(Ashed_controlls!$K$2:$K$11)</f>
        <v>5.5147656768714146</v>
      </c>
      <c r="N315" s="195">
        <f t="shared" si="27"/>
        <v>2.0032000000000001</v>
      </c>
      <c r="O315" s="16">
        <f>IF('WetLitterbags placem_collection'!G22="N.A","",'WetLitterbags placem_collection'!G22)</f>
        <v>42818</v>
      </c>
      <c r="P315" s="195">
        <f>IF(IFERROR(INDEX('Both teabags AfterWet'!$C$3:$C$841,MATCH(H315,'Both teabags AfterWet'!$A$3:$A$841,0)),"")="N.A","",(IFERROR(INDEX('Both teabags AfterWet'!$C$3:$C$841,MATCH(H315,'Both teabags AfterWet'!$A$3:$A$841,0)),"")))</f>
        <v>0.70330000000000004</v>
      </c>
      <c r="Q315" s="195">
        <f>IFERROR(INDEX('Both teabags AfterWet'!$C$3:$C$841,MATCH(I315,'Both teabags AfterWet'!$A$3:$A$841,0)),"")</f>
        <v>1.6778999999999999</v>
      </c>
      <c r="R315" s="195">
        <f t="shared" si="30"/>
        <v>0.55269999999999997</v>
      </c>
      <c r="S315" s="195">
        <f t="shared" si="30"/>
        <v>1.5272999999999999</v>
      </c>
      <c r="T315" s="195">
        <f t="shared" si="31"/>
        <v>0.69314901176993127</v>
      </c>
      <c r="U315" s="195">
        <f t="shared" si="32"/>
        <v>0.45441597921259158</v>
      </c>
      <c r="V315" s="195">
        <f t="shared" si="33"/>
        <v>0.76243011182108622</v>
      </c>
      <c r="W315">
        <f t="shared" si="28"/>
        <v>51</v>
      </c>
      <c r="X315" s="195">
        <f t="shared" si="34"/>
        <v>0.17678264635400087</v>
      </c>
      <c r="Y315" s="195">
        <f t="shared" si="35"/>
        <v>1.4506376241579626E-2</v>
      </c>
      <c r="Z315" s="255" t="str">
        <f>IF(ISNUMBER(SEARCH("C",'WetLitterbags placem_collection'!W242)),"YES","NO")</f>
        <v>NO</v>
      </c>
      <c r="AA315" s="255" t="str">
        <f>IF(ISNUMBER(SEARCH("H", 'WetLitterbags placem_collection'!Y22)),"YES","NO")</f>
        <v>NO</v>
      </c>
      <c r="AB315" s="255" t="str">
        <f>IF(ISNUMBER(SEARCH("R", 'WetLitterbags placem_collection'!WY22)),"YES","NO")</f>
        <v>NO</v>
      </c>
      <c r="AC315" s="255" t="str">
        <f>IF(ISNUMBER(SEARCH("C", 'WetLitterbags placem_collection'!VX22)),"YES","NO")</f>
        <v>NO</v>
      </c>
      <c r="AD315" s="255" t="str">
        <f>IF(ISNUMBER(SEARCH("H", 'WetLitterbags placem_collection'!X22)),"YES","NO")</f>
        <v>NO</v>
      </c>
      <c r="AE315" s="255" t="str">
        <f>IF(ISNUMBER(SEARCH("R", 'WetLitterbags placem_collection'!X22)),"YES","NO")</f>
        <v>NO</v>
      </c>
    </row>
    <row r="316" spans="2:31">
      <c r="B316" t="str">
        <f>'Final data_for_R_analysis_Wetse'!A462</f>
        <v>Wet</v>
      </c>
      <c r="C316" s="263">
        <f>'Final data_for_R_analysis_Wetse'!B462</f>
        <v>21</v>
      </c>
      <c r="D316" t="s">
        <v>3829</v>
      </c>
      <c r="E316" t="s">
        <v>25</v>
      </c>
      <c r="F316" s="387">
        <v>5</v>
      </c>
      <c r="G316" s="16">
        <f>'WetLitterbags placem_collection'!E23</f>
        <v>42767</v>
      </c>
      <c r="H316" s="92" t="str">
        <f>'Final data_for_R_analysis_Wetse'!J462</f>
        <v>G721</v>
      </c>
      <c r="I316" t="str">
        <f>'Final data_for_R_analysis_Wetse'!J682</f>
        <v>R79</v>
      </c>
      <c r="J316">
        <f>IFERROR(INDEX('Green_rooibos initial weight'!$C$5:$C$1749,MATCH(H316, 'Green_rooibos initial weight'!$A$5:$A$1749,0)),"")</f>
        <v>1.9910000000000001</v>
      </c>
      <c r="K316">
        <f>IFERROR(INDEX('Green_rooibos initial weight'!$C$5:$C$1749,MATCH(I316, 'Green_rooibos initial weight'!$A$5:$A$1749,0)),"")</f>
        <v>2.1890000000000001</v>
      </c>
      <c r="L316" s="195">
        <f t="shared" si="29"/>
        <v>1.7412000000000001</v>
      </c>
      <c r="M316" s="195">
        <f>AVERAGE(Ashed_controlls!$K$2:$K$11)</f>
        <v>5.5147656768714146</v>
      </c>
      <c r="N316" s="195">
        <f t="shared" si="27"/>
        <v>1.9392</v>
      </c>
      <c r="O316" s="16">
        <f>IF('WetLitterbags placem_collection'!G23="N.A","",'WetLitterbags placem_collection'!G23)</f>
        <v>42818</v>
      </c>
      <c r="P316" s="195">
        <f>IF(IFERROR(INDEX('Both teabags AfterWet'!$C$3:$C$841,MATCH(H316,'Both teabags AfterWet'!$A$3:$A$841,0)),"")="N.A","",(IFERROR(INDEX('Both teabags AfterWet'!$C$3:$C$841,MATCH(H316,'Both teabags AfterWet'!$A$3:$A$841,0)),"")))</f>
        <v>0.66739999999999999</v>
      </c>
      <c r="Q316" s="195">
        <f>IFERROR(INDEX('Both teabags AfterWet'!$C$3:$C$841,MATCH(I316,'Both teabags AfterWet'!$A$3:$A$841,0)),"")</f>
        <v>1.4087000000000001</v>
      </c>
      <c r="R316" s="195">
        <f t="shared" si="30"/>
        <v>0.51679999999999993</v>
      </c>
      <c r="S316" s="195">
        <f t="shared" si="30"/>
        <v>1.2581</v>
      </c>
      <c r="T316" s="195">
        <f t="shared" si="31"/>
        <v>0.70319320009189068</v>
      </c>
      <c r="U316" s="195">
        <f t="shared" si="32"/>
        <v>0.46100076775620391</v>
      </c>
      <c r="V316" s="195">
        <f t="shared" si="33"/>
        <v>0.64877268976897684</v>
      </c>
      <c r="W316">
        <f t="shared" si="28"/>
        <v>51</v>
      </c>
      <c r="X316" s="195">
        <f t="shared" si="34"/>
        <v>0.16485368160107994</v>
      </c>
      <c r="Y316" s="195">
        <f t="shared" si="35"/>
        <v>2.8136881241186032E-2</v>
      </c>
      <c r="Z316" s="255" t="str">
        <f>IF(ISNUMBER(SEARCH("C",'WetLitterbags placem_collection'!W243)),"YES","NO")</f>
        <v>NO</v>
      </c>
      <c r="AA316" s="255" t="str">
        <f>IF(ISNUMBER(SEARCH("H", 'WetLitterbags placem_collection'!Y23)),"YES","NO")</f>
        <v>NO</v>
      </c>
      <c r="AB316" s="255" t="str">
        <f>IF(ISNUMBER(SEARCH("R", 'WetLitterbags placem_collection'!WY23)),"YES","NO")</f>
        <v>NO</v>
      </c>
      <c r="AC316" s="255" t="str">
        <f>IF(ISNUMBER(SEARCH("C", 'WetLitterbags placem_collection'!VX23)),"YES","NO")</f>
        <v>NO</v>
      </c>
      <c r="AD316" s="255" t="str">
        <f>IF(ISNUMBER(SEARCH("H", 'WetLitterbags placem_collection'!X23)),"YES","NO")</f>
        <v>NO</v>
      </c>
      <c r="AE316" s="255" t="str">
        <f>IF(ISNUMBER(SEARCH("R", 'WetLitterbags placem_collection'!X23)),"YES","NO")</f>
        <v>NO</v>
      </c>
    </row>
    <row r="317" spans="2:31">
      <c r="B317" t="str">
        <f>'Final data_for_R_analysis_Wetse'!A463</f>
        <v>Wet</v>
      </c>
      <c r="C317" s="263">
        <f>'Final data_for_R_analysis_Wetse'!B463</f>
        <v>22</v>
      </c>
      <c r="D317" t="s">
        <v>3829</v>
      </c>
      <c r="E317" t="s">
        <v>25</v>
      </c>
      <c r="F317" s="387">
        <v>6</v>
      </c>
      <c r="G317" s="16">
        <f>'WetLitterbags placem_collection'!E24</f>
        <v>42767</v>
      </c>
      <c r="H317" s="92" t="str">
        <f>'Final data_for_R_analysis_Wetse'!J463</f>
        <v>G552</v>
      </c>
      <c r="I317" t="str">
        <f>'Final data_for_R_analysis_Wetse'!J683</f>
        <v>R45</v>
      </c>
      <c r="J317">
        <f>IFERROR(INDEX('Green_rooibos initial weight'!$C$5:$C$1749,MATCH(H317, 'Green_rooibos initial weight'!$A$5:$A$1749,0)),"")</f>
        <v>2.1110000000000002</v>
      </c>
      <c r="K317">
        <f>IFERROR(INDEX('Green_rooibos initial weight'!$C$5:$C$1749,MATCH(I317, 'Green_rooibos initial weight'!$A$5:$A$1749,0)),"")</f>
        <v>2.1989999999999998</v>
      </c>
      <c r="L317" s="195">
        <f t="shared" si="29"/>
        <v>1.8612000000000002</v>
      </c>
      <c r="M317" s="195">
        <f>AVERAGE(Ashed_controlls!$K$2:$K$11)</f>
        <v>5.5147656768714146</v>
      </c>
      <c r="N317" s="195">
        <f t="shared" si="27"/>
        <v>1.9491999999999998</v>
      </c>
      <c r="O317" s="16">
        <f>IF('WetLitterbags placem_collection'!G24="N.A","",'WetLitterbags placem_collection'!G24)</f>
        <v>42818</v>
      </c>
      <c r="P317" s="195">
        <f>IF(IFERROR(INDEX('Both teabags AfterWet'!$C$3:$C$841,MATCH(H317,'Both teabags AfterWet'!$A$3:$A$841,0)),"")="N.A","",(IFERROR(INDEX('Both teabags AfterWet'!$C$3:$C$841,MATCH(H317,'Both teabags AfterWet'!$A$3:$A$841,0)),"")))</f>
        <v>0.75929999999999997</v>
      </c>
      <c r="Q317" s="195">
        <f>IFERROR(INDEX('Both teabags AfterWet'!$C$3:$C$841,MATCH(I317,'Both teabags AfterWet'!$A$3:$A$841,0)),"")</f>
        <v>1.4908999999999999</v>
      </c>
      <c r="R317" s="195">
        <f t="shared" si="30"/>
        <v>0.60870000000000002</v>
      </c>
      <c r="S317" s="195">
        <f t="shared" si="30"/>
        <v>1.3402999999999998</v>
      </c>
      <c r="T317" s="195">
        <f t="shared" si="31"/>
        <v>0.67295293359123143</v>
      </c>
      <c r="U317" s="195">
        <f t="shared" si="32"/>
        <v>0.44117579494342019</v>
      </c>
      <c r="V317" s="195">
        <f t="shared" si="33"/>
        <v>0.68761543197209107</v>
      </c>
      <c r="W317">
        <f t="shared" si="28"/>
        <v>51</v>
      </c>
      <c r="X317" s="195">
        <f t="shared" si="34"/>
        <v>0.20076848742134035</v>
      </c>
      <c r="Y317" s="195">
        <f t="shared" si="35"/>
        <v>2.4142171111079396E-2</v>
      </c>
      <c r="Z317" s="255" t="str">
        <f>IF(ISNUMBER(SEARCH("C",'WetLitterbags placem_collection'!W244)),"YES","NO")</f>
        <v>NO</v>
      </c>
      <c r="AA317" s="255" t="str">
        <f>IF(ISNUMBER(SEARCH("H", 'WetLitterbags placem_collection'!Y24)),"YES","NO")</f>
        <v>NO</v>
      </c>
      <c r="AB317" s="255" t="str">
        <f>IF(ISNUMBER(SEARCH("R", 'WetLitterbags placem_collection'!WY24)),"YES","NO")</f>
        <v>NO</v>
      </c>
      <c r="AC317" s="255" t="str">
        <f>IF(ISNUMBER(SEARCH("C", 'WetLitterbags placem_collection'!VX24)),"YES","NO")</f>
        <v>NO</v>
      </c>
      <c r="AD317" s="255" t="str">
        <f>IF(ISNUMBER(SEARCH("H", 'WetLitterbags placem_collection'!X24)),"YES","NO")</f>
        <v>NO</v>
      </c>
      <c r="AE317" s="255" t="str">
        <f>IF(ISNUMBER(SEARCH("R", 'WetLitterbags placem_collection'!X24)),"YES","NO")</f>
        <v>NO</v>
      </c>
    </row>
    <row r="318" spans="2:31">
      <c r="B318" t="str">
        <f>'Final data_for_R_analysis_Wetse'!A464</f>
        <v>Wet</v>
      </c>
      <c r="C318" s="263">
        <f>'Final data_for_R_analysis_Wetse'!B464</f>
        <v>23</v>
      </c>
      <c r="D318" t="s">
        <v>3829</v>
      </c>
      <c r="E318" t="s">
        <v>25</v>
      </c>
      <c r="F318" s="387">
        <v>7</v>
      </c>
      <c r="G318" s="16">
        <f>'WetLitterbags placem_collection'!E25</f>
        <v>42767</v>
      </c>
      <c r="H318" s="92" t="str">
        <f>'Final data_for_R_analysis_Wetse'!J464</f>
        <v>G456</v>
      </c>
      <c r="I318" t="str">
        <f>'Final data_for_R_analysis_Wetse'!J684</f>
        <v>R132</v>
      </c>
      <c r="J318">
        <f>IFERROR(INDEX('Green_rooibos initial weight'!$C$5:$C$1749,MATCH(H318, 'Green_rooibos initial weight'!$A$5:$A$1749,0)),"")</f>
        <v>2.117</v>
      </c>
      <c r="K318">
        <f>IFERROR(INDEX('Green_rooibos initial weight'!$C$5:$C$1749,MATCH(I318, 'Green_rooibos initial weight'!$A$5:$A$1749,0)),"")</f>
        <v>2.133</v>
      </c>
      <c r="L318" s="195">
        <f t="shared" si="29"/>
        <v>1.8672</v>
      </c>
      <c r="M318" s="195">
        <f>AVERAGE(Ashed_controlls!$K$2:$K$11)</f>
        <v>5.5147656768714146</v>
      </c>
      <c r="N318" s="195">
        <f t="shared" si="27"/>
        <v>1.8832</v>
      </c>
      <c r="O318" s="16">
        <f>IF('WetLitterbags placem_collection'!G25="N.A","",'WetLitterbags placem_collection'!G25)</f>
        <v>42818</v>
      </c>
      <c r="P318" s="195">
        <f>IF(IFERROR(INDEX('Both teabags AfterWet'!$C$3:$C$841,MATCH(H318,'Both teabags AfterWet'!$A$3:$A$841,0)),"")="N.A","",(IFERROR(INDEX('Both teabags AfterWet'!$C$3:$C$841,MATCH(H318,'Both teabags AfterWet'!$A$3:$A$841,0)),"")))</f>
        <v>0.72629999999999995</v>
      </c>
      <c r="Q318" s="195">
        <f>IFERROR(INDEX('Both teabags AfterWet'!$C$3:$C$841,MATCH(I318,'Both teabags AfterWet'!$A$3:$A$841,0)),"")</f>
        <v>1.5238</v>
      </c>
      <c r="R318" s="195">
        <f t="shared" si="30"/>
        <v>0.57569999999999988</v>
      </c>
      <c r="S318" s="195">
        <f t="shared" si="30"/>
        <v>1.3732</v>
      </c>
      <c r="T318" s="195">
        <f t="shared" si="31"/>
        <v>0.69167737789203088</v>
      </c>
      <c r="U318" s="195">
        <f t="shared" si="32"/>
        <v>0.45345120260855237</v>
      </c>
      <c r="V318" s="195">
        <f t="shared" si="33"/>
        <v>0.72918436703483436</v>
      </c>
      <c r="W318">
        <f t="shared" si="28"/>
        <v>51</v>
      </c>
      <c r="X318" s="195">
        <f t="shared" si="34"/>
        <v>0.17853043005697045</v>
      </c>
      <c r="Y318" s="195">
        <f t="shared" si="35"/>
        <v>1.7831272890421117E-2</v>
      </c>
      <c r="Z318" s="255" t="str">
        <f>IF(ISNUMBER(SEARCH("C",'WetLitterbags placem_collection'!W245)),"YES","NO")</f>
        <v>NO</v>
      </c>
      <c r="AA318" s="255" t="str">
        <f>IF(ISNUMBER(SEARCH("H", 'WetLitterbags placem_collection'!Y25)),"YES","NO")</f>
        <v>NO</v>
      </c>
      <c r="AB318" s="255" t="str">
        <f>IF(ISNUMBER(SEARCH("R", 'WetLitterbags placem_collection'!WY25)),"YES","NO")</f>
        <v>NO</v>
      </c>
      <c r="AC318" s="255" t="str">
        <f>IF(ISNUMBER(SEARCH("C", 'WetLitterbags placem_collection'!VX25)),"YES","NO")</f>
        <v>NO</v>
      </c>
      <c r="AD318" s="255" t="str">
        <f>IF(ISNUMBER(SEARCH("H", 'WetLitterbags placem_collection'!X25)),"YES","NO")</f>
        <v>NO</v>
      </c>
      <c r="AE318" s="255" t="str">
        <f>IF(ISNUMBER(SEARCH("R", 'WetLitterbags placem_collection'!X25)),"YES","NO")</f>
        <v>NO</v>
      </c>
    </row>
    <row r="319" spans="2:31">
      <c r="B319" t="str">
        <f>'Final data_for_R_analysis_Wetse'!A465</f>
        <v>Wet</v>
      </c>
      <c r="C319" s="263">
        <f>'Final data_for_R_analysis_Wetse'!B465</f>
        <v>24</v>
      </c>
      <c r="D319" t="s">
        <v>3829</v>
      </c>
      <c r="E319" t="s">
        <v>25</v>
      </c>
      <c r="F319" s="387">
        <v>8</v>
      </c>
      <c r="G319" s="16">
        <f>'WetLitterbags placem_collection'!E26</f>
        <v>42767</v>
      </c>
      <c r="H319" s="92" t="str">
        <f>'Final data_for_R_analysis_Wetse'!J465</f>
        <v>G421</v>
      </c>
      <c r="I319" t="str">
        <f>'Final data_for_R_analysis_Wetse'!J685</f>
        <v>R71</v>
      </c>
      <c r="J319">
        <f>IFERROR(INDEX('Green_rooibos initial weight'!$C$5:$C$1749,MATCH(H319, 'Green_rooibos initial weight'!$A$5:$A$1749,0)),"")</f>
        <v>2.052</v>
      </c>
      <c r="K319">
        <f>IFERROR(INDEX('Green_rooibos initial weight'!$C$5:$C$1749,MATCH(I319, 'Green_rooibos initial weight'!$A$5:$A$1749,0)),"")</f>
        <v>2.2440000000000002</v>
      </c>
      <c r="L319" s="195">
        <f t="shared" si="29"/>
        <v>1.8022</v>
      </c>
      <c r="M319" s="195">
        <f>AVERAGE(Ashed_controlls!$K$2:$K$11)</f>
        <v>5.5147656768714146</v>
      </c>
      <c r="N319" s="195">
        <f t="shared" si="27"/>
        <v>1.9942000000000002</v>
      </c>
      <c r="O319" s="16">
        <f>IF('WetLitterbags placem_collection'!G26="N.A","",'WetLitterbags placem_collection'!G26)</f>
        <v>42818</v>
      </c>
      <c r="P319" s="195">
        <f>IF(IFERROR(INDEX('Both teabags AfterWet'!$C$3:$C$841,MATCH(H319,'Both teabags AfterWet'!$A$3:$A$841,0)),"")="N.A","",(IFERROR(INDEX('Both teabags AfterWet'!$C$3:$C$841,MATCH(H319,'Both teabags AfterWet'!$A$3:$A$841,0)),"")))</f>
        <v>0.67</v>
      </c>
      <c r="Q319" s="195">
        <f>IFERROR(INDEX('Both teabags AfterWet'!$C$3:$C$841,MATCH(I319,'Both teabags AfterWet'!$A$3:$A$841,0)),"")</f>
        <v>1.3083</v>
      </c>
      <c r="R319" s="195">
        <f t="shared" si="30"/>
        <v>0.51940000000000008</v>
      </c>
      <c r="S319" s="195">
        <f t="shared" si="30"/>
        <v>1.1577</v>
      </c>
      <c r="T319" s="195">
        <f t="shared" si="31"/>
        <v>0.71179669293086223</v>
      </c>
      <c r="U319" s="195">
        <f t="shared" si="32"/>
        <v>0.4666410623489739</v>
      </c>
      <c r="V319" s="195">
        <f t="shared" si="33"/>
        <v>0.58053354728713258</v>
      </c>
      <c r="W319">
        <f t="shared" si="28"/>
        <v>51</v>
      </c>
      <c r="X319" s="195">
        <f t="shared" si="34"/>
        <v>0.15463575661417783</v>
      </c>
      <c r="Y319" s="195">
        <f t="shared" si="35"/>
        <v>4.4935383188606008E-2</v>
      </c>
      <c r="Z319" s="255" t="str">
        <f>IF(ISNUMBER(SEARCH("C",'WetLitterbags placem_collection'!W246)),"YES","NO")</f>
        <v>NO</v>
      </c>
      <c r="AA319" s="255" t="str">
        <f>IF(ISNUMBER(SEARCH("H", 'WetLitterbags placem_collection'!Y26)),"YES","NO")</f>
        <v>NO</v>
      </c>
      <c r="AB319" s="255" t="str">
        <f>IF(ISNUMBER(SEARCH("R", 'WetLitterbags placem_collection'!WY26)),"YES","NO")</f>
        <v>NO</v>
      </c>
      <c r="AC319" s="255" t="str">
        <f>IF(ISNUMBER(SEARCH("C", 'WetLitterbags placem_collection'!VX26)),"YES","NO")</f>
        <v>NO</v>
      </c>
      <c r="AD319" s="255" t="str">
        <f>IF(ISNUMBER(SEARCH("H", 'WetLitterbags placem_collection'!X26)),"YES","NO")</f>
        <v>NO</v>
      </c>
      <c r="AE319" s="255" t="str">
        <f>IF(ISNUMBER(SEARCH("R", 'WetLitterbags placem_collection'!X26)),"YES","NO")</f>
        <v>NO</v>
      </c>
    </row>
    <row r="320" spans="2:31">
      <c r="B320" t="str">
        <f>'Final data_for_R_analysis_Wetse'!A466</f>
        <v>Wet</v>
      </c>
      <c r="C320" s="263">
        <f>'Final data_for_R_analysis_Wetse'!B466</f>
        <v>25</v>
      </c>
      <c r="D320" t="s">
        <v>3830</v>
      </c>
      <c r="E320" t="s">
        <v>25</v>
      </c>
      <c r="F320" s="386">
        <v>1</v>
      </c>
      <c r="G320" s="16">
        <f>'WetLitterbags placem_collection'!E27</f>
        <v>42767</v>
      </c>
      <c r="H320" s="92" t="str">
        <f>'Final data_for_R_analysis_Wetse'!J466</f>
        <v>G864</v>
      </c>
      <c r="I320" t="str">
        <f>'Final data_for_R_analysis_Wetse'!J686</f>
        <v>R104</v>
      </c>
      <c r="J320">
        <f>IFERROR(INDEX('Green_rooibos initial weight'!$C$5:$C$1749,MATCH(H320, 'Green_rooibos initial weight'!$A$5:$A$1749,0)),"")</f>
        <v>2.0310000000000001</v>
      </c>
      <c r="K320">
        <f>IFERROR(INDEX('Green_rooibos initial weight'!$C$5:$C$1749,MATCH(I320, 'Green_rooibos initial weight'!$A$5:$A$1749,0)),"")</f>
        <v>2.2109999999999999</v>
      </c>
      <c r="L320" s="195">
        <f t="shared" si="29"/>
        <v>1.7812000000000001</v>
      </c>
      <c r="M320" s="195">
        <f>AVERAGE(Ashed_controlls!$K$2:$K$11)</f>
        <v>5.5147656768714146</v>
      </c>
      <c r="N320" s="195">
        <f t="shared" si="27"/>
        <v>1.9611999999999998</v>
      </c>
      <c r="O320" s="16">
        <f>IF('WetLitterbags placem_collection'!G27="N.A","",'WetLitterbags placem_collection'!G27)</f>
        <v>42818</v>
      </c>
      <c r="P320" s="195">
        <f>IF(IFERROR(INDEX('Both teabags AfterWet'!$C$3:$C$841,MATCH(H320,'Both teabags AfterWet'!$A$3:$A$841,0)),"")="N.A","",(IFERROR(INDEX('Both teabags AfterWet'!$C$3:$C$841,MATCH(H320,'Both teabags AfterWet'!$A$3:$A$841,0)),"")))</f>
        <v>0.65839999999999999</v>
      </c>
      <c r="Q320" s="195">
        <f>IFERROR(INDEX('Both teabags AfterWet'!$C$3:$C$841,MATCH(I320,'Both teabags AfterWet'!$A$3:$A$841,0)),"")</f>
        <v>1.4184000000000001</v>
      </c>
      <c r="R320" s="195">
        <f t="shared" si="30"/>
        <v>0.50780000000000003</v>
      </c>
      <c r="S320" s="195">
        <f t="shared" si="30"/>
        <v>1.2678</v>
      </c>
      <c r="T320" s="195">
        <f t="shared" si="31"/>
        <v>0.71491129575567036</v>
      </c>
      <c r="U320" s="195">
        <f t="shared" si="32"/>
        <v>0.46868293973530889</v>
      </c>
      <c r="V320" s="195">
        <f t="shared" si="33"/>
        <v>0.64644095451764239</v>
      </c>
      <c r="W320">
        <f t="shared" si="28"/>
        <v>51</v>
      </c>
      <c r="X320" s="195">
        <f t="shared" si="34"/>
        <v>0.15093670337806364</v>
      </c>
      <c r="Y320" s="195">
        <f t="shared" si="35"/>
        <v>2.7527796379896437E-2</v>
      </c>
      <c r="Z320" s="255" t="str">
        <f>IF(ISNUMBER(SEARCH("C",'WetLitterbags placem_collection'!W247)),"YES","NO")</f>
        <v>NO</v>
      </c>
      <c r="AA320" s="255" t="str">
        <f>IF(ISNUMBER(SEARCH("H", 'WetLitterbags placem_collection'!Y27)),"YES","NO")</f>
        <v>NO</v>
      </c>
      <c r="AB320" s="255" t="str">
        <f>IF(ISNUMBER(SEARCH("R", 'WetLitterbags placem_collection'!WY27)),"YES","NO")</f>
        <v>NO</v>
      </c>
      <c r="AC320" s="255" t="str">
        <f>IF(ISNUMBER(SEARCH("C", 'WetLitterbags placem_collection'!VX27)),"YES","NO")</f>
        <v>NO</v>
      </c>
      <c r="AD320" s="255" t="str">
        <f>IF(ISNUMBER(SEARCH("H", 'WetLitterbags placem_collection'!X27)),"YES","NO")</f>
        <v>NO</v>
      </c>
      <c r="AE320" s="255" t="str">
        <f>IF(ISNUMBER(SEARCH("R", 'WetLitterbags placem_collection'!X27)),"YES","NO")</f>
        <v>NO</v>
      </c>
    </row>
    <row r="321" spans="2:31">
      <c r="B321" t="str">
        <f>'Final data_for_R_analysis_Wetse'!A467</f>
        <v>Wet</v>
      </c>
      <c r="C321" s="263">
        <f>'Final data_for_R_analysis_Wetse'!B467</f>
        <v>26</v>
      </c>
      <c r="D321" t="s">
        <v>3830</v>
      </c>
      <c r="E321" t="s">
        <v>25</v>
      </c>
      <c r="F321" s="386">
        <v>2</v>
      </c>
      <c r="G321" s="16">
        <f>'WetLitterbags placem_collection'!E28</f>
        <v>42767</v>
      </c>
      <c r="H321" s="92" t="str">
        <f>'Final data_for_R_analysis_Wetse'!J467</f>
        <v>G506</v>
      </c>
      <c r="I321" t="str">
        <f>'Final data_for_R_analysis_Wetse'!J687</f>
        <v>R189</v>
      </c>
      <c r="J321">
        <f>IFERROR(INDEX('Green_rooibos initial weight'!$C$5:$C$1749,MATCH(H321, 'Green_rooibos initial weight'!$A$5:$A$1749,0)),"")</f>
        <v>1.9079999999999999</v>
      </c>
      <c r="K321">
        <f>IFERROR(INDEX('Green_rooibos initial weight'!$C$5:$C$1749,MATCH(I321, 'Green_rooibos initial weight'!$A$5:$A$1749,0)),"")</f>
        <v>2.274</v>
      </c>
      <c r="L321" s="195">
        <f t="shared" si="29"/>
        <v>1.6581999999999999</v>
      </c>
      <c r="M321" s="195">
        <f>AVERAGE(Ashed_controlls!$K$2:$K$11)</f>
        <v>5.5147656768714146</v>
      </c>
      <c r="N321" s="195">
        <f t="shared" si="27"/>
        <v>2.0242</v>
      </c>
      <c r="O321" s="16">
        <f>IF('WetLitterbags placem_collection'!G28="N.A","",'WetLitterbags placem_collection'!G28)</f>
        <v>42818</v>
      </c>
      <c r="P321" s="195">
        <f>IF(IFERROR(INDEX('Both teabags AfterWet'!$C$3:$C$841,MATCH(H321,'Both teabags AfterWet'!$A$3:$A$841,0)),"")="N.A","",(IFERROR(INDEX('Both teabags AfterWet'!$C$3:$C$841,MATCH(H321,'Both teabags AfterWet'!$A$3:$A$841,0)),"")))</f>
        <v>0.67589999999999995</v>
      </c>
      <c r="Q321" s="195">
        <f>IFERROR(INDEX('Both teabags AfterWet'!$C$3:$C$841,MATCH(I321,'Both teabags AfterWet'!$A$3:$A$841,0)),"")</f>
        <v>1.464</v>
      </c>
      <c r="R321" s="195">
        <f t="shared" si="30"/>
        <v>0.52529999999999988</v>
      </c>
      <c r="S321" s="195">
        <f t="shared" si="30"/>
        <v>1.3133999999999999</v>
      </c>
      <c r="T321" s="195">
        <f t="shared" si="31"/>
        <v>0.68321071040887715</v>
      </c>
      <c r="U321" s="195">
        <f t="shared" si="32"/>
        <v>0.4479006082490502</v>
      </c>
      <c r="V321" s="195">
        <f t="shared" si="33"/>
        <v>0.64884892797154425</v>
      </c>
      <c r="W321">
        <f t="shared" si="28"/>
        <v>51</v>
      </c>
      <c r="X321" s="195">
        <f t="shared" si="34"/>
        <v>0.18858585462128596</v>
      </c>
      <c r="Y321" s="195">
        <f t="shared" si="35"/>
        <v>3.0047957115714032E-2</v>
      </c>
      <c r="Z321" s="255" t="str">
        <f>IF(ISNUMBER(SEARCH("C",'WetLitterbags placem_collection'!W248)),"YES","NO")</f>
        <v>NO</v>
      </c>
      <c r="AA321" s="255" t="str">
        <f>IF(ISNUMBER(SEARCH("H", 'WetLitterbags placem_collection'!Y28)),"YES","NO")</f>
        <v>NO</v>
      </c>
      <c r="AB321" s="255" t="str">
        <f>IF(ISNUMBER(SEARCH("R", 'WetLitterbags placem_collection'!WY28)),"YES","NO")</f>
        <v>NO</v>
      </c>
      <c r="AC321" s="255" t="str">
        <f>IF(ISNUMBER(SEARCH("C", 'WetLitterbags placem_collection'!VX28)),"YES","NO")</f>
        <v>NO</v>
      </c>
      <c r="AD321" s="255" t="str">
        <f>IF(ISNUMBER(SEARCH("H", 'WetLitterbags placem_collection'!X28)),"YES","NO")</f>
        <v>NO</v>
      </c>
      <c r="AE321" s="255" t="str">
        <f>IF(ISNUMBER(SEARCH("R", 'WetLitterbags placem_collection'!X28)),"YES","NO")</f>
        <v>NO</v>
      </c>
    </row>
    <row r="322" spans="2:31">
      <c r="B322" t="str">
        <f>'Final data_for_R_analysis_Wetse'!A468</f>
        <v>Wet</v>
      </c>
      <c r="C322" s="263">
        <f>'Final data_for_R_analysis_Wetse'!B468</f>
        <v>27</v>
      </c>
      <c r="D322" t="s">
        <v>3830</v>
      </c>
      <c r="E322" t="s">
        <v>25</v>
      </c>
      <c r="F322" s="386">
        <v>3</v>
      </c>
      <c r="G322" s="16">
        <f>'WetLitterbags placem_collection'!E29</f>
        <v>42767</v>
      </c>
      <c r="H322" s="92" t="str">
        <f>'Final data_for_R_analysis_Wetse'!J468</f>
        <v>G449</v>
      </c>
      <c r="I322" t="str">
        <f>'Final data_for_R_analysis_Wetse'!J688</f>
        <v>R217</v>
      </c>
      <c r="J322">
        <f>IFERROR(INDEX('Green_rooibos initial weight'!$C$5:$C$1749,MATCH(H322, 'Green_rooibos initial weight'!$A$5:$A$1749,0)),"")</f>
        <v>2.1749999999999998</v>
      </c>
      <c r="K322">
        <f>IFERROR(INDEX('Green_rooibos initial weight'!$C$5:$C$1749,MATCH(I322, 'Green_rooibos initial weight'!$A$5:$A$1749,0)),"")</f>
        <v>2.2109999999999999</v>
      </c>
      <c r="L322" s="195">
        <f t="shared" si="29"/>
        <v>1.9251999999999998</v>
      </c>
      <c r="M322" s="195">
        <f>AVERAGE(Ashed_controlls!$K$2:$K$11)</f>
        <v>5.5147656768714146</v>
      </c>
      <c r="N322" s="195">
        <f t="shared" si="27"/>
        <v>1.9611999999999998</v>
      </c>
      <c r="O322" s="16">
        <f>IF('WetLitterbags placem_collection'!G29="N.A","",'WetLitterbags placem_collection'!G29)</f>
        <v>42818</v>
      </c>
      <c r="P322" s="195">
        <f>IF(IFERROR(INDEX('Both teabags AfterWet'!$C$3:$C$841,MATCH(H322,'Both teabags AfterWet'!$A$3:$A$841,0)),"")="N.A","",(IFERROR(INDEX('Both teabags AfterWet'!$C$3:$C$841,MATCH(H322,'Both teabags AfterWet'!$A$3:$A$841,0)),"")))</f>
        <v>0.73760000000000003</v>
      </c>
      <c r="Q322" s="195">
        <f>IFERROR(INDEX('Both teabags AfterWet'!$C$3:$C$841,MATCH(I322,'Both teabags AfterWet'!$A$3:$A$841,0)),"")</f>
        <v>1.5392999999999999</v>
      </c>
      <c r="R322" s="195">
        <f t="shared" si="30"/>
        <v>0.58699999999999997</v>
      </c>
      <c r="S322" s="195">
        <f t="shared" si="30"/>
        <v>1.3886999999999998</v>
      </c>
      <c r="T322" s="195">
        <f t="shared" si="31"/>
        <v>0.69509661333887385</v>
      </c>
      <c r="U322" s="195">
        <f t="shared" si="32"/>
        <v>0.45569279164258719</v>
      </c>
      <c r="V322" s="195">
        <f t="shared" si="33"/>
        <v>0.70808688558025701</v>
      </c>
      <c r="W322">
        <f t="shared" si="28"/>
        <v>51</v>
      </c>
      <c r="X322" s="195">
        <f t="shared" si="34"/>
        <v>0.17446958035763194</v>
      </c>
      <c r="Y322" s="195">
        <f t="shared" si="35"/>
        <v>2.0064642880268799E-2</v>
      </c>
      <c r="Z322" s="255" t="str">
        <f>IF(ISNUMBER(SEARCH("C",'WetLitterbags placem_collection'!W249)),"YES","NO")</f>
        <v>NO</v>
      </c>
      <c r="AA322" s="255" t="str">
        <f>IF(ISNUMBER(SEARCH("H", 'WetLitterbags placem_collection'!Y29)),"YES","NO")</f>
        <v>NO</v>
      </c>
      <c r="AB322" s="255" t="str">
        <f>IF(ISNUMBER(SEARCH("R", 'WetLitterbags placem_collection'!WY29)),"YES","NO")</f>
        <v>NO</v>
      </c>
      <c r="AC322" s="255" t="str">
        <f>IF(ISNUMBER(SEARCH("C", 'WetLitterbags placem_collection'!VX29)),"YES","NO")</f>
        <v>NO</v>
      </c>
      <c r="AD322" s="255" t="str">
        <f>IF(ISNUMBER(SEARCH("H", 'WetLitterbags placem_collection'!X29)),"YES","NO")</f>
        <v>NO</v>
      </c>
      <c r="AE322" s="255" t="str">
        <f>IF(ISNUMBER(SEARCH("R", 'WetLitterbags placem_collection'!X29)),"YES","NO")</f>
        <v>NO</v>
      </c>
    </row>
    <row r="323" spans="2:31">
      <c r="B323" t="str">
        <f>'Final data_for_R_analysis_Wetse'!A469</f>
        <v>Wet</v>
      </c>
      <c r="C323" s="263">
        <f>'Final data_for_R_analysis_Wetse'!B469</f>
        <v>28</v>
      </c>
      <c r="D323" t="s">
        <v>3830</v>
      </c>
      <c r="E323" t="s">
        <v>25</v>
      </c>
      <c r="F323" s="387">
        <v>4</v>
      </c>
      <c r="G323" s="16">
        <f>'WetLitterbags placem_collection'!E30</f>
        <v>42767</v>
      </c>
      <c r="H323" s="92" t="str">
        <f>'Final data_for_R_analysis_Wetse'!J469</f>
        <v>G502</v>
      </c>
      <c r="I323" t="str">
        <f>'Final data_for_R_analysis_Wetse'!J689</f>
        <v>R172</v>
      </c>
      <c r="J323">
        <f>IFERROR(INDEX('Green_rooibos initial weight'!$C$5:$C$1749,MATCH(H323, 'Green_rooibos initial weight'!$A$5:$A$1749,0)),"")</f>
        <v>1.929</v>
      </c>
      <c r="K323">
        <f>IFERROR(INDEX('Green_rooibos initial weight'!$C$5:$C$1749,MATCH(I323, 'Green_rooibos initial weight'!$A$5:$A$1749,0)),"")</f>
        <v>2.1520000000000001</v>
      </c>
      <c r="L323" s="195">
        <f t="shared" si="29"/>
        <v>1.6792</v>
      </c>
      <c r="M323" s="195">
        <f>AVERAGE(Ashed_controlls!$K$2:$K$11)</f>
        <v>5.5147656768714146</v>
      </c>
      <c r="N323" s="195">
        <f t="shared" si="27"/>
        <v>1.9022000000000001</v>
      </c>
      <c r="O323" s="16">
        <f>IF('WetLitterbags placem_collection'!G30="N.A","",'WetLitterbags placem_collection'!G30)</f>
        <v>42818</v>
      </c>
      <c r="P323" s="195">
        <f>IF(IFERROR(INDEX('Both teabags AfterWet'!$C$3:$C$841,MATCH(H323,'Both teabags AfterWet'!$A$3:$A$841,0)),"")="N.A","",(IFERROR(INDEX('Both teabags AfterWet'!$C$3:$C$841,MATCH(H323,'Both teabags AfterWet'!$A$3:$A$841,0)),"")))</f>
        <v>0.60960000000000003</v>
      </c>
      <c r="Q323" s="195">
        <f>IFERROR(INDEX('Both teabags AfterWet'!$C$3:$C$841,MATCH(I323,'Both teabags AfterWet'!$A$3:$A$841,0)),"")</f>
        <v>1.4665999999999999</v>
      </c>
      <c r="R323" s="195">
        <f t="shared" si="30"/>
        <v>0.45900000000000002</v>
      </c>
      <c r="S323" s="195">
        <f t="shared" si="30"/>
        <v>1.3159999999999998</v>
      </c>
      <c r="T323" s="195">
        <f t="shared" si="31"/>
        <v>0.72665555026202955</v>
      </c>
      <c r="U323" s="195">
        <f t="shared" si="32"/>
        <v>0.47638226097938285</v>
      </c>
      <c r="V323" s="195">
        <f t="shared" si="33"/>
        <v>0.69183051203869195</v>
      </c>
      <c r="W323">
        <f t="shared" si="28"/>
        <v>51</v>
      </c>
      <c r="X323" s="195">
        <f t="shared" si="34"/>
        <v>0.13698865764604562</v>
      </c>
      <c r="Y323" s="195">
        <f t="shared" si="35"/>
        <v>2.0411586609946564E-2</v>
      </c>
      <c r="Z323" s="255" t="str">
        <f>IF(ISNUMBER(SEARCH("C",'WetLitterbags placem_collection'!W250)),"YES","NO")</f>
        <v>NO</v>
      </c>
      <c r="AA323" s="255" t="str">
        <f>IF(ISNUMBER(SEARCH("H", 'WetLitterbags placem_collection'!Y30)),"YES","NO")</f>
        <v>NO</v>
      </c>
      <c r="AB323" s="255" t="str">
        <f>IF(ISNUMBER(SEARCH("R", 'WetLitterbags placem_collection'!WY30)),"YES","NO")</f>
        <v>NO</v>
      </c>
      <c r="AC323" s="255" t="str">
        <f>IF(ISNUMBER(SEARCH("C", 'WetLitterbags placem_collection'!VX30)),"YES","NO")</f>
        <v>NO</v>
      </c>
      <c r="AD323" s="255" t="str">
        <f>IF(ISNUMBER(SEARCH("H", 'WetLitterbags placem_collection'!X30)),"YES","NO")</f>
        <v>NO</v>
      </c>
      <c r="AE323" s="255" t="str">
        <f>IF(ISNUMBER(SEARCH("R", 'WetLitterbags placem_collection'!X30)),"YES","NO")</f>
        <v>NO</v>
      </c>
    </row>
    <row r="324" spans="2:31">
      <c r="B324" t="str">
        <f>'Final data_for_R_analysis_Wetse'!A470</f>
        <v>Wet</v>
      </c>
      <c r="C324" s="263">
        <f>'Final data_for_R_analysis_Wetse'!B470</f>
        <v>29</v>
      </c>
      <c r="D324" t="s">
        <v>3830</v>
      </c>
      <c r="E324" t="s">
        <v>25</v>
      </c>
      <c r="F324" s="387">
        <v>5</v>
      </c>
      <c r="G324" s="16">
        <f>'WetLitterbags placem_collection'!E31</f>
        <v>42767</v>
      </c>
      <c r="H324" s="92" t="str">
        <f>'Final data_for_R_analysis_Wetse'!J470</f>
        <v>G345</v>
      </c>
      <c r="I324" t="str">
        <f>'Final data_for_R_analysis_Wetse'!J690</f>
        <v>R349</v>
      </c>
      <c r="J324">
        <f>IFERROR(INDEX('Green_rooibos initial weight'!$C$5:$C$1749,MATCH(H324, 'Green_rooibos initial weight'!$A$5:$A$1749,0)),"")</f>
        <v>2.012</v>
      </c>
      <c r="K324">
        <f>IFERROR(INDEX('Green_rooibos initial weight'!$C$5:$C$1749,MATCH(I324, 'Green_rooibos initial weight'!$A$5:$A$1749,0)),"")</f>
        <v>2.2469999999999999</v>
      </c>
      <c r="L324" s="195">
        <f t="shared" si="29"/>
        <v>1.7622</v>
      </c>
      <c r="M324" s="195">
        <f>AVERAGE(Ashed_controlls!$K$2:$K$11)</f>
        <v>5.5147656768714146</v>
      </c>
      <c r="N324" s="195">
        <f t="shared" si="27"/>
        <v>1.9971999999999999</v>
      </c>
      <c r="O324" s="16">
        <f>IF('WetLitterbags placem_collection'!G31="N.A","",'WetLitterbags placem_collection'!G31)</f>
        <v>42818</v>
      </c>
      <c r="P324" s="195">
        <f>IF(IFERROR(INDEX('Both teabags AfterWet'!$C$3:$C$841,MATCH(H324,'Both teabags AfterWet'!$A$3:$A$841,0)),"")="N.A","",(IFERROR(INDEX('Both teabags AfterWet'!$C$3:$C$841,MATCH(H324,'Both teabags AfterWet'!$A$3:$A$841,0)),"")))</f>
        <v>0.64829999999999999</v>
      </c>
      <c r="Q324" s="195" t="str">
        <f>IFERROR(INDEX('Both teabags AfterWet'!$C$3:$C$841,MATCH(I324,'Both teabags AfterWet'!$A$3:$A$841,0)),"")</f>
        <v/>
      </c>
      <c r="R324" s="195">
        <f t="shared" si="30"/>
        <v>0.49769999999999998</v>
      </c>
      <c r="S324" s="195" t="str">
        <f t="shared" si="30"/>
        <v/>
      </c>
      <c r="T324" s="195">
        <f t="shared" si="31"/>
        <v>0.71756894790602654</v>
      </c>
      <c r="U324" s="195">
        <f t="shared" si="32"/>
        <v>0.47042524850846401</v>
      </c>
      <c r="V324" s="195" t="str">
        <f t="shared" si="33"/>
        <v/>
      </c>
      <c r="W324">
        <f t="shared" si="28"/>
        <v>51</v>
      </c>
      <c r="X324" s="195">
        <f t="shared" si="34"/>
        <v>0.14778034690495656</v>
      </c>
      <c r="Y324" s="195" t="str">
        <f t="shared" si="35"/>
        <v/>
      </c>
      <c r="Z324" s="255" t="str">
        <f>IF(ISNUMBER(SEARCH("C",'WetLitterbags placem_collection'!W251)),"YES","NO")</f>
        <v>NO</v>
      </c>
      <c r="AA324" s="255" t="str">
        <f>IF(ISNUMBER(SEARCH("H", 'WetLitterbags placem_collection'!Y31)),"YES","NO")</f>
        <v>NO</v>
      </c>
      <c r="AB324" s="255" t="str">
        <f>IF(ISNUMBER(SEARCH("R", 'WetLitterbags placem_collection'!WY31)),"YES","NO")</f>
        <v>NO</v>
      </c>
      <c r="AC324" s="255" t="str">
        <f>IF(ISNUMBER(SEARCH("C", 'WetLitterbags placem_collection'!VX31)),"YES","NO")</f>
        <v>NO</v>
      </c>
      <c r="AD324" s="255" t="str">
        <f>IF(ISNUMBER(SEARCH("H", 'WetLitterbags placem_collection'!X31)),"YES","NO")</f>
        <v>NO</v>
      </c>
      <c r="AE324" s="255" t="str">
        <f>IF(ISNUMBER(SEARCH("R", 'WetLitterbags placem_collection'!X31)),"YES","NO")</f>
        <v>NO</v>
      </c>
    </row>
    <row r="325" spans="2:31">
      <c r="B325" t="str">
        <f>'Final data_for_R_analysis_Wetse'!A471</f>
        <v>Wet</v>
      </c>
      <c r="C325" s="263">
        <f>'Final data_for_R_analysis_Wetse'!B471</f>
        <v>30</v>
      </c>
      <c r="D325" t="s">
        <v>3830</v>
      </c>
      <c r="E325" t="s">
        <v>25</v>
      </c>
      <c r="F325" s="387">
        <v>6</v>
      </c>
      <c r="G325" s="16">
        <f>'WetLitterbags placem_collection'!E32</f>
        <v>42767</v>
      </c>
      <c r="H325" s="92" t="str">
        <f>'Final data_for_R_analysis_Wetse'!J471</f>
        <v>G500</v>
      </c>
      <c r="I325" t="str">
        <f>'Final data_for_R_analysis_Wetse'!J691</f>
        <v>R296</v>
      </c>
      <c r="J325">
        <f>IFERROR(INDEX('Green_rooibos initial weight'!$C$5:$C$1749,MATCH(H325, 'Green_rooibos initial weight'!$A$5:$A$1749,0)),"")</f>
        <v>2.0830000000000002</v>
      </c>
      <c r="K325">
        <f>IFERROR(INDEX('Green_rooibos initial weight'!$C$5:$C$1749,MATCH(I325, 'Green_rooibos initial weight'!$A$5:$A$1749,0)),"")</f>
        <v>2.226</v>
      </c>
      <c r="L325" s="195">
        <f t="shared" si="29"/>
        <v>1.8332000000000002</v>
      </c>
      <c r="M325" s="195">
        <f>AVERAGE(Ashed_controlls!$K$2:$K$11)</f>
        <v>5.5147656768714146</v>
      </c>
      <c r="N325" s="195">
        <f t="shared" si="27"/>
        <v>1.9762</v>
      </c>
      <c r="O325" s="16">
        <f>IF('WetLitterbags placem_collection'!G32="N.A","",'WetLitterbags placem_collection'!G32)</f>
        <v>42818</v>
      </c>
      <c r="P325" s="195">
        <f>IF(IFERROR(INDEX('Both teabags AfterWet'!$C$3:$C$841,MATCH(H325,'Both teabags AfterWet'!$A$3:$A$841,0)),"")="N.A","",(IFERROR(INDEX('Both teabags AfterWet'!$C$3:$C$841,MATCH(H325,'Both teabags AfterWet'!$A$3:$A$841,0)),"")))</f>
        <v>0.61909999999999998</v>
      </c>
      <c r="Q325" s="195">
        <f>IFERROR(INDEX('Both teabags AfterWet'!$C$3:$C$841,MATCH(I325,'Both teabags AfterWet'!$A$3:$A$841,0)),"")</f>
        <v>1.3653</v>
      </c>
      <c r="R325" s="195">
        <f t="shared" si="30"/>
        <v>0.46849999999999997</v>
      </c>
      <c r="S325" s="195">
        <f t="shared" si="30"/>
        <v>1.2146999999999999</v>
      </c>
      <c r="T325" s="195">
        <f t="shared" si="31"/>
        <v>0.74443595897883486</v>
      </c>
      <c r="U325" s="195">
        <f t="shared" si="32"/>
        <v>0.48803877595762102</v>
      </c>
      <c r="V325" s="195">
        <f t="shared" si="33"/>
        <v>0.61466450764092695</v>
      </c>
      <c r="W325">
        <f t="shared" si="28"/>
        <v>51</v>
      </c>
      <c r="X325" s="195">
        <f t="shared" si="34"/>
        <v>0.11587178268546927</v>
      </c>
      <c r="Y325" s="195">
        <f t="shared" si="35"/>
        <v>3.0559819068247507E-2</v>
      </c>
      <c r="Z325" s="255" t="str">
        <f>IF(ISNUMBER(SEARCH("C",'WetLitterbags placem_collection'!W252)),"YES","NO")</f>
        <v>NO</v>
      </c>
      <c r="AA325" s="255" t="str">
        <f>IF(ISNUMBER(SEARCH("H", 'WetLitterbags placem_collection'!Y32)),"YES","NO")</f>
        <v>NO</v>
      </c>
      <c r="AB325" s="255" t="str">
        <f>IF(ISNUMBER(SEARCH("R", 'WetLitterbags placem_collection'!WY32)),"YES","NO")</f>
        <v>NO</v>
      </c>
      <c r="AC325" s="255" t="str">
        <f>IF(ISNUMBER(SEARCH("C", 'WetLitterbags placem_collection'!VX32)),"YES","NO")</f>
        <v>NO</v>
      </c>
      <c r="AD325" s="255" t="str">
        <f>IF(ISNUMBER(SEARCH("H", 'WetLitterbags placem_collection'!X32)),"YES","NO")</f>
        <v>NO</v>
      </c>
      <c r="AE325" s="255" t="str">
        <f>IF(ISNUMBER(SEARCH("R", 'WetLitterbags placem_collection'!X32)),"YES","NO")</f>
        <v>NO</v>
      </c>
    </row>
    <row r="326" spans="2:31">
      <c r="B326" t="str">
        <f>'Final data_for_R_analysis_Wetse'!A472</f>
        <v>Wet</v>
      </c>
      <c r="C326" s="263">
        <f>'Final data_for_R_analysis_Wetse'!B472</f>
        <v>31</v>
      </c>
      <c r="D326" t="s">
        <v>3830</v>
      </c>
      <c r="E326" t="s">
        <v>25</v>
      </c>
      <c r="F326" s="387">
        <v>7</v>
      </c>
      <c r="G326" s="16">
        <f>'WetLitterbags placem_collection'!E33</f>
        <v>42767</v>
      </c>
      <c r="H326" s="92" t="str">
        <f>'Final data_for_R_analysis_Wetse'!J472</f>
        <v>G521</v>
      </c>
      <c r="I326" t="str">
        <f>'Final data_for_R_analysis_Wetse'!J692</f>
        <v>R323</v>
      </c>
      <c r="J326">
        <f>IFERROR(INDEX('Green_rooibos initial weight'!$C$5:$C$1749,MATCH(H326, 'Green_rooibos initial weight'!$A$5:$A$1749,0)),"")</f>
        <v>2.1709999999999998</v>
      </c>
      <c r="K326">
        <f>IFERROR(INDEX('Green_rooibos initial weight'!$C$5:$C$1749,MATCH(I326, 'Green_rooibos initial weight'!$A$5:$A$1749,0)),"")</f>
        <v>2.1949999999999998</v>
      </c>
      <c r="L326" s="195">
        <f t="shared" si="29"/>
        <v>1.9211999999999998</v>
      </c>
      <c r="M326" s="195">
        <f>AVERAGE(Ashed_controlls!$K$2:$K$11)</f>
        <v>5.5147656768714146</v>
      </c>
      <c r="N326" s="195">
        <f t="shared" si="27"/>
        <v>1.9451999999999998</v>
      </c>
      <c r="O326" s="16">
        <f>IF('WetLitterbags placem_collection'!G33="N.A","",'WetLitterbags placem_collection'!G33)</f>
        <v>42818</v>
      </c>
      <c r="P326" s="195">
        <f>IF(IFERROR(INDEX('Both teabags AfterWet'!$C$3:$C$841,MATCH(H326,'Both teabags AfterWet'!$A$3:$A$841,0)),"")="N.A","",(IFERROR(INDEX('Both teabags AfterWet'!$C$3:$C$841,MATCH(H326,'Both teabags AfterWet'!$A$3:$A$841,0)),"")))</f>
        <v>0.71479999999999999</v>
      </c>
      <c r="Q326" s="195">
        <f>IFERROR(INDEX('Both teabags AfterWet'!$C$3:$C$841,MATCH(I326,'Both teabags AfterWet'!$A$3:$A$841,0)),"")</f>
        <v>1.425</v>
      </c>
      <c r="R326" s="195">
        <f t="shared" si="30"/>
        <v>0.56420000000000003</v>
      </c>
      <c r="S326" s="195">
        <f t="shared" si="30"/>
        <v>1.2744</v>
      </c>
      <c r="T326" s="195">
        <f t="shared" si="31"/>
        <v>0.70632937747241309</v>
      </c>
      <c r="U326" s="195">
        <f t="shared" si="32"/>
        <v>0.46305678903179581</v>
      </c>
      <c r="V326" s="195">
        <f t="shared" si="33"/>
        <v>0.65515114127082053</v>
      </c>
      <c r="W326">
        <f t="shared" si="28"/>
        <v>51</v>
      </c>
      <c r="X326" s="195">
        <f t="shared" si="34"/>
        <v>0.16112900537718156</v>
      </c>
      <c r="Y326" s="195">
        <f t="shared" si="35"/>
        <v>2.6772637374528913E-2</v>
      </c>
      <c r="Z326" s="255" t="str">
        <f>IF(ISNUMBER(SEARCH("C",'WetLitterbags placem_collection'!W253)),"YES","NO")</f>
        <v>NO</v>
      </c>
      <c r="AA326" s="255" t="str">
        <f>IF(ISNUMBER(SEARCH("H", 'WetLitterbags placem_collection'!Y33)),"YES","NO")</f>
        <v>NO</v>
      </c>
      <c r="AB326" s="255" t="str">
        <f>IF(ISNUMBER(SEARCH("R", 'WetLitterbags placem_collection'!WY33)),"YES","NO")</f>
        <v>NO</v>
      </c>
      <c r="AC326" s="255" t="str">
        <f>IF(ISNUMBER(SEARCH("C", 'WetLitterbags placem_collection'!VX33)),"YES","NO")</f>
        <v>NO</v>
      </c>
      <c r="AD326" s="255" t="str">
        <f>IF(ISNUMBER(SEARCH("H", 'WetLitterbags placem_collection'!X33)),"YES","NO")</f>
        <v>NO</v>
      </c>
      <c r="AE326" s="255" t="str">
        <f>IF(ISNUMBER(SEARCH("R", 'WetLitterbags placem_collection'!X33)),"YES","NO")</f>
        <v>YES</v>
      </c>
    </row>
    <row r="327" spans="2:31">
      <c r="B327" t="str">
        <f>'Final data_for_R_analysis_Wetse'!A473</f>
        <v>Wet</v>
      </c>
      <c r="C327" s="263">
        <f>'Final data_for_R_analysis_Wetse'!B473</f>
        <v>32</v>
      </c>
      <c r="D327" t="s">
        <v>3830</v>
      </c>
      <c r="E327" t="s">
        <v>25</v>
      </c>
      <c r="F327" s="387">
        <v>8</v>
      </c>
      <c r="G327" s="16">
        <f>'WetLitterbags placem_collection'!E34</f>
        <v>42767</v>
      </c>
      <c r="H327" s="92" t="str">
        <f>'Final data_for_R_analysis_Wetse'!J473</f>
        <v>G201</v>
      </c>
      <c r="I327" t="str">
        <f>'Final data_for_R_analysis_Wetse'!J693</f>
        <v>R156</v>
      </c>
      <c r="J327">
        <f>IFERROR(INDEX('Green_rooibos initial weight'!$C$5:$C$1749,MATCH(H327, 'Green_rooibos initial weight'!$A$5:$A$1749,0)),"")</f>
        <v>2.2370000000000001</v>
      </c>
      <c r="K327">
        <f>IFERROR(INDEX('Green_rooibos initial weight'!$C$5:$C$1749,MATCH(I327, 'Green_rooibos initial weight'!$A$5:$A$1749,0)),"")</f>
        <v>2.246</v>
      </c>
      <c r="L327" s="195">
        <f t="shared" si="29"/>
        <v>1.9872000000000001</v>
      </c>
      <c r="M327" s="195">
        <f>AVERAGE(Ashed_controlls!$K$2:$K$11)</f>
        <v>5.5147656768714146</v>
      </c>
      <c r="N327" s="195">
        <f t="shared" si="27"/>
        <v>1.9962</v>
      </c>
      <c r="O327" s="16">
        <f>IF('WetLitterbags placem_collection'!G34="N.A","",'WetLitterbags placem_collection'!G34)</f>
        <v>42818</v>
      </c>
      <c r="P327" s="195">
        <f>IF(IFERROR(INDEX('Both teabags AfterWet'!$C$3:$C$841,MATCH(H327,'Both teabags AfterWet'!$A$3:$A$841,0)),"")="N.A","",(IFERROR(INDEX('Both teabags AfterWet'!$C$3:$C$841,MATCH(H327,'Both teabags AfterWet'!$A$3:$A$841,0)),"")))</f>
        <v>0.67359999999999998</v>
      </c>
      <c r="Q327" s="195">
        <f>IFERROR(INDEX('Both teabags AfterWet'!$C$3:$C$841,MATCH(I327,'Both teabags AfterWet'!$A$3:$A$841,0)),"")</f>
        <v>1.2625999999999999</v>
      </c>
      <c r="R327" s="195">
        <f t="shared" si="30"/>
        <v>0.52299999999999991</v>
      </c>
      <c r="S327" s="195">
        <f t="shared" si="30"/>
        <v>1.1119999999999999</v>
      </c>
      <c r="T327" s="195">
        <f t="shared" si="31"/>
        <v>0.73681561996779399</v>
      </c>
      <c r="U327" s="195">
        <f t="shared" si="32"/>
        <v>0.48304301926629734</v>
      </c>
      <c r="V327" s="195">
        <f t="shared" si="33"/>
        <v>0.55705841098086362</v>
      </c>
      <c r="W327">
        <f t="shared" si="28"/>
        <v>51</v>
      </c>
      <c r="X327" s="195">
        <f t="shared" si="34"/>
        <v>0.1249220665465629</v>
      </c>
      <c r="Y327" s="195">
        <f t="shared" si="35"/>
        <v>4.8797915996123979E-2</v>
      </c>
      <c r="Z327" s="255" t="str">
        <f>IF(ISNUMBER(SEARCH("C",'WetLitterbags placem_collection'!W254)),"YES","NO")</f>
        <v>NO</v>
      </c>
      <c r="AA327" s="255" t="str">
        <f>IF(ISNUMBER(SEARCH("H", 'WetLitterbags placem_collection'!Y34)),"YES","NO")</f>
        <v>NO</v>
      </c>
      <c r="AB327" s="255" t="str">
        <f>IF(ISNUMBER(SEARCH("R", 'WetLitterbags placem_collection'!WY34)),"YES","NO")</f>
        <v>NO</v>
      </c>
      <c r="AC327" s="255" t="str">
        <f>IF(ISNUMBER(SEARCH("C", 'WetLitterbags placem_collection'!VX34)),"YES","NO")</f>
        <v>NO</v>
      </c>
      <c r="AD327" s="255" t="str">
        <f>IF(ISNUMBER(SEARCH("H", 'WetLitterbags placem_collection'!X34)),"YES","NO")</f>
        <v>NO</v>
      </c>
      <c r="AE327" s="255" t="str">
        <f>IF(ISNUMBER(SEARCH("R", 'WetLitterbags placem_collection'!X34)),"YES","NO")</f>
        <v>YES</v>
      </c>
    </row>
    <row r="328" spans="2:31">
      <c r="B328" t="str">
        <f>'Final data_for_R_analysis_Wetse'!A474</f>
        <v>Wet</v>
      </c>
      <c r="C328" s="263">
        <f>'Final data_for_R_analysis_Wetse'!B474</f>
        <v>33</v>
      </c>
      <c r="D328" t="s">
        <v>3831</v>
      </c>
      <c r="E328" t="s">
        <v>25</v>
      </c>
      <c r="F328" s="386">
        <v>1</v>
      </c>
      <c r="G328" s="16">
        <f>'WetLitterbags placem_collection'!E35</f>
        <v>42765</v>
      </c>
      <c r="H328" s="92" t="str">
        <f>'Final data_for_R_analysis_Wetse'!J474</f>
        <v>G556</v>
      </c>
      <c r="I328" t="str">
        <f>'Final data_for_R_analysis_Wetse'!J694</f>
        <v>R452</v>
      </c>
      <c r="J328">
        <f>IFERROR(INDEX('Green_rooibos initial weight'!$C$5:$C$1749,MATCH(H328, 'Green_rooibos initial weight'!$A$5:$A$1749,0)),"")</f>
        <v>2.0329999999999999</v>
      </c>
      <c r="K328">
        <f>IFERROR(INDEX('Green_rooibos initial weight'!$C$5:$C$1749,MATCH(I328, 'Green_rooibos initial weight'!$A$5:$A$1749,0)),"")</f>
        <v>2.2320000000000002</v>
      </c>
      <c r="L328" s="195">
        <f t="shared" si="29"/>
        <v>1.7831999999999999</v>
      </c>
      <c r="M328" s="195">
        <f>AVERAGE(Ashed_controlls!$K$2:$K$11)</f>
        <v>5.5147656768714146</v>
      </c>
      <c r="N328" s="195">
        <f t="shared" si="27"/>
        <v>1.9822000000000002</v>
      </c>
      <c r="O328" s="16">
        <f>IF('WetLitterbags placem_collection'!G35="N.A","",'WetLitterbags placem_collection'!G35)</f>
        <v>42820</v>
      </c>
      <c r="P328" s="195">
        <f>IF(IFERROR(INDEX('Both teabags AfterWet'!$C$3:$C$841,MATCH(H328,'Both teabags AfterWet'!$A$3:$A$841,0)),"")="N.A","",(IFERROR(INDEX('Both teabags AfterWet'!$C$3:$C$841,MATCH(H328,'Both teabags AfterWet'!$A$3:$A$841,0)),"")))</f>
        <v>0.64400000000000002</v>
      </c>
      <c r="Q328" s="195">
        <f>IFERROR(INDEX('Both teabags AfterWet'!$C$3:$C$841,MATCH(I328,'Both teabags AfterWet'!$A$3:$A$841,0)),"")</f>
        <v>1.6020000000000001</v>
      </c>
      <c r="R328" s="195">
        <f t="shared" si="30"/>
        <v>0.49340000000000001</v>
      </c>
      <c r="S328" s="195">
        <f t="shared" si="30"/>
        <v>1.4514</v>
      </c>
      <c r="T328" s="195">
        <f t="shared" si="31"/>
        <v>0.72330641543292962</v>
      </c>
      <c r="U328" s="195">
        <f t="shared" si="32"/>
        <v>0.47418662864486605</v>
      </c>
      <c r="V328" s="195">
        <f t="shared" si="33"/>
        <v>0.7322167288870951</v>
      </c>
      <c r="W328">
        <f t="shared" si="28"/>
        <v>55</v>
      </c>
      <c r="X328" s="195">
        <f t="shared" si="34"/>
        <v>0.14096625245495287</v>
      </c>
      <c r="Y328" s="195">
        <f t="shared" si="35"/>
        <v>1.5123066816985622E-2</v>
      </c>
      <c r="Z328" s="255" t="str">
        <f>IF(ISNUMBER(SEARCH("C",'WetLitterbags placem_collection'!W255)),"YES","NO")</f>
        <v>NO</v>
      </c>
      <c r="AA328" s="255" t="str">
        <f>IF(ISNUMBER(SEARCH("H", 'WetLitterbags placem_collection'!Y35)),"YES","NO")</f>
        <v>NO</v>
      </c>
      <c r="AB328" s="255" t="str">
        <f>IF(ISNUMBER(SEARCH("R", 'WetLitterbags placem_collection'!WY35)),"YES","NO")</f>
        <v>NO</v>
      </c>
      <c r="AC328" s="255" t="str">
        <f>IF(ISNUMBER(SEARCH("C", 'WetLitterbags placem_collection'!VX35)),"YES","NO")</f>
        <v>NO</v>
      </c>
      <c r="AD328" s="255" t="str">
        <f>IF(ISNUMBER(SEARCH("H", 'WetLitterbags placem_collection'!X35)),"YES","NO")</f>
        <v>NO</v>
      </c>
      <c r="AE328" s="255" t="str">
        <f>IF(ISNUMBER(SEARCH("R", 'WetLitterbags placem_collection'!X35)),"YES","NO")</f>
        <v>YES</v>
      </c>
    </row>
    <row r="329" spans="2:31">
      <c r="B329" t="str">
        <f>'Final data_for_R_analysis_Wetse'!A475</f>
        <v>Wet</v>
      </c>
      <c r="C329" s="263">
        <f>'Final data_for_R_analysis_Wetse'!B475</f>
        <v>34</v>
      </c>
      <c r="D329" t="s">
        <v>3831</v>
      </c>
      <c r="E329" t="s">
        <v>25</v>
      </c>
      <c r="F329" s="386">
        <v>2</v>
      </c>
      <c r="G329" s="16">
        <f>'WetLitterbags placem_collection'!E36</f>
        <v>42765</v>
      </c>
      <c r="H329" s="92" t="str">
        <f>'Final data_for_R_analysis_Wetse'!J475</f>
        <v>G649</v>
      </c>
      <c r="I329" t="str">
        <f>'Final data_for_R_analysis_Wetse'!J695</f>
        <v>R24</v>
      </c>
      <c r="J329">
        <f>IFERROR(INDEX('Green_rooibos initial weight'!$C$5:$C$1749,MATCH(H329, 'Green_rooibos initial weight'!$A$5:$A$1749,0)),"")</f>
        <v>2.1379999999999999</v>
      </c>
      <c r="K329">
        <f>IFERROR(INDEX('Green_rooibos initial weight'!$C$5:$C$1749,MATCH(I329, 'Green_rooibos initial weight'!$A$5:$A$1749,0)),"")</f>
        <v>2.14</v>
      </c>
      <c r="L329" s="195">
        <f t="shared" si="29"/>
        <v>1.8881999999999999</v>
      </c>
      <c r="M329" s="195">
        <f>AVERAGE(Ashed_controlls!$K$2:$K$11)</f>
        <v>5.5147656768714146</v>
      </c>
      <c r="N329" s="195">
        <f t="shared" si="27"/>
        <v>1.8902000000000001</v>
      </c>
      <c r="O329" s="16">
        <f>IF('WetLitterbags placem_collection'!G36="N.A","",'WetLitterbags placem_collection'!G36)</f>
        <v>42820</v>
      </c>
      <c r="P329" s="195">
        <f>IF(IFERROR(INDEX('Both teabags AfterWet'!$C$3:$C$841,MATCH(H329,'Both teabags AfterWet'!$A$3:$A$841,0)),"")="N.A","",(IFERROR(INDEX('Both teabags AfterWet'!$C$3:$C$841,MATCH(H329,'Both teabags AfterWet'!$A$3:$A$841,0)),"")))</f>
        <v>0.80259999999999998</v>
      </c>
      <c r="Q329" s="195">
        <f>IFERROR(INDEX('Both teabags AfterWet'!$C$3:$C$841,MATCH(I329,'Both teabags AfterWet'!$A$3:$A$841,0)),"")</f>
        <v>1.4662999999999999</v>
      </c>
      <c r="R329" s="195">
        <f t="shared" si="30"/>
        <v>0.65199999999999991</v>
      </c>
      <c r="S329" s="195">
        <f t="shared" si="30"/>
        <v>1.3156999999999999</v>
      </c>
      <c r="T329" s="195">
        <f t="shared" si="31"/>
        <v>0.65469759559368712</v>
      </c>
      <c r="U329" s="195">
        <f t="shared" si="32"/>
        <v>0.42920792490227477</v>
      </c>
      <c r="V329" s="195">
        <f t="shared" si="33"/>
        <v>0.69606390858110245</v>
      </c>
      <c r="W329">
        <f t="shared" si="28"/>
        <v>55</v>
      </c>
      <c r="X329" s="195">
        <f t="shared" si="34"/>
        <v>0.2224494114089226</v>
      </c>
      <c r="Y329" s="195">
        <f t="shared" si="35"/>
        <v>2.2390098744399255E-2</v>
      </c>
      <c r="Z329" s="255" t="str">
        <f>IF(ISNUMBER(SEARCH("C",'WetLitterbags placem_collection'!W256)),"YES","NO")</f>
        <v>NO</v>
      </c>
      <c r="AA329" s="255" t="str">
        <f>IF(ISNUMBER(SEARCH("H", 'WetLitterbags placem_collection'!Y36)),"YES","NO")</f>
        <v>NO</v>
      </c>
      <c r="AB329" s="255" t="str">
        <f>IF(ISNUMBER(SEARCH("R", 'WetLitterbags placem_collection'!WY36)),"YES","NO")</f>
        <v>NO</v>
      </c>
      <c r="AC329" s="255" t="str">
        <f>IF(ISNUMBER(SEARCH("C", 'WetLitterbags placem_collection'!VX36)),"YES","NO")</f>
        <v>NO</v>
      </c>
      <c r="AD329" s="255" t="str">
        <f>IF(ISNUMBER(SEARCH("H", 'WetLitterbags placem_collection'!X36)),"YES","NO")</f>
        <v>NO</v>
      </c>
      <c r="AE329" s="255" t="str">
        <f>IF(ISNUMBER(SEARCH("R", 'WetLitterbags placem_collection'!X36)),"YES","NO")</f>
        <v>YES</v>
      </c>
    </row>
    <row r="330" spans="2:31">
      <c r="B330" t="str">
        <f>'Final data_for_R_analysis_Wetse'!A476</f>
        <v>Wet</v>
      </c>
      <c r="C330" s="263">
        <f>'Final data_for_R_analysis_Wetse'!B476</f>
        <v>35</v>
      </c>
      <c r="D330" t="s">
        <v>3831</v>
      </c>
      <c r="E330" t="s">
        <v>25</v>
      </c>
      <c r="F330" s="386">
        <v>3</v>
      </c>
      <c r="G330" s="16">
        <f>'WetLitterbags placem_collection'!E37</f>
        <v>42765</v>
      </c>
      <c r="H330" s="92" t="str">
        <f>'Final data_for_R_analysis_Wetse'!J476</f>
        <v>G732</v>
      </c>
      <c r="I330" t="str">
        <f>'Final data_for_R_analysis_Wetse'!J696</f>
        <v>R69</v>
      </c>
      <c r="J330">
        <f>IFERROR(INDEX('Green_rooibos initial weight'!$C$5:$C$1749,MATCH(H330, 'Green_rooibos initial weight'!$A$5:$A$1749,0)),"")</f>
        <v>2.0880000000000001</v>
      </c>
      <c r="K330">
        <f>IFERROR(INDEX('Green_rooibos initial weight'!$C$5:$C$1749,MATCH(I330, 'Green_rooibos initial weight'!$A$5:$A$1749,0)),"")</f>
        <v>2.2149999999999999</v>
      </c>
      <c r="L330" s="195">
        <f t="shared" si="29"/>
        <v>1.8382000000000001</v>
      </c>
      <c r="M330" s="195">
        <f>AVERAGE(Ashed_controlls!$K$2:$K$11)</f>
        <v>5.5147656768714146</v>
      </c>
      <c r="N330" s="195">
        <f t="shared" si="27"/>
        <v>1.9651999999999998</v>
      </c>
      <c r="O330" s="16">
        <f>IF('WetLitterbags placem_collection'!G37="N.A","",'WetLitterbags placem_collection'!G37)</f>
        <v>42820</v>
      </c>
      <c r="P330" s="195">
        <f>IF(IFERROR(INDEX('Both teabags AfterWet'!$C$3:$C$841,MATCH(H330,'Both teabags AfterWet'!$A$3:$A$841,0)),"")="N.A","",(IFERROR(INDEX('Both teabags AfterWet'!$C$3:$C$841,MATCH(H330,'Both teabags AfterWet'!$A$3:$A$841,0)),"")))</f>
        <v>0.71699999999999997</v>
      </c>
      <c r="Q330" s="195">
        <f>IFERROR(INDEX('Both teabags AfterWet'!$C$3:$C$841,MATCH(I330,'Both teabags AfterWet'!$A$3:$A$841,0)),"")</f>
        <v>1.498</v>
      </c>
      <c r="R330" s="195">
        <f t="shared" si="30"/>
        <v>0.56640000000000001</v>
      </c>
      <c r="S330" s="195">
        <f t="shared" si="30"/>
        <v>1.3473999999999999</v>
      </c>
      <c r="T330" s="195">
        <f t="shared" si="31"/>
        <v>0.69187248395169187</v>
      </c>
      <c r="U330" s="195">
        <f t="shared" si="32"/>
        <v>0.45357911061916145</v>
      </c>
      <c r="V330" s="195">
        <f t="shared" si="33"/>
        <v>0.68562996132709142</v>
      </c>
      <c r="W330">
        <f t="shared" si="28"/>
        <v>55</v>
      </c>
      <c r="X330" s="195">
        <f t="shared" si="34"/>
        <v>0.1782987126464467</v>
      </c>
      <c r="Y330" s="195">
        <f t="shared" si="35"/>
        <v>2.1476232384032914E-2</v>
      </c>
      <c r="Z330" s="255" t="str">
        <f>IF(ISNUMBER(SEARCH("C",'WetLitterbags placem_collection'!W257)),"YES","NO")</f>
        <v>NO</v>
      </c>
      <c r="AA330" s="255" t="str">
        <f>IF(ISNUMBER(SEARCH("H", 'WetLitterbags placem_collection'!Y37)),"YES","NO")</f>
        <v>NO</v>
      </c>
      <c r="AB330" s="255" t="str">
        <f>IF(ISNUMBER(SEARCH("R", 'WetLitterbags placem_collection'!WY37)),"YES","NO")</f>
        <v>NO</v>
      </c>
      <c r="AC330" s="255" t="str">
        <f>IF(ISNUMBER(SEARCH("C", 'WetLitterbags placem_collection'!VX37)),"YES","NO")</f>
        <v>NO</v>
      </c>
      <c r="AD330" s="255" t="str">
        <f>IF(ISNUMBER(SEARCH("H", 'WetLitterbags placem_collection'!X37)),"YES","NO")</f>
        <v>NO</v>
      </c>
      <c r="AE330" s="255" t="str">
        <f>IF(ISNUMBER(SEARCH("R", 'WetLitterbags placem_collection'!X37)),"YES","NO")</f>
        <v>YES</v>
      </c>
    </row>
    <row r="331" spans="2:31">
      <c r="B331" t="str">
        <f>'Final data_for_R_analysis_Wetse'!A477</f>
        <v>Wet</v>
      </c>
      <c r="C331" s="263">
        <f>'Final data_for_R_analysis_Wetse'!B477</f>
        <v>36</v>
      </c>
      <c r="D331" t="s">
        <v>3831</v>
      </c>
      <c r="E331" t="s">
        <v>25</v>
      </c>
      <c r="F331" s="387">
        <v>4</v>
      </c>
      <c r="G331" s="16">
        <f>'WetLitterbags placem_collection'!E38</f>
        <v>42765</v>
      </c>
      <c r="H331" s="92" t="str">
        <f>'Final data_for_R_analysis_Wetse'!J477</f>
        <v>G550</v>
      </c>
      <c r="I331" t="str">
        <f>'Final data_for_R_analysis_Wetse'!J697</f>
        <v>R97</v>
      </c>
      <c r="J331">
        <f>IFERROR(INDEX('Green_rooibos initial weight'!$C$5:$C$1749,MATCH(H331, 'Green_rooibos initial weight'!$A$5:$A$1749,0)),"")</f>
        <v>2.097</v>
      </c>
      <c r="K331">
        <f>IFERROR(INDEX('Green_rooibos initial weight'!$C$5:$C$1749,MATCH(I331, 'Green_rooibos initial weight'!$A$5:$A$1749,0)),"")</f>
        <v>2.2959999999999998</v>
      </c>
      <c r="L331" s="195">
        <f t="shared" si="29"/>
        <v>1.8472</v>
      </c>
      <c r="M331" s="195">
        <f>AVERAGE(Ashed_controlls!$K$2:$K$11)</f>
        <v>5.5147656768714146</v>
      </c>
      <c r="N331" s="195">
        <f t="shared" si="27"/>
        <v>2.0461999999999998</v>
      </c>
      <c r="O331" s="16">
        <f>IF('WetLitterbags placem_collection'!G38="N.A","",'WetLitterbags placem_collection'!G38)</f>
        <v>42820</v>
      </c>
      <c r="P331" s="195">
        <f>IF(IFERROR(INDEX('Both teabags AfterWet'!$C$3:$C$841,MATCH(H331,'Both teabags AfterWet'!$A$3:$A$841,0)),"")="N.A","",(IFERROR(INDEX('Both teabags AfterWet'!$C$3:$C$841,MATCH(H331,'Both teabags AfterWet'!$A$3:$A$841,0)),"")))</f>
        <v>0.72199999999999998</v>
      </c>
      <c r="Q331" s="195">
        <f>IFERROR(INDEX('Both teabags AfterWet'!$C$3:$C$841,MATCH(I331,'Both teabags AfterWet'!$A$3:$A$841,0)),"")</f>
        <v>1.671</v>
      </c>
      <c r="R331" s="195">
        <f t="shared" si="30"/>
        <v>0.57139999999999991</v>
      </c>
      <c r="S331" s="195">
        <f t="shared" si="30"/>
        <v>1.5204</v>
      </c>
      <c r="T331" s="195">
        <f t="shared" si="31"/>
        <v>0.69066695539194467</v>
      </c>
      <c r="U331" s="195">
        <f t="shared" si="32"/>
        <v>0.452788787857902</v>
      </c>
      <c r="V331" s="195">
        <f t="shared" si="33"/>
        <v>0.74303587137132254</v>
      </c>
      <c r="W331">
        <f t="shared" si="28"/>
        <v>55</v>
      </c>
      <c r="X331" s="195">
        <f t="shared" si="34"/>
        <v>0.17973045677916311</v>
      </c>
      <c r="Y331" s="195">
        <f t="shared" si="35"/>
        <v>1.5240110940233179E-2</v>
      </c>
      <c r="Z331" s="255" t="str">
        <f>IF(ISNUMBER(SEARCH("C",'WetLitterbags placem_collection'!W258)),"YES","NO")</f>
        <v>NO</v>
      </c>
      <c r="AA331" s="255" t="str">
        <f>IF(ISNUMBER(SEARCH("H", 'WetLitterbags placem_collection'!Y38)),"YES","NO")</f>
        <v>NO</v>
      </c>
      <c r="AB331" s="255" t="str">
        <f>IF(ISNUMBER(SEARCH("R", 'WetLitterbags placem_collection'!WY38)),"YES","NO")</f>
        <v>NO</v>
      </c>
      <c r="AC331" s="255" t="str">
        <f>IF(ISNUMBER(SEARCH("C", 'WetLitterbags placem_collection'!VX38)),"YES","NO")</f>
        <v>NO</v>
      </c>
      <c r="AD331" s="255" t="str">
        <f>IF(ISNUMBER(SEARCH("H", 'WetLitterbags placem_collection'!X38)),"YES","NO")</f>
        <v>NO</v>
      </c>
      <c r="AE331" s="255" t="str">
        <f>IF(ISNUMBER(SEARCH("R", 'WetLitterbags placem_collection'!X38)),"YES","NO")</f>
        <v>YES</v>
      </c>
    </row>
    <row r="332" spans="2:31">
      <c r="B332" t="str">
        <f>'Final data_for_R_analysis_Wetse'!A478</f>
        <v>Wet</v>
      </c>
      <c r="C332" s="263">
        <f>'Final data_for_R_analysis_Wetse'!B478</f>
        <v>37</v>
      </c>
      <c r="D332" t="s">
        <v>3831</v>
      </c>
      <c r="E332" t="s">
        <v>25</v>
      </c>
      <c r="F332" s="387">
        <v>5</v>
      </c>
      <c r="G332" s="16">
        <f>'WetLitterbags placem_collection'!E39</f>
        <v>42765</v>
      </c>
      <c r="H332" s="92" t="str">
        <f>'Final data_for_R_analysis_Wetse'!J478</f>
        <v>G528</v>
      </c>
      <c r="I332" t="str">
        <f>'Final data_for_R_analysis_Wetse'!J698</f>
        <v>R89</v>
      </c>
      <c r="J332">
        <f>IFERROR(INDEX('Green_rooibos initial weight'!$C$5:$C$1749,MATCH(H332, 'Green_rooibos initial weight'!$A$5:$A$1749,0)),"")</f>
        <v>2.14</v>
      </c>
      <c r="K332">
        <f>IFERROR(INDEX('Green_rooibos initial weight'!$C$5:$C$1749,MATCH(I332, 'Green_rooibos initial weight'!$A$5:$A$1749,0)),"")</f>
        <v>2.1949999999999998</v>
      </c>
      <c r="L332" s="195">
        <f t="shared" si="29"/>
        <v>1.8902000000000001</v>
      </c>
      <c r="M332" s="195">
        <f>AVERAGE(Ashed_controlls!$K$2:$K$11)</f>
        <v>5.5147656768714146</v>
      </c>
      <c r="N332" s="195">
        <f t="shared" ref="N332:N395" si="36">IF(K332&gt;0,(K332*$F$32-($F$29+$F$30)),"")</f>
        <v>1.9451999999999998</v>
      </c>
      <c r="O332" s="16">
        <f>IF('WetLitterbags placem_collection'!G39="N.A","",'WetLitterbags placem_collection'!G39)</f>
        <v>42820</v>
      </c>
      <c r="P332" s="195">
        <f>IF(IFERROR(INDEX('Both teabags AfterWet'!$C$3:$C$841,MATCH(H332,'Both teabags AfterWet'!$A$3:$A$841,0)),"")="N.A","",(IFERROR(INDEX('Both teabags AfterWet'!$C$3:$C$841,MATCH(H332,'Both teabags AfterWet'!$A$3:$A$841,0)),"")))</f>
        <v>0.89600000000000002</v>
      </c>
      <c r="Q332" s="195">
        <f>IFERROR(INDEX('Both teabags AfterWet'!$C$3:$C$841,MATCH(I332,'Both teabags AfterWet'!$A$3:$A$841,0)),"")</f>
        <v>1.425</v>
      </c>
      <c r="R332" s="195">
        <f t="shared" si="30"/>
        <v>0.74540000000000006</v>
      </c>
      <c r="S332" s="195">
        <f t="shared" si="30"/>
        <v>1.2744</v>
      </c>
      <c r="T332" s="195">
        <f t="shared" si="31"/>
        <v>0.60565019574648182</v>
      </c>
      <c r="U332" s="195">
        <f t="shared" si="32"/>
        <v>0.39705333497869122</v>
      </c>
      <c r="V332" s="195">
        <f t="shared" si="33"/>
        <v>0.65515114127082053</v>
      </c>
      <c r="W332">
        <f t="shared" ref="W332:W395" si="37">IF((O332-G332)&gt;0,(IFERROR(O332-G332,"")),"")</f>
        <v>55</v>
      </c>
      <c r="X332" s="195">
        <f t="shared" si="34"/>
        <v>0.28070048011106674</v>
      </c>
      <c r="Y332" s="195">
        <f t="shared" si="35"/>
        <v>3.6889134065085948E-2</v>
      </c>
      <c r="Z332" s="255" t="str">
        <f>IF(ISNUMBER(SEARCH("C",'WetLitterbags placem_collection'!W259)),"YES","NO")</f>
        <v>NO</v>
      </c>
      <c r="AA332" s="255" t="str">
        <f>IF(ISNUMBER(SEARCH("H", 'WetLitterbags placem_collection'!Y39)),"YES","NO")</f>
        <v>NO</v>
      </c>
      <c r="AB332" s="255" t="str">
        <f>IF(ISNUMBER(SEARCH("R", 'WetLitterbags placem_collection'!WY39)),"YES","NO")</f>
        <v>NO</v>
      </c>
      <c r="AC332" s="255" t="str">
        <f>IF(ISNUMBER(SEARCH("C", 'WetLitterbags placem_collection'!VX39)),"YES","NO")</f>
        <v>NO</v>
      </c>
      <c r="AD332" s="255" t="str">
        <f>IF(ISNUMBER(SEARCH("H", 'WetLitterbags placem_collection'!X39)),"YES","NO")</f>
        <v>NO</v>
      </c>
      <c r="AE332" s="255" t="str">
        <f>IF(ISNUMBER(SEARCH("R", 'WetLitterbags placem_collection'!X39)),"YES","NO")</f>
        <v>YES</v>
      </c>
    </row>
    <row r="333" spans="2:31">
      <c r="B333" t="str">
        <f>'Final data_for_R_analysis_Wetse'!A479</f>
        <v>Wet</v>
      </c>
      <c r="C333" s="263">
        <f>'Final data_for_R_analysis_Wetse'!B479</f>
        <v>38</v>
      </c>
      <c r="D333" t="s">
        <v>3831</v>
      </c>
      <c r="E333" t="s">
        <v>25</v>
      </c>
      <c r="F333" s="387">
        <v>6</v>
      </c>
      <c r="G333" s="16">
        <f>'WetLitterbags placem_collection'!E40</f>
        <v>42765</v>
      </c>
      <c r="H333" s="92" t="str">
        <f>'Final data_for_R_analysis_Wetse'!J479</f>
        <v>G703</v>
      </c>
      <c r="I333" t="str">
        <f>'Final data_for_R_analysis_Wetse'!J699</f>
        <v>R147</v>
      </c>
      <c r="J333">
        <f>IFERROR(INDEX('Green_rooibos initial weight'!$C$5:$C$1749,MATCH(H333, 'Green_rooibos initial weight'!$A$5:$A$1749,0)),"")</f>
        <v>1.9159999999999999</v>
      </c>
      <c r="K333">
        <f>IFERROR(INDEX('Green_rooibos initial weight'!$C$5:$C$1749,MATCH(I333, 'Green_rooibos initial weight'!$A$5:$A$1749,0)),"")</f>
        <v>2.1960000000000002</v>
      </c>
      <c r="L333" s="195">
        <f t="shared" ref="L333:L396" si="38">IF(J333&gt;0,(J333*$F$31-($F$29+$F$30)),"")</f>
        <v>1.6661999999999999</v>
      </c>
      <c r="M333" s="195">
        <f>AVERAGE(Ashed_controlls!$K$2:$K$11)</f>
        <v>5.5147656768714146</v>
      </c>
      <c r="N333" s="195">
        <f t="shared" si="36"/>
        <v>1.9462000000000002</v>
      </c>
      <c r="O333" s="16">
        <f>IF('WetLitterbags placem_collection'!G40="N.A","",'WetLitterbags placem_collection'!G40)</f>
        <v>42820</v>
      </c>
      <c r="P333" s="195">
        <f>IF(IFERROR(INDEX('Both teabags AfterWet'!$C$3:$C$841,MATCH(H333,'Both teabags AfterWet'!$A$3:$A$841,0)),"")="N.A","",(IFERROR(INDEX('Both teabags AfterWet'!$C$3:$C$841,MATCH(H333,'Both teabags AfterWet'!$A$3:$A$841,0)),"")))</f>
        <v>0.81899999999999995</v>
      </c>
      <c r="Q333" s="195">
        <f>IFERROR(INDEX('Both teabags AfterWet'!$C$3:$C$841,MATCH(I333,'Both teabags AfterWet'!$A$3:$A$841,0)),"")</f>
        <v>1.381</v>
      </c>
      <c r="R333" s="195">
        <f t="shared" ref="R333:S396" si="39">IFERROR(IF(P333&gt;0,P333-($F$29),""),"")</f>
        <v>0.66839999999999988</v>
      </c>
      <c r="S333" s="195">
        <f t="shared" si="39"/>
        <v>1.2303999999999999</v>
      </c>
      <c r="T333" s="195">
        <f t="shared" ref="T333:T396" si="40">IFERROR(1-R333/L333,"")</f>
        <v>0.59884767734965794</v>
      </c>
      <c r="U333" s="195">
        <f t="shared" ref="U333:U396" si="41">IFERROR($F$26*(1-X333),"")</f>
        <v>0.39259372671854065</v>
      </c>
      <c r="V333" s="195">
        <f t="shared" ref="V333:V396" si="42">IFERROR(S333/N333,"")</f>
        <v>0.63220635083752952</v>
      </c>
      <c r="W333">
        <f t="shared" si="37"/>
        <v>55</v>
      </c>
      <c r="X333" s="195">
        <f t="shared" ref="X333:X396" si="43">IFERROR(1-(T333/$F$25),"")</f>
        <v>0.28877948058235392</v>
      </c>
      <c r="Y333" s="195">
        <f t="shared" ref="Y333:Y396" si="44">IFERROR(LN(U333/(V333-(1-U333)))/W333,"")</f>
        <v>5.0216882226838067E-2</v>
      </c>
      <c r="Z333" s="255" t="str">
        <f>IF(ISNUMBER(SEARCH("C",'WetLitterbags placem_collection'!W260)),"YES","NO")</f>
        <v>NO</v>
      </c>
      <c r="AA333" s="255" t="str">
        <f>IF(ISNUMBER(SEARCH("H", 'WetLitterbags placem_collection'!Y40)),"YES","NO")</f>
        <v>NO</v>
      </c>
      <c r="AB333" s="255" t="str">
        <f>IF(ISNUMBER(SEARCH("R", 'WetLitterbags placem_collection'!WY40)),"YES","NO")</f>
        <v>NO</v>
      </c>
      <c r="AC333" s="255" t="str">
        <f>IF(ISNUMBER(SEARCH("C", 'WetLitterbags placem_collection'!VX40)),"YES","NO")</f>
        <v>NO</v>
      </c>
      <c r="AD333" s="255" t="str">
        <f>IF(ISNUMBER(SEARCH("H", 'WetLitterbags placem_collection'!X40)),"YES","NO")</f>
        <v>NO</v>
      </c>
      <c r="AE333" s="255" t="str">
        <f>IF(ISNUMBER(SEARCH("R", 'WetLitterbags placem_collection'!X40)),"YES","NO")</f>
        <v>YES</v>
      </c>
    </row>
    <row r="334" spans="2:31">
      <c r="B334" t="str">
        <f>'Final data_for_R_analysis_Wetse'!A480</f>
        <v>Wet</v>
      </c>
      <c r="C334" s="263">
        <f>'Final data_for_R_analysis_Wetse'!B480</f>
        <v>39</v>
      </c>
      <c r="D334" t="s">
        <v>3831</v>
      </c>
      <c r="E334" t="s">
        <v>25</v>
      </c>
      <c r="F334" s="387">
        <v>7</v>
      </c>
      <c r="G334" s="16">
        <f>'WetLitterbags placem_collection'!E41</f>
        <v>42765</v>
      </c>
      <c r="H334" s="92" t="str">
        <f>'Final data_for_R_analysis_Wetse'!J480</f>
        <v>G566</v>
      </c>
      <c r="I334" t="str">
        <f>'Final data_for_R_analysis_Wetse'!J700</f>
        <v>R65</v>
      </c>
      <c r="J334">
        <f>IFERROR(INDEX('Green_rooibos initial weight'!$C$5:$C$1749,MATCH(H334, 'Green_rooibos initial weight'!$A$5:$A$1749,0)),"")</f>
        <v>2.0449999999999999</v>
      </c>
      <c r="K334">
        <f>IFERROR(INDEX('Green_rooibos initial weight'!$C$5:$C$1749,MATCH(I334, 'Green_rooibos initial weight'!$A$5:$A$1749,0)),"")</f>
        <v>2.2559999999999998</v>
      </c>
      <c r="L334" s="195">
        <f t="shared" si="38"/>
        <v>1.7951999999999999</v>
      </c>
      <c r="M334" s="195">
        <f>AVERAGE(Ashed_controlls!$K$2:$K$11)</f>
        <v>5.5147656768714146</v>
      </c>
      <c r="N334" s="195">
        <f t="shared" si="36"/>
        <v>2.0061999999999998</v>
      </c>
      <c r="O334" s="16">
        <f>IF('WetLitterbags placem_collection'!G41="N.A","",'WetLitterbags placem_collection'!G41)</f>
        <v>42820</v>
      </c>
      <c r="P334" s="195">
        <f>IF(IFERROR(INDEX('Both teabags AfterWet'!$C$3:$C$841,MATCH(H334,'Both teabags AfterWet'!$A$3:$A$841,0)),"")="N.A","",(IFERROR(INDEX('Both teabags AfterWet'!$C$3:$C$841,MATCH(H334,'Both teabags AfterWet'!$A$3:$A$841,0)),"")))</f>
        <v>0.78520000000000001</v>
      </c>
      <c r="Q334" s="195">
        <f>IFERROR(INDEX('Both teabags AfterWet'!$C$3:$C$841,MATCH(I334,'Both teabags AfterWet'!$A$3:$A$841,0)),"")</f>
        <v>1.5185</v>
      </c>
      <c r="R334" s="195">
        <f t="shared" si="39"/>
        <v>0.63460000000000005</v>
      </c>
      <c r="S334" s="195">
        <f t="shared" si="39"/>
        <v>1.3678999999999999</v>
      </c>
      <c r="T334" s="195">
        <f t="shared" si="40"/>
        <v>0.64650178253119428</v>
      </c>
      <c r="U334" s="195">
        <f t="shared" si="41"/>
        <v>0.42383489781142436</v>
      </c>
      <c r="V334" s="195">
        <f t="shared" si="42"/>
        <v>0.68183630744691459</v>
      </c>
      <c r="W334">
        <f t="shared" si="37"/>
        <v>55</v>
      </c>
      <c r="X334" s="195">
        <f t="shared" si="43"/>
        <v>0.23218315613872409</v>
      </c>
      <c r="Y334" s="195">
        <f t="shared" si="44"/>
        <v>2.5254755476120237E-2</v>
      </c>
      <c r="Z334" s="255" t="str">
        <f>IF(ISNUMBER(SEARCH("C",'WetLitterbags placem_collection'!W261)),"YES","NO")</f>
        <v>NO</v>
      </c>
      <c r="AA334" s="255" t="str">
        <f>IF(ISNUMBER(SEARCH("H", 'WetLitterbags placem_collection'!Y41)),"YES","NO")</f>
        <v>NO</v>
      </c>
      <c r="AB334" s="255" t="str">
        <f>IF(ISNUMBER(SEARCH("R", 'WetLitterbags placem_collection'!WY41)),"YES","NO")</f>
        <v>NO</v>
      </c>
      <c r="AC334" s="255" t="str">
        <f>IF(ISNUMBER(SEARCH("C", 'WetLitterbags placem_collection'!VX41)),"YES","NO")</f>
        <v>NO</v>
      </c>
      <c r="AD334" s="255" t="str">
        <f>IF(ISNUMBER(SEARCH("H", 'WetLitterbags placem_collection'!X41)),"YES","NO")</f>
        <v>NO</v>
      </c>
      <c r="AE334" s="255" t="str">
        <f>IF(ISNUMBER(SEARCH("R", 'WetLitterbags placem_collection'!X41)),"YES","NO")</f>
        <v>YES</v>
      </c>
    </row>
    <row r="335" spans="2:31">
      <c r="B335" t="str">
        <f>'Final data_for_R_analysis_Wetse'!A481</f>
        <v>Wet</v>
      </c>
      <c r="C335" s="263">
        <f>'Final data_for_R_analysis_Wetse'!B481</f>
        <v>40</v>
      </c>
      <c r="D335" t="s">
        <v>3831</v>
      </c>
      <c r="E335" t="s">
        <v>25</v>
      </c>
      <c r="F335" s="387">
        <v>8</v>
      </c>
      <c r="G335" s="16">
        <f>'WetLitterbags placem_collection'!E42</f>
        <v>42765</v>
      </c>
      <c r="H335" s="92" t="str">
        <f>'Final data_for_R_analysis_Wetse'!J481</f>
        <v>G619</v>
      </c>
      <c r="I335" t="str">
        <f>'Final data_for_R_analysis_Wetse'!J701</f>
        <v>R420</v>
      </c>
      <c r="J335">
        <f>IFERROR(INDEX('Green_rooibos initial weight'!$C$5:$C$1749,MATCH(H335, 'Green_rooibos initial weight'!$A$5:$A$1749,0)),"")</f>
        <v>2.036</v>
      </c>
      <c r="K335">
        <f>IFERROR(INDEX('Green_rooibos initial weight'!$C$5:$C$1749,MATCH(I335, 'Green_rooibos initial weight'!$A$5:$A$1749,0)),"")</f>
        <v>2.2749999999999999</v>
      </c>
      <c r="L335" s="195">
        <f t="shared" si="38"/>
        <v>1.7862</v>
      </c>
      <c r="M335" s="195">
        <f>AVERAGE(Ashed_controlls!$K$2:$K$11)</f>
        <v>5.5147656768714146</v>
      </c>
      <c r="N335" s="195">
        <f t="shared" si="36"/>
        <v>2.0251999999999999</v>
      </c>
      <c r="O335" s="16">
        <f>IF('WetLitterbags placem_collection'!G42="N.A","",'WetLitterbags placem_collection'!G42)</f>
        <v>42820</v>
      </c>
      <c r="P335" s="195">
        <f>IF(IFERROR(INDEX('Both teabags AfterWet'!$C$3:$C$841,MATCH(H335,'Both teabags AfterWet'!$A$3:$A$841,0)),"")="N.A","",(IFERROR(INDEX('Both teabags AfterWet'!$C$3:$C$841,MATCH(H335,'Both teabags AfterWet'!$A$3:$A$841,0)),"")))</f>
        <v>0.70599999999999996</v>
      </c>
      <c r="Q335" s="195">
        <f>IFERROR(INDEX('Both teabags AfterWet'!$C$3:$C$841,MATCH(I335,'Both teabags AfterWet'!$A$3:$A$841,0)),"")</f>
        <v>1.66</v>
      </c>
      <c r="R335" s="195">
        <f t="shared" si="39"/>
        <v>0.55539999999999989</v>
      </c>
      <c r="S335" s="195">
        <f t="shared" si="39"/>
        <v>1.5093999999999999</v>
      </c>
      <c r="T335" s="195">
        <f t="shared" si="40"/>
        <v>0.68906057552345767</v>
      </c>
      <c r="U335" s="195">
        <f t="shared" si="41"/>
        <v>0.4517356742149034</v>
      </c>
      <c r="V335" s="195">
        <f t="shared" si="42"/>
        <v>0.74530910527355321</v>
      </c>
      <c r="W335">
        <f t="shared" si="37"/>
        <v>55</v>
      </c>
      <c r="X335" s="195">
        <f t="shared" si="43"/>
        <v>0.1816382713498127</v>
      </c>
      <c r="Y335" s="195">
        <f t="shared" si="44"/>
        <v>1.5084840131988145E-2</v>
      </c>
      <c r="Z335" s="255" t="str">
        <f>IF(ISNUMBER(SEARCH("C",'WetLitterbags placem_collection'!W262)),"YES","NO")</f>
        <v>NO</v>
      </c>
      <c r="AA335" s="255" t="str">
        <f>IF(ISNUMBER(SEARCH("H", 'WetLitterbags placem_collection'!Y42)),"YES","NO")</f>
        <v>NO</v>
      </c>
      <c r="AB335" s="255" t="str">
        <f>IF(ISNUMBER(SEARCH("R", 'WetLitterbags placem_collection'!WY42)),"YES","NO")</f>
        <v>NO</v>
      </c>
      <c r="AC335" s="255" t="str">
        <f>IF(ISNUMBER(SEARCH("C", 'WetLitterbags placem_collection'!VX42)),"YES","NO")</f>
        <v>NO</v>
      </c>
      <c r="AD335" s="255" t="str">
        <f>IF(ISNUMBER(SEARCH("H", 'WetLitterbags placem_collection'!X42)),"YES","NO")</f>
        <v>NO</v>
      </c>
      <c r="AE335" s="255" t="str">
        <f>IF(ISNUMBER(SEARCH("R", 'WetLitterbags placem_collection'!X42)),"YES","NO")</f>
        <v>YES</v>
      </c>
    </row>
    <row r="336" spans="2:31">
      <c r="B336" t="str">
        <f>'Final data_for_R_analysis_Wetse'!A482</f>
        <v>Wet</v>
      </c>
      <c r="C336" s="263">
        <f>'Final data_for_R_analysis_Wetse'!B482</f>
        <v>41</v>
      </c>
      <c r="D336" t="s">
        <v>3833</v>
      </c>
      <c r="E336" t="s">
        <v>25</v>
      </c>
      <c r="F336" s="386">
        <v>1</v>
      </c>
      <c r="G336" s="16">
        <f>'WetLitterbags placem_collection'!E43</f>
        <v>42766</v>
      </c>
      <c r="H336" s="92" t="str">
        <f>'Final data_for_R_analysis_Wetse'!J482</f>
        <v>G626</v>
      </c>
      <c r="I336" t="str">
        <f>'Final data_for_R_analysis_Wetse'!J702</f>
        <v>R77</v>
      </c>
      <c r="J336">
        <f>IFERROR(INDEX('Green_rooibos initial weight'!$C$5:$C$1749,MATCH(H336, 'Green_rooibos initial weight'!$A$5:$A$1749,0)),"")</f>
        <v>2.1179999999999999</v>
      </c>
      <c r="K336">
        <f>IFERROR(INDEX('Green_rooibos initial weight'!$C$5:$C$1749,MATCH(I336, 'Green_rooibos initial weight'!$A$5:$A$1749,0)),"")</f>
        <v>2.1749999999999998</v>
      </c>
      <c r="L336" s="195">
        <f t="shared" si="38"/>
        <v>1.8681999999999999</v>
      </c>
      <c r="M336" s="195">
        <f>AVERAGE(Ashed_controlls!$K$2:$K$11)</f>
        <v>5.5147656768714146</v>
      </c>
      <c r="N336" s="195">
        <f t="shared" si="36"/>
        <v>1.9251999999999998</v>
      </c>
      <c r="O336" s="16">
        <f>IF('WetLitterbags placem_collection'!G43="N.A","",'WetLitterbags placem_collection'!G43)</f>
        <v>42820</v>
      </c>
      <c r="P336" s="195" t="str">
        <f>IF(IFERROR(INDEX('Both teabags AfterWet'!$C$3:$C$841,MATCH(H336,'Both teabags AfterWet'!$A$3:$A$841,0)),"")="N.A","",(IFERROR(INDEX('Both teabags AfterWet'!$C$3:$C$841,MATCH(H336,'Both teabags AfterWet'!$A$3:$A$841,0)),"")))</f>
        <v/>
      </c>
      <c r="Q336" s="195">
        <f>IFERROR(INDEX('Both teabags AfterWet'!$C$3:$C$841,MATCH(I336,'Both teabags AfterWet'!$A$3:$A$841,0)),"")</f>
        <v>1.5429999999999999</v>
      </c>
      <c r="R336" s="195" t="str">
        <f t="shared" si="39"/>
        <v/>
      </c>
      <c r="S336" s="195">
        <f t="shared" si="39"/>
        <v>1.3923999999999999</v>
      </c>
      <c r="T336" s="195" t="str">
        <f t="shared" si="40"/>
        <v/>
      </c>
      <c r="U336" s="195" t="str">
        <f t="shared" si="41"/>
        <v/>
      </c>
      <c r="V336" s="195">
        <f t="shared" si="42"/>
        <v>0.72324953251610224</v>
      </c>
      <c r="W336">
        <f t="shared" si="37"/>
        <v>54</v>
      </c>
      <c r="X336" s="195" t="str">
        <f t="shared" si="43"/>
        <v/>
      </c>
      <c r="Y336" s="195" t="str">
        <f t="shared" si="44"/>
        <v/>
      </c>
      <c r="Z336" s="255" t="str">
        <f>IF(ISNUMBER(SEARCH("C",'WetLitterbags placem_collection'!W263)),"YES","NO")</f>
        <v>NO</v>
      </c>
      <c r="AA336" s="255" t="str">
        <f>IF(ISNUMBER(SEARCH("H", 'WetLitterbags placem_collection'!Y43)),"YES","NO")</f>
        <v>NO</v>
      </c>
      <c r="AB336" s="255" t="str">
        <f>IF(ISNUMBER(SEARCH("R", 'WetLitterbags placem_collection'!WY43)),"YES","NO")</f>
        <v>NO</v>
      </c>
      <c r="AC336" s="255" t="str">
        <f>IF(ISNUMBER(SEARCH("C", 'WetLitterbags placem_collection'!VX43)),"YES","NO")</f>
        <v>NO</v>
      </c>
      <c r="AD336" s="255" t="str">
        <f>IF(ISNUMBER(SEARCH("H", 'WetLitterbags placem_collection'!X43)),"YES","NO")</f>
        <v>NO</v>
      </c>
      <c r="AE336" s="255" t="str">
        <f>IF(ISNUMBER(SEARCH("R", 'WetLitterbags placem_collection'!X43)),"YES","NO")</f>
        <v>YES</v>
      </c>
    </row>
    <row r="337" spans="2:31">
      <c r="B337" t="str">
        <f>'Final data_for_R_analysis_Wetse'!A483</f>
        <v>Wet</v>
      </c>
      <c r="C337" s="263">
        <f>'Final data_for_R_analysis_Wetse'!B483</f>
        <v>42</v>
      </c>
      <c r="D337" t="s">
        <v>3833</v>
      </c>
      <c r="E337" t="s">
        <v>25</v>
      </c>
      <c r="F337" s="386">
        <v>2</v>
      </c>
      <c r="G337" s="16">
        <f>'WetLitterbags placem_collection'!E44</f>
        <v>42766</v>
      </c>
      <c r="H337" s="92" t="str">
        <f>'Final data_for_R_analysis_Wetse'!J483</f>
        <v>G437</v>
      </c>
      <c r="I337" t="str">
        <f>'Final data_for_R_analysis_Wetse'!J703</f>
        <v>R81</v>
      </c>
      <c r="J337">
        <f>IFERROR(INDEX('Green_rooibos initial weight'!$C$5:$C$1749,MATCH(H337, 'Green_rooibos initial weight'!$A$5:$A$1749,0)),"")</f>
        <v>2.1230000000000002</v>
      </c>
      <c r="K337">
        <f>IFERROR(INDEX('Green_rooibos initial weight'!$C$5:$C$1749,MATCH(I337, 'Green_rooibos initial weight'!$A$5:$A$1749,0)),"")</f>
        <v>2.004</v>
      </c>
      <c r="L337" s="195">
        <f t="shared" si="38"/>
        <v>1.8732000000000002</v>
      </c>
      <c r="M337" s="195">
        <f>AVERAGE(Ashed_controlls!$K$2:$K$11)</f>
        <v>5.5147656768714146</v>
      </c>
      <c r="N337" s="195">
        <f t="shared" si="36"/>
        <v>1.7542</v>
      </c>
      <c r="O337" s="16">
        <f>IF('WetLitterbags placem_collection'!G44="N.A","",'WetLitterbags placem_collection'!G44)</f>
        <v>42820</v>
      </c>
      <c r="P337" s="195">
        <f>IF(IFERROR(INDEX('Both teabags AfterWet'!$C$3:$C$841,MATCH(H337,'Both teabags AfterWet'!$A$3:$A$841,0)),"")="N.A","",(IFERROR(INDEX('Both teabags AfterWet'!$C$3:$C$841,MATCH(H337,'Both teabags AfterWet'!$A$3:$A$841,0)),"")))</f>
        <v>0.64</v>
      </c>
      <c r="Q337" s="195">
        <f>IFERROR(INDEX('Both teabags AfterWet'!$C$3:$C$841,MATCH(I337,'Both teabags AfterWet'!$A$3:$A$841,0)),"")</f>
        <v>1.528</v>
      </c>
      <c r="R337" s="195">
        <f t="shared" si="39"/>
        <v>0.4894</v>
      </c>
      <c r="S337" s="195">
        <f t="shared" si="39"/>
        <v>1.3774</v>
      </c>
      <c r="T337" s="195">
        <f t="shared" si="40"/>
        <v>0.73873585308562895</v>
      </c>
      <c r="U337" s="195">
        <f t="shared" si="41"/>
        <v>0.48430188943380909</v>
      </c>
      <c r="V337" s="195">
        <f t="shared" si="42"/>
        <v>0.785201231330521</v>
      </c>
      <c r="W337">
        <f t="shared" si="37"/>
        <v>54</v>
      </c>
      <c r="X337" s="195">
        <f t="shared" si="43"/>
        <v>0.12264150464889667</v>
      </c>
      <c r="Y337" s="195">
        <f t="shared" si="44"/>
        <v>1.0854231123327503E-2</v>
      </c>
      <c r="Z337" s="255" t="str">
        <f>IF(ISNUMBER(SEARCH("C",'WetLitterbags placem_collection'!W264)),"YES","NO")</f>
        <v>NO</v>
      </c>
      <c r="AA337" s="255" t="str">
        <f>IF(ISNUMBER(SEARCH("H", 'WetLitterbags placem_collection'!Y44)),"YES","NO")</f>
        <v>NO</v>
      </c>
      <c r="AB337" s="255" t="str">
        <f>IF(ISNUMBER(SEARCH("R", 'WetLitterbags placem_collection'!WY44)),"YES","NO")</f>
        <v>NO</v>
      </c>
      <c r="AC337" s="255" t="str">
        <f>IF(ISNUMBER(SEARCH("C", 'WetLitterbags placem_collection'!VX44)),"YES","NO")</f>
        <v>NO</v>
      </c>
      <c r="AD337" s="255" t="str">
        <f>IF(ISNUMBER(SEARCH("H", 'WetLitterbags placem_collection'!X44)),"YES","NO")</f>
        <v>NO</v>
      </c>
      <c r="AE337" s="255" t="str">
        <f>IF(ISNUMBER(SEARCH("R", 'WetLitterbags placem_collection'!X44)),"YES","NO")</f>
        <v>NO</v>
      </c>
    </row>
    <row r="338" spans="2:31">
      <c r="B338" t="str">
        <f>'Final data_for_R_analysis_Wetse'!A484</f>
        <v>Wet</v>
      </c>
      <c r="C338" s="263">
        <f>'Final data_for_R_analysis_Wetse'!B484</f>
        <v>43</v>
      </c>
      <c r="D338" t="s">
        <v>3833</v>
      </c>
      <c r="E338" t="s">
        <v>25</v>
      </c>
      <c r="F338" s="386">
        <v>3</v>
      </c>
      <c r="G338" s="16">
        <f>'WetLitterbags placem_collection'!E45</f>
        <v>42766</v>
      </c>
      <c r="H338" s="92" t="str">
        <f>'Final data_for_R_analysis_Wetse'!J484</f>
        <v>G643</v>
      </c>
      <c r="I338" t="str">
        <f>'Final data_for_R_analysis_Wetse'!J704</f>
        <v>R117</v>
      </c>
      <c r="J338">
        <f>IFERROR(INDEX('Green_rooibos initial weight'!$C$5:$C$1749,MATCH(H338, 'Green_rooibos initial weight'!$A$5:$A$1749,0)),"")</f>
        <v>2.0510000000000002</v>
      </c>
      <c r="K338">
        <f>IFERROR(INDEX('Green_rooibos initial weight'!$C$5:$C$1749,MATCH(I338, 'Green_rooibos initial weight'!$A$5:$A$1749,0)),"")</f>
        <v>2.2029999999999998</v>
      </c>
      <c r="L338" s="195">
        <f t="shared" si="38"/>
        <v>1.8012000000000001</v>
      </c>
      <c r="M338" s="195">
        <f>AVERAGE(Ashed_controlls!$K$2:$K$11)</f>
        <v>5.5147656768714146</v>
      </c>
      <c r="N338" s="195">
        <f t="shared" si="36"/>
        <v>1.9531999999999998</v>
      </c>
      <c r="O338" s="16">
        <f>IF('WetLitterbags placem_collection'!G45="N.A","",'WetLitterbags placem_collection'!G45)</f>
        <v>42820</v>
      </c>
      <c r="P338" s="195">
        <f>IF(IFERROR(INDEX('Both teabags AfterWet'!$C$3:$C$841,MATCH(H338,'Both teabags AfterWet'!$A$3:$A$841,0)),"")="N.A","",(IFERROR(INDEX('Both teabags AfterWet'!$C$3:$C$841,MATCH(H338,'Both teabags AfterWet'!$A$3:$A$841,0)),"")))</f>
        <v>0.74509999999999998</v>
      </c>
      <c r="Q338" s="195">
        <f>IFERROR(INDEX('Both teabags AfterWet'!$C$3:$C$841,MATCH(I338,'Both teabags AfterWet'!$A$3:$A$841,0)),"")</f>
        <v>1.6155999999999999</v>
      </c>
      <c r="R338" s="195">
        <f t="shared" si="39"/>
        <v>0.59450000000000003</v>
      </c>
      <c r="S338" s="195">
        <f t="shared" si="39"/>
        <v>1.4649999999999999</v>
      </c>
      <c r="T338" s="195">
        <f t="shared" si="40"/>
        <v>0.6699422607150789</v>
      </c>
      <c r="U338" s="195">
        <f t="shared" si="41"/>
        <v>0.43920205215525371</v>
      </c>
      <c r="V338" s="195">
        <f t="shared" si="42"/>
        <v>0.75005119803399545</v>
      </c>
      <c r="W338">
        <f t="shared" si="37"/>
        <v>54</v>
      </c>
      <c r="X338" s="195">
        <f t="shared" si="43"/>
        <v>0.20434410841439554</v>
      </c>
      <c r="Y338" s="195">
        <f t="shared" si="44"/>
        <v>1.5590249934211918E-2</v>
      </c>
      <c r="Z338" s="255" t="str">
        <f>IF(ISNUMBER(SEARCH("C",'WetLitterbags placem_collection'!W265)),"YES","NO")</f>
        <v>NO</v>
      </c>
      <c r="AA338" s="255" t="str">
        <f>IF(ISNUMBER(SEARCH("H", 'WetLitterbags placem_collection'!Y45)),"YES","NO")</f>
        <v>NO</v>
      </c>
      <c r="AB338" s="255" t="str">
        <f>IF(ISNUMBER(SEARCH("R", 'WetLitterbags placem_collection'!WY45)),"YES","NO")</f>
        <v>NO</v>
      </c>
      <c r="AC338" s="255" t="str">
        <f>IF(ISNUMBER(SEARCH("C", 'WetLitterbags placem_collection'!VX45)),"YES","NO")</f>
        <v>NO</v>
      </c>
      <c r="AD338" s="255" t="str">
        <f>IF(ISNUMBER(SEARCH("H", 'WetLitterbags placem_collection'!X45)),"YES","NO")</f>
        <v>NO</v>
      </c>
      <c r="AE338" s="255" t="str">
        <f>IF(ISNUMBER(SEARCH("R", 'WetLitterbags placem_collection'!X45)),"YES","NO")</f>
        <v>YES</v>
      </c>
    </row>
    <row r="339" spans="2:31">
      <c r="B339" t="str">
        <f>'Final data_for_R_analysis_Wetse'!A485</f>
        <v>Wet</v>
      </c>
      <c r="C339" s="263">
        <f>'Final data_for_R_analysis_Wetse'!B485</f>
        <v>44</v>
      </c>
      <c r="D339" t="s">
        <v>3833</v>
      </c>
      <c r="E339" t="s">
        <v>25</v>
      </c>
      <c r="F339" s="387">
        <v>4</v>
      </c>
      <c r="G339" s="16">
        <f>'WetLitterbags placem_collection'!E46</f>
        <v>42766</v>
      </c>
      <c r="H339" s="92" t="str">
        <f>'Final data_for_R_analysis_Wetse'!J485</f>
        <v>G283</v>
      </c>
      <c r="I339" t="str">
        <f>'Final data_for_R_analysis_Wetse'!J705</f>
        <v>R6</v>
      </c>
      <c r="J339">
        <f>IFERROR(INDEX('Green_rooibos initial weight'!$C$5:$C$1749,MATCH(H339, 'Green_rooibos initial weight'!$A$5:$A$1749,0)),"")</f>
        <v>1.8660000000000001</v>
      </c>
      <c r="K339">
        <f>IFERROR(INDEX('Green_rooibos initial weight'!$C$5:$C$1749,MATCH(I339, 'Green_rooibos initial weight'!$A$5:$A$1749,0)),"")</f>
        <v>2.226</v>
      </c>
      <c r="L339" s="195">
        <f t="shared" si="38"/>
        <v>1.6162000000000001</v>
      </c>
      <c r="M339" s="195">
        <f>AVERAGE(Ashed_controlls!$K$2:$K$11)</f>
        <v>5.5147656768714146</v>
      </c>
      <c r="N339" s="195">
        <f t="shared" si="36"/>
        <v>1.9762</v>
      </c>
      <c r="O339" s="16">
        <f>IF('WetLitterbags placem_collection'!G46="N.A","",'WetLitterbags placem_collection'!G46)</f>
        <v>42820</v>
      </c>
      <c r="P339" s="195">
        <f>IF(IFERROR(INDEX('Both teabags AfterWet'!$C$3:$C$841,MATCH(H339,'Both teabags AfterWet'!$A$3:$A$841,0)),"")="N.A","",(IFERROR(INDEX('Both teabags AfterWet'!$C$3:$C$841,MATCH(H339,'Both teabags AfterWet'!$A$3:$A$841,0)),"")))</f>
        <v>0.80830000000000002</v>
      </c>
      <c r="Q339" s="195">
        <f>IFERROR(INDEX('Both teabags AfterWet'!$C$3:$C$841,MATCH(I339,'Both teabags AfterWet'!$A$3:$A$841,0)),"")</f>
        <v>1.5294000000000001</v>
      </c>
      <c r="R339" s="195">
        <f t="shared" si="39"/>
        <v>0.65769999999999995</v>
      </c>
      <c r="S339" s="195">
        <f t="shared" si="39"/>
        <v>1.3788</v>
      </c>
      <c r="T339" s="195">
        <f t="shared" si="40"/>
        <v>0.59305778987749047</v>
      </c>
      <c r="U339" s="195">
        <f t="shared" si="41"/>
        <v>0.3887979810123216</v>
      </c>
      <c r="V339" s="195">
        <f t="shared" si="42"/>
        <v>0.6977026616739197</v>
      </c>
      <c r="W339">
        <f t="shared" si="37"/>
        <v>54</v>
      </c>
      <c r="X339" s="195">
        <f t="shared" si="43"/>
        <v>0.29565583149941743</v>
      </c>
      <c r="Y339" s="195">
        <f t="shared" si="44"/>
        <v>2.783163029433855E-2</v>
      </c>
      <c r="Z339" s="255" t="str">
        <f>IF(ISNUMBER(SEARCH("C",'WetLitterbags placem_collection'!W266)),"YES","NO")</f>
        <v>NO</v>
      </c>
      <c r="AA339" s="255" t="str">
        <f>IF(ISNUMBER(SEARCH("H", 'WetLitterbags placem_collection'!Y46)),"YES","NO")</f>
        <v>NO</v>
      </c>
      <c r="AB339" s="255" t="str">
        <f>IF(ISNUMBER(SEARCH("R", 'WetLitterbags placem_collection'!WY46)),"YES","NO")</f>
        <v>NO</v>
      </c>
      <c r="AC339" s="255" t="str">
        <f>IF(ISNUMBER(SEARCH("C", 'WetLitterbags placem_collection'!VX46)),"YES","NO")</f>
        <v>NO</v>
      </c>
      <c r="AD339" s="255" t="str">
        <f>IF(ISNUMBER(SEARCH("H", 'WetLitterbags placem_collection'!X46)),"YES","NO")</f>
        <v>NO</v>
      </c>
      <c r="AE339" s="255" t="str">
        <f>IF(ISNUMBER(SEARCH("R", 'WetLitterbags placem_collection'!X46)),"YES","NO")</f>
        <v>YES</v>
      </c>
    </row>
    <row r="340" spans="2:31">
      <c r="B340" t="str">
        <f>'Final data_for_R_analysis_Wetse'!A486</f>
        <v>Wet</v>
      </c>
      <c r="C340" s="263">
        <f>'Final data_for_R_analysis_Wetse'!B486</f>
        <v>45</v>
      </c>
      <c r="D340" t="s">
        <v>3833</v>
      </c>
      <c r="E340" t="s">
        <v>25</v>
      </c>
      <c r="F340" s="387">
        <v>5</v>
      </c>
      <c r="G340" s="16">
        <f>'WetLitterbags placem_collection'!E47</f>
        <v>42766</v>
      </c>
      <c r="H340" s="92" t="str">
        <f>'Final data_for_R_analysis_Wetse'!J486</f>
        <v>G602</v>
      </c>
      <c r="I340" t="str">
        <f>'Final data_for_R_analysis_Wetse'!J706</f>
        <v>R74</v>
      </c>
      <c r="J340">
        <f>IFERROR(INDEX('Green_rooibos initial weight'!$C$5:$C$1749,MATCH(H340, 'Green_rooibos initial weight'!$A$5:$A$1749,0)),"")</f>
        <v>2.1030000000000002</v>
      </c>
      <c r="K340">
        <f>IFERROR(INDEX('Green_rooibos initial weight'!$C$5:$C$1749,MATCH(I340, 'Green_rooibos initial weight'!$A$5:$A$1749,0)),"")</f>
        <v>2.3340000000000001</v>
      </c>
      <c r="L340" s="195">
        <f t="shared" si="38"/>
        <v>1.8532000000000002</v>
      </c>
      <c r="M340" s="195">
        <f>AVERAGE(Ashed_controlls!$K$2:$K$11)</f>
        <v>5.5147656768714146</v>
      </c>
      <c r="N340" s="195">
        <f t="shared" si="36"/>
        <v>2.0842000000000001</v>
      </c>
      <c r="O340" s="16">
        <f>IF('WetLitterbags placem_collection'!G47="N.A","",'WetLitterbags placem_collection'!G47)</f>
        <v>42820</v>
      </c>
      <c r="P340" s="195">
        <f>IF(IFERROR(INDEX('Both teabags AfterWet'!$C$3:$C$841,MATCH(H340,'Both teabags AfterWet'!$A$3:$A$841,0)),"")="N.A","",(IFERROR(INDEX('Both teabags AfterWet'!$C$3:$C$841,MATCH(H340,'Both teabags AfterWet'!$A$3:$A$841,0)),"")))</f>
        <v>0.77400000000000002</v>
      </c>
      <c r="Q340" s="195">
        <f>IFERROR(INDEX('Both teabags AfterWet'!$C$3:$C$841,MATCH(I340,'Both teabags AfterWet'!$A$3:$A$841,0)),"")</f>
        <v>1.5923</v>
      </c>
      <c r="R340" s="195">
        <f t="shared" si="39"/>
        <v>0.62339999999999995</v>
      </c>
      <c r="S340" s="195">
        <f t="shared" si="39"/>
        <v>1.4417</v>
      </c>
      <c r="T340" s="195">
        <f t="shared" si="40"/>
        <v>0.66360889272609547</v>
      </c>
      <c r="U340" s="195">
        <f t="shared" si="41"/>
        <v>0.43505001043325975</v>
      </c>
      <c r="V340" s="195">
        <f t="shared" si="42"/>
        <v>0.69172824105172248</v>
      </c>
      <c r="W340">
        <f t="shared" si="37"/>
        <v>54</v>
      </c>
      <c r="X340" s="195">
        <f t="shared" si="43"/>
        <v>0.21186592312815267</v>
      </c>
      <c r="Y340" s="195">
        <f t="shared" si="44"/>
        <v>2.2833731147385787E-2</v>
      </c>
      <c r="Z340" s="255" t="str">
        <f>IF(ISNUMBER(SEARCH("C",'WetLitterbags placem_collection'!W267)),"YES","NO")</f>
        <v>NO</v>
      </c>
      <c r="AA340" s="255" t="str">
        <f>IF(ISNUMBER(SEARCH("H", 'WetLitterbags placem_collection'!Y47)),"YES","NO")</f>
        <v>NO</v>
      </c>
      <c r="AB340" s="255" t="str">
        <f>IF(ISNUMBER(SEARCH("R", 'WetLitterbags placem_collection'!WY47)),"YES","NO")</f>
        <v>NO</v>
      </c>
      <c r="AC340" s="255" t="str">
        <f>IF(ISNUMBER(SEARCH("C", 'WetLitterbags placem_collection'!VX47)),"YES","NO")</f>
        <v>NO</v>
      </c>
      <c r="AD340" s="255" t="str">
        <f>IF(ISNUMBER(SEARCH("H", 'WetLitterbags placem_collection'!X47)),"YES","NO")</f>
        <v>NO</v>
      </c>
      <c r="AE340" s="255" t="str">
        <f>IF(ISNUMBER(SEARCH("R", 'WetLitterbags placem_collection'!X47)),"YES","NO")</f>
        <v>YES</v>
      </c>
    </row>
    <row r="341" spans="2:31">
      <c r="B341" t="str">
        <f>'Final data_for_R_analysis_Wetse'!A487</f>
        <v>Wet</v>
      </c>
      <c r="C341" s="263">
        <f>'Final data_for_R_analysis_Wetse'!B487</f>
        <v>46</v>
      </c>
      <c r="D341" t="s">
        <v>3833</v>
      </c>
      <c r="E341" t="s">
        <v>25</v>
      </c>
      <c r="F341" s="387">
        <v>6</v>
      </c>
      <c r="G341" s="16">
        <f>'WetLitterbags placem_collection'!E48</f>
        <v>42766</v>
      </c>
      <c r="H341" s="92" t="str">
        <f>'Final data_for_R_analysis_Wetse'!J487</f>
        <v>G427</v>
      </c>
      <c r="I341" t="str">
        <f>'Final data_for_R_analysis_Wetse'!J707</f>
        <v>R102</v>
      </c>
      <c r="J341">
        <f>IFERROR(INDEX('Green_rooibos initial weight'!$C$5:$C$1749,MATCH(H341, 'Green_rooibos initial weight'!$A$5:$A$1749,0)),"")</f>
        <v>1.8959999999999999</v>
      </c>
      <c r="K341">
        <f>IFERROR(INDEX('Green_rooibos initial weight'!$C$5:$C$1749,MATCH(I341, 'Green_rooibos initial weight'!$A$5:$A$1749,0)),"")</f>
        <v>2.2469999999999999</v>
      </c>
      <c r="L341" s="195">
        <f t="shared" si="38"/>
        <v>1.6461999999999999</v>
      </c>
      <c r="M341" s="195">
        <f>AVERAGE(Ashed_controlls!$K$2:$K$11)</f>
        <v>5.5147656768714146</v>
      </c>
      <c r="N341" s="195">
        <f t="shared" si="36"/>
        <v>1.9971999999999999</v>
      </c>
      <c r="O341" s="16">
        <f>IF('WetLitterbags placem_collection'!G48="N.A","",'WetLitterbags placem_collection'!G48)</f>
        <v>42820</v>
      </c>
      <c r="P341" s="195" t="str">
        <f>IF(IFERROR(INDEX('Both teabags AfterWet'!$C$3:$C$841,MATCH(H341,'Both teabags AfterWet'!$A$3:$A$841,0)),"")="N.A","",(IFERROR(INDEX('Both teabags AfterWet'!$C$3:$C$841,MATCH(H341,'Both teabags AfterWet'!$A$3:$A$841,0)),"")))</f>
        <v/>
      </c>
      <c r="Q341" s="195" t="str">
        <f>IFERROR(INDEX('Both teabags AfterWet'!$C$3:$C$841,MATCH(I341,'Both teabags AfterWet'!$A$3:$A$841,0)),"")</f>
        <v/>
      </c>
      <c r="R341" s="195" t="str">
        <f t="shared" si="39"/>
        <v/>
      </c>
      <c r="S341" s="195" t="str">
        <f t="shared" si="39"/>
        <v/>
      </c>
      <c r="T341" s="195" t="str">
        <f t="shared" si="40"/>
        <v/>
      </c>
      <c r="U341" s="195" t="str">
        <f t="shared" si="41"/>
        <v/>
      </c>
      <c r="V341" s="195" t="str">
        <f t="shared" si="42"/>
        <v/>
      </c>
      <c r="W341">
        <f t="shared" si="37"/>
        <v>54</v>
      </c>
      <c r="X341" s="195" t="str">
        <f t="shared" si="43"/>
        <v/>
      </c>
      <c r="Y341" s="195" t="str">
        <f t="shared" si="44"/>
        <v/>
      </c>
      <c r="Z341" s="255" t="str">
        <f>IF(ISNUMBER(SEARCH("C",'WetLitterbags placem_collection'!W268)),"YES","NO")</f>
        <v>NO</v>
      </c>
      <c r="AA341" s="255" t="str">
        <f>IF(ISNUMBER(SEARCH("H", 'WetLitterbags placem_collection'!Y48)),"YES","NO")</f>
        <v>NO</v>
      </c>
      <c r="AB341" s="255" t="str">
        <f>IF(ISNUMBER(SEARCH("R", 'WetLitterbags placem_collection'!WY48)),"YES","NO")</f>
        <v>NO</v>
      </c>
      <c r="AC341" s="255" t="str">
        <f>IF(ISNUMBER(SEARCH("C", 'WetLitterbags placem_collection'!VX48)),"YES","NO")</f>
        <v>NO</v>
      </c>
      <c r="AD341" s="255" t="str">
        <f>IF(ISNUMBER(SEARCH("H", 'WetLitterbags placem_collection'!X48)),"YES","NO")</f>
        <v>NO</v>
      </c>
      <c r="AE341" s="255" t="str">
        <f>IF(ISNUMBER(SEARCH("R", 'WetLitterbags placem_collection'!X48)),"YES","NO")</f>
        <v>NO</v>
      </c>
    </row>
    <row r="342" spans="2:31">
      <c r="B342" t="str">
        <f>'Final data_for_R_analysis_Wetse'!A488</f>
        <v>Wet</v>
      </c>
      <c r="C342" s="263">
        <f>'Final data_for_R_analysis_Wetse'!B488</f>
        <v>47</v>
      </c>
      <c r="D342" t="s">
        <v>3833</v>
      </c>
      <c r="E342" t="s">
        <v>25</v>
      </c>
      <c r="F342" s="387">
        <v>7</v>
      </c>
      <c r="G342" s="16">
        <f>'WetLitterbags placem_collection'!E49</f>
        <v>42766</v>
      </c>
      <c r="H342" s="92" t="str">
        <f>'Final data_for_R_analysis_Wetse'!J488</f>
        <v>G512</v>
      </c>
      <c r="I342" t="str">
        <f>'Final data_for_R_analysis_Wetse'!J708</f>
        <v>R76</v>
      </c>
      <c r="J342">
        <f>IFERROR(INDEX('Green_rooibos initial weight'!$C$5:$C$1749,MATCH(H342, 'Green_rooibos initial weight'!$A$5:$A$1749,0)),"")</f>
        <v>2.0939999999999999</v>
      </c>
      <c r="K342">
        <f>IFERROR(INDEX('Green_rooibos initial weight'!$C$5:$C$1749,MATCH(I342, 'Green_rooibos initial weight'!$A$5:$A$1749,0)),"")</f>
        <v>2.2970000000000002</v>
      </c>
      <c r="L342" s="195">
        <f t="shared" si="38"/>
        <v>1.8441999999999998</v>
      </c>
      <c r="M342" s="195">
        <f>AVERAGE(Ashed_controlls!$K$2:$K$11)</f>
        <v>5.5147656768714146</v>
      </c>
      <c r="N342" s="195">
        <f t="shared" si="36"/>
        <v>2.0472000000000001</v>
      </c>
      <c r="O342" s="16">
        <f>IF('WetLitterbags placem_collection'!G49="N.A","",'WetLitterbags placem_collection'!G49)</f>
        <v>42820</v>
      </c>
      <c r="P342" s="195">
        <f>IF(IFERROR(INDEX('Both teabags AfterWet'!$C$3:$C$841,MATCH(H342,'Both teabags AfterWet'!$A$3:$A$841,0)),"")="N.A","",(IFERROR(INDEX('Both teabags AfterWet'!$C$3:$C$841,MATCH(H342,'Both teabags AfterWet'!$A$3:$A$841,0)),"")))</f>
        <v>0.77500000000000002</v>
      </c>
      <c r="Q342" s="195">
        <f>IFERROR(INDEX('Both teabags AfterWet'!$C$3:$C$841,MATCH(I342,'Both teabags AfterWet'!$A$3:$A$841,0)),"")</f>
        <v>1.665</v>
      </c>
      <c r="R342" s="195">
        <f t="shared" si="39"/>
        <v>0.62440000000000007</v>
      </c>
      <c r="S342" s="195">
        <f t="shared" si="39"/>
        <v>1.5144</v>
      </c>
      <c r="T342" s="195">
        <f t="shared" si="40"/>
        <v>0.66142500813360794</v>
      </c>
      <c r="U342" s="195">
        <f t="shared" si="41"/>
        <v>0.43361829511846983</v>
      </c>
      <c r="V342" s="195">
        <f t="shared" si="42"/>
        <v>0.73974208675263764</v>
      </c>
      <c r="W342">
        <f t="shared" si="37"/>
        <v>54</v>
      </c>
      <c r="X342" s="195">
        <f t="shared" si="43"/>
        <v>0.21445961029262717</v>
      </c>
      <c r="Y342" s="195">
        <f t="shared" si="44"/>
        <v>1.6977631162683086E-2</v>
      </c>
      <c r="Z342" s="255" t="str">
        <f>IF(ISNUMBER(SEARCH("C",'WetLitterbags placem_collection'!W269)),"YES","NO")</f>
        <v>NO</v>
      </c>
      <c r="AA342" s="255" t="str">
        <f>IF(ISNUMBER(SEARCH("H", 'WetLitterbags placem_collection'!Y49)),"YES","NO")</f>
        <v>NO</v>
      </c>
      <c r="AB342" s="255" t="str">
        <f>IF(ISNUMBER(SEARCH("R", 'WetLitterbags placem_collection'!WY49)),"YES","NO")</f>
        <v>NO</v>
      </c>
      <c r="AC342" s="255" t="str">
        <f>IF(ISNUMBER(SEARCH("C", 'WetLitterbags placem_collection'!VX49)),"YES","NO")</f>
        <v>NO</v>
      </c>
      <c r="AD342" s="255" t="str">
        <f>IF(ISNUMBER(SEARCH("H", 'WetLitterbags placem_collection'!X49)),"YES","NO")</f>
        <v>NO</v>
      </c>
      <c r="AE342" s="255" t="str">
        <f>IF(ISNUMBER(SEARCH("R", 'WetLitterbags placem_collection'!X49)),"YES","NO")</f>
        <v>YES</v>
      </c>
    </row>
    <row r="343" spans="2:31">
      <c r="B343" t="str">
        <f>'Final data_for_R_analysis_Wetse'!A489</f>
        <v>Wet</v>
      </c>
      <c r="C343" s="263">
        <f>'Final data_for_R_analysis_Wetse'!B489</f>
        <v>48</v>
      </c>
      <c r="D343" t="s">
        <v>3833</v>
      </c>
      <c r="E343" t="s">
        <v>25</v>
      </c>
      <c r="F343" s="387">
        <v>8</v>
      </c>
      <c r="G343" s="16">
        <f>'WetLitterbags placem_collection'!E50</f>
        <v>42766</v>
      </c>
      <c r="H343" s="92" t="str">
        <f>'Final data_for_R_analysis_Wetse'!J489</f>
        <v>G299</v>
      </c>
      <c r="I343" t="str">
        <f>'Final data_for_R_analysis_Wetse'!J709</f>
        <v>R107</v>
      </c>
      <c r="J343">
        <f>IFERROR(INDEX('Green_rooibos initial weight'!$C$5:$C$1749,MATCH(H343, 'Green_rooibos initial weight'!$A$5:$A$1749,0)),"")</f>
        <v>2.0110000000000001</v>
      </c>
      <c r="K343">
        <f>IFERROR(INDEX('Green_rooibos initial weight'!$C$5:$C$1749,MATCH(I343, 'Green_rooibos initial weight'!$A$5:$A$1749,0)),"")</f>
        <v>2.19</v>
      </c>
      <c r="L343" s="195">
        <f t="shared" si="38"/>
        <v>1.7612000000000001</v>
      </c>
      <c r="M343" s="195">
        <f>AVERAGE(Ashed_controlls!$K$2:$K$11)</f>
        <v>5.5147656768714146</v>
      </c>
      <c r="N343" s="195">
        <f t="shared" si="36"/>
        <v>1.9401999999999999</v>
      </c>
      <c r="O343" s="16">
        <f>IF('WetLitterbags placem_collection'!G50="N.A","",'WetLitterbags placem_collection'!G50)</f>
        <v>42820</v>
      </c>
      <c r="P343" s="195">
        <f>IF(IFERROR(INDEX('Both teabags AfterWet'!$C$3:$C$841,MATCH(H343,'Both teabags AfterWet'!$A$3:$A$841,0)),"")="N.A","",(IFERROR(INDEX('Both teabags AfterWet'!$C$3:$C$841,MATCH(H343,'Both teabags AfterWet'!$A$3:$A$841,0)),"")))</f>
        <v>0.88100000000000001</v>
      </c>
      <c r="Q343" s="195">
        <f>IFERROR(INDEX('Both teabags AfterWet'!$C$3:$C$841,MATCH(I343,'Both teabags AfterWet'!$A$3:$A$841,0)),"")</f>
        <v>1.5349999999999999</v>
      </c>
      <c r="R343" s="195">
        <f t="shared" si="39"/>
        <v>0.73039999999999994</v>
      </c>
      <c r="S343" s="195">
        <f t="shared" si="39"/>
        <v>1.3843999999999999</v>
      </c>
      <c r="T343" s="195">
        <f t="shared" si="40"/>
        <v>0.58528276175335003</v>
      </c>
      <c r="U343" s="195">
        <f t="shared" si="41"/>
        <v>0.38370081293093733</v>
      </c>
      <c r="V343" s="195">
        <f t="shared" si="42"/>
        <v>0.71353468714565504</v>
      </c>
      <c r="W343">
        <f t="shared" si="37"/>
        <v>54</v>
      </c>
      <c r="X343" s="195">
        <f t="shared" si="43"/>
        <v>0.30488983164685268</v>
      </c>
      <c r="Y343" s="195">
        <f t="shared" si="44"/>
        <v>2.5420874888905164E-2</v>
      </c>
      <c r="Z343" s="255" t="str">
        <f>IF(ISNUMBER(SEARCH("C",'WetLitterbags placem_collection'!W270)),"YES","NO")</f>
        <v>NO</v>
      </c>
      <c r="AA343" s="255" t="str">
        <f>IF(ISNUMBER(SEARCH("H", 'WetLitterbags placem_collection'!Y50)),"YES","NO")</f>
        <v>NO</v>
      </c>
      <c r="AB343" s="255" t="str">
        <f>IF(ISNUMBER(SEARCH("R", 'WetLitterbags placem_collection'!WY50)),"YES","NO")</f>
        <v>NO</v>
      </c>
      <c r="AC343" s="255" t="str">
        <f>IF(ISNUMBER(SEARCH("C", 'WetLitterbags placem_collection'!VX50)),"YES","NO")</f>
        <v>NO</v>
      </c>
      <c r="AD343" s="255" t="str">
        <f>IF(ISNUMBER(SEARCH("H", 'WetLitterbags placem_collection'!X50)),"YES","NO")</f>
        <v>NO</v>
      </c>
      <c r="AE343" s="255" t="str">
        <f>IF(ISNUMBER(SEARCH("R", 'WetLitterbags placem_collection'!X50)),"YES","NO")</f>
        <v>YES</v>
      </c>
    </row>
    <row r="344" spans="2:31">
      <c r="B344" t="str">
        <f>'Final data_for_R_analysis_Wetse'!A490</f>
        <v>Wet</v>
      </c>
      <c r="C344" s="263">
        <f>'Final data_for_R_analysis_Wetse'!B490</f>
        <v>49</v>
      </c>
      <c r="D344" t="s">
        <v>3834</v>
      </c>
      <c r="E344" t="s">
        <v>25</v>
      </c>
      <c r="F344" s="386">
        <v>1</v>
      </c>
      <c r="G344" s="16">
        <f>'WetLitterbags placem_collection'!E51</f>
        <v>42766</v>
      </c>
      <c r="H344" s="92" t="str">
        <f>'Final data_for_R_analysis_Wetse'!J490</f>
        <v>G739</v>
      </c>
      <c r="I344" t="str">
        <f>'Final data_for_R_analysis_Wetse'!J710</f>
        <v>R155</v>
      </c>
      <c r="J344">
        <f>IFERROR(INDEX('Green_rooibos initial weight'!$C$5:$C$1749,MATCH(H344, 'Green_rooibos initial weight'!$A$5:$A$1749,0)),"")</f>
        <v>2.0499999999999998</v>
      </c>
      <c r="K344">
        <f>IFERROR(INDEX('Green_rooibos initial weight'!$C$5:$C$1749,MATCH(I344, 'Green_rooibos initial weight'!$A$5:$A$1749,0)),"")</f>
        <v>2.206</v>
      </c>
      <c r="L344" s="195">
        <f t="shared" si="38"/>
        <v>1.8001999999999998</v>
      </c>
      <c r="M344" s="195">
        <f>AVERAGE(Ashed_controlls!$K$2:$K$11)</f>
        <v>5.5147656768714146</v>
      </c>
      <c r="N344" s="195">
        <f t="shared" si="36"/>
        <v>1.9561999999999999</v>
      </c>
      <c r="O344" s="16">
        <f>IF('WetLitterbags placem_collection'!G51="N.A","",'WetLitterbags placem_collection'!G51)</f>
        <v>42820</v>
      </c>
      <c r="P344" s="195">
        <f>IF(IFERROR(INDEX('Both teabags AfterWet'!$C$3:$C$841,MATCH(H344,'Both teabags AfterWet'!$A$3:$A$841,0)),"")="N.A","",(IFERROR(INDEX('Both teabags AfterWet'!$C$3:$C$841,MATCH(H344,'Both teabags AfterWet'!$A$3:$A$841,0)),"")))</f>
        <v>0.87490000000000001</v>
      </c>
      <c r="Q344" s="195">
        <f>IFERROR(INDEX('Both teabags AfterWet'!$C$3:$C$841,MATCH(I344,'Both teabags AfterWet'!$A$3:$A$841,0)),"")</f>
        <v>1.5909</v>
      </c>
      <c r="R344" s="195">
        <f t="shared" si="39"/>
        <v>0.72429999999999994</v>
      </c>
      <c r="S344" s="195">
        <f t="shared" si="39"/>
        <v>1.4402999999999999</v>
      </c>
      <c r="T344" s="195">
        <f t="shared" si="40"/>
        <v>0.59765581602044215</v>
      </c>
      <c r="U344" s="195">
        <f t="shared" si="41"/>
        <v>0.39181236394689323</v>
      </c>
      <c r="V344" s="195">
        <f t="shared" si="42"/>
        <v>0.73627440956957368</v>
      </c>
      <c r="W344">
        <f t="shared" si="37"/>
        <v>54</v>
      </c>
      <c r="X344" s="195">
        <f t="shared" si="43"/>
        <v>0.29019499284983119</v>
      </c>
      <c r="Y344" s="195">
        <f t="shared" si="44"/>
        <v>2.0705094619619342E-2</v>
      </c>
      <c r="Z344" s="255" t="str">
        <f>IF(ISNUMBER(SEARCH("C",'WetLitterbags placem_collection'!W271)),"YES","NO")</f>
        <v>NO</v>
      </c>
      <c r="AA344" s="255" t="str">
        <f>IF(ISNUMBER(SEARCH("H", 'WetLitterbags placem_collection'!Y51)),"YES","NO")</f>
        <v>NO</v>
      </c>
      <c r="AB344" s="255" t="str">
        <f>IF(ISNUMBER(SEARCH("R", 'WetLitterbags placem_collection'!WY51)),"YES","NO")</f>
        <v>NO</v>
      </c>
      <c r="AC344" s="255" t="str">
        <f>IF(ISNUMBER(SEARCH("C", 'WetLitterbags placem_collection'!VX51)),"YES","NO")</f>
        <v>NO</v>
      </c>
      <c r="AD344" s="255" t="str">
        <f>IF(ISNUMBER(SEARCH("H", 'WetLitterbags placem_collection'!X51)),"YES","NO")</f>
        <v>NO</v>
      </c>
      <c r="AE344" s="255" t="str">
        <f>IF(ISNUMBER(SEARCH("R", 'WetLitterbags placem_collection'!X51)),"YES","NO")</f>
        <v>YES</v>
      </c>
    </row>
    <row r="345" spans="2:31">
      <c r="B345" t="str">
        <f>'Final data_for_R_analysis_Wetse'!A491</f>
        <v>Wet</v>
      </c>
      <c r="C345" s="263">
        <f>'Final data_for_R_analysis_Wetse'!B491</f>
        <v>50</v>
      </c>
      <c r="D345" t="s">
        <v>3834</v>
      </c>
      <c r="E345" t="s">
        <v>25</v>
      </c>
      <c r="F345" s="386">
        <v>2</v>
      </c>
      <c r="G345" s="16">
        <f>'WetLitterbags placem_collection'!E52</f>
        <v>42766</v>
      </c>
      <c r="H345" s="92" t="str">
        <f>'Final data_for_R_analysis_Wetse'!J491</f>
        <v>G559</v>
      </c>
      <c r="I345" t="str">
        <f>'Final data_for_R_analysis_Wetse'!J711</f>
        <v>R98</v>
      </c>
      <c r="J345">
        <f>IFERROR(INDEX('Green_rooibos initial weight'!$C$5:$C$1749,MATCH(H345, 'Green_rooibos initial weight'!$A$5:$A$1749,0)),"")</f>
        <v>2.085</v>
      </c>
      <c r="K345">
        <f>IFERROR(INDEX('Green_rooibos initial weight'!$C$5:$C$1749,MATCH(I345, 'Green_rooibos initial weight'!$A$5:$A$1749,0)),"")</f>
        <v>2.1960000000000002</v>
      </c>
      <c r="L345" s="195">
        <f t="shared" si="38"/>
        <v>1.8351999999999999</v>
      </c>
      <c r="M345" s="195">
        <f>AVERAGE(Ashed_controlls!$K$2:$K$11)</f>
        <v>5.5147656768714146</v>
      </c>
      <c r="N345" s="195">
        <f t="shared" si="36"/>
        <v>1.9462000000000002</v>
      </c>
      <c r="O345" s="16">
        <f>IF('WetLitterbags placem_collection'!G52="N.A","",'WetLitterbags placem_collection'!G52)</f>
        <v>42820</v>
      </c>
      <c r="P345" s="195" t="str">
        <f>IF(IFERROR(INDEX('Both teabags AfterWet'!$C$3:$C$841,MATCH(H345,'Both teabags AfterWet'!$A$3:$A$841,0)),"")="N.A","",(IFERROR(INDEX('Both teabags AfterWet'!$C$3:$C$841,MATCH(H345,'Both teabags AfterWet'!$A$3:$A$841,0)),"")))</f>
        <v/>
      </c>
      <c r="Q345" s="195" t="str">
        <f>IFERROR(INDEX('Both teabags AfterWet'!$C$3:$C$841,MATCH(I345,'Both teabags AfterWet'!$A$3:$A$841,0)),"")</f>
        <v/>
      </c>
      <c r="R345" s="195" t="str">
        <f t="shared" si="39"/>
        <v/>
      </c>
      <c r="S345" s="195" t="str">
        <f t="shared" si="39"/>
        <v/>
      </c>
      <c r="T345" s="195" t="str">
        <f t="shared" si="40"/>
        <v/>
      </c>
      <c r="U345" s="195" t="str">
        <f t="shared" si="41"/>
        <v/>
      </c>
      <c r="V345" s="195" t="str">
        <f t="shared" si="42"/>
        <v/>
      </c>
      <c r="W345">
        <f t="shared" si="37"/>
        <v>54</v>
      </c>
      <c r="X345" s="195" t="str">
        <f t="shared" si="43"/>
        <v/>
      </c>
      <c r="Y345" s="195" t="str">
        <f t="shared" si="44"/>
        <v/>
      </c>
      <c r="Z345" s="255" t="str">
        <f>IF(ISNUMBER(SEARCH("C",'WetLitterbags placem_collection'!W272)),"YES","NO")</f>
        <v>NO</v>
      </c>
      <c r="AA345" s="255" t="str">
        <f>IF(ISNUMBER(SEARCH("H", 'WetLitterbags placem_collection'!Y52)),"YES","NO")</f>
        <v>NO</v>
      </c>
      <c r="AB345" s="255" t="str">
        <f>IF(ISNUMBER(SEARCH("R", 'WetLitterbags placem_collection'!WY52)),"YES","NO")</f>
        <v>NO</v>
      </c>
      <c r="AC345" s="255" t="str">
        <f>IF(ISNUMBER(SEARCH("C", 'WetLitterbags placem_collection'!VX52)),"YES","NO")</f>
        <v>NO</v>
      </c>
      <c r="AD345" s="255" t="str">
        <f>IF(ISNUMBER(SEARCH("H", 'WetLitterbags placem_collection'!X52)),"YES","NO")</f>
        <v>NO</v>
      </c>
      <c r="AE345" s="255" t="str">
        <f>IF(ISNUMBER(SEARCH("R", 'WetLitterbags placem_collection'!X52)),"YES","NO")</f>
        <v>NO</v>
      </c>
    </row>
    <row r="346" spans="2:31">
      <c r="B346" t="str">
        <f>'Final data_for_R_analysis_Wetse'!A492</f>
        <v>Wet</v>
      </c>
      <c r="C346" s="263">
        <f>'Final data_for_R_analysis_Wetse'!B492</f>
        <v>51</v>
      </c>
      <c r="D346" t="s">
        <v>3834</v>
      </c>
      <c r="E346" t="s">
        <v>25</v>
      </c>
      <c r="F346" s="386">
        <v>3</v>
      </c>
      <c r="G346" s="16">
        <f>'WetLitterbags placem_collection'!E53</f>
        <v>42766</v>
      </c>
      <c r="H346" s="92" t="str">
        <f>'Final data_for_R_analysis_Wetse'!J492</f>
        <v>G856</v>
      </c>
      <c r="I346" t="str">
        <f>'Final data_for_R_analysis_Wetse'!J712</f>
        <v>R29</v>
      </c>
      <c r="J346">
        <f>IFERROR(INDEX('Green_rooibos initial weight'!$C$5:$C$1749,MATCH(H346, 'Green_rooibos initial weight'!$A$5:$A$1749,0)),"")</f>
        <v>1.9370000000000001</v>
      </c>
      <c r="K346">
        <f>IFERROR(INDEX('Green_rooibos initial weight'!$C$5:$C$1749,MATCH(I346, 'Green_rooibos initial weight'!$A$5:$A$1749,0)),"")</f>
        <v>2.2400000000000002</v>
      </c>
      <c r="L346" s="195">
        <f t="shared" si="38"/>
        <v>1.6872</v>
      </c>
      <c r="M346" s="195">
        <f>AVERAGE(Ashed_controlls!$K$2:$K$11)</f>
        <v>5.5147656768714146</v>
      </c>
      <c r="N346" s="195">
        <f t="shared" si="36"/>
        <v>1.9902000000000002</v>
      </c>
      <c r="O346" s="16">
        <f>IF('WetLitterbags placem_collection'!G53="N.A","",'WetLitterbags placem_collection'!G53)</f>
        <v>42820</v>
      </c>
      <c r="P346" s="195">
        <f>IF(IFERROR(INDEX('Both teabags AfterWet'!$C$3:$C$841,MATCH(H346,'Both teabags AfterWet'!$A$3:$A$841,0)),"")="N.A","",(IFERROR(INDEX('Both teabags AfterWet'!$C$3:$C$841,MATCH(H346,'Both teabags AfterWet'!$A$3:$A$841,0)),"")))</f>
        <v>0.77600000000000002</v>
      </c>
      <c r="Q346" s="195">
        <f>IFERROR(INDEX('Both teabags AfterWet'!$C$3:$C$841,MATCH(I346,'Both teabags AfterWet'!$A$3:$A$841,0)),"")</f>
        <v>1.4950000000000001</v>
      </c>
      <c r="R346" s="195">
        <f t="shared" si="39"/>
        <v>0.62539999999999996</v>
      </c>
      <c r="S346" s="195">
        <f t="shared" si="39"/>
        <v>1.3444</v>
      </c>
      <c r="T346" s="195">
        <f t="shared" si="40"/>
        <v>0.6293266951161689</v>
      </c>
      <c r="U346" s="195">
        <f t="shared" si="41"/>
        <v>0.4125752205512177</v>
      </c>
      <c r="V346" s="195">
        <f t="shared" si="42"/>
        <v>0.6755099989950758</v>
      </c>
      <c r="W346">
        <f t="shared" si="37"/>
        <v>54</v>
      </c>
      <c r="X346" s="195">
        <f t="shared" si="43"/>
        <v>0.25258112218982309</v>
      </c>
      <c r="Y346" s="195">
        <f t="shared" si="44"/>
        <v>2.8594699855354417E-2</v>
      </c>
      <c r="Z346" s="255" t="str">
        <f>IF(ISNUMBER(SEARCH("C",'WetLitterbags placem_collection'!W273)),"YES","NO")</f>
        <v>NO</v>
      </c>
      <c r="AA346" s="255" t="str">
        <f>IF(ISNUMBER(SEARCH("H", 'WetLitterbags placem_collection'!Y53)),"YES","NO")</f>
        <v>NO</v>
      </c>
      <c r="AB346" s="255" t="str">
        <f>IF(ISNUMBER(SEARCH("R", 'WetLitterbags placem_collection'!WY53)),"YES","NO")</f>
        <v>NO</v>
      </c>
      <c r="AC346" s="255" t="str">
        <f>IF(ISNUMBER(SEARCH("C", 'WetLitterbags placem_collection'!VX53)),"YES","NO")</f>
        <v>NO</v>
      </c>
      <c r="AD346" s="255" t="str">
        <f>IF(ISNUMBER(SEARCH("H", 'WetLitterbags placem_collection'!X53)),"YES","NO")</f>
        <v>NO</v>
      </c>
      <c r="AE346" s="255" t="str">
        <f>IF(ISNUMBER(SEARCH("R", 'WetLitterbags placem_collection'!X53)),"YES","NO")</f>
        <v>YES</v>
      </c>
    </row>
    <row r="347" spans="2:31">
      <c r="B347" t="str">
        <f>'Final data_for_R_analysis_Wetse'!A493</f>
        <v>Wet</v>
      </c>
      <c r="C347" s="263">
        <f>'Final data_for_R_analysis_Wetse'!B493</f>
        <v>52</v>
      </c>
      <c r="D347" t="s">
        <v>3834</v>
      </c>
      <c r="E347" t="s">
        <v>25</v>
      </c>
      <c r="F347" s="387">
        <v>4</v>
      </c>
      <c r="G347" s="16">
        <f>'WetLitterbags placem_collection'!E54</f>
        <v>42766</v>
      </c>
      <c r="H347" s="92" t="str">
        <f>'Final data_for_R_analysis_Wetse'!J493</f>
        <v>G599</v>
      </c>
      <c r="I347" t="str">
        <f>'Final data_for_R_analysis_Wetse'!J713</f>
        <v>R312</v>
      </c>
      <c r="J347">
        <f>IFERROR(INDEX('Green_rooibos initial weight'!$C$5:$C$1749,MATCH(H347, 'Green_rooibos initial weight'!$A$5:$A$1749,0)),"")</f>
        <v>2.0760000000000001</v>
      </c>
      <c r="K347">
        <f>IFERROR(INDEX('Green_rooibos initial weight'!$C$5:$C$1749,MATCH(I347, 'Green_rooibos initial weight'!$A$5:$A$1749,0)),"")</f>
        <v>2.2360000000000002</v>
      </c>
      <c r="L347" s="195">
        <f t="shared" si="38"/>
        <v>1.8262</v>
      </c>
      <c r="M347" s="195">
        <f>AVERAGE(Ashed_controlls!$K$2:$K$11)</f>
        <v>5.5147656768714146</v>
      </c>
      <c r="N347" s="195">
        <f t="shared" si="36"/>
        <v>1.9862000000000002</v>
      </c>
      <c r="O347" s="16">
        <f>IF('WetLitterbags placem_collection'!G54="N.A","",'WetLitterbags placem_collection'!G54)</f>
        <v>42820</v>
      </c>
      <c r="P347" s="195">
        <f>IF(IFERROR(INDEX('Both teabags AfterWet'!$C$3:$C$841,MATCH(H347,'Both teabags AfterWet'!$A$3:$A$841,0)),"")="N.A","",(IFERROR(INDEX('Both teabags AfterWet'!$C$3:$C$841,MATCH(H347,'Both teabags AfterWet'!$A$3:$A$841,0)),"")))</f>
        <v>0.88200000000000001</v>
      </c>
      <c r="Q347" s="195">
        <f>IFERROR(INDEX('Both teabags AfterWet'!$C$3:$C$841,MATCH(I347,'Both teabags AfterWet'!$A$3:$A$841,0)),"")</f>
        <v>1.546</v>
      </c>
      <c r="R347" s="195">
        <f t="shared" si="39"/>
        <v>0.73140000000000005</v>
      </c>
      <c r="S347" s="195">
        <f t="shared" si="39"/>
        <v>1.3954</v>
      </c>
      <c r="T347" s="195">
        <f t="shared" si="40"/>
        <v>0.59949622166246852</v>
      </c>
      <c r="U347" s="195">
        <f t="shared" si="41"/>
        <v>0.39301890066233097</v>
      </c>
      <c r="V347" s="195">
        <f t="shared" si="42"/>
        <v>0.70254757829020231</v>
      </c>
      <c r="W347">
        <f t="shared" si="37"/>
        <v>54</v>
      </c>
      <c r="X347" s="195">
        <f t="shared" si="43"/>
        <v>0.28800923793055988</v>
      </c>
      <c r="Y347" s="195">
        <f t="shared" si="44"/>
        <v>2.6185844148217393E-2</v>
      </c>
      <c r="Z347" s="255" t="str">
        <f>IF(ISNUMBER(SEARCH("C",'WetLitterbags placem_collection'!W274)),"YES","NO")</f>
        <v>NO</v>
      </c>
      <c r="AA347" s="255" t="str">
        <f>IF(ISNUMBER(SEARCH("H", 'WetLitterbags placem_collection'!Y54)),"YES","NO")</f>
        <v>NO</v>
      </c>
      <c r="AB347" s="255" t="str">
        <f>IF(ISNUMBER(SEARCH("R", 'WetLitterbags placem_collection'!WY54)),"YES","NO")</f>
        <v>NO</v>
      </c>
      <c r="AC347" s="255" t="str">
        <f>IF(ISNUMBER(SEARCH("C", 'WetLitterbags placem_collection'!VX54)),"YES","NO")</f>
        <v>NO</v>
      </c>
      <c r="AD347" s="255" t="str">
        <f>IF(ISNUMBER(SEARCH("H", 'WetLitterbags placem_collection'!X54)),"YES","NO")</f>
        <v>NO</v>
      </c>
      <c r="AE347" s="255" t="str">
        <f>IF(ISNUMBER(SEARCH("R", 'WetLitterbags placem_collection'!X54)),"YES","NO")</f>
        <v>YES</v>
      </c>
    </row>
    <row r="348" spans="2:31">
      <c r="B348" t="str">
        <f>'Final data_for_R_analysis_Wetse'!A494</f>
        <v>Wet</v>
      </c>
      <c r="C348" s="263">
        <f>'Final data_for_R_analysis_Wetse'!B494</f>
        <v>53</v>
      </c>
      <c r="D348" t="s">
        <v>3834</v>
      </c>
      <c r="E348" t="s">
        <v>25</v>
      </c>
      <c r="F348" s="387">
        <v>5</v>
      </c>
      <c r="G348" s="16">
        <f>'WetLitterbags placem_collection'!E55</f>
        <v>42766</v>
      </c>
      <c r="H348" s="92" t="str">
        <f>'Final data_for_R_analysis_Wetse'!J494</f>
        <v>G683</v>
      </c>
      <c r="I348" t="str">
        <f>'Final data_for_R_analysis_Wetse'!J714</f>
        <v>R113</v>
      </c>
      <c r="J348">
        <f>IFERROR(INDEX('Green_rooibos initial weight'!$C$5:$C$1749,MATCH(H348, 'Green_rooibos initial weight'!$A$5:$A$1749,0)),"")</f>
        <v>2.1179999999999999</v>
      </c>
      <c r="K348">
        <f>IFERROR(INDEX('Green_rooibos initial weight'!$C$5:$C$1749,MATCH(I348, 'Green_rooibos initial weight'!$A$5:$A$1749,0)),"")</f>
        <v>2.202</v>
      </c>
      <c r="L348" s="195">
        <f t="shared" si="38"/>
        <v>1.8681999999999999</v>
      </c>
      <c r="M348" s="195">
        <f>AVERAGE(Ashed_controlls!$K$2:$K$11)</f>
        <v>5.5147656768714146</v>
      </c>
      <c r="N348" s="195">
        <f t="shared" si="36"/>
        <v>1.9521999999999999</v>
      </c>
      <c r="O348" s="16">
        <f>IF('WetLitterbags placem_collection'!G55="N.A","",'WetLitterbags placem_collection'!G55)</f>
        <v>42820</v>
      </c>
      <c r="P348" s="195" t="str">
        <f>IF(IFERROR(INDEX('Both teabags AfterWet'!$C$3:$C$841,MATCH(H348,'Both teabags AfterWet'!$A$3:$A$841,0)),"")="N.A","",(IFERROR(INDEX('Both teabags AfterWet'!$C$3:$C$841,MATCH(H348,'Both teabags AfterWet'!$A$3:$A$841,0)),"")))</f>
        <v/>
      </c>
      <c r="Q348" s="195" t="str">
        <f>IFERROR(INDEX('Both teabags AfterWet'!$C$3:$C$841,MATCH(I348,'Both teabags AfterWet'!$A$3:$A$841,0)),"")</f>
        <v/>
      </c>
      <c r="R348" s="195" t="str">
        <f t="shared" si="39"/>
        <v/>
      </c>
      <c r="S348" s="195" t="str">
        <f t="shared" si="39"/>
        <v/>
      </c>
      <c r="T348" s="195" t="str">
        <f t="shared" si="40"/>
        <v/>
      </c>
      <c r="U348" s="195" t="str">
        <f t="shared" si="41"/>
        <v/>
      </c>
      <c r="V348" s="195" t="str">
        <f t="shared" si="42"/>
        <v/>
      </c>
      <c r="W348">
        <f t="shared" si="37"/>
        <v>54</v>
      </c>
      <c r="X348" s="195" t="str">
        <f t="shared" si="43"/>
        <v/>
      </c>
      <c r="Y348" s="195" t="str">
        <f t="shared" si="44"/>
        <v/>
      </c>
      <c r="Z348" s="255" t="str">
        <f>IF(ISNUMBER(SEARCH("C",'WetLitterbags placem_collection'!W275)),"YES","NO")</f>
        <v>NO</v>
      </c>
      <c r="AA348" s="255" t="str">
        <f>IF(ISNUMBER(SEARCH("H", 'WetLitterbags placem_collection'!Y55)),"YES","NO")</f>
        <v>NO</v>
      </c>
      <c r="AB348" s="255" t="str">
        <f>IF(ISNUMBER(SEARCH("R", 'WetLitterbags placem_collection'!WY55)),"YES","NO")</f>
        <v>NO</v>
      </c>
      <c r="AC348" s="255" t="str">
        <f>IF(ISNUMBER(SEARCH("C", 'WetLitterbags placem_collection'!VX55)),"YES","NO")</f>
        <v>NO</v>
      </c>
      <c r="AD348" s="255" t="str">
        <f>IF(ISNUMBER(SEARCH("H", 'WetLitterbags placem_collection'!X55)),"YES","NO")</f>
        <v>NO</v>
      </c>
      <c r="AE348" s="255" t="str">
        <f>IF(ISNUMBER(SEARCH("R", 'WetLitterbags placem_collection'!X55)),"YES","NO")</f>
        <v>NO</v>
      </c>
    </row>
    <row r="349" spans="2:31">
      <c r="B349" t="str">
        <f>'Final data_for_R_analysis_Wetse'!A495</f>
        <v>Wet</v>
      </c>
      <c r="C349" s="263">
        <f>'Final data_for_R_analysis_Wetse'!B495</f>
        <v>54</v>
      </c>
      <c r="D349" t="s">
        <v>3834</v>
      </c>
      <c r="E349" t="s">
        <v>25</v>
      </c>
      <c r="F349" s="387">
        <v>6</v>
      </c>
      <c r="G349" s="16">
        <f>'WetLitterbags placem_collection'!E56</f>
        <v>42766</v>
      </c>
      <c r="H349" s="92" t="str">
        <f>'Final data_for_R_analysis_Wetse'!J495</f>
        <v>G288</v>
      </c>
      <c r="I349" t="str">
        <f>'Final data_for_R_analysis_Wetse'!J715</f>
        <v>R441</v>
      </c>
      <c r="J349">
        <f>IFERROR(INDEX('Green_rooibos initial weight'!$C$5:$C$1749,MATCH(H349, 'Green_rooibos initial weight'!$A$5:$A$1749,0)),"")</f>
        <v>1.9830000000000001</v>
      </c>
      <c r="K349">
        <f>IFERROR(INDEX('Green_rooibos initial weight'!$C$5:$C$1749,MATCH(I349, 'Green_rooibos initial weight'!$A$5:$A$1749,0)),"")</f>
        <v>2.1280000000000001</v>
      </c>
      <c r="L349" s="195">
        <f t="shared" si="38"/>
        <v>1.7332000000000001</v>
      </c>
      <c r="M349" s="195">
        <f>AVERAGE(Ashed_controlls!$K$2:$K$11)</f>
        <v>5.5147656768714146</v>
      </c>
      <c r="N349" s="195">
        <f t="shared" si="36"/>
        <v>1.8782000000000001</v>
      </c>
      <c r="O349" s="16">
        <f>IF('WetLitterbags placem_collection'!G56="N.A","",'WetLitterbags placem_collection'!G56)</f>
        <v>42820</v>
      </c>
      <c r="P349" s="195" t="str">
        <f>IF(IFERROR(INDEX('Both teabags AfterWet'!$C$3:$C$841,MATCH(H349,'Both teabags AfterWet'!$A$3:$A$841,0)),"")="N.A","",(IFERROR(INDEX('Both teabags AfterWet'!$C$3:$C$841,MATCH(H349,'Both teabags AfterWet'!$A$3:$A$841,0)),"")))</f>
        <v/>
      </c>
      <c r="Q349" s="195" t="str">
        <f>IFERROR(INDEX('Both teabags AfterWet'!$C$3:$C$841,MATCH(I349,'Both teabags AfterWet'!$A$3:$A$841,0)),"")</f>
        <v/>
      </c>
      <c r="R349" s="195" t="str">
        <f t="shared" si="39"/>
        <v/>
      </c>
      <c r="S349" s="195" t="str">
        <f t="shared" si="39"/>
        <v/>
      </c>
      <c r="T349" s="195" t="str">
        <f t="shared" si="40"/>
        <v/>
      </c>
      <c r="U349" s="195" t="str">
        <f t="shared" si="41"/>
        <v/>
      </c>
      <c r="V349" s="195" t="str">
        <f t="shared" si="42"/>
        <v/>
      </c>
      <c r="W349">
        <f t="shared" si="37"/>
        <v>54</v>
      </c>
      <c r="X349" s="195" t="str">
        <f t="shared" si="43"/>
        <v/>
      </c>
      <c r="Y349" s="195" t="str">
        <f t="shared" si="44"/>
        <v/>
      </c>
      <c r="Z349" s="255" t="str">
        <f>IF(ISNUMBER(SEARCH("C",'WetLitterbags placem_collection'!W276)),"YES","NO")</f>
        <v>NO</v>
      </c>
      <c r="AA349" s="255" t="str">
        <f>IF(ISNUMBER(SEARCH("H", 'WetLitterbags placem_collection'!Y56)),"YES","NO")</f>
        <v>NO</v>
      </c>
      <c r="AB349" s="255" t="str">
        <f>IF(ISNUMBER(SEARCH("R", 'WetLitterbags placem_collection'!WY56)),"YES","NO")</f>
        <v>NO</v>
      </c>
      <c r="AC349" s="255" t="str">
        <f>IF(ISNUMBER(SEARCH("C", 'WetLitterbags placem_collection'!VX56)),"YES","NO")</f>
        <v>NO</v>
      </c>
      <c r="AD349" s="255" t="str">
        <f>IF(ISNUMBER(SEARCH("H", 'WetLitterbags placem_collection'!X56)),"YES","NO")</f>
        <v>NO</v>
      </c>
      <c r="AE349" s="255" t="str">
        <f>IF(ISNUMBER(SEARCH("R", 'WetLitterbags placem_collection'!X56)),"YES","NO")</f>
        <v>NO</v>
      </c>
    </row>
    <row r="350" spans="2:31">
      <c r="B350" t="str">
        <f>'Final data_for_R_analysis_Wetse'!A496</f>
        <v>Wet</v>
      </c>
      <c r="C350" s="263">
        <f>'Final data_for_R_analysis_Wetse'!B496</f>
        <v>55</v>
      </c>
      <c r="D350" t="s">
        <v>3834</v>
      </c>
      <c r="E350" t="s">
        <v>25</v>
      </c>
      <c r="F350" s="387">
        <v>7</v>
      </c>
      <c r="G350" s="16">
        <f>'WetLitterbags placem_collection'!E57</f>
        <v>42766</v>
      </c>
      <c r="H350" s="92" t="str">
        <f>'Final data_for_R_analysis_Wetse'!J496</f>
        <v>G616</v>
      </c>
      <c r="I350" t="str">
        <f>'Final data_for_R_analysis_Wetse'!J716</f>
        <v>R54b</v>
      </c>
      <c r="J350">
        <f>IFERROR(INDEX('Green_rooibos initial weight'!$C$5:$C$1749,MATCH(H350, 'Green_rooibos initial weight'!$A$5:$A$1749,0)),"")</f>
        <v>1.978</v>
      </c>
      <c r="K350" t="str">
        <f>IFERROR(INDEX('Green_rooibos initial weight'!$C$5:$C$1749,MATCH(I350, 'Green_rooibos initial weight'!$A$5:$A$1749,0)),"")</f>
        <v/>
      </c>
      <c r="L350" s="195">
        <f t="shared" si="38"/>
        <v>1.7282</v>
      </c>
      <c r="M350" s="195">
        <f>AVERAGE(Ashed_controlls!$K$2:$K$11)</f>
        <v>5.5147656768714146</v>
      </c>
      <c r="N350" s="195" t="e">
        <f t="shared" si="36"/>
        <v>#VALUE!</v>
      </c>
      <c r="O350" s="16">
        <f>IF('WetLitterbags placem_collection'!G57="N.A","",'WetLitterbags placem_collection'!G57)</f>
        <v>42820</v>
      </c>
      <c r="P350" s="195">
        <f>IF(IFERROR(INDEX('Both teabags AfterWet'!$C$3:$C$841,MATCH(H350,'Both teabags AfterWet'!$A$3:$A$841,0)),"")="N.A","",(IFERROR(INDEX('Both teabags AfterWet'!$C$3:$C$841,MATCH(H350,'Both teabags AfterWet'!$A$3:$A$841,0)),"")))</f>
        <v>0.93200000000000005</v>
      </c>
      <c r="Q350" s="195">
        <f>IFERROR(INDEX('Both teabags AfterWet'!$C$3:$C$841,MATCH(I350,'Both teabags AfterWet'!$A$3:$A$841,0)),"")</f>
        <v>1.5207999999999999</v>
      </c>
      <c r="R350" s="195">
        <f t="shared" si="39"/>
        <v>0.78140000000000009</v>
      </c>
      <c r="S350" s="195">
        <f t="shared" si="39"/>
        <v>1.3701999999999999</v>
      </c>
      <c r="T350" s="195">
        <f t="shared" si="40"/>
        <v>0.54785325772480031</v>
      </c>
      <c r="U350" s="195">
        <f t="shared" si="41"/>
        <v>0.35916270577682874</v>
      </c>
      <c r="V350" s="195" t="str">
        <f t="shared" si="42"/>
        <v/>
      </c>
      <c r="W350">
        <f t="shared" si="37"/>
        <v>54</v>
      </c>
      <c r="X350" s="195">
        <f t="shared" si="43"/>
        <v>0.34934292431733927</v>
      </c>
      <c r="Y350" s="195" t="str">
        <f t="shared" si="44"/>
        <v/>
      </c>
      <c r="Z350" s="255" t="str">
        <f>IF(ISNUMBER(SEARCH("C",'WetLitterbags placem_collection'!W277)),"YES","NO")</f>
        <v>NO</v>
      </c>
      <c r="AA350" s="255" t="str">
        <f>IF(ISNUMBER(SEARCH("H", 'WetLitterbags placem_collection'!Y57)),"YES","NO")</f>
        <v>NO</v>
      </c>
      <c r="AB350" s="255" t="str">
        <f>IF(ISNUMBER(SEARCH("R", 'WetLitterbags placem_collection'!WY57)),"YES","NO")</f>
        <v>NO</v>
      </c>
      <c r="AC350" s="255" t="str">
        <f>IF(ISNUMBER(SEARCH("C", 'WetLitterbags placem_collection'!VX57)),"YES","NO")</f>
        <v>NO</v>
      </c>
      <c r="AD350" s="255" t="str">
        <f>IF(ISNUMBER(SEARCH("H", 'WetLitterbags placem_collection'!X57)),"YES","NO")</f>
        <v>NO</v>
      </c>
      <c r="AE350" s="255" t="str">
        <f>IF(ISNUMBER(SEARCH("R", 'WetLitterbags placem_collection'!X57)),"YES","NO")</f>
        <v>YES</v>
      </c>
    </row>
    <row r="351" spans="2:31">
      <c r="B351" t="str">
        <f>'Final data_for_R_analysis_Wetse'!A497</f>
        <v>Wet</v>
      </c>
      <c r="C351" s="263">
        <f>'Final data_for_R_analysis_Wetse'!B497</f>
        <v>56</v>
      </c>
      <c r="D351" t="s">
        <v>3834</v>
      </c>
      <c r="E351" t="s">
        <v>25</v>
      </c>
      <c r="F351" s="387">
        <v>8</v>
      </c>
      <c r="G351" s="16">
        <f>'WetLitterbags placem_collection'!E58</f>
        <v>42766</v>
      </c>
      <c r="H351" s="92" t="str">
        <f>'Final data_for_R_analysis_Wetse'!J497</f>
        <v>G557</v>
      </c>
      <c r="I351" t="str">
        <f>'Final data_for_R_analysis_Wetse'!J717</f>
        <v>R58</v>
      </c>
      <c r="J351">
        <f>IFERROR(INDEX('Green_rooibos initial weight'!$C$5:$C$1749,MATCH(H351, 'Green_rooibos initial weight'!$A$5:$A$1749,0)),"")</f>
        <v>2.12</v>
      </c>
      <c r="K351">
        <f>IFERROR(INDEX('Green_rooibos initial weight'!$C$5:$C$1749,MATCH(I351, 'Green_rooibos initial weight'!$A$5:$A$1749,0)),"")</f>
        <v>2.1760000000000002</v>
      </c>
      <c r="L351" s="195">
        <f t="shared" si="38"/>
        <v>1.8702000000000001</v>
      </c>
      <c r="M351" s="195">
        <f>AVERAGE(Ashed_controlls!$K$2:$K$11)</f>
        <v>5.5147656768714146</v>
      </c>
      <c r="N351" s="195">
        <f t="shared" si="36"/>
        <v>1.9262000000000001</v>
      </c>
      <c r="O351" s="16">
        <f>IF('WetLitterbags placem_collection'!G58="N.A","",'WetLitterbags placem_collection'!G58)</f>
        <v>42820</v>
      </c>
      <c r="P351" s="195">
        <f>IF(IFERROR(INDEX('Both teabags AfterWet'!$C$3:$C$841,MATCH(H351,'Both teabags AfterWet'!$A$3:$A$841,0)),"")="N.A","",(IFERROR(INDEX('Both teabags AfterWet'!$C$3:$C$841,MATCH(H351,'Both teabags AfterWet'!$A$3:$A$841,0)),"")))</f>
        <v>0.74399999999999999</v>
      </c>
      <c r="Q351" s="195">
        <f>IFERROR(INDEX('Both teabags AfterWet'!$C$3:$C$841,MATCH(I351,'Both teabags AfterWet'!$A$3:$A$841,0)),"")</f>
        <v>1.5980000000000001</v>
      </c>
      <c r="R351" s="195">
        <f t="shared" si="39"/>
        <v>0.59339999999999993</v>
      </c>
      <c r="S351" s="195">
        <f t="shared" si="39"/>
        <v>1.4474</v>
      </c>
      <c r="T351" s="195">
        <f t="shared" si="40"/>
        <v>0.68270773179339117</v>
      </c>
      <c r="U351" s="195">
        <f t="shared" si="41"/>
        <v>0.44757086454863654</v>
      </c>
      <c r="V351" s="195">
        <f t="shared" si="42"/>
        <v>0.75142768144533278</v>
      </c>
      <c r="W351">
        <f t="shared" si="37"/>
        <v>54</v>
      </c>
      <c r="X351" s="195">
        <f t="shared" si="43"/>
        <v>0.18918321639739766</v>
      </c>
      <c r="Y351" s="195">
        <f t="shared" si="44"/>
        <v>1.5009951177338386E-2</v>
      </c>
      <c r="Z351" s="255" t="str">
        <f>IF(ISNUMBER(SEARCH("C",'WetLitterbags placem_collection'!W278)),"YES","NO")</f>
        <v>NO</v>
      </c>
      <c r="AA351" s="255" t="str">
        <f>IF(ISNUMBER(SEARCH("H", 'WetLitterbags placem_collection'!Y58)),"YES","NO")</f>
        <v>NO</v>
      </c>
      <c r="AB351" s="255" t="str">
        <f>IF(ISNUMBER(SEARCH("R", 'WetLitterbags placem_collection'!WY58)),"YES","NO")</f>
        <v>NO</v>
      </c>
      <c r="AC351" s="255" t="str">
        <f>IF(ISNUMBER(SEARCH("C", 'WetLitterbags placem_collection'!VX58)),"YES","NO")</f>
        <v>NO</v>
      </c>
      <c r="AD351" s="255" t="str">
        <f>IF(ISNUMBER(SEARCH("H", 'WetLitterbags placem_collection'!X58)),"YES","NO")</f>
        <v>NO</v>
      </c>
      <c r="AE351" s="255" t="str">
        <f>IF(ISNUMBER(SEARCH("R", 'WetLitterbags placem_collection'!X58)),"YES","NO")</f>
        <v>YES</v>
      </c>
    </row>
    <row r="352" spans="2:31">
      <c r="B352" t="str">
        <f>'Final data_for_R_analysis_Wetse'!A498</f>
        <v>Wet</v>
      </c>
      <c r="C352" s="263">
        <f>'Final data_for_R_analysis_Wetse'!B498</f>
        <v>57</v>
      </c>
      <c r="D352" t="s">
        <v>3835</v>
      </c>
      <c r="E352" t="s">
        <v>25</v>
      </c>
      <c r="F352" s="386">
        <v>1</v>
      </c>
      <c r="G352" s="16">
        <f>'WetLitterbags placem_collection'!E59</f>
        <v>42766</v>
      </c>
      <c r="H352" s="92" t="str">
        <f>'Final data_for_R_analysis_Wetse'!J498</f>
        <v>G618</v>
      </c>
      <c r="I352" t="str">
        <f>'Final data_for_R_analysis_Wetse'!J718</f>
        <v>R435</v>
      </c>
      <c r="J352">
        <f>IFERROR(INDEX('Green_rooibos initial weight'!$C$5:$C$1749,MATCH(H352, 'Green_rooibos initial weight'!$A$5:$A$1749,0)),"")</f>
        <v>2.0449999999999999</v>
      </c>
      <c r="K352">
        <f>IFERROR(INDEX('Green_rooibos initial weight'!$C$5:$C$1749,MATCH(I352, 'Green_rooibos initial weight'!$A$5:$A$1749,0)),"")</f>
        <v>2.141</v>
      </c>
      <c r="L352" s="195">
        <f t="shared" si="38"/>
        <v>1.7951999999999999</v>
      </c>
      <c r="M352" s="195">
        <f>AVERAGE(Ashed_controlls!$K$2:$K$11)</f>
        <v>5.5147656768714146</v>
      </c>
      <c r="N352" s="195">
        <f t="shared" si="36"/>
        <v>1.8912</v>
      </c>
      <c r="O352" s="16">
        <f>IF('WetLitterbags placem_collection'!G59="N.A","",'WetLitterbags placem_collection'!G59)</f>
        <v>42820</v>
      </c>
      <c r="P352" s="195">
        <f>IF(IFERROR(INDEX('Both teabags AfterWet'!$C$3:$C$841,MATCH(H352,'Both teabags AfterWet'!$A$3:$A$841,0)),"")="N.A","",(IFERROR(INDEX('Both teabags AfterWet'!$C$3:$C$841,MATCH(H352,'Both teabags AfterWet'!$A$3:$A$841,0)),"")))</f>
        <v>0.88129999999999997</v>
      </c>
      <c r="Q352" s="195">
        <f>IFERROR(INDEX('Both teabags AfterWet'!$C$3:$C$841,MATCH(I352,'Both teabags AfterWet'!$A$3:$A$841,0)),"")</f>
        <v>1.4594</v>
      </c>
      <c r="R352" s="195">
        <f t="shared" si="39"/>
        <v>0.73069999999999991</v>
      </c>
      <c r="S352" s="195">
        <f t="shared" si="39"/>
        <v>1.3088</v>
      </c>
      <c r="T352" s="195">
        <f t="shared" si="40"/>
        <v>0.59297014260249559</v>
      </c>
      <c r="U352" s="195">
        <f t="shared" si="41"/>
        <v>0.38874052104106599</v>
      </c>
      <c r="V352" s="195">
        <f t="shared" si="42"/>
        <v>0.69204737732656507</v>
      </c>
      <c r="W352">
        <f t="shared" si="37"/>
        <v>54</v>
      </c>
      <c r="X352" s="195">
        <f t="shared" si="43"/>
        <v>0.29575992565024278</v>
      </c>
      <c r="Y352" s="195">
        <f t="shared" si="44"/>
        <v>2.9094164784998048E-2</v>
      </c>
      <c r="Z352" s="255" t="str">
        <f>IF(ISNUMBER(SEARCH("C",'WetLitterbags placem_collection'!W279)),"YES","NO")</f>
        <v>NO</v>
      </c>
      <c r="AA352" s="255" t="str">
        <f>IF(ISNUMBER(SEARCH("H", 'WetLitterbags placem_collection'!Y59)),"YES","NO")</f>
        <v>NO</v>
      </c>
      <c r="AB352" s="255" t="str">
        <f>IF(ISNUMBER(SEARCH("R", 'WetLitterbags placem_collection'!WY59)),"YES","NO")</f>
        <v>NO</v>
      </c>
      <c r="AC352" s="255" t="str">
        <f>IF(ISNUMBER(SEARCH("C", 'WetLitterbags placem_collection'!VX59)),"YES","NO")</f>
        <v>NO</v>
      </c>
      <c r="AD352" s="255" t="str">
        <f>IF(ISNUMBER(SEARCH("H", 'WetLitterbags placem_collection'!X59)),"YES","NO")</f>
        <v>NO</v>
      </c>
      <c r="AE352" s="255" t="str">
        <f>IF(ISNUMBER(SEARCH("R", 'WetLitterbags placem_collection'!X59)),"YES","NO")</f>
        <v>YES</v>
      </c>
    </row>
    <row r="353" spans="2:31">
      <c r="B353" t="str">
        <f>'Final data_for_R_analysis_Wetse'!A499</f>
        <v>Wet</v>
      </c>
      <c r="C353" s="263">
        <f>'Final data_for_R_analysis_Wetse'!B499</f>
        <v>58</v>
      </c>
      <c r="D353" t="s">
        <v>3835</v>
      </c>
      <c r="E353" t="s">
        <v>25</v>
      </c>
      <c r="F353" s="386">
        <v>2</v>
      </c>
      <c r="G353" s="16">
        <f>'WetLitterbags placem_collection'!E60</f>
        <v>42766</v>
      </c>
      <c r="H353" s="92" t="str">
        <f>'Final data_for_R_analysis_Wetse'!J499</f>
        <v>G593</v>
      </c>
      <c r="I353" t="str">
        <f>'Final data_for_R_analysis_Wetse'!J719</f>
        <v>R31</v>
      </c>
      <c r="J353">
        <f>IFERROR(INDEX('Green_rooibos initial weight'!$C$5:$C$1749,MATCH(H353, 'Green_rooibos initial weight'!$A$5:$A$1749,0)),"")</f>
        <v>2.093</v>
      </c>
      <c r="K353">
        <f>IFERROR(INDEX('Green_rooibos initial weight'!$C$5:$C$1749,MATCH(I353, 'Green_rooibos initial weight'!$A$5:$A$1749,0)),"")</f>
        <v>2.1589999999999998</v>
      </c>
      <c r="L353" s="195">
        <f t="shared" si="38"/>
        <v>1.8431999999999999</v>
      </c>
      <c r="M353" s="195">
        <f>AVERAGE(Ashed_controlls!$K$2:$K$11)</f>
        <v>5.5147656768714146</v>
      </c>
      <c r="N353" s="195">
        <f t="shared" si="36"/>
        <v>1.9091999999999998</v>
      </c>
      <c r="O353" s="16">
        <f>IF('WetLitterbags placem_collection'!G60="N.A","",'WetLitterbags placem_collection'!G60)</f>
        <v>42820</v>
      </c>
      <c r="P353" s="195">
        <f>IF(IFERROR(INDEX('Both teabags AfterWet'!$C$3:$C$841,MATCH(H353,'Both teabags AfterWet'!$A$3:$A$841,0)),"")="N.A","",(IFERROR(INDEX('Both teabags AfterWet'!$C$3:$C$841,MATCH(H353,'Both teabags AfterWet'!$A$3:$A$841,0)),"")))</f>
        <v>0.97009999999999996</v>
      </c>
      <c r="Q353" s="195">
        <f>IFERROR(INDEX('Both teabags AfterWet'!$C$3:$C$841,MATCH(I353,'Both teabags AfterWet'!$A$3:$A$841,0)),"")</f>
        <v>1.1857</v>
      </c>
      <c r="R353" s="195">
        <f t="shared" si="39"/>
        <v>0.8194999999999999</v>
      </c>
      <c r="S353" s="195">
        <f t="shared" si="39"/>
        <v>1.0350999999999999</v>
      </c>
      <c r="T353" s="195">
        <f t="shared" si="40"/>
        <v>0.55539279513888895</v>
      </c>
      <c r="U353" s="195">
        <f t="shared" si="41"/>
        <v>0.36410549039984169</v>
      </c>
      <c r="V353" s="195">
        <f t="shared" si="42"/>
        <v>0.54216425728053641</v>
      </c>
      <c r="W353">
        <f t="shared" si="37"/>
        <v>54</v>
      </c>
      <c r="X353" s="195">
        <f t="shared" si="43"/>
        <v>0.34038860434811291</v>
      </c>
      <c r="Y353" s="195" t="str">
        <f t="shared" si="44"/>
        <v/>
      </c>
      <c r="Z353" s="255" t="str">
        <f>IF(ISNUMBER(SEARCH("C",'WetLitterbags placem_collection'!W280)),"YES","NO")</f>
        <v>NO</v>
      </c>
      <c r="AA353" s="255" t="str">
        <f>IF(ISNUMBER(SEARCH("H", 'WetLitterbags placem_collection'!Y60)),"YES","NO")</f>
        <v>NO</v>
      </c>
      <c r="AB353" s="255" t="str">
        <f>IF(ISNUMBER(SEARCH("R", 'WetLitterbags placem_collection'!WY60)),"YES","NO")</f>
        <v>NO</v>
      </c>
      <c r="AC353" s="255" t="str">
        <f>IF(ISNUMBER(SEARCH("C", 'WetLitterbags placem_collection'!VX60)),"YES","NO")</f>
        <v>NO</v>
      </c>
      <c r="AD353" s="255" t="str">
        <f>IF(ISNUMBER(SEARCH("H", 'WetLitterbags placem_collection'!X60)),"YES","NO")</f>
        <v>NO</v>
      </c>
      <c r="AE353" s="255" t="str">
        <f>IF(ISNUMBER(SEARCH("R", 'WetLitterbags placem_collection'!X60)),"YES","NO")</f>
        <v>YES</v>
      </c>
    </row>
    <row r="354" spans="2:31">
      <c r="B354" t="str">
        <f>'Final data_for_R_analysis_Wetse'!A500</f>
        <v>Wet</v>
      </c>
      <c r="C354" s="263">
        <f>'Final data_for_R_analysis_Wetse'!B500</f>
        <v>59</v>
      </c>
      <c r="D354" t="s">
        <v>3835</v>
      </c>
      <c r="E354" t="s">
        <v>25</v>
      </c>
      <c r="F354" s="386">
        <v>3</v>
      </c>
      <c r="G354" s="16">
        <f>'WetLitterbags placem_collection'!E61</f>
        <v>42766</v>
      </c>
      <c r="H354" s="92" t="str">
        <f>'Final data_for_R_analysis_Wetse'!J500</f>
        <v>G600</v>
      </c>
      <c r="I354" t="str">
        <f>'Final data_for_R_analysis_Wetse'!J720</f>
        <v>R120</v>
      </c>
      <c r="J354">
        <f>IFERROR(INDEX('Green_rooibos initial weight'!$C$5:$C$1749,MATCH(H354, 'Green_rooibos initial weight'!$A$5:$A$1749,0)),"")</f>
        <v>2.0049999999999999</v>
      </c>
      <c r="K354">
        <f>IFERROR(INDEX('Green_rooibos initial weight'!$C$5:$C$1749,MATCH(I354, 'Green_rooibos initial weight'!$A$5:$A$1749,0)),"")</f>
        <v>2.2450000000000001</v>
      </c>
      <c r="L354" s="195">
        <f t="shared" si="38"/>
        <v>1.7551999999999999</v>
      </c>
      <c r="M354" s="195">
        <f>AVERAGE(Ashed_controlls!$K$2:$K$11)</f>
        <v>5.5147656768714146</v>
      </c>
      <c r="N354" s="195">
        <f t="shared" si="36"/>
        <v>1.9952000000000001</v>
      </c>
      <c r="O354" s="16">
        <f>IF('WetLitterbags placem_collection'!G61="N.A","",'WetLitterbags placem_collection'!G61)</f>
        <v>42820</v>
      </c>
      <c r="P354" s="195">
        <f>IF(IFERROR(INDEX('Both teabags AfterWet'!$C$3:$C$841,MATCH(H354,'Both teabags AfterWet'!$A$3:$A$841,0)),"")="N.A","",(IFERROR(INDEX('Both teabags AfterWet'!$C$3:$C$841,MATCH(H354,'Both teabags AfterWet'!$A$3:$A$841,0)),"")))</f>
        <v>0.90200000000000002</v>
      </c>
      <c r="Q354" s="195">
        <f>IFERROR(INDEX('Both teabags AfterWet'!$C$3:$C$841,MATCH(I354,'Both teabags AfterWet'!$A$3:$A$841,0)),"")</f>
        <v>1.4690000000000001</v>
      </c>
      <c r="R354" s="195">
        <f t="shared" si="39"/>
        <v>0.75140000000000007</v>
      </c>
      <c r="S354" s="195">
        <f t="shared" si="39"/>
        <v>1.3184</v>
      </c>
      <c r="T354" s="195">
        <f t="shared" si="40"/>
        <v>0.57190063810391978</v>
      </c>
      <c r="U354" s="195">
        <f t="shared" si="41"/>
        <v>0.37492773424389997</v>
      </c>
      <c r="V354" s="195">
        <f t="shared" si="42"/>
        <v>0.66078588612670408</v>
      </c>
      <c r="W354">
        <f t="shared" si="37"/>
        <v>54</v>
      </c>
      <c r="X354" s="195">
        <f t="shared" si="43"/>
        <v>0.32078309013786244</v>
      </c>
      <c r="Y354" s="195">
        <f t="shared" si="44"/>
        <v>4.3540762216786329E-2</v>
      </c>
      <c r="Z354" s="255" t="str">
        <f>IF(ISNUMBER(SEARCH("C",'WetLitterbags placem_collection'!W281)),"YES","NO")</f>
        <v>NO</v>
      </c>
      <c r="AA354" s="255" t="str">
        <f>IF(ISNUMBER(SEARCH("H", 'WetLitterbags placem_collection'!Y61)),"YES","NO")</f>
        <v>NO</v>
      </c>
      <c r="AB354" s="255" t="str">
        <f>IF(ISNUMBER(SEARCH("R", 'WetLitterbags placem_collection'!WY61)),"YES","NO")</f>
        <v>NO</v>
      </c>
      <c r="AC354" s="255" t="str">
        <f>IF(ISNUMBER(SEARCH("C", 'WetLitterbags placem_collection'!VX61)),"YES","NO")</f>
        <v>NO</v>
      </c>
      <c r="AD354" s="255" t="str">
        <f>IF(ISNUMBER(SEARCH("H", 'WetLitterbags placem_collection'!X61)),"YES","NO")</f>
        <v>NO</v>
      </c>
      <c r="AE354" s="255" t="str">
        <f>IF(ISNUMBER(SEARCH("R", 'WetLitterbags placem_collection'!X61)),"YES","NO")</f>
        <v>NO</v>
      </c>
    </row>
    <row r="355" spans="2:31">
      <c r="B355" t="str">
        <f>'Final data_for_R_analysis_Wetse'!A501</f>
        <v>Wet</v>
      </c>
      <c r="C355" s="263">
        <f>'Final data_for_R_analysis_Wetse'!B501</f>
        <v>60</v>
      </c>
      <c r="D355" t="s">
        <v>3835</v>
      </c>
      <c r="E355" t="s">
        <v>25</v>
      </c>
      <c r="F355" s="387">
        <v>4</v>
      </c>
      <c r="G355" s="16">
        <f>'WetLitterbags placem_collection'!E62</f>
        <v>42766</v>
      </c>
      <c r="H355" s="92" t="str">
        <f>'Final data_for_R_analysis_Wetse'!J501</f>
        <v>G535</v>
      </c>
      <c r="I355" t="str">
        <f>'Final data_for_R_analysis_Wetse'!J721</f>
        <v>R390</v>
      </c>
      <c r="J355">
        <f>IFERROR(INDEX('Green_rooibos initial weight'!$C$5:$C$1749,MATCH(H355, 'Green_rooibos initial weight'!$A$5:$A$1749,0)),"")</f>
        <v>2.0920000000000001</v>
      </c>
      <c r="K355">
        <f>IFERROR(INDEX('Green_rooibos initial weight'!$C$5:$C$1749,MATCH(I355, 'Green_rooibos initial weight'!$A$5:$A$1749,0)),"")</f>
        <v>2.2480000000000002</v>
      </c>
      <c r="L355" s="195">
        <f t="shared" si="38"/>
        <v>1.8422000000000001</v>
      </c>
      <c r="M355" s="195">
        <f>AVERAGE(Ashed_controlls!$K$2:$K$11)</f>
        <v>5.5147656768714146</v>
      </c>
      <c r="N355" s="195">
        <f t="shared" si="36"/>
        <v>1.9982000000000002</v>
      </c>
      <c r="O355" s="16">
        <f>IF('WetLitterbags placem_collection'!G62="N.A","",'WetLitterbags placem_collection'!G62)</f>
        <v>42820</v>
      </c>
      <c r="P355" s="195">
        <f>IF(IFERROR(INDEX('Both teabags AfterWet'!$C$3:$C$841,MATCH(H355,'Both teabags AfterWet'!$A$3:$A$841,0)),"")="N.A","",(IFERROR(INDEX('Both teabags AfterWet'!$C$3:$C$841,MATCH(H355,'Both teabags AfterWet'!$A$3:$A$841,0)),"")))</f>
        <v>0.78</v>
      </c>
      <c r="Q355" s="195">
        <f>IFERROR(INDEX('Both teabags AfterWet'!$C$3:$C$841,MATCH(I355,'Both teabags AfterWet'!$A$3:$A$841,0)),"")</f>
        <v>1.5309999999999999</v>
      </c>
      <c r="R355" s="195">
        <f t="shared" si="39"/>
        <v>0.62939999999999996</v>
      </c>
      <c r="S355" s="195">
        <f t="shared" si="39"/>
        <v>1.3803999999999998</v>
      </c>
      <c r="T355" s="195">
        <f t="shared" si="40"/>
        <v>0.65834328520247531</v>
      </c>
      <c r="U355" s="195">
        <f t="shared" si="41"/>
        <v>0.43159797319687221</v>
      </c>
      <c r="V355" s="195">
        <f t="shared" si="42"/>
        <v>0.69082173956560888</v>
      </c>
      <c r="W355">
        <f t="shared" si="37"/>
        <v>54</v>
      </c>
      <c r="X355" s="195">
        <f t="shared" si="43"/>
        <v>0.21811961377378231</v>
      </c>
      <c r="Y355" s="195">
        <f t="shared" si="44"/>
        <v>2.3334057930723615E-2</v>
      </c>
      <c r="Z355" s="255" t="str">
        <f>IF(ISNUMBER(SEARCH("C",'WetLitterbags placem_collection'!W282)),"YES","NO")</f>
        <v>NO</v>
      </c>
      <c r="AA355" s="255" t="str">
        <f>IF(ISNUMBER(SEARCH("H", 'WetLitterbags placem_collection'!Y62)),"YES","NO")</f>
        <v>YES</v>
      </c>
      <c r="AB355" s="255" t="str">
        <f>IF(ISNUMBER(SEARCH("R", 'WetLitterbags placem_collection'!WY62)),"YES","NO")</f>
        <v>NO</v>
      </c>
      <c r="AC355" s="255" t="str">
        <f>IF(ISNUMBER(SEARCH("C", 'WetLitterbags placem_collection'!VX62)),"YES","NO")</f>
        <v>NO</v>
      </c>
      <c r="AD355" s="255" t="str">
        <f>IF(ISNUMBER(SEARCH("H", 'WetLitterbags placem_collection'!X62)),"YES","NO")</f>
        <v>NO</v>
      </c>
      <c r="AE355" s="255" t="str">
        <f>IF(ISNUMBER(SEARCH("R", 'WetLitterbags placem_collection'!X62)),"YES","NO")</f>
        <v>NO</v>
      </c>
    </row>
    <row r="356" spans="2:31">
      <c r="B356" t="str">
        <f>'Final data_for_R_analysis_Wetse'!A502</f>
        <v>Wet</v>
      </c>
      <c r="C356" s="263">
        <f>'Final data_for_R_analysis_Wetse'!B502</f>
        <v>61</v>
      </c>
      <c r="D356" t="s">
        <v>3835</v>
      </c>
      <c r="E356" t="s">
        <v>25</v>
      </c>
      <c r="F356" s="387">
        <v>5</v>
      </c>
      <c r="G356" s="16">
        <f>'WetLitterbags placem_collection'!E63</f>
        <v>42766</v>
      </c>
      <c r="H356" s="92" t="str">
        <f>'Final data_for_R_analysis_Wetse'!J502</f>
        <v>G391</v>
      </c>
      <c r="I356" t="str">
        <f>'Final data_for_R_analysis_Wetse'!J722</f>
        <v>R143</v>
      </c>
      <c r="J356">
        <f>IFERROR(INDEX('Green_rooibos initial weight'!$C$5:$C$1749,MATCH(H356, 'Green_rooibos initial weight'!$A$5:$A$1749,0)),"")</f>
        <v>1.9419999999999999</v>
      </c>
      <c r="K356">
        <f>IFERROR(INDEX('Green_rooibos initial weight'!$C$5:$C$1749,MATCH(I356, 'Green_rooibos initial weight'!$A$5:$A$1749,0)),"")</f>
        <v>2.1560000000000001</v>
      </c>
      <c r="L356" s="195">
        <f t="shared" si="38"/>
        <v>1.6921999999999999</v>
      </c>
      <c r="M356" s="195">
        <f>AVERAGE(Ashed_controlls!$K$2:$K$11)</f>
        <v>5.5147656768714146</v>
      </c>
      <c r="N356" s="195">
        <f t="shared" si="36"/>
        <v>1.9062000000000001</v>
      </c>
      <c r="O356" s="16">
        <f>IF('WetLitterbags placem_collection'!G63="N.A","",'WetLitterbags placem_collection'!G63)</f>
        <v>42820</v>
      </c>
      <c r="P356" s="195">
        <f>IF(IFERROR(INDEX('Both teabags AfterWet'!$C$3:$C$841,MATCH(H356,'Both teabags AfterWet'!$A$3:$A$841,0)),"")="N.A","",(IFERROR(INDEX('Both teabags AfterWet'!$C$3:$C$841,MATCH(H356,'Both teabags AfterWet'!$A$3:$A$841,0)),"")))</f>
        <v>0.628</v>
      </c>
      <c r="Q356" s="195">
        <f>IFERROR(INDEX('Both teabags AfterWet'!$C$3:$C$841,MATCH(I356,'Both teabags AfterWet'!$A$3:$A$841,0)),"")</f>
        <v>1.581</v>
      </c>
      <c r="R356" s="195">
        <f t="shared" si="39"/>
        <v>0.47739999999999999</v>
      </c>
      <c r="S356" s="195">
        <f t="shared" si="39"/>
        <v>1.4303999999999999</v>
      </c>
      <c r="T356" s="195">
        <f t="shared" si="40"/>
        <v>0.71788204703935699</v>
      </c>
      <c r="U356" s="195">
        <f t="shared" si="41"/>
        <v>0.47063051064812961</v>
      </c>
      <c r="V356" s="195">
        <f t="shared" si="42"/>
        <v>0.75039345294302795</v>
      </c>
      <c r="W356">
        <f t="shared" si="37"/>
        <v>54</v>
      </c>
      <c r="X356" s="195">
        <f t="shared" si="43"/>
        <v>0.14740849520266386</v>
      </c>
      <c r="Y356" s="195">
        <f t="shared" si="44"/>
        <v>1.3996336657769519E-2</v>
      </c>
      <c r="Z356" s="255" t="str">
        <f>IF(ISNUMBER(SEARCH("C",'WetLitterbags placem_collection'!W283)),"YES","NO")</f>
        <v>NO</v>
      </c>
      <c r="AA356" s="255" t="str">
        <f>IF(ISNUMBER(SEARCH("H", 'WetLitterbags placem_collection'!Y63)),"YES","NO")</f>
        <v>NO</v>
      </c>
      <c r="AB356" s="255" t="str">
        <f>IF(ISNUMBER(SEARCH("R", 'WetLitterbags placem_collection'!WY63)),"YES","NO")</f>
        <v>NO</v>
      </c>
      <c r="AC356" s="255" t="str">
        <f>IF(ISNUMBER(SEARCH("C", 'WetLitterbags placem_collection'!VX63)),"YES","NO")</f>
        <v>NO</v>
      </c>
      <c r="AD356" s="255" t="str">
        <f>IF(ISNUMBER(SEARCH("H", 'WetLitterbags placem_collection'!X63)),"YES","NO")</f>
        <v>NO</v>
      </c>
      <c r="AE356" s="255" t="str">
        <f>IF(ISNUMBER(SEARCH("R", 'WetLitterbags placem_collection'!X63)),"YES","NO")</f>
        <v>YES</v>
      </c>
    </row>
    <row r="357" spans="2:31">
      <c r="B357" t="str">
        <f>'Final data_for_R_analysis_Wetse'!A503</f>
        <v>Wet</v>
      </c>
      <c r="C357" s="263">
        <f>'Final data_for_R_analysis_Wetse'!B503</f>
        <v>62</v>
      </c>
      <c r="D357" t="s">
        <v>3835</v>
      </c>
      <c r="E357" t="s">
        <v>25</v>
      </c>
      <c r="F357" s="387">
        <v>6</v>
      </c>
      <c r="G357" s="16">
        <f>'WetLitterbags placem_collection'!E64</f>
        <v>42766</v>
      </c>
      <c r="H357" s="92" t="str">
        <f>'Final data_for_R_analysis_Wetse'!J503</f>
        <v>G445</v>
      </c>
      <c r="I357" t="str">
        <f>'Final data_for_R_analysis_Wetse'!J723</f>
        <v>R448</v>
      </c>
      <c r="J357">
        <f>IFERROR(INDEX('Green_rooibos initial weight'!$C$5:$C$1749,MATCH(H357, 'Green_rooibos initial weight'!$A$5:$A$1749,0)),"")</f>
        <v>2.1150000000000002</v>
      </c>
      <c r="K357">
        <f>IFERROR(INDEX('Green_rooibos initial weight'!$C$5:$C$1749,MATCH(I357, 'Green_rooibos initial weight'!$A$5:$A$1749,0)),"")</f>
        <v>2.2029999999999998</v>
      </c>
      <c r="L357" s="195">
        <f t="shared" si="38"/>
        <v>1.8652000000000002</v>
      </c>
      <c r="M357" s="195">
        <f>AVERAGE(Ashed_controlls!$K$2:$K$11)</f>
        <v>5.5147656768714146</v>
      </c>
      <c r="N357" s="195">
        <f t="shared" si="36"/>
        <v>1.9531999999999998</v>
      </c>
      <c r="O357" s="16">
        <f>IF('WetLitterbags placem_collection'!G64="N.A","",'WetLitterbags placem_collection'!G64)</f>
        <v>42820</v>
      </c>
      <c r="P357" s="195">
        <f>IF(IFERROR(INDEX('Both teabags AfterWet'!$C$3:$C$841,MATCH(H357,'Both teabags AfterWet'!$A$3:$A$841,0)),"")="N.A","",(IFERROR(INDEX('Both teabags AfterWet'!$C$3:$C$841,MATCH(H357,'Both teabags AfterWet'!$A$3:$A$841,0)),"")))</f>
        <v>0.80569999999999997</v>
      </c>
      <c r="Q357" s="195">
        <f>IFERROR(INDEX('Both teabags AfterWet'!$C$3:$C$841,MATCH(I357,'Both teabags AfterWet'!$A$3:$A$841,0)),"")</f>
        <v>1.5379</v>
      </c>
      <c r="R357" s="195">
        <f t="shared" si="39"/>
        <v>0.65510000000000002</v>
      </c>
      <c r="S357" s="195">
        <f t="shared" si="39"/>
        <v>1.3873</v>
      </c>
      <c r="T357" s="195">
        <f t="shared" si="40"/>
        <v>0.64877761098005582</v>
      </c>
      <c r="U357" s="195">
        <f t="shared" si="41"/>
        <v>0.42532688985865896</v>
      </c>
      <c r="V357" s="195">
        <f t="shared" si="42"/>
        <v>0.71027032561949621</v>
      </c>
      <c r="W357">
        <f t="shared" si="37"/>
        <v>54</v>
      </c>
      <c r="X357" s="195">
        <f t="shared" si="43"/>
        <v>0.22948027199518306</v>
      </c>
      <c r="Y357" s="195">
        <f t="shared" si="44"/>
        <v>2.1169799729873304E-2</v>
      </c>
      <c r="Z357" s="255" t="str">
        <f>IF(ISNUMBER(SEARCH("C",'WetLitterbags placem_collection'!W284)),"YES","NO")</f>
        <v>NO</v>
      </c>
      <c r="AA357" s="255" t="str">
        <f>IF(ISNUMBER(SEARCH("H", 'WetLitterbags placem_collection'!Y64)),"YES","NO")</f>
        <v>NO</v>
      </c>
      <c r="AB357" s="255" t="str">
        <f>IF(ISNUMBER(SEARCH("R", 'WetLitterbags placem_collection'!WY64)),"YES","NO")</f>
        <v>NO</v>
      </c>
      <c r="AC357" s="255" t="str">
        <f>IF(ISNUMBER(SEARCH("C", 'WetLitterbags placem_collection'!VX64)),"YES","NO")</f>
        <v>NO</v>
      </c>
      <c r="AD357" s="255" t="str">
        <f>IF(ISNUMBER(SEARCH("H", 'WetLitterbags placem_collection'!X64)),"YES","NO")</f>
        <v>NO</v>
      </c>
      <c r="AE357" s="255" t="str">
        <f>IF(ISNUMBER(SEARCH("R", 'WetLitterbags placem_collection'!X64)),"YES","NO")</f>
        <v>NO</v>
      </c>
    </row>
    <row r="358" spans="2:31">
      <c r="B358" t="str">
        <f>'Final data_for_R_analysis_Wetse'!A504</f>
        <v>Wet</v>
      </c>
      <c r="C358" s="263">
        <f>'Final data_for_R_analysis_Wetse'!B504</f>
        <v>63</v>
      </c>
      <c r="D358" t="s">
        <v>3835</v>
      </c>
      <c r="E358" t="s">
        <v>25</v>
      </c>
      <c r="F358" s="387">
        <v>7</v>
      </c>
      <c r="G358" s="16">
        <f>'WetLitterbags placem_collection'!E65</f>
        <v>42766</v>
      </c>
      <c r="H358" s="92" t="str">
        <f>'Final data_for_R_analysis_Wetse'!J504</f>
        <v>G440</v>
      </c>
      <c r="I358" t="str">
        <f>'Final data_for_R_analysis_Wetse'!J724</f>
        <v>R423</v>
      </c>
      <c r="J358">
        <f>IFERROR(INDEX('Green_rooibos initial weight'!$C$5:$C$1749,MATCH(H358, 'Green_rooibos initial weight'!$A$5:$A$1749,0)),"")</f>
        <v>2.1070000000000002</v>
      </c>
      <c r="K358">
        <f>IFERROR(INDEX('Green_rooibos initial weight'!$C$5:$C$1749,MATCH(I358, 'Green_rooibos initial weight'!$A$5:$A$1749,0)),"")</f>
        <v>2.1760000000000002</v>
      </c>
      <c r="L358" s="195">
        <f t="shared" si="38"/>
        <v>1.8572000000000002</v>
      </c>
      <c r="M358" s="195">
        <f>AVERAGE(Ashed_controlls!$K$2:$K$11)</f>
        <v>5.5147656768714146</v>
      </c>
      <c r="N358" s="195">
        <f t="shared" si="36"/>
        <v>1.9262000000000001</v>
      </c>
      <c r="O358" s="16">
        <f>IF('WetLitterbags placem_collection'!G65="N.A","",'WetLitterbags placem_collection'!G65)</f>
        <v>42820</v>
      </c>
      <c r="P358" s="195">
        <f>IF(IFERROR(INDEX('Both teabags AfterWet'!$C$3:$C$841,MATCH(H358,'Both teabags AfterWet'!$A$3:$A$841,0)),"")="N.A","",(IFERROR(INDEX('Both teabags AfterWet'!$C$3:$C$841,MATCH(H358,'Both teabags AfterWet'!$A$3:$A$841,0)),"")))</f>
        <v>0.94199999999999995</v>
      </c>
      <c r="Q358" s="195">
        <f>IFERROR(INDEX('Both teabags AfterWet'!$C$3:$C$841,MATCH(I358,'Both teabags AfterWet'!$A$3:$A$841,0)),"")</f>
        <v>1.6359999999999999</v>
      </c>
      <c r="R358" s="195">
        <f t="shared" si="39"/>
        <v>0.79139999999999988</v>
      </c>
      <c r="S358" s="195">
        <f t="shared" si="39"/>
        <v>1.4853999999999998</v>
      </c>
      <c r="T358" s="195">
        <f t="shared" si="40"/>
        <v>0.57387465001076898</v>
      </c>
      <c r="U358" s="195">
        <f t="shared" si="41"/>
        <v>0.37622186081466091</v>
      </c>
      <c r="V358" s="195">
        <f t="shared" si="42"/>
        <v>0.77115564323538555</v>
      </c>
      <c r="W358">
        <f t="shared" si="37"/>
        <v>54</v>
      </c>
      <c r="X358" s="195">
        <f t="shared" si="43"/>
        <v>0.31843865794445492</v>
      </c>
      <c r="Y358" s="195">
        <f t="shared" si="44"/>
        <v>1.7355216203907158E-2</v>
      </c>
      <c r="Z358" s="255" t="str">
        <f>IF(ISNUMBER(SEARCH("C",'WetLitterbags placem_collection'!W285)),"YES","NO")</f>
        <v>NO</v>
      </c>
      <c r="AA358" s="255" t="str">
        <f>IF(ISNUMBER(SEARCH("H", 'WetLitterbags placem_collection'!Y65)),"YES","NO")</f>
        <v>NO</v>
      </c>
      <c r="AB358" s="255" t="str">
        <f>IF(ISNUMBER(SEARCH("R", 'WetLitterbags placem_collection'!WY65)),"YES","NO")</f>
        <v>NO</v>
      </c>
      <c r="AC358" s="255" t="str">
        <f>IF(ISNUMBER(SEARCH("C", 'WetLitterbags placem_collection'!VX65)),"YES","NO")</f>
        <v>NO</v>
      </c>
      <c r="AD358" s="255" t="str">
        <f>IF(ISNUMBER(SEARCH("H", 'WetLitterbags placem_collection'!X65)),"YES","NO")</f>
        <v>NO</v>
      </c>
      <c r="AE358" s="255" t="str">
        <f>IF(ISNUMBER(SEARCH("R", 'WetLitterbags placem_collection'!X65)),"YES","NO")</f>
        <v>YES</v>
      </c>
    </row>
    <row r="359" spans="2:31">
      <c r="B359" t="str">
        <f>'Final data_for_R_analysis_Wetse'!A505</f>
        <v>Wet</v>
      </c>
      <c r="C359" s="263">
        <f>'Final data_for_R_analysis_Wetse'!B505</f>
        <v>64</v>
      </c>
      <c r="D359" t="s">
        <v>3835</v>
      </c>
      <c r="E359" t="s">
        <v>25</v>
      </c>
      <c r="F359" s="387">
        <v>8</v>
      </c>
      <c r="G359" s="16">
        <f>'WetLitterbags placem_collection'!E66</f>
        <v>42766</v>
      </c>
      <c r="H359" s="92" t="str">
        <f>'Final data_for_R_analysis_Wetse'!J505</f>
        <v>G673</v>
      </c>
      <c r="I359" t="str">
        <f>'Final data_for_R_analysis_Wetse'!J725</f>
        <v>R550</v>
      </c>
      <c r="J359">
        <f>IFERROR(INDEX('Green_rooibos initial weight'!$C$5:$C$1749,MATCH(H359, 'Green_rooibos initial weight'!$A$5:$A$1749,0)),"")</f>
        <v>2.1160000000000001</v>
      </c>
      <c r="K359">
        <f>IFERROR(INDEX('Green_rooibos initial weight'!$C$5:$C$1749,MATCH(I359, 'Green_rooibos initial weight'!$A$5:$A$1749,0)),"")</f>
        <v>2.177</v>
      </c>
      <c r="L359" s="195">
        <f t="shared" si="38"/>
        <v>1.8662000000000001</v>
      </c>
      <c r="M359" s="195">
        <f>AVERAGE(Ashed_controlls!$K$2:$K$11)</f>
        <v>5.5147656768714146</v>
      </c>
      <c r="N359" s="195">
        <f t="shared" si="36"/>
        <v>1.9272</v>
      </c>
      <c r="O359" s="16">
        <f>IF('WetLitterbags placem_collection'!G66="N.A","",'WetLitterbags placem_collection'!G66)</f>
        <v>42820</v>
      </c>
      <c r="P359" s="195">
        <f>IF(IFERROR(INDEX('Both teabags AfterWet'!$C$3:$C$841,MATCH(H359,'Both teabags AfterWet'!$A$3:$A$841,0)),"")="N.A","",(IFERROR(INDEX('Both teabags AfterWet'!$C$3:$C$841,MATCH(H359,'Both teabags AfterWet'!$A$3:$A$841,0)),"")))</f>
        <v>1.0449999999999999</v>
      </c>
      <c r="Q359" s="195">
        <f>IFERROR(INDEX('Both teabags AfterWet'!$C$3:$C$841,MATCH(I359,'Both teabags AfterWet'!$A$3:$A$841,0)),"")</f>
        <v>1.6930000000000001</v>
      </c>
      <c r="R359" s="195">
        <f t="shared" si="39"/>
        <v>0.89439999999999986</v>
      </c>
      <c r="S359" s="195">
        <f t="shared" si="39"/>
        <v>1.5424</v>
      </c>
      <c r="T359" s="195">
        <f t="shared" si="40"/>
        <v>0.52073732718894017</v>
      </c>
      <c r="U359" s="195">
        <f t="shared" si="41"/>
        <v>0.34138599122125296</v>
      </c>
      <c r="V359" s="195">
        <f t="shared" si="42"/>
        <v>0.8003320880033209</v>
      </c>
      <c r="W359">
        <f t="shared" si="37"/>
        <v>54</v>
      </c>
      <c r="X359" s="195">
        <f t="shared" si="43"/>
        <v>0.38154711735280267</v>
      </c>
      <c r="Y359" s="195">
        <f t="shared" si="44"/>
        <v>1.6281000918439117E-2</v>
      </c>
      <c r="Z359" s="255" t="str">
        <f>IF(ISNUMBER(SEARCH("C",'WetLitterbags placem_collection'!W286)),"YES","NO")</f>
        <v>NO</v>
      </c>
      <c r="AA359" s="255" t="str">
        <f>IF(ISNUMBER(SEARCH("H", 'WetLitterbags placem_collection'!Y66)),"YES","NO")</f>
        <v>NO</v>
      </c>
      <c r="AB359" s="255" t="str">
        <f>IF(ISNUMBER(SEARCH("R", 'WetLitterbags placem_collection'!WY66)),"YES","NO")</f>
        <v>NO</v>
      </c>
      <c r="AC359" s="255" t="str">
        <f>IF(ISNUMBER(SEARCH("C", 'WetLitterbags placem_collection'!VX66)),"YES","NO")</f>
        <v>NO</v>
      </c>
      <c r="AD359" s="255" t="str">
        <f>IF(ISNUMBER(SEARCH("H", 'WetLitterbags placem_collection'!X66)),"YES","NO")</f>
        <v>NO</v>
      </c>
      <c r="AE359" s="255" t="str">
        <f>IF(ISNUMBER(SEARCH("R", 'WetLitterbags placem_collection'!X66)),"YES","NO")</f>
        <v>NO</v>
      </c>
    </row>
    <row r="360" spans="2:31">
      <c r="B360" t="str">
        <f>'Final data_for_R_analysis_Wetse'!A506</f>
        <v>Wet</v>
      </c>
      <c r="C360" s="263">
        <f>'Final data_for_R_analysis_Wetse'!B506</f>
        <v>65</v>
      </c>
      <c r="D360" t="s">
        <v>3836</v>
      </c>
      <c r="E360" t="s">
        <v>25</v>
      </c>
      <c r="F360" s="386">
        <v>1</v>
      </c>
      <c r="G360" s="16">
        <f>'WetLitterbags placem_collection'!E67</f>
        <v>42767</v>
      </c>
      <c r="H360" s="92" t="str">
        <f>'Final data_for_R_analysis_Wetse'!J506</f>
        <v>G700</v>
      </c>
      <c r="I360" t="str">
        <f>'Final data_for_R_analysis_Wetse'!J726</f>
        <v>R333</v>
      </c>
      <c r="J360">
        <f>IFERROR(INDEX('Green_rooibos initial weight'!$C$5:$C$1749,MATCH(H360, 'Green_rooibos initial weight'!$A$5:$A$1749,0)),"")</f>
        <v>2.0190000000000001</v>
      </c>
      <c r="K360">
        <f>IFERROR(INDEX('Green_rooibos initial weight'!$C$5:$C$1749,MATCH(I360, 'Green_rooibos initial weight'!$A$5:$A$1749,0)),"")</f>
        <v>2.27</v>
      </c>
      <c r="L360" s="195">
        <f t="shared" si="38"/>
        <v>1.7692000000000001</v>
      </c>
      <c r="M360" s="195">
        <f>AVERAGE(Ashed_controlls!$K$2:$K$11)</f>
        <v>5.5147656768714146</v>
      </c>
      <c r="N360" s="195">
        <f t="shared" si="36"/>
        <v>2.0202</v>
      </c>
      <c r="O360" s="16">
        <f>IF('WetLitterbags placem_collection'!G67="N.A","",'WetLitterbags placem_collection'!G67)</f>
        <v>42818</v>
      </c>
      <c r="P360" s="195">
        <f>IF(IFERROR(INDEX('Both teabags AfterWet'!$C$3:$C$841,MATCH(H360,'Both teabags AfterWet'!$A$3:$A$841,0)),"")="N.A","",(IFERROR(INDEX('Both teabags AfterWet'!$C$3:$C$841,MATCH(H360,'Both teabags AfterWet'!$A$3:$A$841,0)),"")))</f>
        <v>0.82299999999999995</v>
      </c>
      <c r="Q360" s="195">
        <f>IFERROR(INDEX('Both teabags AfterWet'!$C$3:$C$841,MATCH(I360,'Both teabags AfterWet'!$A$3:$A$841,0)),"")</f>
        <v>1.6319999999999999</v>
      </c>
      <c r="R360" s="195">
        <f t="shared" si="39"/>
        <v>0.67239999999999989</v>
      </c>
      <c r="S360" s="195">
        <f t="shared" si="39"/>
        <v>1.4813999999999998</v>
      </c>
      <c r="T360" s="195">
        <f t="shared" si="40"/>
        <v>0.61994121636898036</v>
      </c>
      <c r="U360" s="195">
        <f t="shared" si="41"/>
        <v>0.40642227011363091</v>
      </c>
      <c r="V360" s="195">
        <f t="shared" si="42"/>
        <v>0.73329373329373326</v>
      </c>
      <c r="W360">
        <f t="shared" si="37"/>
        <v>51</v>
      </c>
      <c r="X360" s="195">
        <f t="shared" si="43"/>
        <v>0.26372777153327742</v>
      </c>
      <c r="Y360" s="195">
        <f t="shared" si="44"/>
        <v>2.0936879961572005E-2</v>
      </c>
      <c r="Z360" s="255" t="str">
        <f>IF(ISNUMBER(SEARCH("C",'WetLitterbags placem_collection'!W287)),"YES","NO")</f>
        <v>NO</v>
      </c>
      <c r="AA360" s="255" t="str">
        <f>IF(ISNUMBER(SEARCH("H", 'WetLitterbags placem_collection'!Y67)),"YES","NO")</f>
        <v>NO</v>
      </c>
      <c r="AB360" s="255" t="str">
        <f>IF(ISNUMBER(SEARCH("R", 'WetLitterbags placem_collection'!WY67)),"YES","NO")</f>
        <v>NO</v>
      </c>
      <c r="AC360" s="255" t="str">
        <f>IF(ISNUMBER(SEARCH("C", 'WetLitterbags placem_collection'!VX67)),"YES","NO")</f>
        <v>NO</v>
      </c>
      <c r="AD360" s="255" t="str">
        <f>IF(ISNUMBER(SEARCH("H", 'WetLitterbags placem_collection'!X67)),"YES","NO")</f>
        <v>NO</v>
      </c>
      <c r="AE360" s="255" t="str">
        <f>IF(ISNUMBER(SEARCH("R", 'WetLitterbags placem_collection'!X67)),"YES","NO")</f>
        <v>YES</v>
      </c>
    </row>
    <row r="361" spans="2:31">
      <c r="B361" t="str">
        <f>'Final data_for_R_analysis_Wetse'!A507</f>
        <v>Wet</v>
      </c>
      <c r="C361" s="263">
        <f>'Final data_for_R_analysis_Wetse'!B507</f>
        <v>66</v>
      </c>
      <c r="D361" t="s">
        <v>3836</v>
      </c>
      <c r="E361" t="s">
        <v>25</v>
      </c>
      <c r="F361" s="386">
        <v>2</v>
      </c>
      <c r="G361" s="16">
        <f>'WetLitterbags placem_collection'!E68</f>
        <v>42767</v>
      </c>
      <c r="H361" s="92" t="str">
        <f>'Final data_for_R_analysis_Wetse'!J507</f>
        <v>G760</v>
      </c>
      <c r="I361" t="str">
        <f>'Final data_for_R_analysis_Wetse'!J727</f>
        <v>R252</v>
      </c>
      <c r="J361">
        <f>IFERROR(INDEX('Green_rooibos initial weight'!$C$5:$C$1749,MATCH(H361, 'Green_rooibos initial weight'!$A$5:$A$1749,0)),"")</f>
        <v>1.948</v>
      </c>
      <c r="K361">
        <f>IFERROR(INDEX('Green_rooibos initial weight'!$C$5:$C$1749,MATCH(I361, 'Green_rooibos initial weight'!$A$5:$A$1749,0)),"")</f>
        <v>2.2069999999999999</v>
      </c>
      <c r="L361" s="195">
        <f t="shared" si="38"/>
        <v>1.6981999999999999</v>
      </c>
      <c r="M361" s="195">
        <f>AVERAGE(Ashed_controlls!$K$2:$K$11)</f>
        <v>5.5147656768714146</v>
      </c>
      <c r="N361" s="195">
        <f t="shared" si="36"/>
        <v>1.9571999999999998</v>
      </c>
      <c r="O361" s="16">
        <f>IF('WetLitterbags placem_collection'!G68="N.A","",'WetLitterbags placem_collection'!G68)</f>
        <v>42818</v>
      </c>
      <c r="P361" s="195">
        <f>IF(IFERROR(INDEX('Both teabags AfterWet'!$C$3:$C$841,MATCH(H361,'Both teabags AfterWet'!$A$3:$A$841,0)),"")="N.A","",(IFERROR(INDEX('Both teabags AfterWet'!$C$3:$C$841,MATCH(H361,'Both teabags AfterWet'!$A$3:$A$841,0)),"")))</f>
        <v>0.93500000000000005</v>
      </c>
      <c r="Q361" s="195">
        <f>IFERROR(INDEX('Both teabags AfterWet'!$C$3:$C$841,MATCH(I361,'Both teabags AfterWet'!$A$3:$A$841,0)),"")</f>
        <v>1.6584000000000001</v>
      </c>
      <c r="R361" s="195">
        <f t="shared" si="39"/>
        <v>0.78439999999999999</v>
      </c>
      <c r="S361" s="195">
        <f t="shared" si="39"/>
        <v>1.5078</v>
      </c>
      <c r="T361" s="195">
        <f t="shared" si="40"/>
        <v>0.53809916382051581</v>
      </c>
      <c r="U361" s="195">
        <f t="shared" si="41"/>
        <v>0.3527680978965852</v>
      </c>
      <c r="V361" s="195">
        <f t="shared" si="42"/>
        <v>0.77038626609442074</v>
      </c>
      <c r="W361">
        <f t="shared" si="37"/>
        <v>51</v>
      </c>
      <c r="X361" s="195">
        <f t="shared" si="43"/>
        <v>0.36092735888299787</v>
      </c>
      <c r="Y361" s="195">
        <f t="shared" si="44"/>
        <v>2.0634751652069638E-2</v>
      </c>
      <c r="Z361" s="255" t="str">
        <f>IF(ISNUMBER(SEARCH("C",'WetLitterbags placem_collection'!W288)),"YES","NO")</f>
        <v>NO</v>
      </c>
      <c r="AA361" s="255" t="str">
        <f>IF(ISNUMBER(SEARCH("H", 'WetLitterbags placem_collection'!Y68)),"YES","NO")</f>
        <v>NO</v>
      </c>
      <c r="AB361" s="255" t="str">
        <f>IF(ISNUMBER(SEARCH("R", 'WetLitterbags placem_collection'!WY68)),"YES","NO")</f>
        <v>NO</v>
      </c>
      <c r="AC361" s="255" t="str">
        <f>IF(ISNUMBER(SEARCH("C", 'WetLitterbags placem_collection'!VX68)),"YES","NO")</f>
        <v>NO</v>
      </c>
      <c r="AD361" s="255" t="str">
        <f>IF(ISNUMBER(SEARCH("H", 'WetLitterbags placem_collection'!X68)),"YES","NO")</f>
        <v>NO</v>
      </c>
      <c r="AE361" s="255" t="str">
        <f>IF(ISNUMBER(SEARCH("R", 'WetLitterbags placem_collection'!X68)),"YES","NO")</f>
        <v>YES</v>
      </c>
    </row>
    <row r="362" spans="2:31">
      <c r="B362" t="str">
        <f>'Final data_for_R_analysis_Wetse'!A508</f>
        <v>Wet</v>
      </c>
      <c r="C362" s="263">
        <f>'Final data_for_R_analysis_Wetse'!B508</f>
        <v>67</v>
      </c>
      <c r="D362" t="s">
        <v>3836</v>
      </c>
      <c r="E362" t="s">
        <v>25</v>
      </c>
      <c r="F362" s="386">
        <v>3</v>
      </c>
      <c r="G362" s="16">
        <f>'WetLitterbags placem_collection'!E69</f>
        <v>42767</v>
      </c>
      <c r="H362" s="92" t="str">
        <f>'Final data_for_R_analysis_Wetse'!J508</f>
        <v>G660</v>
      </c>
      <c r="I362" t="str">
        <f>'Final data_for_R_analysis_Wetse'!J728</f>
        <v>R44</v>
      </c>
      <c r="J362">
        <f>IFERROR(INDEX('Green_rooibos initial weight'!$C$5:$C$1749,MATCH(H362, 'Green_rooibos initial weight'!$A$5:$A$1749,0)),"")</f>
        <v>2.0339999999999998</v>
      </c>
      <c r="K362">
        <f>IFERROR(INDEX('Green_rooibos initial weight'!$C$5:$C$1749,MATCH(I362, 'Green_rooibos initial weight'!$A$5:$A$1749,0)),"")</f>
        <v>2.2480000000000002</v>
      </c>
      <c r="L362" s="195">
        <f t="shared" si="38"/>
        <v>1.7841999999999998</v>
      </c>
      <c r="M362" s="195">
        <f>AVERAGE(Ashed_controlls!$K$2:$K$11)</f>
        <v>5.5147656768714146</v>
      </c>
      <c r="N362" s="195">
        <f t="shared" si="36"/>
        <v>1.9982000000000002</v>
      </c>
      <c r="O362" s="16">
        <f>IF('WetLitterbags placem_collection'!G69="N.A","",'WetLitterbags placem_collection'!G69)</f>
        <v>42818</v>
      </c>
      <c r="P362" s="195">
        <f>IF(IFERROR(INDEX('Both teabags AfterWet'!$C$3:$C$841,MATCH(H362,'Both teabags AfterWet'!$A$3:$A$841,0)),"")="N.A","",(IFERROR(INDEX('Both teabags AfterWet'!$C$3:$C$841,MATCH(H362,'Both teabags AfterWet'!$A$3:$A$841,0)),"")))</f>
        <v>0.92510000000000003</v>
      </c>
      <c r="Q362" s="195">
        <f>IFERROR(INDEX('Both teabags AfterWet'!$C$3:$C$841,MATCH(I362,'Both teabags AfterWet'!$A$3:$A$841,0)),"")</f>
        <v>1.5427999999999999</v>
      </c>
      <c r="R362" s="195">
        <f t="shared" si="39"/>
        <v>0.77449999999999997</v>
      </c>
      <c r="S362" s="195">
        <f t="shared" si="39"/>
        <v>1.3921999999999999</v>
      </c>
      <c r="T362" s="195">
        <f t="shared" si="40"/>
        <v>0.56591189328550606</v>
      </c>
      <c r="U362" s="195">
        <f t="shared" si="41"/>
        <v>0.37100162125130565</v>
      </c>
      <c r="V362" s="195">
        <f t="shared" si="42"/>
        <v>0.69672705434891391</v>
      </c>
      <c r="W362">
        <f t="shared" si="37"/>
        <v>51</v>
      </c>
      <c r="X362" s="195">
        <f t="shared" si="43"/>
        <v>0.32789561367517095</v>
      </c>
      <c r="Y362" s="195">
        <f t="shared" si="44"/>
        <v>3.3346995561187115E-2</v>
      </c>
      <c r="Z362" s="255" t="str">
        <f>IF(ISNUMBER(SEARCH("C",'WetLitterbags placem_collection'!W289)),"YES","NO")</f>
        <v>NO</v>
      </c>
      <c r="AA362" s="255" t="str">
        <f>IF(ISNUMBER(SEARCH("H", 'WetLitterbags placem_collection'!Y69)),"YES","NO")</f>
        <v>NO</v>
      </c>
      <c r="AB362" s="255" t="str">
        <f>IF(ISNUMBER(SEARCH("R", 'WetLitterbags placem_collection'!WY69)),"YES","NO")</f>
        <v>NO</v>
      </c>
      <c r="AC362" s="255" t="str">
        <f>IF(ISNUMBER(SEARCH("C", 'WetLitterbags placem_collection'!VX69)),"YES","NO")</f>
        <v>NO</v>
      </c>
      <c r="AD362" s="255" t="str">
        <f>IF(ISNUMBER(SEARCH("H", 'WetLitterbags placem_collection'!X69)),"YES","NO")</f>
        <v>NO</v>
      </c>
      <c r="AE362" s="255" t="str">
        <f>IF(ISNUMBER(SEARCH("R", 'WetLitterbags placem_collection'!X69)),"YES","NO")</f>
        <v>YES</v>
      </c>
    </row>
    <row r="363" spans="2:31">
      <c r="B363" t="str">
        <f>'Final data_for_R_analysis_Wetse'!A509</f>
        <v>Wet</v>
      </c>
      <c r="C363" s="263">
        <f>'Final data_for_R_analysis_Wetse'!B509</f>
        <v>68</v>
      </c>
      <c r="D363" t="s">
        <v>3836</v>
      </c>
      <c r="E363" t="s">
        <v>25</v>
      </c>
      <c r="F363" s="387">
        <v>4</v>
      </c>
      <c r="G363" s="16">
        <f>'WetLitterbags placem_collection'!E70</f>
        <v>42767</v>
      </c>
      <c r="H363" s="92" t="str">
        <f>'Final data_for_R_analysis_Wetse'!J509</f>
        <v>G477</v>
      </c>
      <c r="I363" t="str">
        <f>'Final data_for_R_analysis_Wetse'!J729</f>
        <v>R9</v>
      </c>
      <c r="J363">
        <f>IFERROR(INDEX('Green_rooibos initial weight'!$C$5:$C$1749,MATCH(H363, 'Green_rooibos initial weight'!$A$5:$A$1749,0)),"")</f>
        <v>2.073</v>
      </c>
      <c r="K363">
        <f>IFERROR(INDEX('Green_rooibos initial weight'!$C$5:$C$1749,MATCH(I363, 'Green_rooibos initial weight'!$A$5:$A$1749,0)),"")</f>
        <v>2.2679999999999998</v>
      </c>
      <c r="L363" s="195">
        <f t="shared" si="38"/>
        <v>1.8231999999999999</v>
      </c>
      <c r="M363" s="195">
        <f>AVERAGE(Ashed_controlls!$K$2:$K$11)</f>
        <v>5.5147656768714146</v>
      </c>
      <c r="N363" s="195">
        <f t="shared" si="36"/>
        <v>2.0181999999999998</v>
      </c>
      <c r="O363" s="16">
        <f>IF('WetLitterbags placem_collection'!G70="N.A","",'WetLitterbags placem_collection'!G70)</f>
        <v>42818</v>
      </c>
      <c r="P363" s="195">
        <f>IF(IFERROR(INDEX('Both teabags AfterWet'!$C$3:$C$841,MATCH(H363,'Both teabags AfterWet'!$A$3:$A$841,0)),"")="N.A","",(IFERROR(INDEX('Both teabags AfterWet'!$C$3:$C$841,MATCH(H363,'Both teabags AfterWet'!$A$3:$A$841,0)),"")))</f>
        <v>0.90500000000000003</v>
      </c>
      <c r="Q363" s="195">
        <f>IFERROR(INDEX('Both teabags AfterWet'!$C$3:$C$841,MATCH(I363,'Both teabags AfterWet'!$A$3:$A$841,0)),"")</f>
        <v>1.7050000000000001</v>
      </c>
      <c r="R363" s="195">
        <f t="shared" si="39"/>
        <v>0.75439999999999996</v>
      </c>
      <c r="S363" s="195">
        <f t="shared" si="39"/>
        <v>1.5544</v>
      </c>
      <c r="T363" s="195">
        <f t="shared" si="40"/>
        <v>0.58622202720491445</v>
      </c>
      <c r="U363" s="195">
        <f t="shared" si="41"/>
        <v>0.38431657840512212</v>
      </c>
      <c r="V363" s="195">
        <f t="shared" si="42"/>
        <v>0.77019125953820244</v>
      </c>
      <c r="W363">
        <f t="shared" si="37"/>
        <v>51</v>
      </c>
      <c r="X363" s="195">
        <f t="shared" si="43"/>
        <v>0.30377431448347447</v>
      </c>
      <c r="Y363" s="195">
        <f t="shared" si="44"/>
        <v>1.7867094309647703E-2</v>
      </c>
      <c r="Z363" s="255" t="str">
        <f>IF(ISNUMBER(SEARCH("C",'WetLitterbags placem_collection'!W290)),"YES","NO")</f>
        <v>NO</v>
      </c>
      <c r="AA363" s="255" t="str">
        <f>IF(ISNUMBER(SEARCH("H", 'WetLitterbags placem_collection'!Y70)),"YES","NO")</f>
        <v>NO</v>
      </c>
      <c r="AB363" s="255" t="str">
        <f>IF(ISNUMBER(SEARCH("R", 'WetLitterbags placem_collection'!WY70)),"YES","NO")</f>
        <v>NO</v>
      </c>
      <c r="AC363" s="255" t="str">
        <f>IF(ISNUMBER(SEARCH("C", 'WetLitterbags placem_collection'!VX70)),"YES","NO")</f>
        <v>NO</v>
      </c>
      <c r="AD363" s="255" t="str">
        <f>IF(ISNUMBER(SEARCH("H", 'WetLitterbags placem_collection'!X70)),"YES","NO")</f>
        <v>NO</v>
      </c>
      <c r="AE363" s="255" t="str">
        <f>IF(ISNUMBER(SEARCH("R", 'WetLitterbags placem_collection'!X70)),"YES","NO")</f>
        <v>YES</v>
      </c>
    </row>
    <row r="364" spans="2:31">
      <c r="B364" t="str">
        <f>'Final data_for_R_analysis_Wetse'!A510</f>
        <v>Wet</v>
      </c>
      <c r="C364" s="263">
        <f>'Final data_for_R_analysis_Wetse'!B510</f>
        <v>69</v>
      </c>
      <c r="D364" t="s">
        <v>3836</v>
      </c>
      <c r="E364" t="s">
        <v>25</v>
      </c>
      <c r="F364" s="387">
        <v>5</v>
      </c>
      <c r="G364" s="16">
        <f>'WetLitterbags placem_collection'!E71</f>
        <v>42767</v>
      </c>
      <c r="H364" s="92" t="str">
        <f>'Final data_for_R_analysis_Wetse'!J510</f>
        <v>G386</v>
      </c>
      <c r="I364" t="str">
        <f>'Final data_for_R_analysis_Wetse'!J730</f>
        <v>R251</v>
      </c>
      <c r="J364">
        <f>IFERROR(INDEX('Green_rooibos initial weight'!$C$5:$C$1749,MATCH(H364, 'Green_rooibos initial weight'!$A$5:$A$1749,0)),"")</f>
        <v>1.897</v>
      </c>
      <c r="K364">
        <f>IFERROR(INDEX('Green_rooibos initial weight'!$C$5:$C$1749,MATCH(I364, 'Green_rooibos initial weight'!$A$5:$A$1749,0)),"")</f>
        <v>2.266</v>
      </c>
      <c r="L364" s="195">
        <f t="shared" si="38"/>
        <v>1.6472</v>
      </c>
      <c r="M364" s="195">
        <f>AVERAGE(Ashed_controlls!$K$2:$K$11)</f>
        <v>5.5147656768714146</v>
      </c>
      <c r="N364" s="195">
        <f t="shared" si="36"/>
        <v>2.0162</v>
      </c>
      <c r="O364" s="16">
        <f>IF('WetLitterbags placem_collection'!G71="N.A","",'WetLitterbags placem_collection'!G71)</f>
        <v>42818</v>
      </c>
      <c r="P364" s="195">
        <f>IF(IFERROR(INDEX('Both teabags AfterWet'!$C$3:$C$841,MATCH(H364,'Both teabags AfterWet'!$A$3:$A$841,0)),"")="N.A","",(IFERROR(INDEX('Both teabags AfterWet'!$C$3:$C$841,MATCH(H364,'Both teabags AfterWet'!$A$3:$A$841,0)),"")))</f>
        <v>0.98899999999999999</v>
      </c>
      <c r="Q364" s="195">
        <f>IFERROR(INDEX('Both teabags AfterWet'!$C$3:$C$841,MATCH(I364,'Both teabags AfterWet'!$A$3:$A$841,0)),"")</f>
        <v>1.8979999999999999</v>
      </c>
      <c r="R364" s="195">
        <f t="shared" si="39"/>
        <v>0.83840000000000003</v>
      </c>
      <c r="S364" s="195">
        <f t="shared" si="39"/>
        <v>1.7473999999999998</v>
      </c>
      <c r="T364" s="195">
        <f t="shared" si="40"/>
        <v>0.4910150558523555</v>
      </c>
      <c r="U364" s="195">
        <f t="shared" si="41"/>
        <v>0.32190060668705495</v>
      </c>
      <c r="V364" s="195">
        <f t="shared" si="42"/>
        <v>0.86667989286777103</v>
      </c>
      <c r="W364">
        <f t="shared" si="37"/>
        <v>51</v>
      </c>
      <c r="X364" s="195">
        <f t="shared" si="43"/>
        <v>0.41684672701620484</v>
      </c>
      <c r="Y364" s="195">
        <f t="shared" si="44"/>
        <v>1.048466380277639E-2</v>
      </c>
      <c r="Z364" s="255" t="str">
        <f>IF(ISNUMBER(SEARCH("C",'WetLitterbags placem_collection'!W291)),"YES","NO")</f>
        <v>NO</v>
      </c>
      <c r="AA364" s="255" t="str">
        <f>IF(ISNUMBER(SEARCH("H", 'WetLitterbags placem_collection'!Y71)),"YES","NO")</f>
        <v>NO</v>
      </c>
      <c r="AB364" s="255" t="str">
        <f>IF(ISNUMBER(SEARCH("R", 'WetLitterbags placem_collection'!WY71)),"YES","NO")</f>
        <v>NO</v>
      </c>
      <c r="AC364" s="255" t="str">
        <f>IF(ISNUMBER(SEARCH("C", 'WetLitterbags placem_collection'!VX71)),"YES","NO")</f>
        <v>NO</v>
      </c>
      <c r="AD364" s="255" t="str">
        <f>IF(ISNUMBER(SEARCH("H", 'WetLitterbags placem_collection'!X71)),"YES","NO")</f>
        <v>NO</v>
      </c>
      <c r="AE364" s="255" t="str">
        <f>IF(ISNUMBER(SEARCH("R", 'WetLitterbags placem_collection'!X71)),"YES","NO")</f>
        <v>YES</v>
      </c>
    </row>
    <row r="365" spans="2:31">
      <c r="B365" t="str">
        <f>'Final data_for_R_analysis_Wetse'!A511</f>
        <v>Wet</v>
      </c>
      <c r="C365" s="263">
        <f>'Final data_for_R_analysis_Wetse'!B511</f>
        <v>70</v>
      </c>
      <c r="D365" t="s">
        <v>3836</v>
      </c>
      <c r="E365" t="s">
        <v>25</v>
      </c>
      <c r="F365" s="387">
        <v>6</v>
      </c>
      <c r="G365" s="16">
        <f>'WetLitterbags placem_collection'!E72</f>
        <v>42767</v>
      </c>
      <c r="H365" s="92" t="str">
        <f>'Final data_for_R_analysis_Wetse'!J511</f>
        <v>G414</v>
      </c>
      <c r="I365" t="str">
        <f>'Final data_for_R_analysis_Wetse'!J731</f>
        <v>R266</v>
      </c>
      <c r="J365">
        <f>IFERROR(INDEX('Green_rooibos initial weight'!$C$5:$C$1749,MATCH(H365, 'Green_rooibos initial weight'!$A$5:$A$1749,0)),"")</f>
        <v>2.0590000000000002</v>
      </c>
      <c r="K365">
        <f>IFERROR(INDEX('Green_rooibos initial weight'!$C$5:$C$1749,MATCH(I365, 'Green_rooibos initial weight'!$A$5:$A$1749,0)),"")</f>
        <v>2.1720000000000002</v>
      </c>
      <c r="L365" s="195">
        <f t="shared" si="38"/>
        <v>1.8092000000000001</v>
      </c>
      <c r="M365" s="195">
        <f>AVERAGE(Ashed_controlls!$K$2:$K$11)</f>
        <v>5.5147656768714146</v>
      </c>
      <c r="N365" s="195">
        <f t="shared" si="36"/>
        <v>1.9222000000000001</v>
      </c>
      <c r="O365" s="16">
        <f>IF('WetLitterbags placem_collection'!G72="N.A","",'WetLitterbags placem_collection'!G72)</f>
        <v>42818</v>
      </c>
      <c r="P365" s="195">
        <f>IF(IFERROR(INDEX('Both teabags AfterWet'!$C$3:$C$841,MATCH(H365,'Both teabags AfterWet'!$A$3:$A$841,0)),"")="N.A","",(IFERROR(INDEX('Both teabags AfterWet'!$C$3:$C$841,MATCH(H365,'Both teabags AfterWet'!$A$3:$A$841,0)),"")))</f>
        <v>0.84099999999999997</v>
      </c>
      <c r="Q365" s="195">
        <f>IFERROR(INDEX('Both teabags AfterWet'!$C$3:$C$841,MATCH(I365,'Both teabags AfterWet'!$A$3:$A$841,0)),"")</f>
        <v>1.599</v>
      </c>
      <c r="R365" s="195">
        <f t="shared" si="39"/>
        <v>0.6903999999999999</v>
      </c>
      <c r="S365" s="195">
        <f t="shared" si="39"/>
        <v>1.4483999999999999</v>
      </c>
      <c r="T365" s="195">
        <f t="shared" si="40"/>
        <v>0.6183948706610658</v>
      </c>
      <c r="U365" s="195">
        <f t="shared" si="41"/>
        <v>0.40540851378255149</v>
      </c>
      <c r="V365" s="195">
        <f t="shared" si="42"/>
        <v>0.75351160129018824</v>
      </c>
      <c r="W365">
        <f t="shared" si="37"/>
        <v>51</v>
      </c>
      <c r="X365" s="195">
        <f t="shared" si="43"/>
        <v>0.26556428662581255</v>
      </c>
      <c r="Y365" s="195">
        <f t="shared" si="44"/>
        <v>1.8362619209855699E-2</v>
      </c>
      <c r="Z365" s="255" t="str">
        <f>IF(ISNUMBER(SEARCH("C",'WetLitterbags placem_collection'!W292)),"YES","NO")</f>
        <v>NO</v>
      </c>
      <c r="AA365" s="255" t="str">
        <f>IF(ISNUMBER(SEARCH("H", 'WetLitterbags placem_collection'!Y72)),"YES","NO")</f>
        <v>NO</v>
      </c>
      <c r="AB365" s="255" t="str">
        <f>IF(ISNUMBER(SEARCH("R", 'WetLitterbags placem_collection'!WY72)),"YES","NO")</f>
        <v>NO</v>
      </c>
      <c r="AC365" s="255" t="str">
        <f>IF(ISNUMBER(SEARCH("C", 'WetLitterbags placem_collection'!VX72)),"YES","NO")</f>
        <v>NO</v>
      </c>
      <c r="AD365" s="255" t="str">
        <f>IF(ISNUMBER(SEARCH("H", 'WetLitterbags placem_collection'!X72)),"YES","NO")</f>
        <v>NO</v>
      </c>
      <c r="AE365" s="255" t="str">
        <f>IF(ISNUMBER(SEARCH("R", 'WetLitterbags placem_collection'!X72)),"YES","NO")</f>
        <v>YES</v>
      </c>
    </row>
    <row r="366" spans="2:31">
      <c r="B366" t="str">
        <f>'Final data_for_R_analysis_Wetse'!A512</f>
        <v>Wet</v>
      </c>
      <c r="C366" s="263">
        <f>'Final data_for_R_analysis_Wetse'!B512</f>
        <v>71</v>
      </c>
      <c r="D366" t="s">
        <v>3836</v>
      </c>
      <c r="E366" t="s">
        <v>25</v>
      </c>
      <c r="F366" s="387">
        <v>7</v>
      </c>
      <c r="G366" s="16">
        <f>'WetLitterbags placem_collection'!E73</f>
        <v>42767</v>
      </c>
      <c r="H366" s="92" t="str">
        <f>'Final data_for_R_analysis_Wetse'!J512</f>
        <v>G459</v>
      </c>
      <c r="I366" t="str">
        <f>'Final data_for_R_analysis_Wetse'!J732</f>
        <v>R528</v>
      </c>
      <c r="J366">
        <f>IFERROR(INDEX('Green_rooibos initial weight'!$C$5:$C$1749,MATCH(H366, 'Green_rooibos initial weight'!$A$5:$A$1749,0)),"")</f>
        <v>2.0449999999999999</v>
      </c>
      <c r="K366">
        <f>IFERROR(INDEX('Green_rooibos initial weight'!$C$5:$C$1749,MATCH(I366, 'Green_rooibos initial weight'!$A$5:$A$1749,0)),"")</f>
        <v>2.1019999999999999</v>
      </c>
      <c r="L366" s="195">
        <f t="shared" si="38"/>
        <v>1.7951999999999999</v>
      </c>
      <c r="M366" s="195">
        <f>AVERAGE(Ashed_controlls!$K$2:$K$11)</f>
        <v>5.5147656768714146</v>
      </c>
      <c r="N366" s="195">
        <f t="shared" si="36"/>
        <v>1.8521999999999998</v>
      </c>
      <c r="O366" s="16">
        <f>IF('WetLitterbags placem_collection'!G73="N.A","",'WetLitterbags placem_collection'!G73)</f>
        <v>42818</v>
      </c>
      <c r="P366" s="195">
        <f>IF(IFERROR(INDEX('Both teabags AfterWet'!$C$3:$C$841,MATCH(H366,'Both teabags AfterWet'!$A$3:$A$841,0)),"")="N.A","",(IFERROR(INDEX('Both teabags AfterWet'!$C$3:$C$841,MATCH(H366,'Both teabags AfterWet'!$A$3:$A$841,0)),"")))</f>
        <v>0.89149999999999996</v>
      </c>
      <c r="Q366" s="195">
        <f>IFERROR(INDEX('Both teabags AfterWet'!$C$3:$C$841,MATCH(I366,'Both teabags AfterWet'!$A$3:$A$841,0)),"")</f>
        <v>1.5779000000000001</v>
      </c>
      <c r="R366" s="195">
        <f t="shared" si="39"/>
        <v>0.74089999999999989</v>
      </c>
      <c r="S366" s="195">
        <f t="shared" si="39"/>
        <v>1.4273</v>
      </c>
      <c r="T366" s="195">
        <f t="shared" si="40"/>
        <v>0.58728832442067747</v>
      </c>
      <c r="U366" s="195">
        <f t="shared" si="41"/>
        <v>0.38501562361070546</v>
      </c>
      <c r="V366" s="195">
        <f t="shared" si="42"/>
        <v>0.7705971277399849</v>
      </c>
      <c r="W366">
        <f t="shared" si="37"/>
        <v>51</v>
      </c>
      <c r="X366" s="195">
        <f t="shared" si="43"/>
        <v>0.30250792824147565</v>
      </c>
      <c r="Y366" s="195">
        <f t="shared" si="44"/>
        <v>1.7763006986867801E-2</v>
      </c>
      <c r="Z366" s="255" t="str">
        <f>IF(ISNUMBER(SEARCH("C",'WetLitterbags placem_collection'!W293)),"YES","NO")</f>
        <v>NO</v>
      </c>
      <c r="AA366" s="255" t="str">
        <f>IF(ISNUMBER(SEARCH("H", 'WetLitterbags placem_collection'!Y73)),"YES","NO")</f>
        <v>NO</v>
      </c>
      <c r="AB366" s="255" t="str">
        <f>IF(ISNUMBER(SEARCH("R", 'WetLitterbags placem_collection'!WY73)),"YES","NO")</f>
        <v>NO</v>
      </c>
      <c r="AC366" s="255" t="str">
        <f>IF(ISNUMBER(SEARCH("C", 'WetLitterbags placem_collection'!VX73)),"YES","NO")</f>
        <v>NO</v>
      </c>
      <c r="AD366" s="255" t="str">
        <f>IF(ISNUMBER(SEARCH("H", 'WetLitterbags placem_collection'!X73)),"YES","NO")</f>
        <v>NO</v>
      </c>
      <c r="AE366" s="255" t="str">
        <f>IF(ISNUMBER(SEARCH("R", 'WetLitterbags placem_collection'!X73)),"YES","NO")</f>
        <v>YES</v>
      </c>
    </row>
    <row r="367" spans="2:31">
      <c r="B367" t="str">
        <f>'Final data_for_R_analysis_Wetse'!A513</f>
        <v>Wet</v>
      </c>
      <c r="C367" s="263">
        <f>'Final data_for_R_analysis_Wetse'!B513</f>
        <v>72</v>
      </c>
      <c r="D367" t="s">
        <v>3836</v>
      </c>
      <c r="E367" t="s">
        <v>25</v>
      </c>
      <c r="F367" s="387">
        <v>8</v>
      </c>
      <c r="G367" s="16">
        <f>'WetLitterbags placem_collection'!E74</f>
        <v>42767</v>
      </c>
      <c r="H367" s="92" t="str">
        <f>'Final data_for_R_analysis_Wetse'!J513</f>
        <v>G627</v>
      </c>
      <c r="I367" t="str">
        <f>'Final data_for_R_analysis_Wetse'!J733</f>
        <v>R14</v>
      </c>
      <c r="J367">
        <f>IFERROR(INDEX('Green_rooibos initial weight'!$C$5:$C$1749,MATCH(H367, 'Green_rooibos initial weight'!$A$5:$A$1749,0)),"")</f>
        <v>2.153</v>
      </c>
      <c r="K367">
        <f>IFERROR(INDEX('Green_rooibos initial weight'!$C$5:$C$1749,MATCH(I367, 'Green_rooibos initial weight'!$A$5:$A$1749,0)),"")</f>
        <v>2.181</v>
      </c>
      <c r="L367" s="195">
        <f t="shared" si="38"/>
        <v>1.9032</v>
      </c>
      <c r="M367" s="195">
        <f>AVERAGE(Ashed_controlls!$K$2:$K$11)</f>
        <v>5.5147656768714146</v>
      </c>
      <c r="N367" s="195">
        <f t="shared" si="36"/>
        <v>1.9312</v>
      </c>
      <c r="O367" s="16">
        <f>IF('WetLitterbags placem_collection'!G74="N.A","",'WetLitterbags placem_collection'!G74)</f>
        <v>42818</v>
      </c>
      <c r="P367" s="195">
        <f>IF(IFERROR(INDEX('Both teabags AfterWet'!$C$3:$C$841,MATCH(H367,'Both teabags AfterWet'!$A$3:$A$841,0)),"")="N.A","",(IFERROR(INDEX('Both teabags AfterWet'!$C$3:$C$841,MATCH(H367,'Both teabags AfterWet'!$A$3:$A$841,0)),"")))</f>
        <v>0.86350000000000005</v>
      </c>
      <c r="Q367" s="195">
        <f>IFERROR(INDEX('Both teabags AfterWet'!$C$3:$C$841,MATCH(I367,'Both teabags AfterWet'!$A$3:$A$841,0)),"")</f>
        <v>1.5603</v>
      </c>
      <c r="R367" s="195">
        <f t="shared" si="39"/>
        <v>0.71290000000000009</v>
      </c>
      <c r="S367" s="195">
        <f t="shared" si="39"/>
        <v>1.4097</v>
      </c>
      <c r="T367" s="195">
        <f t="shared" si="40"/>
        <v>0.62542034468263974</v>
      </c>
      <c r="U367" s="195">
        <f t="shared" si="41"/>
        <v>0.41001428772543608</v>
      </c>
      <c r="V367" s="195">
        <f t="shared" si="42"/>
        <v>0.72996064623032308</v>
      </c>
      <c r="W367">
        <f t="shared" si="37"/>
        <v>51</v>
      </c>
      <c r="X367" s="195">
        <f t="shared" si="43"/>
        <v>0.2572204932510217</v>
      </c>
      <c r="Y367" s="195">
        <f t="shared" si="44"/>
        <v>2.1073110662666261E-2</v>
      </c>
      <c r="Z367" s="255" t="str">
        <f>IF(ISNUMBER(SEARCH("C",'WetLitterbags placem_collection'!W294)),"YES","NO")</f>
        <v>NO</v>
      </c>
      <c r="AA367" s="255" t="str">
        <f>IF(ISNUMBER(SEARCH("H", 'WetLitterbags placem_collection'!Y74)),"YES","NO")</f>
        <v>NO</v>
      </c>
      <c r="AB367" s="255" t="str">
        <f>IF(ISNUMBER(SEARCH("R", 'WetLitterbags placem_collection'!WY74)),"YES","NO")</f>
        <v>NO</v>
      </c>
      <c r="AC367" s="255" t="str">
        <f>IF(ISNUMBER(SEARCH("C", 'WetLitterbags placem_collection'!VX74)),"YES","NO")</f>
        <v>NO</v>
      </c>
      <c r="AD367" s="255" t="str">
        <f>IF(ISNUMBER(SEARCH("H", 'WetLitterbags placem_collection'!X74)),"YES","NO")</f>
        <v>NO</v>
      </c>
      <c r="AE367" s="255" t="str">
        <f>IF(ISNUMBER(SEARCH("R", 'WetLitterbags placem_collection'!X74)),"YES","NO")</f>
        <v>YES</v>
      </c>
    </row>
    <row r="368" spans="2:31">
      <c r="B368" t="str">
        <f>'Final data_for_R_analysis_Wetse'!A514</f>
        <v>Wet</v>
      </c>
      <c r="C368" s="263">
        <f>'Final data_for_R_analysis_Wetse'!B514</f>
        <v>73</v>
      </c>
      <c r="D368" t="s">
        <v>3838</v>
      </c>
      <c r="E368" t="s">
        <v>25</v>
      </c>
      <c r="F368" s="386">
        <v>1</v>
      </c>
      <c r="G368" s="16">
        <f>'WetLitterbags placem_collection'!E75</f>
        <v>42767</v>
      </c>
      <c r="H368" s="92" t="str">
        <f>'Final data_for_R_analysis_Wetse'!J514</f>
        <v>G498</v>
      </c>
      <c r="I368" t="str">
        <f>'Final data_for_R_analysis_Wetse'!J734</f>
        <v>R393</v>
      </c>
      <c r="J368">
        <f>IFERROR(INDEX('Green_rooibos initial weight'!$C$5:$C$1749,MATCH(H368, 'Green_rooibos initial weight'!$A$5:$A$1749,0)),"")</f>
        <v>1.744</v>
      </c>
      <c r="K368">
        <f>IFERROR(INDEX('Green_rooibos initial weight'!$C$5:$C$1749,MATCH(I368, 'Green_rooibos initial weight'!$A$5:$A$1749,0)),"")</f>
        <v>2.1829999999999998</v>
      </c>
      <c r="L368" s="195">
        <f t="shared" si="38"/>
        <v>1.4942</v>
      </c>
      <c r="M368" s="195">
        <f>AVERAGE(Ashed_controlls!$K$2:$K$11)</f>
        <v>5.5147656768714146</v>
      </c>
      <c r="N368" s="195">
        <f t="shared" si="36"/>
        <v>1.9331999999999998</v>
      </c>
      <c r="O368" s="16">
        <f>IF('WetLitterbags placem_collection'!G75="N.A","",'WetLitterbags placem_collection'!G75)</f>
        <v>42818</v>
      </c>
      <c r="P368" s="195">
        <f>IF(IFERROR(INDEX('Both teabags AfterWet'!$C$3:$C$841,MATCH(H368,'Both teabags AfterWet'!$A$3:$A$841,0)),"")="N.A","",(IFERROR(INDEX('Both teabags AfterWet'!$C$3:$C$841,MATCH(H368,'Both teabags AfterWet'!$A$3:$A$841,0)),"")))</f>
        <v>0.73209999999999997</v>
      </c>
      <c r="Q368" s="195">
        <f>IFERROR(INDEX('Both teabags AfterWet'!$C$3:$C$841,MATCH(I368,'Both teabags AfterWet'!$A$3:$A$841,0)),"")</f>
        <v>1.6598999999999999</v>
      </c>
      <c r="R368" s="195">
        <f t="shared" si="39"/>
        <v>0.58149999999999991</v>
      </c>
      <c r="S368" s="195">
        <f t="shared" si="39"/>
        <v>1.5092999999999999</v>
      </c>
      <c r="T368" s="195">
        <f t="shared" si="40"/>
        <v>0.61082853700977124</v>
      </c>
      <c r="U368" s="195">
        <f t="shared" si="41"/>
        <v>0.40044816203015887</v>
      </c>
      <c r="V368" s="195">
        <f t="shared" si="42"/>
        <v>0.78072625698324027</v>
      </c>
      <c r="W368">
        <f t="shared" si="37"/>
        <v>51</v>
      </c>
      <c r="X368" s="195">
        <f t="shared" si="43"/>
        <v>0.27455043110478472</v>
      </c>
      <c r="Y368" s="195">
        <f t="shared" si="44"/>
        <v>1.5551453270158585E-2</v>
      </c>
      <c r="Z368" s="255" t="str">
        <f>IF(ISNUMBER(SEARCH("C",'WetLitterbags placem_collection'!W295)),"YES","NO")</f>
        <v>NO</v>
      </c>
      <c r="AA368" s="255" t="str">
        <f>IF(ISNUMBER(SEARCH("H", 'WetLitterbags placem_collection'!Y75)),"YES","NO")</f>
        <v>NO</v>
      </c>
      <c r="AB368" s="255" t="str">
        <f>IF(ISNUMBER(SEARCH("R", 'WetLitterbags placem_collection'!WY75)),"YES","NO")</f>
        <v>NO</v>
      </c>
      <c r="AC368" s="255" t="str">
        <f>IF(ISNUMBER(SEARCH("C", 'WetLitterbags placem_collection'!VX75)),"YES","NO")</f>
        <v>NO</v>
      </c>
      <c r="AD368" s="255" t="str">
        <f>IF(ISNUMBER(SEARCH("H", 'WetLitterbags placem_collection'!X75)),"YES","NO")</f>
        <v>NO</v>
      </c>
      <c r="AE368" s="255" t="str">
        <f>IF(ISNUMBER(SEARCH("R", 'WetLitterbags placem_collection'!X75)),"YES","NO")</f>
        <v>YES</v>
      </c>
    </row>
    <row r="369" spans="2:31">
      <c r="B369" t="str">
        <f>'Final data_for_R_analysis_Wetse'!A515</f>
        <v>Wet</v>
      </c>
      <c r="C369" s="263">
        <f>'Final data_for_R_analysis_Wetse'!B515</f>
        <v>74</v>
      </c>
      <c r="D369" t="s">
        <v>3838</v>
      </c>
      <c r="E369" t="s">
        <v>25</v>
      </c>
      <c r="F369" s="386">
        <v>2</v>
      </c>
      <c r="G369" s="16">
        <f>'WetLitterbags placem_collection'!E76</f>
        <v>42767</v>
      </c>
      <c r="H369" s="92" t="str">
        <f>'Final data_for_R_analysis_Wetse'!J515</f>
        <v>G579</v>
      </c>
      <c r="I369" t="str">
        <f>'Final data_for_R_analysis_Wetse'!J735</f>
        <v>R138</v>
      </c>
      <c r="J369">
        <f>IFERROR(INDEX('Green_rooibos initial weight'!$C$5:$C$1749,MATCH(H369, 'Green_rooibos initial weight'!$A$5:$A$1749,0)),"")</f>
        <v>2.012</v>
      </c>
      <c r="K369">
        <f>IFERROR(INDEX('Green_rooibos initial weight'!$C$5:$C$1749,MATCH(I369, 'Green_rooibos initial weight'!$A$5:$A$1749,0)),"")</f>
        <v>2.3140000000000001</v>
      </c>
      <c r="L369" s="195">
        <f t="shared" si="38"/>
        <v>1.7622</v>
      </c>
      <c r="M369" s="195">
        <f>AVERAGE(Ashed_controlls!$K$2:$K$11)</f>
        <v>5.5147656768714146</v>
      </c>
      <c r="N369" s="195">
        <f t="shared" si="36"/>
        <v>2.0642</v>
      </c>
      <c r="O369" s="16">
        <f>IF('WetLitterbags placem_collection'!G76="N.A","",'WetLitterbags placem_collection'!G76)</f>
        <v>42818</v>
      </c>
      <c r="P369" s="195">
        <f>IF(IFERROR(INDEX('Both teabags AfterWet'!$C$3:$C$841,MATCH(H369,'Both teabags AfterWet'!$A$3:$A$841,0)),"")="N.A","",(IFERROR(INDEX('Both teabags AfterWet'!$C$3:$C$841,MATCH(H369,'Both teabags AfterWet'!$A$3:$A$841,0)),"")))</f>
        <v>0.74199999999999999</v>
      </c>
      <c r="Q369" s="195">
        <f>IFERROR(INDEX('Both teabags AfterWet'!$C$3:$C$841,MATCH(I369,'Both teabags AfterWet'!$A$3:$A$841,0)),"")</f>
        <v>1.6850000000000001</v>
      </c>
      <c r="R369" s="195">
        <f t="shared" si="39"/>
        <v>0.59139999999999993</v>
      </c>
      <c r="S369" s="195">
        <f t="shared" si="39"/>
        <v>1.5344</v>
      </c>
      <c r="T369" s="195">
        <f t="shared" si="40"/>
        <v>0.66439677675632736</v>
      </c>
      <c r="U369" s="195">
        <f t="shared" si="41"/>
        <v>0.43556653298039516</v>
      </c>
      <c r="V369" s="195">
        <f t="shared" si="42"/>
        <v>0.7433388237573878</v>
      </c>
      <c r="W369">
        <f t="shared" si="37"/>
        <v>51</v>
      </c>
      <c r="X369" s="195">
        <f t="shared" si="43"/>
        <v>0.2109301938760958</v>
      </c>
      <c r="Y369" s="195">
        <f t="shared" si="44"/>
        <v>1.7446875013695552E-2</v>
      </c>
      <c r="Z369" s="255" t="str">
        <f>IF(ISNUMBER(SEARCH("C",'WetLitterbags placem_collection'!W296)),"YES","NO")</f>
        <v>NO</v>
      </c>
      <c r="AA369" s="255" t="str">
        <f>IF(ISNUMBER(SEARCH("H", 'WetLitterbags placem_collection'!Y76)),"YES","NO")</f>
        <v>NO</v>
      </c>
      <c r="AB369" s="255" t="str">
        <f>IF(ISNUMBER(SEARCH("R", 'WetLitterbags placem_collection'!WY76)),"YES","NO")</f>
        <v>NO</v>
      </c>
      <c r="AC369" s="255" t="str">
        <f>IF(ISNUMBER(SEARCH("C", 'WetLitterbags placem_collection'!VX76)),"YES","NO")</f>
        <v>NO</v>
      </c>
      <c r="AD369" s="255" t="str">
        <f>IF(ISNUMBER(SEARCH("H", 'WetLitterbags placem_collection'!X76)),"YES","NO")</f>
        <v>NO</v>
      </c>
      <c r="AE369" s="255" t="str">
        <f>IF(ISNUMBER(SEARCH("R", 'WetLitterbags placem_collection'!X76)),"YES","NO")</f>
        <v>YES</v>
      </c>
    </row>
    <row r="370" spans="2:31">
      <c r="B370" t="str">
        <f>'Final data_for_R_analysis_Wetse'!A516</f>
        <v>Wet</v>
      </c>
      <c r="C370" s="263">
        <f>'Final data_for_R_analysis_Wetse'!B516</f>
        <v>75</v>
      </c>
      <c r="D370" t="s">
        <v>3838</v>
      </c>
      <c r="E370" t="s">
        <v>25</v>
      </c>
      <c r="F370" s="386">
        <v>3</v>
      </c>
      <c r="G370" s="16">
        <f>'WetLitterbags placem_collection'!E77</f>
        <v>42767</v>
      </c>
      <c r="H370" s="92" t="str">
        <f>'Final data_for_R_analysis_Wetse'!J516</f>
        <v>G373</v>
      </c>
      <c r="I370" t="str">
        <f>'Final data_for_R_analysis_Wetse'!J736</f>
        <v>R311</v>
      </c>
      <c r="J370">
        <f>IFERROR(INDEX('Green_rooibos initial weight'!$C$5:$C$1749,MATCH(H370, 'Green_rooibos initial weight'!$A$5:$A$1749,0)),"")</f>
        <v>2.1</v>
      </c>
      <c r="K370">
        <f>IFERROR(INDEX('Green_rooibos initial weight'!$C$5:$C$1749,MATCH(I370, 'Green_rooibos initial weight'!$A$5:$A$1749,0)),"")</f>
        <v>2.2719999999999998</v>
      </c>
      <c r="L370" s="195">
        <f t="shared" si="38"/>
        <v>1.8502000000000001</v>
      </c>
      <c r="M370" s="195">
        <f>AVERAGE(Ashed_controlls!$K$2:$K$11)</f>
        <v>5.5147656768714146</v>
      </c>
      <c r="N370" s="195">
        <f t="shared" si="36"/>
        <v>2.0221999999999998</v>
      </c>
      <c r="O370" s="16">
        <f>IF('WetLitterbags placem_collection'!G77="N.A","",'WetLitterbags placem_collection'!G77)</f>
        <v>42818</v>
      </c>
      <c r="P370" s="195">
        <f>IF(IFERROR(INDEX('Both teabags AfterWet'!$C$3:$C$841,MATCH(H370,'Both teabags AfterWet'!$A$3:$A$841,0)),"")="N.A","",(IFERROR(INDEX('Both teabags AfterWet'!$C$3:$C$841,MATCH(H370,'Both teabags AfterWet'!$A$3:$A$841,0)),"")))</f>
        <v>0.93330000000000002</v>
      </c>
      <c r="Q370" s="195">
        <f>IFERROR(INDEX('Both teabags AfterWet'!$C$3:$C$841,MATCH(I370,'Both teabags AfterWet'!$A$3:$A$841,0)),"")</f>
        <v>1.6715</v>
      </c>
      <c r="R370" s="195">
        <f t="shared" si="39"/>
        <v>0.78269999999999995</v>
      </c>
      <c r="S370" s="195">
        <f t="shared" si="39"/>
        <v>1.5208999999999999</v>
      </c>
      <c r="T370" s="195">
        <f t="shared" si="40"/>
        <v>0.57696465247000328</v>
      </c>
      <c r="U370" s="195">
        <f t="shared" si="41"/>
        <v>0.3782476106454179</v>
      </c>
      <c r="V370" s="195">
        <f t="shared" si="42"/>
        <v>0.75210167144693907</v>
      </c>
      <c r="W370">
        <f t="shared" si="37"/>
        <v>51</v>
      </c>
      <c r="X370" s="195">
        <f t="shared" si="43"/>
        <v>0.31476882129453287</v>
      </c>
      <c r="Y370" s="195">
        <f t="shared" si="44"/>
        <v>2.0888851038365092E-2</v>
      </c>
      <c r="Z370" s="255" t="str">
        <f>IF(ISNUMBER(SEARCH("C",'WetLitterbags placem_collection'!W297)),"YES","NO")</f>
        <v>NO</v>
      </c>
      <c r="AA370" s="255" t="str">
        <f>IF(ISNUMBER(SEARCH("H", 'WetLitterbags placem_collection'!Y77)),"YES","NO")</f>
        <v>NO</v>
      </c>
      <c r="AB370" s="255" t="str">
        <f>IF(ISNUMBER(SEARCH("R", 'WetLitterbags placem_collection'!WY77)),"YES","NO")</f>
        <v>NO</v>
      </c>
      <c r="AC370" s="255" t="str">
        <f>IF(ISNUMBER(SEARCH("C", 'WetLitterbags placem_collection'!VX77)),"YES","NO")</f>
        <v>NO</v>
      </c>
      <c r="AD370" s="255" t="str">
        <f>IF(ISNUMBER(SEARCH("H", 'WetLitterbags placem_collection'!X77)),"YES","NO")</f>
        <v>NO</v>
      </c>
      <c r="AE370" s="255" t="str">
        <f>IF(ISNUMBER(SEARCH("R", 'WetLitterbags placem_collection'!X77)),"YES","NO")</f>
        <v>YES</v>
      </c>
    </row>
    <row r="371" spans="2:31">
      <c r="B371" t="str">
        <f>'Final data_for_R_analysis_Wetse'!A517</f>
        <v>Wet</v>
      </c>
      <c r="C371" s="263">
        <f>'Final data_for_R_analysis_Wetse'!B517</f>
        <v>76</v>
      </c>
      <c r="D371" t="s">
        <v>3838</v>
      </c>
      <c r="E371" t="s">
        <v>25</v>
      </c>
      <c r="F371" s="387">
        <v>4</v>
      </c>
      <c r="G371" s="16">
        <f>'WetLitterbags placem_collection'!E78</f>
        <v>42767</v>
      </c>
      <c r="H371" s="92" t="str">
        <f>'Final data_for_R_analysis_Wetse'!J517</f>
        <v>G603</v>
      </c>
      <c r="I371" t="str">
        <f>'Final data_for_R_analysis_Wetse'!J737</f>
        <v>R183</v>
      </c>
      <c r="J371">
        <f>IFERROR(INDEX('Green_rooibos initial weight'!$C$5:$C$1749,MATCH(H371, 'Green_rooibos initial weight'!$A$5:$A$1749,0)),"")</f>
        <v>2.0430000000000001</v>
      </c>
      <c r="K371">
        <f>IFERROR(INDEX('Green_rooibos initial weight'!$C$5:$C$1749,MATCH(I371, 'Green_rooibos initial weight'!$A$5:$A$1749,0)),"")</f>
        <v>2.262</v>
      </c>
      <c r="L371" s="195">
        <f t="shared" si="38"/>
        <v>1.7932000000000001</v>
      </c>
      <c r="M371" s="195">
        <f>AVERAGE(Ashed_controlls!$K$2:$K$11)</f>
        <v>5.5147656768714146</v>
      </c>
      <c r="N371" s="195">
        <f t="shared" si="36"/>
        <v>2.0122</v>
      </c>
      <c r="O371" s="16">
        <f>IF('WetLitterbags placem_collection'!G78="N.A","",'WetLitterbags placem_collection'!G78)</f>
        <v>42818</v>
      </c>
      <c r="P371" s="195">
        <f>IF(IFERROR(INDEX('Both teabags AfterWet'!$C$3:$C$841,MATCH(H371,'Both teabags AfterWet'!$A$3:$A$841,0)),"")="N.A","",(IFERROR(INDEX('Both teabags AfterWet'!$C$3:$C$841,MATCH(H371,'Both teabags AfterWet'!$A$3:$A$841,0)),"")))</f>
        <v>0.82299999999999995</v>
      </c>
      <c r="Q371" s="195">
        <f>IFERROR(INDEX('Both teabags AfterWet'!$C$3:$C$841,MATCH(I371,'Both teabags AfterWet'!$A$3:$A$841,0)),"")</f>
        <v>1.7490000000000001</v>
      </c>
      <c r="R371" s="195">
        <f t="shared" si="39"/>
        <v>0.67239999999999989</v>
      </c>
      <c r="S371" s="195">
        <f t="shared" si="39"/>
        <v>1.5984</v>
      </c>
      <c r="T371" s="195">
        <f t="shared" si="40"/>
        <v>0.62502788311398627</v>
      </c>
      <c r="U371" s="195">
        <f t="shared" si="41"/>
        <v>0.40975699700584378</v>
      </c>
      <c r="V371" s="195">
        <f t="shared" si="42"/>
        <v>0.79435443792863536</v>
      </c>
      <c r="W371">
        <f t="shared" si="37"/>
        <v>51</v>
      </c>
      <c r="X371" s="195">
        <f t="shared" si="43"/>
        <v>0.25768659962709461</v>
      </c>
      <c r="Y371" s="195">
        <f t="shared" si="44"/>
        <v>1.3664670575988812E-2</v>
      </c>
      <c r="Z371" s="255" t="str">
        <f>IF(ISNUMBER(SEARCH("C",'WetLitterbags placem_collection'!W298)),"YES","NO")</f>
        <v>NO</v>
      </c>
      <c r="AA371" s="255" t="str">
        <f>IF(ISNUMBER(SEARCH("H", 'WetLitterbags placem_collection'!Y78)),"YES","NO")</f>
        <v>NO</v>
      </c>
      <c r="AB371" s="255" t="str">
        <f>IF(ISNUMBER(SEARCH("R", 'WetLitterbags placem_collection'!WY78)),"YES","NO")</f>
        <v>NO</v>
      </c>
      <c r="AC371" s="255" t="str">
        <f>IF(ISNUMBER(SEARCH("C", 'WetLitterbags placem_collection'!VX78)),"YES","NO")</f>
        <v>NO</v>
      </c>
      <c r="AD371" s="255" t="str">
        <f>IF(ISNUMBER(SEARCH("H", 'WetLitterbags placem_collection'!X78)),"YES","NO")</f>
        <v>NO</v>
      </c>
      <c r="AE371" s="255" t="str">
        <f>IF(ISNUMBER(SEARCH("R", 'WetLitterbags placem_collection'!X78)),"YES","NO")</f>
        <v>YES</v>
      </c>
    </row>
    <row r="372" spans="2:31">
      <c r="B372" t="str">
        <f>'Final data_for_R_analysis_Wetse'!A518</f>
        <v>Wet</v>
      </c>
      <c r="C372" s="263">
        <f>'Final data_for_R_analysis_Wetse'!B518</f>
        <v>77</v>
      </c>
      <c r="D372" t="s">
        <v>3838</v>
      </c>
      <c r="E372" t="s">
        <v>25</v>
      </c>
      <c r="F372" s="387">
        <v>5</v>
      </c>
      <c r="G372" s="16">
        <f>'WetLitterbags placem_collection'!E79</f>
        <v>42767</v>
      </c>
      <c r="H372" s="92" t="str">
        <f>'Final data_for_R_analysis_Wetse'!J518</f>
        <v>G509</v>
      </c>
      <c r="I372" t="str">
        <f>'Final data_for_R_analysis_Wetse'!J738</f>
        <v>R228</v>
      </c>
      <c r="J372">
        <f>IFERROR(INDEX('Green_rooibos initial weight'!$C$5:$C$1749,MATCH(H372, 'Green_rooibos initial weight'!$A$5:$A$1749,0)),"")</f>
        <v>2.048</v>
      </c>
      <c r="K372">
        <f>IFERROR(INDEX('Green_rooibos initial weight'!$C$5:$C$1749,MATCH(I372, 'Green_rooibos initial weight'!$A$5:$A$1749,0)),"")</f>
        <v>2.2040000000000002</v>
      </c>
      <c r="L372" s="195">
        <f t="shared" si="38"/>
        <v>1.7982</v>
      </c>
      <c r="M372" s="195">
        <f>AVERAGE(Ashed_controlls!$K$2:$K$11)</f>
        <v>5.5147656768714146</v>
      </c>
      <c r="N372" s="195">
        <f t="shared" si="36"/>
        <v>1.9542000000000002</v>
      </c>
      <c r="O372" s="16">
        <f>IF('WetLitterbags placem_collection'!G79="N.A","",'WetLitterbags placem_collection'!G79)</f>
        <v>42818</v>
      </c>
      <c r="P372" s="195">
        <f>IF(IFERROR(INDEX('Both teabags AfterWet'!$C$3:$C$841,MATCH(H372,'Both teabags AfterWet'!$A$3:$A$841,0)),"")="N.A","",(IFERROR(INDEX('Both teabags AfterWet'!$C$3:$C$841,MATCH(H372,'Both teabags AfterWet'!$A$3:$A$841,0)),"")))</f>
        <v>1.012</v>
      </c>
      <c r="Q372" s="195">
        <f>IFERROR(INDEX('Both teabags AfterWet'!$C$3:$C$841,MATCH(I372,'Both teabags AfterWet'!$A$3:$A$841,0)),"")</f>
        <v>2.2429999999999999</v>
      </c>
      <c r="R372" s="195">
        <f t="shared" si="39"/>
        <v>0.86139999999999994</v>
      </c>
      <c r="S372" s="195">
        <f t="shared" si="39"/>
        <v>2.0924</v>
      </c>
      <c r="T372" s="195">
        <f t="shared" si="40"/>
        <v>0.52096540985429884</v>
      </c>
      <c r="U372" s="195">
        <f t="shared" si="41"/>
        <v>0.34153551809925531</v>
      </c>
      <c r="V372" s="195">
        <f t="shared" si="42"/>
        <v>1.0707194760004093</v>
      </c>
      <c r="W372">
        <f t="shared" si="37"/>
        <v>51</v>
      </c>
      <c r="X372" s="195">
        <f t="shared" si="43"/>
        <v>0.38127623532743604</v>
      </c>
      <c r="Y372" s="195">
        <f t="shared" si="44"/>
        <v>-3.6900077620948637E-3</v>
      </c>
      <c r="Z372" s="255" t="str">
        <f>IF(ISNUMBER(SEARCH("C",'WetLitterbags placem_collection'!W299)),"YES","NO")</f>
        <v>NO</v>
      </c>
      <c r="AA372" s="255" t="str">
        <f>IF(ISNUMBER(SEARCH("H", 'WetLitterbags placem_collection'!Y79)),"YES","NO")</f>
        <v>NO</v>
      </c>
      <c r="AB372" s="255" t="str">
        <f>IF(ISNUMBER(SEARCH("R", 'WetLitterbags placem_collection'!WY79)),"YES","NO")</f>
        <v>NO</v>
      </c>
      <c r="AC372" s="255" t="str">
        <f>IF(ISNUMBER(SEARCH("C", 'WetLitterbags placem_collection'!VX79)),"YES","NO")</f>
        <v>NO</v>
      </c>
      <c r="AD372" s="255" t="str">
        <f>IF(ISNUMBER(SEARCH("H", 'WetLitterbags placem_collection'!X79)),"YES","NO")</f>
        <v>NO</v>
      </c>
      <c r="AE372" s="255" t="str">
        <f>IF(ISNUMBER(SEARCH("R", 'WetLitterbags placem_collection'!X79)),"YES","NO")</f>
        <v>YES</v>
      </c>
    </row>
    <row r="373" spans="2:31">
      <c r="B373" t="str">
        <f>'Final data_for_R_analysis_Wetse'!A519</f>
        <v>Wet</v>
      </c>
      <c r="C373" s="263">
        <f>'Final data_for_R_analysis_Wetse'!B519</f>
        <v>78</v>
      </c>
      <c r="D373" t="s">
        <v>3838</v>
      </c>
      <c r="E373" t="s">
        <v>25</v>
      </c>
      <c r="F373" s="387">
        <v>6</v>
      </c>
      <c r="G373" s="16">
        <f>'WetLitterbags placem_collection'!E80</f>
        <v>42767</v>
      </c>
      <c r="H373" s="92" t="str">
        <f>'Final data_for_R_analysis_Wetse'!J519</f>
        <v>G446</v>
      </c>
      <c r="I373" t="str">
        <f>'Final data_for_R_analysis_Wetse'!J739</f>
        <v>R100</v>
      </c>
      <c r="J373">
        <f>IFERROR(INDEX('Green_rooibos initial weight'!$C$5:$C$1749,MATCH(H373, 'Green_rooibos initial weight'!$A$5:$A$1749,0)),"")</f>
        <v>1.9319999999999999</v>
      </c>
      <c r="K373">
        <f>IFERROR(INDEX('Green_rooibos initial weight'!$C$5:$C$1749,MATCH(I373, 'Green_rooibos initial weight'!$A$5:$A$1749,0)),"")</f>
        <v>2.2549999999999999</v>
      </c>
      <c r="L373" s="195">
        <f t="shared" si="38"/>
        <v>1.6821999999999999</v>
      </c>
      <c r="M373" s="195">
        <f>AVERAGE(Ashed_controlls!$K$2:$K$11)</f>
        <v>5.5147656768714146</v>
      </c>
      <c r="N373" s="195">
        <f t="shared" si="36"/>
        <v>2.0051999999999999</v>
      </c>
      <c r="O373" s="16">
        <f>IF('WetLitterbags placem_collection'!G80="N.A","",'WetLitterbags placem_collection'!G80)</f>
        <v>42818</v>
      </c>
      <c r="P373" s="195">
        <f>IF(IFERROR(INDEX('Both teabags AfterWet'!$C$3:$C$841,MATCH(H373,'Both teabags AfterWet'!$A$3:$A$841,0)),"")="N.A","",(IFERROR(INDEX('Both teabags AfterWet'!$C$3:$C$841,MATCH(H373,'Both teabags AfterWet'!$A$3:$A$841,0)),"")))</f>
        <v>0.77859999999999996</v>
      </c>
      <c r="Q373" s="195">
        <f>IFERROR(INDEX('Both teabags AfterWet'!$C$3:$C$841,MATCH(I373,'Both teabags AfterWet'!$A$3:$A$841,0)),"")</f>
        <v>1.7222999999999999</v>
      </c>
      <c r="R373" s="195">
        <f t="shared" si="39"/>
        <v>0.62799999999999989</v>
      </c>
      <c r="S373" s="195">
        <f t="shared" si="39"/>
        <v>1.5716999999999999</v>
      </c>
      <c r="T373" s="195">
        <f t="shared" si="40"/>
        <v>0.62667934847223883</v>
      </c>
      <c r="U373" s="195">
        <f t="shared" si="41"/>
        <v>0.41083966788203785</v>
      </c>
      <c r="V373" s="195">
        <f t="shared" si="42"/>
        <v>0.78381208856971873</v>
      </c>
      <c r="W373">
        <f t="shared" si="37"/>
        <v>51</v>
      </c>
      <c r="X373" s="195">
        <f t="shared" si="43"/>
        <v>0.25572523934413438</v>
      </c>
      <c r="Y373" s="195">
        <f t="shared" si="44"/>
        <v>1.4646881142210567E-2</v>
      </c>
      <c r="Z373" s="255" t="str">
        <f>IF(ISNUMBER(SEARCH("C",'WetLitterbags placem_collection'!W300)),"YES","NO")</f>
        <v>NO</v>
      </c>
      <c r="AA373" s="255" t="str">
        <f>IF(ISNUMBER(SEARCH("H", 'WetLitterbags placem_collection'!Y80)),"YES","NO")</f>
        <v>NO</v>
      </c>
      <c r="AB373" s="255" t="str">
        <f>IF(ISNUMBER(SEARCH("R", 'WetLitterbags placem_collection'!WY80)),"YES","NO")</f>
        <v>NO</v>
      </c>
      <c r="AC373" s="255" t="str">
        <f>IF(ISNUMBER(SEARCH("C", 'WetLitterbags placem_collection'!VX80)),"YES","NO")</f>
        <v>NO</v>
      </c>
      <c r="AD373" s="255" t="str">
        <f>IF(ISNUMBER(SEARCH("H", 'WetLitterbags placem_collection'!X80)),"YES","NO")</f>
        <v>NO</v>
      </c>
      <c r="AE373" s="255" t="str">
        <f>IF(ISNUMBER(SEARCH("R", 'WetLitterbags placem_collection'!X80)),"YES","NO")</f>
        <v>YES</v>
      </c>
    </row>
    <row r="374" spans="2:31">
      <c r="B374" t="str">
        <f>'Final data_for_R_analysis_Wetse'!A520</f>
        <v>Wet</v>
      </c>
      <c r="C374" s="263">
        <f>'Final data_for_R_analysis_Wetse'!B520</f>
        <v>79</v>
      </c>
      <c r="D374" t="s">
        <v>3838</v>
      </c>
      <c r="E374" t="s">
        <v>25</v>
      </c>
      <c r="F374" s="387">
        <v>7</v>
      </c>
      <c r="G374" s="16">
        <f>'WetLitterbags placem_collection'!E81</f>
        <v>42767</v>
      </c>
      <c r="H374" s="92" t="str">
        <f>'Final data_for_R_analysis_Wetse'!J520</f>
        <v>G249</v>
      </c>
      <c r="I374" t="str">
        <f>'Final data_for_R_analysis_Wetse'!J740</f>
        <v>R56</v>
      </c>
      <c r="J374">
        <f>IFERROR(INDEX('Green_rooibos initial weight'!$C$5:$C$1749,MATCH(H374, 'Green_rooibos initial weight'!$A$5:$A$1749,0)),"")</f>
        <v>2.0219999999999998</v>
      </c>
      <c r="K374">
        <f>IFERROR(INDEX('Green_rooibos initial weight'!$C$5:$C$1749,MATCH(I374, 'Green_rooibos initial weight'!$A$5:$A$1749,0)),"")</f>
        <v>2.1829999999999998</v>
      </c>
      <c r="L374" s="195">
        <f t="shared" si="38"/>
        <v>1.7721999999999998</v>
      </c>
      <c r="M374" s="195">
        <f>AVERAGE(Ashed_controlls!$K$2:$K$11)</f>
        <v>5.5147656768714146</v>
      </c>
      <c r="N374" s="195">
        <f t="shared" si="36"/>
        <v>1.9331999999999998</v>
      </c>
      <c r="O374" s="16">
        <f>IF('WetLitterbags placem_collection'!G81="N.A","",'WetLitterbags placem_collection'!G81)</f>
        <v>42818</v>
      </c>
      <c r="P374" s="195">
        <f>IF(IFERROR(INDEX('Both teabags AfterWet'!$C$3:$C$841,MATCH(H374,'Both teabags AfterWet'!$A$3:$A$841,0)),"")="N.A","",(IFERROR(INDEX('Both teabags AfterWet'!$C$3:$C$841,MATCH(H374,'Both teabags AfterWet'!$A$3:$A$841,0)),"")))</f>
        <v>0.97550000000000003</v>
      </c>
      <c r="Q374" s="195">
        <f>IFERROR(INDEX('Both teabags AfterWet'!$C$3:$C$841,MATCH(I374,'Both teabags AfterWet'!$A$3:$A$841,0)),"")</f>
        <v>1.6438999999999999</v>
      </c>
      <c r="R374" s="195">
        <f t="shared" si="39"/>
        <v>0.82489999999999997</v>
      </c>
      <c r="S374" s="195">
        <f t="shared" si="39"/>
        <v>1.4932999999999998</v>
      </c>
      <c r="T374" s="195">
        <f t="shared" si="40"/>
        <v>0.53453334838054389</v>
      </c>
      <c r="U374" s="195">
        <f t="shared" si="41"/>
        <v>0.35043041366515471</v>
      </c>
      <c r="V374" s="195">
        <f t="shared" si="42"/>
        <v>0.77244982412580177</v>
      </c>
      <c r="W374">
        <f t="shared" si="37"/>
        <v>51</v>
      </c>
      <c r="X374" s="195">
        <f t="shared" si="43"/>
        <v>0.36516229408486467</v>
      </c>
      <c r="Y374" s="195">
        <f t="shared" si="44"/>
        <v>2.0548077406665588E-2</v>
      </c>
      <c r="Z374" s="255" t="str">
        <f>IF(ISNUMBER(SEARCH("C",'WetLitterbags placem_collection'!W301)),"YES","NO")</f>
        <v>NO</v>
      </c>
      <c r="AA374" s="255" t="str">
        <f>IF(ISNUMBER(SEARCH("H", 'WetLitterbags placem_collection'!Y81)),"YES","NO")</f>
        <v>NO</v>
      </c>
      <c r="AB374" s="255" t="str">
        <f>IF(ISNUMBER(SEARCH("R", 'WetLitterbags placem_collection'!WY81)),"YES","NO")</f>
        <v>NO</v>
      </c>
      <c r="AC374" s="255" t="str">
        <f>IF(ISNUMBER(SEARCH("C", 'WetLitterbags placem_collection'!VX81)),"YES","NO")</f>
        <v>NO</v>
      </c>
      <c r="AD374" s="255" t="str">
        <f>IF(ISNUMBER(SEARCH("H", 'WetLitterbags placem_collection'!X81)),"YES","NO")</f>
        <v>NO</v>
      </c>
      <c r="AE374" s="255" t="str">
        <f>IF(ISNUMBER(SEARCH("R", 'WetLitterbags placem_collection'!X81)),"YES","NO")</f>
        <v>YES</v>
      </c>
    </row>
    <row r="375" spans="2:31">
      <c r="B375" t="str">
        <f>'Final data_for_R_analysis_Wetse'!A521</f>
        <v>Wet</v>
      </c>
      <c r="C375" s="263">
        <f>'Final data_for_R_analysis_Wetse'!B521</f>
        <v>80</v>
      </c>
      <c r="D375" t="s">
        <v>3838</v>
      </c>
      <c r="E375" t="s">
        <v>25</v>
      </c>
      <c r="F375" s="387">
        <v>8</v>
      </c>
      <c r="G375" s="16">
        <f>'WetLitterbags placem_collection'!E82</f>
        <v>42767</v>
      </c>
      <c r="H375" s="92" t="str">
        <f>'Final data_for_R_analysis_Wetse'!J521</f>
        <v>G474</v>
      </c>
      <c r="I375" t="str">
        <f>'Final data_for_R_analysis_Wetse'!J741</f>
        <v>R68</v>
      </c>
      <c r="J375">
        <f>IFERROR(INDEX('Green_rooibos initial weight'!$C$5:$C$1749,MATCH(H375, 'Green_rooibos initial weight'!$A$5:$A$1749,0)),"")</f>
        <v>2.1930000000000001</v>
      </c>
      <c r="K375">
        <f>IFERROR(INDEX('Green_rooibos initial weight'!$C$5:$C$1749,MATCH(I375, 'Green_rooibos initial weight'!$A$5:$A$1749,0)),"")</f>
        <v>2.2370000000000001</v>
      </c>
      <c r="L375" s="195">
        <f t="shared" si="38"/>
        <v>1.9432</v>
      </c>
      <c r="M375" s="195">
        <f>AVERAGE(Ashed_controlls!$K$2:$K$11)</f>
        <v>5.5147656768714146</v>
      </c>
      <c r="N375" s="195">
        <f t="shared" si="36"/>
        <v>1.9872000000000001</v>
      </c>
      <c r="O375" s="16">
        <f>IF('WetLitterbags placem_collection'!G82="N.A","",'WetLitterbags placem_collection'!G82)</f>
        <v>42818</v>
      </c>
      <c r="P375" s="195">
        <f>IF(IFERROR(INDEX('Both teabags AfterWet'!$C$3:$C$841,MATCH(H375,'Both teabags AfterWet'!$A$3:$A$841,0)),"")="N.A","",(IFERROR(INDEX('Both teabags AfterWet'!$C$3:$C$841,MATCH(H375,'Both teabags AfterWet'!$A$3:$A$841,0)),"")))</f>
        <v>1.0009999999999999</v>
      </c>
      <c r="Q375" s="195">
        <f>IFERROR(INDEX('Both teabags AfterWet'!$C$3:$C$841,MATCH(I375,'Both teabags AfterWet'!$A$3:$A$841,0)),"")</f>
        <v>1.639</v>
      </c>
      <c r="R375" s="195">
        <f t="shared" si="39"/>
        <v>0.85039999999999982</v>
      </c>
      <c r="S375" s="195">
        <f t="shared" si="39"/>
        <v>1.4883999999999999</v>
      </c>
      <c r="T375" s="195">
        <f t="shared" si="40"/>
        <v>0.56237134623301777</v>
      </c>
      <c r="U375" s="195">
        <f t="shared" si="41"/>
        <v>0.368680502518558</v>
      </c>
      <c r="V375" s="195">
        <f t="shared" si="42"/>
        <v>0.74899355877616747</v>
      </c>
      <c r="W375">
        <f t="shared" si="37"/>
        <v>51</v>
      </c>
      <c r="X375" s="195">
        <f t="shared" si="43"/>
        <v>0.33210053891565583</v>
      </c>
      <c r="Y375" s="195">
        <f t="shared" si="44"/>
        <v>2.2392388470399063E-2</v>
      </c>
      <c r="Z375" s="255" t="str">
        <f>IF(ISNUMBER(SEARCH("C",'WetLitterbags placem_collection'!W302)),"YES","NO")</f>
        <v>NO</v>
      </c>
      <c r="AA375" s="255" t="str">
        <f>IF(ISNUMBER(SEARCH("H", 'WetLitterbags placem_collection'!Y82)),"YES","NO")</f>
        <v>NO</v>
      </c>
      <c r="AB375" s="255" t="str">
        <f>IF(ISNUMBER(SEARCH("R", 'WetLitterbags placem_collection'!WY82)),"YES","NO")</f>
        <v>NO</v>
      </c>
      <c r="AC375" s="255" t="str">
        <f>IF(ISNUMBER(SEARCH("C", 'WetLitterbags placem_collection'!VX82)),"YES","NO")</f>
        <v>NO</v>
      </c>
      <c r="AD375" s="255" t="str">
        <f>IF(ISNUMBER(SEARCH("H", 'WetLitterbags placem_collection'!X82)),"YES","NO")</f>
        <v>NO</v>
      </c>
      <c r="AE375" s="255" t="str">
        <f>IF(ISNUMBER(SEARCH("R", 'WetLitterbags placem_collection'!X82)),"YES","NO")</f>
        <v>YES</v>
      </c>
    </row>
    <row r="376" spans="2:31">
      <c r="B376" t="str">
        <f>'Final data_for_R_analysis_Wetse'!A522</f>
        <v>Wet</v>
      </c>
      <c r="C376" s="263">
        <f>'Final data_for_R_analysis_Wetse'!B522</f>
        <v>81</v>
      </c>
      <c r="D376" t="s">
        <v>3839</v>
      </c>
      <c r="E376" t="s">
        <v>25</v>
      </c>
      <c r="F376" s="386">
        <v>1</v>
      </c>
      <c r="G376" s="16">
        <f>'WetLitterbags placem_collection'!E83</f>
        <v>42767</v>
      </c>
      <c r="H376" s="92" t="str">
        <f>'Final data_for_R_analysis_Wetse'!J522</f>
        <v>G475</v>
      </c>
      <c r="I376" t="str">
        <f>'Final data_for_R_analysis_Wetse'!J742</f>
        <v>R293</v>
      </c>
      <c r="J376">
        <f>IFERROR(INDEX('Green_rooibos initial weight'!$C$5:$C$1749,MATCH(H376, 'Green_rooibos initial weight'!$A$5:$A$1749,0)),"")</f>
        <v>2.0110000000000001</v>
      </c>
      <c r="K376">
        <f>IFERROR(INDEX('Green_rooibos initial weight'!$C$5:$C$1749,MATCH(I376, 'Green_rooibos initial weight'!$A$5:$A$1749,0)),"")</f>
        <v>2.165</v>
      </c>
      <c r="L376" s="195">
        <f t="shared" si="38"/>
        <v>1.7612000000000001</v>
      </c>
      <c r="M376" s="195">
        <f>AVERAGE(Ashed_controlls!$K$2:$K$11)</f>
        <v>5.5147656768714146</v>
      </c>
      <c r="N376" s="195">
        <f t="shared" si="36"/>
        <v>1.9152</v>
      </c>
      <c r="O376" s="16">
        <f>IF('WetLitterbags placem_collection'!G83="N.A","",'WetLitterbags placem_collection'!G83)</f>
        <v>42818</v>
      </c>
      <c r="P376" s="195">
        <f>IF(IFERROR(INDEX('Both teabags AfterWet'!$C$3:$C$841,MATCH(H376,'Both teabags AfterWet'!$A$3:$A$841,0)),"")="N.A","",(IFERROR(INDEX('Both teabags AfterWet'!$C$3:$C$841,MATCH(H376,'Both teabags AfterWet'!$A$3:$A$841,0)),"")))</f>
        <v>0.65200000000000002</v>
      </c>
      <c r="Q376" s="195">
        <f>IFERROR(INDEX('Both teabags AfterWet'!$C$3:$C$841,MATCH(I376,'Both teabags AfterWet'!$A$3:$A$841,0)),"")</f>
        <v>1.736</v>
      </c>
      <c r="R376" s="195">
        <f t="shared" si="39"/>
        <v>0.50140000000000007</v>
      </c>
      <c r="S376" s="195">
        <f t="shared" si="39"/>
        <v>1.5853999999999999</v>
      </c>
      <c r="T376" s="195">
        <f t="shared" si="40"/>
        <v>0.71530774471950942</v>
      </c>
      <c r="U376" s="195">
        <f t="shared" si="41"/>
        <v>0.46894284451920337</v>
      </c>
      <c r="V376" s="195">
        <f t="shared" si="42"/>
        <v>0.82779866332497909</v>
      </c>
      <c r="W376">
        <f t="shared" si="37"/>
        <v>51</v>
      </c>
      <c r="X376" s="195">
        <f t="shared" si="43"/>
        <v>0.15046586137825479</v>
      </c>
      <c r="Y376" s="195">
        <f t="shared" si="44"/>
        <v>8.9729309499730573E-3</v>
      </c>
      <c r="Z376" s="255" t="str">
        <f>IF(ISNUMBER(SEARCH("C",'WetLitterbags placem_collection'!W303)),"YES","NO")</f>
        <v>NO</v>
      </c>
      <c r="AA376" s="255" t="str">
        <f>IF(ISNUMBER(SEARCH("H", 'WetLitterbags placem_collection'!Y83)),"YES","NO")</f>
        <v>NO</v>
      </c>
      <c r="AB376" s="255" t="str">
        <f>IF(ISNUMBER(SEARCH("R", 'WetLitterbags placem_collection'!WY83)),"YES","NO")</f>
        <v>NO</v>
      </c>
      <c r="AC376" s="255" t="str">
        <f>IF(ISNUMBER(SEARCH("C", 'WetLitterbags placem_collection'!VX83)),"YES","NO")</f>
        <v>NO</v>
      </c>
      <c r="AD376" s="255" t="str">
        <f>IF(ISNUMBER(SEARCH("H", 'WetLitterbags placem_collection'!X83)),"YES","NO")</f>
        <v>NO</v>
      </c>
      <c r="AE376" s="255" t="str">
        <f>IF(ISNUMBER(SEARCH("R", 'WetLitterbags placem_collection'!X83)),"YES","NO")</f>
        <v>YES</v>
      </c>
    </row>
    <row r="377" spans="2:31">
      <c r="B377" t="str">
        <f>'Final data_for_R_analysis_Wetse'!A523</f>
        <v>Wet</v>
      </c>
      <c r="C377" s="263">
        <f>'Final data_for_R_analysis_Wetse'!B523</f>
        <v>82</v>
      </c>
      <c r="D377" t="s">
        <v>3839</v>
      </c>
      <c r="E377" t="s">
        <v>25</v>
      </c>
      <c r="F377" s="386">
        <v>2</v>
      </c>
      <c r="G377" s="16">
        <f>'WetLitterbags placem_collection'!E84</f>
        <v>42767</v>
      </c>
      <c r="H377" s="92" t="str">
        <f>'Final data_for_R_analysis_Wetse'!J523</f>
        <v>G840</v>
      </c>
      <c r="I377" t="str">
        <f>'Final data_for_R_analysis_Wetse'!J743</f>
        <v>R368</v>
      </c>
      <c r="J377">
        <f>IFERROR(INDEX('Green_rooibos initial weight'!$C$5:$C$1749,MATCH(H377, 'Green_rooibos initial weight'!$A$5:$A$1749,0)),"")</f>
        <v>2.056</v>
      </c>
      <c r="K377">
        <f>IFERROR(INDEX('Green_rooibos initial weight'!$C$5:$C$1749,MATCH(I377, 'Green_rooibos initial weight'!$A$5:$A$1749,0)),"")</f>
        <v>2.2549999999999999</v>
      </c>
      <c r="L377" s="195">
        <f t="shared" si="38"/>
        <v>1.8062</v>
      </c>
      <c r="M377" s="195">
        <f>AVERAGE(Ashed_controlls!$K$2:$K$11)</f>
        <v>5.5147656768714146</v>
      </c>
      <c r="N377" s="195">
        <f t="shared" si="36"/>
        <v>2.0051999999999999</v>
      </c>
      <c r="O377" s="16">
        <f>IF('WetLitterbags placem_collection'!G84="N.A","",'WetLitterbags placem_collection'!G84)</f>
        <v>42819</v>
      </c>
      <c r="P377" s="195">
        <f>IF(IFERROR(INDEX('Both teabags AfterWet'!$C$3:$C$841,MATCH(H377,'Both teabags AfterWet'!$A$3:$A$841,0)),"")="N.A","",(IFERROR(INDEX('Both teabags AfterWet'!$C$3:$C$841,MATCH(H377,'Both teabags AfterWet'!$A$3:$A$841,0)),"")))</f>
        <v>0.74299999999999999</v>
      </c>
      <c r="Q377" s="195">
        <f>IFERROR(INDEX('Both teabags AfterWet'!$C$3:$C$841,MATCH(I377,'Both teabags AfterWet'!$A$3:$A$841,0)),"")</f>
        <v>1.704</v>
      </c>
      <c r="R377" s="195">
        <f t="shared" si="39"/>
        <v>0.59240000000000004</v>
      </c>
      <c r="S377" s="195">
        <f t="shared" si="39"/>
        <v>1.5533999999999999</v>
      </c>
      <c r="T377" s="195">
        <f t="shared" si="40"/>
        <v>0.67201860259107515</v>
      </c>
      <c r="U377" s="195">
        <f t="shared" si="41"/>
        <v>0.44056326440650062</v>
      </c>
      <c r="V377" s="195">
        <f t="shared" si="42"/>
        <v>0.77468581687612204</v>
      </c>
      <c r="W377">
        <f t="shared" si="37"/>
        <v>52</v>
      </c>
      <c r="X377" s="195">
        <f t="shared" si="43"/>
        <v>0.20187814419112216</v>
      </c>
      <c r="Y377" s="195">
        <f t="shared" si="44"/>
        <v>1.3774195758545311E-2</v>
      </c>
      <c r="Z377" s="255" t="str">
        <f>IF(ISNUMBER(SEARCH("C",'WetLitterbags placem_collection'!W304)),"YES","NO")</f>
        <v>NO</v>
      </c>
      <c r="AA377" s="255" t="str">
        <f>IF(ISNUMBER(SEARCH("H", 'WetLitterbags placem_collection'!Y84)),"YES","NO")</f>
        <v>NO</v>
      </c>
      <c r="AB377" s="255" t="str">
        <f>IF(ISNUMBER(SEARCH("R", 'WetLitterbags placem_collection'!WY84)),"YES","NO")</f>
        <v>NO</v>
      </c>
      <c r="AC377" s="255" t="str">
        <f>IF(ISNUMBER(SEARCH("C", 'WetLitterbags placem_collection'!VX84)),"YES","NO")</f>
        <v>NO</v>
      </c>
      <c r="AD377" s="255" t="str">
        <f>IF(ISNUMBER(SEARCH("H", 'WetLitterbags placem_collection'!X84)),"YES","NO")</f>
        <v>NO</v>
      </c>
      <c r="AE377" s="255" t="str">
        <f>IF(ISNUMBER(SEARCH("R", 'WetLitterbags placem_collection'!X84)),"YES","NO")</f>
        <v>YES</v>
      </c>
    </row>
    <row r="378" spans="2:31">
      <c r="B378" t="str">
        <f>'Final data_for_R_analysis_Wetse'!A524</f>
        <v>Wet</v>
      </c>
      <c r="C378" s="263">
        <f>'Final data_for_R_analysis_Wetse'!B524</f>
        <v>83</v>
      </c>
      <c r="D378" t="s">
        <v>3839</v>
      </c>
      <c r="E378" t="s">
        <v>25</v>
      </c>
      <c r="F378" s="386">
        <v>3</v>
      </c>
      <c r="G378" s="16">
        <f>'WetLitterbags placem_collection'!E85</f>
        <v>42767</v>
      </c>
      <c r="H378" s="92" t="str">
        <f>'Final data_for_R_analysis_Wetse'!J524</f>
        <v>G298</v>
      </c>
      <c r="I378" t="str">
        <f>'Final data_for_R_analysis_Wetse'!J744</f>
        <v>R22</v>
      </c>
      <c r="J378">
        <f>IFERROR(INDEX('Green_rooibos initial weight'!$C$5:$C$1749,MATCH(H378, 'Green_rooibos initial weight'!$A$5:$A$1749,0)),"")</f>
        <v>2.0550000000000002</v>
      </c>
      <c r="K378">
        <f>IFERROR(INDEX('Green_rooibos initial weight'!$C$5:$C$1749,MATCH(I378, 'Green_rooibos initial weight'!$A$5:$A$1749,0)),"")</f>
        <v>2.0590000000000002</v>
      </c>
      <c r="L378" s="195">
        <f t="shared" si="38"/>
        <v>1.8052000000000001</v>
      </c>
      <c r="M378" s="195">
        <f>AVERAGE(Ashed_controlls!$K$2:$K$11)</f>
        <v>5.5147656768714146</v>
      </c>
      <c r="N378" s="195">
        <f t="shared" si="36"/>
        <v>1.8092000000000001</v>
      </c>
      <c r="O378" s="16">
        <f>IF('WetLitterbags placem_collection'!G85="N.A","",'WetLitterbags placem_collection'!G85)</f>
        <v>42819</v>
      </c>
      <c r="P378" s="195">
        <f>IF(IFERROR(INDEX('Both teabags AfterWet'!$C$3:$C$841,MATCH(H378,'Both teabags AfterWet'!$A$3:$A$841,0)),"")="N.A","",(IFERROR(INDEX('Both teabags AfterWet'!$C$3:$C$841,MATCH(H378,'Both teabags AfterWet'!$A$3:$A$841,0)),"")))</f>
        <v>0.88800000000000001</v>
      </c>
      <c r="Q378" s="195">
        <f>IFERROR(INDEX('Both teabags AfterWet'!$C$3:$C$841,MATCH(I378,'Both teabags AfterWet'!$A$3:$A$841,0)),"")</f>
        <v>1.637</v>
      </c>
      <c r="R378" s="195">
        <f t="shared" si="39"/>
        <v>0.73740000000000006</v>
      </c>
      <c r="S378" s="195">
        <f t="shared" si="39"/>
        <v>1.4863999999999999</v>
      </c>
      <c r="T378" s="195">
        <f t="shared" si="40"/>
        <v>0.5915134057168181</v>
      </c>
      <c r="U378" s="195">
        <f t="shared" si="41"/>
        <v>0.38778551063620381</v>
      </c>
      <c r="V378" s="195">
        <f t="shared" si="42"/>
        <v>0.82157859827548074</v>
      </c>
      <c r="W378">
        <f t="shared" si="37"/>
        <v>52</v>
      </c>
      <c r="X378" s="195">
        <f t="shared" si="43"/>
        <v>0.29749001696339894</v>
      </c>
      <c r="Y378" s="195">
        <f t="shared" si="44"/>
        <v>1.1853413366191843E-2</v>
      </c>
      <c r="Z378" s="255" t="str">
        <f>IF(ISNUMBER(SEARCH("C",'WetLitterbags placem_collection'!W305)),"YES","NO")</f>
        <v>NO</v>
      </c>
      <c r="AA378" s="255" t="str">
        <f>IF(ISNUMBER(SEARCH("H", 'WetLitterbags placem_collection'!Y85)),"YES","NO")</f>
        <v>NO</v>
      </c>
      <c r="AB378" s="255" t="str">
        <f>IF(ISNUMBER(SEARCH("R", 'WetLitterbags placem_collection'!WY85)),"YES","NO")</f>
        <v>NO</v>
      </c>
      <c r="AC378" s="255" t="str">
        <f>IF(ISNUMBER(SEARCH("C", 'WetLitterbags placem_collection'!VX85)),"YES","NO")</f>
        <v>NO</v>
      </c>
      <c r="AD378" s="255" t="str">
        <f>IF(ISNUMBER(SEARCH("H", 'WetLitterbags placem_collection'!X85)),"YES","NO")</f>
        <v>NO</v>
      </c>
      <c r="AE378" s="255" t="str">
        <f>IF(ISNUMBER(SEARCH("R", 'WetLitterbags placem_collection'!X85)),"YES","NO")</f>
        <v>YES</v>
      </c>
    </row>
    <row r="379" spans="2:31">
      <c r="B379" t="str">
        <f>'Final data_for_R_analysis_Wetse'!A525</f>
        <v>Wet</v>
      </c>
      <c r="C379" s="263">
        <f>'Final data_for_R_analysis_Wetse'!B525</f>
        <v>84</v>
      </c>
      <c r="D379" t="s">
        <v>3839</v>
      </c>
      <c r="E379" t="s">
        <v>25</v>
      </c>
      <c r="F379" s="387">
        <v>4</v>
      </c>
      <c r="G379" s="16">
        <f>'WetLitterbags placem_collection'!E86</f>
        <v>42767</v>
      </c>
      <c r="H379" s="92" t="str">
        <f>'Final data_for_R_analysis_Wetse'!J525</f>
        <v>G520</v>
      </c>
      <c r="I379" t="str">
        <f>'Final data_for_R_analysis_Wetse'!J745</f>
        <v>R417</v>
      </c>
      <c r="J379">
        <f>IFERROR(INDEX('Green_rooibos initial weight'!$C$5:$C$1749,MATCH(H379, 'Green_rooibos initial weight'!$A$5:$A$1749,0)),"")</f>
        <v>1.929</v>
      </c>
      <c r="K379">
        <f>IFERROR(INDEX('Green_rooibos initial weight'!$C$5:$C$1749,MATCH(I379, 'Green_rooibos initial weight'!$A$5:$A$1749,0)),"")</f>
        <v>2.2269999999999999</v>
      </c>
      <c r="L379" s="195">
        <f t="shared" si="38"/>
        <v>1.6792</v>
      </c>
      <c r="M379" s="195">
        <f>AVERAGE(Ashed_controlls!$K$2:$K$11)</f>
        <v>5.5147656768714146</v>
      </c>
      <c r="N379" s="195">
        <f t="shared" si="36"/>
        <v>1.9771999999999998</v>
      </c>
      <c r="O379" s="16">
        <f>IF('WetLitterbags placem_collection'!G86="N.A","",'WetLitterbags placem_collection'!G86)</f>
        <v>42819</v>
      </c>
      <c r="P379" s="195">
        <f>IF(IFERROR(INDEX('Both teabags AfterWet'!$C$3:$C$841,MATCH(H379,'Both teabags AfterWet'!$A$3:$A$841,0)),"")="N.A","",(IFERROR(INDEX('Both teabags AfterWet'!$C$3:$C$841,MATCH(H379,'Both teabags AfterWet'!$A$3:$A$841,0)),"")))</f>
        <v>0.81299999999999994</v>
      </c>
      <c r="Q379" s="195">
        <f>IFERROR(INDEX('Both teabags AfterWet'!$C$3:$C$841,MATCH(I379,'Both teabags AfterWet'!$A$3:$A$841,0)),"")</f>
        <v>1.5820000000000001</v>
      </c>
      <c r="R379" s="195">
        <f t="shared" si="39"/>
        <v>0.66239999999999988</v>
      </c>
      <c r="S379" s="195">
        <f t="shared" si="39"/>
        <v>1.4314</v>
      </c>
      <c r="T379" s="195">
        <f t="shared" si="40"/>
        <v>0.60552644116245835</v>
      </c>
      <c r="U379" s="195">
        <f t="shared" si="41"/>
        <v>0.39697220370745495</v>
      </c>
      <c r="V379" s="195">
        <f t="shared" si="42"/>
        <v>0.72395306494031975</v>
      </c>
      <c r="W379">
        <f t="shared" si="37"/>
        <v>52</v>
      </c>
      <c r="X379" s="195">
        <f t="shared" si="43"/>
        <v>0.2808474570517121</v>
      </c>
      <c r="Y379" s="195">
        <f t="shared" si="44"/>
        <v>2.2859490809087994E-2</v>
      </c>
      <c r="Z379" s="255" t="str">
        <f>IF(ISNUMBER(SEARCH("C",'WetLitterbags placem_collection'!W306)),"YES","NO")</f>
        <v>NO</v>
      </c>
      <c r="AA379" s="255" t="str">
        <f>IF(ISNUMBER(SEARCH("H", 'WetLitterbags placem_collection'!Y86)),"YES","NO")</f>
        <v>NO</v>
      </c>
      <c r="AB379" s="255" t="str">
        <f>IF(ISNUMBER(SEARCH("R", 'WetLitterbags placem_collection'!WY86)),"YES","NO")</f>
        <v>NO</v>
      </c>
      <c r="AC379" s="255" t="str">
        <f>IF(ISNUMBER(SEARCH("C", 'WetLitterbags placem_collection'!VX86)),"YES","NO")</f>
        <v>NO</v>
      </c>
      <c r="AD379" s="255" t="str">
        <f>IF(ISNUMBER(SEARCH("H", 'WetLitterbags placem_collection'!X86)),"YES","NO")</f>
        <v>NO</v>
      </c>
      <c r="AE379" s="255" t="str">
        <f>IF(ISNUMBER(SEARCH("R", 'WetLitterbags placem_collection'!X86)),"YES","NO")</f>
        <v>YES</v>
      </c>
    </row>
    <row r="380" spans="2:31">
      <c r="B380" t="str">
        <f>'Final data_for_R_analysis_Wetse'!A526</f>
        <v>Wet</v>
      </c>
      <c r="C380" s="263">
        <f>'Final data_for_R_analysis_Wetse'!B526</f>
        <v>85</v>
      </c>
      <c r="D380" t="s">
        <v>3839</v>
      </c>
      <c r="E380" t="s">
        <v>25</v>
      </c>
      <c r="F380" s="387">
        <v>5</v>
      </c>
      <c r="G380" s="16">
        <f>'WetLitterbags placem_collection'!E87</f>
        <v>42767</v>
      </c>
      <c r="H380" s="92" t="str">
        <f>'Final data_for_R_analysis_Wetse'!J526</f>
        <v>G441</v>
      </c>
      <c r="I380" t="str">
        <f>'Final data_for_R_analysis_Wetse'!J746</f>
        <v>R391</v>
      </c>
      <c r="J380">
        <f>IFERROR(INDEX('Green_rooibos initial weight'!$C$5:$C$1749,MATCH(H380, 'Green_rooibos initial weight'!$A$5:$A$1749,0)),"")</f>
        <v>2.1040000000000001</v>
      </c>
      <c r="K380">
        <f>IFERROR(INDEX('Green_rooibos initial weight'!$C$5:$C$1749,MATCH(I380, 'Green_rooibos initial weight'!$A$5:$A$1749,0)),"")</f>
        <v>2.1960000000000002</v>
      </c>
      <c r="L380" s="195">
        <f t="shared" si="38"/>
        <v>1.8542000000000001</v>
      </c>
      <c r="M380" s="195">
        <f>AVERAGE(Ashed_controlls!$K$2:$K$11)</f>
        <v>5.5147656768714146</v>
      </c>
      <c r="N380" s="195">
        <f t="shared" si="36"/>
        <v>1.9462000000000002</v>
      </c>
      <c r="O380" s="16">
        <f>IF('WetLitterbags placem_collection'!G87="N.A","",'WetLitterbags placem_collection'!G87)</f>
        <v>42819</v>
      </c>
      <c r="P380" s="195">
        <f>IF(IFERROR(INDEX('Both teabags AfterWet'!$C$3:$C$841,MATCH(H380,'Both teabags AfterWet'!$A$3:$A$841,0)),"")="N.A","",(IFERROR(INDEX('Both teabags AfterWet'!$C$3:$C$841,MATCH(H380,'Both teabags AfterWet'!$A$3:$A$841,0)),"")))</f>
        <v>0.96599999999999997</v>
      </c>
      <c r="Q380" s="195">
        <f>IFERROR(INDEX('Both teabags AfterWet'!$C$3:$C$841,MATCH(I380,'Both teabags AfterWet'!$A$3:$A$841,0)),"")</f>
        <v>1.6220000000000001</v>
      </c>
      <c r="R380" s="195">
        <f t="shared" si="39"/>
        <v>0.8153999999999999</v>
      </c>
      <c r="S380" s="195">
        <f t="shared" si="39"/>
        <v>1.4714</v>
      </c>
      <c r="T380" s="195">
        <f t="shared" si="40"/>
        <v>0.56024161363391234</v>
      </c>
      <c r="U380" s="195">
        <f t="shared" si="41"/>
        <v>0.3672842882730637</v>
      </c>
      <c r="V380" s="195">
        <f t="shared" si="42"/>
        <v>0.75603740622752025</v>
      </c>
      <c r="W380">
        <f t="shared" si="37"/>
        <v>52</v>
      </c>
      <c r="X380" s="195">
        <f t="shared" si="43"/>
        <v>0.3346299125487977</v>
      </c>
      <c r="Y380" s="195">
        <f t="shared" si="44"/>
        <v>2.0987304462108985E-2</v>
      </c>
      <c r="Z380" s="255" t="str">
        <f>IF(ISNUMBER(SEARCH("C",'WetLitterbags placem_collection'!W307)),"YES","NO")</f>
        <v>NO</v>
      </c>
      <c r="AA380" s="255" t="str">
        <f>IF(ISNUMBER(SEARCH("H", 'WetLitterbags placem_collection'!Y87)),"YES","NO")</f>
        <v>NO</v>
      </c>
      <c r="AB380" s="255" t="str">
        <f>IF(ISNUMBER(SEARCH("R", 'WetLitterbags placem_collection'!WY87)),"YES","NO")</f>
        <v>NO</v>
      </c>
      <c r="AC380" s="255" t="str">
        <f>IF(ISNUMBER(SEARCH("C", 'WetLitterbags placem_collection'!VX87)),"YES","NO")</f>
        <v>NO</v>
      </c>
      <c r="AD380" s="255" t="str">
        <f>IF(ISNUMBER(SEARCH("H", 'WetLitterbags placem_collection'!X87)),"YES","NO")</f>
        <v>NO</v>
      </c>
      <c r="AE380" s="255" t="str">
        <f>IF(ISNUMBER(SEARCH("R", 'WetLitterbags placem_collection'!X87)),"YES","NO")</f>
        <v>YES</v>
      </c>
    </row>
    <row r="381" spans="2:31">
      <c r="B381" t="str">
        <f>'Final data_for_R_analysis_Wetse'!A527</f>
        <v>Wet</v>
      </c>
      <c r="C381" s="263">
        <f>'Final data_for_R_analysis_Wetse'!B527</f>
        <v>86</v>
      </c>
      <c r="D381" t="s">
        <v>3839</v>
      </c>
      <c r="E381" t="s">
        <v>25</v>
      </c>
      <c r="F381" s="387">
        <v>6</v>
      </c>
      <c r="G381" s="16">
        <f>'WetLitterbags placem_collection'!E88</f>
        <v>42767</v>
      </c>
      <c r="H381" s="92" t="str">
        <f>'Final data_for_R_analysis_Wetse'!J527</f>
        <v>G561</v>
      </c>
      <c r="I381" t="str">
        <f>'Final data_for_R_analysis_Wetse'!J747</f>
        <v>R62</v>
      </c>
      <c r="J381">
        <f>IFERROR(INDEX('Green_rooibos initial weight'!$C$5:$C$1749,MATCH(H381, 'Green_rooibos initial weight'!$A$5:$A$1749,0)),"")</f>
        <v>2.1259999999999999</v>
      </c>
      <c r="K381">
        <f>IFERROR(INDEX('Green_rooibos initial weight'!$C$5:$C$1749,MATCH(I381, 'Green_rooibos initial weight'!$A$5:$A$1749,0)),"")</f>
        <v>2.3660000000000001</v>
      </c>
      <c r="L381" s="195">
        <f t="shared" si="38"/>
        <v>1.8761999999999999</v>
      </c>
      <c r="M381" s="195">
        <f>AVERAGE(Ashed_controlls!$K$2:$K$11)</f>
        <v>5.5147656768714146</v>
      </c>
      <c r="N381" s="195">
        <f t="shared" si="36"/>
        <v>2.1162000000000001</v>
      </c>
      <c r="O381" s="16">
        <f>IF('WetLitterbags placem_collection'!G88="N.A","",'WetLitterbags placem_collection'!G88)</f>
        <v>42819</v>
      </c>
      <c r="P381" s="195">
        <f>IF(IFERROR(INDEX('Both teabags AfterWet'!$C$3:$C$841,MATCH(H381,'Both teabags AfterWet'!$A$3:$A$841,0)),"")="N.A","",(IFERROR(INDEX('Both teabags AfterWet'!$C$3:$C$841,MATCH(H381,'Both teabags AfterWet'!$A$3:$A$841,0)),"")))</f>
        <v>0.74650000000000005</v>
      </c>
      <c r="Q381" s="195">
        <f>IFERROR(INDEX('Both teabags AfterWet'!$C$3:$C$841,MATCH(I381,'Both teabags AfterWet'!$A$3:$A$841,0)),"")</f>
        <v>1.6786000000000001</v>
      </c>
      <c r="R381" s="195">
        <f t="shared" si="39"/>
        <v>0.5959000000000001</v>
      </c>
      <c r="S381" s="195">
        <f t="shared" si="39"/>
        <v>1.528</v>
      </c>
      <c r="T381" s="195">
        <f t="shared" si="40"/>
        <v>0.6823899371069182</v>
      </c>
      <c r="U381" s="195">
        <f t="shared" si="41"/>
        <v>0.4473625240890961</v>
      </c>
      <c r="V381" s="195">
        <f t="shared" si="42"/>
        <v>0.72204895567526695</v>
      </c>
      <c r="W381">
        <f t="shared" si="37"/>
        <v>52</v>
      </c>
      <c r="X381" s="195">
        <f t="shared" si="43"/>
        <v>0.18956064476613033</v>
      </c>
      <c r="Y381" s="195">
        <f t="shared" si="44"/>
        <v>1.8673821820217214E-2</v>
      </c>
      <c r="Z381" s="255" t="str">
        <f>IF(ISNUMBER(SEARCH("C",'WetLitterbags placem_collection'!W308)),"YES","NO")</f>
        <v>NO</v>
      </c>
      <c r="AA381" s="255" t="str">
        <f>IF(ISNUMBER(SEARCH("H", 'WetLitterbags placem_collection'!Y88)),"YES","NO")</f>
        <v>NO</v>
      </c>
      <c r="AB381" s="255" t="str">
        <f>IF(ISNUMBER(SEARCH("R", 'WetLitterbags placem_collection'!WY88)),"YES","NO")</f>
        <v>NO</v>
      </c>
      <c r="AC381" s="255" t="str">
        <f>IF(ISNUMBER(SEARCH("C", 'WetLitterbags placem_collection'!VX88)),"YES","NO")</f>
        <v>NO</v>
      </c>
      <c r="AD381" s="255" t="str">
        <f>IF(ISNUMBER(SEARCH("H", 'WetLitterbags placem_collection'!X88)),"YES","NO")</f>
        <v>NO</v>
      </c>
      <c r="AE381" s="255" t="str">
        <f>IF(ISNUMBER(SEARCH("R", 'WetLitterbags placem_collection'!X88)),"YES","NO")</f>
        <v>YES</v>
      </c>
    </row>
    <row r="382" spans="2:31">
      <c r="B382" t="str">
        <f>'Final data_for_R_analysis_Wetse'!A528</f>
        <v>Wet</v>
      </c>
      <c r="C382" s="263">
        <f>'Final data_for_R_analysis_Wetse'!B528</f>
        <v>87</v>
      </c>
      <c r="D382" t="s">
        <v>3839</v>
      </c>
      <c r="E382" t="s">
        <v>25</v>
      </c>
      <c r="F382" s="387">
        <v>7</v>
      </c>
      <c r="G382" s="16">
        <f>'WetLitterbags placem_collection'!E89</f>
        <v>42767</v>
      </c>
      <c r="H382" s="92" t="str">
        <f>'Final data_for_R_analysis_Wetse'!J528</f>
        <v>G632</v>
      </c>
      <c r="I382" t="str">
        <f>'Final data_for_R_analysis_Wetse'!J748</f>
        <v>R329</v>
      </c>
      <c r="J382">
        <f>IFERROR(INDEX('Green_rooibos initial weight'!$C$5:$C$1749,MATCH(H382, 'Green_rooibos initial weight'!$A$5:$A$1749,0)),"")</f>
        <v>2.0779999999999998</v>
      </c>
      <c r="K382">
        <f>IFERROR(INDEX('Green_rooibos initial weight'!$C$5:$C$1749,MATCH(I382, 'Green_rooibos initial weight'!$A$5:$A$1749,0)),"")</f>
        <v>2.2120000000000002</v>
      </c>
      <c r="L382" s="195">
        <f t="shared" si="38"/>
        <v>1.8281999999999998</v>
      </c>
      <c r="M382" s="195">
        <f>AVERAGE(Ashed_controlls!$K$2:$K$11)</f>
        <v>5.5147656768714146</v>
      </c>
      <c r="N382" s="195">
        <f t="shared" si="36"/>
        <v>1.9622000000000002</v>
      </c>
      <c r="O382" s="16">
        <f>IF('WetLitterbags placem_collection'!G89="N.A","",'WetLitterbags placem_collection'!G89)</f>
        <v>42819</v>
      </c>
      <c r="P382" s="195">
        <f>IF(IFERROR(INDEX('Both teabags AfterWet'!$C$3:$C$841,MATCH(H382,'Both teabags AfterWet'!$A$3:$A$841,0)),"")="N.A","",(IFERROR(INDEX('Both teabags AfterWet'!$C$3:$C$841,MATCH(H382,'Both teabags AfterWet'!$A$3:$A$841,0)),"")))</f>
        <v>0.81640000000000001</v>
      </c>
      <c r="Q382" s="195">
        <f>IFERROR(INDEX('Both teabags AfterWet'!$C$3:$C$841,MATCH(I382,'Both teabags AfterWet'!$A$3:$A$841,0)),"")</f>
        <v>1.7085999999999999</v>
      </c>
      <c r="R382" s="195">
        <f t="shared" si="39"/>
        <v>0.66579999999999995</v>
      </c>
      <c r="S382" s="195">
        <f t="shared" si="39"/>
        <v>1.5579999999999998</v>
      </c>
      <c r="T382" s="195">
        <f t="shared" si="40"/>
        <v>0.63581665025708345</v>
      </c>
      <c r="U382" s="195">
        <f t="shared" si="41"/>
        <v>0.41682991798326613</v>
      </c>
      <c r="V382" s="195">
        <f t="shared" si="42"/>
        <v>0.79400672714300258</v>
      </c>
      <c r="W382">
        <f t="shared" si="37"/>
        <v>52</v>
      </c>
      <c r="X382" s="195">
        <f t="shared" si="43"/>
        <v>0.24487333698683678</v>
      </c>
      <c r="Y382" s="195">
        <f t="shared" si="44"/>
        <v>1.3107589002582333E-2</v>
      </c>
      <c r="Z382" s="255" t="str">
        <f>IF(ISNUMBER(SEARCH("C",'WetLitterbags placem_collection'!W309)),"YES","NO")</f>
        <v>NO</v>
      </c>
      <c r="AA382" s="255" t="str">
        <f>IF(ISNUMBER(SEARCH("H", 'WetLitterbags placem_collection'!Y89)),"YES","NO")</f>
        <v>NO</v>
      </c>
      <c r="AB382" s="255" t="str">
        <f>IF(ISNUMBER(SEARCH("R", 'WetLitterbags placem_collection'!WY89)),"YES","NO")</f>
        <v>NO</v>
      </c>
      <c r="AC382" s="255" t="str">
        <f>IF(ISNUMBER(SEARCH("C", 'WetLitterbags placem_collection'!VX89)),"YES","NO")</f>
        <v>NO</v>
      </c>
      <c r="AD382" s="255" t="str">
        <f>IF(ISNUMBER(SEARCH("H", 'WetLitterbags placem_collection'!X89)),"YES","NO")</f>
        <v>NO</v>
      </c>
      <c r="AE382" s="255" t="str">
        <f>IF(ISNUMBER(SEARCH("R", 'WetLitterbags placem_collection'!X89)),"YES","NO")</f>
        <v>YES</v>
      </c>
    </row>
    <row r="383" spans="2:31">
      <c r="B383" t="str">
        <f>'Final data_for_R_analysis_Wetse'!A529</f>
        <v>Wet</v>
      </c>
      <c r="C383" s="263">
        <f>'Final data_for_R_analysis_Wetse'!B529</f>
        <v>88</v>
      </c>
      <c r="D383" t="s">
        <v>3839</v>
      </c>
      <c r="E383" t="s">
        <v>25</v>
      </c>
      <c r="F383" s="387">
        <v>8</v>
      </c>
      <c r="G383" s="16">
        <f>'WetLitterbags placem_collection'!E90</f>
        <v>42767</v>
      </c>
      <c r="H383" s="92" t="str">
        <f>'Final data_for_R_analysis_Wetse'!J529</f>
        <v>G611</v>
      </c>
      <c r="I383" t="str">
        <f>'Final data_for_R_analysis_Wetse'!J749</f>
        <v>R288</v>
      </c>
      <c r="J383">
        <f>IFERROR(INDEX('Green_rooibos initial weight'!$C$5:$C$1749,MATCH(H383, 'Green_rooibos initial weight'!$A$5:$A$1749,0)),"")</f>
        <v>1.99</v>
      </c>
      <c r="K383">
        <f>IFERROR(INDEX('Green_rooibos initial weight'!$C$5:$C$1749,MATCH(I383, 'Green_rooibos initial weight'!$A$5:$A$1749,0)),"")</f>
        <v>2.2450000000000001</v>
      </c>
      <c r="L383" s="195">
        <f t="shared" si="38"/>
        <v>1.7402</v>
      </c>
      <c r="M383" s="195">
        <f>AVERAGE(Ashed_controlls!$K$2:$K$11)</f>
        <v>5.5147656768714146</v>
      </c>
      <c r="N383" s="195">
        <f t="shared" si="36"/>
        <v>1.9952000000000001</v>
      </c>
      <c r="O383" s="16">
        <f>IF('WetLitterbags placem_collection'!G90="N.A","",'WetLitterbags placem_collection'!G90)</f>
        <v>0</v>
      </c>
      <c r="P383" s="195" t="str">
        <f>IF(IFERROR(INDEX('Both teabags AfterWet'!$C$3:$C$841,MATCH(H383,'Both teabags AfterWet'!$A$3:$A$841,0)),"")="N.A","",(IFERROR(INDEX('Both teabags AfterWet'!$C$3:$C$841,MATCH(H383,'Both teabags AfterWet'!$A$3:$A$841,0)),"")))</f>
        <v/>
      </c>
      <c r="Q383" s="195" t="str">
        <f>IFERROR(INDEX('Both teabags AfterWet'!$C$3:$C$841,MATCH(I383,'Both teabags AfterWet'!$A$3:$A$841,0)),"")</f>
        <v/>
      </c>
      <c r="R383" s="195" t="str">
        <f t="shared" si="39"/>
        <v/>
      </c>
      <c r="S383" s="195" t="str">
        <f t="shared" si="39"/>
        <v/>
      </c>
      <c r="T383" s="195" t="str">
        <f t="shared" si="40"/>
        <v/>
      </c>
      <c r="U383" s="195" t="str">
        <f t="shared" si="41"/>
        <v/>
      </c>
      <c r="V383" s="195" t="str">
        <f t="shared" si="42"/>
        <v/>
      </c>
      <c r="W383" t="str">
        <f t="shared" si="37"/>
        <v/>
      </c>
      <c r="X383" s="195" t="str">
        <f t="shared" si="43"/>
        <v/>
      </c>
      <c r="Y383" s="195" t="str">
        <f t="shared" si="44"/>
        <v/>
      </c>
      <c r="Z383" s="255" t="str">
        <f>IF(ISNUMBER(SEARCH("C",'WetLitterbags placem_collection'!W310)),"YES","NO")</f>
        <v>NO</v>
      </c>
      <c r="AA383" s="255" t="str">
        <f>IF(ISNUMBER(SEARCH("H", 'WetLitterbags placem_collection'!Y90)),"YES","NO")</f>
        <v>NO</v>
      </c>
      <c r="AB383" s="255" t="str">
        <f>IF(ISNUMBER(SEARCH("R", 'WetLitterbags placem_collection'!WY90)),"YES","NO")</f>
        <v>NO</v>
      </c>
      <c r="AC383" s="255" t="str">
        <f>IF(ISNUMBER(SEARCH("C", 'WetLitterbags placem_collection'!VX90)),"YES","NO")</f>
        <v>NO</v>
      </c>
      <c r="AD383" s="255" t="str">
        <f>IF(ISNUMBER(SEARCH("H", 'WetLitterbags placem_collection'!X90)),"YES","NO")</f>
        <v>NO</v>
      </c>
      <c r="AE383" s="255" t="str">
        <f>IF(ISNUMBER(SEARCH("R", 'WetLitterbags placem_collection'!X90)),"YES","NO")</f>
        <v>NO</v>
      </c>
    </row>
    <row r="384" spans="2:31">
      <c r="B384" t="str">
        <f>'Final data_for_R_analysis_Wetse'!A530</f>
        <v>Wet</v>
      </c>
      <c r="C384" s="263">
        <f>'Final data_for_R_analysis_Wetse'!B530</f>
        <v>89</v>
      </c>
      <c r="D384" t="s">
        <v>3840</v>
      </c>
      <c r="E384" t="s">
        <v>25</v>
      </c>
      <c r="F384" s="386">
        <v>1</v>
      </c>
      <c r="G384" s="16">
        <f>'WetLitterbags placem_collection'!E91</f>
        <v>42767</v>
      </c>
      <c r="H384" s="92" t="str">
        <f>'Final data_for_R_analysis_Wetse'!J530</f>
        <v>G469</v>
      </c>
      <c r="I384" t="str">
        <f>'Final data_for_R_analysis_Wetse'!J750</f>
        <v>R171</v>
      </c>
      <c r="J384">
        <f>IFERROR(INDEX('Green_rooibos initial weight'!$C$5:$C$1749,MATCH(H384, 'Green_rooibos initial weight'!$A$5:$A$1749,0)),"")</f>
        <v>1.9630000000000001</v>
      </c>
      <c r="K384">
        <f>IFERROR(INDEX('Green_rooibos initial weight'!$C$5:$C$1749,MATCH(I384, 'Green_rooibos initial weight'!$A$5:$A$1749,0)),"")</f>
        <v>2.1160000000000001</v>
      </c>
      <c r="L384" s="195">
        <f t="shared" si="38"/>
        <v>1.7132000000000001</v>
      </c>
      <c r="M384" s="195">
        <f>AVERAGE(Ashed_controlls!$K$2:$K$11)</f>
        <v>5.5147656768714146</v>
      </c>
      <c r="N384" s="195">
        <f t="shared" si="36"/>
        <v>1.8662000000000001</v>
      </c>
      <c r="O384" s="16">
        <f>IF('WetLitterbags placem_collection'!G91="N.A","",'WetLitterbags placem_collection'!G91)</f>
        <v>42819</v>
      </c>
      <c r="P384" s="195">
        <f>IF(IFERROR(INDEX('Both teabags AfterWet'!$C$3:$C$841,MATCH(H384,'Both teabags AfterWet'!$A$3:$A$841,0)),"")="N.A","",(IFERROR(INDEX('Both teabags AfterWet'!$C$3:$C$841,MATCH(H384,'Both teabags AfterWet'!$A$3:$A$841,0)),"")))</f>
        <v>1.5169999999999999</v>
      </c>
      <c r="Q384" s="195">
        <f>IFERROR(INDEX('Both teabags AfterWet'!$C$3:$C$841,MATCH(I384,'Both teabags AfterWet'!$A$3:$A$841,0)),"")</f>
        <v>2.0529999999999999</v>
      </c>
      <c r="R384" s="195">
        <f t="shared" si="39"/>
        <v>1.3663999999999998</v>
      </c>
      <c r="S384" s="195">
        <f t="shared" si="39"/>
        <v>1.9023999999999999</v>
      </c>
      <c r="T384" s="195">
        <f t="shared" si="40"/>
        <v>0.20242820452953547</v>
      </c>
      <c r="U384" s="195">
        <f t="shared" si="41"/>
        <v>0.132708276603686</v>
      </c>
      <c r="V384" s="195">
        <f t="shared" si="42"/>
        <v>1.0193977065694995</v>
      </c>
      <c r="W384">
        <f t="shared" si="37"/>
        <v>52</v>
      </c>
      <c r="X384" s="195">
        <f t="shared" si="43"/>
        <v>0.7595864554281051</v>
      </c>
      <c r="Y384" s="195">
        <f t="shared" si="44"/>
        <v>-2.6235427963711049E-3</v>
      </c>
      <c r="Z384" s="255" t="str">
        <f>IF(ISNUMBER(SEARCH("C",'WetLitterbags placem_collection'!W311)),"YES","NO")</f>
        <v>NO</v>
      </c>
      <c r="AA384" s="255" t="str">
        <f>IF(ISNUMBER(SEARCH("H", 'WetLitterbags placem_collection'!Y91)),"YES","NO")</f>
        <v>NO</v>
      </c>
      <c r="AB384" s="255" t="str">
        <f>IF(ISNUMBER(SEARCH("R", 'WetLitterbags placem_collection'!WY91)),"YES","NO")</f>
        <v>NO</v>
      </c>
      <c r="AC384" s="255" t="str">
        <f>IF(ISNUMBER(SEARCH("C", 'WetLitterbags placem_collection'!VX91)),"YES","NO")</f>
        <v>NO</v>
      </c>
      <c r="AD384" s="255" t="str">
        <f>IF(ISNUMBER(SEARCH("H", 'WetLitterbags placem_collection'!X91)),"YES","NO")</f>
        <v>NO</v>
      </c>
      <c r="AE384" s="255" t="str">
        <f>IF(ISNUMBER(SEARCH("R", 'WetLitterbags placem_collection'!X91)),"YES","NO")</f>
        <v>YES</v>
      </c>
    </row>
    <row r="385" spans="2:31">
      <c r="B385" t="str">
        <f>'Final data_for_R_analysis_Wetse'!A531</f>
        <v>Wet</v>
      </c>
      <c r="C385" s="263">
        <f>'Final data_for_R_analysis_Wetse'!B531</f>
        <v>90</v>
      </c>
      <c r="D385" t="s">
        <v>3840</v>
      </c>
      <c r="E385" t="s">
        <v>25</v>
      </c>
      <c r="F385" s="386">
        <v>2</v>
      </c>
      <c r="G385" s="16">
        <f>'WetLitterbags placem_collection'!E92</f>
        <v>42767</v>
      </c>
      <c r="H385" s="92" t="str">
        <f>'Final data_for_R_analysis_Wetse'!J531</f>
        <v>G355</v>
      </c>
      <c r="I385" t="str">
        <f>'Final data_for_R_analysis_Wetse'!J751</f>
        <v>R517</v>
      </c>
      <c r="J385">
        <f>IFERROR(INDEX('Green_rooibos initial weight'!$C$5:$C$1749,MATCH(H385, 'Green_rooibos initial weight'!$A$5:$A$1749,0)),"")</f>
        <v>2.0489999999999999</v>
      </c>
      <c r="K385">
        <f>IFERROR(INDEX('Green_rooibos initial weight'!$C$5:$C$1749,MATCH(I385, 'Green_rooibos initial weight'!$A$5:$A$1749,0)),"")</f>
        <v>2.222</v>
      </c>
      <c r="L385" s="195">
        <f t="shared" si="38"/>
        <v>1.7991999999999999</v>
      </c>
      <c r="M385" s="195">
        <f>AVERAGE(Ashed_controlls!$K$2:$K$11)</f>
        <v>5.5147656768714146</v>
      </c>
      <c r="N385" s="195">
        <f t="shared" si="36"/>
        <v>1.9722</v>
      </c>
      <c r="O385" s="16">
        <f>IF('WetLitterbags placem_collection'!G92="N.A","",'WetLitterbags placem_collection'!G92)</f>
        <v>42819</v>
      </c>
      <c r="P385" s="195">
        <f>IF(IFERROR(INDEX('Both teabags AfterWet'!$C$3:$C$841,MATCH(H385,'Both teabags AfterWet'!$A$3:$A$841,0)),"")="N.A","",(IFERROR(INDEX('Both teabags AfterWet'!$C$3:$C$841,MATCH(H385,'Both teabags AfterWet'!$A$3:$A$841,0)),"")))</f>
        <v>0.78380000000000005</v>
      </c>
      <c r="Q385" s="195">
        <f>IFERROR(INDEX('Both teabags AfterWet'!$C$3:$C$841,MATCH(I385,'Both teabags AfterWet'!$A$3:$A$841,0)),"")</f>
        <v>2.2749000000000001</v>
      </c>
      <c r="R385" s="195">
        <f t="shared" si="39"/>
        <v>0.63319999999999999</v>
      </c>
      <c r="S385" s="195">
        <f t="shared" si="39"/>
        <v>2.1243000000000003</v>
      </c>
      <c r="T385" s="195">
        <f t="shared" si="40"/>
        <v>0.64806580702534466</v>
      </c>
      <c r="U385" s="195">
        <f t="shared" si="41"/>
        <v>0.4248602440356179</v>
      </c>
      <c r="V385" s="195">
        <f t="shared" si="42"/>
        <v>1.0771219957407974</v>
      </c>
      <c r="W385">
        <f t="shared" si="37"/>
        <v>52</v>
      </c>
      <c r="X385" s="195">
        <f t="shared" si="43"/>
        <v>0.2303256448630111</v>
      </c>
      <c r="Y385" s="195">
        <f t="shared" si="44"/>
        <v>-3.2077781317730552E-3</v>
      </c>
      <c r="Z385" s="255" t="str">
        <f>IF(ISNUMBER(SEARCH("C",'WetLitterbags placem_collection'!W312)),"YES","NO")</f>
        <v>NO</v>
      </c>
      <c r="AA385" s="255" t="str">
        <f>IF(ISNUMBER(SEARCH("H", 'WetLitterbags placem_collection'!Y92)),"YES","NO")</f>
        <v>NO</v>
      </c>
      <c r="AB385" s="255" t="str">
        <f>IF(ISNUMBER(SEARCH("R", 'WetLitterbags placem_collection'!WY92)),"YES","NO")</f>
        <v>NO</v>
      </c>
      <c r="AC385" s="255" t="str">
        <f>IF(ISNUMBER(SEARCH("C", 'WetLitterbags placem_collection'!VX92)),"YES","NO")</f>
        <v>NO</v>
      </c>
      <c r="AD385" s="255" t="str">
        <f>IF(ISNUMBER(SEARCH("H", 'WetLitterbags placem_collection'!X92)),"YES","NO")</f>
        <v>NO</v>
      </c>
      <c r="AE385" s="255" t="str">
        <f>IF(ISNUMBER(SEARCH("R", 'WetLitterbags placem_collection'!X92)),"YES","NO")</f>
        <v>NO</v>
      </c>
    </row>
    <row r="386" spans="2:31">
      <c r="B386" t="str">
        <f>'Final data_for_R_analysis_Wetse'!A532</f>
        <v>Wet</v>
      </c>
      <c r="C386" s="263">
        <f>'Final data_for_R_analysis_Wetse'!B532</f>
        <v>91</v>
      </c>
      <c r="D386" t="s">
        <v>3840</v>
      </c>
      <c r="E386" t="s">
        <v>25</v>
      </c>
      <c r="F386" s="386">
        <v>3</v>
      </c>
      <c r="G386" s="16">
        <f>'WetLitterbags placem_collection'!E93</f>
        <v>42767</v>
      </c>
      <c r="H386" s="92" t="str">
        <f>'Final data_for_R_analysis_Wetse'!J532</f>
        <v>G547</v>
      </c>
      <c r="I386" t="str">
        <f>'Final data_for_R_analysis_Wetse'!J752</f>
        <v>R73</v>
      </c>
      <c r="J386">
        <f>IFERROR(INDEX('Green_rooibos initial weight'!$C$5:$C$1749,MATCH(H386, 'Green_rooibos initial weight'!$A$5:$A$1749,0)),"")</f>
        <v>2.121</v>
      </c>
      <c r="K386">
        <f>IFERROR(INDEX('Green_rooibos initial weight'!$C$5:$C$1749,MATCH(I386, 'Green_rooibos initial weight'!$A$5:$A$1749,0)),"")</f>
        <v>2.1459999999999999</v>
      </c>
      <c r="L386" s="195">
        <f t="shared" si="38"/>
        <v>1.8712</v>
      </c>
      <c r="M386" s="195">
        <f>AVERAGE(Ashed_controlls!$K$2:$K$11)</f>
        <v>5.5147656768714146</v>
      </c>
      <c r="N386" s="195">
        <f t="shared" si="36"/>
        <v>1.8961999999999999</v>
      </c>
      <c r="O386" s="16">
        <f>IF('WetLitterbags placem_collection'!G93="N.A","",'WetLitterbags placem_collection'!G93)</f>
        <v>42819</v>
      </c>
      <c r="P386" s="195">
        <f>IF(IFERROR(INDEX('Both teabags AfterWet'!$C$3:$C$841,MATCH(H386,'Both teabags AfterWet'!$A$3:$A$841,0)),"")="N.A","",(IFERROR(INDEX('Both teabags AfterWet'!$C$3:$C$841,MATCH(H386,'Both teabags AfterWet'!$A$3:$A$841,0)),"")))</f>
        <v>1.069</v>
      </c>
      <c r="Q386" s="195">
        <f>IFERROR(INDEX('Both teabags AfterWet'!$C$3:$C$841,MATCH(I386,'Both teabags AfterWet'!$A$3:$A$841,0)),"")</f>
        <v>1.663</v>
      </c>
      <c r="R386" s="195">
        <f t="shared" si="39"/>
        <v>0.91839999999999988</v>
      </c>
      <c r="S386" s="195">
        <f t="shared" si="39"/>
        <v>1.5124</v>
      </c>
      <c r="T386" s="195">
        <f t="shared" si="40"/>
        <v>0.50919196237708431</v>
      </c>
      <c r="U386" s="195">
        <f t="shared" si="41"/>
        <v>0.33381705847048759</v>
      </c>
      <c r="V386" s="195">
        <f t="shared" si="42"/>
        <v>0.79759519038076154</v>
      </c>
      <c r="W386">
        <f t="shared" si="37"/>
        <v>52</v>
      </c>
      <c r="X386" s="195">
        <f t="shared" si="43"/>
        <v>0.39525895204621819</v>
      </c>
      <c r="Y386" s="195">
        <f t="shared" si="44"/>
        <v>1.792795757761563E-2</v>
      </c>
      <c r="Z386" s="255" t="str">
        <f>IF(ISNUMBER(SEARCH("C",'WetLitterbags placem_collection'!W313)),"YES","NO")</f>
        <v>NO</v>
      </c>
      <c r="AA386" s="255" t="str">
        <f>IF(ISNUMBER(SEARCH("H", 'WetLitterbags placem_collection'!Y93)),"YES","NO")</f>
        <v>NO</v>
      </c>
      <c r="AB386" s="255" t="str">
        <f>IF(ISNUMBER(SEARCH("R", 'WetLitterbags placem_collection'!WY93)),"YES","NO")</f>
        <v>NO</v>
      </c>
      <c r="AC386" s="255" t="str">
        <f>IF(ISNUMBER(SEARCH("C", 'WetLitterbags placem_collection'!VX93)),"YES","NO")</f>
        <v>NO</v>
      </c>
      <c r="AD386" s="255" t="str">
        <f>IF(ISNUMBER(SEARCH("H", 'WetLitterbags placem_collection'!X93)),"YES","NO")</f>
        <v>NO</v>
      </c>
      <c r="AE386" s="255" t="str">
        <f>IF(ISNUMBER(SEARCH("R", 'WetLitterbags placem_collection'!X93)),"YES","NO")</f>
        <v>YES</v>
      </c>
    </row>
    <row r="387" spans="2:31">
      <c r="B387" t="str">
        <f>'Final data_for_R_analysis_Wetse'!A533</f>
        <v>Wet</v>
      </c>
      <c r="C387" s="263">
        <f>'Final data_for_R_analysis_Wetse'!B533</f>
        <v>92</v>
      </c>
      <c r="D387" t="s">
        <v>3840</v>
      </c>
      <c r="E387" t="s">
        <v>25</v>
      </c>
      <c r="F387" s="387">
        <v>4</v>
      </c>
      <c r="G387" s="16">
        <f>'WetLitterbags placem_collection'!E94</f>
        <v>42767</v>
      </c>
      <c r="H387" s="92" t="str">
        <f>'Final data_for_R_analysis_Wetse'!J533</f>
        <v>G763</v>
      </c>
      <c r="I387" t="str">
        <f>'Final data_for_R_analysis_Wetse'!J753</f>
        <v>R4</v>
      </c>
      <c r="J387">
        <f>IFERROR(INDEX('Green_rooibos initial weight'!$C$5:$C$1749,MATCH(H387, 'Green_rooibos initial weight'!$A$5:$A$1749,0)),"")</f>
        <v>2.0590000000000002</v>
      </c>
      <c r="K387">
        <f>IFERROR(INDEX('Green_rooibos initial weight'!$C$5:$C$1749,MATCH(I387, 'Green_rooibos initial weight'!$A$5:$A$1749,0)),"")</f>
        <v>2.1549999999999998</v>
      </c>
      <c r="L387" s="195">
        <f t="shared" si="38"/>
        <v>1.8092000000000001</v>
      </c>
      <c r="M387" s="195">
        <f>AVERAGE(Ashed_controlls!$K$2:$K$11)</f>
        <v>5.5147656768714146</v>
      </c>
      <c r="N387" s="195">
        <f t="shared" si="36"/>
        <v>1.9051999999999998</v>
      </c>
      <c r="O387" s="16">
        <f>IF('WetLitterbags placem_collection'!G94="N.A","",'WetLitterbags placem_collection'!G94)</f>
        <v>42819</v>
      </c>
      <c r="P387" s="195" t="str">
        <f>IF(IFERROR(INDEX('Both teabags AfterWet'!$C$3:$C$841,MATCH(H387,'Both teabags AfterWet'!$A$3:$A$841,0)),"")="N.A","",(IFERROR(INDEX('Both teabags AfterWet'!$C$3:$C$841,MATCH(H387,'Both teabags AfterWet'!$A$3:$A$841,0)),"")))</f>
        <v/>
      </c>
      <c r="Q387" s="195">
        <f>IFERROR(INDEX('Both teabags AfterWet'!$C$3:$C$841,MATCH(I387,'Both teabags AfterWet'!$A$3:$A$841,0)),"")</f>
        <v>1.6779999999999999</v>
      </c>
      <c r="R387" s="195" t="str">
        <f t="shared" si="39"/>
        <v/>
      </c>
      <c r="S387" s="195">
        <f t="shared" si="39"/>
        <v>1.5273999999999999</v>
      </c>
      <c r="T387" s="195" t="str">
        <f t="shared" si="40"/>
        <v/>
      </c>
      <c r="U387" s="195" t="str">
        <f t="shared" si="41"/>
        <v/>
      </c>
      <c r="V387" s="195">
        <f t="shared" si="42"/>
        <v>0.80170060885996219</v>
      </c>
      <c r="W387">
        <f t="shared" si="37"/>
        <v>52</v>
      </c>
      <c r="X387" s="195" t="str">
        <f t="shared" si="43"/>
        <v/>
      </c>
      <c r="Y387" s="195" t="str">
        <f t="shared" si="44"/>
        <v/>
      </c>
      <c r="Z387" s="255" t="str">
        <f>IF(ISNUMBER(SEARCH("C",'WetLitterbags placem_collection'!W314)),"YES","NO")</f>
        <v>NO</v>
      </c>
      <c r="AA387" s="255" t="str">
        <f>IF(ISNUMBER(SEARCH("H", 'WetLitterbags placem_collection'!Y94)),"YES","NO")</f>
        <v>NO</v>
      </c>
      <c r="AB387" s="255" t="str">
        <f>IF(ISNUMBER(SEARCH("R", 'WetLitterbags placem_collection'!WY94)),"YES","NO")</f>
        <v>NO</v>
      </c>
      <c r="AC387" s="255" t="str">
        <f>IF(ISNUMBER(SEARCH("C", 'WetLitterbags placem_collection'!VX94)),"YES","NO")</f>
        <v>NO</v>
      </c>
      <c r="AD387" s="255" t="str">
        <f>IF(ISNUMBER(SEARCH("H", 'WetLitterbags placem_collection'!X94)),"YES","NO")</f>
        <v>NO</v>
      </c>
      <c r="AE387" s="255" t="str">
        <f>IF(ISNUMBER(SEARCH("R", 'WetLitterbags placem_collection'!X94)),"YES","NO")</f>
        <v>YES</v>
      </c>
    </row>
    <row r="388" spans="2:31">
      <c r="B388" t="str">
        <f>'Final data_for_R_analysis_Wetse'!A534</f>
        <v>Wet</v>
      </c>
      <c r="C388" s="263">
        <f>'Final data_for_R_analysis_Wetse'!B534</f>
        <v>93</v>
      </c>
      <c r="D388" t="s">
        <v>3840</v>
      </c>
      <c r="E388" t="s">
        <v>25</v>
      </c>
      <c r="F388" s="387">
        <v>5</v>
      </c>
      <c r="G388" s="16">
        <f>'WetLitterbags placem_collection'!E95</f>
        <v>42767</v>
      </c>
      <c r="H388" s="92" t="str">
        <f>'Final data_for_R_analysis_Wetse'!J534</f>
        <v>G424</v>
      </c>
      <c r="I388" t="str">
        <f>'Final data_for_R_analysis_Wetse'!J754</f>
        <v>R136</v>
      </c>
      <c r="J388">
        <f>IFERROR(INDEX('Green_rooibos initial weight'!$C$5:$C$1749,MATCH(H388, 'Green_rooibos initial weight'!$A$5:$A$1749,0)),"")</f>
        <v>1.9590000000000001</v>
      </c>
      <c r="K388">
        <f>IFERROR(INDEX('Green_rooibos initial weight'!$C$5:$C$1749,MATCH(I388, 'Green_rooibos initial weight'!$A$5:$A$1749,0)),"")</f>
        <v>2.21</v>
      </c>
      <c r="L388" s="195">
        <f t="shared" si="38"/>
        <v>1.7092000000000001</v>
      </c>
      <c r="M388" s="195">
        <f>AVERAGE(Ashed_controlls!$K$2:$K$11)</f>
        <v>5.5147656768714146</v>
      </c>
      <c r="N388" s="195">
        <f t="shared" si="36"/>
        <v>1.9601999999999999</v>
      </c>
      <c r="O388" s="16">
        <f>IF('WetLitterbags placem_collection'!G95="N.A","",'WetLitterbags placem_collection'!G95)</f>
        <v>42819</v>
      </c>
      <c r="P388" s="195">
        <f>IF(IFERROR(INDEX('Both teabags AfterWet'!$C$3:$C$841,MATCH(H388,'Both teabags AfterWet'!$A$3:$A$841,0)),"")="N.A","",(IFERROR(INDEX('Both teabags AfterWet'!$C$3:$C$841,MATCH(H388,'Both teabags AfterWet'!$A$3:$A$841,0)),"")))</f>
        <v>0.66039999999999999</v>
      </c>
      <c r="Q388" s="195">
        <f>IFERROR(INDEX('Both teabags AfterWet'!$C$3:$C$841,MATCH(I388,'Both teabags AfterWet'!$A$3:$A$841,0)),"")</f>
        <v>1.6368</v>
      </c>
      <c r="R388" s="195">
        <f t="shared" si="39"/>
        <v>0.50980000000000003</v>
      </c>
      <c r="S388" s="195">
        <f t="shared" si="39"/>
        <v>1.4862</v>
      </c>
      <c r="T388" s="195">
        <f t="shared" si="40"/>
        <v>0.70173180435291371</v>
      </c>
      <c r="U388" s="195">
        <f t="shared" si="41"/>
        <v>0.46004270309122142</v>
      </c>
      <c r="V388" s="195">
        <f t="shared" si="42"/>
        <v>0.75818794000612177</v>
      </c>
      <c r="W388">
        <f t="shared" si="37"/>
        <v>52</v>
      </c>
      <c r="X388" s="195">
        <f t="shared" si="43"/>
        <v>0.16658930599416422</v>
      </c>
      <c r="Y388" s="195">
        <f t="shared" si="44"/>
        <v>1.4341669588772275E-2</v>
      </c>
      <c r="Z388" s="255" t="str">
        <f>IF(ISNUMBER(SEARCH("C",'WetLitterbags placem_collection'!W315)),"YES","NO")</f>
        <v>NO</v>
      </c>
      <c r="AA388" s="255" t="str">
        <f>IF(ISNUMBER(SEARCH("H", 'WetLitterbags placem_collection'!Y95)),"YES","NO")</f>
        <v>NO</v>
      </c>
      <c r="AB388" s="255" t="str">
        <f>IF(ISNUMBER(SEARCH("R", 'WetLitterbags placem_collection'!WY95)),"YES","NO")</f>
        <v>NO</v>
      </c>
      <c r="AC388" s="255" t="str">
        <f>IF(ISNUMBER(SEARCH("C", 'WetLitterbags placem_collection'!VX95)),"YES","NO")</f>
        <v>NO</v>
      </c>
      <c r="AD388" s="255" t="str">
        <f>IF(ISNUMBER(SEARCH("H", 'WetLitterbags placem_collection'!X95)),"YES","NO")</f>
        <v>NO</v>
      </c>
      <c r="AE388" s="255" t="str">
        <f>IF(ISNUMBER(SEARCH("R", 'WetLitterbags placem_collection'!X95)),"YES","NO")</f>
        <v>YES</v>
      </c>
    </row>
    <row r="389" spans="2:31">
      <c r="B389" t="str">
        <f>'Final data_for_R_analysis_Wetse'!A535</f>
        <v>Wet</v>
      </c>
      <c r="C389" s="263">
        <f>'Final data_for_R_analysis_Wetse'!B535</f>
        <v>94</v>
      </c>
      <c r="D389" t="s">
        <v>3840</v>
      </c>
      <c r="E389" t="s">
        <v>25</v>
      </c>
      <c r="F389" s="387">
        <v>6</v>
      </c>
      <c r="G389" s="16">
        <f>'WetLitterbags placem_collection'!E96</f>
        <v>42767</v>
      </c>
      <c r="H389" s="92" t="str">
        <f>'Final data_for_R_analysis_Wetse'!J535</f>
        <v>G588</v>
      </c>
      <c r="I389" t="str">
        <f>'Final data_for_R_analysis_Wetse'!J755</f>
        <v>R358</v>
      </c>
      <c r="J389">
        <f>IFERROR(INDEX('Green_rooibos initial weight'!$C$5:$C$1749,MATCH(H389, 'Green_rooibos initial weight'!$A$5:$A$1749,0)),"")</f>
        <v>2.14</v>
      </c>
      <c r="K389">
        <f>IFERROR(INDEX('Green_rooibos initial weight'!$C$5:$C$1749,MATCH(I389, 'Green_rooibos initial weight'!$A$5:$A$1749,0)),"")</f>
        <v>2.2210000000000001</v>
      </c>
      <c r="L389" s="195">
        <f t="shared" si="38"/>
        <v>1.8902000000000001</v>
      </c>
      <c r="M389" s="195">
        <f>AVERAGE(Ashed_controlls!$K$2:$K$11)</f>
        <v>5.5147656768714146</v>
      </c>
      <c r="N389" s="195">
        <f t="shared" si="36"/>
        <v>1.9712000000000001</v>
      </c>
      <c r="O389" s="16">
        <f>IF('WetLitterbags placem_collection'!G96="N.A","",'WetLitterbags placem_collection'!G96)</f>
        <v>0</v>
      </c>
      <c r="P389" s="195" t="str">
        <f>IF(IFERROR(INDEX('Both teabags AfterWet'!$C$3:$C$841,MATCH(H389,'Both teabags AfterWet'!$A$3:$A$841,0)),"")="N.A","",(IFERROR(INDEX('Both teabags AfterWet'!$C$3:$C$841,MATCH(H389,'Both teabags AfterWet'!$A$3:$A$841,0)),"")))</f>
        <v/>
      </c>
      <c r="Q389" s="195" t="str">
        <f>IFERROR(INDEX('Both teabags AfterWet'!$C$3:$C$841,MATCH(I389,'Both teabags AfterWet'!$A$3:$A$841,0)),"")</f>
        <v/>
      </c>
      <c r="R389" s="195" t="str">
        <f t="shared" si="39"/>
        <v/>
      </c>
      <c r="S389" s="195" t="str">
        <f t="shared" si="39"/>
        <v/>
      </c>
      <c r="T389" s="195" t="str">
        <f t="shared" si="40"/>
        <v/>
      </c>
      <c r="U389" s="195" t="str">
        <f t="shared" si="41"/>
        <v/>
      </c>
      <c r="V389" s="195" t="str">
        <f t="shared" si="42"/>
        <v/>
      </c>
      <c r="W389" t="str">
        <f t="shared" si="37"/>
        <v/>
      </c>
      <c r="X389" s="195" t="str">
        <f t="shared" si="43"/>
        <v/>
      </c>
      <c r="Y389" s="195" t="str">
        <f t="shared" si="44"/>
        <v/>
      </c>
      <c r="Z389" s="255" t="str">
        <f>IF(ISNUMBER(SEARCH("C",'WetLitterbags placem_collection'!W316)),"YES","NO")</f>
        <v>NO</v>
      </c>
      <c r="AA389" s="255" t="str">
        <f>IF(ISNUMBER(SEARCH("H", 'WetLitterbags placem_collection'!Y96)),"YES","NO")</f>
        <v>NO</v>
      </c>
      <c r="AB389" s="255" t="str">
        <f>IF(ISNUMBER(SEARCH("R", 'WetLitterbags placem_collection'!WY96)),"YES","NO")</f>
        <v>NO</v>
      </c>
      <c r="AC389" s="255" t="str">
        <f>IF(ISNUMBER(SEARCH("C", 'WetLitterbags placem_collection'!VX96)),"YES","NO")</f>
        <v>NO</v>
      </c>
      <c r="AD389" s="255" t="str">
        <f>IF(ISNUMBER(SEARCH("H", 'WetLitterbags placem_collection'!X96)),"YES","NO")</f>
        <v>NO</v>
      </c>
      <c r="AE389" s="255" t="str">
        <f>IF(ISNUMBER(SEARCH("R", 'WetLitterbags placem_collection'!X96)),"YES","NO")</f>
        <v>NO</v>
      </c>
    </row>
    <row r="390" spans="2:31">
      <c r="B390" t="str">
        <f>'Final data_for_R_analysis_Wetse'!A536</f>
        <v>Wet</v>
      </c>
      <c r="C390" s="263">
        <f>'Final data_for_R_analysis_Wetse'!B536</f>
        <v>95</v>
      </c>
      <c r="D390" t="s">
        <v>3840</v>
      </c>
      <c r="E390" t="s">
        <v>25</v>
      </c>
      <c r="F390" s="387">
        <v>7</v>
      </c>
      <c r="G390" s="16">
        <f>'WetLitterbags placem_collection'!E97</f>
        <v>42767</v>
      </c>
      <c r="H390" s="92" t="str">
        <f>'Final data_for_R_analysis_Wetse'!J536</f>
        <v>G486</v>
      </c>
      <c r="I390" t="str">
        <f>'Final data_for_R_analysis_Wetse'!J756</f>
        <v>R547</v>
      </c>
      <c r="J390">
        <f>IFERROR(INDEX('Green_rooibos initial weight'!$C$5:$C$1749,MATCH(H390, 'Green_rooibos initial weight'!$A$5:$A$1749,0)),"")</f>
        <v>2.0049999999999999</v>
      </c>
      <c r="K390">
        <f>IFERROR(INDEX('Green_rooibos initial weight'!$C$5:$C$1749,MATCH(I390, 'Green_rooibos initial weight'!$A$5:$A$1749,0)),"")</f>
        <v>2.194</v>
      </c>
      <c r="L390" s="195">
        <f t="shared" si="38"/>
        <v>1.7551999999999999</v>
      </c>
      <c r="M390" s="195">
        <f>AVERAGE(Ashed_controlls!$K$2:$K$11)</f>
        <v>5.5147656768714146</v>
      </c>
      <c r="N390" s="195">
        <f t="shared" si="36"/>
        <v>1.9441999999999999</v>
      </c>
      <c r="O390" s="16">
        <f>IF('WetLitterbags placem_collection'!G97="N.A","",'WetLitterbags placem_collection'!G97)</f>
        <v>42819</v>
      </c>
      <c r="P390" s="195">
        <f>IF(IFERROR(INDEX('Both teabags AfterWet'!$C$3:$C$841,MATCH(H390,'Both teabags AfterWet'!$A$3:$A$841,0)),"")="N.A","",(IFERROR(INDEX('Both teabags AfterWet'!$C$3:$C$841,MATCH(H390,'Both teabags AfterWet'!$A$3:$A$841,0)),"")))</f>
        <v>0.90400000000000003</v>
      </c>
      <c r="Q390" s="195">
        <f>IFERROR(INDEX('Both teabags AfterWet'!$C$3:$C$841,MATCH(I390,'Both teabags AfterWet'!$A$3:$A$841,0)),"")</f>
        <v>1.5620000000000001</v>
      </c>
      <c r="R390" s="195">
        <f t="shared" si="39"/>
        <v>0.75340000000000007</v>
      </c>
      <c r="S390" s="195">
        <f t="shared" si="39"/>
        <v>1.4114</v>
      </c>
      <c r="T390" s="195">
        <f t="shared" si="40"/>
        <v>0.57076116681859612</v>
      </c>
      <c r="U390" s="195">
        <f t="shared" si="41"/>
        <v>0.37418071743926973</v>
      </c>
      <c r="V390" s="195">
        <f t="shared" si="42"/>
        <v>0.7259541199465076</v>
      </c>
      <c r="W390">
        <f t="shared" si="37"/>
        <v>52</v>
      </c>
      <c r="X390" s="195">
        <f t="shared" si="43"/>
        <v>0.32213638145059842</v>
      </c>
      <c r="Y390" s="195">
        <f t="shared" si="44"/>
        <v>2.5350408284870816E-2</v>
      </c>
      <c r="Z390" s="255" t="str">
        <f>IF(ISNUMBER(SEARCH("C",'WetLitterbags placem_collection'!W317)),"YES","NO")</f>
        <v>NO</v>
      </c>
      <c r="AA390" s="255" t="str">
        <f>IF(ISNUMBER(SEARCH("H", 'WetLitterbags placem_collection'!Y97)),"YES","NO")</f>
        <v>NO</v>
      </c>
      <c r="AB390" s="255" t="str">
        <f>IF(ISNUMBER(SEARCH("R", 'WetLitterbags placem_collection'!WY97)),"YES","NO")</f>
        <v>NO</v>
      </c>
      <c r="AC390" s="255" t="str">
        <f>IF(ISNUMBER(SEARCH("C", 'WetLitterbags placem_collection'!VX97)),"YES","NO")</f>
        <v>NO</v>
      </c>
      <c r="AD390" s="255" t="str">
        <f>IF(ISNUMBER(SEARCH("H", 'WetLitterbags placem_collection'!X97)),"YES","NO")</f>
        <v>NO</v>
      </c>
      <c r="AE390" s="255" t="str">
        <f>IF(ISNUMBER(SEARCH("R", 'WetLitterbags placem_collection'!X97)),"YES","NO")</f>
        <v>YES</v>
      </c>
    </row>
    <row r="391" spans="2:31">
      <c r="B391" t="str">
        <f>'Final data_for_R_analysis_Wetse'!A537</f>
        <v>Wet</v>
      </c>
      <c r="C391" s="263">
        <f>'Final data_for_R_analysis_Wetse'!B537</f>
        <v>96</v>
      </c>
      <c r="D391" t="s">
        <v>3840</v>
      </c>
      <c r="E391" t="s">
        <v>25</v>
      </c>
      <c r="F391" s="387">
        <v>8</v>
      </c>
      <c r="G391" s="16">
        <f>'WetLitterbags placem_collection'!E98</f>
        <v>42767</v>
      </c>
      <c r="H391" s="92" t="str">
        <f>'Final data_for_R_analysis_Wetse'!J537</f>
        <v>G545</v>
      </c>
      <c r="I391" t="str">
        <f>'Final data_for_R_analysis_Wetse'!J757</f>
        <v>R588</v>
      </c>
      <c r="J391">
        <f>IFERROR(INDEX('Green_rooibos initial weight'!$C$5:$C$1749,MATCH(H391, 'Green_rooibos initial weight'!$A$5:$A$1749,0)),"")</f>
        <v>2.0720000000000001</v>
      </c>
      <c r="K391">
        <f>IFERROR(INDEX('Green_rooibos initial weight'!$C$5:$C$1749,MATCH(I391, 'Green_rooibos initial weight'!$A$5:$A$1749,0)),"")</f>
        <v>2.1360000000000001</v>
      </c>
      <c r="L391" s="195">
        <f t="shared" si="38"/>
        <v>1.8222</v>
      </c>
      <c r="M391" s="195">
        <f>AVERAGE(Ashed_controlls!$K$2:$K$11)</f>
        <v>5.5147656768714146</v>
      </c>
      <c r="N391" s="195">
        <f t="shared" si="36"/>
        <v>1.8862000000000001</v>
      </c>
      <c r="O391" s="16">
        <f>IF('WetLitterbags placem_collection'!G98="N.A","",'WetLitterbags placem_collection'!G98)</f>
        <v>42819</v>
      </c>
      <c r="P391" s="195">
        <f>IF(IFERROR(INDEX('Both teabags AfterWet'!$C$3:$C$841,MATCH(H391,'Both teabags AfterWet'!$A$3:$A$841,0)),"")="N.A","",(IFERROR(INDEX('Both teabags AfterWet'!$C$3:$C$841,MATCH(H391,'Both teabags AfterWet'!$A$3:$A$841,0)),"")))</f>
        <v>0.73950000000000005</v>
      </c>
      <c r="Q391" s="195">
        <f>IFERROR(INDEX('Both teabags AfterWet'!$C$3:$C$841,MATCH(I391,'Both teabags AfterWet'!$A$3:$A$841,0)),"")</f>
        <v>0.87350000000000005</v>
      </c>
      <c r="R391" s="195">
        <f t="shared" si="39"/>
        <v>0.58889999999999998</v>
      </c>
      <c r="S391" s="195">
        <f t="shared" si="39"/>
        <v>0.7229000000000001</v>
      </c>
      <c r="T391" s="195">
        <f t="shared" si="40"/>
        <v>0.67681922950279882</v>
      </c>
      <c r="U391" s="195">
        <f t="shared" si="41"/>
        <v>0.44371046874767817</v>
      </c>
      <c r="V391" s="195">
        <f t="shared" si="42"/>
        <v>0.383257342805641</v>
      </c>
      <c r="W391">
        <f t="shared" si="37"/>
        <v>52</v>
      </c>
      <c r="X391" s="195">
        <f t="shared" si="43"/>
        <v>0.19617668705130775</v>
      </c>
      <c r="Y391" s="195" t="str">
        <f t="shared" si="44"/>
        <v/>
      </c>
      <c r="Z391" s="255" t="str">
        <f>IF(ISNUMBER(SEARCH("C",'WetLitterbags placem_collection'!W318)),"YES","NO")</f>
        <v>NO</v>
      </c>
      <c r="AA391" s="255" t="str">
        <f>IF(ISNUMBER(SEARCH("H", 'WetLitterbags placem_collection'!Y98)),"YES","NO")</f>
        <v>NO</v>
      </c>
      <c r="AB391" s="255" t="str">
        <f>IF(ISNUMBER(SEARCH("R", 'WetLitterbags placem_collection'!WY98)),"YES","NO")</f>
        <v>NO</v>
      </c>
      <c r="AC391" s="255" t="str">
        <f>IF(ISNUMBER(SEARCH("C", 'WetLitterbags placem_collection'!VX98)),"YES","NO")</f>
        <v>NO</v>
      </c>
      <c r="AD391" s="255" t="str">
        <f>IF(ISNUMBER(SEARCH("H", 'WetLitterbags placem_collection'!X98)),"YES","NO")</f>
        <v>NO</v>
      </c>
      <c r="AE391" s="255" t="str">
        <f>IF(ISNUMBER(SEARCH("R", 'WetLitterbags placem_collection'!X98)),"YES","NO")</f>
        <v>YES</v>
      </c>
    </row>
    <row r="392" spans="2:31">
      <c r="B392" t="str">
        <f>'Final data_for_R_analysis_Wetse'!A538</f>
        <v>Wet</v>
      </c>
      <c r="C392" s="263">
        <f>'Final data_for_R_analysis_Wetse'!B538</f>
        <v>97</v>
      </c>
      <c r="D392" t="s">
        <v>3841</v>
      </c>
      <c r="E392" t="s">
        <v>25</v>
      </c>
      <c r="F392" s="386">
        <v>1</v>
      </c>
      <c r="G392" s="16">
        <f>'WetLitterbags placem_collection'!E99</f>
        <v>42762</v>
      </c>
      <c r="H392" s="92" t="str">
        <f>'Final data_for_R_analysis_Wetse'!J538</f>
        <v>G847</v>
      </c>
      <c r="I392" t="str">
        <f>'Final data_for_R_analysis_Wetse'!J758</f>
        <v>R576</v>
      </c>
      <c r="J392">
        <f>IFERROR(INDEX('Green_rooibos initial weight'!$C$5:$C$1749,MATCH(H392, 'Green_rooibos initial weight'!$A$5:$A$1749,0)),"")</f>
        <v>2.1019999999999999</v>
      </c>
      <c r="K392">
        <f>IFERROR(INDEX('Green_rooibos initial weight'!$C$5:$C$1749,MATCH(I392, 'Green_rooibos initial weight'!$A$5:$A$1749,0)),"")</f>
        <v>2.109</v>
      </c>
      <c r="L392" s="195">
        <f t="shared" si="38"/>
        <v>1.8521999999999998</v>
      </c>
      <c r="M392" s="195">
        <f>AVERAGE(Ashed_controlls!$K$2:$K$11)</f>
        <v>5.5147656768714146</v>
      </c>
      <c r="N392" s="195">
        <f t="shared" si="36"/>
        <v>1.8592</v>
      </c>
      <c r="O392" s="16">
        <f>IF('WetLitterbags placem_collection'!G99="N.A","",'WetLitterbags placem_collection'!G99)</f>
        <v>42816</v>
      </c>
      <c r="P392" s="195">
        <f>IF(IFERROR(INDEX('Both teabags AfterWet'!$C$3:$C$841,MATCH(H392,'Both teabags AfterWet'!$A$3:$A$841,0)),"")="N.A","",(IFERROR(INDEX('Both teabags AfterWet'!$C$3:$C$841,MATCH(H392,'Both teabags AfterWet'!$A$3:$A$841,0)),"")))</f>
        <v>0.61809999999999998</v>
      </c>
      <c r="Q392" s="195" t="str">
        <f>IFERROR(INDEX('Both teabags AfterWet'!$C$3:$C$841,MATCH(I392,'Both teabags AfterWet'!$A$3:$A$841,0)),"")</f>
        <v/>
      </c>
      <c r="R392" s="195">
        <f t="shared" si="39"/>
        <v>0.46749999999999997</v>
      </c>
      <c r="S392" s="195" t="str">
        <f t="shared" si="39"/>
        <v/>
      </c>
      <c r="T392" s="195">
        <f t="shared" si="40"/>
        <v>0.74759745167908431</v>
      </c>
      <c r="U392" s="195">
        <f t="shared" si="41"/>
        <v>0.49011139349982735</v>
      </c>
      <c r="V392" s="195" t="str">
        <f t="shared" si="42"/>
        <v/>
      </c>
      <c r="W392">
        <f t="shared" si="37"/>
        <v>54</v>
      </c>
      <c r="X392" s="195">
        <f t="shared" si="43"/>
        <v>0.11211704076118245</v>
      </c>
      <c r="Y392" s="195" t="str">
        <f t="shared" si="44"/>
        <v/>
      </c>
      <c r="Z392" s="255" t="str">
        <f>IF(ISNUMBER(SEARCH("C",'WetLitterbags placem_collection'!W319)),"YES","NO")</f>
        <v>NO</v>
      </c>
      <c r="AA392" s="255" t="str">
        <f>IF(ISNUMBER(SEARCH("H", 'WetLitterbags placem_collection'!Y99)),"YES","NO")</f>
        <v>NO</v>
      </c>
      <c r="AB392" s="255" t="str">
        <f>IF(ISNUMBER(SEARCH("R", 'WetLitterbags placem_collection'!WY99)),"YES","NO")</f>
        <v>NO</v>
      </c>
      <c r="AC392" s="255" t="str">
        <f>IF(ISNUMBER(SEARCH("C", 'WetLitterbags placem_collection'!VX99)),"YES","NO")</f>
        <v>NO</v>
      </c>
      <c r="AD392" s="255" t="str">
        <f>IF(ISNUMBER(SEARCH("H", 'WetLitterbags placem_collection'!X99)),"YES","NO")</f>
        <v>NO</v>
      </c>
      <c r="AE392" s="255" t="str">
        <f>IF(ISNUMBER(SEARCH("R", 'WetLitterbags placem_collection'!X99)),"YES","NO")</f>
        <v>NO</v>
      </c>
    </row>
    <row r="393" spans="2:31">
      <c r="B393" t="str">
        <f>'Final data_for_R_analysis_Wetse'!A539</f>
        <v>Wet</v>
      </c>
      <c r="C393" s="263">
        <f>'Final data_for_R_analysis_Wetse'!B539</f>
        <v>98</v>
      </c>
      <c r="D393" t="s">
        <v>3841</v>
      </c>
      <c r="E393" t="s">
        <v>25</v>
      </c>
      <c r="F393" s="386">
        <v>2</v>
      </c>
      <c r="G393" s="16">
        <f>'WetLitterbags placem_collection'!E100</f>
        <v>42762</v>
      </c>
      <c r="H393" s="92" t="str">
        <f>'Final data_for_R_analysis_Wetse'!J539</f>
        <v>G730</v>
      </c>
      <c r="I393" t="str">
        <f>'Final data_for_R_analysis_Wetse'!J759</f>
        <v>R561</v>
      </c>
      <c r="J393">
        <f>IFERROR(INDEX('Green_rooibos initial weight'!$C$5:$C$1749,MATCH(H393, 'Green_rooibos initial weight'!$A$5:$A$1749,0)),"")</f>
        <v>2.048</v>
      </c>
      <c r="K393">
        <f>IFERROR(INDEX('Green_rooibos initial weight'!$C$5:$C$1749,MATCH(I393, 'Green_rooibos initial weight'!$A$5:$A$1749,0)),"")</f>
        <v>2.0760000000000001</v>
      </c>
      <c r="L393" s="195">
        <f t="shared" si="38"/>
        <v>1.7982</v>
      </c>
      <c r="M393" s="195">
        <f>AVERAGE(Ashed_controlls!$K$2:$K$11)</f>
        <v>5.5147656768714146</v>
      </c>
      <c r="N393" s="195">
        <f t="shared" si="36"/>
        <v>1.8262</v>
      </c>
      <c r="O393" s="16">
        <f>IF('WetLitterbags placem_collection'!G100="N.A","",'WetLitterbags placem_collection'!G100)</f>
        <v>42816</v>
      </c>
      <c r="P393" s="195">
        <f>IF(IFERROR(INDEX('Both teabags AfterWet'!$C$3:$C$841,MATCH(H393,'Both teabags AfterWet'!$A$3:$A$841,0)),"")="N.A","",(IFERROR(INDEX('Both teabags AfterWet'!$C$3:$C$841,MATCH(H393,'Both teabags AfterWet'!$A$3:$A$841,0)),"")))</f>
        <v>0.629</v>
      </c>
      <c r="Q393" s="195">
        <f>IFERROR(INDEX('Both teabags AfterWet'!$C$3:$C$841,MATCH(I393,'Both teabags AfterWet'!$A$3:$A$841,0)),"")</f>
        <v>1.661</v>
      </c>
      <c r="R393" s="195">
        <f t="shared" si="39"/>
        <v>0.47839999999999999</v>
      </c>
      <c r="S393" s="195">
        <f t="shared" si="39"/>
        <v>1.5104</v>
      </c>
      <c r="T393" s="195">
        <f t="shared" si="40"/>
        <v>0.73395617840062277</v>
      </c>
      <c r="U393" s="195">
        <f t="shared" si="41"/>
        <v>0.48116842099423257</v>
      </c>
      <c r="V393" s="195">
        <f t="shared" si="42"/>
        <v>0.82707260979082242</v>
      </c>
      <c r="W393">
        <f t="shared" si="37"/>
        <v>54</v>
      </c>
      <c r="X393" s="195">
        <f t="shared" si="43"/>
        <v>0.12831807790899907</v>
      </c>
      <c r="Y393" s="195">
        <f t="shared" si="44"/>
        <v>8.2469502223020547E-3</v>
      </c>
      <c r="Z393" s="255" t="str">
        <f>IF(ISNUMBER(SEARCH("C",'WetLitterbags placem_collection'!W320)),"YES","NO")</f>
        <v>NO</v>
      </c>
      <c r="AA393" s="255" t="str">
        <f>IF(ISNUMBER(SEARCH("H", 'WetLitterbags placem_collection'!Y100)),"YES","NO")</f>
        <v>NO</v>
      </c>
      <c r="AB393" s="255" t="str">
        <f>IF(ISNUMBER(SEARCH("R", 'WetLitterbags placem_collection'!WY100)),"YES","NO")</f>
        <v>NO</v>
      </c>
      <c r="AC393" s="255" t="str">
        <f>IF(ISNUMBER(SEARCH("C", 'WetLitterbags placem_collection'!VX100)),"YES","NO")</f>
        <v>NO</v>
      </c>
      <c r="AD393" s="255" t="str">
        <f>IF(ISNUMBER(SEARCH("H", 'WetLitterbags placem_collection'!X100)),"YES","NO")</f>
        <v>NO</v>
      </c>
      <c r="AE393" s="255" t="str">
        <f>IF(ISNUMBER(SEARCH("R", 'WetLitterbags placem_collection'!X100)),"YES","NO")</f>
        <v>NO</v>
      </c>
    </row>
    <row r="394" spans="2:31">
      <c r="B394" t="str">
        <f>'Final data_for_R_analysis_Wetse'!A540</f>
        <v>Wet</v>
      </c>
      <c r="C394" s="263">
        <f>'Final data_for_R_analysis_Wetse'!B540</f>
        <v>99</v>
      </c>
      <c r="D394" t="s">
        <v>3841</v>
      </c>
      <c r="E394" t="s">
        <v>25</v>
      </c>
      <c r="F394" s="386">
        <v>3</v>
      </c>
      <c r="G394" s="16">
        <f>'WetLitterbags placem_collection'!E101</f>
        <v>42762</v>
      </c>
      <c r="H394" s="92" t="str">
        <f>'Final data_for_R_analysis_Wetse'!J540</f>
        <v>G691</v>
      </c>
      <c r="I394" t="str">
        <f>'Final data_for_R_analysis_Wetse'!J760</f>
        <v>R496</v>
      </c>
      <c r="J394">
        <f>IFERROR(INDEX('Green_rooibos initial weight'!$C$5:$C$1749,MATCH(H394, 'Green_rooibos initial weight'!$A$5:$A$1749,0)),"")</f>
        <v>2.0950000000000002</v>
      </c>
      <c r="K394">
        <f>IFERROR(INDEX('Green_rooibos initial weight'!$C$5:$C$1749,MATCH(I394, 'Green_rooibos initial weight'!$A$5:$A$1749,0)),"")</f>
        <v>2.2389999999999999</v>
      </c>
      <c r="L394" s="195">
        <f t="shared" si="38"/>
        <v>1.8452000000000002</v>
      </c>
      <c r="M394" s="195">
        <f>AVERAGE(Ashed_controlls!$K$2:$K$11)</f>
        <v>5.5147656768714146</v>
      </c>
      <c r="N394" s="195">
        <f t="shared" si="36"/>
        <v>1.9891999999999999</v>
      </c>
      <c r="O394" s="16">
        <f>IF('WetLitterbags placem_collection'!G101="N.A","",'WetLitterbags placem_collection'!G101)</f>
        <v>42816</v>
      </c>
      <c r="P394" s="195">
        <f>IF(IFERROR(INDEX('Both teabags AfterWet'!$C$3:$C$841,MATCH(H394,'Both teabags AfterWet'!$A$3:$A$841,0)),"")="N.A","",(IFERROR(INDEX('Both teabags AfterWet'!$C$3:$C$841,MATCH(H394,'Both teabags AfterWet'!$A$3:$A$841,0)),"")))</f>
        <v>0.52829999999999999</v>
      </c>
      <c r="Q394" s="195">
        <f>IFERROR(INDEX('Both teabags AfterWet'!$C$3:$C$841,MATCH(I394,'Both teabags AfterWet'!$A$3:$A$841,0)),"")</f>
        <v>1.5016</v>
      </c>
      <c r="R394" s="195">
        <f t="shared" si="39"/>
        <v>0.37769999999999998</v>
      </c>
      <c r="S394" s="195">
        <f t="shared" si="39"/>
        <v>1.351</v>
      </c>
      <c r="T394" s="195">
        <f t="shared" si="40"/>
        <v>0.79530674181660532</v>
      </c>
      <c r="U394" s="195">
        <f t="shared" si="41"/>
        <v>0.52138874285364156</v>
      </c>
      <c r="V394" s="195">
        <f t="shared" si="42"/>
        <v>0.67916750452443198</v>
      </c>
      <c r="W394">
        <f t="shared" si="37"/>
        <v>54</v>
      </c>
      <c r="X394" s="195">
        <f t="shared" si="43"/>
        <v>5.5455175989779892E-2</v>
      </c>
      <c r="Y394" s="195">
        <f t="shared" si="44"/>
        <v>1.7692614223705907E-2</v>
      </c>
      <c r="Z394" s="255" t="str">
        <f>IF(ISNUMBER(SEARCH("C",'WetLitterbags placem_collection'!W321)),"YES","NO")</f>
        <v>NO</v>
      </c>
      <c r="AA394" s="255" t="str">
        <f>IF(ISNUMBER(SEARCH("H", 'WetLitterbags placem_collection'!Y101)),"YES","NO")</f>
        <v>NO</v>
      </c>
      <c r="AB394" s="255" t="str">
        <f>IF(ISNUMBER(SEARCH("R", 'WetLitterbags placem_collection'!WY101)),"YES","NO")</f>
        <v>NO</v>
      </c>
      <c r="AC394" s="255" t="str">
        <f>IF(ISNUMBER(SEARCH("C", 'WetLitterbags placem_collection'!VX101)),"YES","NO")</f>
        <v>NO</v>
      </c>
      <c r="AD394" s="255" t="str">
        <f>IF(ISNUMBER(SEARCH("H", 'WetLitterbags placem_collection'!X101)),"YES","NO")</f>
        <v>NO</v>
      </c>
      <c r="AE394" s="255" t="str">
        <f>IF(ISNUMBER(SEARCH("R", 'WetLitterbags placem_collection'!X101)),"YES","NO")</f>
        <v>NO</v>
      </c>
    </row>
    <row r="395" spans="2:31">
      <c r="B395" t="str">
        <f>'Final data_for_R_analysis_Wetse'!A541</f>
        <v>Wet</v>
      </c>
      <c r="C395" s="263">
        <f>'Final data_for_R_analysis_Wetse'!B541</f>
        <v>100</v>
      </c>
      <c r="D395" t="s">
        <v>3841</v>
      </c>
      <c r="E395" t="s">
        <v>25</v>
      </c>
      <c r="F395" s="387">
        <v>4</v>
      </c>
      <c r="G395" s="16">
        <f>'WetLitterbags placem_collection'!E102</f>
        <v>42762</v>
      </c>
      <c r="H395" s="92" t="str">
        <f>'Final data_for_R_analysis_Wetse'!J541</f>
        <v>G828</v>
      </c>
      <c r="I395" t="str">
        <f>'Final data_for_R_analysis_Wetse'!J761</f>
        <v>R497</v>
      </c>
      <c r="J395">
        <f>IFERROR(INDEX('Green_rooibos initial weight'!$C$5:$C$1749,MATCH(H395, 'Green_rooibos initial weight'!$A$5:$A$1749,0)),"")</f>
        <v>1.986</v>
      </c>
      <c r="K395">
        <f>IFERROR(INDEX('Green_rooibos initial weight'!$C$5:$C$1749,MATCH(I395, 'Green_rooibos initial weight'!$A$5:$A$1749,0)),"")</f>
        <v>2.2240000000000002</v>
      </c>
      <c r="L395" s="195">
        <f t="shared" si="38"/>
        <v>1.7362</v>
      </c>
      <c r="M395" s="195">
        <f>AVERAGE(Ashed_controlls!$K$2:$K$11)</f>
        <v>5.5147656768714146</v>
      </c>
      <c r="N395" s="195">
        <f t="shared" si="36"/>
        <v>1.9742000000000002</v>
      </c>
      <c r="O395" s="16">
        <f>IF('WetLitterbags placem_collection'!G102="N.A","",'WetLitterbags placem_collection'!G102)</f>
        <v>42816</v>
      </c>
      <c r="P395" s="195">
        <f>IF(IFERROR(INDEX('Both teabags AfterWet'!$C$3:$C$841,MATCH(H395,'Both teabags AfterWet'!$A$3:$A$841,0)),"")="N.A","",(IFERROR(INDEX('Both teabags AfterWet'!$C$3:$C$841,MATCH(H395,'Both teabags AfterWet'!$A$3:$A$841,0)),"")))</f>
        <v>0.57399999999999995</v>
      </c>
      <c r="Q395" s="195">
        <f>IFERROR(INDEX('Both teabags AfterWet'!$C$3:$C$841,MATCH(I395,'Both teabags AfterWet'!$A$3:$A$841,0)),"")</f>
        <v>1.66</v>
      </c>
      <c r="R395" s="195">
        <f t="shared" si="39"/>
        <v>0.42339999999999994</v>
      </c>
      <c r="S395" s="195">
        <f t="shared" si="39"/>
        <v>1.5093999999999999</v>
      </c>
      <c r="T395" s="195">
        <f t="shared" si="40"/>
        <v>0.75613408593480014</v>
      </c>
      <c r="U395" s="195">
        <f t="shared" si="41"/>
        <v>0.49570785681236307</v>
      </c>
      <c r="V395" s="195">
        <f t="shared" si="42"/>
        <v>0.76456286090568315</v>
      </c>
      <c r="W395">
        <f t="shared" si="37"/>
        <v>54</v>
      </c>
      <c r="X395" s="195">
        <f t="shared" si="43"/>
        <v>0.10197852026745824</v>
      </c>
      <c r="Y395" s="195">
        <f t="shared" si="44"/>
        <v>1.1930823028198157E-2</v>
      </c>
      <c r="Z395" s="255" t="str">
        <f>IF(ISNUMBER(SEARCH("C",'WetLitterbags placem_collection'!W322)),"YES","NO")</f>
        <v>NO</v>
      </c>
      <c r="AA395" s="255" t="str">
        <f>IF(ISNUMBER(SEARCH("H", 'WetLitterbags placem_collection'!Y102)),"YES","NO")</f>
        <v>NO</v>
      </c>
      <c r="AB395" s="255" t="str">
        <f>IF(ISNUMBER(SEARCH("R", 'WetLitterbags placem_collection'!WY102)),"YES","NO")</f>
        <v>NO</v>
      </c>
      <c r="AC395" s="255" t="str">
        <f>IF(ISNUMBER(SEARCH("C", 'WetLitterbags placem_collection'!VX102)),"YES","NO")</f>
        <v>NO</v>
      </c>
      <c r="AD395" s="255" t="str">
        <f>IF(ISNUMBER(SEARCH("H", 'WetLitterbags placem_collection'!X102)),"YES","NO")</f>
        <v>NO</v>
      </c>
      <c r="AE395" s="255" t="str">
        <f>IF(ISNUMBER(SEARCH("R", 'WetLitterbags placem_collection'!X102)),"YES","NO")</f>
        <v>NO</v>
      </c>
    </row>
    <row r="396" spans="2:31">
      <c r="B396" t="str">
        <f>'Final data_for_R_analysis_Wetse'!A542</f>
        <v>Wet</v>
      </c>
      <c r="C396" s="263">
        <f>'Final data_for_R_analysis_Wetse'!B542</f>
        <v>101</v>
      </c>
      <c r="D396" t="s">
        <v>3841</v>
      </c>
      <c r="E396" t="s">
        <v>25</v>
      </c>
      <c r="F396" s="387">
        <v>5</v>
      </c>
      <c r="G396" s="16">
        <f>'WetLitterbags placem_collection'!E103</f>
        <v>42762</v>
      </c>
      <c r="H396" s="92" t="str">
        <f>'Final data_for_R_analysis_Wetse'!J542</f>
        <v>G875</v>
      </c>
      <c r="I396" t="str">
        <f>'Final data_for_R_analysis_Wetse'!J762</f>
        <v>R10</v>
      </c>
      <c r="J396">
        <f>IFERROR(INDEX('Green_rooibos initial weight'!$C$5:$C$1749,MATCH(H396, 'Green_rooibos initial weight'!$A$5:$A$1749,0)),"")</f>
        <v>2.0880000000000001</v>
      </c>
      <c r="K396">
        <f>IFERROR(INDEX('Green_rooibos initial weight'!$C$5:$C$1749,MATCH(I396, 'Green_rooibos initial weight'!$A$5:$A$1749,0)),"")</f>
        <v>2.29</v>
      </c>
      <c r="L396" s="195">
        <f t="shared" si="38"/>
        <v>1.8382000000000001</v>
      </c>
      <c r="M396" s="195">
        <f>AVERAGE(Ashed_controlls!$K$2:$K$11)</f>
        <v>5.5147656768714146</v>
      </c>
      <c r="N396" s="195">
        <f t="shared" ref="N396:N459" si="45">IF(K396&gt;0,(K396*$F$32-($F$29+$F$30)),"")</f>
        <v>2.0402</v>
      </c>
      <c r="O396" s="16">
        <f>IF('WetLitterbags placem_collection'!G103="N.A","",'WetLitterbags placem_collection'!G103)</f>
        <v>42816</v>
      </c>
      <c r="P396" s="195">
        <f>IF(IFERROR(INDEX('Both teabags AfterWet'!$C$3:$C$841,MATCH(H396,'Both teabags AfterWet'!$A$3:$A$841,0)),"")="N.A","",(IFERROR(INDEX('Both teabags AfterWet'!$C$3:$C$841,MATCH(H396,'Both teabags AfterWet'!$A$3:$A$841,0)),"")))</f>
        <v>0.62450000000000006</v>
      </c>
      <c r="Q396" s="195">
        <f>IFERROR(INDEX('Both teabags AfterWet'!$C$3:$C$841,MATCH(I396,'Both teabags AfterWet'!$A$3:$A$841,0)),"")</f>
        <v>1.5687</v>
      </c>
      <c r="R396" s="195">
        <f t="shared" si="39"/>
        <v>0.47390000000000004</v>
      </c>
      <c r="S396" s="195">
        <f t="shared" si="39"/>
        <v>1.4180999999999999</v>
      </c>
      <c r="T396" s="195">
        <f t="shared" si="40"/>
        <v>0.7421934501142422</v>
      </c>
      <c r="U396" s="195">
        <f t="shared" si="41"/>
        <v>0.48656862762833936</v>
      </c>
      <c r="V396" s="195">
        <f t="shared" si="42"/>
        <v>0.69507891383197717</v>
      </c>
      <c r="W396">
        <f t="shared" ref="W396:W459" si="46">IF((O396-G396)&gt;0,(IFERROR(O396-G396,"")),"")</f>
        <v>54</v>
      </c>
      <c r="X396" s="195">
        <f t="shared" si="43"/>
        <v>0.11853509487619684</v>
      </c>
      <c r="Y396" s="195">
        <f t="shared" si="44"/>
        <v>1.8246476510625297E-2</v>
      </c>
      <c r="Z396" s="255" t="str">
        <f>IF(ISNUMBER(SEARCH("C",'WetLitterbags placem_collection'!W323)),"YES","NO")</f>
        <v>NO</v>
      </c>
      <c r="AA396" s="255" t="str">
        <f>IF(ISNUMBER(SEARCH("H", 'WetLitterbags placem_collection'!Y103)),"YES","NO")</f>
        <v>NO</v>
      </c>
      <c r="AB396" s="255" t="str">
        <f>IF(ISNUMBER(SEARCH("R", 'WetLitterbags placem_collection'!WY103)),"YES","NO")</f>
        <v>NO</v>
      </c>
      <c r="AC396" s="255" t="str">
        <f>IF(ISNUMBER(SEARCH("C", 'WetLitterbags placem_collection'!VX103)),"YES","NO")</f>
        <v>NO</v>
      </c>
      <c r="AD396" s="255" t="str">
        <f>IF(ISNUMBER(SEARCH("H", 'WetLitterbags placem_collection'!X103)),"YES","NO")</f>
        <v>NO</v>
      </c>
      <c r="AE396" s="255" t="str">
        <f>IF(ISNUMBER(SEARCH("R", 'WetLitterbags placem_collection'!X103)),"YES","NO")</f>
        <v>NO</v>
      </c>
    </row>
    <row r="397" spans="2:31">
      <c r="B397" t="str">
        <f>'Final data_for_R_analysis_Wetse'!A543</f>
        <v>Wet</v>
      </c>
      <c r="C397" s="263">
        <f>'Final data_for_R_analysis_Wetse'!B543</f>
        <v>102</v>
      </c>
      <c r="D397" t="s">
        <v>3841</v>
      </c>
      <c r="E397" t="s">
        <v>25</v>
      </c>
      <c r="F397" s="387">
        <v>6</v>
      </c>
      <c r="G397" s="16">
        <f>'WetLitterbags placem_collection'!E104</f>
        <v>42762</v>
      </c>
      <c r="H397" s="92" t="str">
        <f>'Final data_for_R_analysis_Wetse'!J543</f>
        <v>G824</v>
      </c>
      <c r="I397" t="str">
        <f>'Final data_for_R_analysis_Wetse'!J763</f>
        <v>R26</v>
      </c>
      <c r="J397">
        <f>IFERROR(INDEX('Green_rooibos initial weight'!$C$5:$C$1749,MATCH(H397, 'Green_rooibos initial weight'!$A$5:$A$1749,0)),"")</f>
        <v>1.931</v>
      </c>
      <c r="K397">
        <f>IFERROR(INDEX('Green_rooibos initial weight'!$C$5:$C$1749,MATCH(I397, 'Green_rooibos initial weight'!$A$5:$A$1749,0)),"")</f>
        <v>2.2559999999999998</v>
      </c>
      <c r="L397" s="195">
        <f t="shared" ref="L397:L460" si="47">IF(J397&gt;0,(J397*$F$31-($F$29+$F$30)),"")</f>
        <v>1.6812</v>
      </c>
      <c r="M397" s="195">
        <f>AVERAGE(Ashed_controlls!$K$2:$K$11)</f>
        <v>5.5147656768714146</v>
      </c>
      <c r="N397" s="195">
        <f t="shared" si="45"/>
        <v>2.0061999999999998</v>
      </c>
      <c r="O397" s="16">
        <f>IF('WetLitterbags placem_collection'!G104="N.A","",'WetLitterbags placem_collection'!G104)</f>
        <v>42816</v>
      </c>
      <c r="P397" s="195">
        <f>IF(IFERROR(INDEX('Both teabags AfterWet'!$C$3:$C$841,MATCH(H397,'Both teabags AfterWet'!$A$3:$A$841,0)),"")="N.A","",(IFERROR(INDEX('Both teabags AfterWet'!$C$3:$C$841,MATCH(H397,'Both teabags AfterWet'!$A$3:$A$841,0)),"")))</f>
        <v>0.63800000000000001</v>
      </c>
      <c r="Q397" s="195">
        <f>IFERROR(INDEX('Both teabags AfterWet'!$C$3:$C$841,MATCH(I397,'Both teabags AfterWet'!$A$3:$A$841,0)),"")</f>
        <v>1.6240000000000001</v>
      </c>
      <c r="R397" s="195">
        <f t="shared" ref="R397:S460" si="48">IFERROR(IF(P397&gt;0,P397-($F$29),""),"")</f>
        <v>0.4874</v>
      </c>
      <c r="S397" s="195">
        <f t="shared" si="48"/>
        <v>1.4734</v>
      </c>
      <c r="T397" s="195">
        <f t="shared" ref="T397:T460" si="49">IFERROR(1-R397/L397,"")</f>
        <v>0.71008803235783957</v>
      </c>
      <c r="U397" s="195">
        <f t="shared" ref="U397:U460" si="50">IFERROR($F$26*(1-X397),"")</f>
        <v>0.4655208953224792</v>
      </c>
      <c r="V397" s="195">
        <f t="shared" ref="V397:V460" si="51">IFERROR(S397/N397,"")</f>
        <v>0.73442328780779598</v>
      </c>
      <c r="W397">
        <f t="shared" si="46"/>
        <v>54</v>
      </c>
      <c r="X397" s="195">
        <f t="shared" ref="X397:X460" si="52">IFERROR(1-(T397/$F$25),"")</f>
        <v>0.15666504470565368</v>
      </c>
      <c r="Y397" s="195">
        <f t="shared" ref="Y397:Y460" si="53">IFERROR(LN(U397/(V397-(1-U397)))/W397,"")</f>
        <v>1.5650347043932686E-2</v>
      </c>
      <c r="Z397" s="255" t="str">
        <f>IF(ISNUMBER(SEARCH("C",'WetLitterbags placem_collection'!W324)),"YES","NO")</f>
        <v>NO</v>
      </c>
      <c r="AA397" s="255" t="str">
        <f>IF(ISNUMBER(SEARCH("H", 'WetLitterbags placem_collection'!Y104)),"YES","NO")</f>
        <v>NO</v>
      </c>
      <c r="AB397" s="255" t="str">
        <f>IF(ISNUMBER(SEARCH("R", 'WetLitterbags placem_collection'!WY104)),"YES","NO")</f>
        <v>NO</v>
      </c>
      <c r="AC397" s="255" t="str">
        <f>IF(ISNUMBER(SEARCH("C", 'WetLitterbags placem_collection'!VX104)),"YES","NO")</f>
        <v>NO</v>
      </c>
      <c r="AD397" s="255" t="str">
        <f>IF(ISNUMBER(SEARCH("H", 'WetLitterbags placem_collection'!X104)),"YES","NO")</f>
        <v>NO</v>
      </c>
      <c r="AE397" s="255" t="str">
        <f>IF(ISNUMBER(SEARCH("R", 'WetLitterbags placem_collection'!X104)),"YES","NO")</f>
        <v>NO</v>
      </c>
    </row>
    <row r="398" spans="2:31">
      <c r="B398" t="str">
        <f>'Final data_for_R_analysis_Wetse'!A544</f>
        <v>Wet</v>
      </c>
      <c r="C398" s="263">
        <f>'Final data_for_R_analysis_Wetse'!B544</f>
        <v>103</v>
      </c>
      <c r="D398" t="s">
        <v>3841</v>
      </c>
      <c r="E398" t="s">
        <v>25</v>
      </c>
      <c r="F398" s="387">
        <v>7</v>
      </c>
      <c r="G398" s="16">
        <f>'WetLitterbags placem_collection'!E105</f>
        <v>42762</v>
      </c>
      <c r="H398" s="92" t="str">
        <f>'Final data_for_R_analysis_Wetse'!J544</f>
        <v>G692</v>
      </c>
      <c r="I398" t="str">
        <f>'Final data_for_R_analysis_Wetse'!J764</f>
        <v>R494</v>
      </c>
      <c r="J398">
        <f>IFERROR(INDEX('Green_rooibos initial weight'!$C$5:$C$1749,MATCH(H398, 'Green_rooibos initial weight'!$A$5:$A$1749,0)),"")</f>
        <v>2.028</v>
      </c>
      <c r="K398">
        <f>IFERROR(INDEX('Green_rooibos initial weight'!$C$5:$C$1749,MATCH(I398, 'Green_rooibos initial weight'!$A$5:$A$1749,0)),"")</f>
        <v>2.2130000000000001</v>
      </c>
      <c r="L398" s="195">
        <f t="shared" si="47"/>
        <v>1.7782</v>
      </c>
      <c r="M398" s="195">
        <f>AVERAGE(Ashed_controlls!$K$2:$K$11)</f>
        <v>5.5147656768714146</v>
      </c>
      <c r="N398" s="195">
        <f t="shared" si="45"/>
        <v>1.9632000000000001</v>
      </c>
      <c r="O398" s="16">
        <f>IF('WetLitterbags placem_collection'!G105="N.A","",'WetLitterbags placem_collection'!G105)</f>
        <v>42816</v>
      </c>
      <c r="P398" s="195">
        <f>IF(IFERROR(INDEX('Both teabags AfterWet'!$C$3:$C$841,MATCH(H398,'Both teabags AfterWet'!$A$3:$A$841,0)),"")="N.A","",(IFERROR(INDEX('Both teabags AfterWet'!$C$3:$C$841,MATCH(H398,'Both teabags AfterWet'!$A$3:$A$841,0)),"")))</f>
        <v>0.58699999999999997</v>
      </c>
      <c r="Q398" s="195">
        <f>IFERROR(INDEX('Both teabags AfterWet'!$C$3:$C$841,MATCH(I398,'Both teabags AfterWet'!$A$3:$A$841,0)),"")</f>
        <v>1.6919999999999999</v>
      </c>
      <c r="R398" s="195">
        <f t="shared" si="48"/>
        <v>0.43639999999999995</v>
      </c>
      <c r="S398" s="195">
        <f t="shared" si="48"/>
        <v>1.5413999999999999</v>
      </c>
      <c r="T398" s="195">
        <f t="shared" si="49"/>
        <v>0.75458328646946349</v>
      </c>
      <c r="U398" s="195">
        <f t="shared" si="50"/>
        <v>0.49469118067831819</v>
      </c>
      <c r="V398" s="195">
        <f t="shared" si="51"/>
        <v>0.7851466992665036</v>
      </c>
      <c r="W398">
        <f t="shared" si="46"/>
        <v>54</v>
      </c>
      <c r="X398" s="195">
        <f t="shared" si="52"/>
        <v>0.10382032485811932</v>
      </c>
      <c r="Y398" s="195">
        <f t="shared" si="53"/>
        <v>1.0550430651329889E-2</v>
      </c>
      <c r="Z398" s="255" t="str">
        <f>IF(ISNUMBER(SEARCH("C",'WetLitterbags placem_collection'!W325)),"YES","NO")</f>
        <v>NO</v>
      </c>
      <c r="AA398" s="255" t="str">
        <f>IF(ISNUMBER(SEARCH("H", 'WetLitterbags placem_collection'!Y105)),"YES","NO")</f>
        <v>NO</v>
      </c>
      <c r="AB398" s="255" t="str">
        <f>IF(ISNUMBER(SEARCH("R", 'WetLitterbags placem_collection'!WY105)),"YES","NO")</f>
        <v>NO</v>
      </c>
      <c r="AC398" s="255" t="str">
        <f>IF(ISNUMBER(SEARCH("C", 'WetLitterbags placem_collection'!VX105)),"YES","NO")</f>
        <v>NO</v>
      </c>
      <c r="AD398" s="255" t="str">
        <f>IF(ISNUMBER(SEARCH("H", 'WetLitterbags placem_collection'!X105)),"YES","NO")</f>
        <v>NO</v>
      </c>
      <c r="AE398" s="255" t="str">
        <f>IF(ISNUMBER(SEARCH("R", 'WetLitterbags placem_collection'!X105)),"YES","NO")</f>
        <v>NO</v>
      </c>
    </row>
    <row r="399" spans="2:31">
      <c r="B399" t="str">
        <f>'Final data_for_R_analysis_Wetse'!A545</f>
        <v>Wet</v>
      </c>
      <c r="C399" s="263">
        <f>'Final data_for_R_analysis_Wetse'!B545</f>
        <v>104</v>
      </c>
      <c r="D399" t="s">
        <v>3841</v>
      </c>
      <c r="E399" t="s">
        <v>25</v>
      </c>
      <c r="F399" s="387">
        <v>8</v>
      </c>
      <c r="G399" s="16">
        <f>'WetLitterbags placem_collection'!E106</f>
        <v>42762</v>
      </c>
      <c r="H399" s="92" t="str">
        <f>'Final data_for_R_analysis_Wetse'!J545</f>
        <v>G806</v>
      </c>
      <c r="I399" t="str">
        <f>'Final data_for_R_analysis_Wetse'!J765</f>
        <v>R475</v>
      </c>
      <c r="J399">
        <f>IFERROR(INDEX('Green_rooibos initial weight'!$C$5:$C$1749,MATCH(H399, 'Green_rooibos initial weight'!$A$5:$A$1749,0)),"")</f>
        <v>2.0419999999999998</v>
      </c>
      <c r="K399">
        <f>IFERROR(INDEX('Green_rooibos initial weight'!$C$5:$C$1749,MATCH(I399, 'Green_rooibos initial weight'!$A$5:$A$1749,0)),"")</f>
        <v>2.2210000000000001</v>
      </c>
      <c r="L399" s="195">
        <f t="shared" si="47"/>
        <v>1.7921999999999998</v>
      </c>
      <c r="M399" s="195">
        <f>AVERAGE(Ashed_controlls!$K$2:$K$11)</f>
        <v>5.5147656768714146</v>
      </c>
      <c r="N399" s="195">
        <f t="shared" si="45"/>
        <v>1.9712000000000001</v>
      </c>
      <c r="O399" s="16">
        <f>IF('WetLitterbags placem_collection'!G106="N.A","",'WetLitterbags placem_collection'!G106)</f>
        <v>42816</v>
      </c>
      <c r="P399" s="195">
        <f>IF(IFERROR(INDEX('Both teabags AfterWet'!$C$3:$C$841,MATCH(H399,'Both teabags AfterWet'!$A$3:$A$841,0)),"")="N.A","",(IFERROR(INDEX('Both teabags AfterWet'!$C$3:$C$841,MATCH(H399,'Both teabags AfterWet'!$A$3:$A$841,0)),"")))</f>
        <v>0.72499999999999998</v>
      </c>
      <c r="Q399" s="195">
        <f>IFERROR(INDEX('Both teabags AfterWet'!$C$3:$C$841,MATCH(I399,'Both teabags AfterWet'!$A$3:$A$841,0)),"")</f>
        <v>1.4970000000000001</v>
      </c>
      <c r="R399" s="195">
        <f t="shared" si="48"/>
        <v>0.57440000000000002</v>
      </c>
      <c r="S399" s="195">
        <f t="shared" si="48"/>
        <v>1.3464</v>
      </c>
      <c r="T399" s="195">
        <f t="shared" si="49"/>
        <v>0.67950005579734407</v>
      </c>
      <c r="U399" s="195">
        <f t="shared" si="50"/>
        <v>0.44546797007141803</v>
      </c>
      <c r="V399" s="195">
        <f t="shared" si="51"/>
        <v>0.6830357142857143</v>
      </c>
      <c r="W399">
        <f t="shared" si="46"/>
        <v>54</v>
      </c>
      <c r="X399" s="195">
        <f t="shared" si="52"/>
        <v>0.19299280784163408</v>
      </c>
      <c r="Y399" s="195">
        <f t="shared" si="53"/>
        <v>2.3021625403279272E-2</v>
      </c>
      <c r="Z399" s="255" t="str">
        <f>IF(ISNUMBER(SEARCH("C",'WetLitterbags placem_collection'!W326)),"YES","NO")</f>
        <v>NO</v>
      </c>
      <c r="AA399" s="255" t="str">
        <f>IF(ISNUMBER(SEARCH("H", 'WetLitterbags placem_collection'!Y106)),"YES","NO")</f>
        <v>NO</v>
      </c>
      <c r="AB399" s="255" t="str">
        <f>IF(ISNUMBER(SEARCH("R", 'WetLitterbags placem_collection'!WY106)),"YES","NO")</f>
        <v>NO</v>
      </c>
      <c r="AC399" s="255" t="str">
        <f>IF(ISNUMBER(SEARCH("C", 'WetLitterbags placem_collection'!VX106)),"YES","NO")</f>
        <v>NO</v>
      </c>
      <c r="AD399" s="255" t="str">
        <f>IF(ISNUMBER(SEARCH("H", 'WetLitterbags placem_collection'!X106)),"YES","NO")</f>
        <v>NO</v>
      </c>
      <c r="AE399" s="255" t="str">
        <f>IF(ISNUMBER(SEARCH("R", 'WetLitterbags placem_collection'!X106)),"YES","NO")</f>
        <v>NO</v>
      </c>
    </row>
    <row r="400" spans="2:31">
      <c r="B400" t="str">
        <f>'Final data_for_R_analysis_Wetse'!A546</f>
        <v>Wet</v>
      </c>
      <c r="C400" s="263">
        <f>'Final data_for_R_analysis_Wetse'!B546</f>
        <v>105</v>
      </c>
      <c r="D400" t="s">
        <v>3843</v>
      </c>
      <c r="E400" t="s">
        <v>25</v>
      </c>
      <c r="F400" s="386">
        <v>1</v>
      </c>
      <c r="G400" s="16">
        <f>'WetLitterbags placem_collection'!E107</f>
        <v>42762</v>
      </c>
      <c r="H400" s="92" t="str">
        <f>'Final data_for_R_analysis_Wetse'!J546</f>
        <v>G861</v>
      </c>
      <c r="I400" t="str">
        <f>'Final data_for_R_analysis_Wetse'!J766</f>
        <v>R540</v>
      </c>
      <c r="J400">
        <f>IFERROR(INDEX('Green_rooibos initial weight'!$C$5:$C$1749,MATCH(H400, 'Green_rooibos initial weight'!$A$5:$A$1749,0)),"")</f>
        <v>1.9339999999999999</v>
      </c>
      <c r="K400">
        <f>IFERROR(INDEX('Green_rooibos initial weight'!$C$5:$C$1749,MATCH(I400, 'Green_rooibos initial weight'!$A$5:$A$1749,0)),"")</f>
        <v>2.194</v>
      </c>
      <c r="L400" s="195">
        <f t="shared" si="47"/>
        <v>1.6841999999999999</v>
      </c>
      <c r="M400" s="195">
        <f>AVERAGE(Ashed_controlls!$K$2:$K$11)</f>
        <v>5.5147656768714146</v>
      </c>
      <c r="N400" s="195">
        <f t="shared" si="45"/>
        <v>1.9441999999999999</v>
      </c>
      <c r="O400" s="16">
        <f>IF('WetLitterbags placem_collection'!G107="N.A","",'WetLitterbags placem_collection'!G107)</f>
        <v>42816</v>
      </c>
      <c r="P400" s="195">
        <f>IF(IFERROR(INDEX('Both teabags AfterWet'!$C$3:$C$841,MATCH(H400,'Both teabags AfterWet'!$A$3:$A$841,0)),"")="N.A","",(IFERROR(INDEX('Both teabags AfterWet'!$C$3:$C$841,MATCH(H400,'Both teabags AfterWet'!$A$3:$A$841,0)),"")))</f>
        <v>0.626</v>
      </c>
      <c r="Q400" s="195">
        <f>IFERROR(INDEX('Both teabags AfterWet'!$C$3:$C$841,MATCH(I400,'Both teabags AfterWet'!$A$3:$A$841,0)),"")</f>
        <v>1.8080000000000001</v>
      </c>
      <c r="R400" s="195">
        <f t="shared" si="48"/>
        <v>0.47539999999999999</v>
      </c>
      <c r="S400" s="195">
        <f t="shared" si="48"/>
        <v>1.6574</v>
      </c>
      <c r="T400" s="195">
        <f t="shared" si="49"/>
        <v>0.71772948580928631</v>
      </c>
      <c r="U400" s="195">
        <f t="shared" si="50"/>
        <v>0.47053049425976973</v>
      </c>
      <c r="V400" s="195">
        <f t="shared" si="51"/>
        <v>0.85248431231354804</v>
      </c>
      <c r="W400">
        <f t="shared" si="46"/>
        <v>54</v>
      </c>
      <c r="X400" s="195">
        <f t="shared" si="52"/>
        <v>0.14758968431201147</v>
      </c>
      <c r="Y400" s="195">
        <f t="shared" si="53"/>
        <v>6.9659741930236767E-3</v>
      </c>
      <c r="Z400" s="255" t="str">
        <f>IF(ISNUMBER(SEARCH("C",'WetLitterbags placem_collection'!W327)),"YES","NO")</f>
        <v>NO</v>
      </c>
      <c r="AA400" s="255" t="str">
        <f>IF(ISNUMBER(SEARCH("H", 'WetLitterbags placem_collection'!Y107)),"YES","NO")</f>
        <v>NO</v>
      </c>
      <c r="AB400" s="255" t="str">
        <f>IF(ISNUMBER(SEARCH("R", 'WetLitterbags placem_collection'!WY107)),"YES","NO")</f>
        <v>NO</v>
      </c>
      <c r="AC400" s="255" t="str">
        <f>IF(ISNUMBER(SEARCH("C", 'WetLitterbags placem_collection'!VX107)),"YES","NO")</f>
        <v>NO</v>
      </c>
      <c r="AD400" s="255" t="str">
        <f>IF(ISNUMBER(SEARCH("H", 'WetLitterbags placem_collection'!X107)),"YES","NO")</f>
        <v>NO</v>
      </c>
      <c r="AE400" s="255" t="str">
        <f>IF(ISNUMBER(SEARCH("R", 'WetLitterbags placem_collection'!X107)),"YES","NO")</f>
        <v>NO</v>
      </c>
    </row>
    <row r="401" spans="2:31">
      <c r="B401" t="str">
        <f>'Final data_for_R_analysis_Wetse'!A547</f>
        <v>Wet</v>
      </c>
      <c r="C401" s="263">
        <f>'Final data_for_R_analysis_Wetse'!B547</f>
        <v>106</v>
      </c>
      <c r="D401" t="s">
        <v>3843</v>
      </c>
      <c r="E401" t="s">
        <v>25</v>
      </c>
      <c r="F401" s="386">
        <v>2</v>
      </c>
      <c r="G401" s="16">
        <f>'WetLitterbags placem_collection'!E108</f>
        <v>42762</v>
      </c>
      <c r="H401" s="92" t="str">
        <f>'Final data_for_R_analysis_Wetse'!J547</f>
        <v>G738</v>
      </c>
      <c r="I401" t="str">
        <f>'Final data_for_R_analysis_Wetse'!J767</f>
        <v>R593</v>
      </c>
      <c r="J401">
        <f>IFERROR(INDEX('Green_rooibos initial weight'!$C$5:$C$1749,MATCH(H401, 'Green_rooibos initial weight'!$A$5:$A$1749,0)),"")</f>
        <v>2.0089999999999999</v>
      </c>
      <c r="K401">
        <f>IFERROR(INDEX('Green_rooibos initial weight'!$C$5:$C$1749,MATCH(I401, 'Green_rooibos initial weight'!$A$5:$A$1749,0)),"")</f>
        <v>2.2090000000000001</v>
      </c>
      <c r="L401" s="195">
        <f t="shared" si="47"/>
        <v>1.7591999999999999</v>
      </c>
      <c r="M401" s="195">
        <f>AVERAGE(Ashed_controlls!$K$2:$K$11)</f>
        <v>5.5147656768714146</v>
      </c>
      <c r="N401" s="195">
        <f t="shared" si="45"/>
        <v>1.9592000000000001</v>
      </c>
      <c r="O401" s="16">
        <f>IF('WetLitterbags placem_collection'!G108="N.A","",'WetLitterbags placem_collection'!G108)</f>
        <v>42816</v>
      </c>
      <c r="P401" s="195">
        <f>IF(IFERROR(INDEX('Both teabags AfterWet'!$C$3:$C$841,MATCH(H401,'Both teabags AfterWet'!$A$3:$A$841,0)),"")="N.A","",(IFERROR(INDEX('Both teabags AfterWet'!$C$3:$C$841,MATCH(H401,'Both teabags AfterWet'!$A$3:$A$841,0)),"")))</f>
        <v>0.626</v>
      </c>
      <c r="Q401" s="195">
        <f>IFERROR(INDEX('Both teabags AfterWet'!$C$3:$C$841,MATCH(I401,'Both teabags AfterWet'!$A$3:$A$841,0)),"")</f>
        <v>1.7729999999999999</v>
      </c>
      <c r="R401" s="195">
        <f t="shared" si="48"/>
        <v>0.47539999999999999</v>
      </c>
      <c r="S401" s="195">
        <f t="shared" si="48"/>
        <v>1.6223999999999998</v>
      </c>
      <c r="T401" s="195">
        <f t="shared" si="49"/>
        <v>0.7297635288767621</v>
      </c>
      <c r="U401" s="195">
        <f t="shared" si="50"/>
        <v>0.47841979565317422</v>
      </c>
      <c r="V401" s="195">
        <f t="shared" si="51"/>
        <v>0.82809309922417307</v>
      </c>
      <c r="W401">
        <f t="shared" si="46"/>
        <v>54</v>
      </c>
      <c r="X401" s="195">
        <f t="shared" si="52"/>
        <v>0.13329747164280037</v>
      </c>
      <c r="Y401" s="195">
        <f t="shared" si="53"/>
        <v>8.2449769404587658E-3</v>
      </c>
      <c r="Z401" s="255" t="str">
        <f>IF(ISNUMBER(SEARCH("C",'WetLitterbags placem_collection'!W328)),"YES","NO")</f>
        <v>NO</v>
      </c>
      <c r="AA401" s="255" t="str">
        <f>IF(ISNUMBER(SEARCH("H", 'WetLitterbags placem_collection'!Y108)),"YES","NO")</f>
        <v>NO</v>
      </c>
      <c r="AB401" s="255" t="str">
        <f>IF(ISNUMBER(SEARCH("R", 'WetLitterbags placem_collection'!WY108)),"YES","NO")</f>
        <v>NO</v>
      </c>
      <c r="AC401" s="255" t="str">
        <f>IF(ISNUMBER(SEARCH("C", 'WetLitterbags placem_collection'!VX108)),"YES","NO")</f>
        <v>NO</v>
      </c>
      <c r="AD401" s="255" t="str">
        <f>IF(ISNUMBER(SEARCH("H", 'WetLitterbags placem_collection'!X108)),"YES","NO")</f>
        <v>NO</v>
      </c>
      <c r="AE401" s="255" t="str">
        <f>IF(ISNUMBER(SEARCH("R", 'WetLitterbags placem_collection'!X108)),"YES","NO")</f>
        <v>YES</v>
      </c>
    </row>
    <row r="402" spans="2:31">
      <c r="B402" t="str">
        <f>'Final data_for_R_analysis_Wetse'!A548</f>
        <v>Wet</v>
      </c>
      <c r="C402" s="263">
        <f>'Final data_for_R_analysis_Wetse'!B548</f>
        <v>107</v>
      </c>
      <c r="D402" t="s">
        <v>3843</v>
      </c>
      <c r="E402" t="s">
        <v>25</v>
      </c>
      <c r="F402" s="386">
        <v>3</v>
      </c>
      <c r="G402" s="16">
        <f>'WetLitterbags placem_collection'!E109</f>
        <v>42762</v>
      </c>
      <c r="H402" s="92" t="str">
        <f>'Final data_for_R_analysis_Wetse'!J548</f>
        <v>G676</v>
      </c>
      <c r="I402" t="str">
        <f>'Final data_for_R_analysis_Wetse'!J768</f>
        <v>R510</v>
      </c>
      <c r="J402">
        <f>IFERROR(INDEX('Green_rooibos initial weight'!$C$5:$C$1749,MATCH(H402, 'Green_rooibos initial weight'!$A$5:$A$1749,0)),"")</f>
        <v>2.048</v>
      </c>
      <c r="K402">
        <f>IFERROR(INDEX('Green_rooibos initial weight'!$C$5:$C$1749,MATCH(I402, 'Green_rooibos initial weight'!$A$5:$A$1749,0)),"")</f>
        <v>2.2349999999999999</v>
      </c>
      <c r="L402" s="195">
        <f t="shared" si="47"/>
        <v>1.7982</v>
      </c>
      <c r="M402" s="195">
        <f>AVERAGE(Ashed_controlls!$K$2:$K$11)</f>
        <v>5.5147656768714146</v>
      </c>
      <c r="N402" s="195">
        <f t="shared" si="45"/>
        <v>1.9851999999999999</v>
      </c>
      <c r="O402" s="16">
        <f>IF('WetLitterbags placem_collection'!G109="N.A","",'WetLitterbags placem_collection'!G109)</f>
        <v>42816</v>
      </c>
      <c r="P402" s="195">
        <f>IF(IFERROR(INDEX('Both teabags AfterWet'!$C$3:$C$841,MATCH(H402,'Both teabags AfterWet'!$A$3:$A$841,0)),"")="N.A","",(IFERROR(INDEX('Both teabags AfterWet'!$C$3:$C$841,MATCH(H402,'Both teabags AfterWet'!$A$3:$A$841,0)),"")))</f>
        <v>0.67630000000000001</v>
      </c>
      <c r="Q402" s="195">
        <f>IFERROR(INDEX('Both teabags AfterWet'!$C$3:$C$841,MATCH(I402,'Both teabags AfterWet'!$A$3:$A$841,0)),"")</f>
        <v>1.5944</v>
      </c>
      <c r="R402" s="195">
        <f t="shared" si="48"/>
        <v>0.52570000000000006</v>
      </c>
      <c r="S402" s="195">
        <f t="shared" si="48"/>
        <v>1.4438</v>
      </c>
      <c r="T402" s="195">
        <f t="shared" si="49"/>
        <v>0.70765209654098538</v>
      </c>
      <c r="U402" s="195">
        <f t="shared" si="50"/>
        <v>0.46392393977508783</v>
      </c>
      <c r="V402" s="195">
        <f t="shared" si="51"/>
        <v>0.72728188595607501</v>
      </c>
      <c r="W402">
        <f t="shared" si="46"/>
        <v>54</v>
      </c>
      <c r="X402" s="195">
        <f t="shared" si="52"/>
        <v>0.15955808011759454</v>
      </c>
      <c r="Y402" s="195">
        <f t="shared" si="53"/>
        <v>1.6414261970973051E-2</v>
      </c>
      <c r="Z402" s="255" t="str">
        <f>IF(ISNUMBER(SEARCH("C",'WetLitterbags placem_collection'!W329)),"YES","NO")</f>
        <v>NO</v>
      </c>
      <c r="AA402" s="255" t="str">
        <f>IF(ISNUMBER(SEARCH("H", 'WetLitterbags placem_collection'!Y109)),"YES","NO")</f>
        <v>NO</v>
      </c>
      <c r="AB402" s="255" t="str">
        <f>IF(ISNUMBER(SEARCH("R", 'WetLitterbags placem_collection'!WY109)),"YES","NO")</f>
        <v>NO</v>
      </c>
      <c r="AC402" s="255" t="str">
        <f>IF(ISNUMBER(SEARCH("C", 'WetLitterbags placem_collection'!VX109)),"YES","NO")</f>
        <v>NO</v>
      </c>
      <c r="AD402" s="255" t="str">
        <f>IF(ISNUMBER(SEARCH("H", 'WetLitterbags placem_collection'!X109)),"YES","NO")</f>
        <v>NO</v>
      </c>
      <c r="AE402" s="255" t="str">
        <f>IF(ISNUMBER(SEARCH("R", 'WetLitterbags placem_collection'!X109)),"YES","NO")</f>
        <v>YES</v>
      </c>
    </row>
    <row r="403" spans="2:31">
      <c r="B403" t="str">
        <f>'Final data_for_R_analysis_Wetse'!A549</f>
        <v>Wet</v>
      </c>
      <c r="C403" s="263">
        <f>'Final data_for_R_analysis_Wetse'!B549</f>
        <v>108</v>
      </c>
      <c r="D403" t="s">
        <v>3843</v>
      </c>
      <c r="E403" t="s">
        <v>25</v>
      </c>
      <c r="F403" s="387">
        <v>4</v>
      </c>
      <c r="G403" s="16">
        <f>'WetLitterbags placem_collection'!E110</f>
        <v>42762</v>
      </c>
      <c r="H403" s="92" t="str">
        <f>'Final data_for_R_analysis_Wetse'!J549</f>
        <v>G845</v>
      </c>
      <c r="I403" t="str">
        <f>'Final data_for_R_analysis_Wetse'!J769</f>
        <v>R509</v>
      </c>
      <c r="J403">
        <f>IFERROR(INDEX('Green_rooibos initial weight'!$C$5:$C$1749,MATCH(H403, 'Green_rooibos initial weight'!$A$5:$A$1749,0)),"")</f>
        <v>2.0459999999999998</v>
      </c>
      <c r="K403">
        <f>IFERROR(INDEX('Green_rooibos initial weight'!$C$5:$C$1749,MATCH(I403, 'Green_rooibos initial weight'!$A$5:$A$1749,0)),"")</f>
        <v>2.161</v>
      </c>
      <c r="L403" s="195">
        <f t="shared" si="47"/>
        <v>1.7961999999999998</v>
      </c>
      <c r="M403" s="195">
        <f>AVERAGE(Ashed_controlls!$K$2:$K$11)</f>
        <v>5.5147656768714146</v>
      </c>
      <c r="N403" s="195">
        <f t="shared" si="45"/>
        <v>1.9112</v>
      </c>
      <c r="O403" s="16">
        <f>IF('WetLitterbags placem_collection'!G110="N.A","",'WetLitterbags placem_collection'!G110)</f>
        <v>42816</v>
      </c>
      <c r="P403" s="195">
        <f>IF(IFERROR(INDEX('Both teabags AfterWet'!$C$3:$C$841,MATCH(H403,'Both teabags AfterWet'!$A$3:$A$841,0)),"")="N.A","",(IFERROR(INDEX('Both teabags AfterWet'!$C$3:$C$841,MATCH(H403,'Both teabags AfterWet'!$A$3:$A$841,0)),"")))</f>
        <v>0.57699999999999996</v>
      </c>
      <c r="Q403" s="195">
        <f>IFERROR(INDEX('Both teabags AfterWet'!$C$3:$C$841,MATCH(I403,'Both teabags AfterWet'!$A$3:$A$841,0)),"")</f>
        <v>1.6739999999999999</v>
      </c>
      <c r="R403" s="195">
        <f t="shared" si="48"/>
        <v>0.42639999999999995</v>
      </c>
      <c r="S403" s="195">
        <f t="shared" si="48"/>
        <v>1.5233999999999999</v>
      </c>
      <c r="T403" s="195">
        <f t="shared" si="49"/>
        <v>0.76260995434806811</v>
      </c>
      <c r="U403" s="195">
        <f t="shared" si="50"/>
        <v>0.4999533192400637</v>
      </c>
      <c r="V403" s="195">
        <f t="shared" si="51"/>
        <v>0.79709083298451222</v>
      </c>
      <c r="W403">
        <f t="shared" si="46"/>
        <v>54</v>
      </c>
      <c r="X403" s="195">
        <f t="shared" si="52"/>
        <v>9.4287465144812233E-2</v>
      </c>
      <c r="Y403" s="195">
        <f t="shared" si="53"/>
        <v>9.6413693352084984E-3</v>
      </c>
      <c r="Z403" s="255" t="str">
        <f>IF(ISNUMBER(SEARCH("C",'WetLitterbags placem_collection'!W330)),"YES","NO")</f>
        <v>NO</v>
      </c>
      <c r="AA403" s="255" t="str">
        <f>IF(ISNUMBER(SEARCH("H", 'WetLitterbags placem_collection'!Y110)),"YES","NO")</f>
        <v>NO</v>
      </c>
      <c r="AB403" s="255" t="str">
        <f>IF(ISNUMBER(SEARCH("R", 'WetLitterbags placem_collection'!WY110)),"YES","NO")</f>
        <v>NO</v>
      </c>
      <c r="AC403" s="255" t="str">
        <f>IF(ISNUMBER(SEARCH("C", 'WetLitterbags placem_collection'!VX110)),"YES","NO")</f>
        <v>NO</v>
      </c>
      <c r="AD403" s="255" t="str">
        <f>IF(ISNUMBER(SEARCH("H", 'WetLitterbags placem_collection'!X110)),"YES","NO")</f>
        <v>NO</v>
      </c>
      <c r="AE403" s="255" t="str">
        <f>IF(ISNUMBER(SEARCH("R", 'WetLitterbags placem_collection'!X110)),"YES","NO")</f>
        <v>YES</v>
      </c>
    </row>
    <row r="404" spans="2:31">
      <c r="B404" t="str">
        <f>'Final data_for_R_analysis_Wetse'!A550</f>
        <v>Wet</v>
      </c>
      <c r="C404" s="263">
        <f>'Final data_for_R_analysis_Wetse'!B550</f>
        <v>109</v>
      </c>
      <c r="D404" t="s">
        <v>3843</v>
      </c>
      <c r="E404" t="s">
        <v>25</v>
      </c>
      <c r="F404" s="387">
        <v>5</v>
      </c>
      <c r="G404" s="16">
        <f>'WetLitterbags placem_collection'!E111</f>
        <v>42762</v>
      </c>
      <c r="H404" s="92" t="str">
        <f>'Final data_for_R_analysis_Wetse'!J550</f>
        <v>G887</v>
      </c>
      <c r="I404" t="str">
        <f>'Final data_for_R_analysis_Wetse'!J770</f>
        <v>R33</v>
      </c>
      <c r="J404">
        <f>IFERROR(INDEX('Green_rooibos initial weight'!$C$5:$C$1749,MATCH(H404, 'Green_rooibos initial weight'!$A$5:$A$1749,0)),"")</f>
        <v>1.998</v>
      </c>
      <c r="K404">
        <f>IFERROR(INDEX('Green_rooibos initial weight'!$C$5:$C$1749,MATCH(I404, 'Green_rooibos initial weight'!$A$5:$A$1749,0)),"")</f>
        <v>2.1989999999999998</v>
      </c>
      <c r="L404" s="195">
        <f t="shared" si="47"/>
        <v>1.7482</v>
      </c>
      <c r="M404" s="195">
        <f>AVERAGE(Ashed_controlls!$K$2:$K$11)</f>
        <v>5.5147656768714146</v>
      </c>
      <c r="N404" s="195">
        <f t="shared" si="45"/>
        <v>1.9491999999999998</v>
      </c>
      <c r="O404" s="16">
        <f>IF('WetLitterbags placem_collection'!G111="N.A","",'WetLitterbags placem_collection'!G111)</f>
        <v>42816</v>
      </c>
      <c r="P404" s="195">
        <f>IF(IFERROR(INDEX('Both teabags AfterWet'!$C$3:$C$841,MATCH(H404,'Both teabags AfterWet'!$A$3:$A$841,0)),"")="N.A","",(IFERROR(INDEX('Both teabags AfterWet'!$C$3:$C$841,MATCH(H404,'Both teabags AfterWet'!$A$3:$A$841,0)),"")))</f>
        <v>0.64870000000000005</v>
      </c>
      <c r="Q404" s="195">
        <f>IFERROR(INDEX('Both teabags AfterWet'!$C$3:$C$841,MATCH(I404,'Both teabags AfterWet'!$A$3:$A$841,0)),"")</f>
        <v>1.5922000000000001</v>
      </c>
      <c r="R404" s="195">
        <f t="shared" si="48"/>
        <v>0.49810000000000004</v>
      </c>
      <c r="S404" s="195">
        <f t="shared" si="48"/>
        <v>1.4416</v>
      </c>
      <c r="T404" s="195">
        <f t="shared" si="49"/>
        <v>0.71507836631964306</v>
      </c>
      <c r="U404" s="195">
        <f t="shared" si="50"/>
        <v>0.46879246818104869</v>
      </c>
      <c r="V404" s="195">
        <f t="shared" si="51"/>
        <v>0.7395854709624462</v>
      </c>
      <c r="W404">
        <f t="shared" si="46"/>
        <v>54</v>
      </c>
      <c r="X404" s="195">
        <f t="shared" si="52"/>
        <v>0.15073828228070896</v>
      </c>
      <c r="Y404" s="195">
        <f t="shared" si="53"/>
        <v>1.5014939369033172E-2</v>
      </c>
      <c r="Z404" s="255" t="str">
        <f>IF(ISNUMBER(SEARCH("C",'WetLitterbags placem_collection'!W331)),"YES","NO")</f>
        <v>NO</v>
      </c>
      <c r="AA404" s="255" t="str">
        <f>IF(ISNUMBER(SEARCH("H", 'WetLitterbags placem_collection'!Y111)),"YES","NO")</f>
        <v>NO</v>
      </c>
      <c r="AB404" s="255" t="str">
        <f>IF(ISNUMBER(SEARCH("R", 'WetLitterbags placem_collection'!WY111)),"YES","NO")</f>
        <v>NO</v>
      </c>
      <c r="AC404" s="255" t="str">
        <f>IF(ISNUMBER(SEARCH("C", 'WetLitterbags placem_collection'!VX111)),"YES","NO")</f>
        <v>NO</v>
      </c>
      <c r="AD404" s="255" t="str">
        <f>IF(ISNUMBER(SEARCH("H", 'WetLitterbags placem_collection'!X111)),"YES","NO")</f>
        <v>NO</v>
      </c>
      <c r="AE404" s="255" t="str">
        <f>IF(ISNUMBER(SEARCH("R", 'WetLitterbags placem_collection'!X111)),"YES","NO")</f>
        <v>NO</v>
      </c>
    </row>
    <row r="405" spans="2:31">
      <c r="B405" t="str">
        <f>'Final data_for_R_analysis_Wetse'!A551</f>
        <v>Wet</v>
      </c>
      <c r="C405" s="263">
        <f>'Final data_for_R_analysis_Wetse'!B551</f>
        <v>110</v>
      </c>
      <c r="D405" t="s">
        <v>3843</v>
      </c>
      <c r="E405" t="s">
        <v>25</v>
      </c>
      <c r="F405" s="387">
        <v>6</v>
      </c>
      <c r="G405" s="16">
        <f>'WetLitterbags placem_collection'!E112</f>
        <v>42762</v>
      </c>
      <c r="H405" s="92" t="str">
        <f>'Final data_for_R_analysis_Wetse'!J551</f>
        <v>G882</v>
      </c>
      <c r="I405" t="str">
        <f>'Final data_for_R_analysis_Wetse'!J771</f>
        <v>R54a</v>
      </c>
      <c r="J405">
        <f>IFERROR(INDEX('Green_rooibos initial weight'!$C$5:$C$1749,MATCH(H405, 'Green_rooibos initial weight'!$A$5:$A$1749,0)),"")</f>
        <v>2.0979999999999999</v>
      </c>
      <c r="K405" t="str">
        <f>IFERROR(INDEX('Green_rooibos initial weight'!$C$5:$C$1749,MATCH(I405, 'Green_rooibos initial weight'!$A$5:$A$1749,0)),"")</f>
        <v/>
      </c>
      <c r="L405" s="195">
        <f t="shared" si="47"/>
        <v>1.8481999999999998</v>
      </c>
      <c r="M405" s="195">
        <f>AVERAGE(Ashed_controlls!$K$2:$K$11)</f>
        <v>5.5147656768714146</v>
      </c>
      <c r="N405" s="195" t="e">
        <f t="shared" si="45"/>
        <v>#VALUE!</v>
      </c>
      <c r="O405" s="16">
        <f>IF('WetLitterbags placem_collection'!G112="N.A","",'WetLitterbags placem_collection'!G112)</f>
        <v>42816</v>
      </c>
      <c r="P405" s="195">
        <f>IF(IFERROR(INDEX('Both teabags AfterWet'!$C$3:$C$841,MATCH(H405,'Both teabags AfterWet'!$A$3:$A$841,0)),"")="N.A","",(IFERROR(INDEX('Both teabags AfterWet'!$C$3:$C$841,MATCH(H405,'Both teabags AfterWet'!$A$3:$A$841,0)),"")))</f>
        <v>0.56669999999999998</v>
      </c>
      <c r="Q405" s="195">
        <f>IFERROR(INDEX('Both teabags AfterWet'!$C$3:$C$841,MATCH(I405,'Both teabags AfterWet'!$A$3:$A$841,0)),"")</f>
        <v>1.4870000000000001</v>
      </c>
      <c r="R405" s="195">
        <f t="shared" si="48"/>
        <v>0.41609999999999997</v>
      </c>
      <c r="S405" s="195">
        <f t="shared" si="48"/>
        <v>1.3364</v>
      </c>
      <c r="T405" s="195">
        <f t="shared" si="49"/>
        <v>0.77486202791905634</v>
      </c>
      <c r="U405" s="195">
        <f t="shared" si="50"/>
        <v>0.50798555749562846</v>
      </c>
      <c r="V405" s="195" t="str">
        <f t="shared" si="51"/>
        <v/>
      </c>
      <c r="W405">
        <f t="shared" si="46"/>
        <v>54</v>
      </c>
      <c r="X405" s="195">
        <f t="shared" si="52"/>
        <v>7.9736308884731155E-2</v>
      </c>
      <c r="Y405" s="195" t="str">
        <f t="shared" si="53"/>
        <v/>
      </c>
      <c r="Z405" s="255" t="str">
        <f>IF(ISNUMBER(SEARCH("C",'WetLitterbags placem_collection'!W332)),"YES","NO")</f>
        <v>NO</v>
      </c>
      <c r="AA405" s="255" t="str">
        <f>IF(ISNUMBER(SEARCH("H", 'WetLitterbags placem_collection'!Y112)),"YES","NO")</f>
        <v>NO</v>
      </c>
      <c r="AB405" s="255" t="str">
        <f>IF(ISNUMBER(SEARCH("R", 'WetLitterbags placem_collection'!WY112)),"YES","NO")</f>
        <v>NO</v>
      </c>
      <c r="AC405" s="255" t="str">
        <f>IF(ISNUMBER(SEARCH("C", 'WetLitterbags placem_collection'!VX112)),"YES","NO")</f>
        <v>NO</v>
      </c>
      <c r="AD405" s="255" t="str">
        <f>IF(ISNUMBER(SEARCH("H", 'WetLitterbags placem_collection'!X112)),"YES","NO")</f>
        <v>NO</v>
      </c>
      <c r="AE405" s="255" t="str">
        <f>IF(ISNUMBER(SEARCH("R", 'WetLitterbags placem_collection'!X112)),"YES","NO")</f>
        <v>NO</v>
      </c>
    </row>
    <row r="406" spans="2:31">
      <c r="B406" t="str">
        <f>'Final data_for_R_analysis_Wetse'!A552</f>
        <v>Wet</v>
      </c>
      <c r="C406" s="263">
        <f>'Final data_for_R_analysis_Wetse'!B552</f>
        <v>111</v>
      </c>
      <c r="D406" t="s">
        <v>3843</v>
      </c>
      <c r="E406" t="s">
        <v>25</v>
      </c>
      <c r="F406" s="387">
        <v>7</v>
      </c>
      <c r="G406" s="16">
        <f>'WetLitterbags placem_collection'!E113</f>
        <v>42762</v>
      </c>
      <c r="H406" s="92" t="str">
        <f>'Final data_for_R_analysis_Wetse'!J552</f>
        <v>G695</v>
      </c>
      <c r="I406" t="str">
        <f>'Final data_for_R_analysis_Wetse'!J772</f>
        <v>R487</v>
      </c>
      <c r="J406">
        <f>IFERROR(INDEX('Green_rooibos initial weight'!$C$5:$C$1749,MATCH(H406, 'Green_rooibos initial weight'!$A$5:$A$1749,0)),"")</f>
        <v>2.0190000000000001</v>
      </c>
      <c r="K406">
        <f>IFERROR(INDEX('Green_rooibos initial weight'!$C$5:$C$1749,MATCH(I406, 'Green_rooibos initial weight'!$A$5:$A$1749,0)),"")</f>
        <v>2.222</v>
      </c>
      <c r="L406" s="195">
        <f t="shared" si="47"/>
        <v>1.7692000000000001</v>
      </c>
      <c r="M406" s="195">
        <f>AVERAGE(Ashed_controlls!$K$2:$K$11)</f>
        <v>5.5147656768714146</v>
      </c>
      <c r="N406" s="195">
        <f t="shared" si="45"/>
        <v>1.9722</v>
      </c>
      <c r="O406" s="16">
        <f>IF('WetLitterbags placem_collection'!G113="N.A","",'WetLitterbags placem_collection'!G113)</f>
        <v>42816</v>
      </c>
      <c r="P406" s="195">
        <f>IF(IFERROR(INDEX('Both teabags AfterWet'!$C$3:$C$841,MATCH(H406,'Both teabags AfterWet'!$A$3:$A$841,0)),"")="N.A","",(IFERROR(INDEX('Both teabags AfterWet'!$C$3:$C$841,MATCH(H406,'Both teabags AfterWet'!$A$3:$A$841,0)),"")))</f>
        <v>0.621</v>
      </c>
      <c r="Q406" s="195">
        <f>IFERROR(INDEX('Both teabags AfterWet'!$C$3:$C$841,MATCH(I406,'Both teabags AfterWet'!$A$3:$A$841,0)),"")</f>
        <v>1.609</v>
      </c>
      <c r="R406" s="195">
        <f t="shared" si="48"/>
        <v>0.47039999999999998</v>
      </c>
      <c r="S406" s="195">
        <f t="shared" si="48"/>
        <v>1.4583999999999999</v>
      </c>
      <c r="T406" s="195">
        <f t="shared" si="49"/>
        <v>0.73411711508026234</v>
      </c>
      <c r="U406" s="195">
        <f t="shared" si="50"/>
        <v>0.48127392817613407</v>
      </c>
      <c r="V406" s="195">
        <f t="shared" si="51"/>
        <v>0.73947875469019364</v>
      </c>
      <c r="W406">
        <f t="shared" si="46"/>
        <v>54</v>
      </c>
      <c r="X406" s="195">
        <f t="shared" si="52"/>
        <v>0.12812694170990213</v>
      </c>
      <c r="Y406" s="195">
        <f t="shared" si="53"/>
        <v>1.4433215044932593E-2</v>
      </c>
      <c r="Z406" s="255" t="str">
        <f>IF(ISNUMBER(SEARCH("C",'WetLitterbags placem_collection'!W333)),"YES","NO")</f>
        <v>NO</v>
      </c>
      <c r="AA406" s="255" t="str">
        <f>IF(ISNUMBER(SEARCH("H", 'WetLitterbags placem_collection'!Y113)),"YES","NO")</f>
        <v>NO</v>
      </c>
      <c r="AB406" s="255" t="str">
        <f>IF(ISNUMBER(SEARCH("R", 'WetLitterbags placem_collection'!WY113)),"YES","NO")</f>
        <v>NO</v>
      </c>
      <c r="AC406" s="255" t="str">
        <f>IF(ISNUMBER(SEARCH("C", 'WetLitterbags placem_collection'!VX113)),"YES","NO")</f>
        <v>NO</v>
      </c>
      <c r="AD406" s="255" t="str">
        <f>IF(ISNUMBER(SEARCH("H", 'WetLitterbags placem_collection'!X113)),"YES","NO")</f>
        <v>NO</v>
      </c>
      <c r="AE406" s="255" t="str">
        <f>IF(ISNUMBER(SEARCH("R", 'WetLitterbags placem_collection'!X113)),"YES","NO")</f>
        <v>YES</v>
      </c>
    </row>
    <row r="407" spans="2:31">
      <c r="B407" t="str">
        <f>'Final data_for_R_analysis_Wetse'!A553</f>
        <v>Wet</v>
      </c>
      <c r="C407" s="263">
        <f>'Final data_for_R_analysis_Wetse'!B553</f>
        <v>112</v>
      </c>
      <c r="D407" t="s">
        <v>3843</v>
      </c>
      <c r="E407" t="s">
        <v>25</v>
      </c>
      <c r="F407" s="387">
        <v>8</v>
      </c>
      <c r="G407" s="16">
        <f>'WetLitterbags placem_collection'!E114</f>
        <v>42762</v>
      </c>
      <c r="H407" s="92" t="str">
        <f>'Final data_for_R_analysis_Wetse'!J553</f>
        <v>G852</v>
      </c>
      <c r="I407" t="str">
        <f>'Final data_for_R_analysis_Wetse'!J773</f>
        <v>R530</v>
      </c>
      <c r="J407">
        <f>IFERROR(INDEX('Green_rooibos initial weight'!$C$5:$C$1749,MATCH(H407, 'Green_rooibos initial weight'!$A$5:$A$1749,0)),"")</f>
        <v>2.0630000000000002</v>
      </c>
      <c r="K407">
        <f>IFERROR(INDEX('Green_rooibos initial weight'!$C$5:$C$1749,MATCH(I407, 'Green_rooibos initial weight'!$A$5:$A$1749,0)),"")</f>
        <v>2.1659999999999999</v>
      </c>
      <c r="L407" s="195">
        <f t="shared" si="47"/>
        <v>1.8132000000000001</v>
      </c>
      <c r="M407" s="195">
        <f>AVERAGE(Ashed_controlls!$K$2:$K$11)</f>
        <v>5.5147656768714146</v>
      </c>
      <c r="N407" s="195">
        <f t="shared" si="45"/>
        <v>1.9161999999999999</v>
      </c>
      <c r="O407" s="16">
        <f>IF('WetLitterbags placem_collection'!G114="N.A","",'WetLitterbags placem_collection'!G114)</f>
        <v>42816</v>
      </c>
      <c r="P407" s="195">
        <f>IF(IFERROR(INDEX('Both teabags AfterWet'!$C$3:$C$841,MATCH(H407,'Both teabags AfterWet'!$A$3:$A$841,0)),"")="N.A","",(IFERROR(INDEX('Both teabags AfterWet'!$C$3:$C$841,MATCH(H407,'Both teabags AfterWet'!$A$3:$A$841,0)),"")))</f>
        <v>0.69799999999999995</v>
      </c>
      <c r="Q407" s="195">
        <f>IFERROR(INDEX('Both teabags AfterWet'!$C$3:$C$841,MATCH(I407,'Both teabags AfterWet'!$A$3:$A$841,0)),"")</f>
        <v>1.627</v>
      </c>
      <c r="R407" s="195">
        <f t="shared" si="48"/>
        <v>0.54739999999999989</v>
      </c>
      <c r="S407" s="195">
        <f t="shared" si="48"/>
        <v>1.4763999999999999</v>
      </c>
      <c r="T407" s="195">
        <f t="shared" si="49"/>
        <v>0.698102801676594</v>
      </c>
      <c r="U407" s="195">
        <f t="shared" si="50"/>
        <v>0.45766359444831345</v>
      </c>
      <c r="V407" s="195">
        <f t="shared" si="51"/>
        <v>0.77048324809518842</v>
      </c>
      <c r="W407">
        <f t="shared" si="46"/>
        <v>54</v>
      </c>
      <c r="X407" s="195">
        <f t="shared" si="52"/>
        <v>0.1708992854197221</v>
      </c>
      <c r="Y407" s="195">
        <f t="shared" si="53"/>
        <v>1.2891572896339309E-2</v>
      </c>
      <c r="Z407" s="255" t="str">
        <f>IF(ISNUMBER(SEARCH("C",'WetLitterbags placem_collection'!W334)),"YES","NO")</f>
        <v>NO</v>
      </c>
      <c r="AA407" s="255" t="str">
        <f>IF(ISNUMBER(SEARCH("H", 'WetLitterbags placem_collection'!Y114)),"YES","NO")</f>
        <v>NO</v>
      </c>
      <c r="AB407" s="255" t="str">
        <f>IF(ISNUMBER(SEARCH("R", 'WetLitterbags placem_collection'!WY114)),"YES","NO")</f>
        <v>NO</v>
      </c>
      <c r="AC407" s="255" t="str">
        <f>IF(ISNUMBER(SEARCH("C", 'WetLitterbags placem_collection'!VX114)),"YES","NO")</f>
        <v>NO</v>
      </c>
      <c r="AD407" s="255" t="str">
        <f>IF(ISNUMBER(SEARCH("H", 'WetLitterbags placem_collection'!X114)),"YES","NO")</f>
        <v>NO</v>
      </c>
      <c r="AE407" s="255" t="str">
        <f>IF(ISNUMBER(SEARCH("R", 'WetLitterbags placem_collection'!X114)),"YES","NO")</f>
        <v>NO</v>
      </c>
    </row>
    <row r="408" spans="2:31">
      <c r="B408" t="str">
        <f>'Final data_for_R_analysis_Wetse'!A554</f>
        <v>Wet</v>
      </c>
      <c r="C408" s="263">
        <f>'Final data_for_R_analysis_Wetse'!B554</f>
        <v>113</v>
      </c>
      <c r="D408" t="s">
        <v>3844</v>
      </c>
      <c r="E408" t="s">
        <v>25</v>
      </c>
      <c r="F408" s="386">
        <v>1</v>
      </c>
      <c r="G408" s="16">
        <f>'WetLitterbags placem_collection'!E115</f>
        <v>42762</v>
      </c>
      <c r="H408" s="92" t="str">
        <f>'Final data_for_R_analysis_Wetse'!J554</f>
        <v>G769</v>
      </c>
      <c r="I408" t="str">
        <f>'Final data_for_R_analysis_Wetse'!J774</f>
        <v>R578</v>
      </c>
      <c r="J408">
        <f>IFERROR(INDEX('Green_rooibos initial weight'!$C$5:$C$1749,MATCH(H408, 'Green_rooibos initial weight'!$A$5:$A$1749,0)),"")</f>
        <v>2.0550000000000002</v>
      </c>
      <c r="K408">
        <f>IFERROR(INDEX('Green_rooibos initial weight'!$C$5:$C$1749,MATCH(I408, 'Green_rooibos initial weight'!$A$5:$A$1749,0)),"")</f>
        <v>2.1259999999999999</v>
      </c>
      <c r="L408" s="195">
        <f t="shared" si="47"/>
        <v>1.8052000000000001</v>
      </c>
      <c r="M408" s="195">
        <f>AVERAGE(Ashed_controlls!$K$2:$K$11)</f>
        <v>5.5147656768714146</v>
      </c>
      <c r="N408" s="195">
        <f t="shared" si="45"/>
        <v>1.8761999999999999</v>
      </c>
      <c r="O408" s="16">
        <f>IF('WetLitterbags placem_collection'!G115="N.A","",'WetLitterbags placem_collection'!G115)</f>
        <v>42816</v>
      </c>
      <c r="P408" s="195">
        <f>IF(IFERROR(INDEX('Both teabags AfterWet'!$C$3:$C$841,MATCH(H408,'Both teabags AfterWet'!$A$3:$A$841,0)),"")="N.A","",(IFERROR(INDEX('Both teabags AfterWet'!$C$3:$C$841,MATCH(H408,'Both teabags AfterWet'!$A$3:$A$841,0)),"")))</f>
        <v>0.70799999999999996</v>
      </c>
      <c r="Q408" s="195">
        <f>IFERROR(INDEX('Both teabags AfterWet'!$C$3:$C$841,MATCH(I408,'Both teabags AfterWet'!$A$3:$A$841,0)),"")</f>
        <v>1.421</v>
      </c>
      <c r="R408" s="195">
        <f t="shared" si="48"/>
        <v>0.5573999999999999</v>
      </c>
      <c r="S408" s="195">
        <f t="shared" si="48"/>
        <v>1.2704</v>
      </c>
      <c r="T408" s="195">
        <f t="shared" si="49"/>
        <v>0.69122534899180155</v>
      </c>
      <c r="U408" s="195">
        <f t="shared" si="50"/>
        <v>0.45315486062170368</v>
      </c>
      <c r="V408" s="195">
        <f t="shared" si="51"/>
        <v>0.67711331414561349</v>
      </c>
      <c r="W408">
        <f t="shared" si="46"/>
        <v>54</v>
      </c>
      <c r="X408" s="195">
        <f t="shared" si="52"/>
        <v>0.1790672814824209</v>
      </c>
      <c r="Y408" s="195">
        <f t="shared" si="53"/>
        <v>2.3085902116310231E-2</v>
      </c>
      <c r="Z408" s="255" t="str">
        <f>IF(ISNUMBER(SEARCH("C",'WetLitterbags placem_collection'!W335)),"YES","NO")</f>
        <v>NO</v>
      </c>
      <c r="AA408" s="255" t="str">
        <f>IF(ISNUMBER(SEARCH("H", 'WetLitterbags placem_collection'!Y115)),"YES","NO")</f>
        <v>NO</v>
      </c>
      <c r="AB408" s="255" t="str">
        <f>IF(ISNUMBER(SEARCH("R", 'WetLitterbags placem_collection'!WY115)),"YES","NO")</f>
        <v>NO</v>
      </c>
      <c r="AC408" s="255" t="str">
        <f>IF(ISNUMBER(SEARCH("C", 'WetLitterbags placem_collection'!VX115)),"YES","NO")</f>
        <v>NO</v>
      </c>
      <c r="AD408" s="255" t="str">
        <f>IF(ISNUMBER(SEARCH("H", 'WetLitterbags placem_collection'!X115)),"YES","NO")</f>
        <v>NO</v>
      </c>
      <c r="AE408" s="255" t="str">
        <f>IF(ISNUMBER(SEARCH("R", 'WetLitterbags placem_collection'!X115)),"YES","NO")</f>
        <v>YES</v>
      </c>
    </row>
    <row r="409" spans="2:31">
      <c r="B409" t="str">
        <f>'Final data_for_R_analysis_Wetse'!A555</f>
        <v>Wet</v>
      </c>
      <c r="C409" s="263">
        <f>'Final data_for_R_analysis_Wetse'!B555</f>
        <v>114</v>
      </c>
      <c r="D409" t="s">
        <v>3844</v>
      </c>
      <c r="E409" t="s">
        <v>25</v>
      </c>
      <c r="F409" s="386">
        <v>2</v>
      </c>
      <c r="G409" s="16">
        <f>'WetLitterbags placem_collection'!E116</f>
        <v>42762</v>
      </c>
      <c r="H409" s="92" t="str">
        <f>'Final data_for_R_analysis_Wetse'!J555</f>
        <v>G889</v>
      </c>
      <c r="I409" t="str">
        <f>'Final data_for_R_analysis_Wetse'!J775</f>
        <v>R37</v>
      </c>
      <c r="J409">
        <f>IFERROR(INDEX('Green_rooibos initial weight'!$C$5:$C$1749,MATCH(H409, 'Green_rooibos initial weight'!$A$5:$A$1749,0)),"")</f>
        <v>1.9830000000000001</v>
      </c>
      <c r="K409">
        <f>IFERROR(INDEX('Green_rooibos initial weight'!$C$5:$C$1749,MATCH(I409, 'Green_rooibos initial weight'!$A$5:$A$1749,0)),"")</f>
        <v>2.0979999999999999</v>
      </c>
      <c r="L409" s="195">
        <f t="shared" si="47"/>
        <v>1.7332000000000001</v>
      </c>
      <c r="M409" s="195">
        <f>AVERAGE(Ashed_controlls!$K$2:$K$11)</f>
        <v>5.5147656768714146</v>
      </c>
      <c r="N409" s="195">
        <f t="shared" si="45"/>
        <v>1.8481999999999998</v>
      </c>
      <c r="O409" s="16">
        <f>IF('WetLitterbags placem_collection'!G116="N.A","",'WetLitterbags placem_collection'!G116)</f>
        <v>42816</v>
      </c>
      <c r="P409" s="195">
        <f>IF(IFERROR(INDEX('Both teabags AfterWet'!$C$3:$C$841,MATCH(H409,'Both teabags AfterWet'!$A$3:$A$841,0)),"")="N.A","",(IFERROR(INDEX('Both teabags AfterWet'!$C$3:$C$841,MATCH(H409,'Both teabags AfterWet'!$A$3:$A$841,0)),"")))</f>
        <v>0.65700000000000003</v>
      </c>
      <c r="Q409" s="195">
        <f>IFERROR(INDEX('Both teabags AfterWet'!$C$3:$C$841,MATCH(I409,'Both teabags AfterWet'!$A$3:$A$841,0)),"")</f>
        <v>1.504</v>
      </c>
      <c r="R409" s="195">
        <f t="shared" si="48"/>
        <v>0.50639999999999996</v>
      </c>
      <c r="S409" s="195">
        <f t="shared" si="48"/>
        <v>1.3533999999999999</v>
      </c>
      <c r="T409" s="195">
        <f t="shared" si="49"/>
        <v>0.7078236787445189</v>
      </c>
      <c r="U409" s="195">
        <f t="shared" si="50"/>
        <v>0.46403642597027844</v>
      </c>
      <c r="V409" s="195">
        <f t="shared" si="51"/>
        <v>0.73228005627096637</v>
      </c>
      <c r="W409">
        <f t="shared" si="46"/>
        <v>54</v>
      </c>
      <c r="X409" s="195">
        <f t="shared" si="52"/>
        <v>0.15935430077848112</v>
      </c>
      <c r="Y409" s="195">
        <f t="shared" si="53"/>
        <v>1.59302776126528E-2</v>
      </c>
      <c r="Z409" s="255" t="str">
        <f>IF(ISNUMBER(SEARCH("C",'WetLitterbags placem_collection'!W336)),"YES","NO")</f>
        <v>NO</v>
      </c>
      <c r="AA409" s="255" t="str">
        <f>IF(ISNUMBER(SEARCH("H", 'WetLitterbags placem_collection'!Y116)),"YES","NO")</f>
        <v>NO</v>
      </c>
      <c r="AB409" s="255" t="str">
        <f>IF(ISNUMBER(SEARCH("R", 'WetLitterbags placem_collection'!WY116)),"YES","NO")</f>
        <v>NO</v>
      </c>
      <c r="AC409" s="255" t="str">
        <f>IF(ISNUMBER(SEARCH("C", 'WetLitterbags placem_collection'!VX116)),"YES","NO")</f>
        <v>NO</v>
      </c>
      <c r="AD409" s="255" t="str">
        <f>IF(ISNUMBER(SEARCH("H", 'WetLitterbags placem_collection'!X116)),"YES","NO")</f>
        <v>NO</v>
      </c>
      <c r="AE409" s="255" t="str">
        <f>IF(ISNUMBER(SEARCH("R", 'WetLitterbags placem_collection'!X116)),"YES","NO")</f>
        <v>YES</v>
      </c>
    </row>
    <row r="410" spans="2:31">
      <c r="B410" t="str">
        <f>'Final data_for_R_analysis_Wetse'!A556</f>
        <v>Wet</v>
      </c>
      <c r="C410" s="263">
        <f>'Final data_for_R_analysis_Wetse'!B556</f>
        <v>115</v>
      </c>
      <c r="D410" t="s">
        <v>3844</v>
      </c>
      <c r="E410" t="s">
        <v>25</v>
      </c>
      <c r="F410" s="386">
        <v>3</v>
      </c>
      <c r="G410" s="16">
        <f>'WetLitterbags placem_collection'!E117</f>
        <v>42762</v>
      </c>
      <c r="H410" s="92" t="str">
        <f>'Final data_for_R_analysis_Wetse'!J556</f>
        <v>G778</v>
      </c>
      <c r="I410" t="str">
        <f>'Final data_for_R_analysis_Wetse'!J776</f>
        <v>R522</v>
      </c>
      <c r="J410">
        <f>IFERROR(INDEX('Green_rooibos initial weight'!$C$5:$C$1749,MATCH(H410, 'Green_rooibos initial weight'!$A$5:$A$1749,0)),"")</f>
        <v>1.992</v>
      </c>
      <c r="K410">
        <f>IFERROR(INDEX('Green_rooibos initial weight'!$C$5:$C$1749,MATCH(I410, 'Green_rooibos initial weight'!$A$5:$A$1749,0)),"")</f>
        <v>2.1819999999999999</v>
      </c>
      <c r="L410" s="195">
        <f t="shared" si="47"/>
        <v>1.7422</v>
      </c>
      <c r="M410" s="195">
        <f>AVERAGE(Ashed_controlls!$K$2:$K$11)</f>
        <v>5.5147656768714146</v>
      </c>
      <c r="N410" s="195">
        <f t="shared" si="45"/>
        <v>1.9321999999999999</v>
      </c>
      <c r="O410" s="16">
        <f>IF('WetLitterbags placem_collection'!G117="N.A","",'WetLitterbags placem_collection'!G117)</f>
        <v>42816</v>
      </c>
      <c r="P410" s="195">
        <f>IF(IFERROR(INDEX('Both teabags AfterWet'!$C$3:$C$841,MATCH(H410,'Both teabags AfterWet'!$A$3:$A$841,0)),"")="N.A","",(IFERROR(INDEX('Both teabags AfterWet'!$C$3:$C$841,MATCH(H410,'Both teabags AfterWet'!$A$3:$A$841,0)),"")))</f>
        <v>0.73709999999999998</v>
      </c>
      <c r="Q410" s="195">
        <f>IFERROR(INDEX('Both teabags AfterWet'!$C$3:$C$841,MATCH(I410,'Both teabags AfterWet'!$A$3:$A$841,0)),"")</f>
        <v>1.401</v>
      </c>
      <c r="R410" s="195">
        <f t="shared" si="48"/>
        <v>0.58650000000000002</v>
      </c>
      <c r="S410" s="195">
        <f t="shared" si="48"/>
        <v>1.2504</v>
      </c>
      <c r="T410" s="195">
        <f t="shared" si="49"/>
        <v>0.66335667546779931</v>
      </c>
      <c r="U410" s="195">
        <f t="shared" si="50"/>
        <v>0.43488466135181147</v>
      </c>
      <c r="V410" s="195">
        <f t="shared" si="51"/>
        <v>0.64713797743504808</v>
      </c>
      <c r="W410">
        <f t="shared" si="46"/>
        <v>54</v>
      </c>
      <c r="X410" s="195">
        <f t="shared" si="52"/>
        <v>0.21216546856555896</v>
      </c>
      <c r="Y410" s="195">
        <f t="shared" si="53"/>
        <v>3.0890473290490935E-2</v>
      </c>
      <c r="Z410" s="255" t="str">
        <f>IF(ISNUMBER(SEARCH("C",'WetLitterbags placem_collection'!W337)),"YES","NO")</f>
        <v>NO</v>
      </c>
      <c r="AA410" s="255" t="str">
        <f>IF(ISNUMBER(SEARCH("H", 'WetLitterbags placem_collection'!Y117)),"YES","NO")</f>
        <v>NO</v>
      </c>
      <c r="AB410" s="255" t="str">
        <f>IF(ISNUMBER(SEARCH("R", 'WetLitterbags placem_collection'!WY117)),"YES","NO")</f>
        <v>NO</v>
      </c>
      <c r="AC410" s="255" t="str">
        <f>IF(ISNUMBER(SEARCH("C", 'WetLitterbags placem_collection'!VX117)),"YES","NO")</f>
        <v>NO</v>
      </c>
      <c r="AD410" s="255" t="str">
        <f>IF(ISNUMBER(SEARCH("H", 'WetLitterbags placem_collection'!X117)),"YES","NO")</f>
        <v>NO</v>
      </c>
      <c r="AE410" s="255" t="str">
        <f>IF(ISNUMBER(SEARCH("R", 'WetLitterbags placem_collection'!X117)),"YES","NO")</f>
        <v>YES</v>
      </c>
    </row>
    <row r="411" spans="2:31">
      <c r="B411" t="str">
        <f>'Final data_for_R_analysis_Wetse'!A557</f>
        <v>Wet</v>
      </c>
      <c r="C411" s="263">
        <f>'Final data_for_R_analysis_Wetse'!B557</f>
        <v>116</v>
      </c>
      <c r="D411" t="s">
        <v>3844</v>
      </c>
      <c r="E411" t="s">
        <v>25</v>
      </c>
      <c r="F411" s="387">
        <v>4</v>
      </c>
      <c r="G411" s="16">
        <f>'WetLitterbags placem_collection'!E118</f>
        <v>42762</v>
      </c>
      <c r="H411" s="92" t="str">
        <f>'Final data_for_R_analysis_Wetse'!J557</f>
        <v>G563</v>
      </c>
      <c r="I411" t="str">
        <f>'Final data_for_R_analysis_Wetse'!J777</f>
        <v>R480</v>
      </c>
      <c r="J411">
        <f>IFERROR(INDEX('Green_rooibos initial weight'!$C$5:$C$1749,MATCH(H411, 'Green_rooibos initial weight'!$A$5:$A$1749,0)),"")</f>
        <v>1.9390000000000001</v>
      </c>
      <c r="K411">
        <f>IFERROR(INDEX('Green_rooibos initial weight'!$C$5:$C$1749,MATCH(I411, 'Green_rooibos initial weight'!$A$5:$A$1749,0)),"")</f>
        <v>2.17</v>
      </c>
      <c r="L411" s="195">
        <f t="shared" si="47"/>
        <v>1.6892</v>
      </c>
      <c r="M411" s="195">
        <f>AVERAGE(Ashed_controlls!$K$2:$K$11)</f>
        <v>5.5147656768714146</v>
      </c>
      <c r="N411" s="195">
        <f t="shared" si="45"/>
        <v>1.9201999999999999</v>
      </c>
      <c r="O411" s="16">
        <f>IF('WetLitterbags placem_collection'!G118="N.A","",'WetLitterbags placem_collection'!G118)</f>
        <v>42816</v>
      </c>
      <c r="P411" s="195">
        <f>IF(IFERROR(INDEX('Both teabags AfterWet'!$C$3:$C$841,MATCH(H411,'Both teabags AfterWet'!$A$3:$A$841,0)),"")="N.A","",(IFERROR(INDEX('Both teabags AfterWet'!$C$3:$C$841,MATCH(H411,'Both teabags AfterWet'!$A$3:$A$841,0)),"")))</f>
        <v>0.61660000000000004</v>
      </c>
      <c r="Q411" s="195">
        <f>IFERROR(INDEX('Both teabags AfterWet'!$C$3:$C$841,MATCH(I411,'Both teabags AfterWet'!$A$3:$A$841,0)),"")</f>
        <v>1.389</v>
      </c>
      <c r="R411" s="195">
        <f t="shared" si="48"/>
        <v>0.46600000000000003</v>
      </c>
      <c r="S411" s="195">
        <f t="shared" si="48"/>
        <v>1.2383999999999999</v>
      </c>
      <c r="T411" s="195">
        <f t="shared" si="49"/>
        <v>0.72412976556950037</v>
      </c>
      <c r="U411" s="195">
        <f t="shared" si="50"/>
        <v>0.47472640213107392</v>
      </c>
      <c r="V411" s="195">
        <f t="shared" si="51"/>
        <v>0.64493281949796899</v>
      </c>
      <c r="W411">
        <f t="shared" si="46"/>
        <v>54</v>
      </c>
      <c r="X411" s="195">
        <f t="shared" si="52"/>
        <v>0.13998840193646034</v>
      </c>
      <c r="Y411" s="195">
        <f t="shared" si="53"/>
        <v>2.5520199249746394E-2</v>
      </c>
      <c r="Z411" s="255" t="str">
        <f>IF(ISNUMBER(SEARCH("C",'WetLitterbags placem_collection'!W338)),"YES","NO")</f>
        <v>YES</v>
      </c>
      <c r="AA411" s="255" t="str">
        <f>IF(ISNUMBER(SEARCH("H", 'WetLitterbags placem_collection'!Y118)),"YES","NO")</f>
        <v>NO</v>
      </c>
      <c r="AB411" s="255" t="str">
        <f>IF(ISNUMBER(SEARCH("R", 'WetLitterbags placem_collection'!WY118)),"YES","NO")</f>
        <v>NO</v>
      </c>
      <c r="AC411" s="255" t="str">
        <f>IF(ISNUMBER(SEARCH("C", 'WetLitterbags placem_collection'!VX118)),"YES","NO")</f>
        <v>NO</v>
      </c>
      <c r="AD411" s="255" t="str">
        <f>IF(ISNUMBER(SEARCH("H", 'WetLitterbags placem_collection'!X118)),"YES","NO")</f>
        <v>NO</v>
      </c>
      <c r="AE411" s="255" t="str">
        <f>IF(ISNUMBER(SEARCH("R", 'WetLitterbags placem_collection'!X118)),"YES","NO")</f>
        <v>YES</v>
      </c>
    </row>
    <row r="412" spans="2:31">
      <c r="B412" t="str">
        <f>'Final data_for_R_analysis_Wetse'!A558</f>
        <v>Wet</v>
      </c>
      <c r="C412" s="263">
        <f>'Final data_for_R_analysis_Wetse'!B558</f>
        <v>117</v>
      </c>
      <c r="D412" t="s">
        <v>3844</v>
      </c>
      <c r="E412" t="s">
        <v>25</v>
      </c>
      <c r="F412" s="387">
        <v>5</v>
      </c>
      <c r="G412" s="16">
        <f>'WetLitterbags placem_collection'!E119</f>
        <v>42762</v>
      </c>
      <c r="H412" s="92" t="str">
        <f>'Final data_for_R_analysis_Wetse'!J558</f>
        <v>G901</v>
      </c>
      <c r="I412" t="str">
        <f>'Final data_for_R_analysis_Wetse'!J778</f>
        <v>R565</v>
      </c>
      <c r="J412">
        <f>IFERROR(INDEX('Green_rooibos initial weight'!$C$5:$C$1749,MATCH(H412, 'Green_rooibos initial weight'!$A$5:$A$1749,0)),"")</f>
        <v>2.0270000000000001</v>
      </c>
      <c r="K412">
        <f>IFERROR(INDEX('Green_rooibos initial weight'!$C$5:$C$1749,MATCH(I412, 'Green_rooibos initial weight'!$A$5:$A$1749,0)),"")</f>
        <v>2.0649999999999999</v>
      </c>
      <c r="L412" s="195">
        <f t="shared" si="47"/>
        <v>1.7772000000000001</v>
      </c>
      <c r="M412" s="195">
        <f>AVERAGE(Ashed_controlls!$K$2:$K$11)</f>
        <v>5.5147656768714146</v>
      </c>
      <c r="N412" s="195">
        <f t="shared" si="45"/>
        <v>1.8151999999999999</v>
      </c>
      <c r="O412" s="16">
        <f>IF('WetLitterbags placem_collection'!G119="N.A","",'WetLitterbags placem_collection'!G119)</f>
        <v>42816</v>
      </c>
      <c r="P412" s="195">
        <f>IF(IFERROR(INDEX('Both teabags AfterWet'!$C$3:$C$841,MATCH(H412,'Both teabags AfterWet'!$A$3:$A$841,0)),"")="N.A","",(IFERROR(INDEX('Both teabags AfterWet'!$C$3:$C$841,MATCH(H412,'Both teabags AfterWet'!$A$3:$A$841,0)),"")))</f>
        <v>0.621</v>
      </c>
      <c r="Q412" s="195">
        <f>IFERROR(INDEX('Both teabags AfterWet'!$C$3:$C$841,MATCH(I412,'Both teabags AfterWet'!$A$3:$A$841,0)),"")</f>
        <v>1.343</v>
      </c>
      <c r="R412" s="195">
        <f t="shared" si="48"/>
        <v>0.47039999999999998</v>
      </c>
      <c r="S412" s="195">
        <f t="shared" si="48"/>
        <v>1.1923999999999999</v>
      </c>
      <c r="T412" s="195">
        <f t="shared" si="49"/>
        <v>0.73531397704253887</v>
      </c>
      <c r="U412" s="195">
        <f t="shared" si="50"/>
        <v>0.48205856927254337</v>
      </c>
      <c r="V412" s="195">
        <f t="shared" si="51"/>
        <v>0.65689731159100928</v>
      </c>
      <c r="W412">
        <f t="shared" si="46"/>
        <v>54</v>
      </c>
      <c r="X412" s="195">
        <f t="shared" si="52"/>
        <v>0.12670549044829105</v>
      </c>
      <c r="Y412" s="195">
        <f t="shared" si="53"/>
        <v>2.303535445914769E-2</v>
      </c>
      <c r="Z412" s="255" t="str">
        <f>IF(ISNUMBER(SEARCH("C",'WetLitterbags placem_collection'!W339)),"YES","NO")</f>
        <v>NO</v>
      </c>
      <c r="AA412" s="255" t="str">
        <f>IF(ISNUMBER(SEARCH("H", 'WetLitterbags placem_collection'!Y119)),"YES","NO")</f>
        <v>NO</v>
      </c>
      <c r="AB412" s="255" t="str">
        <f>IF(ISNUMBER(SEARCH("R", 'WetLitterbags placem_collection'!WY119)),"YES","NO")</f>
        <v>NO</v>
      </c>
      <c r="AC412" s="255" t="str">
        <f>IF(ISNUMBER(SEARCH("C", 'WetLitterbags placem_collection'!VX119)),"YES","NO")</f>
        <v>NO</v>
      </c>
      <c r="AD412" s="255" t="str">
        <f>IF(ISNUMBER(SEARCH("H", 'WetLitterbags placem_collection'!X119)),"YES","NO")</f>
        <v>NO</v>
      </c>
      <c r="AE412" s="255" t="str">
        <f>IF(ISNUMBER(SEARCH("R", 'WetLitterbags placem_collection'!X119)),"YES","NO")</f>
        <v>YES</v>
      </c>
    </row>
    <row r="413" spans="2:31">
      <c r="B413" t="str">
        <f>'Final data_for_R_analysis_Wetse'!A559</f>
        <v>Wet</v>
      </c>
      <c r="C413" s="263">
        <f>'Final data_for_R_analysis_Wetse'!B559</f>
        <v>118</v>
      </c>
      <c r="D413" t="s">
        <v>3844</v>
      </c>
      <c r="E413" t="s">
        <v>25</v>
      </c>
      <c r="F413" s="387">
        <v>6</v>
      </c>
      <c r="G413" s="16">
        <f>'WetLitterbags placem_collection'!E120</f>
        <v>42762</v>
      </c>
      <c r="H413" s="92" t="str">
        <f>'Final data_for_R_analysis_Wetse'!J559</f>
        <v>G791</v>
      </c>
      <c r="I413" t="str">
        <f>'Final data_for_R_analysis_Wetse'!J779</f>
        <v>R544</v>
      </c>
      <c r="J413">
        <f>IFERROR(INDEX('Green_rooibos initial weight'!$C$5:$C$1749,MATCH(H413, 'Green_rooibos initial weight'!$A$5:$A$1749,0)),"")</f>
        <v>2.0680000000000001</v>
      </c>
      <c r="K413">
        <f>IFERROR(INDEX('Green_rooibos initial weight'!$C$5:$C$1749,MATCH(I413, 'Green_rooibos initial weight'!$A$5:$A$1749,0)),"")</f>
        <v>2.2109999999999999</v>
      </c>
      <c r="L413" s="195">
        <f t="shared" si="47"/>
        <v>1.8182</v>
      </c>
      <c r="M413" s="195">
        <f>AVERAGE(Ashed_controlls!$K$2:$K$11)</f>
        <v>5.5147656768714146</v>
      </c>
      <c r="N413" s="195">
        <f t="shared" si="45"/>
        <v>1.9611999999999998</v>
      </c>
      <c r="O413" s="16">
        <f>IF('WetLitterbags placem_collection'!G120="N.A","",'WetLitterbags placem_collection'!G120)</f>
        <v>42816</v>
      </c>
      <c r="P413" s="195">
        <f>IF(IFERROR(INDEX('Both teabags AfterWet'!$C$3:$C$841,MATCH(H413,'Both teabags AfterWet'!$A$3:$A$841,0)),"")="N.A","",(IFERROR(INDEX('Both teabags AfterWet'!$C$3:$C$841,MATCH(H413,'Both teabags AfterWet'!$A$3:$A$841,0)),"")))</f>
        <v>0.64600000000000002</v>
      </c>
      <c r="Q413" s="195">
        <f>IFERROR(INDEX('Both teabags AfterWet'!$C$3:$C$841,MATCH(I413,'Both teabags AfterWet'!$A$3:$A$841,0)),"")</f>
        <v>1.599</v>
      </c>
      <c r="R413" s="195">
        <f t="shared" si="48"/>
        <v>0.49540000000000001</v>
      </c>
      <c r="S413" s="195">
        <f t="shared" si="48"/>
        <v>1.4483999999999999</v>
      </c>
      <c r="T413" s="195">
        <f t="shared" si="49"/>
        <v>0.72753272467275321</v>
      </c>
      <c r="U413" s="195">
        <f t="shared" si="50"/>
        <v>0.47695732068807578</v>
      </c>
      <c r="V413" s="195">
        <f t="shared" si="51"/>
        <v>0.73852743218437689</v>
      </c>
      <c r="W413">
        <f t="shared" si="46"/>
        <v>54</v>
      </c>
      <c r="X413" s="195">
        <f t="shared" si="52"/>
        <v>0.13594688281145695</v>
      </c>
      <c r="Y413" s="195">
        <f t="shared" si="53"/>
        <v>1.4713645513482476E-2</v>
      </c>
      <c r="Z413" s="255" t="str">
        <f>IF(ISNUMBER(SEARCH("C",'WetLitterbags placem_collection'!W340)),"YES","NO")</f>
        <v>YES</v>
      </c>
      <c r="AA413" s="255" t="str">
        <f>IF(ISNUMBER(SEARCH("H", 'WetLitterbags placem_collection'!Y120)),"YES","NO")</f>
        <v>NO</v>
      </c>
      <c r="AB413" s="255" t="str">
        <f>IF(ISNUMBER(SEARCH("R", 'WetLitterbags placem_collection'!WY120)),"YES","NO")</f>
        <v>NO</v>
      </c>
      <c r="AC413" s="255" t="str">
        <f>IF(ISNUMBER(SEARCH("C", 'WetLitterbags placem_collection'!VX120)),"YES","NO")</f>
        <v>NO</v>
      </c>
      <c r="AD413" s="255" t="str">
        <f>IF(ISNUMBER(SEARCH("H", 'WetLitterbags placem_collection'!X120)),"YES","NO")</f>
        <v>NO</v>
      </c>
      <c r="AE413" s="255" t="str">
        <f>IF(ISNUMBER(SEARCH("R", 'WetLitterbags placem_collection'!X120)),"YES","NO")</f>
        <v>YES</v>
      </c>
    </row>
    <row r="414" spans="2:31">
      <c r="B414" t="str">
        <f>'Final data_for_R_analysis_Wetse'!A560</f>
        <v>Wet</v>
      </c>
      <c r="C414" s="263">
        <f>'Final data_for_R_analysis_Wetse'!B560</f>
        <v>119</v>
      </c>
      <c r="D414" t="s">
        <v>3844</v>
      </c>
      <c r="E414" t="s">
        <v>25</v>
      </c>
      <c r="F414" s="387">
        <v>7</v>
      </c>
      <c r="G414" s="16">
        <f>'WetLitterbags placem_collection'!E121</f>
        <v>42762</v>
      </c>
      <c r="H414" s="92" t="str">
        <f>'Final data_for_R_analysis_Wetse'!J560</f>
        <v>G802</v>
      </c>
      <c r="I414" t="str">
        <f>'Final data_for_R_analysis_Wetse'!J780</f>
        <v>R526</v>
      </c>
      <c r="J414">
        <f>IFERROR(INDEX('Green_rooibos initial weight'!$C$5:$C$1749,MATCH(H414, 'Green_rooibos initial weight'!$A$5:$A$1749,0)),"")</f>
        <v>2.194</v>
      </c>
      <c r="K414">
        <f>IFERROR(INDEX('Green_rooibos initial weight'!$C$5:$C$1749,MATCH(I414, 'Green_rooibos initial weight'!$A$5:$A$1749,0)),"")</f>
        <v>2.0960000000000001</v>
      </c>
      <c r="L414" s="195">
        <f t="shared" si="47"/>
        <v>1.9441999999999999</v>
      </c>
      <c r="M414" s="195">
        <f>AVERAGE(Ashed_controlls!$K$2:$K$11)</f>
        <v>5.5147656768714146</v>
      </c>
      <c r="N414" s="195">
        <f t="shared" si="45"/>
        <v>1.8462000000000001</v>
      </c>
      <c r="O414" s="16">
        <f>IF('WetLitterbags placem_collection'!G121="N.A","",'WetLitterbags placem_collection'!G121)</f>
        <v>42816</v>
      </c>
      <c r="P414" s="195">
        <f>IF(IFERROR(INDEX('Both teabags AfterWet'!$C$3:$C$841,MATCH(H414,'Both teabags AfterWet'!$A$3:$A$841,0)),"")="N.A","",(IFERROR(INDEX('Both teabags AfterWet'!$C$3:$C$841,MATCH(H414,'Both teabags AfterWet'!$A$3:$A$841,0)),"")))</f>
        <v>0.65200000000000002</v>
      </c>
      <c r="Q414" s="195">
        <f>IFERROR(INDEX('Both teabags AfterWet'!$C$3:$C$841,MATCH(I414,'Both teabags AfterWet'!$A$3:$A$841,0)),"")</f>
        <v>1.3</v>
      </c>
      <c r="R414" s="195">
        <f t="shared" si="48"/>
        <v>0.50140000000000007</v>
      </c>
      <c r="S414" s="195">
        <f t="shared" si="48"/>
        <v>1.1494</v>
      </c>
      <c r="T414" s="195">
        <f t="shared" si="49"/>
        <v>0.74210472173644682</v>
      </c>
      <c r="U414" s="195">
        <f t="shared" si="50"/>
        <v>0.48651045890560413</v>
      </c>
      <c r="V414" s="195">
        <f t="shared" si="51"/>
        <v>0.62257610226410998</v>
      </c>
      <c r="W414">
        <f t="shared" si="46"/>
        <v>54</v>
      </c>
      <c r="X414" s="195">
        <f t="shared" si="52"/>
        <v>0.11864047299709402</v>
      </c>
      <c r="Y414" s="195">
        <f t="shared" si="53"/>
        <v>2.7687346174447333E-2</v>
      </c>
      <c r="Z414" s="255" t="str">
        <f>IF(ISNUMBER(SEARCH("C",'WetLitterbags placem_collection'!W341)),"YES","NO")</f>
        <v>NO</v>
      </c>
      <c r="AA414" s="255" t="str">
        <f>IF(ISNUMBER(SEARCH("H", 'WetLitterbags placem_collection'!Y121)),"YES","NO")</f>
        <v>NO</v>
      </c>
      <c r="AB414" s="255" t="str">
        <f>IF(ISNUMBER(SEARCH("R", 'WetLitterbags placem_collection'!WY121)),"YES","NO")</f>
        <v>NO</v>
      </c>
      <c r="AC414" s="255" t="str">
        <f>IF(ISNUMBER(SEARCH("C", 'WetLitterbags placem_collection'!VX121)),"YES","NO")</f>
        <v>NO</v>
      </c>
      <c r="AD414" s="255" t="str">
        <f>IF(ISNUMBER(SEARCH("H", 'WetLitterbags placem_collection'!X121)),"YES","NO")</f>
        <v>NO</v>
      </c>
      <c r="AE414" s="255" t="str">
        <f>IF(ISNUMBER(SEARCH("R", 'WetLitterbags placem_collection'!X121)),"YES","NO")</f>
        <v>YES</v>
      </c>
    </row>
    <row r="415" spans="2:31">
      <c r="B415" t="str">
        <f>'Final data_for_R_analysis_Wetse'!A561</f>
        <v>Wet</v>
      </c>
      <c r="C415" s="263">
        <f>'Final data_for_R_analysis_Wetse'!B561</f>
        <v>120</v>
      </c>
      <c r="D415" t="s">
        <v>3844</v>
      </c>
      <c r="E415" t="s">
        <v>25</v>
      </c>
      <c r="F415" s="387">
        <v>8</v>
      </c>
      <c r="G415" s="16">
        <f>'WetLitterbags placem_collection'!E122</f>
        <v>42762</v>
      </c>
      <c r="H415" s="92" t="str">
        <f>'Final data_for_R_analysis_Wetse'!J561</f>
        <v>G698</v>
      </c>
      <c r="I415" t="str">
        <f>'Final data_for_R_analysis_Wetse'!J781</f>
        <v>R594</v>
      </c>
      <c r="J415">
        <f>IFERROR(INDEX('Green_rooibos initial weight'!$C$5:$C$1749,MATCH(H415, 'Green_rooibos initial weight'!$A$5:$A$1749,0)),"")</f>
        <v>2.085</v>
      </c>
      <c r="K415">
        <f>IFERROR(INDEX('Green_rooibos initial weight'!$C$5:$C$1749,MATCH(I415, 'Green_rooibos initial weight'!$A$5:$A$1749,0)),"")</f>
        <v>2.2400000000000002</v>
      </c>
      <c r="L415" s="195">
        <f t="shared" si="47"/>
        <v>1.8351999999999999</v>
      </c>
      <c r="M415" s="195">
        <f>AVERAGE(Ashed_controlls!$K$2:$K$11)</f>
        <v>5.5147656768714146</v>
      </c>
      <c r="N415" s="195">
        <f t="shared" si="45"/>
        <v>1.9902000000000002</v>
      </c>
      <c r="O415" s="16">
        <f>IF('WetLitterbags placem_collection'!G122="N.A","",'WetLitterbags placem_collection'!G122)</f>
        <v>42816</v>
      </c>
      <c r="P415" s="195">
        <f>IF(IFERROR(INDEX('Both teabags AfterWet'!$C$3:$C$841,MATCH(H415,'Both teabags AfterWet'!$A$3:$A$841,0)),"")="N.A","",(IFERROR(INDEX('Both teabags AfterWet'!$C$3:$C$841,MATCH(H415,'Both teabags AfterWet'!$A$3:$A$841,0)),"")))</f>
        <v>0.55310000000000004</v>
      </c>
      <c r="Q415" s="195">
        <f>IFERROR(INDEX('Both teabags AfterWet'!$C$3:$C$841,MATCH(I415,'Both teabags AfterWet'!$A$3:$A$841,0)),"")</f>
        <v>1.4142999999999999</v>
      </c>
      <c r="R415" s="195">
        <f t="shared" si="48"/>
        <v>0.40250000000000002</v>
      </c>
      <c r="S415" s="195">
        <f t="shared" si="48"/>
        <v>1.2636999999999998</v>
      </c>
      <c r="T415" s="195">
        <f t="shared" si="49"/>
        <v>0.78067785527462941</v>
      </c>
      <c r="U415" s="195">
        <f t="shared" si="50"/>
        <v>0.51179830892113476</v>
      </c>
      <c r="V415" s="195">
        <f t="shared" si="51"/>
        <v>0.63496131042106307</v>
      </c>
      <c r="W415">
        <f t="shared" si="46"/>
        <v>54</v>
      </c>
      <c r="X415" s="195">
        <f t="shared" si="52"/>
        <v>7.2829150505190676E-2</v>
      </c>
      <c r="Y415" s="195">
        <f t="shared" si="53"/>
        <v>2.3132122477795371E-2</v>
      </c>
      <c r="Z415" s="255" t="str">
        <f>IF(ISNUMBER(SEARCH("C",'WetLitterbags placem_collection'!W342)),"YES","NO")</f>
        <v>NO</v>
      </c>
      <c r="AA415" s="255" t="str">
        <f>IF(ISNUMBER(SEARCH("H", 'WetLitterbags placem_collection'!Y122)),"YES","NO")</f>
        <v>NO</v>
      </c>
      <c r="AB415" s="255" t="str">
        <f>IF(ISNUMBER(SEARCH("R", 'WetLitterbags placem_collection'!WY122)),"YES","NO")</f>
        <v>NO</v>
      </c>
      <c r="AC415" s="255" t="str">
        <f>IF(ISNUMBER(SEARCH("C", 'WetLitterbags placem_collection'!VX122)),"YES","NO")</f>
        <v>NO</v>
      </c>
      <c r="AD415" s="255" t="str">
        <f>IF(ISNUMBER(SEARCH("H", 'WetLitterbags placem_collection'!X122)),"YES","NO")</f>
        <v>NO</v>
      </c>
      <c r="AE415" s="255" t="str">
        <f>IF(ISNUMBER(SEARCH("R", 'WetLitterbags placem_collection'!X122)),"YES","NO")</f>
        <v>NO</v>
      </c>
    </row>
    <row r="416" spans="2:31">
      <c r="B416" t="str">
        <f>'Final data_for_R_analysis_Wetse'!A562</f>
        <v>Wet</v>
      </c>
      <c r="C416" s="263">
        <f>'Final data_for_R_analysis_Wetse'!B562</f>
        <v>121</v>
      </c>
      <c r="D416" t="s">
        <v>3845</v>
      </c>
      <c r="E416" t="s">
        <v>25</v>
      </c>
      <c r="F416" s="386">
        <v>1</v>
      </c>
      <c r="G416" s="16">
        <f>'WetLitterbags placem_collection'!E123</f>
        <v>42762</v>
      </c>
      <c r="H416" s="92" t="str">
        <f>'Final data_for_R_analysis_Wetse'!J562</f>
        <v>G825</v>
      </c>
      <c r="I416" t="str">
        <f>'Final data_for_R_analysis_Wetse'!J782</f>
        <v>R564</v>
      </c>
      <c r="J416">
        <f>IFERROR(INDEX('Green_rooibos initial weight'!$C$5:$C$1749,MATCH(H416, 'Green_rooibos initial weight'!$A$5:$A$1749,0)),"")</f>
        <v>2.1240000000000001</v>
      </c>
      <c r="K416">
        <f>IFERROR(INDEX('Green_rooibos initial weight'!$C$5:$C$1749,MATCH(I416, 'Green_rooibos initial weight'!$A$5:$A$1749,0)),"")</f>
        <v>2.145</v>
      </c>
      <c r="L416" s="195">
        <f t="shared" si="47"/>
        <v>1.8742000000000001</v>
      </c>
      <c r="M416" s="195">
        <f>AVERAGE(Ashed_controlls!$K$2:$K$11)</f>
        <v>5.5147656768714146</v>
      </c>
      <c r="N416" s="195">
        <f t="shared" si="45"/>
        <v>1.8952</v>
      </c>
      <c r="O416" s="16">
        <f>IF('WetLitterbags placem_collection'!G123="N.A","",'WetLitterbags placem_collection'!G123)</f>
        <v>42816</v>
      </c>
      <c r="P416" s="195">
        <f>IF(IFERROR(INDEX('Both teabags AfterWet'!$C$3:$C$841,MATCH(H416,'Both teabags AfterWet'!$A$3:$A$841,0)),"")="N.A","",(IFERROR(INDEX('Both teabags AfterWet'!$C$3:$C$841,MATCH(H416,'Both teabags AfterWet'!$A$3:$A$841,0)),"")))</f>
        <v>0.61199999999999999</v>
      </c>
      <c r="Q416" s="195">
        <f>IFERROR(INDEX('Both teabags AfterWet'!$C$3:$C$841,MATCH(I416,'Both teabags AfterWet'!$A$3:$A$841,0)),"")</f>
        <v>1.53</v>
      </c>
      <c r="R416" s="195">
        <f t="shared" si="48"/>
        <v>0.46139999999999998</v>
      </c>
      <c r="S416" s="195">
        <f t="shared" si="48"/>
        <v>1.3794</v>
      </c>
      <c r="T416" s="195">
        <f t="shared" si="49"/>
        <v>0.75381496105004808</v>
      </c>
      <c r="U416" s="195">
        <f t="shared" si="50"/>
        <v>0.49418748040335697</v>
      </c>
      <c r="V416" s="195">
        <f t="shared" si="51"/>
        <v>0.72783875052764879</v>
      </c>
      <c r="W416">
        <f t="shared" si="46"/>
        <v>54</v>
      </c>
      <c r="X416" s="195">
        <f t="shared" si="52"/>
        <v>0.1047328253562374</v>
      </c>
      <c r="Y416" s="195">
        <f t="shared" si="53"/>
        <v>1.481702644329176E-2</v>
      </c>
      <c r="Z416" s="255" t="str">
        <f>IF(ISNUMBER(SEARCH("C",'WetLitterbags placem_collection'!W343)),"YES","NO")</f>
        <v>NO</v>
      </c>
      <c r="AA416" s="255" t="str">
        <f>IF(ISNUMBER(SEARCH("H", 'WetLitterbags placem_collection'!Y123)),"YES","NO")</f>
        <v>NO</v>
      </c>
      <c r="AB416" s="255" t="str">
        <f>IF(ISNUMBER(SEARCH("R", 'WetLitterbags placem_collection'!WY123)),"YES","NO")</f>
        <v>NO</v>
      </c>
      <c r="AC416" s="255" t="str">
        <f>IF(ISNUMBER(SEARCH("C", 'WetLitterbags placem_collection'!VX123)),"YES","NO")</f>
        <v>NO</v>
      </c>
      <c r="AD416" s="255" t="str">
        <f>IF(ISNUMBER(SEARCH("H", 'WetLitterbags placem_collection'!X123)),"YES","NO")</f>
        <v>NO</v>
      </c>
      <c r="AE416" s="255" t="str">
        <f>IF(ISNUMBER(SEARCH("R", 'WetLitterbags placem_collection'!X123)),"YES","NO")</f>
        <v>YES</v>
      </c>
    </row>
    <row r="417" spans="2:31">
      <c r="B417" t="str">
        <f>'Final data_for_R_analysis_Wetse'!A563</f>
        <v>Wet</v>
      </c>
      <c r="C417" s="263">
        <f>'Final data_for_R_analysis_Wetse'!B563</f>
        <v>122</v>
      </c>
      <c r="D417" t="s">
        <v>3845</v>
      </c>
      <c r="E417" t="s">
        <v>25</v>
      </c>
      <c r="F417" s="386">
        <v>2</v>
      </c>
      <c r="G417" s="16">
        <f>'WetLitterbags placem_collection'!E124</f>
        <v>42762</v>
      </c>
      <c r="H417" s="92" t="str">
        <f>'Final data_for_R_analysis_Wetse'!J563</f>
        <v>G839</v>
      </c>
      <c r="I417" t="str">
        <f>'Final data_for_R_analysis_Wetse'!J783</f>
        <v>R429</v>
      </c>
      <c r="J417">
        <f>IFERROR(INDEX('Green_rooibos initial weight'!$C$5:$C$1749,MATCH(H417, 'Green_rooibos initial weight'!$A$5:$A$1749,0)),"")</f>
        <v>2.0230000000000001</v>
      </c>
      <c r="K417">
        <f>IFERROR(INDEX('Green_rooibos initial weight'!$C$5:$C$1749,MATCH(I417, 'Green_rooibos initial weight'!$A$5:$A$1749,0)),"")</f>
        <v>2.21</v>
      </c>
      <c r="L417" s="195">
        <f t="shared" si="47"/>
        <v>1.7732000000000001</v>
      </c>
      <c r="M417" s="195">
        <f>AVERAGE(Ashed_controlls!$K$2:$K$11)</f>
        <v>5.5147656768714146</v>
      </c>
      <c r="N417" s="195">
        <f t="shared" si="45"/>
        <v>1.9601999999999999</v>
      </c>
      <c r="O417" s="16">
        <f>IF('WetLitterbags placem_collection'!G124="N.A","",'WetLitterbags placem_collection'!G124)</f>
        <v>42816</v>
      </c>
      <c r="P417" s="195">
        <f>IF(IFERROR(INDEX('Both teabags AfterWet'!$C$3:$C$841,MATCH(H417,'Both teabags AfterWet'!$A$3:$A$841,0)),"")="N.A","",(IFERROR(INDEX('Both teabags AfterWet'!$C$3:$C$841,MATCH(H417,'Both teabags AfterWet'!$A$3:$A$841,0)),"")))</f>
        <v>0.64200000000000002</v>
      </c>
      <c r="Q417" s="195">
        <f>IFERROR(INDEX('Both teabags AfterWet'!$C$3:$C$841,MATCH(I417,'Both teabags AfterWet'!$A$3:$A$841,0)),"")</f>
        <v>1.2190000000000001</v>
      </c>
      <c r="R417" s="195">
        <f t="shared" si="48"/>
        <v>0.4914</v>
      </c>
      <c r="S417" s="195">
        <f t="shared" si="48"/>
        <v>1.0684</v>
      </c>
      <c r="T417" s="195">
        <f t="shared" si="49"/>
        <v>0.72287390029325516</v>
      </c>
      <c r="U417" s="195">
        <f t="shared" si="50"/>
        <v>0.4739030795271697</v>
      </c>
      <c r="V417" s="195">
        <f t="shared" si="51"/>
        <v>0.54504642383430268</v>
      </c>
      <c r="W417">
        <f t="shared" si="46"/>
        <v>54</v>
      </c>
      <c r="X417" s="195">
        <f t="shared" si="52"/>
        <v>0.14147992839280854</v>
      </c>
      <c r="Y417" s="195">
        <f t="shared" si="53"/>
        <v>5.9615279701277751E-2</v>
      </c>
      <c r="Z417" s="255" t="str">
        <f>IF(ISNUMBER(SEARCH("C",'WetLitterbags placem_collection'!W344)),"YES","NO")</f>
        <v>NO</v>
      </c>
      <c r="AA417" s="255" t="str">
        <f>IF(ISNUMBER(SEARCH("H", 'WetLitterbags placem_collection'!Y124)),"YES","NO")</f>
        <v>NO</v>
      </c>
      <c r="AB417" s="255" t="str">
        <f>IF(ISNUMBER(SEARCH("R", 'WetLitterbags placem_collection'!WY124)),"YES","NO")</f>
        <v>NO</v>
      </c>
      <c r="AC417" s="255" t="str">
        <f>IF(ISNUMBER(SEARCH("C", 'WetLitterbags placem_collection'!VX124)),"YES","NO")</f>
        <v>NO</v>
      </c>
      <c r="AD417" s="255" t="str">
        <f>IF(ISNUMBER(SEARCH("H", 'WetLitterbags placem_collection'!X124)),"YES","NO")</f>
        <v>NO</v>
      </c>
      <c r="AE417" s="255" t="str">
        <f>IF(ISNUMBER(SEARCH("R", 'WetLitterbags placem_collection'!X124)),"YES","NO")</f>
        <v>YES</v>
      </c>
    </row>
    <row r="418" spans="2:31">
      <c r="B418" t="str">
        <f>'Final data_for_R_analysis_Wetse'!A564</f>
        <v>Wet</v>
      </c>
      <c r="C418" s="263">
        <f>'Final data_for_R_analysis_Wetse'!B564</f>
        <v>123</v>
      </c>
      <c r="D418" t="s">
        <v>3845</v>
      </c>
      <c r="E418" t="s">
        <v>25</v>
      </c>
      <c r="F418" s="386">
        <v>3</v>
      </c>
      <c r="G418" s="16">
        <f>'WetLitterbags placem_collection'!E125</f>
        <v>42762</v>
      </c>
      <c r="H418" s="92" t="str">
        <f>'Final data_for_R_analysis_Wetse'!J564</f>
        <v>G895</v>
      </c>
      <c r="I418" t="str">
        <f>'Final data_for_R_analysis_Wetse'!J784</f>
        <v>R466</v>
      </c>
      <c r="J418">
        <f>IFERROR(INDEX('Green_rooibos initial weight'!$C$5:$C$1749,MATCH(H418, 'Green_rooibos initial weight'!$A$5:$A$1749,0)),"")</f>
        <v>1.9259999999999999</v>
      </c>
      <c r="K418">
        <f>IFERROR(INDEX('Green_rooibos initial weight'!$C$5:$C$1749,MATCH(I418, 'Green_rooibos initial weight'!$A$5:$A$1749,0)),"")</f>
        <v>2.2269999999999999</v>
      </c>
      <c r="L418" s="195">
        <f t="shared" si="47"/>
        <v>1.6761999999999999</v>
      </c>
      <c r="M418" s="195">
        <f>AVERAGE(Ashed_controlls!$K$2:$K$11)</f>
        <v>5.5147656768714146</v>
      </c>
      <c r="N418" s="195">
        <f t="shared" si="45"/>
        <v>1.9771999999999998</v>
      </c>
      <c r="O418" s="16">
        <f>IF('WetLitterbags placem_collection'!G125="N.A","",'WetLitterbags placem_collection'!G125)</f>
        <v>42816</v>
      </c>
      <c r="P418" s="195">
        <f>IF(IFERROR(INDEX('Both teabags AfterWet'!$C$3:$C$841,MATCH(H418,'Both teabags AfterWet'!$A$3:$A$841,0)),"")="N.A","",(IFERROR(INDEX('Both teabags AfterWet'!$C$3:$C$841,MATCH(H418,'Both teabags AfterWet'!$A$3:$A$841,0)),"")))</f>
        <v>0.878</v>
      </c>
      <c r="Q418" s="195">
        <f>IFERROR(INDEX('Both teabags AfterWet'!$C$3:$C$841,MATCH(I418,'Both teabags AfterWet'!$A$3:$A$841,0)),"")</f>
        <v>1.5760000000000001</v>
      </c>
      <c r="R418" s="195">
        <f t="shared" si="48"/>
        <v>0.72740000000000005</v>
      </c>
      <c r="S418" s="195">
        <f t="shared" si="48"/>
        <v>1.4254</v>
      </c>
      <c r="T418" s="195">
        <f t="shared" si="49"/>
        <v>0.56604223839637269</v>
      </c>
      <c r="U418" s="195">
        <f t="shared" si="50"/>
        <v>0.37108707315296646</v>
      </c>
      <c r="V418" s="195">
        <f t="shared" si="51"/>
        <v>0.72091847056443459</v>
      </c>
      <c r="W418">
        <f t="shared" si="46"/>
        <v>54</v>
      </c>
      <c r="X418" s="195">
        <f t="shared" si="52"/>
        <v>0.32774080950549556</v>
      </c>
      <c r="Y418" s="195">
        <f t="shared" si="53"/>
        <v>2.5825701862298347E-2</v>
      </c>
      <c r="Z418" s="255" t="str">
        <f>IF(ISNUMBER(SEARCH("C",'WetLitterbags placem_collection'!W345)),"YES","NO")</f>
        <v>NO</v>
      </c>
      <c r="AA418" s="255" t="str">
        <f>IF(ISNUMBER(SEARCH("H", 'WetLitterbags placem_collection'!Y125)),"YES","NO")</f>
        <v>NO</v>
      </c>
      <c r="AB418" s="255" t="str">
        <f>IF(ISNUMBER(SEARCH("R", 'WetLitterbags placem_collection'!WY125)),"YES","NO")</f>
        <v>NO</v>
      </c>
      <c r="AC418" s="255" t="str">
        <f>IF(ISNUMBER(SEARCH("C", 'WetLitterbags placem_collection'!VX125)),"YES","NO")</f>
        <v>NO</v>
      </c>
      <c r="AD418" s="255" t="str">
        <f>IF(ISNUMBER(SEARCH("H", 'WetLitterbags placem_collection'!X125)),"YES","NO")</f>
        <v>NO</v>
      </c>
      <c r="AE418" s="255" t="str">
        <f>IF(ISNUMBER(SEARCH("R", 'WetLitterbags placem_collection'!X125)),"YES","NO")</f>
        <v>NO</v>
      </c>
    </row>
    <row r="419" spans="2:31">
      <c r="B419" t="str">
        <f>'Final data_for_R_analysis_Wetse'!A565</f>
        <v>Wet</v>
      </c>
      <c r="C419" s="263">
        <f>'Final data_for_R_analysis_Wetse'!B565</f>
        <v>124</v>
      </c>
      <c r="D419" t="s">
        <v>3845</v>
      </c>
      <c r="E419" t="s">
        <v>25</v>
      </c>
      <c r="F419" s="387">
        <v>4</v>
      </c>
      <c r="G419" s="16">
        <f>'WetLitterbags placem_collection'!E126</f>
        <v>42762</v>
      </c>
      <c r="H419" s="92" t="str">
        <f>'Final data_for_R_analysis_Wetse'!J565</f>
        <v>G682</v>
      </c>
      <c r="I419" t="str">
        <f>'Final data_for_R_analysis_Wetse'!J785</f>
        <v>R471</v>
      </c>
      <c r="J419">
        <f>IFERROR(INDEX('Green_rooibos initial weight'!$C$5:$C$1749,MATCH(H419, 'Green_rooibos initial weight'!$A$5:$A$1749,0)),"")</f>
        <v>2.0230000000000001</v>
      </c>
      <c r="K419">
        <f>IFERROR(INDEX('Green_rooibos initial weight'!$C$5:$C$1749,MATCH(I419, 'Green_rooibos initial weight'!$A$5:$A$1749,0)),"")</f>
        <v>2.238</v>
      </c>
      <c r="L419" s="195">
        <f t="shared" si="47"/>
        <v>1.7732000000000001</v>
      </c>
      <c r="M419" s="195">
        <f>AVERAGE(Ashed_controlls!$K$2:$K$11)</f>
        <v>5.5147656768714146</v>
      </c>
      <c r="N419" s="195">
        <f t="shared" si="45"/>
        <v>1.9882</v>
      </c>
      <c r="O419" s="16">
        <f>IF('WetLitterbags placem_collection'!G126="N.A","",'WetLitterbags placem_collection'!G126)</f>
        <v>42816</v>
      </c>
      <c r="P419" s="195">
        <f>IF(IFERROR(INDEX('Both teabags AfterWet'!$C$3:$C$841,MATCH(H419,'Both teabags AfterWet'!$A$3:$A$841,0)),"")="N.A","",(IFERROR(INDEX('Both teabags AfterWet'!$C$3:$C$841,MATCH(H419,'Both teabags AfterWet'!$A$3:$A$841,0)),"")))</f>
        <v>0.61199999999999999</v>
      </c>
      <c r="Q419" s="195">
        <f>IFERROR(INDEX('Both teabags AfterWet'!$C$3:$C$841,MATCH(I419,'Both teabags AfterWet'!$A$3:$A$841,0)),"")</f>
        <v>1.518</v>
      </c>
      <c r="R419" s="195">
        <f t="shared" si="48"/>
        <v>0.46139999999999998</v>
      </c>
      <c r="S419" s="195">
        <f t="shared" si="48"/>
        <v>1.3673999999999999</v>
      </c>
      <c r="T419" s="195">
        <f t="shared" si="49"/>
        <v>0.7397924655989172</v>
      </c>
      <c r="U419" s="195">
        <f t="shared" si="50"/>
        <v>0.48499458552328067</v>
      </c>
      <c r="V419" s="195">
        <f t="shared" si="51"/>
        <v>0.68775777084800316</v>
      </c>
      <c r="W419">
        <f t="shared" si="46"/>
        <v>54</v>
      </c>
      <c r="X419" s="195">
        <f t="shared" si="52"/>
        <v>0.12138662042883941</v>
      </c>
      <c r="Y419" s="195">
        <f t="shared" si="53"/>
        <v>1.911627081659514E-2</v>
      </c>
      <c r="Z419" s="255" t="str">
        <f>IF(ISNUMBER(SEARCH("C",'WetLitterbags placem_collection'!W346)),"YES","NO")</f>
        <v>NO</v>
      </c>
      <c r="AA419" s="255" t="str">
        <f>IF(ISNUMBER(SEARCH("H", 'WetLitterbags placem_collection'!Y126)),"YES","NO")</f>
        <v>NO</v>
      </c>
      <c r="AB419" s="255" t="str">
        <f>IF(ISNUMBER(SEARCH("R", 'WetLitterbags placem_collection'!WY126)),"YES","NO")</f>
        <v>NO</v>
      </c>
      <c r="AC419" s="255" t="str">
        <f>IF(ISNUMBER(SEARCH("C", 'WetLitterbags placem_collection'!VX126)),"YES","NO")</f>
        <v>NO</v>
      </c>
      <c r="AD419" s="255" t="str">
        <f>IF(ISNUMBER(SEARCH("H", 'WetLitterbags placem_collection'!X126)),"YES","NO")</f>
        <v>NO</v>
      </c>
      <c r="AE419" s="255" t="str">
        <f>IF(ISNUMBER(SEARCH("R", 'WetLitterbags placem_collection'!X126)),"YES","NO")</f>
        <v>NO</v>
      </c>
    </row>
    <row r="420" spans="2:31">
      <c r="B420" t="str">
        <f>'Final data_for_R_analysis_Wetse'!A566</f>
        <v>Wet</v>
      </c>
      <c r="C420" s="263">
        <f>'Final data_for_R_analysis_Wetse'!B566</f>
        <v>125</v>
      </c>
      <c r="D420" t="s">
        <v>3845</v>
      </c>
      <c r="E420" t="s">
        <v>25</v>
      </c>
      <c r="F420" s="387">
        <v>5</v>
      </c>
      <c r="G420" s="16">
        <f>'WetLitterbags placem_collection'!E127</f>
        <v>42762</v>
      </c>
      <c r="H420" s="92" t="str">
        <f>'Final data_for_R_analysis_Wetse'!J566</f>
        <v>G740</v>
      </c>
      <c r="I420" t="str">
        <f>'Final data_for_R_analysis_Wetse'!J786</f>
        <v>R486</v>
      </c>
      <c r="J420">
        <f>IFERROR(INDEX('Green_rooibos initial weight'!$C$5:$C$1749,MATCH(H420, 'Green_rooibos initial weight'!$A$5:$A$1749,0)),"")</f>
        <v>1.915</v>
      </c>
      <c r="K420">
        <f>IFERROR(INDEX('Green_rooibos initial weight'!$C$5:$C$1749,MATCH(I420, 'Green_rooibos initial weight'!$A$5:$A$1749,0)),"")</f>
        <v>2.218</v>
      </c>
      <c r="L420" s="195">
        <f t="shared" si="47"/>
        <v>1.6652</v>
      </c>
      <c r="M420" s="195">
        <f>AVERAGE(Ashed_controlls!$K$2:$K$11)</f>
        <v>5.5147656768714146</v>
      </c>
      <c r="N420" s="195">
        <f t="shared" si="45"/>
        <v>1.9681999999999999</v>
      </c>
      <c r="O420" s="16">
        <f>IF('WetLitterbags placem_collection'!G127="N.A","",'WetLitterbags placem_collection'!G127)</f>
        <v>42816</v>
      </c>
      <c r="P420" s="195">
        <f>IF(IFERROR(INDEX('Both teabags AfterWet'!$C$3:$C$841,MATCH(H420,'Both teabags AfterWet'!$A$3:$A$841,0)),"")="N.A","",(IFERROR(INDEX('Both teabags AfterWet'!$C$3:$C$841,MATCH(H420,'Both teabags AfterWet'!$A$3:$A$841,0)),"")))</f>
        <v>0.60099999999999998</v>
      </c>
      <c r="Q420" s="195" t="str">
        <f>IFERROR(INDEX('Both teabags AfterWet'!$C$3:$C$841,MATCH(I420,'Both teabags AfterWet'!$A$3:$A$841,0)),"")</f>
        <v/>
      </c>
      <c r="R420" s="195">
        <f t="shared" si="48"/>
        <v>0.45039999999999997</v>
      </c>
      <c r="S420" s="195" t="str">
        <f t="shared" si="48"/>
        <v/>
      </c>
      <c r="T420" s="195">
        <f t="shared" si="49"/>
        <v>0.72952197934182084</v>
      </c>
      <c r="U420" s="195">
        <f t="shared" si="50"/>
        <v>0.47826144013858096</v>
      </c>
      <c r="V420" s="195" t="str">
        <f t="shared" si="51"/>
        <v/>
      </c>
      <c r="W420">
        <f t="shared" si="46"/>
        <v>54</v>
      </c>
      <c r="X420" s="195">
        <f t="shared" si="52"/>
        <v>0.13358434757503457</v>
      </c>
      <c r="Y420" s="195" t="str">
        <f t="shared" si="53"/>
        <v/>
      </c>
      <c r="Z420" s="255" t="str">
        <f>IF(ISNUMBER(SEARCH("C",'WetLitterbags placem_collection'!W347)),"YES","NO")</f>
        <v>NO</v>
      </c>
      <c r="AA420" s="255" t="str">
        <f>IF(ISNUMBER(SEARCH("H", 'WetLitterbags placem_collection'!Y127)),"YES","NO")</f>
        <v>NO</v>
      </c>
      <c r="AB420" s="255" t="str">
        <f>IF(ISNUMBER(SEARCH("R", 'WetLitterbags placem_collection'!WY127)),"YES","NO")</f>
        <v>NO</v>
      </c>
      <c r="AC420" s="255" t="str">
        <f>IF(ISNUMBER(SEARCH("C", 'WetLitterbags placem_collection'!VX127)),"YES","NO")</f>
        <v>NO</v>
      </c>
      <c r="AD420" s="255" t="str">
        <f>IF(ISNUMBER(SEARCH("H", 'WetLitterbags placem_collection'!X127)),"YES","NO")</f>
        <v>NO</v>
      </c>
      <c r="AE420" s="255" t="str">
        <f>IF(ISNUMBER(SEARCH("R", 'WetLitterbags placem_collection'!X127)),"YES","NO")</f>
        <v>YES</v>
      </c>
    </row>
    <row r="421" spans="2:31">
      <c r="B421" t="str">
        <f>'Final data_for_R_analysis_Wetse'!A567</f>
        <v>Wet</v>
      </c>
      <c r="C421" s="263">
        <f>'Final data_for_R_analysis_Wetse'!B567</f>
        <v>126</v>
      </c>
      <c r="D421" t="s">
        <v>3845</v>
      </c>
      <c r="E421" t="s">
        <v>25</v>
      </c>
      <c r="F421" s="387">
        <v>6</v>
      </c>
      <c r="G421" s="16">
        <f>'WetLitterbags placem_collection'!E128</f>
        <v>42762</v>
      </c>
      <c r="H421" s="92" t="str">
        <f>'Final data_for_R_analysis_Wetse'!J567</f>
        <v>G841</v>
      </c>
      <c r="I421" t="str">
        <f>'Final data_for_R_analysis_Wetse'!J787</f>
        <v>R55</v>
      </c>
      <c r="J421">
        <f>IFERROR(INDEX('Green_rooibos initial weight'!$C$5:$C$1749,MATCH(H421, 'Green_rooibos initial weight'!$A$5:$A$1749,0)),"")</f>
        <v>1.96</v>
      </c>
      <c r="K421">
        <f>IFERROR(INDEX('Green_rooibos initial weight'!$C$5:$C$1749,MATCH(I421, 'Green_rooibos initial weight'!$A$5:$A$1749,0)),"")</f>
        <v>2.2010000000000001</v>
      </c>
      <c r="L421" s="195">
        <f t="shared" si="47"/>
        <v>1.7101999999999999</v>
      </c>
      <c r="M421" s="195">
        <f>AVERAGE(Ashed_controlls!$K$2:$K$11)</f>
        <v>5.5147656768714146</v>
      </c>
      <c r="N421" s="195">
        <f t="shared" si="45"/>
        <v>1.9512</v>
      </c>
      <c r="O421" s="16">
        <f>IF('WetLitterbags placem_collection'!G128="N.A","",'WetLitterbags placem_collection'!G128)</f>
        <v>42816</v>
      </c>
      <c r="P421" s="195">
        <f>IF(IFERROR(INDEX('Both teabags AfterWet'!$C$3:$C$841,MATCH(H421,'Both teabags AfterWet'!$A$3:$A$841,0)),"")="N.A","",(IFERROR(INDEX('Both teabags AfterWet'!$C$3:$C$841,MATCH(H421,'Both teabags AfterWet'!$A$3:$A$841,0)),"")))</f>
        <v>0.58499999999999996</v>
      </c>
      <c r="Q421" s="195">
        <f>IFERROR(INDEX('Both teabags AfterWet'!$C$3:$C$841,MATCH(I421,'Both teabags AfterWet'!$A$3:$A$841,0)),"")</f>
        <v>1.4419999999999999</v>
      </c>
      <c r="R421" s="195">
        <f t="shared" si="48"/>
        <v>0.43439999999999995</v>
      </c>
      <c r="S421" s="195">
        <f t="shared" si="48"/>
        <v>1.2913999999999999</v>
      </c>
      <c r="T421" s="195">
        <f t="shared" si="49"/>
        <v>0.74599462051222076</v>
      </c>
      <c r="U421" s="195">
        <f t="shared" si="50"/>
        <v>0.48906060632155096</v>
      </c>
      <c r="V421" s="195">
        <f t="shared" si="51"/>
        <v>0.66184911849118488</v>
      </c>
      <c r="W421">
        <f t="shared" si="46"/>
        <v>54</v>
      </c>
      <c r="X421" s="195">
        <f t="shared" si="52"/>
        <v>0.11402064072182805</v>
      </c>
      <c r="Y421" s="195">
        <f t="shared" si="53"/>
        <v>2.1774159481355325E-2</v>
      </c>
      <c r="Z421" s="255" t="str">
        <f>IF(ISNUMBER(SEARCH("C",'WetLitterbags placem_collection'!W348)),"YES","NO")</f>
        <v>NO</v>
      </c>
      <c r="AA421" s="255" t="str">
        <f>IF(ISNUMBER(SEARCH("H", 'WetLitterbags placem_collection'!Y128)),"YES","NO")</f>
        <v>NO</v>
      </c>
      <c r="AB421" s="255" t="str">
        <f>IF(ISNUMBER(SEARCH("R", 'WetLitterbags placem_collection'!WY128)),"YES","NO")</f>
        <v>NO</v>
      </c>
      <c r="AC421" s="255" t="str">
        <f>IF(ISNUMBER(SEARCH("C", 'WetLitterbags placem_collection'!VX128)),"YES","NO")</f>
        <v>NO</v>
      </c>
      <c r="AD421" s="255" t="str">
        <f>IF(ISNUMBER(SEARCH("H", 'WetLitterbags placem_collection'!X128)),"YES","NO")</f>
        <v>NO</v>
      </c>
      <c r="AE421" s="255" t="str">
        <f>IF(ISNUMBER(SEARCH("R", 'WetLitterbags placem_collection'!X128)),"YES","NO")</f>
        <v>YES</v>
      </c>
    </row>
    <row r="422" spans="2:31">
      <c r="B422" t="str">
        <f>'Final data_for_R_analysis_Wetse'!A568</f>
        <v>Wet</v>
      </c>
      <c r="C422" s="263">
        <f>'Final data_for_R_analysis_Wetse'!B568</f>
        <v>127</v>
      </c>
      <c r="D422" t="s">
        <v>3845</v>
      </c>
      <c r="E422" t="s">
        <v>25</v>
      </c>
      <c r="F422" s="387">
        <v>7</v>
      </c>
      <c r="G422" s="16">
        <f>'WetLitterbags placem_collection'!E129</f>
        <v>42762</v>
      </c>
      <c r="H422" s="92" t="str">
        <f>'Final data_for_R_analysis_Wetse'!J568</f>
        <v>G687</v>
      </c>
      <c r="I422" t="str">
        <f>'Final data_for_R_analysis_Wetse'!J788</f>
        <v>R424</v>
      </c>
      <c r="J422">
        <f>IFERROR(INDEX('Green_rooibos initial weight'!$C$5:$C$1749,MATCH(H422, 'Green_rooibos initial weight'!$A$5:$A$1749,0)),"")</f>
        <v>2.0649999999999999</v>
      </c>
      <c r="K422">
        <f>IFERROR(INDEX('Green_rooibos initial weight'!$C$5:$C$1749,MATCH(I422, 'Green_rooibos initial weight'!$A$5:$A$1749,0)),"")</f>
        <v>2.214</v>
      </c>
      <c r="L422" s="195">
        <f t="shared" si="47"/>
        <v>1.8151999999999999</v>
      </c>
      <c r="M422" s="195">
        <f>AVERAGE(Ashed_controlls!$K$2:$K$11)</f>
        <v>5.5147656768714146</v>
      </c>
      <c r="N422" s="195">
        <f t="shared" si="45"/>
        <v>1.9641999999999999</v>
      </c>
      <c r="O422" s="16">
        <f>IF('WetLitterbags placem_collection'!G129="N.A","",'WetLitterbags placem_collection'!G129)</f>
        <v>42816</v>
      </c>
      <c r="P422" s="195">
        <f>IF(IFERROR(INDEX('Both teabags AfterWet'!$C$3:$C$841,MATCH(H422,'Both teabags AfterWet'!$A$3:$A$841,0)),"")="N.A","",(IFERROR(INDEX('Both teabags AfterWet'!$C$3:$C$841,MATCH(H422,'Both teabags AfterWet'!$A$3:$A$841,0)),"")))</f>
        <v>0.57699999999999996</v>
      </c>
      <c r="Q422" s="195">
        <f>IFERROR(INDEX('Both teabags AfterWet'!$C$3:$C$841,MATCH(I422,'Both teabags AfterWet'!$A$3:$A$841,0)),"")</f>
        <v>1.552</v>
      </c>
      <c r="R422" s="195">
        <f t="shared" si="48"/>
        <v>0.42639999999999995</v>
      </c>
      <c r="S422" s="195">
        <f t="shared" si="48"/>
        <v>1.4014</v>
      </c>
      <c r="T422" s="195">
        <f t="shared" si="49"/>
        <v>0.76509475539885408</v>
      </c>
      <c r="U422" s="195">
        <f t="shared" si="50"/>
        <v>0.50158230995269293</v>
      </c>
      <c r="V422" s="195">
        <f t="shared" si="51"/>
        <v>0.71347113328581613</v>
      </c>
      <c r="W422">
        <f t="shared" si="46"/>
        <v>54</v>
      </c>
      <c r="X422" s="195">
        <f t="shared" si="52"/>
        <v>9.1336395013237426E-2</v>
      </c>
      <c r="Y422" s="195">
        <f t="shared" si="53"/>
        <v>1.5682984278083862E-2</v>
      </c>
      <c r="Z422" s="255" t="str">
        <f>IF(ISNUMBER(SEARCH("C",'WetLitterbags placem_collection'!W349)),"YES","NO")</f>
        <v>NO</v>
      </c>
      <c r="AA422" s="255" t="str">
        <f>IF(ISNUMBER(SEARCH("H", 'WetLitterbags placem_collection'!Y129)),"YES","NO")</f>
        <v>NO</v>
      </c>
      <c r="AB422" s="255" t="str">
        <f>IF(ISNUMBER(SEARCH("R", 'WetLitterbags placem_collection'!WY129)),"YES","NO")</f>
        <v>NO</v>
      </c>
      <c r="AC422" s="255" t="str">
        <f>IF(ISNUMBER(SEARCH("C", 'WetLitterbags placem_collection'!VX129)),"YES","NO")</f>
        <v>NO</v>
      </c>
      <c r="AD422" s="255" t="str">
        <f>IF(ISNUMBER(SEARCH("H", 'WetLitterbags placem_collection'!X129)),"YES","NO")</f>
        <v>NO</v>
      </c>
      <c r="AE422" s="255" t="str">
        <f>IF(ISNUMBER(SEARCH("R", 'WetLitterbags placem_collection'!X129)),"YES","NO")</f>
        <v>YES</v>
      </c>
    </row>
    <row r="423" spans="2:31">
      <c r="B423" t="str">
        <f>'Final data_for_R_analysis_Wetse'!A569</f>
        <v>Wet</v>
      </c>
      <c r="C423" s="263">
        <f>'Final data_for_R_analysis_Wetse'!B569</f>
        <v>128</v>
      </c>
      <c r="D423" t="s">
        <v>3845</v>
      </c>
      <c r="E423" t="s">
        <v>25</v>
      </c>
      <c r="F423" s="387">
        <v>8</v>
      </c>
      <c r="G423" s="16">
        <f>'WetLitterbags placem_collection'!E130</f>
        <v>42762</v>
      </c>
      <c r="H423" s="92" t="str">
        <f>'Final data_for_R_analysis_Wetse'!J569</f>
        <v>G833</v>
      </c>
      <c r="I423" t="str">
        <f>'Final data_for_R_analysis_Wetse'!J789</f>
        <v>R418</v>
      </c>
      <c r="J423">
        <f>IFERROR(INDEX('Green_rooibos initial weight'!$C$5:$C$1749,MATCH(H423, 'Green_rooibos initial weight'!$A$5:$A$1749,0)),"")</f>
        <v>1.964</v>
      </c>
      <c r="K423">
        <f>IFERROR(INDEX('Green_rooibos initial weight'!$C$5:$C$1749,MATCH(I423, 'Green_rooibos initial weight'!$A$5:$A$1749,0)),"")</f>
        <v>2.2029999999999998</v>
      </c>
      <c r="L423" s="195">
        <f t="shared" si="47"/>
        <v>1.7141999999999999</v>
      </c>
      <c r="M423" s="195">
        <f>AVERAGE(Ashed_controlls!$K$2:$K$11)</f>
        <v>5.5147656768714146</v>
      </c>
      <c r="N423" s="195">
        <f t="shared" si="45"/>
        <v>1.9531999999999998</v>
      </c>
      <c r="O423" s="16">
        <f>IF('WetLitterbags placem_collection'!G130="N.A","",'WetLitterbags placem_collection'!G130)</f>
        <v>42816</v>
      </c>
      <c r="P423" s="195">
        <f>IF(IFERROR(INDEX('Both teabags AfterWet'!$C$3:$C$841,MATCH(H423,'Both teabags AfterWet'!$A$3:$A$841,0)),"")="N.A","",(IFERROR(INDEX('Both teabags AfterWet'!$C$3:$C$841,MATCH(H423,'Both teabags AfterWet'!$A$3:$A$841,0)),"")))</f>
        <v>0.57199999999999995</v>
      </c>
      <c r="Q423" s="195">
        <f>IFERROR(INDEX('Both teabags AfterWet'!$C$3:$C$841,MATCH(I423,'Both teabags AfterWet'!$A$3:$A$841,0)),"")</f>
        <v>1.4119999999999999</v>
      </c>
      <c r="R423" s="195">
        <f t="shared" si="48"/>
        <v>0.42139999999999994</v>
      </c>
      <c r="S423" s="195">
        <f t="shared" si="48"/>
        <v>1.2613999999999999</v>
      </c>
      <c r="T423" s="195">
        <f t="shared" si="49"/>
        <v>0.75417104188542761</v>
      </c>
      <c r="U423" s="195">
        <f t="shared" si="50"/>
        <v>0.4944209205709692</v>
      </c>
      <c r="V423" s="195">
        <f t="shared" si="51"/>
        <v>0.64581200081916856</v>
      </c>
      <c r="W423">
        <f t="shared" si="46"/>
        <v>54</v>
      </c>
      <c r="X423" s="195">
        <f t="shared" si="52"/>
        <v>0.10430992650186743</v>
      </c>
      <c r="Y423" s="195">
        <f t="shared" si="53"/>
        <v>2.3334860295377305E-2</v>
      </c>
      <c r="Z423" s="255" t="str">
        <f>IF(ISNUMBER(SEARCH("C",'WetLitterbags placem_collection'!W350)),"YES","NO")</f>
        <v>YES</v>
      </c>
      <c r="AA423" s="255" t="str">
        <f>IF(ISNUMBER(SEARCH("H", 'WetLitterbags placem_collection'!Y130)),"YES","NO")</f>
        <v>NO</v>
      </c>
      <c r="AB423" s="255" t="str">
        <f>IF(ISNUMBER(SEARCH("R", 'WetLitterbags placem_collection'!WY130)),"YES","NO")</f>
        <v>NO</v>
      </c>
      <c r="AC423" s="255" t="str">
        <f>IF(ISNUMBER(SEARCH("C", 'WetLitterbags placem_collection'!VX130)),"YES","NO")</f>
        <v>NO</v>
      </c>
      <c r="AD423" s="255" t="str">
        <f>IF(ISNUMBER(SEARCH("H", 'WetLitterbags placem_collection'!X130)),"YES","NO")</f>
        <v>NO</v>
      </c>
      <c r="AE423" s="255" t="str">
        <f>IF(ISNUMBER(SEARCH("R", 'WetLitterbags placem_collection'!X130)),"YES","NO")</f>
        <v>YES</v>
      </c>
    </row>
    <row r="424" spans="2:31">
      <c r="B424" t="str">
        <f>'Final data_for_R_analysis_Wetse'!A570</f>
        <v>Wet</v>
      </c>
      <c r="C424" s="263">
        <f>'Final data_for_R_analysis_Wetse'!B570</f>
        <v>129</v>
      </c>
      <c r="D424" t="s">
        <v>3846</v>
      </c>
      <c r="E424" t="s">
        <v>25</v>
      </c>
      <c r="F424" s="386">
        <v>1</v>
      </c>
      <c r="G424" s="16">
        <f>'WetLitterbags placem_collection'!E131</f>
        <v>42762</v>
      </c>
      <c r="H424" s="92" t="str">
        <f>'Final data_for_R_analysis_Wetse'!J570</f>
        <v>G888</v>
      </c>
      <c r="I424" t="str">
        <f>'Final data_for_R_analysis_Wetse'!J790</f>
        <v>R520</v>
      </c>
      <c r="J424">
        <f>IFERROR(INDEX('Green_rooibos initial weight'!$C$5:$C$1749,MATCH(H424, 'Green_rooibos initial weight'!$A$5:$A$1749,0)),"")</f>
        <v>2.089</v>
      </c>
      <c r="K424">
        <f>IFERROR(INDEX('Green_rooibos initial weight'!$C$5:$C$1749,MATCH(I424, 'Green_rooibos initial weight'!$A$5:$A$1749,0)),"")</f>
        <v>2.2210000000000001</v>
      </c>
      <c r="L424" s="195">
        <f t="shared" si="47"/>
        <v>1.8391999999999999</v>
      </c>
      <c r="M424" s="195">
        <f>AVERAGE(Ashed_controlls!$K$2:$K$11)</f>
        <v>5.5147656768714146</v>
      </c>
      <c r="N424" s="195">
        <f t="shared" si="45"/>
        <v>1.9712000000000001</v>
      </c>
      <c r="O424" s="16">
        <f>IF('WetLitterbags placem_collection'!G131="N.A","",'WetLitterbags placem_collection'!G131)</f>
        <v>42816</v>
      </c>
      <c r="P424" s="195">
        <f>IF(IFERROR(INDEX('Both teabags AfterWet'!$C$3:$C$841,MATCH(H424,'Both teabags AfterWet'!$A$3:$A$841,0)),"")="N.A","",(IFERROR(INDEX('Both teabags AfterWet'!$C$3:$C$841,MATCH(H424,'Both teabags AfterWet'!$A$3:$A$841,0)),"")))</f>
        <v>0.59440000000000004</v>
      </c>
      <c r="Q424" s="195">
        <f>IFERROR(INDEX('Both teabags AfterWet'!$C$3:$C$841,MATCH(I424,'Both teabags AfterWet'!$A$3:$A$841,0)),"")</f>
        <v>1.5878000000000001</v>
      </c>
      <c r="R424" s="195">
        <f t="shared" si="48"/>
        <v>0.44380000000000003</v>
      </c>
      <c r="S424" s="195">
        <f t="shared" si="48"/>
        <v>1.4372</v>
      </c>
      <c r="T424" s="195">
        <f t="shared" si="49"/>
        <v>0.75869943453675504</v>
      </c>
      <c r="U424" s="195">
        <f t="shared" si="50"/>
        <v>0.49738965304547367</v>
      </c>
      <c r="V424" s="195">
        <f t="shared" si="51"/>
        <v>0.72909902597402598</v>
      </c>
      <c r="W424">
        <f t="shared" si="46"/>
        <v>54</v>
      </c>
      <c r="X424" s="195">
        <f t="shared" si="52"/>
        <v>9.8931787961098472E-2</v>
      </c>
      <c r="Y424" s="195">
        <f t="shared" si="53"/>
        <v>1.4568125326907419E-2</v>
      </c>
      <c r="Z424" s="255" t="str">
        <f>IF(ISNUMBER(SEARCH("C",'WetLitterbags placem_collection'!W351)),"YES","NO")</f>
        <v>NO</v>
      </c>
      <c r="AA424" s="255" t="str">
        <f>IF(ISNUMBER(SEARCH("H", 'WetLitterbags placem_collection'!Y131)),"YES","NO")</f>
        <v>NO</v>
      </c>
      <c r="AB424" s="255" t="str">
        <f>IF(ISNUMBER(SEARCH("R", 'WetLitterbags placem_collection'!WY131)),"YES","NO")</f>
        <v>NO</v>
      </c>
      <c r="AC424" s="255" t="str">
        <f>IF(ISNUMBER(SEARCH("C", 'WetLitterbags placem_collection'!VX131)),"YES","NO")</f>
        <v>NO</v>
      </c>
      <c r="AD424" s="255" t="str">
        <f>IF(ISNUMBER(SEARCH("H", 'WetLitterbags placem_collection'!X131)),"YES","NO")</f>
        <v>NO</v>
      </c>
      <c r="AE424" s="255" t="str">
        <f>IF(ISNUMBER(SEARCH("R", 'WetLitterbags placem_collection'!X131)),"YES","NO")</f>
        <v>YES</v>
      </c>
    </row>
    <row r="425" spans="2:31">
      <c r="B425" t="str">
        <f>'Final data_for_R_analysis_Wetse'!A571</f>
        <v>Wet</v>
      </c>
      <c r="C425" s="263">
        <f>'Final data_for_R_analysis_Wetse'!B571</f>
        <v>130</v>
      </c>
      <c r="D425" t="s">
        <v>3846</v>
      </c>
      <c r="E425" t="s">
        <v>25</v>
      </c>
      <c r="F425" s="386">
        <v>2</v>
      </c>
      <c r="G425" s="16">
        <f>'WetLitterbags placem_collection'!E132</f>
        <v>42762</v>
      </c>
      <c r="H425" s="92" t="str">
        <f>'Final data_for_R_analysis_Wetse'!J571</f>
        <v>G708</v>
      </c>
      <c r="I425" t="str">
        <f>'Final data_for_R_analysis_Wetse'!J791</f>
        <v>R433</v>
      </c>
      <c r="J425">
        <f>IFERROR(INDEX('Green_rooibos initial weight'!$C$5:$C$1749,MATCH(H425, 'Green_rooibos initial weight'!$A$5:$A$1749,0)),"")</f>
        <v>2.0030000000000001</v>
      </c>
      <c r="K425">
        <f>IFERROR(INDEX('Green_rooibos initial weight'!$C$5:$C$1749,MATCH(I425, 'Green_rooibos initial weight'!$A$5:$A$1749,0)),"")</f>
        <v>2.0750000000000002</v>
      </c>
      <c r="L425" s="195">
        <f t="shared" si="47"/>
        <v>1.7532000000000001</v>
      </c>
      <c r="M425" s="195">
        <f>AVERAGE(Ashed_controlls!$K$2:$K$11)</f>
        <v>5.5147656768714146</v>
      </c>
      <c r="N425" s="195">
        <f t="shared" si="45"/>
        <v>1.8252000000000002</v>
      </c>
      <c r="O425" s="16">
        <f>IF('WetLitterbags placem_collection'!G132="N.A","",'WetLitterbags placem_collection'!G132)</f>
        <v>42816</v>
      </c>
      <c r="P425" s="195">
        <f>IF(IFERROR(INDEX('Both teabags AfterWet'!$C$3:$C$841,MATCH(H425,'Both teabags AfterWet'!$A$3:$A$841,0)),"")="N.A","",(IFERROR(INDEX('Both teabags AfterWet'!$C$3:$C$841,MATCH(H425,'Both teabags AfterWet'!$A$3:$A$841,0)),"")))</f>
        <v>0.56599999999999995</v>
      </c>
      <c r="Q425" s="195">
        <f>IFERROR(INDEX('Both teabags AfterWet'!$C$3:$C$841,MATCH(I425,'Both teabags AfterWet'!$A$3:$A$841,0)),"")</f>
        <v>1.5069999999999999</v>
      </c>
      <c r="R425" s="195">
        <f t="shared" si="48"/>
        <v>0.41539999999999994</v>
      </c>
      <c r="S425" s="195">
        <f t="shared" si="48"/>
        <v>1.3563999999999998</v>
      </c>
      <c r="T425" s="195">
        <f t="shared" si="49"/>
        <v>0.76306182979694281</v>
      </c>
      <c r="U425" s="195">
        <f t="shared" si="50"/>
        <v>0.50024956062697445</v>
      </c>
      <c r="V425" s="195">
        <f t="shared" si="51"/>
        <v>0.74315143545912765</v>
      </c>
      <c r="W425">
        <f t="shared" si="46"/>
        <v>54</v>
      </c>
      <c r="X425" s="195">
        <f t="shared" si="52"/>
        <v>9.3750795965626077E-2</v>
      </c>
      <c r="Y425" s="195">
        <f t="shared" si="53"/>
        <v>1.3340681893114411E-2</v>
      </c>
      <c r="Z425" s="255" t="str">
        <f>IF(ISNUMBER(SEARCH("C",'WetLitterbags placem_collection'!W352)),"YES","NO")</f>
        <v>NO</v>
      </c>
      <c r="AA425" s="255" t="str">
        <f>IF(ISNUMBER(SEARCH("H", 'WetLitterbags placem_collection'!Y132)),"YES","NO")</f>
        <v>NO</v>
      </c>
      <c r="AB425" s="255" t="str">
        <f>IF(ISNUMBER(SEARCH("R", 'WetLitterbags placem_collection'!WY132)),"YES","NO")</f>
        <v>NO</v>
      </c>
      <c r="AC425" s="255" t="str">
        <f>IF(ISNUMBER(SEARCH("C", 'WetLitterbags placem_collection'!VX132)),"YES","NO")</f>
        <v>NO</v>
      </c>
      <c r="AD425" s="255" t="str">
        <f>IF(ISNUMBER(SEARCH("H", 'WetLitterbags placem_collection'!X132)),"YES","NO")</f>
        <v>NO</v>
      </c>
      <c r="AE425" s="255" t="str">
        <f>IF(ISNUMBER(SEARCH("R", 'WetLitterbags placem_collection'!X132)),"YES","NO")</f>
        <v>NO</v>
      </c>
    </row>
    <row r="426" spans="2:31">
      <c r="B426" t="str">
        <f>'Final data_for_R_analysis_Wetse'!A572</f>
        <v>Wet</v>
      </c>
      <c r="C426" s="263">
        <f>'Final data_for_R_analysis_Wetse'!B572</f>
        <v>131</v>
      </c>
      <c r="D426" t="s">
        <v>3846</v>
      </c>
      <c r="E426" t="s">
        <v>25</v>
      </c>
      <c r="F426" s="386">
        <v>3</v>
      </c>
      <c r="G426" s="16">
        <f>'WetLitterbags placem_collection'!E133</f>
        <v>42762</v>
      </c>
      <c r="H426" s="92" t="str">
        <f>'Final data_for_R_analysis_Wetse'!J572</f>
        <v>G768</v>
      </c>
      <c r="I426" t="str">
        <f>'Final data_for_R_analysis_Wetse'!J792</f>
        <v>R592</v>
      </c>
      <c r="J426">
        <f>IFERROR(INDEX('Green_rooibos initial weight'!$C$5:$C$1749,MATCH(H426, 'Green_rooibos initial weight'!$A$5:$A$1749,0)),"")</f>
        <v>2.0089999999999999</v>
      </c>
      <c r="K426">
        <f>IFERROR(INDEX('Green_rooibos initial weight'!$C$5:$C$1749,MATCH(I426, 'Green_rooibos initial weight'!$A$5:$A$1749,0)),"")</f>
        <v>2.2549999999999999</v>
      </c>
      <c r="L426" s="195">
        <f t="shared" si="47"/>
        <v>1.7591999999999999</v>
      </c>
      <c r="M426" s="195">
        <f>AVERAGE(Ashed_controlls!$K$2:$K$11)</f>
        <v>5.5147656768714146</v>
      </c>
      <c r="N426" s="195">
        <f t="shared" si="45"/>
        <v>2.0051999999999999</v>
      </c>
      <c r="O426" s="16">
        <f>IF('WetLitterbags placem_collection'!G133="N.A","",'WetLitterbags placem_collection'!G133)</f>
        <v>42816</v>
      </c>
      <c r="P426" s="195">
        <f>IF(IFERROR(INDEX('Both teabags AfterWet'!$C$3:$C$841,MATCH(H426,'Both teabags AfterWet'!$A$3:$A$841,0)),"")="N.A","",(IFERROR(INDEX('Both teabags AfterWet'!$C$3:$C$841,MATCH(H426,'Both teabags AfterWet'!$A$3:$A$841,0)),"")))</f>
        <v>0.62819999999999998</v>
      </c>
      <c r="Q426" s="195">
        <f>IFERROR(INDEX('Both teabags AfterWet'!$C$3:$C$841,MATCH(I426,'Both teabags AfterWet'!$A$3:$A$841,0)),"")</f>
        <v>1.6073999999999999</v>
      </c>
      <c r="R426" s="195">
        <f t="shared" si="48"/>
        <v>0.47759999999999997</v>
      </c>
      <c r="S426" s="195">
        <f t="shared" si="48"/>
        <v>1.4567999999999999</v>
      </c>
      <c r="T426" s="195">
        <f t="shared" si="49"/>
        <v>0.72851296043656211</v>
      </c>
      <c r="U426" s="195">
        <f t="shared" si="50"/>
        <v>0.47759994555936147</v>
      </c>
      <c r="V426" s="195">
        <f t="shared" si="51"/>
        <v>0.72651107121484138</v>
      </c>
      <c r="W426">
        <f t="shared" si="46"/>
        <v>54</v>
      </c>
      <c r="X426" s="195">
        <f t="shared" si="52"/>
        <v>0.13478270731999742</v>
      </c>
      <c r="Y426" s="195">
        <f t="shared" si="53"/>
        <v>1.5742766711032228E-2</v>
      </c>
      <c r="Z426" s="255" t="str">
        <f>IF(ISNUMBER(SEARCH("C",'WetLitterbags placem_collection'!W353)),"YES","NO")</f>
        <v>NO</v>
      </c>
      <c r="AA426" s="255" t="str">
        <f>IF(ISNUMBER(SEARCH("H", 'WetLitterbags placem_collection'!Y133)),"YES","NO")</f>
        <v>NO</v>
      </c>
      <c r="AB426" s="255" t="str">
        <f>IF(ISNUMBER(SEARCH("R", 'WetLitterbags placem_collection'!WY133)),"YES","NO")</f>
        <v>NO</v>
      </c>
      <c r="AC426" s="255" t="str">
        <f>IF(ISNUMBER(SEARCH("C", 'WetLitterbags placem_collection'!VX133)),"YES","NO")</f>
        <v>NO</v>
      </c>
      <c r="AD426" s="255" t="str">
        <f>IF(ISNUMBER(SEARCH("H", 'WetLitterbags placem_collection'!X133)),"YES","NO")</f>
        <v>NO</v>
      </c>
      <c r="AE426" s="255" t="str">
        <f>IF(ISNUMBER(SEARCH("R", 'WetLitterbags placem_collection'!X133)),"YES","NO")</f>
        <v>NO</v>
      </c>
    </row>
    <row r="427" spans="2:31">
      <c r="B427" t="str">
        <f>'Final data_for_R_analysis_Wetse'!A573</f>
        <v>Wet</v>
      </c>
      <c r="C427" s="263">
        <f>'Final data_for_R_analysis_Wetse'!B573</f>
        <v>132</v>
      </c>
      <c r="D427" t="s">
        <v>3846</v>
      </c>
      <c r="E427" t="s">
        <v>25</v>
      </c>
      <c r="F427" s="387">
        <v>4</v>
      </c>
      <c r="G427" s="16">
        <f>'WetLitterbags placem_collection'!E134</f>
        <v>42762</v>
      </c>
      <c r="H427" s="92" t="str">
        <f>'Final data_for_R_analysis_Wetse'!J573</f>
        <v>G779</v>
      </c>
      <c r="I427" t="str">
        <f>'Final data_for_R_analysis_Wetse'!J793</f>
        <v>R477</v>
      </c>
      <c r="J427">
        <f>IFERROR(INDEX('Green_rooibos initial weight'!$C$5:$C$1749,MATCH(H427, 'Green_rooibos initial weight'!$A$5:$A$1749,0)),"")</f>
        <v>2.0110000000000001</v>
      </c>
      <c r="K427">
        <f>IFERROR(INDEX('Green_rooibos initial weight'!$C$5:$C$1749,MATCH(I427, 'Green_rooibos initial weight'!$A$5:$A$1749,0)),"")</f>
        <v>2.169</v>
      </c>
      <c r="L427" s="195">
        <f t="shared" si="47"/>
        <v>1.7612000000000001</v>
      </c>
      <c r="M427" s="195">
        <f>AVERAGE(Ashed_controlls!$K$2:$K$11)</f>
        <v>5.5147656768714146</v>
      </c>
      <c r="N427" s="195">
        <f t="shared" si="45"/>
        <v>1.9192</v>
      </c>
      <c r="O427" s="16">
        <f>IF('WetLitterbags placem_collection'!G134="N.A","",'WetLitterbags placem_collection'!G134)</f>
        <v>42816</v>
      </c>
      <c r="P427" s="195">
        <f>IF(IFERROR(INDEX('Both teabags AfterWet'!$C$3:$C$841,MATCH(H427,'Both teabags AfterWet'!$A$3:$A$841,0)),"")="N.A","",(IFERROR(INDEX('Both teabags AfterWet'!$C$3:$C$841,MATCH(H427,'Both teabags AfterWet'!$A$3:$A$841,0)),"")))</f>
        <v>0.63490000000000002</v>
      </c>
      <c r="Q427" s="195">
        <f>IFERROR(INDEX('Both teabags AfterWet'!$C$3:$C$841,MATCH(I427,'Both teabags AfterWet'!$A$3:$A$841,0)),"")</f>
        <v>1.573</v>
      </c>
      <c r="R427" s="195">
        <f t="shared" si="48"/>
        <v>0.48430000000000001</v>
      </c>
      <c r="S427" s="195">
        <f t="shared" si="48"/>
        <v>1.4223999999999999</v>
      </c>
      <c r="T427" s="195">
        <f t="shared" si="49"/>
        <v>0.72501703384056326</v>
      </c>
      <c r="U427" s="195">
        <f t="shared" si="50"/>
        <v>0.47530807919238832</v>
      </c>
      <c r="V427" s="195">
        <f t="shared" si="51"/>
        <v>0.7411421425593997</v>
      </c>
      <c r="W427">
        <f t="shared" si="46"/>
        <v>54</v>
      </c>
      <c r="X427" s="195">
        <f t="shared" si="52"/>
        <v>0.1389346391442241</v>
      </c>
      <c r="Y427" s="195">
        <f t="shared" si="53"/>
        <v>1.4566714503410979E-2</v>
      </c>
      <c r="Z427" s="255" t="str">
        <f>IF(ISNUMBER(SEARCH("C",'WetLitterbags placem_collection'!W354)),"YES","NO")</f>
        <v>NO</v>
      </c>
      <c r="AA427" s="255" t="str">
        <f>IF(ISNUMBER(SEARCH("H", 'WetLitterbags placem_collection'!Y134)),"YES","NO")</f>
        <v>NO</v>
      </c>
      <c r="AB427" s="255" t="str">
        <f>IF(ISNUMBER(SEARCH("R", 'WetLitterbags placem_collection'!WY134)),"YES","NO")</f>
        <v>NO</v>
      </c>
      <c r="AC427" s="255" t="str">
        <f>IF(ISNUMBER(SEARCH("C", 'WetLitterbags placem_collection'!VX134)),"YES","NO")</f>
        <v>NO</v>
      </c>
      <c r="AD427" s="255" t="str">
        <f>IF(ISNUMBER(SEARCH("H", 'WetLitterbags placem_collection'!X134)),"YES","NO")</f>
        <v>NO</v>
      </c>
      <c r="AE427" s="255" t="str">
        <f>IF(ISNUMBER(SEARCH("R", 'WetLitterbags placem_collection'!X134)),"YES","NO")</f>
        <v>NO</v>
      </c>
    </row>
    <row r="428" spans="2:31">
      <c r="B428" t="str">
        <f>'Final data_for_R_analysis_Wetse'!A574</f>
        <v>Wet</v>
      </c>
      <c r="C428" s="263">
        <f>'Final data_for_R_analysis_Wetse'!B574</f>
        <v>133</v>
      </c>
      <c r="D428" t="s">
        <v>3846</v>
      </c>
      <c r="E428" t="s">
        <v>25</v>
      </c>
      <c r="F428" s="387">
        <v>5</v>
      </c>
      <c r="G428" s="16">
        <f>'WetLitterbags placem_collection'!E135</f>
        <v>42762</v>
      </c>
      <c r="H428" s="92" t="str">
        <f>'Final data_for_R_analysis_Wetse'!J574</f>
        <v>G799</v>
      </c>
      <c r="I428" t="str">
        <f>'Final data_for_R_analysis_Wetse'!J794</f>
        <v>R597</v>
      </c>
      <c r="J428">
        <f>IFERROR(INDEX('Green_rooibos initial weight'!$C$5:$C$1749,MATCH(H428, 'Green_rooibos initial weight'!$A$5:$A$1749,0)),"")</f>
        <v>2.093</v>
      </c>
      <c r="K428">
        <f>IFERROR(INDEX('Green_rooibos initial weight'!$C$5:$C$1749,MATCH(I428, 'Green_rooibos initial weight'!$A$5:$A$1749,0)),"")</f>
        <v>2.165</v>
      </c>
      <c r="L428" s="195">
        <f t="shared" si="47"/>
        <v>1.8431999999999999</v>
      </c>
      <c r="M428" s="195">
        <f>AVERAGE(Ashed_controlls!$K$2:$K$11)</f>
        <v>5.5147656768714146</v>
      </c>
      <c r="N428" s="195">
        <f t="shared" si="45"/>
        <v>1.9152</v>
      </c>
      <c r="O428" s="16">
        <f>IF('WetLitterbags placem_collection'!G135="N.A","",'WetLitterbags placem_collection'!G135)</f>
        <v>42816</v>
      </c>
      <c r="P428" s="195">
        <f>IF(IFERROR(INDEX('Both teabags AfterWet'!$C$3:$C$841,MATCH(H428,'Both teabags AfterWet'!$A$3:$A$841,0)),"")="N.A","",(IFERROR(INDEX('Both teabags AfterWet'!$C$3:$C$841,MATCH(H428,'Both teabags AfterWet'!$A$3:$A$841,0)),"")))</f>
        <v>0.63380000000000003</v>
      </c>
      <c r="Q428" s="195">
        <f>IFERROR(INDEX('Both teabags AfterWet'!$C$3:$C$841,MATCH(I428,'Both teabags AfterWet'!$A$3:$A$841,0)),"")</f>
        <v>1.5714999999999999</v>
      </c>
      <c r="R428" s="195">
        <f t="shared" si="48"/>
        <v>0.48320000000000002</v>
      </c>
      <c r="S428" s="195">
        <f t="shared" si="48"/>
        <v>1.4208999999999998</v>
      </c>
      <c r="T428" s="195">
        <f t="shared" si="49"/>
        <v>0.73784722222222221</v>
      </c>
      <c r="U428" s="195">
        <f t="shared" si="50"/>
        <v>0.48371931908155191</v>
      </c>
      <c r="V428" s="195">
        <f t="shared" si="51"/>
        <v>0.7419068504594819</v>
      </c>
      <c r="W428">
        <f t="shared" si="46"/>
        <v>54</v>
      </c>
      <c r="X428" s="195">
        <f t="shared" si="52"/>
        <v>0.12369688572182636</v>
      </c>
      <c r="Y428" s="195">
        <f t="shared" si="53"/>
        <v>1.4122690863154668E-2</v>
      </c>
      <c r="Z428" s="255" t="str">
        <f>IF(ISNUMBER(SEARCH("C",'WetLitterbags placem_collection'!W355)),"YES","NO")</f>
        <v>YES</v>
      </c>
      <c r="AA428" s="255" t="str">
        <f>IF(ISNUMBER(SEARCH("H", 'WetLitterbags placem_collection'!Y135)),"YES","NO")</f>
        <v>NO</v>
      </c>
      <c r="AB428" s="255" t="str">
        <f>IF(ISNUMBER(SEARCH("R", 'WetLitterbags placem_collection'!WY135)),"YES","NO")</f>
        <v>NO</v>
      </c>
      <c r="AC428" s="255" t="str">
        <f>IF(ISNUMBER(SEARCH("C", 'WetLitterbags placem_collection'!VX135)),"YES","NO")</f>
        <v>NO</v>
      </c>
      <c r="AD428" s="255" t="str">
        <f>IF(ISNUMBER(SEARCH("H", 'WetLitterbags placem_collection'!X135)),"YES","NO")</f>
        <v>NO</v>
      </c>
      <c r="AE428" s="255" t="str">
        <f>IF(ISNUMBER(SEARCH("R", 'WetLitterbags placem_collection'!X135)),"YES","NO")</f>
        <v>NO</v>
      </c>
    </row>
    <row r="429" spans="2:31">
      <c r="B429" t="str">
        <f>'Final data_for_R_analysis_Wetse'!A575</f>
        <v>Wet</v>
      </c>
      <c r="C429" s="263">
        <f>'Final data_for_R_analysis_Wetse'!B575</f>
        <v>134</v>
      </c>
      <c r="D429" t="s">
        <v>3846</v>
      </c>
      <c r="E429" t="s">
        <v>25</v>
      </c>
      <c r="F429" s="387">
        <v>6</v>
      </c>
      <c r="G429" s="16">
        <f>'WetLitterbags placem_collection'!E136</f>
        <v>42762</v>
      </c>
      <c r="H429" s="92" t="str">
        <f>'Final data_for_R_analysis_Wetse'!J575</f>
        <v>G820</v>
      </c>
      <c r="I429" t="str">
        <f>'Final data_for_R_analysis_Wetse'!J795</f>
        <v>R467</v>
      </c>
      <c r="J429">
        <f>IFERROR(INDEX('Green_rooibos initial weight'!$C$5:$C$1749,MATCH(H429, 'Green_rooibos initial weight'!$A$5:$A$1749,0)),"")</f>
        <v>1.927</v>
      </c>
      <c r="K429">
        <f>IFERROR(INDEX('Green_rooibos initial weight'!$C$5:$C$1749,MATCH(I429, 'Green_rooibos initial weight'!$A$5:$A$1749,0)),"")</f>
        <v>2.3140000000000001</v>
      </c>
      <c r="L429" s="195">
        <f t="shared" si="47"/>
        <v>1.6772</v>
      </c>
      <c r="M429" s="195">
        <f>AVERAGE(Ashed_controlls!$K$2:$K$11)</f>
        <v>5.5147656768714146</v>
      </c>
      <c r="N429" s="195">
        <f t="shared" si="45"/>
        <v>2.0642</v>
      </c>
      <c r="O429" s="16">
        <f>IF('WetLitterbags placem_collection'!G136="N.A","",'WetLitterbags placem_collection'!G136)</f>
        <v>42816</v>
      </c>
      <c r="P429" s="195">
        <f>IF(IFERROR(INDEX('Both teabags AfterWet'!$C$3:$C$841,MATCH(H429,'Both teabags AfterWet'!$A$3:$A$841,0)),"")="N.A","",(IFERROR(INDEX('Both teabags AfterWet'!$C$3:$C$841,MATCH(H429,'Both teabags AfterWet'!$A$3:$A$841,0)),"")))</f>
        <v>0.53400000000000003</v>
      </c>
      <c r="Q429" s="195">
        <f>IFERROR(INDEX('Both teabags AfterWet'!$C$3:$C$841,MATCH(I429,'Both teabags AfterWet'!$A$3:$A$841,0)),"")</f>
        <v>1.591</v>
      </c>
      <c r="R429" s="195">
        <f t="shared" si="48"/>
        <v>0.38340000000000002</v>
      </c>
      <c r="S429" s="195">
        <f t="shared" si="48"/>
        <v>1.4403999999999999</v>
      </c>
      <c r="T429" s="195">
        <f t="shared" si="49"/>
        <v>0.77140472215597422</v>
      </c>
      <c r="U429" s="195">
        <f t="shared" si="50"/>
        <v>0.50571901024952237</v>
      </c>
      <c r="V429" s="195">
        <f t="shared" si="51"/>
        <v>0.69780060071698469</v>
      </c>
      <c r="W429">
        <f t="shared" si="46"/>
        <v>54</v>
      </c>
      <c r="X429" s="195">
        <f t="shared" si="52"/>
        <v>8.3842372736372628E-2</v>
      </c>
      <c r="Y429" s="195">
        <f t="shared" si="53"/>
        <v>1.6855904272312667E-2</v>
      </c>
      <c r="Z429" s="255" t="str">
        <f>IF(ISNUMBER(SEARCH("C",'WetLitterbags placem_collection'!W356)),"YES","NO")</f>
        <v>NO</v>
      </c>
      <c r="AA429" s="255" t="str">
        <f>IF(ISNUMBER(SEARCH("H", 'WetLitterbags placem_collection'!Y136)),"YES","NO")</f>
        <v>NO</v>
      </c>
      <c r="AB429" s="255" t="str">
        <f>IF(ISNUMBER(SEARCH("R", 'WetLitterbags placem_collection'!WY136)),"YES","NO")</f>
        <v>NO</v>
      </c>
      <c r="AC429" s="255" t="str">
        <f>IF(ISNUMBER(SEARCH("C", 'WetLitterbags placem_collection'!VX136)),"YES","NO")</f>
        <v>NO</v>
      </c>
      <c r="AD429" s="255" t="str">
        <f>IF(ISNUMBER(SEARCH("H", 'WetLitterbags placem_collection'!X136)),"YES","NO")</f>
        <v>NO</v>
      </c>
      <c r="AE429" s="255" t="str">
        <f>IF(ISNUMBER(SEARCH("R", 'WetLitterbags placem_collection'!X136)),"YES","NO")</f>
        <v>NO</v>
      </c>
    </row>
    <row r="430" spans="2:31">
      <c r="B430" t="str">
        <f>'Final data_for_R_analysis_Wetse'!A576</f>
        <v>Wet</v>
      </c>
      <c r="C430" s="263">
        <f>'Final data_for_R_analysis_Wetse'!B576</f>
        <v>135</v>
      </c>
      <c r="D430" t="s">
        <v>3846</v>
      </c>
      <c r="E430" t="s">
        <v>25</v>
      </c>
      <c r="F430" s="387">
        <v>7</v>
      </c>
      <c r="G430" s="16">
        <f>'WetLitterbags placem_collection'!E137</f>
        <v>42762</v>
      </c>
      <c r="H430" s="92" t="str">
        <f>'Final data_for_R_analysis_Wetse'!J576</f>
        <v>G842</v>
      </c>
      <c r="I430" t="str">
        <f>'Final data_for_R_analysis_Wetse'!J796</f>
        <v>R596</v>
      </c>
      <c r="J430">
        <f>IFERROR(INDEX('Green_rooibos initial weight'!$C$5:$C$1749,MATCH(H430, 'Green_rooibos initial weight'!$A$5:$A$1749,0)),"")</f>
        <v>1.9670000000000001</v>
      </c>
      <c r="K430">
        <f>IFERROR(INDEX('Green_rooibos initial weight'!$C$5:$C$1749,MATCH(I430, 'Green_rooibos initial weight'!$A$5:$A$1749,0)),"")</f>
        <v>2.1749999999999998</v>
      </c>
      <c r="L430" s="195">
        <f t="shared" si="47"/>
        <v>1.7172000000000001</v>
      </c>
      <c r="M430" s="195">
        <f>AVERAGE(Ashed_controlls!$K$2:$K$11)</f>
        <v>5.5147656768714146</v>
      </c>
      <c r="N430" s="195">
        <f t="shared" si="45"/>
        <v>1.9251999999999998</v>
      </c>
      <c r="O430" s="16">
        <f>IF('WetLitterbags placem_collection'!G137="N.A","",'WetLitterbags placem_collection'!G137)</f>
        <v>42816</v>
      </c>
      <c r="P430" s="195">
        <f>IF(IFERROR(INDEX('Both teabags AfterWet'!$C$3:$C$841,MATCH(H430,'Both teabags AfterWet'!$A$3:$A$841,0)),"")="N.A","",(IFERROR(INDEX('Both teabags AfterWet'!$C$3:$C$841,MATCH(H430,'Both teabags AfterWet'!$A$3:$A$841,0)),"")))</f>
        <v>0.56399999999999995</v>
      </c>
      <c r="Q430" s="195">
        <f>IFERROR(INDEX('Both teabags AfterWet'!$C$3:$C$841,MATCH(I430,'Both teabags AfterWet'!$A$3:$A$841,0)),"")</f>
        <v>1.512</v>
      </c>
      <c r="R430" s="195">
        <f t="shared" si="48"/>
        <v>0.41339999999999993</v>
      </c>
      <c r="S430" s="195">
        <f t="shared" si="48"/>
        <v>1.3613999999999999</v>
      </c>
      <c r="T430" s="195">
        <f t="shared" si="49"/>
        <v>0.7592592592592593</v>
      </c>
      <c r="U430" s="195">
        <f t="shared" si="50"/>
        <v>0.49775666402744795</v>
      </c>
      <c r="V430" s="195">
        <f t="shared" si="51"/>
        <v>0.70714730937045511</v>
      </c>
      <c r="W430">
        <f t="shared" si="46"/>
        <v>54</v>
      </c>
      <c r="X430" s="195">
        <f t="shared" si="52"/>
        <v>9.8266912993753786E-2</v>
      </c>
      <c r="Y430" s="195">
        <f t="shared" si="53"/>
        <v>1.6436479337256518E-2</v>
      </c>
      <c r="Z430" s="255" t="str">
        <f>IF(ISNUMBER(SEARCH("C",'WetLitterbags placem_collection'!W357)),"YES","NO")</f>
        <v>NO</v>
      </c>
      <c r="AA430" s="255" t="str">
        <f>IF(ISNUMBER(SEARCH("H", 'WetLitterbags placem_collection'!Y137)),"YES","NO")</f>
        <v>NO</v>
      </c>
      <c r="AB430" s="255" t="str">
        <f>IF(ISNUMBER(SEARCH("R", 'WetLitterbags placem_collection'!WY137)),"YES","NO")</f>
        <v>NO</v>
      </c>
      <c r="AC430" s="255" t="str">
        <f>IF(ISNUMBER(SEARCH("C", 'WetLitterbags placem_collection'!VX137)),"YES","NO")</f>
        <v>NO</v>
      </c>
      <c r="AD430" s="255" t="str">
        <f>IF(ISNUMBER(SEARCH("H", 'WetLitterbags placem_collection'!X137)),"YES","NO")</f>
        <v>NO</v>
      </c>
      <c r="AE430" s="255" t="str">
        <f>IF(ISNUMBER(SEARCH("R", 'WetLitterbags placem_collection'!X137)),"YES","NO")</f>
        <v>NO</v>
      </c>
    </row>
    <row r="431" spans="2:31">
      <c r="B431" t="str">
        <f>'Final data_for_R_analysis_Wetse'!A577</f>
        <v>Wet</v>
      </c>
      <c r="C431" s="263">
        <f>'Final data_for_R_analysis_Wetse'!B577</f>
        <v>136</v>
      </c>
      <c r="D431" t="s">
        <v>3846</v>
      </c>
      <c r="E431" t="s">
        <v>25</v>
      </c>
      <c r="F431" s="387">
        <v>8</v>
      </c>
      <c r="G431" s="16">
        <f>'WetLitterbags placem_collection'!E138</f>
        <v>42762</v>
      </c>
      <c r="H431" s="92" t="str">
        <f>'Final data_for_R_analysis_Wetse'!J577</f>
        <v>G747</v>
      </c>
      <c r="I431" t="str">
        <f>'Final data_for_R_analysis_Wetse'!J797</f>
        <v>R543</v>
      </c>
      <c r="J431">
        <f>IFERROR(INDEX('Green_rooibos initial weight'!$C$5:$C$1749,MATCH(H431, 'Green_rooibos initial weight'!$A$5:$A$1749,0)),"")</f>
        <v>2.044</v>
      </c>
      <c r="K431">
        <f>IFERROR(INDEX('Green_rooibos initial weight'!$C$5:$C$1749,MATCH(I431, 'Green_rooibos initial weight'!$A$5:$A$1749,0)),"")</f>
        <v>2.2730000000000001</v>
      </c>
      <c r="L431" s="195">
        <f t="shared" si="47"/>
        <v>1.7942</v>
      </c>
      <c r="M431" s="195">
        <f>AVERAGE(Ashed_controlls!$K$2:$K$11)</f>
        <v>5.5147656768714146</v>
      </c>
      <c r="N431" s="195">
        <f t="shared" si="45"/>
        <v>2.0232000000000001</v>
      </c>
      <c r="O431" s="16">
        <f>IF('WetLitterbags placem_collection'!G138="N.A","",'WetLitterbags placem_collection'!G138)</f>
        <v>42816</v>
      </c>
      <c r="P431" s="195">
        <f>IF(IFERROR(INDEX('Both teabags AfterWet'!$C$3:$C$841,MATCH(H431,'Both teabags AfterWet'!$A$3:$A$841,0)),"")="N.A","",(IFERROR(INDEX('Both teabags AfterWet'!$C$3:$C$841,MATCH(H431,'Both teabags AfterWet'!$A$3:$A$841,0)),"")))</f>
        <v>0.59630000000000005</v>
      </c>
      <c r="Q431" s="195">
        <f>IFERROR(INDEX('Both teabags AfterWet'!$C$3:$C$841,MATCH(I431,'Both teabags AfterWet'!$A$3:$A$841,0)),"")</f>
        <v>1.5604</v>
      </c>
      <c r="R431" s="195">
        <f t="shared" si="48"/>
        <v>0.44570000000000004</v>
      </c>
      <c r="S431" s="195">
        <f t="shared" si="48"/>
        <v>1.4097999999999999</v>
      </c>
      <c r="T431" s="195">
        <f t="shared" si="49"/>
        <v>0.75158845167762789</v>
      </c>
      <c r="U431" s="195">
        <f t="shared" si="50"/>
        <v>0.49272782105231666</v>
      </c>
      <c r="V431" s="195">
        <f t="shared" si="51"/>
        <v>0.69681692368525106</v>
      </c>
      <c r="W431">
        <f t="shared" si="46"/>
        <v>54</v>
      </c>
      <c r="X431" s="195">
        <f t="shared" si="52"/>
        <v>0.10737713577478869</v>
      </c>
      <c r="Y431" s="195">
        <f t="shared" si="53"/>
        <v>1.7691329959885146E-2</v>
      </c>
      <c r="Z431" s="255" t="str">
        <f>IF(ISNUMBER(SEARCH("C",'WetLitterbags placem_collection'!W358)),"YES","NO")</f>
        <v>NO</v>
      </c>
      <c r="AA431" s="255" t="str">
        <f>IF(ISNUMBER(SEARCH("H", 'WetLitterbags placem_collection'!Y138)),"YES","NO")</f>
        <v>NO</v>
      </c>
      <c r="AB431" s="255" t="str">
        <f>IF(ISNUMBER(SEARCH("R", 'WetLitterbags placem_collection'!WY138)),"YES","NO")</f>
        <v>NO</v>
      </c>
      <c r="AC431" s="255" t="str">
        <f>IF(ISNUMBER(SEARCH("C", 'WetLitterbags placem_collection'!VX138)),"YES","NO")</f>
        <v>NO</v>
      </c>
      <c r="AD431" s="255" t="str">
        <f>IF(ISNUMBER(SEARCH("H", 'WetLitterbags placem_collection'!X138)),"YES","NO")</f>
        <v>NO</v>
      </c>
      <c r="AE431" s="255" t="str">
        <f>IF(ISNUMBER(SEARCH("R", 'WetLitterbags placem_collection'!X138)),"YES","NO")</f>
        <v>YES</v>
      </c>
    </row>
    <row r="432" spans="2:31">
      <c r="B432" t="str">
        <f>'Final data_for_R_analysis_Wetse'!A578</f>
        <v>Wet</v>
      </c>
      <c r="C432" s="263">
        <f>'Final data_for_R_analysis_Wetse'!B578</f>
        <v>137</v>
      </c>
      <c r="D432" t="s">
        <v>3848</v>
      </c>
      <c r="E432" t="s">
        <v>25</v>
      </c>
      <c r="F432" s="386">
        <v>1</v>
      </c>
      <c r="G432" s="16">
        <f>'WetLitterbags placem_collection'!E139</f>
        <v>42762</v>
      </c>
      <c r="H432" s="92" t="str">
        <f>'Final data_for_R_analysis_Wetse'!J578</f>
        <v>G857</v>
      </c>
      <c r="I432" t="str">
        <f>'Final data_for_R_analysis_Wetse'!J798</f>
        <v>R483</v>
      </c>
      <c r="J432">
        <f>IFERROR(INDEX('Green_rooibos initial weight'!$C$5:$C$1749,MATCH(H432, 'Green_rooibos initial weight'!$A$5:$A$1749,0)),"")</f>
        <v>1.927</v>
      </c>
      <c r="K432">
        <f>IFERROR(INDEX('Green_rooibos initial weight'!$C$5:$C$1749,MATCH(I432, 'Green_rooibos initial weight'!$A$5:$A$1749,0)),"")</f>
        <v>2.1970000000000001</v>
      </c>
      <c r="L432" s="195">
        <f t="shared" si="47"/>
        <v>1.6772</v>
      </c>
      <c r="M432" s="195">
        <f>AVERAGE(Ashed_controlls!$K$2:$K$11)</f>
        <v>5.5147656768714146</v>
      </c>
      <c r="N432" s="195">
        <f t="shared" si="45"/>
        <v>1.9472</v>
      </c>
      <c r="O432" s="16">
        <f>IF('WetLitterbags placem_collection'!G139="N.A","",'WetLitterbags placem_collection'!G139)</f>
        <v>42816</v>
      </c>
      <c r="P432" s="195">
        <f>IF(IFERROR(INDEX('Both teabags AfterWet'!$C$3:$C$841,MATCH(H432,'Both teabags AfterWet'!$A$3:$A$841,0)),"")="N.A","",(IFERROR(INDEX('Both teabags AfterWet'!$C$3:$C$841,MATCH(H432,'Both teabags AfterWet'!$A$3:$A$841,0)),"")))</f>
        <v>0.6</v>
      </c>
      <c r="Q432" s="195">
        <f>IFERROR(INDEX('Both teabags AfterWet'!$C$3:$C$841,MATCH(I432,'Both teabags AfterWet'!$A$3:$A$841,0)),"")</f>
        <v>1.778</v>
      </c>
      <c r="R432" s="195">
        <f t="shared" si="48"/>
        <v>0.44939999999999997</v>
      </c>
      <c r="S432" s="195">
        <f t="shared" si="48"/>
        <v>1.6274</v>
      </c>
      <c r="T432" s="195">
        <f t="shared" si="49"/>
        <v>0.73205342237061766</v>
      </c>
      <c r="U432" s="195">
        <f t="shared" si="50"/>
        <v>0.47992100849000119</v>
      </c>
      <c r="V432" s="195">
        <f t="shared" si="51"/>
        <v>0.83576417419884963</v>
      </c>
      <c r="W432">
        <f t="shared" si="46"/>
        <v>54</v>
      </c>
      <c r="X432" s="195">
        <f t="shared" si="52"/>
        <v>0.13057788317028773</v>
      </c>
      <c r="Y432" s="195">
        <f t="shared" si="53"/>
        <v>7.7569641673095194E-3</v>
      </c>
      <c r="Z432" s="255" t="str">
        <f>IF(ISNUMBER(SEARCH("C",'WetLitterbags placem_collection'!W359)),"YES","NO")</f>
        <v>NO</v>
      </c>
      <c r="AA432" s="255" t="str">
        <f>IF(ISNUMBER(SEARCH("H", 'WetLitterbags placem_collection'!Y139)),"YES","NO")</f>
        <v>NO</v>
      </c>
      <c r="AB432" s="255" t="str">
        <f>IF(ISNUMBER(SEARCH("R", 'WetLitterbags placem_collection'!WY139)),"YES","NO")</f>
        <v>NO</v>
      </c>
      <c r="AC432" s="255" t="str">
        <f>IF(ISNUMBER(SEARCH("C", 'WetLitterbags placem_collection'!VX139)),"YES","NO")</f>
        <v>NO</v>
      </c>
      <c r="AD432" s="255" t="str">
        <f>IF(ISNUMBER(SEARCH("H", 'WetLitterbags placem_collection'!X139)),"YES","NO")</f>
        <v>NO</v>
      </c>
      <c r="AE432" s="255" t="str">
        <f>IF(ISNUMBER(SEARCH("R", 'WetLitterbags placem_collection'!X139)),"YES","NO")</f>
        <v>NO</v>
      </c>
    </row>
    <row r="433" spans="2:31">
      <c r="B433" t="str">
        <f>'Final data_for_R_analysis_Wetse'!A579</f>
        <v>Wet</v>
      </c>
      <c r="C433" s="263">
        <f>'Final data_for_R_analysis_Wetse'!B579</f>
        <v>138</v>
      </c>
      <c r="D433" t="s">
        <v>3848</v>
      </c>
      <c r="E433" t="s">
        <v>25</v>
      </c>
      <c r="F433" s="386">
        <v>2</v>
      </c>
      <c r="G433" s="16">
        <f>'WetLitterbags placem_collection'!E140</f>
        <v>42762</v>
      </c>
      <c r="H433" s="92" t="str">
        <f>'Final data_for_R_analysis_Wetse'!J579</f>
        <v>G623</v>
      </c>
      <c r="I433" t="str">
        <f>'Final data_for_R_analysis_Wetse'!J799</f>
        <v>R21</v>
      </c>
      <c r="J433">
        <f>IFERROR(INDEX('Green_rooibos initial weight'!$C$5:$C$1749,MATCH(H433, 'Green_rooibos initial weight'!$A$5:$A$1749,0)),"")</f>
        <v>2.1040000000000001</v>
      </c>
      <c r="K433">
        <f>IFERROR(INDEX('Green_rooibos initial weight'!$C$5:$C$1749,MATCH(I433, 'Green_rooibos initial weight'!$A$5:$A$1749,0)),"")</f>
        <v>2.0249999999999999</v>
      </c>
      <c r="L433" s="195">
        <f t="shared" si="47"/>
        <v>1.8542000000000001</v>
      </c>
      <c r="M433" s="195">
        <f>AVERAGE(Ashed_controlls!$K$2:$K$11)</f>
        <v>5.5147656768714146</v>
      </c>
      <c r="N433" s="195">
        <f t="shared" si="45"/>
        <v>1.7751999999999999</v>
      </c>
      <c r="O433" s="16">
        <f>IF('WetLitterbags placem_collection'!G140="N.A","",'WetLitterbags placem_collection'!G140)</f>
        <v>42816</v>
      </c>
      <c r="P433" s="195">
        <f>IF(IFERROR(INDEX('Both teabags AfterWet'!$C$3:$C$841,MATCH(H433,'Both teabags AfterWet'!$A$3:$A$841,0)),"")="N.A","",(IFERROR(INDEX('Both teabags AfterWet'!$C$3:$C$841,MATCH(H433,'Both teabags AfterWet'!$A$3:$A$841,0)),"")))</f>
        <v>0.64800000000000002</v>
      </c>
      <c r="Q433" s="195">
        <f>IFERROR(INDEX('Both teabags AfterWet'!$C$3:$C$841,MATCH(I433,'Both teabags AfterWet'!$A$3:$A$841,0)),"")</f>
        <v>1.522</v>
      </c>
      <c r="R433" s="195">
        <f t="shared" si="48"/>
        <v>0.49740000000000001</v>
      </c>
      <c r="S433" s="195">
        <f t="shared" si="48"/>
        <v>1.3714</v>
      </c>
      <c r="T433" s="195">
        <f t="shared" si="49"/>
        <v>0.73174414841980373</v>
      </c>
      <c r="U433" s="195">
        <f t="shared" si="50"/>
        <v>0.47971825407094026</v>
      </c>
      <c r="V433" s="195">
        <f t="shared" si="51"/>
        <v>0.77253267237494372</v>
      </c>
      <c r="W433">
        <f t="shared" si="46"/>
        <v>54</v>
      </c>
      <c r="X433" s="195">
        <f t="shared" si="52"/>
        <v>0.1309451919004706</v>
      </c>
      <c r="Y433" s="195">
        <f t="shared" si="53"/>
        <v>1.1903233868994691E-2</v>
      </c>
      <c r="Z433" s="255" t="str">
        <f>IF(ISNUMBER(SEARCH("C",'WetLitterbags placem_collection'!W360)),"YES","NO")</f>
        <v>NO</v>
      </c>
      <c r="AA433" s="255" t="str">
        <f>IF(ISNUMBER(SEARCH("H", 'WetLitterbags placem_collection'!Y140)),"YES","NO")</f>
        <v>NO</v>
      </c>
      <c r="AB433" s="255" t="str">
        <f>IF(ISNUMBER(SEARCH("R", 'WetLitterbags placem_collection'!WY140)),"YES","NO")</f>
        <v>NO</v>
      </c>
      <c r="AC433" s="255" t="str">
        <f>IF(ISNUMBER(SEARCH("C", 'WetLitterbags placem_collection'!VX140)),"YES","NO")</f>
        <v>NO</v>
      </c>
      <c r="AD433" s="255" t="str">
        <f>IF(ISNUMBER(SEARCH("H", 'WetLitterbags placem_collection'!X140)),"YES","NO")</f>
        <v>NO</v>
      </c>
      <c r="AE433" s="255" t="str">
        <f>IF(ISNUMBER(SEARCH("R", 'WetLitterbags placem_collection'!X140)),"YES","NO")</f>
        <v>YES</v>
      </c>
    </row>
    <row r="434" spans="2:31">
      <c r="B434" t="str">
        <f>'Final data_for_R_analysis_Wetse'!A580</f>
        <v>Wet</v>
      </c>
      <c r="C434" s="263">
        <f>'Final data_for_R_analysis_Wetse'!B580</f>
        <v>139</v>
      </c>
      <c r="D434" t="s">
        <v>3848</v>
      </c>
      <c r="E434" t="s">
        <v>25</v>
      </c>
      <c r="F434" s="386">
        <v>3</v>
      </c>
      <c r="G434" s="16">
        <f>'WetLitterbags placem_collection'!E141</f>
        <v>42762</v>
      </c>
      <c r="H434" s="92" t="str">
        <f>'Final data_for_R_analysis_Wetse'!J580</f>
        <v>G880</v>
      </c>
      <c r="I434" t="str">
        <f>'Final data_for_R_analysis_Wetse'!J800</f>
        <v>R538</v>
      </c>
      <c r="J434">
        <f>IFERROR(INDEX('Green_rooibos initial weight'!$C$5:$C$1749,MATCH(H434, 'Green_rooibos initial weight'!$A$5:$A$1749,0)),"")</f>
        <v>2.1030000000000002</v>
      </c>
      <c r="K434">
        <f>IFERROR(INDEX('Green_rooibos initial weight'!$C$5:$C$1749,MATCH(I434, 'Green_rooibos initial weight'!$A$5:$A$1749,0)),"")</f>
        <v>2.2000000000000002</v>
      </c>
      <c r="L434" s="195">
        <f t="shared" si="47"/>
        <v>1.8532000000000002</v>
      </c>
      <c r="M434" s="195">
        <f>AVERAGE(Ashed_controlls!$K$2:$K$11)</f>
        <v>5.5147656768714146</v>
      </c>
      <c r="N434" s="195">
        <f t="shared" si="45"/>
        <v>1.9502000000000002</v>
      </c>
      <c r="O434" s="16">
        <f>IF('WetLitterbags placem_collection'!G141="N.A","",'WetLitterbags placem_collection'!G141)</f>
        <v>42816</v>
      </c>
      <c r="P434" s="195">
        <f>IF(IFERROR(INDEX('Both teabags AfterWet'!$C$3:$C$841,MATCH(H434,'Both teabags AfterWet'!$A$3:$A$841,0)),"")="N.A","",(IFERROR(INDEX('Both teabags AfterWet'!$C$3:$C$841,MATCH(H434,'Both teabags AfterWet'!$A$3:$A$841,0)),"")))</f>
        <v>0.73599999999999999</v>
      </c>
      <c r="Q434" s="195">
        <f>IFERROR(INDEX('Both teabags AfterWet'!$C$3:$C$841,MATCH(I434,'Both teabags AfterWet'!$A$3:$A$841,0)),"")</f>
        <v>1.415</v>
      </c>
      <c r="R434" s="195">
        <f t="shared" si="48"/>
        <v>0.58539999999999992</v>
      </c>
      <c r="S434" s="195">
        <f t="shared" si="48"/>
        <v>1.2644</v>
      </c>
      <c r="T434" s="195">
        <f t="shared" si="49"/>
        <v>0.68411396503345578</v>
      </c>
      <c r="U434" s="195">
        <f t="shared" si="50"/>
        <v>0.44849276567513968</v>
      </c>
      <c r="V434" s="195">
        <f t="shared" si="51"/>
        <v>0.6483437596143985</v>
      </c>
      <c r="W434">
        <f t="shared" si="46"/>
        <v>54</v>
      </c>
      <c r="X434" s="195">
        <f t="shared" si="52"/>
        <v>0.1875131056609789</v>
      </c>
      <c r="Y434" s="195">
        <f t="shared" si="53"/>
        <v>2.838645001556955E-2</v>
      </c>
      <c r="Z434" s="255" t="str">
        <f>IF(ISNUMBER(SEARCH("C",'WetLitterbags placem_collection'!W361)),"YES","NO")</f>
        <v>NO</v>
      </c>
      <c r="AA434" s="255" t="str">
        <f>IF(ISNUMBER(SEARCH("H", 'WetLitterbags placem_collection'!Y141)),"YES","NO")</f>
        <v>NO</v>
      </c>
      <c r="AB434" s="255" t="str">
        <f>IF(ISNUMBER(SEARCH("R", 'WetLitterbags placem_collection'!WY141)),"YES","NO")</f>
        <v>NO</v>
      </c>
      <c r="AC434" s="255" t="str">
        <f>IF(ISNUMBER(SEARCH("C", 'WetLitterbags placem_collection'!VX141)),"YES","NO")</f>
        <v>NO</v>
      </c>
      <c r="AD434" s="255" t="str">
        <f>IF(ISNUMBER(SEARCH("H", 'WetLitterbags placem_collection'!X141)),"YES","NO")</f>
        <v>NO</v>
      </c>
      <c r="AE434" s="255" t="str">
        <f>IF(ISNUMBER(SEARCH("R", 'WetLitterbags placem_collection'!X141)),"YES","NO")</f>
        <v>YES</v>
      </c>
    </row>
    <row r="435" spans="2:31">
      <c r="B435" t="str">
        <f>'Final data_for_R_analysis_Wetse'!A581</f>
        <v>Wet</v>
      </c>
      <c r="C435" s="263">
        <f>'Final data_for_R_analysis_Wetse'!B581</f>
        <v>140</v>
      </c>
      <c r="D435" t="s">
        <v>3848</v>
      </c>
      <c r="E435" t="s">
        <v>25</v>
      </c>
      <c r="F435" s="387">
        <v>4</v>
      </c>
      <c r="G435" s="16">
        <f>'WetLitterbags placem_collection'!E142</f>
        <v>42762</v>
      </c>
      <c r="H435" s="92" t="str">
        <f>'Final data_for_R_analysis_Wetse'!J581</f>
        <v>G706</v>
      </c>
      <c r="I435" t="str">
        <f>'Final data_for_R_analysis_Wetse'!J801</f>
        <v>R559</v>
      </c>
      <c r="J435">
        <f>IFERROR(INDEX('Green_rooibos initial weight'!$C$5:$C$1749,MATCH(H435, 'Green_rooibos initial weight'!$A$5:$A$1749,0)),"")</f>
        <v>1.9450000000000001</v>
      </c>
      <c r="K435">
        <f>IFERROR(INDEX('Green_rooibos initial weight'!$C$5:$C$1749,MATCH(I435, 'Green_rooibos initial weight'!$A$5:$A$1749,0)),"")</f>
        <v>2.161</v>
      </c>
      <c r="L435" s="195">
        <f t="shared" si="47"/>
        <v>1.6952</v>
      </c>
      <c r="M435" s="195">
        <f>AVERAGE(Ashed_controlls!$K$2:$K$11)</f>
        <v>5.5147656768714146</v>
      </c>
      <c r="N435" s="195">
        <f t="shared" si="45"/>
        <v>1.9112</v>
      </c>
      <c r="O435" s="16">
        <f>IF('WetLitterbags placem_collection'!G142="N.A","",'WetLitterbags placem_collection'!G142)</f>
        <v>42816</v>
      </c>
      <c r="P435" s="195">
        <f>IF(IFERROR(INDEX('Both teabags AfterWet'!$C$3:$C$841,MATCH(H435,'Both teabags AfterWet'!$A$3:$A$841,0)),"")="N.A","",(IFERROR(INDEX('Both teabags AfterWet'!$C$3:$C$841,MATCH(H435,'Both teabags AfterWet'!$A$3:$A$841,0)),"")))</f>
        <v>0.60780000000000001</v>
      </c>
      <c r="Q435" s="195">
        <f>IFERROR(INDEX('Both teabags AfterWet'!$C$3:$C$841,MATCH(I435,'Both teabags AfterWet'!$A$3:$A$841,0)),"")</f>
        <v>1.6634</v>
      </c>
      <c r="R435" s="195">
        <f t="shared" si="48"/>
        <v>0.4572</v>
      </c>
      <c r="S435" s="195">
        <f t="shared" si="48"/>
        <v>1.5127999999999999</v>
      </c>
      <c r="T435" s="195">
        <f t="shared" si="49"/>
        <v>0.73029731005191123</v>
      </c>
      <c r="U435" s="195">
        <f t="shared" si="50"/>
        <v>0.47876973295564734</v>
      </c>
      <c r="V435" s="195">
        <f t="shared" si="51"/>
        <v>0.79154457932189193</v>
      </c>
      <c r="W435">
        <f t="shared" si="46"/>
        <v>54</v>
      </c>
      <c r="X435" s="195">
        <f t="shared" si="52"/>
        <v>0.13266352725426211</v>
      </c>
      <c r="Y435" s="195">
        <f t="shared" si="53"/>
        <v>1.0585821404153662E-2</v>
      </c>
      <c r="Z435" s="255" t="str">
        <f>IF(ISNUMBER(SEARCH("C",'WetLitterbags placem_collection'!W362)),"YES","NO")</f>
        <v>NO</v>
      </c>
      <c r="AA435" s="255" t="str">
        <f>IF(ISNUMBER(SEARCH("H", 'WetLitterbags placem_collection'!Y142)),"YES","NO")</f>
        <v>NO</v>
      </c>
      <c r="AB435" s="255" t="str">
        <f>IF(ISNUMBER(SEARCH("R", 'WetLitterbags placem_collection'!WY142)),"YES","NO")</f>
        <v>NO</v>
      </c>
      <c r="AC435" s="255" t="str">
        <f>IF(ISNUMBER(SEARCH("C", 'WetLitterbags placem_collection'!VX142)),"YES","NO")</f>
        <v>NO</v>
      </c>
      <c r="AD435" s="255" t="str">
        <f>IF(ISNUMBER(SEARCH("H", 'WetLitterbags placem_collection'!X142)),"YES","NO")</f>
        <v>NO</v>
      </c>
      <c r="AE435" s="255" t="str">
        <f>IF(ISNUMBER(SEARCH("R", 'WetLitterbags placem_collection'!X142)),"YES","NO")</f>
        <v>NO</v>
      </c>
    </row>
    <row r="436" spans="2:31">
      <c r="B436" t="str">
        <f>'Final data_for_R_analysis_Wetse'!A582</f>
        <v>Wet</v>
      </c>
      <c r="C436" s="263">
        <f>'Final data_for_R_analysis_Wetse'!B582</f>
        <v>141</v>
      </c>
      <c r="D436" t="s">
        <v>3848</v>
      </c>
      <c r="E436" t="s">
        <v>25</v>
      </c>
      <c r="F436" s="387">
        <v>5</v>
      </c>
      <c r="G436" s="16">
        <f>'WetLitterbags placem_collection'!E143</f>
        <v>42762</v>
      </c>
      <c r="H436" s="92" t="str">
        <f>'Final data_for_R_analysis_Wetse'!J582</f>
        <v>G775</v>
      </c>
      <c r="I436" t="str">
        <f>'Final data_for_R_analysis_Wetse'!J802</f>
        <v>R465</v>
      </c>
      <c r="J436">
        <f>IFERROR(INDEX('Green_rooibos initial weight'!$C$5:$C$1749,MATCH(H436, 'Green_rooibos initial weight'!$A$5:$A$1749,0)),"")</f>
        <v>2.1389999999999998</v>
      </c>
      <c r="K436">
        <f>IFERROR(INDEX('Green_rooibos initial weight'!$C$5:$C$1749,MATCH(I436, 'Green_rooibos initial weight'!$A$5:$A$1749,0)),"")</f>
        <v>2.206</v>
      </c>
      <c r="L436" s="195">
        <f t="shared" si="47"/>
        <v>1.8891999999999998</v>
      </c>
      <c r="M436" s="195">
        <f>AVERAGE(Ashed_controlls!$K$2:$K$11)</f>
        <v>5.5147656768714146</v>
      </c>
      <c r="N436" s="195">
        <f t="shared" si="45"/>
        <v>1.9561999999999999</v>
      </c>
      <c r="O436" s="16">
        <f>IF('WetLitterbags placem_collection'!G143="N.A","",'WetLitterbags placem_collection'!G143)</f>
        <v>42816</v>
      </c>
      <c r="P436" s="195">
        <f>IF(IFERROR(INDEX('Both teabags AfterWet'!$C$3:$C$841,MATCH(H436,'Both teabags AfterWet'!$A$3:$A$841,0)),"")="N.A","",(IFERROR(INDEX('Both teabags AfterWet'!$C$3:$C$841,MATCH(H436,'Both teabags AfterWet'!$A$3:$A$841,0)),"")))</f>
        <v>0.69099999999999995</v>
      </c>
      <c r="Q436" s="195">
        <f>IFERROR(INDEX('Both teabags AfterWet'!$C$3:$C$841,MATCH(I436,'Both teabags AfterWet'!$A$3:$A$841,0)),"")</f>
        <v>1.6759999999999999</v>
      </c>
      <c r="R436" s="195">
        <f t="shared" si="48"/>
        <v>0.54039999999999999</v>
      </c>
      <c r="S436" s="195">
        <f t="shared" si="48"/>
        <v>1.5253999999999999</v>
      </c>
      <c r="T436" s="195">
        <f t="shared" si="49"/>
        <v>0.71395299597713313</v>
      </c>
      <c r="U436" s="195">
        <f t="shared" si="50"/>
        <v>0.46805469569997332</v>
      </c>
      <c r="V436" s="195">
        <f t="shared" si="51"/>
        <v>0.77977711890399748</v>
      </c>
      <c r="W436">
        <f t="shared" si="46"/>
        <v>54</v>
      </c>
      <c r="X436" s="195">
        <f t="shared" si="52"/>
        <v>0.15207482663048322</v>
      </c>
      <c r="Y436" s="195">
        <f t="shared" si="53"/>
        <v>1.1774718723263489E-2</v>
      </c>
      <c r="Z436" s="255" t="str">
        <f>IF(ISNUMBER(SEARCH("C",'WetLitterbags placem_collection'!W363)),"YES","NO")</f>
        <v>NO</v>
      </c>
      <c r="AA436" s="255" t="str">
        <f>IF(ISNUMBER(SEARCH("H", 'WetLitterbags placem_collection'!Y143)),"YES","NO")</f>
        <v>NO</v>
      </c>
      <c r="AB436" s="255" t="str">
        <f>IF(ISNUMBER(SEARCH("R", 'WetLitterbags placem_collection'!WY143)),"YES","NO")</f>
        <v>NO</v>
      </c>
      <c r="AC436" s="255" t="str">
        <f>IF(ISNUMBER(SEARCH("C", 'WetLitterbags placem_collection'!VX143)),"YES","NO")</f>
        <v>NO</v>
      </c>
      <c r="AD436" s="255" t="str">
        <f>IF(ISNUMBER(SEARCH("H", 'WetLitterbags placem_collection'!X143)),"YES","NO")</f>
        <v>NO</v>
      </c>
      <c r="AE436" s="255" t="str">
        <f>IF(ISNUMBER(SEARCH("R", 'WetLitterbags placem_collection'!X143)),"YES","NO")</f>
        <v>NO</v>
      </c>
    </row>
    <row r="437" spans="2:31">
      <c r="B437" t="str">
        <f>'Final data_for_R_analysis_Wetse'!A583</f>
        <v>Wet</v>
      </c>
      <c r="C437" s="263">
        <f>'Final data_for_R_analysis_Wetse'!B583</f>
        <v>142</v>
      </c>
      <c r="D437" t="s">
        <v>3848</v>
      </c>
      <c r="E437" t="s">
        <v>25</v>
      </c>
      <c r="F437" s="387">
        <v>6</v>
      </c>
      <c r="G437" s="16">
        <f>'WetLitterbags placem_collection'!E144</f>
        <v>42762</v>
      </c>
      <c r="H437" s="92" t="str">
        <f>'Final data_for_R_analysis_Wetse'!J583</f>
        <v>G850</v>
      </c>
      <c r="I437" t="str">
        <f>'Final data_for_R_analysis_Wetse'!J803</f>
        <v>R503</v>
      </c>
      <c r="J437">
        <f>IFERROR(INDEX('Green_rooibos initial weight'!$C$5:$C$1749,MATCH(H437, 'Green_rooibos initial weight'!$A$5:$A$1749,0)),"")</f>
        <v>2.0379999999999998</v>
      </c>
      <c r="K437">
        <f>IFERROR(INDEX('Green_rooibos initial weight'!$C$5:$C$1749,MATCH(I437, 'Green_rooibos initial weight'!$A$5:$A$1749,0)),"")</f>
        <v>2.1709999999999998</v>
      </c>
      <c r="L437" s="195">
        <f t="shared" si="47"/>
        <v>1.7881999999999998</v>
      </c>
      <c r="M437" s="195">
        <f>AVERAGE(Ashed_controlls!$K$2:$K$11)</f>
        <v>5.5147656768714146</v>
      </c>
      <c r="N437" s="195">
        <f t="shared" si="45"/>
        <v>1.9211999999999998</v>
      </c>
      <c r="O437" s="16">
        <f>IF('WetLitterbags placem_collection'!G144="N.A","",'WetLitterbags placem_collection'!G144)</f>
        <v>42816</v>
      </c>
      <c r="P437" s="195">
        <f>IF(IFERROR(INDEX('Both teabags AfterWet'!$C$3:$C$841,MATCH(H437,'Both teabags AfterWet'!$A$3:$A$841,0)),"")="N.A","",(IFERROR(INDEX('Both teabags AfterWet'!$C$3:$C$841,MATCH(H437,'Both teabags AfterWet'!$A$3:$A$841,0)),"")))</f>
        <v>0.78500000000000003</v>
      </c>
      <c r="Q437" s="195" t="str">
        <f>IFERROR(INDEX('Both teabags AfterWet'!$C$3:$C$841,MATCH(I437,'Both teabags AfterWet'!$A$3:$A$841,0)),"")</f>
        <v/>
      </c>
      <c r="R437" s="195">
        <f t="shared" si="48"/>
        <v>0.63440000000000007</v>
      </c>
      <c r="S437" s="195" t="str">
        <f t="shared" si="48"/>
        <v/>
      </c>
      <c r="T437" s="195">
        <f t="shared" si="49"/>
        <v>0.64522984006263273</v>
      </c>
      <c r="U437" s="195">
        <f t="shared" si="50"/>
        <v>0.42300103529046712</v>
      </c>
      <c r="V437" s="195" t="str">
        <f t="shared" si="51"/>
        <v/>
      </c>
      <c r="W437">
        <f t="shared" si="46"/>
        <v>54</v>
      </c>
      <c r="X437" s="195">
        <f t="shared" si="52"/>
        <v>0.23369377664770452</v>
      </c>
      <c r="Y437" s="195" t="str">
        <f t="shared" si="53"/>
        <v/>
      </c>
      <c r="Z437" s="255" t="str">
        <f>IF(ISNUMBER(SEARCH("C",'WetLitterbags placem_collection'!W364)),"YES","NO")</f>
        <v>NO</v>
      </c>
      <c r="AA437" s="255" t="str">
        <f>IF(ISNUMBER(SEARCH("H", 'WetLitterbags placem_collection'!Y144)),"YES","NO")</f>
        <v>NO</v>
      </c>
      <c r="AB437" s="255" t="str">
        <f>IF(ISNUMBER(SEARCH("R", 'WetLitterbags placem_collection'!WY144)),"YES","NO")</f>
        <v>NO</v>
      </c>
      <c r="AC437" s="255" t="str">
        <f>IF(ISNUMBER(SEARCH("C", 'WetLitterbags placem_collection'!VX144)),"YES","NO")</f>
        <v>NO</v>
      </c>
      <c r="AD437" s="255" t="str">
        <f>IF(ISNUMBER(SEARCH("H", 'WetLitterbags placem_collection'!X144)),"YES","NO")</f>
        <v>NO</v>
      </c>
      <c r="AE437" s="255" t="str">
        <f>IF(ISNUMBER(SEARCH("R", 'WetLitterbags placem_collection'!X144)),"YES","NO")</f>
        <v>NO</v>
      </c>
    </row>
    <row r="438" spans="2:31">
      <c r="B438" t="str">
        <f>'Final data_for_R_analysis_Wetse'!A584</f>
        <v>Wet</v>
      </c>
      <c r="C438" s="263">
        <f>'Final data_for_R_analysis_Wetse'!B584</f>
        <v>143</v>
      </c>
      <c r="D438" t="s">
        <v>3848</v>
      </c>
      <c r="E438" t="s">
        <v>25</v>
      </c>
      <c r="F438" s="387">
        <v>7</v>
      </c>
      <c r="G438" s="16">
        <f>'WetLitterbags placem_collection'!E145</f>
        <v>42762</v>
      </c>
      <c r="H438" s="92" t="str">
        <f>'Final data_for_R_analysis_Wetse'!J584</f>
        <v>G697</v>
      </c>
      <c r="I438" t="str">
        <f>'Final data_for_R_analysis_Wetse'!J804</f>
        <v>R567</v>
      </c>
      <c r="J438">
        <f>IFERROR(INDEX('Green_rooibos initial weight'!$C$5:$C$1749,MATCH(H438, 'Green_rooibos initial weight'!$A$5:$A$1749,0)),"")</f>
        <v>2.1110000000000002</v>
      </c>
      <c r="K438">
        <f>IFERROR(INDEX('Green_rooibos initial weight'!$C$5:$C$1749,MATCH(I438, 'Green_rooibos initial weight'!$A$5:$A$1749,0)),"")</f>
        <v>2.097</v>
      </c>
      <c r="L438" s="195">
        <f t="shared" si="47"/>
        <v>1.8612000000000002</v>
      </c>
      <c r="M438" s="195">
        <f>AVERAGE(Ashed_controlls!$K$2:$K$11)</f>
        <v>5.5147656768714146</v>
      </c>
      <c r="N438" s="195">
        <f t="shared" si="45"/>
        <v>1.8472</v>
      </c>
      <c r="O438" s="16">
        <f>IF('WetLitterbags placem_collection'!G145="N.A","",'WetLitterbags placem_collection'!G145)</f>
        <v>42816</v>
      </c>
      <c r="P438" s="195">
        <f>IF(IFERROR(INDEX('Both teabags AfterWet'!$C$3:$C$841,MATCH(H438,'Both teabags AfterWet'!$A$3:$A$841,0)),"")="N.A","",(IFERROR(INDEX('Both teabags AfterWet'!$C$3:$C$841,MATCH(H438,'Both teabags AfterWet'!$A$3:$A$841,0)),"")))</f>
        <v>0.67500000000000004</v>
      </c>
      <c r="Q438" s="195">
        <f>IFERROR(INDEX('Both teabags AfterWet'!$C$3:$C$841,MATCH(I438,'Both teabags AfterWet'!$A$3:$A$841,0)),"")</f>
        <v>1.5908</v>
      </c>
      <c r="R438" s="195">
        <f t="shared" si="48"/>
        <v>0.52439999999999998</v>
      </c>
      <c r="S438" s="195">
        <f t="shared" si="48"/>
        <v>1.4401999999999999</v>
      </c>
      <c r="T438" s="195">
        <f t="shared" si="49"/>
        <v>0.71824629271437779</v>
      </c>
      <c r="U438" s="195">
        <f t="shared" si="50"/>
        <v>0.4708693035372169</v>
      </c>
      <c r="V438" s="195">
        <f t="shared" si="51"/>
        <v>0.77966652230402766</v>
      </c>
      <c r="W438">
        <f t="shared" si="46"/>
        <v>54</v>
      </c>
      <c r="X438" s="195">
        <f t="shared" si="52"/>
        <v>0.14697589938909994</v>
      </c>
      <c r="Y438" s="195">
        <f t="shared" si="53"/>
        <v>1.1684789642562268E-2</v>
      </c>
      <c r="Z438" s="255" t="str">
        <f>IF(ISNUMBER(SEARCH("C",'WetLitterbags placem_collection'!W365)),"YES","NO")</f>
        <v>NO</v>
      </c>
      <c r="AA438" s="255" t="str">
        <f>IF(ISNUMBER(SEARCH("H", 'WetLitterbags placem_collection'!Y145)),"YES","NO")</f>
        <v>NO</v>
      </c>
      <c r="AB438" s="255" t="str">
        <f>IF(ISNUMBER(SEARCH("R", 'WetLitterbags placem_collection'!WY145)),"YES","NO")</f>
        <v>NO</v>
      </c>
      <c r="AC438" s="255" t="str">
        <f>IF(ISNUMBER(SEARCH("C", 'WetLitterbags placem_collection'!VX145)),"YES","NO")</f>
        <v>NO</v>
      </c>
      <c r="AD438" s="255" t="str">
        <f>IF(ISNUMBER(SEARCH("H", 'WetLitterbags placem_collection'!X145)),"YES","NO")</f>
        <v>NO</v>
      </c>
      <c r="AE438" s="255" t="str">
        <f>IF(ISNUMBER(SEARCH("R", 'WetLitterbags placem_collection'!X145)),"YES","NO")</f>
        <v>YES</v>
      </c>
    </row>
    <row r="439" spans="2:31">
      <c r="B439" t="str">
        <f>'Final data_for_R_analysis_Wetse'!A585</f>
        <v>Wet</v>
      </c>
      <c r="C439" s="263">
        <f>'Final data_for_R_analysis_Wetse'!B585</f>
        <v>144</v>
      </c>
      <c r="D439" t="s">
        <v>3848</v>
      </c>
      <c r="E439" t="s">
        <v>25</v>
      </c>
      <c r="F439" s="387">
        <v>8</v>
      </c>
      <c r="G439" s="16">
        <f>'WetLitterbags placem_collection'!E146</f>
        <v>42762</v>
      </c>
      <c r="H439" s="92" t="str">
        <f>'Final data_for_R_analysis_Wetse'!J585</f>
        <v>G894</v>
      </c>
      <c r="I439" t="str">
        <f>'Final data_for_R_analysis_Wetse'!J805</f>
        <v>R15</v>
      </c>
      <c r="J439">
        <f>IFERROR(INDEX('Green_rooibos initial weight'!$C$5:$C$1749,MATCH(H439, 'Green_rooibos initial weight'!$A$5:$A$1749,0)),"")</f>
        <v>1.9630000000000001</v>
      </c>
      <c r="K439">
        <f>IFERROR(INDEX('Green_rooibos initial weight'!$C$5:$C$1749,MATCH(I439, 'Green_rooibos initial weight'!$A$5:$A$1749,0)),"")</f>
        <v>2.2269999999999999</v>
      </c>
      <c r="L439" s="195">
        <f t="shared" si="47"/>
        <v>1.7132000000000001</v>
      </c>
      <c r="M439" s="195">
        <f>AVERAGE(Ashed_controlls!$K$2:$K$11)</f>
        <v>5.5147656768714146</v>
      </c>
      <c r="N439" s="195">
        <f t="shared" si="45"/>
        <v>1.9771999999999998</v>
      </c>
      <c r="O439" s="16">
        <f>IF('WetLitterbags placem_collection'!G146="N.A","",'WetLitterbags placem_collection'!G146)</f>
        <v>42816</v>
      </c>
      <c r="P439" s="195">
        <f>IF(IFERROR(INDEX('Both teabags AfterWet'!$C$3:$C$841,MATCH(H439,'Both teabags AfterWet'!$A$3:$A$841,0)),"")="N.A","",(IFERROR(INDEX('Both teabags AfterWet'!$C$3:$C$841,MATCH(H439,'Both teabags AfterWet'!$A$3:$A$841,0)),"")))</f>
        <v>0.68200000000000005</v>
      </c>
      <c r="Q439" s="195">
        <f>IFERROR(INDEX('Both teabags AfterWet'!$C$3:$C$841,MATCH(I439,'Both teabags AfterWet'!$A$3:$A$841,0)),"")</f>
        <v>1.7290000000000001</v>
      </c>
      <c r="R439" s="195">
        <f t="shared" si="48"/>
        <v>0.53140000000000009</v>
      </c>
      <c r="S439" s="195">
        <f t="shared" si="48"/>
        <v>1.5784</v>
      </c>
      <c r="T439" s="195">
        <f t="shared" si="49"/>
        <v>0.68982021947233241</v>
      </c>
      <c r="U439" s="195">
        <f t="shared" si="50"/>
        <v>0.45223368307449829</v>
      </c>
      <c r="V439" s="195">
        <f t="shared" si="51"/>
        <v>0.79830062714950445</v>
      </c>
      <c r="W439">
        <f t="shared" si="46"/>
        <v>54</v>
      </c>
      <c r="X439" s="195">
        <f t="shared" si="52"/>
        <v>0.18073608138677855</v>
      </c>
      <c r="Y439" s="195">
        <f t="shared" si="53"/>
        <v>1.0937095668136587E-2</v>
      </c>
      <c r="Z439" s="255" t="str">
        <f>IF(ISNUMBER(SEARCH("C",'WetLitterbags placem_collection'!W366)),"YES","NO")</f>
        <v>NO</v>
      </c>
      <c r="AA439" s="255" t="str">
        <f>IF(ISNUMBER(SEARCH("H", 'WetLitterbags placem_collection'!Y146)),"YES","NO")</f>
        <v>NO</v>
      </c>
      <c r="AB439" s="255" t="str">
        <f>IF(ISNUMBER(SEARCH("R", 'WetLitterbags placem_collection'!WY146)),"YES","NO")</f>
        <v>NO</v>
      </c>
      <c r="AC439" s="255" t="str">
        <f>IF(ISNUMBER(SEARCH("C", 'WetLitterbags placem_collection'!VX146)),"YES","NO")</f>
        <v>NO</v>
      </c>
      <c r="AD439" s="255" t="str">
        <f>IF(ISNUMBER(SEARCH("H", 'WetLitterbags placem_collection'!X146)),"YES","NO")</f>
        <v>NO</v>
      </c>
      <c r="AE439" s="255" t="str">
        <f>IF(ISNUMBER(SEARCH("R", 'WetLitterbags placem_collection'!X146)),"YES","NO")</f>
        <v>YES</v>
      </c>
    </row>
    <row r="440" spans="2:31">
      <c r="B440" t="str">
        <f>'Final data_for_R_analysis_Wetse'!A586</f>
        <v>Wet</v>
      </c>
      <c r="C440" s="263">
        <f>'Final data_for_R_analysis_Wetse'!B586</f>
        <v>145</v>
      </c>
      <c r="D440" t="s">
        <v>3849</v>
      </c>
      <c r="E440" t="s">
        <v>25</v>
      </c>
      <c r="F440" s="386">
        <v>1</v>
      </c>
      <c r="G440" s="16">
        <f>'WetLitterbags placem_collection'!E147</f>
        <v>42762</v>
      </c>
      <c r="H440" s="92" t="str">
        <f>'Final data_for_R_analysis_Wetse'!J586</f>
        <v>G653</v>
      </c>
      <c r="I440" t="str">
        <f>'Final data_for_R_analysis_Wetse'!J806</f>
        <v>R40</v>
      </c>
      <c r="J440">
        <f>IFERROR(INDEX('Green_rooibos initial weight'!$C$5:$C$1749,MATCH(H440, 'Green_rooibos initial weight'!$A$5:$A$1749,0)),"")</f>
        <v>2.089</v>
      </c>
      <c r="K440">
        <f>IFERROR(INDEX('Green_rooibos initial weight'!$C$5:$C$1749,MATCH(I440, 'Green_rooibos initial weight'!$A$5:$A$1749,0)),"")</f>
        <v>2.121</v>
      </c>
      <c r="L440" s="195">
        <f t="shared" si="47"/>
        <v>1.8391999999999999</v>
      </c>
      <c r="M440" s="195">
        <f>AVERAGE(Ashed_controlls!$K$2:$K$11)</f>
        <v>5.5147656768714146</v>
      </c>
      <c r="N440" s="195">
        <f t="shared" si="45"/>
        <v>1.8712</v>
      </c>
      <c r="O440" s="16">
        <f>IF('WetLitterbags placem_collection'!G147="N.A","",'WetLitterbags placem_collection'!G147)</f>
        <v>42815</v>
      </c>
      <c r="P440" s="195">
        <f>IF(IFERROR(INDEX('Both teabags AfterWet'!$C$3:$C$841,MATCH(H440,'Both teabags AfterWet'!$A$3:$A$841,0)),"")="N.A","",(IFERROR(INDEX('Both teabags AfterWet'!$C$3:$C$841,MATCH(H440,'Both teabags AfterWet'!$A$3:$A$841,0)),"")))</f>
        <v>0.69799999999999995</v>
      </c>
      <c r="Q440" s="195">
        <f>IFERROR(INDEX('Both teabags AfterWet'!$C$3:$C$841,MATCH(I440,'Both teabags AfterWet'!$A$3:$A$841,0)),"")</f>
        <v>1.589</v>
      </c>
      <c r="R440" s="195">
        <f t="shared" si="48"/>
        <v>0.54739999999999989</v>
      </c>
      <c r="S440" s="195">
        <f t="shared" si="48"/>
        <v>1.4383999999999999</v>
      </c>
      <c r="T440" s="195">
        <f t="shared" si="49"/>
        <v>0.70237059591126583</v>
      </c>
      <c r="U440" s="195">
        <f t="shared" si="50"/>
        <v>0.46046148330524794</v>
      </c>
      <c r="V440" s="195">
        <f t="shared" si="51"/>
        <v>0.76870457460453179</v>
      </c>
      <c r="W440">
        <f t="shared" si="46"/>
        <v>53</v>
      </c>
      <c r="X440" s="195">
        <f t="shared" si="52"/>
        <v>0.16583064618614507</v>
      </c>
      <c r="Y440" s="195">
        <f t="shared" si="53"/>
        <v>1.3165704277186913E-2</v>
      </c>
      <c r="Z440" s="255" t="str">
        <f>IF(ISNUMBER(SEARCH("C",'WetLitterbags placem_collection'!W367)),"YES","NO")</f>
        <v>NO</v>
      </c>
      <c r="AA440" s="255" t="str">
        <f>IF(ISNUMBER(SEARCH("H", 'WetLitterbags placem_collection'!Y147)),"YES","NO")</f>
        <v>NO</v>
      </c>
      <c r="AB440" s="255" t="str">
        <f>IF(ISNUMBER(SEARCH("R", 'WetLitterbags placem_collection'!WY147)),"YES","NO")</f>
        <v>NO</v>
      </c>
      <c r="AC440" s="255" t="str">
        <f>IF(ISNUMBER(SEARCH("C", 'WetLitterbags placem_collection'!VX147)),"YES","NO")</f>
        <v>NO</v>
      </c>
      <c r="AD440" s="255" t="str">
        <f>IF(ISNUMBER(SEARCH("H", 'WetLitterbags placem_collection'!X147)),"YES","NO")</f>
        <v>NO</v>
      </c>
      <c r="AE440" s="255" t="str">
        <f>IF(ISNUMBER(SEARCH("R", 'WetLitterbags placem_collection'!X147)),"YES","NO")</f>
        <v>NO</v>
      </c>
    </row>
    <row r="441" spans="2:31">
      <c r="B441" t="str">
        <f>'Final data_for_R_analysis_Wetse'!A587</f>
        <v>Wet</v>
      </c>
      <c r="C441" s="263">
        <f>'Final data_for_R_analysis_Wetse'!B587</f>
        <v>146</v>
      </c>
      <c r="D441" t="s">
        <v>3849</v>
      </c>
      <c r="E441" t="s">
        <v>25</v>
      </c>
      <c r="F441" s="386">
        <v>2</v>
      </c>
      <c r="G441" s="16">
        <f>'WetLitterbags placem_collection'!E148</f>
        <v>42762</v>
      </c>
      <c r="H441" s="92" t="str">
        <f>'Final data_for_R_analysis_Wetse'!J587</f>
        <v>G762</v>
      </c>
      <c r="I441" t="str">
        <f>'Final data_for_R_analysis_Wetse'!J807</f>
        <v>R468</v>
      </c>
      <c r="J441">
        <f>IFERROR(INDEX('Green_rooibos initial weight'!$C$5:$C$1749,MATCH(H441, 'Green_rooibos initial weight'!$A$5:$A$1749,0)),"")</f>
        <v>2.016</v>
      </c>
      <c r="K441">
        <f>IFERROR(INDEX('Green_rooibos initial weight'!$C$5:$C$1749,MATCH(I441, 'Green_rooibos initial weight'!$A$5:$A$1749,0)),"")</f>
        <v>2.2869999999999999</v>
      </c>
      <c r="L441" s="195">
        <f t="shared" si="47"/>
        <v>1.7662</v>
      </c>
      <c r="M441" s="195">
        <f>AVERAGE(Ashed_controlls!$K$2:$K$11)</f>
        <v>5.5147656768714146</v>
      </c>
      <c r="N441" s="195">
        <f t="shared" si="45"/>
        <v>2.0371999999999999</v>
      </c>
      <c r="O441" s="16">
        <f>IF('WetLitterbags placem_collection'!G148="N.A","",'WetLitterbags placem_collection'!G148)</f>
        <v>42815</v>
      </c>
      <c r="P441" s="195">
        <f>IF(IFERROR(INDEX('Both teabags AfterWet'!$C$3:$C$841,MATCH(H441,'Both teabags AfterWet'!$A$3:$A$841,0)),"")="N.A","",(IFERROR(INDEX('Both teabags AfterWet'!$C$3:$C$841,MATCH(H441,'Both teabags AfterWet'!$A$3:$A$841,0)),"")))</f>
        <v>0.59199999999999997</v>
      </c>
      <c r="Q441" s="195">
        <f>IFERROR(INDEX('Both teabags AfterWet'!$C$3:$C$841,MATCH(I441,'Both teabags AfterWet'!$A$3:$A$841,0)),"")</f>
        <v>1.657</v>
      </c>
      <c r="R441" s="195">
        <f t="shared" si="48"/>
        <v>0.44139999999999996</v>
      </c>
      <c r="S441" s="195">
        <f t="shared" si="48"/>
        <v>1.5064</v>
      </c>
      <c r="T441" s="195">
        <f t="shared" si="49"/>
        <v>0.75008492809421357</v>
      </c>
      <c r="U441" s="195">
        <f t="shared" si="50"/>
        <v>0.49174213813302364</v>
      </c>
      <c r="V441" s="195">
        <f t="shared" si="51"/>
        <v>0.73944629884154722</v>
      </c>
      <c r="W441">
        <f t="shared" si="46"/>
        <v>53</v>
      </c>
      <c r="X441" s="195">
        <f t="shared" si="52"/>
        <v>0.10916279323727607</v>
      </c>
      <c r="Y441" s="195">
        <f t="shared" si="53"/>
        <v>1.424002541795168E-2</v>
      </c>
      <c r="Z441" s="255" t="str">
        <f>IF(ISNUMBER(SEARCH("C",'WetLitterbags placem_collection'!W368)),"YES","NO")</f>
        <v>NO</v>
      </c>
      <c r="AA441" s="255" t="str">
        <f>IF(ISNUMBER(SEARCH("H", 'WetLitterbags placem_collection'!Y148)),"YES","NO")</f>
        <v>NO</v>
      </c>
      <c r="AB441" s="255" t="str">
        <f>IF(ISNUMBER(SEARCH("R", 'WetLitterbags placem_collection'!WY148)),"YES","NO")</f>
        <v>NO</v>
      </c>
      <c r="AC441" s="255" t="str">
        <f>IF(ISNUMBER(SEARCH("C", 'WetLitterbags placem_collection'!VX148)),"YES","NO")</f>
        <v>NO</v>
      </c>
      <c r="AD441" s="255" t="str">
        <f>IF(ISNUMBER(SEARCH("H", 'WetLitterbags placem_collection'!X148)),"YES","NO")</f>
        <v>NO</v>
      </c>
      <c r="AE441" s="255" t="str">
        <f>IF(ISNUMBER(SEARCH("R", 'WetLitterbags placem_collection'!X148)),"YES","NO")</f>
        <v>YES</v>
      </c>
    </row>
    <row r="442" spans="2:31">
      <c r="B442" t="str">
        <f>'Final data_for_R_analysis_Wetse'!A588</f>
        <v>Wet</v>
      </c>
      <c r="C442" s="263">
        <f>'Final data_for_R_analysis_Wetse'!B588</f>
        <v>147</v>
      </c>
      <c r="D442" t="s">
        <v>3849</v>
      </c>
      <c r="E442" t="s">
        <v>25</v>
      </c>
      <c r="F442" s="386">
        <v>3</v>
      </c>
      <c r="G442" s="16">
        <f>'WetLitterbags placem_collection'!E149</f>
        <v>42762</v>
      </c>
      <c r="H442" s="92" t="str">
        <f>'Final data_for_R_analysis_Wetse'!J588</f>
        <v>G878</v>
      </c>
      <c r="I442" t="str">
        <f>'Final data_for_R_analysis_Wetse'!J808</f>
        <v>R582</v>
      </c>
      <c r="J442">
        <f>IFERROR(INDEX('Green_rooibos initial weight'!$C$5:$C$1749,MATCH(H442, 'Green_rooibos initial weight'!$A$5:$A$1749,0)),"")</f>
        <v>2.0939999999999999</v>
      </c>
      <c r="K442">
        <f>IFERROR(INDEX('Green_rooibos initial weight'!$C$5:$C$1749,MATCH(I442, 'Green_rooibos initial weight'!$A$5:$A$1749,0)),"")</f>
        <v>2.2360000000000002</v>
      </c>
      <c r="L442" s="195">
        <f t="shared" si="47"/>
        <v>1.8441999999999998</v>
      </c>
      <c r="M442" s="195">
        <f>AVERAGE(Ashed_controlls!$K$2:$K$11)</f>
        <v>5.5147656768714146</v>
      </c>
      <c r="N442" s="195">
        <f t="shared" si="45"/>
        <v>1.9862000000000002</v>
      </c>
      <c r="O442" s="16">
        <f>IF('WetLitterbags placem_collection'!G149="N.A","",'WetLitterbags placem_collection'!G149)</f>
        <v>42816</v>
      </c>
      <c r="P442" s="195">
        <f>IF(IFERROR(INDEX('Both teabags AfterWet'!$C$3:$C$841,MATCH(H442,'Both teabags AfterWet'!$A$3:$A$841,0)),"")="N.A","",(IFERROR(INDEX('Both teabags AfterWet'!$C$3:$C$841,MATCH(H442,'Both teabags AfterWet'!$A$3:$A$841,0)),"")))</f>
        <v>0.628</v>
      </c>
      <c r="Q442" s="195">
        <f>IFERROR(INDEX('Both teabags AfterWet'!$C$3:$C$841,MATCH(I442,'Both teabags AfterWet'!$A$3:$A$841,0)),"")</f>
        <v>1.742</v>
      </c>
      <c r="R442" s="195">
        <f t="shared" si="48"/>
        <v>0.47739999999999999</v>
      </c>
      <c r="S442" s="195">
        <f t="shared" si="48"/>
        <v>1.5913999999999999</v>
      </c>
      <c r="T442" s="195">
        <f t="shared" si="49"/>
        <v>0.74113436720529224</v>
      </c>
      <c r="U442" s="195">
        <f t="shared" si="50"/>
        <v>0.48587431199206815</v>
      </c>
      <c r="V442" s="195">
        <f t="shared" si="51"/>
        <v>0.80122847648776552</v>
      </c>
      <c r="W442">
        <f t="shared" si="46"/>
        <v>54</v>
      </c>
      <c r="X442" s="195">
        <f t="shared" si="52"/>
        <v>0.11979291305784767</v>
      </c>
      <c r="Y442" s="195">
        <f t="shared" si="53"/>
        <v>9.7427717314761807E-3</v>
      </c>
      <c r="Z442" s="255" t="str">
        <f>IF(ISNUMBER(SEARCH("C",'WetLitterbags placem_collection'!W369)),"YES","NO")</f>
        <v>NO</v>
      </c>
      <c r="AA442" s="255" t="str">
        <f>IF(ISNUMBER(SEARCH("H", 'WetLitterbags placem_collection'!Y149)),"YES","NO")</f>
        <v>NO</v>
      </c>
      <c r="AB442" s="255" t="str">
        <f>IF(ISNUMBER(SEARCH("R", 'WetLitterbags placem_collection'!WY149)),"YES","NO")</f>
        <v>NO</v>
      </c>
      <c r="AC442" s="255" t="str">
        <f>IF(ISNUMBER(SEARCH("C", 'WetLitterbags placem_collection'!VX149)),"YES","NO")</f>
        <v>NO</v>
      </c>
      <c r="AD442" s="255" t="str">
        <f>IF(ISNUMBER(SEARCH("H", 'WetLitterbags placem_collection'!X149)),"YES","NO")</f>
        <v>NO</v>
      </c>
      <c r="AE442" s="255" t="str">
        <f>IF(ISNUMBER(SEARCH("R", 'WetLitterbags placem_collection'!X149)),"YES","NO")</f>
        <v>NO</v>
      </c>
    </row>
    <row r="443" spans="2:31">
      <c r="B443" t="str">
        <f>'Final data_for_R_analysis_Wetse'!A589</f>
        <v>Wet</v>
      </c>
      <c r="C443" s="263">
        <f>'Final data_for_R_analysis_Wetse'!B589</f>
        <v>148</v>
      </c>
      <c r="D443" t="s">
        <v>3849</v>
      </c>
      <c r="E443" t="s">
        <v>25</v>
      </c>
      <c r="F443" s="387">
        <v>4</v>
      </c>
      <c r="G443" s="16">
        <f>'WetLitterbags placem_collection'!E150</f>
        <v>42762</v>
      </c>
      <c r="H443" s="92" t="str">
        <f>'Final data_for_R_analysis_Wetse'!J589</f>
        <v>G807</v>
      </c>
      <c r="I443" t="str">
        <f>'Final data_for_R_analysis_Wetse'!J809</f>
        <v>R20</v>
      </c>
      <c r="J443">
        <f>IFERROR(INDEX('Green_rooibos initial weight'!$C$5:$C$1749,MATCH(H443, 'Green_rooibos initial weight'!$A$5:$A$1749,0)),"")</f>
        <v>2.0310000000000001</v>
      </c>
      <c r="K443">
        <f>IFERROR(INDEX('Green_rooibos initial weight'!$C$5:$C$1749,MATCH(I443, 'Green_rooibos initial weight'!$A$5:$A$1749,0)),"")</f>
        <v>2.2400000000000002</v>
      </c>
      <c r="L443" s="195">
        <f t="shared" si="47"/>
        <v>1.7812000000000001</v>
      </c>
      <c r="M443" s="195">
        <f>AVERAGE(Ashed_controlls!$K$2:$K$11)</f>
        <v>5.5147656768714146</v>
      </c>
      <c r="N443" s="195">
        <f t="shared" si="45"/>
        <v>1.9902000000000002</v>
      </c>
      <c r="O443" s="16">
        <f>IF('WetLitterbags placem_collection'!G150="N.A","",'WetLitterbags placem_collection'!G150)</f>
        <v>42816</v>
      </c>
      <c r="P443" s="195">
        <f>IF(IFERROR(INDEX('Both teabags AfterWet'!$C$3:$C$841,MATCH(H443,'Both teabags AfterWet'!$A$3:$A$841,0)),"")="N.A","",(IFERROR(INDEX('Both teabags AfterWet'!$C$3:$C$841,MATCH(H443,'Both teabags AfterWet'!$A$3:$A$841,0)),"")))</f>
        <v>0.74309999999999998</v>
      </c>
      <c r="Q443" s="195">
        <f>IFERROR(INDEX('Both teabags AfterWet'!$C$3:$C$841,MATCH(I443,'Both teabags AfterWet'!$A$3:$A$841,0)),"")</f>
        <v>1.6375999999999999</v>
      </c>
      <c r="R443" s="195">
        <f t="shared" si="48"/>
        <v>0.59250000000000003</v>
      </c>
      <c r="S443" s="195">
        <f t="shared" si="48"/>
        <v>1.4869999999999999</v>
      </c>
      <c r="T443" s="195">
        <f t="shared" si="49"/>
        <v>0.66735908376375486</v>
      </c>
      <c r="U443" s="195">
        <f t="shared" si="50"/>
        <v>0.43750856797813864</v>
      </c>
      <c r="V443" s="195">
        <f t="shared" si="51"/>
        <v>0.74716108933775482</v>
      </c>
      <c r="W443">
        <f t="shared" si="46"/>
        <v>54</v>
      </c>
      <c r="X443" s="195">
        <f t="shared" si="52"/>
        <v>0.20741201453235758</v>
      </c>
      <c r="Y443" s="195">
        <f t="shared" si="53"/>
        <v>1.597273512512018E-2</v>
      </c>
      <c r="Z443" s="255" t="str">
        <f>IF(ISNUMBER(SEARCH("C",'WetLitterbags placem_collection'!W370)),"YES","NO")</f>
        <v>NO</v>
      </c>
      <c r="AA443" s="255" t="str">
        <f>IF(ISNUMBER(SEARCH("H", 'WetLitterbags placem_collection'!Y150)),"YES","NO")</f>
        <v>NO</v>
      </c>
      <c r="AB443" s="255" t="str">
        <f>IF(ISNUMBER(SEARCH("R", 'WetLitterbags placem_collection'!WY150)),"YES","NO")</f>
        <v>NO</v>
      </c>
      <c r="AC443" s="255" t="str">
        <f>IF(ISNUMBER(SEARCH("C", 'WetLitterbags placem_collection'!VX150)),"YES","NO")</f>
        <v>NO</v>
      </c>
      <c r="AD443" s="255" t="str">
        <f>IF(ISNUMBER(SEARCH("H", 'WetLitterbags placem_collection'!X150)),"YES","NO")</f>
        <v>NO</v>
      </c>
      <c r="AE443" s="255" t="str">
        <f>IF(ISNUMBER(SEARCH("R", 'WetLitterbags placem_collection'!X150)),"YES","NO")</f>
        <v>YES</v>
      </c>
    </row>
    <row r="444" spans="2:31">
      <c r="B444" t="str">
        <f>'Final data_for_R_analysis_Wetse'!A590</f>
        <v>Wet</v>
      </c>
      <c r="C444" s="263">
        <f>'Final data_for_R_analysis_Wetse'!B590</f>
        <v>149</v>
      </c>
      <c r="D444" t="s">
        <v>3849</v>
      </c>
      <c r="E444" t="s">
        <v>25</v>
      </c>
      <c r="F444" s="387">
        <v>5</v>
      </c>
      <c r="G444" s="16">
        <f>'WetLitterbags placem_collection'!E151</f>
        <v>42762</v>
      </c>
      <c r="H444" s="92" t="str">
        <f>'Final data_for_R_analysis_Wetse'!J590</f>
        <v>G696</v>
      </c>
      <c r="I444" t="str">
        <f>'Final data_for_R_analysis_Wetse'!J810</f>
        <v>R533</v>
      </c>
      <c r="J444">
        <f>IFERROR(INDEX('Green_rooibos initial weight'!$C$5:$C$1749,MATCH(H444, 'Green_rooibos initial weight'!$A$5:$A$1749,0)),"")</f>
        <v>2.036</v>
      </c>
      <c r="K444">
        <f>IFERROR(INDEX('Green_rooibos initial weight'!$C$5:$C$1749,MATCH(I444, 'Green_rooibos initial weight'!$A$5:$A$1749,0)),"")</f>
        <v>2.1970000000000001</v>
      </c>
      <c r="L444" s="195">
        <f t="shared" si="47"/>
        <v>1.7862</v>
      </c>
      <c r="M444" s="195">
        <f>AVERAGE(Ashed_controlls!$K$2:$K$11)</f>
        <v>5.5147656768714146</v>
      </c>
      <c r="N444" s="195">
        <f t="shared" si="45"/>
        <v>1.9472</v>
      </c>
      <c r="O444" s="16">
        <f>IF('WetLitterbags placem_collection'!G151="N.A","",'WetLitterbags placem_collection'!G151)</f>
        <v>42816</v>
      </c>
      <c r="P444" s="195">
        <f>IF(IFERROR(INDEX('Both teabags AfterWet'!$C$3:$C$841,MATCH(H444,'Both teabags AfterWet'!$A$3:$A$841,0)),"")="N.A","",(IFERROR(INDEX('Both teabags AfterWet'!$C$3:$C$841,MATCH(H444,'Both teabags AfterWet'!$A$3:$A$841,0)),"")))</f>
        <v>0.82469999999999999</v>
      </c>
      <c r="Q444" s="195">
        <f>IFERROR(INDEX('Both teabags AfterWet'!$C$3:$C$841,MATCH(I444,'Both teabags AfterWet'!$A$3:$A$841,0)),"")</f>
        <v>1.7899</v>
      </c>
      <c r="R444" s="195">
        <f t="shared" si="48"/>
        <v>0.67409999999999992</v>
      </c>
      <c r="S444" s="195">
        <f t="shared" si="48"/>
        <v>1.6393</v>
      </c>
      <c r="T444" s="195">
        <f t="shared" si="49"/>
        <v>0.62260665099093049</v>
      </c>
      <c r="U444" s="195">
        <f t="shared" si="50"/>
        <v>0.40816968093467182</v>
      </c>
      <c r="V444" s="195">
        <f t="shared" si="51"/>
        <v>0.84187551355792933</v>
      </c>
      <c r="W444">
        <f t="shared" si="46"/>
        <v>54</v>
      </c>
      <c r="X444" s="195">
        <f t="shared" si="52"/>
        <v>0.26056217221979749</v>
      </c>
      <c r="Y444" s="195">
        <f t="shared" si="53"/>
        <v>9.0748387610672925E-3</v>
      </c>
      <c r="Z444" s="255" t="str">
        <f>IF(ISNUMBER(SEARCH("C",'WetLitterbags placem_collection'!W371)),"YES","NO")</f>
        <v>NO</v>
      </c>
      <c r="AA444" s="255" t="str">
        <f>IF(ISNUMBER(SEARCH("H", 'WetLitterbags placem_collection'!Y151)),"YES","NO")</f>
        <v>NO</v>
      </c>
      <c r="AB444" s="255" t="str">
        <f>IF(ISNUMBER(SEARCH("R", 'WetLitterbags placem_collection'!WY151)),"YES","NO")</f>
        <v>NO</v>
      </c>
      <c r="AC444" s="255" t="str">
        <f>IF(ISNUMBER(SEARCH("C", 'WetLitterbags placem_collection'!VX151)),"YES","NO")</f>
        <v>NO</v>
      </c>
      <c r="AD444" s="255" t="str">
        <f>IF(ISNUMBER(SEARCH("H", 'WetLitterbags placem_collection'!X151)),"YES","NO")</f>
        <v>NO</v>
      </c>
      <c r="AE444" s="255" t="str">
        <f>IF(ISNUMBER(SEARCH("R", 'WetLitterbags placem_collection'!X151)),"YES","NO")</f>
        <v>NO</v>
      </c>
    </row>
    <row r="445" spans="2:31">
      <c r="B445" t="str">
        <f>'Final data_for_R_analysis_Wetse'!A591</f>
        <v>Wet</v>
      </c>
      <c r="C445" s="263">
        <f>'Final data_for_R_analysis_Wetse'!B591</f>
        <v>150</v>
      </c>
      <c r="D445" t="s">
        <v>3849</v>
      </c>
      <c r="E445" t="s">
        <v>25</v>
      </c>
      <c r="F445" s="387">
        <v>6</v>
      </c>
      <c r="G445" s="16">
        <f>'WetLitterbags placem_collection'!E152</f>
        <v>42762</v>
      </c>
      <c r="H445" s="92" t="str">
        <f>'Final data_for_R_analysis_Wetse'!J591</f>
        <v>G801</v>
      </c>
      <c r="I445" t="str">
        <f>'Final data_for_R_analysis_Wetse'!J811</f>
        <v>R572</v>
      </c>
      <c r="J445">
        <f>IFERROR(INDEX('Green_rooibos initial weight'!$C$5:$C$1749,MATCH(H445, 'Green_rooibos initial weight'!$A$5:$A$1749,0)),"")</f>
        <v>2.0720000000000001</v>
      </c>
      <c r="K445">
        <f>IFERROR(INDEX('Green_rooibos initial weight'!$C$5:$C$1749,MATCH(I445, 'Green_rooibos initial weight'!$A$5:$A$1749,0)),"")</f>
        <v>2.0819999999999999</v>
      </c>
      <c r="L445" s="195">
        <f t="shared" si="47"/>
        <v>1.8222</v>
      </c>
      <c r="M445" s="195">
        <f>AVERAGE(Ashed_controlls!$K$2:$K$11)</f>
        <v>5.5147656768714146</v>
      </c>
      <c r="N445" s="195">
        <f t="shared" si="45"/>
        <v>1.8321999999999998</v>
      </c>
      <c r="O445" s="16">
        <f>IF('WetLitterbags placem_collection'!G152="N.A","",'WetLitterbags placem_collection'!G152)</f>
        <v>42816</v>
      </c>
      <c r="P445" s="195">
        <f>IF(IFERROR(INDEX('Both teabags AfterWet'!$C$3:$C$841,MATCH(H445,'Both teabags AfterWet'!$A$3:$A$841,0)),"")="N.A","",(IFERROR(INDEX('Both teabags AfterWet'!$C$3:$C$841,MATCH(H445,'Both teabags AfterWet'!$A$3:$A$841,0)),"")))</f>
        <v>0.60099999999999998</v>
      </c>
      <c r="Q445" s="195">
        <f>IFERROR(INDEX('Both teabags AfterWet'!$C$3:$C$841,MATCH(I445,'Both teabags AfterWet'!$A$3:$A$841,0)),"")</f>
        <v>1.5680000000000001</v>
      </c>
      <c r="R445" s="195">
        <f t="shared" si="48"/>
        <v>0.45039999999999997</v>
      </c>
      <c r="S445" s="195">
        <f t="shared" si="48"/>
        <v>1.4174</v>
      </c>
      <c r="T445" s="195">
        <f t="shared" si="49"/>
        <v>0.75282625397870706</v>
      </c>
      <c r="U445" s="195">
        <f t="shared" si="50"/>
        <v>0.49353930189577949</v>
      </c>
      <c r="V445" s="195">
        <f t="shared" si="51"/>
        <v>0.77360550158279673</v>
      </c>
      <c r="W445">
        <f t="shared" si="46"/>
        <v>54</v>
      </c>
      <c r="X445" s="195">
        <f t="shared" si="52"/>
        <v>0.10590706178300824</v>
      </c>
      <c r="Y445" s="195">
        <f t="shared" si="53"/>
        <v>1.1366882375683514E-2</v>
      </c>
      <c r="Z445" s="255" t="str">
        <f>IF(ISNUMBER(SEARCH("C",'WetLitterbags placem_collection'!W372)),"YES","NO")</f>
        <v>NO</v>
      </c>
      <c r="AA445" s="255" t="str">
        <f>IF(ISNUMBER(SEARCH("H", 'WetLitterbags placem_collection'!Y152)),"YES","NO")</f>
        <v>NO</v>
      </c>
      <c r="AB445" s="255" t="str">
        <f>IF(ISNUMBER(SEARCH("R", 'WetLitterbags placem_collection'!WY152)),"YES","NO")</f>
        <v>NO</v>
      </c>
      <c r="AC445" s="255" t="str">
        <f>IF(ISNUMBER(SEARCH("C", 'WetLitterbags placem_collection'!VX152)),"YES","NO")</f>
        <v>NO</v>
      </c>
      <c r="AD445" s="255" t="str">
        <f>IF(ISNUMBER(SEARCH("H", 'WetLitterbags placem_collection'!X152)),"YES","NO")</f>
        <v>NO</v>
      </c>
      <c r="AE445" s="255" t="str">
        <f>IF(ISNUMBER(SEARCH("R", 'WetLitterbags placem_collection'!X152)),"YES","NO")</f>
        <v>NO</v>
      </c>
    </row>
    <row r="446" spans="2:31">
      <c r="B446" t="str">
        <f>'Final data_for_R_analysis_Wetse'!A592</f>
        <v>Wet</v>
      </c>
      <c r="C446" s="263">
        <f>'Final data_for_R_analysis_Wetse'!B592</f>
        <v>151</v>
      </c>
      <c r="D446" t="s">
        <v>3849</v>
      </c>
      <c r="E446" t="s">
        <v>25</v>
      </c>
      <c r="F446" s="387">
        <v>7</v>
      </c>
      <c r="G446" s="16">
        <f>'WetLitterbags placem_collection'!E153</f>
        <v>42762</v>
      </c>
      <c r="H446" s="92" t="str">
        <f>'Final data_for_R_analysis_Wetse'!J592</f>
        <v>G647</v>
      </c>
      <c r="I446" t="str">
        <f>'Final data_for_R_analysis_Wetse'!J812</f>
        <v>R504</v>
      </c>
      <c r="J446">
        <f>IFERROR(INDEX('Green_rooibos initial weight'!$C$5:$C$1749,MATCH(H446, 'Green_rooibos initial weight'!$A$5:$A$1749,0)),"")</f>
        <v>2.1240000000000001</v>
      </c>
      <c r="K446">
        <f>IFERROR(INDEX('Green_rooibos initial weight'!$C$5:$C$1749,MATCH(I446, 'Green_rooibos initial weight'!$A$5:$A$1749,0)),"")</f>
        <v>2.1629999999999998</v>
      </c>
      <c r="L446" s="195">
        <f t="shared" si="47"/>
        <v>1.8742000000000001</v>
      </c>
      <c r="M446" s="195">
        <f>AVERAGE(Ashed_controlls!$K$2:$K$11)</f>
        <v>5.5147656768714146</v>
      </c>
      <c r="N446" s="195">
        <f t="shared" si="45"/>
        <v>1.9131999999999998</v>
      </c>
      <c r="O446" s="16">
        <f>IF('WetLitterbags placem_collection'!G153="N.A","",'WetLitterbags placem_collection'!G153)</f>
        <v>42816</v>
      </c>
      <c r="P446" s="195">
        <f>IF(IFERROR(INDEX('Both teabags AfterWet'!$C$3:$C$841,MATCH(H446,'Both teabags AfterWet'!$A$3:$A$841,0)),"")="N.A","",(IFERROR(INDEX('Both teabags AfterWet'!$C$3:$C$841,MATCH(H446,'Both teabags AfterWet'!$A$3:$A$841,0)),"")))</f>
        <v>0.78700000000000003</v>
      </c>
      <c r="Q446" s="195">
        <f>IFERROR(INDEX('Both teabags AfterWet'!$C$3:$C$841,MATCH(I446,'Both teabags AfterWet'!$A$3:$A$841,0)),"")</f>
        <v>1.798</v>
      </c>
      <c r="R446" s="195">
        <f t="shared" si="48"/>
        <v>0.63640000000000008</v>
      </c>
      <c r="S446" s="195">
        <f t="shared" si="48"/>
        <v>1.6474</v>
      </c>
      <c r="T446" s="195">
        <f t="shared" si="49"/>
        <v>0.6604417884964251</v>
      </c>
      <c r="U446" s="195">
        <f t="shared" si="50"/>
        <v>0.43297371407366592</v>
      </c>
      <c r="V446" s="195">
        <f t="shared" si="51"/>
        <v>0.86107045787162872</v>
      </c>
      <c r="W446">
        <f t="shared" si="46"/>
        <v>54</v>
      </c>
      <c r="X446" s="195">
        <f t="shared" si="52"/>
        <v>0.21562732957669228</v>
      </c>
      <c r="Y446" s="195">
        <f t="shared" si="53"/>
        <v>7.1656855345829957E-3</v>
      </c>
      <c r="Z446" s="255" t="str">
        <f>IF(ISNUMBER(SEARCH("C",'WetLitterbags placem_collection'!W373)),"YES","NO")</f>
        <v>NO</v>
      </c>
      <c r="AA446" s="255" t="str">
        <f>IF(ISNUMBER(SEARCH("H", 'WetLitterbags placem_collection'!Y153)),"YES","NO")</f>
        <v>NO</v>
      </c>
      <c r="AB446" s="255" t="str">
        <f>IF(ISNUMBER(SEARCH("R", 'WetLitterbags placem_collection'!WY153)),"YES","NO")</f>
        <v>NO</v>
      </c>
      <c r="AC446" s="255" t="str">
        <f>IF(ISNUMBER(SEARCH("C", 'WetLitterbags placem_collection'!VX153)),"YES","NO")</f>
        <v>NO</v>
      </c>
      <c r="AD446" s="255" t="str">
        <f>IF(ISNUMBER(SEARCH("H", 'WetLitterbags placem_collection'!X153)),"YES","NO")</f>
        <v>NO</v>
      </c>
      <c r="AE446" s="255" t="str">
        <f>IF(ISNUMBER(SEARCH("R", 'WetLitterbags placem_collection'!X153)),"YES","NO")</f>
        <v>YES</v>
      </c>
    </row>
    <row r="447" spans="2:31">
      <c r="B447" t="str">
        <f>'Final data_for_R_analysis_Wetse'!A593</f>
        <v>Wet</v>
      </c>
      <c r="C447" s="263">
        <f>'Final data_for_R_analysis_Wetse'!B593</f>
        <v>152</v>
      </c>
      <c r="D447" t="s">
        <v>3849</v>
      </c>
      <c r="E447" t="s">
        <v>25</v>
      </c>
      <c r="F447" s="387">
        <v>8</v>
      </c>
      <c r="G447" s="16">
        <f>'WetLitterbags placem_collection'!E154</f>
        <v>42762</v>
      </c>
      <c r="H447" s="92" t="str">
        <f>'Final data_for_R_analysis_Wetse'!J593</f>
        <v>G744</v>
      </c>
      <c r="I447" t="str">
        <f>'Final data_for_R_analysis_Wetse'!J813</f>
        <v>R579</v>
      </c>
      <c r="J447">
        <f>IFERROR(INDEX('Green_rooibos initial weight'!$C$5:$C$1749,MATCH(H447, 'Green_rooibos initial weight'!$A$5:$A$1749,0)),"")</f>
        <v>2.085</v>
      </c>
      <c r="K447">
        <f>IFERROR(INDEX('Green_rooibos initial weight'!$C$5:$C$1749,MATCH(I447, 'Green_rooibos initial weight'!$A$5:$A$1749,0)),"")</f>
        <v>2.1349999999999998</v>
      </c>
      <c r="L447" s="195">
        <f t="shared" si="47"/>
        <v>1.8351999999999999</v>
      </c>
      <c r="M447" s="195">
        <f>AVERAGE(Ashed_controlls!$K$2:$K$11)</f>
        <v>5.5147656768714146</v>
      </c>
      <c r="N447" s="195">
        <f t="shared" si="45"/>
        <v>1.8851999999999998</v>
      </c>
      <c r="O447" s="16">
        <f>IF('WetLitterbags placem_collection'!G154="N.A","",'WetLitterbags placem_collection'!G154)</f>
        <v>42816</v>
      </c>
      <c r="P447" s="195">
        <f>IF(IFERROR(INDEX('Both teabags AfterWet'!$C$3:$C$841,MATCH(H447,'Both teabags AfterWet'!$A$3:$A$841,0)),"")="N.A","",(IFERROR(INDEX('Both teabags AfterWet'!$C$3:$C$841,MATCH(H447,'Both teabags AfterWet'!$A$3:$A$841,0)),"")))</f>
        <v>0.62919999999999998</v>
      </c>
      <c r="Q447" s="195">
        <f>IFERROR(INDEX('Both teabags AfterWet'!$C$3:$C$841,MATCH(I447,'Both teabags AfterWet'!$A$3:$A$841,0)),"")</f>
        <v>1.5234000000000001</v>
      </c>
      <c r="R447" s="195">
        <f t="shared" si="48"/>
        <v>0.47859999999999997</v>
      </c>
      <c r="S447" s="195">
        <f t="shared" si="48"/>
        <v>1.3728</v>
      </c>
      <c r="T447" s="195">
        <f t="shared" si="49"/>
        <v>0.73921098517872719</v>
      </c>
      <c r="U447" s="195">
        <f t="shared" si="50"/>
        <v>0.48461337745683786</v>
      </c>
      <c r="V447" s="195">
        <f t="shared" si="51"/>
        <v>0.72819859961807776</v>
      </c>
      <c r="W447">
        <f t="shared" si="46"/>
        <v>54</v>
      </c>
      <c r="X447" s="195">
        <f t="shared" si="52"/>
        <v>0.12207721475210542</v>
      </c>
      <c r="Y447" s="195">
        <f t="shared" si="53"/>
        <v>1.5239673593024965E-2</v>
      </c>
      <c r="Z447" s="255" t="str">
        <f>IF(ISNUMBER(SEARCH("C",'WetLitterbags placem_collection'!W374)),"YES","NO")</f>
        <v>NO</v>
      </c>
      <c r="AA447" s="255" t="str">
        <f>IF(ISNUMBER(SEARCH("H", 'WetLitterbags placem_collection'!Y154)),"YES","NO")</f>
        <v>NO</v>
      </c>
      <c r="AB447" s="255" t="str">
        <f>IF(ISNUMBER(SEARCH("R", 'WetLitterbags placem_collection'!WY154)),"YES","NO")</f>
        <v>NO</v>
      </c>
      <c r="AC447" s="255" t="str">
        <f>IF(ISNUMBER(SEARCH("C", 'WetLitterbags placem_collection'!VX154)),"YES","NO")</f>
        <v>NO</v>
      </c>
      <c r="AD447" s="255" t="str">
        <f>IF(ISNUMBER(SEARCH("H", 'WetLitterbags placem_collection'!X154)),"YES","NO")</f>
        <v>NO</v>
      </c>
      <c r="AE447" s="255" t="str">
        <f>IF(ISNUMBER(SEARCH("R", 'WetLitterbags placem_collection'!X154)),"YES","NO")</f>
        <v>YES</v>
      </c>
    </row>
    <row r="448" spans="2:31">
      <c r="B448" t="str">
        <f>'Final data_for_R_analysis_Wetse'!A594</f>
        <v>Wet</v>
      </c>
      <c r="C448" s="263">
        <f>'Final data_for_R_analysis_Wetse'!B594</f>
        <v>153</v>
      </c>
      <c r="D448" t="s">
        <v>3850</v>
      </c>
      <c r="E448" t="s">
        <v>25</v>
      </c>
      <c r="F448" s="386">
        <v>1</v>
      </c>
      <c r="G448" s="16">
        <f>'WetLitterbags placem_collection'!E155</f>
        <v>42762</v>
      </c>
      <c r="H448" s="92" t="str">
        <f>'Final data_for_R_analysis_Wetse'!J594</f>
        <v>G885</v>
      </c>
      <c r="I448" t="str">
        <f>'Final data_for_R_analysis_Wetse'!J814</f>
        <v>R440</v>
      </c>
      <c r="J448">
        <f>IFERROR(INDEX('Green_rooibos initial weight'!$C$5:$C$1749,MATCH(H448, 'Green_rooibos initial weight'!$A$5:$A$1749,0)),"")</f>
        <v>1.8939999999999999</v>
      </c>
      <c r="K448">
        <f>IFERROR(INDEX('Green_rooibos initial weight'!$C$5:$C$1749,MATCH(I448, 'Green_rooibos initial weight'!$A$5:$A$1749,0)),"")</f>
        <v>2.1110000000000002</v>
      </c>
      <c r="L448" s="195">
        <f t="shared" si="47"/>
        <v>1.6441999999999999</v>
      </c>
      <c r="M448" s="195">
        <f>AVERAGE(Ashed_controlls!$K$2:$K$11)</f>
        <v>5.5147656768714146</v>
      </c>
      <c r="N448" s="195">
        <f t="shared" si="45"/>
        <v>1.8612000000000002</v>
      </c>
      <c r="O448" s="16">
        <f>IF('WetLitterbags placem_collection'!G155="N.A","",'WetLitterbags placem_collection'!G155)</f>
        <v>42816</v>
      </c>
      <c r="P448" s="195">
        <f>IF(IFERROR(INDEX('Both teabags AfterWet'!$C$3:$C$841,MATCH(H448,'Both teabags AfterWet'!$A$3:$A$841,0)),"")="N.A","",(IFERROR(INDEX('Both teabags AfterWet'!$C$3:$C$841,MATCH(H448,'Both teabags AfterWet'!$A$3:$A$841,0)),"")))</f>
        <v>0.5756</v>
      </c>
      <c r="Q448" s="195">
        <f>IFERROR(INDEX('Both teabags AfterWet'!$C$3:$C$841,MATCH(I448,'Both teabags AfterWet'!$A$3:$A$841,0)),"")</f>
        <v>1.6322000000000001</v>
      </c>
      <c r="R448" s="195">
        <f t="shared" si="48"/>
        <v>0.42499999999999999</v>
      </c>
      <c r="S448" s="195">
        <f t="shared" si="48"/>
        <v>1.4816</v>
      </c>
      <c r="T448" s="195">
        <f t="shared" si="49"/>
        <v>0.74151563070186111</v>
      </c>
      <c r="U448" s="195">
        <f t="shared" si="50"/>
        <v>0.48612426145775223</v>
      </c>
      <c r="V448" s="195">
        <f t="shared" si="51"/>
        <v>0.7960455620030088</v>
      </c>
      <c r="W448">
        <f t="shared" si="46"/>
        <v>54</v>
      </c>
      <c r="X448" s="195">
        <f t="shared" si="52"/>
        <v>0.11934010605479672</v>
      </c>
      <c r="Y448" s="195">
        <f t="shared" si="53"/>
        <v>1.0073243938806827E-2</v>
      </c>
      <c r="Z448" s="255" t="str">
        <f>IF(ISNUMBER(SEARCH("C",'WetLitterbags placem_collection'!W375)),"YES","NO")</f>
        <v>NO</v>
      </c>
      <c r="AA448" s="255" t="str">
        <f>IF(ISNUMBER(SEARCH("H", 'WetLitterbags placem_collection'!Y155)),"YES","NO")</f>
        <v>NO</v>
      </c>
      <c r="AB448" s="255" t="str">
        <f>IF(ISNUMBER(SEARCH("R", 'WetLitterbags placem_collection'!WY155)),"YES","NO")</f>
        <v>NO</v>
      </c>
      <c r="AC448" s="255" t="str">
        <f>IF(ISNUMBER(SEARCH("C", 'WetLitterbags placem_collection'!VX155)),"YES","NO")</f>
        <v>NO</v>
      </c>
      <c r="AD448" s="255" t="str">
        <f>IF(ISNUMBER(SEARCH("H", 'WetLitterbags placem_collection'!X155)),"YES","NO")</f>
        <v>NO</v>
      </c>
      <c r="AE448" s="255" t="str">
        <f>IF(ISNUMBER(SEARCH("R", 'WetLitterbags placem_collection'!X155)),"YES","NO")</f>
        <v>YES</v>
      </c>
    </row>
    <row r="449" spans="2:31">
      <c r="B449" t="str">
        <f>'Final data_for_R_analysis_Wetse'!A595</f>
        <v>Wet</v>
      </c>
      <c r="C449" s="263">
        <f>'Final data_for_R_analysis_Wetse'!B595</f>
        <v>154</v>
      </c>
      <c r="D449" t="s">
        <v>3850</v>
      </c>
      <c r="E449" t="s">
        <v>25</v>
      </c>
      <c r="F449" s="386">
        <v>2</v>
      </c>
      <c r="G449" s="16">
        <f>'WetLitterbags placem_collection'!E156</f>
        <v>42762</v>
      </c>
      <c r="H449" s="92" t="str">
        <f>'Final data_for_R_analysis_Wetse'!J595</f>
        <v>G684</v>
      </c>
      <c r="I449" t="str">
        <f>'Final data_for_R_analysis_Wetse'!J815</f>
        <v>R485</v>
      </c>
      <c r="J449">
        <f>IFERROR(INDEX('Green_rooibos initial weight'!$C$5:$C$1749,MATCH(H449, 'Green_rooibos initial weight'!$A$5:$A$1749,0)),"")</f>
        <v>2.0819999999999999</v>
      </c>
      <c r="K449">
        <f>IFERROR(INDEX('Green_rooibos initial weight'!$C$5:$C$1749,MATCH(I449, 'Green_rooibos initial weight'!$A$5:$A$1749,0)),"")</f>
        <v>2.242</v>
      </c>
      <c r="L449" s="195">
        <f t="shared" si="47"/>
        <v>1.8321999999999998</v>
      </c>
      <c r="M449" s="195">
        <f>AVERAGE(Ashed_controlls!$K$2:$K$11)</f>
        <v>5.5147656768714146</v>
      </c>
      <c r="N449" s="195">
        <f t="shared" si="45"/>
        <v>1.9922</v>
      </c>
      <c r="O449" s="16">
        <f>IF('WetLitterbags placem_collection'!G156="N.A","",'WetLitterbags placem_collection'!G156)</f>
        <v>42816</v>
      </c>
      <c r="P449" s="195">
        <f>IF(IFERROR(INDEX('Both teabags AfterWet'!$C$3:$C$841,MATCH(H449,'Both teabags AfterWet'!$A$3:$A$841,0)),"")="N.A","",(IFERROR(INDEX('Both teabags AfterWet'!$C$3:$C$841,MATCH(H449,'Both teabags AfterWet'!$A$3:$A$841,0)),"")))</f>
        <v>0.60499999999999998</v>
      </c>
      <c r="Q449" s="195">
        <f>IFERROR(INDEX('Both teabags AfterWet'!$C$3:$C$841,MATCH(I449,'Both teabags AfterWet'!$A$3:$A$841,0)),"")</f>
        <v>1.839</v>
      </c>
      <c r="R449" s="195">
        <f t="shared" si="48"/>
        <v>0.45439999999999997</v>
      </c>
      <c r="S449" s="195">
        <f t="shared" si="48"/>
        <v>1.6883999999999999</v>
      </c>
      <c r="T449" s="195">
        <f t="shared" si="49"/>
        <v>0.75199214059600483</v>
      </c>
      <c r="U449" s="195">
        <f t="shared" si="50"/>
        <v>0.49299247221970866</v>
      </c>
      <c r="V449" s="195">
        <f t="shared" si="51"/>
        <v>0.84750527055516511</v>
      </c>
      <c r="W449">
        <f t="shared" si="46"/>
        <v>54</v>
      </c>
      <c r="X449" s="195">
        <f t="shared" si="52"/>
        <v>0.10689769525415105</v>
      </c>
      <c r="Y449" s="195">
        <f t="shared" si="53"/>
        <v>6.8534334847403849E-3</v>
      </c>
      <c r="Z449" s="255" t="str">
        <f>IF(ISNUMBER(SEARCH("C",'WetLitterbags placem_collection'!W376)),"YES","NO")</f>
        <v>NO</v>
      </c>
      <c r="AA449" s="255" t="str">
        <f>IF(ISNUMBER(SEARCH("H", 'WetLitterbags placem_collection'!Y156)),"YES","NO")</f>
        <v>NO</v>
      </c>
      <c r="AB449" s="255" t="str">
        <f>IF(ISNUMBER(SEARCH("R", 'WetLitterbags placem_collection'!WY156)),"YES","NO")</f>
        <v>NO</v>
      </c>
      <c r="AC449" s="255" t="str">
        <f>IF(ISNUMBER(SEARCH("C", 'WetLitterbags placem_collection'!VX156)),"YES","NO")</f>
        <v>NO</v>
      </c>
      <c r="AD449" s="255" t="str">
        <f>IF(ISNUMBER(SEARCH("H", 'WetLitterbags placem_collection'!X156)),"YES","NO")</f>
        <v>NO</v>
      </c>
      <c r="AE449" s="255" t="str">
        <f>IF(ISNUMBER(SEARCH("R", 'WetLitterbags placem_collection'!X156)),"YES","NO")</f>
        <v>YES</v>
      </c>
    </row>
    <row r="450" spans="2:31">
      <c r="B450" t="str">
        <f>'Final data_for_R_analysis_Wetse'!A596</f>
        <v>Wet</v>
      </c>
      <c r="C450" s="263">
        <f>'Final data_for_R_analysis_Wetse'!B596</f>
        <v>155</v>
      </c>
      <c r="D450" t="s">
        <v>3850</v>
      </c>
      <c r="E450" t="s">
        <v>25</v>
      </c>
      <c r="F450" s="386">
        <v>3</v>
      </c>
      <c r="G450" s="16">
        <f>'WetLitterbags placem_collection'!E157</f>
        <v>42762</v>
      </c>
      <c r="H450" s="92" t="str">
        <f>'Final data_for_R_analysis_Wetse'!J596</f>
        <v>G827</v>
      </c>
      <c r="I450" t="str">
        <f>'Final data_for_R_analysis_Wetse'!J816</f>
        <v>R556</v>
      </c>
      <c r="J450">
        <f>IFERROR(INDEX('Green_rooibos initial weight'!$C$5:$C$1749,MATCH(H450, 'Green_rooibos initial weight'!$A$5:$A$1749,0)),"")</f>
        <v>1.883</v>
      </c>
      <c r="K450">
        <f>IFERROR(INDEX('Green_rooibos initial weight'!$C$5:$C$1749,MATCH(I450, 'Green_rooibos initial weight'!$A$5:$A$1749,0)),"")</f>
        <v>2.0830000000000002</v>
      </c>
      <c r="L450" s="195">
        <f t="shared" si="47"/>
        <v>1.6332</v>
      </c>
      <c r="M450" s="195">
        <f>AVERAGE(Ashed_controlls!$K$2:$K$11)</f>
        <v>5.5147656768714146</v>
      </c>
      <c r="N450" s="195">
        <f t="shared" si="45"/>
        <v>1.8332000000000002</v>
      </c>
      <c r="O450" s="16">
        <f>IF('WetLitterbags placem_collection'!G157="N.A","",'WetLitterbags placem_collection'!G157)</f>
        <v>42816</v>
      </c>
      <c r="P450" s="195" t="str">
        <f>IF(IFERROR(INDEX('Both teabags AfterWet'!$C$3:$C$841,MATCH(H450,'Both teabags AfterWet'!$A$3:$A$841,0)),"")="N.A","",(IFERROR(INDEX('Both teabags AfterWet'!$C$3:$C$841,MATCH(H450,'Both teabags AfterWet'!$A$3:$A$841,0)),"")))</f>
        <v/>
      </c>
      <c r="Q450" s="195">
        <f>IFERROR(INDEX('Both teabags AfterWet'!$C$3:$C$841,MATCH(I450,'Both teabags AfterWet'!$A$3:$A$841,0)),"")</f>
        <v>1.643</v>
      </c>
      <c r="R450" s="195" t="str">
        <f t="shared" si="48"/>
        <v/>
      </c>
      <c r="S450" s="195">
        <f t="shared" si="48"/>
        <v>1.4923999999999999</v>
      </c>
      <c r="T450" s="195" t="str">
        <f t="shared" si="49"/>
        <v/>
      </c>
      <c r="U450" s="195" t="str">
        <f t="shared" si="50"/>
        <v/>
      </c>
      <c r="V450" s="195">
        <f t="shared" si="51"/>
        <v>0.8140955705869517</v>
      </c>
      <c r="W450">
        <f t="shared" si="46"/>
        <v>54</v>
      </c>
      <c r="X450" s="195" t="str">
        <f t="shared" si="52"/>
        <v/>
      </c>
      <c r="Y450" s="195" t="str">
        <f t="shared" si="53"/>
        <v/>
      </c>
      <c r="Z450" s="255" t="str">
        <f>IF(ISNUMBER(SEARCH("C",'WetLitterbags placem_collection'!W377)),"YES","NO")</f>
        <v>NO</v>
      </c>
      <c r="AA450" s="255" t="str">
        <f>IF(ISNUMBER(SEARCH("H", 'WetLitterbags placem_collection'!Y157)),"YES","NO")</f>
        <v>NO</v>
      </c>
      <c r="AB450" s="255" t="str">
        <f>IF(ISNUMBER(SEARCH("R", 'WetLitterbags placem_collection'!WY157)),"YES","NO")</f>
        <v>NO</v>
      </c>
      <c r="AC450" s="255" t="str">
        <f>IF(ISNUMBER(SEARCH("C", 'WetLitterbags placem_collection'!VX157)),"YES","NO")</f>
        <v>NO</v>
      </c>
      <c r="AD450" s="255" t="str">
        <f>IF(ISNUMBER(SEARCH("H", 'WetLitterbags placem_collection'!X157)),"YES","NO")</f>
        <v>NO</v>
      </c>
      <c r="AE450" s="255" t="str">
        <f>IF(ISNUMBER(SEARCH("R", 'WetLitterbags placem_collection'!X157)),"YES","NO")</f>
        <v>NO</v>
      </c>
    </row>
    <row r="451" spans="2:31">
      <c r="B451" t="str">
        <f>'Final data_for_R_analysis_Wetse'!A597</f>
        <v>Wet</v>
      </c>
      <c r="C451" s="263">
        <f>'Final data_for_R_analysis_Wetse'!B597</f>
        <v>156</v>
      </c>
      <c r="D451" t="s">
        <v>3850</v>
      </c>
      <c r="E451" t="s">
        <v>25</v>
      </c>
      <c r="F451" s="387">
        <v>4</v>
      </c>
      <c r="G451" s="16">
        <f>'WetLitterbags placem_collection'!E158</f>
        <v>42762</v>
      </c>
      <c r="H451" s="92" t="str">
        <f>'Final data_for_R_analysis_Wetse'!J597</f>
        <v>G667</v>
      </c>
      <c r="I451" t="str">
        <f>'Final data_for_R_analysis_Wetse'!J817</f>
        <v>R464</v>
      </c>
      <c r="J451">
        <f>IFERROR(INDEX('Green_rooibos initial weight'!$C$5:$C$1749,MATCH(H451, 'Green_rooibos initial weight'!$A$5:$A$1749,0)),"")</f>
        <v>2.048</v>
      </c>
      <c r="K451">
        <f>IFERROR(INDEX('Green_rooibos initial weight'!$C$5:$C$1749,MATCH(I451, 'Green_rooibos initial weight'!$A$5:$A$1749,0)),"")</f>
        <v>2.2040000000000002</v>
      </c>
      <c r="L451" s="195">
        <f t="shared" si="47"/>
        <v>1.7982</v>
      </c>
      <c r="M451" s="195">
        <f>AVERAGE(Ashed_controlls!$K$2:$K$11)</f>
        <v>5.5147656768714146</v>
      </c>
      <c r="N451" s="195">
        <f t="shared" si="45"/>
        <v>1.9542000000000002</v>
      </c>
      <c r="O451" s="16">
        <f>IF('WetLitterbags placem_collection'!G158="N.A","",'WetLitterbags placem_collection'!G158)</f>
        <v>42816</v>
      </c>
      <c r="P451" s="195">
        <f>IF(IFERROR(INDEX('Both teabags AfterWet'!$C$3:$C$841,MATCH(H451,'Both teabags AfterWet'!$A$3:$A$841,0)),"")="N.A","",(IFERROR(INDEX('Both teabags AfterWet'!$C$3:$C$841,MATCH(H451,'Both teabags AfterWet'!$A$3:$A$841,0)),"")))</f>
        <v>0.65800000000000003</v>
      </c>
      <c r="Q451" s="195">
        <f>IFERROR(INDEX('Both teabags AfterWet'!$C$3:$C$841,MATCH(I451,'Both teabags AfterWet'!$A$3:$A$841,0)),"")</f>
        <v>1.802</v>
      </c>
      <c r="R451" s="195">
        <f t="shared" si="48"/>
        <v>0.50740000000000007</v>
      </c>
      <c r="S451" s="195">
        <f t="shared" si="48"/>
        <v>1.6514</v>
      </c>
      <c r="T451" s="195">
        <f t="shared" si="49"/>
        <v>0.71782894005116216</v>
      </c>
      <c r="U451" s="195">
        <f t="shared" si="50"/>
        <v>0.47059569466537005</v>
      </c>
      <c r="V451" s="195">
        <f t="shared" si="51"/>
        <v>0.84505168355337212</v>
      </c>
      <c r="W451">
        <f t="shared" si="46"/>
        <v>54</v>
      </c>
      <c r="X451" s="195">
        <f t="shared" si="52"/>
        <v>0.14747156763519931</v>
      </c>
      <c r="Y451" s="195">
        <f t="shared" si="53"/>
        <v>7.395807941494247E-3</v>
      </c>
      <c r="Z451" s="255" t="str">
        <f>IF(ISNUMBER(SEARCH("C",'WetLitterbags placem_collection'!W378)),"YES","NO")</f>
        <v>NO</v>
      </c>
      <c r="AA451" s="255" t="str">
        <f>IF(ISNUMBER(SEARCH("H", 'WetLitterbags placem_collection'!Y158)),"YES","NO")</f>
        <v>NO</v>
      </c>
      <c r="AB451" s="255" t="str">
        <f>IF(ISNUMBER(SEARCH("R", 'WetLitterbags placem_collection'!WY158)),"YES","NO")</f>
        <v>NO</v>
      </c>
      <c r="AC451" s="255" t="str">
        <f>IF(ISNUMBER(SEARCH("C", 'WetLitterbags placem_collection'!VX158)),"YES","NO")</f>
        <v>NO</v>
      </c>
      <c r="AD451" s="255" t="str">
        <f>IF(ISNUMBER(SEARCH("H", 'WetLitterbags placem_collection'!X158)),"YES","NO")</f>
        <v>NO</v>
      </c>
      <c r="AE451" s="255" t="str">
        <f>IF(ISNUMBER(SEARCH("R", 'WetLitterbags placem_collection'!X158)),"YES","NO")</f>
        <v>YES</v>
      </c>
    </row>
    <row r="452" spans="2:31">
      <c r="B452" t="str">
        <f>'Final data_for_R_analysis_Wetse'!A598</f>
        <v>Wet</v>
      </c>
      <c r="C452" s="263">
        <f>'Final data_for_R_analysis_Wetse'!B598</f>
        <v>157</v>
      </c>
      <c r="D452" t="s">
        <v>3850</v>
      </c>
      <c r="E452" t="s">
        <v>25</v>
      </c>
      <c r="F452" s="387">
        <v>5</v>
      </c>
      <c r="G452" s="16">
        <f>'WetLitterbags placem_collection'!E159</f>
        <v>42762</v>
      </c>
      <c r="H452" s="92" t="str">
        <f>'Final data_for_R_analysis_Wetse'!J598</f>
        <v>G777</v>
      </c>
      <c r="I452" t="str">
        <f>'Final data_for_R_analysis_Wetse'!J818</f>
        <v>R35</v>
      </c>
      <c r="J452">
        <f>IFERROR(INDEX('Green_rooibos initial weight'!$C$5:$C$1749,MATCH(H452, 'Green_rooibos initial weight'!$A$5:$A$1749,0)),"")</f>
        <v>2.0470000000000002</v>
      </c>
      <c r="K452">
        <f>IFERROR(INDEX('Green_rooibos initial weight'!$C$5:$C$1749,MATCH(I452, 'Green_rooibos initial weight'!$A$5:$A$1749,0)),"")</f>
        <v>2.0630000000000002</v>
      </c>
      <c r="L452" s="195">
        <f t="shared" si="47"/>
        <v>1.7972000000000001</v>
      </c>
      <c r="M452" s="195">
        <f>AVERAGE(Ashed_controlls!$K$2:$K$11)</f>
        <v>5.5147656768714146</v>
      </c>
      <c r="N452" s="195">
        <f t="shared" si="45"/>
        <v>1.8132000000000001</v>
      </c>
      <c r="O452" s="16">
        <f>IF('WetLitterbags placem_collection'!G159="N.A","",'WetLitterbags placem_collection'!G159)</f>
        <v>42816</v>
      </c>
      <c r="P452" s="195">
        <f>IF(IFERROR(INDEX('Both teabags AfterWet'!$C$3:$C$841,MATCH(H452,'Both teabags AfterWet'!$A$3:$A$841,0)),"")="N.A","",(IFERROR(INDEX('Both teabags AfterWet'!$C$3:$C$841,MATCH(H452,'Both teabags AfterWet'!$A$3:$A$841,0)),"")))</f>
        <v>0.70499999999999996</v>
      </c>
      <c r="Q452" s="195">
        <f>IFERROR(INDEX('Both teabags AfterWet'!$C$3:$C$841,MATCH(I452,'Both teabags AfterWet'!$A$3:$A$841,0)),"")</f>
        <v>1.994</v>
      </c>
      <c r="R452" s="195">
        <f t="shared" si="48"/>
        <v>0.5544</v>
      </c>
      <c r="S452" s="195">
        <f t="shared" si="48"/>
        <v>1.8433999999999999</v>
      </c>
      <c r="T452" s="195">
        <f t="shared" si="49"/>
        <v>0.69152014244380156</v>
      </c>
      <c r="U452" s="195">
        <f t="shared" si="50"/>
        <v>0.4533481218871479</v>
      </c>
      <c r="V452" s="195">
        <f t="shared" si="51"/>
        <v>1.0166556364438561</v>
      </c>
      <c r="W452">
        <f t="shared" si="46"/>
        <v>54</v>
      </c>
      <c r="X452" s="195">
        <f t="shared" si="52"/>
        <v>0.17871717049429736</v>
      </c>
      <c r="Y452" s="195">
        <f t="shared" si="53"/>
        <v>-6.6815518113489281E-4</v>
      </c>
      <c r="Z452" s="255" t="str">
        <f>IF(ISNUMBER(SEARCH("C",'WetLitterbags placem_collection'!W379)),"YES","NO")</f>
        <v>NO</v>
      </c>
      <c r="AA452" s="255" t="str">
        <f>IF(ISNUMBER(SEARCH("H", 'WetLitterbags placem_collection'!Y159)),"YES","NO")</f>
        <v>NO</v>
      </c>
      <c r="AB452" s="255" t="str">
        <f>IF(ISNUMBER(SEARCH("R", 'WetLitterbags placem_collection'!WY159)),"YES","NO")</f>
        <v>NO</v>
      </c>
      <c r="AC452" s="255" t="str">
        <f>IF(ISNUMBER(SEARCH("C", 'WetLitterbags placem_collection'!VX159)),"YES","NO")</f>
        <v>NO</v>
      </c>
      <c r="AD452" s="255" t="str">
        <f>IF(ISNUMBER(SEARCH("H", 'WetLitterbags placem_collection'!X159)),"YES","NO")</f>
        <v>NO</v>
      </c>
      <c r="AE452" s="255" t="str">
        <f>IF(ISNUMBER(SEARCH("R", 'WetLitterbags placem_collection'!X159)),"YES","NO")</f>
        <v>YES</v>
      </c>
    </row>
    <row r="453" spans="2:31">
      <c r="B453" t="str">
        <f>'Final data_for_R_analysis_Wetse'!A599</f>
        <v>Wet</v>
      </c>
      <c r="C453" s="263">
        <f>'Final data_for_R_analysis_Wetse'!B599</f>
        <v>158</v>
      </c>
      <c r="D453" t="s">
        <v>3850</v>
      </c>
      <c r="E453" t="s">
        <v>25</v>
      </c>
      <c r="F453" s="387">
        <v>6</v>
      </c>
      <c r="G453" s="16">
        <f>'WetLitterbags placem_collection'!E160</f>
        <v>42762</v>
      </c>
      <c r="H453" s="92" t="str">
        <f>'Final data_for_R_analysis_Wetse'!J599</f>
        <v>G884</v>
      </c>
      <c r="I453" t="str">
        <f>'Final data_for_R_analysis_Wetse'!J819</f>
        <v>R570</v>
      </c>
      <c r="J453">
        <f>IFERROR(INDEX('Green_rooibos initial weight'!$C$5:$C$1749,MATCH(H453, 'Green_rooibos initial weight'!$A$5:$A$1749,0)),"")</f>
        <v>2.0710000000000002</v>
      </c>
      <c r="K453">
        <f>IFERROR(INDEX('Green_rooibos initial weight'!$C$5:$C$1749,MATCH(I453, 'Green_rooibos initial weight'!$A$5:$A$1749,0)),"")</f>
        <v>2.0910000000000002</v>
      </c>
      <c r="L453" s="195">
        <f t="shared" si="47"/>
        <v>1.8212000000000002</v>
      </c>
      <c r="M453" s="195">
        <f>AVERAGE(Ashed_controlls!$K$2:$K$11)</f>
        <v>5.5147656768714146</v>
      </c>
      <c r="N453" s="195">
        <f t="shared" si="45"/>
        <v>1.8412000000000002</v>
      </c>
      <c r="O453" s="16">
        <f>IF('WetLitterbags placem_collection'!G160="N.A","",'WetLitterbags placem_collection'!G160)</f>
        <v>42816</v>
      </c>
      <c r="P453" s="195">
        <f>IF(IFERROR(INDEX('Both teabags AfterWet'!$C$3:$C$841,MATCH(H453,'Both teabags AfterWet'!$A$3:$A$841,0)),"")="N.A","",(IFERROR(INDEX('Both teabags AfterWet'!$C$3:$C$841,MATCH(H453,'Both teabags AfterWet'!$A$3:$A$841,0)),"")))</f>
        <v>0.629</v>
      </c>
      <c r="Q453" s="195">
        <f>IFERROR(INDEX('Both teabags AfterWet'!$C$3:$C$841,MATCH(I453,'Both teabags AfterWet'!$A$3:$A$841,0)),"")</f>
        <v>1.718</v>
      </c>
      <c r="R453" s="195">
        <f t="shared" si="48"/>
        <v>0.47839999999999999</v>
      </c>
      <c r="S453" s="195">
        <f t="shared" si="48"/>
        <v>1.5673999999999999</v>
      </c>
      <c r="T453" s="195">
        <f t="shared" si="49"/>
        <v>0.73731605534812217</v>
      </c>
      <c r="U453" s="195">
        <f t="shared" si="50"/>
        <v>0.48337109566765257</v>
      </c>
      <c r="V453" s="195">
        <f t="shared" si="51"/>
        <v>0.85129263523788823</v>
      </c>
      <c r="W453">
        <f t="shared" si="46"/>
        <v>54</v>
      </c>
      <c r="X453" s="195">
        <f t="shared" si="52"/>
        <v>0.12432772523975988</v>
      </c>
      <c r="Y453" s="195">
        <f t="shared" si="53"/>
        <v>6.8084895057716468E-3</v>
      </c>
      <c r="Z453" s="255" t="str">
        <f>IF(ISNUMBER(SEARCH("C",'WetLitterbags placem_collection'!W380)),"YES","NO")</f>
        <v>NO</v>
      </c>
      <c r="AA453" s="255" t="str">
        <f>IF(ISNUMBER(SEARCH("H", 'WetLitterbags placem_collection'!Y160)),"YES","NO")</f>
        <v>NO</v>
      </c>
      <c r="AB453" s="255" t="str">
        <f>IF(ISNUMBER(SEARCH("R", 'WetLitterbags placem_collection'!WY160)),"YES","NO")</f>
        <v>NO</v>
      </c>
      <c r="AC453" s="255" t="str">
        <f>IF(ISNUMBER(SEARCH("C", 'WetLitterbags placem_collection'!VX160)),"YES","NO")</f>
        <v>NO</v>
      </c>
      <c r="AD453" s="255" t="str">
        <f>IF(ISNUMBER(SEARCH("H", 'WetLitterbags placem_collection'!X160)),"YES","NO")</f>
        <v>NO</v>
      </c>
      <c r="AE453" s="255" t="str">
        <f>IF(ISNUMBER(SEARCH("R", 'WetLitterbags placem_collection'!X160)),"YES","NO")</f>
        <v>YES</v>
      </c>
    </row>
    <row r="454" spans="2:31">
      <c r="B454" t="str">
        <f>'Final data_for_R_analysis_Wetse'!A600</f>
        <v>Wet</v>
      </c>
      <c r="C454" s="263">
        <f>'Final data_for_R_analysis_Wetse'!B600</f>
        <v>159</v>
      </c>
      <c r="D454" t="s">
        <v>3850</v>
      </c>
      <c r="E454" t="s">
        <v>25</v>
      </c>
      <c r="F454" s="387">
        <v>7</v>
      </c>
      <c r="G454" s="16">
        <f>'WetLitterbags placem_collection'!E161</f>
        <v>42762</v>
      </c>
      <c r="H454" s="92" t="str">
        <f>'Final data_for_R_analysis_Wetse'!J600</f>
        <v>G731</v>
      </c>
      <c r="I454" t="str">
        <f>'Final data_for_R_analysis_Wetse'!J820</f>
        <v>R439</v>
      </c>
      <c r="J454">
        <f>IFERROR(INDEX('Green_rooibos initial weight'!$C$5:$C$1749,MATCH(H454, 'Green_rooibos initial weight'!$A$5:$A$1749,0)),"")</f>
        <v>2.14</v>
      </c>
      <c r="K454">
        <f>IFERROR(INDEX('Green_rooibos initial weight'!$C$5:$C$1749,MATCH(I454, 'Green_rooibos initial weight'!$A$5:$A$1749,0)),"")</f>
        <v>2.2450000000000001</v>
      </c>
      <c r="L454" s="195">
        <f t="shared" si="47"/>
        <v>1.8902000000000001</v>
      </c>
      <c r="M454" s="195">
        <f>AVERAGE(Ashed_controlls!$K$2:$K$11)</f>
        <v>5.5147656768714146</v>
      </c>
      <c r="N454" s="195">
        <f t="shared" si="45"/>
        <v>1.9952000000000001</v>
      </c>
      <c r="O454" s="16">
        <f>IF('WetLitterbags placem_collection'!G161="N.A","",'WetLitterbags placem_collection'!G161)</f>
        <v>42816</v>
      </c>
      <c r="P454" s="195" t="str">
        <f>IF(IFERROR(INDEX('Both teabags AfterWet'!$C$3:$C$841,MATCH(H454,'Both teabags AfterWet'!$A$3:$A$841,0)),"")="N.A","",(IFERROR(INDEX('Both teabags AfterWet'!$C$3:$C$841,MATCH(H454,'Both teabags AfterWet'!$A$3:$A$841,0)),"")))</f>
        <v/>
      </c>
      <c r="Q454" s="195" t="str">
        <f>IFERROR(INDEX('Both teabags AfterWet'!$C$3:$C$841,MATCH(I454,'Both teabags AfterWet'!$A$3:$A$841,0)),"")</f>
        <v/>
      </c>
      <c r="R454" s="195" t="str">
        <f t="shared" si="48"/>
        <v/>
      </c>
      <c r="S454" s="195" t="str">
        <f t="shared" si="48"/>
        <v/>
      </c>
      <c r="T454" s="195" t="str">
        <f t="shared" si="49"/>
        <v/>
      </c>
      <c r="U454" s="195" t="str">
        <f t="shared" si="50"/>
        <v/>
      </c>
      <c r="V454" s="195" t="str">
        <f t="shared" si="51"/>
        <v/>
      </c>
      <c r="W454">
        <f t="shared" si="46"/>
        <v>54</v>
      </c>
      <c r="X454" s="195" t="str">
        <f t="shared" si="52"/>
        <v/>
      </c>
      <c r="Y454" s="195" t="str">
        <f t="shared" si="53"/>
        <v/>
      </c>
      <c r="Z454" s="255" t="str">
        <f>IF(ISNUMBER(SEARCH("C",'WetLitterbags placem_collection'!W381)),"YES","NO")</f>
        <v>NO</v>
      </c>
      <c r="AA454" s="255" t="str">
        <f>IF(ISNUMBER(SEARCH("H", 'WetLitterbags placem_collection'!Y161)),"YES","NO")</f>
        <v>NO</v>
      </c>
      <c r="AB454" s="255" t="str">
        <f>IF(ISNUMBER(SEARCH("R", 'WetLitterbags placem_collection'!WY161)),"YES","NO")</f>
        <v>NO</v>
      </c>
      <c r="AC454" s="255" t="str">
        <f>IF(ISNUMBER(SEARCH("C", 'WetLitterbags placem_collection'!VX161)),"YES","NO")</f>
        <v>NO</v>
      </c>
      <c r="AD454" s="255" t="str">
        <f>IF(ISNUMBER(SEARCH("H", 'WetLitterbags placem_collection'!X161)),"YES","NO")</f>
        <v>NO</v>
      </c>
      <c r="AE454" s="255" t="str">
        <f>IF(ISNUMBER(SEARCH("R", 'WetLitterbags placem_collection'!X161)),"YES","NO")</f>
        <v>NO</v>
      </c>
    </row>
    <row r="455" spans="2:31">
      <c r="B455" t="str">
        <f>'Final data_for_R_analysis_Wetse'!A601</f>
        <v>Wet</v>
      </c>
      <c r="C455" s="263">
        <f>'Final data_for_R_analysis_Wetse'!B601</f>
        <v>160</v>
      </c>
      <c r="D455" t="s">
        <v>3850</v>
      </c>
      <c r="E455" t="s">
        <v>25</v>
      </c>
      <c r="F455" s="387">
        <v>8</v>
      </c>
      <c r="G455" s="16">
        <f>'WetLitterbags placem_collection'!E162</f>
        <v>42762</v>
      </c>
      <c r="H455" s="92" t="str">
        <f>'Final data_for_R_analysis_Wetse'!J601</f>
        <v>G876</v>
      </c>
      <c r="I455" t="str">
        <f>'Final data_for_R_analysis_Wetse'!J821</f>
        <v>R461</v>
      </c>
      <c r="J455">
        <f>IFERROR(INDEX('Green_rooibos initial weight'!$C$5:$C$1749,MATCH(H455, 'Green_rooibos initial weight'!$A$5:$A$1749,0)),"")</f>
        <v>1.9550000000000001</v>
      </c>
      <c r="K455">
        <f>IFERROR(INDEX('Green_rooibos initial weight'!$C$5:$C$1749,MATCH(I455, 'Green_rooibos initial weight'!$A$5:$A$1749,0)),"")</f>
        <v>2.1930000000000001</v>
      </c>
      <c r="L455" s="195">
        <f t="shared" si="47"/>
        <v>1.7052</v>
      </c>
      <c r="M455" s="195">
        <f>AVERAGE(Ashed_controlls!$K$2:$K$11)</f>
        <v>5.5147656768714146</v>
      </c>
      <c r="N455" s="195">
        <f t="shared" si="45"/>
        <v>1.9432</v>
      </c>
      <c r="O455" s="16">
        <f>IF('WetLitterbags placem_collection'!G162="N.A","",'WetLitterbags placem_collection'!G162)</f>
        <v>42816</v>
      </c>
      <c r="P455" s="195">
        <f>IF(IFERROR(INDEX('Both teabags AfterWet'!$C$3:$C$841,MATCH(H455,'Both teabags AfterWet'!$A$3:$A$841,0)),"")="N.A","",(IFERROR(INDEX('Both teabags AfterWet'!$C$3:$C$841,MATCH(H455,'Both teabags AfterWet'!$A$3:$A$841,0)),"")))</f>
        <v>0.68100000000000005</v>
      </c>
      <c r="Q455" s="195">
        <f>IFERROR(INDEX('Both teabags AfterWet'!$C$3:$C$841,MATCH(I455,'Both teabags AfterWet'!$A$3:$A$841,0)),"")</f>
        <v>1.744</v>
      </c>
      <c r="R455" s="195">
        <f t="shared" si="48"/>
        <v>0.53039999999999998</v>
      </c>
      <c r="S455" s="195">
        <f t="shared" si="48"/>
        <v>1.5933999999999999</v>
      </c>
      <c r="T455" s="195">
        <f t="shared" si="49"/>
        <v>0.68895144264602393</v>
      </c>
      <c r="U455" s="195">
        <f t="shared" si="50"/>
        <v>0.45166412867055256</v>
      </c>
      <c r="V455" s="195">
        <f t="shared" si="51"/>
        <v>0.81998764923836964</v>
      </c>
      <c r="W455">
        <f t="shared" si="46"/>
        <v>54</v>
      </c>
      <c r="X455" s="195">
        <f t="shared" si="52"/>
        <v>0.181767882843202</v>
      </c>
      <c r="Y455" s="195">
        <f t="shared" si="53"/>
        <v>9.4151445856047421E-3</v>
      </c>
      <c r="Z455" s="255" t="str">
        <f>IF(ISNUMBER(SEARCH("C",'WetLitterbags placem_collection'!W382)),"YES","NO")</f>
        <v>NO</v>
      </c>
      <c r="AA455" s="255" t="str">
        <f>IF(ISNUMBER(SEARCH("H", 'WetLitterbags placem_collection'!Y162)),"YES","NO")</f>
        <v>NO</v>
      </c>
      <c r="AB455" s="255" t="str">
        <f>IF(ISNUMBER(SEARCH("R", 'WetLitterbags placem_collection'!WY162)),"YES","NO")</f>
        <v>NO</v>
      </c>
      <c r="AC455" s="255" t="str">
        <f>IF(ISNUMBER(SEARCH("C", 'WetLitterbags placem_collection'!VX162)),"YES","NO")</f>
        <v>NO</v>
      </c>
      <c r="AD455" s="255" t="str">
        <f>IF(ISNUMBER(SEARCH("H", 'WetLitterbags placem_collection'!X162)),"YES","NO")</f>
        <v>NO</v>
      </c>
      <c r="AE455" s="255" t="str">
        <f>IF(ISNUMBER(SEARCH("R", 'WetLitterbags placem_collection'!X162)),"YES","NO")</f>
        <v>YES</v>
      </c>
    </row>
    <row r="456" spans="2:31">
      <c r="B456" t="str">
        <f>'Final data_for_R_analysis_Wetse'!A602</f>
        <v>Wet</v>
      </c>
      <c r="C456" s="263">
        <f>'Final data_for_R_analysis_Wetse'!B602</f>
        <v>161</v>
      </c>
      <c r="D456" t="s">
        <v>3851</v>
      </c>
      <c r="E456" t="s">
        <v>25</v>
      </c>
      <c r="F456" s="386">
        <v>1</v>
      </c>
      <c r="G456" s="16">
        <f>'WetLitterbags placem_collection'!E163</f>
        <v>42763</v>
      </c>
      <c r="H456" s="92" t="str">
        <f>'Final data_for_R_analysis_Wetse'!J602</f>
        <v>G351</v>
      </c>
      <c r="I456" t="str">
        <f>'Final data_for_R_analysis_Wetse'!J822</f>
        <v>R253</v>
      </c>
      <c r="J456">
        <f>IFERROR(INDEX('Green_rooibos initial weight'!$C$5:$C$1749,MATCH(H456, 'Green_rooibos initial weight'!$A$5:$A$1749,0)),"")</f>
        <v>1.909</v>
      </c>
      <c r="K456">
        <f>IFERROR(INDEX('Green_rooibos initial weight'!$C$5:$C$1749,MATCH(I456, 'Green_rooibos initial weight'!$A$5:$A$1749,0)),"")</f>
        <v>2.2130000000000001</v>
      </c>
      <c r="L456" s="195">
        <f t="shared" si="47"/>
        <v>1.6592</v>
      </c>
      <c r="M456" s="195">
        <f>AVERAGE(Ashed_controlls!$K$2:$K$11)</f>
        <v>5.5147656768714146</v>
      </c>
      <c r="N456" s="195">
        <f t="shared" si="45"/>
        <v>1.9632000000000001</v>
      </c>
      <c r="O456" s="16">
        <f>IF('WetLitterbags placem_collection'!G163="N.A","",'WetLitterbags placem_collection'!G163)</f>
        <v>42814</v>
      </c>
      <c r="P456" s="195">
        <f>IF(IFERROR(INDEX('Both teabags AfterWet'!$C$3:$C$841,MATCH(H456,'Both teabags AfterWet'!$A$3:$A$841,0)),"")="N.A","",(IFERROR(INDEX('Both teabags AfterWet'!$C$3:$C$841,MATCH(H456,'Both teabags AfterWet'!$A$3:$A$841,0)),"")))</f>
        <v>0.58709999999999996</v>
      </c>
      <c r="Q456" s="195">
        <f>IFERROR(INDEX('Both teabags AfterWet'!$C$3:$C$841,MATCH(I456,'Both teabags AfterWet'!$A$3:$A$841,0)),"")</f>
        <v>1.7033</v>
      </c>
      <c r="R456" s="195">
        <f t="shared" si="48"/>
        <v>0.43649999999999994</v>
      </c>
      <c r="S456" s="195">
        <f t="shared" si="48"/>
        <v>1.5527</v>
      </c>
      <c r="T456" s="195">
        <f t="shared" si="49"/>
        <v>0.73692140790742533</v>
      </c>
      <c r="U456" s="195">
        <f t="shared" si="50"/>
        <v>0.4831123719298086</v>
      </c>
      <c r="V456" s="195">
        <f t="shared" si="51"/>
        <v>0.79090260798695999</v>
      </c>
      <c r="W456">
        <f t="shared" si="46"/>
        <v>51</v>
      </c>
      <c r="X456" s="195">
        <f t="shared" si="52"/>
        <v>0.12479642766339027</v>
      </c>
      <c r="Y456" s="195">
        <f t="shared" si="53"/>
        <v>1.1118951069981408E-2</v>
      </c>
      <c r="Z456" s="255" t="str">
        <f>IF(ISNUMBER(SEARCH("C",'WetLitterbags placem_collection'!W383)),"YES","NO")</f>
        <v>NO</v>
      </c>
      <c r="AA456" s="255" t="str">
        <f>IF(ISNUMBER(SEARCH("H", 'WetLitterbags placem_collection'!Y163)),"YES","NO")</f>
        <v>NO</v>
      </c>
      <c r="AB456" s="255" t="str">
        <f>IF(ISNUMBER(SEARCH("R", 'WetLitterbags placem_collection'!WY163)),"YES","NO")</f>
        <v>NO</v>
      </c>
      <c r="AC456" s="255" t="str">
        <f>IF(ISNUMBER(SEARCH("C", 'WetLitterbags placem_collection'!VX163)),"YES","NO")</f>
        <v>NO</v>
      </c>
      <c r="AD456" s="255" t="str">
        <f>IF(ISNUMBER(SEARCH("H", 'WetLitterbags placem_collection'!X163)),"YES","NO")</f>
        <v>NO</v>
      </c>
      <c r="AE456" s="255" t="str">
        <f>IF(ISNUMBER(SEARCH("R", 'WetLitterbags placem_collection'!X163)),"YES","NO")</f>
        <v>NO</v>
      </c>
    </row>
    <row r="457" spans="2:31">
      <c r="B457" t="str">
        <f>'Final data_for_R_analysis_Wetse'!A603</f>
        <v>Wet</v>
      </c>
      <c r="C457" s="263">
        <f>'Final data_for_R_analysis_Wetse'!B603</f>
        <v>162</v>
      </c>
      <c r="D457" t="s">
        <v>3851</v>
      </c>
      <c r="E457" t="s">
        <v>25</v>
      </c>
      <c r="F457" s="386">
        <v>2</v>
      </c>
      <c r="G457" s="16">
        <f>'WetLitterbags placem_collection'!E164</f>
        <v>42763</v>
      </c>
      <c r="H457" s="92" t="str">
        <f>'Final data_for_R_analysis_Wetse'!J603</f>
        <v>G442</v>
      </c>
      <c r="I457" t="str">
        <f>'Final data_for_R_analysis_Wetse'!J823</f>
        <v>R285</v>
      </c>
      <c r="J457">
        <f>IFERROR(INDEX('Green_rooibos initial weight'!$C$5:$C$1749,MATCH(H457, 'Green_rooibos initial weight'!$A$5:$A$1749,0)),"")</f>
        <v>2.056</v>
      </c>
      <c r="K457">
        <f>IFERROR(INDEX('Green_rooibos initial weight'!$C$5:$C$1749,MATCH(I457, 'Green_rooibos initial weight'!$A$5:$A$1749,0)),"")</f>
        <v>2.2400000000000002</v>
      </c>
      <c r="L457" s="195">
        <f t="shared" si="47"/>
        <v>1.8062</v>
      </c>
      <c r="M457" s="195">
        <f>AVERAGE(Ashed_controlls!$K$2:$K$11)</f>
        <v>5.5147656768714146</v>
      </c>
      <c r="N457" s="195">
        <f t="shared" si="45"/>
        <v>1.9902000000000002</v>
      </c>
      <c r="O457" s="16">
        <f>IF('WetLitterbags placem_collection'!G164="N.A","",'WetLitterbags placem_collection'!G164)</f>
        <v>42814</v>
      </c>
      <c r="P457" s="195">
        <f>IF(IFERROR(INDEX('Both teabags AfterWet'!$C$3:$C$841,MATCH(H457,'Both teabags AfterWet'!$A$3:$A$841,0)),"")="N.A","",(IFERROR(INDEX('Both teabags AfterWet'!$C$3:$C$841,MATCH(H457,'Both teabags AfterWet'!$A$3:$A$841,0)),"")))</f>
        <v>0.66290000000000004</v>
      </c>
      <c r="Q457" s="195">
        <f>IFERROR(INDEX('Both teabags AfterWet'!$C$3:$C$841,MATCH(I457,'Both teabags AfterWet'!$A$3:$A$841,0)),"")</f>
        <v>1.6621999999999999</v>
      </c>
      <c r="R457" s="195">
        <f t="shared" si="48"/>
        <v>0.51229999999999998</v>
      </c>
      <c r="S457" s="195">
        <f t="shared" si="48"/>
        <v>1.5115999999999998</v>
      </c>
      <c r="T457" s="195">
        <f t="shared" si="49"/>
        <v>0.71636585095781202</v>
      </c>
      <c r="U457" s="195">
        <f t="shared" si="50"/>
        <v>0.46963651986782928</v>
      </c>
      <c r="V457" s="195">
        <f t="shared" si="51"/>
        <v>0.75952165611496314</v>
      </c>
      <c r="W457">
        <f t="shared" si="46"/>
        <v>51</v>
      </c>
      <c r="X457" s="195">
        <f t="shared" si="52"/>
        <v>0.14920920313799046</v>
      </c>
      <c r="Y457" s="195">
        <f t="shared" si="53"/>
        <v>1.4069540070446694E-2</v>
      </c>
      <c r="Z457" s="255" t="str">
        <f>IF(ISNUMBER(SEARCH("C",'WetLitterbags placem_collection'!W384)),"YES","NO")</f>
        <v>NO</v>
      </c>
      <c r="AA457" s="255" t="str">
        <f>IF(ISNUMBER(SEARCH("H", 'WetLitterbags placem_collection'!Y164)),"YES","NO")</f>
        <v>NO</v>
      </c>
      <c r="AB457" s="255" t="str">
        <f>IF(ISNUMBER(SEARCH("R", 'WetLitterbags placem_collection'!WY164)),"YES","NO")</f>
        <v>NO</v>
      </c>
      <c r="AC457" s="255" t="str">
        <f>IF(ISNUMBER(SEARCH("C", 'WetLitterbags placem_collection'!VX164)),"YES","NO")</f>
        <v>NO</v>
      </c>
      <c r="AD457" s="255" t="str">
        <f>IF(ISNUMBER(SEARCH("H", 'WetLitterbags placem_collection'!X164)),"YES","NO")</f>
        <v>NO</v>
      </c>
      <c r="AE457" s="255" t="str">
        <f>IF(ISNUMBER(SEARCH("R", 'WetLitterbags placem_collection'!X164)),"YES","NO")</f>
        <v>NO</v>
      </c>
    </row>
    <row r="458" spans="2:31">
      <c r="B458" t="str">
        <f>'Final data_for_R_analysis_Wetse'!A604</f>
        <v>Wet</v>
      </c>
      <c r="C458" s="263">
        <f>'Final data_for_R_analysis_Wetse'!B604</f>
        <v>163</v>
      </c>
      <c r="D458" t="s">
        <v>3851</v>
      </c>
      <c r="E458" t="s">
        <v>25</v>
      </c>
      <c r="F458" s="386">
        <v>3</v>
      </c>
      <c r="G458" s="16">
        <f>'WetLitterbags placem_collection'!E165</f>
        <v>42763</v>
      </c>
      <c r="H458" s="92" t="str">
        <f>'Final data_for_R_analysis_Wetse'!J604</f>
        <v>G743</v>
      </c>
      <c r="I458" t="str">
        <f>'Final data_for_R_analysis_Wetse'!J824</f>
        <v>R341</v>
      </c>
      <c r="J458">
        <f>IFERROR(INDEX('Green_rooibos initial weight'!$C$5:$C$1749,MATCH(H458, 'Green_rooibos initial weight'!$A$5:$A$1749,0)),"")</f>
        <v>2.0339999999999998</v>
      </c>
      <c r="K458">
        <f>IFERROR(INDEX('Green_rooibos initial weight'!$C$5:$C$1749,MATCH(I458, 'Green_rooibos initial weight'!$A$5:$A$1749,0)),"")</f>
        <v>2.1560000000000001</v>
      </c>
      <c r="L458" s="195">
        <f t="shared" si="47"/>
        <v>1.7841999999999998</v>
      </c>
      <c r="M458" s="195">
        <f>AVERAGE(Ashed_controlls!$K$2:$K$11)</f>
        <v>5.5147656768714146</v>
      </c>
      <c r="N458" s="195">
        <f t="shared" si="45"/>
        <v>1.9062000000000001</v>
      </c>
      <c r="O458" s="16">
        <f>IF('WetLitterbags placem_collection'!G165="N.A","",'WetLitterbags placem_collection'!G165)</f>
        <v>42814</v>
      </c>
      <c r="P458" s="195">
        <f>IF(IFERROR(INDEX('Both teabags AfterWet'!$C$3:$C$841,MATCH(H458,'Both teabags AfterWet'!$A$3:$A$841,0)),"")="N.A","",(IFERROR(INDEX('Both teabags AfterWet'!$C$3:$C$841,MATCH(H458,'Both teabags AfterWet'!$A$3:$A$841,0)),"")))</f>
        <v>0.68700000000000006</v>
      </c>
      <c r="Q458" s="195">
        <f>IFERROR(INDEX('Both teabags AfterWet'!$C$3:$C$841,MATCH(I458,'Both teabags AfterWet'!$A$3:$A$841,0)),"")</f>
        <v>1.738</v>
      </c>
      <c r="R458" s="195">
        <f t="shared" si="48"/>
        <v>0.53639999999999999</v>
      </c>
      <c r="S458" s="195">
        <f t="shared" si="48"/>
        <v>1.5873999999999999</v>
      </c>
      <c r="T458" s="195">
        <f t="shared" si="49"/>
        <v>0.6993610581773344</v>
      </c>
      <c r="U458" s="195">
        <f t="shared" si="50"/>
        <v>0.45848848469582976</v>
      </c>
      <c r="V458" s="195">
        <f t="shared" si="51"/>
        <v>0.83275626901689215</v>
      </c>
      <c r="W458">
        <f t="shared" si="46"/>
        <v>51</v>
      </c>
      <c r="X458" s="195">
        <f t="shared" si="52"/>
        <v>0.169404919029294</v>
      </c>
      <c r="Y458" s="195">
        <f t="shared" si="53"/>
        <v>8.8974742058777357E-3</v>
      </c>
      <c r="Z458" s="255" t="str">
        <f>IF(ISNUMBER(SEARCH("C",'WetLitterbags placem_collection'!W385)),"YES","NO")</f>
        <v>NO</v>
      </c>
      <c r="AA458" s="255" t="str">
        <f>IF(ISNUMBER(SEARCH("H", 'WetLitterbags placem_collection'!Y165)),"YES","NO")</f>
        <v>NO</v>
      </c>
      <c r="AB458" s="255" t="str">
        <f>IF(ISNUMBER(SEARCH("R", 'WetLitterbags placem_collection'!WY165)),"YES","NO")</f>
        <v>NO</v>
      </c>
      <c r="AC458" s="255" t="str">
        <f>IF(ISNUMBER(SEARCH("C", 'WetLitterbags placem_collection'!VX165)),"YES","NO")</f>
        <v>NO</v>
      </c>
      <c r="AD458" s="255" t="str">
        <f>IF(ISNUMBER(SEARCH("H", 'WetLitterbags placem_collection'!X165)),"YES","NO")</f>
        <v>NO</v>
      </c>
      <c r="AE458" s="255" t="str">
        <f>IF(ISNUMBER(SEARCH("R", 'WetLitterbags placem_collection'!X165)),"YES","NO")</f>
        <v>NO</v>
      </c>
    </row>
    <row r="459" spans="2:31">
      <c r="B459" t="str">
        <f>'Final data_for_R_analysis_Wetse'!A605</f>
        <v>Wet</v>
      </c>
      <c r="C459" s="263">
        <f>'Final data_for_R_analysis_Wetse'!B605</f>
        <v>164</v>
      </c>
      <c r="D459" t="s">
        <v>3851</v>
      </c>
      <c r="E459" t="s">
        <v>25</v>
      </c>
      <c r="F459" s="387">
        <v>4</v>
      </c>
      <c r="G459" s="16">
        <f>'WetLitterbags placem_collection'!E166</f>
        <v>42763</v>
      </c>
      <c r="H459" s="92" t="str">
        <f>'Final data_for_R_analysis_Wetse'!J605</f>
        <v>G390</v>
      </c>
      <c r="I459" t="str">
        <f>'Final data_for_R_analysis_Wetse'!J825</f>
        <v>R264</v>
      </c>
      <c r="J459">
        <f>IFERROR(INDEX('Green_rooibos initial weight'!$C$5:$C$1749,MATCH(H459, 'Green_rooibos initial weight'!$A$5:$A$1749,0)),"")</f>
        <v>2.0630000000000002</v>
      </c>
      <c r="K459">
        <f>IFERROR(INDEX('Green_rooibos initial weight'!$C$5:$C$1749,MATCH(I459, 'Green_rooibos initial weight'!$A$5:$A$1749,0)),"")</f>
        <v>2.2250000000000001</v>
      </c>
      <c r="L459" s="195">
        <f t="shared" si="47"/>
        <v>1.8132000000000001</v>
      </c>
      <c r="M459" s="195">
        <f>AVERAGE(Ashed_controlls!$K$2:$K$11)</f>
        <v>5.5147656768714146</v>
      </c>
      <c r="N459" s="195">
        <f t="shared" si="45"/>
        <v>1.9752000000000001</v>
      </c>
      <c r="O459" s="16">
        <f>IF('WetLitterbags placem_collection'!G166="N.A","",'WetLitterbags placem_collection'!G166)</f>
        <v>42814</v>
      </c>
      <c r="P459" s="195">
        <f>IF(IFERROR(INDEX('Both teabags AfterWet'!$C$3:$C$841,MATCH(H459,'Both teabags AfterWet'!$A$3:$A$841,0)),"")="N.A","",(IFERROR(INDEX('Both teabags AfterWet'!$C$3:$C$841,MATCH(H459,'Both teabags AfterWet'!$A$3:$A$841,0)),"")))</f>
        <v>0.63800000000000001</v>
      </c>
      <c r="Q459" s="195">
        <f>IFERROR(INDEX('Both teabags AfterWet'!$C$3:$C$841,MATCH(I459,'Both teabags AfterWet'!$A$3:$A$841,0)),"")</f>
        <v>1.7050000000000001</v>
      </c>
      <c r="R459" s="195">
        <f t="shared" si="48"/>
        <v>0.4874</v>
      </c>
      <c r="S459" s="195">
        <f t="shared" si="48"/>
        <v>1.5544</v>
      </c>
      <c r="T459" s="195">
        <f t="shared" si="49"/>
        <v>0.73119347010809621</v>
      </c>
      <c r="U459" s="195">
        <f t="shared" si="50"/>
        <v>0.47935723931077096</v>
      </c>
      <c r="V459" s="195">
        <f t="shared" si="51"/>
        <v>0.7869582827055488</v>
      </c>
      <c r="W459">
        <f t="shared" si="46"/>
        <v>51</v>
      </c>
      <c r="X459" s="195">
        <f t="shared" si="52"/>
        <v>0.13159920414715409</v>
      </c>
      <c r="Y459" s="195">
        <f t="shared" si="53"/>
        <v>1.1524791037832991E-2</v>
      </c>
      <c r="Z459" s="255" t="str">
        <f>IF(ISNUMBER(SEARCH("C",'WetLitterbags placem_collection'!W386)),"YES","NO")</f>
        <v>NO</v>
      </c>
      <c r="AA459" s="255" t="str">
        <f>IF(ISNUMBER(SEARCH("H", 'WetLitterbags placem_collection'!Y166)),"YES","NO")</f>
        <v>NO</v>
      </c>
      <c r="AB459" s="255" t="str">
        <f>IF(ISNUMBER(SEARCH("R", 'WetLitterbags placem_collection'!WY166)),"YES","NO")</f>
        <v>NO</v>
      </c>
      <c r="AC459" s="255" t="str">
        <f>IF(ISNUMBER(SEARCH("C", 'WetLitterbags placem_collection'!VX166)),"YES","NO")</f>
        <v>NO</v>
      </c>
      <c r="AD459" s="255" t="str">
        <f>IF(ISNUMBER(SEARCH("H", 'WetLitterbags placem_collection'!X166)),"YES","NO")</f>
        <v>NO</v>
      </c>
      <c r="AE459" s="255" t="str">
        <f>IF(ISNUMBER(SEARCH("R", 'WetLitterbags placem_collection'!X166)),"YES","NO")</f>
        <v>NO</v>
      </c>
    </row>
    <row r="460" spans="2:31">
      <c r="B460" t="str">
        <f>'Final data_for_R_analysis_Wetse'!A606</f>
        <v>Wet</v>
      </c>
      <c r="C460" s="263">
        <f>'Final data_for_R_analysis_Wetse'!B606</f>
        <v>165</v>
      </c>
      <c r="D460" t="s">
        <v>3851</v>
      </c>
      <c r="E460" t="s">
        <v>25</v>
      </c>
      <c r="F460" s="387">
        <v>5</v>
      </c>
      <c r="G460" s="16">
        <f>'WetLitterbags placem_collection'!E167</f>
        <v>42763</v>
      </c>
      <c r="H460" s="92" t="str">
        <f>'Final data_for_R_analysis_Wetse'!J606</f>
        <v>G810</v>
      </c>
      <c r="I460" t="str">
        <f>'Final data_for_R_analysis_Wetse'!J826</f>
        <v>R411</v>
      </c>
      <c r="J460">
        <f>IFERROR(INDEX('Green_rooibos initial weight'!$C$5:$C$1749,MATCH(H460, 'Green_rooibos initial weight'!$A$5:$A$1749,0)),"")</f>
        <v>1.946</v>
      </c>
      <c r="K460">
        <f>IFERROR(INDEX('Green_rooibos initial weight'!$C$5:$C$1749,MATCH(I460, 'Green_rooibos initial weight'!$A$5:$A$1749,0)),"")</f>
        <v>2.2240000000000002</v>
      </c>
      <c r="L460" s="195">
        <f t="shared" si="47"/>
        <v>1.6961999999999999</v>
      </c>
      <c r="M460" s="195">
        <f>AVERAGE(Ashed_controlls!$K$2:$K$11)</f>
        <v>5.5147656768714146</v>
      </c>
      <c r="N460" s="195">
        <f t="shared" ref="N460:N515" si="54">IF(K460&gt;0,(K460*$F$32-($F$29+$F$30)),"")</f>
        <v>1.9742000000000002</v>
      </c>
      <c r="O460" s="16">
        <f>IF('WetLitterbags placem_collection'!G167="N.A","",'WetLitterbags placem_collection'!G167)</f>
        <v>42814</v>
      </c>
      <c r="P460" s="195">
        <f>IF(IFERROR(INDEX('Both teabags AfterWet'!$C$3:$C$841,MATCH(H460,'Both teabags AfterWet'!$A$3:$A$841,0)),"")="N.A","",(IFERROR(INDEX('Both teabags AfterWet'!$C$3:$C$841,MATCH(H460,'Both teabags AfterWet'!$A$3:$A$841,0)),"")))</f>
        <v>0.64800000000000002</v>
      </c>
      <c r="Q460" s="195">
        <f>IFERROR(INDEX('Both teabags AfterWet'!$C$3:$C$841,MATCH(I460,'Both teabags AfterWet'!$A$3:$A$841,0)),"")</f>
        <v>1.728</v>
      </c>
      <c r="R460" s="195">
        <f t="shared" si="48"/>
        <v>0.49740000000000001</v>
      </c>
      <c r="S460" s="195">
        <f t="shared" si="48"/>
        <v>1.5773999999999999</v>
      </c>
      <c r="T460" s="195">
        <f t="shared" si="49"/>
        <v>0.70675627874071445</v>
      </c>
      <c r="U460" s="195">
        <f t="shared" si="50"/>
        <v>0.46333665779676297</v>
      </c>
      <c r="V460" s="195">
        <f t="shared" si="51"/>
        <v>0.79900719278695154</v>
      </c>
      <c r="W460">
        <f t="shared" ref="W460:W515" si="55">IF((O460-G460)&gt;0,(IFERROR(O460-G460,"")),"")</f>
        <v>51</v>
      </c>
      <c r="X460" s="195">
        <f t="shared" si="52"/>
        <v>0.16062199674499467</v>
      </c>
      <c r="Y460" s="195">
        <f t="shared" si="53"/>
        <v>1.1152899263052954E-2</v>
      </c>
      <c r="Z460" s="255" t="str">
        <f>IF(ISNUMBER(SEARCH("C",'WetLitterbags placem_collection'!W387)),"YES","NO")</f>
        <v>NO</v>
      </c>
      <c r="AA460" s="255" t="str">
        <f>IF(ISNUMBER(SEARCH("H", 'WetLitterbags placem_collection'!Y167)),"YES","NO")</f>
        <v>NO</v>
      </c>
      <c r="AB460" s="255" t="str">
        <f>IF(ISNUMBER(SEARCH("R", 'WetLitterbags placem_collection'!WY167)),"YES","NO")</f>
        <v>NO</v>
      </c>
      <c r="AC460" s="255" t="str">
        <f>IF(ISNUMBER(SEARCH("C", 'WetLitterbags placem_collection'!VX167)),"YES","NO")</f>
        <v>NO</v>
      </c>
      <c r="AD460" s="255" t="str">
        <f>IF(ISNUMBER(SEARCH("H", 'WetLitterbags placem_collection'!X167)),"YES","NO")</f>
        <v>NO</v>
      </c>
      <c r="AE460" s="255" t="str">
        <f>IF(ISNUMBER(SEARCH("R", 'WetLitterbags placem_collection'!X167)),"YES","NO")</f>
        <v>NO</v>
      </c>
    </row>
    <row r="461" spans="2:31">
      <c r="B461" t="str">
        <f>'Final data_for_R_analysis_Wetse'!A607</f>
        <v>Wet</v>
      </c>
      <c r="C461" s="263">
        <f>'Final data_for_R_analysis_Wetse'!B607</f>
        <v>166</v>
      </c>
      <c r="D461" t="s">
        <v>3851</v>
      </c>
      <c r="E461" t="s">
        <v>25</v>
      </c>
      <c r="F461" s="387">
        <v>6</v>
      </c>
      <c r="G461" s="16">
        <f>'WetLitterbags placem_collection'!E168</f>
        <v>42763</v>
      </c>
      <c r="H461" s="92" t="str">
        <f>'Final data_for_R_analysis_Wetse'!J607</f>
        <v>G287</v>
      </c>
      <c r="I461" t="str">
        <f>'Final data_for_R_analysis_Wetse'!J827</f>
        <v>R259</v>
      </c>
      <c r="J461">
        <f>IFERROR(INDEX('Green_rooibos initial weight'!$C$5:$C$1749,MATCH(H461, 'Green_rooibos initial weight'!$A$5:$A$1749,0)),"")</f>
        <v>1.9970000000000001</v>
      </c>
      <c r="K461">
        <f>IFERROR(INDEX('Green_rooibos initial weight'!$C$5:$C$1749,MATCH(I461, 'Green_rooibos initial weight'!$A$5:$A$1749,0)),"")</f>
        <v>2.218</v>
      </c>
      <c r="L461" s="195">
        <f t="shared" ref="L461:L515" si="56">IF(J461&gt;0,(J461*$F$31-($F$29+$F$30)),"")</f>
        <v>1.7472000000000001</v>
      </c>
      <c r="M461" s="195">
        <f>AVERAGE(Ashed_controlls!$K$2:$K$11)</f>
        <v>5.5147656768714146</v>
      </c>
      <c r="N461" s="195">
        <f t="shared" si="54"/>
        <v>1.9681999999999999</v>
      </c>
      <c r="O461" s="16">
        <f>IF('WetLitterbags placem_collection'!G168="N.A","",'WetLitterbags placem_collection'!G168)</f>
        <v>42814</v>
      </c>
      <c r="P461" s="195">
        <f>IF(IFERROR(INDEX('Both teabags AfterWet'!$C$3:$C$841,MATCH(H461,'Both teabags AfterWet'!$A$3:$A$841,0)),"")="N.A","",(IFERROR(INDEX('Both teabags AfterWet'!$C$3:$C$841,MATCH(H461,'Both teabags AfterWet'!$A$3:$A$841,0)),"")))</f>
        <v>0.72240000000000004</v>
      </c>
      <c r="Q461" s="195">
        <f>IFERROR(INDEX('Both teabags AfterWet'!$C$3:$C$841,MATCH(I461,'Both teabags AfterWet'!$A$3:$A$841,0)),"")</f>
        <v>1.7169000000000001</v>
      </c>
      <c r="R461" s="195">
        <f t="shared" ref="R461:S515" si="57">IFERROR(IF(P461&gt;0,P461-($F$29),""),"")</f>
        <v>0.57180000000000009</v>
      </c>
      <c r="S461" s="195">
        <f t="shared" si="57"/>
        <v>1.5663</v>
      </c>
      <c r="T461" s="195">
        <f t="shared" ref="T461:T515" si="58">IFERROR(1-R461/L461,"")</f>
        <v>0.67273351648351642</v>
      </c>
      <c r="U461" s="195">
        <f t="shared" ref="U461:U515" si="59">IFERROR($F$26*(1-X461),"")</f>
        <v>0.44103194904857612</v>
      </c>
      <c r="V461" s="195">
        <f t="shared" ref="V461:V515" si="60">IFERROR(S461/N461,"")</f>
        <v>0.79580327202520074</v>
      </c>
      <c r="W461">
        <f t="shared" si="55"/>
        <v>51</v>
      </c>
      <c r="X461" s="195">
        <f t="shared" ref="X461:X515" si="61">IFERROR(1-(T461/$F$25),"")</f>
        <v>0.20102907781055057</v>
      </c>
      <c r="Y461" s="195">
        <f t="shared" ref="Y461:Y515" si="62">IFERROR(LN(U461/(V461-(1-U461)))/W461,"")</f>
        <v>1.2191229216720135E-2</v>
      </c>
      <c r="Z461" s="255" t="str">
        <f>IF(ISNUMBER(SEARCH("C",'WetLitterbags placem_collection'!W388)),"YES","NO")</f>
        <v>NO</v>
      </c>
      <c r="AA461" s="255" t="str">
        <f>IF(ISNUMBER(SEARCH("H", 'WetLitterbags placem_collection'!Y168)),"YES","NO")</f>
        <v>NO</v>
      </c>
      <c r="AB461" s="255" t="str">
        <f>IF(ISNUMBER(SEARCH("R", 'WetLitterbags placem_collection'!WY168)),"YES","NO")</f>
        <v>NO</v>
      </c>
      <c r="AC461" s="255" t="str">
        <f>IF(ISNUMBER(SEARCH("C", 'WetLitterbags placem_collection'!VX168)),"YES","NO")</f>
        <v>NO</v>
      </c>
      <c r="AD461" s="255" t="str">
        <f>IF(ISNUMBER(SEARCH("H", 'WetLitterbags placem_collection'!X168)),"YES","NO")</f>
        <v>NO</v>
      </c>
      <c r="AE461" s="255" t="str">
        <f>IF(ISNUMBER(SEARCH("R", 'WetLitterbags placem_collection'!X168)),"YES","NO")</f>
        <v>NO</v>
      </c>
    </row>
    <row r="462" spans="2:31">
      <c r="B462" t="str">
        <f>'Final data_for_R_analysis_Wetse'!A608</f>
        <v>Wet</v>
      </c>
      <c r="C462" s="263">
        <f>'Final data_for_R_analysis_Wetse'!B608</f>
        <v>167</v>
      </c>
      <c r="D462" t="s">
        <v>3851</v>
      </c>
      <c r="E462" t="s">
        <v>25</v>
      </c>
      <c r="F462" s="387">
        <v>7</v>
      </c>
      <c r="G462" s="16">
        <f>'WetLitterbags placem_collection'!E169</f>
        <v>42763</v>
      </c>
      <c r="H462" s="92" t="str">
        <f>'Final data_for_R_analysis_Wetse'!J608</f>
        <v>G443</v>
      </c>
      <c r="I462" t="str">
        <f>'Final data_for_R_analysis_Wetse'!J828</f>
        <v>R215</v>
      </c>
      <c r="J462">
        <f>IFERROR(INDEX('Green_rooibos initial weight'!$C$5:$C$1749,MATCH(H462, 'Green_rooibos initial weight'!$A$5:$A$1749,0)),"")</f>
        <v>2.0310000000000001</v>
      </c>
      <c r="K462">
        <f>IFERROR(INDEX('Green_rooibos initial weight'!$C$5:$C$1749,MATCH(I462, 'Green_rooibos initial weight'!$A$5:$A$1749,0)),"")</f>
        <v>2.1949999999999998</v>
      </c>
      <c r="L462" s="195">
        <f t="shared" si="56"/>
        <v>1.7812000000000001</v>
      </c>
      <c r="M462" s="195">
        <f>AVERAGE(Ashed_controlls!$K$2:$K$11)</f>
        <v>5.5147656768714146</v>
      </c>
      <c r="N462" s="195">
        <f t="shared" si="54"/>
        <v>1.9451999999999998</v>
      </c>
      <c r="O462" s="16">
        <f>IF('WetLitterbags placem_collection'!G169="N.A","",'WetLitterbags placem_collection'!G169)</f>
        <v>42814</v>
      </c>
      <c r="P462" s="195">
        <f>IF(IFERROR(INDEX('Both teabags AfterWet'!$C$3:$C$841,MATCH(H462,'Both teabags AfterWet'!$A$3:$A$841,0)),"")="N.A","",(IFERROR(INDEX('Both teabags AfterWet'!$C$3:$C$841,MATCH(H462,'Both teabags AfterWet'!$A$3:$A$841,0)),"")))</f>
        <v>0.69789999999999996</v>
      </c>
      <c r="Q462" s="195">
        <f>IFERROR(INDEX('Both teabags AfterWet'!$C$3:$C$841,MATCH(I462,'Both teabags AfterWet'!$A$3:$A$841,0)),"")</f>
        <v>1.7432000000000001</v>
      </c>
      <c r="R462" s="195">
        <f t="shared" si="57"/>
        <v>0.5472999999999999</v>
      </c>
      <c r="S462" s="195">
        <f t="shared" si="57"/>
        <v>1.5926</v>
      </c>
      <c r="T462" s="195">
        <f t="shared" si="58"/>
        <v>0.69273523467325404</v>
      </c>
      <c r="U462" s="195">
        <f t="shared" si="59"/>
        <v>0.45414471441762028</v>
      </c>
      <c r="V462" s="195">
        <f t="shared" si="60"/>
        <v>0.81873329220645696</v>
      </c>
      <c r="W462">
        <f t="shared" si="55"/>
        <v>51</v>
      </c>
      <c r="X462" s="195">
        <f t="shared" si="61"/>
        <v>0.17727406808402135</v>
      </c>
      <c r="Y462" s="195">
        <f t="shared" si="62"/>
        <v>9.9880601636159489E-3</v>
      </c>
      <c r="Z462" s="255" t="str">
        <f>IF(ISNUMBER(SEARCH("C",'WetLitterbags placem_collection'!W389)),"YES","NO")</f>
        <v>NO</v>
      </c>
      <c r="AA462" s="255" t="str">
        <f>IF(ISNUMBER(SEARCH("H", 'WetLitterbags placem_collection'!Y169)),"YES","NO")</f>
        <v>NO</v>
      </c>
      <c r="AB462" s="255" t="str">
        <f>IF(ISNUMBER(SEARCH("R", 'WetLitterbags placem_collection'!WY169)),"YES","NO")</f>
        <v>NO</v>
      </c>
      <c r="AC462" s="255" t="str">
        <f>IF(ISNUMBER(SEARCH("C", 'WetLitterbags placem_collection'!VX169)),"YES","NO")</f>
        <v>NO</v>
      </c>
      <c r="AD462" s="255" t="str">
        <f>IF(ISNUMBER(SEARCH("H", 'WetLitterbags placem_collection'!X169)),"YES","NO")</f>
        <v>NO</v>
      </c>
      <c r="AE462" s="255" t="str">
        <f>IF(ISNUMBER(SEARCH("R", 'WetLitterbags placem_collection'!X169)),"YES","NO")</f>
        <v>NO</v>
      </c>
    </row>
    <row r="463" spans="2:31">
      <c r="B463" t="str">
        <f>'Final data_for_R_analysis_Wetse'!A609</f>
        <v>Wet</v>
      </c>
      <c r="C463" s="263">
        <f>'Final data_for_R_analysis_Wetse'!B609</f>
        <v>168</v>
      </c>
      <c r="D463" t="s">
        <v>3851</v>
      </c>
      <c r="E463" t="s">
        <v>25</v>
      </c>
      <c r="F463" s="387">
        <v>8</v>
      </c>
      <c r="G463" s="16">
        <f>'WetLitterbags placem_collection'!E170</f>
        <v>42763</v>
      </c>
      <c r="H463" s="92" t="str">
        <f>'Final data_for_R_analysis_Wetse'!J609</f>
        <v>G680</v>
      </c>
      <c r="I463" t="str">
        <f>'Final data_for_R_analysis_Wetse'!J829</f>
        <v>R322</v>
      </c>
      <c r="J463">
        <f>IFERROR(INDEX('Green_rooibos initial weight'!$C$5:$C$1749,MATCH(H463, 'Green_rooibos initial weight'!$A$5:$A$1749,0)),"")</f>
        <v>2.0049999999999999</v>
      </c>
      <c r="K463">
        <f>IFERROR(INDEX('Green_rooibos initial weight'!$C$5:$C$1749,MATCH(I463, 'Green_rooibos initial weight'!$A$5:$A$1749,0)),"")</f>
        <v>2.1909999999999998</v>
      </c>
      <c r="L463" s="195">
        <f t="shared" si="56"/>
        <v>1.7551999999999999</v>
      </c>
      <c r="M463" s="195">
        <f>AVERAGE(Ashed_controlls!$K$2:$K$11)</f>
        <v>5.5147656768714146</v>
      </c>
      <c r="N463" s="195">
        <f t="shared" si="54"/>
        <v>1.9411999999999998</v>
      </c>
      <c r="O463" s="16">
        <f>IF('WetLitterbags placem_collection'!G170="N.A","",'WetLitterbags placem_collection'!G170)</f>
        <v>42814</v>
      </c>
      <c r="P463" s="195">
        <f>IF(IFERROR(INDEX('Both teabags AfterWet'!$C$3:$C$841,MATCH(H463,'Both teabags AfterWet'!$A$3:$A$841,0)),"")="N.A","",(IFERROR(INDEX('Both teabags AfterWet'!$C$3:$C$841,MATCH(H463,'Both teabags AfterWet'!$A$3:$A$841,0)),"")))</f>
        <v>0.998</v>
      </c>
      <c r="Q463" s="195">
        <f>IFERROR(INDEX('Both teabags AfterWet'!$C$3:$C$841,MATCH(I463,'Both teabags AfterWet'!$A$3:$A$841,0)),"")</f>
        <v>1.6950000000000001</v>
      </c>
      <c r="R463" s="195">
        <f t="shared" si="57"/>
        <v>0.84739999999999993</v>
      </c>
      <c r="S463" s="195">
        <f t="shared" si="57"/>
        <v>1.5444</v>
      </c>
      <c r="T463" s="195">
        <f t="shared" si="58"/>
        <v>0.51720601640838648</v>
      </c>
      <c r="U463" s="195">
        <f t="shared" si="59"/>
        <v>0.33907092762165009</v>
      </c>
      <c r="V463" s="195">
        <f t="shared" si="60"/>
        <v>0.79559035648052756</v>
      </c>
      <c r="W463">
        <f t="shared" si="55"/>
        <v>51</v>
      </c>
      <c r="X463" s="195">
        <f t="shared" si="61"/>
        <v>0.38574107314918471</v>
      </c>
      <c r="Y463" s="195">
        <f t="shared" si="62"/>
        <v>1.8106797893379462E-2</v>
      </c>
      <c r="Z463" s="255" t="str">
        <f>IF(ISNUMBER(SEARCH("C",'WetLitterbags placem_collection'!W390)),"YES","NO")</f>
        <v>NO</v>
      </c>
      <c r="AA463" s="255" t="str">
        <f>IF(ISNUMBER(SEARCH("H", 'WetLitterbags placem_collection'!Y170)),"YES","NO")</f>
        <v>NO</v>
      </c>
      <c r="AB463" s="255" t="str">
        <f>IF(ISNUMBER(SEARCH("R", 'WetLitterbags placem_collection'!WY170)),"YES","NO")</f>
        <v>NO</v>
      </c>
      <c r="AC463" s="255" t="str">
        <f>IF(ISNUMBER(SEARCH("C", 'WetLitterbags placem_collection'!VX170)),"YES","NO")</f>
        <v>NO</v>
      </c>
      <c r="AD463" s="255" t="str">
        <f>IF(ISNUMBER(SEARCH("H", 'WetLitterbags placem_collection'!X170)),"YES","NO")</f>
        <v>NO</v>
      </c>
      <c r="AE463" s="255" t="str">
        <f>IF(ISNUMBER(SEARCH("R", 'WetLitterbags placem_collection'!X170)),"YES","NO")</f>
        <v>NO</v>
      </c>
    </row>
    <row r="464" spans="2:31">
      <c r="B464" t="str">
        <f>'Final data_for_R_analysis_Wetse'!A610</f>
        <v>Wet</v>
      </c>
      <c r="C464" s="263">
        <f>'Final data_for_R_analysis_Wetse'!B610</f>
        <v>169</v>
      </c>
      <c r="D464" t="s">
        <v>3853</v>
      </c>
      <c r="E464" t="s">
        <v>25</v>
      </c>
      <c r="F464" s="386">
        <v>1</v>
      </c>
      <c r="G464" s="16">
        <f>'WetLitterbags placem_collection'!E171</f>
        <v>42763</v>
      </c>
      <c r="H464" s="92" t="str">
        <f>'Final data_for_R_analysis_Wetse'!J610</f>
        <v>G496</v>
      </c>
      <c r="I464" t="str">
        <f>'Final data_for_R_analysis_Wetse'!J830</f>
        <v>R403</v>
      </c>
      <c r="J464">
        <f>IFERROR(INDEX('Green_rooibos initial weight'!$C$5:$C$1749,MATCH(H464, 'Green_rooibos initial weight'!$A$5:$A$1749,0)),"")</f>
        <v>1.8480000000000001</v>
      </c>
      <c r="K464">
        <f>IFERROR(INDEX('Green_rooibos initial weight'!$C$5:$C$1749,MATCH(I464, 'Green_rooibos initial weight'!$A$5:$A$1749,0)),"")</f>
        <v>2.2679999999999998</v>
      </c>
      <c r="L464" s="195">
        <f t="shared" si="56"/>
        <v>1.5982000000000001</v>
      </c>
      <c r="M464" s="195">
        <f>AVERAGE(Ashed_controlls!$K$2:$K$11)</f>
        <v>5.5147656768714146</v>
      </c>
      <c r="N464" s="195">
        <f t="shared" si="54"/>
        <v>2.0181999999999998</v>
      </c>
      <c r="O464" s="16">
        <f>IF('WetLitterbags placem_collection'!G171="N.A","",'WetLitterbags placem_collection'!G171)</f>
        <v>42814</v>
      </c>
      <c r="P464" s="195">
        <f>IF(IFERROR(INDEX('Both teabags AfterWet'!$C$3:$C$841,MATCH(H464,'Both teabags AfterWet'!$A$3:$A$841,0)),"")="N.A","",(IFERROR(INDEX('Both teabags AfterWet'!$C$3:$C$841,MATCH(H464,'Both teabags AfterWet'!$A$3:$A$841,0)),"")))</f>
        <v>0.57199999999999995</v>
      </c>
      <c r="Q464" s="195">
        <f>IFERROR(INDEX('Both teabags AfterWet'!$C$3:$C$841,MATCH(I464,'Both teabags AfterWet'!$A$3:$A$841,0)),"")</f>
        <v>1.736</v>
      </c>
      <c r="R464" s="195">
        <f t="shared" si="57"/>
        <v>0.42139999999999994</v>
      </c>
      <c r="S464" s="195">
        <f t="shared" si="57"/>
        <v>1.5853999999999999</v>
      </c>
      <c r="T464" s="195">
        <f t="shared" si="58"/>
        <v>0.73632836941559265</v>
      </c>
      <c r="U464" s="195">
        <f t="shared" si="59"/>
        <v>0.48272358660024606</v>
      </c>
      <c r="V464" s="195">
        <f t="shared" si="60"/>
        <v>0.78555148151818455</v>
      </c>
      <c r="W464">
        <f t="shared" si="55"/>
        <v>51</v>
      </c>
      <c r="X464" s="195">
        <f t="shared" si="61"/>
        <v>0.12550074891259777</v>
      </c>
      <c r="Y464" s="195">
        <f t="shared" si="62"/>
        <v>1.1518262306625657E-2</v>
      </c>
      <c r="Z464" s="255" t="str">
        <f>IF(ISNUMBER(SEARCH("C",'WetLitterbags placem_collection'!W391)),"YES","NO")</f>
        <v>NO</v>
      </c>
      <c r="AA464" s="255" t="str">
        <f>IF(ISNUMBER(SEARCH("H", 'WetLitterbags placem_collection'!Y171)),"YES","NO")</f>
        <v>NO</v>
      </c>
      <c r="AB464" s="255" t="str">
        <f>IF(ISNUMBER(SEARCH("R", 'WetLitterbags placem_collection'!WY171)),"YES","NO")</f>
        <v>NO</v>
      </c>
      <c r="AC464" s="255" t="str">
        <f>IF(ISNUMBER(SEARCH("C", 'WetLitterbags placem_collection'!VX171)),"YES","NO")</f>
        <v>NO</v>
      </c>
      <c r="AD464" s="255" t="str">
        <f>IF(ISNUMBER(SEARCH("H", 'WetLitterbags placem_collection'!X171)),"YES","NO")</f>
        <v>NO</v>
      </c>
      <c r="AE464" s="255" t="str">
        <f>IF(ISNUMBER(SEARCH("R", 'WetLitterbags placem_collection'!X171)),"YES","NO")</f>
        <v>NO</v>
      </c>
    </row>
    <row r="465" spans="2:31">
      <c r="B465" t="str">
        <f>'Final data_for_R_analysis_Wetse'!A611</f>
        <v>Wet</v>
      </c>
      <c r="C465" s="263">
        <f>'Final data_for_R_analysis_Wetse'!B611</f>
        <v>170</v>
      </c>
      <c r="D465" t="s">
        <v>3853</v>
      </c>
      <c r="E465" t="s">
        <v>25</v>
      </c>
      <c r="F465" s="386">
        <v>2</v>
      </c>
      <c r="G465" s="16">
        <f>'WetLitterbags placem_collection'!E172</f>
        <v>42763</v>
      </c>
      <c r="H465" s="92" t="str">
        <f>'Final data_for_R_analysis_Wetse'!J611</f>
        <v>G674</v>
      </c>
      <c r="I465" t="str">
        <f>'Final data_for_R_analysis_Wetse'!J831</f>
        <v>R583</v>
      </c>
      <c r="J465">
        <f>IFERROR(INDEX('Green_rooibos initial weight'!$C$5:$C$1749,MATCH(H465, 'Green_rooibos initial weight'!$A$5:$A$1749,0)),"")</f>
        <v>1.9950000000000001</v>
      </c>
      <c r="K465">
        <f>IFERROR(INDEX('Green_rooibos initial weight'!$C$5:$C$1749,MATCH(I465, 'Green_rooibos initial weight'!$A$5:$A$1749,0)),"")</f>
        <v>2.2549999999999999</v>
      </c>
      <c r="L465" s="195">
        <f t="shared" si="56"/>
        <v>1.7452000000000001</v>
      </c>
      <c r="M465" s="195">
        <f>AVERAGE(Ashed_controlls!$K$2:$K$11)</f>
        <v>5.5147656768714146</v>
      </c>
      <c r="N465" s="195">
        <f t="shared" si="54"/>
        <v>2.0051999999999999</v>
      </c>
      <c r="O465" s="16">
        <f>IF('WetLitterbags placem_collection'!G172="N.A","",'WetLitterbags placem_collection'!G172)</f>
        <v>42814</v>
      </c>
      <c r="P465" s="195">
        <f>IF(IFERROR(INDEX('Both teabags AfterWet'!$C$3:$C$841,MATCH(H465,'Both teabags AfterWet'!$A$3:$A$841,0)),"")="N.A","",(IFERROR(INDEX('Both teabags AfterWet'!$C$3:$C$841,MATCH(H465,'Both teabags AfterWet'!$A$3:$A$841,0)),"")))</f>
        <v>0.61299999999999999</v>
      </c>
      <c r="Q465" s="195">
        <f>IFERROR(INDEX('Both teabags AfterWet'!$C$3:$C$841,MATCH(I465,'Both teabags AfterWet'!$A$3:$A$841,0)),"")</f>
        <v>1.71</v>
      </c>
      <c r="R465" s="195">
        <f t="shared" si="57"/>
        <v>0.46239999999999998</v>
      </c>
      <c r="S465" s="195">
        <f t="shared" si="57"/>
        <v>1.5593999999999999</v>
      </c>
      <c r="T465" s="195">
        <f t="shared" si="58"/>
        <v>0.73504469401787764</v>
      </c>
      <c r="U465" s="195">
        <f t="shared" si="59"/>
        <v>0.48188203218274167</v>
      </c>
      <c r="V465" s="195">
        <f t="shared" si="60"/>
        <v>0.77767803710353078</v>
      </c>
      <c r="W465">
        <f t="shared" si="55"/>
        <v>51</v>
      </c>
      <c r="X465" s="195">
        <f t="shared" si="61"/>
        <v>0.12702530401677237</v>
      </c>
      <c r="Y465" s="195">
        <f t="shared" si="62"/>
        <v>1.2131591782276772E-2</v>
      </c>
      <c r="Z465" s="255" t="str">
        <f>IF(ISNUMBER(SEARCH("C",'WetLitterbags placem_collection'!W392)),"YES","NO")</f>
        <v>NO</v>
      </c>
      <c r="AA465" s="255" t="str">
        <f>IF(ISNUMBER(SEARCH("H", 'WetLitterbags placem_collection'!Y172)),"YES","NO")</f>
        <v>NO</v>
      </c>
      <c r="AB465" s="255" t="str">
        <f>IF(ISNUMBER(SEARCH("R", 'WetLitterbags placem_collection'!WY172)),"YES","NO")</f>
        <v>NO</v>
      </c>
      <c r="AC465" s="255" t="str">
        <f>IF(ISNUMBER(SEARCH("C", 'WetLitterbags placem_collection'!VX172)),"YES","NO")</f>
        <v>NO</v>
      </c>
      <c r="AD465" s="255" t="str">
        <f>IF(ISNUMBER(SEARCH("H", 'WetLitterbags placem_collection'!X172)),"YES","NO")</f>
        <v>NO</v>
      </c>
      <c r="AE465" s="255" t="str">
        <f>IF(ISNUMBER(SEARCH("R", 'WetLitterbags placem_collection'!X172)),"YES","NO")</f>
        <v>NO</v>
      </c>
    </row>
    <row r="466" spans="2:31">
      <c r="B466" t="str">
        <f>'Final data_for_R_analysis_Wetse'!A612</f>
        <v>Wet</v>
      </c>
      <c r="C466" s="263">
        <f>'Final data_for_R_analysis_Wetse'!B612</f>
        <v>171</v>
      </c>
      <c r="D466" t="s">
        <v>3853</v>
      </c>
      <c r="E466" t="s">
        <v>25</v>
      </c>
      <c r="F466" s="386">
        <v>3</v>
      </c>
      <c r="G466" s="16">
        <f>'WetLitterbags placem_collection'!E173</f>
        <v>42763</v>
      </c>
      <c r="H466" s="92" t="str">
        <f>'Final data_for_R_analysis_Wetse'!J612</f>
        <v>G504</v>
      </c>
      <c r="I466" t="str">
        <f>'Final data_for_R_analysis_Wetse'!J832</f>
        <v>R451</v>
      </c>
      <c r="J466">
        <f>IFERROR(INDEX('Green_rooibos initial weight'!$C$5:$C$1749,MATCH(H466, 'Green_rooibos initial weight'!$A$5:$A$1749,0)),"")</f>
        <v>2.0009999999999999</v>
      </c>
      <c r="K466">
        <f>IFERROR(INDEX('Green_rooibos initial weight'!$C$5:$C$1749,MATCH(I466, 'Green_rooibos initial weight'!$A$5:$A$1749,0)),"")</f>
        <v>2.1970000000000001</v>
      </c>
      <c r="L466" s="195">
        <f t="shared" si="56"/>
        <v>1.7511999999999999</v>
      </c>
      <c r="M466" s="195">
        <f>AVERAGE(Ashed_controlls!$K$2:$K$11)</f>
        <v>5.5147656768714146</v>
      </c>
      <c r="N466" s="195">
        <f t="shared" si="54"/>
        <v>1.9472</v>
      </c>
      <c r="O466" s="16">
        <f>IF('WetLitterbags placem_collection'!G173="N.A","",'WetLitterbags placem_collection'!G173)</f>
        <v>42814</v>
      </c>
      <c r="P466" s="195">
        <f>IF(IFERROR(INDEX('Both teabags AfterWet'!$C$3:$C$841,MATCH(H466,'Both teabags AfterWet'!$A$3:$A$841,0)),"")="N.A","",(IFERROR(INDEX('Both teabags AfterWet'!$C$3:$C$841,MATCH(H466,'Both teabags AfterWet'!$A$3:$A$841,0)),"")))</f>
        <v>0.53500000000000003</v>
      </c>
      <c r="Q466" s="195">
        <f>IFERROR(INDEX('Both teabags AfterWet'!$C$3:$C$841,MATCH(I466,'Both teabags AfterWet'!$A$3:$A$841,0)),"")</f>
        <v>1.629</v>
      </c>
      <c r="R466" s="195">
        <f t="shared" si="57"/>
        <v>0.38440000000000002</v>
      </c>
      <c r="S466" s="195">
        <f t="shared" si="57"/>
        <v>1.4783999999999999</v>
      </c>
      <c r="T466" s="195">
        <f t="shared" si="58"/>
        <v>0.78049337597076285</v>
      </c>
      <c r="U466" s="195">
        <f t="shared" si="59"/>
        <v>0.51167736761978755</v>
      </c>
      <c r="V466" s="195">
        <f t="shared" si="60"/>
        <v>0.75924404272801971</v>
      </c>
      <c r="W466">
        <f t="shared" si="55"/>
        <v>51</v>
      </c>
      <c r="X466" s="195">
        <f t="shared" si="61"/>
        <v>7.3048247065602312E-2</v>
      </c>
      <c r="Y466" s="195">
        <f t="shared" si="62"/>
        <v>1.246795107733384E-2</v>
      </c>
      <c r="Z466" s="255" t="str">
        <f>IF(ISNUMBER(SEARCH("C",'WetLitterbags placem_collection'!W393)),"YES","NO")</f>
        <v>NO</v>
      </c>
      <c r="AA466" s="255" t="str">
        <f>IF(ISNUMBER(SEARCH("H", 'WetLitterbags placem_collection'!Y173)),"YES","NO")</f>
        <v>NO</v>
      </c>
      <c r="AB466" s="255" t="str">
        <f>IF(ISNUMBER(SEARCH("R", 'WetLitterbags placem_collection'!WY173)),"YES","NO")</f>
        <v>NO</v>
      </c>
      <c r="AC466" s="255" t="str">
        <f>IF(ISNUMBER(SEARCH("C", 'WetLitterbags placem_collection'!VX173)),"YES","NO")</f>
        <v>NO</v>
      </c>
      <c r="AD466" s="255" t="str">
        <f>IF(ISNUMBER(SEARCH("H", 'WetLitterbags placem_collection'!X173)),"YES","NO")</f>
        <v>NO</v>
      </c>
      <c r="AE466" s="255" t="str">
        <f>IF(ISNUMBER(SEARCH("R", 'WetLitterbags placem_collection'!X173)),"YES","NO")</f>
        <v>NO</v>
      </c>
    </row>
    <row r="467" spans="2:31">
      <c r="B467" t="str">
        <f>'Final data_for_R_analysis_Wetse'!A613</f>
        <v>Wet</v>
      </c>
      <c r="C467" s="263">
        <f>'Final data_for_R_analysis_Wetse'!B613</f>
        <v>172</v>
      </c>
      <c r="D467" t="s">
        <v>3853</v>
      </c>
      <c r="E467" t="s">
        <v>25</v>
      </c>
      <c r="F467" s="387">
        <v>4</v>
      </c>
      <c r="G467" s="16">
        <f>'WetLitterbags placem_collection'!E174</f>
        <v>42763</v>
      </c>
      <c r="H467" s="92" t="str">
        <f>'Final data_for_R_analysis_Wetse'!J613</f>
        <v>G439</v>
      </c>
      <c r="I467" t="str">
        <f>'Final data_for_R_analysis_Wetse'!J833</f>
        <v>R353</v>
      </c>
      <c r="J467">
        <f>IFERROR(INDEX('Green_rooibos initial weight'!$C$5:$C$1749,MATCH(H467, 'Green_rooibos initial weight'!$A$5:$A$1749,0)),"")</f>
        <v>2.069</v>
      </c>
      <c r="K467">
        <f>IFERROR(INDEX('Green_rooibos initial weight'!$C$5:$C$1749,MATCH(I467, 'Green_rooibos initial weight'!$A$5:$A$1749,0)),"")</f>
        <v>2.2909999999999999</v>
      </c>
      <c r="L467" s="195">
        <f t="shared" si="56"/>
        <v>1.8191999999999999</v>
      </c>
      <c r="M467" s="195">
        <f>AVERAGE(Ashed_controlls!$K$2:$K$11)</f>
        <v>5.5147656768714146</v>
      </c>
      <c r="N467" s="195">
        <f t="shared" si="54"/>
        <v>2.0411999999999999</v>
      </c>
      <c r="O467" s="16">
        <f>IF('WetLitterbags placem_collection'!G174="N.A","",'WetLitterbags placem_collection'!G174)</f>
        <v>42814</v>
      </c>
      <c r="P467" s="195">
        <f>IF(IFERROR(INDEX('Both teabags AfterWet'!$C$3:$C$841,MATCH(H467,'Both teabags AfterWet'!$A$3:$A$841,0)),"")="N.A","",(IFERROR(INDEX('Both teabags AfterWet'!$C$3:$C$841,MATCH(H467,'Both teabags AfterWet'!$A$3:$A$841,0)),"")))</f>
        <v>0.59599999999999997</v>
      </c>
      <c r="Q467" s="195">
        <f>IFERROR(INDEX('Both teabags AfterWet'!$C$3:$C$841,MATCH(I467,'Both teabags AfterWet'!$A$3:$A$841,0)),"")</f>
        <v>1.7694000000000001</v>
      </c>
      <c r="R467" s="195">
        <f t="shared" si="57"/>
        <v>0.44539999999999996</v>
      </c>
      <c r="S467" s="195">
        <f t="shared" si="57"/>
        <v>1.6188</v>
      </c>
      <c r="T467" s="195">
        <f t="shared" si="58"/>
        <v>0.75516710642040463</v>
      </c>
      <c r="U467" s="195">
        <f t="shared" si="59"/>
        <v>0.49507392249888765</v>
      </c>
      <c r="V467" s="195">
        <f t="shared" si="60"/>
        <v>0.79306290417401537</v>
      </c>
      <c r="W467">
        <f t="shared" si="55"/>
        <v>51</v>
      </c>
      <c r="X467" s="195">
        <f t="shared" si="61"/>
        <v>0.10312695199476885</v>
      </c>
      <c r="Y467" s="195">
        <f t="shared" si="62"/>
        <v>1.0613169213156607E-2</v>
      </c>
      <c r="Z467" s="255" t="str">
        <f>IF(ISNUMBER(SEARCH("C",'WetLitterbags placem_collection'!W394)),"YES","NO")</f>
        <v>NO</v>
      </c>
      <c r="AA467" s="255" t="str">
        <f>IF(ISNUMBER(SEARCH("H", 'WetLitterbags placem_collection'!Y174)),"YES","NO")</f>
        <v>NO</v>
      </c>
      <c r="AB467" s="255" t="str">
        <f>IF(ISNUMBER(SEARCH("R", 'WetLitterbags placem_collection'!WY174)),"YES","NO")</f>
        <v>NO</v>
      </c>
      <c r="AC467" s="255" t="str">
        <f>IF(ISNUMBER(SEARCH("C", 'WetLitterbags placem_collection'!VX174)),"YES","NO")</f>
        <v>NO</v>
      </c>
      <c r="AD467" s="255" t="str">
        <f>IF(ISNUMBER(SEARCH("H", 'WetLitterbags placem_collection'!X174)),"YES","NO")</f>
        <v>NO</v>
      </c>
      <c r="AE467" s="255" t="str">
        <f>IF(ISNUMBER(SEARCH("R", 'WetLitterbags placem_collection'!X174)),"YES","NO")</f>
        <v>NO</v>
      </c>
    </row>
    <row r="468" spans="2:31">
      <c r="B468" t="str">
        <f>'Final data_for_R_analysis_Wetse'!A614</f>
        <v>Wet</v>
      </c>
      <c r="C468" s="263">
        <f>'Final data_for_R_analysis_Wetse'!B614</f>
        <v>173</v>
      </c>
      <c r="D468" t="s">
        <v>3853</v>
      </c>
      <c r="E468" t="s">
        <v>25</v>
      </c>
      <c r="F468" s="387">
        <v>5</v>
      </c>
      <c r="G468" s="16">
        <f>'WetLitterbags placem_collection'!E175</f>
        <v>42763</v>
      </c>
      <c r="H468" s="92" t="str">
        <f>'Final data_for_R_analysis_Wetse'!J614</f>
        <v>G865</v>
      </c>
      <c r="I468" t="str">
        <f>'Final data_for_R_analysis_Wetse'!J834</f>
        <v>R105</v>
      </c>
      <c r="J468">
        <f>IFERROR(INDEX('Green_rooibos initial weight'!$C$5:$C$1749,MATCH(H468, 'Green_rooibos initial weight'!$A$5:$A$1749,0)),"")</f>
        <v>2.036</v>
      </c>
      <c r="K468">
        <f>IFERROR(INDEX('Green_rooibos initial weight'!$C$5:$C$1749,MATCH(I468, 'Green_rooibos initial weight'!$A$5:$A$1749,0)),"")</f>
        <v>2.254</v>
      </c>
      <c r="L468" s="195">
        <f t="shared" si="56"/>
        <v>1.7862</v>
      </c>
      <c r="M468" s="195">
        <f>AVERAGE(Ashed_controlls!$K$2:$K$11)</f>
        <v>5.5147656768714146</v>
      </c>
      <c r="N468" s="195">
        <f t="shared" si="54"/>
        <v>2.0042</v>
      </c>
      <c r="O468" s="16">
        <f>IF('WetLitterbags placem_collection'!G175="N.A","",'WetLitterbags placem_collection'!G175)</f>
        <v>42814</v>
      </c>
      <c r="P468" s="195">
        <f>IF(IFERROR(INDEX('Both teabags AfterWet'!$C$3:$C$841,MATCH(H468,'Both teabags AfterWet'!$A$3:$A$841,0)),"")="N.A","",(IFERROR(INDEX('Both teabags AfterWet'!$C$3:$C$841,MATCH(H468,'Both teabags AfterWet'!$A$3:$A$841,0)),"")))</f>
        <v>0.65549999999999997</v>
      </c>
      <c r="Q468" s="195">
        <f>IFERROR(INDEX('Both teabags AfterWet'!$C$3:$C$841,MATCH(I468,'Both teabags AfterWet'!$A$3:$A$841,0)),"")</f>
        <v>1.6919999999999999</v>
      </c>
      <c r="R468" s="195">
        <f t="shared" si="57"/>
        <v>0.5048999999999999</v>
      </c>
      <c r="S468" s="195">
        <f t="shared" si="57"/>
        <v>1.5413999999999999</v>
      </c>
      <c r="T468" s="195">
        <f t="shared" si="58"/>
        <v>0.71733288545515628</v>
      </c>
      <c r="U468" s="195">
        <f t="shared" si="59"/>
        <v>0.47027049022713341</v>
      </c>
      <c r="V468" s="195">
        <f t="shared" si="60"/>
        <v>0.76908492166450448</v>
      </c>
      <c r="W468">
        <f t="shared" si="55"/>
        <v>51</v>
      </c>
      <c r="X468" s="195">
        <f t="shared" si="61"/>
        <v>0.14806070611026567</v>
      </c>
      <c r="Y468" s="195">
        <f t="shared" si="62"/>
        <v>1.3242323802229724E-2</v>
      </c>
      <c r="Z468" s="255" t="str">
        <f>IF(ISNUMBER(SEARCH("C",'WetLitterbags placem_collection'!W395)),"YES","NO")</f>
        <v>NO</v>
      </c>
      <c r="AA468" s="255" t="str">
        <f>IF(ISNUMBER(SEARCH("H", 'WetLitterbags placem_collection'!Y175)),"YES","NO")</f>
        <v>NO</v>
      </c>
      <c r="AB468" s="255" t="str">
        <f>IF(ISNUMBER(SEARCH("R", 'WetLitterbags placem_collection'!WY175)),"YES","NO")</f>
        <v>NO</v>
      </c>
      <c r="AC468" s="255" t="str">
        <f>IF(ISNUMBER(SEARCH("C", 'WetLitterbags placem_collection'!VX175)),"YES","NO")</f>
        <v>NO</v>
      </c>
      <c r="AD468" s="255" t="str">
        <f>IF(ISNUMBER(SEARCH("H", 'WetLitterbags placem_collection'!X175)),"YES","NO")</f>
        <v>NO</v>
      </c>
      <c r="AE468" s="255" t="str">
        <f>IF(ISNUMBER(SEARCH("R", 'WetLitterbags placem_collection'!X175)),"YES","NO")</f>
        <v>NO</v>
      </c>
    </row>
    <row r="469" spans="2:31">
      <c r="B469" t="str">
        <f>'Final data_for_R_analysis_Wetse'!A615</f>
        <v>Wet</v>
      </c>
      <c r="C469" s="263">
        <f>'Final data_for_R_analysis_Wetse'!B615</f>
        <v>174</v>
      </c>
      <c r="D469" t="s">
        <v>3853</v>
      </c>
      <c r="E469" t="s">
        <v>25</v>
      </c>
      <c r="F469" s="387">
        <v>6</v>
      </c>
      <c r="G469" s="16">
        <f>'WetLitterbags placem_collection'!E176</f>
        <v>42763</v>
      </c>
      <c r="H469" s="92" t="str">
        <f>'Final data_for_R_analysis_Wetse'!J615</f>
        <v>G736</v>
      </c>
      <c r="I469" t="str">
        <f>'Final data_for_R_analysis_Wetse'!J835</f>
        <v>R384</v>
      </c>
      <c r="J469">
        <f>IFERROR(INDEX('Green_rooibos initial weight'!$C$5:$C$1749,MATCH(H469, 'Green_rooibos initial weight'!$A$5:$A$1749,0)),"")</f>
        <v>2.0760000000000001</v>
      </c>
      <c r="K469">
        <f>IFERROR(INDEX('Green_rooibos initial weight'!$C$5:$C$1749,MATCH(I469, 'Green_rooibos initial weight'!$A$5:$A$1749,0)),"")</f>
        <v>2.2240000000000002</v>
      </c>
      <c r="L469" s="195">
        <f t="shared" si="56"/>
        <v>1.8262</v>
      </c>
      <c r="M469" s="195">
        <f>AVERAGE(Ashed_controlls!$K$2:$K$11)</f>
        <v>5.5147656768714146</v>
      </c>
      <c r="N469" s="195">
        <f t="shared" si="54"/>
        <v>1.9742000000000002</v>
      </c>
      <c r="O469" s="16">
        <f>IF('WetLitterbags placem_collection'!G176="N.A","",'WetLitterbags placem_collection'!G176)</f>
        <v>42814</v>
      </c>
      <c r="P469" s="195">
        <f>IF(IFERROR(INDEX('Both teabags AfterWet'!$C$3:$C$841,MATCH(H469,'Both teabags AfterWet'!$A$3:$A$841,0)),"")="N.A","",(IFERROR(INDEX('Both teabags AfterWet'!$C$3:$C$841,MATCH(H469,'Both teabags AfterWet'!$A$3:$A$841,0)),"")))</f>
        <v>0.63500000000000001</v>
      </c>
      <c r="Q469" s="195">
        <f>IFERROR(INDEX('Both teabags AfterWet'!$C$3:$C$841,MATCH(I469,'Both teabags AfterWet'!$A$3:$A$841,0)),"")</f>
        <v>1.772</v>
      </c>
      <c r="R469" s="195">
        <f t="shared" si="57"/>
        <v>0.4844</v>
      </c>
      <c r="S469" s="195">
        <f t="shared" si="57"/>
        <v>1.6214</v>
      </c>
      <c r="T469" s="195">
        <f t="shared" si="58"/>
        <v>0.73474975358668271</v>
      </c>
      <c r="U469" s="195">
        <f t="shared" si="59"/>
        <v>0.48168867456039066</v>
      </c>
      <c r="V469" s="195">
        <f t="shared" si="60"/>
        <v>0.8212947016513017</v>
      </c>
      <c r="W469">
        <f t="shared" si="55"/>
        <v>51</v>
      </c>
      <c r="X469" s="195">
        <f t="shared" si="61"/>
        <v>0.12737558956450978</v>
      </c>
      <c r="Y469" s="195">
        <f t="shared" si="62"/>
        <v>9.0905894499408273E-3</v>
      </c>
      <c r="Z469" s="255" t="str">
        <f>IF(ISNUMBER(SEARCH("C",'WetLitterbags placem_collection'!W396)),"YES","NO")</f>
        <v>NO</v>
      </c>
      <c r="AA469" s="255" t="str">
        <f>IF(ISNUMBER(SEARCH("H", 'WetLitterbags placem_collection'!Y176)),"YES","NO")</f>
        <v>NO</v>
      </c>
      <c r="AB469" s="255" t="str">
        <f>IF(ISNUMBER(SEARCH("R", 'WetLitterbags placem_collection'!WY176)),"YES","NO")</f>
        <v>NO</v>
      </c>
      <c r="AC469" s="255" t="str">
        <f>IF(ISNUMBER(SEARCH("C", 'WetLitterbags placem_collection'!VX176)),"YES","NO")</f>
        <v>NO</v>
      </c>
      <c r="AD469" s="255" t="str">
        <f>IF(ISNUMBER(SEARCH("H", 'WetLitterbags placem_collection'!X176)),"YES","NO")</f>
        <v>NO</v>
      </c>
      <c r="AE469" s="255" t="str">
        <f>IF(ISNUMBER(SEARCH("R", 'WetLitterbags placem_collection'!X176)),"YES","NO")</f>
        <v>NO</v>
      </c>
    </row>
    <row r="470" spans="2:31">
      <c r="B470" t="str">
        <f>'Final data_for_R_analysis_Wetse'!A616</f>
        <v>Wet</v>
      </c>
      <c r="C470" s="263">
        <f>'Final data_for_R_analysis_Wetse'!B616</f>
        <v>175</v>
      </c>
      <c r="D470" t="s">
        <v>3853</v>
      </c>
      <c r="E470" t="s">
        <v>25</v>
      </c>
      <c r="F470" s="387">
        <v>7</v>
      </c>
      <c r="G470" s="16">
        <f>'WetLitterbags placem_collection'!E177</f>
        <v>42763</v>
      </c>
      <c r="H470" s="92" t="str">
        <f>'Final data_for_R_analysis_Wetse'!J616</f>
        <v>G792</v>
      </c>
      <c r="I470" t="str">
        <f>'Final data_for_R_analysis_Wetse'!J836</f>
        <v>R481</v>
      </c>
      <c r="J470">
        <f>IFERROR(INDEX('Green_rooibos initial weight'!$C$5:$C$1749,MATCH(H470, 'Green_rooibos initial weight'!$A$5:$A$1749,0)),"")</f>
        <v>2.0550000000000002</v>
      </c>
      <c r="K470">
        <f>IFERROR(INDEX('Green_rooibos initial weight'!$C$5:$C$1749,MATCH(I470, 'Green_rooibos initial weight'!$A$5:$A$1749,0)),"")</f>
        <v>2.1589999999999998</v>
      </c>
      <c r="L470" s="195">
        <f t="shared" si="56"/>
        <v>1.8052000000000001</v>
      </c>
      <c r="M470" s="195">
        <f>AVERAGE(Ashed_controlls!$K$2:$K$11)</f>
        <v>5.5147656768714146</v>
      </c>
      <c r="N470" s="195">
        <f t="shared" si="54"/>
        <v>1.9091999999999998</v>
      </c>
      <c r="O470" s="16">
        <f>IF('WetLitterbags placem_collection'!G177="N.A","",'WetLitterbags placem_collection'!G177)</f>
        <v>42814</v>
      </c>
      <c r="P470" s="195" t="str">
        <f>IF(IFERROR(INDEX('Both teabags AfterWet'!$C$3:$C$841,MATCH(H470,'Both teabags AfterWet'!$A$3:$A$841,0)),"")="N.A","",(IFERROR(INDEX('Both teabags AfterWet'!$C$3:$C$841,MATCH(H470,'Both teabags AfterWet'!$A$3:$A$841,0)),"")))</f>
        <v/>
      </c>
      <c r="Q470" s="195">
        <f>IFERROR(INDEX('Both teabags AfterWet'!$C$3:$C$841,MATCH(I470,'Both teabags AfterWet'!$A$3:$A$841,0)),"")</f>
        <v>1.681</v>
      </c>
      <c r="R470" s="195" t="str">
        <f t="shared" si="57"/>
        <v/>
      </c>
      <c r="S470" s="195">
        <f t="shared" si="57"/>
        <v>1.5304</v>
      </c>
      <c r="T470" s="195" t="str">
        <f t="shared" si="58"/>
        <v/>
      </c>
      <c r="U470" s="195" t="str">
        <f t="shared" si="59"/>
        <v/>
      </c>
      <c r="V470" s="195">
        <f t="shared" si="60"/>
        <v>0.80159228996438303</v>
      </c>
      <c r="W470">
        <f t="shared" si="55"/>
        <v>51</v>
      </c>
      <c r="X470" s="195" t="str">
        <f t="shared" si="61"/>
        <v/>
      </c>
      <c r="Y470" s="195" t="str">
        <f t="shared" si="62"/>
        <v/>
      </c>
      <c r="Z470" s="255" t="str">
        <f>IF(ISNUMBER(SEARCH("C",'WetLitterbags placem_collection'!W397)),"YES","NO")</f>
        <v>NO</v>
      </c>
      <c r="AA470" s="255" t="str">
        <f>IF(ISNUMBER(SEARCH("H", 'WetLitterbags placem_collection'!Y177)),"YES","NO")</f>
        <v>NO</v>
      </c>
      <c r="AB470" s="255" t="str">
        <f>IF(ISNUMBER(SEARCH("R", 'WetLitterbags placem_collection'!WY177)),"YES","NO")</f>
        <v>NO</v>
      </c>
      <c r="AC470" s="255" t="str">
        <f>IF(ISNUMBER(SEARCH("C", 'WetLitterbags placem_collection'!VX177)),"YES","NO")</f>
        <v>NO</v>
      </c>
      <c r="AD470" s="255" t="str">
        <f>IF(ISNUMBER(SEARCH("H", 'WetLitterbags placem_collection'!X177)),"YES","NO")</f>
        <v>NO</v>
      </c>
      <c r="AE470" s="255" t="str">
        <f>IF(ISNUMBER(SEARCH("R", 'WetLitterbags placem_collection'!X177)),"YES","NO")</f>
        <v>NO</v>
      </c>
    </row>
    <row r="471" spans="2:31">
      <c r="B471" t="str">
        <f>'Final data_for_R_analysis_Wetse'!A617</f>
        <v>Wet</v>
      </c>
      <c r="C471" s="263">
        <f>'Final data_for_R_analysis_Wetse'!B617</f>
        <v>176</v>
      </c>
      <c r="D471" t="s">
        <v>3853</v>
      </c>
      <c r="E471" t="s">
        <v>25</v>
      </c>
      <c r="F471" s="387">
        <v>8</v>
      </c>
      <c r="G471" s="16">
        <f>'WetLitterbags placem_collection'!E178</f>
        <v>42763</v>
      </c>
      <c r="H471" s="92" t="str">
        <f>'Final data_for_R_analysis_Wetse'!J617</f>
        <v>G470</v>
      </c>
      <c r="I471" t="str">
        <f>'Final data_for_R_analysis_Wetse'!J837</f>
        <v>R490</v>
      </c>
      <c r="J471">
        <f>IFERROR(INDEX('Green_rooibos initial weight'!$C$5:$C$1749,MATCH(H471, 'Green_rooibos initial weight'!$A$5:$A$1749,0)),"")</f>
        <v>1.9970000000000001</v>
      </c>
      <c r="K471">
        <f>IFERROR(INDEX('Green_rooibos initial weight'!$C$5:$C$1749,MATCH(I471, 'Green_rooibos initial weight'!$A$5:$A$1749,0)),"")</f>
        <v>2.1890000000000001</v>
      </c>
      <c r="L471" s="195">
        <f t="shared" si="56"/>
        <v>1.7472000000000001</v>
      </c>
      <c r="M471" s="195">
        <f>AVERAGE(Ashed_controlls!$K$2:$K$11)</f>
        <v>5.5147656768714146</v>
      </c>
      <c r="N471" s="195">
        <f t="shared" si="54"/>
        <v>1.9392</v>
      </c>
      <c r="O471" s="16">
        <f>IF('WetLitterbags placem_collection'!G178="N.A","",'WetLitterbags placem_collection'!G178)</f>
        <v>42814</v>
      </c>
      <c r="P471" s="195">
        <f>IF(IFERROR(INDEX('Both teabags AfterWet'!$C$3:$C$841,MATCH(H471,'Both teabags AfterWet'!$A$3:$A$841,0)),"")="N.A","",(IFERROR(INDEX('Both teabags AfterWet'!$C$3:$C$841,MATCH(H471,'Both teabags AfterWet'!$A$3:$A$841,0)),"")))</f>
        <v>0.60299999999999998</v>
      </c>
      <c r="Q471" s="195">
        <f>IFERROR(INDEX('Both teabags AfterWet'!$C$3:$C$841,MATCH(I471,'Both teabags AfterWet'!$A$3:$A$841,0)),"")</f>
        <v>1.7070000000000001</v>
      </c>
      <c r="R471" s="195">
        <f t="shared" si="57"/>
        <v>0.45239999999999997</v>
      </c>
      <c r="S471" s="195">
        <f t="shared" si="57"/>
        <v>1.5564</v>
      </c>
      <c r="T471" s="195">
        <f t="shared" si="58"/>
        <v>0.7410714285714286</v>
      </c>
      <c r="U471" s="195">
        <f t="shared" si="59"/>
        <v>0.48583305055989146</v>
      </c>
      <c r="V471" s="195">
        <f t="shared" si="60"/>
        <v>0.80259900990099009</v>
      </c>
      <c r="W471">
        <f t="shared" si="55"/>
        <v>51</v>
      </c>
      <c r="X471" s="195">
        <f t="shared" si="61"/>
        <v>0.1198676620291822</v>
      </c>
      <c r="Y471" s="195">
        <f t="shared" si="62"/>
        <v>1.0223636894893362E-2</v>
      </c>
      <c r="Z471" s="255" t="str">
        <f>IF(ISNUMBER(SEARCH("C",'WetLitterbags placem_collection'!W398)),"YES","NO")</f>
        <v>NO</v>
      </c>
      <c r="AA471" s="255" t="str">
        <f>IF(ISNUMBER(SEARCH("H", 'WetLitterbags placem_collection'!Y178)),"YES","NO")</f>
        <v>NO</v>
      </c>
      <c r="AB471" s="255" t="str">
        <f>IF(ISNUMBER(SEARCH("R", 'WetLitterbags placem_collection'!WY178)),"YES","NO")</f>
        <v>NO</v>
      </c>
      <c r="AC471" s="255" t="str">
        <f>IF(ISNUMBER(SEARCH("C", 'WetLitterbags placem_collection'!VX178)),"YES","NO")</f>
        <v>NO</v>
      </c>
      <c r="AD471" s="255" t="str">
        <f>IF(ISNUMBER(SEARCH("H", 'WetLitterbags placem_collection'!X178)),"YES","NO")</f>
        <v>NO</v>
      </c>
      <c r="AE471" s="255" t="str">
        <f>IF(ISNUMBER(SEARCH("R", 'WetLitterbags placem_collection'!X178)),"YES","NO")</f>
        <v>NO</v>
      </c>
    </row>
    <row r="472" spans="2:31">
      <c r="B472" t="str">
        <f>'Final data_for_R_analysis_Wetse'!A618</f>
        <v>Wet</v>
      </c>
      <c r="C472" s="263">
        <f>'Final data_for_R_analysis_Wetse'!B618</f>
        <v>177</v>
      </c>
      <c r="D472" t="s">
        <v>3854</v>
      </c>
      <c r="E472" t="s">
        <v>25</v>
      </c>
      <c r="F472" s="386">
        <v>1</v>
      </c>
      <c r="G472" s="16">
        <f>'WetLitterbags placem_collection'!E179</f>
        <v>42763</v>
      </c>
      <c r="H472" s="92" t="str">
        <f>'Final data_for_R_analysis_Wetse'!J618</f>
        <v>G483</v>
      </c>
      <c r="I472" t="str">
        <f>'Final data_for_R_analysis_Wetse'!J838</f>
        <v>R470</v>
      </c>
      <c r="J472">
        <f>IFERROR(INDEX('Green_rooibos initial weight'!$C$5:$C$1749,MATCH(H472, 'Green_rooibos initial weight'!$A$5:$A$1749,0)),"")</f>
        <v>1.9750000000000001</v>
      </c>
      <c r="K472">
        <f>IFERROR(INDEX('Green_rooibos initial weight'!$C$5:$C$1749,MATCH(I472, 'Green_rooibos initial weight'!$A$5:$A$1749,0)),"")</f>
        <v>2.1240000000000001</v>
      </c>
      <c r="L472" s="195">
        <f t="shared" si="56"/>
        <v>1.7252000000000001</v>
      </c>
      <c r="M472" s="195">
        <f>AVERAGE(Ashed_controlls!$K$2:$K$11)</f>
        <v>5.5147656768714146</v>
      </c>
      <c r="N472" s="195">
        <f t="shared" si="54"/>
        <v>1.8742000000000001</v>
      </c>
      <c r="O472" s="16">
        <f>IF('WetLitterbags placem_collection'!G179="N.A","",'WetLitterbags placem_collection'!G179)</f>
        <v>42815</v>
      </c>
      <c r="P472" s="195">
        <f>IF(IFERROR(INDEX('Both teabags AfterWet'!$C$3:$C$841,MATCH(H472,'Both teabags AfterWet'!$A$3:$A$841,0)),"")="N.A","",(IFERROR(INDEX('Both teabags AfterWet'!$C$3:$C$841,MATCH(H472,'Both teabags AfterWet'!$A$3:$A$841,0)),"")))</f>
        <v>0.58399999999999996</v>
      </c>
      <c r="Q472" s="195">
        <f>IFERROR(INDEX('Both teabags AfterWet'!$C$3:$C$841,MATCH(I472,'Both teabags AfterWet'!$A$3:$A$841,0)),"")</f>
        <v>1.677</v>
      </c>
      <c r="R472" s="195">
        <f t="shared" si="57"/>
        <v>0.43339999999999995</v>
      </c>
      <c r="S472" s="195">
        <f t="shared" si="57"/>
        <v>1.5264</v>
      </c>
      <c r="T472" s="195">
        <f t="shared" si="58"/>
        <v>0.74878274982610715</v>
      </c>
      <c r="U472" s="195">
        <f t="shared" si="59"/>
        <v>0.49088845356770922</v>
      </c>
      <c r="V472" s="195">
        <f t="shared" si="60"/>
        <v>0.81442748906199969</v>
      </c>
      <c r="W472">
        <f t="shared" si="55"/>
        <v>52</v>
      </c>
      <c r="X472" s="195">
        <f t="shared" si="61"/>
        <v>0.11070932324690363</v>
      </c>
      <c r="Y472" s="195">
        <f t="shared" si="62"/>
        <v>9.1321115752032375E-3</v>
      </c>
      <c r="Z472" s="255" t="str">
        <f>IF(ISNUMBER(SEARCH("C",'WetLitterbags placem_collection'!W399)),"YES","NO")</f>
        <v>NO</v>
      </c>
      <c r="AA472" s="255" t="str">
        <f>IF(ISNUMBER(SEARCH("H", 'WetLitterbags placem_collection'!Y179)),"YES","NO")</f>
        <v>NO</v>
      </c>
      <c r="AB472" s="255" t="str">
        <f>IF(ISNUMBER(SEARCH("R", 'WetLitterbags placem_collection'!WY179)),"YES","NO")</f>
        <v>NO</v>
      </c>
      <c r="AC472" s="255" t="str">
        <f>IF(ISNUMBER(SEARCH("C", 'WetLitterbags placem_collection'!VX179)),"YES","NO")</f>
        <v>NO</v>
      </c>
      <c r="AD472" s="255" t="str">
        <f>IF(ISNUMBER(SEARCH("H", 'WetLitterbags placem_collection'!X179)),"YES","NO")</f>
        <v>NO</v>
      </c>
      <c r="AE472" s="255" t="str">
        <f>IF(ISNUMBER(SEARCH("R", 'WetLitterbags placem_collection'!X179)),"YES","NO")</f>
        <v>NO</v>
      </c>
    </row>
    <row r="473" spans="2:31">
      <c r="B473" t="str">
        <f>'Final data_for_R_analysis_Wetse'!A619</f>
        <v>Wet</v>
      </c>
      <c r="C473" s="263">
        <f>'Final data_for_R_analysis_Wetse'!B619</f>
        <v>178</v>
      </c>
      <c r="D473" t="s">
        <v>3854</v>
      </c>
      <c r="E473" t="s">
        <v>25</v>
      </c>
      <c r="F473" s="386">
        <v>2</v>
      </c>
      <c r="G473" s="16">
        <f>'WetLitterbags placem_collection'!E180</f>
        <v>42763</v>
      </c>
      <c r="H473" s="92" t="str">
        <f>'Final data_for_R_analysis_Wetse'!J619</f>
        <v>G893</v>
      </c>
      <c r="I473" t="str">
        <f>'Final data_for_R_analysis_Wetse'!J839</f>
        <v>R488</v>
      </c>
      <c r="J473">
        <f>IFERROR(INDEX('Green_rooibos initial weight'!$C$5:$C$1749,MATCH(H473, 'Green_rooibos initial weight'!$A$5:$A$1749,0)),"")</f>
        <v>2.036</v>
      </c>
      <c r="K473">
        <f>IFERROR(INDEX('Green_rooibos initial weight'!$C$5:$C$1749,MATCH(I473, 'Green_rooibos initial weight'!$A$5:$A$1749,0)),"")</f>
        <v>2.1589999999999998</v>
      </c>
      <c r="L473" s="195">
        <f t="shared" si="56"/>
        <v>1.7862</v>
      </c>
      <c r="M473" s="195">
        <f>AVERAGE(Ashed_controlls!$K$2:$K$11)</f>
        <v>5.5147656768714146</v>
      </c>
      <c r="N473" s="195">
        <f t="shared" si="54"/>
        <v>1.9091999999999998</v>
      </c>
      <c r="O473" s="16">
        <f>IF('WetLitterbags placem_collection'!G180="N.A","",'WetLitterbags placem_collection'!G180)</f>
        <v>42815</v>
      </c>
      <c r="P473" s="195">
        <f>IF(IFERROR(INDEX('Both teabags AfterWet'!$C$3:$C$841,MATCH(H473,'Both teabags AfterWet'!$A$3:$A$841,0)),"")="N.A","",(IFERROR(INDEX('Both teabags AfterWet'!$C$3:$C$841,MATCH(H473,'Both teabags AfterWet'!$A$3:$A$841,0)),"")))</f>
        <v>0.60699999999999998</v>
      </c>
      <c r="Q473" s="195">
        <f>IFERROR(INDEX('Both teabags AfterWet'!$C$3:$C$841,MATCH(I473,'Both teabags AfterWet'!$A$3:$A$841,0)),"")</f>
        <v>1.6446000000000001</v>
      </c>
      <c r="R473" s="195">
        <f t="shared" si="57"/>
        <v>0.45639999999999997</v>
      </c>
      <c r="S473" s="195">
        <f t="shared" si="57"/>
        <v>1.494</v>
      </c>
      <c r="T473" s="195">
        <f t="shared" si="58"/>
        <v>0.74448549994401525</v>
      </c>
      <c r="U473" s="195">
        <f t="shared" si="59"/>
        <v>0.48807125412006708</v>
      </c>
      <c r="V473" s="195">
        <f t="shared" si="60"/>
        <v>0.78252671275927099</v>
      </c>
      <c r="W473">
        <f t="shared" si="55"/>
        <v>52</v>
      </c>
      <c r="X473" s="195">
        <f t="shared" si="61"/>
        <v>0.11581294543466114</v>
      </c>
      <c r="Y473" s="195">
        <f t="shared" si="62"/>
        <v>1.1342830873214187E-2</v>
      </c>
      <c r="Z473" s="255" t="str">
        <f>IF(ISNUMBER(SEARCH("C",'WetLitterbags placem_collection'!W400)),"YES","NO")</f>
        <v>NO</v>
      </c>
      <c r="AA473" s="255" t="str">
        <f>IF(ISNUMBER(SEARCH("H", 'WetLitterbags placem_collection'!Y180)),"YES","NO")</f>
        <v>NO</v>
      </c>
      <c r="AB473" s="255" t="str">
        <f>IF(ISNUMBER(SEARCH("R", 'WetLitterbags placem_collection'!WY180)),"YES","NO")</f>
        <v>NO</v>
      </c>
      <c r="AC473" s="255" t="str">
        <f>IF(ISNUMBER(SEARCH("C", 'WetLitterbags placem_collection'!VX180)),"YES","NO")</f>
        <v>NO</v>
      </c>
      <c r="AD473" s="255" t="str">
        <f>IF(ISNUMBER(SEARCH("H", 'WetLitterbags placem_collection'!X180)),"YES","NO")</f>
        <v>NO</v>
      </c>
      <c r="AE473" s="255" t="str">
        <f>IF(ISNUMBER(SEARCH("R", 'WetLitterbags placem_collection'!X180)),"YES","NO")</f>
        <v>YES</v>
      </c>
    </row>
    <row r="474" spans="2:31">
      <c r="B474" t="str">
        <f>'Final data_for_R_analysis_Wetse'!A620</f>
        <v>Wet</v>
      </c>
      <c r="C474" s="263">
        <f>'Final data_for_R_analysis_Wetse'!B620</f>
        <v>179</v>
      </c>
      <c r="D474" t="s">
        <v>3854</v>
      </c>
      <c r="E474" t="s">
        <v>25</v>
      </c>
      <c r="F474" s="386">
        <v>3</v>
      </c>
      <c r="G474" s="16">
        <f>'WetLitterbags placem_collection'!E181</f>
        <v>42763</v>
      </c>
      <c r="H474" s="92" t="str">
        <f>'Final data_for_R_analysis_Wetse'!J620</f>
        <v>G826</v>
      </c>
      <c r="I474" t="str">
        <f>'Final data_for_R_analysis_Wetse'!J840</f>
        <v>R273</v>
      </c>
      <c r="J474">
        <f>IFERROR(INDEX('Green_rooibos initial weight'!$C$5:$C$1749,MATCH(H474, 'Green_rooibos initial weight'!$A$5:$A$1749,0)),"")</f>
        <v>2.15</v>
      </c>
      <c r="K474">
        <f>IFERROR(INDEX('Green_rooibos initial weight'!$C$5:$C$1749,MATCH(I474, 'Green_rooibos initial weight'!$A$5:$A$1749,0)),"")</f>
        <v>2.2090000000000001</v>
      </c>
      <c r="L474" s="195">
        <f t="shared" si="56"/>
        <v>1.9001999999999999</v>
      </c>
      <c r="M474" s="195">
        <f>AVERAGE(Ashed_controlls!$K$2:$K$11)</f>
        <v>5.5147656768714146</v>
      </c>
      <c r="N474" s="195">
        <f t="shared" si="54"/>
        <v>1.9592000000000001</v>
      </c>
      <c r="O474" s="16">
        <f>IF('WetLitterbags placem_collection'!G181="N.A","",'WetLitterbags placem_collection'!G181)</f>
        <v>42815</v>
      </c>
      <c r="P474" s="195">
        <f>IF(IFERROR(INDEX('Both teabags AfterWet'!$C$3:$C$841,MATCH(H474,'Both teabags AfterWet'!$A$3:$A$841,0)),"")="N.A","",(IFERROR(INDEX('Both teabags AfterWet'!$C$3:$C$841,MATCH(H474,'Both teabags AfterWet'!$A$3:$A$841,0)),"")))</f>
        <v>0.60060000000000002</v>
      </c>
      <c r="Q474" s="195">
        <f>IFERROR(INDEX('Both teabags AfterWet'!$C$3:$C$841,MATCH(I474,'Both teabags AfterWet'!$A$3:$A$841,0)),"")</f>
        <v>1.655</v>
      </c>
      <c r="R474" s="195">
        <f t="shared" si="57"/>
        <v>0.45</v>
      </c>
      <c r="S474" s="195">
        <f t="shared" si="57"/>
        <v>1.5044</v>
      </c>
      <c r="T474" s="195">
        <f t="shared" si="58"/>
        <v>0.76318282286075145</v>
      </c>
      <c r="U474" s="195">
        <f t="shared" si="59"/>
        <v>0.50032888149540955</v>
      </c>
      <c r="V474" s="195">
        <f t="shared" si="60"/>
        <v>0.76786443446304609</v>
      </c>
      <c r="W474">
        <f t="shared" si="55"/>
        <v>52</v>
      </c>
      <c r="X474" s="195">
        <f t="shared" si="61"/>
        <v>9.3607098740200123E-2</v>
      </c>
      <c r="Y474" s="195">
        <f t="shared" si="62"/>
        <v>1.1991492240381724E-2</v>
      </c>
      <c r="Z474" s="255" t="str">
        <f>IF(ISNUMBER(SEARCH("C",'WetLitterbags placem_collection'!W401)),"YES","NO")</f>
        <v>NO</v>
      </c>
      <c r="AA474" s="255" t="str">
        <f>IF(ISNUMBER(SEARCH("H", 'WetLitterbags placem_collection'!Y181)),"YES","NO")</f>
        <v>NO</v>
      </c>
      <c r="AB474" s="255" t="str">
        <f>IF(ISNUMBER(SEARCH("R", 'WetLitterbags placem_collection'!WY181)),"YES","NO")</f>
        <v>NO</v>
      </c>
      <c r="AC474" s="255" t="str">
        <f>IF(ISNUMBER(SEARCH("C", 'WetLitterbags placem_collection'!VX181)),"YES","NO")</f>
        <v>NO</v>
      </c>
      <c r="AD474" s="255" t="str">
        <f>IF(ISNUMBER(SEARCH("H", 'WetLitterbags placem_collection'!X181)),"YES","NO")</f>
        <v>NO</v>
      </c>
      <c r="AE474" s="255" t="str">
        <f>IF(ISNUMBER(SEARCH("R", 'WetLitterbags placem_collection'!X181)),"YES","NO")</f>
        <v>NO</v>
      </c>
    </row>
    <row r="475" spans="2:31">
      <c r="B475" t="str">
        <f>'Final data_for_R_analysis_Wetse'!A621</f>
        <v>Wet</v>
      </c>
      <c r="C475" s="263">
        <f>'Final data_for_R_analysis_Wetse'!B621</f>
        <v>180</v>
      </c>
      <c r="D475" t="s">
        <v>3854</v>
      </c>
      <c r="E475" t="s">
        <v>25</v>
      </c>
      <c r="F475" s="387">
        <v>4</v>
      </c>
      <c r="G475" s="16">
        <f>'WetLitterbags placem_collection'!E182</f>
        <v>42763</v>
      </c>
      <c r="H475" s="92" t="str">
        <f>'Final data_for_R_analysis_Wetse'!J621</f>
        <v>G783</v>
      </c>
      <c r="I475" t="str">
        <f>'Final data_for_R_analysis_Wetse'!J841</f>
        <v>R301</v>
      </c>
      <c r="J475">
        <f>IFERROR(INDEX('Green_rooibos initial weight'!$C$5:$C$1749,MATCH(H475, 'Green_rooibos initial weight'!$A$5:$A$1749,0)),"")</f>
        <v>1.976</v>
      </c>
      <c r="K475">
        <f>IFERROR(INDEX('Green_rooibos initial weight'!$C$5:$C$1749,MATCH(I475, 'Green_rooibos initial weight'!$A$5:$A$1749,0)),"")</f>
        <v>2.2530000000000001</v>
      </c>
      <c r="L475" s="195">
        <f t="shared" si="56"/>
        <v>1.7262</v>
      </c>
      <c r="M475" s="195">
        <f>AVERAGE(Ashed_controlls!$K$2:$K$11)</f>
        <v>5.5147656768714146</v>
      </c>
      <c r="N475" s="195">
        <f t="shared" si="54"/>
        <v>2.0032000000000001</v>
      </c>
      <c r="O475" s="16">
        <f>IF('WetLitterbags placem_collection'!G182="N.A","",'WetLitterbags placem_collection'!G182)</f>
        <v>42815</v>
      </c>
      <c r="P475" s="195">
        <f>IF(IFERROR(INDEX('Both teabags AfterWet'!$C$3:$C$841,MATCH(H475,'Both teabags AfterWet'!$A$3:$A$841,0)),"")="N.A","",(IFERROR(INDEX('Both teabags AfterWet'!$C$3:$C$841,MATCH(H475,'Both teabags AfterWet'!$A$3:$A$841,0)),"")))</f>
        <v>0.627</v>
      </c>
      <c r="Q475" s="195">
        <f>IFERROR(INDEX('Both teabags AfterWet'!$C$3:$C$841,MATCH(I475,'Both teabags AfterWet'!$A$3:$A$841,0)),"")</f>
        <v>1.6709000000000001</v>
      </c>
      <c r="R475" s="195">
        <f t="shared" si="57"/>
        <v>0.47639999999999999</v>
      </c>
      <c r="S475" s="195">
        <f t="shared" si="57"/>
        <v>1.5203</v>
      </c>
      <c r="T475" s="195">
        <f t="shared" si="58"/>
        <v>0.72401807438303789</v>
      </c>
      <c r="U475" s="195">
        <f t="shared" si="59"/>
        <v>0.47465317940550705</v>
      </c>
      <c r="V475" s="195">
        <f t="shared" si="60"/>
        <v>0.75893570287539935</v>
      </c>
      <c r="W475">
        <f t="shared" si="55"/>
        <v>52</v>
      </c>
      <c r="X475" s="195">
        <f t="shared" si="61"/>
        <v>0.14012105180161771</v>
      </c>
      <c r="Y475" s="195">
        <f t="shared" si="62"/>
        <v>1.3635033305392523E-2</v>
      </c>
      <c r="Z475" s="255" t="str">
        <f>IF(ISNUMBER(SEARCH("C",'WetLitterbags placem_collection'!W402)),"YES","NO")</f>
        <v>NO</v>
      </c>
      <c r="AA475" s="255" t="str">
        <f>IF(ISNUMBER(SEARCH("H", 'WetLitterbags placem_collection'!Y182)),"YES","NO")</f>
        <v>NO</v>
      </c>
      <c r="AB475" s="255" t="str">
        <f>IF(ISNUMBER(SEARCH("R", 'WetLitterbags placem_collection'!WY182)),"YES","NO")</f>
        <v>NO</v>
      </c>
      <c r="AC475" s="255" t="str">
        <f>IF(ISNUMBER(SEARCH("C", 'WetLitterbags placem_collection'!VX182)),"YES","NO")</f>
        <v>NO</v>
      </c>
      <c r="AD475" s="255" t="str">
        <f>IF(ISNUMBER(SEARCH("H", 'WetLitterbags placem_collection'!X182)),"YES","NO")</f>
        <v>NO</v>
      </c>
      <c r="AE475" s="255" t="str">
        <f>IF(ISNUMBER(SEARCH("R", 'WetLitterbags placem_collection'!X182)),"YES","NO")</f>
        <v>NO</v>
      </c>
    </row>
    <row r="476" spans="2:31">
      <c r="B476" t="str">
        <f>'Final data_for_R_analysis_Wetse'!A622</f>
        <v>Wet</v>
      </c>
      <c r="C476" s="263">
        <f>'Final data_for_R_analysis_Wetse'!B622</f>
        <v>181</v>
      </c>
      <c r="D476" t="s">
        <v>3854</v>
      </c>
      <c r="E476" t="s">
        <v>25</v>
      </c>
      <c r="F476" s="387">
        <v>5</v>
      </c>
      <c r="G476" s="16">
        <f>'WetLitterbags placem_collection'!E183</f>
        <v>42763</v>
      </c>
      <c r="H476" s="92" t="str">
        <f>'Final data_for_R_analysis_Wetse'!J622</f>
        <v>G551</v>
      </c>
      <c r="I476" t="str">
        <f>'Final data_for_R_analysis_Wetse'!J842</f>
        <v>R291</v>
      </c>
      <c r="J476">
        <f>IFERROR(INDEX('Green_rooibos initial weight'!$C$5:$C$1749,MATCH(H476, 'Green_rooibos initial weight'!$A$5:$A$1749,0)),"")</f>
        <v>2.1160000000000001</v>
      </c>
      <c r="K476">
        <f>IFERROR(INDEX('Green_rooibos initial weight'!$C$5:$C$1749,MATCH(I476, 'Green_rooibos initial weight'!$A$5:$A$1749,0)),"")</f>
        <v>2.2320000000000002</v>
      </c>
      <c r="L476" s="195">
        <f t="shared" si="56"/>
        <v>1.8662000000000001</v>
      </c>
      <c r="M476" s="195">
        <f>AVERAGE(Ashed_controlls!$K$2:$K$11)</f>
        <v>5.5147656768714146</v>
      </c>
      <c r="N476" s="195">
        <f t="shared" si="54"/>
        <v>1.9822000000000002</v>
      </c>
      <c r="O476" s="16">
        <f>IF('WetLitterbags placem_collection'!G183="N.A","",'WetLitterbags placem_collection'!G183)</f>
        <v>42815</v>
      </c>
      <c r="P476" s="195">
        <f>IF(IFERROR(INDEX('Both teabags AfterWet'!$C$3:$C$841,MATCH(H476,'Both teabags AfterWet'!$A$3:$A$841,0)),"")="N.A","",(IFERROR(INDEX('Both teabags AfterWet'!$C$3:$C$841,MATCH(H476,'Both teabags AfterWet'!$A$3:$A$841,0)),"")))</f>
        <v>0.61199999999999999</v>
      </c>
      <c r="Q476" s="195">
        <f>IFERROR(INDEX('Both teabags AfterWet'!$C$3:$C$841,MATCH(I476,'Both teabags AfterWet'!$A$3:$A$841,0)),"")</f>
        <v>1.6970000000000001</v>
      </c>
      <c r="R476" s="195">
        <f t="shared" si="57"/>
        <v>0.46139999999999998</v>
      </c>
      <c r="S476" s="195">
        <f t="shared" si="57"/>
        <v>1.5464</v>
      </c>
      <c r="T476" s="195">
        <f t="shared" si="58"/>
        <v>0.75275961847604766</v>
      </c>
      <c r="U476" s="195">
        <f t="shared" si="59"/>
        <v>0.49349561686315718</v>
      </c>
      <c r="V476" s="195">
        <f t="shared" si="60"/>
        <v>0.78014327514882442</v>
      </c>
      <c r="W476">
        <f t="shared" si="55"/>
        <v>52</v>
      </c>
      <c r="X476" s="195">
        <f t="shared" si="61"/>
        <v>0.10598620133486025</v>
      </c>
      <c r="Y476" s="195">
        <f t="shared" si="62"/>
        <v>1.1340474082405324E-2</v>
      </c>
      <c r="Z476" s="255" t="str">
        <f>IF(ISNUMBER(SEARCH("C",'WetLitterbags placem_collection'!W403)),"YES","NO")</f>
        <v>NO</v>
      </c>
      <c r="AA476" s="255" t="str">
        <f>IF(ISNUMBER(SEARCH("H", 'WetLitterbags placem_collection'!Y183)),"YES","NO")</f>
        <v>NO</v>
      </c>
      <c r="AB476" s="255" t="str">
        <f>IF(ISNUMBER(SEARCH("R", 'WetLitterbags placem_collection'!WY183)),"YES","NO")</f>
        <v>NO</v>
      </c>
      <c r="AC476" s="255" t="str">
        <f>IF(ISNUMBER(SEARCH("C", 'WetLitterbags placem_collection'!VX183)),"YES","NO")</f>
        <v>NO</v>
      </c>
      <c r="AD476" s="255" t="str">
        <f>IF(ISNUMBER(SEARCH("H", 'WetLitterbags placem_collection'!X183)),"YES","NO")</f>
        <v>NO</v>
      </c>
      <c r="AE476" s="255" t="str">
        <f>IF(ISNUMBER(SEARCH("R", 'WetLitterbags placem_collection'!X183)),"YES","NO")</f>
        <v>NO</v>
      </c>
    </row>
    <row r="477" spans="2:31">
      <c r="B477" t="str">
        <f>'Final data_for_R_analysis_Wetse'!A623</f>
        <v>Wet</v>
      </c>
      <c r="C477" s="263">
        <f>'Final data_for_R_analysis_Wetse'!B623</f>
        <v>182</v>
      </c>
      <c r="D477" t="s">
        <v>3854</v>
      </c>
      <c r="E477" t="s">
        <v>25</v>
      </c>
      <c r="F477" s="387">
        <v>6</v>
      </c>
      <c r="G477" s="16">
        <f>'WetLitterbags placem_collection'!E184</f>
        <v>42763</v>
      </c>
      <c r="H477" s="92" t="str">
        <f>'Final data_for_R_analysis_Wetse'!J623</f>
        <v>G818</v>
      </c>
      <c r="I477" t="str">
        <f>'Final data_for_R_analysis_Wetse'!J843</f>
        <v>R537</v>
      </c>
      <c r="J477">
        <f>IFERROR(INDEX('Green_rooibos initial weight'!$C$5:$C$1749,MATCH(H477, 'Green_rooibos initial weight'!$A$5:$A$1749,0)),"")</f>
        <v>2.0099999999999998</v>
      </c>
      <c r="K477">
        <f>IFERROR(INDEX('Green_rooibos initial weight'!$C$5:$C$1749,MATCH(I477, 'Green_rooibos initial weight'!$A$5:$A$1749,0)),"")</f>
        <v>2.145</v>
      </c>
      <c r="L477" s="195">
        <f t="shared" si="56"/>
        <v>1.7601999999999998</v>
      </c>
      <c r="M477" s="195">
        <f>AVERAGE(Ashed_controlls!$K$2:$K$11)</f>
        <v>5.5147656768714146</v>
      </c>
      <c r="N477" s="195">
        <f t="shared" si="54"/>
        <v>1.8952</v>
      </c>
      <c r="O477" s="16">
        <f>IF('WetLitterbags placem_collection'!G184="N.A","",'WetLitterbags placem_collection'!G184)</f>
        <v>42815</v>
      </c>
      <c r="P477" s="195">
        <f>IF(IFERROR(INDEX('Both teabags AfterWet'!$C$3:$C$841,MATCH(H477,'Both teabags AfterWet'!$A$3:$A$841,0)),"")="N.A","",(IFERROR(INDEX('Both teabags AfterWet'!$C$3:$C$841,MATCH(H477,'Both teabags AfterWet'!$A$3:$A$841,0)),"")))</f>
        <v>0.60450000000000004</v>
      </c>
      <c r="Q477" s="195">
        <f>IFERROR(INDEX('Both teabags AfterWet'!$C$3:$C$841,MATCH(I477,'Both teabags AfterWet'!$A$3:$A$841,0)),"")</f>
        <v>1.7152000000000001</v>
      </c>
      <c r="R477" s="195">
        <f t="shared" si="57"/>
        <v>0.45390000000000003</v>
      </c>
      <c r="S477" s="195">
        <f t="shared" si="57"/>
        <v>1.5646</v>
      </c>
      <c r="T477" s="195">
        <f t="shared" si="58"/>
        <v>0.74213157595727752</v>
      </c>
      <c r="U477" s="195">
        <f t="shared" si="59"/>
        <v>0.48652806404800147</v>
      </c>
      <c r="V477" s="195">
        <f t="shared" si="60"/>
        <v>0.82555930772477837</v>
      </c>
      <c r="W477">
        <f t="shared" si="55"/>
        <v>52</v>
      </c>
      <c r="X477" s="195">
        <f t="shared" si="61"/>
        <v>0.11860857962318583</v>
      </c>
      <c r="Y477" s="195">
        <f t="shared" si="62"/>
        <v>8.5386807544270815E-3</v>
      </c>
      <c r="Z477" s="255" t="str">
        <f>IF(ISNUMBER(SEARCH("C",'WetLitterbags placem_collection'!W404)),"YES","NO")</f>
        <v>NO</v>
      </c>
      <c r="AA477" s="255" t="str">
        <f>IF(ISNUMBER(SEARCH("H", 'WetLitterbags placem_collection'!Y184)),"YES","NO")</f>
        <v>NO</v>
      </c>
      <c r="AB477" s="255" t="str">
        <f>IF(ISNUMBER(SEARCH("R", 'WetLitterbags placem_collection'!WY184)),"YES","NO")</f>
        <v>NO</v>
      </c>
      <c r="AC477" s="255" t="str">
        <f>IF(ISNUMBER(SEARCH("C", 'WetLitterbags placem_collection'!VX184)),"YES","NO")</f>
        <v>NO</v>
      </c>
      <c r="AD477" s="255" t="str">
        <f>IF(ISNUMBER(SEARCH("H", 'WetLitterbags placem_collection'!X184)),"YES","NO")</f>
        <v>NO</v>
      </c>
      <c r="AE477" s="255" t="str">
        <f>IF(ISNUMBER(SEARCH("R", 'WetLitterbags placem_collection'!X184)),"YES","NO")</f>
        <v>NO</v>
      </c>
    </row>
    <row r="478" spans="2:31">
      <c r="B478" t="str">
        <f>'Final data_for_R_analysis_Wetse'!A624</f>
        <v>Wet</v>
      </c>
      <c r="C478" s="263">
        <f>'Final data_for_R_analysis_Wetse'!B624</f>
        <v>183</v>
      </c>
      <c r="D478" t="s">
        <v>3854</v>
      </c>
      <c r="E478" t="s">
        <v>25</v>
      </c>
      <c r="F478" s="387">
        <v>7</v>
      </c>
      <c r="G478" s="16">
        <f>'WetLitterbags placem_collection'!E185</f>
        <v>42763</v>
      </c>
      <c r="H478" s="92" t="str">
        <f>'Final data_for_R_analysis_Wetse'!J624</f>
        <v>G896</v>
      </c>
      <c r="I478" t="str">
        <f>'Final data_for_R_analysis_Wetse'!J844</f>
        <v>R290</v>
      </c>
      <c r="J478">
        <f>IFERROR(INDEX('Green_rooibos initial weight'!$C$5:$C$1749,MATCH(H478, 'Green_rooibos initial weight'!$A$5:$A$1749,0)),"")</f>
        <v>1.982</v>
      </c>
      <c r="K478">
        <f>IFERROR(INDEX('Green_rooibos initial weight'!$C$5:$C$1749,MATCH(I478, 'Green_rooibos initial weight'!$A$5:$A$1749,0)),"")</f>
        <v>2.153</v>
      </c>
      <c r="L478" s="195">
        <f t="shared" si="56"/>
        <v>1.7322</v>
      </c>
      <c r="M478" s="195">
        <f>AVERAGE(Ashed_controlls!$K$2:$K$11)</f>
        <v>5.5147656768714146</v>
      </c>
      <c r="N478" s="195">
        <f t="shared" si="54"/>
        <v>1.9032</v>
      </c>
      <c r="O478" s="16">
        <f>IF('WetLitterbags placem_collection'!G185="N.A","",'WetLitterbags placem_collection'!G185)</f>
        <v>42815</v>
      </c>
      <c r="P478" s="195">
        <f>IF(IFERROR(INDEX('Both teabags AfterWet'!$C$3:$C$841,MATCH(H478,'Both teabags AfterWet'!$A$3:$A$841,0)),"")="N.A","",(IFERROR(INDEX('Both teabags AfterWet'!$C$3:$C$841,MATCH(H478,'Both teabags AfterWet'!$A$3:$A$841,0)),"")))</f>
        <v>0.61</v>
      </c>
      <c r="Q478" s="195">
        <f>IFERROR(INDEX('Both teabags AfterWet'!$C$3:$C$841,MATCH(I478,'Both teabags AfterWet'!$A$3:$A$841,0)),"")</f>
        <v>1.7310000000000001</v>
      </c>
      <c r="R478" s="195">
        <f t="shared" si="57"/>
        <v>0.45939999999999998</v>
      </c>
      <c r="S478" s="195">
        <f t="shared" si="57"/>
        <v>1.5804</v>
      </c>
      <c r="T478" s="195">
        <f t="shared" si="58"/>
        <v>0.73478813070084281</v>
      </c>
      <c r="U478" s="195">
        <f t="shared" si="59"/>
        <v>0.48171383390364048</v>
      </c>
      <c r="V478" s="195">
        <f t="shared" si="60"/>
        <v>0.83039092055485497</v>
      </c>
      <c r="W478">
        <f t="shared" si="55"/>
        <v>52</v>
      </c>
      <c r="X478" s="195">
        <f t="shared" si="61"/>
        <v>0.12733001104412967</v>
      </c>
      <c r="Y478" s="195">
        <f t="shared" si="62"/>
        <v>8.3463721003159807E-3</v>
      </c>
      <c r="Z478" s="255" t="str">
        <f>IF(ISNUMBER(SEARCH("C",'WetLitterbags placem_collection'!W405)),"YES","NO")</f>
        <v>NO</v>
      </c>
      <c r="AA478" s="255" t="str">
        <f>IF(ISNUMBER(SEARCH("H", 'WetLitterbags placem_collection'!Y185)),"YES","NO")</f>
        <v>NO</v>
      </c>
      <c r="AB478" s="255" t="str">
        <f>IF(ISNUMBER(SEARCH("R", 'WetLitterbags placem_collection'!WY185)),"YES","NO")</f>
        <v>NO</v>
      </c>
      <c r="AC478" s="255" t="str">
        <f>IF(ISNUMBER(SEARCH("C", 'WetLitterbags placem_collection'!VX185)),"YES","NO")</f>
        <v>NO</v>
      </c>
      <c r="AD478" s="255" t="str">
        <f>IF(ISNUMBER(SEARCH("H", 'WetLitterbags placem_collection'!X185)),"YES","NO")</f>
        <v>NO</v>
      </c>
      <c r="AE478" s="255" t="str">
        <f>IF(ISNUMBER(SEARCH("R", 'WetLitterbags placem_collection'!X185)),"YES","NO")</f>
        <v>NO</v>
      </c>
    </row>
    <row r="479" spans="2:31">
      <c r="B479" t="str">
        <f>'Final data_for_R_analysis_Wetse'!A625</f>
        <v>Wet</v>
      </c>
      <c r="C479" s="263">
        <f>'Final data_for_R_analysis_Wetse'!B625</f>
        <v>184</v>
      </c>
      <c r="D479" t="s">
        <v>3854</v>
      </c>
      <c r="E479" t="s">
        <v>25</v>
      </c>
      <c r="F479" s="387">
        <v>8</v>
      </c>
      <c r="G479" s="16">
        <f>'WetLitterbags placem_collection'!E186</f>
        <v>42763</v>
      </c>
      <c r="H479" s="92" t="str">
        <f>'Final data_for_R_analysis_Wetse'!J625</f>
        <v>G337</v>
      </c>
      <c r="I479" t="str">
        <f>'Final data_for_R_analysis_Wetse'!J845</f>
        <v>R555</v>
      </c>
      <c r="J479">
        <f>IFERROR(INDEX('Green_rooibos initial weight'!$C$5:$C$1749,MATCH(H479, 'Green_rooibos initial weight'!$A$5:$A$1749,0)),"")</f>
        <v>1.8680000000000001</v>
      </c>
      <c r="K479">
        <f>IFERROR(INDEX('Green_rooibos initial weight'!$C$5:$C$1749,MATCH(I479, 'Green_rooibos initial weight'!$A$5:$A$1749,0)),"")</f>
        <v>2.1789999999999998</v>
      </c>
      <c r="L479" s="195">
        <f t="shared" si="56"/>
        <v>1.6182000000000001</v>
      </c>
      <c r="M479" s="195">
        <f>AVERAGE(Ashed_controlls!$K$2:$K$11)</f>
        <v>5.5147656768714146</v>
      </c>
      <c r="N479" s="195">
        <f t="shared" si="54"/>
        <v>1.9291999999999998</v>
      </c>
      <c r="O479" s="16">
        <f>IF('WetLitterbags placem_collection'!G186="N.A","",'WetLitterbags placem_collection'!G186)</f>
        <v>42815</v>
      </c>
      <c r="P479" s="195">
        <f>IF(IFERROR(INDEX('Both teabags AfterWet'!$C$3:$C$841,MATCH(H479,'Both teabags AfterWet'!$A$3:$A$841,0)),"")="N.A","",(IFERROR(INDEX('Both teabags AfterWet'!$C$3:$C$841,MATCH(H479,'Both teabags AfterWet'!$A$3:$A$841,0)),"")))</f>
        <v>0.63060000000000005</v>
      </c>
      <c r="Q479" s="195">
        <f>IFERROR(INDEX('Both teabags AfterWet'!$C$3:$C$841,MATCH(I479,'Both teabags AfterWet'!$A$3:$A$841,0)),"")</f>
        <v>1.7096</v>
      </c>
      <c r="R479" s="195">
        <f t="shared" si="57"/>
        <v>0.48000000000000004</v>
      </c>
      <c r="S479" s="195">
        <f t="shared" si="57"/>
        <v>1.5589999999999999</v>
      </c>
      <c r="T479" s="195">
        <f t="shared" si="58"/>
        <v>0.70337411939191696</v>
      </c>
      <c r="U479" s="195">
        <f t="shared" si="59"/>
        <v>0.46111937518329948</v>
      </c>
      <c r="V479" s="195">
        <f t="shared" si="60"/>
        <v>0.80810698735227038</v>
      </c>
      <c r="W479">
        <f t="shared" si="55"/>
        <v>52</v>
      </c>
      <c r="X479" s="195">
        <f t="shared" si="61"/>
        <v>0.16463881307373285</v>
      </c>
      <c r="Y479" s="195">
        <f t="shared" si="62"/>
        <v>1.0348162224138469E-2</v>
      </c>
      <c r="Z479" s="255" t="str">
        <f>IF(ISNUMBER(SEARCH("C",'WetLitterbags placem_collection'!W406)),"YES","NO")</f>
        <v>NO</v>
      </c>
      <c r="AA479" s="255" t="str">
        <f>IF(ISNUMBER(SEARCH("H", 'WetLitterbags placem_collection'!Y186)),"YES","NO")</f>
        <v>NO</v>
      </c>
      <c r="AB479" s="255" t="str">
        <f>IF(ISNUMBER(SEARCH("R", 'WetLitterbags placem_collection'!WY186)),"YES","NO")</f>
        <v>NO</v>
      </c>
      <c r="AC479" s="255" t="str">
        <f>IF(ISNUMBER(SEARCH("C", 'WetLitterbags placem_collection'!VX186)),"YES","NO")</f>
        <v>NO</v>
      </c>
      <c r="AD479" s="255" t="str">
        <f>IF(ISNUMBER(SEARCH("H", 'WetLitterbags placem_collection'!X186)),"YES","NO")</f>
        <v>YES</v>
      </c>
      <c r="AE479" s="255" t="str">
        <f>IF(ISNUMBER(SEARCH("R", 'WetLitterbags placem_collection'!X186)),"YES","NO")</f>
        <v>NO</v>
      </c>
    </row>
    <row r="480" spans="2:31">
      <c r="B480" t="str">
        <f>'Final data_for_R_analysis_Wetse'!A626</f>
        <v>Wet</v>
      </c>
      <c r="C480" s="263">
        <f>'Final data_for_R_analysis_Wetse'!B626</f>
        <v>185</v>
      </c>
      <c r="D480" t="s">
        <v>3855</v>
      </c>
      <c r="E480" t="s">
        <v>25</v>
      </c>
      <c r="F480" s="386">
        <v>1</v>
      </c>
      <c r="G480" s="16">
        <f>'WetLitterbags placem_collection'!E187</f>
        <v>42763</v>
      </c>
      <c r="H480" s="92" t="str">
        <f>'Final data_for_R_analysis_Wetse'!J626</f>
        <v>G564</v>
      </c>
      <c r="I480" t="str">
        <f>'Final data_for_R_analysis_Wetse'!J846</f>
        <v>R539</v>
      </c>
      <c r="J480">
        <f>IFERROR(INDEX('Green_rooibos initial weight'!$C$5:$C$1749,MATCH(H480, 'Green_rooibos initial weight'!$A$5:$A$1749,0)),"")</f>
        <v>1.95</v>
      </c>
      <c r="K480">
        <f>IFERROR(INDEX('Green_rooibos initial weight'!$C$5:$C$1749,MATCH(I480, 'Green_rooibos initial weight'!$A$5:$A$1749,0)),"")</f>
        <v>2.16</v>
      </c>
      <c r="L480" s="195">
        <f t="shared" si="56"/>
        <v>1.7001999999999999</v>
      </c>
      <c r="M480" s="195">
        <f>AVERAGE(Ashed_controlls!$K$2:$K$11)</f>
        <v>5.5147656768714146</v>
      </c>
      <c r="N480" s="195">
        <f t="shared" si="54"/>
        <v>1.9102000000000001</v>
      </c>
      <c r="O480" s="16">
        <f>IF('WetLitterbags placem_collection'!G187="N.A","",'WetLitterbags placem_collection'!G187)</f>
        <v>42815</v>
      </c>
      <c r="P480" s="195">
        <f>IF(IFERROR(INDEX('Both teabags AfterWet'!$C$3:$C$841,MATCH(H480,'Both teabags AfterWet'!$A$3:$A$841,0)),"")="N.A","",(IFERROR(INDEX('Both teabags AfterWet'!$C$3:$C$841,MATCH(H480,'Both teabags AfterWet'!$A$3:$A$841,0)),"")))</f>
        <v>0.626</v>
      </c>
      <c r="Q480" s="195">
        <f>IFERROR(INDEX('Both teabags AfterWet'!$C$3:$C$841,MATCH(I480,'Both teabags AfterWet'!$A$3:$A$841,0)),"")</f>
        <v>1.7513000000000001</v>
      </c>
      <c r="R480" s="195">
        <f t="shared" si="57"/>
        <v>0.47539999999999999</v>
      </c>
      <c r="S480" s="195">
        <f t="shared" si="57"/>
        <v>1.6007</v>
      </c>
      <c r="T480" s="195">
        <f t="shared" si="58"/>
        <v>0.72038583696035752</v>
      </c>
      <c r="U480" s="195">
        <f t="shared" si="59"/>
        <v>0.47227195012127959</v>
      </c>
      <c r="V480" s="195">
        <f t="shared" si="60"/>
        <v>0.83797508114333574</v>
      </c>
      <c r="W480">
        <f t="shared" si="55"/>
        <v>52</v>
      </c>
      <c r="X480" s="195">
        <f t="shared" si="61"/>
        <v>0.1444348729686965</v>
      </c>
      <c r="Y480" s="195">
        <f t="shared" si="62"/>
        <v>8.0805024997524962E-3</v>
      </c>
      <c r="Z480" s="255" t="str">
        <f>IF(ISNUMBER(SEARCH("C",'WetLitterbags placem_collection'!W407)),"YES","NO")</f>
        <v>NO</v>
      </c>
      <c r="AA480" s="255" t="str">
        <f>IF(ISNUMBER(SEARCH("H", 'WetLitterbags placem_collection'!Y187)),"YES","NO")</f>
        <v>NO</v>
      </c>
      <c r="AB480" s="255" t="str">
        <f>IF(ISNUMBER(SEARCH("R", 'WetLitterbags placem_collection'!WY187)),"YES","NO")</f>
        <v>NO</v>
      </c>
      <c r="AC480" s="255" t="str">
        <f>IF(ISNUMBER(SEARCH("C", 'WetLitterbags placem_collection'!VX187)),"YES","NO")</f>
        <v>NO</v>
      </c>
      <c r="AD480" s="255" t="str">
        <f>IF(ISNUMBER(SEARCH("H", 'WetLitterbags placem_collection'!X187)),"YES","NO")</f>
        <v>NO</v>
      </c>
      <c r="AE480" s="255" t="str">
        <f>IF(ISNUMBER(SEARCH("R", 'WetLitterbags placem_collection'!X187)),"YES","NO")</f>
        <v>NO</v>
      </c>
    </row>
    <row r="481" spans="2:31">
      <c r="B481" t="str">
        <f>'Final data_for_R_analysis_Wetse'!A627</f>
        <v>Wet</v>
      </c>
      <c r="C481" s="263">
        <f>'Final data_for_R_analysis_Wetse'!B627</f>
        <v>186</v>
      </c>
      <c r="D481" t="s">
        <v>3855</v>
      </c>
      <c r="E481" t="s">
        <v>25</v>
      </c>
      <c r="F481" s="386">
        <v>2</v>
      </c>
      <c r="G481" s="16">
        <f>'WetLitterbags placem_collection'!E188</f>
        <v>42763</v>
      </c>
      <c r="H481" s="92" t="str">
        <f>'Final data_for_R_analysis_Wetse'!J627</f>
        <v>G608</v>
      </c>
      <c r="I481" t="str">
        <f>'Final data_for_R_analysis_Wetse'!J847</f>
        <v>R186</v>
      </c>
      <c r="J481">
        <f>IFERROR(INDEX('Green_rooibos initial weight'!$C$5:$C$1749,MATCH(H481, 'Green_rooibos initial weight'!$A$5:$A$1749,0)),"")</f>
        <v>2.0259999999999998</v>
      </c>
      <c r="K481">
        <f>IFERROR(INDEX('Green_rooibos initial weight'!$C$5:$C$1749,MATCH(I481, 'Green_rooibos initial weight'!$A$5:$A$1749,0)),"")</f>
        <v>2.2530000000000001</v>
      </c>
      <c r="L481" s="195">
        <f t="shared" si="56"/>
        <v>1.7761999999999998</v>
      </c>
      <c r="M481" s="195">
        <f>AVERAGE(Ashed_controlls!$K$2:$K$11)</f>
        <v>5.5147656768714146</v>
      </c>
      <c r="N481" s="195">
        <f t="shared" si="54"/>
        <v>2.0032000000000001</v>
      </c>
      <c r="O481" s="16">
        <f>IF('WetLitterbags placem_collection'!G188="N.A","",'WetLitterbags placem_collection'!G188)</f>
        <v>42815</v>
      </c>
      <c r="P481" s="195" t="str">
        <f>IF(IFERROR(INDEX('Both teabags AfterWet'!$C$3:$C$841,MATCH(H481,'Both teabags AfterWet'!$A$3:$A$841,0)),"")="N.A","",(IFERROR(INDEX('Both teabags AfterWet'!$C$3:$C$841,MATCH(H481,'Both teabags AfterWet'!$A$3:$A$841,0)),"")))</f>
        <v/>
      </c>
      <c r="Q481" s="195">
        <f>IFERROR(INDEX('Both teabags AfterWet'!$C$3:$C$841,MATCH(I481,'Both teabags AfterWet'!$A$3:$A$841,0)),"")</f>
        <v>1.7809999999999999</v>
      </c>
      <c r="R481" s="195" t="str">
        <f t="shared" si="57"/>
        <v/>
      </c>
      <c r="S481" s="195">
        <f t="shared" si="57"/>
        <v>1.6303999999999998</v>
      </c>
      <c r="T481" s="195" t="str">
        <f t="shared" si="58"/>
        <v/>
      </c>
      <c r="U481" s="195" t="str">
        <f t="shared" si="59"/>
        <v/>
      </c>
      <c r="V481" s="195">
        <f t="shared" si="60"/>
        <v>0.8138977635782747</v>
      </c>
      <c r="W481">
        <f t="shared" si="55"/>
        <v>52</v>
      </c>
      <c r="X481" s="195" t="str">
        <f t="shared" si="61"/>
        <v/>
      </c>
      <c r="Y481" s="195" t="str">
        <f t="shared" si="62"/>
        <v/>
      </c>
      <c r="Z481" s="255" t="str">
        <f>IF(ISNUMBER(SEARCH("C",'WetLitterbags placem_collection'!W408)),"YES","NO")</f>
        <v>NO</v>
      </c>
      <c r="AA481" s="255" t="str">
        <f>IF(ISNUMBER(SEARCH("H", 'WetLitterbags placem_collection'!Y188)),"YES","NO")</f>
        <v>NO</v>
      </c>
      <c r="AB481" s="255" t="str">
        <f>IF(ISNUMBER(SEARCH("R", 'WetLitterbags placem_collection'!WY188)),"YES","NO")</f>
        <v>NO</v>
      </c>
      <c r="AC481" s="255" t="str">
        <f>IF(ISNUMBER(SEARCH("C", 'WetLitterbags placem_collection'!VX188)),"YES","NO")</f>
        <v>NO</v>
      </c>
      <c r="AD481" s="255" t="str">
        <f>IF(ISNUMBER(SEARCH("H", 'WetLitterbags placem_collection'!X188)),"YES","NO")</f>
        <v>NO</v>
      </c>
      <c r="AE481" s="255" t="str">
        <f>IF(ISNUMBER(SEARCH("R", 'WetLitterbags placem_collection'!X188)),"YES","NO")</f>
        <v>NO</v>
      </c>
    </row>
    <row r="482" spans="2:31">
      <c r="B482" t="str">
        <f>'Final data_for_R_analysis_Wetse'!A628</f>
        <v>Wet</v>
      </c>
      <c r="C482" s="263">
        <f>'Final data_for_R_analysis_Wetse'!B628</f>
        <v>187</v>
      </c>
      <c r="D482" t="s">
        <v>3855</v>
      </c>
      <c r="E482" t="s">
        <v>25</v>
      </c>
      <c r="F482" s="386">
        <v>3</v>
      </c>
      <c r="G482" s="16">
        <f>'WetLitterbags placem_collection'!E189</f>
        <v>42763</v>
      </c>
      <c r="H482" s="92" t="str">
        <f>'Final data_for_R_analysis_Wetse'!J628</f>
        <v>G365</v>
      </c>
      <c r="I482" t="str">
        <f>'Final data_for_R_analysis_Wetse'!J848</f>
        <v>R580</v>
      </c>
      <c r="J482">
        <f>IFERROR(INDEX('Green_rooibos initial weight'!$C$5:$C$1749,MATCH(H482, 'Green_rooibos initial weight'!$A$5:$A$1749,0)),"")</f>
        <v>1.954</v>
      </c>
      <c r="K482">
        <f>IFERROR(INDEX('Green_rooibos initial weight'!$C$5:$C$1749,MATCH(I482, 'Green_rooibos initial weight'!$A$5:$A$1749,0)),"")</f>
        <v>2.0870000000000002</v>
      </c>
      <c r="L482" s="195">
        <f t="shared" si="56"/>
        <v>1.7041999999999999</v>
      </c>
      <c r="M482" s="195">
        <f>AVERAGE(Ashed_controlls!$K$2:$K$11)</f>
        <v>5.5147656768714146</v>
      </c>
      <c r="N482" s="195">
        <f t="shared" si="54"/>
        <v>1.8372000000000002</v>
      </c>
      <c r="O482" s="16">
        <f>IF('WetLitterbags placem_collection'!G189="N.A","",'WetLitterbags placem_collection'!G189)</f>
        <v>42815</v>
      </c>
      <c r="P482" s="195">
        <f>IF(IFERROR(INDEX('Both teabags AfterWet'!$C$3:$C$841,MATCH(H482,'Both teabags AfterWet'!$A$3:$A$841,0)),"")="N.A","",(IFERROR(INDEX('Both teabags AfterWet'!$C$3:$C$841,MATCH(H482,'Both teabags AfterWet'!$A$3:$A$841,0)),"")))</f>
        <v>0.6714</v>
      </c>
      <c r="Q482" s="195">
        <f>IFERROR(INDEX('Both teabags AfterWet'!$C$3:$C$841,MATCH(I482,'Both teabags AfterWet'!$A$3:$A$841,0)),"")</f>
        <v>1.6225000000000001</v>
      </c>
      <c r="R482" s="195">
        <f t="shared" si="57"/>
        <v>0.52079999999999993</v>
      </c>
      <c r="S482" s="195">
        <f t="shared" si="57"/>
        <v>1.4719</v>
      </c>
      <c r="T482" s="195">
        <f t="shared" si="58"/>
        <v>0.69440206548527172</v>
      </c>
      <c r="U482" s="195">
        <f t="shared" si="59"/>
        <v>0.45523745860792164</v>
      </c>
      <c r="V482" s="195">
        <f t="shared" si="60"/>
        <v>0.80116481602438483</v>
      </c>
      <c r="W482">
        <f t="shared" si="55"/>
        <v>52</v>
      </c>
      <c r="X482" s="195">
        <f t="shared" si="61"/>
        <v>0.17529445904362029</v>
      </c>
      <c r="Y482" s="195">
        <f t="shared" si="62"/>
        <v>1.1039837950723609E-2</v>
      </c>
      <c r="Z482" s="255" t="str">
        <f>IF(ISNUMBER(SEARCH("C",'WetLitterbags placem_collection'!W409)),"YES","NO")</f>
        <v>NO</v>
      </c>
      <c r="AA482" s="255" t="str">
        <f>IF(ISNUMBER(SEARCH("H", 'WetLitterbags placem_collection'!Y189)),"YES","NO")</f>
        <v>NO</v>
      </c>
      <c r="AB482" s="255" t="str">
        <f>IF(ISNUMBER(SEARCH("R", 'WetLitterbags placem_collection'!WY189)),"YES","NO")</f>
        <v>NO</v>
      </c>
      <c r="AC482" s="255" t="str">
        <f>IF(ISNUMBER(SEARCH("C", 'WetLitterbags placem_collection'!VX189)),"YES","NO")</f>
        <v>NO</v>
      </c>
      <c r="AD482" s="255" t="str">
        <f>IF(ISNUMBER(SEARCH("H", 'WetLitterbags placem_collection'!X189)),"YES","NO")</f>
        <v>NO</v>
      </c>
      <c r="AE482" s="255" t="str">
        <f>IF(ISNUMBER(SEARCH("R", 'WetLitterbags placem_collection'!X189)),"YES","NO")</f>
        <v>NO</v>
      </c>
    </row>
    <row r="483" spans="2:31">
      <c r="B483" t="str">
        <f>'Final data_for_R_analysis_Wetse'!A629</f>
        <v>Wet</v>
      </c>
      <c r="C483" s="263">
        <f>'Final data_for_R_analysis_Wetse'!B629</f>
        <v>188</v>
      </c>
      <c r="D483" t="s">
        <v>3855</v>
      </c>
      <c r="E483" t="s">
        <v>25</v>
      </c>
      <c r="F483" s="387">
        <v>4</v>
      </c>
      <c r="G483" s="16">
        <f>'WetLitterbags placem_collection'!E190</f>
        <v>42763</v>
      </c>
      <c r="H483" s="92" t="str">
        <f>'Final data_for_R_analysis_Wetse'!J629</f>
        <v>G375</v>
      </c>
      <c r="I483" t="str">
        <f>'Final data_for_R_analysis_Wetse'!J849</f>
        <v>R222</v>
      </c>
      <c r="J483">
        <f>IFERROR(INDEX('Green_rooibos initial weight'!$C$5:$C$1749,MATCH(H483, 'Green_rooibos initial weight'!$A$5:$A$1749,0)),"")</f>
        <v>1.9810000000000001</v>
      </c>
      <c r="K483">
        <f>IFERROR(INDEX('Green_rooibos initial weight'!$C$5:$C$1749,MATCH(I483, 'Green_rooibos initial weight'!$A$5:$A$1749,0)),"")</f>
        <v>2.194</v>
      </c>
      <c r="L483" s="195">
        <f t="shared" si="56"/>
        <v>1.7312000000000001</v>
      </c>
      <c r="M483" s="195">
        <f>AVERAGE(Ashed_controlls!$K$2:$K$11)</f>
        <v>5.5147656768714146</v>
      </c>
      <c r="N483" s="195">
        <f t="shared" si="54"/>
        <v>1.9441999999999999</v>
      </c>
      <c r="O483" s="16">
        <f>IF('WetLitterbags placem_collection'!G190="N.A","",'WetLitterbags placem_collection'!G190)</f>
        <v>42815</v>
      </c>
      <c r="P483" s="195">
        <f>IF(IFERROR(INDEX('Both teabags AfterWet'!$C$3:$C$841,MATCH(H483,'Both teabags AfterWet'!$A$3:$A$841,0)),"")="N.A","",(IFERROR(INDEX('Both teabags AfterWet'!$C$3:$C$841,MATCH(H483,'Both teabags AfterWet'!$A$3:$A$841,0)),"")))</f>
        <v>0.55700000000000005</v>
      </c>
      <c r="Q483" s="195">
        <f>IFERROR(INDEX('Both teabags AfterWet'!$C$3:$C$841,MATCH(I483,'Both teabags AfterWet'!$A$3:$A$841,0)),"")</f>
        <v>1.5732999999999999</v>
      </c>
      <c r="R483" s="195">
        <f t="shared" si="57"/>
        <v>0.40640000000000004</v>
      </c>
      <c r="S483" s="195">
        <f t="shared" si="57"/>
        <v>1.4226999999999999</v>
      </c>
      <c r="T483" s="195">
        <f t="shared" si="58"/>
        <v>0.76524953789279115</v>
      </c>
      <c r="U483" s="195">
        <f t="shared" si="59"/>
        <v>0.50168378256154489</v>
      </c>
      <c r="V483" s="195">
        <f t="shared" si="60"/>
        <v>0.73176627918938375</v>
      </c>
      <c r="W483">
        <f t="shared" si="55"/>
        <v>52</v>
      </c>
      <c r="X483" s="195">
        <f t="shared" si="61"/>
        <v>9.11525678232884E-2</v>
      </c>
      <c r="Y483" s="195">
        <f t="shared" si="62"/>
        <v>1.4711573462774E-2</v>
      </c>
      <c r="Z483" s="255" t="str">
        <f>IF(ISNUMBER(SEARCH("C",'WetLitterbags placem_collection'!W410)),"YES","NO")</f>
        <v>NO</v>
      </c>
      <c r="AA483" s="255" t="str">
        <f>IF(ISNUMBER(SEARCH("H", 'WetLitterbags placem_collection'!Y190)),"YES","NO")</f>
        <v>NO</v>
      </c>
      <c r="AB483" s="255" t="str">
        <f>IF(ISNUMBER(SEARCH("R", 'WetLitterbags placem_collection'!WY190)),"YES","NO")</f>
        <v>NO</v>
      </c>
      <c r="AC483" s="255" t="str">
        <f>IF(ISNUMBER(SEARCH("C", 'WetLitterbags placem_collection'!VX190)),"YES","NO")</f>
        <v>NO</v>
      </c>
      <c r="AD483" s="255" t="str">
        <f>IF(ISNUMBER(SEARCH("H", 'WetLitterbags placem_collection'!X190)),"YES","NO")</f>
        <v>NO</v>
      </c>
      <c r="AE483" s="255" t="str">
        <f>IF(ISNUMBER(SEARCH("R", 'WetLitterbags placem_collection'!X190)),"YES","NO")</f>
        <v>NO</v>
      </c>
    </row>
    <row r="484" spans="2:31">
      <c r="B484" t="str">
        <f>'Final data_for_R_analysis_Wetse'!A630</f>
        <v>Wet</v>
      </c>
      <c r="C484" s="263">
        <f>'Final data_for_R_analysis_Wetse'!B630</f>
        <v>189</v>
      </c>
      <c r="D484" t="s">
        <v>3855</v>
      </c>
      <c r="E484" t="s">
        <v>25</v>
      </c>
      <c r="F484" s="387">
        <v>5</v>
      </c>
      <c r="G484" s="16">
        <f>'WetLitterbags placem_collection'!E191</f>
        <v>42763</v>
      </c>
      <c r="H484" s="92" t="str">
        <f>'Final data_for_R_analysis_Wetse'!J630</f>
        <v>G537</v>
      </c>
      <c r="I484" t="str">
        <f>'Final data_for_R_analysis_Wetse'!J850</f>
        <v>R216</v>
      </c>
      <c r="J484">
        <f>IFERROR(INDEX('Green_rooibos initial weight'!$C$5:$C$1749,MATCH(H484, 'Green_rooibos initial weight'!$A$5:$A$1749,0)),"")</f>
        <v>1.9630000000000001</v>
      </c>
      <c r="K484">
        <f>IFERROR(INDEX('Green_rooibos initial weight'!$C$5:$C$1749,MATCH(I484, 'Green_rooibos initial weight'!$A$5:$A$1749,0)),"")</f>
        <v>2.1880000000000002</v>
      </c>
      <c r="L484" s="195">
        <f t="shared" si="56"/>
        <v>1.7132000000000001</v>
      </c>
      <c r="M484" s="195">
        <f>AVERAGE(Ashed_controlls!$K$2:$K$11)</f>
        <v>5.5147656768714146</v>
      </c>
      <c r="N484" s="195">
        <f t="shared" si="54"/>
        <v>1.9382000000000001</v>
      </c>
      <c r="O484" s="16">
        <f>IF('WetLitterbags placem_collection'!G191="N.A","",'WetLitterbags placem_collection'!G191)</f>
        <v>42815</v>
      </c>
      <c r="P484" s="195">
        <f>IF(IFERROR(INDEX('Both teabags AfterWet'!$C$3:$C$841,MATCH(H484,'Both teabags AfterWet'!$A$3:$A$841,0)),"")="N.A","",(IFERROR(INDEX('Both teabags AfterWet'!$C$3:$C$841,MATCH(H484,'Both teabags AfterWet'!$A$3:$A$841,0)),"")))</f>
        <v>0.72030000000000005</v>
      </c>
      <c r="Q484" s="195">
        <f>IFERROR(INDEX('Both teabags AfterWet'!$C$3:$C$841,MATCH(I484,'Both teabags AfterWet'!$A$3:$A$841,0)),"")</f>
        <v>1.6973</v>
      </c>
      <c r="R484" s="195">
        <f t="shared" si="57"/>
        <v>0.5697000000000001</v>
      </c>
      <c r="S484" s="195">
        <f t="shared" si="57"/>
        <v>1.5467</v>
      </c>
      <c r="T484" s="195">
        <f t="shared" si="58"/>
        <v>0.66746439411627367</v>
      </c>
      <c r="U484" s="195">
        <f t="shared" si="59"/>
        <v>0.43757760754416042</v>
      </c>
      <c r="V484" s="195">
        <f t="shared" si="60"/>
        <v>0.79800846145908566</v>
      </c>
      <c r="W484">
        <f t="shared" si="55"/>
        <v>52</v>
      </c>
      <c r="X484" s="195">
        <f t="shared" si="61"/>
        <v>0.20728694285478189</v>
      </c>
      <c r="Y484" s="195">
        <f t="shared" si="62"/>
        <v>1.1907264588013656E-2</v>
      </c>
      <c r="Z484" s="255" t="str">
        <f>IF(ISNUMBER(SEARCH("C",'WetLitterbags placem_collection'!W411)),"YES","NO")</f>
        <v>NO</v>
      </c>
      <c r="AA484" s="255" t="str">
        <f>IF(ISNUMBER(SEARCH("H", 'WetLitterbags placem_collection'!Y191)),"YES","NO")</f>
        <v>NO</v>
      </c>
      <c r="AB484" s="255" t="str">
        <f>IF(ISNUMBER(SEARCH("R", 'WetLitterbags placem_collection'!WY191)),"YES","NO")</f>
        <v>NO</v>
      </c>
      <c r="AC484" s="255" t="str">
        <f>IF(ISNUMBER(SEARCH("C", 'WetLitterbags placem_collection'!VX191)),"YES","NO")</f>
        <v>NO</v>
      </c>
      <c r="AD484" s="255" t="str">
        <f>IF(ISNUMBER(SEARCH("H", 'WetLitterbags placem_collection'!X191)),"YES","NO")</f>
        <v>NO</v>
      </c>
      <c r="AE484" s="255" t="str">
        <f>IF(ISNUMBER(SEARCH("R", 'WetLitterbags placem_collection'!X191)),"YES","NO")</f>
        <v>NO</v>
      </c>
    </row>
    <row r="485" spans="2:31">
      <c r="B485" t="str">
        <f>'Final data_for_R_analysis_Wetse'!A631</f>
        <v>Wet</v>
      </c>
      <c r="C485" s="263">
        <f>'Final data_for_R_analysis_Wetse'!B631</f>
        <v>190</v>
      </c>
      <c r="D485" t="s">
        <v>3855</v>
      </c>
      <c r="E485" t="s">
        <v>25</v>
      </c>
      <c r="F485" s="387">
        <v>6</v>
      </c>
      <c r="G485" s="16">
        <f>'WetLitterbags placem_collection'!E192</f>
        <v>42763</v>
      </c>
      <c r="H485" s="92" t="str">
        <f>'Final data_for_R_analysis_Wetse'!J631</f>
        <v>G393</v>
      </c>
      <c r="I485" t="str">
        <f>'Final data_for_R_analysis_Wetse'!J851</f>
        <v>R232</v>
      </c>
      <c r="J485">
        <f>IFERROR(INDEX('Green_rooibos initial weight'!$C$5:$C$1749,MATCH(H485, 'Green_rooibos initial weight'!$A$5:$A$1749,0)),"")</f>
        <v>2.0089999999999999</v>
      </c>
      <c r="K485">
        <f>IFERROR(INDEX('Green_rooibos initial weight'!$C$5:$C$1749,MATCH(I485, 'Green_rooibos initial weight'!$A$5:$A$1749,0)),"")</f>
        <v>2.2440000000000002</v>
      </c>
      <c r="L485" s="195">
        <f t="shared" si="56"/>
        <v>1.7591999999999999</v>
      </c>
      <c r="M485" s="195">
        <f>AVERAGE(Ashed_controlls!$K$2:$K$11)</f>
        <v>5.5147656768714146</v>
      </c>
      <c r="N485" s="195">
        <f t="shared" si="54"/>
        <v>1.9942000000000002</v>
      </c>
      <c r="O485" s="16">
        <f>IF('WetLitterbags placem_collection'!G192="N.A","",'WetLitterbags placem_collection'!G192)</f>
        <v>42815</v>
      </c>
      <c r="P485" s="195">
        <f>IF(IFERROR(INDEX('Both teabags AfterWet'!$C$3:$C$841,MATCH(H485,'Both teabags AfterWet'!$A$3:$A$841,0)),"")="N.A","",(IFERROR(INDEX('Both teabags AfterWet'!$C$3:$C$841,MATCH(H485,'Both teabags AfterWet'!$A$3:$A$841,0)),"")))</f>
        <v>0.62090000000000001</v>
      </c>
      <c r="Q485" s="195">
        <f>IFERROR(INDEX('Both teabags AfterWet'!$C$3:$C$841,MATCH(I485,'Both teabags AfterWet'!$A$3:$A$841,0)),"")</f>
        <v>1.7355</v>
      </c>
      <c r="R485" s="195">
        <f t="shared" si="57"/>
        <v>0.4703</v>
      </c>
      <c r="S485" s="195">
        <f t="shared" si="57"/>
        <v>1.5849</v>
      </c>
      <c r="T485" s="195">
        <f t="shared" si="58"/>
        <v>0.732662573897226</v>
      </c>
      <c r="U485" s="195">
        <f t="shared" si="59"/>
        <v>0.48032035723428596</v>
      </c>
      <c r="V485" s="195">
        <f t="shared" si="60"/>
        <v>0.79475478888777451</v>
      </c>
      <c r="W485">
        <f t="shared" si="55"/>
        <v>52</v>
      </c>
      <c r="X485" s="195">
        <f t="shared" si="61"/>
        <v>0.12985442530020663</v>
      </c>
      <c r="Y485" s="195">
        <f t="shared" si="62"/>
        <v>1.0719403331215009E-2</v>
      </c>
      <c r="Z485" s="255" t="str">
        <f>IF(ISNUMBER(SEARCH("C",'WetLitterbags placem_collection'!W412)),"YES","NO")</f>
        <v>NO</v>
      </c>
      <c r="AA485" s="255" t="str">
        <f>IF(ISNUMBER(SEARCH("H", 'WetLitterbags placem_collection'!Y192)),"YES","NO")</f>
        <v>NO</v>
      </c>
      <c r="AB485" s="255" t="str">
        <f>IF(ISNUMBER(SEARCH("R", 'WetLitterbags placem_collection'!WY192)),"YES","NO")</f>
        <v>NO</v>
      </c>
      <c r="AC485" s="255" t="str">
        <f>IF(ISNUMBER(SEARCH("C", 'WetLitterbags placem_collection'!VX192)),"YES","NO")</f>
        <v>NO</v>
      </c>
      <c r="AD485" s="255" t="str">
        <f>IF(ISNUMBER(SEARCH("H", 'WetLitterbags placem_collection'!X192)),"YES","NO")</f>
        <v>NO</v>
      </c>
      <c r="AE485" s="255" t="str">
        <f>IF(ISNUMBER(SEARCH("R", 'WetLitterbags placem_collection'!X192)),"YES","NO")</f>
        <v>NO</v>
      </c>
    </row>
    <row r="486" spans="2:31">
      <c r="B486" t="str">
        <f>'Final data_for_R_analysis_Wetse'!A632</f>
        <v>Wet</v>
      </c>
      <c r="C486" s="263">
        <f>'Final data_for_R_analysis_Wetse'!B632</f>
        <v>191</v>
      </c>
      <c r="D486" t="s">
        <v>3855</v>
      </c>
      <c r="E486" t="s">
        <v>25</v>
      </c>
      <c r="F486" s="387">
        <v>7</v>
      </c>
      <c r="G486" s="16">
        <f>'WetLitterbags placem_collection'!E193</f>
        <v>42763</v>
      </c>
      <c r="H486" s="92" t="str">
        <f>'Final data_for_R_analysis_Wetse'!J632</f>
        <v>G417</v>
      </c>
      <c r="I486" t="str">
        <f>'Final data_for_R_analysis_Wetse'!J852</f>
        <v>R387</v>
      </c>
      <c r="J486">
        <f>IFERROR(INDEX('Green_rooibos initial weight'!$C$5:$C$1749,MATCH(H486, 'Green_rooibos initial weight'!$A$5:$A$1749,0)),"")</f>
        <v>2.0209999999999999</v>
      </c>
      <c r="K486">
        <f>IFERROR(INDEX('Green_rooibos initial weight'!$C$5:$C$1749,MATCH(I486, 'Green_rooibos initial weight'!$A$5:$A$1749,0)),"")</f>
        <v>2.1080000000000001</v>
      </c>
      <c r="L486" s="195">
        <f t="shared" si="56"/>
        <v>1.7711999999999999</v>
      </c>
      <c r="M486" s="195">
        <f>AVERAGE(Ashed_controlls!$K$2:$K$11)</f>
        <v>5.5147656768714146</v>
      </c>
      <c r="N486" s="195">
        <f t="shared" si="54"/>
        <v>1.8582000000000001</v>
      </c>
      <c r="O486" s="16">
        <f>IF('WetLitterbags placem_collection'!G193="N.A","",'WetLitterbags placem_collection'!G193)</f>
        <v>42815</v>
      </c>
      <c r="P486" s="195">
        <f>IF(IFERROR(INDEX('Both teabags AfterWet'!$C$3:$C$841,MATCH(H486,'Both teabags AfterWet'!$A$3:$A$841,0)),"")="N.A","",(IFERROR(INDEX('Both teabags AfterWet'!$C$3:$C$841,MATCH(H486,'Both teabags AfterWet'!$A$3:$A$841,0)),"")))</f>
        <v>0.62309999999999999</v>
      </c>
      <c r="Q486" s="195">
        <f>IFERROR(INDEX('Both teabags AfterWet'!$C$3:$C$841,MATCH(I486,'Both teabags AfterWet'!$A$3:$A$841,0)),"")</f>
        <v>1.6520999999999999</v>
      </c>
      <c r="R486" s="195">
        <f t="shared" si="57"/>
        <v>0.47249999999999998</v>
      </c>
      <c r="S486" s="195">
        <f t="shared" si="57"/>
        <v>1.5014999999999998</v>
      </c>
      <c r="T486" s="195">
        <f t="shared" si="58"/>
        <v>0.7332317073170731</v>
      </c>
      <c r="U486" s="195">
        <f t="shared" si="59"/>
        <v>0.48069347083019526</v>
      </c>
      <c r="V486" s="195">
        <f t="shared" si="60"/>
        <v>0.80804003874717456</v>
      </c>
      <c r="W486">
        <f t="shared" si="55"/>
        <v>52</v>
      </c>
      <c r="X486" s="195">
        <f t="shared" si="61"/>
        <v>0.12917849487283473</v>
      </c>
      <c r="Y486" s="195">
        <f t="shared" si="62"/>
        <v>9.8024161858107171E-3</v>
      </c>
      <c r="Z486" s="255" t="str">
        <f>IF(ISNUMBER(SEARCH("C",'WetLitterbags placem_collection'!W413)),"YES","NO")</f>
        <v>NO</v>
      </c>
      <c r="AA486" s="255" t="str">
        <f>IF(ISNUMBER(SEARCH("H", 'WetLitterbags placem_collection'!Y193)),"YES","NO")</f>
        <v>NO</v>
      </c>
      <c r="AB486" s="255" t="str">
        <f>IF(ISNUMBER(SEARCH("R", 'WetLitterbags placem_collection'!WY193)),"YES","NO")</f>
        <v>NO</v>
      </c>
      <c r="AC486" s="255" t="str">
        <f>IF(ISNUMBER(SEARCH("C", 'WetLitterbags placem_collection'!VX193)),"YES","NO")</f>
        <v>NO</v>
      </c>
      <c r="AD486" s="255" t="str">
        <f>IF(ISNUMBER(SEARCH("H", 'WetLitterbags placem_collection'!X193)),"YES","NO")</f>
        <v>NO</v>
      </c>
      <c r="AE486" s="255" t="str">
        <f>IF(ISNUMBER(SEARCH("R", 'WetLitterbags placem_collection'!X193)),"YES","NO")</f>
        <v>NO</v>
      </c>
    </row>
    <row r="487" spans="2:31">
      <c r="B487" t="str">
        <f>'Final data_for_R_analysis_Wetse'!A633</f>
        <v>Wet</v>
      </c>
      <c r="C487" s="263">
        <f>'Final data_for_R_analysis_Wetse'!B633</f>
        <v>192</v>
      </c>
      <c r="D487" t="s">
        <v>3855</v>
      </c>
      <c r="E487" t="s">
        <v>25</v>
      </c>
      <c r="F487" s="387">
        <v>8</v>
      </c>
      <c r="G487" s="16">
        <f>'WetLitterbags placem_collection'!E194</f>
        <v>42763</v>
      </c>
      <c r="H487" s="92" t="str">
        <f>'Final data_for_R_analysis_Wetse'!J633</f>
        <v>G297</v>
      </c>
      <c r="I487" t="str">
        <f>'Final data_for_R_analysis_Wetse'!J853</f>
        <v>R346</v>
      </c>
      <c r="J487">
        <f>IFERROR(INDEX('Green_rooibos initial weight'!$C$5:$C$1749,MATCH(H487, 'Green_rooibos initial weight'!$A$5:$A$1749,0)),"")</f>
        <v>1.9419999999999999</v>
      </c>
      <c r="K487">
        <f>IFERROR(INDEX('Green_rooibos initial weight'!$C$5:$C$1749,MATCH(I487, 'Green_rooibos initial weight'!$A$5:$A$1749,0)),"")</f>
        <v>2.2349999999999999</v>
      </c>
      <c r="L487" s="195">
        <f t="shared" si="56"/>
        <v>1.6921999999999999</v>
      </c>
      <c r="M487" s="195">
        <f>AVERAGE(Ashed_controlls!$K$2:$K$11)</f>
        <v>5.5147656768714146</v>
      </c>
      <c r="N487" s="195">
        <f t="shared" si="54"/>
        <v>1.9851999999999999</v>
      </c>
      <c r="O487" s="16">
        <f>IF('WetLitterbags placem_collection'!G194="N.A","",'WetLitterbags placem_collection'!G194)</f>
        <v>42815</v>
      </c>
      <c r="P487" s="195">
        <f>IF(IFERROR(INDEX('Both teabags AfterWet'!$C$3:$C$841,MATCH(H487,'Both teabags AfterWet'!$A$3:$A$841,0)),"")="N.A","",(IFERROR(INDEX('Both teabags AfterWet'!$C$3:$C$841,MATCH(H487,'Both teabags AfterWet'!$A$3:$A$841,0)),"")))</f>
        <v>0.60899999999999999</v>
      </c>
      <c r="Q487" s="195">
        <f>IFERROR(INDEX('Both teabags AfterWet'!$C$3:$C$841,MATCH(I487,'Both teabags AfterWet'!$A$3:$A$841,0)),"")</f>
        <v>1.6679999999999999</v>
      </c>
      <c r="R487" s="195">
        <f t="shared" si="57"/>
        <v>0.45839999999999997</v>
      </c>
      <c r="S487" s="195">
        <f t="shared" si="57"/>
        <v>1.5173999999999999</v>
      </c>
      <c r="T487" s="195">
        <f t="shared" si="58"/>
        <v>0.72911003427490839</v>
      </c>
      <c r="U487" s="195">
        <f t="shared" si="59"/>
        <v>0.47799137638925115</v>
      </c>
      <c r="V487" s="195">
        <f t="shared" si="60"/>
        <v>0.76435623614749137</v>
      </c>
      <c r="W487">
        <f t="shared" si="55"/>
        <v>52</v>
      </c>
      <c r="X487" s="195">
        <f t="shared" si="61"/>
        <v>0.13407359349773351</v>
      </c>
      <c r="Y487" s="195">
        <f t="shared" si="62"/>
        <v>1.3061915006963104E-2</v>
      </c>
      <c r="Z487" s="255" t="str">
        <f>IF(ISNUMBER(SEARCH("C",'WetLitterbags placem_collection'!W414)),"YES","NO")</f>
        <v>NO</v>
      </c>
      <c r="AA487" s="255" t="str">
        <f>IF(ISNUMBER(SEARCH("H", 'WetLitterbags placem_collection'!Y194)),"YES","NO")</f>
        <v>NO</v>
      </c>
      <c r="AB487" s="255" t="str">
        <f>IF(ISNUMBER(SEARCH("R", 'WetLitterbags placem_collection'!WY194)),"YES","NO")</f>
        <v>NO</v>
      </c>
      <c r="AC487" s="255" t="str">
        <f>IF(ISNUMBER(SEARCH("C", 'WetLitterbags placem_collection'!VX194)),"YES","NO")</f>
        <v>NO</v>
      </c>
      <c r="AD487" s="255" t="str">
        <f>IF(ISNUMBER(SEARCH("H", 'WetLitterbags placem_collection'!X194)),"YES","NO")</f>
        <v>NO</v>
      </c>
      <c r="AE487" s="255" t="str">
        <f>IF(ISNUMBER(SEARCH("R", 'WetLitterbags placem_collection'!X194)),"YES","NO")</f>
        <v>NO</v>
      </c>
    </row>
    <row r="488" spans="2:31">
      <c r="B488" t="str">
        <f>'Final data_for_R_analysis_Wetse'!A634</f>
        <v>Wet</v>
      </c>
      <c r="C488" s="263">
        <f>'Final data_for_R_analysis_Wetse'!B634</f>
        <v>193</v>
      </c>
      <c r="D488" t="s">
        <v>2445</v>
      </c>
      <c r="E488" t="s">
        <v>25</v>
      </c>
      <c r="F488" s="387">
        <v>1</v>
      </c>
      <c r="G488" s="16">
        <f>'WetLitterbags placem_collection'!E195</f>
        <v>42769</v>
      </c>
      <c r="H488" s="92" t="str">
        <f>'Final data_for_R_analysis_Wetse'!J634</f>
        <v>G584</v>
      </c>
      <c r="I488" t="str">
        <f>'Final data_for_R_analysis_Wetse'!J854</f>
        <v>R364</v>
      </c>
      <c r="J488">
        <f>IFERROR(INDEX('Green_rooibos initial weight'!$C$5:$C$1749,MATCH(H488, 'Green_rooibos initial weight'!$A$5:$A$1749,0)),"")</f>
        <v>2.1960000000000002</v>
      </c>
      <c r="K488">
        <f>IFERROR(INDEX('Green_rooibos initial weight'!$C$5:$C$1749,MATCH(I488, 'Green_rooibos initial weight'!$A$5:$A$1749,0)),"")</f>
        <v>2.234</v>
      </c>
      <c r="L488" s="195">
        <f t="shared" si="56"/>
        <v>1.9462000000000002</v>
      </c>
      <c r="M488" s="195">
        <f>AVERAGE(Ashed_controlls!$K$2:$K$11)</f>
        <v>5.5147656768714146</v>
      </c>
      <c r="N488" s="195">
        <f t="shared" si="54"/>
        <v>1.9842</v>
      </c>
      <c r="O488" s="16">
        <f>IF('WetLitterbags placem_collection'!G195="N.A","",'WetLitterbags placem_collection'!G195)</f>
        <v>42813</v>
      </c>
      <c r="P488" s="195">
        <f>IF(IFERROR(INDEX('Both teabags AfterWet'!$C$3:$C$841,MATCH(H488,'Both teabags AfterWet'!$A$3:$A$841,0)),"")="N.A","",(IFERROR(INDEX('Both teabags AfterWet'!$C$3:$C$841,MATCH(H488,'Both teabags AfterWet'!$A$3:$A$841,0)),"")))</f>
        <v>0.63959999999999995</v>
      </c>
      <c r="Q488" s="195">
        <f>IFERROR(INDEX('Both teabags AfterWet'!$C$3:$C$841,MATCH(I488,'Both teabags AfterWet'!$A$3:$A$841,0)),"")</f>
        <v>1.3913</v>
      </c>
      <c r="R488" s="195">
        <f t="shared" si="57"/>
        <v>0.48899999999999993</v>
      </c>
      <c r="S488" s="195">
        <f t="shared" si="57"/>
        <v>1.2406999999999999</v>
      </c>
      <c r="T488" s="195">
        <f t="shared" si="58"/>
        <v>0.74874113657383623</v>
      </c>
      <c r="U488" s="195">
        <f t="shared" si="59"/>
        <v>0.49086117267073354</v>
      </c>
      <c r="V488" s="195">
        <f t="shared" si="60"/>
        <v>0.62528978933575241</v>
      </c>
      <c r="W488">
        <f t="shared" si="55"/>
        <v>44</v>
      </c>
      <c r="X488" s="195">
        <f t="shared" si="61"/>
        <v>0.11075874516171469</v>
      </c>
      <c r="Y488" s="195">
        <f t="shared" si="62"/>
        <v>3.2756150048454766E-2</v>
      </c>
      <c r="Z488" s="255" t="str">
        <f>IF(ISNUMBER(SEARCH("C",'WetLitterbags placem_collection'!W415)),"YES","NO")</f>
        <v>NO</v>
      </c>
      <c r="AA488" s="255" t="str">
        <f>IF(ISNUMBER(SEARCH("H", 'WetLitterbags placem_collection'!Y195)),"YES","NO")</f>
        <v>NO</v>
      </c>
      <c r="AB488" s="255" t="str">
        <f>IF(ISNUMBER(SEARCH("R", 'WetLitterbags placem_collection'!WY195)),"YES","NO")</f>
        <v>NO</v>
      </c>
      <c r="AC488" s="255" t="str">
        <f>IF(ISNUMBER(SEARCH("C", 'WetLitterbags placem_collection'!VX195)),"YES","NO")</f>
        <v>NO</v>
      </c>
      <c r="AD488" s="255" t="str">
        <f>IF(ISNUMBER(SEARCH("H", 'WetLitterbags placem_collection'!X195)),"YES","NO")</f>
        <v>NO</v>
      </c>
      <c r="AE488" s="255" t="str">
        <f>IF(ISNUMBER(SEARCH("R", 'WetLitterbags placem_collection'!X195)),"YES","NO")</f>
        <v>YES</v>
      </c>
    </row>
    <row r="489" spans="2:31">
      <c r="B489" t="str">
        <f>'Final data_for_R_analysis_Wetse'!A635</f>
        <v>Wet</v>
      </c>
      <c r="C489" s="263">
        <f>'Final data_for_R_analysis_Wetse'!B635</f>
        <v>194</v>
      </c>
      <c r="D489" t="s">
        <v>2438</v>
      </c>
      <c r="E489" t="s">
        <v>25</v>
      </c>
      <c r="F489" s="387">
        <v>2</v>
      </c>
      <c r="G489" s="16">
        <f>'WetLitterbags placem_collection'!E196</f>
        <v>42769</v>
      </c>
      <c r="H489" s="92" t="str">
        <f>'Final data_for_R_analysis_Wetse'!J635</f>
        <v>G713</v>
      </c>
      <c r="I489" t="str">
        <f>'Final data_for_R_analysis_Wetse'!J855</f>
        <v>R167</v>
      </c>
      <c r="J489">
        <f>IFERROR(INDEX('Green_rooibos initial weight'!$C$5:$C$1749,MATCH(H489, 'Green_rooibos initial weight'!$A$5:$A$1749,0)),"")</f>
        <v>2.1779999999999999</v>
      </c>
      <c r="K489">
        <f>IFERROR(INDEX('Green_rooibos initial weight'!$C$5:$C$1749,MATCH(I489, 'Green_rooibos initial weight'!$A$5:$A$1749,0)),"")</f>
        <v>2.177</v>
      </c>
      <c r="L489" s="195">
        <f t="shared" si="56"/>
        <v>1.9281999999999999</v>
      </c>
      <c r="M489" s="195">
        <f>AVERAGE(Ashed_controlls!$K$2:$K$11)</f>
        <v>5.5147656768714146</v>
      </c>
      <c r="N489" s="195">
        <f t="shared" si="54"/>
        <v>1.9272</v>
      </c>
      <c r="O489" s="16">
        <f>IF('WetLitterbags placem_collection'!G196="N.A","",'WetLitterbags placem_collection'!G196)</f>
        <v>42813</v>
      </c>
      <c r="P489" s="195">
        <f>IF(IFERROR(INDEX('Both teabags AfterWet'!$C$3:$C$841,MATCH(H489,'Both teabags AfterWet'!$A$3:$A$841,0)),"")="N.A","",(IFERROR(INDEX('Both teabags AfterWet'!$C$3:$C$841,MATCH(H489,'Both teabags AfterWet'!$A$3:$A$841,0)),"")))</f>
        <v>0.63500000000000001</v>
      </c>
      <c r="Q489" s="195">
        <f>IFERROR(INDEX('Both teabags AfterWet'!$C$3:$C$841,MATCH(I489,'Both teabags AfterWet'!$A$3:$A$841,0)),"")</f>
        <v>1.4750000000000001</v>
      </c>
      <c r="R489" s="195">
        <f t="shared" si="57"/>
        <v>0.4844</v>
      </c>
      <c r="S489" s="195">
        <f t="shared" si="57"/>
        <v>1.3244</v>
      </c>
      <c r="T489" s="195">
        <f t="shared" si="58"/>
        <v>0.748781246758635</v>
      </c>
      <c r="U489" s="195">
        <f t="shared" si="59"/>
        <v>0.49088746818380824</v>
      </c>
      <c r="V489" s="195">
        <f t="shared" si="60"/>
        <v>0.68721461187214616</v>
      </c>
      <c r="W489">
        <f t="shared" si="55"/>
        <v>44</v>
      </c>
      <c r="X489" s="195">
        <f t="shared" si="61"/>
        <v>0.11071110836266629</v>
      </c>
      <c r="Y489" s="195">
        <f t="shared" si="62"/>
        <v>2.304222825268137E-2</v>
      </c>
      <c r="Z489" s="255" t="str">
        <f>IF(ISNUMBER(SEARCH("C",'WetLitterbags placem_collection'!W416)),"YES","NO")</f>
        <v>NO</v>
      </c>
      <c r="AA489" s="255" t="str">
        <f>IF(ISNUMBER(SEARCH("H", 'WetLitterbags placem_collection'!Y196)),"YES","NO")</f>
        <v>NO</v>
      </c>
      <c r="AB489" s="255" t="str">
        <f>IF(ISNUMBER(SEARCH("R", 'WetLitterbags placem_collection'!WY196)),"YES","NO")</f>
        <v>NO</v>
      </c>
      <c r="AC489" s="255" t="str">
        <f>IF(ISNUMBER(SEARCH("C", 'WetLitterbags placem_collection'!VX196)),"YES","NO")</f>
        <v>NO</v>
      </c>
      <c r="AD489" s="255" t="str">
        <f>IF(ISNUMBER(SEARCH("H", 'WetLitterbags placem_collection'!X196)),"YES","NO")</f>
        <v>NO</v>
      </c>
      <c r="AE489" s="255" t="str">
        <f>IF(ISNUMBER(SEARCH("R", 'WetLitterbags placem_collection'!X196)),"YES","NO")</f>
        <v>YES</v>
      </c>
    </row>
    <row r="490" spans="2:31">
      <c r="B490" t="str">
        <f>'Final data_for_R_analysis_Wetse'!A636</f>
        <v>Wet</v>
      </c>
      <c r="C490" s="263">
        <f>'Final data_for_R_analysis_Wetse'!B636</f>
        <v>195</v>
      </c>
      <c r="D490" t="s">
        <v>2430</v>
      </c>
      <c r="E490" t="s">
        <v>25</v>
      </c>
      <c r="F490" s="387">
        <v>3</v>
      </c>
      <c r="G490" s="16">
        <f>'WetLitterbags placem_collection'!E197</f>
        <v>42769</v>
      </c>
      <c r="H490" s="92" t="str">
        <f>'Final data_for_R_analysis_Wetse'!J636</f>
        <v>G525</v>
      </c>
      <c r="I490" t="str">
        <f>'Final data_for_R_analysis_Wetse'!J856</f>
        <v>R25</v>
      </c>
      <c r="J490">
        <f>IFERROR(INDEX('Green_rooibos initial weight'!$C$5:$C$1749,MATCH(H490, 'Green_rooibos initial weight'!$A$5:$A$1749,0)),"")</f>
        <v>2.0790000000000002</v>
      </c>
      <c r="K490">
        <f>IFERROR(INDEX('Green_rooibos initial weight'!$C$5:$C$1749,MATCH(I490, 'Green_rooibos initial weight'!$A$5:$A$1749,0)),"")</f>
        <v>2.16</v>
      </c>
      <c r="L490" s="195">
        <f t="shared" si="56"/>
        <v>1.8292000000000002</v>
      </c>
      <c r="M490" s="195">
        <f>AVERAGE(Ashed_controlls!$K$2:$K$11)</f>
        <v>5.5147656768714146</v>
      </c>
      <c r="N490" s="195">
        <f t="shared" si="54"/>
        <v>1.9102000000000001</v>
      </c>
      <c r="O490" s="16">
        <f>IF('WetLitterbags placem_collection'!G197="N.A","",'WetLitterbags placem_collection'!G197)</f>
        <v>42814</v>
      </c>
      <c r="P490" s="195">
        <f>IF(IFERROR(INDEX('Both teabags AfterWet'!$C$3:$C$841,MATCH(H490,'Both teabags AfterWet'!$A$3:$A$841,0)),"")="N.A","",(IFERROR(INDEX('Both teabags AfterWet'!$C$3:$C$841,MATCH(H490,'Both teabags AfterWet'!$A$3:$A$841,0)),"")))</f>
        <v>0.67859999999999998</v>
      </c>
      <c r="Q490" s="195">
        <f>IFERROR(INDEX('Both teabags AfterWet'!$C$3:$C$841,MATCH(I490,'Both teabags AfterWet'!$A$3:$A$841,0)),"")</f>
        <v>1.3527</v>
      </c>
      <c r="R490" s="195">
        <f t="shared" si="57"/>
        <v>0.52800000000000002</v>
      </c>
      <c r="S490" s="195">
        <f t="shared" si="57"/>
        <v>1.2020999999999999</v>
      </c>
      <c r="T490" s="195">
        <f t="shared" si="58"/>
        <v>0.71134922370435172</v>
      </c>
      <c r="U490" s="195">
        <f t="shared" si="59"/>
        <v>0.46634770960190286</v>
      </c>
      <c r="V490" s="195">
        <f t="shared" si="60"/>
        <v>0.62930583185006794</v>
      </c>
      <c r="W490">
        <f t="shared" si="55"/>
        <v>45</v>
      </c>
      <c r="X490" s="195">
        <f t="shared" si="61"/>
        <v>0.1551671927501761</v>
      </c>
      <c r="Y490" s="195">
        <f t="shared" si="62"/>
        <v>3.5204417633761538E-2</v>
      </c>
      <c r="Z490" s="255" t="str">
        <f>IF(ISNUMBER(SEARCH("C",'WetLitterbags placem_collection'!W417)),"YES","NO")</f>
        <v>NO</v>
      </c>
      <c r="AA490" s="255" t="str">
        <f>IF(ISNUMBER(SEARCH("H", 'WetLitterbags placem_collection'!Y197)),"YES","NO")</f>
        <v>NO</v>
      </c>
      <c r="AB490" s="255" t="str">
        <f>IF(ISNUMBER(SEARCH("R", 'WetLitterbags placem_collection'!WY197)),"YES","NO")</f>
        <v>NO</v>
      </c>
      <c r="AC490" s="255" t="str">
        <f>IF(ISNUMBER(SEARCH("C", 'WetLitterbags placem_collection'!VX197)),"YES","NO")</f>
        <v>NO</v>
      </c>
      <c r="AD490" s="255" t="str">
        <f>IF(ISNUMBER(SEARCH("H", 'WetLitterbags placem_collection'!X197)),"YES","NO")</f>
        <v>NO</v>
      </c>
      <c r="AE490" s="255" t="str">
        <f>IF(ISNUMBER(SEARCH("R", 'WetLitterbags placem_collection'!X197)),"YES","NO")</f>
        <v>YES</v>
      </c>
    </row>
    <row r="491" spans="2:31">
      <c r="B491" t="str">
        <f>'Final data_for_R_analysis_Wetse'!A637</f>
        <v>Wet</v>
      </c>
      <c r="C491" s="263">
        <f>'Final data_for_R_analysis_Wetse'!B637</f>
        <v>196</v>
      </c>
      <c r="D491" t="s">
        <v>2421</v>
      </c>
      <c r="E491" t="s">
        <v>25</v>
      </c>
      <c r="F491" s="387">
        <v>4</v>
      </c>
      <c r="G491" s="16">
        <f>'WetLitterbags placem_collection'!E198</f>
        <v>42769</v>
      </c>
      <c r="H491" s="92" t="str">
        <f>'Final data_for_R_analysis_Wetse'!J637</f>
        <v>G886</v>
      </c>
      <c r="I491" t="str">
        <f>'Final data_for_R_analysis_Wetse'!J857</f>
        <v>R362</v>
      </c>
      <c r="J491">
        <f>IFERROR(INDEX('Green_rooibos initial weight'!$C$5:$C$1749,MATCH(H491, 'Green_rooibos initial weight'!$A$5:$A$1749,0)),"")</f>
        <v>1.9590000000000001</v>
      </c>
      <c r="K491">
        <f>IFERROR(INDEX('Green_rooibos initial weight'!$C$5:$C$1749,MATCH(I491, 'Green_rooibos initial weight'!$A$5:$A$1749,0)),"")</f>
        <v>2.246</v>
      </c>
      <c r="L491" s="195">
        <f t="shared" si="56"/>
        <v>1.7092000000000001</v>
      </c>
      <c r="M491" s="195">
        <f>AVERAGE(Ashed_controlls!$K$2:$K$11)</f>
        <v>5.5147656768714146</v>
      </c>
      <c r="N491" s="195">
        <f t="shared" si="54"/>
        <v>1.9962</v>
      </c>
      <c r="O491" s="16">
        <f>IF('WetLitterbags placem_collection'!G198="N.A","",'WetLitterbags placem_collection'!G198)</f>
        <v>42814</v>
      </c>
      <c r="P491" s="195">
        <f>IF(IFERROR(INDEX('Both teabags AfterWet'!$C$3:$C$841,MATCH(H491,'Both teabags AfterWet'!$A$3:$A$841,0)),"")="N.A","",(IFERROR(INDEX('Both teabags AfterWet'!$C$3:$C$841,MATCH(H491,'Both teabags AfterWet'!$A$3:$A$841,0)),"")))</f>
        <v>0.58389999999999997</v>
      </c>
      <c r="Q491" s="195">
        <f>IFERROR(INDEX('Both teabags AfterWet'!$C$3:$C$841,MATCH(I491,'Both teabags AfterWet'!$A$3:$A$841,0)),"")</f>
        <v>1.5253000000000001</v>
      </c>
      <c r="R491" s="195">
        <f t="shared" si="57"/>
        <v>0.43329999999999996</v>
      </c>
      <c r="S491" s="195">
        <f t="shared" si="57"/>
        <v>1.3747</v>
      </c>
      <c r="T491" s="195">
        <f t="shared" si="58"/>
        <v>0.74648958577112101</v>
      </c>
      <c r="U491" s="195">
        <f t="shared" si="59"/>
        <v>0.48938509661004614</v>
      </c>
      <c r="V491" s="195">
        <f t="shared" si="60"/>
        <v>0.68865845105700829</v>
      </c>
      <c r="W491">
        <f t="shared" si="55"/>
        <v>45</v>
      </c>
      <c r="X491" s="195">
        <f t="shared" si="61"/>
        <v>0.1134327959962933</v>
      </c>
      <c r="Y491" s="195">
        <f t="shared" si="62"/>
        <v>2.2469367288658258E-2</v>
      </c>
      <c r="Z491" s="255" t="str">
        <f>IF(ISNUMBER(SEARCH("C",'WetLitterbags placem_collection'!W418)),"YES","NO")</f>
        <v>NO</v>
      </c>
      <c r="AA491" s="255" t="str">
        <f>IF(ISNUMBER(SEARCH("H", 'WetLitterbags placem_collection'!Y198)),"YES","NO")</f>
        <v>NO</v>
      </c>
      <c r="AB491" s="255" t="str">
        <f>IF(ISNUMBER(SEARCH("R", 'WetLitterbags placem_collection'!WY198)),"YES","NO")</f>
        <v>NO</v>
      </c>
      <c r="AC491" s="255" t="str">
        <f>IF(ISNUMBER(SEARCH("C", 'WetLitterbags placem_collection'!VX198)),"YES","NO")</f>
        <v>NO</v>
      </c>
      <c r="AD491" s="255" t="str">
        <f>IF(ISNUMBER(SEARCH("H", 'WetLitterbags placem_collection'!X198)),"YES","NO")</f>
        <v>NO</v>
      </c>
      <c r="AE491" s="255" t="str">
        <f>IF(ISNUMBER(SEARCH("R", 'WetLitterbags placem_collection'!X198)),"YES","NO")</f>
        <v>NO</v>
      </c>
    </row>
    <row r="492" spans="2:31">
      <c r="B492" t="str">
        <f>'Final data_for_R_analysis_Wetse'!A638</f>
        <v>Wet</v>
      </c>
      <c r="C492" s="263">
        <f>'Final data_for_R_analysis_Wetse'!B638</f>
        <v>197</v>
      </c>
      <c r="D492" t="s">
        <v>2431</v>
      </c>
      <c r="E492" t="s">
        <v>25</v>
      </c>
      <c r="F492" s="387">
        <v>1</v>
      </c>
      <c r="G492" s="16">
        <f>'WetLitterbags placem_collection'!E199</f>
        <v>42769</v>
      </c>
      <c r="H492" s="92" t="str">
        <f>'Final data_for_R_analysis_Wetse'!J638</f>
        <v>G388</v>
      </c>
      <c r="I492" t="str">
        <f>'Final data_for_R_analysis_Wetse'!J858</f>
        <v>R370</v>
      </c>
      <c r="J492">
        <f>IFERROR(INDEX('Green_rooibos initial weight'!$C$5:$C$1749,MATCH(H492, 'Green_rooibos initial weight'!$A$5:$A$1749,0)),"")</f>
        <v>2.024</v>
      </c>
      <c r="K492">
        <f>IFERROR(INDEX('Green_rooibos initial weight'!$C$5:$C$1749,MATCH(I492, 'Green_rooibos initial weight'!$A$5:$A$1749,0)),"")</f>
        <v>2.2290000000000001</v>
      </c>
      <c r="L492" s="195">
        <f t="shared" si="56"/>
        <v>1.7742</v>
      </c>
      <c r="M492" s="195">
        <f>AVERAGE(Ashed_controlls!$K$2:$K$11)</f>
        <v>5.5147656768714146</v>
      </c>
      <c r="N492" s="195">
        <f t="shared" si="54"/>
        <v>1.9792000000000001</v>
      </c>
      <c r="O492" s="16">
        <f>IF('WetLitterbags placem_collection'!G199="N.A","",'WetLitterbags placem_collection'!G199)</f>
        <v>42814</v>
      </c>
      <c r="P492" s="195">
        <f>IF(IFERROR(INDEX('Both teabags AfterWet'!$C$3:$C$841,MATCH(H492,'Both teabags AfterWet'!$A$3:$A$841,0)),"")="N.A","",(IFERROR(INDEX('Both teabags AfterWet'!$C$3:$C$841,MATCH(H492,'Both teabags AfterWet'!$A$3:$A$841,0)),"")))</f>
        <v>0.7046</v>
      </c>
      <c r="Q492" s="195">
        <f>IFERROR(INDEX('Both teabags AfterWet'!$C$3:$C$841,MATCH(I492,'Both teabags AfterWet'!$A$3:$A$841,0)),"")</f>
        <v>1.488</v>
      </c>
      <c r="R492" s="195">
        <f t="shared" si="57"/>
        <v>0.55400000000000005</v>
      </c>
      <c r="S492" s="195">
        <f t="shared" si="57"/>
        <v>1.3373999999999999</v>
      </c>
      <c r="T492" s="195">
        <f t="shared" si="58"/>
        <v>0.68774659001239991</v>
      </c>
      <c r="U492" s="195">
        <f t="shared" si="59"/>
        <v>0.45087424903425749</v>
      </c>
      <c r="V492" s="195">
        <f t="shared" si="60"/>
        <v>0.67572756669361356</v>
      </c>
      <c r="W492">
        <f t="shared" si="55"/>
        <v>45</v>
      </c>
      <c r="X492" s="195">
        <f t="shared" si="61"/>
        <v>0.18319882421330169</v>
      </c>
      <c r="Y492" s="195">
        <f t="shared" si="62"/>
        <v>2.8225369373303947E-2</v>
      </c>
      <c r="Z492" s="255" t="str">
        <f>IF(ISNUMBER(SEARCH("C",'WetLitterbags placem_collection'!W419)),"YES","NO")</f>
        <v>NO</v>
      </c>
      <c r="AA492" s="255" t="str">
        <f>IF(ISNUMBER(SEARCH("H", 'WetLitterbags placem_collection'!Y199)),"YES","NO")</f>
        <v>NO</v>
      </c>
      <c r="AB492" s="255" t="str">
        <f>IF(ISNUMBER(SEARCH("R", 'WetLitterbags placem_collection'!WY199)),"YES","NO")</f>
        <v>NO</v>
      </c>
      <c r="AC492" s="255" t="str">
        <f>IF(ISNUMBER(SEARCH("C", 'WetLitterbags placem_collection'!VX199)),"YES","NO")</f>
        <v>NO</v>
      </c>
      <c r="AD492" s="255" t="str">
        <f>IF(ISNUMBER(SEARCH("H", 'WetLitterbags placem_collection'!X199)),"YES","NO")</f>
        <v>NO</v>
      </c>
      <c r="AE492" s="255" t="str">
        <f>IF(ISNUMBER(SEARCH("R", 'WetLitterbags placem_collection'!X199)),"YES","NO")</f>
        <v>YES</v>
      </c>
    </row>
    <row r="493" spans="2:31">
      <c r="B493" t="str">
        <f>'Final data_for_R_analysis_Wetse'!A639</f>
        <v>Wet</v>
      </c>
      <c r="C493" s="263">
        <f>'Final data_for_R_analysis_Wetse'!B639</f>
        <v>198</v>
      </c>
      <c r="D493" t="s">
        <v>2439</v>
      </c>
      <c r="E493" t="s">
        <v>25</v>
      </c>
      <c r="F493" s="387">
        <v>2</v>
      </c>
      <c r="G493" s="16">
        <f>'WetLitterbags placem_collection'!E200</f>
        <v>42769</v>
      </c>
      <c r="H493" s="92" t="str">
        <f>'Final data_for_R_analysis_Wetse'!J639</f>
        <v>G462</v>
      </c>
      <c r="I493" t="str">
        <f>'Final data_for_R_analysis_Wetse'!J859</f>
        <v>R168</v>
      </c>
      <c r="J493">
        <f>IFERROR(INDEX('Green_rooibos initial weight'!$C$5:$C$1749,MATCH(H493, 'Green_rooibos initial weight'!$A$5:$A$1749,0)),"")</f>
        <v>2.169</v>
      </c>
      <c r="K493">
        <f>IFERROR(INDEX('Green_rooibos initial weight'!$C$5:$C$1749,MATCH(I493, 'Green_rooibos initial weight'!$A$5:$A$1749,0)),"")</f>
        <v>2.1459999999999999</v>
      </c>
      <c r="L493" s="195">
        <f t="shared" si="56"/>
        <v>1.9192</v>
      </c>
      <c r="M493" s="195">
        <f>AVERAGE(Ashed_controlls!$K$2:$K$11)</f>
        <v>5.5147656768714146</v>
      </c>
      <c r="N493" s="195">
        <f t="shared" si="54"/>
        <v>1.8961999999999999</v>
      </c>
      <c r="O493" s="16">
        <f>IF('WetLitterbags placem_collection'!G200="N.A","",'WetLitterbags placem_collection'!G200)</f>
        <v>42813</v>
      </c>
      <c r="P493" s="195">
        <f>IF(IFERROR(INDEX('Both teabags AfterWet'!$C$3:$C$841,MATCH(H493,'Both teabags AfterWet'!$A$3:$A$841,0)),"")="N.A","",(IFERROR(INDEX('Both teabags AfterWet'!$C$3:$C$841,MATCH(H493,'Both teabags AfterWet'!$A$3:$A$841,0)),"")))</f>
        <v>0.71250000000000002</v>
      </c>
      <c r="Q493" s="195">
        <f>IFERROR(INDEX('Both teabags AfterWet'!$C$3:$C$841,MATCH(I493,'Both teabags AfterWet'!$A$3:$A$841,0)),"")</f>
        <v>1.5734999999999999</v>
      </c>
      <c r="R493" s="195">
        <f t="shared" si="57"/>
        <v>0.56190000000000007</v>
      </c>
      <c r="S493" s="195">
        <f t="shared" si="57"/>
        <v>1.4228999999999998</v>
      </c>
      <c r="T493" s="195">
        <f t="shared" si="58"/>
        <v>0.7072217590662776</v>
      </c>
      <c r="U493" s="195">
        <f t="shared" si="59"/>
        <v>0.46364181829523193</v>
      </c>
      <c r="V493" s="195">
        <f t="shared" si="60"/>
        <v>0.75039552789790098</v>
      </c>
      <c r="W493">
        <f t="shared" si="55"/>
        <v>44</v>
      </c>
      <c r="X493" s="195">
        <f t="shared" si="61"/>
        <v>0.16006916975501473</v>
      </c>
      <c r="Y493" s="195">
        <f t="shared" si="62"/>
        <v>1.7567313547233277E-2</v>
      </c>
      <c r="Z493" s="255" t="str">
        <f>IF(ISNUMBER(SEARCH("C",'WetLitterbags placem_collection'!W420)),"YES","NO")</f>
        <v>NO</v>
      </c>
      <c r="AA493" s="255" t="str">
        <f>IF(ISNUMBER(SEARCH("H", 'WetLitterbags placem_collection'!Y200)),"YES","NO")</f>
        <v>NO</v>
      </c>
      <c r="AB493" s="255" t="str">
        <f>IF(ISNUMBER(SEARCH("R", 'WetLitterbags placem_collection'!WY200)),"YES","NO")</f>
        <v>NO</v>
      </c>
      <c r="AC493" s="255" t="str">
        <f>IF(ISNUMBER(SEARCH("C", 'WetLitterbags placem_collection'!VX200)),"YES","NO")</f>
        <v>NO</v>
      </c>
      <c r="AD493" s="255" t="str">
        <f>IF(ISNUMBER(SEARCH("H", 'WetLitterbags placem_collection'!X200)),"YES","NO")</f>
        <v>NO</v>
      </c>
      <c r="AE493" s="255" t="str">
        <f>IF(ISNUMBER(SEARCH("R", 'WetLitterbags placem_collection'!X200)),"YES","NO")</f>
        <v>YES</v>
      </c>
    </row>
    <row r="494" spans="2:31">
      <c r="B494" t="str">
        <f>'Final data_for_R_analysis_Wetse'!A640</f>
        <v>Wet</v>
      </c>
      <c r="C494" s="263">
        <f>'Final data_for_R_analysis_Wetse'!B640</f>
        <v>199</v>
      </c>
      <c r="D494" t="s">
        <v>2423</v>
      </c>
      <c r="E494" t="s">
        <v>25</v>
      </c>
      <c r="F494" s="387">
        <v>3</v>
      </c>
      <c r="G494" s="16">
        <f>'WetLitterbags placem_collection'!E201</f>
        <v>42769</v>
      </c>
      <c r="H494" s="92" t="str">
        <f>'Final data_for_R_analysis_Wetse'!J640</f>
        <v>G712</v>
      </c>
      <c r="I494" t="str">
        <f>'Final data_for_R_analysis_Wetse'!J860</f>
        <v>R369</v>
      </c>
      <c r="J494">
        <f>IFERROR(INDEX('Green_rooibos initial weight'!$C$5:$C$1749,MATCH(H494, 'Green_rooibos initial weight'!$A$5:$A$1749,0)),"")</f>
        <v>2.0630000000000002</v>
      </c>
      <c r="K494">
        <f>IFERROR(INDEX('Green_rooibos initial weight'!$C$5:$C$1749,MATCH(I494, 'Green_rooibos initial weight'!$A$5:$A$1749,0)),"")</f>
        <v>2.2400000000000002</v>
      </c>
      <c r="L494" s="195">
        <f t="shared" si="56"/>
        <v>1.8132000000000001</v>
      </c>
      <c r="M494" s="195">
        <f>AVERAGE(Ashed_controlls!$K$2:$K$11)</f>
        <v>5.5147656768714146</v>
      </c>
      <c r="N494" s="195">
        <f t="shared" si="54"/>
        <v>1.9902000000000002</v>
      </c>
      <c r="O494" s="16">
        <f>IF('WetLitterbags placem_collection'!G201="N.A","",'WetLitterbags placem_collection'!G201)</f>
        <v>42814</v>
      </c>
      <c r="P494" s="195">
        <f>IF(IFERROR(INDEX('Both teabags AfterWet'!$C$3:$C$841,MATCH(H494,'Both teabags AfterWet'!$A$3:$A$841,0)),"")="N.A","",(IFERROR(INDEX('Both teabags AfterWet'!$C$3:$C$841,MATCH(H494,'Both teabags AfterWet'!$A$3:$A$841,0)),"")))</f>
        <v>0.65500000000000003</v>
      </c>
      <c r="Q494" s="195" t="str">
        <f>IFERROR(INDEX('Both teabags AfterWet'!$C$3:$C$841,MATCH(I494,'Both teabags AfterWet'!$A$3:$A$841,0)),"")</f>
        <v/>
      </c>
      <c r="R494" s="195">
        <f t="shared" si="57"/>
        <v>0.50439999999999996</v>
      </c>
      <c r="S494" s="195" t="str">
        <f t="shared" si="57"/>
        <v/>
      </c>
      <c r="T494" s="195">
        <f t="shared" si="58"/>
        <v>0.72181778071917058</v>
      </c>
      <c r="U494" s="195">
        <f t="shared" si="59"/>
        <v>0.47321070659974135</v>
      </c>
      <c r="V494" s="195" t="str">
        <f t="shared" si="60"/>
        <v/>
      </c>
      <c r="W494">
        <f t="shared" si="55"/>
        <v>45</v>
      </c>
      <c r="X494" s="195">
        <f t="shared" si="61"/>
        <v>0.14273422717438167</v>
      </c>
      <c r="Y494" s="195" t="str">
        <f t="shared" si="62"/>
        <v/>
      </c>
      <c r="Z494" s="255" t="str">
        <f>IF(ISNUMBER(SEARCH("C",'WetLitterbags placem_collection'!W421)),"YES","NO")</f>
        <v>NO</v>
      </c>
      <c r="AA494" s="255" t="str">
        <f>IF(ISNUMBER(SEARCH("H", 'WetLitterbags placem_collection'!Y201)),"YES","NO")</f>
        <v>NO</v>
      </c>
      <c r="AB494" s="255" t="str">
        <f>IF(ISNUMBER(SEARCH("R", 'WetLitterbags placem_collection'!WY201)),"YES","NO")</f>
        <v>NO</v>
      </c>
      <c r="AC494" s="255" t="str">
        <f>IF(ISNUMBER(SEARCH("C", 'WetLitterbags placem_collection'!VX201)),"YES","NO")</f>
        <v>NO</v>
      </c>
      <c r="AD494" s="255" t="str">
        <f>IF(ISNUMBER(SEARCH("H", 'WetLitterbags placem_collection'!X201)),"YES","NO")</f>
        <v>NO</v>
      </c>
      <c r="AE494" s="255" t="str">
        <f>IF(ISNUMBER(SEARCH("R", 'WetLitterbags placem_collection'!X201)),"YES","NO")</f>
        <v>NO</v>
      </c>
    </row>
    <row r="495" spans="2:31">
      <c r="B495" t="str">
        <f>'Final data_for_R_analysis_Wetse'!A641</f>
        <v>Wet</v>
      </c>
      <c r="C495" s="263">
        <f>'Final data_for_R_analysis_Wetse'!B641</f>
        <v>200</v>
      </c>
      <c r="D495" t="s">
        <v>2446</v>
      </c>
      <c r="E495" t="s">
        <v>25</v>
      </c>
      <c r="F495" s="387">
        <v>4</v>
      </c>
      <c r="G495" s="16">
        <f>'WetLitterbags placem_collection'!E202</f>
        <v>42769</v>
      </c>
      <c r="H495" s="92" t="str">
        <f>'Final data_for_R_analysis_Wetse'!J641</f>
        <v>G709</v>
      </c>
      <c r="I495" t="str">
        <f>'Final data_for_R_analysis_Wetse'!J861</f>
        <v>R359</v>
      </c>
      <c r="J495">
        <f>IFERROR(INDEX('Green_rooibos initial weight'!$C$5:$C$1749,MATCH(H495, 'Green_rooibos initial weight'!$A$5:$A$1749,0)),"")</f>
        <v>1.9670000000000001</v>
      </c>
      <c r="K495">
        <f>IFERROR(INDEX('Green_rooibos initial weight'!$C$5:$C$1749,MATCH(I495, 'Green_rooibos initial weight'!$A$5:$A$1749,0)),"")</f>
        <v>2.198</v>
      </c>
      <c r="L495" s="195">
        <f t="shared" si="56"/>
        <v>1.7172000000000001</v>
      </c>
      <c r="M495" s="195">
        <f>AVERAGE(Ashed_controlls!$K$2:$K$11)</f>
        <v>5.5147656768714146</v>
      </c>
      <c r="N495" s="195">
        <f t="shared" si="54"/>
        <v>1.9481999999999999</v>
      </c>
      <c r="O495" s="16">
        <f>IF('WetLitterbags placem_collection'!G202="N.A","",'WetLitterbags placem_collection'!G202)</f>
        <v>42813</v>
      </c>
      <c r="P495" s="195">
        <f>IF(IFERROR(INDEX('Both teabags AfterWet'!$C$3:$C$841,MATCH(H495,'Both teabags AfterWet'!$A$3:$A$841,0)),"")="N.A","",(IFERROR(INDEX('Both teabags AfterWet'!$C$3:$C$841,MATCH(H495,'Both teabags AfterWet'!$A$3:$A$841,0)),"")))</f>
        <v>0.56469999999999998</v>
      </c>
      <c r="Q495" s="195">
        <f>IFERROR(INDEX('Both teabags AfterWet'!$C$3:$C$841,MATCH(I495,'Both teabags AfterWet'!$A$3:$A$841,0)),"")</f>
        <v>1.4882</v>
      </c>
      <c r="R495" s="195">
        <f t="shared" si="57"/>
        <v>0.41409999999999997</v>
      </c>
      <c r="S495" s="195">
        <f t="shared" si="57"/>
        <v>1.3375999999999999</v>
      </c>
      <c r="T495" s="195">
        <f t="shared" si="58"/>
        <v>0.75885161891451203</v>
      </c>
      <c r="U495" s="195">
        <f t="shared" si="59"/>
        <v>0.4974894223762597</v>
      </c>
      <c r="V495" s="195">
        <f t="shared" si="60"/>
        <v>0.68658248639770036</v>
      </c>
      <c r="W495">
        <f t="shared" si="55"/>
        <v>44</v>
      </c>
      <c r="X495" s="195">
        <f t="shared" si="61"/>
        <v>9.8751046419819466E-2</v>
      </c>
      <c r="Y495" s="195">
        <f t="shared" si="62"/>
        <v>2.2596541022727651E-2</v>
      </c>
      <c r="Z495" s="255" t="str">
        <f>IF(ISNUMBER(SEARCH("C",'WetLitterbags placem_collection'!W422)),"YES","NO")</f>
        <v>NO</v>
      </c>
      <c r="AA495" s="255" t="str">
        <f>IF(ISNUMBER(SEARCH("H", 'WetLitterbags placem_collection'!Y202)),"YES","NO")</f>
        <v>NO</v>
      </c>
      <c r="AB495" s="255" t="str">
        <f>IF(ISNUMBER(SEARCH("R", 'WetLitterbags placem_collection'!WY202)),"YES","NO")</f>
        <v>NO</v>
      </c>
      <c r="AC495" s="255" t="str">
        <f>IF(ISNUMBER(SEARCH("C", 'WetLitterbags placem_collection'!VX202)),"YES","NO")</f>
        <v>NO</v>
      </c>
      <c r="AD495" s="255" t="str">
        <f>IF(ISNUMBER(SEARCH("H", 'WetLitterbags placem_collection'!X202)),"YES","NO")</f>
        <v>NO</v>
      </c>
      <c r="AE495" s="255" t="str">
        <f>IF(ISNUMBER(SEARCH("R", 'WetLitterbags placem_collection'!X202)),"YES","NO")</f>
        <v>YES</v>
      </c>
    </row>
    <row r="496" spans="2:31">
      <c r="B496" t="str">
        <f>'Final data_for_R_analysis_Wetse'!A642</f>
        <v>Wet</v>
      </c>
      <c r="C496" s="263">
        <f>'Final data_for_R_analysis_Wetse'!B642</f>
        <v>201</v>
      </c>
      <c r="D496" t="s">
        <v>2447</v>
      </c>
      <c r="E496" t="s">
        <v>25</v>
      </c>
      <c r="F496" s="387">
        <v>1</v>
      </c>
      <c r="G496" s="16">
        <f>'WetLitterbags placem_collection'!E203</f>
        <v>42769</v>
      </c>
      <c r="H496" s="92" t="str">
        <f>'Final data_for_R_analysis_Wetse'!J642</f>
        <v>G707</v>
      </c>
      <c r="I496" t="str">
        <f>'Final data_for_R_analysis_Wetse'!J862</f>
        <v>R395</v>
      </c>
      <c r="J496">
        <f>IFERROR(INDEX('Green_rooibos initial weight'!$C$5:$C$1749,MATCH(H496, 'Green_rooibos initial weight'!$A$5:$A$1749,0)),"")</f>
        <v>2.008</v>
      </c>
      <c r="K496">
        <f>IFERROR(INDEX('Green_rooibos initial weight'!$C$5:$C$1749,MATCH(I496, 'Green_rooibos initial weight'!$A$5:$A$1749,0)),"")</f>
        <v>2.1280000000000001</v>
      </c>
      <c r="L496" s="195">
        <f t="shared" si="56"/>
        <v>1.7582</v>
      </c>
      <c r="M496" s="195">
        <f>AVERAGE(Ashed_controlls!$K$2:$K$11)</f>
        <v>5.5147656768714146</v>
      </c>
      <c r="N496" s="195">
        <f t="shared" si="54"/>
        <v>1.8782000000000001</v>
      </c>
      <c r="O496" s="16">
        <f>IF('WetLitterbags placem_collection'!G203="N.A","",'WetLitterbags placem_collection'!G203)</f>
        <v>42813</v>
      </c>
      <c r="P496" s="195">
        <f>IF(IFERROR(INDEX('Both teabags AfterWet'!$C$3:$C$841,MATCH(H496,'Both teabags AfterWet'!$A$3:$A$841,0)),"")="N.A","",(IFERROR(INDEX('Both teabags AfterWet'!$C$3:$C$841,MATCH(H496,'Both teabags AfterWet'!$A$3:$A$841,0)),"")))</f>
        <v>0.63959999999999995</v>
      </c>
      <c r="Q496" s="195">
        <f>IFERROR(INDEX('Both teabags AfterWet'!$C$3:$C$841,MATCH(I496,'Both teabags AfterWet'!$A$3:$A$841,0)),"")</f>
        <v>1.5786</v>
      </c>
      <c r="R496" s="195">
        <f t="shared" si="57"/>
        <v>0.48899999999999993</v>
      </c>
      <c r="S496" s="195">
        <f t="shared" si="57"/>
        <v>1.4279999999999999</v>
      </c>
      <c r="T496" s="195">
        <f t="shared" si="58"/>
        <v>0.72187464452280747</v>
      </c>
      <c r="U496" s="195">
        <f t="shared" si="59"/>
        <v>0.47324798548288571</v>
      </c>
      <c r="V496" s="195">
        <f t="shared" si="60"/>
        <v>0.76030241720796499</v>
      </c>
      <c r="W496">
        <f t="shared" si="55"/>
        <v>44</v>
      </c>
      <c r="X496" s="195">
        <f t="shared" si="61"/>
        <v>0.14266669296578682</v>
      </c>
      <c r="Y496" s="195">
        <f t="shared" si="62"/>
        <v>1.6050491412394646E-2</v>
      </c>
      <c r="Z496" s="255" t="str">
        <f>IF(ISNUMBER(SEARCH("C",'WetLitterbags placem_collection'!W423)),"YES","NO")</f>
        <v>NO</v>
      </c>
      <c r="AA496" s="255" t="str">
        <f>IF(ISNUMBER(SEARCH("H", 'WetLitterbags placem_collection'!Y203)),"YES","NO")</f>
        <v>NO</v>
      </c>
      <c r="AB496" s="255" t="str">
        <f>IF(ISNUMBER(SEARCH("R", 'WetLitterbags placem_collection'!WY203)),"YES","NO")</f>
        <v>NO</v>
      </c>
      <c r="AC496" s="255" t="str">
        <f>IF(ISNUMBER(SEARCH("C", 'WetLitterbags placem_collection'!VX203)),"YES","NO")</f>
        <v>NO</v>
      </c>
      <c r="AD496" s="255" t="str">
        <f>IF(ISNUMBER(SEARCH("H", 'WetLitterbags placem_collection'!X203)),"YES","NO")</f>
        <v>NO</v>
      </c>
      <c r="AE496" s="255" t="str">
        <f>IF(ISNUMBER(SEARCH("R", 'WetLitterbags placem_collection'!X203)),"YES","NO")</f>
        <v>YES</v>
      </c>
    </row>
    <row r="497" spans="2:31">
      <c r="B497" t="str">
        <f>'Final data_for_R_analysis_Wetse'!A643</f>
        <v>Wet</v>
      </c>
      <c r="C497" s="263">
        <f>'Final data_for_R_analysis_Wetse'!B643</f>
        <v>202</v>
      </c>
      <c r="D497" t="s">
        <v>2424</v>
      </c>
      <c r="E497" t="s">
        <v>25</v>
      </c>
      <c r="F497" s="387">
        <v>2</v>
      </c>
      <c r="G497" s="16">
        <f>'WetLitterbags placem_collection'!E204</f>
        <v>42769</v>
      </c>
      <c r="H497" s="92" t="str">
        <f>'Final data_for_R_analysis_Wetse'!J643</f>
        <v>G770</v>
      </c>
      <c r="I497" t="str">
        <f>'Final data_for_R_analysis_Wetse'!J863</f>
        <v>R182</v>
      </c>
      <c r="J497">
        <f>IFERROR(INDEX('Green_rooibos initial weight'!$C$5:$C$1749,MATCH(H497, 'Green_rooibos initial weight'!$A$5:$A$1749,0)),"")</f>
        <v>1.958</v>
      </c>
      <c r="K497">
        <f>IFERROR(INDEX('Green_rooibos initial weight'!$C$5:$C$1749,MATCH(I497, 'Green_rooibos initial weight'!$A$5:$A$1749,0)),"")</f>
        <v>2.161</v>
      </c>
      <c r="L497" s="195">
        <f t="shared" si="56"/>
        <v>1.7081999999999999</v>
      </c>
      <c r="M497" s="195">
        <f>AVERAGE(Ashed_controlls!$K$2:$K$11)</f>
        <v>5.5147656768714146</v>
      </c>
      <c r="N497" s="195">
        <f t="shared" si="54"/>
        <v>1.9112</v>
      </c>
      <c r="O497" s="16">
        <f>IF('WetLitterbags placem_collection'!G204="N.A","",'WetLitterbags placem_collection'!G204)</f>
        <v>42814</v>
      </c>
      <c r="P497" s="195">
        <f>IF(IFERROR(INDEX('Both teabags AfterWet'!$C$3:$C$841,MATCH(H497,'Both teabags AfterWet'!$A$3:$A$841,0)),"")="N.A","",(IFERROR(INDEX('Both teabags AfterWet'!$C$3:$C$841,MATCH(H497,'Both teabags AfterWet'!$A$3:$A$841,0)),"")))</f>
        <v>0.98199999999999998</v>
      </c>
      <c r="Q497" s="195">
        <f>IFERROR(INDEX('Both teabags AfterWet'!$C$3:$C$841,MATCH(I497,'Both teabags AfterWet'!$A$3:$A$841,0)),"")</f>
        <v>1.679</v>
      </c>
      <c r="R497" s="195">
        <f t="shared" si="57"/>
        <v>0.83139999999999992</v>
      </c>
      <c r="S497" s="195">
        <f t="shared" si="57"/>
        <v>1.5284</v>
      </c>
      <c r="T497" s="195">
        <f t="shared" si="58"/>
        <v>0.51328884205596537</v>
      </c>
      <c r="U497" s="195">
        <f t="shared" si="59"/>
        <v>0.33650289883003914</v>
      </c>
      <c r="V497" s="195">
        <f t="shared" si="60"/>
        <v>0.79970699037254078</v>
      </c>
      <c r="W497">
        <f t="shared" si="55"/>
        <v>45</v>
      </c>
      <c r="X497" s="195">
        <f t="shared" si="61"/>
        <v>0.39039329922094368</v>
      </c>
      <c r="Y497" s="195">
        <f t="shared" si="62"/>
        <v>2.0097994770457112E-2</v>
      </c>
      <c r="Z497" s="255" t="str">
        <f>IF(ISNUMBER(SEARCH("C",'WetLitterbags placem_collection'!W424)),"YES","NO")</f>
        <v>NO</v>
      </c>
      <c r="AA497" s="255" t="str">
        <f>IF(ISNUMBER(SEARCH("H", 'WetLitterbags placem_collection'!Y204)),"YES","NO")</f>
        <v>NO</v>
      </c>
      <c r="AB497" s="255" t="str">
        <f>IF(ISNUMBER(SEARCH("R", 'WetLitterbags placem_collection'!WY204)),"YES","NO")</f>
        <v>NO</v>
      </c>
      <c r="AC497" s="255" t="str">
        <f>IF(ISNUMBER(SEARCH("C", 'WetLitterbags placem_collection'!VX204)),"YES","NO")</f>
        <v>NO</v>
      </c>
      <c r="AD497" s="255" t="str">
        <f>IF(ISNUMBER(SEARCH("H", 'WetLitterbags placem_collection'!X204)),"YES","NO")</f>
        <v>NO</v>
      </c>
      <c r="AE497" s="255" t="str">
        <f>IF(ISNUMBER(SEARCH("R", 'WetLitterbags placem_collection'!X204)),"YES","NO")</f>
        <v>YES</v>
      </c>
    </row>
    <row r="498" spans="2:31">
      <c r="B498" t="str">
        <f>'Final data_for_R_analysis_Wetse'!A644</f>
        <v>Wet</v>
      </c>
      <c r="C498" s="263">
        <f>'Final data_for_R_analysis_Wetse'!B644</f>
        <v>203</v>
      </c>
      <c r="D498" t="s">
        <v>2433</v>
      </c>
      <c r="E498" t="s">
        <v>25</v>
      </c>
      <c r="F498" s="387">
        <v>3</v>
      </c>
      <c r="G498" s="16">
        <f>'WetLitterbags placem_collection'!E205</f>
        <v>42769</v>
      </c>
      <c r="H498" s="92" t="str">
        <f>'Final data_for_R_analysis_Wetse'!J644</f>
        <v>G753</v>
      </c>
      <c r="I498" t="str">
        <f>'Final data_for_R_analysis_Wetse'!J864</f>
        <v>R342</v>
      </c>
      <c r="J498">
        <f>IFERROR(INDEX('Green_rooibos initial weight'!$C$5:$C$1749,MATCH(H498, 'Green_rooibos initial weight'!$A$5:$A$1749,0)),"")</f>
        <v>2.0649999999999999</v>
      </c>
      <c r="K498">
        <f>IFERROR(INDEX('Green_rooibos initial weight'!$C$5:$C$1749,MATCH(I498, 'Green_rooibos initial weight'!$A$5:$A$1749,0)),"")</f>
        <v>2.2450000000000001</v>
      </c>
      <c r="L498" s="195">
        <f t="shared" si="56"/>
        <v>1.8151999999999999</v>
      </c>
      <c r="M498" s="195">
        <f>AVERAGE(Ashed_controlls!$K$2:$K$11)</f>
        <v>5.5147656768714146</v>
      </c>
      <c r="N498" s="195">
        <f t="shared" si="54"/>
        <v>1.9952000000000001</v>
      </c>
      <c r="O498" s="16">
        <f>IF('WetLitterbags placem_collection'!G205="N.A","",'WetLitterbags placem_collection'!G205)</f>
        <v>42814</v>
      </c>
      <c r="P498" s="195">
        <f>IF(IFERROR(INDEX('Both teabags AfterWet'!$C$3:$C$841,MATCH(H498,'Both teabags AfterWet'!$A$3:$A$841,0)),"")="N.A","",(IFERROR(INDEX('Both teabags AfterWet'!$C$3:$C$841,MATCH(H498,'Both teabags AfterWet'!$A$3:$A$841,0)),"")))</f>
        <v>0.7681</v>
      </c>
      <c r="Q498" s="195">
        <f>IFERROR(INDEX('Both teabags AfterWet'!$C$3:$C$841,MATCH(I498,'Both teabags AfterWet'!$A$3:$A$841,0)),"")</f>
        <v>1.5906</v>
      </c>
      <c r="R498" s="195">
        <f t="shared" si="57"/>
        <v>0.61749999999999994</v>
      </c>
      <c r="S498" s="195">
        <f t="shared" si="57"/>
        <v>1.44</v>
      </c>
      <c r="T498" s="195">
        <f t="shared" si="58"/>
        <v>0.65981710004407224</v>
      </c>
      <c r="U498" s="195">
        <f t="shared" si="59"/>
        <v>0.43256417960133958</v>
      </c>
      <c r="V498" s="195">
        <f t="shared" si="60"/>
        <v>0.72173215717722528</v>
      </c>
      <c r="W498">
        <f t="shared" si="55"/>
        <v>45</v>
      </c>
      <c r="X498" s="195">
        <f t="shared" si="61"/>
        <v>0.21636923985264578</v>
      </c>
      <c r="Y498" s="195">
        <f t="shared" si="62"/>
        <v>2.2907904207135611E-2</v>
      </c>
      <c r="Z498" s="255" t="str">
        <f>IF(ISNUMBER(SEARCH("C",'WetLitterbags placem_collection'!W425)),"YES","NO")</f>
        <v>NO</v>
      </c>
      <c r="AA498" s="255" t="str">
        <f>IF(ISNUMBER(SEARCH("H", 'WetLitterbags placem_collection'!Y205)),"YES","NO")</f>
        <v>NO</v>
      </c>
      <c r="AB498" s="255" t="str">
        <f>IF(ISNUMBER(SEARCH("R", 'WetLitterbags placem_collection'!WY205)),"YES","NO")</f>
        <v>NO</v>
      </c>
      <c r="AC498" s="255" t="str">
        <f>IF(ISNUMBER(SEARCH("C", 'WetLitterbags placem_collection'!VX205)),"YES","NO")</f>
        <v>NO</v>
      </c>
      <c r="AD498" s="255" t="str">
        <f>IF(ISNUMBER(SEARCH("H", 'WetLitterbags placem_collection'!X205)),"YES","NO")</f>
        <v>NO</v>
      </c>
      <c r="AE498" s="255" t="str">
        <f>IF(ISNUMBER(SEARCH("R", 'WetLitterbags placem_collection'!X205)),"YES","NO")</f>
        <v>YES</v>
      </c>
    </row>
    <row r="499" spans="2:31">
      <c r="B499" t="str">
        <f>'Final data_for_R_analysis_Wetse'!A645</f>
        <v>Wet</v>
      </c>
      <c r="C499" s="263">
        <f>'Final data_for_R_analysis_Wetse'!B645</f>
        <v>204</v>
      </c>
      <c r="D499" t="s">
        <v>2440</v>
      </c>
      <c r="E499" t="s">
        <v>25</v>
      </c>
      <c r="F499" s="387">
        <v>4</v>
      </c>
      <c r="G499" s="16">
        <f>'WetLitterbags placem_collection'!E206</f>
        <v>42769</v>
      </c>
      <c r="H499" s="92" t="str">
        <f>'Final data_for_R_analysis_Wetse'!J645</f>
        <v>G640</v>
      </c>
      <c r="I499" t="str">
        <f>'Final data_for_R_analysis_Wetse'!J865</f>
        <v>R139</v>
      </c>
      <c r="J499">
        <f>IFERROR(INDEX('Green_rooibos initial weight'!$C$5:$C$1749,MATCH(H499, 'Green_rooibos initial weight'!$A$5:$A$1749,0)),"")</f>
        <v>2.0640000000000001</v>
      </c>
      <c r="K499">
        <f>IFERROR(INDEX('Green_rooibos initial weight'!$C$5:$C$1749,MATCH(I499, 'Green_rooibos initial weight'!$A$5:$A$1749,0)),"")</f>
        <v>2.2829999999999999</v>
      </c>
      <c r="L499" s="195">
        <f t="shared" si="56"/>
        <v>1.8142</v>
      </c>
      <c r="M499" s="195">
        <f>AVERAGE(Ashed_controlls!$K$2:$K$11)</f>
        <v>5.5147656768714146</v>
      </c>
      <c r="N499" s="195">
        <f t="shared" si="54"/>
        <v>2.0331999999999999</v>
      </c>
      <c r="O499" s="16">
        <f>IF('WetLitterbags placem_collection'!G206="N.A","",'WetLitterbags placem_collection'!G206)</f>
        <v>42813</v>
      </c>
      <c r="P499" s="195">
        <f>IF(IFERROR(INDEX('Both teabags AfterWet'!$C$3:$C$841,MATCH(H499,'Both teabags AfterWet'!$A$3:$A$841,0)),"")="N.A","",(IFERROR(INDEX('Both teabags AfterWet'!$C$3:$C$841,MATCH(H499,'Both teabags AfterWet'!$A$3:$A$841,0)),"")))</f>
        <v>0.72450000000000003</v>
      </c>
      <c r="Q499" s="195">
        <f>IFERROR(INDEX('Both teabags AfterWet'!$C$3:$C$841,MATCH(I499,'Both teabags AfterWet'!$A$3:$A$841,0)),"")</f>
        <v>1.6255999999999999</v>
      </c>
      <c r="R499" s="195">
        <f t="shared" si="57"/>
        <v>0.57390000000000008</v>
      </c>
      <c r="S499" s="195">
        <f t="shared" si="57"/>
        <v>1.4749999999999999</v>
      </c>
      <c r="T499" s="195">
        <f t="shared" si="58"/>
        <v>0.68366222026237455</v>
      </c>
      <c r="U499" s="195">
        <f t="shared" si="59"/>
        <v>0.44819660995823135</v>
      </c>
      <c r="V499" s="195">
        <f t="shared" si="60"/>
        <v>0.72545740704308481</v>
      </c>
      <c r="W499">
        <f t="shared" si="55"/>
        <v>44</v>
      </c>
      <c r="X499" s="195">
        <f t="shared" si="61"/>
        <v>0.18804961964088529</v>
      </c>
      <c r="Y499" s="195">
        <f t="shared" si="62"/>
        <v>2.1549251954294885E-2</v>
      </c>
      <c r="Z499" s="255" t="str">
        <f>IF(ISNUMBER(SEARCH("C",'WetLitterbags placem_collection'!W426)),"YES","NO")</f>
        <v>NO</v>
      </c>
      <c r="AA499" s="255" t="str">
        <f>IF(ISNUMBER(SEARCH("H", 'WetLitterbags placem_collection'!Y206)),"YES","NO")</f>
        <v>NO</v>
      </c>
      <c r="AB499" s="255" t="str">
        <f>IF(ISNUMBER(SEARCH("R", 'WetLitterbags placem_collection'!WY206)),"YES","NO")</f>
        <v>NO</v>
      </c>
      <c r="AC499" s="255" t="str">
        <f>IF(ISNUMBER(SEARCH("C", 'WetLitterbags placem_collection'!VX206)),"YES","NO")</f>
        <v>NO</v>
      </c>
      <c r="AD499" s="255" t="str">
        <f>IF(ISNUMBER(SEARCH("H", 'WetLitterbags placem_collection'!X206)),"YES","NO")</f>
        <v>NO</v>
      </c>
      <c r="AE499" s="255" t="str">
        <f>IF(ISNUMBER(SEARCH("R", 'WetLitterbags placem_collection'!X206)),"YES","NO")</f>
        <v>YES</v>
      </c>
    </row>
    <row r="500" spans="2:31">
      <c r="B500" t="str">
        <f>'Final data_for_R_analysis_Wetse'!A646</f>
        <v>Wet</v>
      </c>
      <c r="C500" s="263">
        <f>'Final data_for_R_analysis_Wetse'!B646</f>
        <v>205</v>
      </c>
      <c r="D500" t="s">
        <v>2434</v>
      </c>
      <c r="E500" t="s">
        <v>25</v>
      </c>
      <c r="F500" s="387">
        <v>1</v>
      </c>
      <c r="G500" s="16">
        <f>'WetLitterbags placem_collection'!E207</f>
        <v>42769</v>
      </c>
      <c r="H500" s="92" t="str">
        <f>'Final data_for_R_analysis_Wetse'!J646</f>
        <v>G668</v>
      </c>
      <c r="I500" t="str">
        <f>'Final data_for_R_analysis_Wetse'!J866</f>
        <v>R92</v>
      </c>
      <c r="J500">
        <f>IFERROR(INDEX('Green_rooibos initial weight'!$C$5:$C$1749,MATCH(H500, 'Green_rooibos initial weight'!$A$5:$A$1749,0)),"")</f>
        <v>2.0299999999999998</v>
      </c>
      <c r="K500">
        <f>IFERROR(INDEX('Green_rooibos initial weight'!$C$5:$C$1749,MATCH(I500, 'Green_rooibos initial weight'!$A$5:$A$1749,0)),"")</f>
        <v>2.246</v>
      </c>
      <c r="L500" s="195">
        <f t="shared" si="56"/>
        <v>1.7801999999999998</v>
      </c>
      <c r="M500" s="195">
        <f>AVERAGE(Ashed_controlls!$K$2:$K$11)</f>
        <v>5.5147656768714146</v>
      </c>
      <c r="N500" s="195">
        <f t="shared" si="54"/>
        <v>1.9962</v>
      </c>
      <c r="O500" s="16">
        <f>IF('WetLitterbags placem_collection'!G207="N.A","",'WetLitterbags placem_collection'!G207)</f>
        <v>42814</v>
      </c>
      <c r="P500" s="195">
        <f>IF(IFERROR(INDEX('Both teabags AfterWet'!$C$3:$C$841,MATCH(H500,'Both teabags AfterWet'!$A$3:$A$841,0)),"")="N.A","",(IFERROR(INDEX('Both teabags AfterWet'!$C$3:$C$841,MATCH(H500,'Both teabags AfterWet'!$A$3:$A$841,0)),"")))</f>
        <v>0.71</v>
      </c>
      <c r="Q500" s="195">
        <f>IFERROR(INDEX('Both teabags AfterWet'!$C$3:$C$841,MATCH(I500,'Both teabags AfterWet'!$A$3:$A$841,0)),"")</f>
        <v>1.7204999999999999</v>
      </c>
      <c r="R500" s="195">
        <f t="shared" si="57"/>
        <v>0.5593999999999999</v>
      </c>
      <c r="S500" s="195">
        <f t="shared" si="57"/>
        <v>1.5698999999999999</v>
      </c>
      <c r="T500" s="195">
        <f t="shared" si="58"/>
        <v>0.68576564430962816</v>
      </c>
      <c r="U500" s="195">
        <f t="shared" si="59"/>
        <v>0.44957557679206034</v>
      </c>
      <c r="V500" s="195">
        <f t="shared" si="60"/>
        <v>0.78644424406372104</v>
      </c>
      <c r="W500">
        <f t="shared" si="55"/>
        <v>45</v>
      </c>
      <c r="X500" s="195">
        <f t="shared" si="61"/>
        <v>0.18555149131873139</v>
      </c>
      <c r="Y500" s="195">
        <f t="shared" si="62"/>
        <v>1.431973748547335E-2</v>
      </c>
      <c r="Z500" s="255" t="str">
        <f>IF(ISNUMBER(SEARCH("C",'WetLitterbags placem_collection'!W427)),"YES","NO")</f>
        <v>NO</v>
      </c>
      <c r="AA500" s="255" t="str">
        <f>IF(ISNUMBER(SEARCH("H", 'WetLitterbags placem_collection'!Y207)),"YES","NO")</f>
        <v>NO</v>
      </c>
      <c r="AB500" s="255" t="str">
        <f>IF(ISNUMBER(SEARCH("R", 'WetLitterbags placem_collection'!WY207)),"YES","NO")</f>
        <v>NO</v>
      </c>
      <c r="AC500" s="255" t="str">
        <f>IF(ISNUMBER(SEARCH("C", 'WetLitterbags placem_collection'!VX207)),"YES","NO")</f>
        <v>NO</v>
      </c>
      <c r="AD500" s="255" t="str">
        <f>IF(ISNUMBER(SEARCH("H", 'WetLitterbags placem_collection'!X207)),"YES","NO")</f>
        <v>NO</v>
      </c>
      <c r="AE500" s="255" t="str">
        <f>IF(ISNUMBER(SEARCH("R", 'WetLitterbags placem_collection'!X207)),"YES","NO")</f>
        <v>YES</v>
      </c>
    </row>
    <row r="501" spans="2:31">
      <c r="B501" t="str">
        <f>'Final data_for_R_analysis_Wetse'!A647</f>
        <v>Wet</v>
      </c>
      <c r="C501" s="263">
        <f>'Final data_for_R_analysis_Wetse'!B647</f>
        <v>206</v>
      </c>
      <c r="D501" t="s">
        <v>2425</v>
      </c>
      <c r="E501" t="s">
        <v>25</v>
      </c>
      <c r="F501" s="387">
        <v>2</v>
      </c>
      <c r="G501" s="16">
        <f>'WetLitterbags placem_collection'!E208</f>
        <v>42769</v>
      </c>
      <c r="H501" s="92" t="str">
        <f>'Final data_for_R_analysis_Wetse'!J647</f>
        <v>G891</v>
      </c>
      <c r="I501" t="str">
        <f>'Final data_for_R_analysis_Wetse'!J867</f>
        <v>R328</v>
      </c>
      <c r="J501">
        <f>IFERROR(INDEX('Green_rooibos initial weight'!$C$5:$C$1749,MATCH(H501, 'Green_rooibos initial weight'!$A$5:$A$1749,0)),"")</f>
        <v>2.0169999999999999</v>
      </c>
      <c r="K501">
        <f>IFERROR(INDEX('Green_rooibos initial weight'!$C$5:$C$1749,MATCH(I501, 'Green_rooibos initial weight'!$A$5:$A$1749,0)),"")</f>
        <v>2.2549999999999999</v>
      </c>
      <c r="L501" s="195">
        <f t="shared" si="56"/>
        <v>1.7671999999999999</v>
      </c>
      <c r="M501" s="195">
        <f>AVERAGE(Ashed_controlls!$K$2:$K$11)</f>
        <v>5.5147656768714146</v>
      </c>
      <c r="N501" s="195">
        <f t="shared" si="54"/>
        <v>2.0051999999999999</v>
      </c>
      <c r="O501" s="16">
        <f>IF('WetLitterbags placem_collection'!G208="N.A","",'WetLitterbags placem_collection'!G208)</f>
        <v>42814</v>
      </c>
      <c r="P501" s="195">
        <f>IF(IFERROR(INDEX('Both teabags AfterWet'!$C$3:$C$841,MATCH(H501,'Both teabags AfterWet'!$A$3:$A$841,0)),"")="N.A","",(IFERROR(INDEX('Both teabags AfterWet'!$C$3:$C$841,MATCH(H501,'Both teabags AfterWet'!$A$3:$A$841,0)),"")))</f>
        <v>0.70199999999999996</v>
      </c>
      <c r="Q501" s="195">
        <f>IFERROR(INDEX('Both teabags AfterWet'!$C$3:$C$841,MATCH(I501,'Both teabags AfterWet'!$A$3:$A$841,0)),"")</f>
        <v>1.609</v>
      </c>
      <c r="R501" s="195">
        <f t="shared" si="57"/>
        <v>0.55139999999999989</v>
      </c>
      <c r="S501" s="195">
        <f t="shared" si="57"/>
        <v>1.4583999999999999</v>
      </c>
      <c r="T501" s="195">
        <f t="shared" si="58"/>
        <v>0.6879809868718878</v>
      </c>
      <c r="U501" s="195">
        <f t="shared" si="59"/>
        <v>0.45102791538394549</v>
      </c>
      <c r="V501" s="195">
        <f t="shared" si="60"/>
        <v>0.72730899660881709</v>
      </c>
      <c r="W501">
        <f t="shared" si="55"/>
        <v>45</v>
      </c>
      <c r="X501" s="195">
        <f t="shared" si="61"/>
        <v>0.18292044314502631</v>
      </c>
      <c r="Y501" s="195">
        <f t="shared" si="62"/>
        <v>2.0618993532220718E-2</v>
      </c>
      <c r="Z501" s="255" t="str">
        <f>IF(ISNUMBER(SEARCH("C",'WetLitterbags placem_collection'!W428)),"YES","NO")</f>
        <v>NO</v>
      </c>
      <c r="AA501" s="255" t="str">
        <f>IF(ISNUMBER(SEARCH("H", 'WetLitterbags placem_collection'!Y208)),"YES","NO")</f>
        <v>NO</v>
      </c>
      <c r="AB501" s="255" t="str">
        <f>IF(ISNUMBER(SEARCH("R", 'WetLitterbags placem_collection'!WY208)),"YES","NO")</f>
        <v>NO</v>
      </c>
      <c r="AC501" s="255" t="str">
        <f>IF(ISNUMBER(SEARCH("C", 'WetLitterbags placem_collection'!VX208)),"YES","NO")</f>
        <v>NO</v>
      </c>
      <c r="AD501" s="255" t="str">
        <f>IF(ISNUMBER(SEARCH("H", 'WetLitterbags placem_collection'!X208)),"YES","NO")</f>
        <v>NO</v>
      </c>
      <c r="AE501" s="255" t="str">
        <f>IF(ISNUMBER(SEARCH("R", 'WetLitterbags placem_collection'!X208)),"YES","NO")</f>
        <v>YES</v>
      </c>
    </row>
    <row r="502" spans="2:31">
      <c r="B502" t="str">
        <f>'Final data_for_R_analysis_Wetse'!A648</f>
        <v>Wet</v>
      </c>
      <c r="C502" s="263">
        <f>'Final data_for_R_analysis_Wetse'!B648</f>
        <v>207</v>
      </c>
      <c r="D502" t="s">
        <v>2448</v>
      </c>
      <c r="E502" t="s">
        <v>25</v>
      </c>
      <c r="F502" s="387">
        <v>3</v>
      </c>
      <c r="G502" s="16">
        <f>'WetLitterbags placem_collection'!E209</f>
        <v>42769</v>
      </c>
      <c r="H502" s="92" t="str">
        <f>'Final data_for_R_analysis_Wetse'!J648</f>
        <v>G540</v>
      </c>
      <c r="I502" t="str">
        <f>'Final data_for_R_analysis_Wetse'!J868</f>
        <v>R149</v>
      </c>
      <c r="J502">
        <f>IFERROR(INDEX('Green_rooibos initial weight'!$C$5:$C$1749,MATCH(H502, 'Green_rooibos initial weight'!$A$5:$A$1749,0)),"")</f>
        <v>2.0830000000000002</v>
      </c>
      <c r="K502">
        <f>IFERROR(INDEX('Green_rooibos initial weight'!$C$5:$C$1749,MATCH(I502, 'Green_rooibos initial weight'!$A$5:$A$1749,0)),"")</f>
        <v>2.2400000000000002</v>
      </c>
      <c r="L502" s="195">
        <f t="shared" si="56"/>
        <v>1.8332000000000002</v>
      </c>
      <c r="M502" s="195">
        <f>AVERAGE(Ashed_controlls!$K$2:$K$11)</f>
        <v>5.5147656768714146</v>
      </c>
      <c r="N502" s="195">
        <f t="shared" si="54"/>
        <v>1.9902000000000002</v>
      </c>
      <c r="O502" s="16">
        <f>IF('WetLitterbags placem_collection'!G209="N.A","",'WetLitterbags placem_collection'!G209)</f>
        <v>42813</v>
      </c>
      <c r="P502" s="195">
        <f>IF(IFERROR(INDEX('Both teabags AfterWet'!$C$3:$C$841,MATCH(H502,'Both teabags AfterWet'!$A$3:$A$841,0)),"")="N.A","",(IFERROR(INDEX('Both teabags AfterWet'!$C$3:$C$841,MATCH(H502,'Both teabags AfterWet'!$A$3:$A$841,0)),"")))</f>
        <v>0.73299999999999998</v>
      </c>
      <c r="Q502" s="195">
        <f>IFERROR(INDEX('Both teabags AfterWet'!$C$3:$C$841,MATCH(I502,'Both teabags AfterWet'!$A$3:$A$841,0)),"")</f>
        <v>1.401</v>
      </c>
      <c r="R502" s="195">
        <f t="shared" si="57"/>
        <v>0.58240000000000003</v>
      </c>
      <c r="S502" s="195">
        <f t="shared" si="57"/>
        <v>1.2504</v>
      </c>
      <c r="T502" s="195">
        <f t="shared" si="58"/>
        <v>0.68230416757582368</v>
      </c>
      <c r="U502" s="195">
        <f t="shared" si="59"/>
        <v>0.44730629513284409</v>
      </c>
      <c r="V502" s="195">
        <f t="shared" si="60"/>
        <v>0.62827856496834478</v>
      </c>
      <c r="W502">
        <f t="shared" si="55"/>
        <v>44</v>
      </c>
      <c r="X502" s="195">
        <f t="shared" si="61"/>
        <v>0.1896625088173115</v>
      </c>
      <c r="Y502" s="195">
        <f t="shared" si="62"/>
        <v>4.0408808728347206E-2</v>
      </c>
      <c r="Z502" s="255" t="str">
        <f>IF(ISNUMBER(SEARCH("C",'WetLitterbags placem_collection'!W429)),"YES","NO")</f>
        <v>NO</v>
      </c>
      <c r="AA502" s="255" t="str">
        <f>IF(ISNUMBER(SEARCH("H", 'WetLitterbags placem_collection'!Y209)),"YES","NO")</f>
        <v>NO</v>
      </c>
      <c r="AB502" s="255" t="str">
        <f>IF(ISNUMBER(SEARCH("R", 'WetLitterbags placem_collection'!WY209)),"YES","NO")</f>
        <v>NO</v>
      </c>
      <c r="AC502" s="255" t="str">
        <f>IF(ISNUMBER(SEARCH("C", 'WetLitterbags placem_collection'!VX209)),"YES","NO")</f>
        <v>NO</v>
      </c>
      <c r="AD502" s="255" t="str">
        <f>IF(ISNUMBER(SEARCH("H", 'WetLitterbags placem_collection'!X209)),"YES","NO")</f>
        <v>NO</v>
      </c>
      <c r="AE502" s="255" t="str">
        <f>IF(ISNUMBER(SEARCH("R", 'WetLitterbags placem_collection'!X209)),"YES","NO")</f>
        <v>YES</v>
      </c>
    </row>
    <row r="503" spans="2:31">
      <c r="B503" t="str">
        <f>'Final data_for_R_analysis_Wetse'!A649</f>
        <v>Wet</v>
      </c>
      <c r="C503" s="263">
        <f>'Final data_for_R_analysis_Wetse'!B649</f>
        <v>208</v>
      </c>
      <c r="D503" t="s">
        <v>2441</v>
      </c>
      <c r="E503" t="s">
        <v>25</v>
      </c>
      <c r="F503" s="387">
        <v>4</v>
      </c>
      <c r="G503" s="16">
        <f>'WetLitterbags placem_collection'!E210</f>
        <v>42769</v>
      </c>
      <c r="H503" s="92" t="str">
        <f>'Final data_for_R_analysis_Wetse'!J649</f>
        <v>G508</v>
      </c>
      <c r="I503" t="str">
        <f>'Final data_for_R_analysis_Wetse'!J869</f>
        <v>R449</v>
      </c>
      <c r="J503">
        <f>IFERROR(INDEX('Green_rooibos initial weight'!$C$5:$C$1749,MATCH(H503, 'Green_rooibos initial weight'!$A$5:$A$1749,0)),"")</f>
        <v>1.9910000000000001</v>
      </c>
      <c r="K503">
        <f>IFERROR(INDEX('Green_rooibos initial weight'!$C$5:$C$1749,MATCH(I503, 'Green_rooibos initial weight'!$A$5:$A$1749,0)),"")</f>
        <v>2.2709999999999999</v>
      </c>
      <c r="L503" s="195">
        <f t="shared" si="56"/>
        <v>1.7412000000000001</v>
      </c>
      <c r="M503" s="195">
        <f>AVERAGE(Ashed_controlls!$K$2:$K$11)</f>
        <v>5.5147656768714146</v>
      </c>
      <c r="N503" s="195">
        <f t="shared" si="54"/>
        <v>2.0211999999999999</v>
      </c>
      <c r="O503" s="16">
        <f>IF('WetLitterbags placem_collection'!G210="N.A","",'WetLitterbags placem_collection'!G210)</f>
        <v>42813</v>
      </c>
      <c r="P503" s="195">
        <f>IF(IFERROR(INDEX('Both teabags AfterWet'!$C$3:$C$841,MATCH(H503,'Both teabags AfterWet'!$A$3:$A$841,0)),"")="N.A","",(IFERROR(INDEX('Both teabags AfterWet'!$C$3:$C$841,MATCH(H503,'Both teabags AfterWet'!$A$3:$A$841,0)),"")))</f>
        <v>0.84599999999999997</v>
      </c>
      <c r="Q503" s="195">
        <f>IFERROR(INDEX('Both teabags AfterWet'!$C$3:$C$841,MATCH(I503,'Both teabags AfterWet'!$A$3:$A$841,0)),"")</f>
        <v>1.611</v>
      </c>
      <c r="R503" s="195">
        <f t="shared" si="57"/>
        <v>0.69540000000000002</v>
      </c>
      <c r="S503" s="195">
        <f t="shared" si="57"/>
        <v>1.4603999999999999</v>
      </c>
      <c r="T503" s="195">
        <f t="shared" si="58"/>
        <v>0.60062026188835294</v>
      </c>
      <c r="U503" s="195">
        <f t="shared" si="59"/>
        <v>0.39375580114295827</v>
      </c>
      <c r="V503" s="195">
        <f t="shared" si="60"/>
        <v>0.72254106471403123</v>
      </c>
      <c r="W503">
        <f t="shared" si="55"/>
        <v>44</v>
      </c>
      <c r="X503" s="195">
        <f t="shared" si="61"/>
        <v>0.28667427329174233</v>
      </c>
      <c r="Y503" s="195">
        <f t="shared" si="62"/>
        <v>2.771783665250931E-2</v>
      </c>
      <c r="Z503" s="255" t="str">
        <f>IF(ISNUMBER(SEARCH("C",'WetLitterbags placem_collection'!W430)),"YES","NO")</f>
        <v>NO</v>
      </c>
      <c r="AA503" s="255" t="str">
        <f>IF(ISNUMBER(SEARCH("H", 'WetLitterbags placem_collection'!Y210)),"YES","NO")</f>
        <v>NO</v>
      </c>
      <c r="AB503" s="255" t="str">
        <f>IF(ISNUMBER(SEARCH("R", 'WetLitterbags placem_collection'!WY210)),"YES","NO")</f>
        <v>NO</v>
      </c>
      <c r="AC503" s="255" t="str">
        <f>IF(ISNUMBER(SEARCH("C", 'WetLitterbags placem_collection'!VX210)),"YES","NO")</f>
        <v>NO</v>
      </c>
      <c r="AD503" s="255" t="str">
        <f>IF(ISNUMBER(SEARCH("H", 'WetLitterbags placem_collection'!X210)),"YES","NO")</f>
        <v>NO</v>
      </c>
      <c r="AE503" s="255" t="str">
        <f>IF(ISNUMBER(SEARCH("R", 'WetLitterbags placem_collection'!X210)),"YES","NO")</f>
        <v>YES</v>
      </c>
    </row>
    <row r="504" spans="2:31">
      <c r="B504" t="str">
        <f>'Final data_for_R_analysis_Wetse'!A650</f>
        <v>Wet</v>
      </c>
      <c r="C504" s="263">
        <f>'Final data_for_R_analysis_Wetse'!B650</f>
        <v>209</v>
      </c>
      <c r="D504" t="s">
        <v>2435</v>
      </c>
      <c r="E504" t="s">
        <v>25</v>
      </c>
      <c r="F504" s="387">
        <v>1</v>
      </c>
      <c r="G504" s="16">
        <f>'WetLitterbags placem_collection'!E211</f>
        <v>42769</v>
      </c>
      <c r="H504" s="92" t="str">
        <f>'Final data_for_R_analysis_Wetse'!J650</f>
        <v>G637</v>
      </c>
      <c r="I504" t="str">
        <f>'Final data_for_R_analysis_Wetse'!J870</f>
        <v>R142</v>
      </c>
      <c r="J504">
        <f>IFERROR(INDEX('Green_rooibos initial weight'!$C$5:$C$1749,MATCH(H504, 'Green_rooibos initial weight'!$A$5:$A$1749,0)),"")</f>
        <v>2.1110000000000002</v>
      </c>
      <c r="K504">
        <f>IFERROR(INDEX('Green_rooibos initial weight'!$C$5:$C$1749,MATCH(I504, 'Green_rooibos initial weight'!$A$5:$A$1749,0)),"")</f>
        <v>2.0870000000000002</v>
      </c>
      <c r="L504" s="195">
        <f t="shared" si="56"/>
        <v>1.8612000000000002</v>
      </c>
      <c r="M504" s="195">
        <f>AVERAGE(Ashed_controlls!$K$2:$K$11)</f>
        <v>5.5147656768714146</v>
      </c>
      <c r="N504" s="195">
        <f t="shared" si="54"/>
        <v>1.8372000000000002</v>
      </c>
      <c r="O504" s="16">
        <f>IF('WetLitterbags placem_collection'!G211="N.A","",'WetLitterbags placem_collection'!G211)</f>
        <v>42814</v>
      </c>
      <c r="P504" s="195">
        <f>IF(IFERROR(INDEX('Both teabags AfterWet'!$C$3:$C$841,MATCH(H504,'Both teabags AfterWet'!$A$3:$A$841,0)),"")="N.A","",(IFERROR(INDEX('Both teabags AfterWet'!$C$3:$C$841,MATCH(H504,'Both teabags AfterWet'!$A$3:$A$841,0)),"")))</f>
        <v>0.86399999999999999</v>
      </c>
      <c r="Q504" s="195">
        <f>IFERROR(INDEX('Both teabags AfterWet'!$C$3:$C$841,MATCH(I504,'Both teabags AfterWet'!$A$3:$A$841,0)),"")</f>
        <v>1.5780000000000001</v>
      </c>
      <c r="R504" s="195">
        <f t="shared" si="57"/>
        <v>0.71340000000000003</v>
      </c>
      <c r="S504" s="195">
        <f t="shared" si="57"/>
        <v>1.4274</v>
      </c>
      <c r="T504" s="195">
        <f t="shared" si="58"/>
        <v>0.61669890393294646</v>
      </c>
      <c r="U504" s="195">
        <f t="shared" si="59"/>
        <v>0.40429666861162289</v>
      </c>
      <c r="V504" s="195">
        <f t="shared" si="60"/>
        <v>0.77694317439581961</v>
      </c>
      <c r="W504">
        <f t="shared" si="55"/>
        <v>45</v>
      </c>
      <c r="X504" s="195">
        <f t="shared" si="61"/>
        <v>0.26757849889198759</v>
      </c>
      <c r="Y504" s="195">
        <f t="shared" si="62"/>
        <v>1.782950406968305E-2</v>
      </c>
      <c r="Z504" s="255" t="str">
        <f>IF(ISNUMBER(SEARCH("C",'WetLitterbags placem_collection'!W431)),"YES","NO")</f>
        <v>NO</v>
      </c>
      <c r="AA504" s="255" t="str">
        <f>IF(ISNUMBER(SEARCH("H", 'WetLitterbags placem_collection'!Y211)),"YES","NO")</f>
        <v>NO</v>
      </c>
      <c r="AB504" s="255" t="str">
        <f>IF(ISNUMBER(SEARCH("R", 'WetLitterbags placem_collection'!WY211)),"YES","NO")</f>
        <v>NO</v>
      </c>
      <c r="AC504" s="255" t="str">
        <f>IF(ISNUMBER(SEARCH("C", 'WetLitterbags placem_collection'!VX211)),"YES","NO")</f>
        <v>NO</v>
      </c>
      <c r="AD504" s="255" t="str">
        <f>IF(ISNUMBER(SEARCH("H", 'WetLitterbags placem_collection'!X211)),"YES","NO")</f>
        <v>NO</v>
      </c>
      <c r="AE504" s="255" t="str">
        <f>IF(ISNUMBER(SEARCH("R", 'WetLitterbags placem_collection'!X211)),"YES","NO")</f>
        <v>YES</v>
      </c>
    </row>
    <row r="505" spans="2:31">
      <c r="B505" t="str">
        <f>'Final data_for_R_analysis_Wetse'!A651</f>
        <v>Wet</v>
      </c>
      <c r="C505" s="263">
        <f>'Final data_for_R_analysis_Wetse'!B651</f>
        <v>210</v>
      </c>
      <c r="D505" t="s">
        <v>2449</v>
      </c>
      <c r="E505" t="s">
        <v>25</v>
      </c>
      <c r="F505" s="387">
        <v>2</v>
      </c>
      <c r="G505" s="16">
        <f>'WetLitterbags placem_collection'!E212</f>
        <v>42769</v>
      </c>
      <c r="H505" s="92" t="str">
        <f>'Final data_for_R_analysis_Wetse'!J651</f>
        <v>G720</v>
      </c>
      <c r="I505" t="str">
        <f>'Final data_for_R_analysis_Wetse'!J871</f>
        <v>R392</v>
      </c>
      <c r="J505">
        <f>IFERROR(INDEX('Green_rooibos initial weight'!$C$5:$C$1749,MATCH(H505, 'Green_rooibos initial weight'!$A$5:$A$1749,0)),"")</f>
        <v>2.0350000000000001</v>
      </c>
      <c r="K505">
        <f>IFERROR(INDEX('Green_rooibos initial weight'!$C$5:$C$1749,MATCH(I505, 'Green_rooibos initial weight'!$A$5:$A$1749,0)),"")</f>
        <v>2.2309999999999999</v>
      </c>
      <c r="L505" s="195">
        <f t="shared" si="56"/>
        <v>1.7852000000000001</v>
      </c>
      <c r="M505" s="195">
        <f>AVERAGE(Ashed_controlls!$K$2:$K$11)</f>
        <v>5.5147656768714146</v>
      </c>
      <c r="N505" s="195">
        <f t="shared" si="54"/>
        <v>1.9811999999999999</v>
      </c>
      <c r="O505" s="16">
        <f>IF('WetLitterbags placem_collection'!G212="N.A","",'WetLitterbags placem_collection'!G212)</f>
        <v>42813</v>
      </c>
      <c r="P505" s="195">
        <f>IF(IFERROR(INDEX('Both teabags AfterWet'!$C$3:$C$841,MATCH(H505,'Both teabags AfterWet'!$A$3:$A$841,0)),"")="N.A","",(IFERROR(INDEX('Both teabags AfterWet'!$C$3:$C$841,MATCH(H505,'Both teabags AfterWet'!$A$3:$A$841,0)),"")))</f>
        <v>0.72160000000000002</v>
      </c>
      <c r="Q505" s="195">
        <f>IFERROR(INDEX('Both teabags AfterWet'!$C$3:$C$841,MATCH(I505,'Both teabags AfterWet'!$A$3:$A$841,0)),"")</f>
        <v>1.6165</v>
      </c>
      <c r="R505" s="195">
        <f t="shared" si="57"/>
        <v>0.57099999999999995</v>
      </c>
      <c r="S505" s="195">
        <f t="shared" si="57"/>
        <v>1.4659</v>
      </c>
      <c r="T505" s="195">
        <f t="shared" si="58"/>
        <v>0.6801478825901861</v>
      </c>
      <c r="U505" s="195">
        <f t="shared" si="59"/>
        <v>0.4458926736220698</v>
      </c>
      <c r="V505" s="195">
        <f t="shared" si="60"/>
        <v>0.73990510801534426</v>
      </c>
      <c r="W505">
        <f t="shared" si="55"/>
        <v>44</v>
      </c>
      <c r="X505" s="195">
        <f t="shared" si="61"/>
        <v>0.19222341735132287</v>
      </c>
      <c r="Y505" s="195">
        <f t="shared" si="62"/>
        <v>1.9895895322009652E-2</v>
      </c>
      <c r="Z505" s="255" t="str">
        <f>IF(ISNUMBER(SEARCH("C",'WetLitterbags placem_collection'!W432)),"YES","NO")</f>
        <v>NO</v>
      </c>
      <c r="AA505" s="255" t="str">
        <f>IF(ISNUMBER(SEARCH("H", 'WetLitterbags placem_collection'!Y212)),"YES","NO")</f>
        <v>NO</v>
      </c>
      <c r="AB505" s="255" t="str">
        <f>IF(ISNUMBER(SEARCH("R", 'WetLitterbags placem_collection'!WY212)),"YES","NO")</f>
        <v>NO</v>
      </c>
      <c r="AC505" s="255" t="str">
        <f>IF(ISNUMBER(SEARCH("C", 'WetLitterbags placem_collection'!VX212)),"YES","NO")</f>
        <v>NO</v>
      </c>
      <c r="AD505" s="255" t="str">
        <f>IF(ISNUMBER(SEARCH("H", 'WetLitterbags placem_collection'!X212)),"YES","NO")</f>
        <v>NO</v>
      </c>
      <c r="AE505" s="255" t="str">
        <f>IF(ISNUMBER(SEARCH("R", 'WetLitterbags placem_collection'!X212)),"YES","NO")</f>
        <v>YES</v>
      </c>
    </row>
    <row r="506" spans="2:31">
      <c r="B506" t="str">
        <f>'Final data_for_R_analysis_Wetse'!A652</f>
        <v>Wet</v>
      </c>
      <c r="C506" s="263">
        <f>'Final data_for_R_analysis_Wetse'!B652</f>
        <v>211</v>
      </c>
      <c r="D506" t="s">
        <v>2426</v>
      </c>
      <c r="E506" t="s">
        <v>25</v>
      </c>
      <c r="F506" s="387">
        <v>3</v>
      </c>
      <c r="G506" s="16">
        <f>'WetLitterbags placem_collection'!E213</f>
        <v>42769</v>
      </c>
      <c r="H506" s="92" t="str">
        <f>'Final data_for_R_analysis_Wetse'!J652</f>
        <v>G796</v>
      </c>
      <c r="I506" t="str">
        <f>'Final data_for_R_analysis_Wetse'!J872</f>
        <v>R589</v>
      </c>
      <c r="J506">
        <f>IFERROR(INDEX('Green_rooibos initial weight'!$C$5:$C$1749,MATCH(H506, 'Green_rooibos initial weight'!$A$5:$A$1749,0)),"")</f>
        <v>2.1070000000000002</v>
      </c>
      <c r="K506">
        <f>IFERROR(INDEX('Green_rooibos initial weight'!$C$5:$C$1749,MATCH(I506, 'Green_rooibos initial weight'!$A$5:$A$1749,0)),"")</f>
        <v>2.157</v>
      </c>
      <c r="L506" s="195">
        <f t="shared" si="56"/>
        <v>1.8572000000000002</v>
      </c>
      <c r="M506" s="195">
        <f>AVERAGE(Ashed_controlls!$K$2:$K$11)</f>
        <v>5.5147656768714146</v>
      </c>
      <c r="N506" s="195">
        <f t="shared" si="54"/>
        <v>1.9072</v>
      </c>
      <c r="O506" s="16">
        <f>IF('WetLitterbags placem_collection'!G213="N.A","",'WetLitterbags placem_collection'!G213)</f>
        <v>42814</v>
      </c>
      <c r="P506" s="195">
        <f>IF(IFERROR(INDEX('Both teabags AfterWet'!$C$3:$C$841,MATCH(H506,'Both teabags AfterWet'!$A$3:$A$841,0)),"")="N.A","",(IFERROR(INDEX('Both teabags AfterWet'!$C$3:$C$841,MATCH(H506,'Both teabags AfterWet'!$A$3:$A$841,0)),"")))</f>
        <v>0.67200000000000004</v>
      </c>
      <c r="Q506" s="195">
        <f>IFERROR(INDEX('Both teabags AfterWet'!$C$3:$C$841,MATCH(I506,'Both teabags AfterWet'!$A$3:$A$841,0)),"")</f>
        <v>1.5489999999999999</v>
      </c>
      <c r="R506" s="195">
        <f t="shared" si="57"/>
        <v>0.52140000000000009</v>
      </c>
      <c r="S506" s="195">
        <f t="shared" si="57"/>
        <v>1.3983999999999999</v>
      </c>
      <c r="T506" s="195">
        <f t="shared" si="58"/>
        <v>0.71925479216024124</v>
      </c>
      <c r="U506" s="195">
        <f t="shared" si="59"/>
        <v>0.4715304575682342</v>
      </c>
      <c r="V506" s="195">
        <f t="shared" si="60"/>
        <v>0.73322147651006708</v>
      </c>
      <c r="W506">
        <f t="shared" si="55"/>
        <v>45</v>
      </c>
      <c r="X506" s="195">
        <f t="shared" si="61"/>
        <v>0.14577815657928594</v>
      </c>
      <c r="Y506" s="195">
        <f t="shared" si="62"/>
        <v>1.8537433965027557E-2</v>
      </c>
      <c r="Z506" s="255" t="str">
        <f>IF(ISNUMBER(SEARCH("C",'WetLitterbags placem_collection'!W433)),"YES","NO")</f>
        <v>NO</v>
      </c>
      <c r="AA506" s="255" t="str">
        <f>IF(ISNUMBER(SEARCH("H", 'WetLitterbags placem_collection'!Y213)),"YES","NO")</f>
        <v>NO</v>
      </c>
      <c r="AB506" s="255" t="str">
        <f>IF(ISNUMBER(SEARCH("R", 'WetLitterbags placem_collection'!WY213)),"YES","NO")</f>
        <v>NO</v>
      </c>
      <c r="AC506" s="255" t="str">
        <f>IF(ISNUMBER(SEARCH("C", 'WetLitterbags placem_collection'!VX213)),"YES","NO")</f>
        <v>NO</v>
      </c>
      <c r="AD506" s="255" t="str">
        <f>IF(ISNUMBER(SEARCH("H", 'WetLitterbags placem_collection'!X213)),"YES","NO")</f>
        <v>NO</v>
      </c>
      <c r="AE506" s="255" t="str">
        <f>IF(ISNUMBER(SEARCH("R", 'WetLitterbags placem_collection'!X213)),"YES","NO")</f>
        <v>YES</v>
      </c>
    </row>
    <row r="507" spans="2:31">
      <c r="B507" t="str">
        <f>'Final data_for_R_analysis_Wetse'!A653</f>
        <v>Wet</v>
      </c>
      <c r="C507" s="263">
        <f>'Final data_for_R_analysis_Wetse'!B653</f>
        <v>215</v>
      </c>
      <c r="D507" t="s">
        <v>2427</v>
      </c>
      <c r="E507" t="s">
        <v>25</v>
      </c>
      <c r="F507" s="387">
        <v>3</v>
      </c>
      <c r="G507" s="16">
        <f>'WetLitterbags placem_collection'!E214</f>
        <v>42769</v>
      </c>
      <c r="H507" s="92" t="str">
        <f>'Final data_for_R_analysis_Wetse'!J653</f>
        <v>G560</v>
      </c>
      <c r="I507" t="str">
        <f>'Final data_for_R_analysis_Wetse'!J873</f>
        <v>R130</v>
      </c>
      <c r="J507">
        <f>IFERROR(INDEX('Green_rooibos initial weight'!$C$5:$C$1749,MATCH(H507, 'Green_rooibos initial weight'!$A$5:$A$1749,0)),"")</f>
        <v>2.1219999999999999</v>
      </c>
      <c r="K507">
        <f>IFERROR(INDEX('Green_rooibos initial weight'!$C$5:$C$1749,MATCH(I507, 'Green_rooibos initial weight'!$A$5:$A$1749,0)),"")</f>
        <v>2.2410000000000001</v>
      </c>
      <c r="L507" s="195">
        <f t="shared" si="56"/>
        <v>1.8721999999999999</v>
      </c>
      <c r="M507" s="195">
        <f>AVERAGE(Ashed_controlls!$K$2:$K$11)</f>
        <v>5.5147656768714146</v>
      </c>
      <c r="N507" s="195">
        <f t="shared" si="54"/>
        <v>1.9912000000000001</v>
      </c>
      <c r="O507" s="16">
        <f>IF('WetLitterbags placem_collection'!G214="N.A","",'WetLitterbags placem_collection'!G214)</f>
        <v>42813</v>
      </c>
      <c r="P507" s="195">
        <f>IF(IFERROR(INDEX('Both teabags AfterWet'!$C$3:$C$841,MATCH(H507,'Both teabags AfterWet'!$A$3:$A$841,0)),"")="N.A","",(IFERROR(INDEX('Both teabags AfterWet'!$C$3:$C$841,MATCH(H507,'Both teabags AfterWet'!$A$3:$A$841,0)),"")))</f>
        <v>1.4097999999999999</v>
      </c>
      <c r="Q507" s="195">
        <f>IFERROR(INDEX('Both teabags AfterWet'!$C$3:$C$841,MATCH(I507,'Both teabags AfterWet'!$A$3:$A$841,0)),"")</f>
        <v>1.6712</v>
      </c>
      <c r="R507" s="195">
        <f t="shared" si="57"/>
        <v>1.2591999999999999</v>
      </c>
      <c r="S507" s="195">
        <f t="shared" si="57"/>
        <v>1.5206</v>
      </c>
      <c r="T507" s="195">
        <f t="shared" si="58"/>
        <v>0.32742228394402306</v>
      </c>
      <c r="U507" s="195">
        <f t="shared" si="59"/>
        <v>0.21465213864263746</v>
      </c>
      <c r="V507" s="195">
        <f t="shared" si="60"/>
        <v>0.76366010445962229</v>
      </c>
      <c r="W507">
        <f t="shared" si="55"/>
        <v>44</v>
      </c>
      <c r="X507" s="195">
        <f t="shared" si="61"/>
        <v>0.61113742999522203</v>
      </c>
      <c r="Y507" s="195" t="str">
        <f t="shared" si="62"/>
        <v/>
      </c>
      <c r="Z507" s="255" t="str">
        <f>IF(ISNUMBER(SEARCH("C",'WetLitterbags placem_collection'!W434)),"YES","NO")</f>
        <v>NO</v>
      </c>
      <c r="AA507" s="255" t="str">
        <f>IF(ISNUMBER(SEARCH("H", 'WetLitterbags placem_collection'!Y214)),"YES","NO")</f>
        <v>NO</v>
      </c>
      <c r="AB507" s="255" t="str">
        <f>IF(ISNUMBER(SEARCH("R", 'WetLitterbags placem_collection'!WY214)),"YES","NO")</f>
        <v>NO</v>
      </c>
      <c r="AC507" s="255" t="str">
        <f>IF(ISNUMBER(SEARCH("C", 'WetLitterbags placem_collection'!VX214)),"YES","NO")</f>
        <v>NO</v>
      </c>
      <c r="AD507" s="255" t="str">
        <f>IF(ISNUMBER(SEARCH("H", 'WetLitterbags placem_collection'!X214)),"YES","NO")</f>
        <v>NO</v>
      </c>
      <c r="AE507" s="255" t="str">
        <f>IF(ISNUMBER(SEARCH("R", 'WetLitterbags placem_collection'!X214)),"YES","NO")</f>
        <v>YES</v>
      </c>
    </row>
    <row r="508" spans="2:31">
      <c r="B508" t="str">
        <f>'Final data_for_R_analysis_Wetse'!A654</f>
        <v>Wet</v>
      </c>
      <c r="C508" s="263">
        <f>'Final data_for_R_analysis_Wetse'!B654</f>
        <v>212</v>
      </c>
      <c r="D508" t="s">
        <v>2442</v>
      </c>
      <c r="E508" t="s">
        <v>25</v>
      </c>
      <c r="F508" s="387">
        <v>4</v>
      </c>
      <c r="G508" s="16">
        <f>'WetLitterbags placem_collection'!E215</f>
        <v>42769</v>
      </c>
      <c r="H508" s="92" t="str">
        <f>'Final data_for_R_analysis_Wetse'!J654</f>
        <v>G716</v>
      </c>
      <c r="I508" t="str">
        <f>'Final data_for_R_analysis_Wetse'!J874</f>
        <v>R111</v>
      </c>
      <c r="J508">
        <f>IFERROR(INDEX('Green_rooibos initial weight'!$C$5:$C$1749,MATCH(H508, 'Green_rooibos initial weight'!$A$5:$A$1749,0)),"")</f>
        <v>2.117</v>
      </c>
      <c r="K508">
        <f>IFERROR(INDEX('Green_rooibos initial weight'!$C$5:$C$1749,MATCH(I508, 'Green_rooibos initial weight'!$A$5:$A$1749,0)),"")</f>
        <v>2.3170000000000002</v>
      </c>
      <c r="L508" s="195">
        <f t="shared" si="56"/>
        <v>1.8672</v>
      </c>
      <c r="M508" s="195">
        <f>AVERAGE(Ashed_controlls!$K$2:$K$11)</f>
        <v>5.5147656768714146</v>
      </c>
      <c r="N508" s="195">
        <f t="shared" si="54"/>
        <v>2.0672000000000001</v>
      </c>
      <c r="O508" s="16">
        <f>IF('WetLitterbags placem_collection'!G215="N.A","",'WetLitterbags placem_collection'!G215)</f>
        <v>42813</v>
      </c>
      <c r="P508" s="195">
        <f>IF(IFERROR(INDEX('Both teabags AfterWet'!$C$3:$C$841,MATCH(H508,'Both teabags AfterWet'!$A$3:$A$841,0)),"")="N.A","",(IFERROR(INDEX('Both teabags AfterWet'!$C$3:$C$841,MATCH(H508,'Both teabags AfterWet'!$A$3:$A$841,0)),"")))</f>
        <v>0.83</v>
      </c>
      <c r="Q508" s="195">
        <f>IFERROR(INDEX('Both teabags AfterWet'!$C$3:$C$841,MATCH(I508,'Both teabags AfterWet'!$A$3:$A$841,0)),"")</f>
        <v>1.587</v>
      </c>
      <c r="R508" s="195">
        <f t="shared" si="57"/>
        <v>0.6794</v>
      </c>
      <c r="S508" s="195">
        <f t="shared" si="57"/>
        <v>1.4363999999999999</v>
      </c>
      <c r="T508" s="195">
        <f t="shared" si="58"/>
        <v>0.63613967437874885</v>
      </c>
      <c r="U508" s="195">
        <f t="shared" si="59"/>
        <v>0.41704168676611569</v>
      </c>
      <c r="V508" s="195">
        <f t="shared" si="60"/>
        <v>0.69485294117647045</v>
      </c>
      <c r="W508">
        <f t="shared" si="55"/>
        <v>44</v>
      </c>
      <c r="X508" s="195">
        <f t="shared" si="61"/>
        <v>0.24448969788747166</v>
      </c>
      <c r="Y508" s="195">
        <f t="shared" si="62"/>
        <v>2.990064951280047E-2</v>
      </c>
      <c r="Z508" s="255" t="str">
        <f>IF(ISNUMBER(SEARCH("C",'WetLitterbags placem_collection'!W435)),"YES","NO")</f>
        <v>NO</v>
      </c>
      <c r="AA508" s="255" t="str">
        <f>IF(ISNUMBER(SEARCH("H", 'WetLitterbags placem_collection'!Y215)),"YES","NO")</f>
        <v>NO</v>
      </c>
      <c r="AB508" s="255" t="str">
        <f>IF(ISNUMBER(SEARCH("R", 'WetLitterbags placem_collection'!WY215)),"YES","NO")</f>
        <v>NO</v>
      </c>
      <c r="AC508" s="255" t="str">
        <f>IF(ISNUMBER(SEARCH("C", 'WetLitterbags placem_collection'!VX215)),"YES","NO")</f>
        <v>NO</v>
      </c>
      <c r="AD508" s="255" t="str">
        <f>IF(ISNUMBER(SEARCH("H", 'WetLitterbags placem_collection'!X215)),"YES","NO")</f>
        <v>NO</v>
      </c>
      <c r="AE508" s="255" t="str">
        <f>IF(ISNUMBER(SEARCH("R", 'WetLitterbags placem_collection'!X215)),"YES","NO")</f>
        <v>YES</v>
      </c>
    </row>
    <row r="509" spans="2:31">
      <c r="B509" t="str">
        <f>'Final data_for_R_analysis_Wetse'!A655</f>
        <v>Wet</v>
      </c>
      <c r="C509" s="263">
        <f>'Final data_for_R_analysis_Wetse'!B655</f>
        <v>213</v>
      </c>
      <c r="D509" t="s">
        <v>2450</v>
      </c>
      <c r="E509" t="s">
        <v>25</v>
      </c>
      <c r="F509" s="387">
        <v>1</v>
      </c>
      <c r="G509" s="16">
        <f>'WetLitterbags placem_collection'!E216</f>
        <v>42769</v>
      </c>
      <c r="H509" s="92" t="str">
        <f>'Final data_for_R_analysis_Wetse'!J655</f>
        <v>G581</v>
      </c>
      <c r="I509" t="str">
        <f>'Final data_for_R_analysis_Wetse'!J875</f>
        <v>R412</v>
      </c>
      <c r="J509">
        <f>IFERROR(INDEX('Green_rooibos initial weight'!$C$5:$C$1749,MATCH(H509, 'Green_rooibos initial weight'!$A$5:$A$1749,0)),"")</f>
        <v>2.0070000000000001</v>
      </c>
      <c r="K509">
        <f>IFERROR(INDEX('Green_rooibos initial weight'!$C$5:$C$1749,MATCH(I509, 'Green_rooibos initial weight'!$A$5:$A$1749,0)),"")</f>
        <v>2.2709999999999999</v>
      </c>
      <c r="L509" s="195">
        <f t="shared" si="56"/>
        <v>1.7572000000000001</v>
      </c>
      <c r="M509" s="195">
        <f>AVERAGE(Ashed_controlls!$K$2:$K$11)</f>
        <v>5.5147656768714146</v>
      </c>
      <c r="N509" s="195">
        <f t="shared" si="54"/>
        <v>2.0211999999999999</v>
      </c>
      <c r="O509" s="16">
        <f>IF('WetLitterbags placem_collection'!G216="N.A","",'WetLitterbags placem_collection'!G216)</f>
        <v>42813</v>
      </c>
      <c r="P509" s="195">
        <f>IF(IFERROR(INDEX('Both teabags AfterWet'!$C$3:$C$841,MATCH(H509,'Both teabags AfterWet'!$A$3:$A$841,0)),"")="N.A","",(IFERROR(INDEX('Both teabags AfterWet'!$C$3:$C$841,MATCH(H509,'Both teabags AfterWet'!$A$3:$A$841,0)),"")))</f>
        <v>0.63400000000000001</v>
      </c>
      <c r="Q509" s="195">
        <f>IFERROR(INDEX('Both teabags AfterWet'!$C$3:$C$841,MATCH(I509,'Both teabags AfterWet'!$A$3:$A$841,0)),"")</f>
        <v>1.4850000000000001</v>
      </c>
      <c r="R509" s="195">
        <f t="shared" si="57"/>
        <v>0.4834</v>
      </c>
      <c r="S509" s="195">
        <f t="shared" si="57"/>
        <v>1.3344</v>
      </c>
      <c r="T509" s="195">
        <f t="shared" si="58"/>
        <v>0.72490325517869336</v>
      </c>
      <c r="U509" s="195">
        <f t="shared" si="59"/>
        <v>0.47523348795562803</v>
      </c>
      <c r="V509" s="195">
        <f t="shared" si="60"/>
        <v>0.66020186028102124</v>
      </c>
      <c r="W509">
        <f t="shared" si="55"/>
        <v>44</v>
      </c>
      <c r="X509" s="195">
        <f t="shared" si="61"/>
        <v>0.1390697681963261</v>
      </c>
      <c r="Y509" s="195">
        <f t="shared" si="62"/>
        <v>2.8529814663242944E-2</v>
      </c>
      <c r="Z509" s="255" t="str">
        <f>IF(ISNUMBER(SEARCH("C",'WetLitterbags placem_collection'!W436)),"YES","NO")</f>
        <v>NO</v>
      </c>
      <c r="AA509" s="255" t="str">
        <f>IF(ISNUMBER(SEARCH("H", 'WetLitterbags placem_collection'!Y216)),"YES","NO")</f>
        <v>NO</v>
      </c>
      <c r="AB509" s="255" t="str">
        <f>IF(ISNUMBER(SEARCH("R", 'WetLitterbags placem_collection'!WY216)),"YES","NO")</f>
        <v>NO</v>
      </c>
      <c r="AC509" s="255" t="str">
        <f>IF(ISNUMBER(SEARCH("C", 'WetLitterbags placem_collection'!VX216)),"YES","NO")</f>
        <v>NO</v>
      </c>
      <c r="AD509" s="255" t="str">
        <f>IF(ISNUMBER(SEARCH("H", 'WetLitterbags placem_collection'!X216)),"YES","NO")</f>
        <v>NO</v>
      </c>
      <c r="AE509" s="255" t="str">
        <f>IF(ISNUMBER(SEARCH("R", 'WetLitterbags placem_collection'!X216)),"YES","NO")</f>
        <v>YES</v>
      </c>
    </row>
    <row r="510" spans="2:31">
      <c r="B510" t="str">
        <f>'Final data_for_R_analysis_Wetse'!A656</f>
        <v>Wet</v>
      </c>
      <c r="C510" s="263">
        <f>'Final data_for_R_analysis_Wetse'!B656</f>
        <v>214</v>
      </c>
      <c r="D510" t="s">
        <v>2443</v>
      </c>
      <c r="E510" t="s">
        <v>25</v>
      </c>
      <c r="F510" s="387">
        <v>2</v>
      </c>
      <c r="G510" s="16">
        <f>'WetLitterbags placem_collection'!E217</f>
        <v>42769</v>
      </c>
      <c r="H510" s="92" t="str">
        <f>'Final data_for_R_analysis_Wetse'!J656</f>
        <v>G718</v>
      </c>
      <c r="I510" t="str">
        <f>'Final data_for_R_analysis_Wetse'!J876</f>
        <v>R434</v>
      </c>
      <c r="J510">
        <f>IFERROR(INDEX('Green_rooibos initial weight'!$C$5:$C$1749,MATCH(H510, 'Green_rooibos initial weight'!$A$5:$A$1749,0)),"")</f>
        <v>2.0369999999999999</v>
      </c>
      <c r="K510">
        <f>IFERROR(INDEX('Green_rooibos initial weight'!$C$5:$C$1749,MATCH(I510, 'Green_rooibos initial weight'!$A$5:$A$1749,0)),"")</f>
        <v>2.0840000000000001</v>
      </c>
      <c r="L510" s="195">
        <f t="shared" si="56"/>
        <v>1.7871999999999999</v>
      </c>
      <c r="M510" s="195">
        <f>AVERAGE(Ashed_controlls!$K$2:$K$11)</f>
        <v>5.5147656768714146</v>
      </c>
      <c r="N510" s="195">
        <f t="shared" si="54"/>
        <v>1.8342000000000001</v>
      </c>
      <c r="O510" s="16">
        <f>IF('WetLitterbags placem_collection'!G217="N.A","",'WetLitterbags placem_collection'!G217)</f>
        <v>42814</v>
      </c>
      <c r="P510" s="195">
        <f>IF(IFERROR(INDEX('Both teabags AfterWet'!$C$3:$C$841,MATCH(H510,'Both teabags AfterWet'!$A$3:$A$841,0)),"")="N.A","",(IFERROR(INDEX('Both teabags AfterWet'!$C$3:$C$841,MATCH(H510,'Both teabags AfterWet'!$A$3:$A$841,0)),"")))</f>
        <v>0.67769999999999997</v>
      </c>
      <c r="Q510" s="195">
        <f>IFERROR(INDEX('Both teabags AfterWet'!$C$3:$C$841,MATCH(I510,'Both teabags AfterWet'!$A$3:$A$841,0)),"")</f>
        <v>1.5467</v>
      </c>
      <c r="R510" s="195">
        <f t="shared" si="57"/>
        <v>0.5270999999999999</v>
      </c>
      <c r="S510" s="195">
        <f t="shared" si="57"/>
        <v>1.3960999999999999</v>
      </c>
      <c r="T510" s="195">
        <f t="shared" si="58"/>
        <v>0.70506938227394811</v>
      </c>
      <c r="U510" s="195">
        <f t="shared" si="59"/>
        <v>0.46223075892543869</v>
      </c>
      <c r="V510" s="195">
        <f t="shared" si="60"/>
        <v>0.76114927488823458</v>
      </c>
      <c r="W510">
        <f t="shared" si="55"/>
        <v>45</v>
      </c>
      <c r="X510" s="195">
        <f t="shared" si="61"/>
        <v>0.16262543672927776</v>
      </c>
      <c r="Y510" s="195">
        <f t="shared" si="62"/>
        <v>1.6159771913157133E-2</v>
      </c>
      <c r="Z510" s="255" t="str">
        <f>IF(ISNUMBER(SEARCH("C",'WetLitterbags placem_collection'!W437)),"YES","NO")</f>
        <v>NO</v>
      </c>
      <c r="AA510" s="255" t="str">
        <f>IF(ISNUMBER(SEARCH("H", 'WetLitterbags placem_collection'!Y217)),"YES","NO")</f>
        <v>NO</v>
      </c>
      <c r="AB510" s="255" t="str">
        <f>IF(ISNUMBER(SEARCH("R", 'WetLitterbags placem_collection'!WY217)),"YES","NO")</f>
        <v>NO</v>
      </c>
      <c r="AC510" s="255" t="str">
        <f>IF(ISNUMBER(SEARCH("C", 'WetLitterbags placem_collection'!VX217)),"YES","NO")</f>
        <v>NO</v>
      </c>
      <c r="AD510" s="255" t="str">
        <f>IF(ISNUMBER(SEARCH("H", 'WetLitterbags placem_collection'!X217)),"YES","NO")</f>
        <v>NO</v>
      </c>
      <c r="AE510" s="255" t="str">
        <f>IF(ISNUMBER(SEARCH("R", 'WetLitterbags placem_collection'!X217)),"YES","NO")</f>
        <v>YES</v>
      </c>
    </row>
    <row r="511" spans="2:31">
      <c r="B511" t="str">
        <f>'Final data_for_R_analysis_Wetse'!A657</f>
        <v>Wet</v>
      </c>
      <c r="C511" s="263">
        <f>'Final data_for_R_analysis_Wetse'!B657</f>
        <v>216</v>
      </c>
      <c r="D511" t="s">
        <v>2436</v>
      </c>
      <c r="E511" t="s">
        <v>25</v>
      </c>
      <c r="F511" s="387">
        <v>4</v>
      </c>
      <c r="G511" s="16">
        <f>'WetLitterbags placem_collection'!E218</f>
        <v>42769</v>
      </c>
      <c r="H511" s="92" t="str">
        <f>'Final data_for_R_analysis_Wetse'!J657</f>
        <v>G613</v>
      </c>
      <c r="I511" t="str">
        <f>'Final data_for_R_analysis_Wetse'!J877</f>
        <v>R457</v>
      </c>
      <c r="J511">
        <f>IFERROR(INDEX('Green_rooibos initial weight'!$C$5:$C$1749,MATCH(H511, 'Green_rooibos initial weight'!$A$5:$A$1749,0)),"")</f>
        <v>2.0339999999999998</v>
      </c>
      <c r="K511">
        <f>IFERROR(INDEX('Green_rooibos initial weight'!$C$5:$C$1749,MATCH(I511, 'Green_rooibos initial weight'!$A$5:$A$1749,0)),"")</f>
        <v>2.2410000000000001</v>
      </c>
      <c r="L511" s="195">
        <f t="shared" si="56"/>
        <v>1.7841999999999998</v>
      </c>
      <c r="M511" s="195">
        <f>AVERAGE(Ashed_controlls!$K$2:$K$11)</f>
        <v>5.5147656768714146</v>
      </c>
      <c r="N511" s="195">
        <f t="shared" si="54"/>
        <v>1.9912000000000001</v>
      </c>
      <c r="O511" s="16">
        <f>IF('WetLitterbags placem_collection'!G218="N.A","",'WetLitterbags placem_collection'!G218)</f>
        <v>42814</v>
      </c>
      <c r="P511" s="195">
        <f>IF(IFERROR(INDEX('Both teabags AfterWet'!$C$3:$C$841,MATCH(H511,'Both teabags AfterWet'!$A$3:$A$841,0)),"")="N.A","",(IFERROR(INDEX('Both teabags AfterWet'!$C$3:$C$841,MATCH(H511,'Both teabags AfterWet'!$A$3:$A$841,0)),"")))</f>
        <v>0.82499999999999996</v>
      </c>
      <c r="Q511" s="195">
        <f>IFERROR(INDEX('Both teabags AfterWet'!$C$3:$C$841,MATCH(I511,'Both teabags AfterWet'!$A$3:$A$841,0)),"")</f>
        <v>1.5940000000000001</v>
      </c>
      <c r="R511" s="195">
        <f t="shared" si="57"/>
        <v>0.67439999999999989</v>
      </c>
      <c r="S511" s="195">
        <f t="shared" si="57"/>
        <v>1.4434</v>
      </c>
      <c r="T511" s="195">
        <f t="shared" si="58"/>
        <v>0.62201546911781191</v>
      </c>
      <c r="U511" s="195">
        <f t="shared" si="59"/>
        <v>0.4077821127708221</v>
      </c>
      <c r="V511" s="195">
        <f t="shared" si="60"/>
        <v>0.72488951386098832</v>
      </c>
      <c r="W511">
        <f t="shared" si="55"/>
        <v>45</v>
      </c>
      <c r="X511" s="195">
        <f t="shared" si="61"/>
        <v>0.26126428845865568</v>
      </c>
      <c r="Y511" s="195">
        <f t="shared" si="62"/>
        <v>2.4952353151991596E-2</v>
      </c>
      <c r="Z511" s="255" t="str">
        <f>IF(ISNUMBER(SEARCH("C",'WetLitterbags placem_collection'!W438)),"YES","NO")</f>
        <v>NO</v>
      </c>
      <c r="AA511" s="255" t="str">
        <f>IF(ISNUMBER(SEARCH("H", 'WetLitterbags placem_collection'!Y218)),"YES","NO")</f>
        <v>NO</v>
      </c>
      <c r="AB511" s="255" t="str">
        <f>IF(ISNUMBER(SEARCH("R", 'WetLitterbags placem_collection'!WY218)),"YES","NO")</f>
        <v>NO</v>
      </c>
      <c r="AC511" s="255" t="str">
        <f>IF(ISNUMBER(SEARCH("C", 'WetLitterbags placem_collection'!VX218)),"YES","NO")</f>
        <v>NO</v>
      </c>
      <c r="AD511" s="255" t="str">
        <f>IF(ISNUMBER(SEARCH("H", 'WetLitterbags placem_collection'!X218)),"YES","NO")</f>
        <v>NO</v>
      </c>
      <c r="AE511" s="255" t="str">
        <f>IF(ISNUMBER(SEARCH("R", 'WetLitterbags placem_collection'!X218)),"YES","NO")</f>
        <v>YES</v>
      </c>
    </row>
    <row r="512" spans="2:31">
      <c r="B512" t="str">
        <f>'Final data_for_R_analysis_Wetse'!A658</f>
        <v>Wet</v>
      </c>
      <c r="C512" s="263">
        <f>'Final data_for_R_analysis_Wetse'!B658</f>
        <v>217</v>
      </c>
      <c r="D512" t="s">
        <v>2429</v>
      </c>
      <c r="E512" t="s">
        <v>25</v>
      </c>
      <c r="F512" s="387">
        <v>1</v>
      </c>
      <c r="G512" s="16">
        <f>'WetLitterbags placem_collection'!E219</f>
        <v>42769</v>
      </c>
      <c r="H512" s="92" t="str">
        <f>'Final data_for_R_analysis_Wetse'!J658</f>
        <v>G804</v>
      </c>
      <c r="I512" t="str">
        <f>'Final data_for_R_analysis_Wetse'!J878</f>
        <v>R410</v>
      </c>
      <c r="J512">
        <f>IFERROR(INDEX('Green_rooibos initial weight'!$C$5:$C$1749,MATCH(H512, 'Green_rooibos initial weight'!$A$5:$A$1749,0)),"")</f>
        <v>2.028</v>
      </c>
      <c r="K512">
        <f>IFERROR(INDEX('Green_rooibos initial weight'!$C$5:$C$1749,MATCH(I512, 'Green_rooibos initial weight'!$A$5:$A$1749,0)),"")</f>
        <v>2.1930000000000001</v>
      </c>
      <c r="L512" s="195">
        <f t="shared" si="56"/>
        <v>1.7782</v>
      </c>
      <c r="M512" s="195">
        <f>AVERAGE(Ashed_controlls!$K$2:$K$11)</f>
        <v>5.5147656768714146</v>
      </c>
      <c r="N512" s="195">
        <f t="shared" si="54"/>
        <v>1.9432</v>
      </c>
      <c r="O512" s="16">
        <f>IF('WetLitterbags placem_collection'!G219="N.A","",'WetLitterbags placem_collection'!G219)</f>
        <v>42814</v>
      </c>
      <c r="P512" s="195">
        <f>IF(IFERROR(INDEX('Both teabags AfterWet'!$C$3:$C$841,MATCH(H512,'Both teabags AfterWet'!$A$3:$A$841,0)),"")="N.A","",(IFERROR(INDEX('Both teabags AfterWet'!$C$3:$C$841,MATCH(H512,'Both teabags AfterWet'!$A$3:$A$841,0)),"")))</f>
        <v>0.66200000000000003</v>
      </c>
      <c r="Q512" s="195">
        <f>IFERROR(INDEX('Both teabags AfterWet'!$C$3:$C$841,MATCH(I512,'Both teabags AfterWet'!$A$3:$A$841,0)),"")</f>
        <v>1.488</v>
      </c>
      <c r="R512" s="195">
        <f t="shared" si="57"/>
        <v>0.51140000000000008</v>
      </c>
      <c r="S512" s="195">
        <f t="shared" si="57"/>
        <v>1.3373999999999999</v>
      </c>
      <c r="T512" s="195">
        <f t="shared" si="58"/>
        <v>0.71240580362163985</v>
      </c>
      <c r="U512" s="195">
        <f t="shared" si="59"/>
        <v>0.46704038432202521</v>
      </c>
      <c r="V512" s="195">
        <f t="shared" si="60"/>
        <v>0.68824619184849722</v>
      </c>
      <c r="W512">
        <f t="shared" si="55"/>
        <v>45</v>
      </c>
      <c r="X512" s="195">
        <f t="shared" si="61"/>
        <v>0.15391234724270797</v>
      </c>
      <c r="Y512" s="195">
        <f t="shared" si="62"/>
        <v>2.4469854258393486E-2</v>
      </c>
      <c r="Z512" s="255" t="str">
        <f>IF(ISNUMBER(SEARCH("C",'WetLitterbags placem_collection'!W439)),"YES","NO")</f>
        <v>NO</v>
      </c>
      <c r="AA512" s="255" t="str">
        <f>IF(ISNUMBER(SEARCH("H", 'WetLitterbags placem_collection'!Y219)),"YES","NO")</f>
        <v>NO</v>
      </c>
      <c r="AB512" s="255" t="str">
        <f>IF(ISNUMBER(SEARCH("R", 'WetLitterbags placem_collection'!WY219)),"YES","NO")</f>
        <v>NO</v>
      </c>
      <c r="AC512" s="255" t="str">
        <f>IF(ISNUMBER(SEARCH("C", 'WetLitterbags placem_collection'!VX219)),"YES","NO")</f>
        <v>NO</v>
      </c>
      <c r="AD512" s="255" t="str">
        <f>IF(ISNUMBER(SEARCH("H", 'WetLitterbags placem_collection'!X219)),"YES","NO")</f>
        <v>NO</v>
      </c>
      <c r="AE512" s="255" t="str">
        <f>IF(ISNUMBER(SEARCH("R", 'WetLitterbags placem_collection'!X219)),"YES","NO")</f>
        <v>YES</v>
      </c>
    </row>
    <row r="513" spans="2:31">
      <c r="B513" t="str">
        <f>'Final data_for_R_analysis_Wetse'!A659</f>
        <v>Wet</v>
      </c>
      <c r="C513" s="263">
        <f>'Final data_for_R_analysis_Wetse'!B659</f>
        <v>218</v>
      </c>
      <c r="D513" t="s">
        <v>2437</v>
      </c>
      <c r="E513" t="s">
        <v>25</v>
      </c>
      <c r="F513" s="387">
        <v>2</v>
      </c>
      <c r="G513" s="16">
        <f>'WetLitterbags placem_collection'!E220</f>
        <v>42769</v>
      </c>
      <c r="H513" s="92" t="str">
        <f>'Final data_for_R_analysis_Wetse'!J659</f>
        <v>G587</v>
      </c>
      <c r="I513" t="str">
        <f>'Final data_for_R_analysis_Wetse'!J879</f>
        <v>R103</v>
      </c>
      <c r="J513">
        <f>IFERROR(INDEX('Green_rooibos initial weight'!$C$5:$C$1749,MATCH(H513, 'Green_rooibos initial weight'!$A$5:$A$1749,0)),"")</f>
        <v>2.0640000000000001</v>
      </c>
      <c r="K513">
        <f>IFERROR(INDEX('Green_rooibos initial weight'!$C$5:$C$1749,MATCH(I513, 'Green_rooibos initial weight'!$A$5:$A$1749,0)),"")</f>
        <v>2.246</v>
      </c>
      <c r="L513" s="195">
        <f t="shared" si="56"/>
        <v>1.8142</v>
      </c>
      <c r="M513" s="195">
        <f>AVERAGE(Ashed_controlls!$K$2:$K$11)</f>
        <v>5.5147656768714146</v>
      </c>
      <c r="N513" s="195">
        <f t="shared" si="54"/>
        <v>1.9962</v>
      </c>
      <c r="O513" s="16">
        <f>IF('WetLitterbags placem_collection'!G220="N.A","",'WetLitterbags placem_collection'!G220)</f>
        <v>42814</v>
      </c>
      <c r="P513" s="195">
        <f>IF(IFERROR(INDEX('Both teabags AfterWet'!$C$3:$C$841,MATCH(H513,'Both teabags AfterWet'!$A$3:$A$841,0)),"")="N.A","",(IFERROR(INDEX('Both teabags AfterWet'!$C$3:$C$841,MATCH(H513,'Both teabags AfterWet'!$A$3:$A$841,0)),"")))</f>
        <v>0.7167</v>
      </c>
      <c r="Q513" s="195">
        <f>IFERROR(INDEX('Both teabags AfterWet'!$C$3:$C$841,MATCH(I513,'Both teabags AfterWet'!$A$3:$A$841,0)),"")</f>
        <v>1.4296</v>
      </c>
      <c r="R513" s="195">
        <f t="shared" si="57"/>
        <v>0.56610000000000005</v>
      </c>
      <c r="S513" s="195">
        <f t="shared" si="57"/>
        <v>1.2789999999999999</v>
      </c>
      <c r="T513" s="195">
        <f t="shared" si="58"/>
        <v>0.68796163598280224</v>
      </c>
      <c r="U513" s="195">
        <f t="shared" si="59"/>
        <v>0.45101522929038823</v>
      </c>
      <c r="V513" s="195">
        <f t="shared" si="60"/>
        <v>0.64071736298968041</v>
      </c>
      <c r="W513">
        <f t="shared" si="55"/>
        <v>45</v>
      </c>
      <c r="X513" s="195">
        <f t="shared" si="61"/>
        <v>0.1829434251985721</v>
      </c>
      <c r="Y513" s="195">
        <f t="shared" si="62"/>
        <v>3.5391630394317704E-2</v>
      </c>
      <c r="Z513" s="255" t="str">
        <f>IF(ISNUMBER(SEARCH("C",'WetLitterbags placem_collection'!W440)),"YES","NO")</f>
        <v>NO</v>
      </c>
      <c r="AA513" s="255" t="str">
        <f>IF(ISNUMBER(SEARCH("H", 'WetLitterbags placem_collection'!Y220)),"YES","NO")</f>
        <v>NO</v>
      </c>
      <c r="AB513" s="255" t="str">
        <f>IF(ISNUMBER(SEARCH("R", 'WetLitterbags placem_collection'!WY220)),"YES","NO")</f>
        <v>NO</v>
      </c>
      <c r="AC513" s="255" t="str">
        <f>IF(ISNUMBER(SEARCH("C", 'WetLitterbags placem_collection'!VX220)),"YES","NO")</f>
        <v>NO</v>
      </c>
      <c r="AD513" s="255" t="str">
        <f>IF(ISNUMBER(SEARCH("H", 'WetLitterbags placem_collection'!X220)),"YES","NO")</f>
        <v>NO</v>
      </c>
      <c r="AE513" s="255" t="str">
        <f>IF(ISNUMBER(SEARCH("R", 'WetLitterbags placem_collection'!X220)),"YES","NO")</f>
        <v>YES</v>
      </c>
    </row>
    <row r="514" spans="2:31">
      <c r="B514" t="str">
        <f>'Final data_for_R_analysis_Wetse'!A660</f>
        <v>Wet</v>
      </c>
      <c r="C514" s="263">
        <f>'Final data_for_R_analysis_Wetse'!B660</f>
        <v>219</v>
      </c>
      <c r="D514" t="s">
        <v>2444</v>
      </c>
      <c r="E514" t="s">
        <v>25</v>
      </c>
      <c r="F514" s="387">
        <v>3</v>
      </c>
      <c r="G514" s="16">
        <f>'WetLitterbags placem_collection'!E221</f>
        <v>42769</v>
      </c>
      <c r="H514" s="92" t="str">
        <f>'Final data_for_R_analysis_Wetse'!J660</f>
        <v>G491</v>
      </c>
      <c r="I514" t="str">
        <f>'Final data_for_R_analysis_Wetse'!J880</f>
        <v>R356</v>
      </c>
      <c r="J514">
        <f>IFERROR(INDEX('Green_rooibos initial weight'!$C$5:$C$1749,MATCH(H514, 'Green_rooibos initial weight'!$A$5:$A$1749,0)),"")</f>
        <v>2.0249999999999999</v>
      </c>
      <c r="K514">
        <f>IFERROR(INDEX('Green_rooibos initial weight'!$C$5:$C$1749,MATCH(I514, 'Green_rooibos initial weight'!$A$5:$A$1749,0)),"")</f>
        <v>2.1619999999999999</v>
      </c>
      <c r="L514" s="195">
        <f t="shared" si="56"/>
        <v>1.7751999999999999</v>
      </c>
      <c r="M514" s="195">
        <f>AVERAGE(Ashed_controlls!$K$2:$K$11)</f>
        <v>5.5147656768714146</v>
      </c>
      <c r="N514" s="195">
        <f t="shared" si="54"/>
        <v>1.9121999999999999</v>
      </c>
      <c r="O514" s="16">
        <f>IF('WetLitterbags placem_collection'!G221="N.A","",'WetLitterbags placem_collection'!G221)</f>
        <v>42813</v>
      </c>
      <c r="P514" s="195">
        <f>IF(IFERROR(INDEX('Both teabags AfterWet'!$C$3:$C$841,MATCH(H514,'Both teabags AfterWet'!$A$3:$A$841,0)),"")="N.A","",(IFERROR(INDEX('Both teabags AfterWet'!$C$3:$C$841,MATCH(H514,'Both teabags AfterWet'!$A$3:$A$841,0)),"")))</f>
        <v>0.65569999999999995</v>
      </c>
      <c r="Q514" s="195">
        <f>IFERROR(INDEX('Both teabags AfterWet'!$C$3:$C$841,MATCH(I514,'Both teabags AfterWet'!$A$3:$A$841,0)),"")</f>
        <v>1.4823</v>
      </c>
      <c r="R514" s="195">
        <f t="shared" si="57"/>
        <v>0.50509999999999988</v>
      </c>
      <c r="S514" s="195">
        <f t="shared" si="57"/>
        <v>1.3316999999999999</v>
      </c>
      <c r="T514" s="195">
        <f t="shared" si="58"/>
        <v>0.71546867958539884</v>
      </c>
      <c r="U514" s="195">
        <f t="shared" si="59"/>
        <v>0.46904835051204297</v>
      </c>
      <c r="V514" s="195">
        <f t="shared" si="60"/>
        <v>0.69642296830875428</v>
      </c>
      <c r="W514">
        <f t="shared" si="55"/>
        <v>44</v>
      </c>
      <c r="X514" s="195">
        <f t="shared" si="61"/>
        <v>0.15027472733325553</v>
      </c>
      <c r="Y514" s="195">
        <f t="shared" si="62"/>
        <v>2.3679726733780458E-2</v>
      </c>
      <c r="Z514" s="255" t="str">
        <f>IF(ISNUMBER(SEARCH("C",'WetLitterbags placem_collection'!W441)),"YES","NO")</f>
        <v>NO</v>
      </c>
      <c r="AA514" s="255" t="str">
        <f>IF(ISNUMBER(SEARCH("H", 'WetLitterbags placem_collection'!Y221)),"YES","NO")</f>
        <v>NO</v>
      </c>
      <c r="AB514" s="255" t="str">
        <f>IF(ISNUMBER(SEARCH("R", 'WetLitterbags placem_collection'!WY221)),"YES","NO")</f>
        <v>NO</v>
      </c>
      <c r="AC514" s="255" t="str">
        <f>IF(ISNUMBER(SEARCH("C", 'WetLitterbags placem_collection'!VX221)),"YES","NO")</f>
        <v>NO</v>
      </c>
      <c r="AD514" s="255" t="str">
        <f>IF(ISNUMBER(SEARCH("H", 'WetLitterbags placem_collection'!X221)),"YES","NO")</f>
        <v>NO</v>
      </c>
      <c r="AE514" s="255" t="str">
        <f>IF(ISNUMBER(SEARCH("R", 'WetLitterbags placem_collection'!X221)),"YES","NO")</f>
        <v>YES</v>
      </c>
    </row>
    <row r="515" spans="2:31">
      <c r="B515" t="str">
        <f>'Final data_for_R_analysis_Wetse'!A661</f>
        <v>Wet</v>
      </c>
      <c r="C515" s="386">
        <f>'Final data_for_R_analysis_Wetse'!B661</f>
        <v>220</v>
      </c>
      <c r="D515" t="s">
        <v>2451</v>
      </c>
      <c r="E515" t="s">
        <v>25</v>
      </c>
      <c r="F515" s="387">
        <v>4</v>
      </c>
      <c r="G515" s="388">
        <f>'WetLitterbags placem_collection'!E222</f>
        <v>42769</v>
      </c>
      <c r="H515" s="92" t="str">
        <f>'Final data_for_R_analysis_Wetse'!J661</f>
        <v>G849</v>
      </c>
      <c r="I515" s="92" t="str">
        <f>'Final data_for_R_analysis_Wetse'!J881</f>
        <v>R319</v>
      </c>
      <c r="J515" s="92">
        <f>IFERROR(INDEX('Green_rooibos initial weight'!$C$5:$C$1749,MATCH(H515, 'Green_rooibos initial weight'!$A$5:$A$1749,0)),"")</f>
        <v>2.1070000000000002</v>
      </c>
      <c r="K515" s="92">
        <f>IFERROR(INDEX('Green_rooibos initial weight'!$C$5:$C$1749,MATCH(I515, 'Green_rooibos initial weight'!$A$5:$A$1749,0)),"")</f>
        <v>2.1709999999999998</v>
      </c>
      <c r="L515" s="195">
        <f t="shared" si="56"/>
        <v>1.8572000000000002</v>
      </c>
      <c r="M515" s="195">
        <f>AVERAGE(Ashed_controlls!$K$2:$K$11)</f>
        <v>5.5147656768714146</v>
      </c>
      <c r="N515" s="195">
        <f t="shared" si="54"/>
        <v>1.9211999999999998</v>
      </c>
      <c r="O515" s="388">
        <f>IF('WetLitterbags placem_collection'!G222="N.A","",'WetLitterbags placem_collection'!G222)</f>
        <v>42813</v>
      </c>
      <c r="P515" s="389">
        <f>IF(IFERROR(INDEX('Both teabags AfterWet'!$C$3:$C$841,MATCH(H515,'Both teabags AfterWet'!$A$3:$A$841,0)),"")="N.A","",(IFERROR(INDEX('Both teabags AfterWet'!$C$3:$C$841,MATCH(H515,'Both teabags AfterWet'!$A$3:$A$841,0)),"")))</f>
        <v>0.65239999999999998</v>
      </c>
      <c r="Q515" s="195">
        <f>IFERROR(INDEX('Both teabags AfterWet'!$C$3:$C$841,MATCH(I515,'Both teabags AfterWet'!$A$3:$A$841,0)),"")</f>
        <v>1.5328999999999999</v>
      </c>
      <c r="R515" s="195">
        <f t="shared" si="57"/>
        <v>0.50180000000000002</v>
      </c>
      <c r="S515" s="195">
        <f t="shared" si="57"/>
        <v>1.3822999999999999</v>
      </c>
      <c r="T515" s="195">
        <f t="shared" si="58"/>
        <v>0.72980831359035103</v>
      </c>
      <c r="U515" s="195">
        <f t="shared" si="59"/>
        <v>0.47844915570293806</v>
      </c>
      <c r="V515" s="195">
        <f t="shared" si="60"/>
        <v>0.71949823027274618</v>
      </c>
      <c r="W515" s="92">
        <f t="shared" si="55"/>
        <v>44</v>
      </c>
      <c r="X515" s="195">
        <f t="shared" si="61"/>
        <v>0.13324428314685144</v>
      </c>
      <c r="Y515" s="195">
        <f t="shared" si="62"/>
        <v>2.0057924536043888E-2</v>
      </c>
      <c r="Z515" s="255" t="str">
        <f>IF(ISNUMBER(SEARCH("C",'WetLitterbags placem_collection'!W442)),"YES","NO")</f>
        <v>NO</v>
      </c>
      <c r="AA515" s="255" t="str">
        <f>IF(ISNUMBER(SEARCH("H", 'WetLitterbags placem_collection'!Y222)),"YES","NO")</f>
        <v>NO</v>
      </c>
      <c r="AB515" s="255" t="str">
        <f>IF(ISNUMBER(SEARCH("R", 'WetLitterbags placem_collection'!WY222)),"YES","NO")</f>
        <v>NO</v>
      </c>
      <c r="AC515" s="255" t="str">
        <f>IF(ISNUMBER(SEARCH("C", 'WetLitterbags placem_collection'!VX222)),"YES","NO")</f>
        <v>NO</v>
      </c>
      <c r="AD515" s="255" t="str">
        <f>IF(ISNUMBER(SEARCH("H", 'WetLitterbags placem_collection'!X222)),"YES","NO")</f>
        <v>NO</v>
      </c>
      <c r="AE515" s="255" t="str">
        <f>IF(ISNUMBER(SEARCH("R", 'WetLitterbags placem_collection'!X222)),"YES","NO")</f>
        <v>YES</v>
      </c>
    </row>
  </sheetData>
  <mergeCells count="51">
    <mergeCell ref="B27:E27"/>
    <mergeCell ref="B12:E12"/>
    <mergeCell ref="B13:E13"/>
    <mergeCell ref="B14:E14"/>
    <mergeCell ref="B15:E15"/>
    <mergeCell ref="B16:E16"/>
    <mergeCell ref="B17:E17"/>
    <mergeCell ref="B18:E18"/>
    <mergeCell ref="B19:E19"/>
    <mergeCell ref="B20:E20"/>
    <mergeCell ref="B25:E25"/>
    <mergeCell ref="B26:E26"/>
    <mergeCell ref="B28:E28"/>
    <mergeCell ref="B29:E29"/>
    <mergeCell ref="B30:E30"/>
    <mergeCell ref="B31:E31"/>
    <mergeCell ref="B32:E32"/>
    <mergeCell ref="L48:M48"/>
    <mergeCell ref="K37:R37"/>
    <mergeCell ref="B38:D38"/>
    <mergeCell ref="O38:P38"/>
    <mergeCell ref="L40:M40"/>
    <mergeCell ref="L41:M41"/>
    <mergeCell ref="L42:M42"/>
    <mergeCell ref="B37:D37"/>
    <mergeCell ref="E37:F37"/>
    <mergeCell ref="L43:M43"/>
    <mergeCell ref="L44:M44"/>
    <mergeCell ref="L45:M45"/>
    <mergeCell ref="L46:M46"/>
    <mergeCell ref="L47:M47"/>
    <mergeCell ref="L60:M60"/>
    <mergeCell ref="L49:M49"/>
    <mergeCell ref="L50:M50"/>
    <mergeCell ref="L51:M51"/>
    <mergeCell ref="L52:M52"/>
    <mergeCell ref="L53:M53"/>
    <mergeCell ref="L54:M54"/>
    <mergeCell ref="L55:M55"/>
    <mergeCell ref="L56:M56"/>
    <mergeCell ref="L57:M57"/>
    <mergeCell ref="L58:M58"/>
    <mergeCell ref="L59:M59"/>
    <mergeCell ref="D73:H74"/>
    <mergeCell ref="Z74:AE74"/>
    <mergeCell ref="L61:M61"/>
    <mergeCell ref="L62:M62"/>
    <mergeCell ref="B68:E68"/>
    <mergeCell ref="B69:E69"/>
    <mergeCell ref="B70:E70"/>
    <mergeCell ref="F70:N70"/>
  </mergeCells>
  <dataValidations disablePrompts="1" count="7">
    <dataValidation type="list" allowBlank="1" showInputMessage="1" showErrorMessage="1" sqref="T39:T63" xr:uid="{04660C6F-4CB2-4378-84C5-6E134BF8DC38}">
      <formula1>aspect</formula1>
    </dataValidation>
    <dataValidation type="list" allowBlank="1" showInputMessage="1" showErrorMessage="1" sqref="S39:S63" xr:uid="{BB368BA4-6A64-4C0B-B702-BFBD16988D54}">
      <formula1>slope</formula1>
    </dataValidation>
    <dataValidation type="list" allowBlank="1" showInputMessage="1" showErrorMessage="1" sqref="R39:R63" xr:uid="{3C5C2EFD-718C-4A9F-A4EE-45A2C4061667}">
      <formula1>rootingdepth</formula1>
    </dataValidation>
    <dataValidation type="list" allowBlank="1" showInputMessage="1" showErrorMessage="1" sqref="Q39:Q63" xr:uid="{FF40A457-4679-4194-9900-B18BE152914A}">
      <formula1>soildepth</formula1>
    </dataValidation>
    <dataValidation type="list" allowBlank="1" showInputMessage="1" showErrorMessage="1" sqref="O39:O63" xr:uid="{FABCA808-9B30-49A4-B319-FF64C8DB761D}">
      <formula1>ecosystem</formula1>
    </dataValidation>
    <dataValidation type="list" allowBlank="1" showInputMessage="1" showErrorMessage="1" sqref="L39:L63" xr:uid="{8CB0FA61-0B71-4E4F-8F4C-99ECF38B5ADF}">
      <formula1>human_impact</formula1>
    </dataValidation>
    <dataValidation type="list" allowBlank="1" showInputMessage="1" showErrorMessage="1" sqref="K39:K63" xr:uid="{44A305A3-2FAF-4378-9917-D93B3C1AD50B}">
      <formula1>shading</formula1>
    </dataValidation>
  </dataValidations>
  <hyperlinks>
    <hyperlink ref="F16" r:id="rId1" xr:uid="{46BA2912-3B10-41B2-A13C-6F7CF5BBB88A}"/>
    <hyperlink ref="F15" r:id="rId2" xr:uid="{BAA89DE6-AADE-407B-965B-3DE59A67DDBC}"/>
  </hyperlinks>
  <pageMargins left="0.7" right="0.7" top="0.75" bottom="0.75" header="0.3" footer="0.3"/>
  <pageSetup paperSize="9" orientation="portrait" r:id="rId3"/>
  <legacyDrawing r:id="rId4"/>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4BAD4-2164-4E03-92D5-6B21C908D064}">
  <dimension ref="A1:AO515"/>
  <sheetViews>
    <sheetView topLeftCell="A73" zoomScale="85" zoomScaleNormal="85" workbookViewId="0">
      <selection activeCell="H76" sqref="H76"/>
    </sheetView>
  </sheetViews>
  <sheetFormatPr baseColWidth="10" defaultRowHeight="14.4"/>
  <cols>
    <col min="3" max="3" width="9.6640625" customWidth="1"/>
    <col min="4" max="4" width="23" customWidth="1"/>
    <col min="5" max="5" width="22.21875" customWidth="1"/>
    <col min="6" max="6" width="20.33203125" customWidth="1"/>
    <col min="7" max="7" width="18.33203125" customWidth="1"/>
    <col min="8" max="8" width="18.77734375" customWidth="1"/>
    <col min="9" max="9" width="13.77734375" customWidth="1"/>
    <col min="11" max="11" width="25.44140625" customWidth="1"/>
    <col min="14" max="14" width="25.77734375" customWidth="1"/>
    <col min="15" max="15" width="15.44140625" customWidth="1"/>
    <col min="16" max="16" width="27.33203125" customWidth="1"/>
    <col min="17" max="17" width="17.21875" customWidth="1"/>
    <col min="18" max="18" width="15.21875" customWidth="1"/>
  </cols>
  <sheetData>
    <row r="1" spans="2:13" s="289" customFormat="1">
      <c r="B1" s="289" t="s">
        <v>3793</v>
      </c>
      <c r="D1" s="289" t="s">
        <v>3794</v>
      </c>
      <c r="E1" s="290"/>
      <c r="K1" s="290"/>
      <c r="L1" s="291"/>
      <c r="M1" s="291"/>
    </row>
    <row r="2" spans="2:13" s="289" customFormat="1">
      <c r="B2" s="292" t="s">
        <v>3795</v>
      </c>
      <c r="E2" s="290"/>
      <c r="K2" s="290"/>
      <c r="L2" s="291"/>
      <c r="M2" s="291"/>
    </row>
    <row r="3" spans="2:13" s="294" customFormat="1" ht="30" customHeight="1">
      <c r="B3" s="293" t="s">
        <v>3796</v>
      </c>
      <c r="E3" s="295"/>
      <c r="K3" s="295"/>
      <c r="L3" s="296"/>
      <c r="M3" s="296"/>
    </row>
    <row r="4" spans="2:13" s="298" customFormat="1">
      <c r="B4" s="297" t="s">
        <v>3797</v>
      </c>
      <c r="E4" s="299"/>
      <c r="K4" s="299"/>
      <c r="L4" s="300"/>
      <c r="M4" s="300"/>
    </row>
    <row r="5" spans="2:13" s="298" customFormat="1">
      <c r="B5" s="298" t="s">
        <v>3798</v>
      </c>
      <c r="E5" s="299"/>
      <c r="K5" s="299"/>
      <c r="L5" s="300"/>
      <c r="M5" s="300"/>
    </row>
    <row r="6" spans="2:13" s="297" customFormat="1">
      <c r="B6" s="297" t="s">
        <v>3799</v>
      </c>
      <c r="E6" s="301"/>
      <c r="K6" s="301"/>
      <c r="L6" s="302"/>
      <c r="M6" s="302"/>
    </row>
    <row r="7" spans="2:13" s="289" customFormat="1">
      <c r="B7" s="303" t="s">
        <v>3800</v>
      </c>
      <c r="C7" s="304"/>
      <c r="D7" s="304"/>
      <c r="E7" s="305"/>
      <c r="G7" s="304"/>
      <c r="K7" s="290"/>
      <c r="L7" s="291"/>
      <c r="M7" s="291"/>
    </row>
    <row r="8" spans="2:13" s="289" customFormat="1">
      <c r="B8" s="304"/>
      <c r="C8" s="304"/>
      <c r="D8" s="304"/>
      <c r="E8" s="305"/>
      <c r="G8" s="304"/>
      <c r="K8" s="290"/>
      <c r="L8" s="291"/>
      <c r="M8" s="291"/>
    </row>
    <row r="9" spans="2:13" s="289" customFormat="1">
      <c r="B9" s="304"/>
      <c r="C9" s="304"/>
      <c r="D9" s="304"/>
      <c r="E9" s="305"/>
      <c r="G9" s="304"/>
      <c r="K9" s="290"/>
      <c r="L9" s="291"/>
      <c r="M9" s="291"/>
    </row>
    <row r="10" spans="2:13" s="304" customFormat="1">
      <c r="B10" s="306" t="s">
        <v>3801</v>
      </c>
      <c r="C10" s="306"/>
      <c r="E10" s="305"/>
      <c r="K10" s="305"/>
      <c r="L10" s="307"/>
      <c r="M10" s="307"/>
    </row>
    <row r="11" spans="2:13" s="304" customFormat="1" ht="15" thickBot="1">
      <c r="B11" s="306" t="s">
        <v>3802</v>
      </c>
      <c r="C11" s="306"/>
      <c r="E11" s="305"/>
      <c r="F11" s="304" t="s">
        <v>3803</v>
      </c>
      <c r="K11" s="305"/>
      <c r="L11" s="307"/>
      <c r="M11" s="307"/>
    </row>
    <row r="12" spans="2:13" s="303" customFormat="1">
      <c r="B12" s="445" t="s">
        <v>0</v>
      </c>
      <c r="C12" s="436"/>
      <c r="D12" s="436"/>
      <c r="E12" s="436"/>
      <c r="F12" s="308" t="s">
        <v>3804</v>
      </c>
      <c r="G12" s="309"/>
      <c r="H12" s="309"/>
      <c r="I12" s="309"/>
      <c r="K12" s="310"/>
      <c r="L12" s="311"/>
      <c r="M12" s="311"/>
    </row>
    <row r="13" spans="2:13" s="303" customFormat="1">
      <c r="B13" s="441" t="s">
        <v>3805</v>
      </c>
      <c r="C13" s="442"/>
      <c r="D13" s="442"/>
      <c r="E13" s="442"/>
      <c r="F13" s="313" t="s">
        <v>3806</v>
      </c>
      <c r="G13" s="309"/>
      <c r="H13" s="309"/>
      <c r="I13" s="309"/>
      <c r="K13" s="310"/>
      <c r="L13" s="311"/>
      <c r="M13" s="311"/>
    </row>
    <row r="14" spans="2:13" s="303" customFormat="1">
      <c r="B14" s="441" t="s">
        <v>1</v>
      </c>
      <c r="C14" s="442"/>
      <c r="D14" s="442"/>
      <c r="E14" s="442"/>
      <c r="F14" s="314" t="s">
        <v>3807</v>
      </c>
      <c r="G14" s="315"/>
      <c r="H14" s="316"/>
      <c r="I14" s="316"/>
      <c r="J14" s="316"/>
      <c r="K14" s="310"/>
      <c r="L14" s="311"/>
      <c r="M14" s="311"/>
    </row>
    <row r="15" spans="2:13" s="303" customFormat="1">
      <c r="B15" s="441" t="s">
        <v>2</v>
      </c>
      <c r="C15" s="442"/>
      <c r="D15" s="442"/>
      <c r="E15" s="442"/>
      <c r="F15" s="317" t="s">
        <v>3808</v>
      </c>
      <c r="G15" s="318"/>
      <c r="H15" s="319"/>
      <c r="I15" s="319"/>
      <c r="K15" s="310"/>
      <c r="L15" s="311"/>
      <c r="M15" s="311"/>
    </row>
    <row r="16" spans="2:13" s="303" customFormat="1">
      <c r="B16" s="441" t="s">
        <v>3</v>
      </c>
      <c r="C16" s="442"/>
      <c r="D16" s="442"/>
      <c r="E16" s="442"/>
      <c r="F16" s="320" t="s">
        <v>3809</v>
      </c>
      <c r="G16" s="319"/>
      <c r="H16" s="319"/>
      <c r="I16" s="319"/>
      <c r="K16" s="310"/>
      <c r="L16" s="311"/>
      <c r="M16" s="311"/>
    </row>
    <row r="17" spans="2:14" s="303" customFormat="1">
      <c r="B17" s="441" t="s">
        <v>4</v>
      </c>
      <c r="C17" s="442"/>
      <c r="D17" s="442"/>
      <c r="E17" s="442"/>
      <c r="F17" s="321" t="s">
        <v>3810</v>
      </c>
      <c r="G17" s="319"/>
      <c r="H17" s="319"/>
      <c r="I17" s="319"/>
      <c r="K17" s="310"/>
      <c r="L17" s="311"/>
      <c r="M17" s="311"/>
    </row>
    <row r="18" spans="2:14" s="303" customFormat="1">
      <c r="B18" s="441" t="s">
        <v>5</v>
      </c>
      <c r="C18" s="442"/>
      <c r="D18" s="442"/>
      <c r="E18" s="442"/>
      <c r="F18" s="321" t="s">
        <v>3811</v>
      </c>
      <c r="G18" s="319"/>
      <c r="H18" s="319"/>
      <c r="I18" s="319"/>
      <c r="K18" s="310"/>
      <c r="L18" s="311"/>
      <c r="M18" s="311"/>
    </row>
    <row r="19" spans="2:14" s="303" customFormat="1">
      <c r="B19" s="441" t="s">
        <v>6</v>
      </c>
      <c r="C19" s="442"/>
      <c r="D19" s="442"/>
      <c r="E19" s="442"/>
      <c r="F19" s="314" t="s">
        <v>3812</v>
      </c>
      <c r="G19" s="318"/>
      <c r="H19" s="322"/>
      <c r="I19" s="322"/>
      <c r="J19" s="322"/>
      <c r="K19" s="322"/>
      <c r="L19" s="322"/>
      <c r="M19" s="322"/>
      <c r="N19" s="322"/>
    </row>
    <row r="20" spans="2:14" s="303" customFormat="1" ht="15" thickBot="1">
      <c r="B20" s="443" t="s">
        <v>7</v>
      </c>
      <c r="C20" s="444"/>
      <c r="D20" s="444"/>
      <c r="E20" s="444"/>
      <c r="F20" s="323" t="s">
        <v>3813</v>
      </c>
      <c r="G20" s="319"/>
      <c r="H20" s="319"/>
      <c r="I20" s="319"/>
      <c r="K20" s="310"/>
      <c r="L20" s="311"/>
      <c r="M20" s="311"/>
    </row>
    <row r="21" spans="2:14">
      <c r="B21" s="309" t="s">
        <v>3814</v>
      </c>
      <c r="C21" s="309"/>
      <c r="D21" s="309"/>
      <c r="E21" s="309"/>
      <c r="F21" s="319"/>
    </row>
    <row r="23" spans="2:14">
      <c r="B23" s="324" t="s">
        <v>3815</v>
      </c>
      <c r="C23" s="309"/>
      <c r="D23" s="325"/>
      <c r="E23" s="326"/>
      <c r="F23" s="303"/>
      <c r="G23" s="303"/>
      <c r="H23" s="303"/>
      <c r="I23" s="303"/>
    </row>
    <row r="24" spans="2:14" ht="15" thickBot="1">
      <c r="B24" s="324" t="s">
        <v>3816</v>
      </c>
      <c r="C24" s="309"/>
      <c r="D24" s="325"/>
      <c r="E24" s="326"/>
      <c r="F24" s="303" t="s">
        <v>3803</v>
      </c>
      <c r="G24" s="303"/>
      <c r="H24" s="303"/>
      <c r="I24" s="303"/>
    </row>
    <row r="25" spans="2:14">
      <c r="B25" s="445" t="s">
        <v>8</v>
      </c>
      <c r="C25" s="436"/>
      <c r="D25" s="436"/>
      <c r="E25" s="436"/>
      <c r="F25" s="327">
        <v>0.84199999999999997</v>
      </c>
      <c r="G25" s="303"/>
      <c r="H25" s="303"/>
      <c r="I25" s="303"/>
    </row>
    <row r="26" spans="2:14">
      <c r="B26" s="441" t="s">
        <v>9</v>
      </c>
      <c r="C26" s="442"/>
      <c r="D26" s="442"/>
      <c r="E26" s="442"/>
      <c r="F26" s="328">
        <v>0.55200000000000005</v>
      </c>
      <c r="G26" s="303"/>
      <c r="H26" s="303"/>
      <c r="I26" s="303"/>
    </row>
    <row r="27" spans="2:14">
      <c r="B27" s="441" t="s">
        <v>10</v>
      </c>
      <c r="C27" s="442"/>
      <c r="D27" s="442"/>
      <c r="E27" s="442"/>
      <c r="F27" s="329">
        <v>0.12180000000000001</v>
      </c>
      <c r="G27" s="303"/>
      <c r="H27" s="303"/>
      <c r="I27" s="303"/>
    </row>
    <row r="28" spans="2:14">
      <c r="B28" s="441" t="s">
        <v>11</v>
      </c>
      <c r="C28" s="442"/>
      <c r="D28" s="442"/>
      <c r="E28" s="442"/>
      <c r="F28" s="329">
        <v>2.8799999999999999E-2</v>
      </c>
      <c r="G28" s="303"/>
      <c r="H28" s="303"/>
      <c r="I28" s="303"/>
    </row>
    <row r="29" spans="2:14">
      <c r="B29" s="441" t="s">
        <v>12</v>
      </c>
      <c r="C29" s="442"/>
      <c r="D29" s="442"/>
      <c r="E29" s="442"/>
      <c r="F29" s="330">
        <f>F27+F28</f>
        <v>0.15060000000000001</v>
      </c>
      <c r="G29" s="303"/>
      <c r="H29" s="303"/>
      <c r="I29" s="303"/>
    </row>
    <row r="30" spans="2:14">
      <c r="B30" s="441" t="s">
        <v>13</v>
      </c>
      <c r="C30" s="442"/>
      <c r="D30" s="442"/>
      <c r="E30" s="442"/>
      <c r="F30" s="329">
        <v>9.9199999999999997E-2</v>
      </c>
      <c r="G30" s="303"/>
      <c r="H30" s="303"/>
      <c r="I30" s="303"/>
    </row>
    <row r="31" spans="2:14">
      <c r="B31" s="441" t="s">
        <v>14</v>
      </c>
      <c r="C31" s="442"/>
      <c r="D31" s="442"/>
      <c r="E31" s="442"/>
      <c r="F31" s="329">
        <v>1</v>
      </c>
      <c r="G31" s="303" t="s">
        <v>3817</v>
      </c>
      <c r="H31" s="303"/>
      <c r="I31" s="303"/>
    </row>
    <row r="32" spans="2:14" ht="15" thickBot="1">
      <c r="B32" s="443" t="s">
        <v>15</v>
      </c>
      <c r="C32" s="444"/>
      <c r="D32" s="444"/>
      <c r="E32" s="444"/>
      <c r="F32" s="331">
        <v>1</v>
      </c>
      <c r="G32" s="303"/>
      <c r="H32" s="303"/>
      <c r="I32" s="303"/>
    </row>
    <row r="33" spans="1:24">
      <c r="A33" s="303"/>
      <c r="B33" s="309"/>
      <c r="C33" s="309"/>
      <c r="D33" s="309"/>
      <c r="E33" s="309"/>
      <c r="F33" s="332"/>
      <c r="G33" s="303"/>
      <c r="H33" s="303"/>
      <c r="I33" s="303"/>
      <c r="J33" s="303"/>
      <c r="K33" s="310"/>
      <c r="L33" s="311"/>
      <c r="M33" s="311"/>
      <c r="N33" s="303"/>
      <c r="O33" s="303"/>
      <c r="P33" s="303"/>
      <c r="Q33" s="303"/>
      <c r="R33" s="303"/>
      <c r="S33" s="303"/>
      <c r="T33" s="303"/>
      <c r="U33" s="303"/>
      <c r="V33" s="303"/>
      <c r="W33" s="303"/>
      <c r="X33" s="303"/>
    </row>
    <row r="34" spans="1:24">
      <c r="A34" s="303"/>
      <c r="B34" s="333" t="s">
        <v>3818</v>
      </c>
      <c r="C34" s="319"/>
      <c r="D34" s="303"/>
      <c r="E34" s="310"/>
      <c r="F34" s="303"/>
      <c r="G34" s="303"/>
      <c r="H34" s="303"/>
      <c r="I34" s="303"/>
      <c r="J34" s="303"/>
      <c r="K34" s="310"/>
      <c r="L34" s="311"/>
      <c r="M34" s="311"/>
      <c r="N34" s="303"/>
      <c r="O34" s="303"/>
      <c r="P34" s="303"/>
      <c r="Q34" s="303"/>
      <c r="R34" s="303"/>
      <c r="S34" s="303"/>
      <c r="T34" s="303"/>
      <c r="U34" s="303"/>
      <c r="V34" s="303"/>
      <c r="W34" s="303"/>
      <c r="X34" s="303"/>
    </row>
    <row r="35" spans="1:24">
      <c r="A35" s="289"/>
      <c r="B35" s="289"/>
      <c r="C35" s="289"/>
      <c r="D35" s="289"/>
      <c r="E35" s="289"/>
      <c r="F35" s="290"/>
      <c r="G35" s="289"/>
      <c r="H35" s="304"/>
      <c r="I35" s="304"/>
      <c r="J35" s="289"/>
      <c r="K35" s="289"/>
      <c r="L35" s="289"/>
      <c r="M35" s="289"/>
      <c r="N35" s="289"/>
      <c r="O35" s="289"/>
      <c r="P35" s="289"/>
      <c r="Q35" s="289"/>
      <c r="R35" s="289"/>
      <c r="S35" s="289"/>
      <c r="T35" s="289"/>
      <c r="U35" s="289"/>
      <c r="V35" s="289"/>
      <c r="W35" s="289"/>
      <c r="X35" s="289"/>
    </row>
    <row r="36" spans="1:24" ht="15" thickBot="1">
      <c r="A36" s="303"/>
      <c r="B36" s="333" t="s">
        <v>3819</v>
      </c>
      <c r="C36" s="303"/>
      <c r="D36" s="303"/>
      <c r="E36" s="310"/>
      <c r="F36" s="310"/>
      <c r="G36" s="303"/>
      <c r="H36" s="303" t="s">
        <v>3820</v>
      </c>
      <c r="I36" s="303"/>
      <c r="J36" s="303"/>
      <c r="K36" s="303"/>
      <c r="L36" s="303"/>
      <c r="M36" s="303"/>
      <c r="N36" s="303"/>
      <c r="O36" s="303"/>
      <c r="P36" s="303"/>
      <c r="Q36" s="303"/>
      <c r="R36" s="303"/>
      <c r="S36" s="303"/>
      <c r="T36" s="303"/>
      <c r="U36" s="303"/>
      <c r="V36" s="303"/>
      <c r="W36" s="303"/>
      <c r="X36" s="303"/>
    </row>
    <row r="37" spans="1:24" ht="15" customHeight="1" thickBot="1">
      <c r="A37" s="319"/>
      <c r="B37" s="437" t="s">
        <v>3821</v>
      </c>
      <c r="C37" s="438"/>
      <c r="D37" s="438"/>
      <c r="E37" s="439" t="s">
        <v>17</v>
      </c>
      <c r="F37" s="440"/>
      <c r="G37" s="334" t="s">
        <v>3822</v>
      </c>
      <c r="H37" s="335"/>
      <c r="I37" s="335"/>
      <c r="J37" s="336"/>
      <c r="K37" s="431" t="s">
        <v>3823</v>
      </c>
      <c r="L37" s="432"/>
      <c r="M37" s="432"/>
      <c r="N37" s="432"/>
      <c r="O37" s="432"/>
      <c r="P37" s="432"/>
      <c r="Q37" s="432"/>
      <c r="R37" s="433"/>
    </row>
    <row r="38" spans="1:24" ht="15" thickBot="1">
      <c r="A38" s="319"/>
      <c r="B38" s="434" t="s">
        <v>16</v>
      </c>
      <c r="C38" s="435"/>
      <c r="D38" s="435"/>
      <c r="E38" s="337" t="s">
        <v>18</v>
      </c>
      <c r="F38" s="338" t="s">
        <v>212</v>
      </c>
      <c r="G38" s="339" t="s">
        <v>2677</v>
      </c>
      <c r="H38" s="340" t="s">
        <v>2678</v>
      </c>
      <c r="I38" s="340" t="s">
        <v>2679</v>
      </c>
      <c r="J38" s="340" t="s">
        <v>2680</v>
      </c>
      <c r="K38" s="334" t="s">
        <v>204</v>
      </c>
      <c r="L38" s="336" t="s">
        <v>203</v>
      </c>
      <c r="M38" s="336"/>
      <c r="N38" s="336" t="s">
        <v>205</v>
      </c>
      <c r="O38" s="436" t="s">
        <v>216</v>
      </c>
      <c r="P38" s="436"/>
      <c r="Q38" s="336" t="s">
        <v>206</v>
      </c>
      <c r="R38" s="336" t="s">
        <v>207</v>
      </c>
      <c r="S38" s="336" t="s">
        <v>217</v>
      </c>
      <c r="T38" s="327" t="s">
        <v>218</v>
      </c>
    </row>
    <row r="39" spans="1:24">
      <c r="A39" s="319"/>
      <c r="B39" s="341" t="s">
        <v>3824</v>
      </c>
      <c r="C39" s="342"/>
      <c r="D39" s="343" t="s">
        <v>3825</v>
      </c>
      <c r="E39" s="344">
        <v>-3.3978609999999998</v>
      </c>
      <c r="F39" s="345">
        <v>34.837608000000003</v>
      </c>
      <c r="G39" s="346">
        <v>12.565665055683967</v>
      </c>
      <c r="H39" s="347">
        <v>0.9665896196679955</v>
      </c>
      <c r="I39" s="347">
        <v>86.467745324648035</v>
      </c>
      <c r="J39" s="348">
        <v>1.0225726959093147</v>
      </c>
      <c r="K39" s="344" t="s">
        <v>229</v>
      </c>
      <c r="L39" s="349" t="s">
        <v>257</v>
      </c>
      <c r="M39" s="349"/>
      <c r="N39" s="349" t="s">
        <v>2672</v>
      </c>
      <c r="O39" s="349" t="s">
        <v>3826</v>
      </c>
      <c r="P39" s="349"/>
      <c r="Q39" s="349" t="s">
        <v>247</v>
      </c>
      <c r="R39" s="349" t="s">
        <v>247</v>
      </c>
      <c r="S39" s="349" t="s">
        <v>234</v>
      </c>
      <c r="T39" s="308" t="s">
        <v>3827</v>
      </c>
    </row>
    <row r="40" spans="1:24">
      <c r="A40" s="319"/>
      <c r="B40" s="350" t="s">
        <v>3828</v>
      </c>
      <c r="C40" s="351"/>
      <c r="D40" s="352" t="s">
        <v>3825</v>
      </c>
      <c r="E40" s="353">
        <v>-3.3978290019999999</v>
      </c>
      <c r="F40" s="354">
        <v>34.837011969999999</v>
      </c>
      <c r="G40" s="355">
        <v>21.13063730679653</v>
      </c>
      <c r="H40" s="356">
        <v>3.0912555579081076</v>
      </c>
      <c r="I40" s="356">
        <v>75.778107135295357</v>
      </c>
      <c r="J40" s="357">
        <v>0.46131099063578063</v>
      </c>
      <c r="K40" s="353" t="s">
        <v>229</v>
      </c>
      <c r="L40" s="423" t="s">
        <v>257</v>
      </c>
      <c r="M40" s="423"/>
      <c r="N40" s="358" t="s">
        <v>2670</v>
      </c>
      <c r="O40" s="358" t="s">
        <v>3826</v>
      </c>
      <c r="P40" s="358"/>
      <c r="Q40" s="358" t="s">
        <v>247</v>
      </c>
      <c r="R40" s="358" t="s">
        <v>247</v>
      </c>
      <c r="S40" s="358" t="s">
        <v>234</v>
      </c>
      <c r="T40" s="313" t="s">
        <v>3827</v>
      </c>
    </row>
    <row r="41" spans="1:24">
      <c r="A41" s="319"/>
      <c r="B41" s="350" t="s">
        <v>3829</v>
      </c>
      <c r="C41" s="351"/>
      <c r="D41" s="352" t="s">
        <v>3825</v>
      </c>
      <c r="E41" s="353">
        <v>-3.3854090330000002</v>
      </c>
      <c r="F41" s="354">
        <v>34.818901029999999</v>
      </c>
      <c r="G41" s="355">
        <v>54.080969906906262</v>
      </c>
      <c r="H41" s="356">
        <v>21.264484651351896</v>
      </c>
      <c r="I41" s="356">
        <v>24.654545441741845</v>
      </c>
      <c r="J41" s="357">
        <v>1.8433218334154755</v>
      </c>
      <c r="K41" s="353" t="s">
        <v>229</v>
      </c>
      <c r="L41" s="423" t="s">
        <v>257</v>
      </c>
      <c r="M41" s="423"/>
      <c r="N41" s="358" t="s">
        <v>2673</v>
      </c>
      <c r="O41" s="358" t="s">
        <v>3826</v>
      </c>
      <c r="P41" s="358"/>
      <c r="Q41" s="358" t="s">
        <v>247</v>
      </c>
      <c r="R41" s="358" t="s">
        <v>247</v>
      </c>
      <c r="S41" s="358" t="s">
        <v>234</v>
      </c>
      <c r="T41" s="313" t="s">
        <v>3827</v>
      </c>
    </row>
    <row r="42" spans="1:24">
      <c r="A42" s="319"/>
      <c r="B42" s="350" t="s">
        <v>3830</v>
      </c>
      <c r="C42" s="351"/>
      <c r="D42" s="352" t="s">
        <v>3825</v>
      </c>
      <c r="E42" s="353">
        <v>-3.3849129919999998</v>
      </c>
      <c r="F42" s="354">
        <v>34.818899020000003</v>
      </c>
      <c r="G42" s="355">
        <v>51.960000000000008</v>
      </c>
      <c r="H42" s="356">
        <v>18.919999999999995</v>
      </c>
      <c r="I42" s="356">
        <v>29.120000000000005</v>
      </c>
      <c r="J42" s="357">
        <v>1.85293247905372</v>
      </c>
      <c r="K42" s="353" t="s">
        <v>229</v>
      </c>
      <c r="L42" s="423" t="s">
        <v>257</v>
      </c>
      <c r="M42" s="423"/>
      <c r="N42" s="358" t="s">
        <v>2673</v>
      </c>
      <c r="O42" s="358" t="s">
        <v>3826</v>
      </c>
      <c r="P42" s="358"/>
      <c r="Q42" s="358" t="s">
        <v>247</v>
      </c>
      <c r="R42" s="358" t="s">
        <v>247</v>
      </c>
      <c r="S42" s="358" t="s">
        <v>234</v>
      </c>
      <c r="T42" s="313" t="s">
        <v>3827</v>
      </c>
    </row>
    <row r="43" spans="1:24">
      <c r="A43" s="319"/>
      <c r="B43" s="350" t="s">
        <v>3831</v>
      </c>
      <c r="C43" s="351"/>
      <c r="D43" s="352" t="s">
        <v>3832</v>
      </c>
      <c r="E43" s="353">
        <v>-3.4092039989999998</v>
      </c>
      <c r="F43" s="354">
        <v>34.852751009999999</v>
      </c>
      <c r="G43" s="355">
        <v>23.96</v>
      </c>
      <c r="H43" s="356">
        <v>0.91999999999999804</v>
      </c>
      <c r="I43" s="356">
        <v>75.12</v>
      </c>
      <c r="J43" s="357">
        <v>1.2493839329719072</v>
      </c>
      <c r="K43" s="353" t="s">
        <v>229</v>
      </c>
      <c r="L43" s="423" t="s">
        <v>244</v>
      </c>
      <c r="M43" s="423"/>
      <c r="N43" s="358" t="s">
        <v>2670</v>
      </c>
      <c r="O43" s="358" t="s">
        <v>3826</v>
      </c>
      <c r="P43" s="358"/>
      <c r="Q43" s="358" t="s">
        <v>247</v>
      </c>
      <c r="R43" s="358" t="s">
        <v>247</v>
      </c>
      <c r="S43" s="358" t="s">
        <v>234</v>
      </c>
      <c r="T43" s="313" t="s">
        <v>3827</v>
      </c>
    </row>
    <row r="44" spans="1:24">
      <c r="A44" s="319"/>
      <c r="B44" s="350" t="s">
        <v>3833</v>
      </c>
      <c r="C44" s="351"/>
      <c r="D44" s="352" t="s">
        <v>3832</v>
      </c>
      <c r="E44" s="353">
        <v>-3.4083420040000001</v>
      </c>
      <c r="F44" s="354">
        <v>34.850283040000001</v>
      </c>
      <c r="G44" s="355">
        <v>19.96</v>
      </c>
      <c r="H44" s="356">
        <v>4.9199999999999982</v>
      </c>
      <c r="I44" s="356">
        <v>75.12</v>
      </c>
      <c r="J44" s="357">
        <v>1.641498275012321</v>
      </c>
      <c r="K44" s="353" t="s">
        <v>229</v>
      </c>
      <c r="L44" s="423" t="s">
        <v>244</v>
      </c>
      <c r="M44" s="423"/>
      <c r="N44" s="358" t="s">
        <v>2671</v>
      </c>
      <c r="O44" s="358" t="s">
        <v>3826</v>
      </c>
      <c r="P44" s="358"/>
      <c r="Q44" s="358" t="s">
        <v>247</v>
      </c>
      <c r="R44" s="358" t="s">
        <v>247</v>
      </c>
      <c r="S44" s="358" t="s">
        <v>234</v>
      </c>
      <c r="T44" s="313" t="s">
        <v>3827</v>
      </c>
    </row>
    <row r="45" spans="1:24">
      <c r="A45" s="319"/>
      <c r="B45" s="350" t="s">
        <v>3834</v>
      </c>
      <c r="C45" s="351"/>
      <c r="D45" s="352" t="s">
        <v>3832</v>
      </c>
      <c r="E45" s="353">
        <v>-3.406225992</v>
      </c>
      <c r="F45" s="354">
        <v>34.85055998</v>
      </c>
      <c r="G45" s="355">
        <v>21.96</v>
      </c>
      <c r="H45" s="356">
        <v>8.9199999999999982</v>
      </c>
      <c r="I45" s="356">
        <v>69.12</v>
      </c>
      <c r="J45" s="357">
        <v>1.7491375061606702</v>
      </c>
      <c r="K45" s="353" t="s">
        <v>229</v>
      </c>
      <c r="L45" s="423" t="s">
        <v>244</v>
      </c>
      <c r="M45" s="423"/>
      <c r="N45" s="358" t="s">
        <v>2670</v>
      </c>
      <c r="O45" s="358" t="s">
        <v>3826</v>
      </c>
      <c r="P45" s="358"/>
      <c r="Q45" s="358" t="s">
        <v>247</v>
      </c>
      <c r="R45" s="358" t="s">
        <v>247</v>
      </c>
      <c r="S45" s="358" t="s">
        <v>234</v>
      </c>
      <c r="T45" s="313" t="s">
        <v>3827</v>
      </c>
    </row>
    <row r="46" spans="1:24">
      <c r="A46" s="319"/>
      <c r="B46" s="350" t="s">
        <v>3835</v>
      </c>
      <c r="C46" s="351"/>
      <c r="D46" s="352" t="s">
        <v>3832</v>
      </c>
      <c r="E46" s="353">
        <v>-3.4064239729999999</v>
      </c>
      <c r="F46" s="354">
        <v>34.851213010000002</v>
      </c>
      <c r="G46" s="355">
        <v>25.96</v>
      </c>
      <c r="H46" s="356">
        <v>6.9200000000000008</v>
      </c>
      <c r="I46" s="356">
        <v>67.12</v>
      </c>
      <c r="J46" s="357">
        <v>1.7568260226712666</v>
      </c>
      <c r="K46" s="353" t="s">
        <v>229</v>
      </c>
      <c r="L46" s="423" t="s">
        <v>244</v>
      </c>
      <c r="M46" s="423"/>
      <c r="N46" s="358" t="s">
        <v>2670</v>
      </c>
      <c r="O46" s="358" t="s">
        <v>3826</v>
      </c>
      <c r="P46" s="358"/>
      <c r="Q46" s="358" t="s">
        <v>247</v>
      </c>
      <c r="R46" s="358" t="s">
        <v>247</v>
      </c>
      <c r="S46" s="358" t="s">
        <v>234</v>
      </c>
      <c r="T46" s="313" t="s">
        <v>3827</v>
      </c>
    </row>
    <row r="47" spans="1:24">
      <c r="A47" s="319"/>
      <c r="B47" s="350" t="s">
        <v>3836</v>
      </c>
      <c r="C47" s="351"/>
      <c r="D47" s="352" t="s">
        <v>3837</v>
      </c>
      <c r="E47" s="353">
        <v>-3.2993960379999998</v>
      </c>
      <c r="F47" s="354">
        <v>34.848240959999998</v>
      </c>
      <c r="G47" s="355">
        <v>47.96</v>
      </c>
      <c r="H47" s="356">
        <v>22.919999999999995</v>
      </c>
      <c r="I47" s="356">
        <v>29.120000000000012</v>
      </c>
      <c r="J47" s="357">
        <v>2.8831936914736325</v>
      </c>
      <c r="K47" s="353" t="s">
        <v>229</v>
      </c>
      <c r="L47" s="423" t="s">
        <v>230</v>
      </c>
      <c r="M47" s="423"/>
      <c r="N47" s="358" t="s">
        <v>2673</v>
      </c>
      <c r="O47" s="358" t="s">
        <v>3826</v>
      </c>
      <c r="P47" s="358"/>
      <c r="Q47" s="358" t="s">
        <v>247</v>
      </c>
      <c r="R47" s="358" t="s">
        <v>247</v>
      </c>
      <c r="S47" s="358" t="s">
        <v>234</v>
      </c>
      <c r="T47" s="313" t="s">
        <v>3827</v>
      </c>
    </row>
    <row r="48" spans="1:24">
      <c r="A48" s="319"/>
      <c r="B48" s="350" t="s">
        <v>3838</v>
      </c>
      <c r="C48" s="351"/>
      <c r="D48" s="352" t="s">
        <v>3837</v>
      </c>
      <c r="E48" s="353">
        <v>-3.3025860229999999</v>
      </c>
      <c r="F48" s="354">
        <v>34.848048009999999</v>
      </c>
      <c r="G48" s="355">
        <v>45.272914521112256</v>
      </c>
      <c r="H48" s="356">
        <v>23.604531410916575</v>
      </c>
      <c r="I48" s="356">
        <v>31.122554067971166</v>
      </c>
      <c r="J48" s="357">
        <v>2.0547560374568752</v>
      </c>
      <c r="K48" s="353" t="s">
        <v>229</v>
      </c>
      <c r="L48" s="423" t="s">
        <v>230</v>
      </c>
      <c r="M48" s="423"/>
      <c r="N48" s="358" t="s">
        <v>2673</v>
      </c>
      <c r="O48" s="358" t="s">
        <v>3826</v>
      </c>
      <c r="P48" s="358"/>
      <c r="Q48" s="358" t="s">
        <v>247</v>
      </c>
      <c r="R48" s="358" t="s">
        <v>247</v>
      </c>
      <c r="S48" s="358" t="s">
        <v>234</v>
      </c>
      <c r="T48" s="313" t="s">
        <v>3827</v>
      </c>
    </row>
    <row r="49" spans="1:20">
      <c r="A49" s="319"/>
      <c r="B49" s="350" t="s">
        <v>3839</v>
      </c>
      <c r="C49" s="351"/>
      <c r="D49" s="352" t="s">
        <v>3837</v>
      </c>
      <c r="E49" s="353">
        <v>-3.2957159630000001</v>
      </c>
      <c r="F49" s="354">
        <v>34.852460999999998</v>
      </c>
      <c r="G49" s="355">
        <v>38.691629007962128</v>
      </c>
      <c r="H49" s="356">
        <v>26.81299763288143</v>
      </c>
      <c r="I49" s="356">
        <v>34.495373359156439</v>
      </c>
      <c r="J49" s="357">
        <v>2.5483587974371611</v>
      </c>
      <c r="K49" s="353" t="s">
        <v>229</v>
      </c>
      <c r="L49" s="423" t="s">
        <v>230</v>
      </c>
      <c r="M49" s="423"/>
      <c r="N49" s="358" t="s">
        <v>2675</v>
      </c>
      <c r="O49" s="358" t="s">
        <v>3826</v>
      </c>
      <c r="P49" s="358"/>
      <c r="Q49" s="358" t="s">
        <v>247</v>
      </c>
      <c r="R49" s="358" t="s">
        <v>247</v>
      </c>
      <c r="S49" s="358" t="s">
        <v>234</v>
      </c>
      <c r="T49" s="313" t="s">
        <v>3827</v>
      </c>
    </row>
    <row r="50" spans="1:20">
      <c r="A50" s="319"/>
      <c r="B50" s="350" t="s">
        <v>3840</v>
      </c>
      <c r="C50" s="351"/>
      <c r="D50" s="352" t="s">
        <v>3837</v>
      </c>
      <c r="E50" s="353">
        <v>-3.2966709980000002</v>
      </c>
      <c r="F50" s="354">
        <v>34.854407019999996</v>
      </c>
      <c r="G50" s="355">
        <v>28.145762029394</v>
      </c>
      <c r="H50" s="356">
        <v>25.085564727199518</v>
      </c>
      <c r="I50" s="356">
        <v>46.768673243406489</v>
      </c>
      <c r="J50" s="357">
        <v>2.1716214884179394</v>
      </c>
      <c r="K50" s="353" t="s">
        <v>229</v>
      </c>
      <c r="L50" s="423" t="s">
        <v>230</v>
      </c>
      <c r="M50" s="423"/>
      <c r="N50" s="358" t="s">
        <v>2670</v>
      </c>
      <c r="O50" s="358" t="s">
        <v>3826</v>
      </c>
      <c r="P50" s="358"/>
      <c r="Q50" s="358" t="s">
        <v>247</v>
      </c>
      <c r="R50" s="358" t="s">
        <v>247</v>
      </c>
      <c r="S50" s="358" t="s">
        <v>234</v>
      </c>
      <c r="T50" s="313" t="s">
        <v>3827</v>
      </c>
    </row>
    <row r="51" spans="1:20">
      <c r="A51" s="303"/>
      <c r="B51" s="350" t="s">
        <v>3841</v>
      </c>
      <c r="C51" s="351"/>
      <c r="D51" s="352" t="s">
        <v>3842</v>
      </c>
      <c r="E51" s="353">
        <v>-2.3691620310000001</v>
      </c>
      <c r="F51" s="354">
        <v>34.06028104</v>
      </c>
      <c r="G51" s="355">
        <v>45.96</v>
      </c>
      <c r="H51" s="356">
        <v>14.920000000000003</v>
      </c>
      <c r="I51" s="356">
        <v>39.119999999999997</v>
      </c>
      <c r="J51" s="357">
        <v>2.0374568753080333</v>
      </c>
      <c r="K51" s="353" t="s">
        <v>229</v>
      </c>
      <c r="L51" s="423" t="s">
        <v>257</v>
      </c>
      <c r="M51" s="423"/>
      <c r="N51" s="358" t="s">
        <v>2673</v>
      </c>
      <c r="O51" s="358" t="s">
        <v>3826</v>
      </c>
      <c r="P51" s="358"/>
      <c r="Q51" s="358" t="s">
        <v>247</v>
      </c>
      <c r="R51" s="358" t="s">
        <v>247</v>
      </c>
      <c r="S51" s="358" t="s">
        <v>234</v>
      </c>
      <c r="T51" s="313" t="s">
        <v>3827</v>
      </c>
    </row>
    <row r="52" spans="1:20">
      <c r="A52" s="303"/>
      <c r="B52" s="350" t="s">
        <v>3843</v>
      </c>
      <c r="C52" s="351"/>
      <c r="D52" s="352" t="s">
        <v>3842</v>
      </c>
      <c r="E52" s="353">
        <v>-2.3698080240000001</v>
      </c>
      <c r="F52" s="354">
        <v>34.059671010000002</v>
      </c>
      <c r="G52" s="355">
        <v>34.344660194174757</v>
      </c>
      <c r="H52" s="356">
        <v>19.22727272727273</v>
      </c>
      <c r="I52" s="356">
        <v>46.428067078552509</v>
      </c>
      <c r="J52" s="357">
        <v>1.7452932479053718</v>
      </c>
      <c r="K52" s="353" t="s">
        <v>229</v>
      </c>
      <c r="L52" s="423" t="s">
        <v>257</v>
      </c>
      <c r="M52" s="423"/>
      <c r="N52" s="358" t="s">
        <v>2670</v>
      </c>
      <c r="O52" s="358" t="s">
        <v>3826</v>
      </c>
      <c r="P52" s="358"/>
      <c r="Q52" s="358" t="s">
        <v>247</v>
      </c>
      <c r="R52" s="358" t="s">
        <v>247</v>
      </c>
      <c r="S52" s="358" t="s">
        <v>234</v>
      </c>
      <c r="T52" s="313" t="s">
        <v>3827</v>
      </c>
    </row>
    <row r="53" spans="1:20">
      <c r="A53" s="303"/>
      <c r="B53" s="350" t="s">
        <v>3844</v>
      </c>
      <c r="C53" s="351"/>
      <c r="D53" s="352" t="s">
        <v>3842</v>
      </c>
      <c r="E53" s="353">
        <v>-2.3487199940000001</v>
      </c>
      <c r="F53" s="354">
        <v>34.051391029999998</v>
      </c>
      <c r="G53" s="355">
        <v>27.96</v>
      </c>
      <c r="H53" s="356">
        <v>4.9200000000000017</v>
      </c>
      <c r="I53" s="356">
        <v>67.12</v>
      </c>
      <c r="J53" s="357">
        <v>0.88610152784622953</v>
      </c>
      <c r="K53" s="353" t="s">
        <v>229</v>
      </c>
      <c r="L53" s="423" t="s">
        <v>257</v>
      </c>
      <c r="M53" s="423"/>
      <c r="N53" s="358" t="s">
        <v>2670</v>
      </c>
      <c r="O53" s="358" t="s">
        <v>3826</v>
      </c>
      <c r="P53" s="358"/>
      <c r="Q53" s="358" t="s">
        <v>247</v>
      </c>
      <c r="R53" s="358" t="s">
        <v>247</v>
      </c>
      <c r="S53" s="358" t="s">
        <v>234</v>
      </c>
      <c r="T53" s="313" t="s">
        <v>3827</v>
      </c>
    </row>
    <row r="54" spans="1:20">
      <c r="A54" s="303"/>
      <c r="B54" s="350" t="s">
        <v>3845</v>
      </c>
      <c r="C54" s="351"/>
      <c r="D54" s="352" t="s">
        <v>3842</v>
      </c>
      <c r="E54" s="353">
        <v>-2.3492639789999998</v>
      </c>
      <c r="F54" s="354">
        <v>34.051464029999998</v>
      </c>
      <c r="G54" s="355">
        <v>17.96</v>
      </c>
      <c r="H54" s="356">
        <v>4.9199999999999982</v>
      </c>
      <c r="I54" s="356">
        <v>77.12</v>
      </c>
      <c r="J54" s="357">
        <v>2.0220798422868409</v>
      </c>
      <c r="K54" s="353" t="s">
        <v>229</v>
      </c>
      <c r="L54" s="423" t="s">
        <v>257</v>
      </c>
      <c r="M54" s="423"/>
      <c r="N54" s="358" t="s">
        <v>2671</v>
      </c>
      <c r="O54" s="358" t="s">
        <v>3826</v>
      </c>
      <c r="P54" s="358"/>
      <c r="Q54" s="358" t="s">
        <v>247</v>
      </c>
      <c r="R54" s="358" t="s">
        <v>247</v>
      </c>
      <c r="S54" s="358" t="s">
        <v>234</v>
      </c>
      <c r="T54" s="313" t="s">
        <v>3827</v>
      </c>
    </row>
    <row r="55" spans="1:20">
      <c r="B55" s="350" t="s">
        <v>3846</v>
      </c>
      <c r="C55" s="351"/>
      <c r="D55" s="352" t="s">
        <v>3847</v>
      </c>
      <c r="E55" s="353">
        <v>-2.3503360249999998</v>
      </c>
      <c r="F55" s="354">
        <v>34.049662009999999</v>
      </c>
      <c r="G55" s="355">
        <v>31.214836424255054</v>
      </c>
      <c r="H55" s="356">
        <v>11.377370285476141</v>
      </c>
      <c r="I55" s="356">
        <v>57.407793290268799</v>
      </c>
      <c r="J55" s="357">
        <v>1.7337604731394776</v>
      </c>
      <c r="K55" s="353" t="s">
        <v>229</v>
      </c>
      <c r="L55" s="423" t="s">
        <v>244</v>
      </c>
      <c r="M55" s="423"/>
      <c r="N55" s="358" t="s">
        <v>2670</v>
      </c>
      <c r="O55" s="358" t="s">
        <v>3826</v>
      </c>
      <c r="P55" s="358"/>
      <c r="Q55" s="358" t="s">
        <v>247</v>
      </c>
      <c r="R55" s="358" t="s">
        <v>247</v>
      </c>
      <c r="S55" s="358" t="s">
        <v>234</v>
      </c>
      <c r="T55" s="313" t="s">
        <v>3827</v>
      </c>
    </row>
    <row r="56" spans="1:20">
      <c r="B56" s="350" t="s">
        <v>3848</v>
      </c>
      <c r="C56" s="351"/>
      <c r="D56" s="352" t="s">
        <v>3847</v>
      </c>
      <c r="E56" s="353">
        <v>-2.348596025</v>
      </c>
      <c r="F56" s="354">
        <v>34.050070959999999</v>
      </c>
      <c r="G56" s="355">
        <v>33.96</v>
      </c>
      <c r="H56" s="356">
        <v>8.9200000000000017</v>
      </c>
      <c r="I56" s="356">
        <v>57.12</v>
      </c>
      <c r="J56" s="357">
        <v>2.072055199605717</v>
      </c>
      <c r="K56" s="353" t="s">
        <v>229</v>
      </c>
      <c r="L56" s="423" t="s">
        <v>244</v>
      </c>
      <c r="M56" s="423"/>
      <c r="N56" s="358" t="s">
        <v>2670</v>
      </c>
      <c r="O56" s="358" t="s">
        <v>3826</v>
      </c>
      <c r="P56" s="358"/>
      <c r="Q56" s="358" t="s">
        <v>247</v>
      </c>
      <c r="R56" s="358" t="s">
        <v>247</v>
      </c>
      <c r="S56" s="358" t="s">
        <v>234</v>
      </c>
      <c r="T56" s="313" t="s">
        <v>3827</v>
      </c>
    </row>
    <row r="57" spans="1:20">
      <c r="B57" s="350" t="s">
        <v>3849</v>
      </c>
      <c r="C57" s="351"/>
      <c r="D57" s="352" t="s">
        <v>3847</v>
      </c>
      <c r="E57" s="353">
        <v>-2.3675269729999999</v>
      </c>
      <c r="F57" s="354">
        <v>34.06035799</v>
      </c>
      <c r="G57" s="355">
        <v>39.96</v>
      </c>
      <c r="H57" s="356">
        <v>12.920000000000002</v>
      </c>
      <c r="I57" s="356">
        <v>47.12</v>
      </c>
      <c r="J57" s="357">
        <v>1.6549531789058647</v>
      </c>
      <c r="K57" s="353" t="s">
        <v>229</v>
      </c>
      <c r="L57" s="423" t="s">
        <v>244</v>
      </c>
      <c r="M57" s="423"/>
      <c r="N57" s="358" t="s">
        <v>2674</v>
      </c>
      <c r="O57" s="358" t="s">
        <v>3826</v>
      </c>
      <c r="P57" s="358"/>
      <c r="Q57" s="358" t="s">
        <v>247</v>
      </c>
      <c r="R57" s="358" t="s">
        <v>247</v>
      </c>
      <c r="S57" s="358" t="s">
        <v>234</v>
      </c>
      <c r="T57" s="313" t="s">
        <v>3827</v>
      </c>
    </row>
    <row r="58" spans="1:20">
      <c r="B58" s="350" t="s">
        <v>3850</v>
      </c>
      <c r="C58" s="351"/>
      <c r="D58" s="352" t="s">
        <v>3847</v>
      </c>
      <c r="E58" s="353">
        <v>-2.3676780150000001</v>
      </c>
      <c r="F58" s="354">
        <v>34.05937797</v>
      </c>
      <c r="G58" s="355">
        <v>27.96</v>
      </c>
      <c r="H58" s="356">
        <v>4.9200000000000017</v>
      </c>
      <c r="I58" s="356">
        <v>67.12</v>
      </c>
      <c r="J58" s="357">
        <v>1.0437161163134547</v>
      </c>
      <c r="K58" s="353" t="s">
        <v>229</v>
      </c>
      <c r="L58" s="423" t="s">
        <v>244</v>
      </c>
      <c r="M58" s="423"/>
      <c r="N58" s="358" t="s">
        <v>2670</v>
      </c>
      <c r="O58" s="358" t="s">
        <v>3826</v>
      </c>
      <c r="P58" s="358"/>
      <c r="Q58" s="358" t="s">
        <v>247</v>
      </c>
      <c r="R58" s="358" t="s">
        <v>247</v>
      </c>
      <c r="S58" s="358" t="s">
        <v>234</v>
      </c>
      <c r="T58" s="313" t="s">
        <v>3827</v>
      </c>
    </row>
    <row r="59" spans="1:20">
      <c r="B59" s="350" t="s">
        <v>3851</v>
      </c>
      <c r="C59" s="351"/>
      <c r="D59" s="352" t="s">
        <v>3852</v>
      </c>
      <c r="E59" s="353">
        <v>-2.272751033</v>
      </c>
      <c r="F59" s="354">
        <v>34.023176030000002</v>
      </c>
      <c r="G59" s="355">
        <v>21.96</v>
      </c>
      <c r="H59" s="356">
        <v>4.9199999999999982</v>
      </c>
      <c r="I59" s="356">
        <v>73.12</v>
      </c>
      <c r="J59" s="357">
        <v>1.2416954164613114</v>
      </c>
      <c r="K59" s="353" t="s">
        <v>229</v>
      </c>
      <c r="L59" s="423" t="s">
        <v>230</v>
      </c>
      <c r="M59" s="423"/>
      <c r="N59" s="358" t="s">
        <v>2670</v>
      </c>
      <c r="O59" s="358" t="s">
        <v>3826</v>
      </c>
      <c r="P59" s="358"/>
      <c r="Q59" s="358" t="s">
        <v>247</v>
      </c>
      <c r="R59" s="358" t="s">
        <v>247</v>
      </c>
      <c r="S59" s="358" t="s">
        <v>234</v>
      </c>
      <c r="T59" s="313" t="s">
        <v>3827</v>
      </c>
    </row>
    <row r="60" spans="1:20">
      <c r="B60" s="350" t="s">
        <v>3853</v>
      </c>
      <c r="C60" s="351"/>
      <c r="D60" s="352" t="s">
        <v>3852</v>
      </c>
      <c r="E60" s="353">
        <v>-2.2784290180000002</v>
      </c>
      <c r="F60" s="354">
        <v>34.024240030000001</v>
      </c>
      <c r="G60" s="355">
        <v>23.96</v>
      </c>
      <c r="H60" s="356">
        <v>4.9199999999999982</v>
      </c>
      <c r="I60" s="356">
        <v>71.12</v>
      </c>
      <c r="J60" s="357">
        <v>3.30913750616067</v>
      </c>
      <c r="K60" s="353" t="s">
        <v>229</v>
      </c>
      <c r="L60" s="423" t="s">
        <v>230</v>
      </c>
      <c r="M60" s="423"/>
      <c r="N60" s="358" t="s">
        <v>2670</v>
      </c>
      <c r="O60" s="358" t="s">
        <v>3826</v>
      </c>
      <c r="P60" s="358"/>
      <c r="Q60" s="358" t="s">
        <v>247</v>
      </c>
      <c r="R60" s="358" t="s">
        <v>247</v>
      </c>
      <c r="S60" s="358" t="s">
        <v>234</v>
      </c>
      <c r="T60" s="313" t="s">
        <v>3827</v>
      </c>
    </row>
    <row r="61" spans="1:20">
      <c r="B61" s="350" t="s">
        <v>3854</v>
      </c>
      <c r="C61" s="351"/>
      <c r="D61" s="352" t="s">
        <v>3852</v>
      </c>
      <c r="E61" s="353">
        <v>-2.277740026</v>
      </c>
      <c r="F61" s="354">
        <v>34.027640990000002</v>
      </c>
      <c r="G61" s="355">
        <v>25.96</v>
      </c>
      <c r="H61" s="356">
        <v>8.9200000000000017</v>
      </c>
      <c r="I61" s="356">
        <v>65.12</v>
      </c>
      <c r="J61" s="357">
        <v>1.614588467225234</v>
      </c>
      <c r="K61" s="353" t="s">
        <v>229</v>
      </c>
      <c r="L61" s="423" t="s">
        <v>230</v>
      </c>
      <c r="M61" s="423"/>
      <c r="N61" s="358" t="s">
        <v>2670</v>
      </c>
      <c r="O61" s="358" t="s">
        <v>3826</v>
      </c>
      <c r="P61" s="358"/>
      <c r="Q61" s="358" t="s">
        <v>247</v>
      </c>
      <c r="R61" s="358" t="s">
        <v>247</v>
      </c>
      <c r="S61" s="358" t="s">
        <v>234</v>
      </c>
      <c r="T61" s="313" t="s">
        <v>3827</v>
      </c>
    </row>
    <row r="62" spans="1:20">
      <c r="B62" s="350" t="s">
        <v>3855</v>
      </c>
      <c r="C62" s="351"/>
      <c r="D62" s="352" t="s">
        <v>3852</v>
      </c>
      <c r="E62" s="353">
        <v>-2.2787330300000002</v>
      </c>
      <c r="F62" s="354">
        <v>34.032136029999997</v>
      </c>
      <c r="G62" s="355">
        <v>25.96</v>
      </c>
      <c r="H62" s="356">
        <v>8.9200000000000017</v>
      </c>
      <c r="I62" s="356">
        <v>65.12</v>
      </c>
      <c r="J62" s="357">
        <v>1.6991621488417901</v>
      </c>
      <c r="K62" s="353" t="s">
        <v>229</v>
      </c>
      <c r="L62" s="423" t="s">
        <v>230</v>
      </c>
      <c r="M62" s="423"/>
      <c r="N62" s="358" t="s">
        <v>2670</v>
      </c>
      <c r="O62" s="358" t="s">
        <v>3826</v>
      </c>
      <c r="P62" s="358"/>
      <c r="Q62" s="358" t="s">
        <v>247</v>
      </c>
      <c r="R62" s="358" t="s">
        <v>247</v>
      </c>
      <c r="S62" s="358" t="s">
        <v>234</v>
      </c>
      <c r="T62" s="313" t="s">
        <v>3827</v>
      </c>
    </row>
    <row r="63" spans="1:20" ht="15" thickBot="1">
      <c r="B63" s="359" t="s">
        <v>2526</v>
      </c>
      <c r="C63" s="360"/>
      <c r="D63" s="361" t="s">
        <v>3856</v>
      </c>
      <c r="E63" s="362">
        <v>-2.439403972</v>
      </c>
      <c r="F63" s="363">
        <v>34.838404959999998</v>
      </c>
      <c r="G63" s="364">
        <v>22.017293559158162</v>
      </c>
      <c r="H63" s="365">
        <v>6.5855206693798616</v>
      </c>
      <c r="I63" s="365">
        <v>71.397185771461977</v>
      </c>
      <c r="J63" s="366">
        <v>1.1393420404139967</v>
      </c>
      <c r="K63" s="362" t="s">
        <v>229</v>
      </c>
      <c r="L63" s="367" t="s">
        <v>230</v>
      </c>
      <c r="M63" s="367"/>
      <c r="N63" s="367" t="s">
        <v>2670</v>
      </c>
      <c r="O63" s="367" t="s">
        <v>3826</v>
      </c>
      <c r="P63" s="367"/>
      <c r="Q63" s="367" t="s">
        <v>247</v>
      </c>
      <c r="R63" s="367" t="s">
        <v>247</v>
      </c>
      <c r="S63" s="367" t="s">
        <v>234</v>
      </c>
      <c r="T63" s="368" t="s">
        <v>3827</v>
      </c>
    </row>
    <row r="64" spans="1:20">
      <c r="B64" s="333" t="s">
        <v>3857</v>
      </c>
    </row>
    <row r="67" spans="2:41" ht="15" thickBot="1">
      <c r="B67" s="333" t="s">
        <v>3858</v>
      </c>
      <c r="C67" s="319"/>
      <c r="D67" s="319"/>
      <c r="E67" s="319"/>
      <c r="F67" s="369"/>
      <c r="G67" s="369"/>
      <c r="H67" s="369"/>
      <c r="I67" s="369"/>
      <c r="J67" s="319"/>
      <c r="K67" s="370"/>
      <c r="L67" s="371"/>
    </row>
    <row r="68" spans="2:41" ht="15" thickBot="1">
      <c r="B68" s="424" t="s">
        <v>21</v>
      </c>
      <c r="C68" s="425"/>
      <c r="D68" s="425"/>
      <c r="E68" s="425"/>
      <c r="F68" s="372" t="s">
        <v>3859</v>
      </c>
      <c r="G68" s="373"/>
      <c r="H68" s="373"/>
      <c r="I68" s="373"/>
      <c r="J68" s="373"/>
      <c r="K68" s="373"/>
      <c r="L68" s="374"/>
    </row>
    <row r="69" spans="2:41">
      <c r="B69" s="426" t="s">
        <v>22</v>
      </c>
      <c r="C69" s="427"/>
      <c r="D69" s="427"/>
      <c r="E69" s="427"/>
      <c r="F69" s="375" t="s">
        <v>3860</v>
      </c>
      <c r="G69" s="376"/>
      <c r="H69" s="376"/>
      <c r="I69" s="376"/>
      <c r="J69" s="376"/>
      <c r="K69" s="376"/>
      <c r="L69" s="377"/>
    </row>
    <row r="70" spans="2:41" ht="15" thickBot="1">
      <c r="B70" s="428" t="s">
        <v>25</v>
      </c>
      <c r="C70" s="429"/>
      <c r="D70" s="429"/>
      <c r="E70" s="429"/>
      <c r="F70" s="430" t="s">
        <v>3861</v>
      </c>
      <c r="G70" s="423"/>
      <c r="H70" s="423"/>
      <c r="I70" s="423"/>
      <c r="J70" s="423"/>
      <c r="K70" s="423"/>
      <c r="L70" s="423"/>
      <c r="M70" s="423"/>
      <c r="N70" s="423"/>
    </row>
    <row r="71" spans="2:41">
      <c r="B71" s="333" t="s">
        <v>3862</v>
      </c>
    </row>
    <row r="72" spans="2:41" ht="18">
      <c r="AO72" s="379"/>
    </row>
    <row r="73" spans="2:41">
      <c r="D73" s="420" t="s">
        <v>3863</v>
      </c>
      <c r="E73" s="420"/>
      <c r="F73" s="420"/>
      <c r="G73" s="420"/>
      <c r="H73" s="420"/>
    </row>
    <row r="74" spans="2:41" ht="18.600000000000001" thickBot="1">
      <c r="B74" s="380" t="s">
        <v>3864</v>
      </c>
      <c r="D74" s="421"/>
      <c r="E74" s="421"/>
      <c r="F74" s="421"/>
      <c r="G74" s="421"/>
      <c r="H74" s="421"/>
      <c r="AG74" s="422" t="s">
        <v>3865</v>
      </c>
      <c r="AH74" s="422"/>
      <c r="AI74" s="422"/>
      <c r="AJ74" s="422"/>
      <c r="AK74" s="422"/>
      <c r="AL74" s="422"/>
    </row>
    <row r="75" spans="2:41" ht="101.4" thickBot="1">
      <c r="B75" s="381" t="s">
        <v>2457</v>
      </c>
      <c r="C75" s="109" t="s">
        <v>23</v>
      </c>
      <c r="D75" s="109" t="s">
        <v>3866</v>
      </c>
      <c r="E75" s="109" t="s">
        <v>25</v>
      </c>
      <c r="F75" s="109" t="s">
        <v>26</v>
      </c>
      <c r="G75" s="382" t="s">
        <v>27</v>
      </c>
      <c r="H75" s="109" t="s">
        <v>3867</v>
      </c>
      <c r="I75" s="109" t="s">
        <v>3868</v>
      </c>
      <c r="J75" s="109" t="s">
        <v>3869</v>
      </c>
      <c r="K75" s="109" t="s">
        <v>28</v>
      </c>
      <c r="L75" s="109" t="s">
        <v>29</v>
      </c>
      <c r="M75" s="109" t="s">
        <v>3870</v>
      </c>
      <c r="N75" s="109" t="s">
        <v>3871</v>
      </c>
      <c r="O75" s="109" t="s">
        <v>30</v>
      </c>
      <c r="P75" s="109" t="s">
        <v>3872</v>
      </c>
      <c r="Q75" s="109" t="s">
        <v>3873</v>
      </c>
      <c r="R75" s="382" t="s">
        <v>31</v>
      </c>
      <c r="S75" s="109" t="s">
        <v>3874</v>
      </c>
      <c r="T75" s="109" t="s">
        <v>3875</v>
      </c>
      <c r="U75" s="109" t="s">
        <v>34</v>
      </c>
      <c r="V75" s="109" t="s">
        <v>35</v>
      </c>
      <c r="W75" s="109" t="s">
        <v>3876</v>
      </c>
      <c r="X75" s="109" t="s">
        <v>3877</v>
      </c>
      <c r="Y75" s="109" t="s">
        <v>3878</v>
      </c>
      <c r="Z75" s="109" t="s">
        <v>3879</v>
      </c>
      <c r="AA75" s="109" t="s">
        <v>3880</v>
      </c>
      <c r="AB75" s="109" t="s">
        <v>288</v>
      </c>
      <c r="AC75" s="109" t="s">
        <v>291</v>
      </c>
      <c r="AD75" s="109" t="s">
        <v>292</v>
      </c>
      <c r="AE75" s="109" t="s">
        <v>40</v>
      </c>
      <c r="AF75" s="383" t="s">
        <v>41</v>
      </c>
      <c r="AG75" s="384" t="s">
        <v>3888</v>
      </c>
      <c r="AH75" s="384" t="s">
        <v>3881</v>
      </c>
      <c r="AI75" s="384" t="s">
        <v>3882</v>
      </c>
      <c r="AJ75" s="384" t="s">
        <v>3887</v>
      </c>
      <c r="AK75" s="384" t="s">
        <v>3883</v>
      </c>
      <c r="AL75" s="385" t="s">
        <v>3884</v>
      </c>
    </row>
    <row r="76" spans="2:41">
      <c r="B76" t="str">
        <f>'Final data_for_R_analysis_Wetse'!A2</f>
        <v>Wet</v>
      </c>
      <c r="C76" s="263">
        <f>'Final data_for_R_analysis_Wetse'!B2</f>
        <v>1</v>
      </c>
      <c r="D76" t="s">
        <v>3824</v>
      </c>
      <c r="E76" t="s">
        <v>22</v>
      </c>
      <c r="F76" s="386">
        <v>1</v>
      </c>
      <c r="G76" s="16">
        <f>'WetLitterbags placem_collection'!E3</f>
        <v>42766</v>
      </c>
      <c r="H76" t="str">
        <f>'Final data_for_R_analysis_Wetse'!J2</f>
        <v>G436</v>
      </c>
      <c r="I76" t="str">
        <f>'Final data_for_R_analysis_Wetse'!J222</f>
        <v>R17</v>
      </c>
      <c r="J76">
        <f>IFERROR(INDEX('Green_rooibos initial weight'!$C$5:$C$1749,MATCH(H76, 'Green_rooibos initial weight'!$A$5:$A$1749,0)),"")</f>
        <v>2.0329999999999999</v>
      </c>
      <c r="K76">
        <f>IFERROR(INDEX('Green_rooibos initial weight'!$C$5:$C$1749,MATCH(I76, 'Green_rooibos initial weight'!$A$5:$A$1749,0)),"")</f>
        <v>2.169</v>
      </c>
      <c r="L76" s="195">
        <f>IF(J76&gt;0,(J76*$F$31-($F$29+$F$30)),"")</f>
        <v>1.7831999999999999</v>
      </c>
      <c r="M76" s="195">
        <f>AVERAGE(Ashed_controlls!$K$2:$K$11)</f>
        <v>5.5147656768714146</v>
      </c>
      <c r="N76" s="195">
        <f t="shared" ref="N76:N139" si="0">IFERROR(L76-(M76/100)*L76,"")</f>
        <v>1.6848606984500289</v>
      </c>
      <c r="O76" s="195">
        <f>IF(K76&gt;0,(K76*$F$32-($F$29+$F$30)),"")</f>
        <v>1.9192</v>
      </c>
      <c r="P76" s="195">
        <f>AVERAGE(Ashed_controlls!$K$12:$K$14)</f>
        <v>2.2816647271287041</v>
      </c>
      <c r="Q76" s="195">
        <f>IFERROR(O76-(P76/100)*O76,"")</f>
        <v>1.8754102905569459</v>
      </c>
      <c r="R76" s="16">
        <f>IF('WetLitterbags placem_collection'!G3="N.A","",'WetLitterbags placem_collection'!G3)</f>
        <v>42818</v>
      </c>
      <c r="S76" s="195">
        <f>IF(IFERROR(INDEX('Both teabags AfterWet'!$C$3:$C$841,MATCH(H76,'Both teabags AfterWet'!$A$3:$A$841,0)),"")="N.A","",(IFERROR(INDEX('Both teabags AfterWet'!$C$3:$C$841,MATCH(H76,'Both teabags AfterWet'!$A$3:$A$841,0)),"")))</f>
        <v>0.43290000000000001</v>
      </c>
      <c r="T76" s="195">
        <f>IFERROR(INDEX('Both teabags AfterWet'!$C$3:$C$841,MATCH(I76,'Both teabags AfterWet'!$A$3:$A$841,0)),"")</f>
        <v>1.0208999999999999</v>
      </c>
      <c r="U76" s="195">
        <f>IFERROR(IF(S76&gt;0,S76-($F$29),""),"")</f>
        <v>0.2823</v>
      </c>
      <c r="V76" s="195">
        <f>IFERROR(IF(T76&gt;0,T76-($F$29),""),"")</f>
        <v>0.87029999999999985</v>
      </c>
      <c r="W76" s="195">
        <f>IFERROR(INDEX('Ashed teabags wet'!$K$2:$K$821,MATCH(H76,'Ashed teabags wet'!$A$2:$A$821,0)),"")</f>
        <v>27.683896620278237</v>
      </c>
      <c r="X76" s="195">
        <f>IFERROR(INDEX('Ashed teabags wet'!$K$2:$K$821,MATCH(I76,'Ashed teabags wet'!$A$2:$A$821,0)),"")</f>
        <v>17.918507609229575</v>
      </c>
      <c r="Y76" s="195">
        <f t="shared" ref="Y76:Z139" si="1">IFERROR(U76-(W76/100)*U76,"")</f>
        <v>0.20414835984095453</v>
      </c>
      <c r="Z76" s="195">
        <f t="shared" si="1"/>
        <v>0.71435522827687492</v>
      </c>
      <c r="AA76" s="195">
        <f>IFERROR(1-Y76/N76,"")</f>
        <v>0.87883368635237391</v>
      </c>
      <c r="AB76" s="195">
        <f>IFERROR($F$26*(1-AE76),"")</f>
        <v>0.57614749984146141</v>
      </c>
      <c r="AC76" s="195">
        <f t="shared" ref="AC76:AC139" si="2">IFERROR(Z76/Q76,"")</f>
        <v>0.38090610458617608</v>
      </c>
      <c r="AD76">
        <f t="shared" ref="AD76:AD139" si="3">IF((R76-G76)&gt;0,(IFERROR(R76-G76,"")),"")</f>
        <v>52</v>
      </c>
      <c r="AE76" s="195">
        <f>IFERROR(1-(AA76/$F$25),"")</f>
        <v>-4.3745470727285074E-2</v>
      </c>
      <c r="AF76" s="195" t="str">
        <f>IFERROR(LN(AB76/(AC76-(1-AB76)))/AD76,"")</f>
        <v/>
      </c>
      <c r="AG76" s="255" t="str">
        <f>IF(ISNUMBER(SEARCH("C",'WetLitterbags placem_collection'!AD3)),"YES","NO")</f>
        <v>NO</v>
      </c>
      <c r="AH76" s="255" t="str">
        <f>IF(ISNUMBER(SEARCH("H", 'WetLitterbags placem_collection'!AD3)),"YES","NO")</f>
        <v>YES</v>
      </c>
      <c r="AI76" s="255" t="str">
        <f>IF(ISNUMBER(SEARCH("R", 'WetLitterbags placem_collection'!AD3)),"YES","NO")</f>
        <v>YES</v>
      </c>
      <c r="AJ76" s="255" t="str">
        <f>IF(ISNUMBER(SEARCH("C", 'WetLitterbags placem_collection'!AC3)),"YES","NO")</f>
        <v>NO</v>
      </c>
      <c r="AK76" s="255" t="str">
        <f>IF(ISNUMBER(SEARCH("H", 'WetLitterbags placem_collection'!AC3)),"YES","NO")</f>
        <v>NO</v>
      </c>
      <c r="AL76" s="255" t="str">
        <f>IF(ISNUMBER(SEARCH("R", 'WetLitterbags placem_collection'!AC3)),"YES","NO")</f>
        <v>NO</v>
      </c>
    </row>
    <row r="77" spans="2:41">
      <c r="B77" t="str">
        <f>'Final data_for_R_analysis_Wetse'!A3</f>
        <v>Wet</v>
      </c>
      <c r="C77" s="263">
        <f>'Final data_for_R_analysis_Wetse'!B3</f>
        <v>2</v>
      </c>
      <c r="D77" t="s">
        <v>3824</v>
      </c>
      <c r="E77" t="s">
        <v>22</v>
      </c>
      <c r="F77" s="386">
        <v>2</v>
      </c>
      <c r="G77" s="16">
        <f>'WetLitterbags placem_collection'!E4</f>
        <v>42766</v>
      </c>
      <c r="H77" t="str">
        <f>'Final data_for_R_analysis_Wetse'!J3</f>
        <v>G568</v>
      </c>
      <c r="I77" t="str">
        <f>'Final data_for_R_analysis_Wetse'!J223</f>
        <v>R121</v>
      </c>
      <c r="J77">
        <f>IFERROR(INDEX('Green_rooibos initial weight'!$C$5:$C$1749,MATCH(H77, 'Green_rooibos initial weight'!$A$5:$A$1749,0)),"")</f>
        <v>2.0059999999999998</v>
      </c>
      <c r="K77">
        <f>IFERROR(INDEX('Green_rooibos initial weight'!$C$5:$C$1749,MATCH(I77, 'Green_rooibos initial weight'!$A$5:$A$1749,0)),"")</f>
        <v>2.165</v>
      </c>
      <c r="L77" s="195">
        <f t="shared" ref="L77:L140" si="4">IF(J77&gt;0,(J77*$F$31-($F$29+$F$30)),"")</f>
        <v>1.7561999999999998</v>
      </c>
      <c r="M77" s="195">
        <f>AVERAGE(Ashed_controlls!$K$2:$K$11)</f>
        <v>5.5147656768714146</v>
      </c>
      <c r="N77" s="195">
        <f t="shared" si="0"/>
        <v>1.659349685182784</v>
      </c>
      <c r="O77" s="195">
        <f t="shared" ref="O77:O140" si="5">IF(K77&gt;0,(K77*$F$32-($F$29+$F$30)),"")</f>
        <v>1.9152</v>
      </c>
      <c r="P77" s="195">
        <f>AVERAGE(Ashed_controlls!$K$12:$K$14)</f>
        <v>2.2816647271287041</v>
      </c>
      <c r="Q77" s="195">
        <f t="shared" ref="Q77:Q140" si="6">IFERROR(O77-(P77/100)*O77,"")</f>
        <v>1.8715015571460312</v>
      </c>
      <c r="R77" s="16">
        <f>IF('WetLitterbags placem_collection'!G4="N.A","",'WetLitterbags placem_collection'!G4)</f>
        <v>42818</v>
      </c>
      <c r="S77" s="195">
        <f>IF(IFERROR(INDEX('Both teabags AfterWet'!$C$3:$C$841,MATCH(H77,'Both teabags AfterWet'!$A$3:$A$841,0)),"")="N.A","",(IFERROR(INDEX('Both teabags AfterWet'!$C$3:$C$841,MATCH(H77,'Both teabags AfterWet'!$A$3:$A$841,0)),"")))</f>
        <v>0.629</v>
      </c>
      <c r="T77" s="195">
        <f>IFERROR(INDEX('Both teabags AfterWet'!$C$3:$C$841,MATCH(I77,'Both teabags AfterWet'!$A$3:$A$841,0)),"")</f>
        <v>1.3073999999999999</v>
      </c>
      <c r="U77" s="195">
        <f t="shared" ref="U77:V140" si="7">IFERROR(IF(S77&gt;0,S77-($F$29),""),"")</f>
        <v>0.47839999999999999</v>
      </c>
      <c r="V77" s="195">
        <f t="shared" si="7"/>
        <v>1.1567999999999998</v>
      </c>
      <c r="W77" s="195">
        <f>IFERROR(INDEX('Ashed teabags wet'!$K$2:$K$821,MATCH(H77,'Ashed teabags wet'!$A$2:$A$821,0)),"")</f>
        <v>8.5032322227742174</v>
      </c>
      <c r="X77" s="195">
        <f>IFERROR(INDEX('Ashed teabags wet'!$K$2:$K$821,MATCH(I77,'Ashed teabags wet'!$A$2:$A$821,0)),"")</f>
        <v>5.6218905472635869</v>
      </c>
      <c r="Y77" s="195">
        <f t="shared" si="1"/>
        <v>0.43772053704624814</v>
      </c>
      <c r="Z77" s="195">
        <f t="shared" si="1"/>
        <v>1.0917659701492546</v>
      </c>
      <c r="AA77" s="195">
        <f t="shared" ref="AA77:AA140" si="8">IFERROR(1-Y77/N77,"")</f>
        <v>0.73620958803627246</v>
      </c>
      <c r="AB77" s="195">
        <f t="shared" ref="AB77:AB140" si="9">IFERROR($F$26*(1-AE77),"")</f>
        <v>0.48264571567223569</v>
      </c>
      <c r="AC77" s="195">
        <f t="shared" si="2"/>
        <v>0.58336364507981298</v>
      </c>
      <c r="AD77">
        <f t="shared" si="3"/>
        <v>52</v>
      </c>
      <c r="AE77" s="195">
        <f t="shared" ref="AE77:AE140" si="10">IFERROR(1-(AA77/$F$25),"")</f>
        <v>0.12564181943435571</v>
      </c>
      <c r="AF77" s="195">
        <f t="shared" ref="AF77:AF140" si="11">IFERROR(LN(AB77/(AC77-(1-AB77)))/AD77,"")</f>
        <v>3.825935221217263E-2</v>
      </c>
      <c r="AG77" s="255" t="str">
        <f>IF(ISNUMBER(SEARCH("C",'WetLitterbags placem_collection'!AD4)),"YES","NO")</f>
        <v>NO</v>
      </c>
      <c r="AH77" s="255" t="str">
        <f>IF(ISNUMBER(SEARCH("H", 'WetLitterbags placem_collection'!AD4)),"YES","NO")</f>
        <v>NO</v>
      </c>
      <c r="AI77" s="255" t="str">
        <f>IF(ISNUMBER(SEARCH("R", 'WetLitterbags placem_collection'!AD4)),"YES","NO")</f>
        <v>NO</v>
      </c>
      <c r="AJ77" s="255" t="str">
        <f>IF(ISNUMBER(SEARCH("C", 'WetLitterbags placem_collection'!AC4)),"YES","NO")</f>
        <v>NO</v>
      </c>
      <c r="AK77" s="255" t="str">
        <f>IF(ISNUMBER(SEARCH("H", 'WetLitterbags placem_collection'!AC4)),"YES","NO")</f>
        <v>NO</v>
      </c>
      <c r="AL77" s="255" t="str">
        <f>IF(ISNUMBER(SEARCH("R", 'WetLitterbags placem_collection'!AC4)),"YES","NO")</f>
        <v>NO</v>
      </c>
    </row>
    <row r="78" spans="2:41">
      <c r="B78" t="str">
        <f>'Final data_for_R_analysis_Wetse'!A4</f>
        <v>Wet</v>
      </c>
      <c r="C78" s="263">
        <f>'Final data_for_R_analysis_Wetse'!B4</f>
        <v>3</v>
      </c>
      <c r="D78" t="s">
        <v>3824</v>
      </c>
      <c r="E78" t="s">
        <v>22</v>
      </c>
      <c r="F78" s="386">
        <v>3</v>
      </c>
      <c r="G78" s="16">
        <f>'WetLitterbags placem_collection'!E5</f>
        <v>42766</v>
      </c>
      <c r="H78" t="str">
        <f>'Final data_for_R_analysis_Wetse'!J4</f>
        <v>G631</v>
      </c>
      <c r="I78" t="str">
        <f>'Final data_for_R_analysis_Wetse'!J224</f>
        <v>R158</v>
      </c>
      <c r="J78">
        <f>IFERROR(INDEX('Green_rooibos initial weight'!$C$5:$C$1749,MATCH(H78, 'Green_rooibos initial weight'!$A$5:$A$1749,0)),"")</f>
        <v>1.99</v>
      </c>
      <c r="K78">
        <f>IFERROR(INDEX('Green_rooibos initial weight'!$C$5:$C$1749,MATCH(I78, 'Green_rooibos initial weight'!$A$5:$A$1749,0)),"")</f>
        <v>2.2959999999999998</v>
      </c>
      <c r="L78" s="195">
        <f t="shared" si="4"/>
        <v>1.7402</v>
      </c>
      <c r="M78" s="195">
        <f>AVERAGE(Ashed_controlls!$K$2:$K$11)</f>
        <v>5.5147656768714146</v>
      </c>
      <c r="N78" s="195">
        <f t="shared" si="0"/>
        <v>1.6442320476910837</v>
      </c>
      <c r="O78" s="195">
        <f t="shared" si="5"/>
        <v>2.0461999999999998</v>
      </c>
      <c r="P78" s="195">
        <f>AVERAGE(Ashed_controlls!$K$12:$K$14)</f>
        <v>2.2816647271287041</v>
      </c>
      <c r="Q78" s="195">
        <f t="shared" si="6"/>
        <v>1.9995125763534922</v>
      </c>
      <c r="R78" s="16">
        <f>IF('WetLitterbags placem_collection'!G5="N.A","",'WetLitterbags placem_collection'!G5)</f>
        <v>0</v>
      </c>
      <c r="S78" s="195" t="str">
        <f>IF(IFERROR(INDEX('Both teabags AfterWet'!$C$3:$C$841,MATCH(H78,'Both teabags AfterWet'!$A$3:$A$841,0)),"")="N.A","",(IFERROR(INDEX('Both teabags AfterWet'!$C$3:$C$841,MATCH(H78,'Both teabags AfterWet'!$A$3:$A$841,0)),"")))</f>
        <v/>
      </c>
      <c r="T78" s="195" t="str">
        <f>IFERROR(INDEX('Both teabags AfterWet'!$C$3:$C$841,MATCH(I78,'Both teabags AfterWet'!$A$3:$A$841,0)),"")</f>
        <v/>
      </c>
      <c r="U78" s="195" t="str">
        <f t="shared" si="7"/>
        <v/>
      </c>
      <c r="V78" s="195" t="str">
        <f t="shared" si="7"/>
        <v/>
      </c>
      <c r="W78" s="195" t="str">
        <f>IFERROR(INDEX('Ashed teabags wet'!$K$2:$K$821,MATCH(H78,'Ashed teabags wet'!$A$2:$A$821,0)),"")</f>
        <v/>
      </c>
      <c r="X78" s="195" t="str">
        <f>IFERROR(INDEX('Ashed teabags wet'!$K$2:$K$821,MATCH(I78,'Ashed teabags wet'!$A$2:$A$821,0)),"")</f>
        <v/>
      </c>
      <c r="Y78" s="195" t="str">
        <f t="shared" si="1"/>
        <v/>
      </c>
      <c r="Z78" s="195" t="str">
        <f t="shared" si="1"/>
        <v/>
      </c>
      <c r="AA78" s="195" t="str">
        <f t="shared" si="8"/>
        <v/>
      </c>
      <c r="AB78" s="195" t="str">
        <f t="shared" si="9"/>
        <v/>
      </c>
      <c r="AC78" s="195" t="str">
        <f t="shared" si="2"/>
        <v/>
      </c>
      <c r="AD78" t="str">
        <f t="shared" si="3"/>
        <v/>
      </c>
      <c r="AE78" s="195" t="str">
        <f t="shared" si="10"/>
        <v/>
      </c>
      <c r="AF78" s="195" t="str">
        <f t="shared" si="11"/>
        <v/>
      </c>
      <c r="AG78" s="255" t="str">
        <f>IF(ISNUMBER(SEARCH("C",'WetLitterbags placem_collection'!AD5)),"YES","NO")</f>
        <v>NO</v>
      </c>
      <c r="AH78" s="255" t="str">
        <f>IF(ISNUMBER(SEARCH("H", 'WetLitterbags placem_collection'!AD5)),"YES","NO")</f>
        <v>NO</v>
      </c>
      <c r="AI78" s="255" t="str">
        <f>IF(ISNUMBER(SEARCH("R", 'WetLitterbags placem_collection'!AD5)),"YES","NO")</f>
        <v>NO</v>
      </c>
      <c r="AJ78" s="255" t="str">
        <f>IF(ISNUMBER(SEARCH("C", 'WetLitterbags placem_collection'!AC5)),"YES","NO")</f>
        <v>NO</v>
      </c>
      <c r="AK78" s="255" t="str">
        <f>IF(ISNUMBER(SEARCH("H", 'WetLitterbags placem_collection'!AC5)),"YES","NO")</f>
        <v>NO</v>
      </c>
      <c r="AL78" s="255" t="str">
        <f>IF(ISNUMBER(SEARCH("R", 'WetLitterbags placem_collection'!AC5)),"YES","NO")</f>
        <v>NO</v>
      </c>
    </row>
    <row r="79" spans="2:41">
      <c r="B79" t="str">
        <f>'Final data_for_R_analysis_Wetse'!A5</f>
        <v>Wet</v>
      </c>
      <c r="C79" s="263">
        <f>'Final data_for_R_analysis_Wetse'!B5</f>
        <v>4</v>
      </c>
      <c r="D79" t="s">
        <v>3824</v>
      </c>
      <c r="E79" t="s">
        <v>22</v>
      </c>
      <c r="F79" s="387">
        <v>4</v>
      </c>
      <c r="G79" s="16">
        <f>'WetLitterbags placem_collection'!E6</f>
        <v>42766</v>
      </c>
      <c r="H79" t="str">
        <f>'Final data_for_R_analysis_Wetse'!J5</f>
        <v>G652</v>
      </c>
      <c r="I79" t="str">
        <f>'Final data_for_R_analysis_Wetse'!J225</f>
        <v>R115</v>
      </c>
      <c r="J79">
        <f>IFERROR(INDEX('Green_rooibos initial weight'!$C$5:$C$1749,MATCH(H79, 'Green_rooibos initial weight'!$A$5:$A$1749,0)),"")</f>
        <v>2.024</v>
      </c>
      <c r="K79">
        <f>IFERROR(INDEX('Green_rooibos initial weight'!$C$5:$C$1749,MATCH(I79, 'Green_rooibos initial weight'!$A$5:$A$1749,0)),"")</f>
        <v>2.3119999999999998</v>
      </c>
      <c r="L79" s="195">
        <f t="shared" si="4"/>
        <v>1.7742</v>
      </c>
      <c r="M79" s="195">
        <f>AVERAGE(Ashed_controlls!$K$2:$K$11)</f>
        <v>5.5147656768714146</v>
      </c>
      <c r="N79" s="195">
        <f t="shared" si="0"/>
        <v>1.6763570273609474</v>
      </c>
      <c r="O79" s="195">
        <f t="shared" si="5"/>
        <v>2.0621999999999998</v>
      </c>
      <c r="P79" s="195">
        <f>AVERAGE(Ashed_controlls!$K$12:$K$14)</f>
        <v>2.2816647271287041</v>
      </c>
      <c r="Q79" s="195">
        <f t="shared" si="6"/>
        <v>2.0151475099971519</v>
      </c>
      <c r="R79" s="16">
        <f>IF('WetLitterbags placem_collection'!G6="N.A","",'WetLitterbags placem_collection'!G6)</f>
        <v>42818</v>
      </c>
      <c r="S79" s="195" t="str">
        <f>IF(IFERROR(INDEX('Both teabags AfterWet'!$C$3:$C$841,MATCH(H79,'Both teabags AfterWet'!$A$3:$A$841,0)),"")="N.A","",(IFERROR(INDEX('Both teabags AfterWet'!$C$3:$C$841,MATCH(H79,'Both teabags AfterWet'!$A$3:$A$841,0)),"")))</f>
        <v/>
      </c>
      <c r="T79" s="195">
        <f>IFERROR(INDEX('Both teabags AfterWet'!$C$3:$C$841,MATCH(I79,'Both teabags AfterWet'!$A$3:$A$841,0)),"")</f>
        <v>1.4075</v>
      </c>
      <c r="U79" s="195" t="str">
        <f t="shared" si="7"/>
        <v/>
      </c>
      <c r="V79" s="195">
        <f t="shared" si="7"/>
        <v>1.2568999999999999</v>
      </c>
      <c r="W79" s="195" t="str">
        <f>IFERROR(INDEX('Ashed teabags wet'!$K$2:$K$821,MATCH(H79,'Ashed teabags wet'!$A$2:$A$821,0)),"")</f>
        <v/>
      </c>
      <c r="X79" s="195">
        <f>IFERROR(INDEX('Ashed teabags wet'!$K$2:$K$821,MATCH(I79,'Ashed teabags wet'!$A$2:$A$821,0)),"")</f>
        <v>5.3919121318019663</v>
      </c>
      <c r="Y79" s="195" t="str">
        <f t="shared" si="1"/>
        <v/>
      </c>
      <c r="Z79" s="195">
        <f t="shared" si="1"/>
        <v>1.1891290564153809</v>
      </c>
      <c r="AA79" s="195" t="str">
        <f t="shared" si="8"/>
        <v/>
      </c>
      <c r="AB79" s="195" t="str">
        <f t="shared" si="9"/>
        <v/>
      </c>
      <c r="AC79" s="195">
        <f t="shared" si="2"/>
        <v>0.59009529104748348</v>
      </c>
      <c r="AD79">
        <f t="shared" si="3"/>
        <v>52</v>
      </c>
      <c r="AE79" s="195" t="str">
        <f t="shared" si="10"/>
        <v/>
      </c>
      <c r="AF79" s="195" t="str">
        <f t="shared" si="11"/>
        <v/>
      </c>
      <c r="AG79" s="255" t="str">
        <f>IF(ISNUMBER(SEARCH("C",'WetLitterbags placem_collection'!AD6)),"YES","NO")</f>
        <v>NO</v>
      </c>
      <c r="AH79" s="255" t="str">
        <f>IF(ISNUMBER(SEARCH("H", 'WetLitterbags placem_collection'!AD6)),"YES","NO")</f>
        <v>NO</v>
      </c>
      <c r="AI79" s="255" t="str">
        <f>IF(ISNUMBER(SEARCH("R", 'WetLitterbags placem_collection'!AD6)),"YES","NO")</f>
        <v>NO</v>
      </c>
      <c r="AJ79" s="255" t="str">
        <f>IF(ISNUMBER(SEARCH("C", 'WetLitterbags placem_collection'!AC6)),"YES","NO")</f>
        <v>NO</v>
      </c>
      <c r="AK79" s="255" t="str">
        <f>IF(ISNUMBER(SEARCH("H", 'WetLitterbags placem_collection'!AC6)),"YES","NO")</f>
        <v>NO</v>
      </c>
      <c r="AL79" s="255" t="str">
        <f>IF(ISNUMBER(SEARCH("R", 'WetLitterbags placem_collection'!AC6)),"YES","NO")</f>
        <v>NO</v>
      </c>
    </row>
    <row r="80" spans="2:41">
      <c r="B80" t="str">
        <f>'Final data_for_R_analysis_Wetse'!A6</f>
        <v>Wet</v>
      </c>
      <c r="C80" s="263">
        <f>'Final data_for_R_analysis_Wetse'!B6</f>
        <v>5</v>
      </c>
      <c r="D80" t="s">
        <v>3824</v>
      </c>
      <c r="E80" t="s">
        <v>22</v>
      </c>
      <c r="F80" s="387">
        <v>5</v>
      </c>
      <c r="G80" s="16">
        <f>'WetLitterbags placem_collection'!E7</f>
        <v>42766</v>
      </c>
      <c r="H80" t="str">
        <f>'Final data_for_R_analysis_Wetse'!J6</f>
        <v>G497</v>
      </c>
      <c r="I80" t="str">
        <f>'Final data_for_R_analysis_Wetse'!J226</f>
        <v>R502</v>
      </c>
      <c r="J80">
        <f>IFERROR(INDEX('Green_rooibos initial weight'!$C$5:$C$1749,MATCH(H80, 'Green_rooibos initial weight'!$A$5:$A$1749,0)),"")</f>
        <v>2.0019999999999998</v>
      </c>
      <c r="K80">
        <f>IFERROR(INDEX('Green_rooibos initial weight'!$C$5:$C$1749,MATCH(I80, 'Green_rooibos initial weight'!$A$5:$A$1749,0)),"")</f>
        <v>2.1840000000000002</v>
      </c>
      <c r="L80" s="195">
        <f t="shared" si="4"/>
        <v>1.7521999999999998</v>
      </c>
      <c r="M80" s="195">
        <f>AVERAGE(Ashed_controlls!$K$2:$K$11)</f>
        <v>5.5147656768714146</v>
      </c>
      <c r="N80" s="195">
        <f t="shared" si="0"/>
        <v>1.6555702758098589</v>
      </c>
      <c r="O80" s="195">
        <f t="shared" si="5"/>
        <v>1.9342000000000001</v>
      </c>
      <c r="P80" s="195">
        <f>AVERAGE(Ashed_controlls!$K$12:$K$14)</f>
        <v>2.2816647271287041</v>
      </c>
      <c r="Q80" s="195">
        <f t="shared" si="6"/>
        <v>1.8900680408478767</v>
      </c>
      <c r="R80" s="16">
        <f>IF('WetLitterbags placem_collection'!G7="N.A","",'WetLitterbags placem_collection'!G7)</f>
        <v>42818</v>
      </c>
      <c r="S80" s="195">
        <f>IF(IFERROR(INDEX('Both teabags AfterWet'!$C$3:$C$841,MATCH(H80,'Both teabags AfterWet'!$A$3:$A$841,0)),"")="N.A","",(IFERROR(INDEX('Both teabags AfterWet'!$C$3:$C$841,MATCH(H80,'Both teabags AfterWet'!$A$3:$A$841,0)),"")))</f>
        <v>0.46</v>
      </c>
      <c r="T80" s="195">
        <f>IFERROR(INDEX('Both teabags AfterWet'!$C$3:$C$841,MATCH(I80,'Both teabags AfterWet'!$A$3:$A$841,0)),"")</f>
        <v>1.3823000000000001</v>
      </c>
      <c r="U80" s="195">
        <f t="shared" si="7"/>
        <v>0.30940000000000001</v>
      </c>
      <c r="V80" s="195">
        <f t="shared" si="7"/>
        <v>1.2317</v>
      </c>
      <c r="W80" s="195">
        <f>IFERROR(INDEX('Ashed teabags wet'!$K$2:$K$821,MATCH(H80,'Ashed teabags wet'!$A$2:$A$821,0)),"")</f>
        <v>19.444444444444176</v>
      </c>
      <c r="X80" s="195">
        <f>IFERROR(INDEX('Ashed teabags wet'!$K$2:$K$821,MATCH(I80,'Ashed teabags wet'!$A$2:$A$821,0)),"")</f>
        <v>4.6214355948865089</v>
      </c>
      <c r="Y80" s="195">
        <f t="shared" si="1"/>
        <v>0.24923888888888973</v>
      </c>
      <c r="Z80" s="195">
        <f t="shared" si="1"/>
        <v>1.1747777777777828</v>
      </c>
      <c r="AA80" s="195">
        <f t="shared" si="8"/>
        <v>0.84945435870007446</v>
      </c>
      <c r="AB80" s="195">
        <f t="shared" si="9"/>
        <v>0.55688694299577335</v>
      </c>
      <c r="AC80" s="195">
        <f t="shared" si="2"/>
        <v>0.62155316760489865</v>
      </c>
      <c r="AD80">
        <f t="shared" si="3"/>
        <v>52</v>
      </c>
      <c r="AE80" s="195">
        <f t="shared" si="10"/>
        <v>-8.8531576010386637E-3</v>
      </c>
      <c r="AF80" s="195">
        <f t="shared" si="11"/>
        <v>2.1886715661006455E-2</v>
      </c>
      <c r="AG80" s="255" t="str">
        <f>IF(ISNUMBER(SEARCH("C",'WetLitterbags placem_collection'!AD7)),"YES","NO")</f>
        <v>NO</v>
      </c>
      <c r="AH80" s="255" t="str">
        <f>IF(ISNUMBER(SEARCH("H", 'WetLitterbags placem_collection'!AD7)),"YES","NO")</f>
        <v>NO</v>
      </c>
      <c r="AI80" s="255" t="str">
        <f>IF(ISNUMBER(SEARCH("R", 'WetLitterbags placem_collection'!AD7)),"YES","NO")</f>
        <v>NO</v>
      </c>
      <c r="AJ80" s="255" t="str">
        <f>IF(ISNUMBER(SEARCH("C", 'WetLitterbags placem_collection'!AC7)),"YES","NO")</f>
        <v>NO</v>
      </c>
      <c r="AK80" s="255" t="str">
        <f>IF(ISNUMBER(SEARCH("H", 'WetLitterbags placem_collection'!AC7)),"YES","NO")</f>
        <v>NO</v>
      </c>
      <c r="AL80" s="255" t="str">
        <f>IF(ISNUMBER(SEARCH("R", 'WetLitterbags placem_collection'!AC7)),"YES","NO")</f>
        <v>NO</v>
      </c>
    </row>
    <row r="81" spans="2:38">
      <c r="B81" t="str">
        <f>'Final data_for_R_analysis_Wetse'!A7</f>
        <v>Wet</v>
      </c>
      <c r="C81" s="263">
        <f>'Final data_for_R_analysis_Wetse'!B7</f>
        <v>6</v>
      </c>
      <c r="D81" t="s">
        <v>3824</v>
      </c>
      <c r="E81" t="s">
        <v>22</v>
      </c>
      <c r="F81" s="387">
        <v>6</v>
      </c>
      <c r="G81" s="16">
        <f>'WetLitterbags placem_collection'!E8</f>
        <v>42766</v>
      </c>
      <c r="H81" t="str">
        <f>'Final data_for_R_analysis_Wetse'!J7</f>
        <v>G447</v>
      </c>
      <c r="I81" t="str">
        <f>'Final data_for_R_analysis_Wetse'!J227</f>
        <v>R177</v>
      </c>
      <c r="J81">
        <f>IFERROR(INDEX('Green_rooibos initial weight'!$C$5:$C$1749,MATCH(H81, 'Green_rooibos initial weight'!$A$5:$A$1749,0)),"")</f>
        <v>2.0579999999999998</v>
      </c>
      <c r="K81">
        <f>IFERROR(INDEX('Green_rooibos initial weight'!$C$5:$C$1749,MATCH(I81, 'Green_rooibos initial weight'!$A$5:$A$1749,0)),"")</f>
        <v>2.153</v>
      </c>
      <c r="L81" s="195">
        <f t="shared" si="4"/>
        <v>1.8081999999999998</v>
      </c>
      <c r="M81" s="195">
        <f>AVERAGE(Ashed_controlls!$K$2:$K$11)</f>
        <v>5.5147656768714146</v>
      </c>
      <c r="N81" s="195">
        <f t="shared" si="0"/>
        <v>1.7084820070308109</v>
      </c>
      <c r="O81" s="195">
        <f t="shared" si="5"/>
        <v>1.9032</v>
      </c>
      <c r="P81" s="195">
        <f>AVERAGE(Ashed_controlls!$K$12:$K$14)</f>
        <v>2.2816647271287041</v>
      </c>
      <c r="Q81" s="195">
        <f t="shared" si="6"/>
        <v>1.8597753569132864</v>
      </c>
      <c r="R81" s="16">
        <f>IF('WetLitterbags placem_collection'!G8="N.A","",'WetLitterbags placem_collection'!G8)</f>
        <v>42818</v>
      </c>
      <c r="S81" s="195">
        <f>IF(IFERROR(INDEX('Both teabags AfterWet'!$C$3:$C$841,MATCH(H81,'Both teabags AfterWet'!$A$3:$A$841,0)),"")="N.A","",(IFERROR(INDEX('Both teabags AfterWet'!$C$3:$C$841,MATCH(H81,'Both teabags AfterWet'!$A$3:$A$841,0)),"")))</f>
        <v>0.67749999999999999</v>
      </c>
      <c r="T81" s="195">
        <f>IFERROR(INDEX('Both teabags AfterWet'!$C$3:$C$841,MATCH(I81,'Both teabags AfterWet'!$A$3:$A$841,0)),"")</f>
        <v>1.4271</v>
      </c>
      <c r="U81" s="195">
        <f t="shared" si="7"/>
        <v>0.52689999999999992</v>
      </c>
      <c r="V81" s="195">
        <f t="shared" si="7"/>
        <v>1.2765</v>
      </c>
      <c r="W81" s="195">
        <f>IFERROR(INDEX('Ashed teabags wet'!$K$2:$K$821,MATCH(H81,'Ashed teabags wet'!$A$2:$A$821,0)),"")</f>
        <v>11.472945891783862</v>
      </c>
      <c r="X81" s="195">
        <f>IFERROR(INDEX('Ashed teabags wet'!$K$2:$K$821,MATCH(I81,'Ashed teabags wet'!$A$2:$A$821,0)),"")</f>
        <v>14.46446446446422</v>
      </c>
      <c r="Y81" s="195">
        <f t="shared" si="1"/>
        <v>0.46644904809619075</v>
      </c>
      <c r="Z81" s="195">
        <f t="shared" si="1"/>
        <v>1.0918611111111143</v>
      </c>
      <c r="AA81" s="195">
        <f t="shared" si="8"/>
        <v>0.72698041525948676</v>
      </c>
      <c r="AB81" s="195">
        <f t="shared" si="9"/>
        <v>0.47659523660716951</v>
      </c>
      <c r="AC81" s="195">
        <f t="shared" si="2"/>
        <v>0.58709300940695452</v>
      </c>
      <c r="AD81">
        <f t="shared" si="3"/>
        <v>52</v>
      </c>
      <c r="AE81" s="195">
        <f t="shared" si="10"/>
        <v>0.13660283223338865</v>
      </c>
      <c r="AF81" s="195">
        <f t="shared" si="11"/>
        <v>3.8705145105853538E-2</v>
      </c>
      <c r="AG81" s="255" t="str">
        <f>IF(ISNUMBER(SEARCH("C",'WetLitterbags placem_collection'!AD8)),"YES","NO")</f>
        <v>NO</v>
      </c>
      <c r="AH81" s="255" t="str">
        <f>IF(ISNUMBER(SEARCH("H", 'WetLitterbags placem_collection'!AD8)),"YES","NO")</f>
        <v>NO</v>
      </c>
      <c r="AI81" s="255" t="str">
        <f>IF(ISNUMBER(SEARCH("R", 'WetLitterbags placem_collection'!AD8)),"YES","NO")</f>
        <v>NO</v>
      </c>
      <c r="AJ81" s="255" t="str">
        <f>IF(ISNUMBER(SEARCH("C", 'WetLitterbags placem_collection'!AC8)),"YES","NO")</f>
        <v>NO</v>
      </c>
      <c r="AK81" s="255" t="str">
        <f>IF(ISNUMBER(SEARCH("H", 'WetLitterbags placem_collection'!AC8)),"YES","NO")</f>
        <v>NO</v>
      </c>
      <c r="AL81" s="255" t="str">
        <f>IF(ISNUMBER(SEARCH("R", 'WetLitterbags placem_collection'!AC8)),"YES","NO")</f>
        <v>NO</v>
      </c>
    </row>
    <row r="82" spans="2:38">
      <c r="B82" t="str">
        <f>'Final data_for_R_analysis_Wetse'!A8</f>
        <v>Wet</v>
      </c>
      <c r="C82" s="263">
        <f>'Final data_for_R_analysis_Wetse'!B8</f>
        <v>7</v>
      </c>
      <c r="D82" t="s">
        <v>3824</v>
      </c>
      <c r="E82" t="s">
        <v>22</v>
      </c>
      <c r="F82" s="387">
        <v>7</v>
      </c>
      <c r="G82" s="16">
        <f>'WetLitterbags placem_collection'!E9</f>
        <v>42766</v>
      </c>
      <c r="H82" t="str">
        <f>'Final data_for_R_analysis_Wetse'!J8</f>
        <v>G452</v>
      </c>
      <c r="I82" t="str">
        <f>'Final data_for_R_analysis_Wetse'!J228</f>
        <v>R531</v>
      </c>
      <c r="J82">
        <f>IFERROR(INDEX('Green_rooibos initial weight'!$C$5:$C$1749,MATCH(H82, 'Green_rooibos initial weight'!$A$5:$A$1749,0)),"")</f>
        <v>2.0550000000000002</v>
      </c>
      <c r="K82">
        <f>IFERROR(INDEX('Green_rooibos initial weight'!$C$5:$C$1749,MATCH(I82, 'Green_rooibos initial weight'!$A$5:$A$1749,0)),"")</f>
        <v>2.101</v>
      </c>
      <c r="L82" s="195">
        <f t="shared" si="4"/>
        <v>1.8052000000000001</v>
      </c>
      <c r="M82" s="195">
        <f>AVERAGE(Ashed_controlls!$K$2:$K$11)</f>
        <v>5.5147656768714146</v>
      </c>
      <c r="N82" s="195">
        <f t="shared" si="0"/>
        <v>1.7056474500011174</v>
      </c>
      <c r="O82" s="195">
        <f t="shared" si="5"/>
        <v>1.8512</v>
      </c>
      <c r="P82" s="195">
        <f>AVERAGE(Ashed_controlls!$K$12:$K$14)</f>
        <v>2.2816647271287041</v>
      </c>
      <c r="Q82" s="195">
        <f t="shared" si="6"/>
        <v>1.8089618225713935</v>
      </c>
      <c r="R82" s="16">
        <f>IF('WetLitterbags placem_collection'!G9="N.A","",'WetLitterbags placem_collection'!G9)</f>
        <v>42818</v>
      </c>
      <c r="S82" s="195">
        <f>IF(IFERROR(INDEX('Both teabags AfterWet'!$C$3:$C$841,MATCH(H82,'Both teabags AfterWet'!$A$3:$A$841,0)),"")="N.A","",(IFERROR(INDEX('Both teabags AfterWet'!$C$3:$C$841,MATCH(H82,'Both teabags AfterWet'!$A$3:$A$841,0)),"")))</f>
        <v>0.67900000000000005</v>
      </c>
      <c r="T82" s="195">
        <f>IFERROR(INDEX('Both teabags AfterWet'!$C$3:$C$841,MATCH(I82,'Both teabags AfterWet'!$A$3:$A$841,0)),"")</f>
        <v>1.4430000000000001</v>
      </c>
      <c r="U82" s="195">
        <f t="shared" si="7"/>
        <v>0.52839999999999998</v>
      </c>
      <c r="V82" s="195">
        <f t="shared" si="7"/>
        <v>1.2924</v>
      </c>
      <c r="W82" s="195">
        <f>IFERROR(INDEX('Ashed teabags wet'!$K$2:$K$821,MATCH(H82,'Ashed teabags wet'!$A$2:$A$821,0)),"")</f>
        <v>11.36705057586399</v>
      </c>
      <c r="X82" s="195">
        <f>IFERROR(INDEX('Ashed teabags wet'!$K$2:$K$821,MATCH(I82,'Ashed teabags wet'!$A$2:$A$821,0)),"")</f>
        <v>3.1630170316302406</v>
      </c>
      <c r="Y82" s="195">
        <f t="shared" si="1"/>
        <v>0.46833650475713468</v>
      </c>
      <c r="Z82" s="195">
        <f t="shared" si="1"/>
        <v>1.2515211678832108</v>
      </c>
      <c r="AA82" s="195">
        <f t="shared" si="8"/>
        <v>0.72542010087909559</v>
      </c>
      <c r="AB82" s="195">
        <f t="shared" si="9"/>
        <v>0.47557232266658056</v>
      </c>
      <c r="AC82" s="195">
        <f t="shared" si="2"/>
        <v>0.69184498659247828</v>
      </c>
      <c r="AD82">
        <f t="shared" si="3"/>
        <v>52</v>
      </c>
      <c r="AE82" s="195">
        <f t="shared" si="10"/>
        <v>0.13845593719822369</v>
      </c>
      <c r="AF82" s="195">
        <f t="shared" si="11"/>
        <v>2.0077488755003252E-2</v>
      </c>
      <c r="AG82" s="255" t="str">
        <f>IF(ISNUMBER(SEARCH("C",'WetLitterbags placem_collection'!AD9)),"YES","NO")</f>
        <v>NO</v>
      </c>
      <c r="AH82" s="255" t="str">
        <f>IF(ISNUMBER(SEARCH("H", 'WetLitterbags placem_collection'!AD9)),"YES","NO")</f>
        <v>NO</v>
      </c>
      <c r="AI82" s="255" t="str">
        <f>IF(ISNUMBER(SEARCH("R", 'WetLitterbags placem_collection'!AD9)),"YES","NO")</f>
        <v>NO</v>
      </c>
      <c r="AJ82" s="255" t="str">
        <f>IF(ISNUMBER(SEARCH("C", 'WetLitterbags placem_collection'!AC9)),"YES","NO")</f>
        <v>NO</v>
      </c>
      <c r="AK82" s="255" t="str">
        <f>IF(ISNUMBER(SEARCH("H", 'WetLitterbags placem_collection'!AC9)),"YES","NO")</f>
        <v>NO</v>
      </c>
      <c r="AL82" s="255" t="str">
        <f>IF(ISNUMBER(SEARCH("R", 'WetLitterbags placem_collection'!AC9)),"YES","NO")</f>
        <v>NO</v>
      </c>
    </row>
    <row r="83" spans="2:38">
      <c r="B83" t="str">
        <f>'Final data_for_R_analysis_Wetse'!A9</f>
        <v>Wet</v>
      </c>
      <c r="C83" s="263">
        <f>'Final data_for_R_analysis_Wetse'!B9</f>
        <v>8</v>
      </c>
      <c r="D83" t="s">
        <v>3824</v>
      </c>
      <c r="E83" t="s">
        <v>22</v>
      </c>
      <c r="F83" s="387">
        <v>8</v>
      </c>
      <c r="G83" s="16">
        <f>'WetLitterbags placem_collection'!E10</f>
        <v>42766</v>
      </c>
      <c r="H83" t="str">
        <f>'Final data_for_R_analysis_Wetse'!J9</f>
        <v>G389</v>
      </c>
      <c r="I83" t="str">
        <f>'Final data_for_R_analysis_Wetse'!J229</f>
        <v>R406</v>
      </c>
      <c r="J83">
        <f>IFERROR(INDEX('Green_rooibos initial weight'!$C$5:$C$1749,MATCH(H83, 'Green_rooibos initial weight'!$A$5:$A$1749,0)),"")</f>
        <v>1.9710000000000001</v>
      </c>
      <c r="K83">
        <f>IFERROR(INDEX('Green_rooibos initial weight'!$C$5:$C$1749,MATCH(I83, 'Green_rooibos initial weight'!$A$5:$A$1749,0)),"")</f>
        <v>2.1739999999999999</v>
      </c>
      <c r="L83" s="195">
        <f t="shared" si="4"/>
        <v>1.7212000000000001</v>
      </c>
      <c r="M83" s="195">
        <f>AVERAGE(Ashed_controlls!$K$2:$K$11)</f>
        <v>5.5147656768714146</v>
      </c>
      <c r="N83" s="195">
        <f t="shared" si="0"/>
        <v>1.6262798531696894</v>
      </c>
      <c r="O83" s="195">
        <f t="shared" si="5"/>
        <v>1.9241999999999999</v>
      </c>
      <c r="P83" s="195">
        <f>AVERAGE(Ashed_controlls!$K$12:$K$14)</f>
        <v>2.2816647271287041</v>
      </c>
      <c r="Q83" s="195">
        <f t="shared" si="6"/>
        <v>1.8802962073205893</v>
      </c>
      <c r="R83" s="16">
        <f>IF('WetLitterbags placem_collection'!G10="N.A","",'WetLitterbags placem_collection'!G10)</f>
        <v>42818</v>
      </c>
      <c r="S83" s="195">
        <f>IF(IFERROR(INDEX('Both teabags AfterWet'!$C$3:$C$841,MATCH(H83,'Both teabags AfterWet'!$A$3:$A$841,0)),"")="N.A","",(IFERROR(INDEX('Both teabags AfterWet'!$C$3:$C$841,MATCH(H83,'Both teabags AfterWet'!$A$3:$A$841,0)),"")))</f>
        <v>0.61950000000000005</v>
      </c>
      <c r="T83" s="195">
        <f>IFERROR(INDEX('Both teabags AfterWet'!$C$3:$C$841,MATCH(I83,'Both teabags AfterWet'!$A$3:$A$841,0)),"")</f>
        <v>1.4278999999999999</v>
      </c>
      <c r="U83" s="195">
        <f t="shared" si="7"/>
        <v>0.46890000000000004</v>
      </c>
      <c r="V83" s="195">
        <f t="shared" si="7"/>
        <v>1.2772999999999999</v>
      </c>
      <c r="W83" s="195">
        <f>IFERROR(INDEX('Ashed teabags wet'!$K$2:$K$821,MATCH(H83,'Ashed teabags wet'!$A$2:$A$821,0)),"")</f>
        <v>9.7706879361918428</v>
      </c>
      <c r="X83" s="195">
        <f>IFERROR(INDEX('Ashed teabags wet'!$K$2:$K$821,MATCH(I83,'Ashed teabags wet'!$A$2:$A$821,0)),"")</f>
        <v>2.5291828793778013</v>
      </c>
      <c r="Y83" s="195">
        <f t="shared" si="1"/>
        <v>0.42308524426719651</v>
      </c>
      <c r="Z83" s="195">
        <f t="shared" si="1"/>
        <v>1.2449947470817073</v>
      </c>
      <c r="AA83" s="195">
        <f t="shared" si="8"/>
        <v>0.73984474846528703</v>
      </c>
      <c r="AB83" s="195">
        <f t="shared" si="9"/>
        <v>0.48502886122664901</v>
      </c>
      <c r="AC83" s="195">
        <f t="shared" si="2"/>
        <v>0.66212692565913178</v>
      </c>
      <c r="AD83">
        <f t="shared" si="3"/>
        <v>52</v>
      </c>
      <c r="AE83" s="195">
        <f t="shared" si="10"/>
        <v>0.12132452676331706</v>
      </c>
      <c r="AF83" s="195">
        <f t="shared" si="11"/>
        <v>2.2936857625070192E-2</v>
      </c>
      <c r="AG83" s="255" t="str">
        <f>IF(ISNUMBER(SEARCH("C",'WetLitterbags placem_collection'!AD10)),"YES","NO")</f>
        <v>NO</v>
      </c>
      <c r="AH83" s="255" t="str">
        <f>IF(ISNUMBER(SEARCH("H", 'WetLitterbags placem_collection'!AD10)),"YES","NO")</f>
        <v>NO</v>
      </c>
      <c r="AI83" s="255" t="str">
        <f>IF(ISNUMBER(SEARCH("R", 'WetLitterbags placem_collection'!AD10)),"YES","NO")</f>
        <v>NO</v>
      </c>
      <c r="AJ83" s="255" t="str">
        <f>IF(ISNUMBER(SEARCH("C", 'WetLitterbags placem_collection'!AC10)),"YES","NO")</f>
        <v>NO</v>
      </c>
      <c r="AK83" s="255" t="str">
        <f>IF(ISNUMBER(SEARCH("H", 'WetLitterbags placem_collection'!AC10)),"YES","NO")</f>
        <v>NO</v>
      </c>
      <c r="AL83" s="255" t="str">
        <f>IF(ISNUMBER(SEARCH("R", 'WetLitterbags placem_collection'!AC10)),"YES","NO")</f>
        <v>NO</v>
      </c>
    </row>
    <row r="84" spans="2:38">
      <c r="B84" t="str">
        <f>'Final data_for_R_analysis_Wetse'!A10</f>
        <v>Wet</v>
      </c>
      <c r="C84" s="263">
        <f>'Final data_for_R_analysis_Wetse'!B10</f>
        <v>9</v>
      </c>
      <c r="D84" t="s">
        <v>3828</v>
      </c>
      <c r="E84" t="s">
        <v>22</v>
      </c>
      <c r="F84" s="386">
        <v>1</v>
      </c>
      <c r="G84" s="16">
        <f>'WetLitterbags placem_collection'!E11</f>
        <v>42766</v>
      </c>
      <c r="H84" t="str">
        <f>'Final data_for_R_analysis_Wetse'!J10</f>
        <v>G514</v>
      </c>
      <c r="I84" t="str">
        <f>'Final data_for_R_analysis_Wetse'!J230</f>
        <v>R169</v>
      </c>
      <c r="J84">
        <f>IFERROR(INDEX('Green_rooibos initial weight'!$C$5:$C$1749,MATCH(H84, 'Green_rooibos initial weight'!$A$5:$A$1749,0)),"")</f>
        <v>1.9350000000000001</v>
      </c>
      <c r="K84">
        <f>IFERROR(INDEX('Green_rooibos initial weight'!$C$5:$C$1749,MATCH(I84, 'Green_rooibos initial weight'!$A$5:$A$1749,0)),"")</f>
        <v>2.2010000000000001</v>
      </c>
      <c r="L84" s="195">
        <f t="shared" si="4"/>
        <v>1.6852</v>
      </c>
      <c r="M84" s="195">
        <f>AVERAGE(Ashed_controlls!$K$2:$K$11)</f>
        <v>5.5147656768714146</v>
      </c>
      <c r="N84" s="195">
        <f t="shared" si="0"/>
        <v>1.5922651688133629</v>
      </c>
      <c r="O84" s="195">
        <f t="shared" si="5"/>
        <v>1.9512</v>
      </c>
      <c r="P84" s="195">
        <f>AVERAGE(Ashed_controlls!$K$12:$K$14)</f>
        <v>2.2816647271287041</v>
      </c>
      <c r="Q84" s="195">
        <f t="shared" si="6"/>
        <v>1.9066801578442647</v>
      </c>
      <c r="R84" s="16">
        <f>IF('WetLitterbags placem_collection'!G11="N.A","",'WetLitterbags placem_collection'!G11)</f>
        <v>42818</v>
      </c>
      <c r="S84" s="195" t="str">
        <f>IF(IFERROR(INDEX('Both teabags AfterWet'!$C$3:$C$841,MATCH(H84,'Both teabags AfterWet'!$A$3:$A$841,0)),"")="N.A","",(IFERROR(INDEX('Both teabags AfterWet'!$C$3:$C$841,MATCH(H84,'Both teabags AfterWet'!$A$3:$A$841,0)),"")))</f>
        <v/>
      </c>
      <c r="T84" s="195">
        <f>IFERROR(INDEX('Both teabags AfterWet'!$C$3:$C$841,MATCH(I84,'Both teabags AfterWet'!$A$3:$A$841,0)),"")</f>
        <v>2.8336999999999999</v>
      </c>
      <c r="U84" s="195" t="str">
        <f t="shared" si="7"/>
        <v/>
      </c>
      <c r="V84" s="195">
        <f t="shared" si="7"/>
        <v>2.6831</v>
      </c>
      <c r="W84" s="195">
        <f>IFERROR(INDEX('Ashed teabags wet'!$K$2:$K$821,MATCH(H84,'Ashed teabags wet'!$A$2:$A$821,0)),"")</f>
        <v>9.2933204259437421</v>
      </c>
      <c r="X84" s="195">
        <f>IFERROR(INDEX('Ashed teabags wet'!$K$2:$K$821,MATCH(I84,'Ashed teabags wet'!$A$2:$A$821,0)),"")</f>
        <v>95.2866861030124</v>
      </c>
      <c r="Y84" s="195" t="str">
        <f t="shared" si="1"/>
        <v/>
      </c>
      <c r="Z84" s="195">
        <f t="shared" si="1"/>
        <v>0.1264629251700744</v>
      </c>
      <c r="AA84" s="195" t="str">
        <f t="shared" si="8"/>
        <v/>
      </c>
      <c r="AB84" s="195" t="str">
        <f t="shared" si="9"/>
        <v/>
      </c>
      <c r="AC84" s="195">
        <f t="shared" si="2"/>
        <v>6.6326239694577946E-2</v>
      </c>
      <c r="AD84">
        <f t="shared" si="3"/>
        <v>52</v>
      </c>
      <c r="AE84" s="195" t="str">
        <f t="shared" si="10"/>
        <v/>
      </c>
      <c r="AF84" s="195" t="str">
        <f t="shared" si="11"/>
        <v/>
      </c>
      <c r="AG84" s="255" t="str">
        <f>IF(ISNUMBER(SEARCH("C",'WetLitterbags placem_collection'!AD11)),"YES","NO")</f>
        <v>NO</v>
      </c>
      <c r="AH84" s="255" t="str">
        <f>IF(ISNUMBER(SEARCH("H", 'WetLitterbags placem_collection'!AD11)),"YES","NO")</f>
        <v>NO</v>
      </c>
      <c r="AI84" s="255" t="str">
        <f>IF(ISNUMBER(SEARCH("R", 'WetLitterbags placem_collection'!AD11)),"YES","NO")</f>
        <v>NO</v>
      </c>
      <c r="AJ84" s="255" t="str">
        <f>IF(ISNUMBER(SEARCH("C", 'WetLitterbags placem_collection'!AC11)),"YES","NO")</f>
        <v>NO</v>
      </c>
      <c r="AK84" s="255" t="str">
        <f>IF(ISNUMBER(SEARCH("H", 'WetLitterbags placem_collection'!AC11)),"YES","NO")</f>
        <v>NO</v>
      </c>
      <c r="AL84" s="255" t="str">
        <f>IF(ISNUMBER(SEARCH("R", 'WetLitterbags placem_collection'!AC11)),"YES","NO")</f>
        <v>NO</v>
      </c>
    </row>
    <row r="85" spans="2:38">
      <c r="B85" t="str">
        <f>'Final data_for_R_analysis_Wetse'!A11</f>
        <v>Wet</v>
      </c>
      <c r="C85" s="263">
        <f>'Final data_for_R_analysis_Wetse'!B11</f>
        <v>10</v>
      </c>
      <c r="D85" t="s">
        <v>3828</v>
      </c>
      <c r="E85" t="s">
        <v>22</v>
      </c>
      <c r="F85" s="386">
        <v>2</v>
      </c>
      <c r="G85" s="16">
        <f>'WetLitterbags placem_collection'!E12</f>
        <v>42766</v>
      </c>
      <c r="H85" t="str">
        <f>'Final data_for_R_analysis_Wetse'!J11</f>
        <v>G286</v>
      </c>
      <c r="I85" t="str">
        <f>'Final data_for_R_analysis_Wetse'!J231</f>
        <v>R91</v>
      </c>
      <c r="J85">
        <f>IFERROR(INDEX('Green_rooibos initial weight'!$C$5:$C$1749,MATCH(H85, 'Green_rooibos initial weight'!$A$5:$A$1749,0)),"")</f>
        <v>2.0710000000000002</v>
      </c>
      <c r="K85">
        <f>IFERROR(INDEX('Green_rooibos initial weight'!$C$5:$C$1749,MATCH(I85, 'Green_rooibos initial weight'!$A$5:$A$1749,0)),"")</f>
        <v>2.133</v>
      </c>
      <c r="L85" s="195">
        <f t="shared" si="4"/>
        <v>1.8212000000000002</v>
      </c>
      <c r="M85" s="195">
        <f>AVERAGE(Ashed_controlls!$K$2:$K$11)</f>
        <v>5.5147656768714146</v>
      </c>
      <c r="N85" s="195">
        <f t="shared" si="0"/>
        <v>1.720765087492818</v>
      </c>
      <c r="O85" s="195">
        <f t="shared" si="5"/>
        <v>1.8832</v>
      </c>
      <c r="P85" s="195">
        <f>AVERAGE(Ashed_controlls!$K$12:$K$14)</f>
        <v>2.2816647271287041</v>
      </c>
      <c r="Q85" s="195">
        <f t="shared" si="6"/>
        <v>1.8402316898587123</v>
      </c>
      <c r="R85" s="16">
        <f>IF('WetLitterbags placem_collection'!G12="N.A","",'WetLitterbags placem_collection'!G12)</f>
        <v>42818</v>
      </c>
      <c r="S85" s="195">
        <f>IF(IFERROR(INDEX('Both teabags AfterWet'!$C$3:$C$841,MATCH(H85,'Both teabags AfterWet'!$A$3:$A$841,0)),"")="N.A","",(IFERROR(INDEX('Both teabags AfterWet'!$C$3:$C$841,MATCH(H85,'Both teabags AfterWet'!$A$3:$A$841,0)),"")))</f>
        <v>0.80200000000000005</v>
      </c>
      <c r="T85" s="195">
        <f>IFERROR(INDEX('Both teabags AfterWet'!$C$3:$C$841,MATCH(I85,'Both teabags AfterWet'!$A$3:$A$841,0)),"")</f>
        <v>1.3628</v>
      </c>
      <c r="U85" s="195">
        <f t="shared" si="7"/>
        <v>0.65139999999999998</v>
      </c>
      <c r="V85" s="195">
        <f t="shared" si="7"/>
        <v>1.2121999999999999</v>
      </c>
      <c r="W85" s="195">
        <f>IFERROR(INDEX('Ashed teabags wet'!$K$2:$K$821,MATCH(H85,'Ashed teabags wet'!$A$2:$A$821,0)),"")</f>
        <v>14.321233217304874</v>
      </c>
      <c r="X85" s="195">
        <f>IFERROR(INDEX('Ashed teabags wet'!$K$2:$K$821,MATCH(I85,'Ashed teabags wet'!$A$2:$A$821,0)),"")</f>
        <v>4.3562439496613994</v>
      </c>
      <c r="Y85" s="195">
        <f t="shared" si="1"/>
        <v>0.55811148682247602</v>
      </c>
      <c r="Z85" s="195">
        <f t="shared" si="1"/>
        <v>1.1593936108422045</v>
      </c>
      <c r="AA85" s="195">
        <f t="shared" si="8"/>
        <v>0.67566084942154814</v>
      </c>
      <c r="AB85" s="195">
        <f t="shared" si="9"/>
        <v>0.44295105567778459</v>
      </c>
      <c r="AC85" s="195">
        <f t="shared" si="2"/>
        <v>0.63002589143067056</v>
      </c>
      <c r="AD85">
        <f t="shared" si="3"/>
        <v>52</v>
      </c>
      <c r="AE85" s="195">
        <f t="shared" si="10"/>
        <v>0.19755243536633238</v>
      </c>
      <c r="AF85" s="195">
        <f t="shared" si="11"/>
        <v>3.4679147728915685E-2</v>
      </c>
      <c r="AG85" s="255" t="str">
        <f>IF(ISNUMBER(SEARCH("C",'WetLitterbags placem_collection'!AD12)),"YES","NO")</f>
        <v>NO</v>
      </c>
      <c r="AH85" s="255" t="str">
        <f>IF(ISNUMBER(SEARCH("H", 'WetLitterbags placem_collection'!AD12)),"YES","NO")</f>
        <v>NO</v>
      </c>
      <c r="AI85" s="255" t="str">
        <f>IF(ISNUMBER(SEARCH("R", 'WetLitterbags placem_collection'!AD12)),"YES","NO")</f>
        <v>NO</v>
      </c>
      <c r="AJ85" s="255" t="str">
        <f>IF(ISNUMBER(SEARCH("C", 'WetLitterbags placem_collection'!AC12)),"YES","NO")</f>
        <v>NO</v>
      </c>
      <c r="AK85" s="255" t="str">
        <f>IF(ISNUMBER(SEARCH("H", 'WetLitterbags placem_collection'!AC12)),"YES","NO")</f>
        <v>NO</v>
      </c>
      <c r="AL85" s="255" t="str">
        <f>IF(ISNUMBER(SEARCH("R", 'WetLitterbags placem_collection'!AC12)),"YES","NO")</f>
        <v>NO</v>
      </c>
    </row>
    <row r="86" spans="2:38">
      <c r="B86" t="str">
        <f>'Final data_for_R_analysis_Wetse'!A12</f>
        <v>Wet</v>
      </c>
      <c r="C86" s="263">
        <f>'Final data_for_R_analysis_Wetse'!B12</f>
        <v>11</v>
      </c>
      <c r="D86" t="s">
        <v>3828</v>
      </c>
      <c r="E86" t="s">
        <v>22</v>
      </c>
      <c r="F86" s="386">
        <v>3</v>
      </c>
      <c r="G86" s="16">
        <f>'WetLitterbags placem_collection'!E13</f>
        <v>42766</v>
      </c>
      <c r="H86" t="str">
        <f>'Final data_for_R_analysis_Wetse'!J12</f>
        <v>G543</v>
      </c>
      <c r="I86" t="str">
        <f>'Final data_for_R_analysis_Wetse'!J232</f>
        <v>R446</v>
      </c>
      <c r="J86">
        <f>IFERROR(INDEX('Green_rooibos initial weight'!$C$5:$C$1749,MATCH(H86, 'Green_rooibos initial weight'!$A$5:$A$1749,0)),"")</f>
        <v>2.0920000000000001</v>
      </c>
      <c r="K86">
        <f>IFERROR(INDEX('Green_rooibos initial weight'!$C$5:$C$1749,MATCH(I86, 'Green_rooibos initial weight'!$A$5:$A$1749,0)),"")</f>
        <v>2.2679999999999998</v>
      </c>
      <c r="L86" s="195">
        <f t="shared" si="4"/>
        <v>1.8422000000000001</v>
      </c>
      <c r="M86" s="195">
        <f>AVERAGE(Ashed_controlls!$K$2:$K$11)</f>
        <v>5.5147656768714146</v>
      </c>
      <c r="N86" s="195">
        <f t="shared" si="0"/>
        <v>1.7406069867006748</v>
      </c>
      <c r="O86" s="195">
        <f t="shared" si="5"/>
        <v>2.0181999999999998</v>
      </c>
      <c r="P86" s="195">
        <f>AVERAGE(Ashed_controlls!$K$12:$K$14)</f>
        <v>2.2816647271287041</v>
      </c>
      <c r="Q86" s="195">
        <f t="shared" si="6"/>
        <v>1.9721514424770883</v>
      </c>
      <c r="R86" s="16">
        <f>IF('WetLitterbags placem_collection'!G13="N.A","",'WetLitterbags placem_collection'!G13)</f>
        <v>42818</v>
      </c>
      <c r="S86" s="195">
        <f>IF(IFERROR(INDEX('Both teabags AfterWet'!$C$3:$C$841,MATCH(H86,'Both teabags AfterWet'!$A$3:$A$841,0)),"")="N.A","",(IFERROR(INDEX('Both teabags AfterWet'!$C$3:$C$841,MATCH(H86,'Both teabags AfterWet'!$A$3:$A$841,0)),"")))</f>
        <v>0.71650000000000003</v>
      </c>
      <c r="T86" s="195">
        <f>IFERROR(INDEX('Both teabags AfterWet'!$C$3:$C$841,MATCH(I86,'Both teabags AfterWet'!$A$3:$A$841,0)),"")</f>
        <v>1.4224000000000001</v>
      </c>
      <c r="U86" s="195">
        <f t="shared" si="7"/>
        <v>0.56590000000000007</v>
      </c>
      <c r="V86" s="195">
        <f t="shared" si="7"/>
        <v>1.2718</v>
      </c>
      <c r="W86" s="195">
        <f>IFERROR(INDEX('Ashed teabags wet'!$K$2:$K$821,MATCH(H86,'Ashed teabags wet'!$A$2:$A$821,0)),"")</f>
        <v>12.04819277108421</v>
      </c>
      <c r="X86" s="195">
        <f>IFERROR(INDEX('Ashed teabags wet'!$K$2:$K$821,MATCH(I86,'Ashed teabags wet'!$A$2:$A$821,0)),"")</f>
        <v>5.1775147928992347</v>
      </c>
      <c r="Y86" s="195">
        <f t="shared" si="1"/>
        <v>0.4977192771084345</v>
      </c>
      <c r="Z86" s="195">
        <f t="shared" si="1"/>
        <v>1.2059523668639076</v>
      </c>
      <c r="AA86" s="195">
        <f t="shared" si="8"/>
        <v>0.71405418861849868</v>
      </c>
      <c r="AB86" s="195">
        <f t="shared" si="9"/>
        <v>0.46812103576889708</v>
      </c>
      <c r="AC86" s="195">
        <f t="shared" si="2"/>
        <v>0.61149075111046802</v>
      </c>
      <c r="AD86">
        <f t="shared" si="3"/>
        <v>52</v>
      </c>
      <c r="AE86" s="195">
        <f t="shared" si="10"/>
        <v>0.15195464534620107</v>
      </c>
      <c r="AF86" s="195">
        <f t="shared" si="11"/>
        <v>3.4068552454925731E-2</v>
      </c>
      <c r="AG86" s="255" t="str">
        <f>IF(ISNUMBER(SEARCH("C",'WetLitterbags placem_collection'!AD13)),"YES","NO")</f>
        <v>NO</v>
      </c>
      <c r="AH86" s="255" t="str">
        <f>IF(ISNUMBER(SEARCH("H", 'WetLitterbags placem_collection'!AD13)),"YES","NO")</f>
        <v>NO</v>
      </c>
      <c r="AI86" s="255" t="str">
        <f>IF(ISNUMBER(SEARCH("R", 'WetLitterbags placem_collection'!AD13)),"YES","NO")</f>
        <v>NO</v>
      </c>
      <c r="AJ86" s="255" t="str">
        <f>IF(ISNUMBER(SEARCH("C", 'WetLitterbags placem_collection'!AC13)),"YES","NO")</f>
        <v>NO</v>
      </c>
      <c r="AK86" s="255" t="str">
        <f>IF(ISNUMBER(SEARCH("H", 'WetLitterbags placem_collection'!AC13)),"YES","NO")</f>
        <v>NO</v>
      </c>
      <c r="AL86" s="255" t="str">
        <f>IF(ISNUMBER(SEARCH("R", 'WetLitterbags placem_collection'!AC13)),"YES","NO")</f>
        <v>NO</v>
      </c>
    </row>
    <row r="87" spans="2:38">
      <c r="B87" t="str">
        <f>'Final data_for_R_analysis_Wetse'!A13</f>
        <v>Wet</v>
      </c>
      <c r="C87" s="263">
        <f>'Final data_for_R_analysis_Wetse'!B13</f>
        <v>12</v>
      </c>
      <c r="D87" t="s">
        <v>3828</v>
      </c>
      <c r="E87" t="s">
        <v>22</v>
      </c>
      <c r="F87" s="387">
        <v>4</v>
      </c>
      <c r="G87" s="16">
        <f>'WetLitterbags placem_collection'!E14</f>
        <v>42766</v>
      </c>
      <c r="H87" t="str">
        <f>'Final data_for_R_analysis_Wetse'!J13</f>
        <v>G590</v>
      </c>
      <c r="I87" t="str">
        <f>'Final data_for_R_analysis_Wetse'!J233</f>
        <v>R409</v>
      </c>
      <c r="J87">
        <f>IFERROR(INDEX('Green_rooibos initial weight'!$C$5:$C$1749,MATCH(H87, 'Green_rooibos initial weight'!$A$5:$A$1749,0)),"")</f>
        <v>2.0830000000000002</v>
      </c>
      <c r="K87">
        <f>IFERROR(INDEX('Green_rooibos initial weight'!$C$5:$C$1749,MATCH(I87, 'Green_rooibos initial weight'!$A$5:$A$1749,0)),"")</f>
        <v>2.2000000000000002</v>
      </c>
      <c r="L87" s="195">
        <f t="shared" si="4"/>
        <v>1.8332000000000002</v>
      </c>
      <c r="M87" s="195">
        <f>AVERAGE(Ashed_controlls!$K$2:$K$11)</f>
        <v>5.5147656768714146</v>
      </c>
      <c r="N87" s="195">
        <f t="shared" si="0"/>
        <v>1.7321033156115935</v>
      </c>
      <c r="O87" s="195">
        <f t="shared" si="5"/>
        <v>1.9502000000000002</v>
      </c>
      <c r="P87" s="195">
        <f>AVERAGE(Ashed_controlls!$K$12:$K$14)</f>
        <v>2.2816647271287041</v>
      </c>
      <c r="Q87" s="195">
        <f t="shared" si="6"/>
        <v>1.9057029744915361</v>
      </c>
      <c r="R87" s="16">
        <f>IF('WetLitterbags placem_collection'!G14="N.A","",'WetLitterbags placem_collection'!G14)</f>
        <v>0</v>
      </c>
      <c r="S87" s="195" t="str">
        <f>IF(IFERROR(INDEX('Both teabags AfterWet'!$C$3:$C$841,MATCH(H87,'Both teabags AfterWet'!$A$3:$A$841,0)),"")="N.A","",(IFERROR(INDEX('Both teabags AfterWet'!$C$3:$C$841,MATCH(H87,'Both teabags AfterWet'!$A$3:$A$841,0)),"")))</f>
        <v/>
      </c>
      <c r="T87" s="195" t="str">
        <f>IFERROR(INDEX('Both teabags AfterWet'!$C$3:$C$841,MATCH(I87,'Both teabags AfterWet'!$A$3:$A$841,0)),"")</f>
        <v/>
      </c>
      <c r="U87" s="195" t="str">
        <f t="shared" si="7"/>
        <v/>
      </c>
      <c r="V87" s="195" t="str">
        <f t="shared" si="7"/>
        <v/>
      </c>
      <c r="W87" s="195" t="str">
        <f>IFERROR(INDEX('Ashed teabags wet'!$K$2:$K$821,MATCH(H87,'Ashed teabags wet'!$A$2:$A$821,0)),"")</f>
        <v/>
      </c>
      <c r="X87" s="195" t="str">
        <f>IFERROR(INDEX('Ashed teabags wet'!$K$2:$K$821,MATCH(I87,'Ashed teabags wet'!$A$2:$A$821,0)),"")</f>
        <v/>
      </c>
      <c r="Y87" s="195" t="str">
        <f t="shared" si="1"/>
        <v/>
      </c>
      <c r="Z87" s="195" t="str">
        <f t="shared" si="1"/>
        <v/>
      </c>
      <c r="AA87" s="195" t="str">
        <f t="shared" si="8"/>
        <v/>
      </c>
      <c r="AB87" s="195" t="str">
        <f t="shared" si="9"/>
        <v/>
      </c>
      <c r="AC87" s="195" t="str">
        <f t="shared" si="2"/>
        <v/>
      </c>
      <c r="AD87" t="str">
        <f t="shared" si="3"/>
        <v/>
      </c>
      <c r="AE87" s="195" t="str">
        <f t="shared" si="10"/>
        <v/>
      </c>
      <c r="AF87" s="195" t="str">
        <f t="shared" si="11"/>
        <v/>
      </c>
      <c r="AG87" s="255" t="str">
        <f>IF(ISNUMBER(SEARCH("C",'WetLitterbags placem_collection'!AD14)),"YES","NO")</f>
        <v>NO</v>
      </c>
      <c r="AH87" s="255" t="str">
        <f>IF(ISNUMBER(SEARCH("H", 'WetLitterbags placem_collection'!AD14)),"YES","NO")</f>
        <v>NO</v>
      </c>
      <c r="AI87" s="255" t="str">
        <f>IF(ISNUMBER(SEARCH("R", 'WetLitterbags placem_collection'!AD14)),"YES","NO")</f>
        <v>NO</v>
      </c>
      <c r="AJ87" s="255" t="str">
        <f>IF(ISNUMBER(SEARCH("C", 'WetLitterbags placem_collection'!AC14)),"YES","NO")</f>
        <v>NO</v>
      </c>
      <c r="AK87" s="255" t="str">
        <f>IF(ISNUMBER(SEARCH("H", 'WetLitterbags placem_collection'!AC14)),"YES","NO")</f>
        <v>NO</v>
      </c>
      <c r="AL87" s="255" t="str">
        <f>IF(ISNUMBER(SEARCH("R", 'WetLitterbags placem_collection'!AC14)),"YES","NO")</f>
        <v>NO</v>
      </c>
    </row>
    <row r="88" spans="2:38">
      <c r="B88" t="str">
        <f>'Final data_for_R_analysis_Wetse'!A14</f>
        <v>Wet</v>
      </c>
      <c r="C88" s="263">
        <f>'Final data_for_R_analysis_Wetse'!B14</f>
        <v>13</v>
      </c>
      <c r="D88" t="s">
        <v>3828</v>
      </c>
      <c r="E88" t="s">
        <v>22</v>
      </c>
      <c r="F88" s="387">
        <v>5</v>
      </c>
      <c r="G88" s="16">
        <f>'WetLitterbags placem_collection'!E15</f>
        <v>42766</v>
      </c>
      <c r="H88" t="str">
        <f>'Final data_for_R_analysis_Wetse'!J14</f>
        <v>G595</v>
      </c>
      <c r="I88" t="str">
        <f>'Final data_for_R_analysis_Wetse'!J234</f>
        <v>R450</v>
      </c>
      <c r="J88">
        <f>IFERROR(INDEX('Green_rooibos initial weight'!$C$5:$C$1749,MATCH(H88, 'Green_rooibos initial weight'!$A$5:$A$1749,0)),"")</f>
        <v>2.1160000000000001</v>
      </c>
      <c r="K88">
        <f>IFERROR(INDEX('Green_rooibos initial weight'!$C$5:$C$1749,MATCH(I88, 'Green_rooibos initial weight'!$A$5:$A$1749,0)),"")</f>
        <v>2.2250000000000001</v>
      </c>
      <c r="L88" s="195">
        <f t="shared" si="4"/>
        <v>1.8662000000000001</v>
      </c>
      <c r="M88" s="195">
        <f>AVERAGE(Ashed_controlls!$K$2:$K$11)</f>
        <v>5.5147656768714146</v>
      </c>
      <c r="N88" s="195">
        <f t="shared" si="0"/>
        <v>1.7632834429382258</v>
      </c>
      <c r="O88" s="195">
        <f t="shared" si="5"/>
        <v>1.9752000000000001</v>
      </c>
      <c r="P88" s="195">
        <f>AVERAGE(Ashed_controlls!$K$12:$K$14)</f>
        <v>2.2816647271287041</v>
      </c>
      <c r="Q88" s="195">
        <f t="shared" si="6"/>
        <v>1.9301325583097539</v>
      </c>
      <c r="R88" s="16">
        <f>IF('WetLitterbags placem_collection'!G15="N.A","",'WetLitterbags placem_collection'!G15)</f>
        <v>42818</v>
      </c>
      <c r="S88" s="195">
        <f>IF(IFERROR(INDEX('Both teabags AfterWet'!$C$3:$C$841,MATCH(H88,'Both teabags AfterWet'!$A$3:$A$841,0)),"")="N.A","",(IFERROR(INDEX('Both teabags AfterWet'!$C$3:$C$841,MATCH(H88,'Both teabags AfterWet'!$A$3:$A$841,0)),"")))</f>
        <v>0.62809999999999999</v>
      </c>
      <c r="T88" s="195">
        <f>IFERROR(INDEX('Both teabags AfterWet'!$C$3:$C$841,MATCH(I88,'Both teabags AfterWet'!$A$3:$A$841,0)),"")</f>
        <v>0.91920000000000002</v>
      </c>
      <c r="U88" s="195">
        <f t="shared" si="7"/>
        <v>0.47749999999999998</v>
      </c>
      <c r="V88" s="195">
        <f t="shared" si="7"/>
        <v>0.76859999999999995</v>
      </c>
      <c r="W88" s="195">
        <f>IFERROR(INDEX('Ashed teabags wet'!$K$2:$K$821,MATCH(H88,'Ashed teabags wet'!$A$2:$A$821,0)),"")</f>
        <v>29.168740666998239</v>
      </c>
      <c r="X88" s="195">
        <f>IFERROR(INDEX('Ashed teabags wet'!$K$2:$K$821,MATCH(I88,'Ashed teabags wet'!$A$2:$A$821,0)),"")</f>
        <v>41.214534594325485</v>
      </c>
      <c r="Y88" s="195">
        <f t="shared" si="1"/>
        <v>0.3382192633150834</v>
      </c>
      <c r="Z88" s="195">
        <f t="shared" si="1"/>
        <v>0.45182508710801428</v>
      </c>
      <c r="AA88" s="195">
        <f t="shared" si="8"/>
        <v>0.8081878074284552</v>
      </c>
      <c r="AB88" s="195">
        <f t="shared" si="9"/>
        <v>0.5298333369364695</v>
      </c>
      <c r="AC88" s="195">
        <f t="shared" si="2"/>
        <v>0.23409018471958437</v>
      </c>
      <c r="AD88">
        <f t="shared" si="3"/>
        <v>52</v>
      </c>
      <c r="AE88" s="195">
        <f t="shared" si="10"/>
        <v>4.0156998303497393E-2</v>
      </c>
      <c r="AF88" s="195" t="str">
        <f t="shared" si="11"/>
        <v/>
      </c>
      <c r="AG88" s="255" t="str">
        <f>IF(ISNUMBER(SEARCH("C",'WetLitterbags placem_collection'!AD15)),"YES","NO")</f>
        <v>NO</v>
      </c>
      <c r="AH88" s="255" t="str">
        <f>IF(ISNUMBER(SEARCH("H", 'WetLitterbags placem_collection'!AD15)),"YES","NO")</f>
        <v>NO</v>
      </c>
      <c r="AI88" s="255" t="str">
        <f>IF(ISNUMBER(SEARCH("R", 'WetLitterbags placem_collection'!AD15)),"YES","NO")</f>
        <v>NO</v>
      </c>
      <c r="AJ88" s="255" t="str">
        <f>IF(ISNUMBER(SEARCH("C", 'WetLitterbags placem_collection'!AC15)),"YES","NO")</f>
        <v>NO</v>
      </c>
      <c r="AK88" s="255" t="str">
        <f>IF(ISNUMBER(SEARCH("H", 'WetLitterbags placem_collection'!AC15)),"YES","NO")</f>
        <v>NO</v>
      </c>
      <c r="AL88" s="255" t="str">
        <f>IF(ISNUMBER(SEARCH("R", 'WetLitterbags placem_collection'!AC15)),"YES","NO")</f>
        <v>NO</v>
      </c>
    </row>
    <row r="89" spans="2:38">
      <c r="B89" t="str">
        <f>'Final data_for_R_analysis_Wetse'!A15</f>
        <v>Wet</v>
      </c>
      <c r="C89" s="263">
        <f>'Final data_for_R_analysis_Wetse'!B15</f>
        <v>14</v>
      </c>
      <c r="D89" t="s">
        <v>3828</v>
      </c>
      <c r="E89" t="s">
        <v>22</v>
      </c>
      <c r="F89" s="387">
        <v>6</v>
      </c>
      <c r="G89" s="16">
        <f>'WetLitterbags placem_collection'!E16</f>
        <v>42766</v>
      </c>
      <c r="H89" t="str">
        <f>'Final data_for_R_analysis_Wetse'!J15</f>
        <v>G609</v>
      </c>
      <c r="I89" t="str">
        <f>'Final data_for_R_analysis_Wetse'!J235</f>
        <v>R382</v>
      </c>
      <c r="J89">
        <f>IFERROR(INDEX('Green_rooibos initial weight'!$C$5:$C$1749,MATCH(H89, 'Green_rooibos initial weight'!$A$5:$A$1749,0)),"")</f>
        <v>2.089</v>
      </c>
      <c r="K89">
        <f>IFERROR(INDEX('Green_rooibos initial weight'!$C$5:$C$1749,MATCH(I89, 'Green_rooibos initial weight'!$A$5:$A$1749,0)),"")</f>
        <v>2.2210000000000001</v>
      </c>
      <c r="L89" s="195">
        <f t="shared" si="4"/>
        <v>1.8391999999999999</v>
      </c>
      <c r="M89" s="195">
        <f>AVERAGE(Ashed_controlls!$K$2:$K$11)</f>
        <v>5.5147656768714146</v>
      </c>
      <c r="N89" s="195">
        <f t="shared" si="0"/>
        <v>1.7377724296709809</v>
      </c>
      <c r="O89" s="195">
        <f t="shared" si="5"/>
        <v>1.9712000000000001</v>
      </c>
      <c r="P89" s="195">
        <f>AVERAGE(Ashed_controlls!$K$12:$K$14)</f>
        <v>2.2816647271287041</v>
      </c>
      <c r="Q89" s="195">
        <f t="shared" si="6"/>
        <v>1.926223824898839</v>
      </c>
      <c r="R89" s="16">
        <f>IF('WetLitterbags placem_collection'!G16="N.A","",'WetLitterbags placem_collection'!G16)</f>
        <v>42818</v>
      </c>
      <c r="S89" s="195">
        <f>IF(IFERROR(INDEX('Both teabags AfterWet'!$C$3:$C$841,MATCH(H89,'Both teabags AfterWet'!$A$3:$A$841,0)),"")="N.A","",(IFERROR(INDEX('Both teabags AfterWet'!$C$3:$C$841,MATCH(H89,'Both teabags AfterWet'!$A$3:$A$841,0)),"")))</f>
        <v>0.498</v>
      </c>
      <c r="T89" s="195">
        <f>IFERROR(INDEX('Both teabags AfterWet'!$C$3:$C$841,MATCH(I89,'Both teabags AfterWet'!$A$3:$A$841,0)),"")</f>
        <v>1.794</v>
      </c>
      <c r="U89" s="195">
        <f t="shared" si="7"/>
        <v>0.34739999999999999</v>
      </c>
      <c r="V89" s="195">
        <f t="shared" si="7"/>
        <v>1.6434</v>
      </c>
      <c r="W89" s="195">
        <f>IFERROR(INDEX('Ashed teabags wet'!$K$2:$K$821,MATCH(H89,'Ashed teabags wet'!$A$2:$A$821,0)),"")</f>
        <v>16.033966033965626</v>
      </c>
      <c r="X89" s="195">
        <f>IFERROR(INDEX('Ashed teabags wet'!$K$2:$K$821,MATCH(I89,'Ashed teabags wet'!$A$2:$A$821,0)),"")</f>
        <v>87.890437289764591</v>
      </c>
      <c r="Y89" s="195">
        <f t="shared" si="1"/>
        <v>0.29169800199800339</v>
      </c>
      <c r="Z89" s="195">
        <f t="shared" si="1"/>
        <v>0.1990085535800088</v>
      </c>
      <c r="AA89" s="195">
        <f t="shared" si="8"/>
        <v>0.83214257688894766</v>
      </c>
      <c r="AB89" s="195">
        <f t="shared" si="9"/>
        <v>0.54553765135712495</v>
      </c>
      <c r="AC89" s="195">
        <f t="shared" si="2"/>
        <v>0.10331538370960616</v>
      </c>
      <c r="AD89">
        <f t="shared" si="3"/>
        <v>52</v>
      </c>
      <c r="AE89" s="195">
        <f t="shared" si="10"/>
        <v>1.1707153338541887E-2</v>
      </c>
      <c r="AF89" s="195" t="str">
        <f t="shared" si="11"/>
        <v/>
      </c>
      <c r="AG89" s="255" t="str">
        <f>IF(ISNUMBER(SEARCH("C",'WetLitterbags placem_collection'!AD16)),"YES","NO")</f>
        <v>NO</v>
      </c>
      <c r="AH89" s="255" t="str">
        <f>IF(ISNUMBER(SEARCH("H", 'WetLitterbags placem_collection'!AD16)),"YES","NO")</f>
        <v>NO</v>
      </c>
      <c r="AI89" s="255" t="str">
        <f>IF(ISNUMBER(SEARCH("R", 'WetLitterbags placem_collection'!AD16)),"YES","NO")</f>
        <v>NO</v>
      </c>
      <c r="AJ89" s="255" t="str">
        <f>IF(ISNUMBER(SEARCH("C", 'WetLitterbags placem_collection'!AC16)),"YES","NO")</f>
        <v>NO</v>
      </c>
      <c r="AK89" s="255" t="str">
        <f>IF(ISNUMBER(SEARCH("H", 'WetLitterbags placem_collection'!AC16)),"YES","NO")</f>
        <v>NO</v>
      </c>
      <c r="AL89" s="255" t="str">
        <f>IF(ISNUMBER(SEARCH("R", 'WetLitterbags placem_collection'!AC16)),"YES","NO")</f>
        <v>NO</v>
      </c>
    </row>
    <row r="90" spans="2:38">
      <c r="B90" t="str">
        <f>'Final data_for_R_analysis_Wetse'!A16</f>
        <v>Wet</v>
      </c>
      <c r="C90" s="263">
        <f>'Final data_for_R_analysis_Wetse'!B16</f>
        <v>15</v>
      </c>
      <c r="D90" t="s">
        <v>3828</v>
      </c>
      <c r="E90" t="s">
        <v>22</v>
      </c>
      <c r="F90" s="387">
        <v>7</v>
      </c>
      <c r="G90" s="16">
        <f>'WetLitterbags placem_collection'!E17</f>
        <v>42766</v>
      </c>
      <c r="H90" t="str">
        <f>'Final data_for_R_analysis_Wetse'!J16</f>
        <v>G222</v>
      </c>
      <c r="I90" t="str">
        <f>'Final data_for_R_analysis_Wetse'!J236</f>
        <v>R415</v>
      </c>
      <c r="J90">
        <f>IFERROR(INDEX('Green_rooibos initial weight'!$C$5:$C$1749,MATCH(H90, 'Green_rooibos initial weight'!$A$5:$A$1749,0)),"")</f>
        <v>1.889</v>
      </c>
      <c r="K90">
        <f>IFERROR(INDEX('Green_rooibos initial weight'!$C$5:$C$1749,MATCH(I90, 'Green_rooibos initial weight'!$A$5:$A$1749,0)),"")</f>
        <v>2.2160000000000002</v>
      </c>
      <c r="L90" s="195">
        <f t="shared" si="4"/>
        <v>1.6392</v>
      </c>
      <c r="M90" s="195">
        <f>AVERAGE(Ashed_controlls!$K$2:$K$11)</f>
        <v>5.5147656768714146</v>
      </c>
      <c r="N90" s="195">
        <f t="shared" si="0"/>
        <v>1.5488019610247237</v>
      </c>
      <c r="O90" s="195">
        <f t="shared" si="5"/>
        <v>1.9662000000000002</v>
      </c>
      <c r="P90" s="195">
        <f>AVERAGE(Ashed_controlls!$K$12:$K$14)</f>
        <v>2.2816647271287041</v>
      </c>
      <c r="Q90" s="195">
        <f t="shared" si="6"/>
        <v>1.9213379081351956</v>
      </c>
      <c r="R90" s="16">
        <f>IF('WetLitterbags placem_collection'!G17="N.A","",'WetLitterbags placem_collection'!G17)</f>
        <v>42818</v>
      </c>
      <c r="S90" s="195">
        <f>IF(IFERROR(INDEX('Both teabags AfterWet'!$C$3:$C$841,MATCH(H90,'Both teabags AfterWet'!$A$3:$A$841,0)),"")="N.A","",(IFERROR(INDEX('Both teabags AfterWet'!$C$3:$C$841,MATCH(H90,'Both teabags AfterWet'!$A$3:$A$841,0)),"")))</f>
        <v>0.67100000000000004</v>
      </c>
      <c r="T90" s="195">
        <f>IFERROR(INDEX('Both teabags AfterWet'!$C$3:$C$841,MATCH(I90,'Both teabags AfterWet'!$A$3:$A$841,0)),"")</f>
        <v>2.96</v>
      </c>
      <c r="U90" s="195">
        <f t="shared" si="7"/>
        <v>0.52039999999999997</v>
      </c>
      <c r="V90" s="195">
        <f t="shared" si="7"/>
        <v>2.8094000000000001</v>
      </c>
      <c r="W90" s="195">
        <f>IFERROR(INDEX('Ashed teabags wet'!$K$2:$K$821,MATCH(H90,'Ashed teabags wet'!$A$2:$A$821,0)),"")</f>
        <v>15.805168986083718</v>
      </c>
      <c r="X90" s="195">
        <f>IFERROR(INDEX('Ashed teabags wet'!$K$2:$K$821,MATCH(I90,'Ashed teabags wet'!$A$2:$A$821,0)),"")</f>
        <v>78.641732283464947</v>
      </c>
      <c r="Y90" s="195">
        <f t="shared" si="1"/>
        <v>0.43814990059642034</v>
      </c>
      <c r="Z90" s="195">
        <f t="shared" si="1"/>
        <v>0.60003917322833589</v>
      </c>
      <c r="AA90" s="195">
        <f t="shared" si="8"/>
        <v>0.71710398642152406</v>
      </c>
      <c r="AB90" s="195">
        <f t="shared" si="9"/>
        <v>0.47012042815282823</v>
      </c>
      <c r="AC90" s="195">
        <f t="shared" si="2"/>
        <v>0.31230278166463676</v>
      </c>
      <c r="AD90">
        <f t="shared" si="3"/>
        <v>52</v>
      </c>
      <c r="AE90" s="195">
        <f t="shared" si="10"/>
        <v>0.14833255769415188</v>
      </c>
      <c r="AF90" s="195" t="str">
        <f t="shared" si="11"/>
        <v/>
      </c>
      <c r="AG90" s="255" t="str">
        <f>IF(ISNUMBER(SEARCH("C",'WetLitterbags placem_collection'!AD17)),"YES","NO")</f>
        <v>NO</v>
      </c>
      <c r="AH90" s="255" t="str">
        <f>IF(ISNUMBER(SEARCH("H", 'WetLitterbags placem_collection'!AD17)),"YES","NO")</f>
        <v>YES</v>
      </c>
      <c r="AI90" s="255" t="str">
        <f>IF(ISNUMBER(SEARCH("R", 'WetLitterbags placem_collection'!AD17)),"YES","NO")</f>
        <v>YES</v>
      </c>
      <c r="AJ90" s="255" t="str">
        <f>IF(ISNUMBER(SEARCH("C", 'WetLitterbags placem_collection'!AC17)),"YES","NO")</f>
        <v>NO</v>
      </c>
      <c r="AK90" s="255" t="str">
        <f>IF(ISNUMBER(SEARCH("H", 'WetLitterbags placem_collection'!AC17)),"YES","NO")</f>
        <v>NO</v>
      </c>
      <c r="AL90" s="255" t="str">
        <f>IF(ISNUMBER(SEARCH("R", 'WetLitterbags placem_collection'!AC17)),"YES","NO")</f>
        <v>NO</v>
      </c>
    </row>
    <row r="91" spans="2:38">
      <c r="B91" t="str">
        <f>'Final data_for_R_analysis_Wetse'!A17</f>
        <v>Wet</v>
      </c>
      <c r="C91" s="263">
        <f>'Final data_for_R_analysis_Wetse'!B17</f>
        <v>16</v>
      </c>
      <c r="D91" t="s">
        <v>3828</v>
      </c>
      <c r="E91" t="s">
        <v>22</v>
      </c>
      <c r="F91" s="387">
        <v>8</v>
      </c>
      <c r="G91" s="16">
        <f>'WetLitterbags placem_collection'!E18</f>
        <v>42766</v>
      </c>
      <c r="H91" t="str">
        <f>'Final data_for_R_analysis_Wetse'!J17</f>
        <v>G405</v>
      </c>
      <c r="I91" t="str">
        <f>'Final data_for_R_analysis_Wetse'!J237</f>
        <v>R519</v>
      </c>
      <c r="J91">
        <f>IFERROR(INDEX('Green_rooibos initial weight'!$C$5:$C$1749,MATCH(H91, 'Green_rooibos initial weight'!$A$5:$A$1749,0)),"")</f>
        <v>2.056</v>
      </c>
      <c r="K91">
        <f>IFERROR(INDEX('Green_rooibos initial weight'!$C$5:$C$1749,MATCH(I91, 'Green_rooibos initial weight'!$A$5:$A$1749,0)),"")</f>
        <v>2.21</v>
      </c>
      <c r="L91" s="195">
        <f t="shared" si="4"/>
        <v>1.8062</v>
      </c>
      <c r="M91" s="195">
        <f>AVERAGE(Ashed_controlls!$K$2:$K$11)</f>
        <v>5.5147656768714146</v>
      </c>
      <c r="N91" s="195">
        <f t="shared" si="0"/>
        <v>1.7065923023443486</v>
      </c>
      <c r="O91" s="195">
        <f t="shared" si="5"/>
        <v>1.9601999999999999</v>
      </c>
      <c r="P91" s="195">
        <f>AVERAGE(Ashed_controlls!$K$12:$K$14)</f>
        <v>2.2816647271287041</v>
      </c>
      <c r="Q91" s="195">
        <f t="shared" si="6"/>
        <v>1.9154748080188231</v>
      </c>
      <c r="R91" s="16">
        <f>IF('WetLitterbags placem_collection'!G18="N.A","",'WetLitterbags placem_collection'!G18)</f>
        <v>42818</v>
      </c>
      <c r="S91" s="195">
        <f>IF(IFERROR(INDEX('Both teabags AfterWet'!$C$3:$C$841,MATCH(H91,'Both teabags AfterWet'!$A$3:$A$841,0)),"")="N.A","",(IFERROR(INDEX('Both teabags AfterWet'!$C$3:$C$841,MATCH(H91,'Both teabags AfterWet'!$A$3:$A$841,0)),"")))</f>
        <v>0.70150000000000001</v>
      </c>
      <c r="T91" s="195">
        <f>IFERROR(INDEX('Both teabags AfterWet'!$C$3:$C$841,MATCH(I91,'Both teabags AfterWet'!$A$3:$A$841,0)),"")</f>
        <v>1.4281999999999999</v>
      </c>
      <c r="U91" s="195">
        <f t="shared" si="7"/>
        <v>0.55089999999999995</v>
      </c>
      <c r="V91" s="195">
        <f t="shared" si="7"/>
        <v>1.2775999999999998</v>
      </c>
      <c r="W91" s="195">
        <f>IFERROR(INDEX('Ashed teabags wet'!$K$2:$K$821,MATCH(H91,'Ashed teabags wet'!$A$2:$A$821,0)),"")</f>
        <v>15.725413826680606</v>
      </c>
      <c r="X91" s="195">
        <f>IFERROR(INDEX('Ashed teabags wet'!$K$2:$K$821,MATCH(I91,'Ashed teabags wet'!$A$2:$A$821,0)),"")</f>
        <v>5.8709364386224854</v>
      </c>
      <c r="Y91" s="195">
        <f t="shared" si="1"/>
        <v>0.46426869522881647</v>
      </c>
      <c r="Z91" s="195">
        <f t="shared" si="1"/>
        <v>1.2025929160601589</v>
      </c>
      <c r="AA91" s="195">
        <f t="shared" si="8"/>
        <v>0.72795570764555206</v>
      </c>
      <c r="AB91" s="195">
        <f t="shared" si="9"/>
        <v>0.4772346206892456</v>
      </c>
      <c r="AC91" s="195">
        <f t="shared" si="2"/>
        <v>0.62783019177579347</v>
      </c>
      <c r="AD91">
        <f t="shared" si="3"/>
        <v>52</v>
      </c>
      <c r="AE91" s="195">
        <f t="shared" si="10"/>
        <v>0.13544452773687399</v>
      </c>
      <c r="AF91" s="195">
        <f t="shared" si="11"/>
        <v>2.9104438767934209E-2</v>
      </c>
      <c r="AG91" s="255" t="str">
        <f>IF(ISNUMBER(SEARCH("C",'WetLitterbags placem_collection'!AD18)),"YES","NO")</f>
        <v>NO</v>
      </c>
      <c r="AH91" s="255" t="str">
        <f>IF(ISNUMBER(SEARCH("H", 'WetLitterbags placem_collection'!AD18)),"YES","NO")</f>
        <v>NO</v>
      </c>
      <c r="AI91" s="255" t="str">
        <f>IF(ISNUMBER(SEARCH("R", 'WetLitterbags placem_collection'!AD18)),"YES","NO")</f>
        <v>NO</v>
      </c>
      <c r="AJ91" s="255" t="str">
        <f>IF(ISNUMBER(SEARCH("C", 'WetLitterbags placem_collection'!AC18)),"YES","NO")</f>
        <v>NO</v>
      </c>
      <c r="AK91" s="255" t="str">
        <f>IF(ISNUMBER(SEARCH("H", 'WetLitterbags placem_collection'!AC18)),"YES","NO")</f>
        <v>NO</v>
      </c>
      <c r="AL91" s="255" t="str">
        <f>IF(ISNUMBER(SEARCH("R", 'WetLitterbags placem_collection'!AC18)),"YES","NO")</f>
        <v>NO</v>
      </c>
    </row>
    <row r="92" spans="2:38">
      <c r="B92" t="str">
        <f>'Final data_for_R_analysis_Wetse'!A18</f>
        <v>Wet</v>
      </c>
      <c r="C92" s="263">
        <f>'Final data_for_R_analysis_Wetse'!B18</f>
        <v>17</v>
      </c>
      <c r="D92" t="s">
        <v>3829</v>
      </c>
      <c r="E92" t="s">
        <v>22</v>
      </c>
      <c r="F92" s="386">
        <v>1</v>
      </c>
      <c r="G92" s="16">
        <f>'WetLitterbags placem_collection'!E19</f>
        <v>42767</v>
      </c>
      <c r="H92" t="str">
        <f>'Final data_for_R_analysis_Wetse'!J18</f>
        <v>G571</v>
      </c>
      <c r="I92" t="str">
        <f>'Final data_for_R_analysis_Wetse'!J238</f>
        <v>R542</v>
      </c>
      <c r="J92">
        <f>IFERROR(INDEX('Green_rooibos initial weight'!$C$5:$C$1749,MATCH(H92, 'Green_rooibos initial weight'!$A$5:$A$1749,0)),"")</f>
        <v>2.0489999999999999</v>
      </c>
      <c r="K92">
        <f>IFERROR(INDEX('Green_rooibos initial weight'!$C$5:$C$1749,MATCH(I92, 'Green_rooibos initial weight'!$A$5:$A$1749,0)),"")</f>
        <v>2.2010000000000001</v>
      </c>
      <c r="L92" s="195">
        <f t="shared" si="4"/>
        <v>1.7991999999999999</v>
      </c>
      <c r="M92" s="195">
        <f>AVERAGE(Ashed_controlls!$K$2:$K$11)</f>
        <v>5.5147656768714146</v>
      </c>
      <c r="N92" s="195">
        <f t="shared" si="0"/>
        <v>1.6999783359417293</v>
      </c>
      <c r="O92" s="195">
        <f t="shared" si="5"/>
        <v>1.9512</v>
      </c>
      <c r="P92" s="195">
        <f>AVERAGE(Ashed_controlls!$K$12:$K$14)</f>
        <v>2.2816647271287041</v>
      </c>
      <c r="Q92" s="195">
        <f t="shared" si="6"/>
        <v>1.9066801578442647</v>
      </c>
      <c r="R92" s="16">
        <f>IF('WetLitterbags placem_collection'!G19="N.A","",'WetLitterbags placem_collection'!G19)</f>
        <v>42818</v>
      </c>
      <c r="S92" s="195">
        <f>IF(IFERROR(INDEX('Both teabags AfterWet'!$C$3:$C$841,MATCH(H92,'Both teabags AfterWet'!$A$3:$A$841,0)),"")="N.A","",(IFERROR(INDEX('Both teabags AfterWet'!$C$3:$C$841,MATCH(H92,'Both teabags AfterWet'!$A$3:$A$841,0)),"")))</f>
        <v>0.67520000000000002</v>
      </c>
      <c r="T92" s="195">
        <f>IFERROR(INDEX('Both teabags AfterWet'!$C$3:$C$841,MATCH(I92,'Both teabags AfterWet'!$A$3:$A$841,0)),"")</f>
        <v>1.6227</v>
      </c>
      <c r="U92" s="195">
        <f t="shared" si="7"/>
        <v>0.52459999999999996</v>
      </c>
      <c r="V92" s="195">
        <f t="shared" si="7"/>
        <v>1.4721</v>
      </c>
      <c r="W92" s="195">
        <f>IFERROR(INDEX('Ashed teabags wet'!$K$2:$K$821,MATCH(H92,'Ashed teabags wet'!$A$2:$A$821,0)),"")</f>
        <v>9.6710849288172405</v>
      </c>
      <c r="X92" s="195">
        <f>IFERROR(INDEX('Ashed teabags wet'!$K$2:$K$821,MATCH(I92,'Ashed teabags wet'!$A$2:$A$821,0)),"")</f>
        <v>7.361376673040378</v>
      </c>
      <c r="Y92" s="195">
        <f t="shared" si="1"/>
        <v>0.47386548846342469</v>
      </c>
      <c r="Z92" s="195">
        <f t="shared" si="1"/>
        <v>1.3637331739961727</v>
      </c>
      <c r="AA92" s="195">
        <f t="shared" si="8"/>
        <v>0.72125204277916899</v>
      </c>
      <c r="AB92" s="195">
        <f t="shared" si="9"/>
        <v>0.47283981901912275</v>
      </c>
      <c r="AC92" s="195">
        <f t="shared" si="2"/>
        <v>0.71523961078927889</v>
      </c>
      <c r="AD92">
        <f t="shared" si="3"/>
        <v>51</v>
      </c>
      <c r="AE92" s="195">
        <f t="shared" si="10"/>
        <v>0.14340612496535743</v>
      </c>
      <c r="AF92" s="195">
        <f t="shared" si="11"/>
        <v>1.8076319795018926E-2</v>
      </c>
      <c r="AG92" s="255" t="str">
        <f>IF(ISNUMBER(SEARCH("C",'WetLitterbags placem_collection'!AD19)),"YES","NO")</f>
        <v>NO</v>
      </c>
      <c r="AH92" s="255" t="str">
        <f>IF(ISNUMBER(SEARCH("H", 'WetLitterbags placem_collection'!AD19)),"YES","NO")</f>
        <v>NO</v>
      </c>
      <c r="AI92" s="255" t="str">
        <f>IF(ISNUMBER(SEARCH("R", 'WetLitterbags placem_collection'!AD19)),"YES","NO")</f>
        <v>YES</v>
      </c>
      <c r="AJ92" s="255" t="str">
        <f>IF(ISNUMBER(SEARCH("C", 'WetLitterbags placem_collection'!AC19)),"YES","NO")</f>
        <v>NO</v>
      </c>
      <c r="AK92" s="255" t="str">
        <f>IF(ISNUMBER(SEARCH("H", 'WetLitterbags placem_collection'!AC19)),"YES","NO")</f>
        <v>NO</v>
      </c>
      <c r="AL92" s="255" t="str">
        <f>IF(ISNUMBER(SEARCH("R", 'WetLitterbags placem_collection'!AC19)),"YES","NO")</f>
        <v>NO</v>
      </c>
    </row>
    <row r="93" spans="2:38">
      <c r="B93" t="str">
        <f>'Final data_for_R_analysis_Wetse'!A19</f>
        <v>Wet</v>
      </c>
      <c r="C93" s="263">
        <f>'Final data_for_R_analysis_Wetse'!B19</f>
        <v>18</v>
      </c>
      <c r="D93" t="s">
        <v>3829</v>
      </c>
      <c r="E93" t="s">
        <v>22</v>
      </c>
      <c r="F93" s="386">
        <v>2</v>
      </c>
      <c r="G93" s="16">
        <f>'WetLitterbags placem_collection'!E20</f>
        <v>42767</v>
      </c>
      <c r="H93" t="str">
        <f>'Final data_for_R_analysis_Wetse'!J19</f>
        <v>G419</v>
      </c>
      <c r="I93" t="str">
        <f>'Final data_for_R_analysis_Wetse'!J239</f>
        <v>R128</v>
      </c>
      <c r="J93">
        <f>IFERROR(INDEX('Green_rooibos initial weight'!$C$5:$C$1749,MATCH(H93, 'Green_rooibos initial weight'!$A$5:$A$1749,0)),"")</f>
        <v>2.0779999999999998</v>
      </c>
      <c r="K93">
        <f>IFERROR(INDEX('Green_rooibos initial weight'!$C$5:$C$1749,MATCH(I93, 'Green_rooibos initial weight'!$A$5:$A$1749,0)),"")</f>
        <v>2.2370000000000001</v>
      </c>
      <c r="L93" s="195">
        <f t="shared" si="4"/>
        <v>1.8281999999999998</v>
      </c>
      <c r="M93" s="195">
        <f>AVERAGE(Ashed_controlls!$K$2:$K$11)</f>
        <v>5.5147656768714146</v>
      </c>
      <c r="N93" s="195">
        <f t="shared" si="0"/>
        <v>1.7273790538954366</v>
      </c>
      <c r="O93" s="195">
        <f t="shared" si="5"/>
        <v>1.9872000000000001</v>
      </c>
      <c r="P93" s="195">
        <f>AVERAGE(Ashed_controlls!$K$12:$K$14)</f>
        <v>2.2816647271287041</v>
      </c>
      <c r="Q93" s="195">
        <f t="shared" si="6"/>
        <v>1.9418587585424985</v>
      </c>
      <c r="R93" s="16">
        <f>IF('WetLitterbags placem_collection'!G20="N.A","",'WetLitterbags placem_collection'!G20)</f>
        <v>42818</v>
      </c>
      <c r="S93" s="195">
        <f>IF(IFERROR(INDEX('Both teabags AfterWet'!$C$3:$C$841,MATCH(H93,'Both teabags AfterWet'!$A$3:$A$841,0)),"")="N.A","",(IFERROR(INDEX('Both teabags AfterWet'!$C$3:$C$841,MATCH(H93,'Both teabags AfterWet'!$A$3:$A$841,0)),"")))</f>
        <v>0.79100000000000004</v>
      </c>
      <c r="T93" s="195">
        <f>IFERROR(INDEX('Both teabags AfterWet'!$C$3:$C$841,MATCH(I93,'Both teabags AfterWet'!$A$3:$A$841,0)),"")</f>
        <v>1.79</v>
      </c>
      <c r="U93" s="195">
        <f t="shared" si="7"/>
        <v>0.64040000000000008</v>
      </c>
      <c r="V93" s="195">
        <f t="shared" si="7"/>
        <v>1.6394</v>
      </c>
      <c r="W93" s="195">
        <f>IFERROR(INDEX('Ashed teabags wet'!$K$2:$K$821,MATCH(H93,'Ashed teabags wet'!$A$2:$A$821,0)),"")</f>
        <v>15.166340508806261</v>
      </c>
      <c r="X93" s="195">
        <f>IFERROR(INDEX('Ashed teabags wet'!$K$2:$K$821,MATCH(I93,'Ashed teabags wet'!$A$2:$A$821,0)),"")</f>
        <v>6.4723320158097151</v>
      </c>
      <c r="Y93" s="195">
        <f t="shared" si="1"/>
        <v>0.54327475538160475</v>
      </c>
      <c r="Z93" s="195">
        <f t="shared" si="1"/>
        <v>1.5332925889328155</v>
      </c>
      <c r="AA93" s="195">
        <f t="shared" si="8"/>
        <v>0.68549187038220805</v>
      </c>
      <c r="AB93" s="195">
        <f t="shared" si="9"/>
        <v>0.44939609554748089</v>
      </c>
      <c r="AC93" s="195">
        <f t="shared" si="2"/>
        <v>0.78960047026471658</v>
      </c>
      <c r="AD93">
        <f t="shared" si="3"/>
        <v>51</v>
      </c>
      <c r="AE93" s="195">
        <f t="shared" si="10"/>
        <v>0.18587663850094049</v>
      </c>
      <c r="AF93" s="195">
        <f t="shared" si="11"/>
        <v>1.2381480171107543E-2</v>
      </c>
      <c r="AG93" s="255" t="str">
        <f>IF(ISNUMBER(SEARCH("C",'WetLitterbags placem_collection'!AD20)),"YES","NO")</f>
        <v>NO</v>
      </c>
      <c r="AH93" s="255" t="str">
        <f>IF(ISNUMBER(SEARCH("H", 'WetLitterbags placem_collection'!AD20)),"YES","NO")</f>
        <v>NO</v>
      </c>
      <c r="AI93" s="255" t="str">
        <f>IF(ISNUMBER(SEARCH("R", 'WetLitterbags placem_collection'!AD20)),"YES","NO")</f>
        <v>YES</v>
      </c>
      <c r="AJ93" s="255" t="str">
        <f>IF(ISNUMBER(SEARCH("C", 'WetLitterbags placem_collection'!AC20)),"YES","NO")</f>
        <v>NO</v>
      </c>
      <c r="AK93" s="255" t="str">
        <f>IF(ISNUMBER(SEARCH("H", 'WetLitterbags placem_collection'!AC20)),"YES","NO")</f>
        <v>NO</v>
      </c>
      <c r="AL93" s="255" t="str">
        <f>IF(ISNUMBER(SEARCH("R", 'WetLitterbags placem_collection'!AC20)),"YES","NO")</f>
        <v>NO</v>
      </c>
    </row>
    <row r="94" spans="2:38">
      <c r="B94" t="str">
        <f>'Final data_for_R_analysis_Wetse'!A20</f>
        <v>Wet</v>
      </c>
      <c r="C94" s="263">
        <f>'Final data_for_R_analysis_Wetse'!B20</f>
        <v>19</v>
      </c>
      <c r="D94" t="s">
        <v>3829</v>
      </c>
      <c r="E94" t="s">
        <v>22</v>
      </c>
      <c r="F94" s="386">
        <v>3</v>
      </c>
      <c r="G94" s="16">
        <f>'WetLitterbags placem_collection'!E21</f>
        <v>42767</v>
      </c>
      <c r="H94" t="str">
        <f>'Final data_for_R_analysis_Wetse'!J20</f>
        <v>G240</v>
      </c>
      <c r="I94" t="str">
        <f>'Final data_for_R_analysis_Wetse'!J240</f>
        <v>R82</v>
      </c>
      <c r="J94">
        <f>IFERROR(INDEX('Green_rooibos initial weight'!$C$5:$C$1749,MATCH(H94, 'Green_rooibos initial weight'!$A$5:$A$1749,0)),"")</f>
        <v>2.117</v>
      </c>
      <c r="K94">
        <f>IFERROR(INDEX('Green_rooibos initial weight'!$C$5:$C$1749,MATCH(I94, 'Green_rooibos initial weight'!$A$5:$A$1749,0)),"")</f>
        <v>2.2490000000000001</v>
      </c>
      <c r="L94" s="195">
        <f t="shared" si="4"/>
        <v>1.8672</v>
      </c>
      <c r="M94" s="195">
        <f>AVERAGE(Ashed_controlls!$K$2:$K$11)</f>
        <v>5.5147656768714146</v>
      </c>
      <c r="N94" s="195">
        <f t="shared" si="0"/>
        <v>1.764228295281457</v>
      </c>
      <c r="O94" s="195">
        <f t="shared" si="5"/>
        <v>1.9992000000000001</v>
      </c>
      <c r="P94" s="195">
        <f>AVERAGE(Ashed_controlls!$K$12:$K$14)</f>
        <v>2.2816647271287041</v>
      </c>
      <c r="Q94" s="195">
        <f t="shared" si="6"/>
        <v>1.953584958775243</v>
      </c>
      <c r="R94" s="16">
        <f>IF('WetLitterbags placem_collection'!G21="N.A","",'WetLitterbags placem_collection'!G21)</f>
        <v>42818</v>
      </c>
      <c r="S94" s="195">
        <f>IF(IFERROR(INDEX('Both teabags AfterWet'!$C$3:$C$841,MATCH(H94,'Both teabags AfterWet'!$A$3:$A$841,0)),"")="N.A","",(IFERROR(INDEX('Both teabags AfterWet'!$C$3:$C$841,MATCH(H94,'Both teabags AfterWet'!$A$3:$A$841,0)),"")))</f>
        <v>0.88690000000000002</v>
      </c>
      <c r="T94" s="195">
        <f>IFERROR(INDEX('Both teabags AfterWet'!$C$3:$C$841,MATCH(I94,'Both teabags AfterWet'!$A$3:$A$841,0)),"")</f>
        <v>1.514</v>
      </c>
      <c r="U94" s="195">
        <f t="shared" si="7"/>
        <v>0.73629999999999995</v>
      </c>
      <c r="V94" s="195">
        <f t="shared" si="7"/>
        <v>1.3633999999999999</v>
      </c>
      <c r="W94" s="195">
        <f>IFERROR(INDEX('Ashed teabags wet'!$K$2:$K$821,MATCH(H94,'Ashed teabags wet'!$A$2:$A$821,0)),"")</f>
        <v>18.480392156862031</v>
      </c>
      <c r="X94" s="195">
        <f>IFERROR(INDEX('Ashed teabags wet'!$K$2:$K$821,MATCH(I94,'Ashed teabags wet'!$A$2:$A$821,0)),"")</f>
        <v>11.013215859030426</v>
      </c>
      <c r="Y94" s="195">
        <f t="shared" si="1"/>
        <v>0.60022887254902479</v>
      </c>
      <c r="Z94" s="195">
        <f t="shared" si="1"/>
        <v>1.213245814977979</v>
      </c>
      <c r="AA94" s="195">
        <f t="shared" si="8"/>
        <v>0.65977823042835448</v>
      </c>
      <c r="AB94" s="195">
        <f t="shared" si="9"/>
        <v>0.4325386973829593</v>
      </c>
      <c r="AC94" s="195">
        <f t="shared" si="2"/>
        <v>0.62103560407149982</v>
      </c>
      <c r="AD94">
        <f t="shared" si="3"/>
        <v>51</v>
      </c>
      <c r="AE94" s="195">
        <f t="shared" si="10"/>
        <v>0.21641540329174047</v>
      </c>
      <c r="AF94" s="195">
        <f t="shared" si="11"/>
        <v>4.095298614627664E-2</v>
      </c>
      <c r="AG94" s="255" t="str">
        <f>IF(ISNUMBER(SEARCH("C",'WetLitterbags placem_collection'!AD21)),"YES","NO")</f>
        <v>NO</v>
      </c>
      <c r="AH94" s="255" t="str">
        <f>IF(ISNUMBER(SEARCH("H", 'WetLitterbags placem_collection'!AD21)),"YES","NO")</f>
        <v>NO</v>
      </c>
      <c r="AI94" s="255" t="str">
        <f>IF(ISNUMBER(SEARCH("R", 'WetLitterbags placem_collection'!AD21)),"YES","NO")</f>
        <v>YES</v>
      </c>
      <c r="AJ94" s="255" t="str">
        <f>IF(ISNUMBER(SEARCH("C", 'WetLitterbags placem_collection'!AC21)),"YES","NO")</f>
        <v>NO</v>
      </c>
      <c r="AK94" s="255" t="str">
        <f>IF(ISNUMBER(SEARCH("H", 'WetLitterbags placem_collection'!AC21)),"YES","NO")</f>
        <v>NO</v>
      </c>
      <c r="AL94" s="255" t="str">
        <f>IF(ISNUMBER(SEARCH("R", 'WetLitterbags placem_collection'!AC21)),"YES","NO")</f>
        <v>NO</v>
      </c>
    </row>
    <row r="95" spans="2:38">
      <c r="B95" t="str">
        <f>'Final data_for_R_analysis_Wetse'!A21</f>
        <v>Wet</v>
      </c>
      <c r="C95" s="263">
        <f>'Final data_for_R_analysis_Wetse'!B21</f>
        <v>20</v>
      </c>
      <c r="D95" t="s">
        <v>3829</v>
      </c>
      <c r="E95" t="s">
        <v>22</v>
      </c>
      <c r="F95" s="387">
        <v>4</v>
      </c>
      <c r="G95" s="16">
        <f>'WetLitterbags placem_collection'!E22</f>
        <v>42767</v>
      </c>
      <c r="H95" t="str">
        <f>'Final data_for_R_analysis_Wetse'!J21</f>
        <v>G524</v>
      </c>
      <c r="I95" t="str">
        <f>'Final data_for_R_analysis_Wetse'!J241</f>
        <v>R50</v>
      </c>
      <c r="J95">
        <f>IFERROR(INDEX('Green_rooibos initial weight'!$C$5:$C$1749,MATCH(H95, 'Green_rooibos initial weight'!$A$5:$A$1749,0)),"")</f>
        <v>1.962</v>
      </c>
      <c r="K95">
        <f>IFERROR(INDEX('Green_rooibos initial weight'!$C$5:$C$1749,MATCH(I95, 'Green_rooibos initial weight'!$A$5:$A$1749,0)),"")</f>
        <v>2.2490000000000001</v>
      </c>
      <c r="L95" s="195">
        <f t="shared" si="4"/>
        <v>1.7121999999999999</v>
      </c>
      <c r="M95" s="195">
        <f>AVERAGE(Ashed_controlls!$K$2:$K$11)</f>
        <v>5.5147656768714146</v>
      </c>
      <c r="N95" s="195">
        <f t="shared" si="0"/>
        <v>1.6177761820806076</v>
      </c>
      <c r="O95" s="195">
        <f t="shared" si="5"/>
        <v>1.9992000000000001</v>
      </c>
      <c r="P95" s="195">
        <f>AVERAGE(Ashed_controlls!$K$12:$K$14)</f>
        <v>2.2816647271287041</v>
      </c>
      <c r="Q95" s="195">
        <f t="shared" si="6"/>
        <v>1.953584958775243</v>
      </c>
      <c r="R95" s="16">
        <f>IF('WetLitterbags placem_collection'!G22="N.A","",'WetLitterbags placem_collection'!G22)</f>
        <v>42818</v>
      </c>
      <c r="S95" s="195">
        <f>IF(IFERROR(INDEX('Both teabags AfterWet'!$C$3:$C$841,MATCH(H95,'Both teabags AfterWet'!$A$3:$A$841,0)),"")="N.A","",(IFERROR(INDEX('Both teabags AfterWet'!$C$3:$C$841,MATCH(H95,'Both teabags AfterWet'!$A$3:$A$841,0)),"")))</f>
        <v>0.71609999999999996</v>
      </c>
      <c r="T95" s="195">
        <f>IFERROR(INDEX('Both teabags AfterWet'!$C$3:$C$841,MATCH(I95,'Both teabags AfterWet'!$A$3:$A$841,0)),"")</f>
        <v>1.51</v>
      </c>
      <c r="U95" s="195">
        <f t="shared" si="7"/>
        <v>0.56549999999999989</v>
      </c>
      <c r="V95" s="195">
        <f t="shared" si="7"/>
        <v>1.3593999999999999</v>
      </c>
      <c r="W95" s="195">
        <f>IFERROR(INDEX('Ashed teabags wet'!$K$2:$K$821,MATCH(H95,'Ashed teabags wet'!$A$2:$A$821,0)),"")</f>
        <v>12.986381322956955</v>
      </c>
      <c r="X95" s="195">
        <f>IFERROR(INDEX('Ashed teabags wet'!$K$2:$K$821,MATCH(I95,'Ashed teabags wet'!$A$2:$A$821,0)),"")</f>
        <v>8.4126189283921065</v>
      </c>
      <c r="Y95" s="195">
        <f t="shared" si="1"/>
        <v>0.4920620136186783</v>
      </c>
      <c r="Z95" s="195">
        <f t="shared" si="1"/>
        <v>1.2450388582874377</v>
      </c>
      <c r="AA95" s="195">
        <f t="shared" si="8"/>
        <v>0.69584048827703615</v>
      </c>
      <c r="AB95" s="195">
        <f t="shared" si="9"/>
        <v>0.45618046262342515</v>
      </c>
      <c r="AC95" s="195">
        <f t="shared" si="2"/>
        <v>0.63730980968853657</v>
      </c>
      <c r="AD95">
        <f t="shared" si="3"/>
        <v>51</v>
      </c>
      <c r="AE95" s="195">
        <f t="shared" si="10"/>
        <v>0.17358611843582405</v>
      </c>
      <c r="AF95" s="195">
        <f t="shared" si="11"/>
        <v>3.1079041003033835E-2</v>
      </c>
      <c r="AG95" s="255" t="str">
        <f>IF(ISNUMBER(SEARCH("C",'WetLitterbags placem_collection'!AD22)),"YES","NO")</f>
        <v>NO</v>
      </c>
      <c r="AH95" s="255" t="str">
        <f>IF(ISNUMBER(SEARCH("H", 'WetLitterbags placem_collection'!AD22)),"YES","NO")</f>
        <v>NO</v>
      </c>
      <c r="AI95" s="255" t="str">
        <f>IF(ISNUMBER(SEARCH("R", 'WetLitterbags placem_collection'!AD22)),"YES","NO")</f>
        <v>YES</v>
      </c>
      <c r="AJ95" s="255" t="str">
        <f>IF(ISNUMBER(SEARCH("C", 'WetLitterbags placem_collection'!AC22)),"YES","NO")</f>
        <v>NO</v>
      </c>
      <c r="AK95" s="255" t="str">
        <f>IF(ISNUMBER(SEARCH("H", 'WetLitterbags placem_collection'!AC22)),"YES","NO")</f>
        <v>NO</v>
      </c>
      <c r="AL95" s="255" t="str">
        <f>IF(ISNUMBER(SEARCH("R", 'WetLitterbags placem_collection'!AC22)),"YES","NO")</f>
        <v>NO</v>
      </c>
    </row>
    <row r="96" spans="2:38">
      <c r="B96" t="str">
        <f>'Final data_for_R_analysis_Wetse'!A22</f>
        <v>Wet</v>
      </c>
      <c r="C96" s="263">
        <f>'Final data_for_R_analysis_Wetse'!B22</f>
        <v>21</v>
      </c>
      <c r="D96" t="s">
        <v>3829</v>
      </c>
      <c r="E96" t="s">
        <v>22</v>
      </c>
      <c r="F96" s="387">
        <v>5</v>
      </c>
      <c r="G96" s="16">
        <f>'WetLitterbags placem_collection'!E23</f>
        <v>42767</v>
      </c>
      <c r="H96" t="str">
        <f>'Final data_for_R_analysis_Wetse'!J22</f>
        <v>G699</v>
      </c>
      <c r="I96" t="str">
        <f>'Final data_for_R_analysis_Wetse'!J242</f>
        <v>R529</v>
      </c>
      <c r="J96">
        <f>IFERROR(INDEX('Green_rooibos initial weight'!$C$5:$C$1749,MATCH(H96, 'Green_rooibos initial weight'!$A$5:$A$1749,0)),"")</f>
        <v>1.984</v>
      </c>
      <c r="K96">
        <f>IFERROR(INDEX('Green_rooibos initial weight'!$C$5:$C$1749,MATCH(I96, 'Green_rooibos initial weight'!$A$5:$A$1749,0)),"")</f>
        <v>2.157</v>
      </c>
      <c r="L96" s="195">
        <f t="shared" si="4"/>
        <v>1.7342</v>
      </c>
      <c r="M96" s="195">
        <f>AVERAGE(Ashed_controlls!$K$2:$K$11)</f>
        <v>5.5147656768714146</v>
      </c>
      <c r="N96" s="195">
        <f t="shared" si="0"/>
        <v>1.6385629336316958</v>
      </c>
      <c r="O96" s="195">
        <f t="shared" si="5"/>
        <v>1.9072</v>
      </c>
      <c r="P96" s="195">
        <f>AVERAGE(Ashed_controlls!$K$12:$K$14)</f>
        <v>2.2816647271287041</v>
      </c>
      <c r="Q96" s="195">
        <f t="shared" si="6"/>
        <v>1.8636840903242013</v>
      </c>
      <c r="R96" s="16">
        <f>IF('WetLitterbags placem_collection'!G23="N.A","",'WetLitterbags placem_collection'!G23)</f>
        <v>42818</v>
      </c>
      <c r="S96" s="195">
        <f>IF(IFERROR(INDEX('Both teabags AfterWet'!$C$3:$C$841,MATCH(H96,'Both teabags AfterWet'!$A$3:$A$841,0)),"")="N.A","",(IFERROR(INDEX('Both teabags AfterWet'!$C$3:$C$841,MATCH(H96,'Both teabags AfterWet'!$A$3:$A$841,0)),"")))</f>
        <v>0.7389</v>
      </c>
      <c r="T96" s="195">
        <f>IFERROR(INDEX('Both teabags AfterWet'!$C$3:$C$841,MATCH(I96,'Both teabags AfterWet'!$A$3:$A$841,0)),"")</f>
        <v>1.4387000000000001</v>
      </c>
      <c r="U96" s="195">
        <f t="shared" si="7"/>
        <v>0.58830000000000005</v>
      </c>
      <c r="V96" s="195">
        <f t="shared" si="7"/>
        <v>1.2881</v>
      </c>
      <c r="W96" s="195">
        <f>IFERROR(INDEX('Ashed teabags wet'!$K$2:$K$821,MATCH(H96,'Ashed teabags wet'!$A$2:$A$821,0)),"")</f>
        <v>10.099009900989453</v>
      </c>
      <c r="X96" s="195">
        <f>IFERROR(INDEX('Ashed teabags wet'!$K$2:$K$821,MATCH(I96,'Ashed teabags wet'!$A$2:$A$821,0)),"")</f>
        <v>6.9930069930072492</v>
      </c>
      <c r="Y96" s="195">
        <f t="shared" si="1"/>
        <v>0.52888752475247913</v>
      </c>
      <c r="Z96" s="195">
        <f t="shared" si="1"/>
        <v>1.1980230769230737</v>
      </c>
      <c r="AA96" s="195">
        <f t="shared" si="8"/>
        <v>0.67722477184305774</v>
      </c>
      <c r="AB96" s="195">
        <f t="shared" si="9"/>
        <v>0.44397633498499756</v>
      </c>
      <c r="AC96" s="195">
        <f t="shared" si="2"/>
        <v>0.64282518863734517</v>
      </c>
      <c r="AD96">
        <f t="shared" si="3"/>
        <v>51</v>
      </c>
      <c r="AE96" s="195">
        <f t="shared" si="10"/>
        <v>0.19569504531703352</v>
      </c>
      <c r="AF96" s="195">
        <f t="shared" si="11"/>
        <v>3.2002884052222909E-2</v>
      </c>
      <c r="AG96" s="255" t="str">
        <f>IF(ISNUMBER(SEARCH("C",'WetLitterbags placem_collection'!AD23)),"YES","NO")</f>
        <v>NO</v>
      </c>
      <c r="AH96" s="255" t="str">
        <f>IF(ISNUMBER(SEARCH("H", 'WetLitterbags placem_collection'!AD23)),"YES","NO")</f>
        <v>NO</v>
      </c>
      <c r="AI96" s="255" t="str">
        <f>IF(ISNUMBER(SEARCH("R", 'WetLitterbags placem_collection'!AD23)),"YES","NO")</f>
        <v>YES</v>
      </c>
      <c r="AJ96" s="255" t="str">
        <f>IF(ISNUMBER(SEARCH("C", 'WetLitterbags placem_collection'!AC23)),"YES","NO")</f>
        <v>NO</v>
      </c>
      <c r="AK96" s="255" t="str">
        <f>IF(ISNUMBER(SEARCH("H", 'WetLitterbags placem_collection'!AC23)),"YES","NO")</f>
        <v>NO</v>
      </c>
      <c r="AL96" s="255" t="str">
        <f>IF(ISNUMBER(SEARCH("R", 'WetLitterbags placem_collection'!AC23)),"YES","NO")</f>
        <v>NO</v>
      </c>
    </row>
    <row r="97" spans="2:38">
      <c r="B97" t="str">
        <f>'Final data_for_R_analysis_Wetse'!A23</f>
        <v>Wet</v>
      </c>
      <c r="C97" s="263">
        <f>'Final data_for_R_analysis_Wetse'!B23</f>
        <v>22</v>
      </c>
      <c r="D97" t="s">
        <v>3829</v>
      </c>
      <c r="E97" t="s">
        <v>22</v>
      </c>
      <c r="F97" s="387">
        <v>6</v>
      </c>
      <c r="G97" s="16">
        <f>'WetLitterbags placem_collection'!E24</f>
        <v>42767</v>
      </c>
      <c r="H97" t="str">
        <f>'Final data_for_R_analysis_Wetse'!J23</f>
        <v>G575</v>
      </c>
      <c r="I97" t="str">
        <f>'Final data_for_R_analysis_Wetse'!J243</f>
        <v>R363</v>
      </c>
      <c r="J97">
        <f>IFERROR(INDEX('Green_rooibos initial weight'!$C$5:$C$1749,MATCH(H97, 'Green_rooibos initial weight'!$A$5:$A$1749,0)),"")</f>
        <v>1.9970000000000001</v>
      </c>
      <c r="K97">
        <f>IFERROR(INDEX('Green_rooibos initial weight'!$C$5:$C$1749,MATCH(I97, 'Green_rooibos initial weight'!$A$5:$A$1749,0)),"")</f>
        <v>2.1659999999999999</v>
      </c>
      <c r="L97" s="195">
        <f t="shared" si="4"/>
        <v>1.7472000000000001</v>
      </c>
      <c r="M97" s="195">
        <f>AVERAGE(Ashed_controlls!$K$2:$K$11)</f>
        <v>5.5147656768714146</v>
      </c>
      <c r="N97" s="195">
        <f t="shared" si="0"/>
        <v>1.6508460140937027</v>
      </c>
      <c r="O97" s="195">
        <f t="shared" si="5"/>
        <v>1.9161999999999999</v>
      </c>
      <c r="P97" s="195">
        <f>AVERAGE(Ashed_controlls!$K$12:$K$14)</f>
        <v>2.2816647271287041</v>
      </c>
      <c r="Q97" s="195">
        <f t="shared" si="6"/>
        <v>1.8724787404987597</v>
      </c>
      <c r="R97" s="16">
        <f>IF('WetLitterbags placem_collection'!G24="N.A","",'WetLitterbags placem_collection'!G24)</f>
        <v>42818</v>
      </c>
      <c r="S97" s="195">
        <f>IF(IFERROR(INDEX('Both teabags AfterWet'!$C$3:$C$841,MATCH(H97,'Both teabags AfterWet'!$A$3:$A$841,0)),"")="N.A","",(IFERROR(INDEX('Both teabags AfterWet'!$C$3:$C$841,MATCH(H97,'Both teabags AfterWet'!$A$3:$A$841,0)),"")))</f>
        <v>0.74019999999999997</v>
      </c>
      <c r="T97" s="195">
        <f>IFERROR(INDEX('Both teabags AfterWet'!$C$3:$C$841,MATCH(I97,'Both teabags AfterWet'!$A$3:$A$841,0)),"")</f>
        <v>1.5164</v>
      </c>
      <c r="U97" s="195">
        <f t="shared" si="7"/>
        <v>0.5895999999999999</v>
      </c>
      <c r="V97" s="195">
        <f t="shared" si="7"/>
        <v>1.3657999999999999</v>
      </c>
      <c r="W97" s="195">
        <f>IFERROR(INDEX('Ashed teabags wet'!$K$2:$K$821,MATCH(H97,'Ashed teabags wet'!$A$2:$A$821,0)),"")</f>
        <v>9.8263027295288854</v>
      </c>
      <c r="X97" s="195">
        <f>IFERROR(INDEX('Ashed teabags wet'!$K$2:$K$821,MATCH(I97,'Ashed teabags wet'!$A$2:$A$821,0)),"")</f>
        <v>3.5079051383401243</v>
      </c>
      <c r="Y97" s="195">
        <f t="shared" si="1"/>
        <v>0.53166411910669764</v>
      </c>
      <c r="Z97" s="195">
        <f t="shared" si="1"/>
        <v>1.3178890316205505</v>
      </c>
      <c r="AA97" s="195">
        <f t="shared" si="8"/>
        <v>0.67794445116761803</v>
      </c>
      <c r="AB97" s="195">
        <f t="shared" si="9"/>
        <v>0.44444814375834346</v>
      </c>
      <c r="AC97" s="195">
        <f t="shared" si="2"/>
        <v>0.70382055780751518</v>
      </c>
      <c r="AD97">
        <f t="shared" si="3"/>
        <v>51</v>
      </c>
      <c r="AE97" s="195">
        <f t="shared" si="10"/>
        <v>0.19484031927836332</v>
      </c>
      <c r="AF97" s="195">
        <f t="shared" si="11"/>
        <v>2.1525631518107571E-2</v>
      </c>
      <c r="AG97" s="255" t="str">
        <f>IF(ISNUMBER(SEARCH("C",'WetLitterbags placem_collection'!AD24)),"YES","NO")</f>
        <v>NO</v>
      </c>
      <c r="AH97" s="255" t="str">
        <f>IF(ISNUMBER(SEARCH("H", 'WetLitterbags placem_collection'!AD24)),"YES","NO")</f>
        <v>NO</v>
      </c>
      <c r="AI97" s="255" t="str">
        <f>IF(ISNUMBER(SEARCH("R", 'WetLitterbags placem_collection'!AD24)),"YES","NO")</f>
        <v>YES</v>
      </c>
      <c r="AJ97" s="255" t="str">
        <f>IF(ISNUMBER(SEARCH("C", 'WetLitterbags placem_collection'!AC24)),"YES","NO")</f>
        <v>NO</v>
      </c>
      <c r="AK97" s="255" t="str">
        <f>IF(ISNUMBER(SEARCH("H", 'WetLitterbags placem_collection'!AC24)),"YES","NO")</f>
        <v>NO</v>
      </c>
      <c r="AL97" s="255" t="str">
        <f>IF(ISNUMBER(SEARCH("R", 'WetLitterbags placem_collection'!AC24)),"YES","NO")</f>
        <v>NO</v>
      </c>
    </row>
    <row r="98" spans="2:38">
      <c r="B98" t="str">
        <f>'Final data_for_R_analysis_Wetse'!A24</f>
        <v>Wet</v>
      </c>
      <c r="C98" s="263">
        <f>'Final data_for_R_analysis_Wetse'!B24</f>
        <v>23</v>
      </c>
      <c r="D98" t="s">
        <v>3829</v>
      </c>
      <c r="E98" t="s">
        <v>22</v>
      </c>
      <c r="F98" s="387">
        <v>7</v>
      </c>
      <c r="G98" s="16">
        <f>'WetLitterbags placem_collection'!E25</f>
        <v>42767</v>
      </c>
      <c r="H98" t="str">
        <f>'Final data_for_R_analysis_Wetse'!J24</f>
        <v>G492</v>
      </c>
      <c r="I98" t="str">
        <f>'Final data_for_R_analysis_Wetse'!J244</f>
        <v>R190</v>
      </c>
      <c r="J98">
        <f>IFERROR(INDEX('Green_rooibos initial weight'!$C$5:$C$1749,MATCH(H98, 'Green_rooibos initial weight'!$A$5:$A$1749,0)),"")</f>
        <v>1.948</v>
      </c>
      <c r="K98">
        <f>IFERROR(INDEX('Green_rooibos initial weight'!$C$5:$C$1749,MATCH(I98, 'Green_rooibos initial weight'!$A$5:$A$1749,0)),"")</f>
        <v>2.2240000000000002</v>
      </c>
      <c r="L98" s="195">
        <f t="shared" si="4"/>
        <v>1.6981999999999999</v>
      </c>
      <c r="M98" s="195">
        <f>AVERAGE(Ashed_controlls!$K$2:$K$11)</f>
        <v>5.5147656768714146</v>
      </c>
      <c r="N98" s="195">
        <f t="shared" si="0"/>
        <v>1.6045482492753695</v>
      </c>
      <c r="O98" s="195">
        <f t="shared" si="5"/>
        <v>1.9742000000000002</v>
      </c>
      <c r="P98" s="195">
        <f>AVERAGE(Ashed_controlls!$K$12:$K$14)</f>
        <v>2.2816647271287041</v>
      </c>
      <c r="Q98" s="195">
        <f t="shared" si="6"/>
        <v>1.9291553749570254</v>
      </c>
      <c r="R98" s="16">
        <f>IF('WetLitterbags placem_collection'!G25="N.A","",'WetLitterbags placem_collection'!G25)</f>
        <v>42818</v>
      </c>
      <c r="S98" s="195">
        <f>IF(IFERROR(INDEX('Both teabags AfterWet'!$C$3:$C$841,MATCH(H98,'Both teabags AfterWet'!$A$3:$A$841,0)),"")="N.A","",(IFERROR(INDEX('Both teabags AfterWet'!$C$3:$C$841,MATCH(H98,'Both teabags AfterWet'!$A$3:$A$841,0)),"")))</f>
        <v>0.76959999999999995</v>
      </c>
      <c r="T98" s="195">
        <f>IFERROR(INDEX('Both teabags AfterWet'!$C$3:$C$841,MATCH(I98,'Both teabags AfterWet'!$A$3:$A$841,0)),"")</f>
        <v>1.5019</v>
      </c>
      <c r="U98" s="195">
        <f t="shared" si="7"/>
        <v>0.61899999999999999</v>
      </c>
      <c r="V98" s="195">
        <f t="shared" si="7"/>
        <v>1.3512999999999999</v>
      </c>
      <c r="W98" s="195">
        <f>IFERROR(INDEX('Ashed teabags wet'!$K$2:$K$821,MATCH(H98,'Ashed teabags wet'!$A$2:$A$821,0)),"")</f>
        <v>11.478696741854373</v>
      </c>
      <c r="X98" s="195">
        <f>IFERROR(INDEX('Ashed teabags wet'!$K$2:$K$821,MATCH(I98,'Ashed teabags wet'!$A$2:$A$821,0)),"")</f>
        <v>3.0390738060779063</v>
      </c>
      <c r="Y98" s="195">
        <f t="shared" si="1"/>
        <v>0.5479468671679214</v>
      </c>
      <c r="Z98" s="195">
        <f t="shared" si="1"/>
        <v>1.3102329956584693</v>
      </c>
      <c r="AA98" s="195">
        <f t="shared" si="8"/>
        <v>0.65850396370730524</v>
      </c>
      <c r="AB98" s="195">
        <f t="shared" si="9"/>
        <v>0.43170331112402915</v>
      </c>
      <c r="AC98" s="195">
        <f t="shared" si="2"/>
        <v>0.67917442662577476</v>
      </c>
      <c r="AD98">
        <f t="shared" si="3"/>
        <v>51</v>
      </c>
      <c r="AE98" s="195">
        <f t="shared" si="10"/>
        <v>0.21792878419559947</v>
      </c>
      <c r="AF98" s="195">
        <f t="shared" si="11"/>
        <v>2.6653145881436118E-2</v>
      </c>
      <c r="AG98" s="255" t="str">
        <f>IF(ISNUMBER(SEARCH("C",'WetLitterbags placem_collection'!AD25)),"YES","NO")</f>
        <v>NO</v>
      </c>
      <c r="AH98" s="255" t="str">
        <f>IF(ISNUMBER(SEARCH("H", 'WetLitterbags placem_collection'!AD25)),"YES","NO")</f>
        <v>NO</v>
      </c>
      <c r="AI98" s="255" t="str">
        <f>IF(ISNUMBER(SEARCH("R", 'WetLitterbags placem_collection'!AD25)),"YES","NO")</f>
        <v>YES</v>
      </c>
      <c r="AJ98" s="255" t="str">
        <f>IF(ISNUMBER(SEARCH("C", 'WetLitterbags placem_collection'!AC25)),"YES","NO")</f>
        <v>NO</v>
      </c>
      <c r="AK98" s="255" t="str">
        <f>IF(ISNUMBER(SEARCH("H", 'WetLitterbags placem_collection'!AC25)),"YES","NO")</f>
        <v>NO</v>
      </c>
      <c r="AL98" s="255" t="str">
        <f>IF(ISNUMBER(SEARCH("R", 'WetLitterbags placem_collection'!AC25)),"YES","NO")</f>
        <v>NO</v>
      </c>
    </row>
    <row r="99" spans="2:38">
      <c r="B99" t="str">
        <f>'Final data_for_R_analysis_Wetse'!A25</f>
        <v>Wet</v>
      </c>
      <c r="C99" s="263">
        <f>'Final data_for_R_analysis_Wetse'!B25</f>
        <v>24</v>
      </c>
      <c r="D99" t="s">
        <v>3829</v>
      </c>
      <c r="E99" t="s">
        <v>22</v>
      </c>
      <c r="F99" s="387">
        <v>8</v>
      </c>
      <c r="G99" s="16">
        <f>'WetLitterbags placem_collection'!E26</f>
        <v>42767</v>
      </c>
      <c r="H99" t="str">
        <f>'Final data_for_R_analysis_Wetse'!J25</f>
        <v>G813</v>
      </c>
      <c r="I99" t="str">
        <f>'Final data_for_R_analysis_Wetse'!J245</f>
        <v>R144</v>
      </c>
      <c r="J99">
        <f>IFERROR(INDEX('Green_rooibos initial weight'!$C$5:$C$1749,MATCH(H99, 'Green_rooibos initial weight'!$A$5:$A$1749,0)),"")</f>
        <v>1.9550000000000001</v>
      </c>
      <c r="K99">
        <f>IFERROR(INDEX('Green_rooibos initial weight'!$C$5:$C$1749,MATCH(I99, 'Green_rooibos initial weight'!$A$5:$A$1749,0)),"")</f>
        <v>2.1429999999999998</v>
      </c>
      <c r="L99" s="195">
        <f t="shared" si="4"/>
        <v>1.7052</v>
      </c>
      <c r="M99" s="195">
        <f>AVERAGE(Ashed_controlls!$K$2:$K$11)</f>
        <v>5.5147656768714146</v>
      </c>
      <c r="N99" s="195">
        <f t="shared" si="0"/>
        <v>1.6111622156779888</v>
      </c>
      <c r="O99" s="195">
        <f t="shared" si="5"/>
        <v>1.8931999999999998</v>
      </c>
      <c r="P99" s="195">
        <f>AVERAGE(Ashed_controlls!$K$12:$K$14)</f>
        <v>2.2816647271287041</v>
      </c>
      <c r="Q99" s="195">
        <f t="shared" si="6"/>
        <v>1.850003523385999</v>
      </c>
      <c r="R99" s="16">
        <f>IF('WetLitterbags placem_collection'!G26="N.A","",'WetLitterbags placem_collection'!G26)</f>
        <v>42818</v>
      </c>
      <c r="S99" s="195">
        <f>IF(IFERROR(INDEX('Both teabags AfterWet'!$C$3:$C$841,MATCH(H99,'Both teabags AfterWet'!$A$3:$A$841,0)),"")="N.A","",(IFERROR(INDEX('Both teabags AfterWet'!$C$3:$C$841,MATCH(H99,'Both teabags AfterWet'!$A$3:$A$841,0)),"")))</f>
        <v>0.74790000000000001</v>
      </c>
      <c r="T99" s="195">
        <f>IFERROR(INDEX('Both teabags AfterWet'!$C$3:$C$841,MATCH(I99,'Both teabags AfterWet'!$A$3:$A$841,0)),"")</f>
        <v>1.6077999999999999</v>
      </c>
      <c r="U99" s="195">
        <f t="shared" si="7"/>
        <v>0.59729999999999994</v>
      </c>
      <c r="V99" s="195">
        <f t="shared" si="7"/>
        <v>1.4571999999999998</v>
      </c>
      <c r="W99" s="195">
        <f>IFERROR(INDEX('Ashed teabags wet'!$K$2:$K$821,MATCH(H99,'Ashed teabags wet'!$A$2:$A$821,0)),"")</f>
        <v>11.584158415841873</v>
      </c>
      <c r="X99" s="195">
        <f>IFERROR(INDEX('Ashed teabags wet'!$K$2:$K$821,MATCH(I99,'Ashed teabags wet'!$A$2:$A$821,0)),"")</f>
        <v>4.9655850540802868</v>
      </c>
      <c r="Y99" s="195">
        <f t="shared" si="1"/>
        <v>0.52810782178217641</v>
      </c>
      <c r="Z99" s="195">
        <f t="shared" si="1"/>
        <v>1.3848414945919418</v>
      </c>
      <c r="AA99" s="195">
        <f t="shared" si="8"/>
        <v>0.67221933543175549</v>
      </c>
      <c r="AB99" s="195">
        <f t="shared" si="9"/>
        <v>0.44069486123316992</v>
      </c>
      <c r="AC99" s="195">
        <f t="shared" si="2"/>
        <v>0.74856154438955513</v>
      </c>
      <c r="AD99">
        <f t="shared" si="3"/>
        <v>51</v>
      </c>
      <c r="AE99" s="195">
        <f t="shared" si="10"/>
        <v>0.20163974414280816</v>
      </c>
      <c r="AF99" s="195">
        <f t="shared" si="11"/>
        <v>1.6573528865851082E-2</v>
      </c>
      <c r="AG99" s="255" t="str">
        <f>IF(ISNUMBER(SEARCH("C",'WetLitterbags placem_collection'!AD26)),"YES","NO")</f>
        <v>NO</v>
      </c>
      <c r="AH99" s="255" t="str">
        <f>IF(ISNUMBER(SEARCH("H", 'WetLitterbags placem_collection'!AD26)),"YES","NO")</f>
        <v>NO</v>
      </c>
      <c r="AI99" s="255" t="str">
        <f>IF(ISNUMBER(SEARCH("R", 'WetLitterbags placem_collection'!AD26)),"YES","NO")</f>
        <v>YES</v>
      </c>
      <c r="AJ99" s="255" t="str">
        <f>IF(ISNUMBER(SEARCH("C", 'WetLitterbags placem_collection'!AC26)),"YES","NO")</f>
        <v>NO</v>
      </c>
      <c r="AK99" s="255" t="str">
        <f>IF(ISNUMBER(SEARCH("H", 'WetLitterbags placem_collection'!AC26)),"YES","NO")</f>
        <v>NO</v>
      </c>
      <c r="AL99" s="255" t="str">
        <f>IF(ISNUMBER(SEARCH("R", 'WetLitterbags placem_collection'!AC26)),"YES","NO")</f>
        <v>NO</v>
      </c>
    </row>
    <row r="100" spans="2:38">
      <c r="B100" t="str">
        <f>'Final data_for_R_analysis_Wetse'!A26</f>
        <v>Wet</v>
      </c>
      <c r="C100" s="263">
        <f>'Final data_for_R_analysis_Wetse'!B26</f>
        <v>25</v>
      </c>
      <c r="D100" t="s">
        <v>3830</v>
      </c>
      <c r="E100" t="s">
        <v>22</v>
      </c>
      <c r="F100" s="386">
        <v>1</v>
      </c>
      <c r="G100" s="16">
        <f>'WetLitterbags placem_collection'!E27</f>
        <v>42767</v>
      </c>
      <c r="H100" t="str">
        <f>'Final data_for_R_analysis_Wetse'!J26</f>
        <v>G406</v>
      </c>
      <c r="I100" t="str">
        <f>'Final data_for_R_analysis_Wetse'!J246</f>
        <v>R279</v>
      </c>
      <c r="J100">
        <f>IFERROR(INDEX('Green_rooibos initial weight'!$C$5:$C$1749,MATCH(H100, 'Green_rooibos initial weight'!$A$5:$A$1749,0)),"")</f>
        <v>2.0910000000000002</v>
      </c>
      <c r="K100">
        <f>IFERROR(INDEX('Green_rooibos initial weight'!$C$5:$C$1749,MATCH(I100, 'Green_rooibos initial weight'!$A$5:$A$1749,0)),"")</f>
        <v>2.161</v>
      </c>
      <c r="L100" s="195">
        <f t="shared" si="4"/>
        <v>1.8412000000000002</v>
      </c>
      <c r="M100" s="195">
        <f>AVERAGE(Ashed_controlls!$K$2:$K$11)</f>
        <v>5.5147656768714146</v>
      </c>
      <c r="N100" s="195">
        <f t="shared" si="0"/>
        <v>1.7396621343574437</v>
      </c>
      <c r="O100" s="195">
        <f t="shared" si="5"/>
        <v>1.9112</v>
      </c>
      <c r="P100" s="195">
        <f>AVERAGE(Ashed_controlls!$K$12:$K$14)</f>
        <v>2.2816647271287041</v>
      </c>
      <c r="Q100" s="195">
        <f t="shared" si="6"/>
        <v>1.8675928237351163</v>
      </c>
      <c r="R100" s="16">
        <f>IF('WetLitterbags placem_collection'!G27="N.A","",'WetLitterbags placem_collection'!G27)</f>
        <v>42818</v>
      </c>
      <c r="S100" s="195">
        <f>IF(IFERROR(INDEX('Both teabags AfterWet'!$C$3:$C$841,MATCH(H100,'Both teabags AfterWet'!$A$3:$A$841,0)),"")="N.A","",(IFERROR(INDEX('Both teabags AfterWet'!$C$3:$C$841,MATCH(H100,'Both teabags AfterWet'!$A$3:$A$841,0)),"")))</f>
        <v>0.68400000000000005</v>
      </c>
      <c r="T100" s="195" t="str">
        <f>IFERROR(INDEX('Both teabags AfterWet'!$C$3:$C$841,MATCH(I100,'Both teabags AfterWet'!$A$3:$A$841,0)),"")</f>
        <v/>
      </c>
      <c r="U100" s="195">
        <f t="shared" si="7"/>
        <v>0.5334000000000001</v>
      </c>
      <c r="V100" s="195" t="str">
        <f t="shared" si="7"/>
        <v/>
      </c>
      <c r="W100" s="195">
        <f>IFERROR(INDEX('Ashed teabags wet'!$K$2:$K$821,MATCH(H100,'Ashed teabags wet'!$A$2:$A$821,0)),"")</f>
        <v>12.537313432835518</v>
      </c>
      <c r="X100" s="195">
        <f>IFERROR(INDEX('Ashed teabags wet'!$K$2:$K$821,MATCH(I100,'Ashed teabags wet'!$A$2:$A$821,0)),"")</f>
        <v>2.7040077257358202</v>
      </c>
      <c r="Y100" s="195">
        <f t="shared" si="1"/>
        <v>0.46652597014925545</v>
      </c>
      <c r="Z100" s="195" t="str">
        <f t="shared" si="1"/>
        <v/>
      </c>
      <c r="AA100" s="195">
        <f t="shared" si="8"/>
        <v>0.7318295541785933</v>
      </c>
      <c r="AB100" s="195">
        <f t="shared" si="9"/>
        <v>0.47977424454463607</v>
      </c>
      <c r="AC100" s="195" t="str">
        <f t="shared" si="2"/>
        <v/>
      </c>
      <c r="AD100">
        <f t="shared" si="3"/>
        <v>51</v>
      </c>
      <c r="AE100" s="195">
        <f t="shared" si="10"/>
        <v>0.13084375988290575</v>
      </c>
      <c r="AF100" s="195" t="str">
        <f t="shared" si="11"/>
        <v/>
      </c>
      <c r="AG100" s="255" t="str">
        <f>IF(ISNUMBER(SEARCH("C",'WetLitterbags placem_collection'!AD27)),"YES","NO")</f>
        <v>NO</v>
      </c>
      <c r="AH100" s="255" t="str">
        <f>IF(ISNUMBER(SEARCH("H", 'WetLitterbags placem_collection'!AD27)),"YES","NO")</f>
        <v>NO</v>
      </c>
      <c r="AI100" s="255" t="str">
        <f>IF(ISNUMBER(SEARCH("R", 'WetLitterbags placem_collection'!AD27)),"YES","NO")</f>
        <v>YES</v>
      </c>
      <c r="AJ100" s="255" t="str">
        <f>IF(ISNUMBER(SEARCH("C", 'WetLitterbags placem_collection'!AC27)),"YES","NO")</f>
        <v>NO</v>
      </c>
      <c r="AK100" s="255" t="str">
        <f>IF(ISNUMBER(SEARCH("H", 'WetLitterbags placem_collection'!AC27)),"YES","NO")</f>
        <v>NO</v>
      </c>
      <c r="AL100" s="255" t="str">
        <f>IF(ISNUMBER(SEARCH("R", 'WetLitterbags placem_collection'!AC27)),"YES","NO")</f>
        <v>NO</v>
      </c>
    </row>
    <row r="101" spans="2:38">
      <c r="B101" t="str">
        <f>'Final data_for_R_analysis_Wetse'!A27</f>
        <v>Wet</v>
      </c>
      <c r="C101" s="263">
        <f>'Final data_for_R_analysis_Wetse'!B27</f>
        <v>26</v>
      </c>
      <c r="D101" t="s">
        <v>3830</v>
      </c>
      <c r="E101" t="s">
        <v>22</v>
      </c>
      <c r="F101" s="386">
        <v>2</v>
      </c>
      <c r="G101" s="16">
        <f>'WetLitterbags placem_collection'!E28</f>
        <v>42767</v>
      </c>
      <c r="H101" t="str">
        <f>'Final data_for_R_analysis_Wetse'!J27</f>
        <v>G651</v>
      </c>
      <c r="I101" t="str">
        <f>'Final data_for_R_analysis_Wetse'!J247</f>
        <v>R148</v>
      </c>
      <c r="J101">
        <f>IFERROR(INDEX('Green_rooibos initial weight'!$C$5:$C$1749,MATCH(H101, 'Green_rooibos initial weight'!$A$5:$A$1749,0)),"")</f>
        <v>1.97</v>
      </c>
      <c r="K101">
        <f>IFERROR(INDEX('Green_rooibos initial weight'!$C$5:$C$1749,MATCH(I101, 'Green_rooibos initial weight'!$A$5:$A$1749,0)),"")</f>
        <v>2.149</v>
      </c>
      <c r="L101" s="195">
        <f t="shared" si="4"/>
        <v>1.7202</v>
      </c>
      <c r="M101" s="195">
        <f>AVERAGE(Ashed_controlls!$K$2:$K$11)</f>
        <v>5.5147656768714146</v>
      </c>
      <c r="N101" s="195">
        <f t="shared" si="0"/>
        <v>1.6253350008264578</v>
      </c>
      <c r="O101" s="195">
        <f t="shared" si="5"/>
        <v>1.8992</v>
      </c>
      <c r="P101" s="195">
        <f>AVERAGE(Ashed_controlls!$K$12:$K$14)</f>
        <v>2.2816647271287041</v>
      </c>
      <c r="Q101" s="195">
        <f t="shared" si="6"/>
        <v>1.8558666235023717</v>
      </c>
      <c r="R101" s="16">
        <f>IF('WetLitterbags placem_collection'!G28="N.A","",'WetLitterbags placem_collection'!G28)</f>
        <v>42818</v>
      </c>
      <c r="S101" s="195">
        <f>IF(IFERROR(INDEX('Both teabags AfterWet'!$C$3:$C$841,MATCH(H101,'Both teabags AfterWet'!$A$3:$A$841,0)),"")="N.A","",(IFERROR(INDEX('Both teabags AfterWet'!$C$3:$C$841,MATCH(H101,'Both teabags AfterWet'!$A$3:$A$841,0)),"")))</f>
        <v>0.77580000000000005</v>
      </c>
      <c r="T101" s="195">
        <f>IFERROR(INDEX('Both teabags AfterWet'!$C$3:$C$841,MATCH(I101,'Both teabags AfterWet'!$A$3:$A$841,0)),"")</f>
        <v>1.5741000000000001</v>
      </c>
      <c r="U101" s="195">
        <f t="shared" si="7"/>
        <v>0.62519999999999998</v>
      </c>
      <c r="V101" s="195">
        <f t="shared" si="7"/>
        <v>1.4235</v>
      </c>
      <c r="W101" s="195">
        <f>IFERROR(INDEX('Ashed teabags wet'!$K$2:$K$821,MATCH(H101,'Ashed teabags wet'!$A$2:$A$821,0)),"")</f>
        <v>12.512218963832606</v>
      </c>
      <c r="X101" s="195">
        <f>IFERROR(INDEX('Ashed teabags wet'!$K$2:$K$821,MATCH(I101,'Ashed teabags wet'!$A$2:$A$821,0)),"")</f>
        <v>3.3466533466532278</v>
      </c>
      <c r="Y101" s="195">
        <f t="shared" si="1"/>
        <v>0.54697360703811859</v>
      </c>
      <c r="Z101" s="195">
        <f t="shared" si="1"/>
        <v>1.3758603896103914</v>
      </c>
      <c r="AA101" s="195">
        <f t="shared" si="8"/>
        <v>0.66347023428401464</v>
      </c>
      <c r="AB101" s="195">
        <f t="shared" si="9"/>
        <v>0.43495910846172936</v>
      </c>
      <c r="AC101" s="195">
        <f t="shared" si="2"/>
        <v>0.74135736490259319</v>
      </c>
      <c r="AD101">
        <f t="shared" si="3"/>
        <v>51</v>
      </c>
      <c r="AE101" s="195">
        <f t="shared" si="10"/>
        <v>0.21203060061280921</v>
      </c>
      <c r="AF101" s="195">
        <f t="shared" si="11"/>
        <v>1.7705323504038164E-2</v>
      </c>
      <c r="AG101" s="255" t="str">
        <f>IF(ISNUMBER(SEARCH("C",'WetLitterbags placem_collection'!AD28)),"YES","NO")</f>
        <v>NO</v>
      </c>
      <c r="AH101" s="255" t="str">
        <f>IF(ISNUMBER(SEARCH("H", 'WetLitterbags placem_collection'!AD28)),"YES","NO")</f>
        <v>NO</v>
      </c>
      <c r="AI101" s="255" t="str">
        <f>IF(ISNUMBER(SEARCH("R", 'WetLitterbags placem_collection'!AD28)),"YES","NO")</f>
        <v>YES</v>
      </c>
      <c r="AJ101" s="255" t="str">
        <f>IF(ISNUMBER(SEARCH("C", 'WetLitterbags placem_collection'!AC28)),"YES","NO")</f>
        <v>NO</v>
      </c>
      <c r="AK101" s="255" t="str">
        <f>IF(ISNUMBER(SEARCH("H", 'WetLitterbags placem_collection'!AC28)),"YES","NO")</f>
        <v>NO</v>
      </c>
      <c r="AL101" s="255" t="str">
        <f>IF(ISNUMBER(SEARCH("R", 'WetLitterbags placem_collection'!AC28)),"YES","NO")</f>
        <v>NO</v>
      </c>
    </row>
    <row r="102" spans="2:38">
      <c r="B102" t="str">
        <f>'Final data_for_R_analysis_Wetse'!A28</f>
        <v>Wet</v>
      </c>
      <c r="C102" s="263">
        <f>'Final data_for_R_analysis_Wetse'!B28</f>
        <v>27</v>
      </c>
      <c r="D102" t="s">
        <v>3830</v>
      </c>
      <c r="E102" t="s">
        <v>22</v>
      </c>
      <c r="F102" s="386">
        <v>3</v>
      </c>
      <c r="G102" s="16">
        <f>'WetLitterbags placem_collection'!E29</f>
        <v>42767</v>
      </c>
      <c r="H102" t="str">
        <f>'Final data_for_R_analysis_Wetse'!J28</f>
        <v>G583</v>
      </c>
      <c r="I102" t="str">
        <f>'Final data_for_R_analysis_Wetse'!J248</f>
        <v>R112</v>
      </c>
      <c r="J102">
        <f>IFERROR(INDEX('Green_rooibos initial weight'!$C$5:$C$1749,MATCH(H102, 'Green_rooibos initial weight'!$A$5:$A$1749,0)),"")</f>
        <v>2.1829999999999998</v>
      </c>
      <c r="K102">
        <f>IFERROR(INDEX('Green_rooibos initial weight'!$C$5:$C$1749,MATCH(I102, 'Green_rooibos initial weight'!$A$5:$A$1749,0)),"")</f>
        <v>2.2610000000000001</v>
      </c>
      <c r="L102" s="195">
        <f t="shared" si="4"/>
        <v>1.9331999999999998</v>
      </c>
      <c r="M102" s="195">
        <f>AVERAGE(Ashed_controlls!$K$2:$K$11)</f>
        <v>5.5147656768714146</v>
      </c>
      <c r="N102" s="195">
        <f t="shared" si="0"/>
        <v>1.8265885499347216</v>
      </c>
      <c r="O102" s="195">
        <f t="shared" si="5"/>
        <v>2.0112000000000001</v>
      </c>
      <c r="P102" s="195">
        <f>AVERAGE(Ashed_controlls!$K$12:$K$14)</f>
        <v>2.2816647271287041</v>
      </c>
      <c r="Q102" s="195">
        <f t="shared" si="6"/>
        <v>1.9653111590079877</v>
      </c>
      <c r="R102" s="16">
        <f>IF('WetLitterbags placem_collection'!G29="N.A","",'WetLitterbags placem_collection'!G29)</f>
        <v>42818</v>
      </c>
      <c r="S102" s="195">
        <f>IF(IFERROR(INDEX('Both teabags AfterWet'!$C$3:$C$841,MATCH(H102,'Both teabags AfterWet'!$A$3:$A$841,0)),"")="N.A","",(IFERROR(INDEX('Both teabags AfterWet'!$C$3:$C$841,MATCH(H102,'Both teabags AfterWet'!$A$3:$A$841,0)),"")))</f>
        <v>0.66169999999999995</v>
      </c>
      <c r="T102" s="195">
        <f>IFERROR(INDEX('Both teabags AfterWet'!$C$3:$C$841,MATCH(I102,'Both teabags AfterWet'!$A$3:$A$841,0)),"")</f>
        <v>1.3584000000000001</v>
      </c>
      <c r="U102" s="195">
        <f t="shared" si="7"/>
        <v>0.51109999999999989</v>
      </c>
      <c r="V102" s="195">
        <f t="shared" si="7"/>
        <v>1.2078</v>
      </c>
      <c r="W102" s="195">
        <f>IFERROR(INDEX('Ashed teabags wet'!$K$2:$K$821,MATCH(H102,'Ashed teabags wet'!$A$2:$A$821,0)),"")</f>
        <v>12.756598240469378</v>
      </c>
      <c r="X102" s="195">
        <f>IFERROR(INDEX('Ashed teabags wet'!$K$2:$K$821,MATCH(I102,'Ashed teabags wet'!$A$2:$A$821,0)),"")</f>
        <v>6.1105722599418044</v>
      </c>
      <c r="Y102" s="195">
        <f t="shared" si="1"/>
        <v>0.44590102639296092</v>
      </c>
      <c r="Z102" s="195">
        <f t="shared" si="1"/>
        <v>1.1339965082444228</v>
      </c>
      <c r="AA102" s="195">
        <f t="shared" si="8"/>
        <v>0.7558831591225641</v>
      </c>
      <c r="AB102" s="195">
        <f t="shared" si="9"/>
        <v>0.49554335372405633</v>
      </c>
      <c r="AC102" s="195">
        <f t="shared" si="2"/>
        <v>0.57700609038256312</v>
      </c>
      <c r="AD102">
        <f t="shared" si="3"/>
        <v>51</v>
      </c>
      <c r="AE102" s="195">
        <f t="shared" si="10"/>
        <v>0.10227653310859364</v>
      </c>
      <c r="AF102" s="195">
        <f t="shared" si="11"/>
        <v>3.7674245642247035E-2</v>
      </c>
      <c r="AG102" s="255" t="str">
        <f>IF(ISNUMBER(SEARCH("C",'WetLitterbags placem_collection'!AD29)),"YES","NO")</f>
        <v>NO</v>
      </c>
      <c r="AH102" s="255" t="str">
        <f>IF(ISNUMBER(SEARCH("H", 'WetLitterbags placem_collection'!AD29)),"YES","NO")</f>
        <v>NO</v>
      </c>
      <c r="AI102" s="255" t="str">
        <f>IF(ISNUMBER(SEARCH("R", 'WetLitterbags placem_collection'!AD29)),"YES","NO")</f>
        <v>YES</v>
      </c>
      <c r="AJ102" s="255" t="str">
        <f>IF(ISNUMBER(SEARCH("C", 'WetLitterbags placem_collection'!AC29)),"YES","NO")</f>
        <v>NO</v>
      </c>
      <c r="AK102" s="255" t="str">
        <f>IF(ISNUMBER(SEARCH("H", 'WetLitterbags placem_collection'!AC29)),"YES","NO")</f>
        <v>NO</v>
      </c>
      <c r="AL102" s="255" t="str">
        <f>IF(ISNUMBER(SEARCH("R", 'WetLitterbags placem_collection'!AC29)),"YES","NO")</f>
        <v>NO</v>
      </c>
    </row>
    <row r="103" spans="2:38">
      <c r="B103" t="str">
        <f>'Final data_for_R_analysis_Wetse'!A29</f>
        <v>Wet</v>
      </c>
      <c r="C103" s="263">
        <f>'Final data_for_R_analysis_Wetse'!B29</f>
        <v>28</v>
      </c>
      <c r="D103" t="s">
        <v>3830</v>
      </c>
      <c r="E103" t="s">
        <v>22</v>
      </c>
      <c r="F103" s="387">
        <v>4</v>
      </c>
      <c r="G103" s="16">
        <f>'WetLitterbags placem_collection'!E30</f>
        <v>42767</v>
      </c>
      <c r="H103" t="str">
        <f>'Final data_for_R_analysis_Wetse'!J29</f>
        <v>G702</v>
      </c>
      <c r="I103" t="str">
        <f>'Final data_for_R_analysis_Wetse'!J249</f>
        <v>R436</v>
      </c>
      <c r="J103">
        <f>IFERROR(INDEX('Green_rooibos initial weight'!$C$5:$C$1749,MATCH(H103, 'Green_rooibos initial weight'!$A$5:$A$1749,0)),"")</f>
        <v>2.109</v>
      </c>
      <c r="K103">
        <f>IFERROR(INDEX('Green_rooibos initial weight'!$C$5:$C$1749,MATCH(I103, 'Green_rooibos initial weight'!$A$5:$A$1749,0)),"")</f>
        <v>2.2240000000000002</v>
      </c>
      <c r="L103" s="195">
        <f t="shared" si="4"/>
        <v>1.8592</v>
      </c>
      <c r="M103" s="195">
        <f>AVERAGE(Ashed_controlls!$K$2:$K$11)</f>
        <v>5.5147656768714146</v>
      </c>
      <c r="N103" s="195">
        <f t="shared" si="0"/>
        <v>1.7566694765356066</v>
      </c>
      <c r="O103" s="195">
        <f t="shared" si="5"/>
        <v>1.9742000000000002</v>
      </c>
      <c r="P103" s="195">
        <f>AVERAGE(Ashed_controlls!$K$12:$K$14)</f>
        <v>2.2816647271287041</v>
      </c>
      <c r="Q103" s="195">
        <f t="shared" si="6"/>
        <v>1.9291553749570254</v>
      </c>
      <c r="R103" s="16">
        <f>IF('WetLitterbags placem_collection'!G30="N.A","",'WetLitterbags placem_collection'!G30)</f>
        <v>42818</v>
      </c>
      <c r="S103" s="195">
        <f>IF(IFERROR(INDEX('Both teabags AfterWet'!$C$3:$C$841,MATCH(H103,'Both teabags AfterWet'!$A$3:$A$841,0)),"")="N.A","",(IFERROR(INDEX('Both teabags AfterWet'!$C$3:$C$841,MATCH(H103,'Both teabags AfterWet'!$A$3:$A$841,0)),"")))</f>
        <v>0.73699999999999999</v>
      </c>
      <c r="T103" s="195">
        <f>IFERROR(INDEX('Both teabags AfterWet'!$C$3:$C$841,MATCH(I103,'Both teabags AfterWet'!$A$3:$A$841,0)),"")</f>
        <v>1.5295000000000001</v>
      </c>
      <c r="U103" s="195">
        <f t="shared" si="7"/>
        <v>0.58640000000000003</v>
      </c>
      <c r="V103" s="195">
        <f t="shared" si="7"/>
        <v>1.3789</v>
      </c>
      <c r="W103" s="195">
        <f>IFERROR(INDEX('Ashed teabags wet'!$K$2:$K$821,MATCH(H103,'Ashed teabags wet'!$A$2:$A$821,0)),"")</f>
        <v>10.710760118459444</v>
      </c>
      <c r="X103" s="195">
        <f>IFERROR(INDEX('Ashed teabags wet'!$K$2:$K$821,MATCH(I103,'Ashed teabags wet'!$A$2:$A$821,0)),"")</f>
        <v>4.1749502982106899</v>
      </c>
      <c r="Y103" s="195">
        <f t="shared" si="1"/>
        <v>0.52359210266535383</v>
      </c>
      <c r="Z103" s="195">
        <f t="shared" si="1"/>
        <v>1.3213316103379729</v>
      </c>
      <c r="AA103" s="195">
        <f t="shared" si="8"/>
        <v>0.70194045626730572</v>
      </c>
      <c r="AB103" s="195">
        <f t="shared" si="9"/>
        <v>0.46017949151965892</v>
      </c>
      <c r="AC103" s="195">
        <f t="shared" si="2"/>
        <v>0.68492752190445383</v>
      </c>
      <c r="AD103">
        <f t="shared" si="3"/>
        <v>51</v>
      </c>
      <c r="AE103" s="195">
        <f t="shared" si="10"/>
        <v>0.16634150087018318</v>
      </c>
      <c r="AF103" s="195">
        <f t="shared" si="11"/>
        <v>2.2630296441205254E-2</v>
      </c>
      <c r="AG103" s="255" t="str">
        <f>IF(ISNUMBER(SEARCH("C",'WetLitterbags placem_collection'!AD30)),"YES","NO")</f>
        <v>NO</v>
      </c>
      <c r="AH103" s="255" t="str">
        <f>IF(ISNUMBER(SEARCH("H", 'WetLitterbags placem_collection'!AD30)),"YES","NO")</f>
        <v>NO</v>
      </c>
      <c r="AI103" s="255" t="str">
        <f>IF(ISNUMBER(SEARCH("R", 'WetLitterbags placem_collection'!AD30)),"YES","NO")</f>
        <v>YES</v>
      </c>
      <c r="AJ103" s="255" t="str">
        <f>IF(ISNUMBER(SEARCH("C", 'WetLitterbags placem_collection'!AC30)),"YES","NO")</f>
        <v>NO</v>
      </c>
      <c r="AK103" s="255" t="str">
        <f>IF(ISNUMBER(SEARCH("H", 'WetLitterbags placem_collection'!AC30)),"YES","NO")</f>
        <v>NO</v>
      </c>
      <c r="AL103" s="255" t="str">
        <f>IF(ISNUMBER(SEARCH("R", 'WetLitterbags placem_collection'!AC30)),"YES","NO")</f>
        <v>NO</v>
      </c>
    </row>
    <row r="104" spans="2:38">
      <c r="B104" t="str">
        <f>'Final data_for_R_analysis_Wetse'!A30</f>
        <v>Wet</v>
      </c>
      <c r="C104" s="263">
        <f>'Final data_for_R_analysis_Wetse'!B30</f>
        <v>29</v>
      </c>
      <c r="D104" t="s">
        <v>3830</v>
      </c>
      <c r="E104" t="s">
        <v>22</v>
      </c>
      <c r="F104" s="387">
        <v>5</v>
      </c>
      <c r="G104" s="16">
        <f>'WetLitterbags placem_collection'!E31</f>
        <v>42767</v>
      </c>
      <c r="H104" t="str">
        <f>'Final data_for_R_analysis_Wetse'!J30</f>
        <v>G838</v>
      </c>
      <c r="I104" t="str">
        <f>'Final data_for_R_analysis_Wetse'!J250</f>
        <v>R386</v>
      </c>
      <c r="J104">
        <f>IFERROR(INDEX('Green_rooibos initial weight'!$C$5:$C$1749,MATCH(H104, 'Green_rooibos initial weight'!$A$5:$A$1749,0)),"")</f>
        <v>2.0369999999999999</v>
      </c>
      <c r="K104">
        <f>IFERROR(INDEX('Green_rooibos initial weight'!$C$5:$C$1749,MATCH(I104, 'Green_rooibos initial weight'!$A$5:$A$1749,0)),"")</f>
        <v>2.2309999999999999</v>
      </c>
      <c r="L104" s="195">
        <f t="shared" si="4"/>
        <v>1.7871999999999999</v>
      </c>
      <c r="M104" s="195">
        <f>AVERAGE(Ashed_controlls!$K$2:$K$11)</f>
        <v>5.5147656768714146</v>
      </c>
      <c r="N104" s="195">
        <f t="shared" si="0"/>
        <v>1.688640107822954</v>
      </c>
      <c r="O104" s="195">
        <f t="shared" si="5"/>
        <v>1.9811999999999999</v>
      </c>
      <c r="P104" s="195">
        <f>AVERAGE(Ashed_controlls!$K$12:$K$14)</f>
        <v>2.2816647271287041</v>
      </c>
      <c r="Q104" s="195">
        <f t="shared" si="6"/>
        <v>1.935995658426126</v>
      </c>
      <c r="R104" s="16">
        <f>IF('WetLitterbags placem_collection'!G31="N.A","",'WetLitterbags placem_collection'!G31)</f>
        <v>42818</v>
      </c>
      <c r="S104" s="195">
        <f>IF(IFERROR(INDEX('Both teabags AfterWet'!$C$3:$C$841,MATCH(H104,'Both teabags AfterWet'!$A$3:$A$841,0)),"")="N.A","",(IFERROR(INDEX('Both teabags AfterWet'!$C$3:$C$841,MATCH(H104,'Both teabags AfterWet'!$A$3:$A$841,0)),"")))</f>
        <v>0.70830000000000004</v>
      </c>
      <c r="T104" s="195">
        <f>IFERROR(INDEX('Both teabags AfterWet'!$C$3:$C$841,MATCH(I104,'Both teabags AfterWet'!$A$3:$A$841,0)),"")</f>
        <v>1.5941000000000001</v>
      </c>
      <c r="U104" s="195">
        <f t="shared" si="7"/>
        <v>0.55770000000000008</v>
      </c>
      <c r="V104" s="195">
        <f t="shared" si="7"/>
        <v>1.4435</v>
      </c>
      <c r="W104" s="195">
        <f>IFERROR(INDEX('Ashed teabags wet'!$K$2:$K$821,MATCH(H104,'Ashed teabags wet'!$A$2:$A$821,0)),"")</f>
        <v>8.2404265632568467</v>
      </c>
      <c r="X104" s="195">
        <f>IFERROR(INDEX('Ashed teabags wet'!$K$2:$K$821,MATCH(I104,'Ashed teabags wet'!$A$2:$A$821,0)),"")</f>
        <v>10.99756690997477</v>
      </c>
      <c r="Y104" s="195">
        <f t="shared" si="1"/>
        <v>0.51174314105671659</v>
      </c>
      <c r="Z104" s="195">
        <f t="shared" si="1"/>
        <v>1.2847501216545143</v>
      </c>
      <c r="AA104" s="195">
        <f t="shared" si="8"/>
        <v>0.69694955207686538</v>
      </c>
      <c r="AB104" s="195">
        <f t="shared" si="9"/>
        <v>0.45690754482948898</v>
      </c>
      <c r="AC104" s="195">
        <f t="shared" si="2"/>
        <v>0.66361208821044371</v>
      </c>
      <c r="AD104">
        <f t="shared" si="3"/>
        <v>51</v>
      </c>
      <c r="AE104" s="195">
        <f t="shared" si="10"/>
        <v>0.17226894052628816</v>
      </c>
      <c r="AF104" s="195">
        <f t="shared" si="11"/>
        <v>2.6130752785664811E-2</v>
      </c>
      <c r="AG104" s="255" t="str">
        <f>IF(ISNUMBER(SEARCH("C",'WetLitterbags placem_collection'!AD31)),"YES","NO")</f>
        <v>NO</v>
      </c>
      <c r="AH104" s="255" t="str">
        <f>IF(ISNUMBER(SEARCH("H", 'WetLitterbags placem_collection'!AD31)),"YES","NO")</f>
        <v>NO</v>
      </c>
      <c r="AI104" s="255" t="str">
        <f>IF(ISNUMBER(SEARCH("R", 'WetLitterbags placem_collection'!AD31)),"YES","NO")</f>
        <v>YES</v>
      </c>
      <c r="AJ104" s="255" t="str">
        <f>IF(ISNUMBER(SEARCH("C", 'WetLitterbags placem_collection'!AC31)),"YES","NO")</f>
        <v>NO</v>
      </c>
      <c r="AK104" s="255" t="str">
        <f>IF(ISNUMBER(SEARCH("H", 'WetLitterbags placem_collection'!AC31)),"YES","NO")</f>
        <v>NO</v>
      </c>
      <c r="AL104" s="255" t="str">
        <f>IF(ISNUMBER(SEARCH("R", 'WetLitterbags placem_collection'!AC31)),"YES","NO")</f>
        <v>NO</v>
      </c>
    </row>
    <row r="105" spans="2:38">
      <c r="B105" t="str">
        <f>'Final data_for_R_analysis_Wetse'!A31</f>
        <v>Wet</v>
      </c>
      <c r="C105" s="263">
        <f>'Final data_for_R_analysis_Wetse'!B31</f>
        <v>30</v>
      </c>
      <c r="D105" t="s">
        <v>3830</v>
      </c>
      <c r="E105" t="s">
        <v>22</v>
      </c>
      <c r="F105" s="387">
        <v>6</v>
      </c>
      <c r="G105" s="16">
        <f>'WetLitterbags placem_collection'!E32</f>
        <v>42767</v>
      </c>
      <c r="H105" t="str">
        <f>'Final data_for_R_analysis_Wetse'!J31</f>
        <v>G518</v>
      </c>
      <c r="I105" t="str">
        <f>'Final data_for_R_analysis_Wetse'!J251</f>
        <v>R507</v>
      </c>
      <c r="J105">
        <f>IFERROR(INDEX('Green_rooibos initial weight'!$C$5:$C$1749,MATCH(H105, 'Green_rooibos initial weight'!$A$5:$A$1749,0)),"")</f>
        <v>1.9950000000000001</v>
      </c>
      <c r="K105">
        <f>IFERROR(INDEX('Green_rooibos initial weight'!$C$5:$C$1749,MATCH(I105, 'Green_rooibos initial weight'!$A$5:$A$1749,0)),"")</f>
        <v>2.1920000000000002</v>
      </c>
      <c r="L105" s="195">
        <f t="shared" si="4"/>
        <v>1.7452000000000001</v>
      </c>
      <c r="M105" s="195">
        <f>AVERAGE(Ashed_controlls!$K$2:$K$11)</f>
        <v>5.5147656768714146</v>
      </c>
      <c r="N105" s="195">
        <f t="shared" si="0"/>
        <v>1.6489563094072401</v>
      </c>
      <c r="O105" s="195">
        <f t="shared" si="5"/>
        <v>1.9422000000000001</v>
      </c>
      <c r="P105" s="195">
        <f>AVERAGE(Ashed_controlls!$K$12:$K$14)</f>
        <v>2.2816647271287041</v>
      </c>
      <c r="Q105" s="195">
        <f t="shared" si="6"/>
        <v>1.8978855076697065</v>
      </c>
      <c r="R105" s="16">
        <f>IF('WetLitterbags placem_collection'!G32="N.A","",'WetLitterbags placem_collection'!G32)</f>
        <v>42818</v>
      </c>
      <c r="S105" s="195">
        <f>IF(IFERROR(INDEX('Both teabags AfterWet'!$C$3:$C$841,MATCH(H105,'Both teabags AfterWet'!$A$3:$A$841,0)),"")="N.A","",(IFERROR(INDEX('Both teabags AfterWet'!$C$3:$C$841,MATCH(H105,'Both teabags AfterWet'!$A$3:$A$841,0)),"")))</f>
        <v>0.68200000000000005</v>
      </c>
      <c r="T105" s="195">
        <f>IFERROR(INDEX('Both teabags AfterWet'!$C$3:$C$841,MATCH(I105,'Both teabags AfterWet'!$A$3:$A$841,0)),"")</f>
        <v>1.3523000000000001</v>
      </c>
      <c r="U105" s="195">
        <f t="shared" si="7"/>
        <v>0.53140000000000009</v>
      </c>
      <c r="V105" s="195">
        <f t="shared" si="7"/>
        <v>1.2017</v>
      </c>
      <c r="W105" s="195">
        <f>IFERROR(INDEX('Ashed teabags wet'!$K$2:$K$821,MATCH(H105,'Ashed teabags wet'!$A$2:$A$821,0)),"")</f>
        <v>11.009615384615254</v>
      </c>
      <c r="X105" s="195">
        <f>IFERROR(INDEX('Ashed teabags wet'!$K$2:$K$821,MATCH(I105,'Ashed teabags wet'!$A$2:$A$821,0)),"")</f>
        <v>4.821073558648326</v>
      </c>
      <c r="Y105" s="195">
        <f t="shared" si="1"/>
        <v>0.47289490384615462</v>
      </c>
      <c r="Z105" s="195">
        <f t="shared" si="1"/>
        <v>1.143765159045723</v>
      </c>
      <c r="AA105" s="195">
        <f t="shared" si="8"/>
        <v>0.71321562545453432</v>
      </c>
      <c r="AB105" s="195">
        <f t="shared" si="9"/>
        <v>0.46757128889655941</v>
      </c>
      <c r="AC105" s="195">
        <f t="shared" si="2"/>
        <v>0.60265234885010521</v>
      </c>
      <c r="AD105">
        <f t="shared" si="3"/>
        <v>51</v>
      </c>
      <c r="AE105" s="195">
        <f t="shared" si="10"/>
        <v>0.15295056359318959</v>
      </c>
      <c r="AF105" s="195">
        <f t="shared" si="11"/>
        <v>3.7173859849596799E-2</v>
      </c>
      <c r="AG105" s="255" t="str">
        <f>IF(ISNUMBER(SEARCH("C",'WetLitterbags placem_collection'!AD32)),"YES","NO")</f>
        <v>NO</v>
      </c>
      <c r="AH105" s="255" t="str">
        <f>IF(ISNUMBER(SEARCH("H", 'WetLitterbags placem_collection'!AD32)),"YES","NO")</f>
        <v>NO</v>
      </c>
      <c r="AI105" s="255" t="str">
        <f>IF(ISNUMBER(SEARCH("R", 'WetLitterbags placem_collection'!AD32)),"YES","NO")</f>
        <v>YES</v>
      </c>
      <c r="AJ105" s="255" t="str">
        <f>IF(ISNUMBER(SEARCH("C", 'WetLitterbags placem_collection'!AC32)),"YES","NO")</f>
        <v>NO</v>
      </c>
      <c r="AK105" s="255" t="str">
        <f>IF(ISNUMBER(SEARCH("H", 'WetLitterbags placem_collection'!AC32)),"YES","NO")</f>
        <v>NO</v>
      </c>
      <c r="AL105" s="255" t="str">
        <f>IF(ISNUMBER(SEARCH("R", 'WetLitterbags placem_collection'!AC32)),"YES","NO")</f>
        <v>NO</v>
      </c>
    </row>
    <row r="106" spans="2:38">
      <c r="B106" t="str">
        <f>'Final data_for_R_analysis_Wetse'!A32</f>
        <v>Wet</v>
      </c>
      <c r="C106" s="263">
        <f>'Final data_for_R_analysis_Wetse'!B32</f>
        <v>31</v>
      </c>
      <c r="D106" t="s">
        <v>3830</v>
      </c>
      <c r="E106" t="s">
        <v>22</v>
      </c>
      <c r="F106" s="387">
        <v>7</v>
      </c>
      <c r="G106" s="16">
        <f>'WetLitterbags placem_collection'!E33</f>
        <v>42767</v>
      </c>
      <c r="H106" t="str">
        <f>'Final data_for_R_analysis_Wetse'!J32</f>
        <v>G404</v>
      </c>
      <c r="I106" t="str">
        <f>'Final data_for_R_analysis_Wetse'!J252</f>
        <v>R141</v>
      </c>
      <c r="J106">
        <f>IFERROR(INDEX('Green_rooibos initial weight'!$C$5:$C$1749,MATCH(H106, 'Green_rooibos initial weight'!$A$5:$A$1749,0)),"")</f>
        <v>2.113</v>
      </c>
      <c r="K106">
        <f>IFERROR(INDEX('Green_rooibos initial weight'!$C$5:$C$1749,MATCH(I106, 'Green_rooibos initial weight'!$A$5:$A$1749,0)),"")</f>
        <v>2.2029999999999998</v>
      </c>
      <c r="L106" s="195">
        <f t="shared" si="4"/>
        <v>1.8632</v>
      </c>
      <c r="M106" s="195">
        <f>AVERAGE(Ashed_controlls!$K$2:$K$11)</f>
        <v>5.5147656768714146</v>
      </c>
      <c r="N106" s="195">
        <f t="shared" si="0"/>
        <v>1.7604488859085319</v>
      </c>
      <c r="O106" s="195">
        <f t="shared" si="5"/>
        <v>1.9531999999999998</v>
      </c>
      <c r="P106" s="195">
        <f>AVERAGE(Ashed_controlls!$K$12:$K$14)</f>
        <v>2.2816647271287041</v>
      </c>
      <c r="Q106" s="195">
        <f t="shared" si="6"/>
        <v>1.908634524549722</v>
      </c>
      <c r="R106" s="16">
        <f>IF('WetLitterbags placem_collection'!G33="N.A","",'WetLitterbags placem_collection'!G33)</f>
        <v>42818</v>
      </c>
      <c r="S106" s="195">
        <f>IF(IFERROR(INDEX('Both teabags AfterWet'!$C$3:$C$841,MATCH(H106,'Both teabags AfterWet'!$A$3:$A$841,0)),"")="N.A","",(IFERROR(INDEX('Both teabags AfterWet'!$C$3:$C$841,MATCH(H106,'Both teabags AfterWet'!$A$3:$A$841,0)),"")))</f>
        <v>0.75349999999999995</v>
      </c>
      <c r="T106" s="195">
        <f>IFERROR(INDEX('Both teabags AfterWet'!$C$3:$C$841,MATCH(I106,'Both teabags AfterWet'!$A$3:$A$841,0)),"")</f>
        <v>1.3197000000000001</v>
      </c>
      <c r="U106" s="195">
        <f t="shared" si="7"/>
        <v>0.60289999999999999</v>
      </c>
      <c r="V106" s="195">
        <f t="shared" si="7"/>
        <v>1.1691</v>
      </c>
      <c r="W106" s="195">
        <f>IFERROR(INDEX('Ashed teabags wet'!$K$2:$K$821,MATCH(H106,'Ashed teabags wet'!$A$2:$A$821,0)),"")</f>
        <v>13.930110100526482</v>
      </c>
      <c r="X106" s="195">
        <f>IFERROR(INDEX('Ashed teabags wet'!$K$2:$K$821,MATCH(I106,'Ashed teabags wet'!$A$2:$A$821,0)),"")</f>
        <v>5.5501460564756266</v>
      </c>
      <c r="Y106" s="195">
        <f t="shared" si="1"/>
        <v>0.51891536620392587</v>
      </c>
      <c r="Z106" s="195">
        <f t="shared" si="1"/>
        <v>1.1042132424537434</v>
      </c>
      <c r="AA106" s="195">
        <f t="shared" si="8"/>
        <v>0.70523690272545214</v>
      </c>
      <c r="AB106" s="195">
        <f t="shared" si="9"/>
        <v>0.46234058230932262</v>
      </c>
      <c r="AC106" s="195">
        <f t="shared" si="2"/>
        <v>0.57853571663451142</v>
      </c>
      <c r="AD106">
        <f t="shared" si="3"/>
        <v>51</v>
      </c>
      <c r="AE106" s="195">
        <f t="shared" si="10"/>
        <v>0.16242648132369097</v>
      </c>
      <c r="AF106" s="195">
        <f t="shared" si="11"/>
        <v>4.7563753009423886E-2</v>
      </c>
      <c r="AG106" s="255" t="str">
        <f>IF(ISNUMBER(SEARCH("C",'WetLitterbags placem_collection'!AD33)),"YES","NO")</f>
        <v>NO</v>
      </c>
      <c r="AH106" s="255" t="str">
        <f>IF(ISNUMBER(SEARCH("H", 'WetLitterbags placem_collection'!AD33)),"YES","NO")</f>
        <v>NO</v>
      </c>
      <c r="AI106" s="255" t="str">
        <f>IF(ISNUMBER(SEARCH("R", 'WetLitterbags placem_collection'!AD33)),"YES","NO")</f>
        <v>YES</v>
      </c>
      <c r="AJ106" s="255" t="str">
        <f>IF(ISNUMBER(SEARCH("C", 'WetLitterbags placem_collection'!AC33)),"YES","NO")</f>
        <v>NO</v>
      </c>
      <c r="AK106" s="255" t="str">
        <f>IF(ISNUMBER(SEARCH("H", 'WetLitterbags placem_collection'!AC33)),"YES","NO")</f>
        <v>NO</v>
      </c>
      <c r="AL106" s="255" t="str">
        <f>IF(ISNUMBER(SEARCH("R", 'WetLitterbags placem_collection'!AC33)),"YES","NO")</f>
        <v>NO</v>
      </c>
    </row>
    <row r="107" spans="2:38">
      <c r="B107" t="str">
        <f>'Final data_for_R_analysis_Wetse'!A33</f>
        <v>Wet</v>
      </c>
      <c r="C107" s="263">
        <f>'Final data_for_R_analysis_Wetse'!B33</f>
        <v>32</v>
      </c>
      <c r="D107" t="s">
        <v>3830</v>
      </c>
      <c r="E107" t="s">
        <v>22</v>
      </c>
      <c r="F107" s="387">
        <v>8</v>
      </c>
      <c r="G107" s="16">
        <f>'WetLitterbags placem_collection'!E34</f>
        <v>42767</v>
      </c>
      <c r="H107" t="str">
        <f>'Final data_for_R_analysis_Wetse'!J33</f>
        <v>G527</v>
      </c>
      <c r="I107" t="str">
        <f>'Final data_for_R_analysis_Wetse'!J253</f>
        <v>R396</v>
      </c>
      <c r="J107">
        <f>IFERROR(INDEX('Green_rooibos initial weight'!$C$5:$C$1749,MATCH(H107, 'Green_rooibos initial weight'!$A$5:$A$1749,0)),"")</f>
        <v>1.913</v>
      </c>
      <c r="K107">
        <f>IFERROR(INDEX('Green_rooibos initial weight'!$C$5:$C$1749,MATCH(I107, 'Green_rooibos initial weight'!$A$5:$A$1749,0)),"")</f>
        <v>2.14</v>
      </c>
      <c r="L107" s="195">
        <f t="shared" si="4"/>
        <v>1.6632</v>
      </c>
      <c r="M107" s="195">
        <f>AVERAGE(Ashed_controlls!$K$2:$K$11)</f>
        <v>5.5147656768714146</v>
      </c>
      <c r="N107" s="195">
        <f t="shared" si="0"/>
        <v>1.5714784172622747</v>
      </c>
      <c r="O107" s="195">
        <f t="shared" si="5"/>
        <v>1.8902000000000001</v>
      </c>
      <c r="P107" s="195">
        <f>AVERAGE(Ashed_controlls!$K$12:$K$14)</f>
        <v>2.2816647271287041</v>
      </c>
      <c r="Q107" s="195">
        <f t="shared" si="6"/>
        <v>1.8470719733278134</v>
      </c>
      <c r="R107" s="16">
        <f>IF('WetLitterbags placem_collection'!G34="N.A","",'WetLitterbags placem_collection'!G34)</f>
        <v>42818</v>
      </c>
      <c r="S107" s="195">
        <f>IF(IFERROR(INDEX('Both teabags AfterWet'!$C$3:$C$841,MATCH(H107,'Both teabags AfterWet'!$A$3:$A$841,0)),"")="N.A","",(IFERROR(INDEX('Both teabags AfterWet'!$C$3:$C$841,MATCH(H107,'Both teabags AfterWet'!$A$3:$A$841,0)),"")))</f>
        <v>0.66439999999999999</v>
      </c>
      <c r="T107" s="195">
        <f>IFERROR(INDEX('Both teabags AfterWet'!$C$3:$C$841,MATCH(I107,'Both teabags AfterWet'!$A$3:$A$841,0)),"")</f>
        <v>1.3464</v>
      </c>
      <c r="U107" s="195">
        <f t="shared" si="7"/>
        <v>0.51380000000000003</v>
      </c>
      <c r="V107" s="195">
        <f t="shared" si="7"/>
        <v>1.1958</v>
      </c>
      <c r="W107" s="195">
        <f>IFERROR(INDEX('Ashed teabags wet'!$K$2:$K$821,MATCH(H107,'Ashed teabags wet'!$A$2:$A$821,0)),"")</f>
        <v>8.4915084915079166</v>
      </c>
      <c r="X107" s="195">
        <f>IFERROR(INDEX('Ashed teabags wet'!$K$2:$K$821,MATCH(I107,'Ashed teabags wet'!$A$2:$A$821,0)),"")</f>
        <v>7.5764934434188538</v>
      </c>
      <c r="Y107" s="195">
        <f t="shared" si="1"/>
        <v>0.47017062937063236</v>
      </c>
      <c r="Z107" s="195">
        <f t="shared" si="1"/>
        <v>1.1052002914035972</v>
      </c>
      <c r="AA107" s="195">
        <f t="shared" si="8"/>
        <v>0.70080999891189566</v>
      </c>
      <c r="AB107" s="195">
        <f t="shared" si="9"/>
        <v>0.45943838408475829</v>
      </c>
      <c r="AC107" s="195">
        <f t="shared" si="2"/>
        <v>0.59835258580226924</v>
      </c>
      <c r="AD107">
        <f t="shared" si="3"/>
        <v>51</v>
      </c>
      <c r="AE107" s="195">
        <f t="shared" si="10"/>
        <v>0.1676840868029742</v>
      </c>
      <c r="AF107" s="195">
        <f t="shared" si="11"/>
        <v>4.0650437377726265E-2</v>
      </c>
      <c r="AG107" s="255" t="str">
        <f>IF(ISNUMBER(SEARCH("C",'WetLitterbags placem_collection'!AD34)),"YES","NO")</f>
        <v>NO</v>
      </c>
      <c r="AH107" s="255" t="str">
        <f>IF(ISNUMBER(SEARCH("H", 'WetLitterbags placem_collection'!AD34)),"YES","NO")</f>
        <v>NO</v>
      </c>
      <c r="AI107" s="255" t="str">
        <f>IF(ISNUMBER(SEARCH("R", 'WetLitterbags placem_collection'!AD34)),"YES","NO")</f>
        <v>YES</v>
      </c>
      <c r="AJ107" s="255" t="str">
        <f>IF(ISNUMBER(SEARCH("C", 'WetLitterbags placem_collection'!AC34)),"YES","NO")</f>
        <v>NO</v>
      </c>
      <c r="AK107" s="255" t="str">
        <f>IF(ISNUMBER(SEARCH("H", 'WetLitterbags placem_collection'!AC34)),"YES","NO")</f>
        <v>NO</v>
      </c>
      <c r="AL107" s="255" t="str">
        <f>IF(ISNUMBER(SEARCH("R", 'WetLitterbags placem_collection'!AC34)),"YES","NO")</f>
        <v>NO</v>
      </c>
    </row>
    <row r="108" spans="2:38">
      <c r="B108" t="str">
        <f>'Final data_for_R_analysis_Wetse'!A34</f>
        <v>Wet</v>
      </c>
      <c r="C108" s="263">
        <f>'Final data_for_R_analysis_Wetse'!B34</f>
        <v>33</v>
      </c>
      <c r="D108" t="s">
        <v>3831</v>
      </c>
      <c r="E108" t="s">
        <v>22</v>
      </c>
      <c r="F108" s="386">
        <v>1</v>
      </c>
      <c r="G108" s="16">
        <f>'WetLitterbags placem_collection'!E35</f>
        <v>42765</v>
      </c>
      <c r="H108" t="str">
        <f>'Final data_for_R_analysis_Wetse'!J34</f>
        <v>G366</v>
      </c>
      <c r="I108" t="str">
        <f>'Final data_for_R_analysis_Wetse'!J254</f>
        <v>R109</v>
      </c>
      <c r="J108">
        <f>IFERROR(INDEX('Green_rooibos initial weight'!$C$5:$C$1749,MATCH(H108, 'Green_rooibos initial weight'!$A$5:$A$1749,0)),"")</f>
        <v>2.1070000000000002</v>
      </c>
      <c r="K108">
        <f>IFERROR(INDEX('Green_rooibos initial weight'!$C$5:$C$1749,MATCH(I108, 'Green_rooibos initial weight'!$A$5:$A$1749,0)),"")</f>
        <v>2.2090000000000001</v>
      </c>
      <c r="L108" s="195">
        <f t="shared" si="4"/>
        <v>1.8572000000000002</v>
      </c>
      <c r="M108" s="195">
        <f>AVERAGE(Ashed_controlls!$K$2:$K$11)</f>
        <v>5.5147656768714146</v>
      </c>
      <c r="N108" s="195">
        <f t="shared" si="0"/>
        <v>1.7547797718491442</v>
      </c>
      <c r="O108" s="195">
        <f t="shared" si="5"/>
        <v>1.9592000000000001</v>
      </c>
      <c r="P108" s="195">
        <f>AVERAGE(Ashed_controlls!$K$12:$K$14)</f>
        <v>2.2816647271287041</v>
      </c>
      <c r="Q108" s="195">
        <f t="shared" si="6"/>
        <v>1.9144976246660945</v>
      </c>
      <c r="R108" s="16">
        <f>IF('WetLitterbags placem_collection'!G35="N.A","",'WetLitterbags placem_collection'!G35)</f>
        <v>42820</v>
      </c>
      <c r="S108" s="195">
        <f>IF(IFERROR(INDEX('Both teabags AfterWet'!$C$3:$C$841,MATCH(H108,'Both teabags AfterWet'!$A$3:$A$841,0)),"")="N.A","",(IFERROR(INDEX('Both teabags AfterWet'!$C$3:$C$841,MATCH(H108,'Both teabags AfterWet'!$A$3:$A$841,0)),"")))</f>
        <v>0.76700000000000002</v>
      </c>
      <c r="T108" s="195">
        <f>IFERROR(INDEX('Both teabags AfterWet'!$C$3:$C$841,MATCH(I108,'Both teabags AfterWet'!$A$3:$A$841,0)),"")</f>
        <v>0.41499999999999998</v>
      </c>
      <c r="U108" s="195">
        <f t="shared" si="7"/>
        <v>0.61640000000000006</v>
      </c>
      <c r="V108" s="195">
        <f t="shared" si="7"/>
        <v>0.26439999999999997</v>
      </c>
      <c r="W108" s="195">
        <f>IFERROR(INDEX('Ashed teabags wet'!$K$2:$K$821,MATCH(H108,'Ashed teabags wet'!$A$2:$A$821,0)),"")</f>
        <v>9.3672147483803556</v>
      </c>
      <c r="X108" s="195" t="str">
        <f>IFERROR(INDEX('Ashed teabags wet'!$K$2:$K$821,MATCH(I108,'Ashed teabags wet'!$A$2:$A$821,0)),"")</f>
        <v/>
      </c>
      <c r="Y108" s="195">
        <f t="shared" si="1"/>
        <v>0.55866048829098358</v>
      </c>
      <c r="Z108" s="195" t="str">
        <f t="shared" si="1"/>
        <v/>
      </c>
      <c r="AA108" s="195">
        <f t="shared" si="8"/>
        <v>0.68163498505440323</v>
      </c>
      <c r="AB108" s="195">
        <f t="shared" si="9"/>
        <v>0.44686759115205538</v>
      </c>
      <c r="AC108" s="195" t="str">
        <f t="shared" si="2"/>
        <v/>
      </c>
      <c r="AD108">
        <f t="shared" si="3"/>
        <v>55</v>
      </c>
      <c r="AE108" s="195">
        <f t="shared" si="10"/>
        <v>0.19045726240569683</v>
      </c>
      <c r="AF108" s="195" t="str">
        <f t="shared" si="11"/>
        <v/>
      </c>
      <c r="AG108" s="255" t="str">
        <f>IF(ISNUMBER(SEARCH("C",'WetLitterbags placem_collection'!AD35)),"YES","NO")</f>
        <v>NO</v>
      </c>
      <c r="AH108" s="255" t="str">
        <f>IF(ISNUMBER(SEARCH("H", 'WetLitterbags placem_collection'!AD35)),"YES","NO")</f>
        <v>NO</v>
      </c>
      <c r="AI108" s="255" t="str">
        <f>IF(ISNUMBER(SEARCH("R", 'WetLitterbags placem_collection'!AD35)),"YES","NO")</f>
        <v>NO</v>
      </c>
      <c r="AJ108" s="255" t="str">
        <f>IF(ISNUMBER(SEARCH("C", 'WetLitterbags placem_collection'!AC35)),"YES","NO")</f>
        <v>NO</v>
      </c>
      <c r="AK108" s="255" t="str">
        <f>IF(ISNUMBER(SEARCH("H", 'WetLitterbags placem_collection'!AC35)),"YES","NO")</f>
        <v>NO</v>
      </c>
      <c r="AL108" s="255" t="str">
        <f>IF(ISNUMBER(SEARCH("R", 'WetLitterbags placem_collection'!AC35)),"YES","NO")</f>
        <v>NO</v>
      </c>
    </row>
    <row r="109" spans="2:38">
      <c r="B109" t="str">
        <f>'Final data_for_R_analysis_Wetse'!A35</f>
        <v>Wet</v>
      </c>
      <c r="C109" s="263">
        <f>'Final data_for_R_analysis_Wetse'!B35</f>
        <v>34</v>
      </c>
      <c r="D109" t="s">
        <v>3831</v>
      </c>
      <c r="E109" t="s">
        <v>22</v>
      </c>
      <c r="F109" s="386">
        <v>2</v>
      </c>
      <c r="G109" s="16">
        <f>'WetLitterbags placem_collection'!E36</f>
        <v>42765</v>
      </c>
      <c r="H109" t="str">
        <f>'Final data_for_R_analysis_Wetse'!J35</f>
        <v>G516</v>
      </c>
      <c r="I109" t="str">
        <f>'Final data_for_R_analysis_Wetse'!J255</f>
        <v>R153</v>
      </c>
      <c r="J109">
        <f>IFERROR(INDEX('Green_rooibos initial weight'!$C$5:$C$1749,MATCH(H109, 'Green_rooibos initial weight'!$A$5:$A$1749,0)),"")</f>
        <v>2.1160000000000001</v>
      </c>
      <c r="K109">
        <f>IFERROR(INDEX('Green_rooibos initial weight'!$C$5:$C$1749,MATCH(I109, 'Green_rooibos initial weight'!$A$5:$A$1749,0)),"")</f>
        <v>2.2200000000000002</v>
      </c>
      <c r="L109" s="195">
        <f t="shared" si="4"/>
        <v>1.8662000000000001</v>
      </c>
      <c r="M109" s="195">
        <f>AVERAGE(Ashed_controlls!$K$2:$K$11)</f>
        <v>5.5147656768714146</v>
      </c>
      <c r="N109" s="195">
        <f t="shared" si="0"/>
        <v>1.7632834429382258</v>
      </c>
      <c r="O109" s="195">
        <f t="shared" si="5"/>
        <v>1.9702000000000002</v>
      </c>
      <c r="P109" s="195">
        <f>AVERAGE(Ashed_controlls!$K$12:$K$14)</f>
        <v>2.2816647271287041</v>
      </c>
      <c r="Q109" s="195">
        <f t="shared" si="6"/>
        <v>1.9252466415461105</v>
      </c>
      <c r="R109" s="16">
        <f>IF('WetLitterbags placem_collection'!G36="N.A","",'WetLitterbags placem_collection'!G36)</f>
        <v>42820</v>
      </c>
      <c r="S109" s="195">
        <f>IF(IFERROR(INDEX('Both teabags AfterWet'!$C$3:$C$841,MATCH(H109,'Both teabags AfterWet'!$A$3:$A$841,0)),"")="N.A","",(IFERROR(INDEX('Both teabags AfterWet'!$C$3:$C$841,MATCH(H109,'Both teabags AfterWet'!$A$3:$A$841,0)),"")))</f>
        <v>0.87270000000000003</v>
      </c>
      <c r="T109" s="195">
        <f>IFERROR(INDEX('Both teabags AfterWet'!$C$3:$C$841,MATCH(I109,'Both teabags AfterWet'!$A$3:$A$841,0)),"")</f>
        <v>0.34520000000000001</v>
      </c>
      <c r="U109" s="195">
        <f t="shared" si="7"/>
        <v>0.72209999999999996</v>
      </c>
      <c r="V109" s="195">
        <f t="shared" si="7"/>
        <v>0.1946</v>
      </c>
      <c r="W109" s="195">
        <f>IFERROR(INDEX('Ashed teabags wet'!$K$2:$K$821,MATCH(H109,'Ashed teabags wet'!$A$2:$A$821,0)),"")</f>
        <v>39.314115308151266</v>
      </c>
      <c r="X109" s="195" t="str">
        <f>IFERROR(INDEX('Ashed teabags wet'!$K$2:$K$821,MATCH(I109,'Ashed teabags wet'!$A$2:$A$821,0)),"")</f>
        <v/>
      </c>
      <c r="Y109" s="195">
        <f t="shared" si="1"/>
        <v>0.43821277335983971</v>
      </c>
      <c r="Z109" s="195" t="str">
        <f t="shared" si="1"/>
        <v/>
      </c>
      <c r="AA109" s="195">
        <f t="shared" si="8"/>
        <v>0.75147910841286569</v>
      </c>
      <c r="AB109" s="195">
        <f t="shared" si="9"/>
        <v>0.49265613758183124</v>
      </c>
      <c r="AC109" s="195" t="str">
        <f t="shared" si="2"/>
        <v/>
      </c>
      <c r="AD109">
        <f t="shared" si="3"/>
        <v>55</v>
      </c>
      <c r="AE109" s="195">
        <f t="shared" si="10"/>
        <v>0.10750699713436374</v>
      </c>
      <c r="AF109" s="195" t="str">
        <f t="shared" si="11"/>
        <v/>
      </c>
      <c r="AG109" s="255" t="str">
        <f>IF(ISNUMBER(SEARCH("C",'WetLitterbags placem_collection'!AD36)),"YES","NO")</f>
        <v>NO</v>
      </c>
      <c r="AH109" s="255" t="str">
        <f>IF(ISNUMBER(SEARCH("H", 'WetLitterbags placem_collection'!AD36)),"YES","NO")</f>
        <v>NO</v>
      </c>
      <c r="AI109" s="255" t="str">
        <f>IF(ISNUMBER(SEARCH("R", 'WetLitterbags placem_collection'!AD36)),"YES","NO")</f>
        <v>NO</v>
      </c>
      <c r="AJ109" s="255" t="str">
        <f>IF(ISNUMBER(SEARCH("C", 'WetLitterbags placem_collection'!AC36)),"YES","NO")</f>
        <v>NO</v>
      </c>
      <c r="AK109" s="255" t="str">
        <f>IF(ISNUMBER(SEARCH("H", 'WetLitterbags placem_collection'!AC36)),"YES","NO")</f>
        <v>NO</v>
      </c>
      <c r="AL109" s="255" t="str">
        <f>IF(ISNUMBER(SEARCH("R", 'WetLitterbags placem_collection'!AC36)),"YES","NO")</f>
        <v>NO</v>
      </c>
    </row>
    <row r="110" spans="2:38">
      <c r="B110" t="str">
        <f>'Final data_for_R_analysis_Wetse'!A36</f>
        <v>Wet</v>
      </c>
      <c r="C110" s="263">
        <f>'Final data_for_R_analysis_Wetse'!B36</f>
        <v>35</v>
      </c>
      <c r="D110" t="s">
        <v>3831</v>
      </c>
      <c r="E110" t="s">
        <v>22</v>
      </c>
      <c r="F110" s="386">
        <v>3</v>
      </c>
      <c r="G110" s="16">
        <f>'WetLitterbags placem_collection'!E37</f>
        <v>42765</v>
      </c>
      <c r="H110" t="str">
        <f>'Final data_for_R_analysis_Wetse'!J36</f>
        <v>G670</v>
      </c>
      <c r="I110" t="str">
        <f>'Final data_for_R_analysis_Wetse'!J256</f>
        <v>R64</v>
      </c>
      <c r="J110">
        <f>IFERROR(INDEX('Green_rooibos initial weight'!$C$5:$C$1749,MATCH(H110, 'Green_rooibos initial weight'!$A$5:$A$1749,0)),"")</f>
        <v>2.0950000000000002</v>
      </c>
      <c r="K110">
        <f>IFERROR(INDEX('Green_rooibos initial weight'!$C$5:$C$1749,MATCH(I110, 'Green_rooibos initial weight'!$A$5:$A$1749,0)),"")</f>
        <v>2.2879999999999998</v>
      </c>
      <c r="L110" s="195">
        <f t="shared" si="4"/>
        <v>1.8452000000000002</v>
      </c>
      <c r="M110" s="195">
        <f>AVERAGE(Ashed_controlls!$K$2:$K$11)</f>
        <v>5.5147656768714146</v>
      </c>
      <c r="N110" s="195">
        <f t="shared" si="0"/>
        <v>1.7434415437303687</v>
      </c>
      <c r="O110" s="195">
        <f t="shared" si="5"/>
        <v>2.0381999999999998</v>
      </c>
      <c r="P110" s="195">
        <f>AVERAGE(Ashed_controlls!$K$12:$K$14)</f>
        <v>2.2816647271287041</v>
      </c>
      <c r="Q110" s="195">
        <f t="shared" si="6"/>
        <v>1.9916951095316626</v>
      </c>
      <c r="R110" s="16">
        <f>IF('WetLitterbags placem_collection'!G37="N.A","",'WetLitterbags placem_collection'!G37)</f>
        <v>42820</v>
      </c>
      <c r="S110" s="195">
        <f>IF(IFERROR(INDEX('Both teabags AfterWet'!$C$3:$C$841,MATCH(H110,'Both teabags AfterWet'!$A$3:$A$841,0)),"")="N.A","",(IFERROR(INDEX('Both teabags AfterWet'!$C$3:$C$841,MATCH(H110,'Both teabags AfterWet'!$A$3:$A$841,0)),"")))</f>
        <v>0.81699999999999995</v>
      </c>
      <c r="T110" s="195">
        <f>IFERROR(INDEX('Both teabags AfterWet'!$C$3:$C$841,MATCH(I110,'Both teabags AfterWet'!$A$3:$A$841,0)),"")</f>
        <v>1.615</v>
      </c>
      <c r="U110" s="195">
        <f t="shared" si="7"/>
        <v>0.66639999999999988</v>
      </c>
      <c r="V110" s="195">
        <f t="shared" si="7"/>
        <v>1.4643999999999999</v>
      </c>
      <c r="W110" s="195">
        <f>IFERROR(INDEX('Ashed teabags wet'!$K$2:$K$821,MATCH(H110,'Ashed teabags wet'!$A$2:$A$821,0)),"")</f>
        <v>18.585762064022571</v>
      </c>
      <c r="X110" s="195">
        <f>IFERROR(INDEX('Ashed teabags wet'!$K$2:$K$821,MATCH(I110,'Ashed teabags wet'!$A$2:$A$821,0)),"")</f>
        <v>5.3045186640471123</v>
      </c>
      <c r="Y110" s="195">
        <f t="shared" si="1"/>
        <v>0.54254448160535351</v>
      </c>
      <c r="Z110" s="195">
        <f t="shared" si="1"/>
        <v>1.3867206286836939</v>
      </c>
      <c r="AA110" s="195">
        <f t="shared" si="8"/>
        <v>0.6888083322573042</v>
      </c>
      <c r="AB110" s="195">
        <f t="shared" si="9"/>
        <v>0.45157030808317333</v>
      </c>
      <c r="AC110" s="195">
        <f t="shared" si="2"/>
        <v>0.69625146040036945</v>
      </c>
      <c r="AD110">
        <f t="shared" si="3"/>
        <v>55</v>
      </c>
      <c r="AE110" s="195">
        <f t="shared" si="10"/>
        <v>0.18193784767541066</v>
      </c>
      <c r="AF110" s="195">
        <f t="shared" si="11"/>
        <v>2.0304069105443422E-2</v>
      </c>
      <c r="AG110" s="255" t="str">
        <f>IF(ISNUMBER(SEARCH("C",'WetLitterbags placem_collection'!AD37)),"YES","NO")</f>
        <v>NO</v>
      </c>
      <c r="AH110" s="255" t="str">
        <f>IF(ISNUMBER(SEARCH("H", 'WetLitterbags placem_collection'!AD37)),"YES","NO")</f>
        <v>NO</v>
      </c>
      <c r="AI110" s="255" t="str">
        <f>IF(ISNUMBER(SEARCH("R", 'WetLitterbags placem_collection'!AD37)),"YES","NO")</f>
        <v>NO</v>
      </c>
      <c r="AJ110" s="255" t="str">
        <f>IF(ISNUMBER(SEARCH("C", 'WetLitterbags placem_collection'!AC37)),"YES","NO")</f>
        <v>NO</v>
      </c>
      <c r="AK110" s="255" t="str">
        <f>IF(ISNUMBER(SEARCH("H", 'WetLitterbags placem_collection'!AC37)),"YES","NO")</f>
        <v>NO</v>
      </c>
      <c r="AL110" s="255" t="str">
        <f>IF(ISNUMBER(SEARCH("R", 'WetLitterbags placem_collection'!AC37)),"YES","NO")</f>
        <v>NO</v>
      </c>
    </row>
    <row r="111" spans="2:38">
      <c r="B111" t="str">
        <f>'Final data_for_R_analysis_Wetse'!A37</f>
        <v>Wet</v>
      </c>
      <c r="C111" s="263">
        <f>'Final data_for_R_analysis_Wetse'!B37</f>
        <v>36</v>
      </c>
      <c r="D111" t="s">
        <v>3831</v>
      </c>
      <c r="E111" t="s">
        <v>22</v>
      </c>
      <c r="F111" s="387">
        <v>4</v>
      </c>
      <c r="G111" s="16">
        <f>'WetLitterbags placem_collection'!E38</f>
        <v>42765</v>
      </c>
      <c r="H111" t="str">
        <f>'Final data_for_R_analysis_Wetse'!J37</f>
        <v>G507</v>
      </c>
      <c r="I111" t="str">
        <f>'Final data_for_R_analysis_Wetse'!J257</f>
        <v>R126</v>
      </c>
      <c r="J111">
        <f>IFERROR(INDEX('Green_rooibos initial weight'!$C$5:$C$1749,MATCH(H111, 'Green_rooibos initial weight'!$A$5:$A$1749,0)),"")</f>
        <v>1.99</v>
      </c>
      <c r="K111">
        <f>IFERROR(INDEX('Green_rooibos initial weight'!$C$5:$C$1749,MATCH(I111, 'Green_rooibos initial weight'!$A$5:$A$1749,0)),"")</f>
        <v>2.2400000000000002</v>
      </c>
      <c r="L111" s="195">
        <f t="shared" si="4"/>
        <v>1.7402</v>
      </c>
      <c r="M111" s="195">
        <f>AVERAGE(Ashed_controlls!$K$2:$K$11)</f>
        <v>5.5147656768714146</v>
      </c>
      <c r="N111" s="195">
        <f t="shared" si="0"/>
        <v>1.6442320476910837</v>
      </c>
      <c r="O111" s="195">
        <f t="shared" si="5"/>
        <v>1.9902000000000002</v>
      </c>
      <c r="P111" s="195">
        <f>AVERAGE(Ashed_controlls!$K$12:$K$14)</f>
        <v>2.2816647271287041</v>
      </c>
      <c r="Q111" s="195">
        <f t="shared" si="6"/>
        <v>1.9447903086006848</v>
      </c>
      <c r="R111" s="16">
        <f>IF('WetLitterbags placem_collection'!G38="N.A","",'WetLitterbags placem_collection'!G38)</f>
        <v>42820</v>
      </c>
      <c r="S111" s="195">
        <f>IF(IFERROR(INDEX('Both teabags AfterWet'!$C$3:$C$841,MATCH(H111,'Both teabags AfterWet'!$A$3:$A$841,0)),"")="N.A","",(IFERROR(INDEX('Both teabags AfterWet'!$C$3:$C$841,MATCH(H111,'Both teabags AfterWet'!$A$3:$A$841,0)),"")))</f>
        <v>0.68100000000000005</v>
      </c>
      <c r="T111" s="195">
        <f>IFERROR(INDEX('Both teabags AfterWet'!$C$3:$C$841,MATCH(I111,'Both teabags AfterWet'!$A$3:$A$841,0)),"")</f>
        <v>1.6180000000000001</v>
      </c>
      <c r="U111" s="195">
        <f t="shared" si="7"/>
        <v>0.53039999999999998</v>
      </c>
      <c r="V111" s="195">
        <f t="shared" si="7"/>
        <v>1.4674</v>
      </c>
      <c r="W111" s="195">
        <f>IFERROR(INDEX('Ashed teabags wet'!$K$2:$K$821,MATCH(H111,'Ashed teabags wet'!$A$2:$A$821,0)),"")</f>
        <v>8.3009708737862624</v>
      </c>
      <c r="X111" s="195">
        <f>IFERROR(INDEX('Ashed teabags wet'!$K$2:$K$821,MATCH(I111,'Ashed teabags wet'!$A$2:$A$821,0)),"")</f>
        <v>3.2897919690366213</v>
      </c>
      <c r="Y111" s="195">
        <f t="shared" si="1"/>
        <v>0.48637165048543762</v>
      </c>
      <c r="Z111" s="195">
        <f t="shared" si="1"/>
        <v>1.4191255926463566</v>
      </c>
      <c r="AA111" s="195">
        <f t="shared" si="8"/>
        <v>0.70419524958875113</v>
      </c>
      <c r="AB111" s="195">
        <f t="shared" si="9"/>
        <v>0.46165769331709106</v>
      </c>
      <c r="AC111" s="195">
        <f t="shared" si="2"/>
        <v>0.72970622404399255</v>
      </c>
      <c r="AD111">
        <f t="shared" si="3"/>
        <v>55</v>
      </c>
      <c r="AE111" s="195">
        <f t="shared" si="10"/>
        <v>0.16366359906324091</v>
      </c>
      <c r="AF111" s="195">
        <f t="shared" si="11"/>
        <v>1.6011759112616365E-2</v>
      </c>
      <c r="AG111" s="255" t="str">
        <f>IF(ISNUMBER(SEARCH("C",'WetLitterbags placem_collection'!AD38)),"YES","NO")</f>
        <v>NO</v>
      </c>
      <c r="AH111" s="255" t="str">
        <f>IF(ISNUMBER(SEARCH("H", 'WetLitterbags placem_collection'!AD38)),"YES","NO")</f>
        <v>NO</v>
      </c>
      <c r="AI111" s="255" t="str">
        <f>IF(ISNUMBER(SEARCH("R", 'WetLitterbags placem_collection'!AD38)),"YES","NO")</f>
        <v>NO</v>
      </c>
      <c r="AJ111" s="255" t="str">
        <f>IF(ISNUMBER(SEARCH("C", 'WetLitterbags placem_collection'!AC38)),"YES","NO")</f>
        <v>NO</v>
      </c>
      <c r="AK111" s="255" t="str">
        <f>IF(ISNUMBER(SEARCH("H", 'WetLitterbags placem_collection'!AC38)),"YES","NO")</f>
        <v>NO</v>
      </c>
      <c r="AL111" s="255" t="str">
        <f>IF(ISNUMBER(SEARCH("R", 'WetLitterbags placem_collection'!AC38)),"YES","NO")</f>
        <v>NO</v>
      </c>
    </row>
    <row r="112" spans="2:38">
      <c r="B112" t="str">
        <f>'Final data_for_R_analysis_Wetse'!A38</f>
        <v>Wet</v>
      </c>
      <c r="C112" s="263">
        <f>'Final data_for_R_analysis_Wetse'!B38</f>
        <v>37</v>
      </c>
      <c r="D112" t="s">
        <v>3831</v>
      </c>
      <c r="E112" t="s">
        <v>22</v>
      </c>
      <c r="F112" s="387">
        <v>5</v>
      </c>
      <c r="G112" s="16">
        <f>'WetLitterbags placem_collection'!E39</f>
        <v>42765</v>
      </c>
      <c r="H112" t="str">
        <f>'Final data_for_R_analysis_Wetse'!J38</f>
        <v>G359</v>
      </c>
      <c r="I112" t="str">
        <f>'Final data_for_R_analysis_Wetse'!J258</f>
        <v>R63</v>
      </c>
      <c r="J112">
        <f>IFERROR(INDEX('Green_rooibos initial weight'!$C$5:$C$1749,MATCH(H112, 'Green_rooibos initial weight'!$A$5:$A$1749,0)),"")</f>
        <v>1.9790000000000001</v>
      </c>
      <c r="K112">
        <f>IFERROR(INDEX('Green_rooibos initial weight'!$C$5:$C$1749,MATCH(I112, 'Green_rooibos initial weight'!$A$5:$A$1749,0)),"")</f>
        <v>2.1749999999999998</v>
      </c>
      <c r="L112" s="195">
        <f t="shared" si="4"/>
        <v>1.7292000000000001</v>
      </c>
      <c r="M112" s="195">
        <f>AVERAGE(Ashed_controlls!$K$2:$K$11)</f>
        <v>5.5147656768714146</v>
      </c>
      <c r="N112" s="195">
        <f t="shared" si="0"/>
        <v>1.6338386719155396</v>
      </c>
      <c r="O112" s="195">
        <f t="shared" si="5"/>
        <v>1.9251999999999998</v>
      </c>
      <c r="P112" s="195">
        <f>AVERAGE(Ashed_controlls!$K$12:$K$14)</f>
        <v>2.2816647271287041</v>
      </c>
      <c r="Q112" s="195">
        <f t="shared" si="6"/>
        <v>1.8812733906733179</v>
      </c>
      <c r="R112" s="16">
        <f>IF('WetLitterbags placem_collection'!G39="N.A","",'WetLitterbags placem_collection'!G39)</f>
        <v>42820</v>
      </c>
      <c r="S112" s="195">
        <f>IF(IFERROR(INDEX('Both teabags AfterWet'!$C$3:$C$841,MATCH(H112,'Both teabags AfterWet'!$A$3:$A$841,0)),"")="N.A","",(IFERROR(INDEX('Both teabags AfterWet'!$C$3:$C$841,MATCH(H112,'Both teabags AfterWet'!$A$3:$A$841,0)),"")))</f>
        <v>0.94699999999999995</v>
      </c>
      <c r="T112" s="195">
        <f>IFERROR(INDEX('Both teabags AfterWet'!$C$3:$C$841,MATCH(I112,'Both teabags AfterWet'!$A$3:$A$841,0)),"")</f>
        <v>1.3620000000000001</v>
      </c>
      <c r="U112" s="195">
        <f t="shared" si="7"/>
        <v>0.7964</v>
      </c>
      <c r="V112" s="195">
        <f t="shared" si="7"/>
        <v>1.2114</v>
      </c>
      <c r="W112" s="195">
        <f>IFERROR(INDEX('Ashed teabags wet'!$K$2:$K$821,MATCH(H112,'Ashed teabags wet'!$A$2:$A$821,0)),"")</f>
        <v>25.172074729596577</v>
      </c>
      <c r="X112" s="195">
        <f>IFERROR(INDEX('Ashed teabags wet'!$K$2:$K$821,MATCH(I112,'Ashed teabags wet'!$A$2:$A$821,0)),"")</f>
        <v>70.931372549019429</v>
      </c>
      <c r="Y112" s="195">
        <f t="shared" si="1"/>
        <v>0.59592959685349289</v>
      </c>
      <c r="Z112" s="195">
        <f t="shared" si="1"/>
        <v>0.35213735294117854</v>
      </c>
      <c r="AA112" s="195">
        <f t="shared" si="8"/>
        <v>0.63525799266654936</v>
      </c>
      <c r="AB112" s="195">
        <f t="shared" si="9"/>
        <v>0.41646367215194213</v>
      </c>
      <c r="AC112" s="195">
        <f t="shared" si="2"/>
        <v>0.18718031876012806</v>
      </c>
      <c r="AD112">
        <f t="shared" si="3"/>
        <v>55</v>
      </c>
      <c r="AE112" s="195">
        <f t="shared" si="10"/>
        <v>0.24553682581169911</v>
      </c>
      <c r="AF112" s="195" t="str">
        <f t="shared" si="11"/>
        <v/>
      </c>
      <c r="AG112" s="255" t="str">
        <f>IF(ISNUMBER(SEARCH("C",'WetLitterbags placem_collection'!AD39)),"YES","NO")</f>
        <v>NO</v>
      </c>
      <c r="AH112" s="255" t="str">
        <f>IF(ISNUMBER(SEARCH("H", 'WetLitterbags placem_collection'!AD39)),"YES","NO")</f>
        <v>NO</v>
      </c>
      <c r="AI112" s="255" t="str">
        <f>IF(ISNUMBER(SEARCH("R", 'WetLitterbags placem_collection'!AD39)),"YES","NO")</f>
        <v>NO</v>
      </c>
      <c r="AJ112" s="255" t="str">
        <f>IF(ISNUMBER(SEARCH("C", 'WetLitterbags placem_collection'!AC39)),"YES","NO")</f>
        <v>NO</v>
      </c>
      <c r="AK112" s="255" t="str">
        <f>IF(ISNUMBER(SEARCH("H", 'WetLitterbags placem_collection'!AC39)),"YES","NO")</f>
        <v>NO</v>
      </c>
      <c r="AL112" s="255" t="str">
        <f>IF(ISNUMBER(SEARCH("R", 'WetLitterbags placem_collection'!AC39)),"YES","NO")</f>
        <v>NO</v>
      </c>
    </row>
    <row r="113" spans="2:38">
      <c r="B113" t="str">
        <f>'Final data_for_R_analysis_Wetse'!A39</f>
        <v>Wet</v>
      </c>
      <c r="C113" s="263">
        <f>'Final data_for_R_analysis_Wetse'!B39</f>
        <v>38</v>
      </c>
      <c r="D113" t="s">
        <v>3831</v>
      </c>
      <c r="E113" t="s">
        <v>22</v>
      </c>
      <c r="F113" s="387">
        <v>6</v>
      </c>
      <c r="G113" s="16">
        <f>'WetLitterbags placem_collection'!E40</f>
        <v>42765</v>
      </c>
      <c r="H113" t="str">
        <f>'Final data_for_R_analysis_Wetse'!J39</f>
        <v>G499</v>
      </c>
      <c r="I113" t="str">
        <f>'Final data_for_R_analysis_Wetse'!J259</f>
        <v>R87</v>
      </c>
      <c r="J113">
        <f>IFERROR(INDEX('Green_rooibos initial weight'!$C$5:$C$1749,MATCH(H113, 'Green_rooibos initial weight'!$A$5:$A$1749,0)),"")</f>
        <v>1.9419999999999999</v>
      </c>
      <c r="K113">
        <f>IFERROR(INDEX('Green_rooibos initial weight'!$C$5:$C$1749,MATCH(I113, 'Green_rooibos initial weight'!$A$5:$A$1749,0)),"")</f>
        <v>2.2930000000000001</v>
      </c>
      <c r="L113" s="195">
        <f t="shared" si="4"/>
        <v>1.6921999999999999</v>
      </c>
      <c r="M113" s="195">
        <f>AVERAGE(Ashed_controlls!$K$2:$K$11)</f>
        <v>5.5147656768714146</v>
      </c>
      <c r="N113" s="195">
        <f t="shared" si="0"/>
        <v>1.5988791352159819</v>
      </c>
      <c r="O113" s="195">
        <f t="shared" si="5"/>
        <v>2.0432000000000001</v>
      </c>
      <c r="P113" s="195">
        <f>AVERAGE(Ashed_controlls!$K$12:$K$14)</f>
        <v>2.2816647271287041</v>
      </c>
      <c r="Q113" s="195">
        <f t="shared" si="6"/>
        <v>1.9965810262953065</v>
      </c>
      <c r="R113" s="16">
        <f>IF('WetLitterbags placem_collection'!G40="N.A","",'WetLitterbags placem_collection'!G40)</f>
        <v>42820</v>
      </c>
      <c r="S113" s="195">
        <f>IF(IFERROR(INDEX('Both teabags AfterWet'!$C$3:$C$841,MATCH(H113,'Both teabags AfterWet'!$A$3:$A$841,0)),"")="N.A","",(IFERROR(INDEX('Both teabags AfterWet'!$C$3:$C$841,MATCH(H113,'Both teabags AfterWet'!$A$3:$A$841,0)),"")))</f>
        <v>1.4741</v>
      </c>
      <c r="T113" s="195">
        <f>IFERROR(INDEX('Both teabags AfterWet'!$C$3:$C$841,MATCH(I113,'Both teabags AfterWet'!$A$3:$A$841,0)),"")</f>
        <v>1.1399999999999999</v>
      </c>
      <c r="U113" s="195">
        <f t="shared" si="7"/>
        <v>1.3234999999999999</v>
      </c>
      <c r="V113" s="195">
        <f t="shared" si="7"/>
        <v>0.98939999999999984</v>
      </c>
      <c r="W113" s="195">
        <f>IFERROR(INDEX('Ashed teabags wet'!$K$2:$K$821,MATCH(H113,'Ashed teabags wet'!$A$2:$A$821,0)),"")</f>
        <v>18.802992518703331</v>
      </c>
      <c r="X113" s="195">
        <f>IFERROR(INDEX('Ashed teabags wet'!$K$2:$K$821,MATCH(I113,'Ashed teabags wet'!$A$2:$A$821,0)),"")</f>
        <v>21.801629132725651</v>
      </c>
      <c r="Y113" s="195">
        <f t="shared" si="1"/>
        <v>1.0746423940149614</v>
      </c>
      <c r="Z113" s="195">
        <f t="shared" si="1"/>
        <v>0.77369468136081232</v>
      </c>
      <c r="AA113" s="195">
        <f t="shared" si="8"/>
        <v>0.32787765482361164</v>
      </c>
      <c r="AB113" s="195">
        <f t="shared" si="9"/>
        <v>0.21495067157082381</v>
      </c>
      <c r="AC113" s="195">
        <f t="shared" si="2"/>
        <v>0.38750978356055865</v>
      </c>
      <c r="AD113">
        <f t="shared" si="3"/>
        <v>55</v>
      </c>
      <c r="AE113" s="195">
        <f t="shared" si="10"/>
        <v>0.61059660947314531</v>
      </c>
      <c r="AF113" s="195" t="str">
        <f t="shared" si="11"/>
        <v/>
      </c>
      <c r="AG113" s="255" t="str">
        <f>IF(ISNUMBER(SEARCH("C",'WetLitterbags placem_collection'!AD40)),"YES","NO")</f>
        <v>NO</v>
      </c>
      <c r="AH113" s="255" t="str">
        <f>IF(ISNUMBER(SEARCH("H", 'WetLitterbags placem_collection'!AD40)),"YES","NO")</f>
        <v>NO</v>
      </c>
      <c r="AI113" s="255" t="str">
        <f>IF(ISNUMBER(SEARCH("R", 'WetLitterbags placem_collection'!AD40)),"YES","NO")</f>
        <v>NO</v>
      </c>
      <c r="AJ113" s="255" t="str">
        <f>IF(ISNUMBER(SEARCH("C", 'WetLitterbags placem_collection'!AC40)),"YES","NO")</f>
        <v>NO</v>
      </c>
      <c r="AK113" s="255" t="str">
        <f>IF(ISNUMBER(SEARCH("H", 'WetLitterbags placem_collection'!AC40)),"YES","NO")</f>
        <v>NO</v>
      </c>
      <c r="AL113" s="255" t="str">
        <f>IF(ISNUMBER(SEARCH("R", 'WetLitterbags placem_collection'!AC40)),"YES","NO")</f>
        <v>NO</v>
      </c>
    </row>
    <row r="114" spans="2:38">
      <c r="B114" t="str">
        <f>'Final data_for_R_analysis_Wetse'!A40</f>
        <v>Wet</v>
      </c>
      <c r="C114" s="263">
        <f>'Final data_for_R_analysis_Wetse'!B40</f>
        <v>39</v>
      </c>
      <c r="D114" t="s">
        <v>3831</v>
      </c>
      <c r="E114" t="s">
        <v>22</v>
      </c>
      <c r="F114" s="387">
        <v>7</v>
      </c>
      <c r="G114" s="16">
        <f>'WetLitterbags placem_collection'!E41</f>
        <v>42765</v>
      </c>
      <c r="H114" t="str">
        <f>'Final data_for_R_analysis_Wetse'!J40</f>
        <v>G214</v>
      </c>
      <c r="I114" t="str">
        <f>'Final data_for_R_analysis_Wetse'!J260</f>
        <v>R437</v>
      </c>
      <c r="J114">
        <f>IFERROR(INDEX('Green_rooibos initial weight'!$C$5:$C$1749,MATCH(H114, 'Green_rooibos initial weight'!$A$5:$A$1749,0)),"")</f>
        <v>1.9850000000000001</v>
      </c>
      <c r="K114">
        <f>IFERROR(INDEX('Green_rooibos initial weight'!$C$5:$C$1749,MATCH(I114, 'Green_rooibos initial weight'!$A$5:$A$1749,0)),"")</f>
        <v>2.1970000000000001</v>
      </c>
      <c r="L114" s="195">
        <f t="shared" si="4"/>
        <v>1.7352000000000001</v>
      </c>
      <c r="M114" s="195">
        <f>AVERAGE(Ashed_controlls!$K$2:$K$11)</f>
        <v>5.5147656768714146</v>
      </c>
      <c r="N114" s="195">
        <f t="shared" si="0"/>
        <v>1.6395077859749272</v>
      </c>
      <c r="O114" s="195">
        <f t="shared" si="5"/>
        <v>1.9472</v>
      </c>
      <c r="P114" s="195">
        <f>AVERAGE(Ashed_controlls!$K$12:$K$14)</f>
        <v>2.2816647271287041</v>
      </c>
      <c r="Q114" s="195">
        <f t="shared" si="6"/>
        <v>1.90277142443335</v>
      </c>
      <c r="R114" s="16">
        <f>IF('WetLitterbags placem_collection'!G41="N.A","",'WetLitterbags placem_collection'!G41)</f>
        <v>42820</v>
      </c>
      <c r="S114" s="195">
        <f>IF(IFERROR(INDEX('Both teabags AfterWet'!$C$3:$C$841,MATCH(H114,'Both teabags AfterWet'!$A$3:$A$841,0)),"")="N.A","",(IFERROR(INDEX('Both teabags AfterWet'!$C$3:$C$841,MATCH(H114,'Both teabags AfterWet'!$A$3:$A$841,0)),"")))</f>
        <v>0.8327</v>
      </c>
      <c r="T114" s="195">
        <f>IFERROR(INDEX('Both teabags AfterWet'!$C$3:$C$841,MATCH(I114,'Both teabags AfterWet'!$A$3:$A$841,0)),"")</f>
        <v>1.4531000000000001</v>
      </c>
      <c r="U114" s="195">
        <f t="shared" si="7"/>
        <v>0.68209999999999993</v>
      </c>
      <c r="V114" s="195">
        <f t="shared" si="7"/>
        <v>1.3025</v>
      </c>
      <c r="W114" s="195">
        <f>IFERROR(INDEX('Ashed teabags wet'!$K$2:$K$821,MATCH(H114,'Ashed teabags wet'!$A$2:$A$821,0)),"")</f>
        <v>9.9461048505627083</v>
      </c>
      <c r="X114" s="195">
        <f>IFERROR(INDEX('Ashed teabags wet'!$K$2:$K$821,MATCH(I114,'Ashed teabags wet'!$A$2:$A$821,0)),"")</f>
        <v>3.6638983878844686</v>
      </c>
      <c r="Y114" s="195">
        <f t="shared" si="1"/>
        <v>0.61425761881431173</v>
      </c>
      <c r="Z114" s="195">
        <f t="shared" si="1"/>
        <v>1.2547777234978048</v>
      </c>
      <c r="AA114" s="195">
        <f t="shared" si="8"/>
        <v>0.6253402246278168</v>
      </c>
      <c r="AB114" s="195">
        <f t="shared" si="9"/>
        <v>0.40996176246384192</v>
      </c>
      <c r="AC114" s="195">
        <f t="shared" si="2"/>
        <v>0.65944742883212082</v>
      </c>
      <c r="AD114">
        <f t="shared" si="3"/>
        <v>55</v>
      </c>
      <c r="AE114" s="195">
        <f t="shared" si="10"/>
        <v>0.25731564771043136</v>
      </c>
      <c r="AF114" s="195">
        <f t="shared" si="11"/>
        <v>3.2291719907260326E-2</v>
      </c>
      <c r="AG114" s="255" t="str">
        <f>IF(ISNUMBER(SEARCH("C",'WetLitterbags placem_collection'!AD41)),"YES","NO")</f>
        <v>NO</v>
      </c>
      <c r="AH114" s="255" t="str">
        <f>IF(ISNUMBER(SEARCH("H", 'WetLitterbags placem_collection'!AD41)),"YES","NO")</f>
        <v>NO</v>
      </c>
      <c r="AI114" s="255" t="str">
        <f>IF(ISNUMBER(SEARCH("R", 'WetLitterbags placem_collection'!AD41)),"YES","NO")</f>
        <v>NO</v>
      </c>
      <c r="AJ114" s="255" t="str">
        <f>IF(ISNUMBER(SEARCH("C", 'WetLitterbags placem_collection'!AC41)),"YES","NO")</f>
        <v>NO</v>
      </c>
      <c r="AK114" s="255" t="str">
        <f>IF(ISNUMBER(SEARCH("H", 'WetLitterbags placem_collection'!AC41)),"YES","NO")</f>
        <v>NO</v>
      </c>
      <c r="AL114" s="255" t="str">
        <f>IF(ISNUMBER(SEARCH("R", 'WetLitterbags placem_collection'!AC41)),"YES","NO")</f>
        <v>NO</v>
      </c>
    </row>
    <row r="115" spans="2:38">
      <c r="B115" t="str">
        <f>'Final data_for_R_analysis_Wetse'!A41</f>
        <v>Wet</v>
      </c>
      <c r="C115" s="263">
        <f>'Final data_for_R_analysis_Wetse'!B41</f>
        <v>40</v>
      </c>
      <c r="D115" t="s">
        <v>3831</v>
      </c>
      <c r="E115" t="s">
        <v>22</v>
      </c>
      <c r="F115" s="387">
        <v>8</v>
      </c>
      <c r="G115" s="16">
        <f>'WetLitterbags placem_collection'!E42</f>
        <v>42765</v>
      </c>
      <c r="H115" t="str">
        <f>'Final data_for_R_analysis_Wetse'!J41</f>
        <v>G582</v>
      </c>
      <c r="I115" t="str">
        <f>'Final data_for_R_analysis_Wetse'!J261</f>
        <v>R114</v>
      </c>
      <c r="J115">
        <f>IFERROR(INDEX('Green_rooibos initial weight'!$C$5:$C$1749,MATCH(H115, 'Green_rooibos initial weight'!$A$5:$A$1749,0)),"")</f>
        <v>2.0219999999999998</v>
      </c>
      <c r="K115">
        <f>IFERROR(INDEX('Green_rooibos initial weight'!$C$5:$C$1749,MATCH(I115, 'Green_rooibos initial weight'!$A$5:$A$1749,0)),"")</f>
        <v>2.2450000000000001</v>
      </c>
      <c r="L115" s="195">
        <f t="shared" si="4"/>
        <v>1.7721999999999998</v>
      </c>
      <c r="M115" s="195">
        <f>AVERAGE(Ashed_controlls!$K$2:$K$11)</f>
        <v>5.5147656768714146</v>
      </c>
      <c r="N115" s="195">
        <f t="shared" si="0"/>
        <v>1.6744673226744846</v>
      </c>
      <c r="O115" s="195">
        <f t="shared" si="5"/>
        <v>1.9952000000000001</v>
      </c>
      <c r="P115" s="195">
        <f>AVERAGE(Ashed_controlls!$K$12:$K$14)</f>
        <v>2.2816647271287041</v>
      </c>
      <c r="Q115" s="195">
        <f t="shared" si="6"/>
        <v>1.9496762253643283</v>
      </c>
      <c r="R115" s="16">
        <f>IF('WetLitterbags placem_collection'!G42="N.A","",'WetLitterbags placem_collection'!G42)</f>
        <v>42820</v>
      </c>
      <c r="S115" s="195">
        <f>IF(IFERROR(INDEX('Both teabags AfterWet'!$C$3:$C$841,MATCH(H115,'Both teabags AfterWet'!$A$3:$A$841,0)),"")="N.A","",(IFERROR(INDEX('Both teabags AfterWet'!$C$3:$C$841,MATCH(H115,'Both teabags AfterWet'!$A$3:$A$841,0)),"")))</f>
        <v>0.89800000000000002</v>
      </c>
      <c r="T115" s="195">
        <f>IFERROR(INDEX('Both teabags AfterWet'!$C$3:$C$841,MATCH(I115,'Both teabags AfterWet'!$A$3:$A$841,0)),"")</f>
        <v>2.2269999999999999</v>
      </c>
      <c r="U115" s="195">
        <f t="shared" si="7"/>
        <v>0.74740000000000006</v>
      </c>
      <c r="V115" s="195">
        <f t="shared" si="7"/>
        <v>2.0764</v>
      </c>
      <c r="W115" s="195">
        <f>IFERROR(INDEX('Ashed teabags wet'!$K$2:$K$821,MATCH(H115,'Ashed teabags wet'!$A$2:$A$821,0)),"")</f>
        <v>16.507777220271233</v>
      </c>
      <c r="X115" s="195">
        <f>IFERROR(INDEX('Ashed teabags wet'!$K$2:$K$821,MATCH(I115,'Ashed teabags wet'!$A$2:$A$821,0)),"")</f>
        <v>24.826560951436655</v>
      </c>
      <c r="Y115" s="195">
        <f t="shared" si="1"/>
        <v>0.62402087305569287</v>
      </c>
      <c r="Z115" s="195">
        <f t="shared" si="1"/>
        <v>1.5609012884043694</v>
      </c>
      <c r="AA115" s="195">
        <f t="shared" si="8"/>
        <v>0.62733171044568536</v>
      </c>
      <c r="AB115" s="195">
        <f t="shared" si="9"/>
        <v>0.41126734461522368</v>
      </c>
      <c r="AC115" s="195">
        <f t="shared" si="2"/>
        <v>0.80059512861561921</v>
      </c>
      <c r="AD115">
        <f t="shared" si="3"/>
        <v>55</v>
      </c>
      <c r="AE115" s="195">
        <f t="shared" si="10"/>
        <v>0.25495046265358035</v>
      </c>
      <c r="AF115" s="195">
        <f t="shared" si="11"/>
        <v>1.206011133734158E-2</v>
      </c>
      <c r="AG115" s="255" t="str">
        <f>IF(ISNUMBER(SEARCH("C",'WetLitterbags placem_collection'!AD42)),"YES","NO")</f>
        <v>NO</v>
      </c>
      <c r="AH115" s="255" t="str">
        <f>IF(ISNUMBER(SEARCH("H", 'WetLitterbags placem_collection'!AD42)),"YES","NO")</f>
        <v>YES</v>
      </c>
      <c r="AI115" s="255" t="str">
        <f>IF(ISNUMBER(SEARCH("R", 'WetLitterbags placem_collection'!AD42)),"YES","NO")</f>
        <v>YES</v>
      </c>
      <c r="AJ115" s="255" t="str">
        <f>IF(ISNUMBER(SEARCH("C", 'WetLitterbags placem_collection'!AC42)),"YES","NO")</f>
        <v>NO</v>
      </c>
      <c r="AK115" s="255" t="str">
        <f>IF(ISNUMBER(SEARCH("H", 'WetLitterbags placem_collection'!AC42)),"YES","NO")</f>
        <v>NO</v>
      </c>
      <c r="AL115" s="255" t="str">
        <f>IF(ISNUMBER(SEARCH("R", 'WetLitterbags placem_collection'!AC42)),"YES","NO")</f>
        <v>NO</v>
      </c>
    </row>
    <row r="116" spans="2:38">
      <c r="B116" t="str">
        <f>'Final data_for_R_analysis_Wetse'!A42</f>
        <v>Wet</v>
      </c>
      <c r="C116" s="263">
        <f>'Final data_for_R_analysis_Wetse'!B42</f>
        <v>41</v>
      </c>
      <c r="D116" t="s">
        <v>3833</v>
      </c>
      <c r="E116" t="s">
        <v>22</v>
      </c>
      <c r="F116" s="386">
        <v>1</v>
      </c>
      <c r="G116" s="16">
        <f>'WetLitterbags placem_collection'!E43</f>
        <v>42766</v>
      </c>
      <c r="H116" t="str">
        <f>'Final data_for_R_analysis_Wetse'!J42</f>
        <v>G453</v>
      </c>
      <c r="I116" t="str">
        <f>'Final data_for_R_analysis_Wetse'!J262</f>
        <v>R521</v>
      </c>
      <c r="J116">
        <f>IFERROR(INDEX('Green_rooibos initial weight'!$C$5:$C$1749,MATCH(H116, 'Green_rooibos initial weight'!$A$5:$A$1749,0)),"")</f>
        <v>2.0790000000000002</v>
      </c>
      <c r="K116">
        <f>IFERROR(INDEX('Green_rooibos initial weight'!$C$5:$C$1749,MATCH(I116, 'Green_rooibos initial weight'!$A$5:$A$1749,0)),"")</f>
        <v>2.1440000000000001</v>
      </c>
      <c r="L116" s="195">
        <f t="shared" si="4"/>
        <v>1.8292000000000002</v>
      </c>
      <c r="M116" s="195">
        <f>AVERAGE(Ashed_controlls!$K$2:$K$11)</f>
        <v>5.5147656768714146</v>
      </c>
      <c r="N116" s="195">
        <f t="shared" si="0"/>
        <v>1.7283239062386682</v>
      </c>
      <c r="O116" s="195">
        <f t="shared" si="5"/>
        <v>1.8942000000000001</v>
      </c>
      <c r="P116" s="195">
        <f>AVERAGE(Ashed_controlls!$K$12:$K$14)</f>
        <v>2.2816647271287041</v>
      </c>
      <c r="Q116" s="195">
        <f t="shared" si="6"/>
        <v>1.8509807067387283</v>
      </c>
      <c r="R116" s="16">
        <f>IF('WetLitterbags placem_collection'!G43="N.A","",'WetLitterbags placem_collection'!G43)</f>
        <v>42820</v>
      </c>
      <c r="S116" s="195">
        <f>IF(IFERROR(INDEX('Both teabags AfterWet'!$C$3:$C$841,MATCH(H116,'Both teabags AfterWet'!$A$3:$A$841,0)),"")="N.A","",(IFERROR(INDEX('Both teabags AfterWet'!$C$3:$C$841,MATCH(H116,'Both teabags AfterWet'!$A$3:$A$841,0)),"")))</f>
        <v>1.0509999999999999</v>
      </c>
      <c r="T116" s="195">
        <f>IFERROR(INDEX('Both teabags AfterWet'!$C$3:$C$841,MATCH(I116,'Both teabags AfterWet'!$A$3:$A$841,0)),"")</f>
        <v>1.512</v>
      </c>
      <c r="U116" s="195">
        <f t="shared" si="7"/>
        <v>0.90039999999999987</v>
      </c>
      <c r="V116" s="195">
        <f t="shared" si="7"/>
        <v>1.3613999999999999</v>
      </c>
      <c r="W116" s="195">
        <f>IFERROR(INDEX('Ashed teabags wet'!$K$2:$K$821,MATCH(H116,'Ashed teabags wet'!$A$2:$A$821,0)),"")</f>
        <v>20.029673590504579</v>
      </c>
      <c r="X116" s="195">
        <f>IFERROR(INDEX('Ashed teabags wet'!$K$2:$K$821,MATCH(I116,'Ashed teabags wet'!$A$2:$A$821,0)),"")</f>
        <v>6.8728522336777456</v>
      </c>
      <c r="Y116" s="195">
        <f t="shared" si="1"/>
        <v>0.72005281899109663</v>
      </c>
      <c r="Z116" s="195">
        <f t="shared" si="1"/>
        <v>1.267832989690711</v>
      </c>
      <c r="AA116" s="195">
        <f t="shared" si="8"/>
        <v>0.58338086027049207</v>
      </c>
      <c r="AB116" s="195">
        <f t="shared" si="9"/>
        <v>0.38245396065238912</v>
      </c>
      <c r="AC116" s="195">
        <f t="shared" si="2"/>
        <v>0.68495202844362746</v>
      </c>
      <c r="AD116">
        <f t="shared" si="3"/>
        <v>54</v>
      </c>
      <c r="AE116" s="195">
        <f t="shared" si="10"/>
        <v>0.30714862200654147</v>
      </c>
      <c r="AF116" s="195">
        <f t="shared" si="11"/>
        <v>3.2145822384312357E-2</v>
      </c>
      <c r="AG116" s="255" t="str">
        <f>IF(ISNUMBER(SEARCH("C",'WetLitterbags placem_collection'!AD43)),"YES","NO")</f>
        <v>NO</v>
      </c>
      <c r="AH116" s="255" t="str">
        <f>IF(ISNUMBER(SEARCH("H", 'WetLitterbags placem_collection'!AD43)),"YES","NO")</f>
        <v>NO</v>
      </c>
      <c r="AI116" s="255" t="str">
        <f>IF(ISNUMBER(SEARCH("R", 'WetLitterbags placem_collection'!AD43)),"YES","NO")</f>
        <v>NO</v>
      </c>
      <c r="AJ116" s="255" t="str">
        <f>IF(ISNUMBER(SEARCH("C", 'WetLitterbags placem_collection'!AC43)),"YES","NO")</f>
        <v>NO</v>
      </c>
      <c r="AK116" s="255" t="str">
        <f>IF(ISNUMBER(SEARCH("H", 'WetLitterbags placem_collection'!AC43)),"YES","NO")</f>
        <v>NO</v>
      </c>
      <c r="AL116" s="255" t="str">
        <f>IF(ISNUMBER(SEARCH("R", 'WetLitterbags placem_collection'!AC43)),"YES","NO")</f>
        <v>NO</v>
      </c>
    </row>
    <row r="117" spans="2:38">
      <c r="B117" t="str">
        <f>'Final data_for_R_analysis_Wetse'!A43</f>
        <v>Wet</v>
      </c>
      <c r="C117" s="263">
        <f>'Final data_for_R_analysis_Wetse'!B43</f>
        <v>42</v>
      </c>
      <c r="D117" t="s">
        <v>3833</v>
      </c>
      <c r="E117" t="s">
        <v>22</v>
      </c>
      <c r="F117" s="386">
        <v>2</v>
      </c>
      <c r="G117" s="16">
        <f>'WetLitterbags placem_collection'!E44</f>
        <v>42766</v>
      </c>
      <c r="H117" t="str">
        <f>'Final data_for_R_analysis_Wetse'!J43</f>
        <v>G764</v>
      </c>
      <c r="I117" t="str">
        <f>'Final data_for_R_analysis_Wetse'!J263</f>
        <v>R371</v>
      </c>
      <c r="J117">
        <f>IFERROR(INDEX('Green_rooibos initial weight'!$C$5:$C$1749,MATCH(H117, 'Green_rooibos initial weight'!$A$5:$A$1749,0)),"")</f>
        <v>1.9510000000000001</v>
      </c>
      <c r="K117">
        <f>IFERROR(INDEX('Green_rooibos initial weight'!$C$5:$C$1749,MATCH(I117, 'Green_rooibos initial weight'!$A$5:$A$1749,0)),"")</f>
        <v>2.2530000000000001</v>
      </c>
      <c r="L117" s="195">
        <f t="shared" si="4"/>
        <v>1.7012</v>
      </c>
      <c r="M117" s="195">
        <f>AVERAGE(Ashed_controlls!$K$2:$K$11)</f>
        <v>5.5147656768714146</v>
      </c>
      <c r="N117" s="195">
        <f t="shared" si="0"/>
        <v>1.6073828063050635</v>
      </c>
      <c r="O117" s="195">
        <f t="shared" si="5"/>
        <v>2.0032000000000001</v>
      </c>
      <c r="P117" s="195">
        <f>AVERAGE(Ashed_controlls!$K$12:$K$14)</f>
        <v>2.2816647271287041</v>
      </c>
      <c r="Q117" s="195">
        <f t="shared" si="6"/>
        <v>1.9574936921861579</v>
      </c>
      <c r="R117" s="16">
        <f>IF('WetLitterbags placem_collection'!G44="N.A","",'WetLitterbags placem_collection'!G44)</f>
        <v>42820</v>
      </c>
      <c r="S117" s="195">
        <f>IF(IFERROR(INDEX('Both teabags AfterWet'!$C$3:$C$841,MATCH(H117,'Both teabags AfterWet'!$A$3:$A$841,0)),"")="N.A","",(IFERROR(INDEX('Both teabags AfterWet'!$C$3:$C$841,MATCH(H117,'Both teabags AfterWet'!$A$3:$A$841,0)),"")))</f>
        <v>0.72199999999999998</v>
      </c>
      <c r="T117" s="195">
        <f>IFERROR(INDEX('Both teabags AfterWet'!$C$3:$C$841,MATCH(I117,'Both teabags AfterWet'!$A$3:$A$841,0)),"")</f>
        <v>1.649</v>
      </c>
      <c r="U117" s="195">
        <f t="shared" si="7"/>
        <v>0.57139999999999991</v>
      </c>
      <c r="V117" s="195">
        <f t="shared" si="7"/>
        <v>1.4984</v>
      </c>
      <c r="W117" s="195">
        <f>IFERROR(INDEX('Ashed teabags wet'!$K$2:$K$821,MATCH(H117,'Ashed teabags wet'!$A$2:$A$821,0)),"")</f>
        <v>14.236790606653615</v>
      </c>
      <c r="X117" s="195">
        <f>IFERROR(INDEX('Ashed teabags wet'!$K$2:$K$821,MATCH(I117,'Ashed teabags wet'!$A$2:$A$821,0)),"")</f>
        <v>2.6627218934911183</v>
      </c>
      <c r="Y117" s="195">
        <f t="shared" si="1"/>
        <v>0.49005097847358114</v>
      </c>
      <c r="Z117" s="195">
        <f t="shared" si="1"/>
        <v>1.458501775147929</v>
      </c>
      <c r="AA117" s="195">
        <f t="shared" si="8"/>
        <v>0.69512490954157014</v>
      </c>
      <c r="AB117" s="195">
        <f t="shared" si="9"/>
        <v>0.45571134212226461</v>
      </c>
      <c r="AC117" s="195">
        <f t="shared" si="2"/>
        <v>0.74508632184610146</v>
      </c>
      <c r="AD117">
        <f t="shared" si="3"/>
        <v>54</v>
      </c>
      <c r="AE117" s="195">
        <f t="shared" si="10"/>
        <v>0.17443597441618741</v>
      </c>
      <c r="AF117" s="195">
        <f t="shared" si="11"/>
        <v>1.5177070986734285E-2</v>
      </c>
      <c r="AG117" s="255" t="str">
        <f>IF(ISNUMBER(SEARCH("C",'WetLitterbags placem_collection'!AD44)),"YES","NO")</f>
        <v>NO</v>
      </c>
      <c r="AH117" s="255" t="str">
        <f>IF(ISNUMBER(SEARCH("H", 'WetLitterbags placem_collection'!AD44)),"YES","NO")</f>
        <v>YES</v>
      </c>
      <c r="AI117" s="255" t="str">
        <f>IF(ISNUMBER(SEARCH("R", 'WetLitterbags placem_collection'!AD44)),"YES","NO")</f>
        <v>YES</v>
      </c>
      <c r="AJ117" s="255" t="str">
        <f>IF(ISNUMBER(SEARCH("C", 'WetLitterbags placem_collection'!AC44)),"YES","NO")</f>
        <v>NO</v>
      </c>
      <c r="AK117" s="255" t="str">
        <f>IF(ISNUMBER(SEARCH("H", 'WetLitterbags placem_collection'!AC44)),"YES","NO")</f>
        <v>NO</v>
      </c>
      <c r="AL117" s="255" t="str">
        <f>IF(ISNUMBER(SEARCH("R", 'WetLitterbags placem_collection'!AC44)),"YES","NO")</f>
        <v>NO</v>
      </c>
    </row>
    <row r="118" spans="2:38">
      <c r="B118" t="str">
        <f>'Final data_for_R_analysis_Wetse'!A44</f>
        <v>Wet</v>
      </c>
      <c r="C118" s="263">
        <f>'Final data_for_R_analysis_Wetse'!B44</f>
        <v>43</v>
      </c>
      <c r="D118" t="s">
        <v>3833</v>
      </c>
      <c r="E118" t="s">
        <v>22</v>
      </c>
      <c r="F118" s="386">
        <v>3</v>
      </c>
      <c r="G118" s="16">
        <f>'WetLitterbags placem_collection'!E45</f>
        <v>42766</v>
      </c>
      <c r="H118" t="str">
        <f>'Final data_for_R_analysis_Wetse'!J44</f>
        <v>G690</v>
      </c>
      <c r="I118" t="str">
        <f>'Final data_for_R_analysis_Wetse'!J264</f>
        <v>R376</v>
      </c>
      <c r="J118">
        <f>IFERROR(INDEX('Green_rooibos initial weight'!$C$5:$C$1749,MATCH(H118, 'Green_rooibos initial weight'!$A$5:$A$1749,0)),"")</f>
        <v>2.0739999999999998</v>
      </c>
      <c r="K118">
        <f>IFERROR(INDEX('Green_rooibos initial weight'!$C$5:$C$1749,MATCH(I118, 'Green_rooibos initial weight'!$A$5:$A$1749,0)),"")</f>
        <v>2.177</v>
      </c>
      <c r="L118" s="195">
        <f t="shared" si="4"/>
        <v>1.8241999999999998</v>
      </c>
      <c r="M118" s="195">
        <f>AVERAGE(Ashed_controlls!$K$2:$K$11)</f>
        <v>5.5147656768714146</v>
      </c>
      <c r="N118" s="195">
        <f t="shared" si="0"/>
        <v>1.7235996445225115</v>
      </c>
      <c r="O118" s="195">
        <f t="shared" si="5"/>
        <v>1.9272</v>
      </c>
      <c r="P118" s="195">
        <f>AVERAGE(Ashed_controlls!$K$12:$K$14)</f>
        <v>2.2816647271287041</v>
      </c>
      <c r="Q118" s="195">
        <f t="shared" si="6"/>
        <v>1.8832277573787757</v>
      </c>
      <c r="R118" s="16">
        <f>IF('WetLitterbags placem_collection'!G45="N.A","",'WetLitterbags placem_collection'!G45)</f>
        <v>42820</v>
      </c>
      <c r="S118" s="195">
        <f>IF(IFERROR(INDEX('Both teabags AfterWet'!$C$3:$C$841,MATCH(H118,'Both teabags AfterWet'!$A$3:$A$841,0)),"")="N.A","",(IFERROR(INDEX('Both teabags AfterWet'!$C$3:$C$841,MATCH(H118,'Both teabags AfterWet'!$A$3:$A$841,0)),"")))</f>
        <v>0.71519999999999995</v>
      </c>
      <c r="T118" s="195">
        <f>IFERROR(INDEX('Both teabags AfterWet'!$C$3:$C$841,MATCH(I118,'Both teabags AfterWet'!$A$3:$A$841,0)),"")</f>
        <v>1.3532999999999999</v>
      </c>
      <c r="U118" s="195">
        <f t="shared" si="7"/>
        <v>0.56459999999999999</v>
      </c>
      <c r="V118" s="195">
        <f t="shared" si="7"/>
        <v>1.2026999999999999</v>
      </c>
      <c r="W118" s="195">
        <f>IFERROR(INDEX('Ashed teabags wet'!$K$2:$K$821,MATCH(H118,'Ashed teabags wet'!$A$2:$A$821,0)),"")</f>
        <v>10.60532687651348</v>
      </c>
      <c r="X118" s="195">
        <f>IFERROR(INDEX('Ashed teabags wet'!$K$2:$K$821,MATCH(I118,'Ashed teabags wet'!$A$2:$A$821,0)),"")</f>
        <v>6.7788461538456346</v>
      </c>
      <c r="Y118" s="195">
        <f t="shared" si="1"/>
        <v>0.50472232445520493</v>
      </c>
      <c r="Z118" s="195">
        <f t="shared" si="1"/>
        <v>1.1211708173076984</v>
      </c>
      <c r="AA118" s="195">
        <f t="shared" si="8"/>
        <v>0.70716962836516006</v>
      </c>
      <c r="AB118" s="195">
        <f t="shared" si="9"/>
        <v>0.46360764234865609</v>
      </c>
      <c r="AC118" s="195">
        <f t="shared" si="2"/>
        <v>0.59534531227823029</v>
      </c>
      <c r="AD118">
        <f t="shared" si="3"/>
        <v>54</v>
      </c>
      <c r="AE118" s="195">
        <f t="shared" si="10"/>
        <v>0.16013108270171006</v>
      </c>
      <c r="AF118" s="195">
        <f t="shared" si="11"/>
        <v>3.8190719435097033E-2</v>
      </c>
      <c r="AG118" s="255" t="str">
        <f>IF(ISNUMBER(SEARCH("C",'WetLitterbags placem_collection'!AD45)),"YES","NO")</f>
        <v>NO</v>
      </c>
      <c r="AH118" s="255" t="str">
        <f>IF(ISNUMBER(SEARCH("H", 'WetLitterbags placem_collection'!AD45)),"YES","NO")</f>
        <v>NO</v>
      </c>
      <c r="AI118" s="255" t="str">
        <f>IF(ISNUMBER(SEARCH("R", 'WetLitterbags placem_collection'!AD45)),"YES","NO")</f>
        <v>NO</v>
      </c>
      <c r="AJ118" s="255" t="str">
        <f>IF(ISNUMBER(SEARCH("C", 'WetLitterbags placem_collection'!AC45)),"YES","NO")</f>
        <v>NO</v>
      </c>
      <c r="AK118" s="255" t="str">
        <f>IF(ISNUMBER(SEARCH("H", 'WetLitterbags placem_collection'!AC45)),"YES","NO")</f>
        <v>NO</v>
      </c>
      <c r="AL118" s="255" t="str">
        <f>IF(ISNUMBER(SEARCH("R", 'WetLitterbags placem_collection'!AC45)),"YES","NO")</f>
        <v>NO</v>
      </c>
    </row>
    <row r="119" spans="2:38">
      <c r="B119" t="str">
        <f>'Final data_for_R_analysis_Wetse'!A45</f>
        <v>Wet</v>
      </c>
      <c r="C119" s="263">
        <f>'Final data_for_R_analysis_Wetse'!B45</f>
        <v>44</v>
      </c>
      <c r="D119" t="s">
        <v>3833</v>
      </c>
      <c r="E119" t="s">
        <v>22</v>
      </c>
      <c r="F119" s="387">
        <v>4</v>
      </c>
      <c r="G119" s="16">
        <f>'WetLitterbags placem_collection'!E46</f>
        <v>42766</v>
      </c>
      <c r="H119" t="str">
        <f>'Final data_for_R_analysis_Wetse'!J45</f>
        <v>G774</v>
      </c>
      <c r="I119" t="str">
        <f>'Final data_for_R_analysis_Wetse'!J265</f>
        <v>R166</v>
      </c>
      <c r="J119">
        <f>IFERROR(INDEX('Green_rooibos initial weight'!$C$5:$C$1749,MATCH(H119, 'Green_rooibos initial weight'!$A$5:$A$1749,0)),"")</f>
        <v>2.0049999999999999</v>
      </c>
      <c r="K119">
        <f>IFERROR(INDEX('Green_rooibos initial weight'!$C$5:$C$1749,MATCH(I119, 'Green_rooibos initial weight'!$A$5:$A$1749,0)),"")</f>
        <v>2.222</v>
      </c>
      <c r="L119" s="195">
        <f t="shared" si="4"/>
        <v>1.7551999999999999</v>
      </c>
      <c r="M119" s="195">
        <f>AVERAGE(Ashed_controlls!$K$2:$K$11)</f>
        <v>5.5147656768714146</v>
      </c>
      <c r="N119" s="195">
        <f t="shared" si="0"/>
        <v>1.6584048328395529</v>
      </c>
      <c r="O119" s="195">
        <f t="shared" si="5"/>
        <v>1.9722</v>
      </c>
      <c r="P119" s="195">
        <f>AVERAGE(Ashed_controlls!$K$12:$K$14)</f>
        <v>2.2816647271287041</v>
      </c>
      <c r="Q119" s="195">
        <f t="shared" si="6"/>
        <v>1.9272010082515676</v>
      </c>
      <c r="R119" s="16">
        <f>IF('WetLitterbags placem_collection'!G46="N.A","",'WetLitterbags placem_collection'!G46)</f>
        <v>42820</v>
      </c>
      <c r="S119" s="195">
        <f>IF(IFERROR(INDEX('Both teabags AfterWet'!$C$3:$C$841,MATCH(H119,'Both teabags AfterWet'!$A$3:$A$841,0)),"")="N.A","",(IFERROR(INDEX('Both teabags AfterWet'!$C$3:$C$841,MATCH(H119,'Both teabags AfterWet'!$A$3:$A$841,0)),"")))</f>
        <v>0.89559999999999995</v>
      </c>
      <c r="T119" s="195">
        <f>IFERROR(INDEX('Both teabags AfterWet'!$C$3:$C$841,MATCH(I119,'Both teabags AfterWet'!$A$3:$A$841,0)),"")</f>
        <v>1.6101000000000001</v>
      </c>
      <c r="U119" s="195">
        <f t="shared" si="7"/>
        <v>0.74499999999999988</v>
      </c>
      <c r="V119" s="195">
        <f t="shared" si="7"/>
        <v>1.4595</v>
      </c>
      <c r="W119" s="195">
        <f>IFERROR(INDEX('Ashed teabags wet'!$K$2:$K$821,MATCH(H119,'Ashed teabags wet'!$A$2:$A$821,0)),"")</f>
        <v>8.346293416277824</v>
      </c>
      <c r="X119" s="195">
        <f>IFERROR(INDEX('Ashed teabags wet'!$K$2:$K$821,MATCH(I119,'Ashed teabags wet'!$A$2:$A$821,0)),"")</f>
        <v>4.868355688028041</v>
      </c>
      <c r="Y119" s="195">
        <f t="shared" si="1"/>
        <v>0.68282011404873011</v>
      </c>
      <c r="Z119" s="195">
        <f t="shared" si="1"/>
        <v>1.3884463487332308</v>
      </c>
      <c r="AA119" s="195">
        <f t="shared" si="8"/>
        <v>0.58826692944472891</v>
      </c>
      <c r="AB119" s="195">
        <f t="shared" si="9"/>
        <v>0.38565717939844463</v>
      </c>
      <c r="AC119" s="195">
        <f t="shared" si="2"/>
        <v>0.72044708506710664</v>
      </c>
      <c r="AD119">
        <f t="shared" si="3"/>
        <v>54</v>
      </c>
      <c r="AE119" s="195">
        <f t="shared" si="10"/>
        <v>0.30134568949557139</v>
      </c>
      <c r="AF119" s="195">
        <f t="shared" si="11"/>
        <v>2.389864075672567E-2</v>
      </c>
      <c r="AG119" s="255" t="str">
        <f>IF(ISNUMBER(SEARCH("C",'WetLitterbags placem_collection'!AD46)),"YES","NO")</f>
        <v>NO</v>
      </c>
      <c r="AH119" s="255" t="str">
        <f>IF(ISNUMBER(SEARCH("H", 'WetLitterbags placem_collection'!AD46)),"YES","NO")</f>
        <v>NO</v>
      </c>
      <c r="AI119" s="255" t="str">
        <f>IF(ISNUMBER(SEARCH("R", 'WetLitterbags placem_collection'!AD46)),"YES","NO")</f>
        <v>NO</v>
      </c>
      <c r="AJ119" s="255" t="str">
        <f>IF(ISNUMBER(SEARCH("C", 'WetLitterbags placem_collection'!AC46)),"YES","NO")</f>
        <v>NO</v>
      </c>
      <c r="AK119" s="255" t="str">
        <f>IF(ISNUMBER(SEARCH("H", 'WetLitterbags placem_collection'!AC46)),"YES","NO")</f>
        <v>NO</v>
      </c>
      <c r="AL119" s="255" t="str">
        <f>IF(ISNUMBER(SEARCH("R", 'WetLitterbags placem_collection'!AC46)),"YES","NO")</f>
        <v>NO</v>
      </c>
    </row>
    <row r="120" spans="2:38">
      <c r="B120" t="str">
        <f>'Final data_for_R_analysis_Wetse'!A46</f>
        <v>Wet</v>
      </c>
      <c r="C120" s="263">
        <f>'Final data_for_R_analysis_Wetse'!B46</f>
        <v>45</v>
      </c>
      <c r="D120" t="s">
        <v>3833</v>
      </c>
      <c r="E120" t="s">
        <v>22</v>
      </c>
      <c r="F120" s="387">
        <v>5</v>
      </c>
      <c r="G120" s="16">
        <f>'WetLitterbags placem_collection'!E47</f>
        <v>42766</v>
      </c>
      <c r="H120" t="str">
        <f>'Final data_for_R_analysis_Wetse'!J46</f>
        <v>G519</v>
      </c>
      <c r="I120" t="str">
        <f>'Final data_for_R_analysis_Wetse'!J266</f>
        <v>R469</v>
      </c>
      <c r="J120">
        <f>IFERROR(INDEX('Green_rooibos initial weight'!$C$5:$C$1749,MATCH(H120, 'Green_rooibos initial weight'!$A$5:$A$1749,0)),"")</f>
        <v>2.1429999999999998</v>
      </c>
      <c r="K120">
        <f>IFERROR(INDEX('Green_rooibos initial weight'!$C$5:$C$1749,MATCH(I120, 'Green_rooibos initial weight'!$A$5:$A$1749,0)),"")</f>
        <v>2.2309999999999999</v>
      </c>
      <c r="L120" s="195">
        <f t="shared" si="4"/>
        <v>1.8931999999999998</v>
      </c>
      <c r="M120" s="195">
        <f>AVERAGE(Ashed_controlls!$K$2:$K$11)</f>
        <v>5.5147656768714146</v>
      </c>
      <c r="N120" s="195">
        <f t="shared" si="0"/>
        <v>1.7887944562054701</v>
      </c>
      <c r="O120" s="195">
        <f t="shared" si="5"/>
        <v>1.9811999999999999</v>
      </c>
      <c r="P120" s="195">
        <f>AVERAGE(Ashed_controlls!$K$12:$K$14)</f>
        <v>2.2816647271287041</v>
      </c>
      <c r="Q120" s="195">
        <f t="shared" si="6"/>
        <v>1.935995658426126</v>
      </c>
      <c r="R120" s="16">
        <f>IF('WetLitterbags placem_collection'!G47="N.A","",'WetLitterbags placem_collection'!G47)</f>
        <v>42820</v>
      </c>
      <c r="S120" s="195">
        <f>IF(IFERROR(INDEX('Both teabags AfterWet'!$C$3:$C$841,MATCH(H120,'Both teabags AfterWet'!$A$3:$A$841,0)),"")="N.A","",(IFERROR(INDEX('Both teabags AfterWet'!$C$3:$C$841,MATCH(H120,'Both teabags AfterWet'!$A$3:$A$841,0)),"")))</f>
        <v>0.77569999999999995</v>
      </c>
      <c r="T120" s="195">
        <f>IFERROR(INDEX('Both teabags AfterWet'!$C$3:$C$841,MATCH(I120,'Both teabags AfterWet'!$A$3:$A$841,0)),"")</f>
        <v>1.5804</v>
      </c>
      <c r="U120" s="195">
        <f t="shared" si="7"/>
        <v>0.62509999999999999</v>
      </c>
      <c r="V120" s="195">
        <f t="shared" si="7"/>
        <v>1.4298</v>
      </c>
      <c r="W120" s="195">
        <f>IFERROR(INDEX('Ashed teabags wet'!$K$2:$K$821,MATCH(H120,'Ashed teabags wet'!$A$2:$A$821,0)),"")</f>
        <v>9.376558603491624</v>
      </c>
      <c r="X120" s="195">
        <f>IFERROR(INDEX('Ashed teabags wet'!$K$2:$K$821,MATCH(I120,'Ashed teabags wet'!$A$2:$A$821,0)),"")</f>
        <v>3.5248672139064463</v>
      </c>
      <c r="Y120" s="195">
        <f t="shared" si="1"/>
        <v>0.5664871321695738</v>
      </c>
      <c r="Z120" s="195">
        <f t="shared" si="1"/>
        <v>1.3794014485755657</v>
      </c>
      <c r="AA120" s="195">
        <f t="shared" si="8"/>
        <v>0.68331345716977987</v>
      </c>
      <c r="AB120" s="195">
        <f t="shared" si="9"/>
        <v>0.4479679671706871</v>
      </c>
      <c r="AC120" s="195">
        <f t="shared" si="2"/>
        <v>0.71250234605223994</v>
      </c>
      <c r="AD120">
        <f t="shared" si="3"/>
        <v>54</v>
      </c>
      <c r="AE120" s="195">
        <f t="shared" si="10"/>
        <v>0.188463827589335</v>
      </c>
      <c r="AF120" s="195">
        <f t="shared" si="11"/>
        <v>1.9011347534972928E-2</v>
      </c>
      <c r="AG120" s="255" t="str">
        <f>IF(ISNUMBER(SEARCH("C",'WetLitterbags placem_collection'!AD47)),"YES","NO")</f>
        <v>NO</v>
      </c>
      <c r="AH120" s="255" t="str">
        <f>IF(ISNUMBER(SEARCH("H", 'WetLitterbags placem_collection'!AD47)),"YES","NO")</f>
        <v>NO</v>
      </c>
      <c r="AI120" s="255" t="str">
        <f>IF(ISNUMBER(SEARCH("R", 'WetLitterbags placem_collection'!AD47)),"YES","NO")</f>
        <v>NO</v>
      </c>
      <c r="AJ120" s="255" t="str">
        <f>IF(ISNUMBER(SEARCH("C", 'WetLitterbags placem_collection'!AC47)),"YES","NO")</f>
        <v>NO</v>
      </c>
      <c r="AK120" s="255" t="str">
        <f>IF(ISNUMBER(SEARCH("H", 'WetLitterbags placem_collection'!AC47)),"YES","NO")</f>
        <v>NO</v>
      </c>
      <c r="AL120" s="255" t="str">
        <f>IF(ISNUMBER(SEARCH("R", 'WetLitterbags placem_collection'!AC47)),"YES","NO")</f>
        <v>NO</v>
      </c>
    </row>
    <row r="121" spans="2:38">
      <c r="B121" t="str">
        <f>'Final data_for_R_analysis_Wetse'!A47</f>
        <v>Wet</v>
      </c>
      <c r="C121" s="263">
        <f>'Final data_for_R_analysis_Wetse'!B47</f>
        <v>46</v>
      </c>
      <c r="D121" t="s">
        <v>3833</v>
      </c>
      <c r="E121" t="s">
        <v>22</v>
      </c>
      <c r="F121" s="387">
        <v>6</v>
      </c>
      <c r="G121" s="16">
        <f>'WetLitterbags placem_collection'!E48</f>
        <v>42766</v>
      </c>
      <c r="H121" t="str">
        <f>'Final data_for_R_analysis_Wetse'!J47</f>
        <v>G635</v>
      </c>
      <c r="I121" t="str">
        <f>'Final data_for_R_analysis_Wetse'!J267</f>
        <v>R86</v>
      </c>
      <c r="J121">
        <f>IFERROR(INDEX('Green_rooibos initial weight'!$C$5:$C$1749,MATCH(H121, 'Green_rooibos initial weight'!$A$5:$A$1749,0)),"")</f>
        <v>2.073</v>
      </c>
      <c r="K121">
        <f>IFERROR(INDEX('Green_rooibos initial weight'!$C$5:$C$1749,MATCH(I121, 'Green_rooibos initial weight'!$A$5:$A$1749,0)),"")</f>
        <v>2.242</v>
      </c>
      <c r="L121" s="195">
        <f t="shared" si="4"/>
        <v>1.8231999999999999</v>
      </c>
      <c r="M121" s="195">
        <f>AVERAGE(Ashed_controlls!$K$2:$K$11)</f>
        <v>5.5147656768714146</v>
      </c>
      <c r="N121" s="195">
        <f t="shared" si="0"/>
        <v>1.7226547921792803</v>
      </c>
      <c r="O121" s="195">
        <f t="shared" si="5"/>
        <v>1.9922</v>
      </c>
      <c r="P121" s="195">
        <f>AVERAGE(Ashed_controlls!$K$12:$K$14)</f>
        <v>2.2816647271287041</v>
      </c>
      <c r="Q121" s="195">
        <f t="shared" si="6"/>
        <v>1.9467446753061419</v>
      </c>
      <c r="R121" s="16">
        <f>IF('WetLitterbags placem_collection'!G48="N.A","",'WetLitterbags placem_collection'!G48)</f>
        <v>42820</v>
      </c>
      <c r="S121" s="195" t="str">
        <f>IF(IFERROR(INDEX('Both teabags AfterWet'!$C$3:$C$841,MATCH(H121,'Both teabags AfterWet'!$A$3:$A$841,0)),"")="N.A","",(IFERROR(INDEX('Both teabags AfterWet'!$C$3:$C$841,MATCH(H121,'Both teabags AfterWet'!$A$3:$A$841,0)),"")))</f>
        <v/>
      </c>
      <c r="T121" s="195" t="str">
        <f>IFERROR(INDEX('Both teabags AfterWet'!$C$3:$C$841,MATCH(I121,'Both teabags AfterWet'!$A$3:$A$841,0)),"")</f>
        <v/>
      </c>
      <c r="U121" s="195" t="str">
        <f t="shared" si="7"/>
        <v/>
      </c>
      <c r="V121" s="195" t="str">
        <f t="shared" si="7"/>
        <v/>
      </c>
      <c r="W121" s="195" t="str">
        <f>IFERROR(INDEX('Ashed teabags wet'!$K$2:$K$821,MATCH(H121,'Ashed teabags wet'!$A$2:$A$821,0)),"")</f>
        <v/>
      </c>
      <c r="X121" s="195" t="str">
        <f>IFERROR(INDEX('Ashed teabags wet'!$K$2:$K$821,MATCH(I121,'Ashed teabags wet'!$A$2:$A$821,0)),"")</f>
        <v/>
      </c>
      <c r="Y121" s="195" t="str">
        <f t="shared" si="1"/>
        <v/>
      </c>
      <c r="Z121" s="195" t="str">
        <f t="shared" si="1"/>
        <v/>
      </c>
      <c r="AA121" s="195" t="str">
        <f t="shared" si="8"/>
        <v/>
      </c>
      <c r="AB121" s="195" t="str">
        <f t="shared" si="9"/>
        <v/>
      </c>
      <c r="AC121" s="195" t="str">
        <f t="shared" si="2"/>
        <v/>
      </c>
      <c r="AD121">
        <f t="shared" si="3"/>
        <v>54</v>
      </c>
      <c r="AE121" s="195" t="str">
        <f t="shared" si="10"/>
        <v/>
      </c>
      <c r="AF121" s="195" t="str">
        <f t="shared" si="11"/>
        <v/>
      </c>
      <c r="AG121" s="255" t="str">
        <f>IF(ISNUMBER(SEARCH("C",'WetLitterbags placem_collection'!AD48)),"YES","NO")</f>
        <v>NO</v>
      </c>
      <c r="AH121" s="255" t="str">
        <f>IF(ISNUMBER(SEARCH("H", 'WetLitterbags placem_collection'!AD48)),"YES","NO")</f>
        <v>NO</v>
      </c>
      <c r="AI121" s="255" t="str">
        <f>IF(ISNUMBER(SEARCH("R", 'WetLitterbags placem_collection'!AD48)),"YES","NO")</f>
        <v>NO</v>
      </c>
      <c r="AJ121" s="255" t="str">
        <f>IF(ISNUMBER(SEARCH("C", 'WetLitterbags placem_collection'!AC48)),"YES","NO")</f>
        <v>NO</v>
      </c>
      <c r="AK121" s="255" t="str">
        <f>IF(ISNUMBER(SEARCH("H", 'WetLitterbags placem_collection'!AC48)),"YES","NO")</f>
        <v>NO</v>
      </c>
      <c r="AL121" s="255" t="str">
        <f>IF(ISNUMBER(SEARCH("R", 'WetLitterbags placem_collection'!AC48)),"YES","NO")</f>
        <v>NO</v>
      </c>
    </row>
    <row r="122" spans="2:38">
      <c r="B122" t="str">
        <f>'Final data_for_R_analysis_Wetse'!A48</f>
        <v>Wet</v>
      </c>
      <c r="C122" s="263">
        <f>'Final data_for_R_analysis_Wetse'!B48</f>
        <v>47</v>
      </c>
      <c r="D122" t="s">
        <v>3833</v>
      </c>
      <c r="E122" t="s">
        <v>22</v>
      </c>
      <c r="F122" s="387">
        <v>7</v>
      </c>
      <c r="G122" s="16">
        <f>'WetLitterbags placem_collection'!E49</f>
        <v>42766</v>
      </c>
      <c r="H122" t="str">
        <f>'Final data_for_R_analysis_Wetse'!J48</f>
        <v>G539</v>
      </c>
      <c r="I122" t="str">
        <f>'Final data_for_R_analysis_Wetse'!J268</f>
        <v>R146</v>
      </c>
      <c r="J122">
        <f>IFERROR(INDEX('Green_rooibos initial weight'!$C$5:$C$1749,MATCH(H122, 'Green_rooibos initial weight'!$A$5:$A$1749,0)),"")</f>
        <v>2.1219999999999999</v>
      </c>
      <c r="K122">
        <f>IFERROR(INDEX('Green_rooibos initial weight'!$C$5:$C$1749,MATCH(I122, 'Green_rooibos initial weight'!$A$5:$A$1749,0)),"")</f>
        <v>2.2010000000000001</v>
      </c>
      <c r="L122" s="195">
        <f t="shared" si="4"/>
        <v>1.8721999999999999</v>
      </c>
      <c r="M122" s="195">
        <f>AVERAGE(Ashed_controlls!$K$2:$K$11)</f>
        <v>5.5147656768714146</v>
      </c>
      <c r="N122" s="195">
        <f t="shared" si="0"/>
        <v>1.7689525569976132</v>
      </c>
      <c r="O122" s="195">
        <f t="shared" si="5"/>
        <v>1.9512</v>
      </c>
      <c r="P122" s="195">
        <f>AVERAGE(Ashed_controlls!$K$12:$K$14)</f>
        <v>2.2816647271287041</v>
      </c>
      <c r="Q122" s="195">
        <f t="shared" si="6"/>
        <v>1.9066801578442647</v>
      </c>
      <c r="R122" s="16">
        <f>IF('WetLitterbags placem_collection'!G49="N.A","",'WetLitterbags placem_collection'!G49)</f>
        <v>42820</v>
      </c>
      <c r="S122" s="195">
        <f>IF(IFERROR(INDEX('Both teabags AfterWet'!$C$3:$C$841,MATCH(H122,'Both teabags AfterWet'!$A$3:$A$841,0)),"")="N.A","",(IFERROR(INDEX('Both teabags AfterWet'!$C$3:$C$841,MATCH(H122,'Both teabags AfterWet'!$A$3:$A$841,0)),"")))</f>
        <v>0.80700000000000005</v>
      </c>
      <c r="T122" s="195">
        <f>IFERROR(INDEX('Both teabags AfterWet'!$C$3:$C$841,MATCH(I122,'Both teabags AfterWet'!$A$3:$A$841,0)),"")</f>
        <v>1.651</v>
      </c>
      <c r="U122" s="195">
        <f t="shared" si="7"/>
        <v>0.65640000000000009</v>
      </c>
      <c r="V122" s="195">
        <f t="shared" si="7"/>
        <v>1.5004</v>
      </c>
      <c r="W122" s="195">
        <f>IFERROR(INDEX('Ashed teabags wet'!$K$2:$K$821,MATCH(H122,'Ashed teabags wet'!$A$2:$A$821,0)),"")</f>
        <v>11.917347429120182</v>
      </c>
      <c r="X122" s="195">
        <f>IFERROR(INDEX('Ashed teabags wet'!$K$2:$K$821,MATCH(I122,'Ashed teabags wet'!$A$2:$A$821,0)),"")</f>
        <v>7.3593073593070963</v>
      </c>
      <c r="Y122" s="195">
        <f t="shared" si="1"/>
        <v>0.57817453147525522</v>
      </c>
      <c r="Z122" s="195">
        <f t="shared" si="1"/>
        <v>1.3899809523809563</v>
      </c>
      <c r="AA122" s="195">
        <f t="shared" si="8"/>
        <v>0.67315430298675027</v>
      </c>
      <c r="AB122" s="195">
        <f t="shared" si="9"/>
        <v>0.44130780908395034</v>
      </c>
      <c r="AC122" s="195">
        <f t="shared" si="2"/>
        <v>0.72900583071704061</v>
      </c>
      <c r="AD122">
        <f t="shared" si="3"/>
        <v>54</v>
      </c>
      <c r="AE122" s="195">
        <f t="shared" si="10"/>
        <v>0.20052933136965523</v>
      </c>
      <c r="AF122" s="195">
        <f t="shared" si="11"/>
        <v>1.7631498787218286E-2</v>
      </c>
      <c r="AG122" s="255" t="str">
        <f>IF(ISNUMBER(SEARCH("C",'WetLitterbags placem_collection'!AD49)),"YES","NO")</f>
        <v>NO</v>
      </c>
      <c r="AH122" s="255" t="str">
        <f>IF(ISNUMBER(SEARCH("H", 'WetLitterbags placem_collection'!AD49)),"YES","NO")</f>
        <v>YES</v>
      </c>
      <c r="AI122" s="255" t="str">
        <f>IF(ISNUMBER(SEARCH("R", 'WetLitterbags placem_collection'!AD49)),"YES","NO")</f>
        <v>YES</v>
      </c>
      <c r="AJ122" s="255" t="str">
        <f>IF(ISNUMBER(SEARCH("C", 'WetLitterbags placem_collection'!AC49)),"YES","NO")</f>
        <v>NO</v>
      </c>
      <c r="AK122" s="255" t="str">
        <f>IF(ISNUMBER(SEARCH("H", 'WetLitterbags placem_collection'!AC49)),"YES","NO")</f>
        <v>NO</v>
      </c>
      <c r="AL122" s="255" t="str">
        <f>IF(ISNUMBER(SEARCH("R", 'WetLitterbags placem_collection'!AC49)),"YES","NO")</f>
        <v>NO</v>
      </c>
    </row>
    <row r="123" spans="2:38">
      <c r="B123" t="str">
        <f>'Final data_for_R_analysis_Wetse'!A49</f>
        <v>Wet</v>
      </c>
      <c r="C123" s="263">
        <f>'Final data_for_R_analysis_Wetse'!B49</f>
        <v>48</v>
      </c>
      <c r="D123" t="s">
        <v>3833</v>
      </c>
      <c r="E123" t="s">
        <v>22</v>
      </c>
      <c r="F123" s="387">
        <v>8</v>
      </c>
      <c r="G123" s="16">
        <f>'WetLitterbags placem_collection'!E50</f>
        <v>42766</v>
      </c>
      <c r="H123" t="str">
        <f>'Final data_for_R_analysis_Wetse'!J49</f>
        <v>G679</v>
      </c>
      <c r="I123" t="str">
        <f>'Final data_for_R_analysis_Wetse'!J269</f>
        <v>R72</v>
      </c>
      <c r="J123">
        <f>IFERROR(INDEX('Green_rooibos initial weight'!$C$5:$C$1749,MATCH(H123, 'Green_rooibos initial weight'!$A$5:$A$1749,0)),"")</f>
        <v>2.052</v>
      </c>
      <c r="K123">
        <f>IFERROR(INDEX('Green_rooibos initial weight'!$C$5:$C$1749,MATCH(I123, 'Green_rooibos initial weight'!$A$5:$A$1749,0)),"")</f>
        <v>2.2349999999999999</v>
      </c>
      <c r="L123" s="195">
        <f t="shared" si="4"/>
        <v>1.8022</v>
      </c>
      <c r="M123" s="195">
        <f>AVERAGE(Ashed_controlls!$K$2:$K$11)</f>
        <v>5.5147656768714146</v>
      </c>
      <c r="N123" s="195">
        <f t="shared" si="0"/>
        <v>1.7028128929714235</v>
      </c>
      <c r="O123" s="195">
        <f t="shared" si="5"/>
        <v>1.9851999999999999</v>
      </c>
      <c r="P123" s="195">
        <f>AVERAGE(Ashed_controlls!$K$12:$K$14)</f>
        <v>2.2816647271287041</v>
      </c>
      <c r="Q123" s="195">
        <f t="shared" si="6"/>
        <v>1.9399043918370409</v>
      </c>
      <c r="R123" s="16">
        <f>IF('WetLitterbags placem_collection'!G50="N.A","",'WetLitterbags placem_collection'!G50)</f>
        <v>42820</v>
      </c>
      <c r="S123" s="195">
        <f>IF(IFERROR(INDEX('Both teabags AfterWet'!$C$3:$C$841,MATCH(H123,'Both teabags AfterWet'!$A$3:$A$841,0)),"")="N.A","",(IFERROR(INDEX('Both teabags AfterWet'!$C$3:$C$841,MATCH(H123,'Both teabags AfterWet'!$A$3:$A$841,0)),"")))</f>
        <v>0.83199999999999996</v>
      </c>
      <c r="T123" s="195">
        <f>IFERROR(INDEX('Both teabags AfterWet'!$C$3:$C$841,MATCH(I123,'Both teabags AfterWet'!$A$3:$A$841,0)),"")</f>
        <v>1.6359999999999999</v>
      </c>
      <c r="U123" s="195">
        <f t="shared" si="7"/>
        <v>0.68140000000000001</v>
      </c>
      <c r="V123" s="195">
        <f t="shared" si="7"/>
        <v>1.4853999999999998</v>
      </c>
      <c r="W123" s="195">
        <f>IFERROR(INDEX('Ashed teabags wet'!$K$2:$K$821,MATCH(H123,'Ashed teabags wet'!$A$2:$A$821,0)),"")</f>
        <v>7.6283618581914308</v>
      </c>
      <c r="X123" s="195">
        <f>IFERROR(INDEX('Ashed teabags wet'!$K$2:$K$821,MATCH(I123,'Ashed teabags wet'!$A$2:$A$821,0)),"")</f>
        <v>4.6647230320703335</v>
      </c>
      <c r="Y123" s="195">
        <f t="shared" si="1"/>
        <v>0.62942034229828359</v>
      </c>
      <c r="Z123" s="195">
        <f t="shared" si="1"/>
        <v>1.4161102040816271</v>
      </c>
      <c r="AA123" s="195">
        <f t="shared" si="8"/>
        <v>0.63036435482941433</v>
      </c>
      <c r="AB123" s="195">
        <f t="shared" si="9"/>
        <v>0.41325549152712204</v>
      </c>
      <c r="AC123" s="195">
        <f t="shared" si="2"/>
        <v>0.72998968920350049</v>
      </c>
      <c r="AD123">
        <f t="shared" si="3"/>
        <v>54</v>
      </c>
      <c r="AE123" s="195">
        <f t="shared" si="10"/>
        <v>0.25134874723347467</v>
      </c>
      <c r="AF123" s="195">
        <f t="shared" si="11"/>
        <v>1.9620524307127966E-2</v>
      </c>
      <c r="AG123" s="255" t="str">
        <f>IF(ISNUMBER(SEARCH("C",'WetLitterbags placem_collection'!AD50)),"YES","NO")</f>
        <v>NO</v>
      </c>
      <c r="AH123" s="255" t="str">
        <f>IF(ISNUMBER(SEARCH("H", 'WetLitterbags placem_collection'!AD50)),"YES","NO")</f>
        <v>NO</v>
      </c>
      <c r="AI123" s="255" t="str">
        <f>IF(ISNUMBER(SEARCH("R", 'WetLitterbags placem_collection'!AD50)),"YES","NO")</f>
        <v>NO</v>
      </c>
      <c r="AJ123" s="255" t="str">
        <f>IF(ISNUMBER(SEARCH("C", 'WetLitterbags placem_collection'!AC50)),"YES","NO")</f>
        <v>NO</v>
      </c>
      <c r="AK123" s="255" t="str">
        <f>IF(ISNUMBER(SEARCH("H", 'WetLitterbags placem_collection'!AC50)),"YES","NO")</f>
        <v>NO</v>
      </c>
      <c r="AL123" s="255" t="str">
        <f>IF(ISNUMBER(SEARCH("R", 'WetLitterbags placem_collection'!AC50)),"YES","NO")</f>
        <v>NO</v>
      </c>
    </row>
    <row r="124" spans="2:38">
      <c r="B124" t="str">
        <f>'Final data_for_R_analysis_Wetse'!A50</f>
        <v>Wet</v>
      </c>
      <c r="C124" s="263">
        <f>'Final data_for_R_analysis_Wetse'!B50</f>
        <v>49</v>
      </c>
      <c r="D124" t="s">
        <v>3834</v>
      </c>
      <c r="E124" t="s">
        <v>22</v>
      </c>
      <c r="F124" s="386">
        <v>1</v>
      </c>
      <c r="G124" s="16">
        <f>'WetLitterbags placem_collection'!E51</f>
        <v>42766</v>
      </c>
      <c r="H124" t="str">
        <f>'Final data_for_R_analysis_Wetse'!J50</f>
        <v>G346</v>
      </c>
      <c r="I124" t="str">
        <f>'Final data_for_R_analysis_Wetse'!J270</f>
        <v>R28</v>
      </c>
      <c r="J124">
        <f>IFERROR(INDEX('Green_rooibos initial weight'!$C$5:$C$1749,MATCH(H124, 'Green_rooibos initial weight'!$A$5:$A$1749,0)),"")</f>
        <v>2.012</v>
      </c>
      <c r="K124">
        <f>IFERROR(INDEX('Green_rooibos initial weight'!$C$5:$C$1749,MATCH(I124, 'Green_rooibos initial weight'!$A$5:$A$1749,0)),"")</f>
        <v>2.1030000000000002</v>
      </c>
      <c r="L124" s="195">
        <f t="shared" si="4"/>
        <v>1.7622</v>
      </c>
      <c r="M124" s="195">
        <f>AVERAGE(Ashed_controlls!$K$2:$K$11)</f>
        <v>5.5147656768714146</v>
      </c>
      <c r="N124" s="195">
        <f t="shared" si="0"/>
        <v>1.6650187992421719</v>
      </c>
      <c r="O124" s="195">
        <f t="shared" si="5"/>
        <v>1.8532000000000002</v>
      </c>
      <c r="P124" s="195">
        <f>AVERAGE(Ashed_controlls!$K$12:$K$14)</f>
        <v>2.2816647271287041</v>
      </c>
      <c r="Q124" s="195">
        <f t="shared" si="6"/>
        <v>1.8109161892768511</v>
      </c>
      <c r="R124" s="16">
        <f>IF('WetLitterbags placem_collection'!G51="N.A","",'WetLitterbags placem_collection'!G51)</f>
        <v>42820</v>
      </c>
      <c r="S124" s="195">
        <f>IF(IFERROR(INDEX('Both teabags AfterWet'!$C$3:$C$841,MATCH(H124,'Both teabags AfterWet'!$A$3:$A$841,0)),"")="N.A","",(IFERROR(INDEX('Both teabags AfterWet'!$C$3:$C$841,MATCH(H124,'Both teabags AfterWet'!$A$3:$A$841,0)),"")))</f>
        <v>1.0001</v>
      </c>
      <c r="T124" s="195">
        <f>IFERROR(INDEX('Both teabags AfterWet'!$C$3:$C$841,MATCH(I124,'Both teabags AfterWet'!$A$3:$A$841,0)),"")</f>
        <v>1.5992999999999999</v>
      </c>
      <c r="U124" s="195">
        <f t="shared" si="7"/>
        <v>0.84949999999999992</v>
      </c>
      <c r="V124" s="195">
        <f t="shared" si="7"/>
        <v>1.4486999999999999</v>
      </c>
      <c r="W124" s="195">
        <f>IFERROR(INDEX('Ashed teabags wet'!$K$2:$K$821,MATCH(H124,'Ashed teabags wet'!$A$2:$A$821,0)),"")</f>
        <v>20.217498764212234</v>
      </c>
      <c r="X124" s="195">
        <f>IFERROR(INDEX('Ashed teabags wet'!$K$2:$K$821,MATCH(I124,'Ashed teabags wet'!$A$2:$A$821,0)),"")</f>
        <v>11.563275434243886</v>
      </c>
      <c r="Y124" s="195">
        <f t="shared" si="1"/>
        <v>0.67775234799801698</v>
      </c>
      <c r="Z124" s="195">
        <f t="shared" si="1"/>
        <v>1.2811828287841087</v>
      </c>
      <c r="AA124" s="195">
        <f t="shared" si="8"/>
        <v>0.59294612871248431</v>
      </c>
      <c r="AB124" s="195">
        <f t="shared" si="9"/>
        <v>0.38872477796827953</v>
      </c>
      <c r="AC124" s="195">
        <f t="shared" si="2"/>
        <v>0.70747770458428583</v>
      </c>
      <c r="AD124">
        <f t="shared" si="3"/>
        <v>54</v>
      </c>
      <c r="AE124" s="195">
        <f t="shared" si="10"/>
        <v>0.29578844570963858</v>
      </c>
      <c r="AF124" s="195">
        <f t="shared" si="11"/>
        <v>2.5859563297516392E-2</v>
      </c>
      <c r="AG124" s="255" t="str">
        <f>IF(ISNUMBER(SEARCH("C",'WetLitterbags placem_collection'!AD51)),"YES","NO")</f>
        <v>NO</v>
      </c>
      <c r="AH124" s="255" t="str">
        <f>IF(ISNUMBER(SEARCH("H", 'WetLitterbags placem_collection'!AD51)),"YES","NO")</f>
        <v>YES</v>
      </c>
      <c r="AI124" s="255" t="str">
        <f>IF(ISNUMBER(SEARCH("R", 'WetLitterbags placem_collection'!AD51)),"YES","NO")</f>
        <v>YES</v>
      </c>
      <c r="AJ124" s="255" t="str">
        <f>IF(ISNUMBER(SEARCH("C", 'WetLitterbags placem_collection'!AC51)),"YES","NO")</f>
        <v>NO</v>
      </c>
      <c r="AK124" s="255" t="str">
        <f>IF(ISNUMBER(SEARCH("H", 'WetLitterbags placem_collection'!AC51)),"YES","NO")</f>
        <v>NO</v>
      </c>
      <c r="AL124" s="255" t="str">
        <f>IF(ISNUMBER(SEARCH("R", 'WetLitterbags placem_collection'!AC51)),"YES","NO")</f>
        <v>NO</v>
      </c>
    </row>
    <row r="125" spans="2:38">
      <c r="B125" t="str">
        <f>'Final data_for_R_analysis_Wetse'!A51</f>
        <v>Wet</v>
      </c>
      <c r="C125" s="263">
        <f>'Final data_for_R_analysis_Wetse'!B51</f>
        <v>50</v>
      </c>
      <c r="D125" t="s">
        <v>3834</v>
      </c>
      <c r="E125" t="s">
        <v>22</v>
      </c>
      <c r="F125" s="386">
        <v>2</v>
      </c>
      <c r="G125" s="16">
        <f>'WetLitterbags placem_collection'!E52</f>
        <v>42766</v>
      </c>
      <c r="H125" t="str">
        <f>'Final data_for_R_analysis_Wetse'!J51</f>
        <v>G418</v>
      </c>
      <c r="I125" t="str">
        <f>'Final data_for_R_analysis_Wetse'!J271</f>
        <v>R5</v>
      </c>
      <c r="J125">
        <f>IFERROR(INDEX('Green_rooibos initial weight'!$C$5:$C$1749,MATCH(H125, 'Green_rooibos initial weight'!$A$5:$A$1749,0)),"")</f>
        <v>2.016</v>
      </c>
      <c r="K125">
        <f>IFERROR(INDEX('Green_rooibos initial weight'!$C$5:$C$1749,MATCH(I125, 'Green_rooibos initial weight'!$A$5:$A$1749,0)),"")</f>
        <v>2.1800000000000002</v>
      </c>
      <c r="L125" s="195">
        <f t="shared" si="4"/>
        <v>1.7662</v>
      </c>
      <c r="M125" s="195">
        <f>AVERAGE(Ashed_controlls!$K$2:$K$11)</f>
        <v>5.5147656768714146</v>
      </c>
      <c r="N125" s="195">
        <f t="shared" si="0"/>
        <v>1.668798208615097</v>
      </c>
      <c r="O125" s="195">
        <f t="shared" si="5"/>
        <v>1.9302000000000001</v>
      </c>
      <c r="P125" s="195">
        <f>AVERAGE(Ashed_controlls!$K$12:$K$14)</f>
        <v>2.2816647271287041</v>
      </c>
      <c r="Q125" s="195">
        <f t="shared" si="6"/>
        <v>1.8861593074369618</v>
      </c>
      <c r="R125" s="16">
        <f>IF('WetLitterbags placem_collection'!G52="N.A","",'WetLitterbags placem_collection'!G52)</f>
        <v>42820</v>
      </c>
      <c r="S125" s="195" t="str">
        <f>IF(IFERROR(INDEX('Both teabags AfterWet'!$C$3:$C$841,MATCH(H125,'Both teabags AfterWet'!$A$3:$A$841,0)),"")="N.A","",(IFERROR(INDEX('Both teabags AfterWet'!$C$3:$C$841,MATCH(H125,'Both teabags AfterWet'!$A$3:$A$841,0)),"")))</f>
        <v/>
      </c>
      <c r="T125" s="195" t="str">
        <f>IFERROR(INDEX('Both teabags AfterWet'!$C$3:$C$841,MATCH(I125,'Both teabags AfterWet'!$A$3:$A$841,0)),"")</f>
        <v/>
      </c>
      <c r="U125" s="195" t="str">
        <f t="shared" si="7"/>
        <v/>
      </c>
      <c r="V125" s="195" t="str">
        <f t="shared" si="7"/>
        <v/>
      </c>
      <c r="W125" s="195" t="str">
        <f>IFERROR(INDEX('Ashed teabags wet'!$K$2:$K$821,MATCH(H125,'Ashed teabags wet'!$A$2:$A$821,0)),"")</f>
        <v/>
      </c>
      <c r="X125" s="195" t="str">
        <f>IFERROR(INDEX('Ashed teabags wet'!$K$2:$K$821,MATCH(I125,'Ashed teabags wet'!$A$2:$A$821,0)),"")</f>
        <v/>
      </c>
      <c r="Y125" s="195" t="str">
        <f t="shared" si="1"/>
        <v/>
      </c>
      <c r="Z125" s="195" t="str">
        <f t="shared" si="1"/>
        <v/>
      </c>
      <c r="AA125" s="195" t="str">
        <f t="shared" si="8"/>
        <v/>
      </c>
      <c r="AB125" s="195" t="str">
        <f t="shared" si="9"/>
        <v/>
      </c>
      <c r="AC125" s="195" t="str">
        <f t="shared" si="2"/>
        <v/>
      </c>
      <c r="AD125">
        <f t="shared" si="3"/>
        <v>54</v>
      </c>
      <c r="AE125" s="195" t="str">
        <f t="shared" si="10"/>
        <v/>
      </c>
      <c r="AF125" s="195" t="str">
        <f t="shared" si="11"/>
        <v/>
      </c>
      <c r="AG125" s="255" t="str">
        <f>IF(ISNUMBER(SEARCH("C",'WetLitterbags placem_collection'!AD52)),"YES","NO")</f>
        <v>NO</v>
      </c>
      <c r="AH125" s="255" t="str">
        <f>IF(ISNUMBER(SEARCH("H", 'WetLitterbags placem_collection'!AD52)),"YES","NO")</f>
        <v>NO</v>
      </c>
      <c r="AI125" s="255" t="str">
        <f>IF(ISNUMBER(SEARCH("R", 'WetLitterbags placem_collection'!AD52)),"YES","NO")</f>
        <v>NO</v>
      </c>
      <c r="AJ125" s="255" t="str">
        <f>IF(ISNUMBER(SEARCH("C", 'WetLitterbags placem_collection'!AC52)),"YES","NO")</f>
        <v>NO</v>
      </c>
      <c r="AK125" s="255" t="str">
        <f>IF(ISNUMBER(SEARCH("H", 'WetLitterbags placem_collection'!AC52)),"YES","NO")</f>
        <v>NO</v>
      </c>
      <c r="AL125" s="255" t="str">
        <f>IF(ISNUMBER(SEARCH("R", 'WetLitterbags placem_collection'!AC52)),"YES","NO")</f>
        <v>NO</v>
      </c>
    </row>
    <row r="126" spans="2:38">
      <c r="B126" t="str">
        <f>'Final data_for_R_analysis_Wetse'!A52</f>
        <v>Wet</v>
      </c>
      <c r="C126" s="263">
        <f>'Final data_for_R_analysis_Wetse'!B52</f>
        <v>51</v>
      </c>
      <c r="D126" t="s">
        <v>3834</v>
      </c>
      <c r="E126" t="s">
        <v>22</v>
      </c>
      <c r="F126" s="386">
        <v>3</v>
      </c>
      <c r="G126" s="16">
        <f>'WetLitterbags placem_collection'!E53</f>
        <v>42766</v>
      </c>
      <c r="H126" t="str">
        <f>'Final data_for_R_analysis_Wetse'!J52</f>
        <v>G548</v>
      </c>
      <c r="I126" t="str">
        <f>'Final data_for_R_analysis_Wetse'!J272</f>
        <v>R85</v>
      </c>
      <c r="J126">
        <f>IFERROR(INDEX('Green_rooibos initial weight'!$C$5:$C$1749,MATCH(H126, 'Green_rooibos initial weight'!$A$5:$A$1749,0)),"")</f>
        <v>2.169</v>
      </c>
      <c r="K126">
        <f>IFERROR(INDEX('Green_rooibos initial weight'!$C$5:$C$1749,MATCH(I126, 'Green_rooibos initial weight'!$A$5:$A$1749,0)),"")</f>
        <v>2.1930000000000001</v>
      </c>
      <c r="L126" s="195">
        <f t="shared" si="4"/>
        <v>1.9192</v>
      </c>
      <c r="M126" s="195">
        <f>AVERAGE(Ashed_controlls!$K$2:$K$11)</f>
        <v>5.5147656768714146</v>
      </c>
      <c r="N126" s="195">
        <f t="shared" si="0"/>
        <v>1.8133606171294838</v>
      </c>
      <c r="O126" s="195">
        <f t="shared" si="5"/>
        <v>1.9432</v>
      </c>
      <c r="P126" s="195">
        <f>AVERAGE(Ashed_controlls!$K$12:$K$14)</f>
        <v>2.2816647271287041</v>
      </c>
      <c r="Q126" s="195">
        <f t="shared" si="6"/>
        <v>1.8988626910224351</v>
      </c>
      <c r="R126" s="16">
        <f>IF('WetLitterbags placem_collection'!G53="N.A","",'WetLitterbags placem_collection'!G53)</f>
        <v>42820</v>
      </c>
      <c r="S126" s="195">
        <f>IF(IFERROR(INDEX('Both teabags AfterWet'!$C$3:$C$841,MATCH(H126,'Both teabags AfterWet'!$A$3:$A$841,0)),"")="N.A","",(IFERROR(INDEX('Both teabags AfterWet'!$C$3:$C$841,MATCH(H126,'Both teabags AfterWet'!$A$3:$A$841,0)),"")))</f>
        <v>0.86399999999999999</v>
      </c>
      <c r="T126" s="195">
        <f>IFERROR(INDEX('Both teabags AfterWet'!$C$3:$C$841,MATCH(I126,'Both teabags AfterWet'!$A$3:$A$841,0)),"")</f>
        <v>1.599</v>
      </c>
      <c r="U126" s="195">
        <f t="shared" si="7"/>
        <v>0.71340000000000003</v>
      </c>
      <c r="V126" s="195">
        <f t="shared" si="7"/>
        <v>1.4483999999999999</v>
      </c>
      <c r="W126" s="195">
        <f>IFERROR(INDEX('Ashed teabags wet'!$K$2:$K$821,MATCH(H126,'Ashed teabags wet'!$A$2:$A$821,0)),"")</f>
        <v>8.9955022488745993</v>
      </c>
      <c r="X126" s="195">
        <f>IFERROR(INDEX('Ashed teabags wet'!$K$2:$K$821,MATCH(I126,'Ashed teabags wet'!$A$2:$A$821,0)),"")</f>
        <v>6.0009601536244919</v>
      </c>
      <c r="Y126" s="195">
        <f t="shared" si="1"/>
        <v>0.64922608695652861</v>
      </c>
      <c r="Z126" s="195">
        <f t="shared" si="1"/>
        <v>1.3614820931349028</v>
      </c>
      <c r="AA126" s="195">
        <f t="shared" si="8"/>
        <v>0.64197629482863627</v>
      </c>
      <c r="AB126" s="195">
        <f t="shared" si="9"/>
        <v>0.42086806976889218</v>
      </c>
      <c r="AC126" s="195">
        <f t="shared" si="2"/>
        <v>0.71699870642137797</v>
      </c>
      <c r="AD126">
        <f t="shared" si="3"/>
        <v>54</v>
      </c>
      <c r="AE126" s="195">
        <f t="shared" si="10"/>
        <v>0.23755784462157215</v>
      </c>
      <c r="AF126" s="195">
        <f t="shared" si="11"/>
        <v>2.0667251521434116E-2</v>
      </c>
      <c r="AG126" s="255" t="str">
        <f>IF(ISNUMBER(SEARCH("C",'WetLitterbags placem_collection'!AD53)),"YES","NO")</f>
        <v>NO</v>
      </c>
      <c r="AH126" s="255" t="str">
        <f>IF(ISNUMBER(SEARCH("H", 'WetLitterbags placem_collection'!AD53)),"YES","NO")</f>
        <v>NO</v>
      </c>
      <c r="AI126" s="255" t="str">
        <f>IF(ISNUMBER(SEARCH("R", 'WetLitterbags placem_collection'!AD53)),"YES","NO")</f>
        <v>NO</v>
      </c>
      <c r="AJ126" s="255" t="str">
        <f>IF(ISNUMBER(SEARCH("C", 'WetLitterbags placem_collection'!AC53)),"YES","NO")</f>
        <v>NO</v>
      </c>
      <c r="AK126" s="255" t="str">
        <f>IF(ISNUMBER(SEARCH("H", 'WetLitterbags placem_collection'!AC53)),"YES","NO")</f>
        <v>NO</v>
      </c>
      <c r="AL126" s="255" t="str">
        <f>IF(ISNUMBER(SEARCH("R", 'WetLitterbags placem_collection'!AC53)),"YES","NO")</f>
        <v>NO</v>
      </c>
    </row>
    <row r="127" spans="2:38">
      <c r="B127" t="str">
        <f>'Final data_for_R_analysis_Wetse'!A53</f>
        <v>Wet</v>
      </c>
      <c r="C127" s="263">
        <f>'Final data_for_R_analysis_Wetse'!B53</f>
        <v>52</v>
      </c>
      <c r="D127" t="s">
        <v>3834</v>
      </c>
      <c r="E127" t="s">
        <v>22</v>
      </c>
      <c r="F127" s="387">
        <v>4</v>
      </c>
      <c r="G127" s="16">
        <f>'WetLitterbags placem_collection'!E54</f>
        <v>42766</v>
      </c>
      <c r="H127" t="str">
        <f>'Final data_for_R_analysis_Wetse'!J53</f>
        <v>G638</v>
      </c>
      <c r="I127" t="str">
        <f>'Final data_for_R_analysis_Wetse'!J273</f>
        <v>R513</v>
      </c>
      <c r="J127">
        <f>IFERROR(INDEX('Green_rooibos initial weight'!$C$5:$C$1749,MATCH(H127, 'Green_rooibos initial weight'!$A$5:$A$1749,0)),"")</f>
        <v>2.0409999999999999</v>
      </c>
      <c r="K127">
        <f>IFERROR(INDEX('Green_rooibos initial weight'!$C$5:$C$1749,MATCH(I127, 'Green_rooibos initial weight'!$A$5:$A$1749,0)),"")</f>
        <v>2.1389999999999998</v>
      </c>
      <c r="L127" s="195">
        <f t="shared" si="4"/>
        <v>1.7911999999999999</v>
      </c>
      <c r="M127" s="195">
        <f>AVERAGE(Ashed_controlls!$K$2:$K$11)</f>
        <v>5.5147656768714146</v>
      </c>
      <c r="N127" s="195">
        <f t="shared" si="0"/>
        <v>1.6924195171958791</v>
      </c>
      <c r="O127" s="195">
        <f t="shared" si="5"/>
        <v>1.8891999999999998</v>
      </c>
      <c r="P127" s="195">
        <f>AVERAGE(Ashed_controlls!$K$12:$K$14)</f>
        <v>2.2816647271287041</v>
      </c>
      <c r="Q127" s="195">
        <f t="shared" si="6"/>
        <v>1.8460947899750844</v>
      </c>
      <c r="R127" s="16">
        <f>IF('WetLitterbags placem_collection'!G54="N.A","",'WetLitterbags placem_collection'!G54)</f>
        <v>42820</v>
      </c>
      <c r="S127" s="195">
        <f>IF(IFERROR(INDEX('Both teabags AfterWet'!$C$3:$C$841,MATCH(H127,'Both teabags AfterWet'!$A$3:$A$841,0)),"")="N.A","",(IFERROR(INDEX('Both teabags AfterWet'!$C$3:$C$841,MATCH(H127,'Both teabags AfterWet'!$A$3:$A$841,0)),"")))</f>
        <v>1.075</v>
      </c>
      <c r="T127" s="195">
        <f>IFERROR(INDEX('Both teabags AfterWet'!$C$3:$C$841,MATCH(I127,'Both teabags AfterWet'!$A$3:$A$841,0)),"")</f>
        <v>1.6279999999999999</v>
      </c>
      <c r="U127" s="195">
        <f t="shared" si="7"/>
        <v>0.92439999999999989</v>
      </c>
      <c r="V127" s="195">
        <f t="shared" si="7"/>
        <v>1.4773999999999998</v>
      </c>
      <c r="W127" s="195">
        <f>IFERROR(INDEX('Ashed teabags wet'!$K$2:$K$821,MATCH(H127,'Ashed teabags wet'!$A$2:$A$821,0)),"")</f>
        <v>30.654761904762275</v>
      </c>
      <c r="X127" s="195">
        <f>IFERROR(INDEX('Ashed teabags wet'!$K$2:$K$821,MATCH(I127,'Ashed teabags wet'!$A$2:$A$821,0)),"")</f>
        <v>11.073500967118232</v>
      </c>
      <c r="Y127" s="195">
        <f t="shared" si="1"/>
        <v>0.64102738095237743</v>
      </c>
      <c r="Z127" s="195">
        <f t="shared" si="1"/>
        <v>1.3138000967117951</v>
      </c>
      <c r="AA127" s="195">
        <f t="shared" si="8"/>
        <v>0.62123612116310434</v>
      </c>
      <c r="AB127" s="195">
        <f t="shared" si="9"/>
        <v>0.40727118632070503</v>
      </c>
      <c r="AC127" s="195">
        <f t="shared" si="2"/>
        <v>0.71166448431909968</v>
      </c>
      <c r="AD127">
        <f t="shared" si="3"/>
        <v>54</v>
      </c>
      <c r="AE127" s="195">
        <f t="shared" si="10"/>
        <v>0.26218987985379527</v>
      </c>
      <c r="AF127" s="195">
        <f t="shared" si="11"/>
        <v>2.2794379720940658E-2</v>
      </c>
      <c r="AG127" s="255" t="str">
        <f>IF(ISNUMBER(SEARCH("C",'WetLitterbags placem_collection'!AD54)),"YES","NO")</f>
        <v>NO</v>
      </c>
      <c r="AH127" s="255" t="str">
        <f>IF(ISNUMBER(SEARCH("H", 'WetLitterbags placem_collection'!AD54)),"YES","NO")</f>
        <v>YES</v>
      </c>
      <c r="AI127" s="255" t="str">
        <f>IF(ISNUMBER(SEARCH("R", 'WetLitterbags placem_collection'!AD54)),"YES","NO")</f>
        <v>YES</v>
      </c>
      <c r="AJ127" s="255" t="str">
        <f>IF(ISNUMBER(SEARCH("C", 'WetLitterbags placem_collection'!AC54)),"YES","NO")</f>
        <v>NO</v>
      </c>
      <c r="AK127" s="255" t="str">
        <f>IF(ISNUMBER(SEARCH("H", 'WetLitterbags placem_collection'!AC54)),"YES","NO")</f>
        <v>NO</v>
      </c>
      <c r="AL127" s="255" t="str">
        <f>IF(ISNUMBER(SEARCH("R", 'WetLitterbags placem_collection'!AC54)),"YES","NO")</f>
        <v>NO</v>
      </c>
    </row>
    <row r="128" spans="2:38">
      <c r="B128" t="str">
        <f>'Final data_for_R_analysis_Wetse'!A54</f>
        <v>Wet</v>
      </c>
      <c r="C128" s="263">
        <f>'Final data_for_R_analysis_Wetse'!B54</f>
        <v>53</v>
      </c>
      <c r="D128" t="s">
        <v>3834</v>
      </c>
      <c r="E128" t="s">
        <v>22</v>
      </c>
      <c r="F128" s="387">
        <v>5</v>
      </c>
      <c r="G128" s="16">
        <f>'WetLitterbags placem_collection'!E55</f>
        <v>42766</v>
      </c>
      <c r="H128" t="str">
        <f>'Final data_for_R_analysis_Wetse'!J54</f>
        <v>G426</v>
      </c>
      <c r="I128" t="str">
        <f>'Final data_for_R_analysis_Wetse'!J274</f>
        <v>R399</v>
      </c>
      <c r="J128">
        <f>IFERROR(INDEX('Green_rooibos initial weight'!$C$5:$C$1749,MATCH(H128, 'Green_rooibos initial weight'!$A$5:$A$1749,0)),"")</f>
        <v>2.0230000000000001</v>
      </c>
      <c r="K128">
        <f>IFERROR(INDEX('Green_rooibos initial weight'!$C$5:$C$1749,MATCH(I128, 'Green_rooibos initial weight'!$A$5:$A$1749,0)),"")</f>
        <v>2.1389999999999998</v>
      </c>
      <c r="L128" s="195">
        <f t="shared" si="4"/>
        <v>1.7732000000000001</v>
      </c>
      <c r="M128" s="195">
        <f>AVERAGE(Ashed_controlls!$K$2:$K$11)</f>
        <v>5.5147656768714146</v>
      </c>
      <c r="N128" s="195">
        <f t="shared" si="0"/>
        <v>1.6754121750177162</v>
      </c>
      <c r="O128" s="195">
        <f t="shared" si="5"/>
        <v>1.8891999999999998</v>
      </c>
      <c r="P128" s="195">
        <f>AVERAGE(Ashed_controlls!$K$12:$K$14)</f>
        <v>2.2816647271287041</v>
      </c>
      <c r="Q128" s="195">
        <f t="shared" si="6"/>
        <v>1.8460947899750844</v>
      </c>
      <c r="R128" s="16">
        <f>IF('WetLitterbags placem_collection'!G55="N.A","",'WetLitterbags placem_collection'!G55)</f>
        <v>42820</v>
      </c>
      <c r="S128" s="195" t="str">
        <f>IF(IFERROR(INDEX('Both teabags AfterWet'!$C$3:$C$841,MATCH(H128,'Both teabags AfterWet'!$A$3:$A$841,0)),"")="N.A","",(IFERROR(INDEX('Both teabags AfterWet'!$C$3:$C$841,MATCH(H128,'Both teabags AfterWet'!$A$3:$A$841,0)),"")))</f>
        <v/>
      </c>
      <c r="T128" s="195" t="str">
        <f>IFERROR(INDEX('Both teabags AfterWet'!$C$3:$C$841,MATCH(I128,'Both teabags AfterWet'!$A$3:$A$841,0)),"")</f>
        <v/>
      </c>
      <c r="U128" s="195" t="str">
        <f t="shared" si="7"/>
        <v/>
      </c>
      <c r="V128" s="195" t="str">
        <f t="shared" si="7"/>
        <v/>
      </c>
      <c r="W128" s="195" t="str">
        <f>IFERROR(INDEX('Ashed teabags wet'!$K$2:$K$821,MATCH(H128,'Ashed teabags wet'!$A$2:$A$821,0)),"")</f>
        <v/>
      </c>
      <c r="X128" s="195" t="str">
        <f>IFERROR(INDEX('Ashed teabags wet'!$K$2:$K$821,MATCH(I128,'Ashed teabags wet'!$A$2:$A$821,0)),"")</f>
        <v/>
      </c>
      <c r="Y128" s="195" t="str">
        <f t="shared" si="1"/>
        <v/>
      </c>
      <c r="Z128" s="195" t="str">
        <f t="shared" si="1"/>
        <v/>
      </c>
      <c r="AA128" s="195" t="str">
        <f t="shared" si="8"/>
        <v/>
      </c>
      <c r="AB128" s="195" t="str">
        <f t="shared" si="9"/>
        <v/>
      </c>
      <c r="AC128" s="195" t="str">
        <f t="shared" si="2"/>
        <v/>
      </c>
      <c r="AD128">
        <f t="shared" si="3"/>
        <v>54</v>
      </c>
      <c r="AE128" s="195" t="str">
        <f t="shared" si="10"/>
        <v/>
      </c>
      <c r="AF128" s="195" t="str">
        <f t="shared" si="11"/>
        <v/>
      </c>
      <c r="AG128" s="255" t="str">
        <f>IF(ISNUMBER(SEARCH("C",'WetLitterbags placem_collection'!AD55)),"YES","NO")</f>
        <v>NO</v>
      </c>
      <c r="AH128" s="255" t="str">
        <f>IF(ISNUMBER(SEARCH("H", 'WetLitterbags placem_collection'!AD55)),"YES","NO")</f>
        <v>NO</v>
      </c>
      <c r="AI128" s="255" t="str">
        <f>IF(ISNUMBER(SEARCH("R", 'WetLitterbags placem_collection'!AD55)),"YES","NO")</f>
        <v>NO</v>
      </c>
      <c r="AJ128" s="255" t="str">
        <f>IF(ISNUMBER(SEARCH("C", 'WetLitterbags placem_collection'!AC55)),"YES","NO")</f>
        <v>NO</v>
      </c>
      <c r="AK128" s="255" t="str">
        <f>IF(ISNUMBER(SEARCH("H", 'WetLitterbags placem_collection'!AC55)),"YES","NO")</f>
        <v>NO</v>
      </c>
      <c r="AL128" s="255" t="str">
        <f>IF(ISNUMBER(SEARCH("R", 'WetLitterbags placem_collection'!AC55)),"YES","NO")</f>
        <v>NO</v>
      </c>
    </row>
    <row r="129" spans="2:38">
      <c r="B129" t="str">
        <f>'Final data_for_R_analysis_Wetse'!A55</f>
        <v>Wet</v>
      </c>
      <c r="C129" s="263">
        <f>'Final data_for_R_analysis_Wetse'!B55</f>
        <v>54</v>
      </c>
      <c r="D129" t="s">
        <v>3834</v>
      </c>
      <c r="E129" t="s">
        <v>22</v>
      </c>
      <c r="F129" s="387">
        <v>6</v>
      </c>
      <c r="G129" s="16">
        <f>'WetLitterbags placem_collection'!E56</f>
        <v>42766</v>
      </c>
      <c r="H129" t="str">
        <f>'Final data_for_R_analysis_Wetse'!J55</f>
        <v>G589</v>
      </c>
      <c r="I129" t="str">
        <f>'Final data_for_R_analysis_Wetse'!J275</f>
        <v>R400</v>
      </c>
      <c r="J129">
        <f>IFERROR(INDEX('Green_rooibos initial weight'!$C$5:$C$1749,MATCH(H129, 'Green_rooibos initial weight'!$A$5:$A$1749,0)),"")</f>
        <v>2.0419999999999998</v>
      </c>
      <c r="K129">
        <f>IFERROR(INDEX('Green_rooibos initial weight'!$C$5:$C$1749,MATCH(I129, 'Green_rooibos initial weight'!$A$5:$A$1749,0)),"")</f>
        <v>2.181</v>
      </c>
      <c r="L129" s="195">
        <f t="shared" si="4"/>
        <v>1.7921999999999998</v>
      </c>
      <c r="M129" s="195">
        <f>AVERAGE(Ashed_controlls!$K$2:$K$11)</f>
        <v>5.5147656768714146</v>
      </c>
      <c r="N129" s="195">
        <f t="shared" si="0"/>
        <v>1.6933643695391103</v>
      </c>
      <c r="O129" s="195">
        <f t="shared" si="5"/>
        <v>1.9312</v>
      </c>
      <c r="P129" s="195">
        <f>AVERAGE(Ashed_controlls!$K$12:$K$14)</f>
        <v>2.2816647271287041</v>
      </c>
      <c r="Q129" s="195">
        <f t="shared" si="6"/>
        <v>1.8871364907896906</v>
      </c>
      <c r="R129" s="16">
        <f>IF('WetLitterbags placem_collection'!G56="N.A","",'WetLitterbags placem_collection'!G56)</f>
        <v>42820</v>
      </c>
      <c r="S129" s="195" t="str">
        <f>IF(IFERROR(INDEX('Both teabags AfterWet'!$C$3:$C$841,MATCH(H129,'Both teabags AfterWet'!$A$3:$A$841,0)),"")="N.A","",(IFERROR(INDEX('Both teabags AfterWet'!$C$3:$C$841,MATCH(H129,'Both teabags AfterWet'!$A$3:$A$841,0)),"")))</f>
        <v/>
      </c>
      <c r="T129" s="195" t="str">
        <f>IFERROR(INDEX('Both teabags AfterWet'!$C$3:$C$841,MATCH(I129,'Both teabags AfterWet'!$A$3:$A$841,0)),"")</f>
        <v/>
      </c>
      <c r="U129" s="195" t="str">
        <f t="shared" si="7"/>
        <v/>
      </c>
      <c r="V129" s="195" t="str">
        <f t="shared" si="7"/>
        <v/>
      </c>
      <c r="W129" s="195" t="str">
        <f>IFERROR(INDEX('Ashed teabags wet'!$K$2:$K$821,MATCH(H129,'Ashed teabags wet'!$A$2:$A$821,0)),"")</f>
        <v/>
      </c>
      <c r="X129" s="195" t="str">
        <f>IFERROR(INDEX('Ashed teabags wet'!$K$2:$K$821,MATCH(I129,'Ashed teabags wet'!$A$2:$A$821,0)),"")</f>
        <v/>
      </c>
      <c r="Y129" s="195" t="str">
        <f t="shared" si="1"/>
        <v/>
      </c>
      <c r="Z129" s="195" t="str">
        <f t="shared" si="1"/>
        <v/>
      </c>
      <c r="AA129" s="195" t="str">
        <f t="shared" si="8"/>
        <v/>
      </c>
      <c r="AB129" s="195" t="str">
        <f t="shared" si="9"/>
        <v/>
      </c>
      <c r="AC129" s="195" t="str">
        <f t="shared" si="2"/>
        <v/>
      </c>
      <c r="AD129">
        <f t="shared" si="3"/>
        <v>54</v>
      </c>
      <c r="AE129" s="195" t="str">
        <f t="shared" si="10"/>
        <v/>
      </c>
      <c r="AF129" s="195" t="str">
        <f t="shared" si="11"/>
        <v/>
      </c>
      <c r="AG129" s="255" t="str">
        <f>IF(ISNUMBER(SEARCH("C",'WetLitterbags placem_collection'!AD56)),"YES","NO")</f>
        <v>NO</v>
      </c>
      <c r="AH129" s="255" t="str">
        <f>IF(ISNUMBER(SEARCH("H", 'WetLitterbags placem_collection'!AD56)),"YES","NO")</f>
        <v>NO</v>
      </c>
      <c r="AI129" s="255" t="str">
        <f>IF(ISNUMBER(SEARCH("R", 'WetLitterbags placem_collection'!AD56)),"YES","NO")</f>
        <v>NO</v>
      </c>
      <c r="AJ129" s="255" t="str">
        <f>IF(ISNUMBER(SEARCH("C", 'WetLitterbags placem_collection'!AC56)),"YES","NO")</f>
        <v>NO</v>
      </c>
      <c r="AK129" s="255" t="str">
        <f>IF(ISNUMBER(SEARCH("H", 'WetLitterbags placem_collection'!AC56)),"YES","NO")</f>
        <v>NO</v>
      </c>
      <c r="AL129" s="255" t="str">
        <f>IF(ISNUMBER(SEARCH("R", 'WetLitterbags placem_collection'!AC56)),"YES","NO")</f>
        <v>NO</v>
      </c>
    </row>
    <row r="130" spans="2:38">
      <c r="B130" t="str">
        <f>'Final data_for_R_analysis_Wetse'!A56</f>
        <v>Wet</v>
      </c>
      <c r="C130" s="263">
        <f>'Final data_for_R_analysis_Wetse'!B56</f>
        <v>55</v>
      </c>
      <c r="D130" t="s">
        <v>3834</v>
      </c>
      <c r="E130" t="s">
        <v>22</v>
      </c>
      <c r="F130" s="387">
        <v>7</v>
      </c>
      <c r="G130" s="16">
        <f>'WetLitterbags placem_collection'!E57</f>
        <v>42766</v>
      </c>
      <c r="H130" t="str">
        <f>'Final data_for_R_analysis_Wetse'!J56</f>
        <v>G622</v>
      </c>
      <c r="I130" t="str">
        <f>'Final data_for_R_analysis_Wetse'!J276</f>
        <v>R19</v>
      </c>
      <c r="J130">
        <f>IFERROR(INDEX('Green_rooibos initial weight'!$C$5:$C$1749,MATCH(H130, 'Green_rooibos initial weight'!$A$5:$A$1749,0)),"")</f>
        <v>1.978</v>
      </c>
      <c r="K130">
        <f>IFERROR(INDEX('Green_rooibos initial weight'!$C$5:$C$1749,MATCH(I130, 'Green_rooibos initial weight'!$A$5:$A$1749,0)),"")</f>
        <v>2.2589999999999999</v>
      </c>
      <c r="L130" s="195">
        <f t="shared" si="4"/>
        <v>1.7282</v>
      </c>
      <c r="M130" s="195">
        <f>AVERAGE(Ashed_controlls!$K$2:$K$11)</f>
        <v>5.5147656768714146</v>
      </c>
      <c r="N130" s="195">
        <f t="shared" si="0"/>
        <v>1.6328938195723082</v>
      </c>
      <c r="O130" s="195">
        <f t="shared" si="5"/>
        <v>2.0091999999999999</v>
      </c>
      <c r="P130" s="195">
        <f>AVERAGE(Ashed_controlls!$K$12:$K$14)</f>
        <v>2.2816647271287041</v>
      </c>
      <c r="Q130" s="195">
        <f t="shared" si="6"/>
        <v>1.9633567923025299</v>
      </c>
      <c r="R130" s="16">
        <f>IF('WetLitterbags placem_collection'!G57="N.A","",'WetLitterbags placem_collection'!G57)</f>
        <v>42820</v>
      </c>
      <c r="S130" s="195" t="str">
        <f>IF(IFERROR(INDEX('Both teabags AfterWet'!$C$3:$C$841,MATCH(H130,'Both teabags AfterWet'!$A$3:$A$841,0)),"")="N.A","",(IFERROR(INDEX('Both teabags AfterWet'!$C$3:$C$841,MATCH(H130,'Both teabags AfterWet'!$A$3:$A$841,0)),"")))</f>
        <v/>
      </c>
      <c r="T130" s="195">
        <f>IFERROR(INDEX('Both teabags AfterWet'!$C$3:$C$841,MATCH(I130,'Both teabags AfterWet'!$A$3:$A$841,0)),"")</f>
        <v>0.22600000000000001</v>
      </c>
      <c r="U130" s="195" t="str">
        <f t="shared" si="7"/>
        <v/>
      </c>
      <c r="V130" s="195">
        <f t="shared" si="7"/>
        <v>7.5399999999999995E-2</v>
      </c>
      <c r="W130" s="195" t="str">
        <f>IFERROR(INDEX('Ashed teabags wet'!$K$2:$K$821,MATCH(H130,'Ashed teabags wet'!$A$2:$A$821,0)),"")</f>
        <v/>
      </c>
      <c r="X130" s="195" t="str">
        <f>IFERROR(INDEX('Ashed teabags wet'!$K$2:$K$821,MATCH(I130,'Ashed teabags wet'!$A$2:$A$821,0)),"")</f>
        <v/>
      </c>
      <c r="Y130" s="195" t="str">
        <f t="shared" si="1"/>
        <v/>
      </c>
      <c r="Z130" s="195" t="str">
        <f t="shared" si="1"/>
        <v/>
      </c>
      <c r="AA130" s="195" t="str">
        <f t="shared" si="8"/>
        <v/>
      </c>
      <c r="AB130" s="195" t="str">
        <f t="shared" si="9"/>
        <v/>
      </c>
      <c r="AC130" s="195" t="str">
        <f t="shared" si="2"/>
        <v/>
      </c>
      <c r="AD130">
        <f t="shared" si="3"/>
        <v>54</v>
      </c>
      <c r="AE130" s="195" t="str">
        <f t="shared" si="10"/>
        <v/>
      </c>
      <c r="AF130" s="195" t="str">
        <f t="shared" si="11"/>
        <v/>
      </c>
      <c r="AG130" s="255" t="str">
        <f>IF(ISNUMBER(SEARCH("C",'WetLitterbags placem_collection'!AD57)),"YES","NO")</f>
        <v>NO</v>
      </c>
      <c r="AH130" s="255" t="str">
        <f>IF(ISNUMBER(SEARCH("H", 'WetLitterbags placem_collection'!AD57)),"YES","NO")</f>
        <v>NO</v>
      </c>
      <c r="AI130" s="255" t="str">
        <f>IF(ISNUMBER(SEARCH("R", 'WetLitterbags placem_collection'!AD57)),"YES","NO")</f>
        <v>NO</v>
      </c>
      <c r="AJ130" s="255" t="str">
        <f>IF(ISNUMBER(SEARCH("C", 'WetLitterbags placem_collection'!AC57)),"YES","NO")</f>
        <v>NO</v>
      </c>
      <c r="AK130" s="255" t="str">
        <f>IF(ISNUMBER(SEARCH("H", 'WetLitterbags placem_collection'!AC57)),"YES","NO")</f>
        <v>NO</v>
      </c>
      <c r="AL130" s="255" t="str">
        <f>IF(ISNUMBER(SEARCH("R", 'WetLitterbags placem_collection'!AC57)),"YES","NO")</f>
        <v>NO</v>
      </c>
    </row>
    <row r="131" spans="2:38">
      <c r="B131" t="str">
        <f>'Final data_for_R_analysis_Wetse'!A57</f>
        <v>Wet</v>
      </c>
      <c r="C131" s="263">
        <f>'Final data_for_R_analysis_Wetse'!B57</f>
        <v>56</v>
      </c>
      <c r="D131" t="s">
        <v>3834</v>
      </c>
      <c r="E131" t="s">
        <v>22</v>
      </c>
      <c r="F131" s="387">
        <v>8</v>
      </c>
      <c r="G131" s="16">
        <f>'WetLitterbags placem_collection'!E58</f>
        <v>42766</v>
      </c>
      <c r="H131" t="str">
        <f>'Final data_for_R_analysis_Wetse'!J57</f>
        <v>G538</v>
      </c>
      <c r="I131" t="str">
        <f>'Final data_for_R_analysis_Wetse'!J277</f>
        <v>R60</v>
      </c>
      <c r="J131">
        <f>IFERROR(INDEX('Green_rooibos initial weight'!$C$5:$C$1749,MATCH(H131, 'Green_rooibos initial weight'!$A$5:$A$1749,0)),"")</f>
        <v>2.1760000000000002</v>
      </c>
      <c r="K131">
        <f>IFERROR(INDEX('Green_rooibos initial weight'!$C$5:$C$1749,MATCH(I131, 'Green_rooibos initial weight'!$A$5:$A$1749,0)),"")</f>
        <v>2.3220000000000001</v>
      </c>
      <c r="L131" s="195">
        <f t="shared" si="4"/>
        <v>1.9262000000000001</v>
      </c>
      <c r="M131" s="195">
        <f>AVERAGE(Ashed_controlls!$K$2:$K$11)</f>
        <v>5.5147656768714146</v>
      </c>
      <c r="N131" s="195">
        <f t="shared" si="0"/>
        <v>1.8199745835321028</v>
      </c>
      <c r="O131" s="195">
        <f t="shared" si="5"/>
        <v>2.0722</v>
      </c>
      <c r="P131" s="195">
        <f>AVERAGE(Ashed_controlls!$K$12:$K$14)</f>
        <v>2.2816647271287041</v>
      </c>
      <c r="Q131" s="195">
        <f t="shared" si="6"/>
        <v>2.0249193435244393</v>
      </c>
      <c r="R131" s="16">
        <f>IF('WetLitterbags placem_collection'!G58="N.A","",'WetLitterbags placem_collection'!G58)</f>
        <v>42820</v>
      </c>
      <c r="S131" s="195">
        <f>IF(IFERROR(INDEX('Both teabags AfterWet'!$C$3:$C$841,MATCH(H131,'Both teabags AfterWet'!$A$3:$A$841,0)),"")="N.A","",(IFERROR(INDEX('Both teabags AfterWet'!$C$3:$C$841,MATCH(H131,'Both teabags AfterWet'!$A$3:$A$841,0)),"")))</f>
        <v>0.81</v>
      </c>
      <c r="T131" s="195">
        <f>IFERROR(INDEX('Both teabags AfterWet'!$C$3:$C$841,MATCH(I131,'Both teabags AfterWet'!$A$3:$A$841,0)),"")</f>
        <v>2.2909999999999999</v>
      </c>
      <c r="U131" s="195">
        <f t="shared" si="7"/>
        <v>0.65939999999999999</v>
      </c>
      <c r="V131" s="195">
        <f t="shared" si="7"/>
        <v>2.1404000000000001</v>
      </c>
      <c r="W131" s="195">
        <f>IFERROR(INDEX('Ashed teabags wet'!$K$2:$K$821,MATCH(H131,'Ashed teabags wet'!$A$2:$A$821,0)),"")</f>
        <v>21.852387843704392</v>
      </c>
      <c r="X131" s="195">
        <f>IFERROR(INDEX('Ashed teabags wet'!$K$2:$K$821,MATCH(I131,'Ashed teabags wet'!$A$2:$A$821,0)),"")</f>
        <v>90.284005979073754</v>
      </c>
      <c r="Y131" s="195">
        <f t="shared" si="1"/>
        <v>0.51530535455861326</v>
      </c>
      <c r="Z131" s="195">
        <f t="shared" si="1"/>
        <v>0.20796113602390531</v>
      </c>
      <c r="AA131" s="195">
        <f t="shared" si="8"/>
        <v>0.71686123574399696</v>
      </c>
      <c r="AB131" s="195">
        <f t="shared" si="9"/>
        <v>0.46996128519083891</v>
      </c>
      <c r="AC131" s="195">
        <f t="shared" si="2"/>
        <v>0.10270094791130893</v>
      </c>
      <c r="AD131">
        <f t="shared" si="3"/>
        <v>54</v>
      </c>
      <c r="AE131" s="195">
        <f t="shared" si="10"/>
        <v>0.14862086016152376</v>
      </c>
      <c r="AF131" s="195" t="str">
        <f t="shared" si="11"/>
        <v/>
      </c>
      <c r="AG131" s="255" t="str">
        <f>IF(ISNUMBER(SEARCH("C",'WetLitterbags placem_collection'!AD58)),"YES","NO")</f>
        <v>NO</v>
      </c>
      <c r="AH131" s="255" t="str">
        <f>IF(ISNUMBER(SEARCH("H", 'WetLitterbags placem_collection'!AD58)),"YES","NO")</f>
        <v>NO</v>
      </c>
      <c r="AI131" s="255" t="str">
        <f>IF(ISNUMBER(SEARCH("R", 'WetLitterbags placem_collection'!AD58)),"YES","NO")</f>
        <v>NO</v>
      </c>
      <c r="AJ131" s="255" t="str">
        <f>IF(ISNUMBER(SEARCH("C", 'WetLitterbags placem_collection'!AC58)),"YES","NO")</f>
        <v>NO</v>
      </c>
      <c r="AK131" s="255" t="str">
        <f>IF(ISNUMBER(SEARCH("H", 'WetLitterbags placem_collection'!AC58)),"YES","NO")</f>
        <v>NO</v>
      </c>
      <c r="AL131" s="255" t="str">
        <f>IF(ISNUMBER(SEARCH("R", 'WetLitterbags placem_collection'!AC58)),"YES","NO")</f>
        <v>NO</v>
      </c>
    </row>
    <row r="132" spans="2:38">
      <c r="B132" t="str">
        <f>'Final data_for_R_analysis_Wetse'!A58</f>
        <v>Wet</v>
      </c>
      <c r="C132" s="263">
        <f>'Final data_for_R_analysis_Wetse'!B58</f>
        <v>57</v>
      </c>
      <c r="D132" t="s">
        <v>3835</v>
      </c>
      <c r="E132" t="s">
        <v>22</v>
      </c>
      <c r="F132" s="386">
        <v>1</v>
      </c>
      <c r="G132" s="16">
        <f>'WetLitterbags placem_collection'!E59</f>
        <v>42766</v>
      </c>
      <c r="H132" t="str">
        <f>'Final data_for_R_analysis_Wetse'!J58</f>
        <v>G546</v>
      </c>
      <c r="I132" t="str">
        <f>'Final data_for_R_analysis_Wetse'!J278</f>
        <v>R161</v>
      </c>
      <c r="J132">
        <f>IFERROR(INDEX('Green_rooibos initial weight'!$C$5:$C$1749,MATCH(H132, 'Green_rooibos initial weight'!$A$5:$A$1749,0)),"")</f>
        <v>2.1429999999999998</v>
      </c>
      <c r="K132">
        <f>IFERROR(INDEX('Green_rooibos initial weight'!$C$5:$C$1749,MATCH(I132, 'Green_rooibos initial weight'!$A$5:$A$1749,0)),"")</f>
        <v>2.1829999999999998</v>
      </c>
      <c r="L132" s="195">
        <f t="shared" si="4"/>
        <v>1.8931999999999998</v>
      </c>
      <c r="M132" s="195">
        <f>AVERAGE(Ashed_controlls!$K$2:$K$11)</f>
        <v>5.5147656768714146</v>
      </c>
      <c r="N132" s="195">
        <f t="shared" si="0"/>
        <v>1.7887944562054701</v>
      </c>
      <c r="O132" s="195">
        <f t="shared" si="5"/>
        <v>1.9331999999999998</v>
      </c>
      <c r="P132" s="195">
        <f>AVERAGE(Ashed_controlls!$K$12:$K$14)</f>
        <v>2.2816647271287041</v>
      </c>
      <c r="Q132" s="195">
        <f t="shared" si="6"/>
        <v>1.8890908574951477</v>
      </c>
      <c r="R132" s="16">
        <f>IF('WetLitterbags placem_collection'!G59="N.A","",'WetLitterbags placem_collection'!G59)</f>
        <v>42820</v>
      </c>
      <c r="S132" s="195">
        <f>IF(IFERROR(INDEX('Both teabags AfterWet'!$C$3:$C$841,MATCH(H132,'Both teabags AfterWet'!$A$3:$A$841,0)),"")="N.A","",(IFERROR(INDEX('Both teabags AfterWet'!$C$3:$C$841,MATCH(H132,'Both teabags AfterWet'!$A$3:$A$841,0)),"")))</f>
        <v>0.88660000000000005</v>
      </c>
      <c r="T132" s="195">
        <f>IFERROR(INDEX('Both teabags AfterWet'!$C$3:$C$841,MATCH(I132,'Both teabags AfterWet'!$A$3:$A$841,0)),"")</f>
        <v>1.266</v>
      </c>
      <c r="U132" s="195">
        <f t="shared" si="7"/>
        <v>0.73599999999999999</v>
      </c>
      <c r="V132" s="195">
        <f t="shared" si="7"/>
        <v>1.1153999999999999</v>
      </c>
      <c r="W132" s="195">
        <f>IFERROR(INDEX('Ashed teabags wet'!$K$2:$K$821,MATCH(H132,'Ashed teabags wet'!$A$2:$A$821,0)),"")</f>
        <v>16.553398058252881</v>
      </c>
      <c r="X132" s="195">
        <f>IFERROR(INDEX('Ashed teabags wet'!$K$2:$K$821,MATCH(I132,'Ashed teabags wet'!$A$2:$A$821,0)),"")</f>
        <v>9.63680387409185</v>
      </c>
      <c r="Y132" s="195">
        <f t="shared" si="1"/>
        <v>0.61416699029125876</v>
      </c>
      <c r="Z132" s="195">
        <f t="shared" si="1"/>
        <v>1.0079110895883794</v>
      </c>
      <c r="AA132" s="195">
        <f t="shared" si="8"/>
        <v>0.65665871326878023</v>
      </c>
      <c r="AB132" s="195">
        <f t="shared" si="9"/>
        <v>0.43049359824746641</v>
      </c>
      <c r="AC132" s="195">
        <f t="shared" si="2"/>
        <v>0.53354293976353562</v>
      </c>
      <c r="AD132">
        <f t="shared" si="3"/>
        <v>54</v>
      </c>
      <c r="AE132" s="195">
        <f t="shared" si="10"/>
        <v>0.22012029302995217</v>
      </c>
      <c r="AF132" s="195" t="str">
        <f t="shared" si="11"/>
        <v/>
      </c>
      <c r="AG132" s="255" t="str">
        <f>IF(ISNUMBER(SEARCH("C",'WetLitterbags placem_collection'!AD59)),"YES","NO")</f>
        <v>NO</v>
      </c>
      <c r="AH132" s="255" t="str">
        <f>IF(ISNUMBER(SEARCH("H", 'WetLitterbags placem_collection'!AD59)),"YES","NO")</f>
        <v>YES</v>
      </c>
      <c r="AI132" s="255" t="str">
        <f>IF(ISNUMBER(SEARCH("R", 'WetLitterbags placem_collection'!AD59)),"YES","NO")</f>
        <v>YES</v>
      </c>
      <c r="AJ132" s="255" t="str">
        <f>IF(ISNUMBER(SEARCH("C", 'WetLitterbags placem_collection'!AC59)),"YES","NO")</f>
        <v>NO</v>
      </c>
      <c r="AK132" s="255" t="str">
        <f>IF(ISNUMBER(SEARCH("H", 'WetLitterbags placem_collection'!AC59)),"YES","NO")</f>
        <v>NO</v>
      </c>
      <c r="AL132" s="255" t="str">
        <f>IF(ISNUMBER(SEARCH("R", 'WetLitterbags placem_collection'!AC59)),"YES","NO")</f>
        <v>NO</v>
      </c>
    </row>
    <row r="133" spans="2:38">
      <c r="B133" t="str">
        <f>'Final data_for_R_analysis_Wetse'!A59</f>
        <v>Wet</v>
      </c>
      <c r="C133" s="263">
        <f>'Final data_for_R_analysis_Wetse'!B59</f>
        <v>58</v>
      </c>
      <c r="D133" t="s">
        <v>3835</v>
      </c>
      <c r="E133" t="s">
        <v>22</v>
      </c>
      <c r="F133" s="386">
        <v>2</v>
      </c>
      <c r="G133" s="16">
        <f>'WetLitterbags placem_collection'!E60</f>
        <v>42766</v>
      </c>
      <c r="H133" t="str">
        <f>'Final data_for_R_analysis_Wetse'!J59</f>
        <v>G513</v>
      </c>
      <c r="I133" t="str">
        <f>'Final data_for_R_analysis_Wetse'!J279</f>
        <v>R48</v>
      </c>
      <c r="J133">
        <f>IFERROR(INDEX('Green_rooibos initial weight'!$C$5:$C$1749,MATCH(H133, 'Green_rooibos initial weight'!$A$5:$A$1749,0)),"")</f>
        <v>2.0179999999999998</v>
      </c>
      <c r="K133">
        <f>IFERROR(INDEX('Green_rooibos initial weight'!$C$5:$C$1749,MATCH(I133, 'Green_rooibos initial weight'!$A$5:$A$1749,0)),"")</f>
        <v>2.2149999999999999</v>
      </c>
      <c r="L133" s="195">
        <f t="shared" si="4"/>
        <v>1.7681999999999998</v>
      </c>
      <c r="M133" s="195">
        <f>AVERAGE(Ashed_controlls!$K$2:$K$11)</f>
        <v>5.5147656768714146</v>
      </c>
      <c r="N133" s="195">
        <f t="shared" si="0"/>
        <v>1.6706879133015595</v>
      </c>
      <c r="O133" s="195">
        <f t="shared" si="5"/>
        <v>1.9651999999999998</v>
      </c>
      <c r="P133" s="195">
        <f>AVERAGE(Ashed_controlls!$K$12:$K$14)</f>
        <v>2.2816647271287041</v>
      </c>
      <c r="Q133" s="195">
        <f t="shared" si="6"/>
        <v>1.9203607247824666</v>
      </c>
      <c r="R133" s="16">
        <f>IF('WetLitterbags placem_collection'!G60="N.A","",'WetLitterbags placem_collection'!G60)</f>
        <v>42820</v>
      </c>
      <c r="S133" s="195">
        <f>IF(IFERROR(INDEX('Both teabags AfterWet'!$C$3:$C$841,MATCH(H133,'Both teabags AfterWet'!$A$3:$A$841,0)),"")="N.A","",(IFERROR(INDEX('Both teabags AfterWet'!$C$3:$C$841,MATCH(H133,'Both teabags AfterWet'!$A$3:$A$841,0)),"")))</f>
        <v>0.93279999999999996</v>
      </c>
      <c r="T133" s="195">
        <f>IFERROR(INDEX('Both teabags AfterWet'!$C$3:$C$841,MATCH(I133,'Both teabags AfterWet'!$A$3:$A$841,0)),"")</f>
        <v>0.74880000000000002</v>
      </c>
      <c r="U133" s="195">
        <f t="shared" si="7"/>
        <v>0.78220000000000001</v>
      </c>
      <c r="V133" s="195">
        <f t="shared" si="7"/>
        <v>0.59820000000000007</v>
      </c>
      <c r="W133" s="195">
        <f>IFERROR(INDEX('Ashed teabags wet'!$K$2:$K$821,MATCH(H133,'Ashed teabags wet'!$A$2:$A$821,0)),"")</f>
        <v>17.757936507936094</v>
      </c>
      <c r="X133" s="195">
        <f>IFERROR(INDEX('Ashed teabags wet'!$K$2:$K$821,MATCH(I133,'Ashed teabags wet'!$A$2:$A$821,0)),"")</f>
        <v>25.956144824069355</v>
      </c>
      <c r="Y133" s="195">
        <f t="shared" si="1"/>
        <v>0.6432974206349239</v>
      </c>
      <c r="Z133" s="195">
        <f t="shared" si="1"/>
        <v>0.44293034166241718</v>
      </c>
      <c r="AA133" s="195">
        <f t="shared" si="8"/>
        <v>0.61495057484215576</v>
      </c>
      <c r="AB133" s="195">
        <f t="shared" si="9"/>
        <v>0.40315049562098582</v>
      </c>
      <c r="AC133" s="195">
        <f t="shared" si="2"/>
        <v>0.23064955242332982</v>
      </c>
      <c r="AD133">
        <f t="shared" si="3"/>
        <v>54</v>
      </c>
      <c r="AE133" s="195">
        <f t="shared" si="10"/>
        <v>0.26965489923734465</v>
      </c>
      <c r="AF133" s="195" t="str">
        <f t="shared" si="11"/>
        <v/>
      </c>
      <c r="AG133" s="255" t="str">
        <f>IF(ISNUMBER(SEARCH("C",'WetLitterbags placem_collection'!AD60)),"YES","NO")</f>
        <v>NO</v>
      </c>
      <c r="AH133" s="255" t="str">
        <f>IF(ISNUMBER(SEARCH("H", 'WetLitterbags placem_collection'!AD60)),"YES","NO")</f>
        <v>NO</v>
      </c>
      <c r="AI133" s="255" t="str">
        <f>IF(ISNUMBER(SEARCH("R", 'WetLitterbags placem_collection'!AD60)),"YES","NO")</f>
        <v>NO</v>
      </c>
      <c r="AJ133" s="255" t="str">
        <f>IF(ISNUMBER(SEARCH("C", 'WetLitterbags placem_collection'!AC60)),"YES","NO")</f>
        <v>NO</v>
      </c>
      <c r="AK133" s="255" t="str">
        <f>IF(ISNUMBER(SEARCH("H", 'WetLitterbags placem_collection'!AC60)),"YES","NO")</f>
        <v>NO</v>
      </c>
      <c r="AL133" s="255" t="str">
        <f>IF(ISNUMBER(SEARCH("R", 'WetLitterbags placem_collection'!AC60)),"YES","NO")</f>
        <v>NO</v>
      </c>
    </row>
    <row r="134" spans="2:38">
      <c r="B134" t="str">
        <f>'Final data_for_R_analysis_Wetse'!A60</f>
        <v>Wet</v>
      </c>
      <c r="C134" s="263">
        <f>'Final data_for_R_analysis_Wetse'!B60</f>
        <v>59</v>
      </c>
      <c r="D134" t="s">
        <v>3835</v>
      </c>
      <c r="E134" t="s">
        <v>22</v>
      </c>
      <c r="F134" s="386">
        <v>3</v>
      </c>
      <c r="G134" s="16">
        <f>'WetLitterbags placem_collection'!E61</f>
        <v>42766</v>
      </c>
      <c r="H134" t="str">
        <f>'Final data_for_R_analysis_Wetse'!J60</f>
        <v>G489</v>
      </c>
      <c r="I134" t="str">
        <f>'Final data_for_R_analysis_Wetse'!J280</f>
        <v>R23</v>
      </c>
      <c r="J134">
        <f>IFERROR(INDEX('Green_rooibos initial weight'!$C$5:$C$1749,MATCH(H134, 'Green_rooibos initial weight'!$A$5:$A$1749,0)),"")</f>
        <v>1.9</v>
      </c>
      <c r="K134">
        <f>IFERROR(INDEX('Green_rooibos initial weight'!$C$5:$C$1749,MATCH(I134, 'Green_rooibos initial weight'!$A$5:$A$1749,0)),"")</f>
        <v>2.2770000000000001</v>
      </c>
      <c r="L134" s="195">
        <f t="shared" si="4"/>
        <v>1.6501999999999999</v>
      </c>
      <c r="M134" s="195">
        <f>AVERAGE(Ashed_controlls!$K$2:$K$11)</f>
        <v>5.5147656768714146</v>
      </c>
      <c r="N134" s="195">
        <f t="shared" si="0"/>
        <v>1.5591953368002678</v>
      </c>
      <c r="O134" s="195">
        <f t="shared" si="5"/>
        <v>2.0272000000000001</v>
      </c>
      <c r="P134" s="195">
        <f>AVERAGE(Ashed_controlls!$K$12:$K$14)</f>
        <v>2.2816647271287041</v>
      </c>
      <c r="Q134" s="195">
        <f t="shared" si="6"/>
        <v>1.9809460926516471</v>
      </c>
      <c r="R134" s="16">
        <f>IF('WetLitterbags placem_collection'!G61="N.A","",'WetLitterbags placem_collection'!G61)</f>
        <v>42820</v>
      </c>
      <c r="S134" s="195">
        <f>IF(IFERROR(INDEX('Both teabags AfterWet'!$C$3:$C$841,MATCH(H134,'Both teabags AfterWet'!$A$3:$A$841,0)),"")="N.A","",(IFERROR(INDEX('Both teabags AfterWet'!$C$3:$C$841,MATCH(H134,'Both teabags AfterWet'!$A$3:$A$841,0)),"")))</f>
        <v>0.88400000000000001</v>
      </c>
      <c r="T134" s="195">
        <f>IFERROR(INDEX('Both teabags AfterWet'!$C$3:$C$841,MATCH(I134,'Both teabags AfterWet'!$A$3:$A$841,0)),"")</f>
        <v>1.38</v>
      </c>
      <c r="U134" s="195">
        <f t="shared" si="7"/>
        <v>0.73340000000000005</v>
      </c>
      <c r="V134" s="195">
        <f t="shared" si="7"/>
        <v>1.2293999999999998</v>
      </c>
      <c r="W134" s="195">
        <f>IFERROR(INDEX('Ashed teabags wet'!$K$2:$K$821,MATCH(H134,'Ashed teabags wet'!$A$2:$A$821,0)),"")</f>
        <v>11.144278606964582</v>
      </c>
      <c r="X134" s="195">
        <f>IFERROR(INDEX('Ashed teabags wet'!$K$2:$K$821,MATCH(I134,'Ashed teabags wet'!$A$2:$A$821,0)),"")</f>
        <v>6.2753036437244685</v>
      </c>
      <c r="Y134" s="195">
        <f t="shared" si="1"/>
        <v>0.65166786069652183</v>
      </c>
      <c r="Z134" s="195">
        <f t="shared" si="1"/>
        <v>1.1522514170040512</v>
      </c>
      <c r="AA134" s="195">
        <f t="shared" si="8"/>
        <v>0.58204860846117312</v>
      </c>
      <c r="AB134" s="195">
        <f t="shared" si="9"/>
        <v>0.38158056041635108</v>
      </c>
      <c r="AC134" s="195">
        <f t="shared" si="2"/>
        <v>0.58166722521039171</v>
      </c>
      <c r="AD134">
        <f t="shared" si="3"/>
        <v>54</v>
      </c>
      <c r="AE134" s="195">
        <f t="shared" si="10"/>
        <v>0.30873086881095824</v>
      </c>
      <c r="AF134" s="195" t="str">
        <f t="shared" si="11"/>
        <v/>
      </c>
      <c r="AG134" s="255" t="str">
        <f>IF(ISNUMBER(SEARCH("C",'WetLitterbags placem_collection'!AD61)),"YES","NO")</f>
        <v>NO</v>
      </c>
      <c r="AH134" s="255" t="str">
        <f>IF(ISNUMBER(SEARCH("H", 'WetLitterbags placem_collection'!AD61)),"YES","NO")</f>
        <v>NO</v>
      </c>
      <c r="AI134" s="255" t="str">
        <f>IF(ISNUMBER(SEARCH("R", 'WetLitterbags placem_collection'!AD61)),"YES","NO")</f>
        <v>NO</v>
      </c>
      <c r="AJ134" s="255" t="str">
        <f>IF(ISNUMBER(SEARCH("C", 'WetLitterbags placem_collection'!AC61)),"YES","NO")</f>
        <v>NO</v>
      </c>
      <c r="AK134" s="255" t="str">
        <f>IF(ISNUMBER(SEARCH("H", 'WetLitterbags placem_collection'!AC61)),"YES","NO")</f>
        <v>NO</v>
      </c>
      <c r="AL134" s="255" t="str">
        <f>IF(ISNUMBER(SEARCH("R", 'WetLitterbags placem_collection'!AC61)),"YES","NO")</f>
        <v>NO</v>
      </c>
    </row>
    <row r="135" spans="2:38">
      <c r="B135" t="str">
        <f>'Final data_for_R_analysis_Wetse'!A61</f>
        <v>Wet</v>
      </c>
      <c r="C135" s="263">
        <f>'Final data_for_R_analysis_Wetse'!B61</f>
        <v>60</v>
      </c>
      <c r="D135" t="s">
        <v>3835</v>
      </c>
      <c r="E135" t="s">
        <v>22</v>
      </c>
      <c r="F135" s="387">
        <v>4</v>
      </c>
      <c r="G135" s="16">
        <f>'WetLitterbags placem_collection'!E62</f>
        <v>42766</v>
      </c>
      <c r="H135" t="str">
        <f>'Final data_for_R_analysis_Wetse'!J61</f>
        <v>G633</v>
      </c>
      <c r="I135" t="str">
        <f>'Final data_for_R_analysis_Wetse'!J281</f>
        <v>R78</v>
      </c>
      <c r="J135">
        <f>IFERROR(INDEX('Green_rooibos initial weight'!$C$5:$C$1749,MATCH(H135, 'Green_rooibos initial weight'!$A$5:$A$1749,0)),"")</f>
        <v>2.0630000000000002</v>
      </c>
      <c r="K135">
        <f>IFERROR(INDEX('Green_rooibos initial weight'!$C$5:$C$1749,MATCH(I135, 'Green_rooibos initial weight'!$A$5:$A$1749,0)),"")</f>
        <v>2.2200000000000002</v>
      </c>
      <c r="L135" s="195">
        <f t="shared" si="4"/>
        <v>1.8132000000000001</v>
      </c>
      <c r="M135" s="195">
        <f>AVERAGE(Ashed_controlls!$K$2:$K$11)</f>
        <v>5.5147656768714146</v>
      </c>
      <c r="N135" s="195">
        <f t="shared" si="0"/>
        <v>1.7132062687469676</v>
      </c>
      <c r="O135" s="195">
        <f t="shared" si="5"/>
        <v>1.9702000000000002</v>
      </c>
      <c r="P135" s="195">
        <f>AVERAGE(Ashed_controlls!$K$12:$K$14)</f>
        <v>2.2816647271287041</v>
      </c>
      <c r="Q135" s="195">
        <f t="shared" si="6"/>
        <v>1.9252466415461105</v>
      </c>
      <c r="R135" s="16">
        <f>IF('WetLitterbags placem_collection'!G62="N.A","",'WetLitterbags placem_collection'!G62)</f>
        <v>42820</v>
      </c>
      <c r="S135" s="195">
        <f>IF(IFERROR(INDEX('Both teabags AfterWet'!$C$3:$C$841,MATCH(H135,'Both teabags AfterWet'!$A$3:$A$841,0)),"")="N.A","",(IFERROR(INDEX('Both teabags AfterWet'!$C$3:$C$841,MATCH(H135,'Both teabags AfterWet'!$A$3:$A$841,0)),"")))</f>
        <v>0.874</v>
      </c>
      <c r="T135" s="195">
        <f>IFERROR(INDEX('Both teabags AfterWet'!$C$3:$C$841,MATCH(I135,'Both teabags AfterWet'!$A$3:$A$841,0)),"")</f>
        <v>1.665</v>
      </c>
      <c r="U135" s="195">
        <f t="shared" si="7"/>
        <v>0.72340000000000004</v>
      </c>
      <c r="V135" s="195">
        <f t="shared" si="7"/>
        <v>1.5144</v>
      </c>
      <c r="W135" s="195">
        <f>IFERROR(INDEX('Ashed teabags wet'!$K$2:$K$821,MATCH(H135,'Ashed teabags wet'!$A$2:$A$821,0)),"")</f>
        <v>12.827988338192315</v>
      </c>
      <c r="X135" s="195">
        <f>IFERROR(INDEX('Ashed teabags wet'!$K$2:$K$821,MATCH(I135,'Ashed teabags wet'!$A$2:$A$821,0)),"")</f>
        <v>5.8219178082196645</v>
      </c>
      <c r="Y135" s="195">
        <f t="shared" si="1"/>
        <v>0.63060233236151686</v>
      </c>
      <c r="Z135" s="195">
        <f t="shared" si="1"/>
        <v>1.4262328767123214</v>
      </c>
      <c r="AA135" s="195">
        <f t="shared" si="8"/>
        <v>0.63191686613268294</v>
      </c>
      <c r="AB135" s="195">
        <f t="shared" si="9"/>
        <v>0.41427328991121265</v>
      </c>
      <c r="AC135" s="195">
        <f t="shared" si="2"/>
        <v>0.74080527966378096</v>
      </c>
      <c r="AD135">
        <f t="shared" si="3"/>
        <v>54</v>
      </c>
      <c r="AE135" s="195">
        <f t="shared" si="10"/>
        <v>0.24950490958113658</v>
      </c>
      <c r="AF135" s="195">
        <f t="shared" si="11"/>
        <v>1.8196184956067306E-2</v>
      </c>
      <c r="AG135" s="255" t="str">
        <f>IF(ISNUMBER(SEARCH("C",'WetLitterbags placem_collection'!AD62)),"YES","NO")</f>
        <v>NO</v>
      </c>
      <c r="AH135" s="255" t="str">
        <f>IF(ISNUMBER(SEARCH("H", 'WetLitterbags placem_collection'!AD62)),"YES","NO")</f>
        <v>YES</v>
      </c>
      <c r="AI135" s="255" t="str">
        <f>IF(ISNUMBER(SEARCH("R", 'WetLitterbags placem_collection'!AD62)),"YES","NO")</f>
        <v>YES</v>
      </c>
      <c r="AJ135" s="255" t="str">
        <f>IF(ISNUMBER(SEARCH("C", 'WetLitterbags placem_collection'!AC62)),"YES","NO")</f>
        <v>NO</v>
      </c>
      <c r="AK135" s="255" t="str">
        <f>IF(ISNUMBER(SEARCH("H", 'WetLitterbags placem_collection'!AC62)),"YES","NO")</f>
        <v>NO</v>
      </c>
      <c r="AL135" s="255" t="str">
        <f>IF(ISNUMBER(SEARCH("R", 'WetLitterbags placem_collection'!AC62)),"YES","NO")</f>
        <v>NO</v>
      </c>
    </row>
    <row r="136" spans="2:38">
      <c r="B136" t="str">
        <f>'Final data_for_R_analysis_Wetse'!A62</f>
        <v>Wet</v>
      </c>
      <c r="C136" s="263">
        <f>'Final data_for_R_analysis_Wetse'!B62</f>
        <v>61</v>
      </c>
      <c r="D136" t="s">
        <v>3835</v>
      </c>
      <c r="E136" t="s">
        <v>22</v>
      </c>
      <c r="F136" s="387">
        <v>5</v>
      </c>
      <c r="G136" s="16">
        <f>'WetLitterbags placem_collection'!E63</f>
        <v>42766</v>
      </c>
      <c r="H136" t="str">
        <f>'Final data_for_R_analysis_Wetse'!J62</f>
        <v>G541</v>
      </c>
      <c r="I136" t="str">
        <f>'Final data_for_R_analysis_Wetse'!J282</f>
        <v>R42</v>
      </c>
      <c r="J136">
        <f>IFERROR(INDEX('Green_rooibos initial weight'!$C$5:$C$1749,MATCH(H136, 'Green_rooibos initial weight'!$A$5:$A$1749,0)),"")</f>
        <v>1.978</v>
      </c>
      <c r="K136">
        <f>IFERROR(INDEX('Green_rooibos initial weight'!$C$5:$C$1749,MATCH(I136, 'Green_rooibos initial weight'!$A$5:$A$1749,0)),"")</f>
        <v>2.2389999999999999</v>
      </c>
      <c r="L136" s="195">
        <f t="shared" si="4"/>
        <v>1.7282</v>
      </c>
      <c r="M136" s="195">
        <f>AVERAGE(Ashed_controlls!$K$2:$K$11)</f>
        <v>5.5147656768714146</v>
      </c>
      <c r="N136" s="195">
        <f t="shared" si="0"/>
        <v>1.6328938195723082</v>
      </c>
      <c r="O136" s="195">
        <f t="shared" si="5"/>
        <v>1.9891999999999999</v>
      </c>
      <c r="P136" s="195">
        <f>AVERAGE(Ashed_controlls!$K$12:$K$14)</f>
        <v>2.2816647271287041</v>
      </c>
      <c r="Q136" s="195">
        <f t="shared" si="6"/>
        <v>1.9438131252479556</v>
      </c>
      <c r="R136" s="16">
        <f>IF('WetLitterbags placem_collection'!G63="N.A","",'WetLitterbags placem_collection'!G63)</f>
        <v>42820</v>
      </c>
      <c r="S136" s="195">
        <f>IF(IFERROR(INDEX('Both teabags AfterWet'!$C$3:$C$841,MATCH(H136,'Both teabags AfterWet'!$A$3:$A$841,0)),"")="N.A","",(IFERROR(INDEX('Both teabags AfterWet'!$C$3:$C$841,MATCH(H136,'Both teabags AfterWet'!$A$3:$A$841,0)),"")))</f>
        <v>0.78600000000000003</v>
      </c>
      <c r="T136" s="195">
        <f>IFERROR(INDEX('Both teabags AfterWet'!$C$3:$C$841,MATCH(I136,'Both teabags AfterWet'!$A$3:$A$841,0)),"")</f>
        <v>0.182</v>
      </c>
      <c r="U136" s="195">
        <f t="shared" si="7"/>
        <v>0.63539999999999996</v>
      </c>
      <c r="V136" s="195">
        <f t="shared" si="7"/>
        <v>3.1399999999999983E-2</v>
      </c>
      <c r="W136" s="195">
        <f>IFERROR(INDEX('Ashed teabags wet'!$K$2:$K$821,MATCH(H136,'Ashed teabags wet'!$A$2:$A$821,0)),"")</f>
        <v>12.728194726166139</v>
      </c>
      <c r="X136" s="195" t="str">
        <f>IFERROR(INDEX('Ashed teabags wet'!$K$2:$K$821,MATCH(I136,'Ashed teabags wet'!$A$2:$A$821,0)),"")</f>
        <v/>
      </c>
      <c r="Y136" s="195">
        <f t="shared" si="1"/>
        <v>0.55452505070994029</v>
      </c>
      <c r="Z136" s="195" t="str">
        <f t="shared" si="1"/>
        <v/>
      </c>
      <c r="AA136" s="195">
        <f t="shared" si="8"/>
        <v>0.66040348486640554</v>
      </c>
      <c r="AB136" s="195">
        <f t="shared" si="9"/>
        <v>0.43294860290529202</v>
      </c>
      <c r="AC136" s="195" t="str">
        <f t="shared" si="2"/>
        <v/>
      </c>
      <c r="AD136">
        <f t="shared" si="3"/>
        <v>54</v>
      </c>
      <c r="AE136" s="195">
        <f t="shared" si="10"/>
        <v>0.21567282082374639</v>
      </c>
      <c r="AF136" s="195" t="str">
        <f t="shared" si="11"/>
        <v/>
      </c>
      <c r="AG136" s="255" t="str">
        <f>IF(ISNUMBER(SEARCH("C",'WetLitterbags placem_collection'!AD63)),"YES","NO")</f>
        <v>NO</v>
      </c>
      <c r="AH136" s="255" t="str">
        <f>IF(ISNUMBER(SEARCH("H", 'WetLitterbags placem_collection'!AD63)),"YES","NO")</f>
        <v>NO</v>
      </c>
      <c r="AI136" s="255" t="str">
        <f>IF(ISNUMBER(SEARCH("R", 'WetLitterbags placem_collection'!AD63)),"YES","NO")</f>
        <v>NO</v>
      </c>
      <c r="AJ136" s="255" t="str">
        <f>IF(ISNUMBER(SEARCH("C", 'WetLitterbags placem_collection'!AC63)),"YES","NO")</f>
        <v>NO</v>
      </c>
      <c r="AK136" s="255" t="str">
        <f>IF(ISNUMBER(SEARCH("H", 'WetLitterbags placem_collection'!AC63)),"YES","NO")</f>
        <v>NO</v>
      </c>
      <c r="AL136" s="255" t="str">
        <f>IF(ISNUMBER(SEARCH("R", 'WetLitterbags placem_collection'!AC63)),"YES","NO")</f>
        <v>NO</v>
      </c>
    </row>
    <row r="137" spans="2:38">
      <c r="B137" t="str">
        <f>'Final data_for_R_analysis_Wetse'!A63</f>
        <v>Wet</v>
      </c>
      <c r="C137" s="263">
        <f>'Final data_for_R_analysis_Wetse'!B63</f>
        <v>62</v>
      </c>
      <c r="D137" t="s">
        <v>3835</v>
      </c>
      <c r="E137" t="s">
        <v>22</v>
      </c>
      <c r="F137" s="387">
        <v>6</v>
      </c>
      <c r="G137" s="16">
        <f>'WetLitterbags placem_collection'!E64</f>
        <v>42766</v>
      </c>
      <c r="H137" t="str">
        <f>'Final data_for_R_analysis_Wetse'!J63</f>
        <v>G565</v>
      </c>
      <c r="I137" t="str">
        <f>'Final data_for_R_analysis_Wetse'!J283</f>
        <v>R119</v>
      </c>
      <c r="J137">
        <f>IFERROR(INDEX('Green_rooibos initial weight'!$C$5:$C$1749,MATCH(H137, 'Green_rooibos initial weight'!$A$5:$A$1749,0)),"")</f>
        <v>2.109</v>
      </c>
      <c r="K137">
        <f>IFERROR(INDEX('Green_rooibos initial weight'!$C$5:$C$1749,MATCH(I137, 'Green_rooibos initial weight'!$A$5:$A$1749,0)),"")</f>
        <v>2.1589999999999998</v>
      </c>
      <c r="L137" s="195">
        <f t="shared" si="4"/>
        <v>1.8592</v>
      </c>
      <c r="M137" s="195">
        <f>AVERAGE(Ashed_controlls!$K$2:$K$11)</f>
        <v>5.5147656768714146</v>
      </c>
      <c r="N137" s="195">
        <f t="shared" si="0"/>
        <v>1.7566694765356066</v>
      </c>
      <c r="O137" s="195">
        <f t="shared" si="5"/>
        <v>1.9091999999999998</v>
      </c>
      <c r="P137" s="195">
        <f>AVERAGE(Ashed_controlls!$K$12:$K$14)</f>
        <v>2.2816647271287041</v>
      </c>
      <c r="Q137" s="195">
        <f t="shared" si="6"/>
        <v>1.8656384570296585</v>
      </c>
      <c r="R137" s="16">
        <f>IF('WetLitterbags placem_collection'!G64="N.A","",'WetLitterbags placem_collection'!G64)</f>
        <v>42820</v>
      </c>
      <c r="S137" s="195">
        <f>IF(IFERROR(INDEX('Both teabags AfterWet'!$C$3:$C$841,MATCH(H137,'Both teabags AfterWet'!$A$3:$A$841,0)),"")="N.A","",(IFERROR(INDEX('Both teabags AfterWet'!$C$3:$C$841,MATCH(H137,'Both teabags AfterWet'!$A$3:$A$841,0)),"")))</f>
        <v>0.9224</v>
      </c>
      <c r="T137" s="195">
        <f>IFERROR(INDEX('Both teabags AfterWet'!$C$3:$C$841,MATCH(I137,'Both teabags AfterWet'!$A$3:$A$841,0)),"")</f>
        <v>1.6374</v>
      </c>
      <c r="U137" s="195">
        <f t="shared" si="7"/>
        <v>0.77180000000000004</v>
      </c>
      <c r="V137" s="195">
        <f t="shared" si="7"/>
        <v>1.4867999999999999</v>
      </c>
      <c r="W137" s="195">
        <f>IFERROR(INDEX('Ashed teabags wet'!$K$2:$K$821,MATCH(H137,'Ashed teabags wet'!$A$2:$A$821,0)),"")</f>
        <v>20.729927007299029</v>
      </c>
      <c r="X137" s="195">
        <f>IFERROR(INDEX('Ashed teabags wet'!$K$2:$K$821,MATCH(I137,'Ashed teabags wet'!$A$2:$A$821,0)),"")</f>
        <v>8.4343434343433188</v>
      </c>
      <c r="Y137" s="195">
        <f t="shared" si="1"/>
        <v>0.61180642335766611</v>
      </c>
      <c r="Z137" s="195">
        <f t="shared" si="1"/>
        <v>1.3613981818181835</v>
      </c>
      <c r="AA137" s="195">
        <f t="shared" si="8"/>
        <v>0.65172365574186875</v>
      </c>
      <c r="AB137" s="195">
        <f t="shared" si="9"/>
        <v>0.42725826362174774</v>
      </c>
      <c r="AC137" s="195">
        <f t="shared" si="2"/>
        <v>0.72972240505039132</v>
      </c>
      <c r="AD137">
        <f t="shared" si="3"/>
        <v>54</v>
      </c>
      <c r="AE137" s="195">
        <f t="shared" si="10"/>
        <v>0.22598140648234111</v>
      </c>
      <c r="AF137" s="195">
        <f t="shared" si="11"/>
        <v>1.8541962869228715E-2</v>
      </c>
      <c r="AG137" s="255" t="str">
        <f>IF(ISNUMBER(SEARCH("C",'WetLitterbags placem_collection'!AD64)),"YES","NO")</f>
        <v>NO</v>
      </c>
      <c r="AH137" s="255" t="str">
        <f>IF(ISNUMBER(SEARCH("H", 'WetLitterbags placem_collection'!AD64)),"YES","NO")</f>
        <v>YES</v>
      </c>
      <c r="AI137" s="255" t="str">
        <f>IF(ISNUMBER(SEARCH("R", 'WetLitterbags placem_collection'!AD64)),"YES","NO")</f>
        <v>YES</v>
      </c>
      <c r="AJ137" s="255" t="str">
        <f>IF(ISNUMBER(SEARCH("C", 'WetLitterbags placem_collection'!AC64)),"YES","NO")</f>
        <v>NO</v>
      </c>
      <c r="AK137" s="255" t="str">
        <f>IF(ISNUMBER(SEARCH("H", 'WetLitterbags placem_collection'!AC64)),"YES","NO")</f>
        <v>NO</v>
      </c>
      <c r="AL137" s="255" t="str">
        <f>IF(ISNUMBER(SEARCH("R", 'WetLitterbags placem_collection'!AC64)),"YES","NO")</f>
        <v>NO</v>
      </c>
    </row>
    <row r="138" spans="2:38">
      <c r="B138" t="str">
        <f>'Final data_for_R_analysis_Wetse'!A64</f>
        <v>Wet</v>
      </c>
      <c r="C138" s="263">
        <f>'Final data_for_R_analysis_Wetse'!B64</f>
        <v>63</v>
      </c>
      <c r="D138" t="s">
        <v>3835</v>
      </c>
      <c r="E138" t="s">
        <v>22</v>
      </c>
      <c r="F138" s="387">
        <v>7</v>
      </c>
      <c r="G138" s="16">
        <f>'WetLitterbags placem_collection'!E65</f>
        <v>42766</v>
      </c>
      <c r="H138" t="str">
        <f>'Final data_for_R_analysis_Wetse'!J64</f>
        <v>G387</v>
      </c>
      <c r="I138" t="str">
        <f>'Final data_for_R_analysis_Wetse'!J284</f>
        <v>R185</v>
      </c>
      <c r="J138">
        <f>IFERROR(INDEX('Green_rooibos initial weight'!$C$5:$C$1749,MATCH(H138, 'Green_rooibos initial weight'!$A$5:$A$1749,0)),"")</f>
        <v>2.0139999999999998</v>
      </c>
      <c r="K138">
        <f>IFERROR(INDEX('Green_rooibos initial weight'!$C$5:$C$1749,MATCH(I138, 'Green_rooibos initial weight'!$A$5:$A$1749,0)),"")</f>
        <v>2.2909999999999999</v>
      </c>
      <c r="L138" s="195">
        <f t="shared" si="4"/>
        <v>1.7641999999999998</v>
      </c>
      <c r="M138" s="195">
        <f>AVERAGE(Ashed_controlls!$K$2:$K$11)</f>
        <v>5.5147656768714146</v>
      </c>
      <c r="N138" s="195">
        <f t="shared" si="0"/>
        <v>1.6669085039286342</v>
      </c>
      <c r="O138" s="195">
        <f t="shared" si="5"/>
        <v>2.0411999999999999</v>
      </c>
      <c r="P138" s="195">
        <f>AVERAGE(Ashed_controlls!$K$12:$K$14)</f>
        <v>2.2816647271287041</v>
      </c>
      <c r="Q138" s="195">
        <f t="shared" si="6"/>
        <v>1.9946266595898487</v>
      </c>
      <c r="R138" s="16">
        <f>IF('WetLitterbags placem_collection'!G65="N.A","",'WetLitterbags placem_collection'!G65)</f>
        <v>42820</v>
      </c>
      <c r="S138" s="195">
        <f>IF(IFERROR(INDEX('Both teabags AfterWet'!$C$3:$C$841,MATCH(H138,'Both teabags AfterWet'!$A$3:$A$841,0)),"")="N.A","",(IFERROR(INDEX('Both teabags AfterWet'!$C$3:$C$841,MATCH(H138,'Both teabags AfterWet'!$A$3:$A$841,0)),"")))</f>
        <v>1.083</v>
      </c>
      <c r="T138" s="195">
        <f>IFERROR(INDEX('Both teabags AfterWet'!$C$3:$C$841,MATCH(I138,'Both teabags AfterWet'!$A$3:$A$841,0)),"")</f>
        <v>1.6850000000000001</v>
      </c>
      <c r="U138" s="195">
        <f t="shared" si="7"/>
        <v>0.9323999999999999</v>
      </c>
      <c r="V138" s="195">
        <f t="shared" si="7"/>
        <v>1.5344</v>
      </c>
      <c r="W138" s="195">
        <f>IFERROR(INDEX('Ashed teabags wet'!$K$2:$K$821,MATCH(H138,'Ashed teabags wet'!$A$2:$A$821,0)),"")</f>
        <v>20.515313563441481</v>
      </c>
      <c r="X138" s="195">
        <f>IFERROR(INDEX('Ashed teabags wet'!$K$2:$K$821,MATCH(I138,'Ashed teabags wet'!$A$2:$A$821,0)),"")</f>
        <v>8.6122047244091302</v>
      </c>
      <c r="Y138" s="195">
        <f t="shared" si="1"/>
        <v>0.74111521633447153</v>
      </c>
      <c r="Z138" s="195">
        <f t="shared" si="1"/>
        <v>1.4022543307086663</v>
      </c>
      <c r="AA138" s="195">
        <f t="shared" si="8"/>
        <v>0.5553953833772024</v>
      </c>
      <c r="AB138" s="195">
        <f t="shared" si="9"/>
        <v>0.36410718720215651</v>
      </c>
      <c r="AC138" s="195">
        <f t="shared" si="2"/>
        <v>0.70301593732684253</v>
      </c>
      <c r="AD138">
        <f t="shared" si="3"/>
        <v>54</v>
      </c>
      <c r="AE138" s="195">
        <f t="shared" si="10"/>
        <v>0.34038553043087594</v>
      </c>
      <c r="AF138" s="195">
        <f t="shared" si="11"/>
        <v>3.1313327447470805E-2</v>
      </c>
      <c r="AG138" s="255" t="str">
        <f>IF(ISNUMBER(SEARCH("C",'WetLitterbags placem_collection'!AD65)),"YES","NO")</f>
        <v>NO</v>
      </c>
      <c r="AH138" s="255" t="str">
        <f>IF(ISNUMBER(SEARCH("H", 'WetLitterbags placem_collection'!AD65)),"YES","NO")</f>
        <v>NO</v>
      </c>
      <c r="AI138" s="255" t="str">
        <f>IF(ISNUMBER(SEARCH("R", 'WetLitterbags placem_collection'!AD65)),"YES","NO")</f>
        <v>NO</v>
      </c>
      <c r="AJ138" s="255" t="str">
        <f>IF(ISNUMBER(SEARCH("C", 'WetLitterbags placem_collection'!AC65)),"YES","NO")</f>
        <v>NO</v>
      </c>
      <c r="AK138" s="255" t="str">
        <f>IF(ISNUMBER(SEARCH("H", 'WetLitterbags placem_collection'!AC65)),"YES","NO")</f>
        <v>NO</v>
      </c>
      <c r="AL138" s="255" t="str">
        <f>IF(ISNUMBER(SEARCH("R", 'WetLitterbags placem_collection'!AC65)),"YES","NO")</f>
        <v>NO</v>
      </c>
    </row>
    <row r="139" spans="2:38">
      <c r="B139" t="str">
        <f>'Final data_for_R_analysis_Wetse'!A65</f>
        <v>Wet</v>
      </c>
      <c r="C139" s="263">
        <f>'Final data_for_R_analysis_Wetse'!B65</f>
        <v>64</v>
      </c>
      <c r="D139" t="s">
        <v>3835</v>
      </c>
      <c r="E139" t="s">
        <v>22</v>
      </c>
      <c r="F139" s="387">
        <v>8</v>
      </c>
      <c r="G139" s="16">
        <f>'WetLitterbags placem_collection'!E66</f>
        <v>42766</v>
      </c>
      <c r="H139" t="str">
        <f>'Final data_for_R_analysis_Wetse'!J65</f>
        <v>G554</v>
      </c>
      <c r="I139" t="str">
        <f>'Final data_for_R_analysis_Wetse'!J285</f>
        <v>R159</v>
      </c>
      <c r="J139">
        <f>IFERROR(INDEX('Green_rooibos initial weight'!$C$5:$C$1749,MATCH(H139, 'Green_rooibos initial weight'!$A$5:$A$1749,0)),"")</f>
        <v>2.0840000000000001</v>
      </c>
      <c r="K139">
        <f>IFERROR(INDEX('Green_rooibos initial weight'!$C$5:$C$1749,MATCH(I139, 'Green_rooibos initial weight'!$A$5:$A$1749,0)),"")</f>
        <v>2.2930000000000001</v>
      </c>
      <c r="L139" s="195">
        <f t="shared" si="4"/>
        <v>1.8342000000000001</v>
      </c>
      <c r="M139" s="195">
        <f>AVERAGE(Ashed_controlls!$K$2:$K$11)</f>
        <v>5.5147656768714146</v>
      </c>
      <c r="N139" s="195">
        <f t="shared" si="0"/>
        <v>1.7330481679548246</v>
      </c>
      <c r="O139" s="195">
        <f t="shared" si="5"/>
        <v>2.0432000000000001</v>
      </c>
      <c r="P139" s="195">
        <f>AVERAGE(Ashed_controlls!$K$12:$K$14)</f>
        <v>2.2816647271287041</v>
      </c>
      <c r="Q139" s="195">
        <f t="shared" si="6"/>
        <v>1.9965810262953065</v>
      </c>
      <c r="R139" s="16">
        <f>IF('WetLitterbags placem_collection'!G66="N.A","",'WetLitterbags placem_collection'!G66)</f>
        <v>42820</v>
      </c>
      <c r="S139" s="195">
        <f>IF(IFERROR(INDEX('Both teabags AfterWet'!$C$3:$C$841,MATCH(H139,'Both teabags AfterWet'!$A$3:$A$841,0)),"")="N.A","",(IFERROR(INDEX('Both teabags AfterWet'!$C$3:$C$841,MATCH(H139,'Both teabags AfterWet'!$A$3:$A$841,0)),"")))</f>
        <v>1.29</v>
      </c>
      <c r="T139" s="195">
        <f>IFERROR(INDEX('Both teabags AfterWet'!$C$3:$C$841,MATCH(I139,'Both teabags AfterWet'!$A$3:$A$841,0)),"")</f>
        <v>1.3160000000000001</v>
      </c>
      <c r="U139" s="195">
        <f t="shared" si="7"/>
        <v>1.1394</v>
      </c>
      <c r="V139" s="195">
        <f t="shared" si="7"/>
        <v>1.1654</v>
      </c>
      <c r="W139" s="195">
        <f>IFERROR(INDEX('Ashed teabags wet'!$K$2:$K$821,MATCH(H139,'Ashed teabags wet'!$A$2:$A$821,0)),"")</f>
        <v>36.815920398009624</v>
      </c>
      <c r="X139" s="195">
        <f>IFERROR(INDEX('Ashed teabags wet'!$K$2:$K$821,MATCH(I139,'Ashed teabags wet'!$A$2:$A$821,0)),"")</f>
        <v>82.454411039920885</v>
      </c>
      <c r="Y139" s="195">
        <f t="shared" si="1"/>
        <v>0.71991940298507839</v>
      </c>
      <c r="Z139" s="195">
        <f t="shared" si="1"/>
        <v>0.20447629374076204</v>
      </c>
      <c r="AA139" s="195">
        <f t="shared" si="8"/>
        <v>0.58459354085082504</v>
      </c>
      <c r="AB139" s="195">
        <f t="shared" si="9"/>
        <v>0.38324897214923453</v>
      </c>
      <c r="AC139" s="195">
        <f t="shared" si="2"/>
        <v>0.10241322092505889</v>
      </c>
      <c r="AD139">
        <f t="shared" si="3"/>
        <v>54</v>
      </c>
      <c r="AE139" s="195">
        <f t="shared" si="10"/>
        <v>0.30570838378761866</v>
      </c>
      <c r="AF139" s="195" t="str">
        <f t="shared" si="11"/>
        <v/>
      </c>
      <c r="AG139" s="255" t="str">
        <f>IF(ISNUMBER(SEARCH("C",'WetLitterbags placem_collection'!AD66)),"YES","NO")</f>
        <v>NO</v>
      </c>
      <c r="AH139" s="255" t="str">
        <f>IF(ISNUMBER(SEARCH("H", 'WetLitterbags placem_collection'!AD66)),"YES","NO")</f>
        <v>NO</v>
      </c>
      <c r="AI139" s="255" t="str">
        <f>IF(ISNUMBER(SEARCH("R", 'WetLitterbags placem_collection'!AD66)),"YES","NO")</f>
        <v>NO</v>
      </c>
      <c r="AJ139" s="255" t="str">
        <f>IF(ISNUMBER(SEARCH("C", 'WetLitterbags placem_collection'!AC66)),"YES","NO")</f>
        <v>NO</v>
      </c>
      <c r="AK139" s="255" t="str">
        <f>IF(ISNUMBER(SEARCH("H", 'WetLitterbags placem_collection'!AC66)),"YES","NO")</f>
        <v>NO</v>
      </c>
      <c r="AL139" s="255" t="str">
        <f>IF(ISNUMBER(SEARCH("R", 'WetLitterbags placem_collection'!AC66)),"YES","NO")</f>
        <v>NO</v>
      </c>
    </row>
    <row r="140" spans="2:38">
      <c r="B140" t="str">
        <f>'Final data_for_R_analysis_Wetse'!A66</f>
        <v>Wet</v>
      </c>
      <c r="C140" s="263">
        <f>'Final data_for_R_analysis_Wetse'!B66</f>
        <v>65</v>
      </c>
      <c r="D140" t="s">
        <v>3836</v>
      </c>
      <c r="E140" t="s">
        <v>22</v>
      </c>
      <c r="F140" s="386">
        <v>1</v>
      </c>
      <c r="G140" s="16">
        <f>'WetLitterbags placem_collection'!E67</f>
        <v>42767</v>
      </c>
      <c r="H140" t="str">
        <f>'Final data_for_R_analysis_Wetse'!J66</f>
        <v>G614</v>
      </c>
      <c r="I140" t="str">
        <f>'Final data_for_R_analysis_Wetse'!J286</f>
        <v>R525</v>
      </c>
      <c r="J140">
        <f>IFERROR(INDEX('Green_rooibos initial weight'!$C$5:$C$1749,MATCH(H140, 'Green_rooibos initial weight'!$A$5:$A$1749,0)),"")</f>
        <v>2.1709999999999998</v>
      </c>
      <c r="K140">
        <f>IFERROR(INDEX('Green_rooibos initial weight'!$C$5:$C$1749,MATCH(I140, 'Green_rooibos initial weight'!$A$5:$A$1749,0)),"")</f>
        <v>2.1469999999999998</v>
      </c>
      <c r="L140" s="195">
        <f t="shared" si="4"/>
        <v>1.9211999999999998</v>
      </c>
      <c r="M140" s="195">
        <f>AVERAGE(Ashed_controlls!$K$2:$K$11)</f>
        <v>5.5147656768714146</v>
      </c>
      <c r="N140" s="195">
        <f t="shared" ref="N140:N203" si="12">IFERROR(L140-(M140/100)*L140,"")</f>
        <v>1.8152503218159461</v>
      </c>
      <c r="O140" s="195">
        <f t="shared" si="5"/>
        <v>1.8971999999999998</v>
      </c>
      <c r="P140" s="195">
        <f>AVERAGE(Ashed_controlls!$K$12:$K$14)</f>
        <v>2.2816647271287041</v>
      </c>
      <c r="Q140" s="195">
        <f t="shared" si="6"/>
        <v>1.853912256796914</v>
      </c>
      <c r="R140" s="16">
        <f>IF('WetLitterbags placem_collection'!G67="N.A","",'WetLitterbags placem_collection'!G67)</f>
        <v>42818</v>
      </c>
      <c r="S140" s="195">
        <f>IF(IFERROR(INDEX('Both teabags AfterWet'!$C$3:$C$841,MATCH(H140,'Both teabags AfterWet'!$A$3:$A$841,0)),"")="N.A","",(IFERROR(INDEX('Both teabags AfterWet'!$C$3:$C$841,MATCH(H140,'Both teabags AfterWet'!$A$3:$A$841,0)),"")))</f>
        <v>0.96099999999999997</v>
      </c>
      <c r="T140" s="195">
        <f>IFERROR(INDEX('Both teabags AfterWet'!$C$3:$C$841,MATCH(I140,'Both teabags AfterWet'!$A$3:$A$841,0)),"")</f>
        <v>1.704</v>
      </c>
      <c r="U140" s="195">
        <f t="shared" si="7"/>
        <v>0.81040000000000001</v>
      </c>
      <c r="V140" s="195">
        <f t="shared" si="7"/>
        <v>1.5533999999999999</v>
      </c>
      <c r="W140" s="195">
        <f>IFERROR(INDEX('Ashed teabags wet'!$K$2:$K$821,MATCH(H140,'Ashed teabags wet'!$A$2:$A$821,0)),"")</f>
        <v>15.67460317460233</v>
      </c>
      <c r="X140" s="195">
        <f>IFERROR(INDEX('Ashed teabags wet'!$K$2:$K$821,MATCH(I140,'Ashed teabags wet'!$A$2:$A$821,0)),"")</f>
        <v>3.9941548952748618</v>
      </c>
      <c r="Y140" s="195">
        <f t="shared" ref="Y140:Z203" si="13">IFERROR(U140-(W140/100)*U140,"")</f>
        <v>0.68337301587302268</v>
      </c>
      <c r="Z140" s="195">
        <f t="shared" si="13"/>
        <v>1.4913547978568003</v>
      </c>
      <c r="AA140" s="195">
        <f t="shared" si="8"/>
        <v>0.62353786270678757</v>
      </c>
      <c r="AB140" s="195">
        <f t="shared" si="9"/>
        <v>0.4087801665251149</v>
      </c>
      <c r="AC140" s="195">
        <f t="shared" ref="AC140:AC203" si="14">IFERROR(Z140/Q140,"")</f>
        <v>0.80443655970724293</v>
      </c>
      <c r="AD140">
        <f t="shared" ref="AD140:AD203" si="15">IF((R140-G140)&gt;0,(IFERROR(R140-G140,"")),"")</f>
        <v>51</v>
      </c>
      <c r="AE140" s="195">
        <f t="shared" si="10"/>
        <v>0.25945622006319768</v>
      </c>
      <c r="AF140" s="195">
        <f t="shared" si="11"/>
        <v>1.2762125076915515E-2</v>
      </c>
      <c r="AG140" s="255" t="str">
        <f>IF(ISNUMBER(SEARCH("C",'WetLitterbags placem_collection'!AD67)),"YES","NO")</f>
        <v>NO</v>
      </c>
      <c r="AH140" s="255" t="str">
        <f>IF(ISNUMBER(SEARCH("H", 'WetLitterbags placem_collection'!AD67)),"YES","NO")</f>
        <v>NO</v>
      </c>
      <c r="AI140" s="255" t="str">
        <f>IF(ISNUMBER(SEARCH("R", 'WetLitterbags placem_collection'!AD67)),"YES","NO")</f>
        <v>NO</v>
      </c>
      <c r="AJ140" s="255" t="str">
        <f>IF(ISNUMBER(SEARCH("C", 'WetLitterbags placem_collection'!AC67)),"YES","NO")</f>
        <v>NO</v>
      </c>
      <c r="AK140" s="255" t="str">
        <f>IF(ISNUMBER(SEARCH("H", 'WetLitterbags placem_collection'!AC67)),"YES","NO")</f>
        <v>NO</v>
      </c>
      <c r="AL140" s="255" t="str">
        <f>IF(ISNUMBER(SEARCH("R", 'WetLitterbags placem_collection'!AC67)),"YES","NO")</f>
        <v>NO</v>
      </c>
    </row>
    <row r="141" spans="2:38">
      <c r="B141" t="str">
        <f>'Final data_for_R_analysis_Wetse'!A67</f>
        <v>Wet</v>
      </c>
      <c r="C141" s="263">
        <f>'Final data_for_R_analysis_Wetse'!B67</f>
        <v>66</v>
      </c>
      <c r="D141" t="s">
        <v>3836</v>
      </c>
      <c r="E141" t="s">
        <v>22</v>
      </c>
      <c r="F141" s="386">
        <v>2</v>
      </c>
      <c r="G141" s="16">
        <f>'WetLitterbags placem_collection'!E68</f>
        <v>42767</v>
      </c>
      <c r="H141" t="str">
        <f>'Final data_for_R_analysis_Wetse'!J67</f>
        <v>G282</v>
      </c>
      <c r="I141" t="str">
        <f>'Final data_for_R_analysis_Wetse'!J287</f>
        <v>R150</v>
      </c>
      <c r="J141">
        <f>IFERROR(INDEX('Green_rooibos initial weight'!$C$5:$C$1749,MATCH(H141, 'Green_rooibos initial weight'!$A$5:$A$1749,0)),"")</f>
        <v>1.9730000000000001</v>
      </c>
      <c r="K141">
        <f>IFERROR(INDEX('Green_rooibos initial weight'!$C$5:$C$1749,MATCH(I141, 'Green_rooibos initial weight'!$A$5:$A$1749,0)),"")</f>
        <v>2.1469999999999998</v>
      </c>
      <c r="L141" s="195">
        <f t="shared" ref="L141:L204" si="16">IF(J141&gt;0,(J141*$F$31-($F$29+$F$30)),"")</f>
        <v>1.7232000000000001</v>
      </c>
      <c r="M141" s="195">
        <f>AVERAGE(Ashed_controlls!$K$2:$K$11)</f>
        <v>5.5147656768714146</v>
      </c>
      <c r="N141" s="195">
        <f t="shared" si="12"/>
        <v>1.6281695578561519</v>
      </c>
      <c r="O141" s="195">
        <f t="shared" ref="O141:O204" si="17">IF(K141&gt;0,(K141*$F$32-($F$29+$F$30)),"")</f>
        <v>1.8971999999999998</v>
      </c>
      <c r="P141" s="195">
        <f>AVERAGE(Ashed_controlls!$K$12:$K$14)</f>
        <v>2.2816647271287041</v>
      </c>
      <c r="Q141" s="195">
        <f t="shared" ref="Q141:Q204" si="18">IFERROR(O141-(P141/100)*O141,"")</f>
        <v>1.853912256796914</v>
      </c>
      <c r="R141" s="16">
        <f>IF('WetLitterbags placem_collection'!G68="N.A","",'WetLitterbags placem_collection'!G68)</f>
        <v>42818</v>
      </c>
      <c r="S141" s="195">
        <f>IF(IFERROR(INDEX('Both teabags AfterWet'!$C$3:$C$841,MATCH(H141,'Both teabags AfterWet'!$A$3:$A$841,0)),"")="N.A","",(IFERROR(INDEX('Both teabags AfterWet'!$C$3:$C$841,MATCH(H141,'Both teabags AfterWet'!$A$3:$A$841,0)),"")))</f>
        <v>1.1456</v>
      </c>
      <c r="T141" s="195">
        <f>IFERROR(INDEX('Both teabags AfterWet'!$C$3:$C$841,MATCH(I141,'Both teabags AfterWet'!$A$3:$A$841,0)),"")</f>
        <v>0.21360000000000001</v>
      </c>
      <c r="U141" s="195">
        <f t="shared" ref="U141:V204" si="19">IFERROR(IF(S141&gt;0,S141-($F$29),""),"")</f>
        <v>0.99499999999999988</v>
      </c>
      <c r="V141" s="195">
        <f t="shared" si="19"/>
        <v>6.3E-2</v>
      </c>
      <c r="W141" s="195">
        <f>IFERROR(INDEX('Ashed teabags wet'!$K$2:$K$821,MATCH(H141,'Ashed teabags wet'!$A$2:$A$821,0)),"")</f>
        <v>31.190019193858088</v>
      </c>
      <c r="X141" s="195" t="str">
        <f>IFERROR(INDEX('Ashed teabags wet'!$K$2:$K$821,MATCH(I141,'Ashed teabags wet'!$A$2:$A$821,0)),"")</f>
        <v/>
      </c>
      <c r="Y141" s="195">
        <f t="shared" si="13"/>
        <v>0.68465930902111194</v>
      </c>
      <c r="Z141" s="195" t="str">
        <f t="shared" si="13"/>
        <v/>
      </c>
      <c r="AA141" s="195">
        <f t="shared" ref="AA141:AA204" si="20">IFERROR(1-Y141/N141,"")</f>
        <v>0.57949139528034266</v>
      </c>
      <c r="AB141" s="195">
        <f t="shared" ref="AB141:AB204" si="21">IFERROR($F$26*(1-AE141),"")</f>
        <v>0.37990409761846694</v>
      </c>
      <c r="AC141" s="195" t="str">
        <f t="shared" si="14"/>
        <v/>
      </c>
      <c r="AD141">
        <f t="shared" si="15"/>
        <v>51</v>
      </c>
      <c r="AE141" s="195">
        <f t="shared" ref="AE141:AE204" si="22">IFERROR(1-(AA141/$F$25),"")</f>
        <v>0.3117679390969802</v>
      </c>
      <c r="AF141" s="195" t="str">
        <f t="shared" ref="AF141:AF204" si="23">IFERROR(LN(AB141/(AC141-(1-AB141)))/AD141,"")</f>
        <v/>
      </c>
      <c r="AG141" s="255" t="str">
        <f>IF(ISNUMBER(SEARCH("C",'WetLitterbags placem_collection'!AD68)),"YES","NO")</f>
        <v>NO</v>
      </c>
      <c r="AH141" s="255" t="str">
        <f>IF(ISNUMBER(SEARCH("H", 'WetLitterbags placem_collection'!AD68)),"YES","NO")</f>
        <v>NO</v>
      </c>
      <c r="AI141" s="255" t="str">
        <f>IF(ISNUMBER(SEARCH("R", 'WetLitterbags placem_collection'!AD68)),"YES","NO")</f>
        <v>NO</v>
      </c>
      <c r="AJ141" s="255" t="str">
        <f>IF(ISNUMBER(SEARCH("C", 'WetLitterbags placem_collection'!AC68)),"YES","NO")</f>
        <v>NO</v>
      </c>
      <c r="AK141" s="255" t="str">
        <f>IF(ISNUMBER(SEARCH("H", 'WetLitterbags placem_collection'!AC68)),"YES","NO")</f>
        <v>NO</v>
      </c>
      <c r="AL141" s="255" t="str">
        <f>IF(ISNUMBER(SEARCH("R", 'WetLitterbags placem_collection'!AC68)),"YES","NO")</f>
        <v>NO</v>
      </c>
    </row>
    <row r="142" spans="2:38">
      <c r="B142" t="str">
        <f>'Final data_for_R_analysis_Wetse'!A68</f>
        <v>Wet</v>
      </c>
      <c r="C142" s="263">
        <f>'Final data_for_R_analysis_Wetse'!B68</f>
        <v>67</v>
      </c>
      <c r="D142" t="s">
        <v>3836</v>
      </c>
      <c r="E142" t="s">
        <v>22</v>
      </c>
      <c r="F142" s="386">
        <v>3</v>
      </c>
      <c r="G142" s="16">
        <f>'WetLitterbags placem_collection'!E69</f>
        <v>42767</v>
      </c>
      <c r="H142" t="str">
        <f>'Final data_for_R_analysis_Wetse'!J68</f>
        <v>G450</v>
      </c>
      <c r="I142" t="str">
        <f>'Final data_for_R_analysis_Wetse'!J288</f>
        <v>R165</v>
      </c>
      <c r="J142">
        <f>IFERROR(INDEX('Green_rooibos initial weight'!$C$5:$C$1749,MATCH(H142, 'Green_rooibos initial weight'!$A$5:$A$1749,0)),"")</f>
        <v>2.1629999999999998</v>
      </c>
      <c r="K142">
        <f>IFERROR(INDEX('Green_rooibos initial weight'!$C$5:$C$1749,MATCH(I142, 'Green_rooibos initial weight'!$A$5:$A$1749,0)),"")</f>
        <v>2.169</v>
      </c>
      <c r="L142" s="195">
        <f t="shared" si="16"/>
        <v>1.9131999999999998</v>
      </c>
      <c r="M142" s="195">
        <f>AVERAGE(Ashed_controlls!$K$2:$K$11)</f>
        <v>5.5147656768714146</v>
      </c>
      <c r="N142" s="195">
        <f t="shared" si="12"/>
        <v>1.807691503070096</v>
      </c>
      <c r="O142" s="195">
        <f t="shared" si="17"/>
        <v>1.9192</v>
      </c>
      <c r="P142" s="195">
        <f>AVERAGE(Ashed_controlls!$K$12:$K$14)</f>
        <v>2.2816647271287041</v>
      </c>
      <c r="Q142" s="195">
        <f t="shared" si="18"/>
        <v>1.8754102905569459</v>
      </c>
      <c r="R142" s="16">
        <f>IF('WetLitterbags placem_collection'!G69="N.A","",'WetLitterbags placem_collection'!G69)</f>
        <v>42818</v>
      </c>
      <c r="S142" s="195">
        <f>IF(IFERROR(INDEX('Both teabags AfterWet'!$C$3:$C$841,MATCH(H142,'Both teabags AfterWet'!$A$3:$A$841,0)),"")="N.A","",(IFERROR(INDEX('Both teabags AfterWet'!$C$3:$C$841,MATCH(H142,'Both teabags AfterWet'!$A$3:$A$841,0)),"")))</f>
        <v>0.89059999999999995</v>
      </c>
      <c r="T142" s="195">
        <f>IFERROR(INDEX('Both teabags AfterWet'!$C$3:$C$841,MATCH(I142,'Both teabags AfterWet'!$A$3:$A$841,0)),"")</f>
        <v>1.4942</v>
      </c>
      <c r="U142" s="195">
        <f t="shared" si="19"/>
        <v>0.74</v>
      </c>
      <c r="V142" s="195">
        <f t="shared" si="19"/>
        <v>1.3435999999999999</v>
      </c>
      <c r="W142" s="195">
        <f>IFERROR(INDEX('Ashed teabags wet'!$K$2:$K$821,MATCH(H142,'Ashed teabags wet'!$A$2:$A$821,0)),"")</f>
        <v>13.860419716935581</v>
      </c>
      <c r="X142" s="195">
        <f>IFERROR(INDEX('Ashed teabags wet'!$K$2:$K$821,MATCH(I142,'Ashed teabags wet'!$A$2:$A$821,0)),"")</f>
        <v>4.9107142857138548</v>
      </c>
      <c r="Y142" s="195">
        <f t="shared" si="13"/>
        <v>0.63743289409467674</v>
      </c>
      <c r="Z142" s="195">
        <f t="shared" si="13"/>
        <v>1.2776196428571485</v>
      </c>
      <c r="AA142" s="195">
        <f t="shared" si="20"/>
        <v>0.64737739099171976</v>
      </c>
      <c r="AB142" s="195">
        <f t="shared" si="21"/>
        <v>0.42440893091143628</v>
      </c>
      <c r="AC142" s="195">
        <f t="shared" si="14"/>
        <v>0.68124807104355289</v>
      </c>
      <c r="AD142">
        <f t="shared" si="15"/>
        <v>51</v>
      </c>
      <c r="AE142" s="195">
        <f t="shared" si="22"/>
        <v>0.23114324110247053</v>
      </c>
      <c r="AF142" s="195">
        <f t="shared" si="23"/>
        <v>2.7264694769776662E-2</v>
      </c>
      <c r="AG142" s="255" t="str">
        <f>IF(ISNUMBER(SEARCH("C",'WetLitterbags placem_collection'!AD69)),"YES","NO")</f>
        <v>NO</v>
      </c>
      <c r="AH142" s="255" t="str">
        <f>IF(ISNUMBER(SEARCH("H", 'WetLitterbags placem_collection'!AD69)),"YES","NO")</f>
        <v>NO</v>
      </c>
      <c r="AI142" s="255" t="str">
        <f>IF(ISNUMBER(SEARCH("R", 'WetLitterbags placem_collection'!AD69)),"YES","NO")</f>
        <v>NO</v>
      </c>
      <c r="AJ142" s="255" t="str">
        <f>IF(ISNUMBER(SEARCH("C", 'WetLitterbags placem_collection'!AC69)),"YES","NO")</f>
        <v>NO</v>
      </c>
      <c r="AK142" s="255" t="str">
        <f>IF(ISNUMBER(SEARCH("H", 'WetLitterbags placem_collection'!AC69)),"YES","NO")</f>
        <v>NO</v>
      </c>
      <c r="AL142" s="255" t="str">
        <f>IF(ISNUMBER(SEARCH("R", 'WetLitterbags placem_collection'!AC69)),"YES","NO")</f>
        <v>NO</v>
      </c>
    </row>
    <row r="143" spans="2:38">
      <c r="B143" t="str">
        <f>'Final data_for_R_analysis_Wetse'!A69</f>
        <v>Wet</v>
      </c>
      <c r="C143" s="263">
        <f>'Final data_for_R_analysis_Wetse'!B69</f>
        <v>68</v>
      </c>
      <c r="D143" t="s">
        <v>3836</v>
      </c>
      <c r="E143" t="s">
        <v>22</v>
      </c>
      <c r="F143" s="387">
        <v>4</v>
      </c>
      <c r="G143" s="16">
        <f>'WetLitterbags placem_collection'!E70</f>
        <v>42767</v>
      </c>
      <c r="H143" t="str">
        <f>'Final data_for_R_analysis_Wetse'!J69</f>
        <v>G269</v>
      </c>
      <c r="I143" t="str">
        <f>'Final data_for_R_analysis_Wetse'!J289</f>
        <v>R129</v>
      </c>
      <c r="J143">
        <f>IFERROR(INDEX('Green_rooibos initial weight'!$C$5:$C$1749,MATCH(H143, 'Green_rooibos initial weight'!$A$5:$A$1749,0)),"")</f>
        <v>2.0419999999999998</v>
      </c>
      <c r="K143">
        <f>IFERROR(INDEX('Green_rooibos initial weight'!$C$5:$C$1749,MATCH(I143, 'Green_rooibos initial weight'!$A$5:$A$1749,0)),"")</f>
        <v>2.2829999999999999</v>
      </c>
      <c r="L143" s="195">
        <f t="shared" si="16"/>
        <v>1.7921999999999998</v>
      </c>
      <c r="M143" s="195">
        <f>AVERAGE(Ashed_controlls!$K$2:$K$11)</f>
        <v>5.5147656768714146</v>
      </c>
      <c r="N143" s="195">
        <f t="shared" si="12"/>
        <v>1.6933643695391103</v>
      </c>
      <c r="O143" s="195">
        <f t="shared" si="17"/>
        <v>2.0331999999999999</v>
      </c>
      <c r="P143" s="195">
        <f>AVERAGE(Ashed_controlls!$K$12:$K$14)</f>
        <v>2.2816647271287041</v>
      </c>
      <c r="Q143" s="195">
        <f t="shared" si="18"/>
        <v>1.9868091927680191</v>
      </c>
      <c r="R143" s="16">
        <f>IF('WetLitterbags placem_collection'!G70="N.A","",'WetLitterbags placem_collection'!G70)</f>
        <v>42818</v>
      </c>
      <c r="S143" s="195">
        <f>IF(IFERROR(INDEX('Both teabags AfterWet'!$C$3:$C$841,MATCH(H143,'Both teabags AfterWet'!$A$3:$A$841,0)),"")="N.A","",(IFERROR(INDEX('Both teabags AfterWet'!$C$3:$C$841,MATCH(H143,'Both teabags AfterWet'!$A$3:$A$841,0)),"")))</f>
        <v>1.018</v>
      </c>
      <c r="T143" s="195">
        <f>IFERROR(INDEX('Both teabags AfterWet'!$C$3:$C$841,MATCH(I143,'Both teabags AfterWet'!$A$3:$A$841,0)),"")</f>
        <v>1.885</v>
      </c>
      <c r="U143" s="195">
        <f t="shared" si="19"/>
        <v>0.86739999999999995</v>
      </c>
      <c r="V143" s="195">
        <f t="shared" si="19"/>
        <v>1.7343999999999999</v>
      </c>
      <c r="W143" s="195">
        <f>IFERROR(INDEX('Ashed teabags wet'!$K$2:$K$821,MATCH(H143,'Ashed teabags wet'!$A$2:$A$821,0)),"")</f>
        <v>19.040626529613323</v>
      </c>
      <c r="X143" s="195">
        <f>IFERROR(INDEX('Ashed teabags wet'!$K$2:$K$821,MATCH(I143,'Ashed teabags wet'!$A$2:$A$821,0)),"")</f>
        <v>14.637752587481726</v>
      </c>
      <c r="Y143" s="195">
        <f t="shared" si="13"/>
        <v>0.70224160548213399</v>
      </c>
      <c r="Z143" s="195">
        <f t="shared" si="13"/>
        <v>1.4805228191227169</v>
      </c>
      <c r="AA143" s="195">
        <f t="shared" si="20"/>
        <v>0.58529799131579352</v>
      </c>
      <c r="AB143" s="195">
        <f t="shared" si="21"/>
        <v>0.38371079715714734</v>
      </c>
      <c r="AC143" s="195">
        <f t="shared" si="14"/>
        <v>0.74517614701593715</v>
      </c>
      <c r="AD143">
        <f t="shared" si="15"/>
        <v>51</v>
      </c>
      <c r="AE143" s="195">
        <f t="shared" si="22"/>
        <v>0.30487174428053021</v>
      </c>
      <c r="AF143" s="195">
        <f t="shared" si="23"/>
        <v>2.1391245452935203E-2</v>
      </c>
      <c r="AG143" s="255" t="str">
        <f>IF(ISNUMBER(SEARCH("C",'WetLitterbags placem_collection'!AD70)),"YES","NO")</f>
        <v>NO</v>
      </c>
      <c r="AH143" s="255" t="str">
        <f>IF(ISNUMBER(SEARCH("H", 'WetLitterbags placem_collection'!AD70)),"YES","NO")</f>
        <v>NO</v>
      </c>
      <c r="AI143" s="255" t="str">
        <f>IF(ISNUMBER(SEARCH("R", 'WetLitterbags placem_collection'!AD70)),"YES","NO")</f>
        <v>NO</v>
      </c>
      <c r="AJ143" s="255" t="str">
        <f>IF(ISNUMBER(SEARCH("C", 'WetLitterbags placem_collection'!AC70)),"YES","NO")</f>
        <v>NO</v>
      </c>
      <c r="AK143" s="255" t="str">
        <f>IF(ISNUMBER(SEARCH("H", 'WetLitterbags placem_collection'!AC70)),"YES","NO")</f>
        <v>NO</v>
      </c>
      <c r="AL143" s="255" t="str">
        <f>IF(ISNUMBER(SEARCH("R", 'WetLitterbags placem_collection'!AC70)),"YES","NO")</f>
        <v>NO</v>
      </c>
    </row>
    <row r="144" spans="2:38">
      <c r="B144" t="str">
        <f>'Final data_for_R_analysis_Wetse'!A70</f>
        <v>Wet</v>
      </c>
      <c r="C144" s="263">
        <f>'Final data_for_R_analysis_Wetse'!B70</f>
        <v>69</v>
      </c>
      <c r="D144" t="s">
        <v>3836</v>
      </c>
      <c r="E144" t="s">
        <v>22</v>
      </c>
      <c r="F144" s="387">
        <v>5</v>
      </c>
      <c r="G144" s="16">
        <f>'WetLitterbags placem_collection'!E71</f>
        <v>42767</v>
      </c>
      <c r="H144" t="str">
        <f>'Final data_for_R_analysis_Wetse'!J70</f>
        <v>G448</v>
      </c>
      <c r="I144" t="str">
        <f>'Final data_for_R_analysis_Wetse'!J290</f>
        <v>R414</v>
      </c>
      <c r="J144">
        <f>IFERROR(INDEX('Green_rooibos initial weight'!$C$5:$C$1749,MATCH(H144, 'Green_rooibos initial weight'!$A$5:$A$1749,0)),"")</f>
        <v>2.0179999999999998</v>
      </c>
      <c r="K144">
        <f>IFERROR(INDEX('Green_rooibos initial weight'!$C$5:$C$1749,MATCH(I144, 'Green_rooibos initial weight'!$A$5:$A$1749,0)),"")</f>
        <v>2.1349999999999998</v>
      </c>
      <c r="L144" s="195">
        <f t="shared" si="16"/>
        <v>1.7681999999999998</v>
      </c>
      <c r="M144" s="195">
        <f>AVERAGE(Ashed_controlls!$K$2:$K$11)</f>
        <v>5.5147656768714146</v>
      </c>
      <c r="N144" s="195">
        <f t="shared" si="12"/>
        <v>1.6706879133015595</v>
      </c>
      <c r="O144" s="195">
        <f t="shared" si="17"/>
        <v>1.8851999999999998</v>
      </c>
      <c r="P144" s="195">
        <f>AVERAGE(Ashed_controlls!$K$12:$K$14)</f>
        <v>2.2816647271287041</v>
      </c>
      <c r="Q144" s="195">
        <f t="shared" si="18"/>
        <v>1.8421860565641694</v>
      </c>
      <c r="R144" s="16">
        <f>IF('WetLitterbags placem_collection'!G71="N.A","",'WetLitterbags placem_collection'!G71)</f>
        <v>42818</v>
      </c>
      <c r="S144" s="195" t="str">
        <f>IF(IFERROR(INDEX('Both teabags AfterWet'!$C$3:$C$841,MATCH(H144,'Both teabags AfterWet'!$A$3:$A$841,0)),"")="N.A","",(IFERROR(INDEX('Both teabags AfterWet'!$C$3:$C$841,MATCH(H144,'Both teabags AfterWet'!$A$3:$A$841,0)),"")))</f>
        <v/>
      </c>
      <c r="T144" s="195">
        <f>IFERROR(INDEX('Both teabags AfterWet'!$C$3:$C$841,MATCH(I144,'Both teabags AfterWet'!$A$3:$A$841,0)),"")</f>
        <v>2.403</v>
      </c>
      <c r="U144" s="195" t="str">
        <f t="shared" si="19"/>
        <v/>
      </c>
      <c r="V144" s="195">
        <f t="shared" si="19"/>
        <v>2.2524000000000002</v>
      </c>
      <c r="W144" s="195" t="str">
        <f>IFERROR(INDEX('Ashed teabags wet'!$K$2:$K$821,MATCH(H144,'Ashed teabags wet'!$A$2:$A$821,0)),"")</f>
        <v/>
      </c>
      <c r="X144" s="195">
        <f>IFERROR(INDEX('Ashed teabags wet'!$K$2:$K$821,MATCH(I144,'Ashed teabags wet'!$A$2:$A$821,0)),"")</f>
        <v>16.515513126491193</v>
      </c>
      <c r="Y144" s="195" t="str">
        <f t="shared" si="13"/>
        <v/>
      </c>
      <c r="Z144" s="195">
        <f t="shared" si="13"/>
        <v>1.8804045823389126</v>
      </c>
      <c r="AA144" s="195" t="str">
        <f t="shared" si="20"/>
        <v/>
      </c>
      <c r="AB144" s="195" t="str">
        <f t="shared" si="21"/>
        <v/>
      </c>
      <c r="AC144" s="195">
        <f t="shared" si="14"/>
        <v>1.0207462897890043</v>
      </c>
      <c r="AD144">
        <f t="shared" si="15"/>
        <v>51</v>
      </c>
      <c r="AE144" s="195" t="str">
        <f t="shared" si="22"/>
        <v/>
      </c>
      <c r="AF144" s="195" t="str">
        <f t="shared" si="23"/>
        <v/>
      </c>
      <c r="AG144" s="255" t="str">
        <f>IF(ISNUMBER(SEARCH("C",'WetLitterbags placem_collection'!AD71)),"YES","NO")</f>
        <v>NO</v>
      </c>
      <c r="AH144" s="255" t="str">
        <f>IF(ISNUMBER(SEARCH("H", 'WetLitterbags placem_collection'!AD71)),"YES","NO")</f>
        <v>NO</v>
      </c>
      <c r="AI144" s="255" t="str">
        <f>IF(ISNUMBER(SEARCH("R", 'WetLitterbags placem_collection'!AD71)),"YES","NO")</f>
        <v>NO</v>
      </c>
      <c r="AJ144" s="255" t="str">
        <f>IF(ISNUMBER(SEARCH("C", 'WetLitterbags placem_collection'!AC71)),"YES","NO")</f>
        <v>NO</v>
      </c>
      <c r="AK144" s="255" t="str">
        <f>IF(ISNUMBER(SEARCH("H", 'WetLitterbags placem_collection'!AC71)),"YES","NO")</f>
        <v>NO</v>
      </c>
      <c r="AL144" s="255" t="str">
        <f>IF(ISNUMBER(SEARCH("R", 'WetLitterbags placem_collection'!AC71)),"YES","NO")</f>
        <v>NO</v>
      </c>
    </row>
    <row r="145" spans="2:38">
      <c r="B145" t="str">
        <f>'Final data_for_R_analysis_Wetse'!A71</f>
        <v>Wet</v>
      </c>
      <c r="C145" s="263">
        <f>'Final data_for_R_analysis_Wetse'!B71</f>
        <v>70</v>
      </c>
      <c r="D145" t="s">
        <v>3836</v>
      </c>
      <c r="E145" t="s">
        <v>22</v>
      </c>
      <c r="F145" s="387">
        <v>6</v>
      </c>
      <c r="G145" s="16">
        <f>'WetLitterbags placem_collection'!E72</f>
        <v>42767</v>
      </c>
      <c r="H145" t="str">
        <f>'Final data_for_R_analysis_Wetse'!J71</f>
        <v>G358</v>
      </c>
      <c r="I145" t="str">
        <f>'Final data_for_R_analysis_Wetse'!J291</f>
        <v>R151</v>
      </c>
      <c r="J145">
        <f>IFERROR(INDEX('Green_rooibos initial weight'!$C$5:$C$1749,MATCH(H145, 'Green_rooibos initial weight'!$A$5:$A$1749,0)),"")</f>
        <v>2.016</v>
      </c>
      <c r="K145">
        <f>IFERROR(INDEX('Green_rooibos initial weight'!$C$5:$C$1749,MATCH(I145, 'Green_rooibos initial weight'!$A$5:$A$1749,0)),"")</f>
        <v>2.1920000000000002</v>
      </c>
      <c r="L145" s="195">
        <f t="shared" si="16"/>
        <v>1.7662</v>
      </c>
      <c r="M145" s="195">
        <f>AVERAGE(Ashed_controlls!$K$2:$K$11)</f>
        <v>5.5147656768714146</v>
      </c>
      <c r="N145" s="195">
        <f t="shared" si="12"/>
        <v>1.668798208615097</v>
      </c>
      <c r="O145" s="195">
        <f t="shared" si="17"/>
        <v>1.9422000000000001</v>
      </c>
      <c r="P145" s="195">
        <f>AVERAGE(Ashed_controlls!$K$12:$K$14)</f>
        <v>2.2816647271287041</v>
      </c>
      <c r="Q145" s="195">
        <f t="shared" si="18"/>
        <v>1.8978855076697065</v>
      </c>
      <c r="R145" s="16">
        <f>IF('WetLitterbags placem_collection'!G72="N.A","",'WetLitterbags placem_collection'!G72)</f>
        <v>42818</v>
      </c>
      <c r="S145" s="195">
        <f>IF(IFERROR(INDEX('Both teabags AfterWet'!$C$3:$C$841,MATCH(H145,'Both teabags AfterWet'!$A$3:$A$841,0)),"")="N.A","",(IFERROR(INDEX('Both teabags AfterWet'!$C$3:$C$841,MATCH(H145,'Both teabags AfterWet'!$A$3:$A$841,0)),"")))</f>
        <v>0.84299999999999997</v>
      </c>
      <c r="T145" s="195">
        <f>IFERROR(INDEX('Both teabags AfterWet'!$C$3:$C$841,MATCH(I145,'Both teabags AfterWet'!$A$3:$A$841,0)),"")</f>
        <v>1.536</v>
      </c>
      <c r="U145" s="195">
        <f t="shared" si="19"/>
        <v>0.6923999999999999</v>
      </c>
      <c r="V145" s="195">
        <f t="shared" si="19"/>
        <v>1.3854</v>
      </c>
      <c r="W145" s="195">
        <f>IFERROR(INDEX('Ashed teabags wet'!$K$2:$K$821,MATCH(H145,'Ashed teabags wet'!$A$2:$A$821,0)),"")</f>
        <v>13.570741097208547</v>
      </c>
      <c r="X145" s="195">
        <f>IFERROR(INDEX('Ashed teabags wet'!$K$2:$K$821,MATCH(I145,'Ashed teabags wet'!$A$2:$A$821,0)),"")</f>
        <v>89.048562933597623</v>
      </c>
      <c r="Y145" s="195">
        <f t="shared" si="13"/>
        <v>0.59843618864292791</v>
      </c>
      <c r="Z145" s="195">
        <f t="shared" si="13"/>
        <v>0.15172120911793852</v>
      </c>
      <c r="AA145" s="195">
        <f t="shared" si="20"/>
        <v>0.6413969133274906</v>
      </c>
      <c r="AB145" s="195">
        <f t="shared" si="21"/>
        <v>0.42048823771588462</v>
      </c>
      <c r="AC145" s="195">
        <f t="shared" si="14"/>
        <v>7.9942234926609138E-2</v>
      </c>
      <c r="AD145">
        <f t="shared" si="15"/>
        <v>51</v>
      </c>
      <c r="AE145" s="195">
        <f t="shared" si="22"/>
        <v>0.23824594616687578</v>
      </c>
      <c r="AF145" s="195" t="str">
        <f t="shared" si="23"/>
        <v/>
      </c>
      <c r="AG145" s="255" t="str">
        <f>IF(ISNUMBER(SEARCH("C",'WetLitterbags placem_collection'!AD72)),"YES","NO")</f>
        <v>NO</v>
      </c>
      <c r="AH145" s="255" t="str">
        <f>IF(ISNUMBER(SEARCH("H", 'WetLitterbags placem_collection'!AD72)),"YES","NO")</f>
        <v>NO</v>
      </c>
      <c r="AI145" s="255" t="str">
        <f>IF(ISNUMBER(SEARCH("R", 'WetLitterbags placem_collection'!AD72)),"YES","NO")</f>
        <v>NO</v>
      </c>
      <c r="AJ145" s="255" t="str">
        <f>IF(ISNUMBER(SEARCH("C", 'WetLitterbags placem_collection'!AC72)),"YES","NO")</f>
        <v>NO</v>
      </c>
      <c r="AK145" s="255" t="str">
        <f>IF(ISNUMBER(SEARCH("H", 'WetLitterbags placem_collection'!AC72)),"YES","NO")</f>
        <v>NO</v>
      </c>
      <c r="AL145" s="255" t="str">
        <f>IF(ISNUMBER(SEARCH("R", 'WetLitterbags placem_collection'!AC72)),"YES","NO")</f>
        <v>NO</v>
      </c>
    </row>
    <row r="146" spans="2:38">
      <c r="B146" t="str">
        <f>'Final data_for_R_analysis_Wetse'!A72</f>
        <v>Wet</v>
      </c>
      <c r="C146" s="263">
        <f>'Final data_for_R_analysis_Wetse'!B72</f>
        <v>71</v>
      </c>
      <c r="D146" t="s">
        <v>3836</v>
      </c>
      <c r="E146" t="s">
        <v>22</v>
      </c>
      <c r="F146" s="387">
        <v>7</v>
      </c>
      <c r="G146" s="16">
        <f>'WetLitterbags placem_collection'!E73</f>
        <v>42767</v>
      </c>
      <c r="H146" t="str">
        <f>'Final data_for_R_analysis_Wetse'!J72</f>
        <v>G511</v>
      </c>
      <c r="I146" t="str">
        <f>'Final data_for_R_analysis_Wetse'!J292</f>
        <v>R95</v>
      </c>
      <c r="J146">
        <f>IFERROR(INDEX('Green_rooibos initial weight'!$C$5:$C$1749,MATCH(H146, 'Green_rooibos initial weight'!$A$5:$A$1749,0)),"")</f>
        <v>1.9930000000000001</v>
      </c>
      <c r="K146">
        <f>IFERROR(INDEX('Green_rooibos initial weight'!$C$5:$C$1749,MATCH(I146, 'Green_rooibos initial weight'!$A$5:$A$1749,0)),"")</f>
        <v>2.2160000000000002</v>
      </c>
      <c r="L146" s="195">
        <f t="shared" si="16"/>
        <v>1.7432000000000001</v>
      </c>
      <c r="M146" s="195">
        <f>AVERAGE(Ashed_controlls!$K$2:$K$11)</f>
        <v>5.5147656768714146</v>
      </c>
      <c r="N146" s="195">
        <f t="shared" si="12"/>
        <v>1.6470666047207776</v>
      </c>
      <c r="O146" s="195">
        <f t="shared" si="17"/>
        <v>1.9662000000000002</v>
      </c>
      <c r="P146" s="195">
        <f>AVERAGE(Ashed_controlls!$K$12:$K$14)</f>
        <v>2.2816647271287041</v>
      </c>
      <c r="Q146" s="195">
        <f t="shared" si="18"/>
        <v>1.9213379081351956</v>
      </c>
      <c r="R146" s="16">
        <f>IF('WetLitterbags placem_collection'!G73="N.A","",'WetLitterbags placem_collection'!G73)</f>
        <v>42818</v>
      </c>
      <c r="S146" s="195">
        <f>IF(IFERROR(INDEX('Both teabags AfterWet'!$C$3:$C$841,MATCH(H146,'Both teabags AfterWet'!$A$3:$A$841,0)),"")="N.A","",(IFERROR(INDEX('Both teabags AfterWet'!$C$3:$C$841,MATCH(H146,'Both teabags AfterWet'!$A$3:$A$841,0)),"")))</f>
        <v>0.83740000000000003</v>
      </c>
      <c r="T146" s="195">
        <f>IFERROR(INDEX('Both teabags AfterWet'!$C$3:$C$841,MATCH(I146,'Both teabags AfterWet'!$A$3:$A$841,0)),"")</f>
        <v>1.6388</v>
      </c>
      <c r="U146" s="195">
        <f t="shared" si="19"/>
        <v>0.68680000000000008</v>
      </c>
      <c r="V146" s="195">
        <f t="shared" si="19"/>
        <v>1.4882</v>
      </c>
      <c r="W146" s="195">
        <f>IFERROR(INDEX('Ashed teabags wet'!$K$2:$K$821,MATCH(H146,'Ashed teabags wet'!$A$2:$A$821,0)),"")</f>
        <v>9.3359960059912463</v>
      </c>
      <c r="X146" s="195">
        <f>IFERROR(INDEX('Ashed teabags wet'!$K$2:$K$821,MATCH(I146,'Ashed teabags wet'!$A$2:$A$821,0)),"")</f>
        <v>3.275434243175928</v>
      </c>
      <c r="Y146" s="195">
        <f t="shared" si="13"/>
        <v>0.62268037943085219</v>
      </c>
      <c r="Z146" s="195">
        <f t="shared" si="13"/>
        <v>1.4394549875930558</v>
      </c>
      <c r="AA146" s="195">
        <f t="shared" si="20"/>
        <v>0.62194584138483378</v>
      </c>
      <c r="AB146" s="195">
        <f t="shared" si="21"/>
        <v>0.40773646608601932</v>
      </c>
      <c r="AC146" s="195">
        <f t="shared" si="14"/>
        <v>0.74919408059259929</v>
      </c>
      <c r="AD146">
        <f t="shared" si="15"/>
        <v>51</v>
      </c>
      <c r="AE146" s="195">
        <f t="shared" si="22"/>
        <v>0.2613469817282259</v>
      </c>
      <c r="AF146" s="195">
        <f t="shared" si="23"/>
        <v>1.8721916071122599E-2</v>
      </c>
      <c r="AG146" s="255" t="str">
        <f>IF(ISNUMBER(SEARCH("C",'WetLitterbags placem_collection'!AD73)),"YES","NO")</f>
        <v>NO</v>
      </c>
      <c r="AH146" s="255" t="str">
        <f>IF(ISNUMBER(SEARCH("H", 'WetLitterbags placem_collection'!AD73)),"YES","NO")</f>
        <v>NO</v>
      </c>
      <c r="AI146" s="255" t="str">
        <f>IF(ISNUMBER(SEARCH("R", 'WetLitterbags placem_collection'!AD73)),"YES","NO")</f>
        <v>NO</v>
      </c>
      <c r="AJ146" s="255" t="str">
        <f>IF(ISNUMBER(SEARCH("C", 'WetLitterbags placem_collection'!AC73)),"YES","NO")</f>
        <v>NO</v>
      </c>
      <c r="AK146" s="255" t="str">
        <f>IF(ISNUMBER(SEARCH("H", 'WetLitterbags placem_collection'!AC73)),"YES","NO")</f>
        <v>NO</v>
      </c>
      <c r="AL146" s="255" t="str">
        <f>IF(ISNUMBER(SEARCH("R", 'WetLitterbags placem_collection'!AC73)),"YES","NO")</f>
        <v>NO</v>
      </c>
    </row>
    <row r="147" spans="2:38">
      <c r="B147" t="str">
        <f>'Final data_for_R_analysis_Wetse'!A73</f>
        <v>Wet</v>
      </c>
      <c r="C147" s="263">
        <f>'Final data_for_R_analysis_Wetse'!B73</f>
        <v>72</v>
      </c>
      <c r="D147" t="s">
        <v>3836</v>
      </c>
      <c r="E147" t="s">
        <v>22</v>
      </c>
      <c r="F147" s="387">
        <v>8</v>
      </c>
      <c r="G147" s="16">
        <f>'WetLitterbags placem_collection'!E74</f>
        <v>42767</v>
      </c>
      <c r="H147" t="str">
        <f>'Final data_for_R_analysis_Wetse'!J73</f>
        <v>G383</v>
      </c>
      <c r="I147" t="str">
        <f>'Final data_for_R_analysis_Wetse'!J293</f>
        <v>R546</v>
      </c>
      <c r="J147">
        <f>IFERROR(INDEX('Green_rooibos initial weight'!$C$5:$C$1749,MATCH(H147, 'Green_rooibos initial weight'!$A$5:$A$1749,0)),"")</f>
        <v>1.956</v>
      </c>
      <c r="K147">
        <f>IFERROR(INDEX('Green_rooibos initial weight'!$C$5:$C$1749,MATCH(I147, 'Green_rooibos initial weight'!$A$5:$A$1749,0)),"")</f>
        <v>2.2250000000000001</v>
      </c>
      <c r="L147" s="195">
        <f t="shared" si="16"/>
        <v>1.7061999999999999</v>
      </c>
      <c r="M147" s="195">
        <f>AVERAGE(Ashed_controlls!$K$2:$K$11)</f>
        <v>5.5147656768714146</v>
      </c>
      <c r="N147" s="195">
        <f t="shared" si="12"/>
        <v>1.6121070680212199</v>
      </c>
      <c r="O147" s="195">
        <f t="shared" si="17"/>
        <v>1.9752000000000001</v>
      </c>
      <c r="P147" s="195">
        <f>AVERAGE(Ashed_controlls!$K$12:$K$14)</f>
        <v>2.2816647271287041</v>
      </c>
      <c r="Q147" s="195">
        <f t="shared" si="18"/>
        <v>1.9301325583097539</v>
      </c>
      <c r="R147" s="16">
        <f>IF('WetLitterbags placem_collection'!G74="N.A","",'WetLitterbags placem_collection'!G74)</f>
        <v>42818</v>
      </c>
      <c r="S147" s="195">
        <f>IF(IFERROR(INDEX('Both teabags AfterWet'!$C$3:$C$841,MATCH(H147,'Both teabags AfterWet'!$A$3:$A$841,0)),"")="N.A","",(IFERROR(INDEX('Both teabags AfterWet'!$C$3:$C$841,MATCH(H147,'Both teabags AfterWet'!$A$3:$A$841,0)),"")))</f>
        <v>0.82550000000000001</v>
      </c>
      <c r="T147" s="195" t="str">
        <f>IFERROR(INDEX('Both teabags AfterWet'!$C$3:$C$841,MATCH(I147,'Both teabags AfterWet'!$A$3:$A$841,0)),"")</f>
        <v/>
      </c>
      <c r="U147" s="195">
        <f t="shared" si="19"/>
        <v>0.67490000000000006</v>
      </c>
      <c r="V147" s="195" t="str">
        <f t="shared" si="19"/>
        <v/>
      </c>
      <c r="W147" s="195">
        <f>IFERROR(INDEX('Ashed teabags wet'!$K$2:$K$821,MATCH(H147,'Ashed teabags wet'!$A$2:$A$821,0)),"")</f>
        <v>8.9603960396033298</v>
      </c>
      <c r="X147" s="195">
        <f>IFERROR(INDEX('Ashed teabags wet'!$K$2:$K$821,MATCH(I147,'Ashed teabags wet'!$A$2:$A$821,0)),"")</f>
        <v>5.6566650270533065</v>
      </c>
      <c r="Y147" s="195">
        <f t="shared" si="13"/>
        <v>0.61442628712871716</v>
      </c>
      <c r="Z147" s="195" t="str">
        <f t="shared" si="13"/>
        <v/>
      </c>
      <c r="AA147" s="195">
        <f t="shared" si="20"/>
        <v>0.61886756821747924</v>
      </c>
      <c r="AB147" s="195">
        <f t="shared" si="21"/>
        <v>0.40571840576727863</v>
      </c>
      <c r="AC147" s="195" t="str">
        <f t="shared" si="14"/>
        <v/>
      </c>
      <c r="AD147">
        <f t="shared" si="15"/>
        <v>51</v>
      </c>
      <c r="AE147" s="195">
        <f t="shared" si="22"/>
        <v>0.26500288810275618</v>
      </c>
      <c r="AF147" s="195" t="str">
        <f t="shared" si="23"/>
        <v/>
      </c>
      <c r="AG147" s="255" t="str">
        <f>IF(ISNUMBER(SEARCH("C",'WetLitterbags placem_collection'!AD74)),"YES","NO")</f>
        <v>NO</v>
      </c>
      <c r="AH147" s="255" t="str">
        <f>IF(ISNUMBER(SEARCH("H", 'WetLitterbags placem_collection'!AD74)),"YES","NO")</f>
        <v>YES</v>
      </c>
      <c r="AI147" s="255" t="str">
        <f>IF(ISNUMBER(SEARCH("R", 'WetLitterbags placem_collection'!AD74)),"YES","NO")</f>
        <v>YES</v>
      </c>
      <c r="AJ147" s="255" t="str">
        <f>IF(ISNUMBER(SEARCH("C", 'WetLitterbags placem_collection'!AC74)),"YES","NO")</f>
        <v>NO</v>
      </c>
      <c r="AK147" s="255" t="str">
        <f>IF(ISNUMBER(SEARCH("H", 'WetLitterbags placem_collection'!AC74)),"YES","NO")</f>
        <v>NO</v>
      </c>
      <c r="AL147" s="255" t="str">
        <f>IF(ISNUMBER(SEARCH("R", 'WetLitterbags placem_collection'!AC74)),"YES","NO")</f>
        <v>NO</v>
      </c>
    </row>
    <row r="148" spans="2:38">
      <c r="B148" t="str">
        <f>'Final data_for_R_analysis_Wetse'!A74</f>
        <v>Wet</v>
      </c>
      <c r="C148" s="263">
        <f>'Final data_for_R_analysis_Wetse'!B74</f>
        <v>73</v>
      </c>
      <c r="D148" t="s">
        <v>3838</v>
      </c>
      <c r="E148" t="s">
        <v>22</v>
      </c>
      <c r="F148" s="386">
        <v>1</v>
      </c>
      <c r="G148" s="16">
        <f>'WetLitterbags placem_collection'!E75</f>
        <v>42767</v>
      </c>
      <c r="H148" t="str">
        <f>'Final data_for_R_analysis_Wetse'!J74</f>
        <v>G549</v>
      </c>
      <c r="I148" t="str">
        <f>'Final data_for_R_analysis_Wetse'!J294</f>
        <v>R438</v>
      </c>
      <c r="J148">
        <f>IFERROR(INDEX('Green_rooibos initial weight'!$C$5:$C$1749,MATCH(H148, 'Green_rooibos initial weight'!$A$5:$A$1749,0)),"")</f>
        <v>2.016</v>
      </c>
      <c r="K148">
        <f>IFERROR(INDEX('Green_rooibos initial weight'!$C$5:$C$1749,MATCH(I148, 'Green_rooibos initial weight'!$A$5:$A$1749,0)),"")</f>
        <v>2.1829999999999998</v>
      </c>
      <c r="L148" s="195">
        <f t="shared" si="16"/>
        <v>1.7662</v>
      </c>
      <c r="M148" s="195">
        <f>AVERAGE(Ashed_controlls!$K$2:$K$11)</f>
        <v>5.5147656768714146</v>
      </c>
      <c r="N148" s="195">
        <f t="shared" si="12"/>
        <v>1.668798208615097</v>
      </c>
      <c r="O148" s="195">
        <f t="shared" si="17"/>
        <v>1.9331999999999998</v>
      </c>
      <c r="P148" s="195">
        <f>AVERAGE(Ashed_controlls!$K$12:$K$14)</f>
        <v>2.2816647271287041</v>
      </c>
      <c r="Q148" s="195">
        <f t="shared" si="18"/>
        <v>1.8890908574951477</v>
      </c>
      <c r="R148" s="16">
        <f>IF('WetLitterbags placem_collection'!G75="N.A","",'WetLitterbags placem_collection'!G75)</f>
        <v>42818</v>
      </c>
      <c r="S148" s="195">
        <f>IF(IFERROR(INDEX('Both teabags AfterWet'!$C$3:$C$841,MATCH(H148,'Both teabags AfterWet'!$A$3:$A$841,0)),"")="N.A","",(IFERROR(INDEX('Both teabags AfterWet'!$C$3:$C$841,MATCH(H148,'Both teabags AfterWet'!$A$3:$A$841,0)),"")))</f>
        <v>0.74199999999999999</v>
      </c>
      <c r="T148" s="195">
        <f>IFERROR(INDEX('Both teabags AfterWet'!$C$3:$C$841,MATCH(I148,'Both teabags AfterWet'!$A$3:$A$841,0)),"")</f>
        <v>0.17480000000000001</v>
      </c>
      <c r="U148" s="195">
        <f t="shared" si="19"/>
        <v>0.59139999999999993</v>
      </c>
      <c r="V148" s="195">
        <f t="shared" si="19"/>
        <v>2.4199999999999999E-2</v>
      </c>
      <c r="W148" s="195">
        <f>IFERROR(INDEX('Ashed teabags wet'!$K$2:$K$821,MATCH(H148,'Ashed teabags wet'!$A$2:$A$821,0)),"")</f>
        <v>10.980392156862093</v>
      </c>
      <c r="X148" s="195" t="str">
        <f>IFERROR(INDEX('Ashed teabags wet'!$K$2:$K$821,MATCH(I148,'Ashed teabags wet'!$A$2:$A$821,0)),"")</f>
        <v/>
      </c>
      <c r="Y148" s="195">
        <f t="shared" si="13"/>
        <v>0.52646196078431751</v>
      </c>
      <c r="Z148" s="195" t="str">
        <f t="shared" si="13"/>
        <v/>
      </c>
      <c r="AA148" s="195">
        <f t="shared" si="20"/>
        <v>0.68452629079628635</v>
      </c>
      <c r="AB148" s="195">
        <f t="shared" si="21"/>
        <v>0.44876307900184098</v>
      </c>
      <c r="AC148" s="195" t="str">
        <f t="shared" si="14"/>
        <v/>
      </c>
      <c r="AD148">
        <f t="shared" si="15"/>
        <v>51</v>
      </c>
      <c r="AE148" s="195">
        <f t="shared" si="22"/>
        <v>0.18702340760536063</v>
      </c>
      <c r="AF148" s="195" t="str">
        <f t="shared" si="23"/>
        <v/>
      </c>
      <c r="AG148" s="255" t="str">
        <f>IF(ISNUMBER(SEARCH("C",'WetLitterbags placem_collection'!AD75)),"YES","NO")</f>
        <v>NO</v>
      </c>
      <c r="AH148" s="255" t="str">
        <f>IF(ISNUMBER(SEARCH("H", 'WetLitterbags placem_collection'!AD75)),"YES","NO")</f>
        <v>NO</v>
      </c>
      <c r="AI148" s="255" t="str">
        <f>IF(ISNUMBER(SEARCH("R", 'WetLitterbags placem_collection'!AD75)),"YES","NO")</f>
        <v>NO</v>
      </c>
      <c r="AJ148" s="255" t="str">
        <f>IF(ISNUMBER(SEARCH("C", 'WetLitterbags placem_collection'!AC75)),"YES","NO")</f>
        <v>NO</v>
      </c>
      <c r="AK148" s="255" t="str">
        <f>IF(ISNUMBER(SEARCH("H", 'WetLitterbags placem_collection'!AC75)),"YES","NO")</f>
        <v>NO</v>
      </c>
      <c r="AL148" s="255" t="str">
        <f>IF(ISNUMBER(SEARCH("R", 'WetLitterbags placem_collection'!AC75)),"YES","NO")</f>
        <v>NO</v>
      </c>
    </row>
    <row r="149" spans="2:38">
      <c r="B149" t="str">
        <f>'Final data_for_R_analysis_Wetse'!A75</f>
        <v>Wet</v>
      </c>
      <c r="C149" s="263">
        <f>'Final data_for_R_analysis_Wetse'!B75</f>
        <v>74</v>
      </c>
      <c r="D149" t="s">
        <v>3838</v>
      </c>
      <c r="E149" t="s">
        <v>22</v>
      </c>
      <c r="F149" s="386">
        <v>2</v>
      </c>
      <c r="G149" s="16">
        <f>'WetLitterbags placem_collection'!E76</f>
        <v>42767</v>
      </c>
      <c r="H149" t="str">
        <f>'Final data_for_R_analysis_Wetse'!J75</f>
        <v>G605</v>
      </c>
      <c r="I149" t="str">
        <f>'Final data_for_R_analysis_Wetse'!J295</f>
        <v>R122</v>
      </c>
      <c r="J149">
        <f>IFERROR(INDEX('Green_rooibos initial weight'!$C$5:$C$1749,MATCH(H149, 'Green_rooibos initial weight'!$A$5:$A$1749,0)),"")</f>
        <v>2.0459999999999998</v>
      </c>
      <c r="K149">
        <f>IFERROR(INDEX('Green_rooibos initial weight'!$C$5:$C$1749,MATCH(I149, 'Green_rooibos initial weight'!$A$5:$A$1749,0)),"")</f>
        <v>2.2189999999999999</v>
      </c>
      <c r="L149" s="195">
        <f t="shared" si="16"/>
        <v>1.7961999999999998</v>
      </c>
      <c r="M149" s="195">
        <f>AVERAGE(Ashed_controlls!$K$2:$K$11)</f>
        <v>5.5147656768714146</v>
      </c>
      <c r="N149" s="195">
        <f t="shared" si="12"/>
        <v>1.6971437789120354</v>
      </c>
      <c r="O149" s="195">
        <f t="shared" si="17"/>
        <v>1.9691999999999998</v>
      </c>
      <c r="P149" s="195">
        <f>AVERAGE(Ashed_controlls!$K$12:$K$14)</f>
        <v>2.2816647271287041</v>
      </c>
      <c r="Q149" s="195">
        <f t="shared" si="18"/>
        <v>1.9242694581933815</v>
      </c>
      <c r="R149" s="16">
        <f>IF('WetLitterbags placem_collection'!G76="N.A","",'WetLitterbags placem_collection'!G76)</f>
        <v>42818</v>
      </c>
      <c r="S149" s="195">
        <f>IF(IFERROR(INDEX('Both teabags AfterWet'!$C$3:$C$841,MATCH(H149,'Both teabags AfterWet'!$A$3:$A$841,0)),"")="N.A","",(IFERROR(INDEX('Both teabags AfterWet'!$C$3:$C$841,MATCH(H149,'Both teabags AfterWet'!$A$3:$A$841,0)),"")))</f>
        <v>1.1950000000000001</v>
      </c>
      <c r="T149" s="195">
        <f>IFERROR(INDEX('Both teabags AfterWet'!$C$3:$C$841,MATCH(I149,'Both teabags AfterWet'!$A$3:$A$841,0)),"")</f>
        <v>0.35499999999999998</v>
      </c>
      <c r="U149" s="195">
        <f t="shared" si="19"/>
        <v>1.0444</v>
      </c>
      <c r="V149" s="195">
        <f t="shared" si="19"/>
        <v>0.20439999999999997</v>
      </c>
      <c r="W149" s="195">
        <f>IFERROR(INDEX('Ashed teabags wet'!$K$2:$K$821,MATCH(H149,'Ashed teabags wet'!$A$2:$A$821,0)),"")</f>
        <v>62.512315270936703</v>
      </c>
      <c r="X149" s="195" t="str">
        <f>IFERROR(INDEX('Ashed teabags wet'!$K$2:$K$821,MATCH(I149,'Ashed teabags wet'!$A$2:$A$821,0)),"")</f>
        <v/>
      </c>
      <c r="Y149" s="195">
        <f t="shared" si="13"/>
        <v>0.39152137931033704</v>
      </c>
      <c r="Z149" s="195" t="str">
        <f t="shared" si="13"/>
        <v/>
      </c>
      <c r="AA149" s="195">
        <f t="shared" si="20"/>
        <v>0.76930570987843805</v>
      </c>
      <c r="AB149" s="195">
        <f t="shared" si="21"/>
        <v>0.50434293569227773</v>
      </c>
      <c r="AC149" s="195" t="str">
        <f t="shared" si="14"/>
        <v/>
      </c>
      <c r="AD149">
        <f t="shared" si="15"/>
        <v>51</v>
      </c>
      <c r="AE149" s="195">
        <f t="shared" si="22"/>
        <v>8.6335261427033183E-2</v>
      </c>
      <c r="AF149" s="195" t="str">
        <f t="shared" si="23"/>
        <v/>
      </c>
      <c r="AG149" s="255" t="str">
        <f>IF(ISNUMBER(SEARCH("C",'WetLitterbags placem_collection'!AD76)),"YES","NO")</f>
        <v>NO</v>
      </c>
      <c r="AH149" s="255" t="str">
        <f>IF(ISNUMBER(SEARCH("H", 'WetLitterbags placem_collection'!AD76)),"YES","NO")</f>
        <v>NO</v>
      </c>
      <c r="AI149" s="255" t="str">
        <f>IF(ISNUMBER(SEARCH("R", 'WetLitterbags placem_collection'!AD76)),"YES","NO")</f>
        <v>NO</v>
      </c>
      <c r="AJ149" s="255" t="str">
        <f>IF(ISNUMBER(SEARCH("C", 'WetLitterbags placem_collection'!AC76)),"YES","NO")</f>
        <v>NO</v>
      </c>
      <c r="AK149" s="255" t="str">
        <f>IF(ISNUMBER(SEARCH("H", 'WetLitterbags placem_collection'!AC76)),"YES","NO")</f>
        <v>NO</v>
      </c>
      <c r="AL149" s="255" t="str">
        <f>IF(ISNUMBER(SEARCH("R", 'WetLitterbags placem_collection'!AC76)),"YES","NO")</f>
        <v>NO</v>
      </c>
    </row>
    <row r="150" spans="2:38">
      <c r="B150" t="str">
        <f>'Final data_for_R_analysis_Wetse'!A76</f>
        <v>Wet</v>
      </c>
      <c r="C150" s="263">
        <f>'Final data_for_R_analysis_Wetse'!B76</f>
        <v>75</v>
      </c>
      <c r="D150" t="s">
        <v>3838</v>
      </c>
      <c r="E150" t="s">
        <v>22</v>
      </c>
      <c r="F150" s="386">
        <v>3</v>
      </c>
      <c r="G150" s="16">
        <f>'WetLitterbags placem_collection'!E77</f>
        <v>42767</v>
      </c>
      <c r="H150" t="str">
        <f>'Final data_for_R_analysis_Wetse'!J76</f>
        <v>G408</v>
      </c>
      <c r="I150" t="str">
        <f>'Final data_for_R_analysis_Wetse'!J296</f>
        <v>R404</v>
      </c>
      <c r="J150">
        <f>IFERROR(INDEX('Green_rooibos initial weight'!$C$5:$C$1749,MATCH(H150, 'Green_rooibos initial weight'!$A$5:$A$1749,0)),"")</f>
        <v>2.044</v>
      </c>
      <c r="K150">
        <f>IFERROR(INDEX('Green_rooibos initial weight'!$C$5:$C$1749,MATCH(I150, 'Green_rooibos initial weight'!$A$5:$A$1749,0)),"")</f>
        <v>2.1779999999999999</v>
      </c>
      <c r="L150" s="195">
        <f t="shared" si="16"/>
        <v>1.7942</v>
      </c>
      <c r="M150" s="195">
        <f>AVERAGE(Ashed_controlls!$K$2:$K$11)</f>
        <v>5.5147656768714146</v>
      </c>
      <c r="N150" s="195">
        <f t="shared" si="12"/>
        <v>1.6952540742255731</v>
      </c>
      <c r="O150" s="195">
        <f t="shared" si="17"/>
        <v>1.9281999999999999</v>
      </c>
      <c r="P150" s="195">
        <f>AVERAGE(Ashed_controlls!$K$12:$K$14)</f>
        <v>2.2816647271287041</v>
      </c>
      <c r="Q150" s="195">
        <f t="shared" si="18"/>
        <v>1.8842049407315042</v>
      </c>
      <c r="R150" s="16">
        <f>IF('WetLitterbags placem_collection'!G77="N.A","",'WetLitterbags placem_collection'!G77)</f>
        <v>42818</v>
      </c>
      <c r="S150" s="195">
        <f>IF(IFERROR(INDEX('Both teabags AfterWet'!$C$3:$C$841,MATCH(H150,'Both teabags AfterWet'!$A$3:$A$841,0)),"")="N.A","",(IFERROR(INDEX('Both teabags AfterWet'!$C$3:$C$841,MATCH(H150,'Both teabags AfterWet'!$A$3:$A$841,0)),"")))</f>
        <v>0.85780000000000001</v>
      </c>
      <c r="T150" s="195">
        <f>IFERROR(INDEX('Both teabags AfterWet'!$C$3:$C$841,MATCH(I150,'Both teabags AfterWet'!$A$3:$A$841,0)),"")</f>
        <v>0.15579999999999999</v>
      </c>
      <c r="U150" s="195">
        <f t="shared" si="19"/>
        <v>0.70720000000000005</v>
      </c>
      <c r="V150" s="195">
        <f t="shared" si="19"/>
        <v>5.1999999999999824E-3</v>
      </c>
      <c r="W150" s="195">
        <f>IFERROR(INDEX('Ashed teabags wet'!$K$2:$K$821,MATCH(H150,'Ashed teabags wet'!$A$2:$A$821,0)),"")</f>
        <v>10.812157448929053</v>
      </c>
      <c r="X150" s="195" t="str">
        <f>IFERROR(INDEX('Ashed teabags wet'!$K$2:$K$821,MATCH(I150,'Ashed teabags wet'!$A$2:$A$821,0)),"")</f>
        <v/>
      </c>
      <c r="Y150" s="195">
        <f t="shared" si="13"/>
        <v>0.63073642252117379</v>
      </c>
      <c r="Z150" s="195" t="str">
        <f t="shared" si="13"/>
        <v/>
      </c>
      <c r="AA150" s="195">
        <f t="shared" si="20"/>
        <v>0.62793988694036496</v>
      </c>
      <c r="AB150" s="195">
        <f t="shared" si="21"/>
        <v>0.41166605414617757</v>
      </c>
      <c r="AC150" s="195" t="str">
        <f t="shared" si="14"/>
        <v/>
      </c>
      <c r="AD150">
        <f t="shared" si="15"/>
        <v>51</v>
      </c>
      <c r="AE150" s="195">
        <f t="shared" si="22"/>
        <v>0.25422816277866389</v>
      </c>
      <c r="AF150" s="195" t="str">
        <f t="shared" si="23"/>
        <v/>
      </c>
      <c r="AG150" s="255" t="str">
        <f>IF(ISNUMBER(SEARCH("C",'WetLitterbags placem_collection'!AD77)),"YES","NO")</f>
        <v>NO</v>
      </c>
      <c r="AH150" s="255" t="str">
        <f>IF(ISNUMBER(SEARCH("H", 'WetLitterbags placem_collection'!AD77)),"YES","NO")</f>
        <v>NO</v>
      </c>
      <c r="AI150" s="255" t="str">
        <f>IF(ISNUMBER(SEARCH("R", 'WetLitterbags placem_collection'!AD77)),"YES","NO")</f>
        <v>NO</v>
      </c>
      <c r="AJ150" s="255" t="str">
        <f>IF(ISNUMBER(SEARCH("C", 'WetLitterbags placem_collection'!AC77)),"YES","NO")</f>
        <v>NO</v>
      </c>
      <c r="AK150" s="255" t="str">
        <f>IF(ISNUMBER(SEARCH("H", 'WetLitterbags placem_collection'!AC77)),"YES","NO")</f>
        <v>NO</v>
      </c>
      <c r="AL150" s="255" t="str">
        <f>IF(ISNUMBER(SEARCH("R", 'WetLitterbags placem_collection'!AC77)),"YES","NO")</f>
        <v>NO</v>
      </c>
    </row>
    <row r="151" spans="2:38">
      <c r="B151" t="str">
        <f>'Final data_for_R_analysis_Wetse'!A77</f>
        <v>Wet</v>
      </c>
      <c r="C151" s="263">
        <f>'Final data_for_R_analysis_Wetse'!B77</f>
        <v>76</v>
      </c>
      <c r="D151" t="s">
        <v>3838</v>
      </c>
      <c r="E151" t="s">
        <v>22</v>
      </c>
      <c r="F151" s="387">
        <v>4</v>
      </c>
      <c r="G151" s="16">
        <f>'WetLitterbags placem_collection'!E78</f>
        <v>42767</v>
      </c>
      <c r="H151" t="str">
        <f>'Final data_for_R_analysis_Wetse'!J77</f>
        <v>G416</v>
      </c>
      <c r="I151" t="str">
        <f>'Final data_for_R_analysis_Wetse'!J297</f>
        <v>R501</v>
      </c>
      <c r="J151">
        <f>IFERROR(INDEX('Green_rooibos initial weight'!$C$5:$C$1749,MATCH(H151, 'Green_rooibos initial weight'!$A$5:$A$1749,0)),"")</f>
        <v>2.1819999999999999</v>
      </c>
      <c r="K151">
        <f>IFERROR(INDEX('Green_rooibos initial weight'!$C$5:$C$1749,MATCH(I151, 'Green_rooibos initial weight'!$A$5:$A$1749,0)),"")</f>
        <v>2.1379999999999999</v>
      </c>
      <c r="L151" s="195">
        <f t="shared" si="16"/>
        <v>1.9321999999999999</v>
      </c>
      <c r="M151" s="195">
        <f>AVERAGE(Ashed_controlls!$K$2:$K$11)</f>
        <v>5.5147656768714146</v>
      </c>
      <c r="N151" s="195">
        <f t="shared" si="12"/>
        <v>1.8256436975914905</v>
      </c>
      <c r="O151" s="195">
        <f t="shared" si="17"/>
        <v>1.8881999999999999</v>
      </c>
      <c r="P151" s="195">
        <f>AVERAGE(Ashed_controlls!$K$12:$K$14)</f>
        <v>2.2816647271287041</v>
      </c>
      <c r="Q151" s="195">
        <f t="shared" si="18"/>
        <v>1.8451176066223556</v>
      </c>
      <c r="R151" s="16">
        <f>IF('WetLitterbags placem_collection'!G78="N.A","",'WetLitterbags placem_collection'!G78)</f>
        <v>42818</v>
      </c>
      <c r="S151" s="195">
        <f>IF(IFERROR(INDEX('Both teabags AfterWet'!$C$3:$C$841,MATCH(H151,'Both teabags AfterWet'!$A$3:$A$841,0)),"")="N.A","",(IFERROR(INDEX('Both teabags AfterWet'!$C$3:$C$841,MATCH(H151,'Both teabags AfterWet'!$A$3:$A$841,0)),"")))</f>
        <v>0.94399999999999995</v>
      </c>
      <c r="T151" s="195">
        <f>IFERROR(INDEX('Both teabags AfterWet'!$C$3:$C$841,MATCH(I151,'Both teabags AfterWet'!$A$3:$A$841,0)),"")</f>
        <v>0.29499999999999998</v>
      </c>
      <c r="U151" s="195">
        <f t="shared" si="19"/>
        <v>0.79339999999999988</v>
      </c>
      <c r="V151" s="195">
        <f t="shared" si="19"/>
        <v>0.14439999999999997</v>
      </c>
      <c r="W151" s="195">
        <f>IFERROR(INDEX('Ashed teabags wet'!$K$2:$K$821,MATCH(H151,'Ashed teabags wet'!$A$2:$A$821,0)),"")</f>
        <v>14.711729622266519</v>
      </c>
      <c r="X151" s="195">
        <f>IFERROR(INDEX('Ashed teabags wet'!$K$2:$K$821,MATCH(I151,'Ashed teabags wet'!$A$2:$A$821,0)),"")</f>
        <v>84.313725490194741</v>
      </c>
      <c r="Y151" s="195">
        <f t="shared" si="13"/>
        <v>0.67667713717693734</v>
      </c>
      <c r="Z151" s="195">
        <f t="shared" si="13"/>
        <v>2.2650980392158779E-2</v>
      </c>
      <c r="AA151" s="195">
        <f t="shared" si="20"/>
        <v>0.62934873980631911</v>
      </c>
      <c r="AB151" s="195">
        <f t="shared" si="21"/>
        <v>0.41258967265212371</v>
      </c>
      <c r="AC151" s="195">
        <f t="shared" si="14"/>
        <v>1.2276171616845239E-2</v>
      </c>
      <c r="AD151">
        <f t="shared" si="15"/>
        <v>51</v>
      </c>
      <c r="AE151" s="195">
        <f t="shared" si="22"/>
        <v>0.25255494084760199</v>
      </c>
      <c r="AF151" s="195" t="str">
        <f t="shared" si="23"/>
        <v/>
      </c>
      <c r="AG151" s="255" t="str">
        <f>IF(ISNUMBER(SEARCH("C",'WetLitterbags placem_collection'!AD78)),"YES","NO")</f>
        <v>NO</v>
      </c>
      <c r="AH151" s="255" t="str">
        <f>IF(ISNUMBER(SEARCH("H", 'WetLitterbags placem_collection'!AD78)),"YES","NO")</f>
        <v>NO</v>
      </c>
      <c r="AI151" s="255" t="str">
        <f>IF(ISNUMBER(SEARCH("R", 'WetLitterbags placem_collection'!AD78)),"YES","NO")</f>
        <v>NO</v>
      </c>
      <c r="AJ151" s="255" t="str">
        <f>IF(ISNUMBER(SEARCH("C", 'WetLitterbags placem_collection'!AC78)),"YES","NO")</f>
        <v>NO</v>
      </c>
      <c r="AK151" s="255" t="str">
        <f>IF(ISNUMBER(SEARCH("H", 'WetLitterbags placem_collection'!AC78)),"YES","NO")</f>
        <v>NO</v>
      </c>
      <c r="AL151" s="255" t="str">
        <f>IF(ISNUMBER(SEARCH("R", 'WetLitterbags placem_collection'!AC78)),"YES","NO")</f>
        <v>NO</v>
      </c>
    </row>
    <row r="152" spans="2:38">
      <c r="B152" t="str">
        <f>'Final data_for_R_analysis_Wetse'!A78</f>
        <v>Wet</v>
      </c>
      <c r="C152" s="263">
        <f>'Final data_for_R_analysis_Wetse'!B78</f>
        <v>77</v>
      </c>
      <c r="D152" t="s">
        <v>3838</v>
      </c>
      <c r="E152" t="s">
        <v>22</v>
      </c>
      <c r="F152" s="387">
        <v>5</v>
      </c>
      <c r="G152" s="16">
        <f>'WetLitterbags placem_collection'!E79</f>
        <v>42767</v>
      </c>
      <c r="H152" t="str">
        <f>'Final data_for_R_analysis_Wetse'!J78</f>
        <v>G594</v>
      </c>
      <c r="I152" t="str">
        <f>'Final data_for_R_analysis_Wetse'!J298</f>
        <v>R137</v>
      </c>
      <c r="J152">
        <f>IFERROR(INDEX('Green_rooibos initial weight'!$C$5:$C$1749,MATCH(H152, 'Green_rooibos initial weight'!$A$5:$A$1749,0)),"")</f>
        <v>2.0680000000000001</v>
      </c>
      <c r="K152">
        <f>IFERROR(INDEX('Green_rooibos initial weight'!$C$5:$C$1749,MATCH(I152, 'Green_rooibos initial weight'!$A$5:$A$1749,0)),"")</f>
        <v>2.198</v>
      </c>
      <c r="L152" s="195">
        <f t="shared" si="16"/>
        <v>1.8182</v>
      </c>
      <c r="M152" s="195">
        <f>AVERAGE(Ashed_controlls!$K$2:$K$11)</f>
        <v>5.5147656768714146</v>
      </c>
      <c r="N152" s="195">
        <f t="shared" si="12"/>
        <v>1.7179305304631241</v>
      </c>
      <c r="O152" s="195">
        <f t="shared" si="17"/>
        <v>1.9481999999999999</v>
      </c>
      <c r="P152" s="195">
        <f>AVERAGE(Ashed_controlls!$K$12:$K$14)</f>
        <v>2.2816647271287041</v>
      </c>
      <c r="Q152" s="195">
        <f t="shared" si="18"/>
        <v>1.9037486077860786</v>
      </c>
      <c r="R152" s="16">
        <f>IF('WetLitterbags placem_collection'!G79="N.A","",'WetLitterbags placem_collection'!G79)</f>
        <v>42818</v>
      </c>
      <c r="S152" s="195">
        <f>IF(IFERROR(INDEX('Both teabags AfterWet'!$C$3:$C$841,MATCH(H152,'Both teabags AfterWet'!$A$3:$A$841,0)),"")="N.A","",(IFERROR(INDEX('Both teabags AfterWet'!$C$3:$C$841,MATCH(H152,'Both teabags AfterWet'!$A$3:$A$841,0)),"")))</f>
        <v>0.94699999999999995</v>
      </c>
      <c r="T152" s="195">
        <f>IFERROR(INDEX('Both teabags AfterWet'!$C$3:$C$841,MATCH(I152,'Both teabags AfterWet'!$A$3:$A$841,0)),"")</f>
        <v>1.698</v>
      </c>
      <c r="U152" s="195">
        <f t="shared" si="19"/>
        <v>0.7964</v>
      </c>
      <c r="V152" s="195">
        <f t="shared" si="19"/>
        <v>1.5473999999999999</v>
      </c>
      <c r="W152" s="195">
        <f>IFERROR(INDEX('Ashed teabags wet'!$K$2:$K$821,MATCH(H152,'Ashed teabags wet'!$A$2:$A$821,0)),"")</f>
        <v>12.475633528264789</v>
      </c>
      <c r="X152" s="195">
        <f>IFERROR(INDEX('Ashed teabags wet'!$K$2:$K$821,MATCH(I152,'Ashed teabags wet'!$A$2:$A$821,0)),"")</f>
        <v>11.808300395256206</v>
      </c>
      <c r="Y152" s="195">
        <f t="shared" si="13"/>
        <v>0.69704405458089924</v>
      </c>
      <c r="Z152" s="195">
        <f t="shared" si="13"/>
        <v>1.3646783596838055</v>
      </c>
      <c r="AA152" s="195">
        <f t="shared" si="20"/>
        <v>0.59425364284492432</v>
      </c>
      <c r="AB152" s="195">
        <f t="shared" si="21"/>
        <v>0.38958196062992673</v>
      </c>
      <c r="AC152" s="195">
        <f t="shared" si="14"/>
        <v>0.71683748269201752</v>
      </c>
      <c r="AD152">
        <f t="shared" si="15"/>
        <v>51</v>
      </c>
      <c r="AE152" s="195">
        <f t="shared" si="22"/>
        <v>0.29423557856897342</v>
      </c>
      <c r="AF152" s="195">
        <f t="shared" si="23"/>
        <v>2.544482294530637E-2</v>
      </c>
      <c r="AG152" s="255" t="str">
        <f>IF(ISNUMBER(SEARCH("C",'WetLitterbags placem_collection'!AD79)),"YES","NO")</f>
        <v>NO</v>
      </c>
      <c r="AH152" s="255" t="str">
        <f>IF(ISNUMBER(SEARCH("H", 'WetLitterbags placem_collection'!AD79)),"YES","NO")</f>
        <v>NO</v>
      </c>
      <c r="AI152" s="255" t="str">
        <f>IF(ISNUMBER(SEARCH("R", 'WetLitterbags placem_collection'!AD79)),"YES","NO")</f>
        <v>NO</v>
      </c>
      <c r="AJ152" s="255" t="str">
        <f>IF(ISNUMBER(SEARCH("C", 'WetLitterbags placem_collection'!AC79)),"YES","NO")</f>
        <v>NO</v>
      </c>
      <c r="AK152" s="255" t="str">
        <f>IF(ISNUMBER(SEARCH("H", 'WetLitterbags placem_collection'!AC79)),"YES","NO")</f>
        <v>NO</v>
      </c>
      <c r="AL152" s="255" t="str">
        <f>IF(ISNUMBER(SEARCH("R", 'WetLitterbags placem_collection'!AC79)),"YES","NO")</f>
        <v>NO</v>
      </c>
    </row>
    <row r="153" spans="2:38">
      <c r="B153" t="str">
        <f>'Final data_for_R_analysis_Wetse'!A79</f>
        <v>Wet</v>
      </c>
      <c r="C153" s="263">
        <f>'Final data_for_R_analysis_Wetse'!B79</f>
        <v>78</v>
      </c>
      <c r="D153" t="s">
        <v>3838</v>
      </c>
      <c r="E153" t="s">
        <v>22</v>
      </c>
      <c r="F153" s="387">
        <v>6</v>
      </c>
      <c r="G153" s="16">
        <f>'WetLitterbags placem_collection'!E80</f>
        <v>42767</v>
      </c>
      <c r="H153" t="str">
        <f>'Final data_for_R_analysis_Wetse'!J79</f>
        <v>G460</v>
      </c>
      <c r="I153" t="str">
        <f>'Final data_for_R_analysis_Wetse'!J299</f>
        <v>R278</v>
      </c>
      <c r="J153">
        <f>IFERROR(INDEX('Green_rooibos initial weight'!$C$5:$C$1749,MATCH(H153, 'Green_rooibos initial weight'!$A$5:$A$1749,0)),"")</f>
        <v>2.1560000000000001</v>
      </c>
      <c r="K153">
        <f>IFERROR(INDEX('Green_rooibos initial weight'!$C$5:$C$1749,MATCH(I153, 'Green_rooibos initial weight'!$A$5:$A$1749,0)),"")</f>
        <v>2.198</v>
      </c>
      <c r="L153" s="195">
        <f t="shared" si="16"/>
        <v>1.9062000000000001</v>
      </c>
      <c r="M153" s="195">
        <f>AVERAGE(Ashed_controlls!$K$2:$K$11)</f>
        <v>5.5147656768714146</v>
      </c>
      <c r="N153" s="195">
        <f t="shared" si="12"/>
        <v>1.8010775366674772</v>
      </c>
      <c r="O153" s="195">
        <f t="shared" si="17"/>
        <v>1.9481999999999999</v>
      </c>
      <c r="P153" s="195">
        <f>AVERAGE(Ashed_controlls!$K$12:$K$14)</f>
        <v>2.2816647271287041</v>
      </c>
      <c r="Q153" s="195">
        <f t="shared" si="18"/>
        <v>1.9037486077860786</v>
      </c>
      <c r="R153" s="16">
        <f>IF('WetLitterbags placem_collection'!G80="N.A","",'WetLitterbags placem_collection'!G80)</f>
        <v>42818</v>
      </c>
      <c r="S153" s="195">
        <f>IF(IFERROR(INDEX('Both teabags AfterWet'!$C$3:$C$841,MATCH(H153,'Both teabags AfterWet'!$A$3:$A$841,0)),"")="N.A","",(IFERROR(INDEX('Both teabags AfterWet'!$C$3:$C$841,MATCH(H153,'Both teabags AfterWet'!$A$3:$A$841,0)),"")))</f>
        <v>0.90669999999999995</v>
      </c>
      <c r="T153" s="195">
        <f>IFERROR(INDEX('Both teabags AfterWet'!$C$3:$C$841,MATCH(I153,'Both teabags AfterWet'!$A$3:$A$841,0)),"")</f>
        <v>1.6845000000000001</v>
      </c>
      <c r="U153" s="195">
        <f t="shared" si="19"/>
        <v>0.75609999999999999</v>
      </c>
      <c r="V153" s="195">
        <f t="shared" si="19"/>
        <v>1.5339</v>
      </c>
      <c r="W153" s="195">
        <f>IFERROR(INDEX('Ashed teabags wet'!$K$2:$K$821,MATCH(H153,'Ashed teabags wet'!$A$2:$A$821,0)),"")</f>
        <v>10.069790628115374</v>
      </c>
      <c r="X153" s="195" t="str">
        <f>IFERROR(INDEX('Ashed teabags wet'!$K$2:$K$821,MATCH(I153,'Ashed teabags wet'!$A$2:$A$821,0)),"")</f>
        <v/>
      </c>
      <c r="Y153" s="195">
        <f t="shared" si="13"/>
        <v>0.67996231306081967</v>
      </c>
      <c r="Z153" s="195" t="str">
        <f t="shared" si="13"/>
        <v/>
      </c>
      <c r="AA153" s="195">
        <f t="shared" si="20"/>
        <v>0.62246916125612795</v>
      </c>
      <c r="AB153" s="195">
        <f t="shared" si="21"/>
        <v>0.40807954514653527</v>
      </c>
      <c r="AC153" s="195" t="str">
        <f t="shared" si="14"/>
        <v/>
      </c>
      <c r="AD153">
        <f t="shared" si="15"/>
        <v>51</v>
      </c>
      <c r="AE153" s="195">
        <f t="shared" si="22"/>
        <v>0.26072546169105937</v>
      </c>
      <c r="AF153" s="195" t="str">
        <f t="shared" si="23"/>
        <v/>
      </c>
      <c r="AG153" s="255" t="str">
        <f>IF(ISNUMBER(SEARCH("C",'WetLitterbags placem_collection'!AD80)),"YES","NO")</f>
        <v>NO</v>
      </c>
      <c r="AH153" s="255" t="str">
        <f>IF(ISNUMBER(SEARCH("H", 'WetLitterbags placem_collection'!AD80)),"YES","NO")</f>
        <v>NO</v>
      </c>
      <c r="AI153" s="255" t="str">
        <f>IF(ISNUMBER(SEARCH("R", 'WetLitterbags placem_collection'!AD80)),"YES","NO")</f>
        <v>NO</v>
      </c>
      <c r="AJ153" s="255" t="str">
        <f>IF(ISNUMBER(SEARCH("C", 'WetLitterbags placem_collection'!AC80)),"YES","NO")</f>
        <v>NO</v>
      </c>
      <c r="AK153" s="255" t="str">
        <f>IF(ISNUMBER(SEARCH("H", 'WetLitterbags placem_collection'!AC80)),"YES","NO")</f>
        <v>NO</v>
      </c>
      <c r="AL153" s="255" t="str">
        <f>IF(ISNUMBER(SEARCH("R", 'WetLitterbags placem_collection'!AC80)),"YES","NO")</f>
        <v>NO</v>
      </c>
    </row>
    <row r="154" spans="2:38">
      <c r="B154" t="str">
        <f>'Final data_for_R_analysis_Wetse'!A80</f>
        <v>Wet</v>
      </c>
      <c r="C154" s="263">
        <f>'Final data_for_R_analysis_Wetse'!B80</f>
        <v>79</v>
      </c>
      <c r="D154" t="s">
        <v>3838</v>
      </c>
      <c r="E154" t="s">
        <v>22</v>
      </c>
      <c r="F154" s="387">
        <v>7</v>
      </c>
      <c r="G154" s="16">
        <f>'WetLitterbags placem_collection'!E81</f>
        <v>42767</v>
      </c>
      <c r="H154" t="str">
        <f>'Final data_for_R_analysis_Wetse'!J80</f>
        <v>G217</v>
      </c>
      <c r="I154" t="str">
        <f>'Final data_for_R_analysis_Wetse'!J300</f>
        <v>R235</v>
      </c>
      <c r="J154">
        <f>IFERROR(INDEX('Green_rooibos initial weight'!$C$5:$C$1749,MATCH(H154, 'Green_rooibos initial weight'!$A$5:$A$1749,0)),"")</f>
        <v>1.944</v>
      </c>
      <c r="K154">
        <f>IFERROR(INDEX('Green_rooibos initial weight'!$C$5:$C$1749,MATCH(I154, 'Green_rooibos initial weight'!$A$5:$A$1749,0)),"")</f>
        <v>2.169</v>
      </c>
      <c r="L154" s="195">
        <f t="shared" si="16"/>
        <v>1.6941999999999999</v>
      </c>
      <c r="M154" s="195">
        <f>AVERAGE(Ashed_controlls!$K$2:$K$11)</f>
        <v>5.5147656768714146</v>
      </c>
      <c r="N154" s="195">
        <f t="shared" si="12"/>
        <v>1.6007688399024445</v>
      </c>
      <c r="O154" s="195">
        <f t="shared" si="17"/>
        <v>1.9192</v>
      </c>
      <c r="P154" s="195">
        <f>AVERAGE(Ashed_controlls!$K$12:$K$14)</f>
        <v>2.2816647271287041</v>
      </c>
      <c r="Q154" s="195">
        <f t="shared" si="18"/>
        <v>1.8754102905569459</v>
      </c>
      <c r="R154" s="16">
        <f>IF('WetLitterbags placem_collection'!G81="N.A","",'WetLitterbags placem_collection'!G81)</f>
        <v>42818</v>
      </c>
      <c r="S154" s="195">
        <f>IF(IFERROR(INDEX('Both teabags AfterWet'!$C$3:$C$841,MATCH(H154,'Both teabags AfterWet'!$A$3:$A$841,0)),"")="N.A","",(IFERROR(INDEX('Both teabags AfterWet'!$C$3:$C$841,MATCH(H154,'Both teabags AfterWet'!$A$3:$A$841,0)),"")))</f>
        <v>0.85370000000000001</v>
      </c>
      <c r="T154" s="195">
        <f>IFERROR(INDEX('Both teabags AfterWet'!$C$3:$C$841,MATCH(I154,'Both teabags AfterWet'!$A$3:$A$841,0)),"")</f>
        <v>1.5528</v>
      </c>
      <c r="U154" s="195">
        <f t="shared" si="19"/>
        <v>0.70310000000000006</v>
      </c>
      <c r="V154" s="195">
        <f t="shared" si="19"/>
        <v>1.4021999999999999</v>
      </c>
      <c r="W154" s="195">
        <f>IFERROR(INDEX('Ashed teabags wet'!$K$2:$K$821,MATCH(H154,'Ashed teabags wet'!$A$2:$A$821,0)),"")</f>
        <v>15.104419621176483</v>
      </c>
      <c r="X154" s="195">
        <f>IFERROR(INDEX('Ashed teabags wet'!$K$2:$K$821,MATCH(I154,'Ashed teabags wet'!$A$2:$A$821,0)),"")</f>
        <v>8.7084148727974071</v>
      </c>
      <c r="Y154" s="195">
        <f t="shared" si="13"/>
        <v>0.59690082564350821</v>
      </c>
      <c r="Z154" s="195">
        <f t="shared" si="13"/>
        <v>1.2800906066536346</v>
      </c>
      <c r="AA154" s="195">
        <f t="shared" si="20"/>
        <v>0.62711616395538716</v>
      </c>
      <c r="AB154" s="195">
        <f t="shared" si="21"/>
        <v>0.41112603622728472</v>
      </c>
      <c r="AC154" s="195">
        <f t="shared" si="14"/>
        <v>0.68256563009125992</v>
      </c>
      <c r="AD154">
        <f t="shared" si="15"/>
        <v>51</v>
      </c>
      <c r="AE154" s="195">
        <f t="shared" si="22"/>
        <v>0.25520645610999149</v>
      </c>
      <c r="AF154" s="195">
        <f t="shared" si="23"/>
        <v>2.8997854504346048E-2</v>
      </c>
      <c r="AG154" s="255" t="str">
        <f>IF(ISNUMBER(SEARCH("C",'WetLitterbags placem_collection'!AD81)),"YES","NO")</f>
        <v>NO</v>
      </c>
      <c r="AH154" s="255" t="str">
        <f>IF(ISNUMBER(SEARCH("H", 'WetLitterbags placem_collection'!AD81)),"YES","NO")</f>
        <v>NO</v>
      </c>
      <c r="AI154" s="255" t="str">
        <f>IF(ISNUMBER(SEARCH("R", 'WetLitterbags placem_collection'!AD81)),"YES","NO")</f>
        <v>NO</v>
      </c>
      <c r="AJ154" s="255" t="str">
        <f>IF(ISNUMBER(SEARCH("C", 'WetLitterbags placem_collection'!AC81)),"YES","NO")</f>
        <v>NO</v>
      </c>
      <c r="AK154" s="255" t="str">
        <f>IF(ISNUMBER(SEARCH("H", 'WetLitterbags placem_collection'!AC81)),"YES","NO")</f>
        <v>NO</v>
      </c>
      <c r="AL154" s="255" t="str">
        <f>IF(ISNUMBER(SEARCH("R", 'WetLitterbags placem_collection'!AC81)),"YES","NO")</f>
        <v>NO</v>
      </c>
    </row>
    <row r="155" spans="2:38">
      <c r="B155" t="str">
        <f>'Final data_for_R_analysis_Wetse'!A81</f>
        <v>Wet</v>
      </c>
      <c r="C155" s="263">
        <f>'Final data_for_R_analysis_Wetse'!B81</f>
        <v>80</v>
      </c>
      <c r="D155" t="s">
        <v>3838</v>
      </c>
      <c r="E155" t="s">
        <v>22</v>
      </c>
      <c r="F155" s="387">
        <v>8</v>
      </c>
      <c r="G155" s="16">
        <f>'WetLitterbags placem_collection'!E82</f>
        <v>42767</v>
      </c>
      <c r="H155" t="str">
        <f>'Final data_for_R_analysis_Wetse'!J81</f>
        <v>G607</v>
      </c>
      <c r="I155" t="str">
        <f>'Final data_for_R_analysis_Wetse'!J301</f>
        <v>R181</v>
      </c>
      <c r="J155">
        <f>IFERROR(INDEX('Green_rooibos initial weight'!$C$5:$C$1749,MATCH(H155, 'Green_rooibos initial weight'!$A$5:$A$1749,0)),"")</f>
        <v>1.9450000000000001</v>
      </c>
      <c r="K155">
        <f>IFERROR(INDEX('Green_rooibos initial weight'!$C$5:$C$1749,MATCH(I155, 'Green_rooibos initial weight'!$A$5:$A$1749,0)),"")</f>
        <v>2.1749999999999998</v>
      </c>
      <c r="L155" s="195">
        <f t="shared" si="16"/>
        <v>1.6952</v>
      </c>
      <c r="M155" s="195">
        <f>AVERAGE(Ashed_controlls!$K$2:$K$11)</f>
        <v>5.5147656768714146</v>
      </c>
      <c r="N155" s="195">
        <f t="shared" si="12"/>
        <v>1.6017136922456758</v>
      </c>
      <c r="O155" s="195">
        <f t="shared" si="17"/>
        <v>1.9251999999999998</v>
      </c>
      <c r="P155" s="195">
        <f>AVERAGE(Ashed_controlls!$K$12:$K$14)</f>
        <v>2.2816647271287041</v>
      </c>
      <c r="Q155" s="195">
        <f t="shared" si="18"/>
        <v>1.8812733906733179</v>
      </c>
      <c r="R155" s="16">
        <f>IF('WetLitterbags placem_collection'!G82="N.A","",'WetLitterbags placem_collection'!G82)</f>
        <v>42818</v>
      </c>
      <c r="S155" s="195">
        <f>IF(IFERROR(INDEX('Both teabags AfterWet'!$C$3:$C$841,MATCH(H155,'Both teabags AfterWet'!$A$3:$A$841,0)),"")="N.A","",(IFERROR(INDEX('Both teabags AfterWet'!$C$3:$C$841,MATCH(H155,'Both teabags AfterWet'!$A$3:$A$841,0)),"")))</f>
        <v>0.92400000000000004</v>
      </c>
      <c r="T155" s="195">
        <f>IFERROR(INDEX('Both teabags AfterWet'!$C$3:$C$841,MATCH(I155,'Both teabags AfterWet'!$A$3:$A$841,0)),"")</f>
        <v>0.23799999999999999</v>
      </c>
      <c r="U155" s="195">
        <f t="shared" si="19"/>
        <v>0.77340000000000009</v>
      </c>
      <c r="V155" s="195">
        <f t="shared" si="19"/>
        <v>8.7399999999999978E-2</v>
      </c>
      <c r="W155" s="195">
        <f>IFERROR(INDEX('Ashed teabags wet'!$K$2:$K$821,MATCH(H155,'Ashed teabags wet'!$A$2:$A$821,0)),"")</f>
        <v>13.619696176008233</v>
      </c>
      <c r="X155" s="195" t="str">
        <f>IFERROR(INDEX('Ashed teabags wet'!$K$2:$K$821,MATCH(I155,'Ashed teabags wet'!$A$2:$A$821,0)),"")</f>
        <v/>
      </c>
      <c r="Y155" s="195">
        <f t="shared" si="13"/>
        <v>0.66806526977475245</v>
      </c>
      <c r="Z155" s="195" t="str">
        <f t="shared" si="13"/>
        <v/>
      </c>
      <c r="AA155" s="195">
        <f t="shared" si="20"/>
        <v>0.58290593817794334</v>
      </c>
      <c r="AB155" s="195">
        <f t="shared" si="21"/>
        <v>0.38214261030192964</v>
      </c>
      <c r="AC155" s="195" t="str">
        <f t="shared" si="14"/>
        <v/>
      </c>
      <c r="AD155">
        <f t="shared" si="15"/>
        <v>51</v>
      </c>
      <c r="AE155" s="195">
        <f t="shared" si="22"/>
        <v>0.30771266249650431</v>
      </c>
      <c r="AF155" s="195" t="str">
        <f t="shared" si="23"/>
        <v/>
      </c>
      <c r="AG155" s="255" t="str">
        <f>IF(ISNUMBER(SEARCH("C",'WetLitterbags placem_collection'!AD82)),"YES","NO")</f>
        <v>NO</v>
      </c>
      <c r="AH155" s="255" t="str">
        <f>IF(ISNUMBER(SEARCH("H", 'WetLitterbags placem_collection'!AD82)),"YES","NO")</f>
        <v>NO</v>
      </c>
      <c r="AI155" s="255" t="str">
        <f>IF(ISNUMBER(SEARCH("R", 'WetLitterbags placem_collection'!AD82)),"YES","NO")</f>
        <v>NO</v>
      </c>
      <c r="AJ155" s="255" t="str">
        <f>IF(ISNUMBER(SEARCH("C", 'WetLitterbags placem_collection'!AC82)),"YES","NO")</f>
        <v>NO</v>
      </c>
      <c r="AK155" s="255" t="str">
        <f>IF(ISNUMBER(SEARCH("H", 'WetLitterbags placem_collection'!AC82)),"YES","NO")</f>
        <v>NO</v>
      </c>
      <c r="AL155" s="255" t="str">
        <f>IF(ISNUMBER(SEARCH("R", 'WetLitterbags placem_collection'!AC82)),"YES","NO")</f>
        <v>NO</v>
      </c>
    </row>
    <row r="156" spans="2:38">
      <c r="B156" t="str">
        <f>'Final data_for_R_analysis_Wetse'!A82</f>
        <v>Wet</v>
      </c>
      <c r="C156" s="263">
        <f>'Final data_for_R_analysis_Wetse'!B82</f>
        <v>81</v>
      </c>
      <c r="D156" t="s">
        <v>3839</v>
      </c>
      <c r="E156" t="s">
        <v>22</v>
      </c>
      <c r="F156" s="386">
        <v>1</v>
      </c>
      <c r="G156" s="16">
        <f>'WetLitterbags placem_collection'!E83</f>
        <v>42767</v>
      </c>
      <c r="H156" t="str">
        <f>'Final data_for_R_analysis_Wetse'!J82</f>
        <v>G542</v>
      </c>
      <c r="I156" t="str">
        <f>'Final data_for_R_analysis_Wetse'!J302</f>
        <v>R187</v>
      </c>
      <c r="J156">
        <f>IFERROR(INDEX('Green_rooibos initial weight'!$C$5:$C$1749,MATCH(H156, 'Green_rooibos initial weight'!$A$5:$A$1749,0)),"")</f>
        <v>2.0779999999999998</v>
      </c>
      <c r="K156">
        <f>IFERROR(INDEX('Green_rooibos initial weight'!$C$5:$C$1749,MATCH(I156, 'Green_rooibos initial weight'!$A$5:$A$1749,0)),"")</f>
        <v>2.2210000000000001</v>
      </c>
      <c r="L156" s="195">
        <f t="shared" si="16"/>
        <v>1.8281999999999998</v>
      </c>
      <c r="M156" s="195">
        <f>AVERAGE(Ashed_controlls!$K$2:$K$11)</f>
        <v>5.5147656768714146</v>
      </c>
      <c r="N156" s="195">
        <f t="shared" si="12"/>
        <v>1.7273790538954366</v>
      </c>
      <c r="O156" s="195">
        <f t="shared" si="17"/>
        <v>1.9712000000000001</v>
      </c>
      <c r="P156" s="195">
        <f>AVERAGE(Ashed_controlls!$K$12:$K$14)</f>
        <v>2.2816647271287041</v>
      </c>
      <c r="Q156" s="195">
        <f t="shared" si="18"/>
        <v>1.926223824898839</v>
      </c>
      <c r="R156" s="16">
        <f>IF('WetLitterbags placem_collection'!G83="N.A","",'WetLitterbags placem_collection'!G83)</f>
        <v>42818</v>
      </c>
      <c r="S156" s="195">
        <f>IF(IFERROR(INDEX('Both teabags AfterWet'!$C$3:$C$841,MATCH(H156,'Both teabags AfterWet'!$A$3:$A$841,0)),"")="N.A","",(IFERROR(INDEX('Both teabags AfterWet'!$C$3:$C$841,MATCH(H156,'Both teabags AfterWet'!$A$3:$A$841,0)),"")))</f>
        <v>0.85099999999999998</v>
      </c>
      <c r="T156" s="195">
        <f>IFERROR(INDEX('Both teabags AfterWet'!$C$3:$C$841,MATCH(I156,'Both teabags AfterWet'!$A$3:$A$841,0)),"")</f>
        <v>1.8420000000000001</v>
      </c>
      <c r="U156" s="195">
        <f t="shared" si="19"/>
        <v>0.70039999999999991</v>
      </c>
      <c r="V156" s="195">
        <f t="shared" si="19"/>
        <v>1.6914</v>
      </c>
      <c r="W156" s="195">
        <f>IFERROR(INDEX('Ashed teabags wet'!$K$2:$K$821,MATCH(H156,'Ashed teabags wet'!$A$2:$A$821,0)),"")</f>
        <v>15.009940357852306</v>
      </c>
      <c r="X156" s="195">
        <f>IFERROR(INDEX('Ashed teabags wet'!$K$2:$K$821,MATCH(I156,'Ashed teabags wet'!$A$2:$A$821,0)),"")</f>
        <v>4.2141794744665662</v>
      </c>
      <c r="Y156" s="195">
        <f t="shared" si="13"/>
        <v>0.59527037773360236</v>
      </c>
      <c r="Z156" s="195">
        <f t="shared" si="13"/>
        <v>1.6201213683688724</v>
      </c>
      <c r="AA156" s="195">
        <f t="shared" si="20"/>
        <v>0.65539099458732009</v>
      </c>
      <c r="AB156" s="195">
        <f t="shared" si="21"/>
        <v>0.429662504765084</v>
      </c>
      <c r="AC156" s="195">
        <f t="shared" si="14"/>
        <v>0.84108676646337177</v>
      </c>
      <c r="AD156">
        <f t="shared" si="15"/>
        <v>51</v>
      </c>
      <c r="AE156" s="195">
        <f t="shared" si="22"/>
        <v>0.22162589716470293</v>
      </c>
      <c r="AF156" s="195">
        <f t="shared" si="23"/>
        <v>9.0550359543918896E-3</v>
      </c>
      <c r="AG156" s="255" t="str">
        <f>IF(ISNUMBER(SEARCH("C",'WetLitterbags placem_collection'!AD83)),"YES","NO")</f>
        <v>NO</v>
      </c>
      <c r="AH156" s="255" t="str">
        <f>IF(ISNUMBER(SEARCH("H", 'WetLitterbags placem_collection'!AD83)),"YES","NO")</f>
        <v>NO</v>
      </c>
      <c r="AI156" s="255" t="str">
        <f>IF(ISNUMBER(SEARCH("R", 'WetLitterbags placem_collection'!AD83)),"YES","NO")</f>
        <v>NO</v>
      </c>
      <c r="AJ156" s="255" t="str">
        <f>IF(ISNUMBER(SEARCH("C", 'WetLitterbags placem_collection'!AC83)),"YES","NO")</f>
        <v>NO</v>
      </c>
      <c r="AK156" s="255" t="str">
        <f>IF(ISNUMBER(SEARCH("H", 'WetLitterbags placem_collection'!AC83)),"YES","NO")</f>
        <v>NO</v>
      </c>
      <c r="AL156" s="255" t="str">
        <f>IF(ISNUMBER(SEARCH("R", 'WetLitterbags placem_collection'!AC83)),"YES","NO")</f>
        <v>NO</v>
      </c>
    </row>
    <row r="157" spans="2:38">
      <c r="B157" t="str">
        <f>'Final data_for_R_analysis_Wetse'!A83</f>
        <v>Wet</v>
      </c>
      <c r="C157" s="263">
        <f>'Final data_for_R_analysis_Wetse'!B83</f>
        <v>82</v>
      </c>
      <c r="D157" t="s">
        <v>3839</v>
      </c>
      <c r="E157" t="s">
        <v>22</v>
      </c>
      <c r="F157" s="386">
        <v>2</v>
      </c>
      <c r="G157" s="16">
        <f>'WetLitterbags placem_collection'!E84</f>
        <v>42767</v>
      </c>
      <c r="H157" t="str">
        <f>'Final data_for_R_analysis_Wetse'!J83</f>
        <v>G536</v>
      </c>
      <c r="I157" t="str">
        <f>'Final data_for_R_analysis_Wetse'!J303</f>
        <v>R83</v>
      </c>
      <c r="J157">
        <f>IFERROR(INDEX('Green_rooibos initial weight'!$C$5:$C$1749,MATCH(H157, 'Green_rooibos initial weight'!$A$5:$A$1749,0)),"")</f>
        <v>2.0510000000000002</v>
      </c>
      <c r="K157">
        <f>IFERROR(INDEX('Green_rooibos initial weight'!$C$5:$C$1749,MATCH(I157, 'Green_rooibos initial weight'!$A$5:$A$1749,0)),"")</f>
        <v>2.0390000000000001</v>
      </c>
      <c r="L157" s="195">
        <f t="shared" si="16"/>
        <v>1.8012000000000001</v>
      </c>
      <c r="M157" s="195">
        <f>AVERAGE(Ashed_controlls!$K$2:$K$11)</f>
        <v>5.5147656768714146</v>
      </c>
      <c r="N157" s="195">
        <f t="shared" si="12"/>
        <v>1.7018680406281923</v>
      </c>
      <c r="O157" s="195">
        <f t="shared" si="17"/>
        <v>1.7892000000000001</v>
      </c>
      <c r="P157" s="195">
        <f>AVERAGE(Ashed_controlls!$K$12:$K$14)</f>
        <v>2.2816647271287041</v>
      </c>
      <c r="Q157" s="195">
        <f t="shared" si="18"/>
        <v>1.7483764547022134</v>
      </c>
      <c r="R157" s="16">
        <f>IF('WetLitterbags placem_collection'!G84="N.A","",'WetLitterbags placem_collection'!G84)</f>
        <v>42819</v>
      </c>
      <c r="S157" s="195">
        <f>IF(IFERROR(INDEX('Both teabags AfterWet'!$C$3:$C$841,MATCH(H157,'Both teabags AfterWet'!$A$3:$A$841,0)),"")="N.A","",(IFERROR(INDEX('Both teabags AfterWet'!$C$3:$C$841,MATCH(H157,'Both teabags AfterWet'!$A$3:$A$841,0)),"")))</f>
        <v>0.748</v>
      </c>
      <c r="T157" s="195">
        <f>IFERROR(INDEX('Both teabags AfterWet'!$C$3:$C$841,MATCH(I157,'Both teabags AfterWet'!$A$3:$A$841,0)),"")</f>
        <v>1.5940000000000001</v>
      </c>
      <c r="U157" s="195">
        <f t="shared" si="19"/>
        <v>0.59739999999999993</v>
      </c>
      <c r="V157" s="195">
        <f t="shared" si="19"/>
        <v>1.4434</v>
      </c>
      <c r="W157" s="195">
        <f>IFERROR(INDEX('Ashed teabags wet'!$K$2:$K$821,MATCH(H157,'Ashed teabags wet'!$A$2:$A$821,0)),"")</f>
        <v>10.317848410758481</v>
      </c>
      <c r="X157" s="195">
        <f>IFERROR(INDEX('Ashed teabags wet'!$K$2:$K$821,MATCH(I157,'Ashed teabags wet'!$A$2:$A$821,0)),"")</f>
        <v>4.9489795918371247</v>
      </c>
      <c r="Y157" s="195">
        <f t="shared" si="13"/>
        <v>0.53576117359412878</v>
      </c>
      <c r="Z157" s="195">
        <f t="shared" si="13"/>
        <v>1.371966428571423</v>
      </c>
      <c r="AA157" s="195">
        <f t="shared" si="20"/>
        <v>0.68519229411208116</v>
      </c>
      <c r="AB157" s="195">
        <f t="shared" si="21"/>
        <v>0.44919969875281335</v>
      </c>
      <c r="AC157" s="195">
        <f t="shared" si="14"/>
        <v>0.78470882222278548</v>
      </c>
      <c r="AD157">
        <f t="shared" si="15"/>
        <v>52</v>
      </c>
      <c r="AE157" s="195">
        <f t="shared" si="22"/>
        <v>0.18623242979562804</v>
      </c>
      <c r="AF157" s="195">
        <f t="shared" si="23"/>
        <v>1.2548797102174084E-2</v>
      </c>
      <c r="AG157" s="255" t="str">
        <f>IF(ISNUMBER(SEARCH("C",'WetLitterbags placem_collection'!AD84)),"YES","NO")</f>
        <v>NO</v>
      </c>
      <c r="AH157" s="255" t="str">
        <f>IF(ISNUMBER(SEARCH("H", 'WetLitterbags placem_collection'!AD84)),"YES","NO")</f>
        <v>NO</v>
      </c>
      <c r="AI157" s="255" t="str">
        <f>IF(ISNUMBER(SEARCH("R", 'WetLitterbags placem_collection'!AD84)),"YES","NO")</f>
        <v>NO</v>
      </c>
      <c r="AJ157" s="255" t="str">
        <f>IF(ISNUMBER(SEARCH("C", 'WetLitterbags placem_collection'!AC84)),"YES","NO")</f>
        <v>NO</v>
      </c>
      <c r="AK157" s="255" t="str">
        <f>IF(ISNUMBER(SEARCH("H", 'WetLitterbags placem_collection'!AC84)),"YES","NO")</f>
        <v>NO</v>
      </c>
      <c r="AL157" s="255" t="str">
        <f>IF(ISNUMBER(SEARCH("R", 'WetLitterbags placem_collection'!AC84)),"YES","NO")</f>
        <v>NO</v>
      </c>
    </row>
    <row r="158" spans="2:38">
      <c r="B158" t="str">
        <f>'Final data_for_R_analysis_Wetse'!A84</f>
        <v>Wet</v>
      </c>
      <c r="C158" s="263">
        <f>'Final data_for_R_analysis_Wetse'!B84</f>
        <v>83</v>
      </c>
      <c r="D158" t="s">
        <v>3839</v>
      </c>
      <c r="E158" t="s">
        <v>22</v>
      </c>
      <c r="F158" s="386">
        <v>3</v>
      </c>
      <c r="G158" s="16">
        <f>'WetLitterbags placem_collection'!E85</f>
        <v>42767</v>
      </c>
      <c r="H158" t="str">
        <f>'Final data_for_R_analysis_Wetse'!J84</f>
        <v>G494</v>
      </c>
      <c r="I158" t="str">
        <f>'Final data_for_R_analysis_Wetse'!J304</f>
        <v>R134</v>
      </c>
      <c r="J158">
        <f>IFERROR(INDEX('Green_rooibos initial weight'!$C$5:$C$1749,MATCH(H158, 'Green_rooibos initial weight'!$A$5:$A$1749,0)),"")</f>
        <v>1.903</v>
      </c>
      <c r="K158">
        <f>IFERROR(INDEX('Green_rooibos initial weight'!$C$5:$C$1749,MATCH(I158, 'Green_rooibos initial weight'!$A$5:$A$1749,0)),"")</f>
        <v>2.21</v>
      </c>
      <c r="L158" s="195">
        <f t="shared" si="16"/>
        <v>1.6532</v>
      </c>
      <c r="M158" s="195">
        <f>AVERAGE(Ashed_controlls!$K$2:$K$11)</f>
        <v>5.5147656768714146</v>
      </c>
      <c r="N158" s="195">
        <f t="shared" si="12"/>
        <v>1.5620298938299617</v>
      </c>
      <c r="O158" s="195">
        <f t="shared" si="17"/>
        <v>1.9601999999999999</v>
      </c>
      <c r="P158" s="195">
        <f>AVERAGE(Ashed_controlls!$K$12:$K$14)</f>
        <v>2.2816647271287041</v>
      </c>
      <c r="Q158" s="195">
        <f t="shared" si="18"/>
        <v>1.9154748080188231</v>
      </c>
      <c r="R158" s="16">
        <f>IF('WetLitterbags placem_collection'!G85="N.A","",'WetLitterbags placem_collection'!G85)</f>
        <v>42819</v>
      </c>
      <c r="S158" s="195">
        <f>IF(IFERROR(INDEX('Both teabags AfterWet'!$C$3:$C$841,MATCH(H158,'Both teabags AfterWet'!$A$3:$A$841,0)),"")="N.A","",(IFERROR(INDEX('Both teabags AfterWet'!$C$3:$C$841,MATCH(H158,'Both teabags AfterWet'!$A$3:$A$841,0)),"")))</f>
        <v>0.90200000000000002</v>
      </c>
      <c r="T158" s="195">
        <f>IFERROR(INDEX('Both teabags AfterWet'!$C$3:$C$841,MATCH(I158,'Both teabags AfterWet'!$A$3:$A$841,0)),"")</f>
        <v>0.98799999999999999</v>
      </c>
      <c r="U158" s="195">
        <f t="shared" si="19"/>
        <v>0.75140000000000007</v>
      </c>
      <c r="V158" s="195">
        <f t="shared" si="19"/>
        <v>0.83739999999999992</v>
      </c>
      <c r="W158" s="195">
        <f>IFERROR(INDEX('Ashed teabags wet'!$K$2:$K$821,MATCH(H158,'Ashed teabags wet'!$A$2:$A$821,0)),"")</f>
        <v>18.525798525798983</v>
      </c>
      <c r="X158" s="195">
        <f>IFERROR(INDEX('Ashed teabags wet'!$K$2:$K$821,MATCH(I158,'Ashed teabags wet'!$A$2:$A$821,0)),"")</f>
        <v>61.99804113614087</v>
      </c>
      <c r="Y158" s="195">
        <f t="shared" si="13"/>
        <v>0.61219714987714646</v>
      </c>
      <c r="Z158" s="195">
        <f t="shared" si="13"/>
        <v>0.31822840352595638</v>
      </c>
      <c r="AA158" s="195">
        <f t="shared" si="20"/>
        <v>0.60807590668057432</v>
      </c>
      <c r="AB158" s="195">
        <f t="shared" si="21"/>
        <v>0.39864358727752619</v>
      </c>
      <c r="AC158" s="195">
        <f t="shared" si="14"/>
        <v>0.16613552012991506</v>
      </c>
      <c r="AD158">
        <f t="shared" si="15"/>
        <v>52</v>
      </c>
      <c r="AE158" s="195">
        <f t="shared" si="22"/>
        <v>0.27781958826535114</v>
      </c>
      <c r="AF158" s="195" t="str">
        <f t="shared" si="23"/>
        <v/>
      </c>
      <c r="AG158" s="255" t="str">
        <f>IF(ISNUMBER(SEARCH("C",'WetLitterbags placem_collection'!AD85)),"YES","NO")</f>
        <v>NO</v>
      </c>
      <c r="AH158" s="255" t="str">
        <f>IF(ISNUMBER(SEARCH("H", 'WetLitterbags placem_collection'!AD85)),"YES","NO")</f>
        <v>NO</v>
      </c>
      <c r="AI158" s="255" t="str">
        <f>IF(ISNUMBER(SEARCH("R", 'WetLitterbags placem_collection'!AD85)),"YES","NO")</f>
        <v>NO</v>
      </c>
      <c r="AJ158" s="255" t="str">
        <f>IF(ISNUMBER(SEARCH("C", 'WetLitterbags placem_collection'!AC85)),"YES","NO")</f>
        <v>NO</v>
      </c>
      <c r="AK158" s="255" t="str">
        <f>IF(ISNUMBER(SEARCH("H", 'WetLitterbags placem_collection'!AC85)),"YES","NO")</f>
        <v>NO</v>
      </c>
      <c r="AL158" s="255" t="str">
        <f>IF(ISNUMBER(SEARCH("R", 'WetLitterbags placem_collection'!AC85)),"YES","NO")</f>
        <v>NO</v>
      </c>
    </row>
    <row r="159" spans="2:38">
      <c r="B159" t="str">
        <f>'Final data_for_R_analysis_Wetse'!A85</f>
        <v>Wet</v>
      </c>
      <c r="C159" s="263">
        <f>'Final data_for_R_analysis_Wetse'!B85</f>
        <v>84</v>
      </c>
      <c r="D159" t="s">
        <v>3839</v>
      </c>
      <c r="E159" t="s">
        <v>22</v>
      </c>
      <c r="F159" s="387">
        <v>4</v>
      </c>
      <c r="G159" s="16">
        <f>'WetLitterbags placem_collection'!E86</f>
        <v>42767</v>
      </c>
      <c r="H159" t="str">
        <f>'Final data_for_R_analysis_Wetse'!J85</f>
        <v>G291</v>
      </c>
      <c r="I159" t="str">
        <f>'Final data_for_R_analysis_Wetse'!J305</f>
        <v>R49</v>
      </c>
      <c r="J159">
        <f>IFERROR(INDEX('Green_rooibos initial weight'!$C$5:$C$1749,MATCH(H159, 'Green_rooibos initial weight'!$A$5:$A$1749,0)),"")</f>
        <v>2.0880000000000001</v>
      </c>
      <c r="K159">
        <f>IFERROR(INDEX('Green_rooibos initial weight'!$C$5:$C$1749,MATCH(I159, 'Green_rooibos initial weight'!$A$5:$A$1749,0)),"")</f>
        <v>2.2999999999999998</v>
      </c>
      <c r="L159" s="195">
        <f t="shared" si="16"/>
        <v>1.8382000000000001</v>
      </c>
      <c r="M159" s="195">
        <f>AVERAGE(Ashed_controlls!$K$2:$K$11)</f>
        <v>5.5147656768714146</v>
      </c>
      <c r="N159" s="195">
        <f t="shared" si="12"/>
        <v>1.7368275773277497</v>
      </c>
      <c r="O159" s="195">
        <f t="shared" si="17"/>
        <v>2.0501999999999998</v>
      </c>
      <c r="P159" s="195">
        <f>AVERAGE(Ashed_controlls!$K$12:$K$14)</f>
        <v>2.2816647271287041</v>
      </c>
      <c r="Q159" s="195">
        <f t="shared" si="18"/>
        <v>2.0034213097644069</v>
      </c>
      <c r="R159" s="16">
        <f>IF('WetLitterbags placem_collection'!G86="N.A","",'WetLitterbags placem_collection'!G86)</f>
        <v>42819</v>
      </c>
      <c r="S159" s="195">
        <f>IF(IFERROR(INDEX('Both teabags AfterWet'!$C$3:$C$841,MATCH(H159,'Both teabags AfterWet'!$A$3:$A$841,0)),"")="N.A","",(IFERROR(INDEX('Both teabags AfterWet'!$C$3:$C$841,MATCH(H159,'Both teabags AfterWet'!$A$3:$A$841,0)),"")))</f>
        <v>0.90300000000000002</v>
      </c>
      <c r="T159" s="195">
        <f>IFERROR(INDEX('Both teabags AfterWet'!$C$3:$C$841,MATCH(I159,'Both teabags AfterWet'!$A$3:$A$841,0)),"")</f>
        <v>1.6379999999999999</v>
      </c>
      <c r="U159" s="195">
        <f t="shared" si="19"/>
        <v>0.75239999999999996</v>
      </c>
      <c r="V159" s="195">
        <f t="shared" si="19"/>
        <v>1.4873999999999998</v>
      </c>
      <c r="W159" s="195">
        <f>IFERROR(INDEX('Ashed teabags wet'!$K$2:$K$821,MATCH(H159,'Ashed teabags wet'!$A$2:$A$821,0)),"")</f>
        <v>11.922503725782521</v>
      </c>
      <c r="X159" s="195">
        <f>IFERROR(INDEX('Ashed teabags wet'!$K$2:$K$821,MATCH(I159,'Ashed teabags wet'!$A$2:$A$821,0)),"")</f>
        <v>8.8249634324722646</v>
      </c>
      <c r="Y159" s="195">
        <f t="shared" si="13"/>
        <v>0.66269508196721227</v>
      </c>
      <c r="Z159" s="195">
        <f t="shared" si="13"/>
        <v>1.3561374939054074</v>
      </c>
      <c r="AA159" s="195">
        <f t="shared" si="20"/>
        <v>0.6184450945978055</v>
      </c>
      <c r="AB159" s="195">
        <f t="shared" si="21"/>
        <v>0.40544143968882262</v>
      </c>
      <c r="AC159" s="195">
        <f t="shared" si="14"/>
        <v>0.67691078621145484</v>
      </c>
      <c r="AD159">
        <f t="shared" si="15"/>
        <v>52</v>
      </c>
      <c r="AE159" s="195">
        <f t="shared" si="22"/>
        <v>0.26550463824488657</v>
      </c>
      <c r="AF159" s="195">
        <f t="shared" si="23"/>
        <v>3.065328773159812E-2</v>
      </c>
      <c r="AG159" s="255" t="str">
        <f>IF(ISNUMBER(SEARCH("C",'WetLitterbags placem_collection'!AD86)),"YES","NO")</f>
        <v>NO</v>
      </c>
      <c r="AH159" s="255" t="str">
        <f>IF(ISNUMBER(SEARCH("H", 'WetLitterbags placem_collection'!AD86)),"YES","NO")</f>
        <v>NO</v>
      </c>
      <c r="AI159" s="255" t="str">
        <f>IF(ISNUMBER(SEARCH("R", 'WetLitterbags placem_collection'!AD86)),"YES","NO")</f>
        <v>NO</v>
      </c>
      <c r="AJ159" s="255" t="str">
        <f>IF(ISNUMBER(SEARCH("C", 'WetLitterbags placem_collection'!AC86)),"YES","NO")</f>
        <v>NO</v>
      </c>
      <c r="AK159" s="255" t="str">
        <f>IF(ISNUMBER(SEARCH("H", 'WetLitterbags placem_collection'!AC86)),"YES","NO")</f>
        <v>NO</v>
      </c>
      <c r="AL159" s="255" t="str">
        <f>IF(ISNUMBER(SEARCH("R", 'WetLitterbags placem_collection'!AC86)),"YES","NO")</f>
        <v>NO</v>
      </c>
    </row>
    <row r="160" spans="2:38">
      <c r="B160" t="str">
        <f>'Final data_for_R_analysis_Wetse'!A86</f>
        <v>Wet</v>
      </c>
      <c r="C160" s="263">
        <f>'Final data_for_R_analysis_Wetse'!B86</f>
        <v>85</v>
      </c>
      <c r="D160" t="s">
        <v>3839</v>
      </c>
      <c r="E160" t="s">
        <v>22</v>
      </c>
      <c r="F160" s="387">
        <v>5</v>
      </c>
      <c r="G160" s="16">
        <f>'WetLitterbags placem_collection'!E87</f>
        <v>42767</v>
      </c>
      <c r="H160" t="str">
        <f>'Final data_for_R_analysis_Wetse'!J86</f>
        <v>G308</v>
      </c>
      <c r="I160" t="str">
        <f>'Final data_for_R_analysis_Wetse'!J306</f>
        <v>R315</v>
      </c>
      <c r="J160">
        <f>IFERROR(INDEX('Green_rooibos initial weight'!$C$5:$C$1749,MATCH(H160, 'Green_rooibos initial weight'!$A$5:$A$1749,0)),"")</f>
        <v>1.982</v>
      </c>
      <c r="K160">
        <f>IFERROR(INDEX('Green_rooibos initial weight'!$C$5:$C$1749,MATCH(I160, 'Green_rooibos initial weight'!$A$5:$A$1749,0)),"")</f>
        <v>2.2440000000000002</v>
      </c>
      <c r="L160" s="195">
        <f t="shared" si="16"/>
        <v>1.7322</v>
      </c>
      <c r="M160" s="195">
        <f>AVERAGE(Ashed_controlls!$K$2:$K$11)</f>
        <v>5.5147656768714146</v>
      </c>
      <c r="N160" s="195">
        <f t="shared" si="12"/>
        <v>1.6366732289452333</v>
      </c>
      <c r="O160" s="195">
        <f t="shared" si="17"/>
        <v>1.9942000000000002</v>
      </c>
      <c r="P160" s="195">
        <f>AVERAGE(Ashed_controlls!$K$12:$K$14)</f>
        <v>2.2816647271287041</v>
      </c>
      <c r="Q160" s="195">
        <f t="shared" si="18"/>
        <v>1.9486990420115995</v>
      </c>
      <c r="R160" s="16">
        <f>IF('WetLitterbags placem_collection'!G87="N.A","",'WetLitterbags placem_collection'!G87)</f>
        <v>42819</v>
      </c>
      <c r="S160" s="195">
        <f>IF(IFERROR(INDEX('Both teabags AfterWet'!$C$3:$C$841,MATCH(H160,'Both teabags AfterWet'!$A$3:$A$841,0)),"")="N.A","",(IFERROR(INDEX('Both teabags AfterWet'!$C$3:$C$841,MATCH(H160,'Both teabags AfterWet'!$A$3:$A$841,0)),"")))</f>
        <v>1.256</v>
      </c>
      <c r="T160" s="195">
        <f>IFERROR(INDEX('Both teabags AfterWet'!$C$3:$C$841,MATCH(I160,'Both teabags AfterWet'!$A$3:$A$841,0)),"")</f>
        <v>1.4850000000000001</v>
      </c>
      <c r="U160" s="195">
        <f t="shared" si="19"/>
        <v>1.1053999999999999</v>
      </c>
      <c r="V160" s="195">
        <f t="shared" si="19"/>
        <v>1.3344</v>
      </c>
      <c r="W160" s="195">
        <f>IFERROR(INDEX('Ashed teabags wet'!$K$2:$K$821,MATCH(H160,'Ashed teabags wet'!$A$2:$A$821,0)),"")</f>
        <v>39.801980198020281</v>
      </c>
      <c r="X160" s="195">
        <f>IFERROR(INDEX('Ashed teabags wet'!$K$2:$K$821,MATCH(I160,'Ashed teabags wet'!$A$2:$A$821,0)),"")</f>
        <v>10.368550368550631</v>
      </c>
      <c r="Y160" s="195">
        <f t="shared" si="13"/>
        <v>0.6654289108910838</v>
      </c>
      <c r="Z160" s="195">
        <f t="shared" si="13"/>
        <v>1.1960420638820604</v>
      </c>
      <c r="AA160" s="195">
        <f t="shared" si="20"/>
        <v>0.59342592087247337</v>
      </c>
      <c r="AB160" s="195">
        <f t="shared" si="21"/>
        <v>0.38903932104703726</v>
      </c>
      <c r="AC160" s="195">
        <f t="shared" si="14"/>
        <v>0.61376438233756825</v>
      </c>
      <c r="AD160">
        <f t="shared" si="15"/>
        <v>52</v>
      </c>
      <c r="AE160" s="195">
        <f t="shared" si="22"/>
        <v>0.29521862129159926</v>
      </c>
      <c r="AF160" s="195">
        <f t="shared" si="23"/>
        <v>9.4860370005136627E-2</v>
      </c>
      <c r="AG160" s="255" t="str">
        <f>IF(ISNUMBER(SEARCH("C",'WetLitterbags placem_collection'!AD87)),"YES","NO")</f>
        <v>NO</v>
      </c>
      <c r="AH160" s="255" t="str">
        <f>IF(ISNUMBER(SEARCH("H", 'WetLitterbags placem_collection'!AD87)),"YES","NO")</f>
        <v>NO</v>
      </c>
      <c r="AI160" s="255" t="str">
        <f>IF(ISNUMBER(SEARCH("R", 'WetLitterbags placem_collection'!AD87)),"YES","NO")</f>
        <v>NO</v>
      </c>
      <c r="AJ160" s="255" t="str">
        <f>IF(ISNUMBER(SEARCH("C", 'WetLitterbags placem_collection'!AC87)),"YES","NO")</f>
        <v>NO</v>
      </c>
      <c r="AK160" s="255" t="str">
        <f>IF(ISNUMBER(SEARCH("H", 'WetLitterbags placem_collection'!AC87)),"YES","NO")</f>
        <v>NO</v>
      </c>
      <c r="AL160" s="255" t="str">
        <f>IF(ISNUMBER(SEARCH("R", 'WetLitterbags placem_collection'!AC87)),"YES","NO")</f>
        <v>NO</v>
      </c>
    </row>
    <row r="161" spans="2:38">
      <c r="B161" t="str">
        <f>'Final data_for_R_analysis_Wetse'!A87</f>
        <v>Wet</v>
      </c>
      <c r="C161" s="263">
        <f>'Final data_for_R_analysis_Wetse'!B87</f>
        <v>86</v>
      </c>
      <c r="D161" t="s">
        <v>3839</v>
      </c>
      <c r="E161" t="s">
        <v>22</v>
      </c>
      <c r="F161" s="387">
        <v>6</v>
      </c>
      <c r="G161" s="16">
        <f>'WetLitterbags placem_collection'!E88</f>
        <v>42767</v>
      </c>
      <c r="H161" t="str">
        <f>'Final data_for_R_analysis_Wetse'!J87</f>
        <v>G723</v>
      </c>
      <c r="I161" t="str">
        <f>'Final data_for_R_analysis_Wetse'!J307</f>
        <v>R1</v>
      </c>
      <c r="J161">
        <f>IFERROR(INDEX('Green_rooibos initial weight'!$C$5:$C$1749,MATCH(H161, 'Green_rooibos initial weight'!$A$5:$A$1749,0)),"")</f>
        <v>2.0129999999999999</v>
      </c>
      <c r="K161">
        <f>IFERROR(INDEX('Green_rooibos initial weight'!$C$5:$C$1749,MATCH(I161, 'Green_rooibos initial weight'!$A$5:$A$1749,0)),"")</f>
        <v>2.2109999999999999</v>
      </c>
      <c r="L161" s="195">
        <f t="shared" si="16"/>
        <v>1.7631999999999999</v>
      </c>
      <c r="M161" s="195">
        <f>AVERAGE(Ashed_controlls!$K$2:$K$11)</f>
        <v>5.5147656768714146</v>
      </c>
      <c r="N161" s="195">
        <f t="shared" si="12"/>
        <v>1.665963651585403</v>
      </c>
      <c r="O161" s="195">
        <f t="shared" si="17"/>
        <v>1.9611999999999998</v>
      </c>
      <c r="P161" s="195">
        <f>AVERAGE(Ashed_controlls!$K$12:$K$14)</f>
        <v>2.2816647271287041</v>
      </c>
      <c r="Q161" s="195">
        <f t="shared" si="18"/>
        <v>1.9164519913715516</v>
      </c>
      <c r="R161" s="16">
        <f>IF('WetLitterbags placem_collection'!G88="N.A","",'WetLitterbags placem_collection'!G88)</f>
        <v>42819</v>
      </c>
      <c r="S161" s="195">
        <f>IF(IFERROR(INDEX('Both teabags AfterWet'!$C$3:$C$841,MATCH(H161,'Both teabags AfterWet'!$A$3:$A$841,0)),"")="N.A","",(IFERROR(INDEX('Both teabags AfterWet'!$C$3:$C$841,MATCH(H161,'Both teabags AfterWet'!$A$3:$A$841,0)),"")))</f>
        <v>0.78249999999999997</v>
      </c>
      <c r="T161" s="195">
        <f>IFERROR(INDEX('Both teabags AfterWet'!$C$3:$C$841,MATCH(I161,'Both teabags AfterWet'!$A$3:$A$841,0)),"")</f>
        <v>0.38169999999999998</v>
      </c>
      <c r="U161" s="195">
        <f t="shared" si="19"/>
        <v>0.63189999999999991</v>
      </c>
      <c r="V161" s="195">
        <f t="shared" si="19"/>
        <v>0.23109999999999997</v>
      </c>
      <c r="W161" s="195">
        <f>IFERROR(INDEX('Ashed teabags wet'!$K$2:$K$821,MATCH(H161,'Ashed teabags wet'!$A$2:$A$821,0)),"")</f>
        <v>7.4680306905364882</v>
      </c>
      <c r="X161" s="195" t="str">
        <f>IFERROR(INDEX('Ashed teabags wet'!$K$2:$K$821,MATCH(I161,'Ashed teabags wet'!$A$2:$A$821,0)),"")</f>
        <v/>
      </c>
      <c r="Y161" s="195">
        <f t="shared" si="13"/>
        <v>0.58470951406649985</v>
      </c>
      <c r="Z161" s="195" t="str">
        <f t="shared" si="13"/>
        <v/>
      </c>
      <c r="AA161" s="195">
        <f t="shared" si="20"/>
        <v>0.64902624765548456</v>
      </c>
      <c r="AB161" s="195">
        <f t="shared" si="21"/>
        <v>0.42548989157461697</v>
      </c>
      <c r="AC161" s="195" t="str">
        <f t="shared" si="14"/>
        <v/>
      </c>
      <c r="AD161">
        <f t="shared" si="15"/>
        <v>52</v>
      </c>
      <c r="AE161" s="195">
        <f t="shared" si="22"/>
        <v>0.22918497903149104</v>
      </c>
      <c r="AF161" s="195" t="str">
        <f t="shared" si="23"/>
        <v/>
      </c>
      <c r="AG161" s="255" t="str">
        <f>IF(ISNUMBER(SEARCH("C",'WetLitterbags placem_collection'!AD88)),"YES","NO")</f>
        <v>NO</v>
      </c>
      <c r="AH161" s="255" t="str">
        <f>IF(ISNUMBER(SEARCH("H", 'WetLitterbags placem_collection'!AD88)),"YES","NO")</f>
        <v>NO</v>
      </c>
      <c r="AI161" s="255" t="str">
        <f>IF(ISNUMBER(SEARCH("R", 'WetLitterbags placem_collection'!AD88)),"YES","NO")</f>
        <v>NO</v>
      </c>
      <c r="AJ161" s="255" t="str">
        <f>IF(ISNUMBER(SEARCH("C", 'WetLitterbags placem_collection'!AC88)),"YES","NO")</f>
        <v>NO</v>
      </c>
      <c r="AK161" s="255" t="str">
        <f>IF(ISNUMBER(SEARCH("H", 'WetLitterbags placem_collection'!AC88)),"YES","NO")</f>
        <v>NO</v>
      </c>
      <c r="AL161" s="255" t="str">
        <f>IF(ISNUMBER(SEARCH("R", 'WetLitterbags placem_collection'!AC88)),"YES","NO")</f>
        <v>NO</v>
      </c>
    </row>
    <row r="162" spans="2:38">
      <c r="B162" t="str">
        <f>'Final data_for_R_analysis_Wetse'!A88</f>
        <v>Wet</v>
      </c>
      <c r="C162" s="263">
        <f>'Final data_for_R_analysis_Wetse'!B88</f>
        <v>87</v>
      </c>
      <c r="D162" t="s">
        <v>3839</v>
      </c>
      <c r="E162" t="s">
        <v>22</v>
      </c>
      <c r="F162" s="387">
        <v>7</v>
      </c>
      <c r="G162" s="16">
        <f>'WetLitterbags placem_collection'!E89</f>
        <v>42767</v>
      </c>
      <c r="H162" t="str">
        <f>'Final data_for_R_analysis_Wetse'!J88</f>
        <v>G628</v>
      </c>
      <c r="I162" t="str">
        <f>'Final data_for_R_analysis_Wetse'!J308</f>
        <v>R408</v>
      </c>
      <c r="J162">
        <f>IFERROR(INDEX('Green_rooibos initial weight'!$C$5:$C$1749,MATCH(H162, 'Green_rooibos initial weight'!$A$5:$A$1749,0)),"")</f>
        <v>2.0739999999999998</v>
      </c>
      <c r="K162">
        <f>IFERROR(INDEX('Green_rooibos initial weight'!$C$5:$C$1749,MATCH(I162, 'Green_rooibos initial weight'!$A$5:$A$1749,0)),"")</f>
        <v>2.2480000000000002</v>
      </c>
      <c r="L162" s="195">
        <f t="shared" si="16"/>
        <v>1.8241999999999998</v>
      </c>
      <c r="M162" s="195">
        <f>AVERAGE(Ashed_controlls!$K$2:$K$11)</f>
        <v>5.5147656768714146</v>
      </c>
      <c r="N162" s="195">
        <f t="shared" si="12"/>
        <v>1.7235996445225115</v>
      </c>
      <c r="O162" s="195">
        <f t="shared" si="17"/>
        <v>1.9982000000000002</v>
      </c>
      <c r="P162" s="195">
        <f>AVERAGE(Ashed_controlls!$K$12:$K$14)</f>
        <v>2.2816647271287041</v>
      </c>
      <c r="Q162" s="195">
        <f t="shared" si="18"/>
        <v>1.9526077754225144</v>
      </c>
      <c r="R162" s="16">
        <f>IF('WetLitterbags placem_collection'!G89="N.A","",'WetLitterbags placem_collection'!G89)</f>
        <v>42819</v>
      </c>
      <c r="S162" s="195">
        <f>IF(IFERROR(INDEX('Both teabags AfterWet'!$C$3:$C$841,MATCH(H162,'Both teabags AfterWet'!$A$3:$A$841,0)),"")="N.A","",(IFERROR(INDEX('Both teabags AfterWet'!$C$3:$C$841,MATCH(H162,'Both teabags AfterWet'!$A$3:$A$841,0)),"")))</f>
        <v>0.8639</v>
      </c>
      <c r="T162" s="195">
        <f>IFERROR(INDEX('Both teabags AfterWet'!$C$3:$C$841,MATCH(I162,'Both teabags AfterWet'!$A$3:$A$841,0)),"")</f>
        <v>0.3599</v>
      </c>
      <c r="U162" s="195">
        <f t="shared" si="19"/>
        <v>0.71330000000000005</v>
      </c>
      <c r="V162" s="195">
        <f t="shared" si="19"/>
        <v>0.20929999999999999</v>
      </c>
      <c r="W162" s="195">
        <f>IFERROR(INDEX('Ashed teabags wet'!$K$2:$K$821,MATCH(H162,'Ashed teabags wet'!$A$2:$A$821,0)),"")</f>
        <v>12.74038461538643</v>
      </c>
      <c r="X162" s="195" t="str">
        <f>IFERROR(INDEX('Ashed teabags wet'!$K$2:$K$821,MATCH(I162,'Ashed teabags wet'!$A$2:$A$821,0)),"")</f>
        <v/>
      </c>
      <c r="Y162" s="195">
        <f t="shared" si="13"/>
        <v>0.62242283653844865</v>
      </c>
      <c r="Z162" s="195" t="str">
        <f t="shared" si="13"/>
        <v/>
      </c>
      <c r="AA162" s="195">
        <f t="shared" si="20"/>
        <v>0.63888201154109758</v>
      </c>
      <c r="AB162" s="195">
        <f t="shared" si="21"/>
        <v>0.41883951350437754</v>
      </c>
      <c r="AC162" s="195" t="str">
        <f t="shared" si="14"/>
        <v/>
      </c>
      <c r="AD162">
        <f t="shared" si="15"/>
        <v>52</v>
      </c>
      <c r="AE162" s="195">
        <f t="shared" si="22"/>
        <v>0.24123276539062044</v>
      </c>
      <c r="AF162" s="195" t="str">
        <f t="shared" si="23"/>
        <v/>
      </c>
      <c r="AG162" s="255" t="str">
        <f>IF(ISNUMBER(SEARCH("C",'WetLitterbags placem_collection'!AD89)),"YES","NO")</f>
        <v>NO</v>
      </c>
      <c r="AH162" s="255" t="str">
        <f>IF(ISNUMBER(SEARCH("H", 'WetLitterbags placem_collection'!AD89)),"YES","NO")</f>
        <v>NO</v>
      </c>
      <c r="AI162" s="255" t="str">
        <f>IF(ISNUMBER(SEARCH("R", 'WetLitterbags placem_collection'!AD89)),"YES","NO")</f>
        <v>NO</v>
      </c>
      <c r="AJ162" s="255" t="str">
        <f>IF(ISNUMBER(SEARCH("C", 'WetLitterbags placem_collection'!AC89)),"YES","NO")</f>
        <v>NO</v>
      </c>
      <c r="AK162" s="255" t="str">
        <f>IF(ISNUMBER(SEARCH("H", 'WetLitterbags placem_collection'!AC89)),"YES","NO")</f>
        <v>NO</v>
      </c>
      <c r="AL162" s="255" t="str">
        <f>IF(ISNUMBER(SEARCH("R", 'WetLitterbags placem_collection'!AC89)),"YES","NO")</f>
        <v>NO</v>
      </c>
    </row>
    <row r="163" spans="2:38">
      <c r="B163" t="str">
        <f>'Final data_for_R_analysis_Wetse'!A89</f>
        <v>Wet</v>
      </c>
      <c r="C163" s="263">
        <f>'Final data_for_R_analysis_Wetse'!B89</f>
        <v>88</v>
      </c>
      <c r="D163" t="s">
        <v>3839</v>
      </c>
      <c r="E163" t="s">
        <v>22</v>
      </c>
      <c r="F163" s="387">
        <v>8</v>
      </c>
      <c r="G163" s="16">
        <f>'WetLitterbags placem_collection'!E90</f>
        <v>42767</v>
      </c>
      <c r="H163" t="str">
        <f>'Final data_for_R_analysis_Wetse'!J89</f>
        <v>G569</v>
      </c>
      <c r="I163" t="str">
        <f>'Final data_for_R_analysis_Wetse'!J309</f>
        <v>R385</v>
      </c>
      <c r="J163">
        <f>IFERROR(INDEX('Green_rooibos initial weight'!$C$5:$C$1749,MATCH(H163, 'Green_rooibos initial weight'!$A$5:$A$1749,0)),"")</f>
        <v>1.9950000000000001</v>
      </c>
      <c r="K163">
        <f>IFERROR(INDEX('Green_rooibos initial weight'!$C$5:$C$1749,MATCH(I163, 'Green_rooibos initial weight'!$A$5:$A$1749,0)),"")</f>
        <v>2.2559999999999998</v>
      </c>
      <c r="L163" s="195">
        <f t="shared" si="16"/>
        <v>1.7452000000000001</v>
      </c>
      <c r="M163" s="195">
        <f>AVERAGE(Ashed_controlls!$K$2:$K$11)</f>
        <v>5.5147656768714146</v>
      </c>
      <c r="N163" s="195">
        <f t="shared" si="12"/>
        <v>1.6489563094072401</v>
      </c>
      <c r="O163" s="195">
        <f t="shared" si="17"/>
        <v>2.0061999999999998</v>
      </c>
      <c r="P163" s="195">
        <f>AVERAGE(Ashed_controlls!$K$12:$K$14)</f>
        <v>2.2816647271287041</v>
      </c>
      <c r="Q163" s="195">
        <f t="shared" si="18"/>
        <v>1.9604252422443438</v>
      </c>
      <c r="R163" s="16">
        <f>IF('WetLitterbags placem_collection'!G90="N.A","",'WetLitterbags placem_collection'!G90)</f>
        <v>0</v>
      </c>
      <c r="S163" s="195" t="str">
        <f>IF(IFERROR(INDEX('Both teabags AfterWet'!$C$3:$C$841,MATCH(H163,'Both teabags AfterWet'!$A$3:$A$841,0)),"")="N.A","",(IFERROR(INDEX('Both teabags AfterWet'!$C$3:$C$841,MATCH(H163,'Both teabags AfterWet'!$A$3:$A$841,0)),"")))</f>
        <v/>
      </c>
      <c r="T163" s="195" t="str">
        <f>IFERROR(INDEX('Both teabags AfterWet'!$C$3:$C$841,MATCH(I163,'Both teabags AfterWet'!$A$3:$A$841,0)),"")</f>
        <v/>
      </c>
      <c r="U163" s="195" t="str">
        <f t="shared" si="19"/>
        <v/>
      </c>
      <c r="V163" s="195" t="str">
        <f t="shared" si="19"/>
        <v/>
      </c>
      <c r="W163" s="195" t="str">
        <f>IFERROR(INDEX('Ashed teabags wet'!$K$2:$K$821,MATCH(H163,'Ashed teabags wet'!$A$2:$A$821,0)),"")</f>
        <v/>
      </c>
      <c r="X163" s="195" t="str">
        <f>IFERROR(INDEX('Ashed teabags wet'!$K$2:$K$821,MATCH(I163,'Ashed teabags wet'!$A$2:$A$821,0)),"")</f>
        <v/>
      </c>
      <c r="Y163" s="195" t="str">
        <f t="shared" si="13"/>
        <v/>
      </c>
      <c r="Z163" s="195" t="str">
        <f t="shared" si="13"/>
        <v/>
      </c>
      <c r="AA163" s="195" t="str">
        <f t="shared" si="20"/>
        <v/>
      </c>
      <c r="AB163" s="195" t="str">
        <f t="shared" si="21"/>
        <v/>
      </c>
      <c r="AC163" s="195" t="str">
        <f t="shared" si="14"/>
        <v/>
      </c>
      <c r="AD163" t="str">
        <f t="shared" si="15"/>
        <v/>
      </c>
      <c r="AE163" s="195" t="str">
        <f t="shared" si="22"/>
        <v/>
      </c>
      <c r="AF163" s="195" t="str">
        <f t="shared" si="23"/>
        <v/>
      </c>
      <c r="AG163" s="255" t="str">
        <f>IF(ISNUMBER(SEARCH("C",'WetLitterbags placem_collection'!AD90)),"YES","NO")</f>
        <v>NO</v>
      </c>
      <c r="AH163" s="255" t="str">
        <f>IF(ISNUMBER(SEARCH("H", 'WetLitterbags placem_collection'!AD90)),"YES","NO")</f>
        <v>NO</v>
      </c>
      <c r="AI163" s="255" t="str">
        <f>IF(ISNUMBER(SEARCH("R", 'WetLitterbags placem_collection'!AD90)),"YES","NO")</f>
        <v>NO</v>
      </c>
      <c r="AJ163" s="255" t="str">
        <f>IF(ISNUMBER(SEARCH("C", 'WetLitterbags placem_collection'!AC90)),"YES","NO")</f>
        <v>NO</v>
      </c>
      <c r="AK163" s="255" t="str">
        <f>IF(ISNUMBER(SEARCH("H", 'WetLitterbags placem_collection'!AC90)),"YES","NO")</f>
        <v>NO</v>
      </c>
      <c r="AL163" s="255" t="str">
        <f>IF(ISNUMBER(SEARCH("R", 'WetLitterbags placem_collection'!AC90)),"YES","NO")</f>
        <v>NO</v>
      </c>
    </row>
    <row r="164" spans="2:38">
      <c r="B164" t="str">
        <f>'Final data_for_R_analysis_Wetse'!A90</f>
        <v>Wet</v>
      </c>
      <c r="C164" s="263">
        <f>'Final data_for_R_analysis_Wetse'!B90</f>
        <v>89</v>
      </c>
      <c r="D164" t="s">
        <v>3840</v>
      </c>
      <c r="E164" t="s">
        <v>22</v>
      </c>
      <c r="F164" s="386">
        <v>1</v>
      </c>
      <c r="G164" s="16">
        <f>'WetLitterbags placem_collection'!E91</f>
        <v>42767</v>
      </c>
      <c r="H164" t="str">
        <f>'Final data_for_R_analysis_Wetse'!J90</f>
        <v>G339</v>
      </c>
      <c r="I164" t="str">
        <f>'Final data_for_R_analysis_Wetse'!J310</f>
        <v>R196</v>
      </c>
      <c r="J164">
        <f>IFERROR(INDEX('Green_rooibos initial weight'!$C$5:$C$1749,MATCH(H164, 'Green_rooibos initial weight'!$A$5:$A$1749,0)),"")</f>
        <v>2.0219999999999998</v>
      </c>
      <c r="K164">
        <f>IFERROR(INDEX('Green_rooibos initial weight'!$C$5:$C$1749,MATCH(I164, 'Green_rooibos initial weight'!$A$5:$A$1749,0)),"")</f>
        <v>2.242</v>
      </c>
      <c r="L164" s="195">
        <f t="shared" si="16"/>
        <v>1.7721999999999998</v>
      </c>
      <c r="M164" s="195">
        <f>AVERAGE(Ashed_controlls!$K$2:$K$11)</f>
        <v>5.5147656768714146</v>
      </c>
      <c r="N164" s="195">
        <f t="shared" si="12"/>
        <v>1.6744673226744846</v>
      </c>
      <c r="O164" s="195">
        <f t="shared" si="17"/>
        <v>1.9922</v>
      </c>
      <c r="P164" s="195">
        <f>AVERAGE(Ashed_controlls!$K$12:$K$14)</f>
        <v>2.2816647271287041</v>
      </c>
      <c r="Q164" s="195">
        <f t="shared" si="18"/>
        <v>1.9467446753061419</v>
      </c>
      <c r="R164" s="16">
        <f>IF('WetLitterbags placem_collection'!G91="N.A","",'WetLitterbags placem_collection'!G91)</f>
        <v>42819</v>
      </c>
      <c r="S164" s="195" t="str">
        <f>IF(IFERROR(INDEX('Both teabags AfterWet'!$C$3:$C$841,MATCH(H164,'Both teabags AfterWet'!$A$3:$A$841,0)),"")="N.A","",(IFERROR(INDEX('Both teabags AfterWet'!$C$3:$C$841,MATCH(H164,'Both teabags AfterWet'!$A$3:$A$841,0)),"")))</f>
        <v/>
      </c>
      <c r="T164" s="195">
        <f>IFERROR(INDEX('Both teabags AfterWet'!$C$3:$C$841,MATCH(I164,'Both teabags AfterWet'!$A$3:$A$841,0)),"")</f>
        <v>0.17399999999999999</v>
      </c>
      <c r="U164" s="195" t="str">
        <f t="shared" si="19"/>
        <v/>
      </c>
      <c r="V164" s="195">
        <f t="shared" si="19"/>
        <v>2.3399999999999976E-2</v>
      </c>
      <c r="W164" s="195" t="str">
        <f>IFERROR(INDEX('Ashed teabags wet'!$K$2:$K$821,MATCH(H164,'Ashed teabags wet'!$A$2:$A$821,0)),"")</f>
        <v/>
      </c>
      <c r="X164" s="195" t="str">
        <f>IFERROR(INDEX('Ashed teabags wet'!$K$2:$K$821,MATCH(I164,'Ashed teabags wet'!$A$2:$A$821,0)),"")</f>
        <v/>
      </c>
      <c r="Y164" s="195" t="str">
        <f t="shared" si="13"/>
        <v/>
      </c>
      <c r="Z164" s="195" t="str">
        <f t="shared" si="13"/>
        <v/>
      </c>
      <c r="AA164" s="195" t="str">
        <f t="shared" si="20"/>
        <v/>
      </c>
      <c r="AB164" s="195" t="str">
        <f t="shared" si="21"/>
        <v/>
      </c>
      <c r="AC164" s="195" t="str">
        <f t="shared" si="14"/>
        <v/>
      </c>
      <c r="AD164">
        <f t="shared" si="15"/>
        <v>52</v>
      </c>
      <c r="AE164" s="195" t="str">
        <f t="shared" si="22"/>
        <v/>
      </c>
      <c r="AF164" s="195" t="str">
        <f t="shared" si="23"/>
        <v/>
      </c>
      <c r="AG164" s="255" t="str">
        <f>IF(ISNUMBER(SEARCH("C",'WetLitterbags placem_collection'!AD91)),"YES","NO")</f>
        <v>NO</v>
      </c>
      <c r="AH164" s="255" t="str">
        <f>IF(ISNUMBER(SEARCH("H", 'WetLitterbags placem_collection'!AD91)),"YES","NO")</f>
        <v>NO</v>
      </c>
      <c r="AI164" s="255" t="str">
        <f>IF(ISNUMBER(SEARCH("R", 'WetLitterbags placem_collection'!AD91)),"YES","NO")</f>
        <v>NO</v>
      </c>
      <c r="AJ164" s="255" t="str">
        <f>IF(ISNUMBER(SEARCH("C", 'WetLitterbags placem_collection'!AC91)),"YES","NO")</f>
        <v>NO</v>
      </c>
      <c r="AK164" s="255" t="str">
        <f>IF(ISNUMBER(SEARCH("H", 'WetLitterbags placem_collection'!AC91)),"YES","NO")</f>
        <v>NO</v>
      </c>
      <c r="AL164" s="255" t="str">
        <f>IF(ISNUMBER(SEARCH("R", 'WetLitterbags placem_collection'!AC91)),"YES","NO")</f>
        <v>NO</v>
      </c>
    </row>
    <row r="165" spans="2:38">
      <c r="B165" t="str">
        <f>'Final data_for_R_analysis_Wetse'!A91</f>
        <v>Wet</v>
      </c>
      <c r="C165" s="263">
        <f>'Final data_for_R_analysis_Wetse'!B91</f>
        <v>90</v>
      </c>
      <c r="D165" t="s">
        <v>3840</v>
      </c>
      <c r="E165" t="s">
        <v>22</v>
      </c>
      <c r="F165" s="386">
        <v>2</v>
      </c>
      <c r="G165" s="16">
        <f>'WetLitterbags placem_collection'!E92</f>
        <v>42767</v>
      </c>
      <c r="H165" t="str">
        <f>'Final data_for_R_analysis_Wetse'!J91</f>
        <v>G592</v>
      </c>
      <c r="I165" t="str">
        <f>'Final data_for_R_analysis_Wetse'!J311</f>
        <v>R94</v>
      </c>
      <c r="J165">
        <f>IFERROR(INDEX('Green_rooibos initial weight'!$C$5:$C$1749,MATCH(H165, 'Green_rooibos initial weight'!$A$5:$A$1749,0)),"")</f>
        <v>2.0699999999999998</v>
      </c>
      <c r="K165">
        <f>IFERROR(INDEX('Green_rooibos initial weight'!$C$5:$C$1749,MATCH(I165, 'Green_rooibos initial weight'!$A$5:$A$1749,0)),"")</f>
        <v>2.2770000000000001</v>
      </c>
      <c r="L165" s="195">
        <f t="shared" si="16"/>
        <v>1.8201999999999998</v>
      </c>
      <c r="M165" s="195">
        <f>AVERAGE(Ashed_controlls!$K$2:$K$11)</f>
        <v>5.5147656768714146</v>
      </c>
      <c r="N165" s="195">
        <f t="shared" si="12"/>
        <v>1.7198202351495864</v>
      </c>
      <c r="O165" s="195">
        <f t="shared" si="17"/>
        <v>2.0272000000000001</v>
      </c>
      <c r="P165" s="195">
        <f>AVERAGE(Ashed_controlls!$K$12:$K$14)</f>
        <v>2.2816647271287041</v>
      </c>
      <c r="Q165" s="195">
        <f t="shared" si="18"/>
        <v>1.9809460926516471</v>
      </c>
      <c r="R165" s="16">
        <f>IF('WetLitterbags placem_collection'!G92="N.A","",'WetLitterbags placem_collection'!G92)</f>
        <v>42819</v>
      </c>
      <c r="S165" s="195">
        <f>IF(IFERROR(INDEX('Both teabags AfterWet'!$C$3:$C$841,MATCH(H165,'Both teabags AfterWet'!$A$3:$A$841,0)),"")="N.A","",(IFERROR(INDEX('Both teabags AfterWet'!$C$3:$C$841,MATCH(H165,'Both teabags AfterWet'!$A$3:$A$841,0)),"")))</f>
        <v>1.0779000000000001</v>
      </c>
      <c r="T165" s="195">
        <f>IFERROR(INDEX('Both teabags AfterWet'!$C$3:$C$841,MATCH(I165,'Both teabags AfterWet'!$A$3:$A$841,0)),"")</f>
        <v>1.7455000000000001</v>
      </c>
      <c r="U165" s="195">
        <f t="shared" si="19"/>
        <v>0.92730000000000001</v>
      </c>
      <c r="V165" s="195">
        <f t="shared" si="19"/>
        <v>1.5949</v>
      </c>
      <c r="W165" s="195">
        <f>IFERROR(INDEX('Ashed teabags wet'!$K$2:$K$821,MATCH(H165,'Ashed teabags wet'!$A$2:$A$821,0)),"")</f>
        <v>33.166583291646958</v>
      </c>
      <c r="X165" s="195">
        <f>IFERROR(INDEX('Ashed teabags wet'!$K$2:$K$821,MATCH(I165,'Ashed teabags wet'!$A$2:$A$821,0)),"")</f>
        <v>4.0694789081900105</v>
      </c>
      <c r="Y165" s="195">
        <f t="shared" si="13"/>
        <v>0.61974627313655772</v>
      </c>
      <c r="Z165" s="195">
        <f t="shared" si="13"/>
        <v>1.5299958808932774</v>
      </c>
      <c r="AA165" s="195">
        <f t="shared" si="20"/>
        <v>0.63964473700784574</v>
      </c>
      <c r="AB165" s="195">
        <f t="shared" si="21"/>
        <v>0.41933954255146183</v>
      </c>
      <c r="AC165" s="195">
        <f t="shared" si="14"/>
        <v>0.77235614162789334</v>
      </c>
      <c r="AD165">
        <f t="shared" si="15"/>
        <v>52</v>
      </c>
      <c r="AE165" s="195">
        <f t="shared" si="22"/>
        <v>0.24032691566764164</v>
      </c>
      <c r="AF165" s="195">
        <f t="shared" si="23"/>
        <v>1.505330422020452E-2</v>
      </c>
      <c r="AG165" s="255" t="str">
        <f>IF(ISNUMBER(SEARCH("C",'WetLitterbags placem_collection'!AD92)),"YES","NO")</f>
        <v>NO</v>
      </c>
      <c r="AH165" s="255" t="str">
        <f>IF(ISNUMBER(SEARCH("H", 'WetLitterbags placem_collection'!AD92)),"YES","NO")</f>
        <v>NO</v>
      </c>
      <c r="AI165" s="255" t="str">
        <f>IF(ISNUMBER(SEARCH("R", 'WetLitterbags placem_collection'!AD92)),"YES","NO")</f>
        <v>NO</v>
      </c>
      <c r="AJ165" s="255" t="str">
        <f>IF(ISNUMBER(SEARCH("C", 'WetLitterbags placem_collection'!AC92)),"YES","NO")</f>
        <v>NO</v>
      </c>
      <c r="AK165" s="255" t="str">
        <f>IF(ISNUMBER(SEARCH("H", 'WetLitterbags placem_collection'!AC92)),"YES","NO")</f>
        <v>NO</v>
      </c>
      <c r="AL165" s="255" t="str">
        <f>IF(ISNUMBER(SEARCH("R", 'WetLitterbags placem_collection'!AC92)),"YES","NO")</f>
        <v>NO</v>
      </c>
    </row>
    <row r="166" spans="2:38">
      <c r="B166" t="str">
        <f>'Final data_for_R_analysis_Wetse'!A92</f>
        <v>Wet</v>
      </c>
      <c r="C166" s="263">
        <f>'Final data_for_R_analysis_Wetse'!B92</f>
        <v>91</v>
      </c>
      <c r="D166" t="s">
        <v>3840</v>
      </c>
      <c r="E166" t="s">
        <v>22</v>
      </c>
      <c r="F166" s="386">
        <v>3</v>
      </c>
      <c r="G166" s="16">
        <f>'WetLitterbags placem_collection'!E93</f>
        <v>42767</v>
      </c>
      <c r="H166" t="str">
        <f>'Final data_for_R_analysis_Wetse'!J92</f>
        <v>G472</v>
      </c>
      <c r="I166" t="str">
        <f>'Final data_for_R_analysis_Wetse'!J312</f>
        <v>R343</v>
      </c>
      <c r="J166">
        <f>IFERROR(INDEX('Green_rooibos initial weight'!$C$5:$C$1749,MATCH(H166, 'Green_rooibos initial weight'!$A$5:$A$1749,0)),"")</f>
        <v>1.9710000000000001</v>
      </c>
      <c r="K166">
        <f>IFERROR(INDEX('Green_rooibos initial weight'!$C$5:$C$1749,MATCH(I166, 'Green_rooibos initial weight'!$A$5:$A$1749,0)),"")</f>
        <v>2.2429999999999999</v>
      </c>
      <c r="L166" s="195">
        <f t="shared" si="16"/>
        <v>1.7212000000000001</v>
      </c>
      <c r="M166" s="195">
        <f>AVERAGE(Ashed_controlls!$K$2:$K$11)</f>
        <v>5.5147656768714146</v>
      </c>
      <c r="N166" s="195">
        <f t="shared" si="12"/>
        <v>1.6262798531696894</v>
      </c>
      <c r="O166" s="195">
        <f t="shared" si="17"/>
        <v>1.9931999999999999</v>
      </c>
      <c r="P166" s="195">
        <f>AVERAGE(Ashed_controlls!$K$12:$K$14)</f>
        <v>2.2816647271287041</v>
      </c>
      <c r="Q166" s="195">
        <f t="shared" si="18"/>
        <v>1.9477218586588705</v>
      </c>
      <c r="R166" s="16">
        <f>IF('WetLitterbags placem_collection'!G93="N.A","",'WetLitterbags placem_collection'!G93)</f>
        <v>42819</v>
      </c>
      <c r="S166" s="195">
        <f>IF(IFERROR(INDEX('Both teabags AfterWet'!$C$3:$C$841,MATCH(H166,'Both teabags AfterWet'!$A$3:$A$841,0)),"")="N.A","",(IFERROR(INDEX('Both teabags AfterWet'!$C$3:$C$841,MATCH(H166,'Both teabags AfterWet'!$A$3:$A$841,0)),"")))</f>
        <v>0.76100000000000001</v>
      </c>
      <c r="T166" s="195">
        <f>IFERROR(INDEX('Both teabags AfterWet'!$C$3:$C$841,MATCH(I166,'Both teabags AfterWet'!$A$3:$A$841,0)),"")</f>
        <v>0.16200000000000001</v>
      </c>
      <c r="U166" s="195">
        <f t="shared" si="19"/>
        <v>0.61040000000000005</v>
      </c>
      <c r="V166" s="195">
        <f t="shared" si="19"/>
        <v>1.1399999999999993E-2</v>
      </c>
      <c r="W166" s="195">
        <f>IFERROR(INDEX('Ashed teabags wet'!$K$2:$K$821,MATCH(H166,'Ashed teabags wet'!$A$2:$A$821,0)),"")</f>
        <v>13.069604406610589</v>
      </c>
      <c r="X166" s="195">
        <f>IFERROR(INDEX('Ashed teabags wet'!$K$2:$K$821,MATCH(I166,'Ashed teabags wet'!$A$2:$A$821,0)),"")</f>
        <v>83.97683397683403</v>
      </c>
      <c r="Y166" s="195">
        <f t="shared" si="13"/>
        <v>0.53062313470204903</v>
      </c>
      <c r="Z166" s="195">
        <f t="shared" si="13"/>
        <v>1.8266409266409194E-3</v>
      </c>
      <c r="AA166" s="195">
        <f t="shared" si="20"/>
        <v>0.67371966536519423</v>
      </c>
      <c r="AB166" s="195">
        <f t="shared" si="21"/>
        <v>0.44167845045319154</v>
      </c>
      <c r="AC166" s="195">
        <f t="shared" si="14"/>
        <v>9.378345878906329E-4</v>
      </c>
      <c r="AD166">
        <f t="shared" si="15"/>
        <v>52</v>
      </c>
      <c r="AE166" s="195">
        <f t="shared" si="22"/>
        <v>0.19985787961378354</v>
      </c>
      <c r="AF166" s="195" t="str">
        <f t="shared" si="23"/>
        <v/>
      </c>
      <c r="AG166" s="255" t="str">
        <f>IF(ISNUMBER(SEARCH("C",'WetLitterbags placem_collection'!AD93)),"YES","NO")</f>
        <v>NO</v>
      </c>
      <c r="AH166" s="255" t="str">
        <f>IF(ISNUMBER(SEARCH("H", 'WetLitterbags placem_collection'!AD93)),"YES","NO")</f>
        <v>NO</v>
      </c>
      <c r="AI166" s="255" t="str">
        <f>IF(ISNUMBER(SEARCH("R", 'WetLitterbags placem_collection'!AD93)),"YES","NO")</f>
        <v>NO</v>
      </c>
      <c r="AJ166" s="255" t="str">
        <f>IF(ISNUMBER(SEARCH("C", 'WetLitterbags placem_collection'!AC93)),"YES","NO")</f>
        <v>NO</v>
      </c>
      <c r="AK166" s="255" t="str">
        <f>IF(ISNUMBER(SEARCH("H", 'WetLitterbags placem_collection'!AC93)),"YES","NO")</f>
        <v>NO</v>
      </c>
      <c r="AL166" s="255" t="str">
        <f>IF(ISNUMBER(SEARCH("R", 'WetLitterbags placem_collection'!AC93)),"YES","NO")</f>
        <v>NO</v>
      </c>
    </row>
    <row r="167" spans="2:38">
      <c r="B167" t="str">
        <f>'Final data_for_R_analysis_Wetse'!A93</f>
        <v>Wet</v>
      </c>
      <c r="C167" s="263">
        <f>'Final data_for_R_analysis_Wetse'!B93</f>
        <v>92</v>
      </c>
      <c r="D167" t="s">
        <v>3840</v>
      </c>
      <c r="E167" t="s">
        <v>22</v>
      </c>
      <c r="F167" s="387">
        <v>4</v>
      </c>
      <c r="G167" s="16">
        <f>'WetLitterbags placem_collection'!E94</f>
        <v>42767</v>
      </c>
      <c r="H167" t="str">
        <f>'Final data_for_R_analysis_Wetse'!J93</f>
        <v>G529</v>
      </c>
      <c r="I167" t="str">
        <f>'Final data_for_R_analysis_Wetse'!J313</f>
        <v>R445</v>
      </c>
      <c r="J167">
        <f>IFERROR(INDEX('Green_rooibos initial weight'!$C$5:$C$1749,MATCH(H167, 'Green_rooibos initial weight'!$A$5:$A$1749,0)),"")</f>
        <v>2.089</v>
      </c>
      <c r="K167">
        <f>IFERROR(INDEX('Green_rooibos initial weight'!$C$5:$C$1749,MATCH(I167, 'Green_rooibos initial weight'!$A$5:$A$1749,0)),"")</f>
        <v>2.2389999999999999</v>
      </c>
      <c r="L167" s="195">
        <f t="shared" si="16"/>
        <v>1.8391999999999999</v>
      </c>
      <c r="M167" s="195">
        <f>AVERAGE(Ashed_controlls!$K$2:$K$11)</f>
        <v>5.5147656768714146</v>
      </c>
      <c r="N167" s="195">
        <f t="shared" si="12"/>
        <v>1.7377724296709809</v>
      </c>
      <c r="O167" s="195">
        <f t="shared" si="17"/>
        <v>1.9891999999999999</v>
      </c>
      <c r="P167" s="195">
        <f>AVERAGE(Ashed_controlls!$K$12:$K$14)</f>
        <v>2.2816647271287041</v>
      </c>
      <c r="Q167" s="195">
        <f t="shared" si="18"/>
        <v>1.9438131252479556</v>
      </c>
      <c r="R167" s="16">
        <f>IF('WetLitterbags placem_collection'!G94="N.A","",'WetLitterbags placem_collection'!G94)</f>
        <v>42819</v>
      </c>
      <c r="S167" s="195">
        <f>IF(IFERROR(INDEX('Both teabags AfterWet'!$C$3:$C$841,MATCH(H167,'Both teabags AfterWet'!$A$3:$A$841,0)),"")="N.A","",(IFERROR(INDEX('Both teabags AfterWet'!$C$3:$C$841,MATCH(H167,'Both teabags AfterWet'!$A$3:$A$841,0)),"")))</f>
        <v>0.76500000000000001</v>
      </c>
      <c r="T167" s="195">
        <f>IFERROR(INDEX('Both teabags AfterWet'!$C$3:$C$841,MATCH(I167,'Both teabags AfterWet'!$A$3:$A$841,0)),"")</f>
        <v>0.31</v>
      </c>
      <c r="U167" s="195">
        <f t="shared" si="19"/>
        <v>0.61440000000000006</v>
      </c>
      <c r="V167" s="195">
        <f t="shared" si="19"/>
        <v>0.15939999999999999</v>
      </c>
      <c r="W167" s="195">
        <f>IFERROR(INDEX('Ashed teabags wet'!$K$2:$K$821,MATCH(H167,'Ashed teabags wet'!$A$2:$A$821,0)),"")</f>
        <v>11.868446139180241</v>
      </c>
      <c r="X167" s="195" t="str">
        <f>IFERROR(INDEX('Ashed teabags wet'!$K$2:$K$821,MATCH(I167,'Ashed teabags wet'!$A$2:$A$821,0)),"")</f>
        <v/>
      </c>
      <c r="Y167" s="195">
        <f t="shared" si="13"/>
        <v>0.5414802669208767</v>
      </c>
      <c r="Z167" s="195" t="str">
        <f t="shared" si="13"/>
        <v/>
      </c>
      <c r="AA167" s="195">
        <f t="shared" si="20"/>
        <v>0.68840553706828156</v>
      </c>
      <c r="AB167" s="195">
        <f t="shared" si="21"/>
        <v>0.4513062428286122</v>
      </c>
      <c r="AC167" s="195" t="str">
        <f t="shared" si="14"/>
        <v/>
      </c>
      <c r="AD167">
        <f t="shared" si="15"/>
        <v>52</v>
      </c>
      <c r="AE167" s="195">
        <f t="shared" si="22"/>
        <v>0.18241622675976055</v>
      </c>
      <c r="AF167" s="195" t="str">
        <f t="shared" si="23"/>
        <v/>
      </c>
      <c r="AG167" s="255" t="str">
        <f>IF(ISNUMBER(SEARCH("C",'WetLitterbags placem_collection'!AD94)),"YES","NO")</f>
        <v>NO</v>
      </c>
      <c r="AH167" s="255" t="str">
        <f>IF(ISNUMBER(SEARCH("H", 'WetLitterbags placem_collection'!AD94)),"YES","NO")</f>
        <v>NO</v>
      </c>
      <c r="AI167" s="255" t="str">
        <f>IF(ISNUMBER(SEARCH("R", 'WetLitterbags placem_collection'!AD94)),"YES","NO")</f>
        <v>NO</v>
      </c>
      <c r="AJ167" s="255" t="str">
        <f>IF(ISNUMBER(SEARCH("C", 'WetLitterbags placem_collection'!AC94)),"YES","NO")</f>
        <v>NO</v>
      </c>
      <c r="AK167" s="255" t="str">
        <f>IF(ISNUMBER(SEARCH("H", 'WetLitterbags placem_collection'!AC94)),"YES","NO")</f>
        <v>NO</v>
      </c>
      <c r="AL167" s="255" t="str">
        <f>IF(ISNUMBER(SEARCH("R", 'WetLitterbags placem_collection'!AC94)),"YES","NO")</f>
        <v>NO</v>
      </c>
    </row>
    <row r="168" spans="2:38">
      <c r="B168" t="str">
        <f>'Final data_for_R_analysis_Wetse'!A94</f>
        <v>Wet</v>
      </c>
      <c r="C168" s="263">
        <f>'Final data_for_R_analysis_Wetse'!B94</f>
        <v>93</v>
      </c>
      <c r="D168" t="s">
        <v>3840</v>
      </c>
      <c r="E168" t="s">
        <v>22</v>
      </c>
      <c r="F168" s="387">
        <v>5</v>
      </c>
      <c r="G168" s="16">
        <f>'WetLitterbags placem_collection'!E95</f>
        <v>42767</v>
      </c>
      <c r="H168" t="str">
        <f>'Final data_for_R_analysis_Wetse'!J94</f>
        <v>G636</v>
      </c>
      <c r="I168" t="str">
        <f>'Final data_for_R_analysis_Wetse'!J314</f>
        <v>R12</v>
      </c>
      <c r="J168">
        <f>IFERROR(INDEX('Green_rooibos initial weight'!$C$5:$C$1749,MATCH(H168, 'Green_rooibos initial weight'!$A$5:$A$1749,0)),"")</f>
        <v>2.133</v>
      </c>
      <c r="K168">
        <f>IFERROR(INDEX('Green_rooibos initial weight'!$C$5:$C$1749,MATCH(I168, 'Green_rooibos initial weight'!$A$5:$A$1749,0)),"")</f>
        <v>2.1709999999999998</v>
      </c>
      <c r="L168" s="195">
        <f t="shared" si="16"/>
        <v>1.8832</v>
      </c>
      <c r="M168" s="195">
        <f>AVERAGE(Ashed_controlls!$K$2:$K$11)</f>
        <v>5.5147656768714146</v>
      </c>
      <c r="N168" s="195">
        <f t="shared" si="12"/>
        <v>1.7793459327731576</v>
      </c>
      <c r="O168" s="195">
        <f t="shared" si="17"/>
        <v>1.9211999999999998</v>
      </c>
      <c r="P168" s="195">
        <f>AVERAGE(Ashed_controlls!$K$12:$K$14)</f>
        <v>2.2816647271287041</v>
      </c>
      <c r="Q168" s="195">
        <f t="shared" si="18"/>
        <v>1.8773646572624032</v>
      </c>
      <c r="R168" s="16">
        <f>IF('WetLitterbags placem_collection'!G95="N.A","",'WetLitterbags placem_collection'!G95)</f>
        <v>42819</v>
      </c>
      <c r="S168" s="195">
        <f>IF(IFERROR(INDEX('Both teabags AfterWet'!$C$3:$C$841,MATCH(H168,'Both teabags AfterWet'!$A$3:$A$841,0)),"")="N.A","",(IFERROR(INDEX('Both teabags AfterWet'!$C$3:$C$841,MATCH(H168,'Both teabags AfterWet'!$A$3:$A$841,0)),"")))</f>
        <v>0.79630000000000001</v>
      </c>
      <c r="T168" s="195">
        <f>IFERROR(INDEX('Both teabags AfterWet'!$C$3:$C$841,MATCH(I168,'Both teabags AfterWet'!$A$3:$A$841,0)),"")</f>
        <v>0.17</v>
      </c>
      <c r="U168" s="195">
        <f t="shared" si="19"/>
        <v>0.64569999999999994</v>
      </c>
      <c r="V168" s="195">
        <f t="shared" si="19"/>
        <v>1.9400000000000001E-2</v>
      </c>
      <c r="W168" s="195">
        <f>IFERROR(INDEX('Ashed teabags wet'!$K$2:$K$821,MATCH(H168,'Ashed teabags wet'!$A$2:$A$821,0)),"")</f>
        <v>13.477619281849297</v>
      </c>
      <c r="X168" s="195" t="str">
        <f>IFERROR(INDEX('Ashed teabags wet'!$K$2:$K$821,MATCH(I168,'Ashed teabags wet'!$A$2:$A$821,0)),"")</f>
        <v/>
      </c>
      <c r="Y168" s="195">
        <f t="shared" si="13"/>
        <v>0.55867501229709904</v>
      </c>
      <c r="Z168" s="195" t="str">
        <f t="shared" si="13"/>
        <v/>
      </c>
      <c r="AA168" s="195">
        <f t="shared" si="20"/>
        <v>0.68602226132251343</v>
      </c>
      <c r="AB168" s="195">
        <f t="shared" si="21"/>
        <v>0.44974381027319177</v>
      </c>
      <c r="AC168" s="195" t="str">
        <f t="shared" si="14"/>
        <v/>
      </c>
      <c r="AD168">
        <f t="shared" si="15"/>
        <v>52</v>
      </c>
      <c r="AE168" s="195">
        <f t="shared" si="22"/>
        <v>0.18524672051958024</v>
      </c>
      <c r="AF168" s="195" t="str">
        <f t="shared" si="23"/>
        <v/>
      </c>
      <c r="AG168" s="255" t="str">
        <f>IF(ISNUMBER(SEARCH("C",'WetLitterbags placem_collection'!AD95)),"YES","NO")</f>
        <v>NO</v>
      </c>
      <c r="AH168" s="255" t="str">
        <f>IF(ISNUMBER(SEARCH("H", 'WetLitterbags placem_collection'!AD95)),"YES","NO")</f>
        <v>NO</v>
      </c>
      <c r="AI168" s="255" t="str">
        <f>IF(ISNUMBER(SEARCH("R", 'WetLitterbags placem_collection'!AD95)),"YES","NO")</f>
        <v>NO</v>
      </c>
      <c r="AJ168" s="255" t="str">
        <f>IF(ISNUMBER(SEARCH("C", 'WetLitterbags placem_collection'!AC95)),"YES","NO")</f>
        <v>NO</v>
      </c>
      <c r="AK168" s="255" t="str">
        <f>IF(ISNUMBER(SEARCH("H", 'WetLitterbags placem_collection'!AC95)),"YES","NO")</f>
        <v>NO</v>
      </c>
      <c r="AL168" s="255" t="str">
        <f>IF(ISNUMBER(SEARCH("R", 'WetLitterbags placem_collection'!AC95)),"YES","NO")</f>
        <v>NO</v>
      </c>
    </row>
    <row r="169" spans="2:38">
      <c r="B169" t="str">
        <f>'Final data_for_R_analysis_Wetse'!A95</f>
        <v>Wet</v>
      </c>
      <c r="C169" s="263">
        <f>'Final data_for_R_analysis_Wetse'!B95</f>
        <v>94</v>
      </c>
      <c r="D169" t="s">
        <v>3840</v>
      </c>
      <c r="E169" t="s">
        <v>22</v>
      </c>
      <c r="F169" s="387">
        <v>6</v>
      </c>
      <c r="G169" s="16">
        <f>'WetLitterbags placem_collection'!E96</f>
        <v>42767</v>
      </c>
      <c r="H169" t="str">
        <f>'Final data_for_R_analysis_Wetse'!J95</f>
        <v>G534</v>
      </c>
      <c r="I169" t="str">
        <f>'Final data_for_R_analysis_Wetse'!J315</f>
        <v>R244</v>
      </c>
      <c r="J169">
        <f>IFERROR(INDEX('Green_rooibos initial weight'!$C$5:$C$1749,MATCH(H169, 'Green_rooibos initial weight'!$A$5:$A$1749,0)),"")</f>
        <v>2.169</v>
      </c>
      <c r="K169">
        <f>IFERROR(INDEX('Green_rooibos initial weight'!$C$5:$C$1749,MATCH(I169, 'Green_rooibos initial weight'!$A$5:$A$1749,0)),"")</f>
        <v>2.2490000000000001</v>
      </c>
      <c r="L169" s="195">
        <f t="shared" si="16"/>
        <v>1.9192</v>
      </c>
      <c r="M169" s="195">
        <f>AVERAGE(Ashed_controlls!$K$2:$K$11)</f>
        <v>5.5147656768714146</v>
      </c>
      <c r="N169" s="195">
        <f t="shared" si="12"/>
        <v>1.8133606171294838</v>
      </c>
      <c r="O169" s="195">
        <f t="shared" si="17"/>
        <v>1.9992000000000001</v>
      </c>
      <c r="P169" s="195">
        <f>AVERAGE(Ashed_controlls!$K$12:$K$14)</f>
        <v>2.2816647271287041</v>
      </c>
      <c r="Q169" s="195">
        <f t="shared" si="18"/>
        <v>1.953584958775243</v>
      </c>
      <c r="R169" s="16">
        <f>IF('WetLitterbags placem_collection'!G96="N.A","",'WetLitterbags placem_collection'!G96)</f>
        <v>0</v>
      </c>
      <c r="S169" s="195" t="str">
        <f>IF(IFERROR(INDEX('Both teabags AfterWet'!$C$3:$C$841,MATCH(H169,'Both teabags AfterWet'!$A$3:$A$841,0)),"")="N.A","",(IFERROR(INDEX('Both teabags AfterWet'!$C$3:$C$841,MATCH(H169,'Both teabags AfterWet'!$A$3:$A$841,0)),"")))</f>
        <v/>
      </c>
      <c r="T169" s="195" t="str">
        <f>IFERROR(INDEX('Both teabags AfterWet'!$C$3:$C$841,MATCH(I169,'Both teabags AfterWet'!$A$3:$A$841,0)),"")</f>
        <v/>
      </c>
      <c r="U169" s="195" t="str">
        <f t="shared" si="19"/>
        <v/>
      </c>
      <c r="V169" s="195" t="str">
        <f t="shared" si="19"/>
        <v/>
      </c>
      <c r="W169" s="195" t="str">
        <f>IFERROR(INDEX('Ashed teabags wet'!$K$2:$K$821,MATCH(H169,'Ashed teabags wet'!$A$2:$A$821,0)),"")</f>
        <v/>
      </c>
      <c r="X169" s="195" t="str">
        <f>IFERROR(INDEX('Ashed teabags wet'!$K$2:$K$821,MATCH(I169,'Ashed teabags wet'!$A$2:$A$821,0)),"")</f>
        <v/>
      </c>
      <c r="Y169" s="195" t="str">
        <f t="shared" si="13"/>
        <v/>
      </c>
      <c r="Z169" s="195" t="str">
        <f t="shared" si="13"/>
        <v/>
      </c>
      <c r="AA169" s="195" t="str">
        <f t="shared" si="20"/>
        <v/>
      </c>
      <c r="AB169" s="195" t="str">
        <f t="shared" si="21"/>
        <v/>
      </c>
      <c r="AC169" s="195" t="str">
        <f t="shared" si="14"/>
        <v/>
      </c>
      <c r="AD169" t="str">
        <f t="shared" si="15"/>
        <v/>
      </c>
      <c r="AE169" s="195" t="str">
        <f t="shared" si="22"/>
        <v/>
      </c>
      <c r="AF169" s="195" t="str">
        <f t="shared" si="23"/>
        <v/>
      </c>
      <c r="AG169" s="255" t="str">
        <f>IF(ISNUMBER(SEARCH("C",'WetLitterbags placem_collection'!AD96)),"YES","NO")</f>
        <v>NO</v>
      </c>
      <c r="AH169" s="255" t="str">
        <f>IF(ISNUMBER(SEARCH("H", 'WetLitterbags placem_collection'!AD96)),"YES","NO")</f>
        <v>NO</v>
      </c>
      <c r="AI169" s="255" t="str">
        <f>IF(ISNUMBER(SEARCH("R", 'WetLitterbags placem_collection'!AD96)),"YES","NO")</f>
        <v>NO</v>
      </c>
      <c r="AJ169" s="255" t="str">
        <f>IF(ISNUMBER(SEARCH("C", 'WetLitterbags placem_collection'!AC96)),"YES","NO")</f>
        <v>NO</v>
      </c>
      <c r="AK169" s="255" t="str">
        <f>IF(ISNUMBER(SEARCH("H", 'WetLitterbags placem_collection'!AC96)),"YES","NO")</f>
        <v>NO</v>
      </c>
      <c r="AL169" s="255" t="str">
        <f>IF(ISNUMBER(SEARCH("R", 'WetLitterbags placem_collection'!AC96)),"YES","NO")</f>
        <v>NO</v>
      </c>
    </row>
    <row r="170" spans="2:38">
      <c r="B170" t="str">
        <f>'Final data_for_R_analysis_Wetse'!A96</f>
        <v>Wet</v>
      </c>
      <c r="C170" s="263">
        <f>'Final data_for_R_analysis_Wetse'!B96</f>
        <v>95</v>
      </c>
      <c r="D170" t="s">
        <v>3840</v>
      </c>
      <c r="E170" t="s">
        <v>22</v>
      </c>
      <c r="F170" s="387">
        <v>7</v>
      </c>
      <c r="G170" s="16">
        <f>'WetLitterbags placem_collection'!E97</f>
        <v>42767</v>
      </c>
      <c r="H170" t="str">
        <f>'Final data_for_R_analysis_Wetse'!J96</f>
        <v>G641</v>
      </c>
      <c r="I170" t="str">
        <f>'Final data_for_R_analysis_Wetse'!J316</f>
        <v>R360</v>
      </c>
      <c r="J170">
        <f>IFERROR(INDEX('Green_rooibos initial weight'!$C$5:$C$1749,MATCH(H170, 'Green_rooibos initial weight'!$A$5:$A$1749,0)),"")</f>
        <v>2.14</v>
      </c>
      <c r="K170">
        <f>IFERROR(INDEX('Green_rooibos initial weight'!$C$5:$C$1749,MATCH(I170, 'Green_rooibos initial weight'!$A$5:$A$1749,0)),"")</f>
        <v>2.206</v>
      </c>
      <c r="L170" s="195">
        <f t="shared" si="16"/>
        <v>1.8902000000000001</v>
      </c>
      <c r="M170" s="195">
        <f>AVERAGE(Ashed_controlls!$K$2:$K$11)</f>
        <v>5.5147656768714146</v>
      </c>
      <c r="N170" s="195">
        <f t="shared" si="12"/>
        <v>1.7859598991757766</v>
      </c>
      <c r="O170" s="195">
        <f t="shared" si="17"/>
        <v>1.9561999999999999</v>
      </c>
      <c r="P170" s="195">
        <f>AVERAGE(Ashed_controlls!$K$12:$K$14)</f>
        <v>2.2816647271287041</v>
      </c>
      <c r="Q170" s="195">
        <f t="shared" si="18"/>
        <v>1.9115660746079082</v>
      </c>
      <c r="R170" s="16">
        <f>IF('WetLitterbags placem_collection'!G97="N.A","",'WetLitterbags placem_collection'!G97)</f>
        <v>42819</v>
      </c>
      <c r="S170" s="195">
        <f>IF(IFERROR(INDEX('Both teabags AfterWet'!$C$3:$C$841,MATCH(H170,'Both teabags AfterWet'!$A$3:$A$841,0)),"")="N.A","",(IFERROR(INDEX('Both teabags AfterWet'!$C$3:$C$841,MATCH(H170,'Both teabags AfterWet'!$A$3:$A$841,0)),"")))</f>
        <v>1.254</v>
      </c>
      <c r="T170" s="195">
        <f>IFERROR(INDEX('Both teabags AfterWet'!$C$3:$C$841,MATCH(I170,'Both teabags AfterWet'!$A$3:$A$841,0)),"")</f>
        <v>0.45800000000000002</v>
      </c>
      <c r="U170" s="195">
        <f t="shared" si="19"/>
        <v>1.1033999999999999</v>
      </c>
      <c r="V170" s="195">
        <f t="shared" si="19"/>
        <v>0.30740000000000001</v>
      </c>
      <c r="W170" s="195">
        <f>IFERROR(INDEX('Ashed teabags wet'!$K$2:$K$821,MATCH(H170,'Ashed teabags wet'!$A$2:$A$821,0)),"")</f>
        <v>33.235294117646788</v>
      </c>
      <c r="X170" s="195">
        <f>IFERROR(INDEX('Ashed teabags wet'!$K$2:$K$821,MATCH(I170,'Ashed teabags wet'!$A$2:$A$821,0)),"")</f>
        <v>89.327146171693883</v>
      </c>
      <c r="Y170" s="195">
        <f t="shared" si="13"/>
        <v>0.73668176470588531</v>
      </c>
      <c r="Z170" s="195">
        <f t="shared" si="13"/>
        <v>3.2808352668213026E-2</v>
      </c>
      <c r="AA170" s="195">
        <f t="shared" si="20"/>
        <v>0.58751494641852531</v>
      </c>
      <c r="AB170" s="195">
        <f t="shared" si="21"/>
        <v>0.38516419290145604</v>
      </c>
      <c r="AC170" s="195">
        <f t="shared" si="14"/>
        <v>1.716307539876304E-2</v>
      </c>
      <c r="AD170">
        <f t="shared" si="15"/>
        <v>52</v>
      </c>
      <c r="AE170" s="195">
        <f t="shared" si="22"/>
        <v>0.30223878097562318</v>
      </c>
      <c r="AF170" s="195" t="str">
        <f t="shared" si="23"/>
        <v/>
      </c>
      <c r="AG170" s="255" t="str">
        <f>IF(ISNUMBER(SEARCH("C",'WetLitterbags placem_collection'!AD97)),"YES","NO")</f>
        <v>NO</v>
      </c>
      <c r="AH170" s="255" t="str">
        <f>IF(ISNUMBER(SEARCH("H", 'WetLitterbags placem_collection'!AD97)),"YES","NO")</f>
        <v>NO</v>
      </c>
      <c r="AI170" s="255" t="str">
        <f>IF(ISNUMBER(SEARCH("R", 'WetLitterbags placem_collection'!AD97)),"YES","NO")</f>
        <v>NO</v>
      </c>
      <c r="AJ170" s="255" t="str">
        <f>IF(ISNUMBER(SEARCH("C", 'WetLitterbags placem_collection'!AC97)),"YES","NO")</f>
        <v>NO</v>
      </c>
      <c r="AK170" s="255" t="str">
        <f>IF(ISNUMBER(SEARCH("H", 'WetLitterbags placem_collection'!AC97)),"YES","NO")</f>
        <v>NO</v>
      </c>
      <c r="AL170" s="255" t="str">
        <f>IF(ISNUMBER(SEARCH("R", 'WetLitterbags placem_collection'!AC97)),"YES","NO")</f>
        <v>NO</v>
      </c>
    </row>
    <row r="171" spans="2:38">
      <c r="B171" t="str">
        <f>'Final data_for_R_analysis_Wetse'!A97</f>
        <v>Wet</v>
      </c>
      <c r="C171" s="263">
        <f>'Final data_for_R_analysis_Wetse'!B97</f>
        <v>96</v>
      </c>
      <c r="D171" t="s">
        <v>3840</v>
      </c>
      <c r="E171" t="s">
        <v>22</v>
      </c>
      <c r="F171" s="387">
        <v>8</v>
      </c>
      <c r="G171" s="16">
        <f>'WetLitterbags placem_collection'!E98</f>
        <v>42767</v>
      </c>
      <c r="H171" t="str">
        <f>'Final data_for_R_analysis_Wetse'!J97</f>
        <v>G479</v>
      </c>
      <c r="I171" t="str">
        <f>'Final data_for_R_analysis_Wetse'!J317</f>
        <v>R318</v>
      </c>
      <c r="J171">
        <f>IFERROR(INDEX('Green_rooibos initial weight'!$C$5:$C$1749,MATCH(H171, 'Green_rooibos initial weight'!$A$5:$A$1749,0)),"")</f>
        <v>1.982</v>
      </c>
      <c r="K171">
        <f>IFERROR(INDEX('Green_rooibos initial weight'!$C$5:$C$1749,MATCH(I171, 'Green_rooibos initial weight'!$A$5:$A$1749,0)),"")</f>
        <v>2.23</v>
      </c>
      <c r="L171" s="195">
        <f t="shared" si="16"/>
        <v>1.7322</v>
      </c>
      <c r="M171" s="195">
        <f>AVERAGE(Ashed_controlls!$K$2:$K$11)</f>
        <v>5.5147656768714146</v>
      </c>
      <c r="N171" s="195">
        <f t="shared" si="12"/>
        <v>1.6366732289452333</v>
      </c>
      <c r="O171" s="195">
        <f t="shared" si="17"/>
        <v>1.9802</v>
      </c>
      <c r="P171" s="195">
        <f>AVERAGE(Ashed_controlls!$K$12:$K$14)</f>
        <v>2.2816647271287041</v>
      </c>
      <c r="Q171" s="195">
        <f t="shared" si="18"/>
        <v>1.9350184750733974</v>
      </c>
      <c r="R171" s="16">
        <f>IF('WetLitterbags placem_collection'!G98="N.A","",'WetLitterbags placem_collection'!G98)</f>
        <v>42819</v>
      </c>
      <c r="S171" s="195">
        <f>IF(IFERROR(INDEX('Both teabags AfterWet'!$C$3:$C$841,MATCH(H171,'Both teabags AfterWet'!$A$3:$A$841,0)),"")="N.A","",(IFERROR(INDEX('Both teabags AfterWet'!$C$3:$C$841,MATCH(H171,'Both teabags AfterWet'!$A$3:$A$841,0)),"")))</f>
        <v>0.90410000000000001</v>
      </c>
      <c r="T171" s="195">
        <f>IFERROR(INDEX('Both teabags AfterWet'!$C$3:$C$841,MATCH(I171,'Both teabags AfterWet'!$A$3:$A$841,0)),"")</f>
        <v>1.748</v>
      </c>
      <c r="U171" s="195">
        <f t="shared" si="19"/>
        <v>0.75350000000000006</v>
      </c>
      <c r="V171" s="195">
        <f t="shared" si="19"/>
        <v>1.5973999999999999</v>
      </c>
      <c r="W171" s="195">
        <f>IFERROR(INDEX('Ashed teabags wet'!$K$2:$K$821,MATCH(H171,'Ashed teabags wet'!$A$2:$A$821,0)),"")</f>
        <v>16.839506172838583</v>
      </c>
      <c r="X171" s="195">
        <f>IFERROR(INDEX('Ashed teabags wet'!$K$2:$K$821,MATCH(I171,'Ashed teabags wet'!$A$2:$A$821,0)),"")</f>
        <v>11.127670144063339</v>
      </c>
      <c r="Y171" s="195">
        <f t="shared" si="13"/>
        <v>0.62661432098766134</v>
      </c>
      <c r="Z171" s="195">
        <f t="shared" si="13"/>
        <v>1.4196465971187322</v>
      </c>
      <c r="AA171" s="195">
        <f t="shared" si="20"/>
        <v>0.61714146116296664</v>
      </c>
      <c r="AB171" s="195">
        <f t="shared" si="21"/>
        <v>0.40458680114246748</v>
      </c>
      <c r="AC171" s="195">
        <f t="shared" si="14"/>
        <v>0.73366048717694199</v>
      </c>
      <c r="AD171">
        <f t="shared" si="15"/>
        <v>52</v>
      </c>
      <c r="AE171" s="195">
        <f t="shared" si="22"/>
        <v>0.26705289648103725</v>
      </c>
      <c r="AF171" s="195">
        <f t="shared" si="23"/>
        <v>2.0650428390897542E-2</v>
      </c>
      <c r="AG171" s="255" t="str">
        <f>IF(ISNUMBER(SEARCH("C",'WetLitterbags placem_collection'!AD98)),"YES","NO")</f>
        <v>NO</v>
      </c>
      <c r="AH171" s="255" t="str">
        <f>IF(ISNUMBER(SEARCH("H", 'WetLitterbags placem_collection'!AD98)),"YES","NO")</f>
        <v>NO</v>
      </c>
      <c r="AI171" s="255" t="str">
        <f>IF(ISNUMBER(SEARCH("R", 'WetLitterbags placem_collection'!AD98)),"YES","NO")</f>
        <v>NO</v>
      </c>
      <c r="AJ171" s="255" t="str">
        <f>IF(ISNUMBER(SEARCH("C", 'WetLitterbags placem_collection'!AC98)),"YES","NO")</f>
        <v>NO</v>
      </c>
      <c r="AK171" s="255" t="str">
        <f>IF(ISNUMBER(SEARCH("H", 'WetLitterbags placem_collection'!AC98)),"YES","NO")</f>
        <v>NO</v>
      </c>
      <c r="AL171" s="255" t="str">
        <f>IF(ISNUMBER(SEARCH("R", 'WetLitterbags placem_collection'!AC98)),"YES","NO")</f>
        <v>NO</v>
      </c>
    </row>
    <row r="172" spans="2:38">
      <c r="B172" t="str">
        <f>'Final data_for_R_analysis_Wetse'!A98</f>
        <v>Wet</v>
      </c>
      <c r="C172" s="263">
        <f>'Final data_for_R_analysis_Wetse'!B98</f>
        <v>97</v>
      </c>
      <c r="D172" t="s">
        <v>3841</v>
      </c>
      <c r="E172" t="s">
        <v>22</v>
      </c>
      <c r="F172" s="386">
        <v>1</v>
      </c>
      <c r="G172" s="16">
        <f>'WetLitterbags placem_collection'!E99</f>
        <v>42762</v>
      </c>
      <c r="H172" t="str">
        <f>'Final data_for_R_analysis_Wetse'!J98</f>
        <v>G741</v>
      </c>
      <c r="I172" t="str">
        <f>'Final data_for_R_analysis_Wetse'!J318</f>
        <v>R518</v>
      </c>
      <c r="J172">
        <f>IFERROR(INDEX('Green_rooibos initial weight'!$C$5:$C$1749,MATCH(H172, 'Green_rooibos initial weight'!$A$5:$A$1749,0)),"")</f>
        <v>2.1019999999999999</v>
      </c>
      <c r="K172">
        <f>IFERROR(INDEX('Green_rooibos initial weight'!$C$5:$C$1749,MATCH(I172, 'Green_rooibos initial weight'!$A$5:$A$1749,0)),"")</f>
        <v>2.198</v>
      </c>
      <c r="L172" s="195">
        <f t="shared" si="16"/>
        <v>1.8521999999999998</v>
      </c>
      <c r="M172" s="195">
        <f>AVERAGE(Ashed_controlls!$K$2:$K$11)</f>
        <v>5.5147656768714146</v>
      </c>
      <c r="N172" s="195">
        <f t="shared" si="12"/>
        <v>1.7500555101329875</v>
      </c>
      <c r="O172" s="195">
        <f t="shared" si="17"/>
        <v>1.9481999999999999</v>
      </c>
      <c r="P172" s="195">
        <f>AVERAGE(Ashed_controlls!$K$12:$K$14)</f>
        <v>2.2816647271287041</v>
      </c>
      <c r="Q172" s="195">
        <f t="shared" si="18"/>
        <v>1.9037486077860786</v>
      </c>
      <c r="R172" s="16">
        <f>IF('WetLitterbags placem_collection'!G99="N.A","",'WetLitterbags placem_collection'!G99)</f>
        <v>42816</v>
      </c>
      <c r="S172" s="195">
        <f>IF(IFERROR(INDEX('Both teabags AfterWet'!$C$3:$C$841,MATCH(H172,'Both teabags AfterWet'!$A$3:$A$841,0)),"")="N.A","",(IFERROR(INDEX('Both teabags AfterWet'!$C$3:$C$841,MATCH(H172,'Both teabags AfterWet'!$A$3:$A$841,0)),"")))</f>
        <v>0.60680000000000001</v>
      </c>
      <c r="T172" s="195">
        <f>IFERROR(INDEX('Both teabags AfterWet'!$C$3:$C$841,MATCH(I172,'Both teabags AfterWet'!$A$3:$A$841,0)),"")</f>
        <v>0</v>
      </c>
      <c r="U172" s="195">
        <f t="shared" si="19"/>
        <v>0.45619999999999999</v>
      </c>
      <c r="V172" s="195" t="str">
        <f t="shared" si="19"/>
        <v/>
      </c>
      <c r="W172" s="195">
        <f>IFERROR(INDEX('Ashed teabags wet'!$K$2:$K$821,MATCH(H172,'Ashed teabags wet'!$A$2:$A$821,0)),"")</f>
        <v>20.517928286852939</v>
      </c>
      <c r="X172" s="195" t="str">
        <f>IFERROR(INDEX('Ashed teabags wet'!$K$2:$K$821,MATCH(I172,'Ashed teabags wet'!$A$2:$A$821,0)),"")</f>
        <v/>
      </c>
      <c r="Y172" s="195">
        <f t="shared" si="13"/>
        <v>0.36259721115537691</v>
      </c>
      <c r="Z172" s="195" t="str">
        <f t="shared" si="13"/>
        <v/>
      </c>
      <c r="AA172" s="195">
        <f t="shared" si="20"/>
        <v>0.79280816576622593</v>
      </c>
      <c r="AB172" s="195">
        <f t="shared" si="21"/>
        <v>0.51975072149994861</v>
      </c>
      <c r="AC172" s="195" t="str">
        <f t="shared" si="14"/>
        <v/>
      </c>
      <c r="AD172">
        <f t="shared" si="15"/>
        <v>54</v>
      </c>
      <c r="AE172" s="195">
        <f t="shared" si="22"/>
        <v>5.8422605978354025E-2</v>
      </c>
      <c r="AF172" s="195" t="str">
        <f t="shared" si="23"/>
        <v/>
      </c>
      <c r="AG172" s="255" t="str">
        <f>IF(ISNUMBER(SEARCH("C",'WetLitterbags placem_collection'!AD99)),"YES","NO")</f>
        <v>NO</v>
      </c>
      <c r="AH172" s="255" t="str">
        <f>IF(ISNUMBER(SEARCH("H", 'WetLitterbags placem_collection'!AD99)),"YES","NO")</f>
        <v>NO</v>
      </c>
      <c r="AI172" s="255" t="str">
        <f>IF(ISNUMBER(SEARCH("R", 'WetLitterbags placem_collection'!AD99)),"YES","NO")</f>
        <v>NO</v>
      </c>
      <c r="AJ172" s="255" t="str">
        <f>IF(ISNUMBER(SEARCH("C", 'WetLitterbags placem_collection'!AC99)),"YES","NO")</f>
        <v>NO</v>
      </c>
      <c r="AK172" s="255" t="str">
        <f>IF(ISNUMBER(SEARCH("H", 'WetLitterbags placem_collection'!AC99)),"YES","NO")</f>
        <v>NO</v>
      </c>
      <c r="AL172" s="255" t="str">
        <f>IF(ISNUMBER(SEARCH("R", 'WetLitterbags placem_collection'!AC99)),"YES","NO")</f>
        <v>NO</v>
      </c>
    </row>
    <row r="173" spans="2:38">
      <c r="B173" t="str">
        <f>'Final data_for_R_analysis_Wetse'!A99</f>
        <v>Wet</v>
      </c>
      <c r="C173" s="263">
        <f>'Final data_for_R_analysis_Wetse'!B99</f>
        <v>98</v>
      </c>
      <c r="D173" t="s">
        <v>3841</v>
      </c>
      <c r="E173" t="s">
        <v>22</v>
      </c>
      <c r="F173" s="386">
        <v>2</v>
      </c>
      <c r="G173" s="16">
        <f>'WetLitterbags placem_collection'!E100</f>
        <v>42762</v>
      </c>
      <c r="H173" t="str">
        <f>'Final data_for_R_analysis_Wetse'!J99</f>
        <v>G610</v>
      </c>
      <c r="I173" t="str">
        <f>'Final data_for_R_analysis_Wetse'!J319</f>
        <v>R489</v>
      </c>
      <c r="J173">
        <f>IFERROR(INDEX('Green_rooibos initial weight'!$C$5:$C$1749,MATCH(H173, 'Green_rooibos initial weight'!$A$5:$A$1749,0)),"")</f>
        <v>2.0379999999999998</v>
      </c>
      <c r="K173">
        <f>IFERROR(INDEX('Green_rooibos initial weight'!$C$5:$C$1749,MATCH(I173, 'Green_rooibos initial weight'!$A$5:$A$1749,0)),"")</f>
        <v>2.157</v>
      </c>
      <c r="L173" s="195">
        <f t="shared" si="16"/>
        <v>1.7881999999999998</v>
      </c>
      <c r="M173" s="195">
        <f>AVERAGE(Ashed_controlls!$K$2:$K$11)</f>
        <v>5.5147656768714146</v>
      </c>
      <c r="N173" s="195">
        <f t="shared" si="12"/>
        <v>1.6895849601661852</v>
      </c>
      <c r="O173" s="195">
        <f t="shared" si="17"/>
        <v>1.9072</v>
      </c>
      <c r="P173" s="195">
        <f>AVERAGE(Ashed_controlls!$K$12:$K$14)</f>
        <v>2.2816647271287041</v>
      </c>
      <c r="Q173" s="195">
        <f t="shared" si="18"/>
        <v>1.8636840903242013</v>
      </c>
      <c r="R173" s="16">
        <f>IF('WetLitterbags placem_collection'!G100="N.A","",'WetLitterbags placem_collection'!G100)</f>
        <v>42816</v>
      </c>
      <c r="S173" s="195">
        <f>IF(IFERROR(INDEX('Both teabags AfterWet'!$C$3:$C$841,MATCH(H173,'Both teabags AfterWet'!$A$3:$A$841,0)),"")="N.A","",(IFERROR(INDEX('Both teabags AfterWet'!$C$3:$C$841,MATCH(H173,'Both teabags AfterWet'!$A$3:$A$841,0)),"")))</f>
        <v>0.56599999999999995</v>
      </c>
      <c r="T173" s="195">
        <f>IFERROR(INDEX('Both teabags AfterWet'!$C$3:$C$841,MATCH(I173,'Both teabags AfterWet'!$A$3:$A$841,0)),"")</f>
        <v>1.5389999999999999</v>
      </c>
      <c r="U173" s="195">
        <f t="shared" si="19"/>
        <v>0.41539999999999994</v>
      </c>
      <c r="V173" s="195">
        <f t="shared" si="19"/>
        <v>1.3883999999999999</v>
      </c>
      <c r="W173" s="195">
        <f>IFERROR(INDEX('Ashed teabags wet'!$K$2:$K$821,MATCH(H173,'Ashed teabags wet'!$A$2:$A$821,0)),"")</f>
        <v>14.682539682539385</v>
      </c>
      <c r="X173" s="195">
        <f>IFERROR(INDEX('Ashed teabags wet'!$K$2:$K$821,MATCH(I173,'Ashed teabags wet'!$A$2:$A$821,0)),"")</f>
        <v>12.679544328875947</v>
      </c>
      <c r="Y173" s="195">
        <f t="shared" si="13"/>
        <v>0.35440873015873131</v>
      </c>
      <c r="Z173" s="195">
        <f t="shared" si="13"/>
        <v>1.2123572065378863</v>
      </c>
      <c r="AA173" s="195">
        <f t="shared" si="20"/>
        <v>0.79023917795535292</v>
      </c>
      <c r="AB173" s="195">
        <f t="shared" si="21"/>
        <v>0.5180665394671673</v>
      </c>
      <c r="AC173" s="195">
        <f t="shared" si="14"/>
        <v>0.65051647585132732</v>
      </c>
      <c r="AD173">
        <f t="shared" si="15"/>
        <v>54</v>
      </c>
      <c r="AE173" s="195">
        <f t="shared" si="22"/>
        <v>6.1473660385566564E-2</v>
      </c>
      <c r="AF173" s="195">
        <f t="shared" si="23"/>
        <v>2.0790284955504456E-2</v>
      </c>
      <c r="AG173" s="255" t="str">
        <f>IF(ISNUMBER(SEARCH("C",'WetLitterbags placem_collection'!AD100)),"YES","NO")</f>
        <v>NO</v>
      </c>
      <c r="AH173" s="255" t="str">
        <f>IF(ISNUMBER(SEARCH("H", 'WetLitterbags placem_collection'!AD100)),"YES","NO")</f>
        <v>NO</v>
      </c>
      <c r="AI173" s="255" t="str">
        <f>IF(ISNUMBER(SEARCH("R", 'WetLitterbags placem_collection'!AD100)),"YES","NO")</f>
        <v>NO</v>
      </c>
      <c r="AJ173" s="255" t="str">
        <f>IF(ISNUMBER(SEARCH("C", 'WetLitterbags placem_collection'!AC100)),"YES","NO")</f>
        <v>NO</v>
      </c>
      <c r="AK173" s="255" t="str">
        <f>IF(ISNUMBER(SEARCH("H", 'WetLitterbags placem_collection'!AC100)),"YES","NO")</f>
        <v>NO</v>
      </c>
      <c r="AL173" s="255" t="str">
        <f>IF(ISNUMBER(SEARCH("R", 'WetLitterbags placem_collection'!AC100)),"YES","NO")</f>
        <v>NO</v>
      </c>
    </row>
    <row r="174" spans="2:38">
      <c r="B174" t="str">
        <f>'Final data_for_R_analysis_Wetse'!A100</f>
        <v>Wet</v>
      </c>
      <c r="C174" s="263">
        <f>'Final data_for_R_analysis_Wetse'!B100</f>
        <v>99</v>
      </c>
      <c r="D174" t="s">
        <v>3841</v>
      </c>
      <c r="E174" t="s">
        <v>22</v>
      </c>
      <c r="F174" s="386">
        <v>3</v>
      </c>
      <c r="G174" s="16">
        <f>'WetLitterbags placem_collection'!E101</f>
        <v>42762</v>
      </c>
      <c r="H174" t="str">
        <f>'Final data_for_R_analysis_Wetse'!J100</f>
        <v>G765</v>
      </c>
      <c r="I174" t="str">
        <f>'Final data_for_R_analysis_Wetse'!J320</f>
        <v>R549</v>
      </c>
      <c r="J174">
        <f>IFERROR(INDEX('Green_rooibos initial weight'!$C$5:$C$1749,MATCH(H174, 'Green_rooibos initial weight'!$A$5:$A$1749,0)),"")</f>
        <v>2.08</v>
      </c>
      <c r="K174">
        <f>IFERROR(INDEX('Green_rooibos initial weight'!$C$5:$C$1749,MATCH(I174, 'Green_rooibos initial weight'!$A$5:$A$1749,0)),"")</f>
        <v>2.2320000000000002</v>
      </c>
      <c r="L174" s="195">
        <f t="shared" si="16"/>
        <v>1.8302</v>
      </c>
      <c r="M174" s="195">
        <f>AVERAGE(Ashed_controlls!$K$2:$K$11)</f>
        <v>5.5147656768714146</v>
      </c>
      <c r="N174" s="195">
        <f t="shared" si="12"/>
        <v>1.7292687585818993</v>
      </c>
      <c r="O174" s="195">
        <f t="shared" si="17"/>
        <v>1.9822000000000002</v>
      </c>
      <c r="P174" s="195">
        <f>AVERAGE(Ashed_controlls!$K$12:$K$14)</f>
        <v>2.2816647271287041</v>
      </c>
      <c r="Q174" s="195">
        <f t="shared" si="18"/>
        <v>1.936972841778855</v>
      </c>
      <c r="R174" s="16">
        <f>IF('WetLitterbags placem_collection'!G101="N.A","",'WetLitterbags placem_collection'!G101)</f>
        <v>42816</v>
      </c>
      <c r="S174" s="195">
        <f>IF(IFERROR(INDEX('Both teabags AfterWet'!$C$3:$C$841,MATCH(H174,'Both teabags AfterWet'!$A$3:$A$841,0)),"")="N.A","",(IFERROR(INDEX('Both teabags AfterWet'!$C$3:$C$841,MATCH(H174,'Both teabags AfterWet'!$A$3:$A$841,0)),"")))</f>
        <v>0.65149999999999997</v>
      </c>
      <c r="T174" s="195">
        <f>IFERROR(INDEX('Both teabags AfterWet'!$C$3:$C$841,MATCH(I174,'Both teabags AfterWet'!$A$3:$A$841,0)),"")</f>
        <v>1.5992</v>
      </c>
      <c r="U174" s="195">
        <f t="shared" si="19"/>
        <v>0.5008999999999999</v>
      </c>
      <c r="V174" s="195">
        <f t="shared" si="19"/>
        <v>1.4485999999999999</v>
      </c>
      <c r="W174" s="195">
        <f>IFERROR(INDEX('Ashed teabags wet'!$K$2:$K$821,MATCH(H174,'Ashed teabags wet'!$A$2:$A$821,0)),"")</f>
        <v>16.733295259852824</v>
      </c>
      <c r="X174" s="195">
        <f>IFERROR(INDEX('Ashed teabags wet'!$K$2:$K$821,MATCH(I174,'Ashed teabags wet'!$A$2:$A$821,0)),"")</f>
        <v>3.4003831417629944</v>
      </c>
      <c r="Y174" s="195">
        <f t="shared" si="13"/>
        <v>0.41708292404339714</v>
      </c>
      <c r="Z174" s="195">
        <f t="shared" si="13"/>
        <v>1.3993420498084213</v>
      </c>
      <c r="AA174" s="195">
        <f t="shared" si="20"/>
        <v>0.75880965756564678</v>
      </c>
      <c r="AB174" s="195">
        <f t="shared" si="21"/>
        <v>0.49746191327344069</v>
      </c>
      <c r="AC174" s="195">
        <f t="shared" si="14"/>
        <v>0.72243761999435652</v>
      </c>
      <c r="AD174">
        <f t="shared" si="15"/>
        <v>54</v>
      </c>
      <c r="AE174" s="195">
        <f t="shared" si="22"/>
        <v>9.8800881751013314E-2</v>
      </c>
      <c r="AF174" s="195">
        <f t="shared" si="23"/>
        <v>1.5117559673149818E-2</v>
      </c>
      <c r="AG174" s="255" t="str">
        <f>IF(ISNUMBER(SEARCH("C",'WetLitterbags placem_collection'!AD101)),"YES","NO")</f>
        <v>NO</v>
      </c>
      <c r="AH174" s="255" t="str">
        <f>IF(ISNUMBER(SEARCH("H", 'WetLitterbags placem_collection'!AD101)),"YES","NO")</f>
        <v>NO</v>
      </c>
      <c r="AI174" s="255" t="str">
        <f>IF(ISNUMBER(SEARCH("R", 'WetLitterbags placem_collection'!AD101)),"YES","NO")</f>
        <v>NO</v>
      </c>
      <c r="AJ174" s="255" t="str">
        <f>IF(ISNUMBER(SEARCH("C", 'WetLitterbags placem_collection'!AC101)),"YES","NO")</f>
        <v>NO</v>
      </c>
      <c r="AK174" s="255" t="str">
        <f>IF(ISNUMBER(SEARCH("H", 'WetLitterbags placem_collection'!AC101)),"YES","NO")</f>
        <v>NO</v>
      </c>
      <c r="AL174" s="255" t="str">
        <f>IF(ISNUMBER(SEARCH("R", 'WetLitterbags placem_collection'!AC101)),"YES","NO")</f>
        <v>NO</v>
      </c>
    </row>
    <row r="175" spans="2:38">
      <c r="B175" t="str">
        <f>'Final data_for_R_analysis_Wetse'!A101</f>
        <v>Wet</v>
      </c>
      <c r="C175" s="263">
        <f>'Final data_for_R_analysis_Wetse'!B101</f>
        <v>100</v>
      </c>
      <c r="D175" t="s">
        <v>3841</v>
      </c>
      <c r="E175" t="s">
        <v>22</v>
      </c>
      <c r="F175" s="387">
        <v>4</v>
      </c>
      <c r="G175" s="16">
        <f>'WetLitterbags placem_collection'!E102</f>
        <v>42762</v>
      </c>
      <c r="H175" t="str">
        <f>'Final data_for_R_analysis_Wetse'!J101</f>
        <v>G728</v>
      </c>
      <c r="I175" t="str">
        <f>'Final data_for_R_analysis_Wetse'!J321</f>
        <v>R500</v>
      </c>
      <c r="J175">
        <f>IFERROR(INDEX('Green_rooibos initial weight'!$C$5:$C$1749,MATCH(H175, 'Green_rooibos initial weight'!$A$5:$A$1749,0)),"")</f>
        <v>1.962</v>
      </c>
      <c r="K175">
        <f>IFERROR(INDEX('Green_rooibos initial weight'!$C$5:$C$1749,MATCH(I175, 'Green_rooibos initial weight'!$A$5:$A$1749,0)),"")</f>
        <v>2.2069999999999999</v>
      </c>
      <c r="L175" s="195">
        <f t="shared" si="16"/>
        <v>1.7121999999999999</v>
      </c>
      <c r="M175" s="195">
        <f>AVERAGE(Ashed_controlls!$K$2:$K$11)</f>
        <v>5.5147656768714146</v>
      </c>
      <c r="N175" s="195">
        <f t="shared" si="12"/>
        <v>1.6177761820806076</v>
      </c>
      <c r="O175" s="195">
        <f t="shared" si="17"/>
        <v>1.9571999999999998</v>
      </c>
      <c r="P175" s="195">
        <f>AVERAGE(Ashed_controlls!$K$12:$K$14)</f>
        <v>2.2816647271287041</v>
      </c>
      <c r="Q175" s="195">
        <f t="shared" si="18"/>
        <v>1.9125432579606367</v>
      </c>
      <c r="R175" s="16">
        <f>IF('WetLitterbags placem_collection'!G102="N.A","",'WetLitterbags placem_collection'!G102)</f>
        <v>42816</v>
      </c>
      <c r="S175" s="195">
        <f>IF(IFERROR(INDEX('Both teabags AfterWet'!$C$3:$C$841,MATCH(H175,'Both teabags AfterWet'!$A$3:$A$841,0)),"")="N.A","",(IFERROR(INDEX('Both teabags AfterWet'!$C$3:$C$841,MATCH(H175,'Both teabags AfterWet'!$A$3:$A$841,0)),"")))</f>
        <v>0.59699999999999998</v>
      </c>
      <c r="T175" s="195">
        <f>IFERROR(INDEX('Both teabags AfterWet'!$C$3:$C$841,MATCH(I175,'Both teabags AfterWet'!$A$3:$A$841,0)),"")</f>
        <v>1.764</v>
      </c>
      <c r="U175" s="195">
        <f t="shared" si="19"/>
        <v>0.44639999999999996</v>
      </c>
      <c r="V175" s="195">
        <f t="shared" si="19"/>
        <v>1.6133999999999999</v>
      </c>
      <c r="W175" s="195">
        <f>IFERROR(INDEX('Ashed teabags wet'!$K$2:$K$821,MATCH(H175,'Ashed teabags wet'!$A$2:$A$821,0)),"")</f>
        <v>12.794117647059169</v>
      </c>
      <c r="X175" s="195">
        <f>IFERROR(INDEX('Ashed teabags wet'!$K$2:$K$821,MATCH(I175,'Ashed teabags wet'!$A$2:$A$821,0)),"")</f>
        <v>22.316525212181858</v>
      </c>
      <c r="Y175" s="195">
        <f t="shared" si="13"/>
        <v>0.38928705882352782</v>
      </c>
      <c r="Z175" s="195">
        <f t="shared" si="13"/>
        <v>1.2533451822266579</v>
      </c>
      <c r="AA175" s="195">
        <f t="shared" si="20"/>
        <v>0.75936902574318454</v>
      </c>
      <c r="AB175" s="195">
        <f t="shared" si="21"/>
        <v>0.49782862495277663</v>
      </c>
      <c r="AC175" s="195">
        <f t="shared" si="14"/>
        <v>0.6553290635439597</v>
      </c>
      <c r="AD175">
        <f t="shared" si="15"/>
        <v>54</v>
      </c>
      <c r="AE175" s="195">
        <f t="shared" si="22"/>
        <v>9.8136548998593143E-2</v>
      </c>
      <c r="AF175" s="195">
        <f t="shared" si="23"/>
        <v>2.1829404755284235E-2</v>
      </c>
      <c r="AG175" s="255" t="str">
        <f>IF(ISNUMBER(SEARCH("C",'WetLitterbags placem_collection'!AD102)),"YES","NO")</f>
        <v>NO</v>
      </c>
      <c r="AH175" s="255" t="str">
        <f>IF(ISNUMBER(SEARCH("H", 'WetLitterbags placem_collection'!AD102)),"YES","NO")</f>
        <v>NO</v>
      </c>
      <c r="AI175" s="255" t="str">
        <f>IF(ISNUMBER(SEARCH("R", 'WetLitterbags placem_collection'!AD102)),"YES","NO")</f>
        <v>NO</v>
      </c>
      <c r="AJ175" s="255" t="str">
        <f>IF(ISNUMBER(SEARCH("C", 'WetLitterbags placem_collection'!AC102)),"YES","NO")</f>
        <v>NO</v>
      </c>
      <c r="AK175" s="255" t="str">
        <f>IF(ISNUMBER(SEARCH("H", 'WetLitterbags placem_collection'!AC102)),"YES","NO")</f>
        <v>NO</v>
      </c>
      <c r="AL175" s="255" t="str">
        <f>IF(ISNUMBER(SEARCH("R", 'WetLitterbags placem_collection'!AC102)),"YES","NO")</f>
        <v>NO</v>
      </c>
    </row>
    <row r="176" spans="2:38">
      <c r="B176" t="str">
        <f>'Final data_for_R_analysis_Wetse'!A102</f>
        <v>Wet</v>
      </c>
      <c r="C176" s="263">
        <f>'Final data_for_R_analysis_Wetse'!B102</f>
        <v>101</v>
      </c>
      <c r="D176" t="s">
        <v>3841</v>
      </c>
      <c r="E176" t="s">
        <v>22</v>
      </c>
      <c r="F176" s="387">
        <v>5</v>
      </c>
      <c r="G176" s="16">
        <f>'WetLitterbags placem_collection'!E103</f>
        <v>42762</v>
      </c>
      <c r="H176" t="str">
        <f>'Final data_for_R_analysis_Wetse'!J102</f>
        <v>G808</v>
      </c>
      <c r="I176" t="str">
        <f>'Final data_for_R_analysis_Wetse'!J322</f>
        <v>R482</v>
      </c>
      <c r="J176">
        <f>IFERROR(INDEX('Green_rooibos initial weight'!$C$5:$C$1749,MATCH(H176, 'Green_rooibos initial weight'!$A$5:$A$1749,0)),"")</f>
        <v>1.86</v>
      </c>
      <c r="K176">
        <f>IFERROR(INDEX('Green_rooibos initial weight'!$C$5:$C$1749,MATCH(I176, 'Green_rooibos initial weight'!$A$5:$A$1749,0)),"")</f>
        <v>2.17</v>
      </c>
      <c r="L176" s="195">
        <f t="shared" si="16"/>
        <v>1.6102000000000001</v>
      </c>
      <c r="M176" s="195">
        <f>AVERAGE(Ashed_controlls!$K$2:$K$11)</f>
        <v>5.5147656768714146</v>
      </c>
      <c r="N176" s="195">
        <f t="shared" si="12"/>
        <v>1.5214012430710167</v>
      </c>
      <c r="O176" s="195">
        <f t="shared" si="17"/>
        <v>1.9201999999999999</v>
      </c>
      <c r="P176" s="195">
        <f>AVERAGE(Ashed_controlls!$K$12:$K$14)</f>
        <v>2.2816647271287041</v>
      </c>
      <c r="Q176" s="195">
        <f t="shared" si="18"/>
        <v>1.8763874739096746</v>
      </c>
      <c r="R176" s="16">
        <f>IF('WetLitterbags placem_collection'!G103="N.A","",'WetLitterbags placem_collection'!G103)</f>
        <v>42816</v>
      </c>
      <c r="S176" s="195">
        <f>IF(IFERROR(INDEX('Both teabags AfterWet'!$C$3:$C$841,MATCH(H176,'Both teabags AfterWet'!$A$3:$A$841,0)),"")="N.A","",(IFERROR(INDEX('Both teabags AfterWet'!$C$3:$C$841,MATCH(H176,'Both teabags AfterWet'!$A$3:$A$841,0)),"")))</f>
        <v>0.54810000000000003</v>
      </c>
      <c r="T176" s="195">
        <f>IFERROR(INDEX('Both teabags AfterWet'!$C$3:$C$841,MATCH(I176,'Both teabags AfterWet'!$A$3:$A$841,0)),"")</f>
        <v>1.6348</v>
      </c>
      <c r="U176" s="195">
        <f t="shared" si="19"/>
        <v>0.39750000000000002</v>
      </c>
      <c r="V176" s="195">
        <f t="shared" si="19"/>
        <v>1.4842</v>
      </c>
      <c r="W176" s="195">
        <f>IFERROR(INDEX('Ashed teabags wet'!$K$2:$K$821,MATCH(H176,'Ashed teabags wet'!$A$2:$A$821,0)),"")</f>
        <v>16.81547619047533</v>
      </c>
      <c r="X176" s="195">
        <f>IFERROR(INDEX('Ashed teabags wet'!$K$2:$K$821,MATCH(I176,'Ashed teabags wet'!$A$2:$A$821,0)),"")</f>
        <v>8.9805825242718385</v>
      </c>
      <c r="Y176" s="195">
        <f t="shared" si="13"/>
        <v>0.33065848214286059</v>
      </c>
      <c r="Z176" s="195">
        <f t="shared" si="13"/>
        <v>1.3509101941747574</v>
      </c>
      <c r="AA176" s="195">
        <f t="shared" si="20"/>
        <v>0.78266188249234525</v>
      </c>
      <c r="AB176" s="195">
        <f t="shared" si="21"/>
        <v>0.51309900134890096</v>
      </c>
      <c r="AC176" s="195">
        <f t="shared" si="14"/>
        <v>0.71995268192660478</v>
      </c>
      <c r="AD176">
        <f t="shared" si="15"/>
        <v>54</v>
      </c>
      <c r="AE176" s="195">
        <f t="shared" si="22"/>
        <v>7.0472823643295435E-2</v>
      </c>
      <c r="AF176" s="195">
        <f t="shared" si="23"/>
        <v>1.4614973445111479E-2</v>
      </c>
      <c r="AG176" s="255" t="str">
        <f>IF(ISNUMBER(SEARCH("C",'WetLitterbags placem_collection'!AD103)),"YES","NO")</f>
        <v>NO</v>
      </c>
      <c r="AH176" s="255" t="str">
        <f>IF(ISNUMBER(SEARCH("H", 'WetLitterbags placem_collection'!AD103)),"YES","NO")</f>
        <v>NO</v>
      </c>
      <c r="AI176" s="255" t="str">
        <f>IF(ISNUMBER(SEARCH("R", 'WetLitterbags placem_collection'!AD103)),"YES","NO")</f>
        <v>NO</v>
      </c>
      <c r="AJ176" s="255" t="str">
        <f>IF(ISNUMBER(SEARCH("C", 'WetLitterbags placem_collection'!AC103)),"YES","NO")</f>
        <v>NO</v>
      </c>
      <c r="AK176" s="255" t="str">
        <f>IF(ISNUMBER(SEARCH("H", 'WetLitterbags placem_collection'!AC103)),"YES","NO")</f>
        <v>NO</v>
      </c>
      <c r="AL176" s="255" t="str">
        <f>IF(ISNUMBER(SEARCH("R", 'WetLitterbags placem_collection'!AC103)),"YES","NO")</f>
        <v>NO</v>
      </c>
    </row>
    <row r="177" spans="2:38">
      <c r="B177" t="str">
        <f>'Final data_for_R_analysis_Wetse'!A103</f>
        <v>Wet</v>
      </c>
      <c r="C177" s="263">
        <f>'Final data_for_R_analysis_Wetse'!B103</f>
        <v>102</v>
      </c>
      <c r="D177" t="s">
        <v>3841</v>
      </c>
      <c r="E177" t="s">
        <v>22</v>
      </c>
      <c r="F177" s="387">
        <v>6</v>
      </c>
      <c r="G177" s="16">
        <f>'WetLitterbags placem_collection'!E104</f>
        <v>42762</v>
      </c>
      <c r="H177" t="str">
        <f>'Final data_for_R_analysis_Wetse'!J103</f>
        <v>G892</v>
      </c>
      <c r="I177" t="str">
        <f>'Final data_for_R_analysis_Wetse'!J323</f>
        <v>R569</v>
      </c>
      <c r="J177">
        <f>IFERROR(INDEX('Green_rooibos initial weight'!$C$5:$C$1749,MATCH(H177, 'Green_rooibos initial weight'!$A$5:$A$1749,0)),"")</f>
        <v>1.9510000000000001</v>
      </c>
      <c r="K177">
        <f>IFERROR(INDEX('Green_rooibos initial weight'!$C$5:$C$1749,MATCH(I177, 'Green_rooibos initial weight'!$A$5:$A$1749,0)),"")</f>
        <v>2.0960000000000001</v>
      </c>
      <c r="L177" s="195">
        <f t="shared" si="16"/>
        <v>1.7012</v>
      </c>
      <c r="M177" s="195">
        <f>AVERAGE(Ashed_controlls!$K$2:$K$11)</f>
        <v>5.5147656768714146</v>
      </c>
      <c r="N177" s="195">
        <f t="shared" si="12"/>
        <v>1.6073828063050635</v>
      </c>
      <c r="O177" s="195">
        <f t="shared" si="17"/>
        <v>1.8462000000000001</v>
      </c>
      <c r="P177" s="195">
        <f>AVERAGE(Ashed_controlls!$K$12:$K$14)</f>
        <v>2.2816647271287041</v>
      </c>
      <c r="Q177" s="195">
        <f t="shared" si="18"/>
        <v>1.80407590580775</v>
      </c>
      <c r="R177" s="16">
        <f>IF('WetLitterbags placem_collection'!G104="N.A","",'WetLitterbags placem_collection'!G104)</f>
        <v>42816</v>
      </c>
      <c r="S177" s="195">
        <f>IF(IFERROR(INDEX('Both teabags AfterWet'!$C$3:$C$841,MATCH(H177,'Both teabags AfterWet'!$A$3:$A$841,0)),"")="N.A","",(IFERROR(INDEX('Both teabags AfterWet'!$C$3:$C$841,MATCH(H177,'Both teabags AfterWet'!$A$3:$A$841,0)),"")))</f>
        <v>0.63100000000000001</v>
      </c>
      <c r="T177" s="195">
        <f>IFERROR(INDEX('Both teabags AfterWet'!$C$3:$C$841,MATCH(I177,'Both teabags AfterWet'!$A$3:$A$841,0)),"")</f>
        <v>1.655</v>
      </c>
      <c r="U177" s="195">
        <f t="shared" si="19"/>
        <v>0.48039999999999999</v>
      </c>
      <c r="V177" s="195">
        <f t="shared" si="19"/>
        <v>1.5044</v>
      </c>
      <c r="W177" s="195">
        <f>IFERROR(INDEX('Ashed teabags wet'!$K$2:$K$821,MATCH(H177,'Ashed teabags wet'!$A$2:$A$821,0)),"")</f>
        <v>12.703905091448961</v>
      </c>
      <c r="X177" s="195">
        <f>IFERROR(INDEX('Ashed teabags wet'!$K$2:$K$821,MATCH(I177,'Ashed teabags wet'!$A$2:$A$821,0)),"")</f>
        <v>6.4211050273764974</v>
      </c>
      <c r="Y177" s="195">
        <f t="shared" si="13"/>
        <v>0.41937043994067918</v>
      </c>
      <c r="Z177" s="195">
        <f t="shared" si="13"/>
        <v>1.4078008959681478</v>
      </c>
      <c r="AA177" s="195">
        <f t="shared" si="20"/>
        <v>0.73909734613579825</v>
      </c>
      <c r="AB177" s="195">
        <f t="shared" si="21"/>
        <v>0.48453887775173476</v>
      </c>
      <c r="AC177" s="195">
        <f t="shared" si="14"/>
        <v>0.78034460270551886</v>
      </c>
      <c r="AD177">
        <f t="shared" si="15"/>
        <v>54</v>
      </c>
      <c r="AE177" s="195">
        <f t="shared" si="22"/>
        <v>0.12221217798598782</v>
      </c>
      <c r="AF177" s="195">
        <f t="shared" si="23"/>
        <v>1.1183474782323311E-2</v>
      </c>
      <c r="AG177" s="255" t="str">
        <f>IF(ISNUMBER(SEARCH("C",'WetLitterbags placem_collection'!AD104)),"YES","NO")</f>
        <v>NO</v>
      </c>
      <c r="AH177" s="255" t="str">
        <f>IF(ISNUMBER(SEARCH("H", 'WetLitterbags placem_collection'!AD104)),"YES","NO")</f>
        <v>NO</v>
      </c>
      <c r="AI177" s="255" t="str">
        <f>IF(ISNUMBER(SEARCH("R", 'WetLitterbags placem_collection'!AD104)),"YES","NO")</f>
        <v>NO</v>
      </c>
      <c r="AJ177" s="255" t="str">
        <f>IF(ISNUMBER(SEARCH("C", 'WetLitterbags placem_collection'!AC104)),"YES","NO")</f>
        <v>NO</v>
      </c>
      <c r="AK177" s="255" t="str">
        <f>IF(ISNUMBER(SEARCH("H", 'WetLitterbags placem_collection'!AC104)),"YES","NO")</f>
        <v>NO</v>
      </c>
      <c r="AL177" s="255" t="str">
        <f>IF(ISNUMBER(SEARCH("R", 'WetLitterbags placem_collection'!AC104)),"YES","NO")</f>
        <v>NO</v>
      </c>
    </row>
    <row r="178" spans="2:38">
      <c r="B178" t="str">
        <f>'Final data_for_R_analysis_Wetse'!A104</f>
        <v>Wet</v>
      </c>
      <c r="C178" s="263">
        <f>'Final data_for_R_analysis_Wetse'!B104</f>
        <v>103</v>
      </c>
      <c r="D178" t="s">
        <v>3841</v>
      </c>
      <c r="E178" t="s">
        <v>22</v>
      </c>
      <c r="F178" s="387">
        <v>7</v>
      </c>
      <c r="G178" s="16">
        <f>'WetLitterbags placem_collection'!E105</f>
        <v>42762</v>
      </c>
      <c r="H178" t="str">
        <f>'Final data_for_R_analysis_Wetse'!J104</f>
        <v>G869</v>
      </c>
      <c r="I178" t="str">
        <f>'Final data_for_R_analysis_Wetse'!J324</f>
        <v>R430</v>
      </c>
      <c r="J178">
        <f>IFERROR(INDEX('Green_rooibos initial weight'!$C$5:$C$1749,MATCH(H178, 'Green_rooibos initial weight'!$A$5:$A$1749,0)),"")</f>
        <v>2.0489999999999999</v>
      </c>
      <c r="K178">
        <f>IFERROR(INDEX('Green_rooibos initial weight'!$C$5:$C$1749,MATCH(I178, 'Green_rooibos initial weight'!$A$5:$A$1749,0)),"")</f>
        <v>2.1829999999999998</v>
      </c>
      <c r="L178" s="195">
        <f t="shared" si="16"/>
        <v>1.7991999999999999</v>
      </c>
      <c r="M178" s="195">
        <f>AVERAGE(Ashed_controlls!$K$2:$K$11)</f>
        <v>5.5147656768714146</v>
      </c>
      <c r="N178" s="195">
        <f t="shared" si="12"/>
        <v>1.6999783359417293</v>
      </c>
      <c r="O178" s="195">
        <f t="shared" si="17"/>
        <v>1.9331999999999998</v>
      </c>
      <c r="P178" s="195">
        <f>AVERAGE(Ashed_controlls!$K$12:$K$14)</f>
        <v>2.2816647271287041</v>
      </c>
      <c r="Q178" s="195">
        <f t="shared" si="18"/>
        <v>1.8890908574951477</v>
      </c>
      <c r="R178" s="16">
        <f>IF('WetLitterbags placem_collection'!G105="N.A","",'WetLitterbags placem_collection'!G105)</f>
        <v>42816</v>
      </c>
      <c r="S178" s="195">
        <f>IF(IFERROR(INDEX('Both teabags AfterWet'!$C$3:$C$841,MATCH(H178,'Both teabags AfterWet'!$A$3:$A$841,0)),"")="N.A","",(IFERROR(INDEX('Both teabags AfterWet'!$C$3:$C$841,MATCH(H178,'Both teabags AfterWet'!$A$3:$A$841,0)),"")))</f>
        <v>0.55800000000000005</v>
      </c>
      <c r="T178" s="195">
        <f>IFERROR(INDEX('Both teabags AfterWet'!$C$3:$C$841,MATCH(I178,'Both teabags AfterWet'!$A$3:$A$841,0)),"")</f>
        <v>1.629</v>
      </c>
      <c r="U178" s="195">
        <f t="shared" si="19"/>
        <v>0.40740000000000004</v>
      </c>
      <c r="V178" s="195">
        <f t="shared" si="19"/>
        <v>1.4783999999999999</v>
      </c>
      <c r="W178" s="195">
        <f>IFERROR(INDEX('Ashed teabags wet'!$K$2:$K$821,MATCH(H178,'Ashed teabags wet'!$A$2:$A$821,0)),"")</f>
        <v>13.925925925925654</v>
      </c>
      <c r="X178" s="195">
        <f>IFERROR(INDEX('Ashed teabags wet'!$K$2:$K$821,MATCH(I178,'Ashed teabags wet'!$A$2:$A$821,0)),"")</f>
        <v>4.7409579667641673</v>
      </c>
      <c r="Y178" s="195">
        <f t="shared" si="13"/>
        <v>0.35066577777777891</v>
      </c>
      <c r="Z178" s="195">
        <f t="shared" si="13"/>
        <v>1.4083096774193584</v>
      </c>
      <c r="AA178" s="195">
        <f t="shared" si="20"/>
        <v>0.79372338437270606</v>
      </c>
      <c r="AB178" s="195">
        <f t="shared" si="21"/>
        <v>0.52035072229659596</v>
      </c>
      <c r="AC178" s="195">
        <f t="shared" si="14"/>
        <v>0.74549599974599201</v>
      </c>
      <c r="AD178">
        <f t="shared" si="15"/>
        <v>54</v>
      </c>
      <c r="AE178" s="195">
        <f t="shared" si="22"/>
        <v>5.7335648013413176E-2</v>
      </c>
      <c r="AF178" s="195">
        <f t="shared" si="23"/>
        <v>1.2436724822359682E-2</v>
      </c>
      <c r="AG178" s="255" t="str">
        <f>IF(ISNUMBER(SEARCH("C",'WetLitterbags placem_collection'!AD105)),"YES","NO")</f>
        <v>NO</v>
      </c>
      <c r="AH178" s="255" t="str">
        <f>IF(ISNUMBER(SEARCH("H", 'WetLitterbags placem_collection'!AD105)),"YES","NO")</f>
        <v>NO</v>
      </c>
      <c r="AI178" s="255" t="str">
        <f>IF(ISNUMBER(SEARCH("R", 'WetLitterbags placem_collection'!AD105)),"YES","NO")</f>
        <v>NO</v>
      </c>
      <c r="AJ178" s="255" t="str">
        <f>IF(ISNUMBER(SEARCH("C", 'WetLitterbags placem_collection'!AC105)),"YES","NO")</f>
        <v>NO</v>
      </c>
      <c r="AK178" s="255" t="str">
        <f>IF(ISNUMBER(SEARCH("H", 'WetLitterbags placem_collection'!AC105)),"YES","NO")</f>
        <v>NO</v>
      </c>
      <c r="AL178" s="255" t="str">
        <f>IF(ISNUMBER(SEARCH("R", 'WetLitterbags placem_collection'!AC105)),"YES","NO")</f>
        <v>NO</v>
      </c>
    </row>
    <row r="179" spans="2:38">
      <c r="B179" t="str">
        <f>'Final data_for_R_analysis_Wetse'!A105</f>
        <v>Wet</v>
      </c>
      <c r="C179" s="263">
        <f>'Final data_for_R_analysis_Wetse'!B105</f>
        <v>104</v>
      </c>
      <c r="D179" t="s">
        <v>3841</v>
      </c>
      <c r="E179" t="s">
        <v>22</v>
      </c>
      <c r="F179" s="387">
        <v>8</v>
      </c>
      <c r="G179" s="16">
        <f>'WetLitterbags placem_collection'!E106</f>
        <v>42762</v>
      </c>
      <c r="H179" t="str">
        <f>'Final data_for_R_analysis_Wetse'!J105</f>
        <v>G881</v>
      </c>
      <c r="I179" t="str">
        <f>'Final data_for_R_analysis_Wetse'!J325</f>
        <v>R577</v>
      </c>
      <c r="J179">
        <f>IFERROR(INDEX('Green_rooibos initial weight'!$C$5:$C$1749,MATCH(H179, 'Green_rooibos initial weight'!$A$5:$A$1749,0)),"")</f>
        <v>1.9570000000000001</v>
      </c>
      <c r="K179">
        <f>IFERROR(INDEX('Green_rooibos initial weight'!$C$5:$C$1749,MATCH(I179, 'Green_rooibos initial weight'!$A$5:$A$1749,0)),"")</f>
        <v>2.0859999999999999</v>
      </c>
      <c r="L179" s="195">
        <f t="shared" si="16"/>
        <v>1.7072000000000001</v>
      </c>
      <c r="M179" s="195">
        <f>AVERAGE(Ashed_controlls!$K$2:$K$11)</f>
        <v>5.5147656768714146</v>
      </c>
      <c r="N179" s="195">
        <f t="shared" si="12"/>
        <v>1.6130519203644513</v>
      </c>
      <c r="O179" s="195">
        <f t="shared" si="17"/>
        <v>1.8361999999999998</v>
      </c>
      <c r="P179" s="195">
        <f>AVERAGE(Ashed_controlls!$K$12:$K$14)</f>
        <v>2.2816647271287041</v>
      </c>
      <c r="Q179" s="195">
        <f t="shared" si="18"/>
        <v>1.7943040722804626</v>
      </c>
      <c r="R179" s="16">
        <f>IF('WetLitterbags placem_collection'!G106="N.A","",'WetLitterbags placem_collection'!G106)</f>
        <v>42816</v>
      </c>
      <c r="S179" s="195">
        <f>IF(IFERROR(INDEX('Both teabags AfterWet'!$C$3:$C$841,MATCH(H179,'Both teabags AfterWet'!$A$3:$A$841,0)),"")="N.A","",(IFERROR(INDEX('Both teabags AfterWet'!$C$3:$C$841,MATCH(H179,'Both teabags AfterWet'!$A$3:$A$841,0)),"")))</f>
        <v>0.61</v>
      </c>
      <c r="T179" s="195">
        <f>IFERROR(INDEX('Both teabags AfterWet'!$C$3:$C$841,MATCH(I179,'Both teabags AfterWet'!$A$3:$A$841,0)),"")</f>
        <v>1.4470000000000001</v>
      </c>
      <c r="U179" s="195">
        <f t="shared" si="19"/>
        <v>0.45939999999999998</v>
      </c>
      <c r="V179" s="195">
        <f t="shared" si="19"/>
        <v>1.2964</v>
      </c>
      <c r="W179" s="195">
        <f>IFERROR(INDEX('Ashed teabags wet'!$K$2:$K$821,MATCH(H179,'Ashed teabags wet'!$A$2:$A$821,0)),"")</f>
        <v>13.465250965250315</v>
      </c>
      <c r="X179" s="195">
        <f>IFERROR(INDEX('Ashed teabags wet'!$K$2:$K$821,MATCH(I179,'Ashed teabags wet'!$A$2:$A$821,0)),"")</f>
        <v>6.3583815028902215</v>
      </c>
      <c r="Y179" s="195">
        <f t="shared" si="13"/>
        <v>0.39754063706564002</v>
      </c>
      <c r="Z179" s="195">
        <f t="shared" si="13"/>
        <v>1.2139699421965311</v>
      </c>
      <c r="AA179" s="195">
        <f t="shared" si="20"/>
        <v>0.75354752562718497</v>
      </c>
      <c r="AB179" s="195">
        <f t="shared" si="21"/>
        <v>0.49401215456794079</v>
      </c>
      <c r="AC179" s="195">
        <f t="shared" si="14"/>
        <v>0.67656868250521296</v>
      </c>
      <c r="AD179">
        <f t="shared" si="15"/>
        <v>54</v>
      </c>
      <c r="AE179" s="195">
        <f t="shared" si="22"/>
        <v>0.10505044462329571</v>
      </c>
      <c r="AF179" s="195">
        <f t="shared" si="23"/>
        <v>1.9691681836618593E-2</v>
      </c>
      <c r="AG179" s="255" t="str">
        <f>IF(ISNUMBER(SEARCH("C",'WetLitterbags placem_collection'!AD106)),"YES","NO")</f>
        <v>NO</v>
      </c>
      <c r="AH179" s="255" t="str">
        <f>IF(ISNUMBER(SEARCH("H", 'WetLitterbags placem_collection'!AD106)),"YES","NO")</f>
        <v>NO</v>
      </c>
      <c r="AI179" s="255" t="str">
        <f>IF(ISNUMBER(SEARCH("R", 'WetLitterbags placem_collection'!AD106)),"YES","NO")</f>
        <v>NO</v>
      </c>
      <c r="AJ179" s="255" t="str">
        <f>IF(ISNUMBER(SEARCH("C", 'WetLitterbags placem_collection'!AC106)),"YES","NO")</f>
        <v>NO</v>
      </c>
      <c r="AK179" s="255" t="str">
        <f>IF(ISNUMBER(SEARCH("H", 'WetLitterbags placem_collection'!AC106)),"YES","NO")</f>
        <v>NO</v>
      </c>
      <c r="AL179" s="255" t="str">
        <f>IF(ISNUMBER(SEARCH("R", 'WetLitterbags placem_collection'!AC106)),"YES","NO")</f>
        <v>NO</v>
      </c>
    </row>
    <row r="180" spans="2:38">
      <c r="B180" t="str">
        <f>'Final data_for_R_analysis_Wetse'!A106</f>
        <v>Wet</v>
      </c>
      <c r="C180" s="263">
        <f>'Final data_for_R_analysis_Wetse'!B106</f>
        <v>105</v>
      </c>
      <c r="D180" t="s">
        <v>3843</v>
      </c>
      <c r="E180" t="s">
        <v>22</v>
      </c>
      <c r="F180" s="386">
        <v>1</v>
      </c>
      <c r="G180" s="16">
        <f>'WetLitterbags placem_collection'!E107</f>
        <v>42762</v>
      </c>
      <c r="H180" t="str">
        <f>'Final data_for_R_analysis_Wetse'!J106</f>
        <v>G729</v>
      </c>
      <c r="I180" t="str">
        <f>'Final data_for_R_analysis_Wetse'!J326</f>
        <v>R548</v>
      </c>
      <c r="J180">
        <f>IFERROR(INDEX('Green_rooibos initial weight'!$C$5:$C$1749,MATCH(H180, 'Green_rooibos initial weight'!$A$5:$A$1749,0)),"")</f>
        <v>1.984</v>
      </c>
      <c r="K180">
        <f>IFERROR(INDEX('Green_rooibos initial weight'!$C$5:$C$1749,MATCH(I180, 'Green_rooibos initial weight'!$A$5:$A$1749,0)),"")</f>
        <v>2.1920000000000002</v>
      </c>
      <c r="L180" s="195">
        <f t="shared" si="16"/>
        <v>1.7342</v>
      </c>
      <c r="M180" s="195">
        <f>AVERAGE(Ashed_controlls!$K$2:$K$11)</f>
        <v>5.5147656768714146</v>
      </c>
      <c r="N180" s="195">
        <f t="shared" si="12"/>
        <v>1.6385629336316958</v>
      </c>
      <c r="O180" s="195">
        <f t="shared" si="17"/>
        <v>1.9422000000000001</v>
      </c>
      <c r="P180" s="195">
        <f>AVERAGE(Ashed_controlls!$K$12:$K$14)</f>
        <v>2.2816647271287041</v>
      </c>
      <c r="Q180" s="195">
        <f t="shared" si="18"/>
        <v>1.8978855076697065</v>
      </c>
      <c r="R180" s="16">
        <f>IF('WetLitterbags placem_collection'!G107="N.A","",'WetLitterbags placem_collection'!G107)</f>
        <v>42816</v>
      </c>
      <c r="S180" s="195">
        <f>IF(IFERROR(INDEX('Both teabags AfterWet'!$C$3:$C$841,MATCH(H180,'Both teabags AfterWet'!$A$3:$A$841,0)),"")="N.A","",(IFERROR(INDEX('Both teabags AfterWet'!$C$3:$C$841,MATCH(H180,'Both teabags AfterWet'!$A$3:$A$841,0)),"")))</f>
        <v>0.72399999999999998</v>
      </c>
      <c r="T180" s="195">
        <f>IFERROR(INDEX('Both teabags AfterWet'!$C$3:$C$841,MATCH(I180,'Both teabags AfterWet'!$A$3:$A$841,0)),"")</f>
        <v>1.859</v>
      </c>
      <c r="U180" s="195">
        <f t="shared" si="19"/>
        <v>0.57339999999999991</v>
      </c>
      <c r="V180" s="195">
        <f t="shared" si="19"/>
        <v>1.7083999999999999</v>
      </c>
      <c r="W180" s="195">
        <f>IFERROR(INDEX('Ashed teabags wet'!$K$2:$K$821,MATCH(H180,'Ashed teabags wet'!$A$2:$A$821,0)),"")</f>
        <v>19.719771665802661</v>
      </c>
      <c r="X180" s="195">
        <f>IFERROR(INDEX('Ashed teabags wet'!$K$2:$K$821,MATCH(I180,'Ashed teabags wet'!$A$2:$A$821,0)),"")</f>
        <v>16.476991588322143</v>
      </c>
      <c r="Y180" s="195">
        <f t="shared" si="13"/>
        <v>0.4603268292682875</v>
      </c>
      <c r="Z180" s="195">
        <f t="shared" si="13"/>
        <v>1.4269070757051043</v>
      </c>
      <c r="AA180" s="195">
        <f t="shared" si="20"/>
        <v>0.71906673840837876</v>
      </c>
      <c r="AB180" s="195">
        <f t="shared" si="21"/>
        <v>0.47140717292330775</v>
      </c>
      <c r="AC180" s="195">
        <f t="shared" si="14"/>
        <v>0.75184044028931607</v>
      </c>
      <c r="AD180">
        <f t="shared" si="15"/>
        <v>54</v>
      </c>
      <c r="AE180" s="195">
        <f t="shared" si="22"/>
        <v>0.14600149832734111</v>
      </c>
      <c r="AF180" s="195">
        <f t="shared" si="23"/>
        <v>1.3841494036995118E-2</v>
      </c>
      <c r="AG180" s="255" t="str">
        <f>IF(ISNUMBER(SEARCH("C",'WetLitterbags placem_collection'!AD107)),"YES","NO")</f>
        <v>NO</v>
      </c>
      <c r="AH180" s="255" t="str">
        <f>IF(ISNUMBER(SEARCH("H", 'WetLitterbags placem_collection'!AD107)),"YES","NO")</f>
        <v>NO</v>
      </c>
      <c r="AI180" s="255" t="str">
        <f>IF(ISNUMBER(SEARCH("R", 'WetLitterbags placem_collection'!AD107)),"YES","NO")</f>
        <v>NO</v>
      </c>
      <c r="AJ180" s="255" t="str">
        <f>IF(ISNUMBER(SEARCH("C", 'WetLitterbags placem_collection'!AC107)),"YES","NO")</f>
        <v>NO</v>
      </c>
      <c r="AK180" s="255" t="str">
        <f>IF(ISNUMBER(SEARCH("H", 'WetLitterbags placem_collection'!AC107)),"YES","NO")</f>
        <v>NO</v>
      </c>
      <c r="AL180" s="255" t="str">
        <f>IF(ISNUMBER(SEARCH("R", 'WetLitterbags placem_collection'!AC107)),"YES","NO")</f>
        <v>NO</v>
      </c>
    </row>
    <row r="181" spans="2:38">
      <c r="B181" t="str">
        <f>'Final data_for_R_analysis_Wetse'!A107</f>
        <v>Wet</v>
      </c>
      <c r="C181" s="263">
        <f>'Final data_for_R_analysis_Wetse'!B107</f>
        <v>106</v>
      </c>
      <c r="D181" t="s">
        <v>3843</v>
      </c>
      <c r="E181" t="s">
        <v>22</v>
      </c>
      <c r="F181" s="386">
        <v>2</v>
      </c>
      <c r="G181" s="16">
        <f>'WetLitterbags placem_collection'!E108</f>
        <v>42762</v>
      </c>
      <c r="H181" t="str">
        <f>'Final data_for_R_analysis_Wetse'!J107</f>
        <v>G837</v>
      </c>
      <c r="I181" t="str">
        <f>'Final data_for_R_analysis_Wetse'!J327</f>
        <v>R590</v>
      </c>
      <c r="J181">
        <f>IFERROR(INDEX('Green_rooibos initial weight'!$C$5:$C$1749,MATCH(H181, 'Green_rooibos initial weight'!$A$5:$A$1749,0)),"")</f>
        <v>1.1910000000000001</v>
      </c>
      <c r="K181">
        <f>IFERROR(INDEX('Green_rooibos initial weight'!$C$5:$C$1749,MATCH(I181, 'Green_rooibos initial weight'!$A$5:$A$1749,0)),"")</f>
        <v>2.218</v>
      </c>
      <c r="L181" s="195">
        <f t="shared" si="16"/>
        <v>0.94120000000000004</v>
      </c>
      <c r="M181" s="195">
        <f>AVERAGE(Ashed_controlls!$K$2:$K$11)</f>
        <v>5.5147656768714146</v>
      </c>
      <c r="N181" s="195">
        <f t="shared" si="12"/>
        <v>0.88929502544928629</v>
      </c>
      <c r="O181" s="195">
        <f t="shared" si="17"/>
        <v>1.9681999999999999</v>
      </c>
      <c r="P181" s="195">
        <f>AVERAGE(Ashed_controlls!$K$12:$K$14)</f>
        <v>2.2816647271287041</v>
      </c>
      <c r="Q181" s="195">
        <f t="shared" si="18"/>
        <v>1.9232922748406529</v>
      </c>
      <c r="R181" s="16">
        <f>IF('WetLitterbags placem_collection'!G108="N.A","",'WetLitterbags placem_collection'!G108)</f>
        <v>42816</v>
      </c>
      <c r="S181" s="195">
        <f>IF(IFERROR(INDEX('Both teabags AfterWet'!$C$3:$C$841,MATCH(H181,'Both teabags AfterWet'!$A$3:$A$841,0)),"")="N.A","",(IFERROR(INDEX('Both teabags AfterWet'!$C$3:$C$841,MATCH(H181,'Both teabags AfterWet'!$A$3:$A$841,0)),"")))</f>
        <v>0.62</v>
      </c>
      <c r="T181" s="195">
        <f>IFERROR(INDEX('Both teabags AfterWet'!$C$3:$C$841,MATCH(I181,'Both teabags AfterWet'!$A$3:$A$841,0)),"")</f>
        <v>1.7769999999999999</v>
      </c>
      <c r="U181" s="195">
        <f t="shared" si="19"/>
        <v>0.46939999999999998</v>
      </c>
      <c r="V181" s="195">
        <f t="shared" si="19"/>
        <v>1.6263999999999998</v>
      </c>
      <c r="W181" s="195">
        <f>IFERROR(INDEX('Ashed teabags wet'!$K$2:$K$821,MATCH(H181,'Ashed teabags wet'!$A$2:$A$821,0)),"")</f>
        <v>13.95235780262451</v>
      </c>
      <c r="X181" s="195">
        <f>IFERROR(INDEX('Ashed teabags wet'!$K$2:$K$821,MATCH(I181,'Ashed teabags wet'!$A$2:$A$821,0)),"")</f>
        <v>10.077145612343887</v>
      </c>
      <c r="Y181" s="195">
        <f t="shared" si="13"/>
        <v>0.40390763247448053</v>
      </c>
      <c r="Z181" s="195">
        <f t="shared" si="13"/>
        <v>1.4625053037608389</v>
      </c>
      <c r="AA181" s="195">
        <f t="shared" si="20"/>
        <v>0.5458114338709813</v>
      </c>
      <c r="AB181" s="195">
        <f t="shared" si="21"/>
        <v>0.35782412291779303</v>
      </c>
      <c r="AC181" s="195">
        <f t="shared" si="14"/>
        <v>0.76041760417407656</v>
      </c>
      <c r="AD181">
        <f t="shared" si="15"/>
        <v>54</v>
      </c>
      <c r="AE181" s="195">
        <f t="shared" si="22"/>
        <v>0.35176789326486779</v>
      </c>
      <c r="AF181" s="195">
        <f t="shared" si="23"/>
        <v>2.0505750465967906E-2</v>
      </c>
      <c r="AG181" s="255" t="str">
        <f>IF(ISNUMBER(SEARCH("C",'WetLitterbags placem_collection'!AD108)),"YES","NO")</f>
        <v>NO</v>
      </c>
      <c r="AH181" s="255" t="str">
        <f>IF(ISNUMBER(SEARCH("H", 'WetLitterbags placem_collection'!AD108)),"YES","NO")</f>
        <v>NO</v>
      </c>
      <c r="AI181" s="255" t="str">
        <f>IF(ISNUMBER(SEARCH("R", 'WetLitterbags placem_collection'!AD108)),"YES","NO")</f>
        <v>NO</v>
      </c>
      <c r="AJ181" s="255" t="str">
        <f>IF(ISNUMBER(SEARCH("C", 'WetLitterbags placem_collection'!AC108)),"YES","NO")</f>
        <v>NO</v>
      </c>
      <c r="AK181" s="255" t="str">
        <f>IF(ISNUMBER(SEARCH("H", 'WetLitterbags placem_collection'!AC108)),"YES","NO")</f>
        <v>NO</v>
      </c>
      <c r="AL181" s="255" t="str">
        <f>IF(ISNUMBER(SEARCH("R", 'WetLitterbags placem_collection'!AC108)),"YES","NO")</f>
        <v>NO</v>
      </c>
    </row>
    <row r="182" spans="2:38">
      <c r="B182" t="str">
        <f>'Final data_for_R_analysis_Wetse'!A108</f>
        <v>Wet</v>
      </c>
      <c r="C182" s="263">
        <f>'Final data_for_R_analysis_Wetse'!B108</f>
        <v>107</v>
      </c>
      <c r="D182" t="s">
        <v>3843</v>
      </c>
      <c r="E182" t="s">
        <v>22</v>
      </c>
      <c r="F182" s="386">
        <v>3</v>
      </c>
      <c r="G182" s="16">
        <f>'WetLitterbags placem_collection'!E109</f>
        <v>42762</v>
      </c>
      <c r="H182" t="str">
        <f>'Final data_for_R_analysis_Wetse'!J108</f>
        <v>G688</v>
      </c>
      <c r="I182" t="str">
        <f>'Final data_for_R_analysis_Wetse'!J328</f>
        <v>R574</v>
      </c>
      <c r="J182">
        <f>IFERROR(INDEX('Green_rooibos initial weight'!$C$5:$C$1749,MATCH(H182, 'Green_rooibos initial weight'!$A$5:$A$1749,0)),"")</f>
        <v>2.125</v>
      </c>
      <c r="K182">
        <f>IFERROR(INDEX('Green_rooibos initial weight'!$C$5:$C$1749,MATCH(I182, 'Green_rooibos initial weight'!$A$5:$A$1749,0)),"")</f>
        <v>2.16</v>
      </c>
      <c r="L182" s="195">
        <f t="shared" si="16"/>
        <v>1.8752</v>
      </c>
      <c r="M182" s="195">
        <f>AVERAGE(Ashed_controlls!$K$2:$K$11)</f>
        <v>5.5147656768714146</v>
      </c>
      <c r="N182" s="195">
        <f t="shared" si="12"/>
        <v>1.7717871140273072</v>
      </c>
      <c r="O182" s="195">
        <f t="shared" si="17"/>
        <v>1.9102000000000001</v>
      </c>
      <c r="P182" s="195">
        <f>AVERAGE(Ashed_controlls!$K$12:$K$14)</f>
        <v>2.2816647271287041</v>
      </c>
      <c r="Q182" s="195">
        <f t="shared" si="18"/>
        <v>1.8666156403823877</v>
      </c>
      <c r="R182" s="16">
        <f>IF('WetLitterbags placem_collection'!G109="N.A","",'WetLitterbags placem_collection'!G109)</f>
        <v>42816</v>
      </c>
      <c r="S182" s="195">
        <f>IF(IFERROR(INDEX('Both teabags AfterWet'!$C$3:$C$841,MATCH(H182,'Both teabags AfterWet'!$A$3:$A$841,0)),"")="N.A","",(IFERROR(INDEX('Both teabags AfterWet'!$C$3:$C$841,MATCH(H182,'Both teabags AfterWet'!$A$3:$A$841,0)),"")))</f>
        <v>0.60899999999999999</v>
      </c>
      <c r="T182" s="195">
        <f>IFERROR(INDEX('Both teabags AfterWet'!$C$3:$C$841,MATCH(I182,'Both teabags AfterWet'!$A$3:$A$841,0)),"")</f>
        <v>1.706</v>
      </c>
      <c r="U182" s="195">
        <f t="shared" si="19"/>
        <v>0.45839999999999997</v>
      </c>
      <c r="V182" s="195">
        <f t="shared" si="19"/>
        <v>1.5553999999999999</v>
      </c>
      <c r="W182" s="195">
        <f>IFERROR(INDEX('Ashed teabags wet'!$K$2:$K$821,MATCH(H182,'Ashed teabags wet'!$A$2:$A$821,0)),"")</f>
        <v>14.504950495050023</v>
      </c>
      <c r="X182" s="195">
        <f>IFERROR(INDEX('Ashed teabags wet'!$K$2:$K$821,MATCH(I182,'Ashed teabags wet'!$A$2:$A$821,0)),"")</f>
        <v>6.0532687651327608</v>
      </c>
      <c r="Y182" s="195">
        <f t="shared" si="13"/>
        <v>0.3919093069306907</v>
      </c>
      <c r="Z182" s="195">
        <f t="shared" si="13"/>
        <v>1.461247457627125</v>
      </c>
      <c r="AA182" s="195">
        <f t="shared" si="20"/>
        <v>0.77880564553837783</v>
      </c>
      <c r="AB182" s="195">
        <f t="shared" si="21"/>
        <v>0.51057092201565868</v>
      </c>
      <c r="AC182" s="195">
        <f t="shared" si="14"/>
        <v>0.78283253714073642</v>
      </c>
      <c r="AD182">
        <f t="shared" si="15"/>
        <v>54</v>
      </c>
      <c r="AE182" s="195">
        <f t="shared" si="22"/>
        <v>7.5052677507864818E-2</v>
      </c>
      <c r="AF182" s="195">
        <f t="shared" si="23"/>
        <v>1.0258905536854036E-2</v>
      </c>
      <c r="AG182" s="255" t="str">
        <f>IF(ISNUMBER(SEARCH("C",'WetLitterbags placem_collection'!AD109)),"YES","NO")</f>
        <v>NO</v>
      </c>
      <c r="AH182" s="255" t="str">
        <f>IF(ISNUMBER(SEARCH("H", 'WetLitterbags placem_collection'!AD109)),"YES","NO")</f>
        <v>NO</v>
      </c>
      <c r="AI182" s="255" t="str">
        <f>IF(ISNUMBER(SEARCH("R", 'WetLitterbags placem_collection'!AD109)),"YES","NO")</f>
        <v>NO</v>
      </c>
      <c r="AJ182" s="255" t="str">
        <f>IF(ISNUMBER(SEARCH("C", 'WetLitterbags placem_collection'!AC109)),"YES","NO")</f>
        <v>NO</v>
      </c>
      <c r="AK182" s="255" t="str">
        <f>IF(ISNUMBER(SEARCH("H", 'WetLitterbags placem_collection'!AC109)),"YES","NO")</f>
        <v>NO</v>
      </c>
      <c r="AL182" s="255" t="str">
        <f>IF(ISNUMBER(SEARCH("R", 'WetLitterbags placem_collection'!AC109)),"YES","NO")</f>
        <v>NO</v>
      </c>
    </row>
    <row r="183" spans="2:38">
      <c r="B183" t="str">
        <f>'Final data_for_R_analysis_Wetse'!A109</f>
        <v>Wet</v>
      </c>
      <c r="C183" s="263">
        <f>'Final data_for_R_analysis_Wetse'!B109</f>
        <v>108</v>
      </c>
      <c r="D183" t="s">
        <v>3843</v>
      </c>
      <c r="E183" t="s">
        <v>22</v>
      </c>
      <c r="F183" s="387">
        <v>4</v>
      </c>
      <c r="G183" s="16">
        <f>'WetLitterbags placem_collection'!E110</f>
        <v>42762</v>
      </c>
      <c r="H183" t="str">
        <f>'Final data_for_R_analysis_Wetse'!J109</f>
        <v>G883</v>
      </c>
      <c r="I183" t="str">
        <f>'Final data_for_R_analysis_Wetse'!J329</f>
        <v>R8</v>
      </c>
      <c r="J183">
        <f>IFERROR(INDEX('Green_rooibos initial weight'!$C$5:$C$1749,MATCH(H183, 'Green_rooibos initial weight'!$A$5:$A$1749,0)),"")</f>
        <v>2.073</v>
      </c>
      <c r="K183">
        <f>IFERROR(INDEX('Green_rooibos initial weight'!$C$5:$C$1749,MATCH(I183, 'Green_rooibos initial weight'!$A$5:$A$1749,0)),"")</f>
        <v>2.23</v>
      </c>
      <c r="L183" s="195">
        <f t="shared" si="16"/>
        <v>1.8231999999999999</v>
      </c>
      <c r="M183" s="195">
        <f>AVERAGE(Ashed_controlls!$K$2:$K$11)</f>
        <v>5.5147656768714146</v>
      </c>
      <c r="N183" s="195">
        <f t="shared" si="12"/>
        <v>1.7226547921792803</v>
      </c>
      <c r="O183" s="195">
        <f t="shared" si="17"/>
        <v>1.9802</v>
      </c>
      <c r="P183" s="195">
        <f>AVERAGE(Ashed_controlls!$K$12:$K$14)</f>
        <v>2.2816647271287041</v>
      </c>
      <c r="Q183" s="195">
        <f t="shared" si="18"/>
        <v>1.9350184750733974</v>
      </c>
      <c r="R183" s="16">
        <f>IF('WetLitterbags placem_collection'!G110="N.A","",'WetLitterbags placem_collection'!G110)</f>
        <v>42816</v>
      </c>
      <c r="S183" s="195">
        <f>IF(IFERROR(INDEX('Both teabags AfterWet'!$C$3:$C$841,MATCH(H183,'Both teabags AfterWet'!$A$3:$A$841,0)),"")="N.A","",(IFERROR(INDEX('Both teabags AfterWet'!$C$3:$C$841,MATCH(H183,'Both teabags AfterWet'!$A$3:$A$841,0)),"")))</f>
        <v>0.67200000000000004</v>
      </c>
      <c r="T183" s="195">
        <f>IFERROR(INDEX('Both teabags AfterWet'!$C$3:$C$841,MATCH(I183,'Both teabags AfterWet'!$A$3:$A$841,0)),"")</f>
        <v>1.536</v>
      </c>
      <c r="U183" s="195">
        <f t="shared" si="19"/>
        <v>0.52140000000000009</v>
      </c>
      <c r="V183" s="195">
        <f t="shared" si="19"/>
        <v>1.3854</v>
      </c>
      <c r="W183" s="195">
        <f>IFERROR(INDEX('Ashed teabags wet'!$K$2:$K$821,MATCH(H183,'Ashed teabags wet'!$A$2:$A$821,0)),"")</f>
        <v>14.878892733563953</v>
      </c>
      <c r="X183" s="195">
        <f>IFERROR(INDEX('Ashed teabags wet'!$K$2:$K$821,MATCH(I183,'Ashed teabags wet'!$A$2:$A$821,0)),"")</f>
        <v>8.2171314741042973</v>
      </c>
      <c r="Y183" s="195">
        <f t="shared" si="13"/>
        <v>0.44382145328719763</v>
      </c>
      <c r="Z183" s="195">
        <f t="shared" si="13"/>
        <v>1.2715598605577589</v>
      </c>
      <c r="AA183" s="195">
        <f t="shared" si="20"/>
        <v>0.74236193153607277</v>
      </c>
      <c r="AB183" s="195">
        <f t="shared" si="21"/>
        <v>0.48667908100702167</v>
      </c>
      <c r="AC183" s="195">
        <f t="shared" si="14"/>
        <v>0.65713060466232875</v>
      </c>
      <c r="AD183">
        <f t="shared" si="15"/>
        <v>54</v>
      </c>
      <c r="AE183" s="195">
        <f t="shared" si="22"/>
        <v>0.11833499817568549</v>
      </c>
      <c r="AF183" s="195">
        <f t="shared" si="23"/>
        <v>2.2576187712356557E-2</v>
      </c>
      <c r="AG183" s="255" t="str">
        <f>IF(ISNUMBER(SEARCH("C",'WetLitterbags placem_collection'!AD110)),"YES","NO")</f>
        <v>YES</v>
      </c>
      <c r="AH183" s="255" t="str">
        <f>IF(ISNUMBER(SEARCH("H", 'WetLitterbags placem_collection'!AD110)),"YES","NO")</f>
        <v>NO</v>
      </c>
      <c r="AI183" s="255" t="str">
        <f>IF(ISNUMBER(SEARCH("R", 'WetLitterbags placem_collection'!AD110)),"YES","NO")</f>
        <v>YES</v>
      </c>
      <c r="AJ183" s="255" t="str">
        <f>IF(ISNUMBER(SEARCH("C", 'WetLitterbags placem_collection'!AC110)),"YES","NO")</f>
        <v>NO</v>
      </c>
      <c r="AK183" s="255" t="str">
        <f>IF(ISNUMBER(SEARCH("H", 'WetLitterbags placem_collection'!AC110)),"YES","NO")</f>
        <v>NO</v>
      </c>
      <c r="AL183" s="255" t="str">
        <f>IF(ISNUMBER(SEARCH("R", 'WetLitterbags placem_collection'!AC110)),"YES","NO")</f>
        <v>NO</v>
      </c>
    </row>
    <row r="184" spans="2:38">
      <c r="B184" t="str">
        <f>'Final data_for_R_analysis_Wetse'!A110</f>
        <v>Wet</v>
      </c>
      <c r="C184" s="263">
        <f>'Final data_for_R_analysis_Wetse'!B110</f>
        <v>109</v>
      </c>
      <c r="D184" t="s">
        <v>3843</v>
      </c>
      <c r="E184" t="s">
        <v>22</v>
      </c>
      <c r="F184" s="387">
        <v>5</v>
      </c>
      <c r="G184" s="16">
        <f>'WetLitterbags placem_collection'!E111</f>
        <v>42762</v>
      </c>
      <c r="H184" t="str">
        <f>'Final data_for_R_analysis_Wetse'!J110</f>
        <v>G704</v>
      </c>
      <c r="I184" t="str">
        <f>'Final data_for_R_analysis_Wetse'!J330</f>
        <v>R552</v>
      </c>
      <c r="J184">
        <f>IFERROR(INDEX('Green_rooibos initial weight'!$C$5:$C$1749,MATCH(H184, 'Green_rooibos initial weight'!$A$5:$A$1749,0)),"")</f>
        <v>2.0219999999999998</v>
      </c>
      <c r="K184">
        <f>IFERROR(INDEX('Green_rooibos initial weight'!$C$5:$C$1749,MATCH(I184, 'Green_rooibos initial weight'!$A$5:$A$1749,0)),"")</f>
        <v>2.222</v>
      </c>
      <c r="L184" s="195">
        <f t="shared" si="16"/>
        <v>1.7721999999999998</v>
      </c>
      <c r="M184" s="195">
        <f>AVERAGE(Ashed_controlls!$K$2:$K$11)</f>
        <v>5.5147656768714146</v>
      </c>
      <c r="N184" s="195">
        <f t="shared" si="12"/>
        <v>1.6744673226744846</v>
      </c>
      <c r="O184" s="195">
        <f t="shared" si="17"/>
        <v>1.9722</v>
      </c>
      <c r="P184" s="195">
        <f>AVERAGE(Ashed_controlls!$K$12:$K$14)</f>
        <v>2.2816647271287041</v>
      </c>
      <c r="Q184" s="195">
        <f t="shared" si="18"/>
        <v>1.9272010082515676</v>
      </c>
      <c r="R184" s="16">
        <f>IF('WetLitterbags placem_collection'!G111="N.A","",'WetLitterbags placem_collection'!G111)</f>
        <v>42816</v>
      </c>
      <c r="S184" s="195">
        <f>IF(IFERROR(INDEX('Both teabags AfterWet'!$C$3:$C$841,MATCH(H184,'Both teabags AfterWet'!$A$3:$A$841,0)),"")="N.A","",(IFERROR(INDEX('Both teabags AfterWet'!$C$3:$C$841,MATCH(H184,'Both teabags AfterWet'!$A$3:$A$841,0)),"")))</f>
        <v>0.63019999999999998</v>
      </c>
      <c r="T184" s="195">
        <f>IFERROR(INDEX('Both teabags AfterWet'!$C$3:$C$841,MATCH(I184,'Both teabags AfterWet'!$A$3:$A$841,0)),"")</f>
        <v>1.7532000000000001</v>
      </c>
      <c r="U184" s="195">
        <f t="shared" si="19"/>
        <v>0.47959999999999997</v>
      </c>
      <c r="V184" s="195">
        <f t="shared" si="19"/>
        <v>1.6026</v>
      </c>
      <c r="W184" s="195">
        <f>IFERROR(INDEX('Ashed teabags wet'!$K$2:$K$821,MATCH(H184,'Ashed teabags wet'!$A$2:$A$821,0)),"")</f>
        <v>7.733990147783028</v>
      </c>
      <c r="X184" s="195">
        <f>IFERROR(INDEX('Ashed teabags wet'!$K$2:$K$821,MATCH(I184,'Ashed teabags wet'!$A$2:$A$821,0)),"")</f>
        <v>9.2346938775513898</v>
      </c>
      <c r="Y184" s="195">
        <f t="shared" si="13"/>
        <v>0.44250778325123258</v>
      </c>
      <c r="Z184" s="195">
        <f t="shared" si="13"/>
        <v>1.4546047959183614</v>
      </c>
      <c r="AA184" s="195">
        <f t="shared" si="20"/>
        <v>0.73573220733597089</v>
      </c>
      <c r="AB184" s="195">
        <f t="shared" si="21"/>
        <v>0.48233275350291682</v>
      </c>
      <c r="AC184" s="195">
        <f t="shared" si="14"/>
        <v>0.75477585871441399</v>
      </c>
      <c r="AD184">
        <f t="shared" si="15"/>
        <v>54</v>
      </c>
      <c r="AE184" s="195">
        <f t="shared" si="22"/>
        <v>0.12620877988602031</v>
      </c>
      <c r="AF184" s="195">
        <f t="shared" si="23"/>
        <v>1.3150294819835475E-2</v>
      </c>
      <c r="AG184" s="255" t="str">
        <f>IF(ISNUMBER(SEARCH("C",'WetLitterbags placem_collection'!AD111)),"YES","NO")</f>
        <v>NO</v>
      </c>
      <c r="AH184" s="255" t="str">
        <f>IF(ISNUMBER(SEARCH("H", 'WetLitterbags placem_collection'!AD111)),"YES","NO")</f>
        <v>NO</v>
      </c>
      <c r="AI184" s="255" t="str">
        <f>IF(ISNUMBER(SEARCH("R", 'WetLitterbags placem_collection'!AD111)),"YES","NO")</f>
        <v>NO</v>
      </c>
      <c r="AJ184" s="255" t="str">
        <f>IF(ISNUMBER(SEARCH("C", 'WetLitterbags placem_collection'!AC111)),"YES","NO")</f>
        <v>NO</v>
      </c>
      <c r="AK184" s="255" t="str">
        <f>IF(ISNUMBER(SEARCH("H", 'WetLitterbags placem_collection'!AC111)),"YES","NO")</f>
        <v>NO</v>
      </c>
      <c r="AL184" s="255" t="str">
        <f>IF(ISNUMBER(SEARCH("R", 'WetLitterbags placem_collection'!AC111)),"YES","NO")</f>
        <v>NO</v>
      </c>
    </row>
    <row r="185" spans="2:38">
      <c r="B185" t="str">
        <f>'Final data_for_R_analysis_Wetse'!A111</f>
        <v>Wet</v>
      </c>
      <c r="C185" s="263">
        <f>'Final data_for_R_analysis_Wetse'!B111</f>
        <v>110</v>
      </c>
      <c r="D185" t="s">
        <v>3843</v>
      </c>
      <c r="E185" t="s">
        <v>22</v>
      </c>
      <c r="F185" s="387">
        <v>6</v>
      </c>
      <c r="G185" s="16">
        <f>'WetLitterbags placem_collection'!E112</f>
        <v>42762</v>
      </c>
      <c r="H185" t="str">
        <f>'Final data_for_R_analysis_Wetse'!J111</f>
        <v>G742</v>
      </c>
      <c r="I185" t="str">
        <f>'Final data_for_R_analysis_Wetse'!J331</f>
        <v>R462</v>
      </c>
      <c r="J185">
        <f>IFERROR(INDEX('Green_rooibos initial weight'!$C$5:$C$1749,MATCH(H185, 'Green_rooibos initial weight'!$A$5:$A$1749,0)),"")</f>
        <v>2.0510000000000002</v>
      </c>
      <c r="K185">
        <f>IFERROR(INDEX('Green_rooibos initial weight'!$C$5:$C$1749,MATCH(I185, 'Green_rooibos initial weight'!$A$5:$A$1749,0)),"")</f>
        <v>2.226</v>
      </c>
      <c r="L185" s="195">
        <f t="shared" si="16"/>
        <v>1.8012000000000001</v>
      </c>
      <c r="M185" s="195">
        <f>AVERAGE(Ashed_controlls!$K$2:$K$11)</f>
        <v>5.5147656768714146</v>
      </c>
      <c r="N185" s="195">
        <f t="shared" si="12"/>
        <v>1.7018680406281923</v>
      </c>
      <c r="O185" s="195">
        <f t="shared" si="17"/>
        <v>1.9762</v>
      </c>
      <c r="P185" s="195">
        <f>AVERAGE(Ashed_controlls!$K$12:$K$14)</f>
        <v>2.2816647271287041</v>
      </c>
      <c r="Q185" s="195">
        <f t="shared" si="18"/>
        <v>1.9311097416624825</v>
      </c>
      <c r="R185" s="16">
        <f>IF('WetLitterbags placem_collection'!G112="N.A","",'WetLitterbags placem_collection'!G112)</f>
        <v>42816</v>
      </c>
      <c r="S185" s="195">
        <f>IF(IFERROR(INDEX('Both teabags AfterWet'!$C$3:$C$841,MATCH(H185,'Both teabags AfterWet'!$A$3:$A$841,0)),"")="N.A","",(IFERROR(INDEX('Both teabags AfterWet'!$C$3:$C$841,MATCH(H185,'Both teabags AfterWet'!$A$3:$A$841,0)),"")))</f>
        <v>0.57879999999999998</v>
      </c>
      <c r="T185" s="195">
        <f>IFERROR(INDEX('Both teabags AfterWet'!$C$3:$C$841,MATCH(I185,'Both teabags AfterWet'!$A$3:$A$841,0)),"")</f>
        <v>1.5465</v>
      </c>
      <c r="U185" s="195">
        <f t="shared" si="19"/>
        <v>0.42819999999999997</v>
      </c>
      <c r="V185" s="195">
        <f t="shared" si="19"/>
        <v>1.3958999999999999</v>
      </c>
      <c r="W185" s="195">
        <f>IFERROR(INDEX('Ashed teabags wet'!$K$2:$K$821,MATCH(H185,'Ashed teabags wet'!$A$2:$A$821,0)),"")</f>
        <v>13.253612356751738</v>
      </c>
      <c r="X185" s="195">
        <f>IFERROR(INDEX('Ashed teabags wet'!$K$2:$K$821,MATCH(I185,'Ashed teabags wet'!$A$2:$A$821,0)),"")</f>
        <v>7.3158914728682047</v>
      </c>
      <c r="Y185" s="195">
        <f t="shared" si="13"/>
        <v>0.37144803188838904</v>
      </c>
      <c r="Z185" s="195">
        <f t="shared" si="13"/>
        <v>1.2937774709302325</v>
      </c>
      <c r="AA185" s="195">
        <f t="shared" si="20"/>
        <v>0.78174099106339623</v>
      </c>
      <c r="AB185" s="195">
        <f t="shared" si="21"/>
        <v>0.51249528155225033</v>
      </c>
      <c r="AC185" s="195">
        <f t="shared" si="14"/>
        <v>0.66996579377018006</v>
      </c>
      <c r="AD185">
        <f t="shared" si="15"/>
        <v>54</v>
      </c>
      <c r="AE185" s="195">
        <f t="shared" si="22"/>
        <v>7.1566518927082878E-2</v>
      </c>
      <c r="AF185" s="195">
        <f t="shared" si="23"/>
        <v>1.9125085923583016E-2</v>
      </c>
      <c r="AG185" s="255" t="str">
        <f>IF(ISNUMBER(SEARCH("C",'WetLitterbags placem_collection'!AD112)),"YES","NO")</f>
        <v>NO</v>
      </c>
      <c r="AH185" s="255" t="str">
        <f>IF(ISNUMBER(SEARCH("H", 'WetLitterbags placem_collection'!AD112)),"YES","NO")</f>
        <v>NO</v>
      </c>
      <c r="AI185" s="255" t="str">
        <f>IF(ISNUMBER(SEARCH("R", 'WetLitterbags placem_collection'!AD112)),"YES","NO")</f>
        <v>NO</v>
      </c>
      <c r="AJ185" s="255" t="str">
        <f>IF(ISNUMBER(SEARCH("C", 'WetLitterbags placem_collection'!AC112)),"YES","NO")</f>
        <v>NO</v>
      </c>
      <c r="AK185" s="255" t="str">
        <f>IF(ISNUMBER(SEARCH("H", 'WetLitterbags placem_collection'!AC112)),"YES","NO")</f>
        <v>NO</v>
      </c>
      <c r="AL185" s="255" t="str">
        <f>IF(ISNUMBER(SEARCH("R", 'WetLitterbags placem_collection'!AC112)),"YES","NO")</f>
        <v>NO</v>
      </c>
    </row>
    <row r="186" spans="2:38">
      <c r="B186" t="str">
        <f>'Final data_for_R_analysis_Wetse'!A112</f>
        <v>Wet</v>
      </c>
      <c r="C186" s="263">
        <f>'Final data_for_R_analysis_Wetse'!B112</f>
        <v>111</v>
      </c>
      <c r="D186" t="s">
        <v>3843</v>
      </c>
      <c r="E186" t="s">
        <v>22</v>
      </c>
      <c r="F186" s="387">
        <v>7</v>
      </c>
      <c r="G186" s="16">
        <f>'WetLitterbags placem_collection'!E113</f>
        <v>42762</v>
      </c>
      <c r="H186" t="str">
        <f>'Final data_for_R_analysis_Wetse'!J112</f>
        <v>G831</v>
      </c>
      <c r="I186" t="str">
        <f>'Final data_for_R_analysis_Wetse'!J332</f>
        <v>R505</v>
      </c>
      <c r="J186">
        <f>IFERROR(INDEX('Green_rooibos initial weight'!$C$5:$C$1749,MATCH(H186, 'Green_rooibos initial weight'!$A$5:$A$1749,0)),"")</f>
        <v>2.1190000000000002</v>
      </c>
      <c r="K186">
        <f>IFERROR(INDEX('Green_rooibos initial weight'!$C$5:$C$1749,MATCH(I186, 'Green_rooibos initial weight'!$A$5:$A$1749,0)),"")</f>
        <v>2.198</v>
      </c>
      <c r="L186" s="195">
        <f t="shared" si="16"/>
        <v>1.8692000000000002</v>
      </c>
      <c r="M186" s="195">
        <f>AVERAGE(Ashed_controlls!$K$2:$K$11)</f>
        <v>5.5147656768714146</v>
      </c>
      <c r="N186" s="195">
        <f t="shared" si="12"/>
        <v>1.7661179999679197</v>
      </c>
      <c r="O186" s="195">
        <f t="shared" si="17"/>
        <v>1.9481999999999999</v>
      </c>
      <c r="P186" s="195">
        <f>AVERAGE(Ashed_controlls!$K$12:$K$14)</f>
        <v>2.2816647271287041</v>
      </c>
      <c r="Q186" s="195">
        <f t="shared" si="18"/>
        <v>1.9037486077860786</v>
      </c>
      <c r="R186" s="16">
        <f>IF('WetLitterbags placem_collection'!G113="N.A","",'WetLitterbags placem_collection'!G113)</f>
        <v>42816</v>
      </c>
      <c r="S186" s="195">
        <f>IF(IFERROR(INDEX('Both teabags AfterWet'!$C$3:$C$841,MATCH(H186,'Both teabags AfterWet'!$A$3:$A$841,0)),"")="N.A","",(IFERROR(INDEX('Both teabags AfterWet'!$C$3:$C$841,MATCH(H186,'Both teabags AfterWet'!$A$3:$A$841,0)),"")))</f>
        <v>0.66200000000000003</v>
      </c>
      <c r="T186" s="195">
        <f>IFERROR(INDEX('Both teabags AfterWet'!$C$3:$C$841,MATCH(I186,'Both teabags AfterWet'!$A$3:$A$841,0)),"")</f>
        <v>1.673</v>
      </c>
      <c r="U186" s="195">
        <f t="shared" si="19"/>
        <v>0.51140000000000008</v>
      </c>
      <c r="V186" s="195">
        <f t="shared" si="19"/>
        <v>1.5224</v>
      </c>
      <c r="W186" s="195">
        <f>IFERROR(INDEX('Ashed teabags wet'!$K$2:$K$821,MATCH(H186,'Ashed teabags wet'!$A$2:$A$821,0)),"")</f>
        <v>14.3622200584224</v>
      </c>
      <c r="X186" s="195">
        <f>IFERROR(INDEX('Ashed teabags wet'!$K$2:$K$821,MATCH(I186,'Ashed teabags wet'!$A$2:$A$821,0)),"")</f>
        <v>8.7623762376235934</v>
      </c>
      <c r="Y186" s="195">
        <f t="shared" si="13"/>
        <v>0.4379516066212279</v>
      </c>
      <c r="Z186" s="195">
        <f t="shared" si="13"/>
        <v>1.3890015841584185</v>
      </c>
      <c r="AA186" s="195">
        <f t="shared" si="20"/>
        <v>0.75202585182350046</v>
      </c>
      <c r="AB186" s="195">
        <f t="shared" si="21"/>
        <v>0.49301457269189114</v>
      </c>
      <c r="AC186" s="195">
        <f t="shared" si="14"/>
        <v>0.72961397238983483</v>
      </c>
      <c r="AD186">
        <f t="shared" si="15"/>
        <v>54</v>
      </c>
      <c r="AE186" s="195">
        <f t="shared" si="22"/>
        <v>0.10685765816686399</v>
      </c>
      <c r="AF186" s="195">
        <f t="shared" si="23"/>
        <v>1.4722853098704435E-2</v>
      </c>
      <c r="AG186" s="255" t="str">
        <f>IF(ISNUMBER(SEARCH("C",'WetLitterbags placem_collection'!AD113)),"YES","NO")</f>
        <v>NO</v>
      </c>
      <c r="AH186" s="255" t="str">
        <f>IF(ISNUMBER(SEARCH("H", 'WetLitterbags placem_collection'!AD113)),"YES","NO")</f>
        <v>NO</v>
      </c>
      <c r="AI186" s="255" t="str">
        <f>IF(ISNUMBER(SEARCH("R", 'WetLitterbags placem_collection'!AD113)),"YES","NO")</f>
        <v>NO</v>
      </c>
      <c r="AJ186" s="255" t="str">
        <f>IF(ISNUMBER(SEARCH("C", 'WetLitterbags placem_collection'!AC113)),"YES","NO")</f>
        <v>NO</v>
      </c>
      <c r="AK186" s="255" t="str">
        <f>IF(ISNUMBER(SEARCH("H", 'WetLitterbags placem_collection'!AC113)),"YES","NO")</f>
        <v>NO</v>
      </c>
      <c r="AL186" s="255" t="str">
        <f>IF(ISNUMBER(SEARCH("R", 'WetLitterbags placem_collection'!AC113)),"YES","NO")</f>
        <v>NO</v>
      </c>
    </row>
    <row r="187" spans="2:38">
      <c r="B187" t="str">
        <f>'Final data_for_R_analysis_Wetse'!A113</f>
        <v>Wet</v>
      </c>
      <c r="C187" s="263">
        <f>'Final data_for_R_analysis_Wetse'!B113</f>
        <v>112</v>
      </c>
      <c r="D187" t="s">
        <v>3843</v>
      </c>
      <c r="E187" t="s">
        <v>22</v>
      </c>
      <c r="F187" s="387">
        <v>8</v>
      </c>
      <c r="G187" s="16">
        <f>'WetLitterbags placem_collection'!E114</f>
        <v>42762</v>
      </c>
      <c r="H187" t="str">
        <f>'Final data_for_R_analysis_Wetse'!J113</f>
        <v>G899</v>
      </c>
      <c r="I187" t="str">
        <f>'Final data_for_R_analysis_Wetse'!J333</f>
        <v>R41</v>
      </c>
      <c r="J187">
        <f>IFERROR(INDEX('Green_rooibos initial weight'!$C$5:$C$1749,MATCH(H187, 'Green_rooibos initial weight'!$A$5:$A$1749,0)),"")</f>
        <v>2.0129999999999999</v>
      </c>
      <c r="K187">
        <f>IFERROR(INDEX('Green_rooibos initial weight'!$C$5:$C$1749,MATCH(I187, 'Green_rooibos initial weight'!$A$5:$A$1749,0)),"")</f>
        <v>2.2010000000000001</v>
      </c>
      <c r="L187" s="195">
        <f t="shared" si="16"/>
        <v>1.7631999999999999</v>
      </c>
      <c r="M187" s="195">
        <f>AVERAGE(Ashed_controlls!$K$2:$K$11)</f>
        <v>5.5147656768714146</v>
      </c>
      <c r="N187" s="195">
        <f t="shared" si="12"/>
        <v>1.665963651585403</v>
      </c>
      <c r="O187" s="195">
        <f t="shared" si="17"/>
        <v>1.9512</v>
      </c>
      <c r="P187" s="195">
        <f>AVERAGE(Ashed_controlls!$K$12:$K$14)</f>
        <v>2.2816647271287041</v>
      </c>
      <c r="Q187" s="195">
        <f t="shared" si="18"/>
        <v>1.9066801578442647</v>
      </c>
      <c r="R187" s="16">
        <f>IF('WetLitterbags placem_collection'!G114="N.A","",'WetLitterbags placem_collection'!G114)</f>
        <v>42816</v>
      </c>
      <c r="S187" s="195">
        <f>IF(IFERROR(INDEX('Both teabags AfterWet'!$C$3:$C$841,MATCH(H187,'Both teabags AfterWet'!$A$3:$A$841,0)),"")="N.A","",(IFERROR(INDEX('Both teabags AfterWet'!$C$3:$C$841,MATCH(H187,'Both teabags AfterWet'!$A$3:$A$841,0)),"")))</f>
        <v>0.71899999999999997</v>
      </c>
      <c r="T187" s="195">
        <f>IFERROR(INDEX('Both teabags AfterWet'!$C$3:$C$841,MATCH(I187,'Both teabags AfterWet'!$A$3:$A$841,0)),"")</f>
        <v>1.6910000000000001</v>
      </c>
      <c r="U187" s="195">
        <f t="shared" si="19"/>
        <v>0.56840000000000002</v>
      </c>
      <c r="V187" s="195">
        <f t="shared" si="19"/>
        <v>1.5404</v>
      </c>
      <c r="W187" s="195">
        <f>IFERROR(INDEX('Ashed teabags wet'!$K$2:$K$821,MATCH(H187,'Ashed teabags wet'!$A$2:$A$821,0)),"")</f>
        <v>25.775193798450474</v>
      </c>
      <c r="X187" s="195">
        <f>IFERROR(INDEX('Ashed teabags wet'!$K$2:$K$821,MATCH(I187,'Ashed teabags wet'!$A$2:$A$821,0)),"")</f>
        <v>6.9995105237407165</v>
      </c>
      <c r="Y187" s="195">
        <f t="shared" si="13"/>
        <v>0.4218937984496075</v>
      </c>
      <c r="Z187" s="195">
        <f t="shared" si="13"/>
        <v>1.432579539892298</v>
      </c>
      <c r="AA187" s="195">
        <f t="shared" si="20"/>
        <v>0.74675690069941503</v>
      </c>
      <c r="AB187" s="195">
        <f t="shared" si="21"/>
        <v>0.48956034345139804</v>
      </c>
      <c r="AC187" s="195">
        <f t="shared" si="14"/>
        <v>0.75134758915832245</v>
      </c>
      <c r="AD187">
        <f t="shared" si="15"/>
        <v>54</v>
      </c>
      <c r="AE187" s="195">
        <f t="shared" si="22"/>
        <v>0.11311531983442391</v>
      </c>
      <c r="AF187" s="195">
        <f t="shared" si="23"/>
        <v>1.3131349850552969E-2</v>
      </c>
      <c r="AG187" s="255" t="str">
        <f>IF(ISNUMBER(SEARCH("C",'WetLitterbags placem_collection'!AD114)),"YES","NO")</f>
        <v>NO</v>
      </c>
      <c r="AH187" s="255" t="str">
        <f>IF(ISNUMBER(SEARCH("H", 'WetLitterbags placem_collection'!AD114)),"YES","NO")</f>
        <v>NO</v>
      </c>
      <c r="AI187" s="255" t="str">
        <f>IF(ISNUMBER(SEARCH("R", 'WetLitterbags placem_collection'!AD114)),"YES","NO")</f>
        <v>NO</v>
      </c>
      <c r="AJ187" s="255" t="str">
        <f>IF(ISNUMBER(SEARCH("C", 'WetLitterbags placem_collection'!AC114)),"YES","NO")</f>
        <v>NO</v>
      </c>
      <c r="AK187" s="255" t="str">
        <f>IF(ISNUMBER(SEARCH("H", 'WetLitterbags placem_collection'!AC114)),"YES","NO")</f>
        <v>NO</v>
      </c>
      <c r="AL187" s="255" t="str">
        <f>IF(ISNUMBER(SEARCH("R", 'WetLitterbags placem_collection'!AC114)),"YES","NO")</f>
        <v>NO</v>
      </c>
    </row>
    <row r="188" spans="2:38">
      <c r="B188" t="str">
        <f>'Final data_for_R_analysis_Wetse'!A114</f>
        <v>Wet</v>
      </c>
      <c r="C188" s="263">
        <f>'Final data_for_R_analysis_Wetse'!B114</f>
        <v>113</v>
      </c>
      <c r="D188" t="s">
        <v>3844</v>
      </c>
      <c r="E188" t="s">
        <v>22</v>
      </c>
      <c r="F188" s="386">
        <v>1</v>
      </c>
      <c r="G188" s="16">
        <f>'WetLitterbags placem_collection'!E115</f>
        <v>42762</v>
      </c>
      <c r="H188" t="str">
        <f>'Final data_for_R_analysis_Wetse'!J114</f>
        <v>G724</v>
      </c>
      <c r="I188" t="str">
        <f>'Final data_for_R_analysis_Wetse'!J334</f>
        <v>R428</v>
      </c>
      <c r="J188">
        <f>IFERROR(INDEX('Green_rooibos initial weight'!$C$5:$C$1749,MATCH(H188, 'Green_rooibos initial weight'!$A$5:$A$1749,0)),"")</f>
        <v>2.0289999999999999</v>
      </c>
      <c r="K188">
        <f>IFERROR(INDEX('Green_rooibos initial weight'!$C$5:$C$1749,MATCH(I188, 'Green_rooibos initial weight'!$A$5:$A$1749,0)),"")</f>
        <v>2.202</v>
      </c>
      <c r="L188" s="195">
        <f t="shared" si="16"/>
        <v>1.7791999999999999</v>
      </c>
      <c r="M188" s="195">
        <f>AVERAGE(Ashed_controlls!$K$2:$K$11)</f>
        <v>5.5147656768714146</v>
      </c>
      <c r="N188" s="195">
        <f t="shared" si="12"/>
        <v>1.6810812890771036</v>
      </c>
      <c r="O188" s="195">
        <f t="shared" si="17"/>
        <v>1.9521999999999999</v>
      </c>
      <c r="P188" s="195">
        <f>AVERAGE(Ashed_controlls!$K$12:$K$14)</f>
        <v>2.2816647271287041</v>
      </c>
      <c r="Q188" s="195">
        <f t="shared" si="18"/>
        <v>1.9076573411969935</v>
      </c>
      <c r="R188" s="16">
        <f>IF('WetLitterbags placem_collection'!G115="N.A","",'WetLitterbags placem_collection'!G115)</f>
        <v>42816</v>
      </c>
      <c r="S188" s="195">
        <f>IF(IFERROR(INDEX('Both teabags AfterWet'!$C$3:$C$841,MATCH(H188,'Both teabags AfterWet'!$A$3:$A$841,0)),"")="N.A","",(IFERROR(INDEX('Both teabags AfterWet'!$C$3:$C$841,MATCH(H188,'Both teabags AfterWet'!$A$3:$A$841,0)),"")))</f>
        <v>0.61099999999999999</v>
      </c>
      <c r="T188" s="195">
        <f>IFERROR(INDEX('Both teabags AfterWet'!$C$3:$C$841,MATCH(I188,'Both teabags AfterWet'!$A$3:$A$841,0)),"")</f>
        <v>1.768</v>
      </c>
      <c r="U188" s="195">
        <f t="shared" si="19"/>
        <v>0.46039999999999998</v>
      </c>
      <c r="V188" s="195">
        <f t="shared" si="19"/>
        <v>1.6173999999999999</v>
      </c>
      <c r="W188" s="195">
        <f>IFERROR(INDEX('Ashed teabags wet'!$K$2:$K$821,MATCH(H188,'Ashed teabags wet'!$A$2:$A$821,0)),"")</f>
        <v>15.414073719482863</v>
      </c>
      <c r="X188" s="195">
        <f>IFERROR(INDEX('Ashed teabags wet'!$K$2:$K$821,MATCH(I188,'Ashed teabags wet'!$A$2:$A$821,0)),"")</f>
        <v>90.530490827962367</v>
      </c>
      <c r="Y188" s="195">
        <f t="shared" si="13"/>
        <v>0.38943360459550092</v>
      </c>
      <c r="Z188" s="195">
        <f t="shared" si="13"/>
        <v>0.15315984134853666</v>
      </c>
      <c r="AA188" s="195">
        <f t="shared" si="20"/>
        <v>0.76834338284182802</v>
      </c>
      <c r="AB188" s="195">
        <f t="shared" si="21"/>
        <v>0.50371205145925069</v>
      </c>
      <c r="AC188" s="195">
        <f t="shared" si="14"/>
        <v>8.0286872301937512E-2</v>
      </c>
      <c r="AD188">
        <f t="shared" si="15"/>
        <v>54</v>
      </c>
      <c r="AE188" s="195">
        <f t="shared" si="22"/>
        <v>8.7478167646285021E-2</v>
      </c>
      <c r="AF188" s="195" t="str">
        <f t="shared" si="23"/>
        <v/>
      </c>
      <c r="AG188" s="255" t="str">
        <f>IF(ISNUMBER(SEARCH("C",'WetLitterbags placem_collection'!AD115)),"YES","NO")</f>
        <v>NO</v>
      </c>
      <c r="AH188" s="255" t="str">
        <f>IF(ISNUMBER(SEARCH("H", 'WetLitterbags placem_collection'!AD115)),"YES","NO")</f>
        <v>NO</v>
      </c>
      <c r="AI188" s="255" t="str">
        <f>IF(ISNUMBER(SEARCH("R", 'WetLitterbags placem_collection'!AD115)),"YES","NO")</f>
        <v>NO</v>
      </c>
      <c r="AJ188" s="255" t="str">
        <f>IF(ISNUMBER(SEARCH("C", 'WetLitterbags placem_collection'!AC115)),"YES","NO")</f>
        <v>NO</v>
      </c>
      <c r="AK188" s="255" t="str">
        <f>IF(ISNUMBER(SEARCH("H", 'WetLitterbags placem_collection'!AC115)),"YES","NO")</f>
        <v>NO</v>
      </c>
      <c r="AL188" s="255" t="str">
        <f>IF(ISNUMBER(SEARCH("R", 'WetLitterbags placem_collection'!AC115)),"YES","NO")</f>
        <v>NO</v>
      </c>
    </row>
    <row r="189" spans="2:38">
      <c r="B189" t="str">
        <f>'Final data_for_R_analysis_Wetse'!A115</f>
        <v>Wet</v>
      </c>
      <c r="C189" s="263">
        <f>'Final data_for_R_analysis_Wetse'!B115</f>
        <v>114</v>
      </c>
      <c r="D189" t="s">
        <v>3844</v>
      </c>
      <c r="E189" t="s">
        <v>22</v>
      </c>
      <c r="F189" s="386">
        <v>2</v>
      </c>
      <c r="G189" s="16">
        <f>'WetLitterbags placem_collection'!E116</f>
        <v>42762</v>
      </c>
      <c r="H189" t="str">
        <f>'Final data_for_R_analysis_Wetse'!J115</f>
        <v>G803</v>
      </c>
      <c r="I189" t="str">
        <f>'Final data_for_R_analysis_Wetse'!J335</f>
        <v>R601</v>
      </c>
      <c r="J189">
        <f>IFERROR(INDEX('Green_rooibos initial weight'!$C$5:$C$1749,MATCH(H189, 'Green_rooibos initial weight'!$A$5:$A$1749,0)),"")</f>
        <v>2.0590000000000002</v>
      </c>
      <c r="K189">
        <f>IFERROR(INDEX('Green_rooibos initial weight'!$C$5:$C$1749,MATCH(I189, 'Green_rooibos initial weight'!$A$5:$A$1749,0)),"")</f>
        <v>2.198</v>
      </c>
      <c r="L189" s="195">
        <f t="shared" si="16"/>
        <v>1.8092000000000001</v>
      </c>
      <c r="M189" s="195">
        <f>AVERAGE(Ashed_controlls!$K$2:$K$11)</f>
        <v>5.5147656768714146</v>
      </c>
      <c r="N189" s="195">
        <f t="shared" si="12"/>
        <v>1.7094268593740425</v>
      </c>
      <c r="O189" s="195">
        <f t="shared" si="17"/>
        <v>1.9481999999999999</v>
      </c>
      <c r="P189" s="195">
        <f>AVERAGE(Ashed_controlls!$K$12:$K$14)</f>
        <v>2.2816647271287041</v>
      </c>
      <c r="Q189" s="195">
        <f t="shared" si="18"/>
        <v>1.9037486077860786</v>
      </c>
      <c r="R189" s="16">
        <f>IF('WetLitterbags placem_collection'!G116="N.A","",'WetLitterbags placem_collection'!G116)</f>
        <v>42816</v>
      </c>
      <c r="S189" s="195">
        <f>IF(IFERROR(INDEX('Both teabags AfterWet'!$C$3:$C$841,MATCH(H189,'Both teabags AfterWet'!$A$3:$A$841,0)),"")="N.A","",(IFERROR(INDEX('Both teabags AfterWet'!$C$3:$C$841,MATCH(H189,'Both teabags AfterWet'!$A$3:$A$841,0)),"")))</f>
        <v>0.64300000000000002</v>
      </c>
      <c r="T189" s="195">
        <f>IFERROR(INDEX('Both teabags AfterWet'!$C$3:$C$841,MATCH(I189,'Both teabags AfterWet'!$A$3:$A$841,0)),"")</f>
        <v>2.7930000000000001</v>
      </c>
      <c r="U189" s="195">
        <f t="shared" si="19"/>
        <v>0.4924</v>
      </c>
      <c r="V189" s="195">
        <f t="shared" si="19"/>
        <v>2.6424000000000003</v>
      </c>
      <c r="W189" s="195">
        <f>IFERROR(INDEX('Ashed teabags wet'!$K$2:$K$821,MATCH(H189,'Ashed teabags wet'!$A$2:$A$821,0)),"")</f>
        <v>21.028971028971405</v>
      </c>
      <c r="X189" s="195">
        <f>IFERROR(INDEX('Ashed teabags wet'!$K$2:$K$821,MATCH(I189,'Ashed teabags wet'!$A$2:$A$821,0)),"")</f>
        <v>95.101842870998382</v>
      </c>
      <c r="Y189" s="195">
        <f t="shared" si="13"/>
        <v>0.38885334665334481</v>
      </c>
      <c r="Z189" s="195">
        <f t="shared" si="13"/>
        <v>0.12942890397673867</v>
      </c>
      <c r="AA189" s="195">
        <f t="shared" si="20"/>
        <v>0.7725241389995855</v>
      </c>
      <c r="AB189" s="195">
        <f t="shared" si="21"/>
        <v>0.50645287972419384</v>
      </c>
      <c r="AC189" s="195">
        <f t="shared" si="14"/>
        <v>6.7986342024042287E-2</v>
      </c>
      <c r="AD189">
        <f t="shared" si="15"/>
        <v>54</v>
      </c>
      <c r="AE189" s="195">
        <f t="shared" si="22"/>
        <v>8.2512899050373512E-2</v>
      </c>
      <c r="AF189" s="195" t="str">
        <f t="shared" si="23"/>
        <v/>
      </c>
      <c r="AG189" s="255" t="str">
        <f>IF(ISNUMBER(SEARCH("C",'WetLitterbags placem_collection'!AD116)),"YES","NO")</f>
        <v>NO</v>
      </c>
      <c r="AH189" s="255" t="str">
        <f>IF(ISNUMBER(SEARCH("H", 'WetLitterbags placem_collection'!AD116)),"YES","NO")</f>
        <v>NO</v>
      </c>
      <c r="AI189" s="255" t="str">
        <f>IF(ISNUMBER(SEARCH("R", 'WetLitterbags placem_collection'!AD116)),"YES","NO")</f>
        <v>NO</v>
      </c>
      <c r="AJ189" s="255" t="str">
        <f>IF(ISNUMBER(SEARCH("C", 'WetLitterbags placem_collection'!AC116)),"YES","NO")</f>
        <v>NO</v>
      </c>
      <c r="AK189" s="255" t="str">
        <f>IF(ISNUMBER(SEARCH("H", 'WetLitterbags placem_collection'!AC116)),"YES","NO")</f>
        <v>NO</v>
      </c>
      <c r="AL189" s="255" t="str">
        <f>IF(ISNUMBER(SEARCH("R", 'WetLitterbags placem_collection'!AC116)),"YES","NO")</f>
        <v>NO</v>
      </c>
    </row>
    <row r="190" spans="2:38">
      <c r="B190" t="str">
        <f>'Final data_for_R_analysis_Wetse'!A116</f>
        <v>Wet</v>
      </c>
      <c r="C190" s="263">
        <f>'Final data_for_R_analysis_Wetse'!B116</f>
        <v>115</v>
      </c>
      <c r="D190" t="s">
        <v>3844</v>
      </c>
      <c r="E190" t="s">
        <v>22</v>
      </c>
      <c r="F190" s="386">
        <v>3</v>
      </c>
      <c r="G190" s="16">
        <f>'WetLitterbags placem_collection'!E117</f>
        <v>42762</v>
      </c>
      <c r="H190" t="str">
        <f>'Final data_for_R_analysis_Wetse'!J116</f>
        <v>G693</v>
      </c>
      <c r="I190" t="str">
        <f>'Final data_for_R_analysis_Wetse'!J336</f>
        <v>R553</v>
      </c>
      <c r="J190">
        <f>IFERROR(INDEX('Green_rooibos initial weight'!$C$5:$C$1749,MATCH(H190, 'Green_rooibos initial weight'!$A$5:$A$1749,0)),"")</f>
        <v>2.0710000000000002</v>
      </c>
      <c r="K190">
        <f>IFERROR(INDEX('Green_rooibos initial weight'!$C$5:$C$1749,MATCH(I190, 'Green_rooibos initial weight'!$A$5:$A$1749,0)),"")</f>
        <v>2.1949999999999998</v>
      </c>
      <c r="L190" s="195">
        <f t="shared" si="16"/>
        <v>1.8212000000000002</v>
      </c>
      <c r="M190" s="195">
        <f>AVERAGE(Ashed_controlls!$K$2:$K$11)</f>
        <v>5.5147656768714146</v>
      </c>
      <c r="N190" s="195">
        <f t="shared" si="12"/>
        <v>1.720765087492818</v>
      </c>
      <c r="O190" s="195">
        <f t="shared" si="17"/>
        <v>1.9451999999999998</v>
      </c>
      <c r="P190" s="195">
        <f>AVERAGE(Ashed_controlls!$K$12:$K$14)</f>
        <v>2.2816647271287041</v>
      </c>
      <c r="Q190" s="195">
        <f t="shared" si="18"/>
        <v>1.9008170577278922</v>
      </c>
      <c r="R190" s="16">
        <f>IF('WetLitterbags placem_collection'!G117="N.A","",'WetLitterbags placem_collection'!G117)</f>
        <v>42816</v>
      </c>
      <c r="S190" s="195">
        <f>IF(IFERROR(INDEX('Both teabags AfterWet'!$C$3:$C$841,MATCH(H190,'Both teabags AfterWet'!$A$3:$A$841,0)),"")="N.A","",(IFERROR(INDEX('Both teabags AfterWet'!$C$3:$C$841,MATCH(H190,'Both teabags AfterWet'!$A$3:$A$841,0)),"")))</f>
        <v>0.63400000000000001</v>
      </c>
      <c r="T190" s="195">
        <f>IFERROR(INDEX('Both teabags AfterWet'!$C$3:$C$841,MATCH(I190,'Both teabags AfterWet'!$A$3:$A$841,0)),"")</f>
        <v>0.99990000000000001</v>
      </c>
      <c r="U190" s="195">
        <f t="shared" si="19"/>
        <v>0.4834</v>
      </c>
      <c r="V190" s="195">
        <f t="shared" si="19"/>
        <v>0.84929999999999994</v>
      </c>
      <c r="W190" s="195">
        <f>IFERROR(INDEX('Ashed teabags wet'!$K$2:$K$821,MATCH(H190,'Ashed teabags wet'!$A$2:$A$821,0)),"")</f>
        <v>16.568993074054781</v>
      </c>
      <c r="X190" s="195">
        <f>IFERROR(INDEX('Ashed teabags wet'!$K$2:$K$821,MATCH(I190,'Ashed teabags wet'!$A$2:$A$821,0)),"")</f>
        <v>91.722365038559602</v>
      </c>
      <c r="Y190" s="195">
        <f t="shared" si="13"/>
        <v>0.40330548748001921</v>
      </c>
      <c r="Z190" s="195">
        <f t="shared" si="13"/>
        <v>7.0301953727513244E-2</v>
      </c>
      <c r="AA190" s="195">
        <f t="shared" si="20"/>
        <v>0.76562432001241865</v>
      </c>
      <c r="AB190" s="195">
        <f t="shared" si="21"/>
        <v>0.5019294829535097</v>
      </c>
      <c r="AC190" s="195">
        <f t="shared" si="14"/>
        <v>3.6985123550788958E-2</v>
      </c>
      <c r="AD190">
        <f t="shared" si="15"/>
        <v>54</v>
      </c>
      <c r="AE190" s="195">
        <f t="shared" si="22"/>
        <v>9.0707458417555009E-2</v>
      </c>
      <c r="AF190" s="195" t="str">
        <f t="shared" si="23"/>
        <v/>
      </c>
      <c r="AG190" s="255" t="str">
        <f>IF(ISNUMBER(SEARCH("C",'WetLitterbags placem_collection'!AD117)),"YES","NO")</f>
        <v>NO</v>
      </c>
      <c r="AH190" s="255" t="str">
        <f>IF(ISNUMBER(SEARCH("H", 'WetLitterbags placem_collection'!AD117)),"YES","NO")</f>
        <v>NO</v>
      </c>
      <c r="AI190" s="255" t="str">
        <f>IF(ISNUMBER(SEARCH("R", 'WetLitterbags placem_collection'!AD117)),"YES","NO")</f>
        <v>NO</v>
      </c>
      <c r="AJ190" s="255" t="str">
        <f>IF(ISNUMBER(SEARCH("C", 'WetLitterbags placem_collection'!AC117)),"YES","NO")</f>
        <v>NO</v>
      </c>
      <c r="AK190" s="255" t="str">
        <f>IF(ISNUMBER(SEARCH("H", 'WetLitterbags placem_collection'!AC117)),"YES","NO")</f>
        <v>NO</v>
      </c>
      <c r="AL190" s="255" t="str">
        <f>IF(ISNUMBER(SEARCH("R", 'WetLitterbags placem_collection'!AC117)),"YES","NO")</f>
        <v>NO</v>
      </c>
    </row>
    <row r="191" spans="2:38">
      <c r="B191" t="str">
        <f>'Final data_for_R_analysis_Wetse'!A117</f>
        <v>Wet</v>
      </c>
      <c r="C191" s="263">
        <f>'Final data_for_R_analysis_Wetse'!B117</f>
        <v>116</v>
      </c>
      <c r="D191" t="s">
        <v>3844</v>
      </c>
      <c r="E191" t="s">
        <v>22</v>
      </c>
      <c r="F191" s="387">
        <v>4</v>
      </c>
      <c r="G191" s="16">
        <f>'WetLitterbags placem_collection'!E118</f>
        <v>42762</v>
      </c>
      <c r="H191" t="str">
        <f>'Final data_for_R_analysis_Wetse'!J117</f>
        <v>G897</v>
      </c>
      <c r="I191" t="str">
        <f>'Final data_for_R_analysis_Wetse'!J337</f>
        <v>R459</v>
      </c>
      <c r="J191">
        <f>IFERROR(INDEX('Green_rooibos initial weight'!$C$5:$C$1749,MATCH(H191, 'Green_rooibos initial weight'!$A$5:$A$1749,0)),"")</f>
        <v>2.0299999999999998</v>
      </c>
      <c r="K191">
        <f>IFERROR(INDEX('Green_rooibos initial weight'!$C$5:$C$1749,MATCH(I191, 'Green_rooibos initial weight'!$A$5:$A$1749,0)),"")</f>
        <v>2.2090000000000001</v>
      </c>
      <c r="L191" s="195">
        <f t="shared" si="16"/>
        <v>1.7801999999999998</v>
      </c>
      <c r="M191" s="195">
        <f>AVERAGE(Ashed_controlls!$K$2:$K$11)</f>
        <v>5.5147656768714146</v>
      </c>
      <c r="N191" s="195">
        <f t="shared" si="12"/>
        <v>1.6820261414203348</v>
      </c>
      <c r="O191" s="195">
        <f t="shared" si="17"/>
        <v>1.9592000000000001</v>
      </c>
      <c r="P191" s="195">
        <f>AVERAGE(Ashed_controlls!$K$12:$K$14)</f>
        <v>2.2816647271287041</v>
      </c>
      <c r="Q191" s="195">
        <f t="shared" si="18"/>
        <v>1.9144976246660945</v>
      </c>
      <c r="R191" s="16">
        <f>IF('WetLitterbags placem_collection'!G118="N.A","",'WetLitterbags placem_collection'!G118)</f>
        <v>42816</v>
      </c>
      <c r="S191" s="195">
        <f>IF(IFERROR(INDEX('Both teabags AfterWet'!$C$3:$C$841,MATCH(H191,'Both teabags AfterWet'!$A$3:$A$841,0)),"")="N.A","",(IFERROR(INDEX('Both teabags AfterWet'!$C$3:$C$841,MATCH(H191,'Both teabags AfterWet'!$A$3:$A$841,0)),"")))</f>
        <v>0.67869999999999997</v>
      </c>
      <c r="T191" s="195">
        <f>IFERROR(INDEX('Both teabags AfterWet'!$C$3:$C$841,MATCH(I191,'Both teabags AfterWet'!$A$3:$A$841,0)),"")</f>
        <v>0.68710000000000004</v>
      </c>
      <c r="U191" s="195">
        <f t="shared" si="19"/>
        <v>0.52810000000000001</v>
      </c>
      <c r="V191" s="195">
        <f t="shared" si="19"/>
        <v>0.53649999999999998</v>
      </c>
      <c r="W191" s="195">
        <f>IFERROR(INDEX('Ashed teabags wet'!$K$2:$K$821,MATCH(H191,'Ashed teabags wet'!$A$2:$A$821,0)),"")</f>
        <v>16.164658634537794</v>
      </c>
      <c r="X191" s="195">
        <f>IFERROR(INDEX('Ashed teabags wet'!$K$2:$K$821,MATCH(I191,'Ashed teabags wet'!$A$2:$A$821,0)),"")</f>
        <v>84.783689706613757</v>
      </c>
      <c r="Y191" s="195">
        <f t="shared" si="13"/>
        <v>0.44273443775100596</v>
      </c>
      <c r="Z191" s="195">
        <f t="shared" si="13"/>
        <v>8.1635504724017205E-2</v>
      </c>
      <c r="AA191" s="195">
        <f t="shared" si="20"/>
        <v>0.73678504343746254</v>
      </c>
      <c r="AB191" s="195">
        <f t="shared" si="21"/>
        <v>0.48302297384498738</v>
      </c>
      <c r="AC191" s="195">
        <f t="shared" si="14"/>
        <v>4.2640692614207429E-2</v>
      </c>
      <c r="AD191">
        <f t="shared" si="15"/>
        <v>54</v>
      </c>
      <c r="AE191" s="195">
        <f t="shared" si="22"/>
        <v>0.12495838071560261</v>
      </c>
      <c r="AF191" s="195" t="str">
        <f t="shared" si="23"/>
        <v/>
      </c>
      <c r="AG191" s="255" t="str">
        <f>IF(ISNUMBER(SEARCH("C",'WetLitterbags placem_collection'!AD118)),"YES","NO")</f>
        <v>NO</v>
      </c>
      <c r="AH191" s="255" t="str">
        <f>IF(ISNUMBER(SEARCH("H", 'WetLitterbags placem_collection'!AD118)),"YES","NO")</f>
        <v>NO</v>
      </c>
      <c r="AI191" s="255" t="str">
        <f>IF(ISNUMBER(SEARCH("R", 'WetLitterbags placem_collection'!AD118)),"YES","NO")</f>
        <v>NO</v>
      </c>
      <c r="AJ191" s="255" t="str">
        <f>IF(ISNUMBER(SEARCH("C", 'WetLitterbags placem_collection'!AC118)),"YES","NO")</f>
        <v>NO</v>
      </c>
      <c r="AK191" s="255" t="str">
        <f>IF(ISNUMBER(SEARCH("H", 'WetLitterbags placem_collection'!AC118)),"YES","NO")</f>
        <v>NO</v>
      </c>
      <c r="AL191" s="255" t="str">
        <f>IF(ISNUMBER(SEARCH("R", 'WetLitterbags placem_collection'!AC118)),"YES","NO")</f>
        <v>NO</v>
      </c>
    </row>
    <row r="192" spans="2:38">
      <c r="B192" t="str">
        <f>'Final data_for_R_analysis_Wetse'!A118</f>
        <v>Wet</v>
      </c>
      <c r="C192" s="263">
        <f>'Final data_for_R_analysis_Wetse'!B118</f>
        <v>117</v>
      </c>
      <c r="D192" t="s">
        <v>3844</v>
      </c>
      <c r="E192" t="s">
        <v>22</v>
      </c>
      <c r="F192" s="387">
        <v>5</v>
      </c>
      <c r="G192" s="16">
        <f>'WetLitterbags placem_collection'!E119</f>
        <v>42762</v>
      </c>
      <c r="H192" t="str">
        <f>'Final data_for_R_analysis_Wetse'!J118</f>
        <v>G789</v>
      </c>
      <c r="I192" t="str">
        <f>'Final data_for_R_analysis_Wetse'!J338</f>
        <v>R511</v>
      </c>
      <c r="J192">
        <f>IFERROR(INDEX('Green_rooibos initial weight'!$C$5:$C$1749,MATCH(H192, 'Green_rooibos initial weight'!$A$5:$A$1749,0)),"")</f>
        <v>2.109</v>
      </c>
      <c r="K192">
        <f>IFERROR(INDEX('Green_rooibos initial weight'!$C$5:$C$1749,MATCH(I192, 'Green_rooibos initial weight'!$A$5:$A$1749,0)),"")</f>
        <v>2.1779999999999999</v>
      </c>
      <c r="L192" s="195">
        <f t="shared" si="16"/>
        <v>1.8592</v>
      </c>
      <c r="M192" s="195">
        <f>AVERAGE(Ashed_controlls!$K$2:$K$11)</f>
        <v>5.5147656768714146</v>
      </c>
      <c r="N192" s="195">
        <f t="shared" si="12"/>
        <v>1.7566694765356066</v>
      </c>
      <c r="O192" s="195">
        <f t="shared" si="17"/>
        <v>1.9281999999999999</v>
      </c>
      <c r="P192" s="195">
        <f>AVERAGE(Ashed_controlls!$K$12:$K$14)</f>
        <v>2.2816647271287041</v>
      </c>
      <c r="Q192" s="195">
        <f t="shared" si="18"/>
        <v>1.8842049407315042</v>
      </c>
      <c r="R192" s="16">
        <f>IF('WetLitterbags placem_collection'!G119="N.A","",'WetLitterbags placem_collection'!G119)</f>
        <v>42816</v>
      </c>
      <c r="S192" s="195">
        <f>IF(IFERROR(INDEX('Both teabags AfterWet'!$C$3:$C$841,MATCH(H192,'Both teabags AfterWet'!$A$3:$A$841,0)),"")="N.A","",(IFERROR(INDEX('Both teabags AfterWet'!$C$3:$C$841,MATCH(H192,'Both teabags AfterWet'!$A$3:$A$841,0)),"")))</f>
        <v>0.79800000000000004</v>
      </c>
      <c r="T192" s="195">
        <f>IFERROR(INDEX('Both teabags AfterWet'!$C$3:$C$841,MATCH(I192,'Both teabags AfterWet'!$A$3:$A$841,0)),"")</f>
        <v>0.39700000000000002</v>
      </c>
      <c r="U192" s="195">
        <f t="shared" si="19"/>
        <v>0.64739999999999998</v>
      </c>
      <c r="V192" s="195">
        <f t="shared" si="19"/>
        <v>0.24640000000000001</v>
      </c>
      <c r="W192" s="195">
        <f>IFERROR(INDEX('Ashed teabags wet'!$K$2:$K$821,MATCH(H192,'Ashed teabags wet'!$A$2:$A$821,0)),"")</f>
        <v>28.215353938185377</v>
      </c>
      <c r="X192" s="195">
        <f>IFERROR(INDEX('Ashed teabags wet'!$K$2:$K$821,MATCH(I192,'Ashed teabags wet'!$A$2:$A$821,0)),"")</f>
        <v>90.300678952473106</v>
      </c>
      <c r="Y192" s="195">
        <f t="shared" si="13"/>
        <v>0.46473379860418784</v>
      </c>
      <c r="Z192" s="195">
        <f t="shared" si="13"/>
        <v>2.3899127061106279E-2</v>
      </c>
      <c r="AA192" s="195">
        <f t="shared" si="20"/>
        <v>0.73544607860967293</v>
      </c>
      <c r="AB192" s="195">
        <f t="shared" si="21"/>
        <v>0.48214517267522505</v>
      </c>
      <c r="AC192" s="195">
        <f t="shared" si="14"/>
        <v>1.2683931850761377E-2</v>
      </c>
      <c r="AD192">
        <f t="shared" si="15"/>
        <v>54</v>
      </c>
      <c r="AE192" s="195">
        <f t="shared" si="22"/>
        <v>0.12654860022604164</v>
      </c>
      <c r="AF192" s="195" t="str">
        <f t="shared" si="23"/>
        <v/>
      </c>
      <c r="AG192" s="255" t="str">
        <f>IF(ISNUMBER(SEARCH("C",'WetLitterbags placem_collection'!AD119)),"YES","NO")</f>
        <v>NO</v>
      </c>
      <c r="AH192" s="255" t="str">
        <f>IF(ISNUMBER(SEARCH("H", 'WetLitterbags placem_collection'!AD119)),"YES","NO")</f>
        <v>NO</v>
      </c>
      <c r="AI192" s="255" t="str">
        <f>IF(ISNUMBER(SEARCH("R", 'WetLitterbags placem_collection'!AD119)),"YES","NO")</f>
        <v>NO</v>
      </c>
      <c r="AJ192" s="255" t="str">
        <f>IF(ISNUMBER(SEARCH("C", 'WetLitterbags placem_collection'!AC119)),"YES","NO")</f>
        <v>NO</v>
      </c>
      <c r="AK192" s="255" t="str">
        <f>IF(ISNUMBER(SEARCH("H", 'WetLitterbags placem_collection'!AC119)),"YES","NO")</f>
        <v>NO</v>
      </c>
      <c r="AL192" s="255" t="str">
        <f>IF(ISNUMBER(SEARCH("R", 'WetLitterbags placem_collection'!AC119)),"YES","NO")</f>
        <v>NO</v>
      </c>
    </row>
    <row r="193" spans="2:38">
      <c r="B193" t="str">
        <f>'Final data_for_R_analysis_Wetse'!A119</f>
        <v>Wet</v>
      </c>
      <c r="C193" s="263">
        <f>'Final data_for_R_analysis_Wetse'!B119</f>
        <v>118</v>
      </c>
      <c r="D193" t="s">
        <v>3844</v>
      </c>
      <c r="E193" t="s">
        <v>22</v>
      </c>
      <c r="F193" s="387">
        <v>6</v>
      </c>
      <c r="G193" s="16">
        <f>'WetLitterbags placem_collection'!E120</f>
        <v>42762</v>
      </c>
      <c r="H193" t="str">
        <f>'Final data_for_R_analysis_Wetse'!J119</f>
        <v>G681</v>
      </c>
      <c r="I193" t="str">
        <f>'Final data_for_R_analysis_Wetse'!J339</f>
        <v>R495</v>
      </c>
      <c r="J193">
        <f>IFERROR(INDEX('Green_rooibos initial weight'!$C$5:$C$1749,MATCH(H193, 'Green_rooibos initial weight'!$A$5:$A$1749,0)),"")</f>
        <v>2.0790000000000002</v>
      </c>
      <c r="K193">
        <f>IFERROR(INDEX('Green_rooibos initial weight'!$C$5:$C$1749,MATCH(I193, 'Green_rooibos initial weight'!$A$5:$A$1749,0)),"")</f>
        <v>2.25</v>
      </c>
      <c r="L193" s="195">
        <f t="shared" si="16"/>
        <v>1.8292000000000002</v>
      </c>
      <c r="M193" s="195">
        <f>AVERAGE(Ashed_controlls!$K$2:$K$11)</f>
        <v>5.5147656768714146</v>
      </c>
      <c r="N193" s="195">
        <f t="shared" si="12"/>
        <v>1.7283239062386682</v>
      </c>
      <c r="O193" s="195">
        <f t="shared" si="17"/>
        <v>2.0002</v>
      </c>
      <c r="P193" s="195">
        <f>AVERAGE(Ashed_controlls!$K$12:$K$14)</f>
        <v>2.2816647271287041</v>
      </c>
      <c r="Q193" s="195">
        <f t="shared" si="18"/>
        <v>1.9545621421279717</v>
      </c>
      <c r="R193" s="16">
        <f>IF('WetLitterbags placem_collection'!G120="N.A","",'WetLitterbags placem_collection'!G120)</f>
        <v>42816</v>
      </c>
      <c r="S193" s="195">
        <f>IF(IFERROR(INDEX('Both teabags AfterWet'!$C$3:$C$841,MATCH(H193,'Both teabags AfterWet'!$A$3:$A$841,0)),"")="N.A","",(IFERROR(INDEX('Both teabags AfterWet'!$C$3:$C$841,MATCH(H193,'Both teabags AfterWet'!$A$3:$A$841,0)),"")))</f>
        <v>0.56799999999999995</v>
      </c>
      <c r="T193" s="195">
        <f>IFERROR(INDEX('Both teabags AfterWet'!$C$3:$C$841,MATCH(I193,'Both teabags AfterWet'!$A$3:$A$841,0)),"")</f>
        <v>1.468</v>
      </c>
      <c r="U193" s="195">
        <f t="shared" si="19"/>
        <v>0.41739999999999994</v>
      </c>
      <c r="V193" s="195">
        <f t="shared" si="19"/>
        <v>1.3173999999999999</v>
      </c>
      <c r="W193" s="195">
        <f>IFERROR(INDEX('Ashed teabags wet'!$K$2:$K$821,MATCH(H193,'Ashed teabags wet'!$A$2:$A$821,0)),"")</f>
        <v>15.039447731755478</v>
      </c>
      <c r="X193" s="195">
        <f>IFERROR(INDEX('Ashed teabags wet'!$K$2:$K$821,MATCH(I193,'Ashed teabags wet'!$A$2:$A$821,0)),"")</f>
        <v>90.558576371725209</v>
      </c>
      <c r="Y193" s="195">
        <f t="shared" si="13"/>
        <v>0.35462534516765259</v>
      </c>
      <c r="Z193" s="195">
        <f t="shared" si="13"/>
        <v>0.12438131487889215</v>
      </c>
      <c r="AA193" s="195">
        <f t="shared" si="20"/>
        <v>0.79481546029215111</v>
      </c>
      <c r="AB193" s="195">
        <f t="shared" si="21"/>
        <v>0.52106666755494946</v>
      </c>
      <c r="AC193" s="195">
        <f t="shared" si="14"/>
        <v>6.3636408481479986E-2</v>
      </c>
      <c r="AD193">
        <f t="shared" si="15"/>
        <v>54</v>
      </c>
      <c r="AE193" s="195">
        <f t="shared" si="22"/>
        <v>5.6038645733787251E-2</v>
      </c>
      <c r="AF193" s="195" t="str">
        <f t="shared" si="23"/>
        <v/>
      </c>
      <c r="AG193" s="255" t="str">
        <f>IF(ISNUMBER(SEARCH("C",'WetLitterbags placem_collection'!AD120)),"YES","NO")</f>
        <v>NO</v>
      </c>
      <c r="AH193" s="255" t="str">
        <f>IF(ISNUMBER(SEARCH("H", 'WetLitterbags placem_collection'!AD120)),"YES","NO")</f>
        <v>NO</v>
      </c>
      <c r="AI193" s="255" t="str">
        <f>IF(ISNUMBER(SEARCH("R", 'WetLitterbags placem_collection'!AD120)),"YES","NO")</f>
        <v>NO</v>
      </c>
      <c r="AJ193" s="255" t="str">
        <f>IF(ISNUMBER(SEARCH("C", 'WetLitterbags placem_collection'!AC120)),"YES","NO")</f>
        <v>NO</v>
      </c>
      <c r="AK193" s="255" t="str">
        <f>IF(ISNUMBER(SEARCH("H", 'WetLitterbags placem_collection'!AC120)),"YES","NO")</f>
        <v>NO</v>
      </c>
      <c r="AL193" s="255" t="str">
        <f>IF(ISNUMBER(SEARCH("R", 'WetLitterbags placem_collection'!AC120)),"YES","NO")</f>
        <v>NO</v>
      </c>
    </row>
    <row r="194" spans="2:38">
      <c r="B194" t="str">
        <f>'Final data_for_R_analysis_Wetse'!A120</f>
        <v>Wet</v>
      </c>
      <c r="C194" s="263">
        <f>'Final data_for_R_analysis_Wetse'!B120</f>
        <v>119</v>
      </c>
      <c r="D194" t="s">
        <v>3844</v>
      </c>
      <c r="E194" t="s">
        <v>22</v>
      </c>
      <c r="F194" s="387">
        <v>7</v>
      </c>
      <c r="G194" s="16">
        <f>'WetLitterbags placem_collection'!E121</f>
        <v>42762</v>
      </c>
      <c r="H194" t="str">
        <f>'Final data_for_R_analysis_Wetse'!J120</f>
        <v>G657</v>
      </c>
      <c r="I194" t="str">
        <f>'Final data_for_R_analysis_Wetse'!J340</f>
        <v>R584</v>
      </c>
      <c r="J194">
        <f>IFERROR(INDEX('Green_rooibos initial weight'!$C$5:$C$1749,MATCH(H194, 'Green_rooibos initial weight'!$A$5:$A$1749,0)),"")</f>
        <v>1.9910000000000001</v>
      </c>
      <c r="K194">
        <f>IFERROR(INDEX('Green_rooibos initial weight'!$C$5:$C$1749,MATCH(I194, 'Green_rooibos initial weight'!$A$5:$A$1749,0)),"")</f>
        <v>2.2170000000000001</v>
      </c>
      <c r="L194" s="195">
        <f t="shared" si="16"/>
        <v>1.7412000000000001</v>
      </c>
      <c r="M194" s="195">
        <f>AVERAGE(Ashed_controlls!$K$2:$K$11)</f>
        <v>5.5147656768714146</v>
      </c>
      <c r="N194" s="195">
        <f t="shared" si="12"/>
        <v>1.645176900034315</v>
      </c>
      <c r="O194" s="195">
        <f t="shared" si="17"/>
        <v>1.9672000000000001</v>
      </c>
      <c r="P194" s="195">
        <f>AVERAGE(Ashed_controlls!$K$12:$K$14)</f>
        <v>2.2816647271287041</v>
      </c>
      <c r="Q194" s="195">
        <f t="shared" si="18"/>
        <v>1.9223150914879241</v>
      </c>
      <c r="R194" s="16">
        <f>IF('WetLitterbags placem_collection'!G121="N.A","",'WetLitterbags placem_collection'!G121)</f>
        <v>42816</v>
      </c>
      <c r="S194" s="195">
        <f>IF(IFERROR(INDEX('Both teabags AfterWet'!$C$3:$C$841,MATCH(H194,'Both teabags AfterWet'!$A$3:$A$841,0)),"")="N.A","",(IFERROR(INDEX('Both teabags AfterWet'!$C$3:$C$841,MATCH(H194,'Both teabags AfterWet'!$A$3:$A$841,0)),"")))</f>
        <v>0.70099999999999996</v>
      </c>
      <c r="T194" s="195">
        <f>IFERROR(INDEX('Both teabags AfterWet'!$C$3:$C$841,MATCH(I194,'Both teabags AfterWet'!$A$3:$A$841,0)),"")</f>
        <v>0.435</v>
      </c>
      <c r="U194" s="195">
        <f t="shared" si="19"/>
        <v>0.5504</v>
      </c>
      <c r="V194" s="195">
        <f t="shared" si="19"/>
        <v>0.28439999999999999</v>
      </c>
      <c r="W194" s="195">
        <f>IFERROR(INDEX('Ashed teabags wet'!$K$2:$K$821,MATCH(H194,'Ashed teabags wet'!$A$2:$A$821,0)),"")</f>
        <v>15.711556829035821</v>
      </c>
      <c r="X194" s="195" t="str">
        <f>IFERROR(INDEX('Ashed teabags wet'!$K$2:$K$821,MATCH(I194,'Ashed teabags wet'!$A$2:$A$821,0)),"")</f>
        <v/>
      </c>
      <c r="Y194" s="195">
        <f t="shared" si="13"/>
        <v>0.46392359121298682</v>
      </c>
      <c r="Z194" s="195" t="str">
        <f t="shared" si="13"/>
        <v/>
      </c>
      <c r="AA194" s="195">
        <f t="shared" si="20"/>
        <v>0.71800990446479629</v>
      </c>
      <c r="AB194" s="195">
        <f t="shared" si="21"/>
        <v>0.47071433166813254</v>
      </c>
      <c r="AC194" s="195" t="str">
        <f t="shared" si="14"/>
        <v/>
      </c>
      <c r="AD194">
        <f t="shared" si="15"/>
        <v>54</v>
      </c>
      <c r="AE194" s="195">
        <f t="shared" si="22"/>
        <v>0.14725664552874551</v>
      </c>
      <c r="AF194" s="195" t="str">
        <f t="shared" si="23"/>
        <v/>
      </c>
      <c r="AG194" s="255" t="str">
        <f>IF(ISNUMBER(SEARCH("C",'WetLitterbags placem_collection'!AD121)),"YES","NO")</f>
        <v>NO</v>
      </c>
      <c r="AH194" s="255" t="str">
        <f>IF(ISNUMBER(SEARCH("H", 'WetLitterbags placem_collection'!AD121)),"YES","NO")</f>
        <v>NO</v>
      </c>
      <c r="AI194" s="255" t="str">
        <f>IF(ISNUMBER(SEARCH("R", 'WetLitterbags placem_collection'!AD121)),"YES","NO")</f>
        <v>NO</v>
      </c>
      <c r="AJ194" s="255" t="str">
        <f>IF(ISNUMBER(SEARCH("C", 'WetLitterbags placem_collection'!AC121)),"YES","NO")</f>
        <v>NO</v>
      </c>
      <c r="AK194" s="255" t="str">
        <f>IF(ISNUMBER(SEARCH("H", 'WetLitterbags placem_collection'!AC121)),"YES","NO")</f>
        <v>NO</v>
      </c>
      <c r="AL194" s="255" t="str">
        <f>IF(ISNUMBER(SEARCH("R", 'WetLitterbags placem_collection'!AC121)),"YES","NO")</f>
        <v>NO</v>
      </c>
    </row>
    <row r="195" spans="2:38">
      <c r="B195" t="str">
        <f>'Final data_for_R_analysis_Wetse'!A121</f>
        <v>Wet</v>
      </c>
      <c r="C195" s="263">
        <f>'Final data_for_R_analysis_Wetse'!B121</f>
        <v>120</v>
      </c>
      <c r="D195" t="s">
        <v>3844</v>
      </c>
      <c r="E195" t="s">
        <v>22</v>
      </c>
      <c r="F195" s="387">
        <v>8</v>
      </c>
      <c r="G195" s="16">
        <f>'WetLitterbags placem_collection'!E122</f>
        <v>42762</v>
      </c>
      <c r="H195" t="str">
        <f>'Final data_for_R_analysis_Wetse'!J121</f>
        <v>G758</v>
      </c>
      <c r="I195" t="str">
        <f>'Final data_for_R_analysis_Wetse'!J341</f>
        <v>R454</v>
      </c>
      <c r="J195">
        <f>IFERROR(INDEX('Green_rooibos initial weight'!$C$5:$C$1749,MATCH(H195, 'Green_rooibos initial weight'!$A$5:$A$1749,0)),"")</f>
        <v>2.0310000000000001</v>
      </c>
      <c r="K195">
        <f>IFERROR(INDEX('Green_rooibos initial weight'!$C$5:$C$1749,MATCH(I195, 'Green_rooibos initial weight'!$A$5:$A$1749,0)),"")</f>
        <v>2.1819999999999999</v>
      </c>
      <c r="L195" s="195">
        <f t="shared" si="16"/>
        <v>1.7812000000000001</v>
      </c>
      <c r="M195" s="195">
        <f>AVERAGE(Ashed_controlls!$K$2:$K$11)</f>
        <v>5.5147656768714146</v>
      </c>
      <c r="N195" s="195">
        <f t="shared" si="12"/>
        <v>1.6829709937635664</v>
      </c>
      <c r="O195" s="195">
        <f t="shared" si="17"/>
        <v>1.9321999999999999</v>
      </c>
      <c r="P195" s="195">
        <f>AVERAGE(Ashed_controlls!$K$12:$K$14)</f>
        <v>2.2816647271287041</v>
      </c>
      <c r="Q195" s="195">
        <f t="shared" si="18"/>
        <v>1.8881136741424192</v>
      </c>
      <c r="R195" s="16">
        <f>IF('WetLitterbags placem_collection'!G122="N.A","",'WetLitterbags placem_collection'!G122)</f>
        <v>42816</v>
      </c>
      <c r="S195" s="195">
        <f>IF(IFERROR(INDEX('Both teabags AfterWet'!$C$3:$C$841,MATCH(H195,'Both teabags AfterWet'!$A$3:$A$841,0)),"")="N.A","",(IFERROR(INDEX('Both teabags AfterWet'!$C$3:$C$841,MATCH(H195,'Both teabags AfterWet'!$A$3:$A$841,0)),"")))</f>
        <v>0.67110000000000003</v>
      </c>
      <c r="T195" s="195">
        <f>IFERROR(INDEX('Both teabags AfterWet'!$C$3:$C$841,MATCH(I195,'Both teabags AfterWet'!$A$3:$A$841,0)),"")</f>
        <v>0.3876</v>
      </c>
      <c r="U195" s="195">
        <f t="shared" si="19"/>
        <v>0.52049999999999996</v>
      </c>
      <c r="V195" s="195">
        <f t="shared" si="19"/>
        <v>0.23699999999999999</v>
      </c>
      <c r="W195" s="195">
        <f>IFERROR(INDEX('Ashed teabags wet'!$K$2:$K$821,MATCH(H195,'Ashed teabags wet'!$A$2:$A$821,0)),"")</f>
        <v>20.466444550213541</v>
      </c>
      <c r="X195" s="195" t="str">
        <f>IFERROR(INDEX('Ashed teabags wet'!$K$2:$K$821,MATCH(I195,'Ashed teabags wet'!$A$2:$A$821,0)),"")</f>
        <v/>
      </c>
      <c r="Y195" s="195">
        <f t="shared" si="13"/>
        <v>0.41397215611613847</v>
      </c>
      <c r="Z195" s="195" t="str">
        <f t="shared" si="13"/>
        <v/>
      </c>
      <c r="AA195" s="195">
        <f t="shared" si="20"/>
        <v>0.75402300001000744</v>
      </c>
      <c r="AB195" s="195">
        <f t="shared" si="21"/>
        <v>0.49432386698993369</v>
      </c>
      <c r="AC195" s="195" t="str">
        <f t="shared" si="14"/>
        <v/>
      </c>
      <c r="AD195">
        <f t="shared" si="15"/>
        <v>54</v>
      </c>
      <c r="AE195" s="195">
        <f t="shared" si="22"/>
        <v>0.10448574820664192</v>
      </c>
      <c r="AF195" s="195" t="str">
        <f t="shared" si="23"/>
        <v/>
      </c>
      <c r="AG195" s="255" t="str">
        <f>IF(ISNUMBER(SEARCH("C",'WetLitterbags placem_collection'!AD122)),"YES","NO")</f>
        <v>NO</v>
      </c>
      <c r="AH195" s="255" t="str">
        <f>IF(ISNUMBER(SEARCH("H", 'WetLitterbags placem_collection'!AD122)),"YES","NO")</f>
        <v>NO</v>
      </c>
      <c r="AI195" s="255" t="str">
        <f>IF(ISNUMBER(SEARCH("R", 'WetLitterbags placem_collection'!AD122)),"YES","NO")</f>
        <v>NO</v>
      </c>
      <c r="AJ195" s="255" t="str">
        <f>IF(ISNUMBER(SEARCH("C", 'WetLitterbags placem_collection'!AC122)),"YES","NO")</f>
        <v>NO</v>
      </c>
      <c r="AK195" s="255" t="str">
        <f>IF(ISNUMBER(SEARCH("H", 'WetLitterbags placem_collection'!AC122)),"YES","NO")</f>
        <v>NO</v>
      </c>
      <c r="AL195" s="255" t="str">
        <f>IF(ISNUMBER(SEARCH("R", 'WetLitterbags placem_collection'!AC122)),"YES","NO")</f>
        <v>NO</v>
      </c>
    </row>
    <row r="196" spans="2:38">
      <c r="B196" t="str">
        <f>'Final data_for_R_analysis_Wetse'!A122</f>
        <v>Wet</v>
      </c>
      <c r="C196" s="263">
        <f>'Final data_for_R_analysis_Wetse'!B122</f>
        <v>121</v>
      </c>
      <c r="D196" t="s">
        <v>3845</v>
      </c>
      <c r="E196" t="s">
        <v>22</v>
      </c>
      <c r="F196" s="386">
        <v>1</v>
      </c>
      <c r="G196" s="16">
        <f>'WetLitterbags placem_collection'!E123</f>
        <v>42762</v>
      </c>
      <c r="H196" t="str">
        <f>'Final data_for_R_analysis_Wetse'!J122</f>
        <v>G666</v>
      </c>
      <c r="I196" t="str">
        <f>'Final data_for_R_analysis_Wetse'!J342</f>
        <v>R532</v>
      </c>
      <c r="J196">
        <f>IFERROR(INDEX('Green_rooibos initial weight'!$C$5:$C$1749,MATCH(H196, 'Green_rooibos initial weight'!$A$5:$A$1749,0)),"")</f>
        <v>2.0819999999999999</v>
      </c>
      <c r="K196">
        <f>IFERROR(INDEX('Green_rooibos initial weight'!$C$5:$C$1749,MATCH(I196, 'Green_rooibos initial weight'!$A$5:$A$1749,0)),"")</f>
        <v>2.19</v>
      </c>
      <c r="L196" s="195">
        <f t="shared" si="16"/>
        <v>1.8321999999999998</v>
      </c>
      <c r="M196" s="195">
        <f>AVERAGE(Ashed_controlls!$K$2:$K$11)</f>
        <v>5.5147656768714146</v>
      </c>
      <c r="N196" s="195">
        <f t="shared" si="12"/>
        <v>1.7311584632683619</v>
      </c>
      <c r="O196" s="195">
        <f t="shared" si="17"/>
        <v>1.9401999999999999</v>
      </c>
      <c r="P196" s="195">
        <f>AVERAGE(Ashed_controlls!$K$12:$K$14)</f>
        <v>2.2816647271287041</v>
      </c>
      <c r="Q196" s="195">
        <f t="shared" si="18"/>
        <v>1.8959311409642488</v>
      </c>
      <c r="R196" s="16">
        <f>IF('WetLitterbags placem_collection'!G123="N.A","",'WetLitterbags placem_collection'!G123)</f>
        <v>42816</v>
      </c>
      <c r="S196" s="195">
        <f>IF(IFERROR(INDEX('Both teabags AfterWet'!$C$3:$C$841,MATCH(H196,'Both teabags AfterWet'!$A$3:$A$841,0)),"")="N.A","",(IFERROR(INDEX('Both teabags AfterWet'!$C$3:$C$841,MATCH(H196,'Both teabags AfterWet'!$A$3:$A$841,0)),"")))</f>
        <v>0.63500000000000001</v>
      </c>
      <c r="T196" s="195">
        <f>IFERROR(INDEX('Both teabags AfterWet'!$C$3:$C$841,MATCH(I196,'Both teabags AfterWet'!$A$3:$A$841,0)),"")</f>
        <v>1.7050000000000001</v>
      </c>
      <c r="U196" s="195">
        <f t="shared" si="19"/>
        <v>0.4844</v>
      </c>
      <c r="V196" s="195">
        <f t="shared" si="19"/>
        <v>1.5544</v>
      </c>
      <c r="W196" s="195">
        <f>IFERROR(INDEX('Ashed teabags wet'!$K$2:$K$821,MATCH(H196,'Ashed teabags wet'!$A$2:$A$821,0)),"")</f>
        <v>11.971153846154037</v>
      </c>
      <c r="X196" s="195">
        <f>IFERROR(INDEX('Ashed teabags wet'!$K$2:$K$821,MATCH(I196,'Ashed teabags wet'!$A$2:$A$821,0)),"")</f>
        <v>7.423795476892864</v>
      </c>
      <c r="Y196" s="195">
        <f t="shared" si="13"/>
        <v>0.42641173076922984</v>
      </c>
      <c r="Z196" s="195">
        <f t="shared" si="13"/>
        <v>1.4390045231071773</v>
      </c>
      <c r="AA196" s="195">
        <f t="shared" si="20"/>
        <v>0.75368417171690882</v>
      </c>
      <c r="AB196" s="195">
        <f t="shared" si="21"/>
        <v>0.49410173727759349</v>
      </c>
      <c r="AC196" s="195">
        <f t="shared" si="14"/>
        <v>0.75899619559775577</v>
      </c>
      <c r="AD196">
        <f t="shared" si="15"/>
        <v>54</v>
      </c>
      <c r="AE196" s="195">
        <f t="shared" si="22"/>
        <v>0.10488815710580901</v>
      </c>
      <c r="AF196" s="195">
        <f t="shared" si="23"/>
        <v>1.2388239659209656E-2</v>
      </c>
      <c r="AG196" s="255" t="str">
        <f>IF(ISNUMBER(SEARCH("C",'WetLitterbags placem_collection'!AD123)),"YES","NO")</f>
        <v>NO</v>
      </c>
      <c r="AH196" s="255" t="str">
        <f>IF(ISNUMBER(SEARCH("H", 'WetLitterbags placem_collection'!AD123)),"YES","NO")</f>
        <v>NO</v>
      </c>
      <c r="AI196" s="255" t="str">
        <f>IF(ISNUMBER(SEARCH("R", 'WetLitterbags placem_collection'!AD123)),"YES","NO")</f>
        <v>NO</v>
      </c>
      <c r="AJ196" s="255" t="str">
        <f>IF(ISNUMBER(SEARCH("C", 'WetLitterbags placem_collection'!AC123)),"YES","NO")</f>
        <v>NO</v>
      </c>
      <c r="AK196" s="255" t="str">
        <f>IF(ISNUMBER(SEARCH("H", 'WetLitterbags placem_collection'!AC123)),"YES","NO")</f>
        <v>NO</v>
      </c>
      <c r="AL196" s="255" t="str">
        <f>IF(ISNUMBER(SEARCH("R", 'WetLitterbags placem_collection'!AC123)),"YES","NO")</f>
        <v>NO</v>
      </c>
    </row>
    <row r="197" spans="2:38">
      <c r="B197" t="str">
        <f>'Final data_for_R_analysis_Wetse'!A123</f>
        <v>Wet</v>
      </c>
      <c r="C197" s="263">
        <f>'Final data_for_R_analysis_Wetse'!B123</f>
        <v>122</v>
      </c>
      <c r="D197" t="s">
        <v>3845</v>
      </c>
      <c r="E197" t="s">
        <v>22</v>
      </c>
      <c r="F197" s="386">
        <v>2</v>
      </c>
      <c r="G197" s="16">
        <f>'WetLitterbags placem_collection'!E124</f>
        <v>42762</v>
      </c>
      <c r="H197" t="str">
        <f>'Final data_for_R_analysis_Wetse'!J123</f>
        <v>G860</v>
      </c>
      <c r="I197" t="str">
        <f>'Final data_for_R_analysis_Wetse'!J343</f>
        <v>R11</v>
      </c>
      <c r="J197">
        <f>IFERROR(INDEX('Green_rooibos initial weight'!$C$5:$C$1749,MATCH(H197, 'Green_rooibos initial weight'!$A$5:$A$1749,0)),"")</f>
        <v>1.9570000000000001</v>
      </c>
      <c r="K197">
        <f>IFERROR(INDEX('Green_rooibos initial weight'!$C$5:$C$1749,MATCH(I197, 'Green_rooibos initial weight'!$A$5:$A$1749,0)),"")</f>
        <v>2.2160000000000002</v>
      </c>
      <c r="L197" s="195">
        <f t="shared" si="16"/>
        <v>1.7072000000000001</v>
      </c>
      <c r="M197" s="195">
        <f>AVERAGE(Ashed_controlls!$K$2:$K$11)</f>
        <v>5.5147656768714146</v>
      </c>
      <c r="N197" s="195">
        <f t="shared" si="12"/>
        <v>1.6130519203644513</v>
      </c>
      <c r="O197" s="195">
        <f t="shared" si="17"/>
        <v>1.9662000000000002</v>
      </c>
      <c r="P197" s="195">
        <f>AVERAGE(Ashed_controlls!$K$12:$K$14)</f>
        <v>2.2816647271287041</v>
      </c>
      <c r="Q197" s="195">
        <f t="shared" si="18"/>
        <v>1.9213379081351956</v>
      </c>
      <c r="R197" s="16">
        <f>IF('WetLitterbags placem_collection'!G124="N.A","",'WetLitterbags placem_collection'!G124)</f>
        <v>42816</v>
      </c>
      <c r="S197" s="195">
        <f>IF(IFERROR(INDEX('Both teabags AfterWet'!$C$3:$C$841,MATCH(H197,'Both teabags AfterWet'!$A$3:$A$841,0)),"")="N.A","",(IFERROR(INDEX('Both teabags AfterWet'!$C$3:$C$841,MATCH(H197,'Both teabags AfterWet'!$A$3:$A$841,0)),"")))</f>
        <v>0.76800000000000002</v>
      </c>
      <c r="T197" s="195">
        <f>IFERROR(INDEX('Both teabags AfterWet'!$C$3:$C$841,MATCH(I197,'Both teabags AfterWet'!$A$3:$A$841,0)),"")</f>
        <v>1.25</v>
      </c>
      <c r="U197" s="195">
        <f t="shared" si="19"/>
        <v>0.61739999999999995</v>
      </c>
      <c r="V197" s="195">
        <f t="shared" si="19"/>
        <v>1.0993999999999999</v>
      </c>
      <c r="W197" s="195">
        <f>IFERROR(INDEX('Ashed teabags wet'!$K$2:$K$821,MATCH(H197,'Ashed teabags wet'!$A$2:$A$821,0)),"")</f>
        <v>32.606541129831015</v>
      </c>
      <c r="X197" s="195">
        <f>IFERROR(INDEX('Ashed teabags wet'!$K$2:$K$821,MATCH(I197,'Ashed teabags wet'!$A$2:$A$821,0)),"")</f>
        <v>8.4720121028745492</v>
      </c>
      <c r="Y197" s="195">
        <f t="shared" si="13"/>
        <v>0.41608721506442325</v>
      </c>
      <c r="Z197" s="195">
        <f t="shared" si="13"/>
        <v>1.0062586989409972</v>
      </c>
      <c r="AA197" s="195">
        <f t="shared" si="20"/>
        <v>0.74204970725901187</v>
      </c>
      <c r="AB197" s="195">
        <f t="shared" si="21"/>
        <v>0.48647439240733326</v>
      </c>
      <c r="AC197" s="195">
        <f t="shared" si="14"/>
        <v>0.52372812438684857</v>
      </c>
      <c r="AD197">
        <f t="shared" si="15"/>
        <v>54</v>
      </c>
      <c r="AE197" s="195">
        <f t="shared" si="22"/>
        <v>0.1187058108562804</v>
      </c>
      <c r="AF197" s="195">
        <f t="shared" si="23"/>
        <v>7.1565737583185879E-2</v>
      </c>
      <c r="AG197" s="255" t="str">
        <f>IF(ISNUMBER(SEARCH("C",'WetLitterbags placem_collection'!AD124)),"YES","NO")</f>
        <v>NO</v>
      </c>
      <c r="AH197" s="255" t="str">
        <f>IF(ISNUMBER(SEARCH("H", 'WetLitterbags placem_collection'!AD124)),"YES","NO")</f>
        <v>NO</v>
      </c>
      <c r="AI197" s="255" t="str">
        <f>IF(ISNUMBER(SEARCH("R", 'WetLitterbags placem_collection'!AD124)),"YES","NO")</f>
        <v>NO</v>
      </c>
      <c r="AJ197" s="255" t="str">
        <f>IF(ISNUMBER(SEARCH("C", 'WetLitterbags placem_collection'!AC124)),"YES","NO")</f>
        <v>NO</v>
      </c>
      <c r="AK197" s="255" t="str">
        <f>IF(ISNUMBER(SEARCH("H", 'WetLitterbags placem_collection'!AC124)),"YES","NO")</f>
        <v>NO</v>
      </c>
      <c r="AL197" s="255" t="str">
        <f>IF(ISNUMBER(SEARCH("R", 'WetLitterbags placem_collection'!AC124)),"YES","NO")</f>
        <v>NO</v>
      </c>
    </row>
    <row r="198" spans="2:38">
      <c r="B198" t="str">
        <f>'Final data_for_R_analysis_Wetse'!A124</f>
        <v>Wet</v>
      </c>
      <c r="C198" s="263">
        <f>'Final data_for_R_analysis_Wetse'!B124</f>
        <v>123</v>
      </c>
      <c r="D198" t="s">
        <v>3845</v>
      </c>
      <c r="E198" t="s">
        <v>22</v>
      </c>
      <c r="F198" s="386">
        <v>3</v>
      </c>
      <c r="G198" s="16">
        <f>'WetLitterbags placem_collection'!E125</f>
        <v>42762</v>
      </c>
      <c r="H198" t="str">
        <f>'Final data_for_R_analysis_Wetse'!J124</f>
        <v>G694</v>
      </c>
      <c r="I198" t="str">
        <f>'Final data_for_R_analysis_Wetse'!J344</f>
        <v>R575</v>
      </c>
      <c r="J198">
        <f>IFERROR(INDEX('Green_rooibos initial weight'!$C$5:$C$1749,MATCH(H198, 'Green_rooibos initial weight'!$A$5:$A$1749,0)),"")</f>
        <v>1.992</v>
      </c>
      <c r="K198">
        <f>IFERROR(INDEX('Green_rooibos initial weight'!$C$5:$C$1749,MATCH(I198, 'Green_rooibos initial weight'!$A$5:$A$1749,0)),"")</f>
        <v>2.0990000000000002</v>
      </c>
      <c r="L198" s="195">
        <f t="shared" si="16"/>
        <v>1.7422</v>
      </c>
      <c r="M198" s="195">
        <f>AVERAGE(Ashed_controlls!$K$2:$K$11)</f>
        <v>5.5147656768714146</v>
      </c>
      <c r="N198" s="195">
        <f t="shared" si="12"/>
        <v>1.6461217523775462</v>
      </c>
      <c r="O198" s="195">
        <f t="shared" si="17"/>
        <v>1.8492000000000002</v>
      </c>
      <c r="P198" s="195">
        <f>AVERAGE(Ashed_controlls!$K$12:$K$14)</f>
        <v>2.2816647271287041</v>
      </c>
      <c r="Q198" s="195">
        <f t="shared" si="18"/>
        <v>1.8070074558659361</v>
      </c>
      <c r="R198" s="16">
        <f>IF('WetLitterbags placem_collection'!G125="N.A","",'WetLitterbags placem_collection'!G125)</f>
        <v>42816</v>
      </c>
      <c r="S198" s="195">
        <f>IF(IFERROR(INDEX('Both teabags AfterWet'!$C$3:$C$841,MATCH(H198,'Both teabags AfterWet'!$A$3:$A$841,0)),"")="N.A","",(IFERROR(INDEX('Both teabags AfterWet'!$C$3:$C$841,MATCH(H198,'Both teabags AfterWet'!$A$3:$A$841,0)),"")))</f>
        <v>0.622</v>
      </c>
      <c r="T198" s="195">
        <f>IFERROR(INDEX('Both teabags AfterWet'!$C$3:$C$841,MATCH(I198,'Both teabags AfterWet'!$A$3:$A$841,0)),"")</f>
        <v>1.6872</v>
      </c>
      <c r="U198" s="195">
        <f t="shared" si="19"/>
        <v>0.47139999999999999</v>
      </c>
      <c r="V198" s="195">
        <f t="shared" si="19"/>
        <v>1.5366</v>
      </c>
      <c r="W198" s="195">
        <f>IFERROR(INDEX('Ashed teabags wet'!$K$2:$K$821,MATCH(H198,'Ashed teabags wet'!$A$2:$A$821,0)),"")</f>
        <v>15.574174470182131</v>
      </c>
      <c r="X198" s="195">
        <f>IFERROR(INDEX('Ashed teabags wet'!$K$2:$K$821,MATCH(I198,'Ashed teabags wet'!$A$2:$A$821,0)),"")</f>
        <v>26.082677165354383</v>
      </c>
      <c r="Y198" s="195">
        <f t="shared" si="13"/>
        <v>0.39798334154756143</v>
      </c>
      <c r="Z198" s="195">
        <f t="shared" si="13"/>
        <v>1.1358135826771645</v>
      </c>
      <c r="AA198" s="195">
        <f t="shared" si="20"/>
        <v>0.75822970507938348</v>
      </c>
      <c r="AB198" s="195">
        <f t="shared" si="21"/>
        <v>0.49708170689289755</v>
      </c>
      <c r="AC198" s="195">
        <f t="shared" si="14"/>
        <v>0.62856054024020125</v>
      </c>
      <c r="AD198">
        <f t="shared" si="15"/>
        <v>54</v>
      </c>
      <c r="AE198" s="195">
        <f t="shared" si="22"/>
        <v>9.9489661425910314E-2</v>
      </c>
      <c r="AF198" s="195">
        <f t="shared" si="23"/>
        <v>2.5468812088328466E-2</v>
      </c>
      <c r="AG198" s="255" t="str">
        <f>IF(ISNUMBER(SEARCH("C",'WetLitterbags placem_collection'!AD125)),"YES","NO")</f>
        <v>YES</v>
      </c>
      <c r="AH198" s="255" t="str">
        <f>IF(ISNUMBER(SEARCH("H", 'WetLitterbags placem_collection'!AD125)),"YES","NO")</f>
        <v>YES</v>
      </c>
      <c r="AI198" s="255" t="str">
        <f>IF(ISNUMBER(SEARCH("R", 'WetLitterbags placem_collection'!AD125)),"YES","NO")</f>
        <v>YES</v>
      </c>
      <c r="AJ198" s="255" t="str">
        <f>IF(ISNUMBER(SEARCH("C", 'WetLitterbags placem_collection'!AC125)),"YES","NO")</f>
        <v>NO</v>
      </c>
      <c r="AK198" s="255" t="str">
        <f>IF(ISNUMBER(SEARCH("H", 'WetLitterbags placem_collection'!AC125)),"YES","NO")</f>
        <v>NO</v>
      </c>
      <c r="AL198" s="255" t="str">
        <f>IF(ISNUMBER(SEARCH("R", 'WetLitterbags placem_collection'!AC125)),"YES","NO")</f>
        <v>NO</v>
      </c>
    </row>
    <row r="199" spans="2:38">
      <c r="B199" t="str">
        <f>'Final data_for_R_analysis_Wetse'!A125</f>
        <v>Wet</v>
      </c>
      <c r="C199" s="263">
        <f>'Final data_for_R_analysis_Wetse'!B125</f>
        <v>124</v>
      </c>
      <c r="D199" t="s">
        <v>3845</v>
      </c>
      <c r="E199" t="s">
        <v>22</v>
      </c>
      <c r="F199" s="387">
        <v>4</v>
      </c>
      <c r="G199" s="16">
        <f>'WetLitterbags placem_collection'!E126</f>
        <v>42762</v>
      </c>
      <c r="H199" t="str">
        <f>'Final data_for_R_analysis_Wetse'!J125</f>
        <v>G867</v>
      </c>
      <c r="I199" t="str">
        <f>'Final data_for_R_analysis_Wetse'!J345</f>
        <v>R39</v>
      </c>
      <c r="J199">
        <f>IFERROR(INDEX('Green_rooibos initial weight'!$C$5:$C$1749,MATCH(H199, 'Green_rooibos initial weight'!$A$5:$A$1749,0)),"")</f>
        <v>1.907</v>
      </c>
      <c r="K199">
        <f>IFERROR(INDEX('Green_rooibos initial weight'!$C$5:$C$1749,MATCH(I199, 'Green_rooibos initial weight'!$A$5:$A$1749,0)),"")</f>
        <v>2.1429999999999998</v>
      </c>
      <c r="L199" s="195">
        <f t="shared" si="16"/>
        <v>1.6572</v>
      </c>
      <c r="M199" s="195">
        <f>AVERAGE(Ashed_controlls!$K$2:$K$11)</f>
        <v>5.5147656768714146</v>
      </c>
      <c r="N199" s="195">
        <f t="shared" si="12"/>
        <v>1.565809303202887</v>
      </c>
      <c r="O199" s="195">
        <f t="shared" si="17"/>
        <v>1.8931999999999998</v>
      </c>
      <c r="P199" s="195">
        <f>AVERAGE(Ashed_controlls!$K$12:$K$14)</f>
        <v>2.2816647271287041</v>
      </c>
      <c r="Q199" s="195">
        <f t="shared" si="18"/>
        <v>1.850003523385999</v>
      </c>
      <c r="R199" s="16">
        <f>IF('WetLitterbags placem_collection'!G126="N.A","",'WetLitterbags placem_collection'!G126)</f>
        <v>42816</v>
      </c>
      <c r="S199" s="195" t="str">
        <f>IF(IFERROR(INDEX('Both teabags AfterWet'!$C$3:$C$841,MATCH(H199,'Both teabags AfterWet'!$A$3:$A$841,0)),"")="N.A","",(IFERROR(INDEX('Both teabags AfterWet'!$C$3:$C$841,MATCH(H199,'Both teabags AfterWet'!$A$3:$A$841,0)),"")))</f>
        <v/>
      </c>
      <c r="T199" s="195">
        <f>IFERROR(INDEX('Both teabags AfterWet'!$C$3:$C$841,MATCH(I199,'Both teabags AfterWet'!$A$3:$A$841,0)),"")</f>
        <v>1.4910000000000001</v>
      </c>
      <c r="U199" s="195" t="str">
        <f t="shared" si="19"/>
        <v/>
      </c>
      <c r="V199" s="195">
        <f t="shared" si="19"/>
        <v>1.3404</v>
      </c>
      <c r="W199" s="195">
        <f>IFERROR(INDEX('Ashed teabags wet'!$K$2:$K$821,MATCH(H199,'Ashed teabags wet'!$A$2:$A$821,0)),"")</f>
        <v>31.594202898550535</v>
      </c>
      <c r="X199" s="195">
        <f>IFERROR(INDEX('Ashed teabags wet'!$K$2:$K$821,MATCH(I199,'Ashed teabags wet'!$A$2:$A$821,0)),"")</f>
        <v>7.1782178217821846</v>
      </c>
      <c r="Y199" s="195" t="str">
        <f t="shared" si="13"/>
        <v/>
      </c>
      <c r="Z199" s="195">
        <f t="shared" si="13"/>
        <v>1.2441831683168316</v>
      </c>
      <c r="AA199" s="195" t="str">
        <f t="shared" si="20"/>
        <v/>
      </c>
      <c r="AB199" s="195" t="str">
        <f t="shared" si="21"/>
        <v/>
      </c>
      <c r="AC199" s="195">
        <f t="shared" si="14"/>
        <v>0.67253016147755496</v>
      </c>
      <c r="AD199">
        <f t="shared" si="15"/>
        <v>54</v>
      </c>
      <c r="AE199" s="195" t="str">
        <f t="shared" si="22"/>
        <v/>
      </c>
      <c r="AF199" s="195" t="str">
        <f t="shared" si="23"/>
        <v/>
      </c>
      <c r="AG199" s="255" t="str">
        <f>IF(ISNUMBER(SEARCH("C",'WetLitterbags placem_collection'!AD126)),"YES","NO")</f>
        <v>NO</v>
      </c>
      <c r="AH199" s="255" t="str">
        <f>IF(ISNUMBER(SEARCH("H", 'WetLitterbags placem_collection'!AD126)),"YES","NO")</f>
        <v>NO</v>
      </c>
      <c r="AI199" s="255" t="str">
        <f>IF(ISNUMBER(SEARCH("R", 'WetLitterbags placem_collection'!AD126)),"YES","NO")</f>
        <v>NO</v>
      </c>
      <c r="AJ199" s="255" t="str">
        <f>IF(ISNUMBER(SEARCH("C", 'WetLitterbags placem_collection'!AC126)),"YES","NO")</f>
        <v>NO</v>
      </c>
      <c r="AK199" s="255" t="str">
        <f>IF(ISNUMBER(SEARCH("H", 'WetLitterbags placem_collection'!AC126)),"YES","NO")</f>
        <v>NO</v>
      </c>
      <c r="AL199" s="255" t="str">
        <f>IF(ISNUMBER(SEARCH("R", 'WetLitterbags placem_collection'!AC126)),"YES","NO")</f>
        <v>NO</v>
      </c>
    </row>
    <row r="200" spans="2:38">
      <c r="B200" t="str">
        <f>'Final data_for_R_analysis_Wetse'!A126</f>
        <v>Wet</v>
      </c>
      <c r="C200" s="263">
        <f>'Final data_for_R_analysis_Wetse'!B126</f>
        <v>125</v>
      </c>
      <c r="D200" t="s">
        <v>3845</v>
      </c>
      <c r="E200" t="s">
        <v>22</v>
      </c>
      <c r="F200" s="387">
        <v>5</v>
      </c>
      <c r="G200" s="16">
        <f>'WetLitterbags placem_collection'!E127</f>
        <v>42762</v>
      </c>
      <c r="H200" t="str">
        <f>'Final data_for_R_analysis_Wetse'!J126</f>
        <v>G793</v>
      </c>
      <c r="I200" t="str">
        <f>'Final data_for_R_analysis_Wetse'!J346</f>
        <v>R560</v>
      </c>
      <c r="J200">
        <f>IFERROR(INDEX('Green_rooibos initial weight'!$C$5:$C$1749,MATCH(H200, 'Green_rooibos initial weight'!$A$5:$A$1749,0)),"")</f>
        <v>2.0459999999999998</v>
      </c>
      <c r="K200">
        <f>IFERROR(INDEX('Green_rooibos initial weight'!$C$5:$C$1749,MATCH(I200, 'Green_rooibos initial weight'!$A$5:$A$1749,0)),"")</f>
        <v>2.157</v>
      </c>
      <c r="L200" s="195">
        <f t="shared" si="16"/>
        <v>1.7961999999999998</v>
      </c>
      <c r="M200" s="195">
        <f>AVERAGE(Ashed_controlls!$K$2:$K$11)</f>
        <v>5.5147656768714146</v>
      </c>
      <c r="N200" s="195">
        <f t="shared" si="12"/>
        <v>1.6971437789120354</v>
      </c>
      <c r="O200" s="195">
        <f t="shared" si="17"/>
        <v>1.9072</v>
      </c>
      <c r="P200" s="195">
        <f>AVERAGE(Ashed_controlls!$K$12:$K$14)</f>
        <v>2.2816647271287041</v>
      </c>
      <c r="Q200" s="195">
        <f t="shared" si="18"/>
        <v>1.8636840903242013</v>
      </c>
      <c r="R200" s="16">
        <f>IF('WetLitterbags placem_collection'!G127="N.A","",'WetLitterbags placem_collection'!G127)</f>
        <v>42816</v>
      </c>
      <c r="S200" s="195">
        <f>IF(IFERROR(INDEX('Both teabags AfterWet'!$C$3:$C$841,MATCH(H200,'Both teabags AfterWet'!$A$3:$A$841,0)),"")="N.A","",(IFERROR(INDEX('Both teabags AfterWet'!$C$3:$C$841,MATCH(H200,'Both teabags AfterWet'!$A$3:$A$841,0)),"")))</f>
        <v>0.77200000000000002</v>
      </c>
      <c r="T200" s="195">
        <f>IFERROR(INDEX('Both teabags AfterWet'!$C$3:$C$841,MATCH(I200,'Both teabags AfterWet'!$A$3:$A$841,0)),"")</f>
        <v>1.254</v>
      </c>
      <c r="U200" s="195">
        <f t="shared" si="19"/>
        <v>0.62139999999999995</v>
      </c>
      <c r="V200" s="195">
        <f t="shared" si="19"/>
        <v>1.1033999999999999</v>
      </c>
      <c r="W200" s="195">
        <f>IFERROR(INDEX('Ashed teabags wet'!$K$2:$K$821,MATCH(H200,'Ashed teabags wet'!$A$2:$A$821,0)),"")</f>
        <v>27.918529557873711</v>
      </c>
      <c r="X200" s="195">
        <f>IFERROR(INDEX('Ashed teabags wet'!$K$2:$K$821,MATCH(I200,'Ashed teabags wet'!$A$2:$A$821,0)),"")</f>
        <v>92.570579494799119</v>
      </c>
      <c r="Y200" s="195">
        <f t="shared" si="13"/>
        <v>0.44791425732737272</v>
      </c>
      <c r="Z200" s="195">
        <f t="shared" si="13"/>
        <v>8.1976225854386575E-2</v>
      </c>
      <c r="AA200" s="195">
        <f t="shared" si="20"/>
        <v>0.73607760114790577</v>
      </c>
      <c r="AB200" s="195">
        <f t="shared" si="21"/>
        <v>0.48255918745088366</v>
      </c>
      <c r="AC200" s="195">
        <f t="shared" si="14"/>
        <v>4.3986116681463017E-2</v>
      </c>
      <c r="AD200">
        <f t="shared" si="15"/>
        <v>54</v>
      </c>
      <c r="AE200" s="195">
        <f t="shared" si="22"/>
        <v>0.12579857345854417</v>
      </c>
      <c r="AF200" s="195" t="str">
        <f t="shared" si="23"/>
        <v/>
      </c>
      <c r="AG200" s="255" t="str">
        <f>IF(ISNUMBER(SEARCH("C",'WetLitterbags placem_collection'!AD127)),"YES","NO")</f>
        <v>NO</v>
      </c>
      <c r="AH200" s="255" t="str">
        <f>IF(ISNUMBER(SEARCH("H", 'WetLitterbags placem_collection'!AD127)),"YES","NO")</f>
        <v>NO</v>
      </c>
      <c r="AI200" s="255" t="str">
        <f>IF(ISNUMBER(SEARCH("R", 'WetLitterbags placem_collection'!AD127)),"YES","NO")</f>
        <v>NO</v>
      </c>
      <c r="AJ200" s="255" t="str">
        <f>IF(ISNUMBER(SEARCH("C", 'WetLitterbags placem_collection'!AC127)),"YES","NO")</f>
        <v>NO</v>
      </c>
      <c r="AK200" s="255" t="str">
        <f>IF(ISNUMBER(SEARCH("H", 'WetLitterbags placem_collection'!AC127)),"YES","NO")</f>
        <v>NO</v>
      </c>
      <c r="AL200" s="255" t="str">
        <f>IF(ISNUMBER(SEARCH("R", 'WetLitterbags placem_collection'!AC127)),"YES","NO")</f>
        <v>NO</v>
      </c>
    </row>
    <row r="201" spans="2:38">
      <c r="B201" t="str">
        <f>'Final data_for_R_analysis_Wetse'!A127</f>
        <v>Wet</v>
      </c>
      <c r="C201" s="263">
        <f>'Final data_for_R_analysis_Wetse'!B127</f>
        <v>126</v>
      </c>
      <c r="D201" t="s">
        <v>3845</v>
      </c>
      <c r="E201" t="s">
        <v>22</v>
      </c>
      <c r="F201" s="387">
        <v>6</v>
      </c>
      <c r="G201" s="16">
        <f>'WetLitterbags placem_collection'!E128</f>
        <v>42762</v>
      </c>
      <c r="H201" t="str">
        <f>'Final data_for_R_analysis_Wetse'!J127</f>
        <v>G749</v>
      </c>
      <c r="I201" t="str">
        <f>'Final data_for_R_analysis_Wetse'!J347</f>
        <v>R562</v>
      </c>
      <c r="J201">
        <f>IFERROR(INDEX('Green_rooibos initial weight'!$C$5:$C$1749,MATCH(H201, 'Green_rooibos initial weight'!$A$5:$A$1749,0)),"")</f>
        <v>2.0179999999999998</v>
      </c>
      <c r="K201">
        <f>IFERROR(INDEX('Green_rooibos initial weight'!$C$5:$C$1749,MATCH(I201, 'Green_rooibos initial weight'!$A$5:$A$1749,0)),"")</f>
        <v>2.2810000000000001</v>
      </c>
      <c r="L201" s="195">
        <f t="shared" si="16"/>
        <v>1.7681999999999998</v>
      </c>
      <c r="M201" s="195">
        <f>AVERAGE(Ashed_controlls!$K$2:$K$11)</f>
        <v>5.5147656768714146</v>
      </c>
      <c r="N201" s="195">
        <f t="shared" si="12"/>
        <v>1.6706879133015595</v>
      </c>
      <c r="O201" s="195">
        <f t="shared" si="17"/>
        <v>2.0312000000000001</v>
      </c>
      <c r="P201" s="195">
        <f>AVERAGE(Ashed_controlls!$K$12:$K$14)</f>
        <v>2.2816647271287041</v>
      </c>
      <c r="Q201" s="195">
        <f t="shared" si="18"/>
        <v>1.9848548260625618</v>
      </c>
      <c r="R201" s="16">
        <f>IF('WetLitterbags placem_collection'!G128="N.A","",'WetLitterbags placem_collection'!G128)</f>
        <v>42816</v>
      </c>
      <c r="S201" s="195">
        <f>IF(IFERROR(INDEX('Both teabags AfterWet'!$C$3:$C$841,MATCH(H201,'Both teabags AfterWet'!$A$3:$A$841,0)),"")="N.A","",(IFERROR(INDEX('Both teabags AfterWet'!$C$3:$C$841,MATCH(H201,'Both teabags AfterWet'!$A$3:$A$841,0)),"")))</f>
        <v>0.67800000000000005</v>
      </c>
      <c r="T201" s="195">
        <f>IFERROR(INDEX('Both teabags AfterWet'!$C$3:$C$841,MATCH(I201,'Both teabags AfterWet'!$A$3:$A$841,0)),"")</f>
        <v>0.17599999999999999</v>
      </c>
      <c r="U201" s="195">
        <f t="shared" si="19"/>
        <v>0.52740000000000009</v>
      </c>
      <c r="V201" s="195">
        <f t="shared" si="19"/>
        <v>2.5399999999999978E-2</v>
      </c>
      <c r="W201" s="195">
        <f>IFERROR(INDEX('Ashed teabags wet'!$K$2:$K$821,MATCH(H201,'Ashed teabags wet'!$A$2:$A$821,0)),"")</f>
        <v>14.484818317570399</v>
      </c>
      <c r="X201" s="195" t="str">
        <f>IFERROR(INDEX('Ashed teabags wet'!$K$2:$K$821,MATCH(I201,'Ashed teabags wet'!$A$2:$A$821,0)),"")</f>
        <v/>
      </c>
      <c r="Y201" s="195">
        <f t="shared" si="13"/>
        <v>0.4510070681931338</v>
      </c>
      <c r="Z201" s="195" t="str">
        <f t="shared" si="13"/>
        <v/>
      </c>
      <c r="AA201" s="195">
        <f t="shared" si="20"/>
        <v>0.73004708742887336</v>
      </c>
      <c r="AB201" s="195">
        <f t="shared" si="21"/>
        <v>0.47860569152106669</v>
      </c>
      <c r="AC201" s="195" t="str">
        <f t="shared" si="14"/>
        <v/>
      </c>
      <c r="AD201">
        <f t="shared" si="15"/>
        <v>54</v>
      </c>
      <c r="AE201" s="195">
        <f t="shared" si="22"/>
        <v>0.13296070376618363</v>
      </c>
      <c r="AF201" s="195" t="str">
        <f t="shared" si="23"/>
        <v/>
      </c>
      <c r="AG201" s="255" t="str">
        <f>IF(ISNUMBER(SEARCH("C",'WetLitterbags placem_collection'!AD128)),"YES","NO")</f>
        <v>NO</v>
      </c>
      <c r="AH201" s="255" t="str">
        <f>IF(ISNUMBER(SEARCH("H", 'WetLitterbags placem_collection'!AD128)),"YES","NO")</f>
        <v>NO</v>
      </c>
      <c r="AI201" s="255" t="str">
        <f>IF(ISNUMBER(SEARCH("R", 'WetLitterbags placem_collection'!AD128)),"YES","NO")</f>
        <v>NO</v>
      </c>
      <c r="AJ201" s="255" t="str">
        <f>IF(ISNUMBER(SEARCH("C", 'WetLitterbags placem_collection'!AC128)),"YES","NO")</f>
        <v>NO</v>
      </c>
      <c r="AK201" s="255" t="str">
        <f>IF(ISNUMBER(SEARCH("H", 'WetLitterbags placem_collection'!AC128)),"YES","NO")</f>
        <v>NO</v>
      </c>
      <c r="AL201" s="255" t="str">
        <f>IF(ISNUMBER(SEARCH("R", 'WetLitterbags placem_collection'!AC128)),"YES","NO")</f>
        <v>NO</v>
      </c>
    </row>
    <row r="202" spans="2:38">
      <c r="B202" t="str">
        <f>'Final data_for_R_analysis_Wetse'!A128</f>
        <v>Wet</v>
      </c>
      <c r="C202" s="263">
        <f>'Final data_for_R_analysis_Wetse'!B128</f>
        <v>127</v>
      </c>
      <c r="D202" t="s">
        <v>3845</v>
      </c>
      <c r="E202" t="s">
        <v>22</v>
      </c>
      <c r="F202" s="387">
        <v>7</v>
      </c>
      <c r="G202" s="16">
        <f>'WetLitterbags placem_collection'!E129</f>
        <v>42762</v>
      </c>
      <c r="H202" t="str">
        <f>'Final data_for_R_analysis_Wetse'!J128</f>
        <v>G898</v>
      </c>
      <c r="I202" t="str">
        <f>'Final data_for_R_analysis_Wetse'!J348</f>
        <v>R506</v>
      </c>
      <c r="J202">
        <f>IFERROR(INDEX('Green_rooibos initial weight'!$C$5:$C$1749,MATCH(H202, 'Green_rooibos initial weight'!$A$5:$A$1749,0)),"")</f>
        <v>1.893</v>
      </c>
      <c r="K202">
        <f>IFERROR(INDEX('Green_rooibos initial weight'!$C$5:$C$1749,MATCH(I202, 'Green_rooibos initial weight'!$A$5:$A$1749,0)),"")</f>
        <v>2.1579999999999999</v>
      </c>
      <c r="L202" s="195">
        <f t="shared" si="16"/>
        <v>1.6432</v>
      </c>
      <c r="M202" s="195">
        <f>AVERAGE(Ashed_controlls!$K$2:$K$11)</f>
        <v>5.5147656768714146</v>
      </c>
      <c r="N202" s="195">
        <f t="shared" si="12"/>
        <v>1.552581370397649</v>
      </c>
      <c r="O202" s="195">
        <f t="shared" si="17"/>
        <v>1.9081999999999999</v>
      </c>
      <c r="P202" s="195">
        <f>AVERAGE(Ashed_controlls!$K$12:$K$14)</f>
        <v>2.2816647271287041</v>
      </c>
      <c r="Q202" s="195">
        <f t="shared" si="18"/>
        <v>1.8646612736769299</v>
      </c>
      <c r="R202" s="16">
        <f>IF('WetLitterbags placem_collection'!G129="N.A","",'WetLitterbags placem_collection'!G129)</f>
        <v>42816</v>
      </c>
      <c r="S202" s="195">
        <f>IF(IFERROR(INDEX('Both teabags AfterWet'!$C$3:$C$841,MATCH(H202,'Both teabags AfterWet'!$A$3:$A$841,0)),"")="N.A","",(IFERROR(INDEX('Both teabags AfterWet'!$C$3:$C$841,MATCH(H202,'Both teabags AfterWet'!$A$3:$A$841,0)),"")))</f>
        <v>0.59099999999999997</v>
      </c>
      <c r="T202" s="195">
        <f>IFERROR(INDEX('Both teabags AfterWet'!$C$3:$C$841,MATCH(I202,'Both teabags AfterWet'!$A$3:$A$841,0)),"")</f>
        <v>1.4710000000000001</v>
      </c>
      <c r="U202" s="195">
        <f t="shared" si="19"/>
        <v>0.44039999999999996</v>
      </c>
      <c r="V202" s="195">
        <f t="shared" si="19"/>
        <v>1.3204</v>
      </c>
      <c r="W202" s="195">
        <f>IFERROR(INDEX('Ashed teabags wet'!$K$2:$K$821,MATCH(H202,'Ashed teabags wet'!$A$2:$A$821,0)),"")</f>
        <v>18.25037707390678</v>
      </c>
      <c r="X202" s="195">
        <f>IFERROR(INDEX('Ashed teabags wet'!$K$2:$K$821,MATCH(I202,'Ashed teabags wet'!$A$2:$A$821,0)),"")</f>
        <v>5.8622374206153776</v>
      </c>
      <c r="Y202" s="195">
        <f t="shared" si="13"/>
        <v>0.36002533936651449</v>
      </c>
      <c r="Z202" s="195">
        <f t="shared" si="13"/>
        <v>1.2429950170981945</v>
      </c>
      <c r="AA202" s="195">
        <f t="shared" si="20"/>
        <v>0.76811177421618526</v>
      </c>
      <c r="AB202" s="195">
        <f t="shared" si="21"/>
        <v>0.50356021302533771</v>
      </c>
      <c r="AC202" s="195">
        <f t="shared" si="14"/>
        <v>0.66660633469752373</v>
      </c>
      <c r="AD202">
        <f t="shared" si="15"/>
        <v>54</v>
      </c>
      <c r="AE202" s="195">
        <f t="shared" si="22"/>
        <v>8.7753237272939044E-2</v>
      </c>
      <c r="AF202" s="195">
        <f t="shared" si="23"/>
        <v>2.009121562934087E-2</v>
      </c>
      <c r="AG202" s="255" t="str">
        <f>IF(ISNUMBER(SEARCH("C",'WetLitterbags placem_collection'!AD129)),"YES","NO")</f>
        <v>NO</v>
      </c>
      <c r="AH202" s="255" t="str">
        <f>IF(ISNUMBER(SEARCH("H", 'WetLitterbags placem_collection'!AD129)),"YES","NO")</f>
        <v>NO</v>
      </c>
      <c r="AI202" s="255" t="str">
        <f>IF(ISNUMBER(SEARCH("R", 'WetLitterbags placem_collection'!AD129)),"YES","NO")</f>
        <v>NO</v>
      </c>
      <c r="AJ202" s="255" t="str">
        <f>IF(ISNUMBER(SEARCH("C", 'WetLitterbags placem_collection'!AC129)),"YES","NO")</f>
        <v>NO</v>
      </c>
      <c r="AK202" s="255" t="str">
        <f>IF(ISNUMBER(SEARCH("H", 'WetLitterbags placem_collection'!AC129)),"YES","NO")</f>
        <v>NO</v>
      </c>
      <c r="AL202" s="255" t="str">
        <f>IF(ISNUMBER(SEARCH("R", 'WetLitterbags placem_collection'!AC129)),"YES","NO")</f>
        <v>NO</v>
      </c>
    </row>
    <row r="203" spans="2:38">
      <c r="B203" t="str">
        <f>'Final data_for_R_analysis_Wetse'!A129</f>
        <v>Wet</v>
      </c>
      <c r="C203" s="263">
        <f>'Final data_for_R_analysis_Wetse'!B129</f>
        <v>128</v>
      </c>
      <c r="D203" t="s">
        <v>3845</v>
      </c>
      <c r="E203" t="s">
        <v>22</v>
      </c>
      <c r="F203" s="387">
        <v>8</v>
      </c>
      <c r="G203" s="16">
        <f>'WetLitterbags placem_collection'!E130</f>
        <v>42762</v>
      </c>
      <c r="H203" t="str">
        <f>'Final data_for_R_analysis_Wetse'!J129</f>
        <v>G834</v>
      </c>
      <c r="I203" t="str">
        <f>'Final data_for_R_analysis_Wetse'!J349</f>
        <v>R554</v>
      </c>
      <c r="J203">
        <f>IFERROR(INDEX('Green_rooibos initial weight'!$C$5:$C$1749,MATCH(H203, 'Green_rooibos initial weight'!$A$5:$A$1749,0)),"")</f>
        <v>1.956</v>
      </c>
      <c r="K203">
        <f>IFERROR(INDEX('Green_rooibos initial weight'!$C$5:$C$1749,MATCH(I203, 'Green_rooibos initial weight'!$A$5:$A$1749,0)),"")</f>
        <v>2.1779999999999999</v>
      </c>
      <c r="L203" s="195">
        <f t="shared" si="16"/>
        <v>1.7061999999999999</v>
      </c>
      <c r="M203" s="195">
        <f>AVERAGE(Ashed_controlls!$K$2:$K$11)</f>
        <v>5.5147656768714146</v>
      </c>
      <c r="N203" s="195">
        <f t="shared" si="12"/>
        <v>1.6121070680212199</v>
      </c>
      <c r="O203" s="195">
        <f t="shared" si="17"/>
        <v>1.9281999999999999</v>
      </c>
      <c r="P203" s="195">
        <f>AVERAGE(Ashed_controlls!$K$12:$K$14)</f>
        <v>2.2816647271287041</v>
      </c>
      <c r="Q203" s="195">
        <f t="shared" si="18"/>
        <v>1.8842049407315042</v>
      </c>
      <c r="R203" s="16">
        <f>IF('WetLitterbags placem_collection'!G130="N.A","",'WetLitterbags placem_collection'!G130)</f>
        <v>42816</v>
      </c>
      <c r="S203" s="195">
        <f>IF(IFERROR(INDEX('Both teabags AfterWet'!$C$3:$C$841,MATCH(H203,'Both teabags AfterWet'!$A$3:$A$841,0)),"")="N.A","",(IFERROR(INDEX('Both teabags AfterWet'!$C$3:$C$841,MATCH(H203,'Both teabags AfterWet'!$A$3:$A$841,0)),"")))</f>
        <v>0.54500000000000004</v>
      </c>
      <c r="T203" s="195">
        <f>IFERROR(INDEX('Both teabags AfterWet'!$C$3:$C$841,MATCH(I203,'Both teabags AfterWet'!$A$3:$A$841,0)),"")</f>
        <v>2.5259999999999998</v>
      </c>
      <c r="U203" s="195">
        <f t="shared" si="19"/>
        <v>0.39440000000000003</v>
      </c>
      <c r="V203" s="195">
        <f t="shared" si="19"/>
        <v>2.3754</v>
      </c>
      <c r="W203" s="195">
        <f>IFERROR(INDEX('Ashed teabags wet'!$K$2:$K$821,MATCH(H203,'Ashed teabags wet'!$A$2:$A$821,0)),"")</f>
        <v>12.928123492523619</v>
      </c>
      <c r="X203" s="195">
        <f>IFERROR(INDEX('Ashed teabags wet'!$K$2:$K$821,MATCH(I203,'Ashed teabags wet'!$A$2:$A$821,0)),"")</f>
        <v>66.458433445459406</v>
      </c>
      <c r="Y203" s="195">
        <f t="shared" si="13"/>
        <v>0.3434114809454869</v>
      </c>
      <c r="Z203" s="195">
        <f t="shared" si="13"/>
        <v>0.79674637193655728</v>
      </c>
      <c r="AA203" s="195">
        <f t="shared" si="20"/>
        <v>0.78697973121164511</v>
      </c>
      <c r="AB203" s="195">
        <f t="shared" si="21"/>
        <v>0.51592970502236124</v>
      </c>
      <c r="AC203" s="195">
        <f t="shared" si="14"/>
        <v>0.42285547326249806</v>
      </c>
      <c r="AD203">
        <f t="shared" si="15"/>
        <v>54</v>
      </c>
      <c r="AE203" s="195">
        <f t="shared" si="22"/>
        <v>6.5344737278331233E-2</v>
      </c>
      <c r="AF203" s="195" t="str">
        <f t="shared" si="23"/>
        <v/>
      </c>
      <c r="AG203" s="255" t="str">
        <f>IF(ISNUMBER(SEARCH("C",'WetLitterbags placem_collection'!AD130)),"YES","NO")</f>
        <v>NO</v>
      </c>
      <c r="AH203" s="255" t="str">
        <f>IF(ISNUMBER(SEARCH("H", 'WetLitterbags placem_collection'!AD130)),"YES","NO")</f>
        <v>NO</v>
      </c>
      <c r="AI203" s="255" t="str">
        <f>IF(ISNUMBER(SEARCH("R", 'WetLitterbags placem_collection'!AD130)),"YES","NO")</f>
        <v>NO</v>
      </c>
      <c r="AJ203" s="255" t="str">
        <f>IF(ISNUMBER(SEARCH("C", 'WetLitterbags placem_collection'!AC130)),"YES","NO")</f>
        <v>NO</v>
      </c>
      <c r="AK203" s="255" t="str">
        <f>IF(ISNUMBER(SEARCH("H", 'WetLitterbags placem_collection'!AC130)),"YES","NO")</f>
        <v>NO</v>
      </c>
      <c r="AL203" s="255" t="str">
        <f>IF(ISNUMBER(SEARCH("R", 'WetLitterbags placem_collection'!AC130)),"YES","NO")</f>
        <v>NO</v>
      </c>
    </row>
    <row r="204" spans="2:38">
      <c r="B204" t="str">
        <f>'Final data_for_R_analysis_Wetse'!A130</f>
        <v>Wet</v>
      </c>
      <c r="C204" s="263">
        <f>'Final data_for_R_analysis_Wetse'!B130</f>
        <v>129</v>
      </c>
      <c r="D204" t="s">
        <v>3846</v>
      </c>
      <c r="E204" t="s">
        <v>22</v>
      </c>
      <c r="F204" s="386">
        <v>1</v>
      </c>
      <c r="G204" s="16">
        <f>'WetLitterbags placem_collection'!E131</f>
        <v>42762</v>
      </c>
      <c r="H204" t="str">
        <f>'Final data_for_R_analysis_Wetse'!J130</f>
        <v>G819</v>
      </c>
      <c r="I204" t="str">
        <f>'Final data_for_R_analysis_Wetse'!J350</f>
        <v>R46</v>
      </c>
      <c r="J204">
        <f>IFERROR(INDEX('Green_rooibos initial weight'!$C$5:$C$1749,MATCH(H204, 'Green_rooibos initial weight'!$A$5:$A$1749,0)),"")</f>
        <v>1.9770000000000001</v>
      </c>
      <c r="K204">
        <f>IFERROR(INDEX('Green_rooibos initial weight'!$C$5:$C$1749,MATCH(I204, 'Green_rooibos initial weight'!$A$5:$A$1749,0)),"")</f>
        <v>2.2890000000000001</v>
      </c>
      <c r="L204" s="195">
        <f t="shared" si="16"/>
        <v>1.7272000000000001</v>
      </c>
      <c r="M204" s="195">
        <f>AVERAGE(Ashed_controlls!$K$2:$K$11)</f>
        <v>5.5147656768714146</v>
      </c>
      <c r="N204" s="195">
        <f t="shared" ref="N204:N267" si="24">IFERROR(L204-(M204/100)*L204,"")</f>
        <v>1.631948967229077</v>
      </c>
      <c r="O204" s="195">
        <f t="shared" si="17"/>
        <v>2.0392000000000001</v>
      </c>
      <c r="P204" s="195">
        <f>AVERAGE(Ashed_controlls!$K$12:$K$14)</f>
        <v>2.2816647271287041</v>
      </c>
      <c r="Q204" s="195">
        <f t="shared" si="18"/>
        <v>1.9926722928843916</v>
      </c>
      <c r="R204" s="16">
        <f>IF('WetLitterbags placem_collection'!G131="N.A","",'WetLitterbags placem_collection'!G131)</f>
        <v>42816</v>
      </c>
      <c r="S204" s="195">
        <f>IF(IFERROR(INDEX('Both teabags AfterWet'!$C$3:$C$841,MATCH(H204,'Both teabags AfterWet'!$A$3:$A$841,0)),"")="N.A","",(IFERROR(INDEX('Both teabags AfterWet'!$C$3:$C$841,MATCH(H204,'Both teabags AfterWet'!$A$3:$A$841,0)),"")))</f>
        <v>0.59719999999999995</v>
      </c>
      <c r="T204" s="195">
        <f>IFERROR(INDEX('Both teabags AfterWet'!$C$3:$C$841,MATCH(I204,'Both teabags AfterWet'!$A$3:$A$841,0)),"")</f>
        <v>0.48970000000000002</v>
      </c>
      <c r="U204" s="195">
        <f t="shared" si="19"/>
        <v>0.44659999999999994</v>
      </c>
      <c r="V204" s="195">
        <f t="shared" si="19"/>
        <v>0.33910000000000001</v>
      </c>
      <c r="W204" s="195">
        <f>IFERROR(INDEX('Ashed teabags wet'!$K$2:$K$821,MATCH(H204,'Ashed teabags wet'!$A$2:$A$821,0)),"")</f>
        <v>16.047548291233621</v>
      </c>
      <c r="X204" s="195" t="str">
        <f>IFERROR(INDEX('Ashed teabags wet'!$K$2:$K$821,MATCH(I204,'Ashed teabags wet'!$A$2:$A$821,0)),"")</f>
        <v/>
      </c>
      <c r="Y204" s="195">
        <f t="shared" ref="Y204:Z267" si="25">IFERROR(U204-(W204/100)*U204,"")</f>
        <v>0.37493164933135059</v>
      </c>
      <c r="Z204" s="195" t="str">
        <f t="shared" si="25"/>
        <v/>
      </c>
      <c r="AA204" s="195">
        <f t="shared" si="20"/>
        <v>0.7702552856368079</v>
      </c>
      <c r="AB204" s="195">
        <f t="shared" si="21"/>
        <v>0.50496546041747981</v>
      </c>
      <c r="AC204" s="195" t="str">
        <f t="shared" ref="AC204:AC267" si="26">IFERROR(Z204/Q204,"")</f>
        <v/>
      </c>
      <c r="AD204">
        <f t="shared" ref="AD204:AD267" si="27">IF((R204-G204)&gt;0,(IFERROR(R204-G204,"")),"")</f>
        <v>54</v>
      </c>
      <c r="AE204" s="195">
        <f t="shared" si="22"/>
        <v>8.5207499243696083E-2</v>
      </c>
      <c r="AF204" s="195" t="str">
        <f t="shared" si="23"/>
        <v/>
      </c>
      <c r="AG204" s="255" t="str">
        <f>IF(ISNUMBER(SEARCH("C",'WetLitterbags placem_collection'!AD131)),"YES","NO")</f>
        <v>NO</v>
      </c>
      <c r="AH204" s="255" t="str">
        <f>IF(ISNUMBER(SEARCH("H", 'WetLitterbags placem_collection'!AD131)),"YES","NO")</f>
        <v>NO</v>
      </c>
      <c r="AI204" s="255" t="str">
        <f>IF(ISNUMBER(SEARCH("R", 'WetLitterbags placem_collection'!AD131)),"YES","NO")</f>
        <v>NO</v>
      </c>
      <c r="AJ204" s="255" t="str">
        <f>IF(ISNUMBER(SEARCH("C", 'WetLitterbags placem_collection'!AC131)),"YES","NO")</f>
        <v>NO</v>
      </c>
      <c r="AK204" s="255" t="str">
        <f>IF(ISNUMBER(SEARCH("H", 'WetLitterbags placem_collection'!AC131)),"YES","NO")</f>
        <v>NO</v>
      </c>
      <c r="AL204" s="255" t="str">
        <f>IF(ISNUMBER(SEARCH("R", 'WetLitterbags placem_collection'!AC131)),"YES","NO")</f>
        <v>NO</v>
      </c>
    </row>
    <row r="205" spans="2:38">
      <c r="B205" t="str">
        <f>'Final data_for_R_analysis_Wetse'!A131</f>
        <v>Wet</v>
      </c>
      <c r="C205" s="263">
        <f>'Final data_for_R_analysis_Wetse'!B131</f>
        <v>130</v>
      </c>
      <c r="D205" t="s">
        <v>3846</v>
      </c>
      <c r="E205" t="s">
        <v>22</v>
      </c>
      <c r="F205" s="386">
        <v>2</v>
      </c>
      <c r="G205" s="16">
        <f>'WetLitterbags placem_collection'!E132</f>
        <v>42762</v>
      </c>
      <c r="H205" t="str">
        <f>'Final data_for_R_analysis_Wetse'!J131</f>
        <v>G830</v>
      </c>
      <c r="I205" t="str">
        <f>'Final data_for_R_analysis_Wetse'!J351</f>
        <v>R585</v>
      </c>
      <c r="J205">
        <f>IFERROR(INDEX('Green_rooibos initial weight'!$C$5:$C$1749,MATCH(H205, 'Green_rooibos initial weight'!$A$5:$A$1749,0)),"")</f>
        <v>1.8939999999999999</v>
      </c>
      <c r="K205">
        <f>IFERROR(INDEX('Green_rooibos initial weight'!$C$5:$C$1749,MATCH(I205, 'Green_rooibos initial weight'!$A$5:$A$1749,0)),"")</f>
        <v>2.17</v>
      </c>
      <c r="L205" s="195">
        <f t="shared" ref="L205:L268" si="28">IF(J205&gt;0,(J205*$F$31-($F$29+$F$30)),"")</f>
        <v>1.6441999999999999</v>
      </c>
      <c r="M205" s="195">
        <f>AVERAGE(Ashed_controlls!$K$2:$K$11)</f>
        <v>5.5147656768714146</v>
      </c>
      <c r="N205" s="195">
        <f t="shared" si="24"/>
        <v>1.5535262227408801</v>
      </c>
      <c r="O205" s="195">
        <f t="shared" ref="O205:O268" si="29">IF(K205&gt;0,(K205*$F$32-($F$29+$F$30)),"")</f>
        <v>1.9201999999999999</v>
      </c>
      <c r="P205" s="195">
        <f>AVERAGE(Ashed_controlls!$K$12:$K$14)</f>
        <v>2.2816647271287041</v>
      </c>
      <c r="Q205" s="195">
        <f t="shared" ref="Q205:Q268" si="30">IFERROR(O205-(P205/100)*O205,"")</f>
        <v>1.8763874739096746</v>
      </c>
      <c r="R205" s="16">
        <f>IF('WetLitterbags placem_collection'!G132="N.A","",'WetLitterbags placem_collection'!G132)</f>
        <v>42816</v>
      </c>
      <c r="S205" s="195">
        <f>IF(IFERROR(INDEX('Both teabags AfterWet'!$C$3:$C$841,MATCH(H205,'Both teabags AfterWet'!$A$3:$A$841,0)),"")="N.A","",(IFERROR(INDEX('Both teabags AfterWet'!$C$3:$C$841,MATCH(H205,'Both teabags AfterWet'!$A$3:$A$841,0)),"")))</f>
        <v>0.54</v>
      </c>
      <c r="T205" s="195">
        <f>IFERROR(INDEX('Both teabags AfterWet'!$C$3:$C$841,MATCH(I205,'Both teabags AfterWet'!$A$3:$A$841,0)),"")</f>
        <v>1.6379999999999999</v>
      </c>
      <c r="U205" s="195">
        <f t="shared" ref="U205:V268" si="31">IFERROR(IF(S205&gt;0,S205-($F$29),""),"")</f>
        <v>0.38940000000000002</v>
      </c>
      <c r="V205" s="195">
        <f t="shared" si="31"/>
        <v>1.4873999999999998</v>
      </c>
      <c r="W205" s="195">
        <f>IFERROR(INDEX('Ashed teabags wet'!$K$2:$K$821,MATCH(H205,'Ashed teabags wet'!$A$2:$A$821,0)),"")</f>
        <v>12.680978532201229</v>
      </c>
      <c r="X205" s="195">
        <f>IFERROR(INDEX('Ashed teabags wet'!$K$2:$K$821,MATCH(I205,'Ashed teabags wet'!$A$2:$A$821,0)),"")</f>
        <v>4.8913043478256997</v>
      </c>
      <c r="Y205" s="195">
        <f t="shared" si="25"/>
        <v>0.34002026959560844</v>
      </c>
      <c r="Z205" s="195">
        <f t="shared" si="25"/>
        <v>1.4146467391304405</v>
      </c>
      <c r="AA205" s="195">
        <f t="shared" ref="AA205:AA268" si="32">IFERROR(1-Y205/N205,"")</f>
        <v>0.78113000951106448</v>
      </c>
      <c r="AB205" s="195">
        <f t="shared" ref="AB205:AB268" si="33">IFERROR($F$26*(1-AE205),"")</f>
        <v>0.51209473307613729</v>
      </c>
      <c r="AC205" s="195">
        <f t="shared" si="26"/>
        <v>0.75392037028623793</v>
      </c>
      <c r="AD205">
        <f t="shared" si="27"/>
        <v>54</v>
      </c>
      <c r="AE205" s="195">
        <f t="shared" ref="AE205:AE268" si="34">IFERROR(1-(AA205/$F$25),"")</f>
        <v>7.2292150224388951E-2</v>
      </c>
      <c r="AF205" s="195">
        <f t="shared" ref="AF205:AF268" si="35">IFERROR(LN(AB205/(AC205-(1-AB205)))/AD205,"")</f>
        <v>1.2128824939557812E-2</v>
      </c>
      <c r="AG205" s="255" t="str">
        <f>IF(ISNUMBER(SEARCH("C",'WetLitterbags placem_collection'!AD132)),"YES","NO")</f>
        <v>NO</v>
      </c>
      <c r="AH205" s="255" t="str">
        <f>IF(ISNUMBER(SEARCH("H", 'WetLitterbags placem_collection'!AD132)),"YES","NO")</f>
        <v>NO</v>
      </c>
      <c r="AI205" s="255" t="str">
        <f>IF(ISNUMBER(SEARCH("R", 'WetLitterbags placem_collection'!AD132)),"YES","NO")</f>
        <v>NO</v>
      </c>
      <c r="AJ205" s="255" t="str">
        <f>IF(ISNUMBER(SEARCH("C", 'WetLitterbags placem_collection'!AC132)),"YES","NO")</f>
        <v>NO</v>
      </c>
      <c r="AK205" s="255" t="str">
        <f>IF(ISNUMBER(SEARCH("H", 'WetLitterbags placem_collection'!AC132)),"YES","NO")</f>
        <v>NO</v>
      </c>
      <c r="AL205" s="255" t="str">
        <f>IF(ISNUMBER(SEARCH("R", 'WetLitterbags placem_collection'!AC132)),"YES","NO")</f>
        <v>NO</v>
      </c>
    </row>
    <row r="206" spans="2:38">
      <c r="B206" t="str">
        <f>'Final data_for_R_analysis_Wetse'!A132</f>
        <v>Wet</v>
      </c>
      <c r="C206" s="263">
        <f>'Final data_for_R_analysis_Wetse'!B132</f>
        <v>131</v>
      </c>
      <c r="D206" t="s">
        <v>3846</v>
      </c>
      <c r="E206" t="s">
        <v>22</v>
      </c>
      <c r="F206" s="386">
        <v>3</v>
      </c>
      <c r="G206" s="16">
        <f>'WetLitterbags placem_collection'!E133</f>
        <v>42762</v>
      </c>
      <c r="H206" t="str">
        <f>'Final data_for_R_analysis_Wetse'!J132</f>
        <v>G746</v>
      </c>
      <c r="I206" t="str">
        <f>'Final data_for_R_analysis_Wetse'!J352</f>
        <v>R476</v>
      </c>
      <c r="J206">
        <f>IFERROR(INDEX('Green_rooibos initial weight'!$C$5:$C$1749,MATCH(H206, 'Green_rooibos initial weight'!$A$5:$A$1749,0)),"")</f>
        <v>2.198</v>
      </c>
      <c r="K206">
        <f>IFERROR(INDEX('Green_rooibos initial weight'!$C$5:$C$1749,MATCH(I206, 'Green_rooibos initial weight'!$A$5:$A$1749,0)),"")</f>
        <v>2.2429999999999999</v>
      </c>
      <c r="L206" s="195">
        <f t="shared" si="28"/>
        <v>1.9481999999999999</v>
      </c>
      <c r="M206" s="195">
        <f>AVERAGE(Ashed_controlls!$K$2:$K$11)</f>
        <v>5.5147656768714146</v>
      </c>
      <c r="N206" s="195">
        <f t="shared" si="24"/>
        <v>1.8407613350831911</v>
      </c>
      <c r="O206" s="195">
        <f t="shared" si="29"/>
        <v>1.9931999999999999</v>
      </c>
      <c r="P206" s="195">
        <f>AVERAGE(Ashed_controlls!$K$12:$K$14)</f>
        <v>2.2816647271287041</v>
      </c>
      <c r="Q206" s="195">
        <f t="shared" si="30"/>
        <v>1.9477218586588705</v>
      </c>
      <c r="R206" s="16">
        <f>IF('WetLitterbags placem_collection'!G133="N.A","",'WetLitterbags placem_collection'!G133)</f>
        <v>42816</v>
      </c>
      <c r="S206" s="195">
        <f>IF(IFERROR(INDEX('Both teabags AfterWet'!$C$3:$C$841,MATCH(H206,'Both teabags AfterWet'!$A$3:$A$841,0)),"")="N.A","",(IFERROR(INDEX('Both teabags AfterWet'!$C$3:$C$841,MATCH(H206,'Both teabags AfterWet'!$A$3:$A$841,0)),"")))</f>
        <v>0.6613</v>
      </c>
      <c r="T206" s="195">
        <f>IFERROR(INDEX('Both teabags AfterWet'!$C$3:$C$841,MATCH(I206,'Both teabags AfterWet'!$A$3:$A$841,0)),"")</f>
        <v>0.64019999999999999</v>
      </c>
      <c r="U206" s="195">
        <f t="shared" si="31"/>
        <v>0.51069999999999993</v>
      </c>
      <c r="V206" s="195">
        <f t="shared" si="31"/>
        <v>0.48959999999999998</v>
      </c>
      <c r="W206" s="195">
        <f>IFERROR(INDEX('Ashed teabags wet'!$K$2:$K$821,MATCH(H206,'Ashed teabags wet'!$A$2:$A$821,0)),"")</f>
        <v>16.72456575682352</v>
      </c>
      <c r="X206" s="195" t="str">
        <f>IFERROR(INDEX('Ashed teabags wet'!$K$2:$K$821,MATCH(I206,'Ashed teabags wet'!$A$2:$A$821,0)),"")</f>
        <v/>
      </c>
      <c r="Y206" s="195">
        <f t="shared" si="25"/>
        <v>0.42528764267990221</v>
      </c>
      <c r="Z206" s="195" t="str">
        <f t="shared" si="25"/>
        <v/>
      </c>
      <c r="AA206" s="195">
        <f t="shared" si="32"/>
        <v>0.76896100837500381</v>
      </c>
      <c r="AB206" s="195">
        <f t="shared" si="33"/>
        <v>0.50411695560926617</v>
      </c>
      <c r="AC206" s="195" t="str">
        <f t="shared" si="26"/>
        <v/>
      </c>
      <c r="AD206">
        <f t="shared" si="27"/>
        <v>54</v>
      </c>
      <c r="AE206" s="195">
        <f t="shared" si="34"/>
        <v>8.6744645635387418E-2</v>
      </c>
      <c r="AF206" s="195" t="str">
        <f t="shared" si="35"/>
        <v/>
      </c>
      <c r="AG206" s="255" t="str">
        <f>IF(ISNUMBER(SEARCH("C",'WetLitterbags placem_collection'!AD133)),"YES","NO")</f>
        <v>NO</v>
      </c>
      <c r="AH206" s="255" t="str">
        <f>IF(ISNUMBER(SEARCH("H", 'WetLitterbags placem_collection'!AD133)),"YES","NO")</f>
        <v>NO</v>
      </c>
      <c r="AI206" s="255" t="str">
        <f>IF(ISNUMBER(SEARCH("R", 'WetLitterbags placem_collection'!AD133)),"YES","NO")</f>
        <v>NO</v>
      </c>
      <c r="AJ206" s="255" t="str">
        <f>IF(ISNUMBER(SEARCH("C", 'WetLitterbags placem_collection'!AC133)),"YES","NO")</f>
        <v>NO</v>
      </c>
      <c r="AK206" s="255" t="str">
        <f>IF(ISNUMBER(SEARCH("H", 'WetLitterbags placem_collection'!AC133)),"YES","NO")</f>
        <v>NO</v>
      </c>
      <c r="AL206" s="255" t="str">
        <f>IF(ISNUMBER(SEARCH("R", 'WetLitterbags placem_collection'!AC133)),"YES","NO")</f>
        <v>NO</v>
      </c>
    </row>
    <row r="207" spans="2:38">
      <c r="B207" t="str">
        <f>'Final data_for_R_analysis_Wetse'!A133</f>
        <v>Wet</v>
      </c>
      <c r="C207" s="263">
        <f>'Final data_for_R_analysis_Wetse'!B133</f>
        <v>132</v>
      </c>
      <c r="D207" t="s">
        <v>3846</v>
      </c>
      <c r="E207" t="s">
        <v>22</v>
      </c>
      <c r="F207" s="387">
        <v>4</v>
      </c>
      <c r="G207" s="16">
        <f>'WetLitterbags placem_collection'!E134</f>
        <v>42762</v>
      </c>
      <c r="H207" t="str">
        <f>'Final data_for_R_analysis_Wetse'!J133</f>
        <v>G725</v>
      </c>
      <c r="I207" t="str">
        <f>'Final data_for_R_analysis_Wetse'!J353</f>
        <v>R536</v>
      </c>
      <c r="J207">
        <f>IFERROR(INDEX('Green_rooibos initial weight'!$C$5:$C$1749,MATCH(H207, 'Green_rooibos initial weight'!$A$5:$A$1749,0)),"")</f>
        <v>2.0270000000000001</v>
      </c>
      <c r="K207">
        <f>IFERROR(INDEX('Green_rooibos initial weight'!$C$5:$C$1749,MATCH(I207, 'Green_rooibos initial weight'!$A$5:$A$1749,0)),"")</f>
        <v>2.1970000000000001</v>
      </c>
      <c r="L207" s="195">
        <f t="shared" si="28"/>
        <v>1.7772000000000001</v>
      </c>
      <c r="M207" s="195">
        <f>AVERAGE(Ashed_controlls!$K$2:$K$11)</f>
        <v>5.5147656768714146</v>
      </c>
      <c r="N207" s="195">
        <f t="shared" si="24"/>
        <v>1.6791915843906413</v>
      </c>
      <c r="O207" s="195">
        <f t="shared" si="29"/>
        <v>1.9472</v>
      </c>
      <c r="P207" s="195">
        <f>AVERAGE(Ashed_controlls!$K$12:$K$14)</f>
        <v>2.2816647271287041</v>
      </c>
      <c r="Q207" s="195">
        <f t="shared" si="30"/>
        <v>1.90277142443335</v>
      </c>
      <c r="R207" s="16">
        <f>IF('WetLitterbags placem_collection'!G134="N.A","",'WetLitterbags placem_collection'!G134)</f>
        <v>42816</v>
      </c>
      <c r="S207" s="195">
        <f>IF(IFERROR(INDEX('Both teabags AfterWet'!$C$3:$C$841,MATCH(H207,'Both teabags AfterWet'!$A$3:$A$841,0)),"")="N.A","",(IFERROR(INDEX('Both teabags AfterWet'!$C$3:$C$841,MATCH(H207,'Both teabags AfterWet'!$A$3:$A$841,0)),"")))</f>
        <v>0.56820000000000004</v>
      </c>
      <c r="T207" s="195">
        <f>IFERROR(INDEX('Both teabags AfterWet'!$C$3:$C$841,MATCH(I207,'Both teabags AfterWet'!$A$3:$A$841,0)),"")</f>
        <v>1.593</v>
      </c>
      <c r="U207" s="195">
        <f t="shared" si="31"/>
        <v>0.41760000000000003</v>
      </c>
      <c r="V207" s="195">
        <f t="shared" si="31"/>
        <v>1.4423999999999999</v>
      </c>
      <c r="W207" s="195">
        <f>IFERROR(INDEX('Ashed teabags wet'!$K$2:$K$821,MATCH(H207,'Ashed teabags wet'!$A$2:$A$821,0)),"")</f>
        <v>14.355948869222813</v>
      </c>
      <c r="X207" s="195">
        <f>IFERROR(INDEX('Ashed teabags wet'!$K$2:$K$821,MATCH(I207,'Ashed teabags wet'!$A$2:$A$821,0)),"")</f>
        <v>91.768144179250029</v>
      </c>
      <c r="Y207" s="195">
        <f t="shared" si="25"/>
        <v>0.35764955752212557</v>
      </c>
      <c r="Z207" s="195">
        <f t="shared" si="25"/>
        <v>0.11873628835849748</v>
      </c>
      <c r="AA207" s="195">
        <f t="shared" si="32"/>
        <v>0.78701086829713218</v>
      </c>
      <c r="AB207" s="195">
        <f t="shared" si="33"/>
        <v>0.51595011793351186</v>
      </c>
      <c r="AC207" s="195">
        <f t="shared" si="26"/>
        <v>6.2401761364404257E-2</v>
      </c>
      <c r="AD207">
        <f t="shared" si="27"/>
        <v>54</v>
      </c>
      <c r="AE207" s="195">
        <f t="shared" si="34"/>
        <v>6.5307757366826369E-2</v>
      </c>
      <c r="AF207" s="195" t="str">
        <f t="shared" si="35"/>
        <v/>
      </c>
      <c r="AG207" s="255" t="str">
        <f>IF(ISNUMBER(SEARCH("C",'WetLitterbags placem_collection'!AD134)),"YES","NO")</f>
        <v>NO</v>
      </c>
      <c r="AH207" s="255" t="str">
        <f>IF(ISNUMBER(SEARCH("H", 'WetLitterbags placem_collection'!AD134)),"YES","NO")</f>
        <v>NO</v>
      </c>
      <c r="AI207" s="255" t="str">
        <f>IF(ISNUMBER(SEARCH("R", 'WetLitterbags placem_collection'!AD134)),"YES","NO")</f>
        <v>NO</v>
      </c>
      <c r="AJ207" s="255" t="str">
        <f>IF(ISNUMBER(SEARCH("C", 'WetLitterbags placem_collection'!AC134)),"YES","NO")</f>
        <v>NO</v>
      </c>
      <c r="AK207" s="255" t="str">
        <f>IF(ISNUMBER(SEARCH("H", 'WetLitterbags placem_collection'!AC134)),"YES","NO")</f>
        <v>NO</v>
      </c>
      <c r="AL207" s="255" t="str">
        <f>IF(ISNUMBER(SEARCH("R", 'WetLitterbags placem_collection'!AC134)),"YES","NO")</f>
        <v>NO</v>
      </c>
    </row>
    <row r="208" spans="2:38">
      <c r="B208" t="str">
        <f>'Final data_for_R_analysis_Wetse'!A134</f>
        <v>Wet</v>
      </c>
      <c r="C208" s="263">
        <f>'Final data_for_R_analysis_Wetse'!B134</f>
        <v>133</v>
      </c>
      <c r="D208" t="s">
        <v>3846</v>
      </c>
      <c r="E208" t="s">
        <v>22</v>
      </c>
      <c r="F208" s="387">
        <v>5</v>
      </c>
      <c r="G208" s="16">
        <f>'WetLitterbags placem_collection'!E135</f>
        <v>42762</v>
      </c>
      <c r="H208" t="str">
        <f>'Final data_for_R_analysis_Wetse'!J134</f>
        <v>G846</v>
      </c>
      <c r="I208" t="str">
        <f>'Final data_for_R_analysis_Wetse'!J354</f>
        <v>R524</v>
      </c>
      <c r="J208">
        <f>IFERROR(INDEX('Green_rooibos initial weight'!$C$5:$C$1749,MATCH(H208, 'Green_rooibos initial weight'!$A$5:$A$1749,0)),"")</f>
        <v>2.0350000000000001</v>
      </c>
      <c r="K208">
        <f>IFERROR(INDEX('Green_rooibos initial weight'!$C$5:$C$1749,MATCH(I208, 'Green_rooibos initial weight'!$A$5:$A$1749,0)),"")</f>
        <v>2.1080000000000001</v>
      </c>
      <c r="L208" s="195">
        <f t="shared" si="28"/>
        <v>1.7852000000000001</v>
      </c>
      <c r="M208" s="195">
        <f>AVERAGE(Ashed_controlls!$K$2:$K$11)</f>
        <v>5.5147656768714146</v>
      </c>
      <c r="N208" s="195">
        <f t="shared" si="24"/>
        <v>1.6867504031364917</v>
      </c>
      <c r="O208" s="195">
        <f t="shared" si="29"/>
        <v>1.8582000000000001</v>
      </c>
      <c r="P208" s="195">
        <f>AVERAGE(Ashed_controlls!$K$12:$K$14)</f>
        <v>2.2816647271287041</v>
      </c>
      <c r="Q208" s="195">
        <f t="shared" si="30"/>
        <v>1.8158021060404945</v>
      </c>
      <c r="R208" s="16">
        <f>IF('WetLitterbags placem_collection'!G135="N.A","",'WetLitterbags placem_collection'!G135)</f>
        <v>42816</v>
      </c>
      <c r="S208" s="195">
        <f>IF(IFERROR(INDEX('Both teabags AfterWet'!$C$3:$C$841,MATCH(H208,'Both teabags AfterWet'!$A$3:$A$841,0)),"")="N.A","",(IFERROR(INDEX('Both teabags AfterWet'!$C$3:$C$841,MATCH(H208,'Both teabags AfterWet'!$A$3:$A$841,0)),"")))</f>
        <v>0.59309999999999996</v>
      </c>
      <c r="T208" s="195">
        <f>IFERROR(INDEX('Both teabags AfterWet'!$C$3:$C$841,MATCH(I208,'Both teabags AfterWet'!$A$3:$A$841,0)),"")</f>
        <v>1.5687</v>
      </c>
      <c r="U208" s="195">
        <f t="shared" si="31"/>
        <v>0.44249999999999995</v>
      </c>
      <c r="V208" s="195">
        <f t="shared" si="31"/>
        <v>1.4180999999999999</v>
      </c>
      <c r="W208" s="195">
        <f>IFERROR(INDEX('Ashed teabags wet'!$K$2:$K$821,MATCH(H208,'Ashed teabags wet'!$A$2:$A$821,0)),"")</f>
        <v>11.326378539493467</v>
      </c>
      <c r="X208" s="195">
        <f>IFERROR(INDEX('Ashed teabags wet'!$K$2:$K$821,MATCH(I208,'Ashed teabags wet'!$A$2:$A$821,0)),"")</f>
        <v>2.521432173474186</v>
      </c>
      <c r="Y208" s="195">
        <f t="shared" si="25"/>
        <v>0.39238077496274137</v>
      </c>
      <c r="Z208" s="195">
        <f t="shared" si="25"/>
        <v>1.3823435703479625</v>
      </c>
      <c r="AA208" s="195">
        <f t="shared" si="32"/>
        <v>0.76737472584377975</v>
      </c>
      <c r="AB208" s="195">
        <f t="shared" si="33"/>
        <v>0.50307701741777489</v>
      </c>
      <c r="AC208" s="195">
        <f t="shared" si="26"/>
        <v>0.76128536570666072</v>
      </c>
      <c r="AD208">
        <f t="shared" si="27"/>
        <v>54</v>
      </c>
      <c r="AE208" s="195">
        <f t="shared" si="34"/>
        <v>8.8628591634465792E-2</v>
      </c>
      <c r="AF208" s="195">
        <f t="shared" si="35"/>
        <v>1.1915230541889312E-2</v>
      </c>
      <c r="AG208" s="255" t="str">
        <f>IF(ISNUMBER(SEARCH("C",'WetLitterbags placem_collection'!AD135)),"YES","NO")</f>
        <v>NO</v>
      </c>
      <c r="AH208" s="255" t="str">
        <f>IF(ISNUMBER(SEARCH("H", 'WetLitterbags placem_collection'!AD135)),"YES","NO")</f>
        <v>NO</v>
      </c>
      <c r="AI208" s="255" t="str">
        <f>IF(ISNUMBER(SEARCH("R", 'WetLitterbags placem_collection'!AD135)),"YES","NO")</f>
        <v>NO</v>
      </c>
      <c r="AJ208" s="255" t="str">
        <f>IF(ISNUMBER(SEARCH("C", 'WetLitterbags placem_collection'!AC135)),"YES","NO")</f>
        <v>NO</v>
      </c>
      <c r="AK208" s="255" t="str">
        <f>IF(ISNUMBER(SEARCH("H", 'WetLitterbags placem_collection'!AC135)),"YES","NO")</f>
        <v>NO</v>
      </c>
      <c r="AL208" s="255" t="str">
        <f>IF(ISNUMBER(SEARCH("R", 'WetLitterbags placem_collection'!AC135)),"YES","NO")</f>
        <v>NO</v>
      </c>
    </row>
    <row r="209" spans="2:38">
      <c r="B209" t="str">
        <f>'Final data_for_R_analysis_Wetse'!A135</f>
        <v>Wet</v>
      </c>
      <c r="C209" s="263">
        <f>'Final data_for_R_analysis_Wetse'!B135</f>
        <v>134</v>
      </c>
      <c r="D209" t="s">
        <v>3846</v>
      </c>
      <c r="E209" t="s">
        <v>22</v>
      </c>
      <c r="F209" s="387">
        <v>6</v>
      </c>
      <c r="G209" s="16">
        <f>'WetLitterbags placem_collection'!E136</f>
        <v>42762</v>
      </c>
      <c r="H209" t="str">
        <f>'Final data_for_R_analysis_Wetse'!J135</f>
        <v>G756</v>
      </c>
      <c r="I209" t="str">
        <f>'Final data_for_R_analysis_Wetse'!J355</f>
        <v>R600</v>
      </c>
      <c r="J209">
        <f>IFERROR(INDEX('Green_rooibos initial weight'!$C$5:$C$1749,MATCH(H209, 'Green_rooibos initial weight'!$A$5:$A$1749,0)),"")</f>
        <v>2.1459999999999999</v>
      </c>
      <c r="K209">
        <f>IFERROR(INDEX('Green_rooibos initial weight'!$C$5:$C$1749,MATCH(I209, 'Green_rooibos initial weight'!$A$5:$A$1749,0)),"")</f>
        <v>2.2440000000000002</v>
      </c>
      <c r="L209" s="195">
        <f t="shared" si="28"/>
        <v>1.8961999999999999</v>
      </c>
      <c r="M209" s="195">
        <f>AVERAGE(Ashed_controlls!$K$2:$K$11)</f>
        <v>5.5147656768714146</v>
      </c>
      <c r="N209" s="195">
        <f t="shared" si="24"/>
        <v>1.7916290132351642</v>
      </c>
      <c r="O209" s="195">
        <f t="shared" si="29"/>
        <v>1.9942000000000002</v>
      </c>
      <c r="P209" s="195">
        <f>AVERAGE(Ashed_controlls!$K$12:$K$14)</f>
        <v>2.2816647271287041</v>
      </c>
      <c r="Q209" s="195">
        <f t="shared" si="30"/>
        <v>1.9486990420115995</v>
      </c>
      <c r="R209" s="16">
        <f>IF('WetLitterbags placem_collection'!G136="N.A","",'WetLitterbags placem_collection'!G136)</f>
        <v>42816</v>
      </c>
      <c r="S209" s="195">
        <f>IF(IFERROR(INDEX('Both teabags AfterWet'!$C$3:$C$841,MATCH(H209,'Both teabags AfterWet'!$A$3:$A$841,0)),"")="N.A","",(IFERROR(INDEX('Both teabags AfterWet'!$C$3:$C$841,MATCH(H209,'Both teabags AfterWet'!$A$3:$A$841,0)),"")))</f>
        <v>0.69399999999999995</v>
      </c>
      <c r="T209" s="195">
        <f>IFERROR(INDEX('Both teabags AfterWet'!$C$3:$C$841,MATCH(I209,'Both teabags AfterWet'!$A$3:$A$841,0)),"")</f>
        <v>1.4419999999999999</v>
      </c>
      <c r="U209" s="195">
        <f t="shared" si="31"/>
        <v>0.54339999999999988</v>
      </c>
      <c r="V209" s="195">
        <f t="shared" si="31"/>
        <v>1.2913999999999999</v>
      </c>
      <c r="W209" s="195">
        <f>IFERROR(INDEX('Ashed teabags wet'!$K$2:$K$821,MATCH(H209,'Ashed teabags wet'!$A$2:$A$821,0)),"")</f>
        <v>17.213930348258991</v>
      </c>
      <c r="X209" s="195">
        <f>IFERROR(INDEX('Ashed teabags wet'!$K$2:$K$821,MATCH(I209,'Ashed teabags wet'!$A$2:$A$821,0)),"")</f>
        <v>7.2860635696819331</v>
      </c>
      <c r="Y209" s="195">
        <f t="shared" si="25"/>
        <v>0.44985950248756057</v>
      </c>
      <c r="Z209" s="195">
        <f t="shared" si="25"/>
        <v>1.1973077750611274</v>
      </c>
      <c r="AA209" s="195">
        <f t="shared" si="32"/>
        <v>0.74891034965143577</v>
      </c>
      <c r="AB209" s="195">
        <f t="shared" si="33"/>
        <v>0.49097210570972993</v>
      </c>
      <c r="AC209" s="195">
        <f t="shared" si="26"/>
        <v>0.61441389832324889</v>
      </c>
      <c r="AD209">
        <f t="shared" si="27"/>
        <v>54</v>
      </c>
      <c r="AE209" s="195">
        <f t="shared" si="34"/>
        <v>0.11055777951135892</v>
      </c>
      <c r="AF209" s="195">
        <f t="shared" si="35"/>
        <v>2.8495508829070364E-2</v>
      </c>
      <c r="AG209" s="255" t="str">
        <f>IF(ISNUMBER(SEARCH("C",'WetLitterbags placem_collection'!AD136)),"YES","NO")</f>
        <v>NO</v>
      </c>
      <c r="AH209" s="255" t="str">
        <f>IF(ISNUMBER(SEARCH("H", 'WetLitterbags placem_collection'!AD136)),"YES","NO")</f>
        <v>NO</v>
      </c>
      <c r="AI209" s="255" t="str">
        <f>IF(ISNUMBER(SEARCH("R", 'WetLitterbags placem_collection'!AD136)),"YES","NO")</f>
        <v>NO</v>
      </c>
      <c r="AJ209" s="255" t="str">
        <f>IF(ISNUMBER(SEARCH("C", 'WetLitterbags placem_collection'!AC136)),"YES","NO")</f>
        <v>NO</v>
      </c>
      <c r="AK209" s="255" t="str">
        <f>IF(ISNUMBER(SEARCH("H", 'WetLitterbags placem_collection'!AC136)),"YES","NO")</f>
        <v>NO</v>
      </c>
      <c r="AL209" s="255" t="str">
        <f>IF(ISNUMBER(SEARCH("R", 'WetLitterbags placem_collection'!AC136)),"YES","NO")</f>
        <v>NO</v>
      </c>
    </row>
    <row r="210" spans="2:38">
      <c r="B210" t="str">
        <f>'Final data_for_R_analysis_Wetse'!A136</f>
        <v>Wet</v>
      </c>
      <c r="C210" s="263">
        <f>'Final data_for_R_analysis_Wetse'!B136</f>
        <v>135</v>
      </c>
      <c r="D210" t="s">
        <v>3846</v>
      </c>
      <c r="E210" t="s">
        <v>22</v>
      </c>
      <c r="F210" s="387">
        <v>7</v>
      </c>
      <c r="G210" s="16">
        <f>'WetLitterbags placem_collection'!E137</f>
        <v>42762</v>
      </c>
      <c r="H210" t="str">
        <f>'Final data_for_R_analysis_Wetse'!J136</f>
        <v>G745</v>
      </c>
      <c r="I210" t="str">
        <f>'Final data_for_R_analysis_Wetse'!J356</f>
        <v>R432</v>
      </c>
      <c r="J210">
        <f>IFERROR(INDEX('Green_rooibos initial weight'!$C$5:$C$1749,MATCH(H210, 'Green_rooibos initial weight'!$A$5:$A$1749,0)),"")</f>
        <v>1.9570000000000001</v>
      </c>
      <c r="K210">
        <f>IFERROR(INDEX('Green_rooibos initial weight'!$C$5:$C$1749,MATCH(I210, 'Green_rooibos initial weight'!$A$5:$A$1749,0)),"")</f>
        <v>2.2240000000000002</v>
      </c>
      <c r="L210" s="195">
        <f t="shared" si="28"/>
        <v>1.7072000000000001</v>
      </c>
      <c r="M210" s="195">
        <f>AVERAGE(Ashed_controlls!$K$2:$K$11)</f>
        <v>5.5147656768714146</v>
      </c>
      <c r="N210" s="195">
        <f t="shared" si="24"/>
        <v>1.6130519203644513</v>
      </c>
      <c r="O210" s="195">
        <f t="shared" si="29"/>
        <v>1.9742000000000002</v>
      </c>
      <c r="P210" s="195">
        <f>AVERAGE(Ashed_controlls!$K$12:$K$14)</f>
        <v>2.2816647271287041</v>
      </c>
      <c r="Q210" s="195">
        <f t="shared" si="30"/>
        <v>1.9291553749570254</v>
      </c>
      <c r="R210" s="16">
        <f>IF('WetLitterbags placem_collection'!G137="N.A","",'WetLitterbags placem_collection'!G137)</f>
        <v>42816</v>
      </c>
      <c r="S210" s="195">
        <f>IF(IFERROR(INDEX('Both teabags AfterWet'!$C$3:$C$841,MATCH(H210,'Both teabags AfterWet'!$A$3:$A$841,0)),"")="N.A","",(IFERROR(INDEX('Both teabags AfterWet'!$C$3:$C$841,MATCH(H210,'Both teabags AfterWet'!$A$3:$A$841,0)),"")))</f>
        <v>0.61099999999999999</v>
      </c>
      <c r="T210" s="195">
        <f>IFERROR(INDEX('Both teabags AfterWet'!$C$3:$C$841,MATCH(I210,'Both teabags AfterWet'!$A$3:$A$841,0)),"")</f>
        <v>1.6830000000000001</v>
      </c>
      <c r="U210" s="195">
        <f t="shared" si="31"/>
        <v>0.46039999999999998</v>
      </c>
      <c r="V210" s="195">
        <f t="shared" si="31"/>
        <v>1.5324</v>
      </c>
      <c r="W210" s="195">
        <f>IFERROR(INDEX('Ashed teabags wet'!$K$2:$K$821,MATCH(H210,'Ashed teabags wet'!$A$2:$A$821,0)),"")</f>
        <v>14.334637964774716</v>
      </c>
      <c r="X210" s="195">
        <f>IFERROR(INDEX('Ashed teabags wet'!$K$2:$K$821,MATCH(I210,'Ashed teabags wet'!$A$2:$A$821,0)),"")</f>
        <v>13.470757430488819</v>
      </c>
      <c r="Y210" s="195">
        <f t="shared" si="25"/>
        <v>0.3944033268101772</v>
      </c>
      <c r="Z210" s="195">
        <f t="shared" si="25"/>
        <v>1.3259741131351892</v>
      </c>
      <c r="AA210" s="195">
        <f t="shared" si="32"/>
        <v>0.75549247867913261</v>
      </c>
      <c r="AB210" s="195">
        <f t="shared" si="33"/>
        <v>0.49528723067800623</v>
      </c>
      <c r="AC210" s="195">
        <f t="shared" si="26"/>
        <v>0.68733401692164231</v>
      </c>
      <c r="AD210">
        <f t="shared" si="27"/>
        <v>54</v>
      </c>
      <c r="AE210" s="195">
        <f t="shared" si="34"/>
        <v>0.10274052413404677</v>
      </c>
      <c r="AF210" s="195">
        <f t="shared" si="35"/>
        <v>1.8476361767432385E-2</v>
      </c>
      <c r="AG210" s="255" t="str">
        <f>IF(ISNUMBER(SEARCH("C",'WetLitterbags placem_collection'!AD137)),"YES","NO")</f>
        <v>NO</v>
      </c>
      <c r="AH210" s="255" t="str">
        <f>IF(ISNUMBER(SEARCH("H", 'WetLitterbags placem_collection'!AD137)),"YES","NO")</f>
        <v>NO</v>
      </c>
      <c r="AI210" s="255" t="str">
        <f>IF(ISNUMBER(SEARCH("R", 'WetLitterbags placem_collection'!AD137)),"YES","NO")</f>
        <v>NO</v>
      </c>
      <c r="AJ210" s="255" t="str">
        <f>IF(ISNUMBER(SEARCH("C", 'WetLitterbags placem_collection'!AC137)),"YES","NO")</f>
        <v>NO</v>
      </c>
      <c r="AK210" s="255" t="str">
        <f>IF(ISNUMBER(SEARCH("H", 'WetLitterbags placem_collection'!AC137)),"YES","NO")</f>
        <v>NO</v>
      </c>
      <c r="AL210" s="255" t="str">
        <f>IF(ISNUMBER(SEARCH("R", 'WetLitterbags placem_collection'!AC137)),"YES","NO")</f>
        <v>NO</v>
      </c>
    </row>
    <row r="211" spans="2:38">
      <c r="B211" t="str">
        <f>'Final data_for_R_analysis_Wetse'!A137</f>
        <v>Wet</v>
      </c>
      <c r="C211" s="263">
        <f>'Final data_for_R_analysis_Wetse'!B137</f>
        <v>136</v>
      </c>
      <c r="D211" t="s">
        <v>3846</v>
      </c>
      <c r="E211" t="s">
        <v>22</v>
      </c>
      <c r="F211" s="387">
        <v>8</v>
      </c>
      <c r="G211" s="16">
        <f>'WetLitterbags placem_collection'!E138</f>
        <v>42762</v>
      </c>
      <c r="H211" t="str">
        <f>'Final data_for_R_analysis_Wetse'!J137</f>
        <v>G832</v>
      </c>
      <c r="I211" t="str">
        <f>'Final data_for_R_analysis_Wetse'!J357</f>
        <v>R474</v>
      </c>
      <c r="J211">
        <f>IFERROR(INDEX('Green_rooibos initial weight'!$C$5:$C$1749,MATCH(H211, 'Green_rooibos initial weight'!$A$5:$A$1749,0)),"")</f>
        <v>2.0470000000000002</v>
      </c>
      <c r="K211">
        <f>IFERROR(INDEX('Green_rooibos initial weight'!$C$5:$C$1749,MATCH(I211, 'Green_rooibos initial weight'!$A$5:$A$1749,0)),"")</f>
        <v>2.258</v>
      </c>
      <c r="L211" s="195">
        <f t="shared" si="28"/>
        <v>1.7972000000000001</v>
      </c>
      <c r="M211" s="195">
        <f>AVERAGE(Ashed_controlls!$K$2:$K$11)</f>
        <v>5.5147656768714146</v>
      </c>
      <c r="N211" s="195">
        <f t="shared" si="24"/>
        <v>1.698088631255267</v>
      </c>
      <c r="O211" s="195">
        <f t="shared" si="29"/>
        <v>2.0082</v>
      </c>
      <c r="P211" s="195">
        <f>AVERAGE(Ashed_controlls!$K$12:$K$14)</f>
        <v>2.2816647271287041</v>
      </c>
      <c r="Q211" s="195">
        <f t="shared" si="30"/>
        <v>1.9623796089498013</v>
      </c>
      <c r="R211" s="16">
        <f>IF('WetLitterbags placem_collection'!G138="N.A","",'WetLitterbags placem_collection'!G138)</f>
        <v>42816</v>
      </c>
      <c r="S211" s="195">
        <f>IF(IFERROR(INDEX('Both teabags AfterWet'!$C$3:$C$841,MATCH(H211,'Both teabags AfterWet'!$A$3:$A$841,0)),"")="N.A","",(IFERROR(INDEX('Both teabags AfterWet'!$C$3:$C$841,MATCH(H211,'Both teabags AfterWet'!$A$3:$A$841,0)),"")))</f>
        <v>0.5796</v>
      </c>
      <c r="T211" s="195">
        <f>IFERROR(INDEX('Both teabags AfterWet'!$C$3:$C$841,MATCH(I211,'Both teabags AfterWet'!$A$3:$A$841,0)),"")</f>
        <v>1.5827</v>
      </c>
      <c r="U211" s="195">
        <f t="shared" si="31"/>
        <v>0.42899999999999999</v>
      </c>
      <c r="V211" s="195">
        <f t="shared" si="31"/>
        <v>1.4320999999999999</v>
      </c>
      <c r="W211" s="195">
        <f>IFERROR(INDEX('Ashed teabags wet'!$K$2:$K$821,MATCH(H211,'Ashed teabags wet'!$A$2:$A$821,0)),"")</f>
        <v>15.08132084770828</v>
      </c>
      <c r="X211" s="195">
        <f>IFERROR(INDEX('Ashed teabags wet'!$K$2:$K$821,MATCH(I211,'Ashed teabags wet'!$A$2:$A$821,0)),"")</f>
        <v>5.0395256916988718</v>
      </c>
      <c r="Y211" s="195">
        <f t="shared" si="25"/>
        <v>0.36430113356333149</v>
      </c>
      <c r="Z211" s="195">
        <f t="shared" si="25"/>
        <v>1.3599289525691804</v>
      </c>
      <c r="AA211" s="195">
        <f t="shared" si="32"/>
        <v>0.78546400531871441</v>
      </c>
      <c r="AB211" s="195">
        <f t="shared" si="33"/>
        <v>0.51493602248922854</v>
      </c>
      <c r="AC211" s="195">
        <f t="shared" si="26"/>
        <v>0.69299994066742676</v>
      </c>
      <c r="AD211">
        <f t="shared" si="27"/>
        <v>54</v>
      </c>
      <c r="AE211" s="195">
        <f t="shared" si="34"/>
        <v>6.7144886794875958E-2</v>
      </c>
      <c r="AF211" s="195">
        <f t="shared" si="35"/>
        <v>1.6792824109442335E-2</v>
      </c>
      <c r="AG211" s="255" t="str">
        <f>IF(ISNUMBER(SEARCH("C",'WetLitterbags placem_collection'!AD138)),"YES","NO")</f>
        <v>NO</v>
      </c>
      <c r="AH211" s="255" t="str">
        <f>IF(ISNUMBER(SEARCH("H", 'WetLitterbags placem_collection'!AD138)),"YES","NO")</f>
        <v>NO</v>
      </c>
      <c r="AI211" s="255" t="str">
        <f>IF(ISNUMBER(SEARCH("R", 'WetLitterbags placem_collection'!AD138)),"YES","NO")</f>
        <v>NO</v>
      </c>
      <c r="AJ211" s="255" t="str">
        <f>IF(ISNUMBER(SEARCH("C", 'WetLitterbags placem_collection'!AC138)),"YES","NO")</f>
        <v>NO</v>
      </c>
      <c r="AK211" s="255" t="str">
        <f>IF(ISNUMBER(SEARCH("H", 'WetLitterbags placem_collection'!AC138)),"YES","NO")</f>
        <v>NO</v>
      </c>
      <c r="AL211" s="255" t="str">
        <f>IF(ISNUMBER(SEARCH("R", 'WetLitterbags placem_collection'!AC138)),"YES","NO")</f>
        <v>NO</v>
      </c>
    </row>
    <row r="212" spans="2:38">
      <c r="B212" t="str">
        <f>'Final data_for_R_analysis_Wetse'!A138</f>
        <v>Wet</v>
      </c>
      <c r="C212" s="263">
        <f>'Final data_for_R_analysis_Wetse'!B138</f>
        <v>137</v>
      </c>
      <c r="D212" t="s">
        <v>3848</v>
      </c>
      <c r="E212" t="s">
        <v>22</v>
      </c>
      <c r="F212" s="386">
        <v>1</v>
      </c>
      <c r="G212" s="16">
        <f>'WetLitterbags placem_collection'!E139</f>
        <v>42762</v>
      </c>
      <c r="H212" t="str">
        <f>'Final data_for_R_analysis_Wetse'!J138</f>
        <v>G805</v>
      </c>
      <c r="I212" t="str">
        <f>'Final data_for_R_analysis_Wetse'!J358</f>
        <v>R34</v>
      </c>
      <c r="J212">
        <f>IFERROR(INDEX('Green_rooibos initial weight'!$C$5:$C$1749,MATCH(H212, 'Green_rooibos initial weight'!$A$5:$A$1749,0)),"")</f>
        <v>1.9810000000000001</v>
      </c>
      <c r="K212">
        <f>IFERROR(INDEX('Green_rooibos initial weight'!$C$5:$C$1749,MATCH(I212, 'Green_rooibos initial weight'!$A$5:$A$1749,0)),"")</f>
        <v>2.1349999999999998</v>
      </c>
      <c r="L212" s="195">
        <f t="shared" si="28"/>
        <v>1.7312000000000001</v>
      </c>
      <c r="M212" s="195">
        <f>AVERAGE(Ashed_controlls!$K$2:$K$11)</f>
        <v>5.5147656768714146</v>
      </c>
      <c r="N212" s="195">
        <f t="shared" si="24"/>
        <v>1.6357283766020021</v>
      </c>
      <c r="O212" s="195">
        <f t="shared" si="29"/>
        <v>1.8851999999999998</v>
      </c>
      <c r="P212" s="195">
        <f>AVERAGE(Ashed_controlls!$K$12:$K$14)</f>
        <v>2.2816647271287041</v>
      </c>
      <c r="Q212" s="195">
        <f t="shared" si="30"/>
        <v>1.8421860565641694</v>
      </c>
      <c r="R212" s="16">
        <f>IF('WetLitterbags placem_collection'!G139="N.A","",'WetLitterbags placem_collection'!G139)</f>
        <v>42816</v>
      </c>
      <c r="S212" s="195">
        <f>IF(IFERROR(INDEX('Both teabags AfterWet'!$C$3:$C$841,MATCH(H212,'Both teabags AfterWet'!$A$3:$A$841,0)),"")="N.A","",(IFERROR(INDEX('Both teabags AfterWet'!$C$3:$C$841,MATCH(H212,'Both teabags AfterWet'!$A$3:$A$841,0)),"")))</f>
        <v>1.5740000000000001</v>
      </c>
      <c r="T212" s="195">
        <f>IFERROR(INDEX('Both teabags AfterWet'!$C$3:$C$841,MATCH(I212,'Both teabags AfterWet'!$A$3:$A$841,0)),"")</f>
        <v>1.571</v>
      </c>
      <c r="U212" s="195">
        <f t="shared" si="31"/>
        <v>1.4234</v>
      </c>
      <c r="V212" s="195">
        <f t="shared" si="31"/>
        <v>1.4203999999999999</v>
      </c>
      <c r="W212" s="195">
        <f>IFERROR(INDEX('Ashed teabags wet'!$K$2:$K$821,MATCH(H212,'Ashed teabags wet'!$A$2:$A$821,0)),"")</f>
        <v>15.662650602409292</v>
      </c>
      <c r="X212" s="195">
        <f>IFERROR(INDEX('Ashed teabags wet'!$K$2:$K$821,MATCH(I212,'Ashed teabags wet'!$A$2:$A$821,0)),"")</f>
        <v>7.897334649555618</v>
      </c>
      <c r="Y212" s="195">
        <f t="shared" si="25"/>
        <v>1.200457831325306</v>
      </c>
      <c r="Z212" s="195">
        <f t="shared" si="25"/>
        <v>1.3082262586377118</v>
      </c>
      <c r="AA212" s="195">
        <f t="shared" si="32"/>
        <v>0.26610197114811318</v>
      </c>
      <c r="AB212" s="195">
        <f t="shared" si="33"/>
        <v>0.17445164854365619</v>
      </c>
      <c r="AC212" s="195">
        <f t="shared" si="26"/>
        <v>0.71014882236035526</v>
      </c>
      <c r="AD212">
        <f t="shared" si="27"/>
        <v>54</v>
      </c>
      <c r="AE212" s="195">
        <f t="shared" si="34"/>
        <v>0.6839644048122171</v>
      </c>
      <c r="AF212" s="195" t="str">
        <f t="shared" si="35"/>
        <v/>
      </c>
      <c r="AG212" s="255" t="str">
        <f>IF(ISNUMBER(SEARCH("C",'WetLitterbags placem_collection'!AD139)),"YES","NO")</f>
        <v>NO</v>
      </c>
      <c r="AH212" s="255" t="str">
        <f>IF(ISNUMBER(SEARCH("H", 'WetLitterbags placem_collection'!AD139)),"YES","NO")</f>
        <v>NO</v>
      </c>
      <c r="AI212" s="255" t="str">
        <f>IF(ISNUMBER(SEARCH("R", 'WetLitterbags placem_collection'!AD139)),"YES","NO")</f>
        <v>NO</v>
      </c>
      <c r="AJ212" s="255" t="str">
        <f>IF(ISNUMBER(SEARCH("C", 'WetLitterbags placem_collection'!AC139)),"YES","NO")</f>
        <v>NO</v>
      </c>
      <c r="AK212" s="255" t="str">
        <f>IF(ISNUMBER(SEARCH("H", 'WetLitterbags placem_collection'!AC139)),"YES","NO")</f>
        <v>NO</v>
      </c>
      <c r="AL212" s="255" t="str">
        <f>IF(ISNUMBER(SEARCH("R", 'WetLitterbags placem_collection'!AC139)),"YES","NO")</f>
        <v>NO</v>
      </c>
    </row>
    <row r="213" spans="2:38">
      <c r="B213" t="str">
        <f>'Final data_for_R_analysis_Wetse'!A139</f>
        <v>Wet</v>
      </c>
      <c r="C213" s="263">
        <f>'Final data_for_R_analysis_Wetse'!B139</f>
        <v>138</v>
      </c>
      <c r="D213" t="s">
        <v>3848</v>
      </c>
      <c r="E213" t="s">
        <v>22</v>
      </c>
      <c r="F213" s="386">
        <v>2</v>
      </c>
      <c r="G213" s="16">
        <f>'WetLitterbags placem_collection'!E140</f>
        <v>42762</v>
      </c>
      <c r="H213" t="str">
        <f>'Final data_for_R_analysis_Wetse'!J139</f>
        <v>G815</v>
      </c>
      <c r="I213" t="str">
        <f>'Final data_for_R_analysis_Wetse'!J359</f>
        <v>R426</v>
      </c>
      <c r="J213">
        <f>IFERROR(INDEX('Green_rooibos initial weight'!$C$5:$C$1749,MATCH(H213, 'Green_rooibos initial weight'!$A$5:$A$1749,0)),"")</f>
        <v>1.998</v>
      </c>
      <c r="K213">
        <f>IFERROR(INDEX('Green_rooibos initial weight'!$C$5:$C$1749,MATCH(I213, 'Green_rooibos initial weight'!$A$5:$A$1749,0)),"")</f>
        <v>2.153</v>
      </c>
      <c r="L213" s="195">
        <f t="shared" si="28"/>
        <v>1.7482</v>
      </c>
      <c r="M213" s="195">
        <f>AVERAGE(Ashed_controlls!$K$2:$K$11)</f>
        <v>5.5147656768714146</v>
      </c>
      <c r="N213" s="195">
        <f t="shared" si="24"/>
        <v>1.6517908664369338</v>
      </c>
      <c r="O213" s="195">
        <f t="shared" si="29"/>
        <v>1.9032</v>
      </c>
      <c r="P213" s="195">
        <f>AVERAGE(Ashed_controlls!$K$12:$K$14)</f>
        <v>2.2816647271287041</v>
      </c>
      <c r="Q213" s="195">
        <f t="shared" si="30"/>
        <v>1.8597753569132864</v>
      </c>
      <c r="R213" s="16">
        <f>IF('WetLitterbags placem_collection'!G140="N.A","",'WetLitterbags placem_collection'!G140)</f>
        <v>42816</v>
      </c>
      <c r="S213" s="195">
        <f>IF(IFERROR(INDEX('Both teabags AfterWet'!$C$3:$C$841,MATCH(H213,'Both teabags AfterWet'!$A$3:$A$841,0)),"")="N.A","",(IFERROR(INDEX('Both teabags AfterWet'!$C$3:$C$841,MATCH(H213,'Both teabags AfterWet'!$A$3:$A$841,0)),"")))</f>
        <v>0.64300000000000002</v>
      </c>
      <c r="T213" s="195">
        <f>IFERROR(INDEX('Both teabags AfterWet'!$C$3:$C$841,MATCH(I213,'Both teabags AfterWet'!$A$3:$A$841,0)),"")</f>
        <v>1.613</v>
      </c>
      <c r="U213" s="195">
        <f t="shared" si="31"/>
        <v>0.4924</v>
      </c>
      <c r="V213" s="195">
        <f t="shared" si="31"/>
        <v>1.4623999999999999</v>
      </c>
      <c r="W213" s="195">
        <f>IFERROR(INDEX('Ashed teabags wet'!$K$2:$K$821,MATCH(H213,'Ashed teabags wet'!$A$2:$A$821,0)),"")</f>
        <v>14.392059553350164</v>
      </c>
      <c r="X213" s="195">
        <f>IFERROR(INDEX('Ashed teabags wet'!$K$2:$K$821,MATCH(I213,'Ashed teabags wet'!$A$2:$A$821,0)),"")</f>
        <v>4.7996041563577378</v>
      </c>
      <c r="Y213" s="195">
        <f t="shared" si="25"/>
        <v>0.42153349875930379</v>
      </c>
      <c r="Z213" s="195">
        <f t="shared" si="25"/>
        <v>1.3922105888174243</v>
      </c>
      <c r="AA213" s="195">
        <f t="shared" si="32"/>
        <v>0.74480213728957678</v>
      </c>
      <c r="AB213" s="195">
        <f t="shared" si="33"/>
        <v>0.48827883584779858</v>
      </c>
      <c r="AC213" s="195">
        <f t="shared" si="26"/>
        <v>0.74859072825231399</v>
      </c>
      <c r="AD213">
        <f t="shared" si="27"/>
        <v>54</v>
      </c>
      <c r="AE213" s="195">
        <f t="shared" si="34"/>
        <v>0.11543689158007508</v>
      </c>
      <c r="AF213" s="195">
        <f t="shared" si="35"/>
        <v>1.3395870378251826E-2</v>
      </c>
      <c r="AG213" s="255" t="str">
        <f>IF(ISNUMBER(SEARCH("C",'WetLitterbags placem_collection'!AD140)),"YES","NO")</f>
        <v>NO</v>
      </c>
      <c r="AH213" s="255" t="str">
        <f>IF(ISNUMBER(SEARCH("H", 'WetLitterbags placem_collection'!AD140)),"YES","NO")</f>
        <v>NO</v>
      </c>
      <c r="AI213" s="255" t="str">
        <f>IF(ISNUMBER(SEARCH("R", 'WetLitterbags placem_collection'!AD140)),"YES","NO")</f>
        <v>NO</v>
      </c>
      <c r="AJ213" s="255" t="str">
        <f>IF(ISNUMBER(SEARCH("C", 'WetLitterbags placem_collection'!AC140)),"YES","NO")</f>
        <v>NO</v>
      </c>
      <c r="AK213" s="255" t="str">
        <f>IF(ISNUMBER(SEARCH("H", 'WetLitterbags placem_collection'!AC140)),"YES","NO")</f>
        <v>NO</v>
      </c>
      <c r="AL213" s="255" t="str">
        <f>IF(ISNUMBER(SEARCH("R", 'WetLitterbags placem_collection'!AC140)),"YES","NO")</f>
        <v>NO</v>
      </c>
    </row>
    <row r="214" spans="2:38">
      <c r="B214" t="str">
        <f>'Final data_for_R_analysis_Wetse'!A140</f>
        <v>Wet</v>
      </c>
      <c r="C214" s="263">
        <f>'Final data_for_R_analysis_Wetse'!B140</f>
        <v>139</v>
      </c>
      <c r="D214" t="s">
        <v>3848</v>
      </c>
      <c r="E214" t="s">
        <v>22</v>
      </c>
      <c r="F214" s="386">
        <v>3</v>
      </c>
      <c r="G214" s="16">
        <f>'WetLitterbags placem_collection'!E141</f>
        <v>42762</v>
      </c>
      <c r="H214" t="str">
        <f>'Final data_for_R_analysis_Wetse'!J140</f>
        <v>G798</v>
      </c>
      <c r="I214" t="str">
        <f>'Final data_for_R_analysis_Wetse'!J360</f>
        <v>R563</v>
      </c>
      <c r="J214">
        <f>IFERROR(INDEX('Green_rooibos initial weight'!$C$5:$C$1749,MATCH(H214, 'Green_rooibos initial weight'!$A$5:$A$1749,0)),"")</f>
        <v>2.089</v>
      </c>
      <c r="K214">
        <f>IFERROR(INDEX('Green_rooibos initial weight'!$C$5:$C$1749,MATCH(I214, 'Green_rooibos initial weight'!$A$5:$A$1749,0)),"")</f>
        <v>2.1150000000000002</v>
      </c>
      <c r="L214" s="195">
        <f t="shared" si="28"/>
        <v>1.8391999999999999</v>
      </c>
      <c r="M214" s="195">
        <f>AVERAGE(Ashed_controlls!$K$2:$K$11)</f>
        <v>5.5147656768714146</v>
      </c>
      <c r="N214" s="195">
        <f t="shared" si="24"/>
        <v>1.7377724296709809</v>
      </c>
      <c r="O214" s="195">
        <f t="shared" si="29"/>
        <v>1.8652000000000002</v>
      </c>
      <c r="P214" s="195">
        <f>AVERAGE(Ashed_controlls!$K$12:$K$14)</f>
        <v>2.2816647271287041</v>
      </c>
      <c r="Q214" s="195">
        <f t="shared" si="30"/>
        <v>1.8226423895095956</v>
      </c>
      <c r="R214" s="16">
        <f>IF('WetLitterbags placem_collection'!G141="N.A","",'WetLitterbags placem_collection'!G141)</f>
        <v>42816</v>
      </c>
      <c r="S214" s="195">
        <f>IF(IFERROR(INDEX('Both teabags AfterWet'!$C$3:$C$841,MATCH(H214,'Both teabags AfterWet'!$A$3:$A$841,0)),"")="N.A","",(IFERROR(INDEX('Both teabags AfterWet'!$C$3:$C$841,MATCH(H214,'Both teabags AfterWet'!$A$3:$A$841,0)),"")))</f>
        <v>0.73499999999999999</v>
      </c>
      <c r="T214" s="195">
        <f>IFERROR(INDEX('Both teabags AfterWet'!$C$3:$C$841,MATCH(I214,'Both teabags AfterWet'!$A$3:$A$841,0)),"")</f>
        <v>2.5009999999999999</v>
      </c>
      <c r="U214" s="195">
        <f t="shared" si="31"/>
        <v>0.58440000000000003</v>
      </c>
      <c r="V214" s="195">
        <f t="shared" si="31"/>
        <v>2.3504</v>
      </c>
      <c r="W214" s="195">
        <f>IFERROR(INDEX('Ashed teabags wet'!$K$2:$K$821,MATCH(H214,'Ashed teabags wet'!$A$2:$A$821,0)),"")</f>
        <v>19.704433497536826</v>
      </c>
      <c r="X214" s="195">
        <f>IFERROR(INDEX('Ashed teabags wet'!$K$2:$K$821,MATCH(I214,'Ashed teabags wet'!$A$2:$A$821,0)),"")</f>
        <v>90.192212912765001</v>
      </c>
      <c r="Y214" s="195">
        <f t="shared" si="25"/>
        <v>0.46924729064039483</v>
      </c>
      <c r="Z214" s="195">
        <f t="shared" si="25"/>
        <v>0.23052222769837138</v>
      </c>
      <c r="AA214" s="195">
        <f t="shared" si="32"/>
        <v>0.72997195568971063</v>
      </c>
      <c r="AB214" s="195">
        <f t="shared" si="33"/>
        <v>0.47855643650916901</v>
      </c>
      <c r="AC214" s="195">
        <f t="shared" si="26"/>
        <v>0.12647693756337811</v>
      </c>
      <c r="AD214">
        <f t="shared" si="27"/>
        <v>54</v>
      </c>
      <c r="AE214" s="195">
        <f t="shared" si="34"/>
        <v>0.13304993386020114</v>
      </c>
      <c r="AF214" s="195" t="str">
        <f t="shared" si="35"/>
        <v/>
      </c>
      <c r="AG214" s="255" t="str">
        <f>IF(ISNUMBER(SEARCH("C",'WetLitterbags placem_collection'!AD141)),"YES","NO")</f>
        <v>NO</v>
      </c>
      <c r="AH214" s="255" t="str">
        <f>IF(ISNUMBER(SEARCH("H", 'WetLitterbags placem_collection'!AD141)),"YES","NO")</f>
        <v>NO</v>
      </c>
      <c r="AI214" s="255" t="str">
        <f>IF(ISNUMBER(SEARCH("R", 'WetLitterbags placem_collection'!AD141)),"YES","NO")</f>
        <v>NO</v>
      </c>
      <c r="AJ214" s="255" t="str">
        <f>IF(ISNUMBER(SEARCH("C", 'WetLitterbags placem_collection'!AC141)),"YES","NO")</f>
        <v>NO</v>
      </c>
      <c r="AK214" s="255" t="str">
        <f>IF(ISNUMBER(SEARCH("H", 'WetLitterbags placem_collection'!AC141)),"YES","NO")</f>
        <v>NO</v>
      </c>
      <c r="AL214" s="255" t="str">
        <f>IF(ISNUMBER(SEARCH("R", 'WetLitterbags placem_collection'!AC141)),"YES","NO")</f>
        <v>NO</v>
      </c>
    </row>
    <row r="215" spans="2:38">
      <c r="B215" t="str">
        <f>'Final data_for_R_analysis_Wetse'!A141</f>
        <v>Wet</v>
      </c>
      <c r="C215" s="263">
        <f>'Final data_for_R_analysis_Wetse'!B141</f>
        <v>140</v>
      </c>
      <c r="D215" t="s">
        <v>3848</v>
      </c>
      <c r="E215" t="s">
        <v>22</v>
      </c>
      <c r="F215" s="387">
        <v>4</v>
      </c>
      <c r="G215" s="16">
        <f>'WetLitterbags placem_collection'!E142</f>
        <v>42762</v>
      </c>
      <c r="H215" t="str">
        <f>'Final data_for_R_analysis_Wetse'!J141</f>
        <v>G787</v>
      </c>
      <c r="I215" t="str">
        <f>'Final data_for_R_analysis_Wetse'!J361</f>
        <v>R535</v>
      </c>
      <c r="J215">
        <f>IFERROR(INDEX('Green_rooibos initial weight'!$C$5:$C$1749,MATCH(H215, 'Green_rooibos initial weight'!$A$5:$A$1749,0)),"")</f>
        <v>2.11</v>
      </c>
      <c r="K215">
        <f>IFERROR(INDEX('Green_rooibos initial weight'!$C$5:$C$1749,MATCH(I215, 'Green_rooibos initial weight'!$A$5:$A$1749,0)),"")</f>
        <v>2.1259999999999999</v>
      </c>
      <c r="L215" s="195">
        <f t="shared" si="28"/>
        <v>1.8601999999999999</v>
      </c>
      <c r="M215" s="195">
        <f>AVERAGE(Ashed_controlls!$K$2:$K$11)</f>
        <v>5.5147656768714146</v>
      </c>
      <c r="N215" s="195">
        <f t="shared" si="24"/>
        <v>1.7576143288788377</v>
      </c>
      <c r="O215" s="195">
        <f t="shared" si="29"/>
        <v>1.8761999999999999</v>
      </c>
      <c r="P215" s="195">
        <f>AVERAGE(Ashed_controlls!$K$12:$K$14)</f>
        <v>2.2816647271287041</v>
      </c>
      <c r="Q215" s="195">
        <f t="shared" si="30"/>
        <v>1.8333914063896111</v>
      </c>
      <c r="R215" s="16">
        <f>IF('WetLitterbags placem_collection'!G142="N.A","",'WetLitterbags placem_collection'!G142)</f>
        <v>42816</v>
      </c>
      <c r="S215" s="195">
        <f>IF(IFERROR(INDEX('Both teabags AfterWet'!$C$3:$C$841,MATCH(H215,'Both teabags AfterWet'!$A$3:$A$841,0)),"")="N.A","",(IFERROR(INDEX('Both teabags AfterWet'!$C$3:$C$841,MATCH(H215,'Both teabags AfterWet'!$A$3:$A$841,0)),"")))</f>
        <v>0.67869999999999997</v>
      </c>
      <c r="T215" s="195">
        <f>IFERROR(INDEX('Both teabags AfterWet'!$C$3:$C$841,MATCH(I215,'Both teabags AfterWet'!$A$3:$A$841,0)),"")</f>
        <v>1.5517000000000001</v>
      </c>
      <c r="U215" s="195">
        <f t="shared" si="31"/>
        <v>0.52810000000000001</v>
      </c>
      <c r="V215" s="195">
        <f t="shared" si="31"/>
        <v>1.4011</v>
      </c>
      <c r="W215" s="195">
        <f>IFERROR(INDEX('Ashed teabags wet'!$K$2:$K$821,MATCH(H215,'Ashed teabags wet'!$A$2:$A$821,0)),"")</f>
        <v>15.0602409638563</v>
      </c>
      <c r="X215" s="195">
        <f>IFERROR(INDEX('Ashed teabags wet'!$K$2:$K$821,MATCH(I215,'Ashed teabags wet'!$A$2:$A$821,0)),"")</f>
        <v>6.5646594274426793</v>
      </c>
      <c r="Y215" s="195">
        <f t="shared" si="25"/>
        <v>0.4485668674698749</v>
      </c>
      <c r="Z215" s="195">
        <f t="shared" si="25"/>
        <v>1.3091225567621005</v>
      </c>
      <c r="AA215" s="195">
        <f t="shared" si="32"/>
        <v>0.74478652108166954</v>
      </c>
      <c r="AB215" s="195">
        <f t="shared" si="33"/>
        <v>0.48826859814380241</v>
      </c>
      <c r="AC215" s="195">
        <f t="shared" si="26"/>
        <v>0.71404423092615987</v>
      </c>
      <c r="AD215">
        <f t="shared" si="27"/>
        <v>54</v>
      </c>
      <c r="AE215" s="195">
        <f t="shared" si="34"/>
        <v>0.11545543814528558</v>
      </c>
      <c r="AF215" s="195">
        <f t="shared" si="35"/>
        <v>1.6315750041474775E-2</v>
      </c>
      <c r="AG215" s="255" t="str">
        <f>IF(ISNUMBER(SEARCH("C",'WetLitterbags placem_collection'!AD142)),"YES","NO")</f>
        <v>NO</v>
      </c>
      <c r="AH215" s="255" t="str">
        <f>IF(ISNUMBER(SEARCH("H", 'WetLitterbags placem_collection'!AD142)),"YES","NO")</f>
        <v>NO</v>
      </c>
      <c r="AI215" s="255" t="str">
        <f>IF(ISNUMBER(SEARCH("R", 'WetLitterbags placem_collection'!AD142)),"YES","NO")</f>
        <v>NO</v>
      </c>
      <c r="AJ215" s="255" t="str">
        <f>IF(ISNUMBER(SEARCH("C", 'WetLitterbags placem_collection'!AC142)),"YES","NO")</f>
        <v>NO</v>
      </c>
      <c r="AK215" s="255" t="str">
        <f>IF(ISNUMBER(SEARCH("H", 'WetLitterbags placem_collection'!AC142)),"YES","NO")</f>
        <v>NO</v>
      </c>
      <c r="AL215" s="255" t="str">
        <f>IF(ISNUMBER(SEARCH("R", 'WetLitterbags placem_collection'!AC142)),"YES","NO")</f>
        <v>NO</v>
      </c>
    </row>
    <row r="216" spans="2:38">
      <c r="B216" t="str">
        <f>'Final data_for_R_analysis_Wetse'!A142</f>
        <v>Wet</v>
      </c>
      <c r="C216" s="263">
        <f>'Final data_for_R_analysis_Wetse'!B142</f>
        <v>141</v>
      </c>
      <c r="D216" t="s">
        <v>3848</v>
      </c>
      <c r="E216" t="s">
        <v>22</v>
      </c>
      <c r="F216" s="387">
        <v>5</v>
      </c>
      <c r="G216" s="16">
        <f>'WetLitterbags placem_collection'!E143</f>
        <v>42762</v>
      </c>
      <c r="H216" t="str">
        <f>'Final data_for_R_analysis_Wetse'!J142</f>
        <v>G900</v>
      </c>
      <c r="I216" t="str">
        <f>'Final data_for_R_analysis_Wetse'!J362</f>
        <v>R581</v>
      </c>
      <c r="J216">
        <f>IFERROR(INDEX('Green_rooibos initial weight'!$C$5:$C$1749,MATCH(H216, 'Green_rooibos initial weight'!$A$5:$A$1749,0)),"")</f>
        <v>2.0910000000000002</v>
      </c>
      <c r="K216">
        <f>IFERROR(INDEX('Green_rooibos initial weight'!$C$5:$C$1749,MATCH(I216, 'Green_rooibos initial weight'!$A$5:$A$1749,0)),"")</f>
        <v>2.069</v>
      </c>
      <c r="L216" s="195">
        <f t="shared" si="28"/>
        <v>1.8412000000000002</v>
      </c>
      <c r="M216" s="195">
        <f>AVERAGE(Ashed_controlls!$K$2:$K$11)</f>
        <v>5.5147656768714146</v>
      </c>
      <c r="N216" s="195">
        <f t="shared" si="24"/>
        <v>1.7396621343574437</v>
      </c>
      <c r="O216" s="195">
        <f t="shared" si="29"/>
        <v>1.8191999999999999</v>
      </c>
      <c r="P216" s="195">
        <f>AVERAGE(Ashed_controlls!$K$12:$K$14)</f>
        <v>2.2816647271287041</v>
      </c>
      <c r="Q216" s="195">
        <f t="shared" si="30"/>
        <v>1.7776919552840746</v>
      </c>
      <c r="R216" s="16">
        <f>IF('WetLitterbags placem_collection'!G143="N.A","",'WetLitterbags placem_collection'!G143)</f>
        <v>42816</v>
      </c>
      <c r="S216" s="195">
        <f>IF(IFERROR(INDEX('Both teabags AfterWet'!$C$3:$C$841,MATCH(H216,'Both teabags AfterWet'!$A$3:$A$841,0)),"")="N.A","",(IFERROR(INDEX('Both teabags AfterWet'!$C$3:$C$841,MATCH(H216,'Both teabags AfterWet'!$A$3:$A$841,0)),"")))</f>
        <v>1.5369999999999999</v>
      </c>
      <c r="T216" s="195">
        <f>IFERROR(INDEX('Both teabags AfterWet'!$C$3:$C$841,MATCH(I216,'Both teabags AfterWet'!$A$3:$A$841,0)),"")</f>
        <v>1.2849999999999999</v>
      </c>
      <c r="U216" s="195">
        <f t="shared" si="31"/>
        <v>1.3863999999999999</v>
      </c>
      <c r="V216" s="195">
        <f t="shared" si="31"/>
        <v>1.1343999999999999</v>
      </c>
      <c r="W216" s="195">
        <f>IFERROR(INDEX('Ashed teabags wet'!$K$2:$K$821,MATCH(H216,'Ashed teabags wet'!$A$2:$A$821,0)),"")</f>
        <v>34.652509652509345</v>
      </c>
      <c r="X216" s="195">
        <f>IFERROR(INDEX('Ashed teabags wet'!$K$2:$K$821,MATCH(I216,'Ashed teabags wet'!$A$2:$A$821,0)),"")</f>
        <v>87.823960880195301</v>
      </c>
      <c r="Y216" s="195">
        <f t="shared" si="25"/>
        <v>0.90597760617761036</v>
      </c>
      <c r="Z216" s="195">
        <f t="shared" si="25"/>
        <v>0.13812498777506443</v>
      </c>
      <c r="AA216" s="195">
        <f t="shared" si="32"/>
        <v>0.4792220924482905</v>
      </c>
      <c r="AB216" s="195">
        <f t="shared" si="33"/>
        <v>0.31416935276895058</v>
      </c>
      <c r="AC216" s="195">
        <f t="shared" si="26"/>
        <v>7.769905655729431E-2</v>
      </c>
      <c r="AD216">
        <f t="shared" si="27"/>
        <v>54</v>
      </c>
      <c r="AE216" s="195">
        <f t="shared" si="34"/>
        <v>0.43085262179537942</v>
      </c>
      <c r="AF216" s="195" t="str">
        <f t="shared" si="35"/>
        <v/>
      </c>
      <c r="AG216" s="255" t="str">
        <f>IF(ISNUMBER(SEARCH("C",'WetLitterbags placem_collection'!AD143)),"YES","NO")</f>
        <v>NO</v>
      </c>
      <c r="AH216" s="255" t="str">
        <f>IF(ISNUMBER(SEARCH("H", 'WetLitterbags placem_collection'!AD143)),"YES","NO")</f>
        <v>NO</v>
      </c>
      <c r="AI216" s="255" t="str">
        <f>IF(ISNUMBER(SEARCH("R", 'WetLitterbags placem_collection'!AD143)),"YES","NO")</f>
        <v>NO</v>
      </c>
      <c r="AJ216" s="255" t="str">
        <f>IF(ISNUMBER(SEARCH("C", 'WetLitterbags placem_collection'!AC143)),"YES","NO")</f>
        <v>NO</v>
      </c>
      <c r="AK216" s="255" t="str">
        <f>IF(ISNUMBER(SEARCH("H", 'WetLitterbags placem_collection'!AC143)),"YES","NO")</f>
        <v>NO</v>
      </c>
      <c r="AL216" s="255" t="str">
        <f>IF(ISNUMBER(SEARCH("R", 'WetLitterbags placem_collection'!AC143)),"YES","NO")</f>
        <v>NO</v>
      </c>
    </row>
    <row r="217" spans="2:38">
      <c r="B217" t="str">
        <f>'Final data_for_R_analysis_Wetse'!A143</f>
        <v>Wet</v>
      </c>
      <c r="C217" s="263">
        <f>'Final data_for_R_analysis_Wetse'!B143</f>
        <v>142</v>
      </c>
      <c r="D217" t="s">
        <v>3848</v>
      </c>
      <c r="E217" t="s">
        <v>22</v>
      </c>
      <c r="F217" s="387">
        <v>6</v>
      </c>
      <c r="G217" s="16">
        <f>'WetLitterbags placem_collection'!E144</f>
        <v>42762</v>
      </c>
      <c r="H217" t="str">
        <f>'Final data_for_R_analysis_Wetse'!J143</f>
        <v>G817</v>
      </c>
      <c r="I217" t="str">
        <f>'Final data_for_R_analysis_Wetse'!J363</f>
        <v>R460</v>
      </c>
      <c r="J217">
        <f>IFERROR(INDEX('Green_rooibos initial weight'!$C$5:$C$1749,MATCH(H217, 'Green_rooibos initial weight'!$A$5:$A$1749,0)),"")</f>
        <v>1.9770000000000001</v>
      </c>
      <c r="K217">
        <f>IFERROR(INDEX('Green_rooibos initial weight'!$C$5:$C$1749,MATCH(I217, 'Green_rooibos initial weight'!$A$5:$A$1749,0)),"")</f>
        <v>2.1659999999999999</v>
      </c>
      <c r="L217" s="195">
        <f t="shared" si="28"/>
        <v>1.7272000000000001</v>
      </c>
      <c r="M217" s="195">
        <f>AVERAGE(Ashed_controlls!$K$2:$K$11)</f>
        <v>5.5147656768714146</v>
      </c>
      <c r="N217" s="195">
        <f t="shared" si="24"/>
        <v>1.631948967229077</v>
      </c>
      <c r="O217" s="195">
        <f t="shared" si="29"/>
        <v>1.9161999999999999</v>
      </c>
      <c r="P217" s="195">
        <f>AVERAGE(Ashed_controlls!$K$12:$K$14)</f>
        <v>2.2816647271287041</v>
      </c>
      <c r="Q217" s="195">
        <f t="shared" si="30"/>
        <v>1.8724787404987597</v>
      </c>
      <c r="R217" s="16">
        <f>IF('WetLitterbags placem_collection'!G144="N.A","",'WetLitterbags placem_collection'!G144)</f>
        <v>42816</v>
      </c>
      <c r="S217" s="195" t="str">
        <f>IF(IFERROR(INDEX('Both teabags AfterWet'!$C$3:$C$841,MATCH(H217,'Both teabags AfterWet'!$A$3:$A$841,0)),"")="N.A","",(IFERROR(INDEX('Both teabags AfterWet'!$C$3:$C$841,MATCH(H217,'Both teabags AfterWet'!$A$3:$A$841,0)),"")))</f>
        <v/>
      </c>
      <c r="T217" s="195">
        <f>IFERROR(INDEX('Both teabags AfterWet'!$C$3:$C$841,MATCH(I217,'Both teabags AfterWet'!$A$3:$A$841,0)),"")</f>
        <v>0.14299999999999999</v>
      </c>
      <c r="U217" s="195" t="str">
        <f t="shared" si="31"/>
        <v/>
      </c>
      <c r="V217" s="195">
        <f t="shared" si="31"/>
        <v>-7.6000000000000234E-3</v>
      </c>
      <c r="W217" s="195">
        <f>IFERROR(INDEX('Ashed teabags wet'!$K$2:$K$821,MATCH(H217,'Ashed teabags wet'!$A$2:$A$821,0)),"")</f>
        <v>45.987198424421408</v>
      </c>
      <c r="X217" s="195" t="str">
        <f>IFERROR(INDEX('Ashed teabags wet'!$K$2:$K$821,MATCH(I217,'Ashed teabags wet'!$A$2:$A$821,0)),"")</f>
        <v/>
      </c>
      <c r="Y217" s="195" t="str">
        <f t="shared" si="25"/>
        <v/>
      </c>
      <c r="Z217" s="195" t="str">
        <f t="shared" si="25"/>
        <v/>
      </c>
      <c r="AA217" s="195" t="str">
        <f t="shared" si="32"/>
        <v/>
      </c>
      <c r="AB217" s="195" t="str">
        <f t="shared" si="33"/>
        <v/>
      </c>
      <c r="AC217" s="195" t="str">
        <f t="shared" si="26"/>
        <v/>
      </c>
      <c r="AD217">
        <f t="shared" si="27"/>
        <v>54</v>
      </c>
      <c r="AE217" s="195" t="str">
        <f t="shared" si="34"/>
        <v/>
      </c>
      <c r="AF217" s="195" t="str">
        <f t="shared" si="35"/>
        <v/>
      </c>
      <c r="AG217" s="255" t="str">
        <f>IF(ISNUMBER(SEARCH("C",'WetLitterbags placem_collection'!AD144)),"YES","NO")</f>
        <v>NO</v>
      </c>
      <c r="AH217" s="255" t="str">
        <f>IF(ISNUMBER(SEARCH("H", 'WetLitterbags placem_collection'!AD144)),"YES","NO")</f>
        <v>NO</v>
      </c>
      <c r="AI217" s="255" t="str">
        <f>IF(ISNUMBER(SEARCH("R", 'WetLitterbags placem_collection'!AD144)),"YES","NO")</f>
        <v>NO</v>
      </c>
      <c r="AJ217" s="255" t="str">
        <f>IF(ISNUMBER(SEARCH("C", 'WetLitterbags placem_collection'!AC144)),"YES","NO")</f>
        <v>NO</v>
      </c>
      <c r="AK217" s="255" t="str">
        <f>IF(ISNUMBER(SEARCH("H", 'WetLitterbags placem_collection'!AC144)),"YES","NO")</f>
        <v>NO</v>
      </c>
      <c r="AL217" s="255" t="str">
        <f>IF(ISNUMBER(SEARCH("R", 'WetLitterbags placem_collection'!AC144)),"YES","NO")</f>
        <v>NO</v>
      </c>
    </row>
    <row r="218" spans="2:38">
      <c r="B218" t="str">
        <f>'Final data_for_R_analysis_Wetse'!A144</f>
        <v>Wet</v>
      </c>
      <c r="C218" s="263">
        <f>'Final data_for_R_analysis_Wetse'!B144</f>
        <v>143</v>
      </c>
      <c r="D218" t="s">
        <v>3848</v>
      </c>
      <c r="E218" t="s">
        <v>22</v>
      </c>
      <c r="F218" s="387">
        <v>7</v>
      </c>
      <c r="G218" s="16">
        <f>'WetLitterbags placem_collection'!E145</f>
        <v>42762</v>
      </c>
      <c r="H218" t="str">
        <f>'Final data_for_R_analysis_Wetse'!J144</f>
        <v>G836</v>
      </c>
      <c r="I218" t="str">
        <f>'Final data_for_R_analysis_Wetse'!J364</f>
        <v>R456</v>
      </c>
      <c r="J218">
        <f>IFERROR(INDEX('Green_rooibos initial weight'!$C$5:$C$1749,MATCH(H218, 'Green_rooibos initial weight'!$A$5:$A$1749,0)),"")</f>
        <v>2.0419999999999998</v>
      </c>
      <c r="K218">
        <f>IFERROR(INDEX('Green_rooibos initial weight'!$C$5:$C$1749,MATCH(I218, 'Green_rooibos initial weight'!$A$5:$A$1749,0)),"")</f>
        <v>2.23</v>
      </c>
      <c r="L218" s="195">
        <f t="shared" si="28"/>
        <v>1.7921999999999998</v>
      </c>
      <c r="M218" s="195">
        <f>AVERAGE(Ashed_controlls!$K$2:$K$11)</f>
        <v>5.5147656768714146</v>
      </c>
      <c r="N218" s="195">
        <f t="shared" si="24"/>
        <v>1.6933643695391103</v>
      </c>
      <c r="O218" s="195">
        <f t="shared" si="29"/>
        <v>1.9802</v>
      </c>
      <c r="P218" s="195">
        <f>AVERAGE(Ashed_controlls!$K$12:$K$14)</f>
        <v>2.2816647271287041</v>
      </c>
      <c r="Q218" s="195">
        <f t="shared" si="30"/>
        <v>1.9350184750733974</v>
      </c>
      <c r="R218" s="16">
        <f>IF('WetLitterbags placem_collection'!G145="N.A","",'WetLitterbags placem_collection'!G145)</f>
        <v>42816</v>
      </c>
      <c r="S218" s="195">
        <f>IF(IFERROR(INDEX('Both teabags AfterWet'!$C$3:$C$841,MATCH(H218,'Both teabags AfterWet'!$A$3:$A$841,0)),"")="N.A","",(IFERROR(INDEX('Both teabags AfterWet'!$C$3:$C$841,MATCH(H218,'Both teabags AfterWet'!$A$3:$A$841,0)),"")))</f>
        <v>0.60970000000000002</v>
      </c>
      <c r="T218" s="195">
        <f>IFERROR(INDEX('Both teabags AfterWet'!$C$3:$C$841,MATCH(I218,'Both teabags AfterWet'!$A$3:$A$841,0)),"")</f>
        <v>1.6178999999999999</v>
      </c>
      <c r="U218" s="195">
        <f t="shared" si="31"/>
        <v>0.45910000000000001</v>
      </c>
      <c r="V218" s="195">
        <f t="shared" si="31"/>
        <v>1.4672999999999998</v>
      </c>
      <c r="W218" s="195">
        <f>IFERROR(INDEX('Ashed teabags wet'!$K$2:$K$821,MATCH(H218,'Ashed teabags wet'!$A$2:$A$821,0)),"")</f>
        <v>13.060240963856003</v>
      </c>
      <c r="X218" s="195">
        <f>IFERROR(INDEX('Ashed teabags wet'!$K$2:$K$821,MATCH(I218,'Ashed teabags wet'!$A$2:$A$821,0)),"")</f>
        <v>1.7996108949419758</v>
      </c>
      <c r="Y218" s="195">
        <f t="shared" si="25"/>
        <v>0.39914043373493707</v>
      </c>
      <c r="Z218" s="195">
        <f t="shared" si="25"/>
        <v>1.4408943093385163</v>
      </c>
      <c r="AA218" s="195">
        <f t="shared" si="32"/>
        <v>0.76429146560844863</v>
      </c>
      <c r="AB218" s="195">
        <f t="shared" si="33"/>
        <v>0.50105568766729658</v>
      </c>
      <c r="AC218" s="195">
        <f t="shared" si="26"/>
        <v>0.74464111216502027</v>
      </c>
      <c r="AD218">
        <f t="shared" si="27"/>
        <v>54</v>
      </c>
      <c r="AE218" s="195">
        <f t="shared" si="34"/>
        <v>9.2290420892578773E-2</v>
      </c>
      <c r="AF218" s="195">
        <f t="shared" si="35"/>
        <v>1.3196648022028601E-2</v>
      </c>
      <c r="AG218" s="255" t="str">
        <f>IF(ISNUMBER(SEARCH("C",'WetLitterbags placem_collection'!AD145)),"YES","NO")</f>
        <v>NO</v>
      </c>
      <c r="AH218" s="255" t="str">
        <f>IF(ISNUMBER(SEARCH("H", 'WetLitterbags placem_collection'!AD145)),"YES","NO")</f>
        <v>NO</v>
      </c>
      <c r="AI218" s="255" t="str">
        <f>IF(ISNUMBER(SEARCH("R", 'WetLitterbags placem_collection'!AD145)),"YES","NO")</f>
        <v>NO</v>
      </c>
      <c r="AJ218" s="255" t="str">
        <f>IF(ISNUMBER(SEARCH("C", 'WetLitterbags placem_collection'!AC145)),"YES","NO")</f>
        <v>NO</v>
      </c>
      <c r="AK218" s="255" t="str">
        <f>IF(ISNUMBER(SEARCH("H", 'WetLitterbags placem_collection'!AC145)),"YES","NO")</f>
        <v>NO</v>
      </c>
      <c r="AL218" s="255" t="str">
        <f>IF(ISNUMBER(SEARCH("R", 'WetLitterbags placem_collection'!AC145)),"YES","NO")</f>
        <v>NO</v>
      </c>
    </row>
    <row r="219" spans="2:38">
      <c r="B219" t="str">
        <f>'Final data_for_R_analysis_Wetse'!A145</f>
        <v>Wet</v>
      </c>
      <c r="C219" s="263">
        <f>'Final data_for_R_analysis_Wetse'!B145</f>
        <v>144</v>
      </c>
      <c r="D219" t="s">
        <v>3848</v>
      </c>
      <c r="E219" t="s">
        <v>22</v>
      </c>
      <c r="F219" s="387">
        <v>8</v>
      </c>
      <c r="G219" s="16">
        <f>'WetLitterbags placem_collection'!E146</f>
        <v>42762</v>
      </c>
      <c r="H219" t="str">
        <f>'Final data_for_R_analysis_Wetse'!J145</f>
        <v>G784</v>
      </c>
      <c r="I219" t="str">
        <f>'Final data_for_R_analysis_Wetse'!J365</f>
        <v>R571</v>
      </c>
      <c r="J219">
        <f>IFERROR(INDEX('Green_rooibos initial weight'!$C$5:$C$1749,MATCH(H219, 'Green_rooibos initial weight'!$A$5:$A$1749,0)),"")</f>
        <v>2.1070000000000002</v>
      </c>
      <c r="K219">
        <f>IFERROR(INDEX('Green_rooibos initial weight'!$C$5:$C$1749,MATCH(I219, 'Green_rooibos initial weight'!$A$5:$A$1749,0)),"")</f>
        <v>2.117</v>
      </c>
      <c r="L219" s="195">
        <f t="shared" si="28"/>
        <v>1.8572000000000002</v>
      </c>
      <c r="M219" s="195">
        <f>AVERAGE(Ashed_controlls!$K$2:$K$11)</f>
        <v>5.5147656768714146</v>
      </c>
      <c r="N219" s="195">
        <f t="shared" si="24"/>
        <v>1.7547797718491442</v>
      </c>
      <c r="O219" s="195">
        <f t="shared" si="29"/>
        <v>1.8672</v>
      </c>
      <c r="P219" s="195">
        <f>AVERAGE(Ashed_controlls!$K$12:$K$14)</f>
        <v>2.2816647271287041</v>
      </c>
      <c r="Q219" s="195">
        <f t="shared" si="30"/>
        <v>1.8245967562150529</v>
      </c>
      <c r="R219" s="16">
        <f>IF('WetLitterbags placem_collection'!G146="N.A","",'WetLitterbags placem_collection'!G146)</f>
        <v>42816</v>
      </c>
      <c r="S219" s="195">
        <f>IF(IFERROR(INDEX('Both teabags AfterWet'!$C$3:$C$841,MATCH(H219,'Both teabags AfterWet'!$A$3:$A$841,0)),"")="N.A","",(IFERROR(INDEX('Both teabags AfterWet'!$C$3:$C$841,MATCH(H219,'Both teabags AfterWet'!$A$3:$A$841,0)),"")))</f>
        <v>0.78500000000000003</v>
      </c>
      <c r="T219" s="195">
        <f>IFERROR(INDEX('Both teabags AfterWet'!$C$3:$C$841,MATCH(I219,'Both teabags AfterWet'!$A$3:$A$841,0)),"")</f>
        <v>1.365</v>
      </c>
      <c r="U219" s="195">
        <f t="shared" si="31"/>
        <v>0.63440000000000007</v>
      </c>
      <c r="V219" s="195">
        <f t="shared" si="31"/>
        <v>1.2143999999999999</v>
      </c>
      <c r="W219" s="195">
        <f>IFERROR(INDEX('Ashed teabags wet'!$K$2:$K$821,MATCH(H219,'Ashed teabags wet'!$A$2:$A$821,0)),"")</f>
        <v>26.404773744405041</v>
      </c>
      <c r="X219" s="195">
        <f>IFERROR(INDEX('Ashed teabags wet'!$K$2:$K$821,MATCH(I219,'Ashed teabags wet'!$A$2:$A$821,0)),"")</f>
        <v>77.783132530120469</v>
      </c>
      <c r="Y219" s="195">
        <f t="shared" si="25"/>
        <v>0.46688811536549446</v>
      </c>
      <c r="Z219" s="195">
        <f t="shared" si="25"/>
        <v>0.26980163855421702</v>
      </c>
      <c r="AA219" s="195">
        <f t="shared" si="32"/>
        <v>0.73393349817709652</v>
      </c>
      <c r="AB219" s="195">
        <f t="shared" si="33"/>
        <v>0.48115355224911799</v>
      </c>
      <c r="AC219" s="195">
        <f t="shared" si="26"/>
        <v>0.14786918678617739</v>
      </c>
      <c r="AD219">
        <f t="shared" si="27"/>
        <v>54</v>
      </c>
      <c r="AE219" s="195">
        <f t="shared" si="34"/>
        <v>0.12834501404145304</v>
      </c>
      <c r="AF219" s="195" t="str">
        <f t="shared" si="35"/>
        <v/>
      </c>
      <c r="AG219" s="255" t="str">
        <f>IF(ISNUMBER(SEARCH("C",'WetLitterbags placem_collection'!AD146)),"YES","NO")</f>
        <v>NO</v>
      </c>
      <c r="AH219" s="255" t="str">
        <f>IF(ISNUMBER(SEARCH("H", 'WetLitterbags placem_collection'!AD146)),"YES","NO")</f>
        <v>NO</v>
      </c>
      <c r="AI219" s="255" t="str">
        <f>IF(ISNUMBER(SEARCH("R", 'WetLitterbags placem_collection'!AD146)),"YES","NO")</f>
        <v>NO</v>
      </c>
      <c r="AJ219" s="255" t="str">
        <f>IF(ISNUMBER(SEARCH("C", 'WetLitterbags placem_collection'!AC146)),"YES","NO")</f>
        <v>NO</v>
      </c>
      <c r="AK219" s="255" t="str">
        <f>IF(ISNUMBER(SEARCH("H", 'WetLitterbags placem_collection'!AC146)),"YES","NO")</f>
        <v>NO</v>
      </c>
      <c r="AL219" s="255" t="str">
        <f>IF(ISNUMBER(SEARCH("R", 'WetLitterbags placem_collection'!AC146)),"YES","NO")</f>
        <v>NO</v>
      </c>
    </row>
    <row r="220" spans="2:38">
      <c r="B220" t="str">
        <f>'Final data_for_R_analysis_Wetse'!A146</f>
        <v>Wet</v>
      </c>
      <c r="C220" s="263">
        <f>'Final data_for_R_analysis_Wetse'!B146</f>
        <v>145</v>
      </c>
      <c r="D220" t="s">
        <v>3849</v>
      </c>
      <c r="E220" t="s">
        <v>22</v>
      </c>
      <c r="F220" s="386">
        <v>1</v>
      </c>
      <c r="G220" s="16">
        <f>'WetLitterbags placem_collection'!E147</f>
        <v>42762</v>
      </c>
      <c r="H220" t="str">
        <f>'Final data_for_R_analysis_Wetse'!J146</f>
        <v>G902</v>
      </c>
      <c r="I220" t="str">
        <f>'Final data_for_R_analysis_Wetse'!J366</f>
        <v>R27</v>
      </c>
      <c r="J220">
        <f>IFERROR(INDEX('Green_rooibos initial weight'!$C$5:$C$1749,MATCH(H220, 'Green_rooibos initial weight'!$A$5:$A$1749,0)),"")</f>
        <v>2.0750000000000002</v>
      </c>
      <c r="K220">
        <f>IFERROR(INDEX('Green_rooibos initial weight'!$C$5:$C$1749,MATCH(I220, 'Green_rooibos initial weight'!$A$5:$A$1749,0)),"")</f>
        <v>2.0550000000000002</v>
      </c>
      <c r="L220" s="195">
        <f t="shared" si="28"/>
        <v>1.8252000000000002</v>
      </c>
      <c r="M220" s="195">
        <f>AVERAGE(Ashed_controlls!$K$2:$K$11)</f>
        <v>5.5147656768714146</v>
      </c>
      <c r="N220" s="195">
        <f t="shared" si="24"/>
        <v>1.7245444968657431</v>
      </c>
      <c r="O220" s="195">
        <f t="shared" si="29"/>
        <v>1.8052000000000001</v>
      </c>
      <c r="P220" s="195">
        <f>AVERAGE(Ashed_controlls!$K$12:$K$14)</f>
        <v>2.2816647271287041</v>
      </c>
      <c r="Q220" s="195">
        <f t="shared" si="30"/>
        <v>1.7640113883458728</v>
      </c>
      <c r="R220" s="16">
        <f>IF('WetLitterbags placem_collection'!G147="N.A","",'WetLitterbags placem_collection'!G147)</f>
        <v>42815</v>
      </c>
      <c r="S220" s="195">
        <f>IF(IFERROR(INDEX('Both teabags AfterWet'!$C$3:$C$841,MATCH(H220,'Both teabags AfterWet'!$A$3:$A$841,0)),"")="N.A","",(IFERROR(INDEX('Both teabags AfterWet'!$C$3:$C$841,MATCH(H220,'Both teabags AfterWet'!$A$3:$A$841,0)),"")))</f>
        <v>0.79200000000000004</v>
      </c>
      <c r="T220" s="195">
        <f>IFERROR(INDEX('Both teabags AfterWet'!$C$3:$C$841,MATCH(I220,'Both teabags AfterWet'!$A$3:$A$841,0)),"")</f>
        <v>1.6830000000000001</v>
      </c>
      <c r="U220" s="195">
        <f t="shared" si="31"/>
        <v>0.64139999999999997</v>
      </c>
      <c r="V220" s="195">
        <f t="shared" si="31"/>
        <v>1.5324</v>
      </c>
      <c r="W220" s="195">
        <f>IFERROR(INDEX('Ashed teabags wet'!$K$2:$K$821,MATCH(H220,'Ashed teabags wet'!$A$2:$A$821,0)),"")</f>
        <v>20.158102766798436</v>
      </c>
      <c r="X220" s="195">
        <f>IFERROR(INDEX('Ashed teabags wet'!$K$2:$K$821,MATCH(I220,'Ashed teabags wet'!$A$2:$A$821,0)),"")</f>
        <v>8.5603112840463975</v>
      </c>
      <c r="Y220" s="195">
        <f t="shared" si="25"/>
        <v>0.51210592885375483</v>
      </c>
      <c r="Z220" s="195">
        <f t="shared" si="25"/>
        <v>1.4012217898832731</v>
      </c>
      <c r="AA220" s="195">
        <f t="shared" si="32"/>
        <v>0.70304858483821264</v>
      </c>
      <c r="AB220" s="195">
        <f t="shared" si="33"/>
        <v>0.46090596060652428</v>
      </c>
      <c r="AC220" s="195">
        <f t="shared" si="26"/>
        <v>0.7943382900703434</v>
      </c>
      <c r="AD220">
        <f t="shared" si="27"/>
        <v>53</v>
      </c>
      <c r="AE220" s="195">
        <f t="shared" si="34"/>
        <v>0.16502543368383293</v>
      </c>
      <c r="AF220" s="195">
        <f t="shared" si="35"/>
        <v>1.1150435842864397E-2</v>
      </c>
      <c r="AG220" s="255" t="str">
        <f>IF(ISNUMBER(SEARCH("C",'WetLitterbags placem_collection'!AD147)),"YES","NO")</f>
        <v>NO</v>
      </c>
      <c r="AH220" s="255" t="str">
        <f>IF(ISNUMBER(SEARCH("H", 'WetLitterbags placem_collection'!AD147)),"YES","NO")</f>
        <v>NO</v>
      </c>
      <c r="AI220" s="255" t="str">
        <f>IF(ISNUMBER(SEARCH("R", 'WetLitterbags placem_collection'!AD147)),"YES","NO")</f>
        <v>NO</v>
      </c>
      <c r="AJ220" s="255" t="str">
        <f>IF(ISNUMBER(SEARCH("C", 'WetLitterbags placem_collection'!AC147)),"YES","NO")</f>
        <v>NO</v>
      </c>
      <c r="AK220" s="255" t="str">
        <f>IF(ISNUMBER(SEARCH("H", 'WetLitterbags placem_collection'!AC147)),"YES","NO")</f>
        <v>NO</v>
      </c>
      <c r="AL220" s="255" t="str">
        <f>IF(ISNUMBER(SEARCH("R", 'WetLitterbags placem_collection'!AC147)),"YES","NO")</f>
        <v>NO</v>
      </c>
    </row>
    <row r="221" spans="2:38">
      <c r="B221" t="str">
        <f>'Final data_for_R_analysis_Wetse'!A147</f>
        <v>Wet</v>
      </c>
      <c r="C221" s="263">
        <f>'Final data_for_R_analysis_Wetse'!B147</f>
        <v>146</v>
      </c>
      <c r="D221" t="s">
        <v>3849</v>
      </c>
      <c r="E221" t="s">
        <v>22</v>
      </c>
      <c r="F221" s="386">
        <v>2</v>
      </c>
      <c r="G221" s="16">
        <f>'WetLitterbags placem_collection'!E148</f>
        <v>42762</v>
      </c>
      <c r="H221" t="str">
        <f>'Final data_for_R_analysis_Wetse'!J147</f>
        <v>G689</v>
      </c>
      <c r="I221" t="str">
        <f>'Final data_for_R_analysis_Wetse'!J367</f>
        <v>R492</v>
      </c>
      <c r="J221">
        <f>IFERROR(INDEX('Green_rooibos initial weight'!$C$5:$C$1749,MATCH(H221, 'Green_rooibos initial weight'!$A$5:$A$1749,0)),"")</f>
        <v>2.0339999999999998</v>
      </c>
      <c r="K221">
        <f>IFERROR(INDEX('Green_rooibos initial weight'!$C$5:$C$1749,MATCH(I221, 'Green_rooibos initial weight'!$A$5:$A$1749,0)),"")</f>
        <v>2.2519999999999998</v>
      </c>
      <c r="L221" s="195">
        <f t="shared" si="28"/>
        <v>1.7841999999999998</v>
      </c>
      <c r="M221" s="195">
        <f>AVERAGE(Ashed_controlls!$K$2:$K$11)</f>
        <v>5.5147656768714146</v>
      </c>
      <c r="N221" s="195">
        <f t="shared" si="24"/>
        <v>1.6858055507932601</v>
      </c>
      <c r="O221" s="195">
        <f t="shared" si="29"/>
        <v>2.0021999999999998</v>
      </c>
      <c r="P221" s="195">
        <f>AVERAGE(Ashed_controlls!$K$12:$K$14)</f>
        <v>2.2816647271287041</v>
      </c>
      <c r="Q221" s="195">
        <f t="shared" si="30"/>
        <v>1.9565165088334289</v>
      </c>
      <c r="R221" s="16">
        <f>IF('WetLitterbags placem_collection'!G148="N.A","",'WetLitterbags placem_collection'!G148)</f>
        <v>42815</v>
      </c>
      <c r="S221" s="195">
        <f>IF(IFERROR(INDEX('Both teabags AfterWet'!$C$3:$C$841,MATCH(H221,'Both teabags AfterWet'!$A$3:$A$841,0)),"")="N.A","",(IFERROR(INDEX('Both teabags AfterWet'!$C$3:$C$841,MATCH(H221,'Both teabags AfterWet'!$A$3:$A$841,0)),"")))</f>
        <v>0.52200000000000002</v>
      </c>
      <c r="T221" s="195">
        <f>IFERROR(INDEX('Both teabags AfterWet'!$C$3:$C$841,MATCH(I221,'Both teabags AfterWet'!$A$3:$A$841,0)),"")</f>
        <v>1.6579999999999999</v>
      </c>
      <c r="U221" s="195">
        <f t="shared" si="31"/>
        <v>0.37140000000000001</v>
      </c>
      <c r="V221" s="195">
        <f t="shared" si="31"/>
        <v>1.5073999999999999</v>
      </c>
      <c r="W221" s="195">
        <f>IFERROR(INDEX('Ashed teabags wet'!$K$2:$K$821,MATCH(H221,'Ashed teabags wet'!$A$2:$A$821,0)),"")</f>
        <v>14.092009685229803</v>
      </c>
      <c r="X221" s="195">
        <f>IFERROR(INDEX('Ashed teabags wet'!$K$2:$K$821,MATCH(I221,'Ashed teabags wet'!$A$2:$A$821,0)),"")</f>
        <v>4.0599323344614637</v>
      </c>
      <c r="Y221" s="195">
        <f t="shared" si="25"/>
        <v>0.31906227602905651</v>
      </c>
      <c r="Z221" s="195">
        <f t="shared" si="25"/>
        <v>1.4462005799903277</v>
      </c>
      <c r="AA221" s="195">
        <f t="shared" si="32"/>
        <v>0.81073601526645767</v>
      </c>
      <c r="AB221" s="195">
        <f t="shared" si="33"/>
        <v>0.53150389599416226</v>
      </c>
      <c r="AC221" s="195">
        <f t="shared" si="26"/>
        <v>0.73917116132724248</v>
      </c>
      <c r="AD221">
        <f t="shared" si="27"/>
        <v>53</v>
      </c>
      <c r="AE221" s="195">
        <f t="shared" si="34"/>
        <v>3.7130623198981416E-2</v>
      </c>
      <c r="AF221" s="195">
        <f t="shared" si="35"/>
        <v>1.2731914659862249E-2</v>
      </c>
      <c r="AG221" s="255" t="str">
        <f>IF(ISNUMBER(SEARCH("C",'WetLitterbags placem_collection'!AD148)),"YES","NO")</f>
        <v>NO</v>
      </c>
      <c r="AH221" s="255" t="str">
        <f>IF(ISNUMBER(SEARCH("H", 'WetLitterbags placem_collection'!AD148)),"YES","NO")</f>
        <v>NO</v>
      </c>
      <c r="AI221" s="255" t="str">
        <f>IF(ISNUMBER(SEARCH("R", 'WetLitterbags placem_collection'!AD148)),"YES","NO")</f>
        <v>NO</v>
      </c>
      <c r="AJ221" s="255" t="str">
        <f>IF(ISNUMBER(SEARCH("C", 'WetLitterbags placem_collection'!AC148)),"YES","NO")</f>
        <v>NO</v>
      </c>
      <c r="AK221" s="255" t="str">
        <f>IF(ISNUMBER(SEARCH("H", 'WetLitterbags placem_collection'!AC148)),"YES","NO")</f>
        <v>NO</v>
      </c>
      <c r="AL221" s="255" t="str">
        <f>IF(ISNUMBER(SEARCH("R", 'WetLitterbags placem_collection'!AC148)),"YES","NO")</f>
        <v>NO</v>
      </c>
    </row>
    <row r="222" spans="2:38">
      <c r="B222" t="str">
        <f>'Final data_for_R_analysis_Wetse'!A148</f>
        <v>Wet</v>
      </c>
      <c r="C222" s="263">
        <f>'Final data_for_R_analysis_Wetse'!B148</f>
        <v>147</v>
      </c>
      <c r="D222" t="s">
        <v>3849</v>
      </c>
      <c r="E222" t="s">
        <v>22</v>
      </c>
      <c r="F222" s="386">
        <v>3</v>
      </c>
      <c r="G222" s="16">
        <f>'WetLitterbags placem_collection'!E149</f>
        <v>42762</v>
      </c>
      <c r="H222" t="str">
        <f>'Final data_for_R_analysis_Wetse'!J148</f>
        <v>G678</v>
      </c>
      <c r="I222" t="str">
        <f>'Final data_for_R_analysis_Wetse'!J368</f>
        <v>R573</v>
      </c>
      <c r="J222">
        <f>IFERROR(INDEX('Green_rooibos initial weight'!$C$5:$C$1749,MATCH(H222, 'Green_rooibos initial weight'!$A$5:$A$1749,0)),"")</f>
        <v>2.012</v>
      </c>
      <c r="K222">
        <f>IFERROR(INDEX('Green_rooibos initial weight'!$C$5:$C$1749,MATCH(I222, 'Green_rooibos initial weight'!$A$5:$A$1749,0)),"")</f>
        <v>2.097</v>
      </c>
      <c r="L222" s="195">
        <f t="shared" si="28"/>
        <v>1.7622</v>
      </c>
      <c r="M222" s="195">
        <f>AVERAGE(Ashed_controlls!$K$2:$K$11)</f>
        <v>5.5147656768714146</v>
      </c>
      <c r="N222" s="195">
        <f t="shared" si="24"/>
        <v>1.6650187992421719</v>
      </c>
      <c r="O222" s="195">
        <f t="shared" si="29"/>
        <v>1.8472</v>
      </c>
      <c r="P222" s="195">
        <f>AVERAGE(Ashed_controlls!$K$12:$K$14)</f>
        <v>2.2816647271287041</v>
      </c>
      <c r="Q222" s="195">
        <f t="shared" si="30"/>
        <v>1.8050530891604786</v>
      </c>
      <c r="R222" s="16">
        <f>IF('WetLitterbags placem_collection'!G149="N.A","",'WetLitterbags placem_collection'!G149)</f>
        <v>42816</v>
      </c>
      <c r="S222" s="195">
        <f>IF(IFERROR(INDEX('Both teabags AfterWet'!$C$3:$C$841,MATCH(H222,'Both teabags AfterWet'!$A$3:$A$841,0)),"")="N.A","",(IFERROR(INDEX('Both teabags AfterWet'!$C$3:$C$841,MATCH(H222,'Both teabags AfterWet'!$A$3:$A$841,0)),"")))</f>
        <v>0.70199999999999996</v>
      </c>
      <c r="T222" s="195">
        <f>IFERROR(INDEX('Both teabags AfterWet'!$C$3:$C$841,MATCH(I222,'Both teabags AfterWet'!$A$3:$A$841,0)),"")</f>
        <v>1.746</v>
      </c>
      <c r="U222" s="195">
        <f t="shared" si="31"/>
        <v>0.55139999999999989</v>
      </c>
      <c r="V222" s="195">
        <f t="shared" si="31"/>
        <v>1.5953999999999999</v>
      </c>
      <c r="W222" s="195">
        <f>IFERROR(INDEX('Ashed teabags wet'!$K$2:$K$821,MATCH(H222,'Ashed teabags wet'!$A$2:$A$821,0)),"")</f>
        <v>16.333666333666116</v>
      </c>
      <c r="X222" s="195">
        <f>IFERROR(INDEX('Ashed teabags wet'!$K$2:$K$821,MATCH(I222,'Ashed teabags wet'!$A$2:$A$821,0)),"")</f>
        <v>8.8007736943911006</v>
      </c>
      <c r="Y222" s="195">
        <f t="shared" si="25"/>
        <v>0.46133616383616494</v>
      </c>
      <c r="Z222" s="195">
        <f t="shared" si="25"/>
        <v>1.4549924564796843</v>
      </c>
      <c r="AA222" s="195">
        <f t="shared" si="32"/>
        <v>0.72292435133696942</v>
      </c>
      <c r="AB222" s="195">
        <f t="shared" si="33"/>
        <v>0.4739361543206736</v>
      </c>
      <c r="AC222" s="195">
        <f t="shared" si="26"/>
        <v>0.80606629534447338</v>
      </c>
      <c r="AD222">
        <f t="shared" si="27"/>
        <v>54</v>
      </c>
      <c r="AE222" s="195">
        <f t="shared" si="34"/>
        <v>0.14142001028863482</v>
      </c>
      <c r="AF222" s="195">
        <f t="shared" si="35"/>
        <v>9.7458197252173889E-3</v>
      </c>
      <c r="AG222" s="255" t="str">
        <f>IF(ISNUMBER(SEARCH("C",'WetLitterbags placem_collection'!AD149)),"YES","NO")</f>
        <v>NO</v>
      </c>
      <c r="AH222" s="255" t="str">
        <f>IF(ISNUMBER(SEARCH("H", 'WetLitterbags placem_collection'!AD149)),"YES","NO")</f>
        <v>NO</v>
      </c>
      <c r="AI222" s="255" t="str">
        <f>IF(ISNUMBER(SEARCH("R", 'WetLitterbags placem_collection'!AD149)),"YES","NO")</f>
        <v>NO</v>
      </c>
      <c r="AJ222" s="255" t="str">
        <f>IF(ISNUMBER(SEARCH("C", 'WetLitterbags placem_collection'!AC149)),"YES","NO")</f>
        <v>NO</v>
      </c>
      <c r="AK222" s="255" t="str">
        <f>IF(ISNUMBER(SEARCH("H", 'WetLitterbags placem_collection'!AC149)),"YES","NO")</f>
        <v>NO</v>
      </c>
      <c r="AL222" s="255" t="str">
        <f>IF(ISNUMBER(SEARCH("R", 'WetLitterbags placem_collection'!AC149)),"YES","NO")</f>
        <v>NO</v>
      </c>
    </row>
    <row r="223" spans="2:38">
      <c r="B223" t="str">
        <f>'Final data_for_R_analysis_Wetse'!A149</f>
        <v>Wet</v>
      </c>
      <c r="C223" s="263">
        <f>'Final data_for_R_analysis_Wetse'!B149</f>
        <v>148</v>
      </c>
      <c r="D223" t="s">
        <v>3849</v>
      </c>
      <c r="E223" t="s">
        <v>22</v>
      </c>
      <c r="F223" s="387">
        <v>4</v>
      </c>
      <c r="G223" s="16">
        <f>'WetLitterbags placem_collection'!E150</f>
        <v>42762</v>
      </c>
      <c r="H223" t="str">
        <f>'Final data_for_R_analysis_Wetse'!J149</f>
        <v>G835</v>
      </c>
      <c r="I223" t="str">
        <f>'Final data_for_R_analysis_Wetse'!J369</f>
        <v>R472</v>
      </c>
      <c r="J223">
        <f>IFERROR(INDEX('Green_rooibos initial weight'!$C$5:$C$1749,MATCH(H223, 'Green_rooibos initial weight'!$A$5:$A$1749,0)),"")</f>
        <v>1.819</v>
      </c>
      <c r="K223">
        <f>IFERROR(INDEX('Green_rooibos initial weight'!$C$5:$C$1749,MATCH(I223, 'Green_rooibos initial weight'!$A$5:$A$1749,0)),"")</f>
        <v>2.2679999999999998</v>
      </c>
      <c r="L223" s="195">
        <f t="shared" si="28"/>
        <v>1.5691999999999999</v>
      </c>
      <c r="M223" s="195">
        <f>AVERAGE(Ashed_controlls!$K$2:$K$11)</f>
        <v>5.5147656768714146</v>
      </c>
      <c r="N223" s="195">
        <f t="shared" si="24"/>
        <v>1.4826622969985337</v>
      </c>
      <c r="O223" s="195">
        <f t="shared" si="29"/>
        <v>2.0181999999999998</v>
      </c>
      <c r="P223" s="195">
        <f>AVERAGE(Ashed_controlls!$K$12:$K$14)</f>
        <v>2.2816647271287041</v>
      </c>
      <c r="Q223" s="195">
        <f t="shared" si="30"/>
        <v>1.9721514424770883</v>
      </c>
      <c r="R223" s="16">
        <f>IF('WetLitterbags placem_collection'!G150="N.A","",'WetLitterbags placem_collection'!G150)</f>
        <v>42816</v>
      </c>
      <c r="S223" s="195">
        <f>IF(IFERROR(INDEX('Both teabags AfterWet'!$C$3:$C$841,MATCH(H223,'Both teabags AfterWet'!$A$3:$A$841,0)),"")="N.A","",(IFERROR(INDEX('Both teabags AfterWet'!$C$3:$C$841,MATCH(H223,'Both teabags AfterWet'!$A$3:$A$841,0)),"")))</f>
        <v>0.24560000000000001</v>
      </c>
      <c r="T223" s="195">
        <f>IFERROR(INDEX('Both teabags AfterWet'!$C$3:$C$841,MATCH(I223,'Both teabags AfterWet'!$A$3:$A$841,0)),"")</f>
        <v>0.37559999999999999</v>
      </c>
      <c r="U223" s="195">
        <f t="shared" si="31"/>
        <v>9.5000000000000001E-2</v>
      </c>
      <c r="V223" s="195">
        <f t="shared" si="31"/>
        <v>0.22499999999999998</v>
      </c>
      <c r="W223" s="195" t="str">
        <f>IFERROR(INDEX('Ashed teabags wet'!$K$2:$K$821,MATCH(H223,'Ashed teabags wet'!$A$2:$A$821,0)),"")</f>
        <v/>
      </c>
      <c r="X223" s="195" t="str">
        <f>IFERROR(INDEX('Ashed teabags wet'!$K$2:$K$821,MATCH(I223,'Ashed teabags wet'!$A$2:$A$821,0)),"")</f>
        <v/>
      </c>
      <c r="Y223" s="195" t="str">
        <f t="shared" si="25"/>
        <v/>
      </c>
      <c r="Z223" s="195" t="str">
        <f t="shared" si="25"/>
        <v/>
      </c>
      <c r="AA223" s="195" t="str">
        <f t="shared" si="32"/>
        <v/>
      </c>
      <c r="AB223" s="195" t="str">
        <f t="shared" si="33"/>
        <v/>
      </c>
      <c r="AC223" s="195" t="str">
        <f t="shared" si="26"/>
        <v/>
      </c>
      <c r="AD223">
        <f t="shared" si="27"/>
        <v>54</v>
      </c>
      <c r="AE223" s="195" t="str">
        <f t="shared" si="34"/>
        <v/>
      </c>
      <c r="AF223" s="195" t="str">
        <f t="shared" si="35"/>
        <v/>
      </c>
      <c r="AG223" s="255" t="str">
        <f>IF(ISNUMBER(SEARCH("C",'WetLitterbags placem_collection'!AD150)),"YES","NO")</f>
        <v>NO</v>
      </c>
      <c r="AH223" s="255" t="str">
        <f>IF(ISNUMBER(SEARCH("H", 'WetLitterbags placem_collection'!AD150)),"YES","NO")</f>
        <v>NO</v>
      </c>
      <c r="AI223" s="255" t="str">
        <f>IF(ISNUMBER(SEARCH("R", 'WetLitterbags placem_collection'!AD150)),"YES","NO")</f>
        <v>NO</v>
      </c>
      <c r="AJ223" s="255" t="str">
        <f>IF(ISNUMBER(SEARCH("C", 'WetLitterbags placem_collection'!AC150)),"YES","NO")</f>
        <v>NO</v>
      </c>
      <c r="AK223" s="255" t="str">
        <f>IF(ISNUMBER(SEARCH("H", 'WetLitterbags placem_collection'!AC150)),"YES","NO")</f>
        <v>NO</v>
      </c>
      <c r="AL223" s="255" t="str">
        <f>IF(ISNUMBER(SEARCH("R", 'WetLitterbags placem_collection'!AC150)),"YES","NO")</f>
        <v>NO</v>
      </c>
    </row>
    <row r="224" spans="2:38">
      <c r="B224" t="str">
        <f>'Final data_for_R_analysis_Wetse'!A150</f>
        <v>Wet</v>
      </c>
      <c r="C224" s="263">
        <f>'Final data_for_R_analysis_Wetse'!B150</f>
        <v>149</v>
      </c>
      <c r="D224" t="s">
        <v>3849</v>
      </c>
      <c r="E224" t="s">
        <v>22</v>
      </c>
      <c r="F224" s="387">
        <v>5</v>
      </c>
      <c r="G224" s="16">
        <f>'WetLitterbags placem_collection'!E151</f>
        <v>42762</v>
      </c>
      <c r="H224" t="str">
        <f>'Final data_for_R_analysis_Wetse'!J150</f>
        <v>G733</v>
      </c>
      <c r="I224" t="str">
        <f>'Final data_for_R_analysis_Wetse'!J370</f>
        <v>R545</v>
      </c>
      <c r="J224">
        <f>IFERROR(INDEX('Green_rooibos initial weight'!$C$5:$C$1749,MATCH(H224, 'Green_rooibos initial weight'!$A$5:$A$1749,0)),"")</f>
        <v>1.8280000000000001</v>
      </c>
      <c r="K224">
        <f>IFERROR(INDEX('Green_rooibos initial weight'!$C$5:$C$1749,MATCH(I224, 'Green_rooibos initial weight'!$A$5:$A$1749,0)),"")</f>
        <v>2.2280000000000002</v>
      </c>
      <c r="L224" s="195">
        <f t="shared" si="28"/>
        <v>1.5782</v>
      </c>
      <c r="M224" s="195">
        <f>AVERAGE(Ashed_controlls!$K$2:$K$11)</f>
        <v>5.5147656768714146</v>
      </c>
      <c r="N224" s="195">
        <f t="shared" si="24"/>
        <v>1.4911659680876155</v>
      </c>
      <c r="O224" s="195">
        <f t="shared" si="29"/>
        <v>1.9782000000000002</v>
      </c>
      <c r="P224" s="195">
        <f>AVERAGE(Ashed_controlls!$K$12:$K$14)</f>
        <v>2.2816647271287041</v>
      </c>
      <c r="Q224" s="195">
        <f t="shared" si="30"/>
        <v>1.9330641083679401</v>
      </c>
      <c r="R224" s="16">
        <f>IF('WetLitterbags placem_collection'!G151="N.A","",'WetLitterbags placem_collection'!G151)</f>
        <v>42816</v>
      </c>
      <c r="S224" s="195">
        <f>IF(IFERROR(INDEX('Both teabags AfterWet'!$C$3:$C$841,MATCH(H224,'Both teabags AfterWet'!$A$3:$A$841,0)),"")="N.A","",(IFERROR(INDEX('Both teabags AfterWet'!$C$3:$C$841,MATCH(H224,'Both teabags AfterWet'!$A$3:$A$841,0)),"")))</f>
        <v>0.73760000000000003</v>
      </c>
      <c r="T224" s="195">
        <f>IFERROR(INDEX('Both teabags AfterWet'!$C$3:$C$841,MATCH(I224,'Both teabags AfterWet'!$A$3:$A$841,0)),"")</f>
        <v>1.7096</v>
      </c>
      <c r="U224" s="195">
        <f t="shared" si="31"/>
        <v>0.58699999999999997</v>
      </c>
      <c r="V224" s="195">
        <f t="shared" si="31"/>
        <v>1.5589999999999999</v>
      </c>
      <c r="W224" s="195">
        <f>IFERROR(INDEX('Ashed teabags wet'!$K$2:$K$821,MATCH(H224,'Ashed teabags wet'!$A$2:$A$821,0)),"")</f>
        <v>30.262506191183512</v>
      </c>
      <c r="X224" s="195">
        <f>IFERROR(INDEX('Ashed teabags wet'!$K$2:$K$821,MATCH(I224,'Ashed teabags wet'!$A$2:$A$821,0)),"")</f>
        <v>8.8976767177461902</v>
      </c>
      <c r="Y224" s="195">
        <f t="shared" si="25"/>
        <v>0.40935908865775272</v>
      </c>
      <c r="Z224" s="195">
        <f t="shared" si="25"/>
        <v>1.4202852199703369</v>
      </c>
      <c r="AA224" s="195">
        <f t="shared" si="32"/>
        <v>0.72547717865185324</v>
      </c>
      <c r="AB224" s="195">
        <f t="shared" si="33"/>
        <v>0.47560974182401783</v>
      </c>
      <c r="AC224" s="195">
        <f t="shared" si="26"/>
        <v>0.73473260086002246</v>
      </c>
      <c r="AD224">
        <f t="shared" si="27"/>
        <v>54</v>
      </c>
      <c r="AE224" s="195">
        <f t="shared" si="34"/>
        <v>0.13838814886953299</v>
      </c>
      <c r="AF224" s="195">
        <f t="shared" si="35"/>
        <v>1.510854150371589E-2</v>
      </c>
      <c r="AG224" s="255" t="str">
        <f>IF(ISNUMBER(SEARCH("C",'WetLitterbags placem_collection'!AD151)),"YES","NO")</f>
        <v>NO</v>
      </c>
      <c r="AH224" s="255" t="str">
        <f>IF(ISNUMBER(SEARCH("H", 'WetLitterbags placem_collection'!AD151)),"YES","NO")</f>
        <v>NO</v>
      </c>
      <c r="AI224" s="255" t="str">
        <f>IF(ISNUMBER(SEARCH("R", 'WetLitterbags placem_collection'!AD151)),"YES","NO")</f>
        <v>NO</v>
      </c>
      <c r="AJ224" s="255" t="str">
        <f>IF(ISNUMBER(SEARCH("C", 'WetLitterbags placem_collection'!AC151)),"YES","NO")</f>
        <v>NO</v>
      </c>
      <c r="AK224" s="255" t="str">
        <f>IF(ISNUMBER(SEARCH("H", 'WetLitterbags placem_collection'!AC151)),"YES","NO")</f>
        <v>NO</v>
      </c>
      <c r="AL224" s="255" t="str">
        <f>IF(ISNUMBER(SEARCH("R", 'WetLitterbags placem_collection'!AC151)),"YES","NO")</f>
        <v>NO</v>
      </c>
    </row>
    <row r="225" spans="2:38">
      <c r="B225" t="str">
        <f>'Final data_for_R_analysis_Wetse'!A151</f>
        <v>Wet</v>
      </c>
      <c r="C225" s="263">
        <f>'Final data_for_R_analysis_Wetse'!B151</f>
        <v>150</v>
      </c>
      <c r="D225" t="s">
        <v>3849</v>
      </c>
      <c r="E225" t="s">
        <v>22</v>
      </c>
      <c r="F225" s="387">
        <v>6</v>
      </c>
      <c r="G225" s="16">
        <f>'WetLitterbags placem_collection'!E152</f>
        <v>42762</v>
      </c>
      <c r="H225" t="str">
        <f>'Final data_for_R_analysis_Wetse'!J151</f>
        <v>G658</v>
      </c>
      <c r="I225" t="str">
        <f>'Final data_for_R_analysis_Wetse'!J371</f>
        <v>R7</v>
      </c>
      <c r="J225">
        <f>IFERROR(INDEX('Green_rooibos initial weight'!$C$5:$C$1749,MATCH(H225, 'Green_rooibos initial weight'!$A$5:$A$1749,0)),"")</f>
        <v>2.129</v>
      </c>
      <c r="K225">
        <f>IFERROR(INDEX('Green_rooibos initial weight'!$C$5:$C$1749,MATCH(I225, 'Green_rooibos initial weight'!$A$5:$A$1749,0)),"")</f>
        <v>2.2090000000000001</v>
      </c>
      <c r="L225" s="195">
        <f t="shared" si="28"/>
        <v>1.8792</v>
      </c>
      <c r="M225" s="195">
        <f>AVERAGE(Ashed_controlls!$K$2:$K$11)</f>
        <v>5.5147656768714146</v>
      </c>
      <c r="N225" s="195">
        <f t="shared" si="24"/>
        <v>1.7755665234002325</v>
      </c>
      <c r="O225" s="195">
        <f t="shared" si="29"/>
        <v>1.9592000000000001</v>
      </c>
      <c r="P225" s="195">
        <f>AVERAGE(Ashed_controlls!$K$12:$K$14)</f>
        <v>2.2816647271287041</v>
      </c>
      <c r="Q225" s="195">
        <f t="shared" si="30"/>
        <v>1.9144976246660945</v>
      </c>
      <c r="R225" s="16">
        <f>IF('WetLitterbags placem_collection'!G152="N.A","",'WetLitterbags placem_collection'!G152)</f>
        <v>42816</v>
      </c>
      <c r="S225" s="195">
        <f>IF(IFERROR(INDEX('Both teabags AfterWet'!$C$3:$C$841,MATCH(H225,'Both teabags AfterWet'!$A$3:$A$841,0)),"")="N.A","",(IFERROR(INDEX('Both teabags AfterWet'!$C$3:$C$841,MATCH(H225,'Both teabags AfterWet'!$A$3:$A$841,0)),"")))</f>
        <v>0.71799999999999997</v>
      </c>
      <c r="T225" s="195">
        <f>IFERROR(INDEX('Both teabags AfterWet'!$C$3:$C$841,MATCH(I225,'Both teabags AfterWet'!$A$3:$A$841,0)),"")</f>
        <v>1.718</v>
      </c>
      <c r="U225" s="195">
        <f t="shared" si="31"/>
        <v>0.5673999999999999</v>
      </c>
      <c r="V225" s="195">
        <f t="shared" si="31"/>
        <v>1.5673999999999999</v>
      </c>
      <c r="W225" s="195">
        <f>IFERROR(INDEX('Ashed teabags wet'!$K$2:$K$821,MATCH(H225,'Ashed teabags wet'!$A$2:$A$821,0)),"")</f>
        <v>23.716990533134794</v>
      </c>
      <c r="X225" s="195">
        <f>IFERROR(INDEX('Ashed teabags wet'!$K$2:$K$821,MATCH(I225,'Ashed teabags wet'!$A$2:$A$821,0)),"")</f>
        <v>10.190151145782695</v>
      </c>
      <c r="Y225" s="195">
        <f t="shared" si="25"/>
        <v>0.43282979571499314</v>
      </c>
      <c r="Z225" s="195">
        <f t="shared" si="25"/>
        <v>1.4076795709410019</v>
      </c>
      <c r="AA225" s="195">
        <f t="shared" si="32"/>
        <v>0.75623003136704869</v>
      </c>
      <c r="AB225" s="195">
        <f t="shared" si="33"/>
        <v>0.49577075690571371</v>
      </c>
      <c r="AC225" s="195">
        <f t="shared" si="26"/>
        <v>0.73527360535979447</v>
      </c>
      <c r="AD225">
        <f t="shared" si="27"/>
        <v>54</v>
      </c>
      <c r="AE225" s="195">
        <f t="shared" si="34"/>
        <v>0.1018645708229825</v>
      </c>
      <c r="AF225" s="195">
        <f t="shared" si="35"/>
        <v>1.413896110563434E-2</v>
      </c>
      <c r="AG225" s="255" t="str">
        <f>IF(ISNUMBER(SEARCH("C",'WetLitterbags placem_collection'!AD152)),"YES","NO")</f>
        <v>NO</v>
      </c>
      <c r="AH225" s="255" t="str">
        <f>IF(ISNUMBER(SEARCH("H", 'WetLitterbags placem_collection'!AD152)),"YES","NO")</f>
        <v>NO</v>
      </c>
      <c r="AI225" s="255" t="str">
        <f>IF(ISNUMBER(SEARCH("R", 'WetLitterbags placem_collection'!AD152)),"YES","NO")</f>
        <v>NO</v>
      </c>
      <c r="AJ225" s="255" t="str">
        <f>IF(ISNUMBER(SEARCH("C", 'WetLitterbags placem_collection'!AC152)),"YES","NO")</f>
        <v>NO</v>
      </c>
      <c r="AK225" s="255" t="str">
        <f>IF(ISNUMBER(SEARCH("H", 'WetLitterbags placem_collection'!AC152)),"YES","NO")</f>
        <v>NO</v>
      </c>
      <c r="AL225" s="255" t="str">
        <f>IF(ISNUMBER(SEARCH("R", 'WetLitterbags placem_collection'!AC152)),"YES","NO")</f>
        <v>NO</v>
      </c>
    </row>
    <row r="226" spans="2:38">
      <c r="B226" t="str">
        <f>'Final data_for_R_analysis_Wetse'!A152</f>
        <v>Wet</v>
      </c>
      <c r="C226" s="263">
        <f>'Final data_for_R_analysis_Wetse'!B152</f>
        <v>151</v>
      </c>
      <c r="D226" t="s">
        <v>3849</v>
      </c>
      <c r="E226" t="s">
        <v>22</v>
      </c>
      <c r="F226" s="387">
        <v>7</v>
      </c>
      <c r="G226" s="16">
        <f>'WetLitterbags placem_collection'!E153</f>
        <v>42762</v>
      </c>
      <c r="H226" t="str">
        <f>'Final data_for_R_analysis_Wetse'!J152</f>
        <v>G567</v>
      </c>
      <c r="I226" t="str">
        <f>'Final data_for_R_analysis_Wetse'!J372</f>
        <v>R447</v>
      </c>
      <c r="J226">
        <f>IFERROR(INDEX('Green_rooibos initial weight'!$C$5:$C$1749,MATCH(H226, 'Green_rooibos initial weight'!$A$5:$A$1749,0)),"")</f>
        <v>2.0569999999999999</v>
      </c>
      <c r="K226">
        <f>IFERROR(INDEX('Green_rooibos initial weight'!$C$5:$C$1749,MATCH(I226, 'Green_rooibos initial weight'!$A$5:$A$1749,0)),"")</f>
        <v>2.206</v>
      </c>
      <c r="L226" s="195">
        <f t="shared" si="28"/>
        <v>1.8071999999999999</v>
      </c>
      <c r="M226" s="195">
        <f>AVERAGE(Ashed_controlls!$K$2:$K$11)</f>
        <v>5.5147656768714146</v>
      </c>
      <c r="N226" s="195">
        <f t="shared" si="24"/>
        <v>1.7075371546875797</v>
      </c>
      <c r="O226" s="195">
        <f t="shared" si="29"/>
        <v>1.9561999999999999</v>
      </c>
      <c r="P226" s="195">
        <f>AVERAGE(Ashed_controlls!$K$12:$K$14)</f>
        <v>2.2816647271287041</v>
      </c>
      <c r="Q226" s="195">
        <f t="shared" si="30"/>
        <v>1.9115660746079082</v>
      </c>
      <c r="R226" s="16">
        <f>IF('WetLitterbags placem_collection'!G153="N.A","",'WetLitterbags placem_collection'!G153)</f>
        <v>42816</v>
      </c>
      <c r="S226" s="195">
        <f>IF(IFERROR(INDEX('Both teabags AfterWet'!$C$3:$C$841,MATCH(H226,'Both teabags AfterWet'!$A$3:$A$841,0)),"")="N.A","",(IFERROR(INDEX('Both teabags AfterWet'!$C$3:$C$841,MATCH(H226,'Both teabags AfterWet'!$A$3:$A$841,0)),"")))</f>
        <v>0.86499999999999999</v>
      </c>
      <c r="T226" s="195">
        <f>IFERROR(INDEX('Both teabags AfterWet'!$C$3:$C$841,MATCH(I226,'Both teabags AfterWet'!$A$3:$A$841,0)),"")</f>
        <v>1.782</v>
      </c>
      <c r="U226" s="195">
        <f t="shared" si="31"/>
        <v>0.71439999999999992</v>
      </c>
      <c r="V226" s="195">
        <f t="shared" si="31"/>
        <v>1.6314</v>
      </c>
      <c r="W226" s="195">
        <f>IFERROR(INDEX('Ashed teabags wet'!$K$2:$K$821,MATCH(H226,'Ashed teabags wet'!$A$2:$A$821,0)),"")</f>
        <v>20.077034183919789</v>
      </c>
      <c r="X226" s="195">
        <f>IFERROR(INDEX('Ashed teabags wet'!$K$2:$K$821,MATCH(I226,'Ashed teabags wet'!$A$2:$A$821,0)),"")</f>
        <v>6.4642507345735885</v>
      </c>
      <c r="Y226" s="195">
        <f t="shared" si="25"/>
        <v>0.57096966779007696</v>
      </c>
      <c r="Z226" s="195">
        <f t="shared" si="25"/>
        <v>1.5259422135161664</v>
      </c>
      <c r="AA226" s="195">
        <f t="shared" si="32"/>
        <v>0.66561801233862772</v>
      </c>
      <c r="AB226" s="195">
        <f t="shared" si="33"/>
        <v>0.43636715298209328</v>
      </c>
      <c r="AC226" s="195">
        <f t="shared" si="26"/>
        <v>0.79826809744421778</v>
      </c>
      <c r="AD226">
        <f t="shared" si="27"/>
        <v>54</v>
      </c>
      <c r="AE226" s="195">
        <f t="shared" si="34"/>
        <v>0.20947979532229488</v>
      </c>
      <c r="AF226" s="195">
        <f t="shared" si="35"/>
        <v>1.1489848157017422E-2</v>
      </c>
      <c r="AG226" s="255" t="str">
        <f>IF(ISNUMBER(SEARCH("C",'WetLitterbags placem_collection'!AD153)),"YES","NO")</f>
        <v>NO</v>
      </c>
      <c r="AH226" s="255" t="str">
        <f>IF(ISNUMBER(SEARCH("H", 'WetLitterbags placem_collection'!AD153)),"YES","NO")</f>
        <v>NO</v>
      </c>
      <c r="AI226" s="255" t="str">
        <f>IF(ISNUMBER(SEARCH("R", 'WetLitterbags placem_collection'!AD153)),"YES","NO")</f>
        <v>NO</v>
      </c>
      <c r="AJ226" s="255" t="str">
        <f>IF(ISNUMBER(SEARCH("C", 'WetLitterbags placem_collection'!AC153)),"YES","NO")</f>
        <v>NO</v>
      </c>
      <c r="AK226" s="255" t="str">
        <f>IF(ISNUMBER(SEARCH("H", 'WetLitterbags placem_collection'!AC153)),"YES","NO")</f>
        <v>NO</v>
      </c>
      <c r="AL226" s="255" t="str">
        <f>IF(ISNUMBER(SEARCH("R", 'WetLitterbags placem_collection'!AC153)),"YES","NO")</f>
        <v>NO</v>
      </c>
    </row>
    <row r="227" spans="2:38">
      <c r="B227" t="str">
        <f>'Final data_for_R_analysis_Wetse'!A153</f>
        <v>Wet</v>
      </c>
      <c r="C227" s="263">
        <f>'Final data_for_R_analysis_Wetse'!B153</f>
        <v>152</v>
      </c>
      <c r="D227" t="s">
        <v>3849</v>
      </c>
      <c r="E227" t="s">
        <v>22</v>
      </c>
      <c r="F227" s="387">
        <v>8</v>
      </c>
      <c r="G227" s="16">
        <f>'WetLitterbags placem_collection'!E154</f>
        <v>42762</v>
      </c>
      <c r="H227" t="str">
        <f>'Final data_for_R_analysis_Wetse'!J153</f>
        <v>G853</v>
      </c>
      <c r="I227" t="str">
        <f>'Final data_for_R_analysis_Wetse'!J373</f>
        <v>R591</v>
      </c>
      <c r="J227">
        <f>IFERROR(INDEX('Green_rooibos initial weight'!$C$5:$C$1749,MATCH(H227, 'Green_rooibos initial weight'!$A$5:$A$1749,0)),"")</f>
        <v>1.972</v>
      </c>
      <c r="K227">
        <f>IFERROR(INDEX('Green_rooibos initial weight'!$C$5:$C$1749,MATCH(I227, 'Green_rooibos initial weight'!$A$5:$A$1749,0)),"")</f>
        <v>2.2599999999999998</v>
      </c>
      <c r="L227" s="195">
        <f t="shared" si="28"/>
        <v>1.7222</v>
      </c>
      <c r="M227" s="195">
        <f>AVERAGE(Ashed_controlls!$K$2:$K$11)</f>
        <v>5.5147656768714146</v>
      </c>
      <c r="N227" s="195">
        <f t="shared" si="24"/>
        <v>1.6272247055129205</v>
      </c>
      <c r="O227" s="195">
        <f t="shared" si="29"/>
        <v>2.0101999999999998</v>
      </c>
      <c r="P227" s="195">
        <f>AVERAGE(Ashed_controlls!$K$12:$K$14)</f>
        <v>2.2816647271287041</v>
      </c>
      <c r="Q227" s="195">
        <f t="shared" si="30"/>
        <v>1.9643339756552585</v>
      </c>
      <c r="R227" s="16">
        <f>IF('WetLitterbags placem_collection'!G154="N.A","",'WetLitterbags placem_collection'!G154)</f>
        <v>42816</v>
      </c>
      <c r="S227" s="195">
        <f>IF(IFERROR(INDEX('Both teabags AfterWet'!$C$3:$C$841,MATCH(H227,'Both teabags AfterWet'!$A$3:$A$841,0)),"")="N.A","",(IFERROR(INDEX('Both teabags AfterWet'!$C$3:$C$841,MATCH(H227,'Both teabags AfterWet'!$A$3:$A$841,0)),"")))</f>
        <v>0.58509999999999995</v>
      </c>
      <c r="T227" s="195">
        <f>IFERROR(INDEX('Both teabags AfterWet'!$C$3:$C$841,MATCH(I227,'Both teabags AfterWet'!$A$3:$A$841,0)),"")</f>
        <v>1.6958</v>
      </c>
      <c r="U227" s="195">
        <f t="shared" si="31"/>
        <v>0.43449999999999994</v>
      </c>
      <c r="V227" s="195">
        <f t="shared" si="31"/>
        <v>1.5451999999999999</v>
      </c>
      <c r="W227" s="195">
        <f>IFERROR(INDEX('Ashed teabags wet'!$K$2:$K$821,MATCH(H227,'Ashed teabags wet'!$A$2:$A$821,0)),"")</f>
        <v>20.802377414561477</v>
      </c>
      <c r="X227" s="195">
        <f>IFERROR(INDEX('Ashed teabags wet'!$K$2:$K$821,MATCH(I227,'Ashed teabags wet'!$A$2:$A$821,0)),"")</f>
        <v>6.0969755160831145</v>
      </c>
      <c r="Y227" s="195">
        <f t="shared" si="25"/>
        <v>0.34411367013373034</v>
      </c>
      <c r="Z227" s="195">
        <f t="shared" si="25"/>
        <v>1.4509895343254837</v>
      </c>
      <c r="AA227" s="195">
        <f t="shared" si="32"/>
        <v>0.78852725811751878</v>
      </c>
      <c r="AB227" s="195">
        <f t="shared" si="33"/>
        <v>0.5169442357254993</v>
      </c>
      <c r="AC227" s="195">
        <f t="shared" si="26"/>
        <v>0.73866743247744604</v>
      </c>
      <c r="AD227">
        <f t="shared" si="27"/>
        <v>54</v>
      </c>
      <c r="AE227" s="195">
        <f t="shared" si="34"/>
        <v>6.3506819337863618E-2</v>
      </c>
      <c r="AF227" s="195">
        <f t="shared" si="35"/>
        <v>1.3042141402172625E-2</v>
      </c>
      <c r="AG227" s="255" t="str">
        <f>IF(ISNUMBER(SEARCH("C",'WetLitterbags placem_collection'!AD154)),"YES","NO")</f>
        <v>NO</v>
      </c>
      <c r="AH227" s="255" t="str">
        <f>IF(ISNUMBER(SEARCH("H", 'WetLitterbags placem_collection'!AD154)),"YES","NO")</f>
        <v>YES</v>
      </c>
      <c r="AI227" s="255" t="str">
        <f>IF(ISNUMBER(SEARCH("R", 'WetLitterbags placem_collection'!AD154)),"YES","NO")</f>
        <v>YES</v>
      </c>
      <c r="AJ227" s="255" t="str">
        <f>IF(ISNUMBER(SEARCH("C", 'WetLitterbags placem_collection'!AC154)),"YES","NO")</f>
        <v>NO</v>
      </c>
      <c r="AK227" s="255" t="str">
        <f>IF(ISNUMBER(SEARCH("H", 'WetLitterbags placem_collection'!AC154)),"YES","NO")</f>
        <v>NO</v>
      </c>
      <c r="AL227" s="255" t="str">
        <f>IF(ISNUMBER(SEARCH("R", 'WetLitterbags placem_collection'!AC154)),"YES","NO")</f>
        <v>NO</v>
      </c>
    </row>
    <row r="228" spans="2:38">
      <c r="B228" t="str">
        <f>'Final data_for_R_analysis_Wetse'!A154</f>
        <v>Wet</v>
      </c>
      <c r="C228" s="263">
        <f>'Final data_for_R_analysis_Wetse'!B154</f>
        <v>153</v>
      </c>
      <c r="D228" t="s">
        <v>3850</v>
      </c>
      <c r="E228" t="s">
        <v>22</v>
      </c>
      <c r="F228" s="386">
        <v>1</v>
      </c>
      <c r="G228" s="16">
        <f>'WetLitterbags placem_collection'!E155</f>
        <v>42762</v>
      </c>
      <c r="H228" t="str">
        <f>'Final data_for_R_analysis_Wetse'!J154</f>
        <v>G800</v>
      </c>
      <c r="I228" t="str">
        <f>'Final data_for_R_analysis_Wetse'!J374</f>
        <v>R479</v>
      </c>
      <c r="J228">
        <f>IFERROR(INDEX('Green_rooibos initial weight'!$C$5:$C$1749,MATCH(H228, 'Green_rooibos initial weight'!$A$5:$A$1749,0)),"")</f>
        <v>2.1179999999999999</v>
      </c>
      <c r="K228">
        <f>IFERROR(INDEX('Green_rooibos initial weight'!$C$5:$C$1749,MATCH(I228, 'Green_rooibos initial weight'!$A$5:$A$1749,0)),"")</f>
        <v>2.2749999999999999</v>
      </c>
      <c r="L228" s="195">
        <f t="shared" si="28"/>
        <v>1.8681999999999999</v>
      </c>
      <c r="M228" s="195">
        <f>AVERAGE(Ashed_controlls!$K$2:$K$11)</f>
        <v>5.5147656768714146</v>
      </c>
      <c r="N228" s="195">
        <f t="shared" si="24"/>
        <v>1.7651731476246881</v>
      </c>
      <c r="O228" s="195">
        <f t="shared" si="29"/>
        <v>2.0251999999999999</v>
      </c>
      <c r="P228" s="195">
        <f>AVERAGE(Ashed_controlls!$K$12:$K$14)</f>
        <v>2.2816647271287041</v>
      </c>
      <c r="Q228" s="195">
        <f t="shared" si="30"/>
        <v>1.9789917259461893</v>
      </c>
      <c r="R228" s="16">
        <f>IF('WetLitterbags placem_collection'!G155="N.A","",'WetLitterbags placem_collection'!G155)</f>
        <v>42816</v>
      </c>
      <c r="S228" s="195">
        <f>IF(IFERROR(INDEX('Both teabags AfterWet'!$C$3:$C$841,MATCH(H228,'Both teabags AfterWet'!$A$3:$A$841,0)),"")="N.A","",(IFERROR(INDEX('Both teabags AfterWet'!$C$3:$C$841,MATCH(H228,'Both teabags AfterWet'!$A$3:$A$841,0)),"")))</f>
        <v>0.58630000000000004</v>
      </c>
      <c r="T228" s="195">
        <f>IFERROR(INDEX('Both teabags AfterWet'!$C$3:$C$841,MATCH(I228,'Both teabags AfterWet'!$A$3:$A$841,0)),"")</f>
        <v>1.2541</v>
      </c>
      <c r="U228" s="195">
        <f t="shared" si="31"/>
        <v>0.43570000000000003</v>
      </c>
      <c r="V228" s="195">
        <f t="shared" si="31"/>
        <v>1.1034999999999999</v>
      </c>
      <c r="W228" s="195">
        <f>IFERROR(INDEX('Ashed teabags wet'!$K$2:$K$821,MATCH(H228,'Ashed teabags wet'!$A$2:$A$821,0)),"")</f>
        <v>16.871618298081419</v>
      </c>
      <c r="X228" s="195">
        <f>IFERROR(INDEX('Ashed teabags wet'!$K$2:$K$821,MATCH(I228,'Ashed teabags wet'!$A$2:$A$821,0)),"")</f>
        <v>77.007481296757646</v>
      </c>
      <c r="Y228" s="195">
        <f t="shared" si="25"/>
        <v>0.36219035907525926</v>
      </c>
      <c r="Z228" s="195">
        <f t="shared" si="25"/>
        <v>0.25372244389027931</v>
      </c>
      <c r="AA228" s="195">
        <f t="shared" si="32"/>
        <v>0.79481312665409509</v>
      </c>
      <c r="AB228" s="195">
        <f t="shared" si="33"/>
        <v>0.52106513766396745</v>
      </c>
      <c r="AC228" s="195">
        <f t="shared" si="26"/>
        <v>0.12820793566934716</v>
      </c>
      <c r="AD228">
        <f t="shared" si="27"/>
        <v>54</v>
      </c>
      <c r="AE228" s="195">
        <f t="shared" si="34"/>
        <v>5.6041417275421446E-2</v>
      </c>
      <c r="AF228" s="195" t="str">
        <f t="shared" si="35"/>
        <v/>
      </c>
      <c r="AG228" s="255" t="str">
        <f>IF(ISNUMBER(SEARCH("C",'WetLitterbags placem_collection'!AD155)),"YES","NO")</f>
        <v>NO</v>
      </c>
      <c r="AH228" s="255" t="str">
        <f>IF(ISNUMBER(SEARCH("H", 'WetLitterbags placem_collection'!AD155)),"YES","NO")</f>
        <v>NO</v>
      </c>
      <c r="AI228" s="255" t="str">
        <f>IF(ISNUMBER(SEARCH("R", 'WetLitterbags placem_collection'!AD155)),"YES","NO")</f>
        <v>NO</v>
      </c>
      <c r="AJ228" s="255" t="str">
        <f>IF(ISNUMBER(SEARCH("C", 'WetLitterbags placem_collection'!AC155)),"YES","NO")</f>
        <v>NO</v>
      </c>
      <c r="AK228" s="255" t="str">
        <f>IF(ISNUMBER(SEARCH("H", 'WetLitterbags placem_collection'!AC155)),"YES","NO")</f>
        <v>NO</v>
      </c>
      <c r="AL228" s="255" t="str">
        <f>IF(ISNUMBER(SEARCH("R", 'WetLitterbags placem_collection'!AC155)),"YES","NO")</f>
        <v>NO</v>
      </c>
    </row>
    <row r="229" spans="2:38">
      <c r="B229" t="str">
        <f>'Final data_for_R_analysis_Wetse'!A155</f>
        <v>Wet</v>
      </c>
      <c r="C229" s="263">
        <f>'Final data_for_R_analysis_Wetse'!B155</f>
        <v>154</v>
      </c>
      <c r="D229" t="s">
        <v>3850</v>
      </c>
      <c r="E229" t="s">
        <v>22</v>
      </c>
      <c r="F229" s="386">
        <v>2</v>
      </c>
      <c r="G229" s="16">
        <f>'WetLitterbags placem_collection'!E156</f>
        <v>42762</v>
      </c>
      <c r="H229" t="str">
        <f>'Final data_for_R_analysis_Wetse'!J155</f>
        <v>G675</v>
      </c>
      <c r="I229" t="str">
        <f>'Final data_for_R_analysis_Wetse'!J375</f>
        <v>R493</v>
      </c>
      <c r="J229">
        <f>IFERROR(INDEX('Green_rooibos initial weight'!$C$5:$C$1749,MATCH(H229, 'Green_rooibos initial weight'!$A$5:$A$1749,0)),"")</f>
        <v>1.9950000000000001</v>
      </c>
      <c r="K229">
        <f>IFERROR(INDEX('Green_rooibos initial weight'!$C$5:$C$1749,MATCH(I229, 'Green_rooibos initial weight'!$A$5:$A$1749,0)),"")</f>
        <v>2.2410000000000001</v>
      </c>
      <c r="L229" s="195">
        <f t="shared" si="28"/>
        <v>1.7452000000000001</v>
      </c>
      <c r="M229" s="195">
        <f>AVERAGE(Ashed_controlls!$K$2:$K$11)</f>
        <v>5.5147656768714146</v>
      </c>
      <c r="N229" s="195">
        <f t="shared" si="24"/>
        <v>1.6489563094072401</v>
      </c>
      <c r="O229" s="195">
        <f t="shared" si="29"/>
        <v>1.9912000000000001</v>
      </c>
      <c r="P229" s="195">
        <f>AVERAGE(Ashed_controlls!$K$12:$K$14)</f>
        <v>2.2816647271287041</v>
      </c>
      <c r="Q229" s="195">
        <f t="shared" si="30"/>
        <v>1.9457674919534134</v>
      </c>
      <c r="R229" s="16">
        <f>IF('WetLitterbags placem_collection'!G156="N.A","",'WetLitterbags placem_collection'!G156)</f>
        <v>42816</v>
      </c>
      <c r="S229" s="195">
        <f>IF(IFERROR(INDEX('Both teabags AfterWet'!$C$3:$C$841,MATCH(H229,'Both teabags AfterWet'!$A$3:$A$841,0)),"")="N.A","",(IFERROR(INDEX('Both teabags AfterWet'!$C$3:$C$841,MATCH(H229,'Both teabags AfterWet'!$A$3:$A$841,0)),"")))</f>
        <v>0.61299999999999999</v>
      </c>
      <c r="T229" s="195">
        <f>IFERROR(INDEX('Both teabags AfterWet'!$C$3:$C$841,MATCH(I229,'Both teabags AfterWet'!$A$3:$A$841,0)),"")</f>
        <v>0.69099999999999995</v>
      </c>
      <c r="U229" s="195">
        <f t="shared" si="31"/>
        <v>0.46239999999999998</v>
      </c>
      <c r="V229" s="195">
        <f t="shared" si="31"/>
        <v>0.54039999999999999</v>
      </c>
      <c r="W229" s="195">
        <f>IFERROR(INDEX('Ashed teabags wet'!$K$2:$K$821,MATCH(H229,'Ashed teabags wet'!$A$2:$A$821,0)),"")</f>
        <v>18.033573141486571</v>
      </c>
      <c r="X229" s="195" t="str">
        <f>IFERROR(INDEX('Ashed teabags wet'!$K$2:$K$821,MATCH(I229,'Ashed teabags wet'!$A$2:$A$821,0)),"")</f>
        <v/>
      </c>
      <c r="Y229" s="195">
        <f t="shared" si="25"/>
        <v>0.37901275779376609</v>
      </c>
      <c r="Z229" s="195" t="str">
        <f t="shared" si="25"/>
        <v/>
      </c>
      <c r="AA229" s="195">
        <f t="shared" si="32"/>
        <v>0.77014990898696889</v>
      </c>
      <c r="AB229" s="195">
        <f t="shared" si="33"/>
        <v>0.50489637738813165</v>
      </c>
      <c r="AC229" s="195" t="str">
        <f t="shared" si="26"/>
        <v/>
      </c>
      <c r="AD229">
        <f t="shared" si="27"/>
        <v>54</v>
      </c>
      <c r="AE229" s="195">
        <f t="shared" si="34"/>
        <v>8.5332649659181858E-2</v>
      </c>
      <c r="AF229" s="195" t="str">
        <f t="shared" si="35"/>
        <v/>
      </c>
      <c r="AG229" s="255" t="str">
        <f>IF(ISNUMBER(SEARCH("C",'WetLitterbags placem_collection'!AD156)),"YES","NO")</f>
        <v>NO</v>
      </c>
      <c r="AH229" s="255" t="str">
        <f>IF(ISNUMBER(SEARCH("H", 'WetLitterbags placem_collection'!AD156)),"YES","NO")</f>
        <v>NO</v>
      </c>
      <c r="AI229" s="255" t="str">
        <f>IF(ISNUMBER(SEARCH("R", 'WetLitterbags placem_collection'!AD156)),"YES","NO")</f>
        <v>NO</v>
      </c>
      <c r="AJ229" s="255" t="str">
        <f>IF(ISNUMBER(SEARCH("C", 'WetLitterbags placem_collection'!AC156)),"YES","NO")</f>
        <v>NO</v>
      </c>
      <c r="AK229" s="255" t="str">
        <f>IF(ISNUMBER(SEARCH("H", 'WetLitterbags placem_collection'!AC156)),"YES","NO")</f>
        <v>NO</v>
      </c>
      <c r="AL229" s="255" t="str">
        <f>IF(ISNUMBER(SEARCH("R", 'WetLitterbags placem_collection'!AC156)),"YES","NO")</f>
        <v>NO</v>
      </c>
    </row>
    <row r="230" spans="2:38">
      <c r="B230" t="str">
        <f>'Final data_for_R_analysis_Wetse'!A156</f>
        <v>Wet</v>
      </c>
      <c r="C230" s="263">
        <f>'Final data_for_R_analysis_Wetse'!B156</f>
        <v>155</v>
      </c>
      <c r="D230" t="s">
        <v>3850</v>
      </c>
      <c r="E230" t="s">
        <v>22</v>
      </c>
      <c r="F230" s="386">
        <v>3</v>
      </c>
      <c r="G230" s="16">
        <f>'WetLitterbags placem_collection'!E157</f>
        <v>42762</v>
      </c>
      <c r="H230" t="str">
        <f>'Final data_for_R_analysis_Wetse'!J156</f>
        <v>G859</v>
      </c>
      <c r="I230" t="str">
        <f>'Final data_for_R_analysis_Wetse'!J376</f>
        <v>R484</v>
      </c>
      <c r="J230">
        <f>IFERROR(INDEX('Green_rooibos initial weight'!$C$5:$C$1749,MATCH(H230, 'Green_rooibos initial weight'!$A$5:$A$1749,0)),"")</f>
        <v>2</v>
      </c>
      <c r="K230">
        <f>IFERROR(INDEX('Green_rooibos initial weight'!$C$5:$C$1749,MATCH(I230, 'Green_rooibos initial weight'!$A$5:$A$1749,0)),"")</f>
        <v>2.1850000000000001</v>
      </c>
      <c r="L230" s="195">
        <f t="shared" si="28"/>
        <v>1.7502</v>
      </c>
      <c r="M230" s="195">
        <f>AVERAGE(Ashed_controlls!$K$2:$K$11)</f>
        <v>5.5147656768714146</v>
      </c>
      <c r="N230" s="195">
        <f t="shared" si="24"/>
        <v>1.6536805711233964</v>
      </c>
      <c r="O230" s="195">
        <f t="shared" si="29"/>
        <v>1.9352</v>
      </c>
      <c r="P230" s="195">
        <f>AVERAGE(Ashed_controlls!$K$12:$K$14)</f>
        <v>2.2816647271287041</v>
      </c>
      <c r="Q230" s="195">
        <f t="shared" si="30"/>
        <v>1.8910452242006053</v>
      </c>
      <c r="R230" s="16">
        <f>IF('WetLitterbags placem_collection'!G157="N.A","",'WetLitterbags placem_collection'!G157)</f>
        <v>42816</v>
      </c>
      <c r="S230" s="195">
        <f>IF(IFERROR(INDEX('Both teabags AfterWet'!$C$3:$C$841,MATCH(H230,'Both teabags AfterWet'!$A$3:$A$841,0)),"")="N.A","",(IFERROR(INDEX('Both teabags AfterWet'!$C$3:$C$841,MATCH(H230,'Both teabags AfterWet'!$A$3:$A$841,0)),"")))</f>
        <v>0.71599999999999997</v>
      </c>
      <c r="T230" s="195">
        <f>IFERROR(INDEX('Both teabags AfterWet'!$C$3:$C$841,MATCH(I230,'Both teabags AfterWet'!$A$3:$A$841,0)),"")</f>
        <v>1.7509999999999999</v>
      </c>
      <c r="U230" s="195">
        <f t="shared" si="31"/>
        <v>0.5653999999999999</v>
      </c>
      <c r="V230" s="195">
        <f t="shared" si="31"/>
        <v>1.6003999999999998</v>
      </c>
      <c r="W230" s="195">
        <f>IFERROR(INDEX('Ashed teabags wet'!$K$2:$K$821,MATCH(H230,'Ashed teabags wet'!$A$2:$A$821,0)),"")</f>
        <v>17.148456638902378</v>
      </c>
      <c r="X230" s="195">
        <f>IFERROR(INDEX('Ashed teabags wet'!$K$2:$K$821,MATCH(I230,'Ashed teabags wet'!$A$2:$A$821,0)),"")</f>
        <v>9.822309970384735</v>
      </c>
      <c r="Y230" s="195">
        <f t="shared" si="25"/>
        <v>0.4684426261636459</v>
      </c>
      <c r="Z230" s="195">
        <f t="shared" si="25"/>
        <v>1.4432037512339626</v>
      </c>
      <c r="AA230" s="195">
        <f t="shared" si="32"/>
        <v>0.71672726018337496</v>
      </c>
      <c r="AB230" s="195">
        <f t="shared" si="33"/>
        <v>0.46987345323185631</v>
      </c>
      <c r="AC230" s="195">
        <f t="shared" si="26"/>
        <v>0.76317780916320654</v>
      </c>
      <c r="AD230">
        <f t="shared" si="27"/>
        <v>54</v>
      </c>
      <c r="AE230" s="195">
        <f t="shared" si="34"/>
        <v>0.14877997602924586</v>
      </c>
      <c r="AF230" s="195">
        <f t="shared" si="35"/>
        <v>1.2985277228910146E-2</v>
      </c>
      <c r="AG230" s="255" t="str">
        <f>IF(ISNUMBER(SEARCH("C",'WetLitterbags placem_collection'!AD157)),"YES","NO")</f>
        <v>NO</v>
      </c>
      <c r="AH230" s="255" t="str">
        <f>IF(ISNUMBER(SEARCH("H", 'WetLitterbags placem_collection'!AD157)),"YES","NO")</f>
        <v>NO</v>
      </c>
      <c r="AI230" s="255" t="str">
        <f>IF(ISNUMBER(SEARCH("R", 'WetLitterbags placem_collection'!AD157)),"YES","NO")</f>
        <v>NO</v>
      </c>
      <c r="AJ230" s="255" t="str">
        <f>IF(ISNUMBER(SEARCH("C", 'WetLitterbags placem_collection'!AC157)),"YES","NO")</f>
        <v>NO</v>
      </c>
      <c r="AK230" s="255" t="str">
        <f>IF(ISNUMBER(SEARCH("H", 'WetLitterbags placem_collection'!AC157)),"YES","NO")</f>
        <v>NO</v>
      </c>
      <c r="AL230" s="255" t="str">
        <f>IF(ISNUMBER(SEARCH("R", 'WetLitterbags placem_collection'!AC157)),"YES","NO")</f>
        <v>NO</v>
      </c>
    </row>
    <row r="231" spans="2:38">
      <c r="B231" t="str">
        <f>'Final data_for_R_analysis_Wetse'!A157</f>
        <v>Wet</v>
      </c>
      <c r="C231" s="263">
        <f>'Final data_for_R_analysis_Wetse'!B157</f>
        <v>156</v>
      </c>
      <c r="D231" t="s">
        <v>3850</v>
      </c>
      <c r="E231" t="s">
        <v>22</v>
      </c>
      <c r="F231" s="387">
        <v>4</v>
      </c>
      <c r="G231" s="16">
        <f>'WetLitterbags placem_collection'!E158</f>
        <v>42762</v>
      </c>
      <c r="H231" t="str">
        <f>'Final data_for_R_analysis_Wetse'!J157</f>
        <v>G654</v>
      </c>
      <c r="I231" t="str">
        <f>'Final data_for_R_analysis_Wetse'!J377</f>
        <v>R598</v>
      </c>
      <c r="J231">
        <f>IFERROR(INDEX('Green_rooibos initial weight'!$C$5:$C$1749,MATCH(H231, 'Green_rooibos initial weight'!$A$5:$A$1749,0)),"")</f>
        <v>2.0169999999999999</v>
      </c>
      <c r="K231">
        <f>IFERROR(INDEX('Green_rooibos initial weight'!$C$5:$C$1749,MATCH(I231, 'Green_rooibos initial weight'!$A$5:$A$1749,0)),"")</f>
        <v>2.206</v>
      </c>
      <c r="L231" s="195">
        <f t="shared" si="28"/>
        <v>1.7671999999999999</v>
      </c>
      <c r="M231" s="195">
        <f>AVERAGE(Ashed_controlls!$K$2:$K$11)</f>
        <v>5.5147656768714146</v>
      </c>
      <c r="N231" s="195">
        <f t="shared" si="24"/>
        <v>1.6697430609583281</v>
      </c>
      <c r="O231" s="195">
        <f t="shared" si="29"/>
        <v>1.9561999999999999</v>
      </c>
      <c r="P231" s="195">
        <f>AVERAGE(Ashed_controlls!$K$12:$K$14)</f>
        <v>2.2816647271287041</v>
      </c>
      <c r="Q231" s="195">
        <f t="shared" si="30"/>
        <v>1.9115660746079082</v>
      </c>
      <c r="R231" s="16">
        <f>IF('WetLitterbags placem_collection'!G158="N.A","",'WetLitterbags placem_collection'!G158)</f>
        <v>42816</v>
      </c>
      <c r="S231" s="195">
        <f>IF(IFERROR(INDEX('Both teabags AfterWet'!$C$3:$C$841,MATCH(H231,'Both teabags AfterWet'!$A$3:$A$841,0)),"")="N.A","",(IFERROR(INDEX('Both teabags AfterWet'!$C$3:$C$841,MATCH(H231,'Both teabags AfterWet'!$A$3:$A$841,0)),"")))</f>
        <v>0.73799999999999999</v>
      </c>
      <c r="T231" s="195">
        <f>IFERROR(INDEX('Both teabags AfterWet'!$C$3:$C$841,MATCH(I231,'Both teabags AfterWet'!$A$3:$A$841,0)),"")</f>
        <v>1.8080000000000001</v>
      </c>
      <c r="U231" s="195">
        <f t="shared" si="31"/>
        <v>0.58739999999999992</v>
      </c>
      <c r="V231" s="195">
        <f t="shared" si="31"/>
        <v>1.6574</v>
      </c>
      <c r="W231" s="195">
        <f>IFERROR(INDEX('Ashed teabags wet'!$K$2:$K$821,MATCH(H231,'Ashed teabags wet'!$A$2:$A$821,0)),"")</f>
        <v>25.036109773712322</v>
      </c>
      <c r="X231" s="195">
        <f>IFERROR(INDEX('Ashed teabags wet'!$K$2:$K$821,MATCH(I231,'Ashed teabags wet'!$A$2:$A$821,0)),"")</f>
        <v>7.6581027667986037</v>
      </c>
      <c r="Y231" s="195">
        <f t="shared" si="25"/>
        <v>0.44033789118921374</v>
      </c>
      <c r="Z231" s="195">
        <f t="shared" si="25"/>
        <v>1.5304746047430799</v>
      </c>
      <c r="AA231" s="195">
        <f t="shared" si="32"/>
        <v>0.73628404184744012</v>
      </c>
      <c r="AB231" s="195">
        <f t="shared" si="33"/>
        <v>0.48269452624677789</v>
      </c>
      <c r="AC231" s="195">
        <f t="shared" si="26"/>
        <v>0.80063913305063439</v>
      </c>
      <c r="AD231">
        <f t="shared" si="27"/>
        <v>54</v>
      </c>
      <c r="AE231" s="195">
        <f t="shared" si="34"/>
        <v>0.12555339448047487</v>
      </c>
      <c r="AF231" s="195">
        <f t="shared" si="35"/>
        <v>9.8659035455426619E-3</v>
      </c>
      <c r="AG231" s="255" t="str">
        <f>IF(ISNUMBER(SEARCH("C",'WetLitterbags placem_collection'!AD158)),"YES","NO")</f>
        <v>YES</v>
      </c>
      <c r="AH231" s="255" t="str">
        <f>IF(ISNUMBER(SEARCH("H", 'WetLitterbags placem_collection'!AD158)),"YES","NO")</f>
        <v>YES</v>
      </c>
      <c r="AI231" s="255" t="str">
        <f>IF(ISNUMBER(SEARCH("R", 'WetLitterbags placem_collection'!AD158)),"YES","NO")</f>
        <v>NO</v>
      </c>
      <c r="AJ231" s="255" t="str">
        <f>IF(ISNUMBER(SEARCH("C", 'WetLitterbags placem_collection'!AC158)),"YES","NO")</f>
        <v>NO</v>
      </c>
      <c r="AK231" s="255" t="str">
        <f>IF(ISNUMBER(SEARCH("H", 'WetLitterbags placem_collection'!AC158)),"YES","NO")</f>
        <v>NO</v>
      </c>
      <c r="AL231" s="255" t="str">
        <f>IF(ISNUMBER(SEARCH("R", 'WetLitterbags placem_collection'!AC158)),"YES","NO")</f>
        <v>NO</v>
      </c>
    </row>
    <row r="232" spans="2:38">
      <c r="B232" t="str">
        <f>'Final data_for_R_analysis_Wetse'!A158</f>
        <v>Wet</v>
      </c>
      <c r="C232" s="263">
        <f>'Final data_for_R_analysis_Wetse'!B158</f>
        <v>157</v>
      </c>
      <c r="D232" t="s">
        <v>3850</v>
      </c>
      <c r="E232" t="s">
        <v>22</v>
      </c>
      <c r="F232" s="387">
        <v>5</v>
      </c>
      <c r="G232" s="16">
        <f>'WetLitterbags placem_collection'!E159</f>
        <v>42762</v>
      </c>
      <c r="H232" t="str">
        <f>'Final data_for_R_analysis_Wetse'!J158</f>
        <v>G890</v>
      </c>
      <c r="I232" t="str">
        <f>'Final data_for_R_analysis_Wetse'!J378</f>
        <v>R30</v>
      </c>
      <c r="J232">
        <f>IFERROR(INDEX('Green_rooibos initial weight'!$C$5:$C$1749,MATCH(H232, 'Green_rooibos initial weight'!$A$5:$A$1749,0)),"")</f>
        <v>1.9930000000000001</v>
      </c>
      <c r="K232">
        <f>IFERROR(INDEX('Green_rooibos initial weight'!$C$5:$C$1749,MATCH(I232, 'Green_rooibos initial weight'!$A$5:$A$1749,0)),"")</f>
        <v>2.177</v>
      </c>
      <c r="L232" s="195">
        <f t="shared" si="28"/>
        <v>1.7432000000000001</v>
      </c>
      <c r="M232" s="195">
        <f>AVERAGE(Ashed_controlls!$K$2:$K$11)</f>
        <v>5.5147656768714146</v>
      </c>
      <c r="N232" s="195">
        <f t="shared" si="24"/>
        <v>1.6470666047207776</v>
      </c>
      <c r="O232" s="195">
        <f t="shared" si="29"/>
        <v>1.9272</v>
      </c>
      <c r="P232" s="195">
        <f>AVERAGE(Ashed_controlls!$K$12:$K$14)</f>
        <v>2.2816647271287041</v>
      </c>
      <c r="Q232" s="195">
        <f t="shared" si="30"/>
        <v>1.8832277573787757</v>
      </c>
      <c r="R232" s="16">
        <f>IF('WetLitterbags placem_collection'!G159="N.A","",'WetLitterbags placem_collection'!G159)</f>
        <v>42816</v>
      </c>
      <c r="S232" s="195">
        <f>IF(IFERROR(INDEX('Both teabags AfterWet'!$C$3:$C$841,MATCH(H232,'Both teabags AfterWet'!$A$3:$A$841,0)),"")="N.A","",(IFERROR(INDEX('Both teabags AfterWet'!$C$3:$C$841,MATCH(H232,'Both teabags AfterWet'!$A$3:$A$841,0)),"")))</f>
        <v>0.74099999999999999</v>
      </c>
      <c r="T232" s="195">
        <f>IFERROR(INDEX('Both teabags AfterWet'!$C$3:$C$841,MATCH(I232,'Both teabags AfterWet'!$A$3:$A$841,0)),"")</f>
        <v>1.825</v>
      </c>
      <c r="U232" s="195">
        <f t="shared" si="31"/>
        <v>0.59040000000000004</v>
      </c>
      <c r="V232" s="195">
        <f t="shared" si="31"/>
        <v>1.6743999999999999</v>
      </c>
      <c r="W232" s="195">
        <f>IFERROR(INDEX('Ashed teabags wet'!$K$2:$K$821,MATCH(H232,'Ashed teabags wet'!$A$2:$A$821,0)),"")</f>
        <v>13.769192669637922</v>
      </c>
      <c r="X232" s="195">
        <f>IFERROR(INDEX('Ashed teabags wet'!$K$2:$K$821,MATCH(I232,'Ashed teabags wet'!$A$2:$A$821,0)),"")</f>
        <v>8.6618004866182261</v>
      </c>
      <c r="Y232" s="195">
        <f t="shared" si="25"/>
        <v>0.50910668647845769</v>
      </c>
      <c r="Z232" s="195">
        <f t="shared" si="25"/>
        <v>1.5293668126520643</v>
      </c>
      <c r="AA232" s="195">
        <f t="shared" si="32"/>
        <v>0.69090097205585377</v>
      </c>
      <c r="AB232" s="195">
        <f t="shared" si="33"/>
        <v>0.45294220495823195</v>
      </c>
      <c r="AC232" s="195">
        <f t="shared" si="26"/>
        <v>0.81209869951192581</v>
      </c>
      <c r="AD232">
        <f t="shared" si="27"/>
        <v>54</v>
      </c>
      <c r="AE232" s="195">
        <f t="shared" si="34"/>
        <v>0.17945252724957983</v>
      </c>
      <c r="AF232" s="195">
        <f t="shared" si="35"/>
        <v>9.9237104426729769E-3</v>
      </c>
      <c r="AG232" s="255" t="str">
        <f>IF(ISNUMBER(SEARCH("C",'WetLitterbags placem_collection'!AD159)),"YES","NO")</f>
        <v>NO</v>
      </c>
      <c r="AH232" s="255" t="str">
        <f>IF(ISNUMBER(SEARCH("H", 'WetLitterbags placem_collection'!AD159)),"YES","NO")</f>
        <v>NO</v>
      </c>
      <c r="AI232" s="255" t="str">
        <f>IF(ISNUMBER(SEARCH("R", 'WetLitterbags placem_collection'!AD159)),"YES","NO")</f>
        <v>NO</v>
      </c>
      <c r="AJ232" s="255" t="str">
        <f>IF(ISNUMBER(SEARCH("C", 'WetLitterbags placem_collection'!AC159)),"YES","NO")</f>
        <v>NO</v>
      </c>
      <c r="AK232" s="255" t="str">
        <f>IF(ISNUMBER(SEARCH("H", 'WetLitterbags placem_collection'!AC159)),"YES","NO")</f>
        <v>NO</v>
      </c>
      <c r="AL232" s="255" t="str">
        <f>IF(ISNUMBER(SEARCH("R", 'WetLitterbags placem_collection'!AC159)),"YES","NO")</f>
        <v>NO</v>
      </c>
    </row>
    <row r="233" spans="2:38">
      <c r="B233" t="str">
        <f>'Final data_for_R_analysis_Wetse'!A159</f>
        <v>Wet</v>
      </c>
      <c r="C233" s="263">
        <f>'Final data_for_R_analysis_Wetse'!B159</f>
        <v>158</v>
      </c>
      <c r="D233" t="s">
        <v>3850</v>
      </c>
      <c r="E233" t="s">
        <v>22</v>
      </c>
      <c r="F233" s="387">
        <v>6</v>
      </c>
      <c r="G233" s="16">
        <f>'WetLitterbags placem_collection'!E160</f>
        <v>42762</v>
      </c>
      <c r="H233" t="str">
        <f>'Final data_for_R_analysis_Wetse'!J159</f>
        <v>G576</v>
      </c>
      <c r="I233" t="str">
        <f>'Final data_for_R_analysis_Wetse'!J379</f>
        <v>R16</v>
      </c>
      <c r="J233">
        <f>IFERROR(INDEX('Green_rooibos initial weight'!$C$5:$C$1749,MATCH(H233, 'Green_rooibos initial weight'!$A$5:$A$1749,0)),"")</f>
        <v>2.056</v>
      </c>
      <c r="K233">
        <f>IFERROR(INDEX('Green_rooibos initial weight'!$C$5:$C$1749,MATCH(I233, 'Green_rooibos initial weight'!$A$5:$A$1749,0)),"")</f>
        <v>2.2629999999999999</v>
      </c>
      <c r="L233" s="195">
        <f t="shared" si="28"/>
        <v>1.8062</v>
      </c>
      <c r="M233" s="195">
        <f>AVERAGE(Ashed_controlls!$K$2:$K$11)</f>
        <v>5.5147656768714146</v>
      </c>
      <c r="N233" s="195">
        <f t="shared" si="24"/>
        <v>1.7065923023443486</v>
      </c>
      <c r="O233" s="195">
        <f t="shared" si="29"/>
        <v>2.0131999999999999</v>
      </c>
      <c r="P233" s="195">
        <f>AVERAGE(Ashed_controlls!$K$12:$K$14)</f>
        <v>2.2816647271287041</v>
      </c>
      <c r="Q233" s="195">
        <f t="shared" si="30"/>
        <v>1.9672655257134448</v>
      </c>
      <c r="R233" s="16">
        <f>IF('WetLitterbags placem_collection'!G160="N.A","",'WetLitterbags placem_collection'!G160)</f>
        <v>42816</v>
      </c>
      <c r="S233" s="195">
        <f>IF(IFERROR(INDEX('Both teabags AfterWet'!$C$3:$C$841,MATCH(H233,'Both teabags AfterWet'!$A$3:$A$841,0)),"")="N.A","",(IFERROR(INDEX('Both teabags AfterWet'!$C$3:$C$841,MATCH(H233,'Both teabags AfterWet'!$A$3:$A$841,0)),"")))</f>
        <v>0.26600000000000001</v>
      </c>
      <c r="T233" s="195">
        <f>IFERROR(INDEX('Both teabags AfterWet'!$C$3:$C$841,MATCH(I233,'Both teabags AfterWet'!$A$3:$A$841,0)),"")</f>
        <v>1.786</v>
      </c>
      <c r="U233" s="195">
        <f t="shared" si="31"/>
        <v>0.1154</v>
      </c>
      <c r="V233" s="195">
        <f t="shared" si="31"/>
        <v>1.6354</v>
      </c>
      <c r="W233" s="195" t="str">
        <f>IFERROR(INDEX('Ashed teabags wet'!$K$2:$K$821,MATCH(H233,'Ashed teabags wet'!$A$2:$A$821,0)),"")</f>
        <v/>
      </c>
      <c r="X233" s="195">
        <f>IFERROR(INDEX('Ashed teabags wet'!$K$2:$K$821,MATCH(I233,'Ashed teabags wet'!$A$2:$A$821,0)),"")</f>
        <v>4.8505634492893828</v>
      </c>
      <c r="Y233" s="195" t="str">
        <f t="shared" si="25"/>
        <v/>
      </c>
      <c r="Z233" s="195">
        <f t="shared" si="25"/>
        <v>1.5560738853503213</v>
      </c>
      <c r="AA233" s="195" t="str">
        <f t="shared" si="32"/>
        <v/>
      </c>
      <c r="AB233" s="195" t="str">
        <f t="shared" si="33"/>
        <v/>
      </c>
      <c r="AC233" s="195">
        <f t="shared" si="26"/>
        <v>0.79098315149196674</v>
      </c>
      <c r="AD233">
        <f t="shared" si="27"/>
        <v>54</v>
      </c>
      <c r="AE233" s="195" t="str">
        <f t="shared" si="34"/>
        <v/>
      </c>
      <c r="AF233" s="195" t="str">
        <f t="shared" si="35"/>
        <v/>
      </c>
      <c r="AG233" s="255" t="str">
        <f>IF(ISNUMBER(SEARCH("C",'WetLitterbags placem_collection'!AD160)),"YES","NO")</f>
        <v>NO</v>
      </c>
      <c r="AH233" s="255" t="str">
        <f>IF(ISNUMBER(SEARCH("H", 'WetLitterbags placem_collection'!AD160)),"YES","NO")</f>
        <v>NO</v>
      </c>
      <c r="AI233" s="255" t="str">
        <f>IF(ISNUMBER(SEARCH("R", 'WetLitterbags placem_collection'!AD160)),"YES","NO")</f>
        <v>NO</v>
      </c>
      <c r="AJ233" s="255" t="str">
        <f>IF(ISNUMBER(SEARCH("C", 'WetLitterbags placem_collection'!AC160)),"YES","NO")</f>
        <v>NO</v>
      </c>
      <c r="AK233" s="255" t="str">
        <f>IF(ISNUMBER(SEARCH("H", 'WetLitterbags placem_collection'!AC160)),"YES","NO")</f>
        <v>NO</v>
      </c>
      <c r="AL233" s="255" t="str">
        <f>IF(ISNUMBER(SEARCH("R", 'WetLitterbags placem_collection'!AC160)),"YES","NO")</f>
        <v>NO</v>
      </c>
    </row>
    <row r="234" spans="2:38">
      <c r="B234" t="str">
        <f>'Final data_for_R_analysis_Wetse'!A160</f>
        <v>Wet</v>
      </c>
      <c r="C234" s="263">
        <f>'Final data_for_R_analysis_Wetse'!B160</f>
        <v>159</v>
      </c>
      <c r="D234" t="s">
        <v>3850</v>
      </c>
      <c r="E234" t="s">
        <v>22</v>
      </c>
      <c r="F234" s="387">
        <v>7</v>
      </c>
      <c r="G234" s="16">
        <f>'WetLitterbags placem_collection'!E161</f>
        <v>42762</v>
      </c>
      <c r="H234" t="str">
        <f>'Final data_for_R_analysis_Wetse'!J160</f>
        <v>G829</v>
      </c>
      <c r="I234" t="str">
        <f>'Final data_for_R_analysis_Wetse'!J380</f>
        <v>R499</v>
      </c>
      <c r="J234">
        <f>IFERROR(INDEX('Green_rooibos initial weight'!$C$5:$C$1749,MATCH(H234, 'Green_rooibos initial weight'!$A$5:$A$1749,0)),"")</f>
        <v>1.9610000000000001</v>
      </c>
      <c r="K234">
        <f>IFERROR(INDEX('Green_rooibos initial weight'!$C$5:$C$1749,MATCH(I234, 'Green_rooibos initial weight'!$A$5:$A$1749,0)),"")</f>
        <v>2.194</v>
      </c>
      <c r="L234" s="195">
        <f t="shared" si="28"/>
        <v>1.7112000000000001</v>
      </c>
      <c r="M234" s="195">
        <f>AVERAGE(Ashed_controlls!$K$2:$K$11)</f>
        <v>5.5147656768714146</v>
      </c>
      <c r="N234" s="195">
        <f t="shared" si="24"/>
        <v>1.6168313297373764</v>
      </c>
      <c r="O234" s="195">
        <f t="shared" si="29"/>
        <v>1.9441999999999999</v>
      </c>
      <c r="P234" s="195">
        <f>AVERAGE(Ashed_controlls!$K$12:$K$14)</f>
        <v>2.2816647271287041</v>
      </c>
      <c r="Q234" s="195">
        <f t="shared" si="30"/>
        <v>1.8998398743751637</v>
      </c>
      <c r="R234" s="16">
        <f>IF('WetLitterbags placem_collection'!G161="N.A","",'WetLitterbags placem_collection'!G161)</f>
        <v>42816</v>
      </c>
      <c r="S234" s="195">
        <f>IF(IFERROR(INDEX('Both teabags AfterWet'!$C$3:$C$841,MATCH(H234,'Both teabags AfterWet'!$A$3:$A$841,0)),"")="N.A","",(IFERROR(INDEX('Both teabags AfterWet'!$C$3:$C$841,MATCH(H234,'Both teabags AfterWet'!$A$3:$A$841,0)),"")))</f>
        <v>0.56499999999999995</v>
      </c>
      <c r="T234" s="195" t="str">
        <f>IFERROR(INDEX('Both teabags AfterWet'!$C$3:$C$841,MATCH(I234,'Both teabags AfterWet'!$A$3:$A$841,0)),"")</f>
        <v/>
      </c>
      <c r="U234" s="195">
        <f t="shared" si="31"/>
        <v>0.41439999999999994</v>
      </c>
      <c r="V234" s="195" t="str">
        <f t="shared" si="31"/>
        <v/>
      </c>
      <c r="W234" s="195" t="str">
        <f>IFERROR(INDEX('Ashed teabags wet'!$K$2:$K$821,MATCH(H234,'Ashed teabags wet'!$A$2:$A$821,0)),"")</f>
        <v/>
      </c>
      <c r="X234" s="195" t="str">
        <f>IFERROR(INDEX('Ashed teabags wet'!$K$2:$K$821,MATCH(I234,'Ashed teabags wet'!$A$2:$A$821,0)),"")</f>
        <v/>
      </c>
      <c r="Y234" s="195" t="str">
        <f t="shared" si="25"/>
        <v/>
      </c>
      <c r="Z234" s="195" t="str">
        <f t="shared" si="25"/>
        <v/>
      </c>
      <c r="AA234" s="195" t="str">
        <f t="shared" si="32"/>
        <v/>
      </c>
      <c r="AB234" s="195" t="str">
        <f t="shared" si="33"/>
        <v/>
      </c>
      <c r="AC234" s="195" t="str">
        <f t="shared" si="26"/>
        <v/>
      </c>
      <c r="AD234">
        <f t="shared" si="27"/>
        <v>54</v>
      </c>
      <c r="AE234" s="195" t="str">
        <f t="shared" si="34"/>
        <v/>
      </c>
      <c r="AF234" s="195" t="str">
        <f t="shared" si="35"/>
        <v/>
      </c>
      <c r="AG234" s="255" t="str">
        <f>IF(ISNUMBER(SEARCH("C",'WetLitterbags placem_collection'!AD161)),"YES","NO")</f>
        <v>NO</v>
      </c>
      <c r="AH234" s="255" t="str">
        <f>IF(ISNUMBER(SEARCH("H", 'WetLitterbags placem_collection'!AD161)),"YES","NO")</f>
        <v>NO</v>
      </c>
      <c r="AI234" s="255" t="str">
        <f>IF(ISNUMBER(SEARCH("R", 'WetLitterbags placem_collection'!AD161)),"YES","NO")</f>
        <v>NO</v>
      </c>
      <c r="AJ234" s="255" t="str">
        <f>IF(ISNUMBER(SEARCH("C", 'WetLitterbags placem_collection'!AC161)),"YES","NO")</f>
        <v>NO</v>
      </c>
      <c r="AK234" s="255" t="str">
        <f>IF(ISNUMBER(SEARCH("H", 'WetLitterbags placem_collection'!AC161)),"YES","NO")</f>
        <v>NO</v>
      </c>
      <c r="AL234" s="255" t="str">
        <f>IF(ISNUMBER(SEARCH("R", 'WetLitterbags placem_collection'!AC161)),"YES","NO")</f>
        <v>NO</v>
      </c>
    </row>
    <row r="235" spans="2:38">
      <c r="B235" t="str">
        <f>'Final data_for_R_analysis_Wetse'!A161</f>
        <v>Wet</v>
      </c>
      <c r="C235" s="263">
        <f>'Final data_for_R_analysis_Wetse'!B161</f>
        <v>160</v>
      </c>
      <c r="D235" t="s">
        <v>3850</v>
      </c>
      <c r="E235" t="s">
        <v>22</v>
      </c>
      <c r="F235" s="387">
        <v>8</v>
      </c>
      <c r="G235" s="16">
        <f>'WetLitterbags placem_collection'!E162</f>
        <v>42762</v>
      </c>
      <c r="H235" t="str">
        <f>'Final data_for_R_analysis_Wetse'!J161</f>
        <v>G809</v>
      </c>
      <c r="I235" t="str">
        <f>'Final data_for_R_analysis_Wetse'!J381</f>
        <v>R421</v>
      </c>
      <c r="J235">
        <f>IFERROR(INDEX('Green_rooibos initial weight'!$C$5:$C$1749,MATCH(H235, 'Green_rooibos initial weight'!$A$5:$A$1749,0)),"")</f>
        <v>1.9279999999999999</v>
      </c>
      <c r="K235">
        <f>IFERROR(INDEX('Green_rooibos initial weight'!$C$5:$C$1749,MATCH(I235, 'Green_rooibos initial weight'!$A$5:$A$1749,0)),"")</f>
        <v>2.2170000000000001</v>
      </c>
      <c r="L235" s="195">
        <f t="shared" si="28"/>
        <v>1.6781999999999999</v>
      </c>
      <c r="M235" s="195">
        <f>AVERAGE(Ashed_controlls!$K$2:$K$11)</f>
        <v>5.5147656768714146</v>
      </c>
      <c r="N235" s="195">
        <f t="shared" si="24"/>
        <v>1.5856512024107439</v>
      </c>
      <c r="O235" s="195">
        <f t="shared" si="29"/>
        <v>1.9672000000000001</v>
      </c>
      <c r="P235" s="195">
        <f>AVERAGE(Ashed_controlls!$K$12:$K$14)</f>
        <v>2.2816647271287041</v>
      </c>
      <c r="Q235" s="195">
        <f t="shared" si="30"/>
        <v>1.9223150914879241</v>
      </c>
      <c r="R235" s="16">
        <f>IF('WetLitterbags placem_collection'!G162="N.A","",'WetLitterbags placem_collection'!G162)</f>
        <v>42816</v>
      </c>
      <c r="S235" s="195">
        <f>IF(IFERROR(INDEX('Both teabags AfterWet'!$C$3:$C$841,MATCH(H235,'Both teabags AfterWet'!$A$3:$A$841,0)),"")="N.A","",(IFERROR(INDEX('Both teabags AfterWet'!$C$3:$C$841,MATCH(H235,'Both teabags AfterWet'!$A$3:$A$841,0)),"")))</f>
        <v>0.72</v>
      </c>
      <c r="T235" s="195">
        <f>IFERROR(INDEX('Both teabags AfterWet'!$C$3:$C$841,MATCH(I235,'Both teabags AfterWet'!$A$3:$A$841,0)),"")</f>
        <v>1.744</v>
      </c>
      <c r="U235" s="195">
        <f t="shared" si="31"/>
        <v>0.56939999999999991</v>
      </c>
      <c r="V235" s="195">
        <f t="shared" si="31"/>
        <v>1.5933999999999999</v>
      </c>
      <c r="W235" s="195">
        <f>IFERROR(INDEX('Ashed teabags wet'!$K$2:$K$821,MATCH(H235,'Ashed teabags wet'!$A$2:$A$821,0)),"")</f>
        <v>14.278846153846089</v>
      </c>
      <c r="X235" s="195">
        <f>IFERROR(INDEX('Ashed teabags wet'!$K$2:$K$821,MATCH(I235,'Ashed teabags wet'!$A$2:$A$821,0)),"")</f>
        <v>4.8926610084872157</v>
      </c>
      <c r="Y235" s="195">
        <f t="shared" si="25"/>
        <v>0.48809625000000029</v>
      </c>
      <c r="Z235" s="195">
        <f t="shared" si="25"/>
        <v>1.5154403394907647</v>
      </c>
      <c r="AA235" s="195">
        <f t="shared" si="32"/>
        <v>0.69217930825018548</v>
      </c>
      <c r="AB235" s="195">
        <f t="shared" si="33"/>
        <v>0.45378025909038294</v>
      </c>
      <c r="AC235" s="195">
        <f t="shared" si="26"/>
        <v>0.78834127984594493</v>
      </c>
      <c r="AD235">
        <f t="shared" si="27"/>
        <v>54</v>
      </c>
      <c r="AE235" s="195">
        <f t="shared" si="34"/>
        <v>0.17793431324205999</v>
      </c>
      <c r="AF235" s="195">
        <f t="shared" si="35"/>
        <v>1.1632837832659972E-2</v>
      </c>
      <c r="AG235" s="255" t="str">
        <f>IF(ISNUMBER(SEARCH("C",'WetLitterbags placem_collection'!AD162)),"YES","NO")</f>
        <v>NO</v>
      </c>
      <c r="AH235" s="255" t="str">
        <f>IF(ISNUMBER(SEARCH("H", 'WetLitterbags placem_collection'!AD162)),"YES","NO")</f>
        <v>NO</v>
      </c>
      <c r="AI235" s="255" t="str">
        <f>IF(ISNUMBER(SEARCH("R", 'WetLitterbags placem_collection'!AD162)),"YES","NO")</f>
        <v>NO</v>
      </c>
      <c r="AJ235" s="255" t="str">
        <f>IF(ISNUMBER(SEARCH("C", 'WetLitterbags placem_collection'!AC162)),"YES","NO")</f>
        <v>NO</v>
      </c>
      <c r="AK235" s="255" t="str">
        <f>IF(ISNUMBER(SEARCH("H", 'WetLitterbags placem_collection'!AC162)),"YES","NO")</f>
        <v>NO</v>
      </c>
      <c r="AL235" s="255" t="str">
        <f>IF(ISNUMBER(SEARCH("R", 'WetLitterbags placem_collection'!AC162)),"YES","NO")</f>
        <v>NO</v>
      </c>
    </row>
    <row r="236" spans="2:38">
      <c r="B236" t="str">
        <f>'Final data_for_R_analysis_Wetse'!A162</f>
        <v>Wet</v>
      </c>
      <c r="C236" s="263">
        <f>'Final data_for_R_analysis_Wetse'!B162</f>
        <v>161</v>
      </c>
      <c r="D236" t="s">
        <v>3851</v>
      </c>
      <c r="E236" t="s">
        <v>22</v>
      </c>
      <c r="F236" s="386">
        <v>1</v>
      </c>
      <c r="G236" s="16">
        <f>'WetLitterbags placem_collection'!E163</f>
        <v>42763</v>
      </c>
      <c r="H236" t="str">
        <f>'Final data_for_R_analysis_Wetse'!J162</f>
        <v>G252</v>
      </c>
      <c r="I236" t="str">
        <f>'Final data_for_R_analysis_Wetse'!J382</f>
        <v>R124</v>
      </c>
      <c r="J236">
        <f>IFERROR(INDEX('Green_rooibos initial weight'!$C$5:$C$1749,MATCH(H236, 'Green_rooibos initial weight'!$A$5:$A$1749,0)),"")</f>
        <v>2.0190000000000001</v>
      </c>
      <c r="K236">
        <f>IFERROR(INDEX('Green_rooibos initial weight'!$C$5:$C$1749,MATCH(I236, 'Green_rooibos initial weight'!$A$5:$A$1749,0)),"")</f>
        <v>2.2120000000000002</v>
      </c>
      <c r="L236" s="195">
        <f t="shared" si="28"/>
        <v>1.7692000000000001</v>
      </c>
      <c r="M236" s="195">
        <f>AVERAGE(Ashed_controlls!$K$2:$K$11)</f>
        <v>5.5147656768714146</v>
      </c>
      <c r="N236" s="195">
        <f t="shared" si="24"/>
        <v>1.6716327656447911</v>
      </c>
      <c r="O236" s="195">
        <f t="shared" si="29"/>
        <v>1.9622000000000002</v>
      </c>
      <c r="P236" s="195">
        <f>AVERAGE(Ashed_controlls!$K$12:$K$14)</f>
        <v>2.2816647271287041</v>
      </c>
      <c r="Q236" s="195">
        <f t="shared" si="30"/>
        <v>1.9174291747242806</v>
      </c>
      <c r="R236" s="16">
        <f>IF('WetLitterbags placem_collection'!G163="N.A","",'WetLitterbags placem_collection'!G163)</f>
        <v>42814</v>
      </c>
      <c r="S236" s="195" t="str">
        <f>IF(IFERROR(INDEX('Both teabags AfterWet'!$C$3:$C$841,MATCH(H236,'Both teabags AfterWet'!$A$3:$A$841,0)),"")="N.A","",(IFERROR(INDEX('Both teabags AfterWet'!$C$3:$C$841,MATCH(H236,'Both teabags AfterWet'!$A$3:$A$841,0)),"")))</f>
        <v/>
      </c>
      <c r="T236" s="195">
        <f>IFERROR(INDEX('Both teabags AfterWet'!$C$3:$C$841,MATCH(I236,'Both teabags AfterWet'!$A$3:$A$841,0)),"")</f>
        <v>1.6863999999999999</v>
      </c>
      <c r="U236" s="195" t="str">
        <f t="shared" si="31"/>
        <v/>
      </c>
      <c r="V236" s="195">
        <f t="shared" si="31"/>
        <v>1.5357999999999998</v>
      </c>
      <c r="W236" s="195" t="str">
        <f>IFERROR(INDEX('Ashed teabags wet'!$K$2:$K$821,MATCH(H236,'Ashed teabags wet'!$A$2:$A$821,0)),"")</f>
        <v/>
      </c>
      <c r="X236" s="195">
        <f>IFERROR(INDEX('Ashed teabags wet'!$K$2:$K$821,MATCH(I236,'Ashed teabags wet'!$A$2:$A$821,0)),"")</f>
        <v>1.0140028971511033</v>
      </c>
      <c r="Y236" s="195" t="str">
        <f t="shared" si="25"/>
        <v/>
      </c>
      <c r="Z236" s="195">
        <f t="shared" si="25"/>
        <v>1.5202269435055531</v>
      </c>
      <c r="AA236" s="195" t="str">
        <f t="shared" si="32"/>
        <v/>
      </c>
      <c r="AB236" s="195" t="str">
        <f t="shared" si="33"/>
        <v/>
      </c>
      <c r="AC236" s="195">
        <f t="shared" si="26"/>
        <v>0.79284646522819091</v>
      </c>
      <c r="AD236">
        <f t="shared" si="27"/>
        <v>51</v>
      </c>
      <c r="AE236" s="195" t="str">
        <f t="shared" si="34"/>
        <v/>
      </c>
      <c r="AF236" s="195" t="str">
        <f t="shared" si="35"/>
        <v/>
      </c>
      <c r="AG236" s="255" t="str">
        <f>IF(ISNUMBER(SEARCH("C",'WetLitterbags placem_collection'!AD163)),"YES","NO")</f>
        <v>NO</v>
      </c>
      <c r="AH236" s="255" t="str">
        <f>IF(ISNUMBER(SEARCH("H", 'WetLitterbags placem_collection'!AD163)),"YES","NO")</f>
        <v>NO</v>
      </c>
      <c r="AI236" s="255" t="str">
        <f>IF(ISNUMBER(SEARCH("R", 'WetLitterbags placem_collection'!AD163)),"YES","NO")</f>
        <v>NO</v>
      </c>
      <c r="AJ236" s="255" t="str">
        <f>IF(ISNUMBER(SEARCH("C", 'WetLitterbags placem_collection'!AC163)),"YES","NO")</f>
        <v>NO</v>
      </c>
      <c r="AK236" s="255" t="str">
        <f>IF(ISNUMBER(SEARCH("H", 'WetLitterbags placem_collection'!AC163)),"YES","NO")</f>
        <v>NO</v>
      </c>
      <c r="AL236" s="255" t="str">
        <f>IF(ISNUMBER(SEARCH("R", 'WetLitterbags placem_collection'!AC163)),"YES","NO")</f>
        <v>NO</v>
      </c>
    </row>
    <row r="237" spans="2:38">
      <c r="B237" t="str">
        <f>'Final data_for_R_analysis_Wetse'!A163</f>
        <v>Wet</v>
      </c>
      <c r="C237" s="263">
        <f>'Final data_for_R_analysis_Wetse'!B163</f>
        <v>162</v>
      </c>
      <c r="D237" t="s">
        <v>3851</v>
      </c>
      <c r="E237" t="s">
        <v>22</v>
      </c>
      <c r="F237" s="386">
        <v>2</v>
      </c>
      <c r="G237" s="16">
        <f>'WetLitterbags placem_collection'!E164</f>
        <v>42763</v>
      </c>
      <c r="H237" t="str">
        <f>'Final data_for_R_analysis_Wetse'!J163</f>
        <v>G385</v>
      </c>
      <c r="I237" t="str">
        <f>'Final data_for_R_analysis_Wetse'!J383</f>
        <v>R202</v>
      </c>
      <c r="J237">
        <f>IFERROR(INDEX('Green_rooibos initial weight'!$C$5:$C$1749,MATCH(H237, 'Green_rooibos initial weight'!$A$5:$A$1749,0)),"")</f>
        <v>1.962</v>
      </c>
      <c r="K237">
        <f>IFERROR(INDEX('Green_rooibos initial weight'!$C$5:$C$1749,MATCH(I237, 'Green_rooibos initial weight'!$A$5:$A$1749,0)),"")</f>
        <v>2.298</v>
      </c>
      <c r="L237" s="195">
        <f t="shared" si="28"/>
        <v>1.7121999999999999</v>
      </c>
      <c r="M237" s="195">
        <f>AVERAGE(Ashed_controlls!$K$2:$K$11)</f>
        <v>5.5147656768714146</v>
      </c>
      <c r="N237" s="195">
        <f t="shared" si="24"/>
        <v>1.6177761820806076</v>
      </c>
      <c r="O237" s="195">
        <f t="shared" si="29"/>
        <v>2.0482</v>
      </c>
      <c r="P237" s="195">
        <f>AVERAGE(Ashed_controlls!$K$12:$K$14)</f>
        <v>2.2816647271287041</v>
      </c>
      <c r="Q237" s="195">
        <f t="shared" si="30"/>
        <v>2.0014669430589498</v>
      </c>
      <c r="R237" s="16">
        <f>IF('WetLitterbags placem_collection'!G164="N.A","",'WetLitterbags placem_collection'!G164)</f>
        <v>42814</v>
      </c>
      <c r="S237" s="195">
        <f>IF(IFERROR(INDEX('Both teabags AfterWet'!$C$3:$C$841,MATCH(H237,'Both teabags AfterWet'!$A$3:$A$841,0)),"")="N.A","",(IFERROR(INDEX('Both teabags AfterWet'!$C$3:$C$841,MATCH(H237,'Both teabags AfterWet'!$A$3:$A$841,0)),"")))</f>
        <v>0.62280000000000002</v>
      </c>
      <c r="T237" s="195">
        <f>IFERROR(INDEX('Both teabags AfterWet'!$C$3:$C$841,MATCH(I237,'Both teabags AfterWet'!$A$3:$A$841,0)),"")</f>
        <v>0.52</v>
      </c>
      <c r="U237" s="195">
        <f t="shared" si="31"/>
        <v>0.47220000000000001</v>
      </c>
      <c r="V237" s="195">
        <f t="shared" si="31"/>
        <v>0.36940000000000001</v>
      </c>
      <c r="W237" s="195">
        <f>IFERROR(INDEX('Ashed teabags wet'!$K$2:$K$821,MATCH(H237,'Ashed teabags wet'!$A$2:$A$821,0)),"")</f>
        <v>8.5545722713864567</v>
      </c>
      <c r="X237" s="195">
        <f>IFERROR(INDEX('Ashed teabags wet'!$K$2:$K$821,MATCH(I237,'Ashed teabags wet'!$A$2:$A$821,0)),"")</f>
        <v>79.460269865066508</v>
      </c>
      <c r="Y237" s="195">
        <f t="shared" si="25"/>
        <v>0.43180530973451314</v>
      </c>
      <c r="Z237" s="195">
        <f t="shared" si="25"/>
        <v>7.5873763118444293E-2</v>
      </c>
      <c r="AA237" s="195">
        <f t="shared" si="32"/>
        <v>0.73308711395468062</v>
      </c>
      <c r="AB237" s="195">
        <f t="shared" si="33"/>
        <v>0.4805986780320472</v>
      </c>
      <c r="AC237" s="195">
        <f t="shared" si="26"/>
        <v>3.7909076331024652E-2</v>
      </c>
      <c r="AD237">
        <f t="shared" si="27"/>
        <v>51</v>
      </c>
      <c r="AE237" s="195">
        <f t="shared" si="34"/>
        <v>0.12935022095643633</v>
      </c>
      <c r="AF237" s="195" t="str">
        <f t="shared" si="35"/>
        <v/>
      </c>
      <c r="AG237" s="255" t="str">
        <f>IF(ISNUMBER(SEARCH("C",'WetLitterbags placem_collection'!AD164)),"YES","NO")</f>
        <v>NO</v>
      </c>
      <c r="AH237" s="255" t="str">
        <f>IF(ISNUMBER(SEARCH("H", 'WetLitterbags placem_collection'!AD164)),"YES","NO")</f>
        <v>NO</v>
      </c>
      <c r="AI237" s="255" t="str">
        <f>IF(ISNUMBER(SEARCH("R", 'WetLitterbags placem_collection'!AD164)),"YES","NO")</f>
        <v>NO</v>
      </c>
      <c r="AJ237" s="255" t="str">
        <f>IF(ISNUMBER(SEARCH("C", 'WetLitterbags placem_collection'!AC164)),"YES","NO")</f>
        <v>NO</v>
      </c>
      <c r="AK237" s="255" t="str">
        <f>IF(ISNUMBER(SEARCH("H", 'WetLitterbags placem_collection'!AC164)),"YES","NO")</f>
        <v>NO</v>
      </c>
      <c r="AL237" s="255" t="str">
        <f>IF(ISNUMBER(SEARCH("R", 'WetLitterbags placem_collection'!AC164)),"YES","NO")</f>
        <v>NO</v>
      </c>
    </row>
    <row r="238" spans="2:38">
      <c r="B238" t="str">
        <f>'Final data_for_R_analysis_Wetse'!A164</f>
        <v>Wet</v>
      </c>
      <c r="C238" s="263">
        <f>'Final data_for_R_analysis_Wetse'!B164</f>
        <v>163</v>
      </c>
      <c r="D238" t="s">
        <v>3851</v>
      </c>
      <c r="E238" t="s">
        <v>22</v>
      </c>
      <c r="F238" s="386">
        <v>3</v>
      </c>
      <c r="G238" s="16">
        <f>'WetLitterbags placem_collection'!E165</f>
        <v>42763</v>
      </c>
      <c r="H238" t="str">
        <f>'Final data_for_R_analysis_Wetse'!J164</f>
        <v>G202</v>
      </c>
      <c r="I238" t="str">
        <f>'Final data_for_R_analysis_Wetse'!J384</f>
        <v>R96</v>
      </c>
      <c r="J238">
        <f>IFERROR(INDEX('Green_rooibos initial weight'!$C$5:$C$1749,MATCH(H238, 'Green_rooibos initial weight'!$A$5:$A$1749,0)),"")</f>
        <v>1.986</v>
      </c>
      <c r="K238">
        <f>IFERROR(INDEX('Green_rooibos initial weight'!$C$5:$C$1749,MATCH(I238, 'Green_rooibos initial weight'!$A$5:$A$1749,0)),"")</f>
        <v>2.2309999999999999</v>
      </c>
      <c r="L238" s="195">
        <f t="shared" si="28"/>
        <v>1.7362</v>
      </c>
      <c r="M238" s="195">
        <f>AVERAGE(Ashed_controlls!$K$2:$K$11)</f>
        <v>5.5147656768714146</v>
      </c>
      <c r="N238" s="195">
        <f t="shared" si="24"/>
        <v>1.6404526383181586</v>
      </c>
      <c r="O238" s="195">
        <f t="shared" si="29"/>
        <v>1.9811999999999999</v>
      </c>
      <c r="P238" s="195">
        <f>AVERAGE(Ashed_controlls!$K$12:$K$14)</f>
        <v>2.2816647271287041</v>
      </c>
      <c r="Q238" s="195">
        <f t="shared" si="30"/>
        <v>1.935995658426126</v>
      </c>
      <c r="R238" s="16">
        <f>IF('WetLitterbags placem_collection'!G165="N.A","",'WetLitterbags placem_collection'!G165)</f>
        <v>42814</v>
      </c>
      <c r="S238" s="195">
        <f>IF(IFERROR(INDEX('Both teabags AfterWet'!$C$3:$C$841,MATCH(H238,'Both teabags AfterWet'!$A$3:$A$841,0)),"")="N.A","",(IFERROR(INDEX('Both teabags AfterWet'!$C$3:$C$841,MATCH(H238,'Both teabags AfterWet'!$A$3:$A$841,0)),"")))</f>
        <v>0.64500000000000002</v>
      </c>
      <c r="T238" s="195">
        <f>IFERROR(INDEX('Both teabags AfterWet'!$C$3:$C$841,MATCH(I238,'Both teabags AfterWet'!$A$3:$A$841,0)),"")</f>
        <v>1.696</v>
      </c>
      <c r="U238" s="195">
        <f t="shared" si="31"/>
        <v>0.49440000000000001</v>
      </c>
      <c r="V238" s="195">
        <f t="shared" si="31"/>
        <v>1.5453999999999999</v>
      </c>
      <c r="W238" s="195">
        <f>IFERROR(INDEX('Ashed teabags wet'!$K$2:$K$821,MATCH(H238,'Ashed teabags wet'!$A$2:$A$821,0)),"")</f>
        <v>9.4152626362733951</v>
      </c>
      <c r="X238" s="195">
        <f>IFERROR(INDEX('Ashed teabags wet'!$K$2:$K$821,MATCH(I238,'Ashed teabags wet'!$A$2:$A$821,0)),"")</f>
        <v>2.3336643495531879</v>
      </c>
      <c r="Y238" s="195">
        <f t="shared" si="25"/>
        <v>0.44785094152626437</v>
      </c>
      <c r="Z238" s="195">
        <f t="shared" si="25"/>
        <v>1.509335551142005</v>
      </c>
      <c r="AA238" s="195">
        <f t="shared" si="32"/>
        <v>0.72699550656615441</v>
      </c>
      <c r="AB238" s="195">
        <f t="shared" si="33"/>
        <v>0.47660513019538869</v>
      </c>
      <c r="AC238" s="195">
        <f t="shared" si="26"/>
        <v>0.77961721896061709</v>
      </c>
      <c r="AD238">
        <f t="shared" si="27"/>
        <v>51</v>
      </c>
      <c r="AE238" s="195">
        <f t="shared" si="34"/>
        <v>0.13658490906632492</v>
      </c>
      <c r="AF238" s="195">
        <f t="shared" si="35"/>
        <v>1.2169464899257612E-2</v>
      </c>
      <c r="AG238" s="255" t="str">
        <f>IF(ISNUMBER(SEARCH("C",'WetLitterbags placem_collection'!AD165)),"YES","NO")</f>
        <v>NO</v>
      </c>
      <c r="AH238" s="255" t="str">
        <f>IF(ISNUMBER(SEARCH("H", 'WetLitterbags placem_collection'!AD165)),"YES","NO")</f>
        <v>NO</v>
      </c>
      <c r="AI238" s="255" t="str">
        <f>IF(ISNUMBER(SEARCH("R", 'WetLitterbags placem_collection'!AD165)),"YES","NO")</f>
        <v>NO</v>
      </c>
      <c r="AJ238" s="255" t="str">
        <f>IF(ISNUMBER(SEARCH("C", 'WetLitterbags placem_collection'!AC165)),"YES","NO")</f>
        <v>NO</v>
      </c>
      <c r="AK238" s="255" t="str">
        <f>IF(ISNUMBER(SEARCH("H", 'WetLitterbags placem_collection'!AC165)),"YES","NO")</f>
        <v>NO</v>
      </c>
      <c r="AL238" s="255" t="str">
        <f>IF(ISNUMBER(SEARCH("R", 'WetLitterbags placem_collection'!AC165)),"YES","NO")</f>
        <v>NO</v>
      </c>
    </row>
    <row r="239" spans="2:38">
      <c r="B239" t="str">
        <f>'Final data_for_R_analysis_Wetse'!A165</f>
        <v>Wet</v>
      </c>
      <c r="C239" s="263">
        <f>'Final data_for_R_analysis_Wetse'!B165</f>
        <v>164</v>
      </c>
      <c r="D239" t="s">
        <v>3851</v>
      </c>
      <c r="E239" t="s">
        <v>22</v>
      </c>
      <c r="F239" s="387">
        <v>4</v>
      </c>
      <c r="G239" s="16">
        <f>'WetLitterbags placem_collection'!E166</f>
        <v>42763</v>
      </c>
      <c r="H239" t="str">
        <f>'Final data_for_R_analysis_Wetse'!J165</f>
        <v>G686</v>
      </c>
      <c r="I239" t="str">
        <f>'Final data_for_R_analysis_Wetse'!J385</f>
        <v>R317</v>
      </c>
      <c r="J239">
        <f>IFERROR(INDEX('Green_rooibos initial weight'!$C$5:$C$1749,MATCH(H239, 'Green_rooibos initial weight'!$A$5:$A$1749,0)),"")</f>
        <v>1.9510000000000001</v>
      </c>
      <c r="K239">
        <f>IFERROR(INDEX('Green_rooibos initial weight'!$C$5:$C$1749,MATCH(I239, 'Green_rooibos initial weight'!$A$5:$A$1749,0)),"")</f>
        <v>2.2240000000000002</v>
      </c>
      <c r="L239" s="195">
        <f t="shared" si="28"/>
        <v>1.7012</v>
      </c>
      <c r="M239" s="195">
        <f>AVERAGE(Ashed_controlls!$K$2:$K$11)</f>
        <v>5.5147656768714146</v>
      </c>
      <c r="N239" s="195">
        <f t="shared" si="24"/>
        <v>1.6073828063050635</v>
      </c>
      <c r="O239" s="195">
        <f t="shared" si="29"/>
        <v>1.9742000000000002</v>
      </c>
      <c r="P239" s="195">
        <f>AVERAGE(Ashed_controlls!$K$12:$K$14)</f>
        <v>2.2816647271287041</v>
      </c>
      <c r="Q239" s="195">
        <f t="shared" si="30"/>
        <v>1.9291553749570254</v>
      </c>
      <c r="R239" s="16">
        <f>IF('WetLitterbags placem_collection'!G166="N.A","",'WetLitterbags placem_collection'!G166)</f>
        <v>42814</v>
      </c>
      <c r="S239" s="195">
        <f>IF(IFERROR(INDEX('Both teabags AfterWet'!$C$3:$C$841,MATCH(H239,'Both teabags AfterWet'!$A$3:$A$841,0)),"")="N.A","",(IFERROR(INDEX('Both teabags AfterWet'!$C$3:$C$841,MATCH(H239,'Both teabags AfterWet'!$A$3:$A$841,0)),"")))</f>
        <v>0.628</v>
      </c>
      <c r="T239" s="195">
        <f>IFERROR(INDEX('Both teabags AfterWet'!$C$3:$C$841,MATCH(I239,'Both teabags AfterWet'!$A$3:$A$841,0)),"")</f>
        <v>1.7210000000000001</v>
      </c>
      <c r="U239" s="195">
        <f t="shared" si="31"/>
        <v>0.47739999999999999</v>
      </c>
      <c r="V239" s="195">
        <f t="shared" si="31"/>
        <v>1.5704</v>
      </c>
      <c r="W239" s="195">
        <f>IFERROR(INDEX('Ashed teabags wet'!$K$2:$K$821,MATCH(H239,'Ashed teabags wet'!$A$2:$A$821,0)),"")</f>
        <v>9.7268806899849256</v>
      </c>
      <c r="X239" s="195">
        <f>IFERROR(INDEX('Ashed teabags wet'!$K$2:$K$821,MATCH(I239,'Ashed teabags wet'!$A$2:$A$821,0)),"")</f>
        <v>2.0937188434697482</v>
      </c>
      <c r="Y239" s="195">
        <f t="shared" si="25"/>
        <v>0.43096387158601196</v>
      </c>
      <c r="Z239" s="195">
        <f t="shared" si="25"/>
        <v>1.5375202392821512</v>
      </c>
      <c r="AA239" s="195">
        <f t="shared" si="32"/>
        <v>0.73188473218978811</v>
      </c>
      <c r="AB239" s="195">
        <f t="shared" si="33"/>
        <v>0.47981041825268772</v>
      </c>
      <c r="AC239" s="195">
        <f t="shared" si="26"/>
        <v>0.79699139801862851</v>
      </c>
      <c r="AD239">
        <f t="shared" si="27"/>
        <v>51</v>
      </c>
      <c r="AE239" s="195">
        <f t="shared" si="34"/>
        <v>0.130778227803102</v>
      </c>
      <c r="AF239" s="195">
        <f t="shared" si="35"/>
        <v>1.0786064284598601E-2</v>
      </c>
      <c r="AG239" s="255" t="str">
        <f>IF(ISNUMBER(SEARCH("C",'WetLitterbags placem_collection'!AD166)),"YES","NO")</f>
        <v>NO</v>
      </c>
      <c r="AH239" s="255" t="str">
        <f>IF(ISNUMBER(SEARCH("H", 'WetLitterbags placem_collection'!AD166)),"YES","NO")</f>
        <v>NO</v>
      </c>
      <c r="AI239" s="255" t="str">
        <f>IF(ISNUMBER(SEARCH("R", 'WetLitterbags placem_collection'!AD166)),"YES","NO")</f>
        <v>NO</v>
      </c>
      <c r="AJ239" s="255" t="str">
        <f>IF(ISNUMBER(SEARCH("C", 'WetLitterbags placem_collection'!AC166)),"YES","NO")</f>
        <v>NO</v>
      </c>
      <c r="AK239" s="255" t="str">
        <f>IF(ISNUMBER(SEARCH("H", 'WetLitterbags placem_collection'!AC166)),"YES","NO")</f>
        <v>NO</v>
      </c>
      <c r="AL239" s="255" t="str">
        <f>IF(ISNUMBER(SEARCH("R", 'WetLitterbags placem_collection'!AC166)),"YES","NO")</f>
        <v>NO</v>
      </c>
    </row>
    <row r="240" spans="2:38">
      <c r="B240" t="str">
        <f>'Final data_for_R_analysis_Wetse'!A166</f>
        <v>Wet</v>
      </c>
      <c r="C240" s="263">
        <f>'Final data_for_R_analysis_Wetse'!B166</f>
        <v>165</v>
      </c>
      <c r="D240" t="s">
        <v>3851</v>
      </c>
      <c r="E240" t="s">
        <v>22</v>
      </c>
      <c r="F240" s="387">
        <v>5</v>
      </c>
      <c r="G240" s="16">
        <f>'WetLitterbags placem_collection'!E167</f>
        <v>42763</v>
      </c>
      <c r="H240" t="str">
        <f>'Final data_for_R_analysis_Wetse'!J166</f>
        <v>G368</v>
      </c>
      <c r="I240" t="str">
        <f>'Final data_for_R_analysis_Wetse'!J386</f>
        <v>R331</v>
      </c>
      <c r="J240">
        <f>IFERROR(INDEX('Green_rooibos initial weight'!$C$5:$C$1749,MATCH(H240, 'Green_rooibos initial weight'!$A$5:$A$1749,0)),"")</f>
        <v>2.1709999999999998</v>
      </c>
      <c r="K240">
        <f>IFERROR(INDEX('Green_rooibos initial weight'!$C$5:$C$1749,MATCH(I240, 'Green_rooibos initial weight'!$A$5:$A$1749,0)),"")</f>
        <v>2.2410000000000001</v>
      </c>
      <c r="L240" s="195">
        <f t="shared" si="28"/>
        <v>1.9211999999999998</v>
      </c>
      <c r="M240" s="195">
        <f>AVERAGE(Ashed_controlls!$K$2:$K$11)</f>
        <v>5.5147656768714146</v>
      </c>
      <c r="N240" s="195">
        <f t="shared" si="24"/>
        <v>1.8152503218159461</v>
      </c>
      <c r="O240" s="195">
        <f t="shared" si="29"/>
        <v>1.9912000000000001</v>
      </c>
      <c r="P240" s="195">
        <f>AVERAGE(Ashed_controlls!$K$12:$K$14)</f>
        <v>2.2816647271287041</v>
      </c>
      <c r="Q240" s="195">
        <f t="shared" si="30"/>
        <v>1.9457674919534134</v>
      </c>
      <c r="R240" s="16">
        <f>IF('WetLitterbags placem_collection'!G167="N.A","",'WetLitterbags placem_collection'!G167)</f>
        <v>42814</v>
      </c>
      <c r="S240" s="195">
        <f>IF(IFERROR(INDEX('Both teabags AfterWet'!$C$3:$C$841,MATCH(H240,'Both teabags AfterWet'!$A$3:$A$841,0)),"")="N.A","",(IFERROR(INDEX('Both teabags AfterWet'!$C$3:$C$841,MATCH(H240,'Both teabags AfterWet'!$A$3:$A$841,0)),"")))</f>
        <v>0.72699999999999998</v>
      </c>
      <c r="T240" s="195">
        <f>IFERROR(INDEX('Both teabags AfterWet'!$C$3:$C$841,MATCH(I240,'Both teabags AfterWet'!$A$3:$A$841,0)),"")</f>
        <v>1.724</v>
      </c>
      <c r="U240" s="195">
        <f t="shared" si="31"/>
        <v>0.57640000000000002</v>
      </c>
      <c r="V240" s="195">
        <f t="shared" si="31"/>
        <v>1.5733999999999999</v>
      </c>
      <c r="W240" s="195">
        <f>IFERROR(INDEX('Ashed teabags wet'!$K$2:$K$821,MATCH(H240,'Ashed teabags wet'!$A$2:$A$821,0)),"")</f>
        <v>7.2371638141808248</v>
      </c>
      <c r="X240" s="195">
        <f>IFERROR(INDEX('Ashed teabags wet'!$K$2:$K$821,MATCH(I240,'Ashed teabags wet'!$A$2:$A$821,0)),"")</f>
        <v>2.562929061785161</v>
      </c>
      <c r="Y240" s="195">
        <f t="shared" si="25"/>
        <v>0.53468498777506179</v>
      </c>
      <c r="Z240" s="195">
        <f t="shared" si="25"/>
        <v>1.5330748741418723</v>
      </c>
      <c r="AA240" s="195">
        <f t="shared" si="32"/>
        <v>0.70544834431420356</v>
      </c>
      <c r="AB240" s="195">
        <f t="shared" si="33"/>
        <v>0.46247919959791017</v>
      </c>
      <c r="AC240" s="195">
        <f t="shared" si="26"/>
        <v>0.78790239865852274</v>
      </c>
      <c r="AD240">
        <f t="shared" si="27"/>
        <v>51</v>
      </c>
      <c r="AE240" s="195">
        <f t="shared" si="34"/>
        <v>0.16217536304726421</v>
      </c>
      <c r="AF240" s="195">
        <f t="shared" si="35"/>
        <v>1.2031675195383265E-2</v>
      </c>
      <c r="AG240" s="255" t="str">
        <f>IF(ISNUMBER(SEARCH("C",'WetLitterbags placem_collection'!AD167)),"YES","NO")</f>
        <v>NO</v>
      </c>
      <c r="AH240" s="255" t="str">
        <f>IF(ISNUMBER(SEARCH("H", 'WetLitterbags placem_collection'!AD167)),"YES","NO")</f>
        <v>NO</v>
      </c>
      <c r="AI240" s="255" t="str">
        <f>IF(ISNUMBER(SEARCH("R", 'WetLitterbags placem_collection'!AD167)),"YES","NO")</f>
        <v>NO</v>
      </c>
      <c r="AJ240" s="255" t="str">
        <f>IF(ISNUMBER(SEARCH("C", 'WetLitterbags placem_collection'!AC167)),"YES","NO")</f>
        <v>NO</v>
      </c>
      <c r="AK240" s="255" t="str">
        <f>IF(ISNUMBER(SEARCH("H", 'WetLitterbags placem_collection'!AC167)),"YES","NO")</f>
        <v>NO</v>
      </c>
      <c r="AL240" s="255" t="str">
        <f>IF(ISNUMBER(SEARCH("R", 'WetLitterbags placem_collection'!AC167)),"YES","NO")</f>
        <v>NO</v>
      </c>
    </row>
    <row r="241" spans="2:38">
      <c r="B241" t="str">
        <f>'Final data_for_R_analysis_Wetse'!A167</f>
        <v>Wet</v>
      </c>
      <c r="C241" s="263">
        <f>'Final data_for_R_analysis_Wetse'!B167</f>
        <v>166</v>
      </c>
      <c r="D241" t="s">
        <v>3851</v>
      </c>
      <c r="E241" t="s">
        <v>22</v>
      </c>
      <c r="F241" s="387">
        <v>6</v>
      </c>
      <c r="G241" s="16">
        <f>'WetLitterbags placem_collection'!E168</f>
        <v>42763</v>
      </c>
      <c r="H241" t="str">
        <f>'Final data_for_R_analysis_Wetse'!J167</f>
        <v>G334</v>
      </c>
      <c r="I241" t="str">
        <f>'Final data_for_R_analysis_Wetse'!J387</f>
        <v>R287</v>
      </c>
      <c r="J241">
        <f>IFERROR(INDEX('Green_rooibos initial weight'!$C$5:$C$1749,MATCH(H241, 'Green_rooibos initial weight'!$A$5:$A$1749,0)),"")</f>
        <v>2.0710000000000002</v>
      </c>
      <c r="K241">
        <f>IFERROR(INDEX('Green_rooibos initial weight'!$C$5:$C$1749,MATCH(I241, 'Green_rooibos initial weight'!$A$5:$A$1749,0)),"")</f>
        <v>2.1960000000000002</v>
      </c>
      <c r="L241" s="195">
        <f t="shared" si="28"/>
        <v>1.8212000000000002</v>
      </c>
      <c r="M241" s="195">
        <f>AVERAGE(Ashed_controlls!$K$2:$K$11)</f>
        <v>5.5147656768714146</v>
      </c>
      <c r="N241" s="195">
        <f t="shared" si="24"/>
        <v>1.720765087492818</v>
      </c>
      <c r="O241" s="195">
        <f t="shared" si="29"/>
        <v>1.9462000000000002</v>
      </c>
      <c r="P241" s="195">
        <f>AVERAGE(Ashed_controlls!$K$12:$K$14)</f>
        <v>2.2816647271287041</v>
      </c>
      <c r="Q241" s="195">
        <f t="shared" si="30"/>
        <v>1.9017942410806212</v>
      </c>
      <c r="R241" s="16">
        <f>IF('WetLitterbags placem_collection'!G168="N.A","",'WetLitterbags placem_collection'!G168)</f>
        <v>42814</v>
      </c>
      <c r="S241" s="195">
        <f>IF(IFERROR(INDEX('Both teabags AfterWet'!$C$3:$C$841,MATCH(H241,'Both teabags AfterWet'!$A$3:$A$841,0)),"")="N.A","",(IFERROR(INDEX('Both teabags AfterWet'!$C$3:$C$841,MATCH(H241,'Both teabags AfterWet'!$A$3:$A$841,0)),"")))</f>
        <v>0.80800000000000005</v>
      </c>
      <c r="T241" s="195">
        <f>IFERROR(INDEX('Both teabags AfterWet'!$C$3:$C$841,MATCH(I241,'Both teabags AfterWet'!$A$3:$A$841,0)),"")</f>
        <v>1.6496999999999999</v>
      </c>
      <c r="U241" s="195">
        <f t="shared" si="31"/>
        <v>0.65739999999999998</v>
      </c>
      <c r="V241" s="195">
        <f t="shared" si="31"/>
        <v>1.4990999999999999</v>
      </c>
      <c r="W241" s="195">
        <f>IFERROR(INDEX('Ashed teabags wet'!$K$2:$K$821,MATCH(H241,'Ashed teabags wet'!$A$2:$A$821,0)),"")</f>
        <v>13.234567901234151</v>
      </c>
      <c r="X241" s="195">
        <f>IFERROR(INDEX('Ashed teabags wet'!$K$2:$K$821,MATCH(I241,'Ashed teabags wet'!$A$2:$A$821,0)),"")</f>
        <v>1.9136408243378245</v>
      </c>
      <c r="Y241" s="195">
        <f t="shared" si="25"/>
        <v>0.57039595061728665</v>
      </c>
      <c r="Z241" s="195">
        <f t="shared" si="25"/>
        <v>1.4704126104023516</v>
      </c>
      <c r="AA241" s="195">
        <f t="shared" si="32"/>
        <v>0.668521894845994</v>
      </c>
      <c r="AB241" s="195">
        <f t="shared" si="33"/>
        <v>0.43827088593229063</v>
      </c>
      <c r="AC241" s="195">
        <f t="shared" si="26"/>
        <v>0.77317123936964194</v>
      </c>
      <c r="AD241">
        <f t="shared" si="27"/>
        <v>51</v>
      </c>
      <c r="AE241" s="195">
        <f t="shared" si="34"/>
        <v>0.20603100374585037</v>
      </c>
      <c r="AF241" s="195">
        <f t="shared" si="35"/>
        <v>1.4291879577155688E-2</v>
      </c>
      <c r="AG241" s="255" t="str">
        <f>IF(ISNUMBER(SEARCH("C",'WetLitterbags placem_collection'!AD168)),"YES","NO")</f>
        <v>NO</v>
      </c>
      <c r="AH241" s="255" t="str">
        <f>IF(ISNUMBER(SEARCH("H", 'WetLitterbags placem_collection'!AD168)),"YES","NO")</f>
        <v>NO</v>
      </c>
      <c r="AI241" s="255" t="str">
        <f>IF(ISNUMBER(SEARCH("R", 'WetLitterbags placem_collection'!AD168)),"YES","NO")</f>
        <v>YES</v>
      </c>
      <c r="AJ241" s="255" t="str">
        <f>IF(ISNUMBER(SEARCH("C", 'WetLitterbags placem_collection'!AC168)),"YES","NO")</f>
        <v>NO</v>
      </c>
      <c r="AK241" s="255" t="str">
        <f>IF(ISNUMBER(SEARCH("H", 'WetLitterbags placem_collection'!AC168)),"YES","NO")</f>
        <v>NO</v>
      </c>
      <c r="AL241" s="255" t="str">
        <f>IF(ISNUMBER(SEARCH("R", 'WetLitterbags placem_collection'!AC168)),"YES","NO")</f>
        <v>NO</v>
      </c>
    </row>
    <row r="242" spans="2:38">
      <c r="B242" t="str">
        <f>'Final data_for_R_analysis_Wetse'!A168</f>
        <v>Wet</v>
      </c>
      <c r="C242" s="263">
        <f>'Final data_for_R_analysis_Wetse'!B168</f>
        <v>167</v>
      </c>
      <c r="D242" t="s">
        <v>3851</v>
      </c>
      <c r="E242" t="s">
        <v>22</v>
      </c>
      <c r="F242" s="387">
        <v>7</v>
      </c>
      <c r="G242" s="16">
        <f>'WetLitterbags placem_collection'!E169</f>
        <v>42763</v>
      </c>
      <c r="H242" t="str">
        <f>'Final data_for_R_analysis_Wetse'!J168</f>
        <v>G429</v>
      </c>
      <c r="I242" t="str">
        <f>'Final data_for_R_analysis_Wetse'!J388</f>
        <v>R255</v>
      </c>
      <c r="J242">
        <f>IFERROR(INDEX('Green_rooibos initial weight'!$C$5:$C$1749,MATCH(H242, 'Green_rooibos initial weight'!$A$5:$A$1749,0)),"")</f>
        <v>1.9319999999999999</v>
      </c>
      <c r="K242">
        <f>IFERROR(INDEX('Green_rooibos initial weight'!$C$5:$C$1749,MATCH(I242, 'Green_rooibos initial weight'!$A$5:$A$1749,0)),"")</f>
        <v>2.1859999999999999</v>
      </c>
      <c r="L242" s="195">
        <f t="shared" si="28"/>
        <v>1.6821999999999999</v>
      </c>
      <c r="M242" s="195">
        <f>AVERAGE(Ashed_controlls!$K$2:$K$11)</f>
        <v>5.5147656768714146</v>
      </c>
      <c r="N242" s="195">
        <f t="shared" si="24"/>
        <v>1.589430611783669</v>
      </c>
      <c r="O242" s="195">
        <f t="shared" si="29"/>
        <v>1.9361999999999999</v>
      </c>
      <c r="P242" s="195">
        <f>AVERAGE(Ashed_controlls!$K$12:$K$14)</f>
        <v>2.2816647271287041</v>
      </c>
      <c r="Q242" s="195">
        <f t="shared" si="30"/>
        <v>1.8920224075533341</v>
      </c>
      <c r="R242" s="16">
        <f>IF('WetLitterbags placem_collection'!G169="N.A","",'WetLitterbags placem_collection'!G169)</f>
        <v>42814</v>
      </c>
      <c r="S242" s="195">
        <f>IF(IFERROR(INDEX('Both teabags AfterWet'!$C$3:$C$841,MATCH(H242,'Both teabags AfterWet'!$A$3:$A$841,0)),"")="N.A","",(IFERROR(INDEX('Both teabags AfterWet'!$C$3:$C$841,MATCH(H242,'Both teabags AfterWet'!$A$3:$A$841,0)),"")))</f>
        <v>0.64529999999999998</v>
      </c>
      <c r="T242" s="195">
        <f>IFERROR(INDEX('Both teabags AfterWet'!$C$3:$C$841,MATCH(I242,'Both teabags AfterWet'!$A$3:$A$841,0)),"")</f>
        <v>1.7073</v>
      </c>
      <c r="U242" s="195">
        <f t="shared" si="31"/>
        <v>0.49469999999999997</v>
      </c>
      <c r="V242" s="195">
        <f t="shared" si="31"/>
        <v>1.5567</v>
      </c>
      <c r="W242" s="195">
        <f>IFERROR(INDEX('Ashed teabags wet'!$K$2:$K$821,MATCH(H242,'Ashed teabags wet'!$A$2:$A$821,0)),"")</f>
        <v>8.4409136047665729</v>
      </c>
      <c r="X242" s="195">
        <f>IFERROR(INDEX('Ashed teabags wet'!$K$2:$K$821,MATCH(I242,'Ashed teabags wet'!$A$2:$A$821,0)),"")</f>
        <v>1.7424975798647639</v>
      </c>
      <c r="Y242" s="195">
        <f t="shared" si="25"/>
        <v>0.45294280039721974</v>
      </c>
      <c r="Z242" s="195">
        <f t="shared" si="25"/>
        <v>1.5295745401742451</v>
      </c>
      <c r="AA242" s="195">
        <f t="shared" si="32"/>
        <v>0.71502826418516974</v>
      </c>
      <c r="AB242" s="195">
        <f t="shared" si="33"/>
        <v>0.46875962212614458</v>
      </c>
      <c r="AC242" s="195">
        <f t="shared" si="26"/>
        <v>0.80843362851722889</v>
      </c>
      <c r="AD242">
        <f t="shared" si="27"/>
        <v>51</v>
      </c>
      <c r="AE242" s="195">
        <f t="shared" si="34"/>
        <v>0.15079778600336136</v>
      </c>
      <c r="AF242" s="195">
        <f t="shared" si="35"/>
        <v>1.0301474227165455E-2</v>
      </c>
      <c r="AG242" s="255" t="str">
        <f>IF(ISNUMBER(SEARCH("C",'WetLitterbags placem_collection'!AD169)),"YES","NO")</f>
        <v>NO</v>
      </c>
      <c r="AH242" s="255" t="str">
        <f>IF(ISNUMBER(SEARCH("H", 'WetLitterbags placem_collection'!AD169)),"YES","NO")</f>
        <v>NO</v>
      </c>
      <c r="AI242" s="255" t="str">
        <f>IF(ISNUMBER(SEARCH("R", 'WetLitterbags placem_collection'!AD169)),"YES","NO")</f>
        <v>NO</v>
      </c>
      <c r="AJ242" s="255" t="str">
        <f>IF(ISNUMBER(SEARCH("C", 'WetLitterbags placem_collection'!AC169)),"YES","NO")</f>
        <v>NO</v>
      </c>
      <c r="AK242" s="255" t="str">
        <f>IF(ISNUMBER(SEARCH("H", 'WetLitterbags placem_collection'!AC169)),"YES","NO")</f>
        <v>NO</v>
      </c>
      <c r="AL242" s="255" t="str">
        <f>IF(ISNUMBER(SEARCH("R", 'WetLitterbags placem_collection'!AC169)),"YES","NO")</f>
        <v>NO</v>
      </c>
    </row>
    <row r="243" spans="2:38">
      <c r="B243" t="str">
        <f>'Final data_for_R_analysis_Wetse'!A169</f>
        <v>Wet</v>
      </c>
      <c r="C243" s="263">
        <f>'Final data_for_R_analysis_Wetse'!B169</f>
        <v>168</v>
      </c>
      <c r="D243" t="s">
        <v>3851</v>
      </c>
      <c r="E243" t="s">
        <v>22</v>
      </c>
      <c r="F243" s="387">
        <v>8</v>
      </c>
      <c r="G243" s="16">
        <f>'WetLitterbags placem_collection'!E170</f>
        <v>42763</v>
      </c>
      <c r="H243" t="str">
        <f>'Final data_for_R_analysis_Wetse'!J169</f>
        <v>G461</v>
      </c>
      <c r="I243" t="str">
        <f>'Final data_for_R_analysis_Wetse'!J389</f>
        <v>R534</v>
      </c>
      <c r="J243">
        <f>IFERROR(INDEX('Green_rooibos initial weight'!$C$5:$C$1749,MATCH(H243, 'Green_rooibos initial weight'!$A$5:$A$1749,0)),"")</f>
        <v>2.1030000000000002</v>
      </c>
      <c r="K243">
        <f>IFERROR(INDEX('Green_rooibos initial weight'!$C$5:$C$1749,MATCH(I243, 'Green_rooibos initial weight'!$A$5:$A$1749,0)),"")</f>
        <v>2.17</v>
      </c>
      <c r="L243" s="195">
        <f t="shared" si="28"/>
        <v>1.8532000000000002</v>
      </c>
      <c r="M243" s="195">
        <f>AVERAGE(Ashed_controlls!$K$2:$K$11)</f>
        <v>5.5147656768714146</v>
      </c>
      <c r="N243" s="195">
        <f t="shared" si="24"/>
        <v>1.7510003624762192</v>
      </c>
      <c r="O243" s="195">
        <f t="shared" si="29"/>
        <v>1.9201999999999999</v>
      </c>
      <c r="P243" s="195">
        <f>AVERAGE(Ashed_controlls!$K$12:$K$14)</f>
        <v>2.2816647271287041</v>
      </c>
      <c r="Q243" s="195">
        <f t="shared" si="30"/>
        <v>1.8763874739096746</v>
      </c>
      <c r="R243" s="16">
        <f>IF('WetLitterbags placem_collection'!G170="N.A","",'WetLitterbags placem_collection'!G170)</f>
        <v>42814</v>
      </c>
      <c r="S243" s="195">
        <f>IF(IFERROR(INDEX('Both teabags AfterWet'!$C$3:$C$841,MATCH(H243,'Both teabags AfterWet'!$A$3:$A$841,0)),"")="N.A","",(IFERROR(INDEX('Both teabags AfterWet'!$C$3:$C$841,MATCH(H243,'Both teabags AfterWet'!$A$3:$A$841,0)),"")))</f>
        <v>0.79400000000000004</v>
      </c>
      <c r="T243" s="195">
        <f>IFERROR(INDEX('Both teabags AfterWet'!$C$3:$C$841,MATCH(I243,'Both teabags AfterWet'!$A$3:$A$841,0)),"")</f>
        <v>1.722</v>
      </c>
      <c r="U243" s="195">
        <f t="shared" si="31"/>
        <v>0.64339999999999997</v>
      </c>
      <c r="V243" s="195">
        <f t="shared" si="31"/>
        <v>1.5713999999999999</v>
      </c>
      <c r="W243" s="195">
        <f>IFERROR(INDEX('Ashed teabags wet'!$K$2:$K$821,MATCH(H243,'Ashed teabags wet'!$A$2:$A$821,0)),"")</f>
        <v>8.9463220675947444</v>
      </c>
      <c r="X243" s="195">
        <f>IFERROR(INDEX('Ashed teabags wet'!$K$2:$K$821,MATCH(I243,'Ashed teabags wet'!$A$2:$A$821,0)),"")</f>
        <v>1.9733596447958683</v>
      </c>
      <c r="Y243" s="195">
        <f t="shared" si="25"/>
        <v>0.58583936381709534</v>
      </c>
      <c r="Z243" s="195">
        <f t="shared" si="25"/>
        <v>1.5403906265416776</v>
      </c>
      <c r="AA243" s="195">
        <f t="shared" si="32"/>
        <v>0.66542590374532162</v>
      </c>
      <c r="AB243" s="195">
        <f t="shared" si="33"/>
        <v>0.43624121005631544</v>
      </c>
      <c r="AC243" s="195">
        <f t="shared" si="26"/>
        <v>0.82093418761322889</v>
      </c>
      <c r="AD243">
        <f t="shared" si="27"/>
        <v>51</v>
      </c>
      <c r="AE243" s="195">
        <f t="shared" si="34"/>
        <v>0.20970795279653009</v>
      </c>
      <c r="AF243" s="195">
        <f t="shared" si="35"/>
        <v>1.0361509630006227E-2</v>
      </c>
      <c r="AG243" s="255" t="str">
        <f>IF(ISNUMBER(SEARCH("C",'WetLitterbags placem_collection'!AD170)),"YES","NO")</f>
        <v>NO</v>
      </c>
      <c r="AH243" s="255" t="str">
        <f>IF(ISNUMBER(SEARCH("H", 'WetLitterbags placem_collection'!AD170)),"YES","NO")</f>
        <v>NO</v>
      </c>
      <c r="AI243" s="255" t="str">
        <f>IF(ISNUMBER(SEARCH("R", 'WetLitterbags placem_collection'!AD170)),"YES","NO")</f>
        <v>NO</v>
      </c>
      <c r="AJ243" s="255" t="str">
        <f>IF(ISNUMBER(SEARCH("C", 'WetLitterbags placem_collection'!AC170)),"YES","NO")</f>
        <v>NO</v>
      </c>
      <c r="AK243" s="255" t="str">
        <f>IF(ISNUMBER(SEARCH("H", 'WetLitterbags placem_collection'!AC170)),"YES","NO")</f>
        <v>NO</v>
      </c>
      <c r="AL243" s="255" t="str">
        <f>IF(ISNUMBER(SEARCH("R", 'WetLitterbags placem_collection'!AC170)),"YES","NO")</f>
        <v>NO</v>
      </c>
    </row>
    <row r="244" spans="2:38">
      <c r="B244" t="str">
        <f>'Final data_for_R_analysis_Wetse'!A170</f>
        <v>Wet</v>
      </c>
      <c r="C244" s="263">
        <f>'Final data_for_R_analysis_Wetse'!B170</f>
        <v>169</v>
      </c>
      <c r="D244" t="s">
        <v>3853</v>
      </c>
      <c r="E244" t="s">
        <v>22</v>
      </c>
      <c r="F244" s="386">
        <v>1</v>
      </c>
      <c r="G244" s="16">
        <f>'WetLitterbags placem_collection'!E171</f>
        <v>42763</v>
      </c>
      <c r="H244" t="str">
        <f>'Final data_for_R_analysis_Wetse'!J170</f>
        <v>G425</v>
      </c>
      <c r="I244" t="str">
        <f>'Final data_for_R_analysis_Wetse'!J390</f>
        <v>R453</v>
      </c>
      <c r="J244">
        <f>IFERROR(INDEX('Green_rooibos initial weight'!$C$5:$C$1749,MATCH(H244, 'Green_rooibos initial weight'!$A$5:$A$1749,0)),"")</f>
        <v>1.9750000000000001</v>
      </c>
      <c r="K244">
        <f>IFERROR(INDEX('Green_rooibos initial weight'!$C$5:$C$1749,MATCH(I244, 'Green_rooibos initial weight'!$A$5:$A$1749,0)),"")</f>
        <v>2.165</v>
      </c>
      <c r="L244" s="195">
        <f t="shared" si="28"/>
        <v>1.7252000000000001</v>
      </c>
      <c r="M244" s="195">
        <f>AVERAGE(Ashed_controlls!$K$2:$K$11)</f>
        <v>5.5147656768714146</v>
      </c>
      <c r="N244" s="195">
        <f t="shared" si="24"/>
        <v>1.6300592625426145</v>
      </c>
      <c r="O244" s="195">
        <f t="shared" si="29"/>
        <v>1.9152</v>
      </c>
      <c r="P244" s="195">
        <f>AVERAGE(Ashed_controlls!$K$12:$K$14)</f>
        <v>2.2816647271287041</v>
      </c>
      <c r="Q244" s="195">
        <f t="shared" si="30"/>
        <v>1.8715015571460312</v>
      </c>
      <c r="R244" s="16">
        <f>IF('WetLitterbags placem_collection'!G171="N.A","",'WetLitterbags placem_collection'!G171)</f>
        <v>42814</v>
      </c>
      <c r="S244" s="195">
        <f>IF(IFERROR(INDEX('Both teabags AfterWet'!$C$3:$C$841,MATCH(H244,'Both teabags AfterWet'!$A$3:$A$841,0)),"")="N.A","",(IFERROR(INDEX('Both teabags AfterWet'!$C$3:$C$841,MATCH(H244,'Both teabags AfterWet'!$A$3:$A$841,0)),"")))</f>
        <v>0.65800000000000003</v>
      </c>
      <c r="T244" s="195">
        <f>IFERROR(INDEX('Both teabags AfterWet'!$C$3:$C$841,MATCH(I244,'Both teabags AfterWet'!$A$3:$A$841,0)),"")</f>
        <v>0.14299999999999999</v>
      </c>
      <c r="U244" s="195">
        <f t="shared" si="31"/>
        <v>0.50740000000000007</v>
      </c>
      <c r="V244" s="195">
        <f t="shared" si="31"/>
        <v>-7.6000000000000234E-3</v>
      </c>
      <c r="W244" s="195">
        <f>IFERROR(INDEX('Ashed teabags wet'!$K$2:$K$821,MATCH(H244,'Ashed teabags wet'!$A$2:$A$821,0)),"")</f>
        <v>11.404382470119883</v>
      </c>
      <c r="X244" s="195" t="str">
        <f>IFERROR(INDEX('Ashed teabags wet'!$K$2:$K$821,MATCH(I244,'Ashed teabags wet'!$A$2:$A$821,0)),"")</f>
        <v/>
      </c>
      <c r="Y244" s="195">
        <f t="shared" si="25"/>
        <v>0.44953416334661178</v>
      </c>
      <c r="Z244" s="195" t="str">
        <f t="shared" si="25"/>
        <v/>
      </c>
      <c r="AA244" s="195">
        <f t="shared" si="32"/>
        <v>0.72422219628664597</v>
      </c>
      <c r="AB244" s="195">
        <f t="shared" si="33"/>
        <v>0.47478699804065155</v>
      </c>
      <c r="AC244" s="195" t="str">
        <f t="shared" si="26"/>
        <v/>
      </c>
      <c r="AD244">
        <f t="shared" si="27"/>
        <v>51</v>
      </c>
      <c r="AE244" s="195">
        <f t="shared" si="34"/>
        <v>0.13987862673795015</v>
      </c>
      <c r="AF244" s="195" t="str">
        <f t="shared" si="35"/>
        <v/>
      </c>
      <c r="AG244" s="255" t="str">
        <f>IF(ISNUMBER(SEARCH("C",'WetLitterbags placem_collection'!AD171)),"YES","NO")</f>
        <v>YES</v>
      </c>
      <c r="AH244" s="255" t="str">
        <f>IF(ISNUMBER(SEARCH("H", 'WetLitterbags placem_collection'!AD171)),"YES","NO")</f>
        <v>NO</v>
      </c>
      <c r="AI244" s="255" t="str">
        <f>IF(ISNUMBER(SEARCH("R", 'WetLitterbags placem_collection'!AD171)),"YES","NO")</f>
        <v>YES</v>
      </c>
      <c r="AJ244" s="255" t="str">
        <f>IF(ISNUMBER(SEARCH("C", 'WetLitterbags placem_collection'!AC171)),"YES","NO")</f>
        <v>NO</v>
      </c>
      <c r="AK244" s="255" t="str">
        <f>IF(ISNUMBER(SEARCH("H", 'WetLitterbags placem_collection'!AC171)),"YES","NO")</f>
        <v>NO</v>
      </c>
      <c r="AL244" s="255" t="str">
        <f>IF(ISNUMBER(SEARCH("R", 'WetLitterbags placem_collection'!AC171)),"YES","NO")</f>
        <v>NO</v>
      </c>
    </row>
    <row r="245" spans="2:38">
      <c r="B245" t="str">
        <f>'Final data_for_R_analysis_Wetse'!A171</f>
        <v>Wet</v>
      </c>
      <c r="C245" s="263">
        <f>'Final data_for_R_analysis_Wetse'!B171</f>
        <v>170</v>
      </c>
      <c r="D245" t="s">
        <v>3853</v>
      </c>
      <c r="E245" t="s">
        <v>22</v>
      </c>
      <c r="F245" s="386">
        <v>2</v>
      </c>
      <c r="G245" s="16">
        <f>'WetLitterbags placem_collection'!E172</f>
        <v>42763</v>
      </c>
      <c r="H245" t="str">
        <f>'Final data_for_R_analysis_Wetse'!J171</f>
        <v>G433</v>
      </c>
      <c r="I245" t="str">
        <f>'Final data_for_R_analysis_Wetse'!J391</f>
        <v>R330</v>
      </c>
      <c r="J245">
        <f>IFERROR(INDEX('Green_rooibos initial weight'!$C$5:$C$1749,MATCH(H245, 'Green_rooibos initial weight'!$A$5:$A$1749,0)),"")</f>
        <v>2.06</v>
      </c>
      <c r="K245">
        <f>IFERROR(INDEX('Green_rooibos initial weight'!$C$5:$C$1749,MATCH(I245, 'Green_rooibos initial weight'!$A$5:$A$1749,0)),"")</f>
        <v>2.12</v>
      </c>
      <c r="L245" s="195">
        <f t="shared" si="28"/>
        <v>1.8102</v>
      </c>
      <c r="M245" s="195">
        <f>AVERAGE(Ashed_controlls!$K$2:$K$11)</f>
        <v>5.5147656768714146</v>
      </c>
      <c r="N245" s="195">
        <f t="shared" si="24"/>
        <v>1.7103717117172736</v>
      </c>
      <c r="O245" s="195">
        <f t="shared" si="29"/>
        <v>1.8702000000000001</v>
      </c>
      <c r="P245" s="195">
        <f>AVERAGE(Ashed_controlls!$K$12:$K$14)</f>
        <v>2.2816647271287041</v>
      </c>
      <c r="Q245" s="195">
        <f t="shared" si="30"/>
        <v>1.827528306273239</v>
      </c>
      <c r="R245" s="16">
        <f>IF('WetLitterbags placem_collection'!G172="N.A","",'WetLitterbags placem_collection'!G172)</f>
        <v>42814</v>
      </c>
      <c r="S245" s="195">
        <f>IF(IFERROR(INDEX('Both teabags AfterWet'!$C$3:$C$841,MATCH(H245,'Both teabags AfterWet'!$A$3:$A$841,0)),"")="N.A","",(IFERROR(INDEX('Both teabags AfterWet'!$C$3:$C$841,MATCH(H245,'Both teabags AfterWet'!$A$3:$A$841,0)),"")))</f>
        <v>0.64800000000000002</v>
      </c>
      <c r="T245" s="195">
        <f>IFERROR(INDEX('Both teabags AfterWet'!$C$3:$C$841,MATCH(I245,'Both teabags AfterWet'!$A$3:$A$841,0)),"")</f>
        <v>1.7769999999999999</v>
      </c>
      <c r="U245" s="195">
        <f t="shared" si="31"/>
        <v>0.49740000000000001</v>
      </c>
      <c r="V245" s="195">
        <f t="shared" si="31"/>
        <v>1.6263999999999998</v>
      </c>
      <c r="W245" s="195">
        <f>IFERROR(INDEX('Ashed teabags wet'!$K$2:$K$821,MATCH(H245,'Ashed teabags wet'!$A$2:$A$821,0)),"")</f>
        <v>9.4836146971203146</v>
      </c>
      <c r="X245" s="195">
        <f>IFERROR(INDEX('Ashed teabags wet'!$K$2:$K$821,MATCH(I245,'Ashed teabags wet'!$A$2:$A$821,0)),"")</f>
        <v>2.1642892277422194</v>
      </c>
      <c r="Y245" s="195">
        <f t="shared" si="25"/>
        <v>0.45022850049652358</v>
      </c>
      <c r="Z245" s="195">
        <f t="shared" si="25"/>
        <v>1.5912000000000004</v>
      </c>
      <c r="AA245" s="195">
        <f t="shared" si="32"/>
        <v>0.73676569986972118</v>
      </c>
      <c r="AB245" s="195">
        <f t="shared" si="33"/>
        <v>0.48301029255117123</v>
      </c>
      <c r="AC245" s="195">
        <f t="shared" si="26"/>
        <v>0.87068418833130534</v>
      </c>
      <c r="AD245">
        <f t="shared" si="27"/>
        <v>51</v>
      </c>
      <c r="AE245" s="195">
        <f t="shared" si="34"/>
        <v>0.12498135407396527</v>
      </c>
      <c r="AF245" s="195">
        <f t="shared" si="35"/>
        <v>6.1098915866027968E-3</v>
      </c>
      <c r="AG245" s="255" t="str">
        <f>IF(ISNUMBER(SEARCH("C",'WetLitterbags placem_collection'!AD172)),"YES","NO")</f>
        <v>NO</v>
      </c>
      <c r="AH245" s="255" t="str">
        <f>IF(ISNUMBER(SEARCH("H", 'WetLitterbags placem_collection'!AD172)),"YES","NO")</f>
        <v>NO</v>
      </c>
      <c r="AI245" s="255" t="str">
        <f>IF(ISNUMBER(SEARCH("R", 'WetLitterbags placem_collection'!AD172)),"YES","NO")</f>
        <v>NO</v>
      </c>
      <c r="AJ245" s="255" t="str">
        <f>IF(ISNUMBER(SEARCH("C", 'WetLitterbags placem_collection'!AC172)),"YES","NO")</f>
        <v>NO</v>
      </c>
      <c r="AK245" s="255" t="str">
        <f>IF(ISNUMBER(SEARCH("H", 'WetLitterbags placem_collection'!AC172)),"YES","NO")</f>
        <v>NO</v>
      </c>
      <c r="AL245" s="255" t="str">
        <f>IF(ISNUMBER(SEARCH("R", 'WetLitterbags placem_collection'!AC172)),"YES","NO")</f>
        <v>NO</v>
      </c>
    </row>
    <row r="246" spans="2:38">
      <c r="B246" t="str">
        <f>'Final data_for_R_analysis_Wetse'!A172</f>
        <v>Wet</v>
      </c>
      <c r="C246" s="263">
        <f>'Final data_for_R_analysis_Wetse'!B172</f>
        <v>171</v>
      </c>
      <c r="D246" t="s">
        <v>3853</v>
      </c>
      <c r="E246" t="s">
        <v>22</v>
      </c>
      <c r="F246" s="386">
        <v>3</v>
      </c>
      <c r="G246" s="16">
        <f>'WetLitterbags placem_collection'!E173</f>
        <v>42763</v>
      </c>
      <c r="H246" t="str">
        <f>'Final data_for_R_analysis_Wetse'!J172</f>
        <v>G656</v>
      </c>
      <c r="I246" t="str">
        <f>'Final data_for_R_analysis_Wetse'!J392</f>
        <v>R558</v>
      </c>
      <c r="J246">
        <f>IFERROR(INDEX('Green_rooibos initial weight'!$C$5:$C$1749,MATCH(H246, 'Green_rooibos initial weight'!$A$5:$A$1749,0)),"")</f>
        <v>2.1320000000000001</v>
      </c>
      <c r="K246">
        <f>IFERROR(INDEX('Green_rooibos initial weight'!$C$5:$C$1749,MATCH(I246, 'Green_rooibos initial weight'!$A$5:$A$1749,0)),"")</f>
        <v>2.1760000000000002</v>
      </c>
      <c r="L246" s="195">
        <f t="shared" si="28"/>
        <v>1.8822000000000001</v>
      </c>
      <c r="M246" s="195">
        <f>AVERAGE(Ashed_controlls!$K$2:$K$11)</f>
        <v>5.5147656768714146</v>
      </c>
      <c r="N246" s="195">
        <f t="shared" si="24"/>
        <v>1.7784010804299264</v>
      </c>
      <c r="O246" s="195">
        <f t="shared" si="29"/>
        <v>1.9262000000000001</v>
      </c>
      <c r="P246" s="195">
        <f>AVERAGE(Ashed_controlls!$K$12:$K$14)</f>
        <v>2.2816647271287041</v>
      </c>
      <c r="Q246" s="195">
        <f t="shared" si="30"/>
        <v>1.8822505740260471</v>
      </c>
      <c r="R246" s="16">
        <f>IF('WetLitterbags placem_collection'!G173="N.A","",'WetLitterbags placem_collection'!G173)</f>
        <v>42814</v>
      </c>
      <c r="S246" s="195">
        <f>IF(IFERROR(INDEX('Both teabags AfterWet'!$C$3:$C$841,MATCH(H246,'Both teabags AfterWet'!$A$3:$A$841,0)),"")="N.A","",(IFERROR(INDEX('Both teabags AfterWet'!$C$3:$C$841,MATCH(H246,'Both teabags AfterWet'!$A$3:$A$841,0)),"")))</f>
        <v>0.63100000000000001</v>
      </c>
      <c r="T246" s="195">
        <f>IFERROR(INDEX('Both teabags AfterWet'!$C$3:$C$841,MATCH(I246,'Both teabags AfterWet'!$A$3:$A$841,0)),"")</f>
        <v>1.61</v>
      </c>
      <c r="U246" s="195">
        <f t="shared" si="31"/>
        <v>0.48039999999999999</v>
      </c>
      <c r="V246" s="195">
        <f t="shared" si="31"/>
        <v>1.4594</v>
      </c>
      <c r="W246" s="195">
        <f>IFERROR(INDEX('Ashed teabags wet'!$K$2:$K$821,MATCH(H246,'Ashed teabags wet'!$A$2:$A$821,0)),"")</f>
        <v>12.283308568598626</v>
      </c>
      <c r="X246" s="195">
        <f>IFERROR(INDEX('Ashed teabags wet'!$K$2:$K$821,MATCH(I246,'Ashed teabags wet'!$A$2:$A$821,0)),"")</f>
        <v>2.9640427599611376</v>
      </c>
      <c r="Y246" s="195">
        <f t="shared" si="25"/>
        <v>0.42139098563645216</v>
      </c>
      <c r="Z246" s="195">
        <f t="shared" si="25"/>
        <v>1.4161427599611272</v>
      </c>
      <c r="AA246" s="195">
        <f t="shared" si="32"/>
        <v>0.76305064685712998</v>
      </c>
      <c r="AB246" s="195">
        <f t="shared" si="33"/>
        <v>0.50024222929351048</v>
      </c>
      <c r="AC246" s="195">
        <f t="shared" si="26"/>
        <v>0.75236675685111531</v>
      </c>
      <c r="AD246">
        <f t="shared" si="27"/>
        <v>51</v>
      </c>
      <c r="AE246" s="195">
        <f t="shared" si="34"/>
        <v>9.3764077366829013E-2</v>
      </c>
      <c r="AF246" s="195">
        <f t="shared" si="35"/>
        <v>1.3397052074721041E-2</v>
      </c>
      <c r="AG246" s="255" t="str">
        <f>IF(ISNUMBER(SEARCH("C",'WetLitterbags placem_collection'!AD173)),"YES","NO")</f>
        <v>NO</v>
      </c>
      <c r="AH246" s="255" t="str">
        <f>IF(ISNUMBER(SEARCH("H", 'WetLitterbags placem_collection'!AD173)),"YES","NO")</f>
        <v>NO</v>
      </c>
      <c r="AI246" s="255" t="str">
        <f>IF(ISNUMBER(SEARCH("R", 'WetLitterbags placem_collection'!AD173)),"YES","NO")</f>
        <v>NO</v>
      </c>
      <c r="AJ246" s="255" t="str">
        <f>IF(ISNUMBER(SEARCH("C", 'WetLitterbags placem_collection'!AC173)),"YES","NO")</f>
        <v>NO</v>
      </c>
      <c r="AK246" s="255" t="str">
        <f>IF(ISNUMBER(SEARCH("H", 'WetLitterbags placem_collection'!AC173)),"YES","NO")</f>
        <v>NO</v>
      </c>
      <c r="AL246" s="255" t="str">
        <f>IF(ISNUMBER(SEARCH("R", 'WetLitterbags placem_collection'!AC173)),"YES","NO")</f>
        <v>NO</v>
      </c>
    </row>
    <row r="247" spans="2:38">
      <c r="B247" t="str">
        <f>'Final data_for_R_analysis_Wetse'!A173</f>
        <v>Wet</v>
      </c>
      <c r="C247" s="263">
        <f>'Final data_for_R_analysis_Wetse'!B173</f>
        <v>172</v>
      </c>
      <c r="D247" t="s">
        <v>3853</v>
      </c>
      <c r="E247" t="s">
        <v>22</v>
      </c>
      <c r="F247" s="387">
        <v>4</v>
      </c>
      <c r="G247" s="16">
        <f>'WetLitterbags placem_collection'!E174</f>
        <v>42763</v>
      </c>
      <c r="H247" t="str">
        <f>'Final data_for_R_analysis_Wetse'!J173</f>
        <v>G281</v>
      </c>
      <c r="I247" t="str">
        <f>'Final data_for_R_analysis_Wetse'!J393</f>
        <v>R157</v>
      </c>
      <c r="J247">
        <f>IFERROR(INDEX('Green_rooibos initial weight'!$C$5:$C$1749,MATCH(H247, 'Green_rooibos initial weight'!$A$5:$A$1749,0)),"")</f>
        <v>2.0419999999999998</v>
      </c>
      <c r="K247">
        <f>IFERROR(INDEX('Green_rooibos initial weight'!$C$5:$C$1749,MATCH(I247, 'Green_rooibos initial weight'!$A$5:$A$1749,0)),"")</f>
        <v>2.1819999999999999</v>
      </c>
      <c r="L247" s="195">
        <f t="shared" si="28"/>
        <v>1.7921999999999998</v>
      </c>
      <c r="M247" s="195">
        <f>AVERAGE(Ashed_controlls!$K$2:$K$11)</f>
        <v>5.5147656768714146</v>
      </c>
      <c r="N247" s="195">
        <f t="shared" si="24"/>
        <v>1.6933643695391103</v>
      </c>
      <c r="O247" s="195">
        <f t="shared" si="29"/>
        <v>1.9321999999999999</v>
      </c>
      <c r="P247" s="195">
        <f>AVERAGE(Ashed_controlls!$K$12:$K$14)</f>
        <v>2.2816647271287041</v>
      </c>
      <c r="Q247" s="195">
        <f t="shared" si="30"/>
        <v>1.8881136741424192</v>
      </c>
      <c r="R247" s="16">
        <f>IF('WetLitterbags placem_collection'!G174="N.A","",'WetLitterbags placem_collection'!G174)</f>
        <v>42814</v>
      </c>
      <c r="S247" s="195">
        <f>IF(IFERROR(INDEX('Both teabags AfterWet'!$C$3:$C$841,MATCH(H247,'Both teabags AfterWet'!$A$3:$A$841,0)),"")="N.A","",(IFERROR(INDEX('Both teabags AfterWet'!$C$3:$C$841,MATCH(H247,'Both teabags AfterWet'!$A$3:$A$841,0)),"")))</f>
        <v>0.69520000000000004</v>
      </c>
      <c r="T247" s="195">
        <f>IFERROR(INDEX('Both teabags AfterWet'!$C$3:$C$841,MATCH(I247,'Both teabags AfterWet'!$A$3:$A$841,0)),"")</f>
        <v>1.6782000000000001</v>
      </c>
      <c r="U247" s="195">
        <f t="shared" si="31"/>
        <v>0.54459999999999997</v>
      </c>
      <c r="V247" s="195">
        <f t="shared" si="31"/>
        <v>1.5276000000000001</v>
      </c>
      <c r="W247" s="195">
        <f>IFERROR(INDEX('Ashed teabags wet'!$K$2:$K$821,MATCH(H247,'Ashed teabags wet'!$A$2:$A$821,0)),"")</f>
        <v>8.6181277860327441</v>
      </c>
      <c r="X247" s="195">
        <f>IFERROR(INDEX('Ashed teabags wet'!$K$2:$K$821,MATCH(I247,'Ashed teabags wet'!$A$2:$A$821,0)),"")</f>
        <v>4.6332046332039889</v>
      </c>
      <c r="Y247" s="195">
        <f t="shared" si="25"/>
        <v>0.49766567607726564</v>
      </c>
      <c r="Z247" s="195">
        <f t="shared" si="25"/>
        <v>1.4568231660231759</v>
      </c>
      <c r="AA247" s="195">
        <f t="shared" si="32"/>
        <v>0.70610833378245852</v>
      </c>
      <c r="AB247" s="195">
        <f t="shared" si="33"/>
        <v>0.46291187677899903</v>
      </c>
      <c r="AC247" s="195">
        <f t="shared" si="26"/>
        <v>0.77157598399623084</v>
      </c>
      <c r="AD247">
        <f t="shared" si="27"/>
        <v>51</v>
      </c>
      <c r="AE247" s="195">
        <f t="shared" si="34"/>
        <v>0.16139152757427722</v>
      </c>
      <c r="AF247" s="195">
        <f t="shared" si="35"/>
        <v>1.3335938919816461E-2</v>
      </c>
      <c r="AG247" s="255" t="str">
        <f>IF(ISNUMBER(SEARCH("C",'WetLitterbags placem_collection'!AD174)),"YES","NO")</f>
        <v>NO</v>
      </c>
      <c r="AH247" s="255" t="str">
        <f>IF(ISNUMBER(SEARCH("H", 'WetLitterbags placem_collection'!AD174)),"YES","NO")</f>
        <v>NO</v>
      </c>
      <c r="AI247" s="255" t="str">
        <f>IF(ISNUMBER(SEARCH("R", 'WetLitterbags placem_collection'!AD174)),"YES","NO")</f>
        <v>NO</v>
      </c>
      <c r="AJ247" s="255" t="str">
        <f>IF(ISNUMBER(SEARCH("C", 'WetLitterbags placem_collection'!AC174)),"YES","NO")</f>
        <v>NO</v>
      </c>
      <c r="AK247" s="255" t="str">
        <f>IF(ISNUMBER(SEARCH("H", 'WetLitterbags placem_collection'!AC174)),"YES","NO")</f>
        <v>NO</v>
      </c>
      <c r="AL247" s="255" t="str">
        <f>IF(ISNUMBER(SEARCH("R", 'WetLitterbags placem_collection'!AC174)),"YES","NO")</f>
        <v>NO</v>
      </c>
    </row>
    <row r="248" spans="2:38">
      <c r="B248" t="str">
        <f>'Final data_for_R_analysis_Wetse'!A174</f>
        <v>Wet</v>
      </c>
      <c r="C248" s="263">
        <f>'Final data_for_R_analysis_Wetse'!B174</f>
        <v>173</v>
      </c>
      <c r="D248" t="s">
        <v>3853</v>
      </c>
      <c r="E248" t="s">
        <v>22</v>
      </c>
      <c r="F248" s="387">
        <v>5</v>
      </c>
      <c r="G248" s="16">
        <f>'WetLitterbags placem_collection'!E175</f>
        <v>42763</v>
      </c>
      <c r="H248" t="str">
        <f>'Final data_for_R_analysis_Wetse'!J174</f>
        <v>G216</v>
      </c>
      <c r="I248" t="str">
        <f>'Final data_for_R_analysis_Wetse'!J394</f>
        <v>R57</v>
      </c>
      <c r="J248">
        <f>IFERROR(INDEX('Green_rooibos initial weight'!$C$5:$C$1749,MATCH(H248, 'Green_rooibos initial weight'!$A$5:$A$1749,0)),"")</f>
        <v>2.1150000000000002</v>
      </c>
      <c r="K248">
        <f>IFERROR(INDEX('Green_rooibos initial weight'!$C$5:$C$1749,MATCH(I248, 'Green_rooibos initial weight'!$A$5:$A$1749,0)),"")</f>
        <v>2.1890000000000001</v>
      </c>
      <c r="L248" s="195">
        <f t="shared" si="28"/>
        <v>1.8652000000000002</v>
      </c>
      <c r="M248" s="195">
        <f>AVERAGE(Ashed_controlls!$K$2:$K$11)</f>
        <v>5.5147656768714146</v>
      </c>
      <c r="N248" s="195">
        <f t="shared" si="24"/>
        <v>1.7623385905949946</v>
      </c>
      <c r="O248" s="195">
        <f t="shared" si="29"/>
        <v>1.9392</v>
      </c>
      <c r="P248" s="195">
        <f>AVERAGE(Ashed_controlls!$K$12:$K$14)</f>
        <v>2.2816647271287041</v>
      </c>
      <c r="Q248" s="195">
        <f t="shared" si="30"/>
        <v>1.8949539576115202</v>
      </c>
      <c r="R248" s="16">
        <f>IF('WetLitterbags placem_collection'!G175="N.A","",'WetLitterbags placem_collection'!G175)</f>
        <v>42814</v>
      </c>
      <c r="S248" s="195">
        <f>IF(IFERROR(INDEX('Both teabags AfterWet'!$C$3:$C$841,MATCH(H248,'Both teabags AfterWet'!$A$3:$A$841,0)),"")="N.A","",(IFERROR(INDEX('Both teabags AfterWet'!$C$3:$C$841,MATCH(H248,'Both teabags AfterWet'!$A$3:$A$841,0)),"")))</f>
        <v>0.57999999999999996</v>
      </c>
      <c r="T248" s="195" t="str">
        <f>IFERROR(INDEX('Both teabags AfterWet'!$C$3:$C$841,MATCH(I248,'Both teabags AfterWet'!$A$3:$A$841,0)),"")</f>
        <v/>
      </c>
      <c r="U248" s="195">
        <f t="shared" si="31"/>
        <v>0.42939999999999995</v>
      </c>
      <c r="V248" s="195" t="str">
        <f t="shared" si="31"/>
        <v/>
      </c>
      <c r="W248" s="195">
        <f>IFERROR(INDEX('Ashed teabags wet'!$K$2:$K$821,MATCH(H248,'Ashed teabags wet'!$A$2:$A$821,0)),"")</f>
        <v>9.4980314960627936</v>
      </c>
      <c r="X248" s="195" t="str">
        <f>IFERROR(INDEX('Ashed teabags wet'!$K$2:$K$821,MATCH(I248,'Ashed teabags wet'!$A$2:$A$821,0)),"")</f>
        <v/>
      </c>
      <c r="Y248" s="195">
        <f t="shared" si="25"/>
        <v>0.38861545275590631</v>
      </c>
      <c r="Z248" s="195" t="str">
        <f t="shared" si="25"/>
        <v/>
      </c>
      <c r="AA248" s="195">
        <f t="shared" si="32"/>
        <v>0.77948876859996385</v>
      </c>
      <c r="AB248" s="195">
        <f t="shared" si="33"/>
        <v>0.51101876516292177</v>
      </c>
      <c r="AC248" s="195" t="str">
        <f t="shared" si="26"/>
        <v/>
      </c>
      <c r="AD248">
        <f t="shared" si="27"/>
        <v>51</v>
      </c>
      <c r="AE248" s="195">
        <f t="shared" si="34"/>
        <v>7.4241367458475205E-2</v>
      </c>
      <c r="AF248" s="195" t="str">
        <f t="shared" si="35"/>
        <v/>
      </c>
      <c r="AG248" s="255" t="str">
        <f>IF(ISNUMBER(SEARCH("C",'WetLitterbags placem_collection'!AD175)),"YES","NO")</f>
        <v>YES</v>
      </c>
      <c r="AH248" s="255" t="str">
        <f>IF(ISNUMBER(SEARCH("H", 'WetLitterbags placem_collection'!AD175)),"YES","NO")</f>
        <v>NO</v>
      </c>
      <c r="AI248" s="255" t="str">
        <f>IF(ISNUMBER(SEARCH("R", 'WetLitterbags placem_collection'!AD175)),"YES","NO")</f>
        <v>YES</v>
      </c>
      <c r="AJ248" s="255" t="str">
        <f>IF(ISNUMBER(SEARCH("C", 'WetLitterbags placem_collection'!AC175)),"YES","NO")</f>
        <v>NO</v>
      </c>
      <c r="AK248" s="255" t="str">
        <f>IF(ISNUMBER(SEARCH("H", 'WetLitterbags placem_collection'!AC175)),"YES","NO")</f>
        <v>NO</v>
      </c>
      <c r="AL248" s="255" t="str">
        <f>IF(ISNUMBER(SEARCH("R", 'WetLitterbags placem_collection'!AC175)),"YES","NO")</f>
        <v>NO</v>
      </c>
    </row>
    <row r="249" spans="2:38">
      <c r="B249" t="str">
        <f>'Final data_for_R_analysis_Wetse'!A175</f>
        <v>Wet</v>
      </c>
      <c r="C249" s="263">
        <f>'Final data_for_R_analysis_Wetse'!B175</f>
        <v>174</v>
      </c>
      <c r="D249" t="s">
        <v>3853</v>
      </c>
      <c r="E249" t="s">
        <v>22</v>
      </c>
      <c r="F249" s="387">
        <v>6</v>
      </c>
      <c r="G249" s="16">
        <f>'WetLitterbags placem_collection'!E176</f>
        <v>42763</v>
      </c>
      <c r="H249" t="str">
        <f>'Final data_for_R_analysis_Wetse'!J175</f>
        <v>G655</v>
      </c>
      <c r="I249" t="str">
        <f>'Final data_for_R_analysis_Wetse'!J395</f>
        <v>R307</v>
      </c>
      <c r="J249">
        <f>IFERROR(INDEX('Green_rooibos initial weight'!$C$5:$C$1749,MATCH(H249, 'Green_rooibos initial weight'!$A$5:$A$1749,0)),"")</f>
        <v>2.0009999999999999</v>
      </c>
      <c r="K249">
        <f>IFERROR(INDEX('Green_rooibos initial weight'!$C$5:$C$1749,MATCH(I249, 'Green_rooibos initial weight'!$A$5:$A$1749,0)),"")</f>
        <v>2.2010000000000001</v>
      </c>
      <c r="L249" s="195">
        <f t="shared" si="28"/>
        <v>1.7511999999999999</v>
      </c>
      <c r="M249" s="195">
        <f>AVERAGE(Ashed_controlls!$K$2:$K$11)</f>
        <v>5.5147656768714146</v>
      </c>
      <c r="N249" s="195">
        <f t="shared" si="24"/>
        <v>1.6546254234666278</v>
      </c>
      <c r="O249" s="195">
        <f t="shared" si="29"/>
        <v>1.9512</v>
      </c>
      <c r="P249" s="195">
        <f>AVERAGE(Ashed_controlls!$K$12:$K$14)</f>
        <v>2.2816647271287041</v>
      </c>
      <c r="Q249" s="195">
        <f t="shared" si="30"/>
        <v>1.9066801578442647</v>
      </c>
      <c r="R249" s="16">
        <f>IF('WetLitterbags placem_collection'!G176="N.A","",'WetLitterbags placem_collection'!G176)</f>
        <v>42814</v>
      </c>
      <c r="S249" s="195">
        <f>IF(IFERROR(INDEX('Both teabags AfterWet'!$C$3:$C$841,MATCH(H249,'Both teabags AfterWet'!$A$3:$A$841,0)),"")="N.A","",(IFERROR(INDEX('Both teabags AfterWet'!$C$3:$C$841,MATCH(H249,'Both teabags AfterWet'!$A$3:$A$841,0)),"")))</f>
        <v>0.68300000000000005</v>
      </c>
      <c r="T249" s="195">
        <f>IFERROR(INDEX('Both teabags AfterWet'!$C$3:$C$841,MATCH(I249,'Both teabags AfterWet'!$A$3:$A$841,0)),"")</f>
        <v>1.724</v>
      </c>
      <c r="U249" s="195">
        <f t="shared" si="31"/>
        <v>0.53239999999999998</v>
      </c>
      <c r="V249" s="195">
        <f t="shared" si="31"/>
        <v>1.5733999999999999</v>
      </c>
      <c r="W249" s="195">
        <f>IFERROR(INDEX('Ashed teabags wet'!$K$2:$K$821,MATCH(H249,'Ashed teabags wet'!$A$2:$A$821,0)),"")</f>
        <v>7.6961026147010658</v>
      </c>
      <c r="X249" s="195">
        <f>IFERROR(INDEX('Ashed teabags wet'!$K$2:$K$821,MATCH(I249,'Ashed teabags wet'!$A$2:$A$821,0)),"")</f>
        <v>1.5880893300249692</v>
      </c>
      <c r="Y249" s="195">
        <f t="shared" si="25"/>
        <v>0.49142594967933151</v>
      </c>
      <c r="Z249" s="195">
        <f t="shared" si="25"/>
        <v>1.5484130024813871</v>
      </c>
      <c r="AA249" s="195">
        <f t="shared" si="32"/>
        <v>0.70299867105284863</v>
      </c>
      <c r="AB249" s="195">
        <f t="shared" si="33"/>
        <v>0.46087323802989605</v>
      </c>
      <c r="AC249" s="195">
        <f t="shared" si="26"/>
        <v>0.81209897533735154</v>
      </c>
      <c r="AD249">
        <f t="shared" si="27"/>
        <v>51</v>
      </c>
      <c r="AE249" s="195">
        <f t="shared" si="34"/>
        <v>0.1650847137139565</v>
      </c>
      <c r="AF249" s="195">
        <f t="shared" si="35"/>
        <v>1.0269667176121461E-2</v>
      </c>
      <c r="AG249" s="255" t="str">
        <f>IF(ISNUMBER(SEARCH("C",'WetLitterbags placem_collection'!AD176)),"YES","NO")</f>
        <v>NO</v>
      </c>
      <c r="AH249" s="255" t="str">
        <f>IF(ISNUMBER(SEARCH("H", 'WetLitterbags placem_collection'!AD176)),"YES","NO")</f>
        <v>NO</v>
      </c>
      <c r="AI249" s="255" t="str">
        <f>IF(ISNUMBER(SEARCH("R", 'WetLitterbags placem_collection'!AD176)),"YES","NO")</f>
        <v>NO</v>
      </c>
      <c r="AJ249" s="255" t="str">
        <f>IF(ISNUMBER(SEARCH("C", 'WetLitterbags placem_collection'!AC176)),"YES","NO")</f>
        <v>NO</v>
      </c>
      <c r="AK249" s="255" t="str">
        <f>IF(ISNUMBER(SEARCH("H", 'WetLitterbags placem_collection'!AC176)),"YES","NO")</f>
        <v>NO</v>
      </c>
      <c r="AL249" s="255" t="str">
        <f>IF(ISNUMBER(SEARCH("R", 'WetLitterbags placem_collection'!AC176)),"YES","NO")</f>
        <v>NO</v>
      </c>
    </row>
    <row r="250" spans="2:38">
      <c r="B250" t="str">
        <f>'Final data_for_R_analysis_Wetse'!A176</f>
        <v>Wet</v>
      </c>
      <c r="C250" s="263">
        <f>'Final data_for_R_analysis_Wetse'!B176</f>
        <v>175</v>
      </c>
      <c r="D250" t="s">
        <v>3853</v>
      </c>
      <c r="E250" t="s">
        <v>22</v>
      </c>
      <c r="F250" s="387">
        <v>7</v>
      </c>
      <c r="G250" s="16">
        <f>'WetLitterbags placem_collection'!E177</f>
        <v>42763</v>
      </c>
      <c r="H250" t="str">
        <f>'Final data_for_R_analysis_Wetse'!J176</f>
        <v>G457</v>
      </c>
      <c r="I250" t="str">
        <f>'Final data_for_R_analysis_Wetse'!J396</f>
        <v>R458</v>
      </c>
      <c r="J250">
        <f>IFERROR(INDEX('Green_rooibos initial weight'!$C$5:$C$1749,MATCH(H250, 'Green_rooibos initial weight'!$A$5:$A$1749,0)),"")</f>
        <v>2.1579999999999999</v>
      </c>
      <c r="K250">
        <f>IFERROR(INDEX('Green_rooibos initial weight'!$C$5:$C$1749,MATCH(I250, 'Green_rooibos initial weight'!$A$5:$A$1749,0)),"")</f>
        <v>2.2370000000000001</v>
      </c>
      <c r="L250" s="195">
        <f t="shared" si="28"/>
        <v>1.9081999999999999</v>
      </c>
      <c r="M250" s="195">
        <f>AVERAGE(Ashed_controlls!$K$2:$K$11)</f>
        <v>5.5147656768714146</v>
      </c>
      <c r="N250" s="195">
        <f t="shared" si="24"/>
        <v>1.8029672413539395</v>
      </c>
      <c r="O250" s="195">
        <f t="shared" si="29"/>
        <v>1.9872000000000001</v>
      </c>
      <c r="P250" s="195">
        <f>AVERAGE(Ashed_controlls!$K$12:$K$14)</f>
        <v>2.2816647271287041</v>
      </c>
      <c r="Q250" s="195">
        <f t="shared" si="30"/>
        <v>1.9418587585424985</v>
      </c>
      <c r="R250" s="16">
        <f>IF('WetLitterbags placem_collection'!G177="N.A","",'WetLitterbags placem_collection'!G177)</f>
        <v>42814</v>
      </c>
      <c r="S250" s="195">
        <f>IF(IFERROR(INDEX('Both teabags AfterWet'!$C$3:$C$841,MATCH(H250,'Both teabags AfterWet'!$A$3:$A$841,0)),"")="N.A","",(IFERROR(INDEX('Both teabags AfterWet'!$C$3:$C$841,MATCH(H250,'Both teabags AfterWet'!$A$3:$A$841,0)),"")))</f>
        <v>0.68200000000000005</v>
      </c>
      <c r="T250" s="195">
        <f>IFERROR(INDEX('Both teabags AfterWet'!$C$3:$C$841,MATCH(I250,'Both teabags AfterWet'!$A$3:$A$841,0)),"")</f>
        <v>0.61699999999999999</v>
      </c>
      <c r="U250" s="195">
        <f t="shared" si="31"/>
        <v>0.53140000000000009</v>
      </c>
      <c r="V250" s="195">
        <f t="shared" si="31"/>
        <v>0.46639999999999998</v>
      </c>
      <c r="W250" s="195">
        <f>IFERROR(INDEX('Ashed teabags wet'!$K$2:$K$821,MATCH(H250,'Ashed teabags wet'!$A$2:$A$821,0)),"")</f>
        <v>9.6918489065609759</v>
      </c>
      <c r="X250" s="195">
        <f>IFERROR(INDEX('Ashed teabags wet'!$K$2:$K$821,MATCH(I250,'Ashed teabags wet'!$A$2:$A$821,0)),"")</f>
        <v>65.665665665665671</v>
      </c>
      <c r="Y250" s="195">
        <f t="shared" si="25"/>
        <v>0.47989751491053506</v>
      </c>
      <c r="Z250" s="195">
        <f t="shared" si="25"/>
        <v>0.1601353353353353</v>
      </c>
      <c r="AA250" s="195">
        <f t="shared" si="32"/>
        <v>0.7338290436435464</v>
      </c>
      <c r="AB250" s="195">
        <f t="shared" si="33"/>
        <v>0.48108507374256254</v>
      </c>
      <c r="AC250" s="195">
        <f t="shared" si="26"/>
        <v>8.2464975699637469E-2</v>
      </c>
      <c r="AD250">
        <f t="shared" si="27"/>
        <v>51</v>
      </c>
      <c r="AE250" s="195">
        <f t="shared" si="34"/>
        <v>0.12846906930695201</v>
      </c>
      <c r="AF250" s="195" t="str">
        <f t="shared" si="35"/>
        <v/>
      </c>
      <c r="AG250" s="255" t="str">
        <f>IF(ISNUMBER(SEARCH("C",'WetLitterbags placem_collection'!AD177)),"YES","NO")</f>
        <v>NO</v>
      </c>
      <c r="AH250" s="255" t="str">
        <f>IF(ISNUMBER(SEARCH("H", 'WetLitterbags placem_collection'!AD177)),"YES","NO")</f>
        <v>NO</v>
      </c>
      <c r="AI250" s="255" t="str">
        <f>IF(ISNUMBER(SEARCH("R", 'WetLitterbags placem_collection'!AD177)),"YES","NO")</f>
        <v>NO</v>
      </c>
      <c r="AJ250" s="255" t="str">
        <f>IF(ISNUMBER(SEARCH("C", 'WetLitterbags placem_collection'!AC177)),"YES","NO")</f>
        <v>NO</v>
      </c>
      <c r="AK250" s="255" t="str">
        <f>IF(ISNUMBER(SEARCH("H", 'WetLitterbags placem_collection'!AC177)),"YES","NO")</f>
        <v>NO</v>
      </c>
      <c r="AL250" s="255" t="str">
        <f>IF(ISNUMBER(SEARCH("R", 'WetLitterbags placem_collection'!AC177)),"YES","NO")</f>
        <v>NO</v>
      </c>
    </row>
    <row r="251" spans="2:38">
      <c r="B251" t="str">
        <f>'Final data_for_R_analysis_Wetse'!A177</f>
        <v>Wet</v>
      </c>
      <c r="C251" s="263">
        <f>'Final data_for_R_analysis_Wetse'!B177</f>
        <v>176</v>
      </c>
      <c r="D251" t="s">
        <v>3853</v>
      </c>
      <c r="E251" t="s">
        <v>22</v>
      </c>
      <c r="F251" s="387">
        <v>8</v>
      </c>
      <c r="G251" s="16">
        <f>'WetLitterbags placem_collection'!E178</f>
        <v>42763</v>
      </c>
      <c r="H251" t="str">
        <f>'Final data_for_R_analysis_Wetse'!J177</f>
        <v>G454</v>
      </c>
      <c r="I251" t="str">
        <f>'Final data_for_R_analysis_Wetse'!J397</f>
        <v>R326</v>
      </c>
      <c r="J251">
        <f>IFERROR(INDEX('Green_rooibos initial weight'!$C$5:$C$1749,MATCH(H251, 'Green_rooibos initial weight'!$A$5:$A$1749,0)),"")</f>
        <v>2.0920000000000001</v>
      </c>
      <c r="K251">
        <f>IFERROR(INDEX('Green_rooibos initial weight'!$C$5:$C$1749,MATCH(I251, 'Green_rooibos initial weight'!$A$5:$A$1749,0)),"")</f>
        <v>2.1890000000000001</v>
      </c>
      <c r="L251" s="195">
        <f t="shared" si="28"/>
        <v>1.8422000000000001</v>
      </c>
      <c r="M251" s="195">
        <f>AVERAGE(Ashed_controlls!$K$2:$K$11)</f>
        <v>5.5147656768714146</v>
      </c>
      <c r="N251" s="195">
        <f t="shared" si="24"/>
        <v>1.7406069867006748</v>
      </c>
      <c r="O251" s="195">
        <f t="shared" si="29"/>
        <v>1.9392</v>
      </c>
      <c r="P251" s="195">
        <f>AVERAGE(Ashed_controlls!$K$12:$K$14)</f>
        <v>2.2816647271287041</v>
      </c>
      <c r="Q251" s="195">
        <f t="shared" si="30"/>
        <v>1.8949539576115202</v>
      </c>
      <c r="R251" s="16">
        <f>IF('WetLitterbags placem_collection'!G178="N.A","",'WetLitterbags placem_collection'!G178)</f>
        <v>42814</v>
      </c>
      <c r="S251" s="195">
        <f>IF(IFERROR(INDEX('Both teabags AfterWet'!$C$3:$C$841,MATCH(H251,'Both teabags AfterWet'!$A$3:$A$841,0)),"")="N.A","",(IFERROR(INDEX('Both teabags AfterWet'!$C$3:$C$841,MATCH(H251,'Both teabags AfterWet'!$A$3:$A$841,0)),"")))</f>
        <v>0.63900000000000001</v>
      </c>
      <c r="T251" s="195">
        <f>IFERROR(INDEX('Both teabags AfterWet'!$C$3:$C$841,MATCH(I251,'Both teabags AfterWet'!$A$3:$A$841,0)),"")</f>
        <v>1.694</v>
      </c>
      <c r="U251" s="195">
        <f t="shared" si="31"/>
        <v>0.4884</v>
      </c>
      <c r="V251" s="195">
        <f t="shared" si="31"/>
        <v>1.5433999999999999</v>
      </c>
      <c r="W251" s="195">
        <f>IFERROR(INDEX('Ashed teabags wet'!$K$2:$K$821,MATCH(H251,'Ashed teabags wet'!$A$2:$A$821,0)),"")</f>
        <v>10.539215686274888</v>
      </c>
      <c r="X251" s="195">
        <f>IFERROR(INDEX('Ashed teabags wet'!$K$2:$K$821,MATCH(I251,'Ashed teabags wet'!$A$2:$A$821,0)),"")</f>
        <v>5.9808612440189712</v>
      </c>
      <c r="Y251" s="195">
        <f t="shared" si="25"/>
        <v>0.43692647058823342</v>
      </c>
      <c r="Z251" s="195">
        <f t="shared" si="25"/>
        <v>1.451091387559811</v>
      </c>
      <c r="AA251" s="195">
        <f t="shared" si="32"/>
        <v>0.74898039940858285</v>
      </c>
      <c r="AB251" s="195">
        <f t="shared" si="33"/>
        <v>0.49101802906595932</v>
      </c>
      <c r="AC251" s="195">
        <f t="shared" si="26"/>
        <v>0.76576603971361279</v>
      </c>
      <c r="AD251">
        <f t="shared" si="27"/>
        <v>51</v>
      </c>
      <c r="AE251" s="195">
        <f t="shared" si="34"/>
        <v>0.11047458502543606</v>
      </c>
      <c r="AF251" s="195">
        <f t="shared" si="35"/>
        <v>1.2710692426803677E-2</v>
      </c>
      <c r="AG251" s="255" t="str">
        <f>IF(ISNUMBER(SEARCH("C",'WetLitterbags placem_collection'!AD178)),"YES","NO")</f>
        <v>NO</v>
      </c>
      <c r="AH251" s="255" t="str">
        <f>IF(ISNUMBER(SEARCH("H", 'WetLitterbags placem_collection'!AD178)),"YES","NO")</f>
        <v>NO</v>
      </c>
      <c r="AI251" s="255" t="str">
        <f>IF(ISNUMBER(SEARCH("R", 'WetLitterbags placem_collection'!AD178)),"YES","NO")</f>
        <v>NO</v>
      </c>
      <c r="AJ251" s="255" t="str">
        <f>IF(ISNUMBER(SEARCH("C", 'WetLitterbags placem_collection'!AC178)),"YES","NO")</f>
        <v>NO</v>
      </c>
      <c r="AK251" s="255" t="str">
        <f>IF(ISNUMBER(SEARCH("H", 'WetLitterbags placem_collection'!AC178)),"YES","NO")</f>
        <v>NO</v>
      </c>
      <c r="AL251" s="255" t="str">
        <f>IF(ISNUMBER(SEARCH("R", 'WetLitterbags placem_collection'!AC178)),"YES","NO")</f>
        <v>NO</v>
      </c>
    </row>
    <row r="252" spans="2:38">
      <c r="B252" t="str">
        <f>'Final data_for_R_analysis_Wetse'!A178</f>
        <v>Wet</v>
      </c>
      <c r="C252" s="263">
        <f>'Final data_for_R_analysis_Wetse'!B178</f>
        <v>177</v>
      </c>
      <c r="D252" t="s">
        <v>3854</v>
      </c>
      <c r="E252" t="s">
        <v>22</v>
      </c>
      <c r="F252" s="386">
        <v>1</v>
      </c>
      <c r="G252" s="16">
        <f>'WetLitterbags placem_collection'!E179</f>
        <v>42763</v>
      </c>
      <c r="H252" t="str">
        <f>'Final data_for_R_analysis_Wetse'!J178</f>
        <v>G362</v>
      </c>
      <c r="I252" t="str">
        <f>'Final data_for_R_analysis_Wetse'!J398</f>
        <v>R262</v>
      </c>
      <c r="J252">
        <f>IFERROR(INDEX('Green_rooibos initial weight'!$C$5:$C$1749,MATCH(H252, 'Green_rooibos initial weight'!$A$5:$A$1749,0)),"")</f>
        <v>2.0659999999999998</v>
      </c>
      <c r="K252">
        <f>IFERROR(INDEX('Green_rooibos initial weight'!$C$5:$C$1749,MATCH(I252, 'Green_rooibos initial weight'!$A$5:$A$1749,0)),"")</f>
        <v>2.1949999999999998</v>
      </c>
      <c r="L252" s="195">
        <f t="shared" si="28"/>
        <v>1.8161999999999998</v>
      </c>
      <c r="M252" s="195">
        <f>AVERAGE(Ashed_controlls!$K$2:$K$11)</f>
        <v>5.5147656768714146</v>
      </c>
      <c r="N252" s="195">
        <f t="shared" si="24"/>
        <v>1.7160408257766613</v>
      </c>
      <c r="O252" s="195">
        <f t="shared" si="29"/>
        <v>1.9451999999999998</v>
      </c>
      <c r="P252" s="195">
        <f>AVERAGE(Ashed_controlls!$K$12:$K$14)</f>
        <v>2.2816647271287041</v>
      </c>
      <c r="Q252" s="195">
        <f t="shared" si="30"/>
        <v>1.9008170577278922</v>
      </c>
      <c r="R252" s="16">
        <f>IF('WetLitterbags placem_collection'!G179="N.A","",'WetLitterbags placem_collection'!G179)</f>
        <v>42815</v>
      </c>
      <c r="S252" s="195">
        <f>IF(IFERROR(INDEX('Both teabags AfterWet'!$C$3:$C$841,MATCH(H252,'Both teabags AfterWet'!$A$3:$A$841,0)),"")="N.A","",(IFERROR(INDEX('Both teabags AfterWet'!$C$3:$C$841,MATCH(H252,'Both teabags AfterWet'!$A$3:$A$841,0)),"")))</f>
        <v>0.61299999999999999</v>
      </c>
      <c r="T252" s="195">
        <f>IFERROR(INDEX('Both teabags AfterWet'!$C$3:$C$841,MATCH(I252,'Both teabags AfterWet'!$A$3:$A$841,0)),"")</f>
        <v>1.671</v>
      </c>
      <c r="U252" s="195">
        <f t="shared" si="31"/>
        <v>0.46239999999999998</v>
      </c>
      <c r="V252" s="195">
        <f t="shared" si="31"/>
        <v>1.5204</v>
      </c>
      <c r="W252" s="195">
        <f>IFERROR(INDEX('Ashed teabags wet'!$K$2:$K$821,MATCH(H252,'Ashed teabags wet'!$A$2:$A$821,0)),"")</f>
        <v>9.1395235780264326</v>
      </c>
      <c r="X252" s="195">
        <f>IFERROR(INDEX('Ashed teabags wet'!$K$2:$K$821,MATCH(I252,'Ashed teabags wet'!$A$2:$A$821,0)),"")</f>
        <v>2.7363184079606433</v>
      </c>
      <c r="Y252" s="195">
        <f t="shared" si="25"/>
        <v>0.42013884297520576</v>
      </c>
      <c r="Z252" s="195">
        <f t="shared" si="25"/>
        <v>1.4787970149253664</v>
      </c>
      <c r="AA252" s="195">
        <f t="shared" si="32"/>
        <v>0.75516966923846029</v>
      </c>
      <c r="AB252" s="195">
        <f t="shared" si="33"/>
        <v>0.49507560263614026</v>
      </c>
      <c r="AC252" s="195">
        <f t="shared" si="26"/>
        <v>0.77797966348903669</v>
      </c>
      <c r="AD252">
        <f t="shared" si="27"/>
        <v>52</v>
      </c>
      <c r="AE252" s="195">
        <f t="shared" si="34"/>
        <v>0.10312390826786189</v>
      </c>
      <c r="AF252" s="195">
        <f t="shared" si="35"/>
        <v>1.1443005169015584E-2</v>
      </c>
      <c r="AG252" s="255" t="str">
        <f>IF(ISNUMBER(SEARCH("C",'WetLitterbags placem_collection'!AD179)),"YES","NO")</f>
        <v>NO</v>
      </c>
      <c r="AH252" s="255" t="str">
        <f>IF(ISNUMBER(SEARCH("H", 'WetLitterbags placem_collection'!AD179)),"YES","NO")</f>
        <v>NO</v>
      </c>
      <c r="AI252" s="255" t="str">
        <f>IF(ISNUMBER(SEARCH("R", 'WetLitterbags placem_collection'!AD179)),"YES","NO")</f>
        <v>NO</v>
      </c>
      <c r="AJ252" s="255" t="str">
        <f>IF(ISNUMBER(SEARCH("C", 'WetLitterbags placem_collection'!AC179)),"YES","NO")</f>
        <v>NO</v>
      </c>
      <c r="AK252" s="255" t="str">
        <f>IF(ISNUMBER(SEARCH("H", 'WetLitterbags placem_collection'!AC179)),"YES","NO")</f>
        <v>NO</v>
      </c>
      <c r="AL252" s="255" t="str">
        <f>IF(ISNUMBER(SEARCH("R", 'WetLitterbags placem_collection'!AC179)),"YES","NO")</f>
        <v>NO</v>
      </c>
    </row>
    <row r="253" spans="2:38">
      <c r="B253" t="str">
        <f>'Final data_for_R_analysis_Wetse'!A179</f>
        <v>Wet</v>
      </c>
      <c r="C253" s="263">
        <f>'Final data_for_R_analysis_Wetse'!B179</f>
        <v>178</v>
      </c>
      <c r="D253" t="s">
        <v>3854</v>
      </c>
      <c r="E253" t="s">
        <v>22</v>
      </c>
      <c r="F253" s="386">
        <v>2</v>
      </c>
      <c r="G253" s="16">
        <f>'WetLitterbags placem_collection'!E180</f>
        <v>42763</v>
      </c>
      <c r="H253" t="str">
        <f>'Final data_for_R_analysis_Wetse'!J179</f>
        <v>G781</v>
      </c>
      <c r="I253" t="str">
        <f>'Final data_for_R_analysis_Wetse'!J399</f>
        <v>R309</v>
      </c>
      <c r="J253">
        <f>IFERROR(INDEX('Green_rooibos initial weight'!$C$5:$C$1749,MATCH(H253, 'Green_rooibos initial weight'!$A$5:$A$1749,0)),"")</f>
        <v>2.0920000000000001</v>
      </c>
      <c r="K253">
        <f>IFERROR(INDEX('Green_rooibos initial weight'!$C$5:$C$1749,MATCH(I253, 'Green_rooibos initial weight'!$A$5:$A$1749,0)),"")</f>
        <v>2.1960000000000002</v>
      </c>
      <c r="L253" s="195">
        <f t="shared" si="28"/>
        <v>1.8422000000000001</v>
      </c>
      <c r="M253" s="195">
        <f>AVERAGE(Ashed_controlls!$K$2:$K$11)</f>
        <v>5.5147656768714146</v>
      </c>
      <c r="N253" s="195">
        <f t="shared" si="24"/>
        <v>1.7406069867006748</v>
      </c>
      <c r="O253" s="195">
        <f t="shared" si="29"/>
        <v>1.9462000000000002</v>
      </c>
      <c r="P253" s="195">
        <f>AVERAGE(Ashed_controlls!$K$12:$K$14)</f>
        <v>2.2816647271287041</v>
      </c>
      <c r="Q253" s="195">
        <f t="shared" si="30"/>
        <v>1.9017942410806212</v>
      </c>
      <c r="R253" s="16">
        <f>IF('WetLitterbags placem_collection'!G180="N.A","",'WetLitterbags placem_collection'!G180)</f>
        <v>42815</v>
      </c>
      <c r="S253" s="195">
        <f>IF(IFERROR(INDEX('Both teabags AfterWet'!$C$3:$C$841,MATCH(H253,'Both teabags AfterWet'!$A$3:$A$841,0)),"")="N.A","",(IFERROR(INDEX('Both teabags AfterWet'!$C$3:$C$841,MATCH(H253,'Both teabags AfterWet'!$A$3:$A$841,0)),"")))</f>
        <v>0.62549999999999994</v>
      </c>
      <c r="T253" s="195">
        <f>IFERROR(INDEX('Both teabags AfterWet'!$C$3:$C$841,MATCH(I253,'Both teabags AfterWet'!$A$3:$A$841,0)),"")</f>
        <v>1.6866000000000001</v>
      </c>
      <c r="U253" s="195">
        <f t="shared" si="31"/>
        <v>0.47489999999999993</v>
      </c>
      <c r="V253" s="195">
        <f t="shared" si="31"/>
        <v>1.536</v>
      </c>
      <c r="W253" s="195">
        <f>IFERROR(INDEX('Ashed teabags wet'!$K$2:$K$821,MATCH(H253,'Ashed teabags wet'!$A$2:$A$821,0)),"")</f>
        <v>7.0843373493975461</v>
      </c>
      <c r="X253" s="195">
        <f>IFERROR(INDEX('Ashed teabags wet'!$K$2:$K$821,MATCH(I253,'Ashed teabags wet'!$A$2:$A$821,0)),"")</f>
        <v>0.87633885102250153</v>
      </c>
      <c r="Y253" s="195">
        <f t="shared" si="25"/>
        <v>0.441256481927711</v>
      </c>
      <c r="Z253" s="195">
        <f t="shared" si="25"/>
        <v>1.5225394352482944</v>
      </c>
      <c r="AA253" s="195">
        <f t="shared" si="32"/>
        <v>0.74649275494170353</v>
      </c>
      <c r="AB253" s="195">
        <f t="shared" si="33"/>
        <v>0.48938717426106937</v>
      </c>
      <c r="AC253" s="195">
        <f t="shared" si="26"/>
        <v>0.80058052672573565</v>
      </c>
      <c r="AD253">
        <f t="shared" si="27"/>
        <v>52</v>
      </c>
      <c r="AE253" s="195">
        <f t="shared" si="34"/>
        <v>0.11342903213574396</v>
      </c>
      <c r="AF253" s="195">
        <f t="shared" si="35"/>
        <v>1.0065084667832113E-2</v>
      </c>
      <c r="AG253" s="255" t="str">
        <f>IF(ISNUMBER(SEARCH("C",'WetLitterbags placem_collection'!AD180)),"YES","NO")</f>
        <v>NO</v>
      </c>
      <c r="AH253" s="255" t="str">
        <f>IF(ISNUMBER(SEARCH("H", 'WetLitterbags placem_collection'!AD180)),"YES","NO")</f>
        <v>NO</v>
      </c>
      <c r="AI253" s="255" t="str">
        <f>IF(ISNUMBER(SEARCH("R", 'WetLitterbags placem_collection'!AD180)),"YES","NO")</f>
        <v>NO</v>
      </c>
      <c r="AJ253" s="255" t="str">
        <f>IF(ISNUMBER(SEARCH("C", 'WetLitterbags placem_collection'!AC180)),"YES","NO")</f>
        <v>NO</v>
      </c>
      <c r="AK253" s="255" t="str">
        <f>IF(ISNUMBER(SEARCH("H", 'WetLitterbags placem_collection'!AC180)),"YES","NO")</f>
        <v>NO</v>
      </c>
      <c r="AL253" s="255" t="str">
        <f>IF(ISNUMBER(SEARCH("R", 'WetLitterbags placem_collection'!AC180)),"YES","NO")</f>
        <v>NO</v>
      </c>
    </row>
    <row r="254" spans="2:38">
      <c r="B254" t="str">
        <f>'Final data_for_R_analysis_Wetse'!A180</f>
        <v>Wet</v>
      </c>
      <c r="C254" s="263">
        <f>'Final data_for_R_analysis_Wetse'!B180</f>
        <v>179</v>
      </c>
      <c r="D254" t="s">
        <v>3854</v>
      </c>
      <c r="E254" t="s">
        <v>22</v>
      </c>
      <c r="F254" s="386">
        <v>3</v>
      </c>
      <c r="G254" s="16">
        <f>'WetLitterbags placem_collection'!E181</f>
        <v>42763</v>
      </c>
      <c r="H254" t="str">
        <f>'Final data_for_R_analysis_Wetse'!J180</f>
        <v>G451</v>
      </c>
      <c r="I254" t="str">
        <f>'Final data_for_R_analysis_Wetse'!J400</f>
        <v>R32</v>
      </c>
      <c r="J254">
        <f>IFERROR(INDEX('Green_rooibos initial weight'!$C$5:$C$1749,MATCH(H254, 'Green_rooibos initial weight'!$A$5:$A$1749,0)),"")</f>
        <v>2.1139999999999999</v>
      </c>
      <c r="K254">
        <f>IFERROR(INDEX('Green_rooibos initial weight'!$C$5:$C$1749,MATCH(I254, 'Green_rooibos initial weight'!$A$5:$A$1749,0)),"")</f>
        <v>2.2290000000000001</v>
      </c>
      <c r="L254" s="195">
        <f t="shared" si="28"/>
        <v>1.8641999999999999</v>
      </c>
      <c r="M254" s="195">
        <f>AVERAGE(Ashed_controlls!$K$2:$K$11)</f>
        <v>5.5147656768714146</v>
      </c>
      <c r="N254" s="195">
        <f t="shared" si="24"/>
        <v>1.761393738251763</v>
      </c>
      <c r="O254" s="195">
        <f t="shared" si="29"/>
        <v>1.9792000000000001</v>
      </c>
      <c r="P254" s="195">
        <f>AVERAGE(Ashed_controlls!$K$12:$K$14)</f>
        <v>2.2816647271287041</v>
      </c>
      <c r="Q254" s="195">
        <f t="shared" si="30"/>
        <v>1.9340412917206689</v>
      </c>
      <c r="R254" s="16">
        <f>IF('WetLitterbags placem_collection'!G181="N.A","",'WetLitterbags placem_collection'!G181)</f>
        <v>42815</v>
      </c>
      <c r="S254" s="195">
        <f>IF(IFERROR(INDEX('Both teabags AfterWet'!$C$3:$C$841,MATCH(H254,'Both teabags AfterWet'!$A$3:$A$841,0)),"")="N.A","",(IFERROR(INDEX('Both teabags AfterWet'!$C$3:$C$841,MATCH(H254,'Both teabags AfterWet'!$A$3:$A$841,0)),"")))</f>
        <v>0.60329999999999995</v>
      </c>
      <c r="T254" s="195">
        <f>IFERROR(INDEX('Both teabags AfterWet'!$C$3:$C$841,MATCH(I254,'Both teabags AfterWet'!$A$3:$A$841,0)),"")</f>
        <v>1.6146</v>
      </c>
      <c r="U254" s="195">
        <f t="shared" si="31"/>
        <v>0.45269999999999994</v>
      </c>
      <c r="V254" s="195">
        <f t="shared" si="31"/>
        <v>1.464</v>
      </c>
      <c r="W254" s="195">
        <f>IFERROR(INDEX('Ashed teabags wet'!$K$2:$K$821,MATCH(H254,'Ashed teabags wet'!$A$2:$A$821,0)),"")</f>
        <v>8.9466089466084018</v>
      </c>
      <c r="X254" s="195">
        <f>IFERROR(INDEX('Ashed teabags wet'!$K$2:$K$821,MATCH(I254,'Ashed teabags wet'!$A$2:$A$821,0)),"")</f>
        <v>1.8482490272371503</v>
      </c>
      <c r="Y254" s="195">
        <f t="shared" si="25"/>
        <v>0.41219870129870373</v>
      </c>
      <c r="Z254" s="195">
        <f t="shared" si="25"/>
        <v>1.436941634241248</v>
      </c>
      <c r="AA254" s="195">
        <f t="shared" si="32"/>
        <v>0.76598151092110534</v>
      </c>
      <c r="AB254" s="195">
        <f t="shared" si="33"/>
        <v>0.5021636508651427</v>
      </c>
      <c r="AC254" s="195">
        <f t="shared" si="26"/>
        <v>0.74297360681624147</v>
      </c>
      <c r="AD254">
        <f t="shared" si="27"/>
        <v>52</v>
      </c>
      <c r="AE254" s="195">
        <f t="shared" si="34"/>
        <v>9.0283241186335683E-2</v>
      </c>
      <c r="AF254" s="195">
        <f t="shared" si="35"/>
        <v>1.3790534138455284E-2</v>
      </c>
      <c r="AG254" s="255" t="str">
        <f>IF(ISNUMBER(SEARCH("C",'WetLitterbags placem_collection'!AD181)),"YES","NO")</f>
        <v>NO</v>
      </c>
      <c r="AH254" s="255" t="str">
        <f>IF(ISNUMBER(SEARCH("H", 'WetLitterbags placem_collection'!AD181)),"YES","NO")</f>
        <v>NO</v>
      </c>
      <c r="AI254" s="255" t="str">
        <f>IF(ISNUMBER(SEARCH("R", 'WetLitterbags placem_collection'!AD181)),"YES","NO")</f>
        <v>NO</v>
      </c>
      <c r="AJ254" s="255" t="str">
        <f>IF(ISNUMBER(SEARCH("C", 'WetLitterbags placem_collection'!AC181)),"YES","NO")</f>
        <v>NO</v>
      </c>
      <c r="AK254" s="255" t="str">
        <f>IF(ISNUMBER(SEARCH("H", 'WetLitterbags placem_collection'!AC181)),"YES","NO")</f>
        <v>NO</v>
      </c>
      <c r="AL254" s="255" t="str">
        <f>IF(ISNUMBER(SEARCH("R", 'WetLitterbags placem_collection'!AC181)),"YES","NO")</f>
        <v>NO</v>
      </c>
    </row>
    <row r="255" spans="2:38">
      <c r="B255" t="str">
        <f>'Final data_for_R_analysis_Wetse'!A181</f>
        <v>Wet</v>
      </c>
      <c r="C255" s="263">
        <f>'Final data_for_R_analysis_Wetse'!B181</f>
        <v>180</v>
      </c>
      <c r="D255" t="s">
        <v>3854</v>
      </c>
      <c r="E255" t="s">
        <v>22</v>
      </c>
      <c r="F255" s="387">
        <v>4</v>
      </c>
      <c r="G255" s="16">
        <f>'WetLitterbags placem_collection'!E182</f>
        <v>42763</v>
      </c>
      <c r="H255" t="str">
        <f>'Final data_for_R_analysis_Wetse'!J181</f>
        <v>G360</v>
      </c>
      <c r="I255" t="str">
        <f>'Final data_for_R_analysis_Wetse'!J401</f>
        <v>R268</v>
      </c>
      <c r="J255">
        <f>IFERROR(INDEX('Green_rooibos initial weight'!$C$5:$C$1749,MATCH(H255, 'Green_rooibos initial weight'!$A$5:$A$1749,0)),"")</f>
        <v>2.0099999999999998</v>
      </c>
      <c r="K255">
        <f>IFERROR(INDEX('Green_rooibos initial weight'!$C$5:$C$1749,MATCH(I255, 'Green_rooibos initial weight'!$A$5:$A$1749,0)),"")</f>
        <v>2.1709999999999998</v>
      </c>
      <c r="L255" s="195">
        <f t="shared" si="28"/>
        <v>1.7601999999999998</v>
      </c>
      <c r="M255" s="195">
        <f>AVERAGE(Ashed_controlls!$K$2:$K$11)</f>
        <v>5.5147656768714146</v>
      </c>
      <c r="N255" s="195">
        <f t="shared" si="24"/>
        <v>1.6631290945557091</v>
      </c>
      <c r="O255" s="195">
        <f t="shared" si="29"/>
        <v>1.9211999999999998</v>
      </c>
      <c r="P255" s="195">
        <f>AVERAGE(Ashed_controlls!$K$12:$K$14)</f>
        <v>2.2816647271287041</v>
      </c>
      <c r="Q255" s="195">
        <f t="shared" si="30"/>
        <v>1.8773646572624032</v>
      </c>
      <c r="R255" s="16">
        <f>IF('WetLitterbags placem_collection'!G182="N.A","",'WetLitterbags placem_collection'!G182)</f>
        <v>42815</v>
      </c>
      <c r="S255" s="195">
        <f>IF(IFERROR(INDEX('Both teabags AfterWet'!$C$3:$C$841,MATCH(H255,'Both teabags AfterWet'!$A$3:$A$841,0)),"")="N.A","",(IFERROR(INDEX('Both teabags AfterWet'!$C$3:$C$841,MATCH(H255,'Both teabags AfterWet'!$A$3:$A$841,0)),"")))</f>
        <v>0.62219999999999998</v>
      </c>
      <c r="T255" s="195">
        <f>IFERROR(INDEX('Both teabags AfterWet'!$C$3:$C$841,MATCH(I255,'Both teabags AfterWet'!$A$3:$A$841,0)),"")</f>
        <v>1.6403000000000001</v>
      </c>
      <c r="U255" s="195">
        <f t="shared" si="31"/>
        <v>0.47159999999999996</v>
      </c>
      <c r="V255" s="195">
        <f t="shared" si="31"/>
        <v>1.4897</v>
      </c>
      <c r="W255" s="195">
        <f>IFERROR(INDEX('Ashed teabags wet'!$K$2:$K$821,MATCH(H255,'Ashed teabags wet'!$A$2:$A$821,0)),"")</f>
        <v>9.1525423728814648</v>
      </c>
      <c r="X255" s="195">
        <f>IFERROR(INDEX('Ashed teabags wet'!$K$2:$K$821,MATCH(I255,'Ashed teabags wet'!$A$2:$A$821,0)),"")</f>
        <v>2.0588235294118782</v>
      </c>
      <c r="Y255" s="195">
        <f t="shared" si="25"/>
        <v>0.42843661016949097</v>
      </c>
      <c r="Z255" s="195">
        <f t="shared" si="25"/>
        <v>1.4590297058823514</v>
      </c>
      <c r="AA255" s="195">
        <f t="shared" si="32"/>
        <v>0.7423912481767122</v>
      </c>
      <c r="AB255" s="195">
        <f t="shared" si="33"/>
        <v>0.48669830046739332</v>
      </c>
      <c r="AC255" s="195">
        <f t="shared" si="26"/>
        <v>0.77716904930442599</v>
      </c>
      <c r="AD255">
        <f t="shared" si="27"/>
        <v>52</v>
      </c>
      <c r="AE255" s="195">
        <f t="shared" si="34"/>
        <v>0.11830018031269329</v>
      </c>
      <c r="AF255" s="195">
        <f t="shared" si="35"/>
        <v>1.1773036749966213E-2</v>
      </c>
      <c r="AG255" s="255" t="str">
        <f>IF(ISNUMBER(SEARCH("C",'WetLitterbags placem_collection'!AD182)),"YES","NO")</f>
        <v>NO</v>
      </c>
      <c r="AH255" s="255" t="str">
        <f>IF(ISNUMBER(SEARCH("H", 'WetLitterbags placem_collection'!AD182)),"YES","NO")</f>
        <v>NO</v>
      </c>
      <c r="AI255" s="255" t="str">
        <f>IF(ISNUMBER(SEARCH("R", 'WetLitterbags placem_collection'!AD182)),"YES","NO")</f>
        <v>NO</v>
      </c>
      <c r="AJ255" s="255" t="str">
        <f>IF(ISNUMBER(SEARCH("C", 'WetLitterbags placem_collection'!AC182)),"YES","NO")</f>
        <v>NO</v>
      </c>
      <c r="AK255" s="255" t="str">
        <f>IF(ISNUMBER(SEARCH("H", 'WetLitterbags placem_collection'!AC182)),"YES","NO")</f>
        <v>NO</v>
      </c>
      <c r="AL255" s="255" t="str">
        <f>IF(ISNUMBER(SEARCH("R", 'WetLitterbags placem_collection'!AC182)),"YES","NO")</f>
        <v>NO</v>
      </c>
    </row>
    <row r="256" spans="2:38">
      <c r="B256" t="str">
        <f>'Final data_for_R_analysis_Wetse'!A182</f>
        <v>Wet</v>
      </c>
      <c r="C256" s="263">
        <f>'Final data_for_R_analysis_Wetse'!B182</f>
        <v>181</v>
      </c>
      <c r="D256" t="s">
        <v>3854</v>
      </c>
      <c r="E256" t="s">
        <v>22</v>
      </c>
      <c r="F256" s="387">
        <v>5</v>
      </c>
      <c r="G256" s="16">
        <f>'WetLitterbags placem_collection'!E183</f>
        <v>42763</v>
      </c>
      <c r="H256" t="str">
        <f>'Final data_for_R_analysis_Wetse'!J182</f>
        <v>G458</v>
      </c>
      <c r="I256" t="str">
        <f>'Final data_for_R_analysis_Wetse'!J402</f>
        <v>R587</v>
      </c>
      <c r="J256">
        <f>IFERROR(INDEX('Green_rooibos initial weight'!$C$5:$C$1749,MATCH(H256, 'Green_rooibos initial weight'!$A$5:$A$1749,0)),"")</f>
        <v>1.9770000000000001</v>
      </c>
      <c r="K256">
        <f>IFERROR(INDEX('Green_rooibos initial weight'!$C$5:$C$1749,MATCH(I256, 'Green_rooibos initial weight'!$A$5:$A$1749,0)),"")</f>
        <v>2.2250000000000001</v>
      </c>
      <c r="L256" s="195">
        <f t="shared" si="28"/>
        <v>1.7272000000000001</v>
      </c>
      <c r="M256" s="195">
        <f>AVERAGE(Ashed_controlls!$K$2:$K$11)</f>
        <v>5.5147656768714146</v>
      </c>
      <c r="N256" s="195">
        <f t="shared" si="24"/>
        <v>1.631948967229077</v>
      </c>
      <c r="O256" s="195">
        <f t="shared" si="29"/>
        <v>1.9752000000000001</v>
      </c>
      <c r="P256" s="195">
        <f>AVERAGE(Ashed_controlls!$K$12:$K$14)</f>
        <v>2.2816647271287041</v>
      </c>
      <c r="Q256" s="195">
        <f t="shared" si="30"/>
        <v>1.9301325583097539</v>
      </c>
      <c r="R256" s="16">
        <f>IF('WetLitterbags placem_collection'!G183="N.A","",'WetLitterbags placem_collection'!G183)</f>
        <v>42815</v>
      </c>
      <c r="S256" s="195">
        <f>IF(IFERROR(INDEX('Both teabags AfterWet'!$C$3:$C$841,MATCH(H256,'Both teabags AfterWet'!$A$3:$A$841,0)),"")="N.A","",(IFERROR(INDEX('Both teabags AfterWet'!$C$3:$C$841,MATCH(H256,'Both teabags AfterWet'!$A$3:$A$841,0)),"")))</f>
        <v>0.57499999999999996</v>
      </c>
      <c r="T256" s="195">
        <f>IFERROR(INDEX('Both teabags AfterWet'!$C$3:$C$841,MATCH(I256,'Both teabags AfterWet'!$A$3:$A$841,0)),"")</f>
        <v>1.5119</v>
      </c>
      <c r="U256" s="195">
        <f t="shared" si="31"/>
        <v>0.42439999999999994</v>
      </c>
      <c r="V256" s="195">
        <f t="shared" si="31"/>
        <v>1.3613</v>
      </c>
      <c r="W256" s="195">
        <f>IFERROR(INDEX('Ashed teabags wet'!$K$2:$K$821,MATCH(H256,'Ashed teabags wet'!$A$2:$A$821,0)),"")</f>
        <v>9.1358024691352888</v>
      </c>
      <c r="X256" s="195">
        <f>IFERROR(INDEX('Ashed teabags wet'!$K$2:$K$821,MATCH(I256,'Ashed teabags wet'!$A$2:$A$821,0)),"")</f>
        <v>1.9743336623894387</v>
      </c>
      <c r="Y256" s="195">
        <f t="shared" si="25"/>
        <v>0.38562765432098978</v>
      </c>
      <c r="Z256" s="195">
        <f t="shared" si="25"/>
        <v>1.3344233958538925</v>
      </c>
      <c r="AA256" s="195">
        <f t="shared" si="32"/>
        <v>0.76370115606264599</v>
      </c>
      <c r="AB256" s="195">
        <f t="shared" si="33"/>
        <v>0.50066869138548764</v>
      </c>
      <c r="AC256" s="195">
        <f t="shared" si="26"/>
        <v>0.69136360096555605</v>
      </c>
      <c r="AD256">
        <f t="shared" si="27"/>
        <v>52</v>
      </c>
      <c r="AE256" s="195">
        <f t="shared" si="34"/>
        <v>9.2991501113247055E-2</v>
      </c>
      <c r="AF256" s="195">
        <f t="shared" si="35"/>
        <v>1.8428481547682306E-2</v>
      </c>
      <c r="AG256" s="255" t="str">
        <f>IF(ISNUMBER(SEARCH("C",'WetLitterbags placem_collection'!AD183)),"YES","NO")</f>
        <v>NO</v>
      </c>
      <c r="AH256" s="255" t="str">
        <f>IF(ISNUMBER(SEARCH("H", 'WetLitterbags placem_collection'!AD183)),"YES","NO")</f>
        <v>NO</v>
      </c>
      <c r="AI256" s="255" t="str">
        <f>IF(ISNUMBER(SEARCH("R", 'WetLitterbags placem_collection'!AD183)),"YES","NO")</f>
        <v>NO</v>
      </c>
      <c r="AJ256" s="255" t="str">
        <f>IF(ISNUMBER(SEARCH("C", 'WetLitterbags placem_collection'!AC183)),"YES","NO")</f>
        <v>NO</v>
      </c>
      <c r="AK256" s="255" t="str">
        <f>IF(ISNUMBER(SEARCH("H", 'WetLitterbags placem_collection'!AC183)),"YES","NO")</f>
        <v>NO</v>
      </c>
      <c r="AL256" s="255" t="str">
        <f>IF(ISNUMBER(SEARCH("R", 'WetLitterbags placem_collection'!AC183)),"YES","NO")</f>
        <v>NO</v>
      </c>
    </row>
    <row r="257" spans="2:38">
      <c r="B257" t="str">
        <f>'Final data_for_R_analysis_Wetse'!A183</f>
        <v>Wet</v>
      </c>
      <c r="C257" s="263">
        <f>'Final data_for_R_analysis_Wetse'!B183</f>
        <v>182</v>
      </c>
      <c r="D257" t="s">
        <v>3854</v>
      </c>
      <c r="E257" t="s">
        <v>22</v>
      </c>
      <c r="F257" s="387">
        <v>6</v>
      </c>
      <c r="G257" s="16">
        <f>'WetLitterbags placem_collection'!E184</f>
        <v>42763</v>
      </c>
      <c r="H257" t="str">
        <f>'Final data_for_R_analysis_Wetse'!J183</f>
        <v>G403</v>
      </c>
      <c r="I257" t="str">
        <f>'Final data_for_R_analysis_Wetse'!J403</f>
        <v>R444</v>
      </c>
      <c r="J257">
        <f>IFERROR(INDEX('Green_rooibos initial weight'!$C$5:$C$1749,MATCH(H257, 'Green_rooibos initial weight'!$A$5:$A$1749,0)),"")</f>
        <v>2.06</v>
      </c>
      <c r="K257">
        <f>IFERROR(INDEX('Green_rooibos initial weight'!$C$5:$C$1749,MATCH(I257, 'Green_rooibos initial weight'!$A$5:$A$1749,0)),"")</f>
        <v>2.2149999999999999</v>
      </c>
      <c r="L257" s="195">
        <f t="shared" si="28"/>
        <v>1.8102</v>
      </c>
      <c r="M257" s="195">
        <f>AVERAGE(Ashed_controlls!$K$2:$K$11)</f>
        <v>5.5147656768714146</v>
      </c>
      <c r="N257" s="195">
        <f t="shared" si="24"/>
        <v>1.7103717117172736</v>
      </c>
      <c r="O257" s="195">
        <f t="shared" si="29"/>
        <v>1.9651999999999998</v>
      </c>
      <c r="P257" s="195">
        <f>AVERAGE(Ashed_controlls!$K$12:$K$14)</f>
        <v>2.2816647271287041</v>
      </c>
      <c r="Q257" s="195">
        <f t="shared" si="30"/>
        <v>1.9203607247824666</v>
      </c>
      <c r="R257" s="16">
        <f>IF('WetLitterbags placem_collection'!G184="N.A","",'WetLitterbags placem_collection'!G184)</f>
        <v>42815</v>
      </c>
      <c r="S257" s="195">
        <f>IF(IFERROR(INDEX('Both teabags AfterWet'!$C$3:$C$841,MATCH(H257,'Both teabags AfterWet'!$A$3:$A$841,0)),"")="N.A","",(IFERROR(INDEX('Both teabags AfterWet'!$C$3:$C$841,MATCH(H257,'Both teabags AfterWet'!$A$3:$A$841,0)),"")))</f>
        <v>0.69440000000000002</v>
      </c>
      <c r="T257" s="195">
        <f>IFERROR(INDEX('Both teabags AfterWet'!$C$3:$C$841,MATCH(I257,'Both teabags AfterWet'!$A$3:$A$841,0)),"")</f>
        <v>1.7522</v>
      </c>
      <c r="U257" s="195">
        <f t="shared" si="31"/>
        <v>0.54380000000000006</v>
      </c>
      <c r="V257" s="195">
        <f t="shared" si="31"/>
        <v>1.6015999999999999</v>
      </c>
      <c r="W257" s="195">
        <f>IFERROR(INDEX('Ashed teabags wet'!$K$2:$K$821,MATCH(H257,'Ashed teabags wet'!$A$2:$A$821,0)),"")</f>
        <v>8.8845014807495417</v>
      </c>
      <c r="X257" s="195">
        <f>IFERROR(INDEX('Ashed teabags wet'!$K$2:$K$821,MATCH(I257,'Ashed teabags wet'!$A$2:$A$821,0)),"")</f>
        <v>2.2682445759369214</v>
      </c>
      <c r="Y257" s="195">
        <f t="shared" si="25"/>
        <v>0.49548608094768404</v>
      </c>
      <c r="Z257" s="195">
        <f t="shared" si="25"/>
        <v>1.5652717948717942</v>
      </c>
      <c r="AA257" s="195">
        <f t="shared" si="32"/>
        <v>0.71030503044849913</v>
      </c>
      <c r="AB257" s="195">
        <f t="shared" si="33"/>
        <v>0.46566315535341041</v>
      </c>
      <c r="AC257" s="195">
        <f t="shared" si="26"/>
        <v>0.81509258894529002</v>
      </c>
      <c r="AD257">
        <f t="shared" si="27"/>
        <v>52</v>
      </c>
      <c r="AE257" s="195">
        <f t="shared" si="34"/>
        <v>0.15640732725831452</v>
      </c>
      <c r="AF257" s="195">
        <f t="shared" si="35"/>
        <v>9.7303360808274533E-3</v>
      </c>
      <c r="AG257" s="255" t="str">
        <f>IF(ISNUMBER(SEARCH("C",'WetLitterbags placem_collection'!AD184)),"YES","NO")</f>
        <v>NO</v>
      </c>
      <c r="AH257" s="255" t="str">
        <f>IF(ISNUMBER(SEARCH("H", 'WetLitterbags placem_collection'!AD184)),"YES","NO")</f>
        <v>NO</v>
      </c>
      <c r="AI257" s="255" t="str">
        <f>IF(ISNUMBER(SEARCH("R", 'WetLitterbags placem_collection'!AD184)),"YES","NO")</f>
        <v>NO</v>
      </c>
      <c r="AJ257" s="255" t="str">
        <f>IF(ISNUMBER(SEARCH("C", 'WetLitterbags placem_collection'!AC184)),"YES","NO")</f>
        <v>NO</v>
      </c>
      <c r="AK257" s="255" t="str">
        <f>IF(ISNUMBER(SEARCH("H", 'WetLitterbags placem_collection'!AC184)),"YES","NO")</f>
        <v>NO</v>
      </c>
      <c r="AL257" s="255" t="str">
        <f>IF(ISNUMBER(SEARCH("R", 'WetLitterbags placem_collection'!AC184)),"YES","NO")</f>
        <v>NO</v>
      </c>
    </row>
    <row r="258" spans="2:38">
      <c r="B258" t="str">
        <f>'Final data_for_R_analysis_Wetse'!A184</f>
        <v>Wet</v>
      </c>
      <c r="C258" s="263">
        <f>'Final data_for_R_analysis_Wetse'!B184</f>
        <v>183</v>
      </c>
      <c r="D258" t="s">
        <v>3854</v>
      </c>
      <c r="E258" t="s">
        <v>22</v>
      </c>
      <c r="F258" s="387">
        <v>7</v>
      </c>
      <c r="G258" s="16">
        <f>'WetLitterbags placem_collection'!E185</f>
        <v>42763</v>
      </c>
      <c r="H258" t="str">
        <f>'Final data_for_R_analysis_Wetse'!J184</f>
        <v>G585</v>
      </c>
      <c r="I258" t="str">
        <f>'Final data_for_R_analysis_Wetse'!J404</f>
        <v>R568</v>
      </c>
      <c r="J258">
        <f>IFERROR(INDEX('Green_rooibos initial weight'!$C$5:$C$1749,MATCH(H258, 'Green_rooibos initial weight'!$A$5:$A$1749,0)),"")</f>
        <v>2.1669999999999998</v>
      </c>
      <c r="K258">
        <f>IFERROR(INDEX('Green_rooibos initial weight'!$C$5:$C$1749,MATCH(I258, 'Green_rooibos initial weight'!$A$5:$A$1749,0)),"")</f>
        <v>2.04</v>
      </c>
      <c r="L258" s="195">
        <f t="shared" si="28"/>
        <v>1.9171999999999998</v>
      </c>
      <c r="M258" s="195">
        <f>AVERAGE(Ashed_controlls!$K$2:$K$11)</f>
        <v>5.5147656768714146</v>
      </c>
      <c r="N258" s="195">
        <f t="shared" si="24"/>
        <v>1.8114709124430211</v>
      </c>
      <c r="O258" s="195">
        <f t="shared" si="29"/>
        <v>1.7902</v>
      </c>
      <c r="P258" s="195">
        <f>AVERAGE(Ashed_controlls!$K$12:$K$14)</f>
        <v>2.2816647271287041</v>
      </c>
      <c r="Q258" s="195">
        <f t="shared" si="30"/>
        <v>1.7493536380549419</v>
      </c>
      <c r="R258" s="16">
        <f>IF('WetLitterbags placem_collection'!G185="N.A","",'WetLitterbags placem_collection'!G185)</f>
        <v>42815</v>
      </c>
      <c r="S258" s="195">
        <f>IF(IFERROR(INDEX('Both teabags AfterWet'!$C$3:$C$841,MATCH(H258,'Both teabags AfterWet'!$A$3:$A$841,0)),"")="N.A","",(IFERROR(INDEX('Both teabags AfterWet'!$C$3:$C$841,MATCH(H258,'Both teabags AfterWet'!$A$3:$A$841,0)),"")))</f>
        <v>0.71799999999999997</v>
      </c>
      <c r="T258" s="195">
        <f>IFERROR(INDEX('Both teabags AfterWet'!$C$3:$C$841,MATCH(I258,'Both teabags AfterWet'!$A$3:$A$841,0)),"")</f>
        <v>0.30299999999999999</v>
      </c>
      <c r="U258" s="195">
        <f t="shared" si="31"/>
        <v>0.5673999999999999</v>
      </c>
      <c r="V258" s="195">
        <f t="shared" si="31"/>
        <v>0.15239999999999998</v>
      </c>
      <c r="W258" s="195">
        <f>IFERROR(INDEX('Ashed teabags wet'!$K$2:$K$821,MATCH(H258,'Ashed teabags wet'!$A$2:$A$821,0)),"")</f>
        <v>10.155490767735316</v>
      </c>
      <c r="X258" s="195" t="str">
        <f>IFERROR(INDEX('Ashed teabags wet'!$K$2:$K$821,MATCH(I258,'Ashed teabags wet'!$A$2:$A$821,0)),"")</f>
        <v/>
      </c>
      <c r="Y258" s="195">
        <f t="shared" si="25"/>
        <v>0.50977774538386977</v>
      </c>
      <c r="Z258" s="195" t="str">
        <f t="shared" si="25"/>
        <v/>
      </c>
      <c r="AA258" s="195">
        <f t="shared" si="32"/>
        <v>0.71858353237570705</v>
      </c>
      <c r="AB258" s="195">
        <f t="shared" si="33"/>
        <v>0.47109039177124745</v>
      </c>
      <c r="AC258" s="195" t="str">
        <f t="shared" si="26"/>
        <v/>
      </c>
      <c r="AD258">
        <f t="shared" si="27"/>
        <v>52</v>
      </c>
      <c r="AE258" s="195">
        <f t="shared" si="34"/>
        <v>0.14657537722600111</v>
      </c>
      <c r="AF258" s="195" t="str">
        <f t="shared" si="35"/>
        <v/>
      </c>
      <c r="AG258" s="255" t="str">
        <f>IF(ISNUMBER(SEARCH("C",'WetLitterbags placem_collection'!AD185)),"YES","NO")</f>
        <v>NO</v>
      </c>
      <c r="AH258" s="255" t="str">
        <f>IF(ISNUMBER(SEARCH("H", 'WetLitterbags placem_collection'!AD185)),"YES","NO")</f>
        <v>NO</v>
      </c>
      <c r="AI258" s="255" t="str">
        <f>IF(ISNUMBER(SEARCH("R", 'WetLitterbags placem_collection'!AD185)),"YES","NO")</f>
        <v>NO</v>
      </c>
      <c r="AJ258" s="255" t="str">
        <f>IF(ISNUMBER(SEARCH("C", 'WetLitterbags placem_collection'!AC185)),"YES","NO")</f>
        <v>NO</v>
      </c>
      <c r="AK258" s="255" t="str">
        <f>IF(ISNUMBER(SEARCH("H", 'WetLitterbags placem_collection'!AC185)),"YES","NO")</f>
        <v>NO</v>
      </c>
      <c r="AL258" s="255" t="str">
        <f>IF(ISNUMBER(SEARCH("R", 'WetLitterbags placem_collection'!AC185)),"YES","NO")</f>
        <v>NO</v>
      </c>
    </row>
    <row r="259" spans="2:38">
      <c r="B259" t="str">
        <f>'Final data_for_R_analysis_Wetse'!A185</f>
        <v>Wet</v>
      </c>
      <c r="C259" s="263">
        <f>'Final data_for_R_analysis_Wetse'!B185</f>
        <v>184</v>
      </c>
      <c r="D259" t="s">
        <v>3854</v>
      </c>
      <c r="E259" t="s">
        <v>22</v>
      </c>
      <c r="F259" s="387">
        <v>8</v>
      </c>
      <c r="G259" s="16">
        <f>'WetLitterbags placem_collection'!E186</f>
        <v>42763</v>
      </c>
      <c r="H259" t="str">
        <f>'Final data_for_R_analysis_Wetse'!J185</f>
        <v>G669</v>
      </c>
      <c r="I259" t="str">
        <f>'Final data_for_R_analysis_Wetse'!J405</f>
        <v>R541</v>
      </c>
      <c r="J259">
        <f>IFERROR(INDEX('Green_rooibos initial weight'!$C$5:$C$1749,MATCH(H259, 'Green_rooibos initial weight'!$A$5:$A$1749,0)),"")</f>
        <v>1.9359999999999999</v>
      </c>
      <c r="K259">
        <f>IFERROR(INDEX('Green_rooibos initial weight'!$C$5:$C$1749,MATCH(I259, 'Green_rooibos initial weight'!$A$5:$A$1749,0)),"")</f>
        <v>2.226</v>
      </c>
      <c r="L259" s="195">
        <f t="shared" si="28"/>
        <v>1.6861999999999999</v>
      </c>
      <c r="M259" s="195">
        <f>AVERAGE(Ashed_controlls!$K$2:$K$11)</f>
        <v>5.5147656768714146</v>
      </c>
      <c r="N259" s="195">
        <f t="shared" si="24"/>
        <v>1.593210021156594</v>
      </c>
      <c r="O259" s="195">
        <f t="shared" si="29"/>
        <v>1.9762</v>
      </c>
      <c r="P259" s="195">
        <f>AVERAGE(Ashed_controlls!$K$12:$K$14)</f>
        <v>2.2816647271287041</v>
      </c>
      <c r="Q259" s="195">
        <f t="shared" si="30"/>
        <v>1.9311097416624825</v>
      </c>
      <c r="R259" s="16">
        <f>IF('WetLitterbags placem_collection'!G186="N.A","",'WetLitterbags placem_collection'!G186)</f>
        <v>42815</v>
      </c>
      <c r="S259" s="195">
        <f>IF(IFERROR(INDEX('Both teabags AfterWet'!$C$3:$C$841,MATCH(H259,'Both teabags AfterWet'!$A$3:$A$841,0)),"")="N.A","",(IFERROR(INDEX('Both teabags AfterWet'!$C$3:$C$841,MATCH(H259,'Both teabags AfterWet'!$A$3:$A$841,0)),"")))</f>
        <v>0.7097</v>
      </c>
      <c r="T259" s="195">
        <f>IFERROR(INDEX('Both teabags AfterWet'!$C$3:$C$841,MATCH(I259,'Both teabags AfterWet'!$A$3:$A$841,0)),"")</f>
        <v>1.7278</v>
      </c>
      <c r="U259" s="195">
        <f t="shared" si="31"/>
        <v>0.55909999999999993</v>
      </c>
      <c r="V259" s="195">
        <f t="shared" si="31"/>
        <v>1.5771999999999999</v>
      </c>
      <c r="W259" s="195">
        <f>IFERROR(INDEX('Ashed teabags wet'!$K$2:$K$821,MATCH(H259,'Ashed teabags wet'!$A$2:$A$821,0)),"")</f>
        <v>8.7171867261018541</v>
      </c>
      <c r="X259" s="195">
        <f>IFERROR(INDEX('Ashed teabags wet'!$K$2:$K$821,MATCH(I259,'Ashed teabags wet'!$A$2:$A$821,0)),"")</f>
        <v>2.6018654884636851</v>
      </c>
      <c r="Y259" s="195">
        <f t="shared" si="25"/>
        <v>0.51036220901436447</v>
      </c>
      <c r="Z259" s="195">
        <f t="shared" si="25"/>
        <v>1.5361633775159507</v>
      </c>
      <c r="AA259" s="195">
        <f t="shared" si="32"/>
        <v>0.67966419854435389</v>
      </c>
      <c r="AB259" s="195">
        <f t="shared" si="33"/>
        <v>0.44557557909321066</v>
      </c>
      <c r="AC259" s="195">
        <f t="shared" si="26"/>
        <v>0.79548217502826923</v>
      </c>
      <c r="AD259">
        <f t="shared" si="27"/>
        <v>52</v>
      </c>
      <c r="AE259" s="195">
        <f t="shared" si="34"/>
        <v>0.19279786396157494</v>
      </c>
      <c r="AF259" s="195">
        <f t="shared" si="35"/>
        <v>1.1814044887009746E-2</v>
      </c>
      <c r="AG259" s="255" t="str">
        <f>IF(ISNUMBER(SEARCH("C",'WetLitterbags placem_collection'!AD186)),"YES","NO")</f>
        <v>YES</v>
      </c>
      <c r="AH259" s="255" t="str">
        <f>IF(ISNUMBER(SEARCH("H", 'WetLitterbags placem_collection'!AD186)),"YES","NO")</f>
        <v>NO</v>
      </c>
      <c r="AI259" s="255" t="str">
        <f>IF(ISNUMBER(SEARCH("R", 'WetLitterbags placem_collection'!AD186)),"YES","NO")</f>
        <v>YES</v>
      </c>
      <c r="AJ259" s="255" t="str">
        <f>IF(ISNUMBER(SEARCH("C", 'WetLitterbags placem_collection'!AC186)),"YES","NO")</f>
        <v>NO</v>
      </c>
      <c r="AK259" s="255" t="str">
        <f>IF(ISNUMBER(SEARCH("H", 'WetLitterbags placem_collection'!AC186)),"YES","NO")</f>
        <v>NO</v>
      </c>
      <c r="AL259" s="255" t="str">
        <f>IF(ISNUMBER(SEARCH("R", 'WetLitterbags placem_collection'!AC186)),"YES","NO")</f>
        <v>NO</v>
      </c>
    </row>
    <row r="260" spans="2:38">
      <c r="B260" t="str">
        <f>'Final data_for_R_analysis_Wetse'!A186</f>
        <v>Wet</v>
      </c>
      <c r="C260" s="263">
        <f>'Final data_for_R_analysis_Wetse'!B186</f>
        <v>185</v>
      </c>
      <c r="D260" t="s">
        <v>3855</v>
      </c>
      <c r="E260" t="s">
        <v>22</v>
      </c>
      <c r="F260" s="386">
        <v>1</v>
      </c>
      <c r="G260" s="16">
        <f>'WetLitterbags placem_collection'!E187</f>
        <v>42763</v>
      </c>
      <c r="H260" t="str">
        <f>'Final data_for_R_analysis_Wetse'!J186</f>
        <v>G423</v>
      </c>
      <c r="I260" t="str">
        <f>'Final data_for_R_analysis_Wetse'!J406</f>
        <v>R51</v>
      </c>
      <c r="J260">
        <f>IFERROR(INDEX('Green_rooibos initial weight'!$C$5:$C$1749,MATCH(H260, 'Green_rooibos initial weight'!$A$5:$A$1749,0)),"")</f>
        <v>2.0649999999999999</v>
      </c>
      <c r="K260">
        <f>IFERROR(INDEX('Green_rooibos initial weight'!$C$5:$C$1749,MATCH(I260, 'Green_rooibos initial weight'!$A$5:$A$1749,0)),"")</f>
        <v>2.3149999999999999</v>
      </c>
      <c r="L260" s="195">
        <f t="shared" si="28"/>
        <v>1.8151999999999999</v>
      </c>
      <c r="M260" s="195">
        <f>AVERAGE(Ashed_controlls!$K$2:$K$11)</f>
        <v>5.5147656768714146</v>
      </c>
      <c r="N260" s="195">
        <f t="shared" si="24"/>
        <v>1.7150959734334301</v>
      </c>
      <c r="O260" s="195">
        <f t="shared" si="29"/>
        <v>2.0651999999999999</v>
      </c>
      <c r="P260" s="195">
        <f>AVERAGE(Ashed_controlls!$K$12:$K$14)</f>
        <v>2.2816647271287041</v>
      </c>
      <c r="Q260" s="195">
        <f t="shared" si="30"/>
        <v>2.0180790600553378</v>
      </c>
      <c r="R260" s="16">
        <f>IF('WetLitterbags placem_collection'!G187="N.A","",'WetLitterbags placem_collection'!G187)</f>
        <v>42815</v>
      </c>
      <c r="S260" s="195">
        <f>IF(IFERROR(INDEX('Both teabags AfterWet'!$C$3:$C$841,MATCH(H260,'Both teabags AfterWet'!$A$3:$A$841,0)),"")="N.A","",(IFERROR(INDEX('Both teabags AfterWet'!$C$3:$C$841,MATCH(H260,'Both teabags AfterWet'!$A$3:$A$841,0)),"")))</f>
        <v>0.62319999999999998</v>
      </c>
      <c r="T260" s="195">
        <f>IFERROR(INDEX('Both teabags AfterWet'!$C$3:$C$841,MATCH(I260,'Both teabags AfterWet'!$A$3:$A$841,0)),"")</f>
        <v>1.7762</v>
      </c>
      <c r="U260" s="195">
        <f t="shared" si="31"/>
        <v>0.47259999999999996</v>
      </c>
      <c r="V260" s="195">
        <f t="shared" si="31"/>
        <v>1.6255999999999999</v>
      </c>
      <c r="W260" s="195">
        <f>IFERROR(INDEX('Ashed teabags wet'!$K$2:$K$821,MATCH(H260,'Ashed teabags wet'!$A$2:$A$821,0)),"")</f>
        <v>9.4793713163063114</v>
      </c>
      <c r="X260" s="195">
        <f>IFERROR(INDEX('Ashed teabags wet'!$K$2:$K$821,MATCH(I260,'Ashed teabags wet'!$A$2:$A$821,0)),"")</f>
        <v>2.0874751491048897</v>
      </c>
      <c r="Y260" s="195">
        <f t="shared" si="25"/>
        <v>0.42780049115913632</v>
      </c>
      <c r="Z260" s="195">
        <f t="shared" si="25"/>
        <v>1.5916660039761508</v>
      </c>
      <c r="AA260" s="195">
        <f t="shared" si="32"/>
        <v>0.75056760800229294</v>
      </c>
      <c r="AB260" s="195">
        <f t="shared" si="33"/>
        <v>0.492058574367299</v>
      </c>
      <c r="AC260" s="195">
        <f t="shared" si="26"/>
        <v>0.78870349307945631</v>
      </c>
      <c r="AD260">
        <f t="shared" si="27"/>
        <v>52</v>
      </c>
      <c r="AE260" s="195">
        <f t="shared" si="34"/>
        <v>0.10858953918967584</v>
      </c>
      <c r="AF260" s="195">
        <f t="shared" si="35"/>
        <v>1.0790195911766675E-2</v>
      </c>
      <c r="AG260" s="255" t="str">
        <f>IF(ISNUMBER(SEARCH("C",'WetLitterbags placem_collection'!AD187)),"YES","NO")</f>
        <v>NO</v>
      </c>
      <c r="AH260" s="255" t="str">
        <f>IF(ISNUMBER(SEARCH("H", 'WetLitterbags placem_collection'!AD187)),"YES","NO")</f>
        <v>NO</v>
      </c>
      <c r="AI260" s="255" t="str">
        <f>IF(ISNUMBER(SEARCH("R", 'WetLitterbags placem_collection'!AD187)),"YES","NO")</f>
        <v>NO</v>
      </c>
      <c r="AJ260" s="255" t="str">
        <f>IF(ISNUMBER(SEARCH("C", 'WetLitterbags placem_collection'!AC187)),"YES","NO")</f>
        <v>NO</v>
      </c>
      <c r="AK260" s="255" t="str">
        <f>IF(ISNUMBER(SEARCH("H", 'WetLitterbags placem_collection'!AC187)),"YES","NO")</f>
        <v>NO</v>
      </c>
      <c r="AL260" s="255" t="str">
        <f>IF(ISNUMBER(SEARCH("R", 'WetLitterbags placem_collection'!AC187)),"YES","NO")</f>
        <v>NO</v>
      </c>
    </row>
    <row r="261" spans="2:38">
      <c r="B261" t="str">
        <f>'Final data_for_R_analysis_Wetse'!A187</f>
        <v>Wet</v>
      </c>
      <c r="C261" s="263">
        <f>'Final data_for_R_analysis_Wetse'!B187</f>
        <v>186</v>
      </c>
      <c r="D261" t="s">
        <v>3855</v>
      </c>
      <c r="E261" t="s">
        <v>22</v>
      </c>
      <c r="F261" s="386">
        <v>2</v>
      </c>
      <c r="G261" s="16">
        <f>'WetLitterbags placem_collection'!E188</f>
        <v>42763</v>
      </c>
      <c r="H261" t="str">
        <f>'Final data_for_R_analysis_Wetse'!J187</f>
        <v>G544</v>
      </c>
      <c r="I261" t="str">
        <f>'Final data_for_R_analysis_Wetse'!J407</f>
        <v>R557</v>
      </c>
      <c r="J261">
        <f>IFERROR(INDEX('Green_rooibos initial weight'!$C$5:$C$1749,MATCH(H261, 'Green_rooibos initial weight'!$A$5:$A$1749,0)),"")</f>
        <v>2.0830000000000002</v>
      </c>
      <c r="K261">
        <f>IFERROR(INDEX('Green_rooibos initial weight'!$C$5:$C$1749,MATCH(I261, 'Green_rooibos initial weight'!$A$5:$A$1749,0)),"")</f>
        <v>2.2229999999999999</v>
      </c>
      <c r="L261" s="195">
        <f t="shared" si="28"/>
        <v>1.8332000000000002</v>
      </c>
      <c r="M261" s="195">
        <f>AVERAGE(Ashed_controlls!$K$2:$K$11)</f>
        <v>5.5147656768714146</v>
      </c>
      <c r="N261" s="195">
        <f t="shared" si="24"/>
        <v>1.7321033156115935</v>
      </c>
      <c r="O261" s="195">
        <f t="shared" si="29"/>
        <v>1.9731999999999998</v>
      </c>
      <c r="P261" s="195">
        <f>AVERAGE(Ashed_controlls!$K$12:$K$14)</f>
        <v>2.2816647271287041</v>
      </c>
      <c r="Q261" s="195">
        <f t="shared" si="30"/>
        <v>1.9281781916042962</v>
      </c>
      <c r="R261" s="16">
        <f>IF('WetLitterbags placem_collection'!G188="N.A","",'WetLitterbags placem_collection'!G188)</f>
        <v>42815</v>
      </c>
      <c r="S261" s="195">
        <f>IF(IFERROR(INDEX('Both teabags AfterWet'!$C$3:$C$841,MATCH(H261,'Both teabags AfterWet'!$A$3:$A$841,0)),"")="N.A","",(IFERROR(INDEX('Both teabags AfterWet'!$C$3:$C$841,MATCH(H261,'Both teabags AfterWet'!$A$3:$A$841,0)),"")))</f>
        <v>0.69</v>
      </c>
      <c r="T261" s="195">
        <f>IFERROR(INDEX('Both teabags AfterWet'!$C$3:$C$841,MATCH(I261,'Both teabags AfterWet'!$A$3:$A$841,0)),"")</f>
        <v>1.7509999999999999</v>
      </c>
      <c r="U261" s="195">
        <f t="shared" si="31"/>
        <v>0.53939999999999988</v>
      </c>
      <c r="V261" s="195">
        <f t="shared" si="31"/>
        <v>1.6003999999999998</v>
      </c>
      <c r="W261" s="195">
        <f>IFERROR(INDEX('Ashed teabags wet'!$K$2:$K$821,MATCH(H261,'Ashed teabags wet'!$A$2:$A$821,0)),"")</f>
        <v>9.5401174168302578</v>
      </c>
      <c r="X261" s="195">
        <f>IFERROR(INDEX('Ashed teabags wet'!$K$2:$K$821,MATCH(I261,'Ashed teabags wet'!$A$2:$A$821,0)),"")</f>
        <v>2.1547502448572287</v>
      </c>
      <c r="Y261" s="195">
        <f t="shared" si="25"/>
        <v>0.48794060665361749</v>
      </c>
      <c r="Z261" s="195">
        <f t="shared" si="25"/>
        <v>1.5659153770813048</v>
      </c>
      <c r="AA261" s="195">
        <f t="shared" si="32"/>
        <v>0.71829589940982874</v>
      </c>
      <c r="AB261" s="195">
        <f t="shared" si="33"/>
        <v>0.47090182479124171</v>
      </c>
      <c r="AC261" s="195">
        <f t="shared" si="26"/>
        <v>0.81212171359454133</v>
      </c>
      <c r="AD261">
        <f t="shared" si="27"/>
        <v>52</v>
      </c>
      <c r="AE261" s="195">
        <f t="shared" si="34"/>
        <v>0.14691698407383758</v>
      </c>
      <c r="AF261" s="195">
        <f t="shared" si="35"/>
        <v>9.7907608396851659E-3</v>
      </c>
      <c r="AG261" s="255" t="str">
        <f>IF(ISNUMBER(SEARCH("C",'WetLitterbags placem_collection'!AD188)),"YES","NO")</f>
        <v>NO</v>
      </c>
      <c r="AH261" s="255" t="str">
        <f>IF(ISNUMBER(SEARCH("H", 'WetLitterbags placem_collection'!AD188)),"YES","NO")</f>
        <v>NO</v>
      </c>
      <c r="AI261" s="255" t="str">
        <f>IF(ISNUMBER(SEARCH("R", 'WetLitterbags placem_collection'!AD188)),"YES","NO")</f>
        <v>NO</v>
      </c>
      <c r="AJ261" s="255" t="str">
        <f>IF(ISNUMBER(SEARCH("C", 'WetLitterbags placem_collection'!AC188)),"YES","NO")</f>
        <v>NO</v>
      </c>
      <c r="AK261" s="255" t="str">
        <f>IF(ISNUMBER(SEARCH("H", 'WetLitterbags placem_collection'!AC188)),"YES","NO")</f>
        <v>NO</v>
      </c>
      <c r="AL261" s="255" t="str">
        <f>IF(ISNUMBER(SEARCH("R", 'WetLitterbags placem_collection'!AC188)),"YES","NO")</f>
        <v>NO</v>
      </c>
    </row>
    <row r="262" spans="2:38">
      <c r="B262" t="str">
        <f>'Final data_for_R_analysis_Wetse'!A188</f>
        <v>Wet</v>
      </c>
      <c r="C262" s="263">
        <f>'Final data_for_R_analysis_Wetse'!B188</f>
        <v>187</v>
      </c>
      <c r="D262" t="s">
        <v>3855</v>
      </c>
      <c r="E262" t="s">
        <v>22</v>
      </c>
      <c r="F262" s="386">
        <v>3</v>
      </c>
      <c r="G262" s="16">
        <f>'WetLitterbags placem_collection'!E189</f>
        <v>42763</v>
      </c>
      <c r="H262" t="str">
        <f>'Final data_for_R_analysis_Wetse'!J188</f>
        <v>G620</v>
      </c>
      <c r="I262" t="str">
        <f>'Final data_for_R_analysis_Wetse'!J408</f>
        <v>R427</v>
      </c>
      <c r="J262">
        <f>IFERROR(INDEX('Green_rooibos initial weight'!$C$5:$C$1749,MATCH(H262, 'Green_rooibos initial weight'!$A$5:$A$1749,0)),"")</f>
        <v>2.0019999999999998</v>
      </c>
      <c r="K262">
        <f>IFERROR(INDEX('Green_rooibos initial weight'!$C$5:$C$1749,MATCH(I262, 'Green_rooibos initial weight'!$A$5:$A$1749,0)),"")</f>
        <v>2.1760000000000002</v>
      </c>
      <c r="L262" s="195">
        <f t="shared" si="28"/>
        <v>1.7521999999999998</v>
      </c>
      <c r="M262" s="195">
        <f>AVERAGE(Ashed_controlls!$K$2:$K$11)</f>
        <v>5.5147656768714146</v>
      </c>
      <c r="N262" s="195">
        <f t="shared" si="24"/>
        <v>1.6555702758098589</v>
      </c>
      <c r="O262" s="195">
        <f t="shared" si="29"/>
        <v>1.9262000000000001</v>
      </c>
      <c r="P262" s="195">
        <f>AVERAGE(Ashed_controlls!$K$12:$K$14)</f>
        <v>2.2816647271287041</v>
      </c>
      <c r="Q262" s="195">
        <f t="shared" si="30"/>
        <v>1.8822505740260471</v>
      </c>
      <c r="R262" s="16">
        <f>IF('WetLitterbags placem_collection'!G189="N.A","",'WetLitterbags placem_collection'!G189)</f>
        <v>42815</v>
      </c>
      <c r="S262" s="195">
        <f>IF(IFERROR(INDEX('Both teabags AfterWet'!$C$3:$C$841,MATCH(H262,'Both teabags AfterWet'!$A$3:$A$841,0)),"")="N.A","",(IFERROR(INDEX('Both teabags AfterWet'!$C$3:$C$841,MATCH(H262,'Both teabags AfterWet'!$A$3:$A$841,0)),"")))</f>
        <v>0.59950000000000003</v>
      </c>
      <c r="T262" s="195">
        <f>IFERROR(INDEX('Both teabags AfterWet'!$C$3:$C$841,MATCH(I262,'Both teabags AfterWet'!$A$3:$A$841,0)),"")</f>
        <v>1.6979</v>
      </c>
      <c r="U262" s="195">
        <f t="shared" si="31"/>
        <v>0.44890000000000002</v>
      </c>
      <c r="V262" s="195">
        <f t="shared" si="31"/>
        <v>1.5472999999999999</v>
      </c>
      <c r="W262" s="195">
        <f>IFERROR(INDEX('Ashed teabags wet'!$K$2:$K$821,MATCH(H262,'Ashed teabags wet'!$A$2:$A$821,0)),"")</f>
        <v>8.6766844401358867</v>
      </c>
      <c r="X262" s="195">
        <f>IFERROR(INDEX('Ashed teabags wet'!$K$2:$K$821,MATCH(I262,'Ashed teabags wet'!$A$2:$A$821,0)),"")</f>
        <v>1.9455252918283636</v>
      </c>
      <c r="Y262" s="195">
        <f t="shared" si="25"/>
        <v>0.40995036354823</v>
      </c>
      <c r="Z262" s="195">
        <f t="shared" si="25"/>
        <v>1.5171968871595396</v>
      </c>
      <c r="AA262" s="195">
        <f t="shared" si="32"/>
        <v>0.75238117672311211</v>
      </c>
      <c r="AB262" s="195">
        <f t="shared" si="33"/>
        <v>0.49324751728166027</v>
      </c>
      <c r="AC262" s="195">
        <f t="shared" si="26"/>
        <v>0.80605468161145277</v>
      </c>
      <c r="AD262">
        <f t="shared" si="27"/>
        <v>52</v>
      </c>
      <c r="AE262" s="195">
        <f t="shared" si="34"/>
        <v>0.10643565709844161</v>
      </c>
      <c r="AF262" s="195">
        <f t="shared" si="35"/>
        <v>9.6068721131686678E-3</v>
      </c>
      <c r="AG262" s="255" t="str">
        <f>IF(ISNUMBER(SEARCH("C",'WetLitterbags placem_collection'!AD189)),"YES","NO")</f>
        <v>NO</v>
      </c>
      <c r="AH262" s="255" t="str">
        <f>IF(ISNUMBER(SEARCH("H", 'WetLitterbags placem_collection'!AD189)),"YES","NO")</f>
        <v>NO</v>
      </c>
      <c r="AI262" s="255" t="str">
        <f>IF(ISNUMBER(SEARCH("R", 'WetLitterbags placem_collection'!AD189)),"YES","NO")</f>
        <v>NO</v>
      </c>
      <c r="AJ262" s="255" t="str">
        <f>IF(ISNUMBER(SEARCH("C", 'WetLitterbags placem_collection'!AC189)),"YES","NO")</f>
        <v>NO</v>
      </c>
      <c r="AK262" s="255" t="str">
        <f>IF(ISNUMBER(SEARCH("H", 'WetLitterbags placem_collection'!AC189)),"YES","NO")</f>
        <v>NO</v>
      </c>
      <c r="AL262" s="255" t="str">
        <f>IF(ISNUMBER(SEARCH("R", 'WetLitterbags placem_collection'!AC189)),"YES","NO")</f>
        <v>NO</v>
      </c>
    </row>
    <row r="263" spans="2:38">
      <c r="B263" t="str">
        <f>'Final data_for_R_analysis_Wetse'!A189</f>
        <v>Wet</v>
      </c>
      <c r="C263" s="263">
        <f>'Final data_for_R_analysis_Wetse'!B189</f>
        <v>188</v>
      </c>
      <c r="D263" t="s">
        <v>3855</v>
      </c>
      <c r="E263" t="s">
        <v>22</v>
      </c>
      <c r="F263" s="387">
        <v>4</v>
      </c>
      <c r="G263" s="16">
        <f>'WetLitterbags placem_collection'!E190</f>
        <v>42763</v>
      </c>
      <c r="H263" t="str">
        <f>'Final data_for_R_analysis_Wetse'!J189</f>
        <v>G420</v>
      </c>
      <c r="I263" t="str">
        <f>'Final data_for_R_analysis_Wetse'!J409</f>
        <v>R523</v>
      </c>
      <c r="J263">
        <f>IFERROR(INDEX('Green_rooibos initial weight'!$C$5:$C$1749,MATCH(H263, 'Green_rooibos initial weight'!$A$5:$A$1749,0)),"")</f>
        <v>2.0390000000000001</v>
      </c>
      <c r="K263">
        <f>IFERROR(INDEX('Green_rooibos initial weight'!$C$5:$C$1749,MATCH(I263, 'Green_rooibos initial weight'!$A$5:$A$1749,0)),"")</f>
        <v>2.1179999999999999</v>
      </c>
      <c r="L263" s="195">
        <f t="shared" si="28"/>
        <v>1.7892000000000001</v>
      </c>
      <c r="M263" s="195">
        <f>AVERAGE(Ashed_controlls!$K$2:$K$11)</f>
        <v>5.5147656768714146</v>
      </c>
      <c r="N263" s="195">
        <f t="shared" si="24"/>
        <v>1.6905298125094168</v>
      </c>
      <c r="O263" s="195">
        <f t="shared" si="29"/>
        <v>1.8681999999999999</v>
      </c>
      <c r="P263" s="195">
        <f>AVERAGE(Ashed_controlls!$K$12:$K$14)</f>
        <v>2.2816647271287041</v>
      </c>
      <c r="Q263" s="195">
        <f t="shared" si="30"/>
        <v>1.8255739395677815</v>
      </c>
      <c r="R263" s="16">
        <f>IF('WetLitterbags placem_collection'!G190="N.A","",'WetLitterbags placem_collection'!G190)</f>
        <v>42815</v>
      </c>
      <c r="S263" s="195">
        <f>IF(IFERROR(INDEX('Both teabags AfterWet'!$C$3:$C$841,MATCH(H263,'Both teabags AfterWet'!$A$3:$A$841,0)),"")="N.A","",(IFERROR(INDEX('Both teabags AfterWet'!$C$3:$C$841,MATCH(H263,'Both teabags AfterWet'!$A$3:$A$841,0)),"")))</f>
        <v>0.29980000000000001</v>
      </c>
      <c r="T263" s="195">
        <f>IFERROR(INDEX('Both teabags AfterWet'!$C$3:$C$841,MATCH(I263,'Both teabags AfterWet'!$A$3:$A$841,0)),"")</f>
        <v>1.54</v>
      </c>
      <c r="U263" s="195">
        <f t="shared" si="31"/>
        <v>0.1492</v>
      </c>
      <c r="V263" s="195">
        <f t="shared" si="31"/>
        <v>1.3894</v>
      </c>
      <c r="W263" s="195">
        <f>IFERROR(INDEX('Ashed teabags wet'!$K$2:$K$821,MATCH(H263,'Ashed teabags wet'!$A$2:$A$821,0)),"")</f>
        <v>12.313003452243912</v>
      </c>
      <c r="X263" s="195">
        <f>IFERROR(INDEX('Ashed teabags wet'!$K$2:$K$821,MATCH(I263,'Ashed teabags wet'!$A$2:$A$821,0)),"")</f>
        <v>2.4709302325582305</v>
      </c>
      <c r="Y263" s="195">
        <f t="shared" si="25"/>
        <v>0.13082899884925209</v>
      </c>
      <c r="Z263" s="195">
        <f t="shared" si="25"/>
        <v>1.3550688953488359</v>
      </c>
      <c r="AA263" s="195">
        <f t="shared" si="32"/>
        <v>0.92261065265980136</v>
      </c>
      <c r="AB263" s="195">
        <f t="shared" si="33"/>
        <v>0.6048468886795848</v>
      </c>
      <c r="AC263" s="195">
        <f t="shared" si="26"/>
        <v>0.74227006969088238</v>
      </c>
      <c r="AD263">
        <f t="shared" si="27"/>
        <v>52</v>
      </c>
      <c r="AE263" s="195">
        <f t="shared" si="34"/>
        <v>-9.5737117173160691E-2</v>
      </c>
      <c r="AF263" s="195">
        <f t="shared" si="35"/>
        <v>1.067910712422916E-2</v>
      </c>
      <c r="AG263" s="255" t="str">
        <f>IF(ISNUMBER(SEARCH("C",'WetLitterbags placem_collection'!AD190)),"YES","NO")</f>
        <v>NO</v>
      </c>
      <c r="AH263" s="255" t="str">
        <f>IF(ISNUMBER(SEARCH("H", 'WetLitterbags placem_collection'!AD190)),"YES","NO")</f>
        <v>NO</v>
      </c>
      <c r="AI263" s="255" t="str">
        <f>IF(ISNUMBER(SEARCH("R", 'WetLitterbags placem_collection'!AD190)),"YES","NO")</f>
        <v>YES</v>
      </c>
      <c r="AJ263" s="255" t="str">
        <f>IF(ISNUMBER(SEARCH("C", 'WetLitterbags placem_collection'!AC190)),"YES","NO")</f>
        <v>NO</v>
      </c>
      <c r="AK263" s="255" t="str">
        <f>IF(ISNUMBER(SEARCH("H", 'WetLitterbags placem_collection'!AC190)),"YES","NO")</f>
        <v>NO</v>
      </c>
      <c r="AL263" s="255" t="str">
        <f>IF(ISNUMBER(SEARCH("R", 'WetLitterbags placem_collection'!AC190)),"YES","NO")</f>
        <v>NO</v>
      </c>
    </row>
    <row r="264" spans="2:38">
      <c r="B264" t="str">
        <f>'Final data_for_R_analysis_Wetse'!A190</f>
        <v>Wet</v>
      </c>
      <c r="C264" s="263">
        <f>'Final data_for_R_analysis_Wetse'!B190</f>
        <v>189</v>
      </c>
      <c r="D264" t="s">
        <v>3855</v>
      </c>
      <c r="E264" t="s">
        <v>22</v>
      </c>
      <c r="F264" s="387">
        <v>5</v>
      </c>
      <c r="G264" s="16">
        <f>'WetLitterbags placem_collection'!E191</f>
        <v>42763</v>
      </c>
      <c r="H264" t="str">
        <f>'Final data_for_R_analysis_Wetse'!J190</f>
        <v>G367</v>
      </c>
      <c r="I264" t="str">
        <f>'Final data_for_R_analysis_Wetse'!J410</f>
        <v>R354</v>
      </c>
      <c r="J264">
        <f>IFERROR(INDEX('Green_rooibos initial weight'!$C$5:$C$1749,MATCH(H264, 'Green_rooibos initial weight'!$A$5:$A$1749,0)),"")</f>
        <v>2.0990000000000002</v>
      </c>
      <c r="K264">
        <f>IFERROR(INDEX('Green_rooibos initial weight'!$C$5:$C$1749,MATCH(I264, 'Green_rooibos initial weight'!$A$5:$A$1749,0)),"")</f>
        <v>2.286</v>
      </c>
      <c r="L264" s="195">
        <f t="shared" si="28"/>
        <v>1.8492000000000002</v>
      </c>
      <c r="M264" s="195">
        <f>AVERAGE(Ashed_controlls!$K$2:$K$11)</f>
        <v>5.5147656768714146</v>
      </c>
      <c r="N264" s="195">
        <f t="shared" si="24"/>
        <v>1.7472209531032941</v>
      </c>
      <c r="O264" s="195">
        <f t="shared" si="29"/>
        <v>2.0362</v>
      </c>
      <c r="P264" s="195">
        <f>AVERAGE(Ashed_controlls!$K$12:$K$14)</f>
        <v>2.2816647271287041</v>
      </c>
      <c r="Q264" s="195">
        <f t="shared" si="30"/>
        <v>1.9897407428262053</v>
      </c>
      <c r="R264" s="16">
        <f>IF('WetLitterbags placem_collection'!G191="N.A","",'WetLitterbags placem_collection'!G191)</f>
        <v>42815</v>
      </c>
      <c r="S264" s="195">
        <f>IF(IFERROR(INDEX('Both teabags AfterWet'!$C$3:$C$841,MATCH(H264,'Both teabags AfterWet'!$A$3:$A$841,0)),"")="N.A","",(IFERROR(INDEX('Both teabags AfterWet'!$C$3:$C$841,MATCH(H264,'Both teabags AfterWet'!$A$3:$A$841,0)),"")))</f>
        <v>0.80840000000000001</v>
      </c>
      <c r="T264" s="195">
        <f>IFERROR(INDEX('Both teabags AfterWet'!$C$3:$C$841,MATCH(I264,'Both teabags AfterWet'!$A$3:$A$841,0)),"")</f>
        <v>1.7630999999999999</v>
      </c>
      <c r="U264" s="195">
        <f t="shared" si="31"/>
        <v>0.65779999999999994</v>
      </c>
      <c r="V264" s="195">
        <f t="shared" si="31"/>
        <v>1.6124999999999998</v>
      </c>
      <c r="W264" s="195">
        <f>IFERROR(INDEX('Ashed teabags wet'!$K$2:$K$821,MATCH(H264,'Ashed teabags wet'!$A$2:$A$821,0)),"")</f>
        <v>9.3843098311821134</v>
      </c>
      <c r="X264" s="195">
        <f>IFERROR(INDEX('Ashed teabags wet'!$K$2:$K$821,MATCH(I264,'Ashed teabags wet'!$A$2:$A$821,0)),"")</f>
        <v>2.4789291026277223</v>
      </c>
      <c r="Y264" s="195">
        <f t="shared" si="25"/>
        <v>0.59607000993048398</v>
      </c>
      <c r="Z264" s="195">
        <f t="shared" si="25"/>
        <v>1.5725272682201279</v>
      </c>
      <c r="AA264" s="195">
        <f t="shared" si="32"/>
        <v>0.65884680533862339</v>
      </c>
      <c r="AB264" s="195">
        <f t="shared" si="33"/>
        <v>0.43192807190845622</v>
      </c>
      <c r="AC264" s="195">
        <f t="shared" si="26"/>
        <v>0.79031767022397492</v>
      </c>
      <c r="AD264">
        <f t="shared" si="27"/>
        <v>52</v>
      </c>
      <c r="AE264" s="195">
        <f t="shared" si="34"/>
        <v>0.21752160886149241</v>
      </c>
      <c r="AF264" s="195">
        <f t="shared" si="35"/>
        <v>1.2778372268621467E-2</v>
      </c>
      <c r="AG264" s="255" t="str">
        <f>IF(ISNUMBER(SEARCH("C",'WetLitterbags placem_collection'!AD191)),"YES","NO")</f>
        <v>NO</v>
      </c>
      <c r="AH264" s="255" t="str">
        <f>IF(ISNUMBER(SEARCH("H", 'WetLitterbags placem_collection'!AD191)),"YES","NO")</f>
        <v>NO</v>
      </c>
      <c r="AI264" s="255" t="str">
        <f>IF(ISNUMBER(SEARCH("R", 'WetLitterbags placem_collection'!AD191)),"YES","NO")</f>
        <v>NO</v>
      </c>
      <c r="AJ264" s="255" t="str">
        <f>IF(ISNUMBER(SEARCH("C", 'WetLitterbags placem_collection'!AC191)),"YES","NO")</f>
        <v>NO</v>
      </c>
      <c r="AK264" s="255" t="str">
        <f>IF(ISNUMBER(SEARCH("H", 'WetLitterbags placem_collection'!AC191)),"YES","NO")</f>
        <v>NO</v>
      </c>
      <c r="AL264" s="255" t="str">
        <f>IF(ISNUMBER(SEARCH("R", 'WetLitterbags placem_collection'!AC191)),"YES","NO")</f>
        <v>NO</v>
      </c>
    </row>
    <row r="265" spans="2:38">
      <c r="B265" t="str">
        <f>'Final data_for_R_analysis_Wetse'!A191</f>
        <v>Wet</v>
      </c>
      <c r="C265" s="263">
        <f>'Final data_for_R_analysis_Wetse'!B191</f>
        <v>190</v>
      </c>
      <c r="D265" t="s">
        <v>3855</v>
      </c>
      <c r="E265" t="s">
        <v>22</v>
      </c>
      <c r="F265" s="387">
        <v>6</v>
      </c>
      <c r="G265" s="16">
        <f>'WetLitterbags placem_collection'!E192</f>
        <v>42763</v>
      </c>
      <c r="H265" t="str">
        <f>'Final data_for_R_analysis_Wetse'!J191</f>
        <v>G526</v>
      </c>
      <c r="I265" t="str">
        <f>'Final data_for_R_analysis_Wetse'!J411</f>
        <v>R164</v>
      </c>
      <c r="J265">
        <f>IFERROR(INDEX('Green_rooibos initial weight'!$C$5:$C$1749,MATCH(H265, 'Green_rooibos initial weight'!$A$5:$A$1749,0)),"")</f>
        <v>2.0760000000000001</v>
      </c>
      <c r="K265">
        <f>IFERROR(INDEX('Green_rooibos initial weight'!$C$5:$C$1749,MATCH(I265, 'Green_rooibos initial weight'!$A$5:$A$1749,0)),"")</f>
        <v>2.2040000000000002</v>
      </c>
      <c r="L265" s="195">
        <f t="shared" si="28"/>
        <v>1.8262</v>
      </c>
      <c r="M265" s="195">
        <f>AVERAGE(Ashed_controlls!$K$2:$K$11)</f>
        <v>5.5147656768714146</v>
      </c>
      <c r="N265" s="195">
        <f t="shared" si="24"/>
        <v>1.7254893492089742</v>
      </c>
      <c r="O265" s="195">
        <f t="shared" si="29"/>
        <v>1.9542000000000002</v>
      </c>
      <c r="P265" s="195">
        <f>AVERAGE(Ashed_controlls!$K$12:$K$14)</f>
        <v>2.2816647271287041</v>
      </c>
      <c r="Q265" s="195">
        <f t="shared" si="30"/>
        <v>1.909611707902451</v>
      </c>
      <c r="R265" s="16">
        <f>IF('WetLitterbags placem_collection'!G192="N.A","",'WetLitterbags placem_collection'!G192)</f>
        <v>42815</v>
      </c>
      <c r="S265" s="195">
        <f>IF(IFERROR(INDEX('Both teabags AfterWet'!$C$3:$C$841,MATCH(H265,'Both teabags AfterWet'!$A$3:$A$841,0)),"")="N.A","",(IFERROR(INDEX('Both teabags AfterWet'!$C$3:$C$841,MATCH(H265,'Both teabags AfterWet'!$A$3:$A$841,0)),"")))</f>
        <v>0.61960000000000004</v>
      </c>
      <c r="T265" s="195">
        <f>IFERROR(INDEX('Both teabags AfterWet'!$C$3:$C$841,MATCH(I265,'Both teabags AfterWet'!$A$3:$A$841,0)),"")</f>
        <v>1.6649</v>
      </c>
      <c r="U265" s="195">
        <f t="shared" si="31"/>
        <v>0.46900000000000003</v>
      </c>
      <c r="V265" s="195">
        <f t="shared" si="31"/>
        <v>1.5143</v>
      </c>
      <c r="W265" s="195">
        <f>IFERROR(INDEX('Ashed teabags wet'!$K$2:$K$821,MATCH(H265,'Ashed teabags wet'!$A$2:$A$821,0)),"")</f>
        <v>9.78043912175667</v>
      </c>
      <c r="X265" s="195">
        <f>IFERROR(INDEX('Ashed teabags wet'!$K$2:$K$821,MATCH(I265,'Ashed teabags wet'!$A$2:$A$821,0)),"")</f>
        <v>2.591687041564656</v>
      </c>
      <c r="Y265" s="195">
        <f t="shared" si="25"/>
        <v>0.42312974051896124</v>
      </c>
      <c r="Z265" s="195">
        <f t="shared" si="25"/>
        <v>1.4750540831295864</v>
      </c>
      <c r="AA265" s="195">
        <f t="shared" si="32"/>
        <v>0.75477696184393195</v>
      </c>
      <c r="AB265" s="195">
        <f t="shared" si="33"/>
        <v>0.49481815075754215</v>
      </c>
      <c r="AC265" s="195">
        <f t="shared" si="26"/>
        <v>0.77243665663833305</v>
      </c>
      <c r="AD265">
        <f t="shared" si="27"/>
        <v>52</v>
      </c>
      <c r="AE265" s="195">
        <f t="shared" si="34"/>
        <v>0.10359030659865565</v>
      </c>
      <c r="AF265" s="195">
        <f t="shared" si="35"/>
        <v>1.1845918937224963E-2</v>
      </c>
      <c r="AG265" s="255" t="str">
        <f>IF(ISNUMBER(SEARCH("C",'WetLitterbags placem_collection'!AD192)),"YES","NO")</f>
        <v>NO</v>
      </c>
      <c r="AH265" s="255" t="str">
        <f>IF(ISNUMBER(SEARCH("H", 'WetLitterbags placem_collection'!AD192)),"YES","NO")</f>
        <v>NO</v>
      </c>
      <c r="AI265" s="255" t="str">
        <f>IF(ISNUMBER(SEARCH("R", 'WetLitterbags placem_collection'!AD192)),"YES","NO")</f>
        <v>NO</v>
      </c>
      <c r="AJ265" s="255" t="str">
        <f>IF(ISNUMBER(SEARCH("C", 'WetLitterbags placem_collection'!AC192)),"YES","NO")</f>
        <v>NO</v>
      </c>
      <c r="AK265" s="255" t="str">
        <f>IF(ISNUMBER(SEARCH("H", 'WetLitterbags placem_collection'!AC192)),"YES","NO")</f>
        <v>NO</v>
      </c>
      <c r="AL265" s="255" t="str">
        <f>IF(ISNUMBER(SEARCH("R", 'WetLitterbags placem_collection'!AC192)),"YES","NO")</f>
        <v>NO</v>
      </c>
    </row>
    <row r="266" spans="2:38">
      <c r="B266" t="str">
        <f>'Final data_for_R_analysis_Wetse'!A192</f>
        <v>Wet</v>
      </c>
      <c r="C266" s="263">
        <f>'Final data_for_R_analysis_Wetse'!B192</f>
        <v>191</v>
      </c>
      <c r="D266" t="s">
        <v>3855</v>
      </c>
      <c r="E266" t="s">
        <v>22</v>
      </c>
      <c r="F266" s="387">
        <v>7</v>
      </c>
      <c r="G266" s="16">
        <f>'WetLitterbags placem_collection'!E193</f>
        <v>42763</v>
      </c>
      <c r="H266" t="str">
        <f>'Final data_for_R_analysis_Wetse'!J192</f>
        <v>G522</v>
      </c>
      <c r="I266" t="str">
        <f>'Final data_for_R_analysis_Wetse'!J412</f>
        <v>R336</v>
      </c>
      <c r="J266">
        <f>IFERROR(INDEX('Green_rooibos initial weight'!$C$5:$C$1749,MATCH(H266, 'Green_rooibos initial weight'!$A$5:$A$1749,0)),"")</f>
        <v>1.821</v>
      </c>
      <c r="K266">
        <f>IFERROR(INDEX('Green_rooibos initial weight'!$C$5:$C$1749,MATCH(I266, 'Green_rooibos initial weight'!$A$5:$A$1749,0)),"")</f>
        <v>2.11</v>
      </c>
      <c r="L266" s="195">
        <f t="shared" si="28"/>
        <v>1.5711999999999999</v>
      </c>
      <c r="M266" s="195">
        <f>AVERAGE(Ashed_controlls!$K$2:$K$11)</f>
        <v>5.5147656768714146</v>
      </c>
      <c r="N266" s="195">
        <f t="shared" si="24"/>
        <v>1.4845520016849962</v>
      </c>
      <c r="O266" s="195">
        <f t="shared" si="29"/>
        <v>1.8601999999999999</v>
      </c>
      <c r="P266" s="195">
        <f>AVERAGE(Ashed_controlls!$K$12:$K$14)</f>
        <v>2.2816647271287041</v>
      </c>
      <c r="Q266" s="195">
        <f t="shared" si="30"/>
        <v>1.8177564727459516</v>
      </c>
      <c r="R266" s="16">
        <f>IF('WetLitterbags placem_collection'!G193="N.A","",'WetLitterbags placem_collection'!G193)</f>
        <v>42815</v>
      </c>
      <c r="S266" s="195">
        <f>IF(IFERROR(INDEX('Both teabags AfterWet'!$C$3:$C$841,MATCH(H266,'Both teabags AfterWet'!$A$3:$A$841,0)),"")="N.A","",(IFERROR(INDEX('Both teabags AfterWet'!$C$3:$C$841,MATCH(H266,'Both teabags AfterWet'!$A$3:$A$841,0)),"")))</f>
        <v>0.628</v>
      </c>
      <c r="T266" s="195">
        <f>IFERROR(INDEX('Both teabags AfterWet'!$C$3:$C$841,MATCH(I266,'Both teabags AfterWet'!$A$3:$A$841,0)),"")</f>
        <v>1.671</v>
      </c>
      <c r="U266" s="195">
        <f t="shared" si="31"/>
        <v>0.47739999999999999</v>
      </c>
      <c r="V266" s="195">
        <f t="shared" si="31"/>
        <v>1.5204</v>
      </c>
      <c r="W266" s="195">
        <f>IFERROR(INDEX('Ashed teabags wet'!$K$2:$K$821,MATCH(H266,'Ashed teabags wet'!$A$2:$A$821,0)),"")</f>
        <v>9.2361457813275862</v>
      </c>
      <c r="X266" s="195">
        <f>IFERROR(INDEX('Ashed teabags wet'!$K$2:$K$821,MATCH(I266,'Ashed teabags wet'!$A$2:$A$821,0)),"")</f>
        <v>1.9089574155652842</v>
      </c>
      <c r="Y266" s="195">
        <f t="shared" si="25"/>
        <v>0.43330664003994213</v>
      </c>
      <c r="Z266" s="195">
        <f t="shared" si="25"/>
        <v>1.4913762114537454</v>
      </c>
      <c r="AA266" s="195">
        <f t="shared" si="32"/>
        <v>0.7081229626526182</v>
      </c>
      <c r="AB266" s="195">
        <f t="shared" si="33"/>
        <v>0.46423263109767848</v>
      </c>
      <c r="AC266" s="195">
        <f t="shared" si="26"/>
        <v>0.82044885209559038</v>
      </c>
      <c r="AD266">
        <f t="shared" si="27"/>
        <v>52</v>
      </c>
      <c r="AE266" s="195">
        <f t="shared" si="34"/>
        <v>0.15899885670710423</v>
      </c>
      <c r="AF266" s="195">
        <f t="shared" si="35"/>
        <v>9.4041314280248964E-3</v>
      </c>
      <c r="AG266" s="255" t="str">
        <f>IF(ISNUMBER(SEARCH("C",'WetLitterbags placem_collection'!AD193)),"YES","NO")</f>
        <v>NO</v>
      </c>
      <c r="AH266" s="255" t="str">
        <f>IF(ISNUMBER(SEARCH("H", 'WetLitterbags placem_collection'!AD193)),"YES","NO")</f>
        <v>NO</v>
      </c>
      <c r="AI266" s="255" t="str">
        <f>IF(ISNUMBER(SEARCH("R", 'WetLitterbags placem_collection'!AD193)),"YES","NO")</f>
        <v>NO</v>
      </c>
      <c r="AJ266" s="255" t="str">
        <f>IF(ISNUMBER(SEARCH("C", 'WetLitterbags placem_collection'!AC193)),"YES","NO")</f>
        <v>NO</v>
      </c>
      <c r="AK266" s="255" t="str">
        <f>IF(ISNUMBER(SEARCH("H", 'WetLitterbags placem_collection'!AC193)),"YES","NO")</f>
        <v>NO</v>
      </c>
      <c r="AL266" s="255" t="str">
        <f>IF(ISNUMBER(SEARCH("R", 'WetLitterbags placem_collection'!AC193)),"YES","NO")</f>
        <v>NO</v>
      </c>
    </row>
    <row r="267" spans="2:38">
      <c r="B267" t="str">
        <f>'Final data_for_R_analysis_Wetse'!A193</f>
        <v>Wet</v>
      </c>
      <c r="C267" s="263">
        <f>'Final data_for_R_analysis_Wetse'!B193</f>
        <v>192</v>
      </c>
      <c r="D267" t="s">
        <v>3855</v>
      </c>
      <c r="E267" t="s">
        <v>22</v>
      </c>
      <c r="F267" s="387">
        <v>8</v>
      </c>
      <c r="G267" s="16">
        <f>'WetLitterbags placem_collection'!E194</f>
        <v>42763</v>
      </c>
      <c r="H267" t="str">
        <f>'Final data_for_R_analysis_Wetse'!J193</f>
        <v>G591</v>
      </c>
      <c r="I267" t="str">
        <f>'Final data_for_R_analysis_Wetse'!J413</f>
        <v>R263</v>
      </c>
      <c r="J267">
        <f>IFERROR(INDEX('Green_rooibos initial weight'!$C$5:$C$1749,MATCH(H267, 'Green_rooibos initial weight'!$A$5:$A$1749,0)),"")</f>
        <v>2.0920000000000001</v>
      </c>
      <c r="K267">
        <f>IFERROR(INDEX('Green_rooibos initial weight'!$C$5:$C$1749,MATCH(I267, 'Green_rooibos initial weight'!$A$5:$A$1749,0)),"")</f>
        <v>2.1850000000000001</v>
      </c>
      <c r="L267" s="195">
        <f t="shared" si="28"/>
        <v>1.8422000000000001</v>
      </c>
      <c r="M267" s="195">
        <f>AVERAGE(Ashed_controlls!$K$2:$K$11)</f>
        <v>5.5147656768714146</v>
      </c>
      <c r="N267" s="195">
        <f t="shared" si="24"/>
        <v>1.7406069867006748</v>
      </c>
      <c r="O267" s="195">
        <f t="shared" si="29"/>
        <v>1.9352</v>
      </c>
      <c r="P267" s="195">
        <f>AVERAGE(Ashed_controlls!$K$12:$K$14)</f>
        <v>2.2816647271287041</v>
      </c>
      <c r="Q267" s="195">
        <f t="shared" si="30"/>
        <v>1.8910452242006053</v>
      </c>
      <c r="R267" s="16">
        <f>IF('WetLitterbags placem_collection'!G194="N.A","",'WetLitterbags placem_collection'!G194)</f>
        <v>42815</v>
      </c>
      <c r="S267" s="195">
        <f>IF(IFERROR(INDEX('Both teabags AfterWet'!$C$3:$C$841,MATCH(H267,'Both teabags AfterWet'!$A$3:$A$841,0)),"")="N.A","",(IFERROR(INDEX('Both teabags AfterWet'!$C$3:$C$841,MATCH(H267,'Both teabags AfterWet'!$A$3:$A$841,0)),"")))</f>
        <v>0.66100000000000003</v>
      </c>
      <c r="T267" s="195">
        <f>IFERROR(INDEX('Both teabags AfterWet'!$C$3:$C$841,MATCH(I267,'Both teabags AfterWet'!$A$3:$A$841,0)),"")</f>
        <v>1.0369999999999999</v>
      </c>
      <c r="U267" s="195">
        <f t="shared" si="31"/>
        <v>0.51039999999999996</v>
      </c>
      <c r="V267" s="195">
        <f t="shared" si="31"/>
        <v>0.88639999999999985</v>
      </c>
      <c r="W267" s="195">
        <f>IFERROR(INDEX('Ashed teabags wet'!$K$2:$K$821,MATCH(H267,'Ashed teabags wet'!$A$2:$A$821,0)),"")</f>
        <v>10.322580645161365</v>
      </c>
      <c r="X267" s="195">
        <f>IFERROR(INDEX('Ashed teabags wet'!$K$2:$K$821,MATCH(I267,'Ashed teabags wet'!$A$2:$A$821,0)),"")</f>
        <v>44.460570875664885</v>
      </c>
      <c r="Y267" s="195">
        <f t="shared" si="25"/>
        <v>0.45771354838709638</v>
      </c>
      <c r="Z267" s="195">
        <f t="shared" si="25"/>
        <v>0.49230149975810639</v>
      </c>
      <c r="AA267" s="195">
        <f t="shared" si="32"/>
        <v>0.73703796900488516</v>
      </c>
      <c r="AB267" s="195">
        <f t="shared" si="33"/>
        <v>0.48318878728111242</v>
      </c>
      <c r="AC267" s="195">
        <f t="shared" si="26"/>
        <v>0.26033301237743545</v>
      </c>
      <c r="AD267">
        <f t="shared" si="27"/>
        <v>52</v>
      </c>
      <c r="AE267" s="195">
        <f t="shared" si="34"/>
        <v>0.12465799405595579</v>
      </c>
      <c r="AF267" s="195" t="str">
        <f t="shared" si="35"/>
        <v/>
      </c>
      <c r="AG267" s="255" t="str">
        <f>IF(ISNUMBER(SEARCH("C",'WetLitterbags placem_collection'!AD194)),"YES","NO")</f>
        <v>NO</v>
      </c>
      <c r="AH267" s="255" t="str">
        <f>IF(ISNUMBER(SEARCH("H", 'WetLitterbags placem_collection'!AD194)),"YES","NO")</f>
        <v>NO</v>
      </c>
      <c r="AI267" s="255" t="str">
        <f>IF(ISNUMBER(SEARCH("R", 'WetLitterbags placem_collection'!AD194)),"YES","NO")</f>
        <v>NO</v>
      </c>
      <c r="AJ267" s="255" t="str">
        <f>IF(ISNUMBER(SEARCH("C", 'WetLitterbags placem_collection'!AC194)),"YES","NO")</f>
        <v>NO</v>
      </c>
      <c r="AK267" s="255" t="str">
        <f>IF(ISNUMBER(SEARCH("H", 'WetLitterbags placem_collection'!AC194)),"YES","NO")</f>
        <v>NO</v>
      </c>
      <c r="AL267" s="255" t="str">
        <f>IF(ISNUMBER(SEARCH("R", 'WetLitterbags placem_collection'!AC194)),"YES","NO")</f>
        <v>NO</v>
      </c>
    </row>
    <row r="268" spans="2:38">
      <c r="B268" t="str">
        <f>'Final data_for_R_analysis_Wetse'!A194</f>
        <v>Wet</v>
      </c>
      <c r="C268" s="263">
        <f>'Final data_for_R_analysis_Wetse'!B194</f>
        <v>193</v>
      </c>
      <c r="D268" t="s">
        <v>2445</v>
      </c>
      <c r="E268" t="s">
        <v>22</v>
      </c>
      <c r="F268" s="387">
        <v>1</v>
      </c>
      <c r="G268" s="16">
        <f>'WetLitterbags placem_collection'!E195</f>
        <v>42769</v>
      </c>
      <c r="H268" t="str">
        <f>'Final data_for_R_analysis_Wetse'!J194</f>
        <v>G863</v>
      </c>
      <c r="I268" t="str">
        <f>'Final data_for_R_analysis_Wetse'!J414</f>
        <v>R125</v>
      </c>
      <c r="J268">
        <f>IFERROR(INDEX('Green_rooibos initial weight'!$C$5:$C$1749,MATCH(H268, 'Green_rooibos initial weight'!$A$5:$A$1749,0)),"")</f>
        <v>2.0230000000000001</v>
      </c>
      <c r="K268">
        <f>IFERROR(INDEX('Green_rooibos initial weight'!$C$5:$C$1749,MATCH(I268, 'Green_rooibos initial weight'!$A$5:$A$1749,0)),"")</f>
        <v>2.2040000000000002</v>
      </c>
      <c r="L268" s="195">
        <f t="shared" si="28"/>
        <v>1.7732000000000001</v>
      </c>
      <c r="M268" s="195">
        <f>AVERAGE(Ashed_controlls!$K$2:$K$11)</f>
        <v>5.5147656768714146</v>
      </c>
      <c r="N268" s="195">
        <f t="shared" ref="N268:N331" si="36">IFERROR(L268-(M268/100)*L268,"")</f>
        <v>1.6754121750177162</v>
      </c>
      <c r="O268" s="195">
        <f t="shared" si="29"/>
        <v>1.9542000000000002</v>
      </c>
      <c r="P268" s="195">
        <f>AVERAGE(Ashed_controlls!$K$12:$K$14)</f>
        <v>2.2816647271287041</v>
      </c>
      <c r="Q268" s="195">
        <f t="shared" si="30"/>
        <v>1.909611707902451</v>
      </c>
      <c r="R268" s="16">
        <f>IF('WetLitterbags placem_collection'!G195="N.A","",'WetLitterbags placem_collection'!G195)</f>
        <v>42813</v>
      </c>
      <c r="S268" s="195">
        <f>IF(IFERROR(INDEX('Both teabags AfterWet'!$C$3:$C$841,MATCH(H268,'Both teabags AfterWet'!$A$3:$A$841,0)),"")="N.A","",(IFERROR(INDEX('Both teabags AfterWet'!$C$3:$C$841,MATCH(H268,'Both teabags AfterWet'!$A$3:$A$841,0)),"")))</f>
        <v>0.64890000000000003</v>
      </c>
      <c r="T268" s="195">
        <f>IFERROR(INDEX('Both teabags AfterWet'!$C$3:$C$841,MATCH(I268,'Both teabags AfterWet'!$A$3:$A$841,0)),"")</f>
        <v>1.2266999999999999</v>
      </c>
      <c r="U268" s="195">
        <f t="shared" si="31"/>
        <v>0.49830000000000002</v>
      </c>
      <c r="V268" s="195">
        <f t="shared" si="31"/>
        <v>1.0760999999999998</v>
      </c>
      <c r="W268" s="195">
        <f>IFERROR(INDEX('Ashed teabags wet'!$K$2:$K$821,MATCH(H268,'Ashed teabags wet'!$A$2:$A$821,0)),"")</f>
        <v>8.2238442822379554</v>
      </c>
      <c r="X268" s="195">
        <f>IFERROR(INDEX('Ashed teabags wet'!$K$2:$K$821,MATCH(I268,'Ashed teabags wet'!$A$2:$A$821,0)),"")</f>
        <v>4.8379052369080275</v>
      </c>
      <c r="Y268" s="195">
        <f t="shared" ref="Y268:Z331" si="37">IFERROR(U268-(W268/100)*U268,"")</f>
        <v>0.45732058394160829</v>
      </c>
      <c r="Z268" s="195">
        <f t="shared" si="37"/>
        <v>1.0240393017456326</v>
      </c>
      <c r="AA268" s="195">
        <f t="shared" si="32"/>
        <v>0.72703995425079659</v>
      </c>
      <c r="AB268" s="195">
        <f t="shared" si="33"/>
        <v>0.47663426929505914</v>
      </c>
      <c r="AC268" s="195">
        <f t="shared" ref="AC268:AC331" si="38">IFERROR(Z268/Q268,"")</f>
        <v>0.53625524891154663</v>
      </c>
      <c r="AD268">
        <f t="shared" ref="AD268:AD331" si="39">IF((R268-G268)&gt;0,(IFERROR(R268-G268,"")),"")</f>
        <v>44</v>
      </c>
      <c r="AE268" s="195">
        <f t="shared" si="34"/>
        <v>0.13653212084228428</v>
      </c>
      <c r="AF268" s="195">
        <f t="shared" si="35"/>
        <v>8.2053068791122508E-2</v>
      </c>
      <c r="AG268" s="255" t="str">
        <f>IF(ISNUMBER(SEARCH("C",'WetLitterbags placem_collection'!AD195)),"YES","NO")</f>
        <v>NO</v>
      </c>
      <c r="AH268" s="255" t="str">
        <f>IF(ISNUMBER(SEARCH("H", 'WetLitterbags placem_collection'!AD195)),"YES","NO")</f>
        <v>NO</v>
      </c>
      <c r="AI268" s="255" t="str">
        <f>IF(ISNUMBER(SEARCH("R", 'WetLitterbags placem_collection'!AD195)),"YES","NO")</f>
        <v>NO</v>
      </c>
      <c r="AJ268" s="255" t="str">
        <f>IF(ISNUMBER(SEARCH("C", 'WetLitterbags placem_collection'!AC195)),"YES","NO")</f>
        <v>NO</v>
      </c>
      <c r="AK268" s="255" t="str">
        <f>IF(ISNUMBER(SEARCH("H", 'WetLitterbags placem_collection'!AC195)),"YES","NO")</f>
        <v>NO</v>
      </c>
      <c r="AL268" s="255" t="str">
        <f>IF(ISNUMBER(SEARCH("R", 'WetLitterbags placem_collection'!AC195)),"YES","NO")</f>
        <v>NO</v>
      </c>
    </row>
    <row r="269" spans="2:38">
      <c r="B269" t="str">
        <f>'Final data_for_R_analysis_Wetse'!A195</f>
        <v>Wet</v>
      </c>
      <c r="C269" s="263">
        <f>'Final data_for_R_analysis_Wetse'!B195</f>
        <v>194</v>
      </c>
      <c r="D269" t="s">
        <v>2438</v>
      </c>
      <c r="E269" t="s">
        <v>22</v>
      </c>
      <c r="F269" s="387">
        <v>2</v>
      </c>
      <c r="G269" s="16">
        <f>'WetLitterbags placem_collection'!E196</f>
        <v>42769</v>
      </c>
      <c r="H269" t="str">
        <f>'Final data_for_R_analysis_Wetse'!J195</f>
        <v>G615</v>
      </c>
      <c r="I269" t="str">
        <f>'Final data_for_R_analysis_Wetse'!J415</f>
        <v>R289</v>
      </c>
      <c r="J269">
        <f>IFERROR(INDEX('Green_rooibos initial weight'!$C$5:$C$1749,MATCH(H269, 'Green_rooibos initial weight'!$A$5:$A$1749,0)),"")</f>
        <v>1.9630000000000001</v>
      </c>
      <c r="K269">
        <f>IFERROR(INDEX('Green_rooibos initial weight'!$C$5:$C$1749,MATCH(I269, 'Green_rooibos initial weight'!$A$5:$A$1749,0)),"")</f>
        <v>2.2160000000000002</v>
      </c>
      <c r="L269" s="195">
        <f t="shared" ref="L269:L332" si="40">IF(J269&gt;0,(J269*$F$31-($F$29+$F$30)),"")</f>
        <v>1.7132000000000001</v>
      </c>
      <c r="M269" s="195">
        <f>AVERAGE(Ashed_controlls!$K$2:$K$11)</f>
        <v>5.5147656768714146</v>
      </c>
      <c r="N269" s="195">
        <f t="shared" si="36"/>
        <v>1.618721034423839</v>
      </c>
      <c r="O269" s="195">
        <f t="shared" ref="O269:O332" si="41">IF(K269&gt;0,(K269*$F$32-($F$29+$F$30)),"")</f>
        <v>1.9662000000000002</v>
      </c>
      <c r="P269" s="195">
        <f>AVERAGE(Ashed_controlls!$K$12:$K$14)</f>
        <v>2.2816647271287041</v>
      </c>
      <c r="Q269" s="195">
        <f t="shared" ref="Q269:Q332" si="42">IFERROR(O269-(P269/100)*O269,"")</f>
        <v>1.9213379081351956</v>
      </c>
      <c r="R269" s="16">
        <f>IF('WetLitterbags placem_collection'!G196="N.A","",'WetLitterbags placem_collection'!G196)</f>
        <v>42813</v>
      </c>
      <c r="S269" s="195" t="str">
        <f>IF(IFERROR(INDEX('Both teabags AfterWet'!$C$3:$C$841,MATCH(H269,'Both teabags AfterWet'!$A$3:$A$841,0)),"")="N.A","",(IFERROR(INDEX('Both teabags AfterWet'!$C$3:$C$841,MATCH(H269,'Both teabags AfterWet'!$A$3:$A$841,0)),"")))</f>
        <v/>
      </c>
      <c r="T269" s="195">
        <f>IFERROR(INDEX('Both teabags AfterWet'!$C$3:$C$841,MATCH(I269,'Both teabags AfterWet'!$A$3:$A$841,0)),"")</f>
        <v>1.512</v>
      </c>
      <c r="U269" s="195" t="str">
        <f t="shared" ref="U269:V332" si="43">IFERROR(IF(S269&gt;0,S269-($F$29),""),"")</f>
        <v/>
      </c>
      <c r="V269" s="195">
        <f t="shared" si="43"/>
        <v>1.3613999999999999</v>
      </c>
      <c r="W269" s="195">
        <f>IFERROR(INDEX('Ashed teabags wet'!$K$2:$K$821,MATCH(H269,'Ashed teabags wet'!$A$2:$A$821,0)),"")</f>
        <v>11.187777230163009</v>
      </c>
      <c r="X269" s="195">
        <f>IFERROR(INDEX('Ashed teabags wet'!$K$2:$K$821,MATCH(I269,'Ashed teabags wet'!$A$2:$A$821,0)),"")</f>
        <v>3.5180722891571889</v>
      </c>
      <c r="Y269" s="195" t="str">
        <f t="shared" si="37"/>
        <v/>
      </c>
      <c r="Z269" s="195">
        <f t="shared" si="37"/>
        <v>1.3135049638554139</v>
      </c>
      <c r="AA269" s="195" t="str">
        <f t="shared" ref="AA269:AA332" si="44">IFERROR(1-Y269/N269,"")</f>
        <v/>
      </c>
      <c r="AB269" s="195" t="str">
        <f t="shared" ref="AB269:AB332" si="45">IFERROR($F$26*(1-AE269),"")</f>
        <v/>
      </c>
      <c r="AC269" s="195">
        <f t="shared" si="38"/>
        <v>0.68364078920936422</v>
      </c>
      <c r="AD269">
        <f t="shared" si="39"/>
        <v>44</v>
      </c>
      <c r="AE269" s="195" t="str">
        <f t="shared" ref="AE269:AE332" si="46">IFERROR(1-(AA269/$F$25),"")</f>
        <v/>
      </c>
      <c r="AF269" s="195" t="str">
        <f t="shared" ref="AF269:AF332" si="47">IFERROR(LN(AB269/(AC269-(1-AB269)))/AD269,"")</f>
        <v/>
      </c>
      <c r="AG269" s="255" t="str">
        <f>IF(ISNUMBER(SEARCH("C",'WetLitterbags placem_collection'!AD196)),"YES","NO")</f>
        <v>NO</v>
      </c>
      <c r="AH269" s="255" t="str">
        <f>IF(ISNUMBER(SEARCH("H", 'WetLitterbags placem_collection'!AD196)),"YES","NO")</f>
        <v>NO</v>
      </c>
      <c r="AI269" s="255" t="str">
        <f>IF(ISNUMBER(SEARCH("R", 'WetLitterbags placem_collection'!AD196)),"YES","NO")</f>
        <v>NO</v>
      </c>
      <c r="AJ269" s="255" t="str">
        <f>IF(ISNUMBER(SEARCH("C", 'WetLitterbags placem_collection'!AC196)),"YES","NO")</f>
        <v>NO</v>
      </c>
      <c r="AK269" s="255" t="str">
        <f>IF(ISNUMBER(SEARCH("H", 'WetLitterbags placem_collection'!AC196)),"YES","NO")</f>
        <v>NO</v>
      </c>
      <c r="AL269" s="255" t="str">
        <f>IF(ISNUMBER(SEARCH("R", 'WetLitterbags placem_collection'!AC196)),"YES","NO")</f>
        <v>NO</v>
      </c>
    </row>
    <row r="270" spans="2:38">
      <c r="B270" t="str">
        <f>'Final data_for_R_analysis_Wetse'!A196</f>
        <v>Wet</v>
      </c>
      <c r="C270" s="263">
        <f>'Final data_for_R_analysis_Wetse'!B196</f>
        <v>195</v>
      </c>
      <c r="D270" t="s">
        <v>2430</v>
      </c>
      <c r="E270" t="s">
        <v>22</v>
      </c>
      <c r="F270" s="387">
        <v>3</v>
      </c>
      <c r="G270" s="16">
        <f>'WetLitterbags placem_collection'!E197</f>
        <v>42769</v>
      </c>
      <c r="H270" t="str">
        <f>'Final data_for_R_analysis_Wetse'!J196</f>
        <v>G821</v>
      </c>
      <c r="I270" t="str">
        <f>'Final data_for_R_analysis_Wetse'!J416</f>
        <v>R378</v>
      </c>
      <c r="J270">
        <f>IFERROR(INDEX('Green_rooibos initial weight'!$C$5:$C$1749,MATCH(H270, 'Green_rooibos initial weight'!$A$5:$A$1749,0)),"")</f>
        <v>1.9990000000000001</v>
      </c>
      <c r="K270">
        <f>IFERROR(INDEX('Green_rooibos initial weight'!$C$5:$C$1749,MATCH(I270, 'Green_rooibos initial weight'!$A$5:$A$1749,0)),"")</f>
        <v>2.2320000000000002</v>
      </c>
      <c r="L270" s="195">
        <f t="shared" si="40"/>
        <v>1.7492000000000001</v>
      </c>
      <c r="M270" s="195">
        <f>AVERAGE(Ashed_controlls!$K$2:$K$11)</f>
        <v>5.5147656768714146</v>
      </c>
      <c r="N270" s="195">
        <f t="shared" si="36"/>
        <v>1.6527357187801652</v>
      </c>
      <c r="O270" s="195">
        <f t="shared" si="41"/>
        <v>1.9822000000000002</v>
      </c>
      <c r="P270" s="195">
        <f>AVERAGE(Ashed_controlls!$K$12:$K$14)</f>
        <v>2.2816647271287041</v>
      </c>
      <c r="Q270" s="195">
        <f t="shared" si="42"/>
        <v>1.936972841778855</v>
      </c>
      <c r="R270" s="16">
        <f>IF('WetLitterbags placem_collection'!G197="N.A","",'WetLitterbags placem_collection'!G197)</f>
        <v>42814</v>
      </c>
      <c r="S270" s="195">
        <f>IF(IFERROR(INDEX('Both teabags AfterWet'!$C$3:$C$841,MATCH(H270,'Both teabags AfterWet'!$A$3:$A$841,0)),"")="N.A","",(IFERROR(INDEX('Both teabags AfterWet'!$C$3:$C$841,MATCH(H270,'Both teabags AfterWet'!$A$3:$A$841,0)),"")))</f>
        <v>0.7641</v>
      </c>
      <c r="T270" s="195">
        <f>IFERROR(INDEX('Both teabags AfterWet'!$C$3:$C$841,MATCH(I270,'Both teabags AfterWet'!$A$3:$A$841,0)),"")</f>
        <v>1.5296000000000001</v>
      </c>
      <c r="U270" s="195">
        <f t="shared" si="43"/>
        <v>0.61349999999999993</v>
      </c>
      <c r="V270" s="195">
        <f t="shared" si="43"/>
        <v>1.379</v>
      </c>
      <c r="W270" s="195">
        <f>IFERROR(INDEX('Ashed teabags wet'!$K$2:$K$821,MATCH(H270,'Ashed teabags wet'!$A$2:$A$821,0)),"")</f>
        <v>15.097159940208879</v>
      </c>
      <c r="X270" s="195">
        <f>IFERROR(INDEX('Ashed teabags wet'!$K$2:$K$821,MATCH(I270,'Ashed teabags wet'!$A$2:$A$821,0)),"")</f>
        <v>1.2339585389935566</v>
      </c>
      <c r="Y270" s="195">
        <f t="shared" si="37"/>
        <v>0.52087892376681844</v>
      </c>
      <c r="Z270" s="195">
        <f t="shared" si="37"/>
        <v>1.3619837117472788</v>
      </c>
      <c r="AA270" s="195">
        <f t="shared" si="44"/>
        <v>0.68483834538817634</v>
      </c>
      <c r="AB270" s="195">
        <f t="shared" si="45"/>
        <v>0.44896765635899449</v>
      </c>
      <c r="AC270" s="195">
        <f t="shared" si="38"/>
        <v>0.70315064949309036</v>
      </c>
      <c r="AD270">
        <f t="shared" si="39"/>
        <v>45</v>
      </c>
      <c r="AE270" s="195">
        <f t="shared" si="46"/>
        <v>0.186652796451097</v>
      </c>
      <c r="AF270" s="195">
        <f t="shared" si="47"/>
        <v>2.4050940094045358E-2</v>
      </c>
      <c r="AG270" s="255" t="str">
        <f>IF(ISNUMBER(SEARCH("C",'WetLitterbags placem_collection'!AD197)),"YES","NO")</f>
        <v>NO</v>
      </c>
      <c r="AH270" s="255" t="str">
        <f>IF(ISNUMBER(SEARCH("H", 'WetLitterbags placem_collection'!AD197)),"YES","NO")</f>
        <v>NO</v>
      </c>
      <c r="AI270" s="255" t="str">
        <f>IF(ISNUMBER(SEARCH("R", 'WetLitterbags placem_collection'!AD197)),"YES","NO")</f>
        <v>NO</v>
      </c>
      <c r="AJ270" s="255" t="str">
        <f>IF(ISNUMBER(SEARCH("C", 'WetLitterbags placem_collection'!AC197)),"YES","NO")</f>
        <v>NO</v>
      </c>
      <c r="AK270" s="255" t="str">
        <f>IF(ISNUMBER(SEARCH("H", 'WetLitterbags placem_collection'!AC197)),"YES","NO")</f>
        <v>NO</v>
      </c>
      <c r="AL270" s="255" t="str">
        <f>IF(ISNUMBER(SEARCH("R", 'WetLitterbags placem_collection'!AC197)),"YES","NO")</f>
        <v>NO</v>
      </c>
    </row>
    <row r="271" spans="2:38">
      <c r="B271" t="str">
        <f>'Final data_for_R_analysis_Wetse'!A197</f>
        <v>Wet</v>
      </c>
      <c r="C271" s="263">
        <f>'Final data_for_R_analysis_Wetse'!B197</f>
        <v>196</v>
      </c>
      <c r="D271" t="s">
        <v>2421</v>
      </c>
      <c r="E271" t="s">
        <v>22</v>
      </c>
      <c r="F271" s="387">
        <v>4</v>
      </c>
      <c r="G271" s="16">
        <f>'WetLitterbags placem_collection'!E198</f>
        <v>42769</v>
      </c>
      <c r="H271" t="str">
        <f>'Final data_for_R_analysis_Wetse'!J197</f>
        <v>G754</v>
      </c>
      <c r="I271" t="str">
        <f>'Final data_for_R_analysis_Wetse'!J417</f>
        <v>R375</v>
      </c>
      <c r="J271">
        <f>IFERROR(INDEX('Green_rooibos initial weight'!$C$5:$C$1749,MATCH(H271, 'Green_rooibos initial weight'!$A$5:$A$1749,0)),"")</f>
        <v>2.0609999999999999</v>
      </c>
      <c r="K271">
        <f>IFERROR(INDEX('Green_rooibos initial weight'!$C$5:$C$1749,MATCH(I271, 'Green_rooibos initial weight'!$A$5:$A$1749,0)),"")</f>
        <v>2.23</v>
      </c>
      <c r="L271" s="195">
        <f t="shared" si="40"/>
        <v>1.8111999999999999</v>
      </c>
      <c r="M271" s="195">
        <f>AVERAGE(Ashed_controlls!$K$2:$K$11)</f>
        <v>5.5147656768714146</v>
      </c>
      <c r="N271" s="195">
        <f t="shared" si="36"/>
        <v>1.7113165640605048</v>
      </c>
      <c r="O271" s="195">
        <f t="shared" si="41"/>
        <v>1.9802</v>
      </c>
      <c r="P271" s="195">
        <f>AVERAGE(Ashed_controlls!$K$12:$K$14)</f>
        <v>2.2816647271287041</v>
      </c>
      <c r="Q271" s="195">
        <f t="shared" si="42"/>
        <v>1.9350184750733974</v>
      </c>
      <c r="R271" s="16">
        <f>IF('WetLitterbags placem_collection'!G198="N.A","",'WetLitterbags placem_collection'!G198)</f>
        <v>42814</v>
      </c>
      <c r="S271" s="195">
        <f>IF(IFERROR(INDEX('Both teabags AfterWet'!$C$3:$C$841,MATCH(H271,'Both teabags AfterWet'!$A$3:$A$841,0)),"")="N.A","",(IFERROR(INDEX('Both teabags AfterWet'!$C$3:$C$841,MATCH(H271,'Both teabags AfterWet'!$A$3:$A$841,0)),"")))</f>
        <v>0.6452</v>
      </c>
      <c r="T271" s="195">
        <f>IFERROR(INDEX('Both teabags AfterWet'!$C$3:$C$841,MATCH(I271,'Both teabags AfterWet'!$A$3:$A$841,0)),"")</f>
        <v>1.3742000000000001</v>
      </c>
      <c r="U271" s="195">
        <f t="shared" si="43"/>
        <v>0.49459999999999998</v>
      </c>
      <c r="V271" s="195">
        <f t="shared" si="43"/>
        <v>1.2236</v>
      </c>
      <c r="W271" s="195">
        <f>IFERROR(INDEX('Ashed teabags wet'!$K$2:$K$821,MATCH(H271,'Ashed teabags wet'!$A$2:$A$821,0)),"")</f>
        <v>10.498306724722434</v>
      </c>
      <c r="X271" s="195">
        <f>IFERROR(INDEX('Ashed teabags wet'!$K$2:$K$821,MATCH(I271,'Ashed teabags wet'!$A$2:$A$821,0)),"")</f>
        <v>5.0314465408809701</v>
      </c>
      <c r="Y271" s="195">
        <f t="shared" si="37"/>
        <v>0.4426753749395228</v>
      </c>
      <c r="Z271" s="195">
        <f t="shared" si="37"/>
        <v>1.1620352201257804</v>
      </c>
      <c r="AA271" s="195">
        <f t="shared" si="44"/>
        <v>0.74132467117061585</v>
      </c>
      <c r="AB271" s="195">
        <f t="shared" si="45"/>
        <v>0.4859990718363183</v>
      </c>
      <c r="AC271" s="195">
        <f t="shared" si="38"/>
        <v>0.60052926372276783</v>
      </c>
      <c r="AD271">
        <f t="shared" si="39"/>
        <v>45</v>
      </c>
      <c r="AE271" s="195">
        <f t="shared" si="46"/>
        <v>0.11956689884724958</v>
      </c>
      <c r="AF271" s="195">
        <f t="shared" si="47"/>
        <v>3.8349661668521273E-2</v>
      </c>
      <c r="AG271" s="255" t="str">
        <f>IF(ISNUMBER(SEARCH("C",'WetLitterbags placem_collection'!AD198)),"YES","NO")</f>
        <v>NO</v>
      </c>
      <c r="AH271" s="255" t="str">
        <f>IF(ISNUMBER(SEARCH("H", 'WetLitterbags placem_collection'!AD198)),"YES","NO")</f>
        <v>YES</v>
      </c>
      <c r="AI271" s="255" t="str">
        <f>IF(ISNUMBER(SEARCH("R", 'WetLitterbags placem_collection'!AD198)),"YES","NO")</f>
        <v>YES</v>
      </c>
      <c r="AJ271" s="255" t="str">
        <f>IF(ISNUMBER(SEARCH("C", 'WetLitterbags placem_collection'!AC198)),"YES","NO")</f>
        <v>NO</v>
      </c>
      <c r="AK271" s="255" t="str">
        <f>IF(ISNUMBER(SEARCH("H", 'WetLitterbags placem_collection'!AC198)),"YES","NO")</f>
        <v>NO</v>
      </c>
      <c r="AL271" s="255" t="str">
        <f>IF(ISNUMBER(SEARCH("R", 'WetLitterbags placem_collection'!AC198)),"YES","NO")</f>
        <v>NO</v>
      </c>
    </row>
    <row r="272" spans="2:38">
      <c r="B272" t="str">
        <f>'Final data_for_R_analysis_Wetse'!A198</f>
        <v>Wet</v>
      </c>
      <c r="C272" s="263">
        <f>'Final data_for_R_analysis_Wetse'!B198</f>
        <v>197</v>
      </c>
      <c r="D272" t="s">
        <v>2431</v>
      </c>
      <c r="E272" t="s">
        <v>22</v>
      </c>
      <c r="F272" s="387">
        <v>1</v>
      </c>
      <c r="G272" s="16">
        <f>'WetLitterbags placem_collection'!E199</f>
        <v>42769</v>
      </c>
      <c r="H272" t="str">
        <f>'Final data_for_R_analysis_Wetse'!J198</f>
        <v>G715</v>
      </c>
      <c r="I272" t="str">
        <f>'Final data_for_R_analysis_Wetse'!J418</f>
        <v>R219</v>
      </c>
      <c r="J272">
        <f>IFERROR(INDEX('Green_rooibos initial weight'!$C$5:$C$1749,MATCH(H272, 'Green_rooibos initial weight'!$A$5:$A$1749,0)),"")</f>
        <v>2.0179999999999998</v>
      </c>
      <c r="K272">
        <f>IFERROR(INDEX('Green_rooibos initial weight'!$C$5:$C$1749,MATCH(I272, 'Green_rooibos initial weight'!$A$5:$A$1749,0)),"")</f>
        <v>2.2160000000000002</v>
      </c>
      <c r="L272" s="195">
        <f t="shared" si="40"/>
        <v>1.7681999999999998</v>
      </c>
      <c r="M272" s="195">
        <f>AVERAGE(Ashed_controlls!$K$2:$K$11)</f>
        <v>5.5147656768714146</v>
      </c>
      <c r="N272" s="195">
        <f t="shared" si="36"/>
        <v>1.6706879133015595</v>
      </c>
      <c r="O272" s="195">
        <f t="shared" si="41"/>
        <v>1.9662000000000002</v>
      </c>
      <c r="P272" s="195">
        <f>AVERAGE(Ashed_controlls!$K$12:$K$14)</f>
        <v>2.2816647271287041</v>
      </c>
      <c r="Q272" s="195">
        <f t="shared" si="42"/>
        <v>1.9213379081351956</v>
      </c>
      <c r="R272" s="16">
        <f>IF('WetLitterbags placem_collection'!G199="N.A","",'WetLitterbags placem_collection'!G199)</f>
        <v>42814</v>
      </c>
      <c r="S272" s="195">
        <f>IF(IFERROR(INDEX('Both teabags AfterWet'!$C$3:$C$841,MATCH(H272,'Both teabags AfterWet'!$A$3:$A$841,0)),"")="N.A","",(IFERROR(INDEX('Both teabags AfterWet'!$C$3:$C$841,MATCH(H272,'Both teabags AfterWet'!$A$3:$A$841,0)),"")))</f>
        <v>0.69089999999999996</v>
      </c>
      <c r="T272" s="195">
        <f>IFERROR(INDEX('Both teabags AfterWet'!$C$3:$C$841,MATCH(I272,'Both teabags AfterWet'!$A$3:$A$841,0)),"")</f>
        <v>1.5786</v>
      </c>
      <c r="U272" s="195">
        <f t="shared" si="43"/>
        <v>0.5403</v>
      </c>
      <c r="V272" s="195">
        <f t="shared" si="43"/>
        <v>1.4279999999999999</v>
      </c>
      <c r="W272" s="195">
        <f>IFERROR(INDEX('Ashed teabags wet'!$K$2:$K$821,MATCH(H272,'Ashed teabags wet'!$A$2:$A$821,0)),"")</f>
        <v>12.326732673267644</v>
      </c>
      <c r="X272" s="195">
        <f>IFERROR(INDEX('Ashed teabags wet'!$K$2:$K$821,MATCH(I272,'Ashed teabags wet'!$A$2:$A$821,0)),"")</f>
        <v>11.480214948704322</v>
      </c>
      <c r="Y272" s="195">
        <f t="shared" si="37"/>
        <v>0.47369866336633493</v>
      </c>
      <c r="Z272" s="195">
        <f t="shared" si="37"/>
        <v>1.2640625305325022</v>
      </c>
      <c r="AA272" s="195">
        <f t="shared" si="44"/>
        <v>0.71646490071851487</v>
      </c>
      <c r="AB272" s="195">
        <f t="shared" si="45"/>
        <v>0.46970145510287437</v>
      </c>
      <c r="AC272" s="195">
        <f t="shared" si="38"/>
        <v>0.65790745354073132</v>
      </c>
      <c r="AD272">
        <f t="shared" si="39"/>
        <v>45</v>
      </c>
      <c r="AE272" s="195">
        <f t="shared" si="46"/>
        <v>0.14909156684261893</v>
      </c>
      <c r="AF272" s="195">
        <f t="shared" si="47"/>
        <v>2.8958380123097007E-2</v>
      </c>
      <c r="AG272" s="255" t="str">
        <f>IF(ISNUMBER(SEARCH("C",'WetLitterbags placem_collection'!AD199)),"YES","NO")</f>
        <v>NO</v>
      </c>
      <c r="AH272" s="255" t="str">
        <f>IF(ISNUMBER(SEARCH("H", 'WetLitterbags placem_collection'!AD199)),"YES","NO")</f>
        <v>NO</v>
      </c>
      <c r="AI272" s="255" t="str">
        <f>IF(ISNUMBER(SEARCH("R", 'WetLitterbags placem_collection'!AD199)),"YES","NO")</f>
        <v>NO</v>
      </c>
      <c r="AJ272" s="255" t="str">
        <f>IF(ISNUMBER(SEARCH("C", 'WetLitterbags placem_collection'!AC199)),"YES","NO")</f>
        <v>NO</v>
      </c>
      <c r="AK272" s="255" t="str">
        <f>IF(ISNUMBER(SEARCH("H", 'WetLitterbags placem_collection'!AC199)),"YES","NO")</f>
        <v>NO</v>
      </c>
      <c r="AL272" s="255" t="str">
        <f>IF(ISNUMBER(SEARCH("R", 'WetLitterbags placem_collection'!AC199)),"YES","NO")</f>
        <v>NO</v>
      </c>
    </row>
    <row r="273" spans="2:38">
      <c r="B273" t="str">
        <f>'Final data_for_R_analysis_Wetse'!A199</f>
        <v>Wet</v>
      </c>
      <c r="C273" s="263">
        <f>'Final data_for_R_analysis_Wetse'!B199</f>
        <v>198</v>
      </c>
      <c r="D273" t="s">
        <v>2439</v>
      </c>
      <c r="E273" t="s">
        <v>22</v>
      </c>
      <c r="F273" s="387">
        <v>2</v>
      </c>
      <c r="G273" s="16">
        <f>'WetLitterbags placem_collection'!E200</f>
        <v>42769</v>
      </c>
      <c r="H273" t="str">
        <f>'Final data_for_R_analysis_Wetse'!J199</f>
        <v>G785</v>
      </c>
      <c r="I273" t="str">
        <f>'Final data_for_R_analysis_Wetse'!J419</f>
        <v>R463</v>
      </c>
      <c r="J273">
        <f>IFERROR(INDEX('Green_rooibos initial weight'!$C$5:$C$1749,MATCH(H273, 'Green_rooibos initial weight'!$A$5:$A$1749,0)),"")</f>
        <v>2.008</v>
      </c>
      <c r="K273">
        <f>IFERROR(INDEX('Green_rooibos initial weight'!$C$5:$C$1749,MATCH(I273, 'Green_rooibos initial weight'!$A$5:$A$1749,0)),"")</f>
        <v>2.1579999999999999</v>
      </c>
      <c r="L273" s="195">
        <f t="shared" si="40"/>
        <v>1.7582</v>
      </c>
      <c r="M273" s="195">
        <f>AVERAGE(Ashed_controlls!$K$2:$K$11)</f>
        <v>5.5147656768714146</v>
      </c>
      <c r="N273" s="195">
        <f t="shared" si="36"/>
        <v>1.6612393898692468</v>
      </c>
      <c r="O273" s="195">
        <f t="shared" si="41"/>
        <v>1.9081999999999999</v>
      </c>
      <c r="P273" s="195">
        <f>AVERAGE(Ashed_controlls!$K$12:$K$14)</f>
        <v>2.2816647271287041</v>
      </c>
      <c r="Q273" s="195">
        <f t="shared" si="42"/>
        <v>1.8646612736769299</v>
      </c>
      <c r="R273" s="16">
        <f>IF('WetLitterbags placem_collection'!G200="N.A","",'WetLitterbags placem_collection'!G200)</f>
        <v>42813</v>
      </c>
      <c r="S273" s="195">
        <f>IF(IFERROR(INDEX('Both teabags AfterWet'!$C$3:$C$841,MATCH(H273,'Both teabags AfterWet'!$A$3:$A$841,0)),"")="N.A","",(IFERROR(INDEX('Both teabags AfterWet'!$C$3:$C$841,MATCH(H273,'Both teabags AfterWet'!$A$3:$A$841,0)),"")))</f>
        <v>0.64690000000000003</v>
      </c>
      <c r="T273" s="195">
        <f>IFERROR(INDEX('Both teabags AfterWet'!$C$3:$C$841,MATCH(I273,'Both teabags AfterWet'!$A$3:$A$841,0)),"")</f>
        <v>1.5485</v>
      </c>
      <c r="U273" s="195">
        <f t="shared" si="43"/>
        <v>0.49630000000000002</v>
      </c>
      <c r="V273" s="195">
        <f t="shared" si="43"/>
        <v>1.3978999999999999</v>
      </c>
      <c r="W273" s="195">
        <f>IFERROR(INDEX('Ashed teabags wet'!$K$2:$K$821,MATCH(H273,'Ashed teabags wet'!$A$2:$A$821,0)),"")</f>
        <v>9.3718843469595843</v>
      </c>
      <c r="X273" s="195">
        <f>IFERROR(INDEX('Ashed teabags wet'!$K$2:$K$821,MATCH(I273,'Ashed teabags wet'!$A$2:$A$821,0)),"")</f>
        <v>7.7074128620517337</v>
      </c>
      <c r="Y273" s="195">
        <f t="shared" si="37"/>
        <v>0.44978733798603959</v>
      </c>
      <c r="Z273" s="195">
        <f t="shared" si="37"/>
        <v>1.2901580756013789</v>
      </c>
      <c r="AA273" s="195">
        <f t="shared" si="44"/>
        <v>0.72924592281583123</v>
      </c>
      <c r="AB273" s="195">
        <f t="shared" si="45"/>
        <v>0.47808046246358538</v>
      </c>
      <c r="AC273" s="195">
        <f t="shared" si="38"/>
        <v>0.6918994317167928</v>
      </c>
      <c r="AD273">
        <f t="shared" si="39"/>
        <v>44</v>
      </c>
      <c r="AE273" s="195">
        <f t="shared" si="46"/>
        <v>0.13391220568191065</v>
      </c>
      <c r="AF273" s="195">
        <f t="shared" si="47"/>
        <v>2.3502247484327065E-2</v>
      </c>
      <c r="AG273" s="255" t="str">
        <f>IF(ISNUMBER(SEARCH("C",'WetLitterbags placem_collection'!AD200)),"YES","NO")</f>
        <v>NO</v>
      </c>
      <c r="AH273" s="255" t="str">
        <f>IF(ISNUMBER(SEARCH("H", 'WetLitterbags placem_collection'!AD200)),"YES","NO")</f>
        <v>NO</v>
      </c>
      <c r="AI273" s="255" t="str">
        <f>IF(ISNUMBER(SEARCH("R", 'WetLitterbags placem_collection'!AD200)),"YES","NO")</f>
        <v>NO</v>
      </c>
      <c r="AJ273" s="255" t="str">
        <f>IF(ISNUMBER(SEARCH("C", 'WetLitterbags placem_collection'!AC200)),"YES","NO")</f>
        <v>NO</v>
      </c>
      <c r="AK273" s="255" t="str">
        <f>IF(ISNUMBER(SEARCH("H", 'WetLitterbags placem_collection'!AC200)),"YES","NO")</f>
        <v>NO</v>
      </c>
      <c r="AL273" s="255" t="str">
        <f>IF(ISNUMBER(SEARCH("R", 'WetLitterbags placem_collection'!AC200)),"YES","NO")</f>
        <v>NO</v>
      </c>
    </row>
    <row r="274" spans="2:38">
      <c r="B274" t="str">
        <f>'Final data_for_R_analysis_Wetse'!A200</f>
        <v>Wet</v>
      </c>
      <c r="C274" s="263">
        <f>'Final data_for_R_analysis_Wetse'!B200</f>
        <v>199</v>
      </c>
      <c r="D274" t="s">
        <v>2423</v>
      </c>
      <c r="E274" t="s">
        <v>22</v>
      </c>
      <c r="F274" s="387">
        <v>3</v>
      </c>
      <c r="G274" s="16">
        <f>'WetLitterbags placem_collection'!E201</f>
        <v>42769</v>
      </c>
      <c r="H274" t="str">
        <f>'Final data_for_R_analysis_Wetse'!J200</f>
        <v>G877</v>
      </c>
      <c r="I274" t="str">
        <f>'Final data_for_R_analysis_Wetse'!J420</f>
        <v>R339</v>
      </c>
      <c r="J274">
        <f>IFERROR(INDEX('Green_rooibos initial weight'!$C$5:$C$1749,MATCH(H274, 'Green_rooibos initial weight'!$A$5:$A$1749,0)),"")</f>
        <v>2.0649999999999999</v>
      </c>
      <c r="K274">
        <f>IFERROR(INDEX('Green_rooibos initial weight'!$C$5:$C$1749,MATCH(I274, 'Green_rooibos initial weight'!$A$5:$A$1749,0)),"")</f>
        <v>2.214</v>
      </c>
      <c r="L274" s="195">
        <f t="shared" si="40"/>
        <v>1.8151999999999999</v>
      </c>
      <c r="M274" s="195">
        <f>AVERAGE(Ashed_controlls!$K$2:$K$11)</f>
        <v>5.5147656768714146</v>
      </c>
      <c r="N274" s="195">
        <f t="shared" si="36"/>
        <v>1.7150959734334301</v>
      </c>
      <c r="O274" s="195">
        <f t="shared" si="41"/>
        <v>1.9641999999999999</v>
      </c>
      <c r="P274" s="195">
        <f>AVERAGE(Ashed_controlls!$K$12:$K$14)</f>
        <v>2.2816647271287041</v>
      </c>
      <c r="Q274" s="195">
        <f t="shared" si="42"/>
        <v>1.919383541429738</v>
      </c>
      <c r="R274" s="16">
        <f>IF('WetLitterbags placem_collection'!G201="N.A","",'WetLitterbags placem_collection'!G201)</f>
        <v>42814</v>
      </c>
      <c r="S274" s="195">
        <f>IF(IFERROR(INDEX('Both teabags AfterWet'!$C$3:$C$841,MATCH(H274,'Both teabags AfterWet'!$A$3:$A$841,0)),"")="N.A","",(IFERROR(INDEX('Both teabags AfterWet'!$C$3:$C$841,MATCH(H274,'Both teabags AfterWet'!$A$3:$A$841,0)),"")))</f>
        <v>0.67900000000000005</v>
      </c>
      <c r="T274" s="195">
        <f>IFERROR(INDEX('Both teabags AfterWet'!$C$3:$C$841,MATCH(I274,'Both teabags AfterWet'!$A$3:$A$841,0)),"")</f>
        <v>1.6160000000000001</v>
      </c>
      <c r="U274" s="195">
        <f t="shared" si="43"/>
        <v>0.52839999999999998</v>
      </c>
      <c r="V274" s="195">
        <f t="shared" si="43"/>
        <v>1.4654</v>
      </c>
      <c r="W274" s="195">
        <f>IFERROR(INDEX('Ashed teabags wet'!$K$2:$K$821,MATCH(H274,'Ashed teabags wet'!$A$2:$A$821,0)),"")</f>
        <v>11.636001989060295</v>
      </c>
      <c r="X274" s="195">
        <f>IFERROR(INDEX('Ashed teabags wet'!$K$2:$K$821,MATCH(I274,'Ashed teabags wet'!$A$2:$A$821,0)),"")</f>
        <v>3.6390101892290181</v>
      </c>
      <c r="Y274" s="195">
        <f t="shared" si="37"/>
        <v>0.46691536548980539</v>
      </c>
      <c r="Z274" s="195">
        <f t="shared" si="37"/>
        <v>1.4120739446870381</v>
      </c>
      <c r="AA274" s="195">
        <f t="shared" si="44"/>
        <v>0.72776137736765067</v>
      </c>
      <c r="AB274" s="195">
        <f t="shared" si="45"/>
        <v>0.47710722126715349</v>
      </c>
      <c r="AC274" s="195">
        <f t="shared" si="38"/>
        <v>0.73569138955687419</v>
      </c>
      <c r="AD274">
        <f t="shared" si="39"/>
        <v>45</v>
      </c>
      <c r="AE274" s="195">
        <f t="shared" si="46"/>
        <v>0.13567532379138869</v>
      </c>
      <c r="AF274" s="195">
        <f t="shared" si="47"/>
        <v>1.7942111528792205E-2</v>
      </c>
      <c r="AG274" s="255" t="str">
        <f>IF(ISNUMBER(SEARCH("C",'WetLitterbags placem_collection'!AD201)),"YES","NO")</f>
        <v>NO</v>
      </c>
      <c r="AH274" s="255" t="str">
        <f>IF(ISNUMBER(SEARCH("H", 'WetLitterbags placem_collection'!AD201)),"YES","NO")</f>
        <v>NO</v>
      </c>
      <c r="AI274" s="255" t="str">
        <f>IF(ISNUMBER(SEARCH("R", 'WetLitterbags placem_collection'!AD201)),"YES","NO")</f>
        <v>NO</v>
      </c>
      <c r="AJ274" s="255" t="str">
        <f>IF(ISNUMBER(SEARCH("C", 'WetLitterbags placem_collection'!AC201)),"YES","NO")</f>
        <v>NO</v>
      </c>
      <c r="AK274" s="255" t="str">
        <f>IF(ISNUMBER(SEARCH("H", 'WetLitterbags placem_collection'!AC201)),"YES","NO")</f>
        <v>NO</v>
      </c>
      <c r="AL274" s="255" t="str">
        <f>IF(ISNUMBER(SEARCH("R", 'WetLitterbags placem_collection'!AC201)),"YES","NO")</f>
        <v>NO</v>
      </c>
    </row>
    <row r="275" spans="2:38">
      <c r="B275" t="str">
        <f>'Final data_for_R_analysis_Wetse'!A201</f>
        <v>Wet</v>
      </c>
      <c r="C275" s="263">
        <f>'Final data_for_R_analysis_Wetse'!B201</f>
        <v>200</v>
      </c>
      <c r="D275" t="s">
        <v>2446</v>
      </c>
      <c r="E275" t="s">
        <v>22</v>
      </c>
      <c r="F275" s="387">
        <v>4</v>
      </c>
      <c r="G275" s="16">
        <f>'WetLitterbags placem_collection'!E202</f>
        <v>42769</v>
      </c>
      <c r="H275" t="str">
        <f>'Final data_for_R_analysis_Wetse'!J201</f>
        <v>G816</v>
      </c>
      <c r="I275" t="str">
        <f>'Final data_for_R_analysis_Wetse'!J421</f>
        <v>R303</v>
      </c>
      <c r="J275">
        <f>IFERROR(INDEX('Green_rooibos initial weight'!$C$5:$C$1749,MATCH(H275, 'Green_rooibos initial weight'!$A$5:$A$1749,0)),"")</f>
        <v>2.0139999999999998</v>
      </c>
      <c r="K275">
        <f>IFERROR(INDEX('Green_rooibos initial weight'!$C$5:$C$1749,MATCH(I275, 'Green_rooibos initial weight'!$A$5:$A$1749,0)),"")</f>
        <v>2.2490000000000001</v>
      </c>
      <c r="L275" s="195">
        <f t="shared" si="40"/>
        <v>1.7641999999999998</v>
      </c>
      <c r="M275" s="195">
        <f>AVERAGE(Ashed_controlls!$K$2:$K$11)</f>
        <v>5.5147656768714146</v>
      </c>
      <c r="N275" s="195">
        <f t="shared" si="36"/>
        <v>1.6669085039286342</v>
      </c>
      <c r="O275" s="195">
        <f t="shared" si="41"/>
        <v>1.9992000000000001</v>
      </c>
      <c r="P275" s="195">
        <f>AVERAGE(Ashed_controlls!$K$12:$K$14)</f>
        <v>2.2816647271287041</v>
      </c>
      <c r="Q275" s="195">
        <f t="shared" si="42"/>
        <v>1.953584958775243</v>
      </c>
      <c r="R275" s="16">
        <f>IF('WetLitterbags placem_collection'!G202="N.A","",'WetLitterbags placem_collection'!G202)</f>
        <v>42813</v>
      </c>
      <c r="S275" s="195">
        <f>IF(IFERROR(INDEX('Both teabags AfterWet'!$C$3:$C$841,MATCH(H275,'Both teabags AfterWet'!$A$3:$A$841,0)),"")="N.A","",(IFERROR(INDEX('Both teabags AfterWet'!$C$3:$C$841,MATCH(H275,'Both teabags AfterWet'!$A$3:$A$841,0)),"")))</f>
        <v>0.67120000000000002</v>
      </c>
      <c r="T275" s="195">
        <f>IFERROR(INDEX('Both teabags AfterWet'!$C$3:$C$841,MATCH(I275,'Both teabags AfterWet'!$A$3:$A$841,0)),"")</f>
        <v>1.5651999999999999</v>
      </c>
      <c r="U275" s="195">
        <f t="shared" si="43"/>
        <v>0.52059999999999995</v>
      </c>
      <c r="V275" s="195">
        <f t="shared" si="43"/>
        <v>1.4145999999999999</v>
      </c>
      <c r="W275" s="195">
        <f>IFERROR(INDEX('Ashed teabags wet'!$K$2:$K$821,MATCH(H275,'Ashed teabags wet'!$A$2:$A$821,0)),"")</f>
        <v>11.089206505668416</v>
      </c>
      <c r="X275" s="195">
        <f>IFERROR(INDEX('Ashed teabags wet'!$K$2:$K$821,MATCH(I275,'Ashed teabags wet'!$A$2:$A$821,0)),"")</f>
        <v>4.4411177644712749</v>
      </c>
      <c r="Y275" s="195">
        <f t="shared" si="37"/>
        <v>0.46286959093149016</v>
      </c>
      <c r="Z275" s="195">
        <f t="shared" si="37"/>
        <v>1.3517759481037892</v>
      </c>
      <c r="AA275" s="195">
        <f t="shared" si="44"/>
        <v>0.72231853767583454</v>
      </c>
      <c r="AB275" s="195">
        <f t="shared" si="45"/>
        <v>0.47353899382073716</v>
      </c>
      <c r="AC275" s="195">
        <f t="shared" si="38"/>
        <v>0.69194633283379459</v>
      </c>
      <c r="AD275">
        <f t="shared" si="39"/>
        <v>44</v>
      </c>
      <c r="AE275" s="195">
        <f t="shared" si="46"/>
        <v>0.14213950394793995</v>
      </c>
      <c r="AF275" s="195">
        <f t="shared" si="47"/>
        <v>2.3894357530924039E-2</v>
      </c>
      <c r="AG275" s="255" t="str">
        <f>IF(ISNUMBER(SEARCH("C",'WetLitterbags placem_collection'!AD202)),"YES","NO")</f>
        <v>NO</v>
      </c>
      <c r="AH275" s="255" t="str">
        <f>IF(ISNUMBER(SEARCH("H", 'WetLitterbags placem_collection'!AD202)),"YES","NO")</f>
        <v>NO</v>
      </c>
      <c r="AI275" s="255" t="str">
        <f>IF(ISNUMBER(SEARCH("R", 'WetLitterbags placem_collection'!AD202)),"YES","NO")</f>
        <v>NO</v>
      </c>
      <c r="AJ275" s="255" t="str">
        <f>IF(ISNUMBER(SEARCH("C", 'WetLitterbags placem_collection'!AC202)),"YES","NO")</f>
        <v>NO</v>
      </c>
      <c r="AK275" s="255" t="str">
        <f>IF(ISNUMBER(SEARCH("H", 'WetLitterbags placem_collection'!AC202)),"YES","NO")</f>
        <v>NO</v>
      </c>
      <c r="AL275" s="255" t="str">
        <f>IF(ISNUMBER(SEARCH("R", 'WetLitterbags placem_collection'!AC202)),"YES","NO")</f>
        <v>NO</v>
      </c>
    </row>
    <row r="276" spans="2:38">
      <c r="B276" t="str">
        <f>'Final data_for_R_analysis_Wetse'!A202</f>
        <v>Wet</v>
      </c>
      <c r="C276" s="263">
        <f>'Final data_for_R_analysis_Wetse'!B202</f>
        <v>201</v>
      </c>
      <c r="D276" t="s">
        <v>2447</v>
      </c>
      <c r="E276" t="s">
        <v>22</v>
      </c>
      <c r="F276" s="387">
        <v>1</v>
      </c>
      <c r="G276" s="16">
        <f>'WetLitterbags placem_collection'!E203</f>
        <v>42769</v>
      </c>
      <c r="H276" t="str">
        <f>'Final data_for_R_analysis_Wetse'!J202</f>
        <v>G811</v>
      </c>
      <c r="I276" t="str">
        <f>'Final data_for_R_analysis_Wetse'!J422</f>
        <v>R218</v>
      </c>
      <c r="J276">
        <f>IFERROR(INDEX('Green_rooibos initial weight'!$C$5:$C$1749,MATCH(H276, 'Green_rooibos initial weight'!$A$5:$A$1749,0)),"")</f>
        <v>1.9930000000000001</v>
      </c>
      <c r="K276">
        <f>IFERROR(INDEX('Green_rooibos initial weight'!$C$5:$C$1749,MATCH(I276, 'Green_rooibos initial weight'!$A$5:$A$1749,0)),"")</f>
        <v>2.2309999999999999</v>
      </c>
      <c r="L276" s="195">
        <f t="shared" si="40"/>
        <v>1.7432000000000001</v>
      </c>
      <c r="M276" s="195">
        <f>AVERAGE(Ashed_controlls!$K$2:$K$11)</f>
        <v>5.5147656768714146</v>
      </c>
      <c r="N276" s="195">
        <f t="shared" si="36"/>
        <v>1.6470666047207776</v>
      </c>
      <c r="O276" s="195">
        <f t="shared" si="41"/>
        <v>1.9811999999999999</v>
      </c>
      <c r="P276" s="195">
        <f>AVERAGE(Ashed_controlls!$K$12:$K$14)</f>
        <v>2.2816647271287041</v>
      </c>
      <c r="Q276" s="195">
        <f t="shared" si="42"/>
        <v>1.935995658426126</v>
      </c>
      <c r="R276" s="16">
        <f>IF('WetLitterbags placem_collection'!G203="N.A","",'WetLitterbags placem_collection'!G203)</f>
        <v>42813</v>
      </c>
      <c r="S276" s="195">
        <f>IF(IFERROR(INDEX('Both teabags AfterWet'!$C$3:$C$841,MATCH(H276,'Both teabags AfterWet'!$A$3:$A$841,0)),"")="N.A","",(IFERROR(INDEX('Both teabags AfterWet'!$C$3:$C$841,MATCH(H276,'Both teabags AfterWet'!$A$3:$A$841,0)),"")))</f>
        <v>0.56630000000000003</v>
      </c>
      <c r="T276" s="195">
        <f>IFERROR(INDEX('Both teabags AfterWet'!$C$3:$C$841,MATCH(I276,'Both teabags AfterWet'!$A$3:$A$841,0)),"")</f>
        <v>1.5928</v>
      </c>
      <c r="U276" s="195">
        <f t="shared" si="43"/>
        <v>0.41570000000000001</v>
      </c>
      <c r="V276" s="195">
        <f t="shared" si="43"/>
        <v>1.4421999999999999</v>
      </c>
      <c r="W276" s="195">
        <f>IFERROR(INDEX('Ashed teabags wet'!$K$2:$K$821,MATCH(H276,'Ashed teabags wet'!$A$2:$A$821,0)),"")</f>
        <v>11.712158808933365</v>
      </c>
      <c r="X276" s="195">
        <f>IFERROR(INDEX('Ashed teabags wet'!$K$2:$K$821,MATCH(I276,'Ashed teabags wet'!$A$2:$A$821,0)),"")</f>
        <v>3.3009708737867043</v>
      </c>
      <c r="Y276" s="195">
        <f t="shared" si="37"/>
        <v>0.36701255583126402</v>
      </c>
      <c r="Z276" s="195">
        <f t="shared" si="37"/>
        <v>1.3945933980582481</v>
      </c>
      <c r="AA276" s="195">
        <f t="shared" si="44"/>
        <v>0.7771720009504518</v>
      </c>
      <c r="AB276" s="195">
        <f t="shared" si="45"/>
        <v>0.50949993411478556</v>
      </c>
      <c r="AC276" s="195">
        <f t="shared" si="38"/>
        <v>0.72034944499410059</v>
      </c>
      <c r="AD276">
        <f t="shared" si="39"/>
        <v>44</v>
      </c>
      <c r="AE276" s="195">
        <f t="shared" si="46"/>
        <v>7.699287298046098E-2</v>
      </c>
      <c r="AF276" s="195">
        <f t="shared" si="47"/>
        <v>1.809103414520458E-2</v>
      </c>
      <c r="AG276" s="255" t="str">
        <f>IF(ISNUMBER(SEARCH("C",'WetLitterbags placem_collection'!AD203)),"YES","NO")</f>
        <v>NO</v>
      </c>
      <c r="AH276" s="255" t="str">
        <f>IF(ISNUMBER(SEARCH("H", 'WetLitterbags placem_collection'!AD203)),"YES","NO")</f>
        <v>NO</v>
      </c>
      <c r="AI276" s="255" t="str">
        <f>IF(ISNUMBER(SEARCH("R", 'WetLitterbags placem_collection'!AD203)),"YES","NO")</f>
        <v>NO</v>
      </c>
      <c r="AJ276" s="255" t="str">
        <f>IF(ISNUMBER(SEARCH("C", 'WetLitterbags placem_collection'!AC203)),"YES","NO")</f>
        <v>NO</v>
      </c>
      <c r="AK276" s="255" t="str">
        <f>IF(ISNUMBER(SEARCH("H", 'WetLitterbags placem_collection'!AC203)),"YES","NO")</f>
        <v>NO</v>
      </c>
      <c r="AL276" s="255" t="str">
        <f>IF(ISNUMBER(SEARCH("R", 'WetLitterbags placem_collection'!AC203)),"YES","NO")</f>
        <v>NO</v>
      </c>
    </row>
    <row r="277" spans="2:38">
      <c r="B277" t="str">
        <f>'Final data_for_R_analysis_Wetse'!A203</f>
        <v>Wet</v>
      </c>
      <c r="C277" s="263">
        <f>'Final data_for_R_analysis_Wetse'!B203</f>
        <v>202</v>
      </c>
      <c r="D277" t="s">
        <v>2424</v>
      </c>
      <c r="E277" t="s">
        <v>22</v>
      </c>
      <c r="F277" s="387">
        <v>2</v>
      </c>
      <c r="G277" s="16">
        <f>'WetLitterbags placem_collection'!E204</f>
        <v>42769</v>
      </c>
      <c r="H277" t="str">
        <f>'Final data_for_R_analysis_Wetse'!J203</f>
        <v>G773</v>
      </c>
      <c r="I277" t="str">
        <f>'Final data_for_R_analysis_Wetse'!J423</f>
        <v>R135</v>
      </c>
      <c r="J277">
        <f>IFERROR(INDEX('Green_rooibos initial weight'!$C$5:$C$1749,MATCH(H277, 'Green_rooibos initial weight'!$A$5:$A$1749,0)),"")</f>
        <v>1.718</v>
      </c>
      <c r="K277">
        <f>IFERROR(INDEX('Green_rooibos initial weight'!$C$5:$C$1749,MATCH(I277, 'Green_rooibos initial weight'!$A$5:$A$1749,0)),"")</f>
        <v>2.286</v>
      </c>
      <c r="L277" s="195">
        <f t="shared" si="40"/>
        <v>1.4681999999999999</v>
      </c>
      <c r="M277" s="195">
        <f>AVERAGE(Ashed_controlls!$K$2:$K$11)</f>
        <v>5.5147656768714146</v>
      </c>
      <c r="N277" s="195">
        <f t="shared" si="36"/>
        <v>1.3872322103321739</v>
      </c>
      <c r="O277" s="195">
        <f t="shared" si="41"/>
        <v>2.0362</v>
      </c>
      <c r="P277" s="195">
        <f>AVERAGE(Ashed_controlls!$K$12:$K$14)</f>
        <v>2.2816647271287041</v>
      </c>
      <c r="Q277" s="195">
        <f t="shared" si="42"/>
        <v>1.9897407428262053</v>
      </c>
      <c r="R277" s="16">
        <f>IF('WetLitterbags placem_collection'!G204="N.A","",'WetLitterbags placem_collection'!G204)</f>
        <v>42814</v>
      </c>
      <c r="S277" s="195">
        <f>IF(IFERROR(INDEX('Both teabags AfterWet'!$C$3:$C$841,MATCH(H277,'Both teabags AfterWet'!$A$3:$A$841,0)),"")="N.A","",(IFERROR(INDEX('Both teabags AfterWet'!$C$3:$C$841,MATCH(H277,'Both teabags AfterWet'!$A$3:$A$841,0)),"")))</f>
        <v>0.84</v>
      </c>
      <c r="T277" s="195">
        <f>IFERROR(INDEX('Both teabags AfterWet'!$C$3:$C$841,MATCH(I277,'Both teabags AfterWet'!$A$3:$A$841,0)),"")</f>
        <v>1.6419999999999999</v>
      </c>
      <c r="U277" s="195">
        <f t="shared" si="43"/>
        <v>0.68940000000000001</v>
      </c>
      <c r="V277" s="195">
        <f t="shared" si="43"/>
        <v>1.4913999999999998</v>
      </c>
      <c r="W277" s="195">
        <f>IFERROR(INDEX('Ashed teabags wet'!$K$2:$K$821,MATCH(H277,'Ashed teabags wet'!$A$2:$A$821,0)),"")</f>
        <v>12.200000000000349</v>
      </c>
      <c r="X277" s="195">
        <f>IFERROR(INDEX('Ashed teabags wet'!$K$2:$K$821,MATCH(I277,'Ashed teabags wet'!$A$2:$A$821,0)),"")</f>
        <v>3.9196472317485203</v>
      </c>
      <c r="Y277" s="195">
        <f t="shared" si="37"/>
        <v>0.60529319999999764</v>
      </c>
      <c r="Z277" s="195">
        <f t="shared" si="37"/>
        <v>1.4329423811857025</v>
      </c>
      <c r="AA277" s="195">
        <f t="shared" si="44"/>
        <v>0.56366843597507033</v>
      </c>
      <c r="AB277" s="195">
        <f t="shared" si="45"/>
        <v>0.3695308511380509</v>
      </c>
      <c r="AC277" s="195">
        <f t="shared" si="38"/>
        <v>0.72016537146963544</v>
      </c>
      <c r="AD277">
        <f t="shared" si="39"/>
        <v>45</v>
      </c>
      <c r="AE277" s="195">
        <f t="shared" si="46"/>
        <v>0.33056005228613972</v>
      </c>
      <c r="AF277" s="195">
        <f t="shared" si="47"/>
        <v>3.1462346097913312E-2</v>
      </c>
      <c r="AG277" s="255" t="str">
        <f>IF(ISNUMBER(SEARCH("C",'WetLitterbags placem_collection'!AD204)),"YES","NO")</f>
        <v>NO</v>
      </c>
      <c r="AH277" s="255" t="str">
        <f>IF(ISNUMBER(SEARCH("H", 'WetLitterbags placem_collection'!AD204)),"YES","NO")</f>
        <v>NO</v>
      </c>
      <c r="AI277" s="255" t="str">
        <f>IF(ISNUMBER(SEARCH("R", 'WetLitterbags placem_collection'!AD204)),"YES","NO")</f>
        <v>NO</v>
      </c>
      <c r="AJ277" s="255" t="str">
        <f>IF(ISNUMBER(SEARCH("C", 'WetLitterbags placem_collection'!AC204)),"YES","NO")</f>
        <v>NO</v>
      </c>
      <c r="AK277" s="255" t="str">
        <f>IF(ISNUMBER(SEARCH("H", 'WetLitterbags placem_collection'!AC204)),"YES","NO")</f>
        <v>NO</v>
      </c>
      <c r="AL277" s="255" t="str">
        <f>IF(ISNUMBER(SEARCH("R", 'WetLitterbags placem_collection'!AC204)),"YES","NO")</f>
        <v>NO</v>
      </c>
    </row>
    <row r="278" spans="2:38">
      <c r="B278" t="str">
        <f>'Final data_for_R_analysis_Wetse'!A204</f>
        <v>Wet</v>
      </c>
      <c r="C278" s="263">
        <f>'Final data_for_R_analysis_Wetse'!B204</f>
        <v>203</v>
      </c>
      <c r="D278" t="s">
        <v>2433</v>
      </c>
      <c r="E278" t="s">
        <v>22</v>
      </c>
      <c r="F278" s="387">
        <v>3</v>
      </c>
      <c r="G278" s="16">
        <f>'WetLitterbags placem_collection'!E205</f>
        <v>42769</v>
      </c>
      <c r="H278" t="str">
        <f>'Final data_for_R_analysis_Wetse'!J204</f>
        <v>G645</v>
      </c>
      <c r="I278" t="str">
        <f>'Final data_for_R_analysis_Wetse'!J424</f>
        <v>R372</v>
      </c>
      <c r="J278">
        <f>IFERROR(INDEX('Green_rooibos initial weight'!$C$5:$C$1749,MATCH(H278, 'Green_rooibos initial weight'!$A$5:$A$1749,0)),"")</f>
        <v>2.238</v>
      </c>
      <c r="K278">
        <f>IFERROR(INDEX('Green_rooibos initial weight'!$C$5:$C$1749,MATCH(I278, 'Green_rooibos initial weight'!$A$5:$A$1749,0)),"")</f>
        <v>2.202</v>
      </c>
      <c r="L278" s="195">
        <f t="shared" si="40"/>
        <v>1.9882</v>
      </c>
      <c r="M278" s="195">
        <f>AVERAGE(Ashed_controlls!$K$2:$K$11)</f>
        <v>5.5147656768714146</v>
      </c>
      <c r="N278" s="195">
        <f t="shared" si="36"/>
        <v>1.8785554288124424</v>
      </c>
      <c r="O278" s="195">
        <f t="shared" si="41"/>
        <v>1.9521999999999999</v>
      </c>
      <c r="P278" s="195">
        <f>AVERAGE(Ashed_controlls!$K$12:$K$14)</f>
        <v>2.2816647271287041</v>
      </c>
      <c r="Q278" s="195">
        <f t="shared" si="42"/>
        <v>1.9076573411969935</v>
      </c>
      <c r="R278" s="16">
        <f>IF('WetLitterbags placem_collection'!G205="N.A","",'WetLitterbags placem_collection'!G205)</f>
        <v>42814</v>
      </c>
      <c r="S278" s="195">
        <f>IF(IFERROR(INDEX('Both teabags AfterWet'!$C$3:$C$841,MATCH(H278,'Both teabags AfterWet'!$A$3:$A$841,0)),"")="N.A","",(IFERROR(INDEX('Both teabags AfterWet'!$C$3:$C$841,MATCH(H278,'Both teabags AfterWet'!$A$3:$A$841,0)),"")))</f>
        <v>0.80930000000000002</v>
      </c>
      <c r="T278" s="195">
        <f>IFERROR(INDEX('Both teabags AfterWet'!$C$3:$C$841,MATCH(I278,'Both teabags AfterWet'!$A$3:$A$841,0)),"")</f>
        <v>1.6213</v>
      </c>
      <c r="U278" s="195">
        <f t="shared" si="43"/>
        <v>0.65870000000000006</v>
      </c>
      <c r="V278" s="195">
        <f t="shared" si="43"/>
        <v>1.4706999999999999</v>
      </c>
      <c r="W278" s="195">
        <f>IFERROR(INDEX('Ashed teabags wet'!$K$2:$K$821,MATCH(H278,'Ashed teabags wet'!$A$2:$A$821,0)),"")</f>
        <v>11.067388096409434</v>
      </c>
      <c r="X278" s="195">
        <f>IFERROR(INDEX('Ashed teabags wet'!$K$2:$K$821,MATCH(I278,'Ashed teabags wet'!$A$2:$A$821,0)),"")</f>
        <v>4.1958041958038725</v>
      </c>
      <c r="Y278" s="195">
        <f t="shared" si="37"/>
        <v>0.58579911460895107</v>
      </c>
      <c r="Z278" s="195">
        <f t="shared" si="37"/>
        <v>1.4089923076923123</v>
      </c>
      <c r="AA278" s="195">
        <f t="shared" si="44"/>
        <v>0.68816511579896633</v>
      </c>
      <c r="AB278" s="195">
        <f t="shared" si="45"/>
        <v>0.45114862698459551</v>
      </c>
      <c r="AC278" s="195">
        <f t="shared" si="38"/>
        <v>0.7385982153420777</v>
      </c>
      <c r="AD278">
        <f t="shared" si="39"/>
        <v>45</v>
      </c>
      <c r="AE278" s="195">
        <f t="shared" si="46"/>
        <v>0.18270176270906613</v>
      </c>
      <c r="AF278" s="195">
        <f t="shared" si="47"/>
        <v>1.9246801336898055E-2</v>
      </c>
      <c r="AG278" s="255" t="str">
        <f>IF(ISNUMBER(SEARCH("C",'WetLitterbags placem_collection'!AD205)),"YES","NO")</f>
        <v>NO</v>
      </c>
      <c r="AH278" s="255" t="str">
        <f>IF(ISNUMBER(SEARCH("H", 'WetLitterbags placem_collection'!AD205)),"YES","NO")</f>
        <v>NO</v>
      </c>
      <c r="AI278" s="255" t="str">
        <f>IF(ISNUMBER(SEARCH("R", 'WetLitterbags placem_collection'!AD205)),"YES","NO")</f>
        <v>NO</v>
      </c>
      <c r="AJ278" s="255" t="str">
        <f>IF(ISNUMBER(SEARCH("C", 'WetLitterbags placem_collection'!AC205)),"YES","NO")</f>
        <v>NO</v>
      </c>
      <c r="AK278" s="255" t="str">
        <f>IF(ISNUMBER(SEARCH("H", 'WetLitterbags placem_collection'!AC205)),"YES","NO")</f>
        <v>NO</v>
      </c>
      <c r="AL278" s="255" t="str">
        <f>IF(ISNUMBER(SEARCH("R", 'WetLitterbags placem_collection'!AC205)),"YES","NO")</f>
        <v>NO</v>
      </c>
    </row>
    <row r="279" spans="2:38">
      <c r="B279" t="str">
        <f>'Final data_for_R_analysis_Wetse'!A205</f>
        <v>Wet</v>
      </c>
      <c r="C279" s="263">
        <f>'Final data_for_R_analysis_Wetse'!B205</f>
        <v>204</v>
      </c>
      <c r="D279" t="s">
        <v>2440</v>
      </c>
      <c r="E279" t="s">
        <v>22</v>
      </c>
      <c r="F279" s="387">
        <v>4</v>
      </c>
      <c r="G279" s="16">
        <f>'WetLitterbags placem_collection'!E206</f>
        <v>42769</v>
      </c>
      <c r="H279" t="str">
        <f>'Final data_for_R_analysis_Wetse'!J205</f>
        <v>G814</v>
      </c>
      <c r="I279" t="str">
        <f>'Final data_for_R_analysis_Wetse'!J425</f>
        <v>R334</v>
      </c>
      <c r="J279">
        <f>IFERROR(INDEX('Green_rooibos initial weight'!$C$5:$C$1749,MATCH(H279, 'Green_rooibos initial weight'!$A$5:$A$1749,0)),"")</f>
        <v>2.1480000000000001</v>
      </c>
      <c r="K279">
        <f>IFERROR(INDEX('Green_rooibos initial weight'!$C$5:$C$1749,MATCH(I279, 'Green_rooibos initial weight'!$A$5:$A$1749,0)),"")</f>
        <v>2.1419999999999999</v>
      </c>
      <c r="L279" s="195">
        <f t="shared" si="40"/>
        <v>1.8982000000000001</v>
      </c>
      <c r="M279" s="195">
        <f>AVERAGE(Ashed_controlls!$K$2:$K$11)</f>
        <v>5.5147656768714146</v>
      </c>
      <c r="N279" s="195">
        <f t="shared" si="36"/>
        <v>1.793518717921627</v>
      </c>
      <c r="O279" s="195">
        <f t="shared" si="41"/>
        <v>1.8921999999999999</v>
      </c>
      <c r="P279" s="195">
        <f>AVERAGE(Ashed_controlls!$K$12:$K$14)</f>
        <v>2.2816647271287041</v>
      </c>
      <c r="Q279" s="195">
        <f t="shared" si="42"/>
        <v>1.8490263400332705</v>
      </c>
      <c r="R279" s="16">
        <f>IF('WetLitterbags placem_collection'!G206="N.A","",'WetLitterbags placem_collection'!G206)</f>
        <v>42813</v>
      </c>
      <c r="S279" s="195">
        <f>IF(IFERROR(INDEX('Both teabags AfterWet'!$C$3:$C$841,MATCH(H279,'Both teabags AfterWet'!$A$3:$A$841,0)),"")="N.A","",(IFERROR(INDEX('Both teabags AfterWet'!$C$3:$C$841,MATCH(H279,'Both teabags AfterWet'!$A$3:$A$841,0)),"")))</f>
        <v>0.68300000000000005</v>
      </c>
      <c r="T279" s="195">
        <f>IFERROR(INDEX('Both teabags AfterWet'!$C$3:$C$841,MATCH(I279,'Both teabags AfterWet'!$A$3:$A$841,0)),"")</f>
        <v>1.544</v>
      </c>
      <c r="U279" s="195">
        <f t="shared" si="43"/>
        <v>0.53239999999999998</v>
      </c>
      <c r="V279" s="195">
        <f t="shared" si="43"/>
        <v>1.3934</v>
      </c>
      <c r="W279" s="195">
        <f>IFERROR(INDEX('Ashed teabags wet'!$K$2:$K$821,MATCH(H279,'Ashed teabags wet'!$A$2:$A$821,0)),"")</f>
        <v>11.500000000000204</v>
      </c>
      <c r="X279" s="195">
        <f>IFERROR(INDEX('Ashed teabags wet'!$K$2:$K$821,MATCH(I279,'Ashed teabags wet'!$A$2:$A$821,0)),"")</f>
        <v>5.4642166344294019</v>
      </c>
      <c r="Y279" s="195">
        <f t="shared" si="37"/>
        <v>0.47117399999999887</v>
      </c>
      <c r="Z279" s="195">
        <f t="shared" si="37"/>
        <v>1.3172616054158608</v>
      </c>
      <c r="AA279" s="195">
        <f t="shared" si="44"/>
        <v>0.73729072616202929</v>
      </c>
      <c r="AB279" s="195">
        <f t="shared" si="45"/>
        <v>0.4833544903104991</v>
      </c>
      <c r="AC279" s="195">
        <f t="shared" si="38"/>
        <v>0.7124082425954833</v>
      </c>
      <c r="AD279">
        <f t="shared" si="39"/>
        <v>44</v>
      </c>
      <c r="AE279" s="195">
        <f t="shared" si="46"/>
        <v>0.12435780740851621</v>
      </c>
      <c r="AF279" s="195">
        <f t="shared" si="47"/>
        <v>2.0541975893531447E-2</v>
      </c>
      <c r="AG279" s="255" t="str">
        <f>IF(ISNUMBER(SEARCH("C",'WetLitterbags placem_collection'!AD206)),"YES","NO")</f>
        <v>NO</v>
      </c>
      <c r="AH279" s="255" t="str">
        <f>IF(ISNUMBER(SEARCH("H", 'WetLitterbags placem_collection'!AD206)),"YES","NO")</f>
        <v>NO</v>
      </c>
      <c r="AI279" s="255" t="str">
        <f>IF(ISNUMBER(SEARCH("R", 'WetLitterbags placem_collection'!AD206)),"YES","NO")</f>
        <v>NO</v>
      </c>
      <c r="AJ279" s="255" t="str">
        <f>IF(ISNUMBER(SEARCH("C", 'WetLitterbags placem_collection'!AC206)),"YES","NO")</f>
        <v>NO</v>
      </c>
      <c r="AK279" s="255" t="str">
        <f>IF(ISNUMBER(SEARCH("H", 'WetLitterbags placem_collection'!AC206)),"YES","NO")</f>
        <v>NO</v>
      </c>
      <c r="AL279" s="255" t="str">
        <f>IF(ISNUMBER(SEARCH("R", 'WetLitterbags placem_collection'!AC206)),"YES","NO")</f>
        <v>NO</v>
      </c>
    </row>
    <row r="280" spans="2:38">
      <c r="B280" t="str">
        <f>'Final data_for_R_analysis_Wetse'!A206</f>
        <v>Wet</v>
      </c>
      <c r="C280" s="263">
        <f>'Final data_for_R_analysis_Wetse'!B206</f>
        <v>205</v>
      </c>
      <c r="D280" t="s">
        <v>2434</v>
      </c>
      <c r="E280" t="s">
        <v>22</v>
      </c>
      <c r="F280" s="387">
        <v>1</v>
      </c>
      <c r="G280" s="16">
        <f>'WetLitterbags placem_collection'!E207</f>
        <v>42769</v>
      </c>
      <c r="H280" t="str">
        <f>'Final data_for_R_analysis_Wetse'!J206</f>
        <v>G621</v>
      </c>
      <c r="I280" t="str">
        <f>'Final data_for_R_analysis_Wetse'!J426</f>
        <v>R265</v>
      </c>
      <c r="J280">
        <f>IFERROR(INDEX('Green_rooibos initial weight'!$C$5:$C$1749,MATCH(H280, 'Green_rooibos initial weight'!$A$5:$A$1749,0)),"")</f>
        <v>1.925</v>
      </c>
      <c r="K280">
        <f>IFERROR(INDEX('Green_rooibos initial weight'!$C$5:$C$1749,MATCH(I280, 'Green_rooibos initial weight'!$A$5:$A$1749,0)),"")</f>
        <v>2.2210000000000001</v>
      </c>
      <c r="L280" s="195">
        <f t="shared" si="40"/>
        <v>1.6752</v>
      </c>
      <c r="M280" s="195">
        <f>AVERAGE(Ashed_controlls!$K$2:$K$11)</f>
        <v>5.5147656768714146</v>
      </c>
      <c r="N280" s="195">
        <f t="shared" si="36"/>
        <v>1.5828166453810502</v>
      </c>
      <c r="O280" s="195">
        <f t="shared" si="41"/>
        <v>1.9712000000000001</v>
      </c>
      <c r="P280" s="195">
        <f>AVERAGE(Ashed_controlls!$K$12:$K$14)</f>
        <v>2.2816647271287041</v>
      </c>
      <c r="Q280" s="195">
        <f t="shared" si="42"/>
        <v>1.926223824898839</v>
      </c>
      <c r="R280" s="16">
        <f>IF('WetLitterbags placem_collection'!G207="N.A","",'WetLitterbags placem_collection'!G207)</f>
        <v>42814</v>
      </c>
      <c r="S280" s="195">
        <f>IF(IFERROR(INDEX('Both teabags AfterWet'!$C$3:$C$841,MATCH(H280,'Both teabags AfterWet'!$A$3:$A$841,0)),"")="N.A","",(IFERROR(INDEX('Both teabags AfterWet'!$C$3:$C$841,MATCH(H280,'Both teabags AfterWet'!$A$3:$A$841,0)),"")))</f>
        <v>0.74099999999999999</v>
      </c>
      <c r="T280" s="195">
        <f>IFERROR(INDEX('Both teabags AfterWet'!$C$3:$C$841,MATCH(I280,'Both teabags AfterWet'!$A$3:$A$841,0)),"")</f>
        <v>1.6680999999999999</v>
      </c>
      <c r="U280" s="195">
        <f t="shared" si="43"/>
        <v>0.59040000000000004</v>
      </c>
      <c r="V280" s="195">
        <f t="shared" si="43"/>
        <v>1.5174999999999998</v>
      </c>
      <c r="W280" s="195">
        <f>IFERROR(INDEX('Ashed teabags wet'!$K$2:$K$821,MATCH(H280,'Ashed teabags wet'!$A$2:$A$821,0)),"")</f>
        <v>22.042218949435743</v>
      </c>
      <c r="X280" s="195">
        <f>IFERROR(INDEX('Ashed teabags wet'!$K$2:$K$821,MATCH(I280,'Ashed teabags wet'!$A$2:$A$821,0)),"")</f>
        <v>13.867187500000384</v>
      </c>
      <c r="Y280" s="195">
        <f t="shared" si="37"/>
        <v>0.46026273932253137</v>
      </c>
      <c r="Z280" s="195">
        <f t="shared" si="37"/>
        <v>1.3070654296874942</v>
      </c>
      <c r="AA280" s="195">
        <f t="shared" si="44"/>
        <v>0.70921285123854205</v>
      </c>
      <c r="AB280" s="195">
        <f t="shared" si="45"/>
        <v>0.46494714237966184</v>
      </c>
      <c r="AC280" s="195">
        <f t="shared" si="38"/>
        <v>0.67856362941421844</v>
      </c>
      <c r="AD280">
        <f t="shared" si="39"/>
        <v>45</v>
      </c>
      <c r="AE280" s="195">
        <f t="shared" si="46"/>
        <v>0.15770445221075757</v>
      </c>
      <c r="AF280" s="195">
        <f t="shared" si="47"/>
        <v>2.6122525103915436E-2</v>
      </c>
      <c r="AG280" s="255" t="str">
        <f>IF(ISNUMBER(SEARCH("C",'WetLitterbags placem_collection'!AD207)),"YES","NO")</f>
        <v>NO</v>
      </c>
      <c r="AH280" s="255" t="str">
        <f>IF(ISNUMBER(SEARCH("H", 'WetLitterbags placem_collection'!AD207)),"YES","NO")</f>
        <v>NO</v>
      </c>
      <c r="AI280" s="255" t="str">
        <f>IF(ISNUMBER(SEARCH("R", 'WetLitterbags placem_collection'!AD207)),"YES","NO")</f>
        <v>NO</v>
      </c>
      <c r="AJ280" s="255" t="str">
        <f>IF(ISNUMBER(SEARCH("C", 'WetLitterbags placem_collection'!AC207)),"YES","NO")</f>
        <v>NO</v>
      </c>
      <c r="AK280" s="255" t="str">
        <f>IF(ISNUMBER(SEARCH("H", 'WetLitterbags placem_collection'!AC207)),"YES","NO")</f>
        <v>NO</v>
      </c>
      <c r="AL280" s="255" t="str">
        <f>IF(ISNUMBER(SEARCH("R", 'WetLitterbags placem_collection'!AC207)),"YES","NO")</f>
        <v>NO</v>
      </c>
    </row>
    <row r="281" spans="2:38">
      <c r="B281" t="str">
        <f>'Final data_for_R_analysis_Wetse'!A207</f>
        <v>Wet</v>
      </c>
      <c r="C281" s="263">
        <f>'Final data_for_R_analysis_Wetse'!B207</f>
        <v>206</v>
      </c>
      <c r="D281" t="s">
        <v>2425</v>
      </c>
      <c r="E281" t="s">
        <v>22</v>
      </c>
      <c r="F281" s="387">
        <v>2</v>
      </c>
      <c r="G281" s="16">
        <f>'WetLitterbags placem_collection'!E208</f>
        <v>42769</v>
      </c>
      <c r="H281" t="str">
        <f>'Final data_for_R_analysis_Wetse'!J207</f>
        <v>G677</v>
      </c>
      <c r="I281" t="str">
        <f>'Final data_for_R_analysis_Wetse'!J427</f>
        <v>R234</v>
      </c>
      <c r="J281">
        <f>IFERROR(INDEX('Green_rooibos initial weight'!$C$5:$C$1749,MATCH(H281, 'Green_rooibos initial weight'!$A$5:$A$1749,0)),"")</f>
        <v>2.1269999999999998</v>
      </c>
      <c r="K281">
        <f>IFERROR(INDEX('Green_rooibos initial weight'!$C$5:$C$1749,MATCH(I281, 'Green_rooibos initial weight'!$A$5:$A$1749,0)),"")</f>
        <v>2.194</v>
      </c>
      <c r="L281" s="195">
        <f t="shared" si="40"/>
        <v>1.8771999999999998</v>
      </c>
      <c r="M281" s="195">
        <f>AVERAGE(Ashed_controlls!$K$2:$K$11)</f>
        <v>5.5147656768714146</v>
      </c>
      <c r="N281" s="195">
        <f t="shared" si="36"/>
        <v>1.7736768187137695</v>
      </c>
      <c r="O281" s="195">
        <f t="shared" si="41"/>
        <v>1.9441999999999999</v>
      </c>
      <c r="P281" s="195">
        <f>AVERAGE(Ashed_controlls!$K$12:$K$14)</f>
        <v>2.2816647271287041</v>
      </c>
      <c r="Q281" s="195">
        <f t="shared" si="42"/>
        <v>1.8998398743751637</v>
      </c>
      <c r="R281" s="16">
        <f>IF('WetLitterbags placem_collection'!G208="N.A","",'WetLitterbags placem_collection'!G208)</f>
        <v>42814</v>
      </c>
      <c r="S281" s="195">
        <f>IF(IFERROR(INDEX('Both teabags AfterWet'!$C$3:$C$841,MATCH(H281,'Both teabags AfterWet'!$A$3:$A$841,0)),"")="N.A","",(IFERROR(INDEX('Both teabags AfterWet'!$C$3:$C$841,MATCH(H281,'Both teabags AfterWet'!$A$3:$A$841,0)),"")))</f>
        <v>0.85699999999999998</v>
      </c>
      <c r="T281" s="195">
        <f>IFERROR(INDEX('Both teabags AfterWet'!$C$3:$C$841,MATCH(I281,'Both teabags AfterWet'!$A$3:$A$841,0)),"")</f>
        <v>1.7410000000000001</v>
      </c>
      <c r="U281" s="195">
        <f t="shared" si="43"/>
        <v>0.70639999999999992</v>
      </c>
      <c r="V281" s="195">
        <f t="shared" si="43"/>
        <v>1.5904</v>
      </c>
      <c r="W281" s="195">
        <f>IFERROR(INDEX('Ashed teabags wet'!$K$2:$K$821,MATCH(H281,'Ashed teabags wet'!$A$2:$A$821,0)),"")</f>
        <v>17.335314512134694</v>
      </c>
      <c r="X281" s="195">
        <f>IFERROR(INDEX('Ashed teabags wet'!$K$2:$K$821,MATCH(I281,'Ashed teabags wet'!$A$2:$A$821,0)),"")</f>
        <v>9.9903006789520461</v>
      </c>
      <c r="Y281" s="195">
        <f t="shared" si="37"/>
        <v>0.58394333828628042</v>
      </c>
      <c r="Z281" s="195">
        <f t="shared" si="37"/>
        <v>1.4315142580019466</v>
      </c>
      <c r="AA281" s="195">
        <f t="shared" si="44"/>
        <v>0.67077241348300243</v>
      </c>
      <c r="AB281" s="195">
        <f t="shared" si="45"/>
        <v>0.43974628532377363</v>
      </c>
      <c r="AC281" s="195">
        <f t="shared" si="38"/>
        <v>0.75349205862560176</v>
      </c>
      <c r="AD281">
        <f t="shared" si="39"/>
        <v>45</v>
      </c>
      <c r="AE281" s="195">
        <f t="shared" si="46"/>
        <v>0.20335817876127971</v>
      </c>
      <c r="AF281" s="195">
        <f t="shared" si="47"/>
        <v>1.8272745924516855E-2</v>
      </c>
      <c r="AG281" s="255" t="str">
        <f>IF(ISNUMBER(SEARCH("C",'WetLitterbags placem_collection'!AD208)),"YES","NO")</f>
        <v>NO</v>
      </c>
      <c r="AH281" s="255" t="str">
        <f>IF(ISNUMBER(SEARCH("H", 'WetLitterbags placem_collection'!AD208)),"YES","NO")</f>
        <v>NO</v>
      </c>
      <c r="AI281" s="255" t="str">
        <f>IF(ISNUMBER(SEARCH("R", 'WetLitterbags placem_collection'!AD208)),"YES","NO")</f>
        <v>NO</v>
      </c>
      <c r="AJ281" s="255" t="str">
        <f>IF(ISNUMBER(SEARCH("C", 'WetLitterbags placem_collection'!AC208)),"YES","NO")</f>
        <v>NO</v>
      </c>
      <c r="AK281" s="255" t="str">
        <f>IF(ISNUMBER(SEARCH("H", 'WetLitterbags placem_collection'!AC208)),"YES","NO")</f>
        <v>NO</v>
      </c>
      <c r="AL281" s="255" t="str">
        <f>IF(ISNUMBER(SEARCH("R", 'WetLitterbags placem_collection'!AC208)),"YES","NO")</f>
        <v>NO</v>
      </c>
    </row>
    <row r="282" spans="2:38">
      <c r="B282" t="str">
        <f>'Final data_for_R_analysis_Wetse'!A208</f>
        <v>Wet</v>
      </c>
      <c r="C282" s="263">
        <f>'Final data_for_R_analysis_Wetse'!B208</f>
        <v>207</v>
      </c>
      <c r="D282" t="s">
        <v>2448</v>
      </c>
      <c r="E282" t="s">
        <v>22</v>
      </c>
      <c r="F282" s="387">
        <v>3</v>
      </c>
      <c r="G282" s="16">
        <f>'WetLitterbags placem_collection'!E209</f>
        <v>42769</v>
      </c>
      <c r="H282" t="str">
        <f>'Final data_for_R_analysis_Wetse'!J208</f>
        <v>G574</v>
      </c>
      <c r="I282" t="str">
        <f>'Final data_for_R_analysis_Wetse'!J428</f>
        <v>R258</v>
      </c>
      <c r="J282">
        <f>IFERROR(INDEX('Green_rooibos initial weight'!$C$5:$C$1749,MATCH(H282, 'Green_rooibos initial weight'!$A$5:$A$1749,0)),"")</f>
        <v>1.984</v>
      </c>
      <c r="K282">
        <f>IFERROR(INDEX('Green_rooibos initial weight'!$C$5:$C$1749,MATCH(I282, 'Green_rooibos initial weight'!$A$5:$A$1749,0)),"")</f>
        <v>2.17</v>
      </c>
      <c r="L282" s="195">
        <f t="shared" si="40"/>
        <v>1.7342</v>
      </c>
      <c r="M282" s="195">
        <f>AVERAGE(Ashed_controlls!$K$2:$K$11)</f>
        <v>5.5147656768714146</v>
      </c>
      <c r="N282" s="195">
        <f t="shared" si="36"/>
        <v>1.6385629336316958</v>
      </c>
      <c r="O282" s="195">
        <f t="shared" si="41"/>
        <v>1.9201999999999999</v>
      </c>
      <c r="P282" s="195">
        <f>AVERAGE(Ashed_controlls!$K$12:$K$14)</f>
        <v>2.2816647271287041</v>
      </c>
      <c r="Q282" s="195">
        <f t="shared" si="42"/>
        <v>1.8763874739096746</v>
      </c>
      <c r="R282" s="16">
        <f>IF('WetLitterbags placem_collection'!G209="N.A","",'WetLitterbags placem_collection'!G209)</f>
        <v>42813</v>
      </c>
      <c r="S282" s="195">
        <f>IF(IFERROR(INDEX('Both teabags AfterWet'!$C$3:$C$841,MATCH(H282,'Both teabags AfterWet'!$A$3:$A$841,0)),"")="N.A","",(IFERROR(INDEX('Both teabags AfterWet'!$C$3:$C$841,MATCH(H282,'Both teabags AfterWet'!$A$3:$A$841,0)),"")))</f>
        <v>0.77700000000000002</v>
      </c>
      <c r="T282" s="195">
        <f>IFERROR(INDEX('Both teabags AfterWet'!$C$3:$C$841,MATCH(I282,'Both teabags AfterWet'!$A$3:$A$841,0)),"")</f>
        <v>1.5820000000000001</v>
      </c>
      <c r="U282" s="195">
        <f t="shared" si="43"/>
        <v>0.62640000000000007</v>
      </c>
      <c r="V282" s="195">
        <f t="shared" si="43"/>
        <v>1.4314</v>
      </c>
      <c r="W282" s="195">
        <f>IFERROR(INDEX('Ashed teabags wet'!$K$2:$K$821,MATCH(H282,'Ashed teabags wet'!$A$2:$A$821,0)),"")</f>
        <v>23.600000000000428</v>
      </c>
      <c r="X282" s="195">
        <f>IFERROR(INDEX('Ashed teabags wet'!$K$2:$K$821,MATCH(I282,'Ashed teabags wet'!$A$2:$A$821,0)),"")</f>
        <v>16.261774913237122</v>
      </c>
      <c r="Y282" s="195">
        <f t="shared" si="37"/>
        <v>0.47856959999999737</v>
      </c>
      <c r="Z282" s="195">
        <f t="shared" si="37"/>
        <v>1.1986289538919239</v>
      </c>
      <c r="AA282" s="195">
        <f t="shared" si="44"/>
        <v>0.70793334196856261</v>
      </c>
      <c r="AB282" s="195">
        <f t="shared" si="45"/>
        <v>0.46410831920029288</v>
      </c>
      <c r="AC282" s="195">
        <f t="shared" si="38"/>
        <v>0.63879607520212178</v>
      </c>
      <c r="AD282">
        <f t="shared" si="39"/>
        <v>44</v>
      </c>
      <c r="AE282" s="195">
        <f t="shared" si="46"/>
        <v>0.15922405941975937</v>
      </c>
      <c r="AF282" s="195">
        <f t="shared" si="47"/>
        <v>3.4234491455528017E-2</v>
      </c>
      <c r="AG282" s="255" t="str">
        <f>IF(ISNUMBER(SEARCH("C",'WetLitterbags placem_collection'!AD209)),"YES","NO")</f>
        <v>NO</v>
      </c>
      <c r="AH282" s="255" t="str">
        <f>IF(ISNUMBER(SEARCH("H", 'WetLitterbags placem_collection'!AD209)),"YES","NO")</f>
        <v>NO</v>
      </c>
      <c r="AI282" s="255" t="str">
        <f>IF(ISNUMBER(SEARCH("R", 'WetLitterbags placem_collection'!AD209)),"YES","NO")</f>
        <v>NO</v>
      </c>
      <c r="AJ282" s="255" t="str">
        <f>IF(ISNUMBER(SEARCH("C", 'WetLitterbags placem_collection'!AC209)),"YES","NO")</f>
        <v>NO</v>
      </c>
      <c r="AK282" s="255" t="str">
        <f>IF(ISNUMBER(SEARCH("H", 'WetLitterbags placem_collection'!AC209)),"YES","NO")</f>
        <v>NO</v>
      </c>
      <c r="AL282" s="255" t="str">
        <f>IF(ISNUMBER(SEARCH("R", 'WetLitterbags placem_collection'!AC209)),"YES","NO")</f>
        <v>NO</v>
      </c>
    </row>
    <row r="283" spans="2:38">
      <c r="B283" t="str">
        <f>'Final data_for_R_analysis_Wetse'!A209</f>
        <v>Wet</v>
      </c>
      <c r="C283" s="263">
        <f>'Final data_for_R_analysis_Wetse'!B209</f>
        <v>208</v>
      </c>
      <c r="D283" t="s">
        <v>2441</v>
      </c>
      <c r="E283" t="s">
        <v>22</v>
      </c>
      <c r="F283" s="387">
        <v>4</v>
      </c>
      <c r="G283" s="16">
        <f>'WetLitterbags placem_collection'!E210</f>
        <v>42769</v>
      </c>
      <c r="H283" t="str">
        <f>'Final data_for_R_analysis_Wetse'!J209</f>
        <v>G710</v>
      </c>
      <c r="I283" t="str">
        <f>'Final data_for_R_analysis_Wetse'!J429</f>
        <v>R344</v>
      </c>
      <c r="J283">
        <f>IFERROR(INDEX('Green_rooibos initial weight'!$C$5:$C$1749,MATCH(H283, 'Green_rooibos initial weight'!$A$5:$A$1749,0)),"")</f>
        <v>2.0270000000000001</v>
      </c>
      <c r="K283">
        <f>IFERROR(INDEX('Green_rooibos initial weight'!$C$5:$C$1749,MATCH(I283, 'Green_rooibos initial weight'!$A$5:$A$1749,0)),"")</f>
        <v>2.153</v>
      </c>
      <c r="L283" s="195">
        <f t="shared" si="40"/>
        <v>1.7772000000000001</v>
      </c>
      <c r="M283" s="195">
        <f>AVERAGE(Ashed_controlls!$K$2:$K$11)</f>
        <v>5.5147656768714146</v>
      </c>
      <c r="N283" s="195">
        <f t="shared" si="36"/>
        <v>1.6791915843906413</v>
      </c>
      <c r="O283" s="195">
        <f t="shared" si="41"/>
        <v>1.9032</v>
      </c>
      <c r="P283" s="195">
        <f>AVERAGE(Ashed_controlls!$K$12:$K$14)</f>
        <v>2.2816647271287041</v>
      </c>
      <c r="Q283" s="195">
        <f t="shared" si="42"/>
        <v>1.8597753569132864</v>
      </c>
      <c r="R283" s="16">
        <f>IF('WetLitterbags placem_collection'!G210="N.A","",'WetLitterbags placem_collection'!G210)</f>
        <v>42813</v>
      </c>
      <c r="S283" s="195">
        <f>IF(IFERROR(INDEX('Both teabags AfterWet'!$C$3:$C$841,MATCH(H283,'Both teabags AfterWet'!$A$3:$A$841,0)),"")="N.A","",(IFERROR(INDEX('Both teabags AfterWet'!$C$3:$C$841,MATCH(H283,'Both teabags AfterWet'!$A$3:$A$841,0)),"")))</f>
        <v>0.91</v>
      </c>
      <c r="T283" s="195">
        <f>IFERROR(INDEX('Both teabags AfterWet'!$C$3:$C$841,MATCH(I283,'Both teabags AfterWet'!$A$3:$A$841,0)),"")</f>
        <v>1.476</v>
      </c>
      <c r="U283" s="195">
        <f t="shared" si="43"/>
        <v>0.75940000000000007</v>
      </c>
      <c r="V283" s="195">
        <f t="shared" si="43"/>
        <v>1.3253999999999999</v>
      </c>
      <c r="W283" s="195">
        <f>IFERROR(INDEX('Ashed teabags wet'!$K$2:$K$821,MATCH(H283,'Ashed teabags wet'!$A$2:$A$821,0)),"")</f>
        <v>18.435475834579655</v>
      </c>
      <c r="X283" s="195">
        <f>IFERROR(INDEX('Ashed teabags wet'!$K$2:$K$821,MATCH(I283,'Ashed teabags wet'!$A$2:$A$821,0)),"")</f>
        <v>8.5305719921103496</v>
      </c>
      <c r="Y283" s="195">
        <f t="shared" si="37"/>
        <v>0.61940099651220215</v>
      </c>
      <c r="Z283" s="195">
        <f t="shared" si="37"/>
        <v>1.2123357988165693</v>
      </c>
      <c r="AA283" s="195">
        <f t="shared" si="44"/>
        <v>0.63113143117795256</v>
      </c>
      <c r="AB283" s="195">
        <f t="shared" si="45"/>
        <v>0.41375837293376466</v>
      </c>
      <c r="AC283" s="195">
        <f t="shared" si="38"/>
        <v>0.65187217064146497</v>
      </c>
      <c r="AD283">
        <f t="shared" si="39"/>
        <v>44</v>
      </c>
      <c r="AE283" s="195">
        <f t="shared" si="46"/>
        <v>0.25043773019245541</v>
      </c>
      <c r="AF283" s="195">
        <f t="shared" si="47"/>
        <v>4.1846385734386954E-2</v>
      </c>
      <c r="AG283" s="255" t="str">
        <f>IF(ISNUMBER(SEARCH("C",'WetLitterbags placem_collection'!AD210)),"YES","NO")</f>
        <v>NO</v>
      </c>
      <c r="AH283" s="255" t="str">
        <f>IF(ISNUMBER(SEARCH("H", 'WetLitterbags placem_collection'!AD210)),"YES","NO")</f>
        <v>NO</v>
      </c>
      <c r="AI283" s="255" t="str">
        <f>IF(ISNUMBER(SEARCH("R", 'WetLitterbags placem_collection'!AD210)),"YES","NO")</f>
        <v>NO</v>
      </c>
      <c r="AJ283" s="255" t="str">
        <f>IF(ISNUMBER(SEARCH("C", 'WetLitterbags placem_collection'!AC210)),"YES","NO")</f>
        <v>NO</v>
      </c>
      <c r="AK283" s="255" t="str">
        <f>IF(ISNUMBER(SEARCH("H", 'WetLitterbags placem_collection'!AC210)),"YES","NO")</f>
        <v>NO</v>
      </c>
      <c r="AL283" s="255" t="str">
        <f>IF(ISNUMBER(SEARCH("R", 'WetLitterbags placem_collection'!AC210)),"YES","NO")</f>
        <v>NO</v>
      </c>
    </row>
    <row r="284" spans="2:38">
      <c r="B284" t="str">
        <f>'Final data_for_R_analysis_Wetse'!A210</f>
        <v>Wet</v>
      </c>
      <c r="C284" s="263">
        <f>'Final data_for_R_analysis_Wetse'!B210</f>
        <v>209</v>
      </c>
      <c r="D284" t="s">
        <v>2435</v>
      </c>
      <c r="E284" t="s">
        <v>22</v>
      </c>
      <c r="F284" s="387">
        <v>1</v>
      </c>
      <c r="G284" s="16">
        <f>'WetLitterbags placem_collection'!E211</f>
        <v>42769</v>
      </c>
      <c r="H284" t="str">
        <f>'Final data_for_R_analysis_Wetse'!J210</f>
        <v>G604</v>
      </c>
      <c r="I284" t="str">
        <f>'Final data_for_R_analysis_Wetse'!J430</f>
        <v>R271</v>
      </c>
      <c r="J284">
        <f>IFERROR(INDEX('Green_rooibos initial weight'!$C$5:$C$1749,MATCH(H284, 'Green_rooibos initial weight'!$A$5:$A$1749,0)),"")</f>
        <v>2.0390000000000001</v>
      </c>
      <c r="K284">
        <f>IFERROR(INDEX('Green_rooibos initial weight'!$C$5:$C$1749,MATCH(I284, 'Green_rooibos initial weight'!$A$5:$A$1749,0)),"")</f>
        <v>2.2829999999999999</v>
      </c>
      <c r="L284" s="195">
        <f t="shared" si="40"/>
        <v>1.7892000000000001</v>
      </c>
      <c r="M284" s="195">
        <f>AVERAGE(Ashed_controlls!$K$2:$K$11)</f>
        <v>5.5147656768714146</v>
      </c>
      <c r="N284" s="195">
        <f t="shared" si="36"/>
        <v>1.6905298125094168</v>
      </c>
      <c r="O284" s="195">
        <f t="shared" si="41"/>
        <v>2.0331999999999999</v>
      </c>
      <c r="P284" s="195">
        <f>AVERAGE(Ashed_controlls!$K$12:$K$14)</f>
        <v>2.2816647271287041</v>
      </c>
      <c r="Q284" s="195">
        <f t="shared" si="42"/>
        <v>1.9868091927680191</v>
      </c>
      <c r="R284" s="16">
        <f>IF('WetLitterbags placem_collection'!G211="N.A","",'WetLitterbags placem_collection'!G211)</f>
        <v>42814</v>
      </c>
      <c r="S284" s="195">
        <f>IF(IFERROR(INDEX('Both teabags AfterWet'!$C$3:$C$841,MATCH(H284,'Both teabags AfterWet'!$A$3:$A$841,0)),"")="N.A","",(IFERROR(INDEX('Both teabags AfterWet'!$C$3:$C$841,MATCH(H284,'Both teabags AfterWet'!$A$3:$A$841,0)),"")))</f>
        <v>0.748</v>
      </c>
      <c r="T284" s="195">
        <f>IFERROR(INDEX('Both teabags AfterWet'!$C$3:$C$841,MATCH(I284,'Both teabags AfterWet'!$A$3:$A$841,0)),"")</f>
        <v>1.754</v>
      </c>
      <c r="U284" s="195">
        <f t="shared" si="43"/>
        <v>0.59739999999999993</v>
      </c>
      <c r="V284" s="195">
        <f t="shared" si="43"/>
        <v>1.6033999999999999</v>
      </c>
      <c r="W284" s="195">
        <f>IFERROR(INDEX('Ashed teabags wet'!$K$2:$K$821,MATCH(H284,'Ashed teabags wet'!$A$2:$A$821,0)),"")</f>
        <v>16.351888667991876</v>
      </c>
      <c r="X284" s="195">
        <f>IFERROR(INDEX('Ashed teabags wet'!$K$2:$K$821,MATCH(I284,'Ashed teabags wet'!$A$2:$A$821,0)),"")</f>
        <v>9.0597453476988878</v>
      </c>
      <c r="Y284" s="195">
        <f t="shared" si="37"/>
        <v>0.49971381709741647</v>
      </c>
      <c r="Z284" s="195">
        <f t="shared" si="37"/>
        <v>1.4581360430949959</v>
      </c>
      <c r="AA284" s="195">
        <f t="shared" si="44"/>
        <v>0.70440401973411937</v>
      </c>
      <c r="AB284" s="195">
        <f t="shared" si="45"/>
        <v>0.46179455925562229</v>
      </c>
      <c r="AC284" s="195">
        <f t="shared" si="38"/>
        <v>0.73390844395254851</v>
      </c>
      <c r="AD284">
        <f t="shared" si="39"/>
        <v>45</v>
      </c>
      <c r="AE284" s="195">
        <f t="shared" si="46"/>
        <v>0.16341565352242349</v>
      </c>
      <c r="AF284" s="195">
        <f t="shared" si="47"/>
        <v>1.9078264332978993E-2</v>
      </c>
      <c r="AG284" s="255" t="str">
        <f>IF(ISNUMBER(SEARCH("C",'WetLitterbags placem_collection'!AD211)),"YES","NO")</f>
        <v>NO</v>
      </c>
      <c r="AH284" s="255" t="str">
        <f>IF(ISNUMBER(SEARCH("H", 'WetLitterbags placem_collection'!AD211)),"YES","NO")</f>
        <v>NO</v>
      </c>
      <c r="AI284" s="255" t="str">
        <f>IF(ISNUMBER(SEARCH("R", 'WetLitterbags placem_collection'!AD211)),"YES","NO")</f>
        <v>NO</v>
      </c>
      <c r="AJ284" s="255" t="str">
        <f>IF(ISNUMBER(SEARCH("C", 'WetLitterbags placem_collection'!AC211)),"YES","NO")</f>
        <v>NO</v>
      </c>
      <c r="AK284" s="255" t="str">
        <f>IF(ISNUMBER(SEARCH("H", 'WetLitterbags placem_collection'!AC211)),"YES","NO")</f>
        <v>NO</v>
      </c>
      <c r="AL284" s="255" t="str">
        <f>IF(ISNUMBER(SEARCH("R", 'WetLitterbags placem_collection'!AC211)),"YES","NO")</f>
        <v>NO</v>
      </c>
    </row>
    <row r="285" spans="2:38">
      <c r="B285" t="str">
        <f>'Final data_for_R_analysis_Wetse'!A211</f>
        <v>Wet</v>
      </c>
      <c r="C285" s="263">
        <f>'Final data_for_R_analysis_Wetse'!B211</f>
        <v>210</v>
      </c>
      <c r="D285" t="s">
        <v>2449</v>
      </c>
      <c r="E285" t="s">
        <v>22</v>
      </c>
      <c r="F285" s="387">
        <v>2</v>
      </c>
      <c r="G285" s="16">
        <f>'WetLitterbags placem_collection'!E212</f>
        <v>42769</v>
      </c>
      <c r="H285" t="str">
        <f>'Final data_for_R_analysis_Wetse'!J211</f>
        <v>G871</v>
      </c>
      <c r="I285" t="str">
        <f>'Final data_for_R_analysis_Wetse'!J431</f>
        <v>R340</v>
      </c>
      <c r="J285">
        <f>IFERROR(INDEX('Green_rooibos initial weight'!$C$5:$C$1749,MATCH(H285, 'Green_rooibos initial weight'!$A$5:$A$1749,0)),"")</f>
        <v>2.0680000000000001</v>
      </c>
      <c r="K285">
        <f>IFERROR(INDEX('Green_rooibos initial weight'!$C$5:$C$1749,MATCH(I285, 'Green_rooibos initial weight'!$A$5:$A$1749,0)),"")</f>
        <v>2.2130000000000001</v>
      </c>
      <c r="L285" s="195">
        <f t="shared" si="40"/>
        <v>1.8182</v>
      </c>
      <c r="M285" s="195">
        <f>AVERAGE(Ashed_controlls!$K$2:$K$11)</f>
        <v>5.5147656768714146</v>
      </c>
      <c r="N285" s="195">
        <f t="shared" si="36"/>
        <v>1.7179305304631241</v>
      </c>
      <c r="O285" s="195">
        <f t="shared" si="41"/>
        <v>1.9632000000000001</v>
      </c>
      <c r="P285" s="195">
        <f>AVERAGE(Ashed_controlls!$K$12:$K$14)</f>
        <v>2.2816647271287041</v>
      </c>
      <c r="Q285" s="195">
        <f t="shared" si="42"/>
        <v>1.9184063580770094</v>
      </c>
      <c r="R285" s="16">
        <f>IF('WetLitterbags placem_collection'!G212="N.A","",'WetLitterbags placem_collection'!G212)</f>
        <v>42813</v>
      </c>
      <c r="S285" s="195">
        <f>IF(IFERROR(INDEX('Both teabags AfterWet'!$C$3:$C$841,MATCH(H285,'Both teabags AfterWet'!$A$3:$A$841,0)),"")="N.A","",(IFERROR(INDEX('Both teabags AfterWet'!$C$3:$C$841,MATCH(H285,'Both teabags AfterWet'!$A$3:$A$841,0)),"")))</f>
        <v>0.83130000000000004</v>
      </c>
      <c r="T285" s="195">
        <f>IFERROR(INDEX('Both teabags AfterWet'!$C$3:$C$841,MATCH(I285,'Both teabags AfterWet'!$A$3:$A$841,0)),"")</f>
        <v>1.6197999999999999</v>
      </c>
      <c r="U285" s="195">
        <f t="shared" si="43"/>
        <v>0.68070000000000008</v>
      </c>
      <c r="V285" s="195">
        <f t="shared" si="43"/>
        <v>1.4691999999999998</v>
      </c>
      <c r="W285" s="195">
        <f>IFERROR(INDEX('Ashed teabags wet'!$K$2:$K$821,MATCH(H285,'Ashed teabags wet'!$A$2:$A$821,0)),"")</f>
        <v>17.063492063492387</v>
      </c>
      <c r="X285" s="195">
        <f>IFERROR(INDEX('Ashed teabags wet'!$K$2:$K$821,MATCH(I285,'Ashed teabags wet'!$A$2:$A$821,0)),"")</f>
        <v>10.541586073501591</v>
      </c>
      <c r="Y285" s="195">
        <f t="shared" si="37"/>
        <v>0.56454880952380737</v>
      </c>
      <c r="Z285" s="195">
        <f t="shared" si="37"/>
        <v>1.3143230174081144</v>
      </c>
      <c r="AA285" s="195">
        <f t="shared" si="44"/>
        <v>0.67137855721580619</v>
      </c>
      <c r="AB285" s="195">
        <f t="shared" si="45"/>
        <v>0.4401436622127376</v>
      </c>
      <c r="AC285" s="195">
        <f t="shared" si="38"/>
        <v>0.6851118960664716</v>
      </c>
      <c r="AD285">
        <f t="shared" si="39"/>
        <v>44</v>
      </c>
      <c r="AE285" s="195">
        <f t="shared" si="46"/>
        <v>0.20263829309286674</v>
      </c>
      <c r="AF285" s="195">
        <f t="shared" si="47"/>
        <v>2.8562387777069306E-2</v>
      </c>
      <c r="AG285" s="255" t="str">
        <f>IF(ISNUMBER(SEARCH("C",'WetLitterbags placem_collection'!AD212)),"YES","NO")</f>
        <v>NO</v>
      </c>
      <c r="AH285" s="255" t="str">
        <f>IF(ISNUMBER(SEARCH("H", 'WetLitterbags placem_collection'!AD212)),"YES","NO")</f>
        <v>NO</v>
      </c>
      <c r="AI285" s="255" t="str">
        <f>IF(ISNUMBER(SEARCH("R", 'WetLitterbags placem_collection'!AD212)),"YES","NO")</f>
        <v>NO</v>
      </c>
      <c r="AJ285" s="255" t="str">
        <f>IF(ISNUMBER(SEARCH("C", 'WetLitterbags placem_collection'!AC212)),"YES","NO")</f>
        <v>NO</v>
      </c>
      <c r="AK285" s="255" t="str">
        <f>IF(ISNUMBER(SEARCH("H", 'WetLitterbags placem_collection'!AC212)),"YES","NO")</f>
        <v>NO</v>
      </c>
      <c r="AL285" s="255" t="str">
        <f>IF(ISNUMBER(SEARCH("R", 'WetLitterbags placem_collection'!AC212)),"YES","NO")</f>
        <v>NO</v>
      </c>
    </row>
    <row r="286" spans="2:38">
      <c r="B286" t="str">
        <f>'Final data_for_R_analysis_Wetse'!A212</f>
        <v>Wet</v>
      </c>
      <c r="C286" s="263">
        <f>'Final data_for_R_analysis_Wetse'!B212</f>
        <v>211</v>
      </c>
      <c r="D286" t="s">
        <v>2426</v>
      </c>
      <c r="E286" t="s">
        <v>22</v>
      </c>
      <c r="F286" s="387">
        <v>3</v>
      </c>
      <c r="G286" s="16">
        <f>'WetLitterbags placem_collection'!E213</f>
        <v>42769</v>
      </c>
      <c r="H286" t="str">
        <f>'Final data_for_R_analysis_Wetse'!J212</f>
        <v>G822</v>
      </c>
      <c r="I286" t="str">
        <f>'Final data_for_R_analysis_Wetse'!J432</f>
        <v>R381</v>
      </c>
      <c r="J286">
        <f>IFERROR(INDEX('Green_rooibos initial weight'!$C$5:$C$1749,MATCH(H286, 'Green_rooibos initial weight'!$A$5:$A$1749,0)),"")</f>
        <v>2.02</v>
      </c>
      <c r="K286">
        <f>IFERROR(INDEX('Green_rooibos initial weight'!$C$5:$C$1749,MATCH(I286, 'Green_rooibos initial weight'!$A$5:$A$1749,0)),"")</f>
        <v>2.2349999999999999</v>
      </c>
      <c r="L286" s="195">
        <f t="shared" si="40"/>
        <v>1.7702</v>
      </c>
      <c r="M286" s="195">
        <f>AVERAGE(Ashed_controlls!$K$2:$K$11)</f>
        <v>5.5147656768714146</v>
      </c>
      <c r="N286" s="195">
        <f t="shared" si="36"/>
        <v>1.6725776179880223</v>
      </c>
      <c r="O286" s="195">
        <f t="shared" si="41"/>
        <v>1.9851999999999999</v>
      </c>
      <c r="P286" s="195">
        <f>AVERAGE(Ashed_controlls!$K$12:$K$14)</f>
        <v>2.2816647271287041</v>
      </c>
      <c r="Q286" s="195">
        <f t="shared" si="42"/>
        <v>1.9399043918370409</v>
      </c>
      <c r="R286" s="16">
        <f>IF('WetLitterbags placem_collection'!G213="N.A","",'WetLitterbags placem_collection'!G213)</f>
        <v>42814</v>
      </c>
      <c r="S286" s="195">
        <f>IF(IFERROR(INDEX('Both teabags AfterWet'!$C$3:$C$841,MATCH(H286,'Both teabags AfterWet'!$A$3:$A$841,0)),"")="N.A","",(IFERROR(INDEX('Both teabags AfterWet'!$C$3:$C$841,MATCH(H286,'Both teabags AfterWet'!$A$3:$A$841,0)),"")))</f>
        <v>0.85699999999999998</v>
      </c>
      <c r="T286" s="195">
        <f>IFERROR(INDEX('Both teabags AfterWet'!$C$3:$C$841,MATCH(I286,'Both teabags AfterWet'!$A$3:$A$841,0)),"")</f>
        <v>1.528</v>
      </c>
      <c r="U286" s="195">
        <f t="shared" si="43"/>
        <v>0.70639999999999992</v>
      </c>
      <c r="V286" s="195">
        <f t="shared" si="43"/>
        <v>1.3774</v>
      </c>
      <c r="W286" s="195">
        <f>IFERROR(INDEX('Ashed teabags wet'!$K$2:$K$821,MATCH(H286,'Ashed teabags wet'!$A$2:$A$821,0)),"")</f>
        <v>17.246520874750999</v>
      </c>
      <c r="X286" s="195">
        <f>IFERROR(INDEX('Ashed teabags wet'!$K$2:$K$821,MATCH(I286,'Ashed teabags wet'!$A$2:$A$821,0)),"")</f>
        <v>10.112911143839174</v>
      </c>
      <c r="Y286" s="195">
        <f t="shared" si="37"/>
        <v>0.58457057654075884</v>
      </c>
      <c r="Z286" s="195">
        <f t="shared" si="37"/>
        <v>1.2381047619047592</v>
      </c>
      <c r="AA286" s="195">
        <f t="shared" si="44"/>
        <v>0.65049719053161148</v>
      </c>
      <c r="AB286" s="195">
        <f t="shared" si="45"/>
        <v>0.42645421517036769</v>
      </c>
      <c r="AC286" s="195">
        <f t="shared" si="38"/>
        <v>0.63822978447525702</v>
      </c>
      <c r="AD286">
        <f t="shared" si="39"/>
        <v>45</v>
      </c>
      <c r="AE286" s="195">
        <f t="shared" si="46"/>
        <v>0.22743801599571078</v>
      </c>
      <c r="AF286" s="195">
        <f t="shared" si="47"/>
        <v>4.1910914240090379E-2</v>
      </c>
      <c r="AG286" s="255" t="str">
        <f>IF(ISNUMBER(SEARCH("C",'WetLitterbags placem_collection'!AD213)),"YES","NO")</f>
        <v>NO</v>
      </c>
      <c r="AH286" s="255" t="str">
        <f>IF(ISNUMBER(SEARCH("H", 'WetLitterbags placem_collection'!AD213)),"YES","NO")</f>
        <v>NO</v>
      </c>
      <c r="AI286" s="255" t="str">
        <f>IF(ISNUMBER(SEARCH("R", 'WetLitterbags placem_collection'!AD213)),"YES","NO")</f>
        <v>NO</v>
      </c>
      <c r="AJ286" s="255" t="str">
        <f>IF(ISNUMBER(SEARCH("C", 'WetLitterbags placem_collection'!AC213)),"YES","NO")</f>
        <v>NO</v>
      </c>
      <c r="AK286" s="255" t="str">
        <f>IF(ISNUMBER(SEARCH("H", 'WetLitterbags placem_collection'!AC213)),"YES","NO")</f>
        <v>NO</v>
      </c>
      <c r="AL286" s="255" t="str">
        <f>IF(ISNUMBER(SEARCH("R", 'WetLitterbags placem_collection'!AC213)),"YES","NO")</f>
        <v>NO</v>
      </c>
    </row>
    <row r="287" spans="2:38">
      <c r="B287" t="str">
        <f>'Final data_for_R_analysis_Wetse'!A213</f>
        <v>Wet</v>
      </c>
      <c r="C287" s="263">
        <f>'Final data_for_R_analysis_Wetse'!B213</f>
        <v>215</v>
      </c>
      <c r="D287" t="s">
        <v>2427</v>
      </c>
      <c r="E287" t="s">
        <v>22</v>
      </c>
      <c r="F287" s="387">
        <v>3</v>
      </c>
      <c r="G287" s="16">
        <f>'WetLitterbags placem_collection'!E214</f>
        <v>42769</v>
      </c>
      <c r="H287" t="str">
        <f>'Final data_for_R_analysis_Wetse'!J213</f>
        <v>G786</v>
      </c>
      <c r="I287" t="str">
        <f>'Final data_for_R_analysis_Wetse'!J433</f>
        <v>R93</v>
      </c>
      <c r="J287">
        <f>IFERROR(INDEX('Green_rooibos initial weight'!$C$5:$C$1749,MATCH(H287, 'Green_rooibos initial weight'!$A$5:$A$1749,0)),"")</f>
        <v>2.097</v>
      </c>
      <c r="K287">
        <f>IFERROR(INDEX('Green_rooibos initial weight'!$C$5:$C$1749,MATCH(I287, 'Green_rooibos initial weight'!$A$5:$A$1749,0)),"")</f>
        <v>2.1709999999999998</v>
      </c>
      <c r="L287" s="195">
        <f t="shared" si="40"/>
        <v>1.8472</v>
      </c>
      <c r="M287" s="195">
        <f>AVERAGE(Ashed_controlls!$K$2:$K$11)</f>
        <v>5.5147656768714146</v>
      </c>
      <c r="N287" s="195">
        <f t="shared" si="36"/>
        <v>1.7453312484168313</v>
      </c>
      <c r="O287" s="195">
        <f t="shared" si="41"/>
        <v>1.9211999999999998</v>
      </c>
      <c r="P287" s="195">
        <f>AVERAGE(Ashed_controlls!$K$12:$K$14)</f>
        <v>2.2816647271287041</v>
      </c>
      <c r="Q287" s="195">
        <f t="shared" si="42"/>
        <v>1.8773646572624032</v>
      </c>
      <c r="R287" s="16">
        <f>IF('WetLitterbags placem_collection'!G214="N.A","",'WetLitterbags placem_collection'!G214)</f>
        <v>42813</v>
      </c>
      <c r="S287" s="195">
        <f>IF(IFERROR(INDEX('Both teabags AfterWet'!$C$3:$C$841,MATCH(H287,'Both teabags AfterWet'!$A$3:$A$841,0)),"")="N.A","",(IFERROR(INDEX('Both teabags AfterWet'!$C$3:$C$841,MATCH(H287,'Both teabags AfterWet'!$A$3:$A$841,0)),"")))</f>
        <v>0.86439999999999995</v>
      </c>
      <c r="T287" s="195">
        <f>IFERROR(INDEX('Both teabags AfterWet'!$C$3:$C$841,MATCH(I287,'Both teabags AfterWet'!$A$3:$A$841,0)),"")</f>
        <v>1.5831999999999999</v>
      </c>
      <c r="U287" s="195">
        <f t="shared" si="43"/>
        <v>0.71379999999999999</v>
      </c>
      <c r="V287" s="195">
        <f t="shared" si="43"/>
        <v>1.4325999999999999</v>
      </c>
      <c r="W287" s="195">
        <f>IFERROR(INDEX('Ashed teabags wet'!$K$2:$K$821,MATCH(H287,'Ashed teabags wet'!$A$2:$A$821,0)),"")</f>
        <v>12.518778167251055</v>
      </c>
      <c r="X287" s="195">
        <f>IFERROR(INDEX('Ashed teabags wet'!$K$2:$K$821,MATCH(I287,'Ashed teabags wet'!$A$2:$A$821,0)),"")</f>
        <v>7.2365225837790437</v>
      </c>
      <c r="Y287" s="195">
        <f t="shared" si="37"/>
        <v>0.62444096144216199</v>
      </c>
      <c r="Z287" s="195">
        <f t="shared" si="37"/>
        <v>1.3289295774647814</v>
      </c>
      <c r="AA287" s="195">
        <f t="shared" si="44"/>
        <v>0.64222209279265197</v>
      </c>
      <c r="AB287" s="195">
        <f t="shared" si="45"/>
        <v>0.42102921047689307</v>
      </c>
      <c r="AC287" s="195">
        <f t="shared" si="38"/>
        <v>0.70786971104625096</v>
      </c>
      <c r="AD287">
        <f t="shared" si="39"/>
        <v>44</v>
      </c>
      <c r="AE287" s="195">
        <f t="shared" si="46"/>
        <v>0.23726592304910687</v>
      </c>
      <c r="AF287" s="195">
        <f t="shared" si="47"/>
        <v>2.6901674356646667E-2</v>
      </c>
      <c r="AG287" s="255" t="str">
        <f>IF(ISNUMBER(SEARCH("C",'WetLitterbags placem_collection'!AD214)),"YES","NO")</f>
        <v>NO</v>
      </c>
      <c r="AH287" s="255" t="str">
        <f>IF(ISNUMBER(SEARCH("H", 'WetLitterbags placem_collection'!AD214)),"YES","NO")</f>
        <v>NO</v>
      </c>
      <c r="AI287" s="255" t="str">
        <f>IF(ISNUMBER(SEARCH("R", 'WetLitterbags placem_collection'!AD214)),"YES","NO")</f>
        <v>NO</v>
      </c>
      <c r="AJ287" s="255" t="str">
        <f>IF(ISNUMBER(SEARCH("C", 'WetLitterbags placem_collection'!AC214)),"YES","NO")</f>
        <v>NO</v>
      </c>
      <c r="AK287" s="255" t="str">
        <f>IF(ISNUMBER(SEARCH("H", 'WetLitterbags placem_collection'!AC214)),"YES","NO")</f>
        <v>NO</v>
      </c>
      <c r="AL287" s="255" t="str">
        <f>IF(ISNUMBER(SEARCH("R", 'WetLitterbags placem_collection'!AC214)),"YES","NO")</f>
        <v>NO</v>
      </c>
    </row>
    <row r="288" spans="2:38">
      <c r="B288" t="str">
        <f>'Final data_for_R_analysis_Wetse'!A214</f>
        <v>Wet</v>
      </c>
      <c r="C288" s="263">
        <f>'Final data_for_R_analysis_Wetse'!B214</f>
        <v>212</v>
      </c>
      <c r="D288" t="s">
        <v>2442</v>
      </c>
      <c r="E288" t="s">
        <v>22</v>
      </c>
      <c r="F288" s="387">
        <v>4</v>
      </c>
      <c r="G288" s="16">
        <f>'WetLitterbags placem_collection'!E215</f>
        <v>42769</v>
      </c>
      <c r="H288" t="str">
        <f>'Final data_for_R_analysis_Wetse'!J214</f>
        <v>G572</v>
      </c>
      <c r="I288" t="str">
        <f>'Final data_for_R_analysis_Wetse'!J434</f>
        <v>R88</v>
      </c>
      <c r="J288">
        <f>IFERROR(INDEX('Green_rooibos initial weight'!$C$5:$C$1749,MATCH(H288, 'Green_rooibos initial weight'!$A$5:$A$1749,0)),"")</f>
        <v>1.972</v>
      </c>
      <c r="K288">
        <f>IFERROR(INDEX('Green_rooibos initial weight'!$C$5:$C$1749,MATCH(I288, 'Green_rooibos initial weight'!$A$5:$A$1749,0)),"")</f>
        <v>2.1520000000000001</v>
      </c>
      <c r="L288" s="195">
        <f t="shared" si="40"/>
        <v>1.7222</v>
      </c>
      <c r="M288" s="195">
        <f>AVERAGE(Ashed_controlls!$K$2:$K$11)</f>
        <v>5.5147656768714146</v>
      </c>
      <c r="N288" s="195">
        <f t="shared" si="36"/>
        <v>1.6272247055129205</v>
      </c>
      <c r="O288" s="195">
        <f t="shared" si="41"/>
        <v>1.9022000000000001</v>
      </c>
      <c r="P288" s="195">
        <f>AVERAGE(Ashed_controlls!$K$12:$K$14)</f>
        <v>2.2816647271287041</v>
      </c>
      <c r="Q288" s="195">
        <f t="shared" si="42"/>
        <v>1.8587981735605579</v>
      </c>
      <c r="R288" s="16">
        <f>IF('WetLitterbags placem_collection'!G215="N.A","",'WetLitterbags placem_collection'!G215)</f>
        <v>42813</v>
      </c>
      <c r="S288" s="195">
        <f>IF(IFERROR(INDEX('Both teabags AfterWet'!$C$3:$C$841,MATCH(H288,'Both teabags AfterWet'!$A$3:$A$841,0)),"")="N.A","",(IFERROR(INDEX('Both teabags AfterWet'!$C$3:$C$841,MATCH(H288,'Both teabags AfterWet'!$A$3:$A$841,0)),"")))</f>
        <v>0.71399999999999997</v>
      </c>
      <c r="T288" s="195">
        <f>IFERROR(INDEX('Both teabags AfterWet'!$C$3:$C$841,MATCH(I288,'Both teabags AfterWet'!$A$3:$A$841,0)),"")</f>
        <v>1.542</v>
      </c>
      <c r="U288" s="195">
        <f t="shared" si="43"/>
        <v>0.5633999999999999</v>
      </c>
      <c r="V288" s="195">
        <f t="shared" si="43"/>
        <v>1.3914</v>
      </c>
      <c r="W288" s="195">
        <f>IFERROR(INDEX('Ashed teabags wet'!$K$2:$K$821,MATCH(H288,'Ashed teabags wet'!$A$2:$A$821,0)),"")</f>
        <v>10.252600297176585</v>
      </c>
      <c r="X288" s="195">
        <f>IFERROR(INDEX('Ashed teabags wet'!$K$2:$K$821,MATCH(I288,'Ashed teabags wet'!$A$2:$A$821,0)),"")</f>
        <v>3.5402521823463347</v>
      </c>
      <c r="Y288" s="195">
        <f t="shared" si="37"/>
        <v>0.50563684992570701</v>
      </c>
      <c r="Z288" s="195">
        <f t="shared" si="37"/>
        <v>1.3421409311348331</v>
      </c>
      <c r="AA288" s="195">
        <f t="shared" si="44"/>
        <v>0.68926427418865654</v>
      </c>
      <c r="AB288" s="195">
        <f t="shared" si="45"/>
        <v>0.45186921538258723</v>
      </c>
      <c r="AC288" s="195">
        <f t="shared" si="38"/>
        <v>0.72204769201162955</v>
      </c>
      <c r="AD288">
        <f t="shared" si="39"/>
        <v>44</v>
      </c>
      <c r="AE288" s="195">
        <f t="shared" si="46"/>
        <v>0.18139634894458845</v>
      </c>
      <c r="AF288" s="195">
        <f t="shared" si="47"/>
        <v>2.1700344318680384E-2</v>
      </c>
      <c r="AG288" s="255" t="str">
        <f>IF(ISNUMBER(SEARCH("C",'WetLitterbags placem_collection'!AD215)),"YES","NO")</f>
        <v>NO</v>
      </c>
      <c r="AH288" s="255" t="str">
        <f>IF(ISNUMBER(SEARCH("H", 'WetLitterbags placem_collection'!AD215)),"YES","NO")</f>
        <v>NO</v>
      </c>
      <c r="AI288" s="255" t="str">
        <f>IF(ISNUMBER(SEARCH("R", 'WetLitterbags placem_collection'!AD215)),"YES","NO")</f>
        <v>NO</v>
      </c>
      <c r="AJ288" s="255" t="str">
        <f>IF(ISNUMBER(SEARCH("C", 'WetLitterbags placem_collection'!AC215)),"YES","NO")</f>
        <v>NO</v>
      </c>
      <c r="AK288" s="255" t="str">
        <f>IF(ISNUMBER(SEARCH("H", 'WetLitterbags placem_collection'!AC215)),"YES","NO")</f>
        <v>NO</v>
      </c>
      <c r="AL288" s="255" t="str">
        <f>IF(ISNUMBER(SEARCH("R", 'WetLitterbags placem_collection'!AC215)),"YES","NO")</f>
        <v>NO</v>
      </c>
    </row>
    <row r="289" spans="2:38">
      <c r="B289" t="str">
        <f>'Final data_for_R_analysis_Wetse'!A215</f>
        <v>Wet</v>
      </c>
      <c r="C289" s="263">
        <f>'Final data_for_R_analysis_Wetse'!B215</f>
        <v>213</v>
      </c>
      <c r="D289" t="s">
        <v>2450</v>
      </c>
      <c r="E289" t="s">
        <v>22</v>
      </c>
      <c r="F289" s="387">
        <v>1</v>
      </c>
      <c r="G289" s="16">
        <f>'WetLitterbags placem_collection'!E216</f>
        <v>42769</v>
      </c>
      <c r="H289" t="str">
        <f>'Final data_for_R_analysis_Wetse'!J215</f>
        <v>G761</v>
      </c>
      <c r="I289" t="str">
        <f>'Final data_for_R_analysis_Wetse'!J435</f>
        <v>R383</v>
      </c>
      <c r="J289">
        <f>IFERROR(INDEX('Green_rooibos initial weight'!$C$5:$C$1749,MATCH(H289, 'Green_rooibos initial weight'!$A$5:$A$1749,0)),"")</f>
        <v>2.0110000000000001</v>
      </c>
      <c r="K289">
        <f>IFERROR(INDEX('Green_rooibos initial weight'!$C$5:$C$1749,MATCH(I289, 'Green_rooibos initial weight'!$A$5:$A$1749,0)),"")</f>
        <v>2.234</v>
      </c>
      <c r="L289" s="195">
        <f t="shared" si="40"/>
        <v>1.7612000000000001</v>
      </c>
      <c r="M289" s="195">
        <f>AVERAGE(Ashed_controlls!$K$2:$K$11)</f>
        <v>5.5147656768714146</v>
      </c>
      <c r="N289" s="195">
        <f t="shared" si="36"/>
        <v>1.6640739468989407</v>
      </c>
      <c r="O289" s="195">
        <f t="shared" si="41"/>
        <v>1.9842</v>
      </c>
      <c r="P289" s="195">
        <f>AVERAGE(Ashed_controlls!$K$12:$K$14)</f>
        <v>2.2816647271287041</v>
      </c>
      <c r="Q289" s="195">
        <f t="shared" si="42"/>
        <v>1.9389272084843123</v>
      </c>
      <c r="R289" s="16">
        <f>IF('WetLitterbags placem_collection'!G216="N.A","",'WetLitterbags placem_collection'!G216)</f>
        <v>42813</v>
      </c>
      <c r="S289" s="195">
        <f>IF(IFERROR(INDEX('Both teabags AfterWet'!$C$3:$C$841,MATCH(H289,'Both teabags AfterWet'!$A$3:$A$841,0)),"")="N.A","",(IFERROR(INDEX('Both teabags AfterWet'!$C$3:$C$841,MATCH(H289,'Both teabags AfterWet'!$A$3:$A$841,0)),"")))</f>
        <v>0.71299999999999997</v>
      </c>
      <c r="T289" s="195">
        <f>IFERROR(INDEX('Both teabags AfterWet'!$C$3:$C$841,MATCH(I289,'Both teabags AfterWet'!$A$3:$A$841,0)),"")</f>
        <v>1.587</v>
      </c>
      <c r="U289" s="195">
        <f t="shared" si="43"/>
        <v>0.56240000000000001</v>
      </c>
      <c r="V289" s="195">
        <f t="shared" si="43"/>
        <v>1.4363999999999999</v>
      </c>
      <c r="W289" s="195">
        <f>IFERROR(INDEX('Ashed teabags wet'!$K$2:$K$821,MATCH(H289,'Ashed teabags wet'!$A$2:$A$821,0)),"")</f>
        <v>10.989010989010806</v>
      </c>
      <c r="X289" s="195">
        <f>IFERROR(INDEX('Ashed teabags wet'!$K$2:$K$821,MATCH(I289,'Ashed teabags wet'!$A$2:$A$821,0)),"")</f>
        <v>4.7142857142857366</v>
      </c>
      <c r="Y289" s="195">
        <f t="shared" si="37"/>
        <v>0.50059780219780325</v>
      </c>
      <c r="Z289" s="195">
        <f t="shared" si="37"/>
        <v>1.3686839999999996</v>
      </c>
      <c r="AA289" s="195">
        <f t="shared" si="44"/>
        <v>0.69917334314939272</v>
      </c>
      <c r="AB289" s="195">
        <f t="shared" si="45"/>
        <v>0.458365422112191</v>
      </c>
      <c r="AC289" s="195">
        <f t="shared" si="38"/>
        <v>0.70589756748522803</v>
      </c>
      <c r="AD289">
        <f t="shared" si="39"/>
        <v>44</v>
      </c>
      <c r="AE289" s="195">
        <f t="shared" si="46"/>
        <v>0.16962785849240769</v>
      </c>
      <c r="AF289" s="195">
        <f t="shared" si="47"/>
        <v>2.3322681643597784E-2</v>
      </c>
      <c r="AG289" s="255" t="str">
        <f>IF(ISNUMBER(SEARCH("C",'WetLitterbags placem_collection'!AD216)),"YES","NO")</f>
        <v>NO</v>
      </c>
      <c r="AH289" s="255" t="str">
        <f>IF(ISNUMBER(SEARCH("H", 'WetLitterbags placem_collection'!AD216)),"YES","NO")</f>
        <v>NO</v>
      </c>
      <c r="AI289" s="255" t="str">
        <f>IF(ISNUMBER(SEARCH("R", 'WetLitterbags placem_collection'!AD216)),"YES","NO")</f>
        <v>NO</v>
      </c>
      <c r="AJ289" s="255" t="str">
        <f>IF(ISNUMBER(SEARCH("C", 'WetLitterbags placem_collection'!AC216)),"YES","NO")</f>
        <v>NO</v>
      </c>
      <c r="AK289" s="255" t="str">
        <f>IF(ISNUMBER(SEARCH("H", 'WetLitterbags placem_collection'!AC216)),"YES","NO")</f>
        <v>NO</v>
      </c>
      <c r="AL289" s="255" t="str">
        <f>IF(ISNUMBER(SEARCH("R", 'WetLitterbags placem_collection'!AC216)),"YES","NO")</f>
        <v>NO</v>
      </c>
    </row>
    <row r="290" spans="2:38">
      <c r="B290" t="str">
        <f>'Final data_for_R_analysis_Wetse'!A216</f>
        <v>Wet</v>
      </c>
      <c r="C290" s="263">
        <f>'Final data_for_R_analysis_Wetse'!B216</f>
        <v>214</v>
      </c>
      <c r="D290" t="s">
        <v>2443</v>
      </c>
      <c r="E290" t="s">
        <v>22</v>
      </c>
      <c r="F290" s="387">
        <v>2</v>
      </c>
      <c r="G290" s="16">
        <f>'WetLitterbags placem_collection'!E217</f>
        <v>42769</v>
      </c>
      <c r="H290" t="str">
        <f>'Final data_for_R_analysis_Wetse'!J216</f>
        <v>G858</v>
      </c>
      <c r="I290" t="str">
        <f>'Final data_for_R_analysis_Wetse'!J436</f>
        <v>R145</v>
      </c>
      <c r="J290">
        <f>IFERROR(INDEX('Green_rooibos initial weight'!$C$5:$C$1749,MATCH(H290, 'Green_rooibos initial weight'!$A$5:$A$1749,0)),"")</f>
        <v>2.1040000000000001</v>
      </c>
      <c r="K290">
        <f>IFERROR(INDEX('Green_rooibos initial weight'!$C$5:$C$1749,MATCH(I290, 'Green_rooibos initial weight'!$A$5:$A$1749,0)),"")</f>
        <v>2.2719999999999998</v>
      </c>
      <c r="L290" s="195">
        <f t="shared" si="40"/>
        <v>1.8542000000000001</v>
      </c>
      <c r="M290" s="195">
        <f>AVERAGE(Ashed_controlls!$K$2:$K$11)</f>
        <v>5.5147656768714146</v>
      </c>
      <c r="N290" s="195">
        <f t="shared" si="36"/>
        <v>1.7519452148194503</v>
      </c>
      <c r="O290" s="195">
        <f t="shared" si="41"/>
        <v>2.0221999999999998</v>
      </c>
      <c r="P290" s="195">
        <f>AVERAGE(Ashed_controlls!$K$12:$K$14)</f>
        <v>2.2816647271287041</v>
      </c>
      <c r="Q290" s="195">
        <f t="shared" si="42"/>
        <v>1.9760601758880032</v>
      </c>
      <c r="R290" s="16">
        <f>IF('WetLitterbags placem_collection'!G217="N.A","",'WetLitterbags placem_collection'!G217)</f>
        <v>42814</v>
      </c>
      <c r="S290" s="195">
        <f>IF(IFERROR(INDEX('Both teabags AfterWet'!$C$3:$C$841,MATCH(H290,'Both teabags AfterWet'!$A$3:$A$841,0)),"")="N.A","",(IFERROR(INDEX('Both teabags AfterWet'!$C$3:$C$841,MATCH(H290,'Both teabags AfterWet'!$A$3:$A$841,0)),"")))</f>
        <v>0.69730000000000003</v>
      </c>
      <c r="T290" s="195">
        <f>IFERROR(INDEX('Both teabags AfterWet'!$C$3:$C$841,MATCH(I290,'Both teabags AfterWet'!$A$3:$A$841,0)),"")</f>
        <v>1.5481</v>
      </c>
      <c r="U290" s="195">
        <f t="shared" si="43"/>
        <v>0.54669999999999996</v>
      </c>
      <c r="V290" s="195">
        <f t="shared" si="43"/>
        <v>1.3975</v>
      </c>
      <c r="W290" s="195">
        <f>IFERROR(INDEX('Ashed teabags wet'!$K$2:$K$821,MATCH(H290,'Ashed teabags wet'!$A$2:$A$821,0)),"")</f>
        <v>7.1357285429143147</v>
      </c>
      <c r="X290" s="195">
        <f>IFERROR(INDEX('Ashed teabags wet'!$K$2:$K$821,MATCH(I290,'Ashed teabags wet'!$A$2:$A$821,0)),"")</f>
        <v>2.4271844660191637</v>
      </c>
      <c r="Y290" s="195">
        <f t="shared" si="37"/>
        <v>0.50768897205588737</v>
      </c>
      <c r="Z290" s="195">
        <f t="shared" si="37"/>
        <v>1.3635800970873821</v>
      </c>
      <c r="AA290" s="195">
        <f t="shared" si="44"/>
        <v>0.71021412783834792</v>
      </c>
      <c r="AB290" s="195">
        <f t="shared" si="45"/>
        <v>0.46560356124319247</v>
      </c>
      <c r="AC290" s="195">
        <f t="shared" si="38"/>
        <v>0.69004988498116748</v>
      </c>
      <c r="AD290">
        <f t="shared" si="39"/>
        <v>45</v>
      </c>
      <c r="AE290" s="195">
        <f t="shared" si="46"/>
        <v>0.15651528760291222</v>
      </c>
      <c r="AF290" s="195">
        <f t="shared" si="47"/>
        <v>2.434894461348595E-2</v>
      </c>
      <c r="AG290" s="255" t="str">
        <f>IF(ISNUMBER(SEARCH("C",'WetLitterbags placem_collection'!AD217)),"YES","NO")</f>
        <v>NO</v>
      </c>
      <c r="AH290" s="255" t="str">
        <f>IF(ISNUMBER(SEARCH("H", 'WetLitterbags placem_collection'!AD217)),"YES","NO")</f>
        <v>NO</v>
      </c>
      <c r="AI290" s="255" t="str">
        <f>IF(ISNUMBER(SEARCH("R", 'WetLitterbags placem_collection'!AD217)),"YES","NO")</f>
        <v>NO</v>
      </c>
      <c r="AJ290" s="255" t="str">
        <f>IF(ISNUMBER(SEARCH("C", 'WetLitterbags placem_collection'!AC217)),"YES","NO")</f>
        <v>NO</v>
      </c>
      <c r="AK290" s="255" t="str">
        <f>IF(ISNUMBER(SEARCH("H", 'WetLitterbags placem_collection'!AC217)),"YES","NO")</f>
        <v>NO</v>
      </c>
      <c r="AL290" s="255" t="str">
        <f>IF(ISNUMBER(SEARCH("R", 'WetLitterbags placem_collection'!AC217)),"YES","NO")</f>
        <v>NO</v>
      </c>
    </row>
    <row r="291" spans="2:38">
      <c r="B291" t="str">
        <f>'Final data_for_R_analysis_Wetse'!A217</f>
        <v>Wet</v>
      </c>
      <c r="C291" s="263">
        <f>'Final data_for_R_analysis_Wetse'!B217</f>
        <v>216</v>
      </c>
      <c r="D291" t="s">
        <v>2436</v>
      </c>
      <c r="E291" t="s">
        <v>22</v>
      </c>
      <c r="F291" s="387">
        <v>4</v>
      </c>
      <c r="G291" s="16">
        <f>'WetLitterbags placem_collection'!E218</f>
        <v>42769</v>
      </c>
      <c r="H291" t="str">
        <f>'Final data_for_R_analysis_Wetse'!J217</f>
        <v>G755</v>
      </c>
      <c r="I291" t="str">
        <f>'Final data_for_R_analysis_Wetse'!J437</f>
        <v>R241</v>
      </c>
      <c r="J291">
        <f>IFERROR(INDEX('Green_rooibos initial weight'!$C$5:$C$1749,MATCH(H291, 'Green_rooibos initial weight'!$A$5:$A$1749,0)),"")</f>
        <v>2.0190000000000001</v>
      </c>
      <c r="K291">
        <f>IFERROR(INDEX('Green_rooibos initial weight'!$C$5:$C$1749,MATCH(I291, 'Green_rooibos initial weight'!$A$5:$A$1749,0)),"")</f>
        <v>2.1680000000000001</v>
      </c>
      <c r="L291" s="195">
        <f t="shared" si="40"/>
        <v>1.7692000000000001</v>
      </c>
      <c r="M291" s="195">
        <f>AVERAGE(Ashed_controlls!$K$2:$K$11)</f>
        <v>5.5147656768714146</v>
      </c>
      <c r="N291" s="195">
        <f t="shared" si="36"/>
        <v>1.6716327656447911</v>
      </c>
      <c r="O291" s="195">
        <f t="shared" si="41"/>
        <v>1.9182000000000001</v>
      </c>
      <c r="P291" s="195">
        <f>AVERAGE(Ashed_controlls!$K$12:$K$14)</f>
        <v>2.2816647271287041</v>
      </c>
      <c r="Q291" s="195">
        <f t="shared" si="42"/>
        <v>1.8744331072042173</v>
      </c>
      <c r="R291" s="16">
        <f>IF('WetLitterbags placem_collection'!G218="N.A","",'WetLitterbags placem_collection'!G218)</f>
        <v>42814</v>
      </c>
      <c r="S291" s="195">
        <f>IF(IFERROR(INDEX('Both teabags AfterWet'!$C$3:$C$841,MATCH(H291,'Both teabags AfterWet'!$A$3:$A$841,0)),"")="N.A","",(IFERROR(INDEX('Both teabags AfterWet'!$C$3:$C$841,MATCH(H291,'Both teabags AfterWet'!$A$3:$A$841,0)),"")))</f>
        <v>0.88700000000000001</v>
      </c>
      <c r="T291" s="195">
        <f>IFERROR(INDEX('Both teabags AfterWet'!$C$3:$C$841,MATCH(I291,'Both teabags AfterWet'!$A$3:$A$841,0)),"")</f>
        <v>1.5349999999999999</v>
      </c>
      <c r="U291" s="195">
        <f t="shared" si="43"/>
        <v>0.73639999999999994</v>
      </c>
      <c r="V291" s="195">
        <f t="shared" si="43"/>
        <v>1.3843999999999999</v>
      </c>
      <c r="W291" s="195">
        <f>IFERROR(INDEX('Ashed teabags wet'!$K$2:$K$821,MATCH(H291,'Ashed teabags wet'!$A$2:$A$821,0)),"")</f>
        <v>8.3005893909626298</v>
      </c>
      <c r="X291" s="195">
        <f>IFERROR(INDEX('Ashed teabags wet'!$K$2:$K$821,MATCH(I291,'Ashed teabags wet'!$A$2:$A$821,0)),"")</f>
        <v>21.520236920039142</v>
      </c>
      <c r="Y291" s="195">
        <f t="shared" si="37"/>
        <v>0.67527445972495115</v>
      </c>
      <c r="Z291" s="195">
        <f t="shared" si="37"/>
        <v>1.086473840078978</v>
      </c>
      <c r="AA291" s="195">
        <f t="shared" si="44"/>
        <v>0.5960389903792771</v>
      </c>
      <c r="AB291" s="195">
        <f t="shared" si="45"/>
        <v>0.39075240224389668</v>
      </c>
      <c r="AC291" s="195">
        <f t="shared" si="38"/>
        <v>0.57962796106364756</v>
      </c>
      <c r="AD291">
        <f t="shared" si="39"/>
        <v>45</v>
      </c>
      <c r="AE291" s="195">
        <f t="shared" si="46"/>
        <v>0.29211521332627421</v>
      </c>
      <c r="AF291" s="195" t="str">
        <f t="shared" si="47"/>
        <v/>
      </c>
      <c r="AG291" s="255" t="str">
        <f>IF(ISNUMBER(SEARCH("C",'WetLitterbags placem_collection'!AD218)),"YES","NO")</f>
        <v>NO</v>
      </c>
      <c r="AH291" s="255" t="str">
        <f>IF(ISNUMBER(SEARCH("H", 'WetLitterbags placem_collection'!AD218)),"YES","NO")</f>
        <v>NO</v>
      </c>
      <c r="AI291" s="255" t="str">
        <f>IF(ISNUMBER(SEARCH("R", 'WetLitterbags placem_collection'!AD218)),"YES","NO")</f>
        <v>NO</v>
      </c>
      <c r="AJ291" s="255" t="str">
        <f>IF(ISNUMBER(SEARCH("C", 'WetLitterbags placem_collection'!AC218)),"YES","NO")</f>
        <v>NO</v>
      </c>
      <c r="AK291" s="255" t="str">
        <f>IF(ISNUMBER(SEARCH("H", 'WetLitterbags placem_collection'!AC218)),"YES","NO")</f>
        <v>NO</v>
      </c>
      <c r="AL291" s="255" t="str">
        <f>IF(ISNUMBER(SEARCH("R", 'WetLitterbags placem_collection'!AC218)),"YES","NO")</f>
        <v>NO</v>
      </c>
    </row>
    <row r="292" spans="2:38">
      <c r="B292" t="str">
        <f>'Final data_for_R_analysis_Wetse'!A218</f>
        <v>Wet</v>
      </c>
      <c r="C292" s="263">
        <f>'Final data_for_R_analysis_Wetse'!B218</f>
        <v>217</v>
      </c>
      <c r="D292" t="s">
        <v>2429</v>
      </c>
      <c r="E292" t="s">
        <v>22</v>
      </c>
      <c r="F292" s="387">
        <v>1</v>
      </c>
      <c r="G292" s="16">
        <f>'WetLitterbags placem_collection'!E219</f>
        <v>42769</v>
      </c>
      <c r="H292" t="str">
        <f>'Final data_for_R_analysis_Wetse'!J218</f>
        <v>G795</v>
      </c>
      <c r="I292" t="str">
        <f>'Final data_for_R_analysis_Wetse'!J438</f>
        <v>R302</v>
      </c>
      <c r="J292">
        <f>IFERROR(INDEX('Green_rooibos initial weight'!$C$5:$C$1749,MATCH(H292, 'Green_rooibos initial weight'!$A$5:$A$1749,0)),"")</f>
        <v>1.9530000000000001</v>
      </c>
      <c r="K292">
        <f>IFERROR(INDEX('Green_rooibos initial weight'!$C$5:$C$1749,MATCH(I292, 'Green_rooibos initial weight'!$A$5:$A$1749,0)),"")</f>
        <v>2.19</v>
      </c>
      <c r="L292" s="195">
        <f t="shared" si="40"/>
        <v>1.7032</v>
      </c>
      <c r="M292" s="195">
        <f>AVERAGE(Ashed_controlls!$K$2:$K$11)</f>
        <v>5.5147656768714146</v>
      </c>
      <c r="N292" s="195">
        <f t="shared" si="36"/>
        <v>1.609272510991526</v>
      </c>
      <c r="O292" s="195">
        <f t="shared" si="41"/>
        <v>1.9401999999999999</v>
      </c>
      <c r="P292" s="195">
        <f>AVERAGE(Ashed_controlls!$K$12:$K$14)</f>
        <v>2.2816647271287041</v>
      </c>
      <c r="Q292" s="195">
        <f t="shared" si="42"/>
        <v>1.8959311409642488</v>
      </c>
      <c r="R292" s="16">
        <f>IF('WetLitterbags placem_collection'!G219="N.A","",'WetLitterbags placem_collection'!G219)</f>
        <v>42814</v>
      </c>
      <c r="S292" s="195">
        <f>IF(IFERROR(INDEX('Both teabags AfterWet'!$C$3:$C$841,MATCH(H292,'Both teabags AfterWet'!$A$3:$A$841,0)),"")="N.A","",(IFERROR(INDEX('Both teabags AfterWet'!$C$3:$C$841,MATCH(H292,'Both teabags AfterWet'!$A$3:$A$841,0)),"")))</f>
        <v>0.78100000000000003</v>
      </c>
      <c r="T292" s="195">
        <f>IFERROR(INDEX('Both teabags AfterWet'!$C$3:$C$841,MATCH(I292,'Both teabags AfterWet'!$A$3:$A$841,0)),"")</f>
        <v>1.38</v>
      </c>
      <c r="U292" s="195">
        <f t="shared" si="43"/>
        <v>0.63040000000000007</v>
      </c>
      <c r="V292" s="195">
        <f t="shared" si="43"/>
        <v>1.2293999999999998</v>
      </c>
      <c r="W292" s="195">
        <f>IFERROR(INDEX('Ashed teabags wet'!$K$2:$K$821,MATCH(H292,'Ashed teabags wet'!$A$2:$A$821,0)),"")</f>
        <v>8.99805447470772</v>
      </c>
      <c r="X292" s="195">
        <f>IFERROR(INDEX('Ashed teabags wet'!$K$2:$K$821,MATCH(I292,'Ashed teabags wet'!$A$2:$A$821,0)),"")</f>
        <v>5.5199605717097722</v>
      </c>
      <c r="Y292" s="195">
        <f t="shared" si="37"/>
        <v>0.57367626459144261</v>
      </c>
      <c r="Z292" s="195">
        <f t="shared" si="37"/>
        <v>1.1615376047313999</v>
      </c>
      <c r="AA292" s="195">
        <f t="shared" si="44"/>
        <v>0.64351826016217628</v>
      </c>
      <c r="AB292" s="195">
        <f t="shared" si="45"/>
        <v>0.4218789544056073</v>
      </c>
      <c r="AC292" s="195">
        <f t="shared" si="38"/>
        <v>0.61264756912039287</v>
      </c>
      <c r="AD292">
        <f t="shared" si="39"/>
        <v>45</v>
      </c>
      <c r="AE292" s="195">
        <f t="shared" si="46"/>
        <v>0.23572653187389991</v>
      </c>
      <c r="AF292" s="195">
        <f t="shared" si="47"/>
        <v>5.5622013521556643E-2</v>
      </c>
      <c r="AG292" s="255" t="str">
        <f>IF(ISNUMBER(SEARCH("C",'WetLitterbags placem_collection'!AD219)),"YES","NO")</f>
        <v>NO</v>
      </c>
      <c r="AH292" s="255" t="str">
        <f>IF(ISNUMBER(SEARCH("H", 'WetLitterbags placem_collection'!AD219)),"YES","NO")</f>
        <v>NO</v>
      </c>
      <c r="AI292" s="255" t="str">
        <f>IF(ISNUMBER(SEARCH("R", 'WetLitterbags placem_collection'!AD219)),"YES","NO")</f>
        <v>NO</v>
      </c>
      <c r="AJ292" s="255" t="str">
        <f>IF(ISNUMBER(SEARCH("C", 'WetLitterbags placem_collection'!AC219)),"YES","NO")</f>
        <v>NO</v>
      </c>
      <c r="AK292" s="255" t="str">
        <f>IF(ISNUMBER(SEARCH("H", 'WetLitterbags placem_collection'!AC219)),"YES","NO")</f>
        <v>NO</v>
      </c>
      <c r="AL292" s="255" t="str">
        <f>IF(ISNUMBER(SEARCH("R", 'WetLitterbags placem_collection'!AC219)),"YES","NO")</f>
        <v>NO</v>
      </c>
    </row>
    <row r="293" spans="2:38">
      <c r="B293" t="str">
        <f>'Final data_for_R_analysis_Wetse'!A219</f>
        <v>Wet</v>
      </c>
      <c r="C293" s="263">
        <f>'Final data_for_R_analysis_Wetse'!B219</f>
        <v>218</v>
      </c>
      <c r="D293" t="s">
        <v>2437</v>
      </c>
      <c r="E293" t="s">
        <v>22</v>
      </c>
      <c r="F293" s="387">
        <v>2</v>
      </c>
      <c r="G293" s="16">
        <f>'WetLitterbags placem_collection'!E220</f>
        <v>42769</v>
      </c>
      <c r="H293" t="str">
        <f>'Final data_for_R_analysis_Wetse'!J219</f>
        <v>G251</v>
      </c>
      <c r="I293" t="str">
        <f>'Final data_for_R_analysis_Wetse'!J439</f>
        <v>R442</v>
      </c>
      <c r="J293">
        <f>IFERROR(INDEX('Green_rooibos initial weight'!$C$5:$C$1749,MATCH(H293, 'Green_rooibos initial weight'!$A$5:$A$1749,0)),"")</f>
        <v>2.0539999999999998</v>
      </c>
      <c r="K293">
        <f>IFERROR(INDEX('Green_rooibos initial weight'!$C$5:$C$1749,MATCH(I293, 'Green_rooibos initial weight'!$A$5:$A$1749,0)),"")</f>
        <v>2.2290000000000001</v>
      </c>
      <c r="L293" s="195">
        <f t="shared" si="40"/>
        <v>1.8041999999999998</v>
      </c>
      <c r="M293" s="195">
        <f>AVERAGE(Ashed_controlls!$K$2:$K$11)</f>
        <v>5.5147656768714146</v>
      </c>
      <c r="N293" s="195">
        <f t="shared" si="36"/>
        <v>1.7047025976578858</v>
      </c>
      <c r="O293" s="195">
        <f t="shared" si="41"/>
        <v>1.9792000000000001</v>
      </c>
      <c r="P293" s="195">
        <f>AVERAGE(Ashed_controlls!$K$12:$K$14)</f>
        <v>2.2816647271287041</v>
      </c>
      <c r="Q293" s="195">
        <f t="shared" si="42"/>
        <v>1.9340412917206689</v>
      </c>
      <c r="R293" s="16">
        <f>IF('WetLitterbags placem_collection'!G220="N.A","",'WetLitterbags placem_collection'!G220)</f>
        <v>42814</v>
      </c>
      <c r="S293" s="195">
        <f>IF(IFERROR(INDEX('Both teabags AfterWet'!$C$3:$C$841,MATCH(H293,'Both teabags AfterWet'!$A$3:$A$841,0)),"")="N.A","",(IFERROR(INDEX('Both teabags AfterWet'!$C$3:$C$841,MATCH(H293,'Both teabags AfterWet'!$A$3:$A$841,0)),"")))</f>
        <v>0.75700000000000001</v>
      </c>
      <c r="T293" s="195">
        <f>IFERROR(INDEX('Both teabags AfterWet'!$C$3:$C$841,MATCH(I293,'Both teabags AfterWet'!$A$3:$A$841,0)),"")</f>
        <v>1.3831</v>
      </c>
      <c r="U293" s="195">
        <f t="shared" si="43"/>
        <v>0.60640000000000005</v>
      </c>
      <c r="V293" s="195">
        <f t="shared" si="43"/>
        <v>1.2324999999999999</v>
      </c>
      <c r="W293" s="195">
        <f>IFERROR(INDEX('Ashed teabags wet'!$K$2:$K$821,MATCH(H293,'Ashed teabags wet'!$A$2:$A$821,0)),"")</f>
        <v>12.853598014887801</v>
      </c>
      <c r="X293" s="195">
        <f>IFERROR(INDEX('Ashed teabags wet'!$K$2:$K$821,MATCH(I293,'Ashed teabags wet'!$A$2:$A$821,0)),"")</f>
        <v>6.7454455933042237</v>
      </c>
      <c r="Y293" s="195">
        <f t="shared" si="37"/>
        <v>0.52845578163772045</v>
      </c>
      <c r="Z293" s="195">
        <f t="shared" si="37"/>
        <v>1.1493623830625255</v>
      </c>
      <c r="AA293" s="195">
        <f t="shared" si="44"/>
        <v>0.69000118709047953</v>
      </c>
      <c r="AB293" s="195">
        <f t="shared" si="45"/>
        <v>0.45235232217808163</v>
      </c>
      <c r="AC293" s="195">
        <f t="shared" si="38"/>
        <v>0.59428016763797531</v>
      </c>
      <c r="AD293">
        <f t="shared" si="39"/>
        <v>45</v>
      </c>
      <c r="AE293" s="195">
        <f t="shared" si="46"/>
        <v>0.18052115547448988</v>
      </c>
      <c r="AF293" s="195">
        <f t="shared" si="47"/>
        <v>5.0492529899916969E-2</v>
      </c>
      <c r="AG293" s="255" t="str">
        <f>IF(ISNUMBER(SEARCH("C",'WetLitterbags placem_collection'!AD220)),"YES","NO")</f>
        <v>NO</v>
      </c>
      <c r="AH293" s="255" t="str">
        <f>IF(ISNUMBER(SEARCH("H", 'WetLitterbags placem_collection'!AD220)),"YES","NO")</f>
        <v>NO</v>
      </c>
      <c r="AI293" s="255" t="str">
        <f>IF(ISNUMBER(SEARCH("R", 'WetLitterbags placem_collection'!AD220)),"YES","NO")</f>
        <v>NO</v>
      </c>
      <c r="AJ293" s="255" t="str">
        <f>IF(ISNUMBER(SEARCH("C", 'WetLitterbags placem_collection'!AC220)),"YES","NO")</f>
        <v>NO</v>
      </c>
      <c r="AK293" s="255" t="str">
        <f>IF(ISNUMBER(SEARCH("H", 'WetLitterbags placem_collection'!AC220)),"YES","NO")</f>
        <v>NO</v>
      </c>
      <c r="AL293" s="255" t="str">
        <f>IF(ISNUMBER(SEARCH("R", 'WetLitterbags placem_collection'!AC220)),"YES","NO")</f>
        <v>NO</v>
      </c>
    </row>
    <row r="294" spans="2:38">
      <c r="B294" t="str">
        <f>'Final data_for_R_analysis_Wetse'!A220</f>
        <v>Wet</v>
      </c>
      <c r="C294" s="386">
        <f>'Final data_for_R_analysis_Wetse'!B220</f>
        <v>219</v>
      </c>
      <c r="D294" t="s">
        <v>2444</v>
      </c>
      <c r="E294" t="s">
        <v>22</v>
      </c>
      <c r="F294" s="387">
        <v>3</v>
      </c>
      <c r="G294" s="388">
        <f>'WetLitterbags placem_collection'!E221</f>
        <v>42769</v>
      </c>
      <c r="H294" s="92" t="str">
        <f>'Final data_for_R_analysis_Wetse'!J220</f>
        <v>G727</v>
      </c>
      <c r="I294" s="92" t="str">
        <f>'Final data_for_R_analysis_Wetse'!J440</f>
        <v>R176</v>
      </c>
      <c r="J294" s="92">
        <f>IFERROR(INDEX('Green_rooibos initial weight'!$C$5:$C$1749,MATCH(H294, 'Green_rooibos initial weight'!$A$5:$A$1749,0)),"")</f>
        <v>2.0270000000000001</v>
      </c>
      <c r="K294" s="92">
        <f>IFERROR(INDEX('Green_rooibos initial weight'!$C$5:$C$1749,MATCH(I294, 'Green_rooibos initial weight'!$A$5:$A$1749,0)),"")</f>
        <v>2.2160000000000002</v>
      </c>
      <c r="L294" s="195">
        <f t="shared" si="40"/>
        <v>1.7772000000000001</v>
      </c>
      <c r="M294" s="195">
        <f>AVERAGE(Ashed_controlls!$K$2:$K$11)</f>
        <v>5.5147656768714146</v>
      </c>
      <c r="N294" s="389">
        <f t="shared" si="36"/>
        <v>1.6791915843906413</v>
      </c>
      <c r="O294" s="195">
        <f t="shared" si="41"/>
        <v>1.9662000000000002</v>
      </c>
      <c r="P294" s="195">
        <f>AVERAGE(Ashed_controlls!$K$12:$K$14)</f>
        <v>2.2816647271287041</v>
      </c>
      <c r="Q294" s="195">
        <f t="shared" si="42"/>
        <v>1.9213379081351956</v>
      </c>
      <c r="R294" s="388">
        <f>IF('WetLitterbags placem_collection'!G221="N.A","",'WetLitterbags placem_collection'!G221)</f>
        <v>42813</v>
      </c>
      <c r="S294" s="389">
        <f>IF(IFERROR(INDEX('Both teabags AfterWet'!$C$3:$C$841,MATCH(H294,'Both teabags AfterWet'!$A$3:$A$841,0)),"")="N.A","",(IFERROR(INDEX('Both teabags AfterWet'!$C$3:$C$841,MATCH(H294,'Both teabags AfterWet'!$A$3:$A$841,0)),"")))</f>
        <v>0.70650000000000002</v>
      </c>
      <c r="T294" s="195">
        <f>IFERROR(INDEX('Both teabags AfterWet'!$C$3:$C$841,MATCH(I294,'Both teabags AfterWet'!$A$3:$A$841,0)),"")</f>
        <v>1.4293</v>
      </c>
      <c r="U294" s="195">
        <f t="shared" si="43"/>
        <v>0.55590000000000006</v>
      </c>
      <c r="V294" s="195">
        <f t="shared" si="43"/>
        <v>1.2786999999999999</v>
      </c>
      <c r="W294" s="195">
        <f>IFERROR(INDEX('Ashed teabags wet'!$K$2:$K$821,MATCH(H294,'Ashed teabags wet'!$A$2:$A$821,0)),"")</f>
        <v>11.604439959636602</v>
      </c>
      <c r="X294" s="195">
        <f>IFERROR(INDEX('Ashed teabags wet'!$K$2:$K$821,MATCH(I294,'Ashed teabags wet'!$A$2:$A$821,0)),"")</f>
        <v>6.3788027477918092</v>
      </c>
      <c r="Y294" s="389">
        <f t="shared" si="37"/>
        <v>0.49139091826438019</v>
      </c>
      <c r="Z294" s="389">
        <f t="shared" si="37"/>
        <v>1.197134249263986</v>
      </c>
      <c r="AA294" s="195">
        <f t="shared" si="44"/>
        <v>0.70736458970362204</v>
      </c>
      <c r="AB294" s="195">
        <f t="shared" si="45"/>
        <v>0.46373545548265965</v>
      </c>
      <c r="AC294" s="195">
        <f t="shared" si="38"/>
        <v>0.62307324713428247</v>
      </c>
      <c r="AD294" s="92">
        <f t="shared" si="39"/>
        <v>44</v>
      </c>
      <c r="AE294" s="195">
        <f t="shared" si="46"/>
        <v>0.15989953716909489</v>
      </c>
      <c r="AF294" s="195">
        <f t="shared" si="47"/>
        <v>3.8081985758745357E-2</v>
      </c>
      <c r="AG294" s="255" t="str">
        <f>IF(ISNUMBER(SEARCH("C",'WetLitterbags placem_collection'!AD221)),"YES","NO")</f>
        <v>NO</v>
      </c>
      <c r="AH294" s="255" t="str">
        <f>IF(ISNUMBER(SEARCH("H", 'WetLitterbags placem_collection'!AD221)),"YES","NO")</f>
        <v>NO</v>
      </c>
      <c r="AI294" s="255" t="str">
        <f>IF(ISNUMBER(SEARCH("R", 'WetLitterbags placem_collection'!AD221)),"YES","NO")</f>
        <v>NO</v>
      </c>
      <c r="AJ294" s="255" t="str">
        <f>IF(ISNUMBER(SEARCH("C", 'WetLitterbags placem_collection'!AC221)),"YES","NO")</f>
        <v>NO</v>
      </c>
      <c r="AK294" s="255" t="str">
        <f>IF(ISNUMBER(SEARCH("H", 'WetLitterbags placem_collection'!AC221)),"YES","NO")</f>
        <v>NO</v>
      </c>
      <c r="AL294" s="255" t="str">
        <f>IF(ISNUMBER(SEARCH("R", 'WetLitterbags placem_collection'!AC221)),"YES","NO")</f>
        <v>NO</v>
      </c>
    </row>
    <row r="295" spans="2:38">
      <c r="B295" t="str">
        <f>'Final data_for_R_analysis_Wetse'!A221</f>
        <v>Wet</v>
      </c>
      <c r="C295" s="386">
        <f>'Final data_for_R_analysis_Wetse'!B221</f>
        <v>220</v>
      </c>
      <c r="D295" t="s">
        <v>2451</v>
      </c>
      <c r="E295" t="s">
        <v>22</v>
      </c>
      <c r="F295" s="387">
        <v>4</v>
      </c>
      <c r="G295" s="388">
        <f>'WetLitterbags placem_collection'!E222</f>
        <v>42769</v>
      </c>
      <c r="H295" s="92" t="str">
        <f>'Final data_for_R_analysis_Wetse'!J221</f>
        <v>G782</v>
      </c>
      <c r="I295" s="92" t="str">
        <f>'Final data_for_R_analysis_Wetse'!J441</f>
        <v>R250</v>
      </c>
      <c r="J295" s="92">
        <f>IFERROR(INDEX('Green_rooibos initial weight'!$C$5:$C$1749,MATCH(H295, 'Green_rooibos initial weight'!$A$5:$A$1749,0)),"")</f>
        <v>1.9510000000000001</v>
      </c>
      <c r="K295" s="92">
        <f>IFERROR(INDEX('Green_rooibos initial weight'!$C$5:$C$1749,MATCH(I295, 'Green_rooibos initial weight'!$A$5:$A$1749,0)),"")</f>
        <v>2.2639999999999998</v>
      </c>
      <c r="L295" s="195">
        <f t="shared" si="40"/>
        <v>1.7012</v>
      </c>
      <c r="M295" s="195">
        <f>AVERAGE(Ashed_controlls!$K$2:$K$11)</f>
        <v>5.5147656768714146</v>
      </c>
      <c r="N295" s="389">
        <f t="shared" si="36"/>
        <v>1.6073828063050635</v>
      </c>
      <c r="O295" s="195">
        <f t="shared" si="41"/>
        <v>2.0141999999999998</v>
      </c>
      <c r="P295" s="195">
        <f>AVERAGE(Ashed_controlls!$K$12:$K$14)</f>
        <v>2.2816647271287041</v>
      </c>
      <c r="Q295" s="195">
        <f t="shared" si="42"/>
        <v>1.9682427090661734</v>
      </c>
      <c r="R295" s="388">
        <f>IF('WetLitterbags placem_collection'!G222="N.A","",'WetLitterbags placem_collection'!G222)</f>
        <v>42813</v>
      </c>
      <c r="S295" s="389">
        <f>IF(IFERROR(INDEX('Both teabags AfterWet'!$C$3:$C$841,MATCH(H295,'Both teabags AfterWet'!$A$3:$A$841,0)),"")="N.A","",(IFERROR(INDEX('Both teabags AfterWet'!$C$3:$C$841,MATCH(H295,'Both teabags AfterWet'!$A$3:$A$841,0)),"")))</f>
        <v>0.6169</v>
      </c>
      <c r="T295" s="195">
        <f>IFERROR(INDEX('Both teabags AfterWet'!$C$3:$C$841,MATCH(I295,'Both teabags AfterWet'!$A$3:$A$841,0)),"")</f>
        <v>1.5303</v>
      </c>
      <c r="U295" s="195">
        <f t="shared" si="43"/>
        <v>0.46629999999999999</v>
      </c>
      <c r="V295" s="195">
        <f t="shared" si="43"/>
        <v>1.3796999999999999</v>
      </c>
      <c r="W295" s="195">
        <f>IFERROR(INDEX('Ashed teabags wet'!$K$2:$K$821,MATCH(H295,'Ashed teabags wet'!$A$2:$A$821,0)),"")</f>
        <v>11.045655375552919</v>
      </c>
      <c r="X295" s="195">
        <f>IFERROR(INDEX('Ashed teabags wet'!$K$2:$K$821,MATCH(I295,'Ashed teabags wet'!$A$2:$A$821,0)),"")</f>
        <v>5.6310679611650896</v>
      </c>
      <c r="Y295" s="389">
        <f t="shared" si="37"/>
        <v>0.41479410898379676</v>
      </c>
      <c r="Z295" s="389">
        <f t="shared" si="37"/>
        <v>1.3020081553398053</v>
      </c>
      <c r="AA295" s="195">
        <f t="shared" si="44"/>
        <v>0.74194441588105842</v>
      </c>
      <c r="AB295" s="195">
        <f t="shared" si="45"/>
        <v>0.48640536528069389</v>
      </c>
      <c r="AC295" s="195">
        <f t="shared" si="38"/>
        <v>0.66150792752461862</v>
      </c>
      <c r="AD295" s="92">
        <f t="shared" si="39"/>
        <v>44</v>
      </c>
      <c r="AE295" s="195">
        <f t="shared" si="46"/>
        <v>0.11883085999874299</v>
      </c>
      <c r="AF295" s="195">
        <f t="shared" si="47"/>
        <v>2.705491178469981E-2</v>
      </c>
      <c r="AG295" s="255" t="str">
        <f>IF(ISNUMBER(SEARCH("C",'WetLitterbags placem_collection'!AD222)),"YES","NO")</f>
        <v>NO</v>
      </c>
      <c r="AH295" s="255" t="str">
        <f>IF(ISNUMBER(SEARCH("H", 'WetLitterbags placem_collection'!AD222)),"YES","NO")</f>
        <v>NO</v>
      </c>
      <c r="AI295" s="255" t="str">
        <f>IF(ISNUMBER(SEARCH("R", 'WetLitterbags placem_collection'!AD222)),"YES","NO")</f>
        <v>NO</v>
      </c>
      <c r="AJ295" s="255" t="str">
        <f>IF(ISNUMBER(SEARCH("C", 'WetLitterbags placem_collection'!AC222)),"YES","NO")</f>
        <v>NO</v>
      </c>
      <c r="AK295" s="255" t="str">
        <f>IF(ISNUMBER(SEARCH("H", 'WetLitterbags placem_collection'!AC222)),"YES","NO")</f>
        <v>NO</v>
      </c>
      <c r="AL295" s="255" t="str">
        <f>IF(ISNUMBER(SEARCH("R", 'WetLitterbags placem_collection'!AC222)),"YES","NO")</f>
        <v>NO</v>
      </c>
    </row>
    <row r="296" spans="2:38">
      <c r="B296" t="str">
        <f>'Final data_for_R_analysis_Wetse'!A442</f>
        <v>Wet</v>
      </c>
      <c r="C296" s="386">
        <f>'Final data_for_R_analysis_Wetse'!B442</f>
        <v>1</v>
      </c>
      <c r="D296" t="s">
        <v>3824</v>
      </c>
      <c r="E296" t="s">
        <v>25</v>
      </c>
      <c r="F296" s="386">
        <v>1</v>
      </c>
      <c r="G296" s="388">
        <f>'WetLitterbags placem_collection'!E3</f>
        <v>42766</v>
      </c>
      <c r="H296" s="92" t="str">
        <f>'Final data_for_R_analysis_Wetse'!J442</f>
        <v>G752</v>
      </c>
      <c r="I296" s="92" t="str">
        <f>'Final data_for_R_analysis_Wetse'!J662</f>
        <v>R133</v>
      </c>
      <c r="J296" s="92">
        <f>IFERROR(INDEX('Green_rooibos initial weight'!$C$5:$C$1749,MATCH(H296, 'Green_rooibos initial weight'!$A$5:$A$1749,0)),"")</f>
        <v>2.15</v>
      </c>
      <c r="K296" s="92">
        <f>IFERROR(INDEX('Green_rooibos initial weight'!$C$5:$C$1749,MATCH(I296, 'Green_rooibos initial weight'!$A$5:$A$1749,0)),"")</f>
        <v>2.1760000000000002</v>
      </c>
      <c r="L296" s="195">
        <f t="shared" si="40"/>
        <v>1.9001999999999999</v>
      </c>
      <c r="M296" s="195">
        <f>AVERAGE(Ashed_controlls!$K$2:$K$11)</f>
        <v>5.5147656768714146</v>
      </c>
      <c r="N296" s="389">
        <f t="shared" si="36"/>
        <v>1.7954084226080893</v>
      </c>
      <c r="O296" s="195">
        <f t="shared" si="41"/>
        <v>1.9262000000000001</v>
      </c>
      <c r="P296" s="195">
        <f>AVERAGE(Ashed_controlls!$K$12:$K$14)</f>
        <v>2.2816647271287041</v>
      </c>
      <c r="Q296" s="195">
        <f t="shared" si="42"/>
        <v>1.8822505740260471</v>
      </c>
      <c r="R296" s="388">
        <f>IF('WetLitterbags placem_collection'!G3="N.A","",'WetLitterbags placem_collection'!G3)</f>
        <v>42818</v>
      </c>
      <c r="S296" s="389">
        <f>IF(IFERROR(INDEX('Both teabags AfterWet'!$C$3:$C$841,MATCH(H296,'Both teabags AfterWet'!$A$3:$A$841,0)),"")="N.A","",(IFERROR(INDEX('Both teabags AfterWet'!$C$3:$C$841,MATCH(H296,'Both teabags AfterWet'!$A$3:$A$841,0)),"")))</f>
        <v>0.47</v>
      </c>
      <c r="T296" s="195">
        <f>IFERROR(INDEX('Both teabags AfterWet'!$C$3:$C$841,MATCH(I296,'Both teabags AfterWet'!$A$3:$A$841,0)),"")</f>
        <v>1.4104000000000001</v>
      </c>
      <c r="U296" s="195">
        <f t="shared" si="43"/>
        <v>0.31939999999999996</v>
      </c>
      <c r="V296" s="195">
        <f t="shared" si="43"/>
        <v>1.2598</v>
      </c>
      <c r="W296" s="195">
        <f>IFERROR(INDEX('Ashed teabags wet'!$K$2:$K$821,MATCH(H296,'Ashed teabags wet'!$A$2:$A$821,0)),"")</f>
        <v>15.221674876847116</v>
      </c>
      <c r="X296" s="195" t="str">
        <f>IFERROR(INDEX('Ashed teabags wet'!$K$2:$K$821,MATCH(I296,'Ashed teabags wet'!$A$2:$A$821,0)),"")</f>
        <v/>
      </c>
      <c r="Y296" s="389">
        <f t="shared" si="37"/>
        <v>0.27078197044335028</v>
      </c>
      <c r="Z296" s="389" t="str">
        <f t="shared" si="37"/>
        <v/>
      </c>
      <c r="AA296" s="195">
        <f t="shared" si="44"/>
        <v>0.84918085097874252</v>
      </c>
      <c r="AB296" s="195">
        <f t="shared" si="45"/>
        <v>0.55670763627109976</v>
      </c>
      <c r="AC296" s="195" t="str">
        <f t="shared" si="38"/>
        <v/>
      </c>
      <c r="AD296" s="92">
        <f t="shared" si="39"/>
        <v>52</v>
      </c>
      <c r="AE296" s="195">
        <f t="shared" si="46"/>
        <v>-8.5283265780791151E-3</v>
      </c>
      <c r="AF296" s="195" t="str">
        <f t="shared" si="47"/>
        <v/>
      </c>
      <c r="AG296" s="255" t="str">
        <f>IF(ISNUMBER(SEARCH("C",'WetLitterbags placem_collection'!AF3)),"YES","NO")</f>
        <v>NO</v>
      </c>
      <c r="AH296" s="255" t="str">
        <f>IF(ISNUMBER(SEARCH("H", 'WetLitterbags placem_collection'!AF3)),"YES","NO")</f>
        <v>NO</v>
      </c>
      <c r="AI296" s="255" t="str">
        <f>IF(ISNUMBER(SEARCH("R", 'WetLitterbags placem_collection'!XF3)),"YES","NO")</f>
        <v>NO</v>
      </c>
      <c r="AJ296" s="255" t="str">
        <f>IF(ISNUMBER(SEARCH("C", 'WetLitterbags placem_collection'!WE3)),"YES","NO")</f>
        <v>NO</v>
      </c>
      <c r="AK296" s="255" t="str">
        <f>IF(ISNUMBER(SEARCH("H", 'WetLitterbags placem_collection'!AE3)),"YES","NO")</f>
        <v>NO</v>
      </c>
      <c r="AL296" s="255" t="str">
        <f>IF(ISNUMBER(SEARCH("R", 'WetLitterbags placem_collection'!AE3)),"YES","NO")</f>
        <v>YES</v>
      </c>
    </row>
    <row r="297" spans="2:38">
      <c r="B297" t="str">
        <f>'Final data_for_R_analysis_Wetse'!A443</f>
        <v>Wet</v>
      </c>
      <c r="C297" s="386">
        <f>'Final data_for_R_analysis_Wetse'!B443</f>
        <v>2</v>
      </c>
      <c r="D297" t="s">
        <v>3824</v>
      </c>
      <c r="E297" t="s">
        <v>25</v>
      </c>
      <c r="F297" s="386">
        <v>2</v>
      </c>
      <c r="G297" s="388">
        <f>'WetLitterbags placem_collection'!E4</f>
        <v>42766</v>
      </c>
      <c r="H297" s="92" t="str">
        <f>'Final data_for_R_analysis_Wetse'!J443</f>
        <v>G737</v>
      </c>
      <c r="I297" s="92" t="str">
        <f>'Final data_for_R_analysis_Wetse'!J663</f>
        <v>R527</v>
      </c>
      <c r="J297" s="92">
        <f>IFERROR(INDEX('Green_rooibos initial weight'!$C$5:$C$1749,MATCH(H297, 'Green_rooibos initial weight'!$A$5:$A$1749,0)),"")</f>
        <v>1.841</v>
      </c>
      <c r="K297" s="92">
        <f>IFERROR(INDEX('Green_rooibos initial weight'!$C$5:$C$1749,MATCH(I297, 'Green_rooibos initial weight'!$A$5:$A$1749,0)),"")</f>
        <v>2.1859999999999999</v>
      </c>
      <c r="L297" s="195">
        <f t="shared" si="40"/>
        <v>1.5911999999999999</v>
      </c>
      <c r="M297" s="195">
        <f>AVERAGE(Ashed_controlls!$K$2:$K$11)</f>
        <v>5.5147656768714146</v>
      </c>
      <c r="N297" s="389">
        <f t="shared" si="36"/>
        <v>1.5034490485496219</v>
      </c>
      <c r="O297" s="195">
        <f t="shared" si="41"/>
        <v>1.9361999999999999</v>
      </c>
      <c r="P297" s="195">
        <f>AVERAGE(Ashed_controlls!$K$12:$K$14)</f>
        <v>2.2816647271287041</v>
      </c>
      <c r="Q297" s="195">
        <f t="shared" si="42"/>
        <v>1.8920224075533341</v>
      </c>
      <c r="R297" s="388">
        <f>IF('WetLitterbags placem_collection'!G4="N.A","",'WetLitterbags placem_collection'!G4)</f>
        <v>42818</v>
      </c>
      <c r="S297" s="389">
        <f>IF(IFERROR(INDEX('Both teabags AfterWet'!$C$3:$C$841,MATCH(H297,'Both teabags AfterWet'!$A$3:$A$841,0)),"")="N.A","",(IFERROR(INDEX('Both teabags AfterWet'!$C$3:$C$841,MATCH(H297,'Both teabags AfterWet'!$A$3:$A$841,0)),"")))</f>
        <v>0.57869999999999999</v>
      </c>
      <c r="T297" s="195">
        <f>IFERROR(INDEX('Both teabags AfterWet'!$C$3:$C$841,MATCH(I297,'Both teabags AfterWet'!$A$3:$A$841,0)),"")</f>
        <v>1.3275999999999999</v>
      </c>
      <c r="U297" s="195">
        <f t="shared" si="43"/>
        <v>0.42809999999999998</v>
      </c>
      <c r="V297" s="195">
        <f t="shared" si="43"/>
        <v>1.1769999999999998</v>
      </c>
      <c r="W297" s="195">
        <f>IFERROR(INDEX('Ashed teabags wet'!$K$2:$K$821,MATCH(H297,'Ashed teabags wet'!$A$2:$A$821,0)),"")</f>
        <v>8.1337325349297291</v>
      </c>
      <c r="X297" s="195">
        <f>IFERROR(INDEX('Ashed teabags wet'!$K$2:$K$821,MATCH(I297,'Ashed teabags wet'!$A$2:$A$821,0)),"")</f>
        <v>4.4433349975038503</v>
      </c>
      <c r="Y297" s="389">
        <f t="shared" si="37"/>
        <v>0.39327949101796583</v>
      </c>
      <c r="Z297" s="389">
        <f t="shared" si="37"/>
        <v>1.1247019470793795</v>
      </c>
      <c r="AA297" s="195">
        <f t="shared" si="44"/>
        <v>0.73841515188202567</v>
      </c>
      <c r="AB297" s="195">
        <f t="shared" si="45"/>
        <v>0.48409164351410716</v>
      </c>
      <c r="AC297" s="195">
        <f t="shared" si="38"/>
        <v>0.59444430604486664</v>
      </c>
      <c r="AD297" s="92">
        <f t="shared" si="39"/>
        <v>52</v>
      </c>
      <c r="AE297" s="195">
        <f t="shared" si="46"/>
        <v>0.12302238493821172</v>
      </c>
      <c r="AF297" s="195">
        <f t="shared" si="47"/>
        <v>3.4975341514860286E-2</v>
      </c>
      <c r="AG297" s="255" t="str">
        <f>IF(ISNUMBER(SEARCH("C",'WetLitterbags placem_collection'!AD224)),"YES","NO")</f>
        <v>YES</v>
      </c>
      <c r="AH297" s="255" t="str">
        <f>IF(ISNUMBER(SEARCH("H", 'WetLitterbags placem_collection'!AF4)),"YES","NO")</f>
        <v>NO</v>
      </c>
      <c r="AI297" s="255" t="str">
        <f>IF(ISNUMBER(SEARCH("R", 'WetLitterbags placem_collection'!XF4)),"YES","NO")</f>
        <v>NO</v>
      </c>
      <c r="AJ297" s="255" t="str">
        <f>IF(ISNUMBER(SEARCH("C", 'WetLitterbags placem_collection'!WE4)),"YES","NO")</f>
        <v>NO</v>
      </c>
      <c r="AK297" s="255" t="str">
        <f>IF(ISNUMBER(SEARCH("H", 'WetLitterbags placem_collection'!AE4)),"YES","NO")</f>
        <v>NO</v>
      </c>
      <c r="AL297" s="255" t="str">
        <f>IF(ISNUMBER(SEARCH("R", 'WetLitterbags placem_collection'!AE4)),"YES","NO")</f>
        <v>YES</v>
      </c>
    </row>
    <row r="298" spans="2:38">
      <c r="B298" t="str">
        <f>'Final data_for_R_analysis_Wetse'!A444</f>
        <v>Wet</v>
      </c>
      <c r="C298" s="263">
        <f>'Final data_for_R_analysis_Wetse'!B444</f>
        <v>3</v>
      </c>
      <c r="D298" t="s">
        <v>3824</v>
      </c>
      <c r="E298" t="s">
        <v>25</v>
      </c>
      <c r="F298" s="386">
        <v>3</v>
      </c>
      <c r="G298" s="16">
        <f>'WetLitterbags placem_collection'!E5</f>
        <v>42766</v>
      </c>
      <c r="H298" s="92" t="str">
        <f>'Final data_for_R_analysis_Wetse'!J444</f>
        <v>G661</v>
      </c>
      <c r="I298" t="str">
        <f>'Final data_for_R_analysis_Wetse'!J664</f>
        <v>R498</v>
      </c>
      <c r="J298">
        <f>IFERROR(INDEX('Green_rooibos initial weight'!$C$5:$C$1749,MATCH(H298, 'Green_rooibos initial weight'!$A$5:$A$1749,0)),"")</f>
        <v>2.0630000000000002</v>
      </c>
      <c r="K298">
        <f>IFERROR(INDEX('Green_rooibos initial weight'!$C$5:$C$1749,MATCH(I298, 'Green_rooibos initial weight'!$A$5:$A$1749,0)),"")</f>
        <v>2.1520000000000001</v>
      </c>
      <c r="L298" s="195">
        <f t="shared" si="40"/>
        <v>1.8132000000000001</v>
      </c>
      <c r="M298" s="195">
        <f>AVERAGE(Ashed_controlls!$K$2:$K$11)</f>
        <v>5.5147656768714146</v>
      </c>
      <c r="N298" s="195">
        <f t="shared" si="36"/>
        <v>1.7132062687469676</v>
      </c>
      <c r="O298" s="195">
        <f t="shared" si="41"/>
        <v>1.9022000000000001</v>
      </c>
      <c r="P298" s="195">
        <f>AVERAGE(Ashed_controlls!$K$12:$K$14)</f>
        <v>2.2816647271287041</v>
      </c>
      <c r="Q298" s="195">
        <f t="shared" si="42"/>
        <v>1.8587981735605579</v>
      </c>
      <c r="R298" s="16">
        <f>IF('WetLitterbags placem_collection'!G5="N.A","",'WetLitterbags placem_collection'!G5)</f>
        <v>0</v>
      </c>
      <c r="S298" s="195" t="str">
        <f>IF(IFERROR(INDEX('Both teabags AfterWet'!$C$3:$C$841,MATCH(H298,'Both teabags AfterWet'!$A$3:$A$841,0)),"")="N.A","",(IFERROR(INDEX('Both teabags AfterWet'!$C$3:$C$841,MATCH(H298,'Both teabags AfterWet'!$A$3:$A$841,0)),"")))</f>
        <v/>
      </c>
      <c r="T298" s="195" t="str">
        <f>IFERROR(INDEX('Both teabags AfterWet'!$C$3:$C$841,MATCH(I298,'Both teabags AfterWet'!$A$3:$A$841,0)),"")</f>
        <v/>
      </c>
      <c r="U298" s="195" t="str">
        <f t="shared" si="43"/>
        <v/>
      </c>
      <c r="V298" s="195" t="str">
        <f t="shared" si="43"/>
        <v/>
      </c>
      <c r="W298" s="195" t="str">
        <f>IFERROR(INDEX('Ashed teabags wet'!$K$2:$K$821,MATCH(H298,'Ashed teabags wet'!$A$2:$A$821,0)),"")</f>
        <v/>
      </c>
      <c r="X298" s="195" t="str">
        <f>IFERROR(INDEX('Ashed teabags wet'!$K$2:$K$821,MATCH(I298,'Ashed teabags wet'!$A$2:$A$821,0)),"")</f>
        <v/>
      </c>
      <c r="Y298" s="195" t="str">
        <f t="shared" si="37"/>
        <v/>
      </c>
      <c r="Z298" s="195" t="str">
        <f t="shared" si="37"/>
        <v/>
      </c>
      <c r="AA298" s="195" t="str">
        <f t="shared" si="44"/>
        <v/>
      </c>
      <c r="AB298" s="195" t="str">
        <f t="shared" si="45"/>
        <v/>
      </c>
      <c r="AC298" s="195" t="str">
        <f t="shared" si="38"/>
        <v/>
      </c>
      <c r="AD298" t="str">
        <f t="shared" si="39"/>
        <v/>
      </c>
      <c r="AE298" s="195" t="str">
        <f t="shared" si="46"/>
        <v/>
      </c>
      <c r="AF298" s="195" t="str">
        <f t="shared" si="47"/>
        <v/>
      </c>
      <c r="AG298" s="255" t="str">
        <f>IF(ISNUMBER(SEARCH("C",'WetLitterbags placem_collection'!AD225)),"YES","NO")</f>
        <v>NO</v>
      </c>
      <c r="AH298" s="255" t="str">
        <f>IF(ISNUMBER(SEARCH("H", 'WetLitterbags placem_collection'!AF5)),"YES","NO")</f>
        <v>NO</v>
      </c>
      <c r="AI298" s="255" t="str">
        <f>IF(ISNUMBER(SEARCH("R", 'WetLitterbags placem_collection'!XF5)),"YES","NO")</f>
        <v>NO</v>
      </c>
      <c r="AJ298" s="255" t="str">
        <f>IF(ISNUMBER(SEARCH("C", 'WetLitterbags placem_collection'!WE5)),"YES","NO")</f>
        <v>NO</v>
      </c>
      <c r="AK298" s="255" t="str">
        <f>IF(ISNUMBER(SEARCH("H", 'WetLitterbags placem_collection'!AE5)),"YES","NO")</f>
        <v>NO</v>
      </c>
      <c r="AL298" s="255" t="str">
        <f>IF(ISNUMBER(SEARCH("R", 'WetLitterbags placem_collection'!AE5)),"YES","NO")</f>
        <v>YES</v>
      </c>
    </row>
    <row r="299" spans="2:38">
      <c r="B299" t="str">
        <f>'Final data_for_R_analysis_Wetse'!A445</f>
        <v>Wet</v>
      </c>
      <c r="C299" s="263">
        <f>'Final data_for_R_analysis_Wetse'!B445</f>
        <v>4</v>
      </c>
      <c r="D299" t="s">
        <v>3824</v>
      </c>
      <c r="E299" t="s">
        <v>25</v>
      </c>
      <c r="F299" s="387">
        <v>4</v>
      </c>
      <c r="G299" s="16">
        <f>'WetLitterbags placem_collection'!E6</f>
        <v>42766</v>
      </c>
      <c r="H299" s="92" t="str">
        <f>'Final data_for_R_analysis_Wetse'!J445</f>
        <v>G532</v>
      </c>
      <c r="I299" t="str">
        <f>'Final data_for_R_analysis_Wetse'!J665</f>
        <v>R508</v>
      </c>
      <c r="J299">
        <f>IFERROR(INDEX('Green_rooibos initial weight'!$C$5:$C$1749,MATCH(H299, 'Green_rooibos initial weight'!$A$5:$A$1749,0)),"")</f>
        <v>2.036</v>
      </c>
      <c r="K299">
        <f>IFERROR(INDEX('Green_rooibos initial weight'!$C$5:$C$1749,MATCH(I299, 'Green_rooibos initial weight'!$A$5:$A$1749,0)),"")</f>
        <v>2.169</v>
      </c>
      <c r="L299" s="195">
        <f t="shared" si="40"/>
        <v>1.7862</v>
      </c>
      <c r="M299" s="195">
        <f>AVERAGE(Ashed_controlls!$K$2:$K$11)</f>
        <v>5.5147656768714146</v>
      </c>
      <c r="N299" s="195">
        <f t="shared" si="36"/>
        <v>1.6876952554797229</v>
      </c>
      <c r="O299" s="195">
        <f t="shared" si="41"/>
        <v>1.9192</v>
      </c>
      <c r="P299" s="195">
        <f>AVERAGE(Ashed_controlls!$K$12:$K$14)</f>
        <v>2.2816647271287041</v>
      </c>
      <c r="Q299" s="195">
        <f t="shared" si="42"/>
        <v>1.8754102905569459</v>
      </c>
      <c r="R299" s="16">
        <f>IF('WetLitterbags placem_collection'!G6="N.A","",'WetLitterbags placem_collection'!G6)</f>
        <v>42818</v>
      </c>
      <c r="S299" s="195">
        <f>IF(IFERROR(INDEX('Both teabags AfterWet'!$C$3:$C$841,MATCH(H299,'Both teabags AfterWet'!$A$3:$A$841,0)),"")="N.A","",(IFERROR(INDEX('Both teabags AfterWet'!$C$3:$C$841,MATCH(H299,'Both teabags AfterWet'!$A$3:$A$841,0)),"")))</f>
        <v>0.55969999999999998</v>
      </c>
      <c r="T299" s="195">
        <f>IFERROR(INDEX('Both teabags AfterWet'!$C$3:$C$841,MATCH(I299,'Both teabags AfterWet'!$A$3:$A$841,0)),"")</f>
        <v>1.3392999999999999</v>
      </c>
      <c r="U299" s="195">
        <f t="shared" si="43"/>
        <v>0.40909999999999996</v>
      </c>
      <c r="V299" s="195">
        <f t="shared" si="43"/>
        <v>1.1886999999999999</v>
      </c>
      <c r="W299" s="195">
        <f>IFERROR(INDEX('Ashed teabags wet'!$K$2:$K$821,MATCH(H299,'Ashed teabags wet'!$A$2:$A$821,0)),"")</f>
        <v>9.5283926852740137</v>
      </c>
      <c r="X299" s="195">
        <f>IFERROR(INDEX('Ashed teabags wet'!$K$2:$K$821,MATCH(I299,'Ashed teabags wet'!$A$2:$A$821,0)),"")</f>
        <v>4.9578582052553344</v>
      </c>
      <c r="Y299" s="195">
        <f t="shared" si="37"/>
        <v>0.37011934552454395</v>
      </c>
      <c r="Z299" s="195">
        <f t="shared" si="37"/>
        <v>1.1297659395141297</v>
      </c>
      <c r="AA299" s="195">
        <f t="shared" si="44"/>
        <v>0.78069539253439535</v>
      </c>
      <c r="AB299" s="195">
        <f t="shared" si="45"/>
        <v>0.51180980603205017</v>
      </c>
      <c r="AC299" s="195">
        <f t="shared" si="38"/>
        <v>0.60241001406610606</v>
      </c>
      <c r="AD299">
        <f t="shared" si="39"/>
        <v>52</v>
      </c>
      <c r="AE299" s="195">
        <f t="shared" si="46"/>
        <v>7.2808322405706227E-2</v>
      </c>
      <c r="AF299" s="195">
        <f t="shared" si="47"/>
        <v>2.8842850870079397E-2</v>
      </c>
      <c r="AG299" s="255" t="str">
        <f>IF(ISNUMBER(SEARCH("C",'WetLitterbags placem_collection'!AD226)),"YES","NO")</f>
        <v>NO</v>
      </c>
      <c r="AH299" s="255" t="str">
        <f>IF(ISNUMBER(SEARCH("H", 'WetLitterbags placem_collection'!AF6)),"YES","NO")</f>
        <v>NO</v>
      </c>
      <c r="AI299" s="255" t="str">
        <f>IF(ISNUMBER(SEARCH("R", 'WetLitterbags placem_collection'!XF6)),"YES","NO")</f>
        <v>NO</v>
      </c>
      <c r="AJ299" s="255" t="str">
        <f>IF(ISNUMBER(SEARCH("C", 'WetLitterbags placem_collection'!WE6)),"YES","NO")</f>
        <v>NO</v>
      </c>
      <c r="AK299" s="255" t="str">
        <f>IF(ISNUMBER(SEARCH("H", 'WetLitterbags placem_collection'!AE6)),"YES","NO")</f>
        <v>NO</v>
      </c>
      <c r="AL299" s="255" t="str">
        <f>IF(ISNUMBER(SEARCH("R", 'WetLitterbags placem_collection'!AE6)),"YES","NO")</f>
        <v>NO</v>
      </c>
    </row>
    <row r="300" spans="2:38">
      <c r="B300" t="str">
        <f>'Final data_for_R_analysis_Wetse'!A446</f>
        <v>Wet</v>
      </c>
      <c r="C300" s="263">
        <f>'Final data_for_R_analysis_Wetse'!B446</f>
        <v>5</v>
      </c>
      <c r="D300" t="s">
        <v>3824</v>
      </c>
      <c r="E300" t="s">
        <v>25</v>
      </c>
      <c r="F300" s="387">
        <v>5</v>
      </c>
      <c r="G300" s="16">
        <f>'WetLitterbags placem_collection'!E7</f>
        <v>42766</v>
      </c>
      <c r="H300" s="92" t="str">
        <f>'Final data_for_R_analysis_Wetse'!J446</f>
        <v>G577</v>
      </c>
      <c r="I300" t="str">
        <f>'Final data_for_R_analysis_Wetse'!J666</f>
        <v>R38</v>
      </c>
      <c r="J300">
        <f>IFERROR(INDEX('Green_rooibos initial weight'!$C$5:$C$1749,MATCH(H300, 'Green_rooibos initial weight'!$A$5:$A$1749,0)),"")</f>
        <v>1.9830000000000001</v>
      </c>
      <c r="K300">
        <f>IFERROR(INDEX('Green_rooibos initial weight'!$C$5:$C$1749,MATCH(I300, 'Green_rooibos initial weight'!$A$5:$A$1749,0)),"")</f>
        <v>2.12</v>
      </c>
      <c r="L300" s="195">
        <f t="shared" si="40"/>
        <v>1.7332000000000001</v>
      </c>
      <c r="M300" s="195">
        <f>AVERAGE(Ashed_controlls!$K$2:$K$11)</f>
        <v>5.5147656768714146</v>
      </c>
      <c r="N300" s="195">
        <f t="shared" si="36"/>
        <v>1.6376180812884646</v>
      </c>
      <c r="O300" s="195">
        <f t="shared" si="41"/>
        <v>1.8702000000000001</v>
      </c>
      <c r="P300" s="195">
        <f>AVERAGE(Ashed_controlls!$K$12:$K$14)</f>
        <v>2.2816647271287041</v>
      </c>
      <c r="Q300" s="195">
        <f t="shared" si="42"/>
        <v>1.827528306273239</v>
      </c>
      <c r="R300" s="16">
        <f>IF('WetLitterbags placem_collection'!G7="N.A","",'WetLitterbags placem_collection'!G7)</f>
        <v>42818</v>
      </c>
      <c r="S300" s="195">
        <f>IF(IFERROR(INDEX('Both teabags AfterWet'!$C$3:$C$841,MATCH(H300,'Both teabags AfterWet'!$A$3:$A$841,0)),"")="N.A","",(IFERROR(INDEX('Both teabags AfterWet'!$C$3:$C$841,MATCH(H300,'Both teabags AfterWet'!$A$3:$A$841,0)),"")))</f>
        <v>0.41870000000000002</v>
      </c>
      <c r="T300" s="195">
        <f>IFERROR(INDEX('Both teabags AfterWet'!$C$3:$C$841,MATCH(I300,'Both teabags AfterWet'!$A$3:$A$841,0)),"")</f>
        <v>1.2627999999999999</v>
      </c>
      <c r="U300" s="195">
        <f t="shared" si="43"/>
        <v>0.2681</v>
      </c>
      <c r="V300" s="195">
        <f t="shared" si="43"/>
        <v>1.1121999999999999</v>
      </c>
      <c r="W300" s="195">
        <f>IFERROR(INDEX('Ashed teabags wet'!$K$2:$K$821,MATCH(H300,'Ashed teabags wet'!$A$2:$A$821,0)),"")</f>
        <v>14.349775784752945</v>
      </c>
      <c r="X300" s="195">
        <f>IFERROR(INDEX('Ashed teabags wet'!$K$2:$K$821,MATCH(I300,'Ashed teabags wet'!$A$2:$A$821,0)),"")</f>
        <v>5.8070866141733264</v>
      </c>
      <c r="Y300" s="195">
        <f t="shared" si="37"/>
        <v>0.22962825112107738</v>
      </c>
      <c r="Z300" s="195">
        <f t="shared" si="37"/>
        <v>1.0476135826771642</v>
      </c>
      <c r="AA300" s="195">
        <f t="shared" si="44"/>
        <v>0.85977911837636301</v>
      </c>
      <c r="AB300" s="195">
        <f t="shared" si="45"/>
        <v>0.56365566905433784</v>
      </c>
      <c r="AC300" s="195">
        <f t="shared" si="38"/>
        <v>0.57324068747996315</v>
      </c>
      <c r="AD300">
        <f t="shared" si="39"/>
        <v>52</v>
      </c>
      <c r="AE300" s="195">
        <f t="shared" si="46"/>
        <v>-2.1115342489742339E-2</v>
      </c>
      <c r="AF300" s="195">
        <f t="shared" si="47"/>
        <v>2.7215758294663123E-2</v>
      </c>
      <c r="AG300" s="255" t="str">
        <f>IF(ISNUMBER(SEARCH("C",'WetLitterbags placem_collection'!AD227)),"YES","NO")</f>
        <v>NO</v>
      </c>
      <c r="AH300" s="255" t="str">
        <f>IF(ISNUMBER(SEARCH("H", 'WetLitterbags placem_collection'!AF7)),"YES","NO")</f>
        <v>NO</v>
      </c>
      <c r="AI300" s="255" t="str">
        <f>IF(ISNUMBER(SEARCH("R", 'WetLitterbags placem_collection'!XF7)),"YES","NO")</f>
        <v>NO</v>
      </c>
      <c r="AJ300" s="255" t="str">
        <f>IF(ISNUMBER(SEARCH("C", 'WetLitterbags placem_collection'!WE7)),"YES","NO")</f>
        <v>NO</v>
      </c>
      <c r="AK300" s="255" t="str">
        <f>IF(ISNUMBER(SEARCH("H", 'WetLitterbags placem_collection'!AE7)),"YES","NO")</f>
        <v>NO</v>
      </c>
      <c r="AL300" s="255" t="str">
        <f>IF(ISNUMBER(SEARCH("R", 'WetLitterbags placem_collection'!AE7)),"YES","NO")</f>
        <v>NO</v>
      </c>
    </row>
    <row r="301" spans="2:38">
      <c r="B301" t="str">
        <f>'Final data_for_R_analysis_Wetse'!A447</f>
        <v>Wet</v>
      </c>
      <c r="C301" s="263">
        <f>'Final data_for_R_analysis_Wetse'!B447</f>
        <v>6</v>
      </c>
      <c r="D301" t="s">
        <v>3824</v>
      </c>
      <c r="E301" t="s">
        <v>25</v>
      </c>
      <c r="F301" s="387">
        <v>6</v>
      </c>
      <c r="G301" s="16">
        <f>'WetLitterbags placem_collection'!E8</f>
        <v>42766</v>
      </c>
      <c r="H301" s="92" t="str">
        <f>'Final data_for_R_analysis_Wetse'!J447</f>
        <v>G634</v>
      </c>
      <c r="I301" t="str">
        <f>'Final data_for_R_analysis_Wetse'!J667</f>
        <v>R59</v>
      </c>
      <c r="J301">
        <f>IFERROR(INDEX('Green_rooibos initial weight'!$C$5:$C$1749,MATCH(H301, 'Green_rooibos initial weight'!$A$5:$A$1749,0)),"")</f>
        <v>2.02</v>
      </c>
      <c r="K301">
        <f>IFERROR(INDEX('Green_rooibos initial weight'!$C$5:$C$1749,MATCH(I301, 'Green_rooibos initial weight'!$A$5:$A$1749,0)),"")</f>
        <v>2.2029999999999998</v>
      </c>
      <c r="L301" s="195">
        <f t="shared" si="40"/>
        <v>1.7702</v>
      </c>
      <c r="M301" s="195">
        <f>AVERAGE(Ashed_controlls!$K$2:$K$11)</f>
        <v>5.5147656768714146</v>
      </c>
      <c r="N301" s="195">
        <f t="shared" si="36"/>
        <v>1.6725776179880223</v>
      </c>
      <c r="O301" s="195">
        <f t="shared" si="41"/>
        <v>1.9531999999999998</v>
      </c>
      <c r="P301" s="195">
        <f>AVERAGE(Ashed_controlls!$K$12:$K$14)</f>
        <v>2.2816647271287041</v>
      </c>
      <c r="Q301" s="195">
        <f t="shared" si="42"/>
        <v>1.908634524549722</v>
      </c>
      <c r="R301" s="16">
        <f>IF('WetLitterbags placem_collection'!G8="N.A","",'WetLitterbags placem_collection'!G8)</f>
        <v>42818</v>
      </c>
      <c r="S301" s="195">
        <f>IF(IFERROR(INDEX('Both teabags AfterWet'!$C$3:$C$841,MATCH(H301,'Both teabags AfterWet'!$A$3:$A$841,0)),"")="N.A","",(IFERROR(INDEX('Both teabags AfterWet'!$C$3:$C$841,MATCH(H301,'Both teabags AfterWet'!$A$3:$A$841,0)),"")))</f>
        <v>0.60129999999999995</v>
      </c>
      <c r="T301" s="195">
        <f>IFERROR(INDEX('Both teabags AfterWet'!$C$3:$C$841,MATCH(I301,'Both teabags AfterWet'!$A$3:$A$841,0)),"")</f>
        <v>1.4990000000000001</v>
      </c>
      <c r="U301" s="195">
        <f t="shared" si="43"/>
        <v>0.45069999999999993</v>
      </c>
      <c r="V301" s="195">
        <f t="shared" si="43"/>
        <v>1.3484</v>
      </c>
      <c r="W301" s="195">
        <f>IFERROR(INDEX('Ashed teabags wet'!$K$2:$K$821,MATCH(H301,'Ashed teabags wet'!$A$2:$A$821,0)),"")</f>
        <v>9.6630327056488774</v>
      </c>
      <c r="X301" s="195">
        <f>IFERROR(INDEX('Ashed teabags wet'!$K$2:$K$821,MATCH(I301,'Ashed teabags wet'!$A$2:$A$821,0)),"")</f>
        <v>5.3641732283467132</v>
      </c>
      <c r="Y301" s="195">
        <f t="shared" si="37"/>
        <v>0.40714871159564048</v>
      </c>
      <c r="Z301" s="195">
        <f t="shared" si="37"/>
        <v>1.2760694881889729</v>
      </c>
      <c r="AA301" s="195">
        <f t="shared" si="44"/>
        <v>0.75657410022895799</v>
      </c>
      <c r="AB301" s="195">
        <f t="shared" si="45"/>
        <v>0.49599632224036205</v>
      </c>
      <c r="AC301" s="195">
        <f t="shared" si="38"/>
        <v>0.66857718006018907</v>
      </c>
      <c r="AD301">
        <f t="shared" si="39"/>
        <v>52</v>
      </c>
      <c r="AE301" s="195">
        <f t="shared" si="46"/>
        <v>0.10145593797035868</v>
      </c>
      <c r="AF301" s="195">
        <f t="shared" si="47"/>
        <v>2.121560036449471E-2</v>
      </c>
      <c r="AG301" s="255" t="str">
        <f>IF(ISNUMBER(SEARCH("C",'WetLitterbags placem_collection'!AD228)),"YES","NO")</f>
        <v>NO</v>
      </c>
      <c r="AH301" s="255" t="str">
        <f>IF(ISNUMBER(SEARCH("H", 'WetLitterbags placem_collection'!AF8)),"YES","NO")</f>
        <v>NO</v>
      </c>
      <c r="AI301" s="255" t="str">
        <f>IF(ISNUMBER(SEARCH("R", 'WetLitterbags placem_collection'!XF8)),"YES","NO")</f>
        <v>NO</v>
      </c>
      <c r="AJ301" s="255" t="str">
        <f>IF(ISNUMBER(SEARCH("C", 'WetLitterbags placem_collection'!WE8)),"YES","NO")</f>
        <v>NO</v>
      </c>
      <c r="AK301" s="255" t="str">
        <f>IF(ISNUMBER(SEARCH("H", 'WetLitterbags placem_collection'!AE8)),"YES","NO")</f>
        <v>NO</v>
      </c>
      <c r="AL301" s="255" t="str">
        <f>IF(ISNUMBER(SEARCH("R", 'WetLitterbags placem_collection'!AE8)),"YES","NO")</f>
        <v>NO</v>
      </c>
    </row>
    <row r="302" spans="2:38">
      <c r="B302" t="str">
        <f>'Final data_for_R_analysis_Wetse'!A448</f>
        <v>Wet</v>
      </c>
      <c r="C302" s="263">
        <f>'Final data_for_R_analysis_Wetse'!B448</f>
        <v>7</v>
      </c>
      <c r="D302" t="s">
        <v>3824</v>
      </c>
      <c r="E302" t="s">
        <v>25</v>
      </c>
      <c r="F302" s="387">
        <v>7</v>
      </c>
      <c r="G302" s="16">
        <f>'WetLitterbags placem_collection'!E9</f>
        <v>42766</v>
      </c>
      <c r="H302" s="92" t="str">
        <f>'Final data_for_R_analysis_Wetse'!J448</f>
        <v>G665</v>
      </c>
      <c r="I302" t="str">
        <f>'Final data_for_R_analysis_Wetse'!J668</f>
        <v>R398</v>
      </c>
      <c r="J302">
        <f>IFERROR(INDEX('Green_rooibos initial weight'!$C$5:$C$1749,MATCH(H302, 'Green_rooibos initial weight'!$A$5:$A$1749,0)),"")</f>
        <v>2.09</v>
      </c>
      <c r="K302">
        <f>IFERROR(INDEX('Green_rooibos initial weight'!$C$5:$C$1749,MATCH(I302, 'Green_rooibos initial weight'!$A$5:$A$1749,0)),"")</f>
        <v>2.19</v>
      </c>
      <c r="L302" s="195">
        <f t="shared" si="40"/>
        <v>1.8401999999999998</v>
      </c>
      <c r="M302" s="195">
        <f>AVERAGE(Ashed_controlls!$K$2:$K$11)</f>
        <v>5.5147656768714146</v>
      </c>
      <c r="N302" s="195">
        <f t="shared" si="36"/>
        <v>1.7387172820142121</v>
      </c>
      <c r="O302" s="195">
        <f t="shared" si="41"/>
        <v>1.9401999999999999</v>
      </c>
      <c r="P302" s="195">
        <f>AVERAGE(Ashed_controlls!$K$12:$K$14)</f>
        <v>2.2816647271287041</v>
      </c>
      <c r="Q302" s="195">
        <f t="shared" si="42"/>
        <v>1.8959311409642488</v>
      </c>
      <c r="R302" s="16">
        <f>IF('WetLitterbags placem_collection'!G9="N.A","",'WetLitterbags placem_collection'!G9)</f>
        <v>42818</v>
      </c>
      <c r="S302" s="195">
        <f>IF(IFERROR(INDEX('Both teabags AfterWet'!$C$3:$C$841,MATCH(H302,'Both teabags AfterWet'!$A$3:$A$841,0)),"")="N.A","",(IFERROR(INDEX('Both teabags AfterWet'!$C$3:$C$841,MATCH(H302,'Both teabags AfterWet'!$A$3:$A$841,0)),"")))</f>
        <v>0.56399999999999995</v>
      </c>
      <c r="T302" s="195">
        <f>IFERROR(INDEX('Both teabags AfterWet'!$C$3:$C$841,MATCH(I302,'Both teabags AfterWet'!$A$3:$A$841,0)),"")</f>
        <v>1.518</v>
      </c>
      <c r="U302" s="195">
        <f t="shared" si="43"/>
        <v>0.41339999999999993</v>
      </c>
      <c r="V302" s="195">
        <f t="shared" si="43"/>
        <v>1.3673999999999999</v>
      </c>
      <c r="W302" s="195">
        <f>IFERROR(INDEX('Ashed teabags wet'!$K$2:$K$821,MATCH(H302,'Ashed teabags wet'!$A$2:$A$821,0)),"")</f>
        <v>10.694923607688283</v>
      </c>
      <c r="X302" s="195">
        <f>IFERROR(INDEX('Ashed teabags wet'!$K$2:$K$821,MATCH(I302,'Ashed teabags wet'!$A$2:$A$821,0)),"")</f>
        <v>3.7092731829574301</v>
      </c>
      <c r="Y302" s="195">
        <f t="shared" si="37"/>
        <v>0.36918718580581655</v>
      </c>
      <c r="Z302" s="195">
        <f t="shared" si="37"/>
        <v>1.3166793984962402</v>
      </c>
      <c r="AA302" s="195">
        <f t="shared" si="44"/>
        <v>0.78766692571311381</v>
      </c>
      <c r="AB302" s="195">
        <f t="shared" si="45"/>
        <v>0.5163802173321127</v>
      </c>
      <c r="AC302" s="195">
        <f t="shared" si="38"/>
        <v>0.69447638157712421</v>
      </c>
      <c r="AD302">
        <f t="shared" si="39"/>
        <v>52</v>
      </c>
      <c r="AE302" s="195">
        <f t="shared" si="46"/>
        <v>6.452859178965098E-2</v>
      </c>
      <c r="AF302" s="195">
        <f t="shared" si="47"/>
        <v>1.7224328327475811E-2</v>
      </c>
      <c r="AG302" s="255" t="str">
        <f>IF(ISNUMBER(SEARCH("C",'WetLitterbags placem_collection'!AD229)),"YES","NO")</f>
        <v>NO</v>
      </c>
      <c r="AH302" s="255" t="str">
        <f>IF(ISNUMBER(SEARCH("H", 'WetLitterbags placem_collection'!AF9)),"YES","NO")</f>
        <v>NO</v>
      </c>
      <c r="AI302" s="255" t="str">
        <f>IF(ISNUMBER(SEARCH("R", 'WetLitterbags placem_collection'!XF9)),"YES","NO")</f>
        <v>NO</v>
      </c>
      <c r="AJ302" s="255" t="str">
        <f>IF(ISNUMBER(SEARCH("C", 'WetLitterbags placem_collection'!WE9)),"YES","NO")</f>
        <v>NO</v>
      </c>
      <c r="AK302" s="255" t="str">
        <f>IF(ISNUMBER(SEARCH("H", 'WetLitterbags placem_collection'!AE9)),"YES","NO")</f>
        <v>NO</v>
      </c>
      <c r="AL302" s="255" t="str">
        <f>IF(ISNUMBER(SEARCH("R", 'WetLitterbags placem_collection'!AE9)),"YES","NO")</f>
        <v>NO</v>
      </c>
    </row>
    <row r="303" spans="2:38">
      <c r="B303" t="str">
        <f>'Final data_for_R_analysis_Wetse'!A449</f>
        <v>Wet</v>
      </c>
      <c r="C303" s="263">
        <f>'Final data_for_R_analysis_Wetse'!B449</f>
        <v>8</v>
      </c>
      <c r="D303" t="s">
        <v>3824</v>
      </c>
      <c r="E303" t="s">
        <v>25</v>
      </c>
      <c r="F303" s="387">
        <v>8</v>
      </c>
      <c r="G303" s="16">
        <f>'WetLitterbags placem_collection'!E10</f>
        <v>42766</v>
      </c>
      <c r="H303" s="92" t="str">
        <f>'Final data_for_R_analysis_Wetse'!J449</f>
        <v>G701</v>
      </c>
      <c r="I303" t="str">
        <f>'Final data_for_R_analysis_Wetse'!J669</f>
        <v>R512</v>
      </c>
      <c r="J303">
        <f>IFERROR(INDEX('Green_rooibos initial weight'!$C$5:$C$1749,MATCH(H303, 'Green_rooibos initial weight'!$A$5:$A$1749,0)),"")</f>
        <v>1.9159999999999999</v>
      </c>
      <c r="K303">
        <f>IFERROR(INDEX('Green_rooibos initial weight'!$C$5:$C$1749,MATCH(I303, 'Green_rooibos initial weight'!$A$5:$A$1749,0)),"")</f>
        <v>2.1509999999999998</v>
      </c>
      <c r="L303" s="195">
        <f t="shared" si="40"/>
        <v>1.6661999999999999</v>
      </c>
      <c r="M303" s="195">
        <f>AVERAGE(Ashed_controlls!$K$2:$K$11)</f>
        <v>5.5147656768714146</v>
      </c>
      <c r="N303" s="195">
        <f t="shared" si="36"/>
        <v>1.5743129742919684</v>
      </c>
      <c r="O303" s="195">
        <f t="shared" si="41"/>
        <v>1.9011999999999998</v>
      </c>
      <c r="P303" s="195">
        <f>AVERAGE(Ashed_controlls!$K$12:$K$14)</f>
        <v>2.2816647271287041</v>
      </c>
      <c r="Q303" s="195">
        <f t="shared" si="42"/>
        <v>1.8578209902078289</v>
      </c>
      <c r="R303" s="16">
        <f>IF('WetLitterbags placem_collection'!G10="N.A","",'WetLitterbags placem_collection'!G10)</f>
        <v>42818</v>
      </c>
      <c r="S303" s="195">
        <f>IF(IFERROR(INDEX('Both teabags AfterWet'!$C$3:$C$841,MATCH(H303,'Both teabags AfterWet'!$A$3:$A$841,0)),"")="N.A","",(IFERROR(INDEX('Both teabags AfterWet'!$C$3:$C$841,MATCH(H303,'Both teabags AfterWet'!$A$3:$A$841,0)),"")))</f>
        <v>0.59260000000000002</v>
      </c>
      <c r="T303" s="195">
        <f>IFERROR(INDEX('Both teabags AfterWet'!$C$3:$C$841,MATCH(I303,'Both teabags AfterWet'!$A$3:$A$841,0)),"")</f>
        <v>1.4733000000000001</v>
      </c>
      <c r="U303" s="195">
        <f t="shared" si="43"/>
        <v>0.442</v>
      </c>
      <c r="V303" s="195">
        <f t="shared" si="43"/>
        <v>1.3227</v>
      </c>
      <c r="W303" s="195">
        <f>IFERROR(INDEX('Ashed teabags wet'!$K$2:$K$821,MATCH(H303,'Ashed teabags wet'!$A$2:$A$821,0)),"")</f>
        <v>8.8163662932295175</v>
      </c>
      <c r="X303" s="195">
        <f>IFERROR(INDEX('Ashed teabags wet'!$K$2:$K$821,MATCH(I303,'Ashed teabags wet'!$A$2:$A$821,0)),"")</f>
        <v>3.0097087378641909</v>
      </c>
      <c r="Y303" s="195">
        <f t="shared" si="37"/>
        <v>0.40303166098392551</v>
      </c>
      <c r="Z303" s="195">
        <f t="shared" si="37"/>
        <v>1.2828905825242702</v>
      </c>
      <c r="AA303" s="195">
        <f t="shared" si="44"/>
        <v>0.74399521088544351</v>
      </c>
      <c r="AB303" s="195">
        <f t="shared" si="45"/>
        <v>0.48774982946409129</v>
      </c>
      <c r="AC303" s="195">
        <f t="shared" si="38"/>
        <v>0.69053508884123282</v>
      </c>
      <c r="AD303">
        <f t="shared" si="39"/>
        <v>52</v>
      </c>
      <c r="AE303" s="195">
        <f t="shared" si="46"/>
        <v>0.11639523647809558</v>
      </c>
      <c r="AF303" s="195">
        <f t="shared" si="47"/>
        <v>1.9354224896821499E-2</v>
      </c>
      <c r="AG303" s="255" t="str">
        <f>IF(ISNUMBER(SEARCH("C",'WetLitterbags placem_collection'!AD230)),"YES","NO")</f>
        <v>NO</v>
      </c>
      <c r="AH303" s="255" t="str">
        <f>IF(ISNUMBER(SEARCH("H", 'WetLitterbags placem_collection'!AF10)),"YES","NO")</f>
        <v>NO</v>
      </c>
      <c r="AI303" s="255" t="str">
        <f>IF(ISNUMBER(SEARCH("R", 'WetLitterbags placem_collection'!XF10)),"YES","NO")</f>
        <v>NO</v>
      </c>
      <c r="AJ303" s="255" t="str">
        <f>IF(ISNUMBER(SEARCH("C", 'WetLitterbags placem_collection'!WE10)),"YES","NO")</f>
        <v>NO</v>
      </c>
      <c r="AK303" s="255" t="str">
        <f>IF(ISNUMBER(SEARCH("H", 'WetLitterbags placem_collection'!AE10)),"YES","NO")</f>
        <v>NO</v>
      </c>
      <c r="AL303" s="255" t="str">
        <f>IF(ISNUMBER(SEARCH("R", 'WetLitterbags placem_collection'!AE10)),"YES","NO")</f>
        <v>NO</v>
      </c>
    </row>
    <row r="304" spans="2:38">
      <c r="B304" t="str">
        <f>'Final data_for_R_analysis_Wetse'!A450</f>
        <v>Wet</v>
      </c>
      <c r="C304" s="263">
        <f>'Final data_for_R_analysis_Wetse'!B450</f>
        <v>9</v>
      </c>
      <c r="D304" t="s">
        <v>3828</v>
      </c>
      <c r="E304" t="s">
        <v>25</v>
      </c>
      <c r="F304" s="386">
        <v>1</v>
      </c>
      <c r="G304" s="16">
        <f>'WetLitterbags placem_collection'!E11</f>
        <v>42766</v>
      </c>
      <c r="H304" s="92" t="str">
        <f>'Final data_for_R_analysis_Wetse'!J450</f>
        <v>G476</v>
      </c>
      <c r="I304" t="str">
        <f>'Final data_for_R_analysis_Wetse'!J670</f>
        <v>R101</v>
      </c>
      <c r="J304">
        <f>IFERROR(INDEX('Green_rooibos initial weight'!$C$5:$C$1749,MATCH(H304, 'Green_rooibos initial weight'!$A$5:$A$1749,0)),"")</f>
        <v>2.121</v>
      </c>
      <c r="K304">
        <f>IFERROR(INDEX('Green_rooibos initial weight'!$C$5:$C$1749,MATCH(I304, 'Green_rooibos initial weight'!$A$5:$A$1749,0)),"")</f>
        <v>2.3039999999999998</v>
      </c>
      <c r="L304" s="195">
        <f t="shared" si="40"/>
        <v>1.8712</v>
      </c>
      <c r="M304" s="195">
        <f>AVERAGE(Ashed_controlls!$K$2:$K$11)</f>
        <v>5.5147656768714146</v>
      </c>
      <c r="N304" s="195">
        <f t="shared" si="36"/>
        <v>1.7680077046543821</v>
      </c>
      <c r="O304" s="195">
        <f t="shared" si="41"/>
        <v>2.0541999999999998</v>
      </c>
      <c r="P304" s="195">
        <f>AVERAGE(Ashed_controlls!$K$12:$K$14)</f>
        <v>2.2816647271287041</v>
      </c>
      <c r="Q304" s="195">
        <f t="shared" si="42"/>
        <v>2.007330043175322</v>
      </c>
      <c r="R304" s="16">
        <f>IF('WetLitterbags placem_collection'!G11="N.A","",'WetLitterbags placem_collection'!G11)</f>
        <v>42818</v>
      </c>
      <c r="S304" s="195">
        <f>IF(IFERROR(INDEX('Both teabags AfterWet'!$C$3:$C$841,MATCH(H304,'Both teabags AfterWet'!$A$3:$A$841,0)),"")="N.A","",(IFERROR(INDEX('Both teabags AfterWet'!$C$3:$C$841,MATCH(H304,'Both teabags AfterWet'!$A$3:$A$841,0)),"")))</f>
        <v>0.66479999999999995</v>
      </c>
      <c r="T304" s="195">
        <f>IFERROR(INDEX('Both teabags AfterWet'!$C$3:$C$841,MATCH(I304,'Both teabags AfterWet'!$A$3:$A$841,0)),"")</f>
        <v>1.5383</v>
      </c>
      <c r="U304" s="195">
        <f t="shared" si="43"/>
        <v>0.51419999999999999</v>
      </c>
      <c r="V304" s="195">
        <f t="shared" si="43"/>
        <v>1.3876999999999999</v>
      </c>
      <c r="W304" s="195">
        <f>IFERROR(INDEX('Ashed teabags wet'!$K$2:$K$821,MATCH(H304,'Ashed teabags wet'!$A$2:$A$821,0)),"")</f>
        <v>18.05555555555533</v>
      </c>
      <c r="X304" s="195">
        <f>IFERROR(INDEX('Ashed teabags wet'!$K$2:$K$821,MATCH(I304,'Ashed teabags wet'!$A$2:$A$821,0)),"")</f>
        <v>6.1446977205149187</v>
      </c>
      <c r="Y304" s="195">
        <f t="shared" si="37"/>
        <v>0.4213583333333345</v>
      </c>
      <c r="Z304" s="195">
        <f t="shared" si="37"/>
        <v>1.3024300297324145</v>
      </c>
      <c r="AA304" s="195">
        <f t="shared" si="44"/>
        <v>0.76167618940568849</v>
      </c>
      <c r="AB304" s="195">
        <f t="shared" si="45"/>
        <v>0.49934115980040394</v>
      </c>
      <c r="AC304" s="195">
        <f t="shared" si="38"/>
        <v>0.64883701320593401</v>
      </c>
      <c r="AD304">
        <f t="shared" si="39"/>
        <v>52</v>
      </c>
      <c r="AE304" s="195">
        <f t="shared" si="46"/>
        <v>9.5396449636949487E-2</v>
      </c>
      <c r="AF304" s="195">
        <f t="shared" si="47"/>
        <v>2.3362963995435953E-2</v>
      </c>
      <c r="AG304" s="255" t="str">
        <f>IF(ISNUMBER(SEARCH("C",'WetLitterbags placem_collection'!AD231)),"YES","NO")</f>
        <v>NO</v>
      </c>
      <c r="AH304" s="255" t="str">
        <f>IF(ISNUMBER(SEARCH("H", 'WetLitterbags placem_collection'!AF11)),"YES","NO")</f>
        <v>NO</v>
      </c>
      <c r="AI304" s="255" t="str">
        <f>IF(ISNUMBER(SEARCH("R", 'WetLitterbags placem_collection'!XF11)),"YES","NO")</f>
        <v>NO</v>
      </c>
      <c r="AJ304" s="255" t="str">
        <f>IF(ISNUMBER(SEARCH("C", 'WetLitterbags placem_collection'!WE11)),"YES","NO")</f>
        <v>NO</v>
      </c>
      <c r="AK304" s="255" t="str">
        <f>IF(ISNUMBER(SEARCH("H", 'WetLitterbags placem_collection'!AE11)),"YES","NO")</f>
        <v>NO</v>
      </c>
      <c r="AL304" s="255" t="str">
        <f>IF(ISNUMBER(SEARCH("R", 'WetLitterbags placem_collection'!AE11)),"YES","NO")</f>
        <v>NO</v>
      </c>
    </row>
    <row r="305" spans="2:38">
      <c r="B305" t="str">
        <f>'Final data_for_R_analysis_Wetse'!A451</f>
        <v>Wet</v>
      </c>
      <c r="C305" s="263">
        <f>'Final data_for_R_analysis_Wetse'!B451</f>
        <v>10</v>
      </c>
      <c r="D305" t="s">
        <v>3828</v>
      </c>
      <c r="E305" t="s">
        <v>25</v>
      </c>
      <c r="F305" s="386">
        <v>2</v>
      </c>
      <c r="G305" s="16">
        <f>'WetLitterbags placem_collection'!E12</f>
        <v>42766</v>
      </c>
      <c r="H305" s="92" t="str">
        <f>'Final data_for_R_analysis_Wetse'!J451</f>
        <v>G606</v>
      </c>
      <c r="I305" t="str">
        <f>'Final data_for_R_analysis_Wetse'!J671</f>
        <v>R515</v>
      </c>
      <c r="J305">
        <f>IFERROR(INDEX('Green_rooibos initial weight'!$C$5:$C$1749,MATCH(H305, 'Green_rooibos initial weight'!$A$5:$A$1749,0)),"")</f>
        <v>1.921</v>
      </c>
      <c r="K305">
        <f>IFERROR(INDEX('Green_rooibos initial weight'!$C$5:$C$1749,MATCH(I305, 'Green_rooibos initial weight'!$A$5:$A$1749,0)),"")</f>
        <v>2.2050000000000001</v>
      </c>
      <c r="L305" s="195">
        <f t="shared" si="40"/>
        <v>1.6712</v>
      </c>
      <c r="M305" s="195">
        <f>AVERAGE(Ashed_controlls!$K$2:$K$11)</f>
        <v>5.5147656768714146</v>
      </c>
      <c r="N305" s="195">
        <f t="shared" si="36"/>
        <v>1.5790372360081248</v>
      </c>
      <c r="O305" s="195">
        <f t="shared" si="41"/>
        <v>1.9552</v>
      </c>
      <c r="P305" s="195">
        <f>AVERAGE(Ashed_controlls!$K$12:$K$14)</f>
        <v>2.2816647271287041</v>
      </c>
      <c r="Q305" s="195">
        <f t="shared" si="42"/>
        <v>1.9105888912551796</v>
      </c>
      <c r="R305" s="16">
        <f>IF('WetLitterbags placem_collection'!G12="N.A","",'WetLitterbags placem_collection'!G12)</f>
        <v>42818</v>
      </c>
      <c r="S305" s="195">
        <f>IF(IFERROR(INDEX('Both teabags AfterWet'!$C$3:$C$841,MATCH(H305,'Both teabags AfterWet'!$A$3:$A$841,0)),"")="N.A","",(IFERROR(INDEX('Both teabags AfterWet'!$C$3:$C$841,MATCH(H305,'Both teabags AfterWet'!$A$3:$A$841,0)),"")))</f>
        <v>0.63539999999999996</v>
      </c>
      <c r="T305" s="195">
        <f>IFERROR(INDEX('Both teabags AfterWet'!$C$3:$C$841,MATCH(I305,'Both teabags AfterWet'!$A$3:$A$841,0)),"")</f>
        <v>1.3853</v>
      </c>
      <c r="U305" s="195">
        <f t="shared" si="43"/>
        <v>0.48479999999999995</v>
      </c>
      <c r="V305" s="195">
        <f t="shared" si="43"/>
        <v>1.2346999999999999</v>
      </c>
      <c r="W305" s="195">
        <f>IFERROR(INDEX('Ashed teabags wet'!$K$2:$K$821,MATCH(H305,'Ashed teabags wet'!$A$2:$A$821,0)),"")</f>
        <v>10.416666666666313</v>
      </c>
      <c r="X305" s="195">
        <f>IFERROR(INDEX('Ashed teabags wet'!$K$2:$K$821,MATCH(I305,'Ashed teabags wet'!$A$2:$A$821,0)),"")</f>
        <v>4.2016806722691449</v>
      </c>
      <c r="Y305" s="195">
        <f t="shared" si="37"/>
        <v>0.43430000000000168</v>
      </c>
      <c r="Z305" s="195">
        <f t="shared" si="37"/>
        <v>1.1828218487394928</v>
      </c>
      <c r="AA305" s="195">
        <f t="shared" si="44"/>
        <v>0.72495898760568112</v>
      </c>
      <c r="AB305" s="195">
        <f t="shared" si="45"/>
        <v>0.47527002512866512</v>
      </c>
      <c r="AC305" s="195">
        <f t="shared" si="38"/>
        <v>0.61908757773757739</v>
      </c>
      <c r="AD305">
        <f t="shared" si="39"/>
        <v>52</v>
      </c>
      <c r="AE305" s="195">
        <f t="shared" si="46"/>
        <v>0.13900357766546179</v>
      </c>
      <c r="AF305" s="195">
        <f t="shared" si="47"/>
        <v>3.1092139738141747E-2</v>
      </c>
      <c r="AG305" s="255" t="str">
        <f>IF(ISNUMBER(SEARCH("C",'WetLitterbags placem_collection'!AD232)),"YES","NO")</f>
        <v>NO</v>
      </c>
      <c r="AH305" s="255" t="str">
        <f>IF(ISNUMBER(SEARCH("H", 'WetLitterbags placem_collection'!AF12)),"YES","NO")</f>
        <v>NO</v>
      </c>
      <c r="AI305" s="255" t="str">
        <f>IF(ISNUMBER(SEARCH("R", 'WetLitterbags placem_collection'!XF12)),"YES","NO")</f>
        <v>NO</v>
      </c>
      <c r="AJ305" s="255" t="str">
        <f>IF(ISNUMBER(SEARCH("C", 'WetLitterbags placem_collection'!WE12)),"YES","NO")</f>
        <v>NO</v>
      </c>
      <c r="AK305" s="255" t="str">
        <f>IF(ISNUMBER(SEARCH("H", 'WetLitterbags placem_collection'!AE12)),"YES","NO")</f>
        <v>NO</v>
      </c>
      <c r="AL305" s="255" t="str">
        <f>IF(ISNUMBER(SEARCH("R", 'WetLitterbags placem_collection'!AE12)),"YES","NO")</f>
        <v>NO</v>
      </c>
    </row>
    <row r="306" spans="2:38">
      <c r="B306" t="str">
        <f>'Final data_for_R_analysis_Wetse'!A452</f>
        <v>Wet</v>
      </c>
      <c r="C306" s="263">
        <f>'Final data_for_R_analysis_Wetse'!B452</f>
        <v>11</v>
      </c>
      <c r="D306" t="s">
        <v>3828</v>
      </c>
      <c r="E306" t="s">
        <v>25</v>
      </c>
      <c r="F306" s="386">
        <v>3</v>
      </c>
      <c r="G306" s="16">
        <f>'WetLitterbags placem_collection'!E13</f>
        <v>42766</v>
      </c>
      <c r="H306" s="92" t="str">
        <f>'Final data_for_R_analysis_Wetse'!J452</f>
        <v>G523</v>
      </c>
      <c r="I306" t="str">
        <f>'Final data_for_R_analysis_Wetse'!J672</f>
        <v>R2</v>
      </c>
      <c r="J306">
        <f>IFERROR(INDEX('Green_rooibos initial weight'!$C$5:$C$1749,MATCH(H306, 'Green_rooibos initial weight'!$A$5:$A$1749,0)),"")</f>
        <v>2.1419999999999999</v>
      </c>
      <c r="K306">
        <f>IFERROR(INDEX('Green_rooibos initial weight'!$C$5:$C$1749,MATCH(I306, 'Green_rooibos initial weight'!$A$5:$A$1749,0)),"")</f>
        <v>2.2679999999999998</v>
      </c>
      <c r="L306" s="195">
        <f t="shared" si="40"/>
        <v>1.8921999999999999</v>
      </c>
      <c r="M306" s="195">
        <f>AVERAGE(Ashed_controlls!$K$2:$K$11)</f>
        <v>5.5147656768714146</v>
      </c>
      <c r="N306" s="195">
        <f t="shared" si="36"/>
        <v>1.7878496038622389</v>
      </c>
      <c r="O306" s="195">
        <f t="shared" si="41"/>
        <v>2.0181999999999998</v>
      </c>
      <c r="P306" s="195">
        <f>AVERAGE(Ashed_controlls!$K$12:$K$14)</f>
        <v>2.2816647271287041</v>
      </c>
      <c r="Q306" s="195">
        <f t="shared" si="42"/>
        <v>1.9721514424770883</v>
      </c>
      <c r="R306" s="16">
        <f>IF('WetLitterbags placem_collection'!G13="N.A","",'WetLitterbags placem_collection'!G13)</f>
        <v>42818</v>
      </c>
      <c r="S306" s="195">
        <f>IF(IFERROR(INDEX('Both teabags AfterWet'!$C$3:$C$841,MATCH(H306,'Both teabags AfterWet'!$A$3:$A$841,0)),"")="N.A","",(IFERROR(INDEX('Both teabags AfterWet'!$C$3:$C$841,MATCH(H306,'Both teabags AfterWet'!$A$3:$A$841,0)),"")))</f>
        <v>0.63119999999999998</v>
      </c>
      <c r="T306" s="195">
        <f>IFERROR(INDEX('Both teabags AfterWet'!$C$3:$C$841,MATCH(I306,'Both teabags AfterWet'!$A$3:$A$841,0)),"")</f>
        <v>1.43</v>
      </c>
      <c r="U306" s="195">
        <f t="shared" si="43"/>
        <v>0.48059999999999997</v>
      </c>
      <c r="V306" s="195">
        <f t="shared" si="43"/>
        <v>1.2793999999999999</v>
      </c>
      <c r="W306" s="195">
        <f>IFERROR(INDEX('Ashed teabags wet'!$K$2:$K$821,MATCH(H306,'Ashed teabags wet'!$A$2:$A$821,0)),"")</f>
        <v>9.5734126984128558</v>
      </c>
      <c r="X306" s="195">
        <f>IFERROR(INDEX('Ashed teabags wet'!$K$2:$K$821,MATCH(I306,'Ashed teabags wet'!$A$2:$A$821,0)),"")</f>
        <v>4.6087373979834227</v>
      </c>
      <c r="Y306" s="195">
        <f t="shared" si="37"/>
        <v>0.43459017857142779</v>
      </c>
      <c r="Z306" s="195">
        <f t="shared" si="37"/>
        <v>1.2204358137302</v>
      </c>
      <c r="AA306" s="195">
        <f t="shared" si="44"/>
        <v>0.75692016955307906</v>
      </c>
      <c r="AB306" s="195">
        <f t="shared" si="45"/>
        <v>0.49622319904192363</v>
      </c>
      <c r="AC306" s="195">
        <f t="shared" si="38"/>
        <v>0.6188347342115329</v>
      </c>
      <c r="AD306">
        <f t="shared" si="39"/>
        <v>52</v>
      </c>
      <c r="AE306" s="195">
        <f t="shared" si="46"/>
        <v>0.10104492927187758</v>
      </c>
      <c r="AF306" s="195">
        <f t="shared" si="47"/>
        <v>2.8107501050733681E-2</v>
      </c>
      <c r="AG306" s="255" t="str">
        <f>IF(ISNUMBER(SEARCH("C",'WetLitterbags placem_collection'!AD233)),"YES","NO")</f>
        <v>NO</v>
      </c>
      <c r="AH306" s="255" t="str">
        <f>IF(ISNUMBER(SEARCH("H", 'WetLitterbags placem_collection'!AF13)),"YES","NO")</f>
        <v>NO</v>
      </c>
      <c r="AI306" s="255" t="str">
        <f>IF(ISNUMBER(SEARCH("R", 'WetLitterbags placem_collection'!XF13)),"YES","NO")</f>
        <v>NO</v>
      </c>
      <c r="AJ306" s="255" t="str">
        <f>IF(ISNUMBER(SEARCH("C", 'WetLitterbags placem_collection'!WE13)),"YES","NO")</f>
        <v>NO</v>
      </c>
      <c r="AK306" s="255" t="str">
        <f>IF(ISNUMBER(SEARCH("H", 'WetLitterbags placem_collection'!AE13)),"YES","NO")</f>
        <v>NO</v>
      </c>
      <c r="AL306" s="255" t="str">
        <f>IF(ISNUMBER(SEARCH("R", 'WetLitterbags placem_collection'!AE13)),"YES","NO")</f>
        <v>NO</v>
      </c>
    </row>
    <row r="307" spans="2:38">
      <c r="B307" t="str">
        <f>'Final data_for_R_analysis_Wetse'!A453</f>
        <v>Wet</v>
      </c>
      <c r="C307" s="263">
        <f>'Final data_for_R_analysis_Wetse'!B453</f>
        <v>12</v>
      </c>
      <c r="D307" t="s">
        <v>3828</v>
      </c>
      <c r="E307" t="s">
        <v>25</v>
      </c>
      <c r="F307" s="387">
        <v>4</v>
      </c>
      <c r="G307" s="16">
        <f>'WetLitterbags placem_collection'!E14</f>
        <v>42766</v>
      </c>
      <c r="H307" s="92" t="str">
        <f>'Final data_for_R_analysis_Wetse'!J453</f>
        <v>G490</v>
      </c>
      <c r="I307" t="str">
        <f>'Final data_for_R_analysis_Wetse'!J673</f>
        <v>R123</v>
      </c>
      <c r="J307">
        <f>IFERROR(INDEX('Green_rooibos initial weight'!$C$5:$C$1749,MATCH(H307, 'Green_rooibos initial weight'!$A$5:$A$1749,0)),"")</f>
        <v>1.881</v>
      </c>
      <c r="K307">
        <f>IFERROR(INDEX('Green_rooibos initial weight'!$C$5:$C$1749,MATCH(I307, 'Green_rooibos initial weight'!$A$5:$A$1749,0)),"")</f>
        <v>2.2610000000000001</v>
      </c>
      <c r="L307" s="195">
        <f t="shared" si="40"/>
        <v>1.6312</v>
      </c>
      <c r="M307" s="195">
        <f>AVERAGE(Ashed_controlls!$K$2:$K$11)</f>
        <v>5.5147656768714146</v>
      </c>
      <c r="N307" s="195">
        <f t="shared" si="36"/>
        <v>1.5412431422788735</v>
      </c>
      <c r="O307" s="195">
        <f t="shared" si="41"/>
        <v>2.0112000000000001</v>
      </c>
      <c r="P307" s="195">
        <f>AVERAGE(Ashed_controlls!$K$12:$K$14)</f>
        <v>2.2816647271287041</v>
      </c>
      <c r="Q307" s="195">
        <f t="shared" si="42"/>
        <v>1.9653111590079877</v>
      </c>
      <c r="R307" s="16">
        <f>IF('WetLitterbags placem_collection'!G14="N.A","",'WetLitterbags placem_collection'!G14)</f>
        <v>0</v>
      </c>
      <c r="S307" s="195" t="str">
        <f>IF(IFERROR(INDEX('Both teabags AfterWet'!$C$3:$C$841,MATCH(H307,'Both teabags AfterWet'!$A$3:$A$841,0)),"")="N.A","",(IFERROR(INDEX('Both teabags AfterWet'!$C$3:$C$841,MATCH(H307,'Both teabags AfterWet'!$A$3:$A$841,0)),"")))</f>
        <v/>
      </c>
      <c r="T307" s="195" t="str">
        <f>IFERROR(INDEX('Both teabags AfterWet'!$C$3:$C$841,MATCH(I307,'Both teabags AfterWet'!$A$3:$A$841,0)),"")</f>
        <v/>
      </c>
      <c r="U307" s="195" t="str">
        <f t="shared" si="43"/>
        <v/>
      </c>
      <c r="V307" s="195" t="str">
        <f t="shared" si="43"/>
        <v/>
      </c>
      <c r="W307" s="195" t="str">
        <f>IFERROR(INDEX('Ashed teabags wet'!$K$2:$K$821,MATCH(H307,'Ashed teabags wet'!$A$2:$A$821,0)),"")</f>
        <v/>
      </c>
      <c r="X307" s="195" t="str">
        <f>IFERROR(INDEX('Ashed teabags wet'!$K$2:$K$821,MATCH(I307,'Ashed teabags wet'!$A$2:$A$821,0)),"")</f>
        <v/>
      </c>
      <c r="Y307" s="195" t="str">
        <f t="shared" si="37"/>
        <v/>
      </c>
      <c r="Z307" s="195" t="str">
        <f t="shared" si="37"/>
        <v/>
      </c>
      <c r="AA307" s="195" t="str">
        <f t="shared" si="44"/>
        <v/>
      </c>
      <c r="AB307" s="195" t="str">
        <f t="shared" si="45"/>
        <v/>
      </c>
      <c r="AC307" s="195" t="str">
        <f t="shared" si="38"/>
        <v/>
      </c>
      <c r="AD307" t="str">
        <f t="shared" si="39"/>
        <v/>
      </c>
      <c r="AE307" s="195" t="str">
        <f t="shared" si="46"/>
        <v/>
      </c>
      <c r="AF307" s="195" t="str">
        <f t="shared" si="47"/>
        <v/>
      </c>
      <c r="AG307" s="255" t="str">
        <f>IF(ISNUMBER(SEARCH("C",'WetLitterbags placem_collection'!AD234)),"YES","NO")</f>
        <v>NO</v>
      </c>
      <c r="AH307" s="255" t="str">
        <f>IF(ISNUMBER(SEARCH("H", 'WetLitterbags placem_collection'!AF14)),"YES","NO")</f>
        <v>NO</v>
      </c>
      <c r="AI307" s="255" t="str">
        <f>IF(ISNUMBER(SEARCH("R", 'WetLitterbags placem_collection'!XF14)),"YES","NO")</f>
        <v>NO</v>
      </c>
      <c r="AJ307" s="255" t="str">
        <f>IF(ISNUMBER(SEARCH("C", 'WetLitterbags placem_collection'!WE14)),"YES","NO")</f>
        <v>NO</v>
      </c>
      <c r="AK307" s="255" t="str">
        <f>IF(ISNUMBER(SEARCH("H", 'WetLitterbags placem_collection'!AE14)),"YES","NO")</f>
        <v>NO</v>
      </c>
      <c r="AL307" s="255" t="str">
        <f>IF(ISNUMBER(SEARCH("R", 'WetLitterbags placem_collection'!AE14)),"YES","NO")</f>
        <v>NO</v>
      </c>
    </row>
    <row r="308" spans="2:38">
      <c r="B308" t="str">
        <f>'Final data_for_R_analysis_Wetse'!A454</f>
        <v>Wet</v>
      </c>
      <c r="C308" s="263">
        <f>'Final data_for_R_analysis_Wetse'!B454</f>
        <v>13</v>
      </c>
      <c r="D308" t="s">
        <v>3828</v>
      </c>
      <c r="E308" t="s">
        <v>25</v>
      </c>
      <c r="F308" s="387">
        <v>5</v>
      </c>
      <c r="G308" s="16">
        <f>'WetLitterbags placem_collection'!E15</f>
        <v>42766</v>
      </c>
      <c r="H308" s="92" t="str">
        <f>'Final data_for_R_analysis_Wetse'!J454</f>
        <v>G241</v>
      </c>
      <c r="I308" t="str">
        <f>'Final data_for_R_analysis_Wetse'!J674</f>
        <v>R3</v>
      </c>
      <c r="J308">
        <f>IFERROR(INDEX('Green_rooibos initial weight'!$C$5:$C$1749,MATCH(H308, 'Green_rooibos initial weight'!$A$5:$A$1749,0)),"")</f>
        <v>2.0179999999999998</v>
      </c>
      <c r="K308">
        <f>IFERROR(INDEX('Green_rooibos initial weight'!$C$5:$C$1749,MATCH(I308, 'Green_rooibos initial weight'!$A$5:$A$1749,0)),"")</f>
        <v>2.242</v>
      </c>
      <c r="L308" s="195">
        <f t="shared" si="40"/>
        <v>1.7681999999999998</v>
      </c>
      <c r="M308" s="195">
        <f>AVERAGE(Ashed_controlls!$K$2:$K$11)</f>
        <v>5.5147656768714146</v>
      </c>
      <c r="N308" s="195">
        <f t="shared" si="36"/>
        <v>1.6706879133015595</v>
      </c>
      <c r="O308" s="195">
        <f t="shared" si="41"/>
        <v>1.9922</v>
      </c>
      <c r="P308" s="195">
        <f>AVERAGE(Ashed_controlls!$K$12:$K$14)</f>
        <v>2.2816647271287041</v>
      </c>
      <c r="Q308" s="195">
        <f t="shared" si="42"/>
        <v>1.9467446753061419</v>
      </c>
      <c r="R308" s="16">
        <f>IF('WetLitterbags placem_collection'!G15="N.A","",'WetLitterbags placem_collection'!G15)</f>
        <v>42818</v>
      </c>
      <c r="S308" s="195">
        <f>IF(IFERROR(INDEX('Both teabags AfterWet'!$C$3:$C$841,MATCH(H308,'Both teabags AfterWet'!$A$3:$A$841,0)),"")="N.A","",(IFERROR(INDEX('Both teabags AfterWet'!$C$3:$C$841,MATCH(H308,'Both teabags AfterWet'!$A$3:$A$841,0)),"")))</f>
        <v>0.52059999999999995</v>
      </c>
      <c r="T308" s="195">
        <f>IFERROR(INDEX('Both teabags AfterWet'!$C$3:$C$841,MATCH(I308,'Both teabags AfterWet'!$A$3:$A$841,0)),"")</f>
        <v>1.4899</v>
      </c>
      <c r="U308" s="195">
        <f t="shared" si="43"/>
        <v>0.36999999999999994</v>
      </c>
      <c r="V308" s="195">
        <f t="shared" si="43"/>
        <v>1.3392999999999999</v>
      </c>
      <c r="W308" s="195">
        <f>IFERROR(INDEX('Ashed teabags wet'!$K$2:$K$821,MATCH(H308,'Ashed teabags wet'!$A$2:$A$821,0)),"")</f>
        <v>17.872968980798372</v>
      </c>
      <c r="X308" s="195">
        <f>IFERROR(INDEX('Ashed teabags wet'!$K$2:$K$821,MATCH(I308,'Ashed teabags wet'!$A$2:$A$821,0)),"")</f>
        <v>3.0078895463511506</v>
      </c>
      <c r="Y308" s="195">
        <f t="shared" si="37"/>
        <v>0.30387001477104597</v>
      </c>
      <c r="Z308" s="195">
        <f t="shared" si="37"/>
        <v>1.299015335305719</v>
      </c>
      <c r="AA308" s="195">
        <f t="shared" si="44"/>
        <v>0.81811682939002783</v>
      </c>
      <c r="AB308" s="195">
        <f t="shared" si="45"/>
        <v>0.5363426244932249</v>
      </c>
      <c r="AC308" s="195">
        <f t="shared" si="38"/>
        <v>0.66727565858190308</v>
      </c>
      <c r="AD308">
        <f t="shared" si="39"/>
        <v>52</v>
      </c>
      <c r="AE308" s="195">
        <f t="shared" si="46"/>
        <v>2.8364810700679532E-2</v>
      </c>
      <c r="AF308" s="195">
        <f t="shared" si="47"/>
        <v>1.8625501961846393E-2</v>
      </c>
      <c r="AG308" s="255" t="str">
        <f>IF(ISNUMBER(SEARCH("C",'WetLitterbags placem_collection'!AD235)),"YES","NO")</f>
        <v>NO</v>
      </c>
      <c r="AH308" s="255" t="str">
        <f>IF(ISNUMBER(SEARCH("H", 'WetLitterbags placem_collection'!AF15)),"YES","NO")</f>
        <v>NO</v>
      </c>
      <c r="AI308" s="255" t="str">
        <f>IF(ISNUMBER(SEARCH("R", 'WetLitterbags placem_collection'!XF15)),"YES","NO")</f>
        <v>NO</v>
      </c>
      <c r="AJ308" s="255" t="str">
        <f>IF(ISNUMBER(SEARCH("C", 'WetLitterbags placem_collection'!WE15)),"YES","NO")</f>
        <v>NO</v>
      </c>
      <c r="AK308" s="255" t="str">
        <f>IF(ISNUMBER(SEARCH("H", 'WetLitterbags placem_collection'!AE15)),"YES","NO")</f>
        <v>NO</v>
      </c>
      <c r="AL308" s="255" t="str">
        <f>IF(ISNUMBER(SEARCH("R", 'WetLitterbags placem_collection'!AE15)),"YES","NO")</f>
        <v>NO</v>
      </c>
    </row>
    <row r="309" spans="2:38">
      <c r="B309" t="str">
        <f>'Final data_for_R_analysis_Wetse'!A455</f>
        <v>Wet</v>
      </c>
      <c r="C309" s="263">
        <f>'Final data_for_R_analysis_Wetse'!B455</f>
        <v>14</v>
      </c>
      <c r="D309" t="s">
        <v>3828</v>
      </c>
      <c r="E309" t="s">
        <v>25</v>
      </c>
      <c r="F309" s="387">
        <v>6</v>
      </c>
      <c r="G309" s="16">
        <f>'WetLitterbags placem_collection'!E16</f>
        <v>42766</v>
      </c>
      <c r="H309" s="92" t="str">
        <f>'Final data_for_R_analysis_Wetse'!J455</f>
        <v>G503</v>
      </c>
      <c r="I309" t="str">
        <f>'Final data_for_R_analysis_Wetse'!J675</f>
        <v>R282</v>
      </c>
      <c r="J309">
        <f>IFERROR(INDEX('Green_rooibos initial weight'!$C$5:$C$1749,MATCH(H309, 'Green_rooibos initial weight'!$A$5:$A$1749,0)),"")</f>
        <v>1.9810000000000001</v>
      </c>
      <c r="K309">
        <f>IFERROR(INDEX('Green_rooibos initial weight'!$C$5:$C$1749,MATCH(I309, 'Green_rooibos initial weight'!$A$5:$A$1749,0)),"")</f>
        <v>2.1829999999999998</v>
      </c>
      <c r="L309" s="195">
        <f t="shared" si="40"/>
        <v>1.7312000000000001</v>
      </c>
      <c r="M309" s="195">
        <f>AVERAGE(Ashed_controlls!$K$2:$K$11)</f>
        <v>5.5147656768714146</v>
      </c>
      <c r="N309" s="195">
        <f t="shared" si="36"/>
        <v>1.6357283766020021</v>
      </c>
      <c r="O309" s="195">
        <f t="shared" si="41"/>
        <v>1.9331999999999998</v>
      </c>
      <c r="P309" s="195">
        <f>AVERAGE(Ashed_controlls!$K$12:$K$14)</f>
        <v>2.2816647271287041</v>
      </c>
      <c r="Q309" s="195">
        <f t="shared" si="42"/>
        <v>1.8890908574951477</v>
      </c>
      <c r="R309" s="16">
        <f>IF('WetLitterbags placem_collection'!G16="N.A","",'WetLitterbags placem_collection'!G16)</f>
        <v>42818</v>
      </c>
      <c r="S309" s="195">
        <f>IF(IFERROR(INDEX('Both teabags AfterWet'!$C$3:$C$841,MATCH(H309,'Both teabags AfterWet'!$A$3:$A$841,0)),"")="N.A","",(IFERROR(INDEX('Both teabags AfterWet'!$C$3:$C$841,MATCH(H309,'Both teabags AfterWet'!$A$3:$A$841,0)),"")))</f>
        <v>0.501</v>
      </c>
      <c r="T309" s="195">
        <f>IFERROR(INDEX('Both teabags AfterWet'!$C$3:$C$841,MATCH(I309,'Both teabags AfterWet'!$A$3:$A$841,0)),"")</f>
        <v>1.5669999999999999</v>
      </c>
      <c r="U309" s="195">
        <f t="shared" si="43"/>
        <v>0.35039999999999999</v>
      </c>
      <c r="V309" s="195">
        <f t="shared" si="43"/>
        <v>1.4163999999999999</v>
      </c>
      <c r="W309" s="195">
        <f>IFERROR(INDEX('Ashed teabags wet'!$K$2:$K$821,MATCH(H309,'Ashed teabags wet'!$A$2:$A$821,0)),"")</f>
        <v>12.970297029702667</v>
      </c>
      <c r="X309" s="195">
        <f>IFERROR(INDEX('Ashed teabags wet'!$K$2:$K$821,MATCH(I309,'Ashed teabags wet'!$A$2:$A$821,0)),"")</f>
        <v>2.903543307086486</v>
      </c>
      <c r="Y309" s="195">
        <f t="shared" si="37"/>
        <v>0.30495207920792183</v>
      </c>
      <c r="Z309" s="195">
        <f t="shared" si="37"/>
        <v>1.375274212598427</v>
      </c>
      <c r="AA309" s="195">
        <f t="shared" si="44"/>
        <v>0.81356802047940424</v>
      </c>
      <c r="AB309" s="195">
        <f t="shared" si="45"/>
        <v>0.53336050748768549</v>
      </c>
      <c r="AC309" s="195">
        <f t="shared" si="38"/>
        <v>0.72800850585978738</v>
      </c>
      <c r="AD309">
        <f t="shared" si="39"/>
        <v>52</v>
      </c>
      <c r="AE309" s="195">
        <f t="shared" si="46"/>
        <v>3.3767196580279935E-2</v>
      </c>
      <c r="AF309" s="195">
        <f t="shared" si="47"/>
        <v>1.3716621476384659E-2</v>
      </c>
      <c r="AG309" s="255" t="str">
        <f>IF(ISNUMBER(SEARCH("C",'WetLitterbags placem_collection'!AD236)),"YES","NO")</f>
        <v>NO</v>
      </c>
      <c r="AH309" s="255" t="str">
        <f>IF(ISNUMBER(SEARCH("H", 'WetLitterbags placem_collection'!AF16)),"YES","NO")</f>
        <v>NO</v>
      </c>
      <c r="AI309" s="255" t="str">
        <f>IF(ISNUMBER(SEARCH("R", 'WetLitterbags placem_collection'!XF16)),"YES","NO")</f>
        <v>NO</v>
      </c>
      <c r="AJ309" s="255" t="str">
        <f>IF(ISNUMBER(SEARCH("C", 'WetLitterbags placem_collection'!WE16)),"YES","NO")</f>
        <v>NO</v>
      </c>
      <c r="AK309" s="255" t="str">
        <f>IF(ISNUMBER(SEARCH("H", 'WetLitterbags placem_collection'!AE16)),"YES","NO")</f>
        <v>NO</v>
      </c>
      <c r="AL309" s="255" t="str">
        <f>IF(ISNUMBER(SEARCH("R", 'WetLitterbags placem_collection'!AE16)),"YES","NO")</f>
        <v>NO</v>
      </c>
    </row>
    <row r="310" spans="2:38">
      <c r="B310" t="str">
        <f>'Final data_for_R_analysis_Wetse'!A456</f>
        <v>Wet</v>
      </c>
      <c r="C310" s="263">
        <f>'Final data_for_R_analysis_Wetse'!B456</f>
        <v>15</v>
      </c>
      <c r="D310" t="s">
        <v>3828</v>
      </c>
      <c r="E310" t="s">
        <v>25</v>
      </c>
      <c r="F310" s="387">
        <v>7</v>
      </c>
      <c r="G310" s="16">
        <f>'WetLitterbags placem_collection'!E17</f>
        <v>42766</v>
      </c>
      <c r="H310" s="92" t="str">
        <f>'Final data_for_R_analysis_Wetse'!J456</f>
        <v>G685</v>
      </c>
      <c r="I310" t="str">
        <f>'Final data_for_R_analysis_Wetse'!J676</f>
        <v>R99</v>
      </c>
      <c r="J310">
        <f>IFERROR(INDEX('Green_rooibos initial weight'!$C$5:$C$1749,MATCH(H310, 'Green_rooibos initial weight'!$A$5:$A$1749,0)),"")</f>
        <v>1.9810000000000001</v>
      </c>
      <c r="K310">
        <f>IFERROR(INDEX('Green_rooibos initial weight'!$C$5:$C$1749,MATCH(I310, 'Green_rooibos initial weight'!$A$5:$A$1749,0)),"")</f>
        <v>2.1920000000000002</v>
      </c>
      <c r="L310" s="195">
        <f t="shared" si="40"/>
        <v>1.7312000000000001</v>
      </c>
      <c r="M310" s="195">
        <f>AVERAGE(Ashed_controlls!$K$2:$K$11)</f>
        <v>5.5147656768714146</v>
      </c>
      <c r="N310" s="195">
        <f t="shared" si="36"/>
        <v>1.6357283766020021</v>
      </c>
      <c r="O310" s="195">
        <f t="shared" si="41"/>
        <v>1.9422000000000001</v>
      </c>
      <c r="P310" s="195">
        <f>AVERAGE(Ashed_controlls!$K$12:$K$14)</f>
        <v>2.2816647271287041</v>
      </c>
      <c r="Q310" s="195">
        <f t="shared" si="42"/>
        <v>1.8978855076697065</v>
      </c>
      <c r="R310" s="16">
        <f>IF('WetLitterbags placem_collection'!G17="N.A","",'WetLitterbags placem_collection'!G17)</f>
        <v>42818</v>
      </c>
      <c r="S310" s="195">
        <f>IF(IFERROR(INDEX('Both teabags AfterWet'!$C$3:$C$841,MATCH(H310,'Both teabags AfterWet'!$A$3:$A$841,0)),"")="N.A","",(IFERROR(INDEX('Both teabags AfterWet'!$C$3:$C$841,MATCH(H310,'Both teabags AfterWet'!$A$3:$A$841,0)),"")))</f>
        <v>0.72199999999999998</v>
      </c>
      <c r="T310" s="195">
        <f>IFERROR(INDEX('Both teabags AfterWet'!$C$3:$C$841,MATCH(I310,'Both teabags AfterWet'!$A$3:$A$841,0)),"")</f>
        <v>1.355</v>
      </c>
      <c r="U310" s="195">
        <f t="shared" si="43"/>
        <v>0.57139999999999991</v>
      </c>
      <c r="V310" s="195">
        <f t="shared" si="43"/>
        <v>1.2043999999999999</v>
      </c>
      <c r="W310" s="195">
        <f>IFERROR(INDEX('Ashed teabags wet'!$K$2:$K$821,MATCH(H310,'Ashed teabags wet'!$A$2:$A$821,0)),"")</f>
        <v>22.716049382715465</v>
      </c>
      <c r="X310" s="195">
        <f>IFERROR(INDEX('Ashed teabags wet'!$K$2:$K$821,MATCH(I310,'Ashed teabags wet'!$A$2:$A$821,0)),"")</f>
        <v>7.6999503229018247</v>
      </c>
      <c r="Y310" s="195">
        <f t="shared" si="37"/>
        <v>0.44160049382716376</v>
      </c>
      <c r="Z310" s="195">
        <f t="shared" si="37"/>
        <v>1.1116617983109705</v>
      </c>
      <c r="AA310" s="195">
        <f t="shared" si="44"/>
        <v>0.73002822464660833</v>
      </c>
      <c r="AB310" s="195">
        <f t="shared" si="45"/>
        <v>0.47859332542152949</v>
      </c>
      <c r="AC310" s="195">
        <f t="shared" si="38"/>
        <v>0.58573701828616076</v>
      </c>
      <c r="AD310">
        <f t="shared" si="39"/>
        <v>52</v>
      </c>
      <c r="AE310" s="195">
        <f t="shared" si="46"/>
        <v>0.13298310612041764</v>
      </c>
      <c r="AF310" s="195">
        <f t="shared" si="47"/>
        <v>3.8592688481484339E-2</v>
      </c>
      <c r="AG310" s="255" t="str">
        <f>IF(ISNUMBER(SEARCH("C",'WetLitterbags placem_collection'!AD237)),"YES","NO")</f>
        <v>NO</v>
      </c>
      <c r="AH310" s="255" t="str">
        <f>IF(ISNUMBER(SEARCH("H", 'WetLitterbags placem_collection'!AF17)),"YES","NO")</f>
        <v>NO</v>
      </c>
      <c r="AI310" s="255" t="str">
        <f>IF(ISNUMBER(SEARCH("R", 'WetLitterbags placem_collection'!XF17)),"YES","NO")</f>
        <v>NO</v>
      </c>
      <c r="AJ310" s="255" t="str">
        <f>IF(ISNUMBER(SEARCH("C", 'WetLitterbags placem_collection'!WE17)),"YES","NO")</f>
        <v>NO</v>
      </c>
      <c r="AK310" s="255" t="str">
        <f>IF(ISNUMBER(SEARCH("H", 'WetLitterbags placem_collection'!AE17)),"YES","NO")</f>
        <v>NO</v>
      </c>
      <c r="AL310" s="255" t="str">
        <f>IF(ISNUMBER(SEARCH("R", 'WetLitterbags placem_collection'!AE17)),"YES","NO")</f>
        <v>NO</v>
      </c>
    </row>
    <row r="311" spans="2:38">
      <c r="B311" t="str">
        <f>'Final data_for_R_analysis_Wetse'!A457</f>
        <v>Wet</v>
      </c>
      <c r="C311" s="263">
        <f>'Final data_for_R_analysis_Wetse'!B457</f>
        <v>16</v>
      </c>
      <c r="D311" t="s">
        <v>3828</v>
      </c>
      <c r="E311" t="s">
        <v>25</v>
      </c>
      <c r="F311" s="387">
        <v>8</v>
      </c>
      <c r="G311" s="16">
        <f>'WetLitterbags placem_collection'!E18</f>
        <v>42766</v>
      </c>
      <c r="H311" s="92" t="str">
        <f>'Final data_for_R_analysis_Wetse'!J457</f>
        <v>G644</v>
      </c>
      <c r="I311" t="str">
        <f>'Final data_for_R_analysis_Wetse'!J677</f>
        <v>R154</v>
      </c>
      <c r="J311">
        <f>IFERROR(INDEX('Green_rooibos initial weight'!$C$5:$C$1749,MATCH(H311, 'Green_rooibos initial weight'!$A$5:$A$1749,0)),"")</f>
        <v>2.157</v>
      </c>
      <c r="K311">
        <f>IFERROR(INDEX('Green_rooibos initial weight'!$C$5:$C$1749,MATCH(I311, 'Green_rooibos initial weight'!$A$5:$A$1749,0)),"")</f>
        <v>2.2010000000000001</v>
      </c>
      <c r="L311" s="195">
        <f t="shared" si="40"/>
        <v>1.9072</v>
      </c>
      <c r="M311" s="195">
        <f>AVERAGE(Ashed_controlls!$K$2:$K$11)</f>
        <v>5.5147656768714146</v>
      </c>
      <c r="N311" s="195">
        <f t="shared" si="36"/>
        <v>1.8020223890107083</v>
      </c>
      <c r="O311" s="195">
        <f t="shared" si="41"/>
        <v>1.9512</v>
      </c>
      <c r="P311" s="195">
        <f>AVERAGE(Ashed_controlls!$K$12:$K$14)</f>
        <v>2.2816647271287041</v>
      </c>
      <c r="Q311" s="195">
        <f t="shared" si="42"/>
        <v>1.9066801578442647</v>
      </c>
      <c r="R311" s="16">
        <f>IF('WetLitterbags placem_collection'!G18="N.A","",'WetLitterbags placem_collection'!G18)</f>
        <v>42818</v>
      </c>
      <c r="S311" s="195">
        <f>IF(IFERROR(INDEX('Both teabags AfterWet'!$C$3:$C$841,MATCH(H311,'Both teabags AfterWet'!$A$3:$A$841,0)),"")="N.A","",(IFERROR(INDEX('Both teabags AfterWet'!$C$3:$C$841,MATCH(H311,'Both teabags AfterWet'!$A$3:$A$841,0)),"")))</f>
        <v>0.65410000000000001</v>
      </c>
      <c r="T311" s="195">
        <f>IFERROR(INDEX('Both teabags AfterWet'!$C$3:$C$841,MATCH(I311,'Both teabags AfterWet'!$A$3:$A$841,0)),"")</f>
        <v>1.421</v>
      </c>
      <c r="U311" s="195">
        <f t="shared" si="43"/>
        <v>0.50350000000000006</v>
      </c>
      <c r="V311" s="195">
        <f t="shared" si="43"/>
        <v>1.2704</v>
      </c>
      <c r="W311" s="195">
        <f>IFERROR(INDEX('Ashed teabags wet'!$K$2:$K$821,MATCH(H311,'Ashed teabags wet'!$A$2:$A$821,0)),"")</f>
        <v>8.8551859099799302</v>
      </c>
      <c r="X311" s="195">
        <f>IFERROR(INDEX('Ashed teabags wet'!$K$2:$K$821,MATCH(I311,'Ashed teabags wet'!$A$2:$A$821,0)),"")</f>
        <v>4.0579710144928036</v>
      </c>
      <c r="Y311" s="195">
        <f t="shared" si="37"/>
        <v>0.45891413894325112</v>
      </c>
      <c r="Z311" s="195">
        <f t="shared" si="37"/>
        <v>1.2188475362318834</v>
      </c>
      <c r="AA311" s="195">
        <f t="shared" si="44"/>
        <v>0.74533383062172143</v>
      </c>
      <c r="AB311" s="195">
        <f t="shared" si="45"/>
        <v>0.48862740439808822</v>
      </c>
      <c r="AC311" s="195">
        <f t="shared" si="38"/>
        <v>0.63925117761226391</v>
      </c>
      <c r="AD311">
        <f t="shared" si="39"/>
        <v>52</v>
      </c>
      <c r="AE311" s="195">
        <f t="shared" si="46"/>
        <v>0.11480542681505768</v>
      </c>
      <c r="AF311" s="195">
        <f t="shared" si="47"/>
        <v>2.5779211714489728E-2</v>
      </c>
      <c r="AG311" s="255" t="str">
        <f>IF(ISNUMBER(SEARCH("C",'WetLitterbags placem_collection'!AD238)),"YES","NO")</f>
        <v>NO</v>
      </c>
      <c r="AH311" s="255" t="str">
        <f>IF(ISNUMBER(SEARCH("H", 'WetLitterbags placem_collection'!AF18)),"YES","NO")</f>
        <v>NO</v>
      </c>
      <c r="AI311" s="255" t="str">
        <f>IF(ISNUMBER(SEARCH("R", 'WetLitterbags placem_collection'!XF18)),"YES","NO")</f>
        <v>NO</v>
      </c>
      <c r="AJ311" s="255" t="str">
        <f>IF(ISNUMBER(SEARCH("C", 'WetLitterbags placem_collection'!WE18)),"YES","NO")</f>
        <v>NO</v>
      </c>
      <c r="AK311" s="255" t="str">
        <f>IF(ISNUMBER(SEARCH("H", 'WetLitterbags placem_collection'!AE18)),"YES","NO")</f>
        <v>NO</v>
      </c>
      <c r="AL311" s="255" t="str">
        <f>IF(ISNUMBER(SEARCH("R", 'WetLitterbags placem_collection'!AE18)),"YES","NO")</f>
        <v>NO</v>
      </c>
    </row>
    <row r="312" spans="2:38">
      <c r="B312" t="str">
        <f>'Final data_for_R_analysis_Wetse'!A458</f>
        <v>Wet</v>
      </c>
      <c r="C312" s="263">
        <f>'Final data_for_R_analysis_Wetse'!B458</f>
        <v>17</v>
      </c>
      <c r="D312" t="s">
        <v>3829</v>
      </c>
      <c r="E312" t="s">
        <v>25</v>
      </c>
      <c r="F312" s="386">
        <v>1</v>
      </c>
      <c r="G312" s="16">
        <f>'WetLitterbags placem_collection'!E19</f>
        <v>42767</v>
      </c>
      <c r="H312" s="92" t="str">
        <f>'Final data_for_R_analysis_Wetse'!J458</f>
        <v>G648</v>
      </c>
      <c r="I312" t="str">
        <f>'Final data_for_R_analysis_Wetse'!J678</f>
        <v>R380</v>
      </c>
      <c r="J312">
        <f>IFERROR(INDEX('Green_rooibos initial weight'!$C$5:$C$1749,MATCH(H312, 'Green_rooibos initial weight'!$A$5:$A$1749,0)),"")</f>
        <v>2.0249999999999999</v>
      </c>
      <c r="K312">
        <f>IFERROR(INDEX('Green_rooibos initial weight'!$C$5:$C$1749,MATCH(I312, 'Green_rooibos initial weight'!$A$5:$A$1749,0)),"")</f>
        <v>2.2799999999999998</v>
      </c>
      <c r="L312" s="195">
        <f t="shared" si="40"/>
        <v>1.7751999999999999</v>
      </c>
      <c r="M312" s="195">
        <f>AVERAGE(Ashed_controlls!$K$2:$K$11)</f>
        <v>5.5147656768714146</v>
      </c>
      <c r="N312" s="195">
        <f t="shared" si="36"/>
        <v>1.6773018797041785</v>
      </c>
      <c r="O312" s="195">
        <f t="shared" si="41"/>
        <v>2.0301999999999998</v>
      </c>
      <c r="P312" s="195">
        <f>AVERAGE(Ashed_controlls!$K$12:$K$14)</f>
        <v>2.2816647271287041</v>
      </c>
      <c r="Q312" s="195">
        <f t="shared" si="42"/>
        <v>1.9838776427098328</v>
      </c>
      <c r="R312" s="16">
        <f>IF('WetLitterbags placem_collection'!G19="N.A","",'WetLitterbags placem_collection'!G19)</f>
        <v>42818</v>
      </c>
      <c r="S312" s="195">
        <f>IF(IFERROR(INDEX('Both teabags AfterWet'!$C$3:$C$841,MATCH(H312,'Both teabags AfterWet'!$A$3:$A$841,0)),"")="N.A","",(IFERROR(INDEX('Both teabags AfterWet'!$C$3:$C$841,MATCH(H312,'Both teabags AfterWet'!$A$3:$A$841,0)),"")))</f>
        <v>0.6905</v>
      </c>
      <c r="T312" s="195">
        <f>IFERROR(INDEX('Both teabags AfterWet'!$C$3:$C$841,MATCH(I312,'Both teabags AfterWet'!$A$3:$A$841,0)),"")</f>
        <v>1.6271</v>
      </c>
      <c r="U312" s="195">
        <f t="shared" si="43"/>
        <v>0.53990000000000005</v>
      </c>
      <c r="V312" s="195">
        <f t="shared" si="43"/>
        <v>1.4764999999999999</v>
      </c>
      <c r="W312" s="195">
        <f>IFERROR(INDEX('Ashed teabags wet'!$K$2:$K$821,MATCH(H312,'Ashed teabags wet'!$A$2:$A$821,0)),"")</f>
        <v>10.088582677165091</v>
      </c>
      <c r="X312" s="195">
        <f>IFERROR(INDEX('Ashed teabags wet'!$K$2:$K$821,MATCH(I312,'Ashed teabags wet'!$A$2:$A$821,0)),"")</f>
        <v>3.3600802407224508</v>
      </c>
      <c r="Y312" s="195">
        <f t="shared" si="37"/>
        <v>0.48543174212598572</v>
      </c>
      <c r="Z312" s="195">
        <f t="shared" si="37"/>
        <v>1.4268884152457328</v>
      </c>
      <c r="AA312" s="195">
        <f t="shared" si="44"/>
        <v>0.71058773140372322</v>
      </c>
      <c r="AB312" s="195">
        <f t="shared" si="45"/>
        <v>0.46584848899626519</v>
      </c>
      <c r="AC312" s="195">
        <f t="shared" si="38"/>
        <v>0.71924214705938561</v>
      </c>
      <c r="AD312">
        <f t="shared" si="39"/>
        <v>51</v>
      </c>
      <c r="AE312" s="195">
        <f t="shared" si="46"/>
        <v>0.15607157790531678</v>
      </c>
      <c r="AF312" s="195">
        <f t="shared" si="47"/>
        <v>1.809832981608336E-2</v>
      </c>
      <c r="AG312" s="255" t="str">
        <f>IF(ISNUMBER(SEARCH("C",'WetLitterbags placem_collection'!AD239)),"YES","NO")</f>
        <v>NO</v>
      </c>
      <c r="AH312" s="255" t="str">
        <f>IF(ISNUMBER(SEARCH("H", 'WetLitterbags placem_collection'!AF19)),"YES","NO")</f>
        <v>NO</v>
      </c>
      <c r="AI312" s="255" t="str">
        <f>IF(ISNUMBER(SEARCH("R", 'WetLitterbags placem_collection'!XF19)),"YES","NO")</f>
        <v>NO</v>
      </c>
      <c r="AJ312" s="255" t="str">
        <f>IF(ISNUMBER(SEARCH("C", 'WetLitterbags placem_collection'!WE19)),"YES","NO")</f>
        <v>NO</v>
      </c>
      <c r="AK312" s="255" t="str">
        <f>IF(ISNUMBER(SEARCH("H", 'WetLitterbags placem_collection'!AE19)),"YES","NO")</f>
        <v>NO</v>
      </c>
      <c r="AL312" s="255" t="str">
        <f>IF(ISNUMBER(SEARCH("R", 'WetLitterbags placem_collection'!AE19)),"YES","NO")</f>
        <v>NO</v>
      </c>
    </row>
    <row r="313" spans="2:38">
      <c r="B313" t="str">
        <f>'Final data_for_R_analysis_Wetse'!A459</f>
        <v>Wet</v>
      </c>
      <c r="C313" s="263">
        <f>'Final data_for_R_analysis_Wetse'!B459</f>
        <v>18</v>
      </c>
      <c r="D313" t="s">
        <v>3829</v>
      </c>
      <c r="E313" t="s">
        <v>25</v>
      </c>
      <c r="F313" s="386">
        <v>2</v>
      </c>
      <c r="G313" s="16">
        <f>'WetLitterbags placem_collection'!E20</f>
        <v>42767</v>
      </c>
      <c r="H313" s="92" t="str">
        <f>'Final data_for_R_analysis_Wetse'!J459</f>
        <v>G573</v>
      </c>
      <c r="I313" t="str">
        <f>'Final data_for_R_analysis_Wetse'!J679</f>
        <v>R274</v>
      </c>
      <c r="J313">
        <f>IFERROR(INDEX('Green_rooibos initial weight'!$C$5:$C$1749,MATCH(H313, 'Green_rooibos initial weight'!$A$5:$A$1749,0)),"")</f>
        <v>2.0019999999999998</v>
      </c>
      <c r="K313">
        <f>IFERROR(INDEX('Green_rooibos initial weight'!$C$5:$C$1749,MATCH(I313, 'Green_rooibos initial weight'!$A$5:$A$1749,0)),"")</f>
        <v>2.1880000000000002</v>
      </c>
      <c r="L313" s="195">
        <f t="shared" si="40"/>
        <v>1.7521999999999998</v>
      </c>
      <c r="M313" s="195">
        <f>AVERAGE(Ashed_controlls!$K$2:$K$11)</f>
        <v>5.5147656768714146</v>
      </c>
      <c r="N313" s="195">
        <f t="shared" si="36"/>
        <v>1.6555702758098589</v>
      </c>
      <c r="O313" s="195">
        <f t="shared" si="41"/>
        <v>1.9382000000000001</v>
      </c>
      <c r="P313" s="195">
        <f>AVERAGE(Ashed_controlls!$K$12:$K$14)</f>
        <v>2.2816647271287041</v>
      </c>
      <c r="Q313" s="195">
        <f t="shared" si="42"/>
        <v>1.8939767742587916</v>
      </c>
      <c r="R313" s="16">
        <f>IF('WetLitterbags placem_collection'!G20="N.A","",'WetLitterbags placem_collection'!G20)</f>
        <v>42818</v>
      </c>
      <c r="S313" s="195">
        <f>IF(IFERROR(INDEX('Both teabags AfterWet'!$C$3:$C$841,MATCH(H313,'Both teabags AfterWet'!$A$3:$A$841,0)),"")="N.A","",(IFERROR(INDEX('Both teabags AfterWet'!$C$3:$C$841,MATCH(H313,'Both teabags AfterWet'!$A$3:$A$841,0)),"")))</f>
        <v>0.72099999999999997</v>
      </c>
      <c r="T313" s="195">
        <f>IFERROR(INDEX('Both teabags AfterWet'!$C$3:$C$841,MATCH(I313,'Both teabags AfterWet'!$A$3:$A$841,0)),"")</f>
        <v>1.6060000000000001</v>
      </c>
      <c r="U313" s="195">
        <f t="shared" si="43"/>
        <v>0.57040000000000002</v>
      </c>
      <c r="V313" s="195">
        <f t="shared" si="43"/>
        <v>1.4554</v>
      </c>
      <c r="W313" s="195">
        <f>IFERROR(INDEX('Ashed teabags wet'!$K$2:$K$821,MATCH(H313,'Ashed teabags wet'!$A$2:$A$821,0)),"")</f>
        <v>14.100096246390503</v>
      </c>
      <c r="X313" s="195">
        <f>IFERROR(INDEX('Ashed teabags wet'!$K$2:$K$821,MATCH(I313,'Ashed teabags wet'!$A$2:$A$821,0)),"")</f>
        <v>4.6344959388436653</v>
      </c>
      <c r="Y313" s="195">
        <f t="shared" si="37"/>
        <v>0.48997305101058858</v>
      </c>
      <c r="Z313" s="195">
        <f t="shared" si="37"/>
        <v>1.3879495461060694</v>
      </c>
      <c r="AA313" s="195">
        <f t="shared" si="44"/>
        <v>0.70404575500674094</v>
      </c>
      <c r="AB313" s="195">
        <f t="shared" si="45"/>
        <v>0.4615596873678397</v>
      </c>
      <c r="AC313" s="195">
        <f t="shared" si="38"/>
        <v>0.73282289675872281</v>
      </c>
      <c r="AD313">
        <f t="shared" si="39"/>
        <v>51</v>
      </c>
      <c r="AE313" s="195">
        <f t="shared" si="46"/>
        <v>0.16384114607275424</v>
      </c>
      <c r="AF313" s="195">
        <f t="shared" si="47"/>
        <v>1.6956530956889822E-2</v>
      </c>
      <c r="AG313" s="255" t="str">
        <f>IF(ISNUMBER(SEARCH("C",'WetLitterbags placem_collection'!AD240)),"YES","NO")</f>
        <v>NO</v>
      </c>
      <c r="AH313" s="255" t="str">
        <f>IF(ISNUMBER(SEARCH("H", 'WetLitterbags placem_collection'!AF20)),"YES","NO")</f>
        <v>NO</v>
      </c>
      <c r="AI313" s="255" t="str">
        <f>IF(ISNUMBER(SEARCH("R", 'WetLitterbags placem_collection'!XF20)),"YES","NO")</f>
        <v>NO</v>
      </c>
      <c r="AJ313" s="255" t="str">
        <f>IF(ISNUMBER(SEARCH("C", 'WetLitterbags placem_collection'!WE20)),"YES","NO")</f>
        <v>NO</v>
      </c>
      <c r="AK313" s="255" t="str">
        <f>IF(ISNUMBER(SEARCH("H", 'WetLitterbags placem_collection'!AE20)),"YES","NO")</f>
        <v>NO</v>
      </c>
      <c r="AL313" s="255" t="str">
        <f>IF(ISNUMBER(SEARCH("R", 'WetLitterbags placem_collection'!AE20)),"YES","NO")</f>
        <v>NO</v>
      </c>
    </row>
    <row r="314" spans="2:38">
      <c r="B314" t="str">
        <f>'Final data_for_R_analysis_Wetse'!A460</f>
        <v>Wet</v>
      </c>
      <c r="C314" s="263">
        <f>'Final data_for_R_analysis_Wetse'!B460</f>
        <v>19</v>
      </c>
      <c r="D314" t="s">
        <v>3829</v>
      </c>
      <c r="E314" t="s">
        <v>25</v>
      </c>
      <c r="F314" s="386">
        <v>3</v>
      </c>
      <c r="G314" s="16">
        <f>'WetLitterbags placem_collection'!E21</f>
        <v>42767</v>
      </c>
      <c r="H314" s="92" t="str">
        <f>'Final data_for_R_analysis_Wetse'!J460</f>
        <v>G639</v>
      </c>
      <c r="I314" t="str">
        <f>'Final data_for_R_analysis_Wetse'!J680</f>
        <v>R566</v>
      </c>
      <c r="J314">
        <f>IFERROR(INDEX('Green_rooibos initial weight'!$C$5:$C$1749,MATCH(H314, 'Green_rooibos initial weight'!$A$5:$A$1749,0)),"")</f>
        <v>2.1909999999999998</v>
      </c>
      <c r="K314">
        <f>IFERROR(INDEX('Green_rooibos initial weight'!$C$5:$C$1749,MATCH(I314, 'Green_rooibos initial weight'!$A$5:$A$1749,0)),"")</f>
        <v>2.117</v>
      </c>
      <c r="L314" s="195">
        <f t="shared" si="40"/>
        <v>1.9411999999999998</v>
      </c>
      <c r="M314" s="195">
        <f>AVERAGE(Ashed_controlls!$K$2:$K$11)</f>
        <v>5.5147656768714146</v>
      </c>
      <c r="N314" s="195">
        <f t="shared" si="36"/>
        <v>1.834147368680572</v>
      </c>
      <c r="O314" s="195">
        <f t="shared" si="41"/>
        <v>1.8672</v>
      </c>
      <c r="P314" s="195">
        <f>AVERAGE(Ashed_controlls!$K$12:$K$14)</f>
        <v>2.2816647271287041</v>
      </c>
      <c r="Q314" s="195">
        <f t="shared" si="42"/>
        <v>1.8245967562150529</v>
      </c>
      <c r="R314" s="16">
        <f>IF('WetLitterbags placem_collection'!G21="N.A","",'WetLitterbags placem_collection'!G21)</f>
        <v>42818</v>
      </c>
      <c r="S314" s="195">
        <f>IF(IFERROR(INDEX('Both teabags AfterWet'!$C$3:$C$841,MATCH(H314,'Both teabags AfterWet'!$A$3:$A$841,0)),"")="N.A","",(IFERROR(INDEX('Both teabags AfterWet'!$C$3:$C$841,MATCH(H314,'Both teabags AfterWet'!$A$3:$A$841,0)),"")))</f>
        <v>0.89200000000000002</v>
      </c>
      <c r="T314" s="195">
        <f>IFERROR(INDEX('Both teabags AfterWet'!$C$3:$C$841,MATCH(I314,'Both teabags AfterWet'!$A$3:$A$841,0)),"")</f>
        <v>1.4496</v>
      </c>
      <c r="U314" s="195">
        <f t="shared" si="43"/>
        <v>0.74140000000000006</v>
      </c>
      <c r="V314" s="195">
        <f t="shared" si="43"/>
        <v>1.2989999999999999</v>
      </c>
      <c r="W314" s="195">
        <f>IFERROR(INDEX('Ashed teabags wet'!$K$2:$K$821,MATCH(H314,'Ashed teabags wet'!$A$2:$A$821,0)),"")</f>
        <v>16.616616616617133</v>
      </c>
      <c r="X314" s="195">
        <f>IFERROR(INDEX('Ashed teabags wet'!$K$2:$K$821,MATCH(I314,'Ashed teabags wet'!$A$2:$A$821,0)),"")</f>
        <v>8.439646712463917</v>
      </c>
      <c r="Y314" s="195">
        <f t="shared" si="37"/>
        <v>0.61820440440440061</v>
      </c>
      <c r="Z314" s="195">
        <f t="shared" si="37"/>
        <v>1.1893689892050936</v>
      </c>
      <c r="AA314" s="195">
        <f t="shared" si="44"/>
        <v>0.66294725551463318</v>
      </c>
      <c r="AB314" s="195">
        <f t="shared" si="45"/>
        <v>0.43461625302146983</v>
      </c>
      <c r="AC314" s="195">
        <f t="shared" si="38"/>
        <v>0.65185306570001966</v>
      </c>
      <c r="AD314">
        <f t="shared" si="39"/>
        <v>51</v>
      </c>
      <c r="AE314" s="195">
        <f t="shared" si="46"/>
        <v>0.21265171554081563</v>
      </c>
      <c r="AF314" s="195">
        <f t="shared" si="47"/>
        <v>3.1660270796525884E-2</v>
      </c>
      <c r="AG314" s="255" t="str">
        <f>IF(ISNUMBER(SEARCH("C",'WetLitterbags placem_collection'!AD241)),"YES","NO")</f>
        <v>NO</v>
      </c>
      <c r="AH314" s="255" t="str">
        <f>IF(ISNUMBER(SEARCH("H", 'WetLitterbags placem_collection'!AF21)),"YES","NO")</f>
        <v>NO</v>
      </c>
      <c r="AI314" s="255" t="str">
        <f>IF(ISNUMBER(SEARCH("R", 'WetLitterbags placem_collection'!XF21)),"YES","NO")</f>
        <v>NO</v>
      </c>
      <c r="AJ314" s="255" t="str">
        <f>IF(ISNUMBER(SEARCH("C", 'WetLitterbags placem_collection'!WE21)),"YES","NO")</f>
        <v>NO</v>
      </c>
      <c r="AK314" s="255" t="str">
        <f>IF(ISNUMBER(SEARCH("H", 'WetLitterbags placem_collection'!AE21)),"YES","NO")</f>
        <v>NO</v>
      </c>
      <c r="AL314" s="255" t="str">
        <f>IF(ISNUMBER(SEARCH("R", 'WetLitterbags placem_collection'!AE21)),"YES","NO")</f>
        <v>NO</v>
      </c>
    </row>
    <row r="315" spans="2:38">
      <c r="B315" t="str">
        <f>'Final data_for_R_analysis_Wetse'!A461</f>
        <v>Wet</v>
      </c>
      <c r="C315" s="263">
        <f>'Final data_for_R_analysis_Wetse'!B461</f>
        <v>20</v>
      </c>
      <c r="D315" t="s">
        <v>3829</v>
      </c>
      <c r="E315" t="s">
        <v>25</v>
      </c>
      <c r="F315" s="387">
        <v>4</v>
      </c>
      <c r="G315" s="16">
        <f>'WetLitterbags placem_collection'!E22</f>
        <v>42767</v>
      </c>
      <c r="H315" s="92" t="str">
        <f>'Final data_for_R_analysis_Wetse'!J461</f>
        <v>G505</v>
      </c>
      <c r="I315" t="str">
        <f>'Final data_for_R_analysis_Wetse'!J681</f>
        <v>R110</v>
      </c>
      <c r="J315">
        <f>IFERROR(INDEX('Green_rooibos initial weight'!$C$5:$C$1749,MATCH(H315, 'Green_rooibos initial weight'!$A$5:$A$1749,0)),"")</f>
        <v>2.0510000000000002</v>
      </c>
      <c r="K315">
        <f>IFERROR(INDEX('Green_rooibos initial weight'!$C$5:$C$1749,MATCH(I315, 'Green_rooibos initial weight'!$A$5:$A$1749,0)),"")</f>
        <v>2.2530000000000001</v>
      </c>
      <c r="L315" s="195">
        <f t="shared" si="40"/>
        <v>1.8012000000000001</v>
      </c>
      <c r="M315" s="195">
        <f>AVERAGE(Ashed_controlls!$K$2:$K$11)</f>
        <v>5.5147656768714146</v>
      </c>
      <c r="N315" s="195">
        <f t="shared" si="36"/>
        <v>1.7018680406281923</v>
      </c>
      <c r="O315" s="195">
        <f t="shared" si="41"/>
        <v>2.0032000000000001</v>
      </c>
      <c r="P315" s="195">
        <f>AVERAGE(Ashed_controlls!$K$12:$K$14)</f>
        <v>2.2816647271287041</v>
      </c>
      <c r="Q315" s="195">
        <f t="shared" si="42"/>
        <v>1.9574936921861579</v>
      </c>
      <c r="R315" s="16">
        <f>IF('WetLitterbags placem_collection'!G22="N.A","",'WetLitterbags placem_collection'!G22)</f>
        <v>42818</v>
      </c>
      <c r="S315" s="195">
        <f>IF(IFERROR(INDEX('Both teabags AfterWet'!$C$3:$C$841,MATCH(H315,'Both teabags AfterWet'!$A$3:$A$841,0)),"")="N.A","",(IFERROR(INDEX('Both teabags AfterWet'!$C$3:$C$841,MATCH(H315,'Both teabags AfterWet'!$A$3:$A$841,0)),"")))</f>
        <v>0.70330000000000004</v>
      </c>
      <c r="T315" s="195">
        <f>IFERROR(INDEX('Both teabags AfterWet'!$C$3:$C$841,MATCH(I315,'Both teabags AfterWet'!$A$3:$A$841,0)),"")</f>
        <v>1.6778999999999999</v>
      </c>
      <c r="U315" s="195">
        <f t="shared" si="43"/>
        <v>0.55269999999999997</v>
      </c>
      <c r="V315" s="195">
        <f t="shared" si="43"/>
        <v>1.5272999999999999</v>
      </c>
      <c r="W315" s="195">
        <f>IFERROR(INDEX('Ashed teabags wet'!$K$2:$K$821,MATCH(H315,'Ashed teabags wet'!$A$2:$A$821,0)),"")</f>
        <v>10.945273631841108</v>
      </c>
      <c r="X315" s="195">
        <f>IFERROR(INDEX('Ashed teabags wet'!$K$2:$K$821,MATCH(I315,'Ashed teabags wet'!$A$2:$A$821,0)),"")</f>
        <v>6.496631376323327</v>
      </c>
      <c r="Y315" s="195">
        <f t="shared" si="37"/>
        <v>0.49220547263681419</v>
      </c>
      <c r="Z315" s="195">
        <f t="shared" si="37"/>
        <v>1.4280769489894136</v>
      </c>
      <c r="AA315" s="195">
        <f t="shared" si="44"/>
        <v>0.7107851720071483</v>
      </c>
      <c r="AB315" s="195">
        <f t="shared" si="45"/>
        <v>0.4659779274916222</v>
      </c>
      <c r="AC315" s="195">
        <f t="shared" si="38"/>
        <v>0.72954357640586631</v>
      </c>
      <c r="AD315">
        <f t="shared" si="39"/>
        <v>51</v>
      </c>
      <c r="AE315" s="195">
        <f t="shared" si="46"/>
        <v>0.15583708787749606</v>
      </c>
      <c r="AF315" s="195">
        <f t="shared" si="47"/>
        <v>1.7028782340568632E-2</v>
      </c>
      <c r="AG315" s="255" t="str">
        <f>IF(ISNUMBER(SEARCH("C",'WetLitterbags placem_collection'!AD242)),"YES","NO")</f>
        <v>NO</v>
      </c>
      <c r="AH315" s="255" t="str">
        <f>IF(ISNUMBER(SEARCH("H", 'WetLitterbags placem_collection'!AF22)),"YES","NO")</f>
        <v>NO</v>
      </c>
      <c r="AI315" s="255" t="str">
        <f>IF(ISNUMBER(SEARCH("R", 'WetLitterbags placem_collection'!XF22)),"YES","NO")</f>
        <v>NO</v>
      </c>
      <c r="AJ315" s="255" t="str">
        <f>IF(ISNUMBER(SEARCH("C", 'WetLitterbags placem_collection'!WE22)),"YES","NO")</f>
        <v>NO</v>
      </c>
      <c r="AK315" s="255" t="str">
        <f>IF(ISNUMBER(SEARCH("H", 'WetLitterbags placem_collection'!AE22)),"YES","NO")</f>
        <v>NO</v>
      </c>
      <c r="AL315" s="255" t="str">
        <f>IF(ISNUMBER(SEARCH("R", 'WetLitterbags placem_collection'!AE22)),"YES","NO")</f>
        <v>NO</v>
      </c>
    </row>
    <row r="316" spans="2:38">
      <c r="B316" t="str">
        <f>'Final data_for_R_analysis_Wetse'!A462</f>
        <v>Wet</v>
      </c>
      <c r="C316" s="263">
        <f>'Final data_for_R_analysis_Wetse'!B462</f>
        <v>21</v>
      </c>
      <c r="D316" t="s">
        <v>3829</v>
      </c>
      <c r="E316" t="s">
        <v>25</v>
      </c>
      <c r="F316" s="387">
        <v>5</v>
      </c>
      <c r="G316" s="16">
        <f>'WetLitterbags placem_collection'!E23</f>
        <v>42767</v>
      </c>
      <c r="H316" s="92" t="str">
        <f>'Final data_for_R_analysis_Wetse'!J462</f>
        <v>G721</v>
      </c>
      <c r="I316" t="str">
        <f>'Final data_for_R_analysis_Wetse'!J682</f>
        <v>R79</v>
      </c>
      <c r="J316">
        <f>IFERROR(INDEX('Green_rooibos initial weight'!$C$5:$C$1749,MATCH(H316, 'Green_rooibos initial weight'!$A$5:$A$1749,0)),"")</f>
        <v>1.9910000000000001</v>
      </c>
      <c r="K316">
        <f>IFERROR(INDEX('Green_rooibos initial weight'!$C$5:$C$1749,MATCH(I316, 'Green_rooibos initial weight'!$A$5:$A$1749,0)),"")</f>
        <v>2.1890000000000001</v>
      </c>
      <c r="L316" s="195">
        <f t="shared" si="40"/>
        <v>1.7412000000000001</v>
      </c>
      <c r="M316" s="195">
        <f>AVERAGE(Ashed_controlls!$K$2:$K$11)</f>
        <v>5.5147656768714146</v>
      </c>
      <c r="N316" s="195">
        <f t="shared" si="36"/>
        <v>1.645176900034315</v>
      </c>
      <c r="O316" s="195">
        <f t="shared" si="41"/>
        <v>1.9392</v>
      </c>
      <c r="P316" s="195">
        <f>AVERAGE(Ashed_controlls!$K$12:$K$14)</f>
        <v>2.2816647271287041</v>
      </c>
      <c r="Q316" s="195">
        <f t="shared" si="42"/>
        <v>1.8949539576115202</v>
      </c>
      <c r="R316" s="16">
        <f>IF('WetLitterbags placem_collection'!G23="N.A","",'WetLitterbags placem_collection'!G23)</f>
        <v>42818</v>
      </c>
      <c r="S316" s="195">
        <f>IF(IFERROR(INDEX('Both teabags AfterWet'!$C$3:$C$841,MATCH(H316,'Both teabags AfterWet'!$A$3:$A$841,0)),"")="N.A","",(IFERROR(INDEX('Both teabags AfterWet'!$C$3:$C$841,MATCH(H316,'Both teabags AfterWet'!$A$3:$A$841,0)),"")))</f>
        <v>0.66739999999999999</v>
      </c>
      <c r="T316" s="195">
        <f>IFERROR(INDEX('Both teabags AfterWet'!$C$3:$C$841,MATCH(I316,'Both teabags AfterWet'!$A$3:$A$841,0)),"")</f>
        <v>1.4087000000000001</v>
      </c>
      <c r="U316" s="195">
        <f t="shared" si="43"/>
        <v>0.51679999999999993</v>
      </c>
      <c r="V316" s="195">
        <f t="shared" si="43"/>
        <v>1.2581</v>
      </c>
      <c r="W316" s="195">
        <f>IFERROR(INDEX('Ashed teabags wet'!$K$2:$K$821,MATCH(H316,'Ashed teabags wet'!$A$2:$A$821,0)),"")</f>
        <v>10.415623435152472</v>
      </c>
      <c r="X316" s="195">
        <f>IFERROR(INDEX('Ashed teabags wet'!$K$2:$K$821,MATCH(I316,'Ashed teabags wet'!$A$2:$A$821,0)),"")</f>
        <v>6.7426871591461754</v>
      </c>
      <c r="Y316" s="195">
        <f t="shared" si="37"/>
        <v>0.46297205808713193</v>
      </c>
      <c r="Z316" s="195">
        <f t="shared" si="37"/>
        <v>1.1732702528507819</v>
      </c>
      <c r="AA316" s="195">
        <f t="shared" si="44"/>
        <v>0.71858828185742496</v>
      </c>
      <c r="AB316" s="195">
        <f t="shared" si="45"/>
        <v>0.47109350544572287</v>
      </c>
      <c r="AC316" s="195">
        <f t="shared" si="38"/>
        <v>0.61915501858927546</v>
      </c>
      <c r="AD316">
        <f t="shared" si="39"/>
        <v>51</v>
      </c>
      <c r="AE316" s="195">
        <f t="shared" si="46"/>
        <v>0.14656973651137173</v>
      </c>
      <c r="AF316" s="195">
        <f t="shared" si="47"/>
        <v>3.2401752093704314E-2</v>
      </c>
      <c r="AG316" s="255" t="str">
        <f>IF(ISNUMBER(SEARCH("C",'WetLitterbags placem_collection'!AD243)),"YES","NO")</f>
        <v>NO</v>
      </c>
      <c r="AH316" s="255" t="str">
        <f>IF(ISNUMBER(SEARCH("H", 'WetLitterbags placem_collection'!AF23)),"YES","NO")</f>
        <v>NO</v>
      </c>
      <c r="AI316" s="255" t="str">
        <f>IF(ISNUMBER(SEARCH("R", 'WetLitterbags placem_collection'!XF23)),"YES","NO")</f>
        <v>NO</v>
      </c>
      <c r="AJ316" s="255" t="str">
        <f>IF(ISNUMBER(SEARCH("C", 'WetLitterbags placem_collection'!WE23)),"YES","NO")</f>
        <v>NO</v>
      </c>
      <c r="AK316" s="255" t="str">
        <f>IF(ISNUMBER(SEARCH("H", 'WetLitterbags placem_collection'!AE23)),"YES","NO")</f>
        <v>NO</v>
      </c>
      <c r="AL316" s="255" t="str">
        <f>IF(ISNUMBER(SEARCH("R", 'WetLitterbags placem_collection'!AE23)),"YES","NO")</f>
        <v>NO</v>
      </c>
    </row>
    <row r="317" spans="2:38">
      <c r="B317" t="str">
        <f>'Final data_for_R_analysis_Wetse'!A463</f>
        <v>Wet</v>
      </c>
      <c r="C317" s="263">
        <f>'Final data_for_R_analysis_Wetse'!B463</f>
        <v>22</v>
      </c>
      <c r="D317" t="s">
        <v>3829</v>
      </c>
      <c r="E317" t="s">
        <v>25</v>
      </c>
      <c r="F317" s="387">
        <v>6</v>
      </c>
      <c r="G317" s="16">
        <f>'WetLitterbags placem_collection'!E24</f>
        <v>42767</v>
      </c>
      <c r="H317" s="92" t="str">
        <f>'Final data_for_R_analysis_Wetse'!J463</f>
        <v>G552</v>
      </c>
      <c r="I317" t="str">
        <f>'Final data_for_R_analysis_Wetse'!J683</f>
        <v>R45</v>
      </c>
      <c r="J317">
        <f>IFERROR(INDEX('Green_rooibos initial weight'!$C$5:$C$1749,MATCH(H317, 'Green_rooibos initial weight'!$A$5:$A$1749,0)),"")</f>
        <v>2.1110000000000002</v>
      </c>
      <c r="K317">
        <f>IFERROR(INDEX('Green_rooibos initial weight'!$C$5:$C$1749,MATCH(I317, 'Green_rooibos initial weight'!$A$5:$A$1749,0)),"")</f>
        <v>2.1989999999999998</v>
      </c>
      <c r="L317" s="195">
        <f t="shared" si="40"/>
        <v>1.8612000000000002</v>
      </c>
      <c r="M317" s="195">
        <f>AVERAGE(Ashed_controlls!$K$2:$K$11)</f>
        <v>5.5147656768714146</v>
      </c>
      <c r="N317" s="195">
        <f t="shared" si="36"/>
        <v>1.7585591812220693</v>
      </c>
      <c r="O317" s="195">
        <f t="shared" si="41"/>
        <v>1.9491999999999998</v>
      </c>
      <c r="P317" s="195">
        <f>AVERAGE(Ashed_controlls!$K$12:$K$14)</f>
        <v>2.2816647271287041</v>
      </c>
      <c r="Q317" s="195">
        <f t="shared" si="42"/>
        <v>1.9047257911388071</v>
      </c>
      <c r="R317" s="16">
        <f>IF('WetLitterbags placem_collection'!G24="N.A","",'WetLitterbags placem_collection'!G24)</f>
        <v>42818</v>
      </c>
      <c r="S317" s="195">
        <f>IF(IFERROR(INDEX('Both teabags AfterWet'!$C$3:$C$841,MATCH(H317,'Both teabags AfterWet'!$A$3:$A$841,0)),"")="N.A","",(IFERROR(INDEX('Both teabags AfterWet'!$C$3:$C$841,MATCH(H317,'Both teabags AfterWet'!$A$3:$A$841,0)),"")))</f>
        <v>0.75929999999999997</v>
      </c>
      <c r="T317" s="195">
        <f>IFERROR(INDEX('Both teabags AfterWet'!$C$3:$C$841,MATCH(I317,'Both teabags AfterWet'!$A$3:$A$841,0)),"")</f>
        <v>1.4908999999999999</v>
      </c>
      <c r="U317" s="195">
        <f t="shared" si="43"/>
        <v>0.60870000000000002</v>
      </c>
      <c r="V317" s="195">
        <f t="shared" si="43"/>
        <v>1.3402999999999998</v>
      </c>
      <c r="W317" s="195">
        <f>IFERROR(INDEX('Ashed teabags wet'!$K$2:$K$821,MATCH(H317,'Ashed teabags wet'!$A$2:$A$821,0)),"")</f>
        <v>12.068965517241553</v>
      </c>
      <c r="X317" s="195">
        <f>IFERROR(INDEX('Ashed teabags wet'!$K$2:$K$821,MATCH(I317,'Ashed teabags wet'!$A$2:$A$821,0)),"")</f>
        <v>3.3797216699801611</v>
      </c>
      <c r="Y317" s="195">
        <f t="shared" si="37"/>
        <v>0.53523620689655071</v>
      </c>
      <c r="Z317" s="195">
        <f t="shared" si="37"/>
        <v>1.2950015904572558</v>
      </c>
      <c r="AA317" s="195">
        <f t="shared" si="44"/>
        <v>0.69563935486970596</v>
      </c>
      <c r="AB317" s="195">
        <f t="shared" si="45"/>
        <v>0.45604860319249135</v>
      </c>
      <c r="AC317" s="195">
        <f t="shared" si="38"/>
        <v>0.67988872544377832</v>
      </c>
      <c r="AD317">
        <f t="shared" si="39"/>
        <v>51</v>
      </c>
      <c r="AE317" s="195">
        <f t="shared" si="46"/>
        <v>0.17382499421650122</v>
      </c>
      <c r="AF317" s="195">
        <f t="shared" si="47"/>
        <v>2.373343978642151E-2</v>
      </c>
      <c r="AG317" s="255" t="str">
        <f>IF(ISNUMBER(SEARCH("C",'WetLitterbags placem_collection'!AD244)),"YES","NO")</f>
        <v>NO</v>
      </c>
      <c r="AH317" s="255" t="str">
        <f>IF(ISNUMBER(SEARCH("H", 'WetLitterbags placem_collection'!AF24)),"YES","NO")</f>
        <v>NO</v>
      </c>
      <c r="AI317" s="255" t="str">
        <f>IF(ISNUMBER(SEARCH("R", 'WetLitterbags placem_collection'!XF24)),"YES","NO")</f>
        <v>NO</v>
      </c>
      <c r="AJ317" s="255" t="str">
        <f>IF(ISNUMBER(SEARCH("C", 'WetLitterbags placem_collection'!WE24)),"YES","NO")</f>
        <v>NO</v>
      </c>
      <c r="AK317" s="255" t="str">
        <f>IF(ISNUMBER(SEARCH("H", 'WetLitterbags placem_collection'!AE24)),"YES","NO")</f>
        <v>NO</v>
      </c>
      <c r="AL317" s="255" t="str">
        <f>IF(ISNUMBER(SEARCH("R", 'WetLitterbags placem_collection'!AE24)),"YES","NO")</f>
        <v>NO</v>
      </c>
    </row>
    <row r="318" spans="2:38">
      <c r="B318" t="str">
        <f>'Final data_for_R_analysis_Wetse'!A464</f>
        <v>Wet</v>
      </c>
      <c r="C318" s="263">
        <f>'Final data_for_R_analysis_Wetse'!B464</f>
        <v>23</v>
      </c>
      <c r="D318" t="s">
        <v>3829</v>
      </c>
      <c r="E318" t="s">
        <v>25</v>
      </c>
      <c r="F318" s="387">
        <v>7</v>
      </c>
      <c r="G318" s="16">
        <f>'WetLitterbags placem_collection'!E25</f>
        <v>42767</v>
      </c>
      <c r="H318" s="92" t="str">
        <f>'Final data_for_R_analysis_Wetse'!J464</f>
        <v>G456</v>
      </c>
      <c r="I318" t="str">
        <f>'Final data_for_R_analysis_Wetse'!J684</f>
        <v>R132</v>
      </c>
      <c r="J318">
        <f>IFERROR(INDEX('Green_rooibos initial weight'!$C$5:$C$1749,MATCH(H318, 'Green_rooibos initial weight'!$A$5:$A$1749,0)),"")</f>
        <v>2.117</v>
      </c>
      <c r="K318">
        <f>IFERROR(INDEX('Green_rooibos initial weight'!$C$5:$C$1749,MATCH(I318, 'Green_rooibos initial weight'!$A$5:$A$1749,0)),"")</f>
        <v>2.133</v>
      </c>
      <c r="L318" s="195">
        <f t="shared" si="40"/>
        <v>1.8672</v>
      </c>
      <c r="M318" s="195">
        <f>AVERAGE(Ashed_controlls!$K$2:$K$11)</f>
        <v>5.5147656768714146</v>
      </c>
      <c r="N318" s="195">
        <f t="shared" si="36"/>
        <v>1.764228295281457</v>
      </c>
      <c r="O318" s="195">
        <f t="shared" si="41"/>
        <v>1.8832</v>
      </c>
      <c r="P318" s="195">
        <f>AVERAGE(Ashed_controlls!$K$12:$K$14)</f>
        <v>2.2816647271287041</v>
      </c>
      <c r="Q318" s="195">
        <f t="shared" si="42"/>
        <v>1.8402316898587123</v>
      </c>
      <c r="R318" s="16">
        <f>IF('WetLitterbags placem_collection'!G25="N.A","",'WetLitterbags placem_collection'!G25)</f>
        <v>42818</v>
      </c>
      <c r="S318" s="195">
        <f>IF(IFERROR(INDEX('Both teabags AfterWet'!$C$3:$C$841,MATCH(H318,'Both teabags AfterWet'!$A$3:$A$841,0)),"")="N.A","",(IFERROR(INDEX('Both teabags AfterWet'!$C$3:$C$841,MATCH(H318,'Both teabags AfterWet'!$A$3:$A$841,0)),"")))</f>
        <v>0.72629999999999995</v>
      </c>
      <c r="T318" s="195">
        <f>IFERROR(INDEX('Both teabags AfterWet'!$C$3:$C$841,MATCH(I318,'Both teabags AfterWet'!$A$3:$A$841,0)),"")</f>
        <v>1.5238</v>
      </c>
      <c r="U318" s="195">
        <f t="shared" si="43"/>
        <v>0.57569999999999988</v>
      </c>
      <c r="V318" s="195">
        <f t="shared" si="43"/>
        <v>1.3732</v>
      </c>
      <c r="W318" s="195">
        <f>IFERROR(INDEX('Ashed teabags wet'!$K$2:$K$821,MATCH(H318,'Ashed teabags wet'!$A$2:$A$821,0)),"")</f>
        <v>5.4787506400411408</v>
      </c>
      <c r="X318" s="195">
        <f>IFERROR(INDEX('Ashed teabags wet'!$K$2:$K$821,MATCH(I318,'Ashed teabags wet'!$A$2:$A$821,0)),"")</f>
        <v>1.7982017982017391</v>
      </c>
      <c r="Y318" s="195">
        <f t="shared" si="37"/>
        <v>0.54415883256528308</v>
      </c>
      <c r="Z318" s="195">
        <f t="shared" si="37"/>
        <v>1.3485070929070937</v>
      </c>
      <c r="AA318" s="195">
        <f t="shared" si="44"/>
        <v>0.69155985423163702</v>
      </c>
      <c r="AB318" s="195">
        <f t="shared" si="45"/>
        <v>0.45337415621836541</v>
      </c>
      <c r="AC318" s="195">
        <f t="shared" si="38"/>
        <v>0.7327920176239483</v>
      </c>
      <c r="AD318">
        <f t="shared" si="39"/>
        <v>51</v>
      </c>
      <c r="AE318" s="195">
        <f t="shared" si="46"/>
        <v>0.17867000685078738</v>
      </c>
      <c r="AF318" s="195">
        <f t="shared" si="47"/>
        <v>1.7452510860254254E-2</v>
      </c>
      <c r="AG318" s="255" t="str">
        <f>IF(ISNUMBER(SEARCH("C",'WetLitterbags placem_collection'!AD245)),"YES","NO")</f>
        <v>NO</v>
      </c>
      <c r="AH318" s="255" t="str">
        <f>IF(ISNUMBER(SEARCH("H", 'WetLitterbags placem_collection'!AF25)),"YES","NO")</f>
        <v>NO</v>
      </c>
      <c r="AI318" s="255" t="str">
        <f>IF(ISNUMBER(SEARCH("R", 'WetLitterbags placem_collection'!XF25)),"YES","NO")</f>
        <v>NO</v>
      </c>
      <c r="AJ318" s="255" t="str">
        <f>IF(ISNUMBER(SEARCH("C", 'WetLitterbags placem_collection'!WE25)),"YES","NO")</f>
        <v>NO</v>
      </c>
      <c r="AK318" s="255" t="str">
        <f>IF(ISNUMBER(SEARCH("H", 'WetLitterbags placem_collection'!AE25)),"YES","NO")</f>
        <v>NO</v>
      </c>
      <c r="AL318" s="255" t="str">
        <f>IF(ISNUMBER(SEARCH("R", 'WetLitterbags placem_collection'!AE25)),"YES","NO")</f>
        <v>NO</v>
      </c>
    </row>
    <row r="319" spans="2:38">
      <c r="B319" t="str">
        <f>'Final data_for_R_analysis_Wetse'!A465</f>
        <v>Wet</v>
      </c>
      <c r="C319" s="263">
        <f>'Final data_for_R_analysis_Wetse'!B465</f>
        <v>24</v>
      </c>
      <c r="D319" t="s">
        <v>3829</v>
      </c>
      <c r="E319" t="s">
        <v>25</v>
      </c>
      <c r="F319" s="387">
        <v>8</v>
      </c>
      <c r="G319" s="16">
        <f>'WetLitterbags placem_collection'!E26</f>
        <v>42767</v>
      </c>
      <c r="H319" s="92" t="str">
        <f>'Final data_for_R_analysis_Wetse'!J465</f>
        <v>G421</v>
      </c>
      <c r="I319" t="str">
        <f>'Final data_for_R_analysis_Wetse'!J685</f>
        <v>R71</v>
      </c>
      <c r="J319">
        <f>IFERROR(INDEX('Green_rooibos initial weight'!$C$5:$C$1749,MATCH(H319, 'Green_rooibos initial weight'!$A$5:$A$1749,0)),"")</f>
        <v>2.052</v>
      </c>
      <c r="K319">
        <f>IFERROR(INDEX('Green_rooibos initial weight'!$C$5:$C$1749,MATCH(I319, 'Green_rooibos initial weight'!$A$5:$A$1749,0)),"")</f>
        <v>2.2440000000000002</v>
      </c>
      <c r="L319" s="195">
        <f t="shared" si="40"/>
        <v>1.8022</v>
      </c>
      <c r="M319" s="195">
        <f>AVERAGE(Ashed_controlls!$K$2:$K$11)</f>
        <v>5.5147656768714146</v>
      </c>
      <c r="N319" s="195">
        <f t="shared" si="36"/>
        <v>1.7028128929714235</v>
      </c>
      <c r="O319" s="195">
        <f t="shared" si="41"/>
        <v>1.9942000000000002</v>
      </c>
      <c r="P319" s="195">
        <f>AVERAGE(Ashed_controlls!$K$12:$K$14)</f>
        <v>2.2816647271287041</v>
      </c>
      <c r="Q319" s="195">
        <f t="shared" si="42"/>
        <v>1.9486990420115995</v>
      </c>
      <c r="R319" s="16">
        <f>IF('WetLitterbags placem_collection'!G26="N.A","",'WetLitterbags placem_collection'!G26)</f>
        <v>42818</v>
      </c>
      <c r="S319" s="195">
        <f>IF(IFERROR(INDEX('Both teabags AfterWet'!$C$3:$C$841,MATCH(H319,'Both teabags AfterWet'!$A$3:$A$841,0)),"")="N.A","",(IFERROR(INDEX('Both teabags AfterWet'!$C$3:$C$841,MATCH(H319,'Both teabags AfterWet'!$A$3:$A$841,0)),"")))</f>
        <v>0.67</v>
      </c>
      <c r="T319" s="195">
        <f>IFERROR(INDEX('Both teabags AfterWet'!$C$3:$C$841,MATCH(I319,'Both teabags AfterWet'!$A$3:$A$841,0)),"")</f>
        <v>1.3083</v>
      </c>
      <c r="U319" s="195">
        <f t="shared" si="43"/>
        <v>0.51940000000000008</v>
      </c>
      <c r="V319" s="195">
        <f t="shared" si="43"/>
        <v>1.1577</v>
      </c>
      <c r="W319" s="195">
        <f>IFERROR(INDEX('Ashed teabags wet'!$K$2:$K$821,MATCH(H319,'Ashed teabags wet'!$A$2:$A$821,0)),"")</f>
        <v>10.957551826258362</v>
      </c>
      <c r="X319" s="195">
        <f>IFERROR(INDEX('Ashed teabags wet'!$K$2:$K$821,MATCH(I319,'Ashed teabags wet'!$A$2:$A$821,0)),"")</f>
        <v>5.6575682382137682</v>
      </c>
      <c r="Y319" s="195">
        <f t="shared" si="37"/>
        <v>0.46248647581441416</v>
      </c>
      <c r="Z319" s="195">
        <f t="shared" si="37"/>
        <v>1.0922023325061991</v>
      </c>
      <c r="AA319" s="195">
        <f t="shared" si="44"/>
        <v>0.72839853531566168</v>
      </c>
      <c r="AB319" s="195">
        <f t="shared" si="45"/>
        <v>0.47752493051573075</v>
      </c>
      <c r="AC319" s="195">
        <f t="shared" si="38"/>
        <v>0.56047768740048365</v>
      </c>
      <c r="AD319">
        <f t="shared" si="39"/>
        <v>51</v>
      </c>
      <c r="AE319" s="195">
        <f t="shared" si="46"/>
        <v>0.13491860413816903</v>
      </c>
      <c r="AF319" s="195">
        <f t="shared" si="47"/>
        <v>4.9626692532875494E-2</v>
      </c>
      <c r="AG319" s="255" t="str">
        <f>IF(ISNUMBER(SEARCH("C",'WetLitterbags placem_collection'!AD246)),"YES","NO")</f>
        <v>NO</v>
      </c>
      <c r="AH319" s="255" t="str">
        <f>IF(ISNUMBER(SEARCH("H", 'WetLitterbags placem_collection'!AF26)),"YES","NO")</f>
        <v>NO</v>
      </c>
      <c r="AI319" s="255" t="str">
        <f>IF(ISNUMBER(SEARCH("R", 'WetLitterbags placem_collection'!XF26)),"YES","NO")</f>
        <v>NO</v>
      </c>
      <c r="AJ319" s="255" t="str">
        <f>IF(ISNUMBER(SEARCH("C", 'WetLitterbags placem_collection'!WE26)),"YES","NO")</f>
        <v>NO</v>
      </c>
      <c r="AK319" s="255" t="str">
        <f>IF(ISNUMBER(SEARCH("H", 'WetLitterbags placem_collection'!AE26)),"YES","NO")</f>
        <v>NO</v>
      </c>
      <c r="AL319" s="255" t="str">
        <f>IF(ISNUMBER(SEARCH("R", 'WetLitterbags placem_collection'!AE26)),"YES","NO")</f>
        <v>NO</v>
      </c>
    </row>
    <row r="320" spans="2:38">
      <c r="B320" t="str">
        <f>'Final data_for_R_analysis_Wetse'!A466</f>
        <v>Wet</v>
      </c>
      <c r="C320" s="263">
        <f>'Final data_for_R_analysis_Wetse'!B466</f>
        <v>25</v>
      </c>
      <c r="D320" t="s">
        <v>3830</v>
      </c>
      <c r="E320" t="s">
        <v>25</v>
      </c>
      <c r="F320" s="386">
        <v>1</v>
      </c>
      <c r="G320" s="16">
        <f>'WetLitterbags placem_collection'!E27</f>
        <v>42767</v>
      </c>
      <c r="H320" s="92" t="str">
        <f>'Final data_for_R_analysis_Wetse'!J466</f>
        <v>G864</v>
      </c>
      <c r="I320" t="str">
        <f>'Final data_for_R_analysis_Wetse'!J686</f>
        <v>R104</v>
      </c>
      <c r="J320">
        <f>IFERROR(INDEX('Green_rooibos initial weight'!$C$5:$C$1749,MATCH(H320, 'Green_rooibos initial weight'!$A$5:$A$1749,0)),"")</f>
        <v>2.0310000000000001</v>
      </c>
      <c r="K320">
        <f>IFERROR(INDEX('Green_rooibos initial weight'!$C$5:$C$1749,MATCH(I320, 'Green_rooibos initial weight'!$A$5:$A$1749,0)),"")</f>
        <v>2.2109999999999999</v>
      </c>
      <c r="L320" s="195">
        <f t="shared" si="40"/>
        <v>1.7812000000000001</v>
      </c>
      <c r="M320" s="195">
        <f>AVERAGE(Ashed_controlls!$K$2:$K$11)</f>
        <v>5.5147656768714146</v>
      </c>
      <c r="N320" s="195">
        <f t="shared" si="36"/>
        <v>1.6829709937635664</v>
      </c>
      <c r="O320" s="195">
        <f t="shared" si="41"/>
        <v>1.9611999999999998</v>
      </c>
      <c r="P320" s="195">
        <f>AVERAGE(Ashed_controlls!$K$12:$K$14)</f>
        <v>2.2816647271287041</v>
      </c>
      <c r="Q320" s="195">
        <f t="shared" si="42"/>
        <v>1.9164519913715516</v>
      </c>
      <c r="R320" s="16">
        <f>IF('WetLitterbags placem_collection'!G27="N.A","",'WetLitterbags placem_collection'!G27)</f>
        <v>42818</v>
      </c>
      <c r="S320" s="195">
        <f>IF(IFERROR(INDEX('Both teabags AfterWet'!$C$3:$C$841,MATCH(H320,'Both teabags AfterWet'!$A$3:$A$841,0)),"")="N.A","",(IFERROR(INDEX('Both teabags AfterWet'!$C$3:$C$841,MATCH(H320,'Both teabags AfterWet'!$A$3:$A$841,0)),"")))</f>
        <v>0.65839999999999999</v>
      </c>
      <c r="T320" s="195">
        <f>IFERROR(INDEX('Both teabags AfterWet'!$C$3:$C$841,MATCH(I320,'Both teabags AfterWet'!$A$3:$A$841,0)),"")</f>
        <v>1.4184000000000001</v>
      </c>
      <c r="U320" s="195">
        <f t="shared" si="43"/>
        <v>0.50780000000000003</v>
      </c>
      <c r="V320" s="195">
        <f t="shared" si="43"/>
        <v>1.2678</v>
      </c>
      <c r="W320" s="195">
        <f>IFERROR(INDEX('Ashed teabags wet'!$K$2:$K$821,MATCH(H320,'Ashed teabags wet'!$A$2:$A$821,0)),"")</f>
        <v>15.647921760391469</v>
      </c>
      <c r="X320" s="195">
        <f>IFERROR(INDEX('Ashed teabags wet'!$K$2:$K$821,MATCH(I320,'Ashed teabags wet'!$A$2:$A$821,0)),"")</f>
        <v>3.8194444444447946</v>
      </c>
      <c r="Y320" s="195">
        <f t="shared" si="37"/>
        <v>0.42833985330073215</v>
      </c>
      <c r="Z320" s="195">
        <f t="shared" si="37"/>
        <v>1.2193770833333288</v>
      </c>
      <c r="AA320" s="195">
        <f t="shared" si="44"/>
        <v>0.74548589673381627</v>
      </c>
      <c r="AB320" s="195">
        <f t="shared" si="45"/>
        <v>0.4887270961960411</v>
      </c>
      <c r="AC320" s="195">
        <f t="shared" si="38"/>
        <v>0.6362680040112324</v>
      </c>
      <c r="AD320">
        <f t="shared" si="39"/>
        <v>51</v>
      </c>
      <c r="AE320" s="195">
        <f t="shared" si="46"/>
        <v>0.11462482573180965</v>
      </c>
      <c r="AF320" s="195">
        <f t="shared" si="47"/>
        <v>2.6735876666790566E-2</v>
      </c>
      <c r="AG320" s="255" t="str">
        <f>IF(ISNUMBER(SEARCH("C",'WetLitterbags placem_collection'!AD247)),"YES","NO")</f>
        <v>NO</v>
      </c>
      <c r="AH320" s="255" t="str">
        <f>IF(ISNUMBER(SEARCH("H", 'WetLitterbags placem_collection'!AF27)),"YES","NO")</f>
        <v>NO</v>
      </c>
      <c r="AI320" s="255" t="str">
        <f>IF(ISNUMBER(SEARCH("R", 'WetLitterbags placem_collection'!XF27)),"YES","NO")</f>
        <v>NO</v>
      </c>
      <c r="AJ320" s="255" t="str">
        <f>IF(ISNUMBER(SEARCH("C", 'WetLitterbags placem_collection'!WE27)),"YES","NO")</f>
        <v>NO</v>
      </c>
      <c r="AK320" s="255" t="str">
        <f>IF(ISNUMBER(SEARCH("H", 'WetLitterbags placem_collection'!AE27)),"YES","NO")</f>
        <v>NO</v>
      </c>
      <c r="AL320" s="255" t="str">
        <f>IF(ISNUMBER(SEARCH("R", 'WetLitterbags placem_collection'!AE27)),"YES","NO")</f>
        <v>NO</v>
      </c>
    </row>
    <row r="321" spans="2:38">
      <c r="B321" t="str">
        <f>'Final data_for_R_analysis_Wetse'!A467</f>
        <v>Wet</v>
      </c>
      <c r="C321" s="263">
        <f>'Final data_for_R_analysis_Wetse'!B467</f>
        <v>26</v>
      </c>
      <c r="D321" t="s">
        <v>3830</v>
      </c>
      <c r="E321" t="s">
        <v>25</v>
      </c>
      <c r="F321" s="386">
        <v>2</v>
      </c>
      <c r="G321" s="16">
        <f>'WetLitterbags placem_collection'!E28</f>
        <v>42767</v>
      </c>
      <c r="H321" s="92" t="str">
        <f>'Final data_for_R_analysis_Wetse'!J467</f>
        <v>G506</v>
      </c>
      <c r="I321" t="str">
        <f>'Final data_for_R_analysis_Wetse'!J687</f>
        <v>R189</v>
      </c>
      <c r="J321">
        <f>IFERROR(INDEX('Green_rooibos initial weight'!$C$5:$C$1749,MATCH(H321, 'Green_rooibos initial weight'!$A$5:$A$1749,0)),"")</f>
        <v>1.9079999999999999</v>
      </c>
      <c r="K321">
        <f>IFERROR(INDEX('Green_rooibos initial weight'!$C$5:$C$1749,MATCH(I321, 'Green_rooibos initial weight'!$A$5:$A$1749,0)),"")</f>
        <v>2.274</v>
      </c>
      <c r="L321" s="195">
        <f t="shared" si="40"/>
        <v>1.6581999999999999</v>
      </c>
      <c r="M321" s="195">
        <f>AVERAGE(Ashed_controlls!$K$2:$K$11)</f>
        <v>5.5147656768714146</v>
      </c>
      <c r="N321" s="195">
        <f t="shared" si="36"/>
        <v>1.5667541555461182</v>
      </c>
      <c r="O321" s="195">
        <f t="shared" si="41"/>
        <v>2.0242</v>
      </c>
      <c r="P321" s="195">
        <f>AVERAGE(Ashed_controlls!$K$12:$K$14)</f>
        <v>2.2816647271287041</v>
      </c>
      <c r="Q321" s="195">
        <f t="shared" si="42"/>
        <v>1.9780145425934608</v>
      </c>
      <c r="R321" s="16">
        <f>IF('WetLitterbags placem_collection'!G28="N.A","",'WetLitterbags placem_collection'!G28)</f>
        <v>42818</v>
      </c>
      <c r="S321" s="195">
        <f>IF(IFERROR(INDEX('Both teabags AfterWet'!$C$3:$C$841,MATCH(H321,'Both teabags AfterWet'!$A$3:$A$841,0)),"")="N.A","",(IFERROR(INDEX('Both teabags AfterWet'!$C$3:$C$841,MATCH(H321,'Both teabags AfterWet'!$A$3:$A$841,0)),"")))</f>
        <v>0.67589999999999995</v>
      </c>
      <c r="T321" s="195">
        <f>IFERROR(INDEX('Both teabags AfterWet'!$C$3:$C$841,MATCH(I321,'Both teabags AfterWet'!$A$3:$A$841,0)),"")</f>
        <v>1.464</v>
      </c>
      <c r="U321" s="195">
        <f t="shared" si="43"/>
        <v>0.52529999999999988</v>
      </c>
      <c r="V321" s="195">
        <f t="shared" si="43"/>
        <v>1.3133999999999999</v>
      </c>
      <c r="W321" s="195">
        <f>IFERROR(INDEX('Ashed teabags wet'!$K$2:$K$821,MATCH(H321,'Ashed teabags wet'!$A$2:$A$821,0)),"")</f>
        <v>8.561473369835749</v>
      </c>
      <c r="X321" s="195">
        <f>IFERROR(INDEX('Ashed teabags wet'!$K$2:$K$821,MATCH(I321,'Ashed teabags wet'!$A$2:$A$821,0)),"")</f>
        <v>2.9721955896448731</v>
      </c>
      <c r="Y321" s="195">
        <f t="shared" si="37"/>
        <v>0.48032658038825271</v>
      </c>
      <c r="Z321" s="195">
        <f t="shared" si="37"/>
        <v>1.2743631831256041</v>
      </c>
      <c r="AA321" s="195">
        <f t="shared" si="44"/>
        <v>0.69342568603507115</v>
      </c>
      <c r="AB321" s="195">
        <f t="shared" si="45"/>
        <v>0.45459736186622252</v>
      </c>
      <c r="AC321" s="195">
        <f t="shared" si="38"/>
        <v>0.64426380882656764</v>
      </c>
      <c r="AD321">
        <f t="shared" si="39"/>
        <v>51</v>
      </c>
      <c r="AE321" s="195">
        <f t="shared" si="46"/>
        <v>0.17645405459017671</v>
      </c>
      <c r="AF321" s="195">
        <f t="shared" si="47"/>
        <v>2.9915599185669085E-2</v>
      </c>
      <c r="AG321" s="255" t="str">
        <f>IF(ISNUMBER(SEARCH("C",'WetLitterbags placem_collection'!AD248)),"YES","NO")</f>
        <v>NO</v>
      </c>
      <c r="AH321" s="255" t="str">
        <f>IF(ISNUMBER(SEARCH("H", 'WetLitterbags placem_collection'!AF28)),"YES","NO")</f>
        <v>NO</v>
      </c>
      <c r="AI321" s="255" t="str">
        <f>IF(ISNUMBER(SEARCH("R", 'WetLitterbags placem_collection'!XF28)),"YES","NO")</f>
        <v>NO</v>
      </c>
      <c r="AJ321" s="255" t="str">
        <f>IF(ISNUMBER(SEARCH("C", 'WetLitterbags placem_collection'!WE28)),"YES","NO")</f>
        <v>NO</v>
      </c>
      <c r="AK321" s="255" t="str">
        <f>IF(ISNUMBER(SEARCH("H", 'WetLitterbags placem_collection'!AE28)),"YES","NO")</f>
        <v>NO</v>
      </c>
      <c r="AL321" s="255" t="str">
        <f>IF(ISNUMBER(SEARCH("R", 'WetLitterbags placem_collection'!AE28)),"YES","NO")</f>
        <v>NO</v>
      </c>
    </row>
    <row r="322" spans="2:38">
      <c r="B322" t="str">
        <f>'Final data_for_R_analysis_Wetse'!A468</f>
        <v>Wet</v>
      </c>
      <c r="C322" s="263">
        <f>'Final data_for_R_analysis_Wetse'!B468</f>
        <v>27</v>
      </c>
      <c r="D322" t="s">
        <v>3830</v>
      </c>
      <c r="E322" t="s">
        <v>25</v>
      </c>
      <c r="F322" s="386">
        <v>3</v>
      </c>
      <c r="G322" s="16">
        <f>'WetLitterbags placem_collection'!E29</f>
        <v>42767</v>
      </c>
      <c r="H322" s="92" t="str">
        <f>'Final data_for_R_analysis_Wetse'!J468</f>
        <v>G449</v>
      </c>
      <c r="I322" t="str">
        <f>'Final data_for_R_analysis_Wetse'!J688</f>
        <v>R217</v>
      </c>
      <c r="J322">
        <f>IFERROR(INDEX('Green_rooibos initial weight'!$C$5:$C$1749,MATCH(H322, 'Green_rooibos initial weight'!$A$5:$A$1749,0)),"")</f>
        <v>2.1749999999999998</v>
      </c>
      <c r="K322">
        <f>IFERROR(INDEX('Green_rooibos initial weight'!$C$5:$C$1749,MATCH(I322, 'Green_rooibos initial weight'!$A$5:$A$1749,0)),"")</f>
        <v>2.2109999999999999</v>
      </c>
      <c r="L322" s="195">
        <f t="shared" si="40"/>
        <v>1.9251999999999998</v>
      </c>
      <c r="M322" s="195">
        <f>AVERAGE(Ashed_controlls!$K$2:$K$11)</f>
        <v>5.5147656768714146</v>
      </c>
      <c r="N322" s="195">
        <f t="shared" si="36"/>
        <v>1.8190297311888712</v>
      </c>
      <c r="O322" s="195">
        <f t="shared" si="41"/>
        <v>1.9611999999999998</v>
      </c>
      <c r="P322" s="195">
        <f>AVERAGE(Ashed_controlls!$K$12:$K$14)</f>
        <v>2.2816647271287041</v>
      </c>
      <c r="Q322" s="195">
        <f t="shared" si="42"/>
        <v>1.9164519913715516</v>
      </c>
      <c r="R322" s="16">
        <f>IF('WetLitterbags placem_collection'!G29="N.A","",'WetLitterbags placem_collection'!G29)</f>
        <v>42818</v>
      </c>
      <c r="S322" s="195">
        <f>IF(IFERROR(INDEX('Both teabags AfterWet'!$C$3:$C$841,MATCH(H322,'Both teabags AfterWet'!$A$3:$A$841,0)),"")="N.A","",(IFERROR(INDEX('Both teabags AfterWet'!$C$3:$C$841,MATCH(H322,'Both teabags AfterWet'!$A$3:$A$841,0)),"")))</f>
        <v>0.73760000000000003</v>
      </c>
      <c r="T322" s="195">
        <f>IFERROR(INDEX('Both teabags AfterWet'!$C$3:$C$841,MATCH(I322,'Both teabags AfterWet'!$A$3:$A$841,0)),"")</f>
        <v>1.5392999999999999</v>
      </c>
      <c r="U322" s="195">
        <f t="shared" si="43"/>
        <v>0.58699999999999997</v>
      </c>
      <c r="V322" s="195">
        <f t="shared" si="43"/>
        <v>1.3886999999999998</v>
      </c>
      <c r="W322" s="195">
        <f>IFERROR(INDEX('Ashed teabags wet'!$K$2:$K$821,MATCH(H322,'Ashed teabags wet'!$A$2:$A$821,0)),"")</f>
        <v>10.444777611194501</v>
      </c>
      <c r="X322" s="195">
        <f>IFERROR(INDEX('Ashed teabags wet'!$K$2:$K$821,MATCH(I322,'Ashed teabags wet'!$A$2:$A$821,0)),"")</f>
        <v>3.5156250000002229</v>
      </c>
      <c r="Y322" s="195">
        <f t="shared" si="37"/>
        <v>0.52568915542228822</v>
      </c>
      <c r="Z322" s="195">
        <f t="shared" si="37"/>
        <v>1.3398785156249968</v>
      </c>
      <c r="AA322" s="195">
        <f t="shared" si="44"/>
        <v>0.71100573761446362</v>
      </c>
      <c r="AB322" s="195">
        <f t="shared" si="45"/>
        <v>0.46612252632207124</v>
      </c>
      <c r="AC322" s="195">
        <f t="shared" si="38"/>
        <v>0.69914535905805963</v>
      </c>
      <c r="AD322">
        <f t="shared" si="39"/>
        <v>51</v>
      </c>
      <c r="AE322" s="195">
        <f t="shared" si="46"/>
        <v>0.15557513347450869</v>
      </c>
      <c r="AF322" s="195">
        <f t="shared" si="47"/>
        <v>2.0330996597188868E-2</v>
      </c>
      <c r="AG322" s="255" t="str">
        <f>IF(ISNUMBER(SEARCH("C",'WetLitterbags placem_collection'!AD249)),"YES","NO")</f>
        <v>NO</v>
      </c>
      <c r="AH322" s="255" t="str">
        <f>IF(ISNUMBER(SEARCH("H", 'WetLitterbags placem_collection'!AF29)),"YES","NO")</f>
        <v>NO</v>
      </c>
      <c r="AI322" s="255" t="str">
        <f>IF(ISNUMBER(SEARCH("R", 'WetLitterbags placem_collection'!XF29)),"YES","NO")</f>
        <v>NO</v>
      </c>
      <c r="AJ322" s="255" t="str">
        <f>IF(ISNUMBER(SEARCH("C", 'WetLitterbags placem_collection'!WE29)),"YES","NO")</f>
        <v>NO</v>
      </c>
      <c r="AK322" s="255" t="str">
        <f>IF(ISNUMBER(SEARCH("H", 'WetLitterbags placem_collection'!AE29)),"YES","NO")</f>
        <v>NO</v>
      </c>
      <c r="AL322" s="255" t="str">
        <f>IF(ISNUMBER(SEARCH("R", 'WetLitterbags placem_collection'!AE29)),"YES","NO")</f>
        <v>NO</v>
      </c>
    </row>
    <row r="323" spans="2:38">
      <c r="B323" t="str">
        <f>'Final data_for_R_analysis_Wetse'!A469</f>
        <v>Wet</v>
      </c>
      <c r="C323" s="263">
        <f>'Final data_for_R_analysis_Wetse'!B469</f>
        <v>28</v>
      </c>
      <c r="D323" t="s">
        <v>3830</v>
      </c>
      <c r="E323" t="s">
        <v>25</v>
      </c>
      <c r="F323" s="387">
        <v>4</v>
      </c>
      <c r="G323" s="16">
        <f>'WetLitterbags placem_collection'!E30</f>
        <v>42767</v>
      </c>
      <c r="H323" s="92" t="str">
        <f>'Final data_for_R_analysis_Wetse'!J469</f>
        <v>G502</v>
      </c>
      <c r="I323" t="str">
        <f>'Final data_for_R_analysis_Wetse'!J689</f>
        <v>R172</v>
      </c>
      <c r="J323">
        <f>IFERROR(INDEX('Green_rooibos initial weight'!$C$5:$C$1749,MATCH(H323, 'Green_rooibos initial weight'!$A$5:$A$1749,0)),"")</f>
        <v>1.929</v>
      </c>
      <c r="K323">
        <f>IFERROR(INDEX('Green_rooibos initial weight'!$C$5:$C$1749,MATCH(I323, 'Green_rooibos initial weight'!$A$5:$A$1749,0)),"")</f>
        <v>2.1520000000000001</v>
      </c>
      <c r="L323" s="195">
        <f t="shared" si="40"/>
        <v>1.6792</v>
      </c>
      <c r="M323" s="195">
        <f>AVERAGE(Ashed_controlls!$K$2:$K$11)</f>
        <v>5.5147656768714146</v>
      </c>
      <c r="N323" s="195">
        <f t="shared" si="36"/>
        <v>1.5865960547539752</v>
      </c>
      <c r="O323" s="195">
        <f t="shared" si="41"/>
        <v>1.9022000000000001</v>
      </c>
      <c r="P323" s="195">
        <f>AVERAGE(Ashed_controlls!$K$12:$K$14)</f>
        <v>2.2816647271287041</v>
      </c>
      <c r="Q323" s="195">
        <f t="shared" si="42"/>
        <v>1.8587981735605579</v>
      </c>
      <c r="R323" s="16">
        <f>IF('WetLitterbags placem_collection'!G30="N.A","",'WetLitterbags placem_collection'!G30)</f>
        <v>42818</v>
      </c>
      <c r="S323" s="195">
        <f>IF(IFERROR(INDEX('Both teabags AfterWet'!$C$3:$C$841,MATCH(H323,'Both teabags AfterWet'!$A$3:$A$841,0)),"")="N.A","",(IFERROR(INDEX('Both teabags AfterWet'!$C$3:$C$841,MATCH(H323,'Both teabags AfterWet'!$A$3:$A$841,0)),"")))</f>
        <v>0.60960000000000003</v>
      </c>
      <c r="T323" s="195">
        <f>IFERROR(INDEX('Both teabags AfterWet'!$C$3:$C$841,MATCH(I323,'Both teabags AfterWet'!$A$3:$A$841,0)),"")</f>
        <v>1.4665999999999999</v>
      </c>
      <c r="U323" s="195">
        <f t="shared" si="43"/>
        <v>0.45900000000000002</v>
      </c>
      <c r="V323" s="195">
        <f t="shared" si="43"/>
        <v>1.3159999999999998</v>
      </c>
      <c r="W323" s="195">
        <f>IFERROR(INDEX('Ashed teabags wet'!$K$2:$K$821,MATCH(H323,'Ashed teabags wet'!$A$2:$A$821,0)),"")</f>
        <v>10.16121152906673</v>
      </c>
      <c r="X323" s="195">
        <f>IFERROR(INDEX('Ashed teabags wet'!$K$2:$K$821,MATCH(I323,'Ashed teabags wet'!$A$2:$A$821,0)),"")</f>
        <v>4.6569854782171465</v>
      </c>
      <c r="Y323" s="195">
        <f t="shared" si="37"/>
        <v>0.41236003908158375</v>
      </c>
      <c r="Z323" s="195">
        <f t="shared" si="37"/>
        <v>1.2547140711066622</v>
      </c>
      <c r="AA323" s="195">
        <f t="shared" si="44"/>
        <v>0.74009765255244742</v>
      </c>
      <c r="AB323" s="195">
        <f t="shared" si="45"/>
        <v>0.48519466058070193</v>
      </c>
      <c r="AC323" s="195">
        <f t="shared" si="38"/>
        <v>0.67501361307195451</v>
      </c>
      <c r="AD323">
        <f t="shared" si="39"/>
        <v>51</v>
      </c>
      <c r="AE323" s="195">
        <f t="shared" si="46"/>
        <v>0.12102416561467044</v>
      </c>
      <c r="AF323" s="195">
        <f t="shared" si="47"/>
        <v>2.1726970458094279E-2</v>
      </c>
      <c r="AG323" s="255" t="str">
        <f>IF(ISNUMBER(SEARCH("C",'WetLitterbags placem_collection'!AD250)),"YES","NO")</f>
        <v>NO</v>
      </c>
      <c r="AH323" s="255" t="str">
        <f>IF(ISNUMBER(SEARCH("H", 'WetLitterbags placem_collection'!AF30)),"YES","NO")</f>
        <v>NO</v>
      </c>
      <c r="AI323" s="255" t="str">
        <f>IF(ISNUMBER(SEARCH("R", 'WetLitterbags placem_collection'!XF30)),"YES","NO")</f>
        <v>NO</v>
      </c>
      <c r="AJ323" s="255" t="str">
        <f>IF(ISNUMBER(SEARCH("C", 'WetLitterbags placem_collection'!WE30)),"YES","NO")</f>
        <v>NO</v>
      </c>
      <c r="AK323" s="255" t="str">
        <f>IF(ISNUMBER(SEARCH("H", 'WetLitterbags placem_collection'!AE30)),"YES","NO")</f>
        <v>NO</v>
      </c>
      <c r="AL323" s="255" t="str">
        <f>IF(ISNUMBER(SEARCH("R", 'WetLitterbags placem_collection'!AE30)),"YES","NO")</f>
        <v>NO</v>
      </c>
    </row>
    <row r="324" spans="2:38">
      <c r="B324" t="str">
        <f>'Final data_for_R_analysis_Wetse'!A470</f>
        <v>Wet</v>
      </c>
      <c r="C324" s="263">
        <f>'Final data_for_R_analysis_Wetse'!B470</f>
        <v>29</v>
      </c>
      <c r="D324" t="s">
        <v>3830</v>
      </c>
      <c r="E324" t="s">
        <v>25</v>
      </c>
      <c r="F324" s="387">
        <v>5</v>
      </c>
      <c r="G324" s="16">
        <f>'WetLitterbags placem_collection'!E31</f>
        <v>42767</v>
      </c>
      <c r="H324" s="92" t="str">
        <f>'Final data_for_R_analysis_Wetse'!J470</f>
        <v>G345</v>
      </c>
      <c r="I324" t="str">
        <f>'Final data_for_R_analysis_Wetse'!J690</f>
        <v>R349</v>
      </c>
      <c r="J324">
        <f>IFERROR(INDEX('Green_rooibos initial weight'!$C$5:$C$1749,MATCH(H324, 'Green_rooibos initial weight'!$A$5:$A$1749,0)),"")</f>
        <v>2.012</v>
      </c>
      <c r="K324">
        <f>IFERROR(INDEX('Green_rooibos initial weight'!$C$5:$C$1749,MATCH(I324, 'Green_rooibos initial weight'!$A$5:$A$1749,0)),"")</f>
        <v>2.2469999999999999</v>
      </c>
      <c r="L324" s="195">
        <f t="shared" si="40"/>
        <v>1.7622</v>
      </c>
      <c r="M324" s="195">
        <f>AVERAGE(Ashed_controlls!$K$2:$K$11)</f>
        <v>5.5147656768714146</v>
      </c>
      <c r="N324" s="195">
        <f t="shared" si="36"/>
        <v>1.6650187992421719</v>
      </c>
      <c r="O324" s="195">
        <f t="shared" si="41"/>
        <v>1.9971999999999999</v>
      </c>
      <c r="P324" s="195">
        <f>AVERAGE(Ashed_controlls!$K$12:$K$14)</f>
        <v>2.2816647271287041</v>
      </c>
      <c r="Q324" s="195">
        <f t="shared" si="42"/>
        <v>1.9516305920697854</v>
      </c>
      <c r="R324" s="16">
        <f>IF('WetLitterbags placem_collection'!G31="N.A","",'WetLitterbags placem_collection'!G31)</f>
        <v>42818</v>
      </c>
      <c r="S324" s="195">
        <f>IF(IFERROR(INDEX('Both teabags AfterWet'!$C$3:$C$841,MATCH(H324,'Both teabags AfterWet'!$A$3:$A$841,0)),"")="N.A","",(IFERROR(INDEX('Both teabags AfterWet'!$C$3:$C$841,MATCH(H324,'Both teabags AfterWet'!$A$3:$A$841,0)),"")))</f>
        <v>0.64829999999999999</v>
      </c>
      <c r="T324" s="195" t="str">
        <f>IFERROR(INDEX('Both teabags AfterWet'!$C$3:$C$841,MATCH(I324,'Both teabags AfterWet'!$A$3:$A$841,0)),"")</f>
        <v/>
      </c>
      <c r="U324" s="195">
        <f t="shared" si="43"/>
        <v>0.49769999999999998</v>
      </c>
      <c r="V324" s="195" t="str">
        <f t="shared" si="43"/>
        <v/>
      </c>
      <c r="W324" s="195">
        <f>IFERROR(INDEX('Ashed teabags wet'!$K$2:$K$821,MATCH(H324,'Ashed teabags wet'!$A$2:$A$821,0)),"")</f>
        <v>9.5937347038662821</v>
      </c>
      <c r="X324" s="195">
        <f>IFERROR(INDEX('Ashed teabags wet'!$K$2:$K$821,MATCH(I324,'Ashed teabags wet'!$A$2:$A$821,0)),"")</f>
        <v>3.0821917808218364</v>
      </c>
      <c r="Y324" s="195">
        <f t="shared" si="37"/>
        <v>0.44995198237885747</v>
      </c>
      <c r="Z324" s="195" t="str">
        <f t="shared" si="37"/>
        <v/>
      </c>
      <c r="AA324" s="195">
        <f t="shared" si="44"/>
        <v>0.72976162035909042</v>
      </c>
      <c r="AB324" s="195">
        <f t="shared" si="45"/>
        <v>0.47841854446344173</v>
      </c>
      <c r="AC324" s="195" t="str">
        <f t="shared" si="38"/>
        <v/>
      </c>
      <c r="AD324">
        <f t="shared" si="39"/>
        <v>51</v>
      </c>
      <c r="AE324" s="195">
        <f t="shared" si="46"/>
        <v>0.1332997382908665</v>
      </c>
      <c r="AF324" s="195" t="str">
        <f t="shared" si="47"/>
        <v/>
      </c>
      <c r="AG324" s="255" t="str">
        <f>IF(ISNUMBER(SEARCH("C",'WetLitterbags placem_collection'!AD251)),"YES","NO")</f>
        <v>NO</v>
      </c>
      <c r="AH324" s="255" t="str">
        <f>IF(ISNUMBER(SEARCH("H", 'WetLitterbags placem_collection'!AF31)),"YES","NO")</f>
        <v>NO</v>
      </c>
      <c r="AI324" s="255" t="str">
        <f>IF(ISNUMBER(SEARCH("R", 'WetLitterbags placem_collection'!XF31)),"YES","NO")</f>
        <v>NO</v>
      </c>
      <c r="AJ324" s="255" t="str">
        <f>IF(ISNUMBER(SEARCH("C", 'WetLitterbags placem_collection'!WE31)),"YES","NO")</f>
        <v>NO</v>
      </c>
      <c r="AK324" s="255" t="str">
        <f>IF(ISNUMBER(SEARCH("H", 'WetLitterbags placem_collection'!AE31)),"YES","NO")</f>
        <v>NO</v>
      </c>
      <c r="AL324" s="255" t="str">
        <f>IF(ISNUMBER(SEARCH("R", 'WetLitterbags placem_collection'!AE31)),"YES","NO")</f>
        <v>NO</v>
      </c>
    </row>
    <row r="325" spans="2:38">
      <c r="B325" t="str">
        <f>'Final data_for_R_analysis_Wetse'!A471</f>
        <v>Wet</v>
      </c>
      <c r="C325" s="263">
        <f>'Final data_for_R_analysis_Wetse'!B471</f>
        <v>30</v>
      </c>
      <c r="D325" t="s">
        <v>3830</v>
      </c>
      <c r="E325" t="s">
        <v>25</v>
      </c>
      <c r="F325" s="387">
        <v>6</v>
      </c>
      <c r="G325" s="16">
        <f>'WetLitterbags placem_collection'!E32</f>
        <v>42767</v>
      </c>
      <c r="H325" s="92" t="str">
        <f>'Final data_for_R_analysis_Wetse'!J471</f>
        <v>G500</v>
      </c>
      <c r="I325" t="str">
        <f>'Final data_for_R_analysis_Wetse'!J691</f>
        <v>R296</v>
      </c>
      <c r="J325">
        <f>IFERROR(INDEX('Green_rooibos initial weight'!$C$5:$C$1749,MATCH(H325, 'Green_rooibos initial weight'!$A$5:$A$1749,0)),"")</f>
        <v>2.0830000000000002</v>
      </c>
      <c r="K325">
        <f>IFERROR(INDEX('Green_rooibos initial weight'!$C$5:$C$1749,MATCH(I325, 'Green_rooibos initial weight'!$A$5:$A$1749,0)),"")</f>
        <v>2.226</v>
      </c>
      <c r="L325" s="195">
        <f t="shared" si="40"/>
        <v>1.8332000000000002</v>
      </c>
      <c r="M325" s="195">
        <f>AVERAGE(Ashed_controlls!$K$2:$K$11)</f>
        <v>5.5147656768714146</v>
      </c>
      <c r="N325" s="195">
        <f t="shared" si="36"/>
        <v>1.7321033156115935</v>
      </c>
      <c r="O325" s="195">
        <f t="shared" si="41"/>
        <v>1.9762</v>
      </c>
      <c r="P325" s="195">
        <f>AVERAGE(Ashed_controlls!$K$12:$K$14)</f>
        <v>2.2816647271287041</v>
      </c>
      <c r="Q325" s="195">
        <f t="shared" si="42"/>
        <v>1.9311097416624825</v>
      </c>
      <c r="R325" s="16">
        <f>IF('WetLitterbags placem_collection'!G32="N.A","",'WetLitterbags placem_collection'!G32)</f>
        <v>42818</v>
      </c>
      <c r="S325" s="195">
        <f>IF(IFERROR(INDEX('Both teabags AfterWet'!$C$3:$C$841,MATCH(H325,'Both teabags AfterWet'!$A$3:$A$841,0)),"")="N.A","",(IFERROR(INDEX('Both teabags AfterWet'!$C$3:$C$841,MATCH(H325,'Both teabags AfterWet'!$A$3:$A$841,0)),"")))</f>
        <v>0.61909999999999998</v>
      </c>
      <c r="T325" s="195">
        <f>IFERROR(INDEX('Both teabags AfterWet'!$C$3:$C$841,MATCH(I325,'Both teabags AfterWet'!$A$3:$A$841,0)),"")</f>
        <v>1.3653</v>
      </c>
      <c r="U325" s="195">
        <f t="shared" si="43"/>
        <v>0.46849999999999997</v>
      </c>
      <c r="V325" s="195">
        <f t="shared" si="43"/>
        <v>1.2146999999999999</v>
      </c>
      <c r="W325" s="195">
        <f>IFERROR(INDEX('Ashed teabags wet'!$K$2:$K$821,MATCH(H325,'Ashed teabags wet'!$A$2:$A$821,0)),"")</f>
        <v>10.952848722986133</v>
      </c>
      <c r="X325" s="195">
        <f>IFERROR(INDEX('Ashed teabags wet'!$K$2:$K$821,MATCH(I325,'Ashed teabags wet'!$A$2:$A$821,0)),"")</f>
        <v>3.9301310043674835</v>
      </c>
      <c r="Y325" s="195">
        <f t="shared" si="37"/>
        <v>0.41718590373280995</v>
      </c>
      <c r="Z325" s="195">
        <f t="shared" si="37"/>
        <v>1.1669606986899481</v>
      </c>
      <c r="AA325" s="195">
        <f t="shared" si="44"/>
        <v>0.7591449078281427</v>
      </c>
      <c r="AB325" s="195">
        <f t="shared" si="45"/>
        <v>0.49768169729350931</v>
      </c>
      <c r="AC325" s="195">
        <f t="shared" si="38"/>
        <v>0.60429538182812836</v>
      </c>
      <c r="AD325">
        <f t="shared" si="39"/>
        <v>51</v>
      </c>
      <c r="AE325" s="195">
        <f t="shared" si="46"/>
        <v>9.8402722294367306E-2</v>
      </c>
      <c r="AF325" s="195">
        <f t="shared" si="47"/>
        <v>3.1082600726938008E-2</v>
      </c>
      <c r="AG325" s="255" t="str">
        <f>IF(ISNUMBER(SEARCH("C",'WetLitterbags placem_collection'!AD252)),"YES","NO")</f>
        <v>NO</v>
      </c>
      <c r="AH325" s="255" t="str">
        <f>IF(ISNUMBER(SEARCH("H", 'WetLitterbags placem_collection'!AF32)),"YES","NO")</f>
        <v>NO</v>
      </c>
      <c r="AI325" s="255" t="str">
        <f>IF(ISNUMBER(SEARCH("R", 'WetLitterbags placem_collection'!XF32)),"YES","NO")</f>
        <v>NO</v>
      </c>
      <c r="AJ325" s="255" t="str">
        <f>IF(ISNUMBER(SEARCH("C", 'WetLitterbags placem_collection'!WE32)),"YES","NO")</f>
        <v>NO</v>
      </c>
      <c r="AK325" s="255" t="str">
        <f>IF(ISNUMBER(SEARCH("H", 'WetLitterbags placem_collection'!AE32)),"YES","NO")</f>
        <v>NO</v>
      </c>
      <c r="AL325" s="255" t="str">
        <f>IF(ISNUMBER(SEARCH("R", 'WetLitterbags placem_collection'!AE32)),"YES","NO")</f>
        <v>NO</v>
      </c>
    </row>
    <row r="326" spans="2:38">
      <c r="B326" t="str">
        <f>'Final data_for_R_analysis_Wetse'!A472</f>
        <v>Wet</v>
      </c>
      <c r="C326" s="263">
        <f>'Final data_for_R_analysis_Wetse'!B472</f>
        <v>31</v>
      </c>
      <c r="D326" t="s">
        <v>3830</v>
      </c>
      <c r="E326" t="s">
        <v>25</v>
      </c>
      <c r="F326" s="387">
        <v>7</v>
      </c>
      <c r="G326" s="16">
        <f>'WetLitterbags placem_collection'!E33</f>
        <v>42767</v>
      </c>
      <c r="H326" s="92" t="str">
        <f>'Final data_for_R_analysis_Wetse'!J472</f>
        <v>G521</v>
      </c>
      <c r="I326" t="str">
        <f>'Final data_for_R_analysis_Wetse'!J692</f>
        <v>R323</v>
      </c>
      <c r="J326">
        <f>IFERROR(INDEX('Green_rooibos initial weight'!$C$5:$C$1749,MATCH(H326, 'Green_rooibos initial weight'!$A$5:$A$1749,0)),"")</f>
        <v>2.1709999999999998</v>
      </c>
      <c r="K326">
        <f>IFERROR(INDEX('Green_rooibos initial weight'!$C$5:$C$1749,MATCH(I326, 'Green_rooibos initial weight'!$A$5:$A$1749,0)),"")</f>
        <v>2.1949999999999998</v>
      </c>
      <c r="L326" s="195">
        <f t="shared" si="40"/>
        <v>1.9211999999999998</v>
      </c>
      <c r="M326" s="195">
        <f>AVERAGE(Ashed_controlls!$K$2:$K$11)</f>
        <v>5.5147656768714146</v>
      </c>
      <c r="N326" s="195">
        <f t="shared" si="36"/>
        <v>1.8152503218159461</v>
      </c>
      <c r="O326" s="195">
        <f t="shared" si="41"/>
        <v>1.9451999999999998</v>
      </c>
      <c r="P326" s="195">
        <f>AVERAGE(Ashed_controlls!$K$12:$K$14)</f>
        <v>2.2816647271287041</v>
      </c>
      <c r="Q326" s="195">
        <f t="shared" si="42"/>
        <v>1.9008170577278922</v>
      </c>
      <c r="R326" s="16">
        <f>IF('WetLitterbags placem_collection'!G33="N.A","",'WetLitterbags placem_collection'!G33)</f>
        <v>42818</v>
      </c>
      <c r="S326" s="195">
        <f>IF(IFERROR(INDEX('Both teabags AfterWet'!$C$3:$C$841,MATCH(H326,'Both teabags AfterWet'!$A$3:$A$841,0)),"")="N.A","",(IFERROR(INDEX('Both teabags AfterWet'!$C$3:$C$841,MATCH(H326,'Both teabags AfterWet'!$A$3:$A$841,0)),"")))</f>
        <v>0.71479999999999999</v>
      </c>
      <c r="T326" s="195">
        <f>IFERROR(INDEX('Both teabags AfterWet'!$C$3:$C$841,MATCH(I326,'Both teabags AfterWet'!$A$3:$A$841,0)),"")</f>
        <v>1.425</v>
      </c>
      <c r="U326" s="195">
        <f t="shared" si="43"/>
        <v>0.56420000000000003</v>
      </c>
      <c r="V326" s="195">
        <f t="shared" si="43"/>
        <v>1.2744</v>
      </c>
      <c r="W326" s="195">
        <f>IFERROR(INDEX('Ashed teabags wet'!$K$2:$K$821,MATCH(H326,'Ashed teabags wet'!$A$2:$A$821,0)),"")</f>
        <v>14.161008729389133</v>
      </c>
      <c r="X326" s="195">
        <f>IFERROR(INDEX('Ashed teabags wet'!$K$2:$K$821,MATCH(I326,'Ashed teabags wet'!$A$2:$A$821,0)),"")</f>
        <v>20.058139534884134</v>
      </c>
      <c r="Y326" s="195">
        <f t="shared" si="37"/>
        <v>0.48430358874878654</v>
      </c>
      <c r="Z326" s="195">
        <f t="shared" si="37"/>
        <v>1.0187790697674366</v>
      </c>
      <c r="AA326" s="195">
        <f t="shared" si="44"/>
        <v>0.73320286302756454</v>
      </c>
      <c r="AB326" s="195">
        <f t="shared" si="45"/>
        <v>0.48067456103469791</v>
      </c>
      <c r="AC326" s="195">
        <f t="shared" si="38"/>
        <v>0.53596902743771457</v>
      </c>
      <c r="AD326">
        <f t="shared" si="39"/>
        <v>51</v>
      </c>
      <c r="AE326" s="195">
        <f t="shared" si="46"/>
        <v>0.1292127517487357</v>
      </c>
      <c r="AF326" s="195">
        <f t="shared" si="47"/>
        <v>6.5944419358779996E-2</v>
      </c>
      <c r="AG326" s="255" t="str">
        <f>IF(ISNUMBER(SEARCH("C",'WetLitterbags placem_collection'!AD253)),"YES","NO")</f>
        <v>NO</v>
      </c>
      <c r="AH326" s="255" t="str">
        <f>IF(ISNUMBER(SEARCH("H", 'WetLitterbags placem_collection'!AF33)),"YES","NO")</f>
        <v>NO</v>
      </c>
      <c r="AI326" s="255" t="str">
        <f>IF(ISNUMBER(SEARCH("R", 'WetLitterbags placem_collection'!XF33)),"YES","NO")</f>
        <v>NO</v>
      </c>
      <c r="AJ326" s="255" t="str">
        <f>IF(ISNUMBER(SEARCH("C", 'WetLitterbags placem_collection'!WE33)),"YES","NO")</f>
        <v>NO</v>
      </c>
      <c r="AK326" s="255" t="str">
        <f>IF(ISNUMBER(SEARCH("H", 'WetLitterbags placem_collection'!AE33)),"YES","NO")</f>
        <v>NO</v>
      </c>
      <c r="AL326" s="255" t="str">
        <f>IF(ISNUMBER(SEARCH("R", 'WetLitterbags placem_collection'!AE33)),"YES","NO")</f>
        <v>NO</v>
      </c>
    </row>
    <row r="327" spans="2:38">
      <c r="B327" t="str">
        <f>'Final data_for_R_analysis_Wetse'!A473</f>
        <v>Wet</v>
      </c>
      <c r="C327" s="263">
        <f>'Final data_for_R_analysis_Wetse'!B473</f>
        <v>32</v>
      </c>
      <c r="D327" t="s">
        <v>3830</v>
      </c>
      <c r="E327" t="s">
        <v>25</v>
      </c>
      <c r="F327" s="387">
        <v>8</v>
      </c>
      <c r="G327" s="16">
        <f>'WetLitterbags placem_collection'!E34</f>
        <v>42767</v>
      </c>
      <c r="H327" s="92" t="str">
        <f>'Final data_for_R_analysis_Wetse'!J473</f>
        <v>G201</v>
      </c>
      <c r="I327" t="str">
        <f>'Final data_for_R_analysis_Wetse'!J693</f>
        <v>R156</v>
      </c>
      <c r="J327">
        <f>IFERROR(INDEX('Green_rooibos initial weight'!$C$5:$C$1749,MATCH(H327, 'Green_rooibos initial weight'!$A$5:$A$1749,0)),"")</f>
        <v>2.2370000000000001</v>
      </c>
      <c r="K327">
        <f>IFERROR(INDEX('Green_rooibos initial weight'!$C$5:$C$1749,MATCH(I327, 'Green_rooibos initial weight'!$A$5:$A$1749,0)),"")</f>
        <v>2.246</v>
      </c>
      <c r="L327" s="195">
        <f t="shared" si="40"/>
        <v>1.9872000000000001</v>
      </c>
      <c r="M327" s="195">
        <f>AVERAGE(Ashed_controlls!$K$2:$K$11)</f>
        <v>5.5147656768714146</v>
      </c>
      <c r="N327" s="195">
        <f t="shared" si="36"/>
        <v>1.8776105764692113</v>
      </c>
      <c r="O327" s="195">
        <f t="shared" si="41"/>
        <v>1.9962</v>
      </c>
      <c r="P327" s="195">
        <f>AVERAGE(Ashed_controlls!$K$12:$K$14)</f>
        <v>2.2816647271287041</v>
      </c>
      <c r="Q327" s="195">
        <f t="shared" si="42"/>
        <v>1.9506534087170568</v>
      </c>
      <c r="R327" s="16">
        <f>IF('WetLitterbags placem_collection'!G34="N.A","",'WetLitterbags placem_collection'!G34)</f>
        <v>42818</v>
      </c>
      <c r="S327" s="195">
        <f>IF(IFERROR(INDEX('Both teabags AfterWet'!$C$3:$C$841,MATCH(H327,'Both teabags AfterWet'!$A$3:$A$841,0)),"")="N.A","",(IFERROR(INDEX('Both teabags AfterWet'!$C$3:$C$841,MATCH(H327,'Both teabags AfterWet'!$A$3:$A$841,0)),"")))</f>
        <v>0.67359999999999998</v>
      </c>
      <c r="T327" s="195">
        <f>IFERROR(INDEX('Both teabags AfterWet'!$C$3:$C$841,MATCH(I327,'Both teabags AfterWet'!$A$3:$A$841,0)),"")</f>
        <v>1.2625999999999999</v>
      </c>
      <c r="U327" s="195">
        <f t="shared" si="43"/>
        <v>0.52299999999999991</v>
      </c>
      <c r="V327" s="195">
        <f t="shared" si="43"/>
        <v>1.1119999999999999</v>
      </c>
      <c r="W327" s="195">
        <f>IFERROR(INDEX('Ashed teabags wet'!$K$2:$K$821,MATCH(H327,'Ashed teabags wet'!$A$2:$A$821,0)),"")</f>
        <v>7.292707292707294</v>
      </c>
      <c r="X327" s="195">
        <f>IFERROR(INDEX('Ashed teabags wet'!$K$2:$K$821,MATCH(I327,'Ashed teabags wet'!$A$2:$A$821,0)),"")</f>
        <v>5.5555555555557818</v>
      </c>
      <c r="Y327" s="195">
        <f t="shared" si="37"/>
        <v>0.48485914085914078</v>
      </c>
      <c r="Z327" s="195">
        <f t="shared" si="37"/>
        <v>1.0502222222222195</v>
      </c>
      <c r="AA327" s="195">
        <f t="shared" si="44"/>
        <v>0.74176799655075265</v>
      </c>
      <c r="AB327" s="195">
        <f t="shared" si="45"/>
        <v>0.48628970795251247</v>
      </c>
      <c r="AC327" s="195">
        <f t="shared" si="38"/>
        <v>0.53839509239775707</v>
      </c>
      <c r="AD327">
        <f t="shared" si="39"/>
        <v>51</v>
      </c>
      <c r="AE327" s="195">
        <f t="shared" si="46"/>
        <v>0.1190403841439992</v>
      </c>
      <c r="AF327" s="195">
        <f t="shared" si="47"/>
        <v>5.8443468027767141E-2</v>
      </c>
      <c r="AG327" s="255" t="str">
        <f>IF(ISNUMBER(SEARCH("C",'WetLitterbags placem_collection'!AD254)),"YES","NO")</f>
        <v>NO</v>
      </c>
      <c r="AH327" s="255" t="str">
        <f>IF(ISNUMBER(SEARCH("H", 'WetLitterbags placem_collection'!AF34)),"YES","NO")</f>
        <v>NO</v>
      </c>
      <c r="AI327" s="255" t="str">
        <f>IF(ISNUMBER(SEARCH("R", 'WetLitterbags placem_collection'!XF34)),"YES","NO")</f>
        <v>NO</v>
      </c>
      <c r="AJ327" s="255" t="str">
        <f>IF(ISNUMBER(SEARCH("C", 'WetLitterbags placem_collection'!WE34)),"YES","NO")</f>
        <v>NO</v>
      </c>
      <c r="AK327" s="255" t="str">
        <f>IF(ISNUMBER(SEARCH("H", 'WetLitterbags placem_collection'!AE34)),"YES","NO")</f>
        <v>NO</v>
      </c>
      <c r="AL327" s="255" t="str">
        <f>IF(ISNUMBER(SEARCH("R", 'WetLitterbags placem_collection'!AE34)),"YES","NO")</f>
        <v>NO</v>
      </c>
    </row>
    <row r="328" spans="2:38">
      <c r="B328" t="str">
        <f>'Final data_for_R_analysis_Wetse'!A474</f>
        <v>Wet</v>
      </c>
      <c r="C328" s="263">
        <f>'Final data_for_R_analysis_Wetse'!B474</f>
        <v>33</v>
      </c>
      <c r="D328" t="s">
        <v>3831</v>
      </c>
      <c r="E328" t="s">
        <v>25</v>
      </c>
      <c r="F328" s="386">
        <v>1</v>
      </c>
      <c r="G328" s="16">
        <f>'WetLitterbags placem_collection'!E35</f>
        <v>42765</v>
      </c>
      <c r="H328" s="92" t="str">
        <f>'Final data_for_R_analysis_Wetse'!J474</f>
        <v>G556</v>
      </c>
      <c r="I328" t="str">
        <f>'Final data_for_R_analysis_Wetse'!J694</f>
        <v>R452</v>
      </c>
      <c r="J328">
        <f>IFERROR(INDEX('Green_rooibos initial weight'!$C$5:$C$1749,MATCH(H328, 'Green_rooibos initial weight'!$A$5:$A$1749,0)),"")</f>
        <v>2.0329999999999999</v>
      </c>
      <c r="K328">
        <f>IFERROR(INDEX('Green_rooibos initial weight'!$C$5:$C$1749,MATCH(I328, 'Green_rooibos initial weight'!$A$5:$A$1749,0)),"")</f>
        <v>2.2320000000000002</v>
      </c>
      <c r="L328" s="195">
        <f t="shared" si="40"/>
        <v>1.7831999999999999</v>
      </c>
      <c r="M328" s="195">
        <f>AVERAGE(Ashed_controlls!$K$2:$K$11)</f>
        <v>5.5147656768714146</v>
      </c>
      <c r="N328" s="195">
        <f t="shared" si="36"/>
        <v>1.6848606984500289</v>
      </c>
      <c r="O328" s="195">
        <f t="shared" si="41"/>
        <v>1.9822000000000002</v>
      </c>
      <c r="P328" s="195">
        <f>AVERAGE(Ashed_controlls!$K$12:$K$14)</f>
        <v>2.2816647271287041</v>
      </c>
      <c r="Q328" s="195">
        <f t="shared" si="42"/>
        <v>1.936972841778855</v>
      </c>
      <c r="R328" s="16">
        <f>IF('WetLitterbags placem_collection'!G35="N.A","",'WetLitterbags placem_collection'!G35)</f>
        <v>42820</v>
      </c>
      <c r="S328" s="195">
        <f>IF(IFERROR(INDEX('Both teabags AfterWet'!$C$3:$C$841,MATCH(H328,'Both teabags AfterWet'!$A$3:$A$841,0)),"")="N.A","",(IFERROR(INDEX('Both teabags AfterWet'!$C$3:$C$841,MATCH(H328,'Both teabags AfterWet'!$A$3:$A$841,0)),"")))</f>
        <v>0.64400000000000002</v>
      </c>
      <c r="T328" s="195">
        <f>IFERROR(INDEX('Both teabags AfterWet'!$C$3:$C$841,MATCH(I328,'Both teabags AfterWet'!$A$3:$A$841,0)),"")</f>
        <v>1.6020000000000001</v>
      </c>
      <c r="U328" s="195">
        <f t="shared" si="43"/>
        <v>0.49340000000000001</v>
      </c>
      <c r="V328" s="195">
        <f t="shared" si="43"/>
        <v>1.4514</v>
      </c>
      <c r="W328" s="195">
        <f>IFERROR(INDEX('Ashed teabags wet'!$K$2:$K$821,MATCH(H328,'Ashed teabags wet'!$A$2:$A$821,0)),"")</f>
        <v>10.776075135937448</v>
      </c>
      <c r="X328" s="195">
        <f>IFERROR(INDEX('Ashed teabags wet'!$K$2:$K$821,MATCH(I328,'Ashed teabags wet'!$A$2:$A$821,0)),"")</f>
        <v>4.5318725099597295</v>
      </c>
      <c r="Y328" s="195">
        <f t="shared" si="37"/>
        <v>0.44023084527928463</v>
      </c>
      <c r="Z328" s="195">
        <f t="shared" si="37"/>
        <v>1.3856244023904445</v>
      </c>
      <c r="AA328" s="195">
        <f t="shared" si="44"/>
        <v>0.73871380246196572</v>
      </c>
      <c r="AB328" s="195">
        <f t="shared" si="45"/>
        <v>0.48428743344299896</v>
      </c>
      <c r="AC328" s="195">
        <f t="shared" si="38"/>
        <v>0.71535561702451678</v>
      </c>
      <c r="AD328">
        <f t="shared" si="39"/>
        <v>55</v>
      </c>
      <c r="AE328" s="195">
        <f t="shared" si="46"/>
        <v>0.12266769303804548</v>
      </c>
      <c r="AF328" s="195">
        <f t="shared" si="47"/>
        <v>1.6111774124894809E-2</v>
      </c>
      <c r="AG328" s="255" t="str">
        <f>IF(ISNUMBER(SEARCH("C",'WetLitterbags placem_collection'!AD255)),"YES","NO")</f>
        <v>NO</v>
      </c>
      <c r="AH328" s="255" t="str">
        <f>IF(ISNUMBER(SEARCH("H", 'WetLitterbags placem_collection'!AF35)),"YES","NO")</f>
        <v>NO</v>
      </c>
      <c r="AI328" s="255" t="str">
        <f>IF(ISNUMBER(SEARCH("R", 'WetLitterbags placem_collection'!XF35)),"YES","NO")</f>
        <v>NO</v>
      </c>
      <c r="AJ328" s="255" t="str">
        <f>IF(ISNUMBER(SEARCH("C", 'WetLitterbags placem_collection'!WE35)),"YES","NO")</f>
        <v>NO</v>
      </c>
      <c r="AK328" s="255" t="str">
        <f>IF(ISNUMBER(SEARCH("H", 'WetLitterbags placem_collection'!AE35)),"YES","NO")</f>
        <v>NO</v>
      </c>
      <c r="AL328" s="255" t="str">
        <f>IF(ISNUMBER(SEARCH("R", 'WetLitterbags placem_collection'!AE35)),"YES","NO")</f>
        <v>NO</v>
      </c>
    </row>
    <row r="329" spans="2:38">
      <c r="B329" t="str">
        <f>'Final data_for_R_analysis_Wetse'!A475</f>
        <v>Wet</v>
      </c>
      <c r="C329" s="263">
        <f>'Final data_for_R_analysis_Wetse'!B475</f>
        <v>34</v>
      </c>
      <c r="D329" t="s">
        <v>3831</v>
      </c>
      <c r="E329" t="s">
        <v>25</v>
      </c>
      <c r="F329" s="386">
        <v>2</v>
      </c>
      <c r="G329" s="16">
        <f>'WetLitterbags placem_collection'!E36</f>
        <v>42765</v>
      </c>
      <c r="H329" s="92" t="str">
        <f>'Final data_for_R_analysis_Wetse'!J475</f>
        <v>G649</v>
      </c>
      <c r="I329" t="str">
        <f>'Final data_for_R_analysis_Wetse'!J695</f>
        <v>R24</v>
      </c>
      <c r="J329">
        <f>IFERROR(INDEX('Green_rooibos initial weight'!$C$5:$C$1749,MATCH(H329, 'Green_rooibos initial weight'!$A$5:$A$1749,0)),"")</f>
        <v>2.1379999999999999</v>
      </c>
      <c r="K329">
        <f>IFERROR(INDEX('Green_rooibos initial weight'!$C$5:$C$1749,MATCH(I329, 'Green_rooibos initial weight'!$A$5:$A$1749,0)),"")</f>
        <v>2.14</v>
      </c>
      <c r="L329" s="195">
        <f t="shared" si="40"/>
        <v>1.8881999999999999</v>
      </c>
      <c r="M329" s="195">
        <f>AVERAGE(Ashed_controlls!$K$2:$K$11)</f>
        <v>5.5147656768714146</v>
      </c>
      <c r="N329" s="195">
        <f t="shared" si="36"/>
        <v>1.7840701944893138</v>
      </c>
      <c r="O329" s="195">
        <f t="shared" si="41"/>
        <v>1.8902000000000001</v>
      </c>
      <c r="P329" s="195">
        <f>AVERAGE(Ashed_controlls!$K$12:$K$14)</f>
        <v>2.2816647271287041</v>
      </c>
      <c r="Q329" s="195">
        <f t="shared" si="42"/>
        <v>1.8470719733278134</v>
      </c>
      <c r="R329" s="16">
        <f>IF('WetLitterbags placem_collection'!G36="N.A","",'WetLitterbags placem_collection'!G36)</f>
        <v>42820</v>
      </c>
      <c r="S329" s="195">
        <f>IF(IFERROR(INDEX('Both teabags AfterWet'!$C$3:$C$841,MATCH(H329,'Both teabags AfterWet'!$A$3:$A$841,0)),"")="N.A","",(IFERROR(INDEX('Both teabags AfterWet'!$C$3:$C$841,MATCH(H329,'Both teabags AfterWet'!$A$3:$A$841,0)),"")))</f>
        <v>0.80259999999999998</v>
      </c>
      <c r="T329" s="195">
        <f>IFERROR(INDEX('Both teabags AfterWet'!$C$3:$C$841,MATCH(I329,'Both teabags AfterWet'!$A$3:$A$841,0)),"")</f>
        <v>1.4662999999999999</v>
      </c>
      <c r="U329" s="195">
        <f t="shared" si="43"/>
        <v>0.65199999999999991</v>
      </c>
      <c r="V329" s="195">
        <f t="shared" si="43"/>
        <v>1.3156999999999999</v>
      </c>
      <c r="W329" s="195">
        <f>IFERROR(INDEX('Ashed teabags wet'!$K$2:$K$821,MATCH(H329,'Ashed teabags wet'!$A$2:$A$821,0)),"")</f>
        <v>11.012345679011846</v>
      </c>
      <c r="X329" s="195">
        <f>IFERROR(INDEX('Ashed teabags wet'!$K$2:$K$821,MATCH(I329,'Ashed teabags wet'!$A$2:$A$821,0)),"")</f>
        <v>7.4839980305272942</v>
      </c>
      <c r="Y329" s="195">
        <f t="shared" si="37"/>
        <v>0.58019950617284266</v>
      </c>
      <c r="Z329" s="195">
        <f t="shared" si="37"/>
        <v>1.2172330379123522</v>
      </c>
      <c r="AA329" s="195">
        <f t="shared" si="44"/>
        <v>0.67478885754328544</v>
      </c>
      <c r="AB329" s="195">
        <f t="shared" si="45"/>
        <v>0.44237939354381667</v>
      </c>
      <c r="AC329" s="195">
        <f t="shared" si="38"/>
        <v>0.65900682566218605</v>
      </c>
      <c r="AD329">
        <f t="shared" si="39"/>
        <v>55</v>
      </c>
      <c r="AE329" s="195">
        <f t="shared" si="46"/>
        <v>0.19858805517424527</v>
      </c>
      <c r="AF329" s="195">
        <f t="shared" si="47"/>
        <v>2.6786012612355966E-2</v>
      </c>
      <c r="AG329" s="255" t="str">
        <f>IF(ISNUMBER(SEARCH("C",'WetLitterbags placem_collection'!AD256)),"YES","NO")</f>
        <v>NO</v>
      </c>
      <c r="AH329" s="255" t="str">
        <f>IF(ISNUMBER(SEARCH("H", 'WetLitterbags placem_collection'!AF36)),"YES","NO")</f>
        <v>NO</v>
      </c>
      <c r="AI329" s="255" t="str">
        <f>IF(ISNUMBER(SEARCH("R", 'WetLitterbags placem_collection'!XF36)),"YES","NO")</f>
        <v>NO</v>
      </c>
      <c r="AJ329" s="255" t="str">
        <f>IF(ISNUMBER(SEARCH("C", 'WetLitterbags placem_collection'!WE36)),"YES","NO")</f>
        <v>NO</v>
      </c>
      <c r="AK329" s="255" t="str">
        <f>IF(ISNUMBER(SEARCH("H", 'WetLitterbags placem_collection'!AE36)),"YES","NO")</f>
        <v>NO</v>
      </c>
      <c r="AL329" s="255" t="str">
        <f>IF(ISNUMBER(SEARCH("R", 'WetLitterbags placem_collection'!AE36)),"YES","NO")</f>
        <v>NO</v>
      </c>
    </row>
    <row r="330" spans="2:38">
      <c r="B330" t="str">
        <f>'Final data_for_R_analysis_Wetse'!A476</f>
        <v>Wet</v>
      </c>
      <c r="C330" s="263">
        <f>'Final data_for_R_analysis_Wetse'!B476</f>
        <v>35</v>
      </c>
      <c r="D330" t="s">
        <v>3831</v>
      </c>
      <c r="E330" t="s">
        <v>25</v>
      </c>
      <c r="F330" s="386">
        <v>3</v>
      </c>
      <c r="G330" s="16">
        <f>'WetLitterbags placem_collection'!E37</f>
        <v>42765</v>
      </c>
      <c r="H330" s="92" t="str">
        <f>'Final data_for_R_analysis_Wetse'!J476</f>
        <v>G732</v>
      </c>
      <c r="I330" t="str">
        <f>'Final data_for_R_analysis_Wetse'!J696</f>
        <v>R69</v>
      </c>
      <c r="J330">
        <f>IFERROR(INDEX('Green_rooibos initial weight'!$C$5:$C$1749,MATCH(H330, 'Green_rooibos initial weight'!$A$5:$A$1749,0)),"")</f>
        <v>2.0880000000000001</v>
      </c>
      <c r="K330">
        <f>IFERROR(INDEX('Green_rooibos initial weight'!$C$5:$C$1749,MATCH(I330, 'Green_rooibos initial weight'!$A$5:$A$1749,0)),"")</f>
        <v>2.2149999999999999</v>
      </c>
      <c r="L330" s="195">
        <f t="shared" si="40"/>
        <v>1.8382000000000001</v>
      </c>
      <c r="M330" s="195">
        <f>AVERAGE(Ashed_controlls!$K$2:$K$11)</f>
        <v>5.5147656768714146</v>
      </c>
      <c r="N330" s="195">
        <f t="shared" si="36"/>
        <v>1.7368275773277497</v>
      </c>
      <c r="O330" s="195">
        <f t="shared" si="41"/>
        <v>1.9651999999999998</v>
      </c>
      <c r="P330" s="195">
        <f>AVERAGE(Ashed_controlls!$K$12:$K$14)</f>
        <v>2.2816647271287041</v>
      </c>
      <c r="Q330" s="195">
        <f t="shared" si="42"/>
        <v>1.9203607247824666</v>
      </c>
      <c r="R330" s="16">
        <f>IF('WetLitterbags placem_collection'!G37="N.A","",'WetLitterbags placem_collection'!G37)</f>
        <v>42820</v>
      </c>
      <c r="S330" s="195">
        <f>IF(IFERROR(INDEX('Both teabags AfterWet'!$C$3:$C$841,MATCH(H330,'Both teabags AfterWet'!$A$3:$A$841,0)),"")="N.A","",(IFERROR(INDEX('Both teabags AfterWet'!$C$3:$C$841,MATCH(H330,'Both teabags AfterWet'!$A$3:$A$841,0)),"")))</f>
        <v>0.71699999999999997</v>
      </c>
      <c r="T330" s="195">
        <f>IFERROR(INDEX('Both teabags AfterWet'!$C$3:$C$841,MATCH(I330,'Both teabags AfterWet'!$A$3:$A$841,0)),"")</f>
        <v>1.498</v>
      </c>
      <c r="U330" s="195">
        <f t="shared" si="43"/>
        <v>0.56640000000000001</v>
      </c>
      <c r="V330" s="195">
        <f t="shared" si="43"/>
        <v>1.3473999999999999</v>
      </c>
      <c r="W330" s="195">
        <f>IFERROR(INDEX('Ashed teabags wet'!$K$2:$K$821,MATCH(H330,'Ashed teabags wet'!$A$2:$A$821,0)),"")</f>
        <v>10.182896688086906</v>
      </c>
      <c r="X330" s="195">
        <f>IFERROR(INDEX('Ashed teabags wet'!$K$2:$K$821,MATCH(I330,'Ashed teabags wet'!$A$2:$A$821,0)),"")</f>
        <v>7.3362875430821557</v>
      </c>
      <c r="Y330" s="195">
        <f t="shared" si="37"/>
        <v>0.50872407315867574</v>
      </c>
      <c r="Z330" s="195">
        <f t="shared" si="37"/>
        <v>1.2485508616445109</v>
      </c>
      <c r="AA330" s="195">
        <f t="shared" si="44"/>
        <v>0.70709581089137874</v>
      </c>
      <c r="AB330" s="195">
        <f t="shared" si="45"/>
        <v>0.463559248945417</v>
      </c>
      <c r="AC330" s="195">
        <f t="shared" si="38"/>
        <v>0.65016475578354871</v>
      </c>
      <c r="AD330">
        <f t="shared" si="39"/>
        <v>55</v>
      </c>
      <c r="AE330" s="195">
        <f t="shared" si="46"/>
        <v>0.16021875191047652</v>
      </c>
      <c r="AF330" s="195">
        <f t="shared" si="47"/>
        <v>2.5548358262136119E-2</v>
      </c>
      <c r="AG330" s="255" t="str">
        <f>IF(ISNUMBER(SEARCH("C",'WetLitterbags placem_collection'!AD257)),"YES","NO")</f>
        <v>NO</v>
      </c>
      <c r="AH330" s="255" t="str">
        <f>IF(ISNUMBER(SEARCH("H", 'WetLitterbags placem_collection'!AF37)),"YES","NO")</f>
        <v>NO</v>
      </c>
      <c r="AI330" s="255" t="str">
        <f>IF(ISNUMBER(SEARCH("R", 'WetLitterbags placem_collection'!XF37)),"YES","NO")</f>
        <v>NO</v>
      </c>
      <c r="AJ330" s="255" t="str">
        <f>IF(ISNUMBER(SEARCH("C", 'WetLitterbags placem_collection'!WE37)),"YES","NO")</f>
        <v>NO</v>
      </c>
      <c r="AK330" s="255" t="str">
        <f>IF(ISNUMBER(SEARCH("H", 'WetLitterbags placem_collection'!AE37)),"YES","NO")</f>
        <v>NO</v>
      </c>
      <c r="AL330" s="255" t="str">
        <f>IF(ISNUMBER(SEARCH("R", 'WetLitterbags placem_collection'!AE37)),"YES","NO")</f>
        <v>NO</v>
      </c>
    </row>
    <row r="331" spans="2:38">
      <c r="B331" t="str">
        <f>'Final data_for_R_analysis_Wetse'!A477</f>
        <v>Wet</v>
      </c>
      <c r="C331" s="263">
        <f>'Final data_for_R_analysis_Wetse'!B477</f>
        <v>36</v>
      </c>
      <c r="D331" t="s">
        <v>3831</v>
      </c>
      <c r="E331" t="s">
        <v>25</v>
      </c>
      <c r="F331" s="387">
        <v>4</v>
      </c>
      <c r="G331" s="16">
        <f>'WetLitterbags placem_collection'!E38</f>
        <v>42765</v>
      </c>
      <c r="H331" s="92" t="str">
        <f>'Final data_for_R_analysis_Wetse'!J477</f>
        <v>G550</v>
      </c>
      <c r="I331" t="str">
        <f>'Final data_for_R_analysis_Wetse'!J697</f>
        <v>R97</v>
      </c>
      <c r="J331">
        <f>IFERROR(INDEX('Green_rooibos initial weight'!$C$5:$C$1749,MATCH(H331, 'Green_rooibos initial weight'!$A$5:$A$1749,0)),"")</f>
        <v>2.097</v>
      </c>
      <c r="K331">
        <f>IFERROR(INDEX('Green_rooibos initial weight'!$C$5:$C$1749,MATCH(I331, 'Green_rooibos initial weight'!$A$5:$A$1749,0)),"")</f>
        <v>2.2959999999999998</v>
      </c>
      <c r="L331" s="195">
        <f t="shared" si="40"/>
        <v>1.8472</v>
      </c>
      <c r="M331" s="195">
        <f>AVERAGE(Ashed_controlls!$K$2:$K$11)</f>
        <v>5.5147656768714146</v>
      </c>
      <c r="N331" s="195">
        <f t="shared" si="36"/>
        <v>1.7453312484168313</v>
      </c>
      <c r="O331" s="195">
        <f t="shared" si="41"/>
        <v>2.0461999999999998</v>
      </c>
      <c r="P331" s="195">
        <f>AVERAGE(Ashed_controlls!$K$12:$K$14)</f>
        <v>2.2816647271287041</v>
      </c>
      <c r="Q331" s="195">
        <f t="shared" si="42"/>
        <v>1.9995125763534922</v>
      </c>
      <c r="R331" s="16">
        <f>IF('WetLitterbags placem_collection'!G38="N.A","",'WetLitterbags placem_collection'!G38)</f>
        <v>42820</v>
      </c>
      <c r="S331" s="195">
        <f>IF(IFERROR(INDEX('Both teabags AfterWet'!$C$3:$C$841,MATCH(H331,'Both teabags AfterWet'!$A$3:$A$841,0)),"")="N.A","",(IFERROR(INDEX('Both teabags AfterWet'!$C$3:$C$841,MATCH(H331,'Both teabags AfterWet'!$A$3:$A$841,0)),"")))</f>
        <v>0.72199999999999998</v>
      </c>
      <c r="T331" s="195">
        <f>IFERROR(INDEX('Both teabags AfterWet'!$C$3:$C$841,MATCH(I331,'Both teabags AfterWet'!$A$3:$A$841,0)),"")</f>
        <v>1.671</v>
      </c>
      <c r="U331" s="195">
        <f t="shared" si="43"/>
        <v>0.57139999999999991</v>
      </c>
      <c r="V331" s="195">
        <f t="shared" si="43"/>
        <v>1.5204</v>
      </c>
      <c r="W331" s="195">
        <f>IFERROR(INDEX('Ashed teabags wet'!$K$2:$K$821,MATCH(H331,'Ashed teabags wet'!$A$2:$A$821,0)),"")</f>
        <v>6.3737324963780466</v>
      </c>
      <c r="X331" s="195">
        <f>IFERROR(INDEX('Ashed teabags wet'!$K$2:$K$821,MATCH(I331,'Ashed teabags wet'!$A$2:$A$821,0)),"")</f>
        <v>2.0873786407763748</v>
      </c>
      <c r="Y331" s="195">
        <f t="shared" si="37"/>
        <v>0.53498049251569579</v>
      </c>
      <c r="Z331" s="195">
        <f t="shared" si="37"/>
        <v>1.4886634951456359</v>
      </c>
      <c r="AA331" s="195">
        <f t="shared" si="44"/>
        <v>0.69347910718898198</v>
      </c>
      <c r="AB331" s="195">
        <f t="shared" si="45"/>
        <v>0.45463238381035403</v>
      </c>
      <c r="AC331" s="195">
        <f t="shared" si="38"/>
        <v>0.74451319424082296</v>
      </c>
      <c r="AD331">
        <f t="shared" si="39"/>
        <v>55</v>
      </c>
      <c r="AE331" s="195">
        <f t="shared" si="46"/>
        <v>0.17639060903921377</v>
      </c>
      <c r="AF331" s="195">
        <f t="shared" si="47"/>
        <v>1.5008237080840375E-2</v>
      </c>
      <c r="AG331" s="255" t="str">
        <f>IF(ISNUMBER(SEARCH("C",'WetLitterbags placem_collection'!AD258)),"YES","NO")</f>
        <v>NO</v>
      </c>
      <c r="AH331" s="255" t="str">
        <f>IF(ISNUMBER(SEARCH("H", 'WetLitterbags placem_collection'!AF38)),"YES","NO")</f>
        <v>NO</v>
      </c>
      <c r="AI331" s="255" t="str">
        <f>IF(ISNUMBER(SEARCH("R", 'WetLitterbags placem_collection'!XF38)),"YES","NO")</f>
        <v>NO</v>
      </c>
      <c r="AJ331" s="255" t="str">
        <f>IF(ISNUMBER(SEARCH("C", 'WetLitterbags placem_collection'!WE38)),"YES","NO")</f>
        <v>NO</v>
      </c>
      <c r="AK331" s="255" t="str">
        <f>IF(ISNUMBER(SEARCH("H", 'WetLitterbags placem_collection'!AE38)),"YES","NO")</f>
        <v>NO</v>
      </c>
      <c r="AL331" s="255" t="str">
        <f>IF(ISNUMBER(SEARCH("R", 'WetLitterbags placem_collection'!AE38)),"YES","NO")</f>
        <v>NO</v>
      </c>
    </row>
    <row r="332" spans="2:38">
      <c r="B332" t="str">
        <f>'Final data_for_R_analysis_Wetse'!A478</f>
        <v>Wet</v>
      </c>
      <c r="C332" s="263">
        <f>'Final data_for_R_analysis_Wetse'!B478</f>
        <v>37</v>
      </c>
      <c r="D332" t="s">
        <v>3831</v>
      </c>
      <c r="E332" t="s">
        <v>25</v>
      </c>
      <c r="F332" s="387">
        <v>5</v>
      </c>
      <c r="G332" s="16">
        <f>'WetLitterbags placem_collection'!E39</f>
        <v>42765</v>
      </c>
      <c r="H332" s="92" t="str">
        <f>'Final data_for_R_analysis_Wetse'!J478</f>
        <v>G528</v>
      </c>
      <c r="I332" t="str">
        <f>'Final data_for_R_analysis_Wetse'!J698</f>
        <v>R89</v>
      </c>
      <c r="J332">
        <f>IFERROR(INDEX('Green_rooibos initial weight'!$C$5:$C$1749,MATCH(H332, 'Green_rooibos initial weight'!$A$5:$A$1749,0)),"")</f>
        <v>2.14</v>
      </c>
      <c r="K332">
        <f>IFERROR(INDEX('Green_rooibos initial weight'!$C$5:$C$1749,MATCH(I332, 'Green_rooibos initial weight'!$A$5:$A$1749,0)),"")</f>
        <v>2.1949999999999998</v>
      </c>
      <c r="L332" s="195">
        <f t="shared" si="40"/>
        <v>1.8902000000000001</v>
      </c>
      <c r="M332" s="195">
        <f>AVERAGE(Ashed_controlls!$K$2:$K$11)</f>
        <v>5.5147656768714146</v>
      </c>
      <c r="N332" s="195">
        <f t="shared" ref="N332:N395" si="48">IFERROR(L332-(M332/100)*L332,"")</f>
        <v>1.7859598991757766</v>
      </c>
      <c r="O332" s="195">
        <f t="shared" si="41"/>
        <v>1.9451999999999998</v>
      </c>
      <c r="P332" s="195">
        <f>AVERAGE(Ashed_controlls!$K$12:$K$14)</f>
        <v>2.2816647271287041</v>
      </c>
      <c r="Q332" s="195">
        <f t="shared" si="42"/>
        <v>1.9008170577278922</v>
      </c>
      <c r="R332" s="16">
        <f>IF('WetLitterbags placem_collection'!G39="N.A","",'WetLitterbags placem_collection'!G39)</f>
        <v>42820</v>
      </c>
      <c r="S332" s="195">
        <f>IF(IFERROR(INDEX('Both teabags AfterWet'!$C$3:$C$841,MATCH(H332,'Both teabags AfterWet'!$A$3:$A$841,0)),"")="N.A","",(IFERROR(INDEX('Both teabags AfterWet'!$C$3:$C$841,MATCH(H332,'Both teabags AfterWet'!$A$3:$A$841,0)),"")))</f>
        <v>0.89600000000000002</v>
      </c>
      <c r="T332" s="195">
        <f>IFERROR(INDEX('Both teabags AfterWet'!$C$3:$C$841,MATCH(I332,'Both teabags AfterWet'!$A$3:$A$841,0)),"")</f>
        <v>1.425</v>
      </c>
      <c r="U332" s="195">
        <f t="shared" si="43"/>
        <v>0.74540000000000006</v>
      </c>
      <c r="V332" s="195">
        <f t="shared" si="43"/>
        <v>1.2744</v>
      </c>
      <c r="W332" s="195">
        <f>IFERROR(INDEX('Ashed teabags wet'!$K$2:$K$821,MATCH(H332,'Ashed teabags wet'!$A$2:$A$821,0)),"")</f>
        <v>15.032354405176665</v>
      </c>
      <c r="X332" s="195">
        <f>IFERROR(INDEX('Ashed teabags wet'!$K$2:$K$821,MATCH(I332,'Ashed teabags wet'!$A$2:$A$821,0)),"")</f>
        <v>8.2721488007830519</v>
      </c>
      <c r="Y332" s="195">
        <f t="shared" ref="Y332:Z395" si="49">IFERROR(U332-(W332/100)*U332,"")</f>
        <v>0.63334883026381317</v>
      </c>
      <c r="Z332" s="195">
        <f t="shared" si="49"/>
        <v>1.1689797356828207</v>
      </c>
      <c r="AA332" s="195">
        <f t="shared" si="44"/>
        <v>0.64537343164529914</v>
      </c>
      <c r="AB332" s="195">
        <f t="shared" si="45"/>
        <v>0.42309517133991109</v>
      </c>
      <c r="AC332" s="195">
        <f t="shared" ref="AC332:AC395" si="50">IFERROR(Z332/Q332,"")</f>
        <v>0.61498802892696036</v>
      </c>
      <c r="AD332">
        <f t="shared" ref="AD332:AD395" si="51">IF((R332-G332)&gt;0,(IFERROR(R332-G332,"")),"")</f>
        <v>55</v>
      </c>
      <c r="AE332" s="195">
        <f t="shared" si="46"/>
        <v>0.23352324032624805</v>
      </c>
      <c r="AF332" s="195">
        <f t="shared" si="47"/>
        <v>4.3778616328604601E-2</v>
      </c>
      <c r="AG332" s="255" t="str">
        <f>IF(ISNUMBER(SEARCH("C",'WetLitterbags placem_collection'!AD259)),"YES","NO")</f>
        <v>NO</v>
      </c>
      <c r="AH332" s="255" t="str">
        <f>IF(ISNUMBER(SEARCH("H", 'WetLitterbags placem_collection'!AF39)),"YES","NO")</f>
        <v>NO</v>
      </c>
      <c r="AI332" s="255" t="str">
        <f>IF(ISNUMBER(SEARCH("R", 'WetLitterbags placem_collection'!XF39)),"YES","NO")</f>
        <v>NO</v>
      </c>
      <c r="AJ332" s="255" t="str">
        <f>IF(ISNUMBER(SEARCH("C", 'WetLitterbags placem_collection'!WE39)),"YES","NO")</f>
        <v>NO</v>
      </c>
      <c r="AK332" s="255" t="str">
        <f>IF(ISNUMBER(SEARCH("H", 'WetLitterbags placem_collection'!AE39)),"YES","NO")</f>
        <v>NO</v>
      </c>
      <c r="AL332" s="255" t="str">
        <f>IF(ISNUMBER(SEARCH("R", 'WetLitterbags placem_collection'!AE39)),"YES","NO")</f>
        <v>NO</v>
      </c>
    </row>
    <row r="333" spans="2:38">
      <c r="B333" t="str">
        <f>'Final data_for_R_analysis_Wetse'!A479</f>
        <v>Wet</v>
      </c>
      <c r="C333" s="263">
        <f>'Final data_for_R_analysis_Wetse'!B479</f>
        <v>38</v>
      </c>
      <c r="D333" t="s">
        <v>3831</v>
      </c>
      <c r="E333" t="s">
        <v>25</v>
      </c>
      <c r="F333" s="387">
        <v>6</v>
      </c>
      <c r="G333" s="16">
        <f>'WetLitterbags placem_collection'!E40</f>
        <v>42765</v>
      </c>
      <c r="H333" s="92" t="str">
        <f>'Final data_for_R_analysis_Wetse'!J479</f>
        <v>G703</v>
      </c>
      <c r="I333" t="str">
        <f>'Final data_for_R_analysis_Wetse'!J699</f>
        <v>R147</v>
      </c>
      <c r="J333">
        <f>IFERROR(INDEX('Green_rooibos initial weight'!$C$5:$C$1749,MATCH(H333, 'Green_rooibos initial weight'!$A$5:$A$1749,0)),"")</f>
        <v>1.9159999999999999</v>
      </c>
      <c r="K333">
        <f>IFERROR(INDEX('Green_rooibos initial weight'!$C$5:$C$1749,MATCH(I333, 'Green_rooibos initial weight'!$A$5:$A$1749,0)),"")</f>
        <v>2.1960000000000002</v>
      </c>
      <c r="L333" s="195">
        <f t="shared" ref="L333:L396" si="52">IF(J333&gt;0,(J333*$F$31-($F$29+$F$30)),"")</f>
        <v>1.6661999999999999</v>
      </c>
      <c r="M333" s="195">
        <f>AVERAGE(Ashed_controlls!$K$2:$K$11)</f>
        <v>5.5147656768714146</v>
      </c>
      <c r="N333" s="195">
        <f t="shared" si="48"/>
        <v>1.5743129742919684</v>
      </c>
      <c r="O333" s="195">
        <f t="shared" ref="O333:O396" si="53">IF(K333&gt;0,(K333*$F$32-($F$29+$F$30)),"")</f>
        <v>1.9462000000000002</v>
      </c>
      <c r="P333" s="195">
        <f>AVERAGE(Ashed_controlls!$K$12:$K$14)</f>
        <v>2.2816647271287041</v>
      </c>
      <c r="Q333" s="195">
        <f t="shared" ref="Q333:Q396" si="54">IFERROR(O333-(P333/100)*O333,"")</f>
        <v>1.9017942410806212</v>
      </c>
      <c r="R333" s="16">
        <f>IF('WetLitterbags placem_collection'!G40="N.A","",'WetLitterbags placem_collection'!G40)</f>
        <v>42820</v>
      </c>
      <c r="S333" s="195">
        <f>IF(IFERROR(INDEX('Both teabags AfterWet'!$C$3:$C$841,MATCH(H333,'Both teabags AfterWet'!$A$3:$A$841,0)),"")="N.A","",(IFERROR(INDEX('Both teabags AfterWet'!$C$3:$C$841,MATCH(H333,'Both teabags AfterWet'!$A$3:$A$841,0)),"")))</f>
        <v>0.81899999999999995</v>
      </c>
      <c r="T333" s="195">
        <f>IFERROR(INDEX('Both teabags AfterWet'!$C$3:$C$841,MATCH(I333,'Both teabags AfterWet'!$A$3:$A$841,0)),"")</f>
        <v>1.381</v>
      </c>
      <c r="U333" s="195">
        <f t="shared" ref="U333:V396" si="55">IFERROR(IF(S333&gt;0,S333-($F$29),""),"")</f>
        <v>0.66839999999999988</v>
      </c>
      <c r="V333" s="195">
        <f t="shared" si="55"/>
        <v>1.2303999999999999</v>
      </c>
      <c r="W333" s="195">
        <f>IFERROR(INDEX('Ashed teabags wet'!$K$2:$K$821,MATCH(H333,'Ashed teabags wet'!$A$2:$A$821,0)),"")</f>
        <v>13.181367690782835</v>
      </c>
      <c r="X333" s="195">
        <f>IFERROR(INDEX('Ashed teabags wet'!$K$2:$K$821,MATCH(I333,'Ashed teabags wet'!$A$2:$A$821,0)),"")</f>
        <v>6.8948891031825541</v>
      </c>
      <c r="Y333" s="195">
        <f t="shared" si="49"/>
        <v>0.58029573835480741</v>
      </c>
      <c r="Z333" s="195">
        <f t="shared" si="49"/>
        <v>1.1455652844744417</v>
      </c>
      <c r="AA333" s="195">
        <f t="shared" ref="AA333:AA396" si="56">IFERROR(1-Y333/N333,"")</f>
        <v>0.6313974744343388</v>
      </c>
      <c r="AB333" s="195">
        <f t="shared" ref="AB333:AB396" si="57">IFERROR($F$26*(1-AE333),"")</f>
        <v>0.41393278608997036</v>
      </c>
      <c r="AC333" s="195">
        <f t="shared" si="50"/>
        <v>0.60236026575804458</v>
      </c>
      <c r="AD333">
        <f t="shared" si="51"/>
        <v>55</v>
      </c>
      <c r="AE333" s="195">
        <f t="shared" ref="AE333:AE396" si="58">IFERROR(1-(AA333/$F$25),"")</f>
        <v>0.25012176432976385</v>
      </c>
      <c r="AF333" s="195">
        <f t="shared" ref="AF333:AF396" si="59">IFERROR(LN(AB333/(AC333-(1-AB333)))/AD333,"")</f>
        <v>5.8817542877506811E-2</v>
      </c>
      <c r="AG333" s="255" t="str">
        <f>IF(ISNUMBER(SEARCH("C",'WetLitterbags placem_collection'!AD260)),"YES","NO")</f>
        <v>NO</v>
      </c>
      <c r="AH333" s="255" t="str">
        <f>IF(ISNUMBER(SEARCH("H", 'WetLitterbags placem_collection'!AF40)),"YES","NO")</f>
        <v>NO</v>
      </c>
      <c r="AI333" s="255" t="str">
        <f>IF(ISNUMBER(SEARCH("R", 'WetLitterbags placem_collection'!XF40)),"YES","NO")</f>
        <v>NO</v>
      </c>
      <c r="AJ333" s="255" t="str">
        <f>IF(ISNUMBER(SEARCH("C", 'WetLitterbags placem_collection'!WE40)),"YES","NO")</f>
        <v>NO</v>
      </c>
      <c r="AK333" s="255" t="str">
        <f>IF(ISNUMBER(SEARCH("H", 'WetLitterbags placem_collection'!AE40)),"YES","NO")</f>
        <v>NO</v>
      </c>
      <c r="AL333" s="255" t="str">
        <f>IF(ISNUMBER(SEARCH("R", 'WetLitterbags placem_collection'!AE40)),"YES","NO")</f>
        <v>NO</v>
      </c>
    </row>
    <row r="334" spans="2:38">
      <c r="B334" t="str">
        <f>'Final data_for_R_analysis_Wetse'!A480</f>
        <v>Wet</v>
      </c>
      <c r="C334" s="263">
        <f>'Final data_for_R_analysis_Wetse'!B480</f>
        <v>39</v>
      </c>
      <c r="D334" t="s">
        <v>3831</v>
      </c>
      <c r="E334" t="s">
        <v>25</v>
      </c>
      <c r="F334" s="387">
        <v>7</v>
      </c>
      <c r="G334" s="16">
        <f>'WetLitterbags placem_collection'!E41</f>
        <v>42765</v>
      </c>
      <c r="H334" s="92" t="str">
        <f>'Final data_for_R_analysis_Wetse'!J480</f>
        <v>G566</v>
      </c>
      <c r="I334" t="str">
        <f>'Final data_for_R_analysis_Wetse'!J700</f>
        <v>R65</v>
      </c>
      <c r="J334">
        <f>IFERROR(INDEX('Green_rooibos initial weight'!$C$5:$C$1749,MATCH(H334, 'Green_rooibos initial weight'!$A$5:$A$1749,0)),"")</f>
        <v>2.0449999999999999</v>
      </c>
      <c r="K334">
        <f>IFERROR(INDEX('Green_rooibos initial weight'!$C$5:$C$1749,MATCH(I334, 'Green_rooibos initial weight'!$A$5:$A$1749,0)),"")</f>
        <v>2.2559999999999998</v>
      </c>
      <c r="L334" s="195">
        <f t="shared" si="52"/>
        <v>1.7951999999999999</v>
      </c>
      <c r="M334" s="195">
        <f>AVERAGE(Ashed_controlls!$K$2:$K$11)</f>
        <v>5.5147656768714146</v>
      </c>
      <c r="N334" s="195">
        <f t="shared" si="48"/>
        <v>1.6961989265688042</v>
      </c>
      <c r="O334" s="195">
        <f t="shared" si="53"/>
        <v>2.0061999999999998</v>
      </c>
      <c r="P334" s="195">
        <f>AVERAGE(Ashed_controlls!$K$12:$K$14)</f>
        <v>2.2816647271287041</v>
      </c>
      <c r="Q334" s="195">
        <f t="shared" si="54"/>
        <v>1.9604252422443438</v>
      </c>
      <c r="R334" s="16">
        <f>IF('WetLitterbags placem_collection'!G41="N.A","",'WetLitterbags placem_collection'!G41)</f>
        <v>42820</v>
      </c>
      <c r="S334" s="195">
        <f>IF(IFERROR(INDEX('Both teabags AfterWet'!$C$3:$C$841,MATCH(H334,'Both teabags AfterWet'!$A$3:$A$841,0)),"")="N.A","",(IFERROR(INDEX('Both teabags AfterWet'!$C$3:$C$841,MATCH(H334,'Both teabags AfterWet'!$A$3:$A$841,0)),"")))</f>
        <v>0.78520000000000001</v>
      </c>
      <c r="T334" s="195">
        <f>IFERROR(INDEX('Both teabags AfterWet'!$C$3:$C$841,MATCH(I334,'Both teabags AfterWet'!$A$3:$A$841,0)),"")</f>
        <v>1.5185</v>
      </c>
      <c r="U334" s="195">
        <f t="shared" si="55"/>
        <v>0.63460000000000005</v>
      </c>
      <c r="V334" s="195">
        <f t="shared" si="55"/>
        <v>1.3678999999999999</v>
      </c>
      <c r="W334" s="195">
        <f>IFERROR(INDEX('Ashed teabags wet'!$K$2:$K$821,MATCH(H334,'Ashed teabags wet'!$A$2:$A$821,0)),"")</f>
        <v>4.4278606965170084</v>
      </c>
      <c r="X334" s="195">
        <f>IFERROR(INDEX('Ashed teabags wet'!$K$2:$K$821,MATCH(I334,'Ashed teabags wet'!$A$2:$A$821,0)),"")</f>
        <v>3.3680039623575757</v>
      </c>
      <c r="Y334" s="195">
        <f t="shared" si="49"/>
        <v>0.60650079601990314</v>
      </c>
      <c r="Z334" s="195">
        <f t="shared" si="49"/>
        <v>1.3218290737989107</v>
      </c>
      <c r="AA334" s="195">
        <f t="shared" si="56"/>
        <v>0.64243533790769614</v>
      </c>
      <c r="AB334" s="195">
        <f t="shared" si="57"/>
        <v>0.42116901012476043</v>
      </c>
      <c r="AC334" s="195">
        <f t="shared" si="50"/>
        <v>0.67425630180401463</v>
      </c>
      <c r="AD334">
        <f t="shared" si="51"/>
        <v>55</v>
      </c>
      <c r="AE334" s="195">
        <f t="shared" si="58"/>
        <v>0.23701266281746303</v>
      </c>
      <c r="AF334" s="195">
        <f t="shared" si="59"/>
        <v>2.6994369725230224E-2</v>
      </c>
      <c r="AG334" s="255" t="str">
        <f>IF(ISNUMBER(SEARCH("C",'WetLitterbags placem_collection'!AD261)),"YES","NO")</f>
        <v>NO</v>
      </c>
      <c r="AH334" s="255" t="str">
        <f>IF(ISNUMBER(SEARCH("H", 'WetLitterbags placem_collection'!AF41)),"YES","NO")</f>
        <v>NO</v>
      </c>
      <c r="AI334" s="255" t="str">
        <f>IF(ISNUMBER(SEARCH("R", 'WetLitterbags placem_collection'!XF41)),"YES","NO")</f>
        <v>NO</v>
      </c>
      <c r="AJ334" s="255" t="str">
        <f>IF(ISNUMBER(SEARCH("C", 'WetLitterbags placem_collection'!WE41)),"YES","NO")</f>
        <v>NO</v>
      </c>
      <c r="AK334" s="255" t="str">
        <f>IF(ISNUMBER(SEARCH("H", 'WetLitterbags placem_collection'!AE41)),"YES","NO")</f>
        <v>NO</v>
      </c>
      <c r="AL334" s="255" t="str">
        <f>IF(ISNUMBER(SEARCH("R", 'WetLitterbags placem_collection'!AE41)),"YES","NO")</f>
        <v>NO</v>
      </c>
    </row>
    <row r="335" spans="2:38">
      <c r="B335" t="str">
        <f>'Final data_for_R_analysis_Wetse'!A481</f>
        <v>Wet</v>
      </c>
      <c r="C335" s="263">
        <f>'Final data_for_R_analysis_Wetse'!B481</f>
        <v>40</v>
      </c>
      <c r="D335" t="s">
        <v>3831</v>
      </c>
      <c r="E335" t="s">
        <v>25</v>
      </c>
      <c r="F335" s="387">
        <v>8</v>
      </c>
      <c r="G335" s="16">
        <f>'WetLitterbags placem_collection'!E42</f>
        <v>42765</v>
      </c>
      <c r="H335" s="92" t="str">
        <f>'Final data_for_R_analysis_Wetse'!J481</f>
        <v>G619</v>
      </c>
      <c r="I335" t="str">
        <f>'Final data_for_R_analysis_Wetse'!J701</f>
        <v>R420</v>
      </c>
      <c r="J335">
        <f>IFERROR(INDEX('Green_rooibos initial weight'!$C$5:$C$1749,MATCH(H335, 'Green_rooibos initial weight'!$A$5:$A$1749,0)),"")</f>
        <v>2.036</v>
      </c>
      <c r="K335">
        <f>IFERROR(INDEX('Green_rooibos initial weight'!$C$5:$C$1749,MATCH(I335, 'Green_rooibos initial weight'!$A$5:$A$1749,0)),"")</f>
        <v>2.2749999999999999</v>
      </c>
      <c r="L335" s="195">
        <f t="shared" si="52"/>
        <v>1.7862</v>
      </c>
      <c r="M335" s="195">
        <f>AVERAGE(Ashed_controlls!$K$2:$K$11)</f>
        <v>5.5147656768714146</v>
      </c>
      <c r="N335" s="195">
        <f t="shared" si="48"/>
        <v>1.6876952554797229</v>
      </c>
      <c r="O335" s="195">
        <f t="shared" si="53"/>
        <v>2.0251999999999999</v>
      </c>
      <c r="P335" s="195">
        <f>AVERAGE(Ashed_controlls!$K$12:$K$14)</f>
        <v>2.2816647271287041</v>
      </c>
      <c r="Q335" s="195">
        <f t="shared" si="54"/>
        <v>1.9789917259461893</v>
      </c>
      <c r="R335" s="16">
        <f>IF('WetLitterbags placem_collection'!G42="N.A","",'WetLitterbags placem_collection'!G42)</f>
        <v>42820</v>
      </c>
      <c r="S335" s="195">
        <f>IF(IFERROR(INDEX('Both teabags AfterWet'!$C$3:$C$841,MATCH(H335,'Both teabags AfterWet'!$A$3:$A$841,0)),"")="N.A","",(IFERROR(INDEX('Both teabags AfterWet'!$C$3:$C$841,MATCH(H335,'Both teabags AfterWet'!$A$3:$A$841,0)),"")))</f>
        <v>0.70599999999999996</v>
      </c>
      <c r="T335" s="195">
        <f>IFERROR(INDEX('Both teabags AfterWet'!$C$3:$C$841,MATCH(I335,'Both teabags AfterWet'!$A$3:$A$841,0)),"")</f>
        <v>1.66</v>
      </c>
      <c r="U335" s="195">
        <f t="shared" si="55"/>
        <v>0.55539999999999989</v>
      </c>
      <c r="V335" s="195">
        <f t="shared" si="55"/>
        <v>1.5093999999999999</v>
      </c>
      <c r="W335" s="195">
        <f>IFERROR(INDEX('Ashed teabags wet'!$K$2:$K$821,MATCH(H335,'Ashed teabags wet'!$A$2:$A$821,0)),"")</f>
        <v>8.6005830903788301</v>
      </c>
      <c r="X335" s="195">
        <f>IFERROR(INDEX('Ashed teabags wet'!$K$2:$K$821,MATCH(I335,'Ashed teabags wet'!$A$2:$A$821,0)),"")</f>
        <v>4.7856430707881614</v>
      </c>
      <c r="Y335" s="195">
        <f t="shared" si="49"/>
        <v>0.50763236151603586</v>
      </c>
      <c r="Z335" s="195">
        <f t="shared" si="49"/>
        <v>1.4371655034895234</v>
      </c>
      <c r="AA335" s="195">
        <f t="shared" si="56"/>
        <v>0.69921562564816075</v>
      </c>
      <c r="AB335" s="195">
        <f t="shared" si="57"/>
        <v>0.45839314175508883</v>
      </c>
      <c r="AC335" s="195">
        <f t="shared" si="50"/>
        <v>0.72621097129771495</v>
      </c>
      <c r="AD335">
        <f t="shared" si="51"/>
        <v>55</v>
      </c>
      <c r="AE335" s="195">
        <f t="shared" si="58"/>
        <v>0.16957764174802759</v>
      </c>
      <c r="AF335" s="195">
        <f t="shared" si="59"/>
        <v>1.6536610932873688E-2</v>
      </c>
      <c r="AG335" s="255" t="str">
        <f>IF(ISNUMBER(SEARCH("C",'WetLitterbags placem_collection'!AD262)),"YES","NO")</f>
        <v>NO</v>
      </c>
      <c r="AH335" s="255" t="str">
        <f>IF(ISNUMBER(SEARCH("H", 'WetLitterbags placem_collection'!AF42)),"YES","NO")</f>
        <v>NO</v>
      </c>
      <c r="AI335" s="255" t="str">
        <f>IF(ISNUMBER(SEARCH("R", 'WetLitterbags placem_collection'!XF42)),"YES","NO")</f>
        <v>NO</v>
      </c>
      <c r="AJ335" s="255" t="str">
        <f>IF(ISNUMBER(SEARCH("C", 'WetLitterbags placem_collection'!WE42)),"YES","NO")</f>
        <v>NO</v>
      </c>
      <c r="AK335" s="255" t="str">
        <f>IF(ISNUMBER(SEARCH("H", 'WetLitterbags placem_collection'!AE42)),"YES","NO")</f>
        <v>NO</v>
      </c>
      <c r="AL335" s="255" t="str">
        <f>IF(ISNUMBER(SEARCH("R", 'WetLitterbags placem_collection'!AE42)),"YES","NO")</f>
        <v>NO</v>
      </c>
    </row>
    <row r="336" spans="2:38">
      <c r="B336" t="str">
        <f>'Final data_for_R_analysis_Wetse'!A482</f>
        <v>Wet</v>
      </c>
      <c r="C336" s="263">
        <f>'Final data_for_R_analysis_Wetse'!B482</f>
        <v>41</v>
      </c>
      <c r="D336" t="s">
        <v>3833</v>
      </c>
      <c r="E336" t="s">
        <v>25</v>
      </c>
      <c r="F336" s="386">
        <v>1</v>
      </c>
      <c r="G336" s="16">
        <f>'WetLitterbags placem_collection'!E43</f>
        <v>42766</v>
      </c>
      <c r="H336" s="92" t="str">
        <f>'Final data_for_R_analysis_Wetse'!J482</f>
        <v>G626</v>
      </c>
      <c r="I336" t="str">
        <f>'Final data_for_R_analysis_Wetse'!J702</f>
        <v>R77</v>
      </c>
      <c r="J336">
        <f>IFERROR(INDEX('Green_rooibos initial weight'!$C$5:$C$1749,MATCH(H336, 'Green_rooibos initial weight'!$A$5:$A$1749,0)),"")</f>
        <v>2.1179999999999999</v>
      </c>
      <c r="K336">
        <f>IFERROR(INDEX('Green_rooibos initial weight'!$C$5:$C$1749,MATCH(I336, 'Green_rooibos initial weight'!$A$5:$A$1749,0)),"")</f>
        <v>2.1749999999999998</v>
      </c>
      <c r="L336" s="195">
        <f t="shared" si="52"/>
        <v>1.8681999999999999</v>
      </c>
      <c r="M336" s="195">
        <f>AVERAGE(Ashed_controlls!$K$2:$K$11)</f>
        <v>5.5147656768714146</v>
      </c>
      <c r="N336" s="195">
        <f t="shared" si="48"/>
        <v>1.7651731476246881</v>
      </c>
      <c r="O336" s="195">
        <f t="shared" si="53"/>
        <v>1.9251999999999998</v>
      </c>
      <c r="P336" s="195">
        <f>AVERAGE(Ashed_controlls!$K$12:$K$14)</f>
        <v>2.2816647271287041</v>
      </c>
      <c r="Q336" s="195">
        <f t="shared" si="54"/>
        <v>1.8812733906733179</v>
      </c>
      <c r="R336" s="16">
        <f>IF('WetLitterbags placem_collection'!G43="N.A","",'WetLitterbags placem_collection'!G43)</f>
        <v>42820</v>
      </c>
      <c r="S336" s="195" t="str">
        <f>IF(IFERROR(INDEX('Both teabags AfterWet'!$C$3:$C$841,MATCH(H336,'Both teabags AfterWet'!$A$3:$A$841,0)),"")="N.A","",(IFERROR(INDEX('Both teabags AfterWet'!$C$3:$C$841,MATCH(H336,'Both teabags AfterWet'!$A$3:$A$841,0)),"")))</f>
        <v/>
      </c>
      <c r="T336" s="195">
        <f>IFERROR(INDEX('Both teabags AfterWet'!$C$3:$C$841,MATCH(I336,'Both teabags AfterWet'!$A$3:$A$841,0)),"")</f>
        <v>1.5429999999999999</v>
      </c>
      <c r="U336" s="195" t="str">
        <f t="shared" si="55"/>
        <v/>
      </c>
      <c r="V336" s="195">
        <f t="shared" si="55"/>
        <v>1.3923999999999999</v>
      </c>
      <c r="W336" s="195">
        <f>IFERROR(INDEX('Ashed teabags wet'!$K$2:$K$821,MATCH(H336,'Ashed teabags wet'!$A$2:$A$821,0)),"")</f>
        <v>11.014911014910776</v>
      </c>
      <c r="X336" s="195">
        <f>IFERROR(INDEX('Ashed teabags wet'!$K$2:$K$821,MATCH(I336,'Ashed teabags wet'!$A$2:$A$821,0)),"")</f>
        <v>6.0530265132569756</v>
      </c>
      <c r="Y336" s="195" t="str">
        <f t="shared" si="49"/>
        <v/>
      </c>
      <c r="Z336" s="195">
        <f t="shared" si="49"/>
        <v>1.3081176588294097</v>
      </c>
      <c r="AA336" s="195" t="str">
        <f t="shared" si="56"/>
        <v/>
      </c>
      <c r="AB336" s="195" t="str">
        <f t="shared" si="57"/>
        <v/>
      </c>
      <c r="AC336" s="195">
        <f t="shared" si="50"/>
        <v>0.69533628940620229</v>
      </c>
      <c r="AD336">
        <f t="shared" si="51"/>
        <v>54</v>
      </c>
      <c r="AE336" s="195" t="str">
        <f t="shared" si="58"/>
        <v/>
      </c>
      <c r="AF336" s="195" t="str">
        <f t="shared" si="59"/>
        <v/>
      </c>
      <c r="AG336" s="255" t="str">
        <f>IF(ISNUMBER(SEARCH("C",'WetLitterbags placem_collection'!AD263)),"YES","NO")</f>
        <v>NO</v>
      </c>
      <c r="AH336" s="255" t="str">
        <f>IF(ISNUMBER(SEARCH("H", 'WetLitterbags placem_collection'!AF43)),"YES","NO")</f>
        <v>NO</v>
      </c>
      <c r="AI336" s="255" t="str">
        <f>IF(ISNUMBER(SEARCH("R", 'WetLitterbags placem_collection'!XF43)),"YES","NO")</f>
        <v>NO</v>
      </c>
      <c r="AJ336" s="255" t="str">
        <f>IF(ISNUMBER(SEARCH("C", 'WetLitterbags placem_collection'!WE43)),"YES","NO")</f>
        <v>NO</v>
      </c>
      <c r="AK336" s="255" t="str">
        <f>IF(ISNUMBER(SEARCH("H", 'WetLitterbags placem_collection'!AE43)),"YES","NO")</f>
        <v>NO</v>
      </c>
      <c r="AL336" s="255" t="str">
        <f>IF(ISNUMBER(SEARCH("R", 'WetLitterbags placem_collection'!AE43)),"YES","NO")</f>
        <v>NO</v>
      </c>
    </row>
    <row r="337" spans="2:38">
      <c r="B337" t="str">
        <f>'Final data_for_R_analysis_Wetse'!A483</f>
        <v>Wet</v>
      </c>
      <c r="C337" s="263">
        <f>'Final data_for_R_analysis_Wetse'!B483</f>
        <v>42</v>
      </c>
      <c r="D337" t="s">
        <v>3833</v>
      </c>
      <c r="E337" t="s">
        <v>25</v>
      </c>
      <c r="F337" s="386">
        <v>2</v>
      </c>
      <c r="G337" s="16">
        <f>'WetLitterbags placem_collection'!E44</f>
        <v>42766</v>
      </c>
      <c r="H337" s="92" t="str">
        <f>'Final data_for_R_analysis_Wetse'!J483</f>
        <v>G437</v>
      </c>
      <c r="I337" t="str">
        <f>'Final data_for_R_analysis_Wetse'!J703</f>
        <v>R81</v>
      </c>
      <c r="J337">
        <f>IFERROR(INDEX('Green_rooibos initial weight'!$C$5:$C$1749,MATCH(H337, 'Green_rooibos initial weight'!$A$5:$A$1749,0)),"")</f>
        <v>2.1230000000000002</v>
      </c>
      <c r="K337">
        <f>IFERROR(INDEX('Green_rooibos initial weight'!$C$5:$C$1749,MATCH(I337, 'Green_rooibos initial weight'!$A$5:$A$1749,0)),"")</f>
        <v>2.004</v>
      </c>
      <c r="L337" s="195">
        <f t="shared" si="52"/>
        <v>1.8732000000000002</v>
      </c>
      <c r="M337" s="195">
        <f>AVERAGE(Ashed_controlls!$K$2:$K$11)</f>
        <v>5.5147656768714146</v>
      </c>
      <c r="N337" s="195">
        <f t="shared" si="48"/>
        <v>1.7698974093408448</v>
      </c>
      <c r="O337" s="195">
        <f t="shared" si="53"/>
        <v>1.7542</v>
      </c>
      <c r="P337" s="195">
        <f>AVERAGE(Ashed_controlls!$K$12:$K$14)</f>
        <v>2.2816647271287041</v>
      </c>
      <c r="Q337" s="195">
        <f t="shared" si="54"/>
        <v>1.7141750373567082</v>
      </c>
      <c r="R337" s="16">
        <f>IF('WetLitterbags placem_collection'!G44="N.A","",'WetLitterbags placem_collection'!G44)</f>
        <v>42820</v>
      </c>
      <c r="S337" s="195">
        <f>IF(IFERROR(INDEX('Both teabags AfterWet'!$C$3:$C$841,MATCH(H337,'Both teabags AfterWet'!$A$3:$A$841,0)),"")="N.A","",(IFERROR(INDEX('Both teabags AfterWet'!$C$3:$C$841,MATCH(H337,'Both teabags AfterWet'!$A$3:$A$841,0)),"")))</f>
        <v>0.64</v>
      </c>
      <c r="T337" s="195">
        <f>IFERROR(INDEX('Both teabags AfterWet'!$C$3:$C$841,MATCH(I337,'Both teabags AfterWet'!$A$3:$A$841,0)),"")</f>
        <v>1.528</v>
      </c>
      <c r="U337" s="195">
        <f t="shared" si="55"/>
        <v>0.4894</v>
      </c>
      <c r="V337" s="195">
        <f t="shared" si="55"/>
        <v>1.3774</v>
      </c>
      <c r="W337" s="195">
        <f>IFERROR(INDEX('Ashed teabags wet'!$K$2:$K$821,MATCH(H337,'Ashed teabags wet'!$A$2:$A$821,0)),"")</f>
        <v>8.5335948994602457</v>
      </c>
      <c r="X337" s="195">
        <f>IFERROR(INDEX('Ashed teabags wet'!$K$2:$K$821,MATCH(I337,'Ashed teabags wet'!$A$2:$A$821,0)),"")</f>
        <v>2.5036109773709327</v>
      </c>
      <c r="Y337" s="195">
        <f t="shared" si="49"/>
        <v>0.44763658656204158</v>
      </c>
      <c r="Z337" s="195">
        <f t="shared" si="49"/>
        <v>1.3429152623976928</v>
      </c>
      <c r="AA337" s="195">
        <f t="shared" si="56"/>
        <v>0.74708331443416665</v>
      </c>
      <c r="AB337" s="195">
        <f t="shared" si="57"/>
        <v>0.48977433440339674</v>
      </c>
      <c r="AC337" s="195">
        <f t="shared" si="50"/>
        <v>0.78341781506076225</v>
      </c>
      <c r="AD337">
        <f t="shared" si="51"/>
        <v>54</v>
      </c>
      <c r="AE337" s="195">
        <f t="shared" si="58"/>
        <v>0.11272765506631033</v>
      </c>
      <c r="AF337" s="195">
        <f t="shared" si="59"/>
        <v>1.0810543540645791E-2</v>
      </c>
      <c r="AG337" s="255" t="str">
        <f>IF(ISNUMBER(SEARCH("C",'WetLitterbags placem_collection'!AD264)),"YES","NO")</f>
        <v>NO</v>
      </c>
      <c r="AH337" s="255" t="str">
        <f>IF(ISNUMBER(SEARCH("H", 'WetLitterbags placem_collection'!AF44)),"YES","NO")</f>
        <v>NO</v>
      </c>
      <c r="AI337" s="255" t="str">
        <f>IF(ISNUMBER(SEARCH("R", 'WetLitterbags placem_collection'!XF44)),"YES","NO")</f>
        <v>NO</v>
      </c>
      <c r="AJ337" s="255" t="str">
        <f>IF(ISNUMBER(SEARCH("C", 'WetLitterbags placem_collection'!WE44)),"YES","NO")</f>
        <v>NO</v>
      </c>
      <c r="AK337" s="255" t="str">
        <f>IF(ISNUMBER(SEARCH("H", 'WetLitterbags placem_collection'!AE44)),"YES","NO")</f>
        <v>NO</v>
      </c>
      <c r="AL337" s="255" t="str">
        <f>IF(ISNUMBER(SEARCH("R", 'WetLitterbags placem_collection'!AE44)),"YES","NO")</f>
        <v>NO</v>
      </c>
    </row>
    <row r="338" spans="2:38">
      <c r="B338" t="str">
        <f>'Final data_for_R_analysis_Wetse'!A484</f>
        <v>Wet</v>
      </c>
      <c r="C338" s="263">
        <f>'Final data_for_R_analysis_Wetse'!B484</f>
        <v>43</v>
      </c>
      <c r="D338" t="s">
        <v>3833</v>
      </c>
      <c r="E338" t="s">
        <v>25</v>
      </c>
      <c r="F338" s="386">
        <v>3</v>
      </c>
      <c r="G338" s="16">
        <f>'WetLitterbags placem_collection'!E45</f>
        <v>42766</v>
      </c>
      <c r="H338" s="92" t="str">
        <f>'Final data_for_R_analysis_Wetse'!J484</f>
        <v>G643</v>
      </c>
      <c r="I338" t="str">
        <f>'Final data_for_R_analysis_Wetse'!J704</f>
        <v>R117</v>
      </c>
      <c r="J338">
        <f>IFERROR(INDEX('Green_rooibos initial weight'!$C$5:$C$1749,MATCH(H338, 'Green_rooibos initial weight'!$A$5:$A$1749,0)),"")</f>
        <v>2.0510000000000002</v>
      </c>
      <c r="K338">
        <f>IFERROR(INDEX('Green_rooibos initial weight'!$C$5:$C$1749,MATCH(I338, 'Green_rooibos initial weight'!$A$5:$A$1749,0)),"")</f>
        <v>2.2029999999999998</v>
      </c>
      <c r="L338" s="195">
        <f t="shared" si="52"/>
        <v>1.8012000000000001</v>
      </c>
      <c r="M338" s="195">
        <f>AVERAGE(Ashed_controlls!$K$2:$K$11)</f>
        <v>5.5147656768714146</v>
      </c>
      <c r="N338" s="195">
        <f t="shared" si="48"/>
        <v>1.7018680406281923</v>
      </c>
      <c r="O338" s="195">
        <f t="shared" si="53"/>
        <v>1.9531999999999998</v>
      </c>
      <c r="P338" s="195">
        <f>AVERAGE(Ashed_controlls!$K$12:$K$14)</f>
        <v>2.2816647271287041</v>
      </c>
      <c r="Q338" s="195">
        <f t="shared" si="54"/>
        <v>1.908634524549722</v>
      </c>
      <c r="R338" s="16">
        <f>IF('WetLitterbags placem_collection'!G45="N.A","",'WetLitterbags placem_collection'!G45)</f>
        <v>42820</v>
      </c>
      <c r="S338" s="195">
        <f>IF(IFERROR(INDEX('Both teabags AfterWet'!$C$3:$C$841,MATCH(H338,'Both teabags AfterWet'!$A$3:$A$841,0)),"")="N.A","",(IFERROR(INDEX('Both teabags AfterWet'!$C$3:$C$841,MATCH(H338,'Both teabags AfterWet'!$A$3:$A$841,0)),"")))</f>
        <v>0.74509999999999998</v>
      </c>
      <c r="T338" s="195">
        <f>IFERROR(INDEX('Both teabags AfterWet'!$C$3:$C$841,MATCH(I338,'Both teabags AfterWet'!$A$3:$A$841,0)),"")</f>
        <v>1.6155999999999999</v>
      </c>
      <c r="U338" s="195">
        <f t="shared" si="55"/>
        <v>0.59450000000000003</v>
      </c>
      <c r="V338" s="195">
        <f t="shared" si="55"/>
        <v>1.4649999999999999</v>
      </c>
      <c r="W338" s="195">
        <f>IFERROR(INDEX('Ashed teabags wet'!$K$2:$K$821,MATCH(H338,'Ashed teabags wet'!$A$2:$A$821,0)),"")</f>
        <v>7.6658476658481174</v>
      </c>
      <c r="X338" s="195">
        <f>IFERROR(INDEX('Ashed teabags wet'!$K$2:$K$821,MATCH(I338,'Ashed teabags wet'!$A$2:$A$821,0)),"")</f>
        <v>1.8435475834578603</v>
      </c>
      <c r="Y338" s="195">
        <f t="shared" si="49"/>
        <v>0.54892653562653293</v>
      </c>
      <c r="Z338" s="195">
        <f t="shared" si="49"/>
        <v>1.4379920279023422</v>
      </c>
      <c r="AA338" s="195">
        <f t="shared" si="56"/>
        <v>0.67745646400180737</v>
      </c>
      <c r="AB338" s="195">
        <f t="shared" si="57"/>
        <v>0.4441282281817075</v>
      </c>
      <c r="AC338" s="195">
        <f t="shared" si="50"/>
        <v>0.75341402945730951</v>
      </c>
      <c r="AD338">
        <f t="shared" si="51"/>
        <v>54</v>
      </c>
      <c r="AE338" s="195">
        <f t="shared" si="58"/>
        <v>0.19541987648241399</v>
      </c>
      <c r="AF338" s="195">
        <f t="shared" si="59"/>
        <v>1.5002977754895005E-2</v>
      </c>
      <c r="AG338" s="255" t="str">
        <f>IF(ISNUMBER(SEARCH("C",'WetLitterbags placem_collection'!AD265)),"YES","NO")</f>
        <v>NO</v>
      </c>
      <c r="AH338" s="255" t="str">
        <f>IF(ISNUMBER(SEARCH("H", 'WetLitterbags placem_collection'!AF45)),"YES","NO")</f>
        <v>NO</v>
      </c>
      <c r="AI338" s="255" t="str">
        <f>IF(ISNUMBER(SEARCH("R", 'WetLitterbags placem_collection'!XF45)),"YES","NO")</f>
        <v>NO</v>
      </c>
      <c r="AJ338" s="255" t="str">
        <f>IF(ISNUMBER(SEARCH("C", 'WetLitterbags placem_collection'!WE45)),"YES","NO")</f>
        <v>NO</v>
      </c>
      <c r="AK338" s="255" t="str">
        <f>IF(ISNUMBER(SEARCH("H", 'WetLitterbags placem_collection'!AE45)),"YES","NO")</f>
        <v>NO</v>
      </c>
      <c r="AL338" s="255" t="str">
        <f>IF(ISNUMBER(SEARCH("R", 'WetLitterbags placem_collection'!AE45)),"YES","NO")</f>
        <v>NO</v>
      </c>
    </row>
    <row r="339" spans="2:38">
      <c r="B339" t="str">
        <f>'Final data_for_R_analysis_Wetse'!A485</f>
        <v>Wet</v>
      </c>
      <c r="C339" s="263">
        <f>'Final data_for_R_analysis_Wetse'!B485</f>
        <v>44</v>
      </c>
      <c r="D339" t="s">
        <v>3833</v>
      </c>
      <c r="E339" t="s">
        <v>25</v>
      </c>
      <c r="F339" s="387">
        <v>4</v>
      </c>
      <c r="G339" s="16">
        <f>'WetLitterbags placem_collection'!E46</f>
        <v>42766</v>
      </c>
      <c r="H339" s="92" t="str">
        <f>'Final data_for_R_analysis_Wetse'!J485</f>
        <v>G283</v>
      </c>
      <c r="I339" t="str">
        <f>'Final data_for_R_analysis_Wetse'!J705</f>
        <v>R6</v>
      </c>
      <c r="J339">
        <f>IFERROR(INDEX('Green_rooibos initial weight'!$C$5:$C$1749,MATCH(H339, 'Green_rooibos initial weight'!$A$5:$A$1749,0)),"")</f>
        <v>1.8660000000000001</v>
      </c>
      <c r="K339">
        <f>IFERROR(INDEX('Green_rooibos initial weight'!$C$5:$C$1749,MATCH(I339, 'Green_rooibos initial weight'!$A$5:$A$1749,0)),"")</f>
        <v>2.226</v>
      </c>
      <c r="L339" s="195">
        <f t="shared" si="52"/>
        <v>1.6162000000000001</v>
      </c>
      <c r="M339" s="195">
        <f>AVERAGE(Ashed_controlls!$K$2:$K$11)</f>
        <v>5.5147656768714146</v>
      </c>
      <c r="N339" s="195">
        <f t="shared" si="48"/>
        <v>1.5270703571304043</v>
      </c>
      <c r="O339" s="195">
        <f t="shared" si="53"/>
        <v>1.9762</v>
      </c>
      <c r="P339" s="195">
        <f>AVERAGE(Ashed_controlls!$K$12:$K$14)</f>
        <v>2.2816647271287041</v>
      </c>
      <c r="Q339" s="195">
        <f t="shared" si="54"/>
        <v>1.9311097416624825</v>
      </c>
      <c r="R339" s="16">
        <f>IF('WetLitterbags placem_collection'!G46="N.A","",'WetLitterbags placem_collection'!G46)</f>
        <v>42820</v>
      </c>
      <c r="S339" s="195">
        <f>IF(IFERROR(INDEX('Both teabags AfterWet'!$C$3:$C$841,MATCH(H339,'Both teabags AfterWet'!$A$3:$A$841,0)),"")="N.A","",(IFERROR(INDEX('Both teabags AfterWet'!$C$3:$C$841,MATCH(H339,'Both teabags AfterWet'!$A$3:$A$841,0)),"")))</f>
        <v>0.80830000000000002</v>
      </c>
      <c r="T339" s="195">
        <f>IFERROR(INDEX('Both teabags AfterWet'!$C$3:$C$841,MATCH(I339,'Both teabags AfterWet'!$A$3:$A$841,0)),"")</f>
        <v>1.5294000000000001</v>
      </c>
      <c r="U339" s="195">
        <f t="shared" si="55"/>
        <v>0.65769999999999995</v>
      </c>
      <c r="V339" s="195">
        <f t="shared" si="55"/>
        <v>1.3788</v>
      </c>
      <c r="W339" s="195">
        <f>IFERROR(INDEX('Ashed teabags wet'!$K$2:$K$821,MATCH(H339,'Ashed teabags wet'!$A$2:$A$821,0)),"")</f>
        <v>10.544217687075299</v>
      </c>
      <c r="X339" s="195">
        <f>IFERROR(INDEX('Ashed teabags wet'!$K$2:$K$821,MATCH(I339,'Ashed teabags wet'!$A$2:$A$821,0)),"")</f>
        <v>3.8782523318604794</v>
      </c>
      <c r="Y339" s="195">
        <f t="shared" si="49"/>
        <v>0.58835068027210569</v>
      </c>
      <c r="Z339" s="195">
        <f t="shared" si="49"/>
        <v>1.3253266568483077</v>
      </c>
      <c r="AA339" s="195">
        <f t="shared" si="56"/>
        <v>0.61471933658793199</v>
      </c>
      <c r="AB339" s="195">
        <f t="shared" si="57"/>
        <v>0.40299889999588895</v>
      </c>
      <c r="AC339" s="195">
        <f t="shared" si="50"/>
        <v>0.68630312832834695</v>
      </c>
      <c r="AD339">
        <f t="shared" si="51"/>
        <v>54</v>
      </c>
      <c r="AE339" s="195">
        <f t="shared" si="58"/>
        <v>0.26992952899295486</v>
      </c>
      <c r="AF339" s="195">
        <f t="shared" si="59"/>
        <v>2.7905733910786133E-2</v>
      </c>
      <c r="AG339" s="255" t="str">
        <f>IF(ISNUMBER(SEARCH("C",'WetLitterbags placem_collection'!AD266)),"YES","NO")</f>
        <v>NO</v>
      </c>
      <c r="AH339" s="255" t="str">
        <f>IF(ISNUMBER(SEARCH("H", 'WetLitterbags placem_collection'!AF46)),"YES","NO")</f>
        <v>NO</v>
      </c>
      <c r="AI339" s="255" t="str">
        <f>IF(ISNUMBER(SEARCH("R", 'WetLitterbags placem_collection'!XF46)),"YES","NO")</f>
        <v>NO</v>
      </c>
      <c r="AJ339" s="255" t="str">
        <f>IF(ISNUMBER(SEARCH("C", 'WetLitterbags placem_collection'!WE46)),"YES","NO")</f>
        <v>NO</v>
      </c>
      <c r="AK339" s="255" t="str">
        <f>IF(ISNUMBER(SEARCH("H", 'WetLitterbags placem_collection'!AE46)),"YES","NO")</f>
        <v>NO</v>
      </c>
      <c r="AL339" s="255" t="str">
        <f>IF(ISNUMBER(SEARCH("R", 'WetLitterbags placem_collection'!AE46)),"YES","NO")</f>
        <v>NO</v>
      </c>
    </row>
    <row r="340" spans="2:38">
      <c r="B340" t="str">
        <f>'Final data_for_R_analysis_Wetse'!A486</f>
        <v>Wet</v>
      </c>
      <c r="C340" s="263">
        <f>'Final data_for_R_analysis_Wetse'!B486</f>
        <v>45</v>
      </c>
      <c r="D340" t="s">
        <v>3833</v>
      </c>
      <c r="E340" t="s">
        <v>25</v>
      </c>
      <c r="F340" s="387">
        <v>5</v>
      </c>
      <c r="G340" s="16">
        <f>'WetLitterbags placem_collection'!E47</f>
        <v>42766</v>
      </c>
      <c r="H340" s="92" t="str">
        <f>'Final data_for_R_analysis_Wetse'!J486</f>
        <v>G602</v>
      </c>
      <c r="I340" t="str">
        <f>'Final data_for_R_analysis_Wetse'!J706</f>
        <v>R74</v>
      </c>
      <c r="J340">
        <f>IFERROR(INDEX('Green_rooibos initial weight'!$C$5:$C$1749,MATCH(H340, 'Green_rooibos initial weight'!$A$5:$A$1749,0)),"")</f>
        <v>2.1030000000000002</v>
      </c>
      <c r="K340">
        <f>IFERROR(INDEX('Green_rooibos initial weight'!$C$5:$C$1749,MATCH(I340, 'Green_rooibos initial weight'!$A$5:$A$1749,0)),"")</f>
        <v>2.3340000000000001</v>
      </c>
      <c r="L340" s="195">
        <f t="shared" si="52"/>
        <v>1.8532000000000002</v>
      </c>
      <c r="M340" s="195">
        <f>AVERAGE(Ashed_controlls!$K$2:$K$11)</f>
        <v>5.5147656768714146</v>
      </c>
      <c r="N340" s="195">
        <f t="shared" si="48"/>
        <v>1.7510003624762192</v>
      </c>
      <c r="O340" s="195">
        <f t="shared" si="53"/>
        <v>2.0842000000000001</v>
      </c>
      <c r="P340" s="195">
        <f>AVERAGE(Ashed_controlls!$K$12:$K$14)</f>
        <v>2.2816647271287041</v>
      </c>
      <c r="Q340" s="195">
        <f t="shared" si="54"/>
        <v>2.0366455437571838</v>
      </c>
      <c r="R340" s="16">
        <f>IF('WetLitterbags placem_collection'!G47="N.A","",'WetLitterbags placem_collection'!G47)</f>
        <v>42820</v>
      </c>
      <c r="S340" s="195">
        <f>IF(IFERROR(INDEX('Both teabags AfterWet'!$C$3:$C$841,MATCH(H340,'Both teabags AfterWet'!$A$3:$A$841,0)),"")="N.A","",(IFERROR(INDEX('Both teabags AfterWet'!$C$3:$C$841,MATCH(H340,'Both teabags AfterWet'!$A$3:$A$841,0)),"")))</f>
        <v>0.77400000000000002</v>
      </c>
      <c r="T340" s="195">
        <f>IFERROR(INDEX('Both teabags AfterWet'!$C$3:$C$841,MATCH(I340,'Both teabags AfterWet'!$A$3:$A$841,0)),"")</f>
        <v>1.5923</v>
      </c>
      <c r="U340" s="195">
        <f t="shared" si="55"/>
        <v>0.62339999999999995</v>
      </c>
      <c r="V340" s="195">
        <f t="shared" si="55"/>
        <v>1.4417</v>
      </c>
      <c r="W340" s="195">
        <f>IFERROR(INDEX('Ashed teabags wet'!$K$2:$K$821,MATCH(H340,'Ashed teabags wet'!$A$2:$A$821,0)),"")</f>
        <v>5.9288537549396603</v>
      </c>
      <c r="X340" s="195">
        <f>IFERROR(INDEX('Ashed teabags wet'!$K$2:$K$821,MATCH(I340,'Ashed teabags wet'!$A$2:$A$821,0)),"")</f>
        <v>3.1049778215869339</v>
      </c>
      <c r="Y340" s="195">
        <f t="shared" si="49"/>
        <v>0.5864395256917061</v>
      </c>
      <c r="Z340" s="195">
        <f t="shared" si="49"/>
        <v>1.3969355347461812</v>
      </c>
      <c r="AA340" s="195">
        <f t="shared" si="56"/>
        <v>0.66508315003294538</v>
      </c>
      <c r="AB340" s="195">
        <f t="shared" si="57"/>
        <v>0.43601650690995947</v>
      </c>
      <c r="AC340" s="195">
        <f t="shared" si="50"/>
        <v>0.68590017493624744</v>
      </c>
      <c r="AD340">
        <f t="shared" si="51"/>
        <v>54</v>
      </c>
      <c r="AE340" s="195">
        <f t="shared" si="58"/>
        <v>0.21011502371384161</v>
      </c>
      <c r="AF340" s="195">
        <f t="shared" si="59"/>
        <v>2.3598930125517985E-2</v>
      </c>
      <c r="AG340" s="255" t="str">
        <f>IF(ISNUMBER(SEARCH("C",'WetLitterbags placem_collection'!AD267)),"YES","NO")</f>
        <v>NO</v>
      </c>
      <c r="AH340" s="255" t="str">
        <f>IF(ISNUMBER(SEARCH("H", 'WetLitterbags placem_collection'!AF47)),"YES","NO")</f>
        <v>NO</v>
      </c>
      <c r="AI340" s="255" t="str">
        <f>IF(ISNUMBER(SEARCH("R", 'WetLitterbags placem_collection'!XF47)),"YES","NO")</f>
        <v>NO</v>
      </c>
      <c r="AJ340" s="255" t="str">
        <f>IF(ISNUMBER(SEARCH("C", 'WetLitterbags placem_collection'!WE47)),"YES","NO")</f>
        <v>NO</v>
      </c>
      <c r="AK340" s="255" t="str">
        <f>IF(ISNUMBER(SEARCH("H", 'WetLitterbags placem_collection'!AE47)),"YES","NO")</f>
        <v>NO</v>
      </c>
      <c r="AL340" s="255" t="str">
        <f>IF(ISNUMBER(SEARCH("R", 'WetLitterbags placem_collection'!AE47)),"YES","NO")</f>
        <v>NO</v>
      </c>
    </row>
    <row r="341" spans="2:38">
      <c r="B341" t="str">
        <f>'Final data_for_R_analysis_Wetse'!A487</f>
        <v>Wet</v>
      </c>
      <c r="C341" s="263">
        <f>'Final data_for_R_analysis_Wetse'!B487</f>
        <v>46</v>
      </c>
      <c r="D341" t="s">
        <v>3833</v>
      </c>
      <c r="E341" t="s">
        <v>25</v>
      </c>
      <c r="F341" s="387">
        <v>6</v>
      </c>
      <c r="G341" s="16">
        <f>'WetLitterbags placem_collection'!E48</f>
        <v>42766</v>
      </c>
      <c r="H341" s="92" t="str">
        <f>'Final data_for_R_analysis_Wetse'!J487</f>
        <v>G427</v>
      </c>
      <c r="I341" t="str">
        <f>'Final data_for_R_analysis_Wetse'!J707</f>
        <v>R102</v>
      </c>
      <c r="J341">
        <f>IFERROR(INDEX('Green_rooibos initial weight'!$C$5:$C$1749,MATCH(H341, 'Green_rooibos initial weight'!$A$5:$A$1749,0)),"")</f>
        <v>1.8959999999999999</v>
      </c>
      <c r="K341">
        <f>IFERROR(INDEX('Green_rooibos initial weight'!$C$5:$C$1749,MATCH(I341, 'Green_rooibos initial weight'!$A$5:$A$1749,0)),"")</f>
        <v>2.2469999999999999</v>
      </c>
      <c r="L341" s="195">
        <f t="shared" si="52"/>
        <v>1.6461999999999999</v>
      </c>
      <c r="M341" s="195">
        <f>AVERAGE(Ashed_controlls!$K$2:$K$11)</f>
        <v>5.5147656768714146</v>
      </c>
      <c r="N341" s="195">
        <f t="shared" si="48"/>
        <v>1.5554159274273427</v>
      </c>
      <c r="O341" s="195">
        <f t="shared" si="53"/>
        <v>1.9971999999999999</v>
      </c>
      <c r="P341" s="195">
        <f>AVERAGE(Ashed_controlls!$K$12:$K$14)</f>
        <v>2.2816647271287041</v>
      </c>
      <c r="Q341" s="195">
        <f t="shared" si="54"/>
        <v>1.9516305920697854</v>
      </c>
      <c r="R341" s="16">
        <f>IF('WetLitterbags placem_collection'!G48="N.A","",'WetLitterbags placem_collection'!G48)</f>
        <v>42820</v>
      </c>
      <c r="S341" s="195" t="str">
        <f>IF(IFERROR(INDEX('Both teabags AfterWet'!$C$3:$C$841,MATCH(H341,'Both teabags AfterWet'!$A$3:$A$841,0)),"")="N.A","",(IFERROR(INDEX('Both teabags AfterWet'!$C$3:$C$841,MATCH(H341,'Both teabags AfterWet'!$A$3:$A$841,0)),"")))</f>
        <v/>
      </c>
      <c r="T341" s="195" t="str">
        <f>IFERROR(INDEX('Both teabags AfterWet'!$C$3:$C$841,MATCH(I341,'Both teabags AfterWet'!$A$3:$A$841,0)),"")</f>
        <v/>
      </c>
      <c r="U341" s="195" t="str">
        <f t="shared" si="55"/>
        <v/>
      </c>
      <c r="V341" s="195" t="str">
        <f t="shared" si="55"/>
        <v/>
      </c>
      <c r="W341" s="195" t="str">
        <f>IFERROR(INDEX('Ashed teabags wet'!$K$2:$K$821,MATCH(H341,'Ashed teabags wet'!$A$2:$A$821,0)),"")</f>
        <v/>
      </c>
      <c r="X341" s="195" t="str">
        <f>IFERROR(INDEX('Ashed teabags wet'!$K$2:$K$821,MATCH(I341,'Ashed teabags wet'!$A$2:$A$821,0)),"")</f>
        <v/>
      </c>
      <c r="Y341" s="195" t="str">
        <f t="shared" si="49"/>
        <v/>
      </c>
      <c r="Z341" s="195" t="str">
        <f t="shared" si="49"/>
        <v/>
      </c>
      <c r="AA341" s="195" t="str">
        <f t="shared" si="56"/>
        <v/>
      </c>
      <c r="AB341" s="195" t="str">
        <f t="shared" si="57"/>
        <v/>
      </c>
      <c r="AC341" s="195" t="str">
        <f t="shared" si="50"/>
        <v/>
      </c>
      <c r="AD341">
        <f t="shared" si="51"/>
        <v>54</v>
      </c>
      <c r="AE341" s="195" t="str">
        <f t="shared" si="58"/>
        <v/>
      </c>
      <c r="AF341" s="195" t="str">
        <f t="shared" si="59"/>
        <v/>
      </c>
      <c r="AG341" s="255" t="str">
        <f>IF(ISNUMBER(SEARCH("C",'WetLitterbags placem_collection'!AD268)),"YES","NO")</f>
        <v>NO</v>
      </c>
      <c r="AH341" s="255" t="str">
        <f>IF(ISNUMBER(SEARCH("H", 'WetLitterbags placem_collection'!AF48)),"YES","NO")</f>
        <v>NO</v>
      </c>
      <c r="AI341" s="255" t="str">
        <f>IF(ISNUMBER(SEARCH("R", 'WetLitterbags placem_collection'!XF48)),"YES","NO")</f>
        <v>NO</v>
      </c>
      <c r="AJ341" s="255" t="str">
        <f>IF(ISNUMBER(SEARCH("C", 'WetLitterbags placem_collection'!WE48)),"YES","NO")</f>
        <v>NO</v>
      </c>
      <c r="AK341" s="255" t="str">
        <f>IF(ISNUMBER(SEARCH("H", 'WetLitterbags placem_collection'!AE48)),"YES","NO")</f>
        <v>NO</v>
      </c>
      <c r="AL341" s="255" t="str">
        <f>IF(ISNUMBER(SEARCH("R", 'WetLitterbags placem_collection'!AE48)),"YES","NO")</f>
        <v>NO</v>
      </c>
    </row>
    <row r="342" spans="2:38">
      <c r="B342" t="str">
        <f>'Final data_for_R_analysis_Wetse'!A488</f>
        <v>Wet</v>
      </c>
      <c r="C342" s="263">
        <f>'Final data_for_R_analysis_Wetse'!B488</f>
        <v>47</v>
      </c>
      <c r="D342" t="s">
        <v>3833</v>
      </c>
      <c r="E342" t="s">
        <v>25</v>
      </c>
      <c r="F342" s="387">
        <v>7</v>
      </c>
      <c r="G342" s="16">
        <f>'WetLitterbags placem_collection'!E49</f>
        <v>42766</v>
      </c>
      <c r="H342" s="92" t="str">
        <f>'Final data_for_R_analysis_Wetse'!J488</f>
        <v>G512</v>
      </c>
      <c r="I342" t="str">
        <f>'Final data_for_R_analysis_Wetse'!J708</f>
        <v>R76</v>
      </c>
      <c r="J342">
        <f>IFERROR(INDEX('Green_rooibos initial weight'!$C$5:$C$1749,MATCH(H342, 'Green_rooibos initial weight'!$A$5:$A$1749,0)),"")</f>
        <v>2.0939999999999999</v>
      </c>
      <c r="K342">
        <f>IFERROR(INDEX('Green_rooibos initial weight'!$C$5:$C$1749,MATCH(I342, 'Green_rooibos initial weight'!$A$5:$A$1749,0)),"")</f>
        <v>2.2970000000000002</v>
      </c>
      <c r="L342" s="195">
        <f t="shared" si="52"/>
        <v>1.8441999999999998</v>
      </c>
      <c r="M342" s="195">
        <f>AVERAGE(Ashed_controlls!$K$2:$K$11)</f>
        <v>5.5147656768714146</v>
      </c>
      <c r="N342" s="195">
        <f t="shared" si="48"/>
        <v>1.7424966913871371</v>
      </c>
      <c r="O342" s="195">
        <f t="shared" si="53"/>
        <v>2.0472000000000001</v>
      </c>
      <c r="P342" s="195">
        <f>AVERAGE(Ashed_controlls!$K$12:$K$14)</f>
        <v>2.2816647271287041</v>
      </c>
      <c r="Q342" s="195">
        <f t="shared" si="54"/>
        <v>2.0004897597062214</v>
      </c>
      <c r="R342" s="16">
        <f>IF('WetLitterbags placem_collection'!G49="N.A","",'WetLitterbags placem_collection'!G49)</f>
        <v>42820</v>
      </c>
      <c r="S342" s="195">
        <f>IF(IFERROR(INDEX('Both teabags AfterWet'!$C$3:$C$841,MATCH(H342,'Both teabags AfterWet'!$A$3:$A$841,0)),"")="N.A","",(IFERROR(INDEX('Both teabags AfterWet'!$C$3:$C$841,MATCH(H342,'Both teabags AfterWet'!$A$3:$A$841,0)),"")))</f>
        <v>0.77500000000000002</v>
      </c>
      <c r="T342" s="195">
        <f>IFERROR(INDEX('Both teabags AfterWet'!$C$3:$C$841,MATCH(I342,'Both teabags AfterWet'!$A$3:$A$841,0)),"")</f>
        <v>1.665</v>
      </c>
      <c r="U342" s="195">
        <f t="shared" si="55"/>
        <v>0.62440000000000007</v>
      </c>
      <c r="V342" s="195">
        <f t="shared" si="55"/>
        <v>1.5144</v>
      </c>
      <c r="W342" s="195">
        <f>IFERROR(INDEX('Ashed teabags wet'!$K$2:$K$821,MATCH(H342,'Ashed teabags wet'!$A$2:$A$821,0)),"")</f>
        <v>8.2123184777170053</v>
      </c>
      <c r="X342" s="195">
        <f>IFERROR(INDEX('Ashed teabags wet'!$K$2:$K$821,MATCH(I342,'Ashed teabags wet'!$A$2:$A$821,0)),"")</f>
        <v>3.0587074494324868</v>
      </c>
      <c r="Y342" s="195">
        <f t="shared" si="49"/>
        <v>0.57312228342513505</v>
      </c>
      <c r="Z342" s="195">
        <f t="shared" si="49"/>
        <v>1.4680789343857943</v>
      </c>
      <c r="AA342" s="195">
        <f t="shared" si="56"/>
        <v>0.67109132186133813</v>
      </c>
      <c r="AB342" s="195">
        <f t="shared" si="57"/>
        <v>0.43995535589959467</v>
      </c>
      <c r="AC342" s="195">
        <f t="shared" si="50"/>
        <v>0.73385975972273232</v>
      </c>
      <c r="AD342">
        <f t="shared" si="51"/>
        <v>54</v>
      </c>
      <c r="AE342" s="195">
        <f t="shared" si="58"/>
        <v>0.20297942771812572</v>
      </c>
      <c r="AF342" s="195">
        <f t="shared" si="59"/>
        <v>1.719779773130883E-2</v>
      </c>
      <c r="AG342" s="255" t="str">
        <f>IF(ISNUMBER(SEARCH("C",'WetLitterbags placem_collection'!AD269)),"YES","NO")</f>
        <v>NO</v>
      </c>
      <c r="AH342" s="255" t="str">
        <f>IF(ISNUMBER(SEARCH("H", 'WetLitterbags placem_collection'!AF49)),"YES","NO")</f>
        <v>NO</v>
      </c>
      <c r="AI342" s="255" t="str">
        <f>IF(ISNUMBER(SEARCH("R", 'WetLitterbags placem_collection'!XF49)),"YES","NO")</f>
        <v>NO</v>
      </c>
      <c r="AJ342" s="255" t="str">
        <f>IF(ISNUMBER(SEARCH("C", 'WetLitterbags placem_collection'!WE49)),"YES","NO")</f>
        <v>NO</v>
      </c>
      <c r="AK342" s="255" t="str">
        <f>IF(ISNUMBER(SEARCH("H", 'WetLitterbags placem_collection'!AE49)),"YES","NO")</f>
        <v>NO</v>
      </c>
      <c r="AL342" s="255" t="str">
        <f>IF(ISNUMBER(SEARCH("R", 'WetLitterbags placem_collection'!AE49)),"YES","NO")</f>
        <v>NO</v>
      </c>
    </row>
    <row r="343" spans="2:38">
      <c r="B343" t="str">
        <f>'Final data_for_R_analysis_Wetse'!A489</f>
        <v>Wet</v>
      </c>
      <c r="C343" s="263">
        <f>'Final data_for_R_analysis_Wetse'!B489</f>
        <v>48</v>
      </c>
      <c r="D343" t="s">
        <v>3833</v>
      </c>
      <c r="E343" t="s">
        <v>25</v>
      </c>
      <c r="F343" s="387">
        <v>8</v>
      </c>
      <c r="G343" s="16">
        <f>'WetLitterbags placem_collection'!E50</f>
        <v>42766</v>
      </c>
      <c r="H343" s="92" t="str">
        <f>'Final data_for_R_analysis_Wetse'!J489</f>
        <v>G299</v>
      </c>
      <c r="I343" t="str">
        <f>'Final data_for_R_analysis_Wetse'!J709</f>
        <v>R107</v>
      </c>
      <c r="J343">
        <f>IFERROR(INDEX('Green_rooibos initial weight'!$C$5:$C$1749,MATCH(H343, 'Green_rooibos initial weight'!$A$5:$A$1749,0)),"")</f>
        <v>2.0110000000000001</v>
      </c>
      <c r="K343">
        <f>IFERROR(INDEX('Green_rooibos initial weight'!$C$5:$C$1749,MATCH(I343, 'Green_rooibos initial weight'!$A$5:$A$1749,0)),"")</f>
        <v>2.19</v>
      </c>
      <c r="L343" s="195">
        <f t="shared" si="52"/>
        <v>1.7612000000000001</v>
      </c>
      <c r="M343" s="195">
        <f>AVERAGE(Ashed_controlls!$K$2:$K$11)</f>
        <v>5.5147656768714146</v>
      </c>
      <c r="N343" s="195">
        <f t="shared" si="48"/>
        <v>1.6640739468989407</v>
      </c>
      <c r="O343" s="195">
        <f t="shared" si="53"/>
        <v>1.9401999999999999</v>
      </c>
      <c r="P343" s="195">
        <f>AVERAGE(Ashed_controlls!$K$12:$K$14)</f>
        <v>2.2816647271287041</v>
      </c>
      <c r="Q343" s="195">
        <f t="shared" si="54"/>
        <v>1.8959311409642488</v>
      </c>
      <c r="R343" s="16">
        <f>IF('WetLitterbags placem_collection'!G50="N.A","",'WetLitterbags placem_collection'!G50)</f>
        <v>42820</v>
      </c>
      <c r="S343" s="195">
        <f>IF(IFERROR(INDEX('Both teabags AfterWet'!$C$3:$C$841,MATCH(H343,'Both teabags AfterWet'!$A$3:$A$841,0)),"")="N.A","",(IFERROR(INDEX('Both teabags AfterWet'!$C$3:$C$841,MATCH(H343,'Both teabags AfterWet'!$A$3:$A$841,0)),"")))</f>
        <v>0.88100000000000001</v>
      </c>
      <c r="T343" s="195">
        <f>IFERROR(INDEX('Both teabags AfterWet'!$C$3:$C$841,MATCH(I343,'Both teabags AfterWet'!$A$3:$A$841,0)),"")</f>
        <v>1.5349999999999999</v>
      </c>
      <c r="U343" s="195">
        <f t="shared" si="55"/>
        <v>0.73039999999999994</v>
      </c>
      <c r="V343" s="195">
        <f t="shared" si="55"/>
        <v>1.3843999999999999</v>
      </c>
      <c r="W343" s="195">
        <f>IFERROR(INDEX('Ashed teabags wet'!$K$2:$K$821,MATCH(H343,'Ashed teabags wet'!$A$2:$A$821,0)),"")</f>
        <v>7.4656188605105287</v>
      </c>
      <c r="X343" s="195">
        <f>IFERROR(INDEX('Ashed teabags wet'!$K$2:$K$821,MATCH(I343,'Ashed teabags wet'!$A$2:$A$821,0)),"")</f>
        <v>3.4431137724549741</v>
      </c>
      <c r="Y343" s="195">
        <f t="shared" si="49"/>
        <v>0.67587111984283099</v>
      </c>
      <c r="Z343" s="195">
        <f t="shared" si="49"/>
        <v>1.3367335329341332</v>
      </c>
      <c r="AA343" s="195">
        <f t="shared" si="56"/>
        <v>0.59384550121565205</v>
      </c>
      <c r="AB343" s="195">
        <f t="shared" si="57"/>
        <v>0.38931439034565318</v>
      </c>
      <c r="AC343" s="195">
        <f t="shared" si="50"/>
        <v>0.70505384085536249</v>
      </c>
      <c r="AD343">
        <f t="shared" si="51"/>
        <v>54</v>
      </c>
      <c r="AE343" s="195">
        <f t="shared" si="58"/>
        <v>0.29472030734483123</v>
      </c>
      <c r="AF343" s="195">
        <f t="shared" si="59"/>
        <v>2.6244124740344269E-2</v>
      </c>
      <c r="AG343" s="255" t="str">
        <f>IF(ISNUMBER(SEARCH("C",'WetLitterbags placem_collection'!AD270)),"YES","NO")</f>
        <v>NO</v>
      </c>
      <c r="AH343" s="255" t="str">
        <f>IF(ISNUMBER(SEARCH("H", 'WetLitterbags placem_collection'!AF50)),"YES","NO")</f>
        <v>NO</v>
      </c>
      <c r="AI343" s="255" t="str">
        <f>IF(ISNUMBER(SEARCH("R", 'WetLitterbags placem_collection'!XF50)),"YES","NO")</f>
        <v>NO</v>
      </c>
      <c r="AJ343" s="255" t="str">
        <f>IF(ISNUMBER(SEARCH("C", 'WetLitterbags placem_collection'!WE50)),"YES","NO")</f>
        <v>NO</v>
      </c>
      <c r="AK343" s="255" t="str">
        <f>IF(ISNUMBER(SEARCH("H", 'WetLitterbags placem_collection'!AE50)),"YES","NO")</f>
        <v>NO</v>
      </c>
      <c r="AL343" s="255" t="str">
        <f>IF(ISNUMBER(SEARCH("R", 'WetLitterbags placem_collection'!AE50)),"YES","NO")</f>
        <v>NO</v>
      </c>
    </row>
    <row r="344" spans="2:38">
      <c r="B344" t="str">
        <f>'Final data_for_R_analysis_Wetse'!A490</f>
        <v>Wet</v>
      </c>
      <c r="C344" s="263">
        <f>'Final data_for_R_analysis_Wetse'!B490</f>
        <v>49</v>
      </c>
      <c r="D344" t="s">
        <v>3834</v>
      </c>
      <c r="E344" t="s">
        <v>25</v>
      </c>
      <c r="F344" s="386">
        <v>1</v>
      </c>
      <c r="G344" s="16">
        <f>'WetLitterbags placem_collection'!E51</f>
        <v>42766</v>
      </c>
      <c r="H344" s="92" t="str">
        <f>'Final data_for_R_analysis_Wetse'!J490</f>
        <v>G739</v>
      </c>
      <c r="I344" t="str">
        <f>'Final data_for_R_analysis_Wetse'!J710</f>
        <v>R155</v>
      </c>
      <c r="J344">
        <f>IFERROR(INDEX('Green_rooibos initial weight'!$C$5:$C$1749,MATCH(H344, 'Green_rooibos initial weight'!$A$5:$A$1749,0)),"")</f>
        <v>2.0499999999999998</v>
      </c>
      <c r="K344">
        <f>IFERROR(INDEX('Green_rooibos initial weight'!$C$5:$C$1749,MATCH(I344, 'Green_rooibos initial weight'!$A$5:$A$1749,0)),"")</f>
        <v>2.206</v>
      </c>
      <c r="L344" s="195">
        <f t="shared" si="52"/>
        <v>1.8001999999999998</v>
      </c>
      <c r="M344" s="195">
        <f>AVERAGE(Ashed_controlls!$K$2:$K$11)</f>
        <v>5.5147656768714146</v>
      </c>
      <c r="N344" s="195">
        <f t="shared" si="48"/>
        <v>1.7009231882849607</v>
      </c>
      <c r="O344" s="195">
        <f t="shared" si="53"/>
        <v>1.9561999999999999</v>
      </c>
      <c r="P344" s="195">
        <f>AVERAGE(Ashed_controlls!$K$12:$K$14)</f>
        <v>2.2816647271287041</v>
      </c>
      <c r="Q344" s="195">
        <f t="shared" si="54"/>
        <v>1.9115660746079082</v>
      </c>
      <c r="R344" s="16">
        <f>IF('WetLitterbags placem_collection'!G51="N.A","",'WetLitterbags placem_collection'!G51)</f>
        <v>42820</v>
      </c>
      <c r="S344" s="195">
        <f>IF(IFERROR(INDEX('Both teabags AfterWet'!$C$3:$C$841,MATCH(H344,'Both teabags AfterWet'!$A$3:$A$841,0)),"")="N.A","",(IFERROR(INDEX('Both teabags AfterWet'!$C$3:$C$841,MATCH(H344,'Both teabags AfterWet'!$A$3:$A$841,0)),"")))</f>
        <v>0.87490000000000001</v>
      </c>
      <c r="T344" s="195">
        <f>IFERROR(INDEX('Both teabags AfterWet'!$C$3:$C$841,MATCH(I344,'Both teabags AfterWet'!$A$3:$A$841,0)),"")</f>
        <v>1.5909</v>
      </c>
      <c r="U344" s="195">
        <f t="shared" si="55"/>
        <v>0.72429999999999994</v>
      </c>
      <c r="V344" s="195">
        <f t="shared" si="55"/>
        <v>1.4402999999999999</v>
      </c>
      <c r="W344" s="195">
        <f>IFERROR(INDEX('Ashed teabags wet'!$K$2:$K$821,MATCH(H344,'Ashed teabags wet'!$A$2:$A$821,0)),"")</f>
        <v>16.486751717369803</v>
      </c>
      <c r="X344" s="195">
        <f>IFERROR(INDEX('Ashed teabags wet'!$K$2:$K$821,MATCH(I344,'Ashed teabags wet'!$A$2:$A$821,0)),"")</f>
        <v>10.705352676338336</v>
      </c>
      <c r="Y344" s="195">
        <f t="shared" si="49"/>
        <v>0.60488645731109048</v>
      </c>
      <c r="Z344" s="195">
        <f t="shared" si="49"/>
        <v>1.2861108054026988</v>
      </c>
      <c r="AA344" s="195">
        <f t="shared" si="56"/>
        <v>0.64437755832995791</v>
      </c>
      <c r="AB344" s="195">
        <f t="shared" si="57"/>
        <v>0.42244229477213396</v>
      </c>
      <c r="AC344" s="195">
        <f t="shared" si="50"/>
        <v>0.6728047868638285</v>
      </c>
      <c r="AD344">
        <f t="shared" si="51"/>
        <v>54</v>
      </c>
      <c r="AE344" s="195">
        <f t="shared" si="58"/>
        <v>0.23470598773164142</v>
      </c>
      <c r="AF344" s="195">
        <f t="shared" si="59"/>
        <v>2.7584786713025583E-2</v>
      </c>
      <c r="AG344" s="255" t="str">
        <f>IF(ISNUMBER(SEARCH("C",'WetLitterbags placem_collection'!AD271)),"YES","NO")</f>
        <v>NO</v>
      </c>
      <c r="AH344" s="255" t="str">
        <f>IF(ISNUMBER(SEARCH("H", 'WetLitterbags placem_collection'!AF51)),"YES","NO")</f>
        <v>NO</v>
      </c>
      <c r="AI344" s="255" t="str">
        <f>IF(ISNUMBER(SEARCH("R", 'WetLitterbags placem_collection'!XF51)),"YES","NO")</f>
        <v>NO</v>
      </c>
      <c r="AJ344" s="255" t="str">
        <f>IF(ISNUMBER(SEARCH("C", 'WetLitterbags placem_collection'!WE51)),"YES","NO")</f>
        <v>NO</v>
      </c>
      <c r="AK344" s="255" t="str">
        <f>IF(ISNUMBER(SEARCH("H", 'WetLitterbags placem_collection'!AE51)),"YES","NO")</f>
        <v>NO</v>
      </c>
      <c r="AL344" s="255" t="str">
        <f>IF(ISNUMBER(SEARCH("R", 'WetLitterbags placem_collection'!AE51)),"YES","NO")</f>
        <v>NO</v>
      </c>
    </row>
    <row r="345" spans="2:38">
      <c r="B345" t="str">
        <f>'Final data_for_R_analysis_Wetse'!A491</f>
        <v>Wet</v>
      </c>
      <c r="C345" s="263">
        <f>'Final data_for_R_analysis_Wetse'!B491</f>
        <v>50</v>
      </c>
      <c r="D345" t="s">
        <v>3834</v>
      </c>
      <c r="E345" t="s">
        <v>25</v>
      </c>
      <c r="F345" s="386">
        <v>2</v>
      </c>
      <c r="G345" s="16">
        <f>'WetLitterbags placem_collection'!E52</f>
        <v>42766</v>
      </c>
      <c r="H345" s="92" t="str">
        <f>'Final data_for_R_analysis_Wetse'!J491</f>
        <v>G559</v>
      </c>
      <c r="I345" t="str">
        <f>'Final data_for_R_analysis_Wetse'!J711</f>
        <v>R98</v>
      </c>
      <c r="J345">
        <f>IFERROR(INDEX('Green_rooibos initial weight'!$C$5:$C$1749,MATCH(H345, 'Green_rooibos initial weight'!$A$5:$A$1749,0)),"")</f>
        <v>2.085</v>
      </c>
      <c r="K345">
        <f>IFERROR(INDEX('Green_rooibos initial weight'!$C$5:$C$1749,MATCH(I345, 'Green_rooibos initial weight'!$A$5:$A$1749,0)),"")</f>
        <v>2.1960000000000002</v>
      </c>
      <c r="L345" s="195">
        <f t="shared" si="52"/>
        <v>1.8351999999999999</v>
      </c>
      <c r="M345" s="195">
        <f>AVERAGE(Ashed_controlls!$K$2:$K$11)</f>
        <v>5.5147656768714146</v>
      </c>
      <c r="N345" s="195">
        <f t="shared" si="48"/>
        <v>1.7339930202980558</v>
      </c>
      <c r="O345" s="195">
        <f t="shared" si="53"/>
        <v>1.9462000000000002</v>
      </c>
      <c r="P345" s="195">
        <f>AVERAGE(Ashed_controlls!$K$12:$K$14)</f>
        <v>2.2816647271287041</v>
      </c>
      <c r="Q345" s="195">
        <f t="shared" si="54"/>
        <v>1.9017942410806212</v>
      </c>
      <c r="R345" s="16">
        <f>IF('WetLitterbags placem_collection'!G52="N.A","",'WetLitterbags placem_collection'!G52)</f>
        <v>42820</v>
      </c>
      <c r="S345" s="195" t="str">
        <f>IF(IFERROR(INDEX('Both teabags AfterWet'!$C$3:$C$841,MATCH(H345,'Both teabags AfterWet'!$A$3:$A$841,0)),"")="N.A","",(IFERROR(INDEX('Both teabags AfterWet'!$C$3:$C$841,MATCH(H345,'Both teabags AfterWet'!$A$3:$A$841,0)),"")))</f>
        <v/>
      </c>
      <c r="T345" s="195" t="str">
        <f>IFERROR(INDEX('Both teabags AfterWet'!$C$3:$C$841,MATCH(I345,'Both teabags AfterWet'!$A$3:$A$841,0)),"")</f>
        <v/>
      </c>
      <c r="U345" s="195" t="str">
        <f t="shared" si="55"/>
        <v/>
      </c>
      <c r="V345" s="195" t="str">
        <f t="shared" si="55"/>
        <v/>
      </c>
      <c r="W345" s="195" t="str">
        <f>IFERROR(INDEX('Ashed teabags wet'!$K$2:$K$821,MATCH(H345,'Ashed teabags wet'!$A$2:$A$821,0)),"")</f>
        <v/>
      </c>
      <c r="X345" s="195" t="str">
        <f>IFERROR(INDEX('Ashed teabags wet'!$K$2:$K$821,MATCH(I345,'Ashed teabags wet'!$A$2:$A$821,0)),"")</f>
        <v/>
      </c>
      <c r="Y345" s="195" t="str">
        <f t="shared" si="49"/>
        <v/>
      </c>
      <c r="Z345" s="195" t="str">
        <f t="shared" si="49"/>
        <v/>
      </c>
      <c r="AA345" s="195" t="str">
        <f t="shared" si="56"/>
        <v/>
      </c>
      <c r="AB345" s="195" t="str">
        <f t="shared" si="57"/>
        <v/>
      </c>
      <c r="AC345" s="195" t="str">
        <f t="shared" si="50"/>
        <v/>
      </c>
      <c r="AD345">
        <f t="shared" si="51"/>
        <v>54</v>
      </c>
      <c r="AE345" s="195" t="str">
        <f t="shared" si="58"/>
        <v/>
      </c>
      <c r="AF345" s="195" t="str">
        <f t="shared" si="59"/>
        <v/>
      </c>
      <c r="AG345" s="255" t="str">
        <f>IF(ISNUMBER(SEARCH("C",'WetLitterbags placem_collection'!AD272)),"YES","NO")</f>
        <v>NO</v>
      </c>
      <c r="AH345" s="255" t="str">
        <f>IF(ISNUMBER(SEARCH("H", 'WetLitterbags placem_collection'!AF52)),"YES","NO")</f>
        <v>NO</v>
      </c>
      <c r="AI345" s="255" t="str">
        <f>IF(ISNUMBER(SEARCH("R", 'WetLitterbags placem_collection'!XF52)),"YES","NO")</f>
        <v>NO</v>
      </c>
      <c r="AJ345" s="255" t="str">
        <f>IF(ISNUMBER(SEARCH("C", 'WetLitterbags placem_collection'!WE52)),"YES","NO")</f>
        <v>NO</v>
      </c>
      <c r="AK345" s="255" t="str">
        <f>IF(ISNUMBER(SEARCH("H", 'WetLitterbags placem_collection'!AE52)),"YES","NO")</f>
        <v>NO</v>
      </c>
      <c r="AL345" s="255" t="str">
        <f>IF(ISNUMBER(SEARCH("R", 'WetLitterbags placem_collection'!AE52)),"YES","NO")</f>
        <v>NO</v>
      </c>
    </row>
    <row r="346" spans="2:38">
      <c r="B346" t="str">
        <f>'Final data_for_R_analysis_Wetse'!A492</f>
        <v>Wet</v>
      </c>
      <c r="C346" s="263">
        <f>'Final data_for_R_analysis_Wetse'!B492</f>
        <v>51</v>
      </c>
      <c r="D346" t="s">
        <v>3834</v>
      </c>
      <c r="E346" t="s">
        <v>25</v>
      </c>
      <c r="F346" s="386">
        <v>3</v>
      </c>
      <c r="G346" s="16">
        <f>'WetLitterbags placem_collection'!E53</f>
        <v>42766</v>
      </c>
      <c r="H346" s="92" t="str">
        <f>'Final data_for_R_analysis_Wetse'!J492</f>
        <v>G856</v>
      </c>
      <c r="I346" t="str">
        <f>'Final data_for_R_analysis_Wetse'!J712</f>
        <v>R29</v>
      </c>
      <c r="J346">
        <f>IFERROR(INDEX('Green_rooibos initial weight'!$C$5:$C$1749,MATCH(H346, 'Green_rooibos initial weight'!$A$5:$A$1749,0)),"")</f>
        <v>1.9370000000000001</v>
      </c>
      <c r="K346">
        <f>IFERROR(INDEX('Green_rooibos initial weight'!$C$5:$C$1749,MATCH(I346, 'Green_rooibos initial weight'!$A$5:$A$1749,0)),"")</f>
        <v>2.2400000000000002</v>
      </c>
      <c r="L346" s="195">
        <f t="shared" si="52"/>
        <v>1.6872</v>
      </c>
      <c r="M346" s="195">
        <f>AVERAGE(Ashed_controlls!$K$2:$K$11)</f>
        <v>5.5147656768714146</v>
      </c>
      <c r="N346" s="195">
        <f t="shared" si="48"/>
        <v>1.5941548734998254</v>
      </c>
      <c r="O346" s="195">
        <f t="shared" si="53"/>
        <v>1.9902000000000002</v>
      </c>
      <c r="P346" s="195">
        <f>AVERAGE(Ashed_controlls!$K$12:$K$14)</f>
        <v>2.2816647271287041</v>
      </c>
      <c r="Q346" s="195">
        <f t="shared" si="54"/>
        <v>1.9447903086006848</v>
      </c>
      <c r="R346" s="16">
        <f>IF('WetLitterbags placem_collection'!G53="N.A","",'WetLitterbags placem_collection'!G53)</f>
        <v>42820</v>
      </c>
      <c r="S346" s="195">
        <f>IF(IFERROR(INDEX('Both teabags AfterWet'!$C$3:$C$841,MATCH(H346,'Both teabags AfterWet'!$A$3:$A$841,0)),"")="N.A","",(IFERROR(INDEX('Both teabags AfterWet'!$C$3:$C$841,MATCH(H346,'Both teabags AfterWet'!$A$3:$A$841,0)),"")))</f>
        <v>0.77600000000000002</v>
      </c>
      <c r="T346" s="195">
        <f>IFERROR(INDEX('Both teabags AfterWet'!$C$3:$C$841,MATCH(I346,'Both teabags AfterWet'!$A$3:$A$841,0)),"")</f>
        <v>1.4950000000000001</v>
      </c>
      <c r="U346" s="195">
        <f t="shared" si="55"/>
        <v>0.62539999999999996</v>
      </c>
      <c r="V346" s="195">
        <f t="shared" si="55"/>
        <v>1.3444</v>
      </c>
      <c r="W346" s="195">
        <f>IFERROR(INDEX('Ashed teabags wet'!$K$2:$K$821,MATCH(H346,'Ashed teabags wet'!$A$2:$A$821,0)),"")</f>
        <v>9.5957135898680637</v>
      </c>
      <c r="X346" s="195">
        <f>IFERROR(INDEX('Ashed teabags wet'!$K$2:$K$821,MATCH(I346,'Ashed teabags wet'!$A$2:$A$821,0)),"")</f>
        <v>3.8327526132399545</v>
      </c>
      <c r="Y346" s="195">
        <f t="shared" si="49"/>
        <v>0.5653884072089651</v>
      </c>
      <c r="Z346" s="195">
        <f t="shared" si="49"/>
        <v>1.2928724738676021</v>
      </c>
      <c r="AA346" s="195">
        <f t="shared" si="56"/>
        <v>0.64533658767563462</v>
      </c>
      <c r="AB346" s="195">
        <f t="shared" si="57"/>
        <v>0.42307101709851586</v>
      </c>
      <c r="AC346" s="195">
        <f t="shared" si="50"/>
        <v>0.66478759594284975</v>
      </c>
      <c r="AD346">
        <f t="shared" si="51"/>
        <v>54</v>
      </c>
      <c r="AE346" s="195">
        <f t="shared" si="58"/>
        <v>0.23356699800993508</v>
      </c>
      <c r="AF346" s="195">
        <f t="shared" si="59"/>
        <v>2.9107614845572321E-2</v>
      </c>
      <c r="AG346" s="255" t="str">
        <f>IF(ISNUMBER(SEARCH("C",'WetLitterbags placem_collection'!AD273)),"YES","NO")</f>
        <v>NO</v>
      </c>
      <c r="AH346" s="255" t="str">
        <f>IF(ISNUMBER(SEARCH("H", 'WetLitterbags placem_collection'!AF53)),"YES","NO")</f>
        <v>NO</v>
      </c>
      <c r="AI346" s="255" t="str">
        <f>IF(ISNUMBER(SEARCH("R", 'WetLitterbags placem_collection'!XF53)),"YES","NO")</f>
        <v>NO</v>
      </c>
      <c r="AJ346" s="255" t="str">
        <f>IF(ISNUMBER(SEARCH("C", 'WetLitterbags placem_collection'!WE53)),"YES","NO")</f>
        <v>NO</v>
      </c>
      <c r="AK346" s="255" t="str">
        <f>IF(ISNUMBER(SEARCH("H", 'WetLitterbags placem_collection'!AE53)),"YES","NO")</f>
        <v>NO</v>
      </c>
      <c r="AL346" s="255" t="str">
        <f>IF(ISNUMBER(SEARCH("R", 'WetLitterbags placem_collection'!AE53)),"YES","NO")</f>
        <v>NO</v>
      </c>
    </row>
    <row r="347" spans="2:38">
      <c r="B347" t="str">
        <f>'Final data_for_R_analysis_Wetse'!A493</f>
        <v>Wet</v>
      </c>
      <c r="C347" s="263">
        <f>'Final data_for_R_analysis_Wetse'!B493</f>
        <v>52</v>
      </c>
      <c r="D347" t="s">
        <v>3834</v>
      </c>
      <c r="E347" t="s">
        <v>25</v>
      </c>
      <c r="F347" s="387">
        <v>4</v>
      </c>
      <c r="G347" s="16">
        <f>'WetLitterbags placem_collection'!E54</f>
        <v>42766</v>
      </c>
      <c r="H347" s="92" t="str">
        <f>'Final data_for_R_analysis_Wetse'!J493</f>
        <v>G599</v>
      </c>
      <c r="I347" t="str">
        <f>'Final data_for_R_analysis_Wetse'!J713</f>
        <v>R312</v>
      </c>
      <c r="J347">
        <f>IFERROR(INDEX('Green_rooibos initial weight'!$C$5:$C$1749,MATCH(H347, 'Green_rooibos initial weight'!$A$5:$A$1749,0)),"")</f>
        <v>2.0760000000000001</v>
      </c>
      <c r="K347">
        <f>IFERROR(INDEX('Green_rooibos initial weight'!$C$5:$C$1749,MATCH(I347, 'Green_rooibos initial weight'!$A$5:$A$1749,0)),"")</f>
        <v>2.2360000000000002</v>
      </c>
      <c r="L347" s="195">
        <f t="shared" si="52"/>
        <v>1.8262</v>
      </c>
      <c r="M347" s="195">
        <f>AVERAGE(Ashed_controlls!$K$2:$K$11)</f>
        <v>5.5147656768714146</v>
      </c>
      <c r="N347" s="195">
        <f t="shared" si="48"/>
        <v>1.7254893492089742</v>
      </c>
      <c r="O347" s="195">
        <f t="shared" si="53"/>
        <v>1.9862000000000002</v>
      </c>
      <c r="P347" s="195">
        <f>AVERAGE(Ashed_controlls!$K$12:$K$14)</f>
        <v>2.2816647271287041</v>
      </c>
      <c r="Q347" s="195">
        <f t="shared" si="54"/>
        <v>1.9408815751897699</v>
      </c>
      <c r="R347" s="16">
        <f>IF('WetLitterbags placem_collection'!G54="N.A","",'WetLitterbags placem_collection'!G54)</f>
        <v>42820</v>
      </c>
      <c r="S347" s="195">
        <f>IF(IFERROR(INDEX('Both teabags AfterWet'!$C$3:$C$841,MATCH(H347,'Both teabags AfterWet'!$A$3:$A$841,0)),"")="N.A","",(IFERROR(INDEX('Both teabags AfterWet'!$C$3:$C$841,MATCH(H347,'Both teabags AfterWet'!$A$3:$A$841,0)),"")))</f>
        <v>0.88200000000000001</v>
      </c>
      <c r="T347" s="195">
        <f>IFERROR(INDEX('Both teabags AfterWet'!$C$3:$C$841,MATCH(I347,'Both teabags AfterWet'!$A$3:$A$841,0)),"")</f>
        <v>1.546</v>
      </c>
      <c r="U347" s="195">
        <f t="shared" si="55"/>
        <v>0.73140000000000005</v>
      </c>
      <c r="V347" s="195">
        <f t="shared" si="55"/>
        <v>1.3954</v>
      </c>
      <c r="W347" s="195">
        <f>IFERROR(INDEX('Ashed teabags wet'!$K$2:$K$821,MATCH(H347,'Ashed teabags wet'!$A$2:$A$821,0)),"")</f>
        <v>14.285714285714219</v>
      </c>
      <c r="X347" s="195">
        <f>IFERROR(INDEX('Ashed teabags wet'!$K$2:$K$821,MATCH(I347,'Ashed teabags wet'!$A$2:$A$821,0)),"")</f>
        <v>9.8235574630425244</v>
      </c>
      <c r="Y347" s="195">
        <f t="shared" si="49"/>
        <v>0.6269142857142862</v>
      </c>
      <c r="Z347" s="195">
        <f t="shared" si="49"/>
        <v>1.2583220791607046</v>
      </c>
      <c r="AA347" s="195">
        <f t="shared" si="56"/>
        <v>0.63667449700475631</v>
      </c>
      <c r="AB347" s="195">
        <f t="shared" si="57"/>
        <v>0.41739230682497092</v>
      </c>
      <c r="AC347" s="195">
        <f t="shared" si="50"/>
        <v>0.64832501644912155</v>
      </c>
      <c r="AD347">
        <f t="shared" si="51"/>
        <v>54</v>
      </c>
      <c r="AE347" s="195">
        <f t="shared" si="58"/>
        <v>0.24385451662142954</v>
      </c>
      <c r="AF347" s="195">
        <f t="shared" si="59"/>
        <v>3.4234518522154062E-2</v>
      </c>
      <c r="AG347" s="255" t="str">
        <f>IF(ISNUMBER(SEARCH("C",'WetLitterbags placem_collection'!AD274)),"YES","NO")</f>
        <v>NO</v>
      </c>
      <c r="AH347" s="255" t="str">
        <f>IF(ISNUMBER(SEARCH("H", 'WetLitterbags placem_collection'!AF54)),"YES","NO")</f>
        <v>NO</v>
      </c>
      <c r="AI347" s="255" t="str">
        <f>IF(ISNUMBER(SEARCH("R", 'WetLitterbags placem_collection'!XF54)),"YES","NO")</f>
        <v>NO</v>
      </c>
      <c r="AJ347" s="255" t="str">
        <f>IF(ISNUMBER(SEARCH("C", 'WetLitterbags placem_collection'!WE54)),"YES","NO")</f>
        <v>NO</v>
      </c>
      <c r="AK347" s="255" t="str">
        <f>IF(ISNUMBER(SEARCH("H", 'WetLitterbags placem_collection'!AE54)),"YES","NO")</f>
        <v>NO</v>
      </c>
      <c r="AL347" s="255" t="str">
        <f>IF(ISNUMBER(SEARCH("R", 'WetLitterbags placem_collection'!AE54)),"YES","NO")</f>
        <v>NO</v>
      </c>
    </row>
    <row r="348" spans="2:38">
      <c r="B348" t="str">
        <f>'Final data_for_R_analysis_Wetse'!A494</f>
        <v>Wet</v>
      </c>
      <c r="C348" s="263">
        <f>'Final data_for_R_analysis_Wetse'!B494</f>
        <v>53</v>
      </c>
      <c r="D348" t="s">
        <v>3834</v>
      </c>
      <c r="E348" t="s">
        <v>25</v>
      </c>
      <c r="F348" s="387">
        <v>5</v>
      </c>
      <c r="G348" s="16">
        <f>'WetLitterbags placem_collection'!E55</f>
        <v>42766</v>
      </c>
      <c r="H348" s="92" t="str">
        <f>'Final data_for_R_analysis_Wetse'!J494</f>
        <v>G683</v>
      </c>
      <c r="I348" t="str">
        <f>'Final data_for_R_analysis_Wetse'!J714</f>
        <v>R113</v>
      </c>
      <c r="J348">
        <f>IFERROR(INDEX('Green_rooibos initial weight'!$C$5:$C$1749,MATCH(H348, 'Green_rooibos initial weight'!$A$5:$A$1749,0)),"")</f>
        <v>2.1179999999999999</v>
      </c>
      <c r="K348">
        <f>IFERROR(INDEX('Green_rooibos initial weight'!$C$5:$C$1749,MATCH(I348, 'Green_rooibos initial weight'!$A$5:$A$1749,0)),"")</f>
        <v>2.202</v>
      </c>
      <c r="L348" s="195">
        <f t="shared" si="52"/>
        <v>1.8681999999999999</v>
      </c>
      <c r="M348" s="195">
        <f>AVERAGE(Ashed_controlls!$K$2:$K$11)</f>
        <v>5.5147656768714146</v>
      </c>
      <c r="N348" s="195">
        <f t="shared" si="48"/>
        <v>1.7651731476246881</v>
      </c>
      <c r="O348" s="195">
        <f t="shared" si="53"/>
        <v>1.9521999999999999</v>
      </c>
      <c r="P348" s="195">
        <f>AVERAGE(Ashed_controlls!$K$12:$K$14)</f>
        <v>2.2816647271287041</v>
      </c>
      <c r="Q348" s="195">
        <f t="shared" si="54"/>
        <v>1.9076573411969935</v>
      </c>
      <c r="R348" s="16">
        <f>IF('WetLitterbags placem_collection'!G55="N.A","",'WetLitterbags placem_collection'!G55)</f>
        <v>42820</v>
      </c>
      <c r="S348" s="195" t="str">
        <f>IF(IFERROR(INDEX('Both teabags AfterWet'!$C$3:$C$841,MATCH(H348,'Both teabags AfterWet'!$A$3:$A$841,0)),"")="N.A","",(IFERROR(INDEX('Both teabags AfterWet'!$C$3:$C$841,MATCH(H348,'Both teabags AfterWet'!$A$3:$A$841,0)),"")))</f>
        <v/>
      </c>
      <c r="T348" s="195" t="str">
        <f>IFERROR(INDEX('Both teabags AfterWet'!$C$3:$C$841,MATCH(I348,'Both teabags AfterWet'!$A$3:$A$841,0)),"")</f>
        <v/>
      </c>
      <c r="U348" s="195" t="str">
        <f t="shared" si="55"/>
        <v/>
      </c>
      <c r="V348" s="195" t="str">
        <f t="shared" si="55"/>
        <v/>
      </c>
      <c r="W348" s="195" t="str">
        <f>IFERROR(INDEX('Ashed teabags wet'!$K$2:$K$821,MATCH(H348,'Ashed teabags wet'!$A$2:$A$821,0)),"")</f>
        <v/>
      </c>
      <c r="X348" s="195" t="str">
        <f>IFERROR(INDEX('Ashed teabags wet'!$K$2:$K$821,MATCH(I348,'Ashed teabags wet'!$A$2:$A$821,0)),"")</f>
        <v/>
      </c>
      <c r="Y348" s="195" t="str">
        <f t="shared" si="49"/>
        <v/>
      </c>
      <c r="Z348" s="195" t="str">
        <f t="shared" si="49"/>
        <v/>
      </c>
      <c r="AA348" s="195" t="str">
        <f t="shared" si="56"/>
        <v/>
      </c>
      <c r="AB348" s="195" t="str">
        <f t="shared" si="57"/>
        <v/>
      </c>
      <c r="AC348" s="195" t="str">
        <f t="shared" si="50"/>
        <v/>
      </c>
      <c r="AD348">
        <f t="shared" si="51"/>
        <v>54</v>
      </c>
      <c r="AE348" s="195" t="str">
        <f t="shared" si="58"/>
        <v/>
      </c>
      <c r="AF348" s="195" t="str">
        <f t="shared" si="59"/>
        <v/>
      </c>
      <c r="AG348" s="255" t="str">
        <f>IF(ISNUMBER(SEARCH("C",'WetLitterbags placem_collection'!AD275)),"YES","NO")</f>
        <v>NO</v>
      </c>
      <c r="AH348" s="255" t="str">
        <f>IF(ISNUMBER(SEARCH("H", 'WetLitterbags placem_collection'!AF55)),"YES","NO")</f>
        <v>NO</v>
      </c>
      <c r="AI348" s="255" t="str">
        <f>IF(ISNUMBER(SEARCH("R", 'WetLitterbags placem_collection'!XF55)),"YES","NO")</f>
        <v>NO</v>
      </c>
      <c r="AJ348" s="255" t="str">
        <f>IF(ISNUMBER(SEARCH("C", 'WetLitterbags placem_collection'!WE55)),"YES","NO")</f>
        <v>NO</v>
      </c>
      <c r="AK348" s="255" t="str">
        <f>IF(ISNUMBER(SEARCH("H", 'WetLitterbags placem_collection'!AE55)),"YES","NO")</f>
        <v>NO</v>
      </c>
      <c r="AL348" s="255" t="str">
        <f>IF(ISNUMBER(SEARCH("R", 'WetLitterbags placem_collection'!AE55)),"YES","NO")</f>
        <v>NO</v>
      </c>
    </row>
    <row r="349" spans="2:38">
      <c r="B349" t="str">
        <f>'Final data_for_R_analysis_Wetse'!A495</f>
        <v>Wet</v>
      </c>
      <c r="C349" s="263">
        <f>'Final data_for_R_analysis_Wetse'!B495</f>
        <v>54</v>
      </c>
      <c r="D349" t="s">
        <v>3834</v>
      </c>
      <c r="E349" t="s">
        <v>25</v>
      </c>
      <c r="F349" s="387">
        <v>6</v>
      </c>
      <c r="G349" s="16">
        <f>'WetLitterbags placem_collection'!E56</f>
        <v>42766</v>
      </c>
      <c r="H349" s="92" t="str">
        <f>'Final data_for_R_analysis_Wetse'!J495</f>
        <v>G288</v>
      </c>
      <c r="I349" t="str">
        <f>'Final data_for_R_analysis_Wetse'!J715</f>
        <v>R441</v>
      </c>
      <c r="J349">
        <f>IFERROR(INDEX('Green_rooibos initial weight'!$C$5:$C$1749,MATCH(H349, 'Green_rooibos initial weight'!$A$5:$A$1749,0)),"")</f>
        <v>1.9830000000000001</v>
      </c>
      <c r="K349">
        <f>IFERROR(INDEX('Green_rooibos initial weight'!$C$5:$C$1749,MATCH(I349, 'Green_rooibos initial weight'!$A$5:$A$1749,0)),"")</f>
        <v>2.1280000000000001</v>
      </c>
      <c r="L349" s="195">
        <f t="shared" si="52"/>
        <v>1.7332000000000001</v>
      </c>
      <c r="M349" s="195">
        <f>AVERAGE(Ashed_controlls!$K$2:$K$11)</f>
        <v>5.5147656768714146</v>
      </c>
      <c r="N349" s="195">
        <f t="shared" si="48"/>
        <v>1.6376180812884646</v>
      </c>
      <c r="O349" s="195">
        <f t="shared" si="53"/>
        <v>1.8782000000000001</v>
      </c>
      <c r="P349" s="195">
        <f>AVERAGE(Ashed_controlls!$K$12:$K$14)</f>
        <v>2.2816647271287041</v>
      </c>
      <c r="Q349" s="195">
        <f t="shared" si="54"/>
        <v>1.8353457730950689</v>
      </c>
      <c r="R349" s="16">
        <f>IF('WetLitterbags placem_collection'!G56="N.A","",'WetLitterbags placem_collection'!G56)</f>
        <v>42820</v>
      </c>
      <c r="S349" s="195" t="str">
        <f>IF(IFERROR(INDEX('Both teabags AfterWet'!$C$3:$C$841,MATCH(H349,'Both teabags AfterWet'!$A$3:$A$841,0)),"")="N.A","",(IFERROR(INDEX('Both teabags AfterWet'!$C$3:$C$841,MATCH(H349,'Both teabags AfterWet'!$A$3:$A$841,0)),"")))</f>
        <v/>
      </c>
      <c r="T349" s="195" t="str">
        <f>IFERROR(INDEX('Both teabags AfterWet'!$C$3:$C$841,MATCH(I349,'Both teabags AfterWet'!$A$3:$A$841,0)),"")</f>
        <v/>
      </c>
      <c r="U349" s="195" t="str">
        <f t="shared" si="55"/>
        <v/>
      </c>
      <c r="V349" s="195" t="str">
        <f t="shared" si="55"/>
        <v/>
      </c>
      <c r="W349" s="195" t="str">
        <f>IFERROR(INDEX('Ashed teabags wet'!$K$2:$K$821,MATCH(H349,'Ashed teabags wet'!$A$2:$A$821,0)),"")</f>
        <v/>
      </c>
      <c r="X349" s="195" t="str">
        <f>IFERROR(INDEX('Ashed teabags wet'!$K$2:$K$821,MATCH(I349,'Ashed teabags wet'!$A$2:$A$821,0)),"")</f>
        <v/>
      </c>
      <c r="Y349" s="195" t="str">
        <f t="shared" si="49"/>
        <v/>
      </c>
      <c r="Z349" s="195" t="str">
        <f t="shared" si="49"/>
        <v/>
      </c>
      <c r="AA349" s="195" t="str">
        <f t="shared" si="56"/>
        <v/>
      </c>
      <c r="AB349" s="195" t="str">
        <f t="shared" si="57"/>
        <v/>
      </c>
      <c r="AC349" s="195" t="str">
        <f t="shared" si="50"/>
        <v/>
      </c>
      <c r="AD349">
        <f t="shared" si="51"/>
        <v>54</v>
      </c>
      <c r="AE349" s="195" t="str">
        <f t="shared" si="58"/>
        <v/>
      </c>
      <c r="AF349" s="195" t="str">
        <f t="shared" si="59"/>
        <v/>
      </c>
      <c r="AG349" s="255" t="str">
        <f>IF(ISNUMBER(SEARCH("C",'WetLitterbags placem_collection'!AD276)),"YES","NO")</f>
        <v>NO</v>
      </c>
      <c r="AH349" s="255" t="str">
        <f>IF(ISNUMBER(SEARCH("H", 'WetLitterbags placem_collection'!AF56)),"YES","NO")</f>
        <v>NO</v>
      </c>
      <c r="AI349" s="255" t="str">
        <f>IF(ISNUMBER(SEARCH("R", 'WetLitterbags placem_collection'!XF56)),"YES","NO")</f>
        <v>NO</v>
      </c>
      <c r="AJ349" s="255" t="str">
        <f>IF(ISNUMBER(SEARCH("C", 'WetLitterbags placem_collection'!WE56)),"YES","NO")</f>
        <v>NO</v>
      </c>
      <c r="AK349" s="255" t="str">
        <f>IF(ISNUMBER(SEARCH("H", 'WetLitterbags placem_collection'!AE56)),"YES","NO")</f>
        <v>NO</v>
      </c>
      <c r="AL349" s="255" t="str">
        <f>IF(ISNUMBER(SEARCH("R", 'WetLitterbags placem_collection'!AE56)),"YES","NO")</f>
        <v>NO</v>
      </c>
    </row>
    <row r="350" spans="2:38">
      <c r="B350" t="str">
        <f>'Final data_for_R_analysis_Wetse'!A496</f>
        <v>Wet</v>
      </c>
      <c r="C350" s="263">
        <f>'Final data_for_R_analysis_Wetse'!B496</f>
        <v>55</v>
      </c>
      <c r="D350" t="s">
        <v>3834</v>
      </c>
      <c r="E350" t="s">
        <v>25</v>
      </c>
      <c r="F350" s="387">
        <v>7</v>
      </c>
      <c r="G350" s="16">
        <f>'WetLitterbags placem_collection'!E57</f>
        <v>42766</v>
      </c>
      <c r="H350" s="92" t="str">
        <f>'Final data_for_R_analysis_Wetse'!J496</f>
        <v>G616</v>
      </c>
      <c r="I350" t="str">
        <f>'Final data_for_R_analysis_Wetse'!J716</f>
        <v>R54b</v>
      </c>
      <c r="J350">
        <f>IFERROR(INDEX('Green_rooibos initial weight'!$C$5:$C$1749,MATCH(H350, 'Green_rooibos initial weight'!$A$5:$A$1749,0)),"")</f>
        <v>1.978</v>
      </c>
      <c r="K350" t="str">
        <f>IFERROR(INDEX('Green_rooibos initial weight'!$C$5:$C$1749,MATCH(I350, 'Green_rooibos initial weight'!$A$5:$A$1749,0)),"")</f>
        <v/>
      </c>
      <c r="L350" s="195">
        <f t="shared" si="52"/>
        <v>1.7282</v>
      </c>
      <c r="M350" s="195">
        <f>AVERAGE(Ashed_controlls!$K$2:$K$11)</f>
        <v>5.5147656768714146</v>
      </c>
      <c r="N350" s="195">
        <f t="shared" si="48"/>
        <v>1.6328938195723082</v>
      </c>
      <c r="O350" s="195" t="e">
        <f t="shared" si="53"/>
        <v>#VALUE!</v>
      </c>
      <c r="P350" s="195">
        <f>AVERAGE(Ashed_controlls!$K$12:$K$14)</f>
        <v>2.2816647271287041</v>
      </c>
      <c r="Q350" s="195" t="str">
        <f t="shared" si="54"/>
        <v/>
      </c>
      <c r="R350" s="16">
        <f>IF('WetLitterbags placem_collection'!G57="N.A","",'WetLitterbags placem_collection'!G57)</f>
        <v>42820</v>
      </c>
      <c r="S350" s="195">
        <f>IF(IFERROR(INDEX('Both teabags AfterWet'!$C$3:$C$841,MATCH(H350,'Both teabags AfterWet'!$A$3:$A$841,0)),"")="N.A","",(IFERROR(INDEX('Both teabags AfterWet'!$C$3:$C$841,MATCH(H350,'Both teabags AfterWet'!$A$3:$A$841,0)),"")))</f>
        <v>0.93200000000000005</v>
      </c>
      <c r="T350" s="195">
        <f>IFERROR(INDEX('Both teabags AfterWet'!$C$3:$C$841,MATCH(I350,'Both teabags AfterWet'!$A$3:$A$841,0)),"")</f>
        <v>1.5207999999999999</v>
      </c>
      <c r="U350" s="195">
        <f t="shared" si="55"/>
        <v>0.78140000000000009</v>
      </c>
      <c r="V350" s="195">
        <f t="shared" si="55"/>
        <v>1.3701999999999999</v>
      </c>
      <c r="W350" s="195">
        <f>IFERROR(INDEX('Ashed teabags wet'!$K$2:$K$821,MATCH(H350,'Ashed teabags wet'!$A$2:$A$821,0)),"")</f>
        <v>25.927734375000028</v>
      </c>
      <c r="X350" s="195">
        <f>IFERROR(INDEX('Ashed teabags wet'!$K$2:$K$821,MATCH(I350,'Ashed teabags wet'!$A$2:$A$821,0)),"")</f>
        <v>10.692124105011484</v>
      </c>
      <c r="Y350" s="195">
        <f t="shared" si="49"/>
        <v>0.57880068359374981</v>
      </c>
      <c r="Z350" s="195">
        <f t="shared" si="49"/>
        <v>1.2236965155131325</v>
      </c>
      <c r="AA350" s="195">
        <f t="shared" si="56"/>
        <v>0.64553685202547295</v>
      </c>
      <c r="AB350" s="195">
        <f t="shared" si="57"/>
        <v>0.42320230679104648</v>
      </c>
      <c r="AC350" s="195" t="str">
        <f t="shared" si="50"/>
        <v/>
      </c>
      <c r="AD350">
        <f t="shared" si="51"/>
        <v>54</v>
      </c>
      <c r="AE350" s="195">
        <f t="shared" si="58"/>
        <v>0.23332915436404633</v>
      </c>
      <c r="AF350" s="195" t="str">
        <f t="shared" si="59"/>
        <v/>
      </c>
      <c r="AG350" s="255" t="str">
        <f>IF(ISNUMBER(SEARCH("C",'WetLitterbags placem_collection'!AD277)),"YES","NO")</f>
        <v>NO</v>
      </c>
      <c r="AH350" s="255" t="str">
        <f>IF(ISNUMBER(SEARCH("H", 'WetLitterbags placem_collection'!AF57)),"YES","NO")</f>
        <v>NO</v>
      </c>
      <c r="AI350" s="255" t="str">
        <f>IF(ISNUMBER(SEARCH("R", 'WetLitterbags placem_collection'!XF57)),"YES","NO")</f>
        <v>NO</v>
      </c>
      <c r="AJ350" s="255" t="str">
        <f>IF(ISNUMBER(SEARCH("C", 'WetLitterbags placem_collection'!WE57)),"YES","NO")</f>
        <v>NO</v>
      </c>
      <c r="AK350" s="255" t="str">
        <f>IF(ISNUMBER(SEARCH("H", 'WetLitterbags placem_collection'!AE57)),"YES","NO")</f>
        <v>NO</v>
      </c>
      <c r="AL350" s="255" t="str">
        <f>IF(ISNUMBER(SEARCH("R", 'WetLitterbags placem_collection'!AE57)),"YES","NO")</f>
        <v>NO</v>
      </c>
    </row>
    <row r="351" spans="2:38">
      <c r="B351" t="str">
        <f>'Final data_for_R_analysis_Wetse'!A497</f>
        <v>Wet</v>
      </c>
      <c r="C351" s="263">
        <f>'Final data_for_R_analysis_Wetse'!B497</f>
        <v>56</v>
      </c>
      <c r="D351" t="s">
        <v>3834</v>
      </c>
      <c r="E351" t="s">
        <v>25</v>
      </c>
      <c r="F351" s="387">
        <v>8</v>
      </c>
      <c r="G351" s="16">
        <f>'WetLitterbags placem_collection'!E58</f>
        <v>42766</v>
      </c>
      <c r="H351" s="92" t="str">
        <f>'Final data_for_R_analysis_Wetse'!J497</f>
        <v>G557</v>
      </c>
      <c r="I351" t="str">
        <f>'Final data_for_R_analysis_Wetse'!J717</f>
        <v>R58</v>
      </c>
      <c r="J351">
        <f>IFERROR(INDEX('Green_rooibos initial weight'!$C$5:$C$1749,MATCH(H351, 'Green_rooibos initial weight'!$A$5:$A$1749,0)),"")</f>
        <v>2.12</v>
      </c>
      <c r="K351">
        <f>IFERROR(INDEX('Green_rooibos initial weight'!$C$5:$C$1749,MATCH(I351, 'Green_rooibos initial weight'!$A$5:$A$1749,0)),"")</f>
        <v>2.1760000000000002</v>
      </c>
      <c r="L351" s="195">
        <f t="shared" si="52"/>
        <v>1.8702000000000001</v>
      </c>
      <c r="M351" s="195">
        <f>AVERAGE(Ashed_controlls!$K$2:$K$11)</f>
        <v>5.5147656768714146</v>
      </c>
      <c r="N351" s="195">
        <f t="shared" si="48"/>
        <v>1.7670628523111509</v>
      </c>
      <c r="O351" s="195">
        <f t="shared" si="53"/>
        <v>1.9262000000000001</v>
      </c>
      <c r="P351" s="195">
        <f>AVERAGE(Ashed_controlls!$K$12:$K$14)</f>
        <v>2.2816647271287041</v>
      </c>
      <c r="Q351" s="195">
        <f t="shared" si="54"/>
        <v>1.8822505740260471</v>
      </c>
      <c r="R351" s="16">
        <f>IF('WetLitterbags placem_collection'!G58="N.A","",'WetLitterbags placem_collection'!G58)</f>
        <v>42820</v>
      </c>
      <c r="S351" s="195">
        <f>IF(IFERROR(INDEX('Both teabags AfterWet'!$C$3:$C$841,MATCH(H351,'Both teabags AfterWet'!$A$3:$A$841,0)),"")="N.A","",(IFERROR(INDEX('Both teabags AfterWet'!$C$3:$C$841,MATCH(H351,'Both teabags AfterWet'!$A$3:$A$841,0)),"")))</f>
        <v>0.74399999999999999</v>
      </c>
      <c r="T351" s="195">
        <f>IFERROR(INDEX('Both teabags AfterWet'!$C$3:$C$841,MATCH(I351,'Both teabags AfterWet'!$A$3:$A$841,0)),"")</f>
        <v>1.5980000000000001</v>
      </c>
      <c r="U351" s="195">
        <f t="shared" si="55"/>
        <v>0.59339999999999993</v>
      </c>
      <c r="V351" s="195">
        <f t="shared" si="55"/>
        <v>1.4474</v>
      </c>
      <c r="W351" s="195">
        <f>IFERROR(INDEX('Ashed teabags wet'!$K$2:$K$821,MATCH(H351,'Ashed teabags wet'!$A$2:$A$821,0)),"")</f>
        <v>11.235408560310804</v>
      </c>
      <c r="X351" s="195">
        <f>IFERROR(INDEX('Ashed teabags wet'!$K$2:$K$821,MATCH(I351,'Ashed teabags wet'!$A$2:$A$821,0)),"")</f>
        <v>3.1372549019609965</v>
      </c>
      <c r="Y351" s="195">
        <f t="shared" si="49"/>
        <v>0.5267290856031156</v>
      </c>
      <c r="Z351" s="195">
        <f t="shared" si="49"/>
        <v>1.4019913725490165</v>
      </c>
      <c r="AA351" s="195">
        <f t="shared" si="56"/>
        <v>0.70191830759488616</v>
      </c>
      <c r="AB351" s="195">
        <f t="shared" si="57"/>
        <v>0.46016497124985417</v>
      </c>
      <c r="AC351" s="195">
        <f t="shared" si="50"/>
        <v>0.74484842342229796</v>
      </c>
      <c r="AD351">
        <f t="shared" si="51"/>
        <v>54</v>
      </c>
      <c r="AE351" s="195">
        <f t="shared" si="58"/>
        <v>0.166367805706786</v>
      </c>
      <c r="AF351" s="195">
        <f t="shared" si="59"/>
        <v>1.497240261987947E-2</v>
      </c>
      <c r="AG351" s="255" t="str">
        <f>IF(ISNUMBER(SEARCH("C",'WetLitterbags placem_collection'!AD278)),"YES","NO")</f>
        <v>NO</v>
      </c>
      <c r="AH351" s="255" t="str">
        <f>IF(ISNUMBER(SEARCH("H", 'WetLitterbags placem_collection'!AF58)),"YES","NO")</f>
        <v>NO</v>
      </c>
      <c r="AI351" s="255" t="str">
        <f>IF(ISNUMBER(SEARCH("R", 'WetLitterbags placem_collection'!XF58)),"YES","NO")</f>
        <v>NO</v>
      </c>
      <c r="AJ351" s="255" t="str">
        <f>IF(ISNUMBER(SEARCH("C", 'WetLitterbags placem_collection'!WE58)),"YES","NO")</f>
        <v>NO</v>
      </c>
      <c r="AK351" s="255" t="str">
        <f>IF(ISNUMBER(SEARCH("H", 'WetLitterbags placem_collection'!AE58)),"YES","NO")</f>
        <v>NO</v>
      </c>
      <c r="AL351" s="255" t="str">
        <f>IF(ISNUMBER(SEARCH("R", 'WetLitterbags placem_collection'!AE58)),"YES","NO")</f>
        <v>NO</v>
      </c>
    </row>
    <row r="352" spans="2:38">
      <c r="B352" t="str">
        <f>'Final data_for_R_analysis_Wetse'!A498</f>
        <v>Wet</v>
      </c>
      <c r="C352" s="263">
        <f>'Final data_for_R_analysis_Wetse'!B498</f>
        <v>57</v>
      </c>
      <c r="D352" t="s">
        <v>3835</v>
      </c>
      <c r="E352" t="s">
        <v>25</v>
      </c>
      <c r="F352" s="386">
        <v>1</v>
      </c>
      <c r="G352" s="16">
        <f>'WetLitterbags placem_collection'!E59</f>
        <v>42766</v>
      </c>
      <c r="H352" s="92" t="str">
        <f>'Final data_for_R_analysis_Wetse'!J498</f>
        <v>G618</v>
      </c>
      <c r="I352" t="str">
        <f>'Final data_for_R_analysis_Wetse'!J718</f>
        <v>R435</v>
      </c>
      <c r="J352">
        <f>IFERROR(INDEX('Green_rooibos initial weight'!$C$5:$C$1749,MATCH(H352, 'Green_rooibos initial weight'!$A$5:$A$1749,0)),"")</f>
        <v>2.0449999999999999</v>
      </c>
      <c r="K352">
        <f>IFERROR(INDEX('Green_rooibos initial weight'!$C$5:$C$1749,MATCH(I352, 'Green_rooibos initial weight'!$A$5:$A$1749,0)),"")</f>
        <v>2.141</v>
      </c>
      <c r="L352" s="195">
        <f t="shared" si="52"/>
        <v>1.7951999999999999</v>
      </c>
      <c r="M352" s="195">
        <f>AVERAGE(Ashed_controlls!$K$2:$K$11)</f>
        <v>5.5147656768714146</v>
      </c>
      <c r="N352" s="195">
        <f t="shared" si="48"/>
        <v>1.6961989265688042</v>
      </c>
      <c r="O352" s="195">
        <f t="shared" si="53"/>
        <v>1.8912</v>
      </c>
      <c r="P352" s="195">
        <f>AVERAGE(Ashed_controlls!$K$12:$K$14)</f>
        <v>2.2816647271287041</v>
      </c>
      <c r="Q352" s="195">
        <f t="shared" si="54"/>
        <v>1.8480491566805419</v>
      </c>
      <c r="R352" s="16">
        <f>IF('WetLitterbags placem_collection'!G59="N.A","",'WetLitterbags placem_collection'!G59)</f>
        <v>42820</v>
      </c>
      <c r="S352" s="195">
        <f>IF(IFERROR(INDEX('Both teabags AfterWet'!$C$3:$C$841,MATCH(H352,'Both teabags AfterWet'!$A$3:$A$841,0)),"")="N.A","",(IFERROR(INDEX('Both teabags AfterWet'!$C$3:$C$841,MATCH(H352,'Both teabags AfterWet'!$A$3:$A$841,0)),"")))</f>
        <v>0.88129999999999997</v>
      </c>
      <c r="T352" s="195">
        <f>IFERROR(INDEX('Both teabags AfterWet'!$C$3:$C$841,MATCH(I352,'Both teabags AfterWet'!$A$3:$A$841,0)),"")</f>
        <v>1.4594</v>
      </c>
      <c r="U352" s="195">
        <f t="shared" si="55"/>
        <v>0.73069999999999991</v>
      </c>
      <c r="V352" s="195">
        <f t="shared" si="55"/>
        <v>1.3088</v>
      </c>
      <c r="W352" s="195">
        <f>IFERROR(INDEX('Ashed teabags wet'!$K$2:$K$821,MATCH(H352,'Ashed teabags wet'!$A$2:$A$821,0)),"")</f>
        <v>11.534653465346061</v>
      </c>
      <c r="X352" s="195">
        <f>IFERROR(INDEX('Ashed teabags wet'!$K$2:$K$821,MATCH(I352,'Ashed teabags wet'!$A$2:$A$821,0)),"")</f>
        <v>7.3673870333987725</v>
      </c>
      <c r="Y352" s="195">
        <f t="shared" si="49"/>
        <v>0.64641628712871624</v>
      </c>
      <c r="Z352" s="195">
        <f t="shared" si="49"/>
        <v>1.2123756385068769</v>
      </c>
      <c r="AA352" s="195">
        <f t="shared" si="56"/>
        <v>0.61890302074631387</v>
      </c>
      <c r="AB352" s="195">
        <f t="shared" si="57"/>
        <v>0.4057416478051844</v>
      </c>
      <c r="AC352" s="195">
        <f t="shared" si="50"/>
        <v>0.65602997307958022</v>
      </c>
      <c r="AD352">
        <f t="shared" si="51"/>
        <v>54</v>
      </c>
      <c r="AE352" s="195">
        <f t="shared" si="58"/>
        <v>0.26496078296162251</v>
      </c>
      <c r="AF352" s="195">
        <f t="shared" si="59"/>
        <v>3.4856899473864209E-2</v>
      </c>
      <c r="AG352" s="255" t="str">
        <f>IF(ISNUMBER(SEARCH("C",'WetLitterbags placem_collection'!AD279)),"YES","NO")</f>
        <v>NO</v>
      </c>
      <c r="AH352" s="255" t="str">
        <f>IF(ISNUMBER(SEARCH("H", 'WetLitterbags placem_collection'!AF59)),"YES","NO")</f>
        <v>NO</v>
      </c>
      <c r="AI352" s="255" t="str">
        <f>IF(ISNUMBER(SEARCH("R", 'WetLitterbags placem_collection'!XF59)),"YES","NO")</f>
        <v>NO</v>
      </c>
      <c r="AJ352" s="255" t="str">
        <f>IF(ISNUMBER(SEARCH("C", 'WetLitterbags placem_collection'!WE59)),"YES","NO")</f>
        <v>NO</v>
      </c>
      <c r="AK352" s="255" t="str">
        <f>IF(ISNUMBER(SEARCH("H", 'WetLitterbags placem_collection'!AE59)),"YES","NO")</f>
        <v>NO</v>
      </c>
      <c r="AL352" s="255" t="str">
        <f>IF(ISNUMBER(SEARCH("R", 'WetLitterbags placem_collection'!AE59)),"YES","NO")</f>
        <v>NO</v>
      </c>
    </row>
    <row r="353" spans="2:38">
      <c r="B353" t="str">
        <f>'Final data_for_R_analysis_Wetse'!A499</f>
        <v>Wet</v>
      </c>
      <c r="C353" s="263">
        <f>'Final data_for_R_analysis_Wetse'!B499</f>
        <v>58</v>
      </c>
      <c r="D353" t="s">
        <v>3835</v>
      </c>
      <c r="E353" t="s">
        <v>25</v>
      </c>
      <c r="F353" s="386">
        <v>2</v>
      </c>
      <c r="G353" s="16">
        <f>'WetLitterbags placem_collection'!E60</f>
        <v>42766</v>
      </c>
      <c r="H353" s="92" t="str">
        <f>'Final data_for_R_analysis_Wetse'!J499</f>
        <v>G593</v>
      </c>
      <c r="I353" t="str">
        <f>'Final data_for_R_analysis_Wetse'!J719</f>
        <v>R31</v>
      </c>
      <c r="J353">
        <f>IFERROR(INDEX('Green_rooibos initial weight'!$C$5:$C$1749,MATCH(H353, 'Green_rooibos initial weight'!$A$5:$A$1749,0)),"")</f>
        <v>2.093</v>
      </c>
      <c r="K353">
        <f>IFERROR(INDEX('Green_rooibos initial weight'!$C$5:$C$1749,MATCH(I353, 'Green_rooibos initial weight'!$A$5:$A$1749,0)),"")</f>
        <v>2.1589999999999998</v>
      </c>
      <c r="L353" s="195">
        <f t="shared" si="52"/>
        <v>1.8431999999999999</v>
      </c>
      <c r="M353" s="195">
        <f>AVERAGE(Ashed_controlls!$K$2:$K$11)</f>
        <v>5.5147656768714146</v>
      </c>
      <c r="N353" s="195">
        <f t="shared" si="48"/>
        <v>1.741551839043906</v>
      </c>
      <c r="O353" s="195">
        <f t="shared" si="53"/>
        <v>1.9091999999999998</v>
      </c>
      <c r="P353" s="195">
        <f>AVERAGE(Ashed_controlls!$K$12:$K$14)</f>
        <v>2.2816647271287041</v>
      </c>
      <c r="Q353" s="195">
        <f t="shared" si="54"/>
        <v>1.8656384570296585</v>
      </c>
      <c r="R353" s="16">
        <f>IF('WetLitterbags placem_collection'!G60="N.A","",'WetLitterbags placem_collection'!G60)</f>
        <v>42820</v>
      </c>
      <c r="S353" s="195">
        <f>IF(IFERROR(INDEX('Both teabags AfterWet'!$C$3:$C$841,MATCH(H353,'Both teabags AfterWet'!$A$3:$A$841,0)),"")="N.A","",(IFERROR(INDEX('Both teabags AfterWet'!$C$3:$C$841,MATCH(H353,'Both teabags AfterWet'!$A$3:$A$841,0)),"")))</f>
        <v>0.97009999999999996</v>
      </c>
      <c r="T353" s="195">
        <f>IFERROR(INDEX('Both teabags AfterWet'!$C$3:$C$841,MATCH(I353,'Both teabags AfterWet'!$A$3:$A$841,0)),"")</f>
        <v>1.1857</v>
      </c>
      <c r="U353" s="195">
        <f t="shared" si="55"/>
        <v>0.8194999999999999</v>
      </c>
      <c r="V353" s="195">
        <f t="shared" si="55"/>
        <v>1.0350999999999999</v>
      </c>
      <c r="W353" s="195">
        <f>IFERROR(INDEX('Ashed teabags wet'!$K$2:$K$821,MATCH(H353,'Ashed teabags wet'!$A$2:$A$821,0)),"")</f>
        <v>12.412761714855449</v>
      </c>
      <c r="X353" s="195" t="str">
        <f>IFERROR(INDEX('Ashed teabags wet'!$K$2:$K$821,MATCH(I353,'Ashed teabags wet'!$A$2:$A$821,0)),"")</f>
        <v/>
      </c>
      <c r="Y353" s="195">
        <f t="shared" si="49"/>
        <v>0.71777741774675952</v>
      </c>
      <c r="Z353" s="195" t="str">
        <f t="shared" si="49"/>
        <v/>
      </c>
      <c r="AA353" s="195">
        <f t="shared" si="56"/>
        <v>0.58785182177476158</v>
      </c>
      <c r="AB353" s="195">
        <f t="shared" si="57"/>
        <v>0.38538504230364423</v>
      </c>
      <c r="AC353" s="195" t="str">
        <f t="shared" si="50"/>
        <v/>
      </c>
      <c r="AD353">
        <f t="shared" si="51"/>
        <v>54</v>
      </c>
      <c r="AE353" s="195">
        <f t="shared" si="58"/>
        <v>0.30183869147890541</v>
      </c>
      <c r="AF353" s="195" t="str">
        <f t="shared" si="59"/>
        <v/>
      </c>
      <c r="AG353" s="255" t="str">
        <f>IF(ISNUMBER(SEARCH("C",'WetLitterbags placem_collection'!AD280)),"YES","NO")</f>
        <v>NO</v>
      </c>
      <c r="AH353" s="255" t="str">
        <f>IF(ISNUMBER(SEARCH("H", 'WetLitterbags placem_collection'!AF60)),"YES","NO")</f>
        <v>NO</v>
      </c>
      <c r="AI353" s="255" t="str">
        <f>IF(ISNUMBER(SEARCH("R", 'WetLitterbags placem_collection'!XF60)),"YES","NO")</f>
        <v>NO</v>
      </c>
      <c r="AJ353" s="255" t="str">
        <f>IF(ISNUMBER(SEARCH("C", 'WetLitterbags placem_collection'!WE60)),"YES","NO")</f>
        <v>NO</v>
      </c>
      <c r="AK353" s="255" t="str">
        <f>IF(ISNUMBER(SEARCH("H", 'WetLitterbags placem_collection'!AE60)),"YES","NO")</f>
        <v>NO</v>
      </c>
      <c r="AL353" s="255" t="str">
        <f>IF(ISNUMBER(SEARCH("R", 'WetLitterbags placem_collection'!AE60)),"YES","NO")</f>
        <v>NO</v>
      </c>
    </row>
    <row r="354" spans="2:38">
      <c r="B354" t="str">
        <f>'Final data_for_R_analysis_Wetse'!A500</f>
        <v>Wet</v>
      </c>
      <c r="C354" s="263">
        <f>'Final data_for_R_analysis_Wetse'!B500</f>
        <v>59</v>
      </c>
      <c r="D354" t="s">
        <v>3835</v>
      </c>
      <c r="E354" t="s">
        <v>25</v>
      </c>
      <c r="F354" s="386">
        <v>3</v>
      </c>
      <c r="G354" s="16">
        <f>'WetLitterbags placem_collection'!E61</f>
        <v>42766</v>
      </c>
      <c r="H354" s="92" t="str">
        <f>'Final data_for_R_analysis_Wetse'!J500</f>
        <v>G600</v>
      </c>
      <c r="I354" t="str">
        <f>'Final data_for_R_analysis_Wetse'!J720</f>
        <v>R120</v>
      </c>
      <c r="J354">
        <f>IFERROR(INDEX('Green_rooibos initial weight'!$C$5:$C$1749,MATCH(H354, 'Green_rooibos initial weight'!$A$5:$A$1749,0)),"")</f>
        <v>2.0049999999999999</v>
      </c>
      <c r="K354">
        <f>IFERROR(INDEX('Green_rooibos initial weight'!$C$5:$C$1749,MATCH(I354, 'Green_rooibos initial weight'!$A$5:$A$1749,0)),"")</f>
        <v>2.2450000000000001</v>
      </c>
      <c r="L354" s="195">
        <f t="shared" si="52"/>
        <v>1.7551999999999999</v>
      </c>
      <c r="M354" s="195">
        <f>AVERAGE(Ashed_controlls!$K$2:$K$11)</f>
        <v>5.5147656768714146</v>
      </c>
      <c r="N354" s="195">
        <f t="shared" si="48"/>
        <v>1.6584048328395529</v>
      </c>
      <c r="O354" s="195">
        <f t="shared" si="53"/>
        <v>1.9952000000000001</v>
      </c>
      <c r="P354" s="195">
        <f>AVERAGE(Ashed_controlls!$K$12:$K$14)</f>
        <v>2.2816647271287041</v>
      </c>
      <c r="Q354" s="195">
        <f t="shared" si="54"/>
        <v>1.9496762253643283</v>
      </c>
      <c r="R354" s="16">
        <f>IF('WetLitterbags placem_collection'!G61="N.A","",'WetLitterbags placem_collection'!G61)</f>
        <v>42820</v>
      </c>
      <c r="S354" s="195">
        <f>IF(IFERROR(INDEX('Both teabags AfterWet'!$C$3:$C$841,MATCH(H354,'Both teabags AfterWet'!$A$3:$A$841,0)),"")="N.A","",(IFERROR(INDEX('Both teabags AfterWet'!$C$3:$C$841,MATCH(H354,'Both teabags AfterWet'!$A$3:$A$841,0)),"")))</f>
        <v>0.90200000000000002</v>
      </c>
      <c r="T354" s="195">
        <f>IFERROR(INDEX('Both teabags AfterWet'!$C$3:$C$841,MATCH(I354,'Both teabags AfterWet'!$A$3:$A$841,0)),"")</f>
        <v>1.4690000000000001</v>
      </c>
      <c r="U354" s="195">
        <f t="shared" si="55"/>
        <v>0.75140000000000007</v>
      </c>
      <c r="V354" s="195">
        <f t="shared" si="55"/>
        <v>1.3184</v>
      </c>
      <c r="W354" s="195">
        <f>IFERROR(INDEX('Ashed teabags wet'!$K$2:$K$821,MATCH(H354,'Ashed teabags wet'!$A$2:$A$821,0)),"")</f>
        <v>13.942071674030428</v>
      </c>
      <c r="X354" s="195">
        <f>IFERROR(INDEX('Ashed teabags wet'!$K$2:$K$821,MATCH(I354,'Ashed teabags wet'!$A$2:$A$821,0)),"")</f>
        <v>3.836571998007162</v>
      </c>
      <c r="Y354" s="195">
        <f t="shared" si="49"/>
        <v>0.64663927344133543</v>
      </c>
      <c r="Z354" s="195">
        <f t="shared" si="49"/>
        <v>1.2678186347782736</v>
      </c>
      <c r="AA354" s="195">
        <f t="shared" si="56"/>
        <v>0.6100835811397467</v>
      </c>
      <c r="AB354" s="195">
        <f t="shared" si="57"/>
        <v>0.39995978240990526</v>
      </c>
      <c r="AC354" s="195">
        <f t="shared" si="50"/>
        <v>0.65027137238715693</v>
      </c>
      <c r="AD354">
        <f t="shared" si="51"/>
        <v>54</v>
      </c>
      <c r="AE354" s="195">
        <f t="shared" si="58"/>
        <v>0.27543517679364993</v>
      </c>
      <c r="AF354" s="195">
        <f t="shared" si="59"/>
        <v>3.8420899081366505E-2</v>
      </c>
      <c r="AG354" s="255" t="str">
        <f>IF(ISNUMBER(SEARCH("C",'WetLitterbags placem_collection'!AD281)),"YES","NO")</f>
        <v>NO</v>
      </c>
      <c r="AH354" s="255" t="str">
        <f>IF(ISNUMBER(SEARCH("H", 'WetLitterbags placem_collection'!AF61)),"YES","NO")</f>
        <v>NO</v>
      </c>
      <c r="AI354" s="255" t="str">
        <f>IF(ISNUMBER(SEARCH("R", 'WetLitterbags placem_collection'!XF61)),"YES","NO")</f>
        <v>NO</v>
      </c>
      <c r="AJ354" s="255" t="str">
        <f>IF(ISNUMBER(SEARCH("C", 'WetLitterbags placem_collection'!WE61)),"YES","NO")</f>
        <v>NO</v>
      </c>
      <c r="AK354" s="255" t="str">
        <f>IF(ISNUMBER(SEARCH("H", 'WetLitterbags placem_collection'!AE61)),"YES","NO")</f>
        <v>NO</v>
      </c>
      <c r="AL354" s="255" t="str">
        <f>IF(ISNUMBER(SEARCH("R", 'WetLitterbags placem_collection'!AE61)),"YES","NO")</f>
        <v>NO</v>
      </c>
    </row>
    <row r="355" spans="2:38">
      <c r="B355" t="str">
        <f>'Final data_for_R_analysis_Wetse'!A501</f>
        <v>Wet</v>
      </c>
      <c r="C355" s="263">
        <f>'Final data_for_R_analysis_Wetse'!B501</f>
        <v>60</v>
      </c>
      <c r="D355" t="s">
        <v>3835</v>
      </c>
      <c r="E355" t="s">
        <v>25</v>
      </c>
      <c r="F355" s="387">
        <v>4</v>
      </c>
      <c r="G355" s="16">
        <f>'WetLitterbags placem_collection'!E62</f>
        <v>42766</v>
      </c>
      <c r="H355" s="92" t="str">
        <f>'Final data_for_R_analysis_Wetse'!J501</f>
        <v>G535</v>
      </c>
      <c r="I355" t="str">
        <f>'Final data_for_R_analysis_Wetse'!J721</f>
        <v>R390</v>
      </c>
      <c r="J355">
        <f>IFERROR(INDEX('Green_rooibos initial weight'!$C$5:$C$1749,MATCH(H355, 'Green_rooibos initial weight'!$A$5:$A$1749,0)),"")</f>
        <v>2.0920000000000001</v>
      </c>
      <c r="K355">
        <f>IFERROR(INDEX('Green_rooibos initial weight'!$C$5:$C$1749,MATCH(I355, 'Green_rooibos initial weight'!$A$5:$A$1749,0)),"")</f>
        <v>2.2480000000000002</v>
      </c>
      <c r="L355" s="195">
        <f t="shared" si="52"/>
        <v>1.8422000000000001</v>
      </c>
      <c r="M355" s="195">
        <f>AVERAGE(Ashed_controlls!$K$2:$K$11)</f>
        <v>5.5147656768714146</v>
      </c>
      <c r="N355" s="195">
        <f t="shared" si="48"/>
        <v>1.7406069867006748</v>
      </c>
      <c r="O355" s="195">
        <f t="shared" si="53"/>
        <v>1.9982000000000002</v>
      </c>
      <c r="P355" s="195">
        <f>AVERAGE(Ashed_controlls!$K$12:$K$14)</f>
        <v>2.2816647271287041</v>
      </c>
      <c r="Q355" s="195">
        <f t="shared" si="54"/>
        <v>1.9526077754225144</v>
      </c>
      <c r="R355" s="16">
        <f>IF('WetLitterbags placem_collection'!G62="N.A","",'WetLitterbags placem_collection'!G62)</f>
        <v>42820</v>
      </c>
      <c r="S355" s="195">
        <f>IF(IFERROR(INDEX('Both teabags AfterWet'!$C$3:$C$841,MATCH(H355,'Both teabags AfterWet'!$A$3:$A$841,0)),"")="N.A","",(IFERROR(INDEX('Both teabags AfterWet'!$C$3:$C$841,MATCH(H355,'Both teabags AfterWet'!$A$3:$A$841,0)),"")))</f>
        <v>0.78</v>
      </c>
      <c r="T355" s="195">
        <f>IFERROR(INDEX('Both teabags AfterWet'!$C$3:$C$841,MATCH(I355,'Both teabags AfterWet'!$A$3:$A$841,0)),"")</f>
        <v>1.5309999999999999</v>
      </c>
      <c r="U355" s="195">
        <f t="shared" si="55"/>
        <v>0.62939999999999996</v>
      </c>
      <c r="V355" s="195">
        <f t="shared" si="55"/>
        <v>1.3803999999999998</v>
      </c>
      <c r="W355" s="195">
        <f>IFERROR(INDEX('Ashed teabags wet'!$K$2:$K$821,MATCH(H355,'Ashed teabags wet'!$A$2:$A$821,0)),"")</f>
        <v>10.099009900990334</v>
      </c>
      <c r="X355" s="195">
        <f>IFERROR(INDEX('Ashed teabags wet'!$K$2:$K$821,MATCH(I355,'Ashed teabags wet'!$A$2:$A$821,0)),"")</f>
        <v>9.7068716962994532</v>
      </c>
      <c r="Y355" s="195">
        <f t="shared" si="49"/>
        <v>0.56583683168316679</v>
      </c>
      <c r="Z355" s="195">
        <f t="shared" si="49"/>
        <v>1.2464063431042822</v>
      </c>
      <c r="AA355" s="195">
        <f t="shared" si="56"/>
        <v>0.67491982049565824</v>
      </c>
      <c r="AB355" s="195">
        <f t="shared" si="57"/>
        <v>0.44246525049121543</v>
      </c>
      <c r="AC355" s="195">
        <f t="shared" si="50"/>
        <v>0.63832908933007759</v>
      </c>
      <c r="AD355">
        <f t="shared" si="51"/>
        <v>54</v>
      </c>
      <c r="AE355" s="195">
        <f t="shared" si="58"/>
        <v>0.19843251722605904</v>
      </c>
      <c r="AF355" s="195">
        <f t="shared" si="59"/>
        <v>3.1489907778599023E-2</v>
      </c>
      <c r="AG355" s="255" t="str">
        <f>IF(ISNUMBER(SEARCH("C",'WetLitterbags placem_collection'!AD282)),"YES","NO")</f>
        <v>NO</v>
      </c>
      <c r="AH355" s="255" t="str">
        <f>IF(ISNUMBER(SEARCH("H", 'WetLitterbags placem_collection'!AF62)),"YES","NO")</f>
        <v>NO</v>
      </c>
      <c r="AI355" s="255" t="str">
        <f>IF(ISNUMBER(SEARCH("R", 'WetLitterbags placem_collection'!XF62)),"YES","NO")</f>
        <v>NO</v>
      </c>
      <c r="AJ355" s="255" t="str">
        <f>IF(ISNUMBER(SEARCH("C", 'WetLitterbags placem_collection'!WE62)),"YES","NO")</f>
        <v>NO</v>
      </c>
      <c r="AK355" s="255" t="str">
        <f>IF(ISNUMBER(SEARCH("H", 'WetLitterbags placem_collection'!AE62)),"YES","NO")</f>
        <v>NO</v>
      </c>
      <c r="AL355" s="255" t="str">
        <f>IF(ISNUMBER(SEARCH("R", 'WetLitterbags placem_collection'!AE62)),"YES","NO")</f>
        <v>NO</v>
      </c>
    </row>
    <row r="356" spans="2:38">
      <c r="B356" t="str">
        <f>'Final data_for_R_analysis_Wetse'!A502</f>
        <v>Wet</v>
      </c>
      <c r="C356" s="263">
        <f>'Final data_for_R_analysis_Wetse'!B502</f>
        <v>61</v>
      </c>
      <c r="D356" t="s">
        <v>3835</v>
      </c>
      <c r="E356" t="s">
        <v>25</v>
      </c>
      <c r="F356" s="387">
        <v>5</v>
      </c>
      <c r="G356" s="16">
        <f>'WetLitterbags placem_collection'!E63</f>
        <v>42766</v>
      </c>
      <c r="H356" s="92" t="str">
        <f>'Final data_for_R_analysis_Wetse'!J502</f>
        <v>G391</v>
      </c>
      <c r="I356" t="str">
        <f>'Final data_for_R_analysis_Wetse'!J722</f>
        <v>R143</v>
      </c>
      <c r="J356">
        <f>IFERROR(INDEX('Green_rooibos initial weight'!$C$5:$C$1749,MATCH(H356, 'Green_rooibos initial weight'!$A$5:$A$1749,0)),"")</f>
        <v>1.9419999999999999</v>
      </c>
      <c r="K356">
        <f>IFERROR(INDEX('Green_rooibos initial weight'!$C$5:$C$1749,MATCH(I356, 'Green_rooibos initial weight'!$A$5:$A$1749,0)),"")</f>
        <v>2.1560000000000001</v>
      </c>
      <c r="L356" s="195">
        <f t="shared" si="52"/>
        <v>1.6921999999999999</v>
      </c>
      <c r="M356" s="195">
        <f>AVERAGE(Ashed_controlls!$K$2:$K$11)</f>
        <v>5.5147656768714146</v>
      </c>
      <c r="N356" s="195">
        <f t="shared" si="48"/>
        <v>1.5988791352159819</v>
      </c>
      <c r="O356" s="195">
        <f t="shared" si="53"/>
        <v>1.9062000000000001</v>
      </c>
      <c r="P356" s="195">
        <f>AVERAGE(Ashed_controlls!$K$12:$K$14)</f>
        <v>2.2816647271287041</v>
      </c>
      <c r="Q356" s="195">
        <f t="shared" si="54"/>
        <v>1.8627069069714728</v>
      </c>
      <c r="R356" s="16">
        <f>IF('WetLitterbags placem_collection'!G63="N.A","",'WetLitterbags placem_collection'!G63)</f>
        <v>42820</v>
      </c>
      <c r="S356" s="195">
        <f>IF(IFERROR(INDEX('Both teabags AfterWet'!$C$3:$C$841,MATCH(H356,'Both teabags AfterWet'!$A$3:$A$841,0)),"")="N.A","",(IFERROR(INDEX('Both teabags AfterWet'!$C$3:$C$841,MATCH(H356,'Both teabags AfterWet'!$A$3:$A$841,0)),"")))</f>
        <v>0.628</v>
      </c>
      <c r="T356" s="195">
        <f>IFERROR(INDEX('Both teabags AfterWet'!$C$3:$C$841,MATCH(I356,'Both teabags AfterWet'!$A$3:$A$841,0)),"")</f>
        <v>1.581</v>
      </c>
      <c r="U356" s="195">
        <f t="shared" si="55"/>
        <v>0.47739999999999999</v>
      </c>
      <c r="V356" s="195">
        <f t="shared" si="55"/>
        <v>1.4303999999999999</v>
      </c>
      <c r="W356" s="195">
        <f>IFERROR(INDEX('Ashed teabags wet'!$K$2:$K$821,MATCH(H356,'Ashed teabags wet'!$A$2:$A$821,0)),"")</f>
        <v>8.0533596837941683</v>
      </c>
      <c r="X356" s="195">
        <f>IFERROR(INDEX('Ashed teabags wet'!$K$2:$K$821,MATCH(I356,'Ashed teabags wet'!$A$2:$A$821,0)),"")</f>
        <v>5.6762092793688481</v>
      </c>
      <c r="Y356" s="195">
        <f t="shared" si="49"/>
        <v>0.43895326086956665</v>
      </c>
      <c r="Z356" s="195">
        <f t="shared" si="49"/>
        <v>1.349207502467908</v>
      </c>
      <c r="AA356" s="195">
        <f t="shared" si="56"/>
        <v>0.72546188689223756</v>
      </c>
      <c r="AB356" s="195">
        <f t="shared" si="57"/>
        <v>0.4755997168224646</v>
      </c>
      <c r="AC356" s="195">
        <f t="shared" si="50"/>
        <v>0.72432624661361766</v>
      </c>
      <c r="AD356">
        <f t="shared" si="51"/>
        <v>54</v>
      </c>
      <c r="AE356" s="195">
        <f t="shared" si="58"/>
        <v>0.13840631010423088</v>
      </c>
      <c r="AF356" s="195">
        <f t="shared" si="59"/>
        <v>1.6048693596508172E-2</v>
      </c>
      <c r="AG356" s="255" t="str">
        <f>IF(ISNUMBER(SEARCH("C",'WetLitterbags placem_collection'!AD283)),"YES","NO")</f>
        <v>NO</v>
      </c>
      <c r="AH356" s="255" t="str">
        <f>IF(ISNUMBER(SEARCH("H", 'WetLitterbags placem_collection'!AF63)),"YES","NO")</f>
        <v>NO</v>
      </c>
      <c r="AI356" s="255" t="str">
        <f>IF(ISNUMBER(SEARCH("R", 'WetLitterbags placem_collection'!XF63)),"YES","NO")</f>
        <v>NO</v>
      </c>
      <c r="AJ356" s="255" t="str">
        <f>IF(ISNUMBER(SEARCH("C", 'WetLitterbags placem_collection'!WE63)),"YES","NO")</f>
        <v>NO</v>
      </c>
      <c r="AK356" s="255" t="str">
        <f>IF(ISNUMBER(SEARCH("H", 'WetLitterbags placem_collection'!AE63)),"YES","NO")</f>
        <v>NO</v>
      </c>
      <c r="AL356" s="255" t="str">
        <f>IF(ISNUMBER(SEARCH("R", 'WetLitterbags placem_collection'!AE63)),"YES","NO")</f>
        <v>NO</v>
      </c>
    </row>
    <row r="357" spans="2:38">
      <c r="B357" t="str">
        <f>'Final data_for_R_analysis_Wetse'!A503</f>
        <v>Wet</v>
      </c>
      <c r="C357" s="263">
        <f>'Final data_for_R_analysis_Wetse'!B503</f>
        <v>62</v>
      </c>
      <c r="D357" t="s">
        <v>3835</v>
      </c>
      <c r="E357" t="s">
        <v>25</v>
      </c>
      <c r="F357" s="387">
        <v>6</v>
      </c>
      <c r="G357" s="16">
        <f>'WetLitterbags placem_collection'!E64</f>
        <v>42766</v>
      </c>
      <c r="H357" s="92" t="str">
        <f>'Final data_for_R_analysis_Wetse'!J503</f>
        <v>G445</v>
      </c>
      <c r="I357" t="str">
        <f>'Final data_for_R_analysis_Wetse'!J723</f>
        <v>R448</v>
      </c>
      <c r="J357">
        <f>IFERROR(INDEX('Green_rooibos initial weight'!$C$5:$C$1749,MATCH(H357, 'Green_rooibos initial weight'!$A$5:$A$1749,0)),"")</f>
        <v>2.1150000000000002</v>
      </c>
      <c r="K357">
        <f>IFERROR(INDEX('Green_rooibos initial weight'!$C$5:$C$1749,MATCH(I357, 'Green_rooibos initial weight'!$A$5:$A$1749,0)),"")</f>
        <v>2.2029999999999998</v>
      </c>
      <c r="L357" s="195">
        <f t="shared" si="52"/>
        <v>1.8652000000000002</v>
      </c>
      <c r="M357" s="195">
        <f>AVERAGE(Ashed_controlls!$K$2:$K$11)</f>
        <v>5.5147656768714146</v>
      </c>
      <c r="N357" s="195">
        <f t="shared" si="48"/>
        <v>1.7623385905949946</v>
      </c>
      <c r="O357" s="195">
        <f t="shared" si="53"/>
        <v>1.9531999999999998</v>
      </c>
      <c r="P357" s="195">
        <f>AVERAGE(Ashed_controlls!$K$12:$K$14)</f>
        <v>2.2816647271287041</v>
      </c>
      <c r="Q357" s="195">
        <f t="shared" si="54"/>
        <v>1.908634524549722</v>
      </c>
      <c r="R357" s="16">
        <f>IF('WetLitterbags placem_collection'!G64="N.A","",'WetLitterbags placem_collection'!G64)</f>
        <v>42820</v>
      </c>
      <c r="S357" s="195">
        <f>IF(IFERROR(INDEX('Both teabags AfterWet'!$C$3:$C$841,MATCH(H357,'Both teabags AfterWet'!$A$3:$A$841,0)),"")="N.A","",(IFERROR(INDEX('Both teabags AfterWet'!$C$3:$C$841,MATCH(H357,'Both teabags AfterWet'!$A$3:$A$841,0)),"")))</f>
        <v>0.80569999999999997</v>
      </c>
      <c r="T357" s="195">
        <f>IFERROR(INDEX('Both teabags AfterWet'!$C$3:$C$841,MATCH(I357,'Both teabags AfterWet'!$A$3:$A$841,0)),"")</f>
        <v>1.5379</v>
      </c>
      <c r="U357" s="195">
        <f t="shared" si="55"/>
        <v>0.65510000000000002</v>
      </c>
      <c r="V357" s="195">
        <f t="shared" si="55"/>
        <v>1.3873</v>
      </c>
      <c r="W357" s="195">
        <f>IFERROR(INDEX('Ashed teabags wet'!$K$2:$K$821,MATCH(H357,'Ashed teabags wet'!$A$2:$A$821,0)),"")</f>
        <v>12.3862487360974</v>
      </c>
      <c r="X357" s="195">
        <f>IFERROR(INDEX('Ashed teabags wet'!$K$2:$K$821,MATCH(I357,'Ashed teabags wet'!$A$2:$A$821,0)),"")</f>
        <v>6.7460317460323242</v>
      </c>
      <c r="Y357" s="195">
        <f t="shared" si="49"/>
        <v>0.57395768452982598</v>
      </c>
      <c r="Z357" s="195">
        <f t="shared" si="49"/>
        <v>1.2937123015872936</v>
      </c>
      <c r="AA357" s="195">
        <f t="shared" si="56"/>
        <v>0.67432042424035643</v>
      </c>
      <c r="AB357" s="195">
        <f t="shared" si="57"/>
        <v>0.44207229712669455</v>
      </c>
      <c r="AC357" s="195">
        <f t="shared" si="50"/>
        <v>0.67782086352676729</v>
      </c>
      <c r="AD357">
        <f t="shared" si="51"/>
        <v>54</v>
      </c>
      <c r="AE357" s="195">
        <f t="shared" si="58"/>
        <v>0.19914438926323463</v>
      </c>
      <c r="AF357" s="195">
        <f t="shared" si="59"/>
        <v>2.4164304047127407E-2</v>
      </c>
      <c r="AG357" s="255" t="str">
        <f>IF(ISNUMBER(SEARCH("C",'WetLitterbags placem_collection'!AD284)),"YES","NO")</f>
        <v>NO</v>
      </c>
      <c r="AH357" s="255" t="str">
        <f>IF(ISNUMBER(SEARCH("H", 'WetLitterbags placem_collection'!AF64)),"YES","NO")</f>
        <v>NO</v>
      </c>
      <c r="AI357" s="255" t="str">
        <f>IF(ISNUMBER(SEARCH("R", 'WetLitterbags placem_collection'!XF64)),"YES","NO")</f>
        <v>NO</v>
      </c>
      <c r="AJ357" s="255" t="str">
        <f>IF(ISNUMBER(SEARCH("C", 'WetLitterbags placem_collection'!WE64)),"YES","NO")</f>
        <v>NO</v>
      </c>
      <c r="AK357" s="255" t="str">
        <f>IF(ISNUMBER(SEARCH("H", 'WetLitterbags placem_collection'!AE64)),"YES","NO")</f>
        <v>NO</v>
      </c>
      <c r="AL357" s="255" t="str">
        <f>IF(ISNUMBER(SEARCH("R", 'WetLitterbags placem_collection'!AE64)),"YES","NO")</f>
        <v>NO</v>
      </c>
    </row>
    <row r="358" spans="2:38">
      <c r="B358" t="str">
        <f>'Final data_for_R_analysis_Wetse'!A504</f>
        <v>Wet</v>
      </c>
      <c r="C358" s="263">
        <f>'Final data_for_R_analysis_Wetse'!B504</f>
        <v>63</v>
      </c>
      <c r="D358" t="s">
        <v>3835</v>
      </c>
      <c r="E358" t="s">
        <v>25</v>
      </c>
      <c r="F358" s="387">
        <v>7</v>
      </c>
      <c r="G358" s="16">
        <f>'WetLitterbags placem_collection'!E65</f>
        <v>42766</v>
      </c>
      <c r="H358" s="92" t="str">
        <f>'Final data_for_R_analysis_Wetse'!J504</f>
        <v>G440</v>
      </c>
      <c r="I358" t="str">
        <f>'Final data_for_R_analysis_Wetse'!J724</f>
        <v>R423</v>
      </c>
      <c r="J358">
        <f>IFERROR(INDEX('Green_rooibos initial weight'!$C$5:$C$1749,MATCH(H358, 'Green_rooibos initial weight'!$A$5:$A$1749,0)),"")</f>
        <v>2.1070000000000002</v>
      </c>
      <c r="K358">
        <f>IFERROR(INDEX('Green_rooibos initial weight'!$C$5:$C$1749,MATCH(I358, 'Green_rooibos initial weight'!$A$5:$A$1749,0)),"")</f>
        <v>2.1760000000000002</v>
      </c>
      <c r="L358" s="195">
        <f t="shared" si="52"/>
        <v>1.8572000000000002</v>
      </c>
      <c r="M358" s="195">
        <f>AVERAGE(Ashed_controlls!$K$2:$K$11)</f>
        <v>5.5147656768714146</v>
      </c>
      <c r="N358" s="195">
        <f t="shared" si="48"/>
        <v>1.7547797718491442</v>
      </c>
      <c r="O358" s="195">
        <f t="shared" si="53"/>
        <v>1.9262000000000001</v>
      </c>
      <c r="P358" s="195">
        <f>AVERAGE(Ashed_controlls!$K$12:$K$14)</f>
        <v>2.2816647271287041</v>
      </c>
      <c r="Q358" s="195">
        <f t="shared" si="54"/>
        <v>1.8822505740260471</v>
      </c>
      <c r="R358" s="16">
        <f>IF('WetLitterbags placem_collection'!G65="N.A","",'WetLitterbags placem_collection'!G65)</f>
        <v>42820</v>
      </c>
      <c r="S358" s="195">
        <f>IF(IFERROR(INDEX('Both teabags AfterWet'!$C$3:$C$841,MATCH(H358,'Both teabags AfterWet'!$A$3:$A$841,0)),"")="N.A","",(IFERROR(INDEX('Both teabags AfterWet'!$C$3:$C$841,MATCH(H358,'Both teabags AfterWet'!$A$3:$A$841,0)),"")))</f>
        <v>0.94199999999999995</v>
      </c>
      <c r="T358" s="195">
        <f>IFERROR(INDEX('Both teabags AfterWet'!$C$3:$C$841,MATCH(I358,'Both teabags AfterWet'!$A$3:$A$841,0)),"")</f>
        <v>1.6359999999999999</v>
      </c>
      <c r="U358" s="195">
        <f t="shared" si="55"/>
        <v>0.79139999999999988</v>
      </c>
      <c r="V358" s="195">
        <f t="shared" si="55"/>
        <v>1.4853999999999998</v>
      </c>
      <c r="W358" s="195">
        <f>IFERROR(INDEX('Ashed teabags wet'!$K$2:$K$821,MATCH(H358,'Ashed teabags wet'!$A$2:$A$821,0)),"")</f>
        <v>14.278728606356959</v>
      </c>
      <c r="X358" s="195">
        <f>IFERROR(INDEX('Ashed teabags wet'!$K$2:$K$821,MATCH(I358,'Ashed teabags wet'!$A$2:$A$821,0)),"")</f>
        <v>8.0404429465571852</v>
      </c>
      <c r="Y358" s="195">
        <f t="shared" si="49"/>
        <v>0.67839814180929092</v>
      </c>
      <c r="Z358" s="195">
        <f t="shared" si="49"/>
        <v>1.3659672604718394</v>
      </c>
      <c r="AA358" s="195">
        <f t="shared" si="56"/>
        <v>0.6133998392890001</v>
      </c>
      <c r="AB358" s="195">
        <f t="shared" si="57"/>
        <v>0.40213386138661295</v>
      </c>
      <c r="AC358" s="195">
        <f t="shared" si="50"/>
        <v>0.72570957306183648</v>
      </c>
      <c r="AD358">
        <f t="shared" si="51"/>
        <v>54</v>
      </c>
      <c r="AE358" s="195">
        <f t="shared" si="58"/>
        <v>0.27149662792280271</v>
      </c>
      <c r="AF358" s="195">
        <f t="shared" si="59"/>
        <v>2.1221827311989523E-2</v>
      </c>
      <c r="AG358" s="255" t="str">
        <f>IF(ISNUMBER(SEARCH("C",'WetLitterbags placem_collection'!AD285)),"YES","NO")</f>
        <v>NO</v>
      </c>
      <c r="AH358" s="255" t="str">
        <f>IF(ISNUMBER(SEARCH("H", 'WetLitterbags placem_collection'!AF65)),"YES","NO")</f>
        <v>NO</v>
      </c>
      <c r="AI358" s="255" t="str">
        <f>IF(ISNUMBER(SEARCH("R", 'WetLitterbags placem_collection'!XF65)),"YES","NO")</f>
        <v>NO</v>
      </c>
      <c r="AJ358" s="255" t="str">
        <f>IF(ISNUMBER(SEARCH("C", 'WetLitterbags placem_collection'!WE65)),"YES","NO")</f>
        <v>NO</v>
      </c>
      <c r="AK358" s="255" t="str">
        <f>IF(ISNUMBER(SEARCH("H", 'WetLitterbags placem_collection'!AE65)),"YES","NO")</f>
        <v>NO</v>
      </c>
      <c r="AL358" s="255" t="str">
        <f>IF(ISNUMBER(SEARCH("R", 'WetLitterbags placem_collection'!AE65)),"YES","NO")</f>
        <v>NO</v>
      </c>
    </row>
    <row r="359" spans="2:38">
      <c r="B359" t="str">
        <f>'Final data_for_R_analysis_Wetse'!A505</f>
        <v>Wet</v>
      </c>
      <c r="C359" s="263">
        <f>'Final data_for_R_analysis_Wetse'!B505</f>
        <v>64</v>
      </c>
      <c r="D359" t="s">
        <v>3835</v>
      </c>
      <c r="E359" t="s">
        <v>25</v>
      </c>
      <c r="F359" s="387">
        <v>8</v>
      </c>
      <c r="G359" s="16">
        <f>'WetLitterbags placem_collection'!E66</f>
        <v>42766</v>
      </c>
      <c r="H359" s="92" t="str">
        <f>'Final data_for_R_analysis_Wetse'!J505</f>
        <v>G673</v>
      </c>
      <c r="I359" t="str">
        <f>'Final data_for_R_analysis_Wetse'!J725</f>
        <v>R550</v>
      </c>
      <c r="J359">
        <f>IFERROR(INDEX('Green_rooibos initial weight'!$C$5:$C$1749,MATCH(H359, 'Green_rooibos initial weight'!$A$5:$A$1749,0)),"")</f>
        <v>2.1160000000000001</v>
      </c>
      <c r="K359">
        <f>IFERROR(INDEX('Green_rooibos initial weight'!$C$5:$C$1749,MATCH(I359, 'Green_rooibos initial weight'!$A$5:$A$1749,0)),"")</f>
        <v>2.177</v>
      </c>
      <c r="L359" s="195">
        <f t="shared" si="52"/>
        <v>1.8662000000000001</v>
      </c>
      <c r="M359" s="195">
        <f>AVERAGE(Ashed_controlls!$K$2:$K$11)</f>
        <v>5.5147656768714146</v>
      </c>
      <c r="N359" s="195">
        <f t="shared" si="48"/>
        <v>1.7632834429382258</v>
      </c>
      <c r="O359" s="195">
        <f t="shared" si="53"/>
        <v>1.9272</v>
      </c>
      <c r="P359" s="195">
        <f>AVERAGE(Ashed_controlls!$K$12:$K$14)</f>
        <v>2.2816647271287041</v>
      </c>
      <c r="Q359" s="195">
        <f t="shared" si="54"/>
        <v>1.8832277573787757</v>
      </c>
      <c r="R359" s="16">
        <f>IF('WetLitterbags placem_collection'!G66="N.A","",'WetLitterbags placem_collection'!G66)</f>
        <v>42820</v>
      </c>
      <c r="S359" s="195">
        <f>IF(IFERROR(INDEX('Both teabags AfterWet'!$C$3:$C$841,MATCH(H359,'Both teabags AfterWet'!$A$3:$A$841,0)),"")="N.A","",(IFERROR(INDEX('Both teabags AfterWet'!$C$3:$C$841,MATCH(H359,'Both teabags AfterWet'!$A$3:$A$841,0)),"")))</f>
        <v>1.0449999999999999</v>
      </c>
      <c r="T359" s="195">
        <f>IFERROR(INDEX('Both teabags AfterWet'!$C$3:$C$841,MATCH(I359,'Both teabags AfterWet'!$A$3:$A$841,0)),"")</f>
        <v>1.6930000000000001</v>
      </c>
      <c r="U359" s="195">
        <f t="shared" si="55"/>
        <v>0.89439999999999986</v>
      </c>
      <c r="V359" s="195">
        <f t="shared" si="55"/>
        <v>1.5424</v>
      </c>
      <c r="W359" s="195">
        <f>IFERROR(INDEX('Ashed teabags wet'!$K$2:$K$821,MATCH(H359,'Ashed teabags wet'!$A$2:$A$821,0)),"")</f>
        <v>23.760932944607156</v>
      </c>
      <c r="X359" s="195">
        <f>IFERROR(INDEX('Ashed teabags wet'!$K$2:$K$821,MATCH(I359,'Ashed teabags wet'!$A$2:$A$821,0)),"")</f>
        <v>15.844027640671007</v>
      </c>
      <c r="Y359" s="195">
        <f t="shared" si="49"/>
        <v>0.68188221574343344</v>
      </c>
      <c r="Z359" s="195">
        <f t="shared" si="49"/>
        <v>1.2980217176702904</v>
      </c>
      <c r="AA359" s="195">
        <f t="shared" si="56"/>
        <v>0.61328836922146368</v>
      </c>
      <c r="AB359" s="195">
        <f t="shared" si="57"/>
        <v>0.40206078362262232</v>
      </c>
      <c r="AC359" s="195">
        <f t="shared" si="50"/>
        <v>0.68925370953377352</v>
      </c>
      <c r="AD359">
        <f t="shared" si="51"/>
        <v>54</v>
      </c>
      <c r="AE359" s="195">
        <f t="shared" si="58"/>
        <v>0.27162901517640892</v>
      </c>
      <c r="AF359" s="195">
        <f t="shared" si="59"/>
        <v>2.7449884501822588E-2</v>
      </c>
      <c r="AG359" s="255" t="str">
        <f>IF(ISNUMBER(SEARCH("C",'WetLitterbags placem_collection'!AD286)),"YES","NO")</f>
        <v>NO</v>
      </c>
      <c r="AH359" s="255" t="str">
        <f>IF(ISNUMBER(SEARCH("H", 'WetLitterbags placem_collection'!AF66)),"YES","NO")</f>
        <v>NO</v>
      </c>
      <c r="AI359" s="255" t="str">
        <f>IF(ISNUMBER(SEARCH("R", 'WetLitterbags placem_collection'!XF66)),"YES","NO")</f>
        <v>NO</v>
      </c>
      <c r="AJ359" s="255" t="str">
        <f>IF(ISNUMBER(SEARCH("C", 'WetLitterbags placem_collection'!WE66)),"YES","NO")</f>
        <v>NO</v>
      </c>
      <c r="AK359" s="255" t="str">
        <f>IF(ISNUMBER(SEARCH("H", 'WetLitterbags placem_collection'!AE66)),"YES","NO")</f>
        <v>NO</v>
      </c>
      <c r="AL359" s="255" t="str">
        <f>IF(ISNUMBER(SEARCH("R", 'WetLitterbags placem_collection'!AE66)),"YES","NO")</f>
        <v>NO</v>
      </c>
    </row>
    <row r="360" spans="2:38">
      <c r="B360" t="str">
        <f>'Final data_for_R_analysis_Wetse'!A506</f>
        <v>Wet</v>
      </c>
      <c r="C360" s="263">
        <f>'Final data_for_R_analysis_Wetse'!B506</f>
        <v>65</v>
      </c>
      <c r="D360" t="s">
        <v>3836</v>
      </c>
      <c r="E360" t="s">
        <v>25</v>
      </c>
      <c r="F360" s="386">
        <v>1</v>
      </c>
      <c r="G360" s="16">
        <f>'WetLitterbags placem_collection'!E67</f>
        <v>42767</v>
      </c>
      <c r="H360" s="92" t="str">
        <f>'Final data_for_R_analysis_Wetse'!J506</f>
        <v>G700</v>
      </c>
      <c r="I360" t="str">
        <f>'Final data_for_R_analysis_Wetse'!J726</f>
        <v>R333</v>
      </c>
      <c r="J360">
        <f>IFERROR(INDEX('Green_rooibos initial weight'!$C$5:$C$1749,MATCH(H360, 'Green_rooibos initial weight'!$A$5:$A$1749,0)),"")</f>
        <v>2.0190000000000001</v>
      </c>
      <c r="K360">
        <f>IFERROR(INDEX('Green_rooibos initial weight'!$C$5:$C$1749,MATCH(I360, 'Green_rooibos initial weight'!$A$5:$A$1749,0)),"")</f>
        <v>2.27</v>
      </c>
      <c r="L360" s="195">
        <f t="shared" si="52"/>
        <v>1.7692000000000001</v>
      </c>
      <c r="M360" s="195">
        <f>AVERAGE(Ashed_controlls!$K$2:$K$11)</f>
        <v>5.5147656768714146</v>
      </c>
      <c r="N360" s="195">
        <f t="shared" si="48"/>
        <v>1.6716327656447911</v>
      </c>
      <c r="O360" s="195">
        <f t="shared" si="53"/>
        <v>2.0202</v>
      </c>
      <c r="P360" s="195">
        <f>AVERAGE(Ashed_controlls!$K$12:$K$14)</f>
        <v>2.2816647271287041</v>
      </c>
      <c r="Q360" s="195">
        <f t="shared" si="54"/>
        <v>1.9741058091825459</v>
      </c>
      <c r="R360" s="16">
        <f>IF('WetLitterbags placem_collection'!G67="N.A","",'WetLitterbags placem_collection'!G67)</f>
        <v>42818</v>
      </c>
      <c r="S360" s="195">
        <f>IF(IFERROR(INDEX('Both teabags AfterWet'!$C$3:$C$841,MATCH(H360,'Both teabags AfterWet'!$A$3:$A$841,0)),"")="N.A","",(IFERROR(INDEX('Both teabags AfterWet'!$C$3:$C$841,MATCH(H360,'Both teabags AfterWet'!$A$3:$A$841,0)),"")))</f>
        <v>0.82299999999999995</v>
      </c>
      <c r="T360" s="195">
        <f>IFERROR(INDEX('Both teabags AfterWet'!$C$3:$C$841,MATCH(I360,'Both teabags AfterWet'!$A$3:$A$841,0)),"")</f>
        <v>1.6319999999999999</v>
      </c>
      <c r="U360" s="195">
        <f t="shared" si="55"/>
        <v>0.67239999999999989</v>
      </c>
      <c r="V360" s="195">
        <f t="shared" si="55"/>
        <v>1.4813999999999998</v>
      </c>
      <c r="W360" s="195">
        <f>IFERROR(INDEX('Ashed teabags wet'!$K$2:$K$821,MATCH(H360,'Ashed teabags wet'!$A$2:$A$821,0)),"")</f>
        <v>15.626560159760119</v>
      </c>
      <c r="X360" s="195">
        <f>IFERROR(INDEX('Ashed teabags wet'!$K$2:$K$821,MATCH(I360,'Ashed teabags wet'!$A$2:$A$821,0)),"")</f>
        <v>3.9440838741890998</v>
      </c>
      <c r="Y360" s="195">
        <f t="shared" si="49"/>
        <v>0.56732700948577286</v>
      </c>
      <c r="Z360" s="195">
        <f t="shared" si="49"/>
        <v>1.4229723414877624</v>
      </c>
      <c r="AA360" s="195">
        <f t="shared" si="56"/>
        <v>0.66061504587286524</v>
      </c>
      <c r="AB360" s="195">
        <f t="shared" si="57"/>
        <v>0.43308729848197347</v>
      </c>
      <c r="AC360" s="195">
        <f t="shared" si="50"/>
        <v>0.72081867895267404</v>
      </c>
      <c r="AD360">
        <f t="shared" si="51"/>
        <v>51</v>
      </c>
      <c r="AE360" s="195">
        <f t="shared" si="58"/>
        <v>0.21542156072106267</v>
      </c>
      <c r="AF360" s="195">
        <f t="shared" si="59"/>
        <v>2.0286224332975347E-2</v>
      </c>
      <c r="AG360" s="255" t="str">
        <f>IF(ISNUMBER(SEARCH("C",'WetLitterbags placem_collection'!AD287)),"YES","NO")</f>
        <v>NO</v>
      </c>
      <c r="AH360" s="255" t="str">
        <f>IF(ISNUMBER(SEARCH("H", 'WetLitterbags placem_collection'!AF67)),"YES","NO")</f>
        <v>NO</v>
      </c>
      <c r="AI360" s="255" t="str">
        <f>IF(ISNUMBER(SEARCH("R", 'WetLitterbags placem_collection'!XF67)),"YES","NO")</f>
        <v>NO</v>
      </c>
      <c r="AJ360" s="255" t="str">
        <f>IF(ISNUMBER(SEARCH("C", 'WetLitterbags placem_collection'!WE67)),"YES","NO")</f>
        <v>NO</v>
      </c>
      <c r="AK360" s="255" t="str">
        <f>IF(ISNUMBER(SEARCH("H", 'WetLitterbags placem_collection'!AE67)),"YES","NO")</f>
        <v>NO</v>
      </c>
      <c r="AL360" s="255" t="str">
        <f>IF(ISNUMBER(SEARCH("R", 'WetLitterbags placem_collection'!AE67)),"YES","NO")</f>
        <v>NO</v>
      </c>
    </row>
    <row r="361" spans="2:38">
      <c r="B361" t="str">
        <f>'Final data_for_R_analysis_Wetse'!A507</f>
        <v>Wet</v>
      </c>
      <c r="C361" s="263">
        <f>'Final data_for_R_analysis_Wetse'!B507</f>
        <v>66</v>
      </c>
      <c r="D361" t="s">
        <v>3836</v>
      </c>
      <c r="E361" t="s">
        <v>25</v>
      </c>
      <c r="F361" s="386">
        <v>2</v>
      </c>
      <c r="G361" s="16">
        <f>'WetLitterbags placem_collection'!E68</f>
        <v>42767</v>
      </c>
      <c r="H361" s="92" t="str">
        <f>'Final data_for_R_analysis_Wetse'!J507</f>
        <v>G760</v>
      </c>
      <c r="I361" t="str">
        <f>'Final data_for_R_analysis_Wetse'!J727</f>
        <v>R252</v>
      </c>
      <c r="J361">
        <f>IFERROR(INDEX('Green_rooibos initial weight'!$C$5:$C$1749,MATCH(H361, 'Green_rooibos initial weight'!$A$5:$A$1749,0)),"")</f>
        <v>1.948</v>
      </c>
      <c r="K361">
        <f>IFERROR(INDEX('Green_rooibos initial weight'!$C$5:$C$1749,MATCH(I361, 'Green_rooibos initial weight'!$A$5:$A$1749,0)),"")</f>
        <v>2.2069999999999999</v>
      </c>
      <c r="L361" s="195">
        <f t="shared" si="52"/>
        <v>1.6981999999999999</v>
      </c>
      <c r="M361" s="195">
        <f>AVERAGE(Ashed_controlls!$K$2:$K$11)</f>
        <v>5.5147656768714146</v>
      </c>
      <c r="N361" s="195">
        <f t="shared" si="48"/>
        <v>1.6045482492753695</v>
      </c>
      <c r="O361" s="195">
        <f t="shared" si="53"/>
        <v>1.9571999999999998</v>
      </c>
      <c r="P361" s="195">
        <f>AVERAGE(Ashed_controlls!$K$12:$K$14)</f>
        <v>2.2816647271287041</v>
      </c>
      <c r="Q361" s="195">
        <f t="shared" si="54"/>
        <v>1.9125432579606367</v>
      </c>
      <c r="R361" s="16">
        <f>IF('WetLitterbags placem_collection'!G68="N.A","",'WetLitterbags placem_collection'!G68)</f>
        <v>42818</v>
      </c>
      <c r="S361" s="195">
        <f>IF(IFERROR(INDEX('Both teabags AfterWet'!$C$3:$C$841,MATCH(H361,'Both teabags AfterWet'!$A$3:$A$841,0)),"")="N.A","",(IFERROR(INDEX('Both teabags AfterWet'!$C$3:$C$841,MATCH(H361,'Both teabags AfterWet'!$A$3:$A$841,0)),"")))</f>
        <v>0.93500000000000005</v>
      </c>
      <c r="T361" s="195">
        <f>IFERROR(INDEX('Both teabags AfterWet'!$C$3:$C$841,MATCH(I361,'Both teabags AfterWet'!$A$3:$A$841,0)),"")</f>
        <v>1.6584000000000001</v>
      </c>
      <c r="U361" s="195">
        <f t="shared" si="55"/>
        <v>0.78439999999999999</v>
      </c>
      <c r="V361" s="195">
        <f t="shared" si="55"/>
        <v>1.5078</v>
      </c>
      <c r="W361" s="195">
        <f>IFERROR(INDEX('Ashed teabags wet'!$K$2:$K$821,MATCH(H361,'Ashed teabags wet'!$A$2:$A$821,0)),"")</f>
        <v>12.432959531935326</v>
      </c>
      <c r="X361" s="195" t="str">
        <f>IFERROR(INDEX('Ashed teabags wet'!$K$2:$K$821,MATCH(I361,'Ashed teabags wet'!$A$2:$A$821,0)),"")</f>
        <v/>
      </c>
      <c r="Y361" s="195">
        <f t="shared" si="49"/>
        <v>0.68687586543149926</v>
      </c>
      <c r="Z361" s="195" t="str">
        <f t="shared" si="49"/>
        <v/>
      </c>
      <c r="AA361" s="195">
        <f t="shared" si="56"/>
        <v>0.5719194697063803</v>
      </c>
      <c r="AB361" s="195">
        <f t="shared" si="57"/>
        <v>0.3749400799025201</v>
      </c>
      <c r="AC361" s="195" t="str">
        <f t="shared" si="50"/>
        <v/>
      </c>
      <c r="AD361">
        <f t="shared" si="51"/>
        <v>51</v>
      </c>
      <c r="AE361" s="195">
        <f t="shared" si="58"/>
        <v>0.3207607248142752</v>
      </c>
      <c r="AF361" s="195" t="str">
        <f t="shared" si="59"/>
        <v/>
      </c>
      <c r="AG361" s="255" t="str">
        <f>IF(ISNUMBER(SEARCH("C",'WetLitterbags placem_collection'!AD288)),"YES","NO")</f>
        <v>NO</v>
      </c>
      <c r="AH361" s="255" t="str">
        <f>IF(ISNUMBER(SEARCH("H", 'WetLitterbags placem_collection'!AF68)),"YES","NO")</f>
        <v>NO</v>
      </c>
      <c r="AI361" s="255" t="str">
        <f>IF(ISNUMBER(SEARCH("R", 'WetLitterbags placem_collection'!XF68)),"YES","NO")</f>
        <v>NO</v>
      </c>
      <c r="AJ361" s="255" t="str">
        <f>IF(ISNUMBER(SEARCH("C", 'WetLitterbags placem_collection'!WE68)),"YES","NO")</f>
        <v>NO</v>
      </c>
      <c r="AK361" s="255" t="str">
        <f>IF(ISNUMBER(SEARCH("H", 'WetLitterbags placem_collection'!AE68)),"YES","NO")</f>
        <v>NO</v>
      </c>
      <c r="AL361" s="255" t="str">
        <f>IF(ISNUMBER(SEARCH("R", 'WetLitterbags placem_collection'!AE68)),"YES","NO")</f>
        <v>NO</v>
      </c>
    </row>
    <row r="362" spans="2:38">
      <c r="B362" t="str">
        <f>'Final data_for_R_analysis_Wetse'!A508</f>
        <v>Wet</v>
      </c>
      <c r="C362" s="263">
        <f>'Final data_for_R_analysis_Wetse'!B508</f>
        <v>67</v>
      </c>
      <c r="D362" t="s">
        <v>3836</v>
      </c>
      <c r="E362" t="s">
        <v>25</v>
      </c>
      <c r="F362" s="386">
        <v>3</v>
      </c>
      <c r="G362" s="16">
        <f>'WetLitterbags placem_collection'!E69</f>
        <v>42767</v>
      </c>
      <c r="H362" s="92" t="str">
        <f>'Final data_for_R_analysis_Wetse'!J508</f>
        <v>G660</v>
      </c>
      <c r="I362" t="str">
        <f>'Final data_for_R_analysis_Wetse'!J728</f>
        <v>R44</v>
      </c>
      <c r="J362">
        <f>IFERROR(INDEX('Green_rooibos initial weight'!$C$5:$C$1749,MATCH(H362, 'Green_rooibos initial weight'!$A$5:$A$1749,0)),"")</f>
        <v>2.0339999999999998</v>
      </c>
      <c r="K362">
        <f>IFERROR(INDEX('Green_rooibos initial weight'!$C$5:$C$1749,MATCH(I362, 'Green_rooibos initial weight'!$A$5:$A$1749,0)),"")</f>
        <v>2.2480000000000002</v>
      </c>
      <c r="L362" s="195">
        <f t="shared" si="52"/>
        <v>1.7841999999999998</v>
      </c>
      <c r="M362" s="195">
        <f>AVERAGE(Ashed_controlls!$K$2:$K$11)</f>
        <v>5.5147656768714146</v>
      </c>
      <c r="N362" s="195">
        <f t="shared" si="48"/>
        <v>1.6858055507932601</v>
      </c>
      <c r="O362" s="195">
        <f t="shared" si="53"/>
        <v>1.9982000000000002</v>
      </c>
      <c r="P362" s="195">
        <f>AVERAGE(Ashed_controlls!$K$12:$K$14)</f>
        <v>2.2816647271287041</v>
      </c>
      <c r="Q362" s="195">
        <f t="shared" si="54"/>
        <v>1.9526077754225144</v>
      </c>
      <c r="R362" s="16">
        <f>IF('WetLitterbags placem_collection'!G69="N.A","",'WetLitterbags placem_collection'!G69)</f>
        <v>42818</v>
      </c>
      <c r="S362" s="195">
        <f>IF(IFERROR(INDEX('Both teabags AfterWet'!$C$3:$C$841,MATCH(H362,'Both teabags AfterWet'!$A$3:$A$841,0)),"")="N.A","",(IFERROR(INDEX('Both teabags AfterWet'!$C$3:$C$841,MATCH(H362,'Both teabags AfterWet'!$A$3:$A$841,0)),"")))</f>
        <v>0.92510000000000003</v>
      </c>
      <c r="T362" s="195">
        <f>IFERROR(INDEX('Both teabags AfterWet'!$C$3:$C$841,MATCH(I362,'Both teabags AfterWet'!$A$3:$A$841,0)),"")</f>
        <v>1.5427999999999999</v>
      </c>
      <c r="U362" s="195">
        <f t="shared" si="55"/>
        <v>0.77449999999999997</v>
      </c>
      <c r="V362" s="195">
        <f t="shared" si="55"/>
        <v>1.3921999999999999</v>
      </c>
      <c r="W362" s="195">
        <f>IFERROR(INDEX('Ashed teabags wet'!$K$2:$K$821,MATCH(H362,'Ashed teabags wet'!$A$2:$A$821,0)),"")</f>
        <v>10.402684563757722</v>
      </c>
      <c r="X362" s="195">
        <f>IFERROR(INDEX('Ashed teabags wet'!$K$2:$K$821,MATCH(I362,'Ashed teabags wet'!$A$2:$A$821,0)),"")</f>
        <v>3.2098765432091394</v>
      </c>
      <c r="Y362" s="195">
        <f t="shared" si="49"/>
        <v>0.69393120805369646</v>
      </c>
      <c r="Z362" s="195">
        <f t="shared" si="49"/>
        <v>1.3475120987654423</v>
      </c>
      <c r="AA362" s="195">
        <f t="shared" si="56"/>
        <v>0.58836817939817232</v>
      </c>
      <c r="AB362" s="195">
        <f t="shared" si="57"/>
        <v>0.385723557040132</v>
      </c>
      <c r="AC362" s="195">
        <f t="shared" si="50"/>
        <v>0.69010894851827642</v>
      </c>
      <c r="AD362">
        <f t="shared" si="51"/>
        <v>51</v>
      </c>
      <c r="AE362" s="195">
        <f t="shared" si="58"/>
        <v>0.30122544014468844</v>
      </c>
      <c r="AF362" s="195">
        <f t="shared" si="59"/>
        <v>3.1893998146449359E-2</v>
      </c>
      <c r="AG362" s="255" t="str">
        <f>IF(ISNUMBER(SEARCH("C",'WetLitterbags placem_collection'!AD289)),"YES","NO")</f>
        <v>NO</v>
      </c>
      <c r="AH362" s="255" t="str">
        <f>IF(ISNUMBER(SEARCH("H", 'WetLitterbags placem_collection'!AF69)),"YES","NO")</f>
        <v>NO</v>
      </c>
      <c r="AI362" s="255" t="str">
        <f>IF(ISNUMBER(SEARCH("R", 'WetLitterbags placem_collection'!XF69)),"YES","NO")</f>
        <v>NO</v>
      </c>
      <c r="AJ362" s="255" t="str">
        <f>IF(ISNUMBER(SEARCH("C", 'WetLitterbags placem_collection'!WE69)),"YES","NO")</f>
        <v>NO</v>
      </c>
      <c r="AK362" s="255" t="str">
        <f>IF(ISNUMBER(SEARCH("H", 'WetLitterbags placem_collection'!AE69)),"YES","NO")</f>
        <v>NO</v>
      </c>
      <c r="AL362" s="255" t="str">
        <f>IF(ISNUMBER(SEARCH("R", 'WetLitterbags placem_collection'!AE69)),"YES","NO")</f>
        <v>NO</v>
      </c>
    </row>
    <row r="363" spans="2:38">
      <c r="B363" t="str">
        <f>'Final data_for_R_analysis_Wetse'!A509</f>
        <v>Wet</v>
      </c>
      <c r="C363" s="263">
        <f>'Final data_for_R_analysis_Wetse'!B509</f>
        <v>68</v>
      </c>
      <c r="D363" t="s">
        <v>3836</v>
      </c>
      <c r="E363" t="s">
        <v>25</v>
      </c>
      <c r="F363" s="387">
        <v>4</v>
      </c>
      <c r="G363" s="16">
        <f>'WetLitterbags placem_collection'!E70</f>
        <v>42767</v>
      </c>
      <c r="H363" s="92" t="str">
        <f>'Final data_for_R_analysis_Wetse'!J509</f>
        <v>G477</v>
      </c>
      <c r="I363" t="str">
        <f>'Final data_for_R_analysis_Wetse'!J729</f>
        <v>R9</v>
      </c>
      <c r="J363">
        <f>IFERROR(INDEX('Green_rooibos initial weight'!$C$5:$C$1749,MATCH(H363, 'Green_rooibos initial weight'!$A$5:$A$1749,0)),"")</f>
        <v>2.073</v>
      </c>
      <c r="K363">
        <f>IFERROR(INDEX('Green_rooibos initial weight'!$C$5:$C$1749,MATCH(I363, 'Green_rooibos initial weight'!$A$5:$A$1749,0)),"")</f>
        <v>2.2679999999999998</v>
      </c>
      <c r="L363" s="195">
        <f t="shared" si="52"/>
        <v>1.8231999999999999</v>
      </c>
      <c r="M363" s="195">
        <f>AVERAGE(Ashed_controlls!$K$2:$K$11)</f>
        <v>5.5147656768714146</v>
      </c>
      <c r="N363" s="195">
        <f t="shared" si="48"/>
        <v>1.7226547921792803</v>
      </c>
      <c r="O363" s="195">
        <f t="shared" si="53"/>
        <v>2.0181999999999998</v>
      </c>
      <c r="P363" s="195">
        <f>AVERAGE(Ashed_controlls!$K$12:$K$14)</f>
        <v>2.2816647271287041</v>
      </c>
      <c r="Q363" s="195">
        <f t="shared" si="54"/>
        <v>1.9721514424770883</v>
      </c>
      <c r="R363" s="16">
        <f>IF('WetLitterbags placem_collection'!G70="N.A","",'WetLitterbags placem_collection'!G70)</f>
        <v>42818</v>
      </c>
      <c r="S363" s="195">
        <f>IF(IFERROR(INDEX('Both teabags AfterWet'!$C$3:$C$841,MATCH(H363,'Both teabags AfterWet'!$A$3:$A$841,0)),"")="N.A","",(IFERROR(INDEX('Both teabags AfterWet'!$C$3:$C$841,MATCH(H363,'Both teabags AfterWet'!$A$3:$A$841,0)),"")))</f>
        <v>0.90500000000000003</v>
      </c>
      <c r="T363" s="195">
        <f>IFERROR(INDEX('Both teabags AfterWet'!$C$3:$C$841,MATCH(I363,'Both teabags AfterWet'!$A$3:$A$841,0)),"")</f>
        <v>1.7050000000000001</v>
      </c>
      <c r="U363" s="195">
        <f t="shared" si="55"/>
        <v>0.75439999999999996</v>
      </c>
      <c r="V363" s="195">
        <f t="shared" si="55"/>
        <v>1.5544</v>
      </c>
      <c r="W363" s="195">
        <f>IFERROR(INDEX('Ashed teabags wet'!$K$2:$K$821,MATCH(H363,'Ashed teabags wet'!$A$2:$A$821,0)),"")</f>
        <v>16.691358024691656</v>
      </c>
      <c r="X363" s="195">
        <f>IFERROR(INDEX('Ashed teabags wet'!$K$2:$K$821,MATCH(I363,'Ashed teabags wet'!$A$2:$A$821,0)),"")</f>
        <v>6.1938061938065374</v>
      </c>
      <c r="Y363" s="195">
        <f t="shared" si="49"/>
        <v>0.62848039506172615</v>
      </c>
      <c r="Z363" s="195">
        <f t="shared" si="49"/>
        <v>1.4581234765234712</v>
      </c>
      <c r="AA363" s="195">
        <f t="shared" si="56"/>
        <v>0.63516753448515706</v>
      </c>
      <c r="AB363" s="195">
        <f t="shared" si="57"/>
        <v>0.41640436940119568</v>
      </c>
      <c r="AC363" s="195">
        <f t="shared" si="50"/>
        <v>0.73935674772116855</v>
      </c>
      <c r="AD363">
        <f t="shared" si="51"/>
        <v>51</v>
      </c>
      <c r="AE363" s="195">
        <f t="shared" si="58"/>
        <v>0.24564425833116732</v>
      </c>
      <c r="AF363" s="195">
        <f t="shared" si="59"/>
        <v>1.928104503630089E-2</v>
      </c>
      <c r="AG363" s="255" t="str">
        <f>IF(ISNUMBER(SEARCH("C",'WetLitterbags placem_collection'!AD290)),"YES","NO")</f>
        <v>NO</v>
      </c>
      <c r="AH363" s="255" t="str">
        <f>IF(ISNUMBER(SEARCH("H", 'WetLitterbags placem_collection'!AF70)),"YES","NO")</f>
        <v>NO</v>
      </c>
      <c r="AI363" s="255" t="str">
        <f>IF(ISNUMBER(SEARCH("R", 'WetLitterbags placem_collection'!XF70)),"YES","NO")</f>
        <v>NO</v>
      </c>
      <c r="AJ363" s="255" t="str">
        <f>IF(ISNUMBER(SEARCH("C", 'WetLitterbags placem_collection'!WE70)),"YES","NO")</f>
        <v>NO</v>
      </c>
      <c r="AK363" s="255" t="str">
        <f>IF(ISNUMBER(SEARCH("H", 'WetLitterbags placem_collection'!AE70)),"YES","NO")</f>
        <v>NO</v>
      </c>
      <c r="AL363" s="255" t="str">
        <f>IF(ISNUMBER(SEARCH("R", 'WetLitterbags placem_collection'!AE70)),"YES","NO")</f>
        <v>NO</v>
      </c>
    </row>
    <row r="364" spans="2:38">
      <c r="B364" t="str">
        <f>'Final data_for_R_analysis_Wetse'!A510</f>
        <v>Wet</v>
      </c>
      <c r="C364" s="263">
        <f>'Final data_for_R_analysis_Wetse'!B510</f>
        <v>69</v>
      </c>
      <c r="D364" t="s">
        <v>3836</v>
      </c>
      <c r="E364" t="s">
        <v>25</v>
      </c>
      <c r="F364" s="387">
        <v>5</v>
      </c>
      <c r="G364" s="16">
        <f>'WetLitterbags placem_collection'!E71</f>
        <v>42767</v>
      </c>
      <c r="H364" s="92" t="str">
        <f>'Final data_for_R_analysis_Wetse'!J510</f>
        <v>G386</v>
      </c>
      <c r="I364" t="str">
        <f>'Final data_for_R_analysis_Wetse'!J730</f>
        <v>R251</v>
      </c>
      <c r="J364">
        <f>IFERROR(INDEX('Green_rooibos initial weight'!$C$5:$C$1749,MATCH(H364, 'Green_rooibos initial weight'!$A$5:$A$1749,0)),"")</f>
        <v>1.897</v>
      </c>
      <c r="K364">
        <f>IFERROR(INDEX('Green_rooibos initial weight'!$C$5:$C$1749,MATCH(I364, 'Green_rooibos initial weight'!$A$5:$A$1749,0)),"")</f>
        <v>2.266</v>
      </c>
      <c r="L364" s="195">
        <f t="shared" si="52"/>
        <v>1.6472</v>
      </c>
      <c r="M364" s="195">
        <f>AVERAGE(Ashed_controlls!$K$2:$K$11)</f>
        <v>5.5147656768714146</v>
      </c>
      <c r="N364" s="195">
        <f t="shared" si="48"/>
        <v>1.5563607797705741</v>
      </c>
      <c r="O364" s="195">
        <f t="shared" si="53"/>
        <v>2.0162</v>
      </c>
      <c r="P364" s="195">
        <f>AVERAGE(Ashed_controlls!$K$12:$K$14)</f>
        <v>2.2816647271287041</v>
      </c>
      <c r="Q364" s="195">
        <f t="shared" si="54"/>
        <v>1.9701970757716312</v>
      </c>
      <c r="R364" s="16">
        <f>IF('WetLitterbags placem_collection'!G71="N.A","",'WetLitterbags placem_collection'!G71)</f>
        <v>42818</v>
      </c>
      <c r="S364" s="195">
        <f>IF(IFERROR(INDEX('Both teabags AfterWet'!$C$3:$C$841,MATCH(H364,'Both teabags AfterWet'!$A$3:$A$841,0)),"")="N.A","",(IFERROR(INDEX('Both teabags AfterWet'!$C$3:$C$841,MATCH(H364,'Both teabags AfterWet'!$A$3:$A$841,0)),"")))</f>
        <v>0.98899999999999999</v>
      </c>
      <c r="T364" s="195">
        <f>IFERROR(INDEX('Both teabags AfterWet'!$C$3:$C$841,MATCH(I364,'Both teabags AfterWet'!$A$3:$A$841,0)),"")</f>
        <v>1.8979999999999999</v>
      </c>
      <c r="U364" s="195">
        <f t="shared" si="55"/>
        <v>0.83840000000000003</v>
      </c>
      <c r="V364" s="195">
        <f t="shared" si="55"/>
        <v>1.7473999999999998</v>
      </c>
      <c r="W364" s="195">
        <f>IFERROR(INDEX('Ashed teabags wet'!$K$2:$K$821,MATCH(H364,'Ashed teabags wet'!$A$2:$A$821,0)),"")</f>
        <v>28.64945382323781</v>
      </c>
      <c r="X364" s="195">
        <f>IFERROR(INDEX('Ashed teabags wet'!$K$2:$K$821,MATCH(I364,'Ashed teabags wet'!$A$2:$A$821,0)),"")</f>
        <v>14.026483570377628</v>
      </c>
      <c r="Y364" s="195">
        <f t="shared" si="49"/>
        <v>0.5982029791459742</v>
      </c>
      <c r="Z364" s="195">
        <f t="shared" si="49"/>
        <v>1.5023012260912212</v>
      </c>
      <c r="AA364" s="195">
        <f t="shared" si="56"/>
        <v>0.61563990372839106</v>
      </c>
      <c r="AB364" s="195">
        <f t="shared" si="57"/>
        <v>0.40360240719485974</v>
      </c>
      <c r="AC364" s="195">
        <f t="shared" si="50"/>
        <v>0.76251317422285902</v>
      </c>
      <c r="AD364">
        <f t="shared" si="51"/>
        <v>51</v>
      </c>
      <c r="AE364" s="195">
        <f t="shared" si="58"/>
        <v>0.26883621884989184</v>
      </c>
      <c r="AF364" s="195">
        <f t="shared" si="59"/>
        <v>1.7406792805858589E-2</v>
      </c>
      <c r="AG364" s="255" t="str">
        <f>IF(ISNUMBER(SEARCH("C",'WetLitterbags placem_collection'!AD291)),"YES","NO")</f>
        <v>NO</v>
      </c>
      <c r="AH364" s="255" t="str">
        <f>IF(ISNUMBER(SEARCH("H", 'WetLitterbags placem_collection'!AF71)),"YES","NO")</f>
        <v>NO</v>
      </c>
      <c r="AI364" s="255" t="str">
        <f>IF(ISNUMBER(SEARCH("R", 'WetLitterbags placem_collection'!XF71)),"YES","NO")</f>
        <v>NO</v>
      </c>
      <c r="AJ364" s="255" t="str">
        <f>IF(ISNUMBER(SEARCH("C", 'WetLitterbags placem_collection'!WE71)),"YES","NO")</f>
        <v>NO</v>
      </c>
      <c r="AK364" s="255" t="str">
        <f>IF(ISNUMBER(SEARCH("H", 'WetLitterbags placem_collection'!AE71)),"YES","NO")</f>
        <v>NO</v>
      </c>
      <c r="AL364" s="255" t="str">
        <f>IF(ISNUMBER(SEARCH("R", 'WetLitterbags placem_collection'!AE71)),"YES","NO")</f>
        <v>NO</v>
      </c>
    </row>
    <row r="365" spans="2:38">
      <c r="B365" t="str">
        <f>'Final data_for_R_analysis_Wetse'!A511</f>
        <v>Wet</v>
      </c>
      <c r="C365" s="263">
        <f>'Final data_for_R_analysis_Wetse'!B511</f>
        <v>70</v>
      </c>
      <c r="D365" t="s">
        <v>3836</v>
      </c>
      <c r="E365" t="s">
        <v>25</v>
      </c>
      <c r="F365" s="387">
        <v>6</v>
      </c>
      <c r="G365" s="16">
        <f>'WetLitterbags placem_collection'!E72</f>
        <v>42767</v>
      </c>
      <c r="H365" s="92" t="str">
        <f>'Final data_for_R_analysis_Wetse'!J511</f>
        <v>G414</v>
      </c>
      <c r="I365" t="str">
        <f>'Final data_for_R_analysis_Wetse'!J731</f>
        <v>R266</v>
      </c>
      <c r="J365">
        <f>IFERROR(INDEX('Green_rooibos initial weight'!$C$5:$C$1749,MATCH(H365, 'Green_rooibos initial weight'!$A$5:$A$1749,0)),"")</f>
        <v>2.0590000000000002</v>
      </c>
      <c r="K365">
        <f>IFERROR(INDEX('Green_rooibos initial weight'!$C$5:$C$1749,MATCH(I365, 'Green_rooibos initial weight'!$A$5:$A$1749,0)),"")</f>
        <v>2.1720000000000002</v>
      </c>
      <c r="L365" s="195">
        <f t="shared" si="52"/>
        <v>1.8092000000000001</v>
      </c>
      <c r="M365" s="195">
        <f>AVERAGE(Ashed_controlls!$K$2:$K$11)</f>
        <v>5.5147656768714146</v>
      </c>
      <c r="N365" s="195">
        <f t="shared" si="48"/>
        <v>1.7094268593740425</v>
      </c>
      <c r="O365" s="195">
        <f t="shared" si="53"/>
        <v>1.9222000000000001</v>
      </c>
      <c r="P365" s="195">
        <f>AVERAGE(Ashed_controlls!$K$12:$K$14)</f>
        <v>2.2816647271287041</v>
      </c>
      <c r="Q365" s="195">
        <f t="shared" si="54"/>
        <v>1.8783418406151322</v>
      </c>
      <c r="R365" s="16">
        <f>IF('WetLitterbags placem_collection'!G72="N.A","",'WetLitterbags placem_collection'!G72)</f>
        <v>42818</v>
      </c>
      <c r="S365" s="195">
        <f>IF(IFERROR(INDEX('Both teabags AfterWet'!$C$3:$C$841,MATCH(H365,'Both teabags AfterWet'!$A$3:$A$841,0)),"")="N.A","",(IFERROR(INDEX('Both teabags AfterWet'!$C$3:$C$841,MATCH(H365,'Both teabags AfterWet'!$A$3:$A$841,0)),"")))</f>
        <v>0.84099999999999997</v>
      </c>
      <c r="T365" s="195">
        <f>IFERROR(INDEX('Both teabags AfterWet'!$C$3:$C$841,MATCH(I365,'Both teabags AfterWet'!$A$3:$A$841,0)),"")</f>
        <v>1.599</v>
      </c>
      <c r="U365" s="195">
        <f t="shared" si="55"/>
        <v>0.6903999999999999</v>
      </c>
      <c r="V365" s="195">
        <f t="shared" si="55"/>
        <v>1.4483999999999999</v>
      </c>
      <c r="W365" s="195">
        <f>IFERROR(INDEX('Ashed teabags wet'!$K$2:$K$821,MATCH(H365,'Ashed teabags wet'!$A$2:$A$821,0)),"")</f>
        <v>8.7493821057836652</v>
      </c>
      <c r="X365" s="195">
        <f>IFERROR(INDEX('Ashed teabags wet'!$K$2:$K$821,MATCH(I365,'Ashed teabags wet'!$A$2:$A$821,0)),"")</f>
        <v>2.9397110114603966</v>
      </c>
      <c r="Y365" s="195">
        <f t="shared" si="49"/>
        <v>0.62999426594166952</v>
      </c>
      <c r="Z365" s="195">
        <f t="shared" si="49"/>
        <v>1.4058212257100076</v>
      </c>
      <c r="AA365" s="195">
        <f t="shared" si="56"/>
        <v>0.63145877667304195</v>
      </c>
      <c r="AB365" s="195">
        <f t="shared" si="57"/>
        <v>0.41397297473102046</v>
      </c>
      <c r="AC365" s="195">
        <f t="shared" si="50"/>
        <v>0.7484373692328653</v>
      </c>
      <c r="AD365">
        <f t="shared" si="51"/>
        <v>51</v>
      </c>
      <c r="AE365" s="195">
        <f t="shared" si="58"/>
        <v>0.25004895882061517</v>
      </c>
      <c r="AF365" s="195">
        <f t="shared" si="59"/>
        <v>1.834656025900035E-2</v>
      </c>
      <c r="AG365" s="255" t="str">
        <f>IF(ISNUMBER(SEARCH("C",'WetLitterbags placem_collection'!AD292)),"YES","NO")</f>
        <v>NO</v>
      </c>
      <c r="AH365" s="255" t="str">
        <f>IF(ISNUMBER(SEARCH("H", 'WetLitterbags placem_collection'!AF72)),"YES","NO")</f>
        <v>NO</v>
      </c>
      <c r="AI365" s="255" t="str">
        <f>IF(ISNUMBER(SEARCH("R", 'WetLitterbags placem_collection'!XF72)),"YES","NO")</f>
        <v>NO</v>
      </c>
      <c r="AJ365" s="255" t="str">
        <f>IF(ISNUMBER(SEARCH("C", 'WetLitterbags placem_collection'!WE72)),"YES","NO")</f>
        <v>NO</v>
      </c>
      <c r="AK365" s="255" t="str">
        <f>IF(ISNUMBER(SEARCH("H", 'WetLitterbags placem_collection'!AE72)),"YES","NO")</f>
        <v>NO</v>
      </c>
      <c r="AL365" s="255" t="str">
        <f>IF(ISNUMBER(SEARCH("R", 'WetLitterbags placem_collection'!AE72)),"YES","NO")</f>
        <v>NO</v>
      </c>
    </row>
    <row r="366" spans="2:38">
      <c r="B366" t="str">
        <f>'Final data_for_R_analysis_Wetse'!A512</f>
        <v>Wet</v>
      </c>
      <c r="C366" s="263">
        <f>'Final data_for_R_analysis_Wetse'!B512</f>
        <v>71</v>
      </c>
      <c r="D366" t="s">
        <v>3836</v>
      </c>
      <c r="E366" t="s">
        <v>25</v>
      </c>
      <c r="F366" s="387">
        <v>7</v>
      </c>
      <c r="G366" s="16">
        <f>'WetLitterbags placem_collection'!E73</f>
        <v>42767</v>
      </c>
      <c r="H366" s="92" t="str">
        <f>'Final data_for_R_analysis_Wetse'!J512</f>
        <v>G459</v>
      </c>
      <c r="I366" t="str">
        <f>'Final data_for_R_analysis_Wetse'!J732</f>
        <v>R528</v>
      </c>
      <c r="J366">
        <f>IFERROR(INDEX('Green_rooibos initial weight'!$C$5:$C$1749,MATCH(H366, 'Green_rooibos initial weight'!$A$5:$A$1749,0)),"")</f>
        <v>2.0449999999999999</v>
      </c>
      <c r="K366">
        <f>IFERROR(INDEX('Green_rooibos initial weight'!$C$5:$C$1749,MATCH(I366, 'Green_rooibos initial weight'!$A$5:$A$1749,0)),"")</f>
        <v>2.1019999999999999</v>
      </c>
      <c r="L366" s="195">
        <f t="shared" si="52"/>
        <v>1.7951999999999999</v>
      </c>
      <c r="M366" s="195">
        <f>AVERAGE(Ashed_controlls!$K$2:$K$11)</f>
        <v>5.5147656768714146</v>
      </c>
      <c r="N366" s="195">
        <f t="shared" si="48"/>
        <v>1.6961989265688042</v>
      </c>
      <c r="O366" s="195">
        <f t="shared" si="53"/>
        <v>1.8521999999999998</v>
      </c>
      <c r="P366" s="195">
        <f>AVERAGE(Ashed_controlls!$K$12:$K$14)</f>
        <v>2.2816647271287041</v>
      </c>
      <c r="Q366" s="195">
        <f t="shared" si="54"/>
        <v>1.809939005924122</v>
      </c>
      <c r="R366" s="16">
        <f>IF('WetLitterbags placem_collection'!G73="N.A","",'WetLitterbags placem_collection'!G73)</f>
        <v>42818</v>
      </c>
      <c r="S366" s="195">
        <f>IF(IFERROR(INDEX('Both teabags AfterWet'!$C$3:$C$841,MATCH(H366,'Both teabags AfterWet'!$A$3:$A$841,0)),"")="N.A","",(IFERROR(INDEX('Both teabags AfterWet'!$C$3:$C$841,MATCH(H366,'Both teabags AfterWet'!$A$3:$A$841,0)),"")))</f>
        <v>0.89149999999999996</v>
      </c>
      <c r="T366" s="195">
        <f>IFERROR(INDEX('Both teabags AfterWet'!$C$3:$C$841,MATCH(I366,'Both teabags AfterWet'!$A$3:$A$841,0)),"")</f>
        <v>1.5779000000000001</v>
      </c>
      <c r="U366" s="195">
        <f t="shared" si="55"/>
        <v>0.74089999999999989</v>
      </c>
      <c r="V366" s="195">
        <f t="shared" si="55"/>
        <v>1.4273</v>
      </c>
      <c r="W366" s="195">
        <f>IFERROR(INDEX('Ashed teabags wet'!$K$2:$K$821,MATCH(H366,'Ashed teabags wet'!$A$2:$A$821,0)),"")</f>
        <v>7.7519379844959557</v>
      </c>
      <c r="X366" s="195">
        <f>IFERROR(INDEX('Ashed teabags wet'!$K$2:$K$821,MATCH(I366,'Ashed teabags wet'!$A$2:$A$821,0)),"")</f>
        <v>2.689243027888772</v>
      </c>
      <c r="Y366" s="195">
        <f t="shared" si="49"/>
        <v>0.6834658914728694</v>
      </c>
      <c r="Z366" s="195">
        <f t="shared" si="49"/>
        <v>1.3889164342629436</v>
      </c>
      <c r="AA366" s="195">
        <f t="shared" si="56"/>
        <v>0.59706029713423159</v>
      </c>
      <c r="AB366" s="195">
        <f t="shared" si="57"/>
        <v>0.39142195251555328</v>
      </c>
      <c r="AC366" s="195">
        <f t="shared" si="50"/>
        <v>0.76738300556917838</v>
      </c>
      <c r="AD366">
        <f t="shared" si="51"/>
        <v>51</v>
      </c>
      <c r="AE366" s="195">
        <f t="shared" si="58"/>
        <v>0.29090225993559193</v>
      </c>
      <c r="AF366" s="195">
        <f t="shared" si="59"/>
        <v>1.7688419020203114E-2</v>
      </c>
      <c r="AG366" s="255" t="str">
        <f>IF(ISNUMBER(SEARCH("C",'WetLitterbags placem_collection'!AD293)),"YES","NO")</f>
        <v>NO</v>
      </c>
      <c r="AH366" s="255" t="str">
        <f>IF(ISNUMBER(SEARCH("H", 'WetLitterbags placem_collection'!AF73)),"YES","NO")</f>
        <v>NO</v>
      </c>
      <c r="AI366" s="255" t="str">
        <f>IF(ISNUMBER(SEARCH("R", 'WetLitterbags placem_collection'!XF73)),"YES","NO")</f>
        <v>NO</v>
      </c>
      <c r="AJ366" s="255" t="str">
        <f>IF(ISNUMBER(SEARCH("C", 'WetLitterbags placem_collection'!WE73)),"YES","NO")</f>
        <v>NO</v>
      </c>
      <c r="AK366" s="255" t="str">
        <f>IF(ISNUMBER(SEARCH("H", 'WetLitterbags placem_collection'!AE73)),"YES","NO")</f>
        <v>NO</v>
      </c>
      <c r="AL366" s="255" t="str">
        <f>IF(ISNUMBER(SEARCH("R", 'WetLitterbags placem_collection'!AE73)),"YES","NO")</f>
        <v>NO</v>
      </c>
    </row>
    <row r="367" spans="2:38">
      <c r="B367" t="str">
        <f>'Final data_for_R_analysis_Wetse'!A513</f>
        <v>Wet</v>
      </c>
      <c r="C367" s="263">
        <f>'Final data_for_R_analysis_Wetse'!B513</f>
        <v>72</v>
      </c>
      <c r="D367" t="s">
        <v>3836</v>
      </c>
      <c r="E367" t="s">
        <v>25</v>
      </c>
      <c r="F367" s="387">
        <v>8</v>
      </c>
      <c r="G367" s="16">
        <f>'WetLitterbags placem_collection'!E74</f>
        <v>42767</v>
      </c>
      <c r="H367" s="92" t="str">
        <f>'Final data_for_R_analysis_Wetse'!J513</f>
        <v>G627</v>
      </c>
      <c r="I367" t="str">
        <f>'Final data_for_R_analysis_Wetse'!J733</f>
        <v>R14</v>
      </c>
      <c r="J367">
        <f>IFERROR(INDEX('Green_rooibos initial weight'!$C$5:$C$1749,MATCH(H367, 'Green_rooibos initial weight'!$A$5:$A$1749,0)),"")</f>
        <v>2.153</v>
      </c>
      <c r="K367">
        <f>IFERROR(INDEX('Green_rooibos initial weight'!$C$5:$C$1749,MATCH(I367, 'Green_rooibos initial weight'!$A$5:$A$1749,0)),"")</f>
        <v>2.181</v>
      </c>
      <c r="L367" s="195">
        <f t="shared" si="52"/>
        <v>1.9032</v>
      </c>
      <c r="M367" s="195">
        <f>AVERAGE(Ashed_controlls!$K$2:$K$11)</f>
        <v>5.5147656768714146</v>
      </c>
      <c r="N367" s="195">
        <f t="shared" si="48"/>
        <v>1.7982429796377832</v>
      </c>
      <c r="O367" s="195">
        <f t="shared" si="53"/>
        <v>1.9312</v>
      </c>
      <c r="P367" s="195">
        <f>AVERAGE(Ashed_controlls!$K$12:$K$14)</f>
        <v>2.2816647271287041</v>
      </c>
      <c r="Q367" s="195">
        <f t="shared" si="54"/>
        <v>1.8871364907896906</v>
      </c>
      <c r="R367" s="16">
        <f>IF('WetLitterbags placem_collection'!G74="N.A","",'WetLitterbags placem_collection'!G74)</f>
        <v>42818</v>
      </c>
      <c r="S367" s="195">
        <f>IF(IFERROR(INDEX('Both teabags AfterWet'!$C$3:$C$841,MATCH(H367,'Both teabags AfterWet'!$A$3:$A$841,0)),"")="N.A","",(IFERROR(INDEX('Both teabags AfterWet'!$C$3:$C$841,MATCH(H367,'Both teabags AfterWet'!$A$3:$A$841,0)),"")))</f>
        <v>0.86350000000000005</v>
      </c>
      <c r="T367" s="195">
        <f>IFERROR(INDEX('Both teabags AfterWet'!$C$3:$C$841,MATCH(I367,'Both teabags AfterWet'!$A$3:$A$841,0)),"")</f>
        <v>1.5603</v>
      </c>
      <c r="U367" s="195">
        <f t="shared" si="55"/>
        <v>0.71290000000000009</v>
      </c>
      <c r="V367" s="195">
        <f t="shared" si="55"/>
        <v>1.4097</v>
      </c>
      <c r="W367" s="195">
        <f>IFERROR(INDEX('Ashed teabags wet'!$K$2:$K$821,MATCH(H367,'Ashed teabags wet'!$A$2:$A$821,0)),"")</f>
        <v>8.0899952130205044</v>
      </c>
      <c r="X367" s="195">
        <f>IFERROR(INDEX('Ashed teabags wet'!$K$2:$K$821,MATCH(I367,'Ashed teabags wet'!$A$2:$A$821,0)),"")</f>
        <v>3.0571992110453157</v>
      </c>
      <c r="Y367" s="195">
        <f t="shared" si="49"/>
        <v>0.65522642412637688</v>
      </c>
      <c r="Z367" s="195">
        <f t="shared" si="49"/>
        <v>1.3666026627218941</v>
      </c>
      <c r="AA367" s="195">
        <f t="shared" si="56"/>
        <v>0.63562964986057779</v>
      </c>
      <c r="AB367" s="195">
        <f t="shared" si="57"/>
        <v>0.4167073238990962</v>
      </c>
      <c r="AC367" s="195">
        <f t="shared" si="50"/>
        <v>0.72416736647916014</v>
      </c>
      <c r="AD367">
        <f t="shared" si="51"/>
        <v>51</v>
      </c>
      <c r="AE367" s="195">
        <f t="shared" si="58"/>
        <v>0.2450954277190287</v>
      </c>
      <c r="AF367" s="195">
        <f t="shared" si="59"/>
        <v>2.1264967445402353E-2</v>
      </c>
      <c r="AG367" s="255" t="str">
        <f>IF(ISNUMBER(SEARCH("C",'WetLitterbags placem_collection'!AD294)),"YES","NO")</f>
        <v>NO</v>
      </c>
      <c r="AH367" s="255" t="str">
        <f>IF(ISNUMBER(SEARCH("H", 'WetLitterbags placem_collection'!AF74)),"YES","NO")</f>
        <v>NO</v>
      </c>
      <c r="AI367" s="255" t="str">
        <f>IF(ISNUMBER(SEARCH("R", 'WetLitterbags placem_collection'!XF74)),"YES","NO")</f>
        <v>NO</v>
      </c>
      <c r="AJ367" s="255" t="str">
        <f>IF(ISNUMBER(SEARCH("C", 'WetLitterbags placem_collection'!WE74)),"YES","NO")</f>
        <v>NO</v>
      </c>
      <c r="AK367" s="255" t="str">
        <f>IF(ISNUMBER(SEARCH("H", 'WetLitterbags placem_collection'!AE74)),"YES","NO")</f>
        <v>NO</v>
      </c>
      <c r="AL367" s="255" t="str">
        <f>IF(ISNUMBER(SEARCH("R", 'WetLitterbags placem_collection'!AE74)),"YES","NO")</f>
        <v>NO</v>
      </c>
    </row>
    <row r="368" spans="2:38">
      <c r="B368" t="str">
        <f>'Final data_for_R_analysis_Wetse'!A514</f>
        <v>Wet</v>
      </c>
      <c r="C368" s="263">
        <f>'Final data_for_R_analysis_Wetse'!B514</f>
        <v>73</v>
      </c>
      <c r="D368" t="s">
        <v>3838</v>
      </c>
      <c r="E368" t="s">
        <v>25</v>
      </c>
      <c r="F368" s="386">
        <v>1</v>
      </c>
      <c r="G368" s="16">
        <f>'WetLitterbags placem_collection'!E75</f>
        <v>42767</v>
      </c>
      <c r="H368" s="92" t="str">
        <f>'Final data_for_R_analysis_Wetse'!J514</f>
        <v>G498</v>
      </c>
      <c r="I368" t="str">
        <f>'Final data_for_R_analysis_Wetse'!J734</f>
        <v>R393</v>
      </c>
      <c r="J368">
        <f>IFERROR(INDEX('Green_rooibos initial weight'!$C$5:$C$1749,MATCH(H368, 'Green_rooibos initial weight'!$A$5:$A$1749,0)),"")</f>
        <v>1.744</v>
      </c>
      <c r="K368">
        <f>IFERROR(INDEX('Green_rooibos initial weight'!$C$5:$C$1749,MATCH(I368, 'Green_rooibos initial weight'!$A$5:$A$1749,0)),"")</f>
        <v>2.1829999999999998</v>
      </c>
      <c r="L368" s="195">
        <f t="shared" si="52"/>
        <v>1.4942</v>
      </c>
      <c r="M368" s="195">
        <f>AVERAGE(Ashed_controlls!$K$2:$K$11)</f>
        <v>5.5147656768714146</v>
      </c>
      <c r="N368" s="195">
        <f t="shared" si="48"/>
        <v>1.4117983712561872</v>
      </c>
      <c r="O368" s="195">
        <f t="shared" si="53"/>
        <v>1.9331999999999998</v>
      </c>
      <c r="P368" s="195">
        <f>AVERAGE(Ashed_controlls!$K$12:$K$14)</f>
        <v>2.2816647271287041</v>
      </c>
      <c r="Q368" s="195">
        <f t="shared" si="54"/>
        <v>1.8890908574951477</v>
      </c>
      <c r="R368" s="16">
        <f>IF('WetLitterbags placem_collection'!G75="N.A","",'WetLitterbags placem_collection'!G75)</f>
        <v>42818</v>
      </c>
      <c r="S368" s="195">
        <f>IF(IFERROR(INDEX('Both teabags AfterWet'!$C$3:$C$841,MATCH(H368,'Both teabags AfterWet'!$A$3:$A$841,0)),"")="N.A","",(IFERROR(INDEX('Both teabags AfterWet'!$C$3:$C$841,MATCH(H368,'Both teabags AfterWet'!$A$3:$A$841,0)),"")))</f>
        <v>0.73209999999999997</v>
      </c>
      <c r="T368" s="195">
        <f>IFERROR(INDEX('Both teabags AfterWet'!$C$3:$C$841,MATCH(I368,'Both teabags AfterWet'!$A$3:$A$841,0)),"")</f>
        <v>1.6598999999999999</v>
      </c>
      <c r="U368" s="195">
        <f t="shared" si="55"/>
        <v>0.58149999999999991</v>
      </c>
      <c r="V368" s="195">
        <f t="shared" si="55"/>
        <v>1.5092999999999999</v>
      </c>
      <c r="W368" s="195">
        <f>IFERROR(INDEX('Ashed teabags wet'!$K$2:$K$821,MATCH(H368,'Ashed teabags wet'!$A$2:$A$821,0)),"")</f>
        <v>8.2123184777161153</v>
      </c>
      <c r="X368" s="195">
        <f>IFERROR(INDEX('Ashed teabags wet'!$K$2:$K$821,MATCH(I368,'Ashed teabags wet'!$A$2:$A$821,0)),"")</f>
        <v>2.4769305488104898</v>
      </c>
      <c r="Y368" s="195">
        <f t="shared" si="49"/>
        <v>0.53374536805208073</v>
      </c>
      <c r="Z368" s="195">
        <f t="shared" si="49"/>
        <v>1.4719156872268031</v>
      </c>
      <c r="AA368" s="195">
        <f t="shared" si="56"/>
        <v>0.62193937964585855</v>
      </c>
      <c r="AB368" s="195">
        <f t="shared" si="57"/>
        <v>0.40773222988659613</v>
      </c>
      <c r="AC368" s="195">
        <f t="shared" si="50"/>
        <v>0.77916616947609352</v>
      </c>
      <c r="AD368">
        <f t="shared" si="51"/>
        <v>51</v>
      </c>
      <c r="AE368" s="195">
        <f t="shared" si="58"/>
        <v>0.26135465600254326</v>
      </c>
      <c r="AF368" s="195">
        <f t="shared" si="59"/>
        <v>1.5295009987463941E-2</v>
      </c>
      <c r="AG368" s="255" t="str">
        <f>IF(ISNUMBER(SEARCH("C",'WetLitterbags placem_collection'!AD295)),"YES","NO")</f>
        <v>NO</v>
      </c>
      <c r="AH368" s="255" t="str">
        <f>IF(ISNUMBER(SEARCH("H", 'WetLitterbags placem_collection'!AF75)),"YES","NO")</f>
        <v>NO</v>
      </c>
      <c r="AI368" s="255" t="str">
        <f>IF(ISNUMBER(SEARCH("R", 'WetLitterbags placem_collection'!XF75)),"YES","NO")</f>
        <v>NO</v>
      </c>
      <c r="AJ368" s="255" t="str">
        <f>IF(ISNUMBER(SEARCH("C", 'WetLitterbags placem_collection'!WE75)),"YES","NO")</f>
        <v>NO</v>
      </c>
      <c r="AK368" s="255" t="str">
        <f>IF(ISNUMBER(SEARCH("H", 'WetLitterbags placem_collection'!AE75)),"YES","NO")</f>
        <v>NO</v>
      </c>
      <c r="AL368" s="255" t="str">
        <f>IF(ISNUMBER(SEARCH("R", 'WetLitterbags placem_collection'!AE75)),"YES","NO")</f>
        <v>NO</v>
      </c>
    </row>
    <row r="369" spans="2:38">
      <c r="B369" t="str">
        <f>'Final data_for_R_analysis_Wetse'!A515</f>
        <v>Wet</v>
      </c>
      <c r="C369" s="263">
        <f>'Final data_for_R_analysis_Wetse'!B515</f>
        <v>74</v>
      </c>
      <c r="D369" t="s">
        <v>3838</v>
      </c>
      <c r="E369" t="s">
        <v>25</v>
      </c>
      <c r="F369" s="386">
        <v>2</v>
      </c>
      <c r="G369" s="16">
        <f>'WetLitterbags placem_collection'!E76</f>
        <v>42767</v>
      </c>
      <c r="H369" s="92" t="str">
        <f>'Final data_for_R_analysis_Wetse'!J515</f>
        <v>G579</v>
      </c>
      <c r="I369" t="str">
        <f>'Final data_for_R_analysis_Wetse'!J735</f>
        <v>R138</v>
      </c>
      <c r="J369">
        <f>IFERROR(INDEX('Green_rooibos initial weight'!$C$5:$C$1749,MATCH(H369, 'Green_rooibos initial weight'!$A$5:$A$1749,0)),"")</f>
        <v>2.012</v>
      </c>
      <c r="K369">
        <f>IFERROR(INDEX('Green_rooibos initial weight'!$C$5:$C$1749,MATCH(I369, 'Green_rooibos initial weight'!$A$5:$A$1749,0)),"")</f>
        <v>2.3140000000000001</v>
      </c>
      <c r="L369" s="195">
        <f t="shared" si="52"/>
        <v>1.7622</v>
      </c>
      <c r="M369" s="195">
        <f>AVERAGE(Ashed_controlls!$K$2:$K$11)</f>
        <v>5.5147656768714146</v>
      </c>
      <c r="N369" s="195">
        <f t="shared" si="48"/>
        <v>1.6650187992421719</v>
      </c>
      <c r="O369" s="195">
        <f t="shared" si="53"/>
        <v>2.0642</v>
      </c>
      <c r="P369" s="195">
        <f>AVERAGE(Ashed_controlls!$K$12:$K$14)</f>
        <v>2.2816647271287041</v>
      </c>
      <c r="Q369" s="195">
        <f t="shared" si="54"/>
        <v>2.0171018767026094</v>
      </c>
      <c r="R369" s="16">
        <f>IF('WetLitterbags placem_collection'!G76="N.A","",'WetLitterbags placem_collection'!G76)</f>
        <v>42818</v>
      </c>
      <c r="S369" s="195">
        <f>IF(IFERROR(INDEX('Both teabags AfterWet'!$C$3:$C$841,MATCH(H369,'Both teabags AfterWet'!$A$3:$A$841,0)),"")="N.A","",(IFERROR(INDEX('Both teabags AfterWet'!$C$3:$C$841,MATCH(H369,'Both teabags AfterWet'!$A$3:$A$841,0)),"")))</f>
        <v>0.74199999999999999</v>
      </c>
      <c r="T369" s="195">
        <f>IFERROR(INDEX('Both teabags AfterWet'!$C$3:$C$841,MATCH(I369,'Both teabags AfterWet'!$A$3:$A$841,0)),"")</f>
        <v>1.6850000000000001</v>
      </c>
      <c r="U369" s="195">
        <f t="shared" si="55"/>
        <v>0.59139999999999993</v>
      </c>
      <c r="V369" s="195">
        <f t="shared" si="55"/>
        <v>1.5344</v>
      </c>
      <c r="W369" s="195">
        <f>IFERROR(INDEX('Ashed teabags wet'!$K$2:$K$821,MATCH(H369,'Ashed teabags wet'!$A$2:$A$821,0)),"")</f>
        <v>9.0817862518813506</v>
      </c>
      <c r="X369" s="195">
        <f>IFERROR(INDEX('Ashed teabags wet'!$K$2:$K$821,MATCH(I369,'Ashed teabags wet'!$A$2:$A$821,0)),"")</f>
        <v>3.6873156342174327</v>
      </c>
      <c r="Y369" s="195">
        <f t="shared" si="49"/>
        <v>0.53769031610637363</v>
      </c>
      <c r="Z369" s="195">
        <f t="shared" si="49"/>
        <v>1.4778218289085676</v>
      </c>
      <c r="AA369" s="195">
        <f t="shared" si="56"/>
        <v>0.67706651939839857</v>
      </c>
      <c r="AB369" s="195">
        <f t="shared" si="57"/>
        <v>0.4438725875390927</v>
      </c>
      <c r="AC369" s="195">
        <f t="shared" si="50"/>
        <v>0.73264610279595199</v>
      </c>
      <c r="AD369">
        <f t="shared" si="51"/>
        <v>51</v>
      </c>
      <c r="AE369" s="195">
        <f t="shared" si="58"/>
        <v>0.19588299358860028</v>
      </c>
      <c r="AF369" s="195">
        <f t="shared" si="59"/>
        <v>1.808060374963431E-2</v>
      </c>
      <c r="AG369" s="255" t="str">
        <f>IF(ISNUMBER(SEARCH("C",'WetLitterbags placem_collection'!AD296)),"YES","NO")</f>
        <v>NO</v>
      </c>
      <c r="AH369" s="255" t="str">
        <f>IF(ISNUMBER(SEARCH("H", 'WetLitterbags placem_collection'!AF76)),"YES","NO")</f>
        <v>NO</v>
      </c>
      <c r="AI369" s="255" t="str">
        <f>IF(ISNUMBER(SEARCH("R", 'WetLitterbags placem_collection'!XF76)),"YES","NO")</f>
        <v>NO</v>
      </c>
      <c r="AJ369" s="255" t="str">
        <f>IF(ISNUMBER(SEARCH("C", 'WetLitterbags placem_collection'!WE76)),"YES","NO")</f>
        <v>NO</v>
      </c>
      <c r="AK369" s="255" t="str">
        <f>IF(ISNUMBER(SEARCH("H", 'WetLitterbags placem_collection'!AE76)),"YES","NO")</f>
        <v>NO</v>
      </c>
      <c r="AL369" s="255" t="str">
        <f>IF(ISNUMBER(SEARCH("R", 'WetLitterbags placem_collection'!AE76)),"YES","NO")</f>
        <v>NO</v>
      </c>
    </row>
    <row r="370" spans="2:38">
      <c r="B370" t="str">
        <f>'Final data_for_R_analysis_Wetse'!A516</f>
        <v>Wet</v>
      </c>
      <c r="C370" s="263">
        <f>'Final data_for_R_analysis_Wetse'!B516</f>
        <v>75</v>
      </c>
      <c r="D370" t="s">
        <v>3838</v>
      </c>
      <c r="E370" t="s">
        <v>25</v>
      </c>
      <c r="F370" s="386">
        <v>3</v>
      </c>
      <c r="G370" s="16">
        <f>'WetLitterbags placem_collection'!E77</f>
        <v>42767</v>
      </c>
      <c r="H370" s="92" t="str">
        <f>'Final data_for_R_analysis_Wetse'!J516</f>
        <v>G373</v>
      </c>
      <c r="I370" t="str">
        <f>'Final data_for_R_analysis_Wetse'!J736</f>
        <v>R311</v>
      </c>
      <c r="J370">
        <f>IFERROR(INDEX('Green_rooibos initial weight'!$C$5:$C$1749,MATCH(H370, 'Green_rooibos initial weight'!$A$5:$A$1749,0)),"")</f>
        <v>2.1</v>
      </c>
      <c r="K370">
        <f>IFERROR(INDEX('Green_rooibos initial weight'!$C$5:$C$1749,MATCH(I370, 'Green_rooibos initial weight'!$A$5:$A$1749,0)),"")</f>
        <v>2.2719999999999998</v>
      </c>
      <c r="L370" s="195">
        <f t="shared" si="52"/>
        <v>1.8502000000000001</v>
      </c>
      <c r="M370" s="195">
        <f>AVERAGE(Ashed_controlls!$K$2:$K$11)</f>
        <v>5.5147656768714146</v>
      </c>
      <c r="N370" s="195">
        <f t="shared" si="48"/>
        <v>1.7481658054465252</v>
      </c>
      <c r="O370" s="195">
        <f t="shared" si="53"/>
        <v>2.0221999999999998</v>
      </c>
      <c r="P370" s="195">
        <f>AVERAGE(Ashed_controlls!$K$12:$K$14)</f>
        <v>2.2816647271287041</v>
      </c>
      <c r="Q370" s="195">
        <f t="shared" si="54"/>
        <v>1.9760601758880032</v>
      </c>
      <c r="R370" s="16">
        <f>IF('WetLitterbags placem_collection'!G77="N.A","",'WetLitterbags placem_collection'!G77)</f>
        <v>42818</v>
      </c>
      <c r="S370" s="195">
        <f>IF(IFERROR(INDEX('Both teabags AfterWet'!$C$3:$C$841,MATCH(H370,'Both teabags AfterWet'!$A$3:$A$841,0)),"")="N.A","",(IFERROR(INDEX('Both teabags AfterWet'!$C$3:$C$841,MATCH(H370,'Both teabags AfterWet'!$A$3:$A$841,0)),"")))</f>
        <v>0.93330000000000002</v>
      </c>
      <c r="T370" s="195">
        <f>IFERROR(INDEX('Both teabags AfterWet'!$C$3:$C$841,MATCH(I370,'Both teabags AfterWet'!$A$3:$A$841,0)),"")</f>
        <v>1.6715</v>
      </c>
      <c r="U370" s="195">
        <f t="shared" si="55"/>
        <v>0.78269999999999995</v>
      </c>
      <c r="V370" s="195">
        <f t="shared" si="55"/>
        <v>1.5208999999999999</v>
      </c>
      <c r="W370" s="195">
        <f>IFERROR(INDEX('Ashed teabags wet'!$K$2:$K$821,MATCH(H370,'Ashed teabags wet'!$A$2:$A$821,0)),"")</f>
        <v>10.547263681591955</v>
      </c>
      <c r="X370" s="195">
        <f>IFERROR(INDEX('Ashed teabags wet'!$K$2:$K$821,MATCH(I370,'Ashed teabags wet'!$A$2:$A$821,0)),"")</f>
        <v>3.5363457760311539</v>
      </c>
      <c r="Y370" s="195">
        <f t="shared" si="49"/>
        <v>0.70014656716417978</v>
      </c>
      <c r="Z370" s="195">
        <f t="shared" si="49"/>
        <v>1.4671157170923421</v>
      </c>
      <c r="AA370" s="195">
        <f t="shared" si="56"/>
        <v>0.59949647511533111</v>
      </c>
      <c r="AB370" s="195">
        <f t="shared" si="57"/>
        <v>0.39301906682145232</v>
      </c>
      <c r="AC370" s="195">
        <f t="shared" si="50"/>
        <v>0.74244485820531692</v>
      </c>
      <c r="AD370">
        <f t="shared" si="51"/>
        <v>51</v>
      </c>
      <c r="AE370" s="195">
        <f t="shared" si="58"/>
        <v>0.28800893691765894</v>
      </c>
      <c r="AF370" s="195">
        <f t="shared" si="59"/>
        <v>2.0885348193522491E-2</v>
      </c>
      <c r="AG370" s="255" t="str">
        <f>IF(ISNUMBER(SEARCH("C",'WetLitterbags placem_collection'!AD297)),"YES","NO")</f>
        <v>NO</v>
      </c>
      <c r="AH370" s="255" t="str">
        <f>IF(ISNUMBER(SEARCH("H", 'WetLitterbags placem_collection'!AF77)),"YES","NO")</f>
        <v>NO</v>
      </c>
      <c r="AI370" s="255" t="str">
        <f>IF(ISNUMBER(SEARCH("R", 'WetLitterbags placem_collection'!XF77)),"YES","NO")</f>
        <v>NO</v>
      </c>
      <c r="AJ370" s="255" t="str">
        <f>IF(ISNUMBER(SEARCH("C", 'WetLitterbags placem_collection'!WE77)),"YES","NO")</f>
        <v>NO</v>
      </c>
      <c r="AK370" s="255" t="str">
        <f>IF(ISNUMBER(SEARCH("H", 'WetLitterbags placem_collection'!AE77)),"YES","NO")</f>
        <v>NO</v>
      </c>
      <c r="AL370" s="255" t="str">
        <f>IF(ISNUMBER(SEARCH("R", 'WetLitterbags placem_collection'!AE77)),"YES","NO")</f>
        <v>NO</v>
      </c>
    </row>
    <row r="371" spans="2:38">
      <c r="B371" t="str">
        <f>'Final data_for_R_analysis_Wetse'!A517</f>
        <v>Wet</v>
      </c>
      <c r="C371" s="263">
        <f>'Final data_for_R_analysis_Wetse'!B517</f>
        <v>76</v>
      </c>
      <c r="D371" t="s">
        <v>3838</v>
      </c>
      <c r="E371" t="s">
        <v>25</v>
      </c>
      <c r="F371" s="387">
        <v>4</v>
      </c>
      <c r="G371" s="16">
        <f>'WetLitterbags placem_collection'!E78</f>
        <v>42767</v>
      </c>
      <c r="H371" s="92" t="str">
        <f>'Final data_for_R_analysis_Wetse'!J517</f>
        <v>G603</v>
      </c>
      <c r="I371" t="str">
        <f>'Final data_for_R_analysis_Wetse'!J737</f>
        <v>R183</v>
      </c>
      <c r="J371">
        <f>IFERROR(INDEX('Green_rooibos initial weight'!$C$5:$C$1749,MATCH(H371, 'Green_rooibos initial weight'!$A$5:$A$1749,0)),"")</f>
        <v>2.0430000000000001</v>
      </c>
      <c r="K371">
        <f>IFERROR(INDEX('Green_rooibos initial weight'!$C$5:$C$1749,MATCH(I371, 'Green_rooibos initial weight'!$A$5:$A$1749,0)),"")</f>
        <v>2.262</v>
      </c>
      <c r="L371" s="195">
        <f t="shared" si="52"/>
        <v>1.7932000000000001</v>
      </c>
      <c r="M371" s="195">
        <f>AVERAGE(Ashed_controlls!$K$2:$K$11)</f>
        <v>5.5147656768714146</v>
      </c>
      <c r="N371" s="195">
        <f t="shared" si="48"/>
        <v>1.6943092218823419</v>
      </c>
      <c r="O371" s="195">
        <f t="shared" si="53"/>
        <v>2.0122</v>
      </c>
      <c r="P371" s="195">
        <f>AVERAGE(Ashed_controlls!$K$12:$K$14)</f>
        <v>2.2816647271287041</v>
      </c>
      <c r="Q371" s="195">
        <f t="shared" si="54"/>
        <v>1.9662883423607163</v>
      </c>
      <c r="R371" s="16">
        <f>IF('WetLitterbags placem_collection'!G78="N.A","",'WetLitterbags placem_collection'!G78)</f>
        <v>42818</v>
      </c>
      <c r="S371" s="195">
        <f>IF(IFERROR(INDEX('Both teabags AfterWet'!$C$3:$C$841,MATCH(H371,'Both teabags AfterWet'!$A$3:$A$841,0)),"")="N.A","",(IFERROR(INDEX('Both teabags AfterWet'!$C$3:$C$841,MATCH(H371,'Both teabags AfterWet'!$A$3:$A$841,0)),"")))</f>
        <v>0.82299999999999995</v>
      </c>
      <c r="T371" s="195">
        <f>IFERROR(INDEX('Both teabags AfterWet'!$C$3:$C$841,MATCH(I371,'Both teabags AfterWet'!$A$3:$A$841,0)),"")</f>
        <v>1.7490000000000001</v>
      </c>
      <c r="U371" s="195">
        <f t="shared" si="55"/>
        <v>0.67239999999999989</v>
      </c>
      <c r="V371" s="195">
        <f t="shared" si="55"/>
        <v>1.5984</v>
      </c>
      <c r="W371" s="195">
        <f>IFERROR(INDEX('Ashed teabags wet'!$K$2:$K$821,MATCH(H371,'Ashed teabags wet'!$A$2:$A$821,0)),"")</f>
        <v>8.9330024813902469</v>
      </c>
      <c r="X371" s="195">
        <f>IFERROR(INDEX('Ashed teabags wet'!$K$2:$K$821,MATCH(I371,'Ashed teabags wet'!$A$2:$A$821,0)),"")</f>
        <v>2.262879152624262</v>
      </c>
      <c r="Y371" s="195">
        <f t="shared" si="49"/>
        <v>0.61233449131513185</v>
      </c>
      <c r="Z371" s="195">
        <f t="shared" si="49"/>
        <v>1.5622301396244538</v>
      </c>
      <c r="AA371" s="195">
        <f t="shared" si="56"/>
        <v>0.63859342591853385</v>
      </c>
      <c r="AB371" s="195">
        <f t="shared" si="57"/>
        <v>0.41865032197984647</v>
      </c>
      <c r="AC371" s="195">
        <f t="shared" si="50"/>
        <v>0.7945071462656631</v>
      </c>
      <c r="AD371">
        <f t="shared" si="51"/>
        <v>51</v>
      </c>
      <c r="AE371" s="195">
        <f t="shared" si="58"/>
        <v>0.24157550365969849</v>
      </c>
      <c r="AF371" s="195">
        <f t="shared" si="59"/>
        <v>1.3235388973182294E-2</v>
      </c>
      <c r="AG371" s="255" t="str">
        <f>IF(ISNUMBER(SEARCH("C",'WetLitterbags placem_collection'!AD298)),"YES","NO")</f>
        <v>NO</v>
      </c>
      <c r="AH371" s="255" t="str">
        <f>IF(ISNUMBER(SEARCH("H", 'WetLitterbags placem_collection'!AF78)),"YES","NO")</f>
        <v>NO</v>
      </c>
      <c r="AI371" s="255" t="str">
        <f>IF(ISNUMBER(SEARCH("R", 'WetLitterbags placem_collection'!XF78)),"YES","NO")</f>
        <v>NO</v>
      </c>
      <c r="AJ371" s="255" t="str">
        <f>IF(ISNUMBER(SEARCH("C", 'WetLitterbags placem_collection'!WE78)),"YES","NO")</f>
        <v>NO</v>
      </c>
      <c r="AK371" s="255" t="str">
        <f>IF(ISNUMBER(SEARCH("H", 'WetLitterbags placem_collection'!AE78)),"YES","NO")</f>
        <v>NO</v>
      </c>
      <c r="AL371" s="255" t="str">
        <f>IF(ISNUMBER(SEARCH("R", 'WetLitterbags placem_collection'!AE78)),"YES","NO")</f>
        <v>NO</v>
      </c>
    </row>
    <row r="372" spans="2:38">
      <c r="B372" t="str">
        <f>'Final data_for_R_analysis_Wetse'!A518</f>
        <v>Wet</v>
      </c>
      <c r="C372" s="263">
        <f>'Final data_for_R_analysis_Wetse'!B518</f>
        <v>77</v>
      </c>
      <c r="D372" t="s">
        <v>3838</v>
      </c>
      <c r="E372" t="s">
        <v>25</v>
      </c>
      <c r="F372" s="387">
        <v>5</v>
      </c>
      <c r="G372" s="16">
        <f>'WetLitterbags placem_collection'!E79</f>
        <v>42767</v>
      </c>
      <c r="H372" s="92" t="str">
        <f>'Final data_for_R_analysis_Wetse'!J518</f>
        <v>G509</v>
      </c>
      <c r="I372" t="str">
        <f>'Final data_for_R_analysis_Wetse'!J738</f>
        <v>R228</v>
      </c>
      <c r="J372">
        <f>IFERROR(INDEX('Green_rooibos initial weight'!$C$5:$C$1749,MATCH(H372, 'Green_rooibos initial weight'!$A$5:$A$1749,0)),"")</f>
        <v>2.048</v>
      </c>
      <c r="K372">
        <f>IFERROR(INDEX('Green_rooibos initial weight'!$C$5:$C$1749,MATCH(I372, 'Green_rooibos initial weight'!$A$5:$A$1749,0)),"")</f>
        <v>2.2040000000000002</v>
      </c>
      <c r="L372" s="195">
        <f t="shared" si="52"/>
        <v>1.7982</v>
      </c>
      <c r="M372" s="195">
        <f>AVERAGE(Ashed_controlls!$K$2:$K$11)</f>
        <v>5.5147656768714146</v>
      </c>
      <c r="N372" s="195">
        <f t="shared" si="48"/>
        <v>1.6990334835984982</v>
      </c>
      <c r="O372" s="195">
        <f t="shared" si="53"/>
        <v>1.9542000000000002</v>
      </c>
      <c r="P372" s="195">
        <f>AVERAGE(Ashed_controlls!$K$12:$K$14)</f>
        <v>2.2816647271287041</v>
      </c>
      <c r="Q372" s="195">
        <f t="shared" si="54"/>
        <v>1.909611707902451</v>
      </c>
      <c r="R372" s="16">
        <f>IF('WetLitterbags placem_collection'!G79="N.A","",'WetLitterbags placem_collection'!G79)</f>
        <v>42818</v>
      </c>
      <c r="S372" s="195">
        <f>IF(IFERROR(INDEX('Both teabags AfterWet'!$C$3:$C$841,MATCH(H372,'Both teabags AfterWet'!$A$3:$A$841,0)),"")="N.A","",(IFERROR(INDEX('Both teabags AfterWet'!$C$3:$C$841,MATCH(H372,'Both teabags AfterWet'!$A$3:$A$841,0)),"")))</f>
        <v>1.012</v>
      </c>
      <c r="T372" s="195">
        <f>IFERROR(INDEX('Both teabags AfterWet'!$C$3:$C$841,MATCH(I372,'Both teabags AfterWet'!$A$3:$A$841,0)),"")</f>
        <v>2.2429999999999999</v>
      </c>
      <c r="U372" s="195">
        <f t="shared" si="55"/>
        <v>0.86139999999999994</v>
      </c>
      <c r="V372" s="195">
        <f t="shared" si="55"/>
        <v>2.0924</v>
      </c>
      <c r="W372" s="195">
        <f>IFERROR(INDEX('Ashed teabags wet'!$K$2:$K$821,MATCH(H372,'Ashed teabags wet'!$A$2:$A$821,0)),"")</f>
        <v>0.1847000000000012</v>
      </c>
      <c r="X372" s="195">
        <f>IFERROR(INDEX('Ashed teabags wet'!$K$2:$K$821,MATCH(I372,'Ashed teabags wet'!$A$2:$A$821,0)),"")</f>
        <v>25.765054294176</v>
      </c>
      <c r="Y372" s="195">
        <f t="shared" si="49"/>
        <v>0.8598089941999999</v>
      </c>
      <c r="Z372" s="195">
        <f t="shared" si="49"/>
        <v>1.5532920039486613</v>
      </c>
      <c r="AA372" s="195">
        <f t="shared" si="56"/>
        <v>0.49394228983707122</v>
      </c>
      <c r="AB372" s="195">
        <f t="shared" si="57"/>
        <v>0.32381964844425576</v>
      </c>
      <c r="AC372" s="195">
        <f t="shared" si="50"/>
        <v>0.8134072479346196</v>
      </c>
      <c r="AD372">
        <f t="shared" si="51"/>
        <v>51</v>
      </c>
      <c r="AE372" s="195">
        <f t="shared" si="58"/>
        <v>0.41337020209373965</v>
      </c>
      <c r="AF372" s="195">
        <f t="shared" si="59"/>
        <v>1.6834333066283975E-2</v>
      </c>
      <c r="AG372" s="255" t="str">
        <f>IF(ISNUMBER(SEARCH("C",'WetLitterbags placem_collection'!AD299)),"YES","NO")</f>
        <v>NO</v>
      </c>
      <c r="AH372" s="255" t="str">
        <f>IF(ISNUMBER(SEARCH("H", 'WetLitterbags placem_collection'!AF79)),"YES","NO")</f>
        <v>NO</v>
      </c>
      <c r="AI372" s="255" t="str">
        <f>IF(ISNUMBER(SEARCH("R", 'WetLitterbags placem_collection'!XF79)),"YES","NO")</f>
        <v>NO</v>
      </c>
      <c r="AJ372" s="255" t="str">
        <f>IF(ISNUMBER(SEARCH("C", 'WetLitterbags placem_collection'!WE79)),"YES","NO")</f>
        <v>NO</v>
      </c>
      <c r="AK372" s="255" t="str">
        <f>IF(ISNUMBER(SEARCH("H", 'WetLitterbags placem_collection'!AE79)),"YES","NO")</f>
        <v>NO</v>
      </c>
      <c r="AL372" s="255" t="str">
        <f>IF(ISNUMBER(SEARCH("R", 'WetLitterbags placem_collection'!AE79)),"YES","NO")</f>
        <v>NO</v>
      </c>
    </row>
    <row r="373" spans="2:38">
      <c r="B373" t="str">
        <f>'Final data_for_R_analysis_Wetse'!A519</f>
        <v>Wet</v>
      </c>
      <c r="C373" s="263">
        <f>'Final data_for_R_analysis_Wetse'!B519</f>
        <v>78</v>
      </c>
      <c r="D373" t="s">
        <v>3838</v>
      </c>
      <c r="E373" t="s">
        <v>25</v>
      </c>
      <c r="F373" s="387">
        <v>6</v>
      </c>
      <c r="G373" s="16">
        <f>'WetLitterbags placem_collection'!E80</f>
        <v>42767</v>
      </c>
      <c r="H373" s="92" t="str">
        <f>'Final data_for_R_analysis_Wetse'!J519</f>
        <v>G446</v>
      </c>
      <c r="I373" t="str">
        <f>'Final data_for_R_analysis_Wetse'!J739</f>
        <v>R100</v>
      </c>
      <c r="J373">
        <f>IFERROR(INDEX('Green_rooibos initial weight'!$C$5:$C$1749,MATCH(H373, 'Green_rooibos initial weight'!$A$5:$A$1749,0)),"")</f>
        <v>1.9319999999999999</v>
      </c>
      <c r="K373">
        <f>IFERROR(INDEX('Green_rooibos initial weight'!$C$5:$C$1749,MATCH(I373, 'Green_rooibos initial weight'!$A$5:$A$1749,0)),"")</f>
        <v>2.2549999999999999</v>
      </c>
      <c r="L373" s="195">
        <f t="shared" si="52"/>
        <v>1.6821999999999999</v>
      </c>
      <c r="M373" s="195">
        <f>AVERAGE(Ashed_controlls!$K$2:$K$11)</f>
        <v>5.5147656768714146</v>
      </c>
      <c r="N373" s="195">
        <f t="shared" si="48"/>
        <v>1.589430611783669</v>
      </c>
      <c r="O373" s="195">
        <f t="shared" si="53"/>
        <v>2.0051999999999999</v>
      </c>
      <c r="P373" s="195">
        <f>AVERAGE(Ashed_controlls!$K$12:$K$14)</f>
        <v>2.2816647271287041</v>
      </c>
      <c r="Q373" s="195">
        <f t="shared" si="54"/>
        <v>1.959448058891615</v>
      </c>
      <c r="R373" s="16">
        <f>IF('WetLitterbags placem_collection'!G80="N.A","",'WetLitterbags placem_collection'!G80)</f>
        <v>42818</v>
      </c>
      <c r="S373" s="195">
        <f>IF(IFERROR(INDEX('Both teabags AfterWet'!$C$3:$C$841,MATCH(H373,'Both teabags AfterWet'!$A$3:$A$841,0)),"")="N.A","",(IFERROR(INDEX('Both teabags AfterWet'!$C$3:$C$841,MATCH(H373,'Both teabags AfterWet'!$A$3:$A$841,0)),"")))</f>
        <v>0.77859999999999996</v>
      </c>
      <c r="T373" s="195">
        <f>IFERROR(INDEX('Both teabags AfterWet'!$C$3:$C$841,MATCH(I373,'Both teabags AfterWet'!$A$3:$A$841,0)),"")</f>
        <v>1.7222999999999999</v>
      </c>
      <c r="U373" s="195">
        <f t="shared" si="55"/>
        <v>0.62799999999999989</v>
      </c>
      <c r="V373" s="195">
        <f t="shared" si="55"/>
        <v>1.5716999999999999</v>
      </c>
      <c r="W373" s="195">
        <f>IFERROR(INDEX('Ashed teabags wet'!$K$2:$K$821,MATCH(H373,'Ashed teabags wet'!$A$2:$A$821,0)),"")</f>
        <v>9.6451774112936519</v>
      </c>
      <c r="X373" s="195">
        <f>IFERROR(INDEX('Ashed teabags wet'!$K$2:$K$821,MATCH(I373,'Ashed teabags wet'!$A$2:$A$821,0)),"")</f>
        <v>2.8361858190706335</v>
      </c>
      <c r="Y373" s="195">
        <f t="shared" si="49"/>
        <v>0.56742828585707572</v>
      </c>
      <c r="Z373" s="195">
        <f t="shared" si="49"/>
        <v>1.5271236674816668</v>
      </c>
      <c r="AA373" s="195">
        <f t="shared" si="56"/>
        <v>0.64299902012060528</v>
      </c>
      <c r="AB373" s="195">
        <f t="shared" si="57"/>
        <v>0.42153855000780777</v>
      </c>
      <c r="AC373" s="195">
        <f t="shared" si="50"/>
        <v>0.77936419929676648</v>
      </c>
      <c r="AD373">
        <f t="shared" si="51"/>
        <v>51</v>
      </c>
      <c r="AE373" s="195">
        <f t="shared" si="58"/>
        <v>0.23634320650759466</v>
      </c>
      <c r="AF373" s="195">
        <f t="shared" si="59"/>
        <v>1.4531181876179416E-2</v>
      </c>
      <c r="AG373" s="255" t="str">
        <f>IF(ISNUMBER(SEARCH("C",'WetLitterbags placem_collection'!AD300)),"YES","NO")</f>
        <v>NO</v>
      </c>
      <c r="AH373" s="255" t="str">
        <f>IF(ISNUMBER(SEARCH("H", 'WetLitterbags placem_collection'!AF80)),"YES","NO")</f>
        <v>NO</v>
      </c>
      <c r="AI373" s="255" t="str">
        <f>IF(ISNUMBER(SEARCH("R", 'WetLitterbags placem_collection'!XF80)),"YES","NO")</f>
        <v>NO</v>
      </c>
      <c r="AJ373" s="255" t="str">
        <f>IF(ISNUMBER(SEARCH("C", 'WetLitterbags placem_collection'!WE80)),"YES","NO")</f>
        <v>NO</v>
      </c>
      <c r="AK373" s="255" t="str">
        <f>IF(ISNUMBER(SEARCH("H", 'WetLitterbags placem_collection'!AE80)),"YES","NO")</f>
        <v>NO</v>
      </c>
      <c r="AL373" s="255" t="str">
        <f>IF(ISNUMBER(SEARCH("R", 'WetLitterbags placem_collection'!AE80)),"YES","NO")</f>
        <v>NO</v>
      </c>
    </row>
    <row r="374" spans="2:38">
      <c r="B374" t="str">
        <f>'Final data_for_R_analysis_Wetse'!A520</f>
        <v>Wet</v>
      </c>
      <c r="C374" s="263">
        <f>'Final data_for_R_analysis_Wetse'!B520</f>
        <v>79</v>
      </c>
      <c r="D374" t="s">
        <v>3838</v>
      </c>
      <c r="E374" t="s">
        <v>25</v>
      </c>
      <c r="F374" s="387">
        <v>7</v>
      </c>
      <c r="G374" s="16">
        <f>'WetLitterbags placem_collection'!E81</f>
        <v>42767</v>
      </c>
      <c r="H374" s="92" t="str">
        <f>'Final data_for_R_analysis_Wetse'!J520</f>
        <v>G249</v>
      </c>
      <c r="I374" t="str">
        <f>'Final data_for_R_analysis_Wetse'!J740</f>
        <v>R56</v>
      </c>
      <c r="J374">
        <f>IFERROR(INDEX('Green_rooibos initial weight'!$C$5:$C$1749,MATCH(H374, 'Green_rooibos initial weight'!$A$5:$A$1749,0)),"")</f>
        <v>2.0219999999999998</v>
      </c>
      <c r="K374">
        <f>IFERROR(INDEX('Green_rooibos initial weight'!$C$5:$C$1749,MATCH(I374, 'Green_rooibos initial weight'!$A$5:$A$1749,0)),"")</f>
        <v>2.1829999999999998</v>
      </c>
      <c r="L374" s="195">
        <f t="shared" si="52"/>
        <v>1.7721999999999998</v>
      </c>
      <c r="M374" s="195">
        <f>AVERAGE(Ashed_controlls!$K$2:$K$11)</f>
        <v>5.5147656768714146</v>
      </c>
      <c r="N374" s="195">
        <f t="shared" si="48"/>
        <v>1.6744673226744846</v>
      </c>
      <c r="O374" s="195">
        <f t="shared" si="53"/>
        <v>1.9331999999999998</v>
      </c>
      <c r="P374" s="195">
        <f>AVERAGE(Ashed_controlls!$K$12:$K$14)</f>
        <v>2.2816647271287041</v>
      </c>
      <c r="Q374" s="195">
        <f t="shared" si="54"/>
        <v>1.8890908574951477</v>
      </c>
      <c r="R374" s="16">
        <f>IF('WetLitterbags placem_collection'!G81="N.A","",'WetLitterbags placem_collection'!G81)</f>
        <v>42818</v>
      </c>
      <c r="S374" s="195">
        <f>IF(IFERROR(INDEX('Both teabags AfterWet'!$C$3:$C$841,MATCH(H374,'Both teabags AfterWet'!$A$3:$A$841,0)),"")="N.A","",(IFERROR(INDEX('Both teabags AfterWet'!$C$3:$C$841,MATCH(H374,'Both teabags AfterWet'!$A$3:$A$841,0)),"")))</f>
        <v>0.97550000000000003</v>
      </c>
      <c r="T374" s="195">
        <f>IFERROR(INDEX('Both teabags AfterWet'!$C$3:$C$841,MATCH(I374,'Both teabags AfterWet'!$A$3:$A$841,0)),"")</f>
        <v>1.6438999999999999</v>
      </c>
      <c r="U374" s="195">
        <f t="shared" si="55"/>
        <v>0.82489999999999997</v>
      </c>
      <c r="V374" s="195">
        <f t="shared" si="55"/>
        <v>1.4932999999999998</v>
      </c>
      <c r="W374" s="195">
        <f>IFERROR(INDEX('Ashed teabags wet'!$K$2:$K$821,MATCH(H374,'Ashed teabags wet'!$A$2:$A$821,0)),"")</f>
        <v>18.702865761691211</v>
      </c>
      <c r="X374" s="195">
        <f>IFERROR(INDEX('Ashed teabags wet'!$K$2:$K$821,MATCH(I374,'Ashed teabags wet'!$A$2:$A$821,0)),"")</f>
        <v>1.8838304552590228</v>
      </c>
      <c r="Y374" s="195">
        <f t="shared" si="49"/>
        <v>0.6706200603318091</v>
      </c>
      <c r="Z374" s="195">
        <f t="shared" si="49"/>
        <v>1.4651687598116168</v>
      </c>
      <c r="AA374" s="195">
        <f t="shared" si="56"/>
        <v>0.59950244997275637</v>
      </c>
      <c r="AB374" s="195">
        <f t="shared" si="57"/>
        <v>0.39302298383012063</v>
      </c>
      <c r="AC374" s="195">
        <f t="shared" si="50"/>
        <v>0.77559464861016092</v>
      </c>
      <c r="AD374">
        <f t="shared" si="51"/>
        <v>51</v>
      </c>
      <c r="AE374" s="195">
        <f t="shared" si="58"/>
        <v>0.28800184088746272</v>
      </c>
      <c r="AF374" s="195">
        <f t="shared" si="59"/>
        <v>1.6592832776307225E-2</v>
      </c>
      <c r="AG374" s="255" t="str">
        <f>IF(ISNUMBER(SEARCH("C",'WetLitterbags placem_collection'!AD301)),"YES","NO")</f>
        <v>NO</v>
      </c>
      <c r="AH374" s="255" t="str">
        <f>IF(ISNUMBER(SEARCH("H", 'WetLitterbags placem_collection'!AF81)),"YES","NO")</f>
        <v>NO</v>
      </c>
      <c r="AI374" s="255" t="str">
        <f>IF(ISNUMBER(SEARCH("R", 'WetLitterbags placem_collection'!XF81)),"YES","NO")</f>
        <v>NO</v>
      </c>
      <c r="AJ374" s="255" t="str">
        <f>IF(ISNUMBER(SEARCH("C", 'WetLitterbags placem_collection'!WE81)),"YES","NO")</f>
        <v>NO</v>
      </c>
      <c r="AK374" s="255" t="str">
        <f>IF(ISNUMBER(SEARCH("H", 'WetLitterbags placem_collection'!AE81)),"YES","NO")</f>
        <v>NO</v>
      </c>
      <c r="AL374" s="255" t="str">
        <f>IF(ISNUMBER(SEARCH("R", 'WetLitterbags placem_collection'!AE81)),"YES","NO")</f>
        <v>NO</v>
      </c>
    </row>
    <row r="375" spans="2:38">
      <c r="B375" t="str">
        <f>'Final data_for_R_analysis_Wetse'!A521</f>
        <v>Wet</v>
      </c>
      <c r="C375" s="263">
        <f>'Final data_for_R_analysis_Wetse'!B521</f>
        <v>80</v>
      </c>
      <c r="D375" t="s">
        <v>3838</v>
      </c>
      <c r="E375" t="s">
        <v>25</v>
      </c>
      <c r="F375" s="387">
        <v>8</v>
      </c>
      <c r="G375" s="16">
        <f>'WetLitterbags placem_collection'!E82</f>
        <v>42767</v>
      </c>
      <c r="H375" s="92" t="str">
        <f>'Final data_for_R_analysis_Wetse'!J521</f>
        <v>G474</v>
      </c>
      <c r="I375" t="str">
        <f>'Final data_for_R_analysis_Wetse'!J741</f>
        <v>R68</v>
      </c>
      <c r="J375">
        <f>IFERROR(INDEX('Green_rooibos initial weight'!$C$5:$C$1749,MATCH(H375, 'Green_rooibos initial weight'!$A$5:$A$1749,0)),"")</f>
        <v>2.1930000000000001</v>
      </c>
      <c r="K375">
        <f>IFERROR(INDEX('Green_rooibos initial weight'!$C$5:$C$1749,MATCH(I375, 'Green_rooibos initial weight'!$A$5:$A$1749,0)),"")</f>
        <v>2.2370000000000001</v>
      </c>
      <c r="L375" s="195">
        <f t="shared" si="52"/>
        <v>1.9432</v>
      </c>
      <c r="M375" s="195">
        <f>AVERAGE(Ashed_controlls!$K$2:$K$11)</f>
        <v>5.5147656768714146</v>
      </c>
      <c r="N375" s="195">
        <f t="shared" si="48"/>
        <v>1.8360370733670348</v>
      </c>
      <c r="O375" s="195">
        <f t="shared" si="53"/>
        <v>1.9872000000000001</v>
      </c>
      <c r="P375" s="195">
        <f>AVERAGE(Ashed_controlls!$K$12:$K$14)</f>
        <v>2.2816647271287041</v>
      </c>
      <c r="Q375" s="195">
        <f t="shared" si="54"/>
        <v>1.9418587585424985</v>
      </c>
      <c r="R375" s="16">
        <f>IF('WetLitterbags placem_collection'!G82="N.A","",'WetLitterbags placem_collection'!G82)</f>
        <v>42818</v>
      </c>
      <c r="S375" s="195">
        <f>IF(IFERROR(INDEX('Both teabags AfterWet'!$C$3:$C$841,MATCH(H375,'Both teabags AfterWet'!$A$3:$A$841,0)),"")="N.A","",(IFERROR(INDEX('Both teabags AfterWet'!$C$3:$C$841,MATCH(H375,'Both teabags AfterWet'!$A$3:$A$841,0)),"")))</f>
        <v>1.0009999999999999</v>
      </c>
      <c r="T375" s="195">
        <f>IFERROR(INDEX('Both teabags AfterWet'!$C$3:$C$841,MATCH(I375,'Both teabags AfterWet'!$A$3:$A$841,0)),"")</f>
        <v>1.639</v>
      </c>
      <c r="U375" s="195">
        <f t="shared" si="55"/>
        <v>0.85039999999999982</v>
      </c>
      <c r="V375" s="195">
        <f t="shared" si="55"/>
        <v>1.4883999999999999</v>
      </c>
      <c r="W375" s="195">
        <f>IFERROR(INDEX('Ashed teabags wet'!$K$2:$K$821,MATCH(H375,'Ashed teabags wet'!$A$2:$A$821,0)),"")</f>
        <v>5.8354114713218834</v>
      </c>
      <c r="X375" s="195">
        <f>IFERROR(INDEX('Ashed teabags wet'!$K$2:$K$821,MATCH(I375,'Ashed teabags wet'!$A$2:$A$821,0)),"")</f>
        <v>10.359922178988159</v>
      </c>
      <c r="Y375" s="195">
        <f t="shared" si="49"/>
        <v>0.80077566084787855</v>
      </c>
      <c r="Z375" s="195">
        <f t="shared" si="49"/>
        <v>1.3342029182879402</v>
      </c>
      <c r="AA375" s="195">
        <f t="shared" si="56"/>
        <v>0.56385648608970174</v>
      </c>
      <c r="AB375" s="195">
        <f t="shared" si="57"/>
        <v>0.3696541333984743</v>
      </c>
      <c r="AC375" s="195">
        <f t="shared" si="50"/>
        <v>0.68707516054841877</v>
      </c>
      <c r="AD375">
        <f t="shared" si="51"/>
        <v>51</v>
      </c>
      <c r="AE375" s="195">
        <f t="shared" si="58"/>
        <v>0.33033671485783644</v>
      </c>
      <c r="AF375" s="195">
        <f t="shared" si="59"/>
        <v>3.6750530754018282E-2</v>
      </c>
      <c r="AG375" s="255" t="str">
        <f>IF(ISNUMBER(SEARCH("C",'WetLitterbags placem_collection'!AD302)),"YES","NO")</f>
        <v>NO</v>
      </c>
      <c r="AH375" s="255" t="str">
        <f>IF(ISNUMBER(SEARCH("H", 'WetLitterbags placem_collection'!AF82)),"YES","NO")</f>
        <v>NO</v>
      </c>
      <c r="AI375" s="255" t="str">
        <f>IF(ISNUMBER(SEARCH("R", 'WetLitterbags placem_collection'!XF82)),"YES","NO")</f>
        <v>NO</v>
      </c>
      <c r="AJ375" s="255" t="str">
        <f>IF(ISNUMBER(SEARCH("C", 'WetLitterbags placem_collection'!WE82)),"YES","NO")</f>
        <v>NO</v>
      </c>
      <c r="AK375" s="255" t="str">
        <f>IF(ISNUMBER(SEARCH("H", 'WetLitterbags placem_collection'!AE82)),"YES","NO")</f>
        <v>NO</v>
      </c>
      <c r="AL375" s="255" t="str">
        <f>IF(ISNUMBER(SEARCH("R", 'WetLitterbags placem_collection'!AE82)),"YES","NO")</f>
        <v>NO</v>
      </c>
    </row>
    <row r="376" spans="2:38">
      <c r="B376" t="str">
        <f>'Final data_for_R_analysis_Wetse'!A522</f>
        <v>Wet</v>
      </c>
      <c r="C376" s="263">
        <f>'Final data_for_R_analysis_Wetse'!B522</f>
        <v>81</v>
      </c>
      <c r="D376" t="s">
        <v>3839</v>
      </c>
      <c r="E376" t="s">
        <v>25</v>
      </c>
      <c r="F376" s="386">
        <v>1</v>
      </c>
      <c r="G376" s="16">
        <f>'WetLitterbags placem_collection'!E83</f>
        <v>42767</v>
      </c>
      <c r="H376" s="92" t="str">
        <f>'Final data_for_R_analysis_Wetse'!J522</f>
        <v>G475</v>
      </c>
      <c r="I376" t="str">
        <f>'Final data_for_R_analysis_Wetse'!J742</f>
        <v>R293</v>
      </c>
      <c r="J376">
        <f>IFERROR(INDEX('Green_rooibos initial weight'!$C$5:$C$1749,MATCH(H376, 'Green_rooibos initial weight'!$A$5:$A$1749,0)),"")</f>
        <v>2.0110000000000001</v>
      </c>
      <c r="K376">
        <f>IFERROR(INDEX('Green_rooibos initial weight'!$C$5:$C$1749,MATCH(I376, 'Green_rooibos initial weight'!$A$5:$A$1749,0)),"")</f>
        <v>2.165</v>
      </c>
      <c r="L376" s="195">
        <f t="shared" si="52"/>
        <v>1.7612000000000001</v>
      </c>
      <c r="M376" s="195">
        <f>AVERAGE(Ashed_controlls!$K$2:$K$11)</f>
        <v>5.5147656768714146</v>
      </c>
      <c r="N376" s="195">
        <f t="shared" si="48"/>
        <v>1.6640739468989407</v>
      </c>
      <c r="O376" s="195">
        <f t="shared" si="53"/>
        <v>1.9152</v>
      </c>
      <c r="P376" s="195">
        <f>AVERAGE(Ashed_controlls!$K$12:$K$14)</f>
        <v>2.2816647271287041</v>
      </c>
      <c r="Q376" s="195">
        <f t="shared" si="54"/>
        <v>1.8715015571460312</v>
      </c>
      <c r="R376" s="16">
        <f>IF('WetLitterbags placem_collection'!G83="N.A","",'WetLitterbags placem_collection'!G83)</f>
        <v>42818</v>
      </c>
      <c r="S376" s="195">
        <f>IF(IFERROR(INDEX('Both teabags AfterWet'!$C$3:$C$841,MATCH(H376,'Both teabags AfterWet'!$A$3:$A$841,0)),"")="N.A","",(IFERROR(INDEX('Both teabags AfterWet'!$C$3:$C$841,MATCH(H376,'Both teabags AfterWet'!$A$3:$A$841,0)),"")))</f>
        <v>0.65200000000000002</v>
      </c>
      <c r="T376" s="195">
        <f>IFERROR(INDEX('Both teabags AfterWet'!$C$3:$C$841,MATCH(I376,'Both teabags AfterWet'!$A$3:$A$841,0)),"")</f>
        <v>1.736</v>
      </c>
      <c r="U376" s="195">
        <f t="shared" si="55"/>
        <v>0.50140000000000007</v>
      </c>
      <c r="V376" s="195">
        <f t="shared" si="55"/>
        <v>1.5853999999999999</v>
      </c>
      <c r="W376" s="195">
        <f>IFERROR(INDEX('Ashed teabags wet'!$K$2:$K$821,MATCH(H376,'Ashed teabags wet'!$A$2:$A$821,0)),"")</f>
        <v>11.582626060908067</v>
      </c>
      <c r="X376" s="195">
        <f>IFERROR(INDEX('Ashed teabags wet'!$K$2:$K$821,MATCH(I376,'Ashed teabags wet'!$A$2:$A$821,0)),"")</f>
        <v>2.1037181996090717</v>
      </c>
      <c r="Y376" s="195">
        <f t="shared" si="49"/>
        <v>0.44332471293060699</v>
      </c>
      <c r="Z376" s="195">
        <f t="shared" si="49"/>
        <v>1.5520476516633976</v>
      </c>
      <c r="AA376" s="195">
        <f t="shared" si="56"/>
        <v>0.73359073750492998</v>
      </c>
      <c r="AB376" s="195">
        <f t="shared" si="57"/>
        <v>0.48092884454004914</v>
      </c>
      <c r="AC376" s="195">
        <f t="shared" si="50"/>
        <v>0.82930609688095125</v>
      </c>
      <c r="AD376">
        <f t="shared" si="51"/>
        <v>51</v>
      </c>
      <c r="AE376" s="195">
        <f t="shared" si="58"/>
        <v>0.12875209322454872</v>
      </c>
      <c r="AF376" s="195">
        <f t="shared" si="59"/>
        <v>8.5958713887327905E-3</v>
      </c>
      <c r="AG376" s="255" t="str">
        <f>IF(ISNUMBER(SEARCH("C",'WetLitterbags placem_collection'!AD303)),"YES","NO")</f>
        <v>NO</v>
      </c>
      <c r="AH376" s="255" t="str">
        <f>IF(ISNUMBER(SEARCH("H", 'WetLitterbags placem_collection'!AF83)),"YES","NO")</f>
        <v>NO</v>
      </c>
      <c r="AI376" s="255" t="str">
        <f>IF(ISNUMBER(SEARCH("R", 'WetLitterbags placem_collection'!XF83)),"YES","NO")</f>
        <v>NO</v>
      </c>
      <c r="AJ376" s="255" t="str">
        <f>IF(ISNUMBER(SEARCH("C", 'WetLitterbags placem_collection'!WE83)),"YES","NO")</f>
        <v>NO</v>
      </c>
      <c r="AK376" s="255" t="str">
        <f>IF(ISNUMBER(SEARCH("H", 'WetLitterbags placem_collection'!AE83)),"YES","NO")</f>
        <v>NO</v>
      </c>
      <c r="AL376" s="255" t="str">
        <f>IF(ISNUMBER(SEARCH("R", 'WetLitterbags placem_collection'!AE83)),"YES","NO")</f>
        <v>NO</v>
      </c>
    </row>
    <row r="377" spans="2:38">
      <c r="B377" t="str">
        <f>'Final data_for_R_analysis_Wetse'!A523</f>
        <v>Wet</v>
      </c>
      <c r="C377" s="263">
        <f>'Final data_for_R_analysis_Wetse'!B523</f>
        <v>82</v>
      </c>
      <c r="D377" t="s">
        <v>3839</v>
      </c>
      <c r="E377" t="s">
        <v>25</v>
      </c>
      <c r="F377" s="386">
        <v>2</v>
      </c>
      <c r="G377" s="16">
        <f>'WetLitterbags placem_collection'!E84</f>
        <v>42767</v>
      </c>
      <c r="H377" s="92" t="str">
        <f>'Final data_for_R_analysis_Wetse'!J523</f>
        <v>G840</v>
      </c>
      <c r="I377" t="str">
        <f>'Final data_for_R_analysis_Wetse'!J743</f>
        <v>R368</v>
      </c>
      <c r="J377">
        <f>IFERROR(INDEX('Green_rooibos initial weight'!$C$5:$C$1749,MATCH(H377, 'Green_rooibos initial weight'!$A$5:$A$1749,0)),"")</f>
        <v>2.056</v>
      </c>
      <c r="K377">
        <f>IFERROR(INDEX('Green_rooibos initial weight'!$C$5:$C$1749,MATCH(I377, 'Green_rooibos initial weight'!$A$5:$A$1749,0)),"")</f>
        <v>2.2549999999999999</v>
      </c>
      <c r="L377" s="195">
        <f t="shared" si="52"/>
        <v>1.8062</v>
      </c>
      <c r="M377" s="195">
        <f>AVERAGE(Ashed_controlls!$K$2:$K$11)</f>
        <v>5.5147656768714146</v>
      </c>
      <c r="N377" s="195">
        <f t="shared" si="48"/>
        <v>1.7065923023443486</v>
      </c>
      <c r="O377" s="195">
        <f t="shared" si="53"/>
        <v>2.0051999999999999</v>
      </c>
      <c r="P377" s="195">
        <f>AVERAGE(Ashed_controlls!$K$12:$K$14)</f>
        <v>2.2816647271287041</v>
      </c>
      <c r="Q377" s="195">
        <f t="shared" si="54"/>
        <v>1.959448058891615</v>
      </c>
      <c r="R377" s="16">
        <f>IF('WetLitterbags placem_collection'!G84="N.A","",'WetLitterbags placem_collection'!G84)</f>
        <v>42819</v>
      </c>
      <c r="S377" s="195">
        <f>IF(IFERROR(INDEX('Both teabags AfterWet'!$C$3:$C$841,MATCH(H377,'Both teabags AfterWet'!$A$3:$A$841,0)),"")="N.A","",(IFERROR(INDEX('Both teabags AfterWet'!$C$3:$C$841,MATCH(H377,'Both teabags AfterWet'!$A$3:$A$841,0)),"")))</f>
        <v>0.74299999999999999</v>
      </c>
      <c r="T377" s="195">
        <f>IFERROR(INDEX('Both teabags AfterWet'!$C$3:$C$841,MATCH(I377,'Both teabags AfterWet'!$A$3:$A$841,0)),"")</f>
        <v>1.704</v>
      </c>
      <c r="U377" s="195">
        <f t="shared" si="55"/>
        <v>0.59240000000000004</v>
      </c>
      <c r="V377" s="195">
        <f t="shared" si="55"/>
        <v>1.5533999999999999</v>
      </c>
      <c r="W377" s="195">
        <f>IFERROR(INDEX('Ashed teabags wet'!$K$2:$K$821,MATCH(H377,'Ashed teabags wet'!$A$2:$A$821,0)),"")</f>
        <v>8.3909180651525794</v>
      </c>
      <c r="X377" s="195">
        <f>IFERROR(INDEX('Ashed teabags wet'!$K$2:$K$821,MATCH(I377,'Ashed teabags wet'!$A$2:$A$821,0)),"")</f>
        <v>4.0756914119362859</v>
      </c>
      <c r="Y377" s="195">
        <f t="shared" si="49"/>
        <v>0.54269220138203611</v>
      </c>
      <c r="Z377" s="195">
        <f t="shared" si="49"/>
        <v>1.4900882096069816</v>
      </c>
      <c r="AA377" s="195">
        <f t="shared" si="56"/>
        <v>0.68200243219394641</v>
      </c>
      <c r="AB377" s="195">
        <f t="shared" si="57"/>
        <v>0.44710848286348986</v>
      </c>
      <c r="AC377" s="195">
        <f t="shared" si="50"/>
        <v>0.7604632349631496</v>
      </c>
      <c r="AD377">
        <f t="shared" si="51"/>
        <v>52</v>
      </c>
      <c r="AE377" s="195">
        <f t="shared" si="58"/>
        <v>0.1900208643777358</v>
      </c>
      <c r="AF377" s="195">
        <f t="shared" si="59"/>
        <v>1.4756237463525721E-2</v>
      </c>
      <c r="AG377" s="255" t="str">
        <f>IF(ISNUMBER(SEARCH("C",'WetLitterbags placem_collection'!AD304)),"YES","NO")</f>
        <v>NO</v>
      </c>
      <c r="AH377" s="255" t="str">
        <f>IF(ISNUMBER(SEARCH("H", 'WetLitterbags placem_collection'!AF84)),"YES","NO")</f>
        <v>NO</v>
      </c>
      <c r="AI377" s="255" t="str">
        <f>IF(ISNUMBER(SEARCH("R", 'WetLitterbags placem_collection'!XF84)),"YES","NO")</f>
        <v>NO</v>
      </c>
      <c r="AJ377" s="255" t="str">
        <f>IF(ISNUMBER(SEARCH("C", 'WetLitterbags placem_collection'!WE84)),"YES","NO")</f>
        <v>NO</v>
      </c>
      <c r="AK377" s="255" t="str">
        <f>IF(ISNUMBER(SEARCH("H", 'WetLitterbags placem_collection'!AE84)),"YES","NO")</f>
        <v>NO</v>
      </c>
      <c r="AL377" s="255" t="str">
        <f>IF(ISNUMBER(SEARCH("R", 'WetLitterbags placem_collection'!AE84)),"YES","NO")</f>
        <v>NO</v>
      </c>
    </row>
    <row r="378" spans="2:38">
      <c r="B378" t="str">
        <f>'Final data_for_R_analysis_Wetse'!A524</f>
        <v>Wet</v>
      </c>
      <c r="C378" s="263">
        <f>'Final data_for_R_analysis_Wetse'!B524</f>
        <v>83</v>
      </c>
      <c r="D378" t="s">
        <v>3839</v>
      </c>
      <c r="E378" t="s">
        <v>25</v>
      </c>
      <c r="F378" s="386">
        <v>3</v>
      </c>
      <c r="G378" s="16">
        <f>'WetLitterbags placem_collection'!E85</f>
        <v>42767</v>
      </c>
      <c r="H378" s="92" t="str">
        <f>'Final data_for_R_analysis_Wetse'!J524</f>
        <v>G298</v>
      </c>
      <c r="I378" t="str">
        <f>'Final data_for_R_analysis_Wetse'!J744</f>
        <v>R22</v>
      </c>
      <c r="J378">
        <f>IFERROR(INDEX('Green_rooibos initial weight'!$C$5:$C$1749,MATCH(H378, 'Green_rooibos initial weight'!$A$5:$A$1749,0)),"")</f>
        <v>2.0550000000000002</v>
      </c>
      <c r="K378">
        <f>IFERROR(INDEX('Green_rooibos initial weight'!$C$5:$C$1749,MATCH(I378, 'Green_rooibos initial weight'!$A$5:$A$1749,0)),"")</f>
        <v>2.0590000000000002</v>
      </c>
      <c r="L378" s="195">
        <f t="shared" si="52"/>
        <v>1.8052000000000001</v>
      </c>
      <c r="M378" s="195">
        <f>AVERAGE(Ashed_controlls!$K$2:$K$11)</f>
        <v>5.5147656768714146</v>
      </c>
      <c r="N378" s="195">
        <f t="shared" si="48"/>
        <v>1.7056474500011174</v>
      </c>
      <c r="O378" s="195">
        <f t="shared" si="53"/>
        <v>1.8092000000000001</v>
      </c>
      <c r="P378" s="195">
        <f>AVERAGE(Ashed_controlls!$K$12:$K$14)</f>
        <v>2.2816647271287041</v>
      </c>
      <c r="Q378" s="195">
        <f t="shared" si="54"/>
        <v>1.7679201217567877</v>
      </c>
      <c r="R378" s="16">
        <f>IF('WetLitterbags placem_collection'!G85="N.A","",'WetLitterbags placem_collection'!G85)</f>
        <v>42819</v>
      </c>
      <c r="S378" s="195">
        <f>IF(IFERROR(INDEX('Both teabags AfterWet'!$C$3:$C$841,MATCH(H378,'Both teabags AfterWet'!$A$3:$A$841,0)),"")="N.A","",(IFERROR(INDEX('Both teabags AfterWet'!$C$3:$C$841,MATCH(H378,'Both teabags AfterWet'!$A$3:$A$841,0)),"")))</f>
        <v>0.88800000000000001</v>
      </c>
      <c r="T378" s="195">
        <f>IFERROR(INDEX('Both teabags AfterWet'!$C$3:$C$841,MATCH(I378,'Both teabags AfterWet'!$A$3:$A$841,0)),"")</f>
        <v>1.637</v>
      </c>
      <c r="U378" s="195">
        <f t="shared" si="55"/>
        <v>0.73740000000000006</v>
      </c>
      <c r="V378" s="195">
        <f t="shared" si="55"/>
        <v>1.4863999999999999</v>
      </c>
      <c r="W378" s="195">
        <f>IFERROR(INDEX('Ashed teabags wet'!$K$2:$K$821,MATCH(H378,'Ashed teabags wet'!$A$2:$A$821,0)),"")</f>
        <v>14.849074975657658</v>
      </c>
      <c r="X378" s="195">
        <f>IFERROR(INDEX('Ashed teabags wet'!$K$2:$K$821,MATCH(I378,'Ashed teabags wet'!$A$2:$A$821,0)),"")</f>
        <v>7.3339940535177606</v>
      </c>
      <c r="Y378" s="195">
        <f t="shared" si="49"/>
        <v>0.62790292112950041</v>
      </c>
      <c r="Z378" s="195">
        <f t="shared" si="49"/>
        <v>1.377387512388512</v>
      </c>
      <c r="AA378" s="195">
        <f t="shared" si="56"/>
        <v>0.6318682848972752</v>
      </c>
      <c r="AB378" s="195">
        <f t="shared" si="57"/>
        <v>0.41424144093028026</v>
      </c>
      <c r="AC378" s="195">
        <f t="shared" si="50"/>
        <v>0.77910053482495445</v>
      </c>
      <c r="AD378">
        <f t="shared" si="51"/>
        <v>52</v>
      </c>
      <c r="AE378" s="195">
        <f t="shared" si="58"/>
        <v>0.24956260701036193</v>
      </c>
      <c r="AF378" s="195">
        <f t="shared" si="59"/>
        <v>1.4653624585251792E-2</v>
      </c>
      <c r="AG378" s="255" t="str">
        <f>IF(ISNUMBER(SEARCH("C",'WetLitterbags placem_collection'!AD305)),"YES","NO")</f>
        <v>NO</v>
      </c>
      <c r="AH378" s="255" t="str">
        <f>IF(ISNUMBER(SEARCH("H", 'WetLitterbags placem_collection'!AF85)),"YES","NO")</f>
        <v>NO</v>
      </c>
      <c r="AI378" s="255" t="str">
        <f>IF(ISNUMBER(SEARCH("R", 'WetLitterbags placem_collection'!XF85)),"YES","NO")</f>
        <v>NO</v>
      </c>
      <c r="AJ378" s="255" t="str">
        <f>IF(ISNUMBER(SEARCH("C", 'WetLitterbags placem_collection'!WE85)),"YES","NO")</f>
        <v>NO</v>
      </c>
      <c r="AK378" s="255" t="str">
        <f>IF(ISNUMBER(SEARCH("H", 'WetLitterbags placem_collection'!AE85)),"YES","NO")</f>
        <v>NO</v>
      </c>
      <c r="AL378" s="255" t="str">
        <f>IF(ISNUMBER(SEARCH("R", 'WetLitterbags placem_collection'!AE85)),"YES","NO")</f>
        <v>NO</v>
      </c>
    </row>
    <row r="379" spans="2:38">
      <c r="B379" t="str">
        <f>'Final data_for_R_analysis_Wetse'!A525</f>
        <v>Wet</v>
      </c>
      <c r="C379" s="263">
        <f>'Final data_for_R_analysis_Wetse'!B525</f>
        <v>84</v>
      </c>
      <c r="D379" t="s">
        <v>3839</v>
      </c>
      <c r="E379" t="s">
        <v>25</v>
      </c>
      <c r="F379" s="387">
        <v>4</v>
      </c>
      <c r="G379" s="16">
        <f>'WetLitterbags placem_collection'!E86</f>
        <v>42767</v>
      </c>
      <c r="H379" s="92" t="str">
        <f>'Final data_for_R_analysis_Wetse'!J525</f>
        <v>G520</v>
      </c>
      <c r="I379" t="str">
        <f>'Final data_for_R_analysis_Wetse'!J745</f>
        <v>R417</v>
      </c>
      <c r="J379">
        <f>IFERROR(INDEX('Green_rooibos initial weight'!$C$5:$C$1749,MATCH(H379, 'Green_rooibos initial weight'!$A$5:$A$1749,0)),"")</f>
        <v>1.929</v>
      </c>
      <c r="K379">
        <f>IFERROR(INDEX('Green_rooibos initial weight'!$C$5:$C$1749,MATCH(I379, 'Green_rooibos initial weight'!$A$5:$A$1749,0)),"")</f>
        <v>2.2269999999999999</v>
      </c>
      <c r="L379" s="195">
        <f t="shared" si="52"/>
        <v>1.6792</v>
      </c>
      <c r="M379" s="195">
        <f>AVERAGE(Ashed_controlls!$K$2:$K$11)</f>
        <v>5.5147656768714146</v>
      </c>
      <c r="N379" s="195">
        <f t="shared" si="48"/>
        <v>1.5865960547539752</v>
      </c>
      <c r="O379" s="195">
        <f t="shared" si="53"/>
        <v>1.9771999999999998</v>
      </c>
      <c r="P379" s="195">
        <f>AVERAGE(Ashed_controlls!$K$12:$K$14)</f>
        <v>2.2816647271287041</v>
      </c>
      <c r="Q379" s="195">
        <f t="shared" si="54"/>
        <v>1.9320869250152111</v>
      </c>
      <c r="R379" s="16">
        <f>IF('WetLitterbags placem_collection'!G86="N.A","",'WetLitterbags placem_collection'!G86)</f>
        <v>42819</v>
      </c>
      <c r="S379" s="195">
        <f>IF(IFERROR(INDEX('Both teabags AfterWet'!$C$3:$C$841,MATCH(H379,'Both teabags AfterWet'!$A$3:$A$841,0)),"")="N.A","",(IFERROR(INDEX('Both teabags AfterWet'!$C$3:$C$841,MATCH(H379,'Both teabags AfterWet'!$A$3:$A$841,0)),"")))</f>
        <v>0.81299999999999994</v>
      </c>
      <c r="T379" s="195">
        <f>IFERROR(INDEX('Both teabags AfterWet'!$C$3:$C$841,MATCH(I379,'Both teabags AfterWet'!$A$3:$A$841,0)),"")</f>
        <v>1.5820000000000001</v>
      </c>
      <c r="U379" s="195">
        <f t="shared" si="55"/>
        <v>0.66239999999999988</v>
      </c>
      <c r="V379" s="195">
        <f t="shared" si="55"/>
        <v>1.4314</v>
      </c>
      <c r="W379" s="195">
        <f>IFERROR(INDEX('Ashed teabags wet'!$K$2:$K$821,MATCH(H379,'Ashed teabags wet'!$A$2:$A$821,0)),"")</f>
        <v>10.723192019949995</v>
      </c>
      <c r="X379" s="195">
        <f>IFERROR(INDEX('Ashed teabags wet'!$K$2:$K$821,MATCH(I379,'Ashed teabags wet'!$A$2:$A$821,0)),"")</f>
        <v>7.3412698412690327</v>
      </c>
      <c r="Y379" s="195">
        <f t="shared" si="49"/>
        <v>0.59136957605985108</v>
      </c>
      <c r="Z379" s="195">
        <f t="shared" si="49"/>
        <v>1.3263170634920751</v>
      </c>
      <c r="AA379" s="195">
        <f t="shared" si="56"/>
        <v>0.62727149466437349</v>
      </c>
      <c r="AB379" s="195">
        <f t="shared" si="57"/>
        <v>0.41122786823602636</v>
      </c>
      <c r="AC379" s="195">
        <f t="shared" si="50"/>
        <v>0.68646862950104237</v>
      </c>
      <c r="AD379">
        <f t="shared" si="51"/>
        <v>52</v>
      </c>
      <c r="AE379" s="195">
        <f t="shared" si="58"/>
        <v>0.25502197783328562</v>
      </c>
      <c r="AF379" s="195">
        <f t="shared" si="59"/>
        <v>2.7640034105744286E-2</v>
      </c>
      <c r="AG379" s="255" t="str">
        <f>IF(ISNUMBER(SEARCH("C",'WetLitterbags placem_collection'!AD306)),"YES","NO")</f>
        <v>NO</v>
      </c>
      <c r="AH379" s="255" t="str">
        <f>IF(ISNUMBER(SEARCH("H", 'WetLitterbags placem_collection'!AF86)),"YES","NO")</f>
        <v>NO</v>
      </c>
      <c r="AI379" s="255" t="str">
        <f>IF(ISNUMBER(SEARCH("R", 'WetLitterbags placem_collection'!XF86)),"YES","NO")</f>
        <v>NO</v>
      </c>
      <c r="AJ379" s="255" t="str">
        <f>IF(ISNUMBER(SEARCH("C", 'WetLitterbags placem_collection'!WE86)),"YES","NO")</f>
        <v>NO</v>
      </c>
      <c r="AK379" s="255" t="str">
        <f>IF(ISNUMBER(SEARCH("H", 'WetLitterbags placem_collection'!AE86)),"YES","NO")</f>
        <v>NO</v>
      </c>
      <c r="AL379" s="255" t="str">
        <f>IF(ISNUMBER(SEARCH("R", 'WetLitterbags placem_collection'!AE86)),"YES","NO")</f>
        <v>NO</v>
      </c>
    </row>
    <row r="380" spans="2:38">
      <c r="B380" t="str">
        <f>'Final data_for_R_analysis_Wetse'!A526</f>
        <v>Wet</v>
      </c>
      <c r="C380" s="263">
        <f>'Final data_for_R_analysis_Wetse'!B526</f>
        <v>85</v>
      </c>
      <c r="D380" t="s">
        <v>3839</v>
      </c>
      <c r="E380" t="s">
        <v>25</v>
      </c>
      <c r="F380" s="387">
        <v>5</v>
      </c>
      <c r="G380" s="16">
        <f>'WetLitterbags placem_collection'!E87</f>
        <v>42767</v>
      </c>
      <c r="H380" s="92" t="str">
        <f>'Final data_for_R_analysis_Wetse'!J526</f>
        <v>G441</v>
      </c>
      <c r="I380" t="str">
        <f>'Final data_for_R_analysis_Wetse'!J746</f>
        <v>R391</v>
      </c>
      <c r="J380">
        <f>IFERROR(INDEX('Green_rooibos initial weight'!$C$5:$C$1749,MATCH(H380, 'Green_rooibos initial weight'!$A$5:$A$1749,0)),"")</f>
        <v>2.1040000000000001</v>
      </c>
      <c r="K380">
        <f>IFERROR(INDEX('Green_rooibos initial weight'!$C$5:$C$1749,MATCH(I380, 'Green_rooibos initial weight'!$A$5:$A$1749,0)),"")</f>
        <v>2.1960000000000002</v>
      </c>
      <c r="L380" s="195">
        <f t="shared" si="52"/>
        <v>1.8542000000000001</v>
      </c>
      <c r="M380" s="195">
        <f>AVERAGE(Ashed_controlls!$K$2:$K$11)</f>
        <v>5.5147656768714146</v>
      </c>
      <c r="N380" s="195">
        <f t="shared" si="48"/>
        <v>1.7519452148194503</v>
      </c>
      <c r="O380" s="195">
        <f t="shared" si="53"/>
        <v>1.9462000000000002</v>
      </c>
      <c r="P380" s="195">
        <f>AVERAGE(Ashed_controlls!$K$12:$K$14)</f>
        <v>2.2816647271287041</v>
      </c>
      <c r="Q380" s="195">
        <f t="shared" si="54"/>
        <v>1.9017942410806212</v>
      </c>
      <c r="R380" s="16">
        <f>IF('WetLitterbags placem_collection'!G87="N.A","",'WetLitterbags placem_collection'!G87)</f>
        <v>42819</v>
      </c>
      <c r="S380" s="195">
        <f>IF(IFERROR(INDEX('Both teabags AfterWet'!$C$3:$C$841,MATCH(H380,'Both teabags AfterWet'!$A$3:$A$841,0)),"")="N.A","",(IFERROR(INDEX('Both teabags AfterWet'!$C$3:$C$841,MATCH(H380,'Both teabags AfterWet'!$A$3:$A$841,0)),"")))</f>
        <v>0.96599999999999997</v>
      </c>
      <c r="T380" s="195">
        <f>IFERROR(INDEX('Both teabags AfterWet'!$C$3:$C$841,MATCH(I380,'Both teabags AfterWet'!$A$3:$A$841,0)),"")</f>
        <v>1.6220000000000001</v>
      </c>
      <c r="U380" s="195">
        <f t="shared" si="55"/>
        <v>0.8153999999999999</v>
      </c>
      <c r="V380" s="195">
        <f t="shared" si="55"/>
        <v>1.4714</v>
      </c>
      <c r="W380" s="195">
        <f>IFERROR(INDEX('Ashed teabags wet'!$K$2:$K$821,MATCH(H380,'Ashed teabags wet'!$A$2:$A$821,0)),"")</f>
        <v>11.595639246779045</v>
      </c>
      <c r="X380" s="195">
        <f>IFERROR(INDEX('Ashed teabags wet'!$K$2:$K$821,MATCH(I380,'Ashed teabags wet'!$A$2:$A$821,0)),"")</f>
        <v>3.6463536463541599</v>
      </c>
      <c r="Y380" s="195">
        <f t="shared" si="49"/>
        <v>0.7208491575817636</v>
      </c>
      <c r="Z380" s="195">
        <f t="shared" si="49"/>
        <v>1.4177475524475449</v>
      </c>
      <c r="AA380" s="195">
        <f t="shared" si="56"/>
        <v>0.58854355062920627</v>
      </c>
      <c r="AB380" s="195">
        <f t="shared" si="57"/>
        <v>0.38583852725335138</v>
      </c>
      <c r="AC380" s="195">
        <f t="shared" si="50"/>
        <v>0.74547893869000492</v>
      </c>
      <c r="AD380">
        <f t="shared" si="51"/>
        <v>52</v>
      </c>
      <c r="AE380" s="195">
        <f t="shared" si="58"/>
        <v>0.30101716077291418</v>
      </c>
      <c r="AF380" s="195">
        <f t="shared" si="59"/>
        <v>2.0726945444708399E-2</v>
      </c>
      <c r="AG380" s="255" t="str">
        <f>IF(ISNUMBER(SEARCH("C",'WetLitterbags placem_collection'!AD307)),"YES","NO")</f>
        <v>NO</v>
      </c>
      <c r="AH380" s="255" t="str">
        <f>IF(ISNUMBER(SEARCH("H", 'WetLitterbags placem_collection'!AF87)),"YES","NO")</f>
        <v>NO</v>
      </c>
      <c r="AI380" s="255" t="str">
        <f>IF(ISNUMBER(SEARCH("R", 'WetLitterbags placem_collection'!XF87)),"YES","NO")</f>
        <v>NO</v>
      </c>
      <c r="AJ380" s="255" t="str">
        <f>IF(ISNUMBER(SEARCH("C", 'WetLitterbags placem_collection'!WE87)),"YES","NO")</f>
        <v>NO</v>
      </c>
      <c r="AK380" s="255" t="str">
        <f>IF(ISNUMBER(SEARCH("H", 'WetLitterbags placem_collection'!AE87)),"YES","NO")</f>
        <v>NO</v>
      </c>
      <c r="AL380" s="255" t="str">
        <f>IF(ISNUMBER(SEARCH("R", 'WetLitterbags placem_collection'!AE87)),"YES","NO")</f>
        <v>NO</v>
      </c>
    </row>
    <row r="381" spans="2:38">
      <c r="B381" t="str">
        <f>'Final data_for_R_analysis_Wetse'!A527</f>
        <v>Wet</v>
      </c>
      <c r="C381" s="263">
        <f>'Final data_for_R_analysis_Wetse'!B527</f>
        <v>86</v>
      </c>
      <c r="D381" t="s">
        <v>3839</v>
      </c>
      <c r="E381" t="s">
        <v>25</v>
      </c>
      <c r="F381" s="387">
        <v>6</v>
      </c>
      <c r="G381" s="16">
        <f>'WetLitterbags placem_collection'!E88</f>
        <v>42767</v>
      </c>
      <c r="H381" s="92" t="str">
        <f>'Final data_for_R_analysis_Wetse'!J527</f>
        <v>G561</v>
      </c>
      <c r="I381" t="str">
        <f>'Final data_for_R_analysis_Wetse'!J747</f>
        <v>R62</v>
      </c>
      <c r="J381">
        <f>IFERROR(INDEX('Green_rooibos initial weight'!$C$5:$C$1749,MATCH(H381, 'Green_rooibos initial weight'!$A$5:$A$1749,0)),"")</f>
        <v>2.1259999999999999</v>
      </c>
      <c r="K381">
        <f>IFERROR(INDEX('Green_rooibos initial weight'!$C$5:$C$1749,MATCH(I381, 'Green_rooibos initial weight'!$A$5:$A$1749,0)),"")</f>
        <v>2.3660000000000001</v>
      </c>
      <c r="L381" s="195">
        <f t="shared" si="52"/>
        <v>1.8761999999999999</v>
      </c>
      <c r="M381" s="195">
        <f>AVERAGE(Ashed_controlls!$K$2:$K$11)</f>
        <v>5.5147656768714146</v>
      </c>
      <c r="N381" s="195">
        <f t="shared" si="48"/>
        <v>1.7727319663705383</v>
      </c>
      <c r="O381" s="195">
        <f t="shared" si="53"/>
        <v>2.1162000000000001</v>
      </c>
      <c r="P381" s="195">
        <f>AVERAGE(Ashed_controlls!$K$12:$K$14)</f>
        <v>2.2816647271287041</v>
      </c>
      <c r="Q381" s="195">
        <f t="shared" si="54"/>
        <v>2.0679154110445026</v>
      </c>
      <c r="R381" s="16">
        <f>IF('WetLitterbags placem_collection'!G88="N.A","",'WetLitterbags placem_collection'!G88)</f>
        <v>42819</v>
      </c>
      <c r="S381" s="195">
        <f>IF(IFERROR(INDEX('Both teabags AfterWet'!$C$3:$C$841,MATCH(H381,'Both teabags AfterWet'!$A$3:$A$841,0)),"")="N.A","",(IFERROR(INDEX('Both teabags AfterWet'!$C$3:$C$841,MATCH(H381,'Both teabags AfterWet'!$A$3:$A$841,0)),"")))</f>
        <v>0.74650000000000005</v>
      </c>
      <c r="T381" s="195">
        <f>IFERROR(INDEX('Both teabags AfterWet'!$C$3:$C$841,MATCH(I381,'Both teabags AfterWet'!$A$3:$A$841,0)),"")</f>
        <v>1.6786000000000001</v>
      </c>
      <c r="U381" s="195">
        <f t="shared" si="55"/>
        <v>0.5959000000000001</v>
      </c>
      <c r="V381" s="195">
        <f t="shared" si="55"/>
        <v>1.528</v>
      </c>
      <c r="W381" s="195">
        <f>IFERROR(INDEX('Ashed teabags wet'!$K$2:$K$821,MATCH(H381,'Ashed teabags wet'!$A$2:$A$821,0)),"")</f>
        <v>8.6978131212732563</v>
      </c>
      <c r="X381" s="195">
        <f>IFERROR(INDEX('Ashed teabags wet'!$K$2:$K$821,MATCH(I381,'Ashed teabags wet'!$A$2:$A$821,0)),"")</f>
        <v>28.338278931750832</v>
      </c>
      <c r="Y381" s="195">
        <f t="shared" si="49"/>
        <v>0.54406973161033279</v>
      </c>
      <c r="Z381" s="195">
        <f t="shared" si="49"/>
        <v>1.0949910979228474</v>
      </c>
      <c r="AA381" s="195">
        <f t="shared" si="56"/>
        <v>0.69308968195330056</v>
      </c>
      <c r="AB381" s="195">
        <f t="shared" si="57"/>
        <v>0.45437708365584556</v>
      </c>
      <c r="AC381" s="195">
        <f t="shared" si="50"/>
        <v>0.52951445309349876</v>
      </c>
      <c r="AD381">
        <f t="shared" si="51"/>
        <v>52</v>
      </c>
      <c r="AE381" s="195">
        <f t="shared" si="58"/>
        <v>0.17685310931912046</v>
      </c>
      <c r="AF381" s="195" t="str">
        <f t="shared" si="59"/>
        <v/>
      </c>
      <c r="AG381" s="255" t="str">
        <f>IF(ISNUMBER(SEARCH("C",'WetLitterbags placem_collection'!AD308)),"YES","NO")</f>
        <v>NO</v>
      </c>
      <c r="AH381" s="255" t="str">
        <f>IF(ISNUMBER(SEARCH("H", 'WetLitterbags placem_collection'!AF88)),"YES","NO")</f>
        <v>NO</v>
      </c>
      <c r="AI381" s="255" t="str">
        <f>IF(ISNUMBER(SEARCH("R", 'WetLitterbags placem_collection'!XF88)),"YES","NO")</f>
        <v>NO</v>
      </c>
      <c r="AJ381" s="255" t="str">
        <f>IF(ISNUMBER(SEARCH("C", 'WetLitterbags placem_collection'!WE88)),"YES","NO")</f>
        <v>NO</v>
      </c>
      <c r="AK381" s="255" t="str">
        <f>IF(ISNUMBER(SEARCH("H", 'WetLitterbags placem_collection'!AE88)),"YES","NO")</f>
        <v>NO</v>
      </c>
      <c r="AL381" s="255" t="str">
        <f>IF(ISNUMBER(SEARCH("R", 'WetLitterbags placem_collection'!AE88)),"YES","NO")</f>
        <v>NO</v>
      </c>
    </row>
    <row r="382" spans="2:38">
      <c r="B382" t="str">
        <f>'Final data_for_R_analysis_Wetse'!A528</f>
        <v>Wet</v>
      </c>
      <c r="C382" s="263">
        <f>'Final data_for_R_analysis_Wetse'!B528</f>
        <v>87</v>
      </c>
      <c r="D382" t="s">
        <v>3839</v>
      </c>
      <c r="E382" t="s">
        <v>25</v>
      </c>
      <c r="F382" s="387">
        <v>7</v>
      </c>
      <c r="G382" s="16">
        <f>'WetLitterbags placem_collection'!E89</f>
        <v>42767</v>
      </c>
      <c r="H382" s="92" t="str">
        <f>'Final data_for_R_analysis_Wetse'!J528</f>
        <v>G632</v>
      </c>
      <c r="I382" t="str">
        <f>'Final data_for_R_analysis_Wetse'!J748</f>
        <v>R329</v>
      </c>
      <c r="J382">
        <f>IFERROR(INDEX('Green_rooibos initial weight'!$C$5:$C$1749,MATCH(H382, 'Green_rooibos initial weight'!$A$5:$A$1749,0)),"")</f>
        <v>2.0779999999999998</v>
      </c>
      <c r="K382">
        <f>IFERROR(INDEX('Green_rooibos initial weight'!$C$5:$C$1749,MATCH(I382, 'Green_rooibos initial weight'!$A$5:$A$1749,0)),"")</f>
        <v>2.2120000000000002</v>
      </c>
      <c r="L382" s="195">
        <f t="shared" si="52"/>
        <v>1.8281999999999998</v>
      </c>
      <c r="M382" s="195">
        <f>AVERAGE(Ashed_controlls!$K$2:$K$11)</f>
        <v>5.5147656768714146</v>
      </c>
      <c r="N382" s="195">
        <f t="shared" si="48"/>
        <v>1.7273790538954366</v>
      </c>
      <c r="O382" s="195">
        <f t="shared" si="53"/>
        <v>1.9622000000000002</v>
      </c>
      <c r="P382" s="195">
        <f>AVERAGE(Ashed_controlls!$K$12:$K$14)</f>
        <v>2.2816647271287041</v>
      </c>
      <c r="Q382" s="195">
        <f t="shared" si="54"/>
        <v>1.9174291747242806</v>
      </c>
      <c r="R382" s="16">
        <f>IF('WetLitterbags placem_collection'!G89="N.A","",'WetLitterbags placem_collection'!G89)</f>
        <v>42819</v>
      </c>
      <c r="S382" s="195">
        <f>IF(IFERROR(INDEX('Both teabags AfterWet'!$C$3:$C$841,MATCH(H382,'Both teabags AfterWet'!$A$3:$A$841,0)),"")="N.A","",(IFERROR(INDEX('Both teabags AfterWet'!$C$3:$C$841,MATCH(H382,'Both teabags AfterWet'!$A$3:$A$841,0)),"")))</f>
        <v>0.81640000000000001</v>
      </c>
      <c r="T382" s="195">
        <f>IFERROR(INDEX('Both teabags AfterWet'!$C$3:$C$841,MATCH(I382,'Both teabags AfterWet'!$A$3:$A$841,0)),"")</f>
        <v>1.7085999999999999</v>
      </c>
      <c r="U382" s="195">
        <f t="shared" si="55"/>
        <v>0.66579999999999995</v>
      </c>
      <c r="V382" s="195">
        <f t="shared" si="55"/>
        <v>1.5579999999999998</v>
      </c>
      <c r="W382" s="195">
        <f>IFERROR(INDEX('Ashed teabags wet'!$K$2:$K$821,MATCH(H382,'Ashed teabags wet'!$A$2:$A$821,0)),"")</f>
        <v>14.564493098524098</v>
      </c>
      <c r="X382" s="195">
        <f>IFERROR(INDEX('Ashed teabags wet'!$K$2:$K$821,MATCH(I382,'Ashed teabags wet'!$A$2:$A$821,0)),"")</f>
        <v>5.7663873829462604</v>
      </c>
      <c r="Y382" s="195">
        <f t="shared" si="49"/>
        <v>0.56882960495002655</v>
      </c>
      <c r="Z382" s="195">
        <f t="shared" si="49"/>
        <v>1.4681596845736971</v>
      </c>
      <c r="AA382" s="195">
        <f t="shared" si="56"/>
        <v>0.67069786815623877</v>
      </c>
      <c r="AB382" s="195">
        <f t="shared" si="57"/>
        <v>0.43969741475325874</v>
      </c>
      <c r="AC382" s="195">
        <f t="shared" si="50"/>
        <v>0.76569174180048294</v>
      </c>
      <c r="AD382">
        <f t="shared" si="51"/>
        <v>52</v>
      </c>
      <c r="AE382" s="195">
        <f t="shared" si="58"/>
        <v>0.20344671240351686</v>
      </c>
      <c r="AF382" s="195">
        <f t="shared" si="59"/>
        <v>1.4638082545197958E-2</v>
      </c>
      <c r="AG382" s="255" t="str">
        <f>IF(ISNUMBER(SEARCH("C",'WetLitterbags placem_collection'!AD309)),"YES","NO")</f>
        <v>NO</v>
      </c>
      <c r="AH382" s="255" t="str">
        <f>IF(ISNUMBER(SEARCH("H", 'WetLitterbags placem_collection'!AF89)),"YES","NO")</f>
        <v>NO</v>
      </c>
      <c r="AI382" s="255" t="str">
        <f>IF(ISNUMBER(SEARCH("R", 'WetLitterbags placem_collection'!XF89)),"YES","NO")</f>
        <v>NO</v>
      </c>
      <c r="AJ382" s="255" t="str">
        <f>IF(ISNUMBER(SEARCH("C", 'WetLitterbags placem_collection'!WE89)),"YES","NO")</f>
        <v>NO</v>
      </c>
      <c r="AK382" s="255" t="str">
        <f>IF(ISNUMBER(SEARCH("H", 'WetLitterbags placem_collection'!AE89)),"YES","NO")</f>
        <v>NO</v>
      </c>
      <c r="AL382" s="255" t="str">
        <f>IF(ISNUMBER(SEARCH("R", 'WetLitterbags placem_collection'!AE89)),"YES","NO")</f>
        <v>NO</v>
      </c>
    </row>
    <row r="383" spans="2:38">
      <c r="B383" t="str">
        <f>'Final data_for_R_analysis_Wetse'!A529</f>
        <v>Wet</v>
      </c>
      <c r="C383" s="263">
        <f>'Final data_for_R_analysis_Wetse'!B529</f>
        <v>88</v>
      </c>
      <c r="D383" t="s">
        <v>3839</v>
      </c>
      <c r="E383" t="s">
        <v>25</v>
      </c>
      <c r="F383" s="387">
        <v>8</v>
      </c>
      <c r="G383" s="16">
        <f>'WetLitterbags placem_collection'!E90</f>
        <v>42767</v>
      </c>
      <c r="H383" s="92" t="str">
        <f>'Final data_for_R_analysis_Wetse'!J529</f>
        <v>G611</v>
      </c>
      <c r="I383" t="str">
        <f>'Final data_for_R_analysis_Wetse'!J749</f>
        <v>R288</v>
      </c>
      <c r="J383">
        <f>IFERROR(INDEX('Green_rooibos initial weight'!$C$5:$C$1749,MATCH(H383, 'Green_rooibos initial weight'!$A$5:$A$1749,0)),"")</f>
        <v>1.99</v>
      </c>
      <c r="K383">
        <f>IFERROR(INDEX('Green_rooibos initial weight'!$C$5:$C$1749,MATCH(I383, 'Green_rooibos initial weight'!$A$5:$A$1749,0)),"")</f>
        <v>2.2450000000000001</v>
      </c>
      <c r="L383" s="195">
        <f t="shared" si="52"/>
        <v>1.7402</v>
      </c>
      <c r="M383" s="195">
        <f>AVERAGE(Ashed_controlls!$K$2:$K$11)</f>
        <v>5.5147656768714146</v>
      </c>
      <c r="N383" s="195">
        <f t="shared" si="48"/>
        <v>1.6442320476910837</v>
      </c>
      <c r="O383" s="195">
        <f t="shared" si="53"/>
        <v>1.9952000000000001</v>
      </c>
      <c r="P383" s="195">
        <f>AVERAGE(Ashed_controlls!$K$12:$K$14)</f>
        <v>2.2816647271287041</v>
      </c>
      <c r="Q383" s="195">
        <f t="shared" si="54"/>
        <v>1.9496762253643283</v>
      </c>
      <c r="R383" s="16">
        <f>IF('WetLitterbags placem_collection'!G90="N.A","",'WetLitterbags placem_collection'!G90)</f>
        <v>0</v>
      </c>
      <c r="S383" s="195" t="str">
        <f>IF(IFERROR(INDEX('Both teabags AfterWet'!$C$3:$C$841,MATCH(H383,'Both teabags AfterWet'!$A$3:$A$841,0)),"")="N.A","",(IFERROR(INDEX('Both teabags AfterWet'!$C$3:$C$841,MATCH(H383,'Both teabags AfterWet'!$A$3:$A$841,0)),"")))</f>
        <v/>
      </c>
      <c r="T383" s="195" t="str">
        <f>IFERROR(INDEX('Both teabags AfterWet'!$C$3:$C$841,MATCH(I383,'Both teabags AfterWet'!$A$3:$A$841,0)),"")</f>
        <v/>
      </c>
      <c r="U383" s="195" t="str">
        <f t="shared" si="55"/>
        <v/>
      </c>
      <c r="V383" s="195" t="str">
        <f t="shared" si="55"/>
        <v/>
      </c>
      <c r="W383" s="195" t="str">
        <f>IFERROR(INDEX('Ashed teabags wet'!$K$2:$K$821,MATCH(H383,'Ashed teabags wet'!$A$2:$A$821,0)),"")</f>
        <v/>
      </c>
      <c r="X383" s="195" t="str">
        <f>IFERROR(INDEX('Ashed teabags wet'!$K$2:$K$821,MATCH(I383,'Ashed teabags wet'!$A$2:$A$821,0)),"")</f>
        <v/>
      </c>
      <c r="Y383" s="195" t="str">
        <f t="shared" si="49"/>
        <v/>
      </c>
      <c r="Z383" s="195" t="str">
        <f t="shared" si="49"/>
        <v/>
      </c>
      <c r="AA383" s="195" t="str">
        <f t="shared" si="56"/>
        <v/>
      </c>
      <c r="AB383" s="195" t="str">
        <f t="shared" si="57"/>
        <v/>
      </c>
      <c r="AC383" s="195" t="str">
        <f t="shared" si="50"/>
        <v/>
      </c>
      <c r="AD383" t="str">
        <f t="shared" si="51"/>
        <v/>
      </c>
      <c r="AE383" s="195" t="str">
        <f t="shared" si="58"/>
        <v/>
      </c>
      <c r="AF383" s="195" t="str">
        <f t="shared" si="59"/>
        <v/>
      </c>
      <c r="AG383" s="255" t="str">
        <f>IF(ISNUMBER(SEARCH("C",'WetLitterbags placem_collection'!AD310)),"YES","NO")</f>
        <v>NO</v>
      </c>
      <c r="AH383" s="255" t="str">
        <f>IF(ISNUMBER(SEARCH("H", 'WetLitterbags placem_collection'!AF90)),"YES","NO")</f>
        <v>NO</v>
      </c>
      <c r="AI383" s="255" t="str">
        <f>IF(ISNUMBER(SEARCH("R", 'WetLitterbags placem_collection'!XF90)),"YES","NO")</f>
        <v>NO</v>
      </c>
      <c r="AJ383" s="255" t="str">
        <f>IF(ISNUMBER(SEARCH("C", 'WetLitterbags placem_collection'!WE90)),"YES","NO")</f>
        <v>NO</v>
      </c>
      <c r="AK383" s="255" t="str">
        <f>IF(ISNUMBER(SEARCH("H", 'WetLitterbags placem_collection'!AE90)),"YES","NO")</f>
        <v>NO</v>
      </c>
      <c r="AL383" s="255" t="str">
        <f>IF(ISNUMBER(SEARCH("R", 'WetLitterbags placem_collection'!AE90)),"YES","NO")</f>
        <v>NO</v>
      </c>
    </row>
    <row r="384" spans="2:38">
      <c r="B384" t="str">
        <f>'Final data_for_R_analysis_Wetse'!A530</f>
        <v>Wet</v>
      </c>
      <c r="C384" s="263">
        <f>'Final data_for_R_analysis_Wetse'!B530</f>
        <v>89</v>
      </c>
      <c r="D384" t="s">
        <v>3840</v>
      </c>
      <c r="E384" t="s">
        <v>25</v>
      </c>
      <c r="F384" s="386">
        <v>1</v>
      </c>
      <c r="G384" s="16">
        <f>'WetLitterbags placem_collection'!E91</f>
        <v>42767</v>
      </c>
      <c r="H384" s="92" t="str">
        <f>'Final data_for_R_analysis_Wetse'!J530</f>
        <v>G469</v>
      </c>
      <c r="I384" t="str">
        <f>'Final data_for_R_analysis_Wetse'!J750</f>
        <v>R171</v>
      </c>
      <c r="J384">
        <f>IFERROR(INDEX('Green_rooibos initial weight'!$C$5:$C$1749,MATCH(H384, 'Green_rooibos initial weight'!$A$5:$A$1749,0)),"")</f>
        <v>1.9630000000000001</v>
      </c>
      <c r="K384">
        <f>IFERROR(INDEX('Green_rooibos initial weight'!$C$5:$C$1749,MATCH(I384, 'Green_rooibos initial weight'!$A$5:$A$1749,0)),"")</f>
        <v>2.1160000000000001</v>
      </c>
      <c r="L384" s="195">
        <f t="shared" si="52"/>
        <v>1.7132000000000001</v>
      </c>
      <c r="M384" s="195">
        <f>AVERAGE(Ashed_controlls!$K$2:$K$11)</f>
        <v>5.5147656768714146</v>
      </c>
      <c r="N384" s="195">
        <f t="shared" si="48"/>
        <v>1.618721034423839</v>
      </c>
      <c r="O384" s="195">
        <f t="shared" si="53"/>
        <v>1.8662000000000001</v>
      </c>
      <c r="P384" s="195">
        <f>AVERAGE(Ashed_controlls!$K$12:$K$14)</f>
        <v>2.2816647271287041</v>
      </c>
      <c r="Q384" s="195">
        <f t="shared" si="54"/>
        <v>1.8236195728623241</v>
      </c>
      <c r="R384" s="16">
        <f>IF('WetLitterbags placem_collection'!G91="N.A","",'WetLitterbags placem_collection'!G91)</f>
        <v>42819</v>
      </c>
      <c r="S384" s="195">
        <f>IF(IFERROR(INDEX('Both teabags AfterWet'!$C$3:$C$841,MATCH(H384,'Both teabags AfterWet'!$A$3:$A$841,0)),"")="N.A","",(IFERROR(INDEX('Both teabags AfterWet'!$C$3:$C$841,MATCH(H384,'Both teabags AfterWet'!$A$3:$A$841,0)),"")))</f>
        <v>1.5169999999999999</v>
      </c>
      <c r="T384" s="195">
        <f>IFERROR(INDEX('Both teabags AfterWet'!$C$3:$C$841,MATCH(I384,'Both teabags AfterWet'!$A$3:$A$841,0)),"")</f>
        <v>2.0529999999999999</v>
      </c>
      <c r="U384" s="195">
        <f t="shared" si="55"/>
        <v>1.3663999999999998</v>
      </c>
      <c r="V384" s="195">
        <f t="shared" si="55"/>
        <v>1.9023999999999999</v>
      </c>
      <c r="W384" s="195">
        <f>IFERROR(INDEX('Ashed teabags wet'!$K$2:$K$821,MATCH(H384,'Ashed teabags wet'!$A$2:$A$821,0)),"")</f>
        <v>48.044965786901678</v>
      </c>
      <c r="X384" s="195">
        <f>IFERROR(INDEX('Ashed teabags wet'!$K$2:$K$821,MATCH(I384,'Ashed teabags wet'!$A$2:$A$821,0)),"")</f>
        <v>19.890873015872916</v>
      </c>
      <c r="Y384" s="195">
        <f t="shared" si="49"/>
        <v>0.70991358748777544</v>
      </c>
      <c r="Z384" s="195">
        <f t="shared" si="49"/>
        <v>1.5239960317460335</v>
      </c>
      <c r="AA384" s="195">
        <f t="shared" si="56"/>
        <v>0.56143549605478549</v>
      </c>
      <c r="AB384" s="195">
        <f t="shared" si="57"/>
        <v>0.36806697603591643</v>
      </c>
      <c r="AC384" s="195">
        <f t="shared" si="50"/>
        <v>0.8356984397540731</v>
      </c>
      <c r="AD384">
        <f t="shared" si="51"/>
        <v>52</v>
      </c>
      <c r="AE384" s="195">
        <f t="shared" si="58"/>
        <v>0.33321199993493411</v>
      </c>
      <c r="AF384" s="195">
        <f t="shared" si="59"/>
        <v>1.1371067540936152E-2</v>
      </c>
      <c r="AG384" s="255" t="str">
        <f>IF(ISNUMBER(SEARCH("C",'WetLitterbags placem_collection'!AD311)),"YES","NO")</f>
        <v>NO</v>
      </c>
      <c r="AH384" s="255" t="str">
        <f>IF(ISNUMBER(SEARCH("H", 'WetLitterbags placem_collection'!AF91)),"YES","NO")</f>
        <v>NO</v>
      </c>
      <c r="AI384" s="255" t="str">
        <f>IF(ISNUMBER(SEARCH("R", 'WetLitterbags placem_collection'!XF91)),"YES","NO")</f>
        <v>NO</v>
      </c>
      <c r="AJ384" s="255" t="str">
        <f>IF(ISNUMBER(SEARCH("C", 'WetLitterbags placem_collection'!WE91)),"YES","NO")</f>
        <v>NO</v>
      </c>
      <c r="AK384" s="255" t="str">
        <f>IF(ISNUMBER(SEARCH("H", 'WetLitterbags placem_collection'!AE91)),"YES","NO")</f>
        <v>NO</v>
      </c>
      <c r="AL384" s="255" t="str">
        <f>IF(ISNUMBER(SEARCH("R", 'WetLitterbags placem_collection'!AE91)),"YES","NO")</f>
        <v>NO</v>
      </c>
    </row>
    <row r="385" spans="2:38">
      <c r="B385" t="str">
        <f>'Final data_for_R_analysis_Wetse'!A531</f>
        <v>Wet</v>
      </c>
      <c r="C385" s="263">
        <f>'Final data_for_R_analysis_Wetse'!B531</f>
        <v>90</v>
      </c>
      <c r="D385" t="s">
        <v>3840</v>
      </c>
      <c r="E385" t="s">
        <v>25</v>
      </c>
      <c r="F385" s="386">
        <v>2</v>
      </c>
      <c r="G385" s="16">
        <f>'WetLitterbags placem_collection'!E92</f>
        <v>42767</v>
      </c>
      <c r="H385" s="92" t="str">
        <f>'Final data_for_R_analysis_Wetse'!J531</f>
        <v>G355</v>
      </c>
      <c r="I385" t="str">
        <f>'Final data_for_R_analysis_Wetse'!J751</f>
        <v>R517</v>
      </c>
      <c r="J385">
        <f>IFERROR(INDEX('Green_rooibos initial weight'!$C$5:$C$1749,MATCH(H385, 'Green_rooibos initial weight'!$A$5:$A$1749,0)),"")</f>
        <v>2.0489999999999999</v>
      </c>
      <c r="K385">
        <f>IFERROR(INDEX('Green_rooibos initial weight'!$C$5:$C$1749,MATCH(I385, 'Green_rooibos initial weight'!$A$5:$A$1749,0)),"")</f>
        <v>2.222</v>
      </c>
      <c r="L385" s="195">
        <f t="shared" si="52"/>
        <v>1.7991999999999999</v>
      </c>
      <c r="M385" s="195">
        <f>AVERAGE(Ashed_controlls!$K$2:$K$11)</f>
        <v>5.5147656768714146</v>
      </c>
      <c r="N385" s="195">
        <f t="shared" si="48"/>
        <v>1.6999783359417293</v>
      </c>
      <c r="O385" s="195">
        <f t="shared" si="53"/>
        <v>1.9722</v>
      </c>
      <c r="P385" s="195">
        <f>AVERAGE(Ashed_controlls!$K$12:$K$14)</f>
        <v>2.2816647271287041</v>
      </c>
      <c r="Q385" s="195">
        <f t="shared" si="54"/>
        <v>1.9272010082515676</v>
      </c>
      <c r="R385" s="16">
        <f>IF('WetLitterbags placem_collection'!G92="N.A","",'WetLitterbags placem_collection'!G92)</f>
        <v>42819</v>
      </c>
      <c r="S385" s="195">
        <f>IF(IFERROR(INDEX('Both teabags AfterWet'!$C$3:$C$841,MATCH(H385,'Both teabags AfterWet'!$A$3:$A$841,0)),"")="N.A","",(IFERROR(INDEX('Both teabags AfterWet'!$C$3:$C$841,MATCH(H385,'Both teabags AfterWet'!$A$3:$A$841,0)),"")))</f>
        <v>0.78380000000000005</v>
      </c>
      <c r="T385" s="195">
        <f>IFERROR(INDEX('Both teabags AfterWet'!$C$3:$C$841,MATCH(I385,'Both teabags AfterWet'!$A$3:$A$841,0)),"")</f>
        <v>2.2749000000000001</v>
      </c>
      <c r="U385" s="195">
        <f t="shared" si="55"/>
        <v>0.63319999999999999</v>
      </c>
      <c r="V385" s="195">
        <f t="shared" si="55"/>
        <v>2.1243000000000003</v>
      </c>
      <c r="W385" s="195">
        <f>IFERROR(INDEX('Ashed teabags wet'!$K$2:$K$821,MATCH(H385,'Ashed teabags wet'!$A$2:$A$821,0)),"")</f>
        <v>6.6735644076571221</v>
      </c>
      <c r="X385" s="195">
        <f>IFERROR(INDEX('Ashed teabags wet'!$K$2:$K$821,MATCH(I385,'Ashed teabags wet'!$A$2:$A$821,0)),"")</f>
        <v>22.544750846637683</v>
      </c>
      <c r="Y385" s="195">
        <f t="shared" si="49"/>
        <v>0.59094299017071505</v>
      </c>
      <c r="Z385" s="195">
        <f t="shared" si="49"/>
        <v>1.645381857764876</v>
      </c>
      <c r="AA385" s="195">
        <f t="shared" si="56"/>
        <v>0.65238204647863762</v>
      </c>
      <c r="AB385" s="195">
        <f t="shared" si="57"/>
        <v>0.42768989270333491</v>
      </c>
      <c r="AC385" s="195">
        <f t="shared" si="50"/>
        <v>0.85376764059377019</v>
      </c>
      <c r="AD385">
        <f t="shared" si="51"/>
        <v>52</v>
      </c>
      <c r="AE385" s="195">
        <f t="shared" si="58"/>
        <v>0.22519946974033533</v>
      </c>
      <c r="AF385" s="195">
        <f t="shared" si="59"/>
        <v>8.0464770314540232E-3</v>
      </c>
      <c r="AG385" s="255" t="str">
        <f>IF(ISNUMBER(SEARCH("C",'WetLitterbags placem_collection'!AD312)),"YES","NO")</f>
        <v>NO</v>
      </c>
      <c r="AH385" s="255" t="str">
        <f>IF(ISNUMBER(SEARCH("H", 'WetLitterbags placem_collection'!AF92)),"YES","NO")</f>
        <v>NO</v>
      </c>
      <c r="AI385" s="255" t="str">
        <f>IF(ISNUMBER(SEARCH("R", 'WetLitterbags placem_collection'!XF92)),"YES","NO")</f>
        <v>NO</v>
      </c>
      <c r="AJ385" s="255" t="str">
        <f>IF(ISNUMBER(SEARCH("C", 'WetLitterbags placem_collection'!WE92)),"YES","NO")</f>
        <v>NO</v>
      </c>
      <c r="AK385" s="255" t="str">
        <f>IF(ISNUMBER(SEARCH("H", 'WetLitterbags placem_collection'!AE92)),"YES","NO")</f>
        <v>NO</v>
      </c>
      <c r="AL385" s="255" t="str">
        <f>IF(ISNUMBER(SEARCH("R", 'WetLitterbags placem_collection'!AE92)),"YES","NO")</f>
        <v>NO</v>
      </c>
    </row>
    <row r="386" spans="2:38">
      <c r="B386" t="str">
        <f>'Final data_for_R_analysis_Wetse'!A532</f>
        <v>Wet</v>
      </c>
      <c r="C386" s="263">
        <f>'Final data_for_R_analysis_Wetse'!B532</f>
        <v>91</v>
      </c>
      <c r="D386" t="s">
        <v>3840</v>
      </c>
      <c r="E386" t="s">
        <v>25</v>
      </c>
      <c r="F386" s="386">
        <v>3</v>
      </c>
      <c r="G386" s="16">
        <f>'WetLitterbags placem_collection'!E93</f>
        <v>42767</v>
      </c>
      <c r="H386" s="92" t="str">
        <f>'Final data_for_R_analysis_Wetse'!J532</f>
        <v>G547</v>
      </c>
      <c r="I386" t="str">
        <f>'Final data_for_R_analysis_Wetse'!J752</f>
        <v>R73</v>
      </c>
      <c r="J386">
        <f>IFERROR(INDEX('Green_rooibos initial weight'!$C$5:$C$1749,MATCH(H386, 'Green_rooibos initial weight'!$A$5:$A$1749,0)),"")</f>
        <v>2.121</v>
      </c>
      <c r="K386">
        <f>IFERROR(INDEX('Green_rooibos initial weight'!$C$5:$C$1749,MATCH(I386, 'Green_rooibos initial weight'!$A$5:$A$1749,0)),"")</f>
        <v>2.1459999999999999</v>
      </c>
      <c r="L386" s="195">
        <f t="shared" si="52"/>
        <v>1.8712</v>
      </c>
      <c r="M386" s="195">
        <f>AVERAGE(Ashed_controlls!$K$2:$K$11)</f>
        <v>5.5147656768714146</v>
      </c>
      <c r="N386" s="195">
        <f t="shared" si="48"/>
        <v>1.7680077046543821</v>
      </c>
      <c r="O386" s="195">
        <f t="shared" si="53"/>
        <v>1.8961999999999999</v>
      </c>
      <c r="P386" s="195">
        <f>AVERAGE(Ashed_controlls!$K$12:$K$14)</f>
        <v>2.2816647271287041</v>
      </c>
      <c r="Q386" s="195">
        <f t="shared" si="54"/>
        <v>1.8529350734441854</v>
      </c>
      <c r="R386" s="16">
        <f>IF('WetLitterbags placem_collection'!G93="N.A","",'WetLitterbags placem_collection'!G93)</f>
        <v>42819</v>
      </c>
      <c r="S386" s="195">
        <f>IF(IFERROR(INDEX('Both teabags AfterWet'!$C$3:$C$841,MATCH(H386,'Both teabags AfterWet'!$A$3:$A$841,0)),"")="N.A","",(IFERROR(INDEX('Both teabags AfterWet'!$C$3:$C$841,MATCH(H386,'Both teabags AfterWet'!$A$3:$A$841,0)),"")))</f>
        <v>1.069</v>
      </c>
      <c r="T386" s="195">
        <f>IFERROR(INDEX('Both teabags AfterWet'!$C$3:$C$841,MATCH(I386,'Both teabags AfterWet'!$A$3:$A$841,0)),"")</f>
        <v>1.663</v>
      </c>
      <c r="U386" s="195">
        <f t="shared" si="55"/>
        <v>0.91839999999999988</v>
      </c>
      <c r="V386" s="195">
        <f t="shared" si="55"/>
        <v>1.5124</v>
      </c>
      <c r="W386" s="195">
        <f>IFERROR(INDEX('Ashed teabags wet'!$K$2:$K$821,MATCH(H386,'Ashed teabags wet'!$A$2:$A$821,0)),"")</f>
        <v>26.348448687350785</v>
      </c>
      <c r="X386" s="195">
        <f>IFERROR(INDEX('Ashed teabags wet'!$K$2:$K$821,MATCH(I386,'Ashed teabags wet'!$A$2:$A$821,0)),"")</f>
        <v>3.2402791625130467</v>
      </c>
      <c r="Y386" s="195">
        <f t="shared" si="49"/>
        <v>0.67641584725537029</v>
      </c>
      <c r="Z386" s="195">
        <f t="shared" si="49"/>
        <v>1.4633940179461526</v>
      </c>
      <c r="AA386" s="195">
        <f t="shared" si="56"/>
        <v>0.61741351834911884</v>
      </c>
      <c r="AB386" s="195">
        <f t="shared" si="57"/>
        <v>0.40476515692246279</v>
      </c>
      <c r="AC386" s="195">
        <f t="shared" si="50"/>
        <v>0.78977080142696832</v>
      </c>
      <c r="AD386">
        <f t="shared" si="51"/>
        <v>52</v>
      </c>
      <c r="AE386" s="195">
        <f t="shared" si="58"/>
        <v>0.26672978818394433</v>
      </c>
      <c r="AF386" s="195">
        <f t="shared" si="59"/>
        <v>1.4090192647474981E-2</v>
      </c>
      <c r="AG386" s="255" t="str">
        <f>IF(ISNUMBER(SEARCH("C",'WetLitterbags placem_collection'!AD313)),"YES","NO")</f>
        <v>NO</v>
      </c>
      <c r="AH386" s="255" t="str">
        <f>IF(ISNUMBER(SEARCH("H", 'WetLitterbags placem_collection'!AF93)),"YES","NO")</f>
        <v>NO</v>
      </c>
      <c r="AI386" s="255" t="str">
        <f>IF(ISNUMBER(SEARCH("R", 'WetLitterbags placem_collection'!XF93)),"YES","NO")</f>
        <v>NO</v>
      </c>
      <c r="AJ386" s="255" t="str">
        <f>IF(ISNUMBER(SEARCH("C", 'WetLitterbags placem_collection'!WE93)),"YES","NO")</f>
        <v>NO</v>
      </c>
      <c r="AK386" s="255" t="str">
        <f>IF(ISNUMBER(SEARCH("H", 'WetLitterbags placem_collection'!AE93)),"YES","NO")</f>
        <v>NO</v>
      </c>
      <c r="AL386" s="255" t="str">
        <f>IF(ISNUMBER(SEARCH("R", 'WetLitterbags placem_collection'!AE93)),"YES","NO")</f>
        <v>NO</v>
      </c>
    </row>
    <row r="387" spans="2:38">
      <c r="B387" t="str">
        <f>'Final data_for_R_analysis_Wetse'!A533</f>
        <v>Wet</v>
      </c>
      <c r="C387" s="263">
        <f>'Final data_for_R_analysis_Wetse'!B533</f>
        <v>92</v>
      </c>
      <c r="D387" t="s">
        <v>3840</v>
      </c>
      <c r="E387" t="s">
        <v>25</v>
      </c>
      <c r="F387" s="387">
        <v>4</v>
      </c>
      <c r="G387" s="16">
        <f>'WetLitterbags placem_collection'!E94</f>
        <v>42767</v>
      </c>
      <c r="H387" s="92" t="str">
        <f>'Final data_for_R_analysis_Wetse'!J533</f>
        <v>G763</v>
      </c>
      <c r="I387" t="str">
        <f>'Final data_for_R_analysis_Wetse'!J753</f>
        <v>R4</v>
      </c>
      <c r="J387">
        <f>IFERROR(INDEX('Green_rooibos initial weight'!$C$5:$C$1749,MATCH(H387, 'Green_rooibos initial weight'!$A$5:$A$1749,0)),"")</f>
        <v>2.0590000000000002</v>
      </c>
      <c r="K387">
        <f>IFERROR(INDEX('Green_rooibos initial weight'!$C$5:$C$1749,MATCH(I387, 'Green_rooibos initial weight'!$A$5:$A$1749,0)),"")</f>
        <v>2.1549999999999998</v>
      </c>
      <c r="L387" s="195">
        <f t="shared" si="52"/>
        <v>1.8092000000000001</v>
      </c>
      <c r="M387" s="195">
        <f>AVERAGE(Ashed_controlls!$K$2:$K$11)</f>
        <v>5.5147656768714146</v>
      </c>
      <c r="N387" s="195">
        <f t="shared" si="48"/>
        <v>1.7094268593740425</v>
      </c>
      <c r="O387" s="195">
        <f t="shared" si="53"/>
        <v>1.9051999999999998</v>
      </c>
      <c r="P387" s="195">
        <f>AVERAGE(Ashed_controlls!$K$12:$K$14)</f>
        <v>2.2816647271287041</v>
      </c>
      <c r="Q387" s="195">
        <f t="shared" si="54"/>
        <v>1.8617297236187438</v>
      </c>
      <c r="R387" s="16">
        <f>IF('WetLitterbags placem_collection'!G94="N.A","",'WetLitterbags placem_collection'!G94)</f>
        <v>42819</v>
      </c>
      <c r="S387" s="195" t="str">
        <f>IF(IFERROR(INDEX('Both teabags AfterWet'!$C$3:$C$841,MATCH(H387,'Both teabags AfterWet'!$A$3:$A$841,0)),"")="N.A","",(IFERROR(INDEX('Both teabags AfterWet'!$C$3:$C$841,MATCH(H387,'Both teabags AfterWet'!$A$3:$A$841,0)),"")))</f>
        <v/>
      </c>
      <c r="T387" s="195">
        <f>IFERROR(INDEX('Both teabags AfterWet'!$C$3:$C$841,MATCH(I387,'Both teabags AfterWet'!$A$3:$A$841,0)),"")</f>
        <v>1.6779999999999999</v>
      </c>
      <c r="U387" s="195" t="str">
        <f t="shared" si="55"/>
        <v/>
      </c>
      <c r="V387" s="195">
        <f t="shared" si="55"/>
        <v>1.5273999999999999</v>
      </c>
      <c r="W387" s="195">
        <f>IFERROR(INDEX('Ashed teabags wet'!$K$2:$K$821,MATCH(H387,'Ashed teabags wet'!$A$2:$A$821,0)),"")</f>
        <v>39.468503937007327</v>
      </c>
      <c r="X387" s="195">
        <f>IFERROR(INDEX('Ashed teabags wet'!$K$2:$K$821,MATCH(I387,'Ashed teabags wet'!$A$2:$A$821,0)),"")</f>
        <v>2.4590163934421247</v>
      </c>
      <c r="Y387" s="195" t="str">
        <f t="shared" si="49"/>
        <v/>
      </c>
      <c r="Z387" s="195">
        <f t="shared" si="49"/>
        <v>1.4898409836065649</v>
      </c>
      <c r="AA387" s="195" t="str">
        <f t="shared" si="56"/>
        <v/>
      </c>
      <c r="AB387" s="195" t="str">
        <f t="shared" si="57"/>
        <v/>
      </c>
      <c r="AC387" s="195">
        <f t="shared" si="50"/>
        <v>0.8002455806048373</v>
      </c>
      <c r="AD387">
        <f t="shared" si="51"/>
        <v>52</v>
      </c>
      <c r="AE387" s="195" t="str">
        <f t="shared" si="58"/>
        <v/>
      </c>
      <c r="AF387" s="195" t="str">
        <f t="shared" si="59"/>
        <v/>
      </c>
      <c r="AG387" s="255" t="str">
        <f>IF(ISNUMBER(SEARCH("C",'WetLitterbags placem_collection'!AD314)),"YES","NO")</f>
        <v>NO</v>
      </c>
      <c r="AH387" s="255" t="str">
        <f>IF(ISNUMBER(SEARCH("H", 'WetLitterbags placem_collection'!AF94)),"YES","NO")</f>
        <v>NO</v>
      </c>
      <c r="AI387" s="255" t="str">
        <f>IF(ISNUMBER(SEARCH("R", 'WetLitterbags placem_collection'!XF94)),"YES","NO")</f>
        <v>NO</v>
      </c>
      <c r="AJ387" s="255" t="str">
        <f>IF(ISNUMBER(SEARCH("C", 'WetLitterbags placem_collection'!WE94)),"YES","NO")</f>
        <v>NO</v>
      </c>
      <c r="AK387" s="255" t="str">
        <f>IF(ISNUMBER(SEARCH("H", 'WetLitterbags placem_collection'!AE94)),"YES","NO")</f>
        <v>NO</v>
      </c>
      <c r="AL387" s="255" t="str">
        <f>IF(ISNUMBER(SEARCH("R", 'WetLitterbags placem_collection'!AE94)),"YES","NO")</f>
        <v>NO</v>
      </c>
    </row>
    <row r="388" spans="2:38">
      <c r="B388" t="str">
        <f>'Final data_for_R_analysis_Wetse'!A534</f>
        <v>Wet</v>
      </c>
      <c r="C388" s="263">
        <f>'Final data_for_R_analysis_Wetse'!B534</f>
        <v>93</v>
      </c>
      <c r="D388" t="s">
        <v>3840</v>
      </c>
      <c r="E388" t="s">
        <v>25</v>
      </c>
      <c r="F388" s="387">
        <v>5</v>
      </c>
      <c r="G388" s="16">
        <f>'WetLitterbags placem_collection'!E95</f>
        <v>42767</v>
      </c>
      <c r="H388" s="92" t="str">
        <f>'Final data_for_R_analysis_Wetse'!J534</f>
        <v>G424</v>
      </c>
      <c r="I388" t="str">
        <f>'Final data_for_R_analysis_Wetse'!J754</f>
        <v>R136</v>
      </c>
      <c r="J388">
        <f>IFERROR(INDEX('Green_rooibos initial weight'!$C$5:$C$1749,MATCH(H388, 'Green_rooibos initial weight'!$A$5:$A$1749,0)),"")</f>
        <v>1.9590000000000001</v>
      </c>
      <c r="K388">
        <f>IFERROR(INDEX('Green_rooibos initial weight'!$C$5:$C$1749,MATCH(I388, 'Green_rooibos initial weight'!$A$5:$A$1749,0)),"")</f>
        <v>2.21</v>
      </c>
      <c r="L388" s="195">
        <f t="shared" si="52"/>
        <v>1.7092000000000001</v>
      </c>
      <c r="M388" s="195">
        <f>AVERAGE(Ashed_controlls!$K$2:$K$11)</f>
        <v>5.5147656768714146</v>
      </c>
      <c r="N388" s="195">
        <f t="shared" si="48"/>
        <v>1.6149416250509139</v>
      </c>
      <c r="O388" s="195">
        <f t="shared" si="53"/>
        <v>1.9601999999999999</v>
      </c>
      <c r="P388" s="195">
        <f>AVERAGE(Ashed_controlls!$K$12:$K$14)</f>
        <v>2.2816647271287041</v>
      </c>
      <c r="Q388" s="195">
        <f t="shared" si="54"/>
        <v>1.9154748080188231</v>
      </c>
      <c r="R388" s="16">
        <f>IF('WetLitterbags placem_collection'!G95="N.A","",'WetLitterbags placem_collection'!G95)</f>
        <v>42819</v>
      </c>
      <c r="S388" s="195">
        <f>IF(IFERROR(INDEX('Both teabags AfterWet'!$C$3:$C$841,MATCH(H388,'Both teabags AfterWet'!$A$3:$A$841,0)),"")="N.A","",(IFERROR(INDEX('Both teabags AfterWet'!$C$3:$C$841,MATCH(H388,'Both teabags AfterWet'!$A$3:$A$841,0)),"")))</f>
        <v>0.66039999999999999</v>
      </c>
      <c r="T388" s="195">
        <f>IFERROR(INDEX('Both teabags AfterWet'!$C$3:$C$841,MATCH(I388,'Both teabags AfterWet'!$A$3:$A$841,0)),"")</f>
        <v>1.6368</v>
      </c>
      <c r="U388" s="195">
        <f t="shared" si="55"/>
        <v>0.50980000000000003</v>
      </c>
      <c r="V388" s="195">
        <f t="shared" si="55"/>
        <v>1.4862</v>
      </c>
      <c r="W388" s="195">
        <f>IFERROR(INDEX('Ashed teabags wet'!$K$2:$K$821,MATCH(H388,'Ashed teabags wet'!$A$2:$A$821,0)),"")</f>
        <v>9.5166915794729583</v>
      </c>
      <c r="X388" s="195">
        <f>IFERROR(INDEX('Ashed teabags wet'!$K$2:$K$821,MATCH(I388,'Ashed teabags wet'!$A$2:$A$821,0)),"")</f>
        <v>2.2232962783957189</v>
      </c>
      <c r="Y388" s="195">
        <f t="shared" si="49"/>
        <v>0.46128390632784688</v>
      </c>
      <c r="Z388" s="195">
        <f t="shared" si="49"/>
        <v>1.4531573707104828</v>
      </c>
      <c r="AA388" s="195">
        <f t="shared" si="56"/>
        <v>0.71436496578425612</v>
      </c>
      <c r="AB388" s="195">
        <f t="shared" si="57"/>
        <v>0.46832477566853853</v>
      </c>
      <c r="AC388" s="195">
        <f t="shared" si="50"/>
        <v>0.75864081564898489</v>
      </c>
      <c r="AD388">
        <f t="shared" si="51"/>
        <v>52</v>
      </c>
      <c r="AE388" s="195">
        <f t="shared" si="58"/>
        <v>0.15158555132511142</v>
      </c>
      <c r="AF388" s="195">
        <f t="shared" si="59"/>
        <v>1.3930069123960775E-2</v>
      </c>
      <c r="AG388" s="255" t="str">
        <f>IF(ISNUMBER(SEARCH("C",'WetLitterbags placem_collection'!AD315)),"YES","NO")</f>
        <v>NO</v>
      </c>
      <c r="AH388" s="255" t="str">
        <f>IF(ISNUMBER(SEARCH("H", 'WetLitterbags placem_collection'!AF95)),"YES","NO")</f>
        <v>NO</v>
      </c>
      <c r="AI388" s="255" t="str">
        <f>IF(ISNUMBER(SEARCH("R", 'WetLitterbags placem_collection'!XF95)),"YES","NO")</f>
        <v>NO</v>
      </c>
      <c r="AJ388" s="255" t="str">
        <f>IF(ISNUMBER(SEARCH("C", 'WetLitterbags placem_collection'!WE95)),"YES","NO")</f>
        <v>NO</v>
      </c>
      <c r="AK388" s="255" t="str">
        <f>IF(ISNUMBER(SEARCH("H", 'WetLitterbags placem_collection'!AE95)),"YES","NO")</f>
        <v>NO</v>
      </c>
      <c r="AL388" s="255" t="str">
        <f>IF(ISNUMBER(SEARCH("R", 'WetLitterbags placem_collection'!AE95)),"YES","NO")</f>
        <v>NO</v>
      </c>
    </row>
    <row r="389" spans="2:38">
      <c r="B389" t="str">
        <f>'Final data_for_R_analysis_Wetse'!A535</f>
        <v>Wet</v>
      </c>
      <c r="C389" s="263">
        <f>'Final data_for_R_analysis_Wetse'!B535</f>
        <v>94</v>
      </c>
      <c r="D389" t="s">
        <v>3840</v>
      </c>
      <c r="E389" t="s">
        <v>25</v>
      </c>
      <c r="F389" s="387">
        <v>6</v>
      </c>
      <c r="G389" s="16">
        <f>'WetLitterbags placem_collection'!E96</f>
        <v>42767</v>
      </c>
      <c r="H389" s="92" t="str">
        <f>'Final data_for_R_analysis_Wetse'!J535</f>
        <v>G588</v>
      </c>
      <c r="I389" t="str">
        <f>'Final data_for_R_analysis_Wetse'!J755</f>
        <v>R358</v>
      </c>
      <c r="J389">
        <f>IFERROR(INDEX('Green_rooibos initial weight'!$C$5:$C$1749,MATCH(H389, 'Green_rooibos initial weight'!$A$5:$A$1749,0)),"")</f>
        <v>2.14</v>
      </c>
      <c r="K389">
        <f>IFERROR(INDEX('Green_rooibos initial weight'!$C$5:$C$1749,MATCH(I389, 'Green_rooibos initial weight'!$A$5:$A$1749,0)),"")</f>
        <v>2.2210000000000001</v>
      </c>
      <c r="L389" s="195">
        <f t="shared" si="52"/>
        <v>1.8902000000000001</v>
      </c>
      <c r="M389" s="195">
        <f>AVERAGE(Ashed_controlls!$K$2:$K$11)</f>
        <v>5.5147656768714146</v>
      </c>
      <c r="N389" s="195">
        <f t="shared" si="48"/>
        <v>1.7859598991757766</v>
      </c>
      <c r="O389" s="195">
        <f t="shared" si="53"/>
        <v>1.9712000000000001</v>
      </c>
      <c r="P389" s="195">
        <f>AVERAGE(Ashed_controlls!$K$12:$K$14)</f>
        <v>2.2816647271287041</v>
      </c>
      <c r="Q389" s="195">
        <f t="shared" si="54"/>
        <v>1.926223824898839</v>
      </c>
      <c r="R389" s="16">
        <f>IF('WetLitterbags placem_collection'!G96="N.A","",'WetLitterbags placem_collection'!G96)</f>
        <v>0</v>
      </c>
      <c r="S389" s="195" t="str">
        <f>IF(IFERROR(INDEX('Both teabags AfterWet'!$C$3:$C$841,MATCH(H389,'Both teabags AfterWet'!$A$3:$A$841,0)),"")="N.A","",(IFERROR(INDEX('Both teabags AfterWet'!$C$3:$C$841,MATCH(H389,'Both teabags AfterWet'!$A$3:$A$841,0)),"")))</f>
        <v/>
      </c>
      <c r="T389" s="195" t="str">
        <f>IFERROR(INDEX('Both teabags AfterWet'!$C$3:$C$841,MATCH(I389,'Both teabags AfterWet'!$A$3:$A$841,0)),"")</f>
        <v/>
      </c>
      <c r="U389" s="195" t="str">
        <f t="shared" si="55"/>
        <v/>
      </c>
      <c r="V389" s="195" t="str">
        <f t="shared" si="55"/>
        <v/>
      </c>
      <c r="W389" s="195" t="str">
        <f>IFERROR(INDEX('Ashed teabags wet'!$K$2:$K$821,MATCH(H389,'Ashed teabags wet'!$A$2:$A$821,0)),"")</f>
        <v/>
      </c>
      <c r="X389" s="195" t="str">
        <f>IFERROR(INDEX('Ashed teabags wet'!$K$2:$K$821,MATCH(I389,'Ashed teabags wet'!$A$2:$A$821,0)),"")</f>
        <v/>
      </c>
      <c r="Y389" s="195" t="str">
        <f t="shared" si="49"/>
        <v/>
      </c>
      <c r="Z389" s="195" t="str">
        <f t="shared" si="49"/>
        <v/>
      </c>
      <c r="AA389" s="195" t="str">
        <f t="shared" si="56"/>
        <v/>
      </c>
      <c r="AB389" s="195" t="str">
        <f t="shared" si="57"/>
        <v/>
      </c>
      <c r="AC389" s="195" t="str">
        <f t="shared" si="50"/>
        <v/>
      </c>
      <c r="AD389" t="str">
        <f t="shared" si="51"/>
        <v/>
      </c>
      <c r="AE389" s="195" t="str">
        <f t="shared" si="58"/>
        <v/>
      </c>
      <c r="AF389" s="195" t="str">
        <f t="shared" si="59"/>
        <v/>
      </c>
      <c r="AG389" s="255" t="str">
        <f>IF(ISNUMBER(SEARCH("C",'WetLitterbags placem_collection'!AD316)),"YES","NO")</f>
        <v>NO</v>
      </c>
      <c r="AH389" s="255" t="str">
        <f>IF(ISNUMBER(SEARCH("H", 'WetLitterbags placem_collection'!AF96)),"YES","NO")</f>
        <v>NO</v>
      </c>
      <c r="AI389" s="255" t="str">
        <f>IF(ISNUMBER(SEARCH("R", 'WetLitterbags placem_collection'!XF96)),"YES","NO")</f>
        <v>NO</v>
      </c>
      <c r="AJ389" s="255" t="str">
        <f>IF(ISNUMBER(SEARCH("C", 'WetLitterbags placem_collection'!WE96)),"YES","NO")</f>
        <v>NO</v>
      </c>
      <c r="AK389" s="255" t="str">
        <f>IF(ISNUMBER(SEARCH("H", 'WetLitterbags placem_collection'!AE96)),"YES","NO")</f>
        <v>NO</v>
      </c>
      <c r="AL389" s="255" t="str">
        <f>IF(ISNUMBER(SEARCH("R", 'WetLitterbags placem_collection'!AE96)),"YES","NO")</f>
        <v>NO</v>
      </c>
    </row>
    <row r="390" spans="2:38">
      <c r="B390" t="str">
        <f>'Final data_for_R_analysis_Wetse'!A536</f>
        <v>Wet</v>
      </c>
      <c r="C390" s="263">
        <f>'Final data_for_R_analysis_Wetse'!B536</f>
        <v>95</v>
      </c>
      <c r="D390" t="s">
        <v>3840</v>
      </c>
      <c r="E390" t="s">
        <v>25</v>
      </c>
      <c r="F390" s="387">
        <v>7</v>
      </c>
      <c r="G390" s="16">
        <f>'WetLitterbags placem_collection'!E97</f>
        <v>42767</v>
      </c>
      <c r="H390" s="92" t="str">
        <f>'Final data_for_R_analysis_Wetse'!J536</f>
        <v>G486</v>
      </c>
      <c r="I390" t="str">
        <f>'Final data_for_R_analysis_Wetse'!J756</f>
        <v>R547</v>
      </c>
      <c r="J390">
        <f>IFERROR(INDEX('Green_rooibos initial weight'!$C$5:$C$1749,MATCH(H390, 'Green_rooibos initial weight'!$A$5:$A$1749,0)),"")</f>
        <v>2.0049999999999999</v>
      </c>
      <c r="K390">
        <f>IFERROR(INDEX('Green_rooibos initial weight'!$C$5:$C$1749,MATCH(I390, 'Green_rooibos initial weight'!$A$5:$A$1749,0)),"")</f>
        <v>2.194</v>
      </c>
      <c r="L390" s="195">
        <f t="shared" si="52"/>
        <v>1.7551999999999999</v>
      </c>
      <c r="M390" s="195">
        <f>AVERAGE(Ashed_controlls!$K$2:$K$11)</f>
        <v>5.5147656768714146</v>
      </c>
      <c r="N390" s="195">
        <f t="shared" si="48"/>
        <v>1.6584048328395529</v>
      </c>
      <c r="O390" s="195">
        <f t="shared" si="53"/>
        <v>1.9441999999999999</v>
      </c>
      <c r="P390" s="195">
        <f>AVERAGE(Ashed_controlls!$K$12:$K$14)</f>
        <v>2.2816647271287041</v>
      </c>
      <c r="Q390" s="195">
        <f t="shared" si="54"/>
        <v>1.8998398743751637</v>
      </c>
      <c r="R390" s="16">
        <f>IF('WetLitterbags placem_collection'!G97="N.A","",'WetLitterbags placem_collection'!G97)</f>
        <v>42819</v>
      </c>
      <c r="S390" s="195">
        <f>IF(IFERROR(INDEX('Both teabags AfterWet'!$C$3:$C$841,MATCH(H390,'Both teabags AfterWet'!$A$3:$A$841,0)),"")="N.A","",(IFERROR(INDEX('Both teabags AfterWet'!$C$3:$C$841,MATCH(H390,'Both teabags AfterWet'!$A$3:$A$841,0)),"")))</f>
        <v>0.90400000000000003</v>
      </c>
      <c r="T390" s="195">
        <f>IFERROR(INDEX('Both teabags AfterWet'!$C$3:$C$841,MATCH(I390,'Both teabags AfterWet'!$A$3:$A$841,0)),"")</f>
        <v>1.5620000000000001</v>
      </c>
      <c r="U390" s="195">
        <f t="shared" si="55"/>
        <v>0.75340000000000007</v>
      </c>
      <c r="V390" s="195">
        <f t="shared" si="55"/>
        <v>1.4114</v>
      </c>
      <c r="W390" s="195">
        <f>IFERROR(INDEX('Ashed teabags wet'!$K$2:$K$821,MATCH(H390,'Ashed teabags wet'!$A$2:$A$821,0)),"")</f>
        <v>17.120622568093445</v>
      </c>
      <c r="X390" s="195">
        <f>IFERROR(INDEX('Ashed teabags wet'!$K$2:$K$821,MATCH(I390,'Ashed teabags wet'!$A$2:$A$821,0)),"")</f>
        <v>13.011335633317401</v>
      </c>
      <c r="Y390" s="195">
        <f t="shared" si="49"/>
        <v>0.62441322957198397</v>
      </c>
      <c r="Z390" s="195">
        <f t="shared" si="49"/>
        <v>1.2277580088713582</v>
      </c>
      <c r="AA390" s="195">
        <f t="shared" si="56"/>
        <v>0.62348564282530972</v>
      </c>
      <c r="AB390" s="195">
        <f t="shared" si="57"/>
        <v>0.40874593211350474</v>
      </c>
      <c r="AC390" s="195">
        <f t="shared" si="50"/>
        <v>0.64624288890407366</v>
      </c>
      <c r="AD390">
        <f t="shared" si="51"/>
        <v>52</v>
      </c>
      <c r="AE390" s="195">
        <f t="shared" si="58"/>
        <v>0.2595182389248103</v>
      </c>
      <c r="AF390" s="195">
        <f t="shared" si="59"/>
        <v>3.8576228073045511E-2</v>
      </c>
      <c r="AG390" s="255" t="str">
        <f>IF(ISNUMBER(SEARCH("C",'WetLitterbags placem_collection'!AD317)),"YES","NO")</f>
        <v>NO</v>
      </c>
      <c r="AH390" s="255" t="str">
        <f>IF(ISNUMBER(SEARCH("H", 'WetLitterbags placem_collection'!AF97)),"YES","NO")</f>
        <v>NO</v>
      </c>
      <c r="AI390" s="255" t="str">
        <f>IF(ISNUMBER(SEARCH("R", 'WetLitterbags placem_collection'!XF97)),"YES","NO")</f>
        <v>NO</v>
      </c>
      <c r="AJ390" s="255" t="str">
        <f>IF(ISNUMBER(SEARCH("C", 'WetLitterbags placem_collection'!WE97)),"YES","NO")</f>
        <v>NO</v>
      </c>
      <c r="AK390" s="255" t="str">
        <f>IF(ISNUMBER(SEARCH("H", 'WetLitterbags placem_collection'!AE97)),"YES","NO")</f>
        <v>NO</v>
      </c>
      <c r="AL390" s="255" t="str">
        <f>IF(ISNUMBER(SEARCH("R", 'WetLitterbags placem_collection'!AE97)),"YES","NO")</f>
        <v>NO</v>
      </c>
    </row>
    <row r="391" spans="2:38">
      <c r="B391" t="str">
        <f>'Final data_for_R_analysis_Wetse'!A537</f>
        <v>Wet</v>
      </c>
      <c r="C391" s="263">
        <f>'Final data_for_R_analysis_Wetse'!B537</f>
        <v>96</v>
      </c>
      <c r="D391" t="s">
        <v>3840</v>
      </c>
      <c r="E391" t="s">
        <v>25</v>
      </c>
      <c r="F391" s="387">
        <v>8</v>
      </c>
      <c r="G391" s="16">
        <f>'WetLitterbags placem_collection'!E98</f>
        <v>42767</v>
      </c>
      <c r="H391" s="92" t="str">
        <f>'Final data_for_R_analysis_Wetse'!J537</f>
        <v>G545</v>
      </c>
      <c r="I391" t="str">
        <f>'Final data_for_R_analysis_Wetse'!J757</f>
        <v>R588</v>
      </c>
      <c r="J391">
        <f>IFERROR(INDEX('Green_rooibos initial weight'!$C$5:$C$1749,MATCH(H391, 'Green_rooibos initial weight'!$A$5:$A$1749,0)),"")</f>
        <v>2.0720000000000001</v>
      </c>
      <c r="K391">
        <f>IFERROR(INDEX('Green_rooibos initial weight'!$C$5:$C$1749,MATCH(I391, 'Green_rooibos initial weight'!$A$5:$A$1749,0)),"")</f>
        <v>2.1360000000000001</v>
      </c>
      <c r="L391" s="195">
        <f t="shared" si="52"/>
        <v>1.8222</v>
      </c>
      <c r="M391" s="195">
        <f>AVERAGE(Ashed_controlls!$K$2:$K$11)</f>
        <v>5.5147656768714146</v>
      </c>
      <c r="N391" s="195">
        <f t="shared" si="48"/>
        <v>1.7217099398360491</v>
      </c>
      <c r="O391" s="195">
        <f t="shared" si="53"/>
        <v>1.8862000000000001</v>
      </c>
      <c r="P391" s="195">
        <f>AVERAGE(Ashed_controlls!$K$12:$K$14)</f>
        <v>2.2816647271287041</v>
      </c>
      <c r="Q391" s="195">
        <f t="shared" si="54"/>
        <v>1.8431632399168985</v>
      </c>
      <c r="R391" s="16">
        <f>IF('WetLitterbags placem_collection'!G98="N.A","",'WetLitterbags placem_collection'!G98)</f>
        <v>42819</v>
      </c>
      <c r="S391" s="195">
        <f>IF(IFERROR(INDEX('Both teabags AfterWet'!$C$3:$C$841,MATCH(H391,'Both teabags AfterWet'!$A$3:$A$841,0)),"")="N.A","",(IFERROR(INDEX('Both teabags AfterWet'!$C$3:$C$841,MATCH(H391,'Both teabags AfterWet'!$A$3:$A$841,0)),"")))</f>
        <v>0.73950000000000005</v>
      </c>
      <c r="T391" s="195">
        <f>IFERROR(INDEX('Both teabags AfterWet'!$C$3:$C$841,MATCH(I391,'Both teabags AfterWet'!$A$3:$A$841,0)),"")</f>
        <v>0.87350000000000005</v>
      </c>
      <c r="U391" s="195">
        <f t="shared" si="55"/>
        <v>0.58889999999999998</v>
      </c>
      <c r="V391" s="195">
        <f t="shared" si="55"/>
        <v>0.7229000000000001</v>
      </c>
      <c r="W391" s="195">
        <f>IFERROR(INDEX('Ashed teabags wet'!$K$2:$K$821,MATCH(H391,'Ashed teabags wet'!$A$2:$A$821,0)),"")</f>
        <v>13.426156141222759</v>
      </c>
      <c r="X391" s="195">
        <f>IFERROR(INDEX('Ashed teabags wet'!$K$2:$K$821,MATCH(I391,'Ashed teabags wet'!$A$2:$A$821,0)),"")</f>
        <v>6.1660865241169791</v>
      </c>
      <c r="Y391" s="195">
        <f t="shared" si="49"/>
        <v>0.50983336648433919</v>
      </c>
      <c r="Z391" s="195">
        <f t="shared" si="49"/>
        <v>0.67832536051715842</v>
      </c>
      <c r="AA391" s="195">
        <f t="shared" si="56"/>
        <v>0.70387964041556939</v>
      </c>
      <c r="AB391" s="195">
        <f t="shared" si="57"/>
        <v>0.46145078564061087</v>
      </c>
      <c r="AC391" s="195">
        <f t="shared" si="50"/>
        <v>0.36802240074391979</v>
      </c>
      <c r="AD391">
        <f t="shared" si="51"/>
        <v>52</v>
      </c>
      <c r="AE391" s="195">
        <f t="shared" si="58"/>
        <v>0.16403843181048761</v>
      </c>
      <c r="AF391" s="195" t="str">
        <f t="shared" si="59"/>
        <v/>
      </c>
      <c r="AG391" s="255" t="str">
        <f>IF(ISNUMBER(SEARCH("C",'WetLitterbags placem_collection'!AD318)),"YES","NO")</f>
        <v>NO</v>
      </c>
      <c r="AH391" s="255" t="str">
        <f>IF(ISNUMBER(SEARCH("H", 'WetLitterbags placem_collection'!AF98)),"YES","NO")</f>
        <v>NO</v>
      </c>
      <c r="AI391" s="255" t="str">
        <f>IF(ISNUMBER(SEARCH("R", 'WetLitterbags placem_collection'!XF98)),"YES","NO")</f>
        <v>NO</v>
      </c>
      <c r="AJ391" s="255" t="str">
        <f>IF(ISNUMBER(SEARCH("C", 'WetLitterbags placem_collection'!WE98)),"YES","NO")</f>
        <v>NO</v>
      </c>
      <c r="AK391" s="255" t="str">
        <f>IF(ISNUMBER(SEARCH("H", 'WetLitterbags placem_collection'!AE98)),"YES","NO")</f>
        <v>NO</v>
      </c>
      <c r="AL391" s="255" t="str">
        <f>IF(ISNUMBER(SEARCH("R", 'WetLitterbags placem_collection'!AE98)),"YES","NO")</f>
        <v>NO</v>
      </c>
    </row>
    <row r="392" spans="2:38">
      <c r="B392" t="str">
        <f>'Final data_for_R_analysis_Wetse'!A538</f>
        <v>Wet</v>
      </c>
      <c r="C392" s="263">
        <f>'Final data_for_R_analysis_Wetse'!B538</f>
        <v>97</v>
      </c>
      <c r="D392" t="s">
        <v>3841</v>
      </c>
      <c r="E392" t="s">
        <v>25</v>
      </c>
      <c r="F392" s="386">
        <v>1</v>
      </c>
      <c r="G392" s="16">
        <f>'WetLitterbags placem_collection'!E99</f>
        <v>42762</v>
      </c>
      <c r="H392" s="92" t="str">
        <f>'Final data_for_R_analysis_Wetse'!J538</f>
        <v>G847</v>
      </c>
      <c r="I392" t="str">
        <f>'Final data_for_R_analysis_Wetse'!J758</f>
        <v>R576</v>
      </c>
      <c r="J392">
        <f>IFERROR(INDEX('Green_rooibos initial weight'!$C$5:$C$1749,MATCH(H392, 'Green_rooibos initial weight'!$A$5:$A$1749,0)),"")</f>
        <v>2.1019999999999999</v>
      </c>
      <c r="K392">
        <f>IFERROR(INDEX('Green_rooibos initial weight'!$C$5:$C$1749,MATCH(I392, 'Green_rooibos initial weight'!$A$5:$A$1749,0)),"")</f>
        <v>2.109</v>
      </c>
      <c r="L392" s="195">
        <f t="shared" si="52"/>
        <v>1.8521999999999998</v>
      </c>
      <c r="M392" s="195">
        <f>AVERAGE(Ashed_controlls!$K$2:$K$11)</f>
        <v>5.5147656768714146</v>
      </c>
      <c r="N392" s="195">
        <f t="shared" si="48"/>
        <v>1.7500555101329875</v>
      </c>
      <c r="O392" s="195">
        <f t="shared" si="53"/>
        <v>1.8592</v>
      </c>
      <c r="P392" s="195">
        <f>AVERAGE(Ashed_controlls!$K$12:$K$14)</f>
        <v>2.2816647271287041</v>
      </c>
      <c r="Q392" s="195">
        <f t="shared" si="54"/>
        <v>1.8167792893932231</v>
      </c>
      <c r="R392" s="16">
        <f>IF('WetLitterbags placem_collection'!G99="N.A","",'WetLitterbags placem_collection'!G99)</f>
        <v>42816</v>
      </c>
      <c r="S392" s="195">
        <f>IF(IFERROR(INDEX('Both teabags AfterWet'!$C$3:$C$841,MATCH(H392,'Both teabags AfterWet'!$A$3:$A$841,0)),"")="N.A","",(IFERROR(INDEX('Both teabags AfterWet'!$C$3:$C$841,MATCH(H392,'Both teabags AfterWet'!$A$3:$A$841,0)),"")))</f>
        <v>0.61809999999999998</v>
      </c>
      <c r="T392" s="195" t="str">
        <f>IFERROR(INDEX('Both teabags AfterWet'!$C$3:$C$841,MATCH(I392,'Both teabags AfterWet'!$A$3:$A$841,0)),"")</f>
        <v/>
      </c>
      <c r="U392" s="195">
        <f t="shared" si="55"/>
        <v>0.46749999999999997</v>
      </c>
      <c r="V392" s="195" t="str">
        <f t="shared" si="55"/>
        <v/>
      </c>
      <c r="W392" s="195">
        <f>IFERROR(INDEX('Ashed teabags wet'!$K$2:$K$821,MATCH(H392,'Ashed teabags wet'!$A$2:$A$821,0)),"")</f>
        <v>21.620325982741679</v>
      </c>
      <c r="X392" s="195">
        <f>IFERROR(INDEX('Ashed teabags wet'!$K$2:$K$821,MATCH(I392,'Ashed teabags wet'!$A$2:$A$821,0)),"")</f>
        <v>8.4409136047665729</v>
      </c>
      <c r="Y392" s="195">
        <f t="shared" si="49"/>
        <v>0.36642497603068264</v>
      </c>
      <c r="Z392" s="195" t="str">
        <f t="shared" si="49"/>
        <v/>
      </c>
      <c r="AA392" s="195">
        <f t="shared" si="56"/>
        <v>0.79062094093070345</v>
      </c>
      <c r="AB392" s="195">
        <f t="shared" si="57"/>
        <v>0.5183168163821239</v>
      </c>
      <c r="AC392" s="195" t="str">
        <f t="shared" si="50"/>
        <v/>
      </c>
      <c r="AD392">
        <f t="shared" si="51"/>
        <v>54</v>
      </c>
      <c r="AE392" s="195">
        <f t="shared" si="58"/>
        <v>6.1020260177311769E-2</v>
      </c>
      <c r="AF392" s="195" t="str">
        <f t="shared" si="59"/>
        <v/>
      </c>
      <c r="AG392" s="255" t="str">
        <f>IF(ISNUMBER(SEARCH("C",'WetLitterbags placem_collection'!AD319)),"YES","NO")</f>
        <v>NO</v>
      </c>
      <c r="AH392" s="255" t="str">
        <f>IF(ISNUMBER(SEARCH("H", 'WetLitterbags placem_collection'!AF99)),"YES","NO")</f>
        <v>NO</v>
      </c>
      <c r="AI392" s="255" t="str">
        <f>IF(ISNUMBER(SEARCH("R", 'WetLitterbags placem_collection'!XF99)),"YES","NO")</f>
        <v>NO</v>
      </c>
      <c r="AJ392" s="255" t="str">
        <f>IF(ISNUMBER(SEARCH("C", 'WetLitterbags placem_collection'!WE99)),"YES","NO")</f>
        <v>NO</v>
      </c>
      <c r="AK392" s="255" t="str">
        <f>IF(ISNUMBER(SEARCH("H", 'WetLitterbags placem_collection'!AE99)),"YES","NO")</f>
        <v>NO</v>
      </c>
      <c r="AL392" s="255" t="str">
        <f>IF(ISNUMBER(SEARCH("R", 'WetLitterbags placem_collection'!AE99)),"YES","NO")</f>
        <v>NO</v>
      </c>
    </row>
    <row r="393" spans="2:38">
      <c r="B393" t="str">
        <f>'Final data_for_R_analysis_Wetse'!A539</f>
        <v>Wet</v>
      </c>
      <c r="C393" s="263">
        <f>'Final data_for_R_analysis_Wetse'!B539</f>
        <v>98</v>
      </c>
      <c r="D393" t="s">
        <v>3841</v>
      </c>
      <c r="E393" t="s">
        <v>25</v>
      </c>
      <c r="F393" s="386">
        <v>2</v>
      </c>
      <c r="G393" s="16">
        <f>'WetLitterbags placem_collection'!E100</f>
        <v>42762</v>
      </c>
      <c r="H393" s="92" t="str">
        <f>'Final data_for_R_analysis_Wetse'!J539</f>
        <v>G730</v>
      </c>
      <c r="I393" t="str">
        <f>'Final data_for_R_analysis_Wetse'!J759</f>
        <v>R561</v>
      </c>
      <c r="J393">
        <f>IFERROR(INDEX('Green_rooibos initial weight'!$C$5:$C$1749,MATCH(H393, 'Green_rooibos initial weight'!$A$5:$A$1749,0)),"")</f>
        <v>2.048</v>
      </c>
      <c r="K393">
        <f>IFERROR(INDEX('Green_rooibos initial weight'!$C$5:$C$1749,MATCH(I393, 'Green_rooibos initial weight'!$A$5:$A$1749,0)),"")</f>
        <v>2.0760000000000001</v>
      </c>
      <c r="L393" s="195">
        <f t="shared" si="52"/>
        <v>1.7982</v>
      </c>
      <c r="M393" s="195">
        <f>AVERAGE(Ashed_controlls!$K$2:$K$11)</f>
        <v>5.5147656768714146</v>
      </c>
      <c r="N393" s="195">
        <f t="shared" si="48"/>
        <v>1.6990334835984982</v>
      </c>
      <c r="O393" s="195">
        <f t="shared" si="53"/>
        <v>1.8262</v>
      </c>
      <c r="P393" s="195">
        <f>AVERAGE(Ashed_controlls!$K$12:$K$14)</f>
        <v>2.2816647271287041</v>
      </c>
      <c r="Q393" s="195">
        <f t="shared" si="54"/>
        <v>1.7845322387531757</v>
      </c>
      <c r="R393" s="16">
        <f>IF('WetLitterbags placem_collection'!G100="N.A","",'WetLitterbags placem_collection'!G100)</f>
        <v>42816</v>
      </c>
      <c r="S393" s="195">
        <f>IF(IFERROR(INDEX('Both teabags AfterWet'!$C$3:$C$841,MATCH(H393,'Both teabags AfterWet'!$A$3:$A$841,0)),"")="N.A","",(IFERROR(INDEX('Both teabags AfterWet'!$C$3:$C$841,MATCH(H393,'Both teabags AfterWet'!$A$3:$A$841,0)),"")))</f>
        <v>0.629</v>
      </c>
      <c r="T393" s="195">
        <f>IFERROR(INDEX('Both teabags AfterWet'!$C$3:$C$841,MATCH(I393,'Both teabags AfterWet'!$A$3:$A$841,0)),"")</f>
        <v>1.661</v>
      </c>
      <c r="U393" s="195">
        <f t="shared" si="55"/>
        <v>0.47839999999999999</v>
      </c>
      <c r="V393" s="195">
        <f t="shared" si="55"/>
        <v>1.5104</v>
      </c>
      <c r="W393" s="195">
        <f>IFERROR(INDEX('Ashed teabags wet'!$K$2:$K$821,MATCH(H393,'Ashed teabags wet'!$A$2:$A$821,0)),"")</f>
        <v>15.206692913385</v>
      </c>
      <c r="X393" s="195">
        <f>IFERROR(INDEX('Ashed teabags wet'!$K$2:$K$821,MATCH(I393,'Ashed teabags wet'!$A$2:$A$821,0)),"")</f>
        <v>12.28244654400746</v>
      </c>
      <c r="Y393" s="195">
        <f t="shared" si="49"/>
        <v>0.40565118110236614</v>
      </c>
      <c r="Z393" s="195">
        <f t="shared" si="49"/>
        <v>1.3248859273993112</v>
      </c>
      <c r="AA393" s="195">
        <f t="shared" si="56"/>
        <v>0.76124591715331591</v>
      </c>
      <c r="AB393" s="195">
        <f t="shared" si="57"/>
        <v>0.49905908107913349</v>
      </c>
      <c r="AC393" s="195">
        <f t="shared" si="50"/>
        <v>0.74242756652297182</v>
      </c>
      <c r="AD393">
        <f t="shared" si="51"/>
        <v>54</v>
      </c>
      <c r="AE393" s="195">
        <f t="shared" si="58"/>
        <v>9.5907461813164008E-2</v>
      </c>
      <c r="AF393" s="195">
        <f t="shared" si="59"/>
        <v>1.3442783436430749E-2</v>
      </c>
      <c r="AG393" s="255" t="str">
        <f>IF(ISNUMBER(SEARCH("C",'WetLitterbags placem_collection'!AD320)),"YES","NO")</f>
        <v>NO</v>
      </c>
      <c r="AH393" s="255" t="str">
        <f>IF(ISNUMBER(SEARCH("H", 'WetLitterbags placem_collection'!AF100)),"YES","NO")</f>
        <v>NO</v>
      </c>
      <c r="AI393" s="255" t="str">
        <f>IF(ISNUMBER(SEARCH("R", 'WetLitterbags placem_collection'!XF100)),"YES","NO")</f>
        <v>NO</v>
      </c>
      <c r="AJ393" s="255" t="str">
        <f>IF(ISNUMBER(SEARCH("C", 'WetLitterbags placem_collection'!WE100)),"YES","NO")</f>
        <v>NO</v>
      </c>
      <c r="AK393" s="255" t="str">
        <f>IF(ISNUMBER(SEARCH("H", 'WetLitterbags placem_collection'!AE100)),"YES","NO")</f>
        <v>NO</v>
      </c>
      <c r="AL393" s="255" t="str">
        <f>IF(ISNUMBER(SEARCH("R", 'WetLitterbags placem_collection'!AE100)),"YES","NO")</f>
        <v>NO</v>
      </c>
    </row>
    <row r="394" spans="2:38">
      <c r="B394" t="str">
        <f>'Final data_for_R_analysis_Wetse'!A540</f>
        <v>Wet</v>
      </c>
      <c r="C394" s="263">
        <f>'Final data_for_R_analysis_Wetse'!B540</f>
        <v>99</v>
      </c>
      <c r="D394" t="s">
        <v>3841</v>
      </c>
      <c r="E394" t="s">
        <v>25</v>
      </c>
      <c r="F394" s="386">
        <v>3</v>
      </c>
      <c r="G394" s="16">
        <f>'WetLitterbags placem_collection'!E101</f>
        <v>42762</v>
      </c>
      <c r="H394" s="92" t="str">
        <f>'Final data_for_R_analysis_Wetse'!J540</f>
        <v>G691</v>
      </c>
      <c r="I394" t="str">
        <f>'Final data_for_R_analysis_Wetse'!J760</f>
        <v>R496</v>
      </c>
      <c r="J394">
        <f>IFERROR(INDEX('Green_rooibos initial weight'!$C$5:$C$1749,MATCH(H394, 'Green_rooibos initial weight'!$A$5:$A$1749,0)),"")</f>
        <v>2.0950000000000002</v>
      </c>
      <c r="K394">
        <f>IFERROR(INDEX('Green_rooibos initial weight'!$C$5:$C$1749,MATCH(I394, 'Green_rooibos initial weight'!$A$5:$A$1749,0)),"")</f>
        <v>2.2389999999999999</v>
      </c>
      <c r="L394" s="195">
        <f t="shared" si="52"/>
        <v>1.8452000000000002</v>
      </c>
      <c r="M394" s="195">
        <f>AVERAGE(Ashed_controlls!$K$2:$K$11)</f>
        <v>5.5147656768714146</v>
      </c>
      <c r="N394" s="195">
        <f t="shared" si="48"/>
        <v>1.7434415437303687</v>
      </c>
      <c r="O394" s="195">
        <f t="shared" si="53"/>
        <v>1.9891999999999999</v>
      </c>
      <c r="P394" s="195">
        <f>AVERAGE(Ashed_controlls!$K$12:$K$14)</f>
        <v>2.2816647271287041</v>
      </c>
      <c r="Q394" s="195">
        <f t="shared" si="54"/>
        <v>1.9438131252479556</v>
      </c>
      <c r="R394" s="16">
        <f>IF('WetLitterbags placem_collection'!G101="N.A","",'WetLitterbags placem_collection'!G101)</f>
        <v>42816</v>
      </c>
      <c r="S394" s="195">
        <f>IF(IFERROR(INDEX('Both teabags AfterWet'!$C$3:$C$841,MATCH(H394,'Both teabags AfterWet'!$A$3:$A$841,0)),"")="N.A","",(IFERROR(INDEX('Both teabags AfterWet'!$C$3:$C$841,MATCH(H394,'Both teabags AfterWet'!$A$3:$A$841,0)),"")))</f>
        <v>0.52829999999999999</v>
      </c>
      <c r="T394" s="195">
        <f>IFERROR(INDEX('Both teabags AfterWet'!$C$3:$C$841,MATCH(I394,'Both teabags AfterWet'!$A$3:$A$841,0)),"")</f>
        <v>1.5016</v>
      </c>
      <c r="U394" s="195">
        <f t="shared" si="55"/>
        <v>0.37769999999999998</v>
      </c>
      <c r="V394" s="195">
        <f t="shared" si="55"/>
        <v>1.351</v>
      </c>
      <c r="W394" s="195">
        <f>IFERROR(INDEX('Ashed teabags wet'!$K$2:$K$821,MATCH(H394,'Ashed teabags wet'!$A$2:$A$821,0)),"")</f>
        <v>10.554371002128548</v>
      </c>
      <c r="X394" s="195">
        <f>IFERROR(INDEX('Ashed teabags wet'!$K$2:$K$821,MATCH(I394,'Ashed teabags wet'!$A$2:$A$821,0)),"")</f>
        <v>7.3182711198407153</v>
      </c>
      <c r="Y394" s="195">
        <f t="shared" si="49"/>
        <v>0.33783614072496049</v>
      </c>
      <c r="Z394" s="195">
        <f t="shared" si="49"/>
        <v>1.252130157170952</v>
      </c>
      <c r="AA394" s="195">
        <f t="shared" si="56"/>
        <v>0.80622456661087316</v>
      </c>
      <c r="AB394" s="195">
        <f t="shared" si="57"/>
        <v>0.52854627169738955</v>
      </c>
      <c r="AC394" s="195">
        <f t="shared" si="50"/>
        <v>0.64416179770945237</v>
      </c>
      <c r="AD394">
        <f t="shared" si="51"/>
        <v>54</v>
      </c>
      <c r="AE394" s="195">
        <f t="shared" si="58"/>
        <v>4.2488638229366771E-2</v>
      </c>
      <c r="AF394" s="195">
        <f t="shared" si="59"/>
        <v>2.0713474912983417E-2</v>
      </c>
      <c r="AG394" s="255" t="str">
        <f>IF(ISNUMBER(SEARCH("C",'WetLitterbags placem_collection'!AD321)),"YES","NO")</f>
        <v>NO</v>
      </c>
      <c r="AH394" s="255" t="str">
        <f>IF(ISNUMBER(SEARCH("H", 'WetLitterbags placem_collection'!AF101)),"YES","NO")</f>
        <v>NO</v>
      </c>
      <c r="AI394" s="255" t="str">
        <f>IF(ISNUMBER(SEARCH("R", 'WetLitterbags placem_collection'!XF101)),"YES","NO")</f>
        <v>NO</v>
      </c>
      <c r="AJ394" s="255" t="str">
        <f>IF(ISNUMBER(SEARCH("C", 'WetLitterbags placem_collection'!WE101)),"YES","NO")</f>
        <v>NO</v>
      </c>
      <c r="AK394" s="255" t="str">
        <f>IF(ISNUMBER(SEARCH("H", 'WetLitterbags placem_collection'!AE101)),"YES","NO")</f>
        <v>NO</v>
      </c>
      <c r="AL394" s="255" t="str">
        <f>IF(ISNUMBER(SEARCH("R", 'WetLitterbags placem_collection'!AE101)),"YES","NO")</f>
        <v>NO</v>
      </c>
    </row>
    <row r="395" spans="2:38">
      <c r="B395" t="str">
        <f>'Final data_for_R_analysis_Wetse'!A541</f>
        <v>Wet</v>
      </c>
      <c r="C395" s="263">
        <f>'Final data_for_R_analysis_Wetse'!B541</f>
        <v>100</v>
      </c>
      <c r="D395" t="s">
        <v>3841</v>
      </c>
      <c r="E395" t="s">
        <v>25</v>
      </c>
      <c r="F395" s="387">
        <v>4</v>
      </c>
      <c r="G395" s="16">
        <f>'WetLitterbags placem_collection'!E102</f>
        <v>42762</v>
      </c>
      <c r="H395" s="92" t="str">
        <f>'Final data_for_R_analysis_Wetse'!J541</f>
        <v>G828</v>
      </c>
      <c r="I395" t="str">
        <f>'Final data_for_R_analysis_Wetse'!J761</f>
        <v>R497</v>
      </c>
      <c r="J395">
        <f>IFERROR(INDEX('Green_rooibos initial weight'!$C$5:$C$1749,MATCH(H395, 'Green_rooibos initial weight'!$A$5:$A$1749,0)),"")</f>
        <v>1.986</v>
      </c>
      <c r="K395">
        <f>IFERROR(INDEX('Green_rooibos initial weight'!$C$5:$C$1749,MATCH(I395, 'Green_rooibos initial weight'!$A$5:$A$1749,0)),"")</f>
        <v>2.2240000000000002</v>
      </c>
      <c r="L395" s="195">
        <f t="shared" si="52"/>
        <v>1.7362</v>
      </c>
      <c r="M395" s="195">
        <f>AVERAGE(Ashed_controlls!$K$2:$K$11)</f>
        <v>5.5147656768714146</v>
      </c>
      <c r="N395" s="195">
        <f t="shared" si="48"/>
        <v>1.6404526383181586</v>
      </c>
      <c r="O395" s="195">
        <f t="shared" si="53"/>
        <v>1.9742000000000002</v>
      </c>
      <c r="P395" s="195">
        <f>AVERAGE(Ashed_controlls!$K$12:$K$14)</f>
        <v>2.2816647271287041</v>
      </c>
      <c r="Q395" s="195">
        <f t="shared" si="54"/>
        <v>1.9291553749570254</v>
      </c>
      <c r="R395" s="16">
        <f>IF('WetLitterbags placem_collection'!G102="N.A","",'WetLitterbags placem_collection'!G102)</f>
        <v>42816</v>
      </c>
      <c r="S395" s="195">
        <f>IF(IFERROR(INDEX('Both teabags AfterWet'!$C$3:$C$841,MATCH(H395,'Both teabags AfterWet'!$A$3:$A$841,0)),"")="N.A","",(IFERROR(INDEX('Both teabags AfterWet'!$C$3:$C$841,MATCH(H395,'Both teabags AfterWet'!$A$3:$A$841,0)),"")))</f>
        <v>0.57399999999999995</v>
      </c>
      <c r="T395" s="195">
        <f>IFERROR(INDEX('Both teabags AfterWet'!$C$3:$C$841,MATCH(I395,'Both teabags AfterWet'!$A$3:$A$841,0)),"")</f>
        <v>1.66</v>
      </c>
      <c r="U395" s="195">
        <f t="shared" si="55"/>
        <v>0.42339999999999994</v>
      </c>
      <c r="V395" s="195">
        <f t="shared" si="55"/>
        <v>1.5093999999999999</v>
      </c>
      <c r="W395" s="195">
        <f>IFERROR(INDEX('Ashed teabags wet'!$K$2:$K$821,MATCH(H395,'Ashed teabags wet'!$A$2:$A$821,0)),"")</f>
        <v>14.012096774192942</v>
      </c>
      <c r="X395" s="195">
        <f>IFERROR(INDEX('Ashed teabags wet'!$K$2:$K$821,MATCH(I395,'Ashed teabags wet'!$A$2:$A$821,0)),"")</f>
        <v>7.3426573426567847</v>
      </c>
      <c r="Y395" s="195">
        <f t="shared" si="49"/>
        <v>0.36407278225806705</v>
      </c>
      <c r="Z395" s="195">
        <f t="shared" si="49"/>
        <v>1.3985699300699383</v>
      </c>
      <c r="AA395" s="195">
        <f t="shared" si="56"/>
        <v>0.77806565471385669</v>
      </c>
      <c r="AB395" s="195">
        <f t="shared" si="57"/>
        <v>0.5100857973896068</v>
      </c>
      <c r="AC395" s="195">
        <f t="shared" si="50"/>
        <v>0.72496489822707688</v>
      </c>
      <c r="AD395">
        <f t="shared" si="51"/>
        <v>54</v>
      </c>
      <c r="AE395" s="195">
        <f t="shared" si="58"/>
        <v>7.5931526468103638E-2</v>
      </c>
      <c r="AF395" s="195">
        <f t="shared" si="59"/>
        <v>1.4347735645145843E-2</v>
      </c>
      <c r="AG395" s="255" t="str">
        <f>IF(ISNUMBER(SEARCH("C",'WetLitterbags placem_collection'!AD322)),"YES","NO")</f>
        <v>NO</v>
      </c>
      <c r="AH395" s="255" t="str">
        <f>IF(ISNUMBER(SEARCH("H", 'WetLitterbags placem_collection'!AF102)),"YES","NO")</f>
        <v>NO</v>
      </c>
      <c r="AI395" s="255" t="str">
        <f>IF(ISNUMBER(SEARCH("R", 'WetLitterbags placem_collection'!XF102)),"YES","NO")</f>
        <v>NO</v>
      </c>
      <c r="AJ395" s="255" t="str">
        <f>IF(ISNUMBER(SEARCH("C", 'WetLitterbags placem_collection'!WE102)),"YES","NO")</f>
        <v>NO</v>
      </c>
      <c r="AK395" s="255" t="str">
        <f>IF(ISNUMBER(SEARCH("H", 'WetLitterbags placem_collection'!AE102)),"YES","NO")</f>
        <v>NO</v>
      </c>
      <c r="AL395" s="255" t="str">
        <f>IF(ISNUMBER(SEARCH("R", 'WetLitterbags placem_collection'!AE102)),"YES","NO")</f>
        <v>NO</v>
      </c>
    </row>
    <row r="396" spans="2:38">
      <c r="B396" t="str">
        <f>'Final data_for_R_analysis_Wetse'!A542</f>
        <v>Wet</v>
      </c>
      <c r="C396" s="263">
        <f>'Final data_for_R_analysis_Wetse'!B542</f>
        <v>101</v>
      </c>
      <c r="D396" t="s">
        <v>3841</v>
      </c>
      <c r="E396" t="s">
        <v>25</v>
      </c>
      <c r="F396" s="387">
        <v>5</v>
      </c>
      <c r="G396" s="16">
        <f>'WetLitterbags placem_collection'!E103</f>
        <v>42762</v>
      </c>
      <c r="H396" s="92" t="str">
        <f>'Final data_for_R_analysis_Wetse'!J542</f>
        <v>G875</v>
      </c>
      <c r="I396" t="str">
        <f>'Final data_for_R_analysis_Wetse'!J762</f>
        <v>R10</v>
      </c>
      <c r="J396">
        <f>IFERROR(INDEX('Green_rooibos initial weight'!$C$5:$C$1749,MATCH(H396, 'Green_rooibos initial weight'!$A$5:$A$1749,0)),"")</f>
        <v>2.0880000000000001</v>
      </c>
      <c r="K396">
        <f>IFERROR(INDEX('Green_rooibos initial weight'!$C$5:$C$1749,MATCH(I396, 'Green_rooibos initial weight'!$A$5:$A$1749,0)),"")</f>
        <v>2.29</v>
      </c>
      <c r="L396" s="195">
        <f t="shared" si="52"/>
        <v>1.8382000000000001</v>
      </c>
      <c r="M396" s="195">
        <f>AVERAGE(Ashed_controlls!$K$2:$K$11)</f>
        <v>5.5147656768714146</v>
      </c>
      <c r="N396" s="195">
        <f t="shared" ref="N396:N459" si="60">IFERROR(L396-(M396/100)*L396,"")</f>
        <v>1.7368275773277497</v>
      </c>
      <c r="O396" s="195">
        <f t="shared" si="53"/>
        <v>2.0402</v>
      </c>
      <c r="P396" s="195">
        <f>AVERAGE(Ashed_controlls!$K$12:$K$14)</f>
        <v>2.2816647271287041</v>
      </c>
      <c r="Q396" s="195">
        <f t="shared" si="54"/>
        <v>1.9936494762371202</v>
      </c>
      <c r="R396" s="16">
        <f>IF('WetLitterbags placem_collection'!G103="N.A","",'WetLitterbags placem_collection'!G103)</f>
        <v>42816</v>
      </c>
      <c r="S396" s="195">
        <f>IF(IFERROR(INDEX('Both teabags AfterWet'!$C$3:$C$841,MATCH(H396,'Both teabags AfterWet'!$A$3:$A$841,0)),"")="N.A","",(IFERROR(INDEX('Both teabags AfterWet'!$C$3:$C$841,MATCH(H396,'Both teabags AfterWet'!$A$3:$A$841,0)),"")))</f>
        <v>0.62450000000000006</v>
      </c>
      <c r="T396" s="195">
        <f>IFERROR(INDEX('Both teabags AfterWet'!$C$3:$C$841,MATCH(I396,'Both teabags AfterWet'!$A$3:$A$841,0)),"")</f>
        <v>1.5687</v>
      </c>
      <c r="U396" s="195">
        <f t="shared" si="55"/>
        <v>0.47390000000000004</v>
      </c>
      <c r="V396" s="195">
        <f t="shared" si="55"/>
        <v>1.4180999999999999</v>
      </c>
      <c r="W396" s="195">
        <f>IFERROR(INDEX('Ashed teabags wet'!$K$2:$K$821,MATCH(H396,'Ashed teabags wet'!$A$2:$A$821,0)),"")</f>
        <v>13.73786407767002</v>
      </c>
      <c r="X396" s="195">
        <f>IFERROR(INDEX('Ashed teabags wet'!$K$2:$K$821,MATCH(I396,'Ashed teabags wet'!$A$2:$A$821,0)),"")</f>
        <v>7.5048732943469902</v>
      </c>
      <c r="Y396" s="195">
        <f t="shared" ref="Y396:Z459" si="61">IFERROR(U396-(W396/100)*U396,"")</f>
        <v>0.4087962621359218</v>
      </c>
      <c r="Z396" s="195">
        <f t="shared" si="61"/>
        <v>1.3116733918128651</v>
      </c>
      <c r="AA396" s="195">
        <f t="shared" si="56"/>
        <v>0.76463048636935627</v>
      </c>
      <c r="AB396" s="195">
        <f t="shared" si="57"/>
        <v>0.50127794355805788</v>
      </c>
      <c r="AC396" s="195">
        <f t="shared" ref="AC396:AC459" si="62">IFERROR(Z396/Q396,"")</f>
        <v>0.65792578256462653</v>
      </c>
      <c r="AD396">
        <f t="shared" ref="AD396:AD459" si="63">IF((R396-G396)&gt;0,(IFERROR(R396-G396,"")),"")</f>
        <v>54</v>
      </c>
      <c r="AE396" s="195">
        <f t="shared" si="58"/>
        <v>9.1887783409315582E-2</v>
      </c>
      <c r="AF396" s="195">
        <f t="shared" si="59"/>
        <v>2.1240297155260244E-2</v>
      </c>
      <c r="AG396" s="255" t="str">
        <f>IF(ISNUMBER(SEARCH("C",'WetLitterbags placem_collection'!AD323)),"YES","NO")</f>
        <v>NO</v>
      </c>
      <c r="AH396" s="255" t="str">
        <f>IF(ISNUMBER(SEARCH("H", 'WetLitterbags placem_collection'!AF103)),"YES","NO")</f>
        <v>NO</v>
      </c>
      <c r="AI396" s="255" t="str">
        <f>IF(ISNUMBER(SEARCH("R", 'WetLitterbags placem_collection'!XF103)),"YES","NO")</f>
        <v>NO</v>
      </c>
      <c r="AJ396" s="255" t="str">
        <f>IF(ISNUMBER(SEARCH("C", 'WetLitterbags placem_collection'!WE103)),"YES","NO")</f>
        <v>NO</v>
      </c>
      <c r="AK396" s="255" t="str">
        <f>IF(ISNUMBER(SEARCH("H", 'WetLitterbags placem_collection'!AE103)),"YES","NO")</f>
        <v>NO</v>
      </c>
      <c r="AL396" s="255" t="str">
        <f>IF(ISNUMBER(SEARCH("R", 'WetLitterbags placem_collection'!AE103)),"YES","NO")</f>
        <v>NO</v>
      </c>
    </row>
    <row r="397" spans="2:38">
      <c r="B397" t="str">
        <f>'Final data_for_R_analysis_Wetse'!A543</f>
        <v>Wet</v>
      </c>
      <c r="C397" s="263">
        <f>'Final data_for_R_analysis_Wetse'!B543</f>
        <v>102</v>
      </c>
      <c r="D397" t="s">
        <v>3841</v>
      </c>
      <c r="E397" t="s">
        <v>25</v>
      </c>
      <c r="F397" s="387">
        <v>6</v>
      </c>
      <c r="G397" s="16">
        <f>'WetLitterbags placem_collection'!E104</f>
        <v>42762</v>
      </c>
      <c r="H397" s="92" t="str">
        <f>'Final data_for_R_analysis_Wetse'!J543</f>
        <v>G824</v>
      </c>
      <c r="I397" t="str">
        <f>'Final data_for_R_analysis_Wetse'!J763</f>
        <v>R26</v>
      </c>
      <c r="J397">
        <f>IFERROR(INDEX('Green_rooibos initial weight'!$C$5:$C$1749,MATCH(H397, 'Green_rooibos initial weight'!$A$5:$A$1749,0)),"")</f>
        <v>1.931</v>
      </c>
      <c r="K397">
        <f>IFERROR(INDEX('Green_rooibos initial weight'!$C$5:$C$1749,MATCH(I397, 'Green_rooibos initial weight'!$A$5:$A$1749,0)),"")</f>
        <v>2.2559999999999998</v>
      </c>
      <c r="L397" s="195">
        <f t="shared" ref="L397:L460" si="64">IF(J397&gt;0,(J397*$F$31-($F$29+$F$30)),"")</f>
        <v>1.6812</v>
      </c>
      <c r="M397" s="195">
        <f>AVERAGE(Ashed_controlls!$K$2:$K$11)</f>
        <v>5.5147656768714146</v>
      </c>
      <c r="N397" s="195">
        <f t="shared" si="60"/>
        <v>1.5884857594404378</v>
      </c>
      <c r="O397" s="195">
        <f t="shared" ref="O397:O460" si="65">IF(K397&gt;0,(K397*$F$32-($F$29+$F$30)),"")</f>
        <v>2.0061999999999998</v>
      </c>
      <c r="P397" s="195">
        <f>AVERAGE(Ashed_controlls!$K$12:$K$14)</f>
        <v>2.2816647271287041</v>
      </c>
      <c r="Q397" s="195">
        <f t="shared" ref="Q397:Q460" si="66">IFERROR(O397-(P397/100)*O397,"")</f>
        <v>1.9604252422443438</v>
      </c>
      <c r="R397" s="16">
        <f>IF('WetLitterbags placem_collection'!G104="N.A","",'WetLitterbags placem_collection'!G104)</f>
        <v>42816</v>
      </c>
      <c r="S397" s="195">
        <f>IF(IFERROR(INDEX('Both teabags AfterWet'!$C$3:$C$841,MATCH(H397,'Both teabags AfterWet'!$A$3:$A$841,0)),"")="N.A","",(IFERROR(INDEX('Both teabags AfterWet'!$C$3:$C$841,MATCH(H397,'Both teabags AfterWet'!$A$3:$A$841,0)),"")))</f>
        <v>0.63800000000000001</v>
      </c>
      <c r="T397" s="195">
        <f>IFERROR(INDEX('Both teabags AfterWet'!$C$3:$C$841,MATCH(I397,'Both teabags AfterWet'!$A$3:$A$841,0)),"")</f>
        <v>1.6240000000000001</v>
      </c>
      <c r="U397" s="195">
        <f t="shared" ref="U397:V460" si="67">IFERROR(IF(S397&gt;0,S397-($F$29),""),"")</f>
        <v>0.4874</v>
      </c>
      <c r="V397" s="195">
        <f t="shared" si="67"/>
        <v>1.4734</v>
      </c>
      <c r="W397" s="195">
        <f>IFERROR(INDEX('Ashed teabags wet'!$K$2:$K$821,MATCH(H397,'Ashed teabags wet'!$A$2:$A$821,0)),"")</f>
        <v>12.710187932739478</v>
      </c>
      <c r="X397" s="195">
        <f>IFERROR(INDEX('Ashed teabags wet'!$K$2:$K$821,MATCH(I397,'Ashed teabags wet'!$A$2:$A$821,0)),"")</f>
        <v>5.4671968190859612</v>
      </c>
      <c r="Y397" s="195">
        <f t="shared" si="61"/>
        <v>0.42545054401582777</v>
      </c>
      <c r="Z397" s="195">
        <f t="shared" si="61"/>
        <v>1.3928463220675875</v>
      </c>
      <c r="AA397" s="195">
        <f t="shared" ref="AA397:AA460" si="68">IFERROR(1-Y397/N397,"")</f>
        <v>0.73216596907629972</v>
      </c>
      <c r="AB397" s="195">
        <f t="shared" ref="AB397:AB460" si="69">IFERROR($F$26*(1-AE397),"")</f>
        <v>0.47999479207852436</v>
      </c>
      <c r="AC397" s="195">
        <f t="shared" si="62"/>
        <v>0.71048173225571321</v>
      </c>
      <c r="AD397">
        <f t="shared" si="63"/>
        <v>54</v>
      </c>
      <c r="AE397" s="195">
        <f t="shared" ref="AE397:AE460" si="70">IFERROR(1-(AA397/$F$25),"")</f>
        <v>0.1304442172490502</v>
      </c>
      <c r="AF397" s="195">
        <f t="shared" ref="AF397:AF460" si="71">IFERROR(LN(AB397/(AC397-(1-AB397)))/AD397,"")</f>
        <v>1.7115672201386174E-2</v>
      </c>
      <c r="AG397" s="255" t="str">
        <f>IF(ISNUMBER(SEARCH("C",'WetLitterbags placem_collection'!AD324)),"YES","NO")</f>
        <v>NO</v>
      </c>
      <c r="AH397" s="255" t="str">
        <f>IF(ISNUMBER(SEARCH("H", 'WetLitterbags placem_collection'!AF104)),"YES","NO")</f>
        <v>NO</v>
      </c>
      <c r="AI397" s="255" t="str">
        <f>IF(ISNUMBER(SEARCH("R", 'WetLitterbags placem_collection'!XF104)),"YES","NO")</f>
        <v>NO</v>
      </c>
      <c r="AJ397" s="255" t="str">
        <f>IF(ISNUMBER(SEARCH("C", 'WetLitterbags placem_collection'!WE104)),"YES","NO")</f>
        <v>NO</v>
      </c>
      <c r="AK397" s="255" t="str">
        <f>IF(ISNUMBER(SEARCH("H", 'WetLitterbags placem_collection'!AE104)),"YES","NO")</f>
        <v>NO</v>
      </c>
      <c r="AL397" s="255" t="str">
        <f>IF(ISNUMBER(SEARCH("R", 'WetLitterbags placem_collection'!AE104)),"YES","NO")</f>
        <v>NO</v>
      </c>
    </row>
    <row r="398" spans="2:38">
      <c r="B398" t="str">
        <f>'Final data_for_R_analysis_Wetse'!A544</f>
        <v>Wet</v>
      </c>
      <c r="C398" s="263">
        <f>'Final data_for_R_analysis_Wetse'!B544</f>
        <v>103</v>
      </c>
      <c r="D398" t="s">
        <v>3841</v>
      </c>
      <c r="E398" t="s">
        <v>25</v>
      </c>
      <c r="F398" s="387">
        <v>7</v>
      </c>
      <c r="G398" s="16">
        <f>'WetLitterbags placem_collection'!E105</f>
        <v>42762</v>
      </c>
      <c r="H398" s="92" t="str">
        <f>'Final data_for_R_analysis_Wetse'!J544</f>
        <v>G692</v>
      </c>
      <c r="I398" t="str">
        <f>'Final data_for_R_analysis_Wetse'!J764</f>
        <v>R494</v>
      </c>
      <c r="J398">
        <f>IFERROR(INDEX('Green_rooibos initial weight'!$C$5:$C$1749,MATCH(H398, 'Green_rooibos initial weight'!$A$5:$A$1749,0)),"")</f>
        <v>2.028</v>
      </c>
      <c r="K398">
        <f>IFERROR(INDEX('Green_rooibos initial weight'!$C$5:$C$1749,MATCH(I398, 'Green_rooibos initial weight'!$A$5:$A$1749,0)),"")</f>
        <v>2.2130000000000001</v>
      </c>
      <c r="L398" s="195">
        <f t="shared" si="64"/>
        <v>1.7782</v>
      </c>
      <c r="M398" s="195">
        <f>AVERAGE(Ashed_controlls!$K$2:$K$11)</f>
        <v>5.5147656768714146</v>
      </c>
      <c r="N398" s="195">
        <f t="shared" si="60"/>
        <v>1.6801364367338725</v>
      </c>
      <c r="O398" s="195">
        <f t="shared" si="65"/>
        <v>1.9632000000000001</v>
      </c>
      <c r="P398" s="195">
        <f>AVERAGE(Ashed_controlls!$K$12:$K$14)</f>
        <v>2.2816647271287041</v>
      </c>
      <c r="Q398" s="195">
        <f t="shared" si="66"/>
        <v>1.9184063580770094</v>
      </c>
      <c r="R398" s="16">
        <f>IF('WetLitterbags placem_collection'!G105="N.A","",'WetLitterbags placem_collection'!G105)</f>
        <v>42816</v>
      </c>
      <c r="S398" s="195">
        <f>IF(IFERROR(INDEX('Both teabags AfterWet'!$C$3:$C$841,MATCH(H398,'Both teabags AfterWet'!$A$3:$A$841,0)),"")="N.A","",(IFERROR(INDEX('Both teabags AfterWet'!$C$3:$C$841,MATCH(H398,'Both teabags AfterWet'!$A$3:$A$841,0)),"")))</f>
        <v>0.58699999999999997</v>
      </c>
      <c r="T398" s="195">
        <f>IFERROR(INDEX('Both teabags AfterWet'!$C$3:$C$841,MATCH(I398,'Both teabags AfterWet'!$A$3:$A$841,0)),"")</f>
        <v>1.6919999999999999</v>
      </c>
      <c r="U398" s="195">
        <f t="shared" si="67"/>
        <v>0.43639999999999995</v>
      </c>
      <c r="V398" s="195">
        <f t="shared" si="67"/>
        <v>1.5413999999999999</v>
      </c>
      <c r="W398" s="195">
        <f>IFERROR(INDEX('Ashed teabags wet'!$K$2:$K$821,MATCH(H398,'Ashed teabags wet'!$A$2:$A$821,0)),"")</f>
        <v>13.793103448275259</v>
      </c>
      <c r="X398" s="195">
        <f>IFERROR(INDEX('Ashed teabags wet'!$K$2:$K$821,MATCH(I398,'Ashed teabags wet'!$A$2:$A$821,0)),"")</f>
        <v>5.3175775480057332</v>
      </c>
      <c r="Y398" s="195">
        <f t="shared" si="61"/>
        <v>0.37620689655172673</v>
      </c>
      <c r="Z398" s="195">
        <f t="shared" si="61"/>
        <v>1.4594348596750395</v>
      </c>
      <c r="AA398" s="195">
        <f t="shared" si="68"/>
        <v>0.77608550810131827</v>
      </c>
      <c r="AB398" s="195">
        <f t="shared" si="69"/>
        <v>0.50878764901654128</v>
      </c>
      <c r="AC398" s="195">
        <f t="shared" si="62"/>
        <v>0.76075376498332803</v>
      </c>
      <c r="AD398">
        <f t="shared" si="63"/>
        <v>54</v>
      </c>
      <c r="AE398" s="195">
        <f t="shared" si="70"/>
        <v>7.8283244535251484E-2</v>
      </c>
      <c r="AF398" s="195">
        <f t="shared" si="71"/>
        <v>1.176497571663415E-2</v>
      </c>
      <c r="AG398" s="255" t="str">
        <f>IF(ISNUMBER(SEARCH("C",'WetLitterbags placem_collection'!AD325)),"YES","NO")</f>
        <v>NO</v>
      </c>
      <c r="AH398" s="255" t="str">
        <f>IF(ISNUMBER(SEARCH("H", 'WetLitterbags placem_collection'!AF105)),"YES","NO")</f>
        <v>NO</v>
      </c>
      <c r="AI398" s="255" t="str">
        <f>IF(ISNUMBER(SEARCH("R", 'WetLitterbags placem_collection'!XF105)),"YES","NO")</f>
        <v>NO</v>
      </c>
      <c r="AJ398" s="255" t="str">
        <f>IF(ISNUMBER(SEARCH("C", 'WetLitterbags placem_collection'!WE105)),"YES","NO")</f>
        <v>NO</v>
      </c>
      <c r="AK398" s="255" t="str">
        <f>IF(ISNUMBER(SEARCH("H", 'WetLitterbags placem_collection'!AE105)),"YES","NO")</f>
        <v>NO</v>
      </c>
      <c r="AL398" s="255" t="str">
        <f>IF(ISNUMBER(SEARCH("R", 'WetLitterbags placem_collection'!AE105)),"YES","NO")</f>
        <v>NO</v>
      </c>
    </row>
    <row r="399" spans="2:38">
      <c r="B399" t="str">
        <f>'Final data_for_R_analysis_Wetse'!A545</f>
        <v>Wet</v>
      </c>
      <c r="C399" s="263">
        <f>'Final data_for_R_analysis_Wetse'!B545</f>
        <v>104</v>
      </c>
      <c r="D399" t="s">
        <v>3841</v>
      </c>
      <c r="E399" t="s">
        <v>25</v>
      </c>
      <c r="F399" s="387">
        <v>8</v>
      </c>
      <c r="G399" s="16">
        <f>'WetLitterbags placem_collection'!E106</f>
        <v>42762</v>
      </c>
      <c r="H399" s="92" t="str">
        <f>'Final data_for_R_analysis_Wetse'!J545</f>
        <v>G806</v>
      </c>
      <c r="I399" t="str">
        <f>'Final data_for_R_analysis_Wetse'!J765</f>
        <v>R475</v>
      </c>
      <c r="J399">
        <f>IFERROR(INDEX('Green_rooibos initial weight'!$C$5:$C$1749,MATCH(H399, 'Green_rooibos initial weight'!$A$5:$A$1749,0)),"")</f>
        <v>2.0419999999999998</v>
      </c>
      <c r="K399">
        <f>IFERROR(INDEX('Green_rooibos initial weight'!$C$5:$C$1749,MATCH(I399, 'Green_rooibos initial weight'!$A$5:$A$1749,0)),"")</f>
        <v>2.2210000000000001</v>
      </c>
      <c r="L399" s="195">
        <f t="shared" si="64"/>
        <v>1.7921999999999998</v>
      </c>
      <c r="M399" s="195">
        <f>AVERAGE(Ashed_controlls!$K$2:$K$11)</f>
        <v>5.5147656768714146</v>
      </c>
      <c r="N399" s="195">
        <f t="shared" si="60"/>
        <v>1.6933643695391103</v>
      </c>
      <c r="O399" s="195">
        <f t="shared" si="65"/>
        <v>1.9712000000000001</v>
      </c>
      <c r="P399" s="195">
        <f>AVERAGE(Ashed_controlls!$K$12:$K$14)</f>
        <v>2.2816647271287041</v>
      </c>
      <c r="Q399" s="195">
        <f t="shared" si="66"/>
        <v>1.926223824898839</v>
      </c>
      <c r="R399" s="16">
        <f>IF('WetLitterbags placem_collection'!G106="N.A","",'WetLitterbags placem_collection'!G106)</f>
        <v>42816</v>
      </c>
      <c r="S399" s="195">
        <f>IF(IFERROR(INDEX('Both teabags AfterWet'!$C$3:$C$841,MATCH(H399,'Both teabags AfterWet'!$A$3:$A$841,0)),"")="N.A","",(IFERROR(INDEX('Both teabags AfterWet'!$C$3:$C$841,MATCH(H399,'Both teabags AfterWet'!$A$3:$A$841,0)),"")))</f>
        <v>0.72499999999999998</v>
      </c>
      <c r="T399" s="195">
        <f>IFERROR(INDEX('Both teabags AfterWet'!$C$3:$C$841,MATCH(I399,'Both teabags AfterWet'!$A$3:$A$841,0)),"")</f>
        <v>1.4970000000000001</v>
      </c>
      <c r="U399" s="195">
        <f t="shared" si="67"/>
        <v>0.57440000000000002</v>
      </c>
      <c r="V399" s="195">
        <f t="shared" si="67"/>
        <v>1.3464</v>
      </c>
      <c r="W399" s="195">
        <f>IFERROR(INDEX('Ashed teabags wet'!$K$2:$K$821,MATCH(H399,'Ashed teabags wet'!$A$2:$A$821,0)),"")</f>
        <v>16.853385289820611</v>
      </c>
      <c r="X399" s="195">
        <f>IFERROR(INDEX('Ashed teabags wet'!$K$2:$K$821,MATCH(I399,'Ashed teabags wet'!$A$2:$A$821,0)),"")</f>
        <v>9.2474176094433584</v>
      </c>
      <c r="Y399" s="195">
        <f t="shared" si="61"/>
        <v>0.47759415489527046</v>
      </c>
      <c r="Z399" s="195">
        <f t="shared" si="61"/>
        <v>1.2218927693064547</v>
      </c>
      <c r="AA399" s="195">
        <f t="shared" si="68"/>
        <v>0.7179613770748825</v>
      </c>
      <c r="AB399" s="195">
        <f t="shared" si="69"/>
        <v>0.47068251798733396</v>
      </c>
      <c r="AC399" s="195">
        <f t="shared" si="62"/>
        <v>0.63434620292406874</v>
      </c>
      <c r="AD399">
        <f t="shared" si="63"/>
        <v>54</v>
      </c>
      <c r="AE399" s="195">
        <f t="shared" si="70"/>
        <v>0.14731427900845306</v>
      </c>
      <c r="AF399" s="195">
        <f t="shared" si="71"/>
        <v>2.7776851148470998E-2</v>
      </c>
      <c r="AG399" s="255" t="str">
        <f>IF(ISNUMBER(SEARCH("C",'WetLitterbags placem_collection'!AD326)),"YES","NO")</f>
        <v>NO</v>
      </c>
      <c r="AH399" s="255" t="str">
        <f>IF(ISNUMBER(SEARCH("H", 'WetLitterbags placem_collection'!AF106)),"YES","NO")</f>
        <v>NO</v>
      </c>
      <c r="AI399" s="255" t="str">
        <f>IF(ISNUMBER(SEARCH("R", 'WetLitterbags placem_collection'!XF106)),"YES","NO")</f>
        <v>NO</v>
      </c>
      <c r="AJ399" s="255" t="str">
        <f>IF(ISNUMBER(SEARCH("C", 'WetLitterbags placem_collection'!WE106)),"YES","NO")</f>
        <v>NO</v>
      </c>
      <c r="AK399" s="255" t="str">
        <f>IF(ISNUMBER(SEARCH("H", 'WetLitterbags placem_collection'!AE106)),"YES","NO")</f>
        <v>NO</v>
      </c>
      <c r="AL399" s="255" t="str">
        <f>IF(ISNUMBER(SEARCH("R", 'WetLitterbags placem_collection'!AE106)),"YES","NO")</f>
        <v>NO</v>
      </c>
    </row>
    <row r="400" spans="2:38">
      <c r="B400" t="str">
        <f>'Final data_for_R_analysis_Wetse'!A546</f>
        <v>Wet</v>
      </c>
      <c r="C400" s="263">
        <f>'Final data_for_R_analysis_Wetse'!B546</f>
        <v>105</v>
      </c>
      <c r="D400" t="s">
        <v>3843</v>
      </c>
      <c r="E400" t="s">
        <v>25</v>
      </c>
      <c r="F400" s="386">
        <v>1</v>
      </c>
      <c r="G400" s="16">
        <f>'WetLitterbags placem_collection'!E107</f>
        <v>42762</v>
      </c>
      <c r="H400" s="92" t="str">
        <f>'Final data_for_R_analysis_Wetse'!J546</f>
        <v>G861</v>
      </c>
      <c r="I400" t="str">
        <f>'Final data_for_R_analysis_Wetse'!J766</f>
        <v>R540</v>
      </c>
      <c r="J400">
        <f>IFERROR(INDEX('Green_rooibos initial weight'!$C$5:$C$1749,MATCH(H400, 'Green_rooibos initial weight'!$A$5:$A$1749,0)),"")</f>
        <v>1.9339999999999999</v>
      </c>
      <c r="K400">
        <f>IFERROR(INDEX('Green_rooibos initial weight'!$C$5:$C$1749,MATCH(I400, 'Green_rooibos initial weight'!$A$5:$A$1749,0)),"")</f>
        <v>2.194</v>
      </c>
      <c r="L400" s="195">
        <f t="shared" si="64"/>
        <v>1.6841999999999999</v>
      </c>
      <c r="M400" s="195">
        <f>AVERAGE(Ashed_controlls!$K$2:$K$11)</f>
        <v>5.5147656768714146</v>
      </c>
      <c r="N400" s="195">
        <f t="shared" si="60"/>
        <v>1.5913203164701315</v>
      </c>
      <c r="O400" s="195">
        <f t="shared" si="65"/>
        <v>1.9441999999999999</v>
      </c>
      <c r="P400" s="195">
        <f>AVERAGE(Ashed_controlls!$K$12:$K$14)</f>
        <v>2.2816647271287041</v>
      </c>
      <c r="Q400" s="195">
        <f t="shared" si="66"/>
        <v>1.8998398743751637</v>
      </c>
      <c r="R400" s="16">
        <f>IF('WetLitterbags placem_collection'!G107="N.A","",'WetLitterbags placem_collection'!G107)</f>
        <v>42816</v>
      </c>
      <c r="S400" s="195">
        <f>IF(IFERROR(INDEX('Both teabags AfterWet'!$C$3:$C$841,MATCH(H400,'Both teabags AfterWet'!$A$3:$A$841,0)),"")="N.A","",(IFERROR(INDEX('Both teabags AfterWet'!$C$3:$C$841,MATCH(H400,'Both teabags AfterWet'!$A$3:$A$841,0)),"")))</f>
        <v>0.626</v>
      </c>
      <c r="T400" s="195">
        <f>IFERROR(INDEX('Both teabags AfterWet'!$C$3:$C$841,MATCH(I400,'Both teabags AfterWet'!$A$3:$A$841,0)),"")</f>
        <v>1.8080000000000001</v>
      </c>
      <c r="U400" s="195">
        <f t="shared" si="67"/>
        <v>0.47539999999999999</v>
      </c>
      <c r="V400" s="195">
        <f t="shared" si="67"/>
        <v>1.6574</v>
      </c>
      <c r="W400" s="195">
        <f>IFERROR(INDEX('Ashed teabags wet'!$K$2:$K$821,MATCH(H400,'Ashed teabags wet'!$A$2:$A$821,0)),"")</f>
        <v>20.431034482760303</v>
      </c>
      <c r="X400" s="195">
        <f>IFERROR(INDEX('Ashed teabags wet'!$K$2:$K$821,MATCH(I400,'Ashed teabags wet'!$A$2:$A$821,0)),"")</f>
        <v>5.7625434674605209</v>
      </c>
      <c r="Y400" s="195">
        <f t="shared" si="61"/>
        <v>0.37827086206895755</v>
      </c>
      <c r="Z400" s="195">
        <f t="shared" si="61"/>
        <v>1.5618916045703093</v>
      </c>
      <c r="AA400" s="195">
        <f t="shared" si="68"/>
        <v>0.76229118791869732</v>
      </c>
      <c r="AB400" s="195">
        <f t="shared" si="69"/>
        <v>0.49974434172342158</v>
      </c>
      <c r="AC400" s="195">
        <f t="shared" si="62"/>
        <v>0.82211749823600166</v>
      </c>
      <c r="AD400">
        <f t="shared" si="63"/>
        <v>54</v>
      </c>
      <c r="AE400" s="195">
        <f t="shared" si="70"/>
        <v>9.4666047602497194E-2</v>
      </c>
      <c r="AF400" s="195">
        <f t="shared" si="71"/>
        <v>8.1476715941285662E-3</v>
      </c>
      <c r="AG400" s="255" t="str">
        <f>IF(ISNUMBER(SEARCH("C",'WetLitterbags placem_collection'!AD327)),"YES","NO")</f>
        <v>NO</v>
      </c>
      <c r="AH400" s="255" t="str">
        <f>IF(ISNUMBER(SEARCH("H", 'WetLitterbags placem_collection'!AF107)),"YES","NO")</f>
        <v>NO</v>
      </c>
      <c r="AI400" s="255" t="str">
        <f>IF(ISNUMBER(SEARCH("R", 'WetLitterbags placem_collection'!XF107)),"YES","NO")</f>
        <v>NO</v>
      </c>
      <c r="AJ400" s="255" t="str">
        <f>IF(ISNUMBER(SEARCH("C", 'WetLitterbags placem_collection'!WE107)),"YES","NO")</f>
        <v>NO</v>
      </c>
      <c r="AK400" s="255" t="str">
        <f>IF(ISNUMBER(SEARCH("H", 'WetLitterbags placem_collection'!AE107)),"YES","NO")</f>
        <v>NO</v>
      </c>
      <c r="AL400" s="255" t="str">
        <f>IF(ISNUMBER(SEARCH("R", 'WetLitterbags placem_collection'!AE107)),"YES","NO")</f>
        <v>NO</v>
      </c>
    </row>
    <row r="401" spans="2:38">
      <c r="B401" t="str">
        <f>'Final data_for_R_analysis_Wetse'!A547</f>
        <v>Wet</v>
      </c>
      <c r="C401" s="263">
        <f>'Final data_for_R_analysis_Wetse'!B547</f>
        <v>106</v>
      </c>
      <c r="D401" t="s">
        <v>3843</v>
      </c>
      <c r="E401" t="s">
        <v>25</v>
      </c>
      <c r="F401" s="386">
        <v>2</v>
      </c>
      <c r="G401" s="16">
        <f>'WetLitterbags placem_collection'!E108</f>
        <v>42762</v>
      </c>
      <c r="H401" s="92" t="str">
        <f>'Final data_for_R_analysis_Wetse'!J547</f>
        <v>G738</v>
      </c>
      <c r="I401" t="str">
        <f>'Final data_for_R_analysis_Wetse'!J767</f>
        <v>R593</v>
      </c>
      <c r="J401">
        <f>IFERROR(INDEX('Green_rooibos initial weight'!$C$5:$C$1749,MATCH(H401, 'Green_rooibos initial weight'!$A$5:$A$1749,0)),"")</f>
        <v>2.0089999999999999</v>
      </c>
      <c r="K401">
        <f>IFERROR(INDEX('Green_rooibos initial weight'!$C$5:$C$1749,MATCH(I401, 'Green_rooibos initial weight'!$A$5:$A$1749,0)),"")</f>
        <v>2.2090000000000001</v>
      </c>
      <c r="L401" s="195">
        <f t="shared" si="64"/>
        <v>1.7591999999999999</v>
      </c>
      <c r="M401" s="195">
        <f>AVERAGE(Ashed_controlls!$K$2:$K$11)</f>
        <v>5.5147656768714146</v>
      </c>
      <c r="N401" s="195">
        <f t="shared" si="60"/>
        <v>1.662184242212478</v>
      </c>
      <c r="O401" s="195">
        <f t="shared" si="65"/>
        <v>1.9592000000000001</v>
      </c>
      <c r="P401" s="195">
        <f>AVERAGE(Ashed_controlls!$K$12:$K$14)</f>
        <v>2.2816647271287041</v>
      </c>
      <c r="Q401" s="195">
        <f t="shared" si="66"/>
        <v>1.9144976246660945</v>
      </c>
      <c r="R401" s="16">
        <f>IF('WetLitterbags placem_collection'!G108="N.A","",'WetLitterbags placem_collection'!G108)</f>
        <v>42816</v>
      </c>
      <c r="S401" s="195">
        <f>IF(IFERROR(INDEX('Both teabags AfterWet'!$C$3:$C$841,MATCH(H401,'Both teabags AfterWet'!$A$3:$A$841,0)),"")="N.A","",(IFERROR(INDEX('Both teabags AfterWet'!$C$3:$C$841,MATCH(H401,'Both teabags AfterWet'!$A$3:$A$841,0)),"")))</f>
        <v>0.626</v>
      </c>
      <c r="T401" s="195">
        <f>IFERROR(INDEX('Both teabags AfterWet'!$C$3:$C$841,MATCH(I401,'Both teabags AfterWet'!$A$3:$A$841,0)),"")</f>
        <v>1.7729999999999999</v>
      </c>
      <c r="U401" s="195">
        <f t="shared" si="67"/>
        <v>0.47539999999999999</v>
      </c>
      <c r="V401" s="195">
        <f t="shared" si="67"/>
        <v>1.6223999999999998</v>
      </c>
      <c r="W401" s="195">
        <f>IFERROR(INDEX('Ashed teabags wet'!$K$2:$K$821,MATCH(H401,'Ashed teabags wet'!$A$2:$A$821,0)),"")</f>
        <v>15.46906187624684</v>
      </c>
      <c r="X401" s="195">
        <f>IFERROR(INDEX('Ashed teabags wet'!$K$2:$K$821,MATCH(I401,'Ashed teabags wet'!$A$2:$A$821,0)),"")</f>
        <v>5.062034739454969</v>
      </c>
      <c r="Y401" s="195">
        <f t="shared" si="61"/>
        <v>0.40186007984032251</v>
      </c>
      <c r="Z401" s="195">
        <f t="shared" si="61"/>
        <v>1.5402735483870824</v>
      </c>
      <c r="AA401" s="195">
        <f t="shared" si="68"/>
        <v>0.75823373267850258</v>
      </c>
      <c r="AB401" s="195">
        <f t="shared" si="69"/>
        <v>0.49708434731417278</v>
      </c>
      <c r="AC401" s="195">
        <f t="shared" si="62"/>
        <v>0.80453144916057018</v>
      </c>
      <c r="AD401">
        <f t="shared" si="63"/>
        <v>54</v>
      </c>
      <c r="AE401" s="195">
        <f t="shared" si="70"/>
        <v>9.9484878054034942E-2</v>
      </c>
      <c r="AF401" s="195">
        <f t="shared" si="71"/>
        <v>9.2519576715031134E-3</v>
      </c>
      <c r="AG401" s="255" t="str">
        <f>IF(ISNUMBER(SEARCH("C",'WetLitterbags placem_collection'!AD328)),"YES","NO")</f>
        <v>NO</v>
      </c>
      <c r="AH401" s="255" t="str">
        <f>IF(ISNUMBER(SEARCH("H", 'WetLitterbags placem_collection'!AF108)),"YES","NO")</f>
        <v>NO</v>
      </c>
      <c r="AI401" s="255" t="str">
        <f>IF(ISNUMBER(SEARCH("R", 'WetLitterbags placem_collection'!XF108)),"YES","NO")</f>
        <v>NO</v>
      </c>
      <c r="AJ401" s="255" t="str">
        <f>IF(ISNUMBER(SEARCH("C", 'WetLitterbags placem_collection'!WE108)),"YES","NO")</f>
        <v>NO</v>
      </c>
      <c r="AK401" s="255" t="str">
        <f>IF(ISNUMBER(SEARCH("H", 'WetLitterbags placem_collection'!AE108)),"YES","NO")</f>
        <v>NO</v>
      </c>
      <c r="AL401" s="255" t="str">
        <f>IF(ISNUMBER(SEARCH("R", 'WetLitterbags placem_collection'!AE108)),"YES","NO")</f>
        <v>NO</v>
      </c>
    </row>
    <row r="402" spans="2:38">
      <c r="B402" t="str">
        <f>'Final data_for_R_analysis_Wetse'!A548</f>
        <v>Wet</v>
      </c>
      <c r="C402" s="263">
        <f>'Final data_for_R_analysis_Wetse'!B548</f>
        <v>107</v>
      </c>
      <c r="D402" t="s">
        <v>3843</v>
      </c>
      <c r="E402" t="s">
        <v>25</v>
      </c>
      <c r="F402" s="386">
        <v>3</v>
      </c>
      <c r="G402" s="16">
        <f>'WetLitterbags placem_collection'!E109</f>
        <v>42762</v>
      </c>
      <c r="H402" s="92" t="str">
        <f>'Final data_for_R_analysis_Wetse'!J548</f>
        <v>G676</v>
      </c>
      <c r="I402" t="str">
        <f>'Final data_for_R_analysis_Wetse'!J768</f>
        <v>R510</v>
      </c>
      <c r="J402">
        <f>IFERROR(INDEX('Green_rooibos initial weight'!$C$5:$C$1749,MATCH(H402, 'Green_rooibos initial weight'!$A$5:$A$1749,0)),"")</f>
        <v>2.048</v>
      </c>
      <c r="K402">
        <f>IFERROR(INDEX('Green_rooibos initial weight'!$C$5:$C$1749,MATCH(I402, 'Green_rooibos initial weight'!$A$5:$A$1749,0)),"")</f>
        <v>2.2349999999999999</v>
      </c>
      <c r="L402" s="195">
        <f t="shared" si="64"/>
        <v>1.7982</v>
      </c>
      <c r="M402" s="195">
        <f>AVERAGE(Ashed_controlls!$K$2:$K$11)</f>
        <v>5.5147656768714146</v>
      </c>
      <c r="N402" s="195">
        <f t="shared" si="60"/>
        <v>1.6990334835984982</v>
      </c>
      <c r="O402" s="195">
        <f t="shared" si="65"/>
        <v>1.9851999999999999</v>
      </c>
      <c r="P402" s="195">
        <f>AVERAGE(Ashed_controlls!$K$12:$K$14)</f>
        <v>2.2816647271287041</v>
      </c>
      <c r="Q402" s="195">
        <f t="shared" si="66"/>
        <v>1.9399043918370409</v>
      </c>
      <c r="R402" s="16">
        <f>IF('WetLitterbags placem_collection'!G109="N.A","",'WetLitterbags placem_collection'!G109)</f>
        <v>42816</v>
      </c>
      <c r="S402" s="195">
        <f>IF(IFERROR(INDEX('Both teabags AfterWet'!$C$3:$C$841,MATCH(H402,'Both teabags AfterWet'!$A$3:$A$841,0)),"")="N.A","",(IFERROR(INDEX('Both teabags AfterWet'!$C$3:$C$841,MATCH(H402,'Both teabags AfterWet'!$A$3:$A$841,0)),"")))</f>
        <v>0.67630000000000001</v>
      </c>
      <c r="T402" s="195">
        <f>IFERROR(INDEX('Both teabags AfterWet'!$C$3:$C$841,MATCH(I402,'Both teabags AfterWet'!$A$3:$A$841,0)),"")</f>
        <v>1.5944</v>
      </c>
      <c r="U402" s="195">
        <f t="shared" si="67"/>
        <v>0.52570000000000006</v>
      </c>
      <c r="V402" s="195">
        <f t="shared" si="67"/>
        <v>1.4438</v>
      </c>
      <c r="W402" s="195">
        <f>IFERROR(INDEX('Ashed teabags wet'!$K$2:$K$821,MATCH(H402,'Ashed teabags wet'!$A$2:$A$821,0)),"")</f>
        <v>16.393442622950655</v>
      </c>
      <c r="X402" s="195">
        <f>IFERROR(INDEX('Ashed teabags wet'!$K$2:$K$821,MATCH(I402,'Ashed teabags wet'!$A$2:$A$821,0)),"")</f>
        <v>5.2605210420842559</v>
      </c>
      <c r="Y402" s="195">
        <f t="shared" si="61"/>
        <v>0.43951967213114845</v>
      </c>
      <c r="Z402" s="195">
        <f t="shared" si="61"/>
        <v>1.3678485971943874</v>
      </c>
      <c r="AA402" s="195">
        <f t="shared" si="68"/>
        <v>0.74131194212826235</v>
      </c>
      <c r="AB402" s="195">
        <f t="shared" si="69"/>
        <v>0.48599072690593931</v>
      </c>
      <c r="AC402" s="195">
        <f t="shared" si="62"/>
        <v>0.70511134618292659</v>
      </c>
      <c r="AD402">
        <f t="shared" si="63"/>
        <v>54</v>
      </c>
      <c r="AE402" s="195">
        <f t="shared" si="70"/>
        <v>0.11958201647474775</v>
      </c>
      <c r="AF402" s="195">
        <f t="shared" si="71"/>
        <v>1.7284848961146137E-2</v>
      </c>
      <c r="AG402" s="255" t="str">
        <f>IF(ISNUMBER(SEARCH("C",'WetLitterbags placem_collection'!AD329)),"YES","NO")</f>
        <v>NO</v>
      </c>
      <c r="AH402" s="255" t="str">
        <f>IF(ISNUMBER(SEARCH("H", 'WetLitterbags placem_collection'!AF109)),"YES","NO")</f>
        <v>NO</v>
      </c>
      <c r="AI402" s="255" t="str">
        <f>IF(ISNUMBER(SEARCH("R", 'WetLitterbags placem_collection'!XF109)),"YES","NO")</f>
        <v>NO</v>
      </c>
      <c r="AJ402" s="255" t="str">
        <f>IF(ISNUMBER(SEARCH("C", 'WetLitterbags placem_collection'!WE109)),"YES","NO")</f>
        <v>NO</v>
      </c>
      <c r="AK402" s="255" t="str">
        <f>IF(ISNUMBER(SEARCH("H", 'WetLitterbags placem_collection'!AE109)),"YES","NO")</f>
        <v>NO</v>
      </c>
      <c r="AL402" s="255" t="str">
        <f>IF(ISNUMBER(SEARCH("R", 'WetLitterbags placem_collection'!AE109)),"YES","NO")</f>
        <v>NO</v>
      </c>
    </row>
    <row r="403" spans="2:38">
      <c r="B403" t="str">
        <f>'Final data_for_R_analysis_Wetse'!A549</f>
        <v>Wet</v>
      </c>
      <c r="C403" s="263">
        <f>'Final data_for_R_analysis_Wetse'!B549</f>
        <v>108</v>
      </c>
      <c r="D403" t="s">
        <v>3843</v>
      </c>
      <c r="E403" t="s">
        <v>25</v>
      </c>
      <c r="F403" s="387">
        <v>4</v>
      </c>
      <c r="G403" s="16">
        <f>'WetLitterbags placem_collection'!E110</f>
        <v>42762</v>
      </c>
      <c r="H403" s="92" t="str">
        <f>'Final data_for_R_analysis_Wetse'!J549</f>
        <v>G845</v>
      </c>
      <c r="I403" t="str">
        <f>'Final data_for_R_analysis_Wetse'!J769</f>
        <v>R509</v>
      </c>
      <c r="J403">
        <f>IFERROR(INDEX('Green_rooibos initial weight'!$C$5:$C$1749,MATCH(H403, 'Green_rooibos initial weight'!$A$5:$A$1749,0)),"")</f>
        <v>2.0459999999999998</v>
      </c>
      <c r="K403">
        <f>IFERROR(INDEX('Green_rooibos initial weight'!$C$5:$C$1749,MATCH(I403, 'Green_rooibos initial weight'!$A$5:$A$1749,0)),"")</f>
        <v>2.161</v>
      </c>
      <c r="L403" s="195">
        <f t="shared" si="64"/>
        <v>1.7961999999999998</v>
      </c>
      <c r="M403" s="195">
        <f>AVERAGE(Ashed_controlls!$K$2:$K$11)</f>
        <v>5.5147656768714146</v>
      </c>
      <c r="N403" s="195">
        <f t="shared" si="60"/>
        <v>1.6971437789120354</v>
      </c>
      <c r="O403" s="195">
        <f t="shared" si="65"/>
        <v>1.9112</v>
      </c>
      <c r="P403" s="195">
        <f>AVERAGE(Ashed_controlls!$K$12:$K$14)</f>
        <v>2.2816647271287041</v>
      </c>
      <c r="Q403" s="195">
        <f t="shared" si="66"/>
        <v>1.8675928237351163</v>
      </c>
      <c r="R403" s="16">
        <f>IF('WetLitterbags placem_collection'!G110="N.A","",'WetLitterbags placem_collection'!G110)</f>
        <v>42816</v>
      </c>
      <c r="S403" s="195">
        <f>IF(IFERROR(INDEX('Both teabags AfterWet'!$C$3:$C$841,MATCH(H403,'Both teabags AfterWet'!$A$3:$A$841,0)),"")="N.A","",(IFERROR(INDEX('Both teabags AfterWet'!$C$3:$C$841,MATCH(H403,'Both teabags AfterWet'!$A$3:$A$841,0)),"")))</f>
        <v>0.57699999999999996</v>
      </c>
      <c r="T403" s="195">
        <f>IFERROR(INDEX('Both teabags AfterWet'!$C$3:$C$841,MATCH(I403,'Both teabags AfterWet'!$A$3:$A$841,0)),"")</f>
        <v>1.6739999999999999</v>
      </c>
      <c r="U403" s="195">
        <f t="shared" si="67"/>
        <v>0.42639999999999995</v>
      </c>
      <c r="V403" s="195">
        <f t="shared" si="67"/>
        <v>1.5233999999999999</v>
      </c>
      <c r="W403" s="195">
        <f>IFERROR(INDEX('Ashed teabags wet'!$K$2:$K$821,MATCH(H403,'Ashed teabags wet'!$A$2:$A$821,0)),"")</f>
        <v>13.078070611635859</v>
      </c>
      <c r="X403" s="195">
        <f>IFERROR(INDEX('Ashed teabags wet'!$K$2:$K$821,MATCH(I403,'Ashed teabags wet'!$A$2:$A$821,0)),"")</f>
        <v>5.6567593480338392</v>
      </c>
      <c r="Y403" s="195">
        <f t="shared" si="61"/>
        <v>0.37063510691198465</v>
      </c>
      <c r="Z403" s="195">
        <f t="shared" si="61"/>
        <v>1.4372249280920524</v>
      </c>
      <c r="AA403" s="195">
        <f t="shared" si="68"/>
        <v>0.78161242935493502</v>
      </c>
      <c r="AB403" s="195">
        <f t="shared" si="69"/>
        <v>0.51241099881701213</v>
      </c>
      <c r="AC403" s="195">
        <f t="shared" si="62"/>
        <v>0.76956010422960175</v>
      </c>
      <c r="AD403">
        <f t="shared" si="63"/>
        <v>54</v>
      </c>
      <c r="AE403" s="195">
        <f t="shared" si="70"/>
        <v>7.1719205041644862E-2</v>
      </c>
      <c r="AF403" s="195">
        <f t="shared" si="71"/>
        <v>1.1061526682690229E-2</v>
      </c>
      <c r="AG403" s="255" t="str">
        <f>IF(ISNUMBER(SEARCH("C",'WetLitterbags placem_collection'!AD330)),"YES","NO")</f>
        <v>NO</v>
      </c>
      <c r="AH403" s="255" t="str">
        <f>IF(ISNUMBER(SEARCH("H", 'WetLitterbags placem_collection'!AF110)),"YES","NO")</f>
        <v>NO</v>
      </c>
      <c r="AI403" s="255" t="str">
        <f>IF(ISNUMBER(SEARCH("R", 'WetLitterbags placem_collection'!XF110)),"YES","NO")</f>
        <v>NO</v>
      </c>
      <c r="AJ403" s="255" t="str">
        <f>IF(ISNUMBER(SEARCH("C", 'WetLitterbags placem_collection'!WE110)),"YES","NO")</f>
        <v>NO</v>
      </c>
      <c r="AK403" s="255" t="str">
        <f>IF(ISNUMBER(SEARCH("H", 'WetLitterbags placem_collection'!AE110)),"YES","NO")</f>
        <v>NO</v>
      </c>
      <c r="AL403" s="255" t="str">
        <f>IF(ISNUMBER(SEARCH("R", 'WetLitterbags placem_collection'!AE110)),"YES","NO")</f>
        <v>NO</v>
      </c>
    </row>
    <row r="404" spans="2:38">
      <c r="B404" t="str">
        <f>'Final data_for_R_analysis_Wetse'!A550</f>
        <v>Wet</v>
      </c>
      <c r="C404" s="263">
        <f>'Final data_for_R_analysis_Wetse'!B550</f>
        <v>109</v>
      </c>
      <c r="D404" t="s">
        <v>3843</v>
      </c>
      <c r="E404" t="s">
        <v>25</v>
      </c>
      <c r="F404" s="387">
        <v>5</v>
      </c>
      <c r="G404" s="16">
        <f>'WetLitterbags placem_collection'!E111</f>
        <v>42762</v>
      </c>
      <c r="H404" s="92" t="str">
        <f>'Final data_for_R_analysis_Wetse'!J550</f>
        <v>G887</v>
      </c>
      <c r="I404" t="str">
        <f>'Final data_for_R_analysis_Wetse'!J770</f>
        <v>R33</v>
      </c>
      <c r="J404">
        <f>IFERROR(INDEX('Green_rooibos initial weight'!$C$5:$C$1749,MATCH(H404, 'Green_rooibos initial weight'!$A$5:$A$1749,0)),"")</f>
        <v>1.998</v>
      </c>
      <c r="K404">
        <f>IFERROR(INDEX('Green_rooibos initial weight'!$C$5:$C$1749,MATCH(I404, 'Green_rooibos initial weight'!$A$5:$A$1749,0)),"")</f>
        <v>2.1989999999999998</v>
      </c>
      <c r="L404" s="195">
        <f t="shared" si="64"/>
        <v>1.7482</v>
      </c>
      <c r="M404" s="195">
        <f>AVERAGE(Ashed_controlls!$K$2:$K$11)</f>
        <v>5.5147656768714146</v>
      </c>
      <c r="N404" s="195">
        <f t="shared" si="60"/>
        <v>1.6517908664369338</v>
      </c>
      <c r="O404" s="195">
        <f t="shared" si="65"/>
        <v>1.9491999999999998</v>
      </c>
      <c r="P404" s="195">
        <f>AVERAGE(Ashed_controlls!$K$12:$K$14)</f>
        <v>2.2816647271287041</v>
      </c>
      <c r="Q404" s="195">
        <f t="shared" si="66"/>
        <v>1.9047257911388071</v>
      </c>
      <c r="R404" s="16">
        <f>IF('WetLitterbags placem_collection'!G111="N.A","",'WetLitterbags placem_collection'!G111)</f>
        <v>42816</v>
      </c>
      <c r="S404" s="195">
        <f>IF(IFERROR(INDEX('Both teabags AfterWet'!$C$3:$C$841,MATCH(H404,'Both teabags AfterWet'!$A$3:$A$841,0)),"")="N.A","",(IFERROR(INDEX('Both teabags AfterWet'!$C$3:$C$841,MATCH(H404,'Both teabags AfterWet'!$A$3:$A$841,0)),"")))</f>
        <v>0.64870000000000005</v>
      </c>
      <c r="T404" s="195">
        <f>IFERROR(INDEX('Both teabags AfterWet'!$C$3:$C$841,MATCH(I404,'Both teabags AfterWet'!$A$3:$A$841,0)),"")</f>
        <v>1.5922000000000001</v>
      </c>
      <c r="U404" s="195">
        <f t="shared" si="67"/>
        <v>0.49810000000000004</v>
      </c>
      <c r="V404" s="195">
        <f t="shared" si="67"/>
        <v>1.4416</v>
      </c>
      <c r="W404" s="195">
        <f>IFERROR(INDEX('Ashed teabags wet'!$K$2:$K$821,MATCH(H404,'Ashed teabags wet'!$A$2:$A$821,0)),"")</f>
        <v>12.548449612403372</v>
      </c>
      <c r="X404" s="195">
        <f>IFERROR(INDEX('Ashed teabags wet'!$K$2:$K$821,MATCH(I404,'Ashed teabags wet'!$A$2:$A$821,0)),"")</f>
        <v>7.2896281800392453</v>
      </c>
      <c r="Y404" s="195">
        <f t="shared" si="61"/>
        <v>0.43559617248061883</v>
      </c>
      <c r="Z404" s="195">
        <f t="shared" si="61"/>
        <v>1.3365127201565543</v>
      </c>
      <c r="AA404" s="195">
        <f t="shared" si="68"/>
        <v>0.73628854515932751</v>
      </c>
      <c r="AB404" s="195">
        <f t="shared" si="69"/>
        <v>0.48269747853675632</v>
      </c>
      <c r="AC404" s="195">
        <f t="shared" si="62"/>
        <v>0.70168248173794789</v>
      </c>
      <c r="AD404">
        <f t="shared" si="63"/>
        <v>54</v>
      </c>
      <c r="AE404" s="195">
        <f t="shared" si="70"/>
        <v>0.12554804612906467</v>
      </c>
      <c r="AF404" s="195">
        <f t="shared" si="71"/>
        <v>1.7822064612415926E-2</v>
      </c>
      <c r="AG404" s="255" t="str">
        <f>IF(ISNUMBER(SEARCH("C",'WetLitterbags placem_collection'!AD331)),"YES","NO")</f>
        <v>NO</v>
      </c>
      <c r="AH404" s="255" t="str">
        <f>IF(ISNUMBER(SEARCH("H", 'WetLitterbags placem_collection'!AF111)),"YES","NO")</f>
        <v>NO</v>
      </c>
      <c r="AI404" s="255" t="str">
        <f>IF(ISNUMBER(SEARCH("R", 'WetLitterbags placem_collection'!XF111)),"YES","NO")</f>
        <v>NO</v>
      </c>
      <c r="AJ404" s="255" t="str">
        <f>IF(ISNUMBER(SEARCH("C", 'WetLitterbags placem_collection'!WE111)),"YES","NO")</f>
        <v>NO</v>
      </c>
      <c r="AK404" s="255" t="str">
        <f>IF(ISNUMBER(SEARCH("H", 'WetLitterbags placem_collection'!AE111)),"YES","NO")</f>
        <v>NO</v>
      </c>
      <c r="AL404" s="255" t="str">
        <f>IF(ISNUMBER(SEARCH("R", 'WetLitterbags placem_collection'!AE111)),"YES","NO")</f>
        <v>NO</v>
      </c>
    </row>
    <row r="405" spans="2:38">
      <c r="B405" t="str">
        <f>'Final data_for_R_analysis_Wetse'!A551</f>
        <v>Wet</v>
      </c>
      <c r="C405" s="263">
        <f>'Final data_for_R_analysis_Wetse'!B551</f>
        <v>110</v>
      </c>
      <c r="D405" t="s">
        <v>3843</v>
      </c>
      <c r="E405" t="s">
        <v>25</v>
      </c>
      <c r="F405" s="387">
        <v>6</v>
      </c>
      <c r="G405" s="16">
        <f>'WetLitterbags placem_collection'!E112</f>
        <v>42762</v>
      </c>
      <c r="H405" s="92" t="str">
        <f>'Final data_for_R_analysis_Wetse'!J551</f>
        <v>G882</v>
      </c>
      <c r="I405" t="str">
        <f>'Final data_for_R_analysis_Wetse'!J771</f>
        <v>R54a</v>
      </c>
      <c r="J405">
        <f>IFERROR(INDEX('Green_rooibos initial weight'!$C$5:$C$1749,MATCH(H405, 'Green_rooibos initial weight'!$A$5:$A$1749,0)),"")</f>
        <v>2.0979999999999999</v>
      </c>
      <c r="K405" t="str">
        <f>IFERROR(INDEX('Green_rooibos initial weight'!$C$5:$C$1749,MATCH(I405, 'Green_rooibos initial weight'!$A$5:$A$1749,0)),"")</f>
        <v/>
      </c>
      <c r="L405" s="195">
        <f t="shared" si="64"/>
        <v>1.8481999999999998</v>
      </c>
      <c r="M405" s="195">
        <f>AVERAGE(Ashed_controlls!$K$2:$K$11)</f>
        <v>5.5147656768714146</v>
      </c>
      <c r="N405" s="195">
        <f t="shared" si="60"/>
        <v>1.7462761007600625</v>
      </c>
      <c r="O405" s="195" t="e">
        <f t="shared" si="65"/>
        <v>#VALUE!</v>
      </c>
      <c r="P405" s="195">
        <f>AVERAGE(Ashed_controlls!$K$12:$K$14)</f>
        <v>2.2816647271287041</v>
      </c>
      <c r="Q405" s="195" t="str">
        <f t="shared" si="66"/>
        <v/>
      </c>
      <c r="R405" s="16">
        <f>IF('WetLitterbags placem_collection'!G112="N.A","",'WetLitterbags placem_collection'!G112)</f>
        <v>42816</v>
      </c>
      <c r="S405" s="195">
        <f>IF(IFERROR(INDEX('Both teabags AfterWet'!$C$3:$C$841,MATCH(H405,'Both teabags AfterWet'!$A$3:$A$841,0)),"")="N.A","",(IFERROR(INDEX('Both teabags AfterWet'!$C$3:$C$841,MATCH(H405,'Both teabags AfterWet'!$A$3:$A$841,0)),"")))</f>
        <v>0.56669999999999998</v>
      </c>
      <c r="T405" s="195">
        <f>IFERROR(INDEX('Both teabags AfterWet'!$C$3:$C$841,MATCH(I405,'Both teabags AfterWet'!$A$3:$A$841,0)),"")</f>
        <v>1.4870000000000001</v>
      </c>
      <c r="U405" s="195">
        <f t="shared" si="67"/>
        <v>0.41609999999999997</v>
      </c>
      <c r="V405" s="195">
        <f t="shared" si="67"/>
        <v>1.3364</v>
      </c>
      <c r="W405" s="195">
        <f>IFERROR(INDEX('Ashed teabags wet'!$K$2:$K$821,MATCH(H405,'Ashed teabags wet'!$A$2:$A$821,0)),"")</f>
        <v>13.300248138958004</v>
      </c>
      <c r="X405" s="195">
        <f>IFERROR(INDEX('Ashed teabags wet'!$K$2:$K$821,MATCH(I405,'Ashed teabags wet'!$A$2:$A$821,0)),"")</f>
        <v>4.8934108527127869</v>
      </c>
      <c r="Y405" s="195">
        <f t="shared" si="61"/>
        <v>0.36075766749379573</v>
      </c>
      <c r="Z405" s="195">
        <f t="shared" si="61"/>
        <v>1.2710044573643464</v>
      </c>
      <c r="AA405" s="195">
        <f t="shared" si="68"/>
        <v>0.79341315652388711</v>
      </c>
      <c r="AB405" s="195">
        <f t="shared" si="69"/>
        <v>0.52014734251922301</v>
      </c>
      <c r="AC405" s="195" t="str">
        <f t="shared" si="62"/>
        <v/>
      </c>
      <c r="AD405">
        <f t="shared" si="63"/>
        <v>54</v>
      </c>
      <c r="AE405" s="195">
        <f t="shared" si="70"/>
        <v>5.7704089639088907E-2</v>
      </c>
      <c r="AF405" s="195" t="str">
        <f t="shared" si="71"/>
        <v/>
      </c>
      <c r="AG405" s="255" t="str">
        <f>IF(ISNUMBER(SEARCH("C",'WetLitterbags placem_collection'!AD332)),"YES","NO")</f>
        <v>NO</v>
      </c>
      <c r="AH405" s="255" t="str">
        <f>IF(ISNUMBER(SEARCH("H", 'WetLitterbags placem_collection'!AF112)),"YES","NO")</f>
        <v>NO</v>
      </c>
      <c r="AI405" s="255" t="str">
        <f>IF(ISNUMBER(SEARCH("R", 'WetLitterbags placem_collection'!XF112)),"YES","NO")</f>
        <v>NO</v>
      </c>
      <c r="AJ405" s="255" t="str">
        <f>IF(ISNUMBER(SEARCH("C", 'WetLitterbags placem_collection'!WE112)),"YES","NO")</f>
        <v>NO</v>
      </c>
      <c r="AK405" s="255" t="str">
        <f>IF(ISNUMBER(SEARCH("H", 'WetLitterbags placem_collection'!AE112)),"YES","NO")</f>
        <v>NO</v>
      </c>
      <c r="AL405" s="255" t="str">
        <f>IF(ISNUMBER(SEARCH("R", 'WetLitterbags placem_collection'!AE112)),"YES","NO")</f>
        <v>NO</v>
      </c>
    </row>
    <row r="406" spans="2:38">
      <c r="B406" t="str">
        <f>'Final data_for_R_analysis_Wetse'!A552</f>
        <v>Wet</v>
      </c>
      <c r="C406" s="263">
        <f>'Final data_for_R_analysis_Wetse'!B552</f>
        <v>111</v>
      </c>
      <c r="D406" t="s">
        <v>3843</v>
      </c>
      <c r="E406" t="s">
        <v>25</v>
      </c>
      <c r="F406" s="387">
        <v>7</v>
      </c>
      <c r="G406" s="16">
        <f>'WetLitterbags placem_collection'!E113</f>
        <v>42762</v>
      </c>
      <c r="H406" s="92" t="str">
        <f>'Final data_for_R_analysis_Wetse'!J552</f>
        <v>G695</v>
      </c>
      <c r="I406" t="str">
        <f>'Final data_for_R_analysis_Wetse'!J772</f>
        <v>R487</v>
      </c>
      <c r="J406">
        <f>IFERROR(INDEX('Green_rooibos initial weight'!$C$5:$C$1749,MATCH(H406, 'Green_rooibos initial weight'!$A$5:$A$1749,0)),"")</f>
        <v>2.0190000000000001</v>
      </c>
      <c r="K406">
        <f>IFERROR(INDEX('Green_rooibos initial weight'!$C$5:$C$1749,MATCH(I406, 'Green_rooibos initial weight'!$A$5:$A$1749,0)),"")</f>
        <v>2.222</v>
      </c>
      <c r="L406" s="195">
        <f t="shared" si="64"/>
        <v>1.7692000000000001</v>
      </c>
      <c r="M406" s="195">
        <f>AVERAGE(Ashed_controlls!$K$2:$K$11)</f>
        <v>5.5147656768714146</v>
      </c>
      <c r="N406" s="195">
        <f t="shared" si="60"/>
        <v>1.6716327656447911</v>
      </c>
      <c r="O406" s="195">
        <f t="shared" si="65"/>
        <v>1.9722</v>
      </c>
      <c r="P406" s="195">
        <f>AVERAGE(Ashed_controlls!$K$12:$K$14)</f>
        <v>2.2816647271287041</v>
      </c>
      <c r="Q406" s="195">
        <f t="shared" si="66"/>
        <v>1.9272010082515676</v>
      </c>
      <c r="R406" s="16">
        <f>IF('WetLitterbags placem_collection'!G113="N.A","",'WetLitterbags placem_collection'!G113)</f>
        <v>42816</v>
      </c>
      <c r="S406" s="195">
        <f>IF(IFERROR(INDEX('Both teabags AfterWet'!$C$3:$C$841,MATCH(H406,'Both teabags AfterWet'!$A$3:$A$841,0)),"")="N.A","",(IFERROR(INDEX('Both teabags AfterWet'!$C$3:$C$841,MATCH(H406,'Both teabags AfterWet'!$A$3:$A$841,0)),"")))</f>
        <v>0.621</v>
      </c>
      <c r="T406" s="195">
        <f>IFERROR(INDEX('Both teabags AfterWet'!$C$3:$C$841,MATCH(I406,'Both teabags AfterWet'!$A$3:$A$841,0)),"")</f>
        <v>1.609</v>
      </c>
      <c r="U406" s="195">
        <f t="shared" si="67"/>
        <v>0.47039999999999998</v>
      </c>
      <c r="V406" s="195">
        <f t="shared" si="67"/>
        <v>1.4583999999999999</v>
      </c>
      <c r="W406" s="195">
        <f>IFERROR(INDEX('Ashed teabags wet'!$K$2:$K$821,MATCH(H406,'Ashed teabags wet'!$A$2:$A$821,0)),"")</f>
        <v>13.185185185184883</v>
      </c>
      <c r="X406" s="195">
        <f>IFERROR(INDEX('Ashed teabags wet'!$K$2:$K$821,MATCH(I406,'Ashed teabags wet'!$A$2:$A$821,0)),"")</f>
        <v>6.2961141170683206</v>
      </c>
      <c r="Y406" s="195">
        <f t="shared" si="61"/>
        <v>0.40837688888889029</v>
      </c>
      <c r="Z406" s="195">
        <f t="shared" si="61"/>
        <v>1.3665774717166754</v>
      </c>
      <c r="AA406" s="195">
        <f t="shared" si="68"/>
        <v>0.75570179211498711</v>
      </c>
      <c r="AB406" s="195">
        <f t="shared" si="69"/>
        <v>0.49542445278797259</v>
      </c>
      <c r="AC406" s="195">
        <f t="shared" si="62"/>
        <v>0.70909960396735583</v>
      </c>
      <c r="AD406">
        <f t="shared" si="63"/>
        <v>54</v>
      </c>
      <c r="AE406" s="195">
        <f t="shared" si="70"/>
        <v>0.10249193335512219</v>
      </c>
      <c r="AF406" s="195">
        <f t="shared" si="71"/>
        <v>1.6383875370603946E-2</v>
      </c>
      <c r="AG406" s="255" t="str">
        <f>IF(ISNUMBER(SEARCH("C",'WetLitterbags placem_collection'!AD333)),"YES","NO")</f>
        <v>NO</v>
      </c>
      <c r="AH406" s="255" t="str">
        <f>IF(ISNUMBER(SEARCH("H", 'WetLitterbags placem_collection'!AF113)),"YES","NO")</f>
        <v>NO</v>
      </c>
      <c r="AI406" s="255" t="str">
        <f>IF(ISNUMBER(SEARCH("R", 'WetLitterbags placem_collection'!XF113)),"YES","NO")</f>
        <v>NO</v>
      </c>
      <c r="AJ406" s="255" t="str">
        <f>IF(ISNUMBER(SEARCH("C", 'WetLitterbags placem_collection'!WE113)),"YES","NO")</f>
        <v>NO</v>
      </c>
      <c r="AK406" s="255" t="str">
        <f>IF(ISNUMBER(SEARCH("H", 'WetLitterbags placem_collection'!AE113)),"YES","NO")</f>
        <v>NO</v>
      </c>
      <c r="AL406" s="255" t="str">
        <f>IF(ISNUMBER(SEARCH("R", 'WetLitterbags placem_collection'!AE113)),"YES","NO")</f>
        <v>NO</v>
      </c>
    </row>
    <row r="407" spans="2:38">
      <c r="B407" t="str">
        <f>'Final data_for_R_analysis_Wetse'!A553</f>
        <v>Wet</v>
      </c>
      <c r="C407" s="263">
        <f>'Final data_for_R_analysis_Wetse'!B553</f>
        <v>112</v>
      </c>
      <c r="D407" t="s">
        <v>3843</v>
      </c>
      <c r="E407" t="s">
        <v>25</v>
      </c>
      <c r="F407" s="387">
        <v>8</v>
      </c>
      <c r="G407" s="16">
        <f>'WetLitterbags placem_collection'!E114</f>
        <v>42762</v>
      </c>
      <c r="H407" s="92" t="str">
        <f>'Final data_for_R_analysis_Wetse'!J553</f>
        <v>G852</v>
      </c>
      <c r="I407" t="str">
        <f>'Final data_for_R_analysis_Wetse'!J773</f>
        <v>R530</v>
      </c>
      <c r="J407">
        <f>IFERROR(INDEX('Green_rooibos initial weight'!$C$5:$C$1749,MATCH(H407, 'Green_rooibos initial weight'!$A$5:$A$1749,0)),"")</f>
        <v>2.0630000000000002</v>
      </c>
      <c r="K407">
        <f>IFERROR(INDEX('Green_rooibos initial weight'!$C$5:$C$1749,MATCH(I407, 'Green_rooibos initial weight'!$A$5:$A$1749,0)),"")</f>
        <v>2.1659999999999999</v>
      </c>
      <c r="L407" s="195">
        <f t="shared" si="64"/>
        <v>1.8132000000000001</v>
      </c>
      <c r="M407" s="195">
        <f>AVERAGE(Ashed_controlls!$K$2:$K$11)</f>
        <v>5.5147656768714146</v>
      </c>
      <c r="N407" s="195">
        <f t="shared" si="60"/>
        <v>1.7132062687469676</v>
      </c>
      <c r="O407" s="195">
        <f t="shared" si="65"/>
        <v>1.9161999999999999</v>
      </c>
      <c r="P407" s="195">
        <f>AVERAGE(Ashed_controlls!$K$12:$K$14)</f>
        <v>2.2816647271287041</v>
      </c>
      <c r="Q407" s="195">
        <f t="shared" si="66"/>
        <v>1.8724787404987597</v>
      </c>
      <c r="R407" s="16">
        <f>IF('WetLitterbags placem_collection'!G114="N.A","",'WetLitterbags placem_collection'!G114)</f>
        <v>42816</v>
      </c>
      <c r="S407" s="195">
        <f>IF(IFERROR(INDEX('Both teabags AfterWet'!$C$3:$C$841,MATCH(H407,'Both teabags AfterWet'!$A$3:$A$841,0)),"")="N.A","",(IFERROR(INDEX('Both teabags AfterWet'!$C$3:$C$841,MATCH(H407,'Both teabags AfterWet'!$A$3:$A$841,0)),"")))</f>
        <v>0.69799999999999995</v>
      </c>
      <c r="T407" s="195">
        <f>IFERROR(INDEX('Both teabags AfterWet'!$C$3:$C$841,MATCH(I407,'Both teabags AfterWet'!$A$3:$A$841,0)),"")</f>
        <v>1.627</v>
      </c>
      <c r="U407" s="195">
        <f t="shared" si="67"/>
        <v>0.54739999999999989</v>
      </c>
      <c r="V407" s="195">
        <f t="shared" si="67"/>
        <v>1.4763999999999999</v>
      </c>
      <c r="W407" s="195">
        <f>IFERROR(INDEX('Ashed teabags wet'!$K$2:$K$821,MATCH(H407,'Ashed teabags wet'!$A$2:$A$821,0)),"")</f>
        <v>13.745704467352656</v>
      </c>
      <c r="X407" s="195">
        <f>IFERROR(INDEX('Ashed teabags wet'!$K$2:$K$821,MATCH(I407,'Ashed teabags wet'!$A$2:$A$821,0)),"")</f>
        <v>4.6511627906973203</v>
      </c>
      <c r="Y407" s="195">
        <f t="shared" si="61"/>
        <v>0.47215601374571148</v>
      </c>
      <c r="Z407" s="195">
        <f t="shared" si="61"/>
        <v>1.4077302325581447</v>
      </c>
      <c r="AA407" s="195">
        <f t="shared" si="68"/>
        <v>0.72440212112284375</v>
      </c>
      <c r="AB407" s="195">
        <f t="shared" si="69"/>
        <v>0.4749049535152135</v>
      </c>
      <c r="AC407" s="195">
        <f t="shared" si="62"/>
        <v>0.75180038208774369</v>
      </c>
      <c r="AD407">
        <f t="shared" si="63"/>
        <v>54</v>
      </c>
      <c r="AE407" s="195">
        <f t="shared" si="70"/>
        <v>0.13966493928403356</v>
      </c>
      <c r="AF407" s="195">
        <f t="shared" si="71"/>
        <v>1.3693770239806072E-2</v>
      </c>
      <c r="AG407" s="255" t="str">
        <f>IF(ISNUMBER(SEARCH("C",'WetLitterbags placem_collection'!AD334)),"YES","NO")</f>
        <v>NO</v>
      </c>
      <c r="AH407" s="255" t="str">
        <f>IF(ISNUMBER(SEARCH("H", 'WetLitterbags placem_collection'!AF114)),"YES","NO")</f>
        <v>NO</v>
      </c>
      <c r="AI407" s="255" t="str">
        <f>IF(ISNUMBER(SEARCH("R", 'WetLitterbags placem_collection'!XF114)),"YES","NO")</f>
        <v>NO</v>
      </c>
      <c r="AJ407" s="255" t="str">
        <f>IF(ISNUMBER(SEARCH("C", 'WetLitterbags placem_collection'!WE114)),"YES","NO")</f>
        <v>NO</v>
      </c>
      <c r="AK407" s="255" t="str">
        <f>IF(ISNUMBER(SEARCH("H", 'WetLitterbags placem_collection'!AE114)),"YES","NO")</f>
        <v>NO</v>
      </c>
      <c r="AL407" s="255" t="str">
        <f>IF(ISNUMBER(SEARCH("R", 'WetLitterbags placem_collection'!AE114)),"YES","NO")</f>
        <v>NO</v>
      </c>
    </row>
    <row r="408" spans="2:38">
      <c r="B408" t="str">
        <f>'Final data_for_R_analysis_Wetse'!A554</f>
        <v>Wet</v>
      </c>
      <c r="C408" s="263">
        <f>'Final data_for_R_analysis_Wetse'!B554</f>
        <v>113</v>
      </c>
      <c r="D408" t="s">
        <v>3844</v>
      </c>
      <c r="E408" t="s">
        <v>25</v>
      </c>
      <c r="F408" s="386">
        <v>1</v>
      </c>
      <c r="G408" s="16">
        <f>'WetLitterbags placem_collection'!E115</f>
        <v>42762</v>
      </c>
      <c r="H408" s="92" t="str">
        <f>'Final data_for_R_analysis_Wetse'!J554</f>
        <v>G769</v>
      </c>
      <c r="I408" t="str">
        <f>'Final data_for_R_analysis_Wetse'!J774</f>
        <v>R578</v>
      </c>
      <c r="J408">
        <f>IFERROR(INDEX('Green_rooibos initial weight'!$C$5:$C$1749,MATCH(H408, 'Green_rooibos initial weight'!$A$5:$A$1749,0)),"")</f>
        <v>2.0550000000000002</v>
      </c>
      <c r="K408">
        <f>IFERROR(INDEX('Green_rooibos initial weight'!$C$5:$C$1749,MATCH(I408, 'Green_rooibos initial weight'!$A$5:$A$1749,0)),"")</f>
        <v>2.1259999999999999</v>
      </c>
      <c r="L408" s="195">
        <f t="shared" si="64"/>
        <v>1.8052000000000001</v>
      </c>
      <c r="M408" s="195">
        <f>AVERAGE(Ashed_controlls!$K$2:$K$11)</f>
        <v>5.5147656768714146</v>
      </c>
      <c r="N408" s="195">
        <f t="shared" si="60"/>
        <v>1.7056474500011174</v>
      </c>
      <c r="O408" s="195">
        <f t="shared" si="65"/>
        <v>1.8761999999999999</v>
      </c>
      <c r="P408" s="195">
        <f>AVERAGE(Ashed_controlls!$K$12:$K$14)</f>
        <v>2.2816647271287041</v>
      </c>
      <c r="Q408" s="195">
        <f t="shared" si="66"/>
        <v>1.8333914063896111</v>
      </c>
      <c r="R408" s="16">
        <f>IF('WetLitterbags placem_collection'!G115="N.A","",'WetLitterbags placem_collection'!G115)</f>
        <v>42816</v>
      </c>
      <c r="S408" s="195">
        <f>IF(IFERROR(INDEX('Both teabags AfterWet'!$C$3:$C$841,MATCH(H408,'Both teabags AfterWet'!$A$3:$A$841,0)),"")="N.A","",(IFERROR(INDEX('Both teabags AfterWet'!$C$3:$C$841,MATCH(H408,'Both teabags AfterWet'!$A$3:$A$841,0)),"")))</f>
        <v>0.70799999999999996</v>
      </c>
      <c r="T408" s="195">
        <f>IFERROR(INDEX('Both teabags AfterWet'!$C$3:$C$841,MATCH(I408,'Both teabags AfterWet'!$A$3:$A$841,0)),"")</f>
        <v>1.421</v>
      </c>
      <c r="U408" s="195">
        <f t="shared" si="67"/>
        <v>0.5573999999999999</v>
      </c>
      <c r="V408" s="195">
        <f t="shared" si="67"/>
        <v>1.2704</v>
      </c>
      <c r="W408" s="195">
        <f>IFERROR(INDEX('Ashed teabags wet'!$K$2:$K$821,MATCH(H408,'Ashed teabags wet'!$A$2:$A$821,0)),"")</f>
        <v>20.028887818970457</v>
      </c>
      <c r="X408" s="195">
        <f>IFERROR(INDEX('Ashed teabags wet'!$K$2:$K$821,MATCH(I408,'Ashed teabags wet'!$A$2:$A$821,0)),"")</f>
        <v>12.371134020618721</v>
      </c>
      <c r="Y408" s="195">
        <f t="shared" si="61"/>
        <v>0.4457589792970586</v>
      </c>
      <c r="Z408" s="195">
        <f t="shared" si="61"/>
        <v>1.1132371134020598</v>
      </c>
      <c r="AA408" s="195">
        <f t="shared" si="68"/>
        <v>0.73865702475809614</v>
      </c>
      <c r="AB408" s="195">
        <f t="shared" si="69"/>
        <v>0.48425021100530774</v>
      </c>
      <c r="AC408" s="195">
        <f t="shared" si="62"/>
        <v>0.60720100984562353</v>
      </c>
      <c r="AD408">
        <f t="shared" si="63"/>
        <v>54</v>
      </c>
      <c r="AE408" s="195">
        <f t="shared" si="70"/>
        <v>0.12273512499038464</v>
      </c>
      <c r="AF408" s="195">
        <f t="shared" si="71"/>
        <v>3.0866592839766355E-2</v>
      </c>
      <c r="AG408" s="255" t="str">
        <f>IF(ISNUMBER(SEARCH("C",'WetLitterbags placem_collection'!AD335)),"YES","NO")</f>
        <v>NO</v>
      </c>
      <c r="AH408" s="255" t="str">
        <f>IF(ISNUMBER(SEARCH("H", 'WetLitterbags placem_collection'!AF115)),"YES","NO")</f>
        <v>NO</v>
      </c>
      <c r="AI408" s="255" t="str">
        <f>IF(ISNUMBER(SEARCH("R", 'WetLitterbags placem_collection'!XF115)),"YES","NO")</f>
        <v>NO</v>
      </c>
      <c r="AJ408" s="255" t="str">
        <f>IF(ISNUMBER(SEARCH("C", 'WetLitterbags placem_collection'!WE115)),"YES","NO")</f>
        <v>NO</v>
      </c>
      <c r="AK408" s="255" t="str">
        <f>IF(ISNUMBER(SEARCH("H", 'WetLitterbags placem_collection'!AE115)),"YES","NO")</f>
        <v>NO</v>
      </c>
      <c r="AL408" s="255" t="str">
        <f>IF(ISNUMBER(SEARCH("R", 'WetLitterbags placem_collection'!AE115)),"YES","NO")</f>
        <v>NO</v>
      </c>
    </row>
    <row r="409" spans="2:38">
      <c r="B409" t="str">
        <f>'Final data_for_R_analysis_Wetse'!A555</f>
        <v>Wet</v>
      </c>
      <c r="C409" s="263">
        <f>'Final data_for_R_analysis_Wetse'!B555</f>
        <v>114</v>
      </c>
      <c r="D409" t="s">
        <v>3844</v>
      </c>
      <c r="E409" t="s">
        <v>25</v>
      </c>
      <c r="F409" s="386">
        <v>2</v>
      </c>
      <c r="G409" s="16">
        <f>'WetLitterbags placem_collection'!E116</f>
        <v>42762</v>
      </c>
      <c r="H409" s="92" t="str">
        <f>'Final data_for_R_analysis_Wetse'!J555</f>
        <v>G889</v>
      </c>
      <c r="I409" t="str">
        <f>'Final data_for_R_analysis_Wetse'!J775</f>
        <v>R37</v>
      </c>
      <c r="J409">
        <f>IFERROR(INDEX('Green_rooibos initial weight'!$C$5:$C$1749,MATCH(H409, 'Green_rooibos initial weight'!$A$5:$A$1749,0)),"")</f>
        <v>1.9830000000000001</v>
      </c>
      <c r="K409">
        <f>IFERROR(INDEX('Green_rooibos initial weight'!$C$5:$C$1749,MATCH(I409, 'Green_rooibos initial weight'!$A$5:$A$1749,0)),"")</f>
        <v>2.0979999999999999</v>
      </c>
      <c r="L409" s="195">
        <f t="shared" si="64"/>
        <v>1.7332000000000001</v>
      </c>
      <c r="M409" s="195">
        <f>AVERAGE(Ashed_controlls!$K$2:$K$11)</f>
        <v>5.5147656768714146</v>
      </c>
      <c r="N409" s="195">
        <f t="shared" si="60"/>
        <v>1.6376180812884646</v>
      </c>
      <c r="O409" s="195">
        <f t="shared" si="65"/>
        <v>1.8481999999999998</v>
      </c>
      <c r="P409" s="195">
        <f>AVERAGE(Ashed_controlls!$K$12:$K$14)</f>
        <v>2.2816647271287041</v>
      </c>
      <c r="Q409" s="195">
        <f t="shared" si="66"/>
        <v>1.8060302725132071</v>
      </c>
      <c r="R409" s="16">
        <f>IF('WetLitterbags placem_collection'!G116="N.A","",'WetLitterbags placem_collection'!G116)</f>
        <v>42816</v>
      </c>
      <c r="S409" s="195">
        <f>IF(IFERROR(INDEX('Both teabags AfterWet'!$C$3:$C$841,MATCH(H409,'Both teabags AfterWet'!$A$3:$A$841,0)),"")="N.A","",(IFERROR(INDEX('Both teabags AfterWet'!$C$3:$C$841,MATCH(H409,'Both teabags AfterWet'!$A$3:$A$841,0)),"")))</f>
        <v>0.65700000000000003</v>
      </c>
      <c r="T409" s="195">
        <f>IFERROR(INDEX('Both teabags AfterWet'!$C$3:$C$841,MATCH(I409,'Both teabags AfterWet'!$A$3:$A$841,0)),"")</f>
        <v>1.504</v>
      </c>
      <c r="U409" s="195">
        <f t="shared" si="67"/>
        <v>0.50639999999999996</v>
      </c>
      <c r="V409" s="195">
        <f t="shared" si="67"/>
        <v>1.3533999999999999</v>
      </c>
      <c r="W409" s="195">
        <f>IFERROR(INDEX('Ashed teabags wet'!$K$2:$K$821,MATCH(H409,'Ashed teabags wet'!$A$2:$A$821,0)),"")</f>
        <v>20.433734939759127</v>
      </c>
      <c r="X409" s="195">
        <f>IFERROR(INDEX('Ashed teabags wet'!$K$2:$K$821,MATCH(I409,'Ashed teabags wet'!$A$2:$A$821,0)),"")</f>
        <v>11.717576364547087</v>
      </c>
      <c r="Y409" s="195">
        <f t="shared" si="61"/>
        <v>0.40292356626505976</v>
      </c>
      <c r="Z409" s="195">
        <f t="shared" si="61"/>
        <v>1.1948143214822196</v>
      </c>
      <c r="AA409" s="195">
        <f t="shared" si="68"/>
        <v>0.75395754915697877</v>
      </c>
      <c r="AB409" s="195">
        <f t="shared" si="69"/>
        <v>0.49428095859222371</v>
      </c>
      <c r="AC409" s="195">
        <f t="shared" si="62"/>
        <v>0.66156937658611814</v>
      </c>
      <c r="AD409">
        <f t="shared" si="63"/>
        <v>54</v>
      </c>
      <c r="AE409" s="195">
        <f t="shared" si="70"/>
        <v>0.10456348081118905</v>
      </c>
      <c r="AF409" s="195">
        <f t="shared" si="71"/>
        <v>2.1374221124942253E-2</v>
      </c>
      <c r="AG409" s="255" t="str">
        <f>IF(ISNUMBER(SEARCH("C",'WetLitterbags placem_collection'!AD336)),"YES","NO")</f>
        <v>NO</v>
      </c>
      <c r="AH409" s="255" t="str">
        <f>IF(ISNUMBER(SEARCH("H", 'WetLitterbags placem_collection'!AF116)),"YES","NO")</f>
        <v>NO</v>
      </c>
      <c r="AI409" s="255" t="str">
        <f>IF(ISNUMBER(SEARCH("R", 'WetLitterbags placem_collection'!XF116)),"YES","NO")</f>
        <v>NO</v>
      </c>
      <c r="AJ409" s="255" t="str">
        <f>IF(ISNUMBER(SEARCH("C", 'WetLitterbags placem_collection'!WE116)),"YES","NO")</f>
        <v>NO</v>
      </c>
      <c r="AK409" s="255" t="str">
        <f>IF(ISNUMBER(SEARCH("H", 'WetLitterbags placem_collection'!AE116)),"YES","NO")</f>
        <v>NO</v>
      </c>
      <c r="AL409" s="255" t="str">
        <f>IF(ISNUMBER(SEARCH("R", 'WetLitterbags placem_collection'!AE116)),"YES","NO")</f>
        <v>NO</v>
      </c>
    </row>
    <row r="410" spans="2:38">
      <c r="B410" t="str">
        <f>'Final data_for_R_analysis_Wetse'!A556</f>
        <v>Wet</v>
      </c>
      <c r="C410" s="263">
        <f>'Final data_for_R_analysis_Wetse'!B556</f>
        <v>115</v>
      </c>
      <c r="D410" t="s">
        <v>3844</v>
      </c>
      <c r="E410" t="s">
        <v>25</v>
      </c>
      <c r="F410" s="386">
        <v>3</v>
      </c>
      <c r="G410" s="16">
        <f>'WetLitterbags placem_collection'!E117</f>
        <v>42762</v>
      </c>
      <c r="H410" s="92" t="str">
        <f>'Final data_for_R_analysis_Wetse'!J556</f>
        <v>G778</v>
      </c>
      <c r="I410" t="str">
        <f>'Final data_for_R_analysis_Wetse'!J776</f>
        <v>R522</v>
      </c>
      <c r="J410">
        <f>IFERROR(INDEX('Green_rooibos initial weight'!$C$5:$C$1749,MATCH(H410, 'Green_rooibos initial weight'!$A$5:$A$1749,0)),"")</f>
        <v>1.992</v>
      </c>
      <c r="K410">
        <f>IFERROR(INDEX('Green_rooibos initial weight'!$C$5:$C$1749,MATCH(I410, 'Green_rooibos initial weight'!$A$5:$A$1749,0)),"")</f>
        <v>2.1819999999999999</v>
      </c>
      <c r="L410" s="195">
        <f t="shared" si="64"/>
        <v>1.7422</v>
      </c>
      <c r="M410" s="195">
        <f>AVERAGE(Ashed_controlls!$K$2:$K$11)</f>
        <v>5.5147656768714146</v>
      </c>
      <c r="N410" s="195">
        <f t="shared" si="60"/>
        <v>1.6461217523775462</v>
      </c>
      <c r="O410" s="195">
        <f t="shared" si="65"/>
        <v>1.9321999999999999</v>
      </c>
      <c r="P410" s="195">
        <f>AVERAGE(Ashed_controlls!$K$12:$K$14)</f>
        <v>2.2816647271287041</v>
      </c>
      <c r="Q410" s="195">
        <f t="shared" si="66"/>
        <v>1.8881136741424192</v>
      </c>
      <c r="R410" s="16">
        <f>IF('WetLitterbags placem_collection'!G117="N.A","",'WetLitterbags placem_collection'!G117)</f>
        <v>42816</v>
      </c>
      <c r="S410" s="195">
        <f>IF(IFERROR(INDEX('Both teabags AfterWet'!$C$3:$C$841,MATCH(H410,'Both teabags AfterWet'!$A$3:$A$841,0)),"")="N.A","",(IFERROR(INDEX('Both teabags AfterWet'!$C$3:$C$841,MATCH(H410,'Both teabags AfterWet'!$A$3:$A$841,0)),"")))</f>
        <v>0.73709999999999998</v>
      </c>
      <c r="T410" s="195">
        <f>IFERROR(INDEX('Both teabags AfterWet'!$C$3:$C$841,MATCH(I410,'Both teabags AfterWet'!$A$3:$A$841,0)),"")</f>
        <v>1.401</v>
      </c>
      <c r="U410" s="195">
        <f t="shared" si="67"/>
        <v>0.58650000000000002</v>
      </c>
      <c r="V410" s="195">
        <f t="shared" si="67"/>
        <v>1.2504</v>
      </c>
      <c r="W410" s="195">
        <f>IFERROR(INDEX('Ashed teabags wet'!$K$2:$K$821,MATCH(H410,'Ashed teabags wet'!$A$2:$A$821,0)),"")</f>
        <v>26.575476306790591</v>
      </c>
      <c r="X410" s="195">
        <f>IFERROR(INDEX('Ashed teabags wet'!$K$2:$K$821,MATCH(I410,'Ashed teabags wet'!$A$2:$A$821,0)),"")</f>
        <v>3.9292730844799202</v>
      </c>
      <c r="Y410" s="195">
        <f t="shared" si="61"/>
        <v>0.43063483146067316</v>
      </c>
      <c r="Z410" s="195">
        <f t="shared" si="61"/>
        <v>1.201268369351663</v>
      </c>
      <c r="AA410" s="195">
        <f t="shared" si="68"/>
        <v>0.73839430112706217</v>
      </c>
      <c r="AB410" s="195">
        <f t="shared" si="69"/>
        <v>0.48407797413555631</v>
      </c>
      <c r="AC410" s="195">
        <f t="shared" si="62"/>
        <v>0.6362267197165864</v>
      </c>
      <c r="AD410">
        <f t="shared" si="63"/>
        <v>54</v>
      </c>
      <c r="AE410" s="195">
        <f t="shared" si="70"/>
        <v>0.12304714830515173</v>
      </c>
      <c r="AF410" s="195">
        <f t="shared" si="71"/>
        <v>2.5781821429952771E-2</v>
      </c>
      <c r="AG410" s="255" t="str">
        <f>IF(ISNUMBER(SEARCH("C",'WetLitterbags placem_collection'!AD337)),"YES","NO")</f>
        <v>NO</v>
      </c>
      <c r="AH410" s="255" t="str">
        <f>IF(ISNUMBER(SEARCH("H", 'WetLitterbags placem_collection'!AF117)),"YES","NO")</f>
        <v>NO</v>
      </c>
      <c r="AI410" s="255" t="str">
        <f>IF(ISNUMBER(SEARCH("R", 'WetLitterbags placem_collection'!XF117)),"YES","NO")</f>
        <v>NO</v>
      </c>
      <c r="AJ410" s="255" t="str">
        <f>IF(ISNUMBER(SEARCH("C", 'WetLitterbags placem_collection'!WE117)),"YES","NO")</f>
        <v>NO</v>
      </c>
      <c r="AK410" s="255" t="str">
        <f>IF(ISNUMBER(SEARCH("H", 'WetLitterbags placem_collection'!AE117)),"YES","NO")</f>
        <v>NO</v>
      </c>
      <c r="AL410" s="255" t="str">
        <f>IF(ISNUMBER(SEARCH("R", 'WetLitterbags placem_collection'!AE117)),"YES","NO")</f>
        <v>NO</v>
      </c>
    </row>
    <row r="411" spans="2:38">
      <c r="B411" t="str">
        <f>'Final data_for_R_analysis_Wetse'!A557</f>
        <v>Wet</v>
      </c>
      <c r="C411" s="263">
        <f>'Final data_for_R_analysis_Wetse'!B557</f>
        <v>116</v>
      </c>
      <c r="D411" t="s">
        <v>3844</v>
      </c>
      <c r="E411" t="s">
        <v>25</v>
      </c>
      <c r="F411" s="387">
        <v>4</v>
      </c>
      <c r="G411" s="16">
        <f>'WetLitterbags placem_collection'!E118</f>
        <v>42762</v>
      </c>
      <c r="H411" s="92" t="str">
        <f>'Final data_for_R_analysis_Wetse'!J557</f>
        <v>G563</v>
      </c>
      <c r="I411" t="str">
        <f>'Final data_for_R_analysis_Wetse'!J777</f>
        <v>R480</v>
      </c>
      <c r="J411">
        <f>IFERROR(INDEX('Green_rooibos initial weight'!$C$5:$C$1749,MATCH(H411, 'Green_rooibos initial weight'!$A$5:$A$1749,0)),"")</f>
        <v>1.9390000000000001</v>
      </c>
      <c r="K411">
        <f>IFERROR(INDEX('Green_rooibos initial weight'!$C$5:$C$1749,MATCH(I411, 'Green_rooibos initial weight'!$A$5:$A$1749,0)),"")</f>
        <v>2.17</v>
      </c>
      <c r="L411" s="195">
        <f t="shared" si="64"/>
        <v>1.6892</v>
      </c>
      <c r="M411" s="195">
        <f>AVERAGE(Ashed_controlls!$K$2:$K$11)</f>
        <v>5.5147656768714146</v>
      </c>
      <c r="N411" s="195">
        <f t="shared" si="60"/>
        <v>1.5960445781862882</v>
      </c>
      <c r="O411" s="195">
        <f t="shared" si="65"/>
        <v>1.9201999999999999</v>
      </c>
      <c r="P411" s="195">
        <f>AVERAGE(Ashed_controlls!$K$12:$K$14)</f>
        <v>2.2816647271287041</v>
      </c>
      <c r="Q411" s="195">
        <f t="shared" si="66"/>
        <v>1.8763874739096746</v>
      </c>
      <c r="R411" s="16">
        <f>IF('WetLitterbags placem_collection'!G118="N.A","",'WetLitterbags placem_collection'!G118)</f>
        <v>42816</v>
      </c>
      <c r="S411" s="195">
        <f>IF(IFERROR(INDEX('Both teabags AfterWet'!$C$3:$C$841,MATCH(H411,'Both teabags AfterWet'!$A$3:$A$841,0)),"")="N.A","",(IFERROR(INDEX('Both teabags AfterWet'!$C$3:$C$841,MATCH(H411,'Both teabags AfterWet'!$A$3:$A$841,0)),"")))</f>
        <v>0.61660000000000004</v>
      </c>
      <c r="T411" s="195">
        <f>IFERROR(INDEX('Both teabags AfterWet'!$C$3:$C$841,MATCH(I411,'Both teabags AfterWet'!$A$3:$A$841,0)),"")</f>
        <v>1.389</v>
      </c>
      <c r="U411" s="195">
        <f t="shared" si="67"/>
        <v>0.46600000000000003</v>
      </c>
      <c r="V411" s="195">
        <f t="shared" si="67"/>
        <v>1.2383999999999999</v>
      </c>
      <c r="W411" s="195">
        <f>IFERROR(INDEX('Ashed teabags wet'!$K$2:$K$821,MATCH(H411,'Ashed teabags wet'!$A$2:$A$821,0)),"")</f>
        <v>16.467661691542546</v>
      </c>
      <c r="X411" s="195">
        <f>IFERROR(INDEX('Ashed teabags wet'!$K$2:$K$821,MATCH(I411,'Ashed teabags wet'!$A$2:$A$821,0)),"")</f>
        <v>9.0863704443334274</v>
      </c>
      <c r="Y411" s="195">
        <f t="shared" si="61"/>
        <v>0.38926069651741174</v>
      </c>
      <c r="Z411" s="195">
        <f t="shared" si="61"/>
        <v>1.1258743884173747</v>
      </c>
      <c r="AA411" s="195">
        <f t="shared" si="68"/>
        <v>0.75610913264104473</v>
      </c>
      <c r="AB411" s="195">
        <f t="shared" si="69"/>
        <v>0.4956914978834403</v>
      </c>
      <c r="AC411" s="195">
        <f t="shared" si="62"/>
        <v>0.60002233231257007</v>
      </c>
      <c r="AD411">
        <f t="shared" si="63"/>
        <v>54</v>
      </c>
      <c r="AE411" s="195">
        <f t="shared" si="70"/>
        <v>0.10200815600826041</v>
      </c>
      <c r="AF411" s="195">
        <f t="shared" si="71"/>
        <v>3.0455387943873237E-2</v>
      </c>
      <c r="AG411" s="255" t="str">
        <f>IF(ISNUMBER(SEARCH("C",'WetLitterbags placem_collection'!AD338)),"YES","NO")</f>
        <v>NO</v>
      </c>
      <c r="AH411" s="255" t="str">
        <f>IF(ISNUMBER(SEARCH("H", 'WetLitterbags placem_collection'!AF118)),"YES","NO")</f>
        <v>NO</v>
      </c>
      <c r="AI411" s="255" t="str">
        <f>IF(ISNUMBER(SEARCH("R", 'WetLitterbags placem_collection'!XF118)),"YES","NO")</f>
        <v>NO</v>
      </c>
      <c r="AJ411" s="255" t="str">
        <f>IF(ISNUMBER(SEARCH("C", 'WetLitterbags placem_collection'!WE118)),"YES","NO")</f>
        <v>NO</v>
      </c>
      <c r="AK411" s="255" t="str">
        <f>IF(ISNUMBER(SEARCH("H", 'WetLitterbags placem_collection'!AE118)),"YES","NO")</f>
        <v>NO</v>
      </c>
      <c r="AL411" s="255" t="str">
        <f>IF(ISNUMBER(SEARCH("R", 'WetLitterbags placem_collection'!AE118)),"YES","NO")</f>
        <v>NO</v>
      </c>
    </row>
    <row r="412" spans="2:38">
      <c r="B412" t="str">
        <f>'Final data_for_R_analysis_Wetse'!A558</f>
        <v>Wet</v>
      </c>
      <c r="C412" s="263">
        <f>'Final data_for_R_analysis_Wetse'!B558</f>
        <v>117</v>
      </c>
      <c r="D412" t="s">
        <v>3844</v>
      </c>
      <c r="E412" t="s">
        <v>25</v>
      </c>
      <c r="F412" s="387">
        <v>5</v>
      </c>
      <c r="G412" s="16">
        <f>'WetLitterbags placem_collection'!E119</f>
        <v>42762</v>
      </c>
      <c r="H412" s="92" t="str">
        <f>'Final data_for_R_analysis_Wetse'!J558</f>
        <v>G901</v>
      </c>
      <c r="I412" t="str">
        <f>'Final data_for_R_analysis_Wetse'!J778</f>
        <v>R565</v>
      </c>
      <c r="J412">
        <f>IFERROR(INDEX('Green_rooibos initial weight'!$C$5:$C$1749,MATCH(H412, 'Green_rooibos initial weight'!$A$5:$A$1749,0)),"")</f>
        <v>2.0270000000000001</v>
      </c>
      <c r="K412">
        <f>IFERROR(INDEX('Green_rooibos initial weight'!$C$5:$C$1749,MATCH(I412, 'Green_rooibos initial weight'!$A$5:$A$1749,0)),"")</f>
        <v>2.0649999999999999</v>
      </c>
      <c r="L412" s="195">
        <f t="shared" si="64"/>
        <v>1.7772000000000001</v>
      </c>
      <c r="M412" s="195">
        <f>AVERAGE(Ashed_controlls!$K$2:$K$11)</f>
        <v>5.5147656768714146</v>
      </c>
      <c r="N412" s="195">
        <f t="shared" si="60"/>
        <v>1.6791915843906413</v>
      </c>
      <c r="O412" s="195">
        <f t="shared" si="65"/>
        <v>1.8151999999999999</v>
      </c>
      <c r="P412" s="195">
        <f>AVERAGE(Ashed_controlls!$K$12:$K$14)</f>
        <v>2.2816647271287041</v>
      </c>
      <c r="Q412" s="195">
        <f t="shared" si="66"/>
        <v>1.7737832218731597</v>
      </c>
      <c r="R412" s="16">
        <f>IF('WetLitterbags placem_collection'!G119="N.A","",'WetLitterbags placem_collection'!G119)</f>
        <v>42816</v>
      </c>
      <c r="S412" s="195">
        <f>IF(IFERROR(INDEX('Both teabags AfterWet'!$C$3:$C$841,MATCH(H412,'Both teabags AfterWet'!$A$3:$A$841,0)),"")="N.A","",(IFERROR(INDEX('Both teabags AfterWet'!$C$3:$C$841,MATCH(H412,'Both teabags AfterWet'!$A$3:$A$841,0)),"")))</f>
        <v>0.621</v>
      </c>
      <c r="T412" s="195">
        <f>IFERROR(INDEX('Both teabags AfterWet'!$C$3:$C$841,MATCH(I412,'Both teabags AfterWet'!$A$3:$A$841,0)),"")</f>
        <v>1.343</v>
      </c>
      <c r="U412" s="195">
        <f t="shared" si="67"/>
        <v>0.47039999999999998</v>
      </c>
      <c r="V412" s="195">
        <f t="shared" si="67"/>
        <v>1.1923999999999999</v>
      </c>
      <c r="W412" s="195">
        <f>IFERROR(INDEX('Ashed teabags wet'!$K$2:$K$821,MATCH(H412,'Ashed teabags wet'!$A$2:$A$821,0)),"")</f>
        <v>13.244047619047592</v>
      </c>
      <c r="X412" s="195" t="str">
        <f>IFERROR(INDEX('Ashed teabags wet'!$K$2:$K$821,MATCH(I412,'Ashed teabags wet'!$A$2:$A$821,0)),"")</f>
        <v/>
      </c>
      <c r="Y412" s="195">
        <f t="shared" si="61"/>
        <v>0.40810000000000013</v>
      </c>
      <c r="Z412" s="195" t="str">
        <f t="shared" si="61"/>
        <v/>
      </c>
      <c r="AA412" s="195">
        <f t="shared" si="68"/>
        <v>0.75696638561460228</v>
      </c>
      <c r="AB412" s="195">
        <f t="shared" si="69"/>
        <v>0.49625349745755404</v>
      </c>
      <c r="AC412" s="195" t="str">
        <f t="shared" si="62"/>
        <v/>
      </c>
      <c r="AD412">
        <f t="shared" si="63"/>
        <v>54</v>
      </c>
      <c r="AE412" s="195">
        <f t="shared" si="70"/>
        <v>0.10099004083776453</v>
      </c>
      <c r="AF412" s="195" t="str">
        <f t="shared" si="71"/>
        <v/>
      </c>
      <c r="AG412" s="255" t="str">
        <f>IF(ISNUMBER(SEARCH("C",'WetLitterbags placem_collection'!AD339)),"YES","NO")</f>
        <v>NO</v>
      </c>
      <c r="AH412" s="255" t="str">
        <f>IF(ISNUMBER(SEARCH("H", 'WetLitterbags placem_collection'!AF119)),"YES","NO")</f>
        <v>NO</v>
      </c>
      <c r="AI412" s="255" t="str">
        <f>IF(ISNUMBER(SEARCH("R", 'WetLitterbags placem_collection'!XF119)),"YES","NO")</f>
        <v>NO</v>
      </c>
      <c r="AJ412" s="255" t="str">
        <f>IF(ISNUMBER(SEARCH("C", 'WetLitterbags placem_collection'!WE119)),"YES","NO")</f>
        <v>NO</v>
      </c>
      <c r="AK412" s="255" t="str">
        <f>IF(ISNUMBER(SEARCH("H", 'WetLitterbags placem_collection'!AE119)),"YES","NO")</f>
        <v>NO</v>
      </c>
      <c r="AL412" s="255" t="str">
        <f>IF(ISNUMBER(SEARCH("R", 'WetLitterbags placem_collection'!AE119)),"YES","NO")</f>
        <v>NO</v>
      </c>
    </row>
    <row r="413" spans="2:38">
      <c r="B413" t="str">
        <f>'Final data_for_R_analysis_Wetse'!A559</f>
        <v>Wet</v>
      </c>
      <c r="C413" s="263">
        <f>'Final data_for_R_analysis_Wetse'!B559</f>
        <v>118</v>
      </c>
      <c r="D413" t="s">
        <v>3844</v>
      </c>
      <c r="E413" t="s">
        <v>25</v>
      </c>
      <c r="F413" s="387">
        <v>6</v>
      </c>
      <c r="G413" s="16">
        <f>'WetLitterbags placem_collection'!E120</f>
        <v>42762</v>
      </c>
      <c r="H413" s="92" t="str">
        <f>'Final data_for_R_analysis_Wetse'!J559</f>
        <v>G791</v>
      </c>
      <c r="I413" t="str">
        <f>'Final data_for_R_analysis_Wetse'!J779</f>
        <v>R544</v>
      </c>
      <c r="J413">
        <f>IFERROR(INDEX('Green_rooibos initial weight'!$C$5:$C$1749,MATCH(H413, 'Green_rooibos initial weight'!$A$5:$A$1749,0)),"")</f>
        <v>2.0680000000000001</v>
      </c>
      <c r="K413">
        <f>IFERROR(INDEX('Green_rooibos initial weight'!$C$5:$C$1749,MATCH(I413, 'Green_rooibos initial weight'!$A$5:$A$1749,0)),"")</f>
        <v>2.2109999999999999</v>
      </c>
      <c r="L413" s="195">
        <f t="shared" si="64"/>
        <v>1.8182</v>
      </c>
      <c r="M413" s="195">
        <f>AVERAGE(Ashed_controlls!$K$2:$K$11)</f>
        <v>5.5147656768714146</v>
      </c>
      <c r="N413" s="195">
        <f t="shared" si="60"/>
        <v>1.7179305304631241</v>
      </c>
      <c r="O413" s="195">
        <f t="shared" si="65"/>
        <v>1.9611999999999998</v>
      </c>
      <c r="P413" s="195">
        <f>AVERAGE(Ashed_controlls!$K$12:$K$14)</f>
        <v>2.2816647271287041</v>
      </c>
      <c r="Q413" s="195">
        <f t="shared" si="66"/>
        <v>1.9164519913715516</v>
      </c>
      <c r="R413" s="16">
        <f>IF('WetLitterbags placem_collection'!G120="N.A","",'WetLitterbags placem_collection'!G120)</f>
        <v>42816</v>
      </c>
      <c r="S413" s="195">
        <f>IF(IFERROR(INDEX('Both teabags AfterWet'!$C$3:$C$841,MATCH(H413,'Both teabags AfterWet'!$A$3:$A$841,0)),"")="N.A","",(IFERROR(INDEX('Both teabags AfterWet'!$C$3:$C$841,MATCH(H413,'Both teabags AfterWet'!$A$3:$A$841,0)),"")))</f>
        <v>0.64600000000000002</v>
      </c>
      <c r="T413" s="195">
        <f>IFERROR(INDEX('Both teabags AfterWet'!$C$3:$C$841,MATCH(I413,'Both teabags AfterWet'!$A$3:$A$841,0)),"")</f>
        <v>1.599</v>
      </c>
      <c r="U413" s="195">
        <f t="shared" si="67"/>
        <v>0.49540000000000001</v>
      </c>
      <c r="V413" s="195">
        <f t="shared" si="67"/>
        <v>1.4483999999999999</v>
      </c>
      <c r="W413" s="195">
        <f>IFERROR(INDEX('Ashed teabags wet'!$K$2:$K$821,MATCH(H413,'Ashed teabags wet'!$A$2:$A$821,0)),"")</f>
        <v>12.418952618454213</v>
      </c>
      <c r="X413" s="195">
        <f>IFERROR(INDEX('Ashed teabags wet'!$K$2:$K$821,MATCH(I413,'Ashed teabags wet'!$A$2:$A$821,0)),"")</f>
        <v>4.604604604605111</v>
      </c>
      <c r="Y413" s="195">
        <f t="shared" si="61"/>
        <v>0.43387650872817785</v>
      </c>
      <c r="Z413" s="195">
        <f t="shared" si="61"/>
        <v>1.3817069069068995</v>
      </c>
      <c r="AA413" s="195">
        <f t="shared" si="68"/>
        <v>0.74744234354388461</v>
      </c>
      <c r="AB413" s="195">
        <f t="shared" si="69"/>
        <v>0.49000970740644223</v>
      </c>
      <c r="AC413" s="195">
        <f t="shared" si="62"/>
        <v>0.72097131215796861</v>
      </c>
      <c r="AD413">
        <f t="shared" si="63"/>
        <v>54</v>
      </c>
      <c r="AE413" s="195">
        <f t="shared" si="70"/>
        <v>0.1123012546984743</v>
      </c>
      <c r="AF413" s="195">
        <f t="shared" si="71"/>
        <v>1.560475976265052E-2</v>
      </c>
      <c r="AG413" s="255" t="str">
        <f>IF(ISNUMBER(SEARCH("C",'WetLitterbags placem_collection'!AD340)),"YES","NO")</f>
        <v>NO</v>
      </c>
      <c r="AH413" s="255" t="str">
        <f>IF(ISNUMBER(SEARCH("H", 'WetLitterbags placem_collection'!AF120)),"YES","NO")</f>
        <v>NO</v>
      </c>
      <c r="AI413" s="255" t="str">
        <f>IF(ISNUMBER(SEARCH("R", 'WetLitterbags placem_collection'!XF120)),"YES","NO")</f>
        <v>NO</v>
      </c>
      <c r="AJ413" s="255" t="str">
        <f>IF(ISNUMBER(SEARCH("C", 'WetLitterbags placem_collection'!WE120)),"YES","NO")</f>
        <v>NO</v>
      </c>
      <c r="AK413" s="255" t="str">
        <f>IF(ISNUMBER(SEARCH("H", 'WetLitterbags placem_collection'!AE120)),"YES","NO")</f>
        <v>NO</v>
      </c>
      <c r="AL413" s="255" t="str">
        <f>IF(ISNUMBER(SEARCH("R", 'WetLitterbags placem_collection'!AE120)),"YES","NO")</f>
        <v>NO</v>
      </c>
    </row>
    <row r="414" spans="2:38">
      <c r="B414" t="str">
        <f>'Final data_for_R_analysis_Wetse'!A560</f>
        <v>Wet</v>
      </c>
      <c r="C414" s="263">
        <f>'Final data_for_R_analysis_Wetse'!B560</f>
        <v>119</v>
      </c>
      <c r="D414" t="s">
        <v>3844</v>
      </c>
      <c r="E414" t="s">
        <v>25</v>
      </c>
      <c r="F414" s="387">
        <v>7</v>
      </c>
      <c r="G414" s="16">
        <f>'WetLitterbags placem_collection'!E121</f>
        <v>42762</v>
      </c>
      <c r="H414" s="92" t="str">
        <f>'Final data_for_R_analysis_Wetse'!J560</f>
        <v>G802</v>
      </c>
      <c r="I414" t="str">
        <f>'Final data_for_R_analysis_Wetse'!J780</f>
        <v>R526</v>
      </c>
      <c r="J414">
        <f>IFERROR(INDEX('Green_rooibos initial weight'!$C$5:$C$1749,MATCH(H414, 'Green_rooibos initial weight'!$A$5:$A$1749,0)),"")</f>
        <v>2.194</v>
      </c>
      <c r="K414">
        <f>IFERROR(INDEX('Green_rooibos initial weight'!$C$5:$C$1749,MATCH(I414, 'Green_rooibos initial weight'!$A$5:$A$1749,0)),"")</f>
        <v>2.0960000000000001</v>
      </c>
      <c r="L414" s="195">
        <f t="shared" si="64"/>
        <v>1.9441999999999999</v>
      </c>
      <c r="M414" s="195">
        <f>AVERAGE(Ashed_controlls!$K$2:$K$11)</f>
        <v>5.5147656768714146</v>
      </c>
      <c r="N414" s="195">
        <f t="shared" si="60"/>
        <v>1.836981925710266</v>
      </c>
      <c r="O414" s="195">
        <f t="shared" si="65"/>
        <v>1.8462000000000001</v>
      </c>
      <c r="P414" s="195">
        <f>AVERAGE(Ashed_controlls!$K$12:$K$14)</f>
        <v>2.2816647271287041</v>
      </c>
      <c r="Q414" s="195">
        <f t="shared" si="66"/>
        <v>1.80407590580775</v>
      </c>
      <c r="R414" s="16">
        <f>IF('WetLitterbags placem_collection'!G121="N.A","",'WetLitterbags placem_collection'!G121)</f>
        <v>42816</v>
      </c>
      <c r="S414" s="195">
        <f>IF(IFERROR(INDEX('Both teabags AfterWet'!$C$3:$C$841,MATCH(H414,'Both teabags AfterWet'!$A$3:$A$841,0)),"")="N.A","",(IFERROR(INDEX('Both teabags AfterWet'!$C$3:$C$841,MATCH(H414,'Both teabags AfterWet'!$A$3:$A$841,0)),"")))</f>
        <v>0.65200000000000002</v>
      </c>
      <c r="T414" s="195">
        <f>IFERROR(INDEX('Both teabags AfterWet'!$C$3:$C$841,MATCH(I414,'Both teabags AfterWet'!$A$3:$A$841,0)),"")</f>
        <v>1.3</v>
      </c>
      <c r="U414" s="195">
        <f t="shared" si="67"/>
        <v>0.50140000000000007</v>
      </c>
      <c r="V414" s="195">
        <f t="shared" si="67"/>
        <v>1.1494</v>
      </c>
      <c r="W414" s="195">
        <f>IFERROR(INDEX('Ashed teabags wet'!$K$2:$K$821,MATCH(H414,'Ashed teabags wet'!$A$2:$A$821,0)),"")</f>
        <v>10.497512437810975</v>
      </c>
      <c r="X414" s="195">
        <f>IFERROR(INDEX('Ashed teabags wet'!$K$2:$K$821,MATCH(I414,'Ashed teabags wet'!$A$2:$A$821,0)),"")</f>
        <v>6.4671814671816925</v>
      </c>
      <c r="Y414" s="195">
        <f t="shared" si="61"/>
        <v>0.44876547263681582</v>
      </c>
      <c r="Z414" s="195">
        <f t="shared" si="61"/>
        <v>1.0750662162162137</v>
      </c>
      <c r="AA414" s="195">
        <f t="shared" si="68"/>
        <v>0.7557050146460742</v>
      </c>
      <c r="AB414" s="195">
        <f t="shared" si="69"/>
        <v>0.49542656542117935</v>
      </c>
      <c r="AC414" s="195">
        <f t="shared" si="62"/>
        <v>0.59590963592791157</v>
      </c>
      <c r="AD414">
        <f t="shared" si="63"/>
        <v>54</v>
      </c>
      <c r="AE414" s="195">
        <f t="shared" si="70"/>
        <v>0.10248810612105197</v>
      </c>
      <c r="AF414" s="195">
        <f t="shared" si="71"/>
        <v>3.1312442980427249E-2</v>
      </c>
      <c r="AG414" s="255" t="str">
        <f>IF(ISNUMBER(SEARCH("C",'WetLitterbags placem_collection'!AD341)),"YES","NO")</f>
        <v>NO</v>
      </c>
      <c r="AH414" s="255" t="str">
        <f>IF(ISNUMBER(SEARCH("H", 'WetLitterbags placem_collection'!AF121)),"YES","NO")</f>
        <v>NO</v>
      </c>
      <c r="AI414" s="255" t="str">
        <f>IF(ISNUMBER(SEARCH("R", 'WetLitterbags placem_collection'!XF121)),"YES","NO")</f>
        <v>NO</v>
      </c>
      <c r="AJ414" s="255" t="str">
        <f>IF(ISNUMBER(SEARCH("C", 'WetLitterbags placem_collection'!WE121)),"YES","NO")</f>
        <v>NO</v>
      </c>
      <c r="AK414" s="255" t="str">
        <f>IF(ISNUMBER(SEARCH("H", 'WetLitterbags placem_collection'!AE121)),"YES","NO")</f>
        <v>NO</v>
      </c>
      <c r="AL414" s="255" t="str">
        <f>IF(ISNUMBER(SEARCH("R", 'WetLitterbags placem_collection'!AE121)),"YES","NO")</f>
        <v>NO</v>
      </c>
    </row>
    <row r="415" spans="2:38">
      <c r="B415" t="str">
        <f>'Final data_for_R_analysis_Wetse'!A561</f>
        <v>Wet</v>
      </c>
      <c r="C415" s="263">
        <f>'Final data_for_R_analysis_Wetse'!B561</f>
        <v>120</v>
      </c>
      <c r="D415" t="s">
        <v>3844</v>
      </c>
      <c r="E415" t="s">
        <v>25</v>
      </c>
      <c r="F415" s="387">
        <v>8</v>
      </c>
      <c r="G415" s="16">
        <f>'WetLitterbags placem_collection'!E122</f>
        <v>42762</v>
      </c>
      <c r="H415" s="92" t="str">
        <f>'Final data_for_R_analysis_Wetse'!J561</f>
        <v>G698</v>
      </c>
      <c r="I415" t="str">
        <f>'Final data_for_R_analysis_Wetse'!J781</f>
        <v>R594</v>
      </c>
      <c r="J415">
        <f>IFERROR(INDEX('Green_rooibos initial weight'!$C$5:$C$1749,MATCH(H415, 'Green_rooibos initial weight'!$A$5:$A$1749,0)),"")</f>
        <v>2.085</v>
      </c>
      <c r="K415">
        <f>IFERROR(INDEX('Green_rooibos initial weight'!$C$5:$C$1749,MATCH(I415, 'Green_rooibos initial weight'!$A$5:$A$1749,0)),"")</f>
        <v>2.2400000000000002</v>
      </c>
      <c r="L415" s="195">
        <f t="shared" si="64"/>
        <v>1.8351999999999999</v>
      </c>
      <c r="M415" s="195">
        <f>AVERAGE(Ashed_controlls!$K$2:$K$11)</f>
        <v>5.5147656768714146</v>
      </c>
      <c r="N415" s="195">
        <f t="shared" si="60"/>
        <v>1.7339930202980558</v>
      </c>
      <c r="O415" s="195">
        <f t="shared" si="65"/>
        <v>1.9902000000000002</v>
      </c>
      <c r="P415" s="195">
        <f>AVERAGE(Ashed_controlls!$K$12:$K$14)</f>
        <v>2.2816647271287041</v>
      </c>
      <c r="Q415" s="195">
        <f t="shared" si="66"/>
        <v>1.9447903086006848</v>
      </c>
      <c r="R415" s="16">
        <f>IF('WetLitterbags placem_collection'!G122="N.A","",'WetLitterbags placem_collection'!G122)</f>
        <v>42816</v>
      </c>
      <c r="S415" s="195">
        <f>IF(IFERROR(INDEX('Both teabags AfterWet'!$C$3:$C$841,MATCH(H415,'Both teabags AfterWet'!$A$3:$A$841,0)),"")="N.A","",(IFERROR(INDEX('Both teabags AfterWet'!$C$3:$C$841,MATCH(H415,'Both teabags AfterWet'!$A$3:$A$841,0)),"")))</f>
        <v>0.55310000000000004</v>
      </c>
      <c r="T415" s="195">
        <f>IFERROR(INDEX('Both teabags AfterWet'!$C$3:$C$841,MATCH(I415,'Both teabags AfterWet'!$A$3:$A$841,0)),"")</f>
        <v>1.4142999999999999</v>
      </c>
      <c r="U415" s="195">
        <f t="shared" si="67"/>
        <v>0.40250000000000002</v>
      </c>
      <c r="V415" s="195">
        <f t="shared" si="67"/>
        <v>1.2636999999999998</v>
      </c>
      <c r="W415" s="195">
        <f>IFERROR(INDEX('Ashed teabags wet'!$K$2:$K$821,MATCH(H415,'Ashed teabags wet'!$A$2:$A$821,0)),"")</f>
        <v>14.853452558370487</v>
      </c>
      <c r="X415" s="195">
        <f>IFERROR(INDEX('Ashed teabags wet'!$K$2:$K$821,MATCH(I415,'Ashed teabags wet'!$A$2:$A$821,0)),"")</f>
        <v>4.3540669856461571</v>
      </c>
      <c r="Y415" s="195">
        <f t="shared" si="61"/>
        <v>0.34271485345255881</v>
      </c>
      <c r="Z415" s="195">
        <f t="shared" si="61"/>
        <v>1.2086776555023893</v>
      </c>
      <c r="AA415" s="195">
        <f t="shared" si="68"/>
        <v>0.80235511363612666</v>
      </c>
      <c r="AB415" s="195">
        <f t="shared" si="69"/>
        <v>0.52600952817950353</v>
      </c>
      <c r="AC415" s="195">
        <f t="shared" si="62"/>
        <v>0.62149510420589082</v>
      </c>
      <c r="AD415">
        <f t="shared" si="63"/>
        <v>54</v>
      </c>
      <c r="AE415" s="195">
        <f t="shared" si="70"/>
        <v>4.7084188080609657E-2</v>
      </c>
      <c r="AF415" s="195">
        <f t="shared" si="71"/>
        <v>2.354555084618442E-2</v>
      </c>
      <c r="AG415" s="255" t="str">
        <f>IF(ISNUMBER(SEARCH("C",'WetLitterbags placem_collection'!AD342)),"YES","NO")</f>
        <v>NO</v>
      </c>
      <c r="AH415" s="255" t="str">
        <f>IF(ISNUMBER(SEARCH("H", 'WetLitterbags placem_collection'!AF122)),"YES","NO")</f>
        <v>NO</v>
      </c>
      <c r="AI415" s="255" t="str">
        <f>IF(ISNUMBER(SEARCH("R", 'WetLitterbags placem_collection'!XF122)),"YES","NO")</f>
        <v>NO</v>
      </c>
      <c r="AJ415" s="255" t="str">
        <f>IF(ISNUMBER(SEARCH("C", 'WetLitterbags placem_collection'!WE122)),"YES","NO")</f>
        <v>NO</v>
      </c>
      <c r="AK415" s="255" t="str">
        <f>IF(ISNUMBER(SEARCH("H", 'WetLitterbags placem_collection'!AE122)),"YES","NO")</f>
        <v>NO</v>
      </c>
      <c r="AL415" s="255" t="str">
        <f>IF(ISNUMBER(SEARCH("R", 'WetLitterbags placem_collection'!AE122)),"YES","NO")</f>
        <v>NO</v>
      </c>
    </row>
    <row r="416" spans="2:38">
      <c r="B416" t="str">
        <f>'Final data_for_R_analysis_Wetse'!A562</f>
        <v>Wet</v>
      </c>
      <c r="C416" s="263">
        <f>'Final data_for_R_analysis_Wetse'!B562</f>
        <v>121</v>
      </c>
      <c r="D416" t="s">
        <v>3845</v>
      </c>
      <c r="E416" t="s">
        <v>25</v>
      </c>
      <c r="F416" s="386">
        <v>1</v>
      </c>
      <c r="G416" s="16">
        <f>'WetLitterbags placem_collection'!E123</f>
        <v>42762</v>
      </c>
      <c r="H416" s="92" t="str">
        <f>'Final data_for_R_analysis_Wetse'!J562</f>
        <v>G825</v>
      </c>
      <c r="I416" t="str">
        <f>'Final data_for_R_analysis_Wetse'!J782</f>
        <v>R564</v>
      </c>
      <c r="J416">
        <f>IFERROR(INDEX('Green_rooibos initial weight'!$C$5:$C$1749,MATCH(H416, 'Green_rooibos initial weight'!$A$5:$A$1749,0)),"")</f>
        <v>2.1240000000000001</v>
      </c>
      <c r="K416">
        <f>IFERROR(INDEX('Green_rooibos initial weight'!$C$5:$C$1749,MATCH(I416, 'Green_rooibos initial weight'!$A$5:$A$1749,0)),"")</f>
        <v>2.145</v>
      </c>
      <c r="L416" s="195">
        <f t="shared" si="64"/>
        <v>1.8742000000000001</v>
      </c>
      <c r="M416" s="195">
        <f>AVERAGE(Ashed_controlls!$K$2:$K$11)</f>
        <v>5.5147656768714146</v>
      </c>
      <c r="N416" s="195">
        <f t="shared" si="60"/>
        <v>1.770842261684076</v>
      </c>
      <c r="O416" s="195">
        <f t="shared" si="65"/>
        <v>1.8952</v>
      </c>
      <c r="P416" s="195">
        <f>AVERAGE(Ashed_controlls!$K$12:$K$14)</f>
        <v>2.2816647271287041</v>
      </c>
      <c r="Q416" s="195">
        <f t="shared" si="66"/>
        <v>1.8519578900914568</v>
      </c>
      <c r="R416" s="16">
        <f>IF('WetLitterbags placem_collection'!G123="N.A","",'WetLitterbags placem_collection'!G123)</f>
        <v>42816</v>
      </c>
      <c r="S416" s="195">
        <f>IF(IFERROR(INDEX('Both teabags AfterWet'!$C$3:$C$841,MATCH(H416,'Both teabags AfterWet'!$A$3:$A$841,0)),"")="N.A","",(IFERROR(INDEX('Both teabags AfterWet'!$C$3:$C$841,MATCH(H416,'Both teabags AfterWet'!$A$3:$A$841,0)),"")))</f>
        <v>0.61199999999999999</v>
      </c>
      <c r="T416" s="195">
        <f>IFERROR(INDEX('Both teabags AfterWet'!$C$3:$C$841,MATCH(I416,'Both teabags AfterWet'!$A$3:$A$841,0)),"")</f>
        <v>1.53</v>
      </c>
      <c r="U416" s="195">
        <f t="shared" si="67"/>
        <v>0.46139999999999998</v>
      </c>
      <c r="V416" s="195">
        <f t="shared" si="67"/>
        <v>1.3794</v>
      </c>
      <c r="W416" s="195">
        <f>IFERROR(INDEX('Ashed teabags wet'!$K$2:$K$821,MATCH(H416,'Ashed teabags wet'!$A$2:$A$821,0)),"")</f>
        <v>10.131514856308767</v>
      </c>
      <c r="X416" s="195">
        <f>IFERROR(INDEX('Ashed teabags wet'!$K$2:$K$821,MATCH(I416,'Ashed teabags wet'!$A$2:$A$821,0)),"")</f>
        <v>7.5161772025872624</v>
      </c>
      <c r="Y416" s="195">
        <f t="shared" si="61"/>
        <v>0.41465319045299132</v>
      </c>
      <c r="Z416" s="195">
        <f t="shared" si="61"/>
        <v>1.2757218516675113</v>
      </c>
      <c r="AA416" s="195">
        <f t="shared" si="68"/>
        <v>0.76584408480366006</v>
      </c>
      <c r="AB416" s="195">
        <f t="shared" si="69"/>
        <v>0.50207355678339716</v>
      </c>
      <c r="AC416" s="195">
        <f t="shared" si="62"/>
        <v>0.68885035588174803</v>
      </c>
      <c r="AD416">
        <f t="shared" si="63"/>
        <v>54</v>
      </c>
      <c r="AE416" s="195">
        <f t="shared" si="70"/>
        <v>9.0446455102541456E-2</v>
      </c>
      <c r="AF416" s="195">
        <f t="shared" si="71"/>
        <v>1.7905030569357407E-2</v>
      </c>
      <c r="AG416" s="255" t="str">
        <f>IF(ISNUMBER(SEARCH("C",'WetLitterbags placem_collection'!AD343)),"YES","NO")</f>
        <v>NO</v>
      </c>
      <c r="AH416" s="255" t="str">
        <f>IF(ISNUMBER(SEARCH("H", 'WetLitterbags placem_collection'!AF123)),"YES","NO")</f>
        <v>NO</v>
      </c>
      <c r="AI416" s="255" t="str">
        <f>IF(ISNUMBER(SEARCH("R", 'WetLitterbags placem_collection'!XF123)),"YES","NO")</f>
        <v>NO</v>
      </c>
      <c r="AJ416" s="255" t="str">
        <f>IF(ISNUMBER(SEARCH("C", 'WetLitterbags placem_collection'!WE123)),"YES","NO")</f>
        <v>NO</v>
      </c>
      <c r="AK416" s="255" t="str">
        <f>IF(ISNUMBER(SEARCH("H", 'WetLitterbags placem_collection'!AE123)),"YES","NO")</f>
        <v>NO</v>
      </c>
      <c r="AL416" s="255" t="str">
        <f>IF(ISNUMBER(SEARCH("R", 'WetLitterbags placem_collection'!AE123)),"YES","NO")</f>
        <v>NO</v>
      </c>
    </row>
    <row r="417" spans="2:38">
      <c r="B417" t="str">
        <f>'Final data_for_R_analysis_Wetse'!A563</f>
        <v>Wet</v>
      </c>
      <c r="C417" s="263">
        <f>'Final data_for_R_analysis_Wetse'!B563</f>
        <v>122</v>
      </c>
      <c r="D417" t="s">
        <v>3845</v>
      </c>
      <c r="E417" t="s">
        <v>25</v>
      </c>
      <c r="F417" s="386">
        <v>2</v>
      </c>
      <c r="G417" s="16">
        <f>'WetLitterbags placem_collection'!E124</f>
        <v>42762</v>
      </c>
      <c r="H417" s="92" t="str">
        <f>'Final data_for_R_analysis_Wetse'!J563</f>
        <v>G839</v>
      </c>
      <c r="I417" t="str">
        <f>'Final data_for_R_analysis_Wetse'!J783</f>
        <v>R429</v>
      </c>
      <c r="J417">
        <f>IFERROR(INDEX('Green_rooibos initial weight'!$C$5:$C$1749,MATCH(H417, 'Green_rooibos initial weight'!$A$5:$A$1749,0)),"")</f>
        <v>2.0230000000000001</v>
      </c>
      <c r="K417">
        <f>IFERROR(INDEX('Green_rooibos initial weight'!$C$5:$C$1749,MATCH(I417, 'Green_rooibos initial weight'!$A$5:$A$1749,0)),"")</f>
        <v>2.21</v>
      </c>
      <c r="L417" s="195">
        <f t="shared" si="64"/>
        <v>1.7732000000000001</v>
      </c>
      <c r="M417" s="195">
        <f>AVERAGE(Ashed_controlls!$K$2:$K$11)</f>
        <v>5.5147656768714146</v>
      </c>
      <c r="N417" s="195">
        <f t="shared" si="60"/>
        <v>1.6754121750177162</v>
      </c>
      <c r="O417" s="195">
        <f t="shared" si="65"/>
        <v>1.9601999999999999</v>
      </c>
      <c r="P417" s="195">
        <f>AVERAGE(Ashed_controlls!$K$12:$K$14)</f>
        <v>2.2816647271287041</v>
      </c>
      <c r="Q417" s="195">
        <f t="shared" si="66"/>
        <v>1.9154748080188231</v>
      </c>
      <c r="R417" s="16">
        <f>IF('WetLitterbags placem_collection'!G124="N.A","",'WetLitterbags placem_collection'!G124)</f>
        <v>42816</v>
      </c>
      <c r="S417" s="195">
        <f>IF(IFERROR(INDEX('Both teabags AfterWet'!$C$3:$C$841,MATCH(H417,'Both teabags AfterWet'!$A$3:$A$841,0)),"")="N.A","",(IFERROR(INDEX('Both teabags AfterWet'!$C$3:$C$841,MATCH(H417,'Both teabags AfterWet'!$A$3:$A$841,0)),"")))</f>
        <v>0.64200000000000002</v>
      </c>
      <c r="T417" s="195">
        <f>IFERROR(INDEX('Both teabags AfterWet'!$C$3:$C$841,MATCH(I417,'Both teabags AfterWet'!$A$3:$A$841,0)),"")</f>
        <v>1.2190000000000001</v>
      </c>
      <c r="U417" s="195">
        <f t="shared" si="67"/>
        <v>0.4914</v>
      </c>
      <c r="V417" s="195">
        <f t="shared" si="67"/>
        <v>1.0684</v>
      </c>
      <c r="W417" s="195">
        <f>IFERROR(INDEX('Ashed teabags wet'!$K$2:$K$821,MATCH(H417,'Ashed teabags wet'!$A$2:$A$821,0)),"")</f>
        <v>16.267465069859526</v>
      </c>
      <c r="X417" s="195">
        <f>IFERROR(INDEX('Ashed teabags wet'!$K$2:$K$821,MATCH(I417,'Ashed teabags wet'!$A$2:$A$821,0)),"")</f>
        <v>8.6138613861387903</v>
      </c>
      <c r="Y417" s="195">
        <f t="shared" si="61"/>
        <v>0.41146167664671029</v>
      </c>
      <c r="Z417" s="195">
        <f t="shared" si="61"/>
        <v>0.97636950495049313</v>
      </c>
      <c r="AA417" s="195">
        <f t="shared" si="68"/>
        <v>0.75441167088190741</v>
      </c>
      <c r="AB417" s="195">
        <f t="shared" si="69"/>
        <v>0.49457867259716498</v>
      </c>
      <c r="AC417" s="195">
        <f t="shared" si="62"/>
        <v>0.509727144864073</v>
      </c>
      <c r="AD417">
        <f t="shared" si="63"/>
        <v>54</v>
      </c>
      <c r="AE417" s="195">
        <f t="shared" si="70"/>
        <v>0.10402414384571568</v>
      </c>
      <c r="AF417" s="195">
        <f t="shared" si="71"/>
        <v>8.7847022728342009E-2</v>
      </c>
      <c r="AG417" s="255" t="str">
        <f>IF(ISNUMBER(SEARCH("C",'WetLitterbags placem_collection'!AD344)),"YES","NO")</f>
        <v>NO</v>
      </c>
      <c r="AH417" s="255" t="str">
        <f>IF(ISNUMBER(SEARCH("H", 'WetLitterbags placem_collection'!AF124)),"YES","NO")</f>
        <v>NO</v>
      </c>
      <c r="AI417" s="255" t="str">
        <f>IF(ISNUMBER(SEARCH("R", 'WetLitterbags placem_collection'!XF124)),"YES","NO")</f>
        <v>NO</v>
      </c>
      <c r="AJ417" s="255" t="str">
        <f>IF(ISNUMBER(SEARCH("C", 'WetLitterbags placem_collection'!WE124)),"YES","NO")</f>
        <v>NO</v>
      </c>
      <c r="AK417" s="255" t="str">
        <f>IF(ISNUMBER(SEARCH("H", 'WetLitterbags placem_collection'!AE124)),"YES","NO")</f>
        <v>NO</v>
      </c>
      <c r="AL417" s="255" t="str">
        <f>IF(ISNUMBER(SEARCH("R", 'WetLitterbags placem_collection'!AE124)),"YES","NO")</f>
        <v>NO</v>
      </c>
    </row>
    <row r="418" spans="2:38">
      <c r="B418" t="str">
        <f>'Final data_for_R_analysis_Wetse'!A564</f>
        <v>Wet</v>
      </c>
      <c r="C418" s="263">
        <f>'Final data_for_R_analysis_Wetse'!B564</f>
        <v>123</v>
      </c>
      <c r="D418" t="s">
        <v>3845</v>
      </c>
      <c r="E418" t="s">
        <v>25</v>
      </c>
      <c r="F418" s="386">
        <v>3</v>
      </c>
      <c r="G418" s="16">
        <f>'WetLitterbags placem_collection'!E125</f>
        <v>42762</v>
      </c>
      <c r="H418" s="92" t="str">
        <f>'Final data_for_R_analysis_Wetse'!J564</f>
        <v>G895</v>
      </c>
      <c r="I418" t="str">
        <f>'Final data_for_R_analysis_Wetse'!J784</f>
        <v>R466</v>
      </c>
      <c r="J418">
        <f>IFERROR(INDEX('Green_rooibos initial weight'!$C$5:$C$1749,MATCH(H418, 'Green_rooibos initial weight'!$A$5:$A$1749,0)),"")</f>
        <v>1.9259999999999999</v>
      </c>
      <c r="K418">
        <f>IFERROR(INDEX('Green_rooibos initial weight'!$C$5:$C$1749,MATCH(I418, 'Green_rooibos initial weight'!$A$5:$A$1749,0)),"")</f>
        <v>2.2269999999999999</v>
      </c>
      <c r="L418" s="195">
        <f t="shared" si="64"/>
        <v>1.6761999999999999</v>
      </c>
      <c r="M418" s="195">
        <f>AVERAGE(Ashed_controlls!$K$2:$K$11)</f>
        <v>5.5147656768714146</v>
      </c>
      <c r="N418" s="195">
        <f t="shared" si="60"/>
        <v>1.5837614977242813</v>
      </c>
      <c r="O418" s="195">
        <f t="shared" si="65"/>
        <v>1.9771999999999998</v>
      </c>
      <c r="P418" s="195">
        <f>AVERAGE(Ashed_controlls!$K$12:$K$14)</f>
        <v>2.2816647271287041</v>
      </c>
      <c r="Q418" s="195">
        <f t="shared" si="66"/>
        <v>1.9320869250152111</v>
      </c>
      <c r="R418" s="16">
        <f>IF('WetLitterbags placem_collection'!G125="N.A","",'WetLitterbags placem_collection'!G125)</f>
        <v>42816</v>
      </c>
      <c r="S418" s="195">
        <f>IF(IFERROR(INDEX('Both teabags AfterWet'!$C$3:$C$841,MATCH(H418,'Both teabags AfterWet'!$A$3:$A$841,0)),"")="N.A","",(IFERROR(INDEX('Both teabags AfterWet'!$C$3:$C$841,MATCH(H418,'Both teabags AfterWet'!$A$3:$A$841,0)),"")))</f>
        <v>0.878</v>
      </c>
      <c r="T418" s="195">
        <f>IFERROR(INDEX('Both teabags AfterWet'!$C$3:$C$841,MATCH(I418,'Both teabags AfterWet'!$A$3:$A$841,0)),"")</f>
        <v>1.5760000000000001</v>
      </c>
      <c r="U418" s="195">
        <f t="shared" si="67"/>
        <v>0.72740000000000005</v>
      </c>
      <c r="V418" s="195">
        <f t="shared" si="67"/>
        <v>1.4254</v>
      </c>
      <c r="W418" s="195">
        <f>IFERROR(INDEX('Ashed teabags wet'!$K$2:$K$821,MATCH(H418,'Ashed teabags wet'!$A$2:$A$821,0)),"")</f>
        <v>13.555233960443902</v>
      </c>
      <c r="X418" s="195">
        <f>IFERROR(INDEX('Ashed teabags wet'!$K$2:$K$821,MATCH(I418,'Ashed teabags wet'!$A$2:$A$821,0)),"")</f>
        <v>3.9460539460533175</v>
      </c>
      <c r="Y418" s="195">
        <f t="shared" si="61"/>
        <v>0.62879922817173106</v>
      </c>
      <c r="Z418" s="195">
        <f t="shared" si="61"/>
        <v>1.369152947052956</v>
      </c>
      <c r="AA418" s="195">
        <f t="shared" si="68"/>
        <v>0.60297100979203155</v>
      </c>
      <c r="AB418" s="195">
        <f t="shared" si="69"/>
        <v>0.39529690903230574</v>
      </c>
      <c r="AC418" s="195">
        <f t="shared" si="62"/>
        <v>0.7086394143690905</v>
      </c>
      <c r="AD418">
        <f t="shared" si="63"/>
        <v>54</v>
      </c>
      <c r="AE418" s="195">
        <f t="shared" si="70"/>
        <v>0.28388241117335922</v>
      </c>
      <c r="AF418" s="195">
        <f t="shared" si="71"/>
        <v>2.473812433959597E-2</v>
      </c>
      <c r="AG418" s="255" t="str">
        <f>IF(ISNUMBER(SEARCH("C",'WetLitterbags placem_collection'!AD345)),"YES","NO")</f>
        <v>NO</v>
      </c>
      <c r="AH418" s="255" t="str">
        <f>IF(ISNUMBER(SEARCH("H", 'WetLitterbags placem_collection'!AF125)),"YES","NO")</f>
        <v>NO</v>
      </c>
      <c r="AI418" s="255" t="str">
        <f>IF(ISNUMBER(SEARCH("R", 'WetLitterbags placem_collection'!XF125)),"YES","NO")</f>
        <v>NO</v>
      </c>
      <c r="AJ418" s="255" t="str">
        <f>IF(ISNUMBER(SEARCH("C", 'WetLitterbags placem_collection'!WE125)),"YES","NO")</f>
        <v>NO</v>
      </c>
      <c r="AK418" s="255" t="str">
        <f>IF(ISNUMBER(SEARCH("H", 'WetLitterbags placem_collection'!AE125)),"YES","NO")</f>
        <v>NO</v>
      </c>
      <c r="AL418" s="255" t="str">
        <f>IF(ISNUMBER(SEARCH("R", 'WetLitterbags placem_collection'!AE125)),"YES","NO")</f>
        <v>NO</v>
      </c>
    </row>
    <row r="419" spans="2:38">
      <c r="B419" t="str">
        <f>'Final data_for_R_analysis_Wetse'!A565</f>
        <v>Wet</v>
      </c>
      <c r="C419" s="263">
        <f>'Final data_for_R_analysis_Wetse'!B565</f>
        <v>124</v>
      </c>
      <c r="D419" t="s">
        <v>3845</v>
      </c>
      <c r="E419" t="s">
        <v>25</v>
      </c>
      <c r="F419" s="387">
        <v>4</v>
      </c>
      <c r="G419" s="16">
        <f>'WetLitterbags placem_collection'!E126</f>
        <v>42762</v>
      </c>
      <c r="H419" s="92" t="str">
        <f>'Final data_for_R_analysis_Wetse'!J565</f>
        <v>G682</v>
      </c>
      <c r="I419" t="str">
        <f>'Final data_for_R_analysis_Wetse'!J785</f>
        <v>R471</v>
      </c>
      <c r="J419">
        <f>IFERROR(INDEX('Green_rooibos initial weight'!$C$5:$C$1749,MATCH(H419, 'Green_rooibos initial weight'!$A$5:$A$1749,0)),"")</f>
        <v>2.0230000000000001</v>
      </c>
      <c r="K419">
        <f>IFERROR(INDEX('Green_rooibos initial weight'!$C$5:$C$1749,MATCH(I419, 'Green_rooibos initial weight'!$A$5:$A$1749,0)),"")</f>
        <v>2.238</v>
      </c>
      <c r="L419" s="195">
        <f t="shared" si="64"/>
        <v>1.7732000000000001</v>
      </c>
      <c r="M419" s="195">
        <f>AVERAGE(Ashed_controlls!$K$2:$K$11)</f>
        <v>5.5147656768714146</v>
      </c>
      <c r="N419" s="195">
        <f t="shared" si="60"/>
        <v>1.6754121750177162</v>
      </c>
      <c r="O419" s="195">
        <f t="shared" si="65"/>
        <v>1.9882</v>
      </c>
      <c r="P419" s="195">
        <f>AVERAGE(Ashed_controlls!$K$12:$K$14)</f>
        <v>2.2816647271287041</v>
      </c>
      <c r="Q419" s="195">
        <f t="shared" si="66"/>
        <v>1.942835941895227</v>
      </c>
      <c r="R419" s="16">
        <f>IF('WetLitterbags placem_collection'!G126="N.A","",'WetLitterbags placem_collection'!G126)</f>
        <v>42816</v>
      </c>
      <c r="S419" s="195">
        <f>IF(IFERROR(INDEX('Both teabags AfterWet'!$C$3:$C$841,MATCH(H419,'Both teabags AfterWet'!$A$3:$A$841,0)),"")="N.A","",(IFERROR(INDEX('Both teabags AfterWet'!$C$3:$C$841,MATCH(H419,'Both teabags AfterWet'!$A$3:$A$841,0)),"")))</f>
        <v>0.61199999999999999</v>
      </c>
      <c r="T419" s="195">
        <f>IFERROR(INDEX('Both teabags AfterWet'!$C$3:$C$841,MATCH(I419,'Both teabags AfterWet'!$A$3:$A$841,0)),"")</f>
        <v>1.518</v>
      </c>
      <c r="U419" s="195">
        <f t="shared" si="67"/>
        <v>0.46139999999999998</v>
      </c>
      <c r="V419" s="195">
        <f t="shared" si="67"/>
        <v>1.3673999999999999</v>
      </c>
      <c r="W419" s="195">
        <f>IFERROR(INDEX('Ashed teabags wet'!$K$2:$K$821,MATCH(H419,'Ashed teabags wet'!$A$2:$A$821,0)),"")</f>
        <v>12.30079681274993</v>
      </c>
      <c r="X419" s="195">
        <f>IFERROR(INDEX('Ashed teabags wet'!$K$2:$K$821,MATCH(I419,'Ashed teabags wet'!$A$2:$A$821,0)),"")</f>
        <v>3.762376237623815</v>
      </c>
      <c r="Y419" s="195">
        <f t="shared" si="61"/>
        <v>0.40464412350597179</v>
      </c>
      <c r="Z419" s="195">
        <f t="shared" si="61"/>
        <v>1.3159532673267318</v>
      </c>
      <c r="AA419" s="195">
        <f t="shared" si="68"/>
        <v>0.75848085053954384</v>
      </c>
      <c r="AB419" s="195">
        <f t="shared" si="69"/>
        <v>0.4972463533228364</v>
      </c>
      <c r="AC419" s="195">
        <f t="shared" si="62"/>
        <v>0.67733627886409487</v>
      </c>
      <c r="AD419">
        <f t="shared" si="63"/>
        <v>54</v>
      </c>
      <c r="AE419" s="195">
        <f t="shared" si="70"/>
        <v>9.9191388907905131E-2</v>
      </c>
      <c r="AF419" s="195">
        <f t="shared" si="71"/>
        <v>1.9383100325378509E-2</v>
      </c>
      <c r="AG419" s="255" t="str">
        <f>IF(ISNUMBER(SEARCH("C",'WetLitterbags placem_collection'!AD346)),"YES","NO")</f>
        <v>NO</v>
      </c>
      <c r="AH419" s="255" t="str">
        <f>IF(ISNUMBER(SEARCH("H", 'WetLitterbags placem_collection'!AF126)),"YES","NO")</f>
        <v>NO</v>
      </c>
      <c r="AI419" s="255" t="str">
        <f>IF(ISNUMBER(SEARCH("R", 'WetLitterbags placem_collection'!XF126)),"YES","NO")</f>
        <v>NO</v>
      </c>
      <c r="AJ419" s="255" t="str">
        <f>IF(ISNUMBER(SEARCH("C", 'WetLitterbags placem_collection'!WE126)),"YES","NO")</f>
        <v>NO</v>
      </c>
      <c r="AK419" s="255" t="str">
        <f>IF(ISNUMBER(SEARCH("H", 'WetLitterbags placem_collection'!AE126)),"YES","NO")</f>
        <v>NO</v>
      </c>
      <c r="AL419" s="255" t="str">
        <f>IF(ISNUMBER(SEARCH("R", 'WetLitterbags placem_collection'!AE126)),"YES","NO")</f>
        <v>NO</v>
      </c>
    </row>
    <row r="420" spans="2:38">
      <c r="B420" t="str">
        <f>'Final data_for_R_analysis_Wetse'!A566</f>
        <v>Wet</v>
      </c>
      <c r="C420" s="263">
        <f>'Final data_for_R_analysis_Wetse'!B566</f>
        <v>125</v>
      </c>
      <c r="D420" t="s">
        <v>3845</v>
      </c>
      <c r="E420" t="s">
        <v>25</v>
      </c>
      <c r="F420" s="387">
        <v>5</v>
      </c>
      <c r="G420" s="16">
        <f>'WetLitterbags placem_collection'!E127</f>
        <v>42762</v>
      </c>
      <c r="H420" s="92" t="str">
        <f>'Final data_for_R_analysis_Wetse'!J566</f>
        <v>G740</v>
      </c>
      <c r="I420" t="str">
        <f>'Final data_for_R_analysis_Wetse'!J786</f>
        <v>R486</v>
      </c>
      <c r="J420">
        <f>IFERROR(INDEX('Green_rooibos initial weight'!$C$5:$C$1749,MATCH(H420, 'Green_rooibos initial weight'!$A$5:$A$1749,0)),"")</f>
        <v>1.915</v>
      </c>
      <c r="K420">
        <f>IFERROR(INDEX('Green_rooibos initial weight'!$C$5:$C$1749,MATCH(I420, 'Green_rooibos initial weight'!$A$5:$A$1749,0)),"")</f>
        <v>2.218</v>
      </c>
      <c r="L420" s="195">
        <f t="shared" si="64"/>
        <v>1.6652</v>
      </c>
      <c r="M420" s="195">
        <f>AVERAGE(Ashed_controlls!$K$2:$K$11)</f>
        <v>5.5147656768714146</v>
      </c>
      <c r="N420" s="195">
        <f t="shared" si="60"/>
        <v>1.5733681219487372</v>
      </c>
      <c r="O420" s="195">
        <f t="shared" si="65"/>
        <v>1.9681999999999999</v>
      </c>
      <c r="P420" s="195">
        <f>AVERAGE(Ashed_controlls!$K$12:$K$14)</f>
        <v>2.2816647271287041</v>
      </c>
      <c r="Q420" s="195">
        <f t="shared" si="66"/>
        <v>1.9232922748406529</v>
      </c>
      <c r="R420" s="16">
        <f>IF('WetLitterbags placem_collection'!G127="N.A","",'WetLitterbags placem_collection'!G127)</f>
        <v>42816</v>
      </c>
      <c r="S420" s="195">
        <f>IF(IFERROR(INDEX('Both teabags AfterWet'!$C$3:$C$841,MATCH(H420,'Both teabags AfterWet'!$A$3:$A$841,0)),"")="N.A","",(IFERROR(INDEX('Both teabags AfterWet'!$C$3:$C$841,MATCH(H420,'Both teabags AfterWet'!$A$3:$A$841,0)),"")))</f>
        <v>0.60099999999999998</v>
      </c>
      <c r="T420" s="195" t="str">
        <f>IFERROR(INDEX('Both teabags AfterWet'!$C$3:$C$841,MATCH(I420,'Both teabags AfterWet'!$A$3:$A$841,0)),"")</f>
        <v/>
      </c>
      <c r="U420" s="195">
        <f t="shared" si="67"/>
        <v>0.45039999999999997</v>
      </c>
      <c r="V420" s="195" t="str">
        <f t="shared" si="67"/>
        <v/>
      </c>
      <c r="W420" s="195">
        <f>IFERROR(INDEX('Ashed teabags wet'!$K$2:$K$821,MATCH(H420,'Ashed teabags wet'!$A$2:$A$821,0)),"")</f>
        <v>14.222658165767069</v>
      </c>
      <c r="X420" s="195">
        <f>IFERROR(INDEX('Ashed teabags wet'!$K$2:$K$821,MATCH(I420,'Ashed teabags wet'!$A$2:$A$821,0)),"")</f>
        <v>4.2372881355932517</v>
      </c>
      <c r="Y420" s="195">
        <f t="shared" si="61"/>
        <v>0.38634114762138511</v>
      </c>
      <c r="Z420" s="195" t="str">
        <f t="shared" si="61"/>
        <v/>
      </c>
      <c r="AA420" s="195">
        <f t="shared" si="68"/>
        <v>0.75444961529862953</v>
      </c>
      <c r="AB420" s="195">
        <f t="shared" si="69"/>
        <v>0.49460354827178571</v>
      </c>
      <c r="AC420" s="195" t="str">
        <f t="shared" si="62"/>
        <v/>
      </c>
      <c r="AD420">
        <f t="shared" si="63"/>
        <v>54</v>
      </c>
      <c r="AE420" s="195">
        <f t="shared" si="70"/>
        <v>0.1039790792177796</v>
      </c>
      <c r="AF420" s="195" t="str">
        <f t="shared" si="71"/>
        <v/>
      </c>
      <c r="AG420" s="255" t="str">
        <f>IF(ISNUMBER(SEARCH("C",'WetLitterbags placem_collection'!AD347)),"YES","NO")</f>
        <v>NO</v>
      </c>
      <c r="AH420" s="255" t="str">
        <f>IF(ISNUMBER(SEARCH("H", 'WetLitterbags placem_collection'!AF127)),"YES","NO")</f>
        <v>NO</v>
      </c>
      <c r="AI420" s="255" t="str">
        <f>IF(ISNUMBER(SEARCH("R", 'WetLitterbags placem_collection'!XF127)),"YES","NO")</f>
        <v>NO</v>
      </c>
      <c r="AJ420" s="255" t="str">
        <f>IF(ISNUMBER(SEARCH("C", 'WetLitterbags placem_collection'!WE127)),"YES","NO")</f>
        <v>NO</v>
      </c>
      <c r="AK420" s="255" t="str">
        <f>IF(ISNUMBER(SEARCH("H", 'WetLitterbags placem_collection'!AE127)),"YES","NO")</f>
        <v>NO</v>
      </c>
      <c r="AL420" s="255" t="str">
        <f>IF(ISNUMBER(SEARCH("R", 'WetLitterbags placem_collection'!AE127)),"YES","NO")</f>
        <v>NO</v>
      </c>
    </row>
    <row r="421" spans="2:38">
      <c r="B421" t="str">
        <f>'Final data_for_R_analysis_Wetse'!A567</f>
        <v>Wet</v>
      </c>
      <c r="C421" s="263">
        <f>'Final data_for_R_analysis_Wetse'!B567</f>
        <v>126</v>
      </c>
      <c r="D421" t="s">
        <v>3845</v>
      </c>
      <c r="E421" t="s">
        <v>25</v>
      </c>
      <c r="F421" s="387">
        <v>6</v>
      </c>
      <c r="G421" s="16">
        <f>'WetLitterbags placem_collection'!E128</f>
        <v>42762</v>
      </c>
      <c r="H421" s="92" t="str">
        <f>'Final data_for_R_analysis_Wetse'!J567</f>
        <v>G841</v>
      </c>
      <c r="I421" t="str">
        <f>'Final data_for_R_analysis_Wetse'!J787</f>
        <v>R55</v>
      </c>
      <c r="J421">
        <f>IFERROR(INDEX('Green_rooibos initial weight'!$C$5:$C$1749,MATCH(H421, 'Green_rooibos initial weight'!$A$5:$A$1749,0)),"")</f>
        <v>1.96</v>
      </c>
      <c r="K421">
        <f>IFERROR(INDEX('Green_rooibos initial weight'!$C$5:$C$1749,MATCH(I421, 'Green_rooibos initial weight'!$A$5:$A$1749,0)),"")</f>
        <v>2.2010000000000001</v>
      </c>
      <c r="L421" s="195">
        <f t="shared" si="64"/>
        <v>1.7101999999999999</v>
      </c>
      <c r="M421" s="195">
        <f>AVERAGE(Ashed_controlls!$K$2:$K$11)</f>
        <v>5.5147656768714146</v>
      </c>
      <c r="N421" s="195">
        <f t="shared" si="60"/>
        <v>1.615886477394145</v>
      </c>
      <c r="O421" s="195">
        <f t="shared" si="65"/>
        <v>1.9512</v>
      </c>
      <c r="P421" s="195">
        <f>AVERAGE(Ashed_controlls!$K$12:$K$14)</f>
        <v>2.2816647271287041</v>
      </c>
      <c r="Q421" s="195">
        <f t="shared" si="66"/>
        <v>1.9066801578442647</v>
      </c>
      <c r="R421" s="16">
        <f>IF('WetLitterbags placem_collection'!G128="N.A","",'WetLitterbags placem_collection'!G128)</f>
        <v>42816</v>
      </c>
      <c r="S421" s="195">
        <f>IF(IFERROR(INDEX('Both teabags AfterWet'!$C$3:$C$841,MATCH(H421,'Both teabags AfterWet'!$A$3:$A$841,0)),"")="N.A","",(IFERROR(INDEX('Both teabags AfterWet'!$C$3:$C$841,MATCH(H421,'Both teabags AfterWet'!$A$3:$A$841,0)),"")))</f>
        <v>0.58499999999999996</v>
      </c>
      <c r="T421" s="195">
        <f>IFERROR(INDEX('Both teabags AfterWet'!$C$3:$C$841,MATCH(I421,'Both teabags AfterWet'!$A$3:$A$841,0)),"")</f>
        <v>1.4419999999999999</v>
      </c>
      <c r="U421" s="195">
        <f t="shared" si="67"/>
        <v>0.43439999999999995</v>
      </c>
      <c r="V421" s="195">
        <f t="shared" si="67"/>
        <v>1.2913999999999999</v>
      </c>
      <c r="W421" s="195">
        <f>IFERROR(INDEX('Ashed teabags wet'!$K$2:$K$821,MATCH(H421,'Ashed teabags wet'!$A$2:$A$821,0)),"")</f>
        <v>12.570260602963709</v>
      </c>
      <c r="X421" s="195">
        <f>IFERROR(INDEX('Ashed teabags wet'!$K$2:$K$821,MATCH(I421,'Ashed teabags wet'!$A$2:$A$821,0)),"")</f>
        <v>3.9111540318678832</v>
      </c>
      <c r="Y421" s="195">
        <f t="shared" si="61"/>
        <v>0.37979478794072563</v>
      </c>
      <c r="Z421" s="195">
        <f t="shared" si="61"/>
        <v>1.240891356832458</v>
      </c>
      <c r="AA421" s="195">
        <f t="shared" si="68"/>
        <v>0.76496196158952912</v>
      </c>
      <c r="AB421" s="195">
        <f t="shared" si="69"/>
        <v>0.50149525272852746</v>
      </c>
      <c r="AC421" s="195">
        <f t="shared" si="62"/>
        <v>0.65081254017739276</v>
      </c>
      <c r="AD421">
        <f t="shared" si="63"/>
        <v>54</v>
      </c>
      <c r="AE421" s="195">
        <f t="shared" si="70"/>
        <v>9.1494107375856171E-2</v>
      </c>
      <c r="AF421" s="195">
        <f t="shared" si="71"/>
        <v>2.2068346564674685E-2</v>
      </c>
      <c r="AG421" s="255" t="str">
        <f>IF(ISNUMBER(SEARCH("C",'WetLitterbags placem_collection'!AD348)),"YES","NO")</f>
        <v>NO</v>
      </c>
      <c r="AH421" s="255" t="str">
        <f>IF(ISNUMBER(SEARCH("H", 'WetLitterbags placem_collection'!AF128)),"YES","NO")</f>
        <v>NO</v>
      </c>
      <c r="AI421" s="255" t="str">
        <f>IF(ISNUMBER(SEARCH("R", 'WetLitterbags placem_collection'!XF128)),"YES","NO")</f>
        <v>NO</v>
      </c>
      <c r="AJ421" s="255" t="str">
        <f>IF(ISNUMBER(SEARCH("C", 'WetLitterbags placem_collection'!WE128)),"YES","NO")</f>
        <v>NO</v>
      </c>
      <c r="AK421" s="255" t="str">
        <f>IF(ISNUMBER(SEARCH("H", 'WetLitterbags placem_collection'!AE128)),"YES","NO")</f>
        <v>NO</v>
      </c>
      <c r="AL421" s="255" t="str">
        <f>IF(ISNUMBER(SEARCH("R", 'WetLitterbags placem_collection'!AE128)),"YES","NO")</f>
        <v>NO</v>
      </c>
    </row>
    <row r="422" spans="2:38">
      <c r="B422" t="str">
        <f>'Final data_for_R_analysis_Wetse'!A568</f>
        <v>Wet</v>
      </c>
      <c r="C422" s="263">
        <f>'Final data_for_R_analysis_Wetse'!B568</f>
        <v>127</v>
      </c>
      <c r="D422" t="s">
        <v>3845</v>
      </c>
      <c r="E422" t="s">
        <v>25</v>
      </c>
      <c r="F422" s="387">
        <v>7</v>
      </c>
      <c r="G422" s="16">
        <f>'WetLitterbags placem_collection'!E129</f>
        <v>42762</v>
      </c>
      <c r="H422" s="92" t="str">
        <f>'Final data_for_R_analysis_Wetse'!J568</f>
        <v>G687</v>
      </c>
      <c r="I422" t="str">
        <f>'Final data_for_R_analysis_Wetse'!J788</f>
        <v>R424</v>
      </c>
      <c r="J422">
        <f>IFERROR(INDEX('Green_rooibos initial weight'!$C$5:$C$1749,MATCH(H422, 'Green_rooibos initial weight'!$A$5:$A$1749,0)),"")</f>
        <v>2.0649999999999999</v>
      </c>
      <c r="K422">
        <f>IFERROR(INDEX('Green_rooibos initial weight'!$C$5:$C$1749,MATCH(I422, 'Green_rooibos initial weight'!$A$5:$A$1749,0)),"")</f>
        <v>2.214</v>
      </c>
      <c r="L422" s="195">
        <f t="shared" si="64"/>
        <v>1.8151999999999999</v>
      </c>
      <c r="M422" s="195">
        <f>AVERAGE(Ashed_controlls!$K$2:$K$11)</f>
        <v>5.5147656768714146</v>
      </c>
      <c r="N422" s="195">
        <f t="shared" si="60"/>
        <v>1.7150959734334301</v>
      </c>
      <c r="O422" s="195">
        <f t="shared" si="65"/>
        <v>1.9641999999999999</v>
      </c>
      <c r="P422" s="195">
        <f>AVERAGE(Ashed_controlls!$K$12:$K$14)</f>
        <v>2.2816647271287041</v>
      </c>
      <c r="Q422" s="195">
        <f t="shared" si="66"/>
        <v>1.919383541429738</v>
      </c>
      <c r="R422" s="16">
        <f>IF('WetLitterbags placem_collection'!G129="N.A","",'WetLitterbags placem_collection'!G129)</f>
        <v>42816</v>
      </c>
      <c r="S422" s="195">
        <f>IF(IFERROR(INDEX('Both teabags AfterWet'!$C$3:$C$841,MATCH(H422,'Both teabags AfterWet'!$A$3:$A$841,0)),"")="N.A","",(IFERROR(INDEX('Both teabags AfterWet'!$C$3:$C$841,MATCH(H422,'Both teabags AfterWet'!$A$3:$A$841,0)),"")))</f>
        <v>0.57699999999999996</v>
      </c>
      <c r="T422" s="195">
        <f>IFERROR(INDEX('Both teabags AfterWet'!$C$3:$C$841,MATCH(I422,'Both teabags AfterWet'!$A$3:$A$841,0)),"")</f>
        <v>1.552</v>
      </c>
      <c r="U422" s="195">
        <f t="shared" si="67"/>
        <v>0.42639999999999995</v>
      </c>
      <c r="V422" s="195">
        <f t="shared" si="67"/>
        <v>1.4014</v>
      </c>
      <c r="W422" s="195">
        <f>IFERROR(INDEX('Ashed teabags wet'!$K$2:$K$821,MATCH(H422,'Ashed teabags wet'!$A$2:$A$821,0)),"")</f>
        <v>17.513566847558284</v>
      </c>
      <c r="X422" s="195">
        <f>IFERROR(INDEX('Ashed teabags wet'!$K$2:$K$821,MATCH(I422,'Ashed teabags wet'!$A$2:$A$821,0)),"")</f>
        <v>7.3429951690818136</v>
      </c>
      <c r="Y422" s="195">
        <f t="shared" si="61"/>
        <v>0.35172215096201143</v>
      </c>
      <c r="Z422" s="195">
        <f t="shared" si="61"/>
        <v>1.2984952657004873</v>
      </c>
      <c r="AA422" s="195">
        <f t="shared" si="68"/>
        <v>0.79492567389222946</v>
      </c>
      <c r="AB422" s="195">
        <f t="shared" si="69"/>
        <v>0.52113892160155662</v>
      </c>
      <c r="AC422" s="195">
        <f t="shared" si="62"/>
        <v>0.67651682827979531</v>
      </c>
      <c r="AD422">
        <f t="shared" si="63"/>
        <v>54</v>
      </c>
      <c r="AE422" s="195">
        <f t="shared" si="70"/>
        <v>5.5907750721817751E-2</v>
      </c>
      <c r="AF422" s="195">
        <f t="shared" si="71"/>
        <v>1.7953514255754543E-2</v>
      </c>
      <c r="AG422" s="255" t="str">
        <f>IF(ISNUMBER(SEARCH("C",'WetLitterbags placem_collection'!AD349)),"YES","NO")</f>
        <v>NO</v>
      </c>
      <c r="AH422" s="255" t="str">
        <f>IF(ISNUMBER(SEARCH("H", 'WetLitterbags placem_collection'!AF129)),"YES","NO")</f>
        <v>NO</v>
      </c>
      <c r="AI422" s="255" t="str">
        <f>IF(ISNUMBER(SEARCH("R", 'WetLitterbags placem_collection'!XF129)),"YES","NO")</f>
        <v>NO</v>
      </c>
      <c r="AJ422" s="255" t="str">
        <f>IF(ISNUMBER(SEARCH("C", 'WetLitterbags placem_collection'!WE129)),"YES","NO")</f>
        <v>NO</v>
      </c>
      <c r="AK422" s="255" t="str">
        <f>IF(ISNUMBER(SEARCH("H", 'WetLitterbags placem_collection'!AE129)),"YES","NO")</f>
        <v>NO</v>
      </c>
      <c r="AL422" s="255" t="str">
        <f>IF(ISNUMBER(SEARCH("R", 'WetLitterbags placem_collection'!AE129)),"YES","NO")</f>
        <v>NO</v>
      </c>
    </row>
    <row r="423" spans="2:38">
      <c r="B423" t="str">
        <f>'Final data_for_R_analysis_Wetse'!A569</f>
        <v>Wet</v>
      </c>
      <c r="C423" s="263">
        <f>'Final data_for_R_analysis_Wetse'!B569</f>
        <v>128</v>
      </c>
      <c r="D423" t="s">
        <v>3845</v>
      </c>
      <c r="E423" t="s">
        <v>25</v>
      </c>
      <c r="F423" s="387">
        <v>8</v>
      </c>
      <c r="G423" s="16">
        <f>'WetLitterbags placem_collection'!E130</f>
        <v>42762</v>
      </c>
      <c r="H423" s="92" t="str">
        <f>'Final data_for_R_analysis_Wetse'!J569</f>
        <v>G833</v>
      </c>
      <c r="I423" t="str">
        <f>'Final data_for_R_analysis_Wetse'!J789</f>
        <v>R418</v>
      </c>
      <c r="J423">
        <f>IFERROR(INDEX('Green_rooibos initial weight'!$C$5:$C$1749,MATCH(H423, 'Green_rooibos initial weight'!$A$5:$A$1749,0)),"")</f>
        <v>1.964</v>
      </c>
      <c r="K423">
        <f>IFERROR(INDEX('Green_rooibos initial weight'!$C$5:$C$1749,MATCH(I423, 'Green_rooibos initial weight'!$A$5:$A$1749,0)),"")</f>
        <v>2.2029999999999998</v>
      </c>
      <c r="L423" s="195">
        <f t="shared" si="64"/>
        <v>1.7141999999999999</v>
      </c>
      <c r="M423" s="195">
        <f>AVERAGE(Ashed_controlls!$K$2:$K$11)</f>
        <v>5.5147656768714146</v>
      </c>
      <c r="N423" s="195">
        <f t="shared" si="60"/>
        <v>1.6196658867670701</v>
      </c>
      <c r="O423" s="195">
        <f t="shared" si="65"/>
        <v>1.9531999999999998</v>
      </c>
      <c r="P423" s="195">
        <f>AVERAGE(Ashed_controlls!$K$12:$K$14)</f>
        <v>2.2816647271287041</v>
      </c>
      <c r="Q423" s="195">
        <f t="shared" si="66"/>
        <v>1.908634524549722</v>
      </c>
      <c r="R423" s="16">
        <f>IF('WetLitterbags placem_collection'!G130="N.A","",'WetLitterbags placem_collection'!G130)</f>
        <v>42816</v>
      </c>
      <c r="S423" s="195">
        <f>IF(IFERROR(INDEX('Both teabags AfterWet'!$C$3:$C$841,MATCH(H423,'Both teabags AfterWet'!$A$3:$A$841,0)),"")="N.A","",(IFERROR(INDEX('Both teabags AfterWet'!$C$3:$C$841,MATCH(H423,'Both teabags AfterWet'!$A$3:$A$841,0)),"")))</f>
        <v>0.57199999999999995</v>
      </c>
      <c r="T423" s="195">
        <f>IFERROR(INDEX('Both teabags AfterWet'!$C$3:$C$841,MATCH(I423,'Both teabags AfterWet'!$A$3:$A$841,0)),"")</f>
        <v>1.4119999999999999</v>
      </c>
      <c r="U423" s="195">
        <f t="shared" si="67"/>
        <v>0.42139999999999994</v>
      </c>
      <c r="V423" s="195">
        <f t="shared" si="67"/>
        <v>1.2613999999999999</v>
      </c>
      <c r="W423" s="195">
        <f>IFERROR(INDEX('Ashed teabags wet'!$K$2:$K$821,MATCH(H423,'Ashed teabags wet'!$A$2:$A$821,0)),"")</f>
        <v>10.010111223457624</v>
      </c>
      <c r="X423" s="195">
        <f>IFERROR(INDEX('Ashed teabags wet'!$K$2:$K$821,MATCH(I423,'Ashed teabags wet'!$A$2:$A$821,0)),"")</f>
        <v>4.4282238442810895</v>
      </c>
      <c r="Y423" s="195">
        <f t="shared" si="61"/>
        <v>0.3792173913043495</v>
      </c>
      <c r="Z423" s="195">
        <f t="shared" si="61"/>
        <v>1.2055423844282382</v>
      </c>
      <c r="AA423" s="195">
        <f t="shared" si="68"/>
        <v>0.76586690230212517</v>
      </c>
      <c r="AB423" s="195">
        <f t="shared" si="69"/>
        <v>0.50208851552348355</v>
      </c>
      <c r="AC423" s="195">
        <f t="shared" si="62"/>
        <v>0.63162557782645434</v>
      </c>
      <c r="AD423">
        <f t="shared" si="63"/>
        <v>54</v>
      </c>
      <c r="AE423" s="195">
        <f t="shared" si="70"/>
        <v>9.041935593571826E-2</v>
      </c>
      <c r="AF423" s="195">
        <f t="shared" si="71"/>
        <v>2.4501343353577388E-2</v>
      </c>
      <c r="AG423" s="255" t="str">
        <f>IF(ISNUMBER(SEARCH("C",'WetLitterbags placem_collection'!AD350)),"YES","NO")</f>
        <v>NO</v>
      </c>
      <c r="AH423" s="255" t="str">
        <f>IF(ISNUMBER(SEARCH("H", 'WetLitterbags placem_collection'!AF130)),"YES","NO")</f>
        <v>NO</v>
      </c>
      <c r="AI423" s="255" t="str">
        <f>IF(ISNUMBER(SEARCH("R", 'WetLitterbags placem_collection'!XF130)),"YES","NO")</f>
        <v>NO</v>
      </c>
      <c r="AJ423" s="255" t="str">
        <f>IF(ISNUMBER(SEARCH("C", 'WetLitterbags placem_collection'!WE130)),"YES","NO")</f>
        <v>NO</v>
      </c>
      <c r="AK423" s="255" t="str">
        <f>IF(ISNUMBER(SEARCH("H", 'WetLitterbags placem_collection'!AE130)),"YES","NO")</f>
        <v>NO</v>
      </c>
      <c r="AL423" s="255" t="str">
        <f>IF(ISNUMBER(SEARCH("R", 'WetLitterbags placem_collection'!AE130)),"YES","NO")</f>
        <v>NO</v>
      </c>
    </row>
    <row r="424" spans="2:38">
      <c r="B424" t="str">
        <f>'Final data_for_R_analysis_Wetse'!A570</f>
        <v>Wet</v>
      </c>
      <c r="C424" s="263">
        <f>'Final data_for_R_analysis_Wetse'!B570</f>
        <v>129</v>
      </c>
      <c r="D424" t="s">
        <v>3846</v>
      </c>
      <c r="E424" t="s">
        <v>25</v>
      </c>
      <c r="F424" s="386">
        <v>1</v>
      </c>
      <c r="G424" s="16">
        <f>'WetLitterbags placem_collection'!E131</f>
        <v>42762</v>
      </c>
      <c r="H424" s="92" t="str">
        <f>'Final data_for_R_analysis_Wetse'!J570</f>
        <v>G888</v>
      </c>
      <c r="I424" t="str">
        <f>'Final data_for_R_analysis_Wetse'!J790</f>
        <v>R520</v>
      </c>
      <c r="J424">
        <f>IFERROR(INDEX('Green_rooibos initial weight'!$C$5:$C$1749,MATCH(H424, 'Green_rooibos initial weight'!$A$5:$A$1749,0)),"")</f>
        <v>2.089</v>
      </c>
      <c r="K424">
        <f>IFERROR(INDEX('Green_rooibos initial weight'!$C$5:$C$1749,MATCH(I424, 'Green_rooibos initial weight'!$A$5:$A$1749,0)),"")</f>
        <v>2.2210000000000001</v>
      </c>
      <c r="L424" s="195">
        <f t="shared" si="64"/>
        <v>1.8391999999999999</v>
      </c>
      <c r="M424" s="195">
        <f>AVERAGE(Ashed_controlls!$K$2:$K$11)</f>
        <v>5.5147656768714146</v>
      </c>
      <c r="N424" s="195">
        <f t="shared" si="60"/>
        <v>1.7377724296709809</v>
      </c>
      <c r="O424" s="195">
        <f t="shared" si="65"/>
        <v>1.9712000000000001</v>
      </c>
      <c r="P424" s="195">
        <f>AVERAGE(Ashed_controlls!$K$12:$K$14)</f>
        <v>2.2816647271287041</v>
      </c>
      <c r="Q424" s="195">
        <f t="shared" si="66"/>
        <v>1.926223824898839</v>
      </c>
      <c r="R424" s="16">
        <f>IF('WetLitterbags placem_collection'!G131="N.A","",'WetLitterbags placem_collection'!G131)</f>
        <v>42816</v>
      </c>
      <c r="S424" s="195">
        <f>IF(IFERROR(INDEX('Both teabags AfterWet'!$C$3:$C$841,MATCH(H424,'Both teabags AfterWet'!$A$3:$A$841,0)),"")="N.A","",(IFERROR(INDEX('Both teabags AfterWet'!$C$3:$C$841,MATCH(H424,'Both teabags AfterWet'!$A$3:$A$841,0)),"")))</f>
        <v>0.59440000000000004</v>
      </c>
      <c r="T424" s="195">
        <f>IFERROR(INDEX('Both teabags AfterWet'!$C$3:$C$841,MATCH(I424,'Both teabags AfterWet'!$A$3:$A$841,0)),"")</f>
        <v>1.5878000000000001</v>
      </c>
      <c r="U424" s="195">
        <f t="shared" si="67"/>
        <v>0.44380000000000003</v>
      </c>
      <c r="V424" s="195">
        <f t="shared" si="67"/>
        <v>1.4372</v>
      </c>
      <c r="W424" s="195">
        <f>IFERROR(INDEX('Ashed teabags wet'!$K$2:$K$821,MATCH(H424,'Ashed teabags wet'!$A$2:$A$821,0)),"")</f>
        <v>15.186104218362484</v>
      </c>
      <c r="X424" s="195">
        <f>IFERROR(INDEX('Ashed teabags wet'!$K$2:$K$821,MATCH(I424,'Ashed teabags wet'!$A$2:$A$821,0)),"")</f>
        <v>5.5940594059407749</v>
      </c>
      <c r="Y424" s="195">
        <f t="shared" si="61"/>
        <v>0.37640406947890731</v>
      </c>
      <c r="Z424" s="195">
        <f t="shared" si="61"/>
        <v>1.3568021782178192</v>
      </c>
      <c r="AA424" s="195">
        <f t="shared" si="68"/>
        <v>0.78339852615214212</v>
      </c>
      <c r="AB424" s="195">
        <f t="shared" si="69"/>
        <v>0.51358193163418353</v>
      </c>
      <c r="AC424" s="195">
        <f t="shared" si="62"/>
        <v>0.70438448568617174</v>
      </c>
      <c r="AD424">
        <f t="shared" si="63"/>
        <v>54</v>
      </c>
      <c r="AE424" s="195">
        <f t="shared" si="70"/>
        <v>6.9597949938073445E-2</v>
      </c>
      <c r="AF424" s="195">
        <f t="shared" si="71"/>
        <v>1.5871640184885412E-2</v>
      </c>
      <c r="AG424" s="255" t="str">
        <f>IF(ISNUMBER(SEARCH("C",'WetLitterbags placem_collection'!AD351)),"YES","NO")</f>
        <v>NO</v>
      </c>
      <c r="AH424" s="255" t="str">
        <f>IF(ISNUMBER(SEARCH("H", 'WetLitterbags placem_collection'!AF131)),"YES","NO")</f>
        <v>NO</v>
      </c>
      <c r="AI424" s="255" t="str">
        <f>IF(ISNUMBER(SEARCH("R", 'WetLitterbags placem_collection'!XF131)),"YES","NO")</f>
        <v>NO</v>
      </c>
      <c r="AJ424" s="255" t="str">
        <f>IF(ISNUMBER(SEARCH("C", 'WetLitterbags placem_collection'!WE131)),"YES","NO")</f>
        <v>NO</v>
      </c>
      <c r="AK424" s="255" t="str">
        <f>IF(ISNUMBER(SEARCH("H", 'WetLitterbags placem_collection'!AE131)),"YES","NO")</f>
        <v>NO</v>
      </c>
      <c r="AL424" s="255" t="str">
        <f>IF(ISNUMBER(SEARCH("R", 'WetLitterbags placem_collection'!AE131)),"YES","NO")</f>
        <v>NO</v>
      </c>
    </row>
    <row r="425" spans="2:38">
      <c r="B425" t="str">
        <f>'Final data_for_R_analysis_Wetse'!A571</f>
        <v>Wet</v>
      </c>
      <c r="C425" s="263">
        <f>'Final data_for_R_analysis_Wetse'!B571</f>
        <v>130</v>
      </c>
      <c r="D425" t="s">
        <v>3846</v>
      </c>
      <c r="E425" t="s">
        <v>25</v>
      </c>
      <c r="F425" s="386">
        <v>2</v>
      </c>
      <c r="G425" s="16">
        <f>'WetLitterbags placem_collection'!E132</f>
        <v>42762</v>
      </c>
      <c r="H425" s="92" t="str">
        <f>'Final data_for_R_analysis_Wetse'!J571</f>
        <v>G708</v>
      </c>
      <c r="I425" t="str">
        <f>'Final data_for_R_analysis_Wetse'!J791</f>
        <v>R433</v>
      </c>
      <c r="J425">
        <f>IFERROR(INDEX('Green_rooibos initial weight'!$C$5:$C$1749,MATCH(H425, 'Green_rooibos initial weight'!$A$5:$A$1749,0)),"")</f>
        <v>2.0030000000000001</v>
      </c>
      <c r="K425">
        <f>IFERROR(INDEX('Green_rooibos initial weight'!$C$5:$C$1749,MATCH(I425, 'Green_rooibos initial weight'!$A$5:$A$1749,0)),"")</f>
        <v>2.0750000000000002</v>
      </c>
      <c r="L425" s="195">
        <f t="shared" si="64"/>
        <v>1.7532000000000001</v>
      </c>
      <c r="M425" s="195">
        <f>AVERAGE(Ashed_controlls!$K$2:$K$11)</f>
        <v>5.5147656768714146</v>
      </c>
      <c r="N425" s="195">
        <f t="shared" si="60"/>
        <v>1.6565151281530905</v>
      </c>
      <c r="O425" s="195">
        <f t="shared" si="65"/>
        <v>1.8252000000000002</v>
      </c>
      <c r="P425" s="195">
        <f>AVERAGE(Ashed_controlls!$K$12:$K$14)</f>
        <v>2.2816647271287041</v>
      </c>
      <c r="Q425" s="195">
        <f t="shared" si="66"/>
        <v>1.7835550554004471</v>
      </c>
      <c r="R425" s="16">
        <f>IF('WetLitterbags placem_collection'!G132="N.A","",'WetLitterbags placem_collection'!G132)</f>
        <v>42816</v>
      </c>
      <c r="S425" s="195">
        <f>IF(IFERROR(INDEX('Both teabags AfterWet'!$C$3:$C$841,MATCH(H425,'Both teabags AfterWet'!$A$3:$A$841,0)),"")="N.A","",(IFERROR(INDEX('Both teabags AfterWet'!$C$3:$C$841,MATCH(H425,'Both teabags AfterWet'!$A$3:$A$841,0)),"")))</f>
        <v>0.56599999999999995</v>
      </c>
      <c r="T425" s="195">
        <f>IFERROR(INDEX('Both teabags AfterWet'!$C$3:$C$841,MATCH(I425,'Both teabags AfterWet'!$A$3:$A$841,0)),"")</f>
        <v>1.5069999999999999</v>
      </c>
      <c r="U425" s="195">
        <f t="shared" si="67"/>
        <v>0.41539999999999994</v>
      </c>
      <c r="V425" s="195">
        <f t="shared" si="67"/>
        <v>1.3563999999999998</v>
      </c>
      <c r="W425" s="195">
        <f>IFERROR(INDEX('Ashed teabags wet'!$K$2:$K$821,MATCH(H425,'Ashed teabags wet'!$A$2:$A$821,0)),"")</f>
        <v>17.737917289487331</v>
      </c>
      <c r="X425" s="195">
        <f>IFERROR(INDEX('Ashed teabags wet'!$K$2:$K$821,MATCH(I425,'Ashed teabags wet'!$A$2:$A$821,0)),"")</f>
        <v>5.1420176297748439</v>
      </c>
      <c r="Y425" s="195">
        <f t="shared" si="61"/>
        <v>0.3417166915794696</v>
      </c>
      <c r="Z425" s="195">
        <f t="shared" si="61"/>
        <v>1.2866536728697338</v>
      </c>
      <c r="AA425" s="195">
        <f t="shared" si="68"/>
        <v>0.79371350990288747</v>
      </c>
      <c r="AB425" s="195">
        <f t="shared" si="69"/>
        <v>0.52034424877243934</v>
      </c>
      <c r="AC425" s="195">
        <f t="shared" si="62"/>
        <v>0.72139834931019375</v>
      </c>
      <c r="AD425">
        <f t="shared" si="63"/>
        <v>54</v>
      </c>
      <c r="AE425" s="195">
        <f t="shared" si="70"/>
        <v>5.7347375412247659E-2</v>
      </c>
      <c r="AF425" s="195">
        <f t="shared" si="71"/>
        <v>1.4196612844629967E-2</v>
      </c>
      <c r="AG425" s="255" t="str">
        <f>IF(ISNUMBER(SEARCH("C",'WetLitterbags placem_collection'!AD352)),"YES","NO")</f>
        <v>NO</v>
      </c>
      <c r="AH425" s="255" t="str">
        <f>IF(ISNUMBER(SEARCH("H", 'WetLitterbags placem_collection'!AF132)),"YES","NO")</f>
        <v>NO</v>
      </c>
      <c r="AI425" s="255" t="str">
        <f>IF(ISNUMBER(SEARCH("R", 'WetLitterbags placem_collection'!XF132)),"YES","NO")</f>
        <v>NO</v>
      </c>
      <c r="AJ425" s="255" t="str">
        <f>IF(ISNUMBER(SEARCH("C", 'WetLitterbags placem_collection'!WE132)),"YES","NO")</f>
        <v>NO</v>
      </c>
      <c r="AK425" s="255" t="str">
        <f>IF(ISNUMBER(SEARCH("H", 'WetLitterbags placem_collection'!AE132)),"YES","NO")</f>
        <v>NO</v>
      </c>
      <c r="AL425" s="255" t="str">
        <f>IF(ISNUMBER(SEARCH("R", 'WetLitterbags placem_collection'!AE132)),"YES","NO")</f>
        <v>NO</v>
      </c>
    </row>
    <row r="426" spans="2:38">
      <c r="B426" t="str">
        <f>'Final data_for_R_analysis_Wetse'!A572</f>
        <v>Wet</v>
      </c>
      <c r="C426" s="263">
        <f>'Final data_for_R_analysis_Wetse'!B572</f>
        <v>131</v>
      </c>
      <c r="D426" t="s">
        <v>3846</v>
      </c>
      <c r="E426" t="s">
        <v>25</v>
      </c>
      <c r="F426" s="386">
        <v>3</v>
      </c>
      <c r="G426" s="16">
        <f>'WetLitterbags placem_collection'!E133</f>
        <v>42762</v>
      </c>
      <c r="H426" s="92" t="str">
        <f>'Final data_for_R_analysis_Wetse'!J572</f>
        <v>G768</v>
      </c>
      <c r="I426" t="str">
        <f>'Final data_for_R_analysis_Wetse'!J792</f>
        <v>R592</v>
      </c>
      <c r="J426">
        <f>IFERROR(INDEX('Green_rooibos initial weight'!$C$5:$C$1749,MATCH(H426, 'Green_rooibos initial weight'!$A$5:$A$1749,0)),"")</f>
        <v>2.0089999999999999</v>
      </c>
      <c r="K426">
        <f>IFERROR(INDEX('Green_rooibos initial weight'!$C$5:$C$1749,MATCH(I426, 'Green_rooibos initial weight'!$A$5:$A$1749,0)),"")</f>
        <v>2.2549999999999999</v>
      </c>
      <c r="L426" s="195">
        <f t="shared" si="64"/>
        <v>1.7591999999999999</v>
      </c>
      <c r="M426" s="195">
        <f>AVERAGE(Ashed_controlls!$K$2:$K$11)</f>
        <v>5.5147656768714146</v>
      </c>
      <c r="N426" s="195">
        <f t="shared" si="60"/>
        <v>1.662184242212478</v>
      </c>
      <c r="O426" s="195">
        <f t="shared" si="65"/>
        <v>2.0051999999999999</v>
      </c>
      <c r="P426" s="195">
        <f>AVERAGE(Ashed_controlls!$K$12:$K$14)</f>
        <v>2.2816647271287041</v>
      </c>
      <c r="Q426" s="195">
        <f t="shared" si="66"/>
        <v>1.959448058891615</v>
      </c>
      <c r="R426" s="16">
        <f>IF('WetLitterbags placem_collection'!G133="N.A","",'WetLitterbags placem_collection'!G133)</f>
        <v>42816</v>
      </c>
      <c r="S426" s="195">
        <f>IF(IFERROR(INDEX('Both teabags AfterWet'!$C$3:$C$841,MATCH(H426,'Both teabags AfterWet'!$A$3:$A$841,0)),"")="N.A","",(IFERROR(INDEX('Both teabags AfterWet'!$C$3:$C$841,MATCH(H426,'Both teabags AfterWet'!$A$3:$A$841,0)),"")))</f>
        <v>0.62819999999999998</v>
      </c>
      <c r="T426" s="195">
        <f>IFERROR(INDEX('Both teabags AfterWet'!$C$3:$C$841,MATCH(I426,'Both teabags AfterWet'!$A$3:$A$841,0)),"")</f>
        <v>1.6073999999999999</v>
      </c>
      <c r="U426" s="195">
        <f t="shared" si="67"/>
        <v>0.47759999999999997</v>
      </c>
      <c r="V426" s="195">
        <f t="shared" si="67"/>
        <v>1.4567999999999999</v>
      </c>
      <c r="W426" s="195">
        <f>IFERROR(INDEX('Ashed teabags wet'!$K$2:$K$821,MATCH(H426,'Ashed teabags wet'!$A$2:$A$821,0)),"")</f>
        <v>13.671875000000405</v>
      </c>
      <c r="X426" s="195">
        <f>IFERROR(INDEX('Ashed teabags wet'!$K$2:$K$821,MATCH(I426,'Ashed teabags wet'!$A$2:$A$821,0)),"")</f>
        <v>3.7601142313182434</v>
      </c>
      <c r="Y426" s="195">
        <f t="shared" si="61"/>
        <v>0.41230312499999805</v>
      </c>
      <c r="Z426" s="195">
        <f t="shared" si="61"/>
        <v>1.4020226558781557</v>
      </c>
      <c r="AA426" s="195">
        <f t="shared" si="68"/>
        <v>0.75195100848074747</v>
      </c>
      <c r="AB426" s="195">
        <f t="shared" si="69"/>
        <v>0.49296550674747347</v>
      </c>
      <c r="AC426" s="195">
        <f t="shared" si="62"/>
        <v>0.71551917363465423</v>
      </c>
      <c r="AD426">
        <f t="shared" si="63"/>
        <v>54</v>
      </c>
      <c r="AE426" s="195">
        <f t="shared" si="70"/>
        <v>0.10694654574733076</v>
      </c>
      <c r="AF426" s="195">
        <f t="shared" si="71"/>
        <v>1.5936548933547387E-2</v>
      </c>
      <c r="AG426" s="255" t="str">
        <f>IF(ISNUMBER(SEARCH("C",'WetLitterbags placem_collection'!AD353)),"YES","NO")</f>
        <v>NO</v>
      </c>
      <c r="AH426" s="255" t="str">
        <f>IF(ISNUMBER(SEARCH("H", 'WetLitterbags placem_collection'!AF133)),"YES","NO")</f>
        <v>NO</v>
      </c>
      <c r="AI426" s="255" t="str">
        <f>IF(ISNUMBER(SEARCH("R", 'WetLitterbags placem_collection'!XF133)),"YES","NO")</f>
        <v>NO</v>
      </c>
      <c r="AJ426" s="255" t="str">
        <f>IF(ISNUMBER(SEARCH("C", 'WetLitterbags placem_collection'!WE133)),"YES","NO")</f>
        <v>NO</v>
      </c>
      <c r="AK426" s="255" t="str">
        <f>IF(ISNUMBER(SEARCH("H", 'WetLitterbags placem_collection'!AE133)),"YES","NO")</f>
        <v>NO</v>
      </c>
      <c r="AL426" s="255" t="str">
        <f>IF(ISNUMBER(SEARCH("R", 'WetLitterbags placem_collection'!AE133)),"YES","NO")</f>
        <v>NO</v>
      </c>
    </row>
    <row r="427" spans="2:38">
      <c r="B427" t="str">
        <f>'Final data_for_R_analysis_Wetse'!A573</f>
        <v>Wet</v>
      </c>
      <c r="C427" s="263">
        <f>'Final data_for_R_analysis_Wetse'!B573</f>
        <v>132</v>
      </c>
      <c r="D427" t="s">
        <v>3846</v>
      </c>
      <c r="E427" t="s">
        <v>25</v>
      </c>
      <c r="F427" s="387">
        <v>4</v>
      </c>
      <c r="G427" s="16">
        <f>'WetLitterbags placem_collection'!E134</f>
        <v>42762</v>
      </c>
      <c r="H427" s="92" t="str">
        <f>'Final data_for_R_analysis_Wetse'!J573</f>
        <v>G779</v>
      </c>
      <c r="I427" t="str">
        <f>'Final data_for_R_analysis_Wetse'!J793</f>
        <v>R477</v>
      </c>
      <c r="J427">
        <f>IFERROR(INDEX('Green_rooibos initial weight'!$C$5:$C$1749,MATCH(H427, 'Green_rooibos initial weight'!$A$5:$A$1749,0)),"")</f>
        <v>2.0110000000000001</v>
      </c>
      <c r="K427">
        <f>IFERROR(INDEX('Green_rooibos initial weight'!$C$5:$C$1749,MATCH(I427, 'Green_rooibos initial weight'!$A$5:$A$1749,0)),"")</f>
        <v>2.169</v>
      </c>
      <c r="L427" s="195">
        <f t="shared" si="64"/>
        <v>1.7612000000000001</v>
      </c>
      <c r="M427" s="195">
        <f>AVERAGE(Ashed_controlls!$K$2:$K$11)</f>
        <v>5.5147656768714146</v>
      </c>
      <c r="N427" s="195">
        <f t="shared" si="60"/>
        <v>1.6640739468989407</v>
      </c>
      <c r="O427" s="195">
        <f t="shared" si="65"/>
        <v>1.9192</v>
      </c>
      <c r="P427" s="195">
        <f>AVERAGE(Ashed_controlls!$K$12:$K$14)</f>
        <v>2.2816647271287041</v>
      </c>
      <c r="Q427" s="195">
        <f t="shared" si="66"/>
        <v>1.8754102905569459</v>
      </c>
      <c r="R427" s="16">
        <f>IF('WetLitterbags placem_collection'!G134="N.A","",'WetLitterbags placem_collection'!G134)</f>
        <v>42816</v>
      </c>
      <c r="S427" s="195">
        <f>IF(IFERROR(INDEX('Both teabags AfterWet'!$C$3:$C$841,MATCH(H427,'Both teabags AfterWet'!$A$3:$A$841,0)),"")="N.A","",(IFERROR(INDEX('Both teabags AfterWet'!$C$3:$C$841,MATCH(H427,'Both teabags AfterWet'!$A$3:$A$841,0)),"")))</f>
        <v>0.63490000000000002</v>
      </c>
      <c r="T427" s="195">
        <f>IFERROR(INDEX('Both teabags AfterWet'!$C$3:$C$841,MATCH(I427,'Both teabags AfterWet'!$A$3:$A$841,0)),"")</f>
        <v>1.573</v>
      </c>
      <c r="U427" s="195">
        <f t="shared" si="67"/>
        <v>0.48430000000000001</v>
      </c>
      <c r="V427" s="195">
        <f t="shared" si="67"/>
        <v>1.4223999999999999</v>
      </c>
      <c r="W427" s="195">
        <f>IFERROR(INDEX('Ashed teabags wet'!$K$2:$K$821,MATCH(H427,'Ashed teabags wet'!$A$2:$A$821,0)),"")</f>
        <v>13.853028798411678</v>
      </c>
      <c r="X427" s="195">
        <f>IFERROR(INDEX('Ashed teabags wet'!$K$2:$K$821,MATCH(I427,'Ashed teabags wet'!$A$2:$A$821,0)),"")</f>
        <v>4.5098039215686896</v>
      </c>
      <c r="Y427" s="195">
        <f t="shared" si="61"/>
        <v>0.41720978152929222</v>
      </c>
      <c r="Z427" s="195">
        <f t="shared" si="61"/>
        <v>1.3582525490196069</v>
      </c>
      <c r="AA427" s="195">
        <f t="shared" si="68"/>
        <v>0.74928410945512547</v>
      </c>
      <c r="AB427" s="195">
        <f t="shared" si="69"/>
        <v>0.49121713588982108</v>
      </c>
      <c r="AC427" s="195">
        <f t="shared" si="62"/>
        <v>0.72424287946945354</v>
      </c>
      <c r="AD427">
        <f t="shared" si="63"/>
        <v>54</v>
      </c>
      <c r="AE427" s="195">
        <f t="shared" si="70"/>
        <v>0.11011388425757063</v>
      </c>
      <c r="AF427" s="195">
        <f t="shared" si="71"/>
        <v>1.5261313208177897E-2</v>
      </c>
      <c r="AG427" s="255" t="str">
        <f>IF(ISNUMBER(SEARCH("C",'WetLitterbags placem_collection'!AD354)),"YES","NO")</f>
        <v>NO</v>
      </c>
      <c r="AH427" s="255" t="str">
        <f>IF(ISNUMBER(SEARCH("H", 'WetLitterbags placem_collection'!AF134)),"YES","NO")</f>
        <v>NO</v>
      </c>
      <c r="AI427" s="255" t="str">
        <f>IF(ISNUMBER(SEARCH("R", 'WetLitterbags placem_collection'!XF134)),"YES","NO")</f>
        <v>NO</v>
      </c>
      <c r="AJ427" s="255" t="str">
        <f>IF(ISNUMBER(SEARCH("C", 'WetLitterbags placem_collection'!WE134)),"YES","NO")</f>
        <v>NO</v>
      </c>
      <c r="AK427" s="255" t="str">
        <f>IF(ISNUMBER(SEARCH("H", 'WetLitterbags placem_collection'!AE134)),"YES","NO")</f>
        <v>NO</v>
      </c>
      <c r="AL427" s="255" t="str">
        <f>IF(ISNUMBER(SEARCH("R", 'WetLitterbags placem_collection'!AE134)),"YES","NO")</f>
        <v>NO</v>
      </c>
    </row>
    <row r="428" spans="2:38">
      <c r="B428" t="str">
        <f>'Final data_for_R_analysis_Wetse'!A574</f>
        <v>Wet</v>
      </c>
      <c r="C428" s="263">
        <f>'Final data_for_R_analysis_Wetse'!B574</f>
        <v>133</v>
      </c>
      <c r="D428" t="s">
        <v>3846</v>
      </c>
      <c r="E428" t="s">
        <v>25</v>
      </c>
      <c r="F428" s="387">
        <v>5</v>
      </c>
      <c r="G428" s="16">
        <f>'WetLitterbags placem_collection'!E135</f>
        <v>42762</v>
      </c>
      <c r="H428" s="92" t="str">
        <f>'Final data_for_R_analysis_Wetse'!J574</f>
        <v>G799</v>
      </c>
      <c r="I428" t="str">
        <f>'Final data_for_R_analysis_Wetse'!J794</f>
        <v>R597</v>
      </c>
      <c r="J428">
        <f>IFERROR(INDEX('Green_rooibos initial weight'!$C$5:$C$1749,MATCH(H428, 'Green_rooibos initial weight'!$A$5:$A$1749,0)),"")</f>
        <v>2.093</v>
      </c>
      <c r="K428">
        <f>IFERROR(INDEX('Green_rooibos initial weight'!$C$5:$C$1749,MATCH(I428, 'Green_rooibos initial weight'!$A$5:$A$1749,0)),"")</f>
        <v>2.165</v>
      </c>
      <c r="L428" s="195">
        <f t="shared" si="64"/>
        <v>1.8431999999999999</v>
      </c>
      <c r="M428" s="195">
        <f>AVERAGE(Ashed_controlls!$K$2:$K$11)</f>
        <v>5.5147656768714146</v>
      </c>
      <c r="N428" s="195">
        <f t="shared" si="60"/>
        <v>1.741551839043906</v>
      </c>
      <c r="O428" s="195">
        <f t="shared" si="65"/>
        <v>1.9152</v>
      </c>
      <c r="P428" s="195">
        <f>AVERAGE(Ashed_controlls!$K$12:$K$14)</f>
        <v>2.2816647271287041</v>
      </c>
      <c r="Q428" s="195">
        <f t="shared" si="66"/>
        <v>1.8715015571460312</v>
      </c>
      <c r="R428" s="16">
        <f>IF('WetLitterbags placem_collection'!G135="N.A","",'WetLitterbags placem_collection'!G135)</f>
        <v>42816</v>
      </c>
      <c r="S428" s="195">
        <f>IF(IFERROR(INDEX('Both teabags AfterWet'!$C$3:$C$841,MATCH(H428,'Both teabags AfterWet'!$A$3:$A$841,0)),"")="N.A","",(IFERROR(INDEX('Both teabags AfterWet'!$C$3:$C$841,MATCH(H428,'Both teabags AfterWet'!$A$3:$A$841,0)),"")))</f>
        <v>0.63380000000000003</v>
      </c>
      <c r="T428" s="195">
        <f>IFERROR(INDEX('Both teabags AfterWet'!$C$3:$C$841,MATCH(I428,'Both teabags AfterWet'!$A$3:$A$841,0)),"")</f>
        <v>1.5714999999999999</v>
      </c>
      <c r="U428" s="195">
        <f t="shared" si="67"/>
        <v>0.48320000000000002</v>
      </c>
      <c r="V428" s="195">
        <f t="shared" si="67"/>
        <v>1.4208999999999998</v>
      </c>
      <c r="W428" s="195">
        <f>IFERROR(INDEX('Ashed teabags wet'!$K$2:$K$821,MATCH(H428,'Ashed teabags wet'!$A$2:$A$821,0)),"")</f>
        <v>14.024691358025066</v>
      </c>
      <c r="X428" s="195">
        <f>IFERROR(INDEX('Ashed teabags wet'!$K$2:$K$821,MATCH(I428,'Ashed teabags wet'!$A$2:$A$821,0)),"")</f>
        <v>7.7152812344452117</v>
      </c>
      <c r="Y428" s="195">
        <f t="shared" si="61"/>
        <v>0.41543269135802291</v>
      </c>
      <c r="Z428" s="195">
        <f t="shared" si="61"/>
        <v>1.3112735689397679</v>
      </c>
      <c r="AA428" s="195">
        <f t="shared" si="68"/>
        <v>0.76145832581929274</v>
      </c>
      <c r="AB428" s="195">
        <f t="shared" si="69"/>
        <v>0.49919833236609223</v>
      </c>
      <c r="AC428" s="195">
        <f t="shared" si="62"/>
        <v>0.7006532075449674</v>
      </c>
      <c r="AD428">
        <f t="shared" si="63"/>
        <v>54</v>
      </c>
      <c r="AE428" s="195">
        <f t="shared" si="70"/>
        <v>9.5655194988963466E-2</v>
      </c>
      <c r="AF428" s="195">
        <f t="shared" si="71"/>
        <v>1.6952383073609193E-2</v>
      </c>
      <c r="AG428" s="255" t="str">
        <f>IF(ISNUMBER(SEARCH("C",'WetLitterbags placem_collection'!AD355)),"YES","NO")</f>
        <v>NO</v>
      </c>
      <c r="AH428" s="255" t="str">
        <f>IF(ISNUMBER(SEARCH("H", 'WetLitterbags placem_collection'!AF135)),"YES","NO")</f>
        <v>NO</v>
      </c>
      <c r="AI428" s="255" t="str">
        <f>IF(ISNUMBER(SEARCH("R", 'WetLitterbags placem_collection'!XF135)),"YES","NO")</f>
        <v>NO</v>
      </c>
      <c r="AJ428" s="255" t="str">
        <f>IF(ISNUMBER(SEARCH("C", 'WetLitterbags placem_collection'!WE135)),"YES","NO")</f>
        <v>NO</v>
      </c>
      <c r="AK428" s="255" t="str">
        <f>IF(ISNUMBER(SEARCH("H", 'WetLitterbags placem_collection'!AE135)),"YES","NO")</f>
        <v>NO</v>
      </c>
      <c r="AL428" s="255" t="str">
        <f>IF(ISNUMBER(SEARCH("R", 'WetLitterbags placem_collection'!AE135)),"YES","NO")</f>
        <v>NO</v>
      </c>
    </row>
    <row r="429" spans="2:38">
      <c r="B429" t="str">
        <f>'Final data_for_R_analysis_Wetse'!A575</f>
        <v>Wet</v>
      </c>
      <c r="C429" s="263">
        <f>'Final data_for_R_analysis_Wetse'!B575</f>
        <v>134</v>
      </c>
      <c r="D429" t="s">
        <v>3846</v>
      </c>
      <c r="E429" t="s">
        <v>25</v>
      </c>
      <c r="F429" s="387">
        <v>6</v>
      </c>
      <c r="G429" s="16">
        <f>'WetLitterbags placem_collection'!E136</f>
        <v>42762</v>
      </c>
      <c r="H429" s="92" t="str">
        <f>'Final data_for_R_analysis_Wetse'!J575</f>
        <v>G820</v>
      </c>
      <c r="I429" t="str">
        <f>'Final data_for_R_analysis_Wetse'!J795</f>
        <v>R467</v>
      </c>
      <c r="J429">
        <f>IFERROR(INDEX('Green_rooibos initial weight'!$C$5:$C$1749,MATCH(H429, 'Green_rooibos initial weight'!$A$5:$A$1749,0)),"")</f>
        <v>1.927</v>
      </c>
      <c r="K429">
        <f>IFERROR(INDEX('Green_rooibos initial weight'!$C$5:$C$1749,MATCH(I429, 'Green_rooibos initial weight'!$A$5:$A$1749,0)),"")</f>
        <v>2.3140000000000001</v>
      </c>
      <c r="L429" s="195">
        <f t="shared" si="64"/>
        <v>1.6772</v>
      </c>
      <c r="M429" s="195">
        <f>AVERAGE(Ashed_controlls!$K$2:$K$11)</f>
        <v>5.5147656768714146</v>
      </c>
      <c r="N429" s="195">
        <f t="shared" si="60"/>
        <v>1.5847063500675127</v>
      </c>
      <c r="O429" s="195">
        <f t="shared" si="65"/>
        <v>2.0642</v>
      </c>
      <c r="P429" s="195">
        <f>AVERAGE(Ashed_controlls!$K$12:$K$14)</f>
        <v>2.2816647271287041</v>
      </c>
      <c r="Q429" s="195">
        <f t="shared" si="66"/>
        <v>2.0171018767026094</v>
      </c>
      <c r="R429" s="16">
        <f>IF('WetLitterbags placem_collection'!G136="N.A","",'WetLitterbags placem_collection'!G136)</f>
        <v>42816</v>
      </c>
      <c r="S429" s="195">
        <f>IF(IFERROR(INDEX('Both teabags AfterWet'!$C$3:$C$841,MATCH(H429,'Both teabags AfterWet'!$A$3:$A$841,0)),"")="N.A","",(IFERROR(INDEX('Both teabags AfterWet'!$C$3:$C$841,MATCH(H429,'Both teabags AfterWet'!$A$3:$A$841,0)),"")))</f>
        <v>0.53400000000000003</v>
      </c>
      <c r="T429" s="195">
        <f>IFERROR(INDEX('Both teabags AfterWet'!$C$3:$C$841,MATCH(I429,'Both teabags AfterWet'!$A$3:$A$841,0)),"")</f>
        <v>1.591</v>
      </c>
      <c r="U429" s="195">
        <f t="shared" si="67"/>
        <v>0.38340000000000002</v>
      </c>
      <c r="V429" s="195">
        <f t="shared" si="67"/>
        <v>1.4403999999999999</v>
      </c>
      <c r="W429" s="195">
        <f>IFERROR(INDEX('Ashed teabags wet'!$K$2:$K$821,MATCH(H429,'Ashed teabags wet'!$A$2:$A$821,0)),"")</f>
        <v>12.606303151575968</v>
      </c>
      <c r="X429" s="195">
        <f>IFERROR(INDEX('Ashed teabags wet'!$K$2:$K$821,MATCH(I429,'Ashed teabags wet'!$A$2:$A$821,0)),"")</f>
        <v>3.4619188921860404</v>
      </c>
      <c r="Y429" s="195">
        <f t="shared" si="61"/>
        <v>0.33506743371685777</v>
      </c>
      <c r="Z429" s="195">
        <f t="shared" si="61"/>
        <v>1.3905345202769521</v>
      </c>
      <c r="AA429" s="195">
        <f t="shared" si="68"/>
        <v>0.78856181544133841</v>
      </c>
      <c r="AB429" s="195">
        <f t="shared" si="69"/>
        <v>0.51696689088315784</v>
      </c>
      <c r="AC429" s="195">
        <f t="shared" si="62"/>
        <v>0.68937247857311124</v>
      </c>
      <c r="AD429">
        <f t="shared" si="63"/>
        <v>54</v>
      </c>
      <c r="AE429" s="195">
        <f t="shared" si="70"/>
        <v>6.3465777385583788E-2</v>
      </c>
      <c r="AF429" s="195">
        <f t="shared" si="71"/>
        <v>1.7008455440619904E-2</v>
      </c>
      <c r="AG429" s="255" t="str">
        <f>IF(ISNUMBER(SEARCH("C",'WetLitterbags placem_collection'!AD356)),"YES","NO")</f>
        <v>NO</v>
      </c>
      <c r="AH429" s="255" t="str">
        <f>IF(ISNUMBER(SEARCH("H", 'WetLitterbags placem_collection'!AF136)),"YES","NO")</f>
        <v>NO</v>
      </c>
      <c r="AI429" s="255" t="str">
        <f>IF(ISNUMBER(SEARCH("R", 'WetLitterbags placem_collection'!XF136)),"YES","NO")</f>
        <v>NO</v>
      </c>
      <c r="AJ429" s="255" t="str">
        <f>IF(ISNUMBER(SEARCH("C", 'WetLitterbags placem_collection'!WE136)),"YES","NO")</f>
        <v>NO</v>
      </c>
      <c r="AK429" s="255" t="str">
        <f>IF(ISNUMBER(SEARCH("H", 'WetLitterbags placem_collection'!AE136)),"YES","NO")</f>
        <v>NO</v>
      </c>
      <c r="AL429" s="255" t="str">
        <f>IF(ISNUMBER(SEARCH("R", 'WetLitterbags placem_collection'!AE136)),"YES","NO")</f>
        <v>NO</v>
      </c>
    </row>
    <row r="430" spans="2:38">
      <c r="B430" t="str">
        <f>'Final data_for_R_analysis_Wetse'!A576</f>
        <v>Wet</v>
      </c>
      <c r="C430" s="263">
        <f>'Final data_for_R_analysis_Wetse'!B576</f>
        <v>135</v>
      </c>
      <c r="D430" t="s">
        <v>3846</v>
      </c>
      <c r="E430" t="s">
        <v>25</v>
      </c>
      <c r="F430" s="387">
        <v>7</v>
      </c>
      <c r="G430" s="16">
        <f>'WetLitterbags placem_collection'!E137</f>
        <v>42762</v>
      </c>
      <c r="H430" s="92" t="str">
        <f>'Final data_for_R_analysis_Wetse'!J576</f>
        <v>G842</v>
      </c>
      <c r="I430" t="str">
        <f>'Final data_for_R_analysis_Wetse'!J796</f>
        <v>R596</v>
      </c>
      <c r="J430">
        <f>IFERROR(INDEX('Green_rooibos initial weight'!$C$5:$C$1749,MATCH(H430, 'Green_rooibos initial weight'!$A$5:$A$1749,0)),"")</f>
        <v>1.9670000000000001</v>
      </c>
      <c r="K430">
        <f>IFERROR(INDEX('Green_rooibos initial weight'!$C$5:$C$1749,MATCH(I430, 'Green_rooibos initial weight'!$A$5:$A$1749,0)),"")</f>
        <v>2.1749999999999998</v>
      </c>
      <c r="L430" s="195">
        <f t="shared" si="64"/>
        <v>1.7172000000000001</v>
      </c>
      <c r="M430" s="195">
        <f>AVERAGE(Ashed_controlls!$K$2:$K$11)</f>
        <v>5.5147656768714146</v>
      </c>
      <c r="N430" s="195">
        <f t="shared" si="60"/>
        <v>1.6225004437967641</v>
      </c>
      <c r="O430" s="195">
        <f t="shared" si="65"/>
        <v>1.9251999999999998</v>
      </c>
      <c r="P430" s="195">
        <f>AVERAGE(Ashed_controlls!$K$12:$K$14)</f>
        <v>2.2816647271287041</v>
      </c>
      <c r="Q430" s="195">
        <f t="shared" si="66"/>
        <v>1.8812733906733179</v>
      </c>
      <c r="R430" s="16">
        <f>IF('WetLitterbags placem_collection'!G137="N.A","",'WetLitterbags placem_collection'!G137)</f>
        <v>42816</v>
      </c>
      <c r="S430" s="195">
        <f>IF(IFERROR(INDEX('Both teabags AfterWet'!$C$3:$C$841,MATCH(H430,'Both teabags AfterWet'!$A$3:$A$841,0)),"")="N.A","",(IFERROR(INDEX('Both teabags AfterWet'!$C$3:$C$841,MATCH(H430,'Both teabags AfterWet'!$A$3:$A$841,0)),"")))</f>
        <v>0.56399999999999995</v>
      </c>
      <c r="T430" s="195">
        <f>IFERROR(INDEX('Both teabags AfterWet'!$C$3:$C$841,MATCH(I430,'Both teabags AfterWet'!$A$3:$A$841,0)),"")</f>
        <v>1.512</v>
      </c>
      <c r="U430" s="195">
        <f t="shared" si="67"/>
        <v>0.41339999999999993</v>
      </c>
      <c r="V430" s="195">
        <f t="shared" si="67"/>
        <v>1.3613999999999999</v>
      </c>
      <c r="W430" s="195">
        <f>IFERROR(INDEX('Ashed teabags wet'!$K$2:$K$821,MATCH(H430,'Ashed teabags wet'!$A$2:$A$821,0)),"")</f>
        <v>14.385614385613385</v>
      </c>
      <c r="X430" s="195">
        <f>IFERROR(INDEX('Ashed teabags wet'!$K$2:$K$821,MATCH(I430,'Ashed teabags wet'!$A$2:$A$821,0)),"")</f>
        <v>6.95609274790369</v>
      </c>
      <c r="Y430" s="195">
        <f t="shared" si="61"/>
        <v>0.3539298701298742</v>
      </c>
      <c r="Z430" s="195">
        <f t="shared" si="61"/>
        <v>1.266699753330039</v>
      </c>
      <c r="AA430" s="195">
        <f t="shared" si="68"/>
        <v>0.78186146482545571</v>
      </c>
      <c r="AB430" s="195">
        <f t="shared" si="69"/>
        <v>0.51257426197583322</v>
      </c>
      <c r="AC430" s="195">
        <f t="shared" si="62"/>
        <v>0.67332040075083421</v>
      </c>
      <c r="AD430">
        <f t="shared" si="63"/>
        <v>54</v>
      </c>
      <c r="AE430" s="195">
        <f t="shared" si="70"/>
        <v>7.1423438449577548E-2</v>
      </c>
      <c r="AF430" s="195">
        <f t="shared" si="71"/>
        <v>1.8782692927222708E-2</v>
      </c>
      <c r="AG430" s="255" t="str">
        <f>IF(ISNUMBER(SEARCH("C",'WetLitterbags placem_collection'!AD357)),"YES","NO")</f>
        <v>NO</v>
      </c>
      <c r="AH430" s="255" t="str">
        <f>IF(ISNUMBER(SEARCH("H", 'WetLitterbags placem_collection'!AF137)),"YES","NO")</f>
        <v>NO</v>
      </c>
      <c r="AI430" s="255" t="str">
        <f>IF(ISNUMBER(SEARCH("R", 'WetLitterbags placem_collection'!XF137)),"YES","NO")</f>
        <v>NO</v>
      </c>
      <c r="AJ430" s="255" t="str">
        <f>IF(ISNUMBER(SEARCH("C", 'WetLitterbags placem_collection'!WE137)),"YES","NO")</f>
        <v>NO</v>
      </c>
      <c r="AK430" s="255" t="str">
        <f>IF(ISNUMBER(SEARCH("H", 'WetLitterbags placem_collection'!AE137)),"YES","NO")</f>
        <v>NO</v>
      </c>
      <c r="AL430" s="255" t="str">
        <f>IF(ISNUMBER(SEARCH("R", 'WetLitterbags placem_collection'!AE137)),"YES","NO")</f>
        <v>NO</v>
      </c>
    </row>
    <row r="431" spans="2:38">
      <c r="B431" t="str">
        <f>'Final data_for_R_analysis_Wetse'!A577</f>
        <v>Wet</v>
      </c>
      <c r="C431" s="263">
        <f>'Final data_for_R_analysis_Wetse'!B577</f>
        <v>136</v>
      </c>
      <c r="D431" t="s">
        <v>3846</v>
      </c>
      <c r="E431" t="s">
        <v>25</v>
      </c>
      <c r="F431" s="387">
        <v>8</v>
      </c>
      <c r="G431" s="16">
        <f>'WetLitterbags placem_collection'!E138</f>
        <v>42762</v>
      </c>
      <c r="H431" s="92" t="str">
        <f>'Final data_for_R_analysis_Wetse'!J577</f>
        <v>G747</v>
      </c>
      <c r="I431" t="str">
        <f>'Final data_for_R_analysis_Wetse'!J797</f>
        <v>R543</v>
      </c>
      <c r="J431">
        <f>IFERROR(INDEX('Green_rooibos initial weight'!$C$5:$C$1749,MATCH(H431, 'Green_rooibos initial weight'!$A$5:$A$1749,0)),"")</f>
        <v>2.044</v>
      </c>
      <c r="K431">
        <f>IFERROR(INDEX('Green_rooibos initial weight'!$C$5:$C$1749,MATCH(I431, 'Green_rooibos initial weight'!$A$5:$A$1749,0)),"")</f>
        <v>2.2730000000000001</v>
      </c>
      <c r="L431" s="195">
        <f t="shared" si="64"/>
        <v>1.7942</v>
      </c>
      <c r="M431" s="195">
        <f>AVERAGE(Ashed_controlls!$K$2:$K$11)</f>
        <v>5.5147656768714146</v>
      </c>
      <c r="N431" s="195">
        <f t="shared" si="60"/>
        <v>1.6952540742255731</v>
      </c>
      <c r="O431" s="195">
        <f t="shared" si="65"/>
        <v>2.0232000000000001</v>
      </c>
      <c r="P431" s="195">
        <f>AVERAGE(Ashed_controlls!$K$12:$K$14)</f>
        <v>2.2816647271287041</v>
      </c>
      <c r="Q431" s="195">
        <f t="shared" si="66"/>
        <v>1.9770373592407322</v>
      </c>
      <c r="R431" s="16">
        <f>IF('WetLitterbags placem_collection'!G138="N.A","",'WetLitterbags placem_collection'!G138)</f>
        <v>42816</v>
      </c>
      <c r="S431" s="195">
        <f>IF(IFERROR(INDEX('Both teabags AfterWet'!$C$3:$C$841,MATCH(H431,'Both teabags AfterWet'!$A$3:$A$841,0)),"")="N.A","",(IFERROR(INDEX('Both teabags AfterWet'!$C$3:$C$841,MATCH(H431,'Both teabags AfterWet'!$A$3:$A$841,0)),"")))</f>
        <v>0.59630000000000005</v>
      </c>
      <c r="T431" s="195">
        <f>IFERROR(INDEX('Both teabags AfterWet'!$C$3:$C$841,MATCH(I431,'Both teabags AfterWet'!$A$3:$A$841,0)),"")</f>
        <v>1.5604</v>
      </c>
      <c r="U431" s="195">
        <f t="shared" si="67"/>
        <v>0.44570000000000004</v>
      </c>
      <c r="V431" s="195">
        <f t="shared" si="67"/>
        <v>1.4097999999999999</v>
      </c>
      <c r="W431" s="195">
        <f>IFERROR(INDEX('Ashed teabags wet'!$K$2:$K$821,MATCH(H431,'Ashed teabags wet'!$A$2:$A$821,0)),"")</f>
        <v>12.676056338028079</v>
      </c>
      <c r="X431" s="195">
        <f>IFERROR(INDEX('Ashed teabags wet'!$K$2:$K$821,MATCH(I431,'Ashed teabags wet'!$A$2:$A$821,0)),"")</f>
        <v>6.5917968749991243</v>
      </c>
      <c r="Y431" s="195">
        <f t="shared" si="61"/>
        <v>0.3892028169014089</v>
      </c>
      <c r="Z431" s="195">
        <f t="shared" si="61"/>
        <v>1.3168688476562622</v>
      </c>
      <c r="AA431" s="195">
        <f t="shared" si="68"/>
        <v>0.77041623269408466</v>
      </c>
      <c r="AB431" s="195">
        <f t="shared" si="69"/>
        <v>0.50507097440277282</v>
      </c>
      <c r="AC431" s="195">
        <f t="shared" si="62"/>
        <v>0.66608192379429632</v>
      </c>
      <c r="AD431">
        <f t="shared" si="63"/>
        <v>54</v>
      </c>
      <c r="AE431" s="195">
        <f t="shared" si="70"/>
        <v>8.5016350719614442E-2</v>
      </c>
      <c r="AF431" s="195">
        <f t="shared" si="71"/>
        <v>2.0039660449486903E-2</v>
      </c>
      <c r="AG431" s="255" t="str">
        <f>IF(ISNUMBER(SEARCH("C",'WetLitterbags placem_collection'!AD358)),"YES","NO")</f>
        <v>NO</v>
      </c>
      <c r="AH431" s="255" t="str">
        <f>IF(ISNUMBER(SEARCH("H", 'WetLitterbags placem_collection'!AF138)),"YES","NO")</f>
        <v>NO</v>
      </c>
      <c r="AI431" s="255" t="str">
        <f>IF(ISNUMBER(SEARCH("R", 'WetLitterbags placem_collection'!XF138)),"YES","NO")</f>
        <v>NO</v>
      </c>
      <c r="AJ431" s="255" t="str">
        <f>IF(ISNUMBER(SEARCH("C", 'WetLitterbags placem_collection'!WE138)),"YES","NO")</f>
        <v>NO</v>
      </c>
      <c r="AK431" s="255" t="str">
        <f>IF(ISNUMBER(SEARCH("H", 'WetLitterbags placem_collection'!AE138)),"YES","NO")</f>
        <v>NO</v>
      </c>
      <c r="AL431" s="255" t="str">
        <f>IF(ISNUMBER(SEARCH("R", 'WetLitterbags placem_collection'!AE138)),"YES","NO")</f>
        <v>NO</v>
      </c>
    </row>
    <row r="432" spans="2:38">
      <c r="B432" t="str">
        <f>'Final data_for_R_analysis_Wetse'!A578</f>
        <v>Wet</v>
      </c>
      <c r="C432" s="263">
        <f>'Final data_for_R_analysis_Wetse'!B578</f>
        <v>137</v>
      </c>
      <c r="D432" t="s">
        <v>3848</v>
      </c>
      <c r="E432" t="s">
        <v>25</v>
      </c>
      <c r="F432" s="386">
        <v>1</v>
      </c>
      <c r="G432" s="16">
        <f>'WetLitterbags placem_collection'!E139</f>
        <v>42762</v>
      </c>
      <c r="H432" s="92" t="str">
        <f>'Final data_for_R_analysis_Wetse'!J578</f>
        <v>G857</v>
      </c>
      <c r="I432" t="str">
        <f>'Final data_for_R_analysis_Wetse'!J798</f>
        <v>R483</v>
      </c>
      <c r="J432">
        <f>IFERROR(INDEX('Green_rooibos initial weight'!$C$5:$C$1749,MATCH(H432, 'Green_rooibos initial weight'!$A$5:$A$1749,0)),"")</f>
        <v>1.927</v>
      </c>
      <c r="K432">
        <f>IFERROR(INDEX('Green_rooibos initial weight'!$C$5:$C$1749,MATCH(I432, 'Green_rooibos initial weight'!$A$5:$A$1749,0)),"")</f>
        <v>2.1970000000000001</v>
      </c>
      <c r="L432" s="195">
        <f t="shared" si="64"/>
        <v>1.6772</v>
      </c>
      <c r="M432" s="195">
        <f>AVERAGE(Ashed_controlls!$K$2:$K$11)</f>
        <v>5.5147656768714146</v>
      </c>
      <c r="N432" s="195">
        <f t="shared" si="60"/>
        <v>1.5847063500675127</v>
      </c>
      <c r="O432" s="195">
        <f t="shared" si="65"/>
        <v>1.9472</v>
      </c>
      <c r="P432" s="195">
        <f>AVERAGE(Ashed_controlls!$K$12:$K$14)</f>
        <v>2.2816647271287041</v>
      </c>
      <c r="Q432" s="195">
        <f t="shared" si="66"/>
        <v>1.90277142443335</v>
      </c>
      <c r="R432" s="16">
        <f>IF('WetLitterbags placem_collection'!G139="N.A","",'WetLitterbags placem_collection'!G139)</f>
        <v>42816</v>
      </c>
      <c r="S432" s="195">
        <f>IF(IFERROR(INDEX('Both teabags AfterWet'!$C$3:$C$841,MATCH(H432,'Both teabags AfterWet'!$A$3:$A$841,0)),"")="N.A","",(IFERROR(INDEX('Both teabags AfterWet'!$C$3:$C$841,MATCH(H432,'Both teabags AfterWet'!$A$3:$A$841,0)),"")))</f>
        <v>0.6</v>
      </c>
      <c r="T432" s="195">
        <f>IFERROR(INDEX('Both teabags AfterWet'!$C$3:$C$841,MATCH(I432,'Both teabags AfterWet'!$A$3:$A$841,0)),"")</f>
        <v>1.778</v>
      </c>
      <c r="U432" s="195">
        <f t="shared" si="67"/>
        <v>0.44939999999999997</v>
      </c>
      <c r="V432" s="195">
        <f t="shared" si="67"/>
        <v>1.6274</v>
      </c>
      <c r="W432" s="195">
        <f>IFERROR(INDEX('Ashed teabags wet'!$K$2:$K$821,MATCH(H432,'Ashed teabags wet'!$A$2:$A$821,0)),"")</f>
        <v>14.85963213939962</v>
      </c>
      <c r="X432" s="195">
        <f>IFERROR(INDEX('Ashed teabags wet'!$K$2:$K$821,MATCH(I432,'Ashed teabags wet'!$A$2:$A$821,0)),"")</f>
        <v>11.371400683259917</v>
      </c>
      <c r="Y432" s="195">
        <f t="shared" si="61"/>
        <v>0.38262081316553809</v>
      </c>
      <c r="Z432" s="195">
        <f t="shared" si="61"/>
        <v>1.4423418252806282</v>
      </c>
      <c r="AA432" s="195">
        <f t="shared" si="68"/>
        <v>0.75855412382916398</v>
      </c>
      <c r="AB432" s="195">
        <f t="shared" si="69"/>
        <v>0.49729438996876313</v>
      </c>
      <c r="AC432" s="195">
        <f t="shared" si="62"/>
        <v>0.75802159248327006</v>
      </c>
      <c r="AD432">
        <f t="shared" si="63"/>
        <v>54</v>
      </c>
      <c r="AE432" s="195">
        <f t="shared" si="70"/>
        <v>9.9104365998617605E-2</v>
      </c>
      <c r="AF432" s="195">
        <f t="shared" si="71"/>
        <v>1.2345930736240645E-2</v>
      </c>
      <c r="AG432" s="255" t="str">
        <f>IF(ISNUMBER(SEARCH("C",'WetLitterbags placem_collection'!AD359)),"YES","NO")</f>
        <v>NO</v>
      </c>
      <c r="AH432" s="255" t="str">
        <f>IF(ISNUMBER(SEARCH("H", 'WetLitterbags placem_collection'!AF139)),"YES","NO")</f>
        <v>NO</v>
      </c>
      <c r="AI432" s="255" t="str">
        <f>IF(ISNUMBER(SEARCH("R", 'WetLitterbags placem_collection'!XF139)),"YES","NO")</f>
        <v>NO</v>
      </c>
      <c r="AJ432" s="255" t="str">
        <f>IF(ISNUMBER(SEARCH("C", 'WetLitterbags placem_collection'!WE139)),"YES","NO")</f>
        <v>NO</v>
      </c>
      <c r="AK432" s="255" t="str">
        <f>IF(ISNUMBER(SEARCH("H", 'WetLitterbags placem_collection'!AE139)),"YES","NO")</f>
        <v>NO</v>
      </c>
      <c r="AL432" s="255" t="str">
        <f>IF(ISNUMBER(SEARCH("R", 'WetLitterbags placem_collection'!AE139)),"YES","NO")</f>
        <v>NO</v>
      </c>
    </row>
    <row r="433" spans="2:38">
      <c r="B433" t="str">
        <f>'Final data_for_R_analysis_Wetse'!A579</f>
        <v>Wet</v>
      </c>
      <c r="C433" s="263">
        <f>'Final data_for_R_analysis_Wetse'!B579</f>
        <v>138</v>
      </c>
      <c r="D433" t="s">
        <v>3848</v>
      </c>
      <c r="E433" t="s">
        <v>25</v>
      </c>
      <c r="F433" s="386">
        <v>2</v>
      </c>
      <c r="G433" s="16">
        <f>'WetLitterbags placem_collection'!E140</f>
        <v>42762</v>
      </c>
      <c r="H433" s="92" t="str">
        <f>'Final data_for_R_analysis_Wetse'!J579</f>
        <v>G623</v>
      </c>
      <c r="I433" t="str">
        <f>'Final data_for_R_analysis_Wetse'!J799</f>
        <v>R21</v>
      </c>
      <c r="J433">
        <f>IFERROR(INDEX('Green_rooibos initial weight'!$C$5:$C$1749,MATCH(H433, 'Green_rooibos initial weight'!$A$5:$A$1749,0)),"")</f>
        <v>2.1040000000000001</v>
      </c>
      <c r="K433">
        <f>IFERROR(INDEX('Green_rooibos initial weight'!$C$5:$C$1749,MATCH(I433, 'Green_rooibos initial weight'!$A$5:$A$1749,0)),"")</f>
        <v>2.0249999999999999</v>
      </c>
      <c r="L433" s="195">
        <f t="shared" si="64"/>
        <v>1.8542000000000001</v>
      </c>
      <c r="M433" s="195">
        <f>AVERAGE(Ashed_controlls!$K$2:$K$11)</f>
        <v>5.5147656768714146</v>
      </c>
      <c r="N433" s="195">
        <f t="shared" si="60"/>
        <v>1.7519452148194503</v>
      </c>
      <c r="O433" s="195">
        <f t="shared" si="65"/>
        <v>1.7751999999999999</v>
      </c>
      <c r="P433" s="195">
        <f>AVERAGE(Ashed_controlls!$K$12:$K$14)</f>
        <v>2.2816647271287041</v>
      </c>
      <c r="Q433" s="195">
        <f t="shared" si="66"/>
        <v>1.7346958877640111</v>
      </c>
      <c r="R433" s="16">
        <f>IF('WetLitterbags placem_collection'!G140="N.A","",'WetLitterbags placem_collection'!G140)</f>
        <v>42816</v>
      </c>
      <c r="S433" s="195">
        <f>IF(IFERROR(INDEX('Both teabags AfterWet'!$C$3:$C$841,MATCH(H433,'Both teabags AfterWet'!$A$3:$A$841,0)),"")="N.A","",(IFERROR(INDEX('Both teabags AfterWet'!$C$3:$C$841,MATCH(H433,'Both teabags AfterWet'!$A$3:$A$841,0)),"")))</f>
        <v>0.64800000000000002</v>
      </c>
      <c r="T433" s="195">
        <f>IFERROR(INDEX('Both teabags AfterWet'!$C$3:$C$841,MATCH(I433,'Both teabags AfterWet'!$A$3:$A$841,0)),"")</f>
        <v>1.522</v>
      </c>
      <c r="U433" s="195">
        <f t="shared" si="67"/>
        <v>0.49740000000000001</v>
      </c>
      <c r="V433" s="195">
        <f t="shared" si="67"/>
        <v>1.3714</v>
      </c>
      <c r="W433" s="195">
        <f>IFERROR(INDEX('Ashed teabags wet'!$K$2:$K$821,MATCH(H433,'Ashed teabags wet'!$A$2:$A$821,0)),"")</f>
        <v>12.94176207068146</v>
      </c>
      <c r="X433" s="195">
        <f>IFERROR(INDEX('Ashed teabags wet'!$K$2:$K$821,MATCH(I433,'Ashed teabags wet'!$A$2:$A$821,0)),"")</f>
        <v>5.1369863013697721</v>
      </c>
      <c r="Y433" s="195">
        <f t="shared" si="61"/>
        <v>0.43302767546043042</v>
      </c>
      <c r="Z433" s="195">
        <f t="shared" si="61"/>
        <v>1.3009513698630149</v>
      </c>
      <c r="AA433" s="195">
        <f t="shared" si="68"/>
        <v>0.75283035576825563</v>
      </c>
      <c r="AB433" s="195">
        <f t="shared" si="69"/>
        <v>0.49354199095496104</v>
      </c>
      <c r="AC433" s="195">
        <f t="shared" si="62"/>
        <v>0.74995933237607171</v>
      </c>
      <c r="AD433">
        <f t="shared" si="63"/>
        <v>54</v>
      </c>
      <c r="AE433" s="195">
        <f t="shared" si="70"/>
        <v>0.10590219029898373</v>
      </c>
      <c r="AF433" s="195">
        <f t="shared" si="71"/>
        <v>1.3083066040298965E-2</v>
      </c>
      <c r="AG433" s="255" t="str">
        <f>IF(ISNUMBER(SEARCH("C",'WetLitterbags placem_collection'!AD360)),"YES","NO")</f>
        <v>NO</v>
      </c>
      <c r="AH433" s="255" t="str">
        <f>IF(ISNUMBER(SEARCH("H", 'WetLitterbags placem_collection'!AF140)),"YES","NO")</f>
        <v>NO</v>
      </c>
      <c r="AI433" s="255" t="str">
        <f>IF(ISNUMBER(SEARCH("R", 'WetLitterbags placem_collection'!XF140)),"YES","NO")</f>
        <v>NO</v>
      </c>
      <c r="AJ433" s="255" t="str">
        <f>IF(ISNUMBER(SEARCH("C", 'WetLitterbags placem_collection'!WE140)),"YES","NO")</f>
        <v>NO</v>
      </c>
      <c r="AK433" s="255" t="str">
        <f>IF(ISNUMBER(SEARCH("H", 'WetLitterbags placem_collection'!AE140)),"YES","NO")</f>
        <v>NO</v>
      </c>
      <c r="AL433" s="255" t="str">
        <f>IF(ISNUMBER(SEARCH("R", 'WetLitterbags placem_collection'!AE140)),"YES","NO")</f>
        <v>NO</v>
      </c>
    </row>
    <row r="434" spans="2:38">
      <c r="B434" t="str">
        <f>'Final data_for_R_analysis_Wetse'!A580</f>
        <v>Wet</v>
      </c>
      <c r="C434" s="263">
        <f>'Final data_for_R_analysis_Wetse'!B580</f>
        <v>139</v>
      </c>
      <c r="D434" t="s">
        <v>3848</v>
      </c>
      <c r="E434" t="s">
        <v>25</v>
      </c>
      <c r="F434" s="386">
        <v>3</v>
      </c>
      <c r="G434" s="16">
        <f>'WetLitterbags placem_collection'!E141</f>
        <v>42762</v>
      </c>
      <c r="H434" s="92" t="str">
        <f>'Final data_for_R_analysis_Wetse'!J580</f>
        <v>G880</v>
      </c>
      <c r="I434" t="str">
        <f>'Final data_for_R_analysis_Wetse'!J800</f>
        <v>R538</v>
      </c>
      <c r="J434">
        <f>IFERROR(INDEX('Green_rooibos initial weight'!$C$5:$C$1749,MATCH(H434, 'Green_rooibos initial weight'!$A$5:$A$1749,0)),"")</f>
        <v>2.1030000000000002</v>
      </c>
      <c r="K434">
        <f>IFERROR(INDEX('Green_rooibos initial weight'!$C$5:$C$1749,MATCH(I434, 'Green_rooibos initial weight'!$A$5:$A$1749,0)),"")</f>
        <v>2.2000000000000002</v>
      </c>
      <c r="L434" s="195">
        <f t="shared" si="64"/>
        <v>1.8532000000000002</v>
      </c>
      <c r="M434" s="195">
        <f>AVERAGE(Ashed_controlls!$K$2:$K$11)</f>
        <v>5.5147656768714146</v>
      </c>
      <c r="N434" s="195">
        <f t="shared" si="60"/>
        <v>1.7510003624762192</v>
      </c>
      <c r="O434" s="195">
        <f t="shared" si="65"/>
        <v>1.9502000000000002</v>
      </c>
      <c r="P434" s="195">
        <f>AVERAGE(Ashed_controlls!$K$12:$K$14)</f>
        <v>2.2816647271287041</v>
      </c>
      <c r="Q434" s="195">
        <f t="shared" si="66"/>
        <v>1.9057029744915361</v>
      </c>
      <c r="R434" s="16">
        <f>IF('WetLitterbags placem_collection'!G141="N.A","",'WetLitterbags placem_collection'!G141)</f>
        <v>42816</v>
      </c>
      <c r="S434" s="195">
        <f>IF(IFERROR(INDEX('Both teabags AfterWet'!$C$3:$C$841,MATCH(H434,'Both teabags AfterWet'!$A$3:$A$841,0)),"")="N.A","",(IFERROR(INDEX('Both teabags AfterWet'!$C$3:$C$841,MATCH(H434,'Both teabags AfterWet'!$A$3:$A$841,0)),"")))</f>
        <v>0.73599999999999999</v>
      </c>
      <c r="T434" s="195">
        <f>IFERROR(INDEX('Both teabags AfterWet'!$C$3:$C$841,MATCH(I434,'Both teabags AfterWet'!$A$3:$A$841,0)),"")</f>
        <v>1.415</v>
      </c>
      <c r="U434" s="195">
        <f t="shared" si="67"/>
        <v>0.58539999999999992</v>
      </c>
      <c r="V434" s="195">
        <f t="shared" si="67"/>
        <v>1.2644</v>
      </c>
      <c r="W434" s="195">
        <f>IFERROR(INDEX('Ashed teabags wet'!$K$2:$K$821,MATCH(H434,'Ashed teabags wet'!$A$2:$A$821,0)),"")</f>
        <v>26.073926073925342</v>
      </c>
      <c r="X434" s="195">
        <f>IFERROR(INDEX('Ashed teabags wet'!$K$2:$K$821,MATCH(I434,'Ashed teabags wet'!$A$2:$A$821,0)),"")</f>
        <v>10.337972166998611</v>
      </c>
      <c r="Y434" s="195">
        <f t="shared" si="61"/>
        <v>0.43276323676324102</v>
      </c>
      <c r="Z434" s="195">
        <f t="shared" si="61"/>
        <v>1.1336866799204695</v>
      </c>
      <c r="AA434" s="195">
        <f t="shared" si="68"/>
        <v>0.75284800275470043</v>
      </c>
      <c r="AB434" s="195">
        <f t="shared" si="69"/>
        <v>0.49355356000070627</v>
      </c>
      <c r="AC434" s="195">
        <f t="shared" si="62"/>
        <v>0.59489159386076429</v>
      </c>
      <c r="AD434">
        <f t="shared" si="63"/>
        <v>54</v>
      </c>
      <c r="AE434" s="195">
        <f t="shared" si="70"/>
        <v>0.10588123188277854</v>
      </c>
      <c r="AF434" s="195">
        <f t="shared" si="71"/>
        <v>3.1837939895645644E-2</v>
      </c>
      <c r="AG434" s="255" t="str">
        <f>IF(ISNUMBER(SEARCH("C",'WetLitterbags placem_collection'!AD361)),"YES","NO")</f>
        <v>NO</v>
      </c>
      <c r="AH434" s="255" t="str">
        <f>IF(ISNUMBER(SEARCH("H", 'WetLitterbags placem_collection'!AF141)),"YES","NO")</f>
        <v>NO</v>
      </c>
      <c r="AI434" s="255" t="str">
        <f>IF(ISNUMBER(SEARCH("R", 'WetLitterbags placem_collection'!XF141)),"YES","NO")</f>
        <v>NO</v>
      </c>
      <c r="AJ434" s="255" t="str">
        <f>IF(ISNUMBER(SEARCH("C", 'WetLitterbags placem_collection'!WE141)),"YES","NO")</f>
        <v>NO</v>
      </c>
      <c r="AK434" s="255" t="str">
        <f>IF(ISNUMBER(SEARCH("H", 'WetLitterbags placem_collection'!AE141)),"YES","NO")</f>
        <v>NO</v>
      </c>
      <c r="AL434" s="255" t="str">
        <f>IF(ISNUMBER(SEARCH("R", 'WetLitterbags placem_collection'!AE141)),"YES","NO")</f>
        <v>NO</v>
      </c>
    </row>
    <row r="435" spans="2:38">
      <c r="B435" t="str">
        <f>'Final data_for_R_analysis_Wetse'!A581</f>
        <v>Wet</v>
      </c>
      <c r="C435" s="263">
        <f>'Final data_for_R_analysis_Wetse'!B581</f>
        <v>140</v>
      </c>
      <c r="D435" t="s">
        <v>3848</v>
      </c>
      <c r="E435" t="s">
        <v>25</v>
      </c>
      <c r="F435" s="387">
        <v>4</v>
      </c>
      <c r="G435" s="16">
        <f>'WetLitterbags placem_collection'!E142</f>
        <v>42762</v>
      </c>
      <c r="H435" s="92" t="str">
        <f>'Final data_for_R_analysis_Wetse'!J581</f>
        <v>G706</v>
      </c>
      <c r="I435" t="str">
        <f>'Final data_for_R_analysis_Wetse'!J801</f>
        <v>R559</v>
      </c>
      <c r="J435">
        <f>IFERROR(INDEX('Green_rooibos initial weight'!$C$5:$C$1749,MATCH(H435, 'Green_rooibos initial weight'!$A$5:$A$1749,0)),"")</f>
        <v>1.9450000000000001</v>
      </c>
      <c r="K435">
        <f>IFERROR(INDEX('Green_rooibos initial weight'!$C$5:$C$1749,MATCH(I435, 'Green_rooibos initial weight'!$A$5:$A$1749,0)),"")</f>
        <v>2.161</v>
      </c>
      <c r="L435" s="195">
        <f t="shared" si="64"/>
        <v>1.6952</v>
      </c>
      <c r="M435" s="195">
        <f>AVERAGE(Ashed_controlls!$K$2:$K$11)</f>
        <v>5.5147656768714146</v>
      </c>
      <c r="N435" s="195">
        <f t="shared" si="60"/>
        <v>1.6017136922456758</v>
      </c>
      <c r="O435" s="195">
        <f t="shared" si="65"/>
        <v>1.9112</v>
      </c>
      <c r="P435" s="195">
        <f>AVERAGE(Ashed_controlls!$K$12:$K$14)</f>
        <v>2.2816647271287041</v>
      </c>
      <c r="Q435" s="195">
        <f t="shared" si="66"/>
        <v>1.8675928237351163</v>
      </c>
      <c r="R435" s="16">
        <f>IF('WetLitterbags placem_collection'!G142="N.A","",'WetLitterbags placem_collection'!G142)</f>
        <v>42816</v>
      </c>
      <c r="S435" s="195">
        <f>IF(IFERROR(INDEX('Both teabags AfterWet'!$C$3:$C$841,MATCH(H435,'Both teabags AfterWet'!$A$3:$A$841,0)),"")="N.A","",(IFERROR(INDEX('Both teabags AfterWet'!$C$3:$C$841,MATCH(H435,'Both teabags AfterWet'!$A$3:$A$841,0)),"")))</f>
        <v>0.60780000000000001</v>
      </c>
      <c r="T435" s="195">
        <f>IFERROR(INDEX('Both teabags AfterWet'!$C$3:$C$841,MATCH(I435,'Both teabags AfterWet'!$A$3:$A$841,0)),"")</f>
        <v>1.6634</v>
      </c>
      <c r="U435" s="195">
        <f t="shared" si="67"/>
        <v>0.4572</v>
      </c>
      <c r="V435" s="195">
        <f t="shared" si="67"/>
        <v>1.5127999999999999</v>
      </c>
      <c r="W435" s="195">
        <f>IFERROR(INDEX('Ashed teabags wet'!$K$2:$K$821,MATCH(H435,'Ashed teabags wet'!$A$2:$A$821,0)),"")</f>
        <v>17.486338797814145</v>
      </c>
      <c r="X435" s="195">
        <f>IFERROR(INDEX('Ashed teabags wet'!$K$2:$K$821,MATCH(I435,'Ashed teabags wet'!$A$2:$A$821,0)),"")</f>
        <v>11.767508337303465</v>
      </c>
      <c r="Y435" s="195">
        <f t="shared" si="61"/>
        <v>0.3772524590163937</v>
      </c>
      <c r="Z435" s="195">
        <f t="shared" si="61"/>
        <v>1.3347811338732731</v>
      </c>
      <c r="AA435" s="195">
        <f t="shared" si="68"/>
        <v>0.76446947988097147</v>
      </c>
      <c r="AB435" s="195">
        <f t="shared" si="69"/>
        <v>0.50117239061080321</v>
      </c>
      <c r="AC435" s="195">
        <f t="shared" si="62"/>
        <v>0.71470671599806235</v>
      </c>
      <c r="AD435">
        <f t="shared" si="63"/>
        <v>54</v>
      </c>
      <c r="AE435" s="195">
        <f t="shared" si="70"/>
        <v>9.2079002516660902E-2</v>
      </c>
      <c r="AF435" s="195">
        <f t="shared" si="71"/>
        <v>1.5596881028912043E-2</v>
      </c>
      <c r="AG435" s="255" t="str">
        <f>IF(ISNUMBER(SEARCH("C",'WetLitterbags placem_collection'!AD362)),"YES","NO")</f>
        <v>NO</v>
      </c>
      <c r="AH435" s="255" t="str">
        <f>IF(ISNUMBER(SEARCH("H", 'WetLitterbags placem_collection'!AF142)),"YES","NO")</f>
        <v>NO</v>
      </c>
      <c r="AI435" s="255" t="str">
        <f>IF(ISNUMBER(SEARCH("R", 'WetLitterbags placem_collection'!XF142)),"YES","NO")</f>
        <v>NO</v>
      </c>
      <c r="AJ435" s="255" t="str">
        <f>IF(ISNUMBER(SEARCH("C", 'WetLitterbags placem_collection'!WE142)),"YES","NO")</f>
        <v>NO</v>
      </c>
      <c r="AK435" s="255" t="str">
        <f>IF(ISNUMBER(SEARCH("H", 'WetLitterbags placem_collection'!AE142)),"YES","NO")</f>
        <v>NO</v>
      </c>
      <c r="AL435" s="255" t="str">
        <f>IF(ISNUMBER(SEARCH("R", 'WetLitterbags placem_collection'!AE142)),"YES","NO")</f>
        <v>NO</v>
      </c>
    </row>
    <row r="436" spans="2:38">
      <c r="B436" t="str">
        <f>'Final data_for_R_analysis_Wetse'!A582</f>
        <v>Wet</v>
      </c>
      <c r="C436" s="263">
        <f>'Final data_for_R_analysis_Wetse'!B582</f>
        <v>141</v>
      </c>
      <c r="D436" t="s">
        <v>3848</v>
      </c>
      <c r="E436" t="s">
        <v>25</v>
      </c>
      <c r="F436" s="387">
        <v>5</v>
      </c>
      <c r="G436" s="16">
        <f>'WetLitterbags placem_collection'!E143</f>
        <v>42762</v>
      </c>
      <c r="H436" s="92" t="str">
        <f>'Final data_for_R_analysis_Wetse'!J582</f>
        <v>G775</v>
      </c>
      <c r="I436" t="str">
        <f>'Final data_for_R_analysis_Wetse'!J802</f>
        <v>R465</v>
      </c>
      <c r="J436">
        <f>IFERROR(INDEX('Green_rooibos initial weight'!$C$5:$C$1749,MATCH(H436, 'Green_rooibos initial weight'!$A$5:$A$1749,0)),"")</f>
        <v>2.1389999999999998</v>
      </c>
      <c r="K436">
        <f>IFERROR(INDEX('Green_rooibos initial weight'!$C$5:$C$1749,MATCH(I436, 'Green_rooibos initial weight'!$A$5:$A$1749,0)),"")</f>
        <v>2.206</v>
      </c>
      <c r="L436" s="195">
        <f t="shared" si="64"/>
        <v>1.8891999999999998</v>
      </c>
      <c r="M436" s="195">
        <f>AVERAGE(Ashed_controlls!$K$2:$K$11)</f>
        <v>5.5147656768714146</v>
      </c>
      <c r="N436" s="195">
        <f t="shared" si="60"/>
        <v>1.785015046832545</v>
      </c>
      <c r="O436" s="195">
        <f t="shared" si="65"/>
        <v>1.9561999999999999</v>
      </c>
      <c r="P436" s="195">
        <f>AVERAGE(Ashed_controlls!$K$12:$K$14)</f>
        <v>2.2816647271287041</v>
      </c>
      <c r="Q436" s="195">
        <f t="shared" si="66"/>
        <v>1.9115660746079082</v>
      </c>
      <c r="R436" s="16">
        <f>IF('WetLitterbags placem_collection'!G143="N.A","",'WetLitterbags placem_collection'!G143)</f>
        <v>42816</v>
      </c>
      <c r="S436" s="195">
        <f>IF(IFERROR(INDEX('Both teabags AfterWet'!$C$3:$C$841,MATCH(H436,'Both teabags AfterWet'!$A$3:$A$841,0)),"")="N.A","",(IFERROR(INDEX('Both teabags AfterWet'!$C$3:$C$841,MATCH(H436,'Both teabags AfterWet'!$A$3:$A$841,0)),"")))</f>
        <v>0.69099999999999995</v>
      </c>
      <c r="T436" s="195">
        <f>IFERROR(INDEX('Both teabags AfterWet'!$C$3:$C$841,MATCH(I436,'Both teabags AfterWet'!$A$3:$A$841,0)),"")</f>
        <v>1.6759999999999999</v>
      </c>
      <c r="U436" s="195">
        <f t="shared" si="67"/>
        <v>0.54039999999999999</v>
      </c>
      <c r="V436" s="195">
        <f t="shared" si="67"/>
        <v>1.5253999999999999</v>
      </c>
      <c r="W436" s="195">
        <f>IFERROR(INDEX('Ashed teabags wet'!$K$2:$K$821,MATCH(H436,'Ashed teabags wet'!$A$2:$A$821,0)),"")</f>
        <v>23.031496062992296</v>
      </c>
      <c r="X436" s="195">
        <f>IFERROR(INDEX('Ashed teabags wet'!$K$2:$K$821,MATCH(I436,'Ashed teabags wet'!$A$2:$A$821,0)),"")</f>
        <v>2.2604422604422161</v>
      </c>
      <c r="Y436" s="195">
        <f t="shared" si="61"/>
        <v>0.41593779527558961</v>
      </c>
      <c r="Z436" s="195">
        <f t="shared" si="61"/>
        <v>1.4909192137592142</v>
      </c>
      <c r="AA436" s="195">
        <f t="shared" si="68"/>
        <v>0.76698359153125428</v>
      </c>
      <c r="AB436" s="195">
        <f t="shared" si="69"/>
        <v>0.50282059682334013</v>
      </c>
      <c r="AC436" s="195">
        <f t="shared" si="62"/>
        <v>0.77994647088776403</v>
      </c>
      <c r="AD436">
        <f t="shared" si="63"/>
        <v>54</v>
      </c>
      <c r="AE436" s="195">
        <f t="shared" si="70"/>
        <v>8.9093121696847577E-2</v>
      </c>
      <c r="AF436" s="195">
        <f t="shared" si="71"/>
        <v>1.0659443772071734E-2</v>
      </c>
      <c r="AG436" s="255" t="str">
        <f>IF(ISNUMBER(SEARCH("C",'WetLitterbags placem_collection'!AD363)),"YES","NO")</f>
        <v>NO</v>
      </c>
      <c r="AH436" s="255" t="str">
        <f>IF(ISNUMBER(SEARCH("H", 'WetLitterbags placem_collection'!AF143)),"YES","NO")</f>
        <v>NO</v>
      </c>
      <c r="AI436" s="255" t="str">
        <f>IF(ISNUMBER(SEARCH("R", 'WetLitterbags placem_collection'!XF143)),"YES","NO")</f>
        <v>NO</v>
      </c>
      <c r="AJ436" s="255" t="str">
        <f>IF(ISNUMBER(SEARCH("C", 'WetLitterbags placem_collection'!WE143)),"YES","NO")</f>
        <v>NO</v>
      </c>
      <c r="AK436" s="255" t="str">
        <f>IF(ISNUMBER(SEARCH("H", 'WetLitterbags placem_collection'!AE143)),"YES","NO")</f>
        <v>NO</v>
      </c>
      <c r="AL436" s="255" t="str">
        <f>IF(ISNUMBER(SEARCH("R", 'WetLitterbags placem_collection'!AE143)),"YES","NO")</f>
        <v>NO</v>
      </c>
    </row>
    <row r="437" spans="2:38">
      <c r="B437" t="str">
        <f>'Final data_for_R_analysis_Wetse'!A583</f>
        <v>Wet</v>
      </c>
      <c r="C437" s="263">
        <f>'Final data_for_R_analysis_Wetse'!B583</f>
        <v>142</v>
      </c>
      <c r="D437" t="s">
        <v>3848</v>
      </c>
      <c r="E437" t="s">
        <v>25</v>
      </c>
      <c r="F437" s="387">
        <v>6</v>
      </c>
      <c r="G437" s="16">
        <f>'WetLitterbags placem_collection'!E144</f>
        <v>42762</v>
      </c>
      <c r="H437" s="92" t="str">
        <f>'Final data_for_R_analysis_Wetse'!J583</f>
        <v>G850</v>
      </c>
      <c r="I437" t="str">
        <f>'Final data_for_R_analysis_Wetse'!J803</f>
        <v>R503</v>
      </c>
      <c r="J437">
        <f>IFERROR(INDEX('Green_rooibos initial weight'!$C$5:$C$1749,MATCH(H437, 'Green_rooibos initial weight'!$A$5:$A$1749,0)),"")</f>
        <v>2.0379999999999998</v>
      </c>
      <c r="K437">
        <f>IFERROR(INDEX('Green_rooibos initial weight'!$C$5:$C$1749,MATCH(I437, 'Green_rooibos initial weight'!$A$5:$A$1749,0)),"")</f>
        <v>2.1709999999999998</v>
      </c>
      <c r="L437" s="195">
        <f t="shared" si="64"/>
        <v>1.7881999999999998</v>
      </c>
      <c r="M437" s="195">
        <f>AVERAGE(Ashed_controlls!$K$2:$K$11)</f>
        <v>5.5147656768714146</v>
      </c>
      <c r="N437" s="195">
        <f t="shared" si="60"/>
        <v>1.6895849601661852</v>
      </c>
      <c r="O437" s="195">
        <f t="shared" si="65"/>
        <v>1.9211999999999998</v>
      </c>
      <c r="P437" s="195">
        <f>AVERAGE(Ashed_controlls!$K$12:$K$14)</f>
        <v>2.2816647271287041</v>
      </c>
      <c r="Q437" s="195">
        <f t="shared" si="66"/>
        <v>1.8773646572624032</v>
      </c>
      <c r="R437" s="16">
        <f>IF('WetLitterbags placem_collection'!G144="N.A","",'WetLitterbags placem_collection'!G144)</f>
        <v>42816</v>
      </c>
      <c r="S437" s="195">
        <f>IF(IFERROR(INDEX('Both teabags AfterWet'!$C$3:$C$841,MATCH(H437,'Both teabags AfterWet'!$A$3:$A$841,0)),"")="N.A","",(IFERROR(INDEX('Both teabags AfterWet'!$C$3:$C$841,MATCH(H437,'Both teabags AfterWet'!$A$3:$A$841,0)),"")))</f>
        <v>0.78500000000000003</v>
      </c>
      <c r="T437" s="195" t="str">
        <f>IFERROR(INDEX('Both teabags AfterWet'!$C$3:$C$841,MATCH(I437,'Both teabags AfterWet'!$A$3:$A$841,0)),"")</f>
        <v/>
      </c>
      <c r="U437" s="195">
        <f t="shared" si="67"/>
        <v>0.63440000000000007</v>
      </c>
      <c r="V437" s="195" t="str">
        <f t="shared" si="67"/>
        <v/>
      </c>
      <c r="W437" s="195">
        <f>IFERROR(INDEX('Ashed teabags wet'!$K$2:$K$821,MATCH(H437,'Ashed teabags wet'!$A$2:$A$821,0)),"")</f>
        <v>14.780029658923441</v>
      </c>
      <c r="X437" s="195" t="str">
        <f>IFERROR(INDEX('Ashed teabags wet'!$K$2:$K$821,MATCH(I437,'Ashed teabags wet'!$A$2:$A$821,0)),"")</f>
        <v/>
      </c>
      <c r="Y437" s="195">
        <f t="shared" si="61"/>
        <v>0.54063549184378978</v>
      </c>
      <c r="Z437" s="195" t="str">
        <f t="shared" si="61"/>
        <v/>
      </c>
      <c r="AA437" s="195">
        <f t="shared" si="68"/>
        <v>0.68001875928712474</v>
      </c>
      <c r="AB437" s="195">
        <f t="shared" si="69"/>
        <v>0.44580802271554976</v>
      </c>
      <c r="AC437" s="195" t="str">
        <f t="shared" si="62"/>
        <v/>
      </c>
      <c r="AD437">
        <f t="shared" si="63"/>
        <v>54</v>
      </c>
      <c r="AE437" s="195">
        <f t="shared" si="70"/>
        <v>0.19237677044284474</v>
      </c>
      <c r="AF437" s="195" t="str">
        <f t="shared" si="71"/>
        <v/>
      </c>
      <c r="AG437" s="255" t="str">
        <f>IF(ISNUMBER(SEARCH("C",'WetLitterbags placem_collection'!AD364)),"YES","NO")</f>
        <v>NO</v>
      </c>
      <c r="AH437" s="255" t="str">
        <f>IF(ISNUMBER(SEARCH("H", 'WetLitterbags placem_collection'!AF144)),"YES","NO")</f>
        <v>NO</v>
      </c>
      <c r="AI437" s="255" t="str">
        <f>IF(ISNUMBER(SEARCH("R", 'WetLitterbags placem_collection'!XF144)),"YES","NO")</f>
        <v>NO</v>
      </c>
      <c r="AJ437" s="255" t="str">
        <f>IF(ISNUMBER(SEARCH("C", 'WetLitterbags placem_collection'!WE144)),"YES","NO")</f>
        <v>NO</v>
      </c>
      <c r="AK437" s="255" t="str">
        <f>IF(ISNUMBER(SEARCH("H", 'WetLitterbags placem_collection'!AE144)),"YES","NO")</f>
        <v>NO</v>
      </c>
      <c r="AL437" s="255" t="str">
        <f>IF(ISNUMBER(SEARCH("R", 'WetLitterbags placem_collection'!AE144)),"YES","NO")</f>
        <v>NO</v>
      </c>
    </row>
    <row r="438" spans="2:38">
      <c r="B438" t="str">
        <f>'Final data_for_R_analysis_Wetse'!A584</f>
        <v>Wet</v>
      </c>
      <c r="C438" s="263">
        <f>'Final data_for_R_analysis_Wetse'!B584</f>
        <v>143</v>
      </c>
      <c r="D438" t="s">
        <v>3848</v>
      </c>
      <c r="E438" t="s">
        <v>25</v>
      </c>
      <c r="F438" s="387">
        <v>7</v>
      </c>
      <c r="G438" s="16">
        <f>'WetLitterbags placem_collection'!E145</f>
        <v>42762</v>
      </c>
      <c r="H438" s="92" t="str">
        <f>'Final data_for_R_analysis_Wetse'!J584</f>
        <v>G697</v>
      </c>
      <c r="I438" t="str">
        <f>'Final data_for_R_analysis_Wetse'!J804</f>
        <v>R567</v>
      </c>
      <c r="J438">
        <f>IFERROR(INDEX('Green_rooibos initial weight'!$C$5:$C$1749,MATCH(H438, 'Green_rooibos initial weight'!$A$5:$A$1749,0)),"")</f>
        <v>2.1110000000000002</v>
      </c>
      <c r="K438">
        <f>IFERROR(INDEX('Green_rooibos initial weight'!$C$5:$C$1749,MATCH(I438, 'Green_rooibos initial weight'!$A$5:$A$1749,0)),"")</f>
        <v>2.097</v>
      </c>
      <c r="L438" s="195">
        <f t="shared" si="64"/>
        <v>1.8612000000000002</v>
      </c>
      <c r="M438" s="195">
        <f>AVERAGE(Ashed_controlls!$K$2:$K$11)</f>
        <v>5.5147656768714146</v>
      </c>
      <c r="N438" s="195">
        <f t="shared" si="60"/>
        <v>1.7585591812220693</v>
      </c>
      <c r="O438" s="195">
        <f t="shared" si="65"/>
        <v>1.8472</v>
      </c>
      <c r="P438" s="195">
        <f>AVERAGE(Ashed_controlls!$K$12:$K$14)</f>
        <v>2.2816647271287041</v>
      </c>
      <c r="Q438" s="195">
        <f t="shared" si="66"/>
        <v>1.8050530891604786</v>
      </c>
      <c r="R438" s="16">
        <f>IF('WetLitterbags placem_collection'!G145="N.A","",'WetLitterbags placem_collection'!G145)</f>
        <v>42816</v>
      </c>
      <c r="S438" s="195">
        <f>IF(IFERROR(INDEX('Both teabags AfterWet'!$C$3:$C$841,MATCH(H438,'Both teabags AfterWet'!$A$3:$A$841,0)),"")="N.A","",(IFERROR(INDEX('Both teabags AfterWet'!$C$3:$C$841,MATCH(H438,'Both teabags AfterWet'!$A$3:$A$841,0)),"")))</f>
        <v>0.67500000000000004</v>
      </c>
      <c r="T438" s="195">
        <f>IFERROR(INDEX('Both teabags AfterWet'!$C$3:$C$841,MATCH(I438,'Both teabags AfterWet'!$A$3:$A$841,0)),"")</f>
        <v>1.5908</v>
      </c>
      <c r="U438" s="195">
        <f t="shared" si="67"/>
        <v>0.52439999999999998</v>
      </c>
      <c r="V438" s="195">
        <f t="shared" si="67"/>
        <v>1.4401999999999999</v>
      </c>
      <c r="W438" s="195">
        <f>IFERROR(INDEX('Ashed teabags wet'!$K$2:$K$821,MATCH(H438,'Ashed teabags wet'!$A$2:$A$821,0)),"")</f>
        <v>17.52988047808789</v>
      </c>
      <c r="X438" s="195">
        <f>IFERROR(INDEX('Ashed teabags wet'!$K$2:$K$821,MATCH(I438,'Ashed teabags wet'!$A$2:$A$821,0)),"")</f>
        <v>3.9043435822355246</v>
      </c>
      <c r="Y438" s="195">
        <f t="shared" si="61"/>
        <v>0.43247330677290707</v>
      </c>
      <c r="Z438" s="195">
        <f t="shared" si="61"/>
        <v>1.383969643728644</v>
      </c>
      <c r="AA438" s="195">
        <f t="shared" si="68"/>
        <v>0.75407520463862354</v>
      </c>
      <c r="AB438" s="195">
        <f t="shared" si="69"/>
        <v>0.49435809140204306</v>
      </c>
      <c r="AC438" s="195">
        <f t="shared" si="62"/>
        <v>0.7667196339207516</v>
      </c>
      <c r="AD438">
        <f t="shared" si="63"/>
        <v>54</v>
      </c>
      <c r="AE438" s="195">
        <f t="shared" si="70"/>
        <v>0.104423747460067</v>
      </c>
      <c r="AF438" s="195">
        <f t="shared" si="71"/>
        <v>1.1822999533476234E-2</v>
      </c>
      <c r="AG438" s="255" t="str">
        <f>IF(ISNUMBER(SEARCH("C",'WetLitterbags placem_collection'!AD365)),"YES","NO")</f>
        <v>NO</v>
      </c>
      <c r="AH438" s="255" t="str">
        <f>IF(ISNUMBER(SEARCH("H", 'WetLitterbags placem_collection'!AF145)),"YES","NO")</f>
        <v>NO</v>
      </c>
      <c r="AI438" s="255" t="str">
        <f>IF(ISNUMBER(SEARCH("R", 'WetLitterbags placem_collection'!XF145)),"YES","NO")</f>
        <v>NO</v>
      </c>
      <c r="AJ438" s="255" t="str">
        <f>IF(ISNUMBER(SEARCH("C", 'WetLitterbags placem_collection'!WE145)),"YES","NO")</f>
        <v>NO</v>
      </c>
      <c r="AK438" s="255" t="str">
        <f>IF(ISNUMBER(SEARCH("H", 'WetLitterbags placem_collection'!AE145)),"YES","NO")</f>
        <v>NO</v>
      </c>
      <c r="AL438" s="255" t="str">
        <f>IF(ISNUMBER(SEARCH("R", 'WetLitterbags placem_collection'!AE145)),"YES","NO")</f>
        <v>NO</v>
      </c>
    </row>
    <row r="439" spans="2:38">
      <c r="B439" t="str">
        <f>'Final data_for_R_analysis_Wetse'!A585</f>
        <v>Wet</v>
      </c>
      <c r="C439" s="263">
        <f>'Final data_for_R_analysis_Wetse'!B585</f>
        <v>144</v>
      </c>
      <c r="D439" t="s">
        <v>3848</v>
      </c>
      <c r="E439" t="s">
        <v>25</v>
      </c>
      <c r="F439" s="387">
        <v>8</v>
      </c>
      <c r="G439" s="16">
        <f>'WetLitterbags placem_collection'!E146</f>
        <v>42762</v>
      </c>
      <c r="H439" s="92" t="str">
        <f>'Final data_for_R_analysis_Wetse'!J585</f>
        <v>G894</v>
      </c>
      <c r="I439" t="str">
        <f>'Final data_for_R_analysis_Wetse'!J805</f>
        <v>R15</v>
      </c>
      <c r="J439">
        <f>IFERROR(INDEX('Green_rooibos initial weight'!$C$5:$C$1749,MATCH(H439, 'Green_rooibos initial weight'!$A$5:$A$1749,0)),"")</f>
        <v>1.9630000000000001</v>
      </c>
      <c r="K439">
        <f>IFERROR(INDEX('Green_rooibos initial weight'!$C$5:$C$1749,MATCH(I439, 'Green_rooibos initial weight'!$A$5:$A$1749,0)),"")</f>
        <v>2.2269999999999999</v>
      </c>
      <c r="L439" s="195">
        <f t="shared" si="64"/>
        <v>1.7132000000000001</v>
      </c>
      <c r="M439" s="195">
        <f>AVERAGE(Ashed_controlls!$K$2:$K$11)</f>
        <v>5.5147656768714146</v>
      </c>
      <c r="N439" s="195">
        <f t="shared" si="60"/>
        <v>1.618721034423839</v>
      </c>
      <c r="O439" s="195">
        <f t="shared" si="65"/>
        <v>1.9771999999999998</v>
      </c>
      <c r="P439" s="195">
        <f>AVERAGE(Ashed_controlls!$K$12:$K$14)</f>
        <v>2.2816647271287041</v>
      </c>
      <c r="Q439" s="195">
        <f t="shared" si="66"/>
        <v>1.9320869250152111</v>
      </c>
      <c r="R439" s="16">
        <f>IF('WetLitterbags placem_collection'!G146="N.A","",'WetLitterbags placem_collection'!G146)</f>
        <v>42816</v>
      </c>
      <c r="S439" s="195">
        <f>IF(IFERROR(INDEX('Both teabags AfterWet'!$C$3:$C$841,MATCH(H439,'Both teabags AfterWet'!$A$3:$A$841,0)),"")="N.A","",(IFERROR(INDEX('Both teabags AfterWet'!$C$3:$C$841,MATCH(H439,'Both teabags AfterWet'!$A$3:$A$841,0)),"")))</f>
        <v>0.68200000000000005</v>
      </c>
      <c r="T439" s="195">
        <f>IFERROR(INDEX('Both teabags AfterWet'!$C$3:$C$841,MATCH(I439,'Both teabags AfterWet'!$A$3:$A$841,0)),"")</f>
        <v>1.7290000000000001</v>
      </c>
      <c r="U439" s="195">
        <f t="shared" si="67"/>
        <v>0.53140000000000009</v>
      </c>
      <c r="V439" s="195">
        <f t="shared" si="67"/>
        <v>1.5784</v>
      </c>
      <c r="W439" s="195">
        <f>IFERROR(INDEX('Ashed teabags wet'!$K$2:$K$821,MATCH(H439,'Ashed teabags wet'!$A$2:$A$821,0)),"")</f>
        <v>21.010901883052647</v>
      </c>
      <c r="X439" s="195">
        <f>IFERROR(INDEX('Ashed teabags wet'!$K$2:$K$821,MATCH(I439,'Ashed teabags wet'!$A$2:$A$821,0)),"")</f>
        <v>11.138613861386148</v>
      </c>
      <c r="Y439" s="195">
        <f t="shared" si="61"/>
        <v>0.41974806739345832</v>
      </c>
      <c r="Z439" s="195">
        <f t="shared" si="61"/>
        <v>1.4025881188118812</v>
      </c>
      <c r="AA439" s="195">
        <f t="shared" si="68"/>
        <v>0.7406915345713897</v>
      </c>
      <c r="AB439" s="195">
        <f t="shared" si="69"/>
        <v>0.48558399891140991</v>
      </c>
      <c r="AC439" s="195">
        <f t="shared" si="62"/>
        <v>0.72594462529207315</v>
      </c>
      <c r="AD439">
        <f t="shared" si="63"/>
        <v>54</v>
      </c>
      <c r="AE439" s="195">
        <f t="shared" si="70"/>
        <v>0.1203188425517937</v>
      </c>
      <c r="AF439" s="195">
        <f t="shared" si="71"/>
        <v>1.5388739994057236E-2</v>
      </c>
      <c r="AG439" s="255" t="str">
        <f>IF(ISNUMBER(SEARCH("C",'WetLitterbags placem_collection'!AD366)),"YES","NO")</f>
        <v>NO</v>
      </c>
      <c r="AH439" s="255" t="str">
        <f>IF(ISNUMBER(SEARCH("H", 'WetLitterbags placem_collection'!AF146)),"YES","NO")</f>
        <v>NO</v>
      </c>
      <c r="AI439" s="255" t="str">
        <f>IF(ISNUMBER(SEARCH("R", 'WetLitterbags placem_collection'!XF146)),"YES","NO")</f>
        <v>NO</v>
      </c>
      <c r="AJ439" s="255" t="str">
        <f>IF(ISNUMBER(SEARCH("C", 'WetLitterbags placem_collection'!WE146)),"YES","NO")</f>
        <v>NO</v>
      </c>
      <c r="AK439" s="255" t="str">
        <f>IF(ISNUMBER(SEARCH("H", 'WetLitterbags placem_collection'!AE146)),"YES","NO")</f>
        <v>NO</v>
      </c>
      <c r="AL439" s="255" t="str">
        <f>IF(ISNUMBER(SEARCH("R", 'WetLitterbags placem_collection'!AE146)),"YES","NO")</f>
        <v>NO</v>
      </c>
    </row>
    <row r="440" spans="2:38">
      <c r="B440" t="str">
        <f>'Final data_for_R_analysis_Wetse'!A586</f>
        <v>Wet</v>
      </c>
      <c r="C440" s="263">
        <f>'Final data_for_R_analysis_Wetse'!B586</f>
        <v>145</v>
      </c>
      <c r="D440" t="s">
        <v>3849</v>
      </c>
      <c r="E440" t="s">
        <v>25</v>
      </c>
      <c r="F440" s="386">
        <v>1</v>
      </c>
      <c r="G440" s="16">
        <f>'WetLitterbags placem_collection'!E147</f>
        <v>42762</v>
      </c>
      <c r="H440" s="92" t="str">
        <f>'Final data_for_R_analysis_Wetse'!J586</f>
        <v>G653</v>
      </c>
      <c r="I440" t="str">
        <f>'Final data_for_R_analysis_Wetse'!J806</f>
        <v>R40</v>
      </c>
      <c r="J440">
        <f>IFERROR(INDEX('Green_rooibos initial weight'!$C$5:$C$1749,MATCH(H440, 'Green_rooibos initial weight'!$A$5:$A$1749,0)),"")</f>
        <v>2.089</v>
      </c>
      <c r="K440">
        <f>IFERROR(INDEX('Green_rooibos initial weight'!$C$5:$C$1749,MATCH(I440, 'Green_rooibos initial weight'!$A$5:$A$1749,0)),"")</f>
        <v>2.121</v>
      </c>
      <c r="L440" s="195">
        <f t="shared" si="64"/>
        <v>1.8391999999999999</v>
      </c>
      <c r="M440" s="195">
        <f>AVERAGE(Ashed_controlls!$K$2:$K$11)</f>
        <v>5.5147656768714146</v>
      </c>
      <c r="N440" s="195">
        <f t="shared" si="60"/>
        <v>1.7377724296709809</v>
      </c>
      <c r="O440" s="195">
        <f t="shared" si="65"/>
        <v>1.8712</v>
      </c>
      <c r="P440" s="195">
        <f>AVERAGE(Ashed_controlls!$K$12:$K$14)</f>
        <v>2.2816647271287041</v>
      </c>
      <c r="Q440" s="195">
        <f t="shared" si="66"/>
        <v>1.8285054896259676</v>
      </c>
      <c r="R440" s="16">
        <f>IF('WetLitterbags placem_collection'!G147="N.A","",'WetLitterbags placem_collection'!G147)</f>
        <v>42815</v>
      </c>
      <c r="S440" s="195">
        <f>IF(IFERROR(INDEX('Both teabags AfterWet'!$C$3:$C$841,MATCH(H440,'Both teabags AfterWet'!$A$3:$A$841,0)),"")="N.A","",(IFERROR(INDEX('Both teabags AfterWet'!$C$3:$C$841,MATCH(H440,'Both teabags AfterWet'!$A$3:$A$841,0)),"")))</f>
        <v>0.69799999999999995</v>
      </c>
      <c r="T440" s="195">
        <f>IFERROR(INDEX('Both teabags AfterWet'!$C$3:$C$841,MATCH(I440,'Both teabags AfterWet'!$A$3:$A$841,0)),"")</f>
        <v>1.589</v>
      </c>
      <c r="U440" s="195">
        <f t="shared" si="67"/>
        <v>0.54739999999999989</v>
      </c>
      <c r="V440" s="195">
        <f t="shared" si="67"/>
        <v>1.4383999999999999</v>
      </c>
      <c r="W440" s="195">
        <f>IFERROR(INDEX('Ashed teabags wet'!$K$2:$K$821,MATCH(H440,'Ashed teabags wet'!$A$2:$A$821,0)),"")</f>
        <v>19.630709426627803</v>
      </c>
      <c r="X440" s="195">
        <f>IFERROR(INDEX('Ashed teabags wet'!$K$2:$K$821,MATCH(I440,'Ashed teabags wet'!$A$2:$A$821,0)),"")</f>
        <v>8.3980582524276741</v>
      </c>
      <c r="Y440" s="195">
        <f t="shared" si="61"/>
        <v>0.43994149659863935</v>
      </c>
      <c r="Z440" s="195">
        <f t="shared" si="61"/>
        <v>1.3176023300970803</v>
      </c>
      <c r="AA440" s="195">
        <f t="shared" si="68"/>
        <v>0.74683595556759119</v>
      </c>
      <c r="AB440" s="195">
        <f t="shared" si="69"/>
        <v>0.48961217039585553</v>
      </c>
      <c r="AC440" s="195">
        <f t="shared" si="62"/>
        <v>0.72058975899853828</v>
      </c>
      <c r="AD440">
        <f t="shared" si="63"/>
        <v>53</v>
      </c>
      <c r="AE440" s="195">
        <f t="shared" si="70"/>
        <v>0.11302143044229074</v>
      </c>
      <c r="AF440" s="195">
        <f t="shared" si="71"/>
        <v>1.5953678329670248E-2</v>
      </c>
      <c r="AG440" s="255" t="str">
        <f>IF(ISNUMBER(SEARCH("C",'WetLitterbags placem_collection'!AD367)),"YES","NO")</f>
        <v>NO</v>
      </c>
      <c r="AH440" s="255" t="str">
        <f>IF(ISNUMBER(SEARCH("H", 'WetLitterbags placem_collection'!AF147)),"YES","NO")</f>
        <v>NO</v>
      </c>
      <c r="AI440" s="255" t="str">
        <f>IF(ISNUMBER(SEARCH("R", 'WetLitterbags placem_collection'!XF147)),"YES","NO")</f>
        <v>NO</v>
      </c>
      <c r="AJ440" s="255" t="str">
        <f>IF(ISNUMBER(SEARCH("C", 'WetLitterbags placem_collection'!WE147)),"YES","NO")</f>
        <v>NO</v>
      </c>
      <c r="AK440" s="255" t="str">
        <f>IF(ISNUMBER(SEARCH("H", 'WetLitterbags placem_collection'!AE147)),"YES","NO")</f>
        <v>NO</v>
      </c>
      <c r="AL440" s="255" t="str">
        <f>IF(ISNUMBER(SEARCH("R", 'WetLitterbags placem_collection'!AE147)),"YES","NO")</f>
        <v>NO</v>
      </c>
    </row>
    <row r="441" spans="2:38">
      <c r="B441" t="str">
        <f>'Final data_for_R_analysis_Wetse'!A587</f>
        <v>Wet</v>
      </c>
      <c r="C441" s="263">
        <f>'Final data_for_R_analysis_Wetse'!B587</f>
        <v>146</v>
      </c>
      <c r="D441" t="s">
        <v>3849</v>
      </c>
      <c r="E441" t="s">
        <v>25</v>
      </c>
      <c r="F441" s="386">
        <v>2</v>
      </c>
      <c r="G441" s="16">
        <f>'WetLitterbags placem_collection'!E148</f>
        <v>42762</v>
      </c>
      <c r="H441" s="92" t="str">
        <f>'Final data_for_R_analysis_Wetse'!J587</f>
        <v>G762</v>
      </c>
      <c r="I441" t="str">
        <f>'Final data_for_R_analysis_Wetse'!J807</f>
        <v>R468</v>
      </c>
      <c r="J441">
        <f>IFERROR(INDEX('Green_rooibos initial weight'!$C$5:$C$1749,MATCH(H441, 'Green_rooibos initial weight'!$A$5:$A$1749,0)),"")</f>
        <v>2.016</v>
      </c>
      <c r="K441">
        <f>IFERROR(INDEX('Green_rooibos initial weight'!$C$5:$C$1749,MATCH(I441, 'Green_rooibos initial weight'!$A$5:$A$1749,0)),"")</f>
        <v>2.2869999999999999</v>
      </c>
      <c r="L441" s="195">
        <f t="shared" si="64"/>
        <v>1.7662</v>
      </c>
      <c r="M441" s="195">
        <f>AVERAGE(Ashed_controlls!$K$2:$K$11)</f>
        <v>5.5147656768714146</v>
      </c>
      <c r="N441" s="195">
        <f t="shared" si="60"/>
        <v>1.668798208615097</v>
      </c>
      <c r="O441" s="195">
        <f t="shared" si="65"/>
        <v>2.0371999999999999</v>
      </c>
      <c r="P441" s="195">
        <f>AVERAGE(Ashed_controlls!$K$12:$K$14)</f>
        <v>2.2816647271287041</v>
      </c>
      <c r="Q441" s="195">
        <f t="shared" si="66"/>
        <v>1.9907179261789338</v>
      </c>
      <c r="R441" s="16">
        <f>IF('WetLitterbags placem_collection'!G148="N.A","",'WetLitterbags placem_collection'!G148)</f>
        <v>42815</v>
      </c>
      <c r="S441" s="195">
        <f>IF(IFERROR(INDEX('Both teabags AfterWet'!$C$3:$C$841,MATCH(H441,'Both teabags AfterWet'!$A$3:$A$841,0)),"")="N.A","",(IFERROR(INDEX('Both teabags AfterWet'!$C$3:$C$841,MATCH(H441,'Both teabags AfterWet'!$A$3:$A$841,0)),"")))</f>
        <v>0.59199999999999997</v>
      </c>
      <c r="T441" s="195">
        <f>IFERROR(INDEX('Both teabags AfterWet'!$C$3:$C$841,MATCH(I441,'Both teabags AfterWet'!$A$3:$A$841,0)),"")</f>
        <v>1.657</v>
      </c>
      <c r="U441" s="195">
        <f t="shared" si="67"/>
        <v>0.44139999999999996</v>
      </c>
      <c r="V441" s="195">
        <f t="shared" si="67"/>
        <v>1.5064</v>
      </c>
      <c r="W441" s="195">
        <f>IFERROR(INDEX('Ashed teabags wet'!$K$2:$K$821,MATCH(H441,'Ashed teabags wet'!$A$2:$A$821,0)),"")</f>
        <v>17.030567685589826</v>
      </c>
      <c r="X441" s="195">
        <f>IFERROR(INDEX('Ashed teabags wet'!$K$2:$K$821,MATCH(I441,'Ashed teabags wet'!$A$2:$A$821,0)),"")</f>
        <v>5.4683544303797067</v>
      </c>
      <c r="Y441" s="195">
        <f t="shared" si="61"/>
        <v>0.36622707423580647</v>
      </c>
      <c r="Z441" s="195">
        <f t="shared" si="61"/>
        <v>1.42402470886076</v>
      </c>
      <c r="AA441" s="195">
        <f t="shared" si="68"/>
        <v>0.78054442271978997</v>
      </c>
      <c r="AB441" s="195">
        <f t="shared" si="69"/>
        <v>0.51171083294694075</v>
      </c>
      <c r="AC441" s="195">
        <f t="shared" si="62"/>
        <v>0.71533223774906762</v>
      </c>
      <c r="AD441">
        <f t="shared" si="63"/>
        <v>53</v>
      </c>
      <c r="AE441" s="195">
        <f t="shared" si="70"/>
        <v>7.2987621472933473E-2</v>
      </c>
      <c r="AF441" s="195">
        <f t="shared" si="71"/>
        <v>1.5332451846392862E-2</v>
      </c>
      <c r="AG441" s="255" t="str">
        <f>IF(ISNUMBER(SEARCH("C",'WetLitterbags placem_collection'!AD368)),"YES","NO")</f>
        <v>NO</v>
      </c>
      <c r="AH441" s="255" t="str">
        <f>IF(ISNUMBER(SEARCH("H", 'WetLitterbags placem_collection'!AF148)),"YES","NO")</f>
        <v>NO</v>
      </c>
      <c r="AI441" s="255" t="str">
        <f>IF(ISNUMBER(SEARCH("R", 'WetLitterbags placem_collection'!XF148)),"YES","NO")</f>
        <v>NO</v>
      </c>
      <c r="AJ441" s="255" t="str">
        <f>IF(ISNUMBER(SEARCH("C", 'WetLitterbags placem_collection'!WE148)),"YES","NO")</f>
        <v>NO</v>
      </c>
      <c r="AK441" s="255" t="str">
        <f>IF(ISNUMBER(SEARCH("H", 'WetLitterbags placem_collection'!AE148)),"YES","NO")</f>
        <v>NO</v>
      </c>
      <c r="AL441" s="255" t="str">
        <f>IF(ISNUMBER(SEARCH("R", 'WetLitterbags placem_collection'!AE148)),"YES","NO")</f>
        <v>NO</v>
      </c>
    </row>
    <row r="442" spans="2:38">
      <c r="B442" t="str">
        <f>'Final data_for_R_analysis_Wetse'!A588</f>
        <v>Wet</v>
      </c>
      <c r="C442" s="263">
        <f>'Final data_for_R_analysis_Wetse'!B588</f>
        <v>147</v>
      </c>
      <c r="D442" t="s">
        <v>3849</v>
      </c>
      <c r="E442" t="s">
        <v>25</v>
      </c>
      <c r="F442" s="386">
        <v>3</v>
      </c>
      <c r="G442" s="16">
        <f>'WetLitterbags placem_collection'!E149</f>
        <v>42762</v>
      </c>
      <c r="H442" s="92" t="str">
        <f>'Final data_for_R_analysis_Wetse'!J588</f>
        <v>G878</v>
      </c>
      <c r="I442" t="str">
        <f>'Final data_for_R_analysis_Wetse'!J808</f>
        <v>R582</v>
      </c>
      <c r="J442">
        <f>IFERROR(INDEX('Green_rooibos initial weight'!$C$5:$C$1749,MATCH(H442, 'Green_rooibos initial weight'!$A$5:$A$1749,0)),"")</f>
        <v>2.0939999999999999</v>
      </c>
      <c r="K442">
        <f>IFERROR(INDEX('Green_rooibos initial weight'!$C$5:$C$1749,MATCH(I442, 'Green_rooibos initial weight'!$A$5:$A$1749,0)),"")</f>
        <v>2.2360000000000002</v>
      </c>
      <c r="L442" s="195">
        <f t="shared" si="64"/>
        <v>1.8441999999999998</v>
      </c>
      <c r="M442" s="195">
        <f>AVERAGE(Ashed_controlls!$K$2:$K$11)</f>
        <v>5.5147656768714146</v>
      </c>
      <c r="N442" s="195">
        <f t="shared" si="60"/>
        <v>1.7424966913871371</v>
      </c>
      <c r="O442" s="195">
        <f t="shared" si="65"/>
        <v>1.9862000000000002</v>
      </c>
      <c r="P442" s="195">
        <f>AVERAGE(Ashed_controlls!$K$12:$K$14)</f>
        <v>2.2816647271287041</v>
      </c>
      <c r="Q442" s="195">
        <f t="shared" si="66"/>
        <v>1.9408815751897699</v>
      </c>
      <c r="R442" s="16">
        <f>IF('WetLitterbags placem_collection'!G149="N.A","",'WetLitterbags placem_collection'!G149)</f>
        <v>42816</v>
      </c>
      <c r="S442" s="195">
        <f>IF(IFERROR(INDEX('Both teabags AfterWet'!$C$3:$C$841,MATCH(H442,'Both teabags AfterWet'!$A$3:$A$841,0)),"")="N.A","",(IFERROR(INDEX('Both teabags AfterWet'!$C$3:$C$841,MATCH(H442,'Both teabags AfterWet'!$A$3:$A$841,0)),"")))</f>
        <v>0.628</v>
      </c>
      <c r="T442" s="195">
        <f>IFERROR(INDEX('Both teabags AfterWet'!$C$3:$C$841,MATCH(I442,'Both teabags AfterWet'!$A$3:$A$841,0)),"")</f>
        <v>1.742</v>
      </c>
      <c r="U442" s="195">
        <f t="shared" si="67"/>
        <v>0.47739999999999999</v>
      </c>
      <c r="V442" s="195">
        <f t="shared" si="67"/>
        <v>1.5913999999999999</v>
      </c>
      <c r="W442" s="195">
        <f>IFERROR(INDEX('Ashed teabags wet'!$K$2:$K$821,MATCH(H442,'Ashed teabags wet'!$A$2:$A$821,0)),"")</f>
        <v>18.664047151277249</v>
      </c>
      <c r="X442" s="195">
        <f>IFERROR(INDEX('Ashed teabags wet'!$K$2:$K$821,MATCH(I442,'Ashed teabags wet'!$A$2:$A$821,0)),"")</f>
        <v>1.3068731848979416</v>
      </c>
      <c r="Y442" s="195">
        <f t="shared" si="61"/>
        <v>0.38829783889980241</v>
      </c>
      <c r="Z442" s="195">
        <f t="shared" si="61"/>
        <v>1.570602420135534</v>
      </c>
      <c r="AA442" s="195">
        <f t="shared" si="68"/>
        <v>0.77716007105259244</v>
      </c>
      <c r="AB442" s="195">
        <f t="shared" si="69"/>
        <v>0.50949211308911058</v>
      </c>
      <c r="AC442" s="195">
        <f t="shared" si="62"/>
        <v>0.80922114992099303</v>
      </c>
      <c r="AD442">
        <f t="shared" si="63"/>
        <v>54</v>
      </c>
      <c r="AE442" s="195">
        <f t="shared" si="70"/>
        <v>7.700704150523463E-2</v>
      </c>
      <c r="AF442" s="195">
        <f t="shared" si="71"/>
        <v>8.6874543760518553E-3</v>
      </c>
      <c r="AG442" s="255" t="str">
        <f>IF(ISNUMBER(SEARCH("C",'WetLitterbags placem_collection'!AD369)),"YES","NO")</f>
        <v>NO</v>
      </c>
      <c r="AH442" s="255" t="str">
        <f>IF(ISNUMBER(SEARCH("H", 'WetLitterbags placem_collection'!AF149)),"YES","NO")</f>
        <v>NO</v>
      </c>
      <c r="AI442" s="255" t="str">
        <f>IF(ISNUMBER(SEARCH("R", 'WetLitterbags placem_collection'!XF149)),"YES","NO")</f>
        <v>NO</v>
      </c>
      <c r="AJ442" s="255" t="str">
        <f>IF(ISNUMBER(SEARCH("C", 'WetLitterbags placem_collection'!WE149)),"YES","NO")</f>
        <v>NO</v>
      </c>
      <c r="AK442" s="255" t="str">
        <f>IF(ISNUMBER(SEARCH("H", 'WetLitterbags placem_collection'!AE149)),"YES","NO")</f>
        <v>NO</v>
      </c>
      <c r="AL442" s="255" t="str">
        <f>IF(ISNUMBER(SEARCH("R", 'WetLitterbags placem_collection'!AE149)),"YES","NO")</f>
        <v>NO</v>
      </c>
    </row>
    <row r="443" spans="2:38">
      <c r="B443" t="str">
        <f>'Final data_for_R_analysis_Wetse'!A589</f>
        <v>Wet</v>
      </c>
      <c r="C443" s="263">
        <f>'Final data_for_R_analysis_Wetse'!B589</f>
        <v>148</v>
      </c>
      <c r="D443" t="s">
        <v>3849</v>
      </c>
      <c r="E443" t="s">
        <v>25</v>
      </c>
      <c r="F443" s="387">
        <v>4</v>
      </c>
      <c r="G443" s="16">
        <f>'WetLitterbags placem_collection'!E150</f>
        <v>42762</v>
      </c>
      <c r="H443" s="92" t="str">
        <f>'Final data_for_R_analysis_Wetse'!J589</f>
        <v>G807</v>
      </c>
      <c r="I443" t="str">
        <f>'Final data_for_R_analysis_Wetse'!J809</f>
        <v>R20</v>
      </c>
      <c r="J443">
        <f>IFERROR(INDEX('Green_rooibos initial weight'!$C$5:$C$1749,MATCH(H443, 'Green_rooibos initial weight'!$A$5:$A$1749,0)),"")</f>
        <v>2.0310000000000001</v>
      </c>
      <c r="K443">
        <f>IFERROR(INDEX('Green_rooibos initial weight'!$C$5:$C$1749,MATCH(I443, 'Green_rooibos initial weight'!$A$5:$A$1749,0)),"")</f>
        <v>2.2400000000000002</v>
      </c>
      <c r="L443" s="195">
        <f t="shared" si="64"/>
        <v>1.7812000000000001</v>
      </c>
      <c r="M443" s="195">
        <f>AVERAGE(Ashed_controlls!$K$2:$K$11)</f>
        <v>5.5147656768714146</v>
      </c>
      <c r="N443" s="195">
        <f t="shared" si="60"/>
        <v>1.6829709937635664</v>
      </c>
      <c r="O443" s="195">
        <f t="shared" si="65"/>
        <v>1.9902000000000002</v>
      </c>
      <c r="P443" s="195">
        <f>AVERAGE(Ashed_controlls!$K$12:$K$14)</f>
        <v>2.2816647271287041</v>
      </c>
      <c r="Q443" s="195">
        <f t="shared" si="66"/>
        <v>1.9447903086006848</v>
      </c>
      <c r="R443" s="16">
        <f>IF('WetLitterbags placem_collection'!G150="N.A","",'WetLitterbags placem_collection'!G150)</f>
        <v>42816</v>
      </c>
      <c r="S443" s="195">
        <f>IF(IFERROR(INDEX('Both teabags AfterWet'!$C$3:$C$841,MATCH(H443,'Both teabags AfterWet'!$A$3:$A$841,0)),"")="N.A","",(IFERROR(INDEX('Both teabags AfterWet'!$C$3:$C$841,MATCH(H443,'Both teabags AfterWet'!$A$3:$A$841,0)),"")))</f>
        <v>0.74309999999999998</v>
      </c>
      <c r="T443" s="195">
        <f>IFERROR(INDEX('Both teabags AfterWet'!$C$3:$C$841,MATCH(I443,'Both teabags AfterWet'!$A$3:$A$841,0)),"")</f>
        <v>1.6375999999999999</v>
      </c>
      <c r="U443" s="195">
        <f t="shared" si="67"/>
        <v>0.59250000000000003</v>
      </c>
      <c r="V443" s="195">
        <f t="shared" si="67"/>
        <v>1.4869999999999999</v>
      </c>
      <c r="W443" s="195">
        <f>IFERROR(INDEX('Ashed teabags wet'!$K$2:$K$821,MATCH(H443,'Ashed teabags wet'!$A$2:$A$821,0)),"")</f>
        <v>19.203072491598501</v>
      </c>
      <c r="X443" s="195">
        <f>IFERROR(INDEX('Ashed teabags wet'!$K$2:$K$821,MATCH(I443,'Ashed teabags wet'!$A$2:$A$821,0)),"")</f>
        <v>56.818181818177493</v>
      </c>
      <c r="Y443" s="195">
        <f t="shared" si="61"/>
        <v>0.47872179548727889</v>
      </c>
      <c r="Z443" s="195">
        <f t="shared" si="61"/>
        <v>0.64211363636370067</v>
      </c>
      <c r="AA443" s="195">
        <f t="shared" si="68"/>
        <v>0.71554958626070508</v>
      </c>
      <c r="AB443" s="195">
        <f t="shared" si="69"/>
        <v>0.4691013914678257</v>
      </c>
      <c r="AC443" s="195">
        <f t="shared" si="62"/>
        <v>0.33017114160020378</v>
      </c>
      <c r="AD443">
        <f t="shared" si="63"/>
        <v>54</v>
      </c>
      <c r="AE443" s="195">
        <f t="shared" si="70"/>
        <v>0.15017863864524339</v>
      </c>
      <c r="AF443" s="195" t="str">
        <f t="shared" si="71"/>
        <v/>
      </c>
      <c r="AG443" s="255" t="str">
        <f>IF(ISNUMBER(SEARCH("C",'WetLitterbags placem_collection'!AD370)),"YES","NO")</f>
        <v>NO</v>
      </c>
      <c r="AH443" s="255" t="str">
        <f>IF(ISNUMBER(SEARCH("H", 'WetLitterbags placem_collection'!AF150)),"YES","NO")</f>
        <v>NO</v>
      </c>
      <c r="AI443" s="255" t="str">
        <f>IF(ISNUMBER(SEARCH("R", 'WetLitterbags placem_collection'!XF150)),"YES","NO")</f>
        <v>NO</v>
      </c>
      <c r="AJ443" s="255" t="str">
        <f>IF(ISNUMBER(SEARCH("C", 'WetLitterbags placem_collection'!WE150)),"YES","NO")</f>
        <v>NO</v>
      </c>
      <c r="AK443" s="255" t="str">
        <f>IF(ISNUMBER(SEARCH("H", 'WetLitterbags placem_collection'!AE150)),"YES","NO")</f>
        <v>NO</v>
      </c>
      <c r="AL443" s="255" t="str">
        <f>IF(ISNUMBER(SEARCH("R", 'WetLitterbags placem_collection'!AE150)),"YES","NO")</f>
        <v>NO</v>
      </c>
    </row>
    <row r="444" spans="2:38">
      <c r="B444" t="str">
        <f>'Final data_for_R_analysis_Wetse'!A590</f>
        <v>Wet</v>
      </c>
      <c r="C444" s="263">
        <f>'Final data_for_R_analysis_Wetse'!B590</f>
        <v>149</v>
      </c>
      <c r="D444" t="s">
        <v>3849</v>
      </c>
      <c r="E444" t="s">
        <v>25</v>
      </c>
      <c r="F444" s="387">
        <v>5</v>
      </c>
      <c r="G444" s="16">
        <f>'WetLitterbags placem_collection'!E151</f>
        <v>42762</v>
      </c>
      <c r="H444" s="92" t="str">
        <f>'Final data_for_R_analysis_Wetse'!J590</f>
        <v>G696</v>
      </c>
      <c r="I444" t="str">
        <f>'Final data_for_R_analysis_Wetse'!J810</f>
        <v>R533</v>
      </c>
      <c r="J444">
        <f>IFERROR(INDEX('Green_rooibos initial weight'!$C$5:$C$1749,MATCH(H444, 'Green_rooibos initial weight'!$A$5:$A$1749,0)),"")</f>
        <v>2.036</v>
      </c>
      <c r="K444">
        <f>IFERROR(INDEX('Green_rooibos initial weight'!$C$5:$C$1749,MATCH(I444, 'Green_rooibos initial weight'!$A$5:$A$1749,0)),"")</f>
        <v>2.1970000000000001</v>
      </c>
      <c r="L444" s="195">
        <f t="shared" si="64"/>
        <v>1.7862</v>
      </c>
      <c r="M444" s="195">
        <f>AVERAGE(Ashed_controlls!$K$2:$K$11)</f>
        <v>5.5147656768714146</v>
      </c>
      <c r="N444" s="195">
        <f t="shared" si="60"/>
        <v>1.6876952554797229</v>
      </c>
      <c r="O444" s="195">
        <f t="shared" si="65"/>
        <v>1.9472</v>
      </c>
      <c r="P444" s="195">
        <f>AVERAGE(Ashed_controlls!$K$12:$K$14)</f>
        <v>2.2816647271287041</v>
      </c>
      <c r="Q444" s="195">
        <f t="shared" si="66"/>
        <v>1.90277142443335</v>
      </c>
      <c r="R444" s="16">
        <f>IF('WetLitterbags placem_collection'!G151="N.A","",'WetLitterbags placem_collection'!G151)</f>
        <v>42816</v>
      </c>
      <c r="S444" s="195">
        <f>IF(IFERROR(INDEX('Both teabags AfterWet'!$C$3:$C$841,MATCH(H444,'Both teabags AfterWet'!$A$3:$A$841,0)),"")="N.A","",(IFERROR(INDEX('Both teabags AfterWet'!$C$3:$C$841,MATCH(H444,'Both teabags AfterWet'!$A$3:$A$841,0)),"")))</f>
        <v>0.82469999999999999</v>
      </c>
      <c r="T444" s="195">
        <f>IFERROR(INDEX('Both teabags AfterWet'!$C$3:$C$841,MATCH(I444,'Both teabags AfterWet'!$A$3:$A$841,0)),"")</f>
        <v>1.7899</v>
      </c>
      <c r="U444" s="195">
        <f t="shared" si="67"/>
        <v>0.67409999999999992</v>
      </c>
      <c r="V444" s="195">
        <f t="shared" si="67"/>
        <v>1.6393</v>
      </c>
      <c r="W444" s="195">
        <f>IFERROR(INDEX('Ashed teabags wet'!$K$2:$K$821,MATCH(H444,'Ashed teabags wet'!$A$2:$A$821,0)),"")</f>
        <v>31.23781676413266</v>
      </c>
      <c r="X444" s="195">
        <f>IFERROR(INDEX('Ashed teabags wet'!$K$2:$K$821,MATCH(I444,'Ashed teabags wet'!$A$2:$A$821,0)),"")</f>
        <v>11.542288557213293</v>
      </c>
      <c r="Y444" s="195">
        <f t="shared" si="61"/>
        <v>0.46352587719298166</v>
      </c>
      <c r="Z444" s="195">
        <f t="shared" si="61"/>
        <v>1.4500872636816025</v>
      </c>
      <c r="AA444" s="195">
        <f t="shared" si="68"/>
        <v>0.72534977764026143</v>
      </c>
      <c r="AB444" s="195">
        <f t="shared" si="69"/>
        <v>0.475526220020694</v>
      </c>
      <c r="AC444" s="195">
        <f t="shared" si="62"/>
        <v>0.76209220143898371</v>
      </c>
      <c r="AD444">
        <f t="shared" si="63"/>
        <v>54</v>
      </c>
      <c r="AE444" s="195">
        <f t="shared" si="70"/>
        <v>0.13853945648425003</v>
      </c>
      <c r="AF444" s="195">
        <f t="shared" si="71"/>
        <v>1.2847331603435199E-2</v>
      </c>
      <c r="AG444" s="255" t="str">
        <f>IF(ISNUMBER(SEARCH("C",'WetLitterbags placem_collection'!AD371)),"YES","NO")</f>
        <v>NO</v>
      </c>
      <c r="AH444" s="255" t="str">
        <f>IF(ISNUMBER(SEARCH("H", 'WetLitterbags placem_collection'!AF151)),"YES","NO")</f>
        <v>NO</v>
      </c>
      <c r="AI444" s="255" t="str">
        <f>IF(ISNUMBER(SEARCH("R", 'WetLitterbags placem_collection'!XF151)),"YES","NO")</f>
        <v>NO</v>
      </c>
      <c r="AJ444" s="255" t="str">
        <f>IF(ISNUMBER(SEARCH("C", 'WetLitterbags placem_collection'!WE151)),"YES","NO")</f>
        <v>NO</v>
      </c>
      <c r="AK444" s="255" t="str">
        <f>IF(ISNUMBER(SEARCH("H", 'WetLitterbags placem_collection'!AE151)),"YES","NO")</f>
        <v>NO</v>
      </c>
      <c r="AL444" s="255" t="str">
        <f>IF(ISNUMBER(SEARCH("R", 'WetLitterbags placem_collection'!AE151)),"YES","NO")</f>
        <v>NO</v>
      </c>
    </row>
    <row r="445" spans="2:38">
      <c r="B445" t="str">
        <f>'Final data_for_R_analysis_Wetse'!A591</f>
        <v>Wet</v>
      </c>
      <c r="C445" s="263">
        <f>'Final data_for_R_analysis_Wetse'!B591</f>
        <v>150</v>
      </c>
      <c r="D445" t="s">
        <v>3849</v>
      </c>
      <c r="E445" t="s">
        <v>25</v>
      </c>
      <c r="F445" s="387">
        <v>6</v>
      </c>
      <c r="G445" s="16">
        <f>'WetLitterbags placem_collection'!E152</f>
        <v>42762</v>
      </c>
      <c r="H445" s="92" t="str">
        <f>'Final data_for_R_analysis_Wetse'!J591</f>
        <v>G801</v>
      </c>
      <c r="I445" t="str">
        <f>'Final data_for_R_analysis_Wetse'!J811</f>
        <v>R572</v>
      </c>
      <c r="J445">
        <f>IFERROR(INDEX('Green_rooibos initial weight'!$C$5:$C$1749,MATCH(H445, 'Green_rooibos initial weight'!$A$5:$A$1749,0)),"")</f>
        <v>2.0720000000000001</v>
      </c>
      <c r="K445">
        <f>IFERROR(INDEX('Green_rooibos initial weight'!$C$5:$C$1749,MATCH(I445, 'Green_rooibos initial weight'!$A$5:$A$1749,0)),"")</f>
        <v>2.0819999999999999</v>
      </c>
      <c r="L445" s="195">
        <f t="shared" si="64"/>
        <v>1.8222</v>
      </c>
      <c r="M445" s="195">
        <f>AVERAGE(Ashed_controlls!$K$2:$K$11)</f>
        <v>5.5147656768714146</v>
      </c>
      <c r="N445" s="195">
        <f t="shared" si="60"/>
        <v>1.7217099398360491</v>
      </c>
      <c r="O445" s="195">
        <f t="shared" si="65"/>
        <v>1.8321999999999998</v>
      </c>
      <c r="P445" s="195">
        <f>AVERAGE(Ashed_controlls!$K$12:$K$14)</f>
        <v>2.2816647271287041</v>
      </c>
      <c r="Q445" s="195">
        <f t="shared" si="66"/>
        <v>1.7903953388695477</v>
      </c>
      <c r="R445" s="16">
        <f>IF('WetLitterbags placem_collection'!G152="N.A","",'WetLitterbags placem_collection'!G152)</f>
        <v>42816</v>
      </c>
      <c r="S445" s="195">
        <f>IF(IFERROR(INDEX('Both teabags AfterWet'!$C$3:$C$841,MATCH(H445,'Both teabags AfterWet'!$A$3:$A$841,0)),"")="N.A","",(IFERROR(INDEX('Both teabags AfterWet'!$C$3:$C$841,MATCH(H445,'Both teabags AfterWet'!$A$3:$A$841,0)),"")))</f>
        <v>0.60099999999999998</v>
      </c>
      <c r="T445" s="195">
        <f>IFERROR(INDEX('Both teabags AfterWet'!$C$3:$C$841,MATCH(I445,'Both teabags AfterWet'!$A$3:$A$841,0)),"")</f>
        <v>1.5680000000000001</v>
      </c>
      <c r="U445" s="195">
        <f t="shared" si="67"/>
        <v>0.45039999999999997</v>
      </c>
      <c r="V445" s="195">
        <f t="shared" si="67"/>
        <v>1.4174</v>
      </c>
      <c r="W445" s="195">
        <f>IFERROR(INDEX('Ashed teabags wet'!$K$2:$K$821,MATCH(H445,'Ashed teabags wet'!$A$2:$A$821,0)),"")</f>
        <v>20.08862629246671</v>
      </c>
      <c r="X445" s="195">
        <f>IFERROR(INDEX('Ashed teabags wet'!$K$2:$K$821,MATCH(I445,'Ashed teabags wet'!$A$2:$A$821,0)),"")</f>
        <v>7.1853320118927355</v>
      </c>
      <c r="Y445" s="195">
        <f t="shared" si="61"/>
        <v>0.35992082717872992</v>
      </c>
      <c r="Z445" s="195">
        <f t="shared" si="61"/>
        <v>1.3155551040634323</v>
      </c>
      <c r="AA445" s="195">
        <f t="shared" si="68"/>
        <v>0.7909515308873668</v>
      </c>
      <c r="AB445" s="195">
        <f t="shared" si="69"/>
        <v>0.51853354518981776</v>
      </c>
      <c r="AC445" s="195">
        <f t="shared" si="62"/>
        <v>0.73478470117894268</v>
      </c>
      <c r="AD445">
        <f t="shared" si="63"/>
        <v>54</v>
      </c>
      <c r="AE445" s="195">
        <f t="shared" si="70"/>
        <v>6.0627635525692614E-2</v>
      </c>
      <c r="AF445" s="195">
        <f t="shared" si="71"/>
        <v>1.3265891354643415E-2</v>
      </c>
      <c r="AG445" s="255" t="str">
        <f>IF(ISNUMBER(SEARCH("C",'WetLitterbags placem_collection'!AD372)),"YES","NO")</f>
        <v>NO</v>
      </c>
      <c r="AH445" s="255" t="str">
        <f>IF(ISNUMBER(SEARCH("H", 'WetLitterbags placem_collection'!AF152)),"YES","NO")</f>
        <v>NO</v>
      </c>
      <c r="AI445" s="255" t="str">
        <f>IF(ISNUMBER(SEARCH("R", 'WetLitterbags placem_collection'!XF152)),"YES","NO")</f>
        <v>NO</v>
      </c>
      <c r="AJ445" s="255" t="str">
        <f>IF(ISNUMBER(SEARCH("C", 'WetLitterbags placem_collection'!WE152)),"YES","NO")</f>
        <v>NO</v>
      </c>
      <c r="AK445" s="255" t="str">
        <f>IF(ISNUMBER(SEARCH("H", 'WetLitterbags placem_collection'!AE152)),"YES","NO")</f>
        <v>NO</v>
      </c>
      <c r="AL445" s="255" t="str">
        <f>IF(ISNUMBER(SEARCH("R", 'WetLitterbags placem_collection'!AE152)),"YES","NO")</f>
        <v>NO</v>
      </c>
    </row>
    <row r="446" spans="2:38">
      <c r="B446" t="str">
        <f>'Final data_for_R_analysis_Wetse'!A592</f>
        <v>Wet</v>
      </c>
      <c r="C446" s="263">
        <f>'Final data_for_R_analysis_Wetse'!B592</f>
        <v>151</v>
      </c>
      <c r="D446" t="s">
        <v>3849</v>
      </c>
      <c r="E446" t="s">
        <v>25</v>
      </c>
      <c r="F446" s="387">
        <v>7</v>
      </c>
      <c r="G446" s="16">
        <f>'WetLitterbags placem_collection'!E153</f>
        <v>42762</v>
      </c>
      <c r="H446" s="92" t="str">
        <f>'Final data_for_R_analysis_Wetse'!J592</f>
        <v>G647</v>
      </c>
      <c r="I446" t="str">
        <f>'Final data_for_R_analysis_Wetse'!J812</f>
        <v>R504</v>
      </c>
      <c r="J446">
        <f>IFERROR(INDEX('Green_rooibos initial weight'!$C$5:$C$1749,MATCH(H446, 'Green_rooibos initial weight'!$A$5:$A$1749,0)),"")</f>
        <v>2.1240000000000001</v>
      </c>
      <c r="K446">
        <f>IFERROR(INDEX('Green_rooibos initial weight'!$C$5:$C$1749,MATCH(I446, 'Green_rooibos initial weight'!$A$5:$A$1749,0)),"")</f>
        <v>2.1629999999999998</v>
      </c>
      <c r="L446" s="195">
        <f t="shared" si="64"/>
        <v>1.8742000000000001</v>
      </c>
      <c r="M446" s="195">
        <f>AVERAGE(Ashed_controlls!$K$2:$K$11)</f>
        <v>5.5147656768714146</v>
      </c>
      <c r="N446" s="195">
        <f t="shared" si="60"/>
        <v>1.770842261684076</v>
      </c>
      <c r="O446" s="195">
        <f t="shared" si="65"/>
        <v>1.9131999999999998</v>
      </c>
      <c r="P446" s="195">
        <f>AVERAGE(Ashed_controlls!$K$12:$K$14)</f>
        <v>2.2816647271287041</v>
      </c>
      <c r="Q446" s="195">
        <f t="shared" si="66"/>
        <v>1.8695471904405734</v>
      </c>
      <c r="R446" s="16">
        <f>IF('WetLitterbags placem_collection'!G153="N.A","",'WetLitterbags placem_collection'!G153)</f>
        <v>42816</v>
      </c>
      <c r="S446" s="195">
        <f>IF(IFERROR(INDEX('Both teabags AfterWet'!$C$3:$C$841,MATCH(H446,'Both teabags AfterWet'!$A$3:$A$841,0)),"")="N.A","",(IFERROR(INDEX('Both teabags AfterWet'!$C$3:$C$841,MATCH(H446,'Both teabags AfterWet'!$A$3:$A$841,0)),"")))</f>
        <v>0.78700000000000003</v>
      </c>
      <c r="T446" s="195">
        <f>IFERROR(INDEX('Both teabags AfterWet'!$C$3:$C$841,MATCH(I446,'Both teabags AfterWet'!$A$3:$A$841,0)),"")</f>
        <v>1.798</v>
      </c>
      <c r="U446" s="195">
        <f t="shared" si="67"/>
        <v>0.63640000000000008</v>
      </c>
      <c r="V446" s="195">
        <f t="shared" si="67"/>
        <v>1.6474</v>
      </c>
      <c r="W446" s="195">
        <f>IFERROR(INDEX('Ashed teabags wet'!$K$2:$K$821,MATCH(H446,'Ashed teabags wet'!$A$2:$A$821,0)),"")</f>
        <v>20.305781175346262</v>
      </c>
      <c r="X446" s="195">
        <f>IFERROR(INDEX('Ashed teabags wet'!$K$2:$K$821,MATCH(I446,'Ashed teabags wet'!$A$2:$A$821,0)),"")</f>
        <v>6.3484251968501049</v>
      </c>
      <c r="Y446" s="195">
        <f t="shared" si="61"/>
        <v>0.50717400860009643</v>
      </c>
      <c r="Z446" s="195">
        <f t="shared" si="61"/>
        <v>1.5428160433070914</v>
      </c>
      <c r="AA446" s="195">
        <f t="shared" si="68"/>
        <v>0.71359729797854921</v>
      </c>
      <c r="AB446" s="195">
        <f t="shared" si="69"/>
        <v>0.46782150651325322</v>
      </c>
      <c r="AC446" s="195">
        <f t="shared" si="62"/>
        <v>0.82523514313833113</v>
      </c>
      <c r="AD446">
        <f t="shared" si="63"/>
        <v>54</v>
      </c>
      <c r="AE446" s="195">
        <f t="shared" si="70"/>
        <v>0.15249727080932396</v>
      </c>
      <c r="AF446" s="195">
        <f t="shared" si="71"/>
        <v>8.6614980181292395E-3</v>
      </c>
      <c r="AG446" s="255" t="str">
        <f>IF(ISNUMBER(SEARCH("C",'WetLitterbags placem_collection'!AD373)),"YES","NO")</f>
        <v>NO</v>
      </c>
      <c r="AH446" s="255" t="str">
        <f>IF(ISNUMBER(SEARCH("H", 'WetLitterbags placem_collection'!AF153)),"YES","NO")</f>
        <v>NO</v>
      </c>
      <c r="AI446" s="255" t="str">
        <f>IF(ISNUMBER(SEARCH("R", 'WetLitterbags placem_collection'!XF153)),"YES","NO")</f>
        <v>NO</v>
      </c>
      <c r="AJ446" s="255" t="str">
        <f>IF(ISNUMBER(SEARCH("C", 'WetLitterbags placem_collection'!WE153)),"YES","NO")</f>
        <v>NO</v>
      </c>
      <c r="AK446" s="255" t="str">
        <f>IF(ISNUMBER(SEARCH("H", 'WetLitterbags placem_collection'!AE153)),"YES","NO")</f>
        <v>NO</v>
      </c>
      <c r="AL446" s="255" t="str">
        <f>IF(ISNUMBER(SEARCH("R", 'WetLitterbags placem_collection'!AE153)),"YES","NO")</f>
        <v>NO</v>
      </c>
    </row>
    <row r="447" spans="2:38">
      <c r="B447" t="str">
        <f>'Final data_for_R_analysis_Wetse'!A593</f>
        <v>Wet</v>
      </c>
      <c r="C447" s="263">
        <f>'Final data_for_R_analysis_Wetse'!B593</f>
        <v>152</v>
      </c>
      <c r="D447" t="s">
        <v>3849</v>
      </c>
      <c r="E447" t="s">
        <v>25</v>
      </c>
      <c r="F447" s="387">
        <v>8</v>
      </c>
      <c r="G447" s="16">
        <f>'WetLitterbags placem_collection'!E154</f>
        <v>42762</v>
      </c>
      <c r="H447" s="92" t="str">
        <f>'Final data_for_R_analysis_Wetse'!J593</f>
        <v>G744</v>
      </c>
      <c r="I447" t="str">
        <f>'Final data_for_R_analysis_Wetse'!J813</f>
        <v>R579</v>
      </c>
      <c r="J447">
        <f>IFERROR(INDEX('Green_rooibos initial weight'!$C$5:$C$1749,MATCH(H447, 'Green_rooibos initial weight'!$A$5:$A$1749,0)),"")</f>
        <v>2.085</v>
      </c>
      <c r="K447">
        <f>IFERROR(INDEX('Green_rooibos initial weight'!$C$5:$C$1749,MATCH(I447, 'Green_rooibos initial weight'!$A$5:$A$1749,0)),"")</f>
        <v>2.1349999999999998</v>
      </c>
      <c r="L447" s="195">
        <f t="shared" si="64"/>
        <v>1.8351999999999999</v>
      </c>
      <c r="M447" s="195">
        <f>AVERAGE(Ashed_controlls!$K$2:$K$11)</f>
        <v>5.5147656768714146</v>
      </c>
      <c r="N447" s="195">
        <f t="shared" si="60"/>
        <v>1.7339930202980558</v>
      </c>
      <c r="O447" s="195">
        <f t="shared" si="65"/>
        <v>1.8851999999999998</v>
      </c>
      <c r="P447" s="195">
        <f>AVERAGE(Ashed_controlls!$K$12:$K$14)</f>
        <v>2.2816647271287041</v>
      </c>
      <c r="Q447" s="195">
        <f t="shared" si="66"/>
        <v>1.8421860565641694</v>
      </c>
      <c r="R447" s="16">
        <f>IF('WetLitterbags placem_collection'!G154="N.A","",'WetLitterbags placem_collection'!G154)</f>
        <v>42816</v>
      </c>
      <c r="S447" s="195">
        <f>IF(IFERROR(INDEX('Both teabags AfterWet'!$C$3:$C$841,MATCH(H447,'Both teabags AfterWet'!$A$3:$A$841,0)),"")="N.A","",(IFERROR(INDEX('Both teabags AfterWet'!$C$3:$C$841,MATCH(H447,'Both teabags AfterWet'!$A$3:$A$841,0)),"")))</f>
        <v>0.62919999999999998</v>
      </c>
      <c r="T447" s="195">
        <f>IFERROR(INDEX('Both teabags AfterWet'!$C$3:$C$841,MATCH(I447,'Both teabags AfterWet'!$A$3:$A$841,0)),"")</f>
        <v>1.5234000000000001</v>
      </c>
      <c r="U447" s="195">
        <f t="shared" si="67"/>
        <v>0.47859999999999997</v>
      </c>
      <c r="V447" s="195">
        <f t="shared" si="67"/>
        <v>1.3728</v>
      </c>
      <c r="W447" s="195">
        <f>IFERROR(INDEX('Ashed teabags wet'!$K$2:$K$821,MATCH(H447,'Ashed teabags wet'!$A$2:$A$821,0)),"")</f>
        <v>13.529411764705387</v>
      </c>
      <c r="X447" s="195">
        <f>IFERROR(INDEX('Ashed teabags wet'!$K$2:$K$821,MATCH(I447,'Ashed teabags wet'!$A$2:$A$821,0)),"")</f>
        <v>5.1525762881442967</v>
      </c>
      <c r="Y447" s="195">
        <f t="shared" si="61"/>
        <v>0.41384823529411996</v>
      </c>
      <c r="Z447" s="195">
        <f t="shared" si="61"/>
        <v>1.302065432716355</v>
      </c>
      <c r="AA447" s="195">
        <f t="shared" si="68"/>
        <v>0.761332236952728</v>
      </c>
      <c r="AB447" s="195">
        <f t="shared" si="69"/>
        <v>0.49911567078136093</v>
      </c>
      <c r="AC447" s="195">
        <f t="shared" si="62"/>
        <v>0.7068045206817033</v>
      </c>
      <c r="AD447">
        <f t="shared" si="63"/>
        <v>54</v>
      </c>
      <c r="AE447" s="195">
        <f t="shared" si="70"/>
        <v>9.5804944236665079E-2</v>
      </c>
      <c r="AF447" s="195">
        <f t="shared" si="71"/>
        <v>1.639535556335369E-2</v>
      </c>
      <c r="AG447" s="255" t="str">
        <f>IF(ISNUMBER(SEARCH("C",'WetLitterbags placem_collection'!AD374)),"YES","NO")</f>
        <v>NO</v>
      </c>
      <c r="AH447" s="255" t="str">
        <f>IF(ISNUMBER(SEARCH("H", 'WetLitterbags placem_collection'!AF154)),"YES","NO")</f>
        <v>NO</v>
      </c>
      <c r="AI447" s="255" t="str">
        <f>IF(ISNUMBER(SEARCH("R", 'WetLitterbags placem_collection'!XF154)),"YES","NO")</f>
        <v>NO</v>
      </c>
      <c r="AJ447" s="255" t="str">
        <f>IF(ISNUMBER(SEARCH("C", 'WetLitterbags placem_collection'!WE154)),"YES","NO")</f>
        <v>NO</v>
      </c>
      <c r="AK447" s="255" t="str">
        <f>IF(ISNUMBER(SEARCH("H", 'WetLitterbags placem_collection'!AE154)),"YES","NO")</f>
        <v>NO</v>
      </c>
      <c r="AL447" s="255" t="str">
        <f>IF(ISNUMBER(SEARCH("R", 'WetLitterbags placem_collection'!AE154)),"YES","NO")</f>
        <v>NO</v>
      </c>
    </row>
    <row r="448" spans="2:38">
      <c r="B448" t="str">
        <f>'Final data_for_R_analysis_Wetse'!A594</f>
        <v>Wet</v>
      </c>
      <c r="C448" s="263">
        <f>'Final data_for_R_analysis_Wetse'!B594</f>
        <v>153</v>
      </c>
      <c r="D448" t="s">
        <v>3850</v>
      </c>
      <c r="E448" t="s">
        <v>25</v>
      </c>
      <c r="F448" s="386">
        <v>1</v>
      </c>
      <c r="G448" s="16">
        <f>'WetLitterbags placem_collection'!E155</f>
        <v>42762</v>
      </c>
      <c r="H448" s="92" t="str">
        <f>'Final data_for_R_analysis_Wetse'!J594</f>
        <v>G885</v>
      </c>
      <c r="I448" t="str">
        <f>'Final data_for_R_analysis_Wetse'!J814</f>
        <v>R440</v>
      </c>
      <c r="J448">
        <f>IFERROR(INDEX('Green_rooibos initial weight'!$C$5:$C$1749,MATCH(H448, 'Green_rooibos initial weight'!$A$5:$A$1749,0)),"")</f>
        <v>1.8939999999999999</v>
      </c>
      <c r="K448">
        <f>IFERROR(INDEX('Green_rooibos initial weight'!$C$5:$C$1749,MATCH(I448, 'Green_rooibos initial weight'!$A$5:$A$1749,0)),"")</f>
        <v>2.1110000000000002</v>
      </c>
      <c r="L448" s="195">
        <f t="shared" si="64"/>
        <v>1.6441999999999999</v>
      </c>
      <c r="M448" s="195">
        <f>AVERAGE(Ashed_controlls!$K$2:$K$11)</f>
        <v>5.5147656768714146</v>
      </c>
      <c r="N448" s="195">
        <f t="shared" si="60"/>
        <v>1.5535262227408801</v>
      </c>
      <c r="O448" s="195">
        <f t="shared" si="65"/>
        <v>1.8612000000000002</v>
      </c>
      <c r="P448" s="195">
        <f>AVERAGE(Ashed_controlls!$K$12:$K$14)</f>
        <v>2.2816647271287041</v>
      </c>
      <c r="Q448" s="195">
        <f t="shared" si="66"/>
        <v>1.8187336560986807</v>
      </c>
      <c r="R448" s="16">
        <f>IF('WetLitterbags placem_collection'!G155="N.A","",'WetLitterbags placem_collection'!G155)</f>
        <v>42816</v>
      </c>
      <c r="S448" s="195">
        <f>IF(IFERROR(INDEX('Both teabags AfterWet'!$C$3:$C$841,MATCH(H448,'Both teabags AfterWet'!$A$3:$A$841,0)),"")="N.A","",(IFERROR(INDEX('Both teabags AfterWet'!$C$3:$C$841,MATCH(H448,'Both teabags AfterWet'!$A$3:$A$841,0)),"")))</f>
        <v>0.5756</v>
      </c>
      <c r="T448" s="195">
        <f>IFERROR(INDEX('Both teabags AfterWet'!$C$3:$C$841,MATCH(I448,'Both teabags AfterWet'!$A$3:$A$841,0)),"")</f>
        <v>1.6322000000000001</v>
      </c>
      <c r="U448" s="195">
        <f t="shared" si="67"/>
        <v>0.42499999999999999</v>
      </c>
      <c r="V448" s="195">
        <f t="shared" si="67"/>
        <v>1.4816</v>
      </c>
      <c r="W448" s="195">
        <f>IFERROR(INDEX('Ashed teabags wet'!$K$2:$K$821,MATCH(H448,'Ashed teabags wet'!$A$2:$A$821,0)),"")</f>
        <v>12.119700748128949</v>
      </c>
      <c r="X448" s="195">
        <f>IFERROR(INDEX('Ashed teabags wet'!$K$2:$K$821,MATCH(I448,'Ashed teabags wet'!$A$2:$A$821,0)),"")</f>
        <v>4.0218470705065492</v>
      </c>
      <c r="Y448" s="195">
        <f t="shared" si="61"/>
        <v>0.37349127182045194</v>
      </c>
      <c r="Z448" s="195">
        <f t="shared" si="61"/>
        <v>1.4220123138033749</v>
      </c>
      <c r="AA448" s="195">
        <f t="shared" si="68"/>
        <v>0.75958482943306693</v>
      </c>
      <c r="AB448" s="195">
        <f t="shared" si="69"/>
        <v>0.4979701019561199</v>
      </c>
      <c r="AC448" s="195">
        <f t="shared" si="62"/>
        <v>0.78186946672208035</v>
      </c>
      <c r="AD448">
        <f t="shared" si="63"/>
        <v>54</v>
      </c>
      <c r="AE448" s="195">
        <f t="shared" si="70"/>
        <v>9.788025007949297E-2</v>
      </c>
      <c r="AF448" s="195">
        <f t="shared" si="71"/>
        <v>1.0672658685858557E-2</v>
      </c>
      <c r="AG448" s="255" t="str">
        <f>IF(ISNUMBER(SEARCH("C",'WetLitterbags placem_collection'!AD375)),"YES","NO")</f>
        <v>NO</v>
      </c>
      <c r="AH448" s="255" t="str">
        <f>IF(ISNUMBER(SEARCH("H", 'WetLitterbags placem_collection'!AF155)),"YES","NO")</f>
        <v>NO</v>
      </c>
      <c r="AI448" s="255" t="str">
        <f>IF(ISNUMBER(SEARCH("R", 'WetLitterbags placem_collection'!XF155)),"YES","NO")</f>
        <v>NO</v>
      </c>
      <c r="AJ448" s="255" t="str">
        <f>IF(ISNUMBER(SEARCH("C", 'WetLitterbags placem_collection'!WE155)),"YES","NO")</f>
        <v>NO</v>
      </c>
      <c r="AK448" s="255" t="str">
        <f>IF(ISNUMBER(SEARCH("H", 'WetLitterbags placem_collection'!AE155)),"YES","NO")</f>
        <v>NO</v>
      </c>
      <c r="AL448" s="255" t="str">
        <f>IF(ISNUMBER(SEARCH("R", 'WetLitterbags placem_collection'!AE155)),"YES","NO")</f>
        <v>NO</v>
      </c>
    </row>
    <row r="449" spans="2:38">
      <c r="B449" t="str">
        <f>'Final data_for_R_analysis_Wetse'!A595</f>
        <v>Wet</v>
      </c>
      <c r="C449" s="263">
        <f>'Final data_for_R_analysis_Wetse'!B595</f>
        <v>154</v>
      </c>
      <c r="D449" t="s">
        <v>3850</v>
      </c>
      <c r="E449" t="s">
        <v>25</v>
      </c>
      <c r="F449" s="386">
        <v>2</v>
      </c>
      <c r="G449" s="16">
        <f>'WetLitterbags placem_collection'!E156</f>
        <v>42762</v>
      </c>
      <c r="H449" s="92" t="str">
        <f>'Final data_for_R_analysis_Wetse'!J595</f>
        <v>G684</v>
      </c>
      <c r="I449" t="str">
        <f>'Final data_for_R_analysis_Wetse'!J815</f>
        <v>R485</v>
      </c>
      <c r="J449">
        <f>IFERROR(INDEX('Green_rooibos initial weight'!$C$5:$C$1749,MATCH(H449, 'Green_rooibos initial weight'!$A$5:$A$1749,0)),"")</f>
        <v>2.0819999999999999</v>
      </c>
      <c r="K449">
        <f>IFERROR(INDEX('Green_rooibos initial weight'!$C$5:$C$1749,MATCH(I449, 'Green_rooibos initial weight'!$A$5:$A$1749,0)),"")</f>
        <v>2.242</v>
      </c>
      <c r="L449" s="195">
        <f t="shared" si="64"/>
        <v>1.8321999999999998</v>
      </c>
      <c r="M449" s="195">
        <f>AVERAGE(Ashed_controlls!$K$2:$K$11)</f>
        <v>5.5147656768714146</v>
      </c>
      <c r="N449" s="195">
        <f t="shared" si="60"/>
        <v>1.7311584632683619</v>
      </c>
      <c r="O449" s="195">
        <f t="shared" si="65"/>
        <v>1.9922</v>
      </c>
      <c r="P449" s="195">
        <f>AVERAGE(Ashed_controlls!$K$12:$K$14)</f>
        <v>2.2816647271287041</v>
      </c>
      <c r="Q449" s="195">
        <f t="shared" si="66"/>
        <v>1.9467446753061419</v>
      </c>
      <c r="R449" s="16">
        <f>IF('WetLitterbags placem_collection'!G156="N.A","",'WetLitterbags placem_collection'!G156)</f>
        <v>42816</v>
      </c>
      <c r="S449" s="195">
        <f>IF(IFERROR(INDEX('Both teabags AfterWet'!$C$3:$C$841,MATCH(H449,'Both teabags AfterWet'!$A$3:$A$841,0)),"")="N.A","",(IFERROR(INDEX('Both teabags AfterWet'!$C$3:$C$841,MATCH(H449,'Both teabags AfterWet'!$A$3:$A$841,0)),"")))</f>
        <v>0.60499999999999998</v>
      </c>
      <c r="T449" s="195">
        <f>IFERROR(INDEX('Both teabags AfterWet'!$C$3:$C$841,MATCH(I449,'Both teabags AfterWet'!$A$3:$A$841,0)),"")</f>
        <v>1.839</v>
      </c>
      <c r="U449" s="195">
        <f t="shared" si="67"/>
        <v>0.45439999999999997</v>
      </c>
      <c r="V449" s="195">
        <f t="shared" si="67"/>
        <v>1.6883999999999999</v>
      </c>
      <c r="W449" s="195">
        <f>IFERROR(INDEX('Ashed teabags wet'!$K$2:$K$821,MATCH(H449,'Ashed teabags wet'!$A$2:$A$821,0)),"")</f>
        <v>17.540322580645736</v>
      </c>
      <c r="X449" s="195">
        <f>IFERROR(INDEX('Ashed teabags wet'!$K$2:$K$821,MATCH(I449,'Ashed teabags wet'!$A$2:$A$821,0)),"")</f>
        <v>11.924381968008097</v>
      </c>
      <c r="Y449" s="195">
        <f t="shared" si="61"/>
        <v>0.37469677419354575</v>
      </c>
      <c r="Z449" s="195">
        <f t="shared" si="61"/>
        <v>1.4870687348521512</v>
      </c>
      <c r="AA449" s="195">
        <f t="shared" si="68"/>
        <v>0.78355720626167735</v>
      </c>
      <c r="AB449" s="195">
        <f t="shared" si="69"/>
        <v>0.51368595944946083</v>
      </c>
      <c r="AC449" s="195">
        <f t="shared" si="62"/>
        <v>0.76387456132032161</v>
      </c>
      <c r="AD449">
        <f t="shared" si="63"/>
        <v>54</v>
      </c>
      <c r="AE449" s="195">
        <f t="shared" si="70"/>
        <v>6.9409493750976936E-2</v>
      </c>
      <c r="AF449" s="195">
        <f t="shared" si="71"/>
        <v>1.1399501900538551E-2</v>
      </c>
      <c r="AG449" s="255" t="str">
        <f>IF(ISNUMBER(SEARCH("C",'WetLitterbags placem_collection'!AD376)),"YES","NO")</f>
        <v>NO</v>
      </c>
      <c r="AH449" s="255" t="str">
        <f>IF(ISNUMBER(SEARCH("H", 'WetLitterbags placem_collection'!AF156)),"YES","NO")</f>
        <v>NO</v>
      </c>
      <c r="AI449" s="255" t="str">
        <f>IF(ISNUMBER(SEARCH("R", 'WetLitterbags placem_collection'!XF156)),"YES","NO")</f>
        <v>NO</v>
      </c>
      <c r="AJ449" s="255" t="str">
        <f>IF(ISNUMBER(SEARCH("C", 'WetLitterbags placem_collection'!WE156)),"YES","NO")</f>
        <v>NO</v>
      </c>
      <c r="AK449" s="255" t="str">
        <f>IF(ISNUMBER(SEARCH("H", 'WetLitterbags placem_collection'!AE156)),"YES","NO")</f>
        <v>NO</v>
      </c>
      <c r="AL449" s="255" t="str">
        <f>IF(ISNUMBER(SEARCH("R", 'WetLitterbags placem_collection'!AE156)),"YES","NO")</f>
        <v>NO</v>
      </c>
    </row>
    <row r="450" spans="2:38">
      <c r="B450" t="str">
        <f>'Final data_for_R_analysis_Wetse'!A596</f>
        <v>Wet</v>
      </c>
      <c r="C450" s="263">
        <f>'Final data_for_R_analysis_Wetse'!B596</f>
        <v>155</v>
      </c>
      <c r="D450" t="s">
        <v>3850</v>
      </c>
      <c r="E450" t="s">
        <v>25</v>
      </c>
      <c r="F450" s="386">
        <v>3</v>
      </c>
      <c r="G450" s="16">
        <f>'WetLitterbags placem_collection'!E157</f>
        <v>42762</v>
      </c>
      <c r="H450" s="92" t="str">
        <f>'Final data_for_R_analysis_Wetse'!J596</f>
        <v>G827</v>
      </c>
      <c r="I450" t="str">
        <f>'Final data_for_R_analysis_Wetse'!J816</f>
        <v>R556</v>
      </c>
      <c r="J450">
        <f>IFERROR(INDEX('Green_rooibos initial weight'!$C$5:$C$1749,MATCH(H450, 'Green_rooibos initial weight'!$A$5:$A$1749,0)),"")</f>
        <v>1.883</v>
      </c>
      <c r="K450">
        <f>IFERROR(INDEX('Green_rooibos initial weight'!$C$5:$C$1749,MATCH(I450, 'Green_rooibos initial weight'!$A$5:$A$1749,0)),"")</f>
        <v>2.0830000000000002</v>
      </c>
      <c r="L450" s="195">
        <f t="shared" si="64"/>
        <v>1.6332</v>
      </c>
      <c r="M450" s="195">
        <f>AVERAGE(Ashed_controlls!$K$2:$K$11)</f>
        <v>5.5147656768714146</v>
      </c>
      <c r="N450" s="195">
        <f t="shared" si="60"/>
        <v>1.543132846965336</v>
      </c>
      <c r="O450" s="195">
        <f t="shared" si="65"/>
        <v>1.8332000000000002</v>
      </c>
      <c r="P450" s="195">
        <f>AVERAGE(Ashed_controlls!$K$12:$K$14)</f>
        <v>2.2816647271287041</v>
      </c>
      <c r="Q450" s="195">
        <f t="shared" si="66"/>
        <v>1.7913725222222767</v>
      </c>
      <c r="R450" s="16">
        <f>IF('WetLitterbags placem_collection'!G157="N.A","",'WetLitterbags placem_collection'!G157)</f>
        <v>42816</v>
      </c>
      <c r="S450" s="195" t="str">
        <f>IF(IFERROR(INDEX('Both teabags AfterWet'!$C$3:$C$841,MATCH(H450,'Both teabags AfterWet'!$A$3:$A$841,0)),"")="N.A","",(IFERROR(INDEX('Both teabags AfterWet'!$C$3:$C$841,MATCH(H450,'Both teabags AfterWet'!$A$3:$A$841,0)),"")))</f>
        <v/>
      </c>
      <c r="T450" s="195">
        <f>IFERROR(INDEX('Both teabags AfterWet'!$C$3:$C$841,MATCH(I450,'Both teabags AfterWet'!$A$3:$A$841,0)),"")</f>
        <v>1.643</v>
      </c>
      <c r="U450" s="195" t="str">
        <f t="shared" si="67"/>
        <v/>
      </c>
      <c r="V450" s="195">
        <f t="shared" si="67"/>
        <v>1.4923999999999999</v>
      </c>
      <c r="W450" s="195">
        <f>IFERROR(INDEX('Ashed teabags wet'!$K$2:$K$821,MATCH(H450,'Ashed teabags wet'!$A$2:$A$821,0)),"")</f>
        <v>19.219219219219006</v>
      </c>
      <c r="X450" s="195">
        <f>IFERROR(INDEX('Ashed teabags wet'!$K$2:$K$821,MATCH(I450,'Ashed teabags wet'!$A$2:$A$821,0)),"")</f>
        <v>7.5886170743882877</v>
      </c>
      <c r="Y450" s="195" t="str">
        <f t="shared" si="61"/>
        <v/>
      </c>
      <c r="Z450" s="195">
        <f t="shared" si="61"/>
        <v>1.3791474787818292</v>
      </c>
      <c r="AA450" s="195" t="str">
        <f t="shared" si="68"/>
        <v/>
      </c>
      <c r="AB450" s="195" t="str">
        <f t="shared" si="69"/>
        <v/>
      </c>
      <c r="AC450" s="195">
        <f t="shared" si="62"/>
        <v>0.76988312686126048</v>
      </c>
      <c r="AD450">
        <f t="shared" si="63"/>
        <v>54</v>
      </c>
      <c r="AE450" s="195" t="str">
        <f t="shared" si="70"/>
        <v/>
      </c>
      <c r="AF450" s="195" t="str">
        <f t="shared" si="71"/>
        <v/>
      </c>
      <c r="AG450" s="255" t="str">
        <f>IF(ISNUMBER(SEARCH("C",'WetLitterbags placem_collection'!AD377)),"YES","NO")</f>
        <v>NO</v>
      </c>
      <c r="AH450" s="255" t="str">
        <f>IF(ISNUMBER(SEARCH("H", 'WetLitterbags placem_collection'!AF157)),"YES","NO")</f>
        <v>NO</v>
      </c>
      <c r="AI450" s="255" t="str">
        <f>IF(ISNUMBER(SEARCH("R", 'WetLitterbags placem_collection'!XF157)),"YES","NO")</f>
        <v>NO</v>
      </c>
      <c r="AJ450" s="255" t="str">
        <f>IF(ISNUMBER(SEARCH("C", 'WetLitterbags placem_collection'!WE157)),"YES","NO")</f>
        <v>NO</v>
      </c>
      <c r="AK450" s="255" t="str">
        <f>IF(ISNUMBER(SEARCH("H", 'WetLitterbags placem_collection'!AE157)),"YES","NO")</f>
        <v>NO</v>
      </c>
      <c r="AL450" s="255" t="str">
        <f>IF(ISNUMBER(SEARCH("R", 'WetLitterbags placem_collection'!AE157)),"YES","NO")</f>
        <v>NO</v>
      </c>
    </row>
    <row r="451" spans="2:38">
      <c r="B451" t="str">
        <f>'Final data_for_R_analysis_Wetse'!A597</f>
        <v>Wet</v>
      </c>
      <c r="C451" s="263">
        <f>'Final data_for_R_analysis_Wetse'!B597</f>
        <v>156</v>
      </c>
      <c r="D451" t="s">
        <v>3850</v>
      </c>
      <c r="E451" t="s">
        <v>25</v>
      </c>
      <c r="F451" s="387">
        <v>4</v>
      </c>
      <c r="G451" s="16">
        <f>'WetLitterbags placem_collection'!E158</f>
        <v>42762</v>
      </c>
      <c r="H451" s="92" t="str">
        <f>'Final data_for_R_analysis_Wetse'!J597</f>
        <v>G667</v>
      </c>
      <c r="I451" t="str">
        <f>'Final data_for_R_analysis_Wetse'!J817</f>
        <v>R464</v>
      </c>
      <c r="J451">
        <f>IFERROR(INDEX('Green_rooibos initial weight'!$C$5:$C$1749,MATCH(H451, 'Green_rooibos initial weight'!$A$5:$A$1749,0)),"")</f>
        <v>2.048</v>
      </c>
      <c r="K451">
        <f>IFERROR(INDEX('Green_rooibos initial weight'!$C$5:$C$1749,MATCH(I451, 'Green_rooibos initial weight'!$A$5:$A$1749,0)),"")</f>
        <v>2.2040000000000002</v>
      </c>
      <c r="L451" s="195">
        <f t="shared" si="64"/>
        <v>1.7982</v>
      </c>
      <c r="M451" s="195">
        <f>AVERAGE(Ashed_controlls!$K$2:$K$11)</f>
        <v>5.5147656768714146</v>
      </c>
      <c r="N451" s="195">
        <f t="shared" si="60"/>
        <v>1.6990334835984982</v>
      </c>
      <c r="O451" s="195">
        <f t="shared" si="65"/>
        <v>1.9542000000000002</v>
      </c>
      <c r="P451" s="195">
        <f>AVERAGE(Ashed_controlls!$K$12:$K$14)</f>
        <v>2.2816647271287041</v>
      </c>
      <c r="Q451" s="195">
        <f t="shared" si="66"/>
        <v>1.909611707902451</v>
      </c>
      <c r="R451" s="16">
        <f>IF('WetLitterbags placem_collection'!G158="N.A","",'WetLitterbags placem_collection'!G158)</f>
        <v>42816</v>
      </c>
      <c r="S451" s="195">
        <f>IF(IFERROR(INDEX('Both teabags AfterWet'!$C$3:$C$841,MATCH(H451,'Both teabags AfterWet'!$A$3:$A$841,0)),"")="N.A","",(IFERROR(INDEX('Both teabags AfterWet'!$C$3:$C$841,MATCH(H451,'Both teabags AfterWet'!$A$3:$A$841,0)),"")))</f>
        <v>0.65800000000000003</v>
      </c>
      <c r="T451" s="195">
        <f>IFERROR(INDEX('Both teabags AfterWet'!$C$3:$C$841,MATCH(I451,'Both teabags AfterWet'!$A$3:$A$841,0)),"")</f>
        <v>1.802</v>
      </c>
      <c r="U451" s="195">
        <f t="shared" si="67"/>
        <v>0.50740000000000007</v>
      </c>
      <c r="V451" s="195">
        <f t="shared" si="67"/>
        <v>1.6514</v>
      </c>
      <c r="W451" s="195">
        <f>IFERROR(INDEX('Ashed teabags wet'!$K$2:$K$821,MATCH(H451,'Ashed teabags wet'!$A$2:$A$821,0)),"")</f>
        <v>27.494061757718864</v>
      </c>
      <c r="X451" s="195">
        <f>IFERROR(INDEX('Ashed teabags wet'!$K$2:$K$821,MATCH(I451,'Ashed teabags wet'!$A$2:$A$821,0)),"")</f>
        <v>8.8737201365180916</v>
      </c>
      <c r="Y451" s="195">
        <f t="shared" si="61"/>
        <v>0.36789513064133456</v>
      </c>
      <c r="Z451" s="195">
        <f t="shared" si="61"/>
        <v>1.5048593856655401</v>
      </c>
      <c r="AA451" s="195">
        <f t="shared" si="68"/>
        <v>0.78346799271892831</v>
      </c>
      <c r="AB451" s="195">
        <f t="shared" si="69"/>
        <v>0.51362747266134023</v>
      </c>
      <c r="AC451" s="195">
        <f t="shared" si="62"/>
        <v>0.78804470010214922</v>
      </c>
      <c r="AD451">
        <f t="shared" si="63"/>
        <v>54</v>
      </c>
      <c r="AE451" s="195">
        <f t="shared" si="70"/>
        <v>6.9515448077282271E-2</v>
      </c>
      <c r="AF451" s="195">
        <f t="shared" si="71"/>
        <v>9.8547654483243322E-3</v>
      </c>
      <c r="AG451" s="255" t="str">
        <f>IF(ISNUMBER(SEARCH("C",'WetLitterbags placem_collection'!AD378)),"YES","NO")</f>
        <v>NO</v>
      </c>
      <c r="AH451" s="255" t="str">
        <f>IF(ISNUMBER(SEARCH("H", 'WetLitterbags placem_collection'!AF158)),"YES","NO")</f>
        <v>NO</v>
      </c>
      <c r="AI451" s="255" t="str">
        <f>IF(ISNUMBER(SEARCH("R", 'WetLitterbags placem_collection'!XF158)),"YES","NO")</f>
        <v>NO</v>
      </c>
      <c r="AJ451" s="255" t="str">
        <f>IF(ISNUMBER(SEARCH("C", 'WetLitterbags placem_collection'!WE158)),"YES","NO")</f>
        <v>NO</v>
      </c>
      <c r="AK451" s="255" t="str">
        <f>IF(ISNUMBER(SEARCH("H", 'WetLitterbags placem_collection'!AE158)),"YES","NO")</f>
        <v>NO</v>
      </c>
      <c r="AL451" s="255" t="str">
        <f>IF(ISNUMBER(SEARCH("R", 'WetLitterbags placem_collection'!AE158)),"YES","NO")</f>
        <v>NO</v>
      </c>
    </row>
    <row r="452" spans="2:38">
      <c r="B452" t="str">
        <f>'Final data_for_R_analysis_Wetse'!A598</f>
        <v>Wet</v>
      </c>
      <c r="C452" s="263">
        <f>'Final data_for_R_analysis_Wetse'!B598</f>
        <v>157</v>
      </c>
      <c r="D452" t="s">
        <v>3850</v>
      </c>
      <c r="E452" t="s">
        <v>25</v>
      </c>
      <c r="F452" s="387">
        <v>5</v>
      </c>
      <c r="G452" s="16">
        <f>'WetLitterbags placem_collection'!E159</f>
        <v>42762</v>
      </c>
      <c r="H452" s="92" t="str">
        <f>'Final data_for_R_analysis_Wetse'!J598</f>
        <v>G777</v>
      </c>
      <c r="I452" t="str">
        <f>'Final data_for_R_analysis_Wetse'!J818</f>
        <v>R35</v>
      </c>
      <c r="J452">
        <f>IFERROR(INDEX('Green_rooibos initial weight'!$C$5:$C$1749,MATCH(H452, 'Green_rooibos initial weight'!$A$5:$A$1749,0)),"")</f>
        <v>2.0470000000000002</v>
      </c>
      <c r="K452">
        <f>IFERROR(INDEX('Green_rooibos initial weight'!$C$5:$C$1749,MATCH(I452, 'Green_rooibos initial weight'!$A$5:$A$1749,0)),"")</f>
        <v>2.0630000000000002</v>
      </c>
      <c r="L452" s="195">
        <f t="shared" si="64"/>
        <v>1.7972000000000001</v>
      </c>
      <c r="M452" s="195">
        <f>AVERAGE(Ashed_controlls!$K$2:$K$11)</f>
        <v>5.5147656768714146</v>
      </c>
      <c r="N452" s="195">
        <f t="shared" si="60"/>
        <v>1.698088631255267</v>
      </c>
      <c r="O452" s="195">
        <f t="shared" si="65"/>
        <v>1.8132000000000001</v>
      </c>
      <c r="P452" s="195">
        <f>AVERAGE(Ashed_controlls!$K$12:$K$14)</f>
        <v>2.2816647271287041</v>
      </c>
      <c r="Q452" s="195">
        <f t="shared" si="66"/>
        <v>1.7718288551677024</v>
      </c>
      <c r="R452" s="16">
        <f>IF('WetLitterbags placem_collection'!G159="N.A","",'WetLitterbags placem_collection'!G159)</f>
        <v>42816</v>
      </c>
      <c r="S452" s="195">
        <f>IF(IFERROR(INDEX('Both teabags AfterWet'!$C$3:$C$841,MATCH(H452,'Both teabags AfterWet'!$A$3:$A$841,0)),"")="N.A","",(IFERROR(INDEX('Both teabags AfterWet'!$C$3:$C$841,MATCH(H452,'Both teabags AfterWet'!$A$3:$A$841,0)),"")))</f>
        <v>0.70499999999999996</v>
      </c>
      <c r="T452" s="195">
        <f>IFERROR(INDEX('Both teabags AfterWet'!$C$3:$C$841,MATCH(I452,'Both teabags AfterWet'!$A$3:$A$841,0)),"")</f>
        <v>1.994</v>
      </c>
      <c r="U452" s="195">
        <f t="shared" si="67"/>
        <v>0.5544</v>
      </c>
      <c r="V452" s="195">
        <f t="shared" si="67"/>
        <v>1.8433999999999999</v>
      </c>
      <c r="W452" s="195">
        <f>IFERROR(INDEX('Ashed teabags wet'!$K$2:$K$821,MATCH(H452,'Ashed teabags wet'!$A$2:$A$821,0)),"")</f>
        <v>15.610972568578548</v>
      </c>
      <c r="X452" s="195">
        <f>IFERROR(INDEX('Ashed teabags wet'!$K$2:$K$821,MATCH(I452,'Ashed teabags wet'!$A$2:$A$821,0)),"")</f>
        <v>10.019743336623607</v>
      </c>
      <c r="Y452" s="195">
        <f t="shared" si="61"/>
        <v>0.46785276807980053</v>
      </c>
      <c r="Z452" s="195">
        <f t="shared" si="61"/>
        <v>1.6586960513326803</v>
      </c>
      <c r="AA452" s="195">
        <f t="shared" si="68"/>
        <v>0.72448271576145418</v>
      </c>
      <c r="AB452" s="195">
        <f t="shared" si="69"/>
        <v>0.47495778990537141</v>
      </c>
      <c r="AC452" s="195">
        <f t="shared" si="62"/>
        <v>0.93614913567692504</v>
      </c>
      <c r="AD452">
        <f t="shared" si="63"/>
        <v>54</v>
      </c>
      <c r="AE452" s="195">
        <f t="shared" si="70"/>
        <v>0.13956922118592141</v>
      </c>
      <c r="AF452" s="195">
        <f t="shared" si="71"/>
        <v>2.6735666018650444E-3</v>
      </c>
      <c r="AG452" s="255" t="str">
        <f>IF(ISNUMBER(SEARCH("C",'WetLitterbags placem_collection'!AD379)),"YES","NO")</f>
        <v>NO</v>
      </c>
      <c r="AH452" s="255" t="str">
        <f>IF(ISNUMBER(SEARCH("H", 'WetLitterbags placem_collection'!AF159)),"YES","NO")</f>
        <v>NO</v>
      </c>
      <c r="AI452" s="255" t="str">
        <f>IF(ISNUMBER(SEARCH("R", 'WetLitterbags placem_collection'!XF159)),"YES","NO")</f>
        <v>NO</v>
      </c>
      <c r="AJ452" s="255" t="str">
        <f>IF(ISNUMBER(SEARCH("C", 'WetLitterbags placem_collection'!WE159)),"YES","NO")</f>
        <v>NO</v>
      </c>
      <c r="AK452" s="255" t="str">
        <f>IF(ISNUMBER(SEARCH("H", 'WetLitterbags placem_collection'!AE159)),"YES","NO")</f>
        <v>NO</v>
      </c>
      <c r="AL452" s="255" t="str">
        <f>IF(ISNUMBER(SEARCH("R", 'WetLitterbags placem_collection'!AE159)),"YES","NO")</f>
        <v>NO</v>
      </c>
    </row>
    <row r="453" spans="2:38">
      <c r="B453" t="str">
        <f>'Final data_for_R_analysis_Wetse'!A599</f>
        <v>Wet</v>
      </c>
      <c r="C453" s="263">
        <f>'Final data_for_R_analysis_Wetse'!B599</f>
        <v>158</v>
      </c>
      <c r="D453" t="s">
        <v>3850</v>
      </c>
      <c r="E453" t="s">
        <v>25</v>
      </c>
      <c r="F453" s="387">
        <v>6</v>
      </c>
      <c r="G453" s="16">
        <f>'WetLitterbags placem_collection'!E160</f>
        <v>42762</v>
      </c>
      <c r="H453" s="92" t="str">
        <f>'Final data_for_R_analysis_Wetse'!J599</f>
        <v>G884</v>
      </c>
      <c r="I453" t="str">
        <f>'Final data_for_R_analysis_Wetse'!J819</f>
        <v>R570</v>
      </c>
      <c r="J453">
        <f>IFERROR(INDEX('Green_rooibos initial weight'!$C$5:$C$1749,MATCH(H453, 'Green_rooibos initial weight'!$A$5:$A$1749,0)),"")</f>
        <v>2.0710000000000002</v>
      </c>
      <c r="K453">
        <f>IFERROR(INDEX('Green_rooibos initial weight'!$C$5:$C$1749,MATCH(I453, 'Green_rooibos initial weight'!$A$5:$A$1749,0)),"")</f>
        <v>2.0910000000000002</v>
      </c>
      <c r="L453" s="195">
        <f t="shared" si="64"/>
        <v>1.8212000000000002</v>
      </c>
      <c r="M453" s="195">
        <f>AVERAGE(Ashed_controlls!$K$2:$K$11)</f>
        <v>5.5147656768714146</v>
      </c>
      <c r="N453" s="195">
        <f t="shared" si="60"/>
        <v>1.720765087492818</v>
      </c>
      <c r="O453" s="195">
        <f t="shared" si="65"/>
        <v>1.8412000000000002</v>
      </c>
      <c r="P453" s="195">
        <f>AVERAGE(Ashed_controlls!$K$12:$K$14)</f>
        <v>2.2816647271287041</v>
      </c>
      <c r="Q453" s="195">
        <f t="shared" si="66"/>
        <v>1.7991899890441065</v>
      </c>
      <c r="R453" s="16">
        <f>IF('WetLitterbags placem_collection'!G160="N.A","",'WetLitterbags placem_collection'!G160)</f>
        <v>42816</v>
      </c>
      <c r="S453" s="195">
        <f>IF(IFERROR(INDEX('Both teabags AfterWet'!$C$3:$C$841,MATCH(H453,'Both teabags AfterWet'!$A$3:$A$841,0)),"")="N.A","",(IFERROR(INDEX('Both teabags AfterWet'!$C$3:$C$841,MATCH(H453,'Both teabags AfterWet'!$A$3:$A$841,0)),"")))</f>
        <v>0.629</v>
      </c>
      <c r="T453" s="195">
        <f>IFERROR(INDEX('Both teabags AfterWet'!$C$3:$C$841,MATCH(I453,'Both teabags AfterWet'!$A$3:$A$841,0)),"")</f>
        <v>1.718</v>
      </c>
      <c r="U453" s="195">
        <f t="shared" si="67"/>
        <v>0.47839999999999999</v>
      </c>
      <c r="V453" s="195">
        <f t="shared" si="67"/>
        <v>1.5673999999999999</v>
      </c>
      <c r="W453" s="195">
        <f>IFERROR(INDEX('Ashed teabags wet'!$K$2:$K$821,MATCH(H453,'Ashed teabags wet'!$A$2:$A$821,0)),"")</f>
        <v>11.313330054107281</v>
      </c>
      <c r="X453" s="195">
        <f>IFERROR(INDEX('Ashed teabags wet'!$K$2:$K$821,MATCH(I453,'Ashed teabags wet'!$A$2:$A$821,0)),"")</f>
        <v>4.5090180360722032</v>
      </c>
      <c r="Y453" s="195">
        <f t="shared" si="61"/>
        <v>0.42427702902115078</v>
      </c>
      <c r="Z453" s="195">
        <f t="shared" si="61"/>
        <v>1.4967256513026042</v>
      </c>
      <c r="AA453" s="195">
        <f t="shared" si="68"/>
        <v>0.75343698445246288</v>
      </c>
      <c r="AB453" s="195">
        <f t="shared" si="69"/>
        <v>0.49393968576931063</v>
      </c>
      <c r="AC453" s="195">
        <f t="shared" si="62"/>
        <v>0.83188860565959521</v>
      </c>
      <c r="AD453">
        <f t="shared" si="63"/>
        <v>54</v>
      </c>
      <c r="AE453" s="195">
        <f t="shared" si="70"/>
        <v>0.10518172867878517</v>
      </c>
      <c r="AF453" s="195">
        <f t="shared" si="71"/>
        <v>7.7044979065424846E-3</v>
      </c>
      <c r="AG453" s="255" t="str">
        <f>IF(ISNUMBER(SEARCH("C",'WetLitterbags placem_collection'!AD380)),"YES","NO")</f>
        <v>NO</v>
      </c>
      <c r="AH453" s="255" t="str">
        <f>IF(ISNUMBER(SEARCH("H", 'WetLitterbags placem_collection'!AF160)),"YES","NO")</f>
        <v>NO</v>
      </c>
      <c r="AI453" s="255" t="str">
        <f>IF(ISNUMBER(SEARCH("R", 'WetLitterbags placem_collection'!XF160)),"YES","NO")</f>
        <v>NO</v>
      </c>
      <c r="AJ453" s="255" t="str">
        <f>IF(ISNUMBER(SEARCH("C", 'WetLitterbags placem_collection'!WE160)),"YES","NO")</f>
        <v>NO</v>
      </c>
      <c r="AK453" s="255" t="str">
        <f>IF(ISNUMBER(SEARCH("H", 'WetLitterbags placem_collection'!AE160)),"YES","NO")</f>
        <v>NO</v>
      </c>
      <c r="AL453" s="255" t="str">
        <f>IF(ISNUMBER(SEARCH("R", 'WetLitterbags placem_collection'!AE160)),"YES","NO")</f>
        <v>NO</v>
      </c>
    </row>
    <row r="454" spans="2:38">
      <c r="B454" t="str">
        <f>'Final data_for_R_analysis_Wetse'!A600</f>
        <v>Wet</v>
      </c>
      <c r="C454" s="263">
        <f>'Final data_for_R_analysis_Wetse'!B600</f>
        <v>159</v>
      </c>
      <c r="D454" t="s">
        <v>3850</v>
      </c>
      <c r="E454" t="s">
        <v>25</v>
      </c>
      <c r="F454" s="387">
        <v>7</v>
      </c>
      <c r="G454" s="16">
        <f>'WetLitterbags placem_collection'!E161</f>
        <v>42762</v>
      </c>
      <c r="H454" s="92" t="str">
        <f>'Final data_for_R_analysis_Wetse'!J600</f>
        <v>G731</v>
      </c>
      <c r="I454" t="str">
        <f>'Final data_for_R_analysis_Wetse'!J820</f>
        <v>R439</v>
      </c>
      <c r="J454">
        <f>IFERROR(INDEX('Green_rooibos initial weight'!$C$5:$C$1749,MATCH(H454, 'Green_rooibos initial weight'!$A$5:$A$1749,0)),"")</f>
        <v>2.14</v>
      </c>
      <c r="K454">
        <f>IFERROR(INDEX('Green_rooibos initial weight'!$C$5:$C$1749,MATCH(I454, 'Green_rooibos initial weight'!$A$5:$A$1749,0)),"")</f>
        <v>2.2450000000000001</v>
      </c>
      <c r="L454" s="195">
        <f t="shared" si="64"/>
        <v>1.8902000000000001</v>
      </c>
      <c r="M454" s="195">
        <f>AVERAGE(Ashed_controlls!$K$2:$K$11)</f>
        <v>5.5147656768714146</v>
      </c>
      <c r="N454" s="195">
        <f t="shared" si="60"/>
        <v>1.7859598991757766</v>
      </c>
      <c r="O454" s="195">
        <f t="shared" si="65"/>
        <v>1.9952000000000001</v>
      </c>
      <c r="P454" s="195">
        <f>AVERAGE(Ashed_controlls!$K$12:$K$14)</f>
        <v>2.2816647271287041</v>
      </c>
      <c r="Q454" s="195">
        <f t="shared" si="66"/>
        <v>1.9496762253643283</v>
      </c>
      <c r="R454" s="16">
        <f>IF('WetLitterbags placem_collection'!G161="N.A","",'WetLitterbags placem_collection'!G161)</f>
        <v>42816</v>
      </c>
      <c r="S454" s="195" t="str">
        <f>IF(IFERROR(INDEX('Both teabags AfterWet'!$C$3:$C$841,MATCH(H454,'Both teabags AfterWet'!$A$3:$A$841,0)),"")="N.A","",(IFERROR(INDEX('Both teabags AfterWet'!$C$3:$C$841,MATCH(H454,'Both teabags AfterWet'!$A$3:$A$841,0)),"")))</f>
        <v/>
      </c>
      <c r="T454" s="195" t="str">
        <f>IFERROR(INDEX('Both teabags AfterWet'!$C$3:$C$841,MATCH(I454,'Both teabags AfterWet'!$A$3:$A$841,0)),"")</f>
        <v/>
      </c>
      <c r="U454" s="195" t="str">
        <f t="shared" si="67"/>
        <v/>
      </c>
      <c r="V454" s="195" t="str">
        <f t="shared" si="67"/>
        <v/>
      </c>
      <c r="W454" s="195" t="str">
        <f>IFERROR(INDEX('Ashed teabags wet'!$K$2:$K$821,MATCH(H454,'Ashed teabags wet'!$A$2:$A$821,0)),"")</f>
        <v/>
      </c>
      <c r="X454" s="195" t="str">
        <f>IFERROR(INDEX('Ashed teabags wet'!$K$2:$K$821,MATCH(I454,'Ashed teabags wet'!$A$2:$A$821,0)),"")</f>
        <v/>
      </c>
      <c r="Y454" s="195" t="str">
        <f t="shared" si="61"/>
        <v/>
      </c>
      <c r="Z454" s="195" t="str">
        <f t="shared" si="61"/>
        <v/>
      </c>
      <c r="AA454" s="195" t="str">
        <f t="shared" si="68"/>
        <v/>
      </c>
      <c r="AB454" s="195" t="str">
        <f t="shared" si="69"/>
        <v/>
      </c>
      <c r="AC454" s="195" t="str">
        <f t="shared" si="62"/>
        <v/>
      </c>
      <c r="AD454">
        <f t="shared" si="63"/>
        <v>54</v>
      </c>
      <c r="AE454" s="195" t="str">
        <f t="shared" si="70"/>
        <v/>
      </c>
      <c r="AF454" s="195" t="str">
        <f t="shared" si="71"/>
        <v/>
      </c>
      <c r="AG454" s="255" t="str">
        <f>IF(ISNUMBER(SEARCH("C",'WetLitterbags placem_collection'!AD381)),"YES","NO")</f>
        <v>NO</v>
      </c>
      <c r="AH454" s="255" t="str">
        <f>IF(ISNUMBER(SEARCH("H", 'WetLitterbags placem_collection'!AF161)),"YES","NO")</f>
        <v>NO</v>
      </c>
      <c r="AI454" s="255" t="str">
        <f>IF(ISNUMBER(SEARCH("R", 'WetLitterbags placem_collection'!XF161)),"YES","NO")</f>
        <v>NO</v>
      </c>
      <c r="AJ454" s="255" t="str">
        <f>IF(ISNUMBER(SEARCH("C", 'WetLitterbags placem_collection'!WE161)),"YES","NO")</f>
        <v>NO</v>
      </c>
      <c r="AK454" s="255" t="str">
        <f>IF(ISNUMBER(SEARCH("H", 'WetLitterbags placem_collection'!AE161)),"YES","NO")</f>
        <v>NO</v>
      </c>
      <c r="AL454" s="255" t="str">
        <f>IF(ISNUMBER(SEARCH("R", 'WetLitterbags placem_collection'!AE161)),"YES","NO")</f>
        <v>NO</v>
      </c>
    </row>
    <row r="455" spans="2:38">
      <c r="B455" t="str">
        <f>'Final data_for_R_analysis_Wetse'!A601</f>
        <v>Wet</v>
      </c>
      <c r="C455" s="263">
        <f>'Final data_for_R_analysis_Wetse'!B601</f>
        <v>160</v>
      </c>
      <c r="D455" t="s">
        <v>3850</v>
      </c>
      <c r="E455" t="s">
        <v>25</v>
      </c>
      <c r="F455" s="387">
        <v>8</v>
      </c>
      <c r="G455" s="16">
        <f>'WetLitterbags placem_collection'!E162</f>
        <v>42762</v>
      </c>
      <c r="H455" s="92" t="str">
        <f>'Final data_for_R_analysis_Wetse'!J601</f>
        <v>G876</v>
      </c>
      <c r="I455" t="str">
        <f>'Final data_for_R_analysis_Wetse'!J821</f>
        <v>R461</v>
      </c>
      <c r="J455">
        <f>IFERROR(INDEX('Green_rooibos initial weight'!$C$5:$C$1749,MATCH(H455, 'Green_rooibos initial weight'!$A$5:$A$1749,0)),"")</f>
        <v>1.9550000000000001</v>
      </c>
      <c r="K455">
        <f>IFERROR(INDEX('Green_rooibos initial weight'!$C$5:$C$1749,MATCH(I455, 'Green_rooibos initial weight'!$A$5:$A$1749,0)),"")</f>
        <v>2.1930000000000001</v>
      </c>
      <c r="L455" s="195">
        <f t="shared" si="64"/>
        <v>1.7052</v>
      </c>
      <c r="M455" s="195">
        <f>AVERAGE(Ashed_controlls!$K$2:$K$11)</f>
        <v>5.5147656768714146</v>
      </c>
      <c r="N455" s="195">
        <f t="shared" si="60"/>
        <v>1.6111622156779888</v>
      </c>
      <c r="O455" s="195">
        <f t="shared" si="65"/>
        <v>1.9432</v>
      </c>
      <c r="P455" s="195">
        <f>AVERAGE(Ashed_controlls!$K$12:$K$14)</f>
        <v>2.2816647271287041</v>
      </c>
      <c r="Q455" s="195">
        <f t="shared" si="66"/>
        <v>1.8988626910224351</v>
      </c>
      <c r="R455" s="16">
        <f>IF('WetLitterbags placem_collection'!G162="N.A","",'WetLitterbags placem_collection'!G162)</f>
        <v>42816</v>
      </c>
      <c r="S455" s="195">
        <f>IF(IFERROR(INDEX('Both teabags AfterWet'!$C$3:$C$841,MATCH(H455,'Both teabags AfterWet'!$A$3:$A$841,0)),"")="N.A","",(IFERROR(INDEX('Both teabags AfterWet'!$C$3:$C$841,MATCH(H455,'Both teabags AfterWet'!$A$3:$A$841,0)),"")))</f>
        <v>0.68100000000000005</v>
      </c>
      <c r="T455" s="195">
        <f>IFERROR(INDEX('Both teabags AfterWet'!$C$3:$C$841,MATCH(I455,'Both teabags AfterWet'!$A$3:$A$841,0)),"")</f>
        <v>1.744</v>
      </c>
      <c r="U455" s="195">
        <f t="shared" si="67"/>
        <v>0.53039999999999998</v>
      </c>
      <c r="V455" s="195">
        <f t="shared" si="67"/>
        <v>1.5933999999999999</v>
      </c>
      <c r="W455" s="195">
        <f>IFERROR(INDEX('Ashed teabags wet'!$K$2:$K$821,MATCH(H455,'Ashed teabags wet'!$A$2:$A$821,0)),"")</f>
        <v>12.187812187811872</v>
      </c>
      <c r="X455" s="195">
        <f>IFERROR(INDEX('Ashed teabags wet'!$K$2:$K$821,MATCH(I455,'Ashed teabags wet'!$A$2:$A$821,0)),"")</f>
        <v>4.181184668989598</v>
      </c>
      <c r="Y455" s="195">
        <f t="shared" si="61"/>
        <v>0.46575584415584581</v>
      </c>
      <c r="Z455" s="195">
        <f t="shared" si="61"/>
        <v>1.5267770034843198</v>
      </c>
      <c r="AA455" s="195">
        <f t="shared" si="68"/>
        <v>0.71091933535702223</v>
      </c>
      <c r="AB455" s="195">
        <f t="shared" si="69"/>
        <v>0.46606588256184839</v>
      </c>
      <c r="AC455" s="195">
        <f t="shared" si="62"/>
        <v>0.80404813402396813</v>
      </c>
      <c r="AD455">
        <f t="shared" si="63"/>
        <v>54</v>
      </c>
      <c r="AE455" s="195">
        <f t="shared" si="70"/>
        <v>0.1556777489821588</v>
      </c>
      <c r="AF455" s="195">
        <f t="shared" si="71"/>
        <v>1.0101534250144074E-2</v>
      </c>
      <c r="AG455" s="255" t="str">
        <f>IF(ISNUMBER(SEARCH("C",'WetLitterbags placem_collection'!AD382)),"YES","NO")</f>
        <v>NO</v>
      </c>
      <c r="AH455" s="255" t="str">
        <f>IF(ISNUMBER(SEARCH("H", 'WetLitterbags placem_collection'!AF162)),"YES","NO")</f>
        <v>NO</v>
      </c>
      <c r="AI455" s="255" t="str">
        <f>IF(ISNUMBER(SEARCH("R", 'WetLitterbags placem_collection'!XF162)),"YES","NO")</f>
        <v>NO</v>
      </c>
      <c r="AJ455" s="255" t="str">
        <f>IF(ISNUMBER(SEARCH("C", 'WetLitterbags placem_collection'!WE162)),"YES","NO")</f>
        <v>NO</v>
      </c>
      <c r="AK455" s="255" t="str">
        <f>IF(ISNUMBER(SEARCH("H", 'WetLitterbags placem_collection'!AE162)),"YES","NO")</f>
        <v>NO</v>
      </c>
      <c r="AL455" s="255" t="str">
        <f>IF(ISNUMBER(SEARCH("R", 'WetLitterbags placem_collection'!AE162)),"YES","NO")</f>
        <v>NO</v>
      </c>
    </row>
    <row r="456" spans="2:38">
      <c r="B456" t="str">
        <f>'Final data_for_R_analysis_Wetse'!A602</f>
        <v>Wet</v>
      </c>
      <c r="C456" s="263">
        <f>'Final data_for_R_analysis_Wetse'!B602</f>
        <v>161</v>
      </c>
      <c r="D456" t="s">
        <v>3851</v>
      </c>
      <c r="E456" t="s">
        <v>25</v>
      </c>
      <c r="F456" s="386">
        <v>1</v>
      </c>
      <c r="G456" s="16">
        <f>'WetLitterbags placem_collection'!E163</f>
        <v>42763</v>
      </c>
      <c r="H456" s="92" t="str">
        <f>'Final data_for_R_analysis_Wetse'!J602</f>
        <v>G351</v>
      </c>
      <c r="I456" t="str">
        <f>'Final data_for_R_analysis_Wetse'!J822</f>
        <v>R253</v>
      </c>
      <c r="J456">
        <f>IFERROR(INDEX('Green_rooibos initial weight'!$C$5:$C$1749,MATCH(H456, 'Green_rooibos initial weight'!$A$5:$A$1749,0)),"")</f>
        <v>1.909</v>
      </c>
      <c r="K456">
        <f>IFERROR(INDEX('Green_rooibos initial weight'!$C$5:$C$1749,MATCH(I456, 'Green_rooibos initial weight'!$A$5:$A$1749,0)),"")</f>
        <v>2.2130000000000001</v>
      </c>
      <c r="L456" s="195">
        <f t="shared" si="64"/>
        <v>1.6592</v>
      </c>
      <c r="M456" s="195">
        <f>AVERAGE(Ashed_controlls!$K$2:$K$11)</f>
        <v>5.5147656768714146</v>
      </c>
      <c r="N456" s="195">
        <f t="shared" si="60"/>
        <v>1.5676990078893496</v>
      </c>
      <c r="O456" s="195">
        <f t="shared" si="65"/>
        <v>1.9632000000000001</v>
      </c>
      <c r="P456" s="195">
        <f>AVERAGE(Ashed_controlls!$K$12:$K$14)</f>
        <v>2.2816647271287041</v>
      </c>
      <c r="Q456" s="195">
        <f t="shared" si="66"/>
        <v>1.9184063580770094</v>
      </c>
      <c r="R456" s="16">
        <f>IF('WetLitterbags placem_collection'!G163="N.A","",'WetLitterbags placem_collection'!G163)</f>
        <v>42814</v>
      </c>
      <c r="S456" s="195">
        <f>IF(IFERROR(INDEX('Both teabags AfterWet'!$C$3:$C$841,MATCH(H456,'Both teabags AfterWet'!$A$3:$A$841,0)),"")="N.A","",(IFERROR(INDEX('Both teabags AfterWet'!$C$3:$C$841,MATCH(H456,'Both teabags AfterWet'!$A$3:$A$841,0)),"")))</f>
        <v>0.58709999999999996</v>
      </c>
      <c r="T456" s="195">
        <f>IFERROR(INDEX('Both teabags AfterWet'!$C$3:$C$841,MATCH(I456,'Both teabags AfterWet'!$A$3:$A$841,0)),"")</f>
        <v>1.7033</v>
      </c>
      <c r="U456" s="195">
        <f t="shared" si="67"/>
        <v>0.43649999999999994</v>
      </c>
      <c r="V456" s="195">
        <f t="shared" si="67"/>
        <v>1.5527</v>
      </c>
      <c r="W456" s="195">
        <f>IFERROR(INDEX('Ashed teabags wet'!$K$2:$K$821,MATCH(H456,'Ashed teabags wet'!$A$2:$A$821,0)),"")</f>
        <v>11.028315946348718</v>
      </c>
      <c r="X456" s="195">
        <f>IFERROR(INDEX('Ashed teabags wet'!$K$2:$K$821,MATCH(I456,'Ashed teabags wet'!$A$2:$A$821,0)),"")</f>
        <v>2.4952015355091484</v>
      </c>
      <c r="Y456" s="195">
        <f t="shared" si="61"/>
        <v>0.3883614008941878</v>
      </c>
      <c r="Z456" s="195">
        <f t="shared" si="61"/>
        <v>1.5139570057581495</v>
      </c>
      <c r="AA456" s="195">
        <f t="shared" si="68"/>
        <v>0.75227298165031509</v>
      </c>
      <c r="AB456" s="195">
        <f t="shared" si="69"/>
        <v>0.49317658654509972</v>
      </c>
      <c r="AC456" s="195">
        <f t="shared" si="62"/>
        <v>0.78917430573766667</v>
      </c>
      <c r="AD456">
        <f t="shared" si="63"/>
        <v>51</v>
      </c>
      <c r="AE456" s="195">
        <f t="shared" si="70"/>
        <v>0.10656415480960202</v>
      </c>
      <c r="AF456" s="195">
        <f t="shared" si="71"/>
        <v>1.0935621594355623E-2</v>
      </c>
      <c r="AG456" s="255" t="str">
        <f>IF(ISNUMBER(SEARCH("C",'WetLitterbags placem_collection'!AD383)),"YES","NO")</f>
        <v>NO</v>
      </c>
      <c r="AH456" s="255" t="str">
        <f>IF(ISNUMBER(SEARCH("H", 'WetLitterbags placem_collection'!AF163)),"YES","NO")</f>
        <v>NO</v>
      </c>
      <c r="AI456" s="255" t="str">
        <f>IF(ISNUMBER(SEARCH("R", 'WetLitterbags placem_collection'!XF163)),"YES","NO")</f>
        <v>NO</v>
      </c>
      <c r="AJ456" s="255" t="str">
        <f>IF(ISNUMBER(SEARCH("C", 'WetLitterbags placem_collection'!WE163)),"YES","NO")</f>
        <v>NO</v>
      </c>
      <c r="AK456" s="255" t="str">
        <f>IF(ISNUMBER(SEARCH("H", 'WetLitterbags placem_collection'!AE163)),"YES","NO")</f>
        <v>NO</v>
      </c>
      <c r="AL456" s="255" t="str">
        <f>IF(ISNUMBER(SEARCH("R", 'WetLitterbags placem_collection'!AE163)),"YES","NO")</f>
        <v>NO</v>
      </c>
    </row>
    <row r="457" spans="2:38">
      <c r="B457" t="str">
        <f>'Final data_for_R_analysis_Wetse'!A603</f>
        <v>Wet</v>
      </c>
      <c r="C457" s="263">
        <f>'Final data_for_R_analysis_Wetse'!B603</f>
        <v>162</v>
      </c>
      <c r="D457" t="s">
        <v>3851</v>
      </c>
      <c r="E457" t="s">
        <v>25</v>
      </c>
      <c r="F457" s="386">
        <v>2</v>
      </c>
      <c r="G457" s="16">
        <f>'WetLitterbags placem_collection'!E164</f>
        <v>42763</v>
      </c>
      <c r="H457" s="92" t="str">
        <f>'Final data_for_R_analysis_Wetse'!J603</f>
        <v>G442</v>
      </c>
      <c r="I457" t="str">
        <f>'Final data_for_R_analysis_Wetse'!J823</f>
        <v>R285</v>
      </c>
      <c r="J457">
        <f>IFERROR(INDEX('Green_rooibos initial weight'!$C$5:$C$1749,MATCH(H457, 'Green_rooibos initial weight'!$A$5:$A$1749,0)),"")</f>
        <v>2.056</v>
      </c>
      <c r="K457">
        <f>IFERROR(INDEX('Green_rooibos initial weight'!$C$5:$C$1749,MATCH(I457, 'Green_rooibos initial weight'!$A$5:$A$1749,0)),"")</f>
        <v>2.2400000000000002</v>
      </c>
      <c r="L457" s="195">
        <f t="shared" si="64"/>
        <v>1.8062</v>
      </c>
      <c r="M457" s="195">
        <f>AVERAGE(Ashed_controlls!$K$2:$K$11)</f>
        <v>5.5147656768714146</v>
      </c>
      <c r="N457" s="195">
        <f t="shared" si="60"/>
        <v>1.7065923023443486</v>
      </c>
      <c r="O457" s="195">
        <f t="shared" si="65"/>
        <v>1.9902000000000002</v>
      </c>
      <c r="P457" s="195">
        <f>AVERAGE(Ashed_controlls!$K$12:$K$14)</f>
        <v>2.2816647271287041</v>
      </c>
      <c r="Q457" s="195">
        <f t="shared" si="66"/>
        <v>1.9447903086006848</v>
      </c>
      <c r="R457" s="16">
        <f>IF('WetLitterbags placem_collection'!G164="N.A","",'WetLitterbags placem_collection'!G164)</f>
        <v>42814</v>
      </c>
      <c r="S457" s="195">
        <f>IF(IFERROR(INDEX('Both teabags AfterWet'!$C$3:$C$841,MATCH(H457,'Both teabags AfterWet'!$A$3:$A$841,0)),"")="N.A","",(IFERROR(INDEX('Both teabags AfterWet'!$C$3:$C$841,MATCH(H457,'Both teabags AfterWet'!$A$3:$A$841,0)),"")))</f>
        <v>0.66290000000000004</v>
      </c>
      <c r="T457" s="195">
        <f>IFERROR(INDEX('Both teabags AfterWet'!$C$3:$C$841,MATCH(I457,'Both teabags AfterWet'!$A$3:$A$841,0)),"")</f>
        <v>1.6621999999999999</v>
      </c>
      <c r="U457" s="195">
        <f t="shared" si="67"/>
        <v>0.51229999999999998</v>
      </c>
      <c r="V457" s="195">
        <f t="shared" si="67"/>
        <v>1.5115999999999998</v>
      </c>
      <c r="W457" s="195">
        <f>IFERROR(INDEX('Ashed teabags wet'!$K$2:$K$821,MATCH(H457,'Ashed teabags wet'!$A$2:$A$821,0)),"")</f>
        <v>7.6199901039089131</v>
      </c>
      <c r="X457" s="195">
        <f>IFERROR(INDEX('Ashed teabags wet'!$K$2:$K$821,MATCH(I457,'Ashed teabags wet'!$A$2:$A$821,0)),"")</f>
        <v>1.8419777023749115</v>
      </c>
      <c r="Y457" s="195">
        <f t="shared" si="61"/>
        <v>0.47326279069767463</v>
      </c>
      <c r="Z457" s="195">
        <f t="shared" si="61"/>
        <v>1.4837566650509006</v>
      </c>
      <c r="AA457" s="195">
        <f t="shared" si="68"/>
        <v>0.72268550019383493</v>
      </c>
      <c r="AB457" s="195">
        <f t="shared" si="69"/>
        <v>0.47377956782303671</v>
      </c>
      <c r="AC457" s="195">
        <f t="shared" si="62"/>
        <v>0.76293915004054758</v>
      </c>
      <c r="AD457">
        <f t="shared" si="63"/>
        <v>51</v>
      </c>
      <c r="AE457" s="195">
        <f t="shared" si="70"/>
        <v>0.14170368148000601</v>
      </c>
      <c r="AF457" s="195">
        <f t="shared" si="71"/>
        <v>1.3605285782752977E-2</v>
      </c>
      <c r="AG457" s="255" t="str">
        <f>IF(ISNUMBER(SEARCH("C",'WetLitterbags placem_collection'!AD384)),"YES","NO")</f>
        <v>NO</v>
      </c>
      <c r="AH457" s="255" t="str">
        <f>IF(ISNUMBER(SEARCH("H", 'WetLitterbags placem_collection'!AF164)),"YES","NO")</f>
        <v>NO</v>
      </c>
      <c r="AI457" s="255" t="str">
        <f>IF(ISNUMBER(SEARCH("R", 'WetLitterbags placem_collection'!XF164)),"YES","NO")</f>
        <v>NO</v>
      </c>
      <c r="AJ457" s="255" t="str">
        <f>IF(ISNUMBER(SEARCH("C", 'WetLitterbags placem_collection'!WE164)),"YES","NO")</f>
        <v>NO</v>
      </c>
      <c r="AK457" s="255" t="str">
        <f>IF(ISNUMBER(SEARCH("H", 'WetLitterbags placem_collection'!AE164)),"YES","NO")</f>
        <v>NO</v>
      </c>
      <c r="AL457" s="255" t="str">
        <f>IF(ISNUMBER(SEARCH("R", 'WetLitterbags placem_collection'!AE164)),"YES","NO")</f>
        <v>NO</v>
      </c>
    </row>
    <row r="458" spans="2:38">
      <c r="B458" t="str">
        <f>'Final data_for_R_analysis_Wetse'!A604</f>
        <v>Wet</v>
      </c>
      <c r="C458" s="263">
        <f>'Final data_for_R_analysis_Wetse'!B604</f>
        <v>163</v>
      </c>
      <c r="D458" t="s">
        <v>3851</v>
      </c>
      <c r="E458" t="s">
        <v>25</v>
      </c>
      <c r="F458" s="386">
        <v>3</v>
      </c>
      <c r="G458" s="16">
        <f>'WetLitterbags placem_collection'!E165</f>
        <v>42763</v>
      </c>
      <c r="H458" s="92" t="str">
        <f>'Final data_for_R_analysis_Wetse'!J604</f>
        <v>G743</v>
      </c>
      <c r="I458" t="str">
        <f>'Final data_for_R_analysis_Wetse'!J824</f>
        <v>R341</v>
      </c>
      <c r="J458">
        <f>IFERROR(INDEX('Green_rooibos initial weight'!$C$5:$C$1749,MATCH(H458, 'Green_rooibos initial weight'!$A$5:$A$1749,0)),"")</f>
        <v>2.0339999999999998</v>
      </c>
      <c r="K458">
        <f>IFERROR(INDEX('Green_rooibos initial weight'!$C$5:$C$1749,MATCH(I458, 'Green_rooibos initial weight'!$A$5:$A$1749,0)),"")</f>
        <v>2.1560000000000001</v>
      </c>
      <c r="L458" s="195">
        <f t="shared" si="64"/>
        <v>1.7841999999999998</v>
      </c>
      <c r="M458" s="195">
        <f>AVERAGE(Ashed_controlls!$K$2:$K$11)</f>
        <v>5.5147656768714146</v>
      </c>
      <c r="N458" s="195">
        <f t="shared" si="60"/>
        <v>1.6858055507932601</v>
      </c>
      <c r="O458" s="195">
        <f t="shared" si="65"/>
        <v>1.9062000000000001</v>
      </c>
      <c r="P458" s="195">
        <f>AVERAGE(Ashed_controlls!$K$12:$K$14)</f>
        <v>2.2816647271287041</v>
      </c>
      <c r="Q458" s="195">
        <f t="shared" si="66"/>
        <v>1.8627069069714728</v>
      </c>
      <c r="R458" s="16">
        <f>IF('WetLitterbags placem_collection'!G165="N.A","",'WetLitterbags placem_collection'!G165)</f>
        <v>42814</v>
      </c>
      <c r="S458" s="195">
        <f>IF(IFERROR(INDEX('Both teabags AfterWet'!$C$3:$C$841,MATCH(H458,'Both teabags AfterWet'!$A$3:$A$841,0)),"")="N.A","",(IFERROR(INDEX('Both teabags AfterWet'!$C$3:$C$841,MATCH(H458,'Both teabags AfterWet'!$A$3:$A$841,0)),"")))</f>
        <v>0.68700000000000006</v>
      </c>
      <c r="T458" s="195">
        <f>IFERROR(INDEX('Both teabags AfterWet'!$C$3:$C$841,MATCH(I458,'Both teabags AfterWet'!$A$3:$A$841,0)),"")</f>
        <v>1.738</v>
      </c>
      <c r="U458" s="195">
        <f t="shared" si="67"/>
        <v>0.53639999999999999</v>
      </c>
      <c r="V458" s="195">
        <f t="shared" si="67"/>
        <v>1.5873999999999999</v>
      </c>
      <c r="W458" s="195">
        <f>IFERROR(INDEX('Ashed teabags wet'!$K$2:$K$821,MATCH(H458,'Ashed teabags wet'!$A$2:$A$821,0)),"")</f>
        <v>7.8343313373247501</v>
      </c>
      <c r="X458" s="195">
        <f>IFERROR(INDEX('Ashed teabags wet'!$K$2:$K$821,MATCH(I458,'Ashed teabags wet'!$A$2:$A$821,0)),"")</f>
        <v>2.2942643391521438</v>
      </c>
      <c r="Y458" s="195">
        <f t="shared" si="61"/>
        <v>0.49437664670659004</v>
      </c>
      <c r="Z458" s="195">
        <f t="shared" si="61"/>
        <v>1.5509808478802989</v>
      </c>
      <c r="AA458" s="195">
        <f t="shared" si="68"/>
        <v>0.70674159515374724</v>
      </c>
      <c r="AB458" s="195">
        <f t="shared" si="69"/>
        <v>0.46332703150221916</v>
      </c>
      <c r="AC458" s="195">
        <f t="shared" si="62"/>
        <v>0.83264889504382567</v>
      </c>
      <c r="AD458">
        <f t="shared" si="63"/>
        <v>51</v>
      </c>
      <c r="AE458" s="195">
        <f t="shared" si="70"/>
        <v>0.16063943568438566</v>
      </c>
      <c r="AF458" s="195">
        <f t="shared" si="71"/>
        <v>8.7873532256757189E-3</v>
      </c>
      <c r="AG458" s="255" t="str">
        <f>IF(ISNUMBER(SEARCH("C",'WetLitterbags placem_collection'!AD385)),"YES","NO")</f>
        <v>NO</v>
      </c>
      <c r="AH458" s="255" t="str">
        <f>IF(ISNUMBER(SEARCH("H", 'WetLitterbags placem_collection'!AF165)),"YES","NO")</f>
        <v>NO</v>
      </c>
      <c r="AI458" s="255" t="str">
        <f>IF(ISNUMBER(SEARCH("R", 'WetLitterbags placem_collection'!XF165)),"YES","NO")</f>
        <v>NO</v>
      </c>
      <c r="AJ458" s="255" t="str">
        <f>IF(ISNUMBER(SEARCH("C", 'WetLitterbags placem_collection'!WE165)),"YES","NO")</f>
        <v>NO</v>
      </c>
      <c r="AK458" s="255" t="str">
        <f>IF(ISNUMBER(SEARCH("H", 'WetLitterbags placem_collection'!AE165)),"YES","NO")</f>
        <v>NO</v>
      </c>
      <c r="AL458" s="255" t="str">
        <f>IF(ISNUMBER(SEARCH("R", 'WetLitterbags placem_collection'!AE165)),"YES","NO")</f>
        <v>NO</v>
      </c>
    </row>
    <row r="459" spans="2:38">
      <c r="B459" t="str">
        <f>'Final data_for_R_analysis_Wetse'!A605</f>
        <v>Wet</v>
      </c>
      <c r="C459" s="263">
        <f>'Final data_for_R_analysis_Wetse'!B605</f>
        <v>164</v>
      </c>
      <c r="D459" t="s">
        <v>3851</v>
      </c>
      <c r="E459" t="s">
        <v>25</v>
      </c>
      <c r="F459" s="387">
        <v>4</v>
      </c>
      <c r="G459" s="16">
        <f>'WetLitterbags placem_collection'!E166</f>
        <v>42763</v>
      </c>
      <c r="H459" s="92" t="str">
        <f>'Final data_for_R_analysis_Wetse'!J605</f>
        <v>G390</v>
      </c>
      <c r="I459" t="str">
        <f>'Final data_for_R_analysis_Wetse'!J825</f>
        <v>R264</v>
      </c>
      <c r="J459">
        <f>IFERROR(INDEX('Green_rooibos initial weight'!$C$5:$C$1749,MATCH(H459, 'Green_rooibos initial weight'!$A$5:$A$1749,0)),"")</f>
        <v>2.0630000000000002</v>
      </c>
      <c r="K459">
        <f>IFERROR(INDEX('Green_rooibos initial weight'!$C$5:$C$1749,MATCH(I459, 'Green_rooibos initial weight'!$A$5:$A$1749,0)),"")</f>
        <v>2.2250000000000001</v>
      </c>
      <c r="L459" s="195">
        <f t="shared" si="64"/>
        <v>1.8132000000000001</v>
      </c>
      <c r="M459" s="195">
        <f>AVERAGE(Ashed_controlls!$K$2:$K$11)</f>
        <v>5.5147656768714146</v>
      </c>
      <c r="N459" s="195">
        <f t="shared" si="60"/>
        <v>1.7132062687469676</v>
      </c>
      <c r="O459" s="195">
        <f t="shared" si="65"/>
        <v>1.9752000000000001</v>
      </c>
      <c r="P459" s="195">
        <f>AVERAGE(Ashed_controlls!$K$12:$K$14)</f>
        <v>2.2816647271287041</v>
      </c>
      <c r="Q459" s="195">
        <f t="shared" si="66"/>
        <v>1.9301325583097539</v>
      </c>
      <c r="R459" s="16">
        <f>IF('WetLitterbags placem_collection'!G166="N.A","",'WetLitterbags placem_collection'!G166)</f>
        <v>42814</v>
      </c>
      <c r="S459" s="195">
        <f>IF(IFERROR(INDEX('Both teabags AfterWet'!$C$3:$C$841,MATCH(H459,'Both teabags AfterWet'!$A$3:$A$841,0)),"")="N.A","",(IFERROR(INDEX('Both teabags AfterWet'!$C$3:$C$841,MATCH(H459,'Both teabags AfterWet'!$A$3:$A$841,0)),"")))</f>
        <v>0.63800000000000001</v>
      </c>
      <c r="T459" s="195">
        <f>IFERROR(INDEX('Both teabags AfterWet'!$C$3:$C$841,MATCH(I459,'Both teabags AfterWet'!$A$3:$A$841,0)),"")</f>
        <v>1.7050000000000001</v>
      </c>
      <c r="U459" s="195">
        <f t="shared" si="67"/>
        <v>0.4874</v>
      </c>
      <c r="V459" s="195">
        <f t="shared" si="67"/>
        <v>1.5544</v>
      </c>
      <c r="W459" s="195">
        <f>IFERROR(INDEX('Ashed teabags wet'!$K$2:$K$821,MATCH(H459,'Ashed teabags wet'!$A$2:$A$821,0)),"")</f>
        <v>9.1180866965623011</v>
      </c>
      <c r="X459" s="195">
        <f>IFERROR(INDEX('Ashed teabags wet'!$K$2:$K$821,MATCH(I459,'Ashed teabags wet'!$A$2:$A$821,0)),"")</f>
        <v>1.9295706705255817</v>
      </c>
      <c r="Y459" s="195">
        <f t="shared" si="61"/>
        <v>0.44295844544095536</v>
      </c>
      <c r="Z459" s="195">
        <f t="shared" si="61"/>
        <v>1.5244067534973504</v>
      </c>
      <c r="AA459" s="195">
        <f t="shared" si="68"/>
        <v>0.74144476732218978</v>
      </c>
      <c r="AB459" s="195">
        <f t="shared" si="69"/>
        <v>0.48607780470528361</v>
      </c>
      <c r="AC459" s="195">
        <f t="shared" si="62"/>
        <v>0.78979381334942944</v>
      </c>
      <c r="AD459">
        <f t="shared" si="63"/>
        <v>51</v>
      </c>
      <c r="AE459" s="195">
        <f t="shared" si="70"/>
        <v>0.11942426683825436</v>
      </c>
      <c r="AF459" s="195">
        <f t="shared" si="71"/>
        <v>1.110653132448209E-2</v>
      </c>
      <c r="AG459" s="255" t="str">
        <f>IF(ISNUMBER(SEARCH("C",'WetLitterbags placem_collection'!AD386)),"YES","NO")</f>
        <v>NO</v>
      </c>
      <c r="AH459" s="255" t="str">
        <f>IF(ISNUMBER(SEARCH("H", 'WetLitterbags placem_collection'!AF166)),"YES","NO")</f>
        <v>NO</v>
      </c>
      <c r="AI459" s="255" t="str">
        <f>IF(ISNUMBER(SEARCH("R", 'WetLitterbags placem_collection'!XF166)),"YES","NO")</f>
        <v>NO</v>
      </c>
      <c r="AJ459" s="255" t="str">
        <f>IF(ISNUMBER(SEARCH("C", 'WetLitterbags placem_collection'!WE166)),"YES","NO")</f>
        <v>NO</v>
      </c>
      <c r="AK459" s="255" t="str">
        <f>IF(ISNUMBER(SEARCH("H", 'WetLitterbags placem_collection'!AE166)),"YES","NO")</f>
        <v>NO</v>
      </c>
      <c r="AL459" s="255" t="str">
        <f>IF(ISNUMBER(SEARCH("R", 'WetLitterbags placem_collection'!AE166)),"YES","NO")</f>
        <v>NO</v>
      </c>
    </row>
    <row r="460" spans="2:38">
      <c r="B460" t="str">
        <f>'Final data_for_R_analysis_Wetse'!A606</f>
        <v>Wet</v>
      </c>
      <c r="C460" s="263">
        <f>'Final data_for_R_analysis_Wetse'!B606</f>
        <v>165</v>
      </c>
      <c r="D460" t="s">
        <v>3851</v>
      </c>
      <c r="E460" t="s">
        <v>25</v>
      </c>
      <c r="F460" s="387">
        <v>5</v>
      </c>
      <c r="G460" s="16">
        <f>'WetLitterbags placem_collection'!E167</f>
        <v>42763</v>
      </c>
      <c r="H460" s="92" t="str">
        <f>'Final data_for_R_analysis_Wetse'!J606</f>
        <v>G810</v>
      </c>
      <c r="I460" t="str">
        <f>'Final data_for_R_analysis_Wetse'!J826</f>
        <v>R411</v>
      </c>
      <c r="J460">
        <f>IFERROR(INDEX('Green_rooibos initial weight'!$C$5:$C$1749,MATCH(H460, 'Green_rooibos initial weight'!$A$5:$A$1749,0)),"")</f>
        <v>1.946</v>
      </c>
      <c r="K460">
        <f>IFERROR(INDEX('Green_rooibos initial weight'!$C$5:$C$1749,MATCH(I460, 'Green_rooibos initial weight'!$A$5:$A$1749,0)),"")</f>
        <v>2.2240000000000002</v>
      </c>
      <c r="L460" s="195">
        <f t="shared" si="64"/>
        <v>1.6961999999999999</v>
      </c>
      <c r="M460" s="195">
        <f>AVERAGE(Ashed_controlls!$K$2:$K$11)</f>
        <v>5.5147656768714146</v>
      </c>
      <c r="N460" s="195">
        <f t="shared" ref="N460:N515" si="72">IFERROR(L460-(M460/100)*L460,"")</f>
        <v>1.602658544588907</v>
      </c>
      <c r="O460" s="195">
        <f t="shared" si="65"/>
        <v>1.9742000000000002</v>
      </c>
      <c r="P460" s="195">
        <f>AVERAGE(Ashed_controlls!$K$12:$K$14)</f>
        <v>2.2816647271287041</v>
      </c>
      <c r="Q460" s="195">
        <f t="shared" si="66"/>
        <v>1.9291553749570254</v>
      </c>
      <c r="R460" s="16">
        <f>IF('WetLitterbags placem_collection'!G167="N.A","",'WetLitterbags placem_collection'!G167)</f>
        <v>42814</v>
      </c>
      <c r="S460" s="195">
        <f>IF(IFERROR(INDEX('Both teabags AfterWet'!$C$3:$C$841,MATCH(H460,'Both teabags AfterWet'!$A$3:$A$841,0)),"")="N.A","",(IFERROR(INDEX('Both teabags AfterWet'!$C$3:$C$841,MATCH(H460,'Both teabags AfterWet'!$A$3:$A$841,0)),"")))</f>
        <v>0.64800000000000002</v>
      </c>
      <c r="T460" s="195">
        <f>IFERROR(INDEX('Both teabags AfterWet'!$C$3:$C$841,MATCH(I460,'Both teabags AfterWet'!$A$3:$A$841,0)),"")</f>
        <v>1.728</v>
      </c>
      <c r="U460" s="195">
        <f t="shared" si="67"/>
        <v>0.49740000000000001</v>
      </c>
      <c r="V460" s="195">
        <f t="shared" si="67"/>
        <v>1.5773999999999999</v>
      </c>
      <c r="W460" s="195">
        <f>IFERROR(INDEX('Ashed teabags wet'!$K$2:$K$821,MATCH(H460,'Ashed teabags wet'!$A$2:$A$821,0)),"")</f>
        <v>7.6693227091631231</v>
      </c>
      <c r="X460" s="195">
        <f>IFERROR(INDEX('Ashed teabags wet'!$K$2:$K$821,MATCH(I460,'Ashed teabags wet'!$A$2:$A$821,0)),"")</f>
        <v>1.9212295869364138</v>
      </c>
      <c r="Y460" s="195">
        <f t="shared" ref="Y460:Z515" si="73">IFERROR(U460-(W460/100)*U460,"")</f>
        <v>0.45925278884462262</v>
      </c>
      <c r="Z460" s="195">
        <f t="shared" si="73"/>
        <v>1.5470945244956649</v>
      </c>
      <c r="AA460" s="195">
        <f t="shared" si="68"/>
        <v>0.71344314707882828</v>
      </c>
      <c r="AB460" s="195">
        <f t="shared" si="69"/>
        <v>0.4677204479661678</v>
      </c>
      <c r="AC460" s="195">
        <f t="shared" ref="AC460:AC515" si="74">IFERROR(Z460/Q460,"")</f>
        <v>0.80195433948918116</v>
      </c>
      <c r="AD460">
        <f t="shared" ref="AD460:AD515" si="75">IF((R460-G460)&gt;0,(IFERROR(R460-G460,"")),"")</f>
        <v>51</v>
      </c>
      <c r="AE460" s="195">
        <f t="shared" si="70"/>
        <v>0.15268034788737728</v>
      </c>
      <c r="AF460" s="195">
        <f t="shared" si="71"/>
        <v>1.0797138077005428E-2</v>
      </c>
      <c r="AG460" s="255" t="str">
        <f>IF(ISNUMBER(SEARCH("C",'WetLitterbags placem_collection'!AD387)),"YES","NO")</f>
        <v>NO</v>
      </c>
      <c r="AH460" s="255" t="str">
        <f>IF(ISNUMBER(SEARCH("H", 'WetLitterbags placem_collection'!AF167)),"YES","NO")</f>
        <v>NO</v>
      </c>
      <c r="AI460" s="255" t="str">
        <f>IF(ISNUMBER(SEARCH("R", 'WetLitterbags placem_collection'!XF167)),"YES","NO")</f>
        <v>NO</v>
      </c>
      <c r="AJ460" s="255" t="str">
        <f>IF(ISNUMBER(SEARCH("C", 'WetLitterbags placem_collection'!WE167)),"YES","NO")</f>
        <v>NO</v>
      </c>
      <c r="AK460" s="255" t="str">
        <f>IF(ISNUMBER(SEARCH("H", 'WetLitterbags placem_collection'!AE167)),"YES","NO")</f>
        <v>NO</v>
      </c>
      <c r="AL460" s="255" t="str">
        <f>IF(ISNUMBER(SEARCH("R", 'WetLitterbags placem_collection'!AE167)),"YES","NO")</f>
        <v>NO</v>
      </c>
    </row>
    <row r="461" spans="2:38">
      <c r="B461" t="str">
        <f>'Final data_for_R_analysis_Wetse'!A607</f>
        <v>Wet</v>
      </c>
      <c r="C461" s="263">
        <f>'Final data_for_R_analysis_Wetse'!B607</f>
        <v>166</v>
      </c>
      <c r="D461" t="s">
        <v>3851</v>
      </c>
      <c r="E461" t="s">
        <v>25</v>
      </c>
      <c r="F461" s="387">
        <v>6</v>
      </c>
      <c r="G461" s="16">
        <f>'WetLitterbags placem_collection'!E168</f>
        <v>42763</v>
      </c>
      <c r="H461" s="92" t="str">
        <f>'Final data_for_R_analysis_Wetse'!J607</f>
        <v>G287</v>
      </c>
      <c r="I461" t="str">
        <f>'Final data_for_R_analysis_Wetse'!J827</f>
        <v>R259</v>
      </c>
      <c r="J461">
        <f>IFERROR(INDEX('Green_rooibos initial weight'!$C$5:$C$1749,MATCH(H461, 'Green_rooibos initial weight'!$A$5:$A$1749,0)),"")</f>
        <v>1.9970000000000001</v>
      </c>
      <c r="K461">
        <f>IFERROR(INDEX('Green_rooibos initial weight'!$C$5:$C$1749,MATCH(I461, 'Green_rooibos initial weight'!$A$5:$A$1749,0)),"")</f>
        <v>2.218</v>
      </c>
      <c r="L461" s="195">
        <f t="shared" ref="L461:L515" si="76">IF(J461&gt;0,(J461*$F$31-($F$29+$F$30)),"")</f>
        <v>1.7472000000000001</v>
      </c>
      <c r="M461" s="195">
        <f>AVERAGE(Ashed_controlls!$K$2:$K$11)</f>
        <v>5.5147656768714146</v>
      </c>
      <c r="N461" s="195">
        <f t="shared" si="72"/>
        <v>1.6508460140937027</v>
      </c>
      <c r="O461" s="195">
        <f t="shared" ref="O461:O515" si="77">IF(K461&gt;0,(K461*$F$32-($F$29+$F$30)),"")</f>
        <v>1.9681999999999999</v>
      </c>
      <c r="P461" s="195">
        <f>AVERAGE(Ashed_controlls!$K$12:$K$14)</f>
        <v>2.2816647271287041</v>
      </c>
      <c r="Q461" s="195">
        <f t="shared" ref="Q461:Q515" si="78">IFERROR(O461-(P461/100)*O461,"")</f>
        <v>1.9232922748406529</v>
      </c>
      <c r="R461" s="16">
        <f>IF('WetLitterbags placem_collection'!G168="N.A","",'WetLitterbags placem_collection'!G168)</f>
        <v>42814</v>
      </c>
      <c r="S461" s="195">
        <f>IF(IFERROR(INDEX('Both teabags AfterWet'!$C$3:$C$841,MATCH(H461,'Both teabags AfterWet'!$A$3:$A$841,0)),"")="N.A","",(IFERROR(INDEX('Both teabags AfterWet'!$C$3:$C$841,MATCH(H461,'Both teabags AfterWet'!$A$3:$A$841,0)),"")))</f>
        <v>0.72240000000000004</v>
      </c>
      <c r="T461" s="195">
        <f>IFERROR(INDEX('Both teabags AfterWet'!$C$3:$C$841,MATCH(I461,'Both teabags AfterWet'!$A$3:$A$841,0)),"")</f>
        <v>1.7169000000000001</v>
      </c>
      <c r="U461" s="195">
        <f t="shared" ref="U461:V515" si="79">IFERROR(IF(S461&gt;0,S461-($F$29),""),"")</f>
        <v>0.57180000000000009</v>
      </c>
      <c r="V461" s="195">
        <f t="shared" si="79"/>
        <v>1.5663</v>
      </c>
      <c r="W461" s="195">
        <f>IFERROR(INDEX('Ashed teabags wet'!$K$2:$K$821,MATCH(H461,'Ashed teabags wet'!$A$2:$A$821,0)),"")</f>
        <v>8.1175298804781466</v>
      </c>
      <c r="X461" s="195">
        <f>IFERROR(INDEX('Ashed teabags wet'!$K$2:$K$821,MATCH(I461,'Ashed teabags wet'!$A$2:$A$821,0)),"")</f>
        <v>1.9326065411295223</v>
      </c>
      <c r="Y461" s="195">
        <f t="shared" si="73"/>
        <v>0.52538396414342603</v>
      </c>
      <c r="Z461" s="195">
        <f t="shared" si="73"/>
        <v>1.5360295837462883</v>
      </c>
      <c r="AA461" s="195">
        <f t="shared" ref="AA461:AA515" si="80">IFERROR(1-Y461/N461,"")</f>
        <v>0.68174865513919158</v>
      </c>
      <c r="AB461" s="195">
        <f t="shared" ref="AB461:AB515" si="81">IFERROR($F$26*(1-AE461),"")</f>
        <v>0.4469421112076411</v>
      </c>
      <c r="AC461" s="195">
        <f t="shared" si="74"/>
        <v>0.79864594884495654</v>
      </c>
      <c r="AD461">
        <f t="shared" si="75"/>
        <v>51</v>
      </c>
      <c r="AE461" s="195">
        <f t="shared" ref="AE461:AE515" si="82">IFERROR(1-(AA461/$F$25),"")</f>
        <v>0.19032226230499805</v>
      </c>
      <c r="AF461" s="195">
        <f t="shared" ref="AF461:AF515" si="83">IFERROR(LN(AB461/(AC461-(1-AB461)))/AD461,"")</f>
        <v>1.1740656890755609E-2</v>
      </c>
      <c r="AG461" s="255" t="str">
        <f>IF(ISNUMBER(SEARCH("C",'WetLitterbags placem_collection'!AD388)),"YES","NO")</f>
        <v>NO</v>
      </c>
      <c r="AH461" s="255" t="str">
        <f>IF(ISNUMBER(SEARCH("H", 'WetLitterbags placem_collection'!AF168)),"YES","NO")</f>
        <v>NO</v>
      </c>
      <c r="AI461" s="255" t="str">
        <f>IF(ISNUMBER(SEARCH("R", 'WetLitterbags placem_collection'!XF168)),"YES","NO")</f>
        <v>NO</v>
      </c>
      <c r="AJ461" s="255" t="str">
        <f>IF(ISNUMBER(SEARCH("C", 'WetLitterbags placem_collection'!WE168)),"YES","NO")</f>
        <v>NO</v>
      </c>
      <c r="AK461" s="255" t="str">
        <f>IF(ISNUMBER(SEARCH("H", 'WetLitterbags placem_collection'!AE168)),"YES","NO")</f>
        <v>NO</v>
      </c>
      <c r="AL461" s="255" t="str">
        <f>IF(ISNUMBER(SEARCH("R", 'WetLitterbags placem_collection'!AE168)),"YES","NO")</f>
        <v>NO</v>
      </c>
    </row>
    <row r="462" spans="2:38">
      <c r="B462" t="str">
        <f>'Final data_for_R_analysis_Wetse'!A608</f>
        <v>Wet</v>
      </c>
      <c r="C462" s="263">
        <f>'Final data_for_R_analysis_Wetse'!B608</f>
        <v>167</v>
      </c>
      <c r="D462" t="s">
        <v>3851</v>
      </c>
      <c r="E462" t="s">
        <v>25</v>
      </c>
      <c r="F462" s="387">
        <v>7</v>
      </c>
      <c r="G462" s="16">
        <f>'WetLitterbags placem_collection'!E169</f>
        <v>42763</v>
      </c>
      <c r="H462" s="92" t="str">
        <f>'Final data_for_R_analysis_Wetse'!J608</f>
        <v>G443</v>
      </c>
      <c r="I462" t="str">
        <f>'Final data_for_R_analysis_Wetse'!J828</f>
        <v>R215</v>
      </c>
      <c r="J462">
        <f>IFERROR(INDEX('Green_rooibos initial weight'!$C$5:$C$1749,MATCH(H462, 'Green_rooibos initial weight'!$A$5:$A$1749,0)),"")</f>
        <v>2.0310000000000001</v>
      </c>
      <c r="K462">
        <f>IFERROR(INDEX('Green_rooibos initial weight'!$C$5:$C$1749,MATCH(I462, 'Green_rooibos initial weight'!$A$5:$A$1749,0)),"")</f>
        <v>2.1949999999999998</v>
      </c>
      <c r="L462" s="195">
        <f t="shared" si="76"/>
        <v>1.7812000000000001</v>
      </c>
      <c r="M462" s="195">
        <f>AVERAGE(Ashed_controlls!$K$2:$K$11)</f>
        <v>5.5147656768714146</v>
      </c>
      <c r="N462" s="195">
        <f t="shared" si="72"/>
        <v>1.6829709937635664</v>
      </c>
      <c r="O462" s="195">
        <f t="shared" si="77"/>
        <v>1.9451999999999998</v>
      </c>
      <c r="P462" s="195">
        <f>AVERAGE(Ashed_controlls!$K$12:$K$14)</f>
        <v>2.2816647271287041</v>
      </c>
      <c r="Q462" s="195">
        <f t="shared" si="78"/>
        <v>1.9008170577278922</v>
      </c>
      <c r="R462" s="16">
        <f>IF('WetLitterbags placem_collection'!G169="N.A","",'WetLitterbags placem_collection'!G169)</f>
        <v>42814</v>
      </c>
      <c r="S462" s="195">
        <f>IF(IFERROR(INDEX('Both teabags AfterWet'!$C$3:$C$841,MATCH(H462,'Both teabags AfterWet'!$A$3:$A$841,0)),"")="N.A","",(IFERROR(INDEX('Both teabags AfterWet'!$C$3:$C$841,MATCH(H462,'Both teabags AfterWet'!$A$3:$A$841,0)),"")))</f>
        <v>0.69789999999999996</v>
      </c>
      <c r="T462" s="195">
        <f>IFERROR(INDEX('Both teabags AfterWet'!$C$3:$C$841,MATCH(I462,'Both teabags AfterWet'!$A$3:$A$841,0)),"")</f>
        <v>1.7432000000000001</v>
      </c>
      <c r="U462" s="195">
        <f t="shared" si="79"/>
        <v>0.5472999999999999</v>
      </c>
      <c r="V462" s="195">
        <f t="shared" si="79"/>
        <v>1.5926</v>
      </c>
      <c r="W462" s="195">
        <f>IFERROR(INDEX('Ashed teabags wet'!$K$2:$K$821,MATCH(H462,'Ashed teabags wet'!$A$2:$A$821,0)),"")</f>
        <v>8.5487077534794818</v>
      </c>
      <c r="X462" s="195">
        <f>IFERROR(INDEX('Ashed teabags wet'!$K$2:$K$821,MATCH(I462,'Ashed teabags wet'!$A$2:$A$821,0)),"")</f>
        <v>1.8428709990296765</v>
      </c>
      <c r="Y462" s="195">
        <f t="shared" si="73"/>
        <v>0.50051292246520673</v>
      </c>
      <c r="Z462" s="195">
        <f t="shared" si="73"/>
        <v>1.5632504364694535</v>
      </c>
      <c r="AA462" s="195">
        <f t="shared" si="80"/>
        <v>0.70260157523812805</v>
      </c>
      <c r="AB462" s="195">
        <f t="shared" si="81"/>
        <v>0.46061290918224079</v>
      </c>
      <c r="AC462" s="195">
        <f t="shared" si="74"/>
        <v>0.82240972644577226</v>
      </c>
      <c r="AD462">
        <f t="shared" si="75"/>
        <v>51</v>
      </c>
      <c r="AE462" s="195">
        <f t="shared" si="82"/>
        <v>0.16555632394521602</v>
      </c>
      <c r="AF462" s="195">
        <f t="shared" si="83"/>
        <v>9.5496300957012194E-3</v>
      </c>
      <c r="AG462" s="255" t="str">
        <f>IF(ISNUMBER(SEARCH("C",'WetLitterbags placem_collection'!AD389)),"YES","NO")</f>
        <v>NO</v>
      </c>
      <c r="AH462" s="255" t="str">
        <f>IF(ISNUMBER(SEARCH("H", 'WetLitterbags placem_collection'!AF169)),"YES","NO")</f>
        <v>NO</v>
      </c>
      <c r="AI462" s="255" t="str">
        <f>IF(ISNUMBER(SEARCH("R", 'WetLitterbags placem_collection'!XF169)),"YES","NO")</f>
        <v>NO</v>
      </c>
      <c r="AJ462" s="255" t="str">
        <f>IF(ISNUMBER(SEARCH("C", 'WetLitterbags placem_collection'!WE169)),"YES","NO")</f>
        <v>NO</v>
      </c>
      <c r="AK462" s="255" t="str">
        <f>IF(ISNUMBER(SEARCH("H", 'WetLitterbags placem_collection'!AE169)),"YES","NO")</f>
        <v>NO</v>
      </c>
      <c r="AL462" s="255" t="str">
        <f>IF(ISNUMBER(SEARCH("R", 'WetLitterbags placem_collection'!AE169)),"YES","NO")</f>
        <v>NO</v>
      </c>
    </row>
    <row r="463" spans="2:38">
      <c r="B463" t="str">
        <f>'Final data_for_R_analysis_Wetse'!A609</f>
        <v>Wet</v>
      </c>
      <c r="C463" s="263">
        <f>'Final data_for_R_analysis_Wetse'!B609</f>
        <v>168</v>
      </c>
      <c r="D463" t="s">
        <v>3851</v>
      </c>
      <c r="E463" t="s">
        <v>25</v>
      </c>
      <c r="F463" s="387">
        <v>8</v>
      </c>
      <c r="G463" s="16">
        <f>'WetLitterbags placem_collection'!E170</f>
        <v>42763</v>
      </c>
      <c r="H463" s="92" t="str">
        <f>'Final data_for_R_analysis_Wetse'!J609</f>
        <v>G680</v>
      </c>
      <c r="I463" t="str">
        <f>'Final data_for_R_analysis_Wetse'!J829</f>
        <v>R322</v>
      </c>
      <c r="J463">
        <f>IFERROR(INDEX('Green_rooibos initial weight'!$C$5:$C$1749,MATCH(H463, 'Green_rooibos initial weight'!$A$5:$A$1749,0)),"")</f>
        <v>2.0049999999999999</v>
      </c>
      <c r="K463">
        <f>IFERROR(INDEX('Green_rooibos initial weight'!$C$5:$C$1749,MATCH(I463, 'Green_rooibos initial weight'!$A$5:$A$1749,0)),"")</f>
        <v>2.1909999999999998</v>
      </c>
      <c r="L463" s="195">
        <f t="shared" si="76"/>
        <v>1.7551999999999999</v>
      </c>
      <c r="M463" s="195">
        <f>AVERAGE(Ashed_controlls!$K$2:$K$11)</f>
        <v>5.5147656768714146</v>
      </c>
      <c r="N463" s="195">
        <f t="shared" si="72"/>
        <v>1.6584048328395529</v>
      </c>
      <c r="O463" s="195">
        <f t="shared" si="77"/>
        <v>1.9411999999999998</v>
      </c>
      <c r="P463" s="195">
        <f>AVERAGE(Ashed_controlls!$K$12:$K$14)</f>
        <v>2.2816647271287041</v>
      </c>
      <c r="Q463" s="195">
        <f t="shared" si="78"/>
        <v>1.8969083243169773</v>
      </c>
      <c r="R463" s="16">
        <f>IF('WetLitterbags placem_collection'!G170="N.A","",'WetLitterbags placem_collection'!G170)</f>
        <v>42814</v>
      </c>
      <c r="S463" s="195">
        <f>IF(IFERROR(INDEX('Both teabags AfterWet'!$C$3:$C$841,MATCH(H463,'Both teabags AfterWet'!$A$3:$A$841,0)),"")="N.A","",(IFERROR(INDEX('Both teabags AfterWet'!$C$3:$C$841,MATCH(H463,'Both teabags AfterWet'!$A$3:$A$841,0)),"")))</f>
        <v>0.998</v>
      </c>
      <c r="T463" s="195">
        <f>IFERROR(INDEX('Both teabags AfterWet'!$C$3:$C$841,MATCH(I463,'Both teabags AfterWet'!$A$3:$A$841,0)),"")</f>
        <v>1.6950000000000001</v>
      </c>
      <c r="U463" s="195">
        <f t="shared" si="79"/>
        <v>0.84739999999999993</v>
      </c>
      <c r="V463" s="195">
        <f t="shared" si="79"/>
        <v>1.5444</v>
      </c>
      <c r="W463" s="195">
        <f>IFERROR(INDEX('Ashed teabags wet'!$K$2:$K$821,MATCH(H463,'Ashed teabags wet'!$A$2:$A$821,0)),"")</f>
        <v>7.5706756109248428</v>
      </c>
      <c r="X463" s="195">
        <f>IFERROR(INDEX('Ashed teabags wet'!$K$2:$K$821,MATCH(I463,'Ashed teabags wet'!$A$2:$A$821,0)),"")</f>
        <v>2.1371769383691874</v>
      </c>
      <c r="Y463" s="195">
        <f t="shared" si="73"/>
        <v>0.78324609487302277</v>
      </c>
      <c r="Z463" s="195">
        <f t="shared" si="73"/>
        <v>1.5113934393638262</v>
      </c>
      <c r="AA463" s="195">
        <f t="shared" si="80"/>
        <v>0.52771115992713691</v>
      </c>
      <c r="AB463" s="195">
        <f t="shared" si="81"/>
        <v>0.34595791007099719</v>
      </c>
      <c r="AC463" s="195">
        <f t="shared" si="74"/>
        <v>0.79676672825400563</v>
      </c>
      <c r="AD463">
        <f t="shared" si="75"/>
        <v>51</v>
      </c>
      <c r="AE463" s="195">
        <f t="shared" si="82"/>
        <v>0.37326465566848344</v>
      </c>
      <c r="AF463" s="195">
        <f t="shared" si="83"/>
        <v>1.7360783386006599E-2</v>
      </c>
      <c r="AG463" s="255" t="str">
        <f>IF(ISNUMBER(SEARCH("C",'WetLitterbags placem_collection'!AD390)),"YES","NO")</f>
        <v>NO</v>
      </c>
      <c r="AH463" s="255" t="str">
        <f>IF(ISNUMBER(SEARCH("H", 'WetLitterbags placem_collection'!AF170)),"YES","NO")</f>
        <v>NO</v>
      </c>
      <c r="AI463" s="255" t="str">
        <f>IF(ISNUMBER(SEARCH("R", 'WetLitterbags placem_collection'!XF170)),"YES","NO")</f>
        <v>NO</v>
      </c>
      <c r="AJ463" s="255" t="str">
        <f>IF(ISNUMBER(SEARCH("C", 'WetLitterbags placem_collection'!WE170)),"YES","NO")</f>
        <v>NO</v>
      </c>
      <c r="AK463" s="255" t="str">
        <f>IF(ISNUMBER(SEARCH("H", 'WetLitterbags placem_collection'!AE170)),"YES","NO")</f>
        <v>NO</v>
      </c>
      <c r="AL463" s="255" t="str">
        <f>IF(ISNUMBER(SEARCH("R", 'WetLitterbags placem_collection'!AE170)),"YES","NO")</f>
        <v>NO</v>
      </c>
    </row>
    <row r="464" spans="2:38">
      <c r="B464" t="str">
        <f>'Final data_for_R_analysis_Wetse'!A610</f>
        <v>Wet</v>
      </c>
      <c r="C464" s="263">
        <f>'Final data_for_R_analysis_Wetse'!B610</f>
        <v>169</v>
      </c>
      <c r="D464" t="s">
        <v>3853</v>
      </c>
      <c r="E464" t="s">
        <v>25</v>
      </c>
      <c r="F464" s="386">
        <v>1</v>
      </c>
      <c r="G464" s="16">
        <f>'WetLitterbags placem_collection'!E171</f>
        <v>42763</v>
      </c>
      <c r="H464" s="92" t="str">
        <f>'Final data_for_R_analysis_Wetse'!J610</f>
        <v>G496</v>
      </c>
      <c r="I464" t="str">
        <f>'Final data_for_R_analysis_Wetse'!J830</f>
        <v>R403</v>
      </c>
      <c r="J464">
        <f>IFERROR(INDEX('Green_rooibos initial weight'!$C$5:$C$1749,MATCH(H464, 'Green_rooibos initial weight'!$A$5:$A$1749,0)),"")</f>
        <v>1.8480000000000001</v>
      </c>
      <c r="K464">
        <f>IFERROR(INDEX('Green_rooibos initial weight'!$C$5:$C$1749,MATCH(I464, 'Green_rooibos initial weight'!$A$5:$A$1749,0)),"")</f>
        <v>2.2679999999999998</v>
      </c>
      <c r="L464" s="195">
        <f t="shared" si="76"/>
        <v>1.5982000000000001</v>
      </c>
      <c r="M464" s="195">
        <f>AVERAGE(Ashed_controlls!$K$2:$K$11)</f>
        <v>5.5147656768714146</v>
      </c>
      <c r="N464" s="195">
        <f t="shared" si="72"/>
        <v>1.5100630149522412</v>
      </c>
      <c r="O464" s="195">
        <f t="shared" si="77"/>
        <v>2.0181999999999998</v>
      </c>
      <c r="P464" s="195">
        <f>AVERAGE(Ashed_controlls!$K$12:$K$14)</f>
        <v>2.2816647271287041</v>
      </c>
      <c r="Q464" s="195">
        <f t="shared" si="78"/>
        <v>1.9721514424770883</v>
      </c>
      <c r="R464" s="16">
        <f>IF('WetLitterbags placem_collection'!G171="N.A","",'WetLitterbags placem_collection'!G171)</f>
        <v>42814</v>
      </c>
      <c r="S464" s="195">
        <f>IF(IFERROR(INDEX('Both teabags AfterWet'!$C$3:$C$841,MATCH(H464,'Both teabags AfterWet'!$A$3:$A$841,0)),"")="N.A","",(IFERROR(INDEX('Both teabags AfterWet'!$C$3:$C$841,MATCH(H464,'Both teabags AfterWet'!$A$3:$A$841,0)),"")))</f>
        <v>0.57199999999999995</v>
      </c>
      <c r="T464" s="195">
        <f>IFERROR(INDEX('Both teabags AfterWet'!$C$3:$C$841,MATCH(I464,'Both teabags AfterWet'!$A$3:$A$841,0)),"")</f>
        <v>1.736</v>
      </c>
      <c r="U464" s="195">
        <f t="shared" si="79"/>
        <v>0.42139999999999994</v>
      </c>
      <c r="V464" s="195">
        <f t="shared" si="79"/>
        <v>1.5853999999999999</v>
      </c>
      <c r="W464" s="195">
        <f>IFERROR(INDEX('Ashed teabags wet'!$K$2:$K$821,MATCH(H464,'Ashed teabags wet'!$A$2:$A$821,0)),"")</f>
        <v>9.4256259204713331</v>
      </c>
      <c r="X464" s="195">
        <f>IFERROR(INDEX('Ashed teabags wet'!$K$2:$K$821,MATCH(I464,'Ashed teabags wet'!$A$2:$A$821,0)),"")</f>
        <v>3.6768263183359386</v>
      </c>
      <c r="Y464" s="195">
        <f t="shared" si="73"/>
        <v>0.38168041237113376</v>
      </c>
      <c r="Z464" s="195">
        <f t="shared" si="73"/>
        <v>1.527107595549102</v>
      </c>
      <c r="AA464" s="195">
        <f t="shared" si="80"/>
        <v>0.74724206301867135</v>
      </c>
      <c r="AB464" s="195">
        <f t="shared" si="81"/>
        <v>0.48987840710962782</v>
      </c>
      <c r="AC464" s="195">
        <f t="shared" si="74"/>
        <v>0.77433586623094408</v>
      </c>
      <c r="AD464">
        <f t="shared" si="75"/>
        <v>51</v>
      </c>
      <c r="AE464" s="195">
        <f t="shared" si="82"/>
        <v>0.11253911755502211</v>
      </c>
      <c r="AF464" s="195">
        <f t="shared" si="83"/>
        <v>1.2105819532739891E-2</v>
      </c>
      <c r="AG464" s="255" t="str">
        <f>IF(ISNUMBER(SEARCH("C",'WetLitterbags placem_collection'!AD391)),"YES","NO")</f>
        <v>NO</v>
      </c>
      <c r="AH464" s="255" t="str">
        <f>IF(ISNUMBER(SEARCH("H", 'WetLitterbags placem_collection'!AF171)),"YES","NO")</f>
        <v>NO</v>
      </c>
      <c r="AI464" s="255" t="str">
        <f>IF(ISNUMBER(SEARCH("R", 'WetLitterbags placem_collection'!XF171)),"YES","NO")</f>
        <v>NO</v>
      </c>
      <c r="AJ464" s="255" t="str">
        <f>IF(ISNUMBER(SEARCH("C", 'WetLitterbags placem_collection'!WE171)),"YES","NO")</f>
        <v>NO</v>
      </c>
      <c r="AK464" s="255" t="str">
        <f>IF(ISNUMBER(SEARCH("H", 'WetLitterbags placem_collection'!AE171)),"YES","NO")</f>
        <v>NO</v>
      </c>
      <c r="AL464" s="255" t="str">
        <f>IF(ISNUMBER(SEARCH("R", 'WetLitterbags placem_collection'!AE171)),"YES","NO")</f>
        <v>NO</v>
      </c>
    </row>
    <row r="465" spans="2:38">
      <c r="B465" t="str">
        <f>'Final data_for_R_analysis_Wetse'!A611</f>
        <v>Wet</v>
      </c>
      <c r="C465" s="263">
        <f>'Final data_for_R_analysis_Wetse'!B611</f>
        <v>170</v>
      </c>
      <c r="D465" t="s">
        <v>3853</v>
      </c>
      <c r="E465" t="s">
        <v>25</v>
      </c>
      <c r="F465" s="386">
        <v>2</v>
      </c>
      <c r="G465" s="16">
        <f>'WetLitterbags placem_collection'!E172</f>
        <v>42763</v>
      </c>
      <c r="H465" s="92" t="str">
        <f>'Final data_for_R_analysis_Wetse'!J611</f>
        <v>G674</v>
      </c>
      <c r="I465" t="str">
        <f>'Final data_for_R_analysis_Wetse'!J831</f>
        <v>R583</v>
      </c>
      <c r="J465">
        <f>IFERROR(INDEX('Green_rooibos initial weight'!$C$5:$C$1749,MATCH(H465, 'Green_rooibos initial weight'!$A$5:$A$1749,0)),"")</f>
        <v>1.9950000000000001</v>
      </c>
      <c r="K465">
        <f>IFERROR(INDEX('Green_rooibos initial weight'!$C$5:$C$1749,MATCH(I465, 'Green_rooibos initial weight'!$A$5:$A$1749,0)),"")</f>
        <v>2.2549999999999999</v>
      </c>
      <c r="L465" s="195">
        <f t="shared" si="76"/>
        <v>1.7452000000000001</v>
      </c>
      <c r="M465" s="195">
        <f>AVERAGE(Ashed_controlls!$K$2:$K$11)</f>
        <v>5.5147656768714146</v>
      </c>
      <c r="N465" s="195">
        <f t="shared" si="72"/>
        <v>1.6489563094072401</v>
      </c>
      <c r="O465" s="195">
        <f t="shared" si="77"/>
        <v>2.0051999999999999</v>
      </c>
      <c r="P465" s="195">
        <f>AVERAGE(Ashed_controlls!$K$12:$K$14)</f>
        <v>2.2816647271287041</v>
      </c>
      <c r="Q465" s="195">
        <f t="shared" si="78"/>
        <v>1.959448058891615</v>
      </c>
      <c r="R465" s="16">
        <f>IF('WetLitterbags placem_collection'!G172="N.A","",'WetLitterbags placem_collection'!G172)</f>
        <v>42814</v>
      </c>
      <c r="S465" s="195">
        <f>IF(IFERROR(INDEX('Both teabags AfterWet'!$C$3:$C$841,MATCH(H465,'Both teabags AfterWet'!$A$3:$A$841,0)),"")="N.A","",(IFERROR(INDEX('Both teabags AfterWet'!$C$3:$C$841,MATCH(H465,'Both teabags AfterWet'!$A$3:$A$841,0)),"")))</f>
        <v>0.61299999999999999</v>
      </c>
      <c r="T465" s="195">
        <f>IFERROR(INDEX('Both teabags AfterWet'!$C$3:$C$841,MATCH(I465,'Both teabags AfterWet'!$A$3:$A$841,0)),"")</f>
        <v>1.71</v>
      </c>
      <c r="U465" s="195">
        <f t="shared" si="79"/>
        <v>0.46239999999999998</v>
      </c>
      <c r="V465" s="195">
        <f t="shared" si="79"/>
        <v>1.5593999999999999</v>
      </c>
      <c r="W465" s="195">
        <f>IFERROR(INDEX('Ashed teabags wet'!$K$2:$K$821,MATCH(H465,'Ashed teabags wet'!$A$2:$A$821,0)),"")</f>
        <v>8.7857847976303241</v>
      </c>
      <c r="X465" s="195">
        <f>IFERROR(INDEX('Ashed teabags wet'!$K$2:$K$821,MATCH(I465,'Ashed teabags wet'!$A$2:$A$821,0)),"")</f>
        <v>2.3988005996999138</v>
      </c>
      <c r="Y465" s="195">
        <f t="shared" si="73"/>
        <v>0.42177453109575735</v>
      </c>
      <c r="Z465" s="195">
        <f t="shared" si="73"/>
        <v>1.5219931034482794</v>
      </c>
      <c r="AA465" s="195">
        <f t="shared" si="80"/>
        <v>0.74421727932417137</v>
      </c>
      <c r="AB465" s="195">
        <f t="shared" si="81"/>
        <v>0.48789541352368487</v>
      </c>
      <c r="AC465" s="195">
        <f t="shared" si="74"/>
        <v>0.7767458272454606</v>
      </c>
      <c r="AD465">
        <f t="shared" si="75"/>
        <v>51</v>
      </c>
      <c r="AE465" s="195">
        <f t="shared" si="82"/>
        <v>0.1161314972397014</v>
      </c>
      <c r="AF465" s="195">
        <f t="shared" si="83"/>
        <v>1.1994626784174262E-2</v>
      </c>
      <c r="AG465" s="255" t="str">
        <f>IF(ISNUMBER(SEARCH("C",'WetLitterbags placem_collection'!AD392)),"YES","NO")</f>
        <v>NO</v>
      </c>
      <c r="AH465" s="255" t="str">
        <f>IF(ISNUMBER(SEARCH("H", 'WetLitterbags placem_collection'!AF172)),"YES","NO")</f>
        <v>NO</v>
      </c>
      <c r="AI465" s="255" t="str">
        <f>IF(ISNUMBER(SEARCH("R", 'WetLitterbags placem_collection'!XF172)),"YES","NO")</f>
        <v>NO</v>
      </c>
      <c r="AJ465" s="255" t="str">
        <f>IF(ISNUMBER(SEARCH("C", 'WetLitterbags placem_collection'!WE172)),"YES","NO")</f>
        <v>NO</v>
      </c>
      <c r="AK465" s="255" t="str">
        <f>IF(ISNUMBER(SEARCH("H", 'WetLitterbags placem_collection'!AE172)),"YES","NO")</f>
        <v>NO</v>
      </c>
      <c r="AL465" s="255" t="str">
        <f>IF(ISNUMBER(SEARCH("R", 'WetLitterbags placem_collection'!AE172)),"YES","NO")</f>
        <v>NO</v>
      </c>
    </row>
    <row r="466" spans="2:38">
      <c r="B466" t="str">
        <f>'Final data_for_R_analysis_Wetse'!A612</f>
        <v>Wet</v>
      </c>
      <c r="C466" s="263">
        <f>'Final data_for_R_analysis_Wetse'!B612</f>
        <v>171</v>
      </c>
      <c r="D466" t="s">
        <v>3853</v>
      </c>
      <c r="E466" t="s">
        <v>25</v>
      </c>
      <c r="F466" s="386">
        <v>3</v>
      </c>
      <c r="G466" s="16">
        <f>'WetLitterbags placem_collection'!E173</f>
        <v>42763</v>
      </c>
      <c r="H466" s="92" t="str">
        <f>'Final data_for_R_analysis_Wetse'!J612</f>
        <v>G504</v>
      </c>
      <c r="I466" t="str">
        <f>'Final data_for_R_analysis_Wetse'!J832</f>
        <v>R451</v>
      </c>
      <c r="J466">
        <f>IFERROR(INDEX('Green_rooibos initial weight'!$C$5:$C$1749,MATCH(H466, 'Green_rooibos initial weight'!$A$5:$A$1749,0)),"")</f>
        <v>2.0009999999999999</v>
      </c>
      <c r="K466">
        <f>IFERROR(INDEX('Green_rooibos initial weight'!$C$5:$C$1749,MATCH(I466, 'Green_rooibos initial weight'!$A$5:$A$1749,0)),"")</f>
        <v>2.1970000000000001</v>
      </c>
      <c r="L466" s="195">
        <f t="shared" si="76"/>
        <v>1.7511999999999999</v>
      </c>
      <c r="M466" s="195">
        <f>AVERAGE(Ashed_controlls!$K$2:$K$11)</f>
        <v>5.5147656768714146</v>
      </c>
      <c r="N466" s="195">
        <f t="shared" si="72"/>
        <v>1.6546254234666278</v>
      </c>
      <c r="O466" s="195">
        <f t="shared" si="77"/>
        <v>1.9472</v>
      </c>
      <c r="P466" s="195">
        <f>AVERAGE(Ashed_controlls!$K$12:$K$14)</f>
        <v>2.2816647271287041</v>
      </c>
      <c r="Q466" s="195">
        <f t="shared" si="78"/>
        <v>1.90277142443335</v>
      </c>
      <c r="R466" s="16">
        <f>IF('WetLitterbags placem_collection'!G173="N.A","",'WetLitterbags placem_collection'!G173)</f>
        <v>42814</v>
      </c>
      <c r="S466" s="195">
        <f>IF(IFERROR(INDEX('Both teabags AfterWet'!$C$3:$C$841,MATCH(H466,'Both teabags AfterWet'!$A$3:$A$841,0)),"")="N.A","",(IFERROR(INDEX('Both teabags AfterWet'!$C$3:$C$841,MATCH(H466,'Both teabags AfterWet'!$A$3:$A$841,0)),"")))</f>
        <v>0.53500000000000003</v>
      </c>
      <c r="T466" s="195">
        <f>IFERROR(INDEX('Both teabags AfterWet'!$C$3:$C$841,MATCH(I466,'Both teabags AfterWet'!$A$3:$A$841,0)),"")</f>
        <v>1.629</v>
      </c>
      <c r="U466" s="195">
        <f t="shared" si="79"/>
        <v>0.38440000000000002</v>
      </c>
      <c r="V466" s="195">
        <f t="shared" si="79"/>
        <v>1.4783999999999999</v>
      </c>
      <c r="W466" s="195">
        <f>IFERROR(INDEX('Ashed teabags wet'!$K$2:$K$821,MATCH(H466,'Ashed teabags wet'!$A$2:$A$821,0)),"")</f>
        <v>8.6370444333500629</v>
      </c>
      <c r="X466" s="195">
        <f>IFERROR(INDEX('Ashed teabags wet'!$K$2:$K$821,MATCH(I466,'Ashed teabags wet'!$A$2:$A$821,0)),"")</f>
        <v>1.7224409448818911</v>
      </c>
      <c r="Y466" s="195">
        <f t="shared" si="73"/>
        <v>0.35119920119820236</v>
      </c>
      <c r="Z466" s="195">
        <f t="shared" si="73"/>
        <v>1.4529354330708661</v>
      </c>
      <c r="AA466" s="195">
        <f t="shared" si="80"/>
        <v>0.78774700532377884</v>
      </c>
      <c r="AB466" s="195">
        <f t="shared" si="81"/>
        <v>0.51643271607924701</v>
      </c>
      <c r="AC466" s="195">
        <f t="shared" si="74"/>
        <v>0.76358905458313464</v>
      </c>
      <c r="AD466">
        <f t="shared" si="75"/>
        <v>51</v>
      </c>
      <c r="AE466" s="195">
        <f t="shared" si="82"/>
        <v>6.4433485363683096E-2</v>
      </c>
      <c r="AF466" s="195">
        <f t="shared" si="83"/>
        <v>1.2001522717568134E-2</v>
      </c>
      <c r="AG466" s="255" t="str">
        <f>IF(ISNUMBER(SEARCH("C",'WetLitterbags placem_collection'!AD393)),"YES","NO")</f>
        <v>NO</v>
      </c>
      <c r="AH466" s="255" t="str">
        <f>IF(ISNUMBER(SEARCH("H", 'WetLitterbags placem_collection'!AF173)),"YES","NO")</f>
        <v>NO</v>
      </c>
      <c r="AI466" s="255" t="str">
        <f>IF(ISNUMBER(SEARCH("R", 'WetLitterbags placem_collection'!XF173)),"YES","NO")</f>
        <v>NO</v>
      </c>
      <c r="AJ466" s="255" t="str">
        <f>IF(ISNUMBER(SEARCH("C", 'WetLitterbags placem_collection'!WE173)),"YES","NO")</f>
        <v>NO</v>
      </c>
      <c r="AK466" s="255" t="str">
        <f>IF(ISNUMBER(SEARCH("H", 'WetLitterbags placem_collection'!AE173)),"YES","NO")</f>
        <v>NO</v>
      </c>
      <c r="AL466" s="255" t="str">
        <f>IF(ISNUMBER(SEARCH("R", 'WetLitterbags placem_collection'!AE173)),"YES","NO")</f>
        <v>NO</v>
      </c>
    </row>
    <row r="467" spans="2:38">
      <c r="B467" t="str">
        <f>'Final data_for_R_analysis_Wetse'!A613</f>
        <v>Wet</v>
      </c>
      <c r="C467" s="263">
        <f>'Final data_for_R_analysis_Wetse'!B613</f>
        <v>172</v>
      </c>
      <c r="D467" t="s">
        <v>3853</v>
      </c>
      <c r="E467" t="s">
        <v>25</v>
      </c>
      <c r="F467" s="387">
        <v>4</v>
      </c>
      <c r="G467" s="16">
        <f>'WetLitterbags placem_collection'!E174</f>
        <v>42763</v>
      </c>
      <c r="H467" s="92" t="str">
        <f>'Final data_for_R_analysis_Wetse'!J613</f>
        <v>G439</v>
      </c>
      <c r="I467" t="str">
        <f>'Final data_for_R_analysis_Wetse'!J833</f>
        <v>R353</v>
      </c>
      <c r="J467">
        <f>IFERROR(INDEX('Green_rooibos initial weight'!$C$5:$C$1749,MATCH(H467, 'Green_rooibos initial weight'!$A$5:$A$1749,0)),"")</f>
        <v>2.069</v>
      </c>
      <c r="K467">
        <f>IFERROR(INDEX('Green_rooibos initial weight'!$C$5:$C$1749,MATCH(I467, 'Green_rooibos initial weight'!$A$5:$A$1749,0)),"")</f>
        <v>2.2909999999999999</v>
      </c>
      <c r="L467" s="195">
        <f t="shared" si="76"/>
        <v>1.8191999999999999</v>
      </c>
      <c r="M467" s="195">
        <f>AVERAGE(Ashed_controlls!$K$2:$K$11)</f>
        <v>5.5147656768714146</v>
      </c>
      <c r="N467" s="195">
        <f t="shared" si="72"/>
        <v>1.7188753828063552</v>
      </c>
      <c r="O467" s="195">
        <f t="shared" si="77"/>
        <v>2.0411999999999999</v>
      </c>
      <c r="P467" s="195">
        <f>AVERAGE(Ashed_controlls!$K$12:$K$14)</f>
        <v>2.2816647271287041</v>
      </c>
      <c r="Q467" s="195">
        <f t="shared" si="78"/>
        <v>1.9946266595898487</v>
      </c>
      <c r="R467" s="16">
        <f>IF('WetLitterbags placem_collection'!G174="N.A","",'WetLitterbags placem_collection'!G174)</f>
        <v>42814</v>
      </c>
      <c r="S467" s="195">
        <f>IF(IFERROR(INDEX('Both teabags AfterWet'!$C$3:$C$841,MATCH(H467,'Both teabags AfterWet'!$A$3:$A$841,0)),"")="N.A","",(IFERROR(INDEX('Both teabags AfterWet'!$C$3:$C$841,MATCH(H467,'Both teabags AfterWet'!$A$3:$A$841,0)),"")))</f>
        <v>0.59599999999999997</v>
      </c>
      <c r="T467" s="195">
        <f>IFERROR(INDEX('Both teabags AfterWet'!$C$3:$C$841,MATCH(I467,'Both teabags AfterWet'!$A$3:$A$841,0)),"")</f>
        <v>1.7694000000000001</v>
      </c>
      <c r="U467" s="195">
        <f t="shared" si="79"/>
        <v>0.44539999999999996</v>
      </c>
      <c r="V467" s="195">
        <f t="shared" si="79"/>
        <v>1.6188</v>
      </c>
      <c r="W467" s="195">
        <f>IFERROR(INDEX('Ashed teabags wet'!$K$2:$K$821,MATCH(H467,'Ashed teabags wet'!$A$2:$A$821,0)),"")</f>
        <v>9.0602409638559092</v>
      </c>
      <c r="X467" s="195" t="str">
        <f>IFERROR(INDEX('Ashed teabags wet'!$K$2:$K$821,MATCH(I467,'Ashed teabags wet'!$A$2:$A$821,0)),"")</f>
        <v/>
      </c>
      <c r="Y467" s="195">
        <f t="shared" si="73"/>
        <v>0.40504568674698577</v>
      </c>
      <c r="Z467" s="195" t="str">
        <f t="shared" si="73"/>
        <v/>
      </c>
      <c r="AA467" s="195">
        <f t="shared" si="80"/>
        <v>0.76435424534053187</v>
      </c>
      <c r="AB467" s="195">
        <f t="shared" si="81"/>
        <v>0.50109684492633455</v>
      </c>
      <c r="AC467" s="195" t="str">
        <f t="shared" si="74"/>
        <v/>
      </c>
      <c r="AD467">
        <f t="shared" si="75"/>
        <v>51</v>
      </c>
      <c r="AE467" s="195">
        <f t="shared" si="82"/>
        <v>9.2215860640698422E-2</v>
      </c>
      <c r="AF467" s="195" t="str">
        <f t="shared" si="83"/>
        <v/>
      </c>
      <c r="AG467" s="255" t="str">
        <f>IF(ISNUMBER(SEARCH("C",'WetLitterbags placem_collection'!AD394)),"YES","NO")</f>
        <v>NO</v>
      </c>
      <c r="AH467" s="255" t="str">
        <f>IF(ISNUMBER(SEARCH("H", 'WetLitterbags placem_collection'!AF174)),"YES","NO")</f>
        <v>NO</v>
      </c>
      <c r="AI467" s="255" t="str">
        <f>IF(ISNUMBER(SEARCH("R", 'WetLitterbags placem_collection'!XF174)),"YES","NO")</f>
        <v>NO</v>
      </c>
      <c r="AJ467" s="255" t="str">
        <f>IF(ISNUMBER(SEARCH("C", 'WetLitterbags placem_collection'!WE174)),"YES","NO")</f>
        <v>NO</v>
      </c>
      <c r="AK467" s="255" t="str">
        <f>IF(ISNUMBER(SEARCH("H", 'WetLitterbags placem_collection'!AE174)),"YES","NO")</f>
        <v>NO</v>
      </c>
      <c r="AL467" s="255" t="str">
        <f>IF(ISNUMBER(SEARCH("R", 'WetLitterbags placem_collection'!AE174)),"YES","NO")</f>
        <v>NO</v>
      </c>
    </row>
    <row r="468" spans="2:38">
      <c r="B468" t="str">
        <f>'Final data_for_R_analysis_Wetse'!A614</f>
        <v>Wet</v>
      </c>
      <c r="C468" s="263">
        <f>'Final data_for_R_analysis_Wetse'!B614</f>
        <v>173</v>
      </c>
      <c r="D468" t="s">
        <v>3853</v>
      </c>
      <c r="E468" t="s">
        <v>25</v>
      </c>
      <c r="F468" s="387">
        <v>5</v>
      </c>
      <c r="G468" s="16">
        <f>'WetLitterbags placem_collection'!E175</f>
        <v>42763</v>
      </c>
      <c r="H468" s="92" t="str">
        <f>'Final data_for_R_analysis_Wetse'!J614</f>
        <v>G865</v>
      </c>
      <c r="I468" t="str">
        <f>'Final data_for_R_analysis_Wetse'!J834</f>
        <v>R105</v>
      </c>
      <c r="J468">
        <f>IFERROR(INDEX('Green_rooibos initial weight'!$C$5:$C$1749,MATCH(H468, 'Green_rooibos initial weight'!$A$5:$A$1749,0)),"")</f>
        <v>2.036</v>
      </c>
      <c r="K468">
        <f>IFERROR(INDEX('Green_rooibos initial weight'!$C$5:$C$1749,MATCH(I468, 'Green_rooibos initial weight'!$A$5:$A$1749,0)),"")</f>
        <v>2.254</v>
      </c>
      <c r="L468" s="195">
        <f t="shared" si="76"/>
        <v>1.7862</v>
      </c>
      <c r="M468" s="195">
        <f>AVERAGE(Ashed_controlls!$K$2:$K$11)</f>
        <v>5.5147656768714146</v>
      </c>
      <c r="N468" s="195">
        <f t="shared" si="72"/>
        <v>1.6876952554797229</v>
      </c>
      <c r="O468" s="195">
        <f t="shared" si="77"/>
        <v>2.0042</v>
      </c>
      <c r="P468" s="195">
        <f>AVERAGE(Ashed_controlls!$K$12:$K$14)</f>
        <v>2.2816647271287041</v>
      </c>
      <c r="Q468" s="195">
        <f t="shared" si="78"/>
        <v>1.9584708755388864</v>
      </c>
      <c r="R468" s="16">
        <f>IF('WetLitterbags placem_collection'!G175="N.A","",'WetLitterbags placem_collection'!G175)</f>
        <v>42814</v>
      </c>
      <c r="S468" s="195">
        <f>IF(IFERROR(INDEX('Both teabags AfterWet'!$C$3:$C$841,MATCH(H468,'Both teabags AfterWet'!$A$3:$A$841,0)),"")="N.A","",(IFERROR(INDEX('Both teabags AfterWet'!$C$3:$C$841,MATCH(H468,'Both teabags AfterWet'!$A$3:$A$841,0)),"")))</f>
        <v>0.65549999999999997</v>
      </c>
      <c r="T468" s="195">
        <f>IFERROR(INDEX('Both teabags AfterWet'!$C$3:$C$841,MATCH(I468,'Both teabags AfterWet'!$A$3:$A$841,0)),"")</f>
        <v>1.6919999999999999</v>
      </c>
      <c r="U468" s="195">
        <f t="shared" si="79"/>
        <v>0.5048999999999999</v>
      </c>
      <c r="V468" s="195">
        <f t="shared" si="79"/>
        <v>1.5413999999999999</v>
      </c>
      <c r="W468" s="195">
        <f>IFERROR(INDEX('Ashed teabags wet'!$K$2:$K$821,MATCH(H468,'Ashed teabags wet'!$A$2:$A$821,0)),"")</f>
        <v>9.1408591408588276</v>
      </c>
      <c r="X468" s="195">
        <f>IFERROR(INDEX('Ashed teabags wet'!$K$2:$K$821,MATCH(I468,'Ashed teabags wet'!$A$2:$A$821,0)),"")</f>
        <v>2.5628626692459697</v>
      </c>
      <c r="Y468" s="195">
        <f t="shared" si="73"/>
        <v>0.4587478021978037</v>
      </c>
      <c r="Z468" s="195">
        <f t="shared" si="73"/>
        <v>1.5018960348162425</v>
      </c>
      <c r="AA468" s="195">
        <f t="shared" si="80"/>
        <v>0.72818090190849893</v>
      </c>
      <c r="AB468" s="195">
        <f t="shared" si="81"/>
        <v>0.4773822539827689</v>
      </c>
      <c r="AC468" s="195">
        <f t="shared" si="74"/>
        <v>0.7668717740839448</v>
      </c>
      <c r="AD468">
        <f t="shared" si="75"/>
        <v>51</v>
      </c>
      <c r="AE468" s="195">
        <f t="shared" si="82"/>
        <v>0.13517707611817231</v>
      </c>
      <c r="AF468" s="195">
        <f t="shared" si="83"/>
        <v>1.3139387424218309E-2</v>
      </c>
      <c r="AG468" s="255" t="str">
        <f>IF(ISNUMBER(SEARCH("C",'WetLitterbags placem_collection'!AD395)),"YES","NO")</f>
        <v>NO</v>
      </c>
      <c r="AH468" s="255" t="str">
        <f>IF(ISNUMBER(SEARCH("H", 'WetLitterbags placem_collection'!AF175)),"YES","NO")</f>
        <v>NO</v>
      </c>
      <c r="AI468" s="255" t="str">
        <f>IF(ISNUMBER(SEARCH("R", 'WetLitterbags placem_collection'!XF175)),"YES","NO")</f>
        <v>NO</v>
      </c>
      <c r="AJ468" s="255" t="str">
        <f>IF(ISNUMBER(SEARCH("C", 'WetLitterbags placem_collection'!WE175)),"YES","NO")</f>
        <v>NO</v>
      </c>
      <c r="AK468" s="255" t="str">
        <f>IF(ISNUMBER(SEARCH("H", 'WetLitterbags placem_collection'!AE175)),"YES","NO")</f>
        <v>NO</v>
      </c>
      <c r="AL468" s="255" t="str">
        <f>IF(ISNUMBER(SEARCH("R", 'WetLitterbags placem_collection'!AE175)),"YES","NO")</f>
        <v>NO</v>
      </c>
    </row>
    <row r="469" spans="2:38">
      <c r="B469" t="str">
        <f>'Final data_for_R_analysis_Wetse'!A615</f>
        <v>Wet</v>
      </c>
      <c r="C469" s="263">
        <f>'Final data_for_R_analysis_Wetse'!B615</f>
        <v>174</v>
      </c>
      <c r="D469" t="s">
        <v>3853</v>
      </c>
      <c r="E469" t="s">
        <v>25</v>
      </c>
      <c r="F469" s="387">
        <v>6</v>
      </c>
      <c r="G469" s="16">
        <f>'WetLitterbags placem_collection'!E176</f>
        <v>42763</v>
      </c>
      <c r="H469" s="92" t="str">
        <f>'Final data_for_R_analysis_Wetse'!J615</f>
        <v>G736</v>
      </c>
      <c r="I469" t="str">
        <f>'Final data_for_R_analysis_Wetse'!J835</f>
        <v>R384</v>
      </c>
      <c r="J469">
        <f>IFERROR(INDEX('Green_rooibos initial weight'!$C$5:$C$1749,MATCH(H469, 'Green_rooibos initial weight'!$A$5:$A$1749,0)),"")</f>
        <v>2.0760000000000001</v>
      </c>
      <c r="K469">
        <f>IFERROR(INDEX('Green_rooibos initial weight'!$C$5:$C$1749,MATCH(I469, 'Green_rooibos initial weight'!$A$5:$A$1749,0)),"")</f>
        <v>2.2240000000000002</v>
      </c>
      <c r="L469" s="195">
        <f t="shared" si="76"/>
        <v>1.8262</v>
      </c>
      <c r="M469" s="195">
        <f>AVERAGE(Ashed_controlls!$K$2:$K$11)</f>
        <v>5.5147656768714146</v>
      </c>
      <c r="N469" s="195">
        <f t="shared" si="72"/>
        <v>1.7254893492089742</v>
      </c>
      <c r="O469" s="195">
        <f t="shared" si="77"/>
        <v>1.9742000000000002</v>
      </c>
      <c r="P469" s="195">
        <f>AVERAGE(Ashed_controlls!$K$12:$K$14)</f>
        <v>2.2816647271287041</v>
      </c>
      <c r="Q469" s="195">
        <f t="shared" si="78"/>
        <v>1.9291553749570254</v>
      </c>
      <c r="R469" s="16">
        <f>IF('WetLitterbags placem_collection'!G176="N.A","",'WetLitterbags placem_collection'!G176)</f>
        <v>42814</v>
      </c>
      <c r="S469" s="195">
        <f>IF(IFERROR(INDEX('Both teabags AfterWet'!$C$3:$C$841,MATCH(H469,'Both teabags AfterWet'!$A$3:$A$841,0)),"")="N.A","",(IFERROR(INDEX('Both teabags AfterWet'!$C$3:$C$841,MATCH(H469,'Both teabags AfterWet'!$A$3:$A$841,0)),"")))</f>
        <v>0.63500000000000001</v>
      </c>
      <c r="T469" s="195">
        <f>IFERROR(INDEX('Both teabags AfterWet'!$C$3:$C$841,MATCH(I469,'Both teabags AfterWet'!$A$3:$A$841,0)),"")</f>
        <v>1.772</v>
      </c>
      <c r="U469" s="195">
        <f t="shared" si="79"/>
        <v>0.4844</v>
      </c>
      <c r="V469" s="195">
        <f t="shared" si="79"/>
        <v>1.6214</v>
      </c>
      <c r="W469" s="195">
        <f>IFERROR(INDEX('Ashed teabags wet'!$K$2:$K$821,MATCH(H469,'Ashed teabags wet'!$A$2:$A$821,0)),"")</f>
        <v>8.7727944800392965</v>
      </c>
      <c r="X469" s="195">
        <f>IFERROR(INDEX('Ashed teabags wet'!$K$2:$K$821,MATCH(I469,'Ashed teabags wet'!$A$2:$A$821,0)),"")</f>
        <v>2.1032504780120633</v>
      </c>
      <c r="Y469" s="195">
        <f t="shared" si="73"/>
        <v>0.44190458353868967</v>
      </c>
      <c r="Z469" s="195">
        <f t="shared" si="73"/>
        <v>1.5872978967495124</v>
      </c>
      <c r="AA469" s="195">
        <f t="shared" si="80"/>
        <v>0.74389608157171505</v>
      </c>
      <c r="AB469" s="195">
        <f t="shared" si="81"/>
        <v>0.48768484207551877</v>
      </c>
      <c r="AC469" s="195">
        <f t="shared" si="74"/>
        <v>0.82279422246374101</v>
      </c>
      <c r="AD469">
        <f t="shared" si="75"/>
        <v>51</v>
      </c>
      <c r="AE469" s="195">
        <f t="shared" si="82"/>
        <v>0.11651296725449511</v>
      </c>
      <c r="AF469" s="195">
        <f t="shared" si="83"/>
        <v>8.853978582342905E-3</v>
      </c>
      <c r="AG469" s="255" t="str">
        <f>IF(ISNUMBER(SEARCH("C",'WetLitterbags placem_collection'!AD396)),"YES","NO")</f>
        <v>NO</v>
      </c>
      <c r="AH469" s="255" t="str">
        <f>IF(ISNUMBER(SEARCH("H", 'WetLitterbags placem_collection'!AF176)),"YES","NO")</f>
        <v>NO</v>
      </c>
      <c r="AI469" s="255" t="str">
        <f>IF(ISNUMBER(SEARCH("R", 'WetLitterbags placem_collection'!XF176)),"YES","NO")</f>
        <v>NO</v>
      </c>
      <c r="AJ469" s="255" t="str">
        <f>IF(ISNUMBER(SEARCH("C", 'WetLitterbags placem_collection'!WE176)),"YES","NO")</f>
        <v>NO</v>
      </c>
      <c r="AK469" s="255" t="str">
        <f>IF(ISNUMBER(SEARCH("H", 'WetLitterbags placem_collection'!AE176)),"YES","NO")</f>
        <v>NO</v>
      </c>
      <c r="AL469" s="255" t="str">
        <f>IF(ISNUMBER(SEARCH("R", 'WetLitterbags placem_collection'!AE176)),"YES","NO")</f>
        <v>NO</v>
      </c>
    </row>
    <row r="470" spans="2:38">
      <c r="B470" t="str">
        <f>'Final data_for_R_analysis_Wetse'!A616</f>
        <v>Wet</v>
      </c>
      <c r="C470" s="263">
        <f>'Final data_for_R_analysis_Wetse'!B616</f>
        <v>175</v>
      </c>
      <c r="D470" t="s">
        <v>3853</v>
      </c>
      <c r="E470" t="s">
        <v>25</v>
      </c>
      <c r="F470" s="387">
        <v>7</v>
      </c>
      <c r="G470" s="16">
        <f>'WetLitterbags placem_collection'!E177</f>
        <v>42763</v>
      </c>
      <c r="H470" s="92" t="str">
        <f>'Final data_for_R_analysis_Wetse'!J616</f>
        <v>G792</v>
      </c>
      <c r="I470" t="str">
        <f>'Final data_for_R_analysis_Wetse'!J836</f>
        <v>R481</v>
      </c>
      <c r="J470">
        <f>IFERROR(INDEX('Green_rooibos initial weight'!$C$5:$C$1749,MATCH(H470, 'Green_rooibos initial weight'!$A$5:$A$1749,0)),"")</f>
        <v>2.0550000000000002</v>
      </c>
      <c r="K470">
        <f>IFERROR(INDEX('Green_rooibos initial weight'!$C$5:$C$1749,MATCH(I470, 'Green_rooibos initial weight'!$A$5:$A$1749,0)),"")</f>
        <v>2.1589999999999998</v>
      </c>
      <c r="L470" s="195">
        <f t="shared" si="76"/>
        <v>1.8052000000000001</v>
      </c>
      <c r="M470" s="195">
        <f>AVERAGE(Ashed_controlls!$K$2:$K$11)</f>
        <v>5.5147656768714146</v>
      </c>
      <c r="N470" s="195">
        <f t="shared" si="72"/>
        <v>1.7056474500011174</v>
      </c>
      <c r="O470" s="195">
        <f t="shared" si="77"/>
        <v>1.9091999999999998</v>
      </c>
      <c r="P470" s="195">
        <f>AVERAGE(Ashed_controlls!$K$12:$K$14)</f>
        <v>2.2816647271287041</v>
      </c>
      <c r="Q470" s="195">
        <f t="shared" si="78"/>
        <v>1.8656384570296585</v>
      </c>
      <c r="R470" s="16">
        <f>IF('WetLitterbags placem_collection'!G177="N.A","",'WetLitterbags placem_collection'!G177)</f>
        <v>42814</v>
      </c>
      <c r="S470" s="195" t="str">
        <f>IF(IFERROR(INDEX('Both teabags AfterWet'!$C$3:$C$841,MATCH(H470,'Both teabags AfterWet'!$A$3:$A$841,0)),"")="N.A","",(IFERROR(INDEX('Both teabags AfterWet'!$C$3:$C$841,MATCH(H470,'Both teabags AfterWet'!$A$3:$A$841,0)),"")))</f>
        <v/>
      </c>
      <c r="T470" s="195">
        <f>IFERROR(INDEX('Both teabags AfterWet'!$C$3:$C$841,MATCH(I470,'Both teabags AfterWet'!$A$3:$A$841,0)),"")</f>
        <v>1.681</v>
      </c>
      <c r="U470" s="195" t="str">
        <f t="shared" si="79"/>
        <v/>
      </c>
      <c r="V470" s="195">
        <f t="shared" si="79"/>
        <v>1.5304</v>
      </c>
      <c r="W470" s="195" t="str">
        <f>IFERROR(INDEX('Ashed teabags wet'!$K$2:$K$821,MATCH(H470,'Ashed teabags wet'!$A$2:$A$821,0)),"")</f>
        <v/>
      </c>
      <c r="X470" s="195">
        <f>IFERROR(INDEX('Ashed teabags wet'!$K$2:$K$821,MATCH(I470,'Ashed teabags wet'!$A$2:$A$821,0)),"")</f>
        <v>22.390243902438794</v>
      </c>
      <c r="Y470" s="195" t="str">
        <f t="shared" si="73"/>
        <v/>
      </c>
      <c r="Z470" s="195">
        <f t="shared" si="73"/>
        <v>1.1877397073170766</v>
      </c>
      <c r="AA470" s="195" t="str">
        <f t="shared" si="80"/>
        <v/>
      </c>
      <c r="AB470" s="195" t="str">
        <f t="shared" si="81"/>
        <v/>
      </c>
      <c r="AC470" s="195">
        <f t="shared" si="74"/>
        <v>0.63663980705463918</v>
      </c>
      <c r="AD470">
        <f t="shared" si="75"/>
        <v>51</v>
      </c>
      <c r="AE470" s="195" t="str">
        <f t="shared" si="82"/>
        <v/>
      </c>
      <c r="AF470" s="195" t="str">
        <f t="shared" si="83"/>
        <v/>
      </c>
      <c r="AG470" s="255" t="str">
        <f>IF(ISNUMBER(SEARCH("C",'WetLitterbags placem_collection'!AD397)),"YES","NO")</f>
        <v>NO</v>
      </c>
      <c r="AH470" s="255" t="str">
        <f>IF(ISNUMBER(SEARCH("H", 'WetLitterbags placem_collection'!AF177)),"YES","NO")</f>
        <v>NO</v>
      </c>
      <c r="AI470" s="255" t="str">
        <f>IF(ISNUMBER(SEARCH("R", 'WetLitterbags placem_collection'!XF177)),"YES","NO")</f>
        <v>NO</v>
      </c>
      <c r="AJ470" s="255" t="str">
        <f>IF(ISNUMBER(SEARCH("C", 'WetLitterbags placem_collection'!WE177)),"YES","NO")</f>
        <v>NO</v>
      </c>
      <c r="AK470" s="255" t="str">
        <f>IF(ISNUMBER(SEARCH("H", 'WetLitterbags placem_collection'!AE177)),"YES","NO")</f>
        <v>NO</v>
      </c>
      <c r="AL470" s="255" t="str">
        <f>IF(ISNUMBER(SEARCH("R", 'WetLitterbags placem_collection'!AE177)),"YES","NO")</f>
        <v>NO</v>
      </c>
    </row>
    <row r="471" spans="2:38">
      <c r="B471" t="str">
        <f>'Final data_for_R_analysis_Wetse'!A617</f>
        <v>Wet</v>
      </c>
      <c r="C471" s="263">
        <f>'Final data_for_R_analysis_Wetse'!B617</f>
        <v>176</v>
      </c>
      <c r="D471" t="s">
        <v>3853</v>
      </c>
      <c r="E471" t="s">
        <v>25</v>
      </c>
      <c r="F471" s="387">
        <v>8</v>
      </c>
      <c r="G471" s="16">
        <f>'WetLitterbags placem_collection'!E178</f>
        <v>42763</v>
      </c>
      <c r="H471" s="92" t="str">
        <f>'Final data_for_R_analysis_Wetse'!J617</f>
        <v>G470</v>
      </c>
      <c r="I471" t="str">
        <f>'Final data_for_R_analysis_Wetse'!J837</f>
        <v>R490</v>
      </c>
      <c r="J471">
        <f>IFERROR(INDEX('Green_rooibos initial weight'!$C$5:$C$1749,MATCH(H471, 'Green_rooibos initial weight'!$A$5:$A$1749,0)),"")</f>
        <v>1.9970000000000001</v>
      </c>
      <c r="K471">
        <f>IFERROR(INDEX('Green_rooibos initial weight'!$C$5:$C$1749,MATCH(I471, 'Green_rooibos initial weight'!$A$5:$A$1749,0)),"")</f>
        <v>2.1890000000000001</v>
      </c>
      <c r="L471" s="195">
        <f t="shared" si="76"/>
        <v>1.7472000000000001</v>
      </c>
      <c r="M471" s="195">
        <f>AVERAGE(Ashed_controlls!$K$2:$K$11)</f>
        <v>5.5147656768714146</v>
      </c>
      <c r="N471" s="195">
        <f t="shared" si="72"/>
        <v>1.6508460140937027</v>
      </c>
      <c r="O471" s="195">
        <f t="shared" si="77"/>
        <v>1.9392</v>
      </c>
      <c r="P471" s="195">
        <f>AVERAGE(Ashed_controlls!$K$12:$K$14)</f>
        <v>2.2816647271287041</v>
      </c>
      <c r="Q471" s="195">
        <f t="shared" si="78"/>
        <v>1.8949539576115202</v>
      </c>
      <c r="R471" s="16">
        <f>IF('WetLitterbags placem_collection'!G178="N.A","",'WetLitterbags placem_collection'!G178)</f>
        <v>42814</v>
      </c>
      <c r="S471" s="195">
        <f>IF(IFERROR(INDEX('Both teabags AfterWet'!$C$3:$C$841,MATCH(H471,'Both teabags AfterWet'!$A$3:$A$841,0)),"")="N.A","",(IFERROR(INDEX('Both teabags AfterWet'!$C$3:$C$841,MATCH(H471,'Both teabags AfterWet'!$A$3:$A$841,0)),"")))</f>
        <v>0.60299999999999998</v>
      </c>
      <c r="T471" s="195">
        <f>IFERROR(INDEX('Both teabags AfterWet'!$C$3:$C$841,MATCH(I471,'Both teabags AfterWet'!$A$3:$A$841,0)),"")</f>
        <v>1.7070000000000001</v>
      </c>
      <c r="U471" s="195">
        <f t="shared" si="79"/>
        <v>0.45239999999999997</v>
      </c>
      <c r="V471" s="195">
        <f t="shared" si="79"/>
        <v>1.5564</v>
      </c>
      <c r="W471" s="195">
        <f>IFERROR(INDEX('Ashed teabags wet'!$K$2:$K$821,MATCH(H471,'Ashed teabags wet'!$A$2:$A$821,0)),"")</f>
        <v>9.3558282208585464</v>
      </c>
      <c r="X471" s="195">
        <f>IFERROR(INDEX('Ashed teabags wet'!$K$2:$K$821,MATCH(I471,'Ashed teabags wet'!$A$2:$A$821,0)),"")</f>
        <v>2.6433915211971035</v>
      </c>
      <c r="Y471" s="195">
        <f t="shared" si="73"/>
        <v>0.4100742331288359</v>
      </c>
      <c r="Z471" s="195">
        <f t="shared" si="73"/>
        <v>1.5152582543640882</v>
      </c>
      <c r="AA471" s="195">
        <f t="shared" si="80"/>
        <v>0.75159752658459644</v>
      </c>
      <c r="AB471" s="195">
        <f t="shared" si="81"/>
        <v>0.49273377039750271</v>
      </c>
      <c r="AC471" s="195">
        <f t="shared" si="74"/>
        <v>0.79962800588251948</v>
      </c>
      <c r="AD471">
        <f t="shared" si="75"/>
        <v>51</v>
      </c>
      <c r="AE471" s="195">
        <f t="shared" si="82"/>
        <v>0.10736635797553862</v>
      </c>
      <c r="AF471" s="195">
        <f t="shared" si="83"/>
        <v>1.0234843400941558E-2</v>
      </c>
      <c r="AG471" s="255" t="str">
        <f>IF(ISNUMBER(SEARCH("C",'WetLitterbags placem_collection'!AD398)),"YES","NO")</f>
        <v>NO</v>
      </c>
      <c r="AH471" s="255" t="str">
        <f>IF(ISNUMBER(SEARCH("H", 'WetLitterbags placem_collection'!AF178)),"YES","NO")</f>
        <v>NO</v>
      </c>
      <c r="AI471" s="255" t="str">
        <f>IF(ISNUMBER(SEARCH("R", 'WetLitterbags placem_collection'!XF178)),"YES","NO")</f>
        <v>NO</v>
      </c>
      <c r="AJ471" s="255" t="str">
        <f>IF(ISNUMBER(SEARCH("C", 'WetLitterbags placem_collection'!WE178)),"YES","NO")</f>
        <v>NO</v>
      </c>
      <c r="AK471" s="255" t="str">
        <f>IF(ISNUMBER(SEARCH("H", 'WetLitterbags placem_collection'!AE178)),"YES","NO")</f>
        <v>NO</v>
      </c>
      <c r="AL471" s="255" t="str">
        <f>IF(ISNUMBER(SEARCH("R", 'WetLitterbags placem_collection'!AE178)),"YES","NO")</f>
        <v>NO</v>
      </c>
    </row>
    <row r="472" spans="2:38">
      <c r="B472" t="str">
        <f>'Final data_for_R_analysis_Wetse'!A618</f>
        <v>Wet</v>
      </c>
      <c r="C472" s="263">
        <f>'Final data_for_R_analysis_Wetse'!B618</f>
        <v>177</v>
      </c>
      <c r="D472" t="s">
        <v>3854</v>
      </c>
      <c r="E472" t="s">
        <v>25</v>
      </c>
      <c r="F472" s="386">
        <v>1</v>
      </c>
      <c r="G472" s="16">
        <f>'WetLitterbags placem_collection'!E179</f>
        <v>42763</v>
      </c>
      <c r="H472" s="92" t="str">
        <f>'Final data_for_R_analysis_Wetse'!J618</f>
        <v>G483</v>
      </c>
      <c r="I472" t="str">
        <f>'Final data_for_R_analysis_Wetse'!J838</f>
        <v>R470</v>
      </c>
      <c r="J472">
        <f>IFERROR(INDEX('Green_rooibos initial weight'!$C$5:$C$1749,MATCH(H472, 'Green_rooibos initial weight'!$A$5:$A$1749,0)),"")</f>
        <v>1.9750000000000001</v>
      </c>
      <c r="K472">
        <f>IFERROR(INDEX('Green_rooibos initial weight'!$C$5:$C$1749,MATCH(I472, 'Green_rooibos initial weight'!$A$5:$A$1749,0)),"")</f>
        <v>2.1240000000000001</v>
      </c>
      <c r="L472" s="195">
        <f t="shared" si="76"/>
        <v>1.7252000000000001</v>
      </c>
      <c r="M472" s="195">
        <f>AVERAGE(Ashed_controlls!$K$2:$K$11)</f>
        <v>5.5147656768714146</v>
      </c>
      <c r="N472" s="195">
        <f t="shared" si="72"/>
        <v>1.6300592625426145</v>
      </c>
      <c r="O472" s="195">
        <f t="shared" si="77"/>
        <v>1.8742000000000001</v>
      </c>
      <c r="P472" s="195">
        <f>AVERAGE(Ashed_controlls!$K$12:$K$14)</f>
        <v>2.2816647271287041</v>
      </c>
      <c r="Q472" s="195">
        <f t="shared" si="78"/>
        <v>1.8314370396841539</v>
      </c>
      <c r="R472" s="16">
        <f>IF('WetLitterbags placem_collection'!G179="N.A","",'WetLitterbags placem_collection'!G179)</f>
        <v>42815</v>
      </c>
      <c r="S472" s="195">
        <f>IF(IFERROR(INDEX('Both teabags AfterWet'!$C$3:$C$841,MATCH(H472,'Both teabags AfterWet'!$A$3:$A$841,0)),"")="N.A","",(IFERROR(INDEX('Both teabags AfterWet'!$C$3:$C$841,MATCH(H472,'Both teabags AfterWet'!$A$3:$A$841,0)),"")))</f>
        <v>0.58399999999999996</v>
      </c>
      <c r="T472" s="195">
        <f>IFERROR(INDEX('Both teabags AfterWet'!$C$3:$C$841,MATCH(I472,'Both teabags AfterWet'!$A$3:$A$841,0)),"")</f>
        <v>1.677</v>
      </c>
      <c r="U472" s="195">
        <f t="shared" si="79"/>
        <v>0.43339999999999995</v>
      </c>
      <c r="V472" s="195">
        <f t="shared" si="79"/>
        <v>1.5264</v>
      </c>
      <c r="W472" s="195">
        <f>IFERROR(INDEX('Ashed teabags wet'!$K$2:$K$821,MATCH(H472,'Ashed teabags wet'!$A$2:$A$821,0)),"")</f>
        <v>8.5170340681363346</v>
      </c>
      <c r="X472" s="195">
        <f>IFERROR(INDEX('Ashed teabags wet'!$K$2:$K$821,MATCH(I472,'Ashed teabags wet'!$A$2:$A$821,0)),"")</f>
        <v>2.3705853894531068</v>
      </c>
      <c r="Y472" s="195">
        <f t="shared" si="73"/>
        <v>0.39648717434869707</v>
      </c>
      <c r="Z472" s="195">
        <f t="shared" si="73"/>
        <v>1.4902153846153878</v>
      </c>
      <c r="AA472" s="195">
        <f t="shared" si="80"/>
        <v>0.75676517813822008</v>
      </c>
      <c r="AB472" s="195">
        <f t="shared" si="81"/>
        <v>0.49612158946828688</v>
      </c>
      <c r="AC472" s="195">
        <f t="shared" si="74"/>
        <v>0.81368638524007764</v>
      </c>
      <c r="AD472">
        <f t="shared" si="75"/>
        <v>52</v>
      </c>
      <c r="AE472" s="195">
        <f t="shared" si="82"/>
        <v>0.10122900458643691</v>
      </c>
      <c r="AF472" s="195">
        <f t="shared" si="83"/>
        <v>9.0551609156824427E-3</v>
      </c>
      <c r="AG472" s="255" t="str">
        <f>IF(ISNUMBER(SEARCH("C",'WetLitterbags placem_collection'!AD399)),"YES","NO")</f>
        <v>NO</v>
      </c>
      <c r="AH472" s="255" t="str">
        <f>IF(ISNUMBER(SEARCH("H", 'WetLitterbags placem_collection'!AF179)),"YES","NO")</f>
        <v>NO</v>
      </c>
      <c r="AI472" s="255" t="str">
        <f>IF(ISNUMBER(SEARCH("R", 'WetLitterbags placem_collection'!XF179)),"YES","NO")</f>
        <v>NO</v>
      </c>
      <c r="AJ472" s="255" t="str">
        <f>IF(ISNUMBER(SEARCH("C", 'WetLitterbags placem_collection'!WE179)),"YES","NO")</f>
        <v>NO</v>
      </c>
      <c r="AK472" s="255" t="str">
        <f>IF(ISNUMBER(SEARCH("H", 'WetLitterbags placem_collection'!AE179)),"YES","NO")</f>
        <v>NO</v>
      </c>
      <c r="AL472" s="255" t="str">
        <f>IF(ISNUMBER(SEARCH("R", 'WetLitterbags placem_collection'!AE179)),"YES","NO")</f>
        <v>NO</v>
      </c>
    </row>
    <row r="473" spans="2:38">
      <c r="B473" t="str">
        <f>'Final data_for_R_analysis_Wetse'!A619</f>
        <v>Wet</v>
      </c>
      <c r="C473" s="263">
        <f>'Final data_for_R_analysis_Wetse'!B619</f>
        <v>178</v>
      </c>
      <c r="D473" t="s">
        <v>3854</v>
      </c>
      <c r="E473" t="s">
        <v>25</v>
      </c>
      <c r="F473" s="386">
        <v>2</v>
      </c>
      <c r="G473" s="16">
        <f>'WetLitterbags placem_collection'!E180</f>
        <v>42763</v>
      </c>
      <c r="H473" s="92" t="str">
        <f>'Final data_for_R_analysis_Wetse'!J619</f>
        <v>G893</v>
      </c>
      <c r="I473" t="str">
        <f>'Final data_for_R_analysis_Wetse'!J839</f>
        <v>R488</v>
      </c>
      <c r="J473">
        <f>IFERROR(INDEX('Green_rooibos initial weight'!$C$5:$C$1749,MATCH(H473, 'Green_rooibos initial weight'!$A$5:$A$1749,0)),"")</f>
        <v>2.036</v>
      </c>
      <c r="K473">
        <f>IFERROR(INDEX('Green_rooibos initial weight'!$C$5:$C$1749,MATCH(I473, 'Green_rooibos initial weight'!$A$5:$A$1749,0)),"")</f>
        <v>2.1589999999999998</v>
      </c>
      <c r="L473" s="195">
        <f t="shared" si="76"/>
        <v>1.7862</v>
      </c>
      <c r="M473" s="195">
        <f>AVERAGE(Ashed_controlls!$K$2:$K$11)</f>
        <v>5.5147656768714146</v>
      </c>
      <c r="N473" s="195">
        <f t="shared" si="72"/>
        <v>1.6876952554797229</v>
      </c>
      <c r="O473" s="195">
        <f t="shared" si="77"/>
        <v>1.9091999999999998</v>
      </c>
      <c r="P473" s="195">
        <f>AVERAGE(Ashed_controlls!$K$12:$K$14)</f>
        <v>2.2816647271287041</v>
      </c>
      <c r="Q473" s="195">
        <f t="shared" si="78"/>
        <v>1.8656384570296585</v>
      </c>
      <c r="R473" s="16">
        <f>IF('WetLitterbags placem_collection'!G180="N.A","",'WetLitterbags placem_collection'!G180)</f>
        <v>42815</v>
      </c>
      <c r="S473" s="195">
        <f>IF(IFERROR(INDEX('Both teabags AfterWet'!$C$3:$C$841,MATCH(H473,'Both teabags AfterWet'!$A$3:$A$841,0)),"")="N.A","",(IFERROR(INDEX('Both teabags AfterWet'!$C$3:$C$841,MATCH(H473,'Both teabags AfterWet'!$A$3:$A$841,0)),"")))</f>
        <v>0.60699999999999998</v>
      </c>
      <c r="T473" s="195">
        <f>IFERROR(INDEX('Both teabags AfterWet'!$C$3:$C$841,MATCH(I473,'Both teabags AfterWet'!$A$3:$A$841,0)),"")</f>
        <v>1.6446000000000001</v>
      </c>
      <c r="U473" s="195">
        <f t="shared" si="79"/>
        <v>0.45639999999999997</v>
      </c>
      <c r="V473" s="195">
        <f t="shared" si="79"/>
        <v>1.494</v>
      </c>
      <c r="W473" s="195">
        <f>IFERROR(INDEX('Ashed teabags wet'!$K$2:$K$821,MATCH(H473,'Ashed teabags wet'!$A$2:$A$821,0)),"")</f>
        <v>8.1265206812653794</v>
      </c>
      <c r="X473" s="195">
        <f>IFERROR(INDEX('Ashed teabags wet'!$K$2:$K$821,MATCH(I473,'Ashed teabags wet'!$A$2:$A$821,0)),"")</f>
        <v>2.0802377414560613</v>
      </c>
      <c r="Y473" s="195">
        <f t="shared" si="73"/>
        <v>0.41931055961070479</v>
      </c>
      <c r="Z473" s="195">
        <f t="shared" si="73"/>
        <v>1.4629212481426463</v>
      </c>
      <c r="AA473" s="195">
        <f t="shared" si="80"/>
        <v>0.7515484159540895</v>
      </c>
      <c r="AB473" s="195">
        <f t="shared" si="81"/>
        <v>0.49270157435470008</v>
      </c>
      <c r="AC473" s="195">
        <f t="shared" si="74"/>
        <v>0.7841397365231253</v>
      </c>
      <c r="AD473">
        <f t="shared" si="75"/>
        <v>52</v>
      </c>
      <c r="AE473" s="195">
        <f t="shared" si="82"/>
        <v>0.10742468414003614</v>
      </c>
      <c r="AF473" s="195">
        <f t="shared" si="83"/>
        <v>1.1085753996115709E-2</v>
      </c>
      <c r="AG473" s="255" t="str">
        <f>IF(ISNUMBER(SEARCH("C",'WetLitterbags placem_collection'!AD400)),"YES","NO")</f>
        <v>NO</v>
      </c>
      <c r="AH473" s="255" t="str">
        <f>IF(ISNUMBER(SEARCH("H", 'WetLitterbags placem_collection'!AF180)),"YES","NO")</f>
        <v>NO</v>
      </c>
      <c r="AI473" s="255" t="str">
        <f>IF(ISNUMBER(SEARCH("R", 'WetLitterbags placem_collection'!XF180)),"YES","NO")</f>
        <v>NO</v>
      </c>
      <c r="AJ473" s="255" t="str">
        <f>IF(ISNUMBER(SEARCH("C", 'WetLitterbags placem_collection'!WE180)),"YES","NO")</f>
        <v>NO</v>
      </c>
      <c r="AK473" s="255" t="str">
        <f>IF(ISNUMBER(SEARCH("H", 'WetLitterbags placem_collection'!AE180)),"YES","NO")</f>
        <v>NO</v>
      </c>
      <c r="AL473" s="255" t="str">
        <f>IF(ISNUMBER(SEARCH("R", 'WetLitterbags placem_collection'!AE180)),"YES","NO")</f>
        <v>NO</v>
      </c>
    </row>
    <row r="474" spans="2:38">
      <c r="B474" t="str">
        <f>'Final data_for_R_analysis_Wetse'!A620</f>
        <v>Wet</v>
      </c>
      <c r="C474" s="263">
        <f>'Final data_for_R_analysis_Wetse'!B620</f>
        <v>179</v>
      </c>
      <c r="D474" t="s">
        <v>3854</v>
      </c>
      <c r="E474" t="s">
        <v>25</v>
      </c>
      <c r="F474" s="386">
        <v>3</v>
      </c>
      <c r="G474" s="16">
        <f>'WetLitterbags placem_collection'!E181</f>
        <v>42763</v>
      </c>
      <c r="H474" s="92" t="str">
        <f>'Final data_for_R_analysis_Wetse'!J620</f>
        <v>G826</v>
      </c>
      <c r="I474" t="str">
        <f>'Final data_for_R_analysis_Wetse'!J840</f>
        <v>R273</v>
      </c>
      <c r="J474">
        <f>IFERROR(INDEX('Green_rooibos initial weight'!$C$5:$C$1749,MATCH(H474, 'Green_rooibos initial weight'!$A$5:$A$1749,0)),"")</f>
        <v>2.15</v>
      </c>
      <c r="K474">
        <f>IFERROR(INDEX('Green_rooibos initial weight'!$C$5:$C$1749,MATCH(I474, 'Green_rooibos initial weight'!$A$5:$A$1749,0)),"")</f>
        <v>2.2090000000000001</v>
      </c>
      <c r="L474" s="195">
        <f t="shared" si="76"/>
        <v>1.9001999999999999</v>
      </c>
      <c r="M474" s="195">
        <f>AVERAGE(Ashed_controlls!$K$2:$K$11)</f>
        <v>5.5147656768714146</v>
      </c>
      <c r="N474" s="195">
        <f t="shared" si="72"/>
        <v>1.7954084226080893</v>
      </c>
      <c r="O474" s="195">
        <f t="shared" si="77"/>
        <v>1.9592000000000001</v>
      </c>
      <c r="P474" s="195">
        <f>AVERAGE(Ashed_controlls!$K$12:$K$14)</f>
        <v>2.2816647271287041</v>
      </c>
      <c r="Q474" s="195">
        <f t="shared" si="78"/>
        <v>1.9144976246660945</v>
      </c>
      <c r="R474" s="16">
        <f>IF('WetLitterbags placem_collection'!G181="N.A","",'WetLitterbags placem_collection'!G181)</f>
        <v>42815</v>
      </c>
      <c r="S474" s="195">
        <f>IF(IFERROR(INDEX('Both teabags AfterWet'!$C$3:$C$841,MATCH(H474,'Both teabags AfterWet'!$A$3:$A$841,0)),"")="N.A","",(IFERROR(INDEX('Both teabags AfterWet'!$C$3:$C$841,MATCH(H474,'Both teabags AfterWet'!$A$3:$A$841,0)),"")))</f>
        <v>0.60060000000000002</v>
      </c>
      <c r="T474" s="195">
        <f>IFERROR(INDEX('Both teabags AfterWet'!$C$3:$C$841,MATCH(I474,'Both teabags AfterWet'!$A$3:$A$841,0)),"")</f>
        <v>1.655</v>
      </c>
      <c r="U474" s="195">
        <f t="shared" si="79"/>
        <v>0.45</v>
      </c>
      <c r="V474" s="195">
        <f t="shared" si="79"/>
        <v>1.5044</v>
      </c>
      <c r="W474" s="195">
        <f>IFERROR(INDEX('Ashed teabags wet'!$K$2:$K$821,MATCH(H474,'Ashed teabags wet'!$A$2:$A$821,0)),"")</f>
        <v>8.7676570871892565</v>
      </c>
      <c r="X474" s="195">
        <f>IFERROR(INDEX('Ashed teabags wet'!$K$2:$K$821,MATCH(I474,'Ashed teabags wet'!$A$2:$A$821,0)),"")</f>
        <v>1.9912578921804642</v>
      </c>
      <c r="Y474" s="195">
        <f t="shared" si="73"/>
        <v>0.41054554310764835</v>
      </c>
      <c r="Z474" s="195">
        <f t="shared" si="73"/>
        <v>1.4744435162700371</v>
      </c>
      <c r="AA474" s="195">
        <f t="shared" si="80"/>
        <v>0.77133584874728844</v>
      </c>
      <c r="AB474" s="195">
        <f t="shared" si="81"/>
        <v>0.50567385808610843</v>
      </c>
      <c r="AC474" s="195">
        <f t="shared" si="74"/>
        <v>0.77014643281534145</v>
      </c>
      <c r="AD474">
        <f t="shared" si="75"/>
        <v>52</v>
      </c>
      <c r="AE474" s="195">
        <f t="shared" si="82"/>
        <v>8.3924170133861664E-2</v>
      </c>
      <c r="AF474" s="195">
        <f t="shared" si="83"/>
        <v>1.1656584202214141E-2</v>
      </c>
      <c r="AG474" s="255" t="str">
        <f>IF(ISNUMBER(SEARCH("C",'WetLitterbags placem_collection'!AD401)),"YES","NO")</f>
        <v>NO</v>
      </c>
      <c r="AH474" s="255" t="str">
        <f>IF(ISNUMBER(SEARCH("H", 'WetLitterbags placem_collection'!AF181)),"YES","NO")</f>
        <v>NO</v>
      </c>
      <c r="AI474" s="255" t="str">
        <f>IF(ISNUMBER(SEARCH("R", 'WetLitterbags placem_collection'!XF181)),"YES","NO")</f>
        <v>NO</v>
      </c>
      <c r="AJ474" s="255" t="str">
        <f>IF(ISNUMBER(SEARCH("C", 'WetLitterbags placem_collection'!WE181)),"YES","NO")</f>
        <v>NO</v>
      </c>
      <c r="AK474" s="255" t="str">
        <f>IF(ISNUMBER(SEARCH("H", 'WetLitterbags placem_collection'!AE181)),"YES","NO")</f>
        <v>NO</v>
      </c>
      <c r="AL474" s="255" t="str">
        <f>IF(ISNUMBER(SEARCH("R", 'WetLitterbags placem_collection'!AE181)),"YES","NO")</f>
        <v>NO</v>
      </c>
    </row>
    <row r="475" spans="2:38">
      <c r="B475" t="str">
        <f>'Final data_for_R_analysis_Wetse'!A621</f>
        <v>Wet</v>
      </c>
      <c r="C475" s="263">
        <f>'Final data_for_R_analysis_Wetse'!B621</f>
        <v>180</v>
      </c>
      <c r="D475" t="s">
        <v>3854</v>
      </c>
      <c r="E475" t="s">
        <v>25</v>
      </c>
      <c r="F475" s="387">
        <v>4</v>
      </c>
      <c r="G475" s="16">
        <f>'WetLitterbags placem_collection'!E182</f>
        <v>42763</v>
      </c>
      <c r="H475" s="92" t="str">
        <f>'Final data_for_R_analysis_Wetse'!J621</f>
        <v>G783</v>
      </c>
      <c r="I475" t="str">
        <f>'Final data_for_R_analysis_Wetse'!J841</f>
        <v>R301</v>
      </c>
      <c r="J475">
        <f>IFERROR(INDEX('Green_rooibos initial weight'!$C$5:$C$1749,MATCH(H475, 'Green_rooibos initial weight'!$A$5:$A$1749,0)),"")</f>
        <v>1.976</v>
      </c>
      <c r="K475">
        <f>IFERROR(INDEX('Green_rooibos initial weight'!$C$5:$C$1749,MATCH(I475, 'Green_rooibos initial weight'!$A$5:$A$1749,0)),"")</f>
        <v>2.2530000000000001</v>
      </c>
      <c r="L475" s="195">
        <f t="shared" si="76"/>
        <v>1.7262</v>
      </c>
      <c r="M475" s="195">
        <f>AVERAGE(Ashed_controlls!$K$2:$K$11)</f>
        <v>5.5147656768714146</v>
      </c>
      <c r="N475" s="195">
        <f t="shared" si="72"/>
        <v>1.6310041148858456</v>
      </c>
      <c r="O475" s="195">
        <f t="shared" si="77"/>
        <v>2.0032000000000001</v>
      </c>
      <c r="P475" s="195">
        <f>AVERAGE(Ashed_controlls!$K$12:$K$14)</f>
        <v>2.2816647271287041</v>
      </c>
      <c r="Q475" s="195">
        <f t="shared" si="78"/>
        <v>1.9574936921861579</v>
      </c>
      <c r="R475" s="16">
        <f>IF('WetLitterbags placem_collection'!G182="N.A","",'WetLitterbags placem_collection'!G182)</f>
        <v>42815</v>
      </c>
      <c r="S475" s="195">
        <f>IF(IFERROR(INDEX('Both teabags AfterWet'!$C$3:$C$841,MATCH(H475,'Both teabags AfterWet'!$A$3:$A$841,0)),"")="N.A","",(IFERROR(INDEX('Both teabags AfterWet'!$C$3:$C$841,MATCH(H475,'Both teabags AfterWet'!$A$3:$A$841,0)),"")))</f>
        <v>0.627</v>
      </c>
      <c r="T475" s="195">
        <f>IFERROR(INDEX('Both teabags AfterWet'!$C$3:$C$841,MATCH(I475,'Both teabags AfterWet'!$A$3:$A$841,0)),"")</f>
        <v>1.6709000000000001</v>
      </c>
      <c r="U475" s="195">
        <f t="shared" si="79"/>
        <v>0.47639999999999999</v>
      </c>
      <c r="V475" s="195">
        <f t="shared" si="79"/>
        <v>1.5203</v>
      </c>
      <c r="W475" s="195">
        <f>IFERROR(INDEX('Ashed teabags wet'!$K$2:$K$821,MATCH(H475,'Ashed teabags wet'!$A$2:$A$821,0)),"")</f>
        <v>8.7719298245612158</v>
      </c>
      <c r="X475" s="195">
        <f>IFERROR(INDEX('Ashed teabags wet'!$K$2:$K$821,MATCH(I475,'Ashed teabags wet'!$A$2:$A$821,0)),"")</f>
        <v>1.9038076152294727</v>
      </c>
      <c r="Y475" s="195">
        <f t="shared" si="73"/>
        <v>0.43461052631579034</v>
      </c>
      <c r="Z475" s="195">
        <f t="shared" si="73"/>
        <v>1.4913564128256662</v>
      </c>
      <c r="AA475" s="195">
        <f t="shared" si="80"/>
        <v>0.73353192530344491</v>
      </c>
      <c r="AB475" s="195">
        <f t="shared" si="81"/>
        <v>0.48089028832244851</v>
      </c>
      <c r="AC475" s="195">
        <f t="shared" si="74"/>
        <v>0.7618703543101063</v>
      </c>
      <c r="AD475">
        <f t="shared" si="75"/>
        <v>52</v>
      </c>
      <c r="AE475" s="195">
        <f t="shared" si="82"/>
        <v>0.12882194144483972</v>
      </c>
      <c r="AF475" s="195">
        <f t="shared" si="83"/>
        <v>1.3145446252428843E-2</v>
      </c>
      <c r="AG475" s="255" t="str">
        <f>IF(ISNUMBER(SEARCH("C",'WetLitterbags placem_collection'!AD402)),"YES","NO")</f>
        <v>NO</v>
      </c>
      <c r="AH475" s="255" t="str">
        <f>IF(ISNUMBER(SEARCH("H", 'WetLitterbags placem_collection'!AF182)),"YES","NO")</f>
        <v>NO</v>
      </c>
      <c r="AI475" s="255" t="str">
        <f>IF(ISNUMBER(SEARCH("R", 'WetLitterbags placem_collection'!XF182)),"YES","NO")</f>
        <v>NO</v>
      </c>
      <c r="AJ475" s="255" t="str">
        <f>IF(ISNUMBER(SEARCH("C", 'WetLitterbags placem_collection'!WE182)),"YES","NO")</f>
        <v>NO</v>
      </c>
      <c r="AK475" s="255" t="str">
        <f>IF(ISNUMBER(SEARCH("H", 'WetLitterbags placem_collection'!AE182)),"YES","NO")</f>
        <v>NO</v>
      </c>
      <c r="AL475" s="255" t="str">
        <f>IF(ISNUMBER(SEARCH("R", 'WetLitterbags placem_collection'!AE182)),"YES","NO")</f>
        <v>NO</v>
      </c>
    </row>
    <row r="476" spans="2:38">
      <c r="B476" t="str">
        <f>'Final data_for_R_analysis_Wetse'!A622</f>
        <v>Wet</v>
      </c>
      <c r="C476" s="263">
        <f>'Final data_for_R_analysis_Wetse'!B622</f>
        <v>181</v>
      </c>
      <c r="D476" t="s">
        <v>3854</v>
      </c>
      <c r="E476" t="s">
        <v>25</v>
      </c>
      <c r="F476" s="387">
        <v>5</v>
      </c>
      <c r="G476" s="16">
        <f>'WetLitterbags placem_collection'!E183</f>
        <v>42763</v>
      </c>
      <c r="H476" s="92" t="str">
        <f>'Final data_for_R_analysis_Wetse'!J622</f>
        <v>G551</v>
      </c>
      <c r="I476" t="str">
        <f>'Final data_for_R_analysis_Wetse'!J842</f>
        <v>R291</v>
      </c>
      <c r="J476">
        <f>IFERROR(INDEX('Green_rooibos initial weight'!$C$5:$C$1749,MATCH(H476, 'Green_rooibos initial weight'!$A$5:$A$1749,0)),"")</f>
        <v>2.1160000000000001</v>
      </c>
      <c r="K476">
        <f>IFERROR(INDEX('Green_rooibos initial weight'!$C$5:$C$1749,MATCH(I476, 'Green_rooibos initial weight'!$A$5:$A$1749,0)),"")</f>
        <v>2.2320000000000002</v>
      </c>
      <c r="L476" s="195">
        <f t="shared" si="76"/>
        <v>1.8662000000000001</v>
      </c>
      <c r="M476" s="195">
        <f>AVERAGE(Ashed_controlls!$K$2:$K$11)</f>
        <v>5.5147656768714146</v>
      </c>
      <c r="N476" s="195">
        <f t="shared" si="72"/>
        <v>1.7632834429382258</v>
      </c>
      <c r="O476" s="195">
        <f t="shared" si="77"/>
        <v>1.9822000000000002</v>
      </c>
      <c r="P476" s="195">
        <f>AVERAGE(Ashed_controlls!$K$12:$K$14)</f>
        <v>2.2816647271287041</v>
      </c>
      <c r="Q476" s="195">
        <f t="shared" si="78"/>
        <v>1.936972841778855</v>
      </c>
      <c r="R476" s="16">
        <f>IF('WetLitterbags placem_collection'!G183="N.A","",'WetLitterbags placem_collection'!G183)</f>
        <v>42815</v>
      </c>
      <c r="S476" s="195">
        <f>IF(IFERROR(INDEX('Both teabags AfterWet'!$C$3:$C$841,MATCH(H476,'Both teabags AfterWet'!$A$3:$A$841,0)),"")="N.A","",(IFERROR(INDEX('Both teabags AfterWet'!$C$3:$C$841,MATCH(H476,'Both teabags AfterWet'!$A$3:$A$841,0)),"")))</f>
        <v>0.61199999999999999</v>
      </c>
      <c r="T476" s="195">
        <f>IFERROR(INDEX('Both teabags AfterWet'!$C$3:$C$841,MATCH(I476,'Both teabags AfterWet'!$A$3:$A$841,0)),"")</f>
        <v>1.6970000000000001</v>
      </c>
      <c r="U476" s="195">
        <f t="shared" si="79"/>
        <v>0.46139999999999998</v>
      </c>
      <c r="V476" s="195">
        <f t="shared" si="79"/>
        <v>1.5464</v>
      </c>
      <c r="W476" s="195">
        <f>IFERROR(INDEX('Ashed teabags wet'!$K$2:$K$821,MATCH(H476,'Ashed teabags wet'!$A$2:$A$821,0)),"")</f>
        <v>8.5532746823073538</v>
      </c>
      <c r="X476" s="195">
        <f>IFERROR(INDEX('Ashed teabags wet'!$K$2:$K$821,MATCH(I476,'Ashed teabags wet'!$A$2:$A$821,0)),"")</f>
        <v>2.1348859776812832</v>
      </c>
      <c r="Y476" s="195">
        <f t="shared" si="73"/>
        <v>0.42193519061583384</v>
      </c>
      <c r="Z476" s="195">
        <f t="shared" si="73"/>
        <v>1.5133861232411365</v>
      </c>
      <c r="AA476" s="195">
        <f t="shared" si="80"/>
        <v>0.76071051293219916</v>
      </c>
      <c r="AB476" s="195">
        <f t="shared" si="81"/>
        <v>0.49870807973702375</v>
      </c>
      <c r="AC476" s="195">
        <f t="shared" si="74"/>
        <v>0.78131509673170751</v>
      </c>
      <c r="AD476">
        <f t="shared" si="75"/>
        <v>52</v>
      </c>
      <c r="AE476" s="195">
        <f t="shared" si="82"/>
        <v>9.6543333809739673E-2</v>
      </c>
      <c r="AF476" s="195">
        <f t="shared" si="83"/>
        <v>1.1099010407166885E-2</v>
      </c>
      <c r="AG476" s="255" t="str">
        <f>IF(ISNUMBER(SEARCH("C",'WetLitterbags placem_collection'!AD403)),"YES","NO")</f>
        <v>NO</v>
      </c>
      <c r="AH476" s="255" t="str">
        <f>IF(ISNUMBER(SEARCH("H", 'WetLitterbags placem_collection'!AF183)),"YES","NO")</f>
        <v>NO</v>
      </c>
      <c r="AI476" s="255" t="str">
        <f>IF(ISNUMBER(SEARCH("R", 'WetLitterbags placem_collection'!XF183)),"YES","NO")</f>
        <v>NO</v>
      </c>
      <c r="AJ476" s="255" t="str">
        <f>IF(ISNUMBER(SEARCH("C", 'WetLitterbags placem_collection'!WE183)),"YES","NO")</f>
        <v>NO</v>
      </c>
      <c r="AK476" s="255" t="str">
        <f>IF(ISNUMBER(SEARCH("H", 'WetLitterbags placem_collection'!AE183)),"YES","NO")</f>
        <v>NO</v>
      </c>
      <c r="AL476" s="255" t="str">
        <f>IF(ISNUMBER(SEARCH("R", 'WetLitterbags placem_collection'!AE183)),"YES","NO")</f>
        <v>NO</v>
      </c>
    </row>
    <row r="477" spans="2:38">
      <c r="B477" t="str">
        <f>'Final data_for_R_analysis_Wetse'!A623</f>
        <v>Wet</v>
      </c>
      <c r="C477" s="263">
        <f>'Final data_for_R_analysis_Wetse'!B623</f>
        <v>182</v>
      </c>
      <c r="D477" t="s">
        <v>3854</v>
      </c>
      <c r="E477" t="s">
        <v>25</v>
      </c>
      <c r="F477" s="387">
        <v>6</v>
      </c>
      <c r="G477" s="16">
        <f>'WetLitterbags placem_collection'!E184</f>
        <v>42763</v>
      </c>
      <c r="H477" s="92" t="str">
        <f>'Final data_for_R_analysis_Wetse'!J623</f>
        <v>G818</v>
      </c>
      <c r="I477" t="str">
        <f>'Final data_for_R_analysis_Wetse'!J843</f>
        <v>R537</v>
      </c>
      <c r="J477">
        <f>IFERROR(INDEX('Green_rooibos initial weight'!$C$5:$C$1749,MATCH(H477, 'Green_rooibos initial weight'!$A$5:$A$1749,0)),"")</f>
        <v>2.0099999999999998</v>
      </c>
      <c r="K477">
        <f>IFERROR(INDEX('Green_rooibos initial weight'!$C$5:$C$1749,MATCH(I477, 'Green_rooibos initial weight'!$A$5:$A$1749,0)),"")</f>
        <v>2.145</v>
      </c>
      <c r="L477" s="195">
        <f t="shared" si="76"/>
        <v>1.7601999999999998</v>
      </c>
      <c r="M477" s="195">
        <f>AVERAGE(Ashed_controlls!$K$2:$K$11)</f>
        <v>5.5147656768714146</v>
      </c>
      <c r="N477" s="195">
        <f t="shared" si="72"/>
        <v>1.6631290945557091</v>
      </c>
      <c r="O477" s="195">
        <f t="shared" si="77"/>
        <v>1.8952</v>
      </c>
      <c r="P477" s="195">
        <f>AVERAGE(Ashed_controlls!$K$12:$K$14)</f>
        <v>2.2816647271287041</v>
      </c>
      <c r="Q477" s="195">
        <f t="shared" si="78"/>
        <v>1.8519578900914568</v>
      </c>
      <c r="R477" s="16">
        <f>IF('WetLitterbags placem_collection'!G184="N.A","",'WetLitterbags placem_collection'!G184)</f>
        <v>42815</v>
      </c>
      <c r="S477" s="195">
        <f>IF(IFERROR(INDEX('Both teabags AfterWet'!$C$3:$C$841,MATCH(H477,'Both teabags AfterWet'!$A$3:$A$841,0)),"")="N.A","",(IFERROR(INDEX('Both teabags AfterWet'!$C$3:$C$841,MATCH(H477,'Both teabags AfterWet'!$A$3:$A$841,0)),"")))</f>
        <v>0.60450000000000004</v>
      </c>
      <c r="T477" s="195">
        <f>IFERROR(INDEX('Both teabags AfterWet'!$C$3:$C$841,MATCH(I477,'Both teabags AfterWet'!$A$3:$A$841,0)),"")</f>
        <v>1.7152000000000001</v>
      </c>
      <c r="U477" s="195">
        <f t="shared" si="79"/>
        <v>0.45390000000000003</v>
      </c>
      <c r="V477" s="195">
        <f t="shared" si="79"/>
        <v>1.5646</v>
      </c>
      <c r="W477" s="195">
        <f>IFERROR(INDEX('Ashed teabags wet'!$K$2:$K$821,MATCH(H477,'Ashed teabags wet'!$A$2:$A$821,0)),"")</f>
        <v>10.028790786949029</v>
      </c>
      <c r="X477" s="195">
        <f>IFERROR(INDEX('Ashed teabags wet'!$K$2:$K$821,MATCH(I477,'Ashed teabags wet'!$A$2:$A$821,0)),"")</f>
        <v>2.0958083832334542</v>
      </c>
      <c r="Y477" s="195">
        <f t="shared" si="73"/>
        <v>0.40837931861803839</v>
      </c>
      <c r="Z477" s="195">
        <f t="shared" si="73"/>
        <v>1.5318089820359293</v>
      </c>
      <c r="AA477" s="195">
        <f t="shared" si="80"/>
        <v>0.75445122092152839</v>
      </c>
      <c r="AB477" s="195">
        <f t="shared" si="81"/>
        <v>0.49460460088917307</v>
      </c>
      <c r="AC477" s="195">
        <f t="shared" si="74"/>
        <v>0.82712948832777333</v>
      </c>
      <c r="AD477">
        <f t="shared" si="75"/>
        <v>52</v>
      </c>
      <c r="AE477" s="195">
        <f t="shared" si="82"/>
        <v>0.10397717230222281</v>
      </c>
      <c r="AF477" s="195">
        <f t="shared" si="83"/>
        <v>8.269870438390203E-3</v>
      </c>
      <c r="AG477" s="255" t="str">
        <f>IF(ISNUMBER(SEARCH("C",'WetLitterbags placem_collection'!AD404)),"YES","NO")</f>
        <v>NO</v>
      </c>
      <c r="AH477" s="255" t="str">
        <f>IF(ISNUMBER(SEARCH("H", 'WetLitterbags placem_collection'!AF184)),"YES","NO")</f>
        <v>NO</v>
      </c>
      <c r="AI477" s="255" t="str">
        <f>IF(ISNUMBER(SEARCH("R", 'WetLitterbags placem_collection'!XF184)),"YES","NO")</f>
        <v>NO</v>
      </c>
      <c r="AJ477" s="255" t="str">
        <f>IF(ISNUMBER(SEARCH("C", 'WetLitterbags placem_collection'!WE184)),"YES","NO")</f>
        <v>NO</v>
      </c>
      <c r="AK477" s="255" t="str">
        <f>IF(ISNUMBER(SEARCH("H", 'WetLitterbags placem_collection'!AE184)),"YES","NO")</f>
        <v>NO</v>
      </c>
      <c r="AL477" s="255" t="str">
        <f>IF(ISNUMBER(SEARCH("R", 'WetLitterbags placem_collection'!AE184)),"YES","NO")</f>
        <v>NO</v>
      </c>
    </row>
    <row r="478" spans="2:38">
      <c r="B478" t="str">
        <f>'Final data_for_R_analysis_Wetse'!A624</f>
        <v>Wet</v>
      </c>
      <c r="C478" s="263">
        <f>'Final data_for_R_analysis_Wetse'!B624</f>
        <v>183</v>
      </c>
      <c r="D478" t="s">
        <v>3854</v>
      </c>
      <c r="E478" t="s">
        <v>25</v>
      </c>
      <c r="F478" s="387">
        <v>7</v>
      </c>
      <c r="G478" s="16">
        <f>'WetLitterbags placem_collection'!E185</f>
        <v>42763</v>
      </c>
      <c r="H478" s="92" t="str">
        <f>'Final data_for_R_analysis_Wetse'!J624</f>
        <v>G896</v>
      </c>
      <c r="I478" t="str">
        <f>'Final data_for_R_analysis_Wetse'!J844</f>
        <v>R290</v>
      </c>
      <c r="J478">
        <f>IFERROR(INDEX('Green_rooibos initial weight'!$C$5:$C$1749,MATCH(H478, 'Green_rooibos initial weight'!$A$5:$A$1749,0)),"")</f>
        <v>1.982</v>
      </c>
      <c r="K478">
        <f>IFERROR(INDEX('Green_rooibos initial weight'!$C$5:$C$1749,MATCH(I478, 'Green_rooibos initial weight'!$A$5:$A$1749,0)),"")</f>
        <v>2.153</v>
      </c>
      <c r="L478" s="195">
        <f t="shared" si="76"/>
        <v>1.7322</v>
      </c>
      <c r="M478" s="195">
        <f>AVERAGE(Ashed_controlls!$K$2:$K$11)</f>
        <v>5.5147656768714146</v>
      </c>
      <c r="N478" s="195">
        <f t="shared" si="72"/>
        <v>1.6366732289452333</v>
      </c>
      <c r="O478" s="195">
        <f t="shared" si="77"/>
        <v>1.9032</v>
      </c>
      <c r="P478" s="195">
        <f>AVERAGE(Ashed_controlls!$K$12:$K$14)</f>
        <v>2.2816647271287041</v>
      </c>
      <c r="Q478" s="195">
        <f t="shared" si="78"/>
        <v>1.8597753569132864</v>
      </c>
      <c r="R478" s="16">
        <f>IF('WetLitterbags placem_collection'!G185="N.A","",'WetLitterbags placem_collection'!G185)</f>
        <v>42815</v>
      </c>
      <c r="S478" s="195">
        <f>IF(IFERROR(INDEX('Both teabags AfterWet'!$C$3:$C$841,MATCH(H478,'Both teabags AfterWet'!$A$3:$A$841,0)),"")="N.A","",(IFERROR(INDEX('Both teabags AfterWet'!$C$3:$C$841,MATCH(H478,'Both teabags AfterWet'!$A$3:$A$841,0)),"")))</f>
        <v>0.61</v>
      </c>
      <c r="T478" s="195">
        <f>IFERROR(INDEX('Both teabags AfterWet'!$C$3:$C$841,MATCH(I478,'Both teabags AfterWet'!$A$3:$A$841,0)),"")</f>
        <v>1.7310000000000001</v>
      </c>
      <c r="U478" s="195">
        <f t="shared" si="79"/>
        <v>0.45939999999999998</v>
      </c>
      <c r="V478" s="195">
        <f t="shared" si="79"/>
        <v>1.5804</v>
      </c>
      <c r="W478" s="195">
        <f>IFERROR(INDEX('Ashed teabags wet'!$K$2:$K$821,MATCH(H478,'Ashed teabags wet'!$A$2:$A$821,0)),"")</f>
        <v>9.3827160493825037</v>
      </c>
      <c r="X478" s="195">
        <f>IFERROR(INDEX('Ashed teabags wet'!$K$2:$K$821,MATCH(I478,'Ashed teabags wet'!$A$2:$A$821,0)),"")</f>
        <v>2.639442231076139</v>
      </c>
      <c r="Y478" s="195">
        <f t="shared" si="73"/>
        <v>0.41629580246913678</v>
      </c>
      <c r="Z478" s="195">
        <f t="shared" si="73"/>
        <v>1.5386862549800728</v>
      </c>
      <c r="AA478" s="195">
        <f t="shared" si="80"/>
        <v>0.74564513239003616</v>
      </c>
      <c r="AB478" s="195">
        <f t="shared" si="81"/>
        <v>0.48883148821769595</v>
      </c>
      <c r="AC478" s="195">
        <f t="shared" si="74"/>
        <v>0.82735059869481609</v>
      </c>
      <c r="AD478">
        <f t="shared" si="75"/>
        <v>52</v>
      </c>
      <c r="AE478" s="195">
        <f t="shared" si="82"/>
        <v>0.11443570975055084</v>
      </c>
      <c r="AF478" s="195">
        <f t="shared" si="83"/>
        <v>8.3788375610215592E-3</v>
      </c>
      <c r="AG478" s="255" t="str">
        <f>IF(ISNUMBER(SEARCH("C",'WetLitterbags placem_collection'!AD405)),"YES","NO")</f>
        <v>NO</v>
      </c>
      <c r="AH478" s="255" t="str">
        <f>IF(ISNUMBER(SEARCH("H", 'WetLitterbags placem_collection'!AF185)),"YES","NO")</f>
        <v>NO</v>
      </c>
      <c r="AI478" s="255" t="str">
        <f>IF(ISNUMBER(SEARCH("R", 'WetLitterbags placem_collection'!XF185)),"YES","NO")</f>
        <v>NO</v>
      </c>
      <c r="AJ478" s="255" t="str">
        <f>IF(ISNUMBER(SEARCH("C", 'WetLitterbags placem_collection'!WE185)),"YES","NO")</f>
        <v>NO</v>
      </c>
      <c r="AK478" s="255" t="str">
        <f>IF(ISNUMBER(SEARCH("H", 'WetLitterbags placem_collection'!AE185)),"YES","NO")</f>
        <v>NO</v>
      </c>
      <c r="AL478" s="255" t="str">
        <f>IF(ISNUMBER(SEARCH("R", 'WetLitterbags placem_collection'!AE185)),"YES","NO")</f>
        <v>NO</v>
      </c>
    </row>
    <row r="479" spans="2:38">
      <c r="B479" t="str">
        <f>'Final data_for_R_analysis_Wetse'!A625</f>
        <v>Wet</v>
      </c>
      <c r="C479" s="263">
        <f>'Final data_for_R_analysis_Wetse'!B625</f>
        <v>184</v>
      </c>
      <c r="D479" t="s">
        <v>3854</v>
      </c>
      <c r="E479" t="s">
        <v>25</v>
      </c>
      <c r="F479" s="387">
        <v>8</v>
      </c>
      <c r="G479" s="16">
        <f>'WetLitterbags placem_collection'!E186</f>
        <v>42763</v>
      </c>
      <c r="H479" s="92" t="str">
        <f>'Final data_for_R_analysis_Wetse'!J625</f>
        <v>G337</v>
      </c>
      <c r="I479" t="str">
        <f>'Final data_for_R_analysis_Wetse'!J845</f>
        <v>R555</v>
      </c>
      <c r="J479">
        <f>IFERROR(INDEX('Green_rooibos initial weight'!$C$5:$C$1749,MATCH(H479, 'Green_rooibos initial weight'!$A$5:$A$1749,0)),"")</f>
        <v>1.8680000000000001</v>
      </c>
      <c r="K479">
        <f>IFERROR(INDEX('Green_rooibos initial weight'!$C$5:$C$1749,MATCH(I479, 'Green_rooibos initial weight'!$A$5:$A$1749,0)),"")</f>
        <v>2.1789999999999998</v>
      </c>
      <c r="L479" s="195">
        <f t="shared" si="76"/>
        <v>1.6182000000000001</v>
      </c>
      <c r="M479" s="195">
        <f>AVERAGE(Ashed_controlls!$K$2:$K$11)</f>
        <v>5.5147656768714146</v>
      </c>
      <c r="N479" s="195">
        <f t="shared" si="72"/>
        <v>1.5289600618168668</v>
      </c>
      <c r="O479" s="195">
        <f t="shared" si="77"/>
        <v>1.9291999999999998</v>
      </c>
      <c r="P479" s="195">
        <f>AVERAGE(Ashed_controlls!$K$12:$K$14)</f>
        <v>2.2816647271287041</v>
      </c>
      <c r="Q479" s="195">
        <f t="shared" si="78"/>
        <v>1.8851821240842328</v>
      </c>
      <c r="R479" s="16">
        <f>IF('WetLitterbags placem_collection'!G186="N.A","",'WetLitterbags placem_collection'!G186)</f>
        <v>42815</v>
      </c>
      <c r="S479" s="195">
        <f>IF(IFERROR(INDEX('Both teabags AfterWet'!$C$3:$C$841,MATCH(H479,'Both teabags AfterWet'!$A$3:$A$841,0)),"")="N.A","",(IFERROR(INDEX('Both teabags AfterWet'!$C$3:$C$841,MATCH(H479,'Both teabags AfterWet'!$A$3:$A$841,0)),"")))</f>
        <v>0.63060000000000005</v>
      </c>
      <c r="T479" s="195">
        <f>IFERROR(INDEX('Both teabags AfterWet'!$C$3:$C$841,MATCH(I479,'Both teabags AfterWet'!$A$3:$A$841,0)),"")</f>
        <v>1.7096</v>
      </c>
      <c r="U479" s="195">
        <f t="shared" si="79"/>
        <v>0.48000000000000004</v>
      </c>
      <c r="V479" s="195">
        <f t="shared" si="79"/>
        <v>1.5589999999999999</v>
      </c>
      <c r="W479" s="195">
        <f>IFERROR(INDEX('Ashed teabags wet'!$K$2:$K$821,MATCH(H479,'Ashed teabags wet'!$A$2:$A$821,0)),"")</f>
        <v>10.824230387289536</v>
      </c>
      <c r="X479" s="195">
        <f>IFERROR(INDEX('Ashed teabags wet'!$K$2:$K$821,MATCH(I479,'Ashed teabags wet'!$A$2:$A$821,0)),"")</f>
        <v>2.750491159135366</v>
      </c>
      <c r="Y479" s="195">
        <f t="shared" si="73"/>
        <v>0.42804369414101029</v>
      </c>
      <c r="Z479" s="195">
        <f t="shared" si="73"/>
        <v>1.5161198428290796</v>
      </c>
      <c r="AA479" s="195">
        <f t="shared" si="80"/>
        <v>0.72004259311236363</v>
      </c>
      <c r="AB479" s="195">
        <f t="shared" si="81"/>
        <v>0.47204692565086076</v>
      </c>
      <c r="AC479" s="195">
        <f t="shared" si="74"/>
        <v>0.80422990620366031</v>
      </c>
      <c r="AD479">
        <f t="shared" si="75"/>
        <v>52</v>
      </c>
      <c r="AE479" s="195">
        <f t="shared" si="82"/>
        <v>0.14484252599481751</v>
      </c>
      <c r="AF479" s="195">
        <f t="shared" si="83"/>
        <v>1.0301442738370388E-2</v>
      </c>
      <c r="AG479" s="255" t="str">
        <f>IF(ISNUMBER(SEARCH("C",'WetLitterbags placem_collection'!AD406)),"YES","NO")</f>
        <v>NO</v>
      </c>
      <c r="AH479" s="255" t="str">
        <f>IF(ISNUMBER(SEARCH("H", 'WetLitterbags placem_collection'!AF186)),"YES","NO")</f>
        <v>NO</v>
      </c>
      <c r="AI479" s="255" t="str">
        <f>IF(ISNUMBER(SEARCH("R", 'WetLitterbags placem_collection'!XF186)),"YES","NO")</f>
        <v>NO</v>
      </c>
      <c r="AJ479" s="255" t="str">
        <f>IF(ISNUMBER(SEARCH("C", 'WetLitterbags placem_collection'!WE186)),"YES","NO")</f>
        <v>NO</v>
      </c>
      <c r="AK479" s="255" t="str">
        <f>IF(ISNUMBER(SEARCH("H", 'WetLitterbags placem_collection'!AE186)),"YES","NO")</f>
        <v>NO</v>
      </c>
      <c r="AL479" s="255" t="str">
        <f>IF(ISNUMBER(SEARCH("R", 'WetLitterbags placem_collection'!AE186)),"YES","NO")</f>
        <v>NO</v>
      </c>
    </row>
    <row r="480" spans="2:38">
      <c r="B480" t="str">
        <f>'Final data_for_R_analysis_Wetse'!A626</f>
        <v>Wet</v>
      </c>
      <c r="C480" s="263">
        <f>'Final data_for_R_analysis_Wetse'!B626</f>
        <v>185</v>
      </c>
      <c r="D480" t="s">
        <v>3855</v>
      </c>
      <c r="E480" t="s">
        <v>25</v>
      </c>
      <c r="F480" s="386">
        <v>1</v>
      </c>
      <c r="G480" s="16">
        <f>'WetLitterbags placem_collection'!E187</f>
        <v>42763</v>
      </c>
      <c r="H480" s="92" t="str">
        <f>'Final data_for_R_analysis_Wetse'!J626</f>
        <v>G564</v>
      </c>
      <c r="I480" t="str">
        <f>'Final data_for_R_analysis_Wetse'!J846</f>
        <v>R539</v>
      </c>
      <c r="J480">
        <f>IFERROR(INDEX('Green_rooibos initial weight'!$C$5:$C$1749,MATCH(H480, 'Green_rooibos initial weight'!$A$5:$A$1749,0)),"")</f>
        <v>1.95</v>
      </c>
      <c r="K480">
        <f>IFERROR(INDEX('Green_rooibos initial weight'!$C$5:$C$1749,MATCH(I480, 'Green_rooibos initial weight'!$A$5:$A$1749,0)),"")</f>
        <v>2.16</v>
      </c>
      <c r="L480" s="195">
        <f t="shared" si="76"/>
        <v>1.7001999999999999</v>
      </c>
      <c r="M480" s="195">
        <f>AVERAGE(Ashed_controlls!$K$2:$K$11)</f>
        <v>5.5147656768714146</v>
      </c>
      <c r="N480" s="195">
        <f t="shared" si="72"/>
        <v>1.6064379539618321</v>
      </c>
      <c r="O480" s="195">
        <f t="shared" si="77"/>
        <v>1.9102000000000001</v>
      </c>
      <c r="P480" s="195">
        <f>AVERAGE(Ashed_controlls!$K$12:$K$14)</f>
        <v>2.2816647271287041</v>
      </c>
      <c r="Q480" s="195">
        <f t="shared" si="78"/>
        <v>1.8666156403823877</v>
      </c>
      <c r="R480" s="16">
        <f>IF('WetLitterbags placem_collection'!G187="N.A","",'WetLitterbags placem_collection'!G187)</f>
        <v>42815</v>
      </c>
      <c r="S480" s="195">
        <f>IF(IFERROR(INDEX('Both teabags AfterWet'!$C$3:$C$841,MATCH(H480,'Both teabags AfterWet'!$A$3:$A$841,0)),"")="N.A","",(IFERROR(INDEX('Both teabags AfterWet'!$C$3:$C$841,MATCH(H480,'Both teabags AfterWet'!$A$3:$A$841,0)),"")))</f>
        <v>0.626</v>
      </c>
      <c r="T480" s="195">
        <f>IFERROR(INDEX('Both teabags AfterWet'!$C$3:$C$841,MATCH(I480,'Both teabags AfterWet'!$A$3:$A$841,0)),"")</f>
        <v>1.7513000000000001</v>
      </c>
      <c r="U480" s="195">
        <f t="shared" si="79"/>
        <v>0.47539999999999999</v>
      </c>
      <c r="V480" s="195">
        <f t="shared" si="79"/>
        <v>1.6007</v>
      </c>
      <c r="W480" s="195">
        <f>IFERROR(INDEX('Ashed teabags wet'!$K$2:$K$821,MATCH(H480,'Ashed teabags wet'!$A$2:$A$821,0)),"")</f>
        <v>8.4325396825389731</v>
      </c>
      <c r="X480" s="195">
        <f>IFERROR(INDEX('Ashed teabags wet'!$K$2:$K$821,MATCH(I480,'Ashed teabags wet'!$A$2:$A$821,0)),"")</f>
        <v>1.5944195316393635</v>
      </c>
      <c r="Y480" s="195">
        <f t="shared" si="73"/>
        <v>0.43531170634920974</v>
      </c>
      <c r="Z480" s="195">
        <f t="shared" si="73"/>
        <v>1.5751781265570488</v>
      </c>
      <c r="AA480" s="195">
        <f t="shared" si="80"/>
        <v>0.7290205293795291</v>
      </c>
      <c r="AB480" s="195">
        <f t="shared" si="81"/>
        <v>0.47793269859560583</v>
      </c>
      <c r="AC480" s="195">
        <f t="shared" si="74"/>
        <v>0.84386849251641538</v>
      </c>
      <c r="AD480">
        <f t="shared" si="75"/>
        <v>52</v>
      </c>
      <c r="AE480" s="195">
        <f t="shared" si="82"/>
        <v>0.13417989384854023</v>
      </c>
      <c r="AF480" s="195">
        <f t="shared" si="83"/>
        <v>7.6064613212549707E-3</v>
      </c>
      <c r="AG480" s="255" t="str">
        <f>IF(ISNUMBER(SEARCH("C",'WetLitterbags placem_collection'!AD407)),"YES","NO")</f>
        <v>NO</v>
      </c>
      <c r="AH480" s="255" t="str">
        <f>IF(ISNUMBER(SEARCH("H", 'WetLitterbags placem_collection'!AF187)),"YES","NO")</f>
        <v>NO</v>
      </c>
      <c r="AI480" s="255" t="str">
        <f>IF(ISNUMBER(SEARCH("R", 'WetLitterbags placem_collection'!XF187)),"YES","NO")</f>
        <v>NO</v>
      </c>
      <c r="AJ480" s="255" t="str">
        <f>IF(ISNUMBER(SEARCH("C", 'WetLitterbags placem_collection'!WE187)),"YES","NO")</f>
        <v>NO</v>
      </c>
      <c r="AK480" s="255" t="str">
        <f>IF(ISNUMBER(SEARCH("H", 'WetLitterbags placem_collection'!AE187)),"YES","NO")</f>
        <v>NO</v>
      </c>
      <c r="AL480" s="255" t="str">
        <f>IF(ISNUMBER(SEARCH("R", 'WetLitterbags placem_collection'!AE187)),"YES","NO")</f>
        <v>NO</v>
      </c>
    </row>
    <row r="481" spans="2:38">
      <c r="B481" t="str">
        <f>'Final data_for_R_analysis_Wetse'!A627</f>
        <v>Wet</v>
      </c>
      <c r="C481" s="263">
        <f>'Final data_for_R_analysis_Wetse'!B627</f>
        <v>186</v>
      </c>
      <c r="D481" t="s">
        <v>3855</v>
      </c>
      <c r="E481" t="s">
        <v>25</v>
      </c>
      <c r="F481" s="386">
        <v>2</v>
      </c>
      <c r="G481" s="16">
        <f>'WetLitterbags placem_collection'!E188</f>
        <v>42763</v>
      </c>
      <c r="H481" s="92" t="str">
        <f>'Final data_for_R_analysis_Wetse'!J627</f>
        <v>G608</v>
      </c>
      <c r="I481" t="str">
        <f>'Final data_for_R_analysis_Wetse'!J847</f>
        <v>R186</v>
      </c>
      <c r="J481">
        <f>IFERROR(INDEX('Green_rooibos initial weight'!$C$5:$C$1749,MATCH(H481, 'Green_rooibos initial weight'!$A$5:$A$1749,0)),"")</f>
        <v>2.0259999999999998</v>
      </c>
      <c r="K481">
        <f>IFERROR(INDEX('Green_rooibos initial weight'!$C$5:$C$1749,MATCH(I481, 'Green_rooibos initial weight'!$A$5:$A$1749,0)),"")</f>
        <v>2.2530000000000001</v>
      </c>
      <c r="L481" s="195">
        <f t="shared" si="76"/>
        <v>1.7761999999999998</v>
      </c>
      <c r="M481" s="195">
        <f>AVERAGE(Ashed_controlls!$K$2:$K$11)</f>
        <v>5.5147656768714146</v>
      </c>
      <c r="N481" s="195">
        <f t="shared" si="72"/>
        <v>1.6782467320474097</v>
      </c>
      <c r="O481" s="195">
        <f t="shared" si="77"/>
        <v>2.0032000000000001</v>
      </c>
      <c r="P481" s="195">
        <f>AVERAGE(Ashed_controlls!$K$12:$K$14)</f>
        <v>2.2816647271287041</v>
      </c>
      <c r="Q481" s="195">
        <f t="shared" si="78"/>
        <v>1.9574936921861579</v>
      </c>
      <c r="R481" s="16">
        <f>IF('WetLitterbags placem_collection'!G188="N.A","",'WetLitterbags placem_collection'!G188)</f>
        <v>42815</v>
      </c>
      <c r="S481" s="195" t="str">
        <f>IF(IFERROR(INDEX('Both teabags AfterWet'!$C$3:$C$841,MATCH(H481,'Both teabags AfterWet'!$A$3:$A$841,0)),"")="N.A","",(IFERROR(INDEX('Both teabags AfterWet'!$C$3:$C$841,MATCH(H481,'Both teabags AfterWet'!$A$3:$A$841,0)),"")))</f>
        <v/>
      </c>
      <c r="T481" s="195">
        <f>IFERROR(INDEX('Both teabags AfterWet'!$C$3:$C$841,MATCH(I481,'Both teabags AfterWet'!$A$3:$A$841,0)),"")</f>
        <v>1.7809999999999999</v>
      </c>
      <c r="U481" s="195" t="str">
        <f t="shared" si="79"/>
        <v/>
      </c>
      <c r="V481" s="195">
        <f t="shared" si="79"/>
        <v>1.6303999999999998</v>
      </c>
      <c r="W481" s="195">
        <f>IFERROR(INDEX('Ashed teabags wet'!$K$2:$K$821,MATCH(H481,'Ashed teabags wet'!$A$2:$A$821,0)),"")</f>
        <v>9.0274314214466642</v>
      </c>
      <c r="X481" s="195">
        <f>IFERROR(INDEX('Ashed teabags wet'!$K$2:$K$821,MATCH(I481,'Ashed teabags wet'!$A$2:$A$821,0)),"")</f>
        <v>2.2783556215947218</v>
      </c>
      <c r="Y481" s="195" t="str">
        <f t="shared" si="73"/>
        <v/>
      </c>
      <c r="Z481" s="195">
        <f t="shared" si="73"/>
        <v>1.5932536899455194</v>
      </c>
      <c r="AA481" s="195" t="str">
        <f t="shared" si="80"/>
        <v/>
      </c>
      <c r="AB481" s="195" t="str">
        <f t="shared" si="81"/>
        <v/>
      </c>
      <c r="AC481" s="195">
        <f t="shared" si="74"/>
        <v>0.81392532517749783</v>
      </c>
      <c r="AD481">
        <f t="shared" si="75"/>
        <v>52</v>
      </c>
      <c r="AE481" s="195" t="str">
        <f t="shared" si="82"/>
        <v/>
      </c>
      <c r="AF481" s="195" t="str">
        <f t="shared" si="83"/>
        <v/>
      </c>
      <c r="AG481" s="255" t="str">
        <f>IF(ISNUMBER(SEARCH("C",'WetLitterbags placem_collection'!AD408)),"YES","NO")</f>
        <v>NO</v>
      </c>
      <c r="AH481" s="255" t="str">
        <f>IF(ISNUMBER(SEARCH("H", 'WetLitterbags placem_collection'!AF188)),"YES","NO")</f>
        <v>NO</v>
      </c>
      <c r="AI481" s="255" t="str">
        <f>IF(ISNUMBER(SEARCH("R", 'WetLitterbags placem_collection'!XF188)),"YES","NO")</f>
        <v>NO</v>
      </c>
      <c r="AJ481" s="255" t="str">
        <f>IF(ISNUMBER(SEARCH("C", 'WetLitterbags placem_collection'!WE188)),"YES","NO")</f>
        <v>NO</v>
      </c>
      <c r="AK481" s="255" t="str">
        <f>IF(ISNUMBER(SEARCH("H", 'WetLitterbags placem_collection'!AE188)),"YES","NO")</f>
        <v>NO</v>
      </c>
      <c r="AL481" s="255" t="str">
        <f>IF(ISNUMBER(SEARCH("R", 'WetLitterbags placem_collection'!AE188)),"YES","NO")</f>
        <v>NO</v>
      </c>
    </row>
    <row r="482" spans="2:38">
      <c r="B482" t="str">
        <f>'Final data_for_R_analysis_Wetse'!A628</f>
        <v>Wet</v>
      </c>
      <c r="C482" s="263">
        <f>'Final data_for_R_analysis_Wetse'!B628</f>
        <v>187</v>
      </c>
      <c r="D482" t="s">
        <v>3855</v>
      </c>
      <c r="E482" t="s">
        <v>25</v>
      </c>
      <c r="F482" s="386">
        <v>3</v>
      </c>
      <c r="G482" s="16">
        <f>'WetLitterbags placem_collection'!E189</f>
        <v>42763</v>
      </c>
      <c r="H482" s="92" t="str">
        <f>'Final data_for_R_analysis_Wetse'!J628</f>
        <v>G365</v>
      </c>
      <c r="I482" t="str">
        <f>'Final data_for_R_analysis_Wetse'!J848</f>
        <v>R580</v>
      </c>
      <c r="J482">
        <f>IFERROR(INDEX('Green_rooibos initial weight'!$C$5:$C$1749,MATCH(H482, 'Green_rooibos initial weight'!$A$5:$A$1749,0)),"")</f>
        <v>1.954</v>
      </c>
      <c r="K482">
        <f>IFERROR(INDEX('Green_rooibos initial weight'!$C$5:$C$1749,MATCH(I482, 'Green_rooibos initial weight'!$A$5:$A$1749,0)),"")</f>
        <v>2.0870000000000002</v>
      </c>
      <c r="L482" s="195">
        <f t="shared" si="76"/>
        <v>1.7041999999999999</v>
      </c>
      <c r="M482" s="195">
        <f>AVERAGE(Ashed_controlls!$K$2:$K$11)</f>
        <v>5.5147656768714146</v>
      </c>
      <c r="N482" s="195">
        <f t="shared" si="72"/>
        <v>1.6102173633347574</v>
      </c>
      <c r="O482" s="195">
        <f t="shared" si="77"/>
        <v>1.8372000000000002</v>
      </c>
      <c r="P482" s="195">
        <f>AVERAGE(Ashed_controlls!$K$12:$K$14)</f>
        <v>2.2816647271287041</v>
      </c>
      <c r="Q482" s="195">
        <f t="shared" si="78"/>
        <v>1.7952812556331916</v>
      </c>
      <c r="R482" s="16">
        <f>IF('WetLitterbags placem_collection'!G189="N.A","",'WetLitterbags placem_collection'!G189)</f>
        <v>42815</v>
      </c>
      <c r="S482" s="195">
        <f>IF(IFERROR(INDEX('Both teabags AfterWet'!$C$3:$C$841,MATCH(H482,'Both teabags AfterWet'!$A$3:$A$841,0)),"")="N.A","",(IFERROR(INDEX('Both teabags AfterWet'!$C$3:$C$841,MATCH(H482,'Both teabags AfterWet'!$A$3:$A$841,0)),"")))</f>
        <v>0.6714</v>
      </c>
      <c r="T482" s="195">
        <f>IFERROR(INDEX('Both teabags AfterWet'!$C$3:$C$841,MATCH(I482,'Both teabags AfterWet'!$A$3:$A$841,0)),"")</f>
        <v>1.6225000000000001</v>
      </c>
      <c r="U482" s="195">
        <f t="shared" si="79"/>
        <v>0.52079999999999993</v>
      </c>
      <c r="V482" s="195">
        <f t="shared" si="79"/>
        <v>1.4719</v>
      </c>
      <c r="W482" s="195">
        <f>IFERROR(INDEX('Ashed teabags wet'!$K$2:$K$821,MATCH(H482,'Ashed teabags wet'!$A$2:$A$821,0)),"")</f>
        <v>8.8162456661709641</v>
      </c>
      <c r="X482" s="195">
        <f>IFERROR(INDEX('Ashed teabags wet'!$K$2:$K$821,MATCH(I482,'Ashed teabags wet'!$A$2:$A$821,0)),"")</f>
        <v>2.0914396887151829</v>
      </c>
      <c r="Y482" s="195">
        <f t="shared" si="73"/>
        <v>0.47488499257058153</v>
      </c>
      <c r="Z482" s="195">
        <f t="shared" si="73"/>
        <v>1.4411160992218013</v>
      </c>
      <c r="AA482" s="195">
        <f t="shared" si="80"/>
        <v>0.70508019390183718</v>
      </c>
      <c r="AB482" s="195">
        <f t="shared" si="81"/>
        <v>0.46223784683350855</v>
      </c>
      <c r="AC482" s="195">
        <f t="shared" si="74"/>
        <v>0.8027244169680382</v>
      </c>
      <c r="AD482">
        <f t="shared" si="75"/>
        <v>52</v>
      </c>
      <c r="AE482" s="195">
        <f t="shared" si="82"/>
        <v>0.1626125963161078</v>
      </c>
      <c r="AF482" s="195">
        <f t="shared" si="83"/>
        <v>1.070177237492214E-2</v>
      </c>
      <c r="AG482" s="255" t="str">
        <f>IF(ISNUMBER(SEARCH("C",'WetLitterbags placem_collection'!AD409)),"YES","NO")</f>
        <v>NO</v>
      </c>
      <c r="AH482" s="255" t="str">
        <f>IF(ISNUMBER(SEARCH("H", 'WetLitterbags placem_collection'!AF189)),"YES","NO")</f>
        <v>NO</v>
      </c>
      <c r="AI482" s="255" t="str">
        <f>IF(ISNUMBER(SEARCH("R", 'WetLitterbags placem_collection'!XF189)),"YES","NO")</f>
        <v>NO</v>
      </c>
      <c r="AJ482" s="255" t="str">
        <f>IF(ISNUMBER(SEARCH("C", 'WetLitterbags placem_collection'!WE189)),"YES","NO")</f>
        <v>NO</v>
      </c>
      <c r="AK482" s="255" t="str">
        <f>IF(ISNUMBER(SEARCH("H", 'WetLitterbags placem_collection'!AE189)),"YES","NO")</f>
        <v>NO</v>
      </c>
      <c r="AL482" s="255" t="str">
        <f>IF(ISNUMBER(SEARCH("R", 'WetLitterbags placem_collection'!AE189)),"YES","NO")</f>
        <v>NO</v>
      </c>
    </row>
    <row r="483" spans="2:38">
      <c r="B483" t="str">
        <f>'Final data_for_R_analysis_Wetse'!A629</f>
        <v>Wet</v>
      </c>
      <c r="C483" s="263">
        <f>'Final data_for_R_analysis_Wetse'!B629</f>
        <v>188</v>
      </c>
      <c r="D483" t="s">
        <v>3855</v>
      </c>
      <c r="E483" t="s">
        <v>25</v>
      </c>
      <c r="F483" s="387">
        <v>4</v>
      </c>
      <c r="G483" s="16">
        <f>'WetLitterbags placem_collection'!E190</f>
        <v>42763</v>
      </c>
      <c r="H483" s="92" t="str">
        <f>'Final data_for_R_analysis_Wetse'!J629</f>
        <v>G375</v>
      </c>
      <c r="I483" t="str">
        <f>'Final data_for_R_analysis_Wetse'!J849</f>
        <v>R222</v>
      </c>
      <c r="J483">
        <f>IFERROR(INDEX('Green_rooibos initial weight'!$C$5:$C$1749,MATCH(H483, 'Green_rooibos initial weight'!$A$5:$A$1749,0)),"")</f>
        <v>1.9810000000000001</v>
      </c>
      <c r="K483">
        <f>IFERROR(INDEX('Green_rooibos initial weight'!$C$5:$C$1749,MATCH(I483, 'Green_rooibos initial weight'!$A$5:$A$1749,0)),"")</f>
        <v>2.194</v>
      </c>
      <c r="L483" s="195">
        <f t="shared" si="76"/>
        <v>1.7312000000000001</v>
      </c>
      <c r="M483" s="195">
        <f>AVERAGE(Ashed_controlls!$K$2:$K$11)</f>
        <v>5.5147656768714146</v>
      </c>
      <c r="N483" s="195">
        <f t="shared" si="72"/>
        <v>1.6357283766020021</v>
      </c>
      <c r="O483" s="195">
        <f t="shared" si="77"/>
        <v>1.9441999999999999</v>
      </c>
      <c r="P483" s="195">
        <f>AVERAGE(Ashed_controlls!$K$12:$K$14)</f>
        <v>2.2816647271287041</v>
      </c>
      <c r="Q483" s="195">
        <f t="shared" si="78"/>
        <v>1.8998398743751637</v>
      </c>
      <c r="R483" s="16">
        <f>IF('WetLitterbags placem_collection'!G190="N.A","",'WetLitterbags placem_collection'!G190)</f>
        <v>42815</v>
      </c>
      <c r="S483" s="195">
        <f>IF(IFERROR(INDEX('Both teabags AfterWet'!$C$3:$C$841,MATCH(H483,'Both teabags AfterWet'!$A$3:$A$841,0)),"")="N.A","",(IFERROR(INDEX('Both teabags AfterWet'!$C$3:$C$841,MATCH(H483,'Both teabags AfterWet'!$A$3:$A$841,0)),"")))</f>
        <v>0.55700000000000005</v>
      </c>
      <c r="T483" s="195">
        <f>IFERROR(INDEX('Both teabags AfterWet'!$C$3:$C$841,MATCH(I483,'Both teabags AfterWet'!$A$3:$A$841,0)),"")</f>
        <v>1.5732999999999999</v>
      </c>
      <c r="U483" s="195">
        <f t="shared" si="79"/>
        <v>0.40640000000000004</v>
      </c>
      <c r="V483" s="195">
        <f t="shared" si="79"/>
        <v>1.4226999999999999</v>
      </c>
      <c r="W483" s="195">
        <f>IFERROR(INDEX('Ashed teabags wet'!$K$2:$K$821,MATCH(H483,'Ashed teabags wet'!$A$2:$A$821,0)),"")</f>
        <v>8.3130772970344644</v>
      </c>
      <c r="X483" s="195">
        <f>IFERROR(INDEX('Ashed teabags wet'!$K$2:$K$821,MATCH(I483,'Ashed teabags wet'!$A$2:$A$821,0)),"")</f>
        <v>3.2535885167466505</v>
      </c>
      <c r="Y483" s="195">
        <f t="shared" si="73"/>
        <v>0.37261565386485196</v>
      </c>
      <c r="Z483" s="195">
        <f t="shared" si="73"/>
        <v>1.3764111961722452</v>
      </c>
      <c r="AA483" s="195">
        <f t="shared" si="80"/>
        <v>0.77220199930815592</v>
      </c>
      <c r="AB483" s="195">
        <f t="shared" si="81"/>
        <v>0.50624169075784098</v>
      </c>
      <c r="AC483" s="195">
        <f t="shared" si="74"/>
        <v>0.7244880027717765</v>
      </c>
      <c r="AD483">
        <f t="shared" si="75"/>
        <v>52</v>
      </c>
      <c r="AE483" s="195">
        <f t="shared" si="82"/>
        <v>8.2895487757534525E-2</v>
      </c>
      <c r="AF483" s="195">
        <f t="shared" si="83"/>
        <v>1.5110910336464294E-2</v>
      </c>
      <c r="AG483" s="255" t="str">
        <f>IF(ISNUMBER(SEARCH("C",'WetLitterbags placem_collection'!AD410)),"YES","NO")</f>
        <v>NO</v>
      </c>
      <c r="AH483" s="255" t="str">
        <f>IF(ISNUMBER(SEARCH("H", 'WetLitterbags placem_collection'!AF190)),"YES","NO")</f>
        <v>NO</v>
      </c>
      <c r="AI483" s="255" t="str">
        <f>IF(ISNUMBER(SEARCH("R", 'WetLitterbags placem_collection'!XF190)),"YES","NO")</f>
        <v>NO</v>
      </c>
      <c r="AJ483" s="255" t="str">
        <f>IF(ISNUMBER(SEARCH("C", 'WetLitterbags placem_collection'!WE190)),"YES","NO")</f>
        <v>NO</v>
      </c>
      <c r="AK483" s="255" t="str">
        <f>IF(ISNUMBER(SEARCH("H", 'WetLitterbags placem_collection'!AE190)),"YES","NO")</f>
        <v>NO</v>
      </c>
      <c r="AL483" s="255" t="str">
        <f>IF(ISNUMBER(SEARCH("R", 'WetLitterbags placem_collection'!AE190)),"YES","NO")</f>
        <v>NO</v>
      </c>
    </row>
    <row r="484" spans="2:38">
      <c r="B484" t="str">
        <f>'Final data_for_R_analysis_Wetse'!A630</f>
        <v>Wet</v>
      </c>
      <c r="C484" s="263">
        <f>'Final data_for_R_analysis_Wetse'!B630</f>
        <v>189</v>
      </c>
      <c r="D484" t="s">
        <v>3855</v>
      </c>
      <c r="E484" t="s">
        <v>25</v>
      </c>
      <c r="F484" s="387">
        <v>5</v>
      </c>
      <c r="G484" s="16">
        <f>'WetLitterbags placem_collection'!E191</f>
        <v>42763</v>
      </c>
      <c r="H484" s="92" t="str">
        <f>'Final data_for_R_analysis_Wetse'!J630</f>
        <v>G537</v>
      </c>
      <c r="I484" t="str">
        <f>'Final data_for_R_analysis_Wetse'!J850</f>
        <v>R216</v>
      </c>
      <c r="J484">
        <f>IFERROR(INDEX('Green_rooibos initial weight'!$C$5:$C$1749,MATCH(H484, 'Green_rooibos initial weight'!$A$5:$A$1749,0)),"")</f>
        <v>1.9630000000000001</v>
      </c>
      <c r="K484">
        <f>IFERROR(INDEX('Green_rooibos initial weight'!$C$5:$C$1749,MATCH(I484, 'Green_rooibos initial weight'!$A$5:$A$1749,0)),"")</f>
        <v>2.1880000000000002</v>
      </c>
      <c r="L484" s="195">
        <f t="shared" si="76"/>
        <v>1.7132000000000001</v>
      </c>
      <c r="M484" s="195">
        <f>AVERAGE(Ashed_controlls!$K$2:$K$11)</f>
        <v>5.5147656768714146</v>
      </c>
      <c r="N484" s="195">
        <f t="shared" si="72"/>
        <v>1.618721034423839</v>
      </c>
      <c r="O484" s="195">
        <f t="shared" si="77"/>
        <v>1.9382000000000001</v>
      </c>
      <c r="P484" s="195">
        <f>AVERAGE(Ashed_controlls!$K$12:$K$14)</f>
        <v>2.2816647271287041</v>
      </c>
      <c r="Q484" s="195">
        <f t="shared" si="78"/>
        <v>1.8939767742587916</v>
      </c>
      <c r="R484" s="16">
        <f>IF('WetLitterbags placem_collection'!G191="N.A","",'WetLitterbags placem_collection'!G191)</f>
        <v>42815</v>
      </c>
      <c r="S484" s="195">
        <f>IF(IFERROR(INDEX('Both teabags AfterWet'!$C$3:$C$841,MATCH(H484,'Both teabags AfterWet'!$A$3:$A$841,0)),"")="N.A","",(IFERROR(INDEX('Both teabags AfterWet'!$C$3:$C$841,MATCH(H484,'Both teabags AfterWet'!$A$3:$A$841,0)),"")))</f>
        <v>0.72030000000000005</v>
      </c>
      <c r="T484" s="195">
        <f>IFERROR(INDEX('Both teabags AfterWet'!$C$3:$C$841,MATCH(I484,'Both teabags AfterWet'!$A$3:$A$841,0)),"")</f>
        <v>1.6973</v>
      </c>
      <c r="U484" s="195">
        <f t="shared" si="79"/>
        <v>0.5697000000000001</v>
      </c>
      <c r="V484" s="195">
        <f t="shared" si="79"/>
        <v>1.5467</v>
      </c>
      <c r="W484" s="195">
        <f>IFERROR(INDEX('Ashed teabags wet'!$K$2:$K$821,MATCH(H484,'Ashed teabags wet'!$A$2:$A$821,0)),"")</f>
        <v>9.0167865707433048</v>
      </c>
      <c r="X484" s="195">
        <f>IFERROR(INDEX('Ashed teabags wet'!$K$2:$K$821,MATCH(I484,'Ashed teabags wet'!$A$2:$A$821,0)),"")</f>
        <v>2.7254707631314172</v>
      </c>
      <c r="Y484" s="195">
        <f t="shared" si="73"/>
        <v>0.51833136690647552</v>
      </c>
      <c r="Z484" s="195">
        <f t="shared" si="73"/>
        <v>1.5045451437066464</v>
      </c>
      <c r="AA484" s="195">
        <f t="shared" si="80"/>
        <v>0.67978956479615515</v>
      </c>
      <c r="AB484" s="195">
        <f t="shared" si="81"/>
        <v>0.44565776694474785</v>
      </c>
      <c r="AC484" s="195">
        <f t="shared" si="74"/>
        <v>0.79438415726900902</v>
      </c>
      <c r="AD484">
        <f t="shared" si="75"/>
        <v>52</v>
      </c>
      <c r="AE484" s="195">
        <f t="shared" si="82"/>
        <v>0.19264897292618155</v>
      </c>
      <c r="AF484" s="195">
        <f t="shared" si="83"/>
        <v>1.189880243203208E-2</v>
      </c>
      <c r="AG484" s="255" t="str">
        <f>IF(ISNUMBER(SEARCH("C",'WetLitterbags placem_collection'!AD411)),"YES","NO")</f>
        <v>NO</v>
      </c>
      <c r="AH484" s="255" t="str">
        <f>IF(ISNUMBER(SEARCH("H", 'WetLitterbags placem_collection'!AF191)),"YES","NO")</f>
        <v>NO</v>
      </c>
      <c r="AI484" s="255" t="str">
        <f>IF(ISNUMBER(SEARCH("R", 'WetLitterbags placem_collection'!XF191)),"YES","NO")</f>
        <v>NO</v>
      </c>
      <c r="AJ484" s="255" t="str">
        <f>IF(ISNUMBER(SEARCH("C", 'WetLitterbags placem_collection'!WE191)),"YES","NO")</f>
        <v>NO</v>
      </c>
      <c r="AK484" s="255" t="str">
        <f>IF(ISNUMBER(SEARCH("H", 'WetLitterbags placem_collection'!AE191)),"YES","NO")</f>
        <v>NO</v>
      </c>
      <c r="AL484" s="255" t="str">
        <f>IF(ISNUMBER(SEARCH("R", 'WetLitterbags placem_collection'!AE191)),"YES","NO")</f>
        <v>NO</v>
      </c>
    </row>
    <row r="485" spans="2:38">
      <c r="B485" t="str">
        <f>'Final data_for_R_analysis_Wetse'!A631</f>
        <v>Wet</v>
      </c>
      <c r="C485" s="263">
        <f>'Final data_for_R_analysis_Wetse'!B631</f>
        <v>190</v>
      </c>
      <c r="D485" t="s">
        <v>3855</v>
      </c>
      <c r="E485" t="s">
        <v>25</v>
      </c>
      <c r="F485" s="387">
        <v>6</v>
      </c>
      <c r="G485" s="16">
        <f>'WetLitterbags placem_collection'!E192</f>
        <v>42763</v>
      </c>
      <c r="H485" s="92" t="str">
        <f>'Final data_for_R_analysis_Wetse'!J631</f>
        <v>G393</v>
      </c>
      <c r="I485" t="str">
        <f>'Final data_for_R_analysis_Wetse'!J851</f>
        <v>R232</v>
      </c>
      <c r="J485">
        <f>IFERROR(INDEX('Green_rooibos initial weight'!$C$5:$C$1749,MATCH(H485, 'Green_rooibos initial weight'!$A$5:$A$1749,0)),"")</f>
        <v>2.0089999999999999</v>
      </c>
      <c r="K485">
        <f>IFERROR(INDEX('Green_rooibos initial weight'!$C$5:$C$1749,MATCH(I485, 'Green_rooibos initial weight'!$A$5:$A$1749,0)),"")</f>
        <v>2.2440000000000002</v>
      </c>
      <c r="L485" s="195">
        <f t="shared" si="76"/>
        <v>1.7591999999999999</v>
      </c>
      <c r="M485" s="195">
        <f>AVERAGE(Ashed_controlls!$K$2:$K$11)</f>
        <v>5.5147656768714146</v>
      </c>
      <c r="N485" s="195">
        <f t="shared" si="72"/>
        <v>1.662184242212478</v>
      </c>
      <c r="O485" s="195">
        <f t="shared" si="77"/>
        <v>1.9942000000000002</v>
      </c>
      <c r="P485" s="195">
        <f>AVERAGE(Ashed_controlls!$K$12:$K$14)</f>
        <v>2.2816647271287041</v>
      </c>
      <c r="Q485" s="195">
        <f t="shared" si="78"/>
        <v>1.9486990420115995</v>
      </c>
      <c r="R485" s="16">
        <f>IF('WetLitterbags placem_collection'!G192="N.A","",'WetLitterbags placem_collection'!G192)</f>
        <v>42815</v>
      </c>
      <c r="S485" s="195">
        <f>IF(IFERROR(INDEX('Both teabags AfterWet'!$C$3:$C$841,MATCH(H485,'Both teabags AfterWet'!$A$3:$A$841,0)),"")="N.A","",(IFERROR(INDEX('Both teabags AfterWet'!$C$3:$C$841,MATCH(H485,'Both teabags AfterWet'!$A$3:$A$841,0)),"")))</f>
        <v>0.62090000000000001</v>
      </c>
      <c r="T485" s="195">
        <f>IFERROR(INDEX('Both teabags AfterWet'!$C$3:$C$841,MATCH(I485,'Both teabags AfterWet'!$A$3:$A$841,0)),"")</f>
        <v>1.7355</v>
      </c>
      <c r="U485" s="195">
        <f t="shared" si="79"/>
        <v>0.4703</v>
      </c>
      <c r="V485" s="195">
        <f t="shared" si="79"/>
        <v>1.5849</v>
      </c>
      <c r="W485" s="195">
        <f>IFERROR(INDEX('Ashed teabags wet'!$K$2:$K$821,MATCH(H485,'Ashed teabags wet'!$A$2:$A$821,0)),"")</f>
        <v>9.5497278574961424</v>
      </c>
      <c r="X485" s="195">
        <f>IFERROR(INDEX('Ashed teabags wet'!$K$2:$K$821,MATCH(I485,'Ashed teabags wet'!$A$2:$A$821,0)),"")</f>
        <v>2.2167487684728533</v>
      </c>
      <c r="Y485" s="195">
        <f t="shared" si="73"/>
        <v>0.42538762988619561</v>
      </c>
      <c r="Z485" s="195">
        <f t="shared" si="73"/>
        <v>1.5497667487684736</v>
      </c>
      <c r="AA485" s="195">
        <f t="shared" si="80"/>
        <v>0.74407913450077212</v>
      </c>
      <c r="AB485" s="195">
        <f t="shared" si="81"/>
        <v>0.48780484827129006</v>
      </c>
      <c r="AC485" s="195">
        <f t="shared" si="74"/>
        <v>0.79528275806441784</v>
      </c>
      <c r="AD485">
        <f t="shared" si="75"/>
        <v>52</v>
      </c>
      <c r="AE485" s="195">
        <f t="shared" si="82"/>
        <v>0.11629556472592384</v>
      </c>
      <c r="AF485" s="195">
        <f t="shared" si="83"/>
        <v>1.0464596385110951E-2</v>
      </c>
      <c r="AG485" s="255" t="str">
        <f>IF(ISNUMBER(SEARCH("C",'WetLitterbags placem_collection'!AD412)),"YES","NO")</f>
        <v>NO</v>
      </c>
      <c r="AH485" s="255" t="str">
        <f>IF(ISNUMBER(SEARCH("H", 'WetLitterbags placem_collection'!AF192)),"YES","NO")</f>
        <v>NO</v>
      </c>
      <c r="AI485" s="255" t="str">
        <f>IF(ISNUMBER(SEARCH("R", 'WetLitterbags placem_collection'!XF192)),"YES","NO")</f>
        <v>NO</v>
      </c>
      <c r="AJ485" s="255" t="str">
        <f>IF(ISNUMBER(SEARCH("C", 'WetLitterbags placem_collection'!WE192)),"YES","NO")</f>
        <v>NO</v>
      </c>
      <c r="AK485" s="255" t="str">
        <f>IF(ISNUMBER(SEARCH("H", 'WetLitterbags placem_collection'!AE192)),"YES","NO")</f>
        <v>NO</v>
      </c>
      <c r="AL485" s="255" t="str">
        <f>IF(ISNUMBER(SEARCH("R", 'WetLitterbags placem_collection'!AE192)),"YES","NO")</f>
        <v>NO</v>
      </c>
    </row>
    <row r="486" spans="2:38">
      <c r="B486" t="str">
        <f>'Final data_for_R_analysis_Wetse'!A632</f>
        <v>Wet</v>
      </c>
      <c r="C486" s="263">
        <f>'Final data_for_R_analysis_Wetse'!B632</f>
        <v>191</v>
      </c>
      <c r="D486" t="s">
        <v>3855</v>
      </c>
      <c r="E486" t="s">
        <v>25</v>
      </c>
      <c r="F486" s="387">
        <v>7</v>
      </c>
      <c r="G486" s="16">
        <f>'WetLitterbags placem_collection'!E193</f>
        <v>42763</v>
      </c>
      <c r="H486" s="92" t="str">
        <f>'Final data_for_R_analysis_Wetse'!J632</f>
        <v>G417</v>
      </c>
      <c r="I486" t="str">
        <f>'Final data_for_R_analysis_Wetse'!J852</f>
        <v>R387</v>
      </c>
      <c r="J486">
        <f>IFERROR(INDEX('Green_rooibos initial weight'!$C$5:$C$1749,MATCH(H486, 'Green_rooibos initial weight'!$A$5:$A$1749,0)),"")</f>
        <v>2.0209999999999999</v>
      </c>
      <c r="K486">
        <f>IFERROR(INDEX('Green_rooibos initial weight'!$C$5:$C$1749,MATCH(I486, 'Green_rooibos initial weight'!$A$5:$A$1749,0)),"")</f>
        <v>2.1080000000000001</v>
      </c>
      <c r="L486" s="195">
        <f t="shared" si="76"/>
        <v>1.7711999999999999</v>
      </c>
      <c r="M486" s="195">
        <f>AVERAGE(Ashed_controlls!$K$2:$K$11)</f>
        <v>5.5147656768714146</v>
      </c>
      <c r="N486" s="195">
        <f t="shared" si="72"/>
        <v>1.6735224703312535</v>
      </c>
      <c r="O486" s="195">
        <f t="shared" si="77"/>
        <v>1.8582000000000001</v>
      </c>
      <c r="P486" s="195">
        <f>AVERAGE(Ashed_controlls!$K$12:$K$14)</f>
        <v>2.2816647271287041</v>
      </c>
      <c r="Q486" s="195">
        <f t="shared" si="78"/>
        <v>1.8158021060404945</v>
      </c>
      <c r="R486" s="16">
        <f>IF('WetLitterbags placem_collection'!G193="N.A","",'WetLitterbags placem_collection'!G193)</f>
        <v>42815</v>
      </c>
      <c r="S486" s="195">
        <f>IF(IFERROR(INDEX('Both teabags AfterWet'!$C$3:$C$841,MATCH(H486,'Both teabags AfterWet'!$A$3:$A$841,0)),"")="N.A","",(IFERROR(INDEX('Both teabags AfterWet'!$C$3:$C$841,MATCH(H486,'Both teabags AfterWet'!$A$3:$A$841,0)),"")))</f>
        <v>0.62309999999999999</v>
      </c>
      <c r="T486" s="195">
        <f>IFERROR(INDEX('Both teabags AfterWet'!$C$3:$C$841,MATCH(I486,'Both teabags AfterWet'!$A$3:$A$841,0)),"")</f>
        <v>1.6520999999999999</v>
      </c>
      <c r="U486" s="195">
        <f t="shared" si="79"/>
        <v>0.47249999999999998</v>
      </c>
      <c r="V486" s="195">
        <f t="shared" si="79"/>
        <v>1.5014999999999998</v>
      </c>
      <c r="W486" s="195">
        <f>IFERROR(INDEX('Ashed teabags wet'!$K$2:$K$821,MATCH(H486,'Ashed teabags wet'!$A$2:$A$821,0)),"")</f>
        <v>9.0547263681590628</v>
      </c>
      <c r="X486" s="195">
        <f>IFERROR(INDEX('Ashed teabags wet'!$K$2:$K$821,MATCH(I486,'Ashed teabags wet'!$A$2:$A$821,0)),"")</f>
        <v>2.1414342629480405</v>
      </c>
      <c r="Y486" s="195">
        <f t="shared" si="73"/>
        <v>0.4297164179104484</v>
      </c>
      <c r="Z486" s="195">
        <f t="shared" si="73"/>
        <v>1.469346364541835</v>
      </c>
      <c r="AA486" s="195">
        <f t="shared" si="80"/>
        <v>0.74322638295654841</v>
      </c>
      <c r="AB486" s="195">
        <f t="shared" si="81"/>
        <v>0.48724579975298671</v>
      </c>
      <c r="AC486" s="195">
        <f t="shared" si="74"/>
        <v>0.80919961467930301</v>
      </c>
      <c r="AD486">
        <f t="shared" si="75"/>
        <v>52</v>
      </c>
      <c r="AE486" s="195">
        <f t="shared" si="82"/>
        <v>0.11730833378082128</v>
      </c>
      <c r="AF486" s="195">
        <f t="shared" si="83"/>
        <v>9.5558772359932709E-3</v>
      </c>
      <c r="AG486" s="255" t="str">
        <f>IF(ISNUMBER(SEARCH("C",'WetLitterbags placem_collection'!AD413)),"YES","NO")</f>
        <v>NO</v>
      </c>
      <c r="AH486" s="255" t="str">
        <f>IF(ISNUMBER(SEARCH("H", 'WetLitterbags placem_collection'!AF193)),"YES","NO")</f>
        <v>NO</v>
      </c>
      <c r="AI486" s="255" t="str">
        <f>IF(ISNUMBER(SEARCH("R", 'WetLitterbags placem_collection'!XF193)),"YES","NO")</f>
        <v>NO</v>
      </c>
      <c r="AJ486" s="255" t="str">
        <f>IF(ISNUMBER(SEARCH("C", 'WetLitterbags placem_collection'!WE193)),"YES","NO")</f>
        <v>NO</v>
      </c>
      <c r="AK486" s="255" t="str">
        <f>IF(ISNUMBER(SEARCH("H", 'WetLitterbags placem_collection'!AE193)),"YES","NO")</f>
        <v>NO</v>
      </c>
      <c r="AL486" s="255" t="str">
        <f>IF(ISNUMBER(SEARCH("R", 'WetLitterbags placem_collection'!AE193)),"YES","NO")</f>
        <v>NO</v>
      </c>
    </row>
    <row r="487" spans="2:38">
      <c r="B487" t="str">
        <f>'Final data_for_R_analysis_Wetse'!A633</f>
        <v>Wet</v>
      </c>
      <c r="C487" s="263">
        <f>'Final data_for_R_analysis_Wetse'!B633</f>
        <v>192</v>
      </c>
      <c r="D487" t="s">
        <v>3855</v>
      </c>
      <c r="E487" t="s">
        <v>25</v>
      </c>
      <c r="F487" s="387">
        <v>8</v>
      </c>
      <c r="G487" s="16">
        <f>'WetLitterbags placem_collection'!E194</f>
        <v>42763</v>
      </c>
      <c r="H487" s="92" t="str">
        <f>'Final data_for_R_analysis_Wetse'!J633</f>
        <v>G297</v>
      </c>
      <c r="I487" t="str">
        <f>'Final data_for_R_analysis_Wetse'!J853</f>
        <v>R346</v>
      </c>
      <c r="J487">
        <f>IFERROR(INDEX('Green_rooibos initial weight'!$C$5:$C$1749,MATCH(H487, 'Green_rooibos initial weight'!$A$5:$A$1749,0)),"")</f>
        <v>1.9419999999999999</v>
      </c>
      <c r="K487">
        <f>IFERROR(INDEX('Green_rooibos initial weight'!$C$5:$C$1749,MATCH(I487, 'Green_rooibos initial weight'!$A$5:$A$1749,0)),"")</f>
        <v>2.2349999999999999</v>
      </c>
      <c r="L487" s="195">
        <f t="shared" si="76"/>
        <v>1.6921999999999999</v>
      </c>
      <c r="M487" s="195">
        <f>AVERAGE(Ashed_controlls!$K$2:$K$11)</f>
        <v>5.5147656768714146</v>
      </c>
      <c r="N487" s="195">
        <f t="shared" si="72"/>
        <v>1.5988791352159819</v>
      </c>
      <c r="O487" s="195">
        <f t="shared" si="77"/>
        <v>1.9851999999999999</v>
      </c>
      <c r="P487" s="195">
        <f>AVERAGE(Ashed_controlls!$K$12:$K$14)</f>
        <v>2.2816647271287041</v>
      </c>
      <c r="Q487" s="195">
        <f t="shared" si="78"/>
        <v>1.9399043918370409</v>
      </c>
      <c r="R487" s="16">
        <f>IF('WetLitterbags placem_collection'!G194="N.A","",'WetLitterbags placem_collection'!G194)</f>
        <v>42815</v>
      </c>
      <c r="S487" s="195">
        <f>IF(IFERROR(INDEX('Both teabags AfterWet'!$C$3:$C$841,MATCH(H487,'Both teabags AfterWet'!$A$3:$A$841,0)),"")="N.A","",(IFERROR(INDEX('Both teabags AfterWet'!$C$3:$C$841,MATCH(H487,'Both teabags AfterWet'!$A$3:$A$841,0)),"")))</f>
        <v>0.60899999999999999</v>
      </c>
      <c r="T487" s="195">
        <f>IFERROR(INDEX('Both teabags AfterWet'!$C$3:$C$841,MATCH(I487,'Both teabags AfterWet'!$A$3:$A$841,0)),"")</f>
        <v>1.6679999999999999</v>
      </c>
      <c r="U487" s="195">
        <f t="shared" si="79"/>
        <v>0.45839999999999997</v>
      </c>
      <c r="V487" s="195">
        <f t="shared" si="79"/>
        <v>1.5173999999999999</v>
      </c>
      <c r="W487" s="195">
        <f>IFERROR(INDEX('Ashed teabags wet'!$K$2:$K$821,MATCH(H487,'Ashed teabags wet'!$A$2:$A$821,0)),"")</f>
        <v>9.3406593406594496</v>
      </c>
      <c r="X487" s="195">
        <f>IFERROR(INDEX('Ashed teabags wet'!$K$2:$K$821,MATCH(I487,'Ashed teabags wet'!$A$2:$A$821,0)),"")</f>
        <v>2.8640776699025032</v>
      </c>
      <c r="Y487" s="195">
        <f t="shared" si="73"/>
        <v>0.41558241758241704</v>
      </c>
      <c r="Z487" s="195">
        <f t="shared" si="73"/>
        <v>1.4739404854368994</v>
      </c>
      <c r="AA487" s="195">
        <f t="shared" si="80"/>
        <v>0.74007890375886431</v>
      </c>
      <c r="AB487" s="195">
        <f t="shared" si="81"/>
        <v>0.48518236921008689</v>
      </c>
      <c r="AC487" s="195">
        <f t="shared" si="74"/>
        <v>0.759800581739554</v>
      </c>
      <c r="AD487">
        <f t="shared" si="75"/>
        <v>52</v>
      </c>
      <c r="AE487" s="195">
        <f t="shared" si="82"/>
        <v>0.12104643259042236</v>
      </c>
      <c r="AF487" s="195">
        <f t="shared" si="83"/>
        <v>1.3141081136292424E-2</v>
      </c>
      <c r="AG487" s="255" t="str">
        <f>IF(ISNUMBER(SEARCH("C",'WetLitterbags placem_collection'!AD414)),"YES","NO")</f>
        <v>NO</v>
      </c>
      <c r="AH487" s="255" t="str">
        <f>IF(ISNUMBER(SEARCH("H", 'WetLitterbags placem_collection'!AF194)),"YES","NO")</f>
        <v>NO</v>
      </c>
      <c r="AI487" s="255" t="str">
        <f>IF(ISNUMBER(SEARCH("R", 'WetLitterbags placem_collection'!XF194)),"YES","NO")</f>
        <v>NO</v>
      </c>
      <c r="AJ487" s="255" t="str">
        <f>IF(ISNUMBER(SEARCH("C", 'WetLitterbags placem_collection'!WE194)),"YES","NO")</f>
        <v>NO</v>
      </c>
      <c r="AK487" s="255" t="str">
        <f>IF(ISNUMBER(SEARCH("H", 'WetLitterbags placem_collection'!AE194)),"YES","NO")</f>
        <v>NO</v>
      </c>
      <c r="AL487" s="255" t="str">
        <f>IF(ISNUMBER(SEARCH("R", 'WetLitterbags placem_collection'!AE194)),"YES","NO")</f>
        <v>NO</v>
      </c>
    </row>
    <row r="488" spans="2:38">
      <c r="B488" t="str">
        <f>'Final data_for_R_analysis_Wetse'!A634</f>
        <v>Wet</v>
      </c>
      <c r="C488" s="263">
        <f>'Final data_for_R_analysis_Wetse'!B634</f>
        <v>193</v>
      </c>
      <c r="D488" t="s">
        <v>2445</v>
      </c>
      <c r="E488" t="s">
        <v>25</v>
      </c>
      <c r="F488" s="387">
        <v>1</v>
      </c>
      <c r="G488" s="16">
        <f>'WetLitterbags placem_collection'!E195</f>
        <v>42769</v>
      </c>
      <c r="H488" s="92" t="str">
        <f>'Final data_for_R_analysis_Wetse'!J634</f>
        <v>G584</v>
      </c>
      <c r="I488" t="str">
        <f>'Final data_for_R_analysis_Wetse'!J854</f>
        <v>R364</v>
      </c>
      <c r="J488">
        <f>IFERROR(INDEX('Green_rooibos initial weight'!$C$5:$C$1749,MATCH(H488, 'Green_rooibos initial weight'!$A$5:$A$1749,0)),"")</f>
        <v>2.1960000000000002</v>
      </c>
      <c r="K488">
        <f>IFERROR(INDEX('Green_rooibos initial weight'!$C$5:$C$1749,MATCH(I488, 'Green_rooibos initial weight'!$A$5:$A$1749,0)),"")</f>
        <v>2.234</v>
      </c>
      <c r="L488" s="195">
        <f t="shared" si="76"/>
        <v>1.9462000000000002</v>
      </c>
      <c r="M488" s="195">
        <f>AVERAGE(Ashed_controlls!$K$2:$K$11)</f>
        <v>5.5147656768714146</v>
      </c>
      <c r="N488" s="195">
        <f t="shared" si="72"/>
        <v>1.8388716303967287</v>
      </c>
      <c r="O488" s="195">
        <f t="shared" si="77"/>
        <v>1.9842</v>
      </c>
      <c r="P488" s="195">
        <f>AVERAGE(Ashed_controlls!$K$12:$K$14)</f>
        <v>2.2816647271287041</v>
      </c>
      <c r="Q488" s="195">
        <f t="shared" si="78"/>
        <v>1.9389272084843123</v>
      </c>
      <c r="R488" s="16">
        <f>IF('WetLitterbags placem_collection'!G195="N.A","",'WetLitterbags placem_collection'!G195)</f>
        <v>42813</v>
      </c>
      <c r="S488" s="195">
        <f>IF(IFERROR(INDEX('Both teabags AfterWet'!$C$3:$C$841,MATCH(H488,'Both teabags AfterWet'!$A$3:$A$841,0)),"")="N.A","",(IFERROR(INDEX('Both teabags AfterWet'!$C$3:$C$841,MATCH(H488,'Both teabags AfterWet'!$A$3:$A$841,0)),"")))</f>
        <v>0.63959999999999995</v>
      </c>
      <c r="T488" s="195">
        <f>IFERROR(INDEX('Both teabags AfterWet'!$C$3:$C$841,MATCH(I488,'Both teabags AfterWet'!$A$3:$A$841,0)),"")</f>
        <v>1.3913</v>
      </c>
      <c r="U488" s="195">
        <f t="shared" si="79"/>
        <v>0.48899999999999993</v>
      </c>
      <c r="V488" s="195">
        <f t="shared" si="79"/>
        <v>1.2406999999999999</v>
      </c>
      <c r="W488" s="195">
        <f>IFERROR(INDEX('Ashed teabags wet'!$K$2:$K$821,MATCH(H488,'Ashed teabags wet'!$A$2:$A$821,0)),"")</f>
        <v>7.9232283464562308</v>
      </c>
      <c r="X488" s="195">
        <f>IFERROR(INDEX('Ashed teabags wet'!$K$2:$K$821,MATCH(I488,'Ashed teabags wet'!$A$2:$A$821,0)),"")</f>
        <v>3.461725987323931</v>
      </c>
      <c r="Y488" s="195">
        <f t="shared" si="73"/>
        <v>0.45025541338582897</v>
      </c>
      <c r="Z488" s="195">
        <f t="shared" si="73"/>
        <v>1.1977503656752719</v>
      </c>
      <c r="AA488" s="195">
        <f t="shared" si="80"/>
        <v>0.75514581554086613</v>
      </c>
      <c r="AB488" s="195">
        <f t="shared" si="81"/>
        <v>0.49505996458261059</v>
      </c>
      <c r="AC488" s="195">
        <f t="shared" si="74"/>
        <v>0.61773869613783539</v>
      </c>
      <c r="AD488">
        <f t="shared" si="75"/>
        <v>44</v>
      </c>
      <c r="AE488" s="195">
        <f t="shared" si="82"/>
        <v>0.10315223807498086</v>
      </c>
      <c r="AF488" s="195">
        <f t="shared" si="83"/>
        <v>3.3615327951248011E-2</v>
      </c>
      <c r="AG488" s="255" t="str">
        <f>IF(ISNUMBER(SEARCH("C",'WetLitterbags placem_collection'!AD415)),"YES","NO")</f>
        <v>NO</v>
      </c>
      <c r="AH488" s="255" t="str">
        <f>IF(ISNUMBER(SEARCH("H", 'WetLitterbags placem_collection'!AF195)),"YES","NO")</f>
        <v>NO</v>
      </c>
      <c r="AI488" s="255" t="str">
        <f>IF(ISNUMBER(SEARCH("R", 'WetLitterbags placem_collection'!XF195)),"YES","NO")</f>
        <v>NO</v>
      </c>
      <c r="AJ488" s="255" t="str">
        <f>IF(ISNUMBER(SEARCH("C", 'WetLitterbags placem_collection'!WE195)),"YES","NO")</f>
        <v>NO</v>
      </c>
      <c r="AK488" s="255" t="str">
        <f>IF(ISNUMBER(SEARCH("H", 'WetLitterbags placem_collection'!AE195)),"YES","NO")</f>
        <v>NO</v>
      </c>
      <c r="AL488" s="255" t="str">
        <f>IF(ISNUMBER(SEARCH("R", 'WetLitterbags placem_collection'!AE195)),"YES","NO")</f>
        <v>NO</v>
      </c>
    </row>
    <row r="489" spans="2:38">
      <c r="B489" t="str">
        <f>'Final data_for_R_analysis_Wetse'!A635</f>
        <v>Wet</v>
      </c>
      <c r="C489" s="263">
        <f>'Final data_for_R_analysis_Wetse'!B635</f>
        <v>194</v>
      </c>
      <c r="D489" t="s">
        <v>2438</v>
      </c>
      <c r="E489" t="s">
        <v>25</v>
      </c>
      <c r="F489" s="387">
        <v>2</v>
      </c>
      <c r="G489" s="16">
        <f>'WetLitterbags placem_collection'!E196</f>
        <v>42769</v>
      </c>
      <c r="H489" s="92" t="str">
        <f>'Final data_for_R_analysis_Wetse'!J635</f>
        <v>G713</v>
      </c>
      <c r="I489" t="str">
        <f>'Final data_for_R_analysis_Wetse'!J855</f>
        <v>R167</v>
      </c>
      <c r="J489">
        <f>IFERROR(INDEX('Green_rooibos initial weight'!$C$5:$C$1749,MATCH(H489, 'Green_rooibos initial weight'!$A$5:$A$1749,0)),"")</f>
        <v>2.1779999999999999</v>
      </c>
      <c r="K489">
        <f>IFERROR(INDEX('Green_rooibos initial weight'!$C$5:$C$1749,MATCH(I489, 'Green_rooibos initial weight'!$A$5:$A$1749,0)),"")</f>
        <v>2.177</v>
      </c>
      <c r="L489" s="195">
        <f t="shared" si="76"/>
        <v>1.9281999999999999</v>
      </c>
      <c r="M489" s="195">
        <f>AVERAGE(Ashed_controlls!$K$2:$K$11)</f>
        <v>5.5147656768714146</v>
      </c>
      <c r="N489" s="195">
        <f t="shared" si="72"/>
        <v>1.8218642882185654</v>
      </c>
      <c r="O489" s="195">
        <f t="shared" si="77"/>
        <v>1.9272</v>
      </c>
      <c r="P489" s="195">
        <f>AVERAGE(Ashed_controlls!$K$12:$K$14)</f>
        <v>2.2816647271287041</v>
      </c>
      <c r="Q489" s="195">
        <f t="shared" si="78"/>
        <v>1.8832277573787757</v>
      </c>
      <c r="R489" s="16">
        <f>IF('WetLitterbags placem_collection'!G196="N.A","",'WetLitterbags placem_collection'!G196)</f>
        <v>42813</v>
      </c>
      <c r="S489" s="195">
        <f>IF(IFERROR(INDEX('Both teabags AfterWet'!$C$3:$C$841,MATCH(H489,'Both teabags AfterWet'!$A$3:$A$841,0)),"")="N.A","",(IFERROR(INDEX('Both teabags AfterWet'!$C$3:$C$841,MATCH(H489,'Both teabags AfterWet'!$A$3:$A$841,0)),"")))</f>
        <v>0.63500000000000001</v>
      </c>
      <c r="T489" s="195">
        <f>IFERROR(INDEX('Both teabags AfterWet'!$C$3:$C$841,MATCH(I489,'Both teabags AfterWet'!$A$3:$A$841,0)),"")</f>
        <v>1.4750000000000001</v>
      </c>
      <c r="U489" s="195">
        <f t="shared" si="79"/>
        <v>0.4844</v>
      </c>
      <c r="V489" s="195">
        <f t="shared" si="79"/>
        <v>1.3244</v>
      </c>
      <c r="W489" s="195">
        <f>IFERROR(INDEX('Ashed teabags wet'!$K$2:$K$821,MATCH(H489,'Ashed teabags wet'!$A$2:$A$821,0)),"")</f>
        <v>8.6567164179103493</v>
      </c>
      <c r="X489" s="195">
        <f>IFERROR(INDEX('Ashed teabags wet'!$K$2:$K$821,MATCH(I489,'Ashed teabags wet'!$A$2:$A$821,0)),"")</f>
        <v>3.2435129740522455</v>
      </c>
      <c r="Y489" s="195">
        <f t="shared" si="73"/>
        <v>0.44246686567164228</v>
      </c>
      <c r="Z489" s="195">
        <f t="shared" si="73"/>
        <v>1.2814429141716521</v>
      </c>
      <c r="AA489" s="195">
        <f t="shared" si="80"/>
        <v>0.75713511235005859</v>
      </c>
      <c r="AB489" s="195">
        <f t="shared" si="81"/>
        <v>0.4963641116594209</v>
      </c>
      <c r="AC489" s="195">
        <f t="shared" si="74"/>
        <v>0.6804503115200814</v>
      </c>
      <c r="AD489">
        <f t="shared" si="75"/>
        <v>44</v>
      </c>
      <c r="AE489" s="195">
        <f t="shared" si="82"/>
        <v>0.10078965279090424</v>
      </c>
      <c r="AF489" s="195">
        <f t="shared" si="83"/>
        <v>2.3459296080681754E-2</v>
      </c>
      <c r="AG489" s="255" t="str">
        <f>IF(ISNUMBER(SEARCH("C",'WetLitterbags placem_collection'!AD416)),"YES","NO")</f>
        <v>NO</v>
      </c>
      <c r="AH489" s="255" t="str">
        <f>IF(ISNUMBER(SEARCH("H", 'WetLitterbags placem_collection'!AF196)),"YES","NO")</f>
        <v>NO</v>
      </c>
      <c r="AI489" s="255" t="str">
        <f>IF(ISNUMBER(SEARCH("R", 'WetLitterbags placem_collection'!XF196)),"YES","NO")</f>
        <v>NO</v>
      </c>
      <c r="AJ489" s="255" t="str">
        <f>IF(ISNUMBER(SEARCH("C", 'WetLitterbags placem_collection'!WE196)),"YES","NO")</f>
        <v>NO</v>
      </c>
      <c r="AK489" s="255" t="str">
        <f>IF(ISNUMBER(SEARCH("H", 'WetLitterbags placem_collection'!AE196)),"YES","NO")</f>
        <v>NO</v>
      </c>
      <c r="AL489" s="255" t="str">
        <f>IF(ISNUMBER(SEARCH("R", 'WetLitterbags placem_collection'!AE196)),"YES","NO")</f>
        <v>NO</v>
      </c>
    </row>
    <row r="490" spans="2:38">
      <c r="B490" t="str">
        <f>'Final data_for_R_analysis_Wetse'!A636</f>
        <v>Wet</v>
      </c>
      <c r="C490" s="263">
        <f>'Final data_for_R_analysis_Wetse'!B636</f>
        <v>195</v>
      </c>
      <c r="D490" t="s">
        <v>2430</v>
      </c>
      <c r="E490" t="s">
        <v>25</v>
      </c>
      <c r="F490" s="387">
        <v>3</v>
      </c>
      <c r="G490" s="16">
        <f>'WetLitterbags placem_collection'!E197</f>
        <v>42769</v>
      </c>
      <c r="H490" s="92" t="str">
        <f>'Final data_for_R_analysis_Wetse'!J636</f>
        <v>G525</v>
      </c>
      <c r="I490" t="str">
        <f>'Final data_for_R_analysis_Wetse'!J856</f>
        <v>R25</v>
      </c>
      <c r="J490">
        <f>IFERROR(INDEX('Green_rooibos initial weight'!$C$5:$C$1749,MATCH(H490, 'Green_rooibos initial weight'!$A$5:$A$1749,0)),"")</f>
        <v>2.0790000000000002</v>
      </c>
      <c r="K490">
        <f>IFERROR(INDEX('Green_rooibos initial weight'!$C$5:$C$1749,MATCH(I490, 'Green_rooibos initial weight'!$A$5:$A$1749,0)),"")</f>
        <v>2.16</v>
      </c>
      <c r="L490" s="195">
        <f t="shared" si="76"/>
        <v>1.8292000000000002</v>
      </c>
      <c r="M490" s="195">
        <f>AVERAGE(Ashed_controlls!$K$2:$K$11)</f>
        <v>5.5147656768714146</v>
      </c>
      <c r="N490" s="195">
        <f t="shared" si="72"/>
        <v>1.7283239062386682</v>
      </c>
      <c r="O490" s="195">
        <f t="shared" si="77"/>
        <v>1.9102000000000001</v>
      </c>
      <c r="P490" s="195">
        <f>AVERAGE(Ashed_controlls!$K$12:$K$14)</f>
        <v>2.2816647271287041</v>
      </c>
      <c r="Q490" s="195">
        <f t="shared" si="78"/>
        <v>1.8666156403823877</v>
      </c>
      <c r="R490" s="16">
        <f>IF('WetLitterbags placem_collection'!G197="N.A","",'WetLitterbags placem_collection'!G197)</f>
        <v>42814</v>
      </c>
      <c r="S490" s="195">
        <f>IF(IFERROR(INDEX('Both teabags AfterWet'!$C$3:$C$841,MATCH(H490,'Both teabags AfterWet'!$A$3:$A$841,0)),"")="N.A","",(IFERROR(INDEX('Both teabags AfterWet'!$C$3:$C$841,MATCH(H490,'Both teabags AfterWet'!$A$3:$A$841,0)),"")))</f>
        <v>0.67859999999999998</v>
      </c>
      <c r="T490" s="195">
        <f>IFERROR(INDEX('Both teabags AfterWet'!$C$3:$C$841,MATCH(I490,'Both teabags AfterWet'!$A$3:$A$841,0)),"")</f>
        <v>1.3527</v>
      </c>
      <c r="U490" s="195">
        <f t="shared" si="79"/>
        <v>0.52800000000000002</v>
      </c>
      <c r="V490" s="195">
        <f t="shared" si="79"/>
        <v>1.2020999999999999</v>
      </c>
      <c r="W490" s="195">
        <f>IFERROR(INDEX('Ashed teabags wet'!$K$2:$K$821,MATCH(H490,'Ashed teabags wet'!$A$2:$A$821,0)),"")</f>
        <v>12.793603198399861</v>
      </c>
      <c r="X490" s="195">
        <f>IFERROR(INDEX('Ashed teabags wet'!$K$2:$K$821,MATCH(I490,'Ashed teabags wet'!$A$2:$A$821,0)),"")</f>
        <v>4.592085979482369</v>
      </c>
      <c r="Y490" s="195">
        <f t="shared" si="73"/>
        <v>0.46044977511244878</v>
      </c>
      <c r="Z490" s="195">
        <f t="shared" si="73"/>
        <v>1.1468985344406424</v>
      </c>
      <c r="AA490" s="195">
        <f t="shared" si="80"/>
        <v>0.73358594795201304</v>
      </c>
      <c r="AB490" s="195">
        <f t="shared" si="81"/>
        <v>0.48092570459561906</v>
      </c>
      <c r="AC490" s="195">
        <f t="shared" si="74"/>
        <v>0.61442672483216376</v>
      </c>
      <c r="AD490">
        <f t="shared" si="75"/>
        <v>45</v>
      </c>
      <c r="AE490" s="195">
        <f t="shared" si="82"/>
        <v>0.12875778152967565</v>
      </c>
      <c r="AF490" s="195">
        <f t="shared" si="83"/>
        <v>3.5958510824437753E-2</v>
      </c>
      <c r="AG490" s="255" t="str">
        <f>IF(ISNUMBER(SEARCH("C",'WetLitterbags placem_collection'!AD417)),"YES","NO")</f>
        <v>NO</v>
      </c>
      <c r="AH490" s="255" t="str">
        <f>IF(ISNUMBER(SEARCH("H", 'WetLitterbags placem_collection'!AF197)),"YES","NO")</f>
        <v>NO</v>
      </c>
      <c r="AI490" s="255" t="str">
        <f>IF(ISNUMBER(SEARCH("R", 'WetLitterbags placem_collection'!XF197)),"YES","NO")</f>
        <v>NO</v>
      </c>
      <c r="AJ490" s="255" t="str">
        <f>IF(ISNUMBER(SEARCH("C", 'WetLitterbags placem_collection'!WE197)),"YES","NO")</f>
        <v>NO</v>
      </c>
      <c r="AK490" s="255" t="str">
        <f>IF(ISNUMBER(SEARCH("H", 'WetLitterbags placem_collection'!AE197)),"YES","NO")</f>
        <v>NO</v>
      </c>
      <c r="AL490" s="255" t="str">
        <f>IF(ISNUMBER(SEARCH("R", 'WetLitterbags placem_collection'!AE197)),"YES","NO")</f>
        <v>NO</v>
      </c>
    </row>
    <row r="491" spans="2:38">
      <c r="B491" t="str">
        <f>'Final data_for_R_analysis_Wetse'!A637</f>
        <v>Wet</v>
      </c>
      <c r="C491" s="263">
        <f>'Final data_for_R_analysis_Wetse'!B637</f>
        <v>196</v>
      </c>
      <c r="D491" t="s">
        <v>2421</v>
      </c>
      <c r="E491" t="s">
        <v>25</v>
      </c>
      <c r="F491" s="387">
        <v>4</v>
      </c>
      <c r="G491" s="16">
        <f>'WetLitterbags placem_collection'!E198</f>
        <v>42769</v>
      </c>
      <c r="H491" s="92" t="str">
        <f>'Final data_for_R_analysis_Wetse'!J637</f>
        <v>G886</v>
      </c>
      <c r="I491" t="str">
        <f>'Final data_for_R_analysis_Wetse'!J857</f>
        <v>R362</v>
      </c>
      <c r="J491">
        <f>IFERROR(INDEX('Green_rooibos initial weight'!$C$5:$C$1749,MATCH(H491, 'Green_rooibos initial weight'!$A$5:$A$1749,0)),"")</f>
        <v>1.9590000000000001</v>
      </c>
      <c r="K491">
        <f>IFERROR(INDEX('Green_rooibos initial weight'!$C$5:$C$1749,MATCH(I491, 'Green_rooibos initial weight'!$A$5:$A$1749,0)),"")</f>
        <v>2.246</v>
      </c>
      <c r="L491" s="195">
        <f t="shared" si="76"/>
        <v>1.7092000000000001</v>
      </c>
      <c r="M491" s="195">
        <f>AVERAGE(Ashed_controlls!$K$2:$K$11)</f>
        <v>5.5147656768714146</v>
      </c>
      <c r="N491" s="195">
        <f t="shared" si="72"/>
        <v>1.6149416250509139</v>
      </c>
      <c r="O491" s="195">
        <f t="shared" si="77"/>
        <v>1.9962</v>
      </c>
      <c r="P491" s="195">
        <f>AVERAGE(Ashed_controlls!$K$12:$K$14)</f>
        <v>2.2816647271287041</v>
      </c>
      <c r="Q491" s="195">
        <f t="shared" si="78"/>
        <v>1.9506534087170568</v>
      </c>
      <c r="R491" s="16">
        <f>IF('WetLitterbags placem_collection'!G198="N.A","",'WetLitterbags placem_collection'!G198)</f>
        <v>42814</v>
      </c>
      <c r="S491" s="195">
        <f>IF(IFERROR(INDEX('Both teabags AfterWet'!$C$3:$C$841,MATCH(H491,'Both teabags AfterWet'!$A$3:$A$841,0)),"")="N.A","",(IFERROR(INDEX('Both teabags AfterWet'!$C$3:$C$841,MATCH(H491,'Both teabags AfterWet'!$A$3:$A$841,0)),"")))</f>
        <v>0.58389999999999997</v>
      </c>
      <c r="T491" s="195">
        <f>IFERROR(INDEX('Both teabags AfterWet'!$C$3:$C$841,MATCH(I491,'Both teabags AfterWet'!$A$3:$A$841,0)),"")</f>
        <v>1.5253000000000001</v>
      </c>
      <c r="U491" s="195">
        <f t="shared" si="79"/>
        <v>0.43329999999999996</v>
      </c>
      <c r="V491" s="195">
        <f t="shared" si="79"/>
        <v>1.3747</v>
      </c>
      <c r="W491" s="195">
        <f>IFERROR(INDEX('Ashed teabags wet'!$K$2:$K$821,MATCH(H491,'Ashed teabags wet'!$A$2:$A$821,0)),"")</f>
        <v>11.60846040334461</v>
      </c>
      <c r="X491" s="195">
        <f>IFERROR(INDEX('Ashed teabags wet'!$K$2:$K$821,MATCH(I491,'Ashed teabags wet'!$A$2:$A$821,0)),"")</f>
        <v>3.690944881888675</v>
      </c>
      <c r="Y491" s="195">
        <f t="shared" si="73"/>
        <v>0.38300054107230774</v>
      </c>
      <c r="Z491" s="195">
        <f t="shared" si="73"/>
        <v>1.3239605807086765</v>
      </c>
      <c r="AA491" s="195">
        <f t="shared" si="80"/>
        <v>0.76283938990040401</v>
      </c>
      <c r="AB491" s="195">
        <f t="shared" si="81"/>
        <v>0.5001037330463457</v>
      </c>
      <c r="AC491" s="195">
        <f t="shared" si="74"/>
        <v>0.67872671525970585</v>
      </c>
      <c r="AD491">
        <f t="shared" si="75"/>
        <v>45</v>
      </c>
      <c r="AE491" s="195">
        <f t="shared" si="82"/>
        <v>9.4014976365315861E-2</v>
      </c>
      <c r="AF491" s="195">
        <f t="shared" si="83"/>
        <v>2.2852831160356579E-2</v>
      </c>
      <c r="AG491" s="255" t="str">
        <f>IF(ISNUMBER(SEARCH("C",'WetLitterbags placem_collection'!AD418)),"YES","NO")</f>
        <v>NO</v>
      </c>
      <c r="AH491" s="255" t="str">
        <f>IF(ISNUMBER(SEARCH("H", 'WetLitterbags placem_collection'!AF198)),"YES","NO")</f>
        <v>NO</v>
      </c>
      <c r="AI491" s="255" t="str">
        <f>IF(ISNUMBER(SEARCH("R", 'WetLitterbags placem_collection'!XF198)),"YES","NO")</f>
        <v>NO</v>
      </c>
      <c r="AJ491" s="255" t="str">
        <f>IF(ISNUMBER(SEARCH("C", 'WetLitterbags placem_collection'!WE198)),"YES","NO")</f>
        <v>NO</v>
      </c>
      <c r="AK491" s="255" t="str">
        <f>IF(ISNUMBER(SEARCH("H", 'WetLitterbags placem_collection'!AE198)),"YES","NO")</f>
        <v>NO</v>
      </c>
      <c r="AL491" s="255" t="str">
        <f>IF(ISNUMBER(SEARCH("R", 'WetLitterbags placem_collection'!AE198)),"YES","NO")</f>
        <v>NO</v>
      </c>
    </row>
    <row r="492" spans="2:38">
      <c r="B492" t="str">
        <f>'Final data_for_R_analysis_Wetse'!A638</f>
        <v>Wet</v>
      </c>
      <c r="C492" s="263">
        <f>'Final data_for_R_analysis_Wetse'!B638</f>
        <v>197</v>
      </c>
      <c r="D492" t="s">
        <v>2431</v>
      </c>
      <c r="E492" t="s">
        <v>25</v>
      </c>
      <c r="F492" s="387">
        <v>1</v>
      </c>
      <c r="G492" s="16">
        <f>'WetLitterbags placem_collection'!E199</f>
        <v>42769</v>
      </c>
      <c r="H492" s="92" t="str">
        <f>'Final data_for_R_analysis_Wetse'!J638</f>
        <v>G388</v>
      </c>
      <c r="I492" t="str">
        <f>'Final data_for_R_analysis_Wetse'!J858</f>
        <v>R370</v>
      </c>
      <c r="J492">
        <f>IFERROR(INDEX('Green_rooibos initial weight'!$C$5:$C$1749,MATCH(H492, 'Green_rooibos initial weight'!$A$5:$A$1749,0)),"")</f>
        <v>2.024</v>
      </c>
      <c r="K492">
        <f>IFERROR(INDEX('Green_rooibos initial weight'!$C$5:$C$1749,MATCH(I492, 'Green_rooibos initial weight'!$A$5:$A$1749,0)),"")</f>
        <v>2.2290000000000001</v>
      </c>
      <c r="L492" s="195">
        <f t="shared" si="76"/>
        <v>1.7742</v>
      </c>
      <c r="M492" s="195">
        <f>AVERAGE(Ashed_controlls!$K$2:$K$11)</f>
        <v>5.5147656768714146</v>
      </c>
      <c r="N492" s="195">
        <f t="shared" si="72"/>
        <v>1.6763570273609474</v>
      </c>
      <c r="O492" s="195">
        <f t="shared" si="77"/>
        <v>1.9792000000000001</v>
      </c>
      <c r="P492" s="195">
        <f>AVERAGE(Ashed_controlls!$K$12:$K$14)</f>
        <v>2.2816647271287041</v>
      </c>
      <c r="Q492" s="195">
        <f t="shared" si="78"/>
        <v>1.9340412917206689</v>
      </c>
      <c r="R492" s="16">
        <f>IF('WetLitterbags placem_collection'!G199="N.A","",'WetLitterbags placem_collection'!G199)</f>
        <v>42814</v>
      </c>
      <c r="S492" s="195">
        <f>IF(IFERROR(INDEX('Both teabags AfterWet'!$C$3:$C$841,MATCH(H492,'Both teabags AfterWet'!$A$3:$A$841,0)),"")="N.A","",(IFERROR(INDEX('Both teabags AfterWet'!$C$3:$C$841,MATCH(H492,'Both teabags AfterWet'!$A$3:$A$841,0)),"")))</f>
        <v>0.7046</v>
      </c>
      <c r="T492" s="195">
        <f>IFERROR(INDEX('Both teabags AfterWet'!$C$3:$C$841,MATCH(I492,'Both teabags AfterWet'!$A$3:$A$841,0)),"")</f>
        <v>1.488</v>
      </c>
      <c r="U492" s="195">
        <f t="shared" si="79"/>
        <v>0.55400000000000005</v>
      </c>
      <c r="V492" s="195">
        <f t="shared" si="79"/>
        <v>1.3373999999999999</v>
      </c>
      <c r="W492" s="195">
        <f>IFERROR(INDEX('Ashed teabags wet'!$K$2:$K$821,MATCH(H492,'Ashed teabags wet'!$A$2:$A$821,0)),"")</f>
        <v>10.565110565110372</v>
      </c>
      <c r="X492" s="195">
        <f>IFERROR(INDEX('Ashed teabags wet'!$K$2:$K$821,MATCH(I492,'Ashed teabags wet'!$A$2:$A$821,0)),"")</f>
        <v>5.0682261208581973</v>
      </c>
      <c r="Y492" s="195">
        <f t="shared" si="73"/>
        <v>0.49546928746928859</v>
      </c>
      <c r="Z492" s="195">
        <f t="shared" si="73"/>
        <v>1.2696175438596424</v>
      </c>
      <c r="AA492" s="195">
        <f t="shared" si="80"/>
        <v>0.70443689537347831</v>
      </c>
      <c r="AB492" s="195">
        <f t="shared" si="81"/>
        <v>0.46181611193130651</v>
      </c>
      <c r="AC492" s="195">
        <f t="shared" si="74"/>
        <v>0.65645834413912385</v>
      </c>
      <c r="AD492">
        <f t="shared" si="75"/>
        <v>45</v>
      </c>
      <c r="AE492" s="195">
        <f t="shared" si="82"/>
        <v>0.16337660882009697</v>
      </c>
      <c r="AF492" s="195">
        <f t="shared" si="83"/>
        <v>3.0270199179420448E-2</v>
      </c>
      <c r="AG492" s="255" t="str">
        <f>IF(ISNUMBER(SEARCH("C",'WetLitterbags placem_collection'!AD419)),"YES","NO")</f>
        <v>NO</v>
      </c>
      <c r="AH492" s="255" t="str">
        <f>IF(ISNUMBER(SEARCH("H", 'WetLitterbags placem_collection'!AF199)),"YES","NO")</f>
        <v>NO</v>
      </c>
      <c r="AI492" s="255" t="str">
        <f>IF(ISNUMBER(SEARCH("R", 'WetLitterbags placem_collection'!XF199)),"YES","NO")</f>
        <v>NO</v>
      </c>
      <c r="AJ492" s="255" t="str">
        <f>IF(ISNUMBER(SEARCH("C", 'WetLitterbags placem_collection'!WE199)),"YES","NO")</f>
        <v>NO</v>
      </c>
      <c r="AK492" s="255" t="str">
        <f>IF(ISNUMBER(SEARCH("H", 'WetLitterbags placem_collection'!AE199)),"YES","NO")</f>
        <v>NO</v>
      </c>
      <c r="AL492" s="255" t="str">
        <f>IF(ISNUMBER(SEARCH("R", 'WetLitterbags placem_collection'!AE199)),"YES","NO")</f>
        <v>NO</v>
      </c>
    </row>
    <row r="493" spans="2:38">
      <c r="B493" t="str">
        <f>'Final data_for_R_analysis_Wetse'!A639</f>
        <v>Wet</v>
      </c>
      <c r="C493" s="263">
        <f>'Final data_for_R_analysis_Wetse'!B639</f>
        <v>198</v>
      </c>
      <c r="D493" t="s">
        <v>2439</v>
      </c>
      <c r="E493" t="s">
        <v>25</v>
      </c>
      <c r="F493" s="387">
        <v>2</v>
      </c>
      <c r="G493" s="16">
        <f>'WetLitterbags placem_collection'!E200</f>
        <v>42769</v>
      </c>
      <c r="H493" s="92" t="str">
        <f>'Final data_for_R_analysis_Wetse'!J639</f>
        <v>G462</v>
      </c>
      <c r="I493" t="str">
        <f>'Final data_for_R_analysis_Wetse'!J859</f>
        <v>R168</v>
      </c>
      <c r="J493">
        <f>IFERROR(INDEX('Green_rooibos initial weight'!$C$5:$C$1749,MATCH(H493, 'Green_rooibos initial weight'!$A$5:$A$1749,0)),"")</f>
        <v>2.169</v>
      </c>
      <c r="K493">
        <f>IFERROR(INDEX('Green_rooibos initial weight'!$C$5:$C$1749,MATCH(I493, 'Green_rooibos initial weight'!$A$5:$A$1749,0)),"")</f>
        <v>2.1459999999999999</v>
      </c>
      <c r="L493" s="195">
        <f t="shared" si="76"/>
        <v>1.9192</v>
      </c>
      <c r="M493" s="195">
        <f>AVERAGE(Ashed_controlls!$K$2:$K$11)</f>
        <v>5.5147656768714146</v>
      </c>
      <c r="N493" s="195">
        <f t="shared" si="72"/>
        <v>1.8133606171294838</v>
      </c>
      <c r="O493" s="195">
        <f t="shared" si="77"/>
        <v>1.8961999999999999</v>
      </c>
      <c r="P493" s="195">
        <f>AVERAGE(Ashed_controlls!$K$12:$K$14)</f>
        <v>2.2816647271287041</v>
      </c>
      <c r="Q493" s="195">
        <f t="shared" si="78"/>
        <v>1.8529350734441854</v>
      </c>
      <c r="R493" s="16">
        <f>IF('WetLitterbags placem_collection'!G200="N.A","",'WetLitterbags placem_collection'!G200)</f>
        <v>42813</v>
      </c>
      <c r="S493" s="195">
        <f>IF(IFERROR(INDEX('Both teabags AfterWet'!$C$3:$C$841,MATCH(H493,'Both teabags AfterWet'!$A$3:$A$841,0)),"")="N.A","",(IFERROR(INDEX('Both teabags AfterWet'!$C$3:$C$841,MATCH(H493,'Both teabags AfterWet'!$A$3:$A$841,0)),"")))</f>
        <v>0.71250000000000002</v>
      </c>
      <c r="T493" s="195">
        <f>IFERROR(INDEX('Both teabags AfterWet'!$C$3:$C$841,MATCH(I493,'Both teabags AfterWet'!$A$3:$A$841,0)),"")</f>
        <v>1.5734999999999999</v>
      </c>
      <c r="U493" s="195">
        <f t="shared" si="79"/>
        <v>0.56190000000000007</v>
      </c>
      <c r="V493" s="195">
        <f t="shared" si="79"/>
        <v>1.4228999999999998</v>
      </c>
      <c r="W493" s="195">
        <f>IFERROR(INDEX('Ashed teabags wet'!$K$2:$K$821,MATCH(H493,'Ashed teabags wet'!$A$2:$A$821,0)),"")</f>
        <v>8.7537091988131088</v>
      </c>
      <c r="X493" s="195">
        <f>IFERROR(INDEX('Ashed teabags wet'!$K$2:$K$821,MATCH(I493,'Ashed teabags wet'!$A$2:$A$821,0)),"")</f>
        <v>3.118908382066123</v>
      </c>
      <c r="Y493" s="195">
        <f t="shared" si="73"/>
        <v>0.5127129080118692</v>
      </c>
      <c r="Z493" s="195">
        <f t="shared" si="73"/>
        <v>1.378521052631581</v>
      </c>
      <c r="AA493" s="195">
        <f t="shared" si="80"/>
        <v>0.71725816521620267</v>
      </c>
      <c r="AB493" s="195">
        <f t="shared" si="81"/>
        <v>0.47022150498734433</v>
      </c>
      <c r="AC493" s="195">
        <f t="shared" si="74"/>
        <v>0.74396619308912071</v>
      </c>
      <c r="AD493">
        <f t="shared" si="75"/>
        <v>44</v>
      </c>
      <c r="AE493" s="195">
        <f t="shared" si="82"/>
        <v>0.14814944748669512</v>
      </c>
      <c r="AF493" s="195">
        <f t="shared" si="83"/>
        <v>1.7871616965345217E-2</v>
      </c>
      <c r="AG493" s="255" t="str">
        <f>IF(ISNUMBER(SEARCH("C",'WetLitterbags placem_collection'!AD420)),"YES","NO")</f>
        <v>NO</v>
      </c>
      <c r="AH493" s="255" t="str">
        <f>IF(ISNUMBER(SEARCH("H", 'WetLitterbags placem_collection'!AF200)),"YES","NO")</f>
        <v>NO</v>
      </c>
      <c r="AI493" s="255" t="str">
        <f>IF(ISNUMBER(SEARCH("R", 'WetLitterbags placem_collection'!XF200)),"YES","NO")</f>
        <v>NO</v>
      </c>
      <c r="AJ493" s="255" t="str">
        <f>IF(ISNUMBER(SEARCH("C", 'WetLitterbags placem_collection'!WE200)),"YES","NO")</f>
        <v>NO</v>
      </c>
      <c r="AK493" s="255" t="str">
        <f>IF(ISNUMBER(SEARCH("H", 'WetLitterbags placem_collection'!AE200)),"YES","NO")</f>
        <v>NO</v>
      </c>
      <c r="AL493" s="255" t="str">
        <f>IF(ISNUMBER(SEARCH("R", 'WetLitterbags placem_collection'!AE200)),"YES","NO")</f>
        <v>NO</v>
      </c>
    </row>
    <row r="494" spans="2:38">
      <c r="B494" t="str">
        <f>'Final data_for_R_analysis_Wetse'!A640</f>
        <v>Wet</v>
      </c>
      <c r="C494" s="263">
        <f>'Final data_for_R_analysis_Wetse'!B640</f>
        <v>199</v>
      </c>
      <c r="D494" t="s">
        <v>2423</v>
      </c>
      <c r="E494" t="s">
        <v>25</v>
      </c>
      <c r="F494" s="387">
        <v>3</v>
      </c>
      <c r="G494" s="16">
        <f>'WetLitterbags placem_collection'!E201</f>
        <v>42769</v>
      </c>
      <c r="H494" s="92" t="str">
        <f>'Final data_for_R_analysis_Wetse'!J640</f>
        <v>G712</v>
      </c>
      <c r="I494" t="str">
        <f>'Final data_for_R_analysis_Wetse'!J860</f>
        <v>R369</v>
      </c>
      <c r="J494">
        <f>IFERROR(INDEX('Green_rooibos initial weight'!$C$5:$C$1749,MATCH(H494, 'Green_rooibos initial weight'!$A$5:$A$1749,0)),"")</f>
        <v>2.0630000000000002</v>
      </c>
      <c r="K494">
        <f>IFERROR(INDEX('Green_rooibos initial weight'!$C$5:$C$1749,MATCH(I494, 'Green_rooibos initial weight'!$A$5:$A$1749,0)),"")</f>
        <v>2.2400000000000002</v>
      </c>
      <c r="L494" s="195">
        <f t="shared" si="76"/>
        <v>1.8132000000000001</v>
      </c>
      <c r="M494" s="195">
        <f>AVERAGE(Ashed_controlls!$K$2:$K$11)</f>
        <v>5.5147656768714146</v>
      </c>
      <c r="N494" s="195">
        <f t="shared" si="72"/>
        <v>1.7132062687469676</v>
      </c>
      <c r="O494" s="195">
        <f t="shared" si="77"/>
        <v>1.9902000000000002</v>
      </c>
      <c r="P494" s="195">
        <f>AVERAGE(Ashed_controlls!$K$12:$K$14)</f>
        <v>2.2816647271287041</v>
      </c>
      <c r="Q494" s="195">
        <f t="shared" si="78"/>
        <v>1.9447903086006848</v>
      </c>
      <c r="R494" s="16">
        <f>IF('WetLitterbags placem_collection'!G201="N.A","",'WetLitterbags placem_collection'!G201)</f>
        <v>42814</v>
      </c>
      <c r="S494" s="195">
        <f>IF(IFERROR(INDEX('Both teabags AfterWet'!$C$3:$C$841,MATCH(H494,'Both teabags AfterWet'!$A$3:$A$841,0)),"")="N.A","",(IFERROR(INDEX('Both teabags AfterWet'!$C$3:$C$841,MATCH(H494,'Both teabags AfterWet'!$A$3:$A$841,0)),"")))</f>
        <v>0.65500000000000003</v>
      </c>
      <c r="T494" s="195" t="str">
        <f>IFERROR(INDEX('Both teabags AfterWet'!$C$3:$C$841,MATCH(I494,'Both teabags AfterWet'!$A$3:$A$841,0)),"")</f>
        <v/>
      </c>
      <c r="U494" s="195">
        <f t="shared" si="79"/>
        <v>0.50439999999999996</v>
      </c>
      <c r="V494" s="195" t="str">
        <f t="shared" si="79"/>
        <v/>
      </c>
      <c r="W494" s="195">
        <f>IFERROR(INDEX('Ashed teabags wet'!$K$2:$K$821,MATCH(H494,'Ashed teabags wet'!$A$2:$A$821,0)),"")</f>
        <v>8.8717454194792413</v>
      </c>
      <c r="X494" s="195" t="str">
        <f>IFERROR(INDEX('Ashed teabags wet'!$K$2:$K$821,MATCH(I494,'Ashed teabags wet'!$A$2:$A$821,0)),"")</f>
        <v/>
      </c>
      <c r="Y494" s="195">
        <f t="shared" si="73"/>
        <v>0.45965091610414666</v>
      </c>
      <c r="Z494" s="195" t="str">
        <f t="shared" si="73"/>
        <v/>
      </c>
      <c r="AA494" s="195">
        <f t="shared" si="80"/>
        <v>0.73170135757188559</v>
      </c>
      <c r="AB494" s="195">
        <f t="shared" si="81"/>
        <v>0.47969020116351652</v>
      </c>
      <c r="AC494" s="195" t="str">
        <f t="shared" si="74"/>
        <v/>
      </c>
      <c r="AD494">
        <f t="shared" si="75"/>
        <v>45</v>
      </c>
      <c r="AE494" s="195">
        <f t="shared" si="82"/>
        <v>0.13099601238493397</v>
      </c>
      <c r="AF494" s="195" t="str">
        <f t="shared" si="83"/>
        <v/>
      </c>
      <c r="AG494" s="255" t="str">
        <f>IF(ISNUMBER(SEARCH("C",'WetLitterbags placem_collection'!AD421)),"YES","NO")</f>
        <v>NO</v>
      </c>
      <c r="AH494" s="255" t="str">
        <f>IF(ISNUMBER(SEARCH("H", 'WetLitterbags placem_collection'!AF201)),"YES","NO")</f>
        <v>NO</v>
      </c>
      <c r="AI494" s="255" t="str">
        <f>IF(ISNUMBER(SEARCH("R", 'WetLitterbags placem_collection'!XF201)),"YES","NO")</f>
        <v>NO</v>
      </c>
      <c r="AJ494" s="255" t="str">
        <f>IF(ISNUMBER(SEARCH("C", 'WetLitterbags placem_collection'!WE201)),"YES","NO")</f>
        <v>NO</v>
      </c>
      <c r="AK494" s="255" t="str">
        <f>IF(ISNUMBER(SEARCH("H", 'WetLitterbags placem_collection'!AE201)),"YES","NO")</f>
        <v>NO</v>
      </c>
      <c r="AL494" s="255" t="str">
        <f>IF(ISNUMBER(SEARCH("R", 'WetLitterbags placem_collection'!AE201)),"YES","NO")</f>
        <v>NO</v>
      </c>
    </row>
    <row r="495" spans="2:38">
      <c r="B495" t="str">
        <f>'Final data_for_R_analysis_Wetse'!A641</f>
        <v>Wet</v>
      </c>
      <c r="C495" s="263">
        <f>'Final data_for_R_analysis_Wetse'!B641</f>
        <v>200</v>
      </c>
      <c r="D495" t="s">
        <v>2446</v>
      </c>
      <c r="E495" t="s">
        <v>25</v>
      </c>
      <c r="F495" s="387">
        <v>4</v>
      </c>
      <c r="G495" s="16">
        <f>'WetLitterbags placem_collection'!E202</f>
        <v>42769</v>
      </c>
      <c r="H495" s="92" t="str">
        <f>'Final data_for_R_analysis_Wetse'!J641</f>
        <v>G709</v>
      </c>
      <c r="I495" t="str">
        <f>'Final data_for_R_analysis_Wetse'!J861</f>
        <v>R359</v>
      </c>
      <c r="J495">
        <f>IFERROR(INDEX('Green_rooibos initial weight'!$C$5:$C$1749,MATCH(H495, 'Green_rooibos initial weight'!$A$5:$A$1749,0)),"")</f>
        <v>1.9670000000000001</v>
      </c>
      <c r="K495">
        <f>IFERROR(INDEX('Green_rooibos initial weight'!$C$5:$C$1749,MATCH(I495, 'Green_rooibos initial weight'!$A$5:$A$1749,0)),"")</f>
        <v>2.198</v>
      </c>
      <c r="L495" s="195">
        <f t="shared" si="76"/>
        <v>1.7172000000000001</v>
      </c>
      <c r="M495" s="195">
        <f>AVERAGE(Ashed_controlls!$K$2:$K$11)</f>
        <v>5.5147656768714146</v>
      </c>
      <c r="N495" s="195">
        <f t="shared" si="72"/>
        <v>1.6225004437967641</v>
      </c>
      <c r="O495" s="195">
        <f t="shared" si="77"/>
        <v>1.9481999999999999</v>
      </c>
      <c r="P495" s="195">
        <f>AVERAGE(Ashed_controlls!$K$12:$K$14)</f>
        <v>2.2816647271287041</v>
      </c>
      <c r="Q495" s="195">
        <f t="shared" si="78"/>
        <v>1.9037486077860786</v>
      </c>
      <c r="R495" s="16">
        <f>IF('WetLitterbags placem_collection'!G202="N.A","",'WetLitterbags placem_collection'!G202)</f>
        <v>42813</v>
      </c>
      <c r="S495" s="195">
        <f>IF(IFERROR(INDEX('Both teabags AfterWet'!$C$3:$C$841,MATCH(H495,'Both teabags AfterWet'!$A$3:$A$841,0)),"")="N.A","",(IFERROR(INDEX('Both teabags AfterWet'!$C$3:$C$841,MATCH(H495,'Both teabags AfterWet'!$A$3:$A$841,0)),"")))</f>
        <v>0.56469999999999998</v>
      </c>
      <c r="T495" s="195">
        <f>IFERROR(INDEX('Both teabags AfterWet'!$C$3:$C$841,MATCH(I495,'Both teabags AfterWet'!$A$3:$A$841,0)),"")</f>
        <v>1.4882</v>
      </c>
      <c r="U495" s="195">
        <f t="shared" si="79"/>
        <v>0.41409999999999997</v>
      </c>
      <c r="V495" s="195">
        <f t="shared" si="79"/>
        <v>1.3375999999999999</v>
      </c>
      <c r="W495" s="195">
        <f>IFERROR(INDEX('Ashed teabags wet'!$K$2:$K$821,MATCH(H495,'Ashed teabags wet'!$A$2:$A$821,0)),"")</f>
        <v>9.8409542743538694</v>
      </c>
      <c r="X495" s="195">
        <f>IFERROR(INDEX('Ashed teabags wet'!$K$2:$K$821,MATCH(I495,'Ashed teabags wet'!$A$2:$A$821,0)),"")</f>
        <v>4.0291262135925576</v>
      </c>
      <c r="Y495" s="195">
        <f t="shared" si="73"/>
        <v>0.37334860834990058</v>
      </c>
      <c r="Z495" s="195">
        <f t="shared" si="73"/>
        <v>1.2837064077669857</v>
      </c>
      <c r="AA495" s="195">
        <f t="shared" si="80"/>
        <v>0.76989306241652611</v>
      </c>
      <c r="AB495" s="195">
        <f t="shared" si="81"/>
        <v>0.50472799341320951</v>
      </c>
      <c r="AC495" s="195">
        <f t="shared" si="74"/>
        <v>0.67430458124397163</v>
      </c>
      <c r="AD495">
        <f t="shared" si="75"/>
        <v>44</v>
      </c>
      <c r="AE495" s="195">
        <f t="shared" si="82"/>
        <v>8.5637693092011746E-2</v>
      </c>
      <c r="AF495" s="195">
        <f t="shared" si="83"/>
        <v>2.3555724696591972E-2</v>
      </c>
      <c r="AG495" s="255" t="str">
        <f>IF(ISNUMBER(SEARCH("C",'WetLitterbags placem_collection'!AD422)),"YES","NO")</f>
        <v>NO</v>
      </c>
      <c r="AH495" s="255" t="str">
        <f>IF(ISNUMBER(SEARCH("H", 'WetLitterbags placem_collection'!AF202)),"YES","NO")</f>
        <v>NO</v>
      </c>
      <c r="AI495" s="255" t="str">
        <f>IF(ISNUMBER(SEARCH("R", 'WetLitterbags placem_collection'!XF202)),"YES","NO")</f>
        <v>NO</v>
      </c>
      <c r="AJ495" s="255" t="str">
        <f>IF(ISNUMBER(SEARCH("C", 'WetLitterbags placem_collection'!WE202)),"YES","NO")</f>
        <v>NO</v>
      </c>
      <c r="AK495" s="255" t="str">
        <f>IF(ISNUMBER(SEARCH("H", 'WetLitterbags placem_collection'!AE202)),"YES","NO")</f>
        <v>NO</v>
      </c>
      <c r="AL495" s="255" t="str">
        <f>IF(ISNUMBER(SEARCH("R", 'WetLitterbags placem_collection'!AE202)),"YES","NO")</f>
        <v>NO</v>
      </c>
    </row>
    <row r="496" spans="2:38">
      <c r="B496" t="str">
        <f>'Final data_for_R_analysis_Wetse'!A642</f>
        <v>Wet</v>
      </c>
      <c r="C496" s="263">
        <f>'Final data_for_R_analysis_Wetse'!B642</f>
        <v>201</v>
      </c>
      <c r="D496" t="s">
        <v>2447</v>
      </c>
      <c r="E496" t="s">
        <v>25</v>
      </c>
      <c r="F496" s="387">
        <v>1</v>
      </c>
      <c r="G496" s="16">
        <f>'WetLitterbags placem_collection'!E203</f>
        <v>42769</v>
      </c>
      <c r="H496" s="92" t="str">
        <f>'Final data_for_R_analysis_Wetse'!J642</f>
        <v>G707</v>
      </c>
      <c r="I496" t="str">
        <f>'Final data_for_R_analysis_Wetse'!J862</f>
        <v>R395</v>
      </c>
      <c r="J496">
        <f>IFERROR(INDEX('Green_rooibos initial weight'!$C$5:$C$1749,MATCH(H496, 'Green_rooibos initial weight'!$A$5:$A$1749,0)),"")</f>
        <v>2.008</v>
      </c>
      <c r="K496">
        <f>IFERROR(INDEX('Green_rooibos initial weight'!$C$5:$C$1749,MATCH(I496, 'Green_rooibos initial weight'!$A$5:$A$1749,0)),"")</f>
        <v>2.1280000000000001</v>
      </c>
      <c r="L496" s="195">
        <f t="shared" si="76"/>
        <v>1.7582</v>
      </c>
      <c r="M496" s="195">
        <f>AVERAGE(Ashed_controlls!$K$2:$K$11)</f>
        <v>5.5147656768714146</v>
      </c>
      <c r="N496" s="195">
        <f t="shared" si="72"/>
        <v>1.6612393898692468</v>
      </c>
      <c r="O496" s="195">
        <f t="shared" si="77"/>
        <v>1.8782000000000001</v>
      </c>
      <c r="P496" s="195">
        <f>AVERAGE(Ashed_controlls!$K$12:$K$14)</f>
        <v>2.2816647271287041</v>
      </c>
      <c r="Q496" s="195">
        <f t="shared" si="78"/>
        <v>1.8353457730950689</v>
      </c>
      <c r="R496" s="16">
        <f>IF('WetLitterbags placem_collection'!G203="N.A","",'WetLitterbags placem_collection'!G203)</f>
        <v>42813</v>
      </c>
      <c r="S496" s="195">
        <f>IF(IFERROR(INDEX('Both teabags AfterWet'!$C$3:$C$841,MATCH(H496,'Both teabags AfterWet'!$A$3:$A$841,0)),"")="N.A","",(IFERROR(INDEX('Both teabags AfterWet'!$C$3:$C$841,MATCH(H496,'Both teabags AfterWet'!$A$3:$A$841,0)),"")))</f>
        <v>0.63959999999999995</v>
      </c>
      <c r="T496" s="195">
        <f>IFERROR(INDEX('Both teabags AfterWet'!$C$3:$C$841,MATCH(I496,'Both teabags AfterWet'!$A$3:$A$841,0)),"")</f>
        <v>1.5786</v>
      </c>
      <c r="U496" s="195">
        <f t="shared" si="79"/>
        <v>0.48899999999999993</v>
      </c>
      <c r="V496" s="195">
        <f t="shared" si="79"/>
        <v>1.4279999999999999</v>
      </c>
      <c r="W496" s="195">
        <f>IFERROR(INDEX('Ashed teabags wet'!$K$2:$K$821,MATCH(H496,'Ashed teabags wet'!$A$2:$A$821,0)),"")</f>
        <v>12.14457831325316</v>
      </c>
      <c r="X496" s="195">
        <f>IFERROR(INDEX('Ashed teabags wet'!$K$2:$K$821,MATCH(I496,'Ashed teabags wet'!$A$2:$A$821,0)),"")</f>
        <v>3.0123456790120686</v>
      </c>
      <c r="Y496" s="195">
        <f t="shared" si="73"/>
        <v>0.42961301204819197</v>
      </c>
      <c r="Z496" s="195">
        <f t="shared" si="73"/>
        <v>1.3849837037037076</v>
      </c>
      <c r="AA496" s="195">
        <f t="shared" si="80"/>
        <v>0.74139006414842712</v>
      </c>
      <c r="AB496" s="195">
        <f t="shared" si="81"/>
        <v>0.48604194229208053</v>
      </c>
      <c r="AC496" s="195">
        <f t="shared" si="74"/>
        <v>0.75461731735056936</v>
      </c>
      <c r="AD496">
        <f t="shared" si="75"/>
        <v>44</v>
      </c>
      <c r="AE496" s="195">
        <f t="shared" si="82"/>
        <v>0.11948923497811503</v>
      </c>
      <c r="AF496" s="195">
        <f t="shared" si="83"/>
        <v>1.5975292012415872E-2</v>
      </c>
      <c r="AG496" s="255" t="str">
        <f>IF(ISNUMBER(SEARCH("C",'WetLitterbags placem_collection'!AD423)),"YES","NO")</f>
        <v>NO</v>
      </c>
      <c r="AH496" s="255" t="str">
        <f>IF(ISNUMBER(SEARCH("H", 'WetLitterbags placem_collection'!AF203)),"YES","NO")</f>
        <v>NO</v>
      </c>
      <c r="AI496" s="255" t="str">
        <f>IF(ISNUMBER(SEARCH("R", 'WetLitterbags placem_collection'!XF203)),"YES","NO")</f>
        <v>NO</v>
      </c>
      <c r="AJ496" s="255" t="str">
        <f>IF(ISNUMBER(SEARCH("C", 'WetLitterbags placem_collection'!WE203)),"YES","NO")</f>
        <v>NO</v>
      </c>
      <c r="AK496" s="255" t="str">
        <f>IF(ISNUMBER(SEARCH("H", 'WetLitterbags placem_collection'!AE203)),"YES","NO")</f>
        <v>NO</v>
      </c>
      <c r="AL496" s="255" t="str">
        <f>IF(ISNUMBER(SEARCH("R", 'WetLitterbags placem_collection'!AE203)),"YES","NO")</f>
        <v>NO</v>
      </c>
    </row>
    <row r="497" spans="2:38">
      <c r="B497" t="str">
        <f>'Final data_for_R_analysis_Wetse'!A643</f>
        <v>Wet</v>
      </c>
      <c r="C497" s="263">
        <f>'Final data_for_R_analysis_Wetse'!B643</f>
        <v>202</v>
      </c>
      <c r="D497" t="s">
        <v>2424</v>
      </c>
      <c r="E497" t="s">
        <v>25</v>
      </c>
      <c r="F497" s="387">
        <v>2</v>
      </c>
      <c r="G497" s="16">
        <f>'WetLitterbags placem_collection'!E204</f>
        <v>42769</v>
      </c>
      <c r="H497" s="92" t="str">
        <f>'Final data_for_R_analysis_Wetse'!J643</f>
        <v>G770</v>
      </c>
      <c r="I497" t="str">
        <f>'Final data_for_R_analysis_Wetse'!J863</f>
        <v>R182</v>
      </c>
      <c r="J497">
        <f>IFERROR(INDEX('Green_rooibos initial weight'!$C$5:$C$1749,MATCH(H497, 'Green_rooibos initial weight'!$A$5:$A$1749,0)),"")</f>
        <v>1.958</v>
      </c>
      <c r="K497">
        <f>IFERROR(INDEX('Green_rooibos initial weight'!$C$5:$C$1749,MATCH(I497, 'Green_rooibos initial weight'!$A$5:$A$1749,0)),"")</f>
        <v>2.161</v>
      </c>
      <c r="L497" s="195">
        <f t="shared" si="76"/>
        <v>1.7081999999999999</v>
      </c>
      <c r="M497" s="195">
        <f>AVERAGE(Ashed_controlls!$K$2:$K$11)</f>
        <v>5.5147656768714146</v>
      </c>
      <c r="N497" s="195">
        <f t="shared" si="72"/>
        <v>1.6139967727076825</v>
      </c>
      <c r="O497" s="195">
        <f t="shared" si="77"/>
        <v>1.9112</v>
      </c>
      <c r="P497" s="195">
        <f>AVERAGE(Ashed_controlls!$K$12:$K$14)</f>
        <v>2.2816647271287041</v>
      </c>
      <c r="Q497" s="195">
        <f t="shared" si="78"/>
        <v>1.8675928237351163</v>
      </c>
      <c r="R497" s="16">
        <f>IF('WetLitterbags placem_collection'!G204="N.A","",'WetLitterbags placem_collection'!G204)</f>
        <v>42814</v>
      </c>
      <c r="S497" s="195">
        <f>IF(IFERROR(INDEX('Both teabags AfterWet'!$C$3:$C$841,MATCH(H497,'Both teabags AfterWet'!$A$3:$A$841,0)),"")="N.A","",(IFERROR(INDEX('Both teabags AfterWet'!$C$3:$C$841,MATCH(H497,'Both teabags AfterWet'!$A$3:$A$841,0)),"")))</f>
        <v>0.98199999999999998</v>
      </c>
      <c r="T497" s="195">
        <f>IFERROR(INDEX('Both teabags AfterWet'!$C$3:$C$841,MATCH(I497,'Both teabags AfterWet'!$A$3:$A$841,0)),"")</f>
        <v>1.679</v>
      </c>
      <c r="U497" s="195">
        <f t="shared" si="79"/>
        <v>0.83139999999999992</v>
      </c>
      <c r="V497" s="195">
        <f t="shared" si="79"/>
        <v>1.5284</v>
      </c>
      <c r="W497" s="195">
        <f>IFERROR(INDEX('Ashed teabags wet'!$K$2:$K$821,MATCH(H497,'Ashed teabags wet'!$A$2:$A$821,0)),"")</f>
        <v>31.965648854961913</v>
      </c>
      <c r="X497" s="195">
        <f>IFERROR(INDEX('Ashed teabags wet'!$K$2:$K$821,MATCH(I497,'Ashed teabags wet'!$A$2:$A$821,0)),"")</f>
        <v>3.9234919077970858</v>
      </c>
      <c r="Y497" s="195">
        <f t="shared" si="73"/>
        <v>0.56563759541984659</v>
      </c>
      <c r="Z497" s="195">
        <f t="shared" si="73"/>
        <v>1.4684333496812294</v>
      </c>
      <c r="AA497" s="195">
        <f t="shared" si="80"/>
        <v>0.64954230083687314</v>
      </c>
      <c r="AB497" s="195">
        <f t="shared" si="81"/>
        <v>0.42582820672441096</v>
      </c>
      <c r="AC497" s="195">
        <f t="shared" si="74"/>
        <v>0.78627061049871527</v>
      </c>
      <c r="AD497">
        <f t="shared" si="75"/>
        <v>45</v>
      </c>
      <c r="AE497" s="195">
        <f t="shared" si="82"/>
        <v>0.22857208926737149</v>
      </c>
      <c r="AF497" s="195">
        <f t="shared" si="83"/>
        <v>1.5488526872991596E-2</v>
      </c>
      <c r="AG497" s="255" t="str">
        <f>IF(ISNUMBER(SEARCH("C",'WetLitterbags placem_collection'!AD424)),"YES","NO")</f>
        <v>NO</v>
      </c>
      <c r="AH497" s="255" t="str">
        <f>IF(ISNUMBER(SEARCH("H", 'WetLitterbags placem_collection'!AF204)),"YES","NO")</f>
        <v>NO</v>
      </c>
      <c r="AI497" s="255" t="str">
        <f>IF(ISNUMBER(SEARCH("R", 'WetLitterbags placem_collection'!XF204)),"YES","NO")</f>
        <v>NO</v>
      </c>
      <c r="AJ497" s="255" t="str">
        <f>IF(ISNUMBER(SEARCH("C", 'WetLitterbags placem_collection'!WE204)),"YES","NO")</f>
        <v>NO</v>
      </c>
      <c r="AK497" s="255" t="str">
        <f>IF(ISNUMBER(SEARCH("H", 'WetLitterbags placem_collection'!AE204)),"YES","NO")</f>
        <v>NO</v>
      </c>
      <c r="AL497" s="255" t="str">
        <f>IF(ISNUMBER(SEARCH("R", 'WetLitterbags placem_collection'!AE204)),"YES","NO")</f>
        <v>NO</v>
      </c>
    </row>
    <row r="498" spans="2:38">
      <c r="B498" t="str">
        <f>'Final data_for_R_analysis_Wetse'!A644</f>
        <v>Wet</v>
      </c>
      <c r="C498" s="263">
        <f>'Final data_for_R_analysis_Wetse'!B644</f>
        <v>203</v>
      </c>
      <c r="D498" t="s">
        <v>2433</v>
      </c>
      <c r="E498" t="s">
        <v>25</v>
      </c>
      <c r="F498" s="387">
        <v>3</v>
      </c>
      <c r="G498" s="16">
        <f>'WetLitterbags placem_collection'!E205</f>
        <v>42769</v>
      </c>
      <c r="H498" s="92" t="str">
        <f>'Final data_for_R_analysis_Wetse'!J644</f>
        <v>G753</v>
      </c>
      <c r="I498" t="str">
        <f>'Final data_for_R_analysis_Wetse'!J864</f>
        <v>R342</v>
      </c>
      <c r="J498">
        <f>IFERROR(INDEX('Green_rooibos initial weight'!$C$5:$C$1749,MATCH(H498, 'Green_rooibos initial weight'!$A$5:$A$1749,0)),"")</f>
        <v>2.0649999999999999</v>
      </c>
      <c r="K498">
        <f>IFERROR(INDEX('Green_rooibos initial weight'!$C$5:$C$1749,MATCH(I498, 'Green_rooibos initial weight'!$A$5:$A$1749,0)),"")</f>
        <v>2.2450000000000001</v>
      </c>
      <c r="L498" s="195">
        <f t="shared" si="76"/>
        <v>1.8151999999999999</v>
      </c>
      <c r="M498" s="195">
        <f>AVERAGE(Ashed_controlls!$K$2:$K$11)</f>
        <v>5.5147656768714146</v>
      </c>
      <c r="N498" s="195">
        <f t="shared" si="72"/>
        <v>1.7150959734334301</v>
      </c>
      <c r="O498" s="195">
        <f t="shared" si="77"/>
        <v>1.9952000000000001</v>
      </c>
      <c r="P498" s="195">
        <f>AVERAGE(Ashed_controlls!$K$12:$K$14)</f>
        <v>2.2816647271287041</v>
      </c>
      <c r="Q498" s="195">
        <f t="shared" si="78"/>
        <v>1.9496762253643283</v>
      </c>
      <c r="R498" s="16">
        <f>IF('WetLitterbags placem_collection'!G205="N.A","",'WetLitterbags placem_collection'!G205)</f>
        <v>42814</v>
      </c>
      <c r="S498" s="195">
        <f>IF(IFERROR(INDEX('Both teabags AfterWet'!$C$3:$C$841,MATCH(H498,'Both teabags AfterWet'!$A$3:$A$841,0)),"")="N.A","",(IFERROR(INDEX('Both teabags AfterWet'!$C$3:$C$841,MATCH(H498,'Both teabags AfterWet'!$A$3:$A$841,0)),"")))</f>
        <v>0.7681</v>
      </c>
      <c r="T498" s="195">
        <f>IFERROR(INDEX('Both teabags AfterWet'!$C$3:$C$841,MATCH(I498,'Both teabags AfterWet'!$A$3:$A$841,0)),"")</f>
        <v>1.5906</v>
      </c>
      <c r="U498" s="195">
        <f t="shared" si="79"/>
        <v>0.61749999999999994</v>
      </c>
      <c r="V498" s="195">
        <f t="shared" si="79"/>
        <v>1.44</v>
      </c>
      <c r="W498" s="195">
        <f>IFERROR(INDEX('Ashed teabags wet'!$K$2:$K$821,MATCH(H498,'Ashed teabags wet'!$A$2:$A$821,0)),"")</f>
        <v>9.4330155544412708</v>
      </c>
      <c r="X498" s="195">
        <f>IFERROR(INDEX('Ashed teabags wet'!$K$2:$K$821,MATCH(I498,'Ashed teabags wet'!$A$2:$A$821,0)),"")</f>
        <v>3.642714570858145</v>
      </c>
      <c r="Y498" s="195">
        <f t="shared" si="73"/>
        <v>0.55925112895132512</v>
      </c>
      <c r="Z498" s="195">
        <f t="shared" si="73"/>
        <v>1.3875449101796427</v>
      </c>
      <c r="AA498" s="195">
        <f t="shared" si="80"/>
        <v>0.67392429484178251</v>
      </c>
      <c r="AB498" s="195">
        <f t="shared" si="81"/>
        <v>0.44181260184401899</v>
      </c>
      <c r="AC498" s="195">
        <f t="shared" si="74"/>
        <v>0.7116796584624494</v>
      </c>
      <c r="AD498">
        <f t="shared" si="75"/>
        <v>45</v>
      </c>
      <c r="AE498" s="195">
        <f t="shared" si="82"/>
        <v>0.19961485173184967</v>
      </c>
      <c r="AF498" s="195">
        <f t="shared" si="83"/>
        <v>2.349412600323221E-2</v>
      </c>
      <c r="AG498" s="255" t="str">
        <f>IF(ISNUMBER(SEARCH("C",'WetLitterbags placem_collection'!AD425)),"YES","NO")</f>
        <v>NO</v>
      </c>
      <c r="AH498" s="255" t="str">
        <f>IF(ISNUMBER(SEARCH("H", 'WetLitterbags placem_collection'!AF205)),"YES","NO")</f>
        <v>NO</v>
      </c>
      <c r="AI498" s="255" t="str">
        <f>IF(ISNUMBER(SEARCH("R", 'WetLitterbags placem_collection'!XF205)),"YES","NO")</f>
        <v>NO</v>
      </c>
      <c r="AJ498" s="255" t="str">
        <f>IF(ISNUMBER(SEARCH("C", 'WetLitterbags placem_collection'!WE205)),"YES","NO")</f>
        <v>NO</v>
      </c>
      <c r="AK498" s="255" t="str">
        <f>IF(ISNUMBER(SEARCH("H", 'WetLitterbags placem_collection'!AE205)),"YES","NO")</f>
        <v>NO</v>
      </c>
      <c r="AL498" s="255" t="str">
        <f>IF(ISNUMBER(SEARCH("R", 'WetLitterbags placem_collection'!AE205)),"YES","NO")</f>
        <v>NO</v>
      </c>
    </row>
    <row r="499" spans="2:38">
      <c r="B499" t="str">
        <f>'Final data_for_R_analysis_Wetse'!A645</f>
        <v>Wet</v>
      </c>
      <c r="C499" s="263">
        <f>'Final data_for_R_analysis_Wetse'!B645</f>
        <v>204</v>
      </c>
      <c r="D499" t="s">
        <v>2440</v>
      </c>
      <c r="E499" t="s">
        <v>25</v>
      </c>
      <c r="F499" s="387">
        <v>4</v>
      </c>
      <c r="G499" s="16">
        <f>'WetLitterbags placem_collection'!E206</f>
        <v>42769</v>
      </c>
      <c r="H499" s="92" t="str">
        <f>'Final data_for_R_analysis_Wetse'!J645</f>
        <v>G640</v>
      </c>
      <c r="I499" t="str">
        <f>'Final data_for_R_analysis_Wetse'!J865</f>
        <v>R139</v>
      </c>
      <c r="J499">
        <f>IFERROR(INDEX('Green_rooibos initial weight'!$C$5:$C$1749,MATCH(H499, 'Green_rooibos initial weight'!$A$5:$A$1749,0)),"")</f>
        <v>2.0640000000000001</v>
      </c>
      <c r="K499">
        <f>IFERROR(INDEX('Green_rooibos initial weight'!$C$5:$C$1749,MATCH(I499, 'Green_rooibos initial weight'!$A$5:$A$1749,0)),"")</f>
        <v>2.2829999999999999</v>
      </c>
      <c r="L499" s="195">
        <f t="shared" si="76"/>
        <v>1.8142</v>
      </c>
      <c r="M499" s="195">
        <f>AVERAGE(Ashed_controlls!$K$2:$K$11)</f>
        <v>5.5147656768714146</v>
      </c>
      <c r="N499" s="195">
        <f t="shared" si="72"/>
        <v>1.7141511210901987</v>
      </c>
      <c r="O499" s="195">
        <f t="shared" si="77"/>
        <v>2.0331999999999999</v>
      </c>
      <c r="P499" s="195">
        <f>AVERAGE(Ashed_controlls!$K$12:$K$14)</f>
        <v>2.2816647271287041</v>
      </c>
      <c r="Q499" s="195">
        <f t="shared" si="78"/>
        <v>1.9868091927680191</v>
      </c>
      <c r="R499" s="16">
        <f>IF('WetLitterbags placem_collection'!G206="N.A","",'WetLitterbags placem_collection'!G206)</f>
        <v>42813</v>
      </c>
      <c r="S499" s="195">
        <f>IF(IFERROR(INDEX('Both teabags AfterWet'!$C$3:$C$841,MATCH(H499,'Both teabags AfterWet'!$A$3:$A$841,0)),"")="N.A","",(IFERROR(INDEX('Both teabags AfterWet'!$C$3:$C$841,MATCH(H499,'Both teabags AfterWet'!$A$3:$A$841,0)),"")))</f>
        <v>0.72450000000000003</v>
      </c>
      <c r="T499" s="195">
        <f>IFERROR(INDEX('Both teabags AfterWet'!$C$3:$C$841,MATCH(I499,'Both teabags AfterWet'!$A$3:$A$841,0)),"")</f>
        <v>1.6255999999999999</v>
      </c>
      <c r="U499" s="195">
        <f t="shared" si="79"/>
        <v>0.57390000000000008</v>
      </c>
      <c r="V499" s="195">
        <f t="shared" si="79"/>
        <v>1.4749999999999999</v>
      </c>
      <c r="W499" s="195">
        <f>IFERROR(INDEX('Ashed teabags wet'!$K$2:$K$821,MATCH(H499,'Ashed teabags wet'!$A$2:$A$821,0)),"")</f>
        <v>11.573849878934253</v>
      </c>
      <c r="X499" s="195">
        <f>IFERROR(INDEX('Ashed teabags wet'!$K$2:$K$821,MATCH(I499,'Ashed teabags wet'!$A$2:$A$821,0)),"")</f>
        <v>2.9484029484021739</v>
      </c>
      <c r="Y499" s="195">
        <f t="shared" si="73"/>
        <v>0.50747767554479639</v>
      </c>
      <c r="Z499" s="195">
        <f t="shared" si="73"/>
        <v>1.4315110565110678</v>
      </c>
      <c r="AA499" s="195">
        <f t="shared" si="80"/>
        <v>0.70394811209991737</v>
      </c>
      <c r="AB499" s="195">
        <f t="shared" si="81"/>
        <v>0.46149567444080097</v>
      </c>
      <c r="AC499" s="195">
        <f t="shared" si="74"/>
        <v>0.7205075664647439</v>
      </c>
      <c r="AD499">
        <f t="shared" si="75"/>
        <v>44</v>
      </c>
      <c r="AE499" s="195">
        <f t="shared" si="82"/>
        <v>0.16395711152028813</v>
      </c>
      <c r="AF499" s="195">
        <f t="shared" si="83"/>
        <v>2.1146549704122924E-2</v>
      </c>
      <c r="AG499" s="255" t="str">
        <f>IF(ISNUMBER(SEARCH("C",'WetLitterbags placem_collection'!AD426)),"YES","NO")</f>
        <v>NO</v>
      </c>
      <c r="AH499" s="255" t="str">
        <f>IF(ISNUMBER(SEARCH("H", 'WetLitterbags placem_collection'!AF206)),"YES","NO")</f>
        <v>NO</v>
      </c>
      <c r="AI499" s="255" t="str">
        <f>IF(ISNUMBER(SEARCH("R", 'WetLitterbags placem_collection'!XF206)),"YES","NO")</f>
        <v>NO</v>
      </c>
      <c r="AJ499" s="255" t="str">
        <f>IF(ISNUMBER(SEARCH("C", 'WetLitterbags placem_collection'!WE206)),"YES","NO")</f>
        <v>NO</v>
      </c>
      <c r="AK499" s="255" t="str">
        <f>IF(ISNUMBER(SEARCH("H", 'WetLitterbags placem_collection'!AE206)),"YES","NO")</f>
        <v>NO</v>
      </c>
      <c r="AL499" s="255" t="str">
        <f>IF(ISNUMBER(SEARCH("R", 'WetLitterbags placem_collection'!AE206)),"YES","NO")</f>
        <v>NO</v>
      </c>
    </row>
    <row r="500" spans="2:38">
      <c r="B500" t="str">
        <f>'Final data_for_R_analysis_Wetse'!A646</f>
        <v>Wet</v>
      </c>
      <c r="C500" s="263">
        <f>'Final data_for_R_analysis_Wetse'!B646</f>
        <v>205</v>
      </c>
      <c r="D500" t="s">
        <v>2434</v>
      </c>
      <c r="E500" t="s">
        <v>25</v>
      </c>
      <c r="F500" s="387">
        <v>1</v>
      </c>
      <c r="G500" s="16">
        <f>'WetLitterbags placem_collection'!E207</f>
        <v>42769</v>
      </c>
      <c r="H500" s="92" t="str">
        <f>'Final data_for_R_analysis_Wetse'!J646</f>
        <v>G668</v>
      </c>
      <c r="I500" t="str">
        <f>'Final data_for_R_analysis_Wetse'!J866</f>
        <v>R92</v>
      </c>
      <c r="J500">
        <f>IFERROR(INDEX('Green_rooibos initial weight'!$C$5:$C$1749,MATCH(H500, 'Green_rooibos initial weight'!$A$5:$A$1749,0)),"")</f>
        <v>2.0299999999999998</v>
      </c>
      <c r="K500">
        <f>IFERROR(INDEX('Green_rooibos initial weight'!$C$5:$C$1749,MATCH(I500, 'Green_rooibos initial weight'!$A$5:$A$1749,0)),"")</f>
        <v>2.246</v>
      </c>
      <c r="L500" s="195">
        <f t="shared" si="76"/>
        <v>1.7801999999999998</v>
      </c>
      <c r="M500" s="195">
        <f>AVERAGE(Ashed_controlls!$K$2:$K$11)</f>
        <v>5.5147656768714146</v>
      </c>
      <c r="N500" s="195">
        <f t="shared" si="72"/>
        <v>1.6820261414203348</v>
      </c>
      <c r="O500" s="195">
        <f t="shared" si="77"/>
        <v>1.9962</v>
      </c>
      <c r="P500" s="195">
        <f>AVERAGE(Ashed_controlls!$K$12:$K$14)</f>
        <v>2.2816647271287041</v>
      </c>
      <c r="Q500" s="195">
        <f t="shared" si="78"/>
        <v>1.9506534087170568</v>
      </c>
      <c r="R500" s="16">
        <f>IF('WetLitterbags placem_collection'!G207="N.A","",'WetLitterbags placem_collection'!G207)</f>
        <v>42814</v>
      </c>
      <c r="S500" s="195">
        <f>IF(IFERROR(INDEX('Both teabags AfterWet'!$C$3:$C$841,MATCH(H500,'Both teabags AfterWet'!$A$3:$A$841,0)),"")="N.A","",(IFERROR(INDEX('Both teabags AfterWet'!$C$3:$C$841,MATCH(H500,'Both teabags AfterWet'!$A$3:$A$841,0)),"")))</f>
        <v>0.71</v>
      </c>
      <c r="T500" s="195">
        <f>IFERROR(INDEX('Both teabags AfterWet'!$C$3:$C$841,MATCH(I500,'Both teabags AfterWet'!$A$3:$A$841,0)),"")</f>
        <v>1.7204999999999999</v>
      </c>
      <c r="U500" s="195">
        <f t="shared" si="79"/>
        <v>0.5593999999999999</v>
      </c>
      <c r="V500" s="195">
        <f t="shared" si="79"/>
        <v>1.5698999999999999</v>
      </c>
      <c r="W500" s="195">
        <f>IFERROR(INDEX('Ashed teabags wet'!$K$2:$K$821,MATCH(H500,'Ashed teabags wet'!$A$2:$A$821,0)),"")</f>
        <v>17.813567593948214</v>
      </c>
      <c r="X500" s="195">
        <f>IFERROR(INDEX('Ashed teabags wet'!$K$2:$K$821,MATCH(I500,'Ashed teabags wet'!$A$2:$A$821,0)),"")</f>
        <v>4.6821094135039614</v>
      </c>
      <c r="Y500" s="195">
        <f t="shared" si="73"/>
        <v>0.45975090287945358</v>
      </c>
      <c r="Z500" s="195">
        <f t="shared" si="73"/>
        <v>1.4963955643174012</v>
      </c>
      <c r="AA500" s="195">
        <f t="shared" si="80"/>
        <v>0.72666839619315837</v>
      </c>
      <c r="AB500" s="195">
        <f t="shared" si="81"/>
        <v>0.47639068253993289</v>
      </c>
      <c r="AC500" s="195">
        <f t="shared" si="74"/>
        <v>0.76712529126411</v>
      </c>
      <c r="AD500">
        <f t="shared" si="75"/>
        <v>45</v>
      </c>
      <c r="AE500" s="195">
        <f t="shared" si="82"/>
        <v>0.13697340119577384</v>
      </c>
      <c r="AF500" s="195">
        <f t="shared" si="83"/>
        <v>1.4912349733785052E-2</v>
      </c>
      <c r="AG500" s="255" t="str">
        <f>IF(ISNUMBER(SEARCH("C",'WetLitterbags placem_collection'!AD427)),"YES","NO")</f>
        <v>NO</v>
      </c>
      <c r="AH500" s="255" t="str">
        <f>IF(ISNUMBER(SEARCH("H", 'WetLitterbags placem_collection'!AF207)),"YES","NO")</f>
        <v>NO</v>
      </c>
      <c r="AI500" s="255" t="str">
        <f>IF(ISNUMBER(SEARCH("R", 'WetLitterbags placem_collection'!XF207)),"YES","NO")</f>
        <v>NO</v>
      </c>
      <c r="AJ500" s="255" t="str">
        <f>IF(ISNUMBER(SEARCH("C", 'WetLitterbags placem_collection'!WE207)),"YES","NO")</f>
        <v>NO</v>
      </c>
      <c r="AK500" s="255" t="str">
        <f>IF(ISNUMBER(SEARCH("H", 'WetLitterbags placem_collection'!AE207)),"YES","NO")</f>
        <v>NO</v>
      </c>
      <c r="AL500" s="255" t="str">
        <f>IF(ISNUMBER(SEARCH("R", 'WetLitterbags placem_collection'!AE207)),"YES","NO")</f>
        <v>YES</v>
      </c>
    </row>
    <row r="501" spans="2:38">
      <c r="B501" t="str">
        <f>'Final data_for_R_analysis_Wetse'!A647</f>
        <v>Wet</v>
      </c>
      <c r="C501" s="263">
        <f>'Final data_for_R_analysis_Wetse'!B647</f>
        <v>206</v>
      </c>
      <c r="D501" t="s">
        <v>2425</v>
      </c>
      <c r="E501" t="s">
        <v>25</v>
      </c>
      <c r="F501" s="387">
        <v>2</v>
      </c>
      <c r="G501" s="16">
        <f>'WetLitterbags placem_collection'!E208</f>
        <v>42769</v>
      </c>
      <c r="H501" s="92" t="str">
        <f>'Final data_for_R_analysis_Wetse'!J647</f>
        <v>G891</v>
      </c>
      <c r="I501" t="str">
        <f>'Final data_for_R_analysis_Wetse'!J867</f>
        <v>R328</v>
      </c>
      <c r="J501">
        <f>IFERROR(INDEX('Green_rooibos initial weight'!$C$5:$C$1749,MATCH(H501, 'Green_rooibos initial weight'!$A$5:$A$1749,0)),"")</f>
        <v>2.0169999999999999</v>
      </c>
      <c r="K501">
        <f>IFERROR(INDEX('Green_rooibos initial weight'!$C$5:$C$1749,MATCH(I501, 'Green_rooibos initial weight'!$A$5:$A$1749,0)),"")</f>
        <v>2.2549999999999999</v>
      </c>
      <c r="L501" s="195">
        <f t="shared" si="76"/>
        <v>1.7671999999999999</v>
      </c>
      <c r="M501" s="195">
        <f>AVERAGE(Ashed_controlls!$K$2:$K$11)</f>
        <v>5.5147656768714146</v>
      </c>
      <c r="N501" s="195">
        <f t="shared" si="72"/>
        <v>1.6697430609583281</v>
      </c>
      <c r="O501" s="195">
        <f t="shared" si="77"/>
        <v>2.0051999999999999</v>
      </c>
      <c r="P501" s="195">
        <f>AVERAGE(Ashed_controlls!$K$12:$K$14)</f>
        <v>2.2816647271287041</v>
      </c>
      <c r="Q501" s="195">
        <f t="shared" si="78"/>
        <v>1.959448058891615</v>
      </c>
      <c r="R501" s="16">
        <f>IF('WetLitterbags placem_collection'!G208="N.A","",'WetLitterbags placem_collection'!G208)</f>
        <v>42814</v>
      </c>
      <c r="S501" s="195">
        <f>IF(IFERROR(INDEX('Both teabags AfterWet'!$C$3:$C$841,MATCH(H501,'Both teabags AfterWet'!$A$3:$A$841,0)),"")="N.A","",(IFERROR(INDEX('Both teabags AfterWet'!$C$3:$C$841,MATCH(H501,'Both teabags AfterWet'!$A$3:$A$841,0)),"")))</f>
        <v>0.70199999999999996</v>
      </c>
      <c r="T501" s="195">
        <f>IFERROR(INDEX('Both teabags AfterWet'!$C$3:$C$841,MATCH(I501,'Both teabags AfterWet'!$A$3:$A$841,0)),"")</f>
        <v>1.609</v>
      </c>
      <c r="U501" s="195">
        <f t="shared" si="79"/>
        <v>0.55139999999999989</v>
      </c>
      <c r="V501" s="195">
        <f t="shared" si="79"/>
        <v>1.4583999999999999</v>
      </c>
      <c r="W501" s="195">
        <f>IFERROR(INDEX('Ashed teabags wet'!$K$2:$K$821,MATCH(H501,'Ashed teabags wet'!$A$2:$A$821,0)),"")</f>
        <v>13.415841584158834</v>
      </c>
      <c r="X501" s="195">
        <f>IFERROR(INDEX('Ashed teabags wet'!$K$2:$K$821,MATCH(I501,'Ashed teabags wet'!$A$2:$A$821,0)),"")</f>
        <v>5.8794708476237458</v>
      </c>
      <c r="Y501" s="195">
        <f t="shared" si="73"/>
        <v>0.47742504950494813</v>
      </c>
      <c r="Z501" s="195">
        <f t="shared" si="73"/>
        <v>1.3726537971582553</v>
      </c>
      <c r="AA501" s="195">
        <f t="shared" si="80"/>
        <v>0.71407274528157882</v>
      </c>
      <c r="AB501" s="195">
        <f t="shared" si="81"/>
        <v>0.46813320118222274</v>
      </c>
      <c r="AC501" s="195">
        <f t="shared" si="74"/>
        <v>0.70053084128941556</v>
      </c>
      <c r="AD501">
        <f t="shared" si="75"/>
        <v>45</v>
      </c>
      <c r="AE501" s="195">
        <f t="shared" si="82"/>
        <v>0.15193260655394436</v>
      </c>
      <c r="AF501" s="195">
        <f t="shared" si="83"/>
        <v>2.2685423362280244E-2</v>
      </c>
      <c r="AG501" s="255" t="str">
        <f>IF(ISNUMBER(SEARCH("C",'WetLitterbags placem_collection'!AD428)),"YES","NO")</f>
        <v>NO</v>
      </c>
      <c r="AH501" s="255" t="str">
        <f>IF(ISNUMBER(SEARCH("H", 'WetLitterbags placem_collection'!AF208)),"YES","NO")</f>
        <v>NO</v>
      </c>
      <c r="AI501" s="255" t="str">
        <f>IF(ISNUMBER(SEARCH("R", 'WetLitterbags placem_collection'!XF208)),"YES","NO")</f>
        <v>NO</v>
      </c>
      <c r="AJ501" s="255" t="str">
        <f>IF(ISNUMBER(SEARCH("C", 'WetLitterbags placem_collection'!WE208)),"YES","NO")</f>
        <v>NO</v>
      </c>
      <c r="AK501" s="255" t="str">
        <f>IF(ISNUMBER(SEARCH("H", 'WetLitterbags placem_collection'!AE208)),"YES","NO")</f>
        <v>NO</v>
      </c>
      <c r="AL501" s="255" t="str">
        <f>IF(ISNUMBER(SEARCH("R", 'WetLitterbags placem_collection'!AE208)),"YES","NO")</f>
        <v>NO</v>
      </c>
    </row>
    <row r="502" spans="2:38">
      <c r="B502" t="str">
        <f>'Final data_for_R_analysis_Wetse'!A648</f>
        <v>Wet</v>
      </c>
      <c r="C502" s="263">
        <f>'Final data_for_R_analysis_Wetse'!B648</f>
        <v>207</v>
      </c>
      <c r="D502" t="s">
        <v>2448</v>
      </c>
      <c r="E502" t="s">
        <v>25</v>
      </c>
      <c r="F502" s="387">
        <v>3</v>
      </c>
      <c r="G502" s="16">
        <f>'WetLitterbags placem_collection'!E209</f>
        <v>42769</v>
      </c>
      <c r="H502" s="92" t="str">
        <f>'Final data_for_R_analysis_Wetse'!J648</f>
        <v>G540</v>
      </c>
      <c r="I502" t="str">
        <f>'Final data_for_R_analysis_Wetse'!J868</f>
        <v>R149</v>
      </c>
      <c r="J502">
        <f>IFERROR(INDEX('Green_rooibos initial weight'!$C$5:$C$1749,MATCH(H502, 'Green_rooibos initial weight'!$A$5:$A$1749,0)),"")</f>
        <v>2.0830000000000002</v>
      </c>
      <c r="K502">
        <f>IFERROR(INDEX('Green_rooibos initial weight'!$C$5:$C$1749,MATCH(I502, 'Green_rooibos initial weight'!$A$5:$A$1749,0)),"")</f>
        <v>2.2400000000000002</v>
      </c>
      <c r="L502" s="195">
        <f t="shared" si="76"/>
        <v>1.8332000000000002</v>
      </c>
      <c r="M502" s="195">
        <f>AVERAGE(Ashed_controlls!$K$2:$K$11)</f>
        <v>5.5147656768714146</v>
      </c>
      <c r="N502" s="195">
        <f t="shared" si="72"/>
        <v>1.7321033156115935</v>
      </c>
      <c r="O502" s="195">
        <f t="shared" si="77"/>
        <v>1.9902000000000002</v>
      </c>
      <c r="P502" s="195">
        <f>AVERAGE(Ashed_controlls!$K$12:$K$14)</f>
        <v>2.2816647271287041</v>
      </c>
      <c r="Q502" s="195">
        <f t="shared" si="78"/>
        <v>1.9447903086006848</v>
      </c>
      <c r="R502" s="16">
        <f>IF('WetLitterbags placem_collection'!G209="N.A","",'WetLitterbags placem_collection'!G209)</f>
        <v>42813</v>
      </c>
      <c r="S502" s="195">
        <f>IF(IFERROR(INDEX('Both teabags AfterWet'!$C$3:$C$841,MATCH(H502,'Both teabags AfterWet'!$A$3:$A$841,0)),"")="N.A","",(IFERROR(INDEX('Both teabags AfterWet'!$C$3:$C$841,MATCH(H502,'Both teabags AfterWet'!$A$3:$A$841,0)),"")))</f>
        <v>0.73299999999999998</v>
      </c>
      <c r="T502" s="195">
        <f>IFERROR(INDEX('Both teabags AfterWet'!$C$3:$C$841,MATCH(I502,'Both teabags AfterWet'!$A$3:$A$841,0)),"")</f>
        <v>1.401</v>
      </c>
      <c r="U502" s="195">
        <f t="shared" si="79"/>
        <v>0.58240000000000003</v>
      </c>
      <c r="V502" s="195">
        <f t="shared" si="79"/>
        <v>1.2504</v>
      </c>
      <c r="W502" s="195">
        <f>IFERROR(INDEX('Ashed teabags wet'!$K$2:$K$821,MATCH(H502,'Ashed teabags wet'!$A$2:$A$821,0)),"")</f>
        <v>21.550000000000765</v>
      </c>
      <c r="X502" s="195">
        <f>IFERROR(INDEX('Ashed teabags wet'!$K$2:$K$821,MATCH(I502,'Ashed teabags wet'!$A$2:$A$821,0)),"")</f>
        <v>9.4146341463411449</v>
      </c>
      <c r="Y502" s="195">
        <f t="shared" si="73"/>
        <v>0.45689279999999555</v>
      </c>
      <c r="Z502" s="195">
        <f t="shared" si="73"/>
        <v>1.1326794146341503</v>
      </c>
      <c r="AA502" s="195">
        <f t="shared" si="80"/>
        <v>0.73622081553566576</v>
      </c>
      <c r="AB502" s="195">
        <f t="shared" si="81"/>
        <v>0.48265307621815629</v>
      </c>
      <c r="AC502" s="195">
        <f t="shared" si="74"/>
        <v>0.58241724551226071</v>
      </c>
      <c r="AD502">
        <f t="shared" si="75"/>
        <v>44</v>
      </c>
      <c r="AE502" s="195">
        <f t="shared" si="82"/>
        <v>0.12562848511203584</v>
      </c>
      <c r="AF502" s="195">
        <f t="shared" si="83"/>
        <v>4.5541581113769831E-2</v>
      </c>
      <c r="AG502" s="255" t="str">
        <f>IF(ISNUMBER(SEARCH("C",'WetLitterbags placem_collection'!AD429)),"YES","NO")</f>
        <v>NO</v>
      </c>
      <c r="AH502" s="255" t="str">
        <f>IF(ISNUMBER(SEARCH("H", 'WetLitterbags placem_collection'!AF209)),"YES","NO")</f>
        <v>NO</v>
      </c>
      <c r="AI502" s="255" t="str">
        <f>IF(ISNUMBER(SEARCH("R", 'WetLitterbags placem_collection'!XF209)),"YES","NO")</f>
        <v>NO</v>
      </c>
      <c r="AJ502" s="255" t="str">
        <f>IF(ISNUMBER(SEARCH("C", 'WetLitterbags placem_collection'!WE209)),"YES","NO")</f>
        <v>NO</v>
      </c>
      <c r="AK502" s="255" t="str">
        <f>IF(ISNUMBER(SEARCH("H", 'WetLitterbags placem_collection'!AE209)),"YES","NO")</f>
        <v>NO</v>
      </c>
      <c r="AL502" s="255" t="str">
        <f>IF(ISNUMBER(SEARCH("R", 'WetLitterbags placem_collection'!AE209)),"YES","NO")</f>
        <v>NO</v>
      </c>
    </row>
    <row r="503" spans="2:38">
      <c r="B503" t="str">
        <f>'Final data_for_R_analysis_Wetse'!A649</f>
        <v>Wet</v>
      </c>
      <c r="C503" s="263">
        <f>'Final data_for_R_analysis_Wetse'!B649</f>
        <v>208</v>
      </c>
      <c r="D503" t="s">
        <v>2441</v>
      </c>
      <c r="E503" t="s">
        <v>25</v>
      </c>
      <c r="F503" s="387">
        <v>4</v>
      </c>
      <c r="G503" s="16">
        <f>'WetLitterbags placem_collection'!E210</f>
        <v>42769</v>
      </c>
      <c r="H503" s="92" t="str">
        <f>'Final data_for_R_analysis_Wetse'!J649</f>
        <v>G508</v>
      </c>
      <c r="I503" t="str">
        <f>'Final data_for_R_analysis_Wetse'!J869</f>
        <v>R449</v>
      </c>
      <c r="J503">
        <f>IFERROR(INDEX('Green_rooibos initial weight'!$C$5:$C$1749,MATCH(H503, 'Green_rooibos initial weight'!$A$5:$A$1749,0)),"")</f>
        <v>1.9910000000000001</v>
      </c>
      <c r="K503">
        <f>IFERROR(INDEX('Green_rooibos initial weight'!$C$5:$C$1749,MATCH(I503, 'Green_rooibos initial weight'!$A$5:$A$1749,0)),"")</f>
        <v>2.2709999999999999</v>
      </c>
      <c r="L503" s="195">
        <f t="shared" si="76"/>
        <v>1.7412000000000001</v>
      </c>
      <c r="M503" s="195">
        <f>AVERAGE(Ashed_controlls!$K$2:$K$11)</f>
        <v>5.5147656768714146</v>
      </c>
      <c r="N503" s="195">
        <f t="shared" si="72"/>
        <v>1.645176900034315</v>
      </c>
      <c r="O503" s="195">
        <f t="shared" si="77"/>
        <v>2.0211999999999999</v>
      </c>
      <c r="P503" s="195">
        <f>AVERAGE(Ashed_controlls!$K$12:$K$14)</f>
        <v>2.2816647271287041</v>
      </c>
      <c r="Q503" s="195">
        <f t="shared" si="78"/>
        <v>1.9750829925352744</v>
      </c>
      <c r="R503" s="16">
        <f>IF('WetLitterbags placem_collection'!G210="N.A","",'WetLitterbags placem_collection'!G210)</f>
        <v>42813</v>
      </c>
      <c r="S503" s="195">
        <f>IF(IFERROR(INDEX('Both teabags AfterWet'!$C$3:$C$841,MATCH(H503,'Both teabags AfterWet'!$A$3:$A$841,0)),"")="N.A","",(IFERROR(INDEX('Both teabags AfterWet'!$C$3:$C$841,MATCH(H503,'Both teabags AfterWet'!$A$3:$A$841,0)),"")))</f>
        <v>0.84599999999999997</v>
      </c>
      <c r="T503" s="195">
        <f>IFERROR(INDEX('Both teabags AfterWet'!$C$3:$C$841,MATCH(I503,'Both teabags AfterWet'!$A$3:$A$841,0)),"")</f>
        <v>1.611</v>
      </c>
      <c r="U503" s="195">
        <f t="shared" si="79"/>
        <v>0.69540000000000002</v>
      </c>
      <c r="V503" s="195">
        <f t="shared" si="79"/>
        <v>1.4603999999999999</v>
      </c>
      <c r="W503" s="195">
        <f>IFERROR(INDEX('Ashed teabags wet'!$K$2:$K$821,MATCH(H503,'Ashed teabags wet'!$A$2:$A$821,0)),"")</f>
        <v>12.276341948309753</v>
      </c>
      <c r="X503" s="195">
        <f>IFERROR(INDEX('Ashed teabags wet'!$K$2:$K$821,MATCH(I503,'Ashed teabags wet'!$A$2:$A$821,0)),"")</f>
        <v>7.5425790754251629</v>
      </c>
      <c r="Y503" s="195">
        <f t="shared" si="73"/>
        <v>0.61003031809145403</v>
      </c>
      <c r="Z503" s="195">
        <f t="shared" si="73"/>
        <v>1.3502481751824909</v>
      </c>
      <c r="AA503" s="195">
        <f t="shared" si="80"/>
        <v>0.62920077586870438</v>
      </c>
      <c r="AB503" s="195">
        <f t="shared" si="81"/>
        <v>0.41249267016570651</v>
      </c>
      <c r="AC503" s="195">
        <f t="shared" si="74"/>
        <v>0.68364123446239222</v>
      </c>
      <c r="AD503">
        <f t="shared" si="75"/>
        <v>44</v>
      </c>
      <c r="AE503" s="195">
        <f t="shared" si="82"/>
        <v>0.2527306699896622</v>
      </c>
      <c r="AF503" s="195">
        <f t="shared" si="83"/>
        <v>3.3101735837800746E-2</v>
      </c>
      <c r="AG503" s="255" t="str">
        <f>IF(ISNUMBER(SEARCH("C",'WetLitterbags placem_collection'!AD430)),"YES","NO")</f>
        <v>NO</v>
      </c>
      <c r="AH503" s="255" t="str">
        <f>IF(ISNUMBER(SEARCH("H", 'WetLitterbags placem_collection'!AF210)),"YES","NO")</f>
        <v>NO</v>
      </c>
      <c r="AI503" s="255" t="str">
        <f>IF(ISNUMBER(SEARCH("R", 'WetLitterbags placem_collection'!XF210)),"YES","NO")</f>
        <v>NO</v>
      </c>
      <c r="AJ503" s="255" t="str">
        <f>IF(ISNUMBER(SEARCH("C", 'WetLitterbags placem_collection'!WE210)),"YES","NO")</f>
        <v>NO</v>
      </c>
      <c r="AK503" s="255" t="str">
        <f>IF(ISNUMBER(SEARCH("H", 'WetLitterbags placem_collection'!AE210)),"YES","NO")</f>
        <v>NO</v>
      </c>
      <c r="AL503" s="255" t="str">
        <f>IF(ISNUMBER(SEARCH("R", 'WetLitterbags placem_collection'!AE210)),"YES","NO")</f>
        <v>NO</v>
      </c>
    </row>
    <row r="504" spans="2:38">
      <c r="B504" t="str">
        <f>'Final data_for_R_analysis_Wetse'!A650</f>
        <v>Wet</v>
      </c>
      <c r="C504" s="263">
        <f>'Final data_for_R_analysis_Wetse'!B650</f>
        <v>209</v>
      </c>
      <c r="D504" t="s">
        <v>2435</v>
      </c>
      <c r="E504" t="s">
        <v>25</v>
      </c>
      <c r="F504" s="387">
        <v>1</v>
      </c>
      <c r="G504" s="16">
        <f>'WetLitterbags placem_collection'!E211</f>
        <v>42769</v>
      </c>
      <c r="H504" s="92" t="str">
        <f>'Final data_for_R_analysis_Wetse'!J650</f>
        <v>G637</v>
      </c>
      <c r="I504" t="str">
        <f>'Final data_for_R_analysis_Wetse'!J870</f>
        <v>R142</v>
      </c>
      <c r="J504">
        <f>IFERROR(INDEX('Green_rooibos initial weight'!$C$5:$C$1749,MATCH(H504, 'Green_rooibos initial weight'!$A$5:$A$1749,0)),"")</f>
        <v>2.1110000000000002</v>
      </c>
      <c r="K504">
        <f>IFERROR(INDEX('Green_rooibos initial weight'!$C$5:$C$1749,MATCH(I504, 'Green_rooibos initial weight'!$A$5:$A$1749,0)),"")</f>
        <v>2.0870000000000002</v>
      </c>
      <c r="L504" s="195">
        <f t="shared" si="76"/>
        <v>1.8612000000000002</v>
      </c>
      <c r="M504" s="195">
        <f>AVERAGE(Ashed_controlls!$K$2:$K$11)</f>
        <v>5.5147656768714146</v>
      </c>
      <c r="N504" s="195">
        <f t="shared" si="72"/>
        <v>1.7585591812220693</v>
      </c>
      <c r="O504" s="195">
        <f t="shared" si="77"/>
        <v>1.8372000000000002</v>
      </c>
      <c r="P504" s="195">
        <f>AVERAGE(Ashed_controlls!$K$12:$K$14)</f>
        <v>2.2816647271287041</v>
      </c>
      <c r="Q504" s="195">
        <f t="shared" si="78"/>
        <v>1.7952812556331916</v>
      </c>
      <c r="R504" s="16">
        <f>IF('WetLitterbags placem_collection'!G211="N.A","",'WetLitterbags placem_collection'!G211)</f>
        <v>42814</v>
      </c>
      <c r="S504" s="195">
        <f>IF(IFERROR(INDEX('Both teabags AfterWet'!$C$3:$C$841,MATCH(H504,'Both teabags AfterWet'!$A$3:$A$841,0)),"")="N.A","",(IFERROR(INDEX('Both teabags AfterWet'!$C$3:$C$841,MATCH(H504,'Both teabags AfterWet'!$A$3:$A$841,0)),"")))</f>
        <v>0.86399999999999999</v>
      </c>
      <c r="T504" s="195">
        <f>IFERROR(INDEX('Both teabags AfterWet'!$C$3:$C$841,MATCH(I504,'Both teabags AfterWet'!$A$3:$A$841,0)),"")</f>
        <v>1.5780000000000001</v>
      </c>
      <c r="U504" s="195">
        <f t="shared" si="79"/>
        <v>0.71340000000000003</v>
      </c>
      <c r="V504" s="195">
        <f t="shared" si="79"/>
        <v>1.4274</v>
      </c>
      <c r="W504" s="195">
        <f>IFERROR(INDEX('Ashed teabags wet'!$K$2:$K$821,MATCH(H504,'Ashed teabags wet'!$A$2:$A$821,0)),"")</f>
        <v>17.471937530502561</v>
      </c>
      <c r="X504" s="195">
        <f>IFERROR(INDEX('Ashed teabags wet'!$K$2:$K$821,MATCH(I504,'Ashed teabags wet'!$A$2:$A$821,0)),"")</f>
        <v>6.2620423892102917</v>
      </c>
      <c r="Y504" s="195">
        <f t="shared" si="73"/>
        <v>0.5887551976573947</v>
      </c>
      <c r="Z504" s="195">
        <f t="shared" si="73"/>
        <v>1.3380156069364122</v>
      </c>
      <c r="AA504" s="195">
        <f t="shared" si="80"/>
        <v>0.66520592315337768</v>
      </c>
      <c r="AB504" s="195">
        <f t="shared" si="81"/>
        <v>0.43609699475138308</v>
      </c>
      <c r="AC504" s="195">
        <f t="shared" si="74"/>
        <v>0.74529581520333821</v>
      </c>
      <c r="AD504">
        <f t="shared" si="75"/>
        <v>45</v>
      </c>
      <c r="AE504" s="195">
        <f t="shared" si="82"/>
        <v>0.2099692124069148</v>
      </c>
      <c r="AF504" s="195">
        <f t="shared" si="83"/>
        <v>1.9493328514461269E-2</v>
      </c>
      <c r="AG504" s="255" t="str">
        <f>IF(ISNUMBER(SEARCH("C",'WetLitterbags placem_collection'!AD431)),"YES","NO")</f>
        <v>NO</v>
      </c>
      <c r="AH504" s="255" t="str">
        <f>IF(ISNUMBER(SEARCH("H", 'WetLitterbags placem_collection'!AF211)),"YES","NO")</f>
        <v>NO</v>
      </c>
      <c r="AI504" s="255" t="str">
        <f>IF(ISNUMBER(SEARCH("R", 'WetLitterbags placem_collection'!XF211)),"YES","NO")</f>
        <v>NO</v>
      </c>
      <c r="AJ504" s="255" t="str">
        <f>IF(ISNUMBER(SEARCH("C", 'WetLitterbags placem_collection'!WE211)),"YES","NO")</f>
        <v>NO</v>
      </c>
      <c r="AK504" s="255" t="str">
        <f>IF(ISNUMBER(SEARCH("H", 'WetLitterbags placem_collection'!AE211)),"YES","NO")</f>
        <v>NO</v>
      </c>
      <c r="AL504" s="255" t="str">
        <f>IF(ISNUMBER(SEARCH("R", 'WetLitterbags placem_collection'!AE211)),"YES","NO")</f>
        <v>NO</v>
      </c>
    </row>
    <row r="505" spans="2:38">
      <c r="B505" t="str">
        <f>'Final data_for_R_analysis_Wetse'!A651</f>
        <v>Wet</v>
      </c>
      <c r="C505" s="263">
        <f>'Final data_for_R_analysis_Wetse'!B651</f>
        <v>210</v>
      </c>
      <c r="D505" t="s">
        <v>2449</v>
      </c>
      <c r="E505" t="s">
        <v>25</v>
      </c>
      <c r="F505" s="387">
        <v>2</v>
      </c>
      <c r="G505" s="16">
        <f>'WetLitterbags placem_collection'!E212</f>
        <v>42769</v>
      </c>
      <c r="H505" s="92" t="str">
        <f>'Final data_for_R_analysis_Wetse'!J651</f>
        <v>G720</v>
      </c>
      <c r="I505" t="str">
        <f>'Final data_for_R_analysis_Wetse'!J871</f>
        <v>R392</v>
      </c>
      <c r="J505">
        <f>IFERROR(INDEX('Green_rooibos initial weight'!$C$5:$C$1749,MATCH(H505, 'Green_rooibos initial weight'!$A$5:$A$1749,0)),"")</f>
        <v>2.0350000000000001</v>
      </c>
      <c r="K505">
        <f>IFERROR(INDEX('Green_rooibos initial weight'!$C$5:$C$1749,MATCH(I505, 'Green_rooibos initial weight'!$A$5:$A$1749,0)),"")</f>
        <v>2.2309999999999999</v>
      </c>
      <c r="L505" s="195">
        <f t="shared" si="76"/>
        <v>1.7852000000000001</v>
      </c>
      <c r="M505" s="195">
        <f>AVERAGE(Ashed_controlls!$K$2:$K$11)</f>
        <v>5.5147656768714146</v>
      </c>
      <c r="N505" s="195">
        <f t="shared" si="72"/>
        <v>1.6867504031364917</v>
      </c>
      <c r="O505" s="195">
        <f t="shared" si="77"/>
        <v>1.9811999999999999</v>
      </c>
      <c r="P505" s="195">
        <f>AVERAGE(Ashed_controlls!$K$12:$K$14)</f>
        <v>2.2816647271287041</v>
      </c>
      <c r="Q505" s="195">
        <f t="shared" si="78"/>
        <v>1.935995658426126</v>
      </c>
      <c r="R505" s="16">
        <f>IF('WetLitterbags placem_collection'!G212="N.A","",'WetLitterbags placem_collection'!G212)</f>
        <v>42813</v>
      </c>
      <c r="S505" s="195">
        <f>IF(IFERROR(INDEX('Both teabags AfterWet'!$C$3:$C$841,MATCH(H505,'Both teabags AfterWet'!$A$3:$A$841,0)),"")="N.A","",(IFERROR(INDEX('Both teabags AfterWet'!$C$3:$C$841,MATCH(H505,'Both teabags AfterWet'!$A$3:$A$841,0)),"")))</f>
        <v>0.72160000000000002</v>
      </c>
      <c r="T505" s="195">
        <f>IFERROR(INDEX('Both teabags AfterWet'!$C$3:$C$841,MATCH(I505,'Both teabags AfterWet'!$A$3:$A$841,0)),"")</f>
        <v>1.6165</v>
      </c>
      <c r="U505" s="195">
        <f t="shared" si="79"/>
        <v>0.57099999999999995</v>
      </c>
      <c r="V505" s="195">
        <f t="shared" si="79"/>
        <v>1.4659</v>
      </c>
      <c r="W505" s="195">
        <f>IFERROR(INDEX('Ashed teabags wet'!$K$2:$K$821,MATCH(H505,'Ashed teabags wet'!$A$2:$A$821,0)),"")</f>
        <v>16.057692307692367</v>
      </c>
      <c r="X505" s="195">
        <f>IFERROR(INDEX('Ashed teabags wet'!$K$2:$K$821,MATCH(I505,'Ashed teabags wet'!$A$2:$A$821,0)),"")</f>
        <v>8.4810733109723397</v>
      </c>
      <c r="Y505" s="195">
        <f t="shared" si="73"/>
        <v>0.47931057692307655</v>
      </c>
      <c r="Z505" s="195">
        <f t="shared" si="73"/>
        <v>1.3415759463344565</v>
      </c>
      <c r="AA505" s="195">
        <f t="shared" si="80"/>
        <v>0.71583787617195505</v>
      </c>
      <c r="AB505" s="195">
        <f t="shared" si="81"/>
        <v>0.46929038912935772</v>
      </c>
      <c r="AC505" s="195">
        <f t="shared" si="74"/>
        <v>0.6929643362036747</v>
      </c>
      <c r="AD505">
        <f t="shared" si="75"/>
        <v>44</v>
      </c>
      <c r="AE505" s="195">
        <f t="shared" si="82"/>
        <v>0.14983625157725056</v>
      </c>
      <c r="AF505" s="195">
        <f t="shared" si="83"/>
        <v>2.4137596920236825E-2</v>
      </c>
      <c r="AG505" s="255" t="str">
        <f>IF(ISNUMBER(SEARCH("C",'WetLitterbags placem_collection'!AD432)),"YES","NO")</f>
        <v>NO</v>
      </c>
      <c r="AH505" s="255" t="str">
        <f>IF(ISNUMBER(SEARCH("H", 'WetLitterbags placem_collection'!AF212)),"YES","NO")</f>
        <v>NO</v>
      </c>
      <c r="AI505" s="255" t="str">
        <f>IF(ISNUMBER(SEARCH("R", 'WetLitterbags placem_collection'!XF212)),"YES","NO")</f>
        <v>NO</v>
      </c>
      <c r="AJ505" s="255" t="str">
        <f>IF(ISNUMBER(SEARCH("C", 'WetLitterbags placem_collection'!WE212)),"YES","NO")</f>
        <v>NO</v>
      </c>
      <c r="AK505" s="255" t="str">
        <f>IF(ISNUMBER(SEARCH("H", 'WetLitterbags placem_collection'!AE212)),"YES","NO")</f>
        <v>NO</v>
      </c>
      <c r="AL505" s="255" t="str">
        <f>IF(ISNUMBER(SEARCH("R", 'WetLitterbags placem_collection'!AE212)),"YES","NO")</f>
        <v>NO</v>
      </c>
    </row>
    <row r="506" spans="2:38">
      <c r="B506" t="str">
        <f>'Final data_for_R_analysis_Wetse'!A652</f>
        <v>Wet</v>
      </c>
      <c r="C506" s="263">
        <f>'Final data_for_R_analysis_Wetse'!B652</f>
        <v>211</v>
      </c>
      <c r="D506" t="s">
        <v>2426</v>
      </c>
      <c r="E506" t="s">
        <v>25</v>
      </c>
      <c r="F506" s="387">
        <v>3</v>
      </c>
      <c r="G506" s="16">
        <f>'WetLitterbags placem_collection'!E213</f>
        <v>42769</v>
      </c>
      <c r="H506" s="92" t="str">
        <f>'Final data_for_R_analysis_Wetse'!J652</f>
        <v>G796</v>
      </c>
      <c r="I506" t="str">
        <f>'Final data_for_R_analysis_Wetse'!J872</f>
        <v>R589</v>
      </c>
      <c r="J506">
        <f>IFERROR(INDEX('Green_rooibos initial weight'!$C$5:$C$1749,MATCH(H506, 'Green_rooibos initial weight'!$A$5:$A$1749,0)),"")</f>
        <v>2.1070000000000002</v>
      </c>
      <c r="K506">
        <f>IFERROR(INDEX('Green_rooibos initial weight'!$C$5:$C$1749,MATCH(I506, 'Green_rooibos initial weight'!$A$5:$A$1749,0)),"")</f>
        <v>2.157</v>
      </c>
      <c r="L506" s="195">
        <f t="shared" si="76"/>
        <v>1.8572000000000002</v>
      </c>
      <c r="M506" s="195">
        <f>AVERAGE(Ashed_controlls!$K$2:$K$11)</f>
        <v>5.5147656768714146</v>
      </c>
      <c r="N506" s="195">
        <f t="shared" si="72"/>
        <v>1.7547797718491442</v>
      </c>
      <c r="O506" s="195">
        <f t="shared" si="77"/>
        <v>1.9072</v>
      </c>
      <c r="P506" s="195">
        <f>AVERAGE(Ashed_controlls!$K$12:$K$14)</f>
        <v>2.2816647271287041</v>
      </c>
      <c r="Q506" s="195">
        <f t="shared" si="78"/>
        <v>1.8636840903242013</v>
      </c>
      <c r="R506" s="16">
        <f>IF('WetLitterbags placem_collection'!G213="N.A","",'WetLitterbags placem_collection'!G213)</f>
        <v>42814</v>
      </c>
      <c r="S506" s="195">
        <f>IF(IFERROR(INDEX('Both teabags AfterWet'!$C$3:$C$841,MATCH(H506,'Both teabags AfterWet'!$A$3:$A$841,0)),"")="N.A","",(IFERROR(INDEX('Both teabags AfterWet'!$C$3:$C$841,MATCH(H506,'Both teabags AfterWet'!$A$3:$A$841,0)),"")))</f>
        <v>0.67200000000000004</v>
      </c>
      <c r="T506" s="195">
        <f>IFERROR(INDEX('Both teabags AfterWet'!$C$3:$C$841,MATCH(I506,'Both teabags AfterWet'!$A$3:$A$841,0)),"")</f>
        <v>1.5489999999999999</v>
      </c>
      <c r="U506" s="195">
        <f t="shared" si="79"/>
        <v>0.52140000000000009</v>
      </c>
      <c r="V506" s="195">
        <f t="shared" si="79"/>
        <v>1.3983999999999999</v>
      </c>
      <c r="W506" s="195">
        <f>IFERROR(INDEX('Ashed teabags wet'!$K$2:$K$821,MATCH(H506,'Ashed teabags wet'!$A$2:$A$821,0)),"")</f>
        <v>40.67127344521198</v>
      </c>
      <c r="X506" s="195">
        <f>IFERROR(INDEX('Ashed teabags wet'!$K$2:$K$821,MATCH(I506,'Ashed teabags wet'!$A$2:$A$821,0)),"")</f>
        <v>7.414730598121813</v>
      </c>
      <c r="Y506" s="195">
        <f t="shared" si="73"/>
        <v>0.30933998025666476</v>
      </c>
      <c r="Z506" s="195">
        <f t="shared" si="73"/>
        <v>1.2947124073158645</v>
      </c>
      <c r="AA506" s="195">
        <f t="shared" si="80"/>
        <v>0.82371578176406157</v>
      </c>
      <c r="AB506" s="195">
        <f t="shared" si="81"/>
        <v>0.54001319659591696</v>
      </c>
      <c r="AC506" s="195">
        <f t="shared" si="74"/>
        <v>0.69470593972320693</v>
      </c>
      <c r="AD506">
        <f t="shared" si="75"/>
        <v>45</v>
      </c>
      <c r="AE506" s="195">
        <f t="shared" si="82"/>
        <v>2.171522355812161E-2</v>
      </c>
      <c r="AF506" s="195">
        <f t="shared" si="83"/>
        <v>1.8515643169653335E-2</v>
      </c>
      <c r="AG506" s="255" t="str">
        <f>IF(ISNUMBER(SEARCH("C",'WetLitterbags placem_collection'!AD433)),"YES","NO")</f>
        <v>NO</v>
      </c>
      <c r="AH506" s="255" t="str">
        <f>IF(ISNUMBER(SEARCH("H", 'WetLitterbags placem_collection'!AF213)),"YES","NO")</f>
        <v>NO</v>
      </c>
      <c r="AI506" s="255" t="str">
        <f>IF(ISNUMBER(SEARCH("R", 'WetLitterbags placem_collection'!XF213)),"YES","NO")</f>
        <v>NO</v>
      </c>
      <c r="AJ506" s="255" t="str">
        <f>IF(ISNUMBER(SEARCH("C", 'WetLitterbags placem_collection'!WE213)),"YES","NO")</f>
        <v>NO</v>
      </c>
      <c r="AK506" s="255" t="str">
        <f>IF(ISNUMBER(SEARCH("H", 'WetLitterbags placem_collection'!AE213)),"YES","NO")</f>
        <v>NO</v>
      </c>
      <c r="AL506" s="255" t="str">
        <f>IF(ISNUMBER(SEARCH("R", 'WetLitterbags placem_collection'!AE213)),"YES","NO")</f>
        <v>NO</v>
      </c>
    </row>
    <row r="507" spans="2:38">
      <c r="B507" t="str">
        <f>'Final data_for_R_analysis_Wetse'!A653</f>
        <v>Wet</v>
      </c>
      <c r="C507" s="263">
        <f>'Final data_for_R_analysis_Wetse'!B653</f>
        <v>215</v>
      </c>
      <c r="D507" t="s">
        <v>2427</v>
      </c>
      <c r="E507" t="s">
        <v>25</v>
      </c>
      <c r="F507" s="387">
        <v>3</v>
      </c>
      <c r="G507" s="16">
        <f>'WetLitterbags placem_collection'!E214</f>
        <v>42769</v>
      </c>
      <c r="H507" s="92" t="str">
        <f>'Final data_for_R_analysis_Wetse'!J653</f>
        <v>G560</v>
      </c>
      <c r="I507" t="str">
        <f>'Final data_for_R_analysis_Wetse'!J873</f>
        <v>R130</v>
      </c>
      <c r="J507">
        <f>IFERROR(INDEX('Green_rooibos initial weight'!$C$5:$C$1749,MATCH(H507, 'Green_rooibos initial weight'!$A$5:$A$1749,0)),"")</f>
        <v>2.1219999999999999</v>
      </c>
      <c r="K507">
        <f>IFERROR(INDEX('Green_rooibos initial weight'!$C$5:$C$1749,MATCH(I507, 'Green_rooibos initial weight'!$A$5:$A$1749,0)),"")</f>
        <v>2.2410000000000001</v>
      </c>
      <c r="L507" s="195">
        <f t="shared" si="76"/>
        <v>1.8721999999999999</v>
      </c>
      <c r="M507" s="195">
        <f>AVERAGE(Ashed_controlls!$K$2:$K$11)</f>
        <v>5.5147656768714146</v>
      </c>
      <c r="N507" s="195">
        <f t="shared" si="72"/>
        <v>1.7689525569976132</v>
      </c>
      <c r="O507" s="195">
        <f t="shared" si="77"/>
        <v>1.9912000000000001</v>
      </c>
      <c r="P507" s="195">
        <f>AVERAGE(Ashed_controlls!$K$12:$K$14)</f>
        <v>2.2816647271287041</v>
      </c>
      <c r="Q507" s="195">
        <f t="shared" si="78"/>
        <v>1.9457674919534134</v>
      </c>
      <c r="R507" s="16">
        <f>IF('WetLitterbags placem_collection'!G214="N.A","",'WetLitterbags placem_collection'!G214)</f>
        <v>42813</v>
      </c>
      <c r="S507" s="195">
        <f>IF(IFERROR(INDEX('Both teabags AfterWet'!$C$3:$C$841,MATCH(H507,'Both teabags AfterWet'!$A$3:$A$841,0)),"")="N.A","",(IFERROR(INDEX('Both teabags AfterWet'!$C$3:$C$841,MATCH(H507,'Both teabags AfterWet'!$A$3:$A$841,0)),"")))</f>
        <v>1.4097999999999999</v>
      </c>
      <c r="T507" s="195">
        <f>IFERROR(INDEX('Both teabags AfterWet'!$C$3:$C$841,MATCH(I507,'Both teabags AfterWet'!$A$3:$A$841,0)),"")</f>
        <v>1.6712</v>
      </c>
      <c r="U507" s="195">
        <f t="shared" si="79"/>
        <v>1.2591999999999999</v>
      </c>
      <c r="V507" s="195">
        <f t="shared" si="79"/>
        <v>1.5206</v>
      </c>
      <c r="W507" s="195">
        <f>IFERROR(INDEX('Ashed teabags wet'!$K$2:$K$821,MATCH(H507,'Ashed teabags wet'!$A$2:$A$821,0)),"")</f>
        <v>39.082656473960213</v>
      </c>
      <c r="X507" s="195">
        <f>IFERROR(INDEX('Ashed teabags wet'!$K$2:$K$821,MATCH(I507,'Ashed teabags wet'!$A$2:$A$821,0)),"")</f>
        <v>7.2700296735904999</v>
      </c>
      <c r="Y507" s="195">
        <f t="shared" si="73"/>
        <v>0.76707118967989296</v>
      </c>
      <c r="Z507" s="195">
        <f t="shared" si="73"/>
        <v>1.4100519287833828</v>
      </c>
      <c r="AA507" s="195">
        <f t="shared" si="80"/>
        <v>0.56636983471065028</v>
      </c>
      <c r="AB507" s="195">
        <f t="shared" si="81"/>
        <v>0.37130183938275413</v>
      </c>
      <c r="AC507" s="195">
        <f t="shared" si="74"/>
        <v>0.72467647579402727</v>
      </c>
      <c r="AD507">
        <f t="shared" si="75"/>
        <v>44</v>
      </c>
      <c r="AE507" s="195">
        <f t="shared" si="82"/>
        <v>0.32735174024863389</v>
      </c>
      <c r="AF507" s="195">
        <f t="shared" si="83"/>
        <v>3.0747568924836554E-2</v>
      </c>
      <c r="AG507" s="255" t="str">
        <f>IF(ISNUMBER(SEARCH("C",'WetLitterbags placem_collection'!AD434)),"YES","NO")</f>
        <v>NO</v>
      </c>
      <c r="AH507" s="255" t="str">
        <f>IF(ISNUMBER(SEARCH("H", 'WetLitterbags placem_collection'!AF214)),"YES","NO")</f>
        <v>NO</v>
      </c>
      <c r="AI507" s="255" t="str">
        <f>IF(ISNUMBER(SEARCH("R", 'WetLitterbags placem_collection'!XF214)),"YES","NO")</f>
        <v>NO</v>
      </c>
      <c r="AJ507" s="255" t="str">
        <f>IF(ISNUMBER(SEARCH("C", 'WetLitterbags placem_collection'!WE214)),"YES","NO")</f>
        <v>NO</v>
      </c>
      <c r="AK507" s="255" t="str">
        <f>IF(ISNUMBER(SEARCH("H", 'WetLitterbags placem_collection'!AE214)),"YES","NO")</f>
        <v>NO</v>
      </c>
      <c r="AL507" s="255" t="str">
        <f>IF(ISNUMBER(SEARCH("R", 'WetLitterbags placem_collection'!AE214)),"YES","NO")</f>
        <v>NO</v>
      </c>
    </row>
    <row r="508" spans="2:38">
      <c r="B508" t="str">
        <f>'Final data_for_R_analysis_Wetse'!A654</f>
        <v>Wet</v>
      </c>
      <c r="C508" s="263">
        <f>'Final data_for_R_analysis_Wetse'!B654</f>
        <v>212</v>
      </c>
      <c r="D508" t="s">
        <v>2442</v>
      </c>
      <c r="E508" t="s">
        <v>25</v>
      </c>
      <c r="F508" s="387">
        <v>4</v>
      </c>
      <c r="G508" s="16">
        <f>'WetLitterbags placem_collection'!E215</f>
        <v>42769</v>
      </c>
      <c r="H508" s="92" t="str">
        <f>'Final data_for_R_analysis_Wetse'!J654</f>
        <v>G716</v>
      </c>
      <c r="I508" t="str">
        <f>'Final data_for_R_analysis_Wetse'!J874</f>
        <v>R111</v>
      </c>
      <c r="J508">
        <f>IFERROR(INDEX('Green_rooibos initial weight'!$C$5:$C$1749,MATCH(H508, 'Green_rooibos initial weight'!$A$5:$A$1749,0)),"")</f>
        <v>2.117</v>
      </c>
      <c r="K508">
        <f>IFERROR(INDEX('Green_rooibos initial weight'!$C$5:$C$1749,MATCH(I508, 'Green_rooibos initial weight'!$A$5:$A$1749,0)),"")</f>
        <v>2.3170000000000002</v>
      </c>
      <c r="L508" s="195">
        <f t="shared" si="76"/>
        <v>1.8672</v>
      </c>
      <c r="M508" s="195">
        <f>AVERAGE(Ashed_controlls!$K$2:$K$11)</f>
        <v>5.5147656768714146</v>
      </c>
      <c r="N508" s="195">
        <f t="shared" si="72"/>
        <v>1.764228295281457</v>
      </c>
      <c r="O508" s="195">
        <f t="shared" si="77"/>
        <v>2.0672000000000001</v>
      </c>
      <c r="P508" s="195">
        <f>AVERAGE(Ashed_controlls!$K$12:$K$14)</f>
        <v>2.2816647271287041</v>
      </c>
      <c r="Q508" s="195">
        <f t="shared" si="78"/>
        <v>2.0200334267607958</v>
      </c>
      <c r="R508" s="16">
        <f>IF('WetLitterbags placem_collection'!G215="N.A","",'WetLitterbags placem_collection'!G215)</f>
        <v>42813</v>
      </c>
      <c r="S508" s="195">
        <f>IF(IFERROR(INDEX('Both teabags AfterWet'!$C$3:$C$841,MATCH(H508,'Both teabags AfterWet'!$A$3:$A$841,0)),"")="N.A","",(IFERROR(INDEX('Both teabags AfterWet'!$C$3:$C$841,MATCH(H508,'Both teabags AfterWet'!$A$3:$A$841,0)),"")))</f>
        <v>0.83</v>
      </c>
      <c r="T508" s="195">
        <f>IFERROR(INDEX('Both teabags AfterWet'!$C$3:$C$841,MATCH(I508,'Both teabags AfterWet'!$A$3:$A$841,0)),"")</f>
        <v>1.587</v>
      </c>
      <c r="U508" s="195">
        <f t="shared" si="79"/>
        <v>0.6794</v>
      </c>
      <c r="V508" s="195">
        <f t="shared" si="79"/>
        <v>1.4363999999999999</v>
      </c>
      <c r="W508" s="195">
        <f>IFERROR(INDEX('Ashed teabags wet'!$K$2:$K$821,MATCH(H508,'Ashed teabags wet'!$A$2:$A$821,0)),"")</f>
        <v>8.2922013820333618</v>
      </c>
      <c r="X508" s="195">
        <f>IFERROR(INDEX('Ashed teabags wet'!$K$2:$K$821,MATCH(I508,'Ashed teabags wet'!$A$2:$A$821,0)),"")</f>
        <v>3.4013605442175416</v>
      </c>
      <c r="Y508" s="195">
        <f t="shared" si="73"/>
        <v>0.62306278381046531</v>
      </c>
      <c r="Z508" s="195">
        <f t="shared" si="73"/>
        <v>1.3875428571428592</v>
      </c>
      <c r="AA508" s="195">
        <f t="shared" si="80"/>
        <v>0.64683551132419359</v>
      </c>
      <c r="AB508" s="195">
        <f t="shared" si="81"/>
        <v>0.42405368438355689</v>
      </c>
      <c r="AC508" s="195">
        <f t="shared" si="74"/>
        <v>0.68689103792101081</v>
      </c>
      <c r="AD508">
        <f t="shared" si="75"/>
        <v>44</v>
      </c>
      <c r="AE508" s="195">
        <f t="shared" si="82"/>
        <v>0.23178680365297666</v>
      </c>
      <c r="AF508" s="195">
        <f t="shared" si="83"/>
        <v>3.0473363211701344E-2</v>
      </c>
      <c r="AG508" s="255" t="str">
        <f>IF(ISNUMBER(SEARCH("C",'WetLitterbags placem_collection'!AD435)),"YES","NO")</f>
        <v>NO</v>
      </c>
      <c r="AH508" s="255" t="str">
        <f>IF(ISNUMBER(SEARCH("H", 'WetLitterbags placem_collection'!AF215)),"YES","NO")</f>
        <v>NO</v>
      </c>
      <c r="AI508" s="255" t="str">
        <f>IF(ISNUMBER(SEARCH("R", 'WetLitterbags placem_collection'!XF215)),"YES","NO")</f>
        <v>NO</v>
      </c>
      <c r="AJ508" s="255" t="str">
        <f>IF(ISNUMBER(SEARCH("C", 'WetLitterbags placem_collection'!WE215)),"YES","NO")</f>
        <v>NO</v>
      </c>
      <c r="AK508" s="255" t="str">
        <f>IF(ISNUMBER(SEARCH("H", 'WetLitterbags placem_collection'!AE215)),"YES","NO")</f>
        <v>NO</v>
      </c>
      <c r="AL508" s="255" t="str">
        <f>IF(ISNUMBER(SEARCH("R", 'WetLitterbags placem_collection'!AE215)),"YES","NO")</f>
        <v>NO</v>
      </c>
    </row>
    <row r="509" spans="2:38">
      <c r="B509" t="str">
        <f>'Final data_for_R_analysis_Wetse'!A655</f>
        <v>Wet</v>
      </c>
      <c r="C509" s="263">
        <f>'Final data_for_R_analysis_Wetse'!B655</f>
        <v>213</v>
      </c>
      <c r="D509" t="s">
        <v>2450</v>
      </c>
      <c r="E509" t="s">
        <v>25</v>
      </c>
      <c r="F509" s="387">
        <v>1</v>
      </c>
      <c r="G509" s="16">
        <f>'WetLitterbags placem_collection'!E216</f>
        <v>42769</v>
      </c>
      <c r="H509" s="92" t="str">
        <f>'Final data_for_R_analysis_Wetse'!J655</f>
        <v>G581</v>
      </c>
      <c r="I509" t="str">
        <f>'Final data_for_R_analysis_Wetse'!J875</f>
        <v>R412</v>
      </c>
      <c r="J509">
        <f>IFERROR(INDEX('Green_rooibos initial weight'!$C$5:$C$1749,MATCH(H509, 'Green_rooibos initial weight'!$A$5:$A$1749,0)),"")</f>
        <v>2.0070000000000001</v>
      </c>
      <c r="K509">
        <f>IFERROR(INDEX('Green_rooibos initial weight'!$C$5:$C$1749,MATCH(I509, 'Green_rooibos initial weight'!$A$5:$A$1749,0)),"")</f>
        <v>2.2709999999999999</v>
      </c>
      <c r="L509" s="195">
        <f t="shared" si="76"/>
        <v>1.7572000000000001</v>
      </c>
      <c r="M509" s="195">
        <f>AVERAGE(Ashed_controlls!$K$2:$K$11)</f>
        <v>5.5147656768714146</v>
      </c>
      <c r="N509" s="195">
        <f t="shared" si="72"/>
        <v>1.6602945375260156</v>
      </c>
      <c r="O509" s="195">
        <f t="shared" si="77"/>
        <v>2.0211999999999999</v>
      </c>
      <c r="P509" s="195">
        <f>AVERAGE(Ashed_controlls!$K$12:$K$14)</f>
        <v>2.2816647271287041</v>
      </c>
      <c r="Q509" s="195">
        <f t="shared" si="78"/>
        <v>1.9750829925352744</v>
      </c>
      <c r="R509" s="16">
        <f>IF('WetLitterbags placem_collection'!G216="N.A","",'WetLitterbags placem_collection'!G216)</f>
        <v>42813</v>
      </c>
      <c r="S509" s="195">
        <f>IF(IFERROR(INDEX('Both teabags AfterWet'!$C$3:$C$841,MATCH(H509,'Both teabags AfterWet'!$A$3:$A$841,0)),"")="N.A","",(IFERROR(INDEX('Both teabags AfterWet'!$C$3:$C$841,MATCH(H509,'Both teabags AfterWet'!$A$3:$A$841,0)),"")))</f>
        <v>0.63400000000000001</v>
      </c>
      <c r="T509" s="195">
        <f>IFERROR(INDEX('Both teabags AfterWet'!$C$3:$C$841,MATCH(I509,'Both teabags AfterWet'!$A$3:$A$841,0)),"")</f>
        <v>1.4850000000000001</v>
      </c>
      <c r="U509" s="195">
        <f t="shared" si="79"/>
        <v>0.4834</v>
      </c>
      <c r="V509" s="195">
        <f t="shared" si="79"/>
        <v>1.3344</v>
      </c>
      <c r="W509" s="195">
        <f>IFERROR(INDEX('Ashed teabags wet'!$K$2:$K$821,MATCH(H509,'Ashed teabags wet'!$A$2:$A$821,0)),"")</f>
        <v>8.3576287657915547</v>
      </c>
      <c r="X509" s="195">
        <f>IFERROR(INDEX('Ashed teabags wet'!$K$2:$K$821,MATCH(I509,'Ashed teabags wet'!$A$2:$A$821,0)),"")</f>
        <v>5.5972013992993173</v>
      </c>
      <c r="Y509" s="195">
        <f t="shared" si="73"/>
        <v>0.44299922254616364</v>
      </c>
      <c r="Z509" s="195">
        <f t="shared" si="73"/>
        <v>1.2597109445277499</v>
      </c>
      <c r="AA509" s="195">
        <f t="shared" si="80"/>
        <v>0.73318034087718476</v>
      </c>
      <c r="AB509" s="195">
        <f t="shared" si="81"/>
        <v>0.4806597959194846</v>
      </c>
      <c r="AC509" s="195">
        <f t="shared" si="74"/>
        <v>0.63780152494288256</v>
      </c>
      <c r="AD509">
        <f t="shared" si="75"/>
        <v>44</v>
      </c>
      <c r="AE509" s="195">
        <f t="shared" si="82"/>
        <v>0.12923950014586127</v>
      </c>
      <c r="AF509" s="195">
        <f t="shared" si="83"/>
        <v>3.1831209859152804E-2</v>
      </c>
      <c r="AG509" s="255" t="str">
        <f>IF(ISNUMBER(SEARCH("C",'WetLitterbags placem_collection'!AD436)),"YES","NO")</f>
        <v>NO</v>
      </c>
      <c r="AH509" s="255" t="str">
        <f>IF(ISNUMBER(SEARCH("H", 'WetLitterbags placem_collection'!AF216)),"YES","NO")</f>
        <v>NO</v>
      </c>
      <c r="AI509" s="255" t="str">
        <f>IF(ISNUMBER(SEARCH("R", 'WetLitterbags placem_collection'!XF216)),"YES","NO")</f>
        <v>NO</v>
      </c>
      <c r="AJ509" s="255" t="str">
        <f>IF(ISNUMBER(SEARCH("C", 'WetLitterbags placem_collection'!WE216)),"YES","NO")</f>
        <v>NO</v>
      </c>
      <c r="AK509" s="255" t="str">
        <f>IF(ISNUMBER(SEARCH("H", 'WetLitterbags placem_collection'!AE216)),"YES","NO")</f>
        <v>NO</v>
      </c>
      <c r="AL509" s="255" t="str">
        <f>IF(ISNUMBER(SEARCH("R", 'WetLitterbags placem_collection'!AE216)),"YES","NO")</f>
        <v>NO</v>
      </c>
    </row>
    <row r="510" spans="2:38">
      <c r="B510" t="str">
        <f>'Final data_for_R_analysis_Wetse'!A656</f>
        <v>Wet</v>
      </c>
      <c r="C510" s="263">
        <f>'Final data_for_R_analysis_Wetse'!B656</f>
        <v>214</v>
      </c>
      <c r="D510" t="s">
        <v>2443</v>
      </c>
      <c r="E510" t="s">
        <v>25</v>
      </c>
      <c r="F510" s="387">
        <v>2</v>
      </c>
      <c r="G510" s="16">
        <f>'WetLitterbags placem_collection'!E217</f>
        <v>42769</v>
      </c>
      <c r="H510" s="92" t="str">
        <f>'Final data_for_R_analysis_Wetse'!J656</f>
        <v>G718</v>
      </c>
      <c r="I510" t="str">
        <f>'Final data_for_R_analysis_Wetse'!J876</f>
        <v>R434</v>
      </c>
      <c r="J510">
        <f>IFERROR(INDEX('Green_rooibos initial weight'!$C$5:$C$1749,MATCH(H510, 'Green_rooibos initial weight'!$A$5:$A$1749,0)),"")</f>
        <v>2.0369999999999999</v>
      </c>
      <c r="K510">
        <f>IFERROR(INDEX('Green_rooibos initial weight'!$C$5:$C$1749,MATCH(I510, 'Green_rooibos initial weight'!$A$5:$A$1749,0)),"")</f>
        <v>2.0840000000000001</v>
      </c>
      <c r="L510" s="195">
        <f t="shared" si="76"/>
        <v>1.7871999999999999</v>
      </c>
      <c r="M510" s="195">
        <f>AVERAGE(Ashed_controlls!$K$2:$K$11)</f>
        <v>5.5147656768714146</v>
      </c>
      <c r="N510" s="195">
        <f t="shared" si="72"/>
        <v>1.688640107822954</v>
      </c>
      <c r="O510" s="195">
        <f t="shared" si="77"/>
        <v>1.8342000000000001</v>
      </c>
      <c r="P510" s="195">
        <f>AVERAGE(Ashed_controlls!$K$12:$K$14)</f>
        <v>2.2816647271287041</v>
      </c>
      <c r="Q510" s="195">
        <f t="shared" si="78"/>
        <v>1.7923497055750053</v>
      </c>
      <c r="R510" s="16">
        <f>IF('WetLitterbags placem_collection'!G217="N.A","",'WetLitterbags placem_collection'!G217)</f>
        <v>42814</v>
      </c>
      <c r="S510" s="195">
        <f>IF(IFERROR(INDEX('Both teabags AfterWet'!$C$3:$C$841,MATCH(H510,'Both teabags AfterWet'!$A$3:$A$841,0)),"")="N.A","",(IFERROR(INDEX('Both teabags AfterWet'!$C$3:$C$841,MATCH(H510,'Both teabags AfterWet'!$A$3:$A$841,0)),"")))</f>
        <v>0.67769999999999997</v>
      </c>
      <c r="T510" s="195">
        <f>IFERROR(INDEX('Both teabags AfterWet'!$C$3:$C$841,MATCH(I510,'Both teabags AfterWet'!$A$3:$A$841,0)),"")</f>
        <v>1.5467</v>
      </c>
      <c r="U510" s="195">
        <f t="shared" si="79"/>
        <v>0.5270999999999999</v>
      </c>
      <c r="V510" s="195">
        <f t="shared" si="79"/>
        <v>1.3960999999999999</v>
      </c>
      <c r="W510" s="195">
        <f>IFERROR(INDEX('Ashed teabags wet'!$K$2:$K$821,MATCH(H510,'Ashed teabags wet'!$A$2:$A$821,0)),"")</f>
        <v>7.2942336126168659</v>
      </c>
      <c r="X510" s="195">
        <f>IFERROR(INDEX('Ashed teabags wet'!$K$2:$K$821,MATCH(I510,'Ashed teabags wet'!$A$2:$A$821,0)),"")</f>
        <v>2.1484374999999396</v>
      </c>
      <c r="Y510" s="195">
        <f t="shared" si="73"/>
        <v>0.48865209462789638</v>
      </c>
      <c r="Z510" s="195">
        <f t="shared" si="73"/>
        <v>1.3661056640625007</v>
      </c>
      <c r="AA510" s="195">
        <f t="shared" si="80"/>
        <v>0.71062389649273383</v>
      </c>
      <c r="AB510" s="195">
        <f t="shared" si="81"/>
        <v>0.46587219817575909</v>
      </c>
      <c r="AC510" s="195">
        <f t="shared" si="74"/>
        <v>0.76218701061143601</v>
      </c>
      <c r="AD510">
        <f t="shared" si="75"/>
        <v>45</v>
      </c>
      <c r="AE510" s="195">
        <f t="shared" si="82"/>
        <v>0.15602862649319016</v>
      </c>
      <c r="AF510" s="195">
        <f t="shared" si="83"/>
        <v>1.5873468017003702E-2</v>
      </c>
      <c r="AG510" s="255" t="str">
        <f>IF(ISNUMBER(SEARCH("C",'WetLitterbags placem_collection'!AD437)),"YES","NO")</f>
        <v>NO</v>
      </c>
      <c r="AH510" s="255" t="str">
        <f>IF(ISNUMBER(SEARCH("H", 'WetLitterbags placem_collection'!AF217)),"YES","NO")</f>
        <v>NO</v>
      </c>
      <c r="AI510" s="255" t="str">
        <f>IF(ISNUMBER(SEARCH("R", 'WetLitterbags placem_collection'!XF217)),"YES","NO")</f>
        <v>NO</v>
      </c>
      <c r="AJ510" s="255" t="str">
        <f>IF(ISNUMBER(SEARCH("C", 'WetLitterbags placem_collection'!WE217)),"YES","NO")</f>
        <v>NO</v>
      </c>
      <c r="AK510" s="255" t="str">
        <f>IF(ISNUMBER(SEARCH("H", 'WetLitterbags placem_collection'!AE217)),"YES","NO")</f>
        <v>NO</v>
      </c>
      <c r="AL510" s="255" t="str">
        <f>IF(ISNUMBER(SEARCH("R", 'WetLitterbags placem_collection'!AE217)),"YES","NO")</f>
        <v>NO</v>
      </c>
    </row>
    <row r="511" spans="2:38">
      <c r="B511" t="str">
        <f>'Final data_for_R_analysis_Wetse'!A657</f>
        <v>Wet</v>
      </c>
      <c r="C511" s="263">
        <f>'Final data_for_R_analysis_Wetse'!B657</f>
        <v>216</v>
      </c>
      <c r="D511" t="s">
        <v>2436</v>
      </c>
      <c r="E511" t="s">
        <v>25</v>
      </c>
      <c r="F511" s="387">
        <v>4</v>
      </c>
      <c r="G511" s="16">
        <f>'WetLitterbags placem_collection'!E218</f>
        <v>42769</v>
      </c>
      <c r="H511" s="92" t="str">
        <f>'Final data_for_R_analysis_Wetse'!J657</f>
        <v>G613</v>
      </c>
      <c r="I511" t="str">
        <f>'Final data_for_R_analysis_Wetse'!J877</f>
        <v>R457</v>
      </c>
      <c r="J511">
        <f>IFERROR(INDEX('Green_rooibos initial weight'!$C$5:$C$1749,MATCH(H511, 'Green_rooibos initial weight'!$A$5:$A$1749,0)),"")</f>
        <v>2.0339999999999998</v>
      </c>
      <c r="K511">
        <f>IFERROR(INDEX('Green_rooibos initial weight'!$C$5:$C$1749,MATCH(I511, 'Green_rooibos initial weight'!$A$5:$A$1749,0)),"")</f>
        <v>2.2410000000000001</v>
      </c>
      <c r="L511" s="195">
        <f t="shared" si="76"/>
        <v>1.7841999999999998</v>
      </c>
      <c r="M511" s="195">
        <f>AVERAGE(Ashed_controlls!$K$2:$K$11)</f>
        <v>5.5147656768714146</v>
      </c>
      <c r="N511" s="195">
        <f t="shared" si="72"/>
        <v>1.6858055507932601</v>
      </c>
      <c r="O511" s="195">
        <f t="shared" si="77"/>
        <v>1.9912000000000001</v>
      </c>
      <c r="P511" s="195">
        <f>AVERAGE(Ashed_controlls!$K$12:$K$14)</f>
        <v>2.2816647271287041</v>
      </c>
      <c r="Q511" s="195">
        <f t="shared" si="78"/>
        <v>1.9457674919534134</v>
      </c>
      <c r="R511" s="16">
        <f>IF('WetLitterbags placem_collection'!G218="N.A","",'WetLitterbags placem_collection'!G218)</f>
        <v>42814</v>
      </c>
      <c r="S511" s="195">
        <f>IF(IFERROR(INDEX('Both teabags AfterWet'!$C$3:$C$841,MATCH(H511,'Both teabags AfterWet'!$A$3:$A$841,0)),"")="N.A","",(IFERROR(INDEX('Both teabags AfterWet'!$C$3:$C$841,MATCH(H511,'Both teabags AfterWet'!$A$3:$A$841,0)),"")))</f>
        <v>0.82499999999999996</v>
      </c>
      <c r="T511" s="195">
        <f>IFERROR(INDEX('Both teabags AfterWet'!$C$3:$C$841,MATCH(I511,'Both teabags AfterWet'!$A$3:$A$841,0)),"")</f>
        <v>1.5940000000000001</v>
      </c>
      <c r="U511" s="195">
        <f t="shared" si="79"/>
        <v>0.67439999999999989</v>
      </c>
      <c r="V511" s="195">
        <f t="shared" si="79"/>
        <v>1.4434</v>
      </c>
      <c r="W511" s="195">
        <f>IFERROR(INDEX('Ashed teabags wet'!$K$2:$K$821,MATCH(H511,'Ashed teabags wet'!$A$2:$A$821,0)),"")</f>
        <v>7.3429951690818136</v>
      </c>
      <c r="X511" s="195">
        <f>IFERROR(INDEX('Ashed teabags wet'!$K$2:$K$821,MATCH(I511,'Ashed teabags wet'!$A$2:$A$821,0)),"")</f>
        <v>3.2951289398278099</v>
      </c>
      <c r="Y511" s="195">
        <f t="shared" si="73"/>
        <v>0.6248788405797121</v>
      </c>
      <c r="Z511" s="195">
        <f t="shared" si="73"/>
        <v>1.3958381088825254</v>
      </c>
      <c r="AA511" s="195">
        <f t="shared" si="80"/>
        <v>0.62932923059502688</v>
      </c>
      <c r="AB511" s="195">
        <f t="shared" si="81"/>
        <v>0.41257688276538584</v>
      </c>
      <c r="AC511" s="195">
        <f t="shared" si="74"/>
        <v>0.71737148177000443</v>
      </c>
      <c r="AD511">
        <f t="shared" si="75"/>
        <v>45</v>
      </c>
      <c r="AE511" s="195">
        <f t="shared" si="82"/>
        <v>0.25257811093227212</v>
      </c>
      <c r="AF511" s="195">
        <f t="shared" si="83"/>
        <v>2.5673008782187406E-2</v>
      </c>
      <c r="AG511" s="255" t="str">
        <f>IF(ISNUMBER(SEARCH("C",'WetLitterbags placem_collection'!AD438)),"YES","NO")</f>
        <v>NO</v>
      </c>
      <c r="AH511" s="255" t="str">
        <f>IF(ISNUMBER(SEARCH("H", 'WetLitterbags placem_collection'!AF218)),"YES","NO")</f>
        <v>NO</v>
      </c>
      <c r="AI511" s="255" t="str">
        <f>IF(ISNUMBER(SEARCH("R", 'WetLitterbags placem_collection'!XF218)),"YES","NO")</f>
        <v>NO</v>
      </c>
      <c r="AJ511" s="255" t="str">
        <f>IF(ISNUMBER(SEARCH("C", 'WetLitterbags placem_collection'!WE218)),"YES","NO")</f>
        <v>NO</v>
      </c>
      <c r="AK511" s="255" t="str">
        <f>IF(ISNUMBER(SEARCH("H", 'WetLitterbags placem_collection'!AE218)),"YES","NO")</f>
        <v>NO</v>
      </c>
      <c r="AL511" s="255" t="str">
        <f>IF(ISNUMBER(SEARCH("R", 'WetLitterbags placem_collection'!AE218)),"YES","NO")</f>
        <v>NO</v>
      </c>
    </row>
    <row r="512" spans="2:38">
      <c r="B512" t="str">
        <f>'Final data_for_R_analysis_Wetse'!A658</f>
        <v>Wet</v>
      </c>
      <c r="C512" s="263">
        <f>'Final data_for_R_analysis_Wetse'!B658</f>
        <v>217</v>
      </c>
      <c r="D512" t="s">
        <v>2429</v>
      </c>
      <c r="E512" t="s">
        <v>25</v>
      </c>
      <c r="F512" s="387">
        <v>1</v>
      </c>
      <c r="G512" s="16">
        <f>'WetLitterbags placem_collection'!E219</f>
        <v>42769</v>
      </c>
      <c r="H512" s="92" t="str">
        <f>'Final data_for_R_analysis_Wetse'!J658</f>
        <v>G804</v>
      </c>
      <c r="I512" t="str">
        <f>'Final data_for_R_analysis_Wetse'!J878</f>
        <v>R410</v>
      </c>
      <c r="J512">
        <f>IFERROR(INDEX('Green_rooibos initial weight'!$C$5:$C$1749,MATCH(H512, 'Green_rooibos initial weight'!$A$5:$A$1749,0)),"")</f>
        <v>2.028</v>
      </c>
      <c r="K512">
        <f>IFERROR(INDEX('Green_rooibos initial weight'!$C$5:$C$1749,MATCH(I512, 'Green_rooibos initial weight'!$A$5:$A$1749,0)),"")</f>
        <v>2.1930000000000001</v>
      </c>
      <c r="L512" s="195">
        <f t="shared" si="76"/>
        <v>1.7782</v>
      </c>
      <c r="M512" s="195">
        <f>AVERAGE(Ashed_controlls!$K$2:$K$11)</f>
        <v>5.5147656768714146</v>
      </c>
      <c r="N512" s="195">
        <f t="shared" si="72"/>
        <v>1.6801364367338725</v>
      </c>
      <c r="O512" s="195">
        <f t="shared" si="77"/>
        <v>1.9432</v>
      </c>
      <c r="P512" s="195">
        <f>AVERAGE(Ashed_controlls!$K$12:$K$14)</f>
        <v>2.2816647271287041</v>
      </c>
      <c r="Q512" s="195">
        <f t="shared" si="78"/>
        <v>1.8988626910224351</v>
      </c>
      <c r="R512" s="16">
        <f>IF('WetLitterbags placem_collection'!G219="N.A","",'WetLitterbags placem_collection'!G219)</f>
        <v>42814</v>
      </c>
      <c r="S512" s="195">
        <f>IF(IFERROR(INDEX('Both teabags AfterWet'!$C$3:$C$841,MATCH(H512,'Both teabags AfterWet'!$A$3:$A$841,0)),"")="N.A","",(IFERROR(INDEX('Both teabags AfterWet'!$C$3:$C$841,MATCH(H512,'Both teabags AfterWet'!$A$3:$A$841,0)),"")))</f>
        <v>0.66200000000000003</v>
      </c>
      <c r="T512" s="195">
        <f>IFERROR(INDEX('Both teabags AfterWet'!$C$3:$C$841,MATCH(I512,'Both teabags AfterWet'!$A$3:$A$841,0)),"")</f>
        <v>1.488</v>
      </c>
      <c r="U512" s="195">
        <f t="shared" si="79"/>
        <v>0.51140000000000008</v>
      </c>
      <c r="V512" s="195">
        <f t="shared" si="79"/>
        <v>1.3373999999999999</v>
      </c>
      <c r="W512" s="195">
        <f>IFERROR(INDEX('Ashed teabags wet'!$K$2:$K$821,MATCH(H512,'Ashed teabags wet'!$A$2:$A$821,0)),"")</f>
        <v>8.5770946950907749</v>
      </c>
      <c r="X512" s="195">
        <f>IFERROR(INDEX('Ashed teabags wet'!$K$2:$K$821,MATCH(I512,'Ashed teabags wet'!$A$2:$A$821,0)),"")</f>
        <v>4.277286135692731</v>
      </c>
      <c r="Y512" s="195">
        <f t="shared" si="73"/>
        <v>0.46753673772930582</v>
      </c>
      <c r="Z512" s="195">
        <f t="shared" si="73"/>
        <v>1.2801955752212453</v>
      </c>
      <c r="AA512" s="195">
        <f t="shared" si="80"/>
        <v>0.72172692198844213</v>
      </c>
      <c r="AB512" s="195">
        <f t="shared" si="81"/>
        <v>0.47315114125608093</v>
      </c>
      <c r="AC512" s="195">
        <f t="shared" si="74"/>
        <v>0.67419070440102702</v>
      </c>
      <c r="AD512">
        <f t="shared" si="75"/>
        <v>45</v>
      </c>
      <c r="AE512" s="195">
        <f t="shared" si="82"/>
        <v>0.14284213540565061</v>
      </c>
      <c r="AF512" s="195">
        <f t="shared" si="83"/>
        <v>2.5925766828802793E-2</v>
      </c>
      <c r="AG512" s="255" t="str">
        <f>IF(ISNUMBER(SEARCH("C",'WetLitterbags placem_collection'!AD439)),"YES","NO")</f>
        <v>NO</v>
      </c>
      <c r="AH512" s="255" t="str">
        <f>IF(ISNUMBER(SEARCH("H", 'WetLitterbags placem_collection'!AF219)),"YES","NO")</f>
        <v>NO</v>
      </c>
      <c r="AI512" s="255" t="str">
        <f>IF(ISNUMBER(SEARCH("R", 'WetLitterbags placem_collection'!XF219)),"YES","NO")</f>
        <v>NO</v>
      </c>
      <c r="AJ512" s="255" t="str">
        <f>IF(ISNUMBER(SEARCH("C", 'WetLitterbags placem_collection'!WE219)),"YES","NO")</f>
        <v>NO</v>
      </c>
      <c r="AK512" s="255" t="str">
        <f>IF(ISNUMBER(SEARCH("H", 'WetLitterbags placem_collection'!AE219)),"YES","NO")</f>
        <v>NO</v>
      </c>
      <c r="AL512" s="255" t="str">
        <f>IF(ISNUMBER(SEARCH("R", 'WetLitterbags placem_collection'!AE219)),"YES","NO")</f>
        <v>NO</v>
      </c>
    </row>
    <row r="513" spans="2:38">
      <c r="B513" t="str">
        <f>'Final data_for_R_analysis_Wetse'!A659</f>
        <v>Wet</v>
      </c>
      <c r="C513" s="263">
        <f>'Final data_for_R_analysis_Wetse'!B659</f>
        <v>218</v>
      </c>
      <c r="D513" t="s">
        <v>2437</v>
      </c>
      <c r="E513" t="s">
        <v>25</v>
      </c>
      <c r="F513" s="387">
        <v>2</v>
      </c>
      <c r="G513" s="16">
        <f>'WetLitterbags placem_collection'!E220</f>
        <v>42769</v>
      </c>
      <c r="H513" s="92" t="str">
        <f>'Final data_for_R_analysis_Wetse'!J659</f>
        <v>G587</v>
      </c>
      <c r="I513" t="str">
        <f>'Final data_for_R_analysis_Wetse'!J879</f>
        <v>R103</v>
      </c>
      <c r="J513">
        <f>IFERROR(INDEX('Green_rooibos initial weight'!$C$5:$C$1749,MATCH(H513, 'Green_rooibos initial weight'!$A$5:$A$1749,0)),"")</f>
        <v>2.0640000000000001</v>
      </c>
      <c r="K513">
        <f>IFERROR(INDEX('Green_rooibos initial weight'!$C$5:$C$1749,MATCH(I513, 'Green_rooibos initial weight'!$A$5:$A$1749,0)),"")</f>
        <v>2.246</v>
      </c>
      <c r="L513" s="195">
        <f t="shared" si="76"/>
        <v>1.8142</v>
      </c>
      <c r="M513" s="195">
        <f>AVERAGE(Ashed_controlls!$K$2:$K$11)</f>
        <v>5.5147656768714146</v>
      </c>
      <c r="N513" s="195">
        <f t="shared" si="72"/>
        <v>1.7141511210901987</v>
      </c>
      <c r="O513" s="195">
        <f t="shared" si="77"/>
        <v>1.9962</v>
      </c>
      <c r="P513" s="195">
        <f>AVERAGE(Ashed_controlls!$K$12:$K$14)</f>
        <v>2.2816647271287041</v>
      </c>
      <c r="Q513" s="195">
        <f t="shared" si="78"/>
        <v>1.9506534087170568</v>
      </c>
      <c r="R513" s="16">
        <f>IF('WetLitterbags placem_collection'!G220="N.A","",'WetLitterbags placem_collection'!G220)</f>
        <v>42814</v>
      </c>
      <c r="S513" s="195">
        <f>IF(IFERROR(INDEX('Both teabags AfterWet'!$C$3:$C$841,MATCH(H513,'Both teabags AfterWet'!$A$3:$A$841,0)),"")="N.A","",(IFERROR(INDEX('Both teabags AfterWet'!$C$3:$C$841,MATCH(H513,'Both teabags AfterWet'!$A$3:$A$841,0)),"")))</f>
        <v>0.7167</v>
      </c>
      <c r="T513" s="195">
        <f>IFERROR(INDEX('Both teabags AfterWet'!$C$3:$C$841,MATCH(I513,'Both teabags AfterWet'!$A$3:$A$841,0)),"")</f>
        <v>1.4296</v>
      </c>
      <c r="U513" s="195">
        <f t="shared" si="79"/>
        <v>0.56610000000000005</v>
      </c>
      <c r="V513" s="195">
        <f t="shared" si="79"/>
        <v>1.2789999999999999</v>
      </c>
      <c r="W513" s="195">
        <f>IFERROR(INDEX('Ashed teabags wet'!$K$2:$K$821,MATCH(H513,'Ashed teabags wet'!$A$2:$A$821,0)),"")</f>
        <v>13.067061143984493</v>
      </c>
      <c r="X513" s="195">
        <f>IFERROR(INDEX('Ashed teabags wet'!$K$2:$K$821,MATCH(I513,'Ashed teabags wet'!$A$2:$A$821,0)),"")</f>
        <v>5.6706114398422001</v>
      </c>
      <c r="Y513" s="195">
        <f t="shared" si="73"/>
        <v>0.49212736686390379</v>
      </c>
      <c r="Z513" s="195">
        <f t="shared" si="73"/>
        <v>1.2064728796844182</v>
      </c>
      <c r="AA513" s="195">
        <f t="shared" si="80"/>
        <v>0.71290316191555436</v>
      </c>
      <c r="AB513" s="195">
        <f t="shared" si="81"/>
        <v>0.46736644344107608</v>
      </c>
      <c r="AC513" s="195">
        <f t="shared" si="74"/>
        <v>0.61849679409624825</v>
      </c>
      <c r="AD513">
        <f t="shared" si="75"/>
        <v>45</v>
      </c>
      <c r="AE513" s="195">
        <f t="shared" si="82"/>
        <v>0.15332166043283324</v>
      </c>
      <c r="AF513" s="195">
        <f t="shared" si="83"/>
        <v>3.7652396804058443E-2</v>
      </c>
      <c r="AG513" s="255" t="str">
        <f>IF(ISNUMBER(SEARCH("C",'WetLitterbags placem_collection'!AD440)),"YES","NO")</f>
        <v>NO</v>
      </c>
      <c r="AH513" s="255" t="str">
        <f>IF(ISNUMBER(SEARCH("H", 'WetLitterbags placem_collection'!AF220)),"YES","NO")</f>
        <v>NO</v>
      </c>
      <c r="AI513" s="255" t="str">
        <f>IF(ISNUMBER(SEARCH("R", 'WetLitterbags placem_collection'!XF220)),"YES","NO")</f>
        <v>NO</v>
      </c>
      <c r="AJ513" s="255" t="str">
        <f>IF(ISNUMBER(SEARCH("C", 'WetLitterbags placem_collection'!WE220)),"YES","NO")</f>
        <v>NO</v>
      </c>
      <c r="AK513" s="255" t="str">
        <f>IF(ISNUMBER(SEARCH("H", 'WetLitterbags placem_collection'!AE220)),"YES","NO")</f>
        <v>NO</v>
      </c>
      <c r="AL513" s="255" t="str">
        <f>IF(ISNUMBER(SEARCH("R", 'WetLitterbags placem_collection'!AE220)),"YES","NO")</f>
        <v>NO</v>
      </c>
    </row>
    <row r="514" spans="2:38">
      <c r="B514" t="str">
        <f>'Final data_for_R_analysis_Wetse'!A660</f>
        <v>Wet</v>
      </c>
      <c r="C514" s="263">
        <f>'Final data_for_R_analysis_Wetse'!B660</f>
        <v>219</v>
      </c>
      <c r="D514" t="s">
        <v>2444</v>
      </c>
      <c r="E514" t="s">
        <v>25</v>
      </c>
      <c r="F514" s="387">
        <v>3</v>
      </c>
      <c r="G514" s="16">
        <f>'WetLitterbags placem_collection'!E221</f>
        <v>42769</v>
      </c>
      <c r="H514" s="92" t="str">
        <f>'Final data_for_R_analysis_Wetse'!J660</f>
        <v>G491</v>
      </c>
      <c r="I514" t="str">
        <f>'Final data_for_R_analysis_Wetse'!J880</f>
        <v>R356</v>
      </c>
      <c r="J514">
        <f>IFERROR(INDEX('Green_rooibos initial weight'!$C$5:$C$1749,MATCH(H514, 'Green_rooibos initial weight'!$A$5:$A$1749,0)),"")</f>
        <v>2.0249999999999999</v>
      </c>
      <c r="K514">
        <f>IFERROR(INDEX('Green_rooibos initial weight'!$C$5:$C$1749,MATCH(I514, 'Green_rooibos initial weight'!$A$5:$A$1749,0)),"")</f>
        <v>2.1619999999999999</v>
      </c>
      <c r="L514" s="195">
        <f t="shared" si="76"/>
        <v>1.7751999999999999</v>
      </c>
      <c r="M514" s="195">
        <f>AVERAGE(Ashed_controlls!$K$2:$K$11)</f>
        <v>5.5147656768714146</v>
      </c>
      <c r="N514" s="195">
        <f t="shared" si="72"/>
        <v>1.6773018797041785</v>
      </c>
      <c r="O514" s="195">
        <f t="shared" si="77"/>
        <v>1.9121999999999999</v>
      </c>
      <c r="P514" s="195">
        <f>AVERAGE(Ashed_controlls!$K$12:$K$14)</f>
        <v>2.2816647271287041</v>
      </c>
      <c r="Q514" s="195">
        <f t="shared" si="78"/>
        <v>1.8685700070878448</v>
      </c>
      <c r="R514" s="16">
        <f>IF('WetLitterbags placem_collection'!G221="N.A","",'WetLitterbags placem_collection'!G221)</f>
        <v>42813</v>
      </c>
      <c r="S514" s="195">
        <f>IF(IFERROR(INDEX('Both teabags AfterWet'!$C$3:$C$841,MATCH(H514,'Both teabags AfterWet'!$A$3:$A$841,0)),"")="N.A","",(IFERROR(INDEX('Both teabags AfterWet'!$C$3:$C$841,MATCH(H514,'Both teabags AfterWet'!$A$3:$A$841,0)),"")))</f>
        <v>0.65569999999999995</v>
      </c>
      <c r="T514" s="195">
        <f>IFERROR(INDEX('Both teabags AfterWet'!$C$3:$C$841,MATCH(I514,'Both teabags AfterWet'!$A$3:$A$841,0)),"")</f>
        <v>1.4823</v>
      </c>
      <c r="U514" s="195">
        <f t="shared" si="79"/>
        <v>0.50509999999999988</v>
      </c>
      <c r="V514" s="195">
        <f t="shared" si="79"/>
        <v>1.3316999999999999</v>
      </c>
      <c r="W514" s="195">
        <f>IFERROR(INDEX('Ashed teabags wet'!$K$2:$K$821,MATCH(H514,'Ashed teabags wet'!$A$2:$A$821,0)),"")</f>
        <v>11.643835616438309</v>
      </c>
      <c r="X514" s="195">
        <f>IFERROR(INDEX('Ashed teabags wet'!$K$2:$K$821,MATCH(I514,'Ashed teabags wet'!$A$2:$A$821,0)),"")</f>
        <v>7.426928605653603</v>
      </c>
      <c r="Y514" s="195">
        <f t="shared" si="73"/>
        <v>0.44628698630136998</v>
      </c>
      <c r="Z514" s="195">
        <f t="shared" si="73"/>
        <v>1.2327955917585109</v>
      </c>
      <c r="AA514" s="195">
        <f t="shared" si="80"/>
        <v>0.73392566257656577</v>
      </c>
      <c r="AB514" s="195">
        <f t="shared" si="81"/>
        <v>0.48114841537086028</v>
      </c>
      <c r="AC514" s="195">
        <f t="shared" si="74"/>
        <v>0.65975349442743947</v>
      </c>
      <c r="AD514">
        <f t="shared" si="75"/>
        <v>44</v>
      </c>
      <c r="AE514" s="195">
        <f t="shared" si="82"/>
        <v>0.12835431998032565</v>
      </c>
      <c r="AF514" s="195">
        <f t="shared" si="83"/>
        <v>2.7911631938232505E-2</v>
      </c>
      <c r="AG514" s="255" t="str">
        <f>IF(ISNUMBER(SEARCH("C",'WetLitterbags placem_collection'!AD441)),"YES","NO")</f>
        <v>NO</v>
      </c>
      <c r="AH514" s="255" t="str">
        <f>IF(ISNUMBER(SEARCH("H", 'WetLitterbags placem_collection'!AF221)),"YES","NO")</f>
        <v>NO</v>
      </c>
      <c r="AI514" s="255" t="str">
        <f>IF(ISNUMBER(SEARCH("R", 'WetLitterbags placem_collection'!XF221)),"YES","NO")</f>
        <v>NO</v>
      </c>
      <c r="AJ514" s="255" t="str">
        <f>IF(ISNUMBER(SEARCH("C", 'WetLitterbags placem_collection'!WE221)),"YES","NO")</f>
        <v>NO</v>
      </c>
      <c r="AK514" s="255" t="str">
        <f>IF(ISNUMBER(SEARCH("H", 'WetLitterbags placem_collection'!AE221)),"YES","NO")</f>
        <v>NO</v>
      </c>
      <c r="AL514" s="255" t="str">
        <f>IF(ISNUMBER(SEARCH("R", 'WetLitterbags placem_collection'!AE221)),"YES","NO")</f>
        <v>NO</v>
      </c>
    </row>
    <row r="515" spans="2:38">
      <c r="B515" t="str">
        <f>'Final data_for_R_analysis_Wetse'!A661</f>
        <v>Wet</v>
      </c>
      <c r="C515" s="386">
        <f>'Final data_for_R_analysis_Wetse'!B661</f>
        <v>220</v>
      </c>
      <c r="D515" t="s">
        <v>2451</v>
      </c>
      <c r="E515" t="s">
        <v>25</v>
      </c>
      <c r="F515" s="387">
        <v>4</v>
      </c>
      <c r="G515" s="388">
        <f>'WetLitterbags placem_collection'!E222</f>
        <v>42769</v>
      </c>
      <c r="H515" s="92" t="str">
        <f>'Final data_for_R_analysis_Wetse'!J661</f>
        <v>G849</v>
      </c>
      <c r="I515" s="92" t="str">
        <f>'Final data_for_R_analysis_Wetse'!J881</f>
        <v>R319</v>
      </c>
      <c r="J515" s="92">
        <f>IFERROR(INDEX('Green_rooibos initial weight'!$C$5:$C$1749,MATCH(H515, 'Green_rooibos initial weight'!$A$5:$A$1749,0)),"")</f>
        <v>2.1070000000000002</v>
      </c>
      <c r="K515" s="92">
        <f>IFERROR(INDEX('Green_rooibos initial weight'!$C$5:$C$1749,MATCH(I515, 'Green_rooibos initial weight'!$A$5:$A$1749,0)),"")</f>
        <v>2.1709999999999998</v>
      </c>
      <c r="L515" s="195">
        <f t="shared" si="76"/>
        <v>1.8572000000000002</v>
      </c>
      <c r="M515" s="195">
        <f>AVERAGE(Ashed_controlls!$K$2:$K$11)</f>
        <v>5.5147656768714146</v>
      </c>
      <c r="N515" s="389">
        <f t="shared" si="72"/>
        <v>1.7547797718491442</v>
      </c>
      <c r="O515" s="195">
        <f t="shared" si="77"/>
        <v>1.9211999999999998</v>
      </c>
      <c r="P515" s="195">
        <f>AVERAGE(Ashed_controlls!$K$12:$K$14)</f>
        <v>2.2816647271287041</v>
      </c>
      <c r="Q515" s="195">
        <f t="shared" si="78"/>
        <v>1.8773646572624032</v>
      </c>
      <c r="R515" s="388">
        <f>IF('WetLitterbags placem_collection'!G222="N.A","",'WetLitterbags placem_collection'!G222)</f>
        <v>42813</v>
      </c>
      <c r="S515" s="389">
        <f>IF(IFERROR(INDEX('Both teabags AfterWet'!$C$3:$C$841,MATCH(H515,'Both teabags AfterWet'!$A$3:$A$841,0)),"")="N.A","",(IFERROR(INDEX('Both teabags AfterWet'!$C$3:$C$841,MATCH(H515,'Both teabags AfterWet'!$A$3:$A$841,0)),"")))</f>
        <v>0.65239999999999998</v>
      </c>
      <c r="T515" s="195">
        <f>IFERROR(INDEX('Both teabags AfterWet'!$C$3:$C$841,MATCH(I515,'Both teabags AfterWet'!$A$3:$A$841,0)),"")</f>
        <v>1.5328999999999999</v>
      </c>
      <c r="U515" s="195">
        <f t="shared" si="79"/>
        <v>0.50180000000000002</v>
      </c>
      <c r="V515" s="195">
        <f t="shared" si="79"/>
        <v>1.3822999999999999</v>
      </c>
      <c r="W515" s="195">
        <f>IFERROR(INDEX('Ashed teabags wet'!$K$2:$K$821,MATCH(H515,'Ashed teabags wet'!$A$2:$A$821,0)),"")</f>
        <v>11.566979733070331</v>
      </c>
      <c r="X515" s="195">
        <f>IFERROR(INDEX('Ashed teabags wet'!$K$2:$K$821,MATCH(I515,'Ashed teabags wet'!$A$2:$A$821,0)),"")</f>
        <v>5.0223769269016794</v>
      </c>
      <c r="Y515" s="389">
        <f t="shared" si="73"/>
        <v>0.44375689569945309</v>
      </c>
      <c r="Z515" s="389">
        <f t="shared" si="73"/>
        <v>1.312875683739438</v>
      </c>
      <c r="AA515" s="195">
        <f t="shared" si="80"/>
        <v>0.74711533446055578</v>
      </c>
      <c r="AB515" s="195">
        <f t="shared" si="81"/>
        <v>0.4897953261546637</v>
      </c>
      <c r="AC515" s="195">
        <f t="shared" si="74"/>
        <v>0.69931841885949309</v>
      </c>
      <c r="AD515" s="92">
        <f t="shared" si="75"/>
        <v>44</v>
      </c>
      <c r="AE515" s="195">
        <f t="shared" si="82"/>
        <v>0.11268962653140646</v>
      </c>
      <c r="AF515" s="195">
        <f t="shared" si="83"/>
        <v>2.1628157786608673E-2</v>
      </c>
      <c r="AG515" s="255" t="str">
        <f>IF(ISNUMBER(SEARCH("C",'WetLitterbags placem_collection'!AD442)),"YES","NO")</f>
        <v>NO</v>
      </c>
      <c r="AH515" s="255" t="str">
        <f>IF(ISNUMBER(SEARCH("H", 'WetLitterbags placem_collection'!AF222)),"YES","NO")</f>
        <v>NO</v>
      </c>
      <c r="AI515" s="255" t="str">
        <f>IF(ISNUMBER(SEARCH("R", 'WetLitterbags placem_collection'!XF222)),"YES","NO")</f>
        <v>NO</v>
      </c>
      <c r="AJ515" s="255" t="str">
        <f>IF(ISNUMBER(SEARCH("C", 'WetLitterbags placem_collection'!WE222)),"YES","NO")</f>
        <v>NO</v>
      </c>
      <c r="AK515" s="255" t="str">
        <f>IF(ISNUMBER(SEARCH("H", 'WetLitterbags placem_collection'!AE222)),"YES","NO")</f>
        <v>NO</v>
      </c>
      <c r="AL515" s="255" t="str">
        <f>IF(ISNUMBER(SEARCH("R", 'WetLitterbags placem_collection'!AE222)),"YES","NO")</f>
        <v>NO</v>
      </c>
    </row>
  </sheetData>
  <mergeCells count="51">
    <mergeCell ref="D73:H74"/>
    <mergeCell ref="AG74:AL74"/>
    <mergeCell ref="L61:M61"/>
    <mergeCell ref="L62:M62"/>
    <mergeCell ref="B68:E68"/>
    <mergeCell ref="B69:E69"/>
    <mergeCell ref="B70:E70"/>
    <mergeCell ref="F70:N70"/>
    <mergeCell ref="L60:M60"/>
    <mergeCell ref="L49:M49"/>
    <mergeCell ref="L50:M50"/>
    <mergeCell ref="L51:M51"/>
    <mergeCell ref="L52:M52"/>
    <mergeCell ref="L53:M53"/>
    <mergeCell ref="L54:M54"/>
    <mergeCell ref="L55:M55"/>
    <mergeCell ref="L56:M56"/>
    <mergeCell ref="L57:M57"/>
    <mergeCell ref="L58:M58"/>
    <mergeCell ref="L59:M59"/>
    <mergeCell ref="L48:M48"/>
    <mergeCell ref="K37:R37"/>
    <mergeCell ref="B38:D38"/>
    <mergeCell ref="O38:P38"/>
    <mergeCell ref="L40:M40"/>
    <mergeCell ref="L41:M41"/>
    <mergeCell ref="L42:M42"/>
    <mergeCell ref="B37:D37"/>
    <mergeCell ref="E37:F37"/>
    <mergeCell ref="L43:M43"/>
    <mergeCell ref="L44:M44"/>
    <mergeCell ref="L45:M45"/>
    <mergeCell ref="L46:M46"/>
    <mergeCell ref="L47:M47"/>
    <mergeCell ref="B28:E28"/>
    <mergeCell ref="B29:E29"/>
    <mergeCell ref="B30:E30"/>
    <mergeCell ref="B31:E31"/>
    <mergeCell ref="B32:E32"/>
    <mergeCell ref="B27:E27"/>
    <mergeCell ref="B12:E12"/>
    <mergeCell ref="B13:E13"/>
    <mergeCell ref="B14:E14"/>
    <mergeCell ref="B15:E15"/>
    <mergeCell ref="B16:E16"/>
    <mergeCell ref="B17:E17"/>
    <mergeCell ref="B18:E18"/>
    <mergeCell ref="B19:E19"/>
    <mergeCell ref="B20:E20"/>
    <mergeCell ref="B25:E25"/>
    <mergeCell ref="B26:E26"/>
  </mergeCells>
  <dataValidations disablePrompts="1" count="7">
    <dataValidation type="list" allowBlank="1" showInputMessage="1" showErrorMessage="1" sqref="K39:K63" xr:uid="{04C5D0C6-709A-49E8-B20D-AC94C23166B8}">
      <formula1>shading</formula1>
    </dataValidation>
    <dataValidation type="list" allowBlank="1" showInputMessage="1" showErrorMessage="1" sqref="L39:L63" xr:uid="{5DF79329-208C-4196-A5F4-BF59BC9FF46C}">
      <formula1>human_impact</formula1>
    </dataValidation>
    <dataValidation type="list" allowBlank="1" showInputMessage="1" showErrorMessage="1" sqref="O39:O63" xr:uid="{D0175685-8AEB-4829-A93E-D356BE612469}">
      <formula1>ecosystem</formula1>
    </dataValidation>
    <dataValidation type="list" allowBlank="1" showInputMessage="1" showErrorMessage="1" sqref="Q39:Q63" xr:uid="{09078CAA-42CD-4008-B0C5-5ECD86F8EA19}">
      <formula1>soildepth</formula1>
    </dataValidation>
    <dataValidation type="list" allowBlank="1" showInputMessage="1" showErrorMessage="1" sqref="R39:R63" xr:uid="{1ADEE0BA-1072-4526-8C7B-793FB5C0A003}">
      <formula1>rootingdepth</formula1>
    </dataValidation>
    <dataValidation type="list" allowBlank="1" showInputMessage="1" showErrorMessage="1" sqref="S39:S63" xr:uid="{974CFC6B-6793-4F34-A518-F04030A49BFF}">
      <formula1>slope</formula1>
    </dataValidation>
    <dataValidation type="list" allowBlank="1" showInputMessage="1" showErrorMessage="1" sqref="T39:T63" xr:uid="{DCF87E29-AB75-4765-B599-6170D4062CEC}">
      <formula1>aspect</formula1>
    </dataValidation>
  </dataValidations>
  <hyperlinks>
    <hyperlink ref="F16" r:id="rId1" xr:uid="{2FB7E28B-B08B-4E1B-92F5-0030177ADF2B}"/>
    <hyperlink ref="F15" r:id="rId2" xr:uid="{F2DCFF01-AC74-450C-A436-31E9E7429496}"/>
  </hyperlinks>
  <pageMargins left="0.7" right="0.7" top="0.75" bottom="0.75" header="0.3" footer="0.3"/>
  <pageSetup paperSize="9" orientation="portrait" r:id="rId3"/>
  <legacyDrawing r:id="rId4"/>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7357B-B6AB-4A32-B166-14D4708ADDA1}">
  <dimension ref="A1:AO515"/>
  <sheetViews>
    <sheetView topLeftCell="B364" zoomScale="70" zoomScaleNormal="70" workbookViewId="0">
      <selection activeCell="I384" sqref="I384"/>
    </sheetView>
  </sheetViews>
  <sheetFormatPr baseColWidth="10" defaultRowHeight="14.4"/>
  <cols>
    <col min="3" max="3" width="9.6640625" customWidth="1"/>
    <col min="4" max="4" width="23" customWidth="1"/>
    <col min="5" max="5" width="22.21875" customWidth="1"/>
    <col min="6" max="6" width="20.33203125" customWidth="1"/>
    <col min="7" max="7" width="18.33203125" customWidth="1"/>
    <col min="8" max="8" width="18.77734375" customWidth="1"/>
    <col min="9" max="9" width="13.77734375" customWidth="1"/>
    <col min="11" max="11" width="25.44140625" customWidth="1"/>
    <col min="14" max="14" width="25.77734375" customWidth="1"/>
    <col min="15" max="15" width="15.44140625" customWidth="1"/>
    <col min="16" max="16" width="27.33203125" customWidth="1"/>
    <col min="17" max="17" width="17.21875" customWidth="1"/>
    <col min="18" max="18" width="15.21875" customWidth="1"/>
  </cols>
  <sheetData>
    <row r="1" spans="2:13" s="289" customFormat="1">
      <c r="B1" s="289" t="s">
        <v>3793</v>
      </c>
      <c r="D1" s="289" t="s">
        <v>3794</v>
      </c>
      <c r="E1" s="290"/>
      <c r="K1" s="290"/>
      <c r="L1" s="291"/>
      <c r="M1" s="291"/>
    </row>
    <row r="2" spans="2:13" s="289" customFormat="1">
      <c r="B2" s="292" t="s">
        <v>3795</v>
      </c>
      <c r="E2" s="290"/>
      <c r="K2" s="290"/>
      <c r="L2" s="291"/>
      <c r="M2" s="291"/>
    </row>
    <row r="3" spans="2:13" s="294" customFormat="1" ht="30" customHeight="1">
      <c r="B3" s="293" t="s">
        <v>3796</v>
      </c>
      <c r="E3" s="295"/>
      <c r="K3" s="295"/>
      <c r="L3" s="296"/>
      <c r="M3" s="296"/>
    </row>
    <row r="4" spans="2:13" s="298" customFormat="1">
      <c r="B4" s="297" t="s">
        <v>3797</v>
      </c>
      <c r="E4" s="299"/>
      <c r="K4" s="299"/>
      <c r="L4" s="300"/>
      <c r="M4" s="300"/>
    </row>
    <row r="5" spans="2:13" s="298" customFormat="1">
      <c r="B5" s="298" t="s">
        <v>3798</v>
      </c>
      <c r="E5" s="299"/>
      <c r="K5" s="299"/>
      <c r="L5" s="300"/>
      <c r="M5" s="300"/>
    </row>
    <row r="6" spans="2:13" s="297" customFormat="1">
      <c r="B6" s="297" t="s">
        <v>3799</v>
      </c>
      <c r="E6" s="301"/>
      <c r="K6" s="301"/>
      <c r="L6" s="302"/>
      <c r="M6" s="302"/>
    </row>
    <row r="7" spans="2:13" s="289" customFormat="1">
      <c r="B7" s="303" t="s">
        <v>3800</v>
      </c>
      <c r="C7" s="304"/>
      <c r="D7" s="304"/>
      <c r="E7" s="305"/>
      <c r="G7" s="304"/>
      <c r="K7" s="290"/>
      <c r="L7" s="291"/>
      <c r="M7" s="291"/>
    </row>
    <row r="8" spans="2:13" s="289" customFormat="1">
      <c r="B8" s="304"/>
      <c r="C8" s="304"/>
      <c r="D8" s="304"/>
      <c r="E8" s="305"/>
      <c r="G8" s="304"/>
      <c r="K8" s="290"/>
      <c r="L8" s="291"/>
      <c r="M8" s="291"/>
    </row>
    <row r="9" spans="2:13" s="289" customFormat="1">
      <c r="B9" s="304"/>
      <c r="C9" s="304"/>
      <c r="D9" s="304"/>
      <c r="E9" s="305"/>
      <c r="G9" s="304"/>
      <c r="K9" s="290"/>
      <c r="L9" s="291"/>
      <c r="M9" s="291"/>
    </row>
    <row r="10" spans="2:13" s="304" customFormat="1">
      <c r="B10" s="306" t="s">
        <v>3801</v>
      </c>
      <c r="C10" s="306"/>
      <c r="E10" s="305"/>
      <c r="K10" s="305"/>
      <c r="L10" s="307"/>
      <c r="M10" s="307"/>
    </row>
    <row r="11" spans="2:13" s="304" customFormat="1" ht="15" thickBot="1">
      <c r="B11" s="306" t="s">
        <v>3802</v>
      </c>
      <c r="C11" s="306"/>
      <c r="E11" s="305"/>
      <c r="F11" s="304" t="s">
        <v>3803</v>
      </c>
      <c r="K11" s="305"/>
      <c r="L11" s="307"/>
      <c r="M11" s="307"/>
    </row>
    <row r="12" spans="2:13" s="303" customFormat="1">
      <c r="B12" s="445" t="s">
        <v>0</v>
      </c>
      <c r="C12" s="436"/>
      <c r="D12" s="436"/>
      <c r="E12" s="436"/>
      <c r="F12" s="308" t="s">
        <v>3804</v>
      </c>
      <c r="G12" s="312"/>
      <c r="H12" s="312"/>
      <c r="I12" s="312"/>
      <c r="K12" s="310"/>
      <c r="L12" s="311"/>
      <c r="M12" s="311"/>
    </row>
    <row r="13" spans="2:13" s="303" customFormat="1">
      <c r="B13" s="441" t="s">
        <v>3805</v>
      </c>
      <c r="C13" s="442"/>
      <c r="D13" s="442"/>
      <c r="E13" s="442"/>
      <c r="F13" s="313" t="s">
        <v>3806</v>
      </c>
      <c r="G13" s="312"/>
      <c r="H13" s="312"/>
      <c r="I13" s="312"/>
      <c r="K13" s="310"/>
      <c r="L13" s="311"/>
      <c r="M13" s="311"/>
    </row>
    <row r="14" spans="2:13" s="303" customFormat="1">
      <c r="B14" s="441" t="s">
        <v>1</v>
      </c>
      <c r="C14" s="442"/>
      <c r="D14" s="442"/>
      <c r="E14" s="442"/>
      <c r="F14" s="314" t="s">
        <v>3807</v>
      </c>
      <c r="G14" s="315"/>
      <c r="H14" s="316"/>
      <c r="I14" s="316"/>
      <c r="J14" s="316"/>
      <c r="K14" s="310"/>
      <c r="L14" s="311"/>
      <c r="M14" s="311"/>
    </row>
    <row r="15" spans="2:13" s="303" customFormat="1">
      <c r="B15" s="441" t="s">
        <v>2</v>
      </c>
      <c r="C15" s="442"/>
      <c r="D15" s="442"/>
      <c r="E15" s="442"/>
      <c r="F15" s="317" t="s">
        <v>3808</v>
      </c>
      <c r="G15" s="318"/>
      <c r="H15" s="319"/>
      <c r="I15" s="319"/>
      <c r="K15" s="310"/>
      <c r="L15" s="311"/>
      <c r="M15" s="311"/>
    </row>
    <row r="16" spans="2:13" s="303" customFormat="1">
      <c r="B16" s="441" t="s">
        <v>3</v>
      </c>
      <c r="C16" s="442"/>
      <c r="D16" s="442"/>
      <c r="E16" s="442"/>
      <c r="F16" s="320" t="s">
        <v>3809</v>
      </c>
      <c r="G16" s="319"/>
      <c r="H16" s="319"/>
      <c r="I16" s="319"/>
      <c r="K16" s="310"/>
      <c r="L16" s="311"/>
      <c r="M16" s="311"/>
    </row>
    <row r="17" spans="2:14" s="303" customFormat="1">
      <c r="B17" s="441" t="s">
        <v>4</v>
      </c>
      <c r="C17" s="442"/>
      <c r="D17" s="442"/>
      <c r="E17" s="442"/>
      <c r="F17" s="321" t="s">
        <v>3810</v>
      </c>
      <c r="G17" s="319"/>
      <c r="H17" s="319"/>
      <c r="I17" s="319"/>
      <c r="K17" s="310"/>
      <c r="L17" s="311"/>
      <c r="M17" s="311"/>
    </row>
    <row r="18" spans="2:14" s="303" customFormat="1">
      <c r="B18" s="441" t="s">
        <v>5</v>
      </c>
      <c r="C18" s="442"/>
      <c r="D18" s="442"/>
      <c r="E18" s="442"/>
      <c r="F18" s="321" t="s">
        <v>3811</v>
      </c>
      <c r="G18" s="319"/>
      <c r="H18" s="319"/>
      <c r="I18" s="319"/>
      <c r="K18" s="310"/>
      <c r="L18" s="311"/>
      <c r="M18" s="311"/>
    </row>
    <row r="19" spans="2:14" s="303" customFormat="1">
      <c r="B19" s="441" t="s">
        <v>6</v>
      </c>
      <c r="C19" s="442"/>
      <c r="D19" s="442"/>
      <c r="E19" s="442"/>
      <c r="F19" s="314" t="s">
        <v>3812</v>
      </c>
      <c r="G19" s="318"/>
      <c r="H19" s="322"/>
      <c r="I19" s="322"/>
      <c r="J19" s="322"/>
      <c r="K19" s="322"/>
      <c r="L19" s="322"/>
      <c r="M19" s="322"/>
      <c r="N19" s="322"/>
    </row>
    <row r="20" spans="2:14" s="303" customFormat="1" ht="15" thickBot="1">
      <c r="B20" s="443" t="s">
        <v>7</v>
      </c>
      <c r="C20" s="444"/>
      <c r="D20" s="444"/>
      <c r="E20" s="444"/>
      <c r="F20" s="323" t="s">
        <v>3813</v>
      </c>
      <c r="G20" s="319"/>
      <c r="H20" s="319"/>
      <c r="I20" s="319"/>
      <c r="K20" s="310"/>
      <c r="L20" s="311"/>
      <c r="M20" s="311"/>
    </row>
    <row r="21" spans="2:14">
      <c r="B21" s="312" t="s">
        <v>3814</v>
      </c>
      <c r="C21" s="312"/>
      <c r="D21" s="312"/>
      <c r="E21" s="312"/>
      <c r="F21" s="319"/>
    </row>
    <row r="23" spans="2:14">
      <c r="B23" s="324" t="s">
        <v>3815</v>
      </c>
      <c r="C23" s="312"/>
      <c r="D23" s="325"/>
      <c r="E23" s="326"/>
      <c r="F23" s="303"/>
      <c r="G23" s="303"/>
      <c r="H23" s="303"/>
      <c r="I23" s="303"/>
    </row>
    <row r="24" spans="2:14" ht="15" thickBot="1">
      <c r="B24" s="324" t="s">
        <v>3816</v>
      </c>
      <c r="C24" s="312"/>
      <c r="D24" s="325"/>
      <c r="E24" s="326"/>
      <c r="F24" s="303" t="s">
        <v>3803</v>
      </c>
      <c r="G24" s="303"/>
      <c r="H24" s="303"/>
      <c r="I24" s="303"/>
    </row>
    <row r="25" spans="2:14">
      <c r="B25" s="445" t="s">
        <v>8</v>
      </c>
      <c r="C25" s="436"/>
      <c r="D25" s="436"/>
      <c r="E25" s="436"/>
      <c r="F25" s="327">
        <v>0.84199999999999997</v>
      </c>
      <c r="G25" s="303"/>
      <c r="H25" s="303"/>
      <c r="I25" s="303"/>
    </row>
    <row r="26" spans="2:14">
      <c r="B26" s="441" t="s">
        <v>9</v>
      </c>
      <c r="C26" s="442"/>
      <c r="D26" s="442"/>
      <c r="E26" s="442"/>
      <c r="F26" s="328">
        <v>0.55200000000000005</v>
      </c>
      <c r="G26" s="303"/>
      <c r="H26" s="303"/>
      <c r="I26" s="303"/>
    </row>
    <row r="27" spans="2:14">
      <c r="B27" s="441" t="s">
        <v>10</v>
      </c>
      <c r="C27" s="442"/>
      <c r="D27" s="442"/>
      <c r="E27" s="442"/>
      <c r="F27" s="329">
        <v>0.12180000000000001</v>
      </c>
      <c r="G27" s="303"/>
      <c r="H27" s="303"/>
      <c r="I27" s="303"/>
    </row>
    <row r="28" spans="2:14">
      <c r="B28" s="441" t="s">
        <v>11</v>
      </c>
      <c r="C28" s="442"/>
      <c r="D28" s="442"/>
      <c r="E28" s="442"/>
      <c r="F28" s="329">
        <v>2.8799999999999999E-2</v>
      </c>
      <c r="G28" s="303"/>
      <c r="H28" s="303"/>
      <c r="I28" s="303"/>
    </row>
    <row r="29" spans="2:14">
      <c r="B29" s="441" t="s">
        <v>12</v>
      </c>
      <c r="C29" s="442"/>
      <c r="D29" s="442"/>
      <c r="E29" s="442"/>
      <c r="F29" s="330">
        <f>F27+F28</f>
        <v>0.15060000000000001</v>
      </c>
      <c r="G29" s="303"/>
      <c r="H29" s="303"/>
      <c r="I29" s="303"/>
    </row>
    <row r="30" spans="2:14">
      <c r="B30" s="441" t="s">
        <v>13</v>
      </c>
      <c r="C30" s="442"/>
      <c r="D30" s="442"/>
      <c r="E30" s="442"/>
      <c r="F30" s="329">
        <v>9.9199999999999997E-2</v>
      </c>
      <c r="G30" s="303"/>
      <c r="H30" s="303"/>
      <c r="I30" s="303"/>
    </row>
    <row r="31" spans="2:14">
      <c r="B31" s="441" t="s">
        <v>14</v>
      </c>
      <c r="C31" s="442"/>
      <c r="D31" s="442"/>
      <c r="E31" s="442"/>
      <c r="F31" s="329">
        <v>1</v>
      </c>
      <c r="G31" s="303" t="s">
        <v>3817</v>
      </c>
      <c r="H31" s="303"/>
      <c r="I31" s="303"/>
    </row>
    <row r="32" spans="2:14" ht="15" thickBot="1">
      <c r="B32" s="443" t="s">
        <v>15</v>
      </c>
      <c r="C32" s="444"/>
      <c r="D32" s="444"/>
      <c r="E32" s="444"/>
      <c r="F32" s="331">
        <v>1</v>
      </c>
      <c r="G32" s="303"/>
      <c r="H32" s="303"/>
      <c r="I32" s="303"/>
    </row>
    <row r="33" spans="1:24">
      <c r="A33" s="303"/>
      <c r="B33" s="312"/>
      <c r="C33" s="312"/>
      <c r="D33" s="312"/>
      <c r="E33" s="312"/>
      <c r="F33" s="332"/>
      <c r="G33" s="303"/>
      <c r="H33" s="303"/>
      <c r="I33" s="303"/>
      <c r="J33" s="303"/>
      <c r="K33" s="310"/>
      <c r="L33" s="311"/>
      <c r="M33" s="311"/>
      <c r="N33" s="303"/>
      <c r="O33" s="303"/>
      <c r="P33" s="303"/>
      <c r="Q33" s="303"/>
      <c r="R33" s="303"/>
      <c r="S33" s="303"/>
      <c r="T33" s="303"/>
      <c r="U33" s="303"/>
      <c r="V33" s="303"/>
      <c r="W33" s="303"/>
      <c r="X33" s="303"/>
    </row>
    <row r="34" spans="1:24">
      <c r="A34" s="303"/>
      <c r="B34" s="333" t="s">
        <v>3818</v>
      </c>
      <c r="C34" s="319"/>
      <c r="D34" s="303"/>
      <c r="E34" s="310"/>
      <c r="F34" s="303"/>
      <c r="G34" s="303"/>
      <c r="H34" s="303"/>
      <c r="I34" s="303"/>
      <c r="J34" s="303"/>
      <c r="K34" s="310"/>
      <c r="L34" s="311"/>
      <c r="M34" s="311"/>
      <c r="N34" s="303"/>
      <c r="O34" s="303"/>
      <c r="P34" s="303"/>
      <c r="Q34" s="303"/>
      <c r="R34" s="303"/>
      <c r="S34" s="303"/>
      <c r="T34" s="303"/>
      <c r="U34" s="303"/>
      <c r="V34" s="303"/>
      <c r="W34" s="303"/>
      <c r="X34" s="303"/>
    </row>
    <row r="35" spans="1:24">
      <c r="A35" s="289"/>
      <c r="B35" s="289"/>
      <c r="C35" s="289"/>
      <c r="D35" s="289"/>
      <c r="E35" s="289"/>
      <c r="F35" s="290"/>
      <c r="G35" s="289"/>
      <c r="H35" s="304"/>
      <c r="I35" s="304"/>
      <c r="J35" s="289"/>
      <c r="K35" s="289"/>
      <c r="L35" s="289"/>
      <c r="M35" s="289"/>
      <c r="N35" s="289"/>
      <c r="O35" s="289"/>
      <c r="P35" s="289"/>
      <c r="Q35" s="289"/>
      <c r="R35" s="289"/>
      <c r="S35" s="289"/>
      <c r="T35" s="289"/>
      <c r="U35" s="289"/>
      <c r="V35" s="289"/>
      <c r="W35" s="289"/>
      <c r="X35" s="289"/>
    </row>
    <row r="36" spans="1:24" ht="15" thickBot="1">
      <c r="A36" s="303"/>
      <c r="B36" s="333" t="s">
        <v>3819</v>
      </c>
      <c r="C36" s="303"/>
      <c r="D36" s="303"/>
      <c r="E36" s="310"/>
      <c r="F36" s="310"/>
      <c r="G36" s="303"/>
      <c r="H36" s="303" t="s">
        <v>3820</v>
      </c>
      <c r="I36" s="303"/>
      <c r="J36" s="303"/>
      <c r="K36" s="303"/>
      <c r="L36" s="303"/>
      <c r="M36" s="303"/>
      <c r="N36" s="303"/>
      <c r="O36" s="303"/>
      <c r="P36" s="303"/>
      <c r="Q36" s="303"/>
      <c r="R36" s="303"/>
      <c r="S36" s="303"/>
      <c r="T36" s="303"/>
      <c r="U36" s="303"/>
      <c r="V36" s="303"/>
      <c r="W36" s="303"/>
      <c r="X36" s="303"/>
    </row>
    <row r="37" spans="1:24" ht="15" customHeight="1" thickBot="1">
      <c r="A37" s="319"/>
      <c r="B37" s="437" t="s">
        <v>3821</v>
      </c>
      <c r="C37" s="438"/>
      <c r="D37" s="438"/>
      <c r="E37" s="439" t="s">
        <v>17</v>
      </c>
      <c r="F37" s="440"/>
      <c r="G37" s="334" t="s">
        <v>3822</v>
      </c>
      <c r="H37" s="335"/>
      <c r="I37" s="335"/>
      <c r="J37" s="336"/>
      <c r="K37" s="431" t="s">
        <v>3823</v>
      </c>
      <c r="L37" s="432"/>
      <c r="M37" s="432"/>
      <c r="N37" s="432"/>
      <c r="O37" s="432"/>
      <c r="P37" s="432"/>
      <c r="Q37" s="432"/>
      <c r="R37" s="433"/>
    </row>
    <row r="38" spans="1:24" ht="15" thickBot="1">
      <c r="A38" s="319"/>
      <c r="B38" s="434" t="s">
        <v>16</v>
      </c>
      <c r="C38" s="435"/>
      <c r="D38" s="435"/>
      <c r="E38" s="337" t="s">
        <v>18</v>
      </c>
      <c r="F38" s="338" t="s">
        <v>212</v>
      </c>
      <c r="G38" s="339" t="s">
        <v>2677</v>
      </c>
      <c r="H38" s="340" t="s">
        <v>2678</v>
      </c>
      <c r="I38" s="340" t="s">
        <v>2679</v>
      </c>
      <c r="J38" s="340" t="s">
        <v>2680</v>
      </c>
      <c r="K38" s="334" t="s">
        <v>204</v>
      </c>
      <c r="L38" s="336" t="s">
        <v>203</v>
      </c>
      <c r="M38" s="336"/>
      <c r="N38" s="336" t="s">
        <v>205</v>
      </c>
      <c r="O38" s="436" t="s">
        <v>216</v>
      </c>
      <c r="P38" s="436"/>
      <c r="Q38" s="336" t="s">
        <v>206</v>
      </c>
      <c r="R38" s="336" t="s">
        <v>207</v>
      </c>
      <c r="S38" s="336" t="s">
        <v>217</v>
      </c>
      <c r="T38" s="327" t="s">
        <v>218</v>
      </c>
    </row>
    <row r="39" spans="1:24">
      <c r="A39" s="319"/>
      <c r="B39" s="341" t="s">
        <v>3824</v>
      </c>
      <c r="C39" s="342"/>
      <c r="D39" s="343" t="s">
        <v>3825</v>
      </c>
      <c r="E39" s="344">
        <v>-3.3978609999999998</v>
      </c>
      <c r="F39" s="345">
        <v>34.837608000000003</v>
      </c>
      <c r="G39" s="346">
        <v>12.565665055683967</v>
      </c>
      <c r="H39" s="347">
        <v>0.9665896196679955</v>
      </c>
      <c r="I39" s="347">
        <v>86.467745324648035</v>
      </c>
      <c r="J39" s="348">
        <v>1.0225726959093147</v>
      </c>
      <c r="K39" s="344" t="s">
        <v>229</v>
      </c>
      <c r="L39" s="349" t="s">
        <v>257</v>
      </c>
      <c r="M39" s="349"/>
      <c r="N39" s="349" t="s">
        <v>2672</v>
      </c>
      <c r="O39" s="349" t="s">
        <v>3826</v>
      </c>
      <c r="P39" s="349"/>
      <c r="Q39" s="349" t="s">
        <v>247</v>
      </c>
      <c r="R39" s="349" t="s">
        <v>247</v>
      </c>
      <c r="S39" s="349" t="s">
        <v>234</v>
      </c>
      <c r="T39" s="308" t="s">
        <v>3827</v>
      </c>
    </row>
    <row r="40" spans="1:24">
      <c r="A40" s="319"/>
      <c r="B40" s="350" t="s">
        <v>3828</v>
      </c>
      <c r="C40" s="351"/>
      <c r="D40" s="352" t="s">
        <v>3825</v>
      </c>
      <c r="E40" s="378">
        <v>-3.3978290019999999</v>
      </c>
      <c r="F40" s="354">
        <v>34.837011969999999</v>
      </c>
      <c r="G40" s="355">
        <v>21.13063730679653</v>
      </c>
      <c r="H40" s="356">
        <v>3.0912555579081076</v>
      </c>
      <c r="I40" s="356">
        <v>75.778107135295357</v>
      </c>
      <c r="J40" s="357">
        <v>0.46131099063578063</v>
      </c>
      <c r="K40" s="378" t="s">
        <v>229</v>
      </c>
      <c r="L40" s="423" t="s">
        <v>257</v>
      </c>
      <c r="M40" s="423"/>
      <c r="N40" s="358" t="s">
        <v>2670</v>
      </c>
      <c r="O40" s="358" t="s">
        <v>3826</v>
      </c>
      <c r="P40" s="358"/>
      <c r="Q40" s="358" t="s">
        <v>247</v>
      </c>
      <c r="R40" s="358" t="s">
        <v>247</v>
      </c>
      <c r="S40" s="358" t="s">
        <v>234</v>
      </c>
      <c r="T40" s="313" t="s">
        <v>3827</v>
      </c>
    </row>
    <row r="41" spans="1:24">
      <c r="A41" s="319"/>
      <c r="B41" s="350" t="s">
        <v>3829</v>
      </c>
      <c r="C41" s="351"/>
      <c r="D41" s="352" t="s">
        <v>3825</v>
      </c>
      <c r="E41" s="378">
        <v>-3.3854090330000002</v>
      </c>
      <c r="F41" s="354">
        <v>34.818901029999999</v>
      </c>
      <c r="G41" s="355">
        <v>54.080969906906262</v>
      </c>
      <c r="H41" s="356">
        <v>21.264484651351896</v>
      </c>
      <c r="I41" s="356">
        <v>24.654545441741845</v>
      </c>
      <c r="J41" s="357">
        <v>1.8433218334154755</v>
      </c>
      <c r="K41" s="378" t="s">
        <v>229</v>
      </c>
      <c r="L41" s="423" t="s">
        <v>257</v>
      </c>
      <c r="M41" s="423"/>
      <c r="N41" s="358" t="s">
        <v>2673</v>
      </c>
      <c r="O41" s="358" t="s">
        <v>3826</v>
      </c>
      <c r="P41" s="358"/>
      <c r="Q41" s="358" t="s">
        <v>247</v>
      </c>
      <c r="R41" s="358" t="s">
        <v>247</v>
      </c>
      <c r="S41" s="358" t="s">
        <v>234</v>
      </c>
      <c r="T41" s="313" t="s">
        <v>3827</v>
      </c>
    </row>
    <row r="42" spans="1:24">
      <c r="A42" s="319"/>
      <c r="B42" s="350" t="s">
        <v>3830</v>
      </c>
      <c r="C42" s="351"/>
      <c r="D42" s="352" t="s">
        <v>3825</v>
      </c>
      <c r="E42" s="378">
        <v>-3.3849129919999998</v>
      </c>
      <c r="F42" s="354">
        <v>34.818899020000003</v>
      </c>
      <c r="G42" s="355">
        <v>51.960000000000008</v>
      </c>
      <c r="H42" s="356">
        <v>18.919999999999995</v>
      </c>
      <c r="I42" s="356">
        <v>29.120000000000005</v>
      </c>
      <c r="J42" s="357">
        <v>1.85293247905372</v>
      </c>
      <c r="K42" s="378" t="s">
        <v>229</v>
      </c>
      <c r="L42" s="423" t="s">
        <v>257</v>
      </c>
      <c r="M42" s="423"/>
      <c r="N42" s="358" t="s">
        <v>2673</v>
      </c>
      <c r="O42" s="358" t="s">
        <v>3826</v>
      </c>
      <c r="P42" s="358"/>
      <c r="Q42" s="358" t="s">
        <v>247</v>
      </c>
      <c r="R42" s="358" t="s">
        <v>247</v>
      </c>
      <c r="S42" s="358" t="s">
        <v>234</v>
      </c>
      <c r="T42" s="313" t="s">
        <v>3827</v>
      </c>
    </row>
    <row r="43" spans="1:24">
      <c r="A43" s="319"/>
      <c r="B43" s="350" t="s">
        <v>3831</v>
      </c>
      <c r="C43" s="351"/>
      <c r="D43" s="352" t="s">
        <v>3832</v>
      </c>
      <c r="E43" s="378">
        <v>-3.4092039989999998</v>
      </c>
      <c r="F43" s="354">
        <v>34.852751009999999</v>
      </c>
      <c r="G43" s="355">
        <v>23.96</v>
      </c>
      <c r="H43" s="356">
        <v>0.91999999999999804</v>
      </c>
      <c r="I43" s="356">
        <v>75.12</v>
      </c>
      <c r="J43" s="357">
        <v>1.2493839329719072</v>
      </c>
      <c r="K43" s="378" t="s">
        <v>229</v>
      </c>
      <c r="L43" s="423" t="s">
        <v>244</v>
      </c>
      <c r="M43" s="423"/>
      <c r="N43" s="358" t="s">
        <v>2670</v>
      </c>
      <c r="O43" s="358" t="s">
        <v>3826</v>
      </c>
      <c r="P43" s="358"/>
      <c r="Q43" s="358" t="s">
        <v>247</v>
      </c>
      <c r="R43" s="358" t="s">
        <v>247</v>
      </c>
      <c r="S43" s="358" t="s">
        <v>234</v>
      </c>
      <c r="T43" s="313" t="s">
        <v>3827</v>
      </c>
    </row>
    <row r="44" spans="1:24">
      <c r="A44" s="319"/>
      <c r="B44" s="350" t="s">
        <v>3833</v>
      </c>
      <c r="C44" s="351"/>
      <c r="D44" s="352" t="s">
        <v>3832</v>
      </c>
      <c r="E44" s="378">
        <v>-3.4083420040000001</v>
      </c>
      <c r="F44" s="354">
        <v>34.850283040000001</v>
      </c>
      <c r="G44" s="355">
        <v>19.96</v>
      </c>
      <c r="H44" s="356">
        <v>4.9199999999999982</v>
      </c>
      <c r="I44" s="356">
        <v>75.12</v>
      </c>
      <c r="J44" s="357">
        <v>1.641498275012321</v>
      </c>
      <c r="K44" s="378" t="s">
        <v>229</v>
      </c>
      <c r="L44" s="423" t="s">
        <v>244</v>
      </c>
      <c r="M44" s="423"/>
      <c r="N44" s="358" t="s">
        <v>2671</v>
      </c>
      <c r="O44" s="358" t="s">
        <v>3826</v>
      </c>
      <c r="P44" s="358"/>
      <c r="Q44" s="358" t="s">
        <v>247</v>
      </c>
      <c r="R44" s="358" t="s">
        <v>247</v>
      </c>
      <c r="S44" s="358" t="s">
        <v>234</v>
      </c>
      <c r="T44" s="313" t="s">
        <v>3827</v>
      </c>
    </row>
    <row r="45" spans="1:24">
      <c r="A45" s="319"/>
      <c r="B45" s="350" t="s">
        <v>3834</v>
      </c>
      <c r="C45" s="351"/>
      <c r="D45" s="352" t="s">
        <v>3832</v>
      </c>
      <c r="E45" s="378">
        <v>-3.406225992</v>
      </c>
      <c r="F45" s="354">
        <v>34.85055998</v>
      </c>
      <c r="G45" s="355">
        <v>21.96</v>
      </c>
      <c r="H45" s="356">
        <v>8.9199999999999982</v>
      </c>
      <c r="I45" s="356">
        <v>69.12</v>
      </c>
      <c r="J45" s="357">
        <v>1.7491375061606702</v>
      </c>
      <c r="K45" s="378" t="s">
        <v>229</v>
      </c>
      <c r="L45" s="423" t="s">
        <v>244</v>
      </c>
      <c r="M45" s="423"/>
      <c r="N45" s="358" t="s">
        <v>2670</v>
      </c>
      <c r="O45" s="358" t="s">
        <v>3826</v>
      </c>
      <c r="P45" s="358"/>
      <c r="Q45" s="358" t="s">
        <v>247</v>
      </c>
      <c r="R45" s="358" t="s">
        <v>247</v>
      </c>
      <c r="S45" s="358" t="s">
        <v>234</v>
      </c>
      <c r="T45" s="313" t="s">
        <v>3827</v>
      </c>
    </row>
    <row r="46" spans="1:24">
      <c r="A46" s="319"/>
      <c r="B46" s="350" t="s">
        <v>3835</v>
      </c>
      <c r="C46" s="351"/>
      <c r="D46" s="352" t="s">
        <v>3832</v>
      </c>
      <c r="E46" s="378">
        <v>-3.4064239729999999</v>
      </c>
      <c r="F46" s="354">
        <v>34.851213010000002</v>
      </c>
      <c r="G46" s="355">
        <v>25.96</v>
      </c>
      <c r="H46" s="356">
        <v>6.9200000000000008</v>
      </c>
      <c r="I46" s="356">
        <v>67.12</v>
      </c>
      <c r="J46" s="357">
        <v>1.7568260226712666</v>
      </c>
      <c r="K46" s="378" t="s">
        <v>229</v>
      </c>
      <c r="L46" s="423" t="s">
        <v>244</v>
      </c>
      <c r="M46" s="423"/>
      <c r="N46" s="358" t="s">
        <v>2670</v>
      </c>
      <c r="O46" s="358" t="s">
        <v>3826</v>
      </c>
      <c r="P46" s="358"/>
      <c r="Q46" s="358" t="s">
        <v>247</v>
      </c>
      <c r="R46" s="358" t="s">
        <v>247</v>
      </c>
      <c r="S46" s="358" t="s">
        <v>234</v>
      </c>
      <c r="T46" s="313" t="s">
        <v>3827</v>
      </c>
    </row>
    <row r="47" spans="1:24">
      <c r="A47" s="319"/>
      <c r="B47" s="350" t="s">
        <v>3836</v>
      </c>
      <c r="C47" s="351"/>
      <c r="D47" s="352" t="s">
        <v>3837</v>
      </c>
      <c r="E47" s="378">
        <v>-3.2993960379999998</v>
      </c>
      <c r="F47" s="354">
        <v>34.848240959999998</v>
      </c>
      <c r="G47" s="355">
        <v>47.96</v>
      </c>
      <c r="H47" s="356">
        <v>22.919999999999995</v>
      </c>
      <c r="I47" s="356">
        <v>29.120000000000012</v>
      </c>
      <c r="J47" s="357">
        <v>2.8831936914736325</v>
      </c>
      <c r="K47" s="378" t="s">
        <v>229</v>
      </c>
      <c r="L47" s="423" t="s">
        <v>230</v>
      </c>
      <c r="M47" s="423"/>
      <c r="N47" s="358" t="s">
        <v>2673</v>
      </c>
      <c r="O47" s="358" t="s">
        <v>3826</v>
      </c>
      <c r="P47" s="358"/>
      <c r="Q47" s="358" t="s">
        <v>247</v>
      </c>
      <c r="R47" s="358" t="s">
        <v>247</v>
      </c>
      <c r="S47" s="358" t="s">
        <v>234</v>
      </c>
      <c r="T47" s="313" t="s">
        <v>3827</v>
      </c>
    </row>
    <row r="48" spans="1:24">
      <c r="A48" s="319"/>
      <c r="B48" s="350" t="s">
        <v>3838</v>
      </c>
      <c r="C48" s="351"/>
      <c r="D48" s="352" t="s">
        <v>3837</v>
      </c>
      <c r="E48" s="378">
        <v>-3.3025860229999999</v>
      </c>
      <c r="F48" s="354">
        <v>34.848048009999999</v>
      </c>
      <c r="G48" s="355">
        <v>45.272914521112256</v>
      </c>
      <c r="H48" s="356">
        <v>23.604531410916575</v>
      </c>
      <c r="I48" s="356">
        <v>31.122554067971166</v>
      </c>
      <c r="J48" s="357">
        <v>2.0547560374568752</v>
      </c>
      <c r="K48" s="378" t="s">
        <v>229</v>
      </c>
      <c r="L48" s="423" t="s">
        <v>230</v>
      </c>
      <c r="M48" s="423"/>
      <c r="N48" s="358" t="s">
        <v>2673</v>
      </c>
      <c r="O48" s="358" t="s">
        <v>3826</v>
      </c>
      <c r="P48" s="358"/>
      <c r="Q48" s="358" t="s">
        <v>247</v>
      </c>
      <c r="R48" s="358" t="s">
        <v>247</v>
      </c>
      <c r="S48" s="358" t="s">
        <v>234</v>
      </c>
      <c r="T48" s="313" t="s">
        <v>3827</v>
      </c>
    </row>
    <row r="49" spans="1:20">
      <c r="A49" s="319"/>
      <c r="B49" s="350" t="s">
        <v>3839</v>
      </c>
      <c r="C49" s="351"/>
      <c r="D49" s="352" t="s">
        <v>3837</v>
      </c>
      <c r="E49" s="378">
        <v>-3.2957159630000001</v>
      </c>
      <c r="F49" s="354">
        <v>34.852460999999998</v>
      </c>
      <c r="G49" s="355">
        <v>38.691629007962128</v>
      </c>
      <c r="H49" s="356">
        <v>26.81299763288143</v>
      </c>
      <c r="I49" s="356">
        <v>34.495373359156439</v>
      </c>
      <c r="J49" s="357">
        <v>2.5483587974371611</v>
      </c>
      <c r="K49" s="378" t="s">
        <v>229</v>
      </c>
      <c r="L49" s="423" t="s">
        <v>230</v>
      </c>
      <c r="M49" s="423"/>
      <c r="N49" s="358" t="s">
        <v>2675</v>
      </c>
      <c r="O49" s="358" t="s">
        <v>3826</v>
      </c>
      <c r="P49" s="358"/>
      <c r="Q49" s="358" t="s">
        <v>247</v>
      </c>
      <c r="R49" s="358" t="s">
        <v>247</v>
      </c>
      <c r="S49" s="358" t="s">
        <v>234</v>
      </c>
      <c r="T49" s="313" t="s">
        <v>3827</v>
      </c>
    </row>
    <row r="50" spans="1:20">
      <c r="A50" s="319"/>
      <c r="B50" s="350" t="s">
        <v>3840</v>
      </c>
      <c r="C50" s="351"/>
      <c r="D50" s="352" t="s">
        <v>3837</v>
      </c>
      <c r="E50" s="378">
        <v>-3.2966709980000002</v>
      </c>
      <c r="F50" s="354">
        <v>34.854407019999996</v>
      </c>
      <c r="G50" s="355">
        <v>28.145762029394</v>
      </c>
      <c r="H50" s="356">
        <v>25.085564727199518</v>
      </c>
      <c r="I50" s="356">
        <v>46.768673243406489</v>
      </c>
      <c r="J50" s="357">
        <v>2.1716214884179394</v>
      </c>
      <c r="K50" s="378" t="s">
        <v>229</v>
      </c>
      <c r="L50" s="423" t="s">
        <v>230</v>
      </c>
      <c r="M50" s="423"/>
      <c r="N50" s="358" t="s">
        <v>2670</v>
      </c>
      <c r="O50" s="358" t="s">
        <v>3826</v>
      </c>
      <c r="P50" s="358"/>
      <c r="Q50" s="358" t="s">
        <v>247</v>
      </c>
      <c r="R50" s="358" t="s">
        <v>247</v>
      </c>
      <c r="S50" s="358" t="s">
        <v>234</v>
      </c>
      <c r="T50" s="313" t="s">
        <v>3827</v>
      </c>
    </row>
    <row r="51" spans="1:20">
      <c r="A51" s="303"/>
      <c r="B51" s="350" t="s">
        <v>3841</v>
      </c>
      <c r="C51" s="351"/>
      <c r="D51" s="352" t="s">
        <v>3842</v>
      </c>
      <c r="E51" s="378">
        <v>-2.3691620310000001</v>
      </c>
      <c r="F51" s="354">
        <v>34.06028104</v>
      </c>
      <c r="G51" s="355">
        <v>45.96</v>
      </c>
      <c r="H51" s="356">
        <v>14.920000000000003</v>
      </c>
      <c r="I51" s="356">
        <v>39.119999999999997</v>
      </c>
      <c r="J51" s="357">
        <v>2.0374568753080333</v>
      </c>
      <c r="K51" s="378" t="s">
        <v>229</v>
      </c>
      <c r="L51" s="423" t="s">
        <v>257</v>
      </c>
      <c r="M51" s="423"/>
      <c r="N51" s="358" t="s">
        <v>2673</v>
      </c>
      <c r="O51" s="358" t="s">
        <v>3826</v>
      </c>
      <c r="P51" s="358"/>
      <c r="Q51" s="358" t="s">
        <v>247</v>
      </c>
      <c r="R51" s="358" t="s">
        <v>247</v>
      </c>
      <c r="S51" s="358" t="s">
        <v>234</v>
      </c>
      <c r="T51" s="313" t="s">
        <v>3827</v>
      </c>
    </row>
    <row r="52" spans="1:20">
      <c r="A52" s="303"/>
      <c r="B52" s="350" t="s">
        <v>3843</v>
      </c>
      <c r="C52" s="351"/>
      <c r="D52" s="352" t="s">
        <v>3842</v>
      </c>
      <c r="E52" s="378">
        <v>-2.3698080240000001</v>
      </c>
      <c r="F52" s="354">
        <v>34.059671010000002</v>
      </c>
      <c r="G52" s="355">
        <v>34.344660194174757</v>
      </c>
      <c r="H52" s="356">
        <v>19.22727272727273</v>
      </c>
      <c r="I52" s="356">
        <v>46.428067078552509</v>
      </c>
      <c r="J52" s="357">
        <v>1.7452932479053718</v>
      </c>
      <c r="K52" s="378" t="s">
        <v>229</v>
      </c>
      <c r="L52" s="423" t="s">
        <v>257</v>
      </c>
      <c r="M52" s="423"/>
      <c r="N52" s="358" t="s">
        <v>2670</v>
      </c>
      <c r="O52" s="358" t="s">
        <v>3826</v>
      </c>
      <c r="P52" s="358"/>
      <c r="Q52" s="358" t="s">
        <v>247</v>
      </c>
      <c r="R52" s="358" t="s">
        <v>247</v>
      </c>
      <c r="S52" s="358" t="s">
        <v>234</v>
      </c>
      <c r="T52" s="313" t="s">
        <v>3827</v>
      </c>
    </row>
    <row r="53" spans="1:20">
      <c r="A53" s="303"/>
      <c r="B53" s="350" t="s">
        <v>3844</v>
      </c>
      <c r="C53" s="351"/>
      <c r="D53" s="352" t="s">
        <v>3842</v>
      </c>
      <c r="E53" s="378">
        <v>-2.3487199940000001</v>
      </c>
      <c r="F53" s="354">
        <v>34.051391029999998</v>
      </c>
      <c r="G53" s="355">
        <v>27.96</v>
      </c>
      <c r="H53" s="356">
        <v>4.9200000000000017</v>
      </c>
      <c r="I53" s="356">
        <v>67.12</v>
      </c>
      <c r="J53" s="357">
        <v>0.88610152784622953</v>
      </c>
      <c r="K53" s="378" t="s">
        <v>229</v>
      </c>
      <c r="L53" s="423" t="s">
        <v>257</v>
      </c>
      <c r="M53" s="423"/>
      <c r="N53" s="358" t="s">
        <v>2670</v>
      </c>
      <c r="O53" s="358" t="s">
        <v>3826</v>
      </c>
      <c r="P53" s="358"/>
      <c r="Q53" s="358" t="s">
        <v>247</v>
      </c>
      <c r="R53" s="358" t="s">
        <v>247</v>
      </c>
      <c r="S53" s="358" t="s">
        <v>234</v>
      </c>
      <c r="T53" s="313" t="s">
        <v>3827</v>
      </c>
    </row>
    <row r="54" spans="1:20">
      <c r="A54" s="303"/>
      <c r="B54" s="350" t="s">
        <v>3845</v>
      </c>
      <c r="C54" s="351"/>
      <c r="D54" s="352" t="s">
        <v>3842</v>
      </c>
      <c r="E54" s="378">
        <v>-2.3492639789999998</v>
      </c>
      <c r="F54" s="354">
        <v>34.051464029999998</v>
      </c>
      <c r="G54" s="355">
        <v>17.96</v>
      </c>
      <c r="H54" s="356">
        <v>4.9199999999999982</v>
      </c>
      <c r="I54" s="356">
        <v>77.12</v>
      </c>
      <c r="J54" s="357">
        <v>2.0220798422868409</v>
      </c>
      <c r="K54" s="378" t="s">
        <v>229</v>
      </c>
      <c r="L54" s="423" t="s">
        <v>257</v>
      </c>
      <c r="M54" s="423"/>
      <c r="N54" s="358" t="s">
        <v>2671</v>
      </c>
      <c r="O54" s="358" t="s">
        <v>3826</v>
      </c>
      <c r="P54" s="358"/>
      <c r="Q54" s="358" t="s">
        <v>247</v>
      </c>
      <c r="R54" s="358" t="s">
        <v>247</v>
      </c>
      <c r="S54" s="358" t="s">
        <v>234</v>
      </c>
      <c r="T54" s="313" t="s">
        <v>3827</v>
      </c>
    </row>
    <row r="55" spans="1:20">
      <c r="B55" s="350" t="s">
        <v>3846</v>
      </c>
      <c r="C55" s="351"/>
      <c r="D55" s="352" t="s">
        <v>3847</v>
      </c>
      <c r="E55" s="378">
        <v>-2.3503360249999998</v>
      </c>
      <c r="F55" s="354">
        <v>34.049662009999999</v>
      </c>
      <c r="G55" s="355">
        <v>31.214836424255054</v>
      </c>
      <c r="H55" s="356">
        <v>11.377370285476141</v>
      </c>
      <c r="I55" s="356">
        <v>57.407793290268799</v>
      </c>
      <c r="J55" s="357">
        <v>1.7337604731394776</v>
      </c>
      <c r="K55" s="378" t="s">
        <v>229</v>
      </c>
      <c r="L55" s="423" t="s">
        <v>244</v>
      </c>
      <c r="M55" s="423"/>
      <c r="N55" s="358" t="s">
        <v>2670</v>
      </c>
      <c r="O55" s="358" t="s">
        <v>3826</v>
      </c>
      <c r="P55" s="358"/>
      <c r="Q55" s="358" t="s">
        <v>247</v>
      </c>
      <c r="R55" s="358" t="s">
        <v>247</v>
      </c>
      <c r="S55" s="358" t="s">
        <v>234</v>
      </c>
      <c r="T55" s="313" t="s">
        <v>3827</v>
      </c>
    </row>
    <row r="56" spans="1:20">
      <c r="B56" s="350" t="s">
        <v>3848</v>
      </c>
      <c r="C56" s="351"/>
      <c r="D56" s="352" t="s">
        <v>3847</v>
      </c>
      <c r="E56" s="378">
        <v>-2.348596025</v>
      </c>
      <c r="F56" s="354">
        <v>34.050070959999999</v>
      </c>
      <c r="G56" s="355">
        <v>33.96</v>
      </c>
      <c r="H56" s="356">
        <v>8.9200000000000017</v>
      </c>
      <c r="I56" s="356">
        <v>57.12</v>
      </c>
      <c r="J56" s="357">
        <v>2.072055199605717</v>
      </c>
      <c r="K56" s="378" t="s">
        <v>229</v>
      </c>
      <c r="L56" s="423" t="s">
        <v>244</v>
      </c>
      <c r="M56" s="423"/>
      <c r="N56" s="358" t="s">
        <v>2670</v>
      </c>
      <c r="O56" s="358" t="s">
        <v>3826</v>
      </c>
      <c r="P56" s="358"/>
      <c r="Q56" s="358" t="s">
        <v>247</v>
      </c>
      <c r="R56" s="358" t="s">
        <v>247</v>
      </c>
      <c r="S56" s="358" t="s">
        <v>234</v>
      </c>
      <c r="T56" s="313" t="s">
        <v>3827</v>
      </c>
    </row>
    <row r="57" spans="1:20">
      <c r="B57" s="350" t="s">
        <v>3849</v>
      </c>
      <c r="C57" s="351"/>
      <c r="D57" s="352" t="s">
        <v>3847</v>
      </c>
      <c r="E57" s="378">
        <v>-2.3675269729999999</v>
      </c>
      <c r="F57" s="354">
        <v>34.06035799</v>
      </c>
      <c r="G57" s="355">
        <v>39.96</v>
      </c>
      <c r="H57" s="356">
        <v>12.920000000000002</v>
      </c>
      <c r="I57" s="356">
        <v>47.12</v>
      </c>
      <c r="J57" s="357">
        <v>1.6549531789058647</v>
      </c>
      <c r="K57" s="378" t="s">
        <v>229</v>
      </c>
      <c r="L57" s="423" t="s">
        <v>244</v>
      </c>
      <c r="M57" s="423"/>
      <c r="N57" s="358" t="s">
        <v>2674</v>
      </c>
      <c r="O57" s="358" t="s">
        <v>3826</v>
      </c>
      <c r="P57" s="358"/>
      <c r="Q57" s="358" t="s">
        <v>247</v>
      </c>
      <c r="R57" s="358" t="s">
        <v>247</v>
      </c>
      <c r="S57" s="358" t="s">
        <v>234</v>
      </c>
      <c r="T57" s="313" t="s">
        <v>3827</v>
      </c>
    </row>
    <row r="58" spans="1:20">
      <c r="B58" s="350" t="s">
        <v>3850</v>
      </c>
      <c r="C58" s="351"/>
      <c r="D58" s="352" t="s">
        <v>3847</v>
      </c>
      <c r="E58" s="378">
        <v>-2.3676780150000001</v>
      </c>
      <c r="F58" s="354">
        <v>34.05937797</v>
      </c>
      <c r="G58" s="355">
        <v>27.96</v>
      </c>
      <c r="H58" s="356">
        <v>4.9200000000000017</v>
      </c>
      <c r="I58" s="356">
        <v>67.12</v>
      </c>
      <c r="J58" s="357">
        <v>1.0437161163134547</v>
      </c>
      <c r="K58" s="378" t="s">
        <v>229</v>
      </c>
      <c r="L58" s="423" t="s">
        <v>244</v>
      </c>
      <c r="M58" s="423"/>
      <c r="N58" s="358" t="s">
        <v>2670</v>
      </c>
      <c r="O58" s="358" t="s">
        <v>3826</v>
      </c>
      <c r="P58" s="358"/>
      <c r="Q58" s="358" t="s">
        <v>247</v>
      </c>
      <c r="R58" s="358" t="s">
        <v>247</v>
      </c>
      <c r="S58" s="358" t="s">
        <v>234</v>
      </c>
      <c r="T58" s="313" t="s">
        <v>3827</v>
      </c>
    </row>
    <row r="59" spans="1:20">
      <c r="B59" s="350" t="s">
        <v>3851</v>
      </c>
      <c r="C59" s="351"/>
      <c r="D59" s="352" t="s">
        <v>3852</v>
      </c>
      <c r="E59" s="378">
        <v>-2.272751033</v>
      </c>
      <c r="F59" s="354">
        <v>34.023176030000002</v>
      </c>
      <c r="G59" s="355">
        <v>21.96</v>
      </c>
      <c r="H59" s="356">
        <v>4.9199999999999982</v>
      </c>
      <c r="I59" s="356">
        <v>73.12</v>
      </c>
      <c r="J59" s="357">
        <v>1.2416954164613114</v>
      </c>
      <c r="K59" s="378" t="s">
        <v>229</v>
      </c>
      <c r="L59" s="423" t="s">
        <v>230</v>
      </c>
      <c r="M59" s="423"/>
      <c r="N59" s="358" t="s">
        <v>2670</v>
      </c>
      <c r="O59" s="358" t="s">
        <v>3826</v>
      </c>
      <c r="P59" s="358"/>
      <c r="Q59" s="358" t="s">
        <v>247</v>
      </c>
      <c r="R59" s="358" t="s">
        <v>247</v>
      </c>
      <c r="S59" s="358" t="s">
        <v>234</v>
      </c>
      <c r="T59" s="313" t="s">
        <v>3827</v>
      </c>
    </row>
    <row r="60" spans="1:20">
      <c r="B60" s="350" t="s">
        <v>3853</v>
      </c>
      <c r="C60" s="351"/>
      <c r="D60" s="352" t="s">
        <v>3852</v>
      </c>
      <c r="E60" s="378">
        <v>-2.2784290180000002</v>
      </c>
      <c r="F60" s="354">
        <v>34.024240030000001</v>
      </c>
      <c r="G60" s="355">
        <v>23.96</v>
      </c>
      <c r="H60" s="356">
        <v>4.9199999999999982</v>
      </c>
      <c r="I60" s="356">
        <v>71.12</v>
      </c>
      <c r="J60" s="357">
        <v>3.30913750616067</v>
      </c>
      <c r="K60" s="378" t="s">
        <v>229</v>
      </c>
      <c r="L60" s="423" t="s">
        <v>230</v>
      </c>
      <c r="M60" s="423"/>
      <c r="N60" s="358" t="s">
        <v>2670</v>
      </c>
      <c r="O60" s="358" t="s">
        <v>3826</v>
      </c>
      <c r="P60" s="358"/>
      <c r="Q60" s="358" t="s">
        <v>247</v>
      </c>
      <c r="R60" s="358" t="s">
        <v>247</v>
      </c>
      <c r="S60" s="358" t="s">
        <v>234</v>
      </c>
      <c r="T60" s="313" t="s">
        <v>3827</v>
      </c>
    </row>
    <row r="61" spans="1:20">
      <c r="B61" s="350" t="s">
        <v>3854</v>
      </c>
      <c r="C61" s="351"/>
      <c r="D61" s="352" t="s">
        <v>3852</v>
      </c>
      <c r="E61" s="378">
        <v>-2.277740026</v>
      </c>
      <c r="F61" s="354">
        <v>34.027640990000002</v>
      </c>
      <c r="G61" s="355">
        <v>25.96</v>
      </c>
      <c r="H61" s="356">
        <v>8.9200000000000017</v>
      </c>
      <c r="I61" s="356">
        <v>65.12</v>
      </c>
      <c r="J61" s="357">
        <v>1.614588467225234</v>
      </c>
      <c r="K61" s="378" t="s">
        <v>229</v>
      </c>
      <c r="L61" s="423" t="s">
        <v>230</v>
      </c>
      <c r="M61" s="423"/>
      <c r="N61" s="358" t="s">
        <v>2670</v>
      </c>
      <c r="O61" s="358" t="s">
        <v>3826</v>
      </c>
      <c r="P61" s="358"/>
      <c r="Q61" s="358" t="s">
        <v>247</v>
      </c>
      <c r="R61" s="358" t="s">
        <v>247</v>
      </c>
      <c r="S61" s="358" t="s">
        <v>234</v>
      </c>
      <c r="T61" s="313" t="s">
        <v>3827</v>
      </c>
    </row>
    <row r="62" spans="1:20">
      <c r="B62" s="350" t="s">
        <v>3855</v>
      </c>
      <c r="C62" s="351"/>
      <c r="D62" s="352" t="s">
        <v>3852</v>
      </c>
      <c r="E62" s="378">
        <v>-2.2787330300000002</v>
      </c>
      <c r="F62" s="354">
        <v>34.032136029999997</v>
      </c>
      <c r="G62" s="355">
        <v>25.96</v>
      </c>
      <c r="H62" s="356">
        <v>8.9200000000000017</v>
      </c>
      <c r="I62" s="356">
        <v>65.12</v>
      </c>
      <c r="J62" s="357">
        <v>1.6991621488417901</v>
      </c>
      <c r="K62" s="378" t="s">
        <v>229</v>
      </c>
      <c r="L62" s="423" t="s">
        <v>230</v>
      </c>
      <c r="M62" s="423"/>
      <c r="N62" s="358" t="s">
        <v>2670</v>
      </c>
      <c r="O62" s="358" t="s">
        <v>3826</v>
      </c>
      <c r="P62" s="358"/>
      <c r="Q62" s="358" t="s">
        <v>247</v>
      </c>
      <c r="R62" s="358" t="s">
        <v>247</v>
      </c>
      <c r="S62" s="358" t="s">
        <v>234</v>
      </c>
      <c r="T62" s="313" t="s">
        <v>3827</v>
      </c>
    </row>
    <row r="63" spans="1:20" ht="15" thickBot="1">
      <c r="B63" s="359" t="s">
        <v>2526</v>
      </c>
      <c r="C63" s="360"/>
      <c r="D63" s="361" t="s">
        <v>3856</v>
      </c>
      <c r="E63" s="362">
        <v>-2.439403972</v>
      </c>
      <c r="F63" s="363">
        <v>34.838404959999998</v>
      </c>
      <c r="G63" s="364">
        <v>22.017293559158162</v>
      </c>
      <c r="H63" s="365">
        <v>6.5855206693798616</v>
      </c>
      <c r="I63" s="365">
        <v>71.397185771461977</v>
      </c>
      <c r="J63" s="366">
        <v>1.1393420404139967</v>
      </c>
      <c r="K63" s="362" t="s">
        <v>229</v>
      </c>
      <c r="L63" s="367" t="s">
        <v>230</v>
      </c>
      <c r="M63" s="367"/>
      <c r="N63" s="367" t="s">
        <v>2670</v>
      </c>
      <c r="O63" s="367" t="s">
        <v>3826</v>
      </c>
      <c r="P63" s="367"/>
      <c r="Q63" s="367" t="s">
        <v>247</v>
      </c>
      <c r="R63" s="367" t="s">
        <v>247</v>
      </c>
      <c r="S63" s="367" t="s">
        <v>234</v>
      </c>
      <c r="T63" s="368" t="s">
        <v>3827</v>
      </c>
    </row>
    <row r="64" spans="1:20">
      <c r="B64" s="333" t="s">
        <v>3857</v>
      </c>
    </row>
    <row r="67" spans="2:41" ht="15" thickBot="1">
      <c r="B67" s="333" t="s">
        <v>3858</v>
      </c>
      <c r="C67" s="319"/>
      <c r="D67" s="319"/>
      <c r="E67" s="319"/>
      <c r="F67" s="369"/>
      <c r="G67" s="369"/>
      <c r="H67" s="369"/>
      <c r="I67" s="369"/>
      <c r="J67" s="319"/>
      <c r="K67" s="370"/>
      <c r="L67" s="371"/>
    </row>
    <row r="68" spans="2:41" ht="15" thickBot="1">
      <c r="B68" s="424" t="s">
        <v>21</v>
      </c>
      <c r="C68" s="425"/>
      <c r="D68" s="425"/>
      <c r="E68" s="425"/>
      <c r="F68" s="372" t="s">
        <v>3859</v>
      </c>
      <c r="G68" s="373"/>
      <c r="H68" s="373"/>
      <c r="I68" s="373"/>
      <c r="J68" s="373"/>
      <c r="K68" s="373"/>
      <c r="L68" s="374"/>
    </row>
    <row r="69" spans="2:41">
      <c r="B69" s="426" t="s">
        <v>22</v>
      </c>
      <c r="C69" s="427"/>
      <c r="D69" s="427"/>
      <c r="E69" s="427"/>
      <c r="F69" s="375" t="s">
        <v>3860</v>
      </c>
      <c r="G69" s="376"/>
      <c r="H69" s="376"/>
      <c r="I69" s="376"/>
      <c r="J69" s="376"/>
      <c r="K69" s="376"/>
      <c r="L69" s="377"/>
    </row>
    <row r="70" spans="2:41" ht="15" thickBot="1">
      <c r="B70" s="428" t="s">
        <v>25</v>
      </c>
      <c r="C70" s="429"/>
      <c r="D70" s="429"/>
      <c r="E70" s="429"/>
      <c r="F70" s="430" t="s">
        <v>3861</v>
      </c>
      <c r="G70" s="423"/>
      <c r="H70" s="423"/>
      <c r="I70" s="423"/>
      <c r="J70" s="423"/>
      <c r="K70" s="423"/>
      <c r="L70" s="423"/>
      <c r="M70" s="423"/>
      <c r="N70" s="423"/>
    </row>
    <row r="71" spans="2:41">
      <c r="B71" s="333" t="s">
        <v>3862</v>
      </c>
    </row>
    <row r="72" spans="2:41" ht="18">
      <c r="AO72" s="379"/>
    </row>
    <row r="73" spans="2:41">
      <c r="D73" s="420" t="s">
        <v>3885</v>
      </c>
      <c r="E73" s="420"/>
      <c r="F73" s="420"/>
      <c r="G73" s="420"/>
      <c r="H73" s="420"/>
    </row>
    <row r="74" spans="2:41" ht="18.600000000000001" thickBot="1">
      <c r="B74" s="380" t="s">
        <v>3864</v>
      </c>
      <c r="D74" s="421"/>
      <c r="E74" s="421"/>
      <c r="F74" s="421"/>
      <c r="G74" s="421"/>
      <c r="H74" s="421"/>
      <c r="Y74" s="422" t="s">
        <v>3865</v>
      </c>
      <c r="Z74" s="422"/>
      <c r="AA74" s="422"/>
      <c r="AB74" s="422"/>
      <c r="AC74" s="422"/>
      <c r="AD74" s="422"/>
    </row>
    <row r="75" spans="2:41" ht="87" thickBot="1">
      <c r="B75" s="381" t="s">
        <v>2457</v>
      </c>
      <c r="C75" s="109" t="s">
        <v>23</v>
      </c>
      <c r="D75" s="109" t="s">
        <v>3866</v>
      </c>
      <c r="E75" s="109" t="s">
        <v>25</v>
      </c>
      <c r="F75" s="109" t="s">
        <v>26</v>
      </c>
      <c r="G75" s="382" t="s">
        <v>27</v>
      </c>
      <c r="H75" s="109" t="s">
        <v>3867</v>
      </c>
      <c r="I75" s="109" t="s">
        <v>3868</v>
      </c>
      <c r="J75" s="109" t="s">
        <v>3869</v>
      </c>
      <c r="K75" s="109" t="s">
        <v>28</v>
      </c>
      <c r="L75" s="109" t="s">
        <v>29</v>
      </c>
      <c r="M75" s="109" t="s">
        <v>30</v>
      </c>
      <c r="N75" s="382" t="s">
        <v>31</v>
      </c>
      <c r="O75" s="109" t="s">
        <v>3874</v>
      </c>
      <c r="P75" s="109" t="s">
        <v>3875</v>
      </c>
      <c r="Q75" s="109" t="s">
        <v>34</v>
      </c>
      <c r="R75" s="109" t="s">
        <v>35</v>
      </c>
      <c r="S75" s="109" t="s">
        <v>3880</v>
      </c>
      <c r="T75" s="109" t="s">
        <v>288</v>
      </c>
      <c r="U75" s="109" t="s">
        <v>291</v>
      </c>
      <c r="V75" s="109" t="s">
        <v>292</v>
      </c>
      <c r="W75" s="109" t="s">
        <v>40</v>
      </c>
      <c r="X75" s="383" t="s">
        <v>41</v>
      </c>
      <c r="Y75" s="384" t="s">
        <v>3888</v>
      </c>
      <c r="Z75" s="384" t="s">
        <v>3881</v>
      </c>
      <c r="AA75" s="384" t="s">
        <v>3882</v>
      </c>
      <c r="AB75" s="384" t="s">
        <v>3887</v>
      </c>
      <c r="AC75" s="384" t="s">
        <v>3883</v>
      </c>
      <c r="AD75" s="385" t="s">
        <v>3884</v>
      </c>
    </row>
    <row r="76" spans="2:41">
      <c r="B76" t="str">
        <f>'Final data_for_R_analysis_Dryse'!A2</f>
        <v>Dry</v>
      </c>
      <c r="C76" s="263">
        <f>'Final data_for_R_analysis_Dryse'!B2</f>
        <v>1</v>
      </c>
      <c r="D76" t="s">
        <v>3824</v>
      </c>
      <c r="E76" t="s">
        <v>22</v>
      </c>
      <c r="F76" s="386">
        <v>1</v>
      </c>
      <c r="G76" s="16">
        <f>'Dry_Litterbag Placem_Collection'!E3</f>
        <v>42938</v>
      </c>
      <c r="H76" t="str">
        <f>'Final data_for_R_analysis_Dryse'!J2</f>
        <v>G407</v>
      </c>
      <c r="I76" t="str">
        <f>'Final data_for_R_analysis_Dryse'!J222</f>
        <v>R811</v>
      </c>
      <c r="J76">
        <f>IFERROR(INDEX('Green_rooibos initial weight'!$C$5:$C$1749,MATCH(H76, 'Green_rooibos initial weight'!$A$5:$A$1749,0)),"")</f>
        <v>1.966</v>
      </c>
      <c r="K76">
        <f>IFERROR(INDEX('Green_rooibos initial weight'!$C$5:$C$1749,MATCH(I76, 'Green_rooibos initial weight'!$A$5:$A$1749,0)),"")</f>
        <v>2.226</v>
      </c>
      <c r="L76" s="195">
        <f>IFERROR(IF(J76&gt;0,(J76*$F$31-($F$29+$F$30)),""),"")</f>
        <v>1.7161999999999999</v>
      </c>
      <c r="M76" s="195">
        <f>IFERROR(IF(K76&gt;0,(K76*$F$32-($F$29+$F$30)),""),"")</f>
        <v>1.9762</v>
      </c>
      <c r="N76" s="16">
        <f>IF('Dry_Litterbag Placem_Collection'!G3="N.A","",'Dry_Litterbag Placem_Collection'!G3)</f>
        <v>43007</v>
      </c>
      <c r="O76" s="195">
        <f>IF(IFERROR(INDEX('Both teabags AfterDry'!$D$1:$D$839,MATCH(H76,'Both teabags AfterDry'!$A$1:$A$839,0)),"")="N.A","",(IFERROR(INDEX('Both teabags AfterDry'!$D$1:$D$839,MATCH(H76,'Both teabags AfterDry'!$A$1:$A$839,0)),"")))</f>
        <v>1.278</v>
      </c>
      <c r="P76" s="195">
        <f>IF(IFERROR(INDEX('Both teabags AfterDry'!$D$1:$D$839,MATCH(I76,'Both teabags AfterDry'!$A$1:$A$839,0)),"")="N.A","",(IFERROR(INDEX('Both teabags AfterDry'!$D$1:$D$839,MATCH(I76,'Both teabags AfterDry'!$A$1:$A$839,0)),"")))</f>
        <v>1.8292999999999999</v>
      </c>
      <c r="Q76" s="195">
        <f>IFERROR(IF(O76&gt;0,O76-($F$29),""),"")</f>
        <v>1.1274</v>
      </c>
      <c r="R76" s="195">
        <f>IFERROR(IF(P76&gt;0,P76-($F$29),""),"")</f>
        <v>1.6786999999999999</v>
      </c>
      <c r="S76" s="195">
        <f t="shared" ref="S76:S139" si="0">IFERROR(1-Q76/L76,"")</f>
        <v>0.34308355669502388</v>
      </c>
      <c r="T76" s="195">
        <f>IFERROR($F$26*(1-W76),"")</f>
        <v>0.22491938633688027</v>
      </c>
      <c r="U76" s="195">
        <f t="shared" ref="U76:U139" si="1">IFERROR(R76/M76,"")</f>
        <v>0.84945855682623206</v>
      </c>
      <c r="V76">
        <f t="shared" ref="V76:V139" si="2">IF((N76-G76)&gt;0,(IFERROR(N76-G76,"")),"")</f>
        <v>69</v>
      </c>
      <c r="W76" s="195">
        <f>IFERROR(1-(S76/$F$25),"")</f>
        <v>0.59253734359260823</v>
      </c>
      <c r="X76" s="195">
        <f>IFERROR(LN(T76/(U76-(1-T76)))/V76,"")</f>
        <v>1.6037429275865225E-2</v>
      </c>
      <c r="Y76" s="255" t="str">
        <f>IF(ISNUMBER(SEARCH("C", 'Dry_Litterbag Placem_Collection'!T3)),"YES","NO")</f>
        <v>NO</v>
      </c>
      <c r="Z76" s="255" t="str">
        <f>IF(ISNUMBER(SEARCH("H", 'Dry_Litterbag Placem_Collection'!T3)),"YES","NO")</f>
        <v>YES</v>
      </c>
      <c r="AA76" s="255" t="str">
        <f>IF(ISNUMBER(SEARCH("R", 'Dry_Litterbag Placem_Collection'!T3)),"YES","NO")</f>
        <v>NO</v>
      </c>
      <c r="AB76" s="255" t="str">
        <f>IF(ISNUMBER(SEARCH("C", 'Dry_Litterbag Placem_Collection'!S3)),"YES","NO")</f>
        <v>NO</v>
      </c>
      <c r="AC76" s="255" t="str">
        <f>IF(ISNUMBER(SEARCH("H", 'Dry_Litterbag Placem_Collection'!S3)),"YES","NO")</f>
        <v>YES</v>
      </c>
      <c r="AD76" s="255" t="str">
        <f>IF(ISNUMBER(SEARCH("R", 'Dry_Litterbag Placem_Collection'!S3)),"YES","NO")</f>
        <v>NO</v>
      </c>
    </row>
    <row r="77" spans="2:41">
      <c r="B77" t="str">
        <f>'Final data_for_R_analysis_Dryse'!A3</f>
        <v>Dry</v>
      </c>
      <c r="C77" s="263">
        <f>'Final data_for_R_analysis_Dryse'!B3</f>
        <v>2</v>
      </c>
      <c r="D77" t="s">
        <v>3824</v>
      </c>
      <c r="E77" t="s">
        <v>22</v>
      </c>
      <c r="F77" s="386">
        <v>2</v>
      </c>
      <c r="G77" s="16">
        <f>'Dry_Litterbag Placem_Collection'!E4</f>
        <v>0</v>
      </c>
      <c r="H77" t="str">
        <f>'Final data_for_R_analysis_Dryse'!J3</f>
        <v/>
      </c>
      <c r="I77" t="str">
        <f>'Final data_for_R_analysis_Dryse'!J223</f>
        <v/>
      </c>
      <c r="J77" t="str">
        <f>IFERROR(INDEX('Green_rooibos initial weight'!$C$5:$C$1749,MATCH(H77, 'Green_rooibos initial weight'!$A$5:$A$1749,0)),"")</f>
        <v/>
      </c>
      <c r="K77" t="str">
        <f>IFERROR(INDEX('Green_rooibos initial weight'!$C$5:$C$1749,MATCH(I77, 'Green_rooibos initial weight'!$A$5:$A$1749,0)),"")</f>
        <v/>
      </c>
      <c r="L77" s="195" t="str">
        <f t="shared" ref="L77:L140" si="3">IFERROR(IF(J77&gt;0,(J77*$F$31-($F$29+$F$30)),""),"")</f>
        <v/>
      </c>
      <c r="M77" s="195" t="str">
        <f t="shared" ref="M77:M140" si="4">IFERROR(IF(K77&gt;0,(K77*$F$32-($F$29+$F$30)),""),"")</f>
        <v/>
      </c>
      <c r="N77" s="16">
        <f>IF('Dry_Litterbag Placem_Collection'!G4="N.A","",'Dry_Litterbag Placem_Collection'!G4)</f>
        <v>0</v>
      </c>
      <c r="O77" s="195" t="str">
        <f>IF(IFERROR(INDEX('Both teabags AfterDry'!$D$1:$D$839,MATCH(H77,'Both teabags AfterDry'!$A$1:$A$839,0)),"")="N.A","",(IFERROR(INDEX('Both teabags AfterDry'!$D$1:$D$839,MATCH(H77,'Both teabags AfterDry'!$A$1:$A$839,0)),"")))</f>
        <v/>
      </c>
      <c r="P77" s="195" t="str">
        <f>IF(IFERROR(INDEX('Both teabags AfterDry'!$D$1:$D$839,MATCH(I77,'Both teabags AfterDry'!$A$1:$A$839,0)),"")="N.A","",(IFERROR(INDEX('Both teabags AfterDry'!$D$1:$D$839,MATCH(I77,'Both teabags AfterDry'!$A$1:$A$839,0)),"")))</f>
        <v/>
      </c>
      <c r="Q77" s="195" t="str">
        <f t="shared" ref="Q77:R140" si="5">IFERROR(IF(O77&gt;0,O77-($F$29),""),"")</f>
        <v/>
      </c>
      <c r="R77" s="195" t="str">
        <f t="shared" si="5"/>
        <v/>
      </c>
      <c r="S77" s="195" t="str">
        <f t="shared" si="0"/>
        <v/>
      </c>
      <c r="T77" s="195" t="str">
        <f t="shared" ref="T77:T140" si="6">IFERROR($F$26*(1-W77),"")</f>
        <v/>
      </c>
      <c r="U77" s="195" t="str">
        <f t="shared" si="1"/>
        <v/>
      </c>
      <c r="V77" t="str">
        <f t="shared" si="2"/>
        <v/>
      </c>
      <c r="W77" s="195" t="str">
        <f t="shared" ref="W77:W140" si="7">IFERROR(1-(S77/$F$25),"")</f>
        <v/>
      </c>
      <c r="X77" s="195" t="str">
        <f t="shared" ref="X77:X140" si="8">IFERROR(LN(T77/(U77-(1-T77)))/V77,"")</f>
        <v/>
      </c>
      <c r="Y77" s="255" t="str">
        <f>IF(ISNUMBER(SEARCH("C", 'Dry_Litterbag Placem_Collection'!T4)),"YES","NO")</f>
        <v>NO</v>
      </c>
      <c r="Z77" s="255" t="str">
        <f>IF(ISNUMBER(SEARCH("H", 'Dry_Litterbag Placem_Collection'!T4)),"YES","NO")</f>
        <v>NO</v>
      </c>
      <c r="AA77" s="255" t="str">
        <f>IF(ISNUMBER(SEARCH("R", 'Dry_Litterbag Placem_Collection'!T4)),"YES","NO")</f>
        <v>NO</v>
      </c>
      <c r="AB77" s="255" t="str">
        <f>IF(ISNUMBER(SEARCH("C", 'Dry_Litterbag Placem_Collection'!S4)),"YES","NO")</f>
        <v>NO</v>
      </c>
      <c r="AC77" s="255" t="str">
        <f>IF(ISNUMBER(SEARCH("H", 'Dry_Litterbag Placem_Collection'!S4)),"YES","NO")</f>
        <v>NO</v>
      </c>
      <c r="AD77" s="255" t="str">
        <f>IF(ISNUMBER(SEARCH("R", 'Dry_Litterbag Placem_Collection'!S4)),"YES","NO")</f>
        <v>NO</v>
      </c>
    </row>
    <row r="78" spans="2:41">
      <c r="B78" t="str">
        <f>'Final data_for_R_analysis_Dryse'!A4</f>
        <v>Dry</v>
      </c>
      <c r="C78" s="263">
        <f>'Final data_for_R_analysis_Dryse'!B4</f>
        <v>3</v>
      </c>
      <c r="D78" t="s">
        <v>3824</v>
      </c>
      <c r="E78" t="s">
        <v>22</v>
      </c>
      <c r="F78" s="386">
        <v>3</v>
      </c>
      <c r="G78" s="16">
        <f>'Dry_Litterbag Placem_Collection'!E5</f>
        <v>42938</v>
      </c>
      <c r="H78" t="str">
        <f>'Final data_for_R_analysis_Dryse'!J4</f>
        <v>G259</v>
      </c>
      <c r="I78" t="str">
        <f>'Final data_for_R_analysis_Dryse'!J224</f>
        <v>R742</v>
      </c>
      <c r="J78">
        <f>IFERROR(INDEX('Green_rooibos initial weight'!$C$5:$C$1749,MATCH(H78, 'Green_rooibos initial weight'!$A$5:$A$1749,0)),"")</f>
        <v>1.913</v>
      </c>
      <c r="K78">
        <f>IFERROR(INDEX('Green_rooibos initial weight'!$C$5:$C$1749,MATCH(I78, 'Green_rooibos initial weight'!$A$5:$A$1749,0)),"")</f>
        <v>2.1259999999999999</v>
      </c>
      <c r="L78" s="195">
        <f t="shared" si="3"/>
        <v>1.6632</v>
      </c>
      <c r="M78" s="195">
        <f t="shared" si="4"/>
        <v>1.8761999999999999</v>
      </c>
      <c r="N78" s="16">
        <f>IF('Dry_Litterbag Placem_Collection'!G5="N.A","",'Dry_Litterbag Placem_Collection'!G5)</f>
        <v>43007</v>
      </c>
      <c r="O78" s="195">
        <f>IF(IFERROR(INDEX('Both teabags AfterDry'!$D$1:$D$839,MATCH(H78,'Both teabags AfterDry'!$A$1:$A$839,0)),"")="N.A","",(IFERROR(INDEX('Both teabags AfterDry'!$D$1:$D$839,MATCH(H78,'Both teabags AfterDry'!$A$1:$A$839,0)),"")))</f>
        <v>1.5964</v>
      </c>
      <c r="P78" s="195">
        <f>IF(IFERROR(INDEX('Both teabags AfterDry'!$D$1:$D$839,MATCH(I78,'Both teabags AfterDry'!$A$1:$A$839,0)),"")="N.A","",(IFERROR(INDEX('Both teabags AfterDry'!$D$1:$D$839,MATCH(I78,'Both teabags AfterDry'!$A$1:$A$839,0)),"")))</f>
        <v>1.8767</v>
      </c>
      <c r="Q78" s="195">
        <f t="shared" si="5"/>
        <v>1.4458</v>
      </c>
      <c r="R78" s="195">
        <f t="shared" si="5"/>
        <v>1.7261</v>
      </c>
      <c r="S78" s="195">
        <f t="shared" si="0"/>
        <v>0.13071188071188078</v>
      </c>
      <c r="T78" s="195">
        <f t="shared" si="6"/>
        <v>8.5692349350306674E-2</v>
      </c>
      <c r="U78" s="195">
        <f t="shared" si="1"/>
        <v>0.91999786803112682</v>
      </c>
      <c r="V78">
        <f t="shared" si="2"/>
        <v>69</v>
      </c>
      <c r="W78" s="195">
        <f t="shared" si="7"/>
        <v>0.84476023668422706</v>
      </c>
      <c r="X78" s="195">
        <f t="shared" si="8"/>
        <v>3.9304566632367643E-2</v>
      </c>
      <c r="Y78" s="255" t="str">
        <f>IF(ISNUMBER(SEARCH("C", 'Dry_Litterbag Placem_Collection'!T5)),"YES","NO")</f>
        <v>YES</v>
      </c>
      <c r="Z78" s="255" t="str">
        <f>IF(ISNUMBER(SEARCH("H", 'Dry_Litterbag Placem_Collection'!T5)),"YES","NO")</f>
        <v>YES</v>
      </c>
      <c r="AA78" s="255" t="str">
        <f>IF(ISNUMBER(SEARCH("R", 'Dry_Litterbag Placem_Collection'!T5)),"YES","NO")</f>
        <v>NO</v>
      </c>
      <c r="AB78" s="255" t="str">
        <f>IF(ISNUMBER(SEARCH("C", 'Dry_Litterbag Placem_Collection'!S5)),"YES","NO")</f>
        <v>YES</v>
      </c>
      <c r="AC78" s="255" t="str">
        <f>IF(ISNUMBER(SEARCH("H", 'Dry_Litterbag Placem_Collection'!S5)),"YES","NO")</f>
        <v>YES</v>
      </c>
      <c r="AD78" s="255" t="str">
        <f>IF(ISNUMBER(SEARCH("R", 'Dry_Litterbag Placem_Collection'!S5)),"YES","NO")</f>
        <v>NO</v>
      </c>
    </row>
    <row r="79" spans="2:41">
      <c r="B79" t="str">
        <f>'Final data_for_R_analysis_Dryse'!A5</f>
        <v>Dry</v>
      </c>
      <c r="C79" s="263">
        <f>'Final data_for_R_analysis_Dryse'!B5</f>
        <v>4</v>
      </c>
      <c r="D79" t="s">
        <v>3824</v>
      </c>
      <c r="E79" t="s">
        <v>22</v>
      </c>
      <c r="F79" s="387">
        <v>4</v>
      </c>
      <c r="G79" s="16">
        <f>'Dry_Litterbag Placem_Collection'!E6</f>
        <v>42938</v>
      </c>
      <c r="H79" t="str">
        <f>'Final data_for_R_analysis_Dryse'!J5</f>
        <v>G255</v>
      </c>
      <c r="I79" t="str">
        <f>'Final data_for_R_analysis_Dryse'!J225</f>
        <v>R661</v>
      </c>
      <c r="J79">
        <f>IFERROR(INDEX('Green_rooibos initial weight'!$C$5:$C$1749,MATCH(H79, 'Green_rooibos initial weight'!$A$5:$A$1749,0)),"")</f>
        <v>2.0310000000000001</v>
      </c>
      <c r="K79">
        <f>IFERROR(INDEX('Green_rooibos initial weight'!$C$5:$C$1749,MATCH(I79, 'Green_rooibos initial weight'!$A$5:$A$1749,0)),"")</f>
        <v>2.1629999999999998</v>
      </c>
      <c r="L79" s="195">
        <f t="shared" si="3"/>
        <v>1.7812000000000001</v>
      </c>
      <c r="M79" s="195">
        <f t="shared" si="4"/>
        <v>1.9131999999999998</v>
      </c>
      <c r="N79" s="16">
        <f>IF('Dry_Litterbag Placem_Collection'!G6="N.A","",'Dry_Litterbag Placem_Collection'!G6)</f>
        <v>43007</v>
      </c>
      <c r="O79" s="195">
        <f>IF(IFERROR(INDEX('Both teabags AfterDry'!$D$1:$D$839,MATCH(H79,'Both teabags AfterDry'!$A$1:$A$839,0)),"")="N.A","",(IFERROR(INDEX('Both teabags AfterDry'!$D$1:$D$839,MATCH(H79,'Both teabags AfterDry'!$A$1:$A$839,0)),"")))</f>
        <v>1.6215999999999999</v>
      </c>
      <c r="P79" s="195">
        <f>IF(IFERROR(INDEX('Both teabags AfterDry'!$D$1:$D$839,MATCH(I79,'Both teabags AfterDry'!$A$1:$A$839,0)),"")="N.A","",(IFERROR(INDEX('Both teabags AfterDry'!$D$1:$D$839,MATCH(I79,'Both teabags AfterDry'!$A$1:$A$839,0)),"")))</f>
        <v>1.837</v>
      </c>
      <c r="Q79" s="195">
        <f t="shared" si="5"/>
        <v>1.4709999999999999</v>
      </c>
      <c r="R79" s="195">
        <f t="shared" si="5"/>
        <v>1.6863999999999999</v>
      </c>
      <c r="S79" s="195">
        <f t="shared" si="0"/>
        <v>0.1741522569054571</v>
      </c>
      <c r="T79" s="195">
        <f t="shared" si="6"/>
        <v>0.11417107578600037</v>
      </c>
      <c r="U79" s="195">
        <f t="shared" si="1"/>
        <v>0.88145515366924532</v>
      </c>
      <c r="V79">
        <f t="shared" si="2"/>
        <v>69</v>
      </c>
      <c r="W79" s="195">
        <f t="shared" si="7"/>
        <v>0.79316834096739064</v>
      </c>
      <c r="X79" s="195" t="str">
        <f t="shared" si="8"/>
        <v/>
      </c>
      <c r="Y79" s="255" t="str">
        <f>IF(ISNUMBER(SEARCH("C", 'Dry_Litterbag Placem_Collection'!T6)),"YES","NO")</f>
        <v>NO</v>
      </c>
      <c r="Z79" s="255" t="str">
        <f>IF(ISNUMBER(SEARCH("H", 'Dry_Litterbag Placem_Collection'!T6)),"YES","NO")</f>
        <v>YES</v>
      </c>
      <c r="AA79" s="255" t="str">
        <f>IF(ISNUMBER(SEARCH("R", 'Dry_Litterbag Placem_Collection'!T6)),"YES","NO")</f>
        <v>NO</v>
      </c>
      <c r="AB79" s="255" t="str">
        <f>IF(ISNUMBER(SEARCH("C", 'Dry_Litterbag Placem_Collection'!S6)),"YES","NO")</f>
        <v>NO</v>
      </c>
      <c r="AC79" s="255" t="str">
        <f>IF(ISNUMBER(SEARCH("H", 'Dry_Litterbag Placem_Collection'!S6)),"YES","NO")</f>
        <v>NO</v>
      </c>
      <c r="AD79" s="255" t="str">
        <f>IF(ISNUMBER(SEARCH("R", 'Dry_Litterbag Placem_Collection'!S6)),"YES","NO")</f>
        <v>NO</v>
      </c>
    </row>
    <row r="80" spans="2:41">
      <c r="B80" t="str">
        <f>'Final data_for_R_analysis_Dryse'!A6</f>
        <v>Dry</v>
      </c>
      <c r="C80" s="263">
        <f>'Final data_for_R_analysis_Dryse'!B6</f>
        <v>5</v>
      </c>
      <c r="D80" t="s">
        <v>3824</v>
      </c>
      <c r="E80" t="s">
        <v>22</v>
      </c>
      <c r="F80" s="387">
        <v>5</v>
      </c>
      <c r="G80" s="16">
        <f>'Dry_Litterbag Placem_Collection'!E7</f>
        <v>42938</v>
      </c>
      <c r="H80" t="str">
        <f>'Final data_for_R_analysis_Dryse'!J6</f>
        <v>G122</v>
      </c>
      <c r="I80" t="str">
        <f>'Final data_for_R_analysis_Dryse'!J226</f>
        <v>R724</v>
      </c>
      <c r="J80">
        <f>IFERROR(INDEX('Green_rooibos initial weight'!$C$5:$C$1749,MATCH(H80, 'Green_rooibos initial weight'!$A$5:$A$1749,0)),"")</f>
        <v>1.95</v>
      </c>
      <c r="K80">
        <f>IFERROR(INDEX('Green_rooibos initial weight'!$C$5:$C$1749,MATCH(I80, 'Green_rooibos initial weight'!$A$5:$A$1749,0)),"")</f>
        <v>2.149</v>
      </c>
      <c r="L80" s="195">
        <f t="shared" si="3"/>
        <v>1.7001999999999999</v>
      </c>
      <c r="M80" s="195">
        <f t="shared" si="4"/>
        <v>1.8992</v>
      </c>
      <c r="N80" s="16">
        <f>IF('Dry_Litterbag Placem_Collection'!G7="N.A","",'Dry_Litterbag Placem_Collection'!G7)</f>
        <v>0</v>
      </c>
      <c r="O80" s="195" t="str">
        <f>IF(IFERROR(INDEX('Both teabags AfterDry'!$D$1:$D$839,MATCH(H80,'Both teabags AfterDry'!$A$1:$A$839,0)),"")="N.A","",(IFERROR(INDEX('Both teabags AfterDry'!$D$1:$D$839,MATCH(H80,'Both teabags AfterDry'!$A$1:$A$839,0)),"")))</f>
        <v/>
      </c>
      <c r="P80" s="195" t="str">
        <f>IF(IFERROR(INDEX('Both teabags AfterDry'!$D$1:$D$839,MATCH(I80,'Both teabags AfterDry'!$A$1:$A$839,0)),"")="N.A","",(IFERROR(INDEX('Both teabags AfterDry'!$D$1:$D$839,MATCH(I80,'Both teabags AfterDry'!$A$1:$A$839,0)),"")))</f>
        <v/>
      </c>
      <c r="Q80" s="195" t="str">
        <f t="shared" si="5"/>
        <v/>
      </c>
      <c r="R80" s="195" t="str">
        <f t="shared" si="5"/>
        <v/>
      </c>
      <c r="S80" s="195" t="str">
        <f t="shared" si="0"/>
        <v/>
      </c>
      <c r="T80" s="195" t="str">
        <f t="shared" si="6"/>
        <v/>
      </c>
      <c r="U80" s="195" t="str">
        <f t="shared" si="1"/>
        <v/>
      </c>
      <c r="V80" t="str">
        <f t="shared" si="2"/>
        <v/>
      </c>
      <c r="W80" s="195" t="str">
        <f t="shared" si="7"/>
        <v/>
      </c>
      <c r="X80" s="195" t="str">
        <f t="shared" si="8"/>
        <v/>
      </c>
      <c r="Y80" s="255" t="str">
        <f>IF(ISNUMBER(SEARCH("C", 'Dry_Litterbag Placem_Collection'!T7)),"YES","NO")</f>
        <v>NO</v>
      </c>
      <c r="Z80" s="255" t="str">
        <f>IF(ISNUMBER(SEARCH("H", 'Dry_Litterbag Placem_Collection'!T7)),"YES","NO")</f>
        <v>NO</v>
      </c>
      <c r="AA80" s="255" t="str">
        <f>IF(ISNUMBER(SEARCH("R", 'Dry_Litterbag Placem_Collection'!T7)),"YES","NO")</f>
        <v>NO</v>
      </c>
      <c r="AB80" s="255" t="str">
        <f>IF(ISNUMBER(SEARCH("C", 'Dry_Litterbag Placem_Collection'!S7)),"YES","NO")</f>
        <v>NO</v>
      </c>
      <c r="AC80" s="255" t="str">
        <f>IF(ISNUMBER(SEARCH("H", 'Dry_Litterbag Placem_Collection'!S7)),"YES","NO")</f>
        <v>NO</v>
      </c>
      <c r="AD80" s="255" t="str">
        <f>IF(ISNUMBER(SEARCH("R", 'Dry_Litterbag Placem_Collection'!S7)),"YES","NO")</f>
        <v>NO</v>
      </c>
    </row>
    <row r="81" spans="2:30">
      <c r="B81" t="str">
        <f>'Final data_for_R_analysis_Dryse'!A7</f>
        <v>Dry</v>
      </c>
      <c r="C81" s="263">
        <f>'Final data_for_R_analysis_Dryse'!B7</f>
        <v>6</v>
      </c>
      <c r="D81" t="s">
        <v>3824</v>
      </c>
      <c r="E81" t="s">
        <v>22</v>
      </c>
      <c r="F81" s="387">
        <v>6</v>
      </c>
      <c r="G81" s="16">
        <f>'Dry_Litterbag Placem_Collection'!E8</f>
        <v>42938</v>
      </c>
      <c r="H81" t="str">
        <f>'Final data_for_R_analysis_Dryse'!J7</f>
        <v>G478</v>
      </c>
      <c r="I81" t="str">
        <f>'Final data_for_R_analysis_Dryse'!J227</f>
        <v>R688</v>
      </c>
      <c r="J81">
        <f>IFERROR(INDEX('Green_rooibos initial weight'!$C$5:$C$1749,MATCH(H81, 'Green_rooibos initial weight'!$A$5:$A$1749,0)),"")</f>
        <v>2.056</v>
      </c>
      <c r="K81">
        <f>IFERROR(INDEX('Green_rooibos initial weight'!$C$5:$C$1749,MATCH(I81, 'Green_rooibos initial weight'!$A$5:$A$1749,0)),"")</f>
        <v>2.1709999999999998</v>
      </c>
      <c r="L81" s="195">
        <f t="shared" si="3"/>
        <v>1.8062</v>
      </c>
      <c r="M81" s="195">
        <f t="shared" si="4"/>
        <v>1.9211999999999998</v>
      </c>
      <c r="N81" s="16">
        <f>IF('Dry_Litterbag Placem_Collection'!G8="N.A","",'Dry_Litterbag Placem_Collection'!G8)</f>
        <v>43007</v>
      </c>
      <c r="O81" s="195" t="str">
        <f>IF(IFERROR(INDEX('Both teabags AfterDry'!$D$1:$D$839,MATCH(H81,'Both teabags AfterDry'!$A$1:$A$839,0)),"")="N.A","",(IFERROR(INDEX('Both teabags AfterDry'!$D$1:$D$839,MATCH(H81,'Both teabags AfterDry'!$A$1:$A$839,0)),"")))</f>
        <v/>
      </c>
      <c r="P81" s="195" t="str">
        <f>IF(IFERROR(INDEX('Both teabags AfterDry'!$D$1:$D$839,MATCH(I81,'Both teabags AfterDry'!$A$1:$A$839,0)),"")="N.A","",(IFERROR(INDEX('Both teabags AfterDry'!$D$1:$D$839,MATCH(I81,'Both teabags AfterDry'!$A$1:$A$839,0)),"")))</f>
        <v/>
      </c>
      <c r="Q81" s="195" t="str">
        <f t="shared" si="5"/>
        <v/>
      </c>
      <c r="R81" s="195" t="str">
        <f t="shared" si="5"/>
        <v/>
      </c>
      <c r="S81" s="195" t="str">
        <f t="shared" si="0"/>
        <v/>
      </c>
      <c r="T81" s="195" t="str">
        <f t="shared" si="6"/>
        <v/>
      </c>
      <c r="U81" s="195" t="str">
        <f t="shared" si="1"/>
        <v/>
      </c>
      <c r="V81">
        <f t="shared" si="2"/>
        <v>69</v>
      </c>
      <c r="W81" s="195" t="str">
        <f t="shared" si="7"/>
        <v/>
      </c>
      <c r="X81" s="195" t="str">
        <f t="shared" si="8"/>
        <v/>
      </c>
      <c r="Y81" s="255" t="str">
        <f>IF(ISNUMBER(SEARCH("C", 'Dry_Litterbag Placem_Collection'!T8)),"YES","NO")</f>
        <v>NO</v>
      </c>
      <c r="Z81" s="255" t="str">
        <f>IF(ISNUMBER(SEARCH("H", 'Dry_Litterbag Placem_Collection'!T8)),"YES","NO")</f>
        <v>NO</v>
      </c>
      <c r="AA81" s="255" t="str">
        <f>IF(ISNUMBER(SEARCH("R", 'Dry_Litterbag Placem_Collection'!T8)),"YES","NO")</f>
        <v>NO</v>
      </c>
      <c r="AB81" s="255" t="str">
        <f>IF(ISNUMBER(SEARCH("C", 'Dry_Litterbag Placem_Collection'!S8)),"YES","NO")</f>
        <v>NO</v>
      </c>
      <c r="AC81" s="255" t="str">
        <f>IF(ISNUMBER(SEARCH("H", 'Dry_Litterbag Placem_Collection'!S8)),"YES","NO")</f>
        <v>NO</v>
      </c>
      <c r="AD81" s="255" t="str">
        <f>IF(ISNUMBER(SEARCH("R", 'Dry_Litterbag Placem_Collection'!S8)),"YES","NO")</f>
        <v>NO</v>
      </c>
    </row>
    <row r="82" spans="2:30">
      <c r="B82" t="str">
        <f>'Final data_for_R_analysis_Dryse'!A8</f>
        <v>Dry</v>
      </c>
      <c r="C82" s="263">
        <f>'Final data_for_R_analysis_Dryse'!B8</f>
        <v>7</v>
      </c>
      <c r="D82" t="s">
        <v>3824</v>
      </c>
      <c r="E82" t="s">
        <v>22</v>
      </c>
      <c r="F82" s="387">
        <v>7</v>
      </c>
      <c r="G82" s="16">
        <f>'Dry_Litterbag Placem_Collection'!E9</f>
        <v>42938</v>
      </c>
      <c r="H82" t="str">
        <f>'Final data_for_R_analysis_Dryse'!J8</f>
        <v>G106</v>
      </c>
      <c r="I82" t="str">
        <f>'Final data_for_R_analysis_Dryse'!J228</f>
        <v>R762</v>
      </c>
      <c r="J82">
        <f>IFERROR(INDEX('Green_rooibos initial weight'!$C$5:$C$1749,MATCH(H82, 'Green_rooibos initial weight'!$A$5:$A$1749,0)),"")</f>
        <v>2.1230000000000002</v>
      </c>
      <c r="K82">
        <f>IFERROR(INDEX('Green_rooibos initial weight'!$C$5:$C$1749,MATCH(I82, 'Green_rooibos initial weight'!$A$5:$A$1749,0)),"")</f>
        <v>2.1949999999999998</v>
      </c>
      <c r="L82" s="195">
        <f t="shared" si="3"/>
        <v>1.8732000000000002</v>
      </c>
      <c r="M82" s="195">
        <f t="shared" si="4"/>
        <v>1.9451999999999998</v>
      </c>
      <c r="N82" s="16">
        <f>IF('Dry_Litterbag Placem_Collection'!G9="N.A","",'Dry_Litterbag Placem_Collection'!G9)</f>
        <v>43007</v>
      </c>
      <c r="O82" s="195">
        <f>IF(IFERROR(INDEX('Both teabags AfterDry'!$D$1:$D$839,MATCH(H82,'Both teabags AfterDry'!$A$1:$A$839,0)),"")="N.A","",(IFERROR(INDEX('Both teabags AfterDry'!$D$1:$D$839,MATCH(H82,'Both teabags AfterDry'!$A$1:$A$839,0)),"")))</f>
        <v>2.0188999999999999</v>
      </c>
      <c r="P82" s="195">
        <f>IF(IFERROR(INDEX('Both teabags AfterDry'!$D$1:$D$839,MATCH(I82,'Both teabags AfterDry'!$A$1:$A$839,0)),"")="N.A","",(IFERROR(INDEX('Both teabags AfterDry'!$D$1:$D$839,MATCH(I82,'Both teabags AfterDry'!$A$1:$A$839,0)),"")))</f>
        <v>1.7052</v>
      </c>
      <c r="Q82" s="195">
        <f t="shared" si="5"/>
        <v>1.8682999999999998</v>
      </c>
      <c r="R82" s="195">
        <f t="shared" si="5"/>
        <v>1.5546</v>
      </c>
      <c r="S82" s="195">
        <f t="shared" si="0"/>
        <v>2.6158445440958022E-3</v>
      </c>
      <c r="T82" s="195">
        <f t="shared" si="6"/>
        <v>1.7149004612124401E-3</v>
      </c>
      <c r="U82" s="195">
        <f t="shared" si="1"/>
        <v>0.79919802590993216</v>
      </c>
      <c r="V82">
        <f t="shared" si="2"/>
        <v>69</v>
      </c>
      <c r="W82" s="195">
        <f t="shared" si="7"/>
        <v>0.99689329626591949</v>
      </c>
      <c r="X82" s="195" t="str">
        <f t="shared" si="8"/>
        <v/>
      </c>
      <c r="Y82" s="255" t="str">
        <f>IF(ISNUMBER(SEARCH("C", 'Dry_Litterbag Placem_Collection'!T9)),"YES","NO")</f>
        <v>NO</v>
      </c>
      <c r="Z82" s="255" t="str">
        <f>IF(ISNUMBER(SEARCH("H", 'Dry_Litterbag Placem_Collection'!T9)),"YES","NO")</f>
        <v>YES</v>
      </c>
      <c r="AA82" s="255" t="str">
        <f>IF(ISNUMBER(SEARCH("R", 'Dry_Litterbag Placem_Collection'!T9)),"YES","NO")</f>
        <v>NO</v>
      </c>
      <c r="AB82" s="255" t="str">
        <f>IF(ISNUMBER(SEARCH("C", 'Dry_Litterbag Placem_Collection'!S9)),"YES","NO")</f>
        <v>NO</v>
      </c>
      <c r="AC82" s="255" t="str">
        <f>IF(ISNUMBER(SEARCH("H", 'Dry_Litterbag Placem_Collection'!S9)),"YES","NO")</f>
        <v>YES</v>
      </c>
      <c r="AD82" s="255" t="str">
        <f>IF(ISNUMBER(SEARCH("R", 'Dry_Litterbag Placem_Collection'!S9)),"YES","NO")</f>
        <v>NO</v>
      </c>
    </row>
    <row r="83" spans="2:30">
      <c r="B83" t="str">
        <f>'Final data_for_R_analysis_Dryse'!A9</f>
        <v>Dry</v>
      </c>
      <c r="C83" s="263">
        <f>'Final data_for_R_analysis_Dryse'!B9</f>
        <v>8</v>
      </c>
      <c r="D83" t="s">
        <v>3824</v>
      </c>
      <c r="E83" t="s">
        <v>22</v>
      </c>
      <c r="F83" s="387">
        <v>8</v>
      </c>
      <c r="G83" s="16">
        <f>'Dry_Litterbag Placem_Collection'!E10</f>
        <v>42938</v>
      </c>
      <c r="H83" t="str">
        <f>'Final data_for_R_analysis_Dryse'!J9</f>
        <v>G228</v>
      </c>
      <c r="I83" t="str">
        <f>'Final data_for_R_analysis_Dryse'!J229</f>
        <v>R727</v>
      </c>
      <c r="J83">
        <f>IFERROR(INDEX('Green_rooibos initial weight'!$C$5:$C$1749,MATCH(H83, 'Green_rooibos initial weight'!$A$5:$A$1749,0)),"")</f>
        <v>1.976</v>
      </c>
      <c r="K83">
        <f>IFERROR(INDEX('Green_rooibos initial weight'!$C$5:$C$1749,MATCH(I83, 'Green_rooibos initial weight'!$A$5:$A$1749,0)),"")</f>
        <v>2.1629999999999998</v>
      </c>
      <c r="L83" s="195">
        <f t="shared" si="3"/>
        <v>1.7262</v>
      </c>
      <c r="M83" s="195">
        <f t="shared" si="4"/>
        <v>1.9131999999999998</v>
      </c>
      <c r="N83" s="16">
        <f>IF('Dry_Litterbag Placem_Collection'!G10="N.A","",'Dry_Litterbag Placem_Collection'!G10)</f>
        <v>43007</v>
      </c>
      <c r="O83" s="195">
        <f>IF(IFERROR(INDEX('Both teabags AfterDry'!$D$1:$D$839,MATCH(H83,'Both teabags AfterDry'!$A$1:$A$839,0)),"")="N.A","",(IFERROR(INDEX('Both teabags AfterDry'!$D$1:$D$839,MATCH(H83,'Both teabags AfterDry'!$A$1:$A$839,0)),"")))</f>
        <v>0.83330000000000004</v>
      </c>
      <c r="P83" s="195">
        <f>IF(IFERROR(INDEX('Both teabags AfterDry'!$D$1:$D$839,MATCH(I83,'Both teabags AfterDry'!$A$1:$A$839,0)),"")="N.A","",(IFERROR(INDEX('Both teabags AfterDry'!$D$1:$D$839,MATCH(I83,'Both teabags AfterDry'!$A$1:$A$839,0)),"")))</f>
        <v>0</v>
      </c>
      <c r="Q83" s="195">
        <f t="shared" si="5"/>
        <v>0.68270000000000008</v>
      </c>
      <c r="R83" s="195" t="str">
        <f t="shared" si="5"/>
        <v/>
      </c>
      <c r="S83" s="195">
        <f t="shared" si="0"/>
        <v>0.60450700961649861</v>
      </c>
      <c r="T83" s="195">
        <f t="shared" si="6"/>
        <v>0.39630388278896356</v>
      </c>
      <c r="U83" s="195" t="str">
        <f t="shared" si="1"/>
        <v/>
      </c>
      <c r="V83">
        <f t="shared" si="2"/>
        <v>69</v>
      </c>
      <c r="W83" s="195">
        <f t="shared" si="7"/>
        <v>0.282058183353327</v>
      </c>
      <c r="X83" s="195" t="str">
        <f t="shared" si="8"/>
        <v/>
      </c>
      <c r="Y83" s="255" t="str">
        <f>IF(ISNUMBER(SEARCH("C", 'Dry_Litterbag Placem_Collection'!T10)),"YES","NO")</f>
        <v>NO</v>
      </c>
      <c r="Z83" s="255" t="str">
        <f>IF(ISNUMBER(SEARCH("H", 'Dry_Litterbag Placem_Collection'!T10)),"YES","NO")</f>
        <v>NO</v>
      </c>
      <c r="AA83" s="255" t="str">
        <f>IF(ISNUMBER(SEARCH("R", 'Dry_Litterbag Placem_Collection'!T10)),"YES","NO")</f>
        <v>NO</v>
      </c>
      <c r="AB83" s="255" t="str">
        <f>IF(ISNUMBER(SEARCH("C", 'Dry_Litterbag Placem_Collection'!S10)),"YES","NO")</f>
        <v>NO</v>
      </c>
      <c r="AC83" s="255" t="str">
        <f>IF(ISNUMBER(SEARCH("H", 'Dry_Litterbag Placem_Collection'!S10)),"YES","NO")</f>
        <v>NO</v>
      </c>
      <c r="AD83" s="255" t="str">
        <f>IF(ISNUMBER(SEARCH("R", 'Dry_Litterbag Placem_Collection'!S10)),"YES","NO")</f>
        <v>YES</v>
      </c>
    </row>
    <row r="84" spans="2:30">
      <c r="B84" t="str">
        <f>'Final data_for_R_analysis_Dryse'!A10</f>
        <v>Dry</v>
      </c>
      <c r="C84" s="263">
        <f>'Final data_for_R_analysis_Dryse'!B10</f>
        <v>9</v>
      </c>
      <c r="D84" t="s">
        <v>3828</v>
      </c>
      <c r="E84" t="s">
        <v>22</v>
      </c>
      <c r="F84" s="386">
        <v>1</v>
      </c>
      <c r="G84" s="16">
        <f>'Dry_Litterbag Placem_Collection'!E11</f>
        <v>42938</v>
      </c>
      <c r="H84" t="str">
        <f>'Final data_for_R_analysis_Dryse'!J10</f>
        <v>G277</v>
      </c>
      <c r="I84" t="str">
        <f>'Final data_for_R_analysis_Dryse'!J230</f>
        <v>R785</v>
      </c>
      <c r="J84">
        <f>IFERROR(INDEX('Green_rooibos initial weight'!$C$5:$C$1749,MATCH(H84, 'Green_rooibos initial weight'!$A$5:$A$1749,0)),"")</f>
        <v>1.93</v>
      </c>
      <c r="K84">
        <f>IFERROR(INDEX('Green_rooibos initial weight'!$C$5:$C$1749,MATCH(I84, 'Green_rooibos initial weight'!$A$5:$A$1749,0)),"")</f>
        <v>2.2549999999999999</v>
      </c>
      <c r="L84" s="195">
        <f t="shared" si="3"/>
        <v>1.6801999999999999</v>
      </c>
      <c r="M84" s="195">
        <f t="shared" si="4"/>
        <v>2.0051999999999999</v>
      </c>
      <c r="N84" s="16">
        <f>IF('Dry_Litterbag Placem_Collection'!G11="N.A","",'Dry_Litterbag Placem_Collection'!G11)</f>
        <v>43007</v>
      </c>
      <c r="O84" s="195">
        <f>IF(IFERROR(INDEX('Both teabags AfterDry'!$D$1:$D$839,MATCH(H84,'Both teabags AfterDry'!$A$1:$A$839,0)),"")="N.A","",(IFERROR(INDEX('Both teabags AfterDry'!$D$1:$D$839,MATCH(H84,'Both teabags AfterDry'!$A$1:$A$839,0)),"")))</f>
        <v>1.9345000000000001</v>
      </c>
      <c r="P84" s="195">
        <f>IF(IFERROR(INDEX('Both teabags AfterDry'!$D$1:$D$839,MATCH(I84,'Both teabags AfterDry'!$A$1:$A$839,0)),"")="N.A","",(IFERROR(INDEX('Both teabags AfterDry'!$D$1:$D$839,MATCH(I84,'Both teabags AfterDry'!$A$1:$A$839,0)),"")))</f>
        <v>3.7812999999999999</v>
      </c>
      <c r="Q84" s="195">
        <f t="shared" si="5"/>
        <v>1.7839</v>
      </c>
      <c r="R84" s="195">
        <f t="shared" si="5"/>
        <v>3.6307</v>
      </c>
      <c r="S84" s="195">
        <f t="shared" si="0"/>
        <v>-6.1718842994881618E-2</v>
      </c>
      <c r="T84" s="195">
        <f t="shared" si="6"/>
        <v>-4.0461759303057822E-2</v>
      </c>
      <c r="U84" s="195">
        <f t="shared" si="1"/>
        <v>1.8106423299421506</v>
      </c>
      <c r="V84">
        <f t="shared" si="2"/>
        <v>69</v>
      </c>
      <c r="W84" s="195">
        <f t="shared" si="7"/>
        <v>1.073300288592496</v>
      </c>
      <c r="X84" s="195" t="str">
        <f t="shared" si="8"/>
        <v/>
      </c>
      <c r="Y84" s="255" t="str">
        <f>IF(ISNUMBER(SEARCH("C", 'Dry_Litterbag Placem_Collection'!T11)),"YES","NO")</f>
        <v>YES</v>
      </c>
      <c r="Z84" s="255" t="str">
        <f>IF(ISNUMBER(SEARCH("H", 'Dry_Litterbag Placem_Collection'!T11)),"YES","NO")</f>
        <v>NO</v>
      </c>
      <c r="AA84" s="255" t="str">
        <f>IF(ISNUMBER(SEARCH("R", 'Dry_Litterbag Placem_Collection'!T11)),"YES","NO")</f>
        <v>NO</v>
      </c>
      <c r="AB84" s="255" t="str">
        <f>IF(ISNUMBER(SEARCH("C", 'Dry_Litterbag Placem_Collection'!S11)),"YES","NO")</f>
        <v>YES</v>
      </c>
      <c r="AC84" s="255" t="str">
        <f>IF(ISNUMBER(SEARCH("H", 'Dry_Litterbag Placem_Collection'!S11)),"YES","NO")</f>
        <v>YES</v>
      </c>
      <c r="AD84" s="255" t="str">
        <f>IF(ISNUMBER(SEARCH("R", 'Dry_Litterbag Placem_Collection'!S11)),"YES","NO")</f>
        <v>NO</v>
      </c>
    </row>
    <row r="85" spans="2:30">
      <c r="B85" t="str">
        <f>'Final data_for_R_analysis_Dryse'!A11</f>
        <v>Dry</v>
      </c>
      <c r="C85" s="263">
        <f>'Final data_for_R_analysis_Dryse'!B11</f>
        <v>10</v>
      </c>
      <c r="D85" t="s">
        <v>3828</v>
      </c>
      <c r="E85" t="s">
        <v>22</v>
      </c>
      <c r="F85" s="386">
        <v>2</v>
      </c>
      <c r="G85" s="16">
        <f>'Dry_Litterbag Placem_Collection'!E12</f>
        <v>42938</v>
      </c>
      <c r="H85" t="str">
        <f>'Final data_for_R_analysis_Dryse'!J11</f>
        <v>G310</v>
      </c>
      <c r="I85" t="str">
        <f>'Final data_for_R_analysis_Dryse'!J231</f>
        <v>R747</v>
      </c>
      <c r="J85">
        <f>IFERROR(INDEX('Green_rooibos initial weight'!$C$5:$C$1749,MATCH(H85, 'Green_rooibos initial weight'!$A$5:$A$1749,0)),"")</f>
        <v>2.0459999999999998</v>
      </c>
      <c r="K85">
        <f>IFERROR(INDEX('Green_rooibos initial weight'!$C$5:$C$1749,MATCH(I85, 'Green_rooibos initial weight'!$A$5:$A$1749,0)),"")</f>
        <v>2.1549999999999998</v>
      </c>
      <c r="L85" s="195">
        <f t="shared" si="3"/>
        <v>1.7961999999999998</v>
      </c>
      <c r="M85" s="195">
        <f t="shared" si="4"/>
        <v>1.9051999999999998</v>
      </c>
      <c r="N85" s="16">
        <f>IF('Dry_Litterbag Placem_Collection'!G12="N.A","",'Dry_Litterbag Placem_Collection'!G12)</f>
        <v>0</v>
      </c>
      <c r="O85" s="195" t="str">
        <f>IF(IFERROR(INDEX('Both teabags AfterDry'!$D$1:$D$839,MATCH(H85,'Both teabags AfterDry'!$A$1:$A$839,0)),"")="N.A","",(IFERROR(INDEX('Both teabags AfterDry'!$D$1:$D$839,MATCH(H85,'Both teabags AfterDry'!$A$1:$A$839,0)),"")))</f>
        <v/>
      </c>
      <c r="P85" s="195" t="str">
        <f>IF(IFERROR(INDEX('Both teabags AfterDry'!$D$1:$D$839,MATCH(I85,'Both teabags AfterDry'!$A$1:$A$839,0)),"")="N.A","",(IFERROR(INDEX('Both teabags AfterDry'!$D$1:$D$839,MATCH(I85,'Both teabags AfterDry'!$A$1:$A$839,0)),"")))</f>
        <v/>
      </c>
      <c r="Q85" s="195" t="str">
        <f t="shared" si="5"/>
        <v/>
      </c>
      <c r="R85" s="195" t="str">
        <f t="shared" si="5"/>
        <v/>
      </c>
      <c r="S85" s="195" t="str">
        <f t="shared" si="0"/>
        <v/>
      </c>
      <c r="T85" s="195" t="str">
        <f t="shared" si="6"/>
        <v/>
      </c>
      <c r="U85" s="195" t="str">
        <f t="shared" si="1"/>
        <v/>
      </c>
      <c r="V85" t="str">
        <f t="shared" si="2"/>
        <v/>
      </c>
      <c r="W85" s="195" t="str">
        <f t="shared" si="7"/>
        <v/>
      </c>
      <c r="X85" s="195" t="str">
        <f t="shared" si="8"/>
        <v/>
      </c>
      <c r="Y85" s="255" t="str">
        <f>IF(ISNUMBER(SEARCH("C", 'Dry_Litterbag Placem_Collection'!T12)),"YES","NO")</f>
        <v>NO</v>
      </c>
      <c r="Z85" s="255" t="str">
        <f>IF(ISNUMBER(SEARCH("H", 'Dry_Litterbag Placem_Collection'!T12)),"YES","NO")</f>
        <v>NO</v>
      </c>
      <c r="AA85" s="255" t="str">
        <f>IF(ISNUMBER(SEARCH("R", 'Dry_Litterbag Placem_Collection'!T12)),"YES","NO")</f>
        <v>NO</v>
      </c>
      <c r="AB85" s="255" t="str">
        <f>IF(ISNUMBER(SEARCH("C", 'Dry_Litterbag Placem_Collection'!S12)),"YES","NO")</f>
        <v>NO</v>
      </c>
      <c r="AC85" s="255" t="str">
        <f>IF(ISNUMBER(SEARCH("H", 'Dry_Litterbag Placem_Collection'!S12)),"YES","NO")</f>
        <v>NO</v>
      </c>
      <c r="AD85" s="255" t="str">
        <f>IF(ISNUMBER(SEARCH("R", 'Dry_Litterbag Placem_Collection'!S12)),"YES","NO")</f>
        <v>NO</v>
      </c>
    </row>
    <row r="86" spans="2:30">
      <c r="B86" t="str">
        <f>'Final data_for_R_analysis_Dryse'!A12</f>
        <v>Dry</v>
      </c>
      <c r="C86" s="263">
        <f>'Final data_for_R_analysis_Dryse'!B12</f>
        <v>11</v>
      </c>
      <c r="D86" t="s">
        <v>3828</v>
      </c>
      <c r="E86" t="s">
        <v>22</v>
      </c>
      <c r="F86" s="386">
        <v>3</v>
      </c>
      <c r="G86" s="16">
        <f>'Dry_Litterbag Placem_Collection'!E13</f>
        <v>42938</v>
      </c>
      <c r="H86" t="str">
        <f>'Final data_for_R_analysis_Dryse'!J12</f>
        <v>G435</v>
      </c>
      <c r="I86" t="str">
        <f>'Final data_for_R_analysis_Dryse'!J232</f>
        <v>R748</v>
      </c>
      <c r="J86">
        <f>IFERROR(INDEX('Green_rooibos initial weight'!$C$5:$C$1749,MATCH(H86, 'Green_rooibos initial weight'!$A$5:$A$1749,0)),"")</f>
        <v>2.0009999999999999</v>
      </c>
      <c r="K86">
        <f>IFERROR(INDEX('Green_rooibos initial weight'!$C$5:$C$1749,MATCH(I86, 'Green_rooibos initial weight'!$A$5:$A$1749,0)),"")</f>
        <v>2.1829999999999998</v>
      </c>
      <c r="L86" s="195">
        <f t="shared" si="3"/>
        <v>1.7511999999999999</v>
      </c>
      <c r="M86" s="195">
        <f t="shared" si="4"/>
        <v>1.9331999999999998</v>
      </c>
      <c r="N86" s="16">
        <f>IF('Dry_Litterbag Placem_Collection'!G13="N.A","",'Dry_Litterbag Placem_Collection'!G13)</f>
        <v>43007</v>
      </c>
      <c r="O86" s="195">
        <f>IF(IFERROR(INDEX('Both teabags AfterDry'!$D$1:$D$839,MATCH(H86,'Both teabags AfterDry'!$A$1:$A$839,0)),"")="N.A","",(IFERROR(INDEX('Both teabags AfterDry'!$D$1:$D$839,MATCH(H86,'Both teabags AfterDry'!$A$1:$A$839,0)),"")))</f>
        <v>1.7934000000000001</v>
      </c>
      <c r="P86" s="195">
        <f>IF(IFERROR(INDEX('Both teabags AfterDry'!$D$1:$D$839,MATCH(I86,'Both teabags AfterDry'!$A$1:$A$839,0)),"")="N.A","",(IFERROR(INDEX('Both teabags AfterDry'!$D$1:$D$839,MATCH(I86,'Both teabags AfterDry'!$A$1:$A$839,0)),"")))</f>
        <v>0.98360000000000003</v>
      </c>
      <c r="Q86" s="195">
        <f t="shared" si="5"/>
        <v>1.6428</v>
      </c>
      <c r="R86" s="195">
        <f t="shared" si="5"/>
        <v>0.83299999999999996</v>
      </c>
      <c r="S86" s="195">
        <f t="shared" si="0"/>
        <v>6.1900411146642242E-2</v>
      </c>
      <c r="T86" s="195">
        <f t="shared" si="6"/>
        <v>4.0580792105637205E-2</v>
      </c>
      <c r="U86" s="195">
        <f t="shared" si="1"/>
        <v>0.43089178564038899</v>
      </c>
      <c r="V86">
        <f t="shared" si="2"/>
        <v>69</v>
      </c>
      <c r="W86" s="195">
        <f t="shared" si="7"/>
        <v>0.92648407227239638</v>
      </c>
      <c r="X86" s="195" t="str">
        <f t="shared" si="8"/>
        <v/>
      </c>
      <c r="Y86" s="255" t="str">
        <f>IF(ISNUMBER(SEARCH("C", 'Dry_Litterbag Placem_Collection'!T13)),"YES","NO")</f>
        <v>YES</v>
      </c>
      <c r="Z86" s="255" t="str">
        <f>IF(ISNUMBER(SEARCH("H", 'Dry_Litterbag Placem_Collection'!T13)),"YES","NO")</f>
        <v>YES</v>
      </c>
      <c r="AA86" s="255" t="str">
        <f>IF(ISNUMBER(SEARCH("R", 'Dry_Litterbag Placem_Collection'!T13)),"YES","NO")</f>
        <v>NO</v>
      </c>
      <c r="AB86" s="255" t="str">
        <f>IF(ISNUMBER(SEARCH("C", 'Dry_Litterbag Placem_Collection'!S13)),"YES","NO")</f>
        <v>YES</v>
      </c>
      <c r="AC86" s="255" t="str">
        <f>IF(ISNUMBER(SEARCH("H", 'Dry_Litterbag Placem_Collection'!S13)),"YES","NO")</f>
        <v>YES</v>
      </c>
      <c r="AD86" s="255" t="str">
        <f>IF(ISNUMBER(SEARCH("R", 'Dry_Litterbag Placem_Collection'!S13)),"YES","NO")</f>
        <v>NO</v>
      </c>
    </row>
    <row r="87" spans="2:30">
      <c r="B87" t="str">
        <f>'Final data_for_R_analysis_Dryse'!A13</f>
        <v>Dry</v>
      </c>
      <c r="C87" s="263">
        <f>'Final data_for_R_analysis_Dryse'!B13</f>
        <v>12</v>
      </c>
      <c r="D87" t="s">
        <v>3828</v>
      </c>
      <c r="E87" t="s">
        <v>22</v>
      </c>
      <c r="F87" s="387">
        <v>4</v>
      </c>
      <c r="G87" s="16">
        <f>'Dry_Litterbag Placem_Collection'!E14</f>
        <v>0</v>
      </c>
      <c r="H87" t="str">
        <f>'Final data_for_R_analysis_Dryse'!J13</f>
        <v/>
      </c>
      <c r="I87" t="str">
        <f>'Final data_for_R_analysis_Dryse'!J233</f>
        <v/>
      </c>
      <c r="J87" t="str">
        <f>IFERROR(INDEX('Green_rooibos initial weight'!$C$5:$C$1749,MATCH(H87, 'Green_rooibos initial weight'!$A$5:$A$1749,0)),"")</f>
        <v/>
      </c>
      <c r="K87" t="str">
        <f>IFERROR(INDEX('Green_rooibos initial weight'!$C$5:$C$1749,MATCH(I87, 'Green_rooibos initial weight'!$A$5:$A$1749,0)),"")</f>
        <v/>
      </c>
      <c r="L87" s="195" t="str">
        <f t="shared" si="3"/>
        <v/>
      </c>
      <c r="M87" s="195" t="str">
        <f t="shared" si="4"/>
        <v/>
      </c>
      <c r="N87" s="16">
        <f>IF('Dry_Litterbag Placem_Collection'!G14="N.A","",'Dry_Litterbag Placem_Collection'!G14)</f>
        <v>0</v>
      </c>
      <c r="O87" s="195" t="str">
        <f>IF(IFERROR(INDEX('Both teabags AfterDry'!$D$1:$D$839,MATCH(H87,'Both teabags AfterDry'!$A$1:$A$839,0)),"")="N.A","",(IFERROR(INDEX('Both teabags AfterDry'!$D$1:$D$839,MATCH(H87,'Both teabags AfterDry'!$A$1:$A$839,0)),"")))</f>
        <v/>
      </c>
      <c r="P87" s="195" t="str">
        <f>IF(IFERROR(INDEX('Both teabags AfterDry'!$D$1:$D$839,MATCH(I87,'Both teabags AfterDry'!$A$1:$A$839,0)),"")="N.A","",(IFERROR(INDEX('Both teabags AfterDry'!$D$1:$D$839,MATCH(I87,'Both teabags AfterDry'!$A$1:$A$839,0)),"")))</f>
        <v/>
      </c>
      <c r="Q87" s="195" t="str">
        <f t="shared" si="5"/>
        <v/>
      </c>
      <c r="R87" s="195" t="str">
        <f t="shared" si="5"/>
        <v/>
      </c>
      <c r="S87" s="195" t="str">
        <f t="shared" si="0"/>
        <v/>
      </c>
      <c r="T87" s="195" t="str">
        <f t="shared" si="6"/>
        <v/>
      </c>
      <c r="U87" s="195" t="str">
        <f t="shared" si="1"/>
        <v/>
      </c>
      <c r="V87" t="str">
        <f t="shared" si="2"/>
        <v/>
      </c>
      <c r="W87" s="195" t="str">
        <f t="shared" si="7"/>
        <v/>
      </c>
      <c r="X87" s="195" t="str">
        <f t="shared" si="8"/>
        <v/>
      </c>
      <c r="Y87" s="255" t="str">
        <f>IF(ISNUMBER(SEARCH("C", 'Dry_Litterbag Placem_Collection'!T14)),"YES","NO")</f>
        <v>NO</v>
      </c>
      <c r="Z87" s="255" t="str">
        <f>IF(ISNUMBER(SEARCH("H", 'Dry_Litterbag Placem_Collection'!T14)),"YES","NO")</f>
        <v>NO</v>
      </c>
      <c r="AA87" s="255" t="str">
        <f>IF(ISNUMBER(SEARCH("R", 'Dry_Litterbag Placem_Collection'!T14)),"YES","NO")</f>
        <v>NO</v>
      </c>
      <c r="AB87" s="255" t="str">
        <f>IF(ISNUMBER(SEARCH("C", 'Dry_Litterbag Placem_Collection'!S14)),"YES","NO")</f>
        <v>NO</v>
      </c>
      <c r="AC87" s="255" t="str">
        <f>IF(ISNUMBER(SEARCH("H", 'Dry_Litterbag Placem_Collection'!S14)),"YES","NO")</f>
        <v>NO</v>
      </c>
      <c r="AD87" s="255" t="str">
        <f>IF(ISNUMBER(SEARCH("R", 'Dry_Litterbag Placem_Collection'!S14)),"YES","NO")</f>
        <v>NO</v>
      </c>
    </row>
    <row r="88" spans="2:30">
      <c r="B88" t="str">
        <f>'Final data_for_R_analysis_Dryse'!A14</f>
        <v>Dry</v>
      </c>
      <c r="C88" s="263">
        <f>'Final data_for_R_analysis_Dryse'!B14</f>
        <v>13</v>
      </c>
      <c r="D88" t="s">
        <v>3828</v>
      </c>
      <c r="E88" t="s">
        <v>22</v>
      </c>
      <c r="F88" s="387">
        <v>5</v>
      </c>
      <c r="G88" s="16">
        <f>'Dry_Litterbag Placem_Collection'!E15</f>
        <v>42938</v>
      </c>
      <c r="H88" t="str">
        <f>'Final data_for_R_analysis_Dryse'!J14</f>
        <v>G2</v>
      </c>
      <c r="I88" t="str">
        <f>'Final data_for_R_analysis_Dryse'!J234</f>
        <v>R784</v>
      </c>
      <c r="J88">
        <f>IFERROR(INDEX('Green_rooibos initial weight'!$C$5:$C$1749,MATCH(H88, 'Green_rooibos initial weight'!$A$5:$A$1749,0)),"")</f>
        <v>2</v>
      </c>
      <c r="K88">
        <f>IFERROR(INDEX('Green_rooibos initial weight'!$C$5:$C$1749,MATCH(I88, 'Green_rooibos initial weight'!$A$5:$A$1749,0)),"")</f>
        <v>2.17</v>
      </c>
      <c r="L88" s="195">
        <f t="shared" si="3"/>
        <v>1.7502</v>
      </c>
      <c r="M88" s="195">
        <f t="shared" si="4"/>
        <v>1.9201999999999999</v>
      </c>
      <c r="N88" s="16">
        <f>IF('Dry_Litterbag Placem_Collection'!G15="N.A","",'Dry_Litterbag Placem_Collection'!G15)</f>
        <v>43007</v>
      </c>
      <c r="O88" s="195">
        <f>IF(IFERROR(INDEX('Both teabags AfterDry'!$D$1:$D$839,MATCH(H88,'Both teabags AfterDry'!$A$1:$A$839,0)),"")="N.A","",(IFERROR(INDEX('Both teabags AfterDry'!$D$1:$D$839,MATCH(H88,'Both teabags AfterDry'!$A$1:$A$839,0)),"")))</f>
        <v>1.7587999999999999</v>
      </c>
      <c r="P88" s="195">
        <f>IF(IFERROR(INDEX('Both teabags AfterDry'!$D$1:$D$839,MATCH(I88,'Both teabags AfterDry'!$A$1:$A$839,0)),"")="N.A","",(IFERROR(INDEX('Both teabags AfterDry'!$D$1:$D$839,MATCH(I88,'Both teabags AfterDry'!$A$1:$A$839,0)),"")))</f>
        <v>0</v>
      </c>
      <c r="Q88" s="195">
        <f t="shared" si="5"/>
        <v>1.6081999999999999</v>
      </c>
      <c r="R88" s="195" t="str">
        <f t="shared" si="5"/>
        <v/>
      </c>
      <c r="S88" s="195">
        <f t="shared" si="0"/>
        <v>8.1133584733173447E-2</v>
      </c>
      <c r="T88" s="195">
        <f t="shared" si="6"/>
        <v>5.3189713506783559E-2</v>
      </c>
      <c r="U88" s="195" t="str">
        <f t="shared" si="1"/>
        <v/>
      </c>
      <c r="V88">
        <f t="shared" si="2"/>
        <v>69</v>
      </c>
      <c r="W88" s="195">
        <f t="shared" si="7"/>
        <v>0.90364182335727616</v>
      </c>
      <c r="X88" s="195" t="str">
        <f t="shared" si="8"/>
        <v/>
      </c>
      <c r="Y88" s="255" t="str">
        <f>IF(ISNUMBER(SEARCH("C", 'Dry_Litterbag Placem_Collection'!T15)),"YES","NO")</f>
        <v>YES</v>
      </c>
      <c r="Z88" s="255" t="str">
        <f>IF(ISNUMBER(SEARCH("H", 'Dry_Litterbag Placem_Collection'!T15)),"YES","NO")</f>
        <v>YES</v>
      </c>
      <c r="AA88" s="255" t="str">
        <f>IF(ISNUMBER(SEARCH("R", 'Dry_Litterbag Placem_Collection'!T15)),"YES","NO")</f>
        <v>NO</v>
      </c>
      <c r="AB88" s="255" t="str">
        <f>IF(ISNUMBER(SEARCH("C", 'Dry_Litterbag Placem_Collection'!S15)),"YES","NO")</f>
        <v>YES</v>
      </c>
      <c r="AC88" s="255" t="str">
        <f>IF(ISNUMBER(SEARCH("H", 'Dry_Litterbag Placem_Collection'!S15)),"YES","NO")</f>
        <v>NO</v>
      </c>
      <c r="AD88" s="255" t="str">
        <f>IF(ISNUMBER(SEARCH("R", 'Dry_Litterbag Placem_Collection'!S15)),"YES","NO")</f>
        <v>NO</v>
      </c>
    </row>
    <row r="89" spans="2:30">
      <c r="B89" t="str">
        <f>'Final data_for_R_analysis_Dryse'!A15</f>
        <v>Dry</v>
      </c>
      <c r="C89" s="263">
        <f>'Final data_for_R_analysis_Dryse'!B15</f>
        <v>14</v>
      </c>
      <c r="D89" t="s">
        <v>3828</v>
      </c>
      <c r="E89" t="s">
        <v>22</v>
      </c>
      <c r="F89" s="387">
        <v>6</v>
      </c>
      <c r="G89" s="16">
        <f>'Dry_Litterbag Placem_Collection'!E16</f>
        <v>42938</v>
      </c>
      <c r="H89" t="str">
        <f>'Final data_for_R_analysis_Dryse'!J15</f>
        <v>G225</v>
      </c>
      <c r="I89" t="str">
        <f>'Final data_for_R_analysis_Dryse'!J235</f>
        <v>R838</v>
      </c>
      <c r="J89">
        <f>IFERROR(INDEX('Green_rooibos initial weight'!$C$5:$C$1749,MATCH(H89, 'Green_rooibos initial weight'!$A$5:$A$1749,0)),"")</f>
        <v>2.117</v>
      </c>
      <c r="K89">
        <f>IFERROR(INDEX('Green_rooibos initial weight'!$C$5:$C$1749,MATCH(I89, 'Green_rooibos initial weight'!$A$5:$A$1749,0)),"")</f>
        <v>2.1589999999999998</v>
      </c>
      <c r="L89" s="195">
        <f t="shared" si="3"/>
        <v>1.8672</v>
      </c>
      <c r="M89" s="195">
        <f t="shared" si="4"/>
        <v>1.9091999999999998</v>
      </c>
      <c r="N89" s="16">
        <f>IF('Dry_Litterbag Placem_Collection'!G16="N.A","",'Dry_Litterbag Placem_Collection'!G16)</f>
        <v>43007</v>
      </c>
      <c r="O89" s="195">
        <f>IF(IFERROR(INDEX('Both teabags AfterDry'!$D$1:$D$839,MATCH(H89,'Both teabags AfterDry'!$A$1:$A$839,0)),"")="N.A","",(IFERROR(INDEX('Both teabags AfterDry'!$D$1:$D$839,MATCH(H89,'Both teabags AfterDry'!$A$1:$A$839,0)),"")))</f>
        <v>1.25</v>
      </c>
      <c r="P89" s="195">
        <f>IF(IFERROR(INDEX('Both teabags AfterDry'!$D$1:$D$839,MATCH(I89,'Both teabags AfterDry'!$A$1:$A$839,0)),"")="N.A","",(IFERROR(INDEX('Both teabags AfterDry'!$D$1:$D$839,MATCH(I89,'Both teabags AfterDry'!$A$1:$A$839,0)),"")))</f>
        <v>1.0848</v>
      </c>
      <c r="Q89" s="195">
        <f t="shared" si="5"/>
        <v>1.0993999999999999</v>
      </c>
      <c r="R89" s="195">
        <f t="shared" si="5"/>
        <v>0.93419999999999992</v>
      </c>
      <c r="S89" s="195">
        <f t="shared" si="0"/>
        <v>0.411203941730934</v>
      </c>
      <c r="T89" s="195">
        <f t="shared" si="6"/>
        <v>0.26957788103975722</v>
      </c>
      <c r="U89" s="195">
        <f t="shared" si="1"/>
        <v>0.48931489629164049</v>
      </c>
      <c r="V89">
        <f t="shared" si="2"/>
        <v>69</v>
      </c>
      <c r="W89" s="195">
        <f t="shared" si="7"/>
        <v>0.51163427347870072</v>
      </c>
      <c r="X89" s="195" t="str">
        <f t="shared" si="8"/>
        <v/>
      </c>
      <c r="Y89" s="255" t="str">
        <f>IF(ISNUMBER(SEARCH("C", 'Dry_Litterbag Placem_Collection'!T16)),"YES","NO")</f>
        <v>YES</v>
      </c>
      <c r="Z89" s="255" t="str">
        <f>IF(ISNUMBER(SEARCH("H", 'Dry_Litterbag Placem_Collection'!T16)),"YES","NO")</f>
        <v>YES</v>
      </c>
      <c r="AA89" s="255" t="str">
        <f>IF(ISNUMBER(SEARCH("R", 'Dry_Litterbag Placem_Collection'!T16)),"YES","NO")</f>
        <v>NO</v>
      </c>
      <c r="AB89" s="255" t="str">
        <f>IF(ISNUMBER(SEARCH("C", 'Dry_Litterbag Placem_Collection'!S16)),"YES","NO")</f>
        <v>NO</v>
      </c>
      <c r="AC89" s="255" t="str">
        <f>IF(ISNUMBER(SEARCH("H", 'Dry_Litterbag Placem_Collection'!S16)),"YES","NO")</f>
        <v>YES</v>
      </c>
      <c r="AD89" s="255" t="str">
        <f>IF(ISNUMBER(SEARCH("R", 'Dry_Litterbag Placem_Collection'!S16)),"YES","NO")</f>
        <v>NO</v>
      </c>
    </row>
    <row r="90" spans="2:30">
      <c r="B90" t="str">
        <f>'Final data_for_R_analysis_Dryse'!A16</f>
        <v>Dry</v>
      </c>
      <c r="C90" s="263">
        <f>'Final data_for_R_analysis_Dryse'!B16</f>
        <v>15</v>
      </c>
      <c r="D90" t="s">
        <v>3828</v>
      </c>
      <c r="E90" t="s">
        <v>22</v>
      </c>
      <c r="F90" s="387">
        <v>7</v>
      </c>
      <c r="G90" s="16">
        <f>'Dry_Litterbag Placem_Collection'!E17</f>
        <v>42938</v>
      </c>
      <c r="H90" t="str">
        <f>'Final data_for_R_analysis_Dryse'!J16</f>
        <v>G444</v>
      </c>
      <c r="I90" t="str">
        <f>'Final data_for_R_analysis_Dryse'!J236</f>
        <v>R793</v>
      </c>
      <c r="J90">
        <f>IFERROR(INDEX('Green_rooibos initial weight'!$C$5:$C$1749,MATCH(H90, 'Green_rooibos initial weight'!$A$5:$A$1749,0)),"")</f>
        <v>2.0259999999999998</v>
      </c>
      <c r="K90">
        <f>IFERROR(INDEX('Green_rooibos initial weight'!$C$5:$C$1749,MATCH(I90, 'Green_rooibos initial weight'!$A$5:$A$1749,0)),"")</f>
        <v>2.2050000000000001</v>
      </c>
      <c r="L90" s="195">
        <f t="shared" si="3"/>
        <v>1.7761999999999998</v>
      </c>
      <c r="M90" s="195">
        <f t="shared" si="4"/>
        <v>1.9552</v>
      </c>
      <c r="N90" s="16">
        <f>IF('Dry_Litterbag Placem_Collection'!G17="N.A","",'Dry_Litterbag Placem_Collection'!G17)</f>
        <v>43007</v>
      </c>
      <c r="O90" s="195">
        <f>IF(IFERROR(INDEX('Both teabags AfterDry'!$D$1:$D$839,MATCH(H90,'Both teabags AfterDry'!$A$1:$A$839,0)),"")="N.A","",(IFERROR(INDEX('Both teabags AfterDry'!$D$1:$D$839,MATCH(H90,'Both teabags AfterDry'!$A$1:$A$839,0)),"")))</f>
        <v>1.3574999999999999</v>
      </c>
      <c r="P90" s="195">
        <f>IF(IFERROR(INDEX('Both teabags AfterDry'!$D$1:$D$839,MATCH(I90,'Both teabags AfterDry'!$A$1:$A$839,0)),"")="N.A","",(IFERROR(INDEX('Both teabags AfterDry'!$D$1:$D$839,MATCH(I90,'Both teabags AfterDry'!$A$1:$A$839,0)),"")))</f>
        <v>0.24560000000000001</v>
      </c>
      <c r="Q90" s="195">
        <f t="shared" si="5"/>
        <v>1.2068999999999999</v>
      </c>
      <c r="R90" s="195">
        <f t="shared" si="5"/>
        <v>9.5000000000000001E-2</v>
      </c>
      <c r="S90" s="195">
        <f t="shared" si="0"/>
        <v>0.32051570769057536</v>
      </c>
      <c r="T90" s="195">
        <f t="shared" si="6"/>
        <v>0.21012431193016345</v>
      </c>
      <c r="U90" s="195">
        <f t="shared" si="1"/>
        <v>4.8588379705400982E-2</v>
      </c>
      <c r="V90">
        <f t="shared" si="2"/>
        <v>69</v>
      </c>
      <c r="W90" s="195">
        <f t="shared" si="7"/>
        <v>0.61934001461926913</v>
      </c>
      <c r="X90" s="195" t="str">
        <f t="shared" si="8"/>
        <v/>
      </c>
      <c r="Y90" s="255" t="str">
        <f>IF(ISNUMBER(SEARCH("C", 'Dry_Litterbag Placem_Collection'!T17)),"YES","NO")</f>
        <v>YES</v>
      </c>
      <c r="Z90" s="255" t="str">
        <f>IF(ISNUMBER(SEARCH("H", 'Dry_Litterbag Placem_Collection'!T17)),"YES","NO")</f>
        <v>YES</v>
      </c>
      <c r="AA90" s="255" t="str">
        <f>IF(ISNUMBER(SEARCH("R", 'Dry_Litterbag Placem_Collection'!T17)),"YES","NO")</f>
        <v>NO</v>
      </c>
      <c r="AB90" s="255" t="str">
        <f>IF(ISNUMBER(SEARCH("C", 'Dry_Litterbag Placem_Collection'!S17)),"YES","NO")</f>
        <v>YES</v>
      </c>
      <c r="AC90" s="255" t="str">
        <f>IF(ISNUMBER(SEARCH("H", 'Dry_Litterbag Placem_Collection'!S17)),"YES","NO")</f>
        <v>YES</v>
      </c>
      <c r="AD90" s="255" t="str">
        <f>IF(ISNUMBER(SEARCH("R", 'Dry_Litterbag Placem_Collection'!S17)),"YES","NO")</f>
        <v>NO</v>
      </c>
    </row>
    <row r="91" spans="2:30">
      <c r="B91" t="str">
        <f>'Final data_for_R_analysis_Dryse'!A17</f>
        <v>Dry</v>
      </c>
      <c r="C91" s="263">
        <f>'Final data_for_R_analysis_Dryse'!B17</f>
        <v>16</v>
      </c>
      <c r="D91" t="s">
        <v>3828</v>
      </c>
      <c r="E91" t="s">
        <v>22</v>
      </c>
      <c r="F91" s="387">
        <v>8</v>
      </c>
      <c r="G91" s="16">
        <f>'Dry_Litterbag Placem_Collection'!E18</f>
        <v>42938</v>
      </c>
      <c r="H91" t="str">
        <f>'Final data_for_R_analysis_Dryse'!J17</f>
        <v>G376</v>
      </c>
      <c r="I91" t="str">
        <f>'Final data_for_R_analysis_Dryse'!J237</f>
        <v>R755</v>
      </c>
      <c r="J91">
        <f>IFERROR(INDEX('Green_rooibos initial weight'!$C$5:$C$1749,MATCH(H91, 'Green_rooibos initial weight'!$A$5:$A$1749,0)),"")</f>
        <v>2.0329999999999999</v>
      </c>
      <c r="K91">
        <f>IFERROR(INDEX('Green_rooibos initial weight'!$C$5:$C$1749,MATCH(I91, 'Green_rooibos initial weight'!$A$5:$A$1749,0)),"")</f>
        <v>2.2120000000000002</v>
      </c>
      <c r="L91" s="195">
        <f t="shared" si="3"/>
        <v>1.7831999999999999</v>
      </c>
      <c r="M91" s="195">
        <f t="shared" si="4"/>
        <v>1.9622000000000002</v>
      </c>
      <c r="N91" s="16">
        <f>IF('Dry_Litterbag Placem_Collection'!G18="N.A","",'Dry_Litterbag Placem_Collection'!G18)</f>
        <v>43007</v>
      </c>
      <c r="O91" s="195" t="str">
        <f>IF(IFERROR(INDEX('Both teabags AfterDry'!$D$1:$D$839,MATCH(H91,'Both teabags AfterDry'!$A$1:$A$839,0)),"")="N.A","",(IFERROR(INDEX('Both teabags AfterDry'!$D$1:$D$839,MATCH(H91,'Both teabags AfterDry'!$A$1:$A$839,0)),"")))</f>
        <v/>
      </c>
      <c r="P91" s="195" t="str">
        <f>IF(IFERROR(INDEX('Both teabags AfterDry'!$D$1:$D$839,MATCH(I91,'Both teabags AfterDry'!$A$1:$A$839,0)),"")="N.A","",(IFERROR(INDEX('Both teabags AfterDry'!$D$1:$D$839,MATCH(I91,'Both teabags AfterDry'!$A$1:$A$839,0)),"")))</f>
        <v/>
      </c>
      <c r="Q91" s="195" t="str">
        <f t="shared" si="5"/>
        <v/>
      </c>
      <c r="R91" s="195" t="str">
        <f t="shared" si="5"/>
        <v/>
      </c>
      <c r="S91" s="195" t="str">
        <f t="shared" si="0"/>
        <v/>
      </c>
      <c r="T91" s="195" t="str">
        <f t="shared" si="6"/>
        <v/>
      </c>
      <c r="U91" s="195" t="str">
        <f t="shared" si="1"/>
        <v/>
      </c>
      <c r="V91">
        <f t="shared" si="2"/>
        <v>69</v>
      </c>
      <c r="W91" s="195" t="str">
        <f t="shared" si="7"/>
        <v/>
      </c>
      <c r="X91" s="195" t="str">
        <f t="shared" si="8"/>
        <v/>
      </c>
      <c r="Y91" s="255" t="str">
        <f>IF(ISNUMBER(SEARCH("C", 'Dry_Litterbag Placem_Collection'!T18)),"YES","NO")</f>
        <v>YES</v>
      </c>
      <c r="Z91" s="255" t="str">
        <f>IF(ISNUMBER(SEARCH("H", 'Dry_Litterbag Placem_Collection'!T18)),"YES","NO")</f>
        <v>YES</v>
      </c>
      <c r="AA91" s="255" t="str">
        <f>IF(ISNUMBER(SEARCH("R", 'Dry_Litterbag Placem_Collection'!T18)),"YES","NO")</f>
        <v>NO</v>
      </c>
      <c r="AB91" s="255" t="str">
        <f>IF(ISNUMBER(SEARCH("C", 'Dry_Litterbag Placem_Collection'!S18)),"YES","NO")</f>
        <v>YES</v>
      </c>
      <c r="AC91" s="255" t="str">
        <f>IF(ISNUMBER(SEARCH("H", 'Dry_Litterbag Placem_Collection'!S18)),"YES","NO")</f>
        <v>YES</v>
      </c>
      <c r="AD91" s="255" t="str">
        <f>IF(ISNUMBER(SEARCH("R", 'Dry_Litterbag Placem_Collection'!S18)),"YES","NO")</f>
        <v>NO</v>
      </c>
    </row>
    <row r="92" spans="2:30">
      <c r="B92" t="str">
        <f>'Final data_for_R_analysis_Dryse'!A18</f>
        <v>Dry</v>
      </c>
      <c r="C92" s="263">
        <f>'Final data_for_R_analysis_Dryse'!B18</f>
        <v>17</v>
      </c>
      <c r="D92" t="s">
        <v>3829</v>
      </c>
      <c r="E92" t="s">
        <v>22</v>
      </c>
      <c r="F92" s="386">
        <v>1</v>
      </c>
      <c r="G92" s="16">
        <f>'Dry_Litterbag Placem_Collection'!E19</f>
        <v>42936</v>
      </c>
      <c r="H92" t="str">
        <f>'Final data_for_R_analysis_Dryse'!J18</f>
        <v>G209</v>
      </c>
      <c r="I92" t="str">
        <f>'Final data_for_R_analysis_Dryse'!J238</f>
        <v>R826</v>
      </c>
      <c r="J92">
        <f>IFERROR(INDEX('Green_rooibos initial weight'!$C$5:$C$1749,MATCH(H92, 'Green_rooibos initial weight'!$A$5:$A$1749,0)),"")</f>
        <v>2.1160000000000001</v>
      </c>
      <c r="K92">
        <f>IFERROR(INDEX('Green_rooibos initial weight'!$C$5:$C$1749,MATCH(I92, 'Green_rooibos initial weight'!$A$5:$A$1749,0)),"")</f>
        <v>2.1659999999999999</v>
      </c>
      <c r="L92" s="195">
        <f t="shared" si="3"/>
        <v>1.8662000000000001</v>
      </c>
      <c r="M92" s="195">
        <f t="shared" si="4"/>
        <v>1.9161999999999999</v>
      </c>
      <c r="N92" s="16">
        <f>IF('Dry_Litterbag Placem_Collection'!G19="N.A","",'Dry_Litterbag Placem_Collection'!G19)</f>
        <v>43007</v>
      </c>
      <c r="O92" s="195">
        <f>IF(IFERROR(INDEX('Both teabags AfterDry'!$D$1:$D$839,MATCH(H92,'Both teabags AfterDry'!$A$1:$A$839,0)),"")="N.A","",(IFERROR(INDEX('Both teabags AfterDry'!$D$1:$D$839,MATCH(H92,'Both teabags AfterDry'!$A$1:$A$839,0)),"")))</f>
        <v>1.9087000000000001</v>
      </c>
      <c r="P92" s="195">
        <f>IF(IFERROR(INDEX('Both teabags AfterDry'!$D$1:$D$839,MATCH(I92,'Both teabags AfterDry'!$A$1:$A$839,0)),"")="N.A","",(IFERROR(INDEX('Both teabags AfterDry'!$D$1:$D$839,MATCH(I92,'Both teabags AfterDry'!$A$1:$A$839,0)),"")))</f>
        <v>1.9086000000000001</v>
      </c>
      <c r="Q92" s="195">
        <f t="shared" si="5"/>
        <v>1.7581</v>
      </c>
      <c r="R92" s="195">
        <f t="shared" si="5"/>
        <v>1.758</v>
      </c>
      <c r="S92" s="195">
        <f t="shared" si="0"/>
        <v>5.7925195584610512E-2</v>
      </c>
      <c r="T92" s="195">
        <f t="shared" si="6"/>
        <v>3.7974712544780305E-2</v>
      </c>
      <c r="U92" s="195">
        <f t="shared" si="1"/>
        <v>0.9174407681870369</v>
      </c>
      <c r="V92">
        <f t="shared" si="2"/>
        <v>71</v>
      </c>
      <c r="W92" s="195">
        <f t="shared" si="7"/>
        <v>0.93120523089713714</v>
      </c>
      <c r="X92" s="195" t="str">
        <f t="shared" si="8"/>
        <v/>
      </c>
      <c r="Y92" s="255" t="str">
        <f>IF(ISNUMBER(SEARCH("C", 'Dry_Litterbag Placem_Collection'!T19)),"YES","NO")</f>
        <v>NO</v>
      </c>
      <c r="Z92" s="255" t="str">
        <f>IF(ISNUMBER(SEARCH("H", 'Dry_Litterbag Placem_Collection'!T19)),"YES","NO")</f>
        <v>NO</v>
      </c>
      <c r="AA92" s="255" t="str">
        <f>IF(ISNUMBER(SEARCH("R", 'Dry_Litterbag Placem_Collection'!T19)),"YES","NO")</f>
        <v>NO</v>
      </c>
      <c r="AB92" s="255" t="str">
        <f>IF(ISNUMBER(SEARCH("C", 'Dry_Litterbag Placem_Collection'!S19)),"YES","NO")</f>
        <v>NO</v>
      </c>
      <c r="AC92" s="255" t="str">
        <f>IF(ISNUMBER(SEARCH("H", 'Dry_Litterbag Placem_Collection'!S19)),"YES","NO")</f>
        <v>NO</v>
      </c>
      <c r="AD92" s="255" t="str">
        <f>IF(ISNUMBER(SEARCH("R", 'Dry_Litterbag Placem_Collection'!S19)),"YES","NO")</f>
        <v>NO</v>
      </c>
    </row>
    <row r="93" spans="2:30">
      <c r="B93" t="str">
        <f>'Final data_for_R_analysis_Dryse'!A19</f>
        <v>Dry</v>
      </c>
      <c r="C93" s="263">
        <f>'Final data_for_R_analysis_Dryse'!B19</f>
        <v>18</v>
      </c>
      <c r="D93" t="s">
        <v>3829</v>
      </c>
      <c r="E93" t="s">
        <v>22</v>
      </c>
      <c r="F93" s="386">
        <v>2</v>
      </c>
      <c r="G93" s="16">
        <f>'Dry_Litterbag Placem_Collection'!E20</f>
        <v>42936</v>
      </c>
      <c r="H93" t="str">
        <f>'Final data_for_R_analysis_Dryse'!J19</f>
        <v>G10</v>
      </c>
      <c r="I93" t="str">
        <f>'Final data_for_R_analysis_Dryse'!J239</f>
        <v>R732</v>
      </c>
      <c r="J93">
        <f>IFERROR(INDEX('Green_rooibos initial weight'!$C$5:$C$1749,MATCH(H93, 'Green_rooibos initial weight'!$A$5:$A$1749,0)),"")</f>
        <v>1.9710000000000001</v>
      </c>
      <c r="K93">
        <f>IFERROR(INDEX('Green_rooibos initial weight'!$C$5:$C$1749,MATCH(I93, 'Green_rooibos initial weight'!$A$5:$A$1749,0)),"")</f>
        <v>2.2189999999999999</v>
      </c>
      <c r="L93" s="195">
        <f t="shared" si="3"/>
        <v>1.7212000000000001</v>
      </c>
      <c r="M93" s="195">
        <f t="shared" si="4"/>
        <v>1.9691999999999998</v>
      </c>
      <c r="N93" s="16">
        <f>IF('Dry_Litterbag Placem_Collection'!G20="N.A","",'Dry_Litterbag Placem_Collection'!G20)</f>
        <v>43007</v>
      </c>
      <c r="O93" s="195">
        <f>IF(IFERROR(INDEX('Both teabags AfterDry'!$D$1:$D$839,MATCH(H93,'Both teabags AfterDry'!$A$1:$A$839,0)),"")="N.A","",(IFERROR(INDEX('Both teabags AfterDry'!$D$1:$D$839,MATCH(H93,'Both teabags AfterDry'!$A$1:$A$839,0)),"")))</f>
        <v>1.7706999999999999</v>
      </c>
      <c r="P93" s="195">
        <f>IF(IFERROR(INDEX('Both teabags AfterDry'!$D$1:$D$839,MATCH(I93,'Both teabags AfterDry'!$A$1:$A$839,0)),"")="N.A","",(IFERROR(INDEX('Both teabags AfterDry'!$D$1:$D$839,MATCH(I93,'Both teabags AfterDry'!$A$1:$A$839,0)),"")))</f>
        <v>1.9874000000000001</v>
      </c>
      <c r="Q93" s="195">
        <f t="shared" si="5"/>
        <v>1.6200999999999999</v>
      </c>
      <c r="R93" s="195">
        <f t="shared" si="5"/>
        <v>1.8368</v>
      </c>
      <c r="S93" s="195">
        <f t="shared" si="0"/>
        <v>5.8738089704857166E-2</v>
      </c>
      <c r="T93" s="195">
        <f t="shared" si="6"/>
        <v>3.8507631255440822E-2</v>
      </c>
      <c r="U93" s="195">
        <f t="shared" si="1"/>
        <v>0.93276457444647576</v>
      </c>
      <c r="V93">
        <f t="shared" si="2"/>
        <v>71</v>
      </c>
      <c r="W93" s="195">
        <f t="shared" si="7"/>
        <v>0.93023979845028837</v>
      </c>
      <c r="X93" s="195" t="str">
        <f t="shared" si="8"/>
        <v/>
      </c>
      <c r="Y93" s="255" t="str">
        <f>IF(ISNUMBER(SEARCH("C", 'Dry_Litterbag Placem_Collection'!T20)),"YES","NO")</f>
        <v>NO</v>
      </c>
      <c r="Z93" s="255" t="str">
        <f>IF(ISNUMBER(SEARCH("H", 'Dry_Litterbag Placem_Collection'!T20)),"YES","NO")</f>
        <v>YES</v>
      </c>
      <c r="AA93" s="255" t="str">
        <f>IF(ISNUMBER(SEARCH("R", 'Dry_Litterbag Placem_Collection'!T20)),"YES","NO")</f>
        <v>NO</v>
      </c>
      <c r="AB93" s="255" t="str">
        <f>IF(ISNUMBER(SEARCH("C", 'Dry_Litterbag Placem_Collection'!S20)),"YES","NO")</f>
        <v>NO</v>
      </c>
      <c r="AC93" s="255" t="str">
        <f>IF(ISNUMBER(SEARCH("H", 'Dry_Litterbag Placem_Collection'!S20)),"YES","NO")</f>
        <v>NO</v>
      </c>
      <c r="AD93" s="255" t="str">
        <f>IF(ISNUMBER(SEARCH("R", 'Dry_Litterbag Placem_Collection'!S20)),"YES","NO")</f>
        <v>NO</v>
      </c>
    </row>
    <row r="94" spans="2:30">
      <c r="B94" t="str">
        <f>'Final data_for_R_analysis_Dryse'!A20</f>
        <v>Dry</v>
      </c>
      <c r="C94" s="263">
        <f>'Final data_for_R_analysis_Dryse'!B20</f>
        <v>19</v>
      </c>
      <c r="D94" t="s">
        <v>3829</v>
      </c>
      <c r="E94" t="s">
        <v>22</v>
      </c>
      <c r="F94" s="386">
        <v>3</v>
      </c>
      <c r="G94" s="16">
        <f>'Dry_Litterbag Placem_Collection'!E21</f>
        <v>42936</v>
      </c>
      <c r="H94" t="str">
        <f>'Final data_for_R_analysis_Dryse'!J20</f>
        <v>G190</v>
      </c>
      <c r="I94" t="str">
        <f>'Final data_for_R_analysis_Dryse'!J240</f>
        <v>R749</v>
      </c>
      <c r="J94">
        <f>IFERROR(INDEX('Green_rooibos initial weight'!$C$5:$C$1749,MATCH(H94, 'Green_rooibos initial weight'!$A$5:$A$1749,0)),"")</f>
        <v>1.909</v>
      </c>
      <c r="K94">
        <f>IFERROR(INDEX('Green_rooibos initial weight'!$C$5:$C$1749,MATCH(I94, 'Green_rooibos initial weight'!$A$5:$A$1749,0)),"")</f>
        <v>2.2050000000000001</v>
      </c>
      <c r="L94" s="195">
        <f t="shared" si="3"/>
        <v>1.6592</v>
      </c>
      <c r="M94" s="195">
        <f t="shared" si="4"/>
        <v>1.9552</v>
      </c>
      <c r="N94" s="16">
        <f>IF('Dry_Litterbag Placem_Collection'!G21="N.A","",'Dry_Litterbag Placem_Collection'!G21)</f>
        <v>43007</v>
      </c>
      <c r="O94" s="195">
        <f>IF(IFERROR(INDEX('Both teabags AfterDry'!$D$1:$D$839,MATCH(H94,'Both teabags AfterDry'!$A$1:$A$839,0)),"")="N.A","",(IFERROR(INDEX('Both teabags AfterDry'!$D$1:$D$839,MATCH(H94,'Both teabags AfterDry'!$A$1:$A$839,0)),"")))</f>
        <v>1.7041999999999999</v>
      </c>
      <c r="P94" s="195">
        <f>IF(IFERROR(INDEX('Both teabags AfterDry'!$D$1:$D$839,MATCH(I94,'Both teabags AfterDry'!$A$1:$A$839,0)),"")="N.A","",(IFERROR(INDEX('Both teabags AfterDry'!$D$1:$D$839,MATCH(I94,'Both teabags AfterDry'!$A$1:$A$839,0)),"")))</f>
        <v>1.9492</v>
      </c>
      <c r="Q94" s="195">
        <f t="shared" si="5"/>
        <v>1.5535999999999999</v>
      </c>
      <c r="R94" s="195">
        <f t="shared" si="5"/>
        <v>1.7986</v>
      </c>
      <c r="S94" s="195">
        <f t="shared" si="0"/>
        <v>6.3645130183220933E-2</v>
      </c>
      <c r="T94" s="195">
        <f t="shared" si="6"/>
        <v>4.1724598409902565E-2</v>
      </c>
      <c r="U94" s="195">
        <f t="shared" si="1"/>
        <v>0.91990589198035999</v>
      </c>
      <c r="V94">
        <f t="shared" si="2"/>
        <v>71</v>
      </c>
      <c r="W94" s="195">
        <f t="shared" si="7"/>
        <v>0.92441195940235044</v>
      </c>
      <c r="X94" s="195" t="str">
        <f t="shared" si="8"/>
        <v/>
      </c>
      <c r="Y94" s="255" t="str">
        <f>IF(ISNUMBER(SEARCH("C", 'Dry_Litterbag Placem_Collection'!T21)),"YES","NO")</f>
        <v>NO</v>
      </c>
      <c r="Z94" s="255" t="str">
        <f>IF(ISNUMBER(SEARCH("H", 'Dry_Litterbag Placem_Collection'!T21)),"YES","NO")</f>
        <v>NO</v>
      </c>
      <c r="AA94" s="255" t="str">
        <f>IF(ISNUMBER(SEARCH("R", 'Dry_Litterbag Placem_Collection'!T21)),"YES","NO")</f>
        <v>NO</v>
      </c>
      <c r="AB94" s="255" t="str">
        <f>IF(ISNUMBER(SEARCH("C", 'Dry_Litterbag Placem_Collection'!S21)),"YES","NO")</f>
        <v>NO</v>
      </c>
      <c r="AC94" s="255" t="str">
        <f>IF(ISNUMBER(SEARCH("H", 'Dry_Litterbag Placem_Collection'!S21)),"YES","NO")</f>
        <v>YES</v>
      </c>
      <c r="AD94" s="255" t="str">
        <f>IF(ISNUMBER(SEARCH("R", 'Dry_Litterbag Placem_Collection'!S21)),"YES","NO")</f>
        <v>NO</v>
      </c>
    </row>
    <row r="95" spans="2:30">
      <c r="B95" t="str">
        <f>'Final data_for_R_analysis_Dryse'!A21</f>
        <v>Dry</v>
      </c>
      <c r="C95" s="263">
        <f>'Final data_for_R_analysis_Dryse'!B21</f>
        <v>20</v>
      </c>
      <c r="D95" t="s">
        <v>3829</v>
      </c>
      <c r="E95" t="s">
        <v>22</v>
      </c>
      <c r="F95" s="387">
        <v>4</v>
      </c>
      <c r="G95" s="16">
        <f>'Dry_Litterbag Placem_Collection'!E22</f>
        <v>42936</v>
      </c>
      <c r="H95" t="str">
        <f>'Final data_for_R_analysis_Dryse'!J21</f>
        <v>G38</v>
      </c>
      <c r="I95" t="str">
        <f>'Final data_for_R_analysis_Dryse'!J241</f>
        <v>R632</v>
      </c>
      <c r="J95">
        <f>IFERROR(INDEX('Green_rooibos initial weight'!$C$5:$C$1749,MATCH(H95, 'Green_rooibos initial weight'!$A$5:$A$1749,0)),"")</f>
        <v>1.93</v>
      </c>
      <c r="K95">
        <f>IFERROR(INDEX('Green_rooibos initial weight'!$C$5:$C$1749,MATCH(I95, 'Green_rooibos initial weight'!$A$5:$A$1749,0)),"")</f>
        <v>2.1269999999999998</v>
      </c>
      <c r="L95" s="195">
        <f t="shared" si="3"/>
        <v>1.6801999999999999</v>
      </c>
      <c r="M95" s="195">
        <f t="shared" si="4"/>
        <v>1.8771999999999998</v>
      </c>
      <c r="N95" s="16">
        <f>IF('Dry_Litterbag Placem_Collection'!G22="N.A","",'Dry_Litterbag Placem_Collection'!G22)</f>
        <v>43007</v>
      </c>
      <c r="O95" s="195">
        <f>IF(IFERROR(INDEX('Both teabags AfterDry'!$D$1:$D$839,MATCH(H95,'Both teabags AfterDry'!$A$1:$A$839,0)),"")="N.A","",(IFERROR(INDEX('Both teabags AfterDry'!$D$1:$D$839,MATCH(H95,'Both teabags AfterDry'!$A$1:$A$839,0)),"")))</f>
        <v>1.6738</v>
      </c>
      <c r="P95" s="195">
        <f>IF(IFERROR(INDEX('Both teabags AfterDry'!$D$1:$D$839,MATCH(I95,'Both teabags AfterDry'!$A$1:$A$839,0)),"")="N.A","",(IFERROR(INDEX('Both teabags AfterDry'!$D$1:$D$839,MATCH(I95,'Both teabags AfterDry'!$A$1:$A$839,0)),"")))</f>
        <v>1.9161999999999999</v>
      </c>
      <c r="Q95" s="195">
        <f t="shared" si="5"/>
        <v>1.5231999999999999</v>
      </c>
      <c r="R95" s="195">
        <f t="shared" si="5"/>
        <v>1.7655999999999998</v>
      </c>
      <c r="S95" s="195">
        <f t="shared" si="0"/>
        <v>9.3441256993215149E-2</v>
      </c>
      <c r="T95" s="195">
        <f t="shared" si="6"/>
        <v>6.1258401259209942E-2</v>
      </c>
      <c r="U95" s="195">
        <f t="shared" si="1"/>
        <v>0.94054975495418713</v>
      </c>
      <c r="V95">
        <f t="shared" si="2"/>
        <v>71</v>
      </c>
      <c r="W95" s="195">
        <f t="shared" si="7"/>
        <v>0.889024635399982</v>
      </c>
      <c r="X95" s="195">
        <f t="shared" si="8"/>
        <v>4.9616807661713842E-2</v>
      </c>
      <c r="Y95" s="255" t="str">
        <f>IF(ISNUMBER(SEARCH("C", 'Dry_Litterbag Placem_Collection'!T22)),"YES","NO")</f>
        <v>NO</v>
      </c>
      <c r="Z95" s="255" t="str">
        <f>IF(ISNUMBER(SEARCH("H", 'Dry_Litterbag Placem_Collection'!T22)),"YES","NO")</f>
        <v>NO</v>
      </c>
      <c r="AA95" s="255" t="str">
        <f>IF(ISNUMBER(SEARCH("R", 'Dry_Litterbag Placem_Collection'!T22)),"YES","NO")</f>
        <v>NO</v>
      </c>
      <c r="AB95" s="255" t="str">
        <f>IF(ISNUMBER(SEARCH("C", 'Dry_Litterbag Placem_Collection'!S22)),"YES","NO")</f>
        <v>NO</v>
      </c>
      <c r="AC95" s="255" t="str">
        <f>IF(ISNUMBER(SEARCH("H", 'Dry_Litterbag Placem_Collection'!S22)),"YES","NO")</f>
        <v>YES</v>
      </c>
      <c r="AD95" s="255" t="str">
        <f>IF(ISNUMBER(SEARCH("R", 'Dry_Litterbag Placem_Collection'!S22)),"YES","NO")</f>
        <v>NO</v>
      </c>
    </row>
    <row r="96" spans="2:30">
      <c r="B96" t="str">
        <f>'Final data_for_R_analysis_Dryse'!A22</f>
        <v>Dry</v>
      </c>
      <c r="C96" s="263">
        <f>'Final data_for_R_analysis_Dryse'!B22</f>
        <v>21</v>
      </c>
      <c r="D96" t="s">
        <v>3829</v>
      </c>
      <c r="E96" t="s">
        <v>22</v>
      </c>
      <c r="F96" s="387">
        <v>5</v>
      </c>
      <c r="G96" s="16">
        <f>'Dry_Litterbag Placem_Collection'!E23</f>
        <v>42936</v>
      </c>
      <c r="H96" t="str">
        <f>'Final data_for_R_analysis_Dryse'!J22</f>
        <v>G468</v>
      </c>
      <c r="I96" t="str">
        <f>'Final data_for_R_analysis_Dryse'!J242</f>
        <v>R630</v>
      </c>
      <c r="J96">
        <f>IFERROR(INDEX('Green_rooibos initial weight'!$C$5:$C$1749,MATCH(H96, 'Green_rooibos initial weight'!$A$5:$A$1749,0)),"")</f>
        <v>2.1309999999999998</v>
      </c>
      <c r="K96">
        <f>IFERROR(INDEX('Green_rooibos initial weight'!$C$5:$C$1749,MATCH(I96, 'Green_rooibos initial weight'!$A$5:$A$1749,0)),"")</f>
        <v>2.13</v>
      </c>
      <c r="L96" s="195">
        <f t="shared" si="3"/>
        <v>1.8811999999999998</v>
      </c>
      <c r="M96" s="195">
        <f t="shared" si="4"/>
        <v>1.8801999999999999</v>
      </c>
      <c r="N96" s="16">
        <f>IF('Dry_Litterbag Placem_Collection'!G23="N.A","",'Dry_Litterbag Placem_Collection'!G23)</f>
        <v>43007</v>
      </c>
      <c r="O96" s="195" t="str">
        <f>IF(IFERROR(INDEX('Both teabags AfterDry'!$D$1:$D$839,MATCH(H96,'Both teabags AfterDry'!$A$1:$A$839,0)),"")="N.A","",(IFERROR(INDEX('Both teabags AfterDry'!$D$1:$D$839,MATCH(H96,'Both teabags AfterDry'!$A$1:$A$839,0)),"")))</f>
        <v/>
      </c>
      <c r="P96" s="195" t="str">
        <f>IF(IFERROR(INDEX('Both teabags AfterDry'!$D$1:$D$839,MATCH(I96,'Both teabags AfterDry'!$A$1:$A$839,0)),"")="N.A","",(IFERROR(INDEX('Both teabags AfterDry'!$D$1:$D$839,MATCH(I96,'Both teabags AfterDry'!$A$1:$A$839,0)),"")))</f>
        <v/>
      </c>
      <c r="Q96" s="195" t="str">
        <f t="shared" si="5"/>
        <v/>
      </c>
      <c r="R96" s="195" t="str">
        <f t="shared" si="5"/>
        <v/>
      </c>
      <c r="S96" s="195" t="str">
        <f t="shared" si="0"/>
        <v/>
      </c>
      <c r="T96" s="195" t="str">
        <f t="shared" si="6"/>
        <v/>
      </c>
      <c r="U96" s="195" t="str">
        <f t="shared" si="1"/>
        <v/>
      </c>
      <c r="V96">
        <f t="shared" si="2"/>
        <v>71</v>
      </c>
      <c r="W96" s="195" t="str">
        <f t="shared" si="7"/>
        <v/>
      </c>
      <c r="X96" s="195" t="str">
        <f t="shared" si="8"/>
        <v/>
      </c>
      <c r="Y96" s="255" t="str">
        <f>IF(ISNUMBER(SEARCH("C", 'Dry_Litterbag Placem_Collection'!T23)),"YES","NO")</f>
        <v>NO</v>
      </c>
      <c r="Z96" s="255" t="str">
        <f>IF(ISNUMBER(SEARCH("H", 'Dry_Litterbag Placem_Collection'!T23)),"YES","NO")</f>
        <v>NO</v>
      </c>
      <c r="AA96" s="255" t="str">
        <f>IF(ISNUMBER(SEARCH("R", 'Dry_Litterbag Placem_Collection'!T23)),"YES","NO")</f>
        <v>NO</v>
      </c>
      <c r="AB96" s="255" t="str">
        <f>IF(ISNUMBER(SEARCH("C", 'Dry_Litterbag Placem_Collection'!S23)),"YES","NO")</f>
        <v>NO</v>
      </c>
      <c r="AC96" s="255" t="str">
        <f>IF(ISNUMBER(SEARCH("H", 'Dry_Litterbag Placem_Collection'!S23)),"YES","NO")</f>
        <v>NO</v>
      </c>
      <c r="AD96" s="255" t="str">
        <f>IF(ISNUMBER(SEARCH("R", 'Dry_Litterbag Placem_Collection'!S23)),"YES","NO")</f>
        <v>NO</v>
      </c>
    </row>
    <row r="97" spans="2:30">
      <c r="B97" t="str">
        <f>'Final data_for_R_analysis_Dryse'!A23</f>
        <v>Dry</v>
      </c>
      <c r="C97" s="263">
        <f>'Final data_for_R_analysis_Dryse'!B23</f>
        <v>22</v>
      </c>
      <c r="D97" t="s">
        <v>3829</v>
      </c>
      <c r="E97" t="s">
        <v>22</v>
      </c>
      <c r="F97" s="387">
        <v>6</v>
      </c>
      <c r="G97" s="16">
        <f>'Dry_Litterbag Placem_Collection'!E24</f>
        <v>42936</v>
      </c>
      <c r="H97" t="str">
        <f>'Final data_for_R_analysis_Dryse'!J23</f>
        <v>G8</v>
      </c>
      <c r="I97" t="str">
        <f>'Final data_for_R_analysis_Dryse'!J243</f>
        <v>R723</v>
      </c>
      <c r="J97">
        <f>IFERROR(INDEX('Green_rooibos initial weight'!$C$5:$C$1749,MATCH(H97, 'Green_rooibos initial weight'!$A$5:$A$1749,0)),"")</f>
        <v>2.0209999999999999</v>
      </c>
      <c r="K97">
        <f>IFERROR(INDEX('Green_rooibos initial weight'!$C$5:$C$1749,MATCH(I97, 'Green_rooibos initial weight'!$A$5:$A$1749,0)),"")</f>
        <v>2.2559999999999998</v>
      </c>
      <c r="L97" s="195">
        <f t="shared" si="3"/>
        <v>1.7711999999999999</v>
      </c>
      <c r="M97" s="195">
        <f t="shared" si="4"/>
        <v>2.0061999999999998</v>
      </c>
      <c r="N97" s="16">
        <f>IF('Dry_Litterbag Placem_Collection'!G24="N.A","",'Dry_Litterbag Placem_Collection'!G24)</f>
        <v>43007</v>
      </c>
      <c r="O97" s="195">
        <f>IF(IFERROR(INDEX('Both teabags AfterDry'!$D$1:$D$839,MATCH(H97,'Both teabags AfterDry'!$A$1:$A$839,0)),"")="N.A","",(IFERROR(INDEX('Both teabags AfterDry'!$D$1:$D$839,MATCH(H97,'Both teabags AfterDry'!$A$1:$A$839,0)),"")))</f>
        <v>1.4722999999999999</v>
      </c>
      <c r="P97" s="195">
        <f>IF(IFERROR(INDEX('Both teabags AfterDry'!$D$1:$D$839,MATCH(I97,'Both teabags AfterDry'!$A$1:$A$839,0)),"")="N.A","",(IFERROR(INDEX('Both teabags AfterDry'!$D$1:$D$839,MATCH(I97,'Both teabags AfterDry'!$A$1:$A$839,0)),"")))</f>
        <v>1.8997999999999999</v>
      </c>
      <c r="Q97" s="195">
        <f t="shared" si="5"/>
        <v>1.3216999999999999</v>
      </c>
      <c r="R97" s="195">
        <f t="shared" si="5"/>
        <v>1.7491999999999999</v>
      </c>
      <c r="S97" s="195">
        <f t="shared" si="0"/>
        <v>0.25378274616079499</v>
      </c>
      <c r="T97" s="195">
        <f t="shared" si="6"/>
        <v>0.16637538703178012</v>
      </c>
      <c r="U97" s="195">
        <f t="shared" si="1"/>
        <v>0.87189711893131294</v>
      </c>
      <c r="V97">
        <f t="shared" si="2"/>
        <v>71</v>
      </c>
      <c r="W97" s="195">
        <f t="shared" si="7"/>
        <v>0.69859531334822444</v>
      </c>
      <c r="X97" s="195">
        <f t="shared" si="8"/>
        <v>2.069739189498471E-2</v>
      </c>
      <c r="Y97" s="255" t="str">
        <f>IF(ISNUMBER(SEARCH("C", 'Dry_Litterbag Placem_Collection'!T24)),"YES","NO")</f>
        <v>NO</v>
      </c>
      <c r="Z97" s="255" t="str">
        <f>IF(ISNUMBER(SEARCH("H", 'Dry_Litterbag Placem_Collection'!T24)),"YES","NO")</f>
        <v>YES</v>
      </c>
      <c r="AA97" s="255" t="str">
        <f>IF(ISNUMBER(SEARCH("R", 'Dry_Litterbag Placem_Collection'!T24)),"YES","NO")</f>
        <v>NO</v>
      </c>
      <c r="AB97" s="255" t="str">
        <f>IF(ISNUMBER(SEARCH("C", 'Dry_Litterbag Placem_Collection'!S24)),"YES","NO")</f>
        <v>NO</v>
      </c>
      <c r="AC97" s="255" t="str">
        <f>IF(ISNUMBER(SEARCH("H", 'Dry_Litterbag Placem_Collection'!S24)),"YES","NO")</f>
        <v>NO</v>
      </c>
      <c r="AD97" s="255" t="str">
        <f>IF(ISNUMBER(SEARCH("R", 'Dry_Litterbag Placem_Collection'!S24)),"YES","NO")</f>
        <v>NO</v>
      </c>
    </row>
    <row r="98" spans="2:30">
      <c r="B98" t="str">
        <f>'Final data_for_R_analysis_Dryse'!A24</f>
        <v>Dry</v>
      </c>
      <c r="C98" s="263">
        <f>'Final data_for_R_analysis_Dryse'!B24</f>
        <v>23</v>
      </c>
      <c r="D98" t="s">
        <v>3829</v>
      </c>
      <c r="E98" t="s">
        <v>22</v>
      </c>
      <c r="F98" s="387">
        <v>7</v>
      </c>
      <c r="G98" s="390">
        <f>'Dry_Litterbag Placem_Collection'!E25</f>
        <v>0</v>
      </c>
      <c r="H98" t="str">
        <f>'Final data_for_R_analysis_Dryse'!J24</f>
        <v/>
      </c>
      <c r="I98" t="str">
        <f>'Final data_for_R_analysis_Dryse'!J244</f>
        <v/>
      </c>
      <c r="J98" t="str">
        <f>IFERROR(INDEX('Green_rooibos initial weight'!$C$5:$C$1749,MATCH(H98, 'Green_rooibos initial weight'!$A$5:$A$1749,0)),"")</f>
        <v/>
      </c>
      <c r="K98" t="str">
        <f>IFERROR(INDEX('Green_rooibos initial weight'!$C$5:$C$1749,MATCH(I98, 'Green_rooibos initial weight'!$A$5:$A$1749,0)),"")</f>
        <v/>
      </c>
      <c r="L98" s="195" t="str">
        <f t="shared" si="3"/>
        <v/>
      </c>
      <c r="M98" s="195" t="str">
        <f t="shared" si="4"/>
        <v/>
      </c>
      <c r="N98" s="16">
        <f>IF('Dry_Litterbag Placem_Collection'!G25="N.A","",'Dry_Litterbag Placem_Collection'!G25)</f>
        <v>0</v>
      </c>
      <c r="O98" s="195" t="str">
        <f>IF(IFERROR(INDEX('Both teabags AfterDry'!$D$1:$D$839,MATCH(H98,'Both teabags AfterDry'!$A$1:$A$839,0)),"")="N.A","",(IFERROR(INDEX('Both teabags AfterDry'!$D$1:$D$839,MATCH(H98,'Both teabags AfterDry'!$A$1:$A$839,0)),"")))</f>
        <v/>
      </c>
      <c r="P98" s="195" t="str">
        <f>IF(IFERROR(INDEX('Both teabags AfterDry'!$D$1:$D$839,MATCH(I98,'Both teabags AfterDry'!$A$1:$A$839,0)),"")="N.A","",(IFERROR(INDEX('Both teabags AfterDry'!$D$1:$D$839,MATCH(I98,'Both teabags AfterDry'!$A$1:$A$839,0)),"")))</f>
        <v/>
      </c>
      <c r="Q98" s="195" t="str">
        <f t="shared" si="5"/>
        <v/>
      </c>
      <c r="R98" s="195" t="str">
        <f t="shared" si="5"/>
        <v/>
      </c>
      <c r="S98" s="195" t="str">
        <f t="shared" si="0"/>
        <v/>
      </c>
      <c r="T98" s="195" t="str">
        <f t="shared" si="6"/>
        <v/>
      </c>
      <c r="U98" s="195" t="str">
        <f t="shared" si="1"/>
        <v/>
      </c>
      <c r="V98" t="str">
        <f t="shared" si="2"/>
        <v/>
      </c>
      <c r="W98" s="195" t="str">
        <f t="shared" si="7"/>
        <v/>
      </c>
      <c r="X98" s="195" t="str">
        <f t="shared" si="8"/>
        <v/>
      </c>
      <c r="Y98" s="255" t="str">
        <f>IF(ISNUMBER(SEARCH("C", 'Dry_Litterbag Placem_Collection'!T25)),"YES","NO")</f>
        <v>NO</v>
      </c>
      <c r="Z98" s="255" t="str">
        <f>IF(ISNUMBER(SEARCH("H", 'Dry_Litterbag Placem_Collection'!T25)),"YES","NO")</f>
        <v>NO</v>
      </c>
      <c r="AA98" s="255" t="str">
        <f>IF(ISNUMBER(SEARCH("R", 'Dry_Litterbag Placem_Collection'!T25)),"YES","NO")</f>
        <v>NO</v>
      </c>
      <c r="AB98" s="255" t="str">
        <f>IF(ISNUMBER(SEARCH("C", 'Dry_Litterbag Placem_Collection'!S25)),"YES","NO")</f>
        <v>NO</v>
      </c>
      <c r="AC98" s="255" t="str">
        <f>IF(ISNUMBER(SEARCH("H", 'Dry_Litterbag Placem_Collection'!S25)),"YES","NO")</f>
        <v>NO</v>
      </c>
      <c r="AD98" s="255" t="str">
        <f>IF(ISNUMBER(SEARCH("R", 'Dry_Litterbag Placem_Collection'!S25)),"YES","NO")</f>
        <v>NO</v>
      </c>
    </row>
    <row r="99" spans="2:30">
      <c r="B99" t="str">
        <f>'Final data_for_R_analysis_Dryse'!A25</f>
        <v>Dry</v>
      </c>
      <c r="C99" s="263">
        <f>'Final data_for_R_analysis_Dryse'!B25</f>
        <v>24</v>
      </c>
      <c r="D99" t="s">
        <v>3829</v>
      </c>
      <c r="E99" t="s">
        <v>22</v>
      </c>
      <c r="F99" s="387">
        <v>8</v>
      </c>
      <c r="G99" s="16">
        <f>'Dry_Litterbag Placem_Collection'!E26</f>
        <v>42936</v>
      </c>
      <c r="H99" t="str">
        <f>'Final data_for_R_analysis_Dryse'!J25</f>
        <v>G320</v>
      </c>
      <c r="I99" t="str">
        <f>'Final data_for_R_analysis_Dryse'!J245</f>
        <v>R225</v>
      </c>
      <c r="J99">
        <f>IFERROR(INDEX('Green_rooibos initial weight'!$C$5:$C$1749,MATCH(H99, 'Green_rooibos initial weight'!$A$5:$A$1749,0)),"")</f>
        <v>2.044</v>
      </c>
      <c r="K99">
        <f>IFERROR(INDEX('Green_rooibos initial weight'!$C$5:$C$1749,MATCH(I99, 'Green_rooibos initial weight'!$A$5:$A$1749,0)),"")</f>
        <v>2.214</v>
      </c>
      <c r="L99" s="195">
        <f t="shared" si="3"/>
        <v>1.7942</v>
      </c>
      <c r="M99" s="195">
        <f t="shared" si="4"/>
        <v>1.9641999999999999</v>
      </c>
      <c r="N99" s="16">
        <f>IF('Dry_Litterbag Placem_Collection'!G26="N.A","",'Dry_Litterbag Placem_Collection'!G26)</f>
        <v>43007</v>
      </c>
      <c r="O99" s="195">
        <f>IF(IFERROR(INDEX('Both teabags AfterDry'!$D$1:$D$839,MATCH(H99,'Both teabags AfterDry'!$A$1:$A$839,0)),"")="N.A","",(IFERROR(INDEX('Both teabags AfterDry'!$D$1:$D$839,MATCH(H99,'Both teabags AfterDry'!$A$1:$A$839,0)),"")))</f>
        <v>1.7525999999999999</v>
      </c>
      <c r="P99" s="195">
        <f>IF(IFERROR(INDEX('Both teabags AfterDry'!$D$1:$D$839,MATCH(I99,'Both teabags AfterDry'!$A$1:$A$839,0)),"")="N.A","",(IFERROR(INDEX('Both teabags AfterDry'!$D$1:$D$839,MATCH(I99,'Both teabags AfterDry'!$A$1:$A$839,0)),"")))</f>
        <v>1.9572000000000001</v>
      </c>
      <c r="Q99" s="195">
        <f t="shared" si="5"/>
        <v>1.6019999999999999</v>
      </c>
      <c r="R99" s="195">
        <f t="shared" si="5"/>
        <v>1.8066</v>
      </c>
      <c r="S99" s="195">
        <f t="shared" si="0"/>
        <v>0.10712295173336317</v>
      </c>
      <c r="T99" s="195">
        <f t="shared" si="6"/>
        <v>7.0227873345387742E-2</v>
      </c>
      <c r="U99" s="195">
        <f t="shared" si="1"/>
        <v>0.91976377151002953</v>
      </c>
      <c r="V99">
        <f t="shared" si="2"/>
        <v>71</v>
      </c>
      <c r="W99" s="195">
        <f t="shared" si="7"/>
        <v>0.87277559176560193</v>
      </c>
      <c r="X99" s="195" t="str">
        <f t="shared" si="8"/>
        <v/>
      </c>
      <c r="Y99" s="255" t="str">
        <f>IF(ISNUMBER(SEARCH("C", 'Dry_Litterbag Placem_Collection'!T26)),"YES","NO")</f>
        <v>NO</v>
      </c>
      <c r="Z99" s="255" t="str">
        <f>IF(ISNUMBER(SEARCH("H", 'Dry_Litterbag Placem_Collection'!T26)),"YES","NO")</f>
        <v>NO</v>
      </c>
      <c r="AA99" s="255" t="str">
        <f>IF(ISNUMBER(SEARCH("R", 'Dry_Litterbag Placem_Collection'!T26)),"YES","NO")</f>
        <v>NO</v>
      </c>
      <c r="AB99" s="255" t="str">
        <f>IF(ISNUMBER(SEARCH("C", 'Dry_Litterbag Placem_Collection'!S26)),"YES","NO")</f>
        <v>NO</v>
      </c>
      <c r="AC99" s="255" t="str">
        <f>IF(ISNUMBER(SEARCH("H", 'Dry_Litterbag Placem_Collection'!S26)),"YES","NO")</f>
        <v>NO</v>
      </c>
      <c r="AD99" s="255" t="str">
        <f>IF(ISNUMBER(SEARCH("R", 'Dry_Litterbag Placem_Collection'!S26)),"YES","NO")</f>
        <v>NO</v>
      </c>
    </row>
    <row r="100" spans="2:30">
      <c r="B100" t="str">
        <f>'Final data_for_R_analysis_Dryse'!A26</f>
        <v>Dry</v>
      </c>
      <c r="C100" s="263">
        <f>'Final data_for_R_analysis_Dryse'!B26</f>
        <v>25</v>
      </c>
      <c r="D100" t="s">
        <v>3830</v>
      </c>
      <c r="E100" t="s">
        <v>22</v>
      </c>
      <c r="F100" s="386">
        <v>1</v>
      </c>
      <c r="G100" s="16">
        <f>'Dry_Litterbag Placem_Collection'!E27</f>
        <v>42936</v>
      </c>
      <c r="H100" t="str">
        <f>'Final data_for_R_analysis_Dryse'!J26</f>
        <v>G322</v>
      </c>
      <c r="I100" t="str">
        <f>'Final data_for_R_analysis_Dryse'!J246</f>
        <v>R43</v>
      </c>
      <c r="J100">
        <f>IFERROR(INDEX('Green_rooibos initial weight'!$C$5:$C$1749,MATCH(H100, 'Green_rooibos initial weight'!$A$5:$A$1749,0)),"")</f>
        <v>2.0169999999999999</v>
      </c>
      <c r="K100">
        <f>IFERROR(INDEX('Green_rooibos initial weight'!$C$5:$C$1749,MATCH(I100, 'Green_rooibos initial weight'!$A$5:$A$1749,0)),"")</f>
        <v>2.2759999999999998</v>
      </c>
      <c r="L100" s="195">
        <f t="shared" si="3"/>
        <v>1.7671999999999999</v>
      </c>
      <c r="M100" s="195">
        <f t="shared" si="4"/>
        <v>2.0261999999999998</v>
      </c>
      <c r="N100" s="16">
        <f>IF('Dry_Litterbag Placem_Collection'!G27="N.A","",'Dry_Litterbag Placem_Collection'!G27)</f>
        <v>43007</v>
      </c>
      <c r="O100" s="195">
        <f>IF(IFERROR(INDEX('Both teabags AfterDry'!$D$1:$D$839,MATCH(H100,'Both teabags AfterDry'!$A$1:$A$839,0)),"")="N.A","",(IFERROR(INDEX('Both teabags AfterDry'!$D$1:$D$839,MATCH(H100,'Both teabags AfterDry'!$A$1:$A$839,0)),"")))</f>
        <v>1.8697999999999999</v>
      </c>
      <c r="P100" s="195">
        <f>IF(IFERROR(INDEX('Both teabags AfterDry'!$D$1:$D$839,MATCH(I100,'Both teabags AfterDry'!$A$1:$A$839,0)),"")="N.A","",(IFERROR(INDEX('Both teabags AfterDry'!$D$1:$D$839,MATCH(I100,'Both teabags AfterDry'!$A$1:$A$839,0)),"")))</f>
        <v>2.0165999999999999</v>
      </c>
      <c r="Q100" s="195">
        <f t="shared" si="5"/>
        <v>1.7191999999999998</v>
      </c>
      <c r="R100" s="195">
        <f t="shared" si="5"/>
        <v>1.8659999999999999</v>
      </c>
      <c r="S100" s="195">
        <f t="shared" si="0"/>
        <v>2.7161611588954249E-2</v>
      </c>
      <c r="T100" s="195">
        <f t="shared" si="6"/>
        <v>1.7806662229338171E-2</v>
      </c>
      <c r="U100" s="195">
        <f t="shared" si="1"/>
        <v>0.92093574178264737</v>
      </c>
      <c r="V100">
        <f t="shared" si="2"/>
        <v>71</v>
      </c>
      <c r="W100" s="195">
        <f t="shared" si="7"/>
        <v>0.96774155393235839</v>
      </c>
      <c r="X100" s="195" t="str">
        <f t="shared" si="8"/>
        <v/>
      </c>
      <c r="Y100" s="255" t="str">
        <f>IF(ISNUMBER(SEARCH("C", 'Dry_Litterbag Placem_Collection'!T27)),"YES","NO")</f>
        <v>NO</v>
      </c>
      <c r="Z100" s="255" t="str">
        <f>IF(ISNUMBER(SEARCH("H", 'Dry_Litterbag Placem_Collection'!T27)),"YES","NO")</f>
        <v>NO</v>
      </c>
      <c r="AA100" s="255" t="str">
        <f>IF(ISNUMBER(SEARCH("R", 'Dry_Litterbag Placem_Collection'!T27)),"YES","NO")</f>
        <v>NO</v>
      </c>
      <c r="AB100" s="255" t="str">
        <f>IF(ISNUMBER(SEARCH("C", 'Dry_Litterbag Placem_Collection'!S27)),"YES","NO")</f>
        <v>NO</v>
      </c>
      <c r="AC100" s="255" t="str">
        <f>IF(ISNUMBER(SEARCH("H", 'Dry_Litterbag Placem_Collection'!S27)),"YES","NO")</f>
        <v>NO</v>
      </c>
      <c r="AD100" s="255" t="str">
        <f>IF(ISNUMBER(SEARCH("R", 'Dry_Litterbag Placem_Collection'!S27)),"YES","NO")</f>
        <v>NO</v>
      </c>
    </row>
    <row r="101" spans="2:30">
      <c r="B101" t="str">
        <f>'Final data_for_R_analysis_Dryse'!A27</f>
        <v>Dry</v>
      </c>
      <c r="C101" s="263">
        <f>'Final data_for_R_analysis_Dryse'!B27</f>
        <v>26</v>
      </c>
      <c r="D101" t="s">
        <v>3830</v>
      </c>
      <c r="E101" t="s">
        <v>22</v>
      </c>
      <c r="F101" s="386">
        <v>2</v>
      </c>
      <c r="G101" s="16">
        <f>'Dry_Litterbag Placem_Collection'!E28</f>
        <v>42936</v>
      </c>
      <c r="H101" t="str">
        <f>'Final data_for_R_analysis_Dryse'!J27</f>
        <v>G58</v>
      </c>
      <c r="I101" t="str">
        <f>'Final data_for_R_analysis_Dryse'!J247</f>
        <v>R602</v>
      </c>
      <c r="J101">
        <f>IFERROR(INDEX('Green_rooibos initial weight'!$C$5:$C$1749,MATCH(H101, 'Green_rooibos initial weight'!$A$5:$A$1749,0)),"")</f>
        <v>1.9370000000000001</v>
      </c>
      <c r="K101">
        <f>IFERROR(INDEX('Green_rooibos initial weight'!$C$5:$C$1749,MATCH(I101, 'Green_rooibos initial weight'!$A$5:$A$1749,0)),"")</f>
        <v>2.19</v>
      </c>
      <c r="L101" s="195">
        <f t="shared" si="3"/>
        <v>1.6872</v>
      </c>
      <c r="M101" s="195">
        <f t="shared" si="4"/>
        <v>1.9401999999999999</v>
      </c>
      <c r="N101" s="16">
        <f>IF('Dry_Litterbag Placem_Collection'!G28="N.A","",'Dry_Litterbag Placem_Collection'!G28)</f>
        <v>43007</v>
      </c>
      <c r="O101" s="195">
        <f>IF(IFERROR(INDEX('Both teabags AfterDry'!$D$1:$D$839,MATCH(H101,'Both teabags AfterDry'!$A$1:$A$839,0)),"")="N.A","",(IFERROR(INDEX('Both teabags AfterDry'!$D$1:$D$839,MATCH(H101,'Both teabags AfterDry'!$A$1:$A$839,0)),"")))</f>
        <v>1.7357</v>
      </c>
      <c r="P101" s="195">
        <f>IF(IFERROR(INDEX('Both teabags AfterDry'!$D$1:$D$839,MATCH(I101,'Both teabags AfterDry'!$A$1:$A$839,0)),"")="N.A","",(IFERROR(INDEX('Both teabags AfterDry'!$D$1:$D$839,MATCH(I101,'Both teabags AfterDry'!$A$1:$A$839,0)),"")))</f>
        <v>1.9849000000000001</v>
      </c>
      <c r="Q101" s="195">
        <f t="shared" si="5"/>
        <v>1.5851</v>
      </c>
      <c r="R101" s="195">
        <f t="shared" si="5"/>
        <v>1.8343</v>
      </c>
      <c r="S101" s="195">
        <f t="shared" si="0"/>
        <v>6.0514461830251332E-2</v>
      </c>
      <c r="T101" s="195">
        <f t="shared" si="6"/>
        <v>3.9672188753323942E-2</v>
      </c>
      <c r="U101" s="195">
        <f t="shared" si="1"/>
        <v>0.94541799814452121</v>
      </c>
      <c r="V101">
        <f t="shared" si="2"/>
        <v>71</v>
      </c>
      <c r="W101" s="195">
        <f t="shared" si="7"/>
        <v>0.92813009283818126</v>
      </c>
      <c r="X101" s="195" t="str">
        <f t="shared" si="8"/>
        <v/>
      </c>
      <c r="Y101" s="255" t="str">
        <f>IF(ISNUMBER(SEARCH("C", 'Dry_Litterbag Placem_Collection'!T28)),"YES","NO")</f>
        <v>NO</v>
      </c>
      <c r="Z101" s="255" t="str">
        <f>IF(ISNUMBER(SEARCH("H", 'Dry_Litterbag Placem_Collection'!T28)),"YES","NO")</f>
        <v>NO</v>
      </c>
      <c r="AA101" s="255" t="str">
        <f>IF(ISNUMBER(SEARCH("R", 'Dry_Litterbag Placem_Collection'!T28)),"YES","NO")</f>
        <v>NO</v>
      </c>
      <c r="AB101" s="255" t="str">
        <f>IF(ISNUMBER(SEARCH("C", 'Dry_Litterbag Placem_Collection'!S28)),"YES","NO")</f>
        <v>NO</v>
      </c>
      <c r="AC101" s="255" t="str">
        <f>IF(ISNUMBER(SEARCH("H", 'Dry_Litterbag Placem_Collection'!S28)),"YES","NO")</f>
        <v>NO</v>
      </c>
      <c r="AD101" s="255" t="str">
        <f>IF(ISNUMBER(SEARCH("R", 'Dry_Litterbag Placem_Collection'!S28)),"YES","NO")</f>
        <v>NO</v>
      </c>
    </row>
    <row r="102" spans="2:30">
      <c r="B102" t="str">
        <f>'Final data_for_R_analysis_Dryse'!A28</f>
        <v>Dry</v>
      </c>
      <c r="C102" s="263">
        <f>'Final data_for_R_analysis_Dryse'!B28</f>
        <v>27</v>
      </c>
      <c r="D102" t="s">
        <v>3830</v>
      </c>
      <c r="E102" t="s">
        <v>22</v>
      </c>
      <c r="F102" s="386">
        <v>3</v>
      </c>
      <c r="G102" s="16">
        <f>'Dry_Litterbag Placem_Collection'!E29</f>
        <v>42936</v>
      </c>
      <c r="H102" t="str">
        <f>'Final data_for_R_analysis_Dryse'!J28</f>
        <v>G340</v>
      </c>
      <c r="I102" t="str">
        <f>'Final data_for_R_analysis_Dryse'!J248</f>
        <v>R666</v>
      </c>
      <c r="J102">
        <f>IFERROR(INDEX('Green_rooibos initial weight'!$C$5:$C$1749,MATCH(H102, 'Green_rooibos initial weight'!$A$5:$A$1749,0)),"")</f>
        <v>2.0150000000000001</v>
      </c>
      <c r="K102">
        <f>IFERROR(INDEX('Green_rooibos initial weight'!$C$5:$C$1749,MATCH(I102, 'Green_rooibos initial weight'!$A$5:$A$1749,0)),"")</f>
        <v>2.15</v>
      </c>
      <c r="L102" s="195">
        <f t="shared" si="3"/>
        <v>1.7652000000000001</v>
      </c>
      <c r="M102" s="195">
        <f t="shared" si="4"/>
        <v>1.9001999999999999</v>
      </c>
      <c r="N102" s="16">
        <f>IF('Dry_Litterbag Placem_Collection'!G29="N.A","",'Dry_Litterbag Placem_Collection'!G29)</f>
        <v>43007</v>
      </c>
      <c r="O102" s="195" t="str">
        <f>IF(IFERROR(INDEX('Both teabags AfterDry'!$D$1:$D$839,MATCH(H102,'Both teabags AfterDry'!$A$1:$A$839,0)),"")="N.A","",(IFERROR(INDEX('Both teabags AfterDry'!$D$1:$D$839,MATCH(H102,'Both teabags AfterDry'!$A$1:$A$839,0)),"")))</f>
        <v/>
      </c>
      <c r="P102" s="195" t="str">
        <f>IF(IFERROR(INDEX('Both teabags AfterDry'!$D$1:$D$839,MATCH(I102,'Both teabags AfterDry'!$A$1:$A$839,0)),"")="N.A","",(IFERROR(INDEX('Both teabags AfterDry'!$D$1:$D$839,MATCH(I102,'Both teabags AfterDry'!$A$1:$A$839,0)),"")))</f>
        <v/>
      </c>
      <c r="Q102" s="195" t="str">
        <f t="shared" si="5"/>
        <v/>
      </c>
      <c r="R102" s="195" t="str">
        <f t="shared" si="5"/>
        <v/>
      </c>
      <c r="S102" s="195" t="str">
        <f t="shared" si="0"/>
        <v/>
      </c>
      <c r="T102" s="195" t="str">
        <f t="shared" si="6"/>
        <v/>
      </c>
      <c r="U102" s="195" t="str">
        <f t="shared" si="1"/>
        <v/>
      </c>
      <c r="V102">
        <f t="shared" si="2"/>
        <v>71</v>
      </c>
      <c r="W102" s="195" t="str">
        <f t="shared" si="7"/>
        <v/>
      </c>
      <c r="X102" s="195" t="str">
        <f t="shared" si="8"/>
        <v/>
      </c>
      <c r="Y102" s="255" t="str">
        <f>IF(ISNUMBER(SEARCH("C", 'Dry_Litterbag Placem_Collection'!T29)),"YES","NO")</f>
        <v>NO</v>
      </c>
      <c r="Z102" s="255" t="str">
        <f>IF(ISNUMBER(SEARCH("H", 'Dry_Litterbag Placem_Collection'!T29)),"YES","NO")</f>
        <v>NO</v>
      </c>
      <c r="AA102" s="255" t="str">
        <f>IF(ISNUMBER(SEARCH("R", 'Dry_Litterbag Placem_Collection'!T29)),"YES","NO")</f>
        <v>NO</v>
      </c>
      <c r="AB102" s="255" t="str">
        <f>IF(ISNUMBER(SEARCH("C", 'Dry_Litterbag Placem_Collection'!S29)),"YES","NO")</f>
        <v>NO</v>
      </c>
      <c r="AC102" s="255" t="str">
        <f>IF(ISNUMBER(SEARCH("H", 'Dry_Litterbag Placem_Collection'!S29)),"YES","NO")</f>
        <v>NO</v>
      </c>
      <c r="AD102" s="255" t="str">
        <f>IF(ISNUMBER(SEARCH("R", 'Dry_Litterbag Placem_Collection'!S29)),"YES","NO")</f>
        <v>NO</v>
      </c>
    </row>
    <row r="103" spans="2:30">
      <c r="B103" t="str">
        <f>'Final data_for_R_analysis_Dryse'!A29</f>
        <v>Dry</v>
      </c>
      <c r="C103" s="263">
        <f>'Final data_for_R_analysis_Dryse'!B29</f>
        <v>28</v>
      </c>
      <c r="D103" t="s">
        <v>3830</v>
      </c>
      <c r="E103" t="s">
        <v>22</v>
      </c>
      <c r="F103" s="387">
        <v>4</v>
      </c>
      <c r="G103" s="16">
        <f>'Dry_Litterbag Placem_Collection'!E30</f>
        <v>42936</v>
      </c>
      <c r="H103" t="str">
        <f>'Final data_for_R_analysis_Dryse'!J29</f>
        <v>G61</v>
      </c>
      <c r="I103" t="str">
        <f>'Final data_for_R_analysis_Dryse'!J249</f>
        <v>R705</v>
      </c>
      <c r="J103">
        <f>IFERROR(INDEX('Green_rooibos initial weight'!$C$5:$C$1749,MATCH(H103, 'Green_rooibos initial weight'!$A$5:$A$1749,0)),"")</f>
        <v>1.88</v>
      </c>
      <c r="K103">
        <f>IFERROR(INDEX('Green_rooibos initial weight'!$C$5:$C$1749,MATCH(I103, 'Green_rooibos initial weight'!$A$5:$A$1749,0)),"")</f>
        <v>2.1859999999999999</v>
      </c>
      <c r="L103" s="195">
        <f t="shared" si="3"/>
        <v>1.6301999999999999</v>
      </c>
      <c r="M103" s="195">
        <f t="shared" si="4"/>
        <v>1.9361999999999999</v>
      </c>
      <c r="N103" s="16">
        <f>IF('Dry_Litterbag Placem_Collection'!G30="N.A","",'Dry_Litterbag Placem_Collection'!G30)</f>
        <v>43007</v>
      </c>
      <c r="O103" s="195">
        <f>IF(IFERROR(INDEX('Both teabags AfterDry'!$D$1:$D$839,MATCH(H103,'Both teabags AfterDry'!$A$1:$A$839,0)),"")="N.A","",(IFERROR(INDEX('Both teabags AfterDry'!$D$1:$D$839,MATCH(H103,'Both teabags AfterDry'!$A$1:$A$839,0)),"")))</f>
        <v>1.4991000000000001</v>
      </c>
      <c r="P103" s="195">
        <f>IF(IFERROR(INDEX('Both teabags AfterDry'!$D$1:$D$839,MATCH(I103,'Both teabags AfterDry'!$A$1:$A$839,0)),"")="N.A","",(IFERROR(INDEX('Both teabags AfterDry'!$D$1:$D$839,MATCH(I103,'Both teabags AfterDry'!$A$1:$A$839,0)),"")))</f>
        <v>2.0167999999999999</v>
      </c>
      <c r="Q103" s="195">
        <f t="shared" si="5"/>
        <v>1.3485</v>
      </c>
      <c r="R103" s="195">
        <f t="shared" si="5"/>
        <v>1.8661999999999999</v>
      </c>
      <c r="S103" s="195">
        <f t="shared" si="0"/>
        <v>0.17280088332719901</v>
      </c>
      <c r="T103" s="195">
        <f t="shared" si="6"/>
        <v>0.11328513966343692</v>
      </c>
      <c r="U103" s="195">
        <f t="shared" si="1"/>
        <v>0.96384671005061462</v>
      </c>
      <c r="V103">
        <f t="shared" si="2"/>
        <v>71</v>
      </c>
      <c r="W103" s="195">
        <f t="shared" si="7"/>
        <v>0.79477329771116501</v>
      </c>
      <c r="X103" s="195">
        <f t="shared" si="8"/>
        <v>5.4139677297017153E-3</v>
      </c>
      <c r="Y103" s="255" t="str">
        <f>IF(ISNUMBER(SEARCH("C", 'Dry_Litterbag Placem_Collection'!T30)),"YES","NO")</f>
        <v>NO</v>
      </c>
      <c r="Z103" s="255" t="str">
        <f>IF(ISNUMBER(SEARCH("H", 'Dry_Litterbag Placem_Collection'!T30)),"YES","NO")</f>
        <v>NO</v>
      </c>
      <c r="AA103" s="255" t="str">
        <f>IF(ISNUMBER(SEARCH("R", 'Dry_Litterbag Placem_Collection'!T30)),"YES","NO")</f>
        <v>NO</v>
      </c>
      <c r="AB103" s="255" t="str">
        <f>IF(ISNUMBER(SEARCH("C", 'Dry_Litterbag Placem_Collection'!S30)),"YES","NO")</f>
        <v>NO</v>
      </c>
      <c r="AC103" s="255" t="str">
        <f>IF(ISNUMBER(SEARCH("H", 'Dry_Litterbag Placem_Collection'!S30)),"YES","NO")</f>
        <v>NO</v>
      </c>
      <c r="AD103" s="255" t="str">
        <f>IF(ISNUMBER(SEARCH("R", 'Dry_Litterbag Placem_Collection'!S30)),"YES","NO")</f>
        <v>NO</v>
      </c>
    </row>
    <row r="104" spans="2:30">
      <c r="B104" t="str">
        <f>'Final data_for_R_analysis_Dryse'!A30</f>
        <v>Dry</v>
      </c>
      <c r="C104" s="263">
        <f>'Final data_for_R_analysis_Dryse'!B30</f>
        <v>29</v>
      </c>
      <c r="D104" t="s">
        <v>3830</v>
      </c>
      <c r="E104" t="s">
        <v>22</v>
      </c>
      <c r="F104" s="387">
        <v>5</v>
      </c>
      <c r="G104" s="16">
        <f>'Dry_Litterbag Placem_Collection'!E31</f>
        <v>42936</v>
      </c>
      <c r="H104" t="str">
        <f>'Final data_for_R_analysis_Dryse'!J30</f>
        <v>G319</v>
      </c>
      <c r="I104" t="str">
        <f>'Final data_for_R_analysis_Dryse'!J250</f>
        <v>R305</v>
      </c>
      <c r="J104">
        <f>IFERROR(INDEX('Green_rooibos initial weight'!$C$5:$C$1749,MATCH(H104, 'Green_rooibos initial weight'!$A$5:$A$1749,0)),"")</f>
        <v>2.012</v>
      </c>
      <c r="K104">
        <f>IFERROR(INDEX('Green_rooibos initial weight'!$C$5:$C$1749,MATCH(I104, 'Green_rooibos initial weight'!$A$5:$A$1749,0)),"")</f>
        <v>2.2829999999999999</v>
      </c>
      <c r="L104" s="195">
        <f t="shared" si="3"/>
        <v>1.7622</v>
      </c>
      <c r="M104" s="195">
        <f t="shared" si="4"/>
        <v>2.0331999999999999</v>
      </c>
      <c r="N104" s="16">
        <f>IF('Dry_Litterbag Placem_Collection'!G31="N.A","",'Dry_Litterbag Placem_Collection'!G31)</f>
        <v>43007</v>
      </c>
      <c r="O104" s="195">
        <f>IF(IFERROR(INDEX('Both teabags AfterDry'!$D$1:$D$839,MATCH(H104,'Both teabags AfterDry'!$A$1:$A$839,0)),"")="N.A","",(IFERROR(INDEX('Both teabags AfterDry'!$D$1:$D$839,MATCH(H104,'Both teabags AfterDry'!$A$1:$A$839,0)),"")))</f>
        <v>1.8162</v>
      </c>
      <c r="P104" s="195">
        <f>IF(IFERROR(INDEX('Both teabags AfterDry'!$D$1:$D$839,MATCH(I104,'Both teabags AfterDry'!$A$1:$A$839,0)),"")="N.A","",(IFERROR(INDEX('Both teabags AfterDry'!$D$1:$D$839,MATCH(I104,'Both teabags AfterDry'!$A$1:$A$839,0)),"")))</f>
        <v>2.0718999999999999</v>
      </c>
      <c r="Q104" s="195">
        <f t="shared" si="5"/>
        <v>1.6656</v>
      </c>
      <c r="R104" s="195">
        <f t="shared" si="5"/>
        <v>1.9212999999999998</v>
      </c>
      <c r="S104" s="195">
        <f t="shared" si="0"/>
        <v>5.481784133469525E-2</v>
      </c>
      <c r="T104" s="195">
        <f t="shared" si="6"/>
        <v>3.5937587193291924E-2</v>
      </c>
      <c r="U104" s="195">
        <f t="shared" si="1"/>
        <v>0.94496360417076519</v>
      </c>
      <c r="V104">
        <f t="shared" si="2"/>
        <v>71</v>
      </c>
      <c r="W104" s="195">
        <f t="shared" si="7"/>
        <v>0.93489567537447116</v>
      </c>
      <c r="X104" s="195" t="str">
        <f t="shared" si="8"/>
        <v/>
      </c>
      <c r="Y104" s="255" t="str">
        <f>IF(ISNUMBER(SEARCH("C", 'Dry_Litterbag Placem_Collection'!T31)),"YES","NO")</f>
        <v>NO</v>
      </c>
      <c r="Z104" s="255" t="str">
        <f>IF(ISNUMBER(SEARCH("H", 'Dry_Litterbag Placem_Collection'!T31)),"YES","NO")</f>
        <v>NO</v>
      </c>
      <c r="AA104" s="255" t="str">
        <f>IF(ISNUMBER(SEARCH("R", 'Dry_Litterbag Placem_Collection'!T31)),"YES","NO")</f>
        <v>NO</v>
      </c>
      <c r="AB104" s="255" t="str">
        <f>IF(ISNUMBER(SEARCH("C", 'Dry_Litterbag Placem_Collection'!S31)),"YES","NO")</f>
        <v>NO</v>
      </c>
      <c r="AC104" s="255" t="str">
        <f>IF(ISNUMBER(SEARCH("H", 'Dry_Litterbag Placem_Collection'!S31)),"YES","NO")</f>
        <v>NO</v>
      </c>
      <c r="AD104" s="255" t="str">
        <f>IF(ISNUMBER(SEARCH("R", 'Dry_Litterbag Placem_Collection'!S31)),"YES","NO")</f>
        <v>NO</v>
      </c>
    </row>
    <row r="105" spans="2:30">
      <c r="B105" t="str">
        <f>'Final data_for_R_analysis_Dryse'!A31</f>
        <v>Dry</v>
      </c>
      <c r="C105" s="263">
        <f>'Final data_for_R_analysis_Dryse'!B31</f>
        <v>30</v>
      </c>
      <c r="D105" t="s">
        <v>3830</v>
      </c>
      <c r="E105" t="s">
        <v>22</v>
      </c>
      <c r="F105" s="387">
        <v>6</v>
      </c>
      <c r="G105" s="16">
        <f>'Dry_Litterbag Placem_Collection'!E32</f>
        <v>42936</v>
      </c>
      <c r="H105" t="str">
        <f>'Final data_for_R_analysis_Dryse'!J31</f>
        <v>G273</v>
      </c>
      <c r="I105" t="str">
        <f>'Final data_for_R_analysis_Dryse'!J251</f>
        <v>R667</v>
      </c>
      <c r="J105">
        <f>IFERROR(INDEX('Green_rooibos initial weight'!$C$5:$C$1749,MATCH(H105, 'Green_rooibos initial weight'!$A$5:$A$1749,0)),"")</f>
        <v>2.073</v>
      </c>
      <c r="K105">
        <f>IFERROR(INDEX('Green_rooibos initial weight'!$C$5:$C$1749,MATCH(I105, 'Green_rooibos initial weight'!$A$5:$A$1749,0)),"")</f>
        <v>2.1949999999999998</v>
      </c>
      <c r="L105" s="195">
        <f t="shared" si="3"/>
        <v>1.8231999999999999</v>
      </c>
      <c r="M105" s="195">
        <f t="shared" si="4"/>
        <v>1.9451999999999998</v>
      </c>
      <c r="N105" s="16">
        <f>IF('Dry_Litterbag Placem_Collection'!G32="N.A","",'Dry_Litterbag Placem_Collection'!G32)</f>
        <v>43007</v>
      </c>
      <c r="O105" s="195">
        <f>IF(IFERROR(INDEX('Both teabags AfterDry'!$D$1:$D$839,MATCH(H105,'Both teabags AfterDry'!$A$1:$A$839,0)),"")="N.A","",(IFERROR(INDEX('Both teabags AfterDry'!$D$1:$D$839,MATCH(H105,'Both teabags AfterDry'!$A$1:$A$839,0)),"")))</f>
        <v>1.9318</v>
      </c>
      <c r="P105" s="195">
        <f>IF(IFERROR(INDEX('Both teabags AfterDry'!$D$1:$D$839,MATCH(I105,'Both teabags AfterDry'!$A$1:$A$839,0)),"")="N.A","",(IFERROR(INDEX('Both teabags AfterDry'!$D$1:$D$839,MATCH(I105,'Both teabags AfterDry'!$A$1:$A$839,0)),"")))</f>
        <v>2.0158999999999998</v>
      </c>
      <c r="Q105" s="195">
        <f t="shared" si="5"/>
        <v>1.7811999999999999</v>
      </c>
      <c r="R105" s="195">
        <f t="shared" si="5"/>
        <v>1.8652999999999997</v>
      </c>
      <c r="S105" s="195">
        <f t="shared" si="0"/>
        <v>2.303641948222912E-2</v>
      </c>
      <c r="T105" s="195">
        <f t="shared" si="6"/>
        <v>1.5102260753195361E-2</v>
      </c>
      <c r="U105" s="195">
        <f t="shared" si="1"/>
        <v>0.95892453218178075</v>
      </c>
      <c r="V105">
        <f t="shared" si="2"/>
        <v>71</v>
      </c>
      <c r="W105" s="195">
        <f t="shared" si="7"/>
        <v>0.97264083196884898</v>
      </c>
      <c r="X105" s="195" t="str">
        <f t="shared" si="8"/>
        <v/>
      </c>
      <c r="Y105" s="255" t="str">
        <f>IF(ISNUMBER(SEARCH("C", 'Dry_Litterbag Placem_Collection'!T32)),"YES","NO")</f>
        <v>NO</v>
      </c>
      <c r="Z105" s="255" t="str">
        <f>IF(ISNUMBER(SEARCH("H", 'Dry_Litterbag Placem_Collection'!T32)),"YES","NO")</f>
        <v>NO</v>
      </c>
      <c r="AA105" s="255" t="str">
        <f>IF(ISNUMBER(SEARCH("R", 'Dry_Litterbag Placem_Collection'!T32)),"YES","NO")</f>
        <v>NO</v>
      </c>
      <c r="AB105" s="255" t="str">
        <f>IF(ISNUMBER(SEARCH("C", 'Dry_Litterbag Placem_Collection'!S32)),"YES","NO")</f>
        <v>NO</v>
      </c>
      <c r="AC105" s="255" t="str">
        <f>IF(ISNUMBER(SEARCH("H", 'Dry_Litterbag Placem_Collection'!S32)),"YES","NO")</f>
        <v>NO</v>
      </c>
      <c r="AD105" s="255" t="str">
        <f>IF(ISNUMBER(SEARCH("R", 'Dry_Litterbag Placem_Collection'!S32)),"YES","NO")</f>
        <v>NO</v>
      </c>
    </row>
    <row r="106" spans="2:30">
      <c r="B106" t="str">
        <f>'Final data_for_R_analysis_Dryse'!A32</f>
        <v>Dry</v>
      </c>
      <c r="C106" s="263">
        <f>'Final data_for_R_analysis_Dryse'!B32</f>
        <v>31</v>
      </c>
      <c r="D106" t="s">
        <v>3830</v>
      </c>
      <c r="E106" t="s">
        <v>22</v>
      </c>
      <c r="F106" s="387">
        <v>7</v>
      </c>
      <c r="G106" s="390">
        <f>'Dry_Litterbag Placem_Collection'!E33</f>
        <v>0</v>
      </c>
      <c r="H106" t="str">
        <f>'Final data_for_R_analysis_Dryse'!J32</f>
        <v/>
      </c>
      <c r="I106" t="str">
        <f>'Final data_for_R_analysis_Dryse'!J252</f>
        <v/>
      </c>
      <c r="J106" t="str">
        <f>IFERROR(INDEX('Green_rooibos initial weight'!$C$5:$C$1749,MATCH(H106, 'Green_rooibos initial weight'!$A$5:$A$1749,0)),"")</f>
        <v/>
      </c>
      <c r="K106" t="str">
        <f>IFERROR(INDEX('Green_rooibos initial weight'!$C$5:$C$1749,MATCH(I106, 'Green_rooibos initial weight'!$A$5:$A$1749,0)),"")</f>
        <v/>
      </c>
      <c r="L106" s="195" t="str">
        <f t="shared" si="3"/>
        <v/>
      </c>
      <c r="M106" s="195" t="str">
        <f t="shared" si="4"/>
        <v/>
      </c>
      <c r="N106" s="16">
        <f>IF('Dry_Litterbag Placem_Collection'!G33="N.A","",'Dry_Litterbag Placem_Collection'!G33)</f>
        <v>0</v>
      </c>
      <c r="O106" s="195" t="str">
        <f>IF(IFERROR(INDEX('Both teabags AfterDry'!$D$1:$D$839,MATCH(H106,'Both teabags AfterDry'!$A$1:$A$839,0)),"")="N.A","",(IFERROR(INDEX('Both teabags AfterDry'!$D$1:$D$839,MATCH(H106,'Both teabags AfterDry'!$A$1:$A$839,0)),"")))</f>
        <v/>
      </c>
      <c r="P106" s="195" t="str">
        <f>IF(IFERROR(INDEX('Both teabags AfterDry'!$D$1:$D$839,MATCH(I106,'Both teabags AfterDry'!$A$1:$A$839,0)),"")="N.A","",(IFERROR(INDEX('Both teabags AfterDry'!$D$1:$D$839,MATCH(I106,'Both teabags AfterDry'!$A$1:$A$839,0)),"")))</f>
        <v/>
      </c>
      <c r="Q106" s="195" t="str">
        <f t="shared" si="5"/>
        <v/>
      </c>
      <c r="R106" s="195" t="str">
        <f t="shared" si="5"/>
        <v/>
      </c>
      <c r="S106" s="195" t="str">
        <f t="shared" si="0"/>
        <v/>
      </c>
      <c r="T106" s="195" t="str">
        <f t="shared" si="6"/>
        <v/>
      </c>
      <c r="U106" s="195" t="str">
        <f t="shared" si="1"/>
        <v/>
      </c>
      <c r="V106" t="str">
        <f t="shared" si="2"/>
        <v/>
      </c>
      <c r="W106" s="195" t="str">
        <f t="shared" si="7"/>
        <v/>
      </c>
      <c r="X106" s="195" t="str">
        <f t="shared" si="8"/>
        <v/>
      </c>
      <c r="Y106" s="255" t="str">
        <f>IF(ISNUMBER(SEARCH("C", 'Dry_Litterbag Placem_Collection'!T33)),"YES","NO")</f>
        <v>NO</v>
      </c>
      <c r="Z106" s="255" t="str">
        <f>IF(ISNUMBER(SEARCH("H", 'Dry_Litterbag Placem_Collection'!T33)),"YES","NO")</f>
        <v>NO</v>
      </c>
      <c r="AA106" s="255" t="str">
        <f>IF(ISNUMBER(SEARCH("R", 'Dry_Litterbag Placem_Collection'!T33)),"YES","NO")</f>
        <v>NO</v>
      </c>
      <c r="AB106" s="255" t="str">
        <f>IF(ISNUMBER(SEARCH("C", 'Dry_Litterbag Placem_Collection'!S33)),"YES","NO")</f>
        <v>NO</v>
      </c>
      <c r="AC106" s="255" t="str">
        <f>IF(ISNUMBER(SEARCH("H", 'Dry_Litterbag Placem_Collection'!S33)),"YES","NO")</f>
        <v>NO</v>
      </c>
      <c r="AD106" s="255" t="str">
        <f>IF(ISNUMBER(SEARCH("R", 'Dry_Litterbag Placem_Collection'!S33)),"YES","NO")</f>
        <v>NO</v>
      </c>
    </row>
    <row r="107" spans="2:30">
      <c r="B107" t="str">
        <f>'Final data_for_R_analysis_Dryse'!A33</f>
        <v>Dry</v>
      </c>
      <c r="C107" s="263">
        <f>'Final data_for_R_analysis_Dryse'!B33</f>
        <v>32</v>
      </c>
      <c r="D107" t="s">
        <v>3830</v>
      </c>
      <c r="E107" t="s">
        <v>22</v>
      </c>
      <c r="F107" s="387">
        <v>8</v>
      </c>
      <c r="G107" s="16">
        <f>'Dry_Litterbag Placem_Collection'!E34</f>
        <v>42936</v>
      </c>
      <c r="H107" t="str">
        <f>'Final data_for_R_analysis_Dryse'!J33</f>
        <v>G193</v>
      </c>
      <c r="I107" t="str">
        <f>'Final data_for_R_analysis_Dryse'!J253</f>
        <v>R743</v>
      </c>
      <c r="J107">
        <f>IFERROR(INDEX('Green_rooibos initial weight'!$C$5:$C$1749,MATCH(H107, 'Green_rooibos initial weight'!$A$5:$A$1749,0)),"")</f>
        <v>2.177</v>
      </c>
      <c r="K107">
        <f>IFERROR(INDEX('Green_rooibos initial weight'!$C$5:$C$1749,MATCH(I107, 'Green_rooibos initial weight'!$A$5:$A$1749,0)),"")</f>
        <v>2.2480000000000002</v>
      </c>
      <c r="L107" s="195">
        <f t="shared" si="3"/>
        <v>1.9272</v>
      </c>
      <c r="M107" s="195">
        <f t="shared" si="4"/>
        <v>1.9982000000000002</v>
      </c>
      <c r="N107" s="16">
        <f>IF('Dry_Litterbag Placem_Collection'!G34="N.A","",'Dry_Litterbag Placem_Collection'!G34)</f>
        <v>43007</v>
      </c>
      <c r="O107" s="195">
        <f>IF(IFERROR(INDEX('Both teabags AfterDry'!$D$1:$D$839,MATCH(H107,'Both teabags AfterDry'!$A$1:$A$839,0)),"")="N.A","",(IFERROR(INDEX('Both teabags AfterDry'!$D$1:$D$839,MATCH(H107,'Both teabags AfterDry'!$A$1:$A$839,0)),"")))</f>
        <v>1.8848</v>
      </c>
      <c r="P107" s="195">
        <f>IF(IFERROR(INDEX('Both teabags AfterDry'!$D$1:$D$839,MATCH(I107,'Both teabags AfterDry'!$A$1:$A$839,0)),"")="N.A","",(IFERROR(INDEX('Both teabags AfterDry'!$D$1:$D$839,MATCH(I107,'Both teabags AfterDry'!$A$1:$A$839,0)),"")))</f>
        <v>1.9944999999999999</v>
      </c>
      <c r="Q107" s="195">
        <f t="shared" si="5"/>
        <v>1.7342</v>
      </c>
      <c r="R107" s="195">
        <f t="shared" si="5"/>
        <v>1.8438999999999999</v>
      </c>
      <c r="S107" s="195">
        <f t="shared" si="0"/>
        <v>0.10014528850145288</v>
      </c>
      <c r="T107" s="195">
        <f t="shared" si="6"/>
        <v>6.5653443293114025E-2</v>
      </c>
      <c r="U107" s="195">
        <f t="shared" si="1"/>
        <v>0.92278050245220689</v>
      </c>
      <c r="V107">
        <f t="shared" si="2"/>
        <v>71</v>
      </c>
      <c r="W107" s="195">
        <f t="shared" si="7"/>
        <v>0.88106260272986592</v>
      </c>
      <c r="X107" s="195" t="str">
        <f t="shared" si="8"/>
        <v/>
      </c>
      <c r="Y107" s="255" t="str">
        <f>IF(ISNUMBER(SEARCH("C", 'Dry_Litterbag Placem_Collection'!T34)),"YES","NO")</f>
        <v>NO</v>
      </c>
      <c r="Z107" s="255" t="str">
        <f>IF(ISNUMBER(SEARCH("H", 'Dry_Litterbag Placem_Collection'!T34)),"YES","NO")</f>
        <v>NO</v>
      </c>
      <c r="AA107" s="255" t="str">
        <f>IF(ISNUMBER(SEARCH("R", 'Dry_Litterbag Placem_Collection'!T34)),"YES","NO")</f>
        <v>NO</v>
      </c>
      <c r="AB107" s="255" t="str">
        <f>IF(ISNUMBER(SEARCH("C", 'Dry_Litterbag Placem_Collection'!S34)),"YES","NO")</f>
        <v>NO</v>
      </c>
      <c r="AC107" s="255" t="str">
        <f>IF(ISNUMBER(SEARCH("H", 'Dry_Litterbag Placem_Collection'!S34)),"YES","NO")</f>
        <v>NO</v>
      </c>
      <c r="AD107" s="255" t="str">
        <f>IF(ISNUMBER(SEARCH("R", 'Dry_Litterbag Placem_Collection'!S34)),"YES","NO")</f>
        <v>NO</v>
      </c>
    </row>
    <row r="108" spans="2:30">
      <c r="B108" t="str">
        <f>'Final data_for_R_analysis_Dryse'!A34</f>
        <v>Dry</v>
      </c>
      <c r="C108" s="263">
        <f>'Final data_for_R_analysis_Dryse'!B34</f>
        <v>33</v>
      </c>
      <c r="D108" t="s">
        <v>3831</v>
      </c>
      <c r="E108" t="s">
        <v>22</v>
      </c>
      <c r="F108" s="386">
        <v>1</v>
      </c>
      <c r="G108" s="16">
        <f>'Dry_Litterbag Placem_Collection'!E35</f>
        <v>42938</v>
      </c>
      <c r="H108" t="str">
        <f>'Final data_for_R_analysis_Dryse'!J34</f>
        <v>G218</v>
      </c>
      <c r="I108" t="str">
        <f>'Final data_for_R_analysis_Dryse'!J254</f>
        <v>R769</v>
      </c>
      <c r="J108">
        <f>IFERROR(INDEX('Green_rooibos initial weight'!$C$5:$C$1749,MATCH(H108, 'Green_rooibos initial weight'!$A$5:$A$1749,0)),"")</f>
        <v>1.96</v>
      </c>
      <c r="K108">
        <f>IFERROR(INDEX('Green_rooibos initial weight'!$C$5:$C$1749,MATCH(I108, 'Green_rooibos initial weight'!$A$5:$A$1749,0)),"")</f>
        <v>2.2480000000000002</v>
      </c>
      <c r="L108" s="195">
        <f t="shared" si="3"/>
        <v>1.7101999999999999</v>
      </c>
      <c r="M108" s="195">
        <f t="shared" si="4"/>
        <v>1.9982000000000002</v>
      </c>
      <c r="N108" s="16">
        <f>IF('Dry_Litterbag Placem_Collection'!G35="N.A","",'Dry_Litterbag Placem_Collection'!G35)</f>
        <v>43005</v>
      </c>
      <c r="O108" s="195">
        <f>IF(IFERROR(INDEX('Both teabags AfterDry'!$D$1:$D$839,MATCH(H108,'Both teabags AfterDry'!$A$1:$A$839,0)),"")="N.A","",(IFERROR(INDEX('Both teabags AfterDry'!$D$1:$D$839,MATCH(H108,'Both teabags AfterDry'!$A$1:$A$839,0)),"")))</f>
        <v>1.7766</v>
      </c>
      <c r="P108" s="195">
        <f>IF(IFERROR(INDEX('Both teabags AfterDry'!$D$1:$D$839,MATCH(I108,'Both teabags AfterDry'!$A$1:$A$839,0)),"")="N.A","",(IFERROR(INDEX('Both teabags AfterDry'!$D$1:$D$839,MATCH(I108,'Both teabags AfterDry'!$A$1:$A$839,0)),"")))</f>
        <v>1.9911000000000001</v>
      </c>
      <c r="Q108" s="195">
        <f t="shared" si="5"/>
        <v>1.6259999999999999</v>
      </c>
      <c r="R108" s="195">
        <f t="shared" si="5"/>
        <v>1.8405</v>
      </c>
      <c r="S108" s="195">
        <f t="shared" si="0"/>
        <v>4.9234007718395589E-2</v>
      </c>
      <c r="T108" s="195">
        <f t="shared" si="6"/>
        <v>3.2276926675242686E-2</v>
      </c>
      <c r="U108" s="195">
        <f t="shared" si="1"/>
        <v>0.92107897107396652</v>
      </c>
      <c r="V108">
        <f t="shared" si="2"/>
        <v>67</v>
      </c>
      <c r="W108" s="195">
        <f t="shared" si="7"/>
        <v>0.94152730674774876</v>
      </c>
      <c r="X108" s="195" t="str">
        <f t="shared" si="8"/>
        <v/>
      </c>
      <c r="Y108" s="255" t="str">
        <f>IF(ISNUMBER(SEARCH("C", 'Dry_Litterbag Placem_Collection'!T35)),"YES","NO")</f>
        <v>NO</v>
      </c>
      <c r="Z108" s="255" t="str">
        <f>IF(ISNUMBER(SEARCH("H", 'Dry_Litterbag Placem_Collection'!T35)),"YES","NO")</f>
        <v>NO</v>
      </c>
      <c r="AA108" s="255" t="str">
        <f>IF(ISNUMBER(SEARCH("R", 'Dry_Litterbag Placem_Collection'!T35)),"YES","NO")</f>
        <v>NO</v>
      </c>
      <c r="AB108" s="255" t="str">
        <f>IF(ISNUMBER(SEARCH("C", 'Dry_Litterbag Placem_Collection'!S35)),"YES","NO")</f>
        <v>NO</v>
      </c>
      <c r="AC108" s="255" t="str">
        <f>IF(ISNUMBER(SEARCH("H", 'Dry_Litterbag Placem_Collection'!S35)),"YES","NO")</f>
        <v>NO</v>
      </c>
      <c r="AD108" s="255" t="str">
        <f>IF(ISNUMBER(SEARCH("R", 'Dry_Litterbag Placem_Collection'!S35)),"YES","NO")</f>
        <v>NO</v>
      </c>
    </row>
    <row r="109" spans="2:30">
      <c r="B109" t="str">
        <f>'Final data_for_R_analysis_Dryse'!A35</f>
        <v>Dry</v>
      </c>
      <c r="C109" s="263">
        <f>'Final data_for_R_analysis_Dryse'!B35</f>
        <v>34</v>
      </c>
      <c r="D109" t="s">
        <v>3831</v>
      </c>
      <c r="E109" t="s">
        <v>22</v>
      </c>
      <c r="F109" s="386">
        <v>2</v>
      </c>
      <c r="G109" s="16">
        <f>'Dry_Litterbag Placem_Collection'!E36</f>
        <v>42938</v>
      </c>
      <c r="H109" t="str">
        <f>'Final data_for_R_analysis_Dryse'!J35</f>
        <v>G104</v>
      </c>
      <c r="I109" t="str">
        <f>'Final data_for_R_analysis_Dryse'!J255</f>
        <v>R753</v>
      </c>
      <c r="J109">
        <f>IFERROR(INDEX('Green_rooibos initial weight'!$C$5:$C$1749,MATCH(H109, 'Green_rooibos initial weight'!$A$5:$A$1749,0)),"")</f>
        <v>2.0259999999999998</v>
      </c>
      <c r="K109">
        <f>IFERROR(INDEX('Green_rooibos initial weight'!$C$5:$C$1749,MATCH(I109, 'Green_rooibos initial weight'!$A$5:$A$1749,0)),"")</f>
        <v>2.2400000000000002</v>
      </c>
      <c r="L109" s="195">
        <f t="shared" si="3"/>
        <v>1.7761999999999998</v>
      </c>
      <c r="M109" s="195">
        <f t="shared" si="4"/>
        <v>1.9902000000000002</v>
      </c>
      <c r="N109" s="16">
        <f>IF('Dry_Litterbag Placem_Collection'!G36="N.A","",'Dry_Litterbag Placem_Collection'!G36)</f>
        <v>43005</v>
      </c>
      <c r="O109" s="195" t="str">
        <f>IF(IFERROR(INDEX('Both teabags AfterDry'!$D$1:$D$839,MATCH(H109,'Both teabags AfterDry'!$A$1:$A$839,0)),"")="N.A","",(IFERROR(INDEX('Both teabags AfterDry'!$D$1:$D$839,MATCH(H109,'Both teabags AfterDry'!$A$1:$A$839,0)),"")))</f>
        <v/>
      </c>
      <c r="P109" s="195" t="str">
        <f>IF(IFERROR(INDEX('Both teabags AfterDry'!$D$1:$D$839,MATCH(I109,'Both teabags AfterDry'!$A$1:$A$839,0)),"")="N.A","",(IFERROR(INDEX('Both teabags AfterDry'!$D$1:$D$839,MATCH(I109,'Both teabags AfterDry'!$A$1:$A$839,0)),"")))</f>
        <v/>
      </c>
      <c r="Q109" s="195" t="str">
        <f t="shared" si="5"/>
        <v/>
      </c>
      <c r="R109" s="195" t="str">
        <f t="shared" si="5"/>
        <v/>
      </c>
      <c r="S109" s="195" t="str">
        <f t="shared" si="0"/>
        <v/>
      </c>
      <c r="T109" s="195" t="str">
        <f t="shared" si="6"/>
        <v/>
      </c>
      <c r="U109" s="195" t="str">
        <f t="shared" si="1"/>
        <v/>
      </c>
      <c r="V109">
        <f t="shared" si="2"/>
        <v>67</v>
      </c>
      <c r="W109" s="195" t="str">
        <f t="shared" si="7"/>
        <v/>
      </c>
      <c r="X109" s="195" t="str">
        <f t="shared" si="8"/>
        <v/>
      </c>
      <c r="Y109" s="255" t="str">
        <f>IF(ISNUMBER(SEARCH("C", 'Dry_Litterbag Placem_Collection'!T36)),"YES","NO")</f>
        <v>NO</v>
      </c>
      <c r="Z109" s="255" t="str">
        <f>IF(ISNUMBER(SEARCH("H", 'Dry_Litterbag Placem_Collection'!T36)),"YES","NO")</f>
        <v>NO</v>
      </c>
      <c r="AA109" s="255" t="str">
        <f>IF(ISNUMBER(SEARCH("R", 'Dry_Litterbag Placem_Collection'!T36)),"YES","NO")</f>
        <v>NO</v>
      </c>
      <c r="AB109" s="255" t="str">
        <f>IF(ISNUMBER(SEARCH("C", 'Dry_Litterbag Placem_Collection'!S36)),"YES","NO")</f>
        <v>NO</v>
      </c>
      <c r="AC109" s="255" t="str">
        <f>IF(ISNUMBER(SEARCH("H", 'Dry_Litterbag Placem_Collection'!S36)),"YES","NO")</f>
        <v>YES</v>
      </c>
      <c r="AD109" s="255" t="str">
        <f>IF(ISNUMBER(SEARCH("R", 'Dry_Litterbag Placem_Collection'!S36)),"YES","NO")</f>
        <v>NO</v>
      </c>
    </row>
    <row r="110" spans="2:30">
      <c r="B110" t="str">
        <f>'Final data_for_R_analysis_Dryse'!A36</f>
        <v>Dry</v>
      </c>
      <c r="C110" s="263">
        <f>'Final data_for_R_analysis_Dryse'!B36</f>
        <v>35</v>
      </c>
      <c r="D110" t="s">
        <v>3831</v>
      </c>
      <c r="E110" t="s">
        <v>22</v>
      </c>
      <c r="F110" s="386">
        <v>3</v>
      </c>
      <c r="G110" s="16">
        <f>'Dry_Litterbag Placem_Collection'!E37</f>
        <v>42938</v>
      </c>
      <c r="H110" t="str">
        <f>'Final data_for_R_analysis_Dryse'!J36</f>
        <v>G188</v>
      </c>
      <c r="I110" t="str">
        <f>'Final data_for_R_analysis_Dryse'!J256</f>
        <v>R776</v>
      </c>
      <c r="J110">
        <f>IFERROR(INDEX('Green_rooibos initial weight'!$C$5:$C$1749,MATCH(H110, 'Green_rooibos initial weight'!$A$5:$A$1749,0)),"")</f>
        <v>1.952</v>
      </c>
      <c r="K110">
        <f>IFERROR(INDEX('Green_rooibos initial weight'!$C$5:$C$1749,MATCH(I110, 'Green_rooibos initial weight'!$A$5:$A$1749,0)),"")</f>
        <v>2.1989999999999998</v>
      </c>
      <c r="L110" s="195">
        <f t="shared" si="3"/>
        <v>1.7021999999999999</v>
      </c>
      <c r="M110" s="195">
        <f t="shared" si="4"/>
        <v>1.9491999999999998</v>
      </c>
      <c r="N110" s="16">
        <f>IF('Dry_Litterbag Placem_Collection'!G37="N.A","",'Dry_Litterbag Placem_Collection'!G37)</f>
        <v>43005</v>
      </c>
      <c r="O110" s="195">
        <f>IF(IFERROR(INDEX('Both teabags AfterDry'!$D$1:$D$839,MATCH(H110,'Both teabags AfterDry'!$A$1:$A$839,0)),"")="N.A","",(IFERROR(INDEX('Both teabags AfterDry'!$D$1:$D$839,MATCH(H110,'Both teabags AfterDry'!$A$1:$A$839,0)),"")))</f>
        <v>1.7849999999999999</v>
      </c>
      <c r="P110" s="195">
        <f>IF(IFERROR(INDEX('Both teabags AfterDry'!$D$1:$D$839,MATCH(I110,'Both teabags AfterDry'!$A$1:$A$839,0)),"")="N.A","",(IFERROR(INDEX('Both teabags AfterDry'!$D$1:$D$839,MATCH(I110,'Both teabags AfterDry'!$A$1:$A$839,0)),"")))</f>
        <v>1.9447000000000001</v>
      </c>
      <c r="Q110" s="195">
        <f t="shared" si="5"/>
        <v>1.6343999999999999</v>
      </c>
      <c r="R110" s="195">
        <f t="shared" si="5"/>
        <v>1.7941</v>
      </c>
      <c r="S110" s="195">
        <f t="shared" si="0"/>
        <v>3.9830807190694428E-2</v>
      </c>
      <c r="T110" s="195">
        <f t="shared" si="6"/>
        <v>2.611235815827E-2</v>
      </c>
      <c r="U110" s="195">
        <f t="shared" si="1"/>
        <v>0.920428893905192</v>
      </c>
      <c r="V110">
        <f t="shared" si="2"/>
        <v>67</v>
      </c>
      <c r="W110" s="195">
        <f t="shared" si="7"/>
        <v>0.95269500333646739</v>
      </c>
      <c r="X110" s="195" t="str">
        <f t="shared" si="8"/>
        <v/>
      </c>
      <c r="Y110" s="255" t="str">
        <f>IF(ISNUMBER(SEARCH("C", 'Dry_Litterbag Placem_Collection'!T37)),"YES","NO")</f>
        <v>NO</v>
      </c>
      <c r="Z110" s="255" t="str">
        <f>IF(ISNUMBER(SEARCH("H", 'Dry_Litterbag Placem_Collection'!T37)),"YES","NO")</f>
        <v>NO</v>
      </c>
      <c r="AA110" s="255" t="str">
        <f>IF(ISNUMBER(SEARCH("R", 'Dry_Litterbag Placem_Collection'!T37)),"YES","NO")</f>
        <v>NO</v>
      </c>
      <c r="AB110" s="255" t="str">
        <f>IF(ISNUMBER(SEARCH("C", 'Dry_Litterbag Placem_Collection'!S37)),"YES","NO")</f>
        <v>NO</v>
      </c>
      <c r="AC110" s="255" t="str">
        <f>IF(ISNUMBER(SEARCH("H", 'Dry_Litterbag Placem_Collection'!S37)),"YES","NO")</f>
        <v>NO</v>
      </c>
      <c r="AD110" s="255" t="str">
        <f>IF(ISNUMBER(SEARCH("R", 'Dry_Litterbag Placem_Collection'!S37)),"YES","NO")</f>
        <v>NO</v>
      </c>
    </row>
    <row r="111" spans="2:30">
      <c r="B111" t="str">
        <f>'Final data_for_R_analysis_Dryse'!A37</f>
        <v>Dry</v>
      </c>
      <c r="C111" s="263">
        <f>'Final data_for_R_analysis_Dryse'!B37</f>
        <v>36</v>
      </c>
      <c r="D111" t="s">
        <v>3831</v>
      </c>
      <c r="E111" t="s">
        <v>22</v>
      </c>
      <c r="F111" s="387">
        <v>4</v>
      </c>
      <c r="G111" s="16">
        <f>'Dry_Litterbag Placem_Collection'!E38</f>
        <v>42938</v>
      </c>
      <c r="H111" t="str">
        <f>'Final data_for_R_analysis_Dryse'!J37</f>
        <v>G379</v>
      </c>
      <c r="I111" t="str">
        <f>'Final data_for_R_analysis_Dryse'!J257</f>
        <v>R799</v>
      </c>
      <c r="J111">
        <f>IFERROR(INDEX('Green_rooibos initial weight'!$C$5:$C$1749,MATCH(H111, 'Green_rooibos initial weight'!$A$5:$A$1749,0)),"")</f>
        <v>2.052</v>
      </c>
      <c r="K111">
        <f>IFERROR(INDEX('Green_rooibos initial weight'!$C$5:$C$1749,MATCH(I111, 'Green_rooibos initial weight'!$A$5:$A$1749,0)),"")</f>
        <v>2.2040000000000002</v>
      </c>
      <c r="L111" s="195">
        <f t="shared" si="3"/>
        <v>1.8022</v>
      </c>
      <c r="M111" s="195">
        <f t="shared" si="4"/>
        <v>1.9542000000000002</v>
      </c>
      <c r="N111" s="16">
        <f>IF('Dry_Litterbag Placem_Collection'!G38="N.A","",'Dry_Litterbag Placem_Collection'!G38)</f>
        <v>43005</v>
      </c>
      <c r="O111" s="195">
        <f>IF(IFERROR(INDEX('Both teabags AfterDry'!$D$1:$D$839,MATCH(H111,'Both teabags AfterDry'!$A$1:$A$839,0)),"")="N.A","",(IFERROR(INDEX('Both teabags AfterDry'!$D$1:$D$839,MATCH(H111,'Both teabags AfterDry'!$A$1:$A$839,0)),"")))</f>
        <v>1.65</v>
      </c>
      <c r="P111" s="195">
        <f>IF(IFERROR(INDEX('Both teabags AfterDry'!$D$1:$D$839,MATCH(I111,'Both teabags AfterDry'!$A$1:$A$839,0)),"")="N.A","",(IFERROR(INDEX('Both teabags AfterDry'!$D$1:$D$839,MATCH(I111,'Both teabags AfterDry'!$A$1:$A$839,0)),"")))</f>
        <v>1.3494999999999999</v>
      </c>
      <c r="Q111" s="195">
        <f t="shared" si="5"/>
        <v>1.4993999999999998</v>
      </c>
      <c r="R111" s="195">
        <f t="shared" si="5"/>
        <v>1.1988999999999999</v>
      </c>
      <c r="S111" s="195">
        <f t="shared" si="0"/>
        <v>0.16801686827211193</v>
      </c>
      <c r="T111" s="195">
        <f t="shared" si="6"/>
        <v>0.11014882575558888</v>
      </c>
      <c r="U111" s="195">
        <f t="shared" si="1"/>
        <v>0.61349913007880452</v>
      </c>
      <c r="V111">
        <f t="shared" si="2"/>
        <v>67</v>
      </c>
      <c r="W111" s="195">
        <f t="shared" si="7"/>
        <v>0.80045502580509265</v>
      </c>
      <c r="X111" s="195" t="str">
        <f t="shared" si="8"/>
        <v/>
      </c>
      <c r="Y111" s="255" t="str">
        <f>IF(ISNUMBER(SEARCH("C", 'Dry_Litterbag Placem_Collection'!T38)),"YES","NO")</f>
        <v>YES</v>
      </c>
      <c r="Z111" s="255" t="str">
        <f>IF(ISNUMBER(SEARCH("H", 'Dry_Litterbag Placem_Collection'!T38)),"YES","NO")</f>
        <v>YES</v>
      </c>
      <c r="AA111" s="255" t="str">
        <f>IF(ISNUMBER(SEARCH("R", 'Dry_Litterbag Placem_Collection'!T38)),"YES","NO")</f>
        <v>NO</v>
      </c>
      <c r="AB111" s="255" t="str">
        <f>IF(ISNUMBER(SEARCH("C", 'Dry_Litterbag Placem_Collection'!S38)),"YES","NO")</f>
        <v>NO</v>
      </c>
      <c r="AC111" s="255" t="str">
        <f>IF(ISNUMBER(SEARCH("H", 'Dry_Litterbag Placem_Collection'!S38)),"YES","NO")</f>
        <v>NO</v>
      </c>
      <c r="AD111" s="255" t="str">
        <f>IF(ISNUMBER(SEARCH("R", 'Dry_Litterbag Placem_Collection'!S38)),"YES","NO")</f>
        <v>NO</v>
      </c>
    </row>
    <row r="112" spans="2:30">
      <c r="B112" t="str">
        <f>'Final data_for_R_analysis_Dryse'!A38</f>
        <v>Dry</v>
      </c>
      <c r="C112" s="263">
        <f>'Final data_for_R_analysis_Dryse'!B38</f>
        <v>37</v>
      </c>
      <c r="D112" t="s">
        <v>3831</v>
      </c>
      <c r="E112" t="s">
        <v>22</v>
      </c>
      <c r="F112" s="387">
        <v>5</v>
      </c>
      <c r="G112" s="16">
        <f>'Dry_Litterbag Placem_Collection'!E39</f>
        <v>42938</v>
      </c>
      <c r="H112" t="str">
        <f>'Final data_for_R_analysis_Dryse'!J38</f>
        <v>G66</v>
      </c>
      <c r="I112" t="str">
        <f>'Final data_for_R_analysis_Dryse'!J258</f>
        <v>R722</v>
      </c>
      <c r="J112">
        <f>IFERROR(INDEX('Green_rooibos initial weight'!$C$5:$C$1749,MATCH(H112, 'Green_rooibos initial weight'!$A$5:$A$1749,0)),"")</f>
        <v>1.9490000000000001</v>
      </c>
      <c r="K112">
        <f>IFERROR(INDEX('Green_rooibos initial weight'!$C$5:$C$1749,MATCH(I112, 'Green_rooibos initial weight'!$A$5:$A$1749,0)),"")</f>
        <v>2.2069999999999999</v>
      </c>
      <c r="L112" s="195">
        <f t="shared" si="3"/>
        <v>1.6992</v>
      </c>
      <c r="M112" s="195">
        <f t="shared" si="4"/>
        <v>1.9571999999999998</v>
      </c>
      <c r="N112" s="16">
        <f>IF('Dry_Litterbag Placem_Collection'!G39="N.A","",'Dry_Litterbag Placem_Collection'!G39)</f>
        <v>43005</v>
      </c>
      <c r="O112" s="195">
        <f>IF(IFERROR(INDEX('Both teabags AfterDry'!$D$1:$D$839,MATCH(H112,'Both teabags AfterDry'!$A$1:$A$839,0)),"")="N.A","",(IFERROR(INDEX('Both teabags AfterDry'!$D$1:$D$839,MATCH(H112,'Both teabags AfterDry'!$A$1:$A$839,0)),"")))</f>
        <v>3.3298000000000001</v>
      </c>
      <c r="P112" s="195">
        <f>IF(IFERROR(INDEX('Both teabags AfterDry'!$D$1:$D$839,MATCH(I112,'Both teabags AfterDry'!$A$1:$A$839,0)),"")="N.A","",(IFERROR(INDEX('Both teabags AfterDry'!$D$1:$D$839,MATCH(I112,'Both teabags AfterDry'!$A$1:$A$839,0)),"")))</f>
        <v>0.13320000000000001</v>
      </c>
      <c r="Q112" s="195">
        <f t="shared" si="5"/>
        <v>3.1792000000000002</v>
      </c>
      <c r="R112" s="195">
        <f t="shared" si="5"/>
        <v>-1.7399999999999999E-2</v>
      </c>
      <c r="S112" s="195">
        <f t="shared" si="0"/>
        <v>-0.87099811676082872</v>
      </c>
      <c r="T112" s="195">
        <f t="shared" si="6"/>
        <v>-0.57101064186695683</v>
      </c>
      <c r="U112" s="195">
        <f t="shared" si="1"/>
        <v>-8.8902513795217665E-3</v>
      </c>
      <c r="V112">
        <f t="shared" si="2"/>
        <v>67</v>
      </c>
      <c r="W112" s="195">
        <f t="shared" si="7"/>
        <v>2.0344395685995593</v>
      </c>
      <c r="X112" s="195">
        <f t="shared" si="8"/>
        <v>-1.5189694798997799E-2</v>
      </c>
      <c r="Y112" s="255" t="str">
        <f>IF(ISNUMBER(SEARCH("C", 'Dry_Litterbag Placem_Collection'!T39)),"YES","NO")</f>
        <v>YES</v>
      </c>
      <c r="Z112" s="255" t="str">
        <f>IF(ISNUMBER(SEARCH("H", 'Dry_Litterbag Placem_Collection'!T39)),"YES","NO")</f>
        <v>YES</v>
      </c>
      <c r="AA112" s="255" t="str">
        <f>IF(ISNUMBER(SEARCH("R", 'Dry_Litterbag Placem_Collection'!T39)),"YES","NO")</f>
        <v>NO</v>
      </c>
      <c r="AB112" s="255" t="str">
        <f>IF(ISNUMBER(SEARCH("C", 'Dry_Litterbag Placem_Collection'!S39)),"YES","NO")</f>
        <v>YES</v>
      </c>
      <c r="AC112" s="255" t="str">
        <f>IF(ISNUMBER(SEARCH("H", 'Dry_Litterbag Placem_Collection'!S39)),"YES","NO")</f>
        <v>YES</v>
      </c>
      <c r="AD112" s="255" t="str">
        <f>IF(ISNUMBER(SEARCH("R", 'Dry_Litterbag Placem_Collection'!S39)),"YES","NO")</f>
        <v>NO</v>
      </c>
    </row>
    <row r="113" spans="2:30">
      <c r="B113" t="str">
        <f>'Final data_for_R_analysis_Dryse'!A39</f>
        <v>Dry</v>
      </c>
      <c r="C113" s="263">
        <f>'Final data_for_R_analysis_Dryse'!B39</f>
        <v>38</v>
      </c>
      <c r="D113" t="s">
        <v>3831</v>
      </c>
      <c r="E113" t="s">
        <v>22</v>
      </c>
      <c r="F113" s="387">
        <v>6</v>
      </c>
      <c r="G113" s="16">
        <f>'Dry_Litterbag Placem_Collection'!E40</f>
        <v>42938</v>
      </c>
      <c r="H113" t="str">
        <f>'Final data_for_R_analysis_Dryse'!J39</f>
        <v>G625</v>
      </c>
      <c r="I113" t="str">
        <f>'Final data_for_R_analysis_Dryse'!J259</f>
        <v>R796</v>
      </c>
      <c r="J113">
        <f>IFERROR(INDEX('Green_rooibos initial weight'!$C$5:$C$1749,MATCH(H113, 'Green_rooibos initial weight'!$A$5:$A$1749,0)),"")</f>
        <v>1.9650000000000001</v>
      </c>
      <c r="K113">
        <f>IFERROR(INDEX('Green_rooibos initial weight'!$C$5:$C$1749,MATCH(I113, 'Green_rooibos initial weight'!$A$5:$A$1749,0)),"")</f>
        <v>2.2360000000000002</v>
      </c>
      <c r="L113" s="195">
        <f t="shared" si="3"/>
        <v>1.7152000000000001</v>
      </c>
      <c r="M113" s="195">
        <f t="shared" si="4"/>
        <v>1.9862000000000002</v>
      </c>
      <c r="N113" s="16">
        <f>IF('Dry_Litterbag Placem_Collection'!G40="N.A","",'Dry_Litterbag Placem_Collection'!G40)</f>
        <v>43005</v>
      </c>
      <c r="O113" s="195">
        <f>IF(IFERROR(INDEX('Both teabags AfterDry'!$D$1:$D$839,MATCH(H113,'Both teabags AfterDry'!$A$1:$A$839,0)),"")="N.A","",(IFERROR(INDEX('Both teabags AfterDry'!$D$1:$D$839,MATCH(H113,'Both teabags AfterDry'!$A$1:$A$839,0)),"")))</f>
        <v>1.8379000000000001</v>
      </c>
      <c r="P113" s="195">
        <f>IF(IFERROR(INDEX('Both teabags AfterDry'!$D$1:$D$839,MATCH(I113,'Both teabags AfterDry'!$A$1:$A$839,0)),"")="N.A","",(IFERROR(INDEX('Both teabags AfterDry'!$D$1:$D$839,MATCH(I113,'Both teabags AfterDry'!$A$1:$A$839,0)),"")))</f>
        <v>1.9076</v>
      </c>
      <c r="Q113" s="195">
        <f t="shared" si="5"/>
        <v>1.6873</v>
      </c>
      <c r="R113" s="195">
        <f t="shared" si="5"/>
        <v>1.7569999999999999</v>
      </c>
      <c r="S113" s="195">
        <f t="shared" si="0"/>
        <v>1.6266324626865725E-2</v>
      </c>
      <c r="T113" s="195">
        <f t="shared" si="6"/>
        <v>1.0663908781508169E-2</v>
      </c>
      <c r="U113" s="195">
        <f t="shared" si="1"/>
        <v>0.88460376598529844</v>
      </c>
      <c r="V113">
        <f t="shared" si="2"/>
        <v>67</v>
      </c>
      <c r="W113" s="195">
        <f t="shared" si="7"/>
        <v>0.98068132467118085</v>
      </c>
      <c r="X113" s="195" t="str">
        <f t="shared" si="8"/>
        <v/>
      </c>
      <c r="Y113" s="255" t="str">
        <f>IF(ISNUMBER(SEARCH("C", 'Dry_Litterbag Placem_Collection'!T40)),"YES","NO")</f>
        <v>NO</v>
      </c>
      <c r="Z113" s="255" t="str">
        <f>IF(ISNUMBER(SEARCH("H", 'Dry_Litterbag Placem_Collection'!T40)),"YES","NO")</f>
        <v>NO</v>
      </c>
      <c r="AA113" s="255" t="str">
        <f>IF(ISNUMBER(SEARCH("R", 'Dry_Litterbag Placem_Collection'!T40)),"YES","NO")</f>
        <v>NO</v>
      </c>
      <c r="AB113" s="255" t="str">
        <f>IF(ISNUMBER(SEARCH("C", 'Dry_Litterbag Placem_Collection'!S40)),"YES","NO")</f>
        <v>YES</v>
      </c>
      <c r="AC113" s="255" t="str">
        <f>IF(ISNUMBER(SEARCH("H", 'Dry_Litterbag Placem_Collection'!S40)),"YES","NO")</f>
        <v>YES</v>
      </c>
      <c r="AD113" s="255" t="str">
        <f>IF(ISNUMBER(SEARCH("R", 'Dry_Litterbag Placem_Collection'!S40)),"YES","NO")</f>
        <v>NO</v>
      </c>
    </row>
    <row r="114" spans="2:30">
      <c r="B114" t="str">
        <f>'Final data_for_R_analysis_Dryse'!A40</f>
        <v>Dry</v>
      </c>
      <c r="C114" s="263">
        <f>'Final data_for_R_analysis_Dryse'!B40</f>
        <v>39</v>
      </c>
      <c r="D114" t="s">
        <v>3831</v>
      </c>
      <c r="E114" t="s">
        <v>22</v>
      </c>
      <c r="F114" s="387">
        <v>7</v>
      </c>
      <c r="G114" s="16">
        <f>'Dry_Litterbag Placem_Collection'!E41</f>
        <v>42938</v>
      </c>
      <c r="H114" t="str">
        <f>'Final data_for_R_analysis_Dryse'!J40</f>
        <v/>
      </c>
      <c r="I114" t="str">
        <f>'Final data_for_R_analysis_Dryse'!J260</f>
        <v/>
      </c>
      <c r="J114" t="str">
        <f>IFERROR(INDEX('Green_rooibos initial weight'!$C$5:$C$1749,MATCH(H114, 'Green_rooibos initial weight'!$A$5:$A$1749,0)),"")</f>
        <v/>
      </c>
      <c r="K114" t="str">
        <f>IFERROR(INDEX('Green_rooibos initial weight'!$C$5:$C$1749,MATCH(I114, 'Green_rooibos initial weight'!$A$5:$A$1749,0)),"")</f>
        <v/>
      </c>
      <c r="L114" s="195" t="str">
        <f t="shared" si="3"/>
        <v/>
      </c>
      <c r="M114" s="195" t="str">
        <f t="shared" si="4"/>
        <v/>
      </c>
      <c r="N114" s="16">
        <f>IF('Dry_Litterbag Placem_Collection'!G41="N.A","",'Dry_Litterbag Placem_Collection'!G41)</f>
        <v>0</v>
      </c>
      <c r="O114" s="195" t="str">
        <f>IF(IFERROR(INDEX('Both teabags AfterDry'!$D$1:$D$839,MATCH(H114,'Both teabags AfterDry'!$A$1:$A$839,0)),"")="N.A","",(IFERROR(INDEX('Both teabags AfterDry'!$D$1:$D$839,MATCH(H114,'Both teabags AfterDry'!$A$1:$A$839,0)),"")))</f>
        <v/>
      </c>
      <c r="P114" s="195" t="str">
        <f>IF(IFERROR(INDEX('Both teabags AfterDry'!$D$1:$D$839,MATCH(I114,'Both teabags AfterDry'!$A$1:$A$839,0)),"")="N.A","",(IFERROR(INDEX('Both teabags AfterDry'!$D$1:$D$839,MATCH(I114,'Both teabags AfterDry'!$A$1:$A$839,0)),"")))</f>
        <v/>
      </c>
      <c r="Q114" s="195" t="str">
        <f t="shared" si="5"/>
        <v/>
      </c>
      <c r="R114" s="195" t="str">
        <f t="shared" si="5"/>
        <v/>
      </c>
      <c r="S114" s="195" t="str">
        <f t="shared" si="0"/>
        <v/>
      </c>
      <c r="T114" s="195" t="str">
        <f t="shared" si="6"/>
        <v/>
      </c>
      <c r="U114" s="195" t="str">
        <f t="shared" si="1"/>
        <v/>
      </c>
      <c r="V114" t="str">
        <f t="shared" si="2"/>
        <v/>
      </c>
      <c r="W114" s="195" t="str">
        <f t="shared" si="7"/>
        <v/>
      </c>
      <c r="X114" s="195" t="str">
        <f t="shared" si="8"/>
        <v/>
      </c>
      <c r="Y114" s="255" t="str">
        <f>IF(ISNUMBER(SEARCH("C", 'Dry_Litterbag Placem_Collection'!T41)),"YES","NO")</f>
        <v>NO</v>
      </c>
      <c r="Z114" s="255" t="str">
        <f>IF(ISNUMBER(SEARCH("H", 'Dry_Litterbag Placem_Collection'!T41)),"YES","NO")</f>
        <v>NO</v>
      </c>
      <c r="AA114" s="255" t="str">
        <f>IF(ISNUMBER(SEARCH("R", 'Dry_Litterbag Placem_Collection'!T41)),"YES","NO")</f>
        <v>NO</v>
      </c>
      <c r="AB114" s="255" t="str">
        <f>IF(ISNUMBER(SEARCH("C", 'Dry_Litterbag Placem_Collection'!S41)),"YES","NO")</f>
        <v>NO</v>
      </c>
      <c r="AC114" s="255" t="str">
        <f>IF(ISNUMBER(SEARCH("H", 'Dry_Litterbag Placem_Collection'!S41)),"YES","NO")</f>
        <v>NO</v>
      </c>
      <c r="AD114" s="255" t="str">
        <f>IF(ISNUMBER(SEARCH("R", 'Dry_Litterbag Placem_Collection'!S41)),"YES","NO")</f>
        <v>NO</v>
      </c>
    </row>
    <row r="115" spans="2:30">
      <c r="B115" t="str">
        <f>'Final data_for_R_analysis_Dryse'!A41</f>
        <v>Dry</v>
      </c>
      <c r="C115" s="263">
        <f>'Final data_for_R_analysis_Dryse'!B41</f>
        <v>40</v>
      </c>
      <c r="D115" t="s">
        <v>3831</v>
      </c>
      <c r="E115" t="s">
        <v>22</v>
      </c>
      <c r="F115" s="387">
        <v>8</v>
      </c>
      <c r="G115" s="16">
        <f>'Dry_Litterbag Placem_Collection'!E42</f>
        <v>42938</v>
      </c>
      <c r="H115" t="str">
        <f>'Final data_for_R_analysis_Dryse'!J41</f>
        <v>G88</v>
      </c>
      <c r="I115" t="str">
        <f>'Final data_for_R_analysis_Dryse'!J261</f>
        <v>R782</v>
      </c>
      <c r="J115">
        <f>IFERROR(INDEX('Green_rooibos initial weight'!$C$5:$C$1749,MATCH(H115, 'Green_rooibos initial weight'!$A$5:$A$1749,0)),"")</f>
        <v>2.1549999999999998</v>
      </c>
      <c r="K115">
        <f>IFERROR(INDEX('Green_rooibos initial weight'!$C$5:$C$1749,MATCH(I115, 'Green_rooibos initial weight'!$A$5:$A$1749,0)),"")</f>
        <v>2.2410000000000001</v>
      </c>
      <c r="L115" s="195">
        <f t="shared" si="3"/>
        <v>1.9051999999999998</v>
      </c>
      <c r="M115" s="195">
        <f t="shared" si="4"/>
        <v>1.9912000000000001</v>
      </c>
      <c r="N115" s="16">
        <f>IF('Dry_Litterbag Placem_Collection'!G42="N.A","",'Dry_Litterbag Placem_Collection'!G42)</f>
        <v>43005</v>
      </c>
      <c r="O115" s="195">
        <f>IF(IFERROR(INDEX('Both teabags AfterDry'!$D$1:$D$839,MATCH(H115,'Both teabags AfterDry'!$A$1:$A$839,0)),"")="N.A","",(IFERROR(INDEX('Both teabags AfterDry'!$D$1:$D$839,MATCH(H115,'Both teabags AfterDry'!$A$1:$A$839,0)),"")))</f>
        <v>1.9495</v>
      </c>
      <c r="P115" s="195">
        <f>IF(IFERROR(INDEX('Both teabags AfterDry'!$D$1:$D$839,MATCH(I115,'Both teabags AfterDry'!$A$1:$A$839,0)),"")="N.A","",(IFERROR(INDEX('Both teabags AfterDry'!$D$1:$D$839,MATCH(I115,'Both teabags AfterDry'!$A$1:$A$839,0)),"")))</f>
        <v>1.992</v>
      </c>
      <c r="Q115" s="195">
        <f t="shared" si="5"/>
        <v>1.7988999999999999</v>
      </c>
      <c r="R115" s="195">
        <f t="shared" si="5"/>
        <v>1.8413999999999999</v>
      </c>
      <c r="S115" s="195">
        <f t="shared" si="0"/>
        <v>5.5794667226537809E-2</v>
      </c>
      <c r="T115" s="195">
        <f t="shared" si="6"/>
        <v>3.6577976614072305E-2</v>
      </c>
      <c r="U115" s="195">
        <f t="shared" si="1"/>
        <v>0.92476898352752102</v>
      </c>
      <c r="V115">
        <f t="shared" si="2"/>
        <v>67</v>
      </c>
      <c r="W115" s="195">
        <f t="shared" si="7"/>
        <v>0.93373554961218785</v>
      </c>
      <c r="X115" s="195" t="str">
        <f t="shared" si="8"/>
        <v/>
      </c>
      <c r="Y115" s="255" t="str">
        <f>IF(ISNUMBER(SEARCH("C", 'Dry_Litterbag Placem_Collection'!T42)),"YES","NO")</f>
        <v>NO</v>
      </c>
      <c r="Z115" s="255" t="str">
        <f>IF(ISNUMBER(SEARCH("H", 'Dry_Litterbag Placem_Collection'!T42)),"YES","NO")</f>
        <v>NO</v>
      </c>
      <c r="AA115" s="255" t="str">
        <f>IF(ISNUMBER(SEARCH("R", 'Dry_Litterbag Placem_Collection'!T42)),"YES","NO")</f>
        <v>NO</v>
      </c>
      <c r="AB115" s="255" t="str">
        <f>IF(ISNUMBER(SEARCH("C", 'Dry_Litterbag Placem_Collection'!S42)),"YES","NO")</f>
        <v>YES</v>
      </c>
      <c r="AC115" s="255" t="str">
        <f>IF(ISNUMBER(SEARCH("H", 'Dry_Litterbag Placem_Collection'!S42)),"YES","NO")</f>
        <v>YES</v>
      </c>
      <c r="AD115" s="255" t="str">
        <f>IF(ISNUMBER(SEARCH("R", 'Dry_Litterbag Placem_Collection'!S42)),"YES","NO")</f>
        <v>NO</v>
      </c>
    </row>
    <row r="116" spans="2:30">
      <c r="B116" t="str">
        <f>'Final data_for_R_analysis_Dryse'!A42</f>
        <v>Dry</v>
      </c>
      <c r="C116" s="263">
        <f>'Final data_for_R_analysis_Dryse'!B42</f>
        <v>41</v>
      </c>
      <c r="D116" t="s">
        <v>3833</v>
      </c>
      <c r="E116" t="s">
        <v>22</v>
      </c>
      <c r="F116" s="386">
        <v>1</v>
      </c>
      <c r="G116" s="16">
        <f>'Dry_Litterbag Placem_Collection'!E43</f>
        <v>42938</v>
      </c>
      <c r="H116" t="str">
        <f>'Final data_for_R_analysis_Dryse'!J42</f>
        <v>G256</v>
      </c>
      <c r="I116" t="str">
        <f>'Final data_for_R_analysis_Dryse'!J262</f>
        <v>R820</v>
      </c>
      <c r="J116">
        <f>IFERROR(INDEX('Green_rooibos initial weight'!$C$5:$C$1749,MATCH(H116, 'Green_rooibos initial weight'!$A$5:$A$1749,0)),"")</f>
        <v>2.11</v>
      </c>
      <c r="K116">
        <f>IFERROR(INDEX('Green_rooibos initial weight'!$C$5:$C$1749,MATCH(I116, 'Green_rooibos initial weight'!$A$5:$A$1749,0)),"")</f>
        <v>2.2170000000000001</v>
      </c>
      <c r="L116" s="195">
        <f t="shared" si="3"/>
        <v>1.8601999999999999</v>
      </c>
      <c r="M116" s="195">
        <f t="shared" si="4"/>
        <v>1.9672000000000001</v>
      </c>
      <c r="N116" s="16">
        <f>IF('Dry_Litterbag Placem_Collection'!G43="N.A","",'Dry_Litterbag Placem_Collection'!G43)</f>
        <v>43005</v>
      </c>
      <c r="O116" s="195">
        <f>IF(IFERROR(INDEX('Both teabags AfterDry'!$D$1:$D$839,MATCH(H116,'Both teabags AfterDry'!$A$1:$A$839,0)),"")="N.A","",(IFERROR(INDEX('Both teabags AfterDry'!$D$1:$D$839,MATCH(H116,'Both teabags AfterDry'!$A$1:$A$839,0)),"")))</f>
        <v>1.6208</v>
      </c>
      <c r="P116" s="195">
        <f>IF(IFERROR(INDEX('Both teabags AfterDry'!$D$1:$D$839,MATCH(I116,'Both teabags AfterDry'!$A$1:$A$839,0)),"")="N.A","",(IFERROR(INDEX('Both teabags AfterDry'!$D$1:$D$839,MATCH(I116,'Both teabags AfterDry'!$A$1:$A$839,0)),"")))</f>
        <v>1.2708999999999999</v>
      </c>
      <c r="Q116" s="195">
        <f t="shared" si="5"/>
        <v>1.4702</v>
      </c>
      <c r="R116" s="195">
        <f t="shared" si="5"/>
        <v>1.1202999999999999</v>
      </c>
      <c r="S116" s="195">
        <f t="shared" si="0"/>
        <v>0.20965487581980424</v>
      </c>
      <c r="T116" s="195">
        <f t="shared" si="6"/>
        <v>0.13744595184386219</v>
      </c>
      <c r="U116" s="195">
        <f t="shared" si="1"/>
        <v>0.56948962993086616</v>
      </c>
      <c r="V116">
        <f t="shared" si="2"/>
        <v>67</v>
      </c>
      <c r="W116" s="195">
        <f t="shared" si="7"/>
        <v>0.75100371042778591</v>
      </c>
      <c r="X116" s="195" t="str">
        <f t="shared" si="8"/>
        <v/>
      </c>
      <c r="Y116" s="255" t="str">
        <f>IF(ISNUMBER(SEARCH("C", 'Dry_Litterbag Placem_Collection'!T43)),"YES","NO")</f>
        <v>NO</v>
      </c>
      <c r="Z116" s="255" t="str">
        <f>IF(ISNUMBER(SEARCH("H", 'Dry_Litterbag Placem_Collection'!T43)),"YES","NO")</f>
        <v>YES</v>
      </c>
      <c r="AA116" s="255" t="str">
        <f>IF(ISNUMBER(SEARCH("R", 'Dry_Litterbag Placem_Collection'!T43)),"YES","NO")</f>
        <v>NO</v>
      </c>
      <c r="AB116" s="255" t="str">
        <f>IF(ISNUMBER(SEARCH("C", 'Dry_Litterbag Placem_Collection'!S43)),"YES","NO")</f>
        <v>NO</v>
      </c>
      <c r="AC116" s="255" t="str">
        <f>IF(ISNUMBER(SEARCH("H", 'Dry_Litterbag Placem_Collection'!S43)),"YES","NO")</f>
        <v>YES</v>
      </c>
      <c r="AD116" s="255" t="str">
        <f>IF(ISNUMBER(SEARCH("R", 'Dry_Litterbag Placem_Collection'!S43)),"YES","NO")</f>
        <v>NO</v>
      </c>
    </row>
    <row r="117" spans="2:30">
      <c r="B117" t="str">
        <f>'Final data_for_R_analysis_Dryse'!A43</f>
        <v>Dry</v>
      </c>
      <c r="C117" s="263">
        <f>'Final data_for_R_analysis_Dryse'!B43</f>
        <v>42</v>
      </c>
      <c r="D117" t="s">
        <v>3833</v>
      </c>
      <c r="E117" t="s">
        <v>22</v>
      </c>
      <c r="F117" s="386">
        <v>2</v>
      </c>
      <c r="G117" s="16">
        <f>'Dry_Litterbag Placem_Collection'!E44</f>
        <v>42938</v>
      </c>
      <c r="H117" t="str">
        <f>'Final data_for_R_analysis_Dryse'!J43</f>
        <v>G341</v>
      </c>
      <c r="I117" t="str">
        <f>'Final data_for_R_analysis_Dryse'!J263</f>
        <v>R806</v>
      </c>
      <c r="J117">
        <f>IFERROR(INDEX('Green_rooibos initial weight'!$C$5:$C$1749,MATCH(H117, 'Green_rooibos initial weight'!$A$5:$A$1749,0)),"")</f>
        <v>1.954</v>
      </c>
      <c r="K117">
        <f>IFERROR(INDEX('Green_rooibos initial weight'!$C$5:$C$1749,MATCH(I117, 'Green_rooibos initial weight'!$A$5:$A$1749,0)),"")</f>
        <v>2.2389999999999999</v>
      </c>
      <c r="L117" s="195">
        <f t="shared" si="3"/>
        <v>1.7041999999999999</v>
      </c>
      <c r="M117" s="195">
        <f t="shared" si="4"/>
        <v>1.9891999999999999</v>
      </c>
      <c r="N117" s="16">
        <f>IF('Dry_Litterbag Placem_Collection'!G44="N.A","",'Dry_Litterbag Placem_Collection'!G44)</f>
        <v>43005</v>
      </c>
      <c r="O117" s="195">
        <f>IF(IFERROR(INDEX('Both teabags AfterDry'!$D$1:$D$839,MATCH(H117,'Both teabags AfterDry'!$A$1:$A$839,0)),"")="N.A","",(IFERROR(INDEX('Both teabags AfterDry'!$D$1:$D$839,MATCH(H117,'Both teabags AfterDry'!$A$1:$A$839,0)),"")))</f>
        <v>1.7267999999999999</v>
      </c>
      <c r="P117" s="195">
        <f>IF(IFERROR(INDEX('Both teabags AfterDry'!$D$1:$D$839,MATCH(I117,'Both teabags AfterDry'!$A$1:$A$839,0)),"")="N.A","",(IFERROR(INDEX('Both teabags AfterDry'!$D$1:$D$839,MATCH(I117,'Both teabags AfterDry'!$A$1:$A$839,0)),"")))</f>
        <v>0.14760000000000001</v>
      </c>
      <c r="Q117" s="195">
        <f t="shared" si="5"/>
        <v>1.5761999999999998</v>
      </c>
      <c r="R117" s="195">
        <f t="shared" si="5"/>
        <v>-3.0000000000000027E-3</v>
      </c>
      <c r="S117" s="195">
        <f t="shared" si="0"/>
        <v>7.5108555333881055E-2</v>
      </c>
      <c r="T117" s="195">
        <f t="shared" si="6"/>
        <v>4.9239812997983759E-2</v>
      </c>
      <c r="U117" s="195">
        <f t="shared" si="1"/>
        <v>-1.5081439774783847E-3</v>
      </c>
      <c r="V117">
        <f t="shared" si="2"/>
        <v>67</v>
      </c>
      <c r="W117" s="195">
        <f t="shared" si="7"/>
        <v>0.91079744022104392</v>
      </c>
      <c r="X117" s="195" t="str">
        <f t="shared" si="8"/>
        <v/>
      </c>
      <c r="Y117" s="255" t="str">
        <f>IF(ISNUMBER(SEARCH("C", 'Dry_Litterbag Placem_Collection'!T44)),"YES","NO")</f>
        <v>YES</v>
      </c>
      <c r="Z117" s="255" t="str">
        <f>IF(ISNUMBER(SEARCH("H", 'Dry_Litterbag Placem_Collection'!T44)),"YES","NO")</f>
        <v>YES</v>
      </c>
      <c r="AA117" s="255" t="str">
        <f>IF(ISNUMBER(SEARCH("R", 'Dry_Litterbag Placem_Collection'!T44)),"YES","NO")</f>
        <v>NO</v>
      </c>
      <c r="AB117" s="255" t="str">
        <f>IF(ISNUMBER(SEARCH("C", 'Dry_Litterbag Placem_Collection'!S44)),"YES","NO")</f>
        <v>YES</v>
      </c>
      <c r="AC117" s="255" t="str">
        <f>IF(ISNUMBER(SEARCH("H", 'Dry_Litterbag Placem_Collection'!S44)),"YES","NO")</f>
        <v>YES</v>
      </c>
      <c r="AD117" s="255" t="str">
        <f>IF(ISNUMBER(SEARCH("R", 'Dry_Litterbag Placem_Collection'!S44)),"YES","NO")</f>
        <v>NO</v>
      </c>
    </row>
    <row r="118" spans="2:30">
      <c r="B118" t="str">
        <f>'Final data_for_R_analysis_Dryse'!A44</f>
        <v>Dry</v>
      </c>
      <c r="C118" s="263">
        <f>'Final data_for_R_analysis_Dryse'!B44</f>
        <v>43</v>
      </c>
      <c r="D118" t="s">
        <v>3833</v>
      </c>
      <c r="E118" t="s">
        <v>22</v>
      </c>
      <c r="F118" s="386">
        <v>3</v>
      </c>
      <c r="G118" s="16">
        <f>'Dry_Litterbag Placem_Collection'!E45</f>
        <v>42938</v>
      </c>
      <c r="H118" t="str">
        <f>'Final data_for_R_analysis_Dryse'!J44</f>
        <v>G246</v>
      </c>
      <c r="I118" t="str">
        <f>'Final data_for_R_analysis_Dryse'!J264</f>
        <v>R758</v>
      </c>
      <c r="J118">
        <f>IFERROR(INDEX('Green_rooibos initial weight'!$C$5:$C$1749,MATCH(H118, 'Green_rooibos initial weight'!$A$5:$A$1749,0)),"")</f>
        <v>2.1829999999999998</v>
      </c>
      <c r="K118">
        <f>IFERROR(INDEX('Green_rooibos initial weight'!$C$5:$C$1749,MATCH(I118, 'Green_rooibos initial weight'!$A$5:$A$1749,0)),"")</f>
        <v>2.2200000000000002</v>
      </c>
      <c r="L118" s="195">
        <f t="shared" si="3"/>
        <v>1.9331999999999998</v>
      </c>
      <c r="M118" s="195">
        <f t="shared" si="4"/>
        <v>1.9702000000000002</v>
      </c>
      <c r="N118" s="16">
        <f>IF('Dry_Litterbag Placem_Collection'!G45="N.A","",'Dry_Litterbag Placem_Collection'!G45)</f>
        <v>43005</v>
      </c>
      <c r="O118" s="195">
        <f>IF(IFERROR(INDEX('Both teabags AfterDry'!$D$1:$D$839,MATCH(H118,'Both teabags AfterDry'!$A$1:$A$839,0)),"")="N.A","",(IFERROR(INDEX('Both teabags AfterDry'!$D$1:$D$839,MATCH(H118,'Both teabags AfterDry'!$A$1:$A$839,0)),"")))</f>
        <v>1.9577</v>
      </c>
      <c r="P118" s="195">
        <f>IF(IFERROR(INDEX('Both teabags AfterDry'!$D$1:$D$839,MATCH(I118,'Both teabags AfterDry'!$A$1:$A$839,0)),"")="N.A","",(IFERROR(INDEX('Both teabags AfterDry'!$D$1:$D$839,MATCH(I118,'Both teabags AfterDry'!$A$1:$A$839,0)),"")))</f>
        <v>1.6818</v>
      </c>
      <c r="Q118" s="195">
        <f t="shared" si="5"/>
        <v>1.8070999999999999</v>
      </c>
      <c r="R118" s="195">
        <f t="shared" si="5"/>
        <v>1.5311999999999999</v>
      </c>
      <c r="S118" s="195">
        <f t="shared" si="0"/>
        <v>6.5228636457686728E-2</v>
      </c>
      <c r="T118" s="195">
        <f t="shared" si="6"/>
        <v>4.2762716537580847E-2</v>
      </c>
      <c r="U118" s="195">
        <f t="shared" si="1"/>
        <v>0.77717998172774327</v>
      </c>
      <c r="V118">
        <f t="shared" si="2"/>
        <v>67</v>
      </c>
      <c r="W118" s="195">
        <f t="shared" si="7"/>
        <v>0.92253131062032456</v>
      </c>
      <c r="X118" s="195" t="str">
        <f t="shared" si="8"/>
        <v/>
      </c>
      <c r="Y118" s="255" t="str">
        <f>IF(ISNUMBER(SEARCH("C", 'Dry_Litterbag Placem_Collection'!T45)),"YES","NO")</f>
        <v>YES</v>
      </c>
      <c r="Z118" s="255" t="str">
        <f>IF(ISNUMBER(SEARCH("H", 'Dry_Litterbag Placem_Collection'!T45)),"YES","NO")</f>
        <v>YES</v>
      </c>
      <c r="AA118" s="255" t="str">
        <f>IF(ISNUMBER(SEARCH("R", 'Dry_Litterbag Placem_Collection'!T45)),"YES","NO")</f>
        <v>NO</v>
      </c>
      <c r="AB118" s="255" t="str">
        <f>IF(ISNUMBER(SEARCH("C", 'Dry_Litterbag Placem_Collection'!S45)),"YES","NO")</f>
        <v>YES</v>
      </c>
      <c r="AC118" s="255" t="str">
        <f>IF(ISNUMBER(SEARCH("H", 'Dry_Litterbag Placem_Collection'!S45)),"YES","NO")</f>
        <v>YES</v>
      </c>
      <c r="AD118" s="255" t="str">
        <f>IF(ISNUMBER(SEARCH("R", 'Dry_Litterbag Placem_Collection'!S45)),"YES","NO")</f>
        <v>NO</v>
      </c>
    </row>
    <row r="119" spans="2:30">
      <c r="B119" t="str">
        <f>'Final data_for_R_analysis_Dryse'!A45</f>
        <v>Dry</v>
      </c>
      <c r="C119" s="263">
        <f>'Final data_for_R_analysis_Dryse'!B45</f>
        <v>44</v>
      </c>
      <c r="D119" t="s">
        <v>3833</v>
      </c>
      <c r="E119" t="s">
        <v>22</v>
      </c>
      <c r="F119" s="387">
        <v>4</v>
      </c>
      <c r="G119" s="16">
        <f>'Dry_Litterbag Placem_Collection'!E46</f>
        <v>42938</v>
      </c>
      <c r="H119" t="str">
        <f>'Final data_for_R_analysis_Dryse'!J45</f>
        <v>G115</v>
      </c>
      <c r="I119" t="str">
        <f>'Final data_for_R_analysis_Dryse'!J265</f>
        <v>R783</v>
      </c>
      <c r="J119">
        <f>IFERROR(INDEX('Green_rooibos initial weight'!$C$5:$C$1749,MATCH(H119, 'Green_rooibos initial weight'!$A$5:$A$1749,0)),"")</f>
        <v>2.048</v>
      </c>
      <c r="K119">
        <f>IFERROR(INDEX('Green_rooibos initial weight'!$C$5:$C$1749,MATCH(I119, 'Green_rooibos initial weight'!$A$5:$A$1749,0)),"")</f>
        <v>2.1989999999999998</v>
      </c>
      <c r="L119" s="195">
        <f t="shared" si="3"/>
        <v>1.7982</v>
      </c>
      <c r="M119" s="195">
        <f t="shared" si="4"/>
        <v>1.9491999999999998</v>
      </c>
      <c r="N119" s="16">
        <f>IF('Dry_Litterbag Placem_Collection'!G46="N.A","",'Dry_Litterbag Placem_Collection'!G46)</f>
        <v>43005</v>
      </c>
      <c r="O119" s="195">
        <f>IF(IFERROR(INDEX('Both teabags AfterDry'!$D$1:$D$839,MATCH(H119,'Both teabags AfterDry'!$A$1:$A$839,0)),"")="N.A","",(IFERROR(INDEX('Both teabags AfterDry'!$D$1:$D$839,MATCH(H119,'Both teabags AfterDry'!$A$1:$A$839,0)),"")))</f>
        <v>1.7069000000000001</v>
      </c>
      <c r="P119" s="195">
        <f>IF(IFERROR(INDEX('Both teabags AfterDry'!$D$1:$D$839,MATCH(I119,'Both teabags AfterDry'!$A$1:$A$839,0)),"")="N.A","",(IFERROR(INDEX('Both teabags AfterDry'!$D$1:$D$839,MATCH(I119,'Both teabags AfterDry'!$A$1:$A$839,0)),"")))</f>
        <v>1.8973</v>
      </c>
      <c r="Q119" s="195">
        <f t="shared" si="5"/>
        <v>1.5563</v>
      </c>
      <c r="R119" s="195">
        <f t="shared" si="5"/>
        <v>1.7466999999999999</v>
      </c>
      <c r="S119" s="195">
        <f t="shared" si="0"/>
        <v>0.13452341230119003</v>
      </c>
      <c r="T119" s="195">
        <f t="shared" si="6"/>
        <v>8.8191120653511743E-2</v>
      </c>
      <c r="U119" s="195">
        <f t="shared" si="1"/>
        <v>0.89611122511799712</v>
      </c>
      <c r="V119">
        <f t="shared" si="2"/>
        <v>67</v>
      </c>
      <c r="W119" s="195">
        <f t="shared" si="7"/>
        <v>0.84023347707697149</v>
      </c>
      <c r="X119" s="195" t="str">
        <f t="shared" si="8"/>
        <v/>
      </c>
      <c r="Y119" s="255" t="str">
        <f>IF(ISNUMBER(SEARCH("C", 'Dry_Litterbag Placem_Collection'!T46)),"YES","NO")</f>
        <v>NO</v>
      </c>
      <c r="Z119" s="255" t="str">
        <f>IF(ISNUMBER(SEARCH("H", 'Dry_Litterbag Placem_Collection'!T46)),"YES","NO")</f>
        <v>NO</v>
      </c>
      <c r="AA119" s="255" t="str">
        <f>IF(ISNUMBER(SEARCH("R", 'Dry_Litterbag Placem_Collection'!T46)),"YES","NO")</f>
        <v>NO</v>
      </c>
      <c r="AB119" s="255" t="str">
        <f>IF(ISNUMBER(SEARCH("C", 'Dry_Litterbag Placem_Collection'!S46)),"YES","NO")</f>
        <v>NO</v>
      </c>
      <c r="AC119" s="255" t="str">
        <f>IF(ISNUMBER(SEARCH("H", 'Dry_Litterbag Placem_Collection'!S46)),"YES","NO")</f>
        <v>NO</v>
      </c>
      <c r="AD119" s="255" t="str">
        <f>IF(ISNUMBER(SEARCH("R", 'Dry_Litterbag Placem_Collection'!S46)),"YES","NO")</f>
        <v>NO</v>
      </c>
    </row>
    <row r="120" spans="2:30">
      <c r="B120" t="str">
        <f>'Final data_for_R_analysis_Dryse'!A46</f>
        <v>Dry</v>
      </c>
      <c r="C120" s="263">
        <f>'Final data_for_R_analysis_Dryse'!B46</f>
        <v>45</v>
      </c>
      <c r="D120" t="s">
        <v>3833</v>
      </c>
      <c r="E120" t="s">
        <v>22</v>
      </c>
      <c r="F120" s="387">
        <v>5</v>
      </c>
      <c r="G120" s="16">
        <f>'Dry_Litterbag Placem_Collection'!E47</f>
        <v>42938</v>
      </c>
      <c r="H120" t="str">
        <f>'Final data_for_R_analysis_Dryse'!J46</f>
        <v>G480</v>
      </c>
      <c r="I120" t="str">
        <f>'Final data_for_R_analysis_Dryse'!J266</f>
        <v>R827</v>
      </c>
      <c r="J120">
        <f>IFERROR(INDEX('Green_rooibos initial weight'!$C$5:$C$1749,MATCH(H120, 'Green_rooibos initial weight'!$A$5:$A$1749,0)),"")</f>
        <v>1.9850000000000001</v>
      </c>
      <c r="K120">
        <f>IFERROR(INDEX('Green_rooibos initial weight'!$C$5:$C$1749,MATCH(I120, 'Green_rooibos initial weight'!$A$5:$A$1749,0)),"")</f>
        <v>2.222</v>
      </c>
      <c r="L120" s="195">
        <f t="shared" si="3"/>
        <v>1.7352000000000001</v>
      </c>
      <c r="M120" s="195">
        <f t="shared" si="4"/>
        <v>1.9722</v>
      </c>
      <c r="N120" s="16">
        <f>IF('Dry_Litterbag Placem_Collection'!G47="N.A","",'Dry_Litterbag Placem_Collection'!G47)</f>
        <v>43005</v>
      </c>
      <c r="O120" s="195" t="str">
        <f>IF(IFERROR(INDEX('Both teabags AfterDry'!$D$1:$D$839,MATCH(H120,'Both teabags AfterDry'!$A$1:$A$839,0)),"")="N.A","",(IFERROR(INDEX('Both teabags AfterDry'!$D$1:$D$839,MATCH(H120,'Both teabags AfterDry'!$A$1:$A$839,0)),"")))</f>
        <v/>
      </c>
      <c r="P120" s="195" t="str">
        <f>IF(IFERROR(INDEX('Both teabags AfterDry'!$D$1:$D$839,MATCH(I120,'Both teabags AfterDry'!$A$1:$A$839,0)),"")="N.A","",(IFERROR(INDEX('Both teabags AfterDry'!$D$1:$D$839,MATCH(I120,'Both teabags AfterDry'!$A$1:$A$839,0)),"")))</f>
        <v/>
      </c>
      <c r="Q120" s="195" t="str">
        <f t="shared" si="5"/>
        <v/>
      </c>
      <c r="R120" s="195" t="str">
        <f t="shared" si="5"/>
        <v/>
      </c>
      <c r="S120" s="195" t="str">
        <f t="shared" si="0"/>
        <v/>
      </c>
      <c r="T120" s="195" t="str">
        <f t="shared" si="6"/>
        <v/>
      </c>
      <c r="U120" s="195" t="str">
        <f t="shared" si="1"/>
        <v/>
      </c>
      <c r="V120">
        <f t="shared" si="2"/>
        <v>67</v>
      </c>
      <c r="W120" s="195" t="str">
        <f t="shared" si="7"/>
        <v/>
      </c>
      <c r="X120" s="195" t="str">
        <f t="shared" si="8"/>
        <v/>
      </c>
      <c r="Y120" s="255" t="str">
        <f>IF(ISNUMBER(SEARCH("C", 'Dry_Litterbag Placem_Collection'!T47)),"YES","NO")</f>
        <v>YES</v>
      </c>
      <c r="Z120" s="255" t="str">
        <f>IF(ISNUMBER(SEARCH("H", 'Dry_Litterbag Placem_Collection'!T47)),"YES","NO")</f>
        <v>YES</v>
      </c>
      <c r="AA120" s="255" t="str">
        <f>IF(ISNUMBER(SEARCH("R", 'Dry_Litterbag Placem_Collection'!T47)),"YES","NO")</f>
        <v>NO</v>
      </c>
      <c r="AB120" s="255" t="str">
        <f>IF(ISNUMBER(SEARCH("C", 'Dry_Litterbag Placem_Collection'!S47)),"YES","NO")</f>
        <v>YES</v>
      </c>
      <c r="AC120" s="255" t="str">
        <f>IF(ISNUMBER(SEARCH("H", 'Dry_Litterbag Placem_Collection'!S47)),"YES","NO")</f>
        <v>YES</v>
      </c>
      <c r="AD120" s="255" t="str">
        <f>IF(ISNUMBER(SEARCH("R", 'Dry_Litterbag Placem_Collection'!S47)),"YES","NO")</f>
        <v>NO</v>
      </c>
    </row>
    <row r="121" spans="2:30">
      <c r="B121" t="str">
        <f>'Final data_for_R_analysis_Dryse'!A47</f>
        <v>Dry</v>
      </c>
      <c r="C121" s="263">
        <f>'Final data_for_R_analysis_Dryse'!B47</f>
        <v>46</v>
      </c>
      <c r="D121" t="s">
        <v>3833</v>
      </c>
      <c r="E121" t="s">
        <v>22</v>
      </c>
      <c r="F121" s="387">
        <v>6</v>
      </c>
      <c r="G121" s="16">
        <f>'Dry_Litterbag Placem_Collection'!E48</f>
        <v>0</v>
      </c>
      <c r="H121" t="str">
        <f>'Final data_for_R_analysis_Dryse'!J47</f>
        <v/>
      </c>
      <c r="I121" t="str">
        <f>'Final data_for_R_analysis_Dryse'!J267</f>
        <v/>
      </c>
      <c r="J121" t="str">
        <f>IFERROR(INDEX('Green_rooibos initial weight'!$C$5:$C$1749,MATCH(H121, 'Green_rooibos initial weight'!$A$5:$A$1749,0)),"")</f>
        <v/>
      </c>
      <c r="K121" t="str">
        <f>IFERROR(INDEX('Green_rooibos initial weight'!$C$5:$C$1749,MATCH(I121, 'Green_rooibos initial weight'!$A$5:$A$1749,0)),"")</f>
        <v/>
      </c>
      <c r="L121" s="195" t="str">
        <f t="shared" si="3"/>
        <v/>
      </c>
      <c r="M121" s="195" t="str">
        <f t="shared" si="4"/>
        <v/>
      </c>
      <c r="N121" s="16">
        <f>IF('Dry_Litterbag Placem_Collection'!G48="N.A","",'Dry_Litterbag Placem_Collection'!G48)</f>
        <v>0</v>
      </c>
      <c r="O121" s="195" t="str">
        <f>IF(IFERROR(INDEX('Both teabags AfterDry'!$D$1:$D$839,MATCH(H121,'Both teabags AfterDry'!$A$1:$A$839,0)),"")="N.A","",(IFERROR(INDEX('Both teabags AfterDry'!$D$1:$D$839,MATCH(H121,'Both teabags AfterDry'!$A$1:$A$839,0)),"")))</f>
        <v/>
      </c>
      <c r="P121" s="195" t="str">
        <f>IF(IFERROR(INDEX('Both teabags AfterDry'!$D$1:$D$839,MATCH(I121,'Both teabags AfterDry'!$A$1:$A$839,0)),"")="N.A","",(IFERROR(INDEX('Both teabags AfterDry'!$D$1:$D$839,MATCH(I121,'Both teabags AfterDry'!$A$1:$A$839,0)),"")))</f>
        <v/>
      </c>
      <c r="Q121" s="195" t="str">
        <f t="shared" si="5"/>
        <v/>
      </c>
      <c r="R121" s="195" t="str">
        <f t="shared" si="5"/>
        <v/>
      </c>
      <c r="S121" s="195" t="str">
        <f t="shared" si="0"/>
        <v/>
      </c>
      <c r="T121" s="195" t="str">
        <f t="shared" si="6"/>
        <v/>
      </c>
      <c r="U121" s="195" t="str">
        <f t="shared" si="1"/>
        <v/>
      </c>
      <c r="V121" t="str">
        <f t="shared" si="2"/>
        <v/>
      </c>
      <c r="W121" s="195" t="str">
        <f t="shared" si="7"/>
        <v/>
      </c>
      <c r="X121" s="195" t="str">
        <f t="shared" si="8"/>
        <v/>
      </c>
      <c r="Y121" s="255" t="str">
        <f>IF(ISNUMBER(SEARCH("C", 'Dry_Litterbag Placem_Collection'!T48)),"YES","NO")</f>
        <v>NO</v>
      </c>
      <c r="Z121" s="255" t="str">
        <f>IF(ISNUMBER(SEARCH("H", 'Dry_Litterbag Placem_Collection'!T48)),"YES","NO")</f>
        <v>NO</v>
      </c>
      <c r="AA121" s="255" t="str">
        <f>IF(ISNUMBER(SEARCH("R", 'Dry_Litterbag Placem_Collection'!T48)),"YES","NO")</f>
        <v>NO</v>
      </c>
      <c r="AB121" s="255" t="str">
        <f>IF(ISNUMBER(SEARCH("C", 'Dry_Litterbag Placem_Collection'!S48)),"YES","NO")</f>
        <v>NO</v>
      </c>
      <c r="AC121" s="255" t="str">
        <f>IF(ISNUMBER(SEARCH("H", 'Dry_Litterbag Placem_Collection'!S48)),"YES","NO")</f>
        <v>NO</v>
      </c>
      <c r="AD121" s="255" t="str">
        <f>IF(ISNUMBER(SEARCH("R", 'Dry_Litterbag Placem_Collection'!S48)),"YES","NO")</f>
        <v>NO</v>
      </c>
    </row>
    <row r="122" spans="2:30">
      <c r="B122" t="str">
        <f>'Final data_for_R_analysis_Dryse'!A48</f>
        <v>Dry</v>
      </c>
      <c r="C122" s="263">
        <f>'Final data_for_R_analysis_Dryse'!B48</f>
        <v>47</v>
      </c>
      <c r="D122" t="s">
        <v>3833</v>
      </c>
      <c r="E122" t="s">
        <v>22</v>
      </c>
      <c r="F122" s="387">
        <v>7</v>
      </c>
      <c r="G122" s="16">
        <f>'Dry_Litterbag Placem_Collection'!E49</f>
        <v>42938</v>
      </c>
      <c r="H122" t="str">
        <f>'Final data_for_R_analysis_Dryse'!J48</f>
        <v>G110</v>
      </c>
      <c r="I122" t="str">
        <f>'Final data_for_R_analysis_Dryse'!J268</f>
        <v>R831</v>
      </c>
      <c r="J122">
        <f>IFERROR(INDEX('Green_rooibos initial weight'!$C$5:$C$1749,MATCH(H122, 'Green_rooibos initial weight'!$A$5:$A$1749,0)),"")</f>
        <v>2.093</v>
      </c>
      <c r="K122">
        <f>IFERROR(INDEX('Green_rooibos initial weight'!$C$5:$C$1749,MATCH(I122, 'Green_rooibos initial weight'!$A$5:$A$1749,0)),"")</f>
        <v>2.2410000000000001</v>
      </c>
      <c r="L122" s="195">
        <f t="shared" si="3"/>
        <v>1.8431999999999999</v>
      </c>
      <c r="M122" s="195">
        <f t="shared" si="4"/>
        <v>1.9912000000000001</v>
      </c>
      <c r="N122" s="16">
        <f>IF('Dry_Litterbag Placem_Collection'!G49="N.A","",'Dry_Litterbag Placem_Collection'!G49)</f>
        <v>43005</v>
      </c>
      <c r="O122" s="195">
        <f>IF(IFERROR(INDEX('Both teabags AfterDry'!$D$1:$D$839,MATCH(H122,'Both teabags AfterDry'!$A$1:$A$839,0)),"")="N.A","",(IFERROR(INDEX('Both teabags AfterDry'!$D$1:$D$839,MATCH(H122,'Both teabags AfterDry'!$A$1:$A$839,0)),"")))</f>
        <v>1.8372999999999999</v>
      </c>
      <c r="P122" s="195">
        <f>IF(IFERROR(INDEX('Both teabags AfterDry'!$D$1:$D$839,MATCH(I122,'Both teabags AfterDry'!$A$1:$A$839,0)),"")="N.A","",(IFERROR(INDEX('Both teabags AfterDry'!$D$1:$D$839,MATCH(I122,'Both teabags AfterDry'!$A$1:$A$839,0)),"")))</f>
        <v>1.9105000000000001</v>
      </c>
      <c r="Q122" s="195">
        <f t="shared" si="5"/>
        <v>1.6866999999999999</v>
      </c>
      <c r="R122" s="195">
        <f t="shared" si="5"/>
        <v>1.7599</v>
      </c>
      <c r="S122" s="195">
        <f t="shared" si="0"/>
        <v>8.490668402777779E-2</v>
      </c>
      <c r="T122" s="195">
        <f t="shared" si="6"/>
        <v>5.5663289291369794E-2</v>
      </c>
      <c r="U122" s="195">
        <f t="shared" si="1"/>
        <v>0.88383889112093206</v>
      </c>
      <c r="V122">
        <f t="shared" si="2"/>
        <v>67</v>
      </c>
      <c r="W122" s="195">
        <f t="shared" si="7"/>
        <v>0.89916070780548951</v>
      </c>
      <c r="X122" s="195" t="str">
        <f t="shared" si="8"/>
        <v/>
      </c>
      <c r="Y122" s="255" t="str">
        <f>IF(ISNUMBER(SEARCH("C", 'Dry_Litterbag Placem_Collection'!T49)),"YES","NO")</f>
        <v>NO</v>
      </c>
      <c r="Z122" s="255" t="str">
        <f>IF(ISNUMBER(SEARCH("H", 'Dry_Litterbag Placem_Collection'!T49)),"YES","NO")</f>
        <v>YES</v>
      </c>
      <c r="AA122" s="255" t="str">
        <f>IF(ISNUMBER(SEARCH("R", 'Dry_Litterbag Placem_Collection'!T49)),"YES","NO")</f>
        <v>NO</v>
      </c>
      <c r="AB122" s="255" t="str">
        <f>IF(ISNUMBER(SEARCH("C", 'Dry_Litterbag Placem_Collection'!S49)),"YES","NO")</f>
        <v>NO</v>
      </c>
      <c r="AC122" s="255" t="str">
        <f>IF(ISNUMBER(SEARCH("H", 'Dry_Litterbag Placem_Collection'!S49)),"YES","NO")</f>
        <v>NO</v>
      </c>
      <c r="AD122" s="255" t="str">
        <f>IF(ISNUMBER(SEARCH("R", 'Dry_Litterbag Placem_Collection'!S49)),"YES","NO")</f>
        <v>NO</v>
      </c>
    </row>
    <row r="123" spans="2:30">
      <c r="B123" t="str">
        <f>'Final data_for_R_analysis_Dryse'!A49</f>
        <v>Dry</v>
      </c>
      <c r="C123" s="263">
        <f>'Final data_for_R_analysis_Dryse'!B49</f>
        <v>48</v>
      </c>
      <c r="D123" t="s">
        <v>3833</v>
      </c>
      <c r="E123" t="s">
        <v>22</v>
      </c>
      <c r="F123" s="387">
        <v>8</v>
      </c>
      <c r="G123" s="16">
        <f>'Dry_Litterbag Placem_Collection'!E50</f>
        <v>42938</v>
      </c>
      <c r="H123" t="str">
        <f>'Final data_for_R_analysis_Dryse'!J49</f>
        <v>G233</v>
      </c>
      <c r="I123" t="str">
        <f>'Final data_for_R_analysis_Dryse'!J269</f>
        <v>R828</v>
      </c>
      <c r="J123">
        <f>IFERROR(INDEX('Green_rooibos initial weight'!$C$5:$C$1749,MATCH(H123, 'Green_rooibos initial weight'!$A$5:$A$1749,0)),"")</f>
        <v>1.9490000000000001</v>
      </c>
      <c r="K123">
        <f>IFERROR(INDEX('Green_rooibos initial weight'!$C$5:$C$1749,MATCH(I123, 'Green_rooibos initial weight'!$A$5:$A$1749,0)),"")</f>
        <v>2.2330000000000001</v>
      </c>
      <c r="L123" s="195">
        <f t="shared" si="3"/>
        <v>1.6992</v>
      </c>
      <c r="M123" s="195">
        <f t="shared" si="4"/>
        <v>1.9832000000000001</v>
      </c>
      <c r="N123" s="16">
        <f>IF('Dry_Litterbag Placem_Collection'!G50="N.A","",'Dry_Litterbag Placem_Collection'!G50)</f>
        <v>43005</v>
      </c>
      <c r="O123" s="195">
        <f>IF(IFERROR(INDEX('Both teabags AfterDry'!$D$1:$D$839,MATCH(H123,'Both teabags AfterDry'!$A$1:$A$839,0)),"")="N.A","",(IFERROR(INDEX('Both teabags AfterDry'!$D$1:$D$839,MATCH(H123,'Both teabags AfterDry'!$A$1:$A$839,0)),"")))</f>
        <v>1.6727000000000001</v>
      </c>
      <c r="P123" s="195">
        <f>IF(IFERROR(INDEX('Both teabags AfterDry'!$D$1:$D$839,MATCH(I123,'Both teabags AfterDry'!$A$1:$A$839,0)),"")="N.A","",(IFERROR(INDEX('Both teabags AfterDry'!$D$1:$D$839,MATCH(I123,'Both teabags AfterDry'!$A$1:$A$839,0)),"")))</f>
        <v>1.7596000000000001</v>
      </c>
      <c r="Q123" s="195">
        <f t="shared" si="5"/>
        <v>1.5221</v>
      </c>
      <c r="R123" s="195">
        <f t="shared" si="5"/>
        <v>1.609</v>
      </c>
      <c r="S123" s="195">
        <f t="shared" si="0"/>
        <v>0.10422551789077217</v>
      </c>
      <c r="T123" s="195">
        <f t="shared" si="6"/>
        <v>6.8328368023404099E-2</v>
      </c>
      <c r="U123" s="195">
        <f t="shared" si="1"/>
        <v>0.81131504638967322</v>
      </c>
      <c r="V123">
        <f t="shared" si="2"/>
        <v>67</v>
      </c>
      <c r="W123" s="195">
        <f t="shared" si="7"/>
        <v>0.87621672459528244</v>
      </c>
      <c r="X123" s="195" t="str">
        <f t="shared" si="8"/>
        <v/>
      </c>
      <c r="Y123" s="255" t="str">
        <f>IF(ISNUMBER(SEARCH("C", 'Dry_Litterbag Placem_Collection'!T50)),"YES","NO")</f>
        <v>NO</v>
      </c>
      <c r="Z123" s="255" t="str">
        <f>IF(ISNUMBER(SEARCH("H", 'Dry_Litterbag Placem_Collection'!T50)),"YES","NO")</f>
        <v>NO</v>
      </c>
      <c r="AA123" s="255" t="str">
        <f>IF(ISNUMBER(SEARCH("R", 'Dry_Litterbag Placem_Collection'!T50)),"YES","NO")</f>
        <v>NO</v>
      </c>
      <c r="AB123" s="255" t="str">
        <f>IF(ISNUMBER(SEARCH("C", 'Dry_Litterbag Placem_Collection'!S50)),"YES","NO")</f>
        <v>NO</v>
      </c>
      <c r="AC123" s="255" t="str">
        <f>IF(ISNUMBER(SEARCH("H", 'Dry_Litterbag Placem_Collection'!S50)),"YES","NO")</f>
        <v>NO</v>
      </c>
      <c r="AD123" s="255" t="str">
        <f>IF(ISNUMBER(SEARCH("R", 'Dry_Litterbag Placem_Collection'!S50)),"YES","NO")</f>
        <v>NO</v>
      </c>
    </row>
    <row r="124" spans="2:30">
      <c r="B124" t="str">
        <f>'Final data_for_R_analysis_Dryse'!A50</f>
        <v>Dry</v>
      </c>
      <c r="C124" s="263">
        <f>'Final data_for_R_analysis_Dryse'!B50</f>
        <v>49</v>
      </c>
      <c r="D124" t="s">
        <v>3834</v>
      </c>
      <c r="E124" t="s">
        <v>22</v>
      </c>
      <c r="F124" s="386">
        <v>1</v>
      </c>
      <c r="G124" s="16">
        <f>'Dry_Litterbag Placem_Collection'!E51</f>
        <v>42938</v>
      </c>
      <c r="H124" t="str">
        <f>'Final data_for_R_analysis_Dryse'!J50</f>
        <v>G54</v>
      </c>
      <c r="I124" t="str">
        <f>'Final data_for_R_analysis_Dryse'!J270</f>
        <v>R805</v>
      </c>
      <c r="J124">
        <f>IFERROR(INDEX('Green_rooibos initial weight'!$C$5:$C$1749,MATCH(H124, 'Green_rooibos initial weight'!$A$5:$A$1749,0)),"")</f>
        <v>2.0539999999999998</v>
      </c>
      <c r="K124">
        <f>IFERROR(INDEX('Green_rooibos initial weight'!$C$5:$C$1749,MATCH(I124, 'Green_rooibos initial weight'!$A$5:$A$1749,0)),"")</f>
        <v>2.2469999999999999</v>
      </c>
      <c r="L124" s="195">
        <f t="shared" si="3"/>
        <v>1.8041999999999998</v>
      </c>
      <c r="M124" s="195">
        <f t="shared" si="4"/>
        <v>1.9971999999999999</v>
      </c>
      <c r="N124" s="16">
        <f>IF('Dry_Litterbag Placem_Collection'!G51="N.A","",'Dry_Litterbag Placem_Collection'!G51)</f>
        <v>43005</v>
      </c>
      <c r="O124" s="195" t="str">
        <f>IF(IFERROR(INDEX('Both teabags AfterDry'!$D$1:$D$839,MATCH(H124,'Both teabags AfterDry'!$A$1:$A$839,0)),"")="N.A","",(IFERROR(INDEX('Both teabags AfterDry'!$D$1:$D$839,MATCH(H124,'Both teabags AfterDry'!$A$1:$A$839,0)),"")))</f>
        <v/>
      </c>
      <c r="P124" s="195" t="str">
        <f>IF(IFERROR(INDEX('Both teabags AfterDry'!$D$1:$D$839,MATCH(I124,'Both teabags AfterDry'!$A$1:$A$839,0)),"")="N.A","",(IFERROR(INDEX('Both teabags AfterDry'!$D$1:$D$839,MATCH(I124,'Both teabags AfterDry'!$A$1:$A$839,0)),"")))</f>
        <v/>
      </c>
      <c r="Q124" s="195" t="str">
        <f t="shared" si="5"/>
        <v/>
      </c>
      <c r="R124" s="195" t="str">
        <f t="shared" si="5"/>
        <v/>
      </c>
      <c r="S124" s="195" t="str">
        <f t="shared" si="0"/>
        <v/>
      </c>
      <c r="T124" s="195" t="str">
        <f t="shared" si="6"/>
        <v/>
      </c>
      <c r="U124" s="195" t="str">
        <f t="shared" si="1"/>
        <v/>
      </c>
      <c r="V124">
        <f t="shared" si="2"/>
        <v>67</v>
      </c>
      <c r="W124" s="195" t="str">
        <f t="shared" si="7"/>
        <v/>
      </c>
      <c r="X124" s="195" t="str">
        <f t="shared" si="8"/>
        <v/>
      </c>
      <c r="Y124" s="255" t="str">
        <f>IF(ISNUMBER(SEARCH("C", 'Dry_Litterbag Placem_Collection'!T51)),"YES","NO")</f>
        <v>NO</v>
      </c>
      <c r="Z124" s="255" t="str">
        <f>IF(ISNUMBER(SEARCH("H", 'Dry_Litterbag Placem_Collection'!T51)),"YES","NO")</f>
        <v>NO</v>
      </c>
      <c r="AA124" s="255" t="str">
        <f>IF(ISNUMBER(SEARCH("R", 'Dry_Litterbag Placem_Collection'!T51)),"YES","NO")</f>
        <v>NO</v>
      </c>
      <c r="AB124" s="255" t="str">
        <f>IF(ISNUMBER(SEARCH("C", 'Dry_Litterbag Placem_Collection'!S51)),"YES","NO")</f>
        <v>NO</v>
      </c>
      <c r="AC124" s="255" t="str">
        <f>IF(ISNUMBER(SEARCH("H", 'Dry_Litterbag Placem_Collection'!S51)),"YES","NO")</f>
        <v>NO</v>
      </c>
      <c r="AD124" s="255" t="str">
        <f>IF(ISNUMBER(SEARCH("R", 'Dry_Litterbag Placem_Collection'!S51)),"YES","NO")</f>
        <v>NO</v>
      </c>
    </row>
    <row r="125" spans="2:30">
      <c r="B125" t="str">
        <f>'Final data_for_R_analysis_Dryse'!A51</f>
        <v>Dry</v>
      </c>
      <c r="C125" s="263">
        <f>'Final data_for_R_analysis_Dryse'!B51</f>
        <v>50</v>
      </c>
      <c r="D125" t="s">
        <v>3834</v>
      </c>
      <c r="E125" t="s">
        <v>22</v>
      </c>
      <c r="F125" s="386">
        <v>2</v>
      </c>
      <c r="G125" s="16">
        <f>'Dry_Litterbag Placem_Collection'!E52</f>
        <v>42938</v>
      </c>
      <c r="H125" t="str">
        <f>'Final data_for_R_analysis_Dryse'!J51</f>
        <v>G276</v>
      </c>
      <c r="I125" t="str">
        <f>'Final data_for_R_analysis_Dryse'!J271</f>
        <v>R754</v>
      </c>
      <c r="J125">
        <f>IFERROR(INDEX('Green_rooibos initial weight'!$C$5:$C$1749,MATCH(H125, 'Green_rooibos initial weight'!$A$5:$A$1749,0)),"")</f>
        <v>1.966</v>
      </c>
      <c r="K125">
        <f>IFERROR(INDEX('Green_rooibos initial weight'!$C$5:$C$1749,MATCH(I125, 'Green_rooibos initial weight'!$A$5:$A$1749,0)),"")</f>
        <v>2.2069999999999999</v>
      </c>
      <c r="L125" s="195">
        <f t="shared" si="3"/>
        <v>1.7161999999999999</v>
      </c>
      <c r="M125" s="195">
        <f t="shared" si="4"/>
        <v>1.9571999999999998</v>
      </c>
      <c r="N125" s="16">
        <f>IF('Dry_Litterbag Placem_Collection'!G52="N.A","",'Dry_Litterbag Placem_Collection'!G52)</f>
        <v>0</v>
      </c>
      <c r="O125" s="195" t="str">
        <f>IF(IFERROR(INDEX('Both teabags AfterDry'!$D$1:$D$839,MATCH(H125,'Both teabags AfterDry'!$A$1:$A$839,0)),"")="N.A","",(IFERROR(INDEX('Both teabags AfterDry'!$D$1:$D$839,MATCH(H125,'Both teabags AfterDry'!$A$1:$A$839,0)),"")))</f>
        <v/>
      </c>
      <c r="P125" s="195" t="str">
        <f>IF(IFERROR(INDEX('Both teabags AfterDry'!$D$1:$D$839,MATCH(I125,'Both teabags AfterDry'!$A$1:$A$839,0)),"")="N.A","",(IFERROR(INDEX('Both teabags AfterDry'!$D$1:$D$839,MATCH(I125,'Both teabags AfterDry'!$A$1:$A$839,0)),"")))</f>
        <v/>
      </c>
      <c r="Q125" s="195" t="str">
        <f t="shared" si="5"/>
        <v/>
      </c>
      <c r="R125" s="195" t="str">
        <f t="shared" si="5"/>
        <v/>
      </c>
      <c r="S125" s="195" t="str">
        <f t="shared" si="0"/>
        <v/>
      </c>
      <c r="T125" s="195" t="str">
        <f t="shared" si="6"/>
        <v/>
      </c>
      <c r="U125" s="195" t="str">
        <f t="shared" si="1"/>
        <v/>
      </c>
      <c r="V125" t="str">
        <f t="shared" si="2"/>
        <v/>
      </c>
      <c r="W125" s="195" t="str">
        <f t="shared" si="7"/>
        <v/>
      </c>
      <c r="X125" s="195" t="str">
        <f t="shared" si="8"/>
        <v/>
      </c>
      <c r="Y125" s="255" t="str">
        <f>IF(ISNUMBER(SEARCH("C", 'Dry_Litterbag Placem_Collection'!T52)),"YES","NO")</f>
        <v>NO</v>
      </c>
      <c r="Z125" s="255" t="str">
        <f>IF(ISNUMBER(SEARCH("H", 'Dry_Litterbag Placem_Collection'!T52)),"YES","NO")</f>
        <v>NO</v>
      </c>
      <c r="AA125" s="255" t="str">
        <f>IF(ISNUMBER(SEARCH("R", 'Dry_Litterbag Placem_Collection'!T52)),"YES","NO")</f>
        <v>NO</v>
      </c>
      <c r="AB125" s="255" t="str">
        <f>IF(ISNUMBER(SEARCH("C", 'Dry_Litterbag Placem_Collection'!S52)),"YES","NO")</f>
        <v>NO</v>
      </c>
      <c r="AC125" s="255" t="str">
        <f>IF(ISNUMBER(SEARCH("H", 'Dry_Litterbag Placem_Collection'!S52)),"YES","NO")</f>
        <v>NO</v>
      </c>
      <c r="AD125" s="255" t="str">
        <f>IF(ISNUMBER(SEARCH("R", 'Dry_Litterbag Placem_Collection'!S52)),"YES","NO")</f>
        <v>NO</v>
      </c>
    </row>
    <row r="126" spans="2:30">
      <c r="B126" t="str">
        <f>'Final data_for_R_analysis_Dryse'!A52</f>
        <v>Dry</v>
      </c>
      <c r="C126" s="263">
        <f>'Final data_for_R_analysis_Dryse'!B52</f>
        <v>51</v>
      </c>
      <c r="D126" t="s">
        <v>3834</v>
      </c>
      <c r="E126" t="s">
        <v>22</v>
      </c>
      <c r="F126" s="386">
        <v>3</v>
      </c>
      <c r="G126" s="16">
        <f>'Dry_Litterbag Placem_Collection'!E53</f>
        <v>42938</v>
      </c>
      <c r="H126" t="str">
        <f>'Final data_for_R_analysis_Dryse'!J52</f>
        <v>G227</v>
      </c>
      <c r="I126" t="str">
        <f>'Final data_for_R_analysis_Dryse'!J272</f>
        <v>R798</v>
      </c>
      <c r="J126">
        <f>IFERROR(INDEX('Green_rooibos initial weight'!$C$5:$C$1749,MATCH(H126, 'Green_rooibos initial weight'!$A$5:$A$1749,0)),"")</f>
        <v>1.986</v>
      </c>
      <c r="K126">
        <f>IFERROR(INDEX('Green_rooibos initial weight'!$C$5:$C$1749,MATCH(I126, 'Green_rooibos initial weight'!$A$5:$A$1749,0)),"")</f>
        <v>2.1850000000000001</v>
      </c>
      <c r="L126" s="195">
        <f t="shared" si="3"/>
        <v>1.7362</v>
      </c>
      <c r="M126" s="195">
        <f t="shared" si="4"/>
        <v>1.9352</v>
      </c>
      <c r="N126" s="16">
        <f>IF('Dry_Litterbag Placem_Collection'!G53="N.A","",'Dry_Litterbag Placem_Collection'!G53)</f>
        <v>43005</v>
      </c>
      <c r="O126" s="195">
        <f>IF(IFERROR(INDEX('Both teabags AfterDry'!$D$1:$D$839,MATCH(H126,'Both teabags AfterDry'!$A$1:$A$839,0)),"")="N.A","",(IFERROR(INDEX('Both teabags AfterDry'!$D$1:$D$839,MATCH(H126,'Both teabags AfterDry'!$A$1:$A$839,0)),"")))</f>
        <v>1.7715000000000001</v>
      </c>
      <c r="P126" s="195">
        <f>IF(IFERROR(INDEX('Both teabags AfterDry'!$D$1:$D$839,MATCH(I126,'Both teabags AfterDry'!$A$1:$A$839,0)),"")="N.A","",(IFERROR(INDEX('Both teabags AfterDry'!$D$1:$D$839,MATCH(I126,'Both teabags AfterDry'!$A$1:$A$839,0)),"")))</f>
        <v>1.8956999999999999</v>
      </c>
      <c r="Q126" s="195">
        <f t="shared" si="5"/>
        <v>1.6209</v>
      </c>
      <c r="R126" s="195">
        <f t="shared" si="5"/>
        <v>1.7450999999999999</v>
      </c>
      <c r="S126" s="195">
        <f t="shared" si="0"/>
        <v>6.6409399838728289E-2</v>
      </c>
      <c r="T126" s="195">
        <f t="shared" si="6"/>
        <v>4.353680369474823E-2</v>
      </c>
      <c r="U126" s="195">
        <f t="shared" si="1"/>
        <v>0.90176725919801559</v>
      </c>
      <c r="V126">
        <f t="shared" si="2"/>
        <v>67</v>
      </c>
      <c r="W126" s="195">
        <f t="shared" si="7"/>
        <v>0.92112897881386191</v>
      </c>
      <c r="X126" s="195" t="str">
        <f t="shared" si="8"/>
        <v/>
      </c>
      <c r="Y126" s="255" t="str">
        <f>IF(ISNUMBER(SEARCH("C", 'Dry_Litterbag Placem_Collection'!T53)),"YES","NO")</f>
        <v>NO</v>
      </c>
      <c r="Z126" s="255" t="str">
        <f>IF(ISNUMBER(SEARCH("H", 'Dry_Litterbag Placem_Collection'!T53)),"YES","NO")</f>
        <v>NO</v>
      </c>
      <c r="AA126" s="255" t="str">
        <f>IF(ISNUMBER(SEARCH("R", 'Dry_Litterbag Placem_Collection'!T53)),"YES","NO")</f>
        <v>NO</v>
      </c>
      <c r="AB126" s="255" t="str">
        <f>IF(ISNUMBER(SEARCH("C", 'Dry_Litterbag Placem_Collection'!S53)),"YES","NO")</f>
        <v>NO</v>
      </c>
      <c r="AC126" s="255" t="str">
        <f>IF(ISNUMBER(SEARCH("H", 'Dry_Litterbag Placem_Collection'!S53)),"YES","NO")</f>
        <v>NO</v>
      </c>
      <c r="AD126" s="255" t="str">
        <f>IF(ISNUMBER(SEARCH("R", 'Dry_Litterbag Placem_Collection'!S53)),"YES","NO")</f>
        <v>NO</v>
      </c>
    </row>
    <row r="127" spans="2:30">
      <c r="B127" t="str">
        <f>'Final data_for_R_analysis_Dryse'!A53</f>
        <v>Dry</v>
      </c>
      <c r="C127" s="263">
        <f>'Final data_for_R_analysis_Dryse'!B53</f>
        <v>52</v>
      </c>
      <c r="D127" t="s">
        <v>3834</v>
      </c>
      <c r="E127" t="s">
        <v>22</v>
      </c>
      <c r="F127" s="387">
        <v>4</v>
      </c>
      <c r="G127" s="16">
        <f>'Dry_Litterbag Placem_Collection'!E54</f>
        <v>42938</v>
      </c>
      <c r="H127" t="str">
        <f>'Final data_for_R_analysis_Dryse'!J53</f>
        <v>G237</v>
      </c>
      <c r="I127" t="str">
        <f>'Final data_for_R_analysis_Dryse'!J273</f>
        <v>R833</v>
      </c>
      <c r="J127">
        <f>IFERROR(INDEX('Green_rooibos initial weight'!$C$5:$C$1749,MATCH(H127, 'Green_rooibos initial weight'!$A$5:$A$1749,0)),"")</f>
        <v>1.988</v>
      </c>
      <c r="K127">
        <f>IFERROR(INDEX('Green_rooibos initial weight'!$C$5:$C$1749,MATCH(I127, 'Green_rooibos initial weight'!$A$5:$A$1749,0)),"")</f>
        <v>2.218</v>
      </c>
      <c r="L127" s="195">
        <f t="shared" si="3"/>
        <v>1.7382</v>
      </c>
      <c r="M127" s="195">
        <f t="shared" si="4"/>
        <v>1.9681999999999999</v>
      </c>
      <c r="N127" s="16">
        <f>IF('Dry_Litterbag Placem_Collection'!G54="N.A","",'Dry_Litterbag Placem_Collection'!G54)</f>
        <v>43005</v>
      </c>
      <c r="O127" s="195">
        <f>IF(IFERROR(INDEX('Both teabags AfterDry'!$D$1:$D$839,MATCH(H127,'Both teabags AfterDry'!$A$1:$A$839,0)),"")="N.A","",(IFERROR(INDEX('Both teabags AfterDry'!$D$1:$D$839,MATCH(H127,'Both teabags AfterDry'!$A$1:$A$839,0)),"")))</f>
        <v>1.8220000000000001</v>
      </c>
      <c r="P127" s="195">
        <f>IF(IFERROR(INDEX('Both teabags AfterDry'!$D$1:$D$839,MATCH(I127,'Both teabags AfterDry'!$A$1:$A$839,0)),"")="N.A","",(IFERROR(INDEX('Both teabags AfterDry'!$D$1:$D$839,MATCH(I127,'Both teabags AfterDry'!$A$1:$A$839,0)),"")))</f>
        <v>1.9791000000000001</v>
      </c>
      <c r="Q127" s="195">
        <f t="shared" si="5"/>
        <v>1.6714</v>
      </c>
      <c r="R127" s="195">
        <f t="shared" si="5"/>
        <v>1.8285</v>
      </c>
      <c r="S127" s="195">
        <f t="shared" si="0"/>
        <v>3.8430560349787091E-2</v>
      </c>
      <c r="T127" s="195">
        <f t="shared" si="6"/>
        <v>2.5194381606986324E-2</v>
      </c>
      <c r="U127" s="195">
        <f t="shared" si="1"/>
        <v>0.92902144091047656</v>
      </c>
      <c r="V127">
        <f t="shared" si="2"/>
        <v>67</v>
      </c>
      <c r="W127" s="195">
        <f t="shared" si="7"/>
        <v>0.95435800433516971</v>
      </c>
      <c r="X127" s="195" t="str">
        <f t="shared" si="8"/>
        <v/>
      </c>
      <c r="Y127" s="255" t="str">
        <f>IF(ISNUMBER(SEARCH("C", 'Dry_Litterbag Placem_Collection'!T54)),"YES","NO")</f>
        <v>NO</v>
      </c>
      <c r="Z127" s="255" t="str">
        <f>IF(ISNUMBER(SEARCH("H", 'Dry_Litterbag Placem_Collection'!T54)),"YES","NO")</f>
        <v>NO</v>
      </c>
      <c r="AA127" s="255" t="str">
        <f>IF(ISNUMBER(SEARCH("R", 'Dry_Litterbag Placem_Collection'!T54)),"YES","NO")</f>
        <v>NO</v>
      </c>
      <c r="AB127" s="255" t="str">
        <f>IF(ISNUMBER(SEARCH("C", 'Dry_Litterbag Placem_Collection'!S54)),"YES","NO")</f>
        <v>NO</v>
      </c>
      <c r="AC127" s="255" t="str">
        <f>IF(ISNUMBER(SEARCH("H", 'Dry_Litterbag Placem_Collection'!S54)),"YES","NO")</f>
        <v>NO</v>
      </c>
      <c r="AD127" s="255" t="str">
        <f>IF(ISNUMBER(SEARCH("R", 'Dry_Litterbag Placem_Collection'!S54)),"YES","NO")</f>
        <v>NO</v>
      </c>
    </row>
    <row r="128" spans="2:30">
      <c r="B128" t="str">
        <f>'Final data_for_R_analysis_Dryse'!A54</f>
        <v>Dry</v>
      </c>
      <c r="C128" s="263">
        <f>'Final data_for_R_analysis_Dryse'!B54</f>
        <v>53</v>
      </c>
      <c r="D128" t="s">
        <v>3834</v>
      </c>
      <c r="E128" t="s">
        <v>22</v>
      </c>
      <c r="F128" s="387">
        <v>5</v>
      </c>
      <c r="G128" s="16">
        <f>'Dry_Litterbag Placem_Collection'!E55</f>
        <v>42938</v>
      </c>
      <c r="H128" t="str">
        <f>'Final data_for_R_analysis_Dryse'!J54</f>
        <v>G172</v>
      </c>
      <c r="I128" t="str">
        <f>'Final data_for_R_analysis_Dryse'!J274</f>
        <v>R734</v>
      </c>
      <c r="J128">
        <f>IFERROR(INDEX('Green_rooibos initial weight'!$C$5:$C$1749,MATCH(H128, 'Green_rooibos initial weight'!$A$5:$A$1749,0)),"")</f>
        <v>1.9870000000000001</v>
      </c>
      <c r="K128">
        <f>IFERROR(INDEX('Green_rooibos initial weight'!$C$5:$C$1749,MATCH(I128, 'Green_rooibos initial weight'!$A$5:$A$1749,0)),"")</f>
        <v>2.1589999999999998</v>
      </c>
      <c r="L128" s="195">
        <f t="shared" si="3"/>
        <v>1.7372000000000001</v>
      </c>
      <c r="M128" s="195">
        <f t="shared" si="4"/>
        <v>1.9091999999999998</v>
      </c>
      <c r="N128" s="16">
        <f>IF('Dry_Litterbag Placem_Collection'!G55="N.A","",'Dry_Litterbag Placem_Collection'!G55)</f>
        <v>43005</v>
      </c>
      <c r="O128" s="195">
        <f>IF(IFERROR(INDEX('Both teabags AfterDry'!$D$1:$D$839,MATCH(H128,'Both teabags AfterDry'!$A$1:$A$839,0)),"")="N.A","",(IFERROR(INDEX('Both teabags AfterDry'!$D$1:$D$839,MATCH(H128,'Both teabags AfterDry'!$A$1:$A$839,0)),"")))</f>
        <v>1.8197000000000001</v>
      </c>
      <c r="P128" s="195">
        <f>IF(IFERROR(INDEX('Both teabags AfterDry'!$D$1:$D$839,MATCH(I128,'Both teabags AfterDry'!$A$1:$A$839,0)),"")="N.A","",(IFERROR(INDEX('Both teabags AfterDry'!$D$1:$D$839,MATCH(I128,'Both teabags AfterDry'!$A$1:$A$839,0)),"")))</f>
        <v>1.8914</v>
      </c>
      <c r="Q128" s="195">
        <f t="shared" si="5"/>
        <v>1.6691</v>
      </c>
      <c r="R128" s="195">
        <f t="shared" si="5"/>
        <v>1.7407999999999999</v>
      </c>
      <c r="S128" s="195">
        <f t="shared" si="0"/>
        <v>3.9201013124568251E-2</v>
      </c>
      <c r="T128" s="195">
        <f t="shared" si="6"/>
        <v>2.5699476537721734E-2</v>
      </c>
      <c r="U128" s="195">
        <f t="shared" si="1"/>
        <v>0.91179551644667933</v>
      </c>
      <c r="V128">
        <f t="shared" si="2"/>
        <v>67</v>
      </c>
      <c r="W128" s="195">
        <f t="shared" si="7"/>
        <v>0.95344297728673599</v>
      </c>
      <c r="X128" s="195" t="str">
        <f t="shared" si="8"/>
        <v/>
      </c>
      <c r="Y128" s="255" t="str">
        <f>IF(ISNUMBER(SEARCH("C", 'Dry_Litterbag Placem_Collection'!T55)),"YES","NO")</f>
        <v>NO</v>
      </c>
      <c r="Z128" s="255" t="str">
        <f>IF(ISNUMBER(SEARCH("H", 'Dry_Litterbag Placem_Collection'!T55)),"YES","NO")</f>
        <v>NO</v>
      </c>
      <c r="AA128" s="255" t="str">
        <f>IF(ISNUMBER(SEARCH("R", 'Dry_Litterbag Placem_Collection'!T55)),"YES","NO")</f>
        <v>NO</v>
      </c>
      <c r="AB128" s="255" t="str">
        <f>IF(ISNUMBER(SEARCH("C", 'Dry_Litterbag Placem_Collection'!S55)),"YES","NO")</f>
        <v>NO</v>
      </c>
      <c r="AC128" s="255" t="str">
        <f>IF(ISNUMBER(SEARCH("H", 'Dry_Litterbag Placem_Collection'!S55)),"YES","NO")</f>
        <v>NO</v>
      </c>
      <c r="AD128" s="255" t="str">
        <f>IF(ISNUMBER(SEARCH("R", 'Dry_Litterbag Placem_Collection'!S55)),"YES","NO")</f>
        <v>NO</v>
      </c>
    </row>
    <row r="129" spans="2:30">
      <c r="B129" t="str">
        <f>'Final data_for_R_analysis_Dryse'!A55</f>
        <v>Dry</v>
      </c>
      <c r="C129" s="263">
        <f>'Final data_for_R_analysis_Dryse'!B55</f>
        <v>54</v>
      </c>
      <c r="D129" t="s">
        <v>3834</v>
      </c>
      <c r="E129" t="s">
        <v>22</v>
      </c>
      <c r="F129" s="387">
        <v>6</v>
      </c>
      <c r="G129" s="16">
        <f>'Dry_Litterbag Placem_Collection'!E56</f>
        <v>0</v>
      </c>
      <c r="H129" t="str">
        <f>'Final data_for_R_analysis_Dryse'!J55</f>
        <v/>
      </c>
      <c r="I129" t="str">
        <f>'Final data_for_R_analysis_Dryse'!J275</f>
        <v/>
      </c>
      <c r="J129" t="str">
        <f>IFERROR(INDEX('Green_rooibos initial weight'!$C$5:$C$1749,MATCH(H129, 'Green_rooibos initial weight'!$A$5:$A$1749,0)),"")</f>
        <v/>
      </c>
      <c r="K129" t="str">
        <f>IFERROR(INDEX('Green_rooibos initial weight'!$C$5:$C$1749,MATCH(I129, 'Green_rooibos initial weight'!$A$5:$A$1749,0)),"")</f>
        <v/>
      </c>
      <c r="L129" s="195" t="str">
        <f t="shared" si="3"/>
        <v/>
      </c>
      <c r="M129" s="195" t="str">
        <f t="shared" si="4"/>
        <v/>
      </c>
      <c r="N129" s="16">
        <f>IF('Dry_Litterbag Placem_Collection'!G56="N.A","",'Dry_Litterbag Placem_Collection'!G56)</f>
        <v>0</v>
      </c>
      <c r="O129" s="195" t="str">
        <f>IF(IFERROR(INDEX('Both teabags AfterDry'!$D$1:$D$839,MATCH(H129,'Both teabags AfterDry'!$A$1:$A$839,0)),"")="N.A","",(IFERROR(INDEX('Both teabags AfterDry'!$D$1:$D$839,MATCH(H129,'Both teabags AfterDry'!$A$1:$A$839,0)),"")))</f>
        <v/>
      </c>
      <c r="P129" s="195" t="str">
        <f>IF(IFERROR(INDEX('Both teabags AfterDry'!$D$1:$D$839,MATCH(I129,'Both teabags AfterDry'!$A$1:$A$839,0)),"")="N.A","",(IFERROR(INDEX('Both teabags AfterDry'!$D$1:$D$839,MATCH(I129,'Both teabags AfterDry'!$A$1:$A$839,0)),"")))</f>
        <v/>
      </c>
      <c r="Q129" s="195" t="str">
        <f t="shared" si="5"/>
        <v/>
      </c>
      <c r="R129" s="195" t="str">
        <f t="shared" si="5"/>
        <v/>
      </c>
      <c r="S129" s="195" t="str">
        <f t="shared" si="0"/>
        <v/>
      </c>
      <c r="T129" s="195" t="str">
        <f t="shared" si="6"/>
        <v/>
      </c>
      <c r="U129" s="195" t="str">
        <f t="shared" si="1"/>
        <v/>
      </c>
      <c r="V129" t="str">
        <f t="shared" si="2"/>
        <v/>
      </c>
      <c r="W129" s="195" t="str">
        <f t="shared" si="7"/>
        <v/>
      </c>
      <c r="X129" s="195" t="str">
        <f t="shared" si="8"/>
        <v/>
      </c>
      <c r="Y129" s="255" t="str">
        <f>IF(ISNUMBER(SEARCH("C", 'Dry_Litterbag Placem_Collection'!T56)),"YES","NO")</f>
        <v>NO</v>
      </c>
      <c r="Z129" s="255" t="str">
        <f>IF(ISNUMBER(SEARCH("H", 'Dry_Litterbag Placem_Collection'!T56)),"YES","NO")</f>
        <v>NO</v>
      </c>
      <c r="AA129" s="255" t="str">
        <f>IF(ISNUMBER(SEARCH("R", 'Dry_Litterbag Placem_Collection'!T56)),"YES","NO")</f>
        <v>NO</v>
      </c>
      <c r="AB129" s="255" t="str">
        <f>IF(ISNUMBER(SEARCH("C", 'Dry_Litterbag Placem_Collection'!S56)),"YES","NO")</f>
        <v>NO</v>
      </c>
      <c r="AC129" s="255" t="str">
        <f>IF(ISNUMBER(SEARCH("H", 'Dry_Litterbag Placem_Collection'!S56)),"YES","NO")</f>
        <v>NO</v>
      </c>
      <c r="AD129" s="255" t="str">
        <f>IF(ISNUMBER(SEARCH("R", 'Dry_Litterbag Placem_Collection'!S56)),"YES","NO")</f>
        <v>NO</v>
      </c>
    </row>
    <row r="130" spans="2:30">
      <c r="B130" t="str">
        <f>'Final data_for_R_analysis_Dryse'!A56</f>
        <v>Dry</v>
      </c>
      <c r="C130" s="263">
        <f>'Final data_for_R_analysis_Dryse'!B56</f>
        <v>55</v>
      </c>
      <c r="D130" t="s">
        <v>3834</v>
      </c>
      <c r="E130" t="s">
        <v>22</v>
      </c>
      <c r="F130" s="387">
        <v>7</v>
      </c>
      <c r="G130" s="16">
        <f>'Dry_Litterbag Placem_Collection'!E57</f>
        <v>42938</v>
      </c>
      <c r="H130" t="str">
        <f>'Final data_for_R_analysis_Dryse'!J56</f>
        <v>G86</v>
      </c>
      <c r="I130" t="str">
        <f>'Final data_for_R_analysis_Dryse'!J276</f>
        <v>R839</v>
      </c>
      <c r="J130">
        <f>IFERROR(INDEX('Green_rooibos initial weight'!$C$5:$C$1749,MATCH(H130, 'Green_rooibos initial weight'!$A$5:$A$1749,0)),"")</f>
        <v>2.1030000000000002</v>
      </c>
      <c r="K130">
        <f>IFERROR(INDEX('Green_rooibos initial weight'!$C$5:$C$1749,MATCH(I130, 'Green_rooibos initial weight'!$A$5:$A$1749,0)),"")</f>
        <v>2.2269999999999999</v>
      </c>
      <c r="L130" s="195">
        <f t="shared" si="3"/>
        <v>1.8532000000000002</v>
      </c>
      <c r="M130" s="195">
        <f t="shared" si="4"/>
        <v>1.9771999999999998</v>
      </c>
      <c r="N130" s="16">
        <f>IF('Dry_Litterbag Placem_Collection'!G57="N.A","",'Dry_Litterbag Placem_Collection'!G57)</f>
        <v>43005</v>
      </c>
      <c r="O130" s="195">
        <f>IF(IFERROR(INDEX('Both teabags AfterDry'!$D$1:$D$839,MATCH(H130,'Both teabags AfterDry'!$A$1:$A$839,0)),"")="N.A","",(IFERROR(INDEX('Both teabags AfterDry'!$D$1:$D$839,MATCH(H130,'Both teabags AfterDry'!$A$1:$A$839,0)),"")))</f>
        <v>1.8914</v>
      </c>
      <c r="P130" s="195">
        <f>IF(IFERROR(INDEX('Both teabags AfterDry'!$D$1:$D$839,MATCH(I130,'Both teabags AfterDry'!$A$1:$A$839,0)),"")="N.A","",(IFERROR(INDEX('Both teabags AfterDry'!$D$1:$D$839,MATCH(I130,'Both teabags AfterDry'!$A$1:$A$839,0)),"")))</f>
        <v>1.9775</v>
      </c>
      <c r="Q130" s="195">
        <f t="shared" si="5"/>
        <v>1.7407999999999999</v>
      </c>
      <c r="R130" s="195">
        <f t="shared" si="5"/>
        <v>1.8269</v>
      </c>
      <c r="S130" s="195">
        <f t="shared" si="0"/>
        <v>6.0651845456507814E-2</v>
      </c>
      <c r="T130" s="195">
        <f t="shared" si="6"/>
        <v>3.976225497861318E-2</v>
      </c>
      <c r="U130" s="195">
        <f t="shared" si="1"/>
        <v>0.92398341088407854</v>
      </c>
      <c r="V130">
        <f t="shared" si="2"/>
        <v>67</v>
      </c>
      <c r="W130" s="195">
        <f t="shared" si="7"/>
        <v>0.92796692938657033</v>
      </c>
      <c r="X130" s="195" t="str">
        <f t="shared" si="8"/>
        <v/>
      </c>
      <c r="Y130" s="255" t="str">
        <f>IF(ISNUMBER(SEARCH("C", 'Dry_Litterbag Placem_Collection'!T57)),"YES","NO")</f>
        <v>YES</v>
      </c>
      <c r="Z130" s="255" t="str">
        <f>IF(ISNUMBER(SEARCH("H", 'Dry_Litterbag Placem_Collection'!T57)),"YES","NO")</f>
        <v>YES</v>
      </c>
      <c r="AA130" s="255" t="str">
        <f>IF(ISNUMBER(SEARCH("R", 'Dry_Litterbag Placem_Collection'!T57)),"YES","NO")</f>
        <v>NO</v>
      </c>
      <c r="AB130" s="255" t="str">
        <f>IF(ISNUMBER(SEARCH("C", 'Dry_Litterbag Placem_Collection'!S57)),"YES","NO")</f>
        <v>YES</v>
      </c>
      <c r="AC130" s="255" t="str">
        <f>IF(ISNUMBER(SEARCH("H", 'Dry_Litterbag Placem_Collection'!S57)),"YES","NO")</f>
        <v>YES</v>
      </c>
      <c r="AD130" s="255" t="str">
        <f>IF(ISNUMBER(SEARCH("R", 'Dry_Litterbag Placem_Collection'!S57)),"YES","NO")</f>
        <v>NO</v>
      </c>
    </row>
    <row r="131" spans="2:30">
      <c r="B131" t="str">
        <f>'Final data_for_R_analysis_Dryse'!A57</f>
        <v>Dry</v>
      </c>
      <c r="C131" s="263">
        <f>'Final data_for_R_analysis_Dryse'!B57</f>
        <v>56</v>
      </c>
      <c r="D131" t="s">
        <v>3834</v>
      </c>
      <c r="E131" t="s">
        <v>22</v>
      </c>
      <c r="F131" s="387">
        <v>8</v>
      </c>
      <c r="G131" s="16">
        <f>'Dry_Litterbag Placem_Collection'!E58</f>
        <v>42938</v>
      </c>
      <c r="H131" t="str">
        <f>'Final data_for_R_analysis_Dryse'!J57</f>
        <v>G107</v>
      </c>
      <c r="I131" t="str">
        <f>'Final data_for_R_analysis_Dryse'!J277</f>
        <v>R760</v>
      </c>
      <c r="J131">
        <f>IFERROR(INDEX('Green_rooibos initial weight'!$C$5:$C$1749,MATCH(H131, 'Green_rooibos initial weight'!$A$5:$A$1749,0)),"")</f>
        <v>2.1749999999999998</v>
      </c>
      <c r="K131">
        <f>IFERROR(INDEX('Green_rooibos initial weight'!$C$5:$C$1749,MATCH(I131, 'Green_rooibos initial weight'!$A$5:$A$1749,0)),"")</f>
        <v>2.2320000000000002</v>
      </c>
      <c r="L131" s="195">
        <f t="shared" si="3"/>
        <v>1.9251999999999998</v>
      </c>
      <c r="M131" s="195">
        <f t="shared" si="4"/>
        <v>1.9822000000000002</v>
      </c>
      <c r="N131" s="16">
        <f>IF('Dry_Litterbag Placem_Collection'!G58="N.A","",'Dry_Litterbag Placem_Collection'!G58)</f>
        <v>43005</v>
      </c>
      <c r="O131" s="195">
        <f>IF(IFERROR(INDEX('Both teabags AfterDry'!$D$1:$D$839,MATCH(H131,'Both teabags AfterDry'!$A$1:$A$839,0)),"")="N.A","",(IFERROR(INDEX('Both teabags AfterDry'!$D$1:$D$839,MATCH(H131,'Both teabags AfterDry'!$A$1:$A$839,0)),"")))</f>
        <v>2.0276000000000001</v>
      </c>
      <c r="P131" s="195">
        <f>IF(IFERROR(INDEX('Both teabags AfterDry'!$D$1:$D$839,MATCH(I131,'Both teabags AfterDry'!$A$1:$A$839,0)),"")="N.A","",(IFERROR(INDEX('Both teabags AfterDry'!$D$1:$D$839,MATCH(I131,'Both teabags AfterDry'!$A$1:$A$839,0)),"")))</f>
        <v>1.9821</v>
      </c>
      <c r="Q131" s="195">
        <f t="shared" si="5"/>
        <v>1.877</v>
      </c>
      <c r="R131" s="195">
        <f t="shared" si="5"/>
        <v>1.8314999999999999</v>
      </c>
      <c r="S131" s="195">
        <f t="shared" si="0"/>
        <v>2.5036359858715884E-2</v>
      </c>
      <c r="T131" s="195">
        <f t="shared" si="6"/>
        <v>1.641338556058336E-2</v>
      </c>
      <c r="U131" s="195">
        <f t="shared" si="1"/>
        <v>0.92397336293007759</v>
      </c>
      <c r="V131">
        <f t="shared" si="2"/>
        <v>67</v>
      </c>
      <c r="W131" s="195">
        <f t="shared" si="7"/>
        <v>0.97026560586850841</v>
      </c>
      <c r="X131" s="195" t="str">
        <f t="shared" si="8"/>
        <v/>
      </c>
      <c r="Y131" s="255" t="str">
        <f>IF(ISNUMBER(SEARCH("C", 'Dry_Litterbag Placem_Collection'!T58)),"YES","NO")</f>
        <v>NO</v>
      </c>
      <c r="Z131" s="255" t="str">
        <f>IF(ISNUMBER(SEARCH("H", 'Dry_Litterbag Placem_Collection'!T58)),"YES","NO")</f>
        <v>NO</v>
      </c>
      <c r="AA131" s="255" t="str">
        <f>IF(ISNUMBER(SEARCH("R", 'Dry_Litterbag Placem_Collection'!T58)),"YES","NO")</f>
        <v>NO</v>
      </c>
      <c r="AB131" s="255" t="str">
        <f>IF(ISNUMBER(SEARCH("C", 'Dry_Litterbag Placem_Collection'!S58)),"YES","NO")</f>
        <v>NO</v>
      </c>
      <c r="AC131" s="255" t="str">
        <f>IF(ISNUMBER(SEARCH("H", 'Dry_Litterbag Placem_Collection'!S58)),"YES","NO")</f>
        <v>NO</v>
      </c>
      <c r="AD131" s="255" t="str">
        <f>IF(ISNUMBER(SEARCH("R", 'Dry_Litterbag Placem_Collection'!S58)),"YES","NO")</f>
        <v>NO</v>
      </c>
    </row>
    <row r="132" spans="2:30">
      <c r="B132" t="str">
        <f>'Final data_for_R_analysis_Dryse'!A58</f>
        <v>Dry</v>
      </c>
      <c r="C132" s="263">
        <f>'Final data_for_R_analysis_Dryse'!B58</f>
        <v>57</v>
      </c>
      <c r="D132" t="s">
        <v>3835</v>
      </c>
      <c r="E132" t="s">
        <v>22</v>
      </c>
      <c r="F132" s="386">
        <v>1</v>
      </c>
      <c r="G132" s="16">
        <f>'Dry_Litterbag Placem_Collection'!E59</f>
        <v>42938</v>
      </c>
      <c r="H132" t="str">
        <f>'Final data_for_R_analysis_Dryse'!J58</f>
        <v>G41</v>
      </c>
      <c r="I132" t="str">
        <f>'Final data_for_R_analysis_Dryse'!J278</f>
        <v>R830</v>
      </c>
      <c r="J132">
        <f>IFERROR(INDEX('Green_rooibos initial weight'!$C$5:$C$1749,MATCH(H132, 'Green_rooibos initial weight'!$A$5:$A$1749,0)),"")</f>
        <v>1.9850000000000001</v>
      </c>
      <c r="K132">
        <f>IFERROR(INDEX('Green_rooibos initial weight'!$C$5:$C$1749,MATCH(I132, 'Green_rooibos initial weight'!$A$5:$A$1749,0)),"")</f>
        <v>2.2160000000000002</v>
      </c>
      <c r="L132" s="195">
        <f t="shared" si="3"/>
        <v>1.7352000000000001</v>
      </c>
      <c r="M132" s="195">
        <f t="shared" si="4"/>
        <v>1.9662000000000002</v>
      </c>
      <c r="N132" s="16">
        <f>IF('Dry_Litterbag Placem_Collection'!G59="N.A","",'Dry_Litterbag Placem_Collection'!G59)</f>
        <v>43005</v>
      </c>
      <c r="O132" s="195">
        <f>IF(IFERROR(INDEX('Both teabags AfterDry'!$D$1:$D$839,MATCH(H132,'Both teabags AfterDry'!$A$1:$A$839,0)),"")="N.A","",(IFERROR(INDEX('Both teabags AfterDry'!$D$1:$D$839,MATCH(H132,'Both teabags AfterDry'!$A$1:$A$839,0)),"")))</f>
        <v>1.7847</v>
      </c>
      <c r="P132" s="195">
        <f>IF(IFERROR(INDEX('Both teabags AfterDry'!$D$1:$D$839,MATCH(I132,'Both teabags AfterDry'!$A$1:$A$839,0)),"")="N.A","",(IFERROR(INDEX('Both teabags AfterDry'!$D$1:$D$839,MATCH(I132,'Both teabags AfterDry'!$A$1:$A$839,0)),"")))</f>
        <v>1.9719</v>
      </c>
      <c r="Q132" s="195">
        <f t="shared" si="5"/>
        <v>1.6340999999999999</v>
      </c>
      <c r="R132" s="195">
        <f t="shared" si="5"/>
        <v>1.8212999999999999</v>
      </c>
      <c r="S132" s="195">
        <f t="shared" si="0"/>
        <v>5.8264177040110776E-2</v>
      </c>
      <c r="T132" s="195">
        <f t="shared" si="6"/>
        <v>3.8196942667626056E-2</v>
      </c>
      <c r="U132" s="195">
        <f t="shared" si="1"/>
        <v>0.92630454684162333</v>
      </c>
      <c r="V132">
        <f t="shared" si="2"/>
        <v>67</v>
      </c>
      <c r="W132" s="195">
        <f t="shared" si="7"/>
        <v>0.93080264009488034</v>
      </c>
      <c r="X132" s="195" t="str">
        <f t="shared" si="8"/>
        <v/>
      </c>
      <c r="Y132" s="255" t="str">
        <f>IF(ISNUMBER(SEARCH("C", 'Dry_Litterbag Placem_Collection'!T59)),"YES","NO")</f>
        <v>NO</v>
      </c>
      <c r="Z132" s="255" t="str">
        <f>IF(ISNUMBER(SEARCH("H", 'Dry_Litterbag Placem_Collection'!T59)),"YES","NO")</f>
        <v>NO</v>
      </c>
      <c r="AA132" s="255" t="str">
        <f>IF(ISNUMBER(SEARCH("R", 'Dry_Litterbag Placem_Collection'!T59)),"YES","NO")</f>
        <v>NO</v>
      </c>
      <c r="AB132" s="255" t="str">
        <f>IF(ISNUMBER(SEARCH("C", 'Dry_Litterbag Placem_Collection'!S59)),"YES","NO")</f>
        <v>NO</v>
      </c>
      <c r="AC132" s="255" t="str">
        <f>IF(ISNUMBER(SEARCH("H", 'Dry_Litterbag Placem_Collection'!S59)),"YES","NO")</f>
        <v>NO</v>
      </c>
      <c r="AD132" s="255" t="str">
        <f>IF(ISNUMBER(SEARCH("R", 'Dry_Litterbag Placem_Collection'!S59)),"YES","NO")</f>
        <v>NO</v>
      </c>
    </row>
    <row r="133" spans="2:30">
      <c r="B133" t="str">
        <f>'Final data_for_R_analysis_Dryse'!A59</f>
        <v>Dry</v>
      </c>
      <c r="C133" s="263">
        <f>'Final data_for_R_analysis_Dryse'!B59</f>
        <v>58</v>
      </c>
      <c r="D133" t="s">
        <v>3835</v>
      </c>
      <c r="E133" t="s">
        <v>22</v>
      </c>
      <c r="F133" s="386">
        <v>2</v>
      </c>
      <c r="G133" s="16">
        <f>'Dry_Litterbag Placem_Collection'!E60</f>
        <v>42938</v>
      </c>
      <c r="H133" t="str">
        <f>'Final data_for_R_analysis_Dryse'!J59</f>
        <v>G481</v>
      </c>
      <c r="I133" t="str">
        <f>'Final data_for_R_analysis_Dryse'!J279</f>
        <v>R725</v>
      </c>
      <c r="J133">
        <f>IFERROR(INDEX('Green_rooibos initial weight'!$C$5:$C$1749,MATCH(H133, 'Green_rooibos initial weight'!$A$5:$A$1749,0)),"")</f>
        <v>2.0529999999999999</v>
      </c>
      <c r="K133">
        <f>IFERROR(INDEX('Green_rooibos initial weight'!$C$5:$C$1749,MATCH(I133, 'Green_rooibos initial weight'!$A$5:$A$1749,0)),"")</f>
        <v>2.1930000000000001</v>
      </c>
      <c r="L133" s="195">
        <f t="shared" si="3"/>
        <v>1.8031999999999999</v>
      </c>
      <c r="M133" s="195">
        <f t="shared" si="4"/>
        <v>1.9432</v>
      </c>
      <c r="N133" s="16">
        <f>IF('Dry_Litterbag Placem_Collection'!G60="N.A","",'Dry_Litterbag Placem_Collection'!G60)</f>
        <v>43005</v>
      </c>
      <c r="O133" s="195">
        <f>IF(IFERROR(INDEX('Both teabags AfterDry'!$D$1:$D$839,MATCH(H133,'Both teabags AfterDry'!$A$1:$A$839,0)),"")="N.A","",(IFERROR(INDEX('Both teabags AfterDry'!$D$1:$D$839,MATCH(H133,'Both teabags AfterDry'!$A$1:$A$839,0)),"")))</f>
        <v>1.7612000000000001</v>
      </c>
      <c r="P133" s="195">
        <f>IF(IFERROR(INDEX('Both teabags AfterDry'!$D$1:$D$839,MATCH(I133,'Both teabags AfterDry'!$A$1:$A$839,0)),"")="N.A","",(IFERROR(INDEX('Both teabags AfterDry'!$D$1:$D$839,MATCH(I133,'Both teabags AfterDry'!$A$1:$A$839,0)),"")))</f>
        <v>0.71450000000000002</v>
      </c>
      <c r="Q133" s="195">
        <f t="shared" si="5"/>
        <v>1.6106</v>
      </c>
      <c r="R133" s="195">
        <f t="shared" si="5"/>
        <v>0.56390000000000007</v>
      </c>
      <c r="S133" s="195">
        <f t="shared" si="0"/>
        <v>0.10681011535048801</v>
      </c>
      <c r="T133" s="195">
        <f t="shared" si="6"/>
        <v>7.0022783460177443E-2</v>
      </c>
      <c r="U133" s="195">
        <f t="shared" si="1"/>
        <v>0.29019143680526971</v>
      </c>
      <c r="V133">
        <f t="shared" si="2"/>
        <v>67</v>
      </c>
      <c r="W133" s="195">
        <f t="shared" si="7"/>
        <v>0.87314713141272204</v>
      </c>
      <c r="X133" s="195" t="str">
        <f t="shared" si="8"/>
        <v/>
      </c>
      <c r="Y133" s="255" t="str">
        <f>IF(ISNUMBER(SEARCH("C", 'Dry_Litterbag Placem_Collection'!T60)),"YES","NO")</f>
        <v>NO</v>
      </c>
      <c r="Z133" s="255" t="str">
        <f>IF(ISNUMBER(SEARCH("H", 'Dry_Litterbag Placem_Collection'!T60)),"YES","NO")</f>
        <v>YES</v>
      </c>
      <c r="AA133" s="255" t="str">
        <f>IF(ISNUMBER(SEARCH("R", 'Dry_Litterbag Placem_Collection'!T60)),"YES","NO")</f>
        <v>NO</v>
      </c>
      <c r="AB133" s="255" t="str">
        <f>IF(ISNUMBER(SEARCH("C", 'Dry_Litterbag Placem_Collection'!S60)),"YES","NO")</f>
        <v>NO</v>
      </c>
      <c r="AC133" s="255" t="str">
        <f>IF(ISNUMBER(SEARCH("H", 'Dry_Litterbag Placem_Collection'!S60)),"YES","NO")</f>
        <v>YES</v>
      </c>
      <c r="AD133" s="255" t="str">
        <f>IF(ISNUMBER(SEARCH("R", 'Dry_Litterbag Placem_Collection'!S60)),"YES","NO")</f>
        <v>NO</v>
      </c>
    </row>
    <row r="134" spans="2:30">
      <c r="B134" t="str">
        <f>'Final data_for_R_analysis_Dryse'!A60</f>
        <v>Dry</v>
      </c>
      <c r="C134" s="263">
        <f>'Final data_for_R_analysis_Dryse'!B60</f>
        <v>59</v>
      </c>
      <c r="D134" t="s">
        <v>3835</v>
      </c>
      <c r="E134" t="s">
        <v>22</v>
      </c>
      <c r="F134" s="386">
        <v>3</v>
      </c>
      <c r="G134" s="16">
        <f>'Dry_Litterbag Placem_Collection'!E61</f>
        <v>42938</v>
      </c>
      <c r="H134" t="str">
        <f>'Final data_for_R_analysis_Dryse'!J60</f>
        <v>G261</v>
      </c>
      <c r="I134" t="str">
        <f>'Final data_for_R_analysis_Dryse'!J280</f>
        <v>R721</v>
      </c>
      <c r="J134">
        <f>IFERROR(INDEX('Green_rooibos initial weight'!$C$5:$C$1749,MATCH(H134, 'Green_rooibos initial weight'!$A$5:$A$1749,0)),"")</f>
        <v>1.9850000000000001</v>
      </c>
      <c r="K134">
        <f>IFERROR(INDEX('Green_rooibos initial weight'!$C$5:$C$1749,MATCH(I134, 'Green_rooibos initial weight'!$A$5:$A$1749,0)),"")</f>
        <v>2.2229999999999999</v>
      </c>
      <c r="L134" s="195">
        <f t="shared" si="3"/>
        <v>1.7352000000000001</v>
      </c>
      <c r="M134" s="195">
        <f t="shared" si="4"/>
        <v>1.9731999999999998</v>
      </c>
      <c r="N134" s="16">
        <f>IF('Dry_Litterbag Placem_Collection'!G61="N.A","",'Dry_Litterbag Placem_Collection'!G61)</f>
        <v>43005</v>
      </c>
      <c r="O134" s="195">
        <f>IF(IFERROR(INDEX('Both teabags AfterDry'!$D$1:$D$839,MATCH(H134,'Both teabags AfterDry'!$A$1:$A$839,0)),"")="N.A","",(IFERROR(INDEX('Both teabags AfterDry'!$D$1:$D$839,MATCH(H134,'Both teabags AfterDry'!$A$1:$A$839,0)),"")))</f>
        <v>1.8041</v>
      </c>
      <c r="P134" s="195">
        <f>IF(IFERROR(INDEX('Both teabags AfterDry'!$D$1:$D$839,MATCH(I134,'Both teabags AfterDry'!$A$1:$A$839,0)),"")="N.A","",(IFERROR(INDEX('Both teabags AfterDry'!$D$1:$D$839,MATCH(I134,'Both teabags AfterDry'!$A$1:$A$839,0)),"")))</f>
        <v>1.9549000000000001</v>
      </c>
      <c r="Q134" s="195">
        <f t="shared" si="5"/>
        <v>1.6535</v>
      </c>
      <c r="R134" s="195">
        <f t="shared" si="5"/>
        <v>1.8043</v>
      </c>
      <c r="S134" s="195">
        <f t="shared" si="0"/>
        <v>4.708390963577691E-2</v>
      </c>
      <c r="T134" s="195">
        <f t="shared" si="6"/>
        <v>3.0867361186400082E-2</v>
      </c>
      <c r="U134" s="195">
        <f t="shared" si="1"/>
        <v>0.91440300020271648</v>
      </c>
      <c r="V134">
        <f t="shared" si="2"/>
        <v>67</v>
      </c>
      <c r="W134" s="195">
        <f t="shared" si="7"/>
        <v>0.94408086741594188</v>
      </c>
      <c r="X134" s="195" t="str">
        <f t="shared" si="8"/>
        <v/>
      </c>
      <c r="Y134" s="255" t="str">
        <f>IF(ISNUMBER(SEARCH("C", 'Dry_Litterbag Placem_Collection'!T61)),"YES","NO")</f>
        <v>NO</v>
      </c>
      <c r="Z134" s="255" t="str">
        <f>IF(ISNUMBER(SEARCH("H", 'Dry_Litterbag Placem_Collection'!T61)),"YES","NO")</f>
        <v>NO</v>
      </c>
      <c r="AA134" s="255" t="str">
        <f>IF(ISNUMBER(SEARCH("R", 'Dry_Litterbag Placem_Collection'!T61)),"YES","NO")</f>
        <v>NO</v>
      </c>
      <c r="AB134" s="255" t="str">
        <f>IF(ISNUMBER(SEARCH("C", 'Dry_Litterbag Placem_Collection'!S61)),"YES","NO")</f>
        <v>NO</v>
      </c>
      <c r="AC134" s="255" t="str">
        <f>IF(ISNUMBER(SEARCH("H", 'Dry_Litterbag Placem_Collection'!S61)),"YES","NO")</f>
        <v>NO</v>
      </c>
      <c r="AD134" s="255" t="str">
        <f>IF(ISNUMBER(SEARCH("R", 'Dry_Litterbag Placem_Collection'!S61)),"YES","NO")</f>
        <v>NO</v>
      </c>
    </row>
    <row r="135" spans="2:30">
      <c r="B135" t="str">
        <f>'Final data_for_R_analysis_Dryse'!A61</f>
        <v>Dry</v>
      </c>
      <c r="C135" s="263">
        <f>'Final data_for_R_analysis_Dryse'!B61</f>
        <v>60</v>
      </c>
      <c r="D135" t="s">
        <v>3835</v>
      </c>
      <c r="E135" t="s">
        <v>22</v>
      </c>
      <c r="F135" s="387">
        <v>4</v>
      </c>
      <c r="G135" s="16">
        <f>'Dry_Litterbag Placem_Collection'!E62</f>
        <v>42938</v>
      </c>
      <c r="H135" t="str">
        <f>'Final data_for_R_analysis_Dryse'!J61</f>
        <v>G152</v>
      </c>
      <c r="I135" t="str">
        <f>'Final data_for_R_analysis_Dryse'!J281</f>
        <v>R763</v>
      </c>
      <c r="J135">
        <f>IFERROR(INDEX('Green_rooibos initial weight'!$C$5:$C$1749,MATCH(H135, 'Green_rooibos initial weight'!$A$5:$A$1749,0)),"")</f>
        <v>2.0489999999999999</v>
      </c>
      <c r="K135">
        <f>IFERROR(INDEX('Green_rooibos initial weight'!$C$5:$C$1749,MATCH(I135, 'Green_rooibos initial weight'!$A$5:$A$1749,0)),"")</f>
        <v>2.2589999999999999</v>
      </c>
      <c r="L135" s="195">
        <f t="shared" si="3"/>
        <v>1.7991999999999999</v>
      </c>
      <c r="M135" s="195">
        <f t="shared" si="4"/>
        <v>2.0091999999999999</v>
      </c>
      <c r="N135" s="16">
        <f>IF('Dry_Litterbag Placem_Collection'!G62="N.A","",'Dry_Litterbag Placem_Collection'!G62)</f>
        <v>43005</v>
      </c>
      <c r="O135" s="195">
        <f>IF(IFERROR(INDEX('Both teabags AfterDry'!$D$1:$D$839,MATCH(H135,'Both teabags AfterDry'!$A$1:$A$839,0)),"")="N.A","",(IFERROR(INDEX('Both teabags AfterDry'!$D$1:$D$839,MATCH(H135,'Both teabags AfterDry'!$A$1:$A$839,0)),"")))</f>
        <v>1.8697999999999999</v>
      </c>
      <c r="P135" s="195">
        <f>IF(IFERROR(INDEX('Both teabags AfterDry'!$D$1:$D$839,MATCH(I135,'Both teabags AfterDry'!$A$1:$A$839,0)),"")="N.A","",(IFERROR(INDEX('Both teabags AfterDry'!$D$1:$D$839,MATCH(I135,'Both teabags AfterDry'!$A$1:$A$839,0)),"")))</f>
        <v>1.9797</v>
      </c>
      <c r="Q135" s="195">
        <f t="shared" si="5"/>
        <v>1.7191999999999998</v>
      </c>
      <c r="R135" s="195">
        <f t="shared" si="5"/>
        <v>1.8290999999999999</v>
      </c>
      <c r="S135" s="195">
        <f t="shared" si="0"/>
        <v>4.4464206313917343E-2</v>
      </c>
      <c r="T135" s="195">
        <f t="shared" si="6"/>
        <v>2.9149930980145344E-2</v>
      </c>
      <c r="U135" s="195">
        <f t="shared" si="1"/>
        <v>0.91036233326697191</v>
      </c>
      <c r="V135">
        <f t="shared" si="2"/>
        <v>67</v>
      </c>
      <c r="W135" s="195">
        <f t="shared" si="7"/>
        <v>0.94719215402147583</v>
      </c>
      <c r="X135" s="195" t="str">
        <f t="shared" si="8"/>
        <v/>
      </c>
      <c r="Y135" s="255" t="str">
        <f>IF(ISNUMBER(SEARCH("C", 'Dry_Litterbag Placem_Collection'!T62)),"YES","NO")</f>
        <v>NO</v>
      </c>
      <c r="Z135" s="255" t="str">
        <f>IF(ISNUMBER(SEARCH("H", 'Dry_Litterbag Placem_Collection'!T62)),"YES","NO")</f>
        <v>NO</v>
      </c>
      <c r="AA135" s="255" t="str">
        <f>IF(ISNUMBER(SEARCH("R", 'Dry_Litterbag Placem_Collection'!T62)),"YES","NO")</f>
        <v>NO</v>
      </c>
      <c r="AB135" s="255" t="str">
        <f>IF(ISNUMBER(SEARCH("C", 'Dry_Litterbag Placem_Collection'!S62)),"YES","NO")</f>
        <v>NO</v>
      </c>
      <c r="AC135" s="255" t="str">
        <f>IF(ISNUMBER(SEARCH("H", 'Dry_Litterbag Placem_Collection'!S62)),"YES","NO")</f>
        <v>NO</v>
      </c>
      <c r="AD135" s="255" t="str">
        <f>IF(ISNUMBER(SEARCH("R", 'Dry_Litterbag Placem_Collection'!S62)),"YES","NO")</f>
        <v>NO</v>
      </c>
    </row>
    <row r="136" spans="2:30">
      <c r="B136" t="str">
        <f>'Final data_for_R_analysis_Dryse'!A62</f>
        <v>Dry</v>
      </c>
      <c r="C136" s="263">
        <f>'Final data_for_R_analysis_Dryse'!B62</f>
        <v>61</v>
      </c>
      <c r="D136" t="s">
        <v>3835</v>
      </c>
      <c r="E136" t="s">
        <v>22</v>
      </c>
      <c r="F136" s="387">
        <v>5</v>
      </c>
      <c r="G136" s="16">
        <f>'Dry_Litterbag Placem_Collection'!E63</f>
        <v>42938</v>
      </c>
      <c r="H136" t="str">
        <f>'Final data_for_R_analysis_Dryse'!J62</f>
        <v>G191</v>
      </c>
      <c r="I136" t="str">
        <f>'Final data_for_R_analysis_Dryse'!J282</f>
        <v>R775</v>
      </c>
      <c r="J136">
        <f>IFERROR(INDEX('Green_rooibos initial weight'!$C$5:$C$1749,MATCH(H136, 'Green_rooibos initial weight'!$A$5:$A$1749,0)),"")</f>
        <v>2.0590000000000002</v>
      </c>
      <c r="K136">
        <f>IFERROR(INDEX('Green_rooibos initial weight'!$C$5:$C$1749,MATCH(I136, 'Green_rooibos initial weight'!$A$5:$A$1749,0)),"")</f>
        <v>2.2290000000000001</v>
      </c>
      <c r="L136" s="195">
        <f t="shared" si="3"/>
        <v>1.8092000000000001</v>
      </c>
      <c r="M136" s="195">
        <f t="shared" si="4"/>
        <v>1.9792000000000001</v>
      </c>
      <c r="N136" s="16">
        <f>IF('Dry_Litterbag Placem_Collection'!G63="N.A","",'Dry_Litterbag Placem_Collection'!G63)</f>
        <v>43005</v>
      </c>
      <c r="O136" s="195" t="str">
        <f>IF(IFERROR(INDEX('Both teabags AfterDry'!$D$1:$D$839,MATCH(H136,'Both teabags AfterDry'!$A$1:$A$839,0)),"")="N.A","",(IFERROR(INDEX('Both teabags AfterDry'!$D$1:$D$839,MATCH(H136,'Both teabags AfterDry'!$A$1:$A$839,0)),"")))</f>
        <v/>
      </c>
      <c r="P136" s="195" t="str">
        <f>IF(IFERROR(INDEX('Both teabags AfterDry'!$D$1:$D$839,MATCH(I136,'Both teabags AfterDry'!$A$1:$A$839,0)),"")="N.A","",(IFERROR(INDEX('Both teabags AfterDry'!$D$1:$D$839,MATCH(I136,'Both teabags AfterDry'!$A$1:$A$839,0)),"")))</f>
        <v/>
      </c>
      <c r="Q136" s="195" t="str">
        <f t="shared" si="5"/>
        <v/>
      </c>
      <c r="R136" s="195" t="str">
        <f t="shared" si="5"/>
        <v/>
      </c>
      <c r="S136" s="195" t="str">
        <f t="shared" si="0"/>
        <v/>
      </c>
      <c r="T136" s="195" t="str">
        <f t="shared" si="6"/>
        <v/>
      </c>
      <c r="U136" s="195" t="str">
        <f t="shared" si="1"/>
        <v/>
      </c>
      <c r="V136">
        <f t="shared" si="2"/>
        <v>67</v>
      </c>
      <c r="W136" s="195" t="str">
        <f t="shared" si="7"/>
        <v/>
      </c>
      <c r="X136" s="195" t="str">
        <f t="shared" si="8"/>
        <v/>
      </c>
      <c r="Y136" s="255" t="str">
        <f>IF(ISNUMBER(SEARCH("C", 'Dry_Litterbag Placem_Collection'!T63)),"YES","NO")</f>
        <v>NO</v>
      </c>
      <c r="Z136" s="255" t="str">
        <f>IF(ISNUMBER(SEARCH("H", 'Dry_Litterbag Placem_Collection'!T63)),"YES","NO")</f>
        <v>NO</v>
      </c>
      <c r="AA136" s="255" t="str">
        <f>IF(ISNUMBER(SEARCH("R", 'Dry_Litterbag Placem_Collection'!T63)),"YES","NO")</f>
        <v>NO</v>
      </c>
      <c r="AB136" s="255" t="str">
        <f>IF(ISNUMBER(SEARCH("C", 'Dry_Litterbag Placem_Collection'!S63)),"YES","NO")</f>
        <v>NO</v>
      </c>
      <c r="AC136" s="255" t="str">
        <f>IF(ISNUMBER(SEARCH("H", 'Dry_Litterbag Placem_Collection'!S63)),"YES","NO")</f>
        <v>NO</v>
      </c>
      <c r="AD136" s="255" t="str">
        <f>IF(ISNUMBER(SEARCH("R", 'Dry_Litterbag Placem_Collection'!S63)),"YES","NO")</f>
        <v>NO</v>
      </c>
    </row>
    <row r="137" spans="2:30">
      <c r="B137" t="str">
        <f>'Final data_for_R_analysis_Dryse'!A63</f>
        <v>Dry</v>
      </c>
      <c r="C137" s="263">
        <f>'Final data_for_R_analysis_Dryse'!B63</f>
        <v>62</v>
      </c>
      <c r="D137" t="s">
        <v>3835</v>
      </c>
      <c r="E137" t="s">
        <v>22</v>
      </c>
      <c r="F137" s="387">
        <v>6</v>
      </c>
      <c r="G137" s="390">
        <f>'Dry_Litterbag Placem_Collection'!E64</f>
        <v>0</v>
      </c>
      <c r="H137" t="str">
        <f>'Final data_for_R_analysis_Dryse'!J63</f>
        <v/>
      </c>
      <c r="I137" t="str">
        <f>'Final data_for_R_analysis_Dryse'!J283</f>
        <v/>
      </c>
      <c r="J137" t="str">
        <f>IFERROR(INDEX('Green_rooibos initial weight'!$C$5:$C$1749,MATCH(H137, 'Green_rooibos initial weight'!$A$5:$A$1749,0)),"")</f>
        <v/>
      </c>
      <c r="K137" t="str">
        <f>IFERROR(INDEX('Green_rooibos initial weight'!$C$5:$C$1749,MATCH(I137, 'Green_rooibos initial weight'!$A$5:$A$1749,0)),"")</f>
        <v/>
      </c>
      <c r="L137" s="195" t="str">
        <f t="shared" si="3"/>
        <v/>
      </c>
      <c r="M137" s="195" t="str">
        <f t="shared" si="4"/>
        <v/>
      </c>
      <c r="N137" s="16">
        <f>IF('Dry_Litterbag Placem_Collection'!G64="N.A","",'Dry_Litterbag Placem_Collection'!G64)</f>
        <v>0</v>
      </c>
      <c r="O137" s="195" t="str">
        <f>IF(IFERROR(INDEX('Both teabags AfterDry'!$D$1:$D$839,MATCH(H137,'Both teabags AfterDry'!$A$1:$A$839,0)),"")="N.A","",(IFERROR(INDEX('Both teabags AfterDry'!$D$1:$D$839,MATCH(H137,'Both teabags AfterDry'!$A$1:$A$839,0)),"")))</f>
        <v/>
      </c>
      <c r="P137" s="195" t="str">
        <f>IF(IFERROR(INDEX('Both teabags AfterDry'!$D$1:$D$839,MATCH(I137,'Both teabags AfterDry'!$A$1:$A$839,0)),"")="N.A","",(IFERROR(INDEX('Both teabags AfterDry'!$D$1:$D$839,MATCH(I137,'Both teabags AfterDry'!$A$1:$A$839,0)),"")))</f>
        <v/>
      </c>
      <c r="Q137" s="195" t="str">
        <f t="shared" si="5"/>
        <v/>
      </c>
      <c r="R137" s="195" t="str">
        <f t="shared" si="5"/>
        <v/>
      </c>
      <c r="S137" s="195" t="str">
        <f t="shared" si="0"/>
        <v/>
      </c>
      <c r="T137" s="195" t="str">
        <f t="shared" si="6"/>
        <v/>
      </c>
      <c r="U137" s="195" t="str">
        <f t="shared" si="1"/>
        <v/>
      </c>
      <c r="V137" t="str">
        <f t="shared" si="2"/>
        <v/>
      </c>
      <c r="W137" s="195" t="str">
        <f t="shared" si="7"/>
        <v/>
      </c>
      <c r="X137" s="195" t="str">
        <f t="shared" si="8"/>
        <v/>
      </c>
      <c r="Y137" s="255" t="str">
        <f>IF(ISNUMBER(SEARCH("C", 'Dry_Litterbag Placem_Collection'!T64)),"YES","NO")</f>
        <v>NO</v>
      </c>
      <c r="Z137" s="255" t="str">
        <f>IF(ISNUMBER(SEARCH("H", 'Dry_Litterbag Placem_Collection'!T64)),"YES","NO")</f>
        <v>NO</v>
      </c>
      <c r="AA137" s="255" t="str">
        <f>IF(ISNUMBER(SEARCH("R", 'Dry_Litterbag Placem_Collection'!T64)),"YES","NO")</f>
        <v>NO</v>
      </c>
      <c r="AB137" s="255" t="str">
        <f>IF(ISNUMBER(SEARCH("C", 'Dry_Litterbag Placem_Collection'!S64)),"YES","NO")</f>
        <v>NO</v>
      </c>
      <c r="AC137" s="255" t="str">
        <f>IF(ISNUMBER(SEARCH("H", 'Dry_Litterbag Placem_Collection'!S64)),"YES","NO")</f>
        <v>NO</v>
      </c>
      <c r="AD137" s="255" t="str">
        <f>IF(ISNUMBER(SEARCH("R", 'Dry_Litterbag Placem_Collection'!S64)),"YES","NO")</f>
        <v>NO</v>
      </c>
    </row>
    <row r="138" spans="2:30">
      <c r="B138" t="str">
        <f>'Final data_for_R_analysis_Dryse'!A64</f>
        <v>Dry</v>
      </c>
      <c r="C138" s="263">
        <f>'Final data_for_R_analysis_Dryse'!B64</f>
        <v>63</v>
      </c>
      <c r="D138" t="s">
        <v>3835</v>
      </c>
      <c r="E138" t="s">
        <v>22</v>
      </c>
      <c r="F138" s="387">
        <v>7</v>
      </c>
      <c r="G138" s="16">
        <f>'Dry_Litterbag Placem_Collection'!E65</f>
        <v>42938</v>
      </c>
      <c r="H138" t="str">
        <f>'Final data_for_R_analysis_Dryse'!J64</f>
        <v>G49</v>
      </c>
      <c r="I138" t="str">
        <f>'Final data_for_R_analysis_Dryse'!J284</f>
        <v>R733</v>
      </c>
      <c r="J138">
        <f>IFERROR(INDEX('Green_rooibos initial weight'!$C$5:$C$1749,MATCH(H138, 'Green_rooibos initial weight'!$A$5:$A$1749,0)),"")</f>
        <v>2.0859999999999999</v>
      </c>
      <c r="K138">
        <f>IFERROR(INDEX('Green_rooibos initial weight'!$C$5:$C$1749,MATCH(I138, 'Green_rooibos initial weight'!$A$5:$A$1749,0)),"")</f>
        <v>2.181</v>
      </c>
      <c r="L138" s="195">
        <f t="shared" si="3"/>
        <v>1.8361999999999998</v>
      </c>
      <c r="M138" s="195">
        <f t="shared" si="4"/>
        <v>1.9312</v>
      </c>
      <c r="N138" s="16">
        <f>IF('Dry_Litterbag Placem_Collection'!G65="N.A","",'Dry_Litterbag Placem_Collection'!G65)</f>
        <v>43005</v>
      </c>
      <c r="O138" s="195">
        <f>IF(IFERROR(INDEX('Both teabags AfterDry'!$D$1:$D$839,MATCH(H138,'Both teabags AfterDry'!$A$1:$A$839,0)),"")="N.A","",(IFERROR(INDEX('Both teabags AfterDry'!$D$1:$D$839,MATCH(H138,'Both teabags AfterDry'!$A$1:$A$839,0)),"")))</f>
        <v>1.9326000000000001</v>
      </c>
      <c r="P138" s="195">
        <f>IF(IFERROR(INDEX('Both teabags AfterDry'!$D$1:$D$839,MATCH(I138,'Both teabags AfterDry'!$A$1:$A$839,0)),"")="N.A","",(IFERROR(INDEX('Both teabags AfterDry'!$D$1:$D$839,MATCH(I138,'Both teabags AfterDry'!$A$1:$A$839,0)),"")))</f>
        <v>1.9025000000000001</v>
      </c>
      <c r="Q138" s="195">
        <f t="shared" si="5"/>
        <v>1.782</v>
      </c>
      <c r="R138" s="195">
        <f t="shared" si="5"/>
        <v>1.7519</v>
      </c>
      <c r="S138" s="195">
        <f t="shared" si="0"/>
        <v>2.9517481755799935E-2</v>
      </c>
      <c r="T138" s="195">
        <f t="shared" si="6"/>
        <v>1.9351128181949607E-2</v>
      </c>
      <c r="U138" s="195">
        <f t="shared" si="1"/>
        <v>0.90715617232808621</v>
      </c>
      <c r="V138">
        <f t="shared" si="2"/>
        <v>67</v>
      </c>
      <c r="W138" s="195">
        <f t="shared" si="7"/>
        <v>0.96494360836603332</v>
      </c>
      <c r="X138" s="195" t="str">
        <f t="shared" si="8"/>
        <v/>
      </c>
      <c r="Y138" s="255" t="str">
        <f>IF(ISNUMBER(SEARCH("C", 'Dry_Litterbag Placem_Collection'!T65)),"YES","NO")</f>
        <v>NO</v>
      </c>
      <c r="Z138" s="255" t="str">
        <f>IF(ISNUMBER(SEARCH("H", 'Dry_Litterbag Placem_Collection'!T65)),"YES","NO")</f>
        <v>NO</v>
      </c>
      <c r="AA138" s="255" t="str">
        <f>IF(ISNUMBER(SEARCH("R", 'Dry_Litterbag Placem_Collection'!T65)),"YES","NO")</f>
        <v>NO</v>
      </c>
      <c r="AB138" s="255" t="str">
        <f>IF(ISNUMBER(SEARCH("C", 'Dry_Litterbag Placem_Collection'!S65)),"YES","NO")</f>
        <v>NO</v>
      </c>
      <c r="AC138" s="255" t="str">
        <f>IF(ISNUMBER(SEARCH("H", 'Dry_Litterbag Placem_Collection'!S65)),"YES","NO")</f>
        <v>NO</v>
      </c>
      <c r="AD138" s="255" t="str">
        <f>IF(ISNUMBER(SEARCH("R", 'Dry_Litterbag Placem_Collection'!S65)),"YES","NO")</f>
        <v>NO</v>
      </c>
    </row>
    <row r="139" spans="2:30">
      <c r="B139" t="str">
        <f>'Final data_for_R_analysis_Dryse'!A65</f>
        <v>Dry</v>
      </c>
      <c r="C139" s="263">
        <f>'Final data_for_R_analysis_Dryse'!B65</f>
        <v>64</v>
      </c>
      <c r="D139" t="s">
        <v>3835</v>
      </c>
      <c r="E139" t="s">
        <v>22</v>
      </c>
      <c r="F139" s="387">
        <v>8</v>
      </c>
      <c r="G139" s="16">
        <f>'Dry_Litterbag Placem_Collection'!E66</f>
        <v>42938</v>
      </c>
      <c r="H139" t="str">
        <f>'Final data_for_R_analysis_Dryse'!J65</f>
        <v>G347</v>
      </c>
      <c r="I139" t="str">
        <f>'Final data_for_R_analysis_Dryse'!J285</f>
        <v>R765</v>
      </c>
      <c r="J139">
        <f>IFERROR(INDEX('Green_rooibos initial weight'!$C$5:$C$1749,MATCH(H139, 'Green_rooibos initial weight'!$A$5:$A$1749,0)),"")</f>
        <v>1.8919999999999999</v>
      </c>
      <c r="K139">
        <f>IFERROR(INDEX('Green_rooibos initial weight'!$C$5:$C$1749,MATCH(I139, 'Green_rooibos initial weight'!$A$5:$A$1749,0)),"")</f>
        <v>2.2400000000000002</v>
      </c>
      <c r="L139" s="195">
        <f t="shared" si="3"/>
        <v>1.6421999999999999</v>
      </c>
      <c r="M139" s="195">
        <f t="shared" si="4"/>
        <v>1.9902000000000002</v>
      </c>
      <c r="N139" s="16">
        <f>IF('Dry_Litterbag Placem_Collection'!G66="N.A","",'Dry_Litterbag Placem_Collection'!G66)</f>
        <v>43005</v>
      </c>
      <c r="O139" s="195">
        <f>IF(IFERROR(INDEX('Both teabags AfterDry'!$D$1:$D$839,MATCH(H139,'Both teabags AfterDry'!$A$1:$A$839,0)),"")="N.A","",(IFERROR(INDEX('Both teabags AfterDry'!$D$1:$D$839,MATCH(H139,'Both teabags AfterDry'!$A$1:$A$839,0)),"")))</f>
        <v>1.6924999999999999</v>
      </c>
      <c r="P139" s="195">
        <f>IF(IFERROR(INDEX('Both teabags AfterDry'!$D$1:$D$839,MATCH(I139,'Both teabags AfterDry'!$A$1:$A$839,0)),"")="N.A","",(IFERROR(INDEX('Both teabags AfterDry'!$D$1:$D$839,MATCH(I139,'Both teabags AfterDry'!$A$1:$A$839,0)),"")))</f>
        <v>1.9783999999999999</v>
      </c>
      <c r="Q139" s="195">
        <f t="shared" si="5"/>
        <v>1.5418999999999998</v>
      </c>
      <c r="R139" s="195">
        <f t="shared" si="5"/>
        <v>1.8277999999999999</v>
      </c>
      <c r="S139" s="195">
        <f t="shared" si="0"/>
        <v>6.107660455486541E-2</v>
      </c>
      <c r="T139" s="195">
        <f t="shared" si="6"/>
        <v>4.0040719375636254E-2</v>
      </c>
      <c r="U139" s="195">
        <f t="shared" si="1"/>
        <v>0.91840016078786035</v>
      </c>
      <c r="V139">
        <f t="shared" si="2"/>
        <v>67</v>
      </c>
      <c r="W139" s="195">
        <f t="shared" si="7"/>
        <v>0.92746246489920969</v>
      </c>
      <c r="X139" s="195" t="str">
        <f t="shared" si="8"/>
        <v/>
      </c>
      <c r="Y139" s="255" t="str">
        <f>IF(ISNUMBER(SEARCH("C", 'Dry_Litterbag Placem_Collection'!T66)),"YES","NO")</f>
        <v>NO</v>
      </c>
      <c r="Z139" s="255" t="str">
        <f>IF(ISNUMBER(SEARCH("H", 'Dry_Litterbag Placem_Collection'!T66)),"YES","NO")</f>
        <v>NO</v>
      </c>
      <c r="AA139" s="255" t="str">
        <f>IF(ISNUMBER(SEARCH("R", 'Dry_Litterbag Placem_Collection'!T66)),"YES","NO")</f>
        <v>NO</v>
      </c>
      <c r="AB139" s="255" t="str">
        <f>IF(ISNUMBER(SEARCH("C", 'Dry_Litterbag Placem_Collection'!S66)),"YES","NO")</f>
        <v>NO</v>
      </c>
      <c r="AC139" s="255" t="str">
        <f>IF(ISNUMBER(SEARCH("H", 'Dry_Litterbag Placem_Collection'!S66)),"YES","NO")</f>
        <v>NO</v>
      </c>
      <c r="AD139" s="255" t="str">
        <f>IF(ISNUMBER(SEARCH("R", 'Dry_Litterbag Placem_Collection'!S66)),"YES","NO")</f>
        <v>NO</v>
      </c>
    </row>
    <row r="140" spans="2:30">
      <c r="B140" t="str">
        <f>'Final data_for_R_analysis_Dryse'!A66</f>
        <v>Dry</v>
      </c>
      <c r="C140" s="263">
        <f>'Final data_for_R_analysis_Dryse'!B66</f>
        <v>65</v>
      </c>
      <c r="D140" t="s">
        <v>3836</v>
      </c>
      <c r="E140" t="s">
        <v>22</v>
      </c>
      <c r="F140" s="386">
        <v>1</v>
      </c>
      <c r="G140" s="16">
        <f>'Dry_Litterbag Placem_Collection'!E67</f>
        <v>42937</v>
      </c>
      <c r="H140" t="str">
        <f>'Final data_for_R_analysis_Dryse'!J66</f>
        <v>G495</v>
      </c>
      <c r="I140" t="str">
        <f>'Final data_for_R_analysis_Dryse'!J286</f>
        <v>R731</v>
      </c>
      <c r="J140">
        <f>IFERROR(INDEX('Green_rooibos initial weight'!$C$5:$C$1749,MATCH(H140, 'Green_rooibos initial weight'!$A$5:$A$1749,0)),"")</f>
        <v>2.0390000000000001</v>
      </c>
      <c r="K140">
        <f>IFERROR(INDEX('Green_rooibos initial weight'!$C$5:$C$1749,MATCH(I140, 'Green_rooibos initial weight'!$A$5:$A$1749,0)),"")</f>
        <v>2.2480000000000002</v>
      </c>
      <c r="L140" s="195">
        <f t="shared" si="3"/>
        <v>1.7892000000000001</v>
      </c>
      <c r="M140" s="195">
        <f t="shared" si="4"/>
        <v>1.9982000000000002</v>
      </c>
      <c r="N140" s="16">
        <f>IF('Dry_Litterbag Placem_Collection'!G67="N.A","",'Dry_Litterbag Placem_Collection'!G67)</f>
        <v>43005</v>
      </c>
      <c r="O140" s="195" t="str">
        <f>IF(IFERROR(INDEX('Both teabags AfterDry'!$D$1:$D$839,MATCH(H140,'Both teabags AfterDry'!$A$1:$A$839,0)),"")="N.A","",(IFERROR(INDEX('Both teabags AfterDry'!$D$1:$D$839,MATCH(H140,'Both teabags AfterDry'!$A$1:$A$839,0)),"")))</f>
        <v/>
      </c>
      <c r="P140" s="195" t="str">
        <f>IF(IFERROR(INDEX('Both teabags AfterDry'!$D$1:$D$839,MATCH(I140,'Both teabags AfterDry'!$A$1:$A$839,0)),"")="N.A","",(IFERROR(INDEX('Both teabags AfterDry'!$D$1:$D$839,MATCH(I140,'Both teabags AfterDry'!$A$1:$A$839,0)),"")))</f>
        <v/>
      </c>
      <c r="Q140" s="195" t="str">
        <f t="shared" si="5"/>
        <v/>
      </c>
      <c r="R140" s="195" t="str">
        <f t="shared" si="5"/>
        <v/>
      </c>
      <c r="S140" s="195" t="str">
        <f t="shared" ref="S140:S203" si="9">IFERROR(1-Q140/L140,"")</f>
        <v/>
      </c>
      <c r="T140" s="195" t="str">
        <f t="shared" si="6"/>
        <v/>
      </c>
      <c r="U140" s="195" t="str">
        <f t="shared" ref="U140:U203" si="10">IFERROR(R140/M140,"")</f>
        <v/>
      </c>
      <c r="V140">
        <f t="shared" ref="V140:V203" si="11">IF((N140-G140)&gt;0,(IFERROR(N140-G140,"")),"")</f>
        <v>68</v>
      </c>
      <c r="W140" s="195" t="str">
        <f t="shared" si="7"/>
        <v/>
      </c>
      <c r="X140" s="195" t="str">
        <f t="shared" si="8"/>
        <v/>
      </c>
      <c r="Y140" s="255" t="str">
        <f>IF(ISNUMBER(SEARCH("C", 'Dry_Litterbag Placem_Collection'!T67)),"YES","NO")</f>
        <v>NO</v>
      </c>
      <c r="Z140" s="255" t="str">
        <f>IF(ISNUMBER(SEARCH("H", 'Dry_Litterbag Placem_Collection'!T67)),"YES","NO")</f>
        <v>NO</v>
      </c>
      <c r="AA140" s="255" t="str">
        <f>IF(ISNUMBER(SEARCH("R", 'Dry_Litterbag Placem_Collection'!T67)),"YES","NO")</f>
        <v>NO</v>
      </c>
      <c r="AB140" s="255" t="str">
        <f>IF(ISNUMBER(SEARCH("C", 'Dry_Litterbag Placem_Collection'!S67)),"YES","NO")</f>
        <v>NO</v>
      </c>
      <c r="AC140" s="255" t="str">
        <f>IF(ISNUMBER(SEARCH("H", 'Dry_Litterbag Placem_Collection'!S67)),"YES","NO")</f>
        <v>NO</v>
      </c>
      <c r="AD140" s="255" t="str">
        <f>IF(ISNUMBER(SEARCH("R", 'Dry_Litterbag Placem_Collection'!S67)),"YES","NO")</f>
        <v>NO</v>
      </c>
    </row>
    <row r="141" spans="2:30">
      <c r="B141" t="str">
        <f>'Final data_for_R_analysis_Dryse'!A67</f>
        <v>Dry</v>
      </c>
      <c r="C141" s="263">
        <f>'Final data_for_R_analysis_Dryse'!B67</f>
        <v>66</v>
      </c>
      <c r="D141" t="s">
        <v>3836</v>
      </c>
      <c r="E141" t="s">
        <v>22</v>
      </c>
      <c r="F141" s="386">
        <v>2</v>
      </c>
      <c r="G141" s="16">
        <f>'Dry_Litterbag Placem_Collection'!E68</f>
        <v>42937</v>
      </c>
      <c r="H141" t="str">
        <f>'Final data_for_R_analysis_Dryse'!J67</f>
        <v>G247</v>
      </c>
      <c r="I141" t="str">
        <f>'Final data_for_R_analysis_Dryse'!J287</f>
        <v>R816</v>
      </c>
      <c r="J141">
        <f>IFERROR(INDEX('Green_rooibos initial weight'!$C$5:$C$1749,MATCH(H141, 'Green_rooibos initial weight'!$A$5:$A$1749,0)),"")</f>
        <v>2.13</v>
      </c>
      <c r="K141">
        <f>IFERROR(INDEX('Green_rooibos initial weight'!$C$5:$C$1749,MATCH(I141, 'Green_rooibos initial weight'!$A$5:$A$1749,0)),"")</f>
        <v>2.194</v>
      </c>
      <c r="L141" s="195">
        <f t="shared" ref="L141:L204" si="12">IFERROR(IF(J141&gt;0,(J141*$F$31-($F$29+$F$30)),""),"")</f>
        <v>1.8801999999999999</v>
      </c>
      <c r="M141" s="195">
        <f t="shared" ref="M141:M204" si="13">IFERROR(IF(K141&gt;0,(K141*$F$32-($F$29+$F$30)),""),"")</f>
        <v>1.9441999999999999</v>
      </c>
      <c r="N141" s="16">
        <f>IF('Dry_Litterbag Placem_Collection'!G68="N.A","",'Dry_Litterbag Placem_Collection'!G68)</f>
        <v>43005</v>
      </c>
      <c r="O141" s="195">
        <f>IF(IFERROR(INDEX('Both teabags AfterDry'!$D$1:$D$839,MATCH(H141,'Both teabags AfterDry'!$A$1:$A$839,0)),"")="N.A","",(IFERROR(INDEX('Both teabags AfterDry'!$D$1:$D$839,MATCH(H141,'Both teabags AfterDry'!$A$1:$A$839,0)),"")))</f>
        <v>1.9853000000000001</v>
      </c>
      <c r="P141" s="195" t="str">
        <f>IF(IFERROR(INDEX('Both teabags AfterDry'!$D$1:$D$839,MATCH(I141,'Both teabags AfterDry'!$A$1:$A$839,0)),"")="N.A","",(IFERROR(INDEX('Both teabags AfterDry'!$D$1:$D$839,MATCH(I141,'Both teabags AfterDry'!$A$1:$A$839,0)),"")))</f>
        <v/>
      </c>
      <c r="Q141" s="195">
        <f t="shared" ref="Q141:R204" si="14">IFERROR(IF(O141&gt;0,O141-($F$29),""),"")</f>
        <v>1.8347</v>
      </c>
      <c r="R141" s="195" t="str">
        <f t="shared" si="14"/>
        <v/>
      </c>
      <c r="S141" s="195">
        <f t="shared" si="9"/>
        <v>2.4199553239017013E-2</v>
      </c>
      <c r="T141" s="195">
        <f t="shared" ref="T141:T204" si="15">IFERROR($F$26*(1-W141),"")</f>
        <v>1.5864790246956535E-2</v>
      </c>
      <c r="U141" s="195" t="str">
        <f t="shared" si="10"/>
        <v/>
      </c>
      <c r="V141">
        <f t="shared" si="11"/>
        <v>68</v>
      </c>
      <c r="W141" s="195">
        <f t="shared" ref="W141:W204" si="16">IFERROR(1-(S141/$F$25),"")</f>
        <v>0.97125943795841208</v>
      </c>
      <c r="X141" s="195" t="str">
        <f t="shared" ref="X141:X204" si="17">IFERROR(LN(T141/(U141-(1-T141)))/V141,"")</f>
        <v/>
      </c>
      <c r="Y141" s="255" t="str">
        <f>IF(ISNUMBER(SEARCH("C", 'Dry_Litterbag Placem_Collection'!T68)),"YES","NO")</f>
        <v>NO</v>
      </c>
      <c r="Z141" s="255" t="str">
        <f>IF(ISNUMBER(SEARCH("H", 'Dry_Litterbag Placem_Collection'!T68)),"YES","NO")</f>
        <v>NO</v>
      </c>
      <c r="AA141" s="255" t="str">
        <f>IF(ISNUMBER(SEARCH("R", 'Dry_Litterbag Placem_Collection'!T68)),"YES","NO")</f>
        <v>NO</v>
      </c>
      <c r="AB141" s="255" t="str">
        <f>IF(ISNUMBER(SEARCH("C", 'Dry_Litterbag Placem_Collection'!S68)),"YES","NO")</f>
        <v>YES</v>
      </c>
      <c r="AC141" s="255" t="str">
        <f>IF(ISNUMBER(SEARCH("H", 'Dry_Litterbag Placem_Collection'!S68)),"YES","NO")</f>
        <v>YES</v>
      </c>
      <c r="AD141" s="255" t="str">
        <f>IF(ISNUMBER(SEARCH("R", 'Dry_Litterbag Placem_Collection'!S68)),"YES","NO")</f>
        <v>NO</v>
      </c>
    </row>
    <row r="142" spans="2:30">
      <c r="B142" t="str">
        <f>'Final data_for_R_analysis_Dryse'!A68</f>
        <v>Dry</v>
      </c>
      <c r="C142" s="263">
        <f>'Final data_for_R_analysis_Dryse'!B68</f>
        <v>67</v>
      </c>
      <c r="D142" t="s">
        <v>3836</v>
      </c>
      <c r="E142" t="s">
        <v>22</v>
      </c>
      <c r="F142" s="386">
        <v>3</v>
      </c>
      <c r="G142" s="390">
        <f>'Dry_Litterbag Placem_Collection'!E69</f>
        <v>0</v>
      </c>
      <c r="H142" t="str">
        <f>'Final data_for_R_analysis_Dryse'!J68</f>
        <v/>
      </c>
      <c r="I142" t="str">
        <f>'Final data_for_R_analysis_Dryse'!J288</f>
        <v/>
      </c>
      <c r="J142" t="str">
        <f>IFERROR(INDEX('Green_rooibos initial weight'!$C$5:$C$1749,MATCH(H142, 'Green_rooibos initial weight'!$A$5:$A$1749,0)),"")</f>
        <v/>
      </c>
      <c r="K142" t="str">
        <f>IFERROR(INDEX('Green_rooibos initial weight'!$C$5:$C$1749,MATCH(I142, 'Green_rooibos initial weight'!$A$5:$A$1749,0)),"")</f>
        <v/>
      </c>
      <c r="L142" s="195" t="str">
        <f t="shared" si="12"/>
        <v/>
      </c>
      <c r="M142" s="195" t="str">
        <f t="shared" si="13"/>
        <v/>
      </c>
      <c r="N142" s="16">
        <f>IF('Dry_Litterbag Placem_Collection'!G69="N.A","",'Dry_Litterbag Placem_Collection'!G69)</f>
        <v>0</v>
      </c>
      <c r="O142" s="195" t="str">
        <f>IF(IFERROR(INDEX('Both teabags AfterDry'!$D$1:$D$839,MATCH(H142,'Both teabags AfterDry'!$A$1:$A$839,0)),"")="N.A","",(IFERROR(INDEX('Both teabags AfterDry'!$D$1:$D$839,MATCH(H142,'Both teabags AfterDry'!$A$1:$A$839,0)),"")))</f>
        <v/>
      </c>
      <c r="P142" s="195" t="str">
        <f>IF(IFERROR(INDEX('Both teabags AfterDry'!$D$1:$D$839,MATCH(I142,'Both teabags AfterDry'!$A$1:$A$839,0)),"")="N.A","",(IFERROR(INDEX('Both teabags AfterDry'!$D$1:$D$839,MATCH(I142,'Both teabags AfterDry'!$A$1:$A$839,0)),"")))</f>
        <v/>
      </c>
      <c r="Q142" s="195" t="str">
        <f t="shared" si="14"/>
        <v/>
      </c>
      <c r="R142" s="195" t="str">
        <f t="shared" si="14"/>
        <v/>
      </c>
      <c r="S142" s="195" t="str">
        <f t="shared" si="9"/>
        <v/>
      </c>
      <c r="T142" s="195" t="str">
        <f t="shared" si="15"/>
        <v/>
      </c>
      <c r="U142" s="195" t="str">
        <f t="shared" si="10"/>
        <v/>
      </c>
      <c r="V142" t="str">
        <f t="shared" si="11"/>
        <v/>
      </c>
      <c r="W142" s="195" t="str">
        <f t="shared" si="16"/>
        <v/>
      </c>
      <c r="X142" s="195" t="str">
        <f t="shared" si="17"/>
        <v/>
      </c>
      <c r="Y142" s="255" t="str">
        <f>IF(ISNUMBER(SEARCH("C", 'Dry_Litterbag Placem_Collection'!T69)),"YES","NO")</f>
        <v>NO</v>
      </c>
      <c r="Z142" s="255" t="str">
        <f>IF(ISNUMBER(SEARCH("H", 'Dry_Litterbag Placem_Collection'!T69)),"YES","NO")</f>
        <v>NO</v>
      </c>
      <c r="AA142" s="255" t="str">
        <f>IF(ISNUMBER(SEARCH("R", 'Dry_Litterbag Placem_Collection'!T69)),"YES","NO")</f>
        <v>NO</v>
      </c>
      <c r="AB142" s="255" t="str">
        <f>IF(ISNUMBER(SEARCH("C", 'Dry_Litterbag Placem_Collection'!S69)),"YES","NO")</f>
        <v>NO</v>
      </c>
      <c r="AC142" s="255" t="str">
        <f>IF(ISNUMBER(SEARCH("H", 'Dry_Litterbag Placem_Collection'!S69)),"YES","NO")</f>
        <v>NO</v>
      </c>
      <c r="AD142" s="255" t="str">
        <f>IF(ISNUMBER(SEARCH("R", 'Dry_Litterbag Placem_Collection'!S69)),"YES","NO")</f>
        <v>NO</v>
      </c>
    </row>
    <row r="143" spans="2:30">
      <c r="B143" t="str">
        <f>'Final data_for_R_analysis_Dryse'!A69</f>
        <v>Dry</v>
      </c>
      <c r="C143" s="263">
        <f>'Final data_for_R_analysis_Dryse'!B69</f>
        <v>68</v>
      </c>
      <c r="D143" t="s">
        <v>3836</v>
      </c>
      <c r="E143" t="s">
        <v>22</v>
      </c>
      <c r="F143" s="387">
        <v>4</v>
      </c>
      <c r="G143" s="16">
        <f>'Dry_Litterbag Placem_Collection'!E70</f>
        <v>42937</v>
      </c>
      <c r="H143" t="str">
        <f>'Final data_for_R_analysis_Dryse'!J69</f>
        <v>G63</v>
      </c>
      <c r="I143" t="str">
        <f>'Final data_for_R_analysis_Dryse'!J289</f>
        <v>R815</v>
      </c>
      <c r="J143">
        <f>IFERROR(INDEX('Green_rooibos initial weight'!$C$5:$C$1749,MATCH(H143, 'Green_rooibos initial weight'!$A$5:$A$1749,0)),"")</f>
        <v>2</v>
      </c>
      <c r="K143">
        <f>IFERROR(INDEX('Green_rooibos initial weight'!$C$5:$C$1749,MATCH(I143, 'Green_rooibos initial weight'!$A$5:$A$1749,0)),"")</f>
        <v>2.2130000000000001</v>
      </c>
      <c r="L143" s="195">
        <f t="shared" si="12"/>
        <v>1.7502</v>
      </c>
      <c r="M143" s="195">
        <f t="shared" si="13"/>
        <v>1.9632000000000001</v>
      </c>
      <c r="N143" s="16">
        <f>IF('Dry_Litterbag Placem_Collection'!G70="N.A","",'Dry_Litterbag Placem_Collection'!G70)</f>
        <v>43005</v>
      </c>
      <c r="O143" s="195">
        <f>IF(IFERROR(INDEX('Both teabags AfterDry'!$D$1:$D$839,MATCH(H143,'Both teabags AfterDry'!$A$1:$A$839,0)),"")="N.A","",(IFERROR(INDEX('Both teabags AfterDry'!$D$1:$D$839,MATCH(H143,'Both teabags AfterDry'!$A$1:$A$839,0)),"")))</f>
        <v>1.8152999999999999</v>
      </c>
      <c r="P143" s="195">
        <f>IF(IFERROR(INDEX('Both teabags AfterDry'!$D$1:$D$839,MATCH(I143,'Both teabags AfterDry'!$A$1:$A$839,0)),"")="N.A","",(IFERROR(INDEX('Both teabags AfterDry'!$D$1:$D$839,MATCH(I143,'Both teabags AfterDry'!$A$1:$A$839,0)),"")))</f>
        <v>1.9467000000000001</v>
      </c>
      <c r="Q143" s="195">
        <f t="shared" si="14"/>
        <v>1.6646999999999998</v>
      </c>
      <c r="R143" s="195">
        <f t="shared" si="14"/>
        <v>1.7961</v>
      </c>
      <c r="S143" s="195">
        <f t="shared" si="9"/>
        <v>4.8851559821734725E-2</v>
      </c>
      <c r="T143" s="195">
        <f t="shared" si="15"/>
        <v>3.2026200738239405E-2</v>
      </c>
      <c r="U143" s="195">
        <f t="shared" si="10"/>
        <v>0.91488386308068459</v>
      </c>
      <c r="V143">
        <f t="shared" si="11"/>
        <v>68</v>
      </c>
      <c r="W143" s="195">
        <f t="shared" si="16"/>
        <v>0.94198152040174021</v>
      </c>
      <c r="X143" s="195" t="str">
        <f t="shared" si="17"/>
        <v/>
      </c>
      <c r="Y143" s="255" t="str">
        <f>IF(ISNUMBER(SEARCH("C", 'Dry_Litterbag Placem_Collection'!T70)),"YES","NO")</f>
        <v>NO</v>
      </c>
      <c r="Z143" s="255" t="str">
        <f>IF(ISNUMBER(SEARCH("H", 'Dry_Litterbag Placem_Collection'!T70)),"YES","NO")</f>
        <v>NO</v>
      </c>
      <c r="AA143" s="255" t="str">
        <f>IF(ISNUMBER(SEARCH("R", 'Dry_Litterbag Placem_Collection'!T70)),"YES","NO")</f>
        <v>NO</v>
      </c>
      <c r="AB143" s="255" t="str">
        <f>IF(ISNUMBER(SEARCH("C", 'Dry_Litterbag Placem_Collection'!S70)),"YES","NO")</f>
        <v>NO</v>
      </c>
      <c r="AC143" s="255" t="str">
        <f>IF(ISNUMBER(SEARCH("H", 'Dry_Litterbag Placem_Collection'!S70)),"YES","NO")</f>
        <v>NO</v>
      </c>
      <c r="AD143" s="255" t="str">
        <f>IF(ISNUMBER(SEARCH("R", 'Dry_Litterbag Placem_Collection'!S70)),"YES","NO")</f>
        <v>NO</v>
      </c>
    </row>
    <row r="144" spans="2:30">
      <c r="B144" t="str">
        <f>'Final data_for_R_analysis_Dryse'!A70</f>
        <v>Dry</v>
      </c>
      <c r="C144" s="263">
        <f>'Final data_for_R_analysis_Dryse'!B70</f>
        <v>69</v>
      </c>
      <c r="D144" t="s">
        <v>3836</v>
      </c>
      <c r="E144" t="s">
        <v>22</v>
      </c>
      <c r="F144" s="387">
        <v>5</v>
      </c>
      <c r="G144" s="16">
        <f>'Dry_Litterbag Placem_Collection'!E71</f>
        <v>42937</v>
      </c>
      <c r="H144" t="str">
        <f>'Final data_for_R_analysis_Dryse'!J70</f>
        <v>G382</v>
      </c>
      <c r="I144" t="str">
        <f>'Final data_for_R_analysis_Dryse'!J290</f>
        <v>R741</v>
      </c>
      <c r="J144">
        <f>IFERROR(INDEX('Green_rooibos initial weight'!$C$5:$C$1749,MATCH(H144, 'Green_rooibos initial weight'!$A$5:$A$1749,0)),"")</f>
        <v>2.0960000000000001</v>
      </c>
      <c r="K144">
        <f>IFERROR(INDEX('Green_rooibos initial weight'!$C$5:$C$1749,MATCH(I144, 'Green_rooibos initial weight'!$A$5:$A$1749,0)),"")</f>
        <v>2.262</v>
      </c>
      <c r="L144" s="195">
        <f t="shared" si="12"/>
        <v>1.8462000000000001</v>
      </c>
      <c r="M144" s="195">
        <f t="shared" si="13"/>
        <v>2.0122</v>
      </c>
      <c r="N144" s="16">
        <f>IF('Dry_Litterbag Placem_Collection'!G71="N.A","",'Dry_Litterbag Placem_Collection'!G71)</f>
        <v>43006</v>
      </c>
      <c r="O144" s="195">
        <f>IF(IFERROR(INDEX('Both teabags AfterDry'!$D$1:$D$839,MATCH(H144,'Both teabags AfterDry'!$A$1:$A$839,0)),"")="N.A","",(IFERROR(INDEX('Both teabags AfterDry'!$D$1:$D$839,MATCH(H144,'Both teabags AfterDry'!$A$1:$A$839,0)),"")))</f>
        <v>1.8677999999999999</v>
      </c>
      <c r="P144" s="195">
        <f>IF(IFERROR(INDEX('Both teabags AfterDry'!$D$1:$D$839,MATCH(I144,'Both teabags AfterDry'!$A$1:$A$839,0)),"")="N.A","",(IFERROR(INDEX('Both teabags AfterDry'!$D$1:$D$839,MATCH(I144,'Both teabags AfterDry'!$A$1:$A$839,0)),"")))</f>
        <v>1.9702999999999999</v>
      </c>
      <c r="Q144" s="195">
        <f t="shared" si="14"/>
        <v>1.7171999999999998</v>
      </c>
      <c r="R144" s="195">
        <f t="shared" si="14"/>
        <v>1.8196999999999999</v>
      </c>
      <c r="S144" s="195">
        <f t="shared" si="9"/>
        <v>6.9873253168670879E-2</v>
      </c>
      <c r="T144" s="195">
        <f t="shared" si="15"/>
        <v>4.5807643407489697E-2</v>
      </c>
      <c r="U144" s="195">
        <f t="shared" si="10"/>
        <v>0.90433356525196296</v>
      </c>
      <c r="V144">
        <f t="shared" si="11"/>
        <v>69</v>
      </c>
      <c r="W144" s="195">
        <f t="shared" si="16"/>
        <v>0.91701513875454765</v>
      </c>
      <c r="X144" s="195" t="str">
        <f t="shared" si="17"/>
        <v/>
      </c>
      <c r="Y144" s="255" t="str">
        <f>IF(ISNUMBER(SEARCH("C", 'Dry_Litterbag Placem_Collection'!T71)),"YES","NO")</f>
        <v>YES</v>
      </c>
      <c r="Z144" s="255" t="str">
        <f>IF(ISNUMBER(SEARCH("H", 'Dry_Litterbag Placem_Collection'!T71)),"YES","NO")</f>
        <v>NO</v>
      </c>
      <c r="AA144" s="255" t="str">
        <f>IF(ISNUMBER(SEARCH("R", 'Dry_Litterbag Placem_Collection'!T71)),"YES","NO")</f>
        <v>NO</v>
      </c>
      <c r="AB144" s="255" t="str">
        <f>IF(ISNUMBER(SEARCH("C", 'Dry_Litterbag Placem_Collection'!S71)),"YES","NO")</f>
        <v>NO</v>
      </c>
      <c r="AC144" s="255" t="str">
        <f>IF(ISNUMBER(SEARCH("H", 'Dry_Litterbag Placem_Collection'!S71)),"YES","NO")</f>
        <v>NO</v>
      </c>
      <c r="AD144" s="255" t="str">
        <f>IF(ISNUMBER(SEARCH("R", 'Dry_Litterbag Placem_Collection'!S71)),"YES","NO")</f>
        <v>NO</v>
      </c>
    </row>
    <row r="145" spans="2:30">
      <c r="B145" t="str">
        <f>'Final data_for_R_analysis_Dryse'!A71</f>
        <v>Dry</v>
      </c>
      <c r="C145" s="263">
        <f>'Final data_for_R_analysis_Dryse'!B71</f>
        <v>70</v>
      </c>
      <c r="D145" t="s">
        <v>3836</v>
      </c>
      <c r="E145" t="s">
        <v>22</v>
      </c>
      <c r="F145" s="387">
        <v>6</v>
      </c>
      <c r="G145" s="16">
        <f>'Dry_Litterbag Placem_Collection'!E72</f>
        <v>42937</v>
      </c>
      <c r="H145" t="str">
        <f>'Final data_for_R_analysis_Dryse'!J71</f>
        <v>G278</v>
      </c>
      <c r="I145" t="str">
        <f>'Final data_for_R_analysis_Dryse'!J291</f>
        <v>R294</v>
      </c>
      <c r="J145">
        <f>IFERROR(INDEX('Green_rooibos initial weight'!$C$5:$C$1749,MATCH(H145, 'Green_rooibos initial weight'!$A$5:$A$1749,0)),"")</f>
        <v>2.0049999999999999</v>
      </c>
      <c r="K145">
        <f>IFERROR(INDEX('Green_rooibos initial weight'!$C$5:$C$1749,MATCH(I145, 'Green_rooibos initial weight'!$A$5:$A$1749,0)),"")</f>
        <v>2.226</v>
      </c>
      <c r="L145" s="195">
        <f t="shared" si="12"/>
        <v>1.7551999999999999</v>
      </c>
      <c r="M145" s="195">
        <f t="shared" si="13"/>
        <v>1.9762</v>
      </c>
      <c r="N145" s="16">
        <f>IF('Dry_Litterbag Placem_Collection'!G72="N.A","",'Dry_Litterbag Placem_Collection'!G72)</f>
        <v>43006</v>
      </c>
      <c r="O145" s="195">
        <f>IF(IFERROR(INDEX('Both teabags AfterDry'!$D$1:$D$839,MATCH(H145,'Both teabags AfterDry'!$A$1:$A$839,0)),"")="N.A","",(IFERROR(INDEX('Both teabags AfterDry'!$D$1:$D$839,MATCH(H145,'Both teabags AfterDry'!$A$1:$A$839,0)),"")))</f>
        <v>1.8243</v>
      </c>
      <c r="P145" s="195">
        <f>IF(IFERROR(INDEX('Both teabags AfterDry'!$D$1:$D$839,MATCH(I145,'Both teabags AfterDry'!$A$1:$A$839,0)),"")="N.A","",(IFERROR(INDEX('Both teabags AfterDry'!$D$1:$D$839,MATCH(I145,'Both teabags AfterDry'!$A$1:$A$839,0)),"")))</f>
        <v>0.51</v>
      </c>
      <c r="Q145" s="195">
        <f t="shared" si="14"/>
        <v>1.6737</v>
      </c>
      <c r="R145" s="195">
        <f t="shared" si="14"/>
        <v>0.3594</v>
      </c>
      <c r="S145" s="195">
        <f t="shared" si="9"/>
        <v>4.6433454876937064E-2</v>
      </c>
      <c r="T145" s="195">
        <f t="shared" si="15"/>
        <v>3.0440934788680849E-2</v>
      </c>
      <c r="U145" s="195">
        <f t="shared" si="10"/>
        <v>0.18186418378706609</v>
      </c>
      <c r="V145">
        <f t="shared" si="11"/>
        <v>69</v>
      </c>
      <c r="W145" s="195">
        <f t="shared" si="16"/>
        <v>0.94485337900601296</v>
      </c>
      <c r="X145" s="195" t="str">
        <f t="shared" si="17"/>
        <v/>
      </c>
      <c r="Y145" s="255" t="str">
        <f>IF(ISNUMBER(SEARCH("C", 'Dry_Litterbag Placem_Collection'!T72)),"YES","NO")</f>
        <v>YES</v>
      </c>
      <c r="Z145" s="255" t="str">
        <f>IF(ISNUMBER(SEARCH("H", 'Dry_Litterbag Placem_Collection'!T72)),"YES","NO")</f>
        <v>YES</v>
      </c>
      <c r="AA145" s="255" t="str">
        <f>IF(ISNUMBER(SEARCH("R", 'Dry_Litterbag Placem_Collection'!T72)),"YES","NO")</f>
        <v>NO</v>
      </c>
      <c r="AB145" s="255" t="str">
        <f>IF(ISNUMBER(SEARCH("C", 'Dry_Litterbag Placem_Collection'!S72)),"YES","NO")</f>
        <v>NO</v>
      </c>
      <c r="AC145" s="255" t="str">
        <f>IF(ISNUMBER(SEARCH("H", 'Dry_Litterbag Placem_Collection'!S72)),"YES","NO")</f>
        <v>NO</v>
      </c>
      <c r="AD145" s="255" t="str">
        <f>IF(ISNUMBER(SEARCH("R", 'Dry_Litterbag Placem_Collection'!S72)),"YES","NO")</f>
        <v>NO</v>
      </c>
    </row>
    <row r="146" spans="2:30">
      <c r="B146" t="str">
        <f>'Final data_for_R_analysis_Dryse'!A72</f>
        <v>Dry</v>
      </c>
      <c r="C146" s="263">
        <f>'Final data_for_R_analysis_Dryse'!B72</f>
        <v>71</v>
      </c>
      <c r="D146" t="s">
        <v>3836</v>
      </c>
      <c r="E146" t="s">
        <v>22</v>
      </c>
      <c r="F146" s="387">
        <v>7</v>
      </c>
      <c r="G146" s="16">
        <f>'Dry_Litterbag Placem_Collection'!E73</f>
        <v>42937</v>
      </c>
      <c r="H146" t="str">
        <f>'Final data_for_R_analysis_Dryse'!J72</f>
        <v>G138</v>
      </c>
      <c r="I146" t="str">
        <f>'Final data_for_R_analysis_Dryse'!J292</f>
        <v>R761</v>
      </c>
      <c r="J146">
        <f>IFERROR(INDEX('Green_rooibos initial weight'!$C$5:$C$1749,MATCH(H146, 'Green_rooibos initial weight'!$A$5:$A$1749,0)),"")</f>
        <v>1.956</v>
      </c>
      <c r="K146">
        <f>IFERROR(INDEX('Green_rooibos initial weight'!$C$5:$C$1749,MATCH(I146, 'Green_rooibos initial weight'!$A$5:$A$1749,0)),"")</f>
        <v>2.1509999999999998</v>
      </c>
      <c r="L146" s="195">
        <f t="shared" si="12"/>
        <v>1.7061999999999999</v>
      </c>
      <c r="M146" s="195">
        <f t="shared" si="13"/>
        <v>1.9011999999999998</v>
      </c>
      <c r="N146" s="16">
        <f>IF('Dry_Litterbag Placem_Collection'!G73="N.A","",'Dry_Litterbag Placem_Collection'!G73)</f>
        <v>43006</v>
      </c>
      <c r="O146" s="195">
        <f>IF(IFERROR(INDEX('Both teabags AfterDry'!$D$1:$D$839,MATCH(H146,'Both teabags AfterDry'!$A$1:$A$839,0)),"")="N.A","",(IFERROR(INDEX('Both teabags AfterDry'!$D$1:$D$839,MATCH(H146,'Both teabags AfterDry'!$A$1:$A$839,0)),"")))</f>
        <v>1.782</v>
      </c>
      <c r="P146" s="195">
        <f>IF(IFERROR(INDEX('Both teabags AfterDry'!$D$1:$D$839,MATCH(I146,'Both teabags AfterDry'!$A$1:$A$839,0)),"")="N.A","",(IFERROR(INDEX('Both teabags AfterDry'!$D$1:$D$839,MATCH(I146,'Both teabags AfterDry'!$A$1:$A$839,0)),"")))</f>
        <v>1.9017999999999999</v>
      </c>
      <c r="Q146" s="195">
        <f t="shared" si="14"/>
        <v>1.6314</v>
      </c>
      <c r="R146" s="195">
        <f t="shared" si="14"/>
        <v>1.7511999999999999</v>
      </c>
      <c r="S146" s="195">
        <f t="shared" si="9"/>
        <v>4.3840112530770137E-2</v>
      </c>
      <c r="T146" s="195">
        <f t="shared" si="15"/>
        <v>2.8740786362215082E-2</v>
      </c>
      <c r="U146" s="195">
        <f t="shared" si="10"/>
        <v>0.92110246160319798</v>
      </c>
      <c r="V146">
        <f t="shared" si="11"/>
        <v>69</v>
      </c>
      <c r="W146" s="195">
        <f t="shared" si="16"/>
        <v>0.94793335803946543</v>
      </c>
      <c r="X146" s="195" t="str">
        <f t="shared" si="17"/>
        <v/>
      </c>
      <c r="Y146" s="255" t="str">
        <f>IF(ISNUMBER(SEARCH("C", 'Dry_Litterbag Placem_Collection'!T73)),"YES","NO")</f>
        <v>NO</v>
      </c>
      <c r="Z146" s="255" t="str">
        <f>IF(ISNUMBER(SEARCH("H", 'Dry_Litterbag Placem_Collection'!T73)),"YES","NO")</f>
        <v>NO</v>
      </c>
      <c r="AA146" s="255" t="str">
        <f>IF(ISNUMBER(SEARCH("R", 'Dry_Litterbag Placem_Collection'!T73)),"YES","NO")</f>
        <v>NO</v>
      </c>
      <c r="AB146" s="255" t="str">
        <f>IF(ISNUMBER(SEARCH("C", 'Dry_Litterbag Placem_Collection'!S73)),"YES","NO")</f>
        <v>NO</v>
      </c>
      <c r="AC146" s="255" t="str">
        <f>IF(ISNUMBER(SEARCH("H", 'Dry_Litterbag Placem_Collection'!S73)),"YES","NO")</f>
        <v>NO</v>
      </c>
      <c r="AD146" s="255" t="str">
        <f>IF(ISNUMBER(SEARCH("R", 'Dry_Litterbag Placem_Collection'!S73)),"YES","NO")</f>
        <v>NO</v>
      </c>
    </row>
    <row r="147" spans="2:30">
      <c r="B147" t="str">
        <f>'Final data_for_R_analysis_Dryse'!A73</f>
        <v>Dry</v>
      </c>
      <c r="C147" s="263">
        <f>'Final data_for_R_analysis_Dryse'!B73</f>
        <v>72</v>
      </c>
      <c r="D147" t="s">
        <v>3836</v>
      </c>
      <c r="E147" t="s">
        <v>22</v>
      </c>
      <c r="F147" s="387">
        <v>8</v>
      </c>
      <c r="G147" s="16">
        <f>'Dry_Litterbag Placem_Collection'!E74</f>
        <v>42937</v>
      </c>
      <c r="H147" t="str">
        <f>'Final data_for_R_analysis_Dryse'!J73</f>
        <v>G431</v>
      </c>
      <c r="I147" t="str">
        <f>'Final data_for_R_analysis_Dryse'!J293</f>
        <v>R780</v>
      </c>
      <c r="J147">
        <f>IFERROR(INDEX('Green_rooibos initial weight'!$C$5:$C$1749,MATCH(H147, 'Green_rooibos initial weight'!$A$5:$A$1749,0)),"")</f>
        <v>2.08</v>
      </c>
      <c r="K147">
        <f>IFERROR(INDEX('Green_rooibos initial weight'!$C$5:$C$1749,MATCH(I147, 'Green_rooibos initial weight'!$A$5:$A$1749,0)),"")</f>
        <v>2.19</v>
      </c>
      <c r="L147" s="195">
        <f t="shared" si="12"/>
        <v>1.8302</v>
      </c>
      <c r="M147" s="195">
        <f t="shared" si="13"/>
        <v>1.9401999999999999</v>
      </c>
      <c r="N147" s="16">
        <f>IF('Dry_Litterbag Placem_Collection'!G74="N.A","",'Dry_Litterbag Placem_Collection'!G74)</f>
        <v>43006</v>
      </c>
      <c r="O147" s="195">
        <f>IF(IFERROR(INDEX('Both teabags AfterDry'!$D$1:$D$839,MATCH(H147,'Both teabags AfterDry'!$A$1:$A$839,0)),"")="N.A","",(IFERROR(INDEX('Both teabags AfterDry'!$D$1:$D$839,MATCH(H147,'Both teabags AfterDry'!$A$1:$A$839,0)),"")))</f>
        <v>1.8758999999999999</v>
      </c>
      <c r="P147" s="195">
        <f>IF(IFERROR(INDEX('Both teabags AfterDry'!$D$1:$D$839,MATCH(I147,'Both teabags AfterDry'!$A$1:$A$839,0)),"")="N.A","",(IFERROR(INDEX('Both teabags AfterDry'!$D$1:$D$839,MATCH(I147,'Both teabags AfterDry'!$A$1:$A$839,0)),"")))</f>
        <v>1.9477</v>
      </c>
      <c r="Q147" s="195">
        <f t="shared" si="14"/>
        <v>1.7252999999999998</v>
      </c>
      <c r="R147" s="195">
        <f t="shared" si="14"/>
        <v>1.7970999999999999</v>
      </c>
      <c r="S147" s="195">
        <f t="shared" si="9"/>
        <v>5.7316140312534292E-2</v>
      </c>
      <c r="T147" s="195">
        <f t="shared" si="15"/>
        <v>3.7575426903229119E-2</v>
      </c>
      <c r="U147" s="195">
        <f t="shared" si="10"/>
        <v>0.92624471703948041</v>
      </c>
      <c r="V147">
        <f t="shared" si="11"/>
        <v>69</v>
      </c>
      <c r="W147" s="195">
        <f t="shared" si="16"/>
        <v>0.9319285744506719</v>
      </c>
      <c r="X147" s="195" t="str">
        <f t="shared" si="17"/>
        <v/>
      </c>
      <c r="Y147" s="255" t="str">
        <f>IF(ISNUMBER(SEARCH("C", 'Dry_Litterbag Placem_Collection'!T74)),"YES","NO")</f>
        <v>NO</v>
      </c>
      <c r="Z147" s="255" t="str">
        <f>IF(ISNUMBER(SEARCH("H", 'Dry_Litterbag Placem_Collection'!T74)),"YES","NO")</f>
        <v>NO</v>
      </c>
      <c r="AA147" s="255" t="str">
        <f>IF(ISNUMBER(SEARCH("R", 'Dry_Litterbag Placem_Collection'!T74)),"YES","NO")</f>
        <v>NO</v>
      </c>
      <c r="AB147" s="255" t="str">
        <f>IF(ISNUMBER(SEARCH("C", 'Dry_Litterbag Placem_Collection'!S74)),"YES","NO")</f>
        <v>NO</v>
      </c>
      <c r="AC147" s="255" t="str">
        <f>IF(ISNUMBER(SEARCH("H", 'Dry_Litterbag Placem_Collection'!S74)),"YES","NO")</f>
        <v>NO</v>
      </c>
      <c r="AD147" s="255" t="str">
        <f>IF(ISNUMBER(SEARCH("R", 'Dry_Litterbag Placem_Collection'!S74)),"YES","NO")</f>
        <v>NO</v>
      </c>
    </row>
    <row r="148" spans="2:30">
      <c r="B148" t="str">
        <f>'Final data_for_R_analysis_Dryse'!A74</f>
        <v>Dry</v>
      </c>
      <c r="C148" s="263">
        <f>'Final data_for_R_analysis_Dryse'!B74</f>
        <v>73</v>
      </c>
      <c r="D148" t="s">
        <v>3838</v>
      </c>
      <c r="E148" t="s">
        <v>22</v>
      </c>
      <c r="F148" s="386">
        <v>1</v>
      </c>
      <c r="G148" s="16">
        <f>'Dry_Litterbag Placem_Collection'!E75</f>
        <v>42937</v>
      </c>
      <c r="H148" t="str">
        <f>'Final data_for_R_analysis_Dryse'!J74</f>
        <v>G321</v>
      </c>
      <c r="I148" t="str">
        <f>'Final data_for_R_analysis_Dryse'!J294</f>
        <v>R730</v>
      </c>
      <c r="J148">
        <f>IFERROR(INDEX('Green_rooibos initial weight'!$C$5:$C$1749,MATCH(H148, 'Green_rooibos initial weight'!$A$5:$A$1749,0)),"")</f>
        <v>1.9179999999999999</v>
      </c>
      <c r="K148">
        <f>IFERROR(INDEX('Green_rooibos initial weight'!$C$5:$C$1749,MATCH(I148, 'Green_rooibos initial weight'!$A$5:$A$1749,0)),"")</f>
        <v>2.1509999999999998</v>
      </c>
      <c r="L148" s="195">
        <f t="shared" si="12"/>
        <v>1.6681999999999999</v>
      </c>
      <c r="M148" s="195">
        <f t="shared" si="13"/>
        <v>1.9011999999999998</v>
      </c>
      <c r="N148" s="16">
        <f>IF('Dry_Litterbag Placem_Collection'!G75="N.A","",'Dry_Litterbag Placem_Collection'!G75)</f>
        <v>43006</v>
      </c>
      <c r="O148" s="195" t="str">
        <f>IF(IFERROR(INDEX('Both teabags AfterDry'!$D$1:$D$839,MATCH(H148,'Both teabags AfterDry'!$A$1:$A$839,0)),"")="N.A","",(IFERROR(INDEX('Both teabags AfterDry'!$D$1:$D$839,MATCH(H148,'Both teabags AfterDry'!$A$1:$A$839,0)),"")))</f>
        <v/>
      </c>
      <c r="P148" s="195" t="str">
        <f>IF(IFERROR(INDEX('Both teabags AfterDry'!$D$1:$D$839,MATCH(I148,'Both teabags AfterDry'!$A$1:$A$839,0)),"")="N.A","",(IFERROR(INDEX('Both teabags AfterDry'!$D$1:$D$839,MATCH(I148,'Both teabags AfterDry'!$A$1:$A$839,0)),"")))</f>
        <v/>
      </c>
      <c r="Q148" s="195" t="str">
        <f t="shared" si="14"/>
        <v/>
      </c>
      <c r="R148" s="195" t="str">
        <f t="shared" si="14"/>
        <v/>
      </c>
      <c r="S148" s="195" t="str">
        <f t="shared" si="9"/>
        <v/>
      </c>
      <c r="T148" s="195" t="str">
        <f t="shared" si="15"/>
        <v/>
      </c>
      <c r="U148" s="195" t="str">
        <f t="shared" si="10"/>
        <v/>
      </c>
      <c r="V148">
        <f t="shared" si="11"/>
        <v>69</v>
      </c>
      <c r="W148" s="195" t="str">
        <f t="shared" si="16"/>
        <v/>
      </c>
      <c r="X148" s="195" t="str">
        <f t="shared" si="17"/>
        <v/>
      </c>
      <c r="Y148" s="255" t="str">
        <f>IF(ISNUMBER(SEARCH("C", 'Dry_Litterbag Placem_Collection'!T75)),"YES","NO")</f>
        <v>NO</v>
      </c>
      <c r="Z148" s="255" t="str">
        <f>IF(ISNUMBER(SEARCH("H", 'Dry_Litterbag Placem_Collection'!T75)),"YES","NO")</f>
        <v>NO</v>
      </c>
      <c r="AA148" s="255" t="str">
        <f>IF(ISNUMBER(SEARCH("R", 'Dry_Litterbag Placem_Collection'!T75)),"YES","NO")</f>
        <v>NO</v>
      </c>
      <c r="AB148" s="255" t="str">
        <f>IF(ISNUMBER(SEARCH("C", 'Dry_Litterbag Placem_Collection'!S75)),"YES","NO")</f>
        <v>NO</v>
      </c>
      <c r="AC148" s="255" t="str">
        <f>IF(ISNUMBER(SEARCH("H", 'Dry_Litterbag Placem_Collection'!S75)),"YES","NO")</f>
        <v>NO</v>
      </c>
      <c r="AD148" s="255" t="str">
        <f>IF(ISNUMBER(SEARCH("R", 'Dry_Litterbag Placem_Collection'!S75)),"YES","NO")</f>
        <v>NO</v>
      </c>
    </row>
    <row r="149" spans="2:30">
      <c r="B149" t="str">
        <f>'Final data_for_R_analysis_Dryse'!A75</f>
        <v>Dry</v>
      </c>
      <c r="C149" s="263">
        <f>'Final data_for_R_analysis_Dryse'!B75</f>
        <v>74</v>
      </c>
      <c r="D149" t="s">
        <v>3838</v>
      </c>
      <c r="E149" t="s">
        <v>22</v>
      </c>
      <c r="F149" s="386">
        <v>2</v>
      </c>
      <c r="G149" s="16">
        <f>'Dry_Litterbag Placem_Collection'!E76</f>
        <v>42937</v>
      </c>
      <c r="H149" t="str">
        <f>'Final data_for_R_analysis_Dryse'!J75</f>
        <v>G329</v>
      </c>
      <c r="I149" t="str">
        <f>'Final data_for_R_analysis_Dryse'!J295</f>
        <v>R825</v>
      </c>
      <c r="J149">
        <f>IFERROR(INDEX('Green_rooibos initial weight'!$C$5:$C$1749,MATCH(H149, 'Green_rooibos initial weight'!$A$5:$A$1749,0)),"")</f>
        <v>1.9550000000000001</v>
      </c>
      <c r="K149">
        <f>IFERROR(INDEX('Green_rooibos initial weight'!$C$5:$C$1749,MATCH(I149, 'Green_rooibos initial weight'!$A$5:$A$1749,0)),"")</f>
        <v>2.1419999999999999</v>
      </c>
      <c r="L149" s="195">
        <f t="shared" si="12"/>
        <v>1.7052</v>
      </c>
      <c r="M149" s="195">
        <f t="shared" si="13"/>
        <v>1.8921999999999999</v>
      </c>
      <c r="N149" s="16">
        <f>IF('Dry_Litterbag Placem_Collection'!G76="N.A","",'Dry_Litterbag Placem_Collection'!G76)</f>
        <v>43006</v>
      </c>
      <c r="O149" s="195">
        <f>IF(IFERROR(INDEX('Both teabags AfterDry'!$D$1:$D$839,MATCH(H149,'Both teabags AfterDry'!$A$1:$A$839,0)),"")="N.A","",(IFERROR(INDEX('Both teabags AfterDry'!$D$1:$D$839,MATCH(H149,'Both teabags AfterDry'!$A$1:$A$839,0)),"")))</f>
        <v>1.7850999999999999</v>
      </c>
      <c r="P149" s="195">
        <f>IF(IFERROR(INDEX('Both teabags AfterDry'!$D$1:$D$839,MATCH(I149,'Both teabags AfterDry'!$A$1:$A$839,0)),"")="N.A","",(IFERROR(INDEX('Both teabags AfterDry'!$D$1:$D$839,MATCH(I149,'Both teabags AfterDry'!$A$1:$A$839,0)),"")))</f>
        <v>1.8925000000000001</v>
      </c>
      <c r="Q149" s="195">
        <f t="shared" si="14"/>
        <v>1.6344999999999998</v>
      </c>
      <c r="R149" s="195">
        <f t="shared" si="14"/>
        <v>1.7419</v>
      </c>
      <c r="S149" s="195">
        <f t="shared" si="9"/>
        <v>4.1461412151067467E-2</v>
      </c>
      <c r="T149" s="195">
        <f t="shared" si="15"/>
        <v>2.718135333419153E-2</v>
      </c>
      <c r="U149" s="195">
        <f t="shared" si="10"/>
        <v>0.92056865024838819</v>
      </c>
      <c r="V149">
        <f t="shared" si="11"/>
        <v>69</v>
      </c>
      <c r="W149" s="195">
        <f t="shared" si="16"/>
        <v>0.95075841787284143</v>
      </c>
      <c r="X149" s="195" t="str">
        <f t="shared" si="17"/>
        <v/>
      </c>
      <c r="Y149" s="255" t="str">
        <f>IF(ISNUMBER(SEARCH("C", 'Dry_Litterbag Placem_Collection'!T76)),"YES","NO")</f>
        <v>NO</v>
      </c>
      <c r="Z149" s="255" t="str">
        <f>IF(ISNUMBER(SEARCH("H", 'Dry_Litterbag Placem_Collection'!T76)),"YES","NO")</f>
        <v>NO</v>
      </c>
      <c r="AA149" s="255" t="str">
        <f>IF(ISNUMBER(SEARCH("R", 'Dry_Litterbag Placem_Collection'!T76)),"YES","NO")</f>
        <v>NO</v>
      </c>
      <c r="AB149" s="255" t="str">
        <f>IF(ISNUMBER(SEARCH("C", 'Dry_Litterbag Placem_Collection'!S76)),"YES","NO")</f>
        <v>NO</v>
      </c>
      <c r="AC149" s="255" t="str">
        <f>IF(ISNUMBER(SEARCH("H", 'Dry_Litterbag Placem_Collection'!S76)),"YES","NO")</f>
        <v>NO</v>
      </c>
      <c r="AD149" s="255" t="str">
        <f>IF(ISNUMBER(SEARCH("R", 'Dry_Litterbag Placem_Collection'!S76)),"YES","NO")</f>
        <v>NO</v>
      </c>
    </row>
    <row r="150" spans="2:30">
      <c r="B150" t="str">
        <f>'Final data_for_R_analysis_Dryse'!A76</f>
        <v>Dry</v>
      </c>
      <c r="C150" s="263">
        <f>'Final data_for_R_analysis_Dryse'!B76</f>
        <v>75</v>
      </c>
      <c r="D150" t="s">
        <v>3838</v>
      </c>
      <c r="E150" t="s">
        <v>22</v>
      </c>
      <c r="F150" s="386">
        <v>3</v>
      </c>
      <c r="G150" s="16">
        <f>'Dry_Litterbag Placem_Collection'!E77</f>
        <v>42937</v>
      </c>
      <c r="H150" t="str">
        <f>'Final data_for_R_analysis_Dryse'!J76</f>
        <v>G215</v>
      </c>
      <c r="I150" t="str">
        <f>'Final data_for_R_analysis_Dryse'!J296</f>
        <v>R840</v>
      </c>
      <c r="J150">
        <f>IFERROR(INDEX('Green_rooibos initial weight'!$C$5:$C$1749,MATCH(H150, 'Green_rooibos initial weight'!$A$5:$A$1749,0)),"")</f>
        <v>2.0579999999999998</v>
      </c>
      <c r="K150">
        <f>IFERROR(INDEX('Green_rooibos initial weight'!$C$5:$C$1749,MATCH(I150, 'Green_rooibos initial weight'!$A$5:$A$1749,0)),"")</f>
        <v>2.3010000000000002</v>
      </c>
      <c r="L150" s="195">
        <f t="shared" si="12"/>
        <v>1.8081999999999998</v>
      </c>
      <c r="M150" s="195">
        <f t="shared" si="13"/>
        <v>2.0512000000000001</v>
      </c>
      <c r="N150" s="16">
        <f>IF('Dry_Litterbag Placem_Collection'!G77="N.A","",'Dry_Litterbag Placem_Collection'!G77)</f>
        <v>43006</v>
      </c>
      <c r="O150" s="195">
        <f>IF(IFERROR(INDEX('Both teabags AfterDry'!$D$1:$D$839,MATCH(H150,'Both teabags AfterDry'!$A$1:$A$839,0)),"")="N.A","",(IFERROR(INDEX('Both teabags AfterDry'!$D$1:$D$839,MATCH(H150,'Both teabags AfterDry'!$A$1:$A$839,0)),"")))</f>
        <v>1.9146000000000001</v>
      </c>
      <c r="P150" s="195">
        <f>IF(IFERROR(INDEX('Both teabags AfterDry'!$D$1:$D$839,MATCH(I150,'Both teabags AfterDry'!$A$1:$A$839,0)),"")="N.A","",(IFERROR(INDEX('Both teabags AfterDry'!$D$1:$D$839,MATCH(I150,'Both teabags AfterDry'!$A$1:$A$839,0)),"")))</f>
        <v>2.0405000000000002</v>
      </c>
      <c r="Q150" s="195">
        <f t="shared" si="14"/>
        <v>1.764</v>
      </c>
      <c r="R150" s="195">
        <f t="shared" si="14"/>
        <v>1.8899000000000001</v>
      </c>
      <c r="S150" s="195">
        <f t="shared" si="9"/>
        <v>2.4444198650591664E-2</v>
      </c>
      <c r="T150" s="195">
        <f t="shared" si="15"/>
        <v>1.602517536238315E-2</v>
      </c>
      <c r="U150" s="195">
        <f t="shared" si="10"/>
        <v>0.92136310452418102</v>
      </c>
      <c r="V150">
        <f t="shared" si="11"/>
        <v>69</v>
      </c>
      <c r="W150" s="195">
        <f t="shared" si="16"/>
        <v>0.97096888521307401</v>
      </c>
      <c r="X150" s="195" t="str">
        <f t="shared" si="17"/>
        <v/>
      </c>
      <c r="Y150" s="255" t="str">
        <f>IF(ISNUMBER(SEARCH("C", 'Dry_Litterbag Placem_Collection'!T77)),"YES","NO")</f>
        <v>NO</v>
      </c>
      <c r="Z150" s="255" t="str">
        <f>IF(ISNUMBER(SEARCH("H", 'Dry_Litterbag Placem_Collection'!T77)),"YES","NO")</f>
        <v>NO</v>
      </c>
      <c r="AA150" s="255" t="str">
        <f>IF(ISNUMBER(SEARCH("R", 'Dry_Litterbag Placem_Collection'!T77)),"YES","NO")</f>
        <v>NO</v>
      </c>
      <c r="AB150" s="255" t="str">
        <f>IF(ISNUMBER(SEARCH("C", 'Dry_Litterbag Placem_Collection'!S77)),"YES","NO")</f>
        <v>NO</v>
      </c>
      <c r="AC150" s="255" t="str">
        <f>IF(ISNUMBER(SEARCH("H", 'Dry_Litterbag Placem_Collection'!S77)),"YES","NO")</f>
        <v>YES</v>
      </c>
      <c r="AD150" s="255" t="str">
        <f>IF(ISNUMBER(SEARCH("R", 'Dry_Litterbag Placem_Collection'!S77)),"YES","NO")</f>
        <v>NO</v>
      </c>
    </row>
    <row r="151" spans="2:30">
      <c r="B151" t="str">
        <f>'Final data_for_R_analysis_Dryse'!A77</f>
        <v>Dry</v>
      </c>
      <c r="C151" s="263">
        <f>'Final data_for_R_analysis_Dryse'!B77</f>
        <v>76</v>
      </c>
      <c r="D151" t="s">
        <v>3838</v>
      </c>
      <c r="E151" t="s">
        <v>22</v>
      </c>
      <c r="F151" s="387">
        <v>4</v>
      </c>
      <c r="G151" s="16">
        <f>'Dry_Litterbag Placem_Collection'!E78</f>
        <v>42937</v>
      </c>
      <c r="H151" t="str">
        <f>'Final data_for_R_analysis_Dryse'!J77</f>
        <v>G60</v>
      </c>
      <c r="I151" t="str">
        <f>'Final data_for_R_analysis_Dryse'!J297</f>
        <v>R770</v>
      </c>
      <c r="J151">
        <f>IFERROR(INDEX('Green_rooibos initial weight'!$C$5:$C$1749,MATCH(H151, 'Green_rooibos initial weight'!$A$5:$A$1749,0)),"")</f>
        <v>2.1230000000000002</v>
      </c>
      <c r="K151">
        <f>IFERROR(INDEX('Green_rooibos initial weight'!$C$5:$C$1749,MATCH(I151, 'Green_rooibos initial weight'!$A$5:$A$1749,0)),"")</f>
        <v>2.206</v>
      </c>
      <c r="L151" s="195">
        <f t="shared" si="12"/>
        <v>1.8732000000000002</v>
      </c>
      <c r="M151" s="195">
        <f t="shared" si="13"/>
        <v>1.9561999999999999</v>
      </c>
      <c r="N151" s="16">
        <f>IF('Dry_Litterbag Placem_Collection'!G78="N.A","",'Dry_Litterbag Placem_Collection'!G78)</f>
        <v>43006</v>
      </c>
      <c r="O151" s="195">
        <f>IF(IFERROR(INDEX('Both teabags AfterDry'!$D$1:$D$839,MATCH(H151,'Both teabags AfterDry'!$A$1:$A$839,0)),"")="N.A","",(IFERROR(INDEX('Both teabags AfterDry'!$D$1:$D$839,MATCH(H151,'Both teabags AfterDry'!$A$1:$A$839,0)),"")))</f>
        <v>1.9540999999999999</v>
      </c>
      <c r="P151" s="195">
        <f>IF(IFERROR(INDEX('Both teabags AfterDry'!$D$1:$D$839,MATCH(I151,'Both teabags AfterDry'!$A$1:$A$839,0)),"")="N.A","",(IFERROR(INDEX('Both teabags AfterDry'!$D$1:$D$839,MATCH(I151,'Both teabags AfterDry'!$A$1:$A$839,0)),"")))</f>
        <v>1.9444999999999999</v>
      </c>
      <c r="Q151" s="195">
        <f t="shared" si="14"/>
        <v>1.8034999999999999</v>
      </c>
      <c r="R151" s="195">
        <f t="shared" si="14"/>
        <v>1.7938999999999998</v>
      </c>
      <c r="S151" s="195">
        <f t="shared" si="9"/>
        <v>3.7209054025197696E-2</v>
      </c>
      <c r="T151" s="195">
        <f t="shared" si="15"/>
        <v>2.4393584111531062E-2</v>
      </c>
      <c r="U151" s="195">
        <f t="shared" si="10"/>
        <v>0.91703302320826086</v>
      </c>
      <c r="V151">
        <f t="shared" si="11"/>
        <v>69</v>
      </c>
      <c r="W151" s="195">
        <f t="shared" si="16"/>
        <v>0.95580872443563214</v>
      </c>
      <c r="X151" s="195" t="str">
        <f t="shared" si="17"/>
        <v/>
      </c>
      <c r="Y151" s="255" t="str">
        <f>IF(ISNUMBER(SEARCH("C", 'Dry_Litterbag Placem_Collection'!T78)),"YES","NO")</f>
        <v>NO</v>
      </c>
      <c r="Z151" s="255" t="str">
        <f>IF(ISNUMBER(SEARCH("H", 'Dry_Litterbag Placem_Collection'!T78)),"YES","NO")</f>
        <v>NO</v>
      </c>
      <c r="AA151" s="255" t="str">
        <f>IF(ISNUMBER(SEARCH("R", 'Dry_Litterbag Placem_Collection'!T78)),"YES","NO")</f>
        <v>NO</v>
      </c>
      <c r="AB151" s="255" t="str">
        <f>IF(ISNUMBER(SEARCH("C", 'Dry_Litterbag Placem_Collection'!S78)),"YES","NO")</f>
        <v>NO</v>
      </c>
      <c r="AC151" s="255" t="str">
        <f>IF(ISNUMBER(SEARCH("H", 'Dry_Litterbag Placem_Collection'!S78)),"YES","NO")</f>
        <v>NO</v>
      </c>
      <c r="AD151" s="255" t="str">
        <f>IF(ISNUMBER(SEARCH("R", 'Dry_Litterbag Placem_Collection'!S78)),"YES","NO")</f>
        <v>NO</v>
      </c>
    </row>
    <row r="152" spans="2:30">
      <c r="B152" t="str">
        <f>'Final data_for_R_analysis_Dryse'!A78</f>
        <v>Dry</v>
      </c>
      <c r="C152" s="263">
        <f>'Final data_for_R_analysis_Dryse'!B78</f>
        <v>77</v>
      </c>
      <c r="D152" t="s">
        <v>3838</v>
      </c>
      <c r="E152" t="s">
        <v>22</v>
      </c>
      <c r="F152" s="387">
        <v>5</v>
      </c>
      <c r="G152" s="16">
        <f>'Dry_Litterbag Placem_Collection'!E79</f>
        <v>0</v>
      </c>
      <c r="H152" t="str">
        <f>'Final data_for_R_analysis_Dryse'!J78</f>
        <v/>
      </c>
      <c r="I152" t="str">
        <f>'Final data_for_R_analysis_Dryse'!J298</f>
        <v/>
      </c>
      <c r="J152" t="str">
        <f>IFERROR(INDEX('Green_rooibos initial weight'!$C$5:$C$1749,MATCH(H152, 'Green_rooibos initial weight'!$A$5:$A$1749,0)),"")</f>
        <v/>
      </c>
      <c r="K152" t="str">
        <f>IFERROR(INDEX('Green_rooibos initial weight'!$C$5:$C$1749,MATCH(I152, 'Green_rooibos initial weight'!$A$5:$A$1749,0)),"")</f>
        <v/>
      </c>
      <c r="L152" s="195" t="str">
        <f t="shared" si="12"/>
        <v/>
      </c>
      <c r="M152" s="195" t="str">
        <f t="shared" si="13"/>
        <v/>
      </c>
      <c r="N152" s="16">
        <f>IF('Dry_Litterbag Placem_Collection'!G79="N.A","",'Dry_Litterbag Placem_Collection'!G79)</f>
        <v>0</v>
      </c>
      <c r="O152" s="195" t="str">
        <f>IF(IFERROR(INDEX('Both teabags AfterDry'!$D$1:$D$839,MATCH(H152,'Both teabags AfterDry'!$A$1:$A$839,0)),"")="N.A","",(IFERROR(INDEX('Both teabags AfterDry'!$D$1:$D$839,MATCH(H152,'Both teabags AfterDry'!$A$1:$A$839,0)),"")))</f>
        <v/>
      </c>
      <c r="P152" s="195" t="str">
        <f>IF(IFERROR(INDEX('Both teabags AfterDry'!$D$1:$D$839,MATCH(I152,'Both teabags AfterDry'!$A$1:$A$839,0)),"")="N.A","",(IFERROR(INDEX('Both teabags AfterDry'!$D$1:$D$839,MATCH(I152,'Both teabags AfterDry'!$A$1:$A$839,0)),"")))</f>
        <v/>
      </c>
      <c r="Q152" s="195" t="str">
        <f t="shared" si="14"/>
        <v/>
      </c>
      <c r="R152" s="195" t="str">
        <f t="shared" si="14"/>
        <v/>
      </c>
      <c r="S152" s="195" t="str">
        <f t="shared" si="9"/>
        <v/>
      </c>
      <c r="T152" s="195" t="str">
        <f t="shared" si="15"/>
        <v/>
      </c>
      <c r="U152" s="195" t="str">
        <f t="shared" si="10"/>
        <v/>
      </c>
      <c r="V152" t="str">
        <f t="shared" si="11"/>
        <v/>
      </c>
      <c r="W152" s="195" t="str">
        <f t="shared" si="16"/>
        <v/>
      </c>
      <c r="X152" s="195" t="str">
        <f t="shared" si="17"/>
        <v/>
      </c>
      <c r="Y152" s="255" t="str">
        <f>IF(ISNUMBER(SEARCH("C", 'Dry_Litterbag Placem_Collection'!T79)),"YES","NO")</f>
        <v>NO</v>
      </c>
      <c r="Z152" s="255" t="str">
        <f>IF(ISNUMBER(SEARCH("H", 'Dry_Litterbag Placem_Collection'!T79)),"YES","NO")</f>
        <v>NO</v>
      </c>
      <c r="AA152" s="255" t="str">
        <f>IF(ISNUMBER(SEARCH("R", 'Dry_Litterbag Placem_Collection'!T79)),"YES","NO")</f>
        <v>NO</v>
      </c>
      <c r="AB152" s="255" t="str">
        <f>IF(ISNUMBER(SEARCH("C", 'Dry_Litterbag Placem_Collection'!S79)),"YES","NO")</f>
        <v>NO</v>
      </c>
      <c r="AC152" s="255" t="str">
        <f>IF(ISNUMBER(SEARCH("H", 'Dry_Litterbag Placem_Collection'!S79)),"YES","NO")</f>
        <v>NO</v>
      </c>
      <c r="AD152" s="255" t="str">
        <f>IF(ISNUMBER(SEARCH("R", 'Dry_Litterbag Placem_Collection'!S79)),"YES","NO")</f>
        <v>NO</v>
      </c>
    </row>
    <row r="153" spans="2:30">
      <c r="B153" t="str">
        <f>'Final data_for_R_analysis_Dryse'!A79</f>
        <v>Dry</v>
      </c>
      <c r="C153" s="263">
        <f>'Final data_for_R_analysis_Dryse'!B79</f>
        <v>78</v>
      </c>
      <c r="D153" t="s">
        <v>3838</v>
      </c>
      <c r="E153" t="s">
        <v>22</v>
      </c>
      <c r="F153" s="387">
        <v>6</v>
      </c>
      <c r="G153" s="16">
        <f>'Dry_Litterbag Placem_Collection'!E80</f>
        <v>42937</v>
      </c>
      <c r="H153" t="str">
        <f>'Final data_for_R_analysis_Dryse'!J79</f>
        <v>G97</v>
      </c>
      <c r="I153" t="str">
        <f>'Final data_for_R_analysis_Dryse'!J299</f>
        <v>R696</v>
      </c>
      <c r="J153">
        <f>IFERROR(INDEX('Green_rooibos initial weight'!$C$5:$C$1749,MATCH(H153, 'Green_rooibos initial weight'!$A$5:$A$1749,0)),"")</f>
        <v>2.0960000000000001</v>
      </c>
      <c r="K153">
        <f>IFERROR(INDEX('Green_rooibos initial weight'!$C$5:$C$1749,MATCH(I153, 'Green_rooibos initial weight'!$A$5:$A$1749,0)),"")</f>
        <v>2.1389999999999998</v>
      </c>
      <c r="L153" s="195">
        <f t="shared" si="12"/>
        <v>1.8462000000000001</v>
      </c>
      <c r="M153" s="195">
        <f t="shared" si="13"/>
        <v>1.8891999999999998</v>
      </c>
      <c r="N153" s="16">
        <f>IF('Dry_Litterbag Placem_Collection'!G80="N.A","",'Dry_Litterbag Placem_Collection'!G80)</f>
        <v>43006</v>
      </c>
      <c r="O153" s="195">
        <f>IF(IFERROR(INDEX('Both teabags AfterDry'!$D$1:$D$839,MATCH(H153,'Both teabags AfterDry'!$A$1:$A$839,0)),"")="N.A","",(IFERROR(INDEX('Both teabags AfterDry'!$D$1:$D$839,MATCH(H153,'Both teabags AfterDry'!$A$1:$A$839,0)),"")))</f>
        <v>1.7647999999999999</v>
      </c>
      <c r="P153" s="195">
        <f>IF(IFERROR(INDEX('Both teabags AfterDry'!$D$1:$D$839,MATCH(I153,'Both teabags AfterDry'!$A$1:$A$839,0)),"")="N.A","",(IFERROR(INDEX('Both teabags AfterDry'!$D$1:$D$839,MATCH(I153,'Both teabags AfterDry'!$A$1:$A$839,0)),"")))</f>
        <v>1.9605999999999999</v>
      </c>
      <c r="Q153" s="195">
        <f t="shared" si="14"/>
        <v>1.6141999999999999</v>
      </c>
      <c r="R153" s="195">
        <f t="shared" si="14"/>
        <v>1.8099999999999998</v>
      </c>
      <c r="S153" s="195">
        <f t="shared" si="9"/>
        <v>0.12566352507853984</v>
      </c>
      <c r="T153" s="195">
        <f t="shared" si="15"/>
        <v>8.2382738531299293E-2</v>
      </c>
      <c r="U153" s="195">
        <f t="shared" si="10"/>
        <v>0.95807749311878043</v>
      </c>
      <c r="V153">
        <f t="shared" si="11"/>
        <v>69</v>
      </c>
      <c r="W153" s="195">
        <f t="shared" si="16"/>
        <v>0.85075590845779114</v>
      </c>
      <c r="X153" s="195">
        <f t="shared" si="17"/>
        <v>1.03051648404953E-2</v>
      </c>
      <c r="Y153" s="255" t="str">
        <f>IF(ISNUMBER(SEARCH("C", 'Dry_Litterbag Placem_Collection'!T80)),"YES","NO")</f>
        <v>NO</v>
      </c>
      <c r="Z153" s="255" t="str">
        <f>IF(ISNUMBER(SEARCH("H", 'Dry_Litterbag Placem_Collection'!T80)),"YES","NO")</f>
        <v>YES</v>
      </c>
      <c r="AA153" s="255" t="str">
        <f>IF(ISNUMBER(SEARCH("R", 'Dry_Litterbag Placem_Collection'!T80)),"YES","NO")</f>
        <v>NO</v>
      </c>
      <c r="AB153" s="255" t="str">
        <f>IF(ISNUMBER(SEARCH("C", 'Dry_Litterbag Placem_Collection'!S80)),"YES","NO")</f>
        <v>NO</v>
      </c>
      <c r="AC153" s="255" t="str">
        <f>IF(ISNUMBER(SEARCH("H", 'Dry_Litterbag Placem_Collection'!S80)),"YES","NO")</f>
        <v>YES</v>
      </c>
      <c r="AD153" s="255" t="str">
        <f>IF(ISNUMBER(SEARCH("R", 'Dry_Litterbag Placem_Collection'!S80)),"YES","NO")</f>
        <v>NO</v>
      </c>
    </row>
    <row r="154" spans="2:30">
      <c r="B154" t="str">
        <f>'Final data_for_R_analysis_Dryse'!A80</f>
        <v>Dry</v>
      </c>
      <c r="C154" s="263">
        <f>'Final data_for_R_analysis_Dryse'!B80</f>
        <v>79</v>
      </c>
      <c r="D154" t="s">
        <v>3838</v>
      </c>
      <c r="E154" t="s">
        <v>22</v>
      </c>
      <c r="F154" s="387">
        <v>7</v>
      </c>
      <c r="G154" s="16">
        <f>'Dry_Litterbag Placem_Collection'!E81</f>
        <v>42937</v>
      </c>
      <c r="H154" t="str">
        <f>'Final data_for_R_analysis_Dryse'!J80</f>
        <v>G130</v>
      </c>
      <c r="I154" t="str">
        <f>'Final data_for_R_analysis_Dryse'!J300</f>
        <v>R270</v>
      </c>
      <c r="J154">
        <f>IFERROR(INDEX('Green_rooibos initial weight'!$C$5:$C$1749,MATCH(H154, 'Green_rooibos initial weight'!$A$5:$A$1749,0)),"")</f>
        <v>1.976</v>
      </c>
      <c r="K154">
        <f>IFERROR(INDEX('Green_rooibos initial weight'!$C$5:$C$1749,MATCH(I154, 'Green_rooibos initial weight'!$A$5:$A$1749,0)),"")</f>
        <v>2.2170000000000001</v>
      </c>
      <c r="L154" s="195">
        <f t="shared" si="12"/>
        <v>1.7262</v>
      </c>
      <c r="M154" s="195">
        <f t="shared" si="13"/>
        <v>1.9672000000000001</v>
      </c>
      <c r="N154" s="16">
        <f>IF('Dry_Litterbag Placem_Collection'!G81="N.A","",'Dry_Litterbag Placem_Collection'!G81)</f>
        <v>43006</v>
      </c>
      <c r="O154" s="195">
        <f>IF(IFERROR(INDEX('Both teabags AfterDry'!$D$1:$D$839,MATCH(H154,'Both teabags AfterDry'!$A$1:$A$839,0)),"")="N.A","",(IFERROR(INDEX('Both teabags AfterDry'!$D$1:$D$839,MATCH(H154,'Both teabags AfterDry'!$A$1:$A$839,0)),"")))</f>
        <v>1.8545</v>
      </c>
      <c r="P154" s="195">
        <f>IF(IFERROR(INDEX('Both teabags AfterDry'!$D$1:$D$839,MATCH(I154,'Both teabags AfterDry'!$A$1:$A$839,0)),"")="N.A","",(IFERROR(INDEX('Both teabags AfterDry'!$D$1:$D$839,MATCH(I154,'Both teabags AfterDry'!$A$1:$A$839,0)),"")))</f>
        <v>1.9970000000000001</v>
      </c>
      <c r="Q154" s="195">
        <f t="shared" si="14"/>
        <v>1.7039</v>
      </c>
      <c r="R154" s="195">
        <f t="shared" si="14"/>
        <v>1.8464</v>
      </c>
      <c r="S154" s="195">
        <f t="shared" si="9"/>
        <v>1.2918549414899783E-2</v>
      </c>
      <c r="T154" s="195">
        <f t="shared" si="15"/>
        <v>8.4691677874402255E-3</v>
      </c>
      <c r="U154" s="195">
        <f t="shared" si="10"/>
        <v>0.93859292395282634</v>
      </c>
      <c r="V154">
        <f t="shared" si="11"/>
        <v>69</v>
      </c>
      <c r="W154" s="195">
        <f t="shared" si="16"/>
        <v>0.98465730473289814</v>
      </c>
      <c r="X154" s="195" t="str">
        <f t="shared" si="17"/>
        <v/>
      </c>
      <c r="Y154" s="255" t="str">
        <f>IF(ISNUMBER(SEARCH("C", 'Dry_Litterbag Placem_Collection'!T81)),"YES","NO")</f>
        <v>NO</v>
      </c>
      <c r="Z154" s="255" t="str">
        <f>IF(ISNUMBER(SEARCH("H", 'Dry_Litterbag Placem_Collection'!T81)),"YES","NO")</f>
        <v>NO</v>
      </c>
      <c r="AA154" s="255" t="str">
        <f>IF(ISNUMBER(SEARCH("R", 'Dry_Litterbag Placem_Collection'!T81)),"YES","NO")</f>
        <v>NO</v>
      </c>
      <c r="AB154" s="255" t="str">
        <f>IF(ISNUMBER(SEARCH("C", 'Dry_Litterbag Placem_Collection'!S81)),"YES","NO")</f>
        <v>NO</v>
      </c>
      <c r="AC154" s="255" t="str">
        <f>IF(ISNUMBER(SEARCH("H", 'Dry_Litterbag Placem_Collection'!S81)),"YES","NO")</f>
        <v>NO</v>
      </c>
      <c r="AD154" s="255" t="str">
        <f>IF(ISNUMBER(SEARCH("R", 'Dry_Litterbag Placem_Collection'!S81)),"YES","NO")</f>
        <v>NO</v>
      </c>
    </row>
    <row r="155" spans="2:30">
      <c r="B155" t="str">
        <f>'Final data_for_R_analysis_Dryse'!A81</f>
        <v>Dry</v>
      </c>
      <c r="C155" s="263">
        <f>'Final data_for_R_analysis_Dryse'!B81</f>
        <v>80</v>
      </c>
      <c r="D155" t="s">
        <v>3838</v>
      </c>
      <c r="E155" t="s">
        <v>22</v>
      </c>
      <c r="F155" s="387">
        <v>8</v>
      </c>
      <c r="G155" s="16">
        <f>'Dry_Litterbag Placem_Collection'!E82</f>
        <v>42937</v>
      </c>
      <c r="H155" t="str">
        <f>'Final data_for_R_analysis_Dryse'!J81</f>
        <v>G24</v>
      </c>
      <c r="I155" t="str">
        <f>'Final data_for_R_analysis_Dryse'!J301</f>
        <v>R726</v>
      </c>
      <c r="J155">
        <f>IFERROR(INDEX('Green_rooibos initial weight'!$C$5:$C$1749,MATCH(H155, 'Green_rooibos initial weight'!$A$5:$A$1749,0)),"")</f>
        <v>2.09</v>
      </c>
      <c r="K155">
        <f>IFERROR(INDEX('Green_rooibos initial weight'!$C$5:$C$1749,MATCH(I155, 'Green_rooibos initial weight'!$A$5:$A$1749,0)),"")</f>
        <v>2.2810000000000001</v>
      </c>
      <c r="L155" s="195">
        <f t="shared" si="12"/>
        <v>1.8401999999999998</v>
      </c>
      <c r="M155" s="195">
        <f t="shared" si="13"/>
        <v>2.0312000000000001</v>
      </c>
      <c r="N155" s="16">
        <f>IF('Dry_Litterbag Placem_Collection'!G82="N.A","",'Dry_Litterbag Placem_Collection'!G82)</f>
        <v>43006</v>
      </c>
      <c r="O155" s="195">
        <f>IF(IFERROR(INDEX('Both teabags AfterDry'!$D$1:$D$839,MATCH(H155,'Both teabags AfterDry'!$A$1:$A$839,0)),"")="N.A","",(IFERROR(INDEX('Both teabags AfterDry'!$D$1:$D$839,MATCH(H155,'Both teabags AfterDry'!$A$1:$A$839,0)),"")))</f>
        <v>1.9084000000000001</v>
      </c>
      <c r="P155" s="195">
        <f>IF(IFERROR(INDEX('Both teabags AfterDry'!$D$1:$D$839,MATCH(I155,'Both teabags AfterDry'!$A$1:$A$839,0)),"")="N.A","",(IFERROR(INDEX('Both teabags AfterDry'!$D$1:$D$839,MATCH(I155,'Both teabags AfterDry'!$A$1:$A$839,0)),"")))</f>
        <v>1.9471000000000001</v>
      </c>
      <c r="Q155" s="195">
        <f t="shared" si="14"/>
        <v>1.7578</v>
      </c>
      <c r="R155" s="195">
        <f t="shared" si="14"/>
        <v>1.7965</v>
      </c>
      <c r="S155" s="195">
        <f t="shared" si="9"/>
        <v>4.4777741549831385E-2</v>
      </c>
      <c r="T155" s="195">
        <f t="shared" si="15"/>
        <v>2.9355479020792084E-2</v>
      </c>
      <c r="U155" s="195">
        <f t="shared" si="10"/>
        <v>0.88445254037022447</v>
      </c>
      <c r="V155">
        <f t="shared" si="11"/>
        <v>69</v>
      </c>
      <c r="W155" s="195">
        <f t="shared" si="16"/>
        <v>0.94681978438262304</v>
      </c>
      <c r="X155" s="195" t="str">
        <f t="shared" si="17"/>
        <v/>
      </c>
      <c r="Y155" s="255" t="str">
        <f>IF(ISNUMBER(SEARCH("C", 'Dry_Litterbag Placem_Collection'!T82)),"YES","NO")</f>
        <v>NO</v>
      </c>
      <c r="Z155" s="255" t="str">
        <f>IF(ISNUMBER(SEARCH("H", 'Dry_Litterbag Placem_Collection'!T82)),"YES","NO")</f>
        <v>NO</v>
      </c>
      <c r="AA155" s="255" t="str">
        <f>IF(ISNUMBER(SEARCH("R", 'Dry_Litterbag Placem_Collection'!T82)),"YES","NO")</f>
        <v>NO</v>
      </c>
      <c r="AB155" s="255" t="str">
        <f>IF(ISNUMBER(SEARCH("C", 'Dry_Litterbag Placem_Collection'!S82)),"YES","NO")</f>
        <v>NO</v>
      </c>
      <c r="AC155" s="255" t="str">
        <f>IF(ISNUMBER(SEARCH("H", 'Dry_Litterbag Placem_Collection'!S82)),"YES","NO")</f>
        <v>NO</v>
      </c>
      <c r="AD155" s="255" t="str">
        <f>IF(ISNUMBER(SEARCH("R", 'Dry_Litterbag Placem_Collection'!S82)),"YES","NO")</f>
        <v>NO</v>
      </c>
    </row>
    <row r="156" spans="2:30">
      <c r="B156" t="str">
        <f>'Final data_for_R_analysis_Dryse'!A82</f>
        <v>Dry</v>
      </c>
      <c r="C156" s="263">
        <f>'Final data_for_R_analysis_Dryse'!B82</f>
        <v>81</v>
      </c>
      <c r="D156" t="s">
        <v>3839</v>
      </c>
      <c r="E156" t="s">
        <v>22</v>
      </c>
      <c r="F156" s="386">
        <v>1</v>
      </c>
      <c r="G156" s="16">
        <f>'Dry_Litterbag Placem_Collection'!E83</f>
        <v>42937</v>
      </c>
      <c r="H156" t="str">
        <f>'Final data_for_R_analysis_Dryse'!J82</f>
        <v>G312</v>
      </c>
      <c r="I156" t="str">
        <f>'Final data_for_R_analysis_Dryse'!J302</f>
        <v>R739</v>
      </c>
      <c r="J156">
        <f>IFERROR(INDEX('Green_rooibos initial weight'!$C$5:$C$1749,MATCH(H156, 'Green_rooibos initial weight'!$A$5:$A$1749,0)),"")</f>
        <v>2.0179999999999998</v>
      </c>
      <c r="K156">
        <f>IFERROR(INDEX('Green_rooibos initial weight'!$C$5:$C$1749,MATCH(I156, 'Green_rooibos initial weight'!$A$5:$A$1749,0)),"")</f>
        <v>2.222</v>
      </c>
      <c r="L156" s="195">
        <f t="shared" si="12"/>
        <v>1.7681999999999998</v>
      </c>
      <c r="M156" s="195">
        <f t="shared" si="13"/>
        <v>1.9722</v>
      </c>
      <c r="N156" s="16">
        <f>IF('Dry_Litterbag Placem_Collection'!G83="N.A","",'Dry_Litterbag Placem_Collection'!G83)</f>
        <v>43006</v>
      </c>
      <c r="O156" s="195">
        <f>IF(IFERROR(INDEX('Both teabags AfterDry'!$D$1:$D$839,MATCH(H156,'Both teabags AfterDry'!$A$1:$A$839,0)),"")="N.A","",(IFERROR(INDEX('Both teabags AfterDry'!$D$1:$D$839,MATCH(H156,'Both teabags AfterDry'!$A$1:$A$839,0)),"")))</f>
        <v>1.7978000000000001</v>
      </c>
      <c r="P156" s="195">
        <f>IF(IFERROR(INDEX('Both teabags AfterDry'!$D$1:$D$839,MATCH(I156,'Both teabags AfterDry'!$A$1:$A$839,0)),"")="N.A","",(IFERROR(INDEX('Both teabags AfterDry'!$D$1:$D$839,MATCH(I156,'Both teabags AfterDry'!$A$1:$A$839,0)),"")))</f>
        <v>1.9457</v>
      </c>
      <c r="Q156" s="195">
        <f t="shared" si="14"/>
        <v>1.6472</v>
      </c>
      <c r="R156" s="195">
        <f t="shared" si="14"/>
        <v>1.7950999999999999</v>
      </c>
      <c r="S156" s="195">
        <f t="shared" si="9"/>
        <v>6.8431172944236951E-2</v>
      </c>
      <c r="T156" s="195">
        <f t="shared" si="15"/>
        <v>4.486224164515297E-2</v>
      </c>
      <c r="U156" s="195">
        <f t="shared" si="10"/>
        <v>0.91020180509076154</v>
      </c>
      <c r="V156">
        <f t="shared" si="11"/>
        <v>69</v>
      </c>
      <c r="W156" s="195">
        <f t="shared" si="16"/>
        <v>0.91872782310660694</v>
      </c>
      <c r="X156" s="195" t="str">
        <f t="shared" si="17"/>
        <v/>
      </c>
      <c r="Y156" s="255" t="str">
        <f>IF(ISNUMBER(SEARCH("C", 'Dry_Litterbag Placem_Collection'!T83)),"YES","NO")</f>
        <v>NO</v>
      </c>
      <c r="Z156" s="255" t="str">
        <f>IF(ISNUMBER(SEARCH("H", 'Dry_Litterbag Placem_Collection'!T83)),"YES","NO")</f>
        <v>NO</v>
      </c>
      <c r="AA156" s="255" t="str">
        <f>IF(ISNUMBER(SEARCH("R", 'Dry_Litterbag Placem_Collection'!T83)),"YES","NO")</f>
        <v>NO</v>
      </c>
      <c r="AB156" s="255" t="str">
        <f>IF(ISNUMBER(SEARCH("C", 'Dry_Litterbag Placem_Collection'!S83)),"YES","NO")</f>
        <v>NO</v>
      </c>
      <c r="AC156" s="255" t="str">
        <f>IF(ISNUMBER(SEARCH("H", 'Dry_Litterbag Placem_Collection'!S83)),"YES","NO")</f>
        <v>NO</v>
      </c>
      <c r="AD156" s="255" t="str">
        <f>IF(ISNUMBER(SEARCH("R", 'Dry_Litterbag Placem_Collection'!S83)),"YES","NO")</f>
        <v>NO</v>
      </c>
    </row>
    <row r="157" spans="2:30">
      <c r="B157" t="str">
        <f>'Final data_for_R_analysis_Dryse'!A83</f>
        <v>Dry</v>
      </c>
      <c r="C157" s="263">
        <f>'Final data_for_R_analysis_Dryse'!B83</f>
        <v>82</v>
      </c>
      <c r="D157" t="s">
        <v>3839</v>
      </c>
      <c r="E157" t="s">
        <v>22</v>
      </c>
      <c r="F157" s="386">
        <v>2</v>
      </c>
      <c r="G157" s="16">
        <f>'Dry_Litterbag Placem_Collection'!E84</f>
        <v>42937</v>
      </c>
      <c r="H157" t="str">
        <f>'Final data_for_R_analysis_Dryse'!J83</f>
        <v>G356</v>
      </c>
      <c r="I157" t="str">
        <f>'Final data_for_R_analysis_Dryse'!J303</f>
        <v>R800</v>
      </c>
      <c r="J157">
        <f>IFERROR(INDEX('Green_rooibos initial weight'!$C$5:$C$1749,MATCH(H157, 'Green_rooibos initial weight'!$A$5:$A$1749,0)),"")</f>
        <v>1.9870000000000001</v>
      </c>
      <c r="K157">
        <f>IFERROR(INDEX('Green_rooibos initial weight'!$C$5:$C$1749,MATCH(I157, 'Green_rooibos initial weight'!$A$5:$A$1749,0)),"")</f>
        <v>2.1579999999999999</v>
      </c>
      <c r="L157" s="195">
        <f t="shared" si="12"/>
        <v>1.7372000000000001</v>
      </c>
      <c r="M157" s="195">
        <f t="shared" si="13"/>
        <v>1.9081999999999999</v>
      </c>
      <c r="N157" s="16">
        <f>IF('Dry_Litterbag Placem_Collection'!G84="N.A","",'Dry_Litterbag Placem_Collection'!G84)</f>
        <v>43006</v>
      </c>
      <c r="O157" s="195">
        <f>IF(IFERROR(INDEX('Both teabags AfterDry'!$D$1:$D$839,MATCH(H157,'Both teabags AfterDry'!$A$1:$A$839,0)),"")="N.A","",(IFERROR(INDEX('Both teabags AfterDry'!$D$1:$D$839,MATCH(H157,'Both teabags AfterDry'!$A$1:$A$839,0)),"")))</f>
        <v>1.7767999999999999</v>
      </c>
      <c r="P157" s="195">
        <f>IF(IFERROR(INDEX('Both teabags AfterDry'!$D$1:$D$839,MATCH(I157,'Both teabags AfterDry'!$A$1:$A$839,0)),"")="N.A","",(IFERROR(INDEX('Both teabags AfterDry'!$D$1:$D$839,MATCH(I157,'Both teabags AfterDry'!$A$1:$A$839,0)),"")))</f>
        <v>1.8712</v>
      </c>
      <c r="Q157" s="195">
        <f t="shared" si="14"/>
        <v>1.6261999999999999</v>
      </c>
      <c r="R157" s="195">
        <f t="shared" si="14"/>
        <v>1.7205999999999999</v>
      </c>
      <c r="S157" s="195">
        <f t="shared" si="9"/>
        <v>6.3895924476168653E-2</v>
      </c>
      <c r="T157" s="195">
        <f t="shared" si="15"/>
        <v>4.1889014620956198E-2</v>
      </c>
      <c r="U157" s="195">
        <f t="shared" si="10"/>
        <v>0.90168745414526774</v>
      </c>
      <c r="V157">
        <f t="shared" si="11"/>
        <v>69</v>
      </c>
      <c r="W157" s="195">
        <f t="shared" si="16"/>
        <v>0.92411410394754312</v>
      </c>
      <c r="X157" s="195" t="str">
        <f t="shared" si="17"/>
        <v/>
      </c>
      <c r="Y157" s="255" t="str">
        <f>IF(ISNUMBER(SEARCH("C", 'Dry_Litterbag Placem_Collection'!T84)),"YES","NO")</f>
        <v>NO</v>
      </c>
      <c r="Z157" s="255" t="str">
        <f>IF(ISNUMBER(SEARCH("H", 'Dry_Litterbag Placem_Collection'!T84)),"YES","NO")</f>
        <v>NO</v>
      </c>
      <c r="AA157" s="255" t="str">
        <f>IF(ISNUMBER(SEARCH("R", 'Dry_Litterbag Placem_Collection'!T84)),"YES","NO")</f>
        <v>NO</v>
      </c>
      <c r="AB157" s="255" t="str">
        <f>IF(ISNUMBER(SEARCH("C", 'Dry_Litterbag Placem_Collection'!S84)),"YES","NO")</f>
        <v>NO</v>
      </c>
      <c r="AC157" s="255" t="str">
        <f>IF(ISNUMBER(SEARCH("H", 'Dry_Litterbag Placem_Collection'!S84)),"YES","NO")</f>
        <v>NO</v>
      </c>
      <c r="AD157" s="255" t="str">
        <f>IF(ISNUMBER(SEARCH("R", 'Dry_Litterbag Placem_Collection'!S84)),"YES","NO")</f>
        <v>NO</v>
      </c>
    </row>
    <row r="158" spans="2:30">
      <c r="B158" t="str">
        <f>'Final data_for_R_analysis_Dryse'!A84</f>
        <v>Dry</v>
      </c>
      <c r="C158" s="263">
        <f>'Final data_for_R_analysis_Dryse'!B84</f>
        <v>83</v>
      </c>
      <c r="D158" t="s">
        <v>3839</v>
      </c>
      <c r="E158" t="s">
        <v>22</v>
      </c>
      <c r="F158" s="386">
        <v>3</v>
      </c>
      <c r="G158" s="16">
        <f>'Dry_Litterbag Placem_Collection'!E85</f>
        <v>42937</v>
      </c>
      <c r="H158" t="str">
        <f>'Final data_for_R_analysis_Dryse'!J84</f>
        <v>G331</v>
      </c>
      <c r="I158" t="str">
        <f>'Final data_for_R_analysis_Dryse'!J304</f>
        <v>R764</v>
      </c>
      <c r="J158">
        <f>IFERROR(INDEX('Green_rooibos initial weight'!$C$5:$C$1749,MATCH(H158, 'Green_rooibos initial weight'!$A$5:$A$1749,0)),"")</f>
        <v>2.0550000000000002</v>
      </c>
      <c r="K158">
        <f>IFERROR(INDEX('Green_rooibos initial weight'!$C$5:$C$1749,MATCH(I158, 'Green_rooibos initial weight'!$A$5:$A$1749,0)),"")</f>
        <v>2.2160000000000002</v>
      </c>
      <c r="L158" s="195">
        <f t="shared" si="12"/>
        <v>1.8052000000000001</v>
      </c>
      <c r="M158" s="195">
        <f t="shared" si="13"/>
        <v>1.9662000000000002</v>
      </c>
      <c r="N158" s="16">
        <f>IF('Dry_Litterbag Placem_Collection'!G85="N.A","",'Dry_Litterbag Placem_Collection'!G85)</f>
        <v>43006</v>
      </c>
      <c r="O158" s="195">
        <f>IF(IFERROR(INDEX('Both teabags AfterDry'!$D$1:$D$839,MATCH(H158,'Both teabags AfterDry'!$A$1:$A$839,0)),"")="N.A","",(IFERROR(INDEX('Both teabags AfterDry'!$D$1:$D$839,MATCH(H158,'Both teabags AfterDry'!$A$1:$A$839,0)),"")))</f>
        <v>1.8354999999999999</v>
      </c>
      <c r="P158" s="195">
        <f>IF(IFERROR(INDEX('Both teabags AfterDry'!$D$1:$D$839,MATCH(I158,'Both teabags AfterDry'!$A$1:$A$839,0)),"")="N.A","",(IFERROR(INDEX('Both teabags AfterDry'!$D$1:$D$839,MATCH(I158,'Both teabags AfterDry'!$A$1:$A$839,0)),"")))</f>
        <v>1.9178999999999999</v>
      </c>
      <c r="Q158" s="195">
        <f t="shared" si="14"/>
        <v>1.6848999999999998</v>
      </c>
      <c r="R158" s="195">
        <f t="shared" si="14"/>
        <v>1.7672999999999999</v>
      </c>
      <c r="S158" s="195">
        <f t="shared" si="9"/>
        <v>6.6640815422114086E-2</v>
      </c>
      <c r="T158" s="195">
        <f t="shared" si="15"/>
        <v>4.3688515573642478E-2</v>
      </c>
      <c r="U158" s="195">
        <f t="shared" si="10"/>
        <v>0.8988404028074457</v>
      </c>
      <c r="V158">
        <f t="shared" si="11"/>
        <v>69</v>
      </c>
      <c r="W158" s="195">
        <f t="shared" si="16"/>
        <v>0.92085413845354624</v>
      </c>
      <c r="X158" s="195" t="str">
        <f t="shared" si="17"/>
        <v/>
      </c>
      <c r="Y158" s="255" t="str">
        <f>IF(ISNUMBER(SEARCH("C", 'Dry_Litterbag Placem_Collection'!T85)),"YES","NO")</f>
        <v>NO</v>
      </c>
      <c r="Z158" s="255" t="str">
        <f>IF(ISNUMBER(SEARCH("H", 'Dry_Litterbag Placem_Collection'!T85)),"YES","NO")</f>
        <v>NO</v>
      </c>
      <c r="AA158" s="255" t="str">
        <f>IF(ISNUMBER(SEARCH("R", 'Dry_Litterbag Placem_Collection'!T85)),"YES","NO")</f>
        <v>NO</v>
      </c>
      <c r="AB158" s="255" t="str">
        <f>IF(ISNUMBER(SEARCH("C", 'Dry_Litterbag Placem_Collection'!S85)),"YES","NO")</f>
        <v>NO</v>
      </c>
      <c r="AC158" s="255" t="str">
        <f>IF(ISNUMBER(SEARCH("H", 'Dry_Litterbag Placem_Collection'!S85)),"YES","NO")</f>
        <v>YES</v>
      </c>
      <c r="AD158" s="255" t="str">
        <f>IF(ISNUMBER(SEARCH("R", 'Dry_Litterbag Placem_Collection'!S85)),"YES","NO")</f>
        <v>NO</v>
      </c>
    </row>
    <row r="159" spans="2:30">
      <c r="B159" t="str">
        <f>'Final data_for_R_analysis_Dryse'!A85</f>
        <v>Dry</v>
      </c>
      <c r="C159" s="263">
        <f>'Final data_for_R_analysis_Dryse'!B85</f>
        <v>84</v>
      </c>
      <c r="D159" t="s">
        <v>3839</v>
      </c>
      <c r="E159" t="s">
        <v>22</v>
      </c>
      <c r="F159" s="387">
        <v>4</v>
      </c>
      <c r="G159" s="16">
        <f>'Dry_Litterbag Placem_Collection'!E86</f>
        <v>42937</v>
      </c>
      <c r="H159" t="str">
        <f>'Final data_for_R_analysis_Dryse'!J85</f>
        <v>G101</v>
      </c>
      <c r="I159" t="str">
        <f>'Final data_for_R_analysis_Dryse'!J305</f>
        <v>R778</v>
      </c>
      <c r="J159">
        <f>IFERROR(INDEX('Green_rooibos initial weight'!$C$5:$C$1749,MATCH(H159, 'Green_rooibos initial weight'!$A$5:$A$1749,0)),"")</f>
        <v>2.173</v>
      </c>
      <c r="K159">
        <f>IFERROR(INDEX('Green_rooibos initial weight'!$C$5:$C$1749,MATCH(I159, 'Green_rooibos initial weight'!$A$5:$A$1749,0)),"")</f>
        <v>2.2450000000000001</v>
      </c>
      <c r="L159" s="195">
        <f t="shared" si="12"/>
        <v>1.9232</v>
      </c>
      <c r="M159" s="195">
        <f t="shared" si="13"/>
        <v>1.9952000000000001</v>
      </c>
      <c r="N159" s="16">
        <f>IF('Dry_Litterbag Placem_Collection'!G86="N.A","",'Dry_Litterbag Placem_Collection'!G86)</f>
        <v>43006</v>
      </c>
      <c r="O159" s="195">
        <f>IF(IFERROR(INDEX('Both teabags AfterDry'!$D$1:$D$839,MATCH(H159,'Both teabags AfterDry'!$A$1:$A$839,0)),"")="N.A","",(IFERROR(INDEX('Both teabags AfterDry'!$D$1:$D$839,MATCH(H159,'Both teabags AfterDry'!$A$1:$A$839,0)),"")))</f>
        <v>1.9434</v>
      </c>
      <c r="P159" s="195">
        <f>IF(IFERROR(INDEX('Both teabags AfterDry'!$D$1:$D$839,MATCH(I159,'Both teabags AfterDry'!$A$1:$A$839,0)),"")="N.A","",(IFERROR(INDEX('Both teabags AfterDry'!$D$1:$D$839,MATCH(I159,'Both teabags AfterDry'!$A$1:$A$839,0)),"")))</f>
        <v>1.9495</v>
      </c>
      <c r="Q159" s="195">
        <f t="shared" si="14"/>
        <v>1.7927999999999999</v>
      </c>
      <c r="R159" s="195">
        <f t="shared" si="14"/>
        <v>1.7988999999999999</v>
      </c>
      <c r="S159" s="195">
        <f t="shared" si="9"/>
        <v>6.7803660565723844E-2</v>
      </c>
      <c r="T159" s="195">
        <f t="shared" si="15"/>
        <v>4.4450855857814206E-2</v>
      </c>
      <c r="U159" s="195">
        <f t="shared" si="10"/>
        <v>0.90161387329591014</v>
      </c>
      <c r="V159">
        <f t="shared" si="11"/>
        <v>69</v>
      </c>
      <c r="W159" s="195">
        <f t="shared" si="16"/>
        <v>0.9194730872141047</v>
      </c>
      <c r="X159" s="195" t="str">
        <f t="shared" si="17"/>
        <v/>
      </c>
      <c r="Y159" s="255" t="str">
        <f>IF(ISNUMBER(SEARCH("C", 'Dry_Litterbag Placem_Collection'!T86)),"YES","NO")</f>
        <v>NO</v>
      </c>
      <c r="Z159" s="255" t="str">
        <f>IF(ISNUMBER(SEARCH("H", 'Dry_Litterbag Placem_Collection'!T86)),"YES","NO")</f>
        <v>NO</v>
      </c>
      <c r="AA159" s="255" t="str">
        <f>IF(ISNUMBER(SEARCH("R", 'Dry_Litterbag Placem_Collection'!T86)),"YES","NO")</f>
        <v>NO</v>
      </c>
      <c r="AB159" s="255" t="str">
        <f>IF(ISNUMBER(SEARCH("C", 'Dry_Litterbag Placem_Collection'!S86)),"YES","NO")</f>
        <v>NO</v>
      </c>
      <c r="AC159" s="255" t="str">
        <f>IF(ISNUMBER(SEARCH("H", 'Dry_Litterbag Placem_Collection'!S86)),"YES","NO")</f>
        <v>YES</v>
      </c>
      <c r="AD159" s="255" t="str">
        <f>IF(ISNUMBER(SEARCH("R", 'Dry_Litterbag Placem_Collection'!S86)),"YES","NO")</f>
        <v>NO</v>
      </c>
    </row>
    <row r="160" spans="2:30">
      <c r="B160" t="str">
        <f>'Final data_for_R_analysis_Dryse'!A86</f>
        <v>Dry</v>
      </c>
      <c r="C160" s="263">
        <f>'Final data_for_R_analysis_Dryse'!B86</f>
        <v>85</v>
      </c>
      <c r="D160" t="s">
        <v>3839</v>
      </c>
      <c r="E160" t="s">
        <v>22</v>
      </c>
      <c r="F160" s="387">
        <v>5</v>
      </c>
      <c r="G160" s="16">
        <f>'Dry_Litterbag Placem_Collection'!E87</f>
        <v>0</v>
      </c>
      <c r="H160" t="str">
        <f>'Final data_for_R_analysis_Dryse'!J86</f>
        <v/>
      </c>
      <c r="I160" t="str">
        <f>'Final data_for_R_analysis_Dryse'!J306</f>
        <v/>
      </c>
      <c r="J160" t="str">
        <f>IFERROR(INDEX('Green_rooibos initial weight'!$C$5:$C$1749,MATCH(H160, 'Green_rooibos initial weight'!$A$5:$A$1749,0)),"")</f>
        <v/>
      </c>
      <c r="K160" t="str">
        <f>IFERROR(INDEX('Green_rooibos initial weight'!$C$5:$C$1749,MATCH(I160, 'Green_rooibos initial weight'!$A$5:$A$1749,0)),"")</f>
        <v/>
      </c>
      <c r="L160" s="195" t="str">
        <f t="shared" si="12"/>
        <v/>
      </c>
      <c r="M160" s="195" t="str">
        <f t="shared" si="13"/>
        <v/>
      </c>
      <c r="N160" s="16">
        <f>IF('Dry_Litterbag Placem_Collection'!G87="N.A","",'Dry_Litterbag Placem_Collection'!G87)</f>
        <v>0</v>
      </c>
      <c r="O160" s="195" t="str">
        <f>IF(IFERROR(INDEX('Both teabags AfterDry'!$D$1:$D$839,MATCH(H160,'Both teabags AfterDry'!$A$1:$A$839,0)),"")="N.A","",(IFERROR(INDEX('Both teabags AfterDry'!$D$1:$D$839,MATCH(H160,'Both teabags AfterDry'!$A$1:$A$839,0)),"")))</f>
        <v/>
      </c>
      <c r="P160" s="195" t="str">
        <f>IF(IFERROR(INDEX('Both teabags AfterDry'!$D$1:$D$839,MATCH(I160,'Both teabags AfterDry'!$A$1:$A$839,0)),"")="N.A","",(IFERROR(INDEX('Both teabags AfterDry'!$D$1:$D$839,MATCH(I160,'Both teabags AfterDry'!$A$1:$A$839,0)),"")))</f>
        <v/>
      </c>
      <c r="Q160" s="195" t="str">
        <f t="shared" si="14"/>
        <v/>
      </c>
      <c r="R160" s="195" t="str">
        <f t="shared" si="14"/>
        <v/>
      </c>
      <c r="S160" s="195" t="str">
        <f t="shared" si="9"/>
        <v/>
      </c>
      <c r="T160" s="195" t="str">
        <f t="shared" si="15"/>
        <v/>
      </c>
      <c r="U160" s="195" t="str">
        <f t="shared" si="10"/>
        <v/>
      </c>
      <c r="V160" t="str">
        <f t="shared" si="11"/>
        <v/>
      </c>
      <c r="W160" s="195" t="str">
        <f t="shared" si="16"/>
        <v/>
      </c>
      <c r="X160" s="195" t="str">
        <f t="shared" si="17"/>
        <v/>
      </c>
      <c r="Y160" s="255" t="str">
        <f>IF(ISNUMBER(SEARCH("C", 'Dry_Litterbag Placem_Collection'!T87)),"YES","NO")</f>
        <v>NO</v>
      </c>
      <c r="Z160" s="255" t="str">
        <f>IF(ISNUMBER(SEARCH("H", 'Dry_Litterbag Placem_Collection'!T87)),"YES","NO")</f>
        <v>NO</v>
      </c>
      <c r="AA160" s="255" t="str">
        <f>IF(ISNUMBER(SEARCH("R", 'Dry_Litterbag Placem_Collection'!T87)),"YES","NO")</f>
        <v>NO</v>
      </c>
      <c r="AB160" s="255" t="str">
        <f>IF(ISNUMBER(SEARCH("C", 'Dry_Litterbag Placem_Collection'!S87)),"YES","NO")</f>
        <v>NO</v>
      </c>
      <c r="AC160" s="255" t="str">
        <f>IF(ISNUMBER(SEARCH("H", 'Dry_Litterbag Placem_Collection'!S87)),"YES","NO")</f>
        <v>NO</v>
      </c>
      <c r="AD160" s="255" t="str">
        <f>IF(ISNUMBER(SEARCH("R", 'Dry_Litterbag Placem_Collection'!S87)),"YES","NO")</f>
        <v>NO</v>
      </c>
    </row>
    <row r="161" spans="2:30">
      <c r="B161" t="str">
        <f>'Final data_for_R_analysis_Dryse'!A87</f>
        <v>Dry</v>
      </c>
      <c r="C161" s="263">
        <f>'Final data_for_R_analysis_Dryse'!B87</f>
        <v>86</v>
      </c>
      <c r="D161" t="s">
        <v>3839</v>
      </c>
      <c r="E161" t="s">
        <v>22</v>
      </c>
      <c r="F161" s="387">
        <v>6</v>
      </c>
      <c r="G161" s="16">
        <f>'Dry_Litterbag Placem_Collection'!E88</f>
        <v>42937</v>
      </c>
      <c r="H161" t="str">
        <f>'Final data_for_R_analysis_Dryse'!J87</f>
        <v>G31</v>
      </c>
      <c r="I161" t="str">
        <f>'Final data_for_R_analysis_Dryse'!J307</f>
        <v>R738</v>
      </c>
      <c r="J161">
        <f>IFERROR(INDEX('Green_rooibos initial weight'!$C$5:$C$1749,MATCH(H161, 'Green_rooibos initial weight'!$A$5:$A$1749,0)),"")</f>
        <v>1.9390000000000001</v>
      </c>
      <c r="K161">
        <f>IFERROR(INDEX('Green_rooibos initial weight'!$C$5:$C$1749,MATCH(I161, 'Green_rooibos initial weight'!$A$5:$A$1749,0)),"")</f>
        <v>2.1890000000000001</v>
      </c>
      <c r="L161" s="195">
        <f t="shared" si="12"/>
        <v>1.6892</v>
      </c>
      <c r="M161" s="195">
        <f t="shared" si="13"/>
        <v>1.9392</v>
      </c>
      <c r="N161" s="16">
        <f>IF('Dry_Litterbag Placem_Collection'!G88="N.A","",'Dry_Litterbag Placem_Collection'!G88)</f>
        <v>43006</v>
      </c>
      <c r="O161" s="195" t="str">
        <f>IF(IFERROR(INDEX('Both teabags AfterDry'!$D$1:$D$839,MATCH(H161,'Both teabags AfterDry'!$A$1:$A$839,0)),"")="N.A","",(IFERROR(INDEX('Both teabags AfterDry'!$D$1:$D$839,MATCH(H161,'Both teabags AfterDry'!$A$1:$A$839,0)),"")))</f>
        <v/>
      </c>
      <c r="P161" s="195" t="str">
        <f>IF(IFERROR(INDEX('Both teabags AfterDry'!$D$1:$D$839,MATCH(I161,'Both teabags AfterDry'!$A$1:$A$839,0)),"")="N.A","",(IFERROR(INDEX('Both teabags AfterDry'!$D$1:$D$839,MATCH(I161,'Both teabags AfterDry'!$A$1:$A$839,0)),"")))</f>
        <v/>
      </c>
      <c r="Q161" s="195" t="str">
        <f t="shared" si="14"/>
        <v/>
      </c>
      <c r="R161" s="195" t="str">
        <f t="shared" si="14"/>
        <v/>
      </c>
      <c r="S161" s="195" t="str">
        <f t="shared" si="9"/>
        <v/>
      </c>
      <c r="T161" s="195" t="str">
        <f t="shared" si="15"/>
        <v/>
      </c>
      <c r="U161" s="195" t="str">
        <f t="shared" si="10"/>
        <v/>
      </c>
      <c r="V161">
        <f t="shared" si="11"/>
        <v>69</v>
      </c>
      <c r="W161" s="195" t="str">
        <f t="shared" si="16"/>
        <v/>
      </c>
      <c r="X161" s="195" t="str">
        <f t="shared" si="17"/>
        <v/>
      </c>
      <c r="Y161" s="255" t="str">
        <f>IF(ISNUMBER(SEARCH("C", 'Dry_Litterbag Placem_Collection'!T88)),"YES","NO")</f>
        <v>NO</v>
      </c>
      <c r="Z161" s="255" t="str">
        <f>IF(ISNUMBER(SEARCH("H", 'Dry_Litterbag Placem_Collection'!T88)),"YES","NO")</f>
        <v>NO</v>
      </c>
      <c r="AA161" s="255" t="str">
        <f>IF(ISNUMBER(SEARCH("R", 'Dry_Litterbag Placem_Collection'!T88)),"YES","NO")</f>
        <v>NO</v>
      </c>
      <c r="AB161" s="255" t="str">
        <f>IF(ISNUMBER(SEARCH("C", 'Dry_Litterbag Placem_Collection'!S88)),"YES","NO")</f>
        <v>NO</v>
      </c>
      <c r="AC161" s="255" t="str">
        <f>IF(ISNUMBER(SEARCH("H", 'Dry_Litterbag Placem_Collection'!S88)),"YES","NO")</f>
        <v>YES</v>
      </c>
      <c r="AD161" s="255" t="str">
        <f>IF(ISNUMBER(SEARCH("R", 'Dry_Litterbag Placem_Collection'!S88)),"YES","NO")</f>
        <v>NO</v>
      </c>
    </row>
    <row r="162" spans="2:30">
      <c r="B162" t="str">
        <f>'Final data_for_R_analysis_Dryse'!A88</f>
        <v>Dry</v>
      </c>
      <c r="C162" s="263">
        <f>'Final data_for_R_analysis_Dryse'!B88</f>
        <v>87</v>
      </c>
      <c r="D162" t="s">
        <v>3839</v>
      </c>
      <c r="E162" t="s">
        <v>22</v>
      </c>
      <c r="F162" s="387">
        <v>7</v>
      </c>
      <c r="G162" s="16">
        <f>'Dry_Litterbag Placem_Collection'!E89</f>
        <v>42937</v>
      </c>
      <c r="H162" t="str">
        <f>'Final data_for_R_analysis_Dryse'!J88</f>
        <v>G220</v>
      </c>
      <c r="I162" t="str">
        <f>'Final data_for_R_analysis_Dryse'!J308</f>
        <v>R394</v>
      </c>
      <c r="J162">
        <f>IFERROR(INDEX('Green_rooibos initial weight'!$C$5:$C$1749,MATCH(H162, 'Green_rooibos initial weight'!$A$5:$A$1749,0)),"")</f>
        <v>2.1179999999999999</v>
      </c>
      <c r="K162">
        <f>IFERROR(INDEX('Green_rooibos initial weight'!$C$5:$C$1749,MATCH(I162, 'Green_rooibos initial weight'!$A$5:$A$1749,0)),"")</f>
        <v>2.1800000000000002</v>
      </c>
      <c r="L162" s="195">
        <f t="shared" si="12"/>
        <v>1.8681999999999999</v>
      </c>
      <c r="M162" s="195">
        <f t="shared" si="13"/>
        <v>1.9302000000000001</v>
      </c>
      <c r="N162" s="16">
        <f>IF('Dry_Litterbag Placem_Collection'!G89="N.A","",'Dry_Litterbag Placem_Collection'!G89)</f>
        <v>43006</v>
      </c>
      <c r="O162" s="195">
        <f>IF(IFERROR(INDEX('Both teabags AfterDry'!$D$1:$D$839,MATCH(H162,'Both teabags AfterDry'!$A$1:$A$839,0)),"")="N.A","",(IFERROR(INDEX('Both teabags AfterDry'!$D$1:$D$839,MATCH(H162,'Both teabags AfterDry'!$A$1:$A$839,0)),"")))</f>
        <v>1.9671000000000001</v>
      </c>
      <c r="P162" s="195">
        <f>IF(IFERROR(INDEX('Both teabags AfterDry'!$D$1:$D$839,MATCH(I162,'Both teabags AfterDry'!$A$1:$A$839,0)),"")="N.A","",(IFERROR(INDEX('Both teabags AfterDry'!$D$1:$D$839,MATCH(I162,'Both teabags AfterDry'!$A$1:$A$839,0)),"")))</f>
        <v>1.9392</v>
      </c>
      <c r="Q162" s="195">
        <f t="shared" si="14"/>
        <v>1.8165</v>
      </c>
      <c r="R162" s="195">
        <f t="shared" si="14"/>
        <v>1.7886</v>
      </c>
      <c r="S162" s="195">
        <f t="shared" si="9"/>
        <v>2.7673696606358988E-2</v>
      </c>
      <c r="T162" s="195">
        <f t="shared" si="15"/>
        <v>1.8142375922458636E-2</v>
      </c>
      <c r="U162" s="195">
        <f t="shared" si="10"/>
        <v>0.92663972645321724</v>
      </c>
      <c r="V162">
        <f t="shared" si="11"/>
        <v>69</v>
      </c>
      <c r="W162" s="195">
        <f t="shared" si="16"/>
        <v>0.96713337695206769</v>
      </c>
      <c r="X162" s="195" t="str">
        <f t="shared" si="17"/>
        <v/>
      </c>
      <c r="Y162" s="255" t="str">
        <f>IF(ISNUMBER(SEARCH("C", 'Dry_Litterbag Placem_Collection'!T89)),"YES","NO")</f>
        <v>NO</v>
      </c>
      <c r="Z162" s="255" t="str">
        <f>IF(ISNUMBER(SEARCH("H", 'Dry_Litterbag Placem_Collection'!T89)),"YES","NO")</f>
        <v>NO</v>
      </c>
      <c r="AA162" s="255" t="str">
        <f>IF(ISNUMBER(SEARCH("R", 'Dry_Litterbag Placem_Collection'!T89)),"YES","NO")</f>
        <v>NO</v>
      </c>
      <c r="AB162" s="255" t="str">
        <f>IF(ISNUMBER(SEARCH("C", 'Dry_Litterbag Placem_Collection'!S89)),"YES","NO")</f>
        <v>NO</v>
      </c>
      <c r="AC162" s="255" t="str">
        <f>IF(ISNUMBER(SEARCH("H", 'Dry_Litterbag Placem_Collection'!S89)),"YES","NO")</f>
        <v>NO</v>
      </c>
      <c r="AD162" s="255" t="str">
        <f>IF(ISNUMBER(SEARCH("R", 'Dry_Litterbag Placem_Collection'!S89)),"YES","NO")</f>
        <v>NO</v>
      </c>
    </row>
    <row r="163" spans="2:30">
      <c r="B163" t="str">
        <f>'Final data_for_R_analysis_Dryse'!A89</f>
        <v>Dry</v>
      </c>
      <c r="C163" s="263">
        <f>'Final data_for_R_analysis_Dryse'!B89</f>
        <v>88</v>
      </c>
      <c r="D163" t="s">
        <v>3839</v>
      </c>
      <c r="E163" t="s">
        <v>22</v>
      </c>
      <c r="F163" s="387">
        <v>8</v>
      </c>
      <c r="G163" s="16">
        <f>'Dry_Litterbag Placem_Collection'!E90</f>
        <v>42937</v>
      </c>
      <c r="H163" t="str">
        <f>'Final data_for_R_analysis_Dryse'!J89</f>
        <v>G531</v>
      </c>
      <c r="I163" t="str">
        <f>'Final data_for_R_analysis_Dryse'!J309</f>
        <v>R819</v>
      </c>
      <c r="J163">
        <f>IFERROR(INDEX('Green_rooibos initial weight'!$C$5:$C$1749,MATCH(H163, 'Green_rooibos initial weight'!$A$5:$A$1749,0)),"")</f>
        <v>2.0110000000000001</v>
      </c>
      <c r="K163">
        <f>IFERROR(INDEX('Green_rooibos initial weight'!$C$5:$C$1749,MATCH(I163, 'Green_rooibos initial weight'!$A$5:$A$1749,0)),"")</f>
        <v>2.16</v>
      </c>
      <c r="L163" s="195">
        <f t="shared" si="12"/>
        <v>1.7612000000000001</v>
      </c>
      <c r="M163" s="195">
        <f t="shared" si="13"/>
        <v>1.9102000000000001</v>
      </c>
      <c r="N163" s="16">
        <f>IF('Dry_Litterbag Placem_Collection'!G90="N.A","",'Dry_Litterbag Placem_Collection'!G90)</f>
        <v>43006</v>
      </c>
      <c r="O163" s="195">
        <f>IF(IFERROR(INDEX('Both teabags AfterDry'!$D$1:$D$839,MATCH(H163,'Both teabags AfterDry'!$A$1:$A$839,0)),"")="N.A","",(IFERROR(INDEX('Both teabags AfterDry'!$D$1:$D$839,MATCH(H163,'Both teabags AfterDry'!$A$1:$A$839,0)),"")))</f>
        <v>1.8593999999999999</v>
      </c>
      <c r="P163" s="195">
        <f>IF(IFERROR(INDEX('Both teabags AfterDry'!$D$1:$D$839,MATCH(I163,'Both teabags AfterDry'!$A$1:$A$839,0)),"")="N.A","",(IFERROR(INDEX('Both teabags AfterDry'!$D$1:$D$839,MATCH(I163,'Both teabags AfterDry'!$A$1:$A$839,0)),"")))</f>
        <v>2.8028</v>
      </c>
      <c r="Q163" s="195">
        <f t="shared" si="14"/>
        <v>1.7087999999999999</v>
      </c>
      <c r="R163" s="195">
        <f t="shared" si="14"/>
        <v>2.6522000000000001</v>
      </c>
      <c r="S163" s="195">
        <f t="shared" si="9"/>
        <v>2.975244151714751E-2</v>
      </c>
      <c r="T163" s="195">
        <f t="shared" si="15"/>
        <v>1.9505163559935212E-2</v>
      </c>
      <c r="U163" s="195">
        <f t="shared" si="10"/>
        <v>1.3884410009423096</v>
      </c>
      <c r="V163">
        <f t="shared" si="11"/>
        <v>69</v>
      </c>
      <c r="W163" s="195">
        <f t="shared" si="16"/>
        <v>0.96466455876823332</v>
      </c>
      <c r="X163" s="195">
        <f t="shared" si="17"/>
        <v>-4.4064579528787236E-2</v>
      </c>
      <c r="Y163" s="255" t="str">
        <f>IF(ISNUMBER(SEARCH("C", 'Dry_Litterbag Placem_Collection'!T90)),"YES","NO")</f>
        <v>NO</v>
      </c>
      <c r="Z163" s="255" t="str">
        <f>IF(ISNUMBER(SEARCH("H", 'Dry_Litterbag Placem_Collection'!T90)),"YES","NO")</f>
        <v>NO</v>
      </c>
      <c r="AA163" s="255" t="str">
        <f>IF(ISNUMBER(SEARCH("R", 'Dry_Litterbag Placem_Collection'!T90)),"YES","NO")</f>
        <v>NO</v>
      </c>
      <c r="AB163" s="255" t="str">
        <f>IF(ISNUMBER(SEARCH("C", 'Dry_Litterbag Placem_Collection'!S90)),"YES","NO")</f>
        <v>NO</v>
      </c>
      <c r="AC163" s="255" t="str">
        <f>IF(ISNUMBER(SEARCH("H", 'Dry_Litterbag Placem_Collection'!S90)),"YES","NO")</f>
        <v>NO</v>
      </c>
      <c r="AD163" s="255" t="str">
        <f>IF(ISNUMBER(SEARCH("R", 'Dry_Litterbag Placem_Collection'!S90)),"YES","NO")</f>
        <v>NO</v>
      </c>
    </row>
    <row r="164" spans="2:30">
      <c r="B164" t="str">
        <f>'Final data_for_R_analysis_Dryse'!A90</f>
        <v>Dry</v>
      </c>
      <c r="C164" s="263">
        <f>'Final data_for_R_analysis_Dryse'!B90</f>
        <v>89</v>
      </c>
      <c r="D164" t="s">
        <v>3840</v>
      </c>
      <c r="E164" t="s">
        <v>22</v>
      </c>
      <c r="F164" s="386">
        <v>1</v>
      </c>
      <c r="G164" s="16">
        <f>'Dry_Litterbag Placem_Collection'!E91</f>
        <v>42937</v>
      </c>
      <c r="H164" t="str">
        <f>'Final data_for_R_analysis_Dryse'!J90</f>
        <v>G35</v>
      </c>
      <c r="I164" t="str">
        <f>'Final data_for_R_analysis_Dryse'!J310</f>
        <v>R818</v>
      </c>
      <c r="J164">
        <f>IFERROR(INDEX('Green_rooibos initial weight'!$C$5:$C$1749,MATCH(H164, 'Green_rooibos initial weight'!$A$5:$A$1749,0)),"")</f>
        <v>2.0299999999999998</v>
      </c>
      <c r="K164">
        <f>IFERROR(INDEX('Green_rooibos initial weight'!$C$5:$C$1749,MATCH(I164, 'Green_rooibos initial weight'!$A$5:$A$1749,0)),"")</f>
        <v>2.1680000000000001</v>
      </c>
      <c r="L164" s="195">
        <f t="shared" si="12"/>
        <v>1.7801999999999998</v>
      </c>
      <c r="M164" s="195">
        <f t="shared" si="13"/>
        <v>1.9182000000000001</v>
      </c>
      <c r="N164" s="16">
        <f>IF('Dry_Litterbag Placem_Collection'!G91="N.A","",'Dry_Litterbag Placem_Collection'!G91)</f>
        <v>43006</v>
      </c>
      <c r="O164" s="195">
        <f>IF(IFERROR(INDEX('Both teabags AfterDry'!$D$1:$D$839,MATCH(H164,'Both teabags AfterDry'!$A$1:$A$839,0)),"")="N.A","",(IFERROR(INDEX('Both teabags AfterDry'!$D$1:$D$839,MATCH(H164,'Both teabags AfterDry'!$A$1:$A$839,0)),"")))</f>
        <v>1.8633999999999999</v>
      </c>
      <c r="P164" s="195">
        <f>IF(IFERROR(INDEX('Both teabags AfterDry'!$D$1:$D$839,MATCH(I164,'Both teabags AfterDry'!$A$1:$A$839,0)),"")="N.A","",(IFERROR(INDEX('Both teabags AfterDry'!$D$1:$D$839,MATCH(I164,'Both teabags AfterDry'!$A$1:$A$839,0)),"")))</f>
        <v>1.9155</v>
      </c>
      <c r="Q164" s="195">
        <f t="shared" si="14"/>
        <v>1.7127999999999999</v>
      </c>
      <c r="R164" s="195">
        <f t="shared" si="14"/>
        <v>1.7648999999999999</v>
      </c>
      <c r="S164" s="195">
        <f t="shared" si="9"/>
        <v>3.7860914503988319E-2</v>
      </c>
      <c r="T164" s="195">
        <f t="shared" si="15"/>
        <v>2.4820932073873571E-2</v>
      </c>
      <c r="U164" s="195">
        <f t="shared" si="10"/>
        <v>0.92008132624335304</v>
      </c>
      <c r="V164">
        <f t="shared" si="11"/>
        <v>69</v>
      </c>
      <c r="W164" s="195">
        <f t="shared" si="16"/>
        <v>0.95503454334443194</v>
      </c>
      <c r="X164" s="195" t="str">
        <f t="shared" si="17"/>
        <v/>
      </c>
      <c r="Y164" s="255" t="str">
        <f>IF(ISNUMBER(SEARCH("C", 'Dry_Litterbag Placem_Collection'!T91)),"YES","NO")</f>
        <v>NO</v>
      </c>
      <c r="Z164" s="255" t="str">
        <f>IF(ISNUMBER(SEARCH("H", 'Dry_Litterbag Placem_Collection'!T91)),"YES","NO")</f>
        <v>NO</v>
      </c>
      <c r="AA164" s="255" t="str">
        <f>IF(ISNUMBER(SEARCH("R", 'Dry_Litterbag Placem_Collection'!T91)),"YES","NO")</f>
        <v>NO</v>
      </c>
      <c r="AB164" s="255" t="str">
        <f>IF(ISNUMBER(SEARCH("C", 'Dry_Litterbag Placem_Collection'!S91)),"YES","NO")</f>
        <v>NO</v>
      </c>
      <c r="AC164" s="255" t="str">
        <f>IF(ISNUMBER(SEARCH("H", 'Dry_Litterbag Placem_Collection'!S91)),"YES","NO")</f>
        <v>NO</v>
      </c>
      <c r="AD164" s="255" t="str">
        <f>IF(ISNUMBER(SEARCH("R", 'Dry_Litterbag Placem_Collection'!S91)),"YES","NO")</f>
        <v>NO</v>
      </c>
    </row>
    <row r="165" spans="2:30">
      <c r="B165" t="str">
        <f>'Final data_for_R_analysis_Dryse'!A91</f>
        <v>Dry</v>
      </c>
      <c r="C165" s="263">
        <f>'Final data_for_R_analysis_Dryse'!B91</f>
        <v>90</v>
      </c>
      <c r="D165" t="s">
        <v>3840</v>
      </c>
      <c r="E165" t="s">
        <v>22</v>
      </c>
      <c r="F165" s="386">
        <v>2</v>
      </c>
      <c r="G165" s="16">
        <f>'Dry_Litterbag Placem_Collection'!E92</f>
        <v>42937</v>
      </c>
      <c r="H165" t="str">
        <f>'Final data_for_R_analysis_Dryse'!J91</f>
        <v>G264</v>
      </c>
      <c r="I165" t="str">
        <f>'Final data_for_R_analysis_Dryse'!J311</f>
        <v>R767</v>
      </c>
      <c r="J165">
        <f>IFERROR(INDEX('Green_rooibos initial weight'!$C$5:$C$1749,MATCH(H165, 'Green_rooibos initial weight'!$A$5:$A$1749,0)),"")</f>
        <v>2.1070000000000002</v>
      </c>
      <c r="K165">
        <f>IFERROR(INDEX('Green_rooibos initial weight'!$C$5:$C$1749,MATCH(I165, 'Green_rooibos initial weight'!$A$5:$A$1749,0)),"")</f>
        <v>2.1890000000000001</v>
      </c>
      <c r="L165" s="195">
        <f t="shared" si="12"/>
        <v>1.8572000000000002</v>
      </c>
      <c r="M165" s="195">
        <f t="shared" si="13"/>
        <v>1.9392</v>
      </c>
      <c r="N165" s="16">
        <f>IF('Dry_Litterbag Placem_Collection'!G92="N.A","",'Dry_Litterbag Placem_Collection'!G92)</f>
        <v>43006</v>
      </c>
      <c r="O165" s="195" t="str">
        <f>IF(IFERROR(INDEX('Both teabags AfterDry'!$D$1:$D$839,MATCH(H165,'Both teabags AfterDry'!$A$1:$A$839,0)),"")="N.A","",(IFERROR(INDEX('Both teabags AfterDry'!$D$1:$D$839,MATCH(H165,'Both teabags AfterDry'!$A$1:$A$839,0)),"")))</f>
        <v/>
      </c>
      <c r="P165" s="195" t="str">
        <f>IF(IFERROR(INDEX('Both teabags AfterDry'!$D$1:$D$839,MATCH(I165,'Both teabags AfterDry'!$A$1:$A$839,0)),"")="N.A","",(IFERROR(INDEX('Both teabags AfterDry'!$D$1:$D$839,MATCH(I165,'Both teabags AfterDry'!$A$1:$A$839,0)),"")))</f>
        <v/>
      </c>
      <c r="Q165" s="195" t="str">
        <f t="shared" si="14"/>
        <v/>
      </c>
      <c r="R165" s="195" t="str">
        <f t="shared" si="14"/>
        <v/>
      </c>
      <c r="S165" s="195" t="str">
        <f t="shared" si="9"/>
        <v/>
      </c>
      <c r="T165" s="195" t="str">
        <f t="shared" si="15"/>
        <v/>
      </c>
      <c r="U165" s="195" t="str">
        <f t="shared" si="10"/>
        <v/>
      </c>
      <c r="V165">
        <f t="shared" si="11"/>
        <v>69</v>
      </c>
      <c r="W165" s="195" t="str">
        <f t="shared" si="16"/>
        <v/>
      </c>
      <c r="X165" s="195" t="str">
        <f t="shared" si="17"/>
        <v/>
      </c>
      <c r="Y165" s="255" t="str">
        <f>IF(ISNUMBER(SEARCH("C", 'Dry_Litterbag Placem_Collection'!T92)),"YES","NO")</f>
        <v>NO</v>
      </c>
      <c r="Z165" s="255" t="str">
        <f>IF(ISNUMBER(SEARCH("H", 'Dry_Litterbag Placem_Collection'!T92)),"YES","NO")</f>
        <v>NO</v>
      </c>
      <c r="AA165" s="255" t="str">
        <f>IF(ISNUMBER(SEARCH("R", 'Dry_Litterbag Placem_Collection'!T92)),"YES","NO")</f>
        <v>NO</v>
      </c>
      <c r="AB165" s="255" t="str">
        <f>IF(ISNUMBER(SEARCH("C", 'Dry_Litterbag Placem_Collection'!S92)),"YES","NO")</f>
        <v>NO</v>
      </c>
      <c r="AC165" s="255" t="str">
        <f>IF(ISNUMBER(SEARCH("H", 'Dry_Litterbag Placem_Collection'!S92)),"YES","NO")</f>
        <v>NO</v>
      </c>
      <c r="AD165" s="255" t="str">
        <f>IF(ISNUMBER(SEARCH("R", 'Dry_Litterbag Placem_Collection'!S92)),"YES","NO")</f>
        <v>NO</v>
      </c>
    </row>
    <row r="166" spans="2:30">
      <c r="B166" t="str">
        <f>'Final data_for_R_analysis_Dryse'!A92</f>
        <v>Dry</v>
      </c>
      <c r="C166" s="263">
        <f>'Final data_for_R_analysis_Dryse'!B92</f>
        <v>91</v>
      </c>
      <c r="D166" t="s">
        <v>3840</v>
      </c>
      <c r="E166" t="s">
        <v>22</v>
      </c>
      <c r="F166" s="386">
        <v>3</v>
      </c>
      <c r="G166" s="16">
        <f>'Dry_Litterbag Placem_Collection'!E93</f>
        <v>42937</v>
      </c>
      <c r="H166" t="str">
        <f>'Final data_for_R_analysis_Dryse'!J92</f>
        <v>G13</v>
      </c>
      <c r="I166" t="str">
        <f>'Final data_for_R_analysis_Dryse'!J312</f>
        <v>R787</v>
      </c>
      <c r="J166">
        <f>IFERROR(INDEX('Green_rooibos initial weight'!$C$5:$C$1749,MATCH(H166, 'Green_rooibos initial weight'!$A$5:$A$1749,0)),"")</f>
        <v>2.085</v>
      </c>
      <c r="K166">
        <f>IFERROR(INDEX('Green_rooibos initial weight'!$C$5:$C$1749,MATCH(I166, 'Green_rooibos initial weight'!$A$5:$A$1749,0)),"")</f>
        <v>2.1579999999999999</v>
      </c>
      <c r="L166" s="195">
        <f t="shared" si="12"/>
        <v>1.8351999999999999</v>
      </c>
      <c r="M166" s="195">
        <f t="shared" si="13"/>
        <v>1.9081999999999999</v>
      </c>
      <c r="N166" s="16">
        <f>IF('Dry_Litterbag Placem_Collection'!G93="N.A","",'Dry_Litterbag Placem_Collection'!G93)</f>
        <v>43006</v>
      </c>
      <c r="O166" s="195">
        <f>IF(IFERROR(INDEX('Both teabags AfterDry'!$D$1:$D$839,MATCH(H166,'Both teabags AfterDry'!$A$1:$A$839,0)),"")="N.A","",(IFERROR(INDEX('Both teabags AfterDry'!$D$1:$D$839,MATCH(H166,'Both teabags AfterDry'!$A$1:$A$839,0)),"")))</f>
        <v>1.9104000000000001</v>
      </c>
      <c r="P166" s="195">
        <f>IF(IFERROR(INDEX('Both teabags AfterDry'!$D$1:$D$839,MATCH(I166,'Both teabags AfterDry'!$A$1:$A$839,0)),"")="N.A","",(IFERROR(INDEX('Both teabags AfterDry'!$D$1:$D$839,MATCH(I166,'Both teabags AfterDry'!$A$1:$A$839,0)),"")))</f>
        <v>1.8551</v>
      </c>
      <c r="Q166" s="195">
        <f t="shared" si="14"/>
        <v>1.7598</v>
      </c>
      <c r="R166" s="195">
        <f t="shared" si="14"/>
        <v>1.7044999999999999</v>
      </c>
      <c r="S166" s="195">
        <f t="shared" si="9"/>
        <v>4.1085440278988639E-2</v>
      </c>
      <c r="T166" s="195">
        <f t="shared" si="15"/>
        <v>2.6934872961997283E-2</v>
      </c>
      <c r="U166" s="195">
        <f t="shared" si="10"/>
        <v>0.89325018341892881</v>
      </c>
      <c r="V166">
        <f t="shared" si="11"/>
        <v>69</v>
      </c>
      <c r="W166" s="195">
        <f t="shared" si="16"/>
        <v>0.95120494028623681</v>
      </c>
      <c r="X166" s="195" t="str">
        <f t="shared" si="17"/>
        <v/>
      </c>
      <c r="Y166" s="255" t="str">
        <f>IF(ISNUMBER(SEARCH("C", 'Dry_Litterbag Placem_Collection'!T93)),"YES","NO")</f>
        <v>NO</v>
      </c>
      <c r="Z166" s="255" t="str">
        <f>IF(ISNUMBER(SEARCH("H", 'Dry_Litterbag Placem_Collection'!T93)),"YES","NO")</f>
        <v>NO</v>
      </c>
      <c r="AA166" s="255" t="str">
        <f>IF(ISNUMBER(SEARCH("R", 'Dry_Litterbag Placem_Collection'!T93)),"YES","NO")</f>
        <v>NO</v>
      </c>
      <c r="AB166" s="255" t="str">
        <f>IF(ISNUMBER(SEARCH("C", 'Dry_Litterbag Placem_Collection'!S93)),"YES","NO")</f>
        <v>NO</v>
      </c>
      <c r="AC166" s="255" t="str">
        <f>IF(ISNUMBER(SEARCH("H", 'Dry_Litterbag Placem_Collection'!S93)),"YES","NO")</f>
        <v>NO</v>
      </c>
      <c r="AD166" s="255" t="str">
        <f>IF(ISNUMBER(SEARCH("R", 'Dry_Litterbag Placem_Collection'!S93)),"YES","NO")</f>
        <v>NO</v>
      </c>
    </row>
    <row r="167" spans="2:30">
      <c r="B167" t="str">
        <f>'Final data_for_R_analysis_Dryse'!A93</f>
        <v>Dry</v>
      </c>
      <c r="C167" s="263">
        <f>'Final data_for_R_analysis_Dryse'!B93</f>
        <v>92</v>
      </c>
      <c r="D167" t="s">
        <v>3840</v>
      </c>
      <c r="E167" t="s">
        <v>22</v>
      </c>
      <c r="F167" s="387">
        <v>4</v>
      </c>
      <c r="G167" s="16">
        <f>'Dry_Litterbag Placem_Collection'!E94</f>
        <v>42937</v>
      </c>
      <c r="H167" t="str">
        <f>'Final data_for_R_analysis_Dryse'!J93</f>
        <v>G324</v>
      </c>
      <c r="I167" t="str">
        <f>'Final data_for_R_analysis_Dryse'!J313</f>
        <v>R812</v>
      </c>
      <c r="J167">
        <f>IFERROR(INDEX('Green_rooibos initial weight'!$C$5:$C$1749,MATCH(H167, 'Green_rooibos initial weight'!$A$5:$A$1749,0)),"")</f>
        <v>2.0430000000000001</v>
      </c>
      <c r="K167">
        <f>IFERROR(INDEX('Green_rooibos initial weight'!$C$5:$C$1749,MATCH(I167, 'Green_rooibos initial weight'!$A$5:$A$1749,0)),"")</f>
        <v>2.1819999999999999</v>
      </c>
      <c r="L167" s="195">
        <f t="shared" si="12"/>
        <v>1.7932000000000001</v>
      </c>
      <c r="M167" s="195">
        <f t="shared" si="13"/>
        <v>1.9321999999999999</v>
      </c>
      <c r="N167" s="16">
        <f>IF('Dry_Litterbag Placem_Collection'!G94="N.A","",'Dry_Litterbag Placem_Collection'!G94)</f>
        <v>43006</v>
      </c>
      <c r="O167" s="195">
        <f>IF(IFERROR(INDEX('Both teabags AfterDry'!$D$1:$D$839,MATCH(H167,'Both teabags AfterDry'!$A$1:$A$839,0)),"")="N.A","",(IFERROR(INDEX('Both teabags AfterDry'!$D$1:$D$839,MATCH(H167,'Both teabags AfterDry'!$A$1:$A$839,0)),"")))</f>
        <v>1.6847000000000001</v>
      </c>
      <c r="P167" s="195">
        <f>IF(IFERROR(INDEX('Both teabags AfterDry'!$D$1:$D$839,MATCH(I167,'Both teabags AfterDry'!$A$1:$A$839,0)),"")="N.A","",(IFERROR(INDEX('Both teabags AfterDry'!$D$1:$D$839,MATCH(I167,'Both teabags AfterDry'!$A$1:$A$839,0)),"")))</f>
        <v>1.8855</v>
      </c>
      <c r="Q167" s="195">
        <f t="shared" si="14"/>
        <v>1.5341</v>
      </c>
      <c r="R167" s="195">
        <f t="shared" si="14"/>
        <v>1.7348999999999999</v>
      </c>
      <c r="S167" s="195">
        <f t="shared" si="9"/>
        <v>0.14449029667633284</v>
      </c>
      <c r="T167" s="195">
        <f t="shared" si="15"/>
        <v>9.4725230125101798E-2</v>
      </c>
      <c r="U167" s="195">
        <f t="shared" si="10"/>
        <v>0.89788841734810054</v>
      </c>
      <c r="V167">
        <f t="shared" si="11"/>
        <v>69</v>
      </c>
      <c r="W167" s="195">
        <f t="shared" si="16"/>
        <v>0.82839632223713444</v>
      </c>
      <c r="X167" s="195" t="str">
        <f t="shared" si="17"/>
        <v/>
      </c>
      <c r="Y167" s="255" t="str">
        <f>IF(ISNUMBER(SEARCH("C", 'Dry_Litterbag Placem_Collection'!T94)),"YES","NO")</f>
        <v>NO</v>
      </c>
      <c r="Z167" s="255" t="str">
        <f>IF(ISNUMBER(SEARCH("H", 'Dry_Litterbag Placem_Collection'!T94)),"YES","NO")</f>
        <v>NO</v>
      </c>
      <c r="AA167" s="255" t="str">
        <f>IF(ISNUMBER(SEARCH("R", 'Dry_Litterbag Placem_Collection'!T94)),"YES","NO")</f>
        <v>NO</v>
      </c>
      <c r="AB167" s="255" t="str">
        <f>IF(ISNUMBER(SEARCH("C", 'Dry_Litterbag Placem_Collection'!S94)),"YES","NO")</f>
        <v>NO</v>
      </c>
      <c r="AC167" s="255" t="str">
        <f>IF(ISNUMBER(SEARCH("H", 'Dry_Litterbag Placem_Collection'!S94)),"YES","NO")</f>
        <v>YES</v>
      </c>
      <c r="AD167" s="255" t="str">
        <f>IF(ISNUMBER(SEARCH("R", 'Dry_Litterbag Placem_Collection'!S94)),"YES","NO")</f>
        <v>NO</v>
      </c>
    </row>
    <row r="168" spans="2:30">
      <c r="B168" t="str">
        <f>'Final data_for_R_analysis_Dryse'!A94</f>
        <v>Dry</v>
      </c>
      <c r="C168" s="263">
        <f>'Final data_for_R_analysis_Dryse'!B94</f>
        <v>93</v>
      </c>
      <c r="D168" t="s">
        <v>3840</v>
      </c>
      <c r="E168" t="s">
        <v>22</v>
      </c>
      <c r="F168" s="387">
        <v>5</v>
      </c>
      <c r="G168" s="16">
        <f>'Dry_Litterbag Placem_Collection'!E95</f>
        <v>42937</v>
      </c>
      <c r="H168" t="str">
        <f>'Final data_for_R_analysis_Dryse'!J94</f>
        <v>G99</v>
      </c>
      <c r="I168" t="str">
        <f>'Final data_for_R_analysis_Dryse'!J314</f>
        <v>R675</v>
      </c>
      <c r="J168">
        <f>IFERROR(INDEX('Green_rooibos initial weight'!$C$5:$C$1749,MATCH(H168, 'Green_rooibos initial weight'!$A$5:$A$1749,0)),"")</f>
        <v>2.097</v>
      </c>
      <c r="K168">
        <f>IFERROR(INDEX('Green_rooibos initial weight'!$C$5:$C$1749,MATCH(I168, 'Green_rooibos initial weight'!$A$5:$A$1749,0)),"")</f>
        <v>2.2069999999999999</v>
      </c>
      <c r="L168" s="195">
        <f t="shared" si="12"/>
        <v>1.8472</v>
      </c>
      <c r="M168" s="195">
        <f t="shared" si="13"/>
        <v>1.9571999999999998</v>
      </c>
      <c r="N168" s="16">
        <f>IF('Dry_Litterbag Placem_Collection'!G95="N.A","",'Dry_Litterbag Placem_Collection'!G95)</f>
        <v>43006</v>
      </c>
      <c r="O168" s="195">
        <f>IF(IFERROR(INDEX('Both teabags AfterDry'!$D$1:$D$839,MATCH(H168,'Both teabags AfterDry'!$A$1:$A$839,0)),"")="N.A","",(IFERROR(INDEX('Both teabags AfterDry'!$D$1:$D$839,MATCH(H168,'Both teabags AfterDry'!$A$1:$A$839,0)),"")))</f>
        <v>1.9186000000000001</v>
      </c>
      <c r="P168" s="195">
        <f>IF(IFERROR(INDEX('Both teabags AfterDry'!$D$1:$D$839,MATCH(I168,'Both teabags AfterDry'!$A$1:$A$839,0)),"")="N.A","",(IFERROR(INDEX('Both teabags AfterDry'!$D$1:$D$839,MATCH(I168,'Both teabags AfterDry'!$A$1:$A$839,0)),"")))</f>
        <v>2.0310000000000001</v>
      </c>
      <c r="Q168" s="195">
        <f t="shared" si="14"/>
        <v>1.768</v>
      </c>
      <c r="R168" s="195">
        <f t="shared" si="14"/>
        <v>1.8804000000000001</v>
      </c>
      <c r="S168" s="195">
        <f t="shared" si="9"/>
        <v>4.287570376786487E-2</v>
      </c>
      <c r="T168" s="195">
        <f t="shared" si="15"/>
        <v>2.8108537387008806E-2</v>
      </c>
      <c r="U168" s="195">
        <f t="shared" si="10"/>
        <v>0.96076026977314544</v>
      </c>
      <c r="V168">
        <f t="shared" si="11"/>
        <v>69</v>
      </c>
      <c r="W168" s="195">
        <f t="shared" si="16"/>
        <v>0.94907873661773767</v>
      </c>
      <c r="X168" s="195" t="str">
        <f t="shared" si="17"/>
        <v/>
      </c>
      <c r="Y168" s="255" t="str">
        <f>IF(ISNUMBER(SEARCH("C", 'Dry_Litterbag Placem_Collection'!T95)),"YES","NO")</f>
        <v>NO</v>
      </c>
      <c r="Z168" s="255" t="str">
        <f>IF(ISNUMBER(SEARCH("H", 'Dry_Litterbag Placem_Collection'!T95)),"YES","NO")</f>
        <v>YES</v>
      </c>
      <c r="AA168" s="255" t="str">
        <f>IF(ISNUMBER(SEARCH("R", 'Dry_Litterbag Placem_Collection'!T95)),"YES","NO")</f>
        <v>NO</v>
      </c>
      <c r="AB168" s="255" t="str">
        <f>IF(ISNUMBER(SEARCH("C", 'Dry_Litterbag Placem_Collection'!S95)),"YES","NO")</f>
        <v>NO</v>
      </c>
      <c r="AC168" s="255" t="str">
        <f>IF(ISNUMBER(SEARCH("H", 'Dry_Litterbag Placem_Collection'!S95)),"YES","NO")</f>
        <v>YES</v>
      </c>
      <c r="AD168" s="255" t="str">
        <f>IF(ISNUMBER(SEARCH("R", 'Dry_Litterbag Placem_Collection'!S95)),"YES","NO")</f>
        <v>NO</v>
      </c>
    </row>
    <row r="169" spans="2:30">
      <c r="B169" t="str">
        <f>'Final data_for_R_analysis_Dryse'!A95</f>
        <v>Dry</v>
      </c>
      <c r="C169" s="263">
        <f>'Final data_for_R_analysis_Dryse'!B95</f>
        <v>94</v>
      </c>
      <c r="D169" t="s">
        <v>3840</v>
      </c>
      <c r="E169" t="s">
        <v>22</v>
      </c>
      <c r="F169" s="387">
        <v>6</v>
      </c>
      <c r="G169" s="16">
        <f>'Dry_Litterbag Placem_Collection'!E96</f>
        <v>0</v>
      </c>
      <c r="H169" t="str">
        <f>'Final data_for_R_analysis_Dryse'!J95</f>
        <v/>
      </c>
      <c r="I169" t="str">
        <f>'Final data_for_R_analysis_Dryse'!J315</f>
        <v/>
      </c>
      <c r="J169" t="str">
        <f>IFERROR(INDEX('Green_rooibos initial weight'!$C$5:$C$1749,MATCH(H169, 'Green_rooibos initial weight'!$A$5:$A$1749,0)),"")</f>
        <v/>
      </c>
      <c r="K169" t="str">
        <f>IFERROR(INDEX('Green_rooibos initial weight'!$C$5:$C$1749,MATCH(I169, 'Green_rooibos initial weight'!$A$5:$A$1749,0)),"")</f>
        <v/>
      </c>
      <c r="L169" s="195" t="str">
        <f t="shared" si="12"/>
        <v/>
      </c>
      <c r="M169" s="195" t="str">
        <f t="shared" si="13"/>
        <v/>
      </c>
      <c r="N169" s="16">
        <f>IF('Dry_Litterbag Placem_Collection'!G96="N.A","",'Dry_Litterbag Placem_Collection'!G96)</f>
        <v>0</v>
      </c>
      <c r="O169" s="195" t="str">
        <f>IF(IFERROR(INDEX('Both teabags AfterDry'!$D$1:$D$839,MATCH(H169,'Both teabags AfterDry'!$A$1:$A$839,0)),"")="N.A","",(IFERROR(INDEX('Both teabags AfterDry'!$D$1:$D$839,MATCH(H169,'Both teabags AfterDry'!$A$1:$A$839,0)),"")))</f>
        <v/>
      </c>
      <c r="P169" s="195" t="str">
        <f>IF(IFERROR(INDEX('Both teabags AfterDry'!$D$1:$D$839,MATCH(I169,'Both teabags AfterDry'!$A$1:$A$839,0)),"")="N.A","",(IFERROR(INDEX('Both teabags AfterDry'!$D$1:$D$839,MATCH(I169,'Both teabags AfterDry'!$A$1:$A$839,0)),"")))</f>
        <v/>
      </c>
      <c r="Q169" s="195" t="str">
        <f t="shared" si="14"/>
        <v/>
      </c>
      <c r="R169" s="195" t="str">
        <f t="shared" si="14"/>
        <v/>
      </c>
      <c r="S169" s="195" t="str">
        <f t="shared" si="9"/>
        <v/>
      </c>
      <c r="T169" s="195" t="str">
        <f t="shared" si="15"/>
        <v/>
      </c>
      <c r="U169" s="195" t="str">
        <f t="shared" si="10"/>
        <v/>
      </c>
      <c r="V169" t="str">
        <f t="shared" si="11"/>
        <v/>
      </c>
      <c r="W169" s="195" t="str">
        <f t="shared" si="16"/>
        <v/>
      </c>
      <c r="X169" s="195" t="str">
        <f t="shared" si="17"/>
        <v/>
      </c>
      <c r="Y169" s="255" t="str">
        <f>IF(ISNUMBER(SEARCH("C", 'Dry_Litterbag Placem_Collection'!T96)),"YES","NO")</f>
        <v>NO</v>
      </c>
      <c r="Z169" s="255" t="str">
        <f>IF(ISNUMBER(SEARCH("H", 'Dry_Litterbag Placem_Collection'!T96)),"YES","NO")</f>
        <v>NO</v>
      </c>
      <c r="AA169" s="255" t="str">
        <f>IF(ISNUMBER(SEARCH("R", 'Dry_Litterbag Placem_Collection'!T96)),"YES","NO")</f>
        <v>NO</v>
      </c>
      <c r="AB169" s="255" t="str">
        <f>IF(ISNUMBER(SEARCH("C", 'Dry_Litterbag Placem_Collection'!S96)),"YES","NO")</f>
        <v>NO</v>
      </c>
      <c r="AC169" s="255" t="str">
        <f>IF(ISNUMBER(SEARCH("H", 'Dry_Litterbag Placem_Collection'!S96)),"YES","NO")</f>
        <v>NO</v>
      </c>
      <c r="AD169" s="255" t="str">
        <f>IF(ISNUMBER(SEARCH("R", 'Dry_Litterbag Placem_Collection'!S96)),"YES","NO")</f>
        <v>NO</v>
      </c>
    </row>
    <row r="170" spans="2:30">
      <c r="B170" t="str">
        <f>'Final data_for_R_analysis_Dryse'!A96</f>
        <v>Dry</v>
      </c>
      <c r="C170" s="263">
        <f>'Final data_for_R_analysis_Dryse'!B96</f>
        <v>95</v>
      </c>
      <c r="D170" t="s">
        <v>3840</v>
      </c>
      <c r="E170" t="s">
        <v>22</v>
      </c>
      <c r="F170" s="387">
        <v>7</v>
      </c>
      <c r="G170" s="16">
        <f>'Dry_Litterbag Placem_Collection'!E97</f>
        <v>42937</v>
      </c>
      <c r="H170" t="str">
        <f>'Final data_for_R_analysis_Dryse'!J96</f>
        <v>G126</v>
      </c>
      <c r="I170" t="str">
        <f>'Final data_for_R_analysis_Dryse'!J316</f>
        <v>R794</v>
      </c>
      <c r="J170">
        <f>IFERROR(INDEX('Green_rooibos initial weight'!$C$5:$C$1749,MATCH(H170, 'Green_rooibos initial weight'!$A$5:$A$1749,0)),"")</f>
        <v>2.093</v>
      </c>
      <c r="K170">
        <f>IFERROR(INDEX('Green_rooibos initial weight'!$C$5:$C$1749,MATCH(I170, 'Green_rooibos initial weight'!$A$5:$A$1749,0)),"")</f>
        <v>2.2000000000000002</v>
      </c>
      <c r="L170" s="195">
        <f t="shared" si="12"/>
        <v>1.8431999999999999</v>
      </c>
      <c r="M170" s="195">
        <f t="shared" si="13"/>
        <v>1.9502000000000002</v>
      </c>
      <c r="N170" s="16">
        <f>IF('Dry_Litterbag Placem_Collection'!G97="N.A","",'Dry_Litterbag Placem_Collection'!G97)</f>
        <v>43006</v>
      </c>
      <c r="O170" s="195">
        <f>IF(IFERROR(INDEX('Both teabags AfterDry'!$D$1:$D$839,MATCH(H170,'Both teabags AfterDry'!$A$1:$A$839,0)),"")="N.A","",(IFERROR(INDEX('Both teabags AfterDry'!$D$1:$D$839,MATCH(H170,'Both teabags AfterDry'!$A$1:$A$839,0)),"")))</f>
        <v>1.8705000000000001</v>
      </c>
      <c r="P170" s="195">
        <f>IF(IFERROR(INDEX('Both teabags AfterDry'!$D$1:$D$839,MATCH(I170,'Both teabags AfterDry'!$A$1:$A$839,0)),"")="N.A","",(IFERROR(INDEX('Both teabags AfterDry'!$D$1:$D$839,MATCH(I170,'Both teabags AfterDry'!$A$1:$A$839,0)),"")))</f>
        <v>1.9469000000000001</v>
      </c>
      <c r="Q170" s="195">
        <f t="shared" si="14"/>
        <v>1.7199</v>
      </c>
      <c r="R170" s="195">
        <f t="shared" si="14"/>
        <v>1.7963</v>
      </c>
      <c r="S170" s="195">
        <f t="shared" si="9"/>
        <v>6.689453125E-2</v>
      </c>
      <c r="T170" s="195">
        <f t="shared" si="15"/>
        <v>4.3854847090261322E-2</v>
      </c>
      <c r="U170" s="195">
        <f t="shared" si="10"/>
        <v>0.92108501692134137</v>
      </c>
      <c r="V170">
        <f t="shared" si="11"/>
        <v>69</v>
      </c>
      <c r="W170" s="195">
        <f t="shared" si="16"/>
        <v>0.92055281324228022</v>
      </c>
      <c r="X170" s="195" t="str">
        <f t="shared" si="17"/>
        <v/>
      </c>
      <c r="Y170" s="255" t="str">
        <f>IF(ISNUMBER(SEARCH("C", 'Dry_Litterbag Placem_Collection'!T97)),"YES","NO")</f>
        <v>NO</v>
      </c>
      <c r="Z170" s="255" t="str">
        <f>IF(ISNUMBER(SEARCH("H", 'Dry_Litterbag Placem_Collection'!T97)),"YES","NO")</f>
        <v>NO</v>
      </c>
      <c r="AA170" s="255" t="str">
        <f>IF(ISNUMBER(SEARCH("R", 'Dry_Litterbag Placem_Collection'!T97)),"YES","NO")</f>
        <v>NO</v>
      </c>
      <c r="AB170" s="255" t="str">
        <f>IF(ISNUMBER(SEARCH("C", 'Dry_Litterbag Placem_Collection'!S97)),"YES","NO")</f>
        <v>NO</v>
      </c>
      <c r="AC170" s="255" t="str">
        <f>IF(ISNUMBER(SEARCH("H", 'Dry_Litterbag Placem_Collection'!S97)),"YES","NO")</f>
        <v>NO</v>
      </c>
      <c r="AD170" s="255" t="str">
        <f>IF(ISNUMBER(SEARCH("R", 'Dry_Litterbag Placem_Collection'!S97)),"YES","NO")</f>
        <v>NO</v>
      </c>
    </row>
    <row r="171" spans="2:30">
      <c r="B171" t="str">
        <f>'Final data_for_R_analysis_Dryse'!A97</f>
        <v>Dry</v>
      </c>
      <c r="C171" s="263">
        <f>'Final data_for_R_analysis_Dryse'!B97</f>
        <v>96</v>
      </c>
      <c r="D171" t="s">
        <v>3840</v>
      </c>
      <c r="E171" t="s">
        <v>22</v>
      </c>
      <c r="F171" s="387">
        <v>8</v>
      </c>
      <c r="G171" s="16">
        <f>'Dry_Litterbag Placem_Collection'!E98</f>
        <v>42937</v>
      </c>
      <c r="H171" t="str">
        <f>'Final data_for_R_analysis_Dryse'!J97</f>
        <v>G244</v>
      </c>
      <c r="I171" t="str">
        <f>'Final data_for_R_analysis_Dryse'!J317</f>
        <v>R737</v>
      </c>
      <c r="J171">
        <f>IFERROR(INDEX('Green_rooibos initial weight'!$C$5:$C$1749,MATCH(H171, 'Green_rooibos initial weight'!$A$5:$A$1749,0)),"")</f>
        <v>2.04</v>
      </c>
      <c r="K171">
        <f>IFERROR(INDEX('Green_rooibos initial weight'!$C$5:$C$1749,MATCH(I171, 'Green_rooibos initial weight'!$A$5:$A$1749,0)),"")</f>
        <v>2.222</v>
      </c>
      <c r="L171" s="195">
        <f t="shared" si="12"/>
        <v>1.7902</v>
      </c>
      <c r="M171" s="195">
        <f t="shared" si="13"/>
        <v>1.9722</v>
      </c>
      <c r="N171" s="16">
        <f>IF('Dry_Litterbag Placem_Collection'!G98="N.A","",'Dry_Litterbag Placem_Collection'!G98)</f>
        <v>43006</v>
      </c>
      <c r="O171" s="195">
        <f>IF(IFERROR(INDEX('Both teabags AfterDry'!$D$1:$D$839,MATCH(H171,'Both teabags AfterDry'!$A$1:$A$839,0)),"")="N.A","",(IFERROR(INDEX('Both teabags AfterDry'!$D$1:$D$839,MATCH(H171,'Both teabags AfterDry'!$A$1:$A$839,0)),"")))</f>
        <v>1.8649</v>
      </c>
      <c r="P171" s="195">
        <f>IF(IFERROR(INDEX('Both teabags AfterDry'!$D$1:$D$839,MATCH(I171,'Both teabags AfterDry'!$A$1:$A$839,0)),"")="N.A","",(IFERROR(INDEX('Both teabags AfterDry'!$D$1:$D$839,MATCH(I171,'Both teabags AfterDry'!$A$1:$A$839,0)),"")))</f>
        <v>1.9686999999999999</v>
      </c>
      <c r="Q171" s="195">
        <f t="shared" si="14"/>
        <v>1.7142999999999999</v>
      </c>
      <c r="R171" s="195">
        <f t="shared" si="14"/>
        <v>1.8180999999999998</v>
      </c>
      <c r="S171" s="195">
        <f t="shared" si="9"/>
        <v>4.2397497486314384E-2</v>
      </c>
      <c r="T171" s="195">
        <f t="shared" si="15"/>
        <v>2.7795033981526763E-2</v>
      </c>
      <c r="U171" s="195">
        <f t="shared" si="10"/>
        <v>0.92186390832572751</v>
      </c>
      <c r="V171">
        <f t="shared" si="11"/>
        <v>69</v>
      </c>
      <c r="W171" s="195">
        <f t="shared" si="16"/>
        <v>0.94964667756969789</v>
      </c>
      <c r="X171" s="195" t="str">
        <f t="shared" si="17"/>
        <v/>
      </c>
      <c r="Y171" s="255" t="str">
        <f>IF(ISNUMBER(SEARCH("C", 'Dry_Litterbag Placem_Collection'!T98)),"YES","NO")</f>
        <v>NO</v>
      </c>
      <c r="Z171" s="255" t="str">
        <f>IF(ISNUMBER(SEARCH("H", 'Dry_Litterbag Placem_Collection'!T98)),"YES","NO")</f>
        <v>NO</v>
      </c>
      <c r="AA171" s="255" t="str">
        <f>IF(ISNUMBER(SEARCH("R", 'Dry_Litterbag Placem_Collection'!T98)),"YES","NO")</f>
        <v>NO</v>
      </c>
      <c r="AB171" s="255" t="str">
        <f>IF(ISNUMBER(SEARCH("C", 'Dry_Litterbag Placem_Collection'!S98)),"YES","NO")</f>
        <v>NO</v>
      </c>
      <c r="AC171" s="255" t="str">
        <f>IF(ISNUMBER(SEARCH("H", 'Dry_Litterbag Placem_Collection'!S98)),"YES","NO")</f>
        <v>NO</v>
      </c>
      <c r="AD171" s="255" t="str">
        <f>IF(ISNUMBER(SEARCH("R", 'Dry_Litterbag Placem_Collection'!S98)),"YES","NO")</f>
        <v>NO</v>
      </c>
    </row>
    <row r="172" spans="2:30">
      <c r="B172" t="str">
        <f>'Final data_for_R_analysis_Dryse'!A98</f>
        <v>Dry</v>
      </c>
      <c r="C172" s="263">
        <f>'Final data_for_R_analysis_Dryse'!B98</f>
        <v>97</v>
      </c>
      <c r="D172" t="s">
        <v>3841</v>
      </c>
      <c r="E172" t="s">
        <v>22</v>
      </c>
      <c r="F172" s="386">
        <v>1</v>
      </c>
      <c r="G172" s="16">
        <f>'Dry_Litterbag Placem_Collection'!E99</f>
        <v>42939</v>
      </c>
      <c r="H172" t="str">
        <f>'Final data_for_R_analysis_Dryse'!J98</f>
        <v>G432</v>
      </c>
      <c r="I172" t="str">
        <f>'Final data_for_R_analysis_Dryse'!J318</f>
        <v>R801</v>
      </c>
      <c r="J172">
        <f>IFERROR(INDEX('Green_rooibos initial weight'!$C$5:$C$1749,MATCH(H172, 'Green_rooibos initial weight'!$A$5:$A$1749,0)),"")</f>
        <v>2.0659999999999998</v>
      </c>
      <c r="K172">
        <f>IFERROR(INDEX('Green_rooibos initial weight'!$C$5:$C$1749,MATCH(I172, 'Green_rooibos initial weight'!$A$5:$A$1749,0)),"")</f>
        <v>2.17</v>
      </c>
      <c r="L172" s="195">
        <f t="shared" si="12"/>
        <v>1.8161999999999998</v>
      </c>
      <c r="M172" s="195">
        <f t="shared" si="13"/>
        <v>1.9201999999999999</v>
      </c>
      <c r="N172" s="16">
        <f>IF('Dry_Litterbag Placem_Collection'!G99="N.A","",'Dry_Litterbag Placem_Collection'!G99)</f>
        <v>43010</v>
      </c>
      <c r="O172" s="195" t="str">
        <f>IF(IFERROR(INDEX('Both teabags AfterDry'!$D$1:$D$839,MATCH(H172,'Both teabags AfterDry'!$A$1:$A$839,0)),"")="N.A","",(IFERROR(INDEX('Both teabags AfterDry'!$D$1:$D$839,MATCH(H172,'Both teabags AfterDry'!$A$1:$A$839,0)),"")))</f>
        <v/>
      </c>
      <c r="P172" s="195" t="str">
        <f>IF(IFERROR(INDEX('Both teabags AfterDry'!$D$1:$D$839,MATCH(I172,'Both teabags AfterDry'!$A$1:$A$839,0)),"")="N.A","",(IFERROR(INDEX('Both teabags AfterDry'!$D$1:$D$839,MATCH(I172,'Both teabags AfterDry'!$A$1:$A$839,0)),"")))</f>
        <v/>
      </c>
      <c r="Q172" s="195" t="str">
        <f t="shared" si="14"/>
        <v/>
      </c>
      <c r="R172" s="195" t="str">
        <f t="shared" si="14"/>
        <v/>
      </c>
      <c r="S172" s="195" t="str">
        <f t="shared" si="9"/>
        <v/>
      </c>
      <c r="T172" s="195" t="str">
        <f t="shared" si="15"/>
        <v/>
      </c>
      <c r="U172" s="195" t="str">
        <f t="shared" si="10"/>
        <v/>
      </c>
      <c r="V172">
        <f t="shared" si="11"/>
        <v>71</v>
      </c>
      <c r="W172" s="195" t="str">
        <f t="shared" si="16"/>
        <v/>
      </c>
      <c r="X172" s="195" t="str">
        <f t="shared" si="17"/>
        <v/>
      </c>
      <c r="Y172" s="255" t="str">
        <f>IF(ISNUMBER(SEARCH("C", 'Dry_Litterbag Placem_Collection'!T99)),"YES","NO")</f>
        <v>YES</v>
      </c>
      <c r="Z172" s="255" t="str">
        <f>IF(ISNUMBER(SEARCH("H", 'Dry_Litterbag Placem_Collection'!T99)),"YES","NO")</f>
        <v>YES</v>
      </c>
      <c r="AA172" s="255" t="str">
        <f>IF(ISNUMBER(SEARCH("R", 'Dry_Litterbag Placem_Collection'!T99)),"YES","NO")</f>
        <v>NO</v>
      </c>
      <c r="AB172" s="255" t="str">
        <f>IF(ISNUMBER(SEARCH("C", 'Dry_Litterbag Placem_Collection'!S99)),"YES","NO")</f>
        <v>YES</v>
      </c>
      <c r="AC172" s="255" t="str">
        <f>IF(ISNUMBER(SEARCH("H", 'Dry_Litterbag Placem_Collection'!S99)),"YES","NO")</f>
        <v>YES</v>
      </c>
      <c r="AD172" s="255" t="str">
        <f>IF(ISNUMBER(SEARCH("R", 'Dry_Litterbag Placem_Collection'!S99)),"YES","NO")</f>
        <v>NO</v>
      </c>
    </row>
    <row r="173" spans="2:30">
      <c r="B173" t="str">
        <f>'Final data_for_R_analysis_Dryse'!A99</f>
        <v>Dry</v>
      </c>
      <c r="C173" s="263">
        <f>'Final data_for_R_analysis_Dryse'!B99</f>
        <v>98</v>
      </c>
      <c r="D173" t="s">
        <v>3841</v>
      </c>
      <c r="E173" t="s">
        <v>22</v>
      </c>
      <c r="F173" s="386">
        <v>2</v>
      </c>
      <c r="G173" s="16">
        <f>'Dry_Litterbag Placem_Collection'!E100</f>
        <v>42939</v>
      </c>
      <c r="H173" t="str">
        <f>'Final data_for_R_analysis_Dryse'!J99</f>
        <v>G184</v>
      </c>
      <c r="I173" t="str">
        <f>'Final data_for_R_analysis_Dryse'!J319</f>
        <v>R808</v>
      </c>
      <c r="J173">
        <f>IFERROR(INDEX('Green_rooibos initial weight'!$C$5:$C$1749,MATCH(H173, 'Green_rooibos initial weight'!$A$5:$A$1749,0)),"")</f>
        <v>1.925</v>
      </c>
      <c r="K173">
        <f>IFERROR(INDEX('Green_rooibos initial weight'!$C$5:$C$1749,MATCH(I173, 'Green_rooibos initial weight'!$A$5:$A$1749,0)),"")</f>
        <v>2.2309999999999999</v>
      </c>
      <c r="L173" s="195">
        <f t="shared" si="12"/>
        <v>1.6752</v>
      </c>
      <c r="M173" s="195">
        <f t="shared" si="13"/>
        <v>1.9811999999999999</v>
      </c>
      <c r="N173" s="16">
        <f>IF('Dry_Litterbag Placem_Collection'!G100="N.A","",'Dry_Litterbag Placem_Collection'!G100)</f>
        <v>43010</v>
      </c>
      <c r="O173" s="195">
        <f>IF(IFERROR(INDEX('Both teabags AfterDry'!$D$1:$D$839,MATCH(H173,'Both teabags AfterDry'!$A$1:$A$839,0)),"")="N.A","",(IFERROR(INDEX('Both teabags AfterDry'!$D$1:$D$839,MATCH(H173,'Both teabags AfterDry'!$A$1:$A$839,0)),"")))</f>
        <v>0.99180000000000001</v>
      </c>
      <c r="P173" s="195">
        <f>IF(IFERROR(INDEX('Both teabags AfterDry'!$D$1:$D$839,MATCH(I173,'Both teabags AfterDry'!$A$1:$A$839,0)),"")="N.A","",(IFERROR(INDEX('Both teabags AfterDry'!$D$1:$D$839,MATCH(I173,'Both teabags AfterDry'!$A$1:$A$839,0)),"")))</f>
        <v>0</v>
      </c>
      <c r="Q173" s="195">
        <f t="shared" si="14"/>
        <v>0.84119999999999995</v>
      </c>
      <c r="R173" s="195" t="str">
        <f t="shared" si="14"/>
        <v/>
      </c>
      <c r="S173" s="195">
        <f t="shared" si="9"/>
        <v>0.49785100286532957</v>
      </c>
      <c r="T173" s="195">
        <f t="shared" si="15"/>
        <v>0.32638213014449163</v>
      </c>
      <c r="U173" s="195" t="str">
        <f t="shared" si="10"/>
        <v/>
      </c>
      <c r="V173">
        <f t="shared" si="11"/>
        <v>71</v>
      </c>
      <c r="W173" s="195">
        <f t="shared" si="16"/>
        <v>0.40872802510055872</v>
      </c>
      <c r="X173" s="195" t="str">
        <f t="shared" si="17"/>
        <v/>
      </c>
      <c r="Y173" s="255" t="str">
        <f>IF(ISNUMBER(SEARCH("C", 'Dry_Litterbag Placem_Collection'!T100)),"YES","NO")</f>
        <v>YES</v>
      </c>
      <c r="Z173" s="255" t="str">
        <f>IF(ISNUMBER(SEARCH("H", 'Dry_Litterbag Placem_Collection'!T100)),"YES","NO")</f>
        <v>YES</v>
      </c>
      <c r="AA173" s="255" t="str">
        <f>IF(ISNUMBER(SEARCH("R", 'Dry_Litterbag Placem_Collection'!T100)),"YES","NO")</f>
        <v>NO</v>
      </c>
      <c r="AB173" s="255" t="str">
        <f>IF(ISNUMBER(SEARCH("C", 'Dry_Litterbag Placem_Collection'!S100)),"YES","NO")</f>
        <v>YES</v>
      </c>
      <c r="AC173" s="255" t="str">
        <f>IF(ISNUMBER(SEARCH("H", 'Dry_Litterbag Placem_Collection'!S100)),"YES","NO")</f>
        <v>YES</v>
      </c>
      <c r="AD173" s="255" t="str">
        <f>IF(ISNUMBER(SEARCH("R", 'Dry_Litterbag Placem_Collection'!S100)),"YES","NO")</f>
        <v>NO</v>
      </c>
    </row>
    <row r="174" spans="2:30">
      <c r="B174" t="str">
        <f>'Final data_for_R_analysis_Dryse'!A100</f>
        <v>Dry</v>
      </c>
      <c r="C174" s="263">
        <f>'Final data_for_R_analysis_Dryse'!B100</f>
        <v>99</v>
      </c>
      <c r="D174" t="s">
        <v>3841</v>
      </c>
      <c r="E174" t="s">
        <v>22</v>
      </c>
      <c r="F174" s="386">
        <v>3</v>
      </c>
      <c r="G174" s="16">
        <f>'Dry_Litterbag Placem_Collection'!E101</f>
        <v>0</v>
      </c>
      <c r="H174" t="str">
        <f>'Final data_for_R_analysis_Dryse'!J100</f>
        <v/>
      </c>
      <c r="I174" t="str">
        <f>'Final data_for_R_analysis_Dryse'!J320</f>
        <v/>
      </c>
      <c r="J174" t="str">
        <f>IFERROR(INDEX('Green_rooibos initial weight'!$C$5:$C$1749,MATCH(H174, 'Green_rooibos initial weight'!$A$5:$A$1749,0)),"")</f>
        <v/>
      </c>
      <c r="K174" t="str">
        <f>IFERROR(INDEX('Green_rooibos initial weight'!$C$5:$C$1749,MATCH(I174, 'Green_rooibos initial weight'!$A$5:$A$1749,0)),"")</f>
        <v/>
      </c>
      <c r="L174" s="195" t="str">
        <f t="shared" si="12"/>
        <v/>
      </c>
      <c r="M174" s="195" t="str">
        <f t="shared" si="13"/>
        <v/>
      </c>
      <c r="N174" s="16">
        <f>IF('Dry_Litterbag Placem_Collection'!G101="N.A","",'Dry_Litterbag Placem_Collection'!G101)</f>
        <v>0</v>
      </c>
      <c r="O174" s="195" t="str">
        <f>IF(IFERROR(INDEX('Both teabags AfterDry'!$D$1:$D$839,MATCH(H174,'Both teabags AfterDry'!$A$1:$A$839,0)),"")="N.A","",(IFERROR(INDEX('Both teabags AfterDry'!$D$1:$D$839,MATCH(H174,'Both teabags AfterDry'!$A$1:$A$839,0)),"")))</f>
        <v/>
      </c>
      <c r="P174" s="195" t="str">
        <f>IF(IFERROR(INDEX('Both teabags AfterDry'!$D$1:$D$839,MATCH(I174,'Both teabags AfterDry'!$A$1:$A$839,0)),"")="N.A","",(IFERROR(INDEX('Both teabags AfterDry'!$D$1:$D$839,MATCH(I174,'Both teabags AfterDry'!$A$1:$A$839,0)),"")))</f>
        <v/>
      </c>
      <c r="Q174" s="195" t="str">
        <f t="shared" si="14"/>
        <v/>
      </c>
      <c r="R174" s="195" t="str">
        <f t="shared" si="14"/>
        <v/>
      </c>
      <c r="S174" s="195" t="str">
        <f t="shared" si="9"/>
        <v/>
      </c>
      <c r="T174" s="195" t="str">
        <f t="shared" si="15"/>
        <v/>
      </c>
      <c r="U174" s="195" t="str">
        <f t="shared" si="10"/>
        <v/>
      </c>
      <c r="V174" t="str">
        <f t="shared" si="11"/>
        <v/>
      </c>
      <c r="W174" s="195" t="str">
        <f t="shared" si="16"/>
        <v/>
      </c>
      <c r="X174" s="195" t="str">
        <f t="shared" si="17"/>
        <v/>
      </c>
      <c r="Y174" s="255" t="str">
        <f>IF(ISNUMBER(SEARCH("C", 'Dry_Litterbag Placem_Collection'!T101)),"YES","NO")</f>
        <v>NO</v>
      </c>
      <c r="Z174" s="255" t="str">
        <f>IF(ISNUMBER(SEARCH("H", 'Dry_Litterbag Placem_Collection'!T101)),"YES","NO")</f>
        <v>NO</v>
      </c>
      <c r="AA174" s="255" t="str">
        <f>IF(ISNUMBER(SEARCH("R", 'Dry_Litterbag Placem_Collection'!T101)),"YES","NO")</f>
        <v>NO</v>
      </c>
      <c r="AB174" s="255" t="str">
        <f>IF(ISNUMBER(SEARCH("C", 'Dry_Litterbag Placem_Collection'!S101)),"YES","NO")</f>
        <v>NO</v>
      </c>
      <c r="AC174" s="255" t="str">
        <f>IF(ISNUMBER(SEARCH("H", 'Dry_Litterbag Placem_Collection'!S101)),"YES","NO")</f>
        <v>NO</v>
      </c>
      <c r="AD174" s="255" t="str">
        <f>IF(ISNUMBER(SEARCH("R", 'Dry_Litterbag Placem_Collection'!S101)),"YES","NO")</f>
        <v>NO</v>
      </c>
    </row>
    <row r="175" spans="2:30">
      <c r="B175" t="str">
        <f>'Final data_for_R_analysis_Dryse'!A101</f>
        <v>Dry</v>
      </c>
      <c r="C175" s="263">
        <f>'Final data_for_R_analysis_Dryse'!B101</f>
        <v>100</v>
      </c>
      <c r="D175" t="s">
        <v>3841</v>
      </c>
      <c r="E175" t="s">
        <v>22</v>
      </c>
      <c r="F175" s="387">
        <v>4</v>
      </c>
      <c r="G175" s="16">
        <f>'Dry_Litterbag Placem_Collection'!E102</f>
        <v>42939</v>
      </c>
      <c r="H175" t="str">
        <f>'Final data_for_R_analysis_Dryse'!J101</f>
        <v>G176</v>
      </c>
      <c r="I175" t="str">
        <f>'Final data_for_R_analysis_Dryse'!J321</f>
        <v>R276</v>
      </c>
      <c r="J175">
        <f>IFERROR(INDEX('Green_rooibos initial weight'!$C$5:$C$1749,MATCH(H175, 'Green_rooibos initial weight'!$A$5:$A$1749,0)),"")</f>
        <v>2.0590000000000002</v>
      </c>
      <c r="K175">
        <f>IFERROR(INDEX('Green_rooibos initial weight'!$C$5:$C$1749,MATCH(I175, 'Green_rooibos initial weight'!$A$5:$A$1749,0)),"")</f>
        <v>2.1930000000000001</v>
      </c>
      <c r="L175" s="195">
        <f t="shared" si="12"/>
        <v>1.8092000000000001</v>
      </c>
      <c r="M175" s="195">
        <f t="shared" si="13"/>
        <v>1.9432</v>
      </c>
      <c r="N175" s="16">
        <f>IF('Dry_Litterbag Placem_Collection'!G102="N.A","",'Dry_Litterbag Placem_Collection'!G102)</f>
        <v>43010</v>
      </c>
      <c r="O175" s="195">
        <f>IF(IFERROR(INDEX('Both teabags AfterDry'!$D$1:$D$839,MATCH(H175,'Both teabags AfterDry'!$A$1:$A$839,0)),"")="N.A","",(IFERROR(INDEX('Both teabags AfterDry'!$D$1:$D$839,MATCH(H175,'Both teabags AfterDry'!$A$1:$A$839,0)),"")))</f>
        <v>1.3146</v>
      </c>
      <c r="P175" s="195">
        <f>IF(IFERROR(INDEX('Both teabags AfterDry'!$D$1:$D$839,MATCH(I175,'Both teabags AfterDry'!$A$1:$A$839,0)),"")="N.A","",(IFERROR(INDEX('Both teabags AfterDry'!$D$1:$D$839,MATCH(I175,'Both teabags AfterDry'!$A$1:$A$839,0)),"")))</f>
        <v>1.4581</v>
      </c>
      <c r="Q175" s="195">
        <f t="shared" si="14"/>
        <v>1.1639999999999999</v>
      </c>
      <c r="R175" s="195">
        <f t="shared" si="14"/>
        <v>1.3074999999999999</v>
      </c>
      <c r="S175" s="195">
        <f t="shared" si="9"/>
        <v>0.35662171125359288</v>
      </c>
      <c r="T175" s="195">
        <f t="shared" si="15"/>
        <v>0.23379475607123906</v>
      </c>
      <c r="U175" s="195">
        <f t="shared" si="10"/>
        <v>0.6728592013174145</v>
      </c>
      <c r="V175">
        <f t="shared" si="11"/>
        <v>71</v>
      </c>
      <c r="W175" s="195">
        <f t="shared" si="16"/>
        <v>0.57645877523326261</v>
      </c>
      <c r="X175" s="195" t="str">
        <f t="shared" si="17"/>
        <v/>
      </c>
      <c r="Y175" s="255" t="str">
        <f>IF(ISNUMBER(SEARCH("C", 'Dry_Litterbag Placem_Collection'!T102)),"YES","NO")</f>
        <v>YES</v>
      </c>
      <c r="Z175" s="255" t="str">
        <f>IF(ISNUMBER(SEARCH("H", 'Dry_Litterbag Placem_Collection'!T102)),"YES","NO")</f>
        <v>YES</v>
      </c>
      <c r="AA175" s="255" t="str">
        <f>IF(ISNUMBER(SEARCH("R", 'Dry_Litterbag Placem_Collection'!T102)),"YES","NO")</f>
        <v>NO</v>
      </c>
      <c r="AB175" s="255" t="str">
        <f>IF(ISNUMBER(SEARCH("C", 'Dry_Litterbag Placem_Collection'!S102)),"YES","NO")</f>
        <v>YES</v>
      </c>
      <c r="AC175" s="255" t="str">
        <f>IF(ISNUMBER(SEARCH("H", 'Dry_Litterbag Placem_Collection'!S102)),"YES","NO")</f>
        <v>YES</v>
      </c>
      <c r="AD175" s="255" t="str">
        <f>IF(ISNUMBER(SEARCH("R", 'Dry_Litterbag Placem_Collection'!S102)),"YES","NO")</f>
        <v>NO</v>
      </c>
    </row>
    <row r="176" spans="2:30">
      <c r="B176" t="str">
        <f>'Final data_for_R_analysis_Dryse'!A102</f>
        <v>Dry</v>
      </c>
      <c r="C176" s="263">
        <f>'Final data_for_R_analysis_Dryse'!B102</f>
        <v>101</v>
      </c>
      <c r="D176" t="s">
        <v>3841</v>
      </c>
      <c r="E176" t="s">
        <v>22</v>
      </c>
      <c r="F176" s="387">
        <v>5</v>
      </c>
      <c r="G176" s="16">
        <f>'Dry_Litterbag Placem_Collection'!E103</f>
        <v>42939</v>
      </c>
      <c r="H176" t="str">
        <f>'Final data_for_R_analysis_Dryse'!J102</f>
        <v>G11</v>
      </c>
      <c r="I176" t="str">
        <f>'Final data_for_R_analysis_Dryse'!J322</f>
        <v>R624</v>
      </c>
      <c r="J176">
        <f>IFERROR(INDEX('Green_rooibos initial weight'!$C$5:$C$1749,MATCH(H176, 'Green_rooibos initial weight'!$A$5:$A$1749,0)),"")</f>
        <v>1.839</v>
      </c>
      <c r="K176">
        <f>IFERROR(INDEX('Green_rooibos initial weight'!$C$5:$C$1749,MATCH(I176, 'Green_rooibos initial weight'!$A$5:$A$1749,0)),"")</f>
        <v>2.0739999999999998</v>
      </c>
      <c r="L176" s="195">
        <f t="shared" si="12"/>
        <v>1.5891999999999999</v>
      </c>
      <c r="M176" s="195">
        <f t="shared" si="13"/>
        <v>1.8241999999999998</v>
      </c>
      <c r="N176" s="16">
        <f>IF('Dry_Litterbag Placem_Collection'!G103="N.A","",'Dry_Litterbag Placem_Collection'!G103)</f>
        <v>43010</v>
      </c>
      <c r="O176" s="195">
        <f>IF(IFERROR(INDEX('Both teabags AfterDry'!$D$1:$D$839,MATCH(H176,'Both teabags AfterDry'!$A$1:$A$839,0)),"")="N.A","",(IFERROR(INDEX('Both teabags AfterDry'!$D$1:$D$839,MATCH(H176,'Both teabags AfterDry'!$A$1:$A$839,0)),"")))</f>
        <v>1.0169999999999999</v>
      </c>
      <c r="P176" s="195">
        <f>IF(IFERROR(INDEX('Both teabags AfterDry'!$D$1:$D$839,MATCH(I176,'Both teabags AfterDry'!$A$1:$A$839,0)),"")="N.A","",(IFERROR(INDEX('Both teabags AfterDry'!$D$1:$D$839,MATCH(I176,'Both teabags AfterDry'!$A$1:$A$839,0)),"")))</f>
        <v>0</v>
      </c>
      <c r="Q176" s="195">
        <f t="shared" si="14"/>
        <v>0.86639999999999984</v>
      </c>
      <c r="R176" s="195" t="str">
        <f t="shared" si="14"/>
        <v/>
      </c>
      <c r="S176" s="195">
        <f t="shared" si="9"/>
        <v>0.45482003523785564</v>
      </c>
      <c r="T176" s="195">
        <f t="shared" si="15"/>
        <v>0.29817180457398612</v>
      </c>
      <c r="U176" s="195" t="str">
        <f t="shared" si="10"/>
        <v/>
      </c>
      <c r="V176">
        <f t="shared" si="11"/>
        <v>71</v>
      </c>
      <c r="W176" s="195">
        <f t="shared" si="16"/>
        <v>0.45983368736596719</v>
      </c>
      <c r="X176" s="195" t="str">
        <f t="shared" si="17"/>
        <v/>
      </c>
      <c r="Y176" s="255" t="str">
        <f>IF(ISNUMBER(SEARCH("C", 'Dry_Litterbag Placem_Collection'!T103)),"YES","NO")</f>
        <v>YES</v>
      </c>
      <c r="Z176" s="255" t="str">
        <f>IF(ISNUMBER(SEARCH("H", 'Dry_Litterbag Placem_Collection'!T103)),"YES","NO")</f>
        <v>YES</v>
      </c>
      <c r="AA176" s="255" t="str">
        <f>IF(ISNUMBER(SEARCH("R", 'Dry_Litterbag Placem_Collection'!T103)),"YES","NO")</f>
        <v>NO</v>
      </c>
      <c r="AB176" s="255" t="str">
        <f>IF(ISNUMBER(SEARCH("C", 'Dry_Litterbag Placem_Collection'!S103)),"YES","NO")</f>
        <v>YES</v>
      </c>
      <c r="AC176" s="255" t="str">
        <f>IF(ISNUMBER(SEARCH("H", 'Dry_Litterbag Placem_Collection'!S103)),"YES","NO")</f>
        <v>NO</v>
      </c>
      <c r="AD176" s="255" t="str">
        <f>IF(ISNUMBER(SEARCH("R", 'Dry_Litterbag Placem_Collection'!S103)),"YES","NO")</f>
        <v>NO</v>
      </c>
    </row>
    <row r="177" spans="2:30">
      <c r="B177" t="str">
        <f>'Final data_for_R_analysis_Dryse'!A103</f>
        <v>Dry</v>
      </c>
      <c r="C177" s="263">
        <f>'Final data_for_R_analysis_Dryse'!B103</f>
        <v>102</v>
      </c>
      <c r="D177" t="s">
        <v>3841</v>
      </c>
      <c r="E177" t="s">
        <v>22</v>
      </c>
      <c r="F177" s="387">
        <v>6</v>
      </c>
      <c r="G177" s="16">
        <f>'Dry_Litterbag Placem_Collection'!E104</f>
        <v>42939</v>
      </c>
      <c r="H177" t="str">
        <f>'Final data_for_R_analysis_Dryse'!J103</f>
        <v>G284</v>
      </c>
      <c r="I177" t="str">
        <f>'Final data_for_R_analysis_Dryse'!J323</f>
        <v>R781</v>
      </c>
      <c r="J177">
        <f>IFERROR(INDEX('Green_rooibos initial weight'!$C$5:$C$1749,MATCH(H177, 'Green_rooibos initial weight'!$A$5:$A$1749,0)),"")</f>
        <v>2.0760000000000001</v>
      </c>
      <c r="K177">
        <f>IFERROR(INDEX('Green_rooibos initial weight'!$C$5:$C$1749,MATCH(I177, 'Green_rooibos initial weight'!$A$5:$A$1749,0)),"")</f>
        <v>2.194</v>
      </c>
      <c r="L177" s="195">
        <f t="shared" si="12"/>
        <v>1.8262</v>
      </c>
      <c r="M177" s="195">
        <f t="shared" si="13"/>
        <v>1.9441999999999999</v>
      </c>
      <c r="N177" s="16">
        <f>IF('Dry_Litterbag Placem_Collection'!G104="N.A","",'Dry_Litterbag Placem_Collection'!G104)</f>
        <v>43010</v>
      </c>
      <c r="O177" s="195">
        <f>IF(IFERROR(INDEX('Both teabags AfterDry'!$D$1:$D$839,MATCH(H177,'Both teabags AfterDry'!$A$1:$A$839,0)),"")="N.A","",(IFERROR(INDEX('Both teabags AfterDry'!$D$1:$D$839,MATCH(H177,'Both teabags AfterDry'!$A$1:$A$839,0)),"")))</f>
        <v>1.1585000000000001</v>
      </c>
      <c r="P177" s="195">
        <f>IF(IFERROR(INDEX('Both teabags AfterDry'!$D$1:$D$839,MATCH(I177,'Both teabags AfterDry'!$A$1:$A$839,0)),"")="N.A","",(IFERROR(INDEX('Both teabags AfterDry'!$D$1:$D$839,MATCH(I177,'Both teabags AfterDry'!$A$1:$A$839,0)),"")))</f>
        <v>1.8687</v>
      </c>
      <c r="Q177" s="195">
        <f t="shared" si="14"/>
        <v>1.0079</v>
      </c>
      <c r="R177" s="195">
        <f t="shared" si="14"/>
        <v>1.7181</v>
      </c>
      <c r="S177" s="195">
        <f t="shared" si="9"/>
        <v>0.44808892782827725</v>
      </c>
      <c r="T177" s="195">
        <f t="shared" si="15"/>
        <v>0.2937590120679443</v>
      </c>
      <c r="U177" s="195">
        <f t="shared" si="10"/>
        <v>0.8837053801049275</v>
      </c>
      <c r="V177">
        <f t="shared" si="11"/>
        <v>71</v>
      </c>
      <c r="W177" s="195">
        <f t="shared" si="16"/>
        <v>0.46782787668850678</v>
      </c>
      <c r="X177" s="195">
        <f t="shared" si="17"/>
        <v>7.0984473669532602E-3</v>
      </c>
      <c r="Y177" s="255" t="str">
        <f>IF(ISNUMBER(SEARCH("C", 'Dry_Litterbag Placem_Collection'!T104)),"YES","NO")</f>
        <v>YES</v>
      </c>
      <c r="Z177" s="255" t="str">
        <f>IF(ISNUMBER(SEARCH("H", 'Dry_Litterbag Placem_Collection'!T104)),"YES","NO")</f>
        <v>YES</v>
      </c>
      <c r="AA177" s="255" t="str">
        <f>IF(ISNUMBER(SEARCH("R", 'Dry_Litterbag Placem_Collection'!T104)),"YES","NO")</f>
        <v>NO</v>
      </c>
      <c r="AB177" s="255" t="str">
        <f>IF(ISNUMBER(SEARCH("C", 'Dry_Litterbag Placem_Collection'!S104)),"YES","NO")</f>
        <v>YES</v>
      </c>
      <c r="AC177" s="255" t="str">
        <f>IF(ISNUMBER(SEARCH("H", 'Dry_Litterbag Placem_Collection'!S104)),"YES","NO")</f>
        <v>YES</v>
      </c>
      <c r="AD177" s="255" t="str">
        <f>IF(ISNUMBER(SEARCH("R", 'Dry_Litterbag Placem_Collection'!S104)),"YES","NO")</f>
        <v>NO</v>
      </c>
    </row>
    <row r="178" spans="2:30">
      <c r="B178" t="str">
        <f>'Final data_for_R_analysis_Dryse'!A104</f>
        <v>Dry</v>
      </c>
      <c r="C178" s="263">
        <f>'Final data_for_R_analysis_Dryse'!B104</f>
        <v>103</v>
      </c>
      <c r="D178" t="s">
        <v>3841</v>
      </c>
      <c r="E178" t="s">
        <v>22</v>
      </c>
      <c r="F178" s="387">
        <v>7</v>
      </c>
      <c r="G178" s="16">
        <f>'Dry_Litterbag Placem_Collection'!E105</f>
        <v>42939</v>
      </c>
      <c r="H178" t="str">
        <f>'Final data_for_R_analysis_Dryse'!J104</f>
        <v>G326</v>
      </c>
      <c r="I178" t="str">
        <f>'Final data_for_R_analysis_Dryse'!J324</f>
        <v>R772</v>
      </c>
      <c r="J178">
        <f>IFERROR(INDEX('Green_rooibos initial weight'!$C$5:$C$1749,MATCH(H178, 'Green_rooibos initial weight'!$A$5:$A$1749,0)),"")</f>
        <v>2.04</v>
      </c>
      <c r="K178">
        <f>IFERROR(INDEX('Green_rooibos initial weight'!$C$5:$C$1749,MATCH(I178, 'Green_rooibos initial weight'!$A$5:$A$1749,0)),"")</f>
        <v>2.1909999999999998</v>
      </c>
      <c r="L178" s="195">
        <f t="shared" si="12"/>
        <v>1.7902</v>
      </c>
      <c r="M178" s="195">
        <f t="shared" si="13"/>
        <v>1.9411999999999998</v>
      </c>
      <c r="N178" s="16">
        <f>IF('Dry_Litterbag Placem_Collection'!G105="N.A","",'Dry_Litterbag Placem_Collection'!G105)</f>
        <v>43010</v>
      </c>
      <c r="O178" s="195">
        <f>IF(IFERROR(INDEX('Both teabags AfterDry'!$D$1:$D$839,MATCH(H178,'Both teabags AfterDry'!$A$1:$A$839,0)),"")="N.A","",(IFERROR(INDEX('Both teabags AfterDry'!$D$1:$D$839,MATCH(H178,'Both teabags AfterDry'!$A$1:$A$839,0)),"")))</f>
        <v>1.0625</v>
      </c>
      <c r="P178" s="195">
        <f>IF(IFERROR(INDEX('Both teabags AfterDry'!$D$1:$D$839,MATCH(I178,'Both teabags AfterDry'!$A$1:$A$839,0)),"")="N.A","",(IFERROR(INDEX('Both teabags AfterDry'!$D$1:$D$839,MATCH(I178,'Both teabags AfterDry'!$A$1:$A$839,0)),"")))</f>
        <v>1.5579000000000001</v>
      </c>
      <c r="Q178" s="195">
        <f t="shared" si="14"/>
        <v>0.91189999999999993</v>
      </c>
      <c r="R178" s="195">
        <f t="shared" si="14"/>
        <v>1.4073</v>
      </c>
      <c r="S178" s="195">
        <f t="shared" si="9"/>
        <v>0.49061557367891862</v>
      </c>
      <c r="T178" s="195">
        <f t="shared" si="15"/>
        <v>0.32163871338570443</v>
      </c>
      <c r="U178" s="195">
        <f t="shared" si="10"/>
        <v>0.72496393983103247</v>
      </c>
      <c r="V178">
        <f t="shared" si="11"/>
        <v>71</v>
      </c>
      <c r="W178" s="195">
        <f t="shared" si="16"/>
        <v>0.41732117140270941</v>
      </c>
      <c r="X178" s="195">
        <f t="shared" si="17"/>
        <v>2.7208048338181027E-2</v>
      </c>
      <c r="Y178" s="255" t="str">
        <f>IF(ISNUMBER(SEARCH("C", 'Dry_Litterbag Placem_Collection'!T105)),"YES","NO")</f>
        <v>YES</v>
      </c>
      <c r="Z178" s="255" t="str">
        <f>IF(ISNUMBER(SEARCH("H", 'Dry_Litterbag Placem_Collection'!T105)),"YES","NO")</f>
        <v>YES</v>
      </c>
      <c r="AA178" s="255" t="str">
        <f>IF(ISNUMBER(SEARCH("R", 'Dry_Litterbag Placem_Collection'!T105)),"YES","NO")</f>
        <v>NO</v>
      </c>
      <c r="AB178" s="255" t="str">
        <f>IF(ISNUMBER(SEARCH("C", 'Dry_Litterbag Placem_Collection'!S105)),"YES","NO")</f>
        <v>YES</v>
      </c>
      <c r="AC178" s="255" t="str">
        <f>IF(ISNUMBER(SEARCH("H", 'Dry_Litterbag Placem_Collection'!S105)),"YES","NO")</f>
        <v>YES</v>
      </c>
      <c r="AD178" s="255" t="str">
        <f>IF(ISNUMBER(SEARCH("R", 'Dry_Litterbag Placem_Collection'!S105)),"YES","NO")</f>
        <v>NO</v>
      </c>
    </row>
    <row r="179" spans="2:30">
      <c r="B179" t="str">
        <f>'Final data_for_R_analysis_Dryse'!A105</f>
        <v>Dry</v>
      </c>
      <c r="C179" s="263">
        <f>'Final data_for_R_analysis_Dryse'!B105</f>
        <v>104</v>
      </c>
      <c r="D179" t="s">
        <v>3841</v>
      </c>
      <c r="E179" t="s">
        <v>22</v>
      </c>
      <c r="F179" s="387">
        <v>8</v>
      </c>
      <c r="G179" s="16">
        <f>'Dry_Litterbag Placem_Collection'!E106</f>
        <v>42939</v>
      </c>
      <c r="H179" t="str">
        <f>'Final data_for_R_analysis_Dryse'!J105</f>
        <v>G162</v>
      </c>
      <c r="I179" t="str">
        <f>'Final data_for_R_analysis_Dryse'!J325</f>
        <v>R744</v>
      </c>
      <c r="J179">
        <f>IFERROR(INDEX('Green_rooibos initial weight'!$C$5:$C$1749,MATCH(H179, 'Green_rooibos initial weight'!$A$5:$A$1749,0)),"")</f>
        <v>2.0390000000000001</v>
      </c>
      <c r="K179">
        <f>IFERROR(INDEX('Green_rooibos initial weight'!$C$5:$C$1749,MATCH(I179, 'Green_rooibos initial weight'!$A$5:$A$1749,0)),"")</f>
        <v>2.2280000000000002</v>
      </c>
      <c r="L179" s="195">
        <f t="shared" si="12"/>
        <v>1.7892000000000001</v>
      </c>
      <c r="M179" s="195">
        <f t="shared" si="13"/>
        <v>1.9782000000000002</v>
      </c>
      <c r="N179" s="16">
        <f>IF('Dry_Litterbag Placem_Collection'!G106="N.A","",'Dry_Litterbag Placem_Collection'!G106)</f>
        <v>43010</v>
      </c>
      <c r="O179" s="195">
        <f>IF(IFERROR(INDEX('Both teabags AfterDry'!$D$1:$D$839,MATCH(H179,'Both teabags AfterDry'!$A$1:$A$839,0)),"")="N.A","",(IFERROR(INDEX('Both teabags AfterDry'!$D$1:$D$839,MATCH(H179,'Both teabags AfterDry'!$A$1:$A$839,0)),"")))</f>
        <v>1.4899</v>
      </c>
      <c r="P179" s="195">
        <f>IF(IFERROR(INDEX('Both teabags AfterDry'!$D$1:$D$839,MATCH(I179,'Both teabags AfterDry'!$A$1:$A$839,0)),"")="N.A","",(IFERROR(INDEX('Both teabags AfterDry'!$D$1:$D$839,MATCH(I179,'Both teabags AfterDry'!$A$1:$A$839,0)),"")))</f>
        <v>0</v>
      </c>
      <c r="Q179" s="195">
        <f t="shared" si="14"/>
        <v>1.3392999999999999</v>
      </c>
      <c r="R179" s="195" t="str">
        <f t="shared" si="14"/>
        <v/>
      </c>
      <c r="S179" s="195">
        <f t="shared" si="9"/>
        <v>0.25145316342499446</v>
      </c>
      <c r="T179" s="195">
        <f t="shared" si="15"/>
        <v>0.16484815464441444</v>
      </c>
      <c r="U179" s="195" t="str">
        <f t="shared" si="10"/>
        <v/>
      </c>
      <c r="V179">
        <f t="shared" si="11"/>
        <v>71</v>
      </c>
      <c r="W179" s="195">
        <f t="shared" si="16"/>
        <v>0.70136203868765501</v>
      </c>
      <c r="X179" s="195" t="str">
        <f t="shared" si="17"/>
        <v/>
      </c>
      <c r="Y179" s="255" t="str">
        <f>IF(ISNUMBER(SEARCH("C", 'Dry_Litterbag Placem_Collection'!T106)),"YES","NO")</f>
        <v>YES</v>
      </c>
      <c r="Z179" s="255" t="str">
        <f>IF(ISNUMBER(SEARCH("H", 'Dry_Litterbag Placem_Collection'!T106)),"YES","NO")</f>
        <v>YES</v>
      </c>
      <c r="AA179" s="255" t="str">
        <f>IF(ISNUMBER(SEARCH("R", 'Dry_Litterbag Placem_Collection'!T106)),"YES","NO")</f>
        <v>NO</v>
      </c>
      <c r="AB179" s="255" t="str">
        <f>IF(ISNUMBER(SEARCH("C", 'Dry_Litterbag Placem_Collection'!S106)),"YES","NO")</f>
        <v>YES</v>
      </c>
      <c r="AC179" s="255" t="str">
        <f>IF(ISNUMBER(SEARCH("H", 'Dry_Litterbag Placem_Collection'!S106)),"YES","NO")</f>
        <v>NO</v>
      </c>
      <c r="AD179" s="255" t="str">
        <f>IF(ISNUMBER(SEARCH("R", 'Dry_Litterbag Placem_Collection'!S106)),"YES","NO")</f>
        <v>NO</v>
      </c>
    </row>
    <row r="180" spans="2:30">
      <c r="B180" t="str">
        <f>'Final data_for_R_analysis_Dryse'!A106</f>
        <v>Dry</v>
      </c>
      <c r="C180" s="263">
        <f>'Final data_for_R_analysis_Dryse'!B106</f>
        <v>105</v>
      </c>
      <c r="D180" t="s">
        <v>3843</v>
      </c>
      <c r="E180" t="s">
        <v>22</v>
      </c>
      <c r="F180" s="386">
        <v>1</v>
      </c>
      <c r="G180" s="16">
        <f>'Dry_Litterbag Placem_Collection'!E107</f>
        <v>42939</v>
      </c>
      <c r="H180" t="str">
        <f>'Final data_for_R_analysis_Dryse'!J106</f>
        <v>G6</v>
      </c>
      <c r="I180" t="str">
        <f>'Final data_for_R_analysis_Dryse'!J326</f>
        <v>R824</v>
      </c>
      <c r="J180">
        <f>IFERROR(INDEX('Green_rooibos initial weight'!$C$5:$C$1749,MATCH(H180, 'Green_rooibos initial weight'!$A$5:$A$1749,0)),"")</f>
        <v>2.016</v>
      </c>
      <c r="K180">
        <f>IFERROR(INDEX('Green_rooibos initial weight'!$C$5:$C$1749,MATCH(I180, 'Green_rooibos initial weight'!$A$5:$A$1749,0)),"")</f>
        <v>2.173</v>
      </c>
      <c r="L180" s="195">
        <f t="shared" si="12"/>
        <v>1.7662</v>
      </c>
      <c r="M180" s="195">
        <f t="shared" si="13"/>
        <v>1.9232</v>
      </c>
      <c r="N180" s="16">
        <f>IF('Dry_Litterbag Placem_Collection'!G107="N.A","",'Dry_Litterbag Placem_Collection'!G107)</f>
        <v>43010</v>
      </c>
      <c r="O180" s="195">
        <f>IF(IFERROR(INDEX('Both teabags AfterDry'!$D$1:$D$839,MATCH(H180,'Both teabags AfterDry'!$A$1:$A$839,0)),"")="N.A","",(IFERROR(INDEX('Both teabags AfterDry'!$D$1:$D$839,MATCH(H180,'Both teabags AfterDry'!$A$1:$A$839,0)),"")))</f>
        <v>1.1637</v>
      </c>
      <c r="P180" s="195">
        <f>IF(IFERROR(INDEX('Both teabags AfterDry'!$D$1:$D$839,MATCH(I180,'Both teabags AfterDry'!$A$1:$A$839,0)),"")="N.A","",(IFERROR(INDEX('Both teabags AfterDry'!$D$1:$D$839,MATCH(I180,'Both teabags AfterDry'!$A$1:$A$839,0)),"")))</f>
        <v>1.7653000000000001</v>
      </c>
      <c r="Q180" s="195">
        <f t="shared" si="14"/>
        <v>1.0130999999999999</v>
      </c>
      <c r="R180" s="195">
        <f t="shared" si="14"/>
        <v>1.6147</v>
      </c>
      <c r="S180" s="195">
        <f t="shared" si="9"/>
        <v>0.42639565168157634</v>
      </c>
      <c r="T180" s="195">
        <f t="shared" si="15"/>
        <v>0.27953729183875314</v>
      </c>
      <c r="U180" s="195">
        <f t="shared" si="10"/>
        <v>0.83959026622296173</v>
      </c>
      <c r="V180">
        <f t="shared" si="11"/>
        <v>71</v>
      </c>
      <c r="W180" s="195">
        <f t="shared" si="16"/>
        <v>0.49359186261095445</v>
      </c>
      <c r="X180" s="195">
        <f t="shared" si="17"/>
        <v>1.2013251712468193E-2</v>
      </c>
      <c r="Y180" s="255" t="str">
        <f>IF(ISNUMBER(SEARCH("C", 'Dry_Litterbag Placem_Collection'!T107)),"YES","NO")</f>
        <v>YES</v>
      </c>
      <c r="Z180" s="255" t="str">
        <f>IF(ISNUMBER(SEARCH("H", 'Dry_Litterbag Placem_Collection'!T107)),"YES","NO")</f>
        <v>YES</v>
      </c>
      <c r="AA180" s="255" t="str">
        <f>IF(ISNUMBER(SEARCH("R", 'Dry_Litterbag Placem_Collection'!T107)),"YES","NO")</f>
        <v>NO</v>
      </c>
      <c r="AB180" s="255" t="str">
        <f>IF(ISNUMBER(SEARCH("C", 'Dry_Litterbag Placem_Collection'!S107)),"YES","NO")</f>
        <v>NO</v>
      </c>
      <c r="AC180" s="255" t="str">
        <f>IF(ISNUMBER(SEARCH("H", 'Dry_Litterbag Placem_Collection'!S107)),"YES","NO")</f>
        <v>NO</v>
      </c>
      <c r="AD180" s="255" t="str">
        <f>IF(ISNUMBER(SEARCH("R", 'Dry_Litterbag Placem_Collection'!S107)),"YES","NO")</f>
        <v>NO</v>
      </c>
    </row>
    <row r="181" spans="2:30">
      <c r="B181" t="str">
        <f>'Final data_for_R_analysis_Dryse'!A107</f>
        <v>Dry</v>
      </c>
      <c r="C181" s="263">
        <f>'Final data_for_R_analysis_Dryse'!B107</f>
        <v>106</v>
      </c>
      <c r="D181" t="s">
        <v>3843</v>
      </c>
      <c r="E181" t="s">
        <v>22</v>
      </c>
      <c r="F181" s="386">
        <v>2</v>
      </c>
      <c r="G181" s="16">
        <f>'Dry_Litterbag Placem_Collection'!E108</f>
        <v>42939</v>
      </c>
      <c r="H181" t="str">
        <f>'Final data_for_R_analysis_Dryse'!J107</f>
        <v>G20</v>
      </c>
      <c r="I181" t="str">
        <f>'Final data_for_R_analysis_Dryse'!J327</f>
        <v>R790</v>
      </c>
      <c r="J181">
        <f>IFERROR(INDEX('Green_rooibos initial weight'!$C$5:$C$1749,MATCH(H181, 'Green_rooibos initial weight'!$A$5:$A$1749,0)),"")</f>
        <v>2.032</v>
      </c>
      <c r="K181">
        <f>IFERROR(INDEX('Green_rooibos initial weight'!$C$5:$C$1749,MATCH(I181, 'Green_rooibos initial weight'!$A$5:$A$1749,0)),"")</f>
        <v>2.266</v>
      </c>
      <c r="L181" s="195">
        <f t="shared" si="12"/>
        <v>1.7822</v>
      </c>
      <c r="M181" s="195">
        <f t="shared" si="13"/>
        <v>2.0162</v>
      </c>
      <c r="N181" s="16">
        <f>IF('Dry_Litterbag Placem_Collection'!G108="N.A","",'Dry_Litterbag Placem_Collection'!G108)</f>
        <v>43010</v>
      </c>
      <c r="O181" s="195">
        <f>IF(IFERROR(INDEX('Both teabags AfterDry'!$D$1:$D$839,MATCH(H181,'Both teabags AfterDry'!$A$1:$A$839,0)),"")="N.A","",(IFERROR(INDEX('Both teabags AfterDry'!$D$1:$D$839,MATCH(H181,'Both teabags AfterDry'!$A$1:$A$839,0)),"")))</f>
        <v>1.0826</v>
      </c>
      <c r="P181" s="195">
        <f>IF(IFERROR(INDEX('Both teabags AfterDry'!$D$1:$D$839,MATCH(I181,'Both teabags AfterDry'!$A$1:$A$839,0)),"")="N.A","",(IFERROR(INDEX('Both teabags AfterDry'!$D$1:$D$839,MATCH(I181,'Both teabags AfterDry'!$A$1:$A$839,0)),"")))</f>
        <v>2.2315</v>
      </c>
      <c r="Q181" s="195">
        <f t="shared" si="14"/>
        <v>0.93199999999999994</v>
      </c>
      <c r="R181" s="195">
        <f t="shared" si="14"/>
        <v>2.0809000000000002</v>
      </c>
      <c r="S181" s="195">
        <f t="shared" si="9"/>
        <v>0.47705083604533727</v>
      </c>
      <c r="T181" s="195">
        <f t="shared" si="15"/>
        <v>0.31274591626725201</v>
      </c>
      <c r="U181" s="195">
        <f t="shared" si="10"/>
        <v>1.0320900704295211</v>
      </c>
      <c r="V181">
        <f t="shared" si="11"/>
        <v>71</v>
      </c>
      <c r="W181" s="195">
        <f t="shared" si="16"/>
        <v>0.43343131111005073</v>
      </c>
      <c r="X181" s="195">
        <f t="shared" si="17"/>
        <v>-1.3757438218399991E-3</v>
      </c>
      <c r="Y181" s="255" t="str">
        <f>IF(ISNUMBER(SEARCH("C", 'Dry_Litterbag Placem_Collection'!T108)),"YES","NO")</f>
        <v>YES</v>
      </c>
      <c r="Z181" s="255" t="str">
        <f>IF(ISNUMBER(SEARCH("H", 'Dry_Litterbag Placem_Collection'!T108)),"YES","NO")</f>
        <v>YES</v>
      </c>
      <c r="AA181" s="255" t="str">
        <f>IF(ISNUMBER(SEARCH("R", 'Dry_Litterbag Placem_Collection'!T108)),"YES","NO")</f>
        <v>NO</v>
      </c>
      <c r="AB181" s="255" t="str">
        <f>IF(ISNUMBER(SEARCH("C", 'Dry_Litterbag Placem_Collection'!S108)),"YES","NO")</f>
        <v>NO</v>
      </c>
      <c r="AC181" s="255" t="str">
        <f>IF(ISNUMBER(SEARCH("H", 'Dry_Litterbag Placem_Collection'!S108)),"YES","NO")</f>
        <v>YES</v>
      </c>
      <c r="AD181" s="255" t="str">
        <f>IF(ISNUMBER(SEARCH("R", 'Dry_Litterbag Placem_Collection'!S108)),"YES","NO")</f>
        <v>NO</v>
      </c>
    </row>
    <row r="182" spans="2:30">
      <c r="B182" t="str">
        <f>'Final data_for_R_analysis_Dryse'!A108</f>
        <v>Dry</v>
      </c>
      <c r="C182" s="263">
        <f>'Final data_for_R_analysis_Dryse'!B108</f>
        <v>107</v>
      </c>
      <c r="D182" t="s">
        <v>3843</v>
      </c>
      <c r="E182" t="s">
        <v>22</v>
      </c>
      <c r="F182" s="386">
        <v>3</v>
      </c>
      <c r="G182" s="16">
        <f>'Dry_Litterbag Placem_Collection'!E109</f>
        <v>42939</v>
      </c>
      <c r="H182" t="str">
        <f>'Final data_for_R_analysis_Dryse'!J108</f>
        <v>G129</v>
      </c>
      <c r="I182" t="str">
        <f>'Final data_for_R_analysis_Dryse'!J328</f>
        <v>R809</v>
      </c>
      <c r="J182">
        <f>IFERROR(INDEX('Green_rooibos initial weight'!$C$5:$C$1749,MATCH(H182, 'Green_rooibos initial weight'!$A$5:$A$1749,0)),"")</f>
        <v>1.9630000000000001</v>
      </c>
      <c r="K182">
        <f>IFERROR(INDEX('Green_rooibos initial weight'!$C$5:$C$1749,MATCH(I182, 'Green_rooibos initial weight'!$A$5:$A$1749,0)),"")</f>
        <v>2.2210000000000001</v>
      </c>
      <c r="L182" s="195">
        <f t="shared" si="12"/>
        <v>1.7132000000000001</v>
      </c>
      <c r="M182" s="195">
        <f t="shared" si="13"/>
        <v>1.9712000000000001</v>
      </c>
      <c r="N182" s="16">
        <f>IF('Dry_Litterbag Placem_Collection'!G109="N.A","",'Dry_Litterbag Placem_Collection'!G109)</f>
        <v>43010</v>
      </c>
      <c r="O182" s="195" t="str">
        <f>IF(IFERROR(INDEX('Both teabags AfterDry'!$D$1:$D$839,MATCH(H182,'Both teabags AfterDry'!$A$1:$A$839,0)),"")="N.A","",(IFERROR(INDEX('Both teabags AfterDry'!$D$1:$D$839,MATCH(H182,'Both teabags AfterDry'!$A$1:$A$839,0)),"")))</f>
        <v/>
      </c>
      <c r="P182" s="195" t="str">
        <f>IF(IFERROR(INDEX('Both teabags AfterDry'!$D$1:$D$839,MATCH(I182,'Both teabags AfterDry'!$A$1:$A$839,0)),"")="N.A","",(IFERROR(INDEX('Both teabags AfterDry'!$D$1:$D$839,MATCH(I182,'Both teabags AfterDry'!$A$1:$A$839,0)),"")))</f>
        <v/>
      </c>
      <c r="Q182" s="195" t="str">
        <f t="shared" si="14"/>
        <v/>
      </c>
      <c r="R182" s="195" t="str">
        <f t="shared" si="14"/>
        <v/>
      </c>
      <c r="S182" s="195" t="str">
        <f t="shared" si="9"/>
        <v/>
      </c>
      <c r="T182" s="195" t="str">
        <f t="shared" si="15"/>
        <v/>
      </c>
      <c r="U182" s="195" t="str">
        <f t="shared" si="10"/>
        <v/>
      </c>
      <c r="V182">
        <f t="shared" si="11"/>
        <v>71</v>
      </c>
      <c r="W182" s="195" t="str">
        <f t="shared" si="16"/>
        <v/>
      </c>
      <c r="X182" s="195" t="str">
        <f t="shared" si="17"/>
        <v/>
      </c>
      <c r="Y182" s="255" t="str">
        <f>IF(ISNUMBER(SEARCH("C", 'Dry_Litterbag Placem_Collection'!T109)),"YES","NO")</f>
        <v>YES</v>
      </c>
      <c r="Z182" s="255" t="str">
        <f>IF(ISNUMBER(SEARCH("H", 'Dry_Litterbag Placem_Collection'!T109)),"YES","NO")</f>
        <v>YES</v>
      </c>
      <c r="AA182" s="255" t="str">
        <f>IF(ISNUMBER(SEARCH("R", 'Dry_Litterbag Placem_Collection'!T109)),"YES","NO")</f>
        <v>NO</v>
      </c>
      <c r="AB182" s="255" t="str">
        <f>IF(ISNUMBER(SEARCH("C", 'Dry_Litterbag Placem_Collection'!S109)),"YES","NO")</f>
        <v>YES</v>
      </c>
      <c r="AC182" s="255" t="str">
        <f>IF(ISNUMBER(SEARCH("H", 'Dry_Litterbag Placem_Collection'!S109)),"YES","NO")</f>
        <v>YES</v>
      </c>
      <c r="AD182" s="255" t="str">
        <f>IF(ISNUMBER(SEARCH("R", 'Dry_Litterbag Placem_Collection'!S109)),"YES","NO")</f>
        <v>NO</v>
      </c>
    </row>
    <row r="183" spans="2:30">
      <c r="B183" t="str">
        <f>'Final data_for_R_analysis_Dryse'!A109</f>
        <v>Dry</v>
      </c>
      <c r="C183" s="263">
        <f>'Final data_for_R_analysis_Dryse'!B109</f>
        <v>108</v>
      </c>
      <c r="D183" t="s">
        <v>3843</v>
      </c>
      <c r="E183" t="s">
        <v>22</v>
      </c>
      <c r="F183" s="387">
        <v>4</v>
      </c>
      <c r="G183" s="16">
        <f>'Dry_Litterbag Placem_Collection'!E110</f>
        <v>42939</v>
      </c>
      <c r="H183" t="str">
        <f>'Final data_for_R_analysis_Dryse'!J109</f>
        <v>G258</v>
      </c>
      <c r="I183" t="str">
        <f>'Final data_for_R_analysis_Dryse'!J329</f>
        <v>R777</v>
      </c>
      <c r="J183">
        <f>IFERROR(INDEX('Green_rooibos initial weight'!$C$5:$C$1749,MATCH(H183, 'Green_rooibos initial weight'!$A$5:$A$1749,0)),"")</f>
        <v>2.1280000000000001</v>
      </c>
      <c r="K183">
        <f>IFERROR(INDEX('Green_rooibos initial weight'!$C$5:$C$1749,MATCH(I183, 'Green_rooibos initial weight'!$A$5:$A$1749,0)),"")</f>
        <v>2.2549999999999999</v>
      </c>
      <c r="L183" s="195">
        <f t="shared" si="12"/>
        <v>1.8782000000000001</v>
      </c>
      <c r="M183" s="195">
        <f t="shared" si="13"/>
        <v>2.0051999999999999</v>
      </c>
      <c r="N183" s="16">
        <f>IF('Dry_Litterbag Placem_Collection'!G110="N.A","",'Dry_Litterbag Placem_Collection'!G110)</f>
        <v>43010</v>
      </c>
      <c r="O183" s="195">
        <f>IF(IFERROR(INDEX('Both teabags AfterDry'!$D$1:$D$839,MATCH(H183,'Both teabags AfterDry'!$A$1:$A$839,0)),"")="N.A","",(IFERROR(INDEX('Both teabags AfterDry'!$D$1:$D$839,MATCH(H183,'Both teabags AfterDry'!$A$1:$A$839,0)),"")))</f>
        <v>0.92730000000000001</v>
      </c>
      <c r="P183" s="195">
        <f>IF(IFERROR(INDEX('Both teabags AfterDry'!$D$1:$D$839,MATCH(I183,'Both teabags AfterDry'!$A$1:$A$839,0)),"")="N.A","",(IFERROR(INDEX('Both teabags AfterDry'!$D$1:$D$839,MATCH(I183,'Both teabags AfterDry'!$A$1:$A$839,0)),"")))</f>
        <v>1.8240000000000001</v>
      </c>
      <c r="Q183" s="195">
        <f t="shared" si="14"/>
        <v>0.77669999999999995</v>
      </c>
      <c r="R183" s="195">
        <f t="shared" si="14"/>
        <v>1.6734</v>
      </c>
      <c r="S183" s="195">
        <f t="shared" si="9"/>
        <v>0.5864657650942392</v>
      </c>
      <c r="T183" s="195">
        <f t="shared" si="15"/>
        <v>0.38447636856534451</v>
      </c>
      <c r="U183" s="195">
        <f t="shared" si="10"/>
        <v>0.83453022142429689</v>
      </c>
      <c r="V183">
        <f t="shared" si="11"/>
        <v>71</v>
      </c>
      <c r="W183" s="195">
        <f t="shared" si="16"/>
        <v>0.3034848395555354</v>
      </c>
      <c r="X183" s="195">
        <f t="shared" si="17"/>
        <v>7.9264860034946715E-3</v>
      </c>
      <c r="Y183" s="255" t="str">
        <f>IF(ISNUMBER(SEARCH("C", 'Dry_Litterbag Placem_Collection'!T110)),"YES","NO")</f>
        <v>NO</v>
      </c>
      <c r="Z183" s="255" t="str">
        <f>IF(ISNUMBER(SEARCH("H", 'Dry_Litterbag Placem_Collection'!T110)),"YES","NO")</f>
        <v>NO</v>
      </c>
      <c r="AA183" s="255" t="str">
        <f>IF(ISNUMBER(SEARCH("R", 'Dry_Litterbag Placem_Collection'!T110)),"YES","NO")</f>
        <v>NO</v>
      </c>
      <c r="AB183" s="255" t="str">
        <f>IF(ISNUMBER(SEARCH("C", 'Dry_Litterbag Placem_Collection'!S110)),"YES","NO")</f>
        <v>YES</v>
      </c>
      <c r="AC183" s="255" t="str">
        <f>IF(ISNUMBER(SEARCH("H", 'Dry_Litterbag Placem_Collection'!S110)),"YES","NO")</f>
        <v>NO</v>
      </c>
      <c r="AD183" s="255" t="str">
        <f>IF(ISNUMBER(SEARCH("R", 'Dry_Litterbag Placem_Collection'!S110)),"YES","NO")</f>
        <v>NO</v>
      </c>
    </row>
    <row r="184" spans="2:30">
      <c r="B184" t="str">
        <f>'Final data_for_R_analysis_Dryse'!A110</f>
        <v>Dry</v>
      </c>
      <c r="C184" s="263">
        <f>'Final data_for_R_analysis_Dryse'!B110</f>
        <v>109</v>
      </c>
      <c r="D184" t="s">
        <v>3843</v>
      </c>
      <c r="E184" t="s">
        <v>22</v>
      </c>
      <c r="F184" s="387">
        <v>5</v>
      </c>
      <c r="G184" s="16">
        <f>'Dry_Litterbag Placem_Collection'!E111</f>
        <v>42939</v>
      </c>
      <c r="H184" t="str">
        <f>'Final data_for_R_analysis_Dryse'!J110</f>
        <v>G294</v>
      </c>
      <c r="I184" t="str">
        <f>'Final data_for_R_analysis_Dryse'!J330</f>
        <v>R804</v>
      </c>
      <c r="J184">
        <f>IFERROR(INDEX('Green_rooibos initial weight'!$C$5:$C$1749,MATCH(H184, 'Green_rooibos initial weight'!$A$5:$A$1749,0)),"")</f>
        <v>1.994</v>
      </c>
      <c r="K184">
        <f>IFERROR(INDEX('Green_rooibos initial weight'!$C$5:$C$1749,MATCH(I184, 'Green_rooibos initial weight'!$A$5:$A$1749,0)),"")</f>
        <v>2.1960000000000002</v>
      </c>
      <c r="L184" s="195">
        <f t="shared" si="12"/>
        <v>1.7442</v>
      </c>
      <c r="M184" s="195">
        <f t="shared" si="13"/>
        <v>1.9462000000000002</v>
      </c>
      <c r="N184" s="16">
        <f>IF('Dry_Litterbag Placem_Collection'!G111="N.A","",'Dry_Litterbag Placem_Collection'!G111)</f>
        <v>43010</v>
      </c>
      <c r="O184" s="195">
        <f>IF(IFERROR(INDEX('Both teabags AfterDry'!$D$1:$D$839,MATCH(H184,'Both teabags AfterDry'!$A$1:$A$839,0)),"")="N.A","",(IFERROR(INDEX('Both teabags AfterDry'!$D$1:$D$839,MATCH(H184,'Both teabags AfterDry'!$A$1:$A$839,0)),"")))</f>
        <v>0.93010000000000004</v>
      </c>
      <c r="P184" s="195">
        <f>IF(IFERROR(INDEX('Both teabags AfterDry'!$D$1:$D$839,MATCH(I184,'Both teabags AfterDry'!$A$1:$A$839,0)),"")="N.A","",(IFERROR(INDEX('Both teabags AfterDry'!$D$1:$D$839,MATCH(I184,'Both teabags AfterDry'!$A$1:$A$839,0)),"")))</f>
        <v>1.3936999999999999</v>
      </c>
      <c r="Q184" s="195">
        <f t="shared" si="14"/>
        <v>0.77950000000000008</v>
      </c>
      <c r="R184" s="195">
        <f t="shared" si="14"/>
        <v>1.2430999999999999</v>
      </c>
      <c r="S184" s="195">
        <f t="shared" si="9"/>
        <v>0.553090241944731</v>
      </c>
      <c r="T184" s="195">
        <f t="shared" si="15"/>
        <v>0.36259597809203276</v>
      </c>
      <c r="U184" s="195">
        <f t="shared" si="10"/>
        <v>0.63873188778131729</v>
      </c>
      <c r="V184">
        <f t="shared" si="11"/>
        <v>71</v>
      </c>
      <c r="W184" s="195">
        <f t="shared" si="16"/>
        <v>0.34312322809414364</v>
      </c>
      <c r="X184" s="195">
        <f t="shared" si="17"/>
        <v>7.9010086752541842E-2</v>
      </c>
      <c r="Y184" s="255" t="str">
        <f>IF(ISNUMBER(SEARCH("C", 'Dry_Litterbag Placem_Collection'!T111)),"YES","NO")</f>
        <v>YES</v>
      </c>
      <c r="Z184" s="255" t="str">
        <f>IF(ISNUMBER(SEARCH("H", 'Dry_Litterbag Placem_Collection'!T111)),"YES","NO")</f>
        <v>YES</v>
      </c>
      <c r="AA184" s="255" t="str">
        <f>IF(ISNUMBER(SEARCH("R", 'Dry_Litterbag Placem_Collection'!T111)),"YES","NO")</f>
        <v>NO</v>
      </c>
      <c r="AB184" s="255" t="str">
        <f>IF(ISNUMBER(SEARCH("C", 'Dry_Litterbag Placem_Collection'!S111)),"YES","NO")</f>
        <v>NO</v>
      </c>
      <c r="AC184" s="255" t="str">
        <f>IF(ISNUMBER(SEARCH("H", 'Dry_Litterbag Placem_Collection'!S111)),"YES","NO")</f>
        <v>NO</v>
      </c>
      <c r="AD184" s="255" t="str">
        <f>IF(ISNUMBER(SEARCH("R", 'Dry_Litterbag Placem_Collection'!S111)),"YES","NO")</f>
        <v>NO</v>
      </c>
    </row>
    <row r="185" spans="2:30">
      <c r="B185" t="str">
        <f>'Final data_for_R_analysis_Dryse'!A111</f>
        <v>Dry</v>
      </c>
      <c r="C185" s="263">
        <f>'Final data_for_R_analysis_Dryse'!B111</f>
        <v>110</v>
      </c>
      <c r="D185" t="s">
        <v>3843</v>
      </c>
      <c r="E185" t="s">
        <v>22</v>
      </c>
      <c r="F185" s="387">
        <v>6</v>
      </c>
      <c r="G185" s="16">
        <f>'Dry_Litterbag Placem_Collection'!E112</f>
        <v>42939</v>
      </c>
      <c r="H185" t="str">
        <f>'Final data_for_R_analysis_Dryse'!J111</f>
        <v>G350</v>
      </c>
      <c r="I185" t="str">
        <f>'Final data_for_R_analysis_Dryse'!J331</f>
        <v>R786</v>
      </c>
      <c r="J185">
        <f>IFERROR(INDEX('Green_rooibos initial weight'!$C$5:$C$1749,MATCH(H185, 'Green_rooibos initial weight'!$A$5:$A$1749,0)),"")</f>
        <v>2.0640000000000001</v>
      </c>
      <c r="K185">
        <f>IFERROR(INDEX('Green_rooibos initial weight'!$C$5:$C$1749,MATCH(I185, 'Green_rooibos initial weight'!$A$5:$A$1749,0)),"")</f>
        <v>2.177</v>
      </c>
      <c r="L185" s="195">
        <f t="shared" si="12"/>
        <v>1.8142</v>
      </c>
      <c r="M185" s="195">
        <f t="shared" si="13"/>
        <v>1.9272</v>
      </c>
      <c r="N185" s="16">
        <f>IF('Dry_Litterbag Placem_Collection'!G112="N.A","",'Dry_Litterbag Placem_Collection'!G112)</f>
        <v>43010</v>
      </c>
      <c r="O185" s="195">
        <f>IF(IFERROR(INDEX('Both teabags AfterDry'!$D$1:$D$839,MATCH(H185,'Both teabags AfterDry'!$A$1:$A$839,0)),"")="N.A","",(IFERROR(INDEX('Both teabags AfterDry'!$D$1:$D$839,MATCH(H185,'Both teabags AfterDry'!$A$1:$A$839,0)),"")))</f>
        <v>0.95640000000000003</v>
      </c>
      <c r="P185" s="195">
        <f>IF(IFERROR(INDEX('Both teabags AfterDry'!$D$1:$D$839,MATCH(I185,'Both teabags AfterDry'!$A$1:$A$839,0)),"")="N.A","",(IFERROR(INDEX('Both teabags AfterDry'!$D$1:$D$839,MATCH(I185,'Both teabags AfterDry'!$A$1:$A$839,0)),"")))</f>
        <v>1.7806</v>
      </c>
      <c r="Q185" s="195">
        <f t="shared" si="14"/>
        <v>0.80580000000000007</v>
      </c>
      <c r="R185" s="195">
        <f t="shared" si="14"/>
        <v>1.63</v>
      </c>
      <c r="S185" s="195">
        <f t="shared" si="9"/>
        <v>0.55583728365119611</v>
      </c>
      <c r="T185" s="195">
        <f t="shared" si="15"/>
        <v>0.36439688904448964</v>
      </c>
      <c r="U185" s="195">
        <f t="shared" si="10"/>
        <v>0.84578663345786631</v>
      </c>
      <c r="V185">
        <f t="shared" si="11"/>
        <v>71</v>
      </c>
      <c r="W185" s="195">
        <f t="shared" si="16"/>
        <v>0.33986070825273618</v>
      </c>
      <c r="X185" s="195">
        <f t="shared" si="17"/>
        <v>7.7501769351735117E-3</v>
      </c>
      <c r="Y185" s="255" t="str">
        <f>IF(ISNUMBER(SEARCH("C", 'Dry_Litterbag Placem_Collection'!T112)),"YES","NO")</f>
        <v>YES</v>
      </c>
      <c r="Z185" s="255" t="str">
        <f>IF(ISNUMBER(SEARCH("H", 'Dry_Litterbag Placem_Collection'!T112)),"YES","NO")</f>
        <v>YES</v>
      </c>
      <c r="AA185" s="255" t="str">
        <f>IF(ISNUMBER(SEARCH("R", 'Dry_Litterbag Placem_Collection'!T112)),"YES","NO")</f>
        <v>NO</v>
      </c>
      <c r="AB185" s="255" t="str">
        <f>IF(ISNUMBER(SEARCH("C", 'Dry_Litterbag Placem_Collection'!S112)),"YES","NO")</f>
        <v>YES</v>
      </c>
      <c r="AC185" s="255" t="str">
        <f>IF(ISNUMBER(SEARCH("H", 'Dry_Litterbag Placem_Collection'!S112)),"YES","NO")</f>
        <v>YES</v>
      </c>
      <c r="AD185" s="255" t="str">
        <f>IF(ISNUMBER(SEARCH("R", 'Dry_Litterbag Placem_Collection'!S112)),"YES","NO")</f>
        <v>NO</v>
      </c>
    </row>
    <row r="186" spans="2:30">
      <c r="B186" t="str">
        <f>'Final data_for_R_analysis_Dryse'!A112</f>
        <v>Dry</v>
      </c>
      <c r="C186" s="263">
        <f>'Final data_for_R_analysis_Dryse'!B112</f>
        <v>111</v>
      </c>
      <c r="D186" t="s">
        <v>3843</v>
      </c>
      <c r="E186" t="s">
        <v>22</v>
      </c>
      <c r="F186" s="387">
        <v>7</v>
      </c>
      <c r="G186" s="16">
        <f>'Dry_Litterbag Placem_Collection'!E113</f>
        <v>42939</v>
      </c>
      <c r="H186" t="str">
        <f>'Final data_for_R_analysis_Dryse'!J112</f>
        <v>G274</v>
      </c>
      <c r="I186" t="str">
        <f>'Final data_for_R_analysis_Dryse'!J332</f>
        <v>R835</v>
      </c>
      <c r="J186">
        <f>IFERROR(INDEX('Green_rooibos initial weight'!$C$5:$C$1749,MATCH(H186, 'Green_rooibos initial weight'!$A$5:$A$1749,0)),"")</f>
        <v>2.12</v>
      </c>
      <c r="K186">
        <f>IFERROR(INDEX('Green_rooibos initial weight'!$C$5:$C$1749,MATCH(I186, 'Green_rooibos initial weight'!$A$5:$A$1749,0)),"")</f>
        <v>2.15</v>
      </c>
      <c r="L186" s="195">
        <f t="shared" si="12"/>
        <v>1.8702000000000001</v>
      </c>
      <c r="M186" s="195">
        <f t="shared" si="13"/>
        <v>1.9001999999999999</v>
      </c>
      <c r="N186" s="16">
        <f>IF('Dry_Litterbag Placem_Collection'!G113="N.A","",'Dry_Litterbag Placem_Collection'!G113)</f>
        <v>43010</v>
      </c>
      <c r="O186" s="195">
        <f>IF(IFERROR(INDEX('Both teabags AfterDry'!$D$1:$D$839,MATCH(H186,'Both teabags AfterDry'!$A$1:$A$839,0)),"")="N.A","",(IFERROR(INDEX('Both teabags AfterDry'!$D$1:$D$839,MATCH(H186,'Both teabags AfterDry'!$A$1:$A$839,0)),"")))</f>
        <v>1.0779000000000001</v>
      </c>
      <c r="P186" s="195">
        <f>IF(IFERROR(INDEX('Both teabags AfterDry'!$D$1:$D$839,MATCH(I186,'Both teabags AfterDry'!$A$1:$A$839,0)),"")="N.A","",(IFERROR(INDEX('Both teabags AfterDry'!$D$1:$D$839,MATCH(I186,'Both teabags AfterDry'!$A$1:$A$839,0)),"")))</f>
        <v>1.7563</v>
      </c>
      <c r="Q186" s="195">
        <f t="shared" si="14"/>
        <v>0.92730000000000001</v>
      </c>
      <c r="R186" s="195">
        <f t="shared" si="14"/>
        <v>1.6056999999999999</v>
      </c>
      <c r="S186" s="195">
        <f t="shared" si="9"/>
        <v>0.50417067693294837</v>
      </c>
      <c r="T186" s="195">
        <f t="shared" si="15"/>
        <v>0.33052519437884509</v>
      </c>
      <c r="U186" s="195">
        <f t="shared" si="10"/>
        <v>0.8450163140722029</v>
      </c>
      <c r="V186">
        <f t="shared" si="11"/>
        <v>71</v>
      </c>
      <c r="W186" s="195">
        <f t="shared" si="16"/>
        <v>0.40122247395136768</v>
      </c>
      <c r="X186" s="195">
        <f t="shared" si="17"/>
        <v>8.912779678254077E-3</v>
      </c>
      <c r="Y186" s="255" t="str">
        <f>IF(ISNUMBER(SEARCH("C", 'Dry_Litterbag Placem_Collection'!T113)),"YES","NO")</f>
        <v>NO</v>
      </c>
      <c r="Z186" s="255" t="str">
        <f>IF(ISNUMBER(SEARCH("H", 'Dry_Litterbag Placem_Collection'!T113)),"YES","NO")</f>
        <v>NO</v>
      </c>
      <c r="AA186" s="255" t="str">
        <f>IF(ISNUMBER(SEARCH("R", 'Dry_Litterbag Placem_Collection'!T113)),"YES","NO")</f>
        <v>NO</v>
      </c>
      <c r="AB186" s="255" t="str">
        <f>IF(ISNUMBER(SEARCH("C", 'Dry_Litterbag Placem_Collection'!S113)),"YES","NO")</f>
        <v>YES</v>
      </c>
      <c r="AC186" s="255" t="str">
        <f>IF(ISNUMBER(SEARCH("H", 'Dry_Litterbag Placem_Collection'!S113)),"YES","NO")</f>
        <v>NO</v>
      </c>
      <c r="AD186" s="255" t="str">
        <f>IF(ISNUMBER(SEARCH("R", 'Dry_Litterbag Placem_Collection'!S113)),"YES","NO")</f>
        <v>NO</v>
      </c>
    </row>
    <row r="187" spans="2:30">
      <c r="B187" t="str">
        <f>'Final data_for_R_analysis_Dryse'!A113</f>
        <v>Dry</v>
      </c>
      <c r="C187" s="263">
        <f>'Final data_for_R_analysis_Dryse'!B113</f>
        <v>112</v>
      </c>
      <c r="D187" t="s">
        <v>3843</v>
      </c>
      <c r="E187" t="s">
        <v>22</v>
      </c>
      <c r="F187" s="387">
        <v>8</v>
      </c>
      <c r="G187" s="16">
        <f>'Dry_Litterbag Placem_Collection'!E114</f>
        <v>0</v>
      </c>
      <c r="H187" t="str">
        <f>'Final data_for_R_analysis_Dryse'!J113</f>
        <v/>
      </c>
      <c r="I187" t="str">
        <f>'Final data_for_R_analysis_Dryse'!J333</f>
        <v/>
      </c>
      <c r="J187" t="str">
        <f>IFERROR(INDEX('Green_rooibos initial weight'!$C$5:$C$1749,MATCH(H187, 'Green_rooibos initial weight'!$A$5:$A$1749,0)),"")</f>
        <v/>
      </c>
      <c r="K187" t="str">
        <f>IFERROR(INDEX('Green_rooibos initial weight'!$C$5:$C$1749,MATCH(I187, 'Green_rooibos initial weight'!$A$5:$A$1749,0)),"")</f>
        <v/>
      </c>
      <c r="L187" s="195" t="str">
        <f t="shared" si="12"/>
        <v/>
      </c>
      <c r="M187" s="195" t="str">
        <f t="shared" si="13"/>
        <v/>
      </c>
      <c r="N187" s="16">
        <f>IF('Dry_Litterbag Placem_Collection'!G114="N.A","",'Dry_Litterbag Placem_Collection'!G114)</f>
        <v>0</v>
      </c>
      <c r="O187" s="195" t="str">
        <f>IF(IFERROR(INDEX('Both teabags AfterDry'!$D$1:$D$839,MATCH(H187,'Both teabags AfterDry'!$A$1:$A$839,0)),"")="N.A","",(IFERROR(INDEX('Both teabags AfterDry'!$D$1:$D$839,MATCH(H187,'Both teabags AfterDry'!$A$1:$A$839,0)),"")))</f>
        <v/>
      </c>
      <c r="P187" s="195" t="str">
        <f>IF(IFERROR(INDEX('Both teabags AfterDry'!$D$1:$D$839,MATCH(I187,'Both teabags AfterDry'!$A$1:$A$839,0)),"")="N.A","",(IFERROR(INDEX('Both teabags AfterDry'!$D$1:$D$839,MATCH(I187,'Both teabags AfterDry'!$A$1:$A$839,0)),"")))</f>
        <v/>
      </c>
      <c r="Q187" s="195" t="str">
        <f t="shared" si="14"/>
        <v/>
      </c>
      <c r="R187" s="195" t="str">
        <f t="shared" si="14"/>
        <v/>
      </c>
      <c r="S187" s="195" t="str">
        <f t="shared" si="9"/>
        <v/>
      </c>
      <c r="T187" s="195" t="str">
        <f t="shared" si="15"/>
        <v/>
      </c>
      <c r="U187" s="195" t="str">
        <f t="shared" si="10"/>
        <v/>
      </c>
      <c r="V187" t="str">
        <f t="shared" si="11"/>
        <v/>
      </c>
      <c r="W187" s="195" t="str">
        <f t="shared" si="16"/>
        <v/>
      </c>
      <c r="X187" s="195" t="str">
        <f t="shared" si="17"/>
        <v/>
      </c>
      <c r="Y187" s="255" t="str">
        <f>IF(ISNUMBER(SEARCH("C", 'Dry_Litterbag Placem_Collection'!T114)),"YES","NO")</f>
        <v>NO</v>
      </c>
      <c r="Z187" s="255" t="str">
        <f>IF(ISNUMBER(SEARCH("H", 'Dry_Litterbag Placem_Collection'!T114)),"YES","NO")</f>
        <v>NO</v>
      </c>
      <c r="AA187" s="255" t="str">
        <f>IF(ISNUMBER(SEARCH("R", 'Dry_Litterbag Placem_Collection'!T114)),"YES","NO")</f>
        <v>NO</v>
      </c>
      <c r="AB187" s="255" t="str">
        <f>IF(ISNUMBER(SEARCH("C", 'Dry_Litterbag Placem_Collection'!S114)),"YES","NO")</f>
        <v>NO</v>
      </c>
      <c r="AC187" s="255" t="str">
        <f>IF(ISNUMBER(SEARCH("H", 'Dry_Litterbag Placem_Collection'!S114)),"YES","NO")</f>
        <v>NO</v>
      </c>
      <c r="AD187" s="255" t="str">
        <f>IF(ISNUMBER(SEARCH("R", 'Dry_Litterbag Placem_Collection'!S114)),"YES","NO")</f>
        <v>NO</v>
      </c>
    </row>
    <row r="188" spans="2:30">
      <c r="B188" t="str">
        <f>'Final data_for_R_analysis_Dryse'!A114</f>
        <v>Dry</v>
      </c>
      <c r="C188" s="263">
        <f>'Final data_for_R_analysis_Dryse'!B114</f>
        <v>113</v>
      </c>
      <c r="D188" t="s">
        <v>3844</v>
      </c>
      <c r="E188" t="s">
        <v>22</v>
      </c>
      <c r="F188" s="386">
        <v>1</v>
      </c>
      <c r="G188" s="16">
        <f>'Dry_Litterbag Placem_Collection'!E115</f>
        <v>42939</v>
      </c>
      <c r="H188" t="str">
        <f>'Final data_for_R_analysis_Dryse'!J114</f>
        <v>G314</v>
      </c>
      <c r="I188" t="str">
        <f>'Final data_for_R_analysis_Dryse'!J334</f>
        <v>R807</v>
      </c>
      <c r="J188">
        <f>IFERROR(INDEX('Green_rooibos initial weight'!$C$5:$C$1749,MATCH(H188, 'Green_rooibos initial weight'!$A$5:$A$1749,0)),"")</f>
        <v>2.0430000000000001</v>
      </c>
      <c r="K188">
        <f>IFERROR(INDEX('Green_rooibos initial weight'!$C$5:$C$1749,MATCH(I188, 'Green_rooibos initial weight'!$A$5:$A$1749,0)),"")</f>
        <v>2.21</v>
      </c>
      <c r="L188" s="195">
        <f t="shared" si="12"/>
        <v>1.7932000000000001</v>
      </c>
      <c r="M188" s="195">
        <f t="shared" si="13"/>
        <v>1.9601999999999999</v>
      </c>
      <c r="N188" s="16">
        <f>IF('Dry_Litterbag Placem_Collection'!G115="N.A","",'Dry_Litterbag Placem_Collection'!G115)</f>
        <v>43008</v>
      </c>
      <c r="O188" s="195">
        <f>IF(IFERROR(INDEX('Both teabags AfterDry'!$D$1:$D$839,MATCH(H188,'Both teabags AfterDry'!$A$1:$A$839,0)),"")="N.A","",(IFERROR(INDEX('Both teabags AfterDry'!$D$1:$D$839,MATCH(H188,'Both teabags AfterDry'!$A$1:$A$839,0)),"")))</f>
        <v>0.78080000000000005</v>
      </c>
      <c r="P188" s="195">
        <f>IF(IFERROR(INDEX('Both teabags AfterDry'!$D$1:$D$839,MATCH(I188,'Both teabags AfterDry'!$A$1:$A$839,0)),"")="N.A","",(IFERROR(INDEX('Both teabags AfterDry'!$D$1:$D$839,MATCH(I188,'Both teabags AfterDry'!$A$1:$A$839,0)),"")))</f>
        <v>1.5793999999999999</v>
      </c>
      <c r="Q188" s="195">
        <f t="shared" si="14"/>
        <v>0.63020000000000009</v>
      </c>
      <c r="R188" s="195">
        <f t="shared" si="14"/>
        <v>1.4287999999999998</v>
      </c>
      <c r="S188" s="195">
        <f t="shared" si="9"/>
        <v>0.64856123131831356</v>
      </c>
      <c r="T188" s="195">
        <f t="shared" si="15"/>
        <v>0.42518503525856188</v>
      </c>
      <c r="U188" s="195">
        <f t="shared" si="10"/>
        <v>0.72890521375369854</v>
      </c>
      <c r="V188">
        <f t="shared" si="11"/>
        <v>69</v>
      </c>
      <c r="W188" s="195">
        <f t="shared" si="16"/>
        <v>0.22973725496637343</v>
      </c>
      <c r="X188" s="195">
        <f t="shared" si="17"/>
        <v>1.4709941854253993E-2</v>
      </c>
      <c r="Y188" s="255" t="str">
        <f>IF(ISNUMBER(SEARCH("C", 'Dry_Litterbag Placem_Collection'!T115)),"YES","NO")</f>
        <v>NO</v>
      </c>
      <c r="Z188" s="255" t="str">
        <f>IF(ISNUMBER(SEARCH("H", 'Dry_Litterbag Placem_Collection'!T115)),"YES","NO")</f>
        <v>NO</v>
      </c>
      <c r="AA188" s="255" t="str">
        <f>IF(ISNUMBER(SEARCH("R", 'Dry_Litterbag Placem_Collection'!T115)),"YES","NO")</f>
        <v>NO</v>
      </c>
      <c r="AB188" s="255" t="str">
        <f>IF(ISNUMBER(SEARCH("C", 'Dry_Litterbag Placem_Collection'!S115)),"YES","NO")</f>
        <v>NO</v>
      </c>
      <c r="AC188" s="255" t="str">
        <f>IF(ISNUMBER(SEARCH("H", 'Dry_Litterbag Placem_Collection'!S115)),"YES","NO")</f>
        <v>NO</v>
      </c>
      <c r="AD188" s="255" t="str">
        <f>IF(ISNUMBER(SEARCH("R", 'Dry_Litterbag Placem_Collection'!S115)),"YES","NO")</f>
        <v>YES</v>
      </c>
    </row>
    <row r="189" spans="2:30">
      <c r="B189" t="str">
        <f>'Final data_for_R_analysis_Dryse'!A115</f>
        <v>Dry</v>
      </c>
      <c r="C189" s="263">
        <f>'Final data_for_R_analysis_Dryse'!B115</f>
        <v>114</v>
      </c>
      <c r="D189" t="s">
        <v>3844</v>
      </c>
      <c r="E189" t="s">
        <v>22</v>
      </c>
      <c r="F189" s="386">
        <v>2</v>
      </c>
      <c r="G189" s="16">
        <f>'Dry_Litterbag Placem_Collection'!E116</f>
        <v>42939</v>
      </c>
      <c r="H189" t="str">
        <f>'Final data_for_R_analysis_Dryse'!J115</f>
        <v>G263</v>
      </c>
      <c r="I189" t="str">
        <f>'Final data_for_R_analysis_Dryse'!J335</f>
        <v>R829</v>
      </c>
      <c r="J189">
        <f>IFERROR(INDEX('Green_rooibos initial weight'!$C$5:$C$1749,MATCH(H189, 'Green_rooibos initial weight'!$A$5:$A$1749,0)),"")</f>
        <v>2.0960000000000001</v>
      </c>
      <c r="K189">
        <f>IFERROR(INDEX('Green_rooibos initial weight'!$C$5:$C$1749,MATCH(I189, 'Green_rooibos initial weight'!$A$5:$A$1749,0)),"")</f>
        <v>2.1880000000000002</v>
      </c>
      <c r="L189" s="195">
        <f t="shared" si="12"/>
        <v>1.8462000000000001</v>
      </c>
      <c r="M189" s="195">
        <f t="shared" si="13"/>
        <v>1.9382000000000001</v>
      </c>
      <c r="N189" s="16">
        <f>IF('Dry_Litterbag Placem_Collection'!G116="N.A","",'Dry_Litterbag Placem_Collection'!G116)</f>
        <v>43008</v>
      </c>
      <c r="O189" s="195">
        <f>IF(IFERROR(INDEX('Both teabags AfterDry'!$D$1:$D$839,MATCH(H189,'Both teabags AfterDry'!$A$1:$A$839,0)),"")="N.A","",(IFERROR(INDEX('Both teabags AfterDry'!$D$1:$D$839,MATCH(H189,'Both teabags AfterDry'!$A$1:$A$839,0)),"")))</f>
        <v>0.83330000000000004</v>
      </c>
      <c r="P189" s="195">
        <f>IF(IFERROR(INDEX('Both teabags AfterDry'!$D$1:$D$839,MATCH(I189,'Both teabags AfterDry'!$A$1:$A$839,0)),"")="N.A","",(IFERROR(INDEX('Both teabags AfterDry'!$D$1:$D$839,MATCH(I189,'Both teabags AfterDry'!$A$1:$A$839,0)),"")))</f>
        <v>1.1127</v>
      </c>
      <c r="Q189" s="195">
        <f t="shared" si="14"/>
        <v>0.68270000000000008</v>
      </c>
      <c r="R189" s="195">
        <f t="shared" si="14"/>
        <v>0.96209999999999996</v>
      </c>
      <c r="S189" s="195">
        <f t="shared" si="9"/>
        <v>0.63021341133138331</v>
      </c>
      <c r="T189" s="195">
        <f t="shared" si="15"/>
        <v>0.41315653569468369</v>
      </c>
      <c r="U189" s="195">
        <f t="shared" si="10"/>
        <v>0.49638840160974096</v>
      </c>
      <c r="V189">
        <f t="shared" si="11"/>
        <v>69</v>
      </c>
      <c r="W189" s="195">
        <f t="shared" si="16"/>
        <v>0.25152801504586297</v>
      </c>
      <c r="X189" s="195" t="str">
        <f t="shared" si="17"/>
        <v/>
      </c>
      <c r="Y189" s="255" t="str">
        <f>IF(ISNUMBER(SEARCH("C", 'Dry_Litterbag Placem_Collection'!T116)),"YES","NO")</f>
        <v>NO</v>
      </c>
      <c r="Z189" s="255" t="str">
        <f>IF(ISNUMBER(SEARCH("H", 'Dry_Litterbag Placem_Collection'!T116)),"YES","NO")</f>
        <v>YES</v>
      </c>
      <c r="AA189" s="255" t="str">
        <f>IF(ISNUMBER(SEARCH("R", 'Dry_Litterbag Placem_Collection'!T116)),"YES","NO")</f>
        <v>NO</v>
      </c>
      <c r="AB189" s="255" t="str">
        <f>IF(ISNUMBER(SEARCH("C", 'Dry_Litterbag Placem_Collection'!S116)),"YES","NO")</f>
        <v>NO</v>
      </c>
      <c r="AC189" s="255" t="str">
        <f>IF(ISNUMBER(SEARCH("H", 'Dry_Litterbag Placem_Collection'!S116)),"YES","NO")</f>
        <v>NO</v>
      </c>
      <c r="AD189" s="255" t="str">
        <f>IF(ISNUMBER(SEARCH("R", 'Dry_Litterbag Placem_Collection'!S116)),"YES","NO")</f>
        <v>NO</v>
      </c>
    </row>
    <row r="190" spans="2:30">
      <c r="B190" t="str">
        <f>'Final data_for_R_analysis_Dryse'!A116</f>
        <v>Dry</v>
      </c>
      <c r="C190" s="263">
        <f>'Final data_for_R_analysis_Dryse'!B116</f>
        <v>115</v>
      </c>
      <c r="D190" t="s">
        <v>3844</v>
      </c>
      <c r="E190" t="s">
        <v>22</v>
      </c>
      <c r="F190" s="386">
        <v>3</v>
      </c>
      <c r="G190" s="16">
        <f>'Dry_Litterbag Placem_Collection'!E117</f>
        <v>42939</v>
      </c>
      <c r="H190" t="str">
        <f>'Final data_for_R_analysis_Dryse'!J116</f>
        <v>G125</v>
      </c>
      <c r="I190" t="str">
        <f>'Final data_for_R_analysis_Dryse'!J336</f>
        <v>R766</v>
      </c>
      <c r="J190">
        <f>IFERROR(INDEX('Green_rooibos initial weight'!$C$5:$C$1749,MATCH(H190, 'Green_rooibos initial weight'!$A$5:$A$1749,0)),"")</f>
        <v>2.0979999999999999</v>
      </c>
      <c r="K190">
        <f>IFERROR(INDEX('Green_rooibos initial weight'!$C$5:$C$1749,MATCH(I190, 'Green_rooibos initial weight'!$A$5:$A$1749,0)),"")</f>
        <v>2.21</v>
      </c>
      <c r="L190" s="195">
        <f t="shared" si="12"/>
        <v>1.8481999999999998</v>
      </c>
      <c r="M190" s="195">
        <f t="shared" si="13"/>
        <v>1.9601999999999999</v>
      </c>
      <c r="N190" s="16">
        <f>IF('Dry_Litterbag Placem_Collection'!G117="N.A","",'Dry_Litterbag Placem_Collection'!G117)</f>
        <v>43008</v>
      </c>
      <c r="O190" s="195">
        <f>IF(IFERROR(INDEX('Both teabags AfterDry'!$D$1:$D$839,MATCH(H190,'Both teabags AfterDry'!$A$1:$A$839,0)),"")="N.A","",(IFERROR(INDEX('Both teabags AfterDry'!$D$1:$D$839,MATCH(H190,'Both teabags AfterDry'!$A$1:$A$839,0)),"")))</f>
        <v>0.78120000000000001</v>
      </c>
      <c r="P190" s="195">
        <f>IF(IFERROR(INDEX('Both teabags AfterDry'!$D$1:$D$839,MATCH(I190,'Both teabags AfterDry'!$A$1:$A$839,0)),"")="N.A","",(IFERROR(INDEX('Both teabags AfterDry'!$D$1:$D$839,MATCH(I190,'Both teabags AfterDry'!$A$1:$A$839,0)),"")))</f>
        <v>1.6694</v>
      </c>
      <c r="Q190" s="195">
        <f t="shared" si="14"/>
        <v>0.63060000000000005</v>
      </c>
      <c r="R190" s="195">
        <f t="shared" si="14"/>
        <v>1.5187999999999999</v>
      </c>
      <c r="S190" s="195">
        <f t="shared" si="9"/>
        <v>0.65880315983118698</v>
      </c>
      <c r="T190" s="195">
        <f t="shared" si="15"/>
        <v>0.43189945870168078</v>
      </c>
      <c r="U190" s="195">
        <f t="shared" si="10"/>
        <v>0.77481889603101728</v>
      </c>
      <c r="V190">
        <f t="shared" si="11"/>
        <v>69</v>
      </c>
      <c r="W190" s="195">
        <f t="shared" si="16"/>
        <v>0.21757344438101311</v>
      </c>
      <c r="X190" s="195">
        <f t="shared" si="17"/>
        <v>1.0678776304706145E-2</v>
      </c>
      <c r="Y190" s="255" t="str">
        <f>IF(ISNUMBER(SEARCH("C", 'Dry_Litterbag Placem_Collection'!T117)),"YES","NO")</f>
        <v>NO</v>
      </c>
      <c r="Z190" s="255" t="str">
        <f>IF(ISNUMBER(SEARCH("H", 'Dry_Litterbag Placem_Collection'!T117)),"YES","NO")</f>
        <v>YES</v>
      </c>
      <c r="AA190" s="255" t="str">
        <f>IF(ISNUMBER(SEARCH("R", 'Dry_Litterbag Placem_Collection'!T117)),"YES","NO")</f>
        <v>YES</v>
      </c>
      <c r="AB190" s="255" t="str">
        <f>IF(ISNUMBER(SEARCH("C", 'Dry_Litterbag Placem_Collection'!S117)),"YES","NO")</f>
        <v>NO</v>
      </c>
      <c r="AC190" s="255" t="str">
        <f>IF(ISNUMBER(SEARCH("H", 'Dry_Litterbag Placem_Collection'!S117)),"YES","NO")</f>
        <v>NO</v>
      </c>
      <c r="AD190" s="255" t="str">
        <f>IF(ISNUMBER(SEARCH("R", 'Dry_Litterbag Placem_Collection'!S117)),"YES","NO")</f>
        <v>YES</v>
      </c>
    </row>
    <row r="191" spans="2:30">
      <c r="B191" t="str">
        <f>'Final data_for_R_analysis_Dryse'!A117</f>
        <v>Dry</v>
      </c>
      <c r="C191" s="263">
        <f>'Final data_for_R_analysis_Dryse'!B117</f>
        <v>116</v>
      </c>
      <c r="D191" t="s">
        <v>3844</v>
      </c>
      <c r="E191" t="s">
        <v>22</v>
      </c>
      <c r="F191" s="387">
        <v>4</v>
      </c>
      <c r="G191" s="16">
        <f>'Dry_Litterbag Placem_Collection'!E118</f>
        <v>42939</v>
      </c>
      <c r="H191" t="str">
        <f>'Final data_for_R_analysis_Dryse'!J117</f>
        <v>G189</v>
      </c>
      <c r="I191" t="str">
        <f>'Final data_for_R_analysis_Dryse'!J337</f>
        <v>R757</v>
      </c>
      <c r="J191">
        <f>IFERROR(INDEX('Green_rooibos initial weight'!$C$5:$C$1749,MATCH(H191, 'Green_rooibos initial weight'!$A$5:$A$1749,0)),"")</f>
        <v>2.0059999999999998</v>
      </c>
      <c r="K191">
        <f>IFERROR(INDEX('Green_rooibos initial weight'!$C$5:$C$1749,MATCH(I191, 'Green_rooibos initial weight'!$A$5:$A$1749,0)),"")</f>
        <v>2.2050000000000001</v>
      </c>
      <c r="L191" s="195">
        <f t="shared" si="12"/>
        <v>1.7561999999999998</v>
      </c>
      <c r="M191" s="195">
        <f t="shared" si="13"/>
        <v>1.9552</v>
      </c>
      <c r="N191" s="16">
        <f>IF('Dry_Litterbag Placem_Collection'!G118="N.A","",'Dry_Litterbag Placem_Collection'!G118)</f>
        <v>43008</v>
      </c>
      <c r="O191" s="195">
        <f>IF(IFERROR(INDEX('Both teabags AfterDry'!$D$1:$D$839,MATCH(H191,'Both teabags AfterDry'!$A$1:$A$839,0)),"")="N.A","",(IFERROR(INDEX('Both teabags AfterDry'!$D$1:$D$839,MATCH(H191,'Both teabags AfterDry'!$A$1:$A$839,0)),"")))</f>
        <v>0.76890000000000003</v>
      </c>
      <c r="P191" s="195">
        <f>IF(IFERROR(INDEX('Both teabags AfterDry'!$D$1:$D$839,MATCH(I191,'Both teabags AfterDry'!$A$1:$A$839,0)),"")="N.A","",(IFERROR(INDEX('Both teabags AfterDry'!$D$1:$D$839,MATCH(I191,'Both teabags AfterDry'!$A$1:$A$839,0)),"")))</f>
        <v>1.7337</v>
      </c>
      <c r="Q191" s="195">
        <f t="shared" si="14"/>
        <v>0.61830000000000007</v>
      </c>
      <c r="R191" s="195">
        <f t="shared" si="14"/>
        <v>1.5831</v>
      </c>
      <c r="S191" s="195">
        <f t="shared" si="9"/>
        <v>0.64793303723949425</v>
      </c>
      <c r="T191" s="195">
        <f t="shared" si="15"/>
        <v>0.42477320256080864</v>
      </c>
      <c r="U191" s="195">
        <f t="shared" si="10"/>
        <v>0.80968698854337151</v>
      </c>
      <c r="V191">
        <f t="shared" si="11"/>
        <v>69</v>
      </c>
      <c r="W191" s="195">
        <f t="shared" si="16"/>
        <v>0.23048332869418731</v>
      </c>
      <c r="X191" s="195">
        <f t="shared" si="17"/>
        <v>8.6126025033100156E-3</v>
      </c>
      <c r="Y191" s="255" t="str">
        <f>IF(ISNUMBER(SEARCH("C", 'Dry_Litterbag Placem_Collection'!T118)),"YES","NO")</f>
        <v>NO</v>
      </c>
      <c r="Z191" s="255" t="str">
        <f>IF(ISNUMBER(SEARCH("H", 'Dry_Litterbag Placem_Collection'!T118)),"YES","NO")</f>
        <v>NO</v>
      </c>
      <c r="AA191" s="255" t="str">
        <f>IF(ISNUMBER(SEARCH("R", 'Dry_Litterbag Placem_Collection'!T118)),"YES","NO")</f>
        <v>NO</v>
      </c>
      <c r="AB191" s="255" t="str">
        <f>IF(ISNUMBER(SEARCH("C", 'Dry_Litterbag Placem_Collection'!S118)),"YES","NO")</f>
        <v>NO</v>
      </c>
      <c r="AC191" s="255" t="str">
        <f>IF(ISNUMBER(SEARCH("H", 'Dry_Litterbag Placem_Collection'!S118)),"YES","NO")</f>
        <v>NO</v>
      </c>
      <c r="AD191" s="255" t="str">
        <f>IF(ISNUMBER(SEARCH("R", 'Dry_Litterbag Placem_Collection'!S118)),"YES","NO")</f>
        <v>YES</v>
      </c>
    </row>
    <row r="192" spans="2:30">
      <c r="B192" t="str">
        <f>'Final data_for_R_analysis_Dryse'!A118</f>
        <v>Dry</v>
      </c>
      <c r="C192" s="263">
        <f>'Final data_for_R_analysis_Dryse'!B118</f>
        <v>117</v>
      </c>
      <c r="D192" t="s">
        <v>3844</v>
      </c>
      <c r="E192" t="s">
        <v>22</v>
      </c>
      <c r="F192" s="387">
        <v>5</v>
      </c>
      <c r="G192" s="16">
        <f>'Dry_Litterbag Placem_Collection'!E119</f>
        <v>42939</v>
      </c>
      <c r="H192" t="str">
        <f>'Final data_for_R_analysis_Dryse'!J118</f>
        <v>G533</v>
      </c>
      <c r="I192" t="str">
        <f>'Final data_for_R_analysis_Dryse'!J338</f>
        <v>R745</v>
      </c>
      <c r="J192">
        <f>IFERROR(INDEX('Green_rooibos initial weight'!$C$5:$C$1749,MATCH(H192, 'Green_rooibos initial weight'!$A$5:$A$1749,0)),"")</f>
        <v>2.1070000000000002</v>
      </c>
      <c r="K192">
        <f>IFERROR(INDEX('Green_rooibos initial weight'!$C$5:$C$1749,MATCH(I192, 'Green_rooibos initial weight'!$A$5:$A$1749,0)),"")</f>
        <v>2.2909999999999999</v>
      </c>
      <c r="L192" s="195">
        <f t="shared" si="12"/>
        <v>1.8572000000000002</v>
      </c>
      <c r="M192" s="195">
        <f t="shared" si="13"/>
        <v>2.0411999999999999</v>
      </c>
      <c r="N192" s="16">
        <f>IF('Dry_Litterbag Placem_Collection'!G119="N.A","",'Dry_Litterbag Placem_Collection'!G119)</f>
        <v>43008</v>
      </c>
      <c r="O192" s="195" t="str">
        <f>IF(IFERROR(INDEX('Both teabags AfterDry'!$D$1:$D$839,MATCH(H192,'Both teabags AfterDry'!$A$1:$A$839,0)),"")="N.A","",(IFERROR(INDEX('Both teabags AfterDry'!$D$1:$D$839,MATCH(H192,'Both teabags AfterDry'!$A$1:$A$839,0)),"")))</f>
        <v/>
      </c>
      <c r="P192" s="195" t="str">
        <f>IF(IFERROR(INDEX('Both teabags AfterDry'!$D$1:$D$839,MATCH(I192,'Both teabags AfterDry'!$A$1:$A$839,0)),"")="N.A","",(IFERROR(INDEX('Both teabags AfterDry'!$D$1:$D$839,MATCH(I192,'Both teabags AfterDry'!$A$1:$A$839,0)),"")))</f>
        <v/>
      </c>
      <c r="Q192" s="195" t="str">
        <f t="shared" si="14"/>
        <v/>
      </c>
      <c r="R192" s="195" t="str">
        <f t="shared" si="14"/>
        <v/>
      </c>
      <c r="S192" s="195" t="str">
        <f t="shared" si="9"/>
        <v/>
      </c>
      <c r="T192" s="195" t="str">
        <f t="shared" si="15"/>
        <v/>
      </c>
      <c r="U192" s="195" t="str">
        <f t="shared" si="10"/>
        <v/>
      </c>
      <c r="V192">
        <f t="shared" si="11"/>
        <v>69</v>
      </c>
      <c r="W192" s="195" t="str">
        <f t="shared" si="16"/>
        <v/>
      </c>
      <c r="X192" s="195" t="str">
        <f t="shared" si="17"/>
        <v/>
      </c>
      <c r="Y192" s="255" t="str">
        <f>IF(ISNUMBER(SEARCH("C", 'Dry_Litterbag Placem_Collection'!T119)),"YES","NO")</f>
        <v>NO</v>
      </c>
      <c r="Z192" s="255" t="str">
        <f>IF(ISNUMBER(SEARCH("H", 'Dry_Litterbag Placem_Collection'!T119)),"YES","NO")</f>
        <v>NO</v>
      </c>
      <c r="AA192" s="255" t="str">
        <f>IF(ISNUMBER(SEARCH("R", 'Dry_Litterbag Placem_Collection'!T119)),"YES","NO")</f>
        <v>NO</v>
      </c>
      <c r="AB192" s="255" t="str">
        <f>IF(ISNUMBER(SEARCH("C", 'Dry_Litterbag Placem_Collection'!S119)),"YES","NO")</f>
        <v>NO</v>
      </c>
      <c r="AC192" s="255" t="str">
        <f>IF(ISNUMBER(SEARCH("H", 'Dry_Litterbag Placem_Collection'!S119)),"YES","NO")</f>
        <v>NO</v>
      </c>
      <c r="AD192" s="255" t="str">
        <f>IF(ISNUMBER(SEARCH("R", 'Dry_Litterbag Placem_Collection'!S119)),"YES","NO")</f>
        <v>YES</v>
      </c>
    </row>
    <row r="193" spans="2:30">
      <c r="B193" t="str">
        <f>'Final data_for_R_analysis_Dryse'!A119</f>
        <v>Dry</v>
      </c>
      <c r="C193" s="263">
        <f>'Final data_for_R_analysis_Dryse'!B119</f>
        <v>118</v>
      </c>
      <c r="D193" t="s">
        <v>3844</v>
      </c>
      <c r="E193" t="s">
        <v>22</v>
      </c>
      <c r="F193" s="387">
        <v>6</v>
      </c>
      <c r="G193" s="16">
        <f>'Dry_Litterbag Placem_Collection'!E120</f>
        <v>42939</v>
      </c>
      <c r="H193" t="str">
        <f>'Final data_for_R_analysis_Dryse'!J119</f>
        <v>G200</v>
      </c>
      <c r="I193" t="str">
        <f>'Final data_for_R_analysis_Dryse'!J339</f>
        <v>R791</v>
      </c>
      <c r="J193">
        <f>IFERROR(INDEX('Green_rooibos initial weight'!$C$5:$C$1749,MATCH(H193, 'Green_rooibos initial weight'!$A$5:$A$1749,0)),"")</f>
        <v>2.0150000000000001</v>
      </c>
      <c r="K193">
        <f>IFERROR(INDEX('Green_rooibos initial weight'!$C$5:$C$1749,MATCH(I193, 'Green_rooibos initial weight'!$A$5:$A$1749,0)),"")</f>
        <v>2.1579999999999999</v>
      </c>
      <c r="L193" s="195">
        <f t="shared" si="12"/>
        <v>1.7652000000000001</v>
      </c>
      <c r="M193" s="195">
        <f t="shared" si="13"/>
        <v>1.9081999999999999</v>
      </c>
      <c r="N193" s="16">
        <f>IF('Dry_Litterbag Placem_Collection'!G120="N.A","",'Dry_Litterbag Placem_Collection'!G120)</f>
        <v>43008</v>
      </c>
      <c r="O193" s="195">
        <f>IF(IFERROR(INDEX('Both teabags AfterDry'!$D$1:$D$839,MATCH(H193,'Both teabags AfterDry'!$A$1:$A$839,0)),"")="N.A","",(IFERROR(INDEX('Both teabags AfterDry'!$D$1:$D$839,MATCH(H193,'Both teabags AfterDry'!$A$1:$A$839,0)),"")))</f>
        <v>0.71760000000000002</v>
      </c>
      <c r="P193" s="195">
        <f>IF(IFERROR(INDEX('Both teabags AfterDry'!$D$1:$D$839,MATCH(I193,'Both teabags AfterDry'!$A$1:$A$839,0)),"")="N.A","",(IFERROR(INDEX('Both teabags AfterDry'!$D$1:$D$839,MATCH(I193,'Both teabags AfterDry'!$A$1:$A$839,0)),"")))</f>
        <v>1.629</v>
      </c>
      <c r="Q193" s="195">
        <f t="shared" si="14"/>
        <v>0.56699999999999995</v>
      </c>
      <c r="R193" s="195">
        <f t="shared" si="14"/>
        <v>1.4783999999999999</v>
      </c>
      <c r="S193" s="195">
        <f t="shared" si="9"/>
        <v>0.67878993881713123</v>
      </c>
      <c r="T193" s="195">
        <f t="shared" si="15"/>
        <v>0.44500243019840441</v>
      </c>
      <c r="U193" s="195">
        <f t="shared" si="10"/>
        <v>0.77476155539251657</v>
      </c>
      <c r="V193">
        <f t="shared" si="11"/>
        <v>69</v>
      </c>
      <c r="W193" s="195">
        <f t="shared" si="16"/>
        <v>0.19383617717680368</v>
      </c>
      <c r="X193" s="195">
        <f t="shared" si="17"/>
        <v>1.0225008196254565E-2</v>
      </c>
      <c r="Y193" s="255" t="str">
        <f>IF(ISNUMBER(SEARCH("C", 'Dry_Litterbag Placem_Collection'!T120)),"YES","NO")</f>
        <v>NO</v>
      </c>
      <c r="Z193" s="255" t="str">
        <f>IF(ISNUMBER(SEARCH("H", 'Dry_Litterbag Placem_Collection'!T120)),"YES","NO")</f>
        <v>NO</v>
      </c>
      <c r="AA193" s="255" t="str">
        <f>IF(ISNUMBER(SEARCH("R", 'Dry_Litterbag Placem_Collection'!T120)),"YES","NO")</f>
        <v>NO</v>
      </c>
      <c r="AB193" s="255" t="str">
        <f>IF(ISNUMBER(SEARCH("C", 'Dry_Litterbag Placem_Collection'!S120)),"YES","NO")</f>
        <v>NO</v>
      </c>
      <c r="AC193" s="255" t="str">
        <f>IF(ISNUMBER(SEARCH("H", 'Dry_Litterbag Placem_Collection'!S120)),"YES","NO")</f>
        <v>YES</v>
      </c>
      <c r="AD193" s="255" t="str">
        <f>IF(ISNUMBER(SEARCH("R", 'Dry_Litterbag Placem_Collection'!S120)),"YES","NO")</f>
        <v>YES</v>
      </c>
    </row>
    <row r="194" spans="2:30">
      <c r="B194" t="str">
        <f>'Final data_for_R_analysis_Dryse'!A120</f>
        <v>Dry</v>
      </c>
      <c r="C194" s="263">
        <f>'Final data_for_R_analysis_Dryse'!B120</f>
        <v>119</v>
      </c>
      <c r="D194" t="s">
        <v>3844</v>
      </c>
      <c r="E194" t="s">
        <v>22</v>
      </c>
      <c r="F194" s="387">
        <v>7</v>
      </c>
      <c r="G194" s="16">
        <f>'Dry_Litterbag Placem_Collection'!E121</f>
        <v>42939</v>
      </c>
      <c r="H194" t="str">
        <f>'Final data_for_R_analysis_Dryse'!J120</f>
        <v>G236</v>
      </c>
      <c r="I194" t="str">
        <f>'Final data_for_R_analysis_Dryse'!J340</f>
        <v>R802</v>
      </c>
      <c r="J194">
        <f>IFERROR(INDEX('Green_rooibos initial weight'!$C$5:$C$1749,MATCH(H194, 'Green_rooibos initial weight'!$A$5:$A$1749,0)),"")</f>
        <v>2.0529999999999999</v>
      </c>
      <c r="K194">
        <f>IFERROR(INDEX('Green_rooibos initial weight'!$C$5:$C$1749,MATCH(I194, 'Green_rooibos initial weight'!$A$5:$A$1749,0)),"")</f>
        <v>2.25</v>
      </c>
      <c r="L194" s="195">
        <f t="shared" si="12"/>
        <v>1.8031999999999999</v>
      </c>
      <c r="M194" s="195">
        <f t="shared" si="13"/>
        <v>2.0002</v>
      </c>
      <c r="N194" s="16">
        <f>IF('Dry_Litterbag Placem_Collection'!G121="N.A","",'Dry_Litterbag Placem_Collection'!G121)</f>
        <v>43008</v>
      </c>
      <c r="O194" s="195">
        <f>IF(IFERROR(INDEX('Both teabags AfterDry'!$D$1:$D$839,MATCH(H194,'Both teabags AfterDry'!$A$1:$A$839,0)),"")="N.A","",(IFERROR(INDEX('Both teabags AfterDry'!$D$1:$D$839,MATCH(H194,'Both teabags AfterDry'!$A$1:$A$839,0)),"")))</f>
        <v>0.81489999999999996</v>
      </c>
      <c r="P194" s="195">
        <f>IF(IFERROR(INDEX('Both teabags AfterDry'!$D$1:$D$839,MATCH(I194,'Both teabags AfterDry'!$A$1:$A$839,0)),"")="N.A","",(IFERROR(INDEX('Both teabags AfterDry'!$D$1:$D$839,MATCH(I194,'Both teabags AfterDry'!$A$1:$A$839,0)),"")))</f>
        <v>1.6778</v>
      </c>
      <c r="Q194" s="195">
        <f t="shared" si="14"/>
        <v>0.66429999999999989</v>
      </c>
      <c r="R194" s="195">
        <f t="shared" si="14"/>
        <v>1.5271999999999999</v>
      </c>
      <c r="S194" s="195">
        <f t="shared" si="9"/>
        <v>0.63159937888198758</v>
      </c>
      <c r="T194" s="195">
        <f t="shared" si="15"/>
        <v>0.41406515100101804</v>
      </c>
      <c r="U194" s="195">
        <f t="shared" si="10"/>
        <v>0.76352364763523639</v>
      </c>
      <c r="V194">
        <f t="shared" si="11"/>
        <v>69</v>
      </c>
      <c r="W194" s="195">
        <f t="shared" si="16"/>
        <v>0.24988197282424274</v>
      </c>
      <c r="X194" s="195">
        <f t="shared" si="17"/>
        <v>1.2268877872238886E-2</v>
      </c>
      <c r="Y194" s="255" t="str">
        <f>IF(ISNUMBER(SEARCH("C", 'Dry_Litterbag Placem_Collection'!T121)),"YES","NO")</f>
        <v>NO</v>
      </c>
      <c r="Z194" s="255" t="str">
        <f>IF(ISNUMBER(SEARCH("H", 'Dry_Litterbag Placem_Collection'!T121)),"YES","NO")</f>
        <v>NO</v>
      </c>
      <c r="AA194" s="255" t="str">
        <f>IF(ISNUMBER(SEARCH("R", 'Dry_Litterbag Placem_Collection'!T121)),"YES","NO")</f>
        <v>NO</v>
      </c>
      <c r="AB194" s="255" t="str">
        <f>IF(ISNUMBER(SEARCH("C", 'Dry_Litterbag Placem_Collection'!S121)),"YES","NO")</f>
        <v>NO</v>
      </c>
      <c r="AC194" s="255" t="str">
        <f>IF(ISNUMBER(SEARCH("H", 'Dry_Litterbag Placem_Collection'!S121)),"YES","NO")</f>
        <v>YES</v>
      </c>
      <c r="AD194" s="255" t="str">
        <f>IF(ISNUMBER(SEARCH("R", 'Dry_Litterbag Placem_Collection'!S121)),"YES","NO")</f>
        <v>NO</v>
      </c>
    </row>
    <row r="195" spans="2:30">
      <c r="B195" t="str">
        <f>'Final data_for_R_analysis_Dryse'!A121</f>
        <v>Dry</v>
      </c>
      <c r="C195" s="263">
        <f>'Final data_for_R_analysis_Dryse'!B121</f>
        <v>120</v>
      </c>
      <c r="D195" t="s">
        <v>3844</v>
      </c>
      <c r="E195" t="s">
        <v>22</v>
      </c>
      <c r="F195" s="387">
        <v>8</v>
      </c>
      <c r="G195" s="16">
        <f>'Dry_Litterbag Placem_Collection'!E122</f>
        <v>0</v>
      </c>
      <c r="H195" t="str">
        <f>'Final data_for_R_analysis_Dryse'!J121</f>
        <v/>
      </c>
      <c r="I195" t="str">
        <f>'Final data_for_R_analysis_Dryse'!J341</f>
        <v/>
      </c>
      <c r="J195" t="str">
        <f>IFERROR(INDEX('Green_rooibos initial weight'!$C$5:$C$1749,MATCH(H195, 'Green_rooibos initial weight'!$A$5:$A$1749,0)),"")</f>
        <v/>
      </c>
      <c r="K195" t="str">
        <f>IFERROR(INDEX('Green_rooibos initial weight'!$C$5:$C$1749,MATCH(I195, 'Green_rooibos initial weight'!$A$5:$A$1749,0)),"")</f>
        <v/>
      </c>
      <c r="L195" s="195" t="str">
        <f t="shared" si="12"/>
        <v/>
      </c>
      <c r="M195" s="195" t="str">
        <f t="shared" si="13"/>
        <v/>
      </c>
      <c r="N195" s="16">
        <f>IF('Dry_Litterbag Placem_Collection'!G122="N.A","",'Dry_Litterbag Placem_Collection'!G122)</f>
        <v>0</v>
      </c>
      <c r="O195" s="195" t="str">
        <f>IF(IFERROR(INDEX('Both teabags AfterDry'!$D$1:$D$839,MATCH(H195,'Both teabags AfterDry'!$A$1:$A$839,0)),"")="N.A","",(IFERROR(INDEX('Both teabags AfterDry'!$D$1:$D$839,MATCH(H195,'Both teabags AfterDry'!$A$1:$A$839,0)),"")))</f>
        <v/>
      </c>
      <c r="P195" s="195" t="str">
        <f>IF(IFERROR(INDEX('Both teabags AfterDry'!$D$1:$D$839,MATCH(I195,'Both teabags AfterDry'!$A$1:$A$839,0)),"")="N.A","",(IFERROR(INDEX('Both teabags AfterDry'!$D$1:$D$839,MATCH(I195,'Both teabags AfterDry'!$A$1:$A$839,0)),"")))</f>
        <v/>
      </c>
      <c r="Q195" s="195" t="str">
        <f t="shared" si="14"/>
        <v/>
      </c>
      <c r="R195" s="195" t="str">
        <f t="shared" si="14"/>
        <v/>
      </c>
      <c r="S195" s="195" t="str">
        <f t="shared" si="9"/>
        <v/>
      </c>
      <c r="T195" s="195" t="str">
        <f t="shared" si="15"/>
        <v/>
      </c>
      <c r="U195" s="195" t="str">
        <f t="shared" si="10"/>
        <v/>
      </c>
      <c r="V195" t="str">
        <f t="shared" si="11"/>
        <v/>
      </c>
      <c r="W195" s="195" t="str">
        <f t="shared" si="16"/>
        <v/>
      </c>
      <c r="X195" s="195" t="str">
        <f t="shared" si="17"/>
        <v/>
      </c>
      <c r="Y195" s="255" t="str">
        <f>IF(ISNUMBER(SEARCH("C", 'Dry_Litterbag Placem_Collection'!T122)),"YES","NO")</f>
        <v>NO</v>
      </c>
      <c r="Z195" s="255" t="str">
        <f>IF(ISNUMBER(SEARCH("H", 'Dry_Litterbag Placem_Collection'!T122)),"YES","NO")</f>
        <v>NO</v>
      </c>
      <c r="AA195" s="255" t="str">
        <f>IF(ISNUMBER(SEARCH("R", 'Dry_Litterbag Placem_Collection'!T122)),"YES","NO")</f>
        <v>NO</v>
      </c>
      <c r="AB195" s="255" t="str">
        <f>IF(ISNUMBER(SEARCH("C", 'Dry_Litterbag Placem_Collection'!S122)),"YES","NO")</f>
        <v>NO</v>
      </c>
      <c r="AC195" s="255" t="str">
        <f>IF(ISNUMBER(SEARCH("H", 'Dry_Litterbag Placem_Collection'!S122)),"YES","NO")</f>
        <v>NO</v>
      </c>
      <c r="AD195" s="255" t="str">
        <f>IF(ISNUMBER(SEARCH("R", 'Dry_Litterbag Placem_Collection'!S122)),"YES","NO")</f>
        <v>NO</v>
      </c>
    </row>
    <row r="196" spans="2:30">
      <c r="B196" t="str">
        <f>'Final data_for_R_analysis_Dryse'!A122</f>
        <v>Dry</v>
      </c>
      <c r="C196" s="263">
        <f>'Final data_for_R_analysis_Dryse'!B122</f>
        <v>121</v>
      </c>
      <c r="D196" t="s">
        <v>3845</v>
      </c>
      <c r="E196" t="s">
        <v>22</v>
      </c>
      <c r="F196" s="386">
        <v>1</v>
      </c>
      <c r="G196" s="16">
        <f>'Dry_Litterbag Placem_Collection'!E123</f>
        <v>42939</v>
      </c>
      <c r="H196" t="str">
        <f>'Final data_for_R_analysis_Dryse'!J122</f>
        <v>G280</v>
      </c>
      <c r="I196" t="str">
        <f>'Final data_for_R_analysis_Dryse'!J342</f>
        <v>R822</v>
      </c>
      <c r="J196">
        <f>IFERROR(INDEX('Green_rooibos initial weight'!$C$5:$C$1749,MATCH(H196, 'Green_rooibos initial weight'!$A$5:$A$1749,0)),"")</f>
        <v>1.9450000000000001</v>
      </c>
      <c r="K196">
        <f>IFERROR(INDEX('Green_rooibos initial weight'!$C$5:$C$1749,MATCH(I196, 'Green_rooibos initial weight'!$A$5:$A$1749,0)),"")</f>
        <v>2.1880000000000002</v>
      </c>
      <c r="L196" s="195">
        <f t="shared" si="12"/>
        <v>1.6952</v>
      </c>
      <c r="M196" s="195">
        <f t="shared" si="13"/>
        <v>1.9382000000000001</v>
      </c>
      <c r="N196" s="16">
        <f>IF('Dry_Litterbag Placem_Collection'!G123="N.A","",'Dry_Litterbag Placem_Collection'!G123)</f>
        <v>43008</v>
      </c>
      <c r="O196" s="195" t="str">
        <f>IF(IFERROR(INDEX('Both teabags AfterDry'!$D$1:$D$839,MATCH(H196,'Both teabags AfterDry'!$A$1:$A$839,0)),"")="N.A","",(IFERROR(INDEX('Both teabags AfterDry'!$D$1:$D$839,MATCH(H196,'Both teabags AfterDry'!$A$1:$A$839,0)),"")))</f>
        <v/>
      </c>
      <c r="P196" s="195" t="str">
        <f>IF(IFERROR(INDEX('Both teabags AfterDry'!$D$1:$D$839,MATCH(I196,'Both teabags AfterDry'!$A$1:$A$839,0)),"")="N.A","",(IFERROR(INDEX('Both teabags AfterDry'!$D$1:$D$839,MATCH(I196,'Both teabags AfterDry'!$A$1:$A$839,0)),"")))</f>
        <v/>
      </c>
      <c r="Q196" s="195" t="str">
        <f t="shared" si="14"/>
        <v/>
      </c>
      <c r="R196" s="195" t="str">
        <f t="shared" si="14"/>
        <v/>
      </c>
      <c r="S196" s="195" t="str">
        <f t="shared" si="9"/>
        <v/>
      </c>
      <c r="T196" s="195" t="str">
        <f t="shared" si="15"/>
        <v/>
      </c>
      <c r="U196" s="195" t="str">
        <f t="shared" si="10"/>
        <v/>
      </c>
      <c r="V196">
        <f t="shared" si="11"/>
        <v>69</v>
      </c>
      <c r="W196" s="195" t="str">
        <f t="shared" si="16"/>
        <v/>
      </c>
      <c r="X196" s="195" t="str">
        <f t="shared" si="17"/>
        <v/>
      </c>
      <c r="Y196" s="255" t="str">
        <f>IF(ISNUMBER(SEARCH("C", 'Dry_Litterbag Placem_Collection'!T123)),"YES","NO")</f>
        <v>NO</v>
      </c>
      <c r="Z196" s="255" t="str">
        <f>IF(ISNUMBER(SEARCH("H", 'Dry_Litterbag Placem_Collection'!T123)),"YES","NO")</f>
        <v>NO</v>
      </c>
      <c r="AA196" s="255" t="str">
        <f>IF(ISNUMBER(SEARCH("R", 'Dry_Litterbag Placem_Collection'!T123)),"YES","NO")</f>
        <v>NO</v>
      </c>
      <c r="AB196" s="255" t="str">
        <f>IF(ISNUMBER(SEARCH("C", 'Dry_Litterbag Placem_Collection'!S123)),"YES","NO")</f>
        <v>NO</v>
      </c>
      <c r="AC196" s="255" t="str">
        <f>IF(ISNUMBER(SEARCH("H", 'Dry_Litterbag Placem_Collection'!S123)),"YES","NO")</f>
        <v>NO</v>
      </c>
      <c r="AD196" s="255" t="str">
        <f>IF(ISNUMBER(SEARCH("R", 'Dry_Litterbag Placem_Collection'!S123)),"YES","NO")</f>
        <v>NO</v>
      </c>
    </row>
    <row r="197" spans="2:30">
      <c r="B197" t="str">
        <f>'Final data_for_R_analysis_Dryse'!A123</f>
        <v>Dry</v>
      </c>
      <c r="C197" s="263">
        <f>'Final data_for_R_analysis_Dryse'!B123</f>
        <v>122</v>
      </c>
      <c r="D197" t="s">
        <v>3845</v>
      </c>
      <c r="E197" t="s">
        <v>22</v>
      </c>
      <c r="F197" s="386">
        <v>2</v>
      </c>
      <c r="G197" s="16">
        <f>'Dry_Litterbag Placem_Collection'!E124</f>
        <v>42939</v>
      </c>
      <c r="H197" t="str">
        <f>'Final data_for_R_analysis_Dryse'!J123</f>
        <v>G231</v>
      </c>
      <c r="I197" t="str">
        <f>'Final data_for_R_analysis_Dryse'!J343</f>
        <v>R792</v>
      </c>
      <c r="J197">
        <f>IFERROR(INDEX('Green_rooibos initial weight'!$C$5:$C$1749,MATCH(H197, 'Green_rooibos initial weight'!$A$5:$A$1749,0)),"")</f>
        <v>2.085</v>
      </c>
      <c r="K197">
        <f>IFERROR(INDEX('Green_rooibos initial weight'!$C$5:$C$1749,MATCH(I197, 'Green_rooibos initial weight'!$A$5:$A$1749,0)),"")</f>
        <v>2.2389999999999999</v>
      </c>
      <c r="L197" s="195">
        <f t="shared" si="12"/>
        <v>1.8351999999999999</v>
      </c>
      <c r="M197" s="195">
        <f t="shared" si="13"/>
        <v>1.9891999999999999</v>
      </c>
      <c r="N197" s="16">
        <f>IF('Dry_Litterbag Placem_Collection'!G124="N.A","",'Dry_Litterbag Placem_Collection'!G124)</f>
        <v>43008</v>
      </c>
      <c r="O197" s="195">
        <f>IF(IFERROR(INDEX('Both teabags AfterDry'!$D$1:$D$839,MATCH(H197,'Both teabags AfterDry'!$A$1:$A$839,0)),"")="N.A","",(IFERROR(INDEX('Both teabags AfterDry'!$D$1:$D$839,MATCH(H197,'Both teabags AfterDry'!$A$1:$A$839,0)),"")))</f>
        <v>1.8747</v>
      </c>
      <c r="P197" s="195">
        <f>IF(IFERROR(INDEX('Both teabags AfterDry'!$D$1:$D$839,MATCH(I197,'Both teabags AfterDry'!$A$1:$A$839,0)),"")="N.A","",(IFERROR(INDEX('Both teabags AfterDry'!$D$1:$D$839,MATCH(I197,'Both teabags AfterDry'!$A$1:$A$839,0)),"")))</f>
        <v>0</v>
      </c>
      <c r="Q197" s="195">
        <f t="shared" si="14"/>
        <v>1.7241</v>
      </c>
      <c r="R197" s="195" t="str">
        <f t="shared" si="14"/>
        <v/>
      </c>
      <c r="S197" s="195">
        <f t="shared" si="9"/>
        <v>6.0538360941586711E-2</v>
      </c>
      <c r="T197" s="195">
        <f t="shared" si="15"/>
        <v>3.9687856579282504E-2</v>
      </c>
      <c r="U197" s="195" t="str">
        <f t="shared" si="10"/>
        <v/>
      </c>
      <c r="V197">
        <f t="shared" si="11"/>
        <v>69</v>
      </c>
      <c r="W197" s="195">
        <f t="shared" si="16"/>
        <v>0.92810170909550271</v>
      </c>
      <c r="X197" s="195" t="str">
        <f t="shared" si="17"/>
        <v/>
      </c>
      <c r="Y197" s="255" t="str">
        <f>IF(ISNUMBER(SEARCH("C", 'Dry_Litterbag Placem_Collection'!T124)),"YES","NO")</f>
        <v>YES</v>
      </c>
      <c r="Z197" s="255" t="str">
        <f>IF(ISNUMBER(SEARCH("H", 'Dry_Litterbag Placem_Collection'!T124)),"YES","NO")</f>
        <v>YES</v>
      </c>
      <c r="AA197" s="255" t="str">
        <f>IF(ISNUMBER(SEARCH("R", 'Dry_Litterbag Placem_Collection'!T124)),"YES","NO")</f>
        <v>NO</v>
      </c>
      <c r="AB197" s="255" t="str">
        <f>IF(ISNUMBER(SEARCH("C", 'Dry_Litterbag Placem_Collection'!S124)),"YES","NO")</f>
        <v>NO</v>
      </c>
      <c r="AC197" s="255" t="str">
        <f>IF(ISNUMBER(SEARCH("H", 'Dry_Litterbag Placem_Collection'!S124)),"YES","NO")</f>
        <v>YES</v>
      </c>
      <c r="AD197" s="255" t="str">
        <f>IF(ISNUMBER(SEARCH("R", 'Dry_Litterbag Placem_Collection'!S124)),"YES","NO")</f>
        <v>NO</v>
      </c>
    </row>
    <row r="198" spans="2:30">
      <c r="B198" t="str">
        <f>'Final data_for_R_analysis_Dryse'!A124</f>
        <v>Dry</v>
      </c>
      <c r="C198" s="263">
        <f>'Final data_for_R_analysis_Dryse'!B124</f>
        <v>123</v>
      </c>
      <c r="D198" t="s">
        <v>3845</v>
      </c>
      <c r="E198" t="s">
        <v>22</v>
      </c>
      <c r="F198" s="386">
        <v>3</v>
      </c>
      <c r="G198" s="16">
        <f>'Dry_Litterbag Placem_Collection'!E125</f>
        <v>42939</v>
      </c>
      <c r="H198" t="str">
        <f>'Final data_for_R_analysis_Dryse'!J124</f>
        <v>G292</v>
      </c>
      <c r="I198" t="str">
        <f>'Final data_for_R_analysis_Dryse'!J344</f>
        <v>R740</v>
      </c>
      <c r="J198">
        <f>IFERROR(INDEX('Green_rooibos initial weight'!$C$5:$C$1749,MATCH(H198, 'Green_rooibos initial weight'!$A$5:$A$1749,0)),"")</f>
        <v>2.0289999999999999</v>
      </c>
      <c r="K198">
        <f>IFERROR(INDEX('Green_rooibos initial weight'!$C$5:$C$1749,MATCH(I198, 'Green_rooibos initial weight'!$A$5:$A$1749,0)),"")</f>
        <v>2.161</v>
      </c>
      <c r="L198" s="195">
        <f t="shared" si="12"/>
        <v>1.7791999999999999</v>
      </c>
      <c r="M198" s="195">
        <f t="shared" si="13"/>
        <v>1.9112</v>
      </c>
      <c r="N198" s="16">
        <f>IF('Dry_Litterbag Placem_Collection'!G125="N.A","",'Dry_Litterbag Placem_Collection'!G125)</f>
        <v>43008</v>
      </c>
      <c r="O198" s="195">
        <f>IF(IFERROR(INDEX('Both teabags AfterDry'!$D$1:$D$839,MATCH(H198,'Both teabags AfterDry'!$A$1:$A$839,0)),"")="N.A","",(IFERROR(INDEX('Both teabags AfterDry'!$D$1:$D$839,MATCH(H198,'Both teabags AfterDry'!$A$1:$A$839,0)),"")))</f>
        <v>0.88980000000000004</v>
      </c>
      <c r="P198" s="195">
        <f>IF(IFERROR(INDEX('Both teabags AfterDry'!$D$1:$D$839,MATCH(I198,'Both teabags AfterDry'!$A$1:$A$839,0)),"")="N.A","",(IFERROR(INDEX('Both teabags AfterDry'!$D$1:$D$839,MATCH(I198,'Both teabags AfterDry'!$A$1:$A$839,0)),"")))</f>
        <v>1.6575</v>
      </c>
      <c r="Q198" s="195">
        <f t="shared" si="14"/>
        <v>0.73920000000000008</v>
      </c>
      <c r="R198" s="195">
        <f t="shared" si="14"/>
        <v>1.5068999999999999</v>
      </c>
      <c r="S198" s="195">
        <f t="shared" si="9"/>
        <v>0.58453237410071934</v>
      </c>
      <c r="T198" s="195">
        <f t="shared" si="15"/>
        <v>0.38320887233206308</v>
      </c>
      <c r="U198" s="195">
        <f t="shared" si="10"/>
        <v>0.78845751360401839</v>
      </c>
      <c r="V198">
        <f t="shared" si="11"/>
        <v>69</v>
      </c>
      <c r="W198" s="195">
        <f t="shared" si="16"/>
        <v>0.30578102838394372</v>
      </c>
      <c r="X198" s="195">
        <f t="shared" si="17"/>
        <v>1.1638075687327087E-2</v>
      </c>
      <c r="Y198" s="255" t="str">
        <f>IF(ISNUMBER(SEARCH("C", 'Dry_Litterbag Placem_Collection'!T125)),"YES","NO")</f>
        <v>NO</v>
      </c>
      <c r="Z198" s="255" t="str">
        <f>IF(ISNUMBER(SEARCH("H", 'Dry_Litterbag Placem_Collection'!T125)),"YES","NO")</f>
        <v>NO</v>
      </c>
      <c r="AA198" s="255" t="str">
        <f>IF(ISNUMBER(SEARCH("R", 'Dry_Litterbag Placem_Collection'!T125)),"YES","NO")</f>
        <v>NO</v>
      </c>
      <c r="AB198" s="255" t="str">
        <f>IF(ISNUMBER(SEARCH("C", 'Dry_Litterbag Placem_Collection'!S125)),"YES","NO")</f>
        <v>NO</v>
      </c>
      <c r="AC198" s="255" t="str">
        <f>IF(ISNUMBER(SEARCH("H", 'Dry_Litterbag Placem_Collection'!S125)),"YES","NO")</f>
        <v>NO</v>
      </c>
      <c r="AD198" s="255" t="str">
        <f>IF(ISNUMBER(SEARCH("R", 'Dry_Litterbag Placem_Collection'!S125)),"YES","NO")</f>
        <v>YES</v>
      </c>
    </row>
    <row r="199" spans="2:30">
      <c r="B199" t="str">
        <f>'Final data_for_R_analysis_Dryse'!A125</f>
        <v>Dry</v>
      </c>
      <c r="C199" s="263">
        <f>'Final data_for_R_analysis_Dryse'!B125</f>
        <v>124</v>
      </c>
      <c r="D199" t="s">
        <v>3845</v>
      </c>
      <c r="E199" t="s">
        <v>22</v>
      </c>
      <c r="F199" s="387">
        <v>4</v>
      </c>
      <c r="G199" s="16">
        <f>'Dry_Litterbag Placem_Collection'!E126</f>
        <v>42939</v>
      </c>
      <c r="H199" t="str">
        <f>'Final data_for_R_analysis_Dryse'!J125</f>
        <v>G116</v>
      </c>
      <c r="I199" t="str">
        <f>'Final data_for_R_analysis_Dryse'!J345</f>
        <v>R797</v>
      </c>
      <c r="J199">
        <f>IFERROR(INDEX('Green_rooibos initial weight'!$C$5:$C$1749,MATCH(H199, 'Green_rooibos initial weight'!$A$5:$A$1749,0)),"")</f>
        <v>1.925</v>
      </c>
      <c r="K199">
        <f>IFERROR(INDEX('Green_rooibos initial weight'!$C$5:$C$1749,MATCH(I199, 'Green_rooibos initial weight'!$A$5:$A$1749,0)),"")</f>
        <v>2.2130000000000001</v>
      </c>
      <c r="L199" s="195">
        <f t="shared" si="12"/>
        <v>1.6752</v>
      </c>
      <c r="M199" s="195">
        <f t="shared" si="13"/>
        <v>1.9632000000000001</v>
      </c>
      <c r="N199" s="16">
        <f>IF('Dry_Litterbag Placem_Collection'!G126="N.A","",'Dry_Litterbag Placem_Collection'!G126)</f>
        <v>43008</v>
      </c>
      <c r="O199" s="195">
        <f>IF(IFERROR(INDEX('Both teabags AfterDry'!$D$1:$D$839,MATCH(H199,'Both teabags AfterDry'!$A$1:$A$839,0)),"")="N.A","",(IFERROR(INDEX('Both teabags AfterDry'!$D$1:$D$839,MATCH(H199,'Both teabags AfterDry'!$A$1:$A$839,0)),"")))</f>
        <v>0.63749999999999996</v>
      </c>
      <c r="P199" s="195">
        <f>IF(IFERROR(INDEX('Both teabags AfterDry'!$D$1:$D$839,MATCH(I199,'Both teabags AfterDry'!$A$1:$A$839,0)),"")="N.A","",(IFERROR(INDEX('Both teabags AfterDry'!$D$1:$D$839,MATCH(I199,'Both teabags AfterDry'!$A$1:$A$839,0)),"")))</f>
        <v>1.5708</v>
      </c>
      <c r="Q199" s="195">
        <f t="shared" si="14"/>
        <v>0.48689999999999994</v>
      </c>
      <c r="R199" s="195">
        <f t="shared" si="14"/>
        <v>1.4201999999999999</v>
      </c>
      <c r="S199" s="195">
        <f t="shared" si="9"/>
        <v>0.7093481375358166</v>
      </c>
      <c r="T199" s="195">
        <f t="shared" si="15"/>
        <v>0.46503583363393208</v>
      </c>
      <c r="U199" s="195">
        <f t="shared" si="10"/>
        <v>0.72341075794621024</v>
      </c>
      <c r="V199">
        <f t="shared" si="11"/>
        <v>69</v>
      </c>
      <c r="W199" s="195">
        <f t="shared" si="16"/>
        <v>0.15754377964867383</v>
      </c>
      <c r="X199" s="195">
        <f t="shared" si="17"/>
        <v>1.3091301902137671E-2</v>
      </c>
      <c r="Y199" s="255" t="str">
        <f>IF(ISNUMBER(SEARCH("C", 'Dry_Litterbag Placem_Collection'!T126)),"YES","NO")</f>
        <v>NO</v>
      </c>
      <c r="Z199" s="255" t="str">
        <f>IF(ISNUMBER(SEARCH("H", 'Dry_Litterbag Placem_Collection'!T126)),"YES","NO")</f>
        <v>YES</v>
      </c>
      <c r="AA199" s="255" t="str">
        <f>IF(ISNUMBER(SEARCH("R", 'Dry_Litterbag Placem_Collection'!T126)),"YES","NO")</f>
        <v>YES</v>
      </c>
      <c r="AB199" s="255" t="str">
        <f>IF(ISNUMBER(SEARCH("C", 'Dry_Litterbag Placem_Collection'!S126)),"YES","NO")</f>
        <v>NO</v>
      </c>
      <c r="AC199" s="255" t="str">
        <f>IF(ISNUMBER(SEARCH("H", 'Dry_Litterbag Placem_Collection'!S126)),"YES","NO")</f>
        <v>YES</v>
      </c>
      <c r="AD199" s="255" t="str">
        <f>IF(ISNUMBER(SEARCH("R", 'Dry_Litterbag Placem_Collection'!S126)),"YES","NO")</f>
        <v>YES</v>
      </c>
    </row>
    <row r="200" spans="2:30">
      <c r="B200" t="str">
        <f>'Final data_for_R_analysis_Dryse'!A126</f>
        <v>Dry</v>
      </c>
      <c r="C200" s="263">
        <f>'Final data_for_R_analysis_Dryse'!B126</f>
        <v>125</v>
      </c>
      <c r="D200" t="s">
        <v>3845</v>
      </c>
      <c r="E200" t="s">
        <v>22</v>
      </c>
      <c r="F200" s="387">
        <v>5</v>
      </c>
      <c r="G200" s="16">
        <f>'Dry_Litterbag Placem_Collection'!E127</f>
        <v>42939</v>
      </c>
      <c r="H200" t="str">
        <f>'Final data_for_R_analysis_Dryse'!J126</f>
        <v>G50</v>
      </c>
      <c r="I200" t="str">
        <f>'Final data_for_R_analysis_Dryse'!J346</f>
        <v>R795</v>
      </c>
      <c r="J200">
        <f>IFERROR(INDEX('Green_rooibos initial weight'!$C$5:$C$1749,MATCH(H200, 'Green_rooibos initial weight'!$A$5:$A$1749,0)),"")</f>
        <v>1.954</v>
      </c>
      <c r="K200">
        <f>IFERROR(INDEX('Green_rooibos initial weight'!$C$5:$C$1749,MATCH(I200, 'Green_rooibos initial weight'!$A$5:$A$1749,0)),"")</f>
        <v>2.2170000000000001</v>
      </c>
      <c r="L200" s="195">
        <f t="shared" si="12"/>
        <v>1.7041999999999999</v>
      </c>
      <c r="M200" s="195">
        <f t="shared" si="13"/>
        <v>1.9672000000000001</v>
      </c>
      <c r="N200" s="16">
        <f>IF('Dry_Litterbag Placem_Collection'!G127="N.A","",'Dry_Litterbag Placem_Collection'!G127)</f>
        <v>43008</v>
      </c>
      <c r="O200" s="195">
        <f>IF(IFERROR(INDEX('Both teabags AfterDry'!$D$1:$D$839,MATCH(H200,'Both teabags AfterDry'!$A$1:$A$839,0)),"")="N.A","",(IFERROR(INDEX('Both teabags AfterDry'!$D$1:$D$839,MATCH(H200,'Both teabags AfterDry'!$A$1:$A$839,0)),"")))</f>
        <v>0.8911</v>
      </c>
      <c r="P200" s="195">
        <f>IF(IFERROR(INDEX('Both teabags AfterDry'!$D$1:$D$839,MATCH(I200,'Both teabags AfterDry'!$A$1:$A$839,0)),"")="N.A","",(IFERROR(INDEX('Both teabags AfterDry'!$D$1:$D$839,MATCH(I200,'Both teabags AfterDry'!$A$1:$A$839,0)),"")))</f>
        <v>0.83220000000000005</v>
      </c>
      <c r="Q200" s="195">
        <f t="shared" si="14"/>
        <v>0.74049999999999994</v>
      </c>
      <c r="R200" s="195">
        <f t="shared" si="14"/>
        <v>0.68159999999999998</v>
      </c>
      <c r="S200" s="195">
        <f t="shared" si="9"/>
        <v>0.56548527168172757</v>
      </c>
      <c r="T200" s="195">
        <f t="shared" si="15"/>
        <v>0.37072193582935115</v>
      </c>
      <c r="U200" s="195">
        <f t="shared" si="10"/>
        <v>0.34648230988206585</v>
      </c>
      <c r="V200">
        <f t="shared" si="11"/>
        <v>69</v>
      </c>
      <c r="W200" s="195">
        <f t="shared" si="16"/>
        <v>0.32840229016421896</v>
      </c>
      <c r="X200" s="195" t="str">
        <f t="shared" si="17"/>
        <v/>
      </c>
      <c r="Y200" s="255" t="str">
        <f>IF(ISNUMBER(SEARCH("C", 'Dry_Litterbag Placem_Collection'!T127)),"YES","NO")</f>
        <v>YES</v>
      </c>
      <c r="Z200" s="255" t="str">
        <f>IF(ISNUMBER(SEARCH("H", 'Dry_Litterbag Placem_Collection'!T127)),"YES","NO")</f>
        <v>YES</v>
      </c>
      <c r="AA200" s="255" t="str">
        <f>IF(ISNUMBER(SEARCH("R", 'Dry_Litterbag Placem_Collection'!T127)),"YES","NO")</f>
        <v>NO</v>
      </c>
      <c r="AB200" s="255" t="str">
        <f>IF(ISNUMBER(SEARCH("C", 'Dry_Litterbag Placem_Collection'!S127)),"YES","NO")</f>
        <v>NO</v>
      </c>
      <c r="AC200" s="255" t="str">
        <f>IF(ISNUMBER(SEARCH("H", 'Dry_Litterbag Placem_Collection'!S127)),"YES","NO")</f>
        <v>NO</v>
      </c>
      <c r="AD200" s="255" t="str">
        <f>IF(ISNUMBER(SEARCH("R", 'Dry_Litterbag Placem_Collection'!S127)),"YES","NO")</f>
        <v>NO</v>
      </c>
    </row>
    <row r="201" spans="2:30">
      <c r="B201" t="str">
        <f>'Final data_for_R_analysis_Dryse'!A127</f>
        <v>Dry</v>
      </c>
      <c r="C201" s="263">
        <f>'Final data_for_R_analysis_Dryse'!B127</f>
        <v>126</v>
      </c>
      <c r="D201" t="s">
        <v>3845</v>
      </c>
      <c r="E201" t="s">
        <v>22</v>
      </c>
      <c r="F201" s="387">
        <v>6</v>
      </c>
      <c r="G201" s="16">
        <f>'Dry_Litterbag Placem_Collection'!E128</f>
        <v>0</v>
      </c>
      <c r="H201" t="str">
        <f>'Final data_for_R_analysis_Dryse'!J127</f>
        <v/>
      </c>
      <c r="I201" t="str">
        <f>'Final data_for_R_analysis_Dryse'!J347</f>
        <v/>
      </c>
      <c r="J201" t="str">
        <f>IFERROR(INDEX('Green_rooibos initial weight'!$C$5:$C$1749,MATCH(H201, 'Green_rooibos initial weight'!$A$5:$A$1749,0)),"")</f>
        <v/>
      </c>
      <c r="K201" t="str">
        <f>IFERROR(INDEX('Green_rooibos initial weight'!$C$5:$C$1749,MATCH(I201, 'Green_rooibos initial weight'!$A$5:$A$1749,0)),"")</f>
        <v/>
      </c>
      <c r="L201" s="195" t="str">
        <f t="shared" si="12"/>
        <v/>
      </c>
      <c r="M201" s="195" t="str">
        <f t="shared" si="13"/>
        <v/>
      </c>
      <c r="N201" s="16">
        <f>IF('Dry_Litterbag Placem_Collection'!G128="N.A","",'Dry_Litterbag Placem_Collection'!G128)</f>
        <v>0</v>
      </c>
      <c r="O201" s="195" t="str">
        <f>IF(IFERROR(INDEX('Both teabags AfterDry'!$D$1:$D$839,MATCH(H201,'Both teabags AfterDry'!$A$1:$A$839,0)),"")="N.A","",(IFERROR(INDEX('Both teabags AfterDry'!$D$1:$D$839,MATCH(H201,'Both teabags AfterDry'!$A$1:$A$839,0)),"")))</f>
        <v/>
      </c>
      <c r="P201" s="195" t="str">
        <f>IF(IFERROR(INDEX('Both teabags AfterDry'!$D$1:$D$839,MATCH(I201,'Both teabags AfterDry'!$A$1:$A$839,0)),"")="N.A","",(IFERROR(INDEX('Both teabags AfterDry'!$D$1:$D$839,MATCH(I201,'Both teabags AfterDry'!$A$1:$A$839,0)),"")))</f>
        <v/>
      </c>
      <c r="Q201" s="195" t="str">
        <f t="shared" si="14"/>
        <v/>
      </c>
      <c r="R201" s="195" t="str">
        <f t="shared" si="14"/>
        <v/>
      </c>
      <c r="S201" s="195" t="str">
        <f t="shared" si="9"/>
        <v/>
      </c>
      <c r="T201" s="195" t="str">
        <f t="shared" si="15"/>
        <v/>
      </c>
      <c r="U201" s="195" t="str">
        <f t="shared" si="10"/>
        <v/>
      </c>
      <c r="V201" t="str">
        <f t="shared" si="11"/>
        <v/>
      </c>
      <c r="W201" s="195" t="str">
        <f t="shared" si="16"/>
        <v/>
      </c>
      <c r="X201" s="195" t="str">
        <f t="shared" si="17"/>
        <v/>
      </c>
      <c r="Y201" s="255" t="str">
        <f>IF(ISNUMBER(SEARCH("C", 'Dry_Litterbag Placem_Collection'!T128)),"YES","NO")</f>
        <v>NO</v>
      </c>
      <c r="Z201" s="255" t="str">
        <f>IF(ISNUMBER(SEARCH("H", 'Dry_Litterbag Placem_Collection'!T128)),"YES","NO")</f>
        <v>NO</v>
      </c>
      <c r="AA201" s="255" t="str">
        <f>IF(ISNUMBER(SEARCH("R", 'Dry_Litterbag Placem_Collection'!T128)),"YES","NO")</f>
        <v>NO</v>
      </c>
      <c r="AB201" s="255" t="str">
        <f>IF(ISNUMBER(SEARCH("C", 'Dry_Litterbag Placem_Collection'!S128)),"YES","NO")</f>
        <v>NO</v>
      </c>
      <c r="AC201" s="255" t="str">
        <f>IF(ISNUMBER(SEARCH("H", 'Dry_Litterbag Placem_Collection'!S128)),"YES","NO")</f>
        <v>NO</v>
      </c>
      <c r="AD201" s="255" t="str">
        <f>IF(ISNUMBER(SEARCH("R", 'Dry_Litterbag Placem_Collection'!S128)),"YES","NO")</f>
        <v>NO</v>
      </c>
    </row>
    <row r="202" spans="2:30">
      <c r="B202" t="str">
        <f>'Final data_for_R_analysis_Dryse'!A128</f>
        <v>Dry</v>
      </c>
      <c r="C202" s="263">
        <f>'Final data_for_R_analysis_Dryse'!B128</f>
        <v>127</v>
      </c>
      <c r="D202" t="s">
        <v>3845</v>
      </c>
      <c r="E202" t="s">
        <v>22</v>
      </c>
      <c r="F202" s="387">
        <v>7</v>
      </c>
      <c r="G202" s="16">
        <f>'Dry_Litterbag Placem_Collection'!E129</f>
        <v>42939</v>
      </c>
      <c r="H202" t="str">
        <f>'Final data_for_R_analysis_Dryse'!J128</f>
        <v>G318</v>
      </c>
      <c r="I202" t="str">
        <f>'Final data_for_R_analysis_Dryse'!J348</f>
        <v>R751</v>
      </c>
      <c r="J202">
        <f>IFERROR(INDEX('Green_rooibos initial weight'!$C$5:$C$1749,MATCH(H202, 'Green_rooibos initial weight'!$A$5:$A$1749,0)),"")</f>
        <v>1.929</v>
      </c>
      <c r="K202">
        <f>IFERROR(INDEX('Green_rooibos initial weight'!$C$5:$C$1749,MATCH(I202, 'Green_rooibos initial weight'!$A$5:$A$1749,0)),"")</f>
        <v>2.262</v>
      </c>
      <c r="L202" s="195">
        <f t="shared" si="12"/>
        <v>1.6792</v>
      </c>
      <c r="M202" s="195">
        <f t="shared" si="13"/>
        <v>2.0122</v>
      </c>
      <c r="N202" s="16">
        <f>IF('Dry_Litterbag Placem_Collection'!G129="N.A","",'Dry_Litterbag Placem_Collection'!G129)</f>
        <v>43008</v>
      </c>
      <c r="O202" s="195">
        <f>IF(IFERROR(INDEX('Both teabags AfterDry'!$D$1:$D$839,MATCH(H202,'Both teabags AfterDry'!$A$1:$A$839,0)),"")="N.A","",(IFERROR(INDEX('Both teabags AfterDry'!$D$1:$D$839,MATCH(H202,'Both teabags AfterDry'!$A$1:$A$839,0)),"")))</f>
        <v>0.70609999999999995</v>
      </c>
      <c r="P202" s="195">
        <f>IF(IFERROR(INDEX('Both teabags AfterDry'!$D$1:$D$839,MATCH(I202,'Both teabags AfterDry'!$A$1:$A$839,0)),"")="N.A","",(IFERROR(INDEX('Both teabags AfterDry'!$D$1:$D$839,MATCH(I202,'Both teabags AfterDry'!$A$1:$A$839,0)),"")))</f>
        <v>1.6394</v>
      </c>
      <c r="Q202" s="195">
        <f t="shared" si="14"/>
        <v>0.55549999999999988</v>
      </c>
      <c r="R202" s="195">
        <f t="shared" si="14"/>
        <v>1.4887999999999999</v>
      </c>
      <c r="S202" s="195">
        <f t="shared" si="9"/>
        <v>0.66918770843258701</v>
      </c>
      <c r="T202" s="195">
        <f t="shared" si="15"/>
        <v>0.43870738130022335</v>
      </c>
      <c r="U202" s="195">
        <f t="shared" si="10"/>
        <v>0.73988669118377892</v>
      </c>
      <c r="V202">
        <f t="shared" si="11"/>
        <v>69</v>
      </c>
      <c r="W202" s="195">
        <f t="shared" si="16"/>
        <v>0.20524025126771139</v>
      </c>
      <c r="X202" s="195">
        <f t="shared" si="17"/>
        <v>1.3024886294378013E-2</v>
      </c>
      <c r="Y202" s="255" t="str">
        <f>IF(ISNUMBER(SEARCH("C", 'Dry_Litterbag Placem_Collection'!T129)),"YES","NO")</f>
        <v>NO</v>
      </c>
      <c r="Z202" s="255" t="str">
        <f>IF(ISNUMBER(SEARCH("H", 'Dry_Litterbag Placem_Collection'!T129)),"YES","NO")</f>
        <v>NO</v>
      </c>
      <c r="AA202" s="255" t="str">
        <f>IF(ISNUMBER(SEARCH("R", 'Dry_Litterbag Placem_Collection'!T129)),"YES","NO")</f>
        <v>NO</v>
      </c>
      <c r="AB202" s="255" t="str">
        <f>IF(ISNUMBER(SEARCH("C", 'Dry_Litterbag Placem_Collection'!S129)),"YES","NO")</f>
        <v>NO</v>
      </c>
      <c r="AC202" s="255" t="str">
        <f>IF(ISNUMBER(SEARCH("H", 'Dry_Litterbag Placem_Collection'!S129)),"YES","NO")</f>
        <v>NO</v>
      </c>
      <c r="AD202" s="255" t="str">
        <f>IF(ISNUMBER(SEARCH("R", 'Dry_Litterbag Placem_Collection'!S129)),"YES","NO")</f>
        <v>YES</v>
      </c>
    </row>
    <row r="203" spans="2:30">
      <c r="B203" t="str">
        <f>'Final data_for_R_analysis_Dryse'!A129</f>
        <v>Dry</v>
      </c>
      <c r="C203" s="263">
        <f>'Final data_for_R_analysis_Dryse'!B129</f>
        <v>128</v>
      </c>
      <c r="D203" t="s">
        <v>3845</v>
      </c>
      <c r="E203" t="s">
        <v>22</v>
      </c>
      <c r="F203" s="387">
        <v>8</v>
      </c>
      <c r="G203" s="16">
        <f>'Dry_Litterbag Placem_Collection'!E130</f>
        <v>42939</v>
      </c>
      <c r="H203" t="str">
        <f>'Final data_for_R_analysis_Dryse'!J129</f>
        <v>G34</v>
      </c>
      <c r="I203" t="str">
        <f>'Final data_for_R_analysis_Dryse'!J349</f>
        <v>R819</v>
      </c>
      <c r="J203">
        <f>IFERROR(INDEX('Green_rooibos initial weight'!$C$5:$C$1749,MATCH(H203, 'Green_rooibos initial weight'!$A$5:$A$1749,0)),"")</f>
        <v>2.133</v>
      </c>
      <c r="K203">
        <f>IFERROR(INDEX('Green_rooibos initial weight'!$C$5:$C$1749,MATCH(I203, 'Green_rooibos initial weight'!$A$5:$A$1749,0)),"")</f>
        <v>2.16</v>
      </c>
      <c r="L203" s="195">
        <f t="shared" si="12"/>
        <v>1.8832</v>
      </c>
      <c r="M203" s="195">
        <f t="shared" si="13"/>
        <v>1.9102000000000001</v>
      </c>
      <c r="N203" s="16">
        <f>IF('Dry_Litterbag Placem_Collection'!G130="N.A","",'Dry_Litterbag Placem_Collection'!G130)</f>
        <v>43008</v>
      </c>
      <c r="O203" s="195">
        <f>IF(IFERROR(INDEX('Both teabags AfterDry'!$D$1:$D$839,MATCH(H203,'Both teabags AfterDry'!$A$1:$A$839,0)),"")="N.A","",(IFERROR(INDEX('Both teabags AfterDry'!$D$1:$D$839,MATCH(H203,'Both teabags AfterDry'!$A$1:$A$839,0)),"")))</f>
        <v>0.92579999999999996</v>
      </c>
      <c r="P203" s="195">
        <f>IF(IFERROR(INDEX('Both teabags AfterDry'!$D$1:$D$839,MATCH(I203,'Both teabags AfterDry'!$A$1:$A$839,0)),"")="N.A","",(IFERROR(INDEX('Both teabags AfterDry'!$D$1:$D$839,MATCH(I203,'Both teabags AfterDry'!$A$1:$A$839,0)),"")))</f>
        <v>2.8028</v>
      </c>
      <c r="Q203" s="195">
        <f t="shared" si="14"/>
        <v>0.77519999999999989</v>
      </c>
      <c r="R203" s="195">
        <f t="shared" si="14"/>
        <v>2.6522000000000001</v>
      </c>
      <c r="S203" s="195">
        <f t="shared" si="9"/>
        <v>0.58836023789294822</v>
      </c>
      <c r="T203" s="195">
        <f t="shared" si="15"/>
        <v>0.38571835073266919</v>
      </c>
      <c r="U203" s="195">
        <f t="shared" si="10"/>
        <v>1.3884410009423096</v>
      </c>
      <c r="V203">
        <f t="shared" si="11"/>
        <v>69</v>
      </c>
      <c r="W203" s="195">
        <f t="shared" si="16"/>
        <v>0.30123487186110665</v>
      </c>
      <c r="X203" s="195">
        <f t="shared" si="17"/>
        <v>-1.0096670888378331E-2</v>
      </c>
      <c r="Y203" s="255" t="str">
        <f>IF(ISNUMBER(SEARCH("C", 'Dry_Litterbag Placem_Collection'!T130)),"YES","NO")</f>
        <v>YES</v>
      </c>
      <c r="Z203" s="255" t="str">
        <f>IF(ISNUMBER(SEARCH("H", 'Dry_Litterbag Placem_Collection'!T130)),"YES","NO")</f>
        <v>YES</v>
      </c>
      <c r="AA203" s="255" t="str">
        <f>IF(ISNUMBER(SEARCH("R", 'Dry_Litterbag Placem_Collection'!T130)),"YES","NO")</f>
        <v>NO</v>
      </c>
      <c r="AB203" s="255" t="str">
        <f>IF(ISNUMBER(SEARCH("C", 'Dry_Litterbag Placem_Collection'!S130)),"YES","NO")</f>
        <v>NO</v>
      </c>
      <c r="AC203" s="255" t="str">
        <f>IF(ISNUMBER(SEARCH("H", 'Dry_Litterbag Placem_Collection'!S130)),"YES","NO")</f>
        <v>NO</v>
      </c>
      <c r="AD203" s="255" t="str">
        <f>IF(ISNUMBER(SEARCH("R", 'Dry_Litterbag Placem_Collection'!S130)),"YES","NO")</f>
        <v>NO</v>
      </c>
    </row>
    <row r="204" spans="2:30">
      <c r="B204" t="str">
        <f>'Final data_for_R_analysis_Dryse'!A130</f>
        <v>Dry</v>
      </c>
      <c r="C204" s="263">
        <f>'Final data_for_R_analysis_Dryse'!B130</f>
        <v>129</v>
      </c>
      <c r="D204" t="s">
        <v>3846</v>
      </c>
      <c r="E204" t="s">
        <v>22</v>
      </c>
      <c r="F204" s="386">
        <v>1</v>
      </c>
      <c r="G204" s="16">
        <f>'Dry_Litterbag Placem_Collection'!E131</f>
        <v>42939</v>
      </c>
      <c r="H204" t="str">
        <f>'Final data_for_R_analysis_Dryse'!J130</f>
        <v>G80</v>
      </c>
      <c r="I204" t="str">
        <f>'Final data_for_R_analysis_Dryse'!J350</f>
        <v>R768</v>
      </c>
      <c r="J204">
        <f>IFERROR(INDEX('Green_rooibos initial weight'!$C$5:$C$1749,MATCH(H204, 'Green_rooibos initial weight'!$A$5:$A$1749,0)),"")</f>
        <v>2.0259999999999998</v>
      </c>
      <c r="K204">
        <f>IFERROR(INDEX('Green_rooibos initial weight'!$C$5:$C$1749,MATCH(I204, 'Green_rooibos initial weight'!$A$5:$A$1749,0)),"")</f>
        <v>2.2120000000000002</v>
      </c>
      <c r="L204" s="195">
        <f t="shared" si="12"/>
        <v>1.7761999999999998</v>
      </c>
      <c r="M204" s="195">
        <f t="shared" si="13"/>
        <v>1.9622000000000002</v>
      </c>
      <c r="N204" s="16">
        <f>IF('Dry_Litterbag Placem_Collection'!G131="N.A","",'Dry_Litterbag Placem_Collection'!G131)</f>
        <v>43008</v>
      </c>
      <c r="O204" s="195">
        <f>IF(IFERROR(INDEX('Both teabags AfterDry'!$D$1:$D$839,MATCH(H204,'Both teabags AfterDry'!$A$1:$A$839,0)),"")="N.A","",(IFERROR(INDEX('Both teabags AfterDry'!$D$1:$D$839,MATCH(H204,'Both teabags AfterDry'!$A$1:$A$839,0)),"")))</f>
        <v>0.72970000000000002</v>
      </c>
      <c r="P204" s="195">
        <f>IF(IFERROR(INDEX('Both teabags AfterDry'!$D$1:$D$839,MATCH(I204,'Both teabags AfterDry'!$A$1:$A$839,0)),"")="N.A","",(IFERROR(INDEX('Both teabags AfterDry'!$D$1:$D$839,MATCH(I204,'Both teabags AfterDry'!$A$1:$A$839,0)),"")))</f>
        <v>0.67179999999999995</v>
      </c>
      <c r="Q204" s="195">
        <f t="shared" si="14"/>
        <v>0.57909999999999995</v>
      </c>
      <c r="R204" s="195">
        <f t="shared" si="14"/>
        <v>0.52119999999999989</v>
      </c>
      <c r="S204" s="195">
        <f t="shared" ref="S204:S267" si="18">IFERROR(1-Q204/L204,"")</f>
        <v>0.67396689561986256</v>
      </c>
      <c r="T204" s="195">
        <f t="shared" si="15"/>
        <v>0.44184053014508812</v>
      </c>
      <c r="U204" s="195">
        <f t="shared" ref="U204:U267" si="19">IFERROR(R204/M204,"")</f>
        <v>0.26562022219957182</v>
      </c>
      <c r="V204">
        <f t="shared" ref="V204:V267" si="20">IF((N204-G204)&gt;0,(IFERROR(N204-G204,"")),"")</f>
        <v>69</v>
      </c>
      <c r="W204" s="195">
        <f t="shared" si="16"/>
        <v>0.19956425698353608</v>
      </c>
      <c r="X204" s="195" t="str">
        <f t="shared" si="17"/>
        <v/>
      </c>
      <c r="Y204" s="255" t="str">
        <f>IF(ISNUMBER(SEARCH("C", 'Dry_Litterbag Placem_Collection'!T131)),"YES","NO")</f>
        <v>YES</v>
      </c>
      <c r="Z204" s="255" t="str">
        <f>IF(ISNUMBER(SEARCH("H", 'Dry_Litterbag Placem_Collection'!T131)),"YES","NO")</f>
        <v>YES</v>
      </c>
      <c r="AA204" s="255" t="str">
        <f>IF(ISNUMBER(SEARCH("R", 'Dry_Litterbag Placem_Collection'!T131)),"YES","NO")</f>
        <v>NO</v>
      </c>
      <c r="AB204" s="255" t="str">
        <f>IF(ISNUMBER(SEARCH("C", 'Dry_Litterbag Placem_Collection'!S131)),"YES","NO")</f>
        <v>YES</v>
      </c>
      <c r="AC204" s="255" t="str">
        <f>IF(ISNUMBER(SEARCH("H", 'Dry_Litterbag Placem_Collection'!S131)),"YES","NO")</f>
        <v>YES</v>
      </c>
      <c r="AD204" s="255" t="str">
        <f>IF(ISNUMBER(SEARCH("R", 'Dry_Litterbag Placem_Collection'!S131)),"YES","NO")</f>
        <v>NO</v>
      </c>
    </row>
    <row r="205" spans="2:30">
      <c r="B205" t="str">
        <f>'Final data_for_R_analysis_Dryse'!A131</f>
        <v>Dry</v>
      </c>
      <c r="C205" s="263">
        <f>'Final data_for_R_analysis_Dryse'!B131</f>
        <v>130</v>
      </c>
      <c r="D205" t="s">
        <v>3846</v>
      </c>
      <c r="E205" t="s">
        <v>22</v>
      </c>
      <c r="F205" s="386">
        <v>2</v>
      </c>
      <c r="G205" s="16">
        <f>'Dry_Litterbag Placem_Collection'!E132</f>
        <v>42939</v>
      </c>
      <c r="H205" t="str">
        <f>'Final data_for_R_analysis_Dryse'!J131</f>
        <v>G64</v>
      </c>
      <c r="I205" t="str">
        <f>'Final data_for_R_analysis_Dryse'!J351</f>
        <v>R789</v>
      </c>
      <c r="J205">
        <f>IFERROR(INDEX('Green_rooibos initial weight'!$C$5:$C$1749,MATCH(H205, 'Green_rooibos initial weight'!$A$5:$A$1749,0)),"")</f>
        <v>2.0840000000000001</v>
      </c>
      <c r="K205">
        <f>IFERROR(INDEX('Green_rooibos initial weight'!$C$5:$C$1749,MATCH(I205, 'Green_rooibos initial weight'!$A$5:$A$1749,0)),"")</f>
        <v>2.2549999999999999</v>
      </c>
      <c r="L205" s="195">
        <f t="shared" ref="L205:L268" si="21">IFERROR(IF(J205&gt;0,(J205*$F$31-($F$29+$F$30)),""),"")</f>
        <v>1.8342000000000001</v>
      </c>
      <c r="M205" s="195">
        <f t="shared" ref="M205:M268" si="22">IFERROR(IF(K205&gt;0,(K205*$F$32-($F$29+$F$30)),""),"")</f>
        <v>2.0051999999999999</v>
      </c>
      <c r="N205" s="16">
        <f>IF('Dry_Litterbag Placem_Collection'!G132="N.A","",'Dry_Litterbag Placem_Collection'!G132)</f>
        <v>43008</v>
      </c>
      <c r="O205" s="195">
        <f>IF(IFERROR(INDEX('Both teabags AfterDry'!$D$1:$D$839,MATCH(H205,'Both teabags AfterDry'!$A$1:$A$839,0)),"")="N.A","",(IFERROR(INDEX('Both teabags AfterDry'!$D$1:$D$839,MATCH(H205,'Both teabags AfterDry'!$A$1:$A$839,0)),"")))</f>
        <v>0.83650000000000002</v>
      </c>
      <c r="P205" s="195">
        <f>IF(IFERROR(INDEX('Both teabags AfterDry'!$D$1:$D$839,MATCH(I205,'Both teabags AfterDry'!$A$1:$A$839,0)),"")="N.A","",(IFERROR(INDEX('Both teabags AfterDry'!$D$1:$D$839,MATCH(I205,'Both teabags AfterDry'!$A$1:$A$839,0)),"")))</f>
        <v>2.4607999999999999</v>
      </c>
      <c r="Q205" s="195">
        <f t="shared" ref="Q205:R268" si="23">IFERROR(IF(O205&gt;0,O205-($F$29),""),"")</f>
        <v>0.68589999999999995</v>
      </c>
      <c r="R205" s="195">
        <f t="shared" si="23"/>
        <v>2.3102</v>
      </c>
      <c r="S205" s="195">
        <f t="shared" si="18"/>
        <v>0.62604950387089742</v>
      </c>
      <c r="T205" s="195">
        <f t="shared" ref="T205:T268" si="24">IFERROR($F$26*(1-W205),"")</f>
        <v>0.41042675313151472</v>
      </c>
      <c r="U205" s="195">
        <f t="shared" si="19"/>
        <v>1.1521045282266109</v>
      </c>
      <c r="V205">
        <f t="shared" si="20"/>
        <v>69</v>
      </c>
      <c r="W205" s="195">
        <f t="shared" ref="W205:W268" si="25">IFERROR(1-(S205/$F$25),"")</f>
        <v>0.25647327331247338</v>
      </c>
      <c r="X205" s="195">
        <f t="shared" ref="X205:X268" si="26">IFERROR(LN(T205/(U205-(1-T205)))/V205,"")</f>
        <v>-4.5688299153833732E-3</v>
      </c>
      <c r="Y205" s="255" t="str">
        <f>IF(ISNUMBER(SEARCH("C", 'Dry_Litterbag Placem_Collection'!T132)),"YES","NO")</f>
        <v>YES</v>
      </c>
      <c r="Z205" s="255" t="str">
        <f>IF(ISNUMBER(SEARCH("H", 'Dry_Litterbag Placem_Collection'!T132)),"YES","NO")</f>
        <v>YES</v>
      </c>
      <c r="AA205" s="255" t="str">
        <f>IF(ISNUMBER(SEARCH("R", 'Dry_Litterbag Placem_Collection'!T132)),"YES","NO")</f>
        <v>NO</v>
      </c>
      <c r="AB205" s="255" t="str">
        <f>IF(ISNUMBER(SEARCH("C", 'Dry_Litterbag Placem_Collection'!S132)),"YES","NO")</f>
        <v>YES</v>
      </c>
      <c r="AC205" s="255" t="str">
        <f>IF(ISNUMBER(SEARCH("H", 'Dry_Litterbag Placem_Collection'!S132)),"YES","NO")</f>
        <v>NO</v>
      </c>
      <c r="AD205" s="255" t="str">
        <f>IF(ISNUMBER(SEARCH("R", 'Dry_Litterbag Placem_Collection'!S132)),"YES","NO")</f>
        <v>NO</v>
      </c>
    </row>
    <row r="206" spans="2:30">
      <c r="B206" t="str">
        <f>'Final data_for_R_analysis_Dryse'!A132</f>
        <v>Dry</v>
      </c>
      <c r="C206" s="263">
        <f>'Final data_for_R_analysis_Dryse'!B132</f>
        <v>131</v>
      </c>
      <c r="D206" t="s">
        <v>3846</v>
      </c>
      <c r="E206" t="s">
        <v>22</v>
      </c>
      <c r="F206" s="386">
        <v>3</v>
      </c>
      <c r="G206" s="16">
        <f>'Dry_Litterbag Placem_Collection'!E133</f>
        <v>42939</v>
      </c>
      <c r="H206" t="str">
        <f>'Final data_for_R_analysis_Dryse'!J132</f>
        <v>G118</v>
      </c>
      <c r="I206" t="str">
        <f>'Final data_for_R_analysis_Dryse'!J352</f>
        <v>R586</v>
      </c>
      <c r="J206">
        <f>IFERROR(INDEX('Green_rooibos initial weight'!$C$5:$C$1749,MATCH(H206, 'Green_rooibos initial weight'!$A$5:$A$1749,0)),"")</f>
        <v>2.0870000000000002</v>
      </c>
      <c r="K206">
        <f>IFERROR(INDEX('Green_rooibos initial weight'!$C$5:$C$1749,MATCH(I206, 'Green_rooibos initial weight'!$A$5:$A$1749,0)),"")</f>
        <v>2.1520000000000001</v>
      </c>
      <c r="L206" s="195">
        <f t="shared" si="21"/>
        <v>1.8372000000000002</v>
      </c>
      <c r="M206" s="195">
        <f t="shared" si="22"/>
        <v>1.9022000000000001</v>
      </c>
      <c r="N206" s="16">
        <f>IF('Dry_Litterbag Placem_Collection'!G133="N.A","",'Dry_Litterbag Placem_Collection'!G133)</f>
        <v>43008</v>
      </c>
      <c r="O206" s="195">
        <f>IF(IFERROR(INDEX('Both teabags AfterDry'!$D$1:$D$839,MATCH(H206,'Both teabags AfterDry'!$A$1:$A$839,0)),"")="N.A","",(IFERROR(INDEX('Both teabags AfterDry'!$D$1:$D$839,MATCH(H206,'Both teabags AfterDry'!$A$1:$A$839,0)),"")))</f>
        <v>0.87509999999999999</v>
      </c>
      <c r="P206" s="195">
        <f>IF(IFERROR(INDEX('Both teabags AfterDry'!$D$1:$D$839,MATCH(I206,'Both teabags AfterDry'!$A$1:$A$839,0)),"")="N.A","",(IFERROR(INDEX('Both teabags AfterDry'!$D$1:$D$839,MATCH(I206,'Both teabags AfterDry'!$A$1:$A$839,0)),"")))</f>
        <v>2.2069000000000001</v>
      </c>
      <c r="Q206" s="195">
        <f t="shared" si="23"/>
        <v>0.72449999999999992</v>
      </c>
      <c r="R206" s="195">
        <f t="shared" si="23"/>
        <v>2.0563000000000002</v>
      </c>
      <c r="S206" s="195">
        <f t="shared" si="18"/>
        <v>0.6056499020248205</v>
      </c>
      <c r="T206" s="195">
        <f t="shared" si="24"/>
        <v>0.39705314242007239</v>
      </c>
      <c r="U206" s="195">
        <f t="shared" si="19"/>
        <v>1.0810114604142573</v>
      </c>
      <c r="V206">
        <f t="shared" si="20"/>
        <v>69</v>
      </c>
      <c r="W206" s="195">
        <f t="shared" si="25"/>
        <v>0.28070082894914428</v>
      </c>
      <c r="X206" s="195">
        <f t="shared" si="26"/>
        <v>-2.6909528116427417E-3</v>
      </c>
      <c r="Y206" s="255" t="str">
        <f>IF(ISNUMBER(SEARCH("C", 'Dry_Litterbag Placem_Collection'!T133)),"YES","NO")</f>
        <v>YES</v>
      </c>
      <c r="Z206" s="255" t="str">
        <f>IF(ISNUMBER(SEARCH("H", 'Dry_Litterbag Placem_Collection'!T133)),"YES","NO")</f>
        <v>YES</v>
      </c>
      <c r="AA206" s="255" t="str">
        <f>IF(ISNUMBER(SEARCH("R", 'Dry_Litterbag Placem_Collection'!T133)),"YES","NO")</f>
        <v>NO</v>
      </c>
      <c r="AB206" s="255" t="str">
        <f>IF(ISNUMBER(SEARCH("C", 'Dry_Litterbag Placem_Collection'!S133)),"YES","NO")</f>
        <v>YES</v>
      </c>
      <c r="AC206" s="255" t="str">
        <f>IF(ISNUMBER(SEARCH("H", 'Dry_Litterbag Placem_Collection'!S133)),"YES","NO")</f>
        <v>NO</v>
      </c>
      <c r="AD206" s="255" t="str">
        <f>IF(ISNUMBER(SEARCH("R", 'Dry_Litterbag Placem_Collection'!S133)),"YES","NO")</f>
        <v>NO</v>
      </c>
    </row>
    <row r="207" spans="2:30">
      <c r="B207" t="str">
        <f>'Final data_for_R_analysis_Dryse'!A133</f>
        <v>Dry</v>
      </c>
      <c r="C207" s="263">
        <f>'Final data_for_R_analysis_Dryse'!B133</f>
        <v>132</v>
      </c>
      <c r="D207" t="s">
        <v>3846</v>
      </c>
      <c r="E207" t="s">
        <v>22</v>
      </c>
      <c r="F207" s="387">
        <v>4</v>
      </c>
      <c r="G207" s="16">
        <f>'Dry_Litterbag Placem_Collection'!E134</f>
        <v>0</v>
      </c>
      <c r="H207" t="str">
        <f>'Final data_for_R_analysis_Dryse'!J133</f>
        <v/>
      </c>
      <c r="I207" t="str">
        <f>'Final data_for_R_analysis_Dryse'!J353</f>
        <v/>
      </c>
      <c r="J207" t="str">
        <f>IFERROR(INDEX('Green_rooibos initial weight'!$C$5:$C$1749,MATCH(H207, 'Green_rooibos initial weight'!$A$5:$A$1749,0)),"")</f>
        <v/>
      </c>
      <c r="K207" t="str">
        <f>IFERROR(INDEX('Green_rooibos initial weight'!$C$5:$C$1749,MATCH(I207, 'Green_rooibos initial weight'!$A$5:$A$1749,0)),"")</f>
        <v/>
      </c>
      <c r="L207" s="195" t="str">
        <f t="shared" si="21"/>
        <v/>
      </c>
      <c r="M207" s="195" t="str">
        <f t="shared" si="22"/>
        <v/>
      </c>
      <c r="N207" s="16">
        <f>IF('Dry_Litterbag Placem_Collection'!G134="N.A","",'Dry_Litterbag Placem_Collection'!G134)</f>
        <v>0</v>
      </c>
      <c r="O207" s="195" t="str">
        <f>IF(IFERROR(INDEX('Both teabags AfterDry'!$D$1:$D$839,MATCH(H207,'Both teabags AfterDry'!$A$1:$A$839,0)),"")="N.A","",(IFERROR(INDEX('Both teabags AfterDry'!$D$1:$D$839,MATCH(H207,'Both teabags AfterDry'!$A$1:$A$839,0)),"")))</f>
        <v/>
      </c>
      <c r="P207" s="195" t="str">
        <f>IF(IFERROR(INDEX('Both teabags AfterDry'!$D$1:$D$839,MATCH(I207,'Both teabags AfterDry'!$A$1:$A$839,0)),"")="N.A","",(IFERROR(INDEX('Both teabags AfterDry'!$D$1:$D$839,MATCH(I207,'Both teabags AfterDry'!$A$1:$A$839,0)),"")))</f>
        <v/>
      </c>
      <c r="Q207" s="195" t="str">
        <f t="shared" si="23"/>
        <v/>
      </c>
      <c r="R207" s="195" t="str">
        <f t="shared" si="23"/>
        <v/>
      </c>
      <c r="S207" s="195" t="str">
        <f t="shared" si="18"/>
        <v/>
      </c>
      <c r="T207" s="195" t="str">
        <f t="shared" si="24"/>
        <v/>
      </c>
      <c r="U207" s="195" t="str">
        <f t="shared" si="19"/>
        <v/>
      </c>
      <c r="V207" t="str">
        <f t="shared" si="20"/>
        <v/>
      </c>
      <c r="W207" s="195" t="str">
        <f t="shared" si="25"/>
        <v/>
      </c>
      <c r="X207" s="195" t="str">
        <f t="shared" si="26"/>
        <v/>
      </c>
      <c r="Y207" s="255" t="str">
        <f>IF(ISNUMBER(SEARCH("C", 'Dry_Litterbag Placem_Collection'!T134)),"YES","NO")</f>
        <v>NO</v>
      </c>
      <c r="Z207" s="255" t="str">
        <f>IF(ISNUMBER(SEARCH("H", 'Dry_Litterbag Placem_Collection'!T134)),"YES","NO")</f>
        <v>NO</v>
      </c>
      <c r="AA207" s="255" t="str">
        <f>IF(ISNUMBER(SEARCH("R", 'Dry_Litterbag Placem_Collection'!T134)),"YES","NO")</f>
        <v>NO</v>
      </c>
      <c r="AB207" s="255" t="str">
        <f>IF(ISNUMBER(SEARCH("C", 'Dry_Litterbag Placem_Collection'!S134)),"YES","NO")</f>
        <v>NO</v>
      </c>
      <c r="AC207" s="255" t="str">
        <f>IF(ISNUMBER(SEARCH("H", 'Dry_Litterbag Placem_Collection'!S134)),"YES","NO")</f>
        <v>NO</v>
      </c>
      <c r="AD207" s="255" t="str">
        <f>IF(ISNUMBER(SEARCH("R", 'Dry_Litterbag Placem_Collection'!S134)),"YES","NO")</f>
        <v>NO</v>
      </c>
    </row>
    <row r="208" spans="2:30">
      <c r="B208" t="str">
        <f>'Final data_for_R_analysis_Dryse'!A134</f>
        <v>Dry</v>
      </c>
      <c r="C208" s="263">
        <f>'Final data_for_R_analysis_Dryse'!B134</f>
        <v>133</v>
      </c>
      <c r="D208" t="s">
        <v>3846</v>
      </c>
      <c r="E208" t="s">
        <v>22</v>
      </c>
      <c r="F208" s="387">
        <v>5</v>
      </c>
      <c r="G208" s="16">
        <f>'Dry_Litterbag Placem_Collection'!E135</f>
        <v>42939</v>
      </c>
      <c r="H208" t="str">
        <f>'Final data_for_R_analysis_Dryse'!J134</f>
        <v>G270</v>
      </c>
      <c r="I208" t="str">
        <f>'Final data_for_R_analysis_Dryse'!J354</f>
        <v>R817</v>
      </c>
      <c r="J208">
        <f>IFERROR(INDEX('Green_rooibos initial weight'!$C$5:$C$1749,MATCH(H208, 'Green_rooibos initial weight'!$A$5:$A$1749,0)),"")</f>
        <v>2.0139999999999998</v>
      </c>
      <c r="K208">
        <f>IFERROR(INDEX('Green_rooibos initial weight'!$C$5:$C$1749,MATCH(I208, 'Green_rooibos initial weight'!$A$5:$A$1749,0)),"")</f>
        <v>2.1749999999999998</v>
      </c>
      <c r="L208" s="195">
        <f t="shared" si="21"/>
        <v>1.7641999999999998</v>
      </c>
      <c r="M208" s="195">
        <f t="shared" si="22"/>
        <v>1.9251999999999998</v>
      </c>
      <c r="N208" s="16">
        <f>IF('Dry_Litterbag Placem_Collection'!G135="N.A","",'Dry_Litterbag Placem_Collection'!G135)</f>
        <v>43008</v>
      </c>
      <c r="O208" s="195" t="str">
        <f>IF(IFERROR(INDEX('Both teabags AfterDry'!$D$1:$D$839,MATCH(H208,'Both teabags AfterDry'!$A$1:$A$839,0)),"")="N.A","",(IFERROR(INDEX('Both teabags AfterDry'!$D$1:$D$839,MATCH(H208,'Both teabags AfterDry'!$A$1:$A$839,0)),"")))</f>
        <v/>
      </c>
      <c r="P208" s="195" t="str">
        <f>IF(IFERROR(INDEX('Both teabags AfterDry'!$D$1:$D$839,MATCH(I208,'Both teabags AfterDry'!$A$1:$A$839,0)),"")="N.A","",(IFERROR(INDEX('Both teabags AfterDry'!$D$1:$D$839,MATCH(I208,'Both teabags AfterDry'!$A$1:$A$839,0)),"")))</f>
        <v/>
      </c>
      <c r="Q208" s="195" t="str">
        <f t="shared" si="23"/>
        <v/>
      </c>
      <c r="R208" s="195" t="str">
        <f t="shared" si="23"/>
        <v/>
      </c>
      <c r="S208" s="195" t="str">
        <f t="shared" si="18"/>
        <v/>
      </c>
      <c r="T208" s="195" t="str">
        <f t="shared" si="24"/>
        <v/>
      </c>
      <c r="U208" s="195" t="str">
        <f t="shared" si="19"/>
        <v/>
      </c>
      <c r="V208">
        <f t="shared" si="20"/>
        <v>69</v>
      </c>
      <c r="W208" s="195" t="str">
        <f t="shared" si="25"/>
        <v/>
      </c>
      <c r="X208" s="195" t="str">
        <f t="shared" si="26"/>
        <v/>
      </c>
      <c r="Y208" s="255" t="str">
        <f>IF(ISNUMBER(SEARCH("C", 'Dry_Litterbag Placem_Collection'!T135)),"YES","NO")</f>
        <v>YES</v>
      </c>
      <c r="Z208" s="255" t="str">
        <f>IF(ISNUMBER(SEARCH("H", 'Dry_Litterbag Placem_Collection'!T135)),"YES","NO")</f>
        <v>NO</v>
      </c>
      <c r="AA208" s="255" t="str">
        <f>IF(ISNUMBER(SEARCH("R", 'Dry_Litterbag Placem_Collection'!T135)),"YES","NO")</f>
        <v>NO</v>
      </c>
      <c r="AB208" s="255" t="str">
        <f>IF(ISNUMBER(SEARCH("C", 'Dry_Litterbag Placem_Collection'!S135)),"YES","NO")</f>
        <v>YES</v>
      </c>
      <c r="AC208" s="255" t="str">
        <f>IF(ISNUMBER(SEARCH("H", 'Dry_Litterbag Placem_Collection'!S135)),"YES","NO")</f>
        <v>NO</v>
      </c>
      <c r="AD208" s="255" t="str">
        <f>IF(ISNUMBER(SEARCH("R", 'Dry_Litterbag Placem_Collection'!S135)),"YES","NO")</f>
        <v>NO</v>
      </c>
    </row>
    <row r="209" spans="2:30">
      <c r="B209" t="str">
        <f>'Final data_for_R_analysis_Dryse'!A135</f>
        <v>Dry</v>
      </c>
      <c r="C209" s="263">
        <f>'Final data_for_R_analysis_Dryse'!B135</f>
        <v>134</v>
      </c>
      <c r="D209" t="s">
        <v>3846</v>
      </c>
      <c r="E209" t="s">
        <v>22</v>
      </c>
      <c r="F209" s="387">
        <v>6</v>
      </c>
      <c r="G209" s="16">
        <f>'Dry_Litterbag Placem_Collection'!E136</f>
        <v>42939</v>
      </c>
      <c r="H209" t="str">
        <f>'Final data_for_R_analysis_Dryse'!J135</f>
        <v>G316</v>
      </c>
      <c r="I209" t="str">
        <f>'Final data_for_R_analysis_Dryse'!J355</f>
        <v>R837</v>
      </c>
      <c r="J209">
        <f>IFERROR(INDEX('Green_rooibos initial weight'!$C$5:$C$1749,MATCH(H209, 'Green_rooibos initial weight'!$A$5:$A$1749,0)),"")</f>
        <v>2.0579999999999998</v>
      </c>
      <c r="K209">
        <f>IFERROR(INDEX('Green_rooibos initial weight'!$C$5:$C$1749,MATCH(I209, 'Green_rooibos initial weight'!$A$5:$A$1749,0)),"")</f>
        <v>2.1909999999999998</v>
      </c>
      <c r="L209" s="195">
        <f t="shared" si="21"/>
        <v>1.8081999999999998</v>
      </c>
      <c r="M209" s="195">
        <f t="shared" si="22"/>
        <v>1.9411999999999998</v>
      </c>
      <c r="N209" s="16">
        <f>IF('Dry_Litterbag Placem_Collection'!G136="N.A","",'Dry_Litterbag Placem_Collection'!G136)</f>
        <v>43008</v>
      </c>
      <c r="O209" s="195">
        <f>IF(IFERROR(INDEX('Both teabags AfterDry'!$D$1:$D$839,MATCH(H209,'Both teabags AfterDry'!$A$1:$A$839,0)),"")="N.A","",(IFERROR(INDEX('Both teabags AfterDry'!$D$1:$D$839,MATCH(H209,'Both teabags AfterDry'!$A$1:$A$839,0)),"")))</f>
        <v>0.6512</v>
      </c>
      <c r="P209" s="195">
        <f>IF(IFERROR(INDEX('Both teabags AfterDry'!$D$1:$D$839,MATCH(I209,'Both teabags AfterDry'!$A$1:$A$839,0)),"")="N.A","",(IFERROR(INDEX('Both teabags AfterDry'!$D$1:$D$839,MATCH(I209,'Both teabags AfterDry'!$A$1:$A$839,0)),"")))</f>
        <v>1.7436</v>
      </c>
      <c r="Q209" s="195">
        <f t="shared" si="23"/>
        <v>0.50059999999999993</v>
      </c>
      <c r="R209" s="195">
        <f t="shared" si="23"/>
        <v>1.593</v>
      </c>
      <c r="S209" s="195">
        <f t="shared" si="18"/>
        <v>0.7231500940161486</v>
      </c>
      <c r="T209" s="195">
        <f t="shared" si="24"/>
        <v>0.47408414714597868</v>
      </c>
      <c r="U209" s="195">
        <f t="shared" si="19"/>
        <v>0.82062641664949521</v>
      </c>
      <c r="V209">
        <f t="shared" si="20"/>
        <v>69</v>
      </c>
      <c r="W209" s="195">
        <f t="shared" si="25"/>
        <v>0.14115190734424155</v>
      </c>
      <c r="X209" s="195">
        <f t="shared" si="26"/>
        <v>6.8897260367076175E-3</v>
      </c>
      <c r="Y209" s="255" t="str">
        <f>IF(ISNUMBER(SEARCH("C", 'Dry_Litterbag Placem_Collection'!T136)),"YES","NO")</f>
        <v>YES</v>
      </c>
      <c r="Z209" s="255" t="str">
        <f>IF(ISNUMBER(SEARCH("H", 'Dry_Litterbag Placem_Collection'!T136)),"YES","NO")</f>
        <v>NO</v>
      </c>
      <c r="AA209" s="255" t="str">
        <f>IF(ISNUMBER(SEARCH("R", 'Dry_Litterbag Placem_Collection'!T136)),"YES","NO")</f>
        <v>NO</v>
      </c>
      <c r="AB209" s="255" t="str">
        <f>IF(ISNUMBER(SEARCH("C", 'Dry_Litterbag Placem_Collection'!S136)),"YES","NO")</f>
        <v>NO</v>
      </c>
      <c r="AC209" s="255" t="str">
        <f>IF(ISNUMBER(SEARCH("H", 'Dry_Litterbag Placem_Collection'!S136)),"YES","NO")</f>
        <v>NO</v>
      </c>
      <c r="AD209" s="255" t="str">
        <f>IF(ISNUMBER(SEARCH("R", 'Dry_Litterbag Placem_Collection'!S136)),"YES","NO")</f>
        <v>YES</v>
      </c>
    </row>
    <row r="210" spans="2:30">
      <c r="B210" t="str">
        <f>'Final data_for_R_analysis_Dryse'!A136</f>
        <v>Dry</v>
      </c>
      <c r="C210" s="263">
        <f>'Final data_for_R_analysis_Dryse'!B136</f>
        <v>135</v>
      </c>
      <c r="D210" t="s">
        <v>3846</v>
      </c>
      <c r="E210" t="s">
        <v>22</v>
      </c>
      <c r="F210" s="387">
        <v>7</v>
      </c>
      <c r="G210" s="16">
        <f>'Dry_Litterbag Placem_Collection'!E137</f>
        <v>42939</v>
      </c>
      <c r="H210" t="str">
        <f>'Final data_for_R_analysis_Dryse'!J136</f>
        <v>G77</v>
      </c>
      <c r="I210" t="str">
        <f>'Final data_for_R_analysis_Dryse'!J356</f>
        <v>R756</v>
      </c>
      <c r="J210">
        <f>IFERROR(INDEX('Green_rooibos initial weight'!$C$5:$C$1749,MATCH(H210, 'Green_rooibos initial weight'!$A$5:$A$1749,0)),"")</f>
        <v>2.0190000000000001</v>
      </c>
      <c r="K210">
        <f>IFERROR(INDEX('Green_rooibos initial weight'!$C$5:$C$1749,MATCH(I210, 'Green_rooibos initial weight'!$A$5:$A$1749,0)),"")</f>
        <v>2.2690000000000001</v>
      </c>
      <c r="L210" s="195">
        <f t="shared" si="21"/>
        <v>1.7692000000000001</v>
      </c>
      <c r="M210" s="195">
        <f t="shared" si="22"/>
        <v>2.0192000000000001</v>
      </c>
      <c r="N210" s="16">
        <f>IF('Dry_Litterbag Placem_Collection'!G137="N.A","",'Dry_Litterbag Placem_Collection'!G137)</f>
        <v>43008</v>
      </c>
      <c r="O210" s="195">
        <f>IF(IFERROR(INDEX('Both teabags AfterDry'!$D$1:$D$839,MATCH(H210,'Both teabags AfterDry'!$A$1:$A$839,0)),"")="N.A","",(IFERROR(INDEX('Both teabags AfterDry'!$D$1:$D$839,MATCH(H210,'Both teabags AfterDry'!$A$1:$A$839,0)),"")))</f>
        <v>0.94330000000000003</v>
      </c>
      <c r="P210" s="195">
        <f>IF(IFERROR(INDEX('Both teabags AfterDry'!$D$1:$D$839,MATCH(I210,'Both teabags AfterDry'!$A$1:$A$839,0)),"")="N.A","",(IFERROR(INDEX('Both teabags AfterDry'!$D$1:$D$839,MATCH(I210,'Both teabags AfterDry'!$A$1:$A$839,0)),"")))</f>
        <v>2.0406</v>
      </c>
      <c r="Q210" s="195">
        <f t="shared" si="23"/>
        <v>0.79269999999999996</v>
      </c>
      <c r="R210" s="195">
        <f t="shared" si="23"/>
        <v>1.89</v>
      </c>
      <c r="S210" s="195">
        <f t="shared" si="18"/>
        <v>0.5519443816414199</v>
      </c>
      <c r="T210" s="195">
        <f t="shared" si="24"/>
        <v>0.36184477276254612</v>
      </c>
      <c r="U210" s="195">
        <f t="shared" si="19"/>
        <v>0.93601426307448488</v>
      </c>
      <c r="V210">
        <f t="shared" si="20"/>
        <v>69</v>
      </c>
      <c r="W210" s="195">
        <f t="shared" si="25"/>
        <v>0.34448410731422807</v>
      </c>
      <c r="X210" s="195">
        <f t="shared" si="26"/>
        <v>2.8202170268682995E-3</v>
      </c>
      <c r="Y210" s="255" t="str">
        <f>IF(ISNUMBER(SEARCH("C", 'Dry_Litterbag Placem_Collection'!T137)),"YES","NO")</f>
        <v>YES</v>
      </c>
      <c r="Z210" s="255" t="str">
        <f>IF(ISNUMBER(SEARCH("H", 'Dry_Litterbag Placem_Collection'!T137)),"YES","NO")</f>
        <v>YES</v>
      </c>
      <c r="AA210" s="255" t="str">
        <f>IF(ISNUMBER(SEARCH("R", 'Dry_Litterbag Placem_Collection'!T137)),"YES","NO")</f>
        <v>NO</v>
      </c>
      <c r="AB210" s="255" t="str">
        <f>IF(ISNUMBER(SEARCH("C", 'Dry_Litterbag Placem_Collection'!S137)),"YES","NO")</f>
        <v>YES</v>
      </c>
      <c r="AC210" s="255" t="str">
        <f>IF(ISNUMBER(SEARCH("H", 'Dry_Litterbag Placem_Collection'!S137)),"YES","NO")</f>
        <v>YES</v>
      </c>
      <c r="AD210" s="255" t="str">
        <f>IF(ISNUMBER(SEARCH("R", 'Dry_Litterbag Placem_Collection'!S137)),"YES","NO")</f>
        <v>NO</v>
      </c>
    </row>
    <row r="211" spans="2:30">
      <c r="B211" t="str">
        <f>'Final data_for_R_analysis_Dryse'!A137</f>
        <v>Dry</v>
      </c>
      <c r="C211" s="263">
        <f>'Final data_for_R_analysis_Dryse'!B137</f>
        <v>136</v>
      </c>
      <c r="D211" t="s">
        <v>3846</v>
      </c>
      <c r="E211" t="s">
        <v>22</v>
      </c>
      <c r="F211" s="387">
        <v>8</v>
      </c>
      <c r="G211" s="16">
        <f>'Dry_Litterbag Placem_Collection'!E138</f>
        <v>42939</v>
      </c>
      <c r="H211" t="str">
        <f>'Final data_for_R_analysis_Dryse'!J137</f>
        <v>G332</v>
      </c>
      <c r="I211" t="str">
        <f>'Final data_for_R_analysis_Dryse'!J357</f>
        <v>R184</v>
      </c>
      <c r="J211">
        <f>IFERROR(INDEX('Green_rooibos initial weight'!$C$5:$C$1749,MATCH(H211, 'Green_rooibos initial weight'!$A$5:$A$1749,0)),"")</f>
        <v>2.121</v>
      </c>
      <c r="K211">
        <f>IFERROR(INDEX('Green_rooibos initial weight'!$C$5:$C$1749,MATCH(I211, 'Green_rooibos initial weight'!$A$5:$A$1749,0)),"")</f>
        <v>2.202</v>
      </c>
      <c r="L211" s="195">
        <f t="shared" si="21"/>
        <v>1.8712</v>
      </c>
      <c r="M211" s="195">
        <f t="shared" si="22"/>
        <v>1.9521999999999999</v>
      </c>
      <c r="N211" s="16">
        <f>IF('Dry_Litterbag Placem_Collection'!G138="N.A","",'Dry_Litterbag Placem_Collection'!G138)</f>
        <v>43008</v>
      </c>
      <c r="O211" s="195">
        <f>IF(IFERROR(INDEX('Both teabags AfterDry'!$D$1:$D$839,MATCH(H211,'Both teabags AfterDry'!$A$1:$A$839,0)),"")="N.A","",(IFERROR(INDEX('Both teabags AfterDry'!$D$1:$D$839,MATCH(H211,'Both teabags AfterDry'!$A$1:$A$839,0)),"")))</f>
        <v>0.98260000000000003</v>
      </c>
      <c r="P211" s="195">
        <f>IF(IFERROR(INDEX('Both teabags AfterDry'!$D$1:$D$839,MATCH(I211,'Both teabags AfterDry'!$A$1:$A$839,0)),"")="N.A","",(IFERROR(INDEX('Both teabags AfterDry'!$D$1:$D$839,MATCH(I211,'Both teabags AfterDry'!$A$1:$A$839,0)),"")))</f>
        <v>1.7850999999999999</v>
      </c>
      <c r="Q211" s="195">
        <f t="shared" si="23"/>
        <v>0.83200000000000007</v>
      </c>
      <c r="R211" s="195">
        <f t="shared" si="23"/>
        <v>1.6344999999999998</v>
      </c>
      <c r="S211" s="195">
        <f t="shared" si="18"/>
        <v>0.55536554082941425</v>
      </c>
      <c r="T211" s="195">
        <f t="shared" si="24"/>
        <v>0.36408762296655189</v>
      </c>
      <c r="U211" s="195">
        <f t="shared" si="19"/>
        <v>0.83726052658539074</v>
      </c>
      <c r="V211">
        <f t="shared" si="20"/>
        <v>69</v>
      </c>
      <c r="W211" s="195">
        <f t="shared" si="25"/>
        <v>0.34042097288668138</v>
      </c>
      <c r="X211" s="195">
        <f t="shared" si="26"/>
        <v>8.5849139718041541E-3</v>
      </c>
      <c r="Y211" s="255" t="str">
        <f>IF(ISNUMBER(SEARCH("C", 'Dry_Litterbag Placem_Collection'!T138)),"YES","NO")</f>
        <v>NO</v>
      </c>
      <c r="Z211" s="255" t="str">
        <f>IF(ISNUMBER(SEARCH("H", 'Dry_Litterbag Placem_Collection'!T138)),"YES","NO")</f>
        <v>NO</v>
      </c>
      <c r="AA211" s="255" t="str">
        <f>IF(ISNUMBER(SEARCH("R", 'Dry_Litterbag Placem_Collection'!T138)),"YES","NO")</f>
        <v>NO</v>
      </c>
      <c r="AB211" s="255" t="str">
        <f>IF(ISNUMBER(SEARCH("C", 'Dry_Litterbag Placem_Collection'!S138)),"YES","NO")</f>
        <v>YES</v>
      </c>
      <c r="AC211" s="255" t="str">
        <f>IF(ISNUMBER(SEARCH("H", 'Dry_Litterbag Placem_Collection'!S138)),"YES","NO")</f>
        <v>NO</v>
      </c>
      <c r="AD211" s="255" t="str">
        <f>IF(ISNUMBER(SEARCH("R", 'Dry_Litterbag Placem_Collection'!S138)),"YES","NO")</f>
        <v>NO</v>
      </c>
    </row>
    <row r="212" spans="2:30">
      <c r="B212" t="str">
        <f>'Final data_for_R_analysis_Dryse'!A138</f>
        <v>Dry</v>
      </c>
      <c r="C212" s="263">
        <f>'Final data_for_R_analysis_Dryse'!B138</f>
        <v>137</v>
      </c>
      <c r="D212" t="s">
        <v>3848</v>
      </c>
      <c r="E212" t="s">
        <v>22</v>
      </c>
      <c r="F212" s="386">
        <v>1</v>
      </c>
      <c r="G212" s="16">
        <f>'Dry_Litterbag Placem_Collection'!E139</f>
        <v>42939</v>
      </c>
      <c r="H212" t="str">
        <f>'Final data_for_R_analysis_Dryse'!J138</f>
        <v>G30</v>
      </c>
      <c r="I212" t="str">
        <f>'Final data_for_R_analysis_Dryse'!J358</f>
        <v>R746</v>
      </c>
      <c r="J212">
        <f>IFERROR(INDEX('Green_rooibos initial weight'!$C$5:$C$1749,MATCH(H212, 'Green_rooibos initial weight'!$A$5:$A$1749,0)),"")</f>
        <v>2.0680000000000001</v>
      </c>
      <c r="K212">
        <f>IFERROR(INDEX('Green_rooibos initial weight'!$C$5:$C$1749,MATCH(I212, 'Green_rooibos initial weight'!$A$5:$A$1749,0)),"")</f>
        <v>2.2290000000000001</v>
      </c>
      <c r="L212" s="195">
        <f t="shared" si="21"/>
        <v>1.8182</v>
      </c>
      <c r="M212" s="195">
        <f t="shared" si="22"/>
        <v>1.9792000000000001</v>
      </c>
      <c r="N212" s="16">
        <f>IF('Dry_Litterbag Placem_Collection'!G139="N.A","",'Dry_Litterbag Placem_Collection'!G139)</f>
        <v>43008</v>
      </c>
      <c r="O212" s="195">
        <f>IF(IFERROR(INDEX('Both teabags AfterDry'!$D$1:$D$839,MATCH(H212,'Both teabags AfterDry'!$A$1:$A$839,0)),"")="N.A","",(IFERROR(INDEX('Both teabags AfterDry'!$D$1:$D$839,MATCH(H212,'Both teabags AfterDry'!$A$1:$A$839,0)),"")))</f>
        <v>0.80879999999999996</v>
      </c>
      <c r="P212" s="195">
        <f>IF(IFERROR(INDEX('Both teabags AfterDry'!$D$1:$D$839,MATCH(I212,'Both teabags AfterDry'!$A$1:$A$839,0)),"")="N.A","",(IFERROR(INDEX('Both teabags AfterDry'!$D$1:$D$839,MATCH(I212,'Both teabags AfterDry'!$A$1:$A$839,0)),"")))</f>
        <v>5.0305999999999997</v>
      </c>
      <c r="Q212" s="195">
        <f t="shared" si="23"/>
        <v>0.6581999999999999</v>
      </c>
      <c r="R212" s="195">
        <f t="shared" si="23"/>
        <v>4.88</v>
      </c>
      <c r="S212" s="195">
        <f t="shared" si="18"/>
        <v>0.63799362006379945</v>
      </c>
      <c r="T212" s="195">
        <f t="shared" si="24"/>
        <v>0.41825710008933176</v>
      </c>
      <c r="U212" s="195">
        <f t="shared" si="19"/>
        <v>2.4656426839126917</v>
      </c>
      <c r="V212">
        <f t="shared" si="20"/>
        <v>69</v>
      </c>
      <c r="W212" s="195">
        <f t="shared" si="25"/>
        <v>0.24228786215700771</v>
      </c>
      <c r="X212" s="195">
        <f t="shared" si="26"/>
        <v>-2.1811636885319861E-2</v>
      </c>
      <c r="Y212" s="255" t="str">
        <f>IF(ISNUMBER(SEARCH("C", 'Dry_Litterbag Placem_Collection'!T139)),"YES","NO")</f>
        <v>YES</v>
      </c>
      <c r="Z212" s="255" t="str">
        <f>IF(ISNUMBER(SEARCH("H", 'Dry_Litterbag Placem_Collection'!T139)),"YES","NO")</f>
        <v>YES</v>
      </c>
      <c r="AA212" s="255" t="str">
        <f>IF(ISNUMBER(SEARCH("R", 'Dry_Litterbag Placem_Collection'!T139)),"YES","NO")</f>
        <v>NO</v>
      </c>
      <c r="AB212" s="255" t="str">
        <f>IF(ISNUMBER(SEARCH("C", 'Dry_Litterbag Placem_Collection'!S139)),"YES","NO")</f>
        <v>NO</v>
      </c>
      <c r="AC212" s="255" t="str">
        <f>IF(ISNUMBER(SEARCH("H", 'Dry_Litterbag Placem_Collection'!S139)),"YES","NO")</f>
        <v>YES</v>
      </c>
      <c r="AD212" s="255" t="str">
        <f>IF(ISNUMBER(SEARCH("R", 'Dry_Litterbag Placem_Collection'!S139)),"YES","NO")</f>
        <v>NO</v>
      </c>
    </row>
    <row r="213" spans="2:30">
      <c r="B213" t="str">
        <f>'Final data_for_R_analysis_Dryse'!A139</f>
        <v>Dry</v>
      </c>
      <c r="C213" s="263">
        <f>'Final data_for_R_analysis_Dryse'!B139</f>
        <v>138</v>
      </c>
      <c r="D213" t="s">
        <v>3848</v>
      </c>
      <c r="E213" t="s">
        <v>22</v>
      </c>
      <c r="F213" s="386">
        <v>2</v>
      </c>
      <c r="G213" s="16">
        <f>'Dry_Litterbag Placem_Collection'!E140</f>
        <v>42939</v>
      </c>
      <c r="H213" t="str">
        <f>'Final data_for_R_analysis_Dryse'!J139</f>
        <v>G213</v>
      </c>
      <c r="I213" t="str">
        <f>'Final data_for_R_analysis_Dryse'!J359</f>
        <v>R821</v>
      </c>
      <c r="J213">
        <f>IFERROR(INDEX('Green_rooibos initial weight'!$C$5:$C$1749,MATCH(H213, 'Green_rooibos initial weight'!$A$5:$A$1749,0)),"")</f>
        <v>2.0670000000000002</v>
      </c>
      <c r="K213">
        <f>IFERROR(INDEX('Green_rooibos initial weight'!$C$5:$C$1749,MATCH(I213, 'Green_rooibos initial weight'!$A$5:$A$1749,0)),"")</f>
        <v>2.1680000000000001</v>
      </c>
      <c r="L213" s="195">
        <f t="shared" si="21"/>
        <v>1.8172000000000001</v>
      </c>
      <c r="M213" s="195">
        <f t="shared" si="22"/>
        <v>1.9182000000000001</v>
      </c>
      <c r="N213" s="16">
        <f>IF('Dry_Litterbag Placem_Collection'!G140="N.A","",'Dry_Litterbag Placem_Collection'!G140)</f>
        <v>43008</v>
      </c>
      <c r="O213" s="195">
        <f>IF(IFERROR(INDEX('Both teabags AfterDry'!$D$1:$D$839,MATCH(H213,'Both teabags AfterDry'!$A$1:$A$839,0)),"")="N.A","",(IFERROR(INDEX('Both teabags AfterDry'!$D$1:$D$839,MATCH(H213,'Both teabags AfterDry'!$A$1:$A$839,0)),"")))</f>
        <v>0.66200000000000003</v>
      </c>
      <c r="P213" s="195">
        <f>IF(IFERROR(INDEX('Both teabags AfterDry'!$D$1:$D$839,MATCH(I213,'Both teabags AfterDry'!$A$1:$A$839,0)),"")="N.A","",(IFERROR(INDEX('Both teabags AfterDry'!$D$1:$D$839,MATCH(I213,'Both teabags AfterDry'!$A$1:$A$839,0)),"")))</f>
        <v>0.2059</v>
      </c>
      <c r="Q213" s="195">
        <f t="shared" si="23"/>
        <v>0.51140000000000008</v>
      </c>
      <c r="R213" s="195">
        <f t="shared" si="23"/>
        <v>5.5299999999999988E-2</v>
      </c>
      <c r="S213" s="195">
        <f t="shared" si="18"/>
        <v>0.71857803213735416</v>
      </c>
      <c r="T213" s="195">
        <f t="shared" si="24"/>
        <v>0.471086785914275</v>
      </c>
      <c r="U213" s="195">
        <f t="shared" si="19"/>
        <v>2.8829110624543835E-2</v>
      </c>
      <c r="V213">
        <f t="shared" si="20"/>
        <v>69</v>
      </c>
      <c r="W213" s="195">
        <f t="shared" si="25"/>
        <v>0.14658190957558881</v>
      </c>
      <c r="X213" s="195" t="str">
        <f t="shared" si="26"/>
        <v/>
      </c>
      <c r="Y213" s="255" t="str">
        <f>IF(ISNUMBER(SEARCH("C", 'Dry_Litterbag Placem_Collection'!T140)),"YES","NO")</f>
        <v>YES</v>
      </c>
      <c r="Z213" s="255" t="str">
        <f>IF(ISNUMBER(SEARCH("H", 'Dry_Litterbag Placem_Collection'!T140)),"YES","NO")</f>
        <v>YES</v>
      </c>
      <c r="AA213" s="255" t="str">
        <f>IF(ISNUMBER(SEARCH("R", 'Dry_Litterbag Placem_Collection'!T140)),"YES","NO")</f>
        <v>NO</v>
      </c>
      <c r="AB213" s="255" t="str">
        <f>IF(ISNUMBER(SEARCH("C", 'Dry_Litterbag Placem_Collection'!S140)),"YES","NO")</f>
        <v>YES</v>
      </c>
      <c r="AC213" s="255" t="str">
        <f>IF(ISNUMBER(SEARCH("H", 'Dry_Litterbag Placem_Collection'!S140)),"YES","NO")</f>
        <v>YES</v>
      </c>
      <c r="AD213" s="255" t="str">
        <f>IF(ISNUMBER(SEARCH("R", 'Dry_Litterbag Placem_Collection'!S140)),"YES","NO")</f>
        <v>NO</v>
      </c>
    </row>
    <row r="214" spans="2:30">
      <c r="B214" t="str">
        <f>'Final data_for_R_analysis_Dryse'!A140</f>
        <v>Dry</v>
      </c>
      <c r="C214" s="263">
        <f>'Final data_for_R_analysis_Dryse'!B140</f>
        <v>139</v>
      </c>
      <c r="D214" t="s">
        <v>3848</v>
      </c>
      <c r="E214" t="s">
        <v>22</v>
      </c>
      <c r="F214" s="386">
        <v>3</v>
      </c>
      <c r="G214" s="16">
        <f>'Dry_Litterbag Placem_Collection'!E141</f>
        <v>42939</v>
      </c>
      <c r="H214" t="str">
        <f>'Final data_for_R_analysis_Dryse'!J140</f>
        <v>G17</v>
      </c>
      <c r="I214" t="str">
        <f>'Final data_for_R_analysis_Dryse'!J360</f>
        <v>R813</v>
      </c>
      <c r="J214">
        <f>IFERROR(INDEX('Green_rooibos initial weight'!$C$5:$C$1749,MATCH(H214, 'Green_rooibos initial weight'!$A$5:$A$1749,0)),"")</f>
        <v>1.9870000000000001</v>
      </c>
      <c r="K214">
        <f>IFERROR(INDEX('Green_rooibos initial weight'!$C$5:$C$1749,MATCH(I214, 'Green_rooibos initial weight'!$A$5:$A$1749,0)),"")</f>
        <v>2.2309999999999999</v>
      </c>
      <c r="L214" s="195">
        <f t="shared" si="21"/>
        <v>1.7372000000000001</v>
      </c>
      <c r="M214" s="195">
        <f t="shared" si="22"/>
        <v>1.9811999999999999</v>
      </c>
      <c r="N214" s="16">
        <f>IF('Dry_Litterbag Placem_Collection'!G141="N.A","",'Dry_Litterbag Placem_Collection'!G141)</f>
        <v>43008</v>
      </c>
      <c r="O214" s="195">
        <f>IF(IFERROR(INDEX('Both teabags AfterDry'!$D$1:$D$839,MATCH(H214,'Both teabags AfterDry'!$A$1:$A$839,0)),"")="N.A","",(IFERROR(INDEX('Both teabags AfterDry'!$D$1:$D$839,MATCH(H214,'Both teabags AfterDry'!$A$1:$A$839,0)),"")))</f>
        <v>0.73580000000000001</v>
      </c>
      <c r="P214" s="195">
        <f>IF(IFERROR(INDEX('Both teabags AfterDry'!$D$1:$D$839,MATCH(I214,'Both teabags AfterDry'!$A$1:$A$839,0)),"")="N.A","",(IFERROR(INDEX('Both teabags AfterDry'!$D$1:$D$839,MATCH(I214,'Both teabags AfterDry'!$A$1:$A$839,0)),"")))</f>
        <v>2.1772999999999998</v>
      </c>
      <c r="Q214" s="195">
        <f t="shared" si="23"/>
        <v>0.58519999999999994</v>
      </c>
      <c r="R214" s="195">
        <f t="shared" si="23"/>
        <v>2.0266999999999999</v>
      </c>
      <c r="S214" s="195">
        <f t="shared" si="18"/>
        <v>0.66313608104996558</v>
      </c>
      <c r="T214" s="195">
        <f t="shared" si="24"/>
        <v>0.43474004363370672</v>
      </c>
      <c r="U214" s="195">
        <f t="shared" si="19"/>
        <v>1.022965879265092</v>
      </c>
      <c r="V214">
        <f t="shared" si="20"/>
        <v>69</v>
      </c>
      <c r="W214" s="195">
        <f t="shared" si="25"/>
        <v>0.21242745718531397</v>
      </c>
      <c r="X214" s="195">
        <f t="shared" si="26"/>
        <v>-7.4606719613905942E-4</v>
      </c>
      <c r="Y214" s="255" t="str">
        <f>IF(ISNUMBER(SEARCH("C", 'Dry_Litterbag Placem_Collection'!T141)),"YES","NO")</f>
        <v>YES</v>
      </c>
      <c r="Z214" s="255" t="str">
        <f>IF(ISNUMBER(SEARCH("H", 'Dry_Litterbag Placem_Collection'!T141)),"YES","NO")</f>
        <v>YES</v>
      </c>
      <c r="AA214" s="255" t="str">
        <f>IF(ISNUMBER(SEARCH("R", 'Dry_Litterbag Placem_Collection'!T141)),"YES","NO")</f>
        <v>NO</v>
      </c>
      <c r="AB214" s="255" t="str">
        <f>IF(ISNUMBER(SEARCH("C", 'Dry_Litterbag Placem_Collection'!S141)),"YES","NO")</f>
        <v>YES</v>
      </c>
      <c r="AC214" s="255" t="str">
        <f>IF(ISNUMBER(SEARCH("H", 'Dry_Litterbag Placem_Collection'!S141)),"YES","NO")</f>
        <v>YES</v>
      </c>
      <c r="AD214" s="255" t="str">
        <f>IF(ISNUMBER(SEARCH("R", 'Dry_Litterbag Placem_Collection'!S141)),"YES","NO")</f>
        <v>NO</v>
      </c>
    </row>
    <row r="215" spans="2:30">
      <c r="B215" t="str">
        <f>'Final data_for_R_analysis_Dryse'!A141</f>
        <v>Dry</v>
      </c>
      <c r="C215" s="263">
        <f>'Final data_for_R_analysis_Dryse'!B141</f>
        <v>140</v>
      </c>
      <c r="D215" t="s">
        <v>3848</v>
      </c>
      <c r="E215" t="s">
        <v>22</v>
      </c>
      <c r="F215" s="387">
        <v>4</v>
      </c>
      <c r="G215" s="16">
        <f>'Dry_Litterbag Placem_Collection'!E142</f>
        <v>42939</v>
      </c>
      <c r="H215" t="str">
        <f>'Final data_for_R_analysis_Dryse'!J141</f>
        <v>G401</v>
      </c>
      <c r="I215" t="str">
        <f>'Final data_for_R_analysis_Dryse'!J361</f>
        <v>R729</v>
      </c>
      <c r="J215">
        <f>IFERROR(INDEX('Green_rooibos initial weight'!$C$5:$C$1749,MATCH(H215, 'Green_rooibos initial weight'!$A$5:$A$1749,0)),"")</f>
        <v>1.9390000000000001</v>
      </c>
      <c r="K215">
        <f>IFERROR(INDEX('Green_rooibos initial weight'!$C$5:$C$1749,MATCH(I215, 'Green_rooibos initial weight'!$A$5:$A$1749,0)),"")</f>
        <v>2.1970000000000001</v>
      </c>
      <c r="L215" s="195">
        <f t="shared" si="21"/>
        <v>1.6892</v>
      </c>
      <c r="M215" s="195">
        <f t="shared" si="22"/>
        <v>1.9472</v>
      </c>
      <c r="N215" s="16">
        <f>IF('Dry_Litterbag Placem_Collection'!G142="N.A","",'Dry_Litterbag Placem_Collection'!G142)</f>
        <v>43008</v>
      </c>
      <c r="O215" s="195">
        <f>IF(IFERROR(INDEX('Both teabags AfterDry'!$D$1:$D$839,MATCH(H215,'Both teabags AfterDry'!$A$1:$A$839,0)),"")="N.A","",(IFERROR(INDEX('Both teabags AfterDry'!$D$1:$D$839,MATCH(H215,'Both teabags AfterDry'!$A$1:$A$839,0)),"")))</f>
        <v>0.9304</v>
      </c>
      <c r="P215" s="195">
        <f>IF(IFERROR(INDEX('Both teabags AfterDry'!$D$1:$D$839,MATCH(I215,'Both teabags AfterDry'!$A$1:$A$839,0)),"")="N.A","",(IFERROR(INDEX('Both teabags AfterDry'!$D$1:$D$839,MATCH(I215,'Both teabags AfterDry'!$A$1:$A$839,0)),"")))</f>
        <v>1.7859</v>
      </c>
      <c r="Q215" s="195">
        <f t="shared" si="23"/>
        <v>0.77980000000000005</v>
      </c>
      <c r="R215" s="195">
        <f t="shared" si="23"/>
        <v>1.6353</v>
      </c>
      <c r="S215" s="195">
        <f t="shared" si="18"/>
        <v>0.53836135448733125</v>
      </c>
      <c r="T215" s="195">
        <f t="shared" si="24"/>
        <v>0.35293998536461629</v>
      </c>
      <c r="U215" s="195">
        <f t="shared" si="19"/>
        <v>0.83982128184059157</v>
      </c>
      <c r="V215">
        <f t="shared" si="20"/>
        <v>69</v>
      </c>
      <c r="W215" s="195">
        <f t="shared" si="25"/>
        <v>0.36061596854236189</v>
      </c>
      <c r="X215" s="195">
        <f t="shared" si="26"/>
        <v>8.7658777332243962E-3</v>
      </c>
      <c r="Y215" s="255" t="str">
        <f>IF(ISNUMBER(SEARCH("C", 'Dry_Litterbag Placem_Collection'!T142)),"YES","NO")</f>
        <v>YES</v>
      </c>
      <c r="Z215" s="255" t="str">
        <f>IF(ISNUMBER(SEARCH("H", 'Dry_Litterbag Placem_Collection'!T142)),"YES","NO")</f>
        <v>YES</v>
      </c>
      <c r="AA215" s="255" t="str">
        <f>IF(ISNUMBER(SEARCH("R", 'Dry_Litterbag Placem_Collection'!T142)),"YES","NO")</f>
        <v>NO</v>
      </c>
      <c r="AB215" s="255" t="str">
        <f>IF(ISNUMBER(SEARCH("C", 'Dry_Litterbag Placem_Collection'!S142)),"YES","NO")</f>
        <v>NO</v>
      </c>
      <c r="AC215" s="255" t="str">
        <f>IF(ISNUMBER(SEARCH("H", 'Dry_Litterbag Placem_Collection'!S142)),"YES","NO")</f>
        <v>NO</v>
      </c>
      <c r="AD215" s="255" t="str">
        <f>IF(ISNUMBER(SEARCH("R", 'Dry_Litterbag Placem_Collection'!S142)),"YES","NO")</f>
        <v>YES</v>
      </c>
    </row>
    <row r="216" spans="2:30">
      <c r="B216" t="str">
        <f>'Final data_for_R_analysis_Dryse'!A142</f>
        <v>Dry</v>
      </c>
      <c r="C216" s="263">
        <f>'Final data_for_R_analysis_Dryse'!B142</f>
        <v>141</v>
      </c>
      <c r="D216" t="s">
        <v>3848</v>
      </c>
      <c r="E216" t="s">
        <v>22</v>
      </c>
      <c r="F216" s="387">
        <v>5</v>
      </c>
      <c r="G216" s="16">
        <f>'Dry_Litterbag Placem_Collection'!E143</f>
        <v>0</v>
      </c>
      <c r="H216" t="str">
        <f>'Final data_for_R_analysis_Dryse'!J142</f>
        <v/>
      </c>
      <c r="I216" t="str">
        <f>'Final data_for_R_analysis_Dryse'!J362</f>
        <v/>
      </c>
      <c r="J216" t="str">
        <f>IFERROR(INDEX('Green_rooibos initial weight'!$C$5:$C$1749,MATCH(H216, 'Green_rooibos initial weight'!$A$5:$A$1749,0)),"")</f>
        <v/>
      </c>
      <c r="K216" t="str">
        <f>IFERROR(INDEX('Green_rooibos initial weight'!$C$5:$C$1749,MATCH(I216, 'Green_rooibos initial weight'!$A$5:$A$1749,0)),"")</f>
        <v/>
      </c>
      <c r="L216" s="195" t="str">
        <f t="shared" si="21"/>
        <v/>
      </c>
      <c r="M216" s="195" t="str">
        <f t="shared" si="22"/>
        <v/>
      </c>
      <c r="N216" s="16">
        <f>IF('Dry_Litterbag Placem_Collection'!G143="N.A","",'Dry_Litterbag Placem_Collection'!G143)</f>
        <v>0</v>
      </c>
      <c r="O216" s="195" t="str">
        <f>IF(IFERROR(INDEX('Both teabags AfterDry'!$D$1:$D$839,MATCH(H216,'Both teabags AfterDry'!$A$1:$A$839,0)),"")="N.A","",(IFERROR(INDEX('Both teabags AfterDry'!$D$1:$D$839,MATCH(H216,'Both teabags AfterDry'!$A$1:$A$839,0)),"")))</f>
        <v/>
      </c>
      <c r="P216" s="195" t="str">
        <f>IF(IFERROR(INDEX('Both teabags AfterDry'!$D$1:$D$839,MATCH(I216,'Both teabags AfterDry'!$A$1:$A$839,0)),"")="N.A","",(IFERROR(INDEX('Both teabags AfterDry'!$D$1:$D$839,MATCH(I216,'Both teabags AfterDry'!$A$1:$A$839,0)),"")))</f>
        <v/>
      </c>
      <c r="Q216" s="195" t="str">
        <f t="shared" si="23"/>
        <v/>
      </c>
      <c r="R216" s="195" t="str">
        <f t="shared" si="23"/>
        <v/>
      </c>
      <c r="S216" s="195" t="str">
        <f t="shared" si="18"/>
        <v/>
      </c>
      <c r="T216" s="195" t="str">
        <f t="shared" si="24"/>
        <v/>
      </c>
      <c r="U216" s="195" t="str">
        <f t="shared" si="19"/>
        <v/>
      </c>
      <c r="V216" t="str">
        <f t="shared" si="20"/>
        <v/>
      </c>
      <c r="W216" s="195" t="str">
        <f t="shared" si="25"/>
        <v/>
      </c>
      <c r="X216" s="195" t="str">
        <f t="shared" si="26"/>
        <v/>
      </c>
      <c r="Y216" s="255" t="str">
        <f>IF(ISNUMBER(SEARCH("C", 'Dry_Litterbag Placem_Collection'!T143)),"YES","NO")</f>
        <v>NO</v>
      </c>
      <c r="Z216" s="255" t="str">
        <f>IF(ISNUMBER(SEARCH("H", 'Dry_Litterbag Placem_Collection'!T143)),"YES","NO")</f>
        <v>NO</v>
      </c>
      <c r="AA216" s="255" t="str">
        <f>IF(ISNUMBER(SEARCH("R", 'Dry_Litterbag Placem_Collection'!T143)),"YES","NO")</f>
        <v>NO</v>
      </c>
      <c r="AB216" s="255" t="str">
        <f>IF(ISNUMBER(SEARCH("C", 'Dry_Litterbag Placem_Collection'!S143)),"YES","NO")</f>
        <v>NO</v>
      </c>
      <c r="AC216" s="255" t="str">
        <f>IF(ISNUMBER(SEARCH("H", 'Dry_Litterbag Placem_Collection'!S143)),"YES","NO")</f>
        <v>NO</v>
      </c>
      <c r="AD216" s="255" t="str">
        <f>IF(ISNUMBER(SEARCH("R", 'Dry_Litterbag Placem_Collection'!S143)),"YES","NO")</f>
        <v>NO</v>
      </c>
    </row>
    <row r="217" spans="2:30">
      <c r="B217" t="str">
        <f>'Final data_for_R_analysis_Dryse'!A143</f>
        <v>Dry</v>
      </c>
      <c r="C217" s="263">
        <f>'Final data_for_R_analysis_Dryse'!B143</f>
        <v>142</v>
      </c>
      <c r="D217" t="s">
        <v>3848</v>
      </c>
      <c r="E217" t="s">
        <v>22</v>
      </c>
      <c r="F217" s="387">
        <v>6</v>
      </c>
      <c r="G217" s="16">
        <f>'Dry_Litterbag Placem_Collection'!E144</f>
        <v>42939</v>
      </c>
      <c r="H217" t="str">
        <f>'Final data_for_R_analysis_Dryse'!J143</f>
        <v>G87</v>
      </c>
      <c r="I217" t="str">
        <f>'Final data_for_R_analysis_Dryse'!J363</f>
        <v>R834</v>
      </c>
      <c r="J217">
        <f>IFERROR(INDEX('Green_rooibos initial weight'!$C$5:$C$1749,MATCH(H217, 'Green_rooibos initial weight'!$A$5:$A$1749,0)),"")</f>
        <v>1.9870000000000001</v>
      </c>
      <c r="K217">
        <f>IFERROR(INDEX('Green_rooibos initial weight'!$C$5:$C$1749,MATCH(I217, 'Green_rooibos initial weight'!$A$5:$A$1749,0)),"")</f>
        <v>2.1840000000000002</v>
      </c>
      <c r="L217" s="195">
        <f t="shared" si="21"/>
        <v>1.7372000000000001</v>
      </c>
      <c r="M217" s="195">
        <f t="shared" si="22"/>
        <v>1.9342000000000001</v>
      </c>
      <c r="N217" s="16">
        <f>IF('Dry_Litterbag Placem_Collection'!G144="N.A","",'Dry_Litterbag Placem_Collection'!G144)</f>
        <v>43008</v>
      </c>
      <c r="O217" s="195" t="str">
        <f>IF(IFERROR(INDEX('Both teabags AfterDry'!$D$1:$D$839,MATCH(H217,'Both teabags AfterDry'!$A$1:$A$839,0)),"")="N.A","",(IFERROR(INDEX('Both teabags AfterDry'!$D$1:$D$839,MATCH(H217,'Both teabags AfterDry'!$A$1:$A$839,0)),"")))</f>
        <v/>
      </c>
      <c r="P217" s="195" t="str">
        <f>IF(IFERROR(INDEX('Both teabags AfterDry'!$D$1:$D$839,MATCH(I217,'Both teabags AfterDry'!$A$1:$A$839,0)),"")="N.A","",(IFERROR(INDEX('Both teabags AfterDry'!$D$1:$D$839,MATCH(I217,'Both teabags AfterDry'!$A$1:$A$839,0)),"")))</f>
        <v/>
      </c>
      <c r="Q217" s="195" t="str">
        <f t="shared" si="23"/>
        <v/>
      </c>
      <c r="R217" s="195" t="str">
        <f t="shared" si="23"/>
        <v/>
      </c>
      <c r="S217" s="195" t="str">
        <f t="shared" si="18"/>
        <v/>
      </c>
      <c r="T217" s="195" t="str">
        <f t="shared" si="24"/>
        <v/>
      </c>
      <c r="U217" s="195" t="str">
        <f t="shared" si="19"/>
        <v/>
      </c>
      <c r="V217">
        <f t="shared" si="20"/>
        <v>69</v>
      </c>
      <c r="W217" s="195" t="str">
        <f t="shared" si="25"/>
        <v/>
      </c>
      <c r="X217" s="195" t="str">
        <f t="shared" si="26"/>
        <v/>
      </c>
      <c r="Y217" s="255" t="str">
        <f>IF(ISNUMBER(SEARCH("C", 'Dry_Litterbag Placem_Collection'!T144)),"YES","NO")</f>
        <v>NO</v>
      </c>
      <c r="Z217" s="255" t="str">
        <f>IF(ISNUMBER(SEARCH("H", 'Dry_Litterbag Placem_Collection'!T144)),"YES","NO")</f>
        <v>NO</v>
      </c>
      <c r="AA217" s="255" t="str">
        <f>IF(ISNUMBER(SEARCH("R", 'Dry_Litterbag Placem_Collection'!T144)),"YES","NO")</f>
        <v>NO</v>
      </c>
      <c r="AB217" s="255" t="str">
        <f>IF(ISNUMBER(SEARCH("C", 'Dry_Litterbag Placem_Collection'!S144)),"YES","NO")</f>
        <v>YES</v>
      </c>
      <c r="AC217" s="255" t="str">
        <f>IF(ISNUMBER(SEARCH("H", 'Dry_Litterbag Placem_Collection'!S144)),"YES","NO")</f>
        <v>NO</v>
      </c>
      <c r="AD217" s="255" t="str">
        <f>IF(ISNUMBER(SEARCH("R", 'Dry_Litterbag Placem_Collection'!S144)),"YES","NO")</f>
        <v>YES</v>
      </c>
    </row>
    <row r="218" spans="2:30">
      <c r="B218" t="str">
        <f>'Final data_for_R_analysis_Dryse'!A144</f>
        <v>Dry</v>
      </c>
      <c r="C218" s="263">
        <f>'Final data_for_R_analysis_Dryse'!B144</f>
        <v>143</v>
      </c>
      <c r="D218" t="s">
        <v>3848</v>
      </c>
      <c r="E218" t="s">
        <v>22</v>
      </c>
      <c r="F218" s="387">
        <v>7</v>
      </c>
      <c r="G218" s="16">
        <f>'Dry_Litterbag Placem_Collection'!E145</f>
        <v>42939</v>
      </c>
      <c r="H218" t="str">
        <f>'Final data_for_R_analysis_Dryse'!J144</f>
        <v>G501</v>
      </c>
      <c r="I218" t="str">
        <f>'Final data_for_R_analysis_Dryse'!J364</f>
        <v>R774</v>
      </c>
      <c r="J218">
        <f>IFERROR(INDEX('Green_rooibos initial weight'!$C$5:$C$1749,MATCH(H218, 'Green_rooibos initial weight'!$A$5:$A$1749,0)),"")</f>
        <v>1.917</v>
      </c>
      <c r="K218">
        <f>IFERROR(INDEX('Green_rooibos initial weight'!$C$5:$C$1749,MATCH(I218, 'Green_rooibos initial weight'!$A$5:$A$1749,0)),"")</f>
        <v>2.1629999999999998</v>
      </c>
      <c r="L218" s="195">
        <f t="shared" si="21"/>
        <v>1.6672</v>
      </c>
      <c r="M218" s="195">
        <f t="shared" si="22"/>
        <v>1.9131999999999998</v>
      </c>
      <c r="N218" s="16">
        <f>IF('Dry_Litterbag Placem_Collection'!G145="N.A","",'Dry_Litterbag Placem_Collection'!G145)</f>
        <v>43008</v>
      </c>
      <c r="O218" s="195">
        <f>IF(IFERROR(INDEX('Both teabags AfterDry'!$D$1:$D$839,MATCH(H218,'Both teabags AfterDry'!$A$1:$A$839,0)),"")="N.A","",(IFERROR(INDEX('Both teabags AfterDry'!$D$1:$D$839,MATCH(H218,'Both teabags AfterDry'!$A$1:$A$839,0)),"")))</f>
        <v>0.78680000000000005</v>
      </c>
      <c r="P218" s="195">
        <f>IF(IFERROR(INDEX('Both teabags AfterDry'!$D$1:$D$839,MATCH(I218,'Both teabags AfterDry'!$A$1:$A$839,0)),"")="N.A","",(IFERROR(INDEX('Both teabags AfterDry'!$D$1:$D$839,MATCH(I218,'Both teabags AfterDry'!$A$1:$A$839,0)),"")))</f>
        <v>1.5979000000000001</v>
      </c>
      <c r="Q218" s="195">
        <f t="shared" si="23"/>
        <v>0.6362000000000001</v>
      </c>
      <c r="R218" s="195">
        <f t="shared" si="23"/>
        <v>1.4473</v>
      </c>
      <c r="S218" s="195">
        <f t="shared" si="18"/>
        <v>0.61840211132437617</v>
      </c>
      <c r="T218" s="195">
        <f t="shared" si="24"/>
        <v>0.40541326063070743</v>
      </c>
      <c r="U218" s="195">
        <f t="shared" si="19"/>
        <v>0.75648128789462687</v>
      </c>
      <c r="V218">
        <f t="shared" si="20"/>
        <v>69</v>
      </c>
      <c r="W218" s="195">
        <f t="shared" si="25"/>
        <v>0.26555568726321122</v>
      </c>
      <c r="X218" s="195">
        <f t="shared" si="26"/>
        <v>1.3303793553933654E-2</v>
      </c>
      <c r="Y218" s="255" t="str">
        <f>IF(ISNUMBER(SEARCH("C", 'Dry_Litterbag Placem_Collection'!T145)),"YES","NO")</f>
        <v>NO</v>
      </c>
      <c r="Z218" s="255" t="str">
        <f>IF(ISNUMBER(SEARCH("H", 'Dry_Litterbag Placem_Collection'!T145)),"YES","NO")</f>
        <v>NO</v>
      </c>
      <c r="AA218" s="255" t="str">
        <f>IF(ISNUMBER(SEARCH("R", 'Dry_Litterbag Placem_Collection'!T145)),"YES","NO")</f>
        <v>NO</v>
      </c>
      <c r="AB218" s="255" t="str">
        <f>IF(ISNUMBER(SEARCH("C", 'Dry_Litterbag Placem_Collection'!S145)),"YES","NO")</f>
        <v>NO</v>
      </c>
      <c r="AC218" s="255" t="str">
        <f>IF(ISNUMBER(SEARCH("H", 'Dry_Litterbag Placem_Collection'!S145)),"YES","NO")</f>
        <v>NO</v>
      </c>
      <c r="AD218" s="255" t="str">
        <f>IF(ISNUMBER(SEARCH("R", 'Dry_Litterbag Placem_Collection'!S145)),"YES","NO")</f>
        <v>NO</v>
      </c>
    </row>
    <row r="219" spans="2:30">
      <c r="B219" t="str">
        <f>'Final data_for_R_analysis_Dryse'!A145</f>
        <v>Dry</v>
      </c>
      <c r="C219" s="263">
        <f>'Final data_for_R_analysis_Dryse'!B145</f>
        <v>144</v>
      </c>
      <c r="D219" t="s">
        <v>3848</v>
      </c>
      <c r="E219" t="s">
        <v>22</v>
      </c>
      <c r="F219" s="387">
        <v>8</v>
      </c>
      <c r="G219" s="16">
        <f>'Dry_Litterbag Placem_Collection'!E146</f>
        <v>42939</v>
      </c>
      <c r="H219" t="str">
        <f>'Final data_for_R_analysis_Dryse'!J145</f>
        <v>G141</v>
      </c>
      <c r="I219" t="str">
        <f>'Final data_for_R_analysis_Dryse'!J365</f>
        <v>R779</v>
      </c>
      <c r="J219">
        <f>IFERROR(INDEX('Green_rooibos initial weight'!$C$5:$C$1749,MATCH(H219, 'Green_rooibos initial weight'!$A$5:$A$1749,0)),"")</f>
        <v>2.0310000000000001</v>
      </c>
      <c r="K219">
        <f>IFERROR(INDEX('Green_rooibos initial weight'!$C$5:$C$1749,MATCH(I219, 'Green_rooibos initial weight'!$A$5:$A$1749,0)),"")</f>
        <v>2.16</v>
      </c>
      <c r="L219" s="195">
        <f t="shared" si="21"/>
        <v>1.7812000000000001</v>
      </c>
      <c r="M219" s="195">
        <f t="shared" si="22"/>
        <v>1.9102000000000001</v>
      </c>
      <c r="N219" s="16">
        <f>IF('Dry_Litterbag Placem_Collection'!G146="N.A","",'Dry_Litterbag Placem_Collection'!G146)</f>
        <v>43008</v>
      </c>
      <c r="O219" s="195">
        <f>IF(IFERROR(INDEX('Both teabags AfterDry'!$D$1:$D$839,MATCH(H219,'Both teabags AfterDry'!$A$1:$A$839,0)),"")="N.A","",(IFERROR(INDEX('Both teabags AfterDry'!$D$1:$D$839,MATCH(H219,'Both teabags AfterDry'!$A$1:$A$839,0)),"")))</f>
        <v>0.66180000000000005</v>
      </c>
      <c r="P219" s="195">
        <f>IF(IFERROR(INDEX('Both teabags AfterDry'!$D$1:$D$839,MATCH(I219,'Both teabags AfterDry'!$A$1:$A$839,0)),"")="N.A","",(IFERROR(INDEX('Both teabags AfterDry'!$D$1:$D$839,MATCH(I219,'Both teabags AfterDry'!$A$1:$A$839,0)),"")))</f>
        <v>0.17680000000000001</v>
      </c>
      <c r="Q219" s="195">
        <f t="shared" si="23"/>
        <v>0.5112000000000001</v>
      </c>
      <c r="R219" s="195">
        <f t="shared" si="23"/>
        <v>2.6200000000000001E-2</v>
      </c>
      <c r="S219" s="195">
        <f t="shared" si="18"/>
        <v>0.71300247024477881</v>
      </c>
      <c r="T219" s="195">
        <f t="shared" si="24"/>
        <v>0.46743154818897614</v>
      </c>
      <c r="U219" s="195">
        <f t="shared" si="19"/>
        <v>1.3715841273165113E-2</v>
      </c>
      <c r="V219">
        <f t="shared" si="20"/>
        <v>69</v>
      </c>
      <c r="W219" s="195">
        <f t="shared" si="25"/>
        <v>0.1532037170489563</v>
      </c>
      <c r="X219" s="195" t="str">
        <f t="shared" si="26"/>
        <v/>
      </c>
      <c r="Y219" s="255" t="str">
        <f>IF(ISNUMBER(SEARCH("C", 'Dry_Litterbag Placem_Collection'!T146)),"YES","NO")</f>
        <v>YES</v>
      </c>
      <c r="Z219" s="255" t="str">
        <f>IF(ISNUMBER(SEARCH("H", 'Dry_Litterbag Placem_Collection'!T146)),"YES","NO")</f>
        <v>YES</v>
      </c>
      <c r="AA219" s="255" t="str">
        <f>IF(ISNUMBER(SEARCH("R", 'Dry_Litterbag Placem_Collection'!T146)),"YES","NO")</f>
        <v>NO</v>
      </c>
      <c r="AB219" s="255" t="str">
        <f>IF(ISNUMBER(SEARCH("C", 'Dry_Litterbag Placem_Collection'!S146)),"YES","NO")</f>
        <v>NO</v>
      </c>
      <c r="AC219" s="255" t="str">
        <f>IF(ISNUMBER(SEARCH("H", 'Dry_Litterbag Placem_Collection'!S146)),"YES","NO")</f>
        <v>YES</v>
      </c>
      <c r="AD219" s="255" t="str">
        <f>IF(ISNUMBER(SEARCH("R", 'Dry_Litterbag Placem_Collection'!S146)),"YES","NO")</f>
        <v>NO</v>
      </c>
    </row>
    <row r="220" spans="2:30">
      <c r="B220" t="str">
        <f>'Final data_for_R_analysis_Dryse'!A146</f>
        <v>Dry</v>
      </c>
      <c r="C220" s="263">
        <f>'Final data_for_R_analysis_Dryse'!B146</f>
        <v>145</v>
      </c>
      <c r="D220" t="s">
        <v>3849</v>
      </c>
      <c r="E220" t="s">
        <v>22</v>
      </c>
      <c r="F220" s="386">
        <v>1</v>
      </c>
      <c r="G220" s="16">
        <f>'Dry_Litterbag Placem_Collection'!E147</f>
        <v>42939</v>
      </c>
      <c r="H220" t="str">
        <f>'Final data_for_R_analysis_Dryse'!J146</f>
        <v>G131</v>
      </c>
      <c r="I220" t="str">
        <f>'Final data_for_R_analysis_Dryse'!J366</f>
        <v>R728</v>
      </c>
      <c r="J220">
        <f>IFERROR(INDEX('Green_rooibos initial weight'!$C$5:$C$1749,MATCH(H220, 'Green_rooibos initial weight'!$A$5:$A$1749,0)),"")</f>
        <v>1.9670000000000001</v>
      </c>
      <c r="K220">
        <f>IFERROR(INDEX('Green_rooibos initial weight'!$C$5:$C$1749,MATCH(I220, 'Green_rooibos initial weight'!$A$5:$A$1749,0)),"")</f>
        <v>2.2429999999999999</v>
      </c>
      <c r="L220" s="195">
        <f t="shared" si="21"/>
        <v>1.7172000000000001</v>
      </c>
      <c r="M220" s="195">
        <f t="shared" si="22"/>
        <v>1.9931999999999999</v>
      </c>
      <c r="N220" s="16">
        <f>IF('Dry_Litterbag Placem_Collection'!G147="N.A","",'Dry_Litterbag Placem_Collection'!G147)</f>
        <v>43010</v>
      </c>
      <c r="O220" s="195">
        <f>IF(IFERROR(INDEX('Both teabags AfterDry'!$D$1:$D$839,MATCH(H220,'Both teabags AfterDry'!$A$1:$A$839,0)),"")="N.A","",(IFERROR(INDEX('Both teabags AfterDry'!$D$1:$D$839,MATCH(H220,'Both teabags AfterDry'!$A$1:$A$839,0)),"")))</f>
        <v>1.544</v>
      </c>
      <c r="P220" s="195">
        <f>IF(IFERROR(INDEX('Both teabags AfterDry'!$D$1:$D$839,MATCH(I220,'Both teabags AfterDry'!$A$1:$A$839,0)),"")="N.A","",(IFERROR(INDEX('Both teabags AfterDry'!$D$1:$D$839,MATCH(I220,'Both teabags AfterDry'!$A$1:$A$839,0)),"")))</f>
        <v>1.9579</v>
      </c>
      <c r="Q220" s="195">
        <f t="shared" si="23"/>
        <v>1.3934</v>
      </c>
      <c r="R220" s="195">
        <f t="shared" si="23"/>
        <v>1.8072999999999999</v>
      </c>
      <c r="S220" s="195">
        <f t="shared" si="18"/>
        <v>0.18856277661309118</v>
      </c>
      <c r="T220" s="195">
        <f t="shared" si="24"/>
        <v>0.12361835236392679</v>
      </c>
      <c r="U220" s="195">
        <f t="shared" si="19"/>
        <v>0.9067328918322296</v>
      </c>
      <c r="V220">
        <f t="shared" si="20"/>
        <v>71</v>
      </c>
      <c r="W220" s="195">
        <f t="shared" si="25"/>
        <v>0.7760537094856399</v>
      </c>
      <c r="X220" s="195">
        <f t="shared" si="26"/>
        <v>1.9779739497377165E-2</v>
      </c>
      <c r="Y220" s="255" t="str">
        <f>IF(ISNUMBER(SEARCH("C", 'Dry_Litterbag Placem_Collection'!T147)),"YES","NO")</f>
        <v>NO</v>
      </c>
      <c r="Z220" s="255" t="str">
        <f>IF(ISNUMBER(SEARCH("H", 'Dry_Litterbag Placem_Collection'!T147)),"YES","NO")</f>
        <v>NO</v>
      </c>
      <c r="AA220" s="255" t="str">
        <f>IF(ISNUMBER(SEARCH("R", 'Dry_Litterbag Placem_Collection'!T147)),"YES","NO")</f>
        <v>NO</v>
      </c>
      <c r="AB220" s="255" t="str">
        <f>IF(ISNUMBER(SEARCH("C", 'Dry_Litterbag Placem_Collection'!S147)),"YES","NO")</f>
        <v>NO</v>
      </c>
      <c r="AC220" s="255" t="str">
        <f>IF(ISNUMBER(SEARCH("H", 'Dry_Litterbag Placem_Collection'!S147)),"YES","NO")</f>
        <v>NO</v>
      </c>
      <c r="AD220" s="255" t="str">
        <f>IF(ISNUMBER(SEARCH("R", 'Dry_Litterbag Placem_Collection'!S147)),"YES","NO")</f>
        <v>NO</v>
      </c>
    </row>
    <row r="221" spans="2:30">
      <c r="B221" t="str">
        <f>'Final data_for_R_analysis_Dryse'!A147</f>
        <v>Dry</v>
      </c>
      <c r="C221" s="263">
        <f>'Final data_for_R_analysis_Dryse'!B147</f>
        <v>146</v>
      </c>
      <c r="D221" t="s">
        <v>3849</v>
      </c>
      <c r="E221" t="s">
        <v>22</v>
      </c>
      <c r="F221" s="386">
        <v>2</v>
      </c>
      <c r="G221" s="16">
        <f>'Dry_Litterbag Placem_Collection'!E148</f>
        <v>42939</v>
      </c>
      <c r="H221" t="str">
        <f>'Final data_for_R_analysis_Dryse'!J147</f>
        <v>G465</v>
      </c>
      <c r="I221" t="str">
        <f>'Final data_for_R_analysis_Dryse'!J367</f>
        <v>R13</v>
      </c>
      <c r="J221">
        <f>IFERROR(INDEX('Green_rooibos initial weight'!$C$5:$C$1749,MATCH(H221, 'Green_rooibos initial weight'!$A$5:$A$1749,0)),"")</f>
        <v>2.004</v>
      </c>
      <c r="K221">
        <f>IFERROR(INDEX('Green_rooibos initial weight'!$C$5:$C$1749,MATCH(I221, 'Green_rooibos initial weight'!$A$5:$A$1749,0)),"")</f>
        <v>2.2490000000000001</v>
      </c>
      <c r="L221" s="195">
        <f t="shared" si="21"/>
        <v>1.7542</v>
      </c>
      <c r="M221" s="195">
        <f t="shared" si="22"/>
        <v>1.9992000000000001</v>
      </c>
      <c r="N221" s="16">
        <f>IF('Dry_Litterbag Placem_Collection'!G148="N.A","",'Dry_Litterbag Placem_Collection'!G148)</f>
        <v>43010</v>
      </c>
      <c r="O221" s="195">
        <f>IF(IFERROR(INDEX('Both teabags AfterDry'!$D$1:$D$839,MATCH(H221,'Both teabags AfterDry'!$A$1:$A$839,0)),"")="N.A","",(IFERROR(INDEX('Both teabags AfterDry'!$D$1:$D$839,MATCH(H221,'Both teabags AfterDry'!$A$1:$A$839,0)),"")))</f>
        <v>1.6845000000000001</v>
      </c>
      <c r="P221" s="195">
        <f>IF(IFERROR(INDEX('Both teabags AfterDry'!$D$1:$D$839,MATCH(I221,'Both teabags AfterDry'!$A$1:$A$839,0)),"")="N.A","",(IFERROR(INDEX('Both teabags AfterDry'!$D$1:$D$839,MATCH(I221,'Both teabags AfterDry'!$A$1:$A$839,0)),"")))</f>
        <v>0.68400000000000005</v>
      </c>
      <c r="Q221" s="195">
        <f t="shared" si="23"/>
        <v>1.5339</v>
      </c>
      <c r="R221" s="195">
        <f t="shared" si="23"/>
        <v>0.5334000000000001</v>
      </c>
      <c r="S221" s="195">
        <f t="shared" si="18"/>
        <v>0.12558431193706532</v>
      </c>
      <c r="T221" s="195">
        <f t="shared" si="24"/>
        <v>8.233080782572455E-2</v>
      </c>
      <c r="U221" s="195">
        <f t="shared" si="19"/>
        <v>0.26680672268907568</v>
      </c>
      <c r="V221">
        <f t="shared" si="20"/>
        <v>71</v>
      </c>
      <c r="W221" s="195">
        <f t="shared" si="25"/>
        <v>0.85084998582296278</v>
      </c>
      <c r="X221" s="195" t="str">
        <f t="shared" si="26"/>
        <v/>
      </c>
      <c r="Y221" s="255" t="str">
        <f>IF(ISNUMBER(SEARCH("C", 'Dry_Litterbag Placem_Collection'!T148)),"YES","NO")</f>
        <v>NO</v>
      </c>
      <c r="Z221" s="255" t="str">
        <f>IF(ISNUMBER(SEARCH("H", 'Dry_Litterbag Placem_Collection'!T148)),"YES","NO")</f>
        <v>YES</v>
      </c>
      <c r="AA221" s="255" t="str">
        <f>IF(ISNUMBER(SEARCH("R", 'Dry_Litterbag Placem_Collection'!T148)),"YES","NO")</f>
        <v>NO</v>
      </c>
      <c r="AB221" s="255" t="str">
        <f>IF(ISNUMBER(SEARCH("C", 'Dry_Litterbag Placem_Collection'!S148)),"YES","NO")</f>
        <v>NO</v>
      </c>
      <c r="AC221" s="255" t="str">
        <f>IF(ISNUMBER(SEARCH("H", 'Dry_Litterbag Placem_Collection'!S148)),"YES","NO")</f>
        <v>NO</v>
      </c>
      <c r="AD221" s="255" t="str">
        <f>IF(ISNUMBER(SEARCH("R", 'Dry_Litterbag Placem_Collection'!S148)),"YES","NO")</f>
        <v>NO</v>
      </c>
    </row>
    <row r="222" spans="2:30">
      <c r="B222" t="str">
        <f>'Final data_for_R_analysis_Dryse'!A148</f>
        <v>Dry</v>
      </c>
      <c r="C222" s="263">
        <f>'Final data_for_R_analysis_Dryse'!B148</f>
        <v>147</v>
      </c>
      <c r="D222" t="s">
        <v>3849</v>
      </c>
      <c r="E222" t="s">
        <v>22</v>
      </c>
      <c r="F222" s="386">
        <v>3</v>
      </c>
      <c r="G222" s="16">
        <f>'Dry_Litterbag Placem_Collection'!E149</f>
        <v>42939</v>
      </c>
      <c r="H222" t="str">
        <f>'Final data_for_R_analysis_Dryse'!J148</f>
        <v>G15</v>
      </c>
      <c r="I222" t="str">
        <f>'Final data_for_R_analysis_Dryse'!J368</f>
        <v>R832</v>
      </c>
      <c r="J222">
        <f>IFERROR(INDEX('Green_rooibos initial weight'!$C$5:$C$1749,MATCH(H222, 'Green_rooibos initial weight'!$A$5:$A$1749,0)),"")</f>
        <v>2.0510000000000002</v>
      </c>
      <c r="K222">
        <f>IFERROR(INDEX('Green_rooibos initial weight'!$C$5:$C$1749,MATCH(I222, 'Green_rooibos initial weight'!$A$5:$A$1749,0)),"")</f>
        <v>2.2149999999999999</v>
      </c>
      <c r="L222" s="195">
        <f t="shared" si="21"/>
        <v>1.8012000000000001</v>
      </c>
      <c r="M222" s="195">
        <f t="shared" si="22"/>
        <v>1.9651999999999998</v>
      </c>
      <c r="N222" s="16">
        <f>IF('Dry_Litterbag Placem_Collection'!G149="N.A","",'Dry_Litterbag Placem_Collection'!G149)</f>
        <v>43010</v>
      </c>
      <c r="O222" s="195">
        <f>IF(IFERROR(INDEX('Both teabags AfterDry'!$D$1:$D$839,MATCH(H222,'Both teabags AfterDry'!$A$1:$A$839,0)),"")="N.A","",(IFERROR(INDEX('Both teabags AfterDry'!$D$1:$D$839,MATCH(H222,'Both teabags AfterDry'!$A$1:$A$839,0)),"")))</f>
        <v>1.6711</v>
      </c>
      <c r="P222" s="195">
        <f>IF(IFERROR(INDEX('Both teabags AfterDry'!$D$1:$D$839,MATCH(I222,'Both teabags AfterDry'!$A$1:$A$839,0)),"")="N.A","",(IFERROR(INDEX('Both teabags AfterDry'!$D$1:$D$839,MATCH(I222,'Both teabags AfterDry'!$A$1:$A$839,0)),"")))</f>
        <v>1.7279</v>
      </c>
      <c r="Q222" s="195">
        <f t="shared" si="23"/>
        <v>1.5205</v>
      </c>
      <c r="R222" s="195">
        <f t="shared" si="23"/>
        <v>1.5772999999999999</v>
      </c>
      <c r="S222" s="195">
        <f t="shared" si="18"/>
        <v>0.15584055074394854</v>
      </c>
      <c r="T222" s="195">
        <f t="shared" si="24"/>
        <v>0.10216625179413252</v>
      </c>
      <c r="U222" s="195">
        <f t="shared" si="19"/>
        <v>0.80261550987176877</v>
      </c>
      <c r="V222">
        <f t="shared" si="20"/>
        <v>71</v>
      </c>
      <c r="W222" s="195">
        <f t="shared" si="25"/>
        <v>0.81491621051787588</v>
      </c>
      <c r="X222" s="195" t="str">
        <f t="shared" si="26"/>
        <v/>
      </c>
      <c r="Y222" s="255" t="str">
        <f>IF(ISNUMBER(SEARCH("C", 'Dry_Litterbag Placem_Collection'!T149)),"YES","NO")</f>
        <v>NO</v>
      </c>
      <c r="Z222" s="255" t="str">
        <f>IF(ISNUMBER(SEARCH("H", 'Dry_Litterbag Placem_Collection'!T149)),"YES","NO")</f>
        <v>YES</v>
      </c>
      <c r="AA222" s="255" t="str">
        <f>IF(ISNUMBER(SEARCH("R", 'Dry_Litterbag Placem_Collection'!T149)),"YES","NO")</f>
        <v>NO</v>
      </c>
      <c r="AB222" s="255" t="str">
        <f>IF(ISNUMBER(SEARCH("C", 'Dry_Litterbag Placem_Collection'!S149)),"YES","NO")</f>
        <v>NO</v>
      </c>
      <c r="AC222" s="255" t="str">
        <f>IF(ISNUMBER(SEARCH("H", 'Dry_Litterbag Placem_Collection'!S149)),"YES","NO")</f>
        <v>NO</v>
      </c>
      <c r="AD222" s="255" t="str">
        <f>IF(ISNUMBER(SEARCH("R", 'Dry_Litterbag Placem_Collection'!S149)),"YES","NO")</f>
        <v>NO</v>
      </c>
    </row>
    <row r="223" spans="2:30">
      <c r="B223" t="str">
        <f>'Final data_for_R_analysis_Dryse'!A149</f>
        <v>Dry</v>
      </c>
      <c r="C223" s="263">
        <f>'Final data_for_R_analysis_Dryse'!B149</f>
        <v>148</v>
      </c>
      <c r="D223" t="s">
        <v>3849</v>
      </c>
      <c r="E223" t="s">
        <v>22</v>
      </c>
      <c r="F223" s="387">
        <v>4</v>
      </c>
      <c r="G223" s="16">
        <f>'Dry_Litterbag Placem_Collection'!E150</f>
        <v>42939</v>
      </c>
      <c r="H223" t="str">
        <f>'Final data_for_R_analysis_Dryse'!J149</f>
        <v>G290</v>
      </c>
      <c r="I223" t="str">
        <f>'Final data_for_R_analysis_Dryse'!J369</f>
        <v>R823</v>
      </c>
      <c r="J223">
        <f>IFERROR(INDEX('Green_rooibos initial weight'!$C$5:$C$1749,MATCH(H223, 'Green_rooibos initial weight'!$A$5:$A$1749,0)),"")</f>
        <v>2.0539999999999998</v>
      </c>
      <c r="K223">
        <f>IFERROR(INDEX('Green_rooibos initial weight'!$C$5:$C$1749,MATCH(I223, 'Green_rooibos initial weight'!$A$5:$A$1749,0)),"")</f>
        <v>2.214</v>
      </c>
      <c r="L223" s="195">
        <f t="shared" si="21"/>
        <v>1.8041999999999998</v>
      </c>
      <c r="M223" s="195">
        <f t="shared" si="22"/>
        <v>1.9641999999999999</v>
      </c>
      <c r="N223" s="16">
        <f>IF('Dry_Litterbag Placem_Collection'!G150="N.A","",'Dry_Litterbag Placem_Collection'!G150)</f>
        <v>43010</v>
      </c>
      <c r="O223" s="195">
        <f>IF(IFERROR(INDEX('Both teabags AfterDry'!$D$1:$D$839,MATCH(H223,'Both teabags AfterDry'!$A$1:$A$839,0)),"")="N.A","",(IFERROR(INDEX('Both teabags AfterDry'!$D$1:$D$839,MATCH(H223,'Both teabags AfterDry'!$A$1:$A$839,0)),"")))</f>
        <v>1.6564000000000001</v>
      </c>
      <c r="P223" s="195">
        <f>IF(IFERROR(INDEX('Both teabags AfterDry'!$D$1:$D$839,MATCH(I223,'Both teabags AfterDry'!$A$1:$A$839,0)),"")="N.A","",(IFERROR(INDEX('Both teabags AfterDry'!$D$1:$D$839,MATCH(I223,'Both teabags AfterDry'!$A$1:$A$839,0)),"")))</f>
        <v>0</v>
      </c>
      <c r="Q223" s="195">
        <f t="shared" si="23"/>
        <v>1.5058</v>
      </c>
      <c r="R223" s="195" t="str">
        <f t="shared" si="23"/>
        <v/>
      </c>
      <c r="S223" s="195">
        <f t="shared" si="18"/>
        <v>0.16539186342977485</v>
      </c>
      <c r="T223" s="195">
        <f t="shared" si="24"/>
        <v>0.10842791996821349</v>
      </c>
      <c r="U223" s="195" t="str">
        <f t="shared" si="19"/>
        <v/>
      </c>
      <c r="V223">
        <f t="shared" si="20"/>
        <v>71</v>
      </c>
      <c r="W223" s="195">
        <f t="shared" si="25"/>
        <v>0.80357260875323644</v>
      </c>
      <c r="X223" s="195" t="str">
        <f t="shared" si="26"/>
        <v/>
      </c>
      <c r="Y223" s="255" t="str">
        <f>IF(ISNUMBER(SEARCH("C", 'Dry_Litterbag Placem_Collection'!T150)),"YES","NO")</f>
        <v>YES</v>
      </c>
      <c r="Z223" s="255" t="str">
        <f>IF(ISNUMBER(SEARCH("H", 'Dry_Litterbag Placem_Collection'!T150)),"YES","NO")</f>
        <v>YES</v>
      </c>
      <c r="AA223" s="255" t="str">
        <f>IF(ISNUMBER(SEARCH("R", 'Dry_Litterbag Placem_Collection'!T150)),"YES","NO")</f>
        <v>NO</v>
      </c>
      <c r="AB223" s="255" t="str">
        <f>IF(ISNUMBER(SEARCH("C", 'Dry_Litterbag Placem_Collection'!S150)),"YES","NO")</f>
        <v>NO</v>
      </c>
      <c r="AC223" s="255" t="str">
        <f>IF(ISNUMBER(SEARCH("H", 'Dry_Litterbag Placem_Collection'!S150)),"YES","NO")</f>
        <v>NO</v>
      </c>
      <c r="AD223" s="255" t="str">
        <f>IF(ISNUMBER(SEARCH("R", 'Dry_Litterbag Placem_Collection'!S150)),"YES","NO")</f>
        <v>NO</v>
      </c>
    </row>
    <row r="224" spans="2:30">
      <c r="B224" t="str">
        <f>'Final data_for_R_analysis_Dryse'!A150</f>
        <v>Dry</v>
      </c>
      <c r="C224" s="263">
        <f>'Final data_for_R_analysis_Dryse'!B150</f>
        <v>149</v>
      </c>
      <c r="D224" t="s">
        <v>3849</v>
      </c>
      <c r="E224" t="s">
        <v>22</v>
      </c>
      <c r="F224" s="387">
        <v>5</v>
      </c>
      <c r="G224" s="16">
        <f>'Dry_Litterbag Placem_Collection'!E151</f>
        <v>42939</v>
      </c>
      <c r="H224" t="str">
        <f>'Final data_for_R_analysis_Dryse'!J150</f>
        <v>G194</v>
      </c>
      <c r="I224" t="str">
        <f>'Final data_for_R_analysis_Dryse'!J370</f>
        <v>R703</v>
      </c>
      <c r="J224">
        <f>IFERROR(INDEX('Green_rooibos initial weight'!$C$5:$C$1749,MATCH(H224, 'Green_rooibos initial weight'!$A$5:$A$1749,0)),"")</f>
        <v>2.032</v>
      </c>
      <c r="K224">
        <f>IFERROR(INDEX('Green_rooibos initial weight'!$C$5:$C$1749,MATCH(I224, 'Green_rooibos initial weight'!$A$5:$A$1749,0)),"")</f>
        <v>2.1379999999999999</v>
      </c>
      <c r="L224" s="195">
        <f t="shared" si="21"/>
        <v>1.7822</v>
      </c>
      <c r="M224" s="195">
        <f t="shared" si="22"/>
        <v>1.8881999999999999</v>
      </c>
      <c r="N224" s="16">
        <f>IF('Dry_Litterbag Placem_Collection'!G151="N.A","",'Dry_Litterbag Placem_Collection'!G151)</f>
        <v>43010</v>
      </c>
      <c r="O224" s="195">
        <f>IF(IFERROR(INDEX('Both teabags AfterDry'!$D$1:$D$839,MATCH(H224,'Both teabags AfterDry'!$A$1:$A$839,0)),"")="N.A","",(IFERROR(INDEX('Both teabags AfterDry'!$D$1:$D$839,MATCH(H224,'Both teabags AfterDry'!$A$1:$A$839,0)),"")))</f>
        <v>1.56</v>
      </c>
      <c r="P224" s="195">
        <f>IF(IFERROR(INDEX('Both teabags AfterDry'!$D$1:$D$839,MATCH(I224,'Both teabags AfterDry'!$A$1:$A$839,0)),"")="N.A","",(IFERROR(INDEX('Both teabags AfterDry'!$D$1:$D$839,MATCH(I224,'Both teabags AfterDry'!$A$1:$A$839,0)),"")))</f>
        <v>1.9032</v>
      </c>
      <c r="Q224" s="195">
        <f t="shared" si="23"/>
        <v>1.4094</v>
      </c>
      <c r="R224" s="195">
        <f t="shared" si="23"/>
        <v>1.7525999999999999</v>
      </c>
      <c r="S224" s="195">
        <f t="shared" si="18"/>
        <v>0.20917966558186507</v>
      </c>
      <c r="T224" s="195">
        <f t="shared" si="24"/>
        <v>0.13713441259048639</v>
      </c>
      <c r="U224" s="195">
        <f t="shared" si="19"/>
        <v>0.92818557356212272</v>
      </c>
      <c r="V224">
        <f t="shared" si="20"/>
        <v>71</v>
      </c>
      <c r="W224" s="195">
        <f t="shared" si="25"/>
        <v>0.75156809313317685</v>
      </c>
      <c r="X224" s="195">
        <f t="shared" si="26"/>
        <v>1.0445964824515555E-2</v>
      </c>
      <c r="Y224" s="255" t="str">
        <f>IF(ISNUMBER(SEARCH("C", 'Dry_Litterbag Placem_Collection'!T151)),"YES","NO")</f>
        <v>NO</v>
      </c>
      <c r="Z224" s="255" t="str">
        <f>IF(ISNUMBER(SEARCH("H", 'Dry_Litterbag Placem_Collection'!T151)),"YES","NO")</f>
        <v>NO</v>
      </c>
      <c r="AA224" s="255" t="str">
        <f>IF(ISNUMBER(SEARCH("R", 'Dry_Litterbag Placem_Collection'!T151)),"YES","NO")</f>
        <v>NO</v>
      </c>
      <c r="AB224" s="255" t="str">
        <f>IF(ISNUMBER(SEARCH("C", 'Dry_Litterbag Placem_Collection'!S151)),"YES","NO")</f>
        <v>NO</v>
      </c>
      <c r="AC224" s="255" t="str">
        <f>IF(ISNUMBER(SEARCH("H", 'Dry_Litterbag Placem_Collection'!S151)),"YES","NO")</f>
        <v>NO</v>
      </c>
      <c r="AD224" s="255" t="str">
        <f>IF(ISNUMBER(SEARCH("R", 'Dry_Litterbag Placem_Collection'!S151)),"YES","NO")</f>
        <v>NO</v>
      </c>
    </row>
    <row r="225" spans="2:30">
      <c r="B225" t="str">
        <f>'Final data_for_R_analysis_Dryse'!A151</f>
        <v>Dry</v>
      </c>
      <c r="C225" s="263">
        <f>'Final data_for_R_analysis_Dryse'!B151</f>
        <v>150</v>
      </c>
      <c r="D225" t="s">
        <v>3849</v>
      </c>
      <c r="E225" t="s">
        <v>22</v>
      </c>
      <c r="F225" s="387">
        <v>6</v>
      </c>
      <c r="G225" s="16">
        <f>'Dry_Litterbag Placem_Collection'!E152</f>
        <v>42939</v>
      </c>
      <c r="H225" t="str">
        <f>'Final data_for_R_analysis_Dryse'!J151</f>
        <v>G272</v>
      </c>
      <c r="I225" t="str">
        <f>'Final data_for_R_analysis_Dryse'!J371</f>
        <v>R668</v>
      </c>
      <c r="J225">
        <f>IFERROR(INDEX('Green_rooibos initial weight'!$C$5:$C$1749,MATCH(H225, 'Green_rooibos initial weight'!$A$5:$A$1749,0)),"")</f>
        <v>2.0649999999999999</v>
      </c>
      <c r="K225">
        <f>IFERROR(INDEX('Green_rooibos initial weight'!$C$5:$C$1749,MATCH(I225, 'Green_rooibos initial weight'!$A$5:$A$1749,0)),"")</f>
        <v>2.1419999999999999</v>
      </c>
      <c r="L225" s="195">
        <f t="shared" si="21"/>
        <v>1.8151999999999999</v>
      </c>
      <c r="M225" s="195">
        <f t="shared" si="22"/>
        <v>1.8921999999999999</v>
      </c>
      <c r="N225" s="16">
        <f>IF('Dry_Litterbag Placem_Collection'!G152="N.A","",'Dry_Litterbag Placem_Collection'!G152)</f>
        <v>43010</v>
      </c>
      <c r="O225" s="195" t="str">
        <f>IF(IFERROR(INDEX('Both teabags AfterDry'!$D$1:$D$839,MATCH(H225,'Both teabags AfterDry'!$A$1:$A$839,0)),"")="N.A","",(IFERROR(INDEX('Both teabags AfterDry'!$D$1:$D$839,MATCH(H225,'Both teabags AfterDry'!$A$1:$A$839,0)),"")))</f>
        <v/>
      </c>
      <c r="P225" s="195" t="str">
        <f>IF(IFERROR(INDEX('Both teabags AfterDry'!$D$1:$D$839,MATCH(I225,'Both teabags AfterDry'!$A$1:$A$839,0)),"")="N.A","",(IFERROR(INDEX('Both teabags AfterDry'!$D$1:$D$839,MATCH(I225,'Both teabags AfterDry'!$A$1:$A$839,0)),"")))</f>
        <v/>
      </c>
      <c r="Q225" s="195" t="str">
        <f t="shared" si="23"/>
        <v/>
      </c>
      <c r="R225" s="195" t="str">
        <f t="shared" si="23"/>
        <v/>
      </c>
      <c r="S225" s="195" t="str">
        <f t="shared" si="18"/>
        <v/>
      </c>
      <c r="T225" s="195" t="str">
        <f t="shared" si="24"/>
        <v/>
      </c>
      <c r="U225" s="195" t="str">
        <f t="shared" si="19"/>
        <v/>
      </c>
      <c r="V225">
        <f t="shared" si="20"/>
        <v>71</v>
      </c>
      <c r="W225" s="195" t="str">
        <f t="shared" si="25"/>
        <v/>
      </c>
      <c r="X225" s="195" t="str">
        <f t="shared" si="26"/>
        <v/>
      </c>
      <c r="Y225" s="255" t="str">
        <f>IF(ISNUMBER(SEARCH("C", 'Dry_Litterbag Placem_Collection'!T152)),"YES","NO")</f>
        <v>NO</v>
      </c>
      <c r="Z225" s="255" t="str">
        <f>IF(ISNUMBER(SEARCH("H", 'Dry_Litterbag Placem_Collection'!T152)),"YES","NO")</f>
        <v>YES</v>
      </c>
      <c r="AA225" s="255" t="str">
        <f>IF(ISNUMBER(SEARCH("R", 'Dry_Litterbag Placem_Collection'!T152)),"YES","NO")</f>
        <v>NO</v>
      </c>
      <c r="AB225" s="255" t="str">
        <f>IF(ISNUMBER(SEARCH("C", 'Dry_Litterbag Placem_Collection'!S152)),"YES","NO")</f>
        <v>NO</v>
      </c>
      <c r="AC225" s="255" t="str">
        <f>IF(ISNUMBER(SEARCH("H", 'Dry_Litterbag Placem_Collection'!S152)),"YES","NO")</f>
        <v>YES</v>
      </c>
      <c r="AD225" s="255" t="str">
        <f>IF(ISNUMBER(SEARCH("R", 'Dry_Litterbag Placem_Collection'!S152)),"YES","NO")</f>
        <v>NO</v>
      </c>
    </row>
    <row r="226" spans="2:30">
      <c r="B226" t="str">
        <f>'Final data_for_R_analysis_Dryse'!A152</f>
        <v>Dry</v>
      </c>
      <c r="C226" s="263">
        <f>'Final data_for_R_analysis_Dryse'!B152</f>
        <v>151</v>
      </c>
      <c r="D226" t="s">
        <v>3849</v>
      </c>
      <c r="E226" t="s">
        <v>22</v>
      </c>
      <c r="F226" s="387">
        <v>7</v>
      </c>
      <c r="G226" s="16">
        <f>'Dry_Litterbag Placem_Collection'!E153</f>
        <v>0</v>
      </c>
      <c r="H226" t="str">
        <f>'Final data_for_R_analysis_Dryse'!J152</f>
        <v/>
      </c>
      <c r="I226" t="str">
        <f>'Final data_for_R_analysis_Dryse'!J372</f>
        <v/>
      </c>
      <c r="J226" t="str">
        <f>IFERROR(INDEX('Green_rooibos initial weight'!$C$5:$C$1749,MATCH(H226, 'Green_rooibos initial weight'!$A$5:$A$1749,0)),"")</f>
        <v/>
      </c>
      <c r="K226" t="str">
        <f>IFERROR(INDEX('Green_rooibos initial weight'!$C$5:$C$1749,MATCH(I226, 'Green_rooibos initial weight'!$A$5:$A$1749,0)),"")</f>
        <v/>
      </c>
      <c r="L226" s="195" t="str">
        <f t="shared" si="21"/>
        <v/>
      </c>
      <c r="M226" s="195" t="str">
        <f t="shared" si="22"/>
        <v/>
      </c>
      <c r="N226" s="16">
        <f>IF('Dry_Litterbag Placem_Collection'!G153="N.A","",'Dry_Litterbag Placem_Collection'!G153)</f>
        <v>0</v>
      </c>
      <c r="O226" s="195" t="str">
        <f>IF(IFERROR(INDEX('Both teabags AfterDry'!$D$1:$D$839,MATCH(H226,'Both teabags AfterDry'!$A$1:$A$839,0)),"")="N.A","",(IFERROR(INDEX('Both teabags AfterDry'!$D$1:$D$839,MATCH(H226,'Both teabags AfterDry'!$A$1:$A$839,0)),"")))</f>
        <v/>
      </c>
      <c r="P226" s="195" t="str">
        <f>IF(IFERROR(INDEX('Both teabags AfterDry'!$D$1:$D$839,MATCH(I226,'Both teabags AfterDry'!$A$1:$A$839,0)),"")="N.A","",(IFERROR(INDEX('Both teabags AfterDry'!$D$1:$D$839,MATCH(I226,'Both teabags AfterDry'!$A$1:$A$839,0)),"")))</f>
        <v/>
      </c>
      <c r="Q226" s="195" t="str">
        <f t="shared" si="23"/>
        <v/>
      </c>
      <c r="R226" s="195" t="str">
        <f t="shared" si="23"/>
        <v/>
      </c>
      <c r="S226" s="195" t="str">
        <f t="shared" si="18"/>
        <v/>
      </c>
      <c r="T226" s="195" t="str">
        <f t="shared" si="24"/>
        <v/>
      </c>
      <c r="U226" s="195" t="str">
        <f t="shared" si="19"/>
        <v/>
      </c>
      <c r="V226" t="str">
        <f t="shared" si="20"/>
        <v/>
      </c>
      <c r="W226" s="195" t="str">
        <f t="shared" si="25"/>
        <v/>
      </c>
      <c r="X226" s="195" t="str">
        <f t="shared" si="26"/>
        <v/>
      </c>
      <c r="Y226" s="255" t="str">
        <f>IF(ISNUMBER(SEARCH("C", 'Dry_Litterbag Placem_Collection'!T153)),"YES","NO")</f>
        <v>NO</v>
      </c>
      <c r="Z226" s="255" t="str">
        <f>IF(ISNUMBER(SEARCH("H", 'Dry_Litterbag Placem_Collection'!T153)),"YES","NO")</f>
        <v>NO</v>
      </c>
      <c r="AA226" s="255" t="str">
        <f>IF(ISNUMBER(SEARCH("R", 'Dry_Litterbag Placem_Collection'!T153)),"YES","NO")</f>
        <v>NO</v>
      </c>
      <c r="AB226" s="255" t="str">
        <f>IF(ISNUMBER(SEARCH("C", 'Dry_Litterbag Placem_Collection'!S153)),"YES","NO")</f>
        <v>NO</v>
      </c>
      <c r="AC226" s="255" t="str">
        <f>IF(ISNUMBER(SEARCH("H", 'Dry_Litterbag Placem_Collection'!S153)),"YES","NO")</f>
        <v>NO</v>
      </c>
      <c r="AD226" s="255" t="str">
        <f>IF(ISNUMBER(SEARCH("R", 'Dry_Litterbag Placem_Collection'!S153)),"YES","NO")</f>
        <v>NO</v>
      </c>
    </row>
    <row r="227" spans="2:30">
      <c r="B227" t="str">
        <f>'Final data_for_R_analysis_Dryse'!A153</f>
        <v>Dry</v>
      </c>
      <c r="C227" s="263">
        <f>'Final data_for_R_analysis_Dryse'!B153</f>
        <v>152</v>
      </c>
      <c r="D227" t="s">
        <v>3849</v>
      </c>
      <c r="E227" t="s">
        <v>22</v>
      </c>
      <c r="F227" s="387">
        <v>8</v>
      </c>
      <c r="G227" s="16">
        <f>'Dry_Litterbag Placem_Collection'!E154</f>
        <v>42939</v>
      </c>
      <c r="H227" t="str">
        <f>'Final data_for_R_analysis_Dryse'!J153</f>
        <v>G198</v>
      </c>
      <c r="I227" t="str">
        <f>'Final data_for_R_analysis_Dryse'!J373</f>
        <v>R788</v>
      </c>
      <c r="J227">
        <f>IFERROR(INDEX('Green_rooibos initial weight'!$C$5:$C$1749,MATCH(H227, 'Green_rooibos initial weight'!$A$5:$A$1749,0)),"")</f>
        <v>1.931</v>
      </c>
      <c r="K227">
        <f>IFERROR(INDEX('Green_rooibos initial weight'!$C$5:$C$1749,MATCH(I227, 'Green_rooibos initial weight'!$A$5:$A$1749,0)),"")</f>
        <v>2.1869999999999998</v>
      </c>
      <c r="L227" s="195">
        <f t="shared" si="21"/>
        <v>1.6812</v>
      </c>
      <c r="M227" s="195">
        <f t="shared" si="22"/>
        <v>1.9371999999999998</v>
      </c>
      <c r="N227" s="16">
        <f>IF('Dry_Litterbag Placem_Collection'!G154="N.A","",'Dry_Litterbag Placem_Collection'!G154)</f>
        <v>43010</v>
      </c>
      <c r="O227" s="195">
        <f>IF(IFERROR(INDEX('Both teabags AfterDry'!$D$1:$D$839,MATCH(H227,'Both teabags AfterDry'!$A$1:$A$839,0)),"")="N.A","",(IFERROR(INDEX('Both teabags AfterDry'!$D$1:$D$839,MATCH(H227,'Both teabags AfterDry'!$A$1:$A$839,0)),"")))</f>
        <v>1.3654999999999999</v>
      </c>
      <c r="P227" s="195">
        <f>IF(IFERROR(INDEX('Both teabags AfterDry'!$D$1:$D$839,MATCH(I227,'Both teabags AfterDry'!$A$1:$A$839,0)),"")="N.A","",(IFERROR(INDEX('Both teabags AfterDry'!$D$1:$D$839,MATCH(I227,'Both teabags AfterDry'!$A$1:$A$839,0)),"")))</f>
        <v>0.43190000000000001</v>
      </c>
      <c r="Q227" s="195">
        <f t="shared" si="23"/>
        <v>1.2148999999999999</v>
      </c>
      <c r="R227" s="195">
        <f t="shared" si="23"/>
        <v>0.28129999999999999</v>
      </c>
      <c r="S227" s="195">
        <f t="shared" si="18"/>
        <v>0.27736140851772551</v>
      </c>
      <c r="T227" s="195">
        <f t="shared" si="24"/>
        <v>0.18183313242492222</v>
      </c>
      <c r="U227" s="195">
        <f t="shared" si="19"/>
        <v>0.14520958083832336</v>
      </c>
      <c r="V227">
        <f t="shared" si="20"/>
        <v>71</v>
      </c>
      <c r="W227" s="195">
        <f t="shared" si="25"/>
        <v>0.67059215140412642</v>
      </c>
      <c r="X227" s="195" t="str">
        <f t="shared" si="26"/>
        <v/>
      </c>
      <c r="Y227" s="255" t="str">
        <f>IF(ISNUMBER(SEARCH("C", 'Dry_Litterbag Placem_Collection'!T154)),"YES","NO")</f>
        <v>NO</v>
      </c>
      <c r="Z227" s="255" t="str">
        <f>IF(ISNUMBER(SEARCH("H", 'Dry_Litterbag Placem_Collection'!T154)),"YES","NO")</f>
        <v>YES</v>
      </c>
      <c r="AA227" s="255" t="str">
        <f>IF(ISNUMBER(SEARCH("R", 'Dry_Litterbag Placem_Collection'!T154)),"YES","NO")</f>
        <v>NO</v>
      </c>
      <c r="AB227" s="255" t="str">
        <f>IF(ISNUMBER(SEARCH("C", 'Dry_Litterbag Placem_Collection'!S154)),"YES","NO")</f>
        <v>YES</v>
      </c>
      <c r="AC227" s="255" t="str">
        <f>IF(ISNUMBER(SEARCH("H", 'Dry_Litterbag Placem_Collection'!S154)),"YES","NO")</f>
        <v>YES</v>
      </c>
      <c r="AD227" s="255" t="str">
        <f>IF(ISNUMBER(SEARCH("R", 'Dry_Litterbag Placem_Collection'!S154)),"YES","NO")</f>
        <v>NO</v>
      </c>
    </row>
    <row r="228" spans="2:30">
      <c r="B228" t="str">
        <f>'Final data_for_R_analysis_Dryse'!A154</f>
        <v>Dry</v>
      </c>
      <c r="C228" s="263">
        <f>'Final data_for_R_analysis_Dryse'!B154</f>
        <v>153</v>
      </c>
      <c r="D228" t="s">
        <v>3850</v>
      </c>
      <c r="E228" t="s">
        <v>22</v>
      </c>
      <c r="F228" s="386">
        <v>1</v>
      </c>
      <c r="G228" s="16">
        <f>'Dry_Litterbag Placem_Collection'!E155</f>
        <v>42939</v>
      </c>
      <c r="H228" t="str">
        <f>'Final data_for_R_analysis_Dryse'!J154</f>
        <v>G197</v>
      </c>
      <c r="I228" t="str">
        <f>'Final data_for_R_analysis_Dryse'!J374</f>
        <v>R735</v>
      </c>
      <c r="J228">
        <f>IFERROR(INDEX('Green_rooibos initial weight'!$C$5:$C$1749,MATCH(H228, 'Green_rooibos initial weight'!$A$5:$A$1749,0)),"")</f>
        <v>2.1120000000000001</v>
      </c>
      <c r="K228">
        <f>IFERROR(INDEX('Green_rooibos initial weight'!$C$5:$C$1749,MATCH(I228, 'Green_rooibos initial weight'!$A$5:$A$1749,0)),"")</f>
        <v>2.12</v>
      </c>
      <c r="L228" s="195">
        <f t="shared" si="21"/>
        <v>1.8622000000000001</v>
      </c>
      <c r="M228" s="195">
        <f t="shared" si="22"/>
        <v>1.8702000000000001</v>
      </c>
      <c r="N228" s="16">
        <f>IF('Dry_Litterbag Placem_Collection'!G155="N.A","",'Dry_Litterbag Placem_Collection'!G155)</f>
        <v>43010</v>
      </c>
      <c r="O228" s="195">
        <f>IF(IFERROR(INDEX('Both teabags AfterDry'!$D$1:$D$839,MATCH(H228,'Both teabags AfterDry'!$A$1:$A$839,0)),"")="N.A","",(IFERROR(INDEX('Both teabags AfterDry'!$D$1:$D$839,MATCH(H228,'Both teabags AfterDry'!$A$1:$A$839,0)),"")))</f>
        <v>1.2847</v>
      </c>
      <c r="P228" s="195">
        <f>IF(IFERROR(INDEX('Both teabags AfterDry'!$D$1:$D$839,MATCH(I228,'Both teabags AfterDry'!$A$1:$A$839,0)),"")="N.A","",(IFERROR(INDEX('Both teabags AfterDry'!$D$1:$D$839,MATCH(I228,'Both teabags AfterDry'!$A$1:$A$839,0)),"")))</f>
        <v>1.0566</v>
      </c>
      <c r="Q228" s="195">
        <f t="shared" si="23"/>
        <v>1.1340999999999999</v>
      </c>
      <c r="R228" s="195">
        <f t="shared" si="23"/>
        <v>0.90599999999999992</v>
      </c>
      <c r="S228" s="195">
        <f t="shared" si="18"/>
        <v>0.39098915261518641</v>
      </c>
      <c r="T228" s="195">
        <f t="shared" si="24"/>
        <v>0.25632543021803195</v>
      </c>
      <c r="U228" s="195">
        <f t="shared" si="19"/>
        <v>0.48444016682707725</v>
      </c>
      <c r="V228">
        <f t="shared" si="20"/>
        <v>71</v>
      </c>
      <c r="W228" s="195">
        <f t="shared" si="25"/>
        <v>0.53564233656153637</v>
      </c>
      <c r="X228" s="195" t="str">
        <f t="shared" si="26"/>
        <v/>
      </c>
      <c r="Y228" s="255" t="str">
        <f>IF(ISNUMBER(SEARCH("C", 'Dry_Litterbag Placem_Collection'!T155)),"YES","NO")</f>
        <v>YES</v>
      </c>
      <c r="Z228" s="255" t="str">
        <f>IF(ISNUMBER(SEARCH("H", 'Dry_Litterbag Placem_Collection'!T155)),"YES","NO")</f>
        <v>YES</v>
      </c>
      <c r="AA228" s="255" t="str">
        <f>IF(ISNUMBER(SEARCH("R", 'Dry_Litterbag Placem_Collection'!T155)),"YES","NO")</f>
        <v>NO</v>
      </c>
      <c r="AB228" s="255" t="str">
        <f>IF(ISNUMBER(SEARCH("C", 'Dry_Litterbag Placem_Collection'!S155)),"YES","NO")</f>
        <v>YES</v>
      </c>
      <c r="AC228" s="255" t="str">
        <f>IF(ISNUMBER(SEARCH("H", 'Dry_Litterbag Placem_Collection'!S155)),"YES","NO")</f>
        <v>YES</v>
      </c>
      <c r="AD228" s="255" t="str">
        <f>IF(ISNUMBER(SEARCH("R", 'Dry_Litterbag Placem_Collection'!S155)),"YES","NO")</f>
        <v>NO</v>
      </c>
    </row>
    <row r="229" spans="2:30">
      <c r="B229" t="str">
        <f>'Final data_for_R_analysis_Dryse'!A155</f>
        <v>Dry</v>
      </c>
      <c r="C229" s="263">
        <f>'Final data_for_R_analysis_Dryse'!B155</f>
        <v>154</v>
      </c>
      <c r="D229" t="s">
        <v>3850</v>
      </c>
      <c r="E229" t="s">
        <v>22</v>
      </c>
      <c r="F229" s="386">
        <v>2</v>
      </c>
      <c r="G229" s="16">
        <f>'Dry_Litterbag Placem_Collection'!E156</f>
        <v>42939</v>
      </c>
      <c r="H229" t="str">
        <f>'Final data_for_R_analysis_Dryse'!J155</f>
        <v>G127</v>
      </c>
      <c r="I229" t="str">
        <f>'Final data_for_R_analysis_Dryse'!J375</f>
        <v>R836</v>
      </c>
      <c r="J229">
        <f>IFERROR(INDEX('Green_rooibos initial weight'!$C$5:$C$1749,MATCH(H229, 'Green_rooibos initial weight'!$A$5:$A$1749,0)),"")</f>
        <v>1.9490000000000001</v>
      </c>
      <c r="K229">
        <f>IFERROR(INDEX('Green_rooibos initial weight'!$C$5:$C$1749,MATCH(I229, 'Green_rooibos initial weight'!$A$5:$A$1749,0)),"")</f>
        <v>2.2000000000000002</v>
      </c>
      <c r="L229" s="195">
        <f t="shared" si="21"/>
        <v>1.6992</v>
      </c>
      <c r="M229" s="195">
        <f t="shared" si="22"/>
        <v>1.9502000000000002</v>
      </c>
      <c r="N229" s="16">
        <f>IF('Dry_Litterbag Placem_Collection'!G156="N.A","",'Dry_Litterbag Placem_Collection'!G156)</f>
        <v>43010</v>
      </c>
      <c r="O229" s="195">
        <f>IF(IFERROR(INDEX('Both teabags AfterDry'!$D$1:$D$839,MATCH(H229,'Both teabags AfterDry'!$A$1:$A$839,0)),"")="N.A","",(IFERROR(INDEX('Both teabags AfterDry'!$D$1:$D$839,MATCH(H229,'Both teabags AfterDry'!$A$1:$A$839,0)),"")))</f>
        <v>1.1896</v>
      </c>
      <c r="P229" s="195">
        <f>IF(IFERROR(INDEX('Both teabags AfterDry'!$D$1:$D$839,MATCH(I229,'Both teabags AfterDry'!$A$1:$A$839,0)),"")="N.A","",(IFERROR(INDEX('Both teabags AfterDry'!$D$1:$D$839,MATCH(I229,'Both teabags AfterDry'!$A$1:$A$839,0)),"")))</f>
        <v>0.62509999999999999</v>
      </c>
      <c r="Q229" s="195">
        <f t="shared" si="23"/>
        <v>1.0389999999999999</v>
      </c>
      <c r="R229" s="195">
        <f t="shared" si="23"/>
        <v>0.47449999999999998</v>
      </c>
      <c r="S229" s="195">
        <f t="shared" si="18"/>
        <v>0.38853578154425616</v>
      </c>
      <c r="T229" s="195">
        <f t="shared" si="24"/>
        <v>0.25471704443281407</v>
      </c>
      <c r="U229" s="195">
        <f t="shared" si="19"/>
        <v>0.243308378627833</v>
      </c>
      <c r="V229">
        <f t="shared" si="20"/>
        <v>71</v>
      </c>
      <c r="W229" s="195">
        <f t="shared" si="25"/>
        <v>0.5385560789260615</v>
      </c>
      <c r="X229" s="195" t="str">
        <f t="shared" si="26"/>
        <v/>
      </c>
      <c r="Y229" s="255" t="str">
        <f>IF(ISNUMBER(SEARCH("C", 'Dry_Litterbag Placem_Collection'!T156)),"YES","NO")</f>
        <v>NO</v>
      </c>
      <c r="Z229" s="255" t="str">
        <f>IF(ISNUMBER(SEARCH("H", 'Dry_Litterbag Placem_Collection'!T156)),"YES","NO")</f>
        <v>YES</v>
      </c>
      <c r="AA229" s="255" t="str">
        <f>IF(ISNUMBER(SEARCH("R", 'Dry_Litterbag Placem_Collection'!T156)),"YES","NO")</f>
        <v>NO</v>
      </c>
      <c r="AB229" s="255" t="str">
        <f>IF(ISNUMBER(SEARCH("C", 'Dry_Litterbag Placem_Collection'!S156)),"YES","NO")</f>
        <v>YES</v>
      </c>
      <c r="AC229" s="255" t="str">
        <f>IF(ISNUMBER(SEARCH("H", 'Dry_Litterbag Placem_Collection'!S156)),"YES","NO")</f>
        <v>YES</v>
      </c>
      <c r="AD229" s="255" t="str">
        <f>IF(ISNUMBER(SEARCH("R", 'Dry_Litterbag Placem_Collection'!S156)),"YES","NO")</f>
        <v>NO</v>
      </c>
    </row>
    <row r="230" spans="2:30">
      <c r="B230" t="str">
        <f>'Final data_for_R_analysis_Dryse'!A156</f>
        <v>Dry</v>
      </c>
      <c r="C230" s="263">
        <f>'Final data_for_R_analysis_Dryse'!B156</f>
        <v>155</v>
      </c>
      <c r="D230" t="s">
        <v>3850</v>
      </c>
      <c r="E230" t="s">
        <v>22</v>
      </c>
      <c r="F230" s="386">
        <v>3</v>
      </c>
      <c r="G230" s="16">
        <f>'Dry_Litterbag Placem_Collection'!E157</f>
        <v>42939</v>
      </c>
      <c r="H230" t="str">
        <f>'Final data_for_R_analysis_Dryse'!J156</f>
        <v>G253</v>
      </c>
      <c r="I230" t="str">
        <f>'Final data_for_R_analysis_Dryse'!J376</f>
        <v>R337</v>
      </c>
      <c r="J230">
        <f>IFERROR(INDEX('Green_rooibos initial weight'!$C$5:$C$1749,MATCH(H230, 'Green_rooibos initial weight'!$A$5:$A$1749,0)),"")</f>
        <v>2.0169999999999999</v>
      </c>
      <c r="K230">
        <f>IFERROR(INDEX('Green_rooibos initial weight'!$C$5:$C$1749,MATCH(I230, 'Green_rooibos initial weight'!$A$5:$A$1749,0)),"")</f>
        <v>2.2309999999999999</v>
      </c>
      <c r="L230" s="195">
        <f t="shared" si="21"/>
        <v>1.7671999999999999</v>
      </c>
      <c r="M230" s="195">
        <f t="shared" si="22"/>
        <v>1.9811999999999999</v>
      </c>
      <c r="N230" s="16">
        <f>IF('Dry_Litterbag Placem_Collection'!G157="N.A","",'Dry_Litterbag Placem_Collection'!G157)</f>
        <v>43010</v>
      </c>
      <c r="O230" s="195">
        <f>IF(IFERROR(INDEX('Both teabags AfterDry'!$D$1:$D$839,MATCH(H230,'Both teabags AfterDry'!$A$1:$A$839,0)),"")="N.A","",(IFERROR(INDEX('Both teabags AfterDry'!$D$1:$D$839,MATCH(H230,'Both teabags AfterDry'!$A$1:$A$839,0)),"")))</f>
        <v>1.2484</v>
      </c>
      <c r="P230" s="195">
        <f>IF(IFERROR(INDEX('Both teabags AfterDry'!$D$1:$D$839,MATCH(I230,'Both teabags AfterDry'!$A$1:$A$839,0)),"")="N.A","",(IFERROR(INDEX('Both teabags AfterDry'!$D$1:$D$839,MATCH(I230,'Both teabags AfterDry'!$A$1:$A$839,0)),"")))</f>
        <v>1.8893</v>
      </c>
      <c r="Q230" s="195">
        <f t="shared" si="23"/>
        <v>1.0977999999999999</v>
      </c>
      <c r="R230" s="195">
        <f t="shared" si="23"/>
        <v>1.7386999999999999</v>
      </c>
      <c r="S230" s="195">
        <f t="shared" si="18"/>
        <v>0.37879130828429153</v>
      </c>
      <c r="T230" s="195">
        <f t="shared" si="24"/>
        <v>0.24832874367331229</v>
      </c>
      <c r="U230" s="195">
        <f t="shared" si="19"/>
        <v>0.87759943468604884</v>
      </c>
      <c r="V230">
        <f t="shared" si="20"/>
        <v>71</v>
      </c>
      <c r="W230" s="195">
        <f t="shared" si="25"/>
        <v>0.55012908754834733</v>
      </c>
      <c r="X230" s="195">
        <f t="shared" si="26"/>
        <v>9.5639678348855475E-3</v>
      </c>
      <c r="Y230" s="255" t="str">
        <f>IF(ISNUMBER(SEARCH("C", 'Dry_Litterbag Placem_Collection'!T157)),"YES","NO")</f>
        <v>YES</v>
      </c>
      <c r="Z230" s="255" t="str">
        <f>IF(ISNUMBER(SEARCH("H", 'Dry_Litterbag Placem_Collection'!T157)),"YES","NO")</f>
        <v>YES</v>
      </c>
      <c r="AA230" s="255" t="str">
        <f>IF(ISNUMBER(SEARCH("R", 'Dry_Litterbag Placem_Collection'!T157)),"YES","NO")</f>
        <v>NO</v>
      </c>
      <c r="AB230" s="255" t="str">
        <f>IF(ISNUMBER(SEARCH("C", 'Dry_Litterbag Placem_Collection'!S157)),"YES","NO")</f>
        <v>NO</v>
      </c>
      <c r="AC230" s="255" t="str">
        <f>IF(ISNUMBER(SEARCH("H", 'Dry_Litterbag Placem_Collection'!S157)),"YES","NO")</f>
        <v>YES</v>
      </c>
      <c r="AD230" s="255" t="str">
        <f>IF(ISNUMBER(SEARCH("R", 'Dry_Litterbag Placem_Collection'!S157)),"YES","NO")</f>
        <v>NO</v>
      </c>
    </row>
    <row r="231" spans="2:30">
      <c r="B231" t="str">
        <f>'Final data_for_R_analysis_Dryse'!A157</f>
        <v>Dry</v>
      </c>
      <c r="C231" s="263">
        <f>'Final data_for_R_analysis_Dryse'!B157</f>
        <v>156</v>
      </c>
      <c r="D231" t="s">
        <v>3850</v>
      </c>
      <c r="E231" t="s">
        <v>22</v>
      </c>
      <c r="F231" s="387">
        <v>4</v>
      </c>
      <c r="G231" s="16">
        <f>'Dry_Litterbag Placem_Collection'!E158</f>
        <v>42939</v>
      </c>
      <c r="H231" t="str">
        <f>'Final data_for_R_analysis_Dryse'!J157</f>
        <v>G47</v>
      </c>
      <c r="I231" t="str">
        <f>'Final data_for_R_analysis_Dryse'!J377</f>
        <v>R118</v>
      </c>
      <c r="J231">
        <f>IFERROR(INDEX('Green_rooibos initial weight'!$C$5:$C$1749,MATCH(H231, 'Green_rooibos initial weight'!$A$5:$A$1749,0)),"")</f>
        <v>2.0840000000000001</v>
      </c>
      <c r="K231">
        <f>IFERROR(INDEX('Green_rooibos initial weight'!$C$5:$C$1749,MATCH(I231, 'Green_rooibos initial weight'!$A$5:$A$1749,0)),"")</f>
        <v>2.3330000000000002</v>
      </c>
      <c r="L231" s="195">
        <f t="shared" si="21"/>
        <v>1.8342000000000001</v>
      </c>
      <c r="M231" s="195">
        <f t="shared" si="22"/>
        <v>2.0832000000000002</v>
      </c>
      <c r="N231" s="16">
        <f>IF('Dry_Litterbag Placem_Collection'!G158="N.A","",'Dry_Litterbag Placem_Collection'!G158)</f>
        <v>43010</v>
      </c>
      <c r="O231" s="195">
        <f>IF(IFERROR(INDEX('Both teabags AfterDry'!$D$1:$D$839,MATCH(H231,'Both teabags AfterDry'!$A$1:$A$839,0)),"")="N.A","",(IFERROR(INDEX('Both teabags AfterDry'!$D$1:$D$839,MATCH(H231,'Both teabags AfterDry'!$A$1:$A$839,0)),"")))</f>
        <v>1.1167</v>
      </c>
      <c r="P231" s="195">
        <f>IF(IFERROR(INDEX('Both teabags AfterDry'!$D$1:$D$839,MATCH(I231,'Both teabags AfterDry'!$A$1:$A$839,0)),"")="N.A","",(IFERROR(INDEX('Both teabags AfterDry'!$D$1:$D$839,MATCH(I231,'Both teabags AfterDry'!$A$1:$A$839,0)),"")))</f>
        <v>0.79290000000000005</v>
      </c>
      <c r="Q231" s="195">
        <f t="shared" si="23"/>
        <v>0.96609999999999996</v>
      </c>
      <c r="R231" s="195">
        <f t="shared" si="23"/>
        <v>0.64230000000000009</v>
      </c>
      <c r="S231" s="195">
        <f t="shared" si="18"/>
        <v>0.47328535601352095</v>
      </c>
      <c r="T231" s="195">
        <f t="shared" si="24"/>
        <v>0.31027733553380477</v>
      </c>
      <c r="U231" s="195">
        <f t="shared" si="19"/>
        <v>0.30832373271889402</v>
      </c>
      <c r="V231">
        <f t="shared" si="20"/>
        <v>71</v>
      </c>
      <c r="W231" s="195">
        <f t="shared" si="25"/>
        <v>0.43790337765615084</v>
      </c>
      <c r="X231" s="195" t="str">
        <f t="shared" si="26"/>
        <v/>
      </c>
      <c r="Y231" s="255" t="str">
        <f>IF(ISNUMBER(SEARCH("C", 'Dry_Litterbag Placem_Collection'!T158)),"YES","NO")</f>
        <v>YES</v>
      </c>
      <c r="Z231" s="255" t="str">
        <f>IF(ISNUMBER(SEARCH("H", 'Dry_Litterbag Placem_Collection'!T158)),"YES","NO")</f>
        <v>YES</v>
      </c>
      <c r="AA231" s="255" t="str">
        <f>IF(ISNUMBER(SEARCH("R", 'Dry_Litterbag Placem_Collection'!T158)),"YES","NO")</f>
        <v>NO</v>
      </c>
      <c r="AB231" s="255" t="str">
        <f>IF(ISNUMBER(SEARCH("C", 'Dry_Litterbag Placem_Collection'!S158)),"YES","NO")</f>
        <v>NO</v>
      </c>
      <c r="AC231" s="255" t="str">
        <f>IF(ISNUMBER(SEARCH("H", 'Dry_Litterbag Placem_Collection'!S158)),"YES","NO")</f>
        <v>YES</v>
      </c>
      <c r="AD231" s="255" t="str">
        <f>IF(ISNUMBER(SEARCH("R", 'Dry_Litterbag Placem_Collection'!S158)),"YES","NO")</f>
        <v>YES</v>
      </c>
    </row>
    <row r="232" spans="2:30">
      <c r="B232" t="str">
        <f>'Final data_for_R_analysis_Dryse'!A158</f>
        <v>Dry</v>
      </c>
      <c r="C232" s="263">
        <f>'Final data_for_R_analysis_Dryse'!B158</f>
        <v>157</v>
      </c>
      <c r="D232" t="s">
        <v>3850</v>
      </c>
      <c r="E232" t="s">
        <v>22</v>
      </c>
      <c r="F232" s="387">
        <v>5</v>
      </c>
      <c r="G232" s="16">
        <f>'Dry_Litterbag Placem_Collection'!E159</f>
        <v>42939</v>
      </c>
      <c r="H232" t="str">
        <f>'Final data_for_R_analysis_Dryse'!J158</f>
        <v>G328</v>
      </c>
      <c r="I232" t="str">
        <f>'Final data_for_R_analysis_Dryse'!J378</f>
        <v>R478</v>
      </c>
      <c r="J232">
        <f>IFERROR(INDEX('Green_rooibos initial weight'!$C$5:$C$1749,MATCH(H232, 'Green_rooibos initial weight'!$A$5:$A$1749,0)),"")</f>
        <v>2.1309999999999998</v>
      </c>
      <c r="K232">
        <f>IFERROR(INDEX('Green_rooibos initial weight'!$C$5:$C$1749,MATCH(I232, 'Green_rooibos initial weight'!$A$5:$A$1749,0)),"")</f>
        <v>2.1640000000000001</v>
      </c>
      <c r="L232" s="195">
        <f t="shared" si="21"/>
        <v>1.8811999999999998</v>
      </c>
      <c r="M232" s="195">
        <f t="shared" si="22"/>
        <v>1.9142000000000001</v>
      </c>
      <c r="N232" s="16">
        <f>IF('Dry_Litterbag Placem_Collection'!G159="N.A","",'Dry_Litterbag Placem_Collection'!G159)</f>
        <v>43010</v>
      </c>
      <c r="O232" s="195" t="str">
        <f>IF(IFERROR(INDEX('Both teabags AfterDry'!$D$1:$D$839,MATCH(H232,'Both teabags AfterDry'!$A$1:$A$839,0)),"")="N.A","",(IFERROR(INDEX('Both teabags AfterDry'!$D$1:$D$839,MATCH(H232,'Both teabags AfterDry'!$A$1:$A$839,0)),"")))</f>
        <v/>
      </c>
      <c r="P232" s="195" t="str">
        <f>IF(IFERROR(INDEX('Both teabags AfterDry'!$D$1:$D$839,MATCH(I232,'Both teabags AfterDry'!$A$1:$A$839,0)),"")="N.A","",(IFERROR(INDEX('Both teabags AfterDry'!$D$1:$D$839,MATCH(I232,'Both teabags AfterDry'!$A$1:$A$839,0)),"")))</f>
        <v/>
      </c>
      <c r="Q232" s="195" t="str">
        <f t="shared" si="23"/>
        <v/>
      </c>
      <c r="R232" s="195" t="str">
        <f t="shared" si="23"/>
        <v/>
      </c>
      <c r="S232" s="195" t="str">
        <f t="shared" si="18"/>
        <v/>
      </c>
      <c r="T232" s="195" t="str">
        <f t="shared" si="24"/>
        <v/>
      </c>
      <c r="U232" s="195" t="str">
        <f t="shared" si="19"/>
        <v/>
      </c>
      <c r="V232">
        <f t="shared" si="20"/>
        <v>71</v>
      </c>
      <c r="W232" s="195" t="str">
        <f t="shared" si="25"/>
        <v/>
      </c>
      <c r="X232" s="195" t="str">
        <f t="shared" si="26"/>
        <v/>
      </c>
      <c r="Y232" s="255" t="str">
        <f>IF(ISNUMBER(SEARCH("C", 'Dry_Litterbag Placem_Collection'!T159)),"YES","NO")</f>
        <v>YES</v>
      </c>
      <c r="Z232" s="255" t="str">
        <f>IF(ISNUMBER(SEARCH("H", 'Dry_Litterbag Placem_Collection'!T159)),"YES","NO")</f>
        <v>NO</v>
      </c>
      <c r="AA232" s="255" t="str">
        <f>IF(ISNUMBER(SEARCH("R", 'Dry_Litterbag Placem_Collection'!T159)),"YES","NO")</f>
        <v>YES</v>
      </c>
      <c r="AB232" s="255" t="str">
        <f>IF(ISNUMBER(SEARCH("C", 'Dry_Litterbag Placem_Collection'!S159)),"YES","NO")</f>
        <v>YES</v>
      </c>
      <c r="AC232" s="255" t="str">
        <f>IF(ISNUMBER(SEARCH("H", 'Dry_Litterbag Placem_Collection'!S159)),"YES","NO")</f>
        <v>YES</v>
      </c>
      <c r="AD232" s="255" t="str">
        <f>IF(ISNUMBER(SEARCH("R", 'Dry_Litterbag Placem_Collection'!S159)),"YES","NO")</f>
        <v>YES</v>
      </c>
    </row>
    <row r="233" spans="2:30">
      <c r="B233" t="str">
        <f>'Final data_for_R_analysis_Dryse'!A159</f>
        <v>Dry</v>
      </c>
      <c r="C233" s="263">
        <f>'Final data_for_R_analysis_Dryse'!B159</f>
        <v>158</v>
      </c>
      <c r="D233" t="s">
        <v>3850</v>
      </c>
      <c r="E233" t="s">
        <v>22</v>
      </c>
      <c r="F233" s="387">
        <v>6</v>
      </c>
      <c r="G233" s="16">
        <f>'Dry_Litterbag Placem_Collection'!E160</f>
        <v>42939</v>
      </c>
      <c r="H233" t="str">
        <f>'Final data_for_R_analysis_Dryse'!J159</f>
        <v>G21</v>
      </c>
      <c r="I233" t="str">
        <f>'Final data_for_R_analysis_Dryse'!J379</f>
        <v>R773</v>
      </c>
      <c r="J233">
        <f>IFERROR(INDEX('Green_rooibos initial weight'!$C$5:$C$1749,MATCH(H233, 'Green_rooibos initial weight'!$A$5:$A$1749,0)),"")</f>
        <v>2.04</v>
      </c>
      <c r="K233">
        <f>IFERROR(INDEX('Green_rooibos initial weight'!$C$5:$C$1749,MATCH(I233, 'Green_rooibos initial weight'!$A$5:$A$1749,0)),"")</f>
        <v>2.2320000000000002</v>
      </c>
      <c r="L233" s="195">
        <f t="shared" si="21"/>
        <v>1.7902</v>
      </c>
      <c r="M233" s="195">
        <f t="shared" si="22"/>
        <v>1.9822000000000002</v>
      </c>
      <c r="N233" s="16">
        <f>IF('Dry_Litterbag Placem_Collection'!G160="N.A","",'Dry_Litterbag Placem_Collection'!G160)</f>
        <v>43010</v>
      </c>
      <c r="O233" s="195">
        <f>IF(IFERROR(INDEX('Both teabags AfterDry'!$D$1:$D$839,MATCH(H233,'Both teabags AfterDry'!$A$1:$A$839,0)),"")="N.A","",(IFERROR(INDEX('Both teabags AfterDry'!$D$1:$D$839,MATCH(H233,'Both teabags AfterDry'!$A$1:$A$839,0)),"")))</f>
        <v>0</v>
      </c>
      <c r="P233" s="195">
        <f>IF(IFERROR(INDEX('Both teabags AfterDry'!$D$1:$D$839,MATCH(I233,'Both teabags AfterDry'!$A$1:$A$839,0)),"")="N.A","",(IFERROR(INDEX('Both teabags AfterDry'!$D$1:$D$839,MATCH(I233,'Both teabags AfterDry'!$A$1:$A$839,0)),"")))</f>
        <v>1.3551</v>
      </c>
      <c r="Q233" s="195" t="str">
        <f t="shared" si="23"/>
        <v/>
      </c>
      <c r="R233" s="195">
        <f t="shared" si="23"/>
        <v>1.2044999999999999</v>
      </c>
      <c r="S233" s="195" t="str">
        <f t="shared" si="18"/>
        <v/>
      </c>
      <c r="T233" s="195" t="str">
        <f t="shared" si="24"/>
        <v/>
      </c>
      <c r="U233" s="195">
        <f t="shared" si="19"/>
        <v>0.60765815760266362</v>
      </c>
      <c r="V233">
        <f t="shared" si="20"/>
        <v>71</v>
      </c>
      <c r="W233" s="195" t="str">
        <f t="shared" si="25"/>
        <v/>
      </c>
      <c r="X233" s="195" t="str">
        <f t="shared" si="26"/>
        <v/>
      </c>
      <c r="Y233" s="255" t="str">
        <f>IF(ISNUMBER(SEARCH("C", 'Dry_Litterbag Placem_Collection'!T160)),"YES","NO")</f>
        <v>YES</v>
      </c>
      <c r="Z233" s="255" t="str">
        <f>IF(ISNUMBER(SEARCH("H", 'Dry_Litterbag Placem_Collection'!T160)),"YES","NO")</f>
        <v>YES</v>
      </c>
      <c r="AA233" s="255" t="str">
        <f>IF(ISNUMBER(SEARCH("R", 'Dry_Litterbag Placem_Collection'!T160)),"YES","NO")</f>
        <v>NO</v>
      </c>
      <c r="AB233" s="255" t="str">
        <f>IF(ISNUMBER(SEARCH("C", 'Dry_Litterbag Placem_Collection'!S160)),"YES","NO")</f>
        <v>YES</v>
      </c>
      <c r="AC233" s="255" t="str">
        <f>IF(ISNUMBER(SEARCH("H", 'Dry_Litterbag Placem_Collection'!S160)),"YES","NO")</f>
        <v>YES</v>
      </c>
      <c r="AD233" s="255" t="str">
        <f>IF(ISNUMBER(SEARCH("R", 'Dry_Litterbag Placem_Collection'!S160)),"YES","NO")</f>
        <v>NO</v>
      </c>
    </row>
    <row r="234" spans="2:30">
      <c r="B234" t="str">
        <f>'Final data_for_R_analysis_Dryse'!A160</f>
        <v>Dry</v>
      </c>
      <c r="C234" s="263">
        <f>'Final data_for_R_analysis_Dryse'!B160</f>
        <v>159</v>
      </c>
      <c r="D234" t="s">
        <v>3850</v>
      </c>
      <c r="E234" t="s">
        <v>22</v>
      </c>
      <c r="F234" s="387">
        <v>7</v>
      </c>
      <c r="G234" s="16">
        <f>'Dry_Litterbag Placem_Collection'!E161</f>
        <v>0</v>
      </c>
      <c r="H234" t="str">
        <f>'Final data_for_R_analysis_Dryse'!J160</f>
        <v/>
      </c>
      <c r="I234" t="str">
        <f>'Final data_for_R_analysis_Dryse'!J380</f>
        <v/>
      </c>
      <c r="J234" t="str">
        <f>IFERROR(INDEX('Green_rooibos initial weight'!$C$5:$C$1749,MATCH(H234, 'Green_rooibos initial weight'!$A$5:$A$1749,0)),"")</f>
        <v/>
      </c>
      <c r="K234" t="str">
        <f>IFERROR(INDEX('Green_rooibos initial weight'!$C$5:$C$1749,MATCH(I234, 'Green_rooibos initial weight'!$A$5:$A$1749,0)),"")</f>
        <v/>
      </c>
      <c r="L234" s="195" t="str">
        <f t="shared" si="21"/>
        <v/>
      </c>
      <c r="M234" s="195" t="str">
        <f t="shared" si="22"/>
        <v/>
      </c>
      <c r="N234" s="16">
        <f>IF('Dry_Litterbag Placem_Collection'!G161="N.A","",'Dry_Litterbag Placem_Collection'!G161)</f>
        <v>0</v>
      </c>
      <c r="O234" s="195" t="str">
        <f>IF(IFERROR(INDEX('Both teabags AfterDry'!$D$1:$D$839,MATCH(H234,'Both teabags AfterDry'!$A$1:$A$839,0)),"")="N.A","",(IFERROR(INDEX('Both teabags AfterDry'!$D$1:$D$839,MATCH(H234,'Both teabags AfterDry'!$A$1:$A$839,0)),"")))</f>
        <v/>
      </c>
      <c r="P234" s="195" t="str">
        <f>IF(IFERROR(INDEX('Both teabags AfterDry'!$D$1:$D$839,MATCH(I234,'Both teabags AfterDry'!$A$1:$A$839,0)),"")="N.A","",(IFERROR(INDEX('Both teabags AfterDry'!$D$1:$D$839,MATCH(I234,'Both teabags AfterDry'!$A$1:$A$839,0)),"")))</f>
        <v/>
      </c>
      <c r="Q234" s="195" t="str">
        <f t="shared" si="23"/>
        <v/>
      </c>
      <c r="R234" s="195" t="str">
        <f t="shared" si="23"/>
        <v/>
      </c>
      <c r="S234" s="195" t="str">
        <f t="shared" si="18"/>
        <v/>
      </c>
      <c r="T234" s="195" t="str">
        <f t="shared" si="24"/>
        <v/>
      </c>
      <c r="U234" s="195" t="str">
        <f t="shared" si="19"/>
        <v/>
      </c>
      <c r="V234" t="str">
        <f t="shared" si="20"/>
        <v/>
      </c>
      <c r="W234" s="195" t="str">
        <f t="shared" si="25"/>
        <v/>
      </c>
      <c r="X234" s="195" t="str">
        <f t="shared" si="26"/>
        <v/>
      </c>
      <c r="Y234" s="255" t="str">
        <f>IF(ISNUMBER(SEARCH("C", 'Dry_Litterbag Placem_Collection'!T161)),"YES","NO")</f>
        <v>NO</v>
      </c>
      <c r="Z234" s="255" t="str">
        <f>IF(ISNUMBER(SEARCH("H", 'Dry_Litterbag Placem_Collection'!T161)),"YES","NO")</f>
        <v>NO</v>
      </c>
      <c r="AA234" s="255" t="str">
        <f>IF(ISNUMBER(SEARCH("R", 'Dry_Litterbag Placem_Collection'!T161)),"YES","NO")</f>
        <v>NO</v>
      </c>
      <c r="AB234" s="255" t="str">
        <f>IF(ISNUMBER(SEARCH("C", 'Dry_Litterbag Placem_Collection'!S161)),"YES","NO")</f>
        <v>NO</v>
      </c>
      <c r="AC234" s="255" t="str">
        <f>IF(ISNUMBER(SEARCH("H", 'Dry_Litterbag Placem_Collection'!S161)),"YES","NO")</f>
        <v>NO</v>
      </c>
      <c r="AD234" s="255" t="str">
        <f>IF(ISNUMBER(SEARCH("R", 'Dry_Litterbag Placem_Collection'!S161)),"YES","NO")</f>
        <v>NO</v>
      </c>
    </row>
    <row r="235" spans="2:30">
      <c r="B235" t="str">
        <f>'Final data_for_R_analysis_Dryse'!A161</f>
        <v>Dry</v>
      </c>
      <c r="C235" s="263">
        <f>'Final data_for_R_analysis_Dryse'!B161</f>
        <v>160</v>
      </c>
      <c r="D235" t="s">
        <v>3850</v>
      </c>
      <c r="E235" t="s">
        <v>22</v>
      </c>
      <c r="F235" s="387">
        <v>8</v>
      </c>
      <c r="G235" s="16">
        <f>'Dry_Litterbag Placem_Collection'!E162</f>
        <v>42939</v>
      </c>
      <c r="H235" t="str">
        <f>'Final data_for_R_analysis_Dryse'!J161</f>
        <v>G482</v>
      </c>
      <c r="I235" t="str">
        <f>'Final data_for_R_analysis_Dryse'!J381</f>
        <v>R401</v>
      </c>
      <c r="J235">
        <f>IFERROR(INDEX('Green_rooibos initial weight'!$C$5:$C$1749,MATCH(H235, 'Green_rooibos initial weight'!$A$5:$A$1749,0)),"")</f>
        <v>2.056</v>
      </c>
      <c r="K235">
        <f>IFERROR(INDEX('Green_rooibos initial weight'!$C$5:$C$1749,MATCH(I235, 'Green_rooibos initial weight'!$A$5:$A$1749,0)),"")</f>
        <v>2.214</v>
      </c>
      <c r="L235" s="195">
        <f t="shared" si="21"/>
        <v>1.8062</v>
      </c>
      <c r="M235" s="195">
        <f t="shared" si="22"/>
        <v>1.9641999999999999</v>
      </c>
      <c r="N235" s="16">
        <f>IF('Dry_Litterbag Placem_Collection'!G162="N.A","",'Dry_Litterbag Placem_Collection'!G162)</f>
        <v>43010</v>
      </c>
      <c r="O235" s="195">
        <f>IF(IFERROR(INDEX('Both teabags AfterDry'!$D$1:$D$839,MATCH(H235,'Both teabags AfterDry'!$A$1:$A$839,0)),"")="N.A","",(IFERROR(INDEX('Both teabags AfterDry'!$D$1:$D$839,MATCH(H235,'Both teabags AfterDry'!$A$1:$A$839,0)),"")))</f>
        <v>1.4819</v>
      </c>
      <c r="P235" s="195">
        <f>IF(IFERROR(INDEX('Both teabags AfterDry'!$D$1:$D$839,MATCH(I235,'Both teabags AfterDry'!$A$1:$A$839,0)),"")="N.A","",(IFERROR(INDEX('Both teabags AfterDry'!$D$1:$D$839,MATCH(I235,'Both teabags AfterDry'!$A$1:$A$839,0)),"")))</f>
        <v>1.7884</v>
      </c>
      <c r="Q235" s="195">
        <f t="shared" si="23"/>
        <v>1.3312999999999999</v>
      </c>
      <c r="R235" s="195">
        <f t="shared" si="23"/>
        <v>1.6377999999999999</v>
      </c>
      <c r="S235" s="195">
        <f t="shared" si="18"/>
        <v>0.26292769350016609</v>
      </c>
      <c r="T235" s="195">
        <f t="shared" si="24"/>
        <v>0.17237064942053645</v>
      </c>
      <c r="U235" s="195">
        <f t="shared" si="19"/>
        <v>0.83382547602077184</v>
      </c>
      <c r="V235">
        <f t="shared" si="20"/>
        <v>71</v>
      </c>
      <c r="W235" s="195">
        <f t="shared" si="25"/>
        <v>0.68773433075989776</v>
      </c>
      <c r="X235" s="195">
        <f t="shared" si="26"/>
        <v>4.6841168012322291E-2</v>
      </c>
      <c r="Y235" s="255" t="str">
        <f>IF(ISNUMBER(SEARCH("C", 'Dry_Litterbag Placem_Collection'!T162)),"YES","NO")</f>
        <v>NO</v>
      </c>
      <c r="Z235" s="255" t="str">
        <f>IF(ISNUMBER(SEARCH("H", 'Dry_Litterbag Placem_Collection'!T162)),"YES","NO")</f>
        <v>YES</v>
      </c>
      <c r="AA235" s="255" t="str">
        <f>IF(ISNUMBER(SEARCH("R", 'Dry_Litterbag Placem_Collection'!T162)),"YES","NO")</f>
        <v>NO</v>
      </c>
      <c r="AB235" s="255" t="str">
        <f>IF(ISNUMBER(SEARCH("C", 'Dry_Litterbag Placem_Collection'!S162)),"YES","NO")</f>
        <v>YES</v>
      </c>
      <c r="AC235" s="255" t="str">
        <f>IF(ISNUMBER(SEARCH("H", 'Dry_Litterbag Placem_Collection'!S162)),"YES","NO")</f>
        <v>YES</v>
      </c>
      <c r="AD235" s="255" t="str">
        <f>IF(ISNUMBER(SEARCH("R", 'Dry_Litterbag Placem_Collection'!S162)),"YES","NO")</f>
        <v>NO</v>
      </c>
    </row>
    <row r="236" spans="2:30">
      <c r="B236" t="str">
        <f>'Final data_for_R_analysis_Dryse'!A162</f>
        <v>Dry</v>
      </c>
      <c r="C236" s="263">
        <f>'Final data_for_R_analysis_Dryse'!B162</f>
        <v>161</v>
      </c>
      <c r="D236" t="s">
        <v>3851</v>
      </c>
      <c r="E236" t="s">
        <v>22</v>
      </c>
      <c r="F236" s="386">
        <v>1</v>
      </c>
      <c r="G236" s="16">
        <f>'Dry_Litterbag Placem_Collection'!E163</f>
        <v>42940</v>
      </c>
      <c r="H236" t="str">
        <f>'Final data_for_R_analysis_Dryse'!J162</f>
        <v>G51</v>
      </c>
      <c r="I236" t="str">
        <f>'Final data_for_R_analysis_Dryse'!J382</f>
        <v>R673</v>
      </c>
      <c r="J236">
        <f>IFERROR(INDEX('Green_rooibos initial weight'!$C$5:$C$1749,MATCH(H236, 'Green_rooibos initial weight'!$A$5:$A$1749,0)),"")</f>
        <v>2.0259999999999998</v>
      </c>
      <c r="K236">
        <f>IFERROR(INDEX('Green_rooibos initial weight'!$C$5:$C$1749,MATCH(I236, 'Green_rooibos initial weight'!$A$5:$A$1749,0)),"")</f>
        <v>2.121</v>
      </c>
      <c r="L236" s="195">
        <f t="shared" si="21"/>
        <v>1.7761999999999998</v>
      </c>
      <c r="M236" s="195">
        <f t="shared" si="22"/>
        <v>1.8712</v>
      </c>
      <c r="N236" s="16">
        <f>IF('Dry_Litterbag Placem_Collection'!G163="N.A","",'Dry_Litterbag Placem_Collection'!G163)</f>
        <v>43009</v>
      </c>
      <c r="O236" s="195">
        <f>IF(IFERROR(INDEX('Both teabags AfterDry'!$D$1:$D$839,MATCH(H236,'Both teabags AfterDry'!$A$1:$A$839,0)),"")="N.A","",(IFERROR(INDEX('Both teabags AfterDry'!$D$1:$D$839,MATCH(H236,'Both teabags AfterDry'!$A$1:$A$839,0)),"")))</f>
        <v>0.81589999999999996</v>
      </c>
      <c r="P236" s="195">
        <f>IF(IFERROR(INDEX('Both teabags AfterDry'!$D$1:$D$839,MATCH(I236,'Both teabags AfterDry'!$A$1:$A$839,0)),"")="N.A","",(IFERROR(INDEX('Both teabags AfterDry'!$D$1:$D$839,MATCH(I236,'Both teabags AfterDry'!$A$1:$A$839,0)),"")))</f>
        <v>1.1623000000000001</v>
      </c>
      <c r="Q236" s="195">
        <f t="shared" si="23"/>
        <v>0.6653</v>
      </c>
      <c r="R236" s="195">
        <f t="shared" si="23"/>
        <v>1.0117</v>
      </c>
      <c r="S236" s="195">
        <f t="shared" si="18"/>
        <v>0.6254363247382051</v>
      </c>
      <c r="T236" s="195">
        <f t="shared" si="24"/>
        <v>0.41002476396138865</v>
      </c>
      <c r="U236" s="195">
        <f t="shared" si="19"/>
        <v>0.54066908935442504</v>
      </c>
      <c r="V236">
        <f t="shared" si="20"/>
        <v>69</v>
      </c>
      <c r="W236" s="195">
        <f t="shared" si="25"/>
        <v>0.25720151456270179</v>
      </c>
      <c r="X236" s="195" t="str">
        <f t="shared" si="26"/>
        <v/>
      </c>
      <c r="Y236" s="255" t="str">
        <f>IF(ISNUMBER(SEARCH("C", 'Dry_Litterbag Placem_Collection'!T163)),"YES","NO")</f>
        <v>NO</v>
      </c>
      <c r="Z236" s="255" t="str">
        <f>IF(ISNUMBER(SEARCH("H", 'Dry_Litterbag Placem_Collection'!T163)),"YES","NO")</f>
        <v>YES</v>
      </c>
      <c r="AA236" s="255" t="str">
        <f>IF(ISNUMBER(SEARCH("R", 'Dry_Litterbag Placem_Collection'!T163)),"YES","NO")</f>
        <v>NO</v>
      </c>
      <c r="AB236" s="255" t="str">
        <f>IF(ISNUMBER(SEARCH("C", 'Dry_Litterbag Placem_Collection'!S163)),"YES","NO")</f>
        <v>NO</v>
      </c>
      <c r="AC236" s="255" t="str">
        <f>IF(ISNUMBER(SEARCH("H", 'Dry_Litterbag Placem_Collection'!S163)),"YES","NO")</f>
        <v>YES</v>
      </c>
      <c r="AD236" s="255" t="str">
        <f>IF(ISNUMBER(SEARCH("R", 'Dry_Litterbag Placem_Collection'!S163)),"YES","NO")</f>
        <v>YES</v>
      </c>
    </row>
    <row r="237" spans="2:30">
      <c r="B237" t="str">
        <f>'Final data_for_R_analysis_Dryse'!A163</f>
        <v>Dry</v>
      </c>
      <c r="C237" s="263">
        <f>'Final data_for_R_analysis_Dryse'!B163</f>
        <v>162</v>
      </c>
      <c r="D237" t="s">
        <v>3851</v>
      </c>
      <c r="E237" t="s">
        <v>22</v>
      </c>
      <c r="F237" s="386">
        <v>2</v>
      </c>
      <c r="G237" s="16">
        <f>'Dry_Litterbag Placem_Collection'!E164</f>
        <v>42940</v>
      </c>
      <c r="H237" t="str">
        <f>'Final data_for_R_analysis_Dryse'!J163</f>
        <v>G238</v>
      </c>
      <c r="I237" t="str">
        <f>'Final data_for_R_analysis_Dryse'!J383</f>
        <v>R814</v>
      </c>
      <c r="J237">
        <f>IFERROR(INDEX('Green_rooibos initial weight'!$C$5:$C$1749,MATCH(H237, 'Green_rooibos initial weight'!$A$5:$A$1749,0)),"")</f>
        <v>2.1160000000000001</v>
      </c>
      <c r="K237">
        <f>IFERROR(INDEX('Green_rooibos initial weight'!$C$5:$C$1749,MATCH(I237, 'Green_rooibos initial weight'!$A$5:$A$1749,0)),"")</f>
        <v>2.2210000000000001</v>
      </c>
      <c r="L237" s="195">
        <f t="shared" si="21"/>
        <v>1.8662000000000001</v>
      </c>
      <c r="M237" s="195">
        <f t="shared" si="22"/>
        <v>1.9712000000000001</v>
      </c>
      <c r="N237" s="16">
        <f>IF('Dry_Litterbag Placem_Collection'!G164="N.A","",'Dry_Litterbag Placem_Collection'!G164)</f>
        <v>43009</v>
      </c>
      <c r="O237" s="195">
        <f>IF(IFERROR(INDEX('Both teabags AfterDry'!$D$1:$D$839,MATCH(H237,'Both teabags AfterDry'!$A$1:$A$839,0)),"")="N.A","",(IFERROR(INDEX('Both teabags AfterDry'!$D$1:$D$839,MATCH(H237,'Both teabags AfterDry'!$A$1:$A$839,0)),"")))</f>
        <v>0.81089999999999995</v>
      </c>
      <c r="P237" s="195">
        <f>IF(IFERROR(INDEX('Both teabags AfterDry'!$D$1:$D$839,MATCH(I237,'Both teabags AfterDry'!$A$1:$A$839,0)),"")="N.A","",(IFERROR(INDEX('Both teabags AfterDry'!$D$1:$D$839,MATCH(I237,'Both teabags AfterDry'!$A$1:$A$839,0)),"")))</f>
        <v>2.4714999999999998</v>
      </c>
      <c r="Q237" s="195">
        <f t="shared" si="23"/>
        <v>0.66029999999999989</v>
      </c>
      <c r="R237" s="195">
        <f t="shared" si="23"/>
        <v>2.3209</v>
      </c>
      <c r="S237" s="195">
        <f t="shared" si="18"/>
        <v>0.64617940199335555</v>
      </c>
      <c r="T237" s="195">
        <f t="shared" si="24"/>
        <v>0.42362355095051341</v>
      </c>
      <c r="U237" s="195">
        <f t="shared" si="19"/>
        <v>1.1774046266233766</v>
      </c>
      <c r="V237">
        <f t="shared" si="20"/>
        <v>69</v>
      </c>
      <c r="W237" s="195">
        <f t="shared" si="25"/>
        <v>0.2325660308867511</v>
      </c>
      <c r="X237" s="195">
        <f t="shared" si="26"/>
        <v>-5.0695160665504306E-3</v>
      </c>
      <c r="Y237" s="255" t="str">
        <f>IF(ISNUMBER(SEARCH("C", 'Dry_Litterbag Placem_Collection'!T164)),"YES","NO")</f>
        <v>YES</v>
      </c>
      <c r="Z237" s="255" t="str">
        <f>IF(ISNUMBER(SEARCH("H", 'Dry_Litterbag Placem_Collection'!T164)),"YES","NO")</f>
        <v>YES</v>
      </c>
      <c r="AA237" s="255" t="str">
        <f>IF(ISNUMBER(SEARCH("R", 'Dry_Litterbag Placem_Collection'!T164)),"YES","NO")</f>
        <v>NO</v>
      </c>
      <c r="AB237" s="255" t="str">
        <f>IF(ISNUMBER(SEARCH("C", 'Dry_Litterbag Placem_Collection'!S164)),"YES","NO")</f>
        <v>NO</v>
      </c>
      <c r="AC237" s="255" t="str">
        <f>IF(ISNUMBER(SEARCH("H", 'Dry_Litterbag Placem_Collection'!S164)),"YES","NO")</f>
        <v>NO</v>
      </c>
      <c r="AD237" s="255" t="str">
        <f>IF(ISNUMBER(SEARCH("R", 'Dry_Litterbag Placem_Collection'!S164)),"YES","NO")</f>
        <v>YES</v>
      </c>
    </row>
    <row r="238" spans="2:30">
      <c r="B238" t="str">
        <f>'Final data_for_R_analysis_Dryse'!A164</f>
        <v>Dry</v>
      </c>
      <c r="C238" s="263">
        <f>'Final data_for_R_analysis_Dryse'!B164</f>
        <v>163</v>
      </c>
      <c r="D238" t="s">
        <v>3851</v>
      </c>
      <c r="E238" t="s">
        <v>22</v>
      </c>
      <c r="F238" s="386">
        <v>3</v>
      </c>
      <c r="G238" s="16">
        <f>'Dry_Litterbag Placem_Collection'!E165</f>
        <v>42940</v>
      </c>
      <c r="H238" t="str">
        <f>'Final data_for_R_analysis_Dryse'!J164</f>
        <v>G59</v>
      </c>
      <c r="I238" t="str">
        <f>'Final data_for_R_analysis_Dryse'!J384</f>
        <v>R615</v>
      </c>
      <c r="J238">
        <f>IFERROR(INDEX('Green_rooibos initial weight'!$C$5:$C$1749,MATCH(H238, 'Green_rooibos initial weight'!$A$5:$A$1749,0)),"")</f>
        <v>1.929</v>
      </c>
      <c r="K238">
        <f>IFERROR(INDEX('Green_rooibos initial weight'!$C$5:$C$1749,MATCH(I238, 'Green_rooibos initial weight'!$A$5:$A$1749,0)),"")</f>
        <v>2.157</v>
      </c>
      <c r="L238" s="195">
        <f t="shared" si="21"/>
        <v>1.6792</v>
      </c>
      <c r="M238" s="195">
        <f t="shared" si="22"/>
        <v>1.9072</v>
      </c>
      <c r="N238" s="16">
        <f>IF('Dry_Litterbag Placem_Collection'!G165="N.A","",'Dry_Litterbag Placem_Collection'!G165)</f>
        <v>43009</v>
      </c>
      <c r="O238" s="195">
        <f>IF(IFERROR(INDEX('Both teabags AfterDry'!$D$1:$D$839,MATCH(H238,'Both teabags AfterDry'!$A$1:$A$839,0)),"")="N.A","",(IFERROR(INDEX('Both teabags AfterDry'!$D$1:$D$839,MATCH(H238,'Both teabags AfterDry'!$A$1:$A$839,0)),"")))</f>
        <v>0.95679999999999998</v>
      </c>
      <c r="P238" s="195">
        <f>IF(IFERROR(INDEX('Both teabags AfterDry'!$D$1:$D$839,MATCH(I238,'Both teabags AfterDry'!$A$1:$A$839,0)),"")="N.A","",(IFERROR(INDEX('Both teabags AfterDry'!$D$1:$D$839,MATCH(I238,'Both teabags AfterDry'!$A$1:$A$839,0)),"")))</f>
        <v>1.4872000000000001</v>
      </c>
      <c r="Q238" s="195">
        <f t="shared" si="23"/>
        <v>0.80620000000000003</v>
      </c>
      <c r="R238" s="195">
        <f t="shared" si="23"/>
        <v>1.3366</v>
      </c>
      <c r="S238" s="195">
        <f t="shared" si="18"/>
        <v>0.51989042401143393</v>
      </c>
      <c r="T238" s="195">
        <f t="shared" si="24"/>
        <v>0.34083077678659329</v>
      </c>
      <c r="U238" s="195">
        <f t="shared" si="19"/>
        <v>0.70081795302013428</v>
      </c>
      <c r="V238">
        <f t="shared" si="20"/>
        <v>69</v>
      </c>
      <c r="W238" s="195">
        <f t="shared" si="25"/>
        <v>0.38255294060399769</v>
      </c>
      <c r="X238" s="195">
        <f t="shared" si="26"/>
        <v>3.046543807303689E-2</v>
      </c>
      <c r="Y238" s="255" t="str">
        <f>IF(ISNUMBER(SEARCH("C", 'Dry_Litterbag Placem_Collection'!T165)),"YES","NO")</f>
        <v>NO</v>
      </c>
      <c r="Z238" s="255" t="str">
        <f>IF(ISNUMBER(SEARCH("H", 'Dry_Litterbag Placem_Collection'!T165)),"YES","NO")</f>
        <v>YES</v>
      </c>
      <c r="AA238" s="255" t="str">
        <f>IF(ISNUMBER(SEARCH("R", 'Dry_Litterbag Placem_Collection'!T165)),"YES","NO")</f>
        <v>NO</v>
      </c>
      <c r="AB238" s="255" t="str">
        <f>IF(ISNUMBER(SEARCH("C", 'Dry_Litterbag Placem_Collection'!S165)),"YES","NO")</f>
        <v>NO</v>
      </c>
      <c r="AC238" s="255" t="str">
        <f>IF(ISNUMBER(SEARCH("H", 'Dry_Litterbag Placem_Collection'!S165)),"YES","NO")</f>
        <v>NO</v>
      </c>
      <c r="AD238" s="255" t="str">
        <f>IF(ISNUMBER(SEARCH("R", 'Dry_Litterbag Placem_Collection'!S165)),"YES","NO")</f>
        <v>YES</v>
      </c>
    </row>
    <row r="239" spans="2:30">
      <c r="B239" t="str">
        <f>'Final data_for_R_analysis_Dryse'!A165</f>
        <v>Dry</v>
      </c>
      <c r="C239" s="263">
        <f>'Final data_for_R_analysis_Dryse'!B165</f>
        <v>164</v>
      </c>
      <c r="D239" t="s">
        <v>3851</v>
      </c>
      <c r="E239" t="s">
        <v>22</v>
      </c>
      <c r="F239" s="387">
        <v>4</v>
      </c>
      <c r="G239" s="16">
        <f>'Dry_Litterbag Placem_Collection'!E166</f>
        <v>42940</v>
      </c>
      <c r="H239" t="str">
        <f>'Final data_for_R_analysis_Dryse'!J165</f>
        <v>G7</v>
      </c>
      <c r="I239" t="str">
        <f>'Final data_for_R_analysis_Dryse'!J385</f>
        <v>R514</v>
      </c>
      <c r="J239">
        <f>IFERROR(INDEX('Green_rooibos initial weight'!$C$5:$C$1749,MATCH(H239, 'Green_rooibos initial weight'!$A$5:$A$1749,0)),"")</f>
        <v>1.974</v>
      </c>
      <c r="K239">
        <f>IFERROR(INDEX('Green_rooibos initial weight'!$C$5:$C$1749,MATCH(I239, 'Green_rooibos initial weight'!$A$5:$A$1749,0)),"")</f>
        <v>2.1059999999999999</v>
      </c>
      <c r="L239" s="195">
        <f t="shared" si="21"/>
        <v>1.7242</v>
      </c>
      <c r="M239" s="195">
        <f t="shared" si="22"/>
        <v>1.8561999999999999</v>
      </c>
      <c r="N239" s="16">
        <f>IF('Dry_Litterbag Placem_Collection'!G166="N.A","",'Dry_Litterbag Placem_Collection'!G166)</f>
        <v>43009</v>
      </c>
      <c r="O239" s="195">
        <f>IF(IFERROR(INDEX('Both teabags AfterDry'!$D$1:$D$839,MATCH(H239,'Both teabags AfterDry'!$A$1:$A$839,0)),"")="N.A","",(IFERROR(INDEX('Both teabags AfterDry'!$D$1:$D$839,MATCH(H239,'Both teabags AfterDry'!$A$1:$A$839,0)),"")))</f>
        <v>0.82040000000000002</v>
      </c>
      <c r="P239" s="195">
        <f>IF(IFERROR(INDEX('Both teabags AfterDry'!$D$1:$D$839,MATCH(I239,'Both teabags AfterDry'!$A$1:$A$839,0)),"")="N.A","",(IFERROR(INDEX('Both teabags AfterDry'!$D$1:$D$839,MATCH(I239,'Both teabags AfterDry'!$A$1:$A$839,0)),"")))</f>
        <v>1.8293999999999999</v>
      </c>
      <c r="Q239" s="195">
        <f t="shared" si="23"/>
        <v>0.66979999999999995</v>
      </c>
      <c r="R239" s="195">
        <f t="shared" si="23"/>
        <v>1.6787999999999998</v>
      </c>
      <c r="S239" s="195">
        <f t="shared" si="18"/>
        <v>0.61152998492054289</v>
      </c>
      <c r="T239" s="195">
        <f t="shared" si="24"/>
        <v>0.40090801861774311</v>
      </c>
      <c r="U239" s="195">
        <f t="shared" si="19"/>
        <v>0.90442840211184139</v>
      </c>
      <c r="V239">
        <f t="shared" si="20"/>
        <v>69</v>
      </c>
      <c r="W239" s="195">
        <f t="shared" si="25"/>
        <v>0.27371735757655236</v>
      </c>
      <c r="X239" s="195">
        <f t="shared" si="26"/>
        <v>3.946635267748552E-3</v>
      </c>
      <c r="Y239" s="255" t="str">
        <f>IF(ISNUMBER(SEARCH("C", 'Dry_Litterbag Placem_Collection'!T166)),"YES","NO")</f>
        <v>NO</v>
      </c>
      <c r="Z239" s="255" t="str">
        <f>IF(ISNUMBER(SEARCH("H", 'Dry_Litterbag Placem_Collection'!T166)),"YES","NO")</f>
        <v>NO</v>
      </c>
      <c r="AA239" s="255" t="str">
        <f>IF(ISNUMBER(SEARCH("R", 'Dry_Litterbag Placem_Collection'!T166)),"YES","NO")</f>
        <v>NO</v>
      </c>
      <c r="AB239" s="255" t="str">
        <f>IF(ISNUMBER(SEARCH("C", 'Dry_Litterbag Placem_Collection'!S166)),"YES","NO")</f>
        <v>NO</v>
      </c>
      <c r="AC239" s="255" t="str">
        <f>IF(ISNUMBER(SEARCH("H", 'Dry_Litterbag Placem_Collection'!S166)),"YES","NO")</f>
        <v>NO</v>
      </c>
      <c r="AD239" s="255" t="str">
        <f>IF(ISNUMBER(SEARCH("R", 'Dry_Litterbag Placem_Collection'!S166)),"YES","NO")</f>
        <v>YES</v>
      </c>
    </row>
    <row r="240" spans="2:30">
      <c r="B240" t="str">
        <f>'Final data_for_R_analysis_Dryse'!A166</f>
        <v>Dry</v>
      </c>
      <c r="C240" s="263">
        <f>'Final data_for_R_analysis_Dryse'!B166</f>
        <v>165</v>
      </c>
      <c r="D240" t="s">
        <v>3851</v>
      </c>
      <c r="E240" t="s">
        <v>22</v>
      </c>
      <c r="F240" s="387">
        <v>5</v>
      </c>
      <c r="G240" s="16">
        <f>'Dry_Litterbag Placem_Collection'!E167</f>
        <v>42940</v>
      </c>
      <c r="H240" t="str">
        <f>'Final data_for_R_analysis_Dryse'!J166</f>
        <v>G85</v>
      </c>
      <c r="I240" t="str">
        <f>'Final data_for_R_analysis_Dryse'!J386</f>
        <v>R127</v>
      </c>
      <c r="J240">
        <f>IFERROR(INDEX('Green_rooibos initial weight'!$C$5:$C$1749,MATCH(H240, 'Green_rooibos initial weight'!$A$5:$A$1749,0)),"")</f>
        <v>2.1360000000000001</v>
      </c>
      <c r="K240">
        <f>IFERROR(INDEX('Green_rooibos initial weight'!$C$5:$C$1749,MATCH(I240, 'Green_rooibos initial weight'!$A$5:$A$1749,0)),"")</f>
        <v>2.1869999999999998</v>
      </c>
      <c r="L240" s="195">
        <f t="shared" si="21"/>
        <v>1.8862000000000001</v>
      </c>
      <c r="M240" s="195">
        <f t="shared" si="22"/>
        <v>1.9371999999999998</v>
      </c>
      <c r="N240" s="16">
        <f>IF('Dry_Litterbag Placem_Collection'!G167="N.A","",'Dry_Litterbag Placem_Collection'!G167)</f>
        <v>43009</v>
      </c>
      <c r="O240" s="195">
        <f>IF(IFERROR(INDEX('Both teabags AfterDry'!$D$1:$D$839,MATCH(H240,'Both teabags AfterDry'!$A$1:$A$839,0)),"")="N.A","",(IFERROR(INDEX('Both teabags AfterDry'!$D$1:$D$839,MATCH(H240,'Both teabags AfterDry'!$A$1:$A$839,0)),"")))</f>
        <v>0.84360000000000002</v>
      </c>
      <c r="P240" s="195">
        <f>IF(IFERROR(INDEX('Both teabags AfterDry'!$D$1:$D$839,MATCH(I240,'Both teabags AfterDry'!$A$1:$A$839,0)),"")="N.A","",(IFERROR(INDEX('Both teabags AfterDry'!$D$1:$D$839,MATCH(I240,'Both teabags AfterDry'!$A$1:$A$839,0)),"")))</f>
        <v>1.7946</v>
      </c>
      <c r="Q240" s="195">
        <f t="shared" si="23"/>
        <v>0.69300000000000006</v>
      </c>
      <c r="R240" s="195">
        <f t="shared" si="23"/>
        <v>1.6439999999999999</v>
      </c>
      <c r="S240" s="195">
        <f t="shared" si="18"/>
        <v>0.63259463471530064</v>
      </c>
      <c r="T240" s="195">
        <f t="shared" si="24"/>
        <v>0.41471762275872448</v>
      </c>
      <c r="U240" s="195">
        <f t="shared" si="19"/>
        <v>0.84864753252116465</v>
      </c>
      <c r="V240">
        <f t="shared" si="20"/>
        <v>69</v>
      </c>
      <c r="W240" s="195">
        <f t="shared" si="25"/>
        <v>0.24869995877042672</v>
      </c>
      <c r="X240" s="195">
        <f t="shared" si="26"/>
        <v>6.5805270901542409E-3</v>
      </c>
      <c r="Y240" s="255" t="str">
        <f>IF(ISNUMBER(SEARCH("C", 'Dry_Litterbag Placem_Collection'!T167)),"YES","NO")</f>
        <v>NO</v>
      </c>
      <c r="Z240" s="255" t="str">
        <f>IF(ISNUMBER(SEARCH("H", 'Dry_Litterbag Placem_Collection'!T167)),"YES","NO")</f>
        <v>NO</v>
      </c>
      <c r="AA240" s="255" t="str">
        <f>IF(ISNUMBER(SEARCH("R", 'Dry_Litterbag Placem_Collection'!T167)),"YES","NO")</f>
        <v>NO</v>
      </c>
      <c r="AB240" s="255" t="str">
        <f>IF(ISNUMBER(SEARCH("C", 'Dry_Litterbag Placem_Collection'!S167)),"YES","NO")</f>
        <v>NO</v>
      </c>
      <c r="AC240" s="255" t="str">
        <f>IF(ISNUMBER(SEARCH("H", 'Dry_Litterbag Placem_Collection'!S167)),"YES","NO")</f>
        <v>NO</v>
      </c>
      <c r="AD240" s="255" t="str">
        <f>IF(ISNUMBER(SEARCH("R", 'Dry_Litterbag Placem_Collection'!S167)),"YES","NO")</f>
        <v>NO</v>
      </c>
    </row>
    <row r="241" spans="2:30">
      <c r="B241" t="str">
        <f>'Final data_for_R_analysis_Dryse'!A167</f>
        <v>Dry</v>
      </c>
      <c r="C241" s="263">
        <f>'Final data_for_R_analysis_Dryse'!B167</f>
        <v>166</v>
      </c>
      <c r="D241" t="s">
        <v>3851</v>
      </c>
      <c r="E241" t="s">
        <v>22</v>
      </c>
      <c r="F241" s="387">
        <v>6</v>
      </c>
      <c r="G241" s="16">
        <f>'Dry_Litterbag Placem_Collection'!E168</f>
        <v>42940</v>
      </c>
      <c r="H241" t="str">
        <f>'Final data_for_R_analysis_Dryse'!J167</f>
        <v>G1</v>
      </c>
      <c r="I241" t="str">
        <f>'Final data_for_R_analysis_Dryse'!J387</f>
        <v>R752</v>
      </c>
      <c r="J241">
        <f>IFERROR(INDEX('Green_rooibos initial weight'!$C$5:$C$1749,MATCH(H241, 'Green_rooibos initial weight'!$A$5:$A$1749,0)),"")</f>
        <v>1.9870000000000001</v>
      </c>
      <c r="K241">
        <f>IFERROR(INDEX('Green_rooibos initial weight'!$C$5:$C$1749,MATCH(I241, 'Green_rooibos initial weight'!$A$5:$A$1749,0)),"")</f>
        <v>2.1970000000000001</v>
      </c>
      <c r="L241" s="195">
        <f t="shared" si="21"/>
        <v>1.7372000000000001</v>
      </c>
      <c r="M241" s="195">
        <f t="shared" si="22"/>
        <v>1.9472</v>
      </c>
      <c r="N241" s="16">
        <f>IF('Dry_Litterbag Placem_Collection'!G168="N.A","",'Dry_Litterbag Placem_Collection'!G168)</f>
        <v>43009</v>
      </c>
      <c r="O241" s="195">
        <f>IF(IFERROR(INDEX('Both teabags AfterDry'!$D$1:$D$839,MATCH(H241,'Both teabags AfterDry'!$A$1:$A$839,0)),"")="N.A","",(IFERROR(INDEX('Both teabags AfterDry'!$D$1:$D$839,MATCH(H241,'Both teabags AfterDry'!$A$1:$A$839,0)),"")))</f>
        <v>0.85040000000000004</v>
      </c>
      <c r="P241" s="195">
        <f>IF(IFERROR(INDEX('Both teabags AfterDry'!$D$1:$D$839,MATCH(I241,'Both teabags AfterDry'!$A$1:$A$839,0)),"")="N.A","",(IFERROR(INDEX('Both teabags AfterDry'!$D$1:$D$839,MATCH(I241,'Both teabags AfterDry'!$A$1:$A$839,0)),"")))</f>
        <v>1.6897</v>
      </c>
      <c r="Q241" s="195">
        <f t="shared" si="23"/>
        <v>0.69979999999999998</v>
      </c>
      <c r="R241" s="195">
        <f t="shared" si="23"/>
        <v>1.5390999999999999</v>
      </c>
      <c r="S241" s="195">
        <f t="shared" si="18"/>
        <v>0.59716785632051583</v>
      </c>
      <c r="T241" s="195">
        <f t="shared" si="24"/>
        <v>0.39149246637639523</v>
      </c>
      <c r="U241" s="195">
        <f t="shared" si="19"/>
        <v>0.79041700903861944</v>
      </c>
      <c r="V241">
        <f t="shared" si="20"/>
        <v>69</v>
      </c>
      <c r="W241" s="195">
        <f t="shared" si="25"/>
        <v>0.29077451743406668</v>
      </c>
      <c r="X241" s="195">
        <f t="shared" si="26"/>
        <v>1.1108073866154958E-2</v>
      </c>
      <c r="Y241" s="255" t="str">
        <f>IF(ISNUMBER(SEARCH("C", 'Dry_Litterbag Placem_Collection'!T168)),"YES","NO")</f>
        <v>NO</v>
      </c>
      <c r="Z241" s="255" t="str">
        <f>IF(ISNUMBER(SEARCH("H", 'Dry_Litterbag Placem_Collection'!T168)),"YES","NO")</f>
        <v>NO</v>
      </c>
      <c r="AA241" s="255" t="str">
        <f>IF(ISNUMBER(SEARCH("R", 'Dry_Litterbag Placem_Collection'!T168)),"YES","NO")</f>
        <v>NO</v>
      </c>
      <c r="AB241" s="255" t="str">
        <f>IF(ISNUMBER(SEARCH("C", 'Dry_Litterbag Placem_Collection'!S168)),"YES","NO")</f>
        <v>NO</v>
      </c>
      <c r="AC241" s="255" t="str">
        <f>IF(ISNUMBER(SEARCH("H", 'Dry_Litterbag Placem_Collection'!S168)),"YES","NO")</f>
        <v>NO</v>
      </c>
      <c r="AD241" s="255" t="str">
        <f>IF(ISNUMBER(SEARCH("R", 'Dry_Litterbag Placem_Collection'!S168)),"YES","NO")</f>
        <v>YES</v>
      </c>
    </row>
    <row r="242" spans="2:30">
      <c r="B242" t="str">
        <f>'Final data_for_R_analysis_Dryse'!A168</f>
        <v>Dry</v>
      </c>
      <c r="C242" s="263">
        <f>'Final data_for_R_analysis_Dryse'!B168</f>
        <v>167</v>
      </c>
      <c r="D242" t="s">
        <v>3851</v>
      </c>
      <c r="E242" t="s">
        <v>22</v>
      </c>
      <c r="F242" s="387">
        <v>7</v>
      </c>
      <c r="G242" s="16">
        <f>'Dry_Litterbag Placem_Collection'!E169</f>
        <v>0</v>
      </c>
      <c r="H242" t="str">
        <f>'Final data_for_R_analysis_Dryse'!J168</f>
        <v/>
      </c>
      <c r="I242" t="str">
        <f>'Final data_for_R_analysis_Dryse'!J388</f>
        <v/>
      </c>
      <c r="J242" t="str">
        <f>IFERROR(INDEX('Green_rooibos initial weight'!$C$5:$C$1749,MATCH(H242, 'Green_rooibos initial weight'!$A$5:$A$1749,0)),"")</f>
        <v/>
      </c>
      <c r="K242" t="str">
        <f>IFERROR(INDEX('Green_rooibos initial weight'!$C$5:$C$1749,MATCH(I242, 'Green_rooibos initial weight'!$A$5:$A$1749,0)),"")</f>
        <v/>
      </c>
      <c r="L242" s="195" t="str">
        <f t="shared" si="21"/>
        <v/>
      </c>
      <c r="M242" s="195" t="str">
        <f t="shared" si="22"/>
        <v/>
      </c>
      <c r="N242" s="16">
        <f>IF('Dry_Litterbag Placem_Collection'!G169="N.A","",'Dry_Litterbag Placem_Collection'!G169)</f>
        <v>0</v>
      </c>
      <c r="O242" s="195" t="str">
        <f>IF(IFERROR(INDEX('Both teabags AfterDry'!$D$1:$D$839,MATCH(H242,'Both teabags AfterDry'!$A$1:$A$839,0)),"")="N.A","",(IFERROR(INDEX('Both teabags AfterDry'!$D$1:$D$839,MATCH(H242,'Both teabags AfterDry'!$A$1:$A$839,0)),"")))</f>
        <v/>
      </c>
      <c r="P242" s="195" t="str">
        <f>IF(IFERROR(INDEX('Both teabags AfterDry'!$D$1:$D$839,MATCH(I242,'Both teabags AfterDry'!$A$1:$A$839,0)),"")="N.A","",(IFERROR(INDEX('Both teabags AfterDry'!$D$1:$D$839,MATCH(I242,'Both teabags AfterDry'!$A$1:$A$839,0)),"")))</f>
        <v/>
      </c>
      <c r="Q242" s="195" t="str">
        <f t="shared" si="23"/>
        <v/>
      </c>
      <c r="R242" s="195" t="str">
        <f t="shared" si="23"/>
        <v/>
      </c>
      <c r="S242" s="195" t="str">
        <f t="shared" si="18"/>
        <v/>
      </c>
      <c r="T242" s="195" t="str">
        <f t="shared" si="24"/>
        <v/>
      </c>
      <c r="U242" s="195" t="str">
        <f t="shared" si="19"/>
        <v/>
      </c>
      <c r="V242" t="str">
        <f t="shared" si="20"/>
        <v/>
      </c>
      <c r="W242" s="195" t="str">
        <f t="shared" si="25"/>
        <v/>
      </c>
      <c r="X242" s="195" t="str">
        <f t="shared" si="26"/>
        <v/>
      </c>
      <c r="Y242" s="255" t="str">
        <f>IF(ISNUMBER(SEARCH("C", 'Dry_Litterbag Placem_Collection'!T169)),"YES","NO")</f>
        <v>NO</v>
      </c>
      <c r="Z242" s="255" t="str">
        <f>IF(ISNUMBER(SEARCH("H", 'Dry_Litterbag Placem_Collection'!T169)),"YES","NO")</f>
        <v>NO</v>
      </c>
      <c r="AA242" s="255" t="str">
        <f>IF(ISNUMBER(SEARCH("R", 'Dry_Litterbag Placem_Collection'!T169)),"YES","NO")</f>
        <v>NO</v>
      </c>
      <c r="AB242" s="255" t="str">
        <f>IF(ISNUMBER(SEARCH("C", 'Dry_Litterbag Placem_Collection'!S169)),"YES","NO")</f>
        <v>NO</v>
      </c>
      <c r="AC242" s="255" t="str">
        <f>IF(ISNUMBER(SEARCH("H", 'Dry_Litterbag Placem_Collection'!S169)),"YES","NO")</f>
        <v>NO</v>
      </c>
      <c r="AD242" s="255" t="str">
        <f>IF(ISNUMBER(SEARCH("R", 'Dry_Litterbag Placem_Collection'!S169)),"YES","NO")</f>
        <v>NO</v>
      </c>
    </row>
    <row r="243" spans="2:30">
      <c r="B243" t="str">
        <f>'Final data_for_R_analysis_Dryse'!A169</f>
        <v>Dry</v>
      </c>
      <c r="C243" s="263">
        <f>'Final data_for_R_analysis_Dryse'!B169</f>
        <v>168</v>
      </c>
      <c r="D243" t="s">
        <v>3851</v>
      </c>
      <c r="E243" t="s">
        <v>22</v>
      </c>
      <c r="F243" s="387">
        <v>8</v>
      </c>
      <c r="G243" s="16">
        <f>'Dry_Litterbag Placem_Collection'!E170</f>
        <v>42940</v>
      </c>
      <c r="H243" t="str">
        <f>'Final data_for_R_analysis_Dryse'!J169</f>
        <v>G70</v>
      </c>
      <c r="I243" t="str">
        <f>'Final data_for_R_analysis_Dryse'!J389</f>
        <v>R690</v>
      </c>
      <c r="J243">
        <f>IFERROR(INDEX('Green_rooibos initial weight'!$C$5:$C$1749,MATCH(H243, 'Green_rooibos initial weight'!$A$5:$A$1749,0)),"")</f>
        <v>2.0939999999999999</v>
      </c>
      <c r="K243">
        <f>IFERROR(INDEX('Green_rooibos initial weight'!$C$5:$C$1749,MATCH(I243, 'Green_rooibos initial weight'!$A$5:$A$1749,0)),"")</f>
        <v>2.141</v>
      </c>
      <c r="L243" s="195">
        <f t="shared" si="21"/>
        <v>1.8441999999999998</v>
      </c>
      <c r="M243" s="195">
        <f t="shared" si="22"/>
        <v>1.8912</v>
      </c>
      <c r="N243" s="16">
        <f>IF('Dry_Litterbag Placem_Collection'!G170="N.A","",'Dry_Litterbag Placem_Collection'!G170)</f>
        <v>43009</v>
      </c>
      <c r="O243" s="195" t="str">
        <f>IF(IFERROR(INDEX('Both teabags AfterDry'!$D$1:$D$839,MATCH(H243,'Both teabags AfterDry'!$A$1:$A$839,0)),"")="N.A","",(IFERROR(INDEX('Both teabags AfterDry'!$D$1:$D$839,MATCH(H243,'Both teabags AfterDry'!$A$1:$A$839,0)),"")))</f>
        <v/>
      </c>
      <c r="P243" s="195" t="str">
        <f>IF(IFERROR(INDEX('Both teabags AfterDry'!$D$1:$D$839,MATCH(I243,'Both teabags AfterDry'!$A$1:$A$839,0)),"")="N.A","",(IFERROR(INDEX('Both teabags AfterDry'!$D$1:$D$839,MATCH(I243,'Both teabags AfterDry'!$A$1:$A$839,0)),"")))</f>
        <v/>
      </c>
      <c r="Q243" s="195" t="str">
        <f t="shared" si="23"/>
        <v/>
      </c>
      <c r="R243" s="195" t="str">
        <f t="shared" si="23"/>
        <v/>
      </c>
      <c r="S243" s="195" t="str">
        <f t="shared" si="18"/>
        <v/>
      </c>
      <c r="T243" s="195" t="str">
        <f t="shared" si="24"/>
        <v/>
      </c>
      <c r="U243" s="195" t="str">
        <f t="shared" si="19"/>
        <v/>
      </c>
      <c r="V243">
        <f t="shared" si="20"/>
        <v>69</v>
      </c>
      <c r="W243" s="195" t="str">
        <f t="shared" si="25"/>
        <v/>
      </c>
      <c r="X243" s="195" t="str">
        <f t="shared" si="26"/>
        <v/>
      </c>
      <c r="Y243" s="255" t="str">
        <f>IF(ISNUMBER(SEARCH("C", 'Dry_Litterbag Placem_Collection'!T170)),"YES","NO")</f>
        <v>NO</v>
      </c>
      <c r="Z243" s="255" t="str">
        <f>IF(ISNUMBER(SEARCH("H", 'Dry_Litterbag Placem_Collection'!T170)),"YES","NO")</f>
        <v>YES</v>
      </c>
      <c r="AA243" s="255" t="str">
        <f>IF(ISNUMBER(SEARCH("R", 'Dry_Litterbag Placem_Collection'!T170)),"YES","NO")</f>
        <v>NO</v>
      </c>
      <c r="AB243" s="255" t="str">
        <f>IF(ISNUMBER(SEARCH("C", 'Dry_Litterbag Placem_Collection'!S170)),"YES","NO")</f>
        <v>NO</v>
      </c>
      <c r="AC243" s="255" t="str">
        <f>IF(ISNUMBER(SEARCH("H", 'Dry_Litterbag Placem_Collection'!S170)),"YES","NO")</f>
        <v>NO</v>
      </c>
      <c r="AD243" s="255" t="str">
        <f>IF(ISNUMBER(SEARCH("R", 'Dry_Litterbag Placem_Collection'!S170)),"YES","NO")</f>
        <v>YES</v>
      </c>
    </row>
    <row r="244" spans="2:30">
      <c r="B244" t="str">
        <f>'Final data_for_R_analysis_Dryse'!A170</f>
        <v>Dry</v>
      </c>
      <c r="C244" s="263">
        <f>'Final data_for_R_analysis_Dryse'!B170</f>
        <v>169</v>
      </c>
      <c r="D244" t="s">
        <v>3853</v>
      </c>
      <c r="E244" t="s">
        <v>22</v>
      </c>
      <c r="F244" s="386">
        <v>1</v>
      </c>
      <c r="G244" s="16">
        <f>'Dry_Litterbag Placem_Collection'!E171</f>
        <v>42940</v>
      </c>
      <c r="H244" t="str">
        <f>'Final data_for_R_analysis_Dryse'!J170</f>
        <v>G250</v>
      </c>
      <c r="I244" t="str">
        <f>'Final data_for_R_analysis_Dryse'!J390</f>
        <v>R684</v>
      </c>
      <c r="J244">
        <f>IFERROR(INDEX('Green_rooibos initial weight'!$C$5:$C$1749,MATCH(H244, 'Green_rooibos initial weight'!$A$5:$A$1749,0)),"")</f>
        <v>2.0139999999999998</v>
      </c>
      <c r="K244">
        <f>IFERROR(INDEX('Green_rooibos initial weight'!$C$5:$C$1749,MATCH(I244, 'Green_rooibos initial weight'!$A$5:$A$1749,0)),"")</f>
        <v>2.1139999999999999</v>
      </c>
      <c r="L244" s="195">
        <f t="shared" si="21"/>
        <v>1.7641999999999998</v>
      </c>
      <c r="M244" s="195">
        <f t="shared" si="22"/>
        <v>1.8641999999999999</v>
      </c>
      <c r="N244" s="16">
        <f>IF('Dry_Litterbag Placem_Collection'!G171="N.A","",'Dry_Litterbag Placem_Collection'!G171)</f>
        <v>43009</v>
      </c>
      <c r="O244" s="195">
        <f>IF(IFERROR(INDEX('Both teabags AfterDry'!$D$1:$D$839,MATCH(H244,'Both teabags AfterDry'!$A$1:$A$839,0)),"")="N.A","",(IFERROR(INDEX('Both teabags AfterDry'!$D$1:$D$839,MATCH(H244,'Both teabags AfterDry'!$A$1:$A$839,0)),"")))</f>
        <v>0.80610000000000004</v>
      </c>
      <c r="P244" s="195">
        <f>IF(IFERROR(INDEX('Both teabags AfterDry'!$D$1:$D$839,MATCH(I244,'Both teabags AfterDry'!$A$1:$A$839,0)),"")="N.A","",(IFERROR(INDEX('Both teabags AfterDry'!$D$1:$D$839,MATCH(I244,'Both teabags AfterDry'!$A$1:$A$839,0)),"")))</f>
        <v>1.8154999999999999</v>
      </c>
      <c r="Q244" s="195">
        <f t="shared" si="23"/>
        <v>0.65549999999999997</v>
      </c>
      <c r="R244" s="195">
        <f t="shared" si="23"/>
        <v>1.6648999999999998</v>
      </c>
      <c r="S244" s="195">
        <f t="shared" si="18"/>
        <v>0.62844348713297804</v>
      </c>
      <c r="T244" s="195">
        <f t="shared" si="24"/>
        <v>0.41199620534133485</v>
      </c>
      <c r="U244" s="195">
        <f t="shared" si="19"/>
        <v>0.89309087007831778</v>
      </c>
      <c r="V244">
        <f t="shared" si="20"/>
        <v>69</v>
      </c>
      <c r="W244" s="195">
        <f t="shared" si="25"/>
        <v>0.25363006278743694</v>
      </c>
      <c r="X244" s="195">
        <f t="shared" si="26"/>
        <v>4.3538682598459029E-3</v>
      </c>
      <c r="Y244" s="255" t="str">
        <f>IF(ISNUMBER(SEARCH("C", 'Dry_Litterbag Placem_Collection'!T171)),"YES","NO")</f>
        <v>YES</v>
      </c>
      <c r="Z244" s="255" t="str">
        <f>IF(ISNUMBER(SEARCH("H", 'Dry_Litterbag Placem_Collection'!T171)),"YES","NO")</f>
        <v>NO</v>
      </c>
      <c r="AA244" s="255" t="str">
        <f>IF(ISNUMBER(SEARCH("R", 'Dry_Litterbag Placem_Collection'!T171)),"YES","NO")</f>
        <v>NO</v>
      </c>
      <c r="AB244" s="255" t="str">
        <f>IF(ISNUMBER(SEARCH("C", 'Dry_Litterbag Placem_Collection'!S171)),"YES","NO")</f>
        <v>NO</v>
      </c>
      <c r="AC244" s="255" t="str">
        <f>IF(ISNUMBER(SEARCH("H", 'Dry_Litterbag Placem_Collection'!S171)),"YES","NO")</f>
        <v>NO</v>
      </c>
      <c r="AD244" s="255" t="str">
        <f>IF(ISNUMBER(SEARCH("R", 'Dry_Litterbag Placem_Collection'!S171)),"YES","NO")</f>
        <v>YES</v>
      </c>
    </row>
    <row r="245" spans="2:30">
      <c r="B245" t="str">
        <f>'Final data_for_R_analysis_Dryse'!A171</f>
        <v>Dry</v>
      </c>
      <c r="C245" s="263">
        <f>'Final data_for_R_analysis_Dryse'!B171</f>
        <v>170</v>
      </c>
      <c r="D245" t="s">
        <v>3853</v>
      </c>
      <c r="E245" t="s">
        <v>22</v>
      </c>
      <c r="F245" s="386">
        <v>2</v>
      </c>
      <c r="G245" s="16">
        <f>'Dry_Litterbag Placem_Collection'!E172</f>
        <v>42940</v>
      </c>
      <c r="H245" t="str">
        <f>'Final data_for_R_analysis_Dryse'!J171</f>
        <v>G624</v>
      </c>
      <c r="I245" t="str">
        <f>'Final data_for_R_analysis_Dryse'!J391</f>
        <v>R694</v>
      </c>
      <c r="J245">
        <f>IFERROR(INDEX('Green_rooibos initial weight'!$C$5:$C$1749,MATCH(H245, 'Green_rooibos initial weight'!$A$5:$A$1749,0)),"")</f>
        <v>2.024</v>
      </c>
      <c r="K245">
        <f>IFERROR(INDEX('Green_rooibos initial weight'!$C$5:$C$1749,MATCH(I245, 'Green_rooibos initial weight'!$A$5:$A$1749,0)),"")</f>
        <v>2.23</v>
      </c>
      <c r="L245" s="195">
        <f t="shared" si="21"/>
        <v>1.7742</v>
      </c>
      <c r="M245" s="195">
        <f t="shared" si="22"/>
        <v>1.9802</v>
      </c>
      <c r="N245" s="16">
        <f>IF('Dry_Litterbag Placem_Collection'!G172="N.A","",'Dry_Litterbag Placem_Collection'!G172)</f>
        <v>43009</v>
      </c>
      <c r="O245" s="195">
        <f>IF(IFERROR(INDEX('Both teabags AfterDry'!$D$1:$D$839,MATCH(H245,'Both teabags AfterDry'!$A$1:$A$839,0)),"")="N.A","",(IFERROR(INDEX('Both teabags AfterDry'!$D$1:$D$839,MATCH(H245,'Both teabags AfterDry'!$A$1:$A$839,0)),"")))</f>
        <v>0.94779999999999998</v>
      </c>
      <c r="P245" s="195">
        <f>IF(IFERROR(INDEX('Both teabags AfterDry'!$D$1:$D$839,MATCH(I245,'Both teabags AfterDry'!$A$1:$A$839,0)),"")="N.A","",(IFERROR(INDEX('Both teabags AfterDry'!$D$1:$D$839,MATCH(I245,'Both teabags AfterDry'!$A$1:$A$839,0)),"")))</f>
        <v>1.7605</v>
      </c>
      <c r="Q245" s="195">
        <f t="shared" si="23"/>
        <v>0.79719999999999991</v>
      </c>
      <c r="R245" s="195">
        <f t="shared" si="23"/>
        <v>1.6098999999999999</v>
      </c>
      <c r="S245" s="195">
        <f t="shared" si="18"/>
        <v>0.55067072483372792</v>
      </c>
      <c r="T245" s="195">
        <f t="shared" si="24"/>
        <v>0.3610097863518027</v>
      </c>
      <c r="U245" s="195">
        <f t="shared" si="19"/>
        <v>0.81299868700131295</v>
      </c>
      <c r="V245">
        <f t="shared" si="20"/>
        <v>69</v>
      </c>
      <c r="W245" s="195">
        <f t="shared" si="25"/>
        <v>0.34599676385542999</v>
      </c>
      <c r="X245" s="195">
        <f t="shared" si="26"/>
        <v>1.0576827123371818E-2</v>
      </c>
      <c r="Y245" s="255" t="str">
        <f>IF(ISNUMBER(SEARCH("C", 'Dry_Litterbag Placem_Collection'!T172)),"YES","NO")</f>
        <v>NO</v>
      </c>
      <c r="Z245" s="255" t="str">
        <f>IF(ISNUMBER(SEARCH("H", 'Dry_Litterbag Placem_Collection'!T172)),"YES","NO")</f>
        <v>NO</v>
      </c>
      <c r="AA245" s="255" t="str">
        <f>IF(ISNUMBER(SEARCH("R", 'Dry_Litterbag Placem_Collection'!T172)),"YES","NO")</f>
        <v>YES</v>
      </c>
      <c r="AB245" s="255" t="str">
        <f>IF(ISNUMBER(SEARCH("C", 'Dry_Litterbag Placem_Collection'!S172)),"YES","NO")</f>
        <v>NO</v>
      </c>
      <c r="AC245" s="255" t="str">
        <f>IF(ISNUMBER(SEARCH("H", 'Dry_Litterbag Placem_Collection'!S172)),"YES","NO")</f>
        <v>YES</v>
      </c>
      <c r="AD245" s="255" t="str">
        <f>IF(ISNUMBER(SEARCH("R", 'Dry_Litterbag Placem_Collection'!S172)),"YES","NO")</f>
        <v>YES</v>
      </c>
    </row>
    <row r="246" spans="2:30">
      <c r="B246" t="str">
        <f>'Final data_for_R_analysis_Dryse'!A172</f>
        <v>Dry</v>
      </c>
      <c r="C246" s="263">
        <f>'Final data_for_R_analysis_Dryse'!B172</f>
        <v>171</v>
      </c>
      <c r="D246" t="s">
        <v>3853</v>
      </c>
      <c r="E246" t="s">
        <v>22</v>
      </c>
      <c r="F246" s="386">
        <v>3</v>
      </c>
      <c r="G246" s="16">
        <f>'Dry_Litterbag Placem_Collection'!E173</f>
        <v>42940</v>
      </c>
      <c r="H246" t="str">
        <f>'Final data_for_R_analysis_Dryse'!J172</f>
        <v>G149</v>
      </c>
      <c r="I246" t="str">
        <f>'Final data_for_R_analysis_Dryse'!J392</f>
        <v>R655</v>
      </c>
      <c r="J246">
        <f>IFERROR(INDEX('Green_rooibos initial weight'!$C$5:$C$1749,MATCH(H246, 'Green_rooibos initial weight'!$A$5:$A$1749,0)),"")</f>
        <v>2.1789999999999998</v>
      </c>
      <c r="K246">
        <f>IFERROR(INDEX('Green_rooibos initial weight'!$C$5:$C$1749,MATCH(I246, 'Green_rooibos initial weight'!$A$5:$A$1749,0)),"")</f>
        <v>2.1779999999999999</v>
      </c>
      <c r="L246" s="195">
        <f t="shared" si="21"/>
        <v>1.9291999999999998</v>
      </c>
      <c r="M246" s="195">
        <f t="shared" si="22"/>
        <v>1.9281999999999999</v>
      </c>
      <c r="N246" s="16">
        <f>IF('Dry_Litterbag Placem_Collection'!G173="N.A","",'Dry_Litterbag Placem_Collection'!G173)</f>
        <v>43009</v>
      </c>
      <c r="O246" s="195">
        <f>IF(IFERROR(INDEX('Both teabags AfterDry'!$D$1:$D$839,MATCH(H246,'Both teabags AfterDry'!$A$1:$A$839,0)),"")="N.A","",(IFERROR(INDEX('Both teabags AfterDry'!$D$1:$D$839,MATCH(H246,'Both teabags AfterDry'!$A$1:$A$839,0)),"")))</f>
        <v>0.75890000000000002</v>
      </c>
      <c r="P246" s="195">
        <f>IF(IFERROR(INDEX('Both teabags AfterDry'!$D$1:$D$839,MATCH(I246,'Both teabags AfterDry'!$A$1:$A$839,0)),"")="N.A","",(IFERROR(INDEX('Both teabags AfterDry'!$D$1:$D$839,MATCH(I246,'Both teabags AfterDry'!$A$1:$A$839,0)),"")))</f>
        <v>3.7545000000000002</v>
      </c>
      <c r="Q246" s="195">
        <f t="shared" si="23"/>
        <v>0.60830000000000006</v>
      </c>
      <c r="R246" s="195">
        <f t="shared" si="23"/>
        <v>3.6039000000000003</v>
      </c>
      <c r="S246" s="195">
        <f t="shared" si="18"/>
        <v>0.68468795355587808</v>
      </c>
      <c r="T246" s="195">
        <f t="shared" si="24"/>
        <v>0.44886906218865169</v>
      </c>
      <c r="U246" s="195">
        <f t="shared" si="19"/>
        <v>1.869048853853335</v>
      </c>
      <c r="V246">
        <f t="shared" si="20"/>
        <v>69</v>
      </c>
      <c r="W246" s="195">
        <f t="shared" si="25"/>
        <v>0.18683140907852958</v>
      </c>
      <c r="X246" s="195">
        <f t="shared" si="26"/>
        <v>-1.5609814633218087E-2</v>
      </c>
      <c r="Y246" s="255" t="str">
        <f>IF(ISNUMBER(SEARCH("C", 'Dry_Litterbag Placem_Collection'!T173)),"YES","NO")</f>
        <v>NO</v>
      </c>
      <c r="Z246" s="255" t="str">
        <f>IF(ISNUMBER(SEARCH("H", 'Dry_Litterbag Placem_Collection'!T173)),"YES","NO")</f>
        <v>YES</v>
      </c>
      <c r="AA246" s="255" t="str">
        <f>IF(ISNUMBER(SEARCH("R", 'Dry_Litterbag Placem_Collection'!T173)),"YES","NO")</f>
        <v>YES</v>
      </c>
      <c r="AB246" s="255" t="str">
        <f>IF(ISNUMBER(SEARCH("C", 'Dry_Litterbag Placem_Collection'!S173)),"YES","NO")</f>
        <v>NO</v>
      </c>
      <c r="AC246" s="255" t="str">
        <f>IF(ISNUMBER(SEARCH("H", 'Dry_Litterbag Placem_Collection'!S173)),"YES","NO")</f>
        <v>NO</v>
      </c>
      <c r="AD246" s="255" t="str">
        <f>IF(ISNUMBER(SEARCH("R", 'Dry_Litterbag Placem_Collection'!S173)),"YES","NO")</f>
        <v>YES</v>
      </c>
    </row>
    <row r="247" spans="2:30">
      <c r="B247" t="str">
        <f>'Final data_for_R_analysis_Dryse'!A173</f>
        <v>Dry</v>
      </c>
      <c r="C247" s="263">
        <f>'Final data_for_R_analysis_Dryse'!B173</f>
        <v>172</v>
      </c>
      <c r="D247" t="s">
        <v>3853</v>
      </c>
      <c r="E247" t="s">
        <v>22</v>
      </c>
      <c r="F247" s="387">
        <v>4</v>
      </c>
      <c r="G247" s="16">
        <f>'Dry_Litterbag Placem_Collection'!E174</f>
        <v>0</v>
      </c>
      <c r="H247" t="str">
        <f>'Final data_for_R_analysis_Dryse'!J173</f>
        <v/>
      </c>
      <c r="I247" t="str">
        <f>'Final data_for_R_analysis_Dryse'!J393</f>
        <v/>
      </c>
      <c r="J247" t="str">
        <f>IFERROR(INDEX('Green_rooibos initial weight'!$C$5:$C$1749,MATCH(H247, 'Green_rooibos initial weight'!$A$5:$A$1749,0)),"")</f>
        <v/>
      </c>
      <c r="K247" t="str">
        <f>IFERROR(INDEX('Green_rooibos initial weight'!$C$5:$C$1749,MATCH(I247, 'Green_rooibos initial weight'!$A$5:$A$1749,0)),"")</f>
        <v/>
      </c>
      <c r="L247" s="195" t="str">
        <f t="shared" si="21"/>
        <v/>
      </c>
      <c r="M247" s="195" t="str">
        <f t="shared" si="22"/>
        <v/>
      </c>
      <c r="N247" s="16">
        <f>IF('Dry_Litterbag Placem_Collection'!G174="N.A","",'Dry_Litterbag Placem_Collection'!G174)</f>
        <v>0</v>
      </c>
      <c r="O247" s="195" t="str">
        <f>IF(IFERROR(INDEX('Both teabags AfterDry'!$D$1:$D$839,MATCH(H247,'Both teabags AfterDry'!$A$1:$A$839,0)),"")="N.A","",(IFERROR(INDEX('Both teabags AfterDry'!$D$1:$D$839,MATCH(H247,'Both teabags AfterDry'!$A$1:$A$839,0)),"")))</f>
        <v/>
      </c>
      <c r="P247" s="195" t="str">
        <f>IF(IFERROR(INDEX('Both teabags AfterDry'!$D$1:$D$839,MATCH(I247,'Both teabags AfterDry'!$A$1:$A$839,0)),"")="N.A","",(IFERROR(INDEX('Both teabags AfterDry'!$D$1:$D$839,MATCH(I247,'Both teabags AfterDry'!$A$1:$A$839,0)),"")))</f>
        <v/>
      </c>
      <c r="Q247" s="195" t="str">
        <f t="shared" si="23"/>
        <v/>
      </c>
      <c r="R247" s="195" t="str">
        <f t="shared" si="23"/>
        <v/>
      </c>
      <c r="S247" s="195" t="str">
        <f t="shared" si="18"/>
        <v/>
      </c>
      <c r="T247" s="195" t="str">
        <f t="shared" si="24"/>
        <v/>
      </c>
      <c r="U247" s="195" t="str">
        <f t="shared" si="19"/>
        <v/>
      </c>
      <c r="V247" t="str">
        <f t="shared" si="20"/>
        <v/>
      </c>
      <c r="W247" s="195" t="str">
        <f t="shared" si="25"/>
        <v/>
      </c>
      <c r="X247" s="195" t="str">
        <f t="shared" si="26"/>
        <v/>
      </c>
      <c r="Y247" s="255" t="str">
        <f>IF(ISNUMBER(SEARCH("C", 'Dry_Litterbag Placem_Collection'!T174)),"YES","NO")</f>
        <v>NO</v>
      </c>
      <c r="Z247" s="255" t="str">
        <f>IF(ISNUMBER(SEARCH("H", 'Dry_Litterbag Placem_Collection'!T174)),"YES","NO")</f>
        <v>NO</v>
      </c>
      <c r="AA247" s="255" t="str">
        <f>IF(ISNUMBER(SEARCH("R", 'Dry_Litterbag Placem_Collection'!T174)),"YES","NO")</f>
        <v>NO</v>
      </c>
      <c r="AB247" s="255" t="str">
        <f>IF(ISNUMBER(SEARCH("C", 'Dry_Litterbag Placem_Collection'!S174)),"YES","NO")</f>
        <v>NO</v>
      </c>
      <c r="AC247" s="255" t="str">
        <f>IF(ISNUMBER(SEARCH("H", 'Dry_Litterbag Placem_Collection'!S174)),"YES","NO")</f>
        <v>NO</v>
      </c>
      <c r="AD247" s="255" t="str">
        <f>IF(ISNUMBER(SEARCH("R", 'Dry_Litterbag Placem_Collection'!S174)),"YES","NO")</f>
        <v>NO</v>
      </c>
    </row>
    <row r="248" spans="2:30">
      <c r="B248" t="str">
        <f>'Final data_for_R_analysis_Dryse'!A174</f>
        <v>Dry</v>
      </c>
      <c r="C248" s="263">
        <f>'Final data_for_R_analysis_Dryse'!B174</f>
        <v>173</v>
      </c>
      <c r="D248" t="s">
        <v>3853</v>
      </c>
      <c r="E248" t="s">
        <v>22</v>
      </c>
      <c r="F248" s="387">
        <v>5</v>
      </c>
      <c r="G248" s="16">
        <f>'Dry_Litterbag Placem_Collection'!E175</f>
        <v>42940</v>
      </c>
      <c r="H248" t="str">
        <f>'Final data_for_R_analysis_Dryse'!J174</f>
        <v>G597</v>
      </c>
      <c r="I248" t="str">
        <f>'Final data_for_R_analysis_Dryse'!J394</f>
        <v>R405</v>
      </c>
      <c r="J248">
        <f>IFERROR(INDEX('Green_rooibos initial weight'!$C$5:$C$1749,MATCH(H248, 'Green_rooibos initial weight'!$A$5:$A$1749,0)),"")</f>
        <v>1.948</v>
      </c>
      <c r="K248">
        <f>IFERROR(INDEX('Green_rooibos initial weight'!$C$5:$C$1749,MATCH(I248, 'Green_rooibos initial weight'!$A$5:$A$1749,0)),"")</f>
        <v>2.2400000000000002</v>
      </c>
      <c r="L248" s="195">
        <f t="shared" si="21"/>
        <v>1.6981999999999999</v>
      </c>
      <c r="M248" s="195">
        <f t="shared" si="22"/>
        <v>1.9902000000000002</v>
      </c>
      <c r="N248" s="16">
        <f>IF('Dry_Litterbag Placem_Collection'!G175="N.A","",'Dry_Litterbag Placem_Collection'!G175)</f>
        <v>43009</v>
      </c>
      <c r="O248" s="195" t="str">
        <f>IF(IFERROR(INDEX('Both teabags AfterDry'!$D$1:$D$839,MATCH(H248,'Both teabags AfterDry'!$A$1:$A$839,0)),"")="N.A","",(IFERROR(INDEX('Both teabags AfterDry'!$D$1:$D$839,MATCH(H248,'Both teabags AfterDry'!$A$1:$A$839,0)),"")))</f>
        <v/>
      </c>
      <c r="P248" s="195" t="str">
        <f>IF(IFERROR(INDEX('Both teabags AfterDry'!$D$1:$D$839,MATCH(I248,'Both teabags AfterDry'!$A$1:$A$839,0)),"")="N.A","",(IFERROR(INDEX('Both teabags AfterDry'!$D$1:$D$839,MATCH(I248,'Both teabags AfterDry'!$A$1:$A$839,0)),"")))</f>
        <v/>
      </c>
      <c r="Q248" s="195" t="str">
        <f t="shared" si="23"/>
        <v/>
      </c>
      <c r="R248" s="195" t="str">
        <f t="shared" si="23"/>
        <v/>
      </c>
      <c r="S248" s="195" t="str">
        <f t="shared" si="18"/>
        <v/>
      </c>
      <c r="T248" s="195" t="str">
        <f t="shared" si="24"/>
        <v/>
      </c>
      <c r="U248" s="195" t="str">
        <f t="shared" si="19"/>
        <v/>
      </c>
      <c r="V248">
        <f t="shared" si="20"/>
        <v>69</v>
      </c>
      <c r="W248" s="195" t="str">
        <f t="shared" si="25"/>
        <v/>
      </c>
      <c r="X248" s="195" t="str">
        <f t="shared" si="26"/>
        <v/>
      </c>
      <c r="Y248" s="255" t="str">
        <f>IF(ISNUMBER(SEARCH("C", 'Dry_Litterbag Placem_Collection'!T175)),"YES","NO")</f>
        <v>NO</v>
      </c>
      <c r="Z248" s="255" t="str">
        <f>IF(ISNUMBER(SEARCH("H", 'Dry_Litterbag Placem_Collection'!T175)),"YES","NO")</f>
        <v>YES</v>
      </c>
      <c r="AA248" s="255" t="str">
        <f>IF(ISNUMBER(SEARCH("R", 'Dry_Litterbag Placem_Collection'!T175)),"YES","NO")</f>
        <v>YES</v>
      </c>
      <c r="AB248" s="255" t="str">
        <f>IF(ISNUMBER(SEARCH("C", 'Dry_Litterbag Placem_Collection'!S175)),"YES","NO")</f>
        <v>NO</v>
      </c>
      <c r="AC248" s="255" t="str">
        <f>IF(ISNUMBER(SEARCH("H", 'Dry_Litterbag Placem_Collection'!S175)),"YES","NO")</f>
        <v>YES</v>
      </c>
      <c r="AD248" s="255" t="str">
        <f>IF(ISNUMBER(SEARCH("R", 'Dry_Litterbag Placem_Collection'!S175)),"YES","NO")</f>
        <v>YES</v>
      </c>
    </row>
    <row r="249" spans="2:30">
      <c r="B249" t="str">
        <f>'Final data_for_R_analysis_Dryse'!A175</f>
        <v>Dry</v>
      </c>
      <c r="C249" s="263">
        <f>'Final data_for_R_analysis_Dryse'!B175</f>
        <v>174</v>
      </c>
      <c r="D249" t="s">
        <v>3853</v>
      </c>
      <c r="E249" t="s">
        <v>22</v>
      </c>
      <c r="F249" s="387">
        <v>6</v>
      </c>
      <c r="G249" s="16">
        <f>'Dry_Litterbag Placem_Collection'!E176</f>
        <v>42940</v>
      </c>
      <c r="H249" t="str">
        <f>'Final data_for_R_analysis_Dryse'!J175</f>
        <v>G396</v>
      </c>
      <c r="I249" t="str">
        <f>'Final data_for_R_analysis_Dryse'!J395</f>
        <v>R736</v>
      </c>
      <c r="J249">
        <f>IFERROR(INDEX('Green_rooibos initial weight'!$C$5:$C$1749,MATCH(H249, 'Green_rooibos initial weight'!$A$5:$A$1749,0)),"")</f>
        <v>2.0070000000000001</v>
      </c>
      <c r="K249">
        <f>IFERROR(INDEX('Green_rooibos initial weight'!$C$5:$C$1749,MATCH(I249, 'Green_rooibos initial weight'!$A$5:$A$1749,0)),"")</f>
        <v>2.2189999999999999</v>
      </c>
      <c r="L249" s="195">
        <f t="shared" si="21"/>
        <v>1.7572000000000001</v>
      </c>
      <c r="M249" s="195">
        <f t="shared" si="22"/>
        <v>1.9691999999999998</v>
      </c>
      <c r="N249" s="16">
        <f>IF('Dry_Litterbag Placem_Collection'!G176="N.A","",'Dry_Litterbag Placem_Collection'!G176)</f>
        <v>43009</v>
      </c>
      <c r="O249" s="195">
        <f>IF(IFERROR(INDEX('Both teabags AfterDry'!$D$1:$D$839,MATCH(H249,'Both teabags AfterDry'!$A$1:$A$839,0)),"")="N.A","",(IFERROR(INDEX('Both teabags AfterDry'!$D$1:$D$839,MATCH(H249,'Both teabags AfterDry'!$A$1:$A$839,0)),"")))</f>
        <v>0.80349999999999999</v>
      </c>
      <c r="P249" s="195">
        <f>IF(IFERROR(INDEX('Both teabags AfterDry'!$D$1:$D$839,MATCH(I249,'Both teabags AfterDry'!$A$1:$A$839,0)),"")="N.A","",(IFERROR(INDEX('Both teabags AfterDry'!$D$1:$D$839,MATCH(I249,'Both teabags AfterDry'!$A$1:$A$839,0)),"")))</f>
        <v>1.6238999999999999</v>
      </c>
      <c r="Q249" s="195">
        <f t="shared" si="23"/>
        <v>0.65290000000000004</v>
      </c>
      <c r="R249" s="195">
        <f t="shared" si="23"/>
        <v>1.4732999999999998</v>
      </c>
      <c r="S249" s="195">
        <f t="shared" si="18"/>
        <v>0.62844297746414757</v>
      </c>
      <c r="T249" s="195">
        <f t="shared" si="24"/>
        <v>0.41199587121165027</v>
      </c>
      <c r="U249" s="195">
        <f t="shared" si="19"/>
        <v>0.74817184643510048</v>
      </c>
      <c r="V249">
        <f t="shared" si="20"/>
        <v>69</v>
      </c>
      <c r="W249" s="195">
        <f t="shared" si="25"/>
        <v>0.25363066809483659</v>
      </c>
      <c r="X249" s="195">
        <f t="shared" si="26"/>
        <v>1.3692635166048265E-2</v>
      </c>
      <c r="Y249" s="255" t="str">
        <f>IF(ISNUMBER(SEARCH("C", 'Dry_Litterbag Placem_Collection'!T176)),"YES","NO")</f>
        <v>NO</v>
      </c>
      <c r="Z249" s="255" t="str">
        <f>IF(ISNUMBER(SEARCH("H", 'Dry_Litterbag Placem_Collection'!T176)),"YES","NO")</f>
        <v>NO</v>
      </c>
      <c r="AA249" s="255" t="str">
        <f>IF(ISNUMBER(SEARCH("R", 'Dry_Litterbag Placem_Collection'!T176)),"YES","NO")</f>
        <v>YES</v>
      </c>
      <c r="AB249" s="255" t="str">
        <f>IF(ISNUMBER(SEARCH("C", 'Dry_Litterbag Placem_Collection'!S176)),"YES","NO")</f>
        <v>NO</v>
      </c>
      <c r="AC249" s="255" t="str">
        <f>IF(ISNUMBER(SEARCH("H", 'Dry_Litterbag Placem_Collection'!S176)),"YES","NO")</f>
        <v>YES</v>
      </c>
      <c r="AD249" s="255" t="str">
        <f>IF(ISNUMBER(SEARCH("R", 'Dry_Litterbag Placem_Collection'!S176)),"YES","NO")</f>
        <v>YES</v>
      </c>
    </row>
    <row r="250" spans="2:30">
      <c r="B250" t="str">
        <f>'Final data_for_R_analysis_Dryse'!A176</f>
        <v>Dry</v>
      </c>
      <c r="C250" s="263">
        <f>'Final data_for_R_analysis_Dryse'!B176</f>
        <v>175</v>
      </c>
      <c r="D250" t="s">
        <v>3853</v>
      </c>
      <c r="E250" t="s">
        <v>22</v>
      </c>
      <c r="F250" s="387">
        <v>7</v>
      </c>
      <c r="G250" s="16">
        <f>'Dry_Litterbag Placem_Collection'!E177</f>
        <v>42940</v>
      </c>
      <c r="H250" t="str">
        <f>'Final data_for_R_analysis_Dryse'!J176</f>
        <v>G612</v>
      </c>
      <c r="I250" t="str">
        <f>'Final data_for_R_analysis_Dryse'!J396</f>
        <v>R338</v>
      </c>
      <c r="J250">
        <f>IFERROR(INDEX('Green_rooibos initial weight'!$C$5:$C$1749,MATCH(H250, 'Green_rooibos initial weight'!$A$5:$A$1749,0)),"")</f>
        <v>2.004</v>
      </c>
      <c r="K250">
        <f>IFERROR(INDEX('Green_rooibos initial weight'!$C$5:$C$1749,MATCH(I250, 'Green_rooibos initial weight'!$A$5:$A$1749,0)),"")</f>
        <v>2.1709999999999998</v>
      </c>
      <c r="L250" s="195">
        <f t="shared" si="21"/>
        <v>1.7542</v>
      </c>
      <c r="M250" s="195">
        <f t="shared" si="22"/>
        <v>1.9211999999999998</v>
      </c>
      <c r="N250" s="16">
        <f>IF('Dry_Litterbag Placem_Collection'!G177="N.A","",'Dry_Litterbag Placem_Collection'!G177)</f>
        <v>43009</v>
      </c>
      <c r="O250" s="195">
        <f>IF(IFERROR(INDEX('Both teabags AfterDry'!$D$1:$D$839,MATCH(H250,'Both teabags AfterDry'!$A$1:$A$839,0)),"")="N.A","",(IFERROR(INDEX('Both teabags AfterDry'!$D$1:$D$839,MATCH(H250,'Both teabags AfterDry'!$A$1:$A$839,0)),"")))</f>
        <v>0.83</v>
      </c>
      <c r="P250" s="195">
        <f>IF(IFERROR(INDEX('Both teabags AfterDry'!$D$1:$D$839,MATCH(I250,'Both teabags AfterDry'!$A$1:$A$839,0)),"")="N.A","",(IFERROR(INDEX('Both teabags AfterDry'!$D$1:$D$839,MATCH(I250,'Both teabags AfterDry'!$A$1:$A$839,0)),"")))</f>
        <v>1.8117000000000001</v>
      </c>
      <c r="Q250" s="195">
        <f t="shared" si="23"/>
        <v>0.6794</v>
      </c>
      <c r="R250" s="195">
        <f t="shared" si="23"/>
        <v>1.6611</v>
      </c>
      <c r="S250" s="195">
        <f t="shared" si="18"/>
        <v>0.6127009463003078</v>
      </c>
      <c r="T250" s="195">
        <f t="shared" si="24"/>
        <v>0.40167567975982177</v>
      </c>
      <c r="U250" s="195">
        <f t="shared" si="19"/>
        <v>0.86461586508432242</v>
      </c>
      <c r="V250">
        <f t="shared" si="20"/>
        <v>69</v>
      </c>
      <c r="W250" s="195">
        <f t="shared" si="25"/>
        <v>0.27232666710177222</v>
      </c>
      <c r="X250" s="195">
        <f t="shared" si="26"/>
        <v>5.957293542268355E-3</v>
      </c>
      <c r="Y250" s="255" t="str">
        <f>IF(ISNUMBER(SEARCH("C", 'Dry_Litterbag Placem_Collection'!T177)),"YES","NO")</f>
        <v>NO</v>
      </c>
      <c r="Z250" s="255" t="str">
        <f>IF(ISNUMBER(SEARCH("H", 'Dry_Litterbag Placem_Collection'!T177)),"YES","NO")</f>
        <v>NO</v>
      </c>
      <c r="AA250" s="255" t="str">
        <f>IF(ISNUMBER(SEARCH("R", 'Dry_Litterbag Placem_Collection'!T177)),"YES","NO")</f>
        <v>NO</v>
      </c>
      <c r="AB250" s="255" t="str">
        <f>IF(ISNUMBER(SEARCH("C", 'Dry_Litterbag Placem_Collection'!S177)),"YES","NO")</f>
        <v>NO</v>
      </c>
      <c r="AC250" s="255" t="str">
        <f>IF(ISNUMBER(SEARCH("H", 'Dry_Litterbag Placem_Collection'!S177)),"YES","NO")</f>
        <v>YES</v>
      </c>
      <c r="AD250" s="255" t="str">
        <f>IF(ISNUMBER(SEARCH("R", 'Dry_Litterbag Placem_Collection'!S177)),"YES","NO")</f>
        <v>YES</v>
      </c>
    </row>
    <row r="251" spans="2:30">
      <c r="B251" t="str">
        <f>'Final data_for_R_analysis_Dryse'!A177</f>
        <v>Dry</v>
      </c>
      <c r="C251" s="263">
        <f>'Final data_for_R_analysis_Dryse'!B177</f>
        <v>176</v>
      </c>
      <c r="D251" t="s">
        <v>3853</v>
      </c>
      <c r="E251" t="s">
        <v>22</v>
      </c>
      <c r="F251" s="387">
        <v>8</v>
      </c>
      <c r="G251" s="16">
        <f>'Dry_Litterbag Placem_Collection'!E178</f>
        <v>42940</v>
      </c>
      <c r="H251" t="str">
        <f>'Final data_for_R_analysis_Dryse'!J177</f>
        <v>G183</v>
      </c>
      <c r="I251" t="str">
        <f>'Final data_for_R_analysis_Dryse'!J397</f>
        <v>R52</v>
      </c>
      <c r="J251">
        <f>IFERROR(INDEX('Green_rooibos initial weight'!$C$5:$C$1749,MATCH(H251, 'Green_rooibos initial weight'!$A$5:$A$1749,0)),"")</f>
        <v>1.897</v>
      </c>
      <c r="K251">
        <f>IFERROR(INDEX('Green_rooibos initial weight'!$C$5:$C$1749,MATCH(I251, 'Green_rooibos initial weight'!$A$5:$A$1749,0)),"")</f>
        <v>2.1629999999999998</v>
      </c>
      <c r="L251" s="195">
        <f t="shared" si="21"/>
        <v>1.6472</v>
      </c>
      <c r="M251" s="195">
        <f t="shared" si="22"/>
        <v>1.9131999999999998</v>
      </c>
      <c r="N251" s="16">
        <f>IF('Dry_Litterbag Placem_Collection'!G178="N.A","",'Dry_Litterbag Placem_Collection'!G178)</f>
        <v>43009</v>
      </c>
      <c r="O251" s="195">
        <f>IF(IFERROR(INDEX('Both teabags AfterDry'!$D$1:$D$839,MATCH(H251,'Both teabags AfterDry'!$A$1:$A$839,0)),"")="N.A","",(IFERROR(INDEX('Both teabags AfterDry'!$D$1:$D$839,MATCH(H251,'Both teabags AfterDry'!$A$1:$A$839,0)),"")))</f>
        <v>0.92459999999999998</v>
      </c>
      <c r="P251" s="195">
        <f>IF(IFERROR(INDEX('Both teabags AfterDry'!$D$1:$D$839,MATCH(I251,'Both teabags AfterDry'!$A$1:$A$839,0)),"")="N.A","",(IFERROR(INDEX('Both teabags AfterDry'!$D$1:$D$839,MATCH(I251,'Both teabags AfterDry'!$A$1:$A$839,0)),"")))</f>
        <v>0</v>
      </c>
      <c r="Q251" s="195">
        <f t="shared" si="23"/>
        <v>0.77400000000000002</v>
      </c>
      <c r="R251" s="195" t="str">
        <f t="shared" si="23"/>
        <v/>
      </c>
      <c r="S251" s="195">
        <f t="shared" si="18"/>
        <v>0.53011170471102476</v>
      </c>
      <c r="T251" s="195">
        <f t="shared" si="24"/>
        <v>0.34753166389606377</v>
      </c>
      <c r="U251" s="195" t="str">
        <f t="shared" si="19"/>
        <v/>
      </c>
      <c r="V251">
        <f t="shared" si="20"/>
        <v>69</v>
      </c>
      <c r="W251" s="195">
        <f t="shared" si="25"/>
        <v>0.37041365236220336</v>
      </c>
      <c r="X251" s="195" t="str">
        <f t="shared" si="26"/>
        <v/>
      </c>
      <c r="Y251" s="255" t="str">
        <f>IF(ISNUMBER(SEARCH("C", 'Dry_Litterbag Placem_Collection'!T178)),"YES","NO")</f>
        <v>NO</v>
      </c>
      <c r="Z251" s="255" t="str">
        <f>IF(ISNUMBER(SEARCH("H", 'Dry_Litterbag Placem_Collection'!T178)),"YES","NO")</f>
        <v>YES</v>
      </c>
      <c r="AA251" s="255" t="str">
        <f>IF(ISNUMBER(SEARCH("R", 'Dry_Litterbag Placem_Collection'!T178)),"YES","NO")</f>
        <v>YES</v>
      </c>
      <c r="AB251" s="255" t="str">
        <f>IF(ISNUMBER(SEARCH("C", 'Dry_Litterbag Placem_Collection'!S178)),"YES","NO")</f>
        <v>NO</v>
      </c>
      <c r="AC251" s="255" t="str">
        <f>IF(ISNUMBER(SEARCH("H", 'Dry_Litterbag Placem_Collection'!S178)),"YES","NO")</f>
        <v>YES</v>
      </c>
      <c r="AD251" s="255" t="str">
        <f>IF(ISNUMBER(SEARCH("R", 'Dry_Litterbag Placem_Collection'!S178)),"YES","NO")</f>
        <v>YES</v>
      </c>
    </row>
    <row r="252" spans="2:30">
      <c r="B252" t="str">
        <f>'Final data_for_R_analysis_Dryse'!A178</f>
        <v>Dry</v>
      </c>
      <c r="C252" s="263">
        <f>'Final data_for_R_analysis_Dryse'!B178</f>
        <v>177</v>
      </c>
      <c r="D252" t="s">
        <v>3854</v>
      </c>
      <c r="E252" t="s">
        <v>22</v>
      </c>
      <c r="F252" s="386">
        <v>1</v>
      </c>
      <c r="G252" s="16">
        <f>'Dry_Litterbag Placem_Collection'!E179</f>
        <v>42940</v>
      </c>
      <c r="H252" t="str">
        <f>'Final data_for_R_analysis_Dryse'!J178</f>
        <v>G98</v>
      </c>
      <c r="I252" t="str">
        <f>'Final data_for_R_analysis_Dryse'!J398</f>
        <v>R750</v>
      </c>
      <c r="J252">
        <f>IFERROR(INDEX('Green_rooibos initial weight'!$C$5:$C$1749,MATCH(H252, 'Green_rooibos initial weight'!$A$5:$A$1749,0)),"")</f>
        <v>2.0979999999999999</v>
      </c>
      <c r="K252">
        <f>IFERROR(INDEX('Green_rooibos initial weight'!$C$5:$C$1749,MATCH(I252, 'Green_rooibos initial weight'!$A$5:$A$1749,0)),"")</f>
        <v>2.2029999999999998</v>
      </c>
      <c r="L252" s="195">
        <f t="shared" si="21"/>
        <v>1.8481999999999998</v>
      </c>
      <c r="M252" s="195">
        <f t="shared" si="22"/>
        <v>1.9531999999999998</v>
      </c>
      <c r="N252" s="16">
        <f>IF('Dry_Litterbag Placem_Collection'!G179="N.A","",'Dry_Litterbag Placem_Collection'!G179)</f>
        <v>43009</v>
      </c>
      <c r="O252" s="195" t="str">
        <f>IF(IFERROR(INDEX('Both teabags AfterDry'!$D$1:$D$839,MATCH(H252,'Both teabags AfterDry'!$A$1:$A$839,0)),"")="N.A","",(IFERROR(INDEX('Both teabags AfterDry'!$D$1:$D$839,MATCH(H252,'Both teabags AfterDry'!$A$1:$A$839,0)),"")))</f>
        <v/>
      </c>
      <c r="P252" s="195" t="str">
        <f>IF(IFERROR(INDEX('Both teabags AfterDry'!$D$1:$D$839,MATCH(I252,'Both teabags AfterDry'!$A$1:$A$839,0)),"")="N.A","",(IFERROR(INDEX('Both teabags AfterDry'!$D$1:$D$839,MATCH(I252,'Both teabags AfterDry'!$A$1:$A$839,0)),"")))</f>
        <v/>
      </c>
      <c r="Q252" s="195" t="str">
        <f t="shared" si="23"/>
        <v/>
      </c>
      <c r="R252" s="195" t="str">
        <f t="shared" si="23"/>
        <v/>
      </c>
      <c r="S252" s="195" t="str">
        <f t="shared" si="18"/>
        <v/>
      </c>
      <c r="T252" s="195" t="str">
        <f t="shared" si="24"/>
        <v/>
      </c>
      <c r="U252" s="195" t="str">
        <f t="shared" si="19"/>
        <v/>
      </c>
      <c r="V252">
        <f t="shared" si="20"/>
        <v>69</v>
      </c>
      <c r="W252" s="195" t="str">
        <f t="shared" si="25"/>
        <v/>
      </c>
      <c r="X252" s="195" t="str">
        <f t="shared" si="26"/>
        <v/>
      </c>
      <c r="Y252" s="255" t="str">
        <f>IF(ISNUMBER(SEARCH("C", 'Dry_Litterbag Placem_Collection'!T179)),"YES","NO")</f>
        <v>YES</v>
      </c>
      <c r="Z252" s="255" t="str">
        <f>IF(ISNUMBER(SEARCH("H", 'Dry_Litterbag Placem_Collection'!T179)),"YES","NO")</f>
        <v>YES</v>
      </c>
      <c r="AA252" s="255" t="str">
        <f>IF(ISNUMBER(SEARCH("R", 'Dry_Litterbag Placem_Collection'!T179)),"YES","NO")</f>
        <v>YES</v>
      </c>
      <c r="AB252" s="255" t="str">
        <f>IF(ISNUMBER(SEARCH("C", 'Dry_Litterbag Placem_Collection'!S179)),"YES","NO")</f>
        <v>NO</v>
      </c>
      <c r="AC252" s="255" t="str">
        <f>IF(ISNUMBER(SEARCH("H", 'Dry_Litterbag Placem_Collection'!S179)),"YES","NO")</f>
        <v>YES</v>
      </c>
      <c r="AD252" s="255" t="str">
        <f>IF(ISNUMBER(SEARCH("R", 'Dry_Litterbag Placem_Collection'!S179)),"YES","NO")</f>
        <v>YES</v>
      </c>
    </row>
    <row r="253" spans="2:30">
      <c r="B253" t="str">
        <f>'Final data_for_R_analysis_Dryse'!A179</f>
        <v>Dry</v>
      </c>
      <c r="C253" s="263">
        <f>'Final data_for_R_analysis_Dryse'!B179</f>
        <v>178</v>
      </c>
      <c r="D253" t="s">
        <v>3854</v>
      </c>
      <c r="E253" t="s">
        <v>22</v>
      </c>
      <c r="F253" s="386">
        <v>2</v>
      </c>
      <c r="G253" s="16">
        <f>'Dry_Litterbag Placem_Collection'!E180</f>
        <v>42940</v>
      </c>
      <c r="H253" t="str">
        <f>'Final data_for_R_analysis_Dryse'!J179</f>
        <v>G353</v>
      </c>
      <c r="I253" t="str">
        <f>'Final data_for_R_analysis_Dryse'!J399</f>
        <v>R612</v>
      </c>
      <c r="J253">
        <f>IFERROR(INDEX('Green_rooibos initial weight'!$C$5:$C$1749,MATCH(H253, 'Green_rooibos initial weight'!$A$5:$A$1749,0)),"")</f>
        <v>1.988</v>
      </c>
      <c r="K253">
        <f>IFERROR(INDEX('Green_rooibos initial weight'!$C$5:$C$1749,MATCH(I253, 'Green_rooibos initial weight'!$A$5:$A$1749,0)),"")</f>
        <v>2.11</v>
      </c>
      <c r="L253" s="195">
        <f t="shared" si="21"/>
        <v>1.7382</v>
      </c>
      <c r="M253" s="195">
        <f t="shared" si="22"/>
        <v>1.8601999999999999</v>
      </c>
      <c r="N253" s="16">
        <f>IF('Dry_Litterbag Placem_Collection'!G180="N.A","",'Dry_Litterbag Placem_Collection'!G180)</f>
        <v>43009</v>
      </c>
      <c r="O253" s="195">
        <f>IF(IFERROR(INDEX('Both teabags AfterDry'!$D$1:$D$839,MATCH(H253,'Both teabags AfterDry'!$A$1:$A$839,0)),"")="N.A","",(IFERROR(INDEX('Both teabags AfterDry'!$D$1:$D$839,MATCH(H253,'Both teabags AfterDry'!$A$1:$A$839,0)),"")))</f>
        <v>0.80569999999999997</v>
      </c>
      <c r="P253" s="195">
        <f>IF(IFERROR(INDEX('Both teabags AfterDry'!$D$1:$D$839,MATCH(I253,'Both teabags AfterDry'!$A$1:$A$839,0)),"")="N.A","",(IFERROR(INDEX('Both teabags AfterDry'!$D$1:$D$839,MATCH(I253,'Both teabags AfterDry'!$A$1:$A$839,0)),"")))</f>
        <v>0</v>
      </c>
      <c r="Q253" s="195">
        <f t="shared" si="23"/>
        <v>0.65510000000000002</v>
      </c>
      <c r="R253" s="195" t="str">
        <f t="shared" si="23"/>
        <v/>
      </c>
      <c r="S253" s="195">
        <f t="shared" si="18"/>
        <v>0.62311586698883903</v>
      </c>
      <c r="T253" s="195">
        <f t="shared" si="24"/>
        <v>0.40850351375040284</v>
      </c>
      <c r="U253" s="195" t="str">
        <f t="shared" si="19"/>
        <v/>
      </c>
      <c r="V253">
        <f t="shared" si="20"/>
        <v>69</v>
      </c>
      <c r="W253" s="195">
        <f t="shared" si="25"/>
        <v>0.25995740262608191</v>
      </c>
      <c r="X253" s="195" t="str">
        <f t="shared" si="26"/>
        <v/>
      </c>
      <c r="Y253" s="255" t="str">
        <f>IF(ISNUMBER(SEARCH("C", 'Dry_Litterbag Placem_Collection'!T180)),"YES","NO")</f>
        <v>YES</v>
      </c>
      <c r="Z253" s="255" t="str">
        <f>IF(ISNUMBER(SEARCH("H", 'Dry_Litterbag Placem_Collection'!T180)),"YES","NO")</f>
        <v>YES</v>
      </c>
      <c r="AA253" s="255" t="str">
        <f>IF(ISNUMBER(SEARCH("R", 'Dry_Litterbag Placem_Collection'!T180)),"YES","NO")</f>
        <v>NO</v>
      </c>
      <c r="AB253" s="255" t="str">
        <f>IF(ISNUMBER(SEARCH("C", 'Dry_Litterbag Placem_Collection'!S180)),"YES","NO")</f>
        <v>NO</v>
      </c>
      <c r="AC253" s="255" t="str">
        <f>IF(ISNUMBER(SEARCH("H", 'Dry_Litterbag Placem_Collection'!S180)),"YES","NO")</f>
        <v>NO</v>
      </c>
      <c r="AD253" s="255" t="str">
        <f>IF(ISNUMBER(SEARCH("R", 'Dry_Litterbag Placem_Collection'!S180)),"YES","NO")</f>
        <v>YES</v>
      </c>
    </row>
    <row r="254" spans="2:30">
      <c r="B254" t="str">
        <f>'Final data_for_R_analysis_Dryse'!A180</f>
        <v>Dry</v>
      </c>
      <c r="C254" s="263">
        <f>'Final data_for_R_analysis_Dryse'!B180</f>
        <v>179</v>
      </c>
      <c r="D254" t="s">
        <v>3854</v>
      </c>
      <c r="E254" t="s">
        <v>22</v>
      </c>
      <c r="F254" s="386">
        <v>3</v>
      </c>
      <c r="G254" s="16">
        <f>'Dry_Litterbag Placem_Collection'!E181</f>
        <v>42940</v>
      </c>
      <c r="H254" t="str">
        <f>'Final data_for_R_analysis_Dryse'!J180</f>
        <v>G42</v>
      </c>
      <c r="I254" t="str">
        <f>'Final data_for_R_analysis_Dryse'!J400</f>
        <v>R491</v>
      </c>
      <c r="J254">
        <f>IFERROR(INDEX('Green_rooibos initial weight'!$C$5:$C$1749,MATCH(H254, 'Green_rooibos initial weight'!$A$5:$A$1749,0)),"")</f>
        <v>1.9530000000000001</v>
      </c>
      <c r="K254">
        <f>IFERROR(INDEX('Green_rooibos initial weight'!$C$5:$C$1749,MATCH(I254, 'Green_rooibos initial weight'!$A$5:$A$1749,0)),"")</f>
        <v>2.2690000000000001</v>
      </c>
      <c r="L254" s="195">
        <f t="shared" si="21"/>
        <v>1.7032</v>
      </c>
      <c r="M254" s="195">
        <f t="shared" si="22"/>
        <v>2.0192000000000001</v>
      </c>
      <c r="N254" s="16">
        <f>IF('Dry_Litterbag Placem_Collection'!G181="N.A","",'Dry_Litterbag Placem_Collection'!G181)</f>
        <v>43009</v>
      </c>
      <c r="O254" s="195" t="str">
        <f>IF(IFERROR(INDEX('Both teabags AfterDry'!$D$1:$D$839,MATCH(H254,'Both teabags AfterDry'!$A$1:$A$839,0)),"")="N.A","",(IFERROR(INDEX('Both teabags AfterDry'!$D$1:$D$839,MATCH(H254,'Both teabags AfterDry'!$A$1:$A$839,0)),"")))</f>
        <v/>
      </c>
      <c r="P254" s="195">
        <f>IF(IFERROR(INDEX('Both teabags AfterDry'!$D$1:$D$839,MATCH(I254,'Both teabags AfterDry'!$A$1:$A$839,0)),"")="N.A","",(IFERROR(INDEX('Both teabags AfterDry'!$D$1:$D$839,MATCH(I254,'Both teabags AfterDry'!$A$1:$A$839,0)),"")))</f>
        <v>2.0198</v>
      </c>
      <c r="Q254" s="195" t="str">
        <f t="shared" si="23"/>
        <v/>
      </c>
      <c r="R254" s="195">
        <f t="shared" si="23"/>
        <v>1.8692</v>
      </c>
      <c r="S254" s="195" t="str">
        <f t="shared" si="18"/>
        <v/>
      </c>
      <c r="T254" s="195" t="str">
        <f t="shared" si="24"/>
        <v/>
      </c>
      <c r="U254" s="195">
        <f t="shared" si="19"/>
        <v>0.92571315372424712</v>
      </c>
      <c r="V254">
        <f t="shared" si="20"/>
        <v>69</v>
      </c>
      <c r="W254" s="195" t="str">
        <f t="shared" si="25"/>
        <v/>
      </c>
      <c r="X254" s="195" t="str">
        <f t="shared" si="26"/>
        <v/>
      </c>
      <c r="Y254" s="255" t="str">
        <f>IF(ISNUMBER(SEARCH("C", 'Dry_Litterbag Placem_Collection'!T181)),"YES","NO")</f>
        <v>NO</v>
      </c>
      <c r="Z254" s="255" t="str">
        <f>IF(ISNUMBER(SEARCH("H", 'Dry_Litterbag Placem_Collection'!T181)),"YES","NO")</f>
        <v>NO</v>
      </c>
      <c r="AA254" s="255" t="str">
        <f>IF(ISNUMBER(SEARCH("R", 'Dry_Litterbag Placem_Collection'!T181)),"YES","NO")</f>
        <v>YES</v>
      </c>
      <c r="AB254" s="255" t="str">
        <f>IF(ISNUMBER(SEARCH("C", 'Dry_Litterbag Placem_Collection'!S181)),"YES","NO")</f>
        <v>NO</v>
      </c>
      <c r="AC254" s="255" t="str">
        <f>IF(ISNUMBER(SEARCH("H", 'Dry_Litterbag Placem_Collection'!S181)),"YES","NO")</f>
        <v>NO</v>
      </c>
      <c r="AD254" s="255" t="str">
        <f>IF(ISNUMBER(SEARCH("R", 'Dry_Litterbag Placem_Collection'!S181)),"YES","NO")</f>
        <v>YES</v>
      </c>
    </row>
    <row r="255" spans="2:30">
      <c r="B255" t="str">
        <f>'Final data_for_R_analysis_Dryse'!A181</f>
        <v>Dry</v>
      </c>
      <c r="C255" s="263">
        <f>'Final data_for_R_analysis_Dryse'!B181</f>
        <v>180</v>
      </c>
      <c r="D255" t="s">
        <v>3854</v>
      </c>
      <c r="E255" t="s">
        <v>22</v>
      </c>
      <c r="F255" s="387">
        <v>4</v>
      </c>
      <c r="G255" s="16">
        <f>'Dry_Litterbag Placem_Collection'!E182</f>
        <v>42940</v>
      </c>
      <c r="H255" t="str">
        <f>'Final data_for_R_analysis_Dryse'!J181</f>
        <v>G245</v>
      </c>
      <c r="I255" t="str">
        <f>'Final data_for_R_analysis_Dryse'!J401</f>
        <v>R325</v>
      </c>
      <c r="J255">
        <f>IFERROR(INDEX('Green_rooibos initial weight'!$C$5:$C$1749,MATCH(H255, 'Green_rooibos initial weight'!$A$5:$A$1749,0)),"")</f>
        <v>2.0150000000000001</v>
      </c>
      <c r="K255">
        <f>IFERROR(INDEX('Green_rooibos initial weight'!$C$5:$C$1749,MATCH(I255, 'Green_rooibos initial weight'!$A$5:$A$1749,0)),"")</f>
        <v>2.2069999999999999</v>
      </c>
      <c r="L255" s="195">
        <f t="shared" si="21"/>
        <v>1.7652000000000001</v>
      </c>
      <c r="M255" s="195">
        <f t="shared" si="22"/>
        <v>1.9571999999999998</v>
      </c>
      <c r="N255" s="16">
        <f>IF('Dry_Litterbag Placem_Collection'!G182="N.A","",'Dry_Litterbag Placem_Collection'!G182)</f>
        <v>43009</v>
      </c>
      <c r="O255" s="195">
        <f>IF(IFERROR(INDEX('Both teabags AfterDry'!$D$1:$D$839,MATCH(H255,'Both teabags AfterDry'!$A$1:$A$839,0)),"")="N.A","",(IFERROR(INDEX('Both teabags AfterDry'!$D$1:$D$839,MATCH(H255,'Both teabags AfterDry'!$A$1:$A$839,0)),"")))</f>
        <v>0.81240000000000001</v>
      </c>
      <c r="P255" s="195">
        <f>IF(IFERROR(INDEX('Both teabags AfterDry'!$D$1:$D$839,MATCH(I255,'Both teabags AfterDry'!$A$1:$A$839,0)),"")="N.A","",(IFERROR(INDEX('Both teabags AfterDry'!$D$1:$D$839,MATCH(I255,'Both teabags AfterDry'!$A$1:$A$839,0)),"")))</f>
        <v>1.6720999999999999</v>
      </c>
      <c r="Q255" s="195">
        <f t="shared" si="23"/>
        <v>0.66179999999999994</v>
      </c>
      <c r="R255" s="195">
        <f t="shared" si="23"/>
        <v>1.5214999999999999</v>
      </c>
      <c r="S255" s="195">
        <f t="shared" si="18"/>
        <v>0.62508497620666215</v>
      </c>
      <c r="T255" s="195">
        <f t="shared" si="24"/>
        <v>0.40979442620674295</v>
      </c>
      <c r="U255" s="195">
        <f t="shared" si="19"/>
        <v>0.77738606172082569</v>
      </c>
      <c r="V255">
        <f t="shared" si="20"/>
        <v>69</v>
      </c>
      <c r="W255" s="195">
        <f t="shared" si="25"/>
        <v>0.2576187931037266</v>
      </c>
      <c r="X255" s="195">
        <f t="shared" si="26"/>
        <v>1.1356265318912274E-2</v>
      </c>
      <c r="Y255" s="255" t="str">
        <f>IF(ISNUMBER(SEARCH("C", 'Dry_Litterbag Placem_Collection'!T182)),"YES","NO")</f>
        <v>NO</v>
      </c>
      <c r="Z255" s="255" t="str">
        <f>IF(ISNUMBER(SEARCH("H", 'Dry_Litterbag Placem_Collection'!T182)),"YES","NO")</f>
        <v>NO</v>
      </c>
      <c r="AA255" s="255" t="str">
        <f>IF(ISNUMBER(SEARCH("R", 'Dry_Litterbag Placem_Collection'!T182)),"YES","NO")</f>
        <v>NO</v>
      </c>
      <c r="AB255" s="255" t="str">
        <f>IF(ISNUMBER(SEARCH("C", 'Dry_Litterbag Placem_Collection'!S182)),"YES","NO")</f>
        <v>NO</v>
      </c>
      <c r="AC255" s="255" t="str">
        <f>IF(ISNUMBER(SEARCH("H", 'Dry_Litterbag Placem_Collection'!S182)),"YES","NO")</f>
        <v>NO</v>
      </c>
      <c r="AD255" s="255" t="str">
        <f>IF(ISNUMBER(SEARCH("R", 'Dry_Litterbag Placem_Collection'!S182)),"YES","NO")</f>
        <v>YES</v>
      </c>
    </row>
    <row r="256" spans="2:30">
      <c r="B256" t="str">
        <f>'Final data_for_R_analysis_Dryse'!A182</f>
        <v>Dry</v>
      </c>
      <c r="C256" s="263">
        <f>'Final data_for_R_analysis_Dryse'!B182</f>
        <v>181</v>
      </c>
      <c r="D256" t="s">
        <v>3854</v>
      </c>
      <c r="E256" t="s">
        <v>22</v>
      </c>
      <c r="F256" s="387">
        <v>5</v>
      </c>
      <c r="G256" s="16">
        <f>'Dry_Litterbag Placem_Collection'!E183</f>
        <v>42940</v>
      </c>
      <c r="H256" t="str">
        <f>'Final data_for_R_analysis_Dryse'!J182</f>
        <v>G411</v>
      </c>
      <c r="I256" t="str">
        <f>'Final data_for_R_analysis_Dryse'!J402</f>
        <v>R116</v>
      </c>
      <c r="J256">
        <f>IFERROR(INDEX('Green_rooibos initial weight'!$C$5:$C$1749,MATCH(H256, 'Green_rooibos initial weight'!$A$5:$A$1749,0)),"")</f>
        <v>2.1120000000000001</v>
      </c>
      <c r="K256">
        <f>IFERROR(INDEX('Green_rooibos initial weight'!$C$5:$C$1749,MATCH(I256, 'Green_rooibos initial weight'!$A$5:$A$1749,0)),"")</f>
        <v>2.2909999999999999</v>
      </c>
      <c r="L256" s="195">
        <f t="shared" si="21"/>
        <v>1.8622000000000001</v>
      </c>
      <c r="M256" s="195">
        <f t="shared" si="22"/>
        <v>2.0411999999999999</v>
      </c>
      <c r="N256" s="16">
        <f>IF('Dry_Litterbag Placem_Collection'!G183="N.A","",'Dry_Litterbag Placem_Collection'!G183)</f>
        <v>43009</v>
      </c>
      <c r="O256" s="195">
        <f>IF(IFERROR(INDEX('Both teabags AfterDry'!$D$1:$D$839,MATCH(H256,'Both teabags AfterDry'!$A$1:$A$839,0)),"")="N.A","",(IFERROR(INDEX('Both teabags AfterDry'!$D$1:$D$839,MATCH(H256,'Both teabags AfterDry'!$A$1:$A$839,0)),"")))</f>
        <v>0.76629999999999998</v>
      </c>
      <c r="P256" s="195">
        <f>IF(IFERROR(INDEX('Both teabags AfterDry'!$D$1:$D$839,MATCH(I256,'Both teabags AfterDry'!$A$1:$A$839,0)),"")="N.A","",(IFERROR(INDEX('Both teabags AfterDry'!$D$1:$D$839,MATCH(I256,'Both teabags AfterDry'!$A$1:$A$839,0)),"")))</f>
        <v>2.0322</v>
      </c>
      <c r="Q256" s="195">
        <f t="shared" si="23"/>
        <v>0.61569999999999991</v>
      </c>
      <c r="R256" s="195">
        <f t="shared" si="23"/>
        <v>1.8815999999999999</v>
      </c>
      <c r="S256" s="195">
        <f t="shared" si="18"/>
        <v>0.66936956288261196</v>
      </c>
      <c r="T256" s="195">
        <f t="shared" si="24"/>
        <v>0.43882660179477656</v>
      </c>
      <c r="U256" s="195">
        <f t="shared" si="19"/>
        <v>0.92181069958847739</v>
      </c>
      <c r="V256">
        <f t="shared" si="20"/>
        <v>69</v>
      </c>
      <c r="W256" s="195">
        <f t="shared" si="25"/>
        <v>0.20502427211091212</v>
      </c>
      <c r="X256" s="195">
        <f t="shared" si="26"/>
        <v>2.8439362689485367E-3</v>
      </c>
      <c r="Y256" s="255" t="str">
        <f>IF(ISNUMBER(SEARCH("C", 'Dry_Litterbag Placem_Collection'!T183)),"YES","NO")</f>
        <v>NO</v>
      </c>
      <c r="Z256" s="255" t="str">
        <f>IF(ISNUMBER(SEARCH("H", 'Dry_Litterbag Placem_Collection'!T183)),"YES","NO")</f>
        <v>NO</v>
      </c>
      <c r="AA256" s="255" t="str">
        <f>IF(ISNUMBER(SEARCH("R", 'Dry_Litterbag Placem_Collection'!T183)),"YES","NO")</f>
        <v>YES</v>
      </c>
      <c r="AB256" s="255" t="str">
        <f>IF(ISNUMBER(SEARCH("C", 'Dry_Litterbag Placem_Collection'!S183)),"YES","NO")</f>
        <v>NO</v>
      </c>
      <c r="AC256" s="255" t="str">
        <f>IF(ISNUMBER(SEARCH("H", 'Dry_Litterbag Placem_Collection'!S183)),"YES","NO")</f>
        <v>NO</v>
      </c>
      <c r="AD256" s="255" t="str">
        <f>IF(ISNUMBER(SEARCH("R", 'Dry_Litterbag Placem_Collection'!S183)),"YES","NO")</f>
        <v>YES</v>
      </c>
    </row>
    <row r="257" spans="2:30">
      <c r="B257" t="str">
        <f>'Final data_for_R_analysis_Dryse'!A183</f>
        <v>Dry</v>
      </c>
      <c r="C257" s="263">
        <f>'Final data_for_R_analysis_Dryse'!B183</f>
        <v>182</v>
      </c>
      <c r="D257" t="s">
        <v>3854</v>
      </c>
      <c r="E257" t="s">
        <v>22</v>
      </c>
      <c r="F257" s="387">
        <v>6</v>
      </c>
      <c r="G257" s="16">
        <f>'Dry_Litterbag Placem_Collection'!E184</f>
        <v>42940</v>
      </c>
      <c r="H257" t="str">
        <f>'Final data_for_R_analysis_Dryse'!J183</f>
        <v>G309</v>
      </c>
      <c r="I257" t="str">
        <f>'Final data_for_R_analysis_Dryse'!J403</f>
        <v>R613</v>
      </c>
      <c r="J257">
        <f>IFERROR(INDEX('Green_rooibos initial weight'!$C$5:$C$1749,MATCH(H257, 'Green_rooibos initial weight'!$A$5:$A$1749,0)),"")</f>
        <v>2.0579999999999998</v>
      </c>
      <c r="K257">
        <f>IFERROR(INDEX('Green_rooibos initial weight'!$C$5:$C$1749,MATCH(I257, 'Green_rooibos initial weight'!$A$5:$A$1749,0)),"")</f>
        <v>2.1680000000000001</v>
      </c>
      <c r="L257" s="195">
        <f t="shared" si="21"/>
        <v>1.8081999999999998</v>
      </c>
      <c r="M257" s="195">
        <f t="shared" si="22"/>
        <v>1.9182000000000001</v>
      </c>
      <c r="N257" s="16">
        <f>IF('Dry_Litterbag Placem_Collection'!G184="N.A","",'Dry_Litterbag Placem_Collection'!G184)</f>
        <v>43009</v>
      </c>
      <c r="O257" s="195">
        <f>IF(IFERROR(INDEX('Both teabags AfterDry'!$D$1:$D$839,MATCH(H257,'Both teabags AfterDry'!$A$1:$A$839,0)),"")="N.A","",(IFERROR(INDEX('Both teabags AfterDry'!$D$1:$D$839,MATCH(H257,'Both teabags AfterDry'!$A$1:$A$839,0)),"")))</f>
        <v>0.88170000000000004</v>
      </c>
      <c r="P257" s="195">
        <f>IF(IFERROR(INDEX('Both teabags AfterDry'!$D$1:$D$839,MATCH(I257,'Both teabags AfterDry'!$A$1:$A$839,0)),"")="N.A","",(IFERROR(INDEX('Both teabags AfterDry'!$D$1:$D$839,MATCH(I257,'Both teabags AfterDry'!$A$1:$A$839,0)),"")))</f>
        <v>1.7827</v>
      </c>
      <c r="Q257" s="195">
        <f t="shared" si="23"/>
        <v>0.73110000000000008</v>
      </c>
      <c r="R257" s="195">
        <f t="shared" si="23"/>
        <v>1.6320999999999999</v>
      </c>
      <c r="S257" s="195">
        <f t="shared" si="18"/>
        <v>0.59567525716181824</v>
      </c>
      <c r="T257" s="195">
        <f t="shared" si="24"/>
        <v>0.39051394531273603</v>
      </c>
      <c r="U257" s="195">
        <f t="shared" si="19"/>
        <v>0.85084975497862569</v>
      </c>
      <c r="V257">
        <f t="shared" si="20"/>
        <v>69</v>
      </c>
      <c r="W257" s="195">
        <f t="shared" si="25"/>
        <v>0.29254720052040584</v>
      </c>
      <c r="X257" s="195">
        <f t="shared" si="26"/>
        <v>6.9733152801753386E-3</v>
      </c>
      <c r="Y257" s="255" t="str">
        <f>IF(ISNUMBER(SEARCH("C", 'Dry_Litterbag Placem_Collection'!T184)),"YES","NO")</f>
        <v>YES</v>
      </c>
      <c r="Z257" s="255" t="str">
        <f>IF(ISNUMBER(SEARCH("H", 'Dry_Litterbag Placem_Collection'!T184)),"YES","NO")</f>
        <v>YES</v>
      </c>
      <c r="AA257" s="255" t="str">
        <f>IF(ISNUMBER(SEARCH("R", 'Dry_Litterbag Placem_Collection'!T184)),"YES","NO")</f>
        <v>YES</v>
      </c>
      <c r="AB257" s="255" t="str">
        <f>IF(ISNUMBER(SEARCH("C", 'Dry_Litterbag Placem_Collection'!S184)),"YES","NO")</f>
        <v>NO</v>
      </c>
      <c r="AC257" s="255" t="str">
        <f>IF(ISNUMBER(SEARCH("H", 'Dry_Litterbag Placem_Collection'!S184)),"YES","NO")</f>
        <v>NO</v>
      </c>
      <c r="AD257" s="255" t="str">
        <f>IF(ISNUMBER(SEARCH("R", 'Dry_Litterbag Placem_Collection'!S184)),"YES","NO")</f>
        <v>NO</v>
      </c>
    </row>
    <row r="258" spans="2:30">
      <c r="B258" t="str">
        <f>'Final data_for_R_analysis_Dryse'!A184</f>
        <v>Dry</v>
      </c>
      <c r="C258" s="263">
        <f>'Final data_for_R_analysis_Dryse'!B184</f>
        <v>183</v>
      </c>
      <c r="D258" t="s">
        <v>3854</v>
      </c>
      <c r="E258" t="s">
        <v>22</v>
      </c>
      <c r="F258" s="387">
        <v>7</v>
      </c>
      <c r="G258" s="16">
        <f>'Dry_Litterbag Placem_Collection'!E185</f>
        <v>0</v>
      </c>
      <c r="H258" t="str">
        <f>'Final data_for_R_analysis_Dryse'!J184</f>
        <v/>
      </c>
      <c r="I258" t="str">
        <f>'Final data_for_R_analysis_Dryse'!J404</f>
        <v/>
      </c>
      <c r="J258" t="str">
        <f>IFERROR(INDEX('Green_rooibos initial weight'!$C$5:$C$1749,MATCH(H258, 'Green_rooibos initial weight'!$A$5:$A$1749,0)),"")</f>
        <v/>
      </c>
      <c r="K258" t="str">
        <f>IFERROR(INDEX('Green_rooibos initial weight'!$C$5:$C$1749,MATCH(I258, 'Green_rooibos initial weight'!$A$5:$A$1749,0)),"")</f>
        <v/>
      </c>
      <c r="L258" s="195" t="str">
        <f t="shared" si="21"/>
        <v/>
      </c>
      <c r="M258" s="195" t="str">
        <f t="shared" si="22"/>
        <v/>
      </c>
      <c r="N258" s="16">
        <f>IF('Dry_Litterbag Placem_Collection'!G185="N.A","",'Dry_Litterbag Placem_Collection'!G185)</f>
        <v>0</v>
      </c>
      <c r="O258" s="195" t="str">
        <f>IF(IFERROR(INDEX('Both teabags AfterDry'!$D$1:$D$839,MATCH(H258,'Both teabags AfterDry'!$A$1:$A$839,0)),"")="N.A","",(IFERROR(INDEX('Both teabags AfterDry'!$D$1:$D$839,MATCH(H258,'Both teabags AfterDry'!$A$1:$A$839,0)),"")))</f>
        <v/>
      </c>
      <c r="P258" s="195" t="str">
        <f>IF(IFERROR(INDEX('Both teabags AfterDry'!$D$1:$D$839,MATCH(I258,'Both teabags AfterDry'!$A$1:$A$839,0)),"")="N.A","",(IFERROR(INDEX('Both teabags AfterDry'!$D$1:$D$839,MATCH(I258,'Both teabags AfterDry'!$A$1:$A$839,0)),"")))</f>
        <v/>
      </c>
      <c r="Q258" s="195" t="str">
        <f t="shared" si="23"/>
        <v/>
      </c>
      <c r="R258" s="195" t="str">
        <f t="shared" si="23"/>
        <v/>
      </c>
      <c r="S258" s="195" t="str">
        <f t="shared" si="18"/>
        <v/>
      </c>
      <c r="T258" s="195" t="str">
        <f t="shared" si="24"/>
        <v/>
      </c>
      <c r="U258" s="195" t="str">
        <f t="shared" si="19"/>
        <v/>
      </c>
      <c r="V258" t="str">
        <f t="shared" si="20"/>
        <v/>
      </c>
      <c r="W258" s="195" t="str">
        <f t="shared" si="25"/>
        <v/>
      </c>
      <c r="X258" s="195" t="str">
        <f t="shared" si="26"/>
        <v/>
      </c>
      <c r="Y258" s="255" t="str">
        <f>IF(ISNUMBER(SEARCH("C", 'Dry_Litterbag Placem_Collection'!T185)),"YES","NO")</f>
        <v>NO</v>
      </c>
      <c r="Z258" s="255" t="str">
        <f>IF(ISNUMBER(SEARCH("H", 'Dry_Litterbag Placem_Collection'!T185)),"YES","NO")</f>
        <v>NO</v>
      </c>
      <c r="AA258" s="255" t="str">
        <f>IF(ISNUMBER(SEARCH("R", 'Dry_Litterbag Placem_Collection'!T185)),"YES","NO")</f>
        <v>NO</v>
      </c>
      <c r="AB258" s="255" t="str">
        <f>IF(ISNUMBER(SEARCH("C", 'Dry_Litterbag Placem_Collection'!S185)),"YES","NO")</f>
        <v>NO</v>
      </c>
      <c r="AC258" s="255" t="str">
        <f>IF(ISNUMBER(SEARCH("H", 'Dry_Litterbag Placem_Collection'!S185)),"YES","NO")</f>
        <v>NO</v>
      </c>
      <c r="AD258" s="255" t="str">
        <f>IF(ISNUMBER(SEARCH("R", 'Dry_Litterbag Placem_Collection'!S185)),"YES","NO")</f>
        <v>NO</v>
      </c>
    </row>
    <row r="259" spans="2:30">
      <c r="B259" t="str">
        <f>'Final data_for_R_analysis_Dryse'!A185</f>
        <v>Dry</v>
      </c>
      <c r="C259" s="263">
        <f>'Final data_for_R_analysis_Dryse'!B185</f>
        <v>184</v>
      </c>
      <c r="D259" t="s">
        <v>3854</v>
      </c>
      <c r="E259" t="s">
        <v>22</v>
      </c>
      <c r="F259" s="387">
        <v>8</v>
      </c>
      <c r="G259" s="16">
        <f>'Dry_Litterbag Placem_Collection'!E186</f>
        <v>42940</v>
      </c>
      <c r="H259" t="str">
        <f>'Final data_for_R_analysis_Dryse'!J185</f>
        <v>G235</v>
      </c>
      <c r="I259" t="str">
        <f>'Final data_for_R_analysis_Dryse'!J405</f>
        <v>R179</v>
      </c>
      <c r="J259">
        <f>IFERROR(INDEX('Green_rooibos initial weight'!$C$5:$C$1749,MATCH(H259, 'Green_rooibos initial weight'!$A$5:$A$1749,0)),"")</f>
        <v>1.9259999999999999</v>
      </c>
      <c r="K259">
        <f>IFERROR(INDEX('Green_rooibos initial weight'!$C$5:$C$1749,MATCH(I259, 'Green_rooibos initial weight'!$A$5:$A$1749,0)),"")</f>
        <v>2.177</v>
      </c>
      <c r="L259" s="195">
        <f t="shared" si="21"/>
        <v>1.6761999999999999</v>
      </c>
      <c r="M259" s="195">
        <f t="shared" si="22"/>
        <v>1.9272</v>
      </c>
      <c r="N259" s="16">
        <f>IF('Dry_Litterbag Placem_Collection'!G186="N.A","",'Dry_Litterbag Placem_Collection'!G186)</f>
        <v>43009</v>
      </c>
      <c r="O259" s="195">
        <f>IF(IFERROR(INDEX('Both teabags AfterDry'!$D$1:$D$839,MATCH(H259,'Both teabags AfterDry'!$A$1:$A$839,0)),"")="N.A","",(IFERROR(INDEX('Both teabags AfterDry'!$D$1:$D$839,MATCH(H259,'Both teabags AfterDry'!$A$1:$A$839,0)),"")))</f>
        <v>0.66620000000000001</v>
      </c>
      <c r="P259" s="195">
        <f>IF(IFERROR(INDEX('Both teabags AfterDry'!$D$1:$D$839,MATCH(I259,'Both teabags AfterDry'!$A$1:$A$839,0)),"")="N.A","",(IFERROR(INDEX('Both teabags AfterDry'!$D$1:$D$839,MATCH(I259,'Both teabags AfterDry'!$A$1:$A$839,0)),"")))</f>
        <v>1.7174</v>
      </c>
      <c r="Q259" s="195">
        <f t="shared" si="23"/>
        <v>0.51560000000000006</v>
      </c>
      <c r="R259" s="195">
        <f t="shared" si="23"/>
        <v>1.5668</v>
      </c>
      <c r="S259" s="195">
        <f t="shared" si="18"/>
        <v>0.69239947500298293</v>
      </c>
      <c r="T259" s="195">
        <f t="shared" si="24"/>
        <v>0.45392459643901023</v>
      </c>
      <c r="U259" s="195">
        <f t="shared" si="19"/>
        <v>0.81299294312992942</v>
      </c>
      <c r="V259">
        <f t="shared" si="20"/>
        <v>69</v>
      </c>
      <c r="W259" s="195">
        <f t="shared" si="25"/>
        <v>0.17767283253802502</v>
      </c>
      <c r="X259" s="195">
        <f t="shared" si="26"/>
        <v>7.695526477901401E-3</v>
      </c>
      <c r="Y259" s="255" t="str">
        <f>IF(ISNUMBER(SEARCH("C", 'Dry_Litterbag Placem_Collection'!T186)),"YES","NO")</f>
        <v>NO</v>
      </c>
      <c r="Z259" s="255" t="str">
        <f>IF(ISNUMBER(SEARCH("H", 'Dry_Litterbag Placem_Collection'!T186)),"YES","NO")</f>
        <v>NO</v>
      </c>
      <c r="AA259" s="255" t="str">
        <f>IF(ISNUMBER(SEARCH("R", 'Dry_Litterbag Placem_Collection'!T186)),"YES","NO")</f>
        <v>YES</v>
      </c>
      <c r="AB259" s="255" t="str">
        <f>IF(ISNUMBER(SEARCH("C", 'Dry_Litterbag Placem_Collection'!S186)),"YES","NO")</f>
        <v>NO</v>
      </c>
      <c r="AC259" s="255" t="str">
        <f>IF(ISNUMBER(SEARCH("H", 'Dry_Litterbag Placem_Collection'!S186)),"YES","NO")</f>
        <v>NO</v>
      </c>
      <c r="AD259" s="255" t="str">
        <f>IF(ISNUMBER(SEARCH("R", 'Dry_Litterbag Placem_Collection'!S186)),"YES","NO")</f>
        <v>YES</v>
      </c>
    </row>
    <row r="260" spans="2:30">
      <c r="B260" t="str">
        <f>'Final data_for_R_analysis_Dryse'!A186</f>
        <v>Dry</v>
      </c>
      <c r="C260" s="263">
        <f>'Final data_for_R_analysis_Dryse'!B186</f>
        <v>185</v>
      </c>
      <c r="D260" t="s">
        <v>3855</v>
      </c>
      <c r="E260" t="s">
        <v>22</v>
      </c>
      <c r="F260" s="386">
        <v>1</v>
      </c>
      <c r="G260" s="16">
        <f>'Dry_Litterbag Placem_Collection'!E187</f>
        <v>42940</v>
      </c>
      <c r="H260" t="str">
        <f>'Final data_for_R_analysis_Dryse'!J186</f>
        <v>G369</v>
      </c>
      <c r="I260" t="str">
        <f>'Final data_for_R_analysis_Dryse'!J406</f>
        <v>R300</v>
      </c>
      <c r="J260">
        <f>IFERROR(INDEX('Green_rooibos initial weight'!$C$5:$C$1749,MATCH(H260, 'Green_rooibos initial weight'!$A$5:$A$1749,0)),"")</f>
        <v>2.1219999999999999</v>
      </c>
      <c r="K260">
        <f>IFERROR(INDEX('Green_rooibos initial weight'!$C$5:$C$1749,MATCH(I260, 'Green_rooibos initial weight'!$A$5:$A$1749,0)),"")</f>
        <v>2.2330000000000001</v>
      </c>
      <c r="L260" s="195">
        <f t="shared" si="21"/>
        <v>1.8721999999999999</v>
      </c>
      <c r="M260" s="195">
        <f t="shared" si="22"/>
        <v>1.9832000000000001</v>
      </c>
      <c r="N260" s="16">
        <f>IF('Dry_Litterbag Placem_Collection'!G187="N.A","",'Dry_Litterbag Placem_Collection'!G187)</f>
        <v>43009</v>
      </c>
      <c r="O260" s="195" t="str">
        <f>IF(IFERROR(INDEX('Both teabags AfterDry'!$D$1:$D$839,MATCH(H260,'Both teabags AfterDry'!$A$1:$A$839,0)),"")="N.A","",(IFERROR(INDEX('Both teabags AfterDry'!$D$1:$D$839,MATCH(H260,'Both teabags AfterDry'!$A$1:$A$839,0)),"")))</f>
        <v/>
      </c>
      <c r="P260" s="195" t="str">
        <f>IF(IFERROR(INDEX('Both teabags AfterDry'!$D$1:$D$839,MATCH(I260,'Both teabags AfterDry'!$A$1:$A$839,0)),"")="N.A","",(IFERROR(INDEX('Both teabags AfterDry'!$D$1:$D$839,MATCH(I260,'Both teabags AfterDry'!$A$1:$A$839,0)),"")))</f>
        <v/>
      </c>
      <c r="Q260" s="195" t="str">
        <f t="shared" si="23"/>
        <v/>
      </c>
      <c r="R260" s="195" t="str">
        <f t="shared" si="23"/>
        <v/>
      </c>
      <c r="S260" s="195" t="str">
        <f t="shared" si="18"/>
        <v/>
      </c>
      <c r="T260" s="195" t="str">
        <f t="shared" si="24"/>
        <v/>
      </c>
      <c r="U260" s="195" t="str">
        <f t="shared" si="19"/>
        <v/>
      </c>
      <c r="V260">
        <f t="shared" si="20"/>
        <v>69</v>
      </c>
      <c r="W260" s="195" t="str">
        <f t="shared" si="25"/>
        <v/>
      </c>
      <c r="X260" s="195" t="str">
        <f t="shared" si="26"/>
        <v/>
      </c>
      <c r="Y260" s="255" t="str">
        <f>IF(ISNUMBER(SEARCH("C", 'Dry_Litterbag Placem_Collection'!T187)),"YES","NO")</f>
        <v>NO</v>
      </c>
      <c r="Z260" s="255" t="str">
        <f>IF(ISNUMBER(SEARCH("H", 'Dry_Litterbag Placem_Collection'!T187)),"YES","NO")</f>
        <v>YES</v>
      </c>
      <c r="AA260" s="255" t="str">
        <f>IF(ISNUMBER(SEARCH("R", 'Dry_Litterbag Placem_Collection'!T187)),"YES","NO")</f>
        <v>NO</v>
      </c>
      <c r="AB260" s="255" t="str">
        <f>IF(ISNUMBER(SEARCH("C", 'Dry_Litterbag Placem_Collection'!S187)),"YES","NO")</f>
        <v>NO</v>
      </c>
      <c r="AC260" s="255" t="str">
        <f>IF(ISNUMBER(SEARCH("H", 'Dry_Litterbag Placem_Collection'!S187)),"YES","NO")</f>
        <v>NO</v>
      </c>
      <c r="AD260" s="255" t="str">
        <f>IF(ISNUMBER(SEARCH("R", 'Dry_Litterbag Placem_Collection'!S187)),"YES","NO")</f>
        <v>NO</v>
      </c>
    </row>
    <row r="261" spans="2:30">
      <c r="B261" t="str">
        <f>'Final data_for_R_analysis_Dryse'!A187</f>
        <v>Dry</v>
      </c>
      <c r="C261" s="263">
        <f>'Final data_for_R_analysis_Dryse'!B187</f>
        <v>186</v>
      </c>
      <c r="D261" t="s">
        <v>3855</v>
      </c>
      <c r="E261" t="s">
        <v>22</v>
      </c>
      <c r="F261" s="386">
        <v>2</v>
      </c>
      <c r="G261" s="16">
        <f>'Dry_Litterbag Placem_Collection'!E188</f>
        <v>42940</v>
      </c>
      <c r="H261" t="str">
        <f>'Final data_for_R_analysis_Dryse'!J187</f>
        <v>G295</v>
      </c>
      <c r="I261" t="str">
        <f>'Final data_for_R_analysis_Dryse'!J407</f>
        <v>R717</v>
      </c>
      <c r="J261">
        <f>IFERROR(INDEX('Green_rooibos initial weight'!$C$5:$C$1749,MATCH(H261, 'Green_rooibos initial weight'!$A$5:$A$1749,0)),"")</f>
        <v>2.0379999999999998</v>
      </c>
      <c r="K261">
        <f>IFERROR(INDEX('Green_rooibos initial weight'!$C$5:$C$1749,MATCH(I261, 'Green_rooibos initial weight'!$A$5:$A$1749,0)),"")</f>
        <v>2.1619999999999999</v>
      </c>
      <c r="L261" s="195">
        <f t="shared" si="21"/>
        <v>1.7881999999999998</v>
      </c>
      <c r="M261" s="195">
        <f t="shared" si="22"/>
        <v>1.9121999999999999</v>
      </c>
      <c r="N261" s="16">
        <f>IF('Dry_Litterbag Placem_Collection'!G188="N.A","",'Dry_Litterbag Placem_Collection'!G188)</f>
        <v>43009</v>
      </c>
      <c r="O261" s="195">
        <f>IF(IFERROR(INDEX('Both teabags AfterDry'!$D$1:$D$839,MATCH(H261,'Both teabags AfterDry'!$A$1:$A$839,0)),"")="N.A","",(IFERROR(INDEX('Both teabags AfterDry'!$D$1:$D$839,MATCH(H261,'Both teabags AfterDry'!$A$1:$A$839,0)),"")))</f>
        <v>0.92659999999999998</v>
      </c>
      <c r="P261" s="195">
        <f>IF(IFERROR(INDEX('Both teabags AfterDry'!$D$1:$D$839,MATCH(I261,'Both teabags AfterDry'!$A$1:$A$839,0)),"")="N.A","",(IFERROR(INDEX('Both teabags AfterDry'!$D$1:$D$839,MATCH(I261,'Both teabags AfterDry'!$A$1:$A$839,0)),"")))</f>
        <v>1.7592000000000001</v>
      </c>
      <c r="Q261" s="195">
        <f t="shared" si="23"/>
        <v>0.77600000000000002</v>
      </c>
      <c r="R261" s="195">
        <f t="shared" si="23"/>
        <v>1.6086</v>
      </c>
      <c r="S261" s="195">
        <f t="shared" si="18"/>
        <v>0.56604406665921037</v>
      </c>
      <c r="T261" s="195">
        <f t="shared" si="24"/>
        <v>0.3710882717290786</v>
      </c>
      <c r="U261" s="195">
        <f t="shared" si="19"/>
        <v>0.84122999686225297</v>
      </c>
      <c r="V261">
        <f t="shared" si="20"/>
        <v>69</v>
      </c>
      <c r="W261" s="195">
        <f t="shared" si="25"/>
        <v>0.32773863817195914</v>
      </c>
      <c r="X261" s="195">
        <f t="shared" si="26"/>
        <v>8.0920804008411309E-3</v>
      </c>
      <c r="Y261" s="255" t="str">
        <f>IF(ISNUMBER(SEARCH("C", 'Dry_Litterbag Placem_Collection'!T188)),"YES","NO")</f>
        <v>YES</v>
      </c>
      <c r="Z261" s="255" t="str">
        <f>IF(ISNUMBER(SEARCH("H", 'Dry_Litterbag Placem_Collection'!T188)),"YES","NO")</f>
        <v>YES</v>
      </c>
      <c r="AA261" s="255" t="str">
        <f>IF(ISNUMBER(SEARCH("R", 'Dry_Litterbag Placem_Collection'!T188)),"YES","NO")</f>
        <v>NO</v>
      </c>
      <c r="AB261" s="255" t="str">
        <f>IF(ISNUMBER(SEARCH("C", 'Dry_Litterbag Placem_Collection'!S188)),"YES","NO")</f>
        <v>NO</v>
      </c>
      <c r="AC261" s="255" t="str">
        <f>IF(ISNUMBER(SEARCH("H", 'Dry_Litterbag Placem_Collection'!S188)),"YES","NO")</f>
        <v>YES</v>
      </c>
      <c r="AD261" s="255" t="str">
        <f>IF(ISNUMBER(SEARCH("R", 'Dry_Litterbag Placem_Collection'!S188)),"YES","NO")</f>
        <v>YES</v>
      </c>
    </row>
    <row r="262" spans="2:30">
      <c r="B262" t="str">
        <f>'Final data_for_R_analysis_Dryse'!A188</f>
        <v>Dry</v>
      </c>
      <c r="C262" s="263">
        <f>'Final data_for_R_analysis_Dryse'!B188</f>
        <v>187</v>
      </c>
      <c r="D262" t="s">
        <v>3855</v>
      </c>
      <c r="E262" t="s">
        <v>22</v>
      </c>
      <c r="F262" s="386">
        <v>3</v>
      </c>
      <c r="G262" s="16">
        <f>'Dry_Litterbag Placem_Collection'!E189</f>
        <v>42940</v>
      </c>
      <c r="H262" t="str">
        <f>'Final data_for_R_analysis_Dryse'!J188</f>
        <v>G242</v>
      </c>
      <c r="I262" t="str">
        <f>'Final data_for_R_analysis_Dryse'!J408</f>
        <v>R759</v>
      </c>
      <c r="J262">
        <f>IFERROR(INDEX('Green_rooibos initial weight'!$C$5:$C$1749,MATCH(H262, 'Green_rooibos initial weight'!$A$5:$A$1749,0)),"")</f>
        <v>1.9470000000000001</v>
      </c>
      <c r="K262">
        <f>IFERROR(INDEX('Green_rooibos initial weight'!$C$5:$C$1749,MATCH(I262, 'Green_rooibos initial weight'!$A$5:$A$1749,0)),"")</f>
        <v>2.2469999999999999</v>
      </c>
      <c r="L262" s="195">
        <f t="shared" si="21"/>
        <v>1.6972</v>
      </c>
      <c r="M262" s="195">
        <f t="shared" si="22"/>
        <v>1.9971999999999999</v>
      </c>
      <c r="N262" s="16">
        <f>IF('Dry_Litterbag Placem_Collection'!G189="N.A","",'Dry_Litterbag Placem_Collection'!G189)</f>
        <v>43009</v>
      </c>
      <c r="O262" s="195">
        <f>IF(IFERROR(INDEX('Both teabags AfterDry'!$D$1:$D$839,MATCH(H262,'Both teabags AfterDry'!$A$1:$A$839,0)),"")="N.A","",(IFERROR(INDEX('Both teabags AfterDry'!$D$1:$D$839,MATCH(H262,'Both teabags AfterDry'!$A$1:$A$839,0)),"")))</f>
        <v>0.70840000000000003</v>
      </c>
      <c r="P262" s="195">
        <f>IF(IFERROR(INDEX('Both teabags AfterDry'!$D$1:$D$839,MATCH(I262,'Both teabags AfterDry'!$A$1:$A$839,0)),"")="N.A","",(IFERROR(INDEX('Both teabags AfterDry'!$D$1:$D$839,MATCH(I262,'Both teabags AfterDry'!$A$1:$A$839,0)),"")))</f>
        <v>1.7075</v>
      </c>
      <c r="Q262" s="195">
        <f t="shared" si="23"/>
        <v>0.55780000000000007</v>
      </c>
      <c r="R262" s="195">
        <f t="shared" si="23"/>
        <v>1.5569</v>
      </c>
      <c r="S262" s="195">
        <f t="shared" si="18"/>
        <v>0.67134103228847508</v>
      </c>
      <c r="T262" s="195">
        <f t="shared" si="24"/>
        <v>0.44011906154778896</v>
      </c>
      <c r="U262" s="195">
        <f t="shared" si="19"/>
        <v>0.77954135790106149</v>
      </c>
      <c r="V262">
        <f t="shared" si="20"/>
        <v>69</v>
      </c>
      <c r="W262" s="195">
        <f t="shared" si="25"/>
        <v>0.20268285951487519</v>
      </c>
      <c r="X262" s="195">
        <f t="shared" si="26"/>
        <v>1.0071919983186493E-2</v>
      </c>
      <c r="Y262" s="255" t="str">
        <f>IF(ISNUMBER(SEARCH("C", 'Dry_Litterbag Placem_Collection'!T189)),"YES","NO")</f>
        <v>NO</v>
      </c>
      <c r="Z262" s="255" t="str">
        <f>IF(ISNUMBER(SEARCH("H", 'Dry_Litterbag Placem_Collection'!T189)),"YES","NO")</f>
        <v>NO</v>
      </c>
      <c r="AA262" s="255" t="str">
        <f>IF(ISNUMBER(SEARCH("R", 'Dry_Litterbag Placem_Collection'!T189)),"YES","NO")</f>
        <v>NO</v>
      </c>
      <c r="AB262" s="255" t="str">
        <f>IF(ISNUMBER(SEARCH("C", 'Dry_Litterbag Placem_Collection'!S189)),"YES","NO")</f>
        <v>NO</v>
      </c>
      <c r="AC262" s="255" t="str">
        <f>IF(ISNUMBER(SEARCH("H", 'Dry_Litterbag Placem_Collection'!S189)),"YES","NO")</f>
        <v>NO</v>
      </c>
      <c r="AD262" s="255" t="str">
        <f>IF(ISNUMBER(SEARCH("R", 'Dry_Litterbag Placem_Collection'!S189)),"YES","NO")</f>
        <v>YES</v>
      </c>
    </row>
    <row r="263" spans="2:30">
      <c r="B263" t="str">
        <f>'Final data_for_R_analysis_Dryse'!A189</f>
        <v>Dry</v>
      </c>
      <c r="C263" s="263">
        <f>'Final data_for_R_analysis_Dryse'!B189</f>
        <v>188</v>
      </c>
      <c r="D263" t="s">
        <v>3855</v>
      </c>
      <c r="E263" t="s">
        <v>22</v>
      </c>
      <c r="F263" s="387">
        <v>4</v>
      </c>
      <c r="G263" s="16">
        <f>'Dry_Litterbag Placem_Collection'!E190</f>
        <v>42940</v>
      </c>
      <c r="H263" t="str">
        <f>'Final data_for_R_analysis_Dryse'!J189</f>
        <v>G146</v>
      </c>
      <c r="I263" t="str">
        <f>'Final data_for_R_analysis_Dryse'!J409</f>
        <v>R357</v>
      </c>
      <c r="J263">
        <f>IFERROR(INDEX('Green_rooibos initial weight'!$C$5:$C$1749,MATCH(H263, 'Green_rooibos initial weight'!$A$5:$A$1749,0)),"")</f>
        <v>2.0529999999999999</v>
      </c>
      <c r="K263">
        <f>IFERROR(INDEX('Green_rooibos initial weight'!$C$5:$C$1749,MATCH(I263, 'Green_rooibos initial weight'!$A$5:$A$1749,0)),"")</f>
        <v>2.2090000000000001</v>
      </c>
      <c r="L263" s="195">
        <f t="shared" si="21"/>
        <v>1.8031999999999999</v>
      </c>
      <c r="M263" s="195">
        <f t="shared" si="22"/>
        <v>1.9592000000000001</v>
      </c>
      <c r="N263" s="16">
        <f>IF('Dry_Litterbag Placem_Collection'!G190="N.A","",'Dry_Litterbag Placem_Collection'!G190)</f>
        <v>43009</v>
      </c>
      <c r="O263" s="195">
        <f>IF(IFERROR(INDEX('Both teabags AfterDry'!$D$1:$D$839,MATCH(H263,'Both teabags AfterDry'!$A$1:$A$839,0)),"")="N.A","",(IFERROR(INDEX('Both teabags AfterDry'!$D$1:$D$839,MATCH(H263,'Both teabags AfterDry'!$A$1:$A$839,0)),"")))</f>
        <v>0.91069999999999995</v>
      </c>
      <c r="P263" s="195">
        <f>IF(IFERROR(INDEX('Both teabags AfterDry'!$D$1:$D$839,MATCH(I263,'Both teabags AfterDry'!$A$1:$A$839,0)),"")="N.A","",(IFERROR(INDEX('Both teabags AfterDry'!$D$1:$D$839,MATCH(I263,'Both teabags AfterDry'!$A$1:$A$839,0)),"")))</f>
        <v>0</v>
      </c>
      <c r="Q263" s="195">
        <f t="shared" si="23"/>
        <v>0.7601</v>
      </c>
      <c r="R263" s="195" t="str">
        <f t="shared" si="23"/>
        <v/>
      </c>
      <c r="S263" s="195">
        <f t="shared" si="18"/>
        <v>0.57847160603371783</v>
      </c>
      <c r="T263" s="195">
        <f t="shared" si="24"/>
        <v>0.37923554219787681</v>
      </c>
      <c r="U263" s="195" t="str">
        <f t="shared" si="19"/>
        <v/>
      </c>
      <c r="V263">
        <f t="shared" si="20"/>
        <v>69</v>
      </c>
      <c r="W263" s="195">
        <f t="shared" si="25"/>
        <v>0.31297909022123771</v>
      </c>
      <c r="X263" s="195" t="str">
        <f t="shared" si="26"/>
        <v/>
      </c>
      <c r="Y263" s="255" t="str">
        <f>IF(ISNUMBER(SEARCH("C", 'Dry_Litterbag Placem_Collection'!T190)),"YES","NO")</f>
        <v>YES</v>
      </c>
      <c r="Z263" s="255" t="str">
        <f>IF(ISNUMBER(SEARCH("H", 'Dry_Litterbag Placem_Collection'!T190)),"YES","NO")</f>
        <v>YES</v>
      </c>
      <c r="AA263" s="255" t="str">
        <f>IF(ISNUMBER(SEARCH("R", 'Dry_Litterbag Placem_Collection'!T190)),"YES","NO")</f>
        <v>YES</v>
      </c>
      <c r="AB263" s="255" t="str">
        <f>IF(ISNUMBER(SEARCH("C", 'Dry_Litterbag Placem_Collection'!S190)),"YES","NO")</f>
        <v>NO</v>
      </c>
      <c r="AC263" s="255" t="str">
        <f>IF(ISNUMBER(SEARCH("H", 'Dry_Litterbag Placem_Collection'!S190)),"YES","NO")</f>
        <v>YES</v>
      </c>
      <c r="AD263" s="255" t="str">
        <f>IF(ISNUMBER(SEARCH("R", 'Dry_Litterbag Placem_Collection'!S190)),"YES","NO")</f>
        <v>YES</v>
      </c>
    </row>
    <row r="264" spans="2:30">
      <c r="B264" t="str">
        <f>'Final data_for_R_analysis_Dryse'!A190</f>
        <v>Dry</v>
      </c>
      <c r="C264" s="263">
        <f>'Final data_for_R_analysis_Dryse'!B190</f>
        <v>189</v>
      </c>
      <c r="D264" t="s">
        <v>3855</v>
      </c>
      <c r="E264" t="s">
        <v>22</v>
      </c>
      <c r="F264" s="387">
        <v>5</v>
      </c>
      <c r="G264" s="16">
        <f>'Dry_Litterbag Placem_Collection'!E191</f>
        <v>42940</v>
      </c>
      <c r="H264" t="str">
        <f>'Final data_for_R_analysis_Dryse'!J190</f>
        <v>G144</v>
      </c>
      <c r="I264" t="str">
        <f>'Final data_for_R_analysis_Dryse'!J410</f>
        <v>R18</v>
      </c>
      <c r="J264">
        <f>IFERROR(INDEX('Green_rooibos initial weight'!$C$5:$C$1749,MATCH(H264, 'Green_rooibos initial weight'!$A$5:$A$1749,0)),"")</f>
        <v>2.0230000000000001</v>
      </c>
      <c r="K264">
        <f>IFERROR(INDEX('Green_rooibos initial weight'!$C$5:$C$1749,MATCH(I264, 'Green_rooibos initial weight'!$A$5:$A$1749,0)),"")</f>
        <v>2.2519999999999998</v>
      </c>
      <c r="L264" s="195">
        <f t="shared" si="21"/>
        <v>1.7732000000000001</v>
      </c>
      <c r="M264" s="195">
        <f t="shared" si="22"/>
        <v>2.0021999999999998</v>
      </c>
      <c r="N264" s="16">
        <f>IF('Dry_Litterbag Placem_Collection'!G191="N.A","",'Dry_Litterbag Placem_Collection'!G191)</f>
        <v>43009</v>
      </c>
      <c r="O264" s="195">
        <f>IF(IFERROR(INDEX('Both teabags AfterDry'!$D$1:$D$839,MATCH(H264,'Both teabags AfterDry'!$A$1:$A$839,0)),"")="N.A","",(IFERROR(INDEX('Both teabags AfterDry'!$D$1:$D$839,MATCH(H264,'Both teabags AfterDry'!$A$1:$A$839,0)),"")))</f>
        <v>0.68520000000000003</v>
      </c>
      <c r="P264" s="195">
        <f>IF(IFERROR(INDEX('Both teabags AfterDry'!$D$1:$D$839,MATCH(I264,'Both teabags AfterDry'!$A$1:$A$839,0)),"")="N.A","",(IFERROR(INDEX('Both teabags AfterDry'!$D$1:$D$839,MATCH(I264,'Both teabags AfterDry'!$A$1:$A$839,0)),"")))</f>
        <v>0</v>
      </c>
      <c r="Q264" s="195">
        <f t="shared" si="23"/>
        <v>0.53459999999999996</v>
      </c>
      <c r="R264" s="195" t="str">
        <f t="shared" si="23"/>
        <v/>
      </c>
      <c r="S264" s="195">
        <f t="shared" si="18"/>
        <v>0.69851116625310183</v>
      </c>
      <c r="T264" s="195">
        <f t="shared" si="24"/>
        <v>0.45793131089276989</v>
      </c>
      <c r="U264" s="195" t="str">
        <f t="shared" si="19"/>
        <v/>
      </c>
      <c r="V264">
        <f t="shared" si="20"/>
        <v>69</v>
      </c>
      <c r="W264" s="195">
        <f t="shared" si="25"/>
        <v>0.17041429186092416</v>
      </c>
      <c r="X264" s="195" t="str">
        <f t="shared" si="26"/>
        <v/>
      </c>
      <c r="Y264" s="255" t="str">
        <f>IF(ISNUMBER(SEARCH("C", 'Dry_Litterbag Placem_Collection'!T191)),"YES","NO")</f>
        <v>NO</v>
      </c>
      <c r="Z264" s="255" t="str">
        <f>IF(ISNUMBER(SEARCH("H", 'Dry_Litterbag Placem_Collection'!T191)),"YES","NO")</f>
        <v>YES</v>
      </c>
      <c r="AA264" s="255" t="str">
        <f>IF(ISNUMBER(SEARCH("R", 'Dry_Litterbag Placem_Collection'!T191)),"YES","NO")</f>
        <v>YES</v>
      </c>
      <c r="AB264" s="255" t="str">
        <f>IF(ISNUMBER(SEARCH("C", 'Dry_Litterbag Placem_Collection'!S191)),"YES","NO")</f>
        <v>NO</v>
      </c>
      <c r="AC264" s="255" t="str">
        <f>IF(ISNUMBER(SEARCH("H", 'Dry_Litterbag Placem_Collection'!S191)),"YES","NO")</f>
        <v>NO</v>
      </c>
      <c r="AD264" s="255" t="str">
        <f>IF(ISNUMBER(SEARCH("R", 'Dry_Litterbag Placem_Collection'!S191)),"YES","NO")</f>
        <v>YES</v>
      </c>
    </row>
    <row r="265" spans="2:30">
      <c r="B265" t="str">
        <f>'Final data_for_R_analysis_Dryse'!A191</f>
        <v>Dry</v>
      </c>
      <c r="C265" s="263">
        <f>'Final data_for_R_analysis_Dryse'!B191</f>
        <v>190</v>
      </c>
      <c r="D265" t="s">
        <v>3855</v>
      </c>
      <c r="E265" t="s">
        <v>22</v>
      </c>
      <c r="F265" s="387">
        <v>6</v>
      </c>
      <c r="G265" s="16">
        <f>'Dry_Litterbag Placem_Collection'!E192</f>
        <v>42940</v>
      </c>
      <c r="H265" t="str">
        <f>'Final data_for_R_analysis_Dryse'!J191</f>
        <v>G171</v>
      </c>
      <c r="I265" t="str">
        <f>'Final data_for_R_analysis_Dryse'!J411</f>
        <v>R397</v>
      </c>
      <c r="J265">
        <f>IFERROR(INDEX('Green_rooibos initial weight'!$C$5:$C$1749,MATCH(H265, 'Green_rooibos initial weight'!$A$5:$A$1749,0)),"")</f>
        <v>1.9239999999999999</v>
      </c>
      <c r="K265">
        <f>IFERROR(INDEX('Green_rooibos initial weight'!$C$5:$C$1749,MATCH(I265, 'Green_rooibos initial weight'!$A$5:$A$1749,0)),"")</f>
        <v>2.1970000000000001</v>
      </c>
      <c r="L265" s="195">
        <f t="shared" si="21"/>
        <v>1.6741999999999999</v>
      </c>
      <c r="M265" s="195">
        <f t="shared" si="22"/>
        <v>1.9472</v>
      </c>
      <c r="N265" s="16">
        <f>IF('Dry_Litterbag Placem_Collection'!G192="N.A","",'Dry_Litterbag Placem_Collection'!G192)</f>
        <v>43009</v>
      </c>
      <c r="O265" s="195">
        <f>IF(IFERROR(INDEX('Both teabags AfterDry'!$D$1:$D$839,MATCH(H265,'Both teabags AfterDry'!$A$1:$A$839,0)),"")="N.A","",(IFERROR(INDEX('Both teabags AfterDry'!$D$1:$D$839,MATCH(H265,'Both teabags AfterDry'!$A$1:$A$839,0)),"")))</f>
        <v>0.75309999999999999</v>
      </c>
      <c r="P265" s="195">
        <f>IF(IFERROR(INDEX('Both teabags AfterDry'!$D$1:$D$839,MATCH(I265,'Both teabags AfterDry'!$A$1:$A$839,0)),"")="N.A","",(IFERROR(INDEX('Both teabags AfterDry'!$D$1:$D$839,MATCH(I265,'Both teabags AfterDry'!$A$1:$A$839,0)),"")))</f>
        <v>1.7444999999999999</v>
      </c>
      <c r="Q265" s="195">
        <f t="shared" si="23"/>
        <v>0.60250000000000004</v>
      </c>
      <c r="R265" s="195">
        <f t="shared" si="23"/>
        <v>1.5938999999999999</v>
      </c>
      <c r="S265" s="195">
        <f t="shared" si="18"/>
        <v>0.64012662764305328</v>
      </c>
      <c r="T265" s="195">
        <f t="shared" si="24"/>
        <v>0.41965546135269055</v>
      </c>
      <c r="U265" s="195">
        <f t="shared" si="19"/>
        <v>0.81855998356614623</v>
      </c>
      <c r="V265">
        <f t="shared" si="20"/>
        <v>69</v>
      </c>
      <c r="W265" s="195">
        <f t="shared" si="25"/>
        <v>0.23975459899874907</v>
      </c>
      <c r="X265" s="195">
        <f t="shared" si="26"/>
        <v>8.206645645815561E-3</v>
      </c>
      <c r="Y265" s="255" t="str">
        <f>IF(ISNUMBER(SEARCH("C", 'Dry_Litterbag Placem_Collection'!T192)),"YES","NO")</f>
        <v>NO</v>
      </c>
      <c r="Z265" s="255" t="str">
        <f>IF(ISNUMBER(SEARCH("H", 'Dry_Litterbag Placem_Collection'!T192)),"YES","NO")</f>
        <v>NO</v>
      </c>
      <c r="AA265" s="255" t="str">
        <f>IF(ISNUMBER(SEARCH("R", 'Dry_Litterbag Placem_Collection'!T192)),"YES","NO")</f>
        <v>NO</v>
      </c>
      <c r="AB265" s="255" t="str">
        <f>IF(ISNUMBER(SEARCH("C", 'Dry_Litterbag Placem_Collection'!S192)),"YES","NO")</f>
        <v>NO</v>
      </c>
      <c r="AC265" s="255" t="str">
        <f>IF(ISNUMBER(SEARCH("H", 'Dry_Litterbag Placem_Collection'!S192)),"YES","NO")</f>
        <v>NO</v>
      </c>
      <c r="AD265" s="255" t="str">
        <f>IF(ISNUMBER(SEARCH("R", 'Dry_Litterbag Placem_Collection'!S192)),"YES","NO")</f>
        <v>NO</v>
      </c>
    </row>
    <row r="266" spans="2:30">
      <c r="B266" t="str">
        <f>'Final data_for_R_analysis_Dryse'!A192</f>
        <v>Dry</v>
      </c>
      <c r="C266" s="263">
        <f>'Final data_for_R_analysis_Dryse'!B192</f>
        <v>191</v>
      </c>
      <c r="D266" t="s">
        <v>3855</v>
      </c>
      <c r="E266" t="s">
        <v>22</v>
      </c>
      <c r="F266" s="387">
        <v>7</v>
      </c>
      <c r="G266" s="16">
        <f>'Dry_Litterbag Placem_Collection'!E193</f>
        <v>42940</v>
      </c>
      <c r="H266" t="str">
        <f>'Final data_for_R_analysis_Dryse'!J192</f>
        <v>G232</v>
      </c>
      <c r="I266" t="str">
        <f>'Final data_for_R_analysis_Dryse'!J412</f>
        <v>R715</v>
      </c>
      <c r="J266">
        <f>IFERROR(INDEX('Green_rooibos initial weight'!$C$5:$C$1749,MATCH(H266, 'Green_rooibos initial weight'!$A$5:$A$1749,0)),"")</f>
        <v>2.04</v>
      </c>
      <c r="K266">
        <f>IFERROR(INDEX('Green_rooibos initial weight'!$C$5:$C$1749,MATCH(I266, 'Green_rooibos initial weight'!$A$5:$A$1749,0)),"")</f>
        <v>2.161</v>
      </c>
      <c r="L266" s="195">
        <f t="shared" si="21"/>
        <v>1.7902</v>
      </c>
      <c r="M266" s="195">
        <f t="shared" si="22"/>
        <v>1.9112</v>
      </c>
      <c r="N266" s="16">
        <f>IF('Dry_Litterbag Placem_Collection'!G193="N.A","",'Dry_Litterbag Placem_Collection'!G193)</f>
        <v>43009</v>
      </c>
      <c r="O266" s="195">
        <f>IF(IFERROR(INDEX('Both teabags AfterDry'!$D$1:$D$839,MATCH(H266,'Both teabags AfterDry'!$A$1:$A$839,0)),"")="N.A","",(IFERROR(INDEX('Both teabags AfterDry'!$D$1:$D$839,MATCH(H266,'Both teabags AfterDry'!$A$1:$A$839,0)),"")))</f>
        <v>0.80369999999999997</v>
      </c>
      <c r="P266" s="195">
        <f>IF(IFERROR(INDEX('Both teabags AfterDry'!$D$1:$D$839,MATCH(I266,'Both teabags AfterDry'!$A$1:$A$839,0)),"")="N.A","",(IFERROR(INDEX('Both teabags AfterDry'!$D$1:$D$839,MATCH(I266,'Both teabags AfterDry'!$A$1:$A$839,0)),"")))</f>
        <v>1.9014</v>
      </c>
      <c r="Q266" s="195">
        <f t="shared" si="23"/>
        <v>0.65310000000000001</v>
      </c>
      <c r="R266" s="195">
        <f t="shared" si="23"/>
        <v>1.7507999999999999</v>
      </c>
      <c r="S266" s="195">
        <f t="shared" si="18"/>
        <v>0.63518042676795883</v>
      </c>
      <c r="T266" s="195">
        <f t="shared" si="24"/>
        <v>0.41641282134906571</v>
      </c>
      <c r="U266" s="195">
        <f t="shared" si="19"/>
        <v>0.91607367099204684</v>
      </c>
      <c r="V266">
        <f t="shared" si="20"/>
        <v>69</v>
      </c>
      <c r="W266" s="195">
        <f t="shared" si="25"/>
        <v>0.24562894683140279</v>
      </c>
      <c r="X266" s="195">
        <f t="shared" si="26"/>
        <v>3.2619984417107521E-3</v>
      </c>
      <c r="Y266" s="255" t="str">
        <f>IF(ISNUMBER(SEARCH("C", 'Dry_Litterbag Placem_Collection'!T193)),"YES","NO")</f>
        <v>NO</v>
      </c>
      <c r="Z266" s="255" t="str">
        <f>IF(ISNUMBER(SEARCH("H", 'Dry_Litterbag Placem_Collection'!T193)),"YES","NO")</f>
        <v>NO</v>
      </c>
      <c r="AA266" s="255" t="str">
        <f>IF(ISNUMBER(SEARCH("R", 'Dry_Litterbag Placem_Collection'!T193)),"YES","NO")</f>
        <v>NO</v>
      </c>
      <c r="AB266" s="255" t="str">
        <f>IF(ISNUMBER(SEARCH("C", 'Dry_Litterbag Placem_Collection'!S193)),"YES","NO")</f>
        <v>NO</v>
      </c>
      <c r="AC266" s="255" t="str">
        <f>IF(ISNUMBER(SEARCH("H", 'Dry_Litterbag Placem_Collection'!S193)),"YES","NO")</f>
        <v>NO</v>
      </c>
      <c r="AD266" s="255" t="str">
        <f>IF(ISNUMBER(SEARCH("R", 'Dry_Litterbag Placem_Collection'!S193)),"YES","NO")</f>
        <v>NO</v>
      </c>
    </row>
    <row r="267" spans="2:30">
      <c r="B267" t="str">
        <f>'Final data_for_R_analysis_Dryse'!A193</f>
        <v>Dry</v>
      </c>
      <c r="C267" s="263">
        <f>'Final data_for_R_analysis_Dryse'!B193</f>
        <v>192</v>
      </c>
      <c r="D267" t="s">
        <v>3855</v>
      </c>
      <c r="E267" t="s">
        <v>22</v>
      </c>
      <c r="F267" s="387">
        <v>8</v>
      </c>
      <c r="G267" s="16">
        <f>'Dry_Litterbag Placem_Collection'!E194</f>
        <v>0</v>
      </c>
      <c r="H267" t="str">
        <f>'Final data_for_R_analysis_Dryse'!J193</f>
        <v/>
      </c>
      <c r="I267" t="str">
        <f>'Final data_for_R_analysis_Dryse'!J413</f>
        <v/>
      </c>
      <c r="J267" t="str">
        <f>IFERROR(INDEX('Green_rooibos initial weight'!$C$5:$C$1749,MATCH(H267, 'Green_rooibos initial weight'!$A$5:$A$1749,0)),"")</f>
        <v/>
      </c>
      <c r="K267" t="str">
        <f>IFERROR(INDEX('Green_rooibos initial weight'!$C$5:$C$1749,MATCH(I267, 'Green_rooibos initial weight'!$A$5:$A$1749,0)),"")</f>
        <v/>
      </c>
      <c r="L267" s="195" t="str">
        <f t="shared" si="21"/>
        <v/>
      </c>
      <c r="M267" s="195" t="str">
        <f t="shared" si="22"/>
        <v/>
      </c>
      <c r="N267" s="16">
        <f>IF('Dry_Litterbag Placem_Collection'!G194="N.A","",'Dry_Litterbag Placem_Collection'!G194)</f>
        <v>0</v>
      </c>
      <c r="O267" s="195" t="str">
        <f>IF(IFERROR(INDEX('Both teabags AfterDry'!$D$1:$D$839,MATCH(H267,'Both teabags AfterDry'!$A$1:$A$839,0)),"")="N.A","",(IFERROR(INDEX('Both teabags AfterDry'!$D$1:$D$839,MATCH(H267,'Both teabags AfterDry'!$A$1:$A$839,0)),"")))</f>
        <v/>
      </c>
      <c r="P267" s="195" t="str">
        <f>IF(IFERROR(INDEX('Both teabags AfterDry'!$D$1:$D$839,MATCH(I267,'Both teabags AfterDry'!$A$1:$A$839,0)),"")="N.A","",(IFERROR(INDEX('Both teabags AfterDry'!$D$1:$D$839,MATCH(I267,'Both teabags AfterDry'!$A$1:$A$839,0)),"")))</f>
        <v/>
      </c>
      <c r="Q267" s="195" t="str">
        <f t="shared" si="23"/>
        <v/>
      </c>
      <c r="R267" s="195" t="str">
        <f t="shared" si="23"/>
        <v/>
      </c>
      <c r="S267" s="195" t="str">
        <f t="shared" si="18"/>
        <v/>
      </c>
      <c r="T267" s="195" t="str">
        <f t="shared" si="24"/>
        <v/>
      </c>
      <c r="U267" s="195" t="str">
        <f t="shared" si="19"/>
        <v/>
      </c>
      <c r="V267" t="str">
        <f t="shared" si="20"/>
        <v/>
      </c>
      <c r="W267" s="195" t="str">
        <f t="shared" si="25"/>
        <v/>
      </c>
      <c r="X267" s="195" t="str">
        <f t="shared" si="26"/>
        <v/>
      </c>
      <c r="Y267" s="255" t="str">
        <f>IF(ISNUMBER(SEARCH("C", 'Dry_Litterbag Placem_Collection'!T194)),"YES","NO")</f>
        <v>NO</v>
      </c>
      <c r="Z267" s="255" t="str">
        <f>IF(ISNUMBER(SEARCH("H", 'Dry_Litterbag Placem_Collection'!T194)),"YES","NO")</f>
        <v>NO</v>
      </c>
      <c r="AA267" s="255" t="str">
        <f>IF(ISNUMBER(SEARCH("R", 'Dry_Litterbag Placem_Collection'!T194)),"YES","NO")</f>
        <v>NO</v>
      </c>
      <c r="AB267" s="255" t="str">
        <f>IF(ISNUMBER(SEARCH("C", 'Dry_Litterbag Placem_Collection'!S194)),"YES","NO")</f>
        <v>NO</v>
      </c>
      <c r="AC267" s="255" t="str">
        <f>IF(ISNUMBER(SEARCH("H", 'Dry_Litterbag Placem_Collection'!S194)),"YES","NO")</f>
        <v>NO</v>
      </c>
      <c r="AD267" s="255" t="str">
        <f>IF(ISNUMBER(SEARCH("R", 'Dry_Litterbag Placem_Collection'!S194)),"YES","NO")</f>
        <v>NO</v>
      </c>
    </row>
    <row r="268" spans="2:30">
      <c r="B268" t="str">
        <f>'Final data_for_R_analysis_Dryse'!A194</f>
        <v>Dry</v>
      </c>
      <c r="C268" s="263">
        <f>'Final data_for_R_analysis_Dryse'!B194</f>
        <v>193</v>
      </c>
      <c r="D268" t="s">
        <v>2445</v>
      </c>
      <c r="E268" t="s">
        <v>22</v>
      </c>
      <c r="F268" s="387">
        <v>1</v>
      </c>
      <c r="G268" s="16">
        <f>'Dry_Litterbag Placem_Collection'!E195</f>
        <v>42942</v>
      </c>
      <c r="H268" t="str">
        <f>'Final data_for_R_analysis_Dryse'!J194</f>
        <v>G257</v>
      </c>
      <c r="I268" t="str">
        <f>'Final data_for_R_analysis_Dryse'!J414</f>
        <v>R695</v>
      </c>
      <c r="J268">
        <f>IFERROR(INDEX('Green_rooibos initial weight'!$C$5:$C$1749,MATCH(H268, 'Green_rooibos initial weight'!$A$5:$A$1749,0)),"")</f>
        <v>1.9319999999999999</v>
      </c>
      <c r="K268">
        <f>IFERROR(INDEX('Green_rooibos initial weight'!$C$5:$C$1749,MATCH(I268, 'Green_rooibos initial weight'!$A$5:$A$1749,0)),"")</f>
        <v>2.1789999999999998</v>
      </c>
      <c r="L268" s="195">
        <f t="shared" si="21"/>
        <v>1.6821999999999999</v>
      </c>
      <c r="M268" s="195">
        <f t="shared" si="22"/>
        <v>1.9291999999999998</v>
      </c>
      <c r="N268" s="16">
        <f>IF('Dry_Litterbag Placem_Collection'!G195="N.A","",'Dry_Litterbag Placem_Collection'!G195)</f>
        <v>43004</v>
      </c>
      <c r="O268" s="195">
        <f>IF(IFERROR(INDEX('Both teabags AfterDry'!$D$1:$D$839,MATCH(H268,'Both teabags AfterDry'!$A$1:$A$839,0)),"")="N.A","",(IFERROR(INDEX('Both teabags AfterDry'!$D$1:$D$839,MATCH(H268,'Both teabags AfterDry'!$A$1:$A$839,0)),"")))</f>
        <v>0.67</v>
      </c>
      <c r="P268" s="195">
        <f>IF(IFERROR(INDEX('Both teabags AfterDry'!$D$1:$D$839,MATCH(I268,'Both teabags AfterDry'!$A$1:$A$839,0)),"")="N.A","",(IFERROR(INDEX('Both teabags AfterDry'!$D$1:$D$839,MATCH(I268,'Both teabags AfterDry'!$A$1:$A$839,0)),"")))</f>
        <v>1.42</v>
      </c>
      <c r="Q268" s="195">
        <f t="shared" si="23"/>
        <v>0.51940000000000008</v>
      </c>
      <c r="R268" s="195">
        <f t="shared" si="23"/>
        <v>1.2693999999999999</v>
      </c>
      <c r="S268" s="195">
        <f t="shared" ref="S268:S331" si="27">IFERROR(1-Q268/L268,"")</f>
        <v>0.6912376649625489</v>
      </c>
      <c r="T268" s="195">
        <f t="shared" si="24"/>
        <v>0.45316293474979458</v>
      </c>
      <c r="U268" s="195">
        <f t="shared" ref="U268:U331" si="28">IFERROR(R268/M268,"")</f>
        <v>0.65799295044578066</v>
      </c>
      <c r="V268">
        <f t="shared" ref="V268:V331" si="29">IF((N268-G268)&gt;0,(IFERROR(N268-G268,"")),"")</f>
        <v>62</v>
      </c>
      <c r="W268" s="195">
        <f t="shared" si="25"/>
        <v>0.17905265443877805</v>
      </c>
      <c r="X268" s="195">
        <f t="shared" si="26"/>
        <v>2.2666421821556374E-2</v>
      </c>
      <c r="Y268" s="255" t="str">
        <f>IF(ISNUMBER(SEARCH("C", 'Dry_Litterbag Placem_Collection'!T195)),"YES","NO")</f>
        <v>NO</v>
      </c>
      <c r="Z268" s="255" t="str">
        <f>IF(ISNUMBER(SEARCH("H", 'Dry_Litterbag Placem_Collection'!T195)),"YES","NO")</f>
        <v>NO</v>
      </c>
      <c r="AA268" s="255" t="str">
        <f>IF(ISNUMBER(SEARCH("R", 'Dry_Litterbag Placem_Collection'!T195)),"YES","NO")</f>
        <v>NO</v>
      </c>
      <c r="AB268" s="255" t="str">
        <f>IF(ISNUMBER(SEARCH("C", 'Dry_Litterbag Placem_Collection'!S195)),"YES","NO")</f>
        <v>NO</v>
      </c>
      <c r="AC268" s="255" t="str">
        <f>IF(ISNUMBER(SEARCH("H", 'Dry_Litterbag Placem_Collection'!S195)),"YES","NO")</f>
        <v>NO</v>
      </c>
      <c r="AD268" s="255" t="str">
        <f>IF(ISNUMBER(SEARCH("R", 'Dry_Litterbag Placem_Collection'!S195)),"YES","NO")</f>
        <v>YES</v>
      </c>
    </row>
    <row r="269" spans="2:30">
      <c r="B269" t="str">
        <f>'Final data_for_R_analysis_Dryse'!A195</f>
        <v>Dry</v>
      </c>
      <c r="C269" s="263">
        <f>'Final data_for_R_analysis_Dryse'!B195</f>
        <v>194</v>
      </c>
      <c r="D269" t="s">
        <v>2438</v>
      </c>
      <c r="E269" t="s">
        <v>22</v>
      </c>
      <c r="F269" s="387">
        <v>2</v>
      </c>
      <c r="G269" s="16">
        <f>'Dry_Litterbag Placem_Collection'!E196</f>
        <v>42942</v>
      </c>
      <c r="H269" t="str">
        <f>'Final data_for_R_analysis_Dryse'!J195</f>
        <v>G148</v>
      </c>
      <c r="I269" t="str">
        <f>'Final data_for_R_analysis_Dryse'!J415</f>
        <v>R653</v>
      </c>
      <c r="J269">
        <f>IFERROR(INDEX('Green_rooibos initial weight'!$C$5:$C$1749,MATCH(H269, 'Green_rooibos initial weight'!$A$5:$A$1749,0)),"")</f>
        <v>2.0710000000000002</v>
      </c>
      <c r="K269">
        <f>IFERROR(INDEX('Green_rooibos initial weight'!$C$5:$C$1749,MATCH(I269, 'Green_rooibos initial weight'!$A$5:$A$1749,0)),"")</f>
        <v>2.1989999999999998</v>
      </c>
      <c r="L269" s="195">
        <f t="shared" ref="L269:L332" si="30">IFERROR(IF(J269&gt;0,(J269*$F$31-($F$29+$F$30)),""),"")</f>
        <v>1.8212000000000002</v>
      </c>
      <c r="M269" s="195">
        <f t="shared" ref="M269:M332" si="31">IFERROR(IF(K269&gt;0,(K269*$F$32-($F$29+$F$30)),""),"")</f>
        <v>1.9491999999999998</v>
      </c>
      <c r="N269" s="16">
        <f>IF('Dry_Litterbag Placem_Collection'!G196="N.A","",'Dry_Litterbag Placem_Collection'!G196)</f>
        <v>43004</v>
      </c>
      <c r="O269" s="195">
        <f>IF(IFERROR(INDEX('Both teabags AfterDry'!$D$1:$D$839,MATCH(H269,'Both teabags AfterDry'!$A$1:$A$839,0)),"")="N.A","",(IFERROR(INDEX('Both teabags AfterDry'!$D$1:$D$839,MATCH(H269,'Both teabags AfterDry'!$A$1:$A$839,0)),"")))</f>
        <v>0.433</v>
      </c>
      <c r="P269" s="195">
        <f>IF(IFERROR(INDEX('Both teabags AfterDry'!$D$1:$D$839,MATCH(I269,'Both teabags AfterDry'!$A$1:$A$839,0)),"")="N.A","",(IFERROR(INDEX('Both teabags AfterDry'!$D$1:$D$839,MATCH(I269,'Both teabags AfterDry'!$A$1:$A$839,0)),"")))</f>
        <v>1.613</v>
      </c>
      <c r="Q269" s="195">
        <f t="shared" ref="Q269:R332" si="32">IFERROR(IF(O269&gt;0,O269-($F$29),""),"")</f>
        <v>0.28239999999999998</v>
      </c>
      <c r="R269" s="195">
        <f t="shared" si="32"/>
        <v>1.4623999999999999</v>
      </c>
      <c r="S269" s="195">
        <f t="shared" si="27"/>
        <v>0.84493740390951022</v>
      </c>
      <c r="T269" s="195">
        <f t="shared" ref="T269:T332" si="33">IFERROR($F$26*(1-W269),"")</f>
        <v>0.55392570897630611</v>
      </c>
      <c r="U269" s="195">
        <f t="shared" si="28"/>
        <v>0.75025651549353589</v>
      </c>
      <c r="V269">
        <f t="shared" si="29"/>
        <v>62</v>
      </c>
      <c r="W269" s="195">
        <f t="shared" ref="W269:W332" si="34">IFERROR(1-(S269/$F$25),"")</f>
        <v>-3.4886032179457516E-3</v>
      </c>
      <c r="X269" s="195">
        <f t="shared" ref="X269:X332" si="35">IFERROR(LN(T269/(U269-(1-T269)))/V269,"")</f>
        <v>9.6678005485806174E-3</v>
      </c>
      <c r="Y269" s="255" t="str">
        <f>IF(ISNUMBER(SEARCH("C", 'Dry_Litterbag Placem_Collection'!T196)),"YES","NO")</f>
        <v>NO</v>
      </c>
      <c r="Z269" s="255" t="str">
        <f>IF(ISNUMBER(SEARCH("H", 'Dry_Litterbag Placem_Collection'!T196)),"YES","NO")</f>
        <v>NO</v>
      </c>
      <c r="AA269" s="255" t="str">
        <f>IF(ISNUMBER(SEARCH("R", 'Dry_Litterbag Placem_Collection'!T196)),"YES","NO")</f>
        <v>YES</v>
      </c>
      <c r="AB269" s="255" t="str">
        <f>IF(ISNUMBER(SEARCH("C", 'Dry_Litterbag Placem_Collection'!S196)),"YES","NO")</f>
        <v>NO</v>
      </c>
      <c r="AC269" s="255" t="str">
        <f>IF(ISNUMBER(SEARCH("H", 'Dry_Litterbag Placem_Collection'!S196)),"YES","NO")</f>
        <v>YES</v>
      </c>
      <c r="AD269" s="255" t="str">
        <f>IF(ISNUMBER(SEARCH("R", 'Dry_Litterbag Placem_Collection'!S196)),"YES","NO")</f>
        <v>YES</v>
      </c>
    </row>
    <row r="270" spans="2:30">
      <c r="B270" t="str">
        <f>'Final data_for_R_analysis_Dryse'!A196</f>
        <v>Dry</v>
      </c>
      <c r="C270" s="263">
        <f>'Final data_for_R_analysis_Dryse'!B196</f>
        <v>195</v>
      </c>
      <c r="D270" t="s">
        <v>2430</v>
      </c>
      <c r="E270" t="s">
        <v>22</v>
      </c>
      <c r="F270" s="387">
        <v>3</v>
      </c>
      <c r="G270" s="16">
        <f>'Dry_Litterbag Placem_Collection'!E197</f>
        <v>42942</v>
      </c>
      <c r="H270" t="str">
        <f>'Final data_for_R_analysis_Dryse'!J196</f>
        <v>G105</v>
      </c>
      <c r="I270" t="str">
        <f>'Final data_for_R_analysis_Dryse'!J416</f>
        <v>R389</v>
      </c>
      <c r="J270">
        <f>IFERROR(INDEX('Green_rooibos initial weight'!$C$5:$C$1749,MATCH(H270, 'Green_rooibos initial weight'!$A$5:$A$1749,0)),"")</f>
        <v>2.1440000000000001</v>
      </c>
      <c r="K270">
        <f>IFERROR(INDEX('Green_rooibos initial weight'!$C$5:$C$1749,MATCH(I270, 'Green_rooibos initial weight'!$A$5:$A$1749,0)),"")</f>
        <v>2.2349999999999999</v>
      </c>
      <c r="L270" s="195">
        <f t="shared" si="30"/>
        <v>1.8942000000000001</v>
      </c>
      <c r="M270" s="195">
        <f t="shared" si="31"/>
        <v>1.9851999999999999</v>
      </c>
      <c r="N270" s="16">
        <f>IF('Dry_Litterbag Placem_Collection'!G197="N.A","",'Dry_Litterbag Placem_Collection'!G197)</f>
        <v>43004</v>
      </c>
      <c r="O270" s="195">
        <f>IF(IFERROR(INDEX('Both teabags AfterDry'!$D$1:$D$839,MATCH(H270,'Both teabags AfterDry'!$A$1:$A$839,0)),"")="N.A","",(IFERROR(INDEX('Both teabags AfterDry'!$D$1:$D$839,MATCH(H270,'Both teabags AfterDry'!$A$1:$A$839,0)),"")))</f>
        <v>1.2050000000000001</v>
      </c>
      <c r="P270" s="195">
        <f>IF(IFERROR(INDEX('Both teabags AfterDry'!$D$1:$D$839,MATCH(I270,'Both teabags AfterDry'!$A$1:$A$839,0)),"")="N.A","",(IFERROR(INDEX('Both teabags AfterDry'!$D$1:$D$839,MATCH(I270,'Both teabags AfterDry'!$A$1:$A$839,0)),"")))</f>
        <v>0.78200000000000003</v>
      </c>
      <c r="Q270" s="195">
        <f t="shared" si="32"/>
        <v>1.0544</v>
      </c>
      <c r="R270" s="195">
        <f t="shared" si="32"/>
        <v>0.63139999999999996</v>
      </c>
      <c r="S270" s="195">
        <f t="shared" si="27"/>
        <v>0.44335339457290679</v>
      </c>
      <c r="T270" s="195">
        <f t="shared" si="33"/>
        <v>0.29065448195278454</v>
      </c>
      <c r="U270" s="195">
        <f t="shared" si="28"/>
        <v>0.31805359661495064</v>
      </c>
      <c r="V270">
        <f t="shared" si="29"/>
        <v>62</v>
      </c>
      <c r="W270" s="195">
        <f t="shared" si="34"/>
        <v>0.47345202544785414</v>
      </c>
      <c r="X270" s="195" t="str">
        <f t="shared" si="35"/>
        <v/>
      </c>
      <c r="Y270" s="255" t="str">
        <f>IF(ISNUMBER(SEARCH("C", 'Dry_Litterbag Placem_Collection'!T197)),"YES","NO")</f>
        <v>NO</v>
      </c>
      <c r="Z270" s="255" t="str">
        <f>IF(ISNUMBER(SEARCH("H", 'Dry_Litterbag Placem_Collection'!T197)),"YES","NO")</f>
        <v>NO</v>
      </c>
      <c r="AA270" s="255" t="str">
        <f>IF(ISNUMBER(SEARCH("R", 'Dry_Litterbag Placem_Collection'!T197)),"YES","NO")</f>
        <v>YES</v>
      </c>
      <c r="AB270" s="255" t="str">
        <f>IF(ISNUMBER(SEARCH("C", 'Dry_Litterbag Placem_Collection'!S197)),"YES","NO")</f>
        <v>NO</v>
      </c>
      <c r="AC270" s="255" t="str">
        <f>IF(ISNUMBER(SEARCH("H", 'Dry_Litterbag Placem_Collection'!S197)),"YES","NO")</f>
        <v>YES</v>
      </c>
      <c r="AD270" s="255" t="str">
        <f>IF(ISNUMBER(SEARCH("R", 'Dry_Litterbag Placem_Collection'!S197)),"YES","NO")</f>
        <v>YES</v>
      </c>
    </row>
    <row r="271" spans="2:30">
      <c r="B271" t="str">
        <f>'Final data_for_R_analysis_Dryse'!A197</f>
        <v>Dry</v>
      </c>
      <c r="C271" s="263">
        <f>'Final data_for_R_analysis_Dryse'!B197</f>
        <v>196</v>
      </c>
      <c r="D271" t="s">
        <v>2421</v>
      </c>
      <c r="E271" t="s">
        <v>22</v>
      </c>
      <c r="F271" s="387">
        <v>4</v>
      </c>
      <c r="G271" s="16">
        <f>'Dry_Litterbag Placem_Collection'!E198</f>
        <v>42942</v>
      </c>
      <c r="H271" t="str">
        <f>'Final data_for_R_analysis_Dryse'!J197</f>
        <v>G12</v>
      </c>
      <c r="I271" t="str">
        <f>'Final data_for_R_analysis_Dryse'!J417</f>
        <v>R455</v>
      </c>
      <c r="J271">
        <f>IFERROR(INDEX('Green_rooibos initial weight'!$C$5:$C$1749,MATCH(H271, 'Green_rooibos initial weight'!$A$5:$A$1749,0)),"")</f>
        <v>1.9870000000000001</v>
      </c>
      <c r="K271">
        <f>IFERROR(INDEX('Green_rooibos initial weight'!$C$5:$C$1749,MATCH(I271, 'Green_rooibos initial weight'!$A$5:$A$1749,0)),"")</f>
        <v>2.1850000000000001</v>
      </c>
      <c r="L271" s="195">
        <f t="shared" si="30"/>
        <v>1.7372000000000001</v>
      </c>
      <c r="M271" s="195">
        <f t="shared" si="31"/>
        <v>1.9352</v>
      </c>
      <c r="N271" s="16">
        <f>IF('Dry_Litterbag Placem_Collection'!G198="N.A","",'Dry_Litterbag Placem_Collection'!G198)</f>
        <v>43004</v>
      </c>
      <c r="O271" s="195">
        <f>IF(IFERROR(INDEX('Both teabags AfterDry'!$D$1:$D$839,MATCH(H271,'Both teabags AfterDry'!$A$1:$A$839,0)),"")="N.A","",(IFERROR(INDEX('Both teabags AfterDry'!$D$1:$D$839,MATCH(H271,'Both teabags AfterDry'!$A$1:$A$839,0)),"")))</f>
        <v>0.748</v>
      </c>
      <c r="P271" s="195">
        <f>IF(IFERROR(INDEX('Both teabags AfterDry'!$D$1:$D$839,MATCH(I271,'Both teabags AfterDry'!$A$1:$A$839,0)),"")="N.A","",(IFERROR(INDEX('Both teabags AfterDry'!$D$1:$D$839,MATCH(I271,'Both teabags AfterDry'!$A$1:$A$839,0)),"")))</f>
        <v>0.19900000000000001</v>
      </c>
      <c r="Q271" s="195">
        <f t="shared" si="32"/>
        <v>0.59739999999999993</v>
      </c>
      <c r="R271" s="195">
        <f t="shared" si="32"/>
        <v>4.8399999999999999E-2</v>
      </c>
      <c r="S271" s="195">
        <f t="shared" si="27"/>
        <v>0.65611328574717942</v>
      </c>
      <c r="T271" s="195">
        <f t="shared" si="33"/>
        <v>0.43013602581050248</v>
      </c>
      <c r="U271" s="195">
        <f t="shared" si="28"/>
        <v>2.50103348491112E-2</v>
      </c>
      <c r="V271">
        <f t="shared" si="29"/>
        <v>62</v>
      </c>
      <c r="W271" s="195">
        <f t="shared" si="34"/>
        <v>0.22076806918387237</v>
      </c>
      <c r="X271" s="195" t="str">
        <f t="shared" si="35"/>
        <v/>
      </c>
      <c r="Y271" s="255" t="str">
        <f>IF(ISNUMBER(SEARCH("C", 'Dry_Litterbag Placem_Collection'!T198)),"YES","NO")</f>
        <v>NO</v>
      </c>
      <c r="Z271" s="255" t="str">
        <f>IF(ISNUMBER(SEARCH("H", 'Dry_Litterbag Placem_Collection'!T198)),"YES","NO")</f>
        <v>YES</v>
      </c>
      <c r="AA271" s="255" t="str">
        <f>IF(ISNUMBER(SEARCH("R", 'Dry_Litterbag Placem_Collection'!T198)),"YES","NO")</f>
        <v>NO</v>
      </c>
      <c r="AB271" s="255" t="str">
        <f>IF(ISNUMBER(SEARCH("C", 'Dry_Litterbag Placem_Collection'!S198)),"YES","NO")</f>
        <v>NO</v>
      </c>
      <c r="AC271" s="255" t="str">
        <f>IF(ISNUMBER(SEARCH("H", 'Dry_Litterbag Placem_Collection'!S198)),"YES","NO")</f>
        <v>YES</v>
      </c>
      <c r="AD271" s="255" t="str">
        <f>IF(ISNUMBER(SEARCH("R", 'Dry_Litterbag Placem_Collection'!S198)),"YES","NO")</f>
        <v>NO</v>
      </c>
    </row>
    <row r="272" spans="2:30">
      <c r="B272" t="str">
        <f>'Final data_for_R_analysis_Dryse'!A198</f>
        <v>Dry</v>
      </c>
      <c r="C272" s="263">
        <f>'Final data_for_R_analysis_Dryse'!B198</f>
        <v>197</v>
      </c>
      <c r="D272" t="s">
        <v>2431</v>
      </c>
      <c r="E272" t="s">
        <v>22</v>
      </c>
      <c r="F272" s="387">
        <v>1</v>
      </c>
      <c r="G272" s="16">
        <f>'Dry_Litterbag Placem_Collection'!E199</f>
        <v>42942</v>
      </c>
      <c r="H272" t="str">
        <f>'Final data_for_R_analysis_Dryse'!J198</f>
        <v>G399</v>
      </c>
      <c r="I272" t="str">
        <f>'Final data_for_R_analysis_Dryse'!J418</f>
        <v>R692</v>
      </c>
      <c r="J272">
        <f>IFERROR(INDEX('Green_rooibos initial weight'!$C$5:$C$1749,MATCH(H272, 'Green_rooibos initial weight'!$A$5:$A$1749,0)),"")</f>
        <v>2.0070000000000001</v>
      </c>
      <c r="K272">
        <f>IFERROR(INDEX('Green_rooibos initial weight'!$C$5:$C$1749,MATCH(I272, 'Green_rooibos initial weight'!$A$5:$A$1749,0)),"")</f>
        <v>2.1419999999999999</v>
      </c>
      <c r="L272" s="195">
        <f t="shared" si="30"/>
        <v>1.7572000000000001</v>
      </c>
      <c r="M272" s="195">
        <f t="shared" si="31"/>
        <v>1.8921999999999999</v>
      </c>
      <c r="N272" s="16">
        <f>IF('Dry_Litterbag Placem_Collection'!G199="N.A","",'Dry_Litterbag Placem_Collection'!G199)</f>
        <v>43004</v>
      </c>
      <c r="O272" s="195">
        <f>IF(IFERROR(INDEX('Both teabags AfterDry'!$D$1:$D$839,MATCH(H272,'Both teabags AfterDry'!$A$1:$A$839,0)),"")="N.A","",(IFERROR(INDEX('Both teabags AfterDry'!$D$1:$D$839,MATCH(H272,'Both teabags AfterDry'!$A$1:$A$839,0)),"")))</f>
        <v>0.69</v>
      </c>
      <c r="P272" s="195">
        <f>IF(IFERROR(INDEX('Both teabags AfterDry'!$D$1:$D$839,MATCH(I272,'Both teabags AfterDry'!$A$1:$A$839,0)),"")="N.A","",(IFERROR(INDEX('Both teabags AfterDry'!$D$1:$D$839,MATCH(I272,'Both teabags AfterDry'!$A$1:$A$839,0)),"")))</f>
        <v>1.6160000000000001</v>
      </c>
      <c r="Q272" s="195">
        <f t="shared" si="32"/>
        <v>0.53939999999999988</v>
      </c>
      <c r="R272" s="195">
        <f t="shared" si="32"/>
        <v>1.4654</v>
      </c>
      <c r="S272" s="195">
        <f t="shared" si="27"/>
        <v>0.69303437286592318</v>
      </c>
      <c r="T272" s="195">
        <f t="shared" si="33"/>
        <v>0.45434082401661474</v>
      </c>
      <c r="U272" s="195">
        <f t="shared" si="28"/>
        <v>0.77444244794419204</v>
      </c>
      <c r="V272">
        <f t="shared" si="29"/>
        <v>62</v>
      </c>
      <c r="W272" s="195">
        <f t="shared" si="34"/>
        <v>0.17691879707135016</v>
      </c>
      <c r="X272" s="195">
        <f t="shared" si="35"/>
        <v>1.1065685247037747E-2</v>
      </c>
      <c r="Y272" s="255" t="str">
        <f>IF(ISNUMBER(SEARCH("C", 'Dry_Litterbag Placem_Collection'!T199)),"YES","NO")</f>
        <v>NO</v>
      </c>
      <c r="Z272" s="255" t="str">
        <f>IF(ISNUMBER(SEARCH("H", 'Dry_Litterbag Placem_Collection'!T199)),"YES","NO")</f>
        <v>NO</v>
      </c>
      <c r="AA272" s="255" t="str">
        <f>IF(ISNUMBER(SEARCH("R", 'Dry_Litterbag Placem_Collection'!T199)),"YES","NO")</f>
        <v>YES</v>
      </c>
      <c r="AB272" s="255" t="str">
        <f>IF(ISNUMBER(SEARCH("C", 'Dry_Litterbag Placem_Collection'!S199)),"YES","NO")</f>
        <v>NO</v>
      </c>
      <c r="AC272" s="255" t="str">
        <f>IF(ISNUMBER(SEARCH("H", 'Dry_Litterbag Placem_Collection'!S199)),"YES","NO")</f>
        <v>NO</v>
      </c>
      <c r="AD272" s="255" t="str">
        <f>IF(ISNUMBER(SEARCH("R", 'Dry_Litterbag Placem_Collection'!S199)),"YES","NO")</f>
        <v>YES</v>
      </c>
    </row>
    <row r="273" spans="2:30">
      <c r="B273" t="str">
        <f>'Final data_for_R_analysis_Dryse'!A199</f>
        <v>Dry</v>
      </c>
      <c r="C273" s="263">
        <f>'Final data_for_R_analysis_Dryse'!B199</f>
        <v>198</v>
      </c>
      <c r="D273" t="s">
        <v>2439</v>
      </c>
      <c r="E273" t="s">
        <v>22</v>
      </c>
      <c r="F273" s="387">
        <v>2</v>
      </c>
      <c r="G273" s="16">
        <f>'Dry_Litterbag Placem_Collection'!E200</f>
        <v>42942</v>
      </c>
      <c r="H273" t="str">
        <f>'Final data_for_R_analysis_Dryse'!J199</f>
        <v>G27</v>
      </c>
      <c r="I273" t="str">
        <f>'Final data_for_R_analysis_Dryse'!J419</f>
        <v>R352</v>
      </c>
      <c r="J273">
        <f>IFERROR(INDEX('Green_rooibos initial weight'!$C$5:$C$1749,MATCH(H273, 'Green_rooibos initial weight'!$A$5:$A$1749,0)),"")</f>
        <v>1.966</v>
      </c>
      <c r="K273">
        <f>IFERROR(INDEX('Green_rooibos initial weight'!$C$5:$C$1749,MATCH(I273, 'Green_rooibos initial weight'!$A$5:$A$1749,0)),"")</f>
        <v>2.2789999999999999</v>
      </c>
      <c r="L273" s="195">
        <f t="shared" si="30"/>
        <v>1.7161999999999999</v>
      </c>
      <c r="M273" s="195">
        <f t="shared" si="31"/>
        <v>2.0291999999999999</v>
      </c>
      <c r="N273" s="16">
        <f>IF('Dry_Litterbag Placem_Collection'!G200="N.A","",'Dry_Litterbag Placem_Collection'!G200)</f>
        <v>43004</v>
      </c>
      <c r="O273" s="195">
        <f>IF(IFERROR(INDEX('Both teabags AfterDry'!$D$1:$D$839,MATCH(H273,'Both teabags AfterDry'!$A$1:$A$839,0)),"")="N.A","",(IFERROR(INDEX('Both teabags AfterDry'!$D$1:$D$839,MATCH(H273,'Both teabags AfterDry'!$A$1:$A$839,0)),"")))</f>
        <v>0.73799999999999999</v>
      </c>
      <c r="P273" s="195">
        <f>IF(IFERROR(INDEX('Both teabags AfterDry'!$D$1:$D$839,MATCH(I273,'Both teabags AfterDry'!$A$1:$A$839,0)),"")="N.A","",(IFERROR(INDEX('Both teabags AfterDry'!$D$1:$D$839,MATCH(I273,'Both teabags AfterDry'!$A$1:$A$839,0)),"")))</f>
        <v>1.615</v>
      </c>
      <c r="Q273" s="195">
        <f t="shared" si="32"/>
        <v>0.58739999999999992</v>
      </c>
      <c r="R273" s="195">
        <f t="shared" si="32"/>
        <v>1.4643999999999999</v>
      </c>
      <c r="S273" s="195">
        <f t="shared" si="27"/>
        <v>0.6577321990444005</v>
      </c>
      <c r="T273" s="195">
        <f t="shared" si="33"/>
        <v>0.43119735614312243</v>
      </c>
      <c r="U273" s="195">
        <f t="shared" si="28"/>
        <v>0.72166370983638872</v>
      </c>
      <c r="V273">
        <f t="shared" si="29"/>
        <v>62</v>
      </c>
      <c r="W273" s="195">
        <f t="shared" si="34"/>
        <v>0.21884536930593768</v>
      </c>
      <c r="X273" s="195">
        <f t="shared" si="35"/>
        <v>1.6726394271365769E-2</v>
      </c>
      <c r="Y273" s="255" t="str">
        <f>IF(ISNUMBER(SEARCH("C", 'Dry_Litterbag Placem_Collection'!T200)),"YES","NO")</f>
        <v>NO</v>
      </c>
      <c r="Z273" s="255" t="str">
        <f>IF(ISNUMBER(SEARCH("H", 'Dry_Litterbag Placem_Collection'!T200)),"YES","NO")</f>
        <v>YES</v>
      </c>
      <c r="AA273" s="255" t="str">
        <f>IF(ISNUMBER(SEARCH("R", 'Dry_Litterbag Placem_Collection'!T200)),"YES","NO")</f>
        <v>YES</v>
      </c>
      <c r="AB273" s="255" t="str">
        <f>IF(ISNUMBER(SEARCH("C", 'Dry_Litterbag Placem_Collection'!S200)),"YES","NO")</f>
        <v>NO</v>
      </c>
      <c r="AC273" s="255" t="str">
        <f>IF(ISNUMBER(SEARCH("H", 'Dry_Litterbag Placem_Collection'!S200)),"YES","NO")</f>
        <v>NO</v>
      </c>
      <c r="AD273" s="255" t="str">
        <f>IF(ISNUMBER(SEARCH("R", 'Dry_Litterbag Placem_Collection'!S200)),"YES","NO")</f>
        <v>YES</v>
      </c>
    </row>
    <row r="274" spans="2:30">
      <c r="B274" t="str">
        <f>'Final data_for_R_analysis_Dryse'!A200</f>
        <v>Dry</v>
      </c>
      <c r="C274" s="263">
        <f>'Final data_for_R_analysis_Dryse'!B200</f>
        <v>199</v>
      </c>
      <c r="D274" t="s">
        <v>2423</v>
      </c>
      <c r="E274" t="s">
        <v>22</v>
      </c>
      <c r="F274" s="387">
        <v>3</v>
      </c>
      <c r="G274" s="16">
        <f>'Dry_Litterbag Placem_Collection'!E201</f>
        <v>42942</v>
      </c>
      <c r="H274" t="str">
        <f>'Final data_for_R_analysis_Dryse'!J200</f>
        <v>G224</v>
      </c>
      <c r="I274" t="str">
        <f>'Final data_for_R_analysis_Dryse'!J420</f>
        <v>R327</v>
      </c>
      <c r="J274">
        <f>IFERROR(INDEX('Green_rooibos initial weight'!$C$5:$C$1749,MATCH(H274, 'Green_rooibos initial weight'!$A$5:$A$1749,0)),"")</f>
        <v>2.0259999999999998</v>
      </c>
      <c r="K274">
        <f>IFERROR(INDEX('Green_rooibos initial weight'!$C$5:$C$1749,MATCH(I274, 'Green_rooibos initial weight'!$A$5:$A$1749,0)),"")</f>
        <v>2.2229999999999999</v>
      </c>
      <c r="L274" s="195">
        <f t="shared" si="30"/>
        <v>1.7761999999999998</v>
      </c>
      <c r="M274" s="195">
        <f t="shared" si="31"/>
        <v>1.9731999999999998</v>
      </c>
      <c r="N274" s="16">
        <f>IF('Dry_Litterbag Placem_Collection'!G201="N.A","",'Dry_Litterbag Placem_Collection'!G201)</f>
        <v>43004</v>
      </c>
      <c r="O274" s="195">
        <f>IF(IFERROR(INDEX('Both teabags AfterDry'!$D$1:$D$839,MATCH(H274,'Both teabags AfterDry'!$A$1:$A$839,0)),"")="N.A","",(IFERROR(INDEX('Both teabags AfterDry'!$D$1:$D$839,MATCH(H274,'Both teabags AfterDry'!$A$1:$A$839,0)),"")))</f>
        <v>0.53049999999999997</v>
      </c>
      <c r="P274" s="195">
        <f>IF(IFERROR(INDEX('Both teabags AfterDry'!$D$1:$D$839,MATCH(I274,'Both teabags AfterDry'!$A$1:$A$839,0)),"")="N.A","",(IFERROR(INDEX('Both teabags AfterDry'!$D$1:$D$839,MATCH(I274,'Both teabags AfterDry'!$A$1:$A$839,0)),"")))</f>
        <v>1.5642</v>
      </c>
      <c r="Q274" s="195">
        <f t="shared" si="32"/>
        <v>0.37989999999999996</v>
      </c>
      <c r="R274" s="195">
        <f t="shared" si="32"/>
        <v>1.4136</v>
      </c>
      <c r="S274" s="195">
        <f t="shared" si="27"/>
        <v>0.78611642833014295</v>
      </c>
      <c r="T274" s="195">
        <f t="shared" si="33"/>
        <v>0.51536373923781353</v>
      </c>
      <c r="U274" s="195">
        <f t="shared" si="28"/>
        <v>0.7163997567403203</v>
      </c>
      <c r="V274">
        <f t="shared" si="29"/>
        <v>62</v>
      </c>
      <c r="W274" s="195">
        <f t="shared" si="34"/>
        <v>6.6370037612656807E-2</v>
      </c>
      <c r="X274" s="195">
        <f t="shared" si="35"/>
        <v>1.2889604892216593E-2</v>
      </c>
      <c r="Y274" s="255" t="str">
        <f>IF(ISNUMBER(SEARCH("C", 'Dry_Litterbag Placem_Collection'!T201)),"YES","NO")</f>
        <v>NO</v>
      </c>
      <c r="Z274" s="255" t="str">
        <f>IF(ISNUMBER(SEARCH("H", 'Dry_Litterbag Placem_Collection'!T201)),"YES","NO")</f>
        <v>YES</v>
      </c>
      <c r="AA274" s="255" t="str">
        <f>IF(ISNUMBER(SEARCH("R", 'Dry_Litterbag Placem_Collection'!T201)),"YES","NO")</f>
        <v>NO</v>
      </c>
      <c r="AB274" s="255" t="str">
        <f>IF(ISNUMBER(SEARCH("C", 'Dry_Litterbag Placem_Collection'!S201)),"YES","NO")</f>
        <v>NO</v>
      </c>
      <c r="AC274" s="255" t="str">
        <f>IF(ISNUMBER(SEARCH("H", 'Dry_Litterbag Placem_Collection'!S201)),"YES","NO")</f>
        <v>YES</v>
      </c>
      <c r="AD274" s="255" t="str">
        <f>IF(ISNUMBER(SEARCH("R", 'Dry_Litterbag Placem_Collection'!S201)),"YES","NO")</f>
        <v>NO</v>
      </c>
    </row>
    <row r="275" spans="2:30">
      <c r="B275" t="str">
        <f>'Final data_for_R_analysis_Dryse'!A201</f>
        <v>Dry</v>
      </c>
      <c r="C275" s="263">
        <f>'Final data_for_R_analysis_Dryse'!B201</f>
        <v>200</v>
      </c>
      <c r="D275" t="s">
        <v>2446</v>
      </c>
      <c r="E275" t="s">
        <v>22</v>
      </c>
      <c r="F275" s="387">
        <v>4</v>
      </c>
      <c r="G275" s="16">
        <f>'Dry_Litterbag Placem_Collection'!E202</f>
        <v>42942</v>
      </c>
      <c r="H275" t="str">
        <f>'Final data_for_R_analysis_Dryse'!J201</f>
        <v>G158</v>
      </c>
      <c r="I275" t="str">
        <f>'Final data_for_R_analysis_Dryse'!J421</f>
        <v>R75</v>
      </c>
      <c r="J275">
        <f>IFERROR(INDEX('Green_rooibos initial weight'!$C$5:$C$1749,MATCH(H275, 'Green_rooibos initial weight'!$A$5:$A$1749,0)),"")</f>
        <v>2.0609999999999999</v>
      </c>
      <c r="K275">
        <f>IFERROR(INDEX('Green_rooibos initial weight'!$C$5:$C$1749,MATCH(I275, 'Green_rooibos initial weight'!$A$5:$A$1749,0)),"")</f>
        <v>2.1819999999999999</v>
      </c>
      <c r="L275" s="195">
        <f t="shared" si="30"/>
        <v>1.8111999999999999</v>
      </c>
      <c r="M275" s="195">
        <f t="shared" si="31"/>
        <v>1.9321999999999999</v>
      </c>
      <c r="N275" s="16">
        <f>IF('Dry_Litterbag Placem_Collection'!G202="N.A","",'Dry_Litterbag Placem_Collection'!G202)</f>
        <v>43004</v>
      </c>
      <c r="O275" s="195">
        <f>IF(IFERROR(INDEX('Both teabags AfterDry'!$D$1:$D$839,MATCH(H275,'Both teabags AfterDry'!$A$1:$A$839,0)),"")="N.A","",(IFERROR(INDEX('Both teabags AfterDry'!$D$1:$D$839,MATCH(H275,'Both teabags AfterDry'!$A$1:$A$839,0)),"")))</f>
        <v>0.71050000000000002</v>
      </c>
      <c r="P275" s="195">
        <f>IF(IFERROR(INDEX('Both teabags AfterDry'!$D$1:$D$839,MATCH(I275,'Both teabags AfterDry'!$A$1:$A$839,0)),"")="N.A","",(IFERROR(INDEX('Both teabags AfterDry'!$D$1:$D$839,MATCH(I275,'Both teabags AfterDry'!$A$1:$A$839,0)),"")))</f>
        <v>0.1565</v>
      </c>
      <c r="Q275" s="195">
        <f t="shared" si="32"/>
        <v>0.55990000000000006</v>
      </c>
      <c r="R275" s="195">
        <f t="shared" si="32"/>
        <v>5.8999999999999886E-3</v>
      </c>
      <c r="S275" s="195">
        <f t="shared" si="27"/>
        <v>0.69086793286219073</v>
      </c>
      <c r="T275" s="195">
        <f t="shared" si="33"/>
        <v>0.45292054505929852</v>
      </c>
      <c r="U275" s="195">
        <f t="shared" si="28"/>
        <v>3.0535141289721505E-3</v>
      </c>
      <c r="V275">
        <f t="shared" si="29"/>
        <v>62</v>
      </c>
      <c r="W275" s="195">
        <f t="shared" si="34"/>
        <v>0.17949176619692309</v>
      </c>
      <c r="X275" s="195" t="str">
        <f t="shared" si="35"/>
        <v/>
      </c>
      <c r="Y275" s="255" t="str">
        <f>IF(ISNUMBER(SEARCH("C", 'Dry_Litterbag Placem_Collection'!T202)),"YES","NO")</f>
        <v>NO</v>
      </c>
      <c r="Z275" s="255" t="str">
        <f>IF(ISNUMBER(SEARCH("H", 'Dry_Litterbag Placem_Collection'!T202)),"YES","NO")</f>
        <v>YES</v>
      </c>
      <c r="AA275" s="255" t="str">
        <f>IF(ISNUMBER(SEARCH("R", 'Dry_Litterbag Placem_Collection'!T202)),"YES","NO")</f>
        <v>YES</v>
      </c>
      <c r="AB275" s="255" t="str">
        <f>IF(ISNUMBER(SEARCH("C", 'Dry_Litterbag Placem_Collection'!S202)),"YES","NO")</f>
        <v>NO</v>
      </c>
      <c r="AC275" s="255" t="str">
        <f>IF(ISNUMBER(SEARCH("H", 'Dry_Litterbag Placem_Collection'!S202)),"YES","NO")</f>
        <v>NO</v>
      </c>
      <c r="AD275" s="255" t="str">
        <f>IF(ISNUMBER(SEARCH("R", 'Dry_Litterbag Placem_Collection'!S202)),"YES","NO")</f>
        <v>YES</v>
      </c>
    </row>
    <row r="276" spans="2:30">
      <c r="B276" t="str">
        <f>'Final data_for_R_analysis_Dryse'!A202</f>
        <v>Dry</v>
      </c>
      <c r="C276" s="263">
        <f>'Final data_for_R_analysis_Dryse'!B202</f>
        <v>201</v>
      </c>
      <c r="D276" t="s">
        <v>2447</v>
      </c>
      <c r="E276" t="s">
        <v>22</v>
      </c>
      <c r="F276" s="387">
        <v>1</v>
      </c>
      <c r="G276" s="16">
        <f>'Dry_Litterbag Placem_Collection'!E203</f>
        <v>42942</v>
      </c>
      <c r="H276" t="str">
        <f>'Final data_for_R_analysis_Dryse'!J202</f>
        <v>G211</v>
      </c>
      <c r="I276" t="str">
        <f>'Final data_for_R_analysis_Dryse'!J422</f>
        <v>R36</v>
      </c>
      <c r="J276">
        <f>IFERROR(INDEX('Green_rooibos initial weight'!$C$5:$C$1749,MATCH(H276, 'Green_rooibos initial weight'!$A$5:$A$1749,0)),"")</f>
        <v>2.06</v>
      </c>
      <c r="K276">
        <f>IFERROR(INDEX('Green_rooibos initial weight'!$C$5:$C$1749,MATCH(I276, 'Green_rooibos initial weight'!$A$5:$A$1749,0)),"")</f>
        <v>2.298</v>
      </c>
      <c r="L276" s="195">
        <f t="shared" si="30"/>
        <v>1.8102</v>
      </c>
      <c r="M276" s="195">
        <f t="shared" si="31"/>
        <v>2.0482</v>
      </c>
      <c r="N276" s="16">
        <f>IF('Dry_Litterbag Placem_Collection'!G203="N.A","",'Dry_Litterbag Placem_Collection'!G203)</f>
        <v>43004</v>
      </c>
      <c r="O276" s="195">
        <f>IF(IFERROR(INDEX('Both teabags AfterDry'!$D$1:$D$839,MATCH(H276,'Both teabags AfterDry'!$A$1:$A$839,0)),"")="N.A","",(IFERROR(INDEX('Both teabags AfterDry'!$D$1:$D$839,MATCH(H276,'Both teabags AfterDry'!$A$1:$A$839,0)),"")))</f>
        <v>0.67300000000000004</v>
      </c>
      <c r="P276" s="195">
        <f>IF(IFERROR(INDEX('Both teabags AfterDry'!$D$1:$D$839,MATCH(I276,'Both teabags AfterDry'!$A$1:$A$839,0)),"")="N.A","",(IFERROR(INDEX('Both teabags AfterDry'!$D$1:$D$839,MATCH(I276,'Both teabags AfterDry'!$A$1:$A$839,0)),"")))</f>
        <v>1.968</v>
      </c>
      <c r="Q276" s="195">
        <f t="shared" si="32"/>
        <v>0.52239999999999998</v>
      </c>
      <c r="R276" s="195">
        <f t="shared" si="32"/>
        <v>1.8173999999999999</v>
      </c>
      <c r="S276" s="195">
        <f t="shared" si="27"/>
        <v>0.7114131035244724</v>
      </c>
      <c r="T276" s="195">
        <f t="shared" si="33"/>
        <v>0.4663895880587991</v>
      </c>
      <c r="U276" s="195">
        <f t="shared" si="28"/>
        <v>0.88731569182697001</v>
      </c>
      <c r="V276">
        <f t="shared" si="29"/>
        <v>62</v>
      </c>
      <c r="W276" s="195">
        <f t="shared" si="34"/>
        <v>0.15509132598043651</v>
      </c>
      <c r="X276" s="195">
        <f t="shared" si="35"/>
        <v>4.4606014039653913E-3</v>
      </c>
      <c r="Y276" s="255" t="str">
        <f>IF(ISNUMBER(SEARCH("C", 'Dry_Litterbag Placem_Collection'!T203)),"YES","NO")</f>
        <v>YES</v>
      </c>
      <c r="Z276" s="255" t="str">
        <f>IF(ISNUMBER(SEARCH("H", 'Dry_Litterbag Placem_Collection'!T203)),"YES","NO")</f>
        <v>YES</v>
      </c>
      <c r="AA276" s="255" t="str">
        <f>IF(ISNUMBER(SEARCH("R", 'Dry_Litterbag Placem_Collection'!T203)),"YES","NO")</f>
        <v>YES</v>
      </c>
      <c r="AB276" s="255" t="str">
        <f>IF(ISNUMBER(SEARCH("C", 'Dry_Litterbag Placem_Collection'!S203)),"YES","NO")</f>
        <v>NO</v>
      </c>
      <c r="AC276" s="255" t="str">
        <f>IF(ISNUMBER(SEARCH("H", 'Dry_Litterbag Placem_Collection'!S203)),"YES","NO")</f>
        <v>YES</v>
      </c>
      <c r="AD276" s="255" t="str">
        <f>IF(ISNUMBER(SEARCH("R", 'Dry_Litterbag Placem_Collection'!S203)),"YES","NO")</f>
        <v>YES</v>
      </c>
    </row>
    <row r="277" spans="2:30">
      <c r="B277" t="str">
        <f>'Final data_for_R_analysis_Dryse'!A203</f>
        <v>Dry</v>
      </c>
      <c r="C277" s="263">
        <f>'Final data_for_R_analysis_Dryse'!B203</f>
        <v>202</v>
      </c>
      <c r="D277" t="s">
        <v>2424</v>
      </c>
      <c r="E277" t="s">
        <v>22</v>
      </c>
      <c r="F277" s="387">
        <v>2</v>
      </c>
      <c r="G277" s="16">
        <f>'Dry_Litterbag Placem_Collection'!E204</f>
        <v>42942</v>
      </c>
      <c r="H277" t="str">
        <f>'Final data_for_R_analysis_Dryse'!J203</f>
        <v>G181</v>
      </c>
      <c r="I277" t="str">
        <f>'Final data_for_R_analysis_Dryse'!J423</f>
        <v>R676</v>
      </c>
      <c r="J277">
        <f>IFERROR(INDEX('Green_rooibos initial weight'!$C$5:$C$1749,MATCH(H277, 'Green_rooibos initial weight'!$A$5:$A$1749,0)),"")</f>
        <v>1.7629999999999999</v>
      </c>
      <c r="K277">
        <f>IFERROR(INDEX('Green_rooibos initial weight'!$C$5:$C$1749,MATCH(I277, 'Green_rooibos initial weight'!$A$5:$A$1749,0)),"")</f>
        <v>2.1459999999999999</v>
      </c>
      <c r="L277" s="195">
        <f t="shared" si="30"/>
        <v>1.5131999999999999</v>
      </c>
      <c r="M277" s="195">
        <f t="shared" si="31"/>
        <v>1.8961999999999999</v>
      </c>
      <c r="N277" s="16">
        <f>IF('Dry_Litterbag Placem_Collection'!G204="N.A","",'Dry_Litterbag Placem_Collection'!G204)</f>
        <v>43004</v>
      </c>
      <c r="O277" s="195">
        <f>IF(IFERROR(INDEX('Both teabags AfterDry'!$D$1:$D$839,MATCH(H277,'Both teabags AfterDry'!$A$1:$A$839,0)),"")="N.A","",(IFERROR(INDEX('Both teabags AfterDry'!$D$1:$D$839,MATCH(H277,'Both teabags AfterDry'!$A$1:$A$839,0)),"")))</f>
        <v>0.80740000000000001</v>
      </c>
      <c r="P277" s="195">
        <f>IF(IFERROR(INDEX('Both teabags AfterDry'!$D$1:$D$839,MATCH(I277,'Both teabags AfterDry'!$A$1:$A$839,0)),"")="N.A","",(IFERROR(INDEX('Both teabags AfterDry'!$D$1:$D$839,MATCH(I277,'Both teabags AfterDry'!$A$1:$A$839,0)),"")))</f>
        <v>1.6712</v>
      </c>
      <c r="Q277" s="195">
        <f t="shared" si="32"/>
        <v>0.65680000000000005</v>
      </c>
      <c r="R277" s="195">
        <f t="shared" si="32"/>
        <v>1.5206</v>
      </c>
      <c r="S277" s="195">
        <f t="shared" si="27"/>
        <v>0.56595294739624635</v>
      </c>
      <c r="T277" s="195">
        <f t="shared" si="33"/>
        <v>0.37102853558518767</v>
      </c>
      <c r="U277" s="195">
        <f t="shared" si="28"/>
        <v>0.80191962873114653</v>
      </c>
      <c r="V277">
        <f t="shared" si="29"/>
        <v>62</v>
      </c>
      <c r="W277" s="195">
        <f t="shared" si="34"/>
        <v>0.32784685582393547</v>
      </c>
      <c r="X277" s="195">
        <f t="shared" si="35"/>
        <v>1.2311081509718854E-2</v>
      </c>
      <c r="Y277" s="255" t="str">
        <f>IF(ISNUMBER(SEARCH("C", 'Dry_Litterbag Placem_Collection'!T204)),"YES","NO")</f>
        <v>NO</v>
      </c>
      <c r="Z277" s="255" t="str">
        <f>IF(ISNUMBER(SEARCH("H", 'Dry_Litterbag Placem_Collection'!T204)),"YES","NO")</f>
        <v>YES</v>
      </c>
      <c r="AA277" s="255" t="str">
        <f>IF(ISNUMBER(SEARCH("R", 'Dry_Litterbag Placem_Collection'!T204)),"YES","NO")</f>
        <v>YES</v>
      </c>
      <c r="AB277" s="255" t="str">
        <f>IF(ISNUMBER(SEARCH("C", 'Dry_Litterbag Placem_Collection'!S204)),"YES","NO")</f>
        <v>NO</v>
      </c>
      <c r="AC277" s="255" t="str">
        <f>IF(ISNUMBER(SEARCH("H", 'Dry_Litterbag Placem_Collection'!S204)),"YES","NO")</f>
        <v>NO</v>
      </c>
      <c r="AD277" s="255" t="str">
        <f>IF(ISNUMBER(SEARCH("R", 'Dry_Litterbag Placem_Collection'!S204)),"YES","NO")</f>
        <v>YES</v>
      </c>
    </row>
    <row r="278" spans="2:30">
      <c r="B278" t="str">
        <f>'Final data_for_R_analysis_Dryse'!A204</f>
        <v>Dry</v>
      </c>
      <c r="C278" s="263">
        <f>'Final data_for_R_analysis_Dryse'!B204</f>
        <v>203</v>
      </c>
      <c r="D278" t="s">
        <v>2433</v>
      </c>
      <c r="E278" t="s">
        <v>22</v>
      </c>
      <c r="F278" s="387">
        <v>3</v>
      </c>
      <c r="G278" s="16">
        <f>'Dry_Litterbag Placem_Collection'!E205</f>
        <v>42942</v>
      </c>
      <c r="H278" t="str">
        <f>'Final data_for_R_analysis_Dryse'!J204</f>
        <v>G179</v>
      </c>
      <c r="I278" t="str">
        <f>'Final data_for_R_analysis_Dryse'!J424</f>
        <v>R685</v>
      </c>
      <c r="J278">
        <f>IFERROR(INDEX('Green_rooibos initial weight'!$C$5:$C$1749,MATCH(H278, 'Green_rooibos initial weight'!$A$5:$A$1749,0)),"")</f>
        <v>1.9750000000000001</v>
      </c>
      <c r="K278">
        <f>IFERROR(INDEX('Green_rooibos initial weight'!$C$5:$C$1749,MATCH(I278, 'Green_rooibos initial weight'!$A$5:$A$1749,0)),"")</f>
        <v>2.1629999999999998</v>
      </c>
      <c r="L278" s="195">
        <f t="shared" si="30"/>
        <v>1.7252000000000001</v>
      </c>
      <c r="M278" s="195">
        <f t="shared" si="31"/>
        <v>1.9131999999999998</v>
      </c>
      <c r="N278" s="16">
        <f>IF('Dry_Litterbag Placem_Collection'!G205="N.A","",'Dry_Litterbag Placem_Collection'!G205)</f>
        <v>43004</v>
      </c>
      <c r="O278" s="195">
        <f>IF(IFERROR(INDEX('Both teabags AfterDry'!$D$1:$D$839,MATCH(H278,'Both teabags AfterDry'!$A$1:$A$839,0)),"")="N.A","",(IFERROR(INDEX('Both teabags AfterDry'!$D$1:$D$839,MATCH(H278,'Both teabags AfterDry'!$A$1:$A$839,0)),"")))</f>
        <v>0.59770000000000001</v>
      </c>
      <c r="P278" s="195">
        <f>IF(IFERROR(INDEX('Both teabags AfterDry'!$D$1:$D$839,MATCH(I278,'Both teabags AfterDry'!$A$1:$A$839,0)),"")="N.A","",(IFERROR(INDEX('Both teabags AfterDry'!$D$1:$D$839,MATCH(I278,'Both teabags AfterDry'!$A$1:$A$839,0)),"")))</f>
        <v>1.7919</v>
      </c>
      <c r="Q278" s="195">
        <f t="shared" si="32"/>
        <v>0.4471</v>
      </c>
      <c r="R278" s="195">
        <f t="shared" si="32"/>
        <v>1.6413</v>
      </c>
      <c r="S278" s="195">
        <f t="shared" si="27"/>
        <v>0.74084164154880594</v>
      </c>
      <c r="T278" s="195">
        <f t="shared" si="33"/>
        <v>0.48568240633603438</v>
      </c>
      <c r="U278" s="195">
        <f t="shared" si="28"/>
        <v>0.85788208237507846</v>
      </c>
      <c r="V278">
        <f t="shared" si="29"/>
        <v>62</v>
      </c>
      <c r="W278" s="195">
        <f t="shared" si="34"/>
        <v>0.12014056823182184</v>
      </c>
      <c r="X278" s="195">
        <f t="shared" si="35"/>
        <v>5.583549859322235E-3</v>
      </c>
      <c r="Y278" s="255" t="str">
        <f>IF(ISNUMBER(SEARCH("C", 'Dry_Litterbag Placem_Collection'!T205)),"YES","NO")</f>
        <v>NO</v>
      </c>
      <c r="Z278" s="255" t="str">
        <f>IF(ISNUMBER(SEARCH("H", 'Dry_Litterbag Placem_Collection'!T205)),"YES","NO")</f>
        <v>NO</v>
      </c>
      <c r="AA278" s="255" t="str">
        <f>IF(ISNUMBER(SEARCH("R", 'Dry_Litterbag Placem_Collection'!T205)),"YES","NO")</f>
        <v>YES</v>
      </c>
      <c r="AB278" s="255" t="str">
        <f>IF(ISNUMBER(SEARCH("C", 'Dry_Litterbag Placem_Collection'!S205)),"YES","NO")</f>
        <v>NO</v>
      </c>
      <c r="AC278" s="255" t="str">
        <f>IF(ISNUMBER(SEARCH("H", 'Dry_Litterbag Placem_Collection'!S205)),"YES","NO")</f>
        <v>YES</v>
      </c>
      <c r="AD278" s="255" t="str">
        <f>IF(ISNUMBER(SEARCH("R", 'Dry_Litterbag Placem_Collection'!S205)),"YES","NO")</f>
        <v>YES</v>
      </c>
    </row>
    <row r="279" spans="2:30">
      <c r="B279" t="str">
        <f>'Final data_for_R_analysis_Dryse'!A205</f>
        <v>Dry</v>
      </c>
      <c r="C279" s="263">
        <f>'Final data_for_R_analysis_Dryse'!B205</f>
        <v>204</v>
      </c>
      <c r="D279" t="s">
        <v>2440</v>
      </c>
      <c r="E279" t="s">
        <v>22</v>
      </c>
      <c r="F279" s="387">
        <v>4</v>
      </c>
      <c r="G279" s="16">
        <f>'Dry_Litterbag Placem_Collection'!E206</f>
        <v>42942</v>
      </c>
      <c r="H279" t="str">
        <f>'Final data_for_R_analysis_Dryse'!J205</f>
        <v>G248</v>
      </c>
      <c r="I279" t="str">
        <f>'Final data_for_R_analysis_Dryse'!J425</f>
        <v>R254</v>
      </c>
      <c r="J279">
        <f>IFERROR(INDEX('Green_rooibos initial weight'!$C$5:$C$1749,MATCH(H279, 'Green_rooibos initial weight'!$A$5:$A$1749,0)),"")</f>
        <v>1.9950000000000001</v>
      </c>
      <c r="K279">
        <f>IFERROR(INDEX('Green_rooibos initial weight'!$C$5:$C$1749,MATCH(I279, 'Green_rooibos initial weight'!$A$5:$A$1749,0)),"")</f>
        <v>2.266</v>
      </c>
      <c r="L279" s="195">
        <f t="shared" si="30"/>
        <v>1.7452000000000001</v>
      </c>
      <c r="M279" s="195">
        <f t="shared" si="31"/>
        <v>2.0162</v>
      </c>
      <c r="N279" s="16">
        <f>IF('Dry_Litterbag Placem_Collection'!G206="N.A","",'Dry_Litterbag Placem_Collection'!G206)</f>
        <v>43004</v>
      </c>
      <c r="O279" s="195">
        <f>IF(IFERROR(INDEX('Both teabags AfterDry'!$D$1:$D$839,MATCH(H279,'Both teabags AfterDry'!$A$1:$A$839,0)),"")="N.A","",(IFERROR(INDEX('Both teabags AfterDry'!$D$1:$D$839,MATCH(H279,'Both teabags AfterDry'!$A$1:$A$839,0)),"")))</f>
        <v>1.7124999999999999</v>
      </c>
      <c r="P279" s="195">
        <f>IF(IFERROR(INDEX('Both teabags AfterDry'!$D$1:$D$839,MATCH(I279,'Both teabags AfterDry'!$A$1:$A$839,0)),"")="N.A","",(IFERROR(INDEX('Both teabags AfterDry'!$D$1:$D$839,MATCH(I279,'Both teabags AfterDry'!$A$1:$A$839,0)),"")))</f>
        <v>1.8010999999999999</v>
      </c>
      <c r="Q279" s="195">
        <f t="shared" si="32"/>
        <v>1.5618999999999998</v>
      </c>
      <c r="R279" s="195">
        <f t="shared" si="32"/>
        <v>1.6504999999999999</v>
      </c>
      <c r="S279" s="195">
        <f t="shared" si="27"/>
        <v>0.10503094201237695</v>
      </c>
      <c r="T279" s="195">
        <f t="shared" si="33"/>
        <v>6.8856389537805346E-2</v>
      </c>
      <c r="U279" s="195">
        <f t="shared" si="28"/>
        <v>0.81861918460470184</v>
      </c>
      <c r="V279">
        <f t="shared" si="29"/>
        <v>62</v>
      </c>
      <c r="W279" s="195">
        <f t="shared" si="34"/>
        <v>0.87526016388078742</v>
      </c>
      <c r="X279" s="195" t="str">
        <f t="shared" si="35"/>
        <v/>
      </c>
      <c r="Y279" s="255" t="str">
        <f>IF(ISNUMBER(SEARCH("C", 'Dry_Litterbag Placem_Collection'!T206)),"YES","NO")</f>
        <v>NO</v>
      </c>
      <c r="Z279" s="255" t="str">
        <f>IF(ISNUMBER(SEARCH("H", 'Dry_Litterbag Placem_Collection'!T206)),"YES","NO")</f>
        <v>YES</v>
      </c>
      <c r="AA279" s="255" t="str">
        <f>IF(ISNUMBER(SEARCH("R", 'Dry_Litterbag Placem_Collection'!T206)),"YES","NO")</f>
        <v>YES</v>
      </c>
      <c r="AB279" s="255" t="str">
        <f>IF(ISNUMBER(SEARCH("C", 'Dry_Litterbag Placem_Collection'!S206)),"YES","NO")</f>
        <v>NO</v>
      </c>
      <c r="AC279" s="255" t="str">
        <f>IF(ISNUMBER(SEARCH("H", 'Dry_Litterbag Placem_Collection'!S206)),"YES","NO")</f>
        <v>YES</v>
      </c>
      <c r="AD279" s="255" t="str">
        <f>IF(ISNUMBER(SEARCH("R", 'Dry_Litterbag Placem_Collection'!S206)),"YES","NO")</f>
        <v>YES</v>
      </c>
    </row>
    <row r="280" spans="2:30">
      <c r="B280" t="str">
        <f>'Final data_for_R_analysis_Dryse'!A206</f>
        <v>Dry</v>
      </c>
      <c r="C280" s="263">
        <f>'Final data_for_R_analysis_Dryse'!B206</f>
        <v>205</v>
      </c>
      <c r="D280" t="s">
        <v>2434</v>
      </c>
      <c r="E280" t="s">
        <v>22</v>
      </c>
      <c r="F280" s="387">
        <v>1</v>
      </c>
      <c r="G280" s="16">
        <f>'Dry_Litterbag Placem_Collection'!E207</f>
        <v>42942</v>
      </c>
      <c r="H280" t="str">
        <f>'Final data_for_R_analysis_Dryse'!J206</f>
        <v>G55</v>
      </c>
      <c r="I280" t="str">
        <f>'Final data_for_R_analysis_Dryse'!J426</f>
        <v>R348</v>
      </c>
      <c r="J280">
        <f>IFERROR(INDEX('Green_rooibos initial weight'!$C$5:$C$1749,MATCH(H280, 'Green_rooibos initial weight'!$A$5:$A$1749,0)),"")</f>
        <v>2.024</v>
      </c>
      <c r="K280">
        <f>IFERROR(INDEX('Green_rooibos initial weight'!$C$5:$C$1749,MATCH(I280, 'Green_rooibos initial weight'!$A$5:$A$1749,0)),"")</f>
        <v>2.31</v>
      </c>
      <c r="L280" s="195">
        <f t="shared" si="30"/>
        <v>1.7742</v>
      </c>
      <c r="M280" s="195">
        <f t="shared" si="31"/>
        <v>2.0602</v>
      </c>
      <c r="N280" s="16">
        <f>IF('Dry_Litterbag Placem_Collection'!G207="N.A","",'Dry_Litterbag Placem_Collection'!G207)</f>
        <v>43004</v>
      </c>
      <c r="O280" s="195">
        <f>IF(IFERROR(INDEX('Both teabags AfterDry'!$D$1:$D$839,MATCH(H280,'Both teabags AfterDry'!$A$1:$A$839,0)),"")="N.A","",(IFERROR(INDEX('Both teabags AfterDry'!$D$1:$D$839,MATCH(H280,'Both teabags AfterDry'!$A$1:$A$839,0)),"")))</f>
        <v>0.86550000000000005</v>
      </c>
      <c r="P280" s="195">
        <f>IF(IFERROR(INDEX('Both teabags AfterDry'!$D$1:$D$839,MATCH(I280,'Both teabags AfterDry'!$A$1:$A$839,0)),"")="N.A","",(IFERROR(INDEX('Both teabags AfterDry'!$D$1:$D$839,MATCH(I280,'Both teabags AfterDry'!$A$1:$A$839,0)),"")))</f>
        <v>1.7168000000000001</v>
      </c>
      <c r="Q280" s="195">
        <f t="shared" si="32"/>
        <v>0.71490000000000009</v>
      </c>
      <c r="R280" s="195">
        <f t="shared" si="32"/>
        <v>1.5662</v>
      </c>
      <c r="S280" s="195">
        <f t="shared" si="27"/>
        <v>0.5970578288806222</v>
      </c>
      <c r="T280" s="195">
        <f t="shared" si="33"/>
        <v>0.39142033437304452</v>
      </c>
      <c r="U280" s="195">
        <f t="shared" si="28"/>
        <v>0.76021745461605672</v>
      </c>
      <c r="V280">
        <f t="shared" si="29"/>
        <v>62</v>
      </c>
      <c r="W280" s="195">
        <f t="shared" si="34"/>
        <v>0.29090519135318027</v>
      </c>
      <c r="X280" s="195">
        <f t="shared" si="35"/>
        <v>1.5294956397556526E-2</v>
      </c>
      <c r="Y280" s="255" t="str">
        <f>IF(ISNUMBER(SEARCH("C", 'Dry_Litterbag Placem_Collection'!T207)),"YES","NO")</f>
        <v>NO</v>
      </c>
      <c r="Z280" s="255" t="str">
        <f>IF(ISNUMBER(SEARCH("H", 'Dry_Litterbag Placem_Collection'!T207)),"YES","NO")</f>
        <v>YES</v>
      </c>
      <c r="AA280" s="255" t="str">
        <f>IF(ISNUMBER(SEARCH("R", 'Dry_Litterbag Placem_Collection'!T207)),"YES","NO")</f>
        <v>YES</v>
      </c>
      <c r="AB280" s="255" t="str">
        <f>IF(ISNUMBER(SEARCH("C", 'Dry_Litterbag Placem_Collection'!S207)),"YES","NO")</f>
        <v>NO</v>
      </c>
      <c r="AC280" s="255" t="str">
        <f>IF(ISNUMBER(SEARCH("H", 'Dry_Litterbag Placem_Collection'!S207)),"YES","NO")</f>
        <v>YES</v>
      </c>
      <c r="AD280" s="255" t="str">
        <f>IF(ISNUMBER(SEARCH("R", 'Dry_Litterbag Placem_Collection'!S207)),"YES","NO")</f>
        <v>YES</v>
      </c>
    </row>
    <row r="281" spans="2:30">
      <c r="B281" t="str">
        <f>'Final data_for_R_analysis_Dryse'!A207</f>
        <v>Dry</v>
      </c>
      <c r="C281" s="263">
        <f>'Final data_for_R_analysis_Dryse'!B207</f>
        <v>206</v>
      </c>
      <c r="D281" t="s">
        <v>2425</v>
      </c>
      <c r="E281" t="s">
        <v>22</v>
      </c>
      <c r="F281" s="387">
        <v>2</v>
      </c>
      <c r="G281" s="16">
        <f>'Dry_Litterbag Placem_Collection'!E208</f>
        <v>42942</v>
      </c>
      <c r="H281" t="str">
        <f>'Final data_for_R_analysis_Dryse'!J207</f>
        <v>G124</v>
      </c>
      <c r="I281" t="str">
        <f>'Final data_for_R_analysis_Dryse'!J427</f>
        <v>R686</v>
      </c>
      <c r="J281">
        <f>IFERROR(INDEX('Green_rooibos initial weight'!$C$5:$C$1749,MATCH(H281, 'Green_rooibos initial weight'!$A$5:$A$1749,0)),"")</f>
        <v>1.9390000000000001</v>
      </c>
      <c r="K281">
        <f>IFERROR(INDEX('Green_rooibos initial weight'!$C$5:$C$1749,MATCH(I281, 'Green_rooibos initial weight'!$A$5:$A$1749,0)),"")</f>
        <v>2.1890000000000001</v>
      </c>
      <c r="L281" s="195">
        <f t="shared" si="30"/>
        <v>1.6892</v>
      </c>
      <c r="M281" s="195">
        <f t="shared" si="31"/>
        <v>1.9392</v>
      </c>
      <c r="N281" s="16">
        <f>IF('Dry_Litterbag Placem_Collection'!G208="N.A","",'Dry_Litterbag Placem_Collection'!G208)</f>
        <v>43004</v>
      </c>
      <c r="O281" s="195">
        <f>IF(IFERROR(INDEX('Both teabags AfterDry'!$D$1:$D$839,MATCH(H281,'Both teabags AfterDry'!$A$1:$A$839,0)),"")="N.A","",(IFERROR(INDEX('Both teabags AfterDry'!$D$1:$D$839,MATCH(H281,'Both teabags AfterDry'!$A$1:$A$839,0)),"")))</f>
        <v>0.66969999999999996</v>
      </c>
      <c r="P281" s="195">
        <f>IF(IFERROR(INDEX('Both teabags AfterDry'!$D$1:$D$839,MATCH(I281,'Both teabags AfterDry'!$A$1:$A$839,0)),"")="N.A","",(IFERROR(INDEX('Both teabags AfterDry'!$D$1:$D$839,MATCH(I281,'Both teabags AfterDry'!$A$1:$A$839,0)),"")))</f>
        <v>3.4599000000000002</v>
      </c>
      <c r="Q281" s="195">
        <f t="shared" si="32"/>
        <v>0.51909999999999989</v>
      </c>
      <c r="R281" s="195">
        <f t="shared" si="32"/>
        <v>3.3093000000000004</v>
      </c>
      <c r="S281" s="195">
        <f t="shared" si="27"/>
        <v>0.69269476675349284</v>
      </c>
      <c r="T281" s="195">
        <f t="shared" si="33"/>
        <v>0.4541181843799621</v>
      </c>
      <c r="U281" s="195">
        <f t="shared" si="28"/>
        <v>1.7065284653465349</v>
      </c>
      <c r="V281">
        <f t="shared" si="29"/>
        <v>62</v>
      </c>
      <c r="W281" s="195">
        <f t="shared" si="34"/>
        <v>0.17732212974644557</v>
      </c>
      <c r="X281" s="195">
        <f t="shared" si="35"/>
        <v>-1.5135082310611454E-2</v>
      </c>
      <c r="Y281" s="255" t="str">
        <f>IF(ISNUMBER(SEARCH("C", 'Dry_Litterbag Placem_Collection'!T208)),"YES","NO")</f>
        <v>NO</v>
      </c>
      <c r="Z281" s="255" t="str">
        <f>IF(ISNUMBER(SEARCH("H", 'Dry_Litterbag Placem_Collection'!T208)),"YES","NO")</f>
        <v>YES</v>
      </c>
      <c r="AA281" s="255" t="str">
        <f>IF(ISNUMBER(SEARCH("R", 'Dry_Litterbag Placem_Collection'!T208)),"YES","NO")</f>
        <v>YES</v>
      </c>
      <c r="AB281" s="255" t="str">
        <f>IF(ISNUMBER(SEARCH("C", 'Dry_Litterbag Placem_Collection'!S208)),"YES","NO")</f>
        <v>NO</v>
      </c>
      <c r="AC281" s="255" t="str">
        <f>IF(ISNUMBER(SEARCH("H", 'Dry_Litterbag Placem_Collection'!S208)),"YES","NO")</f>
        <v>NO</v>
      </c>
      <c r="AD281" s="255" t="str">
        <f>IF(ISNUMBER(SEARCH("R", 'Dry_Litterbag Placem_Collection'!S208)),"YES","NO")</f>
        <v>YES</v>
      </c>
    </row>
    <row r="282" spans="2:30">
      <c r="B282" t="str">
        <f>'Final data_for_R_analysis_Dryse'!A208</f>
        <v>Dry</v>
      </c>
      <c r="C282" s="263">
        <f>'Final data_for_R_analysis_Dryse'!B208</f>
        <v>207</v>
      </c>
      <c r="D282" t="s">
        <v>2448</v>
      </c>
      <c r="E282" t="s">
        <v>22</v>
      </c>
      <c r="F282" s="387">
        <v>3</v>
      </c>
      <c r="G282" s="16">
        <f>'Dry_Litterbag Placem_Collection'!E209</f>
        <v>42942</v>
      </c>
      <c r="H282" t="str">
        <f>'Final data_for_R_analysis_Dryse'!J208</f>
        <v>G234</v>
      </c>
      <c r="I282" t="str">
        <f>'Final data_for_R_analysis_Dryse'!J428</f>
        <v>R551</v>
      </c>
      <c r="J282">
        <f>IFERROR(INDEX('Green_rooibos initial weight'!$C$5:$C$1749,MATCH(H282, 'Green_rooibos initial weight'!$A$5:$A$1749,0)),"")</f>
        <v>2.13</v>
      </c>
      <c r="K282">
        <f>IFERROR(INDEX('Green_rooibos initial weight'!$C$5:$C$1749,MATCH(I282, 'Green_rooibos initial weight'!$A$5:$A$1749,0)),"")</f>
        <v>2.1739999999999999</v>
      </c>
      <c r="L282" s="195">
        <f t="shared" si="30"/>
        <v>1.8801999999999999</v>
      </c>
      <c r="M282" s="195">
        <f t="shared" si="31"/>
        <v>1.9241999999999999</v>
      </c>
      <c r="N282" s="16">
        <f>IF('Dry_Litterbag Placem_Collection'!G209="N.A","",'Dry_Litterbag Placem_Collection'!G209)</f>
        <v>43004</v>
      </c>
      <c r="O282" s="195">
        <f>IF(IFERROR(INDEX('Both teabags AfterDry'!$D$1:$D$839,MATCH(H282,'Both teabags AfterDry'!$A$1:$A$839,0)),"")="N.A","",(IFERROR(INDEX('Both teabags AfterDry'!$D$1:$D$839,MATCH(H282,'Both teabags AfterDry'!$A$1:$A$839,0)),"")))</f>
        <v>0.745</v>
      </c>
      <c r="P282" s="195">
        <f>IF(IFERROR(INDEX('Both teabags AfterDry'!$D$1:$D$839,MATCH(I282,'Both teabags AfterDry'!$A$1:$A$839,0)),"")="N.A","",(IFERROR(INDEX('Both teabags AfterDry'!$D$1:$D$839,MATCH(I282,'Both teabags AfterDry'!$A$1:$A$839,0)),"")))</f>
        <v>8.3109999999999999</v>
      </c>
      <c r="Q282" s="195">
        <f t="shared" si="32"/>
        <v>0.59440000000000004</v>
      </c>
      <c r="R282" s="195">
        <f t="shared" si="32"/>
        <v>8.1603999999999992</v>
      </c>
      <c r="S282" s="195">
        <f t="shared" si="27"/>
        <v>0.68386341878523549</v>
      </c>
      <c r="T282" s="195">
        <f t="shared" si="33"/>
        <v>0.44832851207773167</v>
      </c>
      <c r="U282" s="195">
        <f t="shared" si="28"/>
        <v>4.2409312961230636</v>
      </c>
      <c r="V282">
        <f t="shared" si="29"/>
        <v>62</v>
      </c>
      <c r="W282" s="195">
        <f t="shared" si="34"/>
        <v>0.18781066652584855</v>
      </c>
      <c r="X282" s="195">
        <f t="shared" si="35"/>
        <v>-3.3994433441118438E-2</v>
      </c>
      <c r="Y282" s="255" t="str">
        <f>IF(ISNUMBER(SEARCH("C", 'Dry_Litterbag Placem_Collection'!T209)),"YES","NO")</f>
        <v>NO</v>
      </c>
      <c r="Z282" s="255" t="str">
        <f>IF(ISNUMBER(SEARCH("H", 'Dry_Litterbag Placem_Collection'!T209)),"YES","NO")</f>
        <v>NO</v>
      </c>
      <c r="AA282" s="255" t="str">
        <f>IF(ISNUMBER(SEARCH("R", 'Dry_Litterbag Placem_Collection'!T209)),"YES","NO")</f>
        <v>YES</v>
      </c>
      <c r="AB282" s="255" t="str">
        <f>IF(ISNUMBER(SEARCH("C", 'Dry_Litterbag Placem_Collection'!S209)),"YES","NO")</f>
        <v>NO</v>
      </c>
      <c r="AC282" s="255" t="str">
        <f>IF(ISNUMBER(SEARCH("H", 'Dry_Litterbag Placem_Collection'!S209)),"YES","NO")</f>
        <v>NO</v>
      </c>
      <c r="AD282" s="255" t="str">
        <f>IF(ISNUMBER(SEARCH("R", 'Dry_Litterbag Placem_Collection'!S209)),"YES","NO")</f>
        <v>YES</v>
      </c>
    </row>
    <row r="283" spans="2:30">
      <c r="B283" t="str">
        <f>'Final data_for_R_analysis_Dryse'!A209</f>
        <v>Dry</v>
      </c>
      <c r="C283" s="263">
        <f>'Final data_for_R_analysis_Dryse'!B209</f>
        <v>208</v>
      </c>
      <c r="D283" t="s">
        <v>2441</v>
      </c>
      <c r="E283" t="s">
        <v>22</v>
      </c>
      <c r="F283" s="387">
        <v>4</v>
      </c>
      <c r="G283" s="16">
        <f>'Dry_Litterbag Placem_Collection'!E210</f>
        <v>42942</v>
      </c>
      <c r="H283" t="str">
        <f>'Final data_for_R_analysis_Dryse'!J209</f>
        <v>G412</v>
      </c>
      <c r="I283" t="str">
        <f>'Final data_for_R_analysis_Dryse'!J429</f>
        <v>R516</v>
      </c>
      <c r="J283">
        <f>IFERROR(INDEX('Green_rooibos initial weight'!$C$5:$C$1749,MATCH(H283, 'Green_rooibos initial weight'!$A$5:$A$1749,0)),"")</f>
        <v>2.0049999999999999</v>
      </c>
      <c r="K283">
        <f>IFERROR(INDEX('Green_rooibos initial weight'!$C$5:$C$1749,MATCH(I283, 'Green_rooibos initial weight'!$A$5:$A$1749,0)),"")</f>
        <v>2.141</v>
      </c>
      <c r="L283" s="195">
        <f t="shared" si="30"/>
        <v>1.7551999999999999</v>
      </c>
      <c r="M283" s="195">
        <f t="shared" si="31"/>
        <v>1.8912</v>
      </c>
      <c r="N283" s="16">
        <f>IF('Dry_Litterbag Placem_Collection'!G210="N.A","",'Dry_Litterbag Placem_Collection'!G210)</f>
        <v>43004</v>
      </c>
      <c r="O283" s="195">
        <f>IF(IFERROR(INDEX('Both teabags AfterDry'!$D$1:$D$839,MATCH(H283,'Both teabags AfterDry'!$A$1:$A$839,0)),"")="N.A","",(IFERROR(INDEX('Both teabags AfterDry'!$D$1:$D$839,MATCH(H283,'Both teabags AfterDry'!$A$1:$A$839,0)),"")))</f>
        <v>0.72499999999999998</v>
      </c>
      <c r="P283" s="195">
        <f>IF(IFERROR(INDEX('Both teabags AfterDry'!$D$1:$D$839,MATCH(I283,'Both teabags AfterDry'!$A$1:$A$839,0)),"")="N.A","",(IFERROR(INDEX('Both teabags AfterDry'!$D$1:$D$839,MATCH(I283,'Both teabags AfterDry'!$A$1:$A$839,0)),"")))</f>
        <v>1.7749999999999999</v>
      </c>
      <c r="Q283" s="195">
        <f t="shared" si="32"/>
        <v>0.57440000000000002</v>
      </c>
      <c r="R283" s="195">
        <f t="shared" si="32"/>
        <v>1.6243999999999998</v>
      </c>
      <c r="S283" s="195">
        <f t="shared" si="27"/>
        <v>0.67274384685505928</v>
      </c>
      <c r="T283" s="195">
        <f t="shared" si="33"/>
        <v>0.44103872145367312</v>
      </c>
      <c r="U283" s="195">
        <f t="shared" si="28"/>
        <v>0.8589255499153976</v>
      </c>
      <c r="V283">
        <f t="shared" si="29"/>
        <v>62</v>
      </c>
      <c r="W283" s="195">
        <f t="shared" si="34"/>
        <v>0.20101680896073715</v>
      </c>
      <c r="X283" s="195">
        <f t="shared" si="35"/>
        <v>6.2172468260452063E-3</v>
      </c>
      <c r="Y283" s="255" t="str">
        <f>IF(ISNUMBER(SEARCH("C", 'Dry_Litterbag Placem_Collection'!T210)),"YES","NO")</f>
        <v>YES</v>
      </c>
      <c r="Z283" s="255" t="str">
        <f>IF(ISNUMBER(SEARCH("H", 'Dry_Litterbag Placem_Collection'!T210)),"YES","NO")</f>
        <v>NO</v>
      </c>
      <c r="AA283" s="255" t="str">
        <f>IF(ISNUMBER(SEARCH("R", 'Dry_Litterbag Placem_Collection'!T210)),"YES","NO")</f>
        <v>NO</v>
      </c>
      <c r="AB283" s="255" t="str">
        <f>IF(ISNUMBER(SEARCH("C", 'Dry_Litterbag Placem_Collection'!S210)),"YES","NO")</f>
        <v>NO</v>
      </c>
      <c r="AC283" s="255" t="str">
        <f>IF(ISNUMBER(SEARCH("H", 'Dry_Litterbag Placem_Collection'!S210)),"YES","NO")</f>
        <v>YES</v>
      </c>
      <c r="AD283" s="255" t="str">
        <f>IF(ISNUMBER(SEARCH("R", 'Dry_Litterbag Placem_Collection'!S210)),"YES","NO")</f>
        <v>YES</v>
      </c>
    </row>
    <row r="284" spans="2:30">
      <c r="B284" t="str">
        <f>'Final data_for_R_analysis_Dryse'!A210</f>
        <v>Dry</v>
      </c>
      <c r="C284" s="263">
        <f>'Final data_for_R_analysis_Dryse'!B210</f>
        <v>209</v>
      </c>
      <c r="D284" t="s">
        <v>2435</v>
      </c>
      <c r="E284" t="s">
        <v>22</v>
      </c>
      <c r="F284" s="387">
        <v>1</v>
      </c>
      <c r="G284" s="16">
        <f>'Dry_Litterbag Placem_Collection'!E211</f>
        <v>42942</v>
      </c>
      <c r="H284" t="str">
        <f>'Final data_for_R_analysis_Dryse'!J210</f>
        <v>G94</v>
      </c>
      <c r="I284" t="str">
        <f>'Final data_for_R_analysis_Dryse'!J430</f>
        <v>R678</v>
      </c>
      <c r="J284">
        <f>IFERROR(INDEX('Green_rooibos initial weight'!$C$5:$C$1749,MATCH(H284, 'Green_rooibos initial weight'!$A$5:$A$1749,0)),"")</f>
        <v>2.0630000000000002</v>
      </c>
      <c r="K284">
        <f>IFERROR(INDEX('Green_rooibos initial weight'!$C$5:$C$1749,MATCH(I284, 'Green_rooibos initial weight'!$A$5:$A$1749,0)),"")</f>
        <v>2.1320000000000001</v>
      </c>
      <c r="L284" s="195">
        <f t="shared" si="30"/>
        <v>1.8132000000000001</v>
      </c>
      <c r="M284" s="195">
        <f t="shared" si="31"/>
        <v>1.8822000000000001</v>
      </c>
      <c r="N284" s="16">
        <f>IF('Dry_Litterbag Placem_Collection'!G211="N.A","",'Dry_Litterbag Placem_Collection'!G211)</f>
        <v>43004</v>
      </c>
      <c r="O284" s="195" t="str">
        <f>IF(IFERROR(INDEX('Both teabags AfterDry'!$D$1:$D$839,MATCH(H284,'Both teabags AfterDry'!$A$1:$A$839,0)),"")="N.A","",(IFERROR(INDEX('Both teabags AfterDry'!$D$1:$D$839,MATCH(H284,'Both teabags AfterDry'!$A$1:$A$839,0)),"")))</f>
        <v/>
      </c>
      <c r="P284" s="195">
        <f>IF(IFERROR(INDEX('Both teabags AfterDry'!$D$1:$D$839,MATCH(I284,'Both teabags AfterDry'!$A$1:$A$839,0)),"")="N.A","",(IFERROR(INDEX('Both teabags AfterDry'!$D$1:$D$839,MATCH(I284,'Both teabags AfterDry'!$A$1:$A$839,0)),"")))</f>
        <v>1.6856</v>
      </c>
      <c r="Q284" s="195" t="str">
        <f t="shared" si="32"/>
        <v/>
      </c>
      <c r="R284" s="195">
        <f t="shared" si="32"/>
        <v>1.5349999999999999</v>
      </c>
      <c r="S284" s="195" t="str">
        <f t="shared" si="27"/>
        <v/>
      </c>
      <c r="T284" s="195" t="str">
        <f t="shared" si="33"/>
        <v/>
      </c>
      <c r="U284" s="195">
        <f t="shared" si="28"/>
        <v>0.81553501221974278</v>
      </c>
      <c r="V284">
        <f t="shared" si="29"/>
        <v>62</v>
      </c>
      <c r="W284" s="195" t="str">
        <f t="shared" si="34"/>
        <v/>
      </c>
      <c r="X284" s="195" t="str">
        <f t="shared" si="35"/>
        <v/>
      </c>
      <c r="Y284" s="255" t="str">
        <f>IF(ISNUMBER(SEARCH("C", 'Dry_Litterbag Placem_Collection'!T211)),"YES","NO")</f>
        <v>NO</v>
      </c>
      <c r="Z284" s="255" t="str">
        <f>IF(ISNUMBER(SEARCH("H", 'Dry_Litterbag Placem_Collection'!T211)),"YES","NO")</f>
        <v>NO</v>
      </c>
      <c r="AA284" s="255" t="str">
        <f>IF(ISNUMBER(SEARCH("R", 'Dry_Litterbag Placem_Collection'!T211)),"YES","NO")</f>
        <v>NO</v>
      </c>
      <c r="AB284" s="255" t="str">
        <f>IF(ISNUMBER(SEARCH("C", 'Dry_Litterbag Placem_Collection'!S211)),"YES","NO")</f>
        <v>NO</v>
      </c>
      <c r="AC284" s="255" t="str">
        <f>IF(ISNUMBER(SEARCH("H", 'Dry_Litterbag Placem_Collection'!S211)),"YES","NO")</f>
        <v>NO</v>
      </c>
      <c r="AD284" s="255" t="str">
        <f>IF(ISNUMBER(SEARCH("R", 'Dry_Litterbag Placem_Collection'!S211)),"YES","NO")</f>
        <v>YES</v>
      </c>
    </row>
    <row r="285" spans="2:30">
      <c r="B285" t="str">
        <f>'Final data_for_R_analysis_Dryse'!A211</f>
        <v>Dry</v>
      </c>
      <c r="C285" s="263">
        <f>'Final data_for_R_analysis_Dryse'!B211</f>
        <v>210</v>
      </c>
      <c r="D285" t="s">
        <v>2449</v>
      </c>
      <c r="E285" t="s">
        <v>22</v>
      </c>
      <c r="F285" s="387">
        <v>2</v>
      </c>
      <c r="G285" s="16">
        <f>'Dry_Litterbag Placem_Collection'!E212</f>
        <v>42942</v>
      </c>
      <c r="H285" t="str">
        <f>'Final data_for_R_analysis_Dryse'!J211</f>
        <v>G93</v>
      </c>
      <c r="I285" t="str">
        <f>'Final data_for_R_analysis_Dryse'!J431</f>
        <v>R335</v>
      </c>
      <c r="J285">
        <f>IFERROR(INDEX('Green_rooibos initial weight'!$C$5:$C$1749,MATCH(H285, 'Green_rooibos initial weight'!$A$5:$A$1749,0)),"")</f>
        <v>2.1230000000000002</v>
      </c>
      <c r="K285">
        <f>IFERROR(INDEX('Green_rooibos initial weight'!$C$5:$C$1749,MATCH(I285, 'Green_rooibos initial weight'!$A$5:$A$1749,0)),"")</f>
        <v>2.1629999999999998</v>
      </c>
      <c r="L285" s="195">
        <f t="shared" si="30"/>
        <v>1.8732000000000002</v>
      </c>
      <c r="M285" s="195">
        <f t="shared" si="31"/>
        <v>1.9131999999999998</v>
      </c>
      <c r="N285" s="16">
        <f>IF('Dry_Litterbag Placem_Collection'!G212="N.A","",'Dry_Litterbag Placem_Collection'!G212)</f>
        <v>43004</v>
      </c>
      <c r="O285" s="195">
        <f>IF(IFERROR(INDEX('Both teabags AfterDry'!$D$1:$D$839,MATCH(H285,'Both teabags AfterDry'!$A$1:$A$839,0)),"")="N.A","",(IFERROR(INDEX('Both teabags AfterDry'!$D$1:$D$839,MATCH(H285,'Both teabags AfterDry'!$A$1:$A$839,0)),"")))</f>
        <v>0.80600000000000005</v>
      </c>
      <c r="P285" s="195">
        <f>IF(IFERROR(INDEX('Both teabags AfterDry'!$D$1:$D$839,MATCH(I285,'Both teabags AfterDry'!$A$1:$A$839,0)),"")="N.A","",(IFERROR(INDEX('Both teabags AfterDry'!$D$1:$D$839,MATCH(I285,'Both teabags AfterDry'!$A$1:$A$839,0)),"")))</f>
        <v>1.716</v>
      </c>
      <c r="Q285" s="195">
        <f t="shared" si="32"/>
        <v>0.65539999999999998</v>
      </c>
      <c r="R285" s="195">
        <f t="shared" si="32"/>
        <v>1.5653999999999999</v>
      </c>
      <c r="S285" s="195">
        <f t="shared" si="27"/>
        <v>0.65011744608157174</v>
      </c>
      <c r="T285" s="195">
        <f t="shared" si="33"/>
        <v>0.42620526156416583</v>
      </c>
      <c r="U285" s="195">
        <f t="shared" si="28"/>
        <v>0.81821032824587081</v>
      </c>
      <c r="V285">
        <f t="shared" si="29"/>
        <v>62</v>
      </c>
      <c r="W285" s="195">
        <f t="shared" si="34"/>
        <v>0.22788901890549673</v>
      </c>
      <c r="X285" s="195">
        <f t="shared" si="35"/>
        <v>8.9685653471852731E-3</v>
      </c>
      <c r="Y285" s="255" t="str">
        <f>IF(ISNUMBER(SEARCH("C", 'Dry_Litterbag Placem_Collection'!T212)),"YES","NO")</f>
        <v>YES</v>
      </c>
      <c r="Z285" s="255" t="str">
        <f>IF(ISNUMBER(SEARCH("H", 'Dry_Litterbag Placem_Collection'!T212)),"YES","NO")</f>
        <v>YES</v>
      </c>
      <c r="AA285" s="255" t="str">
        <f>IF(ISNUMBER(SEARCH("R", 'Dry_Litterbag Placem_Collection'!T212)),"YES","NO")</f>
        <v>NO</v>
      </c>
      <c r="AB285" s="255" t="str">
        <f>IF(ISNUMBER(SEARCH("C", 'Dry_Litterbag Placem_Collection'!S212)),"YES","NO")</f>
        <v>YES</v>
      </c>
      <c r="AC285" s="255" t="str">
        <f>IF(ISNUMBER(SEARCH("H", 'Dry_Litterbag Placem_Collection'!S212)),"YES","NO")</f>
        <v>NO</v>
      </c>
      <c r="AD285" s="255" t="str">
        <f>IF(ISNUMBER(SEARCH("R", 'Dry_Litterbag Placem_Collection'!S212)),"YES","NO")</f>
        <v>YES</v>
      </c>
    </row>
    <row r="286" spans="2:30">
      <c r="B286" t="str">
        <f>'Final data_for_R_analysis_Dryse'!A212</f>
        <v>Dry</v>
      </c>
      <c r="C286" s="263">
        <f>'Final data_for_R_analysis_Dryse'!B212</f>
        <v>211</v>
      </c>
      <c r="D286" t="s">
        <v>2426</v>
      </c>
      <c r="E286" t="s">
        <v>22</v>
      </c>
      <c r="F286" s="387">
        <v>3</v>
      </c>
      <c r="G286" s="16">
        <f>'Dry_Litterbag Placem_Collection'!E213</f>
        <v>42942</v>
      </c>
      <c r="H286" t="str">
        <f>'Final data_for_R_analysis_Dryse'!J212</f>
        <v>G26</v>
      </c>
      <c r="I286" t="str">
        <f>'Final data_for_R_analysis_Dryse'!J432</f>
        <v>R249</v>
      </c>
      <c r="J286">
        <f>IFERROR(INDEX('Green_rooibos initial weight'!$C$5:$C$1749,MATCH(H286, 'Green_rooibos initial weight'!$A$5:$A$1749,0)),"")</f>
        <v>2.1059999999999999</v>
      </c>
      <c r="K286">
        <f>IFERROR(INDEX('Green_rooibos initial weight'!$C$5:$C$1749,MATCH(I286, 'Green_rooibos initial weight'!$A$5:$A$1749,0)),"")</f>
        <v>2.294</v>
      </c>
      <c r="L286" s="195">
        <f t="shared" si="30"/>
        <v>1.8561999999999999</v>
      </c>
      <c r="M286" s="195">
        <f t="shared" si="31"/>
        <v>2.0442</v>
      </c>
      <c r="N286" s="16">
        <f>IF('Dry_Litterbag Placem_Collection'!G213="N.A","",'Dry_Litterbag Placem_Collection'!G213)</f>
        <v>43004</v>
      </c>
      <c r="O286" s="195">
        <f>IF(IFERROR(INDEX('Both teabags AfterDry'!$D$1:$D$839,MATCH(H286,'Both teabags AfterDry'!$A$1:$A$839,0)),"")="N.A","",(IFERROR(INDEX('Both teabags AfterDry'!$D$1:$D$839,MATCH(H286,'Both teabags AfterDry'!$A$1:$A$839,0)),"")))</f>
        <v>0.38400000000000001</v>
      </c>
      <c r="P286" s="195">
        <f>IF(IFERROR(INDEX('Both teabags AfterDry'!$D$1:$D$839,MATCH(I286,'Both teabags AfterDry'!$A$1:$A$839,0)),"")="N.A","",(IFERROR(INDEX('Both teabags AfterDry'!$D$1:$D$839,MATCH(I286,'Both teabags AfterDry'!$A$1:$A$839,0)),"")))</f>
        <v>1.1160000000000001</v>
      </c>
      <c r="Q286" s="195">
        <f t="shared" si="32"/>
        <v>0.2334</v>
      </c>
      <c r="R286" s="195">
        <f t="shared" si="32"/>
        <v>0.96540000000000004</v>
      </c>
      <c r="S286" s="195">
        <f t="shared" si="27"/>
        <v>0.87425923930610927</v>
      </c>
      <c r="T286" s="195">
        <f t="shared" si="33"/>
        <v>0.57314857493702176</v>
      </c>
      <c r="U286" s="195">
        <f t="shared" si="28"/>
        <v>0.47226298796595245</v>
      </c>
      <c r="V286">
        <f t="shared" si="29"/>
        <v>62</v>
      </c>
      <c r="W286" s="195">
        <f t="shared" si="34"/>
        <v>-3.8312635755474167E-2</v>
      </c>
      <c r="X286" s="195">
        <f t="shared" si="35"/>
        <v>4.0893197001220037E-2</v>
      </c>
      <c r="Y286" s="255" t="str">
        <f>IF(ISNUMBER(SEARCH("C", 'Dry_Litterbag Placem_Collection'!T213)),"YES","NO")</f>
        <v>YES</v>
      </c>
      <c r="Z286" s="255" t="str">
        <f>IF(ISNUMBER(SEARCH("H", 'Dry_Litterbag Placem_Collection'!T213)),"YES","NO")</f>
        <v>YES</v>
      </c>
      <c r="AA286" s="255" t="str">
        <f>IF(ISNUMBER(SEARCH("R", 'Dry_Litterbag Placem_Collection'!T213)),"YES","NO")</f>
        <v>YES</v>
      </c>
      <c r="AB286" s="255" t="str">
        <f>IF(ISNUMBER(SEARCH("C", 'Dry_Litterbag Placem_Collection'!S213)),"YES","NO")</f>
        <v>NO</v>
      </c>
      <c r="AC286" s="255" t="str">
        <f>IF(ISNUMBER(SEARCH("H", 'Dry_Litterbag Placem_Collection'!S213)),"YES","NO")</f>
        <v>YES</v>
      </c>
      <c r="AD286" s="255" t="str">
        <f>IF(ISNUMBER(SEARCH("R", 'Dry_Litterbag Placem_Collection'!S213)),"YES","NO")</f>
        <v>NO</v>
      </c>
    </row>
    <row r="287" spans="2:30">
      <c r="B287" t="str">
        <f>'Final data_for_R_analysis_Dryse'!A213</f>
        <v>Dry</v>
      </c>
      <c r="C287" s="263">
        <f>'Final data_for_R_analysis_Dryse'!B213</f>
        <v>215</v>
      </c>
      <c r="D287" t="s">
        <v>2427</v>
      </c>
      <c r="E287" t="s">
        <v>22</v>
      </c>
      <c r="F287" s="387">
        <v>3</v>
      </c>
      <c r="G287" s="16">
        <f>'Dry_Litterbag Placem_Collection'!E214</f>
        <v>42942</v>
      </c>
      <c r="H287" t="str">
        <f>'Final data_for_R_analysis_Dryse'!J213</f>
        <v>G169</v>
      </c>
      <c r="I287" t="str">
        <f>'Final data_for_R_analysis_Dryse'!J433</f>
        <v>R627</v>
      </c>
      <c r="J287">
        <f>IFERROR(INDEX('Green_rooibos initial weight'!$C$5:$C$1749,MATCH(H287, 'Green_rooibos initial weight'!$A$5:$A$1749,0)),"")</f>
        <v>2.0649999999999999</v>
      </c>
      <c r="K287">
        <f>IFERROR(INDEX('Green_rooibos initial weight'!$C$5:$C$1749,MATCH(I287, 'Green_rooibos initial weight'!$A$5:$A$1749,0)),"")</f>
        <v>2.1429999999999998</v>
      </c>
      <c r="L287" s="195">
        <f t="shared" si="30"/>
        <v>1.8151999999999999</v>
      </c>
      <c r="M287" s="195">
        <f t="shared" si="31"/>
        <v>1.8931999999999998</v>
      </c>
      <c r="N287" s="16">
        <f>IF('Dry_Litterbag Placem_Collection'!G214="N.A","",'Dry_Litterbag Placem_Collection'!G214)</f>
        <v>43004</v>
      </c>
      <c r="O287" s="195">
        <f>IF(IFERROR(INDEX('Both teabags AfterDry'!$D$1:$D$839,MATCH(H287,'Both teabags AfterDry'!$A$1:$A$839,0)),"")="N.A","",(IFERROR(INDEX('Both teabags AfterDry'!$D$1:$D$839,MATCH(H287,'Both teabags AfterDry'!$A$1:$A$839,0)),"")))</f>
        <v>0.70899999999999996</v>
      </c>
      <c r="P287" s="195">
        <f>IF(IFERROR(INDEX('Both teabags AfterDry'!$D$1:$D$839,MATCH(I287,'Both teabags AfterDry'!$A$1:$A$839,0)),"")="N.A","",(IFERROR(INDEX('Both teabags AfterDry'!$D$1:$D$839,MATCH(I287,'Both teabags AfterDry'!$A$1:$A$839,0)),"")))</f>
        <v>1.7356</v>
      </c>
      <c r="Q287" s="195">
        <f t="shared" si="32"/>
        <v>0.55840000000000001</v>
      </c>
      <c r="R287" s="195">
        <f t="shared" si="32"/>
        <v>1.585</v>
      </c>
      <c r="S287" s="195">
        <f t="shared" si="27"/>
        <v>0.69237549581313351</v>
      </c>
      <c r="T287" s="195">
        <f t="shared" si="33"/>
        <v>0.45390887611502345</v>
      </c>
      <c r="U287" s="195">
        <f t="shared" si="28"/>
        <v>0.8372068455525038</v>
      </c>
      <c r="V287">
        <f t="shared" si="29"/>
        <v>62</v>
      </c>
      <c r="W287" s="195">
        <f t="shared" si="34"/>
        <v>0.17770131138582712</v>
      </c>
      <c r="X287" s="195">
        <f t="shared" si="35"/>
        <v>7.1641227001606926E-3</v>
      </c>
      <c r="Y287" s="255" t="str">
        <f>IF(ISNUMBER(SEARCH("C", 'Dry_Litterbag Placem_Collection'!T214)),"YES","NO")</f>
        <v>NO</v>
      </c>
      <c r="Z287" s="255" t="str">
        <f>IF(ISNUMBER(SEARCH("H", 'Dry_Litterbag Placem_Collection'!T214)),"YES","NO")</f>
        <v>NO</v>
      </c>
      <c r="AA287" s="255" t="str">
        <f>IF(ISNUMBER(SEARCH("R", 'Dry_Litterbag Placem_Collection'!T214)),"YES","NO")</f>
        <v>YES</v>
      </c>
      <c r="AB287" s="255" t="str">
        <f>IF(ISNUMBER(SEARCH("C", 'Dry_Litterbag Placem_Collection'!S214)),"YES","NO")</f>
        <v>NO</v>
      </c>
      <c r="AC287" s="255" t="str">
        <f>IF(ISNUMBER(SEARCH("H", 'Dry_Litterbag Placem_Collection'!S214)),"YES","NO")</f>
        <v>NO</v>
      </c>
      <c r="AD287" s="255" t="str">
        <f>IF(ISNUMBER(SEARCH("R", 'Dry_Litterbag Placem_Collection'!S214)),"YES","NO")</f>
        <v>NO</v>
      </c>
    </row>
    <row r="288" spans="2:30">
      <c r="B288" t="str">
        <f>'Final data_for_R_analysis_Dryse'!A214</f>
        <v>Dry</v>
      </c>
      <c r="C288" s="263">
        <f>'Final data_for_R_analysis_Dryse'!B214</f>
        <v>212</v>
      </c>
      <c r="D288" t="s">
        <v>2442</v>
      </c>
      <c r="E288" t="s">
        <v>22</v>
      </c>
      <c r="F288" s="387">
        <v>4</v>
      </c>
      <c r="G288" s="16">
        <f>'Dry_Litterbag Placem_Collection'!E215</f>
        <v>42942</v>
      </c>
      <c r="H288" t="str">
        <f>'Final data_for_R_analysis_Dryse'!J214</f>
        <v>G68</v>
      </c>
      <c r="I288" t="str">
        <f>'Final data_for_R_analysis_Dryse'!J434</f>
        <v>R803</v>
      </c>
      <c r="J288">
        <f>IFERROR(INDEX('Green_rooibos initial weight'!$C$5:$C$1749,MATCH(H288, 'Green_rooibos initial weight'!$A$5:$A$1749,0)),"")</f>
        <v>1.921</v>
      </c>
      <c r="K288">
        <f>IFERROR(INDEX('Green_rooibos initial weight'!$C$5:$C$1749,MATCH(I288, 'Green_rooibos initial weight'!$A$5:$A$1749,0)),"")</f>
        <v>2.1930000000000001</v>
      </c>
      <c r="L288" s="195">
        <f t="shared" si="30"/>
        <v>1.6712</v>
      </c>
      <c r="M288" s="195">
        <f t="shared" si="31"/>
        <v>1.9432</v>
      </c>
      <c r="N288" s="16">
        <f>IF('Dry_Litterbag Placem_Collection'!G215="N.A","",'Dry_Litterbag Placem_Collection'!G215)</f>
        <v>43004</v>
      </c>
      <c r="O288" s="195">
        <f>IF(IFERROR(INDEX('Both teabags AfterDry'!$D$1:$D$839,MATCH(H288,'Both teabags AfterDry'!$A$1:$A$839,0)),"")="N.A","",(IFERROR(INDEX('Both teabags AfterDry'!$D$1:$D$839,MATCH(H288,'Both teabags AfterDry'!$A$1:$A$839,0)),"")))</f>
        <v>0.71</v>
      </c>
      <c r="P288" s="195">
        <f>IF(IFERROR(INDEX('Both teabags AfterDry'!$D$1:$D$839,MATCH(I288,'Both teabags AfterDry'!$A$1:$A$839,0)),"")="N.A","",(IFERROR(INDEX('Both teabags AfterDry'!$D$1:$D$839,MATCH(I288,'Both teabags AfterDry'!$A$1:$A$839,0)),"")))</f>
        <v>0.78500000000000003</v>
      </c>
      <c r="Q288" s="195">
        <f t="shared" si="32"/>
        <v>0.5593999999999999</v>
      </c>
      <c r="R288" s="195">
        <f t="shared" si="32"/>
        <v>0.63440000000000007</v>
      </c>
      <c r="S288" s="195">
        <f t="shared" si="27"/>
        <v>0.66527046433700343</v>
      </c>
      <c r="T288" s="195">
        <f t="shared" si="33"/>
        <v>0.43613930678625412</v>
      </c>
      <c r="U288" s="195">
        <f t="shared" si="28"/>
        <v>0.32647179909427754</v>
      </c>
      <c r="V288">
        <f t="shared" si="29"/>
        <v>62</v>
      </c>
      <c r="W288" s="195">
        <f t="shared" si="34"/>
        <v>0.2098925601698296</v>
      </c>
      <c r="X288" s="195" t="str">
        <f t="shared" si="35"/>
        <v/>
      </c>
      <c r="Y288" s="255" t="str">
        <f>IF(ISNUMBER(SEARCH("C", 'Dry_Litterbag Placem_Collection'!T215)),"YES","NO")</f>
        <v>NO</v>
      </c>
      <c r="Z288" s="255" t="str">
        <f>IF(ISNUMBER(SEARCH("H", 'Dry_Litterbag Placem_Collection'!T215)),"YES","NO")</f>
        <v>YES</v>
      </c>
      <c r="AA288" s="255" t="str">
        <f>IF(ISNUMBER(SEARCH("R", 'Dry_Litterbag Placem_Collection'!T215)),"YES","NO")</f>
        <v>YES</v>
      </c>
      <c r="AB288" s="255" t="str">
        <f>IF(ISNUMBER(SEARCH("C", 'Dry_Litterbag Placem_Collection'!S215)),"YES","NO")</f>
        <v>NO</v>
      </c>
      <c r="AC288" s="255" t="str">
        <f>IF(ISNUMBER(SEARCH("H", 'Dry_Litterbag Placem_Collection'!S215)),"YES","NO")</f>
        <v>YES</v>
      </c>
      <c r="AD288" s="255" t="str">
        <f>IF(ISNUMBER(SEARCH("R", 'Dry_Litterbag Placem_Collection'!S215)),"YES","NO")</f>
        <v>YES</v>
      </c>
    </row>
    <row r="289" spans="2:30">
      <c r="B289" t="str">
        <f>'Final data_for_R_analysis_Dryse'!A215</f>
        <v>Dry</v>
      </c>
      <c r="C289" s="263">
        <f>'Final data_for_R_analysis_Dryse'!B215</f>
        <v>213</v>
      </c>
      <c r="D289" t="s">
        <v>2450</v>
      </c>
      <c r="E289" t="s">
        <v>22</v>
      </c>
      <c r="F289" s="387">
        <v>1</v>
      </c>
      <c r="G289" s="16">
        <f>'Dry_Litterbag Placem_Collection'!E216</f>
        <v>42942</v>
      </c>
      <c r="H289" t="str">
        <f>'Final data_for_R_analysis_Dryse'!J215</f>
        <v>G143</v>
      </c>
      <c r="I289" t="str">
        <f>'Final data_for_R_analysis_Dryse'!J435</f>
        <v>R321</v>
      </c>
      <c r="J289">
        <f>IFERROR(INDEX('Green_rooibos initial weight'!$C$5:$C$1749,MATCH(H289, 'Green_rooibos initial weight'!$A$5:$A$1749,0)),"")</f>
        <v>1.9450000000000001</v>
      </c>
      <c r="K289">
        <f>IFERROR(INDEX('Green_rooibos initial weight'!$C$5:$C$1749,MATCH(I289, 'Green_rooibos initial weight'!$A$5:$A$1749,0)),"")</f>
        <v>2.1859999999999999</v>
      </c>
      <c r="L289" s="195">
        <f t="shared" si="30"/>
        <v>1.6952</v>
      </c>
      <c r="M289" s="195">
        <f t="shared" si="31"/>
        <v>1.9361999999999999</v>
      </c>
      <c r="N289" s="16">
        <f>IF('Dry_Litterbag Placem_Collection'!G216="N.A","",'Dry_Litterbag Placem_Collection'!G216)</f>
        <v>43004</v>
      </c>
      <c r="O289" s="195">
        <f>IF(IFERROR(INDEX('Both teabags AfterDry'!$D$1:$D$839,MATCH(H289,'Both teabags AfterDry'!$A$1:$A$839,0)),"")="N.A","",(IFERROR(INDEX('Both teabags AfterDry'!$D$1:$D$839,MATCH(H289,'Both teabags AfterDry'!$A$1:$A$839,0)),"")))</f>
        <v>0.57899999999999996</v>
      </c>
      <c r="P289" s="195">
        <f>IF(IFERROR(INDEX('Both teabags AfterDry'!$D$1:$D$839,MATCH(I289,'Both teabags AfterDry'!$A$1:$A$839,0)),"")="N.A","",(IFERROR(INDEX('Both teabags AfterDry'!$D$1:$D$839,MATCH(I289,'Both teabags AfterDry'!$A$1:$A$839,0)),"")))</f>
        <v>1.6859999999999999</v>
      </c>
      <c r="Q289" s="195">
        <f t="shared" si="32"/>
        <v>0.42839999999999995</v>
      </c>
      <c r="R289" s="195">
        <f t="shared" si="32"/>
        <v>1.5353999999999999</v>
      </c>
      <c r="S289" s="195">
        <f t="shared" si="27"/>
        <v>0.74728645587541298</v>
      </c>
      <c r="T289" s="195">
        <f t="shared" si="33"/>
        <v>0.48990751026511642</v>
      </c>
      <c r="U289" s="195">
        <f t="shared" si="28"/>
        <v>0.79299659126123334</v>
      </c>
      <c r="V289">
        <f t="shared" si="29"/>
        <v>62</v>
      </c>
      <c r="W289" s="195">
        <f t="shared" si="34"/>
        <v>0.11248639444725295</v>
      </c>
      <c r="X289" s="195">
        <f t="shared" si="35"/>
        <v>8.8565910060626613E-3</v>
      </c>
      <c r="Y289" s="255" t="str">
        <f>IF(ISNUMBER(SEARCH("C", 'Dry_Litterbag Placem_Collection'!T216)),"YES","NO")</f>
        <v>NO</v>
      </c>
      <c r="Z289" s="255" t="str">
        <f>IF(ISNUMBER(SEARCH("H", 'Dry_Litterbag Placem_Collection'!T216)),"YES","NO")</f>
        <v>NO</v>
      </c>
      <c r="AA289" s="255" t="str">
        <f>IF(ISNUMBER(SEARCH("R", 'Dry_Litterbag Placem_Collection'!T216)),"YES","NO")</f>
        <v>YES</v>
      </c>
      <c r="AB289" s="255" t="str">
        <f>IF(ISNUMBER(SEARCH("C", 'Dry_Litterbag Placem_Collection'!S216)),"YES","NO")</f>
        <v>NO</v>
      </c>
      <c r="AC289" s="255" t="str">
        <f>IF(ISNUMBER(SEARCH("H", 'Dry_Litterbag Placem_Collection'!S216)),"YES","NO")</f>
        <v>NO</v>
      </c>
      <c r="AD289" s="255" t="str">
        <f>IF(ISNUMBER(SEARCH("R", 'Dry_Litterbag Placem_Collection'!S216)),"YES","NO")</f>
        <v>YES</v>
      </c>
    </row>
    <row r="290" spans="2:30">
      <c r="B290" t="str">
        <f>'Final data_for_R_analysis_Dryse'!A216</f>
        <v>Dry</v>
      </c>
      <c r="C290" s="263">
        <f>'Final data_for_R_analysis_Dryse'!B216</f>
        <v>214</v>
      </c>
      <c r="D290" t="s">
        <v>2443</v>
      </c>
      <c r="E290" t="s">
        <v>22</v>
      </c>
      <c r="F290" s="387">
        <v>2</v>
      </c>
      <c r="G290" s="16">
        <f>'Dry_Litterbag Placem_Collection'!E217</f>
        <v>42942</v>
      </c>
      <c r="H290" t="str">
        <f>'Final data_for_R_analysis_Dryse'!J216</f>
        <v>G128</v>
      </c>
      <c r="I290" t="str">
        <f>'Final data_for_R_analysis_Dryse'!J436</f>
        <v>R677</v>
      </c>
      <c r="J290">
        <f>IFERROR(INDEX('Green_rooibos initial weight'!$C$5:$C$1749,MATCH(H290, 'Green_rooibos initial weight'!$A$5:$A$1749,0)),"")</f>
        <v>2.0219999999999998</v>
      </c>
      <c r="K290">
        <f>IFERROR(INDEX('Green_rooibos initial weight'!$C$5:$C$1749,MATCH(I290, 'Green_rooibos initial weight'!$A$5:$A$1749,0)),"")</f>
        <v>2.1240000000000001</v>
      </c>
      <c r="L290" s="195">
        <f t="shared" si="30"/>
        <v>1.7721999999999998</v>
      </c>
      <c r="M290" s="195">
        <f t="shared" si="31"/>
        <v>1.8742000000000001</v>
      </c>
      <c r="N290" s="16">
        <f>IF('Dry_Litterbag Placem_Collection'!G217="N.A","",'Dry_Litterbag Placem_Collection'!G217)</f>
        <v>43004</v>
      </c>
      <c r="O290" s="195">
        <f>IF(IFERROR(INDEX('Both teabags AfterDry'!$D$1:$D$839,MATCH(H290,'Both teabags AfterDry'!$A$1:$A$839,0)),"")="N.A","",(IFERROR(INDEX('Both teabags AfterDry'!$D$1:$D$839,MATCH(H290,'Both teabags AfterDry'!$A$1:$A$839,0)),"")))</f>
        <v>0.70599999999999996</v>
      </c>
      <c r="P290" s="195">
        <f>IF(IFERROR(INDEX('Both teabags AfterDry'!$D$1:$D$839,MATCH(I290,'Both teabags AfterDry'!$A$1:$A$839,0)),"")="N.A","",(IFERROR(INDEX('Both teabags AfterDry'!$D$1:$D$839,MATCH(I290,'Both teabags AfterDry'!$A$1:$A$839,0)),"")))</f>
        <v>1.7569999999999999</v>
      </c>
      <c r="Q290" s="195">
        <f t="shared" si="32"/>
        <v>0.55539999999999989</v>
      </c>
      <c r="R290" s="195">
        <f t="shared" si="32"/>
        <v>1.6063999999999998</v>
      </c>
      <c r="S290" s="195">
        <f t="shared" si="27"/>
        <v>0.68660422074257987</v>
      </c>
      <c r="T290" s="195">
        <f t="shared" si="33"/>
        <v>0.4501253323633066</v>
      </c>
      <c r="U290" s="195">
        <f t="shared" si="28"/>
        <v>0.85711236794365586</v>
      </c>
      <c r="V290">
        <f t="shared" si="29"/>
        <v>62</v>
      </c>
      <c r="W290" s="195">
        <f t="shared" si="34"/>
        <v>0.18455555731285045</v>
      </c>
      <c r="X290" s="195">
        <f t="shared" si="35"/>
        <v>6.1597474879298165E-3</v>
      </c>
      <c r="Y290" s="255" t="str">
        <f>IF(ISNUMBER(SEARCH("C", 'Dry_Litterbag Placem_Collection'!T217)),"YES","NO")</f>
        <v>NO</v>
      </c>
      <c r="Z290" s="255" t="str">
        <f>IF(ISNUMBER(SEARCH("H", 'Dry_Litterbag Placem_Collection'!T217)),"YES","NO")</f>
        <v>YES</v>
      </c>
      <c r="AA290" s="255" t="str">
        <f>IF(ISNUMBER(SEARCH("R", 'Dry_Litterbag Placem_Collection'!T217)),"YES","NO")</f>
        <v>YES</v>
      </c>
      <c r="AB290" s="255" t="str">
        <f>IF(ISNUMBER(SEARCH("C", 'Dry_Litterbag Placem_Collection'!S217)),"YES","NO")</f>
        <v>NO</v>
      </c>
      <c r="AC290" s="255" t="str">
        <f>IF(ISNUMBER(SEARCH("H", 'Dry_Litterbag Placem_Collection'!S217)),"YES","NO")</f>
        <v>YES</v>
      </c>
      <c r="AD290" s="255" t="str">
        <f>IF(ISNUMBER(SEARCH("R", 'Dry_Litterbag Placem_Collection'!S217)),"YES","NO")</f>
        <v>NO</v>
      </c>
    </row>
    <row r="291" spans="2:30">
      <c r="B291" t="str">
        <f>'Final data_for_R_analysis_Dryse'!A217</f>
        <v>Dry</v>
      </c>
      <c r="C291" s="263">
        <f>'Final data_for_R_analysis_Dryse'!B217</f>
        <v>216</v>
      </c>
      <c r="D291" t="s">
        <v>2436</v>
      </c>
      <c r="E291" t="s">
        <v>22</v>
      </c>
      <c r="F291" s="387">
        <v>4</v>
      </c>
      <c r="G291" s="16">
        <f>'Dry_Litterbag Placem_Collection'!E218</f>
        <v>42942</v>
      </c>
      <c r="H291" t="str">
        <f>'Final data_for_R_analysis_Dryse'!J217</f>
        <v>G95</v>
      </c>
      <c r="I291" t="str">
        <f>'Final data_for_R_analysis_Dryse'!J437</f>
        <v>R379</v>
      </c>
      <c r="J291">
        <f>IFERROR(INDEX('Green_rooibos initial weight'!$C$5:$C$1749,MATCH(H291, 'Green_rooibos initial weight'!$A$5:$A$1749,0)),"")</f>
        <v>2.1110000000000002</v>
      </c>
      <c r="K291">
        <f>IFERROR(INDEX('Green_rooibos initial weight'!$C$5:$C$1749,MATCH(I291, 'Green_rooibos initial weight'!$A$5:$A$1749,0)),"")</f>
        <v>2.246</v>
      </c>
      <c r="L291" s="195">
        <f t="shared" si="30"/>
        <v>1.8612000000000002</v>
      </c>
      <c r="M291" s="195">
        <f t="shared" si="31"/>
        <v>1.9962</v>
      </c>
      <c r="N291" s="16">
        <f>IF('Dry_Litterbag Placem_Collection'!G218="N.A","",'Dry_Litterbag Placem_Collection'!G218)</f>
        <v>43004</v>
      </c>
      <c r="O291" s="195">
        <f>IF(IFERROR(INDEX('Both teabags AfterDry'!$D$1:$D$839,MATCH(H291,'Both teabags AfterDry'!$A$1:$A$839,0)),"")="N.A","",(IFERROR(INDEX('Both teabags AfterDry'!$D$1:$D$839,MATCH(H291,'Both teabags AfterDry'!$A$1:$A$839,0)),"")))</f>
        <v>0.80600000000000005</v>
      </c>
      <c r="P291" s="195">
        <f>IF(IFERROR(INDEX('Both teabags AfterDry'!$D$1:$D$839,MATCH(I291,'Both teabags AfterDry'!$A$1:$A$839,0)),"")="N.A","",(IFERROR(INDEX('Both teabags AfterDry'!$D$1:$D$839,MATCH(I291,'Both teabags AfterDry'!$A$1:$A$839,0)),"")))</f>
        <v>1.736</v>
      </c>
      <c r="Q291" s="195">
        <f t="shared" si="32"/>
        <v>0.65539999999999998</v>
      </c>
      <c r="R291" s="195">
        <f t="shared" si="32"/>
        <v>1.5853999999999999</v>
      </c>
      <c r="S291" s="195">
        <f t="shared" si="27"/>
        <v>0.6478615946701054</v>
      </c>
      <c r="T291" s="195">
        <f t="shared" si="33"/>
        <v>0.42472636610201686</v>
      </c>
      <c r="U291" s="195">
        <f t="shared" si="28"/>
        <v>0.79420899709447945</v>
      </c>
      <c r="V291">
        <f t="shared" si="29"/>
        <v>62</v>
      </c>
      <c r="W291" s="195">
        <f t="shared" si="34"/>
        <v>0.23056817735141877</v>
      </c>
      <c r="X291" s="195">
        <f t="shared" si="35"/>
        <v>1.0688202839848671E-2</v>
      </c>
      <c r="Y291" s="255" t="str">
        <f>IF(ISNUMBER(SEARCH("C", 'Dry_Litterbag Placem_Collection'!T218)),"YES","NO")</f>
        <v>NO</v>
      </c>
      <c r="Z291" s="255" t="str">
        <f>IF(ISNUMBER(SEARCH("H", 'Dry_Litterbag Placem_Collection'!T218)),"YES","NO")</f>
        <v>NO</v>
      </c>
      <c r="AA291" s="255" t="str">
        <f>IF(ISNUMBER(SEARCH("R", 'Dry_Litterbag Placem_Collection'!T218)),"YES","NO")</f>
        <v>NO</v>
      </c>
      <c r="AB291" s="255" t="str">
        <f>IF(ISNUMBER(SEARCH("C", 'Dry_Litterbag Placem_Collection'!S218)),"YES","NO")</f>
        <v>NO</v>
      </c>
      <c r="AC291" s="255" t="str">
        <f>IF(ISNUMBER(SEARCH("H", 'Dry_Litterbag Placem_Collection'!S218)),"YES","NO")</f>
        <v>NO</v>
      </c>
      <c r="AD291" s="255" t="str">
        <f>IF(ISNUMBER(SEARCH("R", 'Dry_Litterbag Placem_Collection'!S218)),"YES","NO")</f>
        <v>NO</v>
      </c>
    </row>
    <row r="292" spans="2:30">
      <c r="B292" t="str">
        <f>'Final data_for_R_analysis_Dryse'!A218</f>
        <v>Dry</v>
      </c>
      <c r="C292" s="263">
        <f>'Final data_for_R_analysis_Dryse'!B218</f>
        <v>217</v>
      </c>
      <c r="D292" t="s">
        <v>2429</v>
      </c>
      <c r="E292" t="s">
        <v>22</v>
      </c>
      <c r="F292" s="387">
        <v>1</v>
      </c>
      <c r="G292" s="16">
        <f>'Dry_Litterbag Placem_Collection'!E219</f>
        <v>42942</v>
      </c>
      <c r="H292" t="str">
        <f>'Final data_for_R_analysis_Dryse'!J218</f>
        <v>G313</v>
      </c>
      <c r="I292" t="str">
        <f>'Final data_for_R_analysis_Dryse'!J438</f>
        <v>R771</v>
      </c>
      <c r="J292">
        <f>IFERROR(INDEX('Green_rooibos initial weight'!$C$5:$C$1749,MATCH(H292, 'Green_rooibos initial weight'!$A$5:$A$1749,0)),"")</f>
        <v>1.923</v>
      </c>
      <c r="K292">
        <f>IFERROR(INDEX('Green_rooibos initial weight'!$C$5:$C$1749,MATCH(I292, 'Green_rooibos initial weight'!$A$5:$A$1749,0)),"")</f>
        <v>2.2309999999999999</v>
      </c>
      <c r="L292" s="195">
        <f t="shared" si="30"/>
        <v>1.6732</v>
      </c>
      <c r="M292" s="195">
        <f t="shared" si="31"/>
        <v>1.9811999999999999</v>
      </c>
      <c r="N292" s="16">
        <f>IF('Dry_Litterbag Placem_Collection'!G219="N.A","",'Dry_Litterbag Placem_Collection'!G219)</f>
        <v>43004</v>
      </c>
      <c r="O292" s="195">
        <f>IF(IFERROR(INDEX('Both teabags AfterDry'!$D$1:$D$839,MATCH(H292,'Both teabags AfterDry'!$A$1:$A$839,0)),"")="N.A","",(IFERROR(INDEX('Both teabags AfterDry'!$D$1:$D$839,MATCH(H292,'Both teabags AfterDry'!$A$1:$A$839,0)),"")))</f>
        <v>0.74719999999999998</v>
      </c>
      <c r="P292" s="195">
        <f>IF(IFERROR(INDEX('Both teabags AfterDry'!$D$1:$D$839,MATCH(I292,'Both teabags AfterDry'!$A$1:$A$839,0)),"")="N.A","",(IFERROR(INDEX('Both teabags AfterDry'!$D$1:$D$839,MATCH(I292,'Both teabags AfterDry'!$A$1:$A$839,0)),"")))</f>
        <v>1.0895999999999999</v>
      </c>
      <c r="Q292" s="195">
        <f t="shared" si="32"/>
        <v>0.59660000000000002</v>
      </c>
      <c r="R292" s="195">
        <f t="shared" si="32"/>
        <v>0.93899999999999983</v>
      </c>
      <c r="S292" s="195">
        <f t="shared" si="27"/>
        <v>0.64343772412144395</v>
      </c>
      <c r="T292" s="195">
        <f t="shared" si="33"/>
        <v>0.42182615643116045</v>
      </c>
      <c r="U292" s="195">
        <f t="shared" si="28"/>
        <v>0.47395517867958809</v>
      </c>
      <c r="V292">
        <f t="shared" si="29"/>
        <v>62</v>
      </c>
      <c r="W292" s="195">
        <f t="shared" si="34"/>
        <v>0.23582218037833258</v>
      </c>
      <c r="X292" s="195" t="str">
        <f t="shared" si="35"/>
        <v/>
      </c>
      <c r="Y292" s="255" t="str">
        <f>IF(ISNUMBER(SEARCH("C", 'Dry_Litterbag Placem_Collection'!T219)),"YES","NO")</f>
        <v>NO</v>
      </c>
      <c r="Z292" s="255" t="str">
        <f>IF(ISNUMBER(SEARCH("H", 'Dry_Litterbag Placem_Collection'!T219)),"YES","NO")</f>
        <v>YES</v>
      </c>
      <c r="AA292" s="255" t="str">
        <f>IF(ISNUMBER(SEARCH("R", 'Dry_Litterbag Placem_Collection'!T219)),"YES","NO")</f>
        <v>YES</v>
      </c>
      <c r="AB292" s="255" t="str">
        <f>IF(ISNUMBER(SEARCH("C", 'Dry_Litterbag Placem_Collection'!S219)),"YES","NO")</f>
        <v>NO</v>
      </c>
      <c r="AC292" s="255" t="str">
        <f>IF(ISNUMBER(SEARCH("H", 'Dry_Litterbag Placem_Collection'!S219)),"YES","NO")</f>
        <v>YES</v>
      </c>
      <c r="AD292" s="255" t="str">
        <f>IF(ISNUMBER(SEARCH("R", 'Dry_Litterbag Placem_Collection'!S219)),"YES","NO")</f>
        <v>YES</v>
      </c>
    </row>
    <row r="293" spans="2:30">
      <c r="B293" t="str">
        <f>'Final data_for_R_analysis_Dryse'!A219</f>
        <v>Dry</v>
      </c>
      <c r="C293" s="263">
        <f>'Final data_for_R_analysis_Dryse'!B219</f>
        <v>218</v>
      </c>
      <c r="D293" t="s">
        <v>2437</v>
      </c>
      <c r="E293" t="s">
        <v>22</v>
      </c>
      <c r="F293" s="387">
        <v>2</v>
      </c>
      <c r="G293" s="16">
        <f>'Dry_Litterbag Placem_Collection'!E220</f>
        <v>42942</v>
      </c>
      <c r="H293" t="str">
        <f>'Final data_for_R_analysis_Dryse'!J219</f>
        <v>G485</v>
      </c>
      <c r="I293" t="str">
        <f>'Final data_for_R_analysis_Dryse'!J439</f>
        <v>R680</v>
      </c>
      <c r="J293">
        <f>IFERROR(INDEX('Green_rooibos initial weight'!$C$5:$C$1749,MATCH(H293, 'Green_rooibos initial weight'!$A$5:$A$1749,0)),"")</f>
        <v>1.9890000000000001</v>
      </c>
      <c r="K293">
        <f>IFERROR(INDEX('Green_rooibos initial weight'!$C$5:$C$1749,MATCH(I293, 'Green_rooibos initial weight'!$A$5:$A$1749,0)),"")</f>
        <v>2.1080000000000001</v>
      </c>
      <c r="L293" s="195">
        <f t="shared" si="30"/>
        <v>1.7392000000000001</v>
      </c>
      <c r="M293" s="195">
        <f t="shared" si="31"/>
        <v>1.8582000000000001</v>
      </c>
      <c r="N293" s="16">
        <f>IF('Dry_Litterbag Placem_Collection'!G220="N.A","",'Dry_Litterbag Placem_Collection'!G220)</f>
        <v>43004</v>
      </c>
      <c r="O293" s="195">
        <f>IF(IFERROR(INDEX('Both teabags AfterDry'!$D$1:$D$839,MATCH(H293,'Both teabags AfterDry'!$A$1:$A$839,0)),"")="N.A","",(IFERROR(INDEX('Both teabags AfterDry'!$D$1:$D$839,MATCH(H293,'Both teabags AfterDry'!$A$1:$A$839,0)),"")))</f>
        <v>0.66900000000000004</v>
      </c>
      <c r="P293" s="195">
        <f>IF(IFERROR(INDEX('Both teabags AfterDry'!$D$1:$D$839,MATCH(I293,'Both teabags AfterDry'!$A$1:$A$839,0)),"")="N.A","",(IFERROR(INDEX('Both teabags AfterDry'!$D$1:$D$839,MATCH(I293,'Both teabags AfterDry'!$A$1:$A$839,0)),"")))</f>
        <v>0.17100000000000001</v>
      </c>
      <c r="Q293" s="195">
        <f t="shared" si="32"/>
        <v>0.51839999999999997</v>
      </c>
      <c r="R293" s="195">
        <f t="shared" si="32"/>
        <v>2.0400000000000001E-2</v>
      </c>
      <c r="S293" s="195">
        <f t="shared" si="27"/>
        <v>0.70193192272309113</v>
      </c>
      <c r="T293" s="195">
        <f t="shared" si="33"/>
        <v>0.46017389708212153</v>
      </c>
      <c r="U293" s="195">
        <f t="shared" si="28"/>
        <v>1.0978366160800775E-2</v>
      </c>
      <c r="V293">
        <f t="shared" si="29"/>
        <v>62</v>
      </c>
      <c r="W293" s="195">
        <f t="shared" si="34"/>
        <v>0.16635163572079437</v>
      </c>
      <c r="X293" s="195" t="str">
        <f t="shared" si="35"/>
        <v/>
      </c>
      <c r="Y293" s="255" t="str">
        <f>IF(ISNUMBER(SEARCH("C", 'Dry_Litterbag Placem_Collection'!T220)),"YES","NO")</f>
        <v>NO</v>
      </c>
      <c r="Z293" s="255" t="str">
        <f>IF(ISNUMBER(SEARCH("H", 'Dry_Litterbag Placem_Collection'!T220)),"YES","NO")</f>
        <v>YES</v>
      </c>
      <c r="AA293" s="255" t="str">
        <f>IF(ISNUMBER(SEARCH("R", 'Dry_Litterbag Placem_Collection'!T220)),"YES","NO")</f>
        <v>YES</v>
      </c>
      <c r="AB293" s="255" t="str">
        <f>IF(ISNUMBER(SEARCH("C", 'Dry_Litterbag Placem_Collection'!S220)),"YES","NO")</f>
        <v>NO</v>
      </c>
      <c r="AC293" s="255" t="str">
        <f>IF(ISNUMBER(SEARCH("H", 'Dry_Litterbag Placem_Collection'!S220)),"YES","NO")</f>
        <v>NO</v>
      </c>
      <c r="AD293" s="255" t="str">
        <f>IF(ISNUMBER(SEARCH("R", 'Dry_Litterbag Placem_Collection'!S220)),"YES","NO")</f>
        <v>YES</v>
      </c>
    </row>
    <row r="294" spans="2:30">
      <c r="B294" t="str">
        <f>'Final data_for_R_analysis_Dryse'!A220</f>
        <v>Dry</v>
      </c>
      <c r="C294" s="386">
        <f>'Final data_for_R_analysis_Dryse'!B220</f>
        <v>219</v>
      </c>
      <c r="D294" t="s">
        <v>2444</v>
      </c>
      <c r="E294" t="s">
        <v>22</v>
      </c>
      <c r="F294" s="387">
        <v>3</v>
      </c>
      <c r="G294" s="388">
        <f>'Dry_Litterbag Placem_Collection'!E221</f>
        <v>42942</v>
      </c>
      <c r="H294" s="92" t="str">
        <f>'Final data_for_R_analysis_Dryse'!J220</f>
        <v>G196</v>
      </c>
      <c r="I294" s="92" t="str">
        <f>'Final data_for_R_analysis_Dryse'!J440</f>
        <v>R178</v>
      </c>
      <c r="J294" s="92">
        <f>IFERROR(INDEX('Green_rooibos initial weight'!$C$5:$C$1749,MATCH(H294, 'Green_rooibos initial weight'!$A$5:$A$1749,0)),"")</f>
        <v>2.028</v>
      </c>
      <c r="K294" s="92">
        <f>IFERROR(INDEX('Green_rooibos initial weight'!$C$5:$C$1749,MATCH(I294, 'Green_rooibos initial weight'!$A$5:$A$1749,0)),"")</f>
        <v>2.222</v>
      </c>
      <c r="L294" s="195">
        <f t="shared" si="30"/>
        <v>1.7782</v>
      </c>
      <c r="M294" s="195">
        <f t="shared" si="31"/>
        <v>1.9722</v>
      </c>
      <c r="N294" s="388">
        <f>IF('Dry_Litterbag Placem_Collection'!G221="N.A","",'Dry_Litterbag Placem_Collection'!G221)</f>
        <v>43004</v>
      </c>
      <c r="O294" s="195">
        <f>IF(IFERROR(INDEX('Both teabags AfterDry'!$D$1:$D$839,MATCH(H294,'Both teabags AfterDry'!$A$1:$A$839,0)),"")="N.A","",(IFERROR(INDEX('Both teabags AfterDry'!$D$1:$D$839,MATCH(H294,'Both teabags AfterDry'!$A$1:$A$839,0)),"")))</f>
        <v>0.5756</v>
      </c>
      <c r="P294" s="195">
        <f>IF(IFERROR(INDEX('Both teabags AfterDry'!$D$1:$D$839,MATCH(I294,'Both teabags AfterDry'!$A$1:$A$839,0)),"")="N.A","",(IFERROR(INDEX('Both teabags AfterDry'!$D$1:$D$839,MATCH(I294,'Both teabags AfterDry'!$A$1:$A$839,0)),"")))</f>
        <v>1.8229</v>
      </c>
      <c r="Q294" s="195">
        <f t="shared" si="32"/>
        <v>0.42499999999999999</v>
      </c>
      <c r="R294" s="195">
        <f t="shared" si="32"/>
        <v>1.6722999999999999</v>
      </c>
      <c r="S294" s="195">
        <f t="shared" si="27"/>
        <v>0.76099426386233271</v>
      </c>
      <c r="T294" s="195">
        <f t="shared" si="33"/>
        <v>0.49889410172447468</v>
      </c>
      <c r="U294" s="195">
        <f t="shared" si="28"/>
        <v>0.84793631477537768</v>
      </c>
      <c r="V294" s="92">
        <f t="shared" si="29"/>
        <v>62</v>
      </c>
      <c r="W294" s="195">
        <f t="shared" si="34"/>
        <v>9.6206337455661872E-2</v>
      </c>
      <c r="X294" s="195">
        <f t="shared" si="35"/>
        <v>5.8638371775115664E-3</v>
      </c>
      <c r="Y294" s="255" t="str">
        <f>IF(ISNUMBER(SEARCH("C", 'Dry_Litterbag Placem_Collection'!T221)),"YES","NO")</f>
        <v>NO</v>
      </c>
      <c r="Z294" s="255" t="str">
        <f>IF(ISNUMBER(SEARCH("H", 'Dry_Litterbag Placem_Collection'!T221)),"YES","NO")</f>
        <v>NO</v>
      </c>
      <c r="AA294" s="255" t="str">
        <f>IF(ISNUMBER(SEARCH("R", 'Dry_Litterbag Placem_Collection'!T221)),"YES","NO")</f>
        <v>YES</v>
      </c>
      <c r="AB294" s="255" t="str">
        <f>IF(ISNUMBER(SEARCH("C", 'Dry_Litterbag Placem_Collection'!S221)),"YES","NO")</f>
        <v>NO</v>
      </c>
      <c r="AC294" s="255" t="str">
        <f>IF(ISNUMBER(SEARCH("H", 'Dry_Litterbag Placem_Collection'!S221)),"YES","NO")</f>
        <v>YES</v>
      </c>
      <c r="AD294" s="255" t="str">
        <f>IF(ISNUMBER(SEARCH("R", 'Dry_Litterbag Placem_Collection'!S221)),"YES","NO")</f>
        <v>YES</v>
      </c>
    </row>
    <row r="295" spans="2:30">
      <c r="B295" t="str">
        <f>'Final data_for_R_analysis_Dryse'!A221</f>
        <v>Dry</v>
      </c>
      <c r="C295" s="386">
        <f>'Final data_for_R_analysis_Dryse'!B221</f>
        <v>220</v>
      </c>
      <c r="D295" t="s">
        <v>2451</v>
      </c>
      <c r="E295" t="s">
        <v>22</v>
      </c>
      <c r="F295" s="387">
        <v>4</v>
      </c>
      <c r="G295" s="388">
        <f>'Dry_Litterbag Placem_Collection'!E222</f>
        <v>42942</v>
      </c>
      <c r="H295" s="92" t="str">
        <f>'Final data_for_R_analysis_Dryse'!J221</f>
        <v>G39</v>
      </c>
      <c r="I295" s="92" t="str">
        <f>'Final data_for_R_analysis_Dryse'!J441</f>
        <v>R194</v>
      </c>
      <c r="J295" s="92">
        <f>IFERROR(INDEX('Green_rooibos initial weight'!$C$5:$C$1749,MATCH(H295, 'Green_rooibos initial weight'!$A$5:$A$1749,0)),"")</f>
        <v>2.0670000000000002</v>
      </c>
      <c r="K295" s="92">
        <f>IFERROR(INDEX('Green_rooibos initial weight'!$C$5:$C$1749,MATCH(I295, 'Green_rooibos initial weight'!$A$5:$A$1749,0)),"")</f>
        <v>2.149</v>
      </c>
      <c r="L295" s="195">
        <f t="shared" si="30"/>
        <v>1.8172000000000001</v>
      </c>
      <c r="M295" s="195">
        <f t="shared" si="31"/>
        <v>1.8992</v>
      </c>
      <c r="N295" s="388">
        <f>IF('Dry_Litterbag Placem_Collection'!G222="N.A","",'Dry_Litterbag Placem_Collection'!G222)</f>
        <v>43004</v>
      </c>
      <c r="O295" s="195" t="str">
        <f>IF(IFERROR(INDEX('Both teabags AfterDry'!$D$1:$D$839,MATCH(H295,'Both teabags AfterDry'!$A$1:$A$839,0)),"")="N.A","",(IFERROR(INDEX('Both teabags AfterDry'!$D$1:$D$839,MATCH(H295,'Both teabags AfterDry'!$A$1:$A$839,0)),"")))</f>
        <v/>
      </c>
      <c r="P295" s="195" t="str">
        <f>IF(IFERROR(INDEX('Both teabags AfterDry'!$D$1:$D$839,MATCH(I295,'Both teabags AfterDry'!$A$1:$A$839,0)),"")="N.A","",(IFERROR(INDEX('Both teabags AfterDry'!$D$1:$D$839,MATCH(I295,'Both teabags AfterDry'!$A$1:$A$839,0)),"")))</f>
        <v/>
      </c>
      <c r="Q295" s="195" t="str">
        <f t="shared" si="32"/>
        <v/>
      </c>
      <c r="R295" s="195" t="str">
        <f t="shared" si="32"/>
        <v/>
      </c>
      <c r="S295" s="195" t="str">
        <f t="shared" si="27"/>
        <v/>
      </c>
      <c r="T295" s="195" t="str">
        <f t="shared" si="33"/>
        <v/>
      </c>
      <c r="U295" s="195" t="str">
        <f t="shared" si="28"/>
        <v/>
      </c>
      <c r="V295" s="92">
        <f t="shared" si="29"/>
        <v>62</v>
      </c>
      <c r="W295" s="195" t="str">
        <f t="shared" si="34"/>
        <v/>
      </c>
      <c r="X295" s="195" t="str">
        <f t="shared" si="35"/>
        <v/>
      </c>
      <c r="Y295" s="255" t="str">
        <f>IF(ISNUMBER(SEARCH("C", 'Dry_Litterbag Placem_Collection'!T222)),"YES","NO")</f>
        <v>YES</v>
      </c>
      <c r="Z295" s="255" t="str">
        <f>IF(ISNUMBER(SEARCH("H", 'Dry_Litterbag Placem_Collection'!T222)),"YES","NO")</f>
        <v>YES</v>
      </c>
      <c r="AA295" s="255" t="str">
        <f>IF(ISNUMBER(SEARCH("R", 'Dry_Litterbag Placem_Collection'!T222)),"YES","NO")</f>
        <v>YES</v>
      </c>
      <c r="AB295" s="255" t="str">
        <f>IF(ISNUMBER(SEARCH("C", 'Dry_Litterbag Placem_Collection'!S222)),"YES","NO")</f>
        <v>NO</v>
      </c>
      <c r="AC295" s="255" t="str">
        <f>IF(ISNUMBER(SEARCH("H", 'Dry_Litterbag Placem_Collection'!S222)),"YES","NO")</f>
        <v>NO</v>
      </c>
      <c r="AD295" s="255" t="str">
        <f>IF(ISNUMBER(SEARCH("R", 'Dry_Litterbag Placem_Collection'!S222)),"YES","NO")</f>
        <v>YES</v>
      </c>
    </row>
    <row r="296" spans="2:30">
      <c r="B296" t="str">
        <f>'Final data_for_R_analysis_Dryse'!A442</f>
        <v>Dry</v>
      </c>
      <c r="C296" s="386">
        <f>'Final data_for_R_analysis_Dryse'!B442</f>
        <v>1</v>
      </c>
      <c r="D296" t="s">
        <v>3824</v>
      </c>
      <c r="E296" t="s">
        <v>25</v>
      </c>
      <c r="F296" s="386">
        <v>1</v>
      </c>
      <c r="G296" s="388">
        <f>'Dry_Litterbag Placem_Collection'!E3</f>
        <v>42938</v>
      </c>
      <c r="H296" s="92" t="str">
        <f>'Final data_for_R_analysis_Dryse'!J442</f>
        <v>G377</v>
      </c>
      <c r="I296" s="92" t="str">
        <f>'Final data_for_R_analysis_Dryse'!J662</f>
        <v>R204</v>
      </c>
      <c r="J296" s="92">
        <f>IFERROR(INDEX('Green_rooibos initial weight'!$C$5:$C$1749,MATCH(H296, 'Green_rooibos initial weight'!$A$5:$A$1749,0)),"")</f>
        <v>2.1030000000000002</v>
      </c>
      <c r="K296" s="92">
        <f>IFERROR(INDEX('Green_rooibos initial weight'!$C$5:$C$1749,MATCH(I296, 'Green_rooibos initial weight'!$A$5:$A$1749,0)),"")</f>
        <v>2.2290000000000001</v>
      </c>
      <c r="L296" s="195">
        <f t="shared" si="30"/>
        <v>1.8532000000000002</v>
      </c>
      <c r="M296" s="195">
        <f t="shared" si="31"/>
        <v>1.9792000000000001</v>
      </c>
      <c r="N296" s="388">
        <f>IF('Dry_Litterbag Placem_Collection'!G3="N.A","",'Dry_Litterbag Placem_Collection'!G3)</f>
        <v>43007</v>
      </c>
      <c r="O296" s="195">
        <f>IF(IFERROR(INDEX('Both teabags AfterDry'!$D$1:$D$839,MATCH(H296,'Both teabags AfterDry'!$A$1:$A$839,0)),"")="N.A","",(IFERROR(INDEX('Both teabags AfterDry'!$D$1:$D$839,MATCH(H296,'Both teabags AfterDry'!$A$1:$A$839,0)),"")))</f>
        <v>1.3894</v>
      </c>
      <c r="P296" s="195">
        <f>IF(IFERROR(INDEX('Both teabags AfterDry'!$D$1:$D$839,MATCH(I296,'Both teabags AfterDry'!$A$1:$A$839,0)),"")="N.A","",(IFERROR(INDEX('Both teabags AfterDry'!$D$1:$D$839,MATCH(I296,'Both teabags AfterDry'!$A$1:$A$839,0)),"")))</f>
        <v>1.8874</v>
      </c>
      <c r="Q296" s="195">
        <f t="shared" si="32"/>
        <v>1.2387999999999999</v>
      </c>
      <c r="R296" s="195">
        <f t="shared" si="32"/>
        <v>1.7367999999999999</v>
      </c>
      <c r="S296" s="195">
        <f t="shared" si="27"/>
        <v>0.33153464278005629</v>
      </c>
      <c r="T296" s="195">
        <f t="shared" si="33"/>
        <v>0.21734812685818419</v>
      </c>
      <c r="U296" s="195">
        <f t="shared" si="28"/>
        <v>0.87752627324171373</v>
      </c>
      <c r="V296" s="92">
        <f t="shared" si="29"/>
        <v>69</v>
      </c>
      <c r="W296" s="195">
        <f t="shared" si="34"/>
        <v>0.60625339337285478</v>
      </c>
      <c r="X296" s="195">
        <f t="shared" si="35"/>
        <v>1.2013716328547849E-2</v>
      </c>
      <c r="Y296" s="255" t="str">
        <f>IF(ISNUMBER(SEARCH("C", 'Dry_Litterbag Placem_Collection'!V3)),"YES","NO")</f>
        <v>NO</v>
      </c>
      <c r="Z296" s="255" t="str">
        <f>IF(ISNUMBER(SEARCH("H", 'Dry_Litterbag Placem_Collection'!V3)),"YES","NO")</f>
        <v>NO</v>
      </c>
      <c r="AA296" s="255" t="str">
        <f>IF(ISNUMBER(SEARCH("R", 'Dry_Litterbag Placem_Collection'!V3)),"YES","NO")</f>
        <v>NO</v>
      </c>
      <c r="AB296" s="255" t="str">
        <f>IF(ISNUMBER(SEARCH("C", 'Dry_Litterbag Placem_Collection'!U3)),"YES","NO")</f>
        <v>NO</v>
      </c>
      <c r="AC296" s="255" t="str">
        <f>IF(ISNUMBER(SEARCH("H", 'Dry_Litterbag Placem_Collection'!U3)),"YES","NO")</f>
        <v>NO</v>
      </c>
      <c r="AD296" s="255" t="str">
        <f>IF(ISNUMBER(SEARCH("R", 'Dry_Litterbag Placem_Collection'!U3)),"YES","NO")</f>
        <v>YES</v>
      </c>
    </row>
    <row r="297" spans="2:30">
      <c r="B297" t="str">
        <f>'Final data_for_R_analysis_Dryse'!A443</f>
        <v>Dry</v>
      </c>
      <c r="C297" s="386">
        <f>'Final data_for_R_analysis_Dryse'!B443</f>
        <v>2</v>
      </c>
      <c r="D297" t="s">
        <v>3824</v>
      </c>
      <c r="E297" t="s">
        <v>25</v>
      </c>
      <c r="F297" s="386">
        <v>2</v>
      </c>
      <c r="G297" s="388">
        <f>'Dry_Litterbag Placem_Collection'!E4</f>
        <v>0</v>
      </c>
      <c r="H297" s="92" t="str">
        <f>'Final data_for_R_analysis_Dryse'!J443</f>
        <v/>
      </c>
      <c r="I297" s="92" t="str">
        <f>'Final data_for_R_analysis_Dryse'!J663</f>
        <v/>
      </c>
      <c r="J297" s="92" t="str">
        <f>IFERROR(INDEX('Green_rooibos initial weight'!$C$5:$C$1749,MATCH(H297, 'Green_rooibos initial weight'!$A$5:$A$1749,0)),"")</f>
        <v/>
      </c>
      <c r="K297" s="92" t="str">
        <f>IFERROR(INDEX('Green_rooibos initial weight'!$C$5:$C$1749,MATCH(I297, 'Green_rooibos initial weight'!$A$5:$A$1749,0)),"")</f>
        <v/>
      </c>
      <c r="L297" s="195" t="str">
        <f t="shared" si="30"/>
        <v/>
      </c>
      <c r="M297" s="195" t="str">
        <f t="shared" si="31"/>
        <v/>
      </c>
      <c r="N297" s="388">
        <f>IF('Dry_Litterbag Placem_Collection'!G4="N.A","",'Dry_Litterbag Placem_Collection'!G4)</f>
        <v>0</v>
      </c>
      <c r="O297" s="195" t="str">
        <f>IF(IFERROR(INDEX('Both teabags AfterDry'!$D$1:$D$839,MATCH(H297,'Both teabags AfterDry'!$A$1:$A$839,0)),"")="N.A","",(IFERROR(INDEX('Both teabags AfterDry'!$D$1:$D$839,MATCH(H297,'Both teabags AfterDry'!$A$1:$A$839,0)),"")))</f>
        <v/>
      </c>
      <c r="P297" s="195" t="str">
        <f>IF(IFERROR(INDEX('Both teabags AfterDry'!$D$1:$D$839,MATCH(I297,'Both teabags AfterDry'!$A$1:$A$839,0)),"")="N.A","",(IFERROR(INDEX('Both teabags AfterDry'!$D$1:$D$839,MATCH(I297,'Both teabags AfterDry'!$A$1:$A$839,0)),"")))</f>
        <v/>
      </c>
      <c r="Q297" s="195" t="str">
        <f t="shared" si="32"/>
        <v/>
      </c>
      <c r="R297" s="195" t="str">
        <f t="shared" si="32"/>
        <v/>
      </c>
      <c r="S297" s="195" t="str">
        <f t="shared" si="27"/>
        <v/>
      </c>
      <c r="T297" s="195" t="str">
        <f t="shared" si="33"/>
        <v/>
      </c>
      <c r="U297" s="195" t="str">
        <f t="shared" si="28"/>
        <v/>
      </c>
      <c r="V297" s="92" t="str">
        <f t="shared" si="29"/>
        <v/>
      </c>
      <c r="W297" s="195" t="str">
        <f t="shared" si="34"/>
        <v/>
      </c>
      <c r="X297" s="195" t="str">
        <f t="shared" si="35"/>
        <v/>
      </c>
      <c r="Y297" s="255" t="str">
        <f>IF(ISNUMBER(SEARCH("C", 'Dry_Litterbag Placem_Collection'!V4)),"YES","NO")</f>
        <v>NO</v>
      </c>
      <c r="Z297" s="255" t="str">
        <f>IF(ISNUMBER(SEARCH("H", 'Dry_Litterbag Placem_Collection'!V4)),"YES","NO")</f>
        <v>NO</v>
      </c>
      <c r="AA297" s="255" t="str">
        <f>IF(ISNUMBER(SEARCH("R", 'Dry_Litterbag Placem_Collection'!V4)),"YES","NO")</f>
        <v>NO</v>
      </c>
      <c r="AB297" s="255" t="str">
        <f>IF(ISNUMBER(SEARCH("C", 'Dry_Litterbag Placem_Collection'!U4)),"YES","NO")</f>
        <v>NO</v>
      </c>
      <c r="AC297" s="255" t="str">
        <f>IF(ISNUMBER(SEARCH("H", 'Dry_Litterbag Placem_Collection'!U4)),"YES","NO")</f>
        <v>NO</v>
      </c>
      <c r="AD297" s="255" t="str">
        <f>IF(ISNUMBER(SEARCH("R", 'Dry_Litterbag Placem_Collection'!U4)),"YES","NO")</f>
        <v>NO</v>
      </c>
    </row>
    <row r="298" spans="2:30">
      <c r="B298" t="str">
        <f>'Final data_for_R_analysis_Dryse'!A444</f>
        <v>Dry</v>
      </c>
      <c r="C298" s="263">
        <f>'Final data_for_R_analysis_Dryse'!B444</f>
        <v>3</v>
      </c>
      <c r="D298" t="s">
        <v>3824</v>
      </c>
      <c r="E298" t="s">
        <v>25</v>
      </c>
      <c r="F298" s="386">
        <v>3</v>
      </c>
      <c r="G298" s="16">
        <f>'Dry_Litterbag Placem_Collection'!E5</f>
        <v>42938</v>
      </c>
      <c r="H298" s="92" t="str">
        <f>'Final data_for_R_analysis_Dryse'!J444</f>
        <v>G44</v>
      </c>
      <c r="I298" t="str">
        <f>'Final data_for_R_analysis_Dryse'!J664</f>
        <v>R283</v>
      </c>
      <c r="J298">
        <f>IFERROR(INDEX('Green_rooibos initial weight'!$C$5:$C$1749,MATCH(H298, 'Green_rooibos initial weight'!$A$5:$A$1749,0)),"")</f>
        <v>2.0680000000000001</v>
      </c>
      <c r="K298">
        <f>IFERROR(INDEX('Green_rooibos initial weight'!$C$5:$C$1749,MATCH(I298, 'Green_rooibos initial weight'!$A$5:$A$1749,0)),"")</f>
        <v>2.21</v>
      </c>
      <c r="L298" s="195">
        <f t="shared" si="30"/>
        <v>1.8182</v>
      </c>
      <c r="M298" s="195">
        <f t="shared" si="31"/>
        <v>1.9601999999999999</v>
      </c>
      <c r="N298" s="16">
        <f>IF('Dry_Litterbag Placem_Collection'!G5="N.A","",'Dry_Litterbag Placem_Collection'!G5)</f>
        <v>43007</v>
      </c>
      <c r="O298" s="195">
        <f>IF(IFERROR(INDEX('Both teabags AfterDry'!$D$1:$D$839,MATCH(H298,'Both teabags AfterDry'!$A$1:$A$839,0)),"")="N.A","",(IFERROR(INDEX('Both teabags AfterDry'!$D$1:$D$839,MATCH(H298,'Both teabags AfterDry'!$A$1:$A$839,0)),"")))</f>
        <v>1.5553999999999999</v>
      </c>
      <c r="P298" s="195">
        <f>IF(IFERROR(INDEX('Both teabags AfterDry'!$D$1:$D$839,MATCH(I298,'Both teabags AfterDry'!$A$1:$A$839,0)),"")="N.A","",(IFERROR(INDEX('Both teabags AfterDry'!$D$1:$D$839,MATCH(I298,'Both teabags AfterDry'!$A$1:$A$839,0)),"")))</f>
        <v>1.9180999999999999</v>
      </c>
      <c r="Q298" s="195">
        <f t="shared" si="32"/>
        <v>1.4047999999999998</v>
      </c>
      <c r="R298" s="195">
        <f t="shared" si="32"/>
        <v>1.7674999999999998</v>
      </c>
      <c r="S298" s="195">
        <f t="shared" si="27"/>
        <v>0.22736772632273683</v>
      </c>
      <c r="T298" s="195">
        <f t="shared" si="33"/>
        <v>0.14905817687666362</v>
      </c>
      <c r="U298" s="195">
        <f t="shared" si="28"/>
        <v>0.90169370472400767</v>
      </c>
      <c r="V298">
        <f t="shared" si="29"/>
        <v>69</v>
      </c>
      <c r="W298" s="195">
        <f t="shared" si="34"/>
        <v>0.72996707087560941</v>
      </c>
      <c r="X298" s="195">
        <f t="shared" si="35"/>
        <v>1.5614318629955293E-2</v>
      </c>
      <c r="Y298" s="255" t="str">
        <f>IF(ISNUMBER(SEARCH("C", 'Dry_Litterbag Placem_Collection'!V5)),"YES","NO")</f>
        <v>NO</v>
      </c>
      <c r="Z298" s="255" t="str">
        <f>IF(ISNUMBER(SEARCH("H", 'Dry_Litterbag Placem_Collection'!V5)),"YES","NO")</f>
        <v>NO</v>
      </c>
      <c r="AA298" s="255" t="str">
        <f>IF(ISNUMBER(SEARCH("R", 'Dry_Litterbag Placem_Collection'!V5)),"YES","NO")</f>
        <v>NO</v>
      </c>
      <c r="AB298" s="255" t="str">
        <f>IF(ISNUMBER(SEARCH("C", 'Dry_Litterbag Placem_Collection'!U5)),"YES","NO")</f>
        <v>NO</v>
      </c>
      <c r="AC298" s="255" t="str">
        <f>IF(ISNUMBER(SEARCH("H", 'Dry_Litterbag Placem_Collection'!U5)),"YES","NO")</f>
        <v>NO</v>
      </c>
      <c r="AD298" s="255" t="str">
        <f>IF(ISNUMBER(SEARCH("R", 'Dry_Litterbag Placem_Collection'!U5)),"YES","NO")</f>
        <v>YES</v>
      </c>
    </row>
    <row r="299" spans="2:30">
      <c r="B299" t="str">
        <f>'Final data_for_R_analysis_Dryse'!A445</f>
        <v>Dry</v>
      </c>
      <c r="C299" s="263">
        <f>'Final data_for_R_analysis_Dryse'!B445</f>
        <v>4</v>
      </c>
      <c r="D299" t="s">
        <v>3824</v>
      </c>
      <c r="E299" t="s">
        <v>25</v>
      </c>
      <c r="F299" s="387">
        <v>4</v>
      </c>
      <c r="G299" s="16">
        <f>'Dry_Litterbag Placem_Collection'!E6</f>
        <v>42938</v>
      </c>
      <c r="H299" s="92" t="str">
        <f>'Final data_for_R_analysis_Dryse'!J445</f>
        <v>G357</v>
      </c>
      <c r="I299" t="str">
        <f>'Final data_for_R_analysis_Dryse'!J665</f>
        <v>R298</v>
      </c>
      <c r="J299">
        <f>IFERROR(INDEX('Green_rooibos initial weight'!$C$5:$C$1749,MATCH(H299, 'Green_rooibos initial weight'!$A$5:$A$1749,0)),"")</f>
        <v>1.996</v>
      </c>
      <c r="K299">
        <f>IFERROR(INDEX('Green_rooibos initial weight'!$C$5:$C$1749,MATCH(I299, 'Green_rooibos initial weight'!$A$5:$A$1749,0)),"")</f>
        <v>2.2229999999999999</v>
      </c>
      <c r="L299" s="195">
        <f t="shared" si="30"/>
        <v>1.7462</v>
      </c>
      <c r="M299" s="195">
        <f t="shared" si="31"/>
        <v>1.9731999999999998</v>
      </c>
      <c r="N299" s="16">
        <f>IF('Dry_Litterbag Placem_Collection'!G6="N.A","",'Dry_Litterbag Placem_Collection'!G6)</f>
        <v>43007</v>
      </c>
      <c r="O299" s="195">
        <f>IF(IFERROR(INDEX('Both teabags AfterDry'!$D$1:$D$839,MATCH(H299,'Both teabags AfterDry'!$A$1:$A$839,0)),"")="N.A","",(IFERROR(INDEX('Both teabags AfterDry'!$D$1:$D$839,MATCH(H299,'Both teabags AfterDry'!$A$1:$A$839,0)),"")))</f>
        <v>1.6417999999999999</v>
      </c>
      <c r="P299" s="195">
        <f>IF(IFERROR(INDEX('Both teabags AfterDry'!$D$1:$D$839,MATCH(I299,'Both teabags AfterDry'!$A$1:$A$839,0)),"")="N.A","",(IFERROR(INDEX('Both teabags AfterDry'!$D$1:$D$839,MATCH(I299,'Both teabags AfterDry'!$A$1:$A$839,0)),"")))</f>
        <v>1.9487000000000001</v>
      </c>
      <c r="Q299" s="195">
        <f t="shared" si="32"/>
        <v>1.4911999999999999</v>
      </c>
      <c r="R299" s="195">
        <f t="shared" si="32"/>
        <v>1.7981</v>
      </c>
      <c r="S299" s="195">
        <f t="shared" si="27"/>
        <v>0.14603138243042046</v>
      </c>
      <c r="T299" s="195">
        <f t="shared" si="33"/>
        <v>9.5735538125406305E-2</v>
      </c>
      <c r="U299" s="195">
        <f t="shared" si="28"/>
        <v>0.91126089600648696</v>
      </c>
      <c r="V299">
        <f t="shared" si="29"/>
        <v>69</v>
      </c>
      <c r="W299" s="195">
        <f t="shared" si="34"/>
        <v>0.82656605412064077</v>
      </c>
      <c r="X299" s="195">
        <f t="shared" si="35"/>
        <v>3.7915782163276145E-2</v>
      </c>
      <c r="Y299" s="255" t="str">
        <f>IF(ISNUMBER(SEARCH("C", 'Dry_Litterbag Placem_Collection'!V6)),"YES","NO")</f>
        <v>NO</v>
      </c>
      <c r="Z299" s="255" t="str">
        <f>IF(ISNUMBER(SEARCH("H", 'Dry_Litterbag Placem_Collection'!V6)),"YES","NO")</f>
        <v>NO</v>
      </c>
      <c r="AA299" s="255" t="str">
        <f>IF(ISNUMBER(SEARCH("R", 'Dry_Litterbag Placem_Collection'!V6)),"YES","NO")</f>
        <v>NO</v>
      </c>
      <c r="AB299" s="255" t="str">
        <f>IF(ISNUMBER(SEARCH("C", 'Dry_Litterbag Placem_Collection'!U6)),"YES","NO")</f>
        <v>NO</v>
      </c>
      <c r="AC299" s="255" t="str">
        <f>IF(ISNUMBER(SEARCH("H", 'Dry_Litterbag Placem_Collection'!U6)),"YES","NO")</f>
        <v>NO</v>
      </c>
      <c r="AD299" s="255" t="str">
        <f>IF(ISNUMBER(SEARCH("R", 'Dry_Litterbag Placem_Collection'!U6)),"YES","NO")</f>
        <v>NO</v>
      </c>
    </row>
    <row r="300" spans="2:30">
      <c r="B300" t="str">
        <f>'Final data_for_R_analysis_Dryse'!A446</f>
        <v>Dry</v>
      </c>
      <c r="C300" s="263">
        <f>'Final data_for_R_analysis_Dryse'!B446</f>
        <v>5</v>
      </c>
      <c r="D300" t="s">
        <v>3824</v>
      </c>
      <c r="E300" t="s">
        <v>25</v>
      </c>
      <c r="F300" s="387">
        <v>5</v>
      </c>
      <c r="G300" s="16">
        <f>'Dry_Litterbag Placem_Collection'!E7</f>
        <v>42938</v>
      </c>
      <c r="H300" s="92" t="str">
        <f>'Final data_for_R_analysis_Dryse'!J446</f>
        <v>G734</v>
      </c>
      <c r="I300" t="str">
        <f>'Final data_for_R_analysis_Dryse'!J666</f>
        <v>R226</v>
      </c>
      <c r="J300">
        <f>IFERROR(INDEX('Green_rooibos initial weight'!$C$5:$C$1749,MATCH(H300, 'Green_rooibos initial weight'!$A$5:$A$1749,0)),"")</f>
        <v>1.9870000000000001</v>
      </c>
      <c r="K300">
        <f>IFERROR(INDEX('Green_rooibos initial weight'!$C$5:$C$1749,MATCH(I300, 'Green_rooibos initial weight'!$A$5:$A$1749,0)),"")</f>
        <v>2.2410000000000001</v>
      </c>
      <c r="L300" s="195">
        <f t="shared" si="30"/>
        <v>1.7372000000000001</v>
      </c>
      <c r="M300" s="195">
        <f t="shared" si="31"/>
        <v>1.9912000000000001</v>
      </c>
      <c r="N300" s="16">
        <f>IF('Dry_Litterbag Placem_Collection'!G7="N.A","",'Dry_Litterbag Placem_Collection'!G7)</f>
        <v>0</v>
      </c>
      <c r="O300" s="195" t="str">
        <f>IF(IFERROR(INDEX('Both teabags AfterDry'!$D$1:$D$839,MATCH(H300,'Both teabags AfterDry'!$A$1:$A$839,0)),"")="N.A","",(IFERROR(INDEX('Both teabags AfterDry'!$D$1:$D$839,MATCH(H300,'Both teabags AfterDry'!$A$1:$A$839,0)),"")))</f>
        <v/>
      </c>
      <c r="P300" s="195" t="str">
        <f>IF(IFERROR(INDEX('Both teabags AfterDry'!$D$1:$D$839,MATCH(I300,'Both teabags AfterDry'!$A$1:$A$839,0)),"")="N.A","",(IFERROR(INDEX('Both teabags AfterDry'!$D$1:$D$839,MATCH(I300,'Both teabags AfterDry'!$A$1:$A$839,0)),"")))</f>
        <v/>
      </c>
      <c r="Q300" s="195" t="str">
        <f t="shared" si="32"/>
        <v/>
      </c>
      <c r="R300" s="195" t="str">
        <f t="shared" si="32"/>
        <v/>
      </c>
      <c r="S300" s="195" t="str">
        <f t="shared" si="27"/>
        <v/>
      </c>
      <c r="T300" s="195" t="str">
        <f t="shared" si="33"/>
        <v/>
      </c>
      <c r="U300" s="195" t="str">
        <f t="shared" si="28"/>
        <v/>
      </c>
      <c r="V300" t="str">
        <f t="shared" si="29"/>
        <v/>
      </c>
      <c r="W300" s="195" t="str">
        <f t="shared" si="34"/>
        <v/>
      </c>
      <c r="X300" s="195" t="str">
        <f t="shared" si="35"/>
        <v/>
      </c>
      <c r="Y300" s="255" t="str">
        <f>IF(ISNUMBER(SEARCH("C", 'Dry_Litterbag Placem_Collection'!V7)),"YES","NO")</f>
        <v>NO</v>
      </c>
      <c r="Z300" s="255" t="str">
        <f>IF(ISNUMBER(SEARCH("H", 'Dry_Litterbag Placem_Collection'!V7)),"YES","NO")</f>
        <v>NO</v>
      </c>
      <c r="AA300" s="255" t="str">
        <f>IF(ISNUMBER(SEARCH("R", 'Dry_Litterbag Placem_Collection'!V7)),"YES","NO")</f>
        <v>NO</v>
      </c>
      <c r="AB300" s="255" t="str">
        <f>IF(ISNUMBER(SEARCH("C", 'Dry_Litterbag Placem_Collection'!U7)),"YES","NO")</f>
        <v>NO</v>
      </c>
      <c r="AC300" s="255" t="str">
        <f>IF(ISNUMBER(SEARCH("H", 'Dry_Litterbag Placem_Collection'!U7)),"YES","NO")</f>
        <v>NO</v>
      </c>
      <c r="AD300" s="255" t="str">
        <f>IF(ISNUMBER(SEARCH("R", 'Dry_Litterbag Placem_Collection'!U7)),"YES","NO")</f>
        <v>NO</v>
      </c>
    </row>
    <row r="301" spans="2:30">
      <c r="B301" t="str">
        <f>'Final data_for_R_analysis_Dryse'!A447</f>
        <v>Dry</v>
      </c>
      <c r="C301" s="263">
        <f>'Final data_for_R_analysis_Dryse'!B447</f>
        <v>6</v>
      </c>
      <c r="D301" t="s">
        <v>3824</v>
      </c>
      <c r="E301" t="s">
        <v>25</v>
      </c>
      <c r="F301" s="387">
        <v>6</v>
      </c>
      <c r="G301" s="16">
        <f>'Dry_Litterbag Placem_Collection'!E8</f>
        <v>42938</v>
      </c>
      <c r="H301" s="92" t="str">
        <f>'Final data_for_R_analysis_Dryse'!J447</f>
        <v>G164</v>
      </c>
      <c r="I301" t="str">
        <f>'Final data_for_R_analysis_Dryse'!J667</f>
        <v>R286</v>
      </c>
      <c r="J301">
        <f>IFERROR(INDEX('Green_rooibos initial weight'!$C$5:$C$1749,MATCH(H301, 'Green_rooibos initial weight'!$A$5:$A$1749,0)),"")</f>
        <v>1.994</v>
      </c>
      <c r="K301">
        <f>IFERROR(INDEX('Green_rooibos initial weight'!$C$5:$C$1749,MATCH(I301, 'Green_rooibos initial weight'!$A$5:$A$1749,0)),"")</f>
        <v>2.2160000000000002</v>
      </c>
      <c r="L301" s="195">
        <f t="shared" si="30"/>
        <v>1.7442</v>
      </c>
      <c r="M301" s="195">
        <f t="shared" si="31"/>
        <v>1.9662000000000002</v>
      </c>
      <c r="N301" s="16">
        <f>IF('Dry_Litterbag Placem_Collection'!G8="N.A","",'Dry_Litterbag Placem_Collection'!G8)</f>
        <v>43007</v>
      </c>
      <c r="O301" s="195" t="str">
        <f>IF(IFERROR(INDEX('Both teabags AfterDry'!$D$1:$D$839,MATCH(H301,'Both teabags AfterDry'!$A$1:$A$839,0)),"")="N.A","",(IFERROR(INDEX('Both teabags AfterDry'!$D$1:$D$839,MATCH(H301,'Both teabags AfterDry'!$A$1:$A$839,0)),"")))</f>
        <v/>
      </c>
      <c r="P301" s="195" t="str">
        <f>IF(IFERROR(INDEX('Both teabags AfterDry'!$D$1:$D$839,MATCH(I301,'Both teabags AfterDry'!$A$1:$A$839,0)),"")="N.A","",(IFERROR(INDEX('Both teabags AfterDry'!$D$1:$D$839,MATCH(I301,'Both teabags AfterDry'!$A$1:$A$839,0)),"")))</f>
        <v/>
      </c>
      <c r="Q301" s="195" t="str">
        <f t="shared" si="32"/>
        <v/>
      </c>
      <c r="R301" s="195" t="str">
        <f t="shared" si="32"/>
        <v/>
      </c>
      <c r="S301" s="195" t="str">
        <f t="shared" si="27"/>
        <v/>
      </c>
      <c r="T301" s="195" t="str">
        <f t="shared" si="33"/>
        <v/>
      </c>
      <c r="U301" s="195" t="str">
        <f t="shared" si="28"/>
        <v/>
      </c>
      <c r="V301">
        <f t="shared" si="29"/>
        <v>69</v>
      </c>
      <c r="W301" s="195" t="str">
        <f t="shared" si="34"/>
        <v/>
      </c>
      <c r="X301" s="195" t="str">
        <f t="shared" si="35"/>
        <v/>
      </c>
      <c r="Y301" s="255" t="str">
        <f>IF(ISNUMBER(SEARCH("C", 'Dry_Litterbag Placem_Collection'!V8)),"YES","NO")</f>
        <v>NO</v>
      </c>
      <c r="Z301" s="255" t="str">
        <f>IF(ISNUMBER(SEARCH("H", 'Dry_Litterbag Placem_Collection'!V8)),"YES","NO")</f>
        <v>NO</v>
      </c>
      <c r="AA301" s="255" t="str">
        <f>IF(ISNUMBER(SEARCH("R", 'Dry_Litterbag Placem_Collection'!V8)),"YES","NO")</f>
        <v>NO</v>
      </c>
      <c r="AB301" s="255" t="str">
        <f>IF(ISNUMBER(SEARCH("C", 'Dry_Litterbag Placem_Collection'!U8)),"YES","NO")</f>
        <v>NO</v>
      </c>
      <c r="AC301" s="255" t="str">
        <f>IF(ISNUMBER(SEARCH("H", 'Dry_Litterbag Placem_Collection'!U8)),"YES","NO")</f>
        <v>NO</v>
      </c>
      <c r="AD301" s="255" t="str">
        <f>IF(ISNUMBER(SEARCH("R", 'Dry_Litterbag Placem_Collection'!U8)),"YES","NO")</f>
        <v>NO</v>
      </c>
    </row>
    <row r="302" spans="2:30">
      <c r="B302" t="str">
        <f>'Final data_for_R_analysis_Dryse'!A448</f>
        <v>Dry</v>
      </c>
      <c r="C302" s="263">
        <f>'Final data_for_R_analysis_Dryse'!B448</f>
        <v>7</v>
      </c>
      <c r="D302" t="s">
        <v>3824</v>
      </c>
      <c r="E302" t="s">
        <v>25</v>
      </c>
      <c r="F302" s="387">
        <v>7</v>
      </c>
      <c r="G302" s="16">
        <f>'Dry_Litterbag Placem_Collection'!E9</f>
        <v>42938</v>
      </c>
      <c r="H302" s="92" t="str">
        <f>'Final data_for_R_analysis_Dryse'!J448</f>
        <v>G776</v>
      </c>
      <c r="I302" t="str">
        <f>'Final data_for_R_analysis_Dryse'!J668</f>
        <v>R210</v>
      </c>
      <c r="J302">
        <f>IFERROR(INDEX('Green_rooibos initial weight'!$C$5:$C$1749,MATCH(H302, 'Green_rooibos initial weight'!$A$5:$A$1749,0)),"")</f>
        <v>1.9790000000000001</v>
      </c>
      <c r="K302">
        <f>IFERROR(INDEX('Green_rooibos initial weight'!$C$5:$C$1749,MATCH(I302, 'Green_rooibos initial weight'!$A$5:$A$1749,0)),"")</f>
        <v>2.2429999999999999</v>
      </c>
      <c r="L302" s="195">
        <f t="shared" si="30"/>
        <v>1.7292000000000001</v>
      </c>
      <c r="M302" s="195">
        <f t="shared" si="31"/>
        <v>1.9931999999999999</v>
      </c>
      <c r="N302" s="16">
        <f>IF('Dry_Litterbag Placem_Collection'!G9="N.A","",'Dry_Litterbag Placem_Collection'!G9)</f>
        <v>43007</v>
      </c>
      <c r="O302" s="195">
        <f>IF(IFERROR(INDEX('Both teabags AfterDry'!$D$1:$D$839,MATCH(H302,'Both teabags AfterDry'!$A$1:$A$839,0)),"")="N.A","",(IFERROR(INDEX('Both teabags AfterDry'!$D$1:$D$839,MATCH(H302,'Both teabags AfterDry'!$A$1:$A$839,0)),"")))</f>
        <v>1.8093999999999999</v>
      </c>
      <c r="P302" s="195">
        <f>IF(IFERROR(INDEX('Both teabags AfterDry'!$D$1:$D$839,MATCH(I302,'Both teabags AfterDry'!$A$1:$A$839,0)),"")="N.A","",(IFERROR(INDEX('Both teabags AfterDry'!$D$1:$D$839,MATCH(I302,'Both teabags AfterDry'!$A$1:$A$839,0)),"")))</f>
        <v>2.0261</v>
      </c>
      <c r="Q302" s="195">
        <f t="shared" si="32"/>
        <v>1.6587999999999998</v>
      </c>
      <c r="R302" s="195">
        <f t="shared" si="32"/>
        <v>1.8754999999999999</v>
      </c>
      <c r="S302" s="195">
        <f t="shared" si="27"/>
        <v>4.0712468193384366E-2</v>
      </c>
      <c r="T302" s="195">
        <f t="shared" si="33"/>
        <v>2.6690359195662917E-2</v>
      </c>
      <c r="U302" s="195">
        <f t="shared" si="28"/>
        <v>0.94094922737306852</v>
      </c>
      <c r="V302">
        <f t="shared" si="29"/>
        <v>69</v>
      </c>
      <c r="W302" s="195">
        <f t="shared" si="34"/>
        <v>0.95164790000785704</v>
      </c>
      <c r="X302" s="195" t="str">
        <f t="shared" si="35"/>
        <v/>
      </c>
      <c r="Y302" s="255" t="str">
        <f>IF(ISNUMBER(SEARCH("C", 'Dry_Litterbag Placem_Collection'!V9)),"YES","NO")</f>
        <v>NO</v>
      </c>
      <c r="Z302" s="255" t="str">
        <f>IF(ISNUMBER(SEARCH("H", 'Dry_Litterbag Placem_Collection'!V9)),"YES","NO")</f>
        <v>NO</v>
      </c>
      <c r="AA302" s="255" t="str">
        <f>IF(ISNUMBER(SEARCH("R", 'Dry_Litterbag Placem_Collection'!V9)),"YES","NO")</f>
        <v>NO</v>
      </c>
      <c r="AB302" s="255" t="str">
        <f>IF(ISNUMBER(SEARCH("C", 'Dry_Litterbag Placem_Collection'!U9)),"YES","NO")</f>
        <v>NO</v>
      </c>
      <c r="AC302" s="255" t="str">
        <f>IF(ISNUMBER(SEARCH("H", 'Dry_Litterbag Placem_Collection'!U9)),"YES","NO")</f>
        <v>NO</v>
      </c>
      <c r="AD302" s="255" t="str">
        <f>IF(ISNUMBER(SEARCH("R", 'Dry_Litterbag Placem_Collection'!U9)),"YES","NO")</f>
        <v>NO</v>
      </c>
    </row>
    <row r="303" spans="2:30">
      <c r="B303" t="str">
        <f>'Final data_for_R_analysis_Dryse'!A449</f>
        <v>Dry</v>
      </c>
      <c r="C303" s="263">
        <f>'Final data_for_R_analysis_Dryse'!B449</f>
        <v>8</v>
      </c>
      <c r="D303" t="s">
        <v>3824</v>
      </c>
      <c r="E303" t="s">
        <v>25</v>
      </c>
      <c r="F303" s="387">
        <v>8</v>
      </c>
      <c r="G303" s="16">
        <f>'Dry_Litterbag Placem_Collection'!E10</f>
        <v>42938</v>
      </c>
      <c r="H303" s="92" t="str">
        <f>'Final data_for_R_analysis_Dryse'!J449</f>
        <v>G23</v>
      </c>
      <c r="I303" t="str">
        <f>'Final data_for_R_analysis_Dryse'!J669</f>
        <v>R213</v>
      </c>
      <c r="J303">
        <f>IFERROR(INDEX('Green_rooibos initial weight'!$C$5:$C$1749,MATCH(H303, 'Green_rooibos initial weight'!$A$5:$A$1749,0)),"")</f>
        <v>2.0750000000000002</v>
      </c>
      <c r="K303">
        <f>IFERROR(INDEX('Green_rooibos initial weight'!$C$5:$C$1749,MATCH(I303, 'Green_rooibos initial weight'!$A$5:$A$1749,0)),"")</f>
        <v>2.254</v>
      </c>
      <c r="L303" s="195">
        <f t="shared" si="30"/>
        <v>1.8252000000000002</v>
      </c>
      <c r="M303" s="195">
        <f t="shared" si="31"/>
        <v>2.0042</v>
      </c>
      <c r="N303" s="16">
        <f>IF('Dry_Litterbag Placem_Collection'!G10="N.A","",'Dry_Litterbag Placem_Collection'!G10)</f>
        <v>43007</v>
      </c>
      <c r="O303" s="195">
        <f>IF(IFERROR(INDEX('Both teabags AfterDry'!$D$1:$D$839,MATCH(H303,'Both teabags AfterDry'!$A$1:$A$839,0)),"")="N.A","",(IFERROR(INDEX('Both teabags AfterDry'!$D$1:$D$839,MATCH(H303,'Both teabags AfterDry'!$A$1:$A$839,0)),"")))</f>
        <v>0.94159999999999999</v>
      </c>
      <c r="P303" s="195">
        <f>IF(IFERROR(INDEX('Both teabags AfterDry'!$D$1:$D$839,MATCH(I303,'Both teabags AfterDry'!$A$1:$A$839,0)),"")="N.A","",(IFERROR(INDEX('Both teabags AfterDry'!$D$1:$D$839,MATCH(I303,'Both teabags AfterDry'!$A$1:$A$839,0)),"")))</f>
        <v>1.7698</v>
      </c>
      <c r="Q303" s="195">
        <f t="shared" si="32"/>
        <v>0.79099999999999993</v>
      </c>
      <c r="R303" s="195">
        <f t="shared" si="32"/>
        <v>1.6192</v>
      </c>
      <c r="S303" s="195">
        <f t="shared" si="27"/>
        <v>0.56662283585360518</v>
      </c>
      <c r="T303" s="195">
        <f t="shared" si="33"/>
        <v>0.37146770236483384</v>
      </c>
      <c r="U303" s="195">
        <f t="shared" si="28"/>
        <v>0.80790340285400652</v>
      </c>
      <c r="V303">
        <f t="shared" si="29"/>
        <v>69</v>
      </c>
      <c r="W303" s="195">
        <f t="shared" si="34"/>
        <v>0.32705126383182281</v>
      </c>
      <c r="X303" s="195">
        <f t="shared" si="35"/>
        <v>1.0550797807439484E-2</v>
      </c>
      <c r="Y303" s="255" t="str">
        <f>IF(ISNUMBER(SEARCH("C", 'Dry_Litterbag Placem_Collection'!V10)),"YES","NO")</f>
        <v>NO</v>
      </c>
      <c r="Z303" s="255" t="str">
        <f>IF(ISNUMBER(SEARCH("H", 'Dry_Litterbag Placem_Collection'!V10)),"YES","NO")</f>
        <v>NO</v>
      </c>
      <c r="AA303" s="255" t="str">
        <f>IF(ISNUMBER(SEARCH("R", 'Dry_Litterbag Placem_Collection'!V10)),"YES","NO")</f>
        <v>NO</v>
      </c>
      <c r="AB303" s="255" t="str">
        <f>IF(ISNUMBER(SEARCH("C", 'Dry_Litterbag Placem_Collection'!U10)),"YES","NO")</f>
        <v>NO</v>
      </c>
      <c r="AC303" s="255" t="str">
        <f>IF(ISNUMBER(SEARCH("H", 'Dry_Litterbag Placem_Collection'!U10)),"YES","NO")</f>
        <v>NO</v>
      </c>
      <c r="AD303" s="255" t="str">
        <f>IF(ISNUMBER(SEARCH("R", 'Dry_Litterbag Placem_Collection'!U10)),"YES","NO")</f>
        <v>YES</v>
      </c>
    </row>
    <row r="304" spans="2:30">
      <c r="B304" t="str">
        <f>'Final data_for_R_analysis_Dryse'!A450</f>
        <v>Dry</v>
      </c>
      <c r="C304" s="263">
        <f>'Final data_for_R_analysis_Dryse'!B450</f>
        <v>9</v>
      </c>
      <c r="D304" t="s">
        <v>3828</v>
      </c>
      <c r="E304" t="s">
        <v>25</v>
      </c>
      <c r="F304" s="386">
        <v>1</v>
      </c>
      <c r="G304" s="16">
        <f>'Dry_Litterbag Placem_Collection'!E11</f>
        <v>42938</v>
      </c>
      <c r="H304" s="92" t="str">
        <f>'Final data_for_R_analysis_Dryse'!J450</f>
        <v>G570</v>
      </c>
      <c r="I304" t="str">
        <f>'Final data_for_R_analysis_Dryse'!J670</f>
        <v>R704</v>
      </c>
      <c r="J304">
        <f>IFERROR(INDEX('Green_rooibos initial weight'!$C$5:$C$1749,MATCH(H304, 'Green_rooibos initial weight'!$A$5:$A$1749,0)),"")</f>
        <v>2.1040000000000001</v>
      </c>
      <c r="K304">
        <f>IFERROR(INDEX('Green_rooibos initial weight'!$C$5:$C$1749,MATCH(I304, 'Green_rooibos initial weight'!$A$5:$A$1749,0)),"")</f>
        <v>2.1480000000000001</v>
      </c>
      <c r="L304" s="195">
        <f t="shared" si="30"/>
        <v>1.8542000000000001</v>
      </c>
      <c r="M304" s="195">
        <f t="shared" si="31"/>
        <v>1.8982000000000001</v>
      </c>
      <c r="N304" s="16">
        <f>IF('Dry_Litterbag Placem_Collection'!G11="N.A","",'Dry_Litterbag Placem_Collection'!G11)</f>
        <v>43007</v>
      </c>
      <c r="O304" s="195">
        <f>IF(IFERROR(INDEX('Both teabags AfterDry'!$D$1:$D$839,MATCH(H304,'Both teabags AfterDry'!$A$1:$A$839,0)),"")="N.A","",(IFERROR(INDEX('Both teabags AfterDry'!$D$1:$D$839,MATCH(H304,'Both teabags AfterDry'!$A$1:$A$839,0)),"")))</f>
        <v>1.9100999999999999</v>
      </c>
      <c r="P304" s="195">
        <f>IF(IFERROR(INDEX('Both teabags AfterDry'!$D$1:$D$839,MATCH(I304,'Both teabags AfterDry'!$A$1:$A$839,0)),"")="N.A","",(IFERROR(INDEX('Both teabags AfterDry'!$D$1:$D$839,MATCH(I304,'Both teabags AfterDry'!$A$1:$A$839,0)),"")))</f>
        <v>1.9311</v>
      </c>
      <c r="Q304" s="195">
        <f t="shared" si="32"/>
        <v>1.7594999999999998</v>
      </c>
      <c r="R304" s="195">
        <f t="shared" si="32"/>
        <v>1.7805</v>
      </c>
      <c r="S304" s="195">
        <f t="shared" si="27"/>
        <v>5.1073239132779724E-2</v>
      </c>
      <c r="T304" s="195">
        <f t="shared" si="33"/>
        <v>3.3482693588235621E-2</v>
      </c>
      <c r="U304" s="195">
        <f t="shared" si="28"/>
        <v>0.93799388894742386</v>
      </c>
      <c r="V304">
        <f t="shared" si="29"/>
        <v>69</v>
      </c>
      <c r="W304" s="195">
        <f t="shared" si="34"/>
        <v>0.93934294639812388</v>
      </c>
      <c r="X304" s="195" t="str">
        <f t="shared" si="35"/>
        <v/>
      </c>
      <c r="Y304" s="255" t="str">
        <f>IF(ISNUMBER(SEARCH("C", 'Dry_Litterbag Placem_Collection'!V11)),"YES","NO")</f>
        <v>NO</v>
      </c>
      <c r="Z304" s="255" t="str">
        <f>IF(ISNUMBER(SEARCH("H", 'Dry_Litterbag Placem_Collection'!V11)),"YES","NO")</f>
        <v>NO</v>
      </c>
      <c r="AA304" s="255" t="str">
        <f>IF(ISNUMBER(SEARCH("R", 'Dry_Litterbag Placem_Collection'!V11)),"YES","NO")</f>
        <v>NO</v>
      </c>
      <c r="AB304" s="255" t="str">
        <f>IF(ISNUMBER(SEARCH("C", 'Dry_Litterbag Placem_Collection'!U11)),"YES","NO")</f>
        <v>NO</v>
      </c>
      <c r="AC304" s="255" t="str">
        <f>IF(ISNUMBER(SEARCH("H", 'Dry_Litterbag Placem_Collection'!U11)),"YES","NO")</f>
        <v>NO</v>
      </c>
      <c r="AD304" s="255" t="str">
        <f>IF(ISNUMBER(SEARCH("R", 'Dry_Litterbag Placem_Collection'!U11)),"YES","NO")</f>
        <v>NO</v>
      </c>
    </row>
    <row r="305" spans="2:30">
      <c r="B305" t="str">
        <f>'Final data_for_R_analysis_Dryse'!A451</f>
        <v>Dry</v>
      </c>
      <c r="C305" s="263">
        <f>'Final data_for_R_analysis_Dryse'!B451</f>
        <v>10</v>
      </c>
      <c r="D305" t="s">
        <v>3828</v>
      </c>
      <c r="E305" t="s">
        <v>25</v>
      </c>
      <c r="F305" s="386">
        <v>2</v>
      </c>
      <c r="G305" s="16">
        <f>'Dry_Litterbag Placem_Collection'!E12</f>
        <v>42938</v>
      </c>
      <c r="H305" s="92" t="str">
        <f>'Final data_for_R_analysis_Dryse'!J451</f>
        <v>G642</v>
      </c>
      <c r="I305" t="str">
        <f>'Final data_for_R_analysis_Dryse'!J671</f>
        <v>R355</v>
      </c>
      <c r="J305">
        <f>IFERROR(INDEX('Green_rooibos initial weight'!$C$5:$C$1749,MATCH(H305, 'Green_rooibos initial weight'!$A$5:$A$1749,0)),"")</f>
        <v>2.1269999999999998</v>
      </c>
      <c r="K305">
        <f>IFERROR(INDEX('Green_rooibos initial weight'!$C$5:$C$1749,MATCH(I305, 'Green_rooibos initial weight'!$A$5:$A$1749,0)),"")</f>
        <v>2.1850000000000001</v>
      </c>
      <c r="L305" s="195">
        <f t="shared" si="30"/>
        <v>1.8771999999999998</v>
      </c>
      <c r="M305" s="195">
        <f t="shared" si="31"/>
        <v>1.9352</v>
      </c>
      <c r="N305" s="16">
        <f>IF('Dry_Litterbag Placem_Collection'!G12="N.A","",'Dry_Litterbag Placem_Collection'!G12)</f>
        <v>0</v>
      </c>
      <c r="O305" s="195" t="str">
        <f>IF(IFERROR(INDEX('Both teabags AfterDry'!$D$1:$D$839,MATCH(H305,'Both teabags AfterDry'!$A$1:$A$839,0)),"")="N.A","",(IFERROR(INDEX('Both teabags AfterDry'!$D$1:$D$839,MATCH(H305,'Both teabags AfterDry'!$A$1:$A$839,0)),"")))</f>
        <v/>
      </c>
      <c r="P305" s="195" t="str">
        <f>IF(IFERROR(INDEX('Both teabags AfterDry'!$D$1:$D$839,MATCH(I305,'Both teabags AfterDry'!$A$1:$A$839,0)),"")="N.A","",(IFERROR(INDEX('Both teabags AfterDry'!$D$1:$D$839,MATCH(I305,'Both teabags AfterDry'!$A$1:$A$839,0)),"")))</f>
        <v/>
      </c>
      <c r="Q305" s="195" t="str">
        <f t="shared" si="32"/>
        <v/>
      </c>
      <c r="R305" s="195" t="str">
        <f t="shared" si="32"/>
        <v/>
      </c>
      <c r="S305" s="195" t="str">
        <f t="shared" si="27"/>
        <v/>
      </c>
      <c r="T305" s="195" t="str">
        <f t="shared" si="33"/>
        <v/>
      </c>
      <c r="U305" s="195" t="str">
        <f t="shared" si="28"/>
        <v/>
      </c>
      <c r="V305" t="str">
        <f t="shared" si="29"/>
        <v/>
      </c>
      <c r="W305" s="195" t="str">
        <f t="shared" si="34"/>
        <v/>
      </c>
      <c r="X305" s="195" t="str">
        <f t="shared" si="35"/>
        <v/>
      </c>
      <c r="Y305" s="255" t="str">
        <f>IF(ISNUMBER(SEARCH("C", 'Dry_Litterbag Placem_Collection'!V12)),"YES","NO")</f>
        <v>NO</v>
      </c>
      <c r="Z305" s="255" t="str">
        <f>IF(ISNUMBER(SEARCH("H", 'Dry_Litterbag Placem_Collection'!V12)),"YES","NO")</f>
        <v>NO</v>
      </c>
      <c r="AA305" s="255" t="str">
        <f>IF(ISNUMBER(SEARCH("R", 'Dry_Litterbag Placem_Collection'!V12)),"YES","NO")</f>
        <v>NO</v>
      </c>
      <c r="AB305" s="255" t="str">
        <f>IF(ISNUMBER(SEARCH("C", 'Dry_Litterbag Placem_Collection'!U12)),"YES","NO")</f>
        <v>NO</v>
      </c>
      <c r="AC305" s="255" t="str">
        <f>IF(ISNUMBER(SEARCH("H", 'Dry_Litterbag Placem_Collection'!U12)),"YES","NO")</f>
        <v>NO</v>
      </c>
      <c r="AD305" s="255" t="str">
        <f>IF(ISNUMBER(SEARCH("R", 'Dry_Litterbag Placem_Collection'!U12)),"YES","NO")</f>
        <v>NO</v>
      </c>
    </row>
    <row r="306" spans="2:30">
      <c r="B306" t="str">
        <f>'Final data_for_R_analysis_Dryse'!A452</f>
        <v>Dry</v>
      </c>
      <c r="C306" s="263">
        <f>'Final data_for_R_analysis_Dryse'!B452</f>
        <v>11</v>
      </c>
      <c r="D306" t="s">
        <v>3828</v>
      </c>
      <c r="E306" t="s">
        <v>25</v>
      </c>
      <c r="F306" s="386">
        <v>3</v>
      </c>
      <c r="G306" s="16">
        <f>'Dry_Litterbag Placem_Collection'!E13</f>
        <v>42938</v>
      </c>
      <c r="H306" s="92" t="str">
        <f>'Final data_for_R_analysis_Dryse'!J452</f>
        <v>G663</v>
      </c>
      <c r="I306" t="str">
        <f>'Final data_for_R_analysis_Dryse'!J672</f>
        <v>R616</v>
      </c>
      <c r="J306">
        <f>IFERROR(INDEX('Green_rooibos initial weight'!$C$5:$C$1749,MATCH(H306, 'Green_rooibos initial weight'!$A$5:$A$1749,0)),"")</f>
        <v>2.0760000000000001</v>
      </c>
      <c r="K306">
        <f>IFERROR(INDEX('Green_rooibos initial weight'!$C$5:$C$1749,MATCH(I306, 'Green_rooibos initial weight'!$A$5:$A$1749,0)),"")</f>
        <v>2.1739999999999999</v>
      </c>
      <c r="L306" s="195">
        <f t="shared" si="30"/>
        <v>1.8262</v>
      </c>
      <c r="M306" s="195">
        <f t="shared" si="31"/>
        <v>1.9241999999999999</v>
      </c>
      <c r="N306" s="16">
        <f>IF('Dry_Litterbag Placem_Collection'!G13="N.A","",'Dry_Litterbag Placem_Collection'!G13)</f>
        <v>43007</v>
      </c>
      <c r="O306" s="195">
        <f>IF(IFERROR(INDEX('Both teabags AfterDry'!$D$1:$D$839,MATCH(H306,'Both teabags AfterDry'!$A$1:$A$839,0)),"")="N.A","",(IFERROR(INDEX('Both teabags AfterDry'!$D$1:$D$839,MATCH(H306,'Both teabags AfterDry'!$A$1:$A$839,0)),"")))</f>
        <v>1.6718</v>
      </c>
      <c r="P306" s="195">
        <f>IF(IFERROR(INDEX('Both teabags AfterDry'!$D$1:$D$839,MATCH(I306,'Both teabags AfterDry'!$A$1:$A$839,0)),"")="N.A","",(IFERROR(INDEX('Both teabags AfterDry'!$D$1:$D$839,MATCH(I306,'Both teabags AfterDry'!$A$1:$A$839,0)),"")))</f>
        <v>1.9423999999999999</v>
      </c>
      <c r="Q306" s="195">
        <f t="shared" si="32"/>
        <v>1.5211999999999999</v>
      </c>
      <c r="R306" s="195">
        <f t="shared" si="32"/>
        <v>1.7917999999999998</v>
      </c>
      <c r="S306" s="195">
        <f t="shared" si="27"/>
        <v>0.16701347059467753</v>
      </c>
      <c r="T306" s="195">
        <f t="shared" si="33"/>
        <v>0.10949101635185514</v>
      </c>
      <c r="U306" s="195">
        <f t="shared" si="28"/>
        <v>0.93119218376468138</v>
      </c>
      <c r="V306">
        <f t="shared" si="29"/>
        <v>69</v>
      </c>
      <c r="W306" s="195">
        <f t="shared" si="34"/>
        <v>0.80164670950750883</v>
      </c>
      <c r="X306" s="195">
        <f t="shared" si="35"/>
        <v>1.4348221300832653E-2</v>
      </c>
      <c r="Y306" s="255" t="str">
        <f>IF(ISNUMBER(SEARCH("C", 'Dry_Litterbag Placem_Collection'!V13)),"YES","NO")</f>
        <v>NO</v>
      </c>
      <c r="Z306" s="255" t="str">
        <f>IF(ISNUMBER(SEARCH("H", 'Dry_Litterbag Placem_Collection'!V13)),"YES","NO")</f>
        <v>NO</v>
      </c>
      <c r="AA306" s="255" t="str">
        <f>IF(ISNUMBER(SEARCH("R", 'Dry_Litterbag Placem_Collection'!V13)),"YES","NO")</f>
        <v>NO</v>
      </c>
      <c r="AB306" s="255" t="str">
        <f>IF(ISNUMBER(SEARCH("C", 'Dry_Litterbag Placem_Collection'!U13)),"YES","NO")</f>
        <v>NO</v>
      </c>
      <c r="AC306" s="255" t="str">
        <f>IF(ISNUMBER(SEARCH("H", 'Dry_Litterbag Placem_Collection'!U13)),"YES","NO")</f>
        <v>NO</v>
      </c>
      <c r="AD306" s="255" t="str">
        <f>IF(ISNUMBER(SEARCH("R", 'Dry_Litterbag Placem_Collection'!U13)),"YES","NO")</f>
        <v>NO</v>
      </c>
    </row>
    <row r="307" spans="2:30">
      <c r="B307" t="str">
        <f>'Final data_for_R_analysis_Dryse'!A453</f>
        <v>Dry</v>
      </c>
      <c r="C307" s="263">
        <f>'Final data_for_R_analysis_Dryse'!B453</f>
        <v>12</v>
      </c>
      <c r="D307" t="s">
        <v>3828</v>
      </c>
      <c r="E307" t="s">
        <v>25</v>
      </c>
      <c r="F307" s="387">
        <v>4</v>
      </c>
      <c r="G307" s="16">
        <f>'Dry_Litterbag Placem_Collection'!E14</f>
        <v>0</v>
      </c>
      <c r="H307" s="92" t="str">
        <f>'Final data_for_R_analysis_Dryse'!J453</f>
        <v/>
      </c>
      <c r="I307" t="str">
        <f>'Final data_for_R_analysis_Dryse'!J673</f>
        <v/>
      </c>
      <c r="J307" t="str">
        <f>IFERROR(INDEX('Green_rooibos initial weight'!$C$5:$C$1749,MATCH(H307, 'Green_rooibos initial weight'!$A$5:$A$1749,0)),"")</f>
        <v/>
      </c>
      <c r="K307" t="str">
        <f>IFERROR(INDEX('Green_rooibos initial weight'!$C$5:$C$1749,MATCH(I307, 'Green_rooibos initial weight'!$A$5:$A$1749,0)),"")</f>
        <v/>
      </c>
      <c r="L307" s="195" t="str">
        <f t="shared" si="30"/>
        <v/>
      </c>
      <c r="M307" s="195" t="str">
        <f t="shared" si="31"/>
        <v/>
      </c>
      <c r="N307" s="16">
        <f>IF('Dry_Litterbag Placem_Collection'!G14="N.A","",'Dry_Litterbag Placem_Collection'!G14)</f>
        <v>0</v>
      </c>
      <c r="O307" s="195" t="str">
        <f>IF(IFERROR(INDEX('Both teabags AfterDry'!$D$1:$D$839,MATCH(H307,'Both teabags AfterDry'!$A$1:$A$839,0)),"")="N.A","",(IFERROR(INDEX('Both teabags AfterDry'!$D$1:$D$839,MATCH(H307,'Both teabags AfterDry'!$A$1:$A$839,0)),"")))</f>
        <v/>
      </c>
      <c r="P307" s="195" t="str">
        <f>IF(IFERROR(INDEX('Both teabags AfterDry'!$D$1:$D$839,MATCH(I307,'Both teabags AfterDry'!$A$1:$A$839,0)),"")="N.A","",(IFERROR(INDEX('Both teabags AfterDry'!$D$1:$D$839,MATCH(I307,'Both teabags AfterDry'!$A$1:$A$839,0)),"")))</f>
        <v/>
      </c>
      <c r="Q307" s="195" t="str">
        <f t="shared" si="32"/>
        <v/>
      </c>
      <c r="R307" s="195" t="str">
        <f t="shared" si="32"/>
        <v/>
      </c>
      <c r="S307" s="195" t="str">
        <f t="shared" si="27"/>
        <v/>
      </c>
      <c r="T307" s="195" t="str">
        <f t="shared" si="33"/>
        <v/>
      </c>
      <c r="U307" s="195" t="str">
        <f t="shared" si="28"/>
        <v/>
      </c>
      <c r="V307" t="str">
        <f t="shared" si="29"/>
        <v/>
      </c>
      <c r="W307" s="195" t="str">
        <f t="shared" si="34"/>
        <v/>
      </c>
      <c r="X307" s="195" t="str">
        <f t="shared" si="35"/>
        <v/>
      </c>
      <c r="Y307" s="255" t="str">
        <f>IF(ISNUMBER(SEARCH("C", 'Dry_Litterbag Placem_Collection'!V14)),"YES","NO")</f>
        <v>NO</v>
      </c>
      <c r="Z307" s="255" t="str">
        <f>IF(ISNUMBER(SEARCH("H", 'Dry_Litterbag Placem_Collection'!V14)),"YES","NO")</f>
        <v>NO</v>
      </c>
      <c r="AA307" s="255" t="str">
        <f>IF(ISNUMBER(SEARCH("R", 'Dry_Litterbag Placem_Collection'!V14)),"YES","NO")</f>
        <v>NO</v>
      </c>
      <c r="AB307" s="255" t="str">
        <f>IF(ISNUMBER(SEARCH("C", 'Dry_Litterbag Placem_Collection'!U14)),"YES","NO")</f>
        <v>NO</v>
      </c>
      <c r="AC307" s="255" t="str">
        <f>IF(ISNUMBER(SEARCH("H", 'Dry_Litterbag Placem_Collection'!U14)),"YES","NO")</f>
        <v>NO</v>
      </c>
      <c r="AD307" s="255" t="str">
        <f>IF(ISNUMBER(SEARCH("R", 'Dry_Litterbag Placem_Collection'!U14)),"YES","NO")</f>
        <v>NO</v>
      </c>
    </row>
    <row r="308" spans="2:30">
      <c r="B308" t="str">
        <f>'Final data_for_R_analysis_Dryse'!A454</f>
        <v>Dry</v>
      </c>
      <c r="C308" s="263">
        <f>'Final data_for_R_analysis_Dryse'!B454</f>
        <v>13</v>
      </c>
      <c r="D308" t="s">
        <v>3828</v>
      </c>
      <c r="E308" t="s">
        <v>25</v>
      </c>
      <c r="F308" s="387">
        <v>5</v>
      </c>
      <c r="G308" s="16">
        <f>'Dry_Litterbag Placem_Collection'!E15</f>
        <v>42938</v>
      </c>
      <c r="H308" s="92" t="str">
        <f>'Final data_for_R_analysis_Dryse'!J454</f>
        <v>G874</v>
      </c>
      <c r="I308" t="str">
        <f>'Final data_for_R_analysis_Dryse'!J674</f>
        <v>R603</v>
      </c>
      <c r="J308">
        <f>IFERROR(INDEX('Green_rooibos initial weight'!$C$5:$C$1749,MATCH(H308, 'Green_rooibos initial weight'!$A$5:$A$1749,0)),"")</f>
        <v>2.032</v>
      </c>
      <c r="K308">
        <f>IFERROR(INDEX('Green_rooibos initial weight'!$C$5:$C$1749,MATCH(I308, 'Green_rooibos initial weight'!$A$5:$A$1749,0)),"")</f>
        <v>2.1440000000000001</v>
      </c>
      <c r="L308" s="195">
        <f t="shared" si="30"/>
        <v>1.7822</v>
      </c>
      <c r="M308" s="195">
        <f t="shared" si="31"/>
        <v>1.8942000000000001</v>
      </c>
      <c r="N308" s="16">
        <f>IF('Dry_Litterbag Placem_Collection'!G15="N.A","",'Dry_Litterbag Placem_Collection'!G15)</f>
        <v>43007</v>
      </c>
      <c r="O308" s="195">
        <f>IF(IFERROR(INDEX('Both teabags AfterDry'!$D$1:$D$839,MATCH(H308,'Both teabags AfterDry'!$A$1:$A$839,0)),"")="N.A","",(IFERROR(INDEX('Both teabags AfterDry'!$D$1:$D$839,MATCH(H308,'Both teabags AfterDry'!$A$1:$A$839,0)),"")))</f>
        <v>1.361</v>
      </c>
      <c r="P308" s="195">
        <f>IF(IFERROR(INDEX('Both teabags AfterDry'!$D$1:$D$839,MATCH(I308,'Both teabags AfterDry'!$A$1:$A$839,0)),"")="N.A","",(IFERROR(INDEX('Both teabags AfterDry'!$D$1:$D$839,MATCH(I308,'Both teabags AfterDry'!$A$1:$A$839,0)),"")))</f>
        <v>1.9094</v>
      </c>
      <c r="Q308" s="195">
        <f t="shared" si="32"/>
        <v>1.2103999999999999</v>
      </c>
      <c r="R308" s="195">
        <f t="shared" si="32"/>
        <v>1.7587999999999999</v>
      </c>
      <c r="S308" s="195">
        <f t="shared" si="27"/>
        <v>0.32083941196274268</v>
      </c>
      <c r="T308" s="195">
        <f t="shared" si="33"/>
        <v>0.21033652660740379</v>
      </c>
      <c r="U308" s="195">
        <f t="shared" si="28"/>
        <v>0.92851863583570893</v>
      </c>
      <c r="V308">
        <f t="shared" si="29"/>
        <v>69</v>
      </c>
      <c r="W308" s="195">
        <f t="shared" si="34"/>
        <v>0.61895556774021054</v>
      </c>
      <c r="X308" s="195">
        <f t="shared" si="35"/>
        <v>6.018512502377343E-3</v>
      </c>
      <c r="Y308" s="255" t="str">
        <f>IF(ISNUMBER(SEARCH("C", 'Dry_Litterbag Placem_Collection'!V15)),"YES","NO")</f>
        <v>NO</v>
      </c>
      <c r="Z308" s="255" t="str">
        <f>IF(ISNUMBER(SEARCH("H", 'Dry_Litterbag Placem_Collection'!V15)),"YES","NO")</f>
        <v>NO</v>
      </c>
      <c r="AA308" s="255" t="str">
        <f>IF(ISNUMBER(SEARCH("R", 'Dry_Litterbag Placem_Collection'!V15)),"YES","NO")</f>
        <v>NO</v>
      </c>
      <c r="AB308" s="255" t="str">
        <f>IF(ISNUMBER(SEARCH("C", 'Dry_Litterbag Placem_Collection'!U15)),"YES","NO")</f>
        <v>NO</v>
      </c>
      <c r="AC308" s="255" t="str">
        <f>IF(ISNUMBER(SEARCH("H", 'Dry_Litterbag Placem_Collection'!U15)),"YES","NO")</f>
        <v>NO</v>
      </c>
      <c r="AD308" s="255" t="str">
        <f>IF(ISNUMBER(SEARCH("R", 'Dry_Litterbag Placem_Collection'!U15)),"YES","NO")</f>
        <v>NO</v>
      </c>
    </row>
    <row r="309" spans="2:30">
      <c r="B309" t="str">
        <f>'Final data_for_R_analysis_Dryse'!A455</f>
        <v>Dry</v>
      </c>
      <c r="C309" s="263">
        <f>'Final data_for_R_analysis_Dryse'!B455</f>
        <v>14</v>
      </c>
      <c r="D309" t="s">
        <v>3828</v>
      </c>
      <c r="E309" t="s">
        <v>25</v>
      </c>
      <c r="F309" s="387">
        <v>6</v>
      </c>
      <c r="G309" s="16">
        <f>'Dry_Litterbag Placem_Collection'!E16</f>
        <v>42938</v>
      </c>
      <c r="H309" s="92" t="str">
        <f>'Final data_for_R_analysis_Dryse'!J455</f>
        <v>G219</v>
      </c>
      <c r="I309" t="str">
        <f>'Final data_for_R_analysis_Dryse'!J675</f>
        <v>R652</v>
      </c>
      <c r="J309">
        <f>IFERROR(INDEX('Green_rooibos initial weight'!$C$5:$C$1749,MATCH(H309, 'Green_rooibos initial weight'!$A$5:$A$1749,0)),"")</f>
        <v>2.0110000000000001</v>
      </c>
      <c r="K309">
        <f>IFERROR(INDEX('Green_rooibos initial weight'!$C$5:$C$1749,MATCH(I309, 'Green_rooibos initial weight'!$A$5:$A$1749,0)),"")</f>
        <v>2.2090000000000001</v>
      </c>
      <c r="L309" s="195">
        <f t="shared" si="30"/>
        <v>1.7612000000000001</v>
      </c>
      <c r="M309" s="195">
        <f t="shared" si="31"/>
        <v>1.9592000000000001</v>
      </c>
      <c r="N309" s="16">
        <f>IF('Dry_Litterbag Placem_Collection'!G16="N.A","",'Dry_Litterbag Placem_Collection'!G16)</f>
        <v>43007</v>
      </c>
      <c r="O309" s="195">
        <f>IF(IFERROR(INDEX('Both teabags AfterDry'!$D$1:$D$839,MATCH(H309,'Both teabags AfterDry'!$A$1:$A$839,0)),"")="N.A","",(IFERROR(INDEX('Both teabags AfterDry'!$D$1:$D$839,MATCH(H309,'Both teabags AfterDry'!$A$1:$A$839,0)),"")))</f>
        <v>0.76939999999999997</v>
      </c>
      <c r="P309" s="195">
        <f>IF(IFERROR(INDEX('Both teabags AfterDry'!$D$1:$D$839,MATCH(I309,'Both teabags AfterDry'!$A$1:$A$839,0)),"")="N.A","",(IFERROR(INDEX('Both teabags AfterDry'!$D$1:$D$839,MATCH(I309,'Both teabags AfterDry'!$A$1:$A$839,0)),"")))</f>
        <v>1.9245000000000001</v>
      </c>
      <c r="Q309" s="195">
        <f t="shared" si="32"/>
        <v>0.61880000000000002</v>
      </c>
      <c r="R309" s="195">
        <f t="shared" si="32"/>
        <v>1.7739</v>
      </c>
      <c r="S309" s="195">
        <f t="shared" si="27"/>
        <v>0.64864864864864868</v>
      </c>
      <c r="T309" s="195">
        <f t="shared" si="33"/>
        <v>0.42524234448224957</v>
      </c>
      <c r="U309" s="195">
        <f t="shared" si="28"/>
        <v>0.90542057982850144</v>
      </c>
      <c r="V309">
        <f t="shared" si="29"/>
        <v>69</v>
      </c>
      <c r="W309" s="195">
        <f t="shared" si="34"/>
        <v>0.22963343390896829</v>
      </c>
      <c r="X309" s="195">
        <f t="shared" si="35"/>
        <v>3.6457931561815174E-3</v>
      </c>
      <c r="Y309" s="255" t="str">
        <f>IF(ISNUMBER(SEARCH("C", 'Dry_Litterbag Placem_Collection'!V16)),"YES","NO")</f>
        <v>NO</v>
      </c>
      <c r="Z309" s="255" t="str">
        <f>IF(ISNUMBER(SEARCH("H", 'Dry_Litterbag Placem_Collection'!V16)),"YES","NO")</f>
        <v>NO</v>
      </c>
      <c r="AA309" s="255" t="str">
        <f>IF(ISNUMBER(SEARCH("R", 'Dry_Litterbag Placem_Collection'!V16)),"YES","NO")</f>
        <v>NO</v>
      </c>
      <c r="AB309" s="255" t="str">
        <f>IF(ISNUMBER(SEARCH("C", 'Dry_Litterbag Placem_Collection'!U16)),"YES","NO")</f>
        <v>NO</v>
      </c>
      <c r="AC309" s="255" t="str">
        <f>IF(ISNUMBER(SEARCH("H", 'Dry_Litterbag Placem_Collection'!U16)),"YES","NO")</f>
        <v>NO</v>
      </c>
      <c r="AD309" s="255" t="str">
        <f>IF(ISNUMBER(SEARCH("R", 'Dry_Litterbag Placem_Collection'!U16)),"YES","NO")</f>
        <v>YES</v>
      </c>
    </row>
    <row r="310" spans="2:30">
      <c r="B310" t="str">
        <f>'Final data_for_R_analysis_Dryse'!A456</f>
        <v>Dry</v>
      </c>
      <c r="C310" s="263">
        <f>'Final data_for_R_analysis_Dryse'!B456</f>
        <v>15</v>
      </c>
      <c r="D310" t="s">
        <v>3828</v>
      </c>
      <c r="E310" t="s">
        <v>25</v>
      </c>
      <c r="F310" s="387">
        <v>7</v>
      </c>
      <c r="G310" s="16">
        <f>'Dry_Litterbag Placem_Collection'!E17</f>
        <v>42938</v>
      </c>
      <c r="H310" s="92" t="str">
        <f>'Final data_for_R_analysis_Dryse'!J456</f>
        <v>G630</v>
      </c>
      <c r="I310" t="str">
        <f>'Final data_for_R_analysis_Dryse'!J676</f>
        <v>R304</v>
      </c>
      <c r="J310">
        <f>IFERROR(INDEX('Green_rooibos initial weight'!$C$5:$C$1749,MATCH(H310, 'Green_rooibos initial weight'!$A$5:$A$1749,0)),"")</f>
        <v>2.12</v>
      </c>
      <c r="K310">
        <f>IFERROR(INDEX('Green_rooibos initial weight'!$C$5:$C$1749,MATCH(I310, 'Green_rooibos initial weight'!$A$5:$A$1749,0)),"")</f>
        <v>2.1930000000000001</v>
      </c>
      <c r="L310" s="195">
        <f t="shared" si="30"/>
        <v>1.8702000000000001</v>
      </c>
      <c r="M310" s="195">
        <f t="shared" si="31"/>
        <v>1.9432</v>
      </c>
      <c r="N310" s="16">
        <f>IF('Dry_Litterbag Placem_Collection'!G17="N.A","",'Dry_Litterbag Placem_Collection'!G17)</f>
        <v>43007</v>
      </c>
      <c r="O310" s="195">
        <f>IF(IFERROR(INDEX('Both teabags AfterDry'!$D$1:$D$839,MATCH(H310,'Both teabags AfterDry'!$A$1:$A$839,0)),"")="N.A","",(IFERROR(INDEX('Both teabags AfterDry'!$D$1:$D$839,MATCH(H310,'Both teabags AfterDry'!$A$1:$A$839,0)),"")))</f>
        <v>1.8631</v>
      </c>
      <c r="P310" s="195">
        <f>IF(IFERROR(INDEX('Both teabags AfterDry'!$D$1:$D$839,MATCH(I310,'Both teabags AfterDry'!$A$1:$A$839,0)),"")="N.A","",(IFERROR(INDEX('Both teabags AfterDry'!$D$1:$D$839,MATCH(I310,'Both teabags AfterDry'!$A$1:$A$839,0)),"")))</f>
        <v>1.8989</v>
      </c>
      <c r="Q310" s="195">
        <f t="shared" si="32"/>
        <v>1.7124999999999999</v>
      </c>
      <c r="R310" s="195">
        <f t="shared" si="32"/>
        <v>1.7483</v>
      </c>
      <c r="S310" s="195">
        <f t="shared" si="27"/>
        <v>8.4322532349481394E-2</v>
      </c>
      <c r="T310" s="195">
        <f t="shared" si="33"/>
        <v>5.5280329996334629E-2</v>
      </c>
      <c r="U310" s="195">
        <f t="shared" si="28"/>
        <v>0.89970152326060104</v>
      </c>
      <c r="V310">
        <f t="shared" si="29"/>
        <v>69</v>
      </c>
      <c r="W310" s="195">
        <f t="shared" si="34"/>
        <v>0.89985447464432133</v>
      </c>
      <c r="X310" s="195" t="str">
        <f t="shared" si="35"/>
        <v/>
      </c>
      <c r="Y310" s="255" t="str">
        <f>IF(ISNUMBER(SEARCH("C", 'Dry_Litterbag Placem_Collection'!V17)),"YES","NO")</f>
        <v>NO</v>
      </c>
      <c r="Z310" s="255" t="str">
        <f>IF(ISNUMBER(SEARCH("H", 'Dry_Litterbag Placem_Collection'!V17)),"YES","NO")</f>
        <v>NO</v>
      </c>
      <c r="AA310" s="255" t="str">
        <f>IF(ISNUMBER(SEARCH("R", 'Dry_Litterbag Placem_Collection'!V17)),"YES","NO")</f>
        <v>NO</v>
      </c>
      <c r="AB310" s="255" t="str">
        <f>IF(ISNUMBER(SEARCH("C", 'Dry_Litterbag Placem_Collection'!U17)),"YES","NO")</f>
        <v>NO</v>
      </c>
      <c r="AC310" s="255" t="str">
        <f>IF(ISNUMBER(SEARCH("H", 'Dry_Litterbag Placem_Collection'!U17)),"YES","NO")</f>
        <v>NO</v>
      </c>
      <c r="AD310" s="255" t="str">
        <f>IF(ISNUMBER(SEARCH("R", 'Dry_Litterbag Placem_Collection'!U17)),"YES","NO")</f>
        <v>NO</v>
      </c>
    </row>
    <row r="311" spans="2:30">
      <c r="B311" t="str">
        <f>'Final data_for_R_analysis_Dryse'!A457</f>
        <v>Dry</v>
      </c>
      <c r="C311" s="263">
        <f>'Final data_for_R_analysis_Dryse'!B457</f>
        <v>16</v>
      </c>
      <c r="D311" t="s">
        <v>3828</v>
      </c>
      <c r="E311" t="s">
        <v>25</v>
      </c>
      <c r="F311" s="387">
        <v>8</v>
      </c>
      <c r="G311" s="16">
        <f>'Dry_Litterbag Placem_Collection'!E18</f>
        <v>42938</v>
      </c>
      <c r="H311" s="92" t="str">
        <f>'Final data_for_R_analysis_Dryse'!J457</f>
        <v>G662</v>
      </c>
      <c r="I311" t="str">
        <f>'Final data_for_R_analysis_Dryse'!J677</f>
        <v>R687</v>
      </c>
      <c r="J311">
        <f>IFERROR(INDEX('Green_rooibos initial weight'!$C$5:$C$1749,MATCH(H311, 'Green_rooibos initial weight'!$A$5:$A$1749,0)),"")</f>
        <v>2.1349999999999998</v>
      </c>
      <c r="K311">
        <f>IFERROR(INDEX('Green_rooibos initial weight'!$C$5:$C$1749,MATCH(I311, 'Green_rooibos initial weight'!$A$5:$A$1749,0)),"")</f>
        <v>2.2029999999999998</v>
      </c>
      <c r="L311" s="195">
        <f t="shared" si="30"/>
        <v>1.8851999999999998</v>
      </c>
      <c r="M311" s="195">
        <f t="shared" si="31"/>
        <v>1.9531999999999998</v>
      </c>
      <c r="N311" s="16">
        <f>IF('Dry_Litterbag Placem_Collection'!G18="N.A","",'Dry_Litterbag Placem_Collection'!G18)</f>
        <v>43007</v>
      </c>
      <c r="O311" s="195" t="str">
        <f>IF(IFERROR(INDEX('Both teabags AfterDry'!$D$1:$D$839,MATCH(H311,'Both teabags AfterDry'!$A$1:$A$839,0)),"")="N.A","",(IFERROR(INDEX('Both teabags AfterDry'!$D$1:$D$839,MATCH(H311,'Both teabags AfterDry'!$A$1:$A$839,0)),"")))</f>
        <v/>
      </c>
      <c r="P311" s="195" t="str">
        <f>IF(IFERROR(INDEX('Both teabags AfterDry'!$D$1:$D$839,MATCH(I311,'Both teabags AfterDry'!$A$1:$A$839,0)),"")="N.A","",(IFERROR(INDEX('Both teabags AfterDry'!$D$1:$D$839,MATCH(I311,'Both teabags AfterDry'!$A$1:$A$839,0)),"")))</f>
        <v/>
      </c>
      <c r="Q311" s="195" t="str">
        <f t="shared" si="32"/>
        <v/>
      </c>
      <c r="R311" s="195" t="str">
        <f t="shared" si="32"/>
        <v/>
      </c>
      <c r="S311" s="195" t="str">
        <f t="shared" si="27"/>
        <v/>
      </c>
      <c r="T311" s="195" t="str">
        <f t="shared" si="33"/>
        <v/>
      </c>
      <c r="U311" s="195" t="str">
        <f t="shared" si="28"/>
        <v/>
      </c>
      <c r="V311">
        <f t="shared" si="29"/>
        <v>69</v>
      </c>
      <c r="W311" s="195" t="str">
        <f t="shared" si="34"/>
        <v/>
      </c>
      <c r="X311" s="195" t="str">
        <f t="shared" si="35"/>
        <v/>
      </c>
      <c r="Y311" s="255" t="str">
        <f>IF(ISNUMBER(SEARCH("C", 'Dry_Litterbag Placem_Collection'!V18)),"YES","NO")</f>
        <v>NO</v>
      </c>
      <c r="Z311" s="255" t="str">
        <f>IF(ISNUMBER(SEARCH("H", 'Dry_Litterbag Placem_Collection'!V18)),"YES","NO")</f>
        <v>NO</v>
      </c>
      <c r="AA311" s="255" t="str">
        <f>IF(ISNUMBER(SEARCH("R", 'Dry_Litterbag Placem_Collection'!V18)),"YES","NO")</f>
        <v>NO</v>
      </c>
      <c r="AB311" s="255" t="str">
        <f>IF(ISNUMBER(SEARCH("C", 'Dry_Litterbag Placem_Collection'!U18)),"YES","NO")</f>
        <v>NO</v>
      </c>
      <c r="AC311" s="255" t="str">
        <f>IF(ISNUMBER(SEARCH("H", 'Dry_Litterbag Placem_Collection'!U18)),"YES","NO")</f>
        <v>NO</v>
      </c>
      <c r="AD311" s="255" t="str">
        <f>IF(ISNUMBER(SEARCH("R", 'Dry_Litterbag Placem_Collection'!U18)),"YES","NO")</f>
        <v>YES</v>
      </c>
    </row>
    <row r="312" spans="2:30">
      <c r="B312" t="str">
        <f>'Final data_for_R_analysis_Dryse'!A458</f>
        <v>Dry</v>
      </c>
      <c r="C312" s="263">
        <f>'Final data_for_R_analysis_Dryse'!B458</f>
        <v>17</v>
      </c>
      <c r="D312" t="s">
        <v>3829</v>
      </c>
      <c r="E312" t="s">
        <v>25</v>
      </c>
      <c r="F312" s="386">
        <v>1</v>
      </c>
      <c r="G312" s="16">
        <f>'Dry_Litterbag Placem_Collection'!E19</f>
        <v>42936</v>
      </c>
      <c r="H312" s="92" t="str">
        <f>'Final data_for_R_analysis_Dryse'!J458</f>
        <v>G349</v>
      </c>
      <c r="I312" t="str">
        <f>'Final data_for_R_analysis_Dryse'!J678</f>
        <v>R407</v>
      </c>
      <c r="J312">
        <f>IFERROR(INDEX('Green_rooibos initial weight'!$C$5:$C$1749,MATCH(H312, 'Green_rooibos initial weight'!$A$5:$A$1749,0)),"")</f>
        <v>1.9450000000000001</v>
      </c>
      <c r="K312">
        <f>IFERROR(INDEX('Green_rooibos initial weight'!$C$5:$C$1749,MATCH(I312, 'Green_rooibos initial weight'!$A$5:$A$1749,0)),"")</f>
        <v>2.1859999999999999</v>
      </c>
      <c r="L312" s="195">
        <f t="shared" si="30"/>
        <v>1.6952</v>
      </c>
      <c r="M312" s="195">
        <f t="shared" si="31"/>
        <v>1.9361999999999999</v>
      </c>
      <c r="N312" s="16">
        <f>IF('Dry_Litterbag Placem_Collection'!G19="N.A","",'Dry_Litterbag Placem_Collection'!G19)</f>
        <v>43007</v>
      </c>
      <c r="O312" s="195">
        <f>IF(IFERROR(INDEX('Both teabags AfterDry'!$D$1:$D$839,MATCH(H312,'Both teabags AfterDry'!$A$1:$A$839,0)),"")="N.A","",(IFERROR(INDEX('Both teabags AfterDry'!$D$1:$D$839,MATCH(H312,'Both teabags AfterDry'!$A$1:$A$839,0)),"")))</f>
        <v>1.7968</v>
      </c>
      <c r="P312" s="195">
        <f>IF(IFERROR(INDEX('Both teabags AfterDry'!$D$1:$D$839,MATCH(I312,'Both teabags AfterDry'!$A$1:$A$839,0)),"")="N.A","",(IFERROR(INDEX('Both teabags AfterDry'!$D$1:$D$839,MATCH(I312,'Both teabags AfterDry'!$A$1:$A$839,0)),"")))</f>
        <v>2.0062000000000002</v>
      </c>
      <c r="Q312" s="195">
        <f t="shared" si="32"/>
        <v>1.6461999999999999</v>
      </c>
      <c r="R312" s="195">
        <f t="shared" si="32"/>
        <v>1.8556000000000001</v>
      </c>
      <c r="S312" s="195">
        <f t="shared" si="27"/>
        <v>2.8905143935818889E-2</v>
      </c>
      <c r="T312" s="195">
        <f t="shared" si="33"/>
        <v>1.8949690561249458E-2</v>
      </c>
      <c r="U312" s="195">
        <f t="shared" si="28"/>
        <v>0.95837206900113636</v>
      </c>
      <c r="V312">
        <f t="shared" si="29"/>
        <v>71</v>
      </c>
      <c r="W312" s="195">
        <f t="shared" si="34"/>
        <v>0.9656708504325191</v>
      </c>
      <c r="X312" s="195" t="str">
        <f t="shared" si="35"/>
        <v/>
      </c>
      <c r="Y312" s="255" t="str">
        <f>IF(ISNUMBER(SEARCH("C", 'Dry_Litterbag Placem_Collection'!V19)),"YES","NO")</f>
        <v>NO</v>
      </c>
      <c r="Z312" s="255" t="str">
        <f>IF(ISNUMBER(SEARCH("H", 'Dry_Litterbag Placem_Collection'!V19)),"YES","NO")</f>
        <v>NO</v>
      </c>
      <c r="AA312" s="255" t="str">
        <f>IF(ISNUMBER(SEARCH("R", 'Dry_Litterbag Placem_Collection'!V19)),"YES","NO")</f>
        <v>NO</v>
      </c>
      <c r="AB312" s="255" t="str">
        <f>IF(ISNUMBER(SEARCH("C", 'Dry_Litterbag Placem_Collection'!U19)),"YES","NO")</f>
        <v>NO</v>
      </c>
      <c r="AC312" s="255" t="str">
        <f>IF(ISNUMBER(SEARCH("H", 'Dry_Litterbag Placem_Collection'!U19)),"YES","NO")</f>
        <v>NO</v>
      </c>
      <c r="AD312" s="255" t="str">
        <f>IF(ISNUMBER(SEARCH("R", 'Dry_Litterbag Placem_Collection'!U19)),"YES","NO")</f>
        <v>NO</v>
      </c>
    </row>
    <row r="313" spans="2:30">
      <c r="B313" t="str">
        <f>'Final data_for_R_analysis_Dryse'!A459</f>
        <v>Dry</v>
      </c>
      <c r="C313" s="263">
        <f>'Final data_for_R_analysis_Dryse'!B459</f>
        <v>18</v>
      </c>
      <c r="D313" t="s">
        <v>3829</v>
      </c>
      <c r="E313" t="s">
        <v>25</v>
      </c>
      <c r="F313" s="386">
        <v>2</v>
      </c>
      <c r="G313" s="16">
        <f>'Dry_Litterbag Placem_Collection'!E20</f>
        <v>42936</v>
      </c>
      <c r="H313" s="92" t="str">
        <f>'Final data_for_R_analysis_Dryse'!J459</f>
        <v>G113</v>
      </c>
      <c r="I313" t="str">
        <f>'Final data_for_R_analysis_Dryse'!J679</f>
        <v>R361</v>
      </c>
      <c r="J313">
        <f>IFERROR(INDEX('Green_rooibos initial weight'!$C$5:$C$1749,MATCH(H313, 'Green_rooibos initial weight'!$A$5:$A$1749,0)),"")</f>
        <v>2.0539999999999998</v>
      </c>
      <c r="K313">
        <f>IFERROR(INDEX('Green_rooibos initial weight'!$C$5:$C$1749,MATCH(I313, 'Green_rooibos initial weight'!$A$5:$A$1749,0)),"")</f>
        <v>2.2210000000000001</v>
      </c>
      <c r="L313" s="195">
        <f t="shared" si="30"/>
        <v>1.8041999999999998</v>
      </c>
      <c r="M313" s="195">
        <f t="shared" si="31"/>
        <v>1.9712000000000001</v>
      </c>
      <c r="N313" s="16">
        <f>IF('Dry_Litterbag Placem_Collection'!G20="N.A","",'Dry_Litterbag Placem_Collection'!G20)</f>
        <v>43007</v>
      </c>
      <c r="O313" s="195">
        <f>IF(IFERROR(INDEX('Both teabags AfterDry'!$D$1:$D$839,MATCH(H313,'Both teabags AfterDry'!$A$1:$A$839,0)),"")="N.A","",(IFERROR(INDEX('Both teabags AfterDry'!$D$1:$D$839,MATCH(H313,'Both teabags AfterDry'!$A$1:$A$839,0)),"")))</f>
        <v>1.8204</v>
      </c>
      <c r="P313" s="195">
        <f>IF(IFERROR(INDEX('Both teabags AfterDry'!$D$1:$D$839,MATCH(I313,'Both teabags AfterDry'!$A$1:$A$839,0)),"")="N.A","",(IFERROR(INDEX('Both teabags AfterDry'!$D$1:$D$839,MATCH(I313,'Both teabags AfterDry'!$A$1:$A$839,0)),"")))</f>
        <v>2.0156999999999998</v>
      </c>
      <c r="Q313" s="195">
        <f t="shared" si="32"/>
        <v>1.6698</v>
      </c>
      <c r="R313" s="195">
        <f t="shared" si="32"/>
        <v>1.8650999999999998</v>
      </c>
      <c r="S313" s="195">
        <f t="shared" si="27"/>
        <v>7.4492850016627754E-2</v>
      </c>
      <c r="T313" s="195">
        <f t="shared" si="33"/>
        <v>4.8836167706862853E-2</v>
      </c>
      <c r="U313" s="195">
        <f t="shared" si="28"/>
        <v>0.94617491883116867</v>
      </c>
      <c r="V313">
        <f t="shared" si="29"/>
        <v>71</v>
      </c>
      <c r="W313" s="195">
        <f t="shared" si="34"/>
        <v>0.91152868169046586</v>
      </c>
      <c r="X313" s="195" t="str">
        <f t="shared" si="35"/>
        <v/>
      </c>
      <c r="Y313" s="255" t="str">
        <f>IF(ISNUMBER(SEARCH("C", 'Dry_Litterbag Placem_Collection'!V20)),"YES","NO")</f>
        <v>NO</v>
      </c>
      <c r="Z313" s="255" t="str">
        <f>IF(ISNUMBER(SEARCH("H", 'Dry_Litterbag Placem_Collection'!V20)),"YES","NO")</f>
        <v>NO</v>
      </c>
      <c r="AA313" s="255" t="str">
        <f>IF(ISNUMBER(SEARCH("R", 'Dry_Litterbag Placem_Collection'!V20)),"YES","NO")</f>
        <v>NO</v>
      </c>
      <c r="AB313" s="255" t="str">
        <f>IF(ISNUMBER(SEARCH("C", 'Dry_Litterbag Placem_Collection'!U20)),"YES","NO")</f>
        <v>NO</v>
      </c>
      <c r="AC313" s="255" t="str">
        <f>IF(ISNUMBER(SEARCH("H", 'Dry_Litterbag Placem_Collection'!U20)),"YES","NO")</f>
        <v>NO</v>
      </c>
      <c r="AD313" s="255" t="str">
        <f>IF(ISNUMBER(SEARCH("R", 'Dry_Litterbag Placem_Collection'!U20)),"YES","NO")</f>
        <v>NO</v>
      </c>
    </row>
    <row r="314" spans="2:30">
      <c r="B314" t="str">
        <f>'Final data_for_R_analysis_Dryse'!A460</f>
        <v>Dry</v>
      </c>
      <c r="C314" s="263">
        <f>'Final data_for_R_analysis_Dryse'!B460</f>
        <v>19</v>
      </c>
      <c r="D314" t="s">
        <v>3829</v>
      </c>
      <c r="E314" t="s">
        <v>25</v>
      </c>
      <c r="F314" s="386">
        <v>3</v>
      </c>
      <c r="G314" s="16">
        <f>'Dry_Litterbag Placem_Collection'!E21</f>
        <v>42936</v>
      </c>
      <c r="H314" s="92" t="str">
        <f>'Final data_for_R_analysis_Dryse'!J460</f>
        <v>G394</v>
      </c>
      <c r="I314" t="str">
        <f>'Final data_for_R_analysis_Dryse'!J680</f>
        <v>R280</v>
      </c>
      <c r="J314">
        <f>IFERROR(INDEX('Green_rooibos initial weight'!$C$5:$C$1749,MATCH(H314, 'Green_rooibos initial weight'!$A$5:$A$1749,0)),"")</f>
        <v>2.056</v>
      </c>
      <c r="K314">
        <f>IFERROR(INDEX('Green_rooibos initial weight'!$C$5:$C$1749,MATCH(I314, 'Green_rooibos initial weight'!$A$5:$A$1749,0)),"")</f>
        <v>2.11</v>
      </c>
      <c r="L314" s="195">
        <f t="shared" si="30"/>
        <v>1.8062</v>
      </c>
      <c r="M314" s="195">
        <f t="shared" si="31"/>
        <v>1.8601999999999999</v>
      </c>
      <c r="N314" s="16">
        <f>IF('Dry_Litterbag Placem_Collection'!G21="N.A","",'Dry_Litterbag Placem_Collection'!G21)</f>
        <v>43007</v>
      </c>
      <c r="O314" s="195">
        <f>IF(IFERROR(INDEX('Both teabags AfterDry'!$D$1:$D$839,MATCH(H314,'Both teabags AfterDry'!$A$1:$A$839,0)),"")="N.A","",(IFERROR(INDEX('Both teabags AfterDry'!$D$1:$D$839,MATCH(H314,'Both teabags AfterDry'!$A$1:$A$839,0)),"")))</f>
        <v>1.8532999999999999</v>
      </c>
      <c r="P314" s="195">
        <f>IF(IFERROR(INDEX('Both teabags AfterDry'!$D$1:$D$839,MATCH(I314,'Both teabags AfterDry'!$A$1:$A$839,0)),"")="N.A","",(IFERROR(INDEX('Both teabags AfterDry'!$D$1:$D$839,MATCH(I314,'Both teabags AfterDry'!$A$1:$A$839,0)),"")))</f>
        <v>1.9007000000000001</v>
      </c>
      <c r="Q314" s="195">
        <f t="shared" si="32"/>
        <v>1.7026999999999999</v>
      </c>
      <c r="R314" s="195">
        <f t="shared" si="32"/>
        <v>1.7501</v>
      </c>
      <c r="S314" s="195">
        <f t="shared" si="27"/>
        <v>5.7302624294098159E-2</v>
      </c>
      <c r="T314" s="195">
        <f t="shared" si="33"/>
        <v>3.7566566045537014E-2</v>
      </c>
      <c r="U314" s="195">
        <f t="shared" si="28"/>
        <v>0.94081281582625531</v>
      </c>
      <c r="V314">
        <f t="shared" si="29"/>
        <v>71</v>
      </c>
      <c r="W314" s="195">
        <f t="shared" si="34"/>
        <v>0.93194462672909961</v>
      </c>
      <c r="X314" s="195" t="str">
        <f t="shared" si="35"/>
        <v/>
      </c>
      <c r="Y314" s="255" t="str">
        <f>IF(ISNUMBER(SEARCH("C", 'Dry_Litterbag Placem_Collection'!V21)),"YES","NO")</f>
        <v>NO</v>
      </c>
      <c r="Z314" s="255" t="str">
        <f>IF(ISNUMBER(SEARCH("H", 'Dry_Litterbag Placem_Collection'!V21)),"YES","NO")</f>
        <v>NO</v>
      </c>
      <c r="AA314" s="255" t="str">
        <f>IF(ISNUMBER(SEARCH("R", 'Dry_Litterbag Placem_Collection'!V21)),"YES","NO")</f>
        <v>NO</v>
      </c>
      <c r="AB314" s="255" t="str">
        <f>IF(ISNUMBER(SEARCH("C", 'Dry_Litterbag Placem_Collection'!U21)),"YES","NO")</f>
        <v>NO</v>
      </c>
      <c r="AC314" s="255" t="str">
        <f>IF(ISNUMBER(SEARCH("H", 'Dry_Litterbag Placem_Collection'!U21)),"YES","NO")</f>
        <v>NO</v>
      </c>
      <c r="AD314" s="255" t="str">
        <f>IF(ISNUMBER(SEARCH("R", 'Dry_Litterbag Placem_Collection'!U21)),"YES","NO")</f>
        <v>NO</v>
      </c>
    </row>
    <row r="315" spans="2:30">
      <c r="B315" t="str">
        <f>'Final data_for_R_analysis_Dryse'!A461</f>
        <v>Dry</v>
      </c>
      <c r="C315" s="263">
        <f>'Final data_for_R_analysis_Dryse'!B461</f>
        <v>20</v>
      </c>
      <c r="D315" t="s">
        <v>3829</v>
      </c>
      <c r="E315" t="s">
        <v>25</v>
      </c>
      <c r="F315" s="387">
        <v>4</v>
      </c>
      <c r="G315" s="16">
        <f>'Dry_Litterbag Placem_Collection'!E22</f>
        <v>42936</v>
      </c>
      <c r="H315" s="92" t="str">
        <f>'Final data_for_R_analysis_Dryse'!J461</f>
        <v>G79</v>
      </c>
      <c r="I315" t="str">
        <f>'Final data_for_R_analysis_Dryse'!J681</f>
        <v>R320</v>
      </c>
      <c r="J315">
        <f>IFERROR(INDEX('Green_rooibos initial weight'!$C$5:$C$1749,MATCH(H315, 'Green_rooibos initial weight'!$A$5:$A$1749,0)),"")</f>
        <v>2.1120000000000001</v>
      </c>
      <c r="K315">
        <f>IFERROR(INDEX('Green_rooibos initial weight'!$C$5:$C$1749,MATCH(I315, 'Green_rooibos initial weight'!$A$5:$A$1749,0)),"")</f>
        <v>2.1459999999999999</v>
      </c>
      <c r="L315" s="195">
        <f t="shared" si="30"/>
        <v>1.8622000000000001</v>
      </c>
      <c r="M315" s="195">
        <f t="shared" si="31"/>
        <v>1.8961999999999999</v>
      </c>
      <c r="N315" s="16">
        <f>IF('Dry_Litterbag Placem_Collection'!G22="N.A","",'Dry_Litterbag Placem_Collection'!G22)</f>
        <v>43007</v>
      </c>
      <c r="O315" s="195">
        <f>IF(IFERROR(INDEX('Both teabags AfterDry'!$D$1:$D$839,MATCH(H315,'Both teabags AfterDry'!$A$1:$A$839,0)),"")="N.A","",(IFERROR(INDEX('Both teabags AfterDry'!$D$1:$D$839,MATCH(H315,'Both teabags AfterDry'!$A$1:$A$839,0)),"")))</f>
        <v>1.8559000000000001</v>
      </c>
      <c r="P315" s="195">
        <f>IF(IFERROR(INDEX('Both teabags AfterDry'!$D$1:$D$839,MATCH(I315,'Both teabags AfterDry'!$A$1:$A$839,0)),"")="N.A","",(IFERROR(INDEX('Both teabags AfterDry'!$D$1:$D$839,MATCH(I315,'Both teabags AfterDry'!$A$1:$A$839,0)),"")))</f>
        <v>1.9332</v>
      </c>
      <c r="Q315" s="195">
        <f t="shared" si="32"/>
        <v>1.7053</v>
      </c>
      <c r="R315" s="195">
        <f t="shared" si="32"/>
        <v>1.7826</v>
      </c>
      <c r="S315" s="195">
        <f t="shared" si="27"/>
        <v>8.425518204274518E-2</v>
      </c>
      <c r="T315" s="195">
        <f t="shared" si="33"/>
        <v>5.5236176351063329E-2</v>
      </c>
      <c r="U315" s="195">
        <f t="shared" si="28"/>
        <v>0.94009070773125203</v>
      </c>
      <c r="V315">
        <f t="shared" si="29"/>
        <v>71</v>
      </c>
      <c r="W315" s="195">
        <f t="shared" si="34"/>
        <v>0.89993446313213166</v>
      </c>
      <c r="X315" s="195" t="str">
        <f t="shared" si="35"/>
        <v/>
      </c>
      <c r="Y315" s="255" t="str">
        <f>IF(ISNUMBER(SEARCH("C", 'Dry_Litterbag Placem_Collection'!V22)),"YES","NO")</f>
        <v>NO</v>
      </c>
      <c r="Z315" s="255" t="str">
        <f>IF(ISNUMBER(SEARCH("H", 'Dry_Litterbag Placem_Collection'!V22)),"YES","NO")</f>
        <v>NO</v>
      </c>
      <c r="AA315" s="255" t="str">
        <f>IF(ISNUMBER(SEARCH("R", 'Dry_Litterbag Placem_Collection'!V22)),"YES","NO")</f>
        <v>NO</v>
      </c>
      <c r="AB315" s="255" t="str">
        <f>IF(ISNUMBER(SEARCH("C", 'Dry_Litterbag Placem_Collection'!U22)),"YES","NO")</f>
        <v>NO</v>
      </c>
      <c r="AC315" s="255" t="str">
        <f>IF(ISNUMBER(SEARCH("H", 'Dry_Litterbag Placem_Collection'!U22)),"YES","NO")</f>
        <v>NO</v>
      </c>
      <c r="AD315" s="255" t="str">
        <f>IF(ISNUMBER(SEARCH("R", 'Dry_Litterbag Placem_Collection'!U22)),"YES","NO")</f>
        <v>NO</v>
      </c>
    </row>
    <row r="316" spans="2:30">
      <c r="B316" t="str">
        <f>'Final data_for_R_analysis_Dryse'!A462</f>
        <v>Dry</v>
      </c>
      <c r="C316" s="263">
        <f>'Final data_for_R_analysis_Dryse'!B462</f>
        <v>21</v>
      </c>
      <c r="D316" t="s">
        <v>3829</v>
      </c>
      <c r="E316" t="s">
        <v>25</v>
      </c>
      <c r="F316" s="387">
        <v>5</v>
      </c>
      <c r="G316" s="16">
        <f>'Dry_Litterbag Placem_Collection'!E23</f>
        <v>42936</v>
      </c>
      <c r="H316" s="92" t="str">
        <f>'Final data_for_R_analysis_Dryse'!J462</f>
        <v>G488</v>
      </c>
      <c r="I316" t="str">
        <f>'Final data_for_R_analysis_Dryse'!J682</f>
        <v>R209</v>
      </c>
      <c r="J316">
        <f>IFERROR(INDEX('Green_rooibos initial weight'!$C$5:$C$1749,MATCH(H316, 'Green_rooibos initial weight'!$A$5:$A$1749,0)),"")</f>
        <v>1.9910000000000001</v>
      </c>
      <c r="K316">
        <f>IFERROR(INDEX('Green_rooibos initial weight'!$C$5:$C$1749,MATCH(I316, 'Green_rooibos initial weight'!$A$5:$A$1749,0)),"")</f>
        <v>2.2069999999999999</v>
      </c>
      <c r="L316" s="195">
        <f t="shared" si="30"/>
        <v>1.7412000000000001</v>
      </c>
      <c r="M316" s="195">
        <f t="shared" si="31"/>
        <v>1.9571999999999998</v>
      </c>
      <c r="N316" s="16">
        <f>IF('Dry_Litterbag Placem_Collection'!G23="N.A","",'Dry_Litterbag Placem_Collection'!G23)</f>
        <v>43007</v>
      </c>
      <c r="O316" s="195" t="str">
        <f>IF(IFERROR(INDEX('Both teabags AfterDry'!$D$1:$D$839,MATCH(H316,'Both teabags AfterDry'!$A$1:$A$839,0)),"")="N.A","",(IFERROR(INDEX('Both teabags AfterDry'!$D$1:$D$839,MATCH(H316,'Both teabags AfterDry'!$A$1:$A$839,0)),"")))</f>
        <v/>
      </c>
      <c r="P316" s="195" t="str">
        <f>IF(IFERROR(INDEX('Both teabags AfterDry'!$D$1:$D$839,MATCH(I316,'Both teabags AfterDry'!$A$1:$A$839,0)),"")="N.A","",(IFERROR(INDEX('Both teabags AfterDry'!$D$1:$D$839,MATCH(I316,'Both teabags AfterDry'!$A$1:$A$839,0)),"")))</f>
        <v/>
      </c>
      <c r="Q316" s="195" t="str">
        <f t="shared" si="32"/>
        <v/>
      </c>
      <c r="R316" s="195" t="str">
        <f t="shared" si="32"/>
        <v/>
      </c>
      <c r="S316" s="195" t="str">
        <f t="shared" si="27"/>
        <v/>
      </c>
      <c r="T316" s="195" t="str">
        <f t="shared" si="33"/>
        <v/>
      </c>
      <c r="U316" s="195" t="str">
        <f t="shared" si="28"/>
        <v/>
      </c>
      <c r="V316">
        <f t="shared" si="29"/>
        <v>71</v>
      </c>
      <c r="W316" s="195" t="str">
        <f t="shared" si="34"/>
        <v/>
      </c>
      <c r="X316" s="195" t="str">
        <f t="shared" si="35"/>
        <v/>
      </c>
      <c r="Y316" s="255" t="str">
        <f>IF(ISNUMBER(SEARCH("C", 'Dry_Litterbag Placem_Collection'!V23)),"YES","NO")</f>
        <v>NO</v>
      </c>
      <c r="Z316" s="255" t="str">
        <f>IF(ISNUMBER(SEARCH("H", 'Dry_Litterbag Placem_Collection'!V23)),"YES","NO")</f>
        <v>NO</v>
      </c>
      <c r="AA316" s="255" t="str">
        <f>IF(ISNUMBER(SEARCH("R", 'Dry_Litterbag Placem_Collection'!V23)),"YES","NO")</f>
        <v>NO</v>
      </c>
      <c r="AB316" s="255" t="str">
        <f>IF(ISNUMBER(SEARCH("C", 'Dry_Litterbag Placem_Collection'!U23)),"YES","NO")</f>
        <v>NO</v>
      </c>
      <c r="AC316" s="255" t="str">
        <f>IF(ISNUMBER(SEARCH("H", 'Dry_Litterbag Placem_Collection'!U23)),"YES","NO")</f>
        <v>NO</v>
      </c>
      <c r="AD316" s="255" t="str">
        <f>IF(ISNUMBER(SEARCH("R", 'Dry_Litterbag Placem_Collection'!U23)),"YES","NO")</f>
        <v>NO</v>
      </c>
    </row>
    <row r="317" spans="2:30">
      <c r="B317" t="str">
        <f>'Final data_for_R_analysis_Dryse'!A463</f>
        <v>Dry</v>
      </c>
      <c r="C317" s="263">
        <f>'Final data_for_R_analysis_Dryse'!B463</f>
        <v>22</v>
      </c>
      <c r="D317" t="s">
        <v>3829</v>
      </c>
      <c r="E317" t="s">
        <v>25</v>
      </c>
      <c r="F317" s="387">
        <v>6</v>
      </c>
      <c r="G317" s="16">
        <f>'Dry_Litterbag Placem_Collection'!E24</f>
        <v>42936</v>
      </c>
      <c r="H317" s="92" t="str">
        <f>'Final data_for_R_analysis_Dryse'!J463</f>
        <v>G750</v>
      </c>
      <c r="I317" t="str">
        <f>'Final data_for_R_analysis_Dryse'!J683</f>
        <v>R646</v>
      </c>
      <c r="J317">
        <f>IFERROR(INDEX('Green_rooibos initial weight'!$C$5:$C$1749,MATCH(H317, 'Green_rooibos initial weight'!$A$5:$A$1749,0)),"")</f>
        <v>1.966</v>
      </c>
      <c r="K317">
        <f>IFERROR(INDEX('Green_rooibos initial weight'!$C$5:$C$1749,MATCH(I317, 'Green_rooibos initial weight'!$A$5:$A$1749,0)),"")</f>
        <v>2.1480000000000001</v>
      </c>
      <c r="L317" s="195">
        <f t="shared" si="30"/>
        <v>1.7161999999999999</v>
      </c>
      <c r="M317" s="195">
        <f t="shared" si="31"/>
        <v>1.8982000000000001</v>
      </c>
      <c r="N317" s="16">
        <f>IF('Dry_Litterbag Placem_Collection'!G24="N.A","",'Dry_Litterbag Placem_Collection'!G24)</f>
        <v>43007</v>
      </c>
      <c r="O317" s="195">
        <f>IF(IFERROR(INDEX('Both teabags AfterDry'!$D$1:$D$839,MATCH(H317,'Both teabags AfterDry'!$A$1:$A$839,0)),"")="N.A","",(IFERROR(INDEX('Both teabags AfterDry'!$D$1:$D$839,MATCH(H317,'Both teabags AfterDry'!$A$1:$A$839,0)),"")))</f>
        <v>1.3833</v>
      </c>
      <c r="P317" s="195">
        <f>IF(IFERROR(INDEX('Both teabags AfterDry'!$D$1:$D$839,MATCH(I317,'Both teabags AfterDry'!$A$1:$A$839,0)),"")="N.A","",(IFERROR(INDEX('Both teabags AfterDry'!$D$1:$D$839,MATCH(I317,'Both teabags AfterDry'!$A$1:$A$839,0)),"")))</f>
        <v>1.8704000000000001</v>
      </c>
      <c r="Q317" s="195">
        <f t="shared" si="32"/>
        <v>1.2326999999999999</v>
      </c>
      <c r="R317" s="195">
        <f t="shared" si="32"/>
        <v>1.7198</v>
      </c>
      <c r="S317" s="195">
        <f t="shared" si="27"/>
        <v>0.28172707143689546</v>
      </c>
      <c r="T317" s="195">
        <f t="shared" si="33"/>
        <v>0.18469518222466305</v>
      </c>
      <c r="U317" s="195">
        <f t="shared" si="28"/>
        <v>0.90601622589821929</v>
      </c>
      <c r="V317">
        <f t="shared" si="29"/>
        <v>71</v>
      </c>
      <c r="W317" s="195">
        <f t="shared" si="34"/>
        <v>0.66540727857850901</v>
      </c>
      <c r="X317" s="195">
        <f t="shared" si="35"/>
        <v>1.0014417953282104E-2</v>
      </c>
      <c r="Y317" s="255" t="str">
        <f>IF(ISNUMBER(SEARCH("C", 'Dry_Litterbag Placem_Collection'!V24)),"YES","NO")</f>
        <v>NO</v>
      </c>
      <c r="Z317" s="255" t="str">
        <f>IF(ISNUMBER(SEARCH("H", 'Dry_Litterbag Placem_Collection'!V24)),"YES","NO")</f>
        <v>NO</v>
      </c>
      <c r="AA317" s="255" t="str">
        <f>IF(ISNUMBER(SEARCH("R", 'Dry_Litterbag Placem_Collection'!V24)),"YES","NO")</f>
        <v>NO</v>
      </c>
      <c r="AB317" s="255" t="str">
        <f>IF(ISNUMBER(SEARCH("C", 'Dry_Litterbag Placem_Collection'!U24)),"YES","NO")</f>
        <v>NO</v>
      </c>
      <c r="AC317" s="255" t="str">
        <f>IF(ISNUMBER(SEARCH("H", 'Dry_Litterbag Placem_Collection'!U24)),"YES","NO")</f>
        <v>NO</v>
      </c>
      <c r="AD317" s="255" t="str">
        <f>IF(ISNUMBER(SEARCH("R", 'Dry_Litterbag Placem_Collection'!U24)),"YES","NO")</f>
        <v>NO</v>
      </c>
    </row>
    <row r="318" spans="2:30">
      <c r="B318" t="str">
        <f>'Final data_for_R_analysis_Dryse'!A464</f>
        <v>Dry</v>
      </c>
      <c r="C318" s="263">
        <f>'Final data_for_R_analysis_Dryse'!B464</f>
        <v>23</v>
      </c>
      <c r="D318" t="s">
        <v>3829</v>
      </c>
      <c r="E318" t="s">
        <v>25</v>
      </c>
      <c r="F318" s="387">
        <v>7</v>
      </c>
      <c r="G318" s="390">
        <f>'Dry_Litterbag Placem_Collection'!E25</f>
        <v>0</v>
      </c>
      <c r="H318" s="92" t="str">
        <f>'Final data_for_R_analysis_Dryse'!J464</f>
        <v/>
      </c>
      <c r="I318" t="str">
        <f>'Final data_for_R_analysis_Dryse'!J684</f>
        <v/>
      </c>
      <c r="J318" t="str">
        <f>IFERROR(INDEX('Green_rooibos initial weight'!$C$5:$C$1749,MATCH(H318, 'Green_rooibos initial weight'!$A$5:$A$1749,0)),"")</f>
        <v/>
      </c>
      <c r="K318" t="str">
        <f>IFERROR(INDEX('Green_rooibos initial weight'!$C$5:$C$1749,MATCH(I318, 'Green_rooibos initial weight'!$A$5:$A$1749,0)),"")</f>
        <v/>
      </c>
      <c r="L318" s="195" t="str">
        <f t="shared" si="30"/>
        <v/>
      </c>
      <c r="M318" s="195" t="str">
        <f t="shared" si="31"/>
        <v/>
      </c>
      <c r="N318" s="16">
        <f>IF('Dry_Litterbag Placem_Collection'!G25="N.A","",'Dry_Litterbag Placem_Collection'!G25)</f>
        <v>0</v>
      </c>
      <c r="O318" s="195" t="str">
        <f>IF(IFERROR(INDEX('Both teabags AfterDry'!$D$1:$D$839,MATCH(H318,'Both teabags AfterDry'!$A$1:$A$839,0)),"")="N.A","",(IFERROR(INDEX('Both teabags AfterDry'!$D$1:$D$839,MATCH(H318,'Both teabags AfterDry'!$A$1:$A$839,0)),"")))</f>
        <v/>
      </c>
      <c r="P318" s="195" t="str">
        <f>IF(IFERROR(INDEX('Both teabags AfterDry'!$D$1:$D$839,MATCH(I318,'Both teabags AfterDry'!$A$1:$A$839,0)),"")="N.A","",(IFERROR(INDEX('Both teabags AfterDry'!$D$1:$D$839,MATCH(I318,'Both teabags AfterDry'!$A$1:$A$839,0)),"")))</f>
        <v/>
      </c>
      <c r="Q318" s="195" t="str">
        <f t="shared" si="32"/>
        <v/>
      </c>
      <c r="R318" s="195" t="str">
        <f t="shared" si="32"/>
        <v/>
      </c>
      <c r="S318" s="195" t="str">
        <f t="shared" si="27"/>
        <v/>
      </c>
      <c r="T318" s="195" t="str">
        <f t="shared" si="33"/>
        <v/>
      </c>
      <c r="U318" s="195" t="str">
        <f t="shared" si="28"/>
        <v/>
      </c>
      <c r="V318" t="str">
        <f t="shared" si="29"/>
        <v/>
      </c>
      <c r="W318" s="195" t="str">
        <f t="shared" si="34"/>
        <v/>
      </c>
      <c r="X318" s="195" t="str">
        <f t="shared" si="35"/>
        <v/>
      </c>
      <c r="Y318" s="255" t="str">
        <f>IF(ISNUMBER(SEARCH("C", 'Dry_Litterbag Placem_Collection'!V25)),"YES","NO")</f>
        <v>NO</v>
      </c>
      <c r="Z318" s="255" t="str">
        <f>IF(ISNUMBER(SEARCH("H", 'Dry_Litterbag Placem_Collection'!V25)),"YES","NO")</f>
        <v>NO</v>
      </c>
      <c r="AA318" s="255" t="str">
        <f>IF(ISNUMBER(SEARCH("R", 'Dry_Litterbag Placem_Collection'!V25)),"YES","NO")</f>
        <v>NO</v>
      </c>
      <c r="AB318" s="255" t="str">
        <f>IF(ISNUMBER(SEARCH("C", 'Dry_Litterbag Placem_Collection'!U25)),"YES","NO")</f>
        <v>NO</v>
      </c>
      <c r="AC318" s="255" t="str">
        <f>IF(ISNUMBER(SEARCH("H", 'Dry_Litterbag Placem_Collection'!U25)),"YES","NO")</f>
        <v>NO</v>
      </c>
      <c r="AD318" s="255" t="str">
        <f>IF(ISNUMBER(SEARCH("R", 'Dry_Litterbag Placem_Collection'!U25)),"YES","NO")</f>
        <v>NO</v>
      </c>
    </row>
    <row r="319" spans="2:30">
      <c r="B319" t="str">
        <f>'Final data_for_R_analysis_Dryse'!A465</f>
        <v>Dry</v>
      </c>
      <c r="C319" s="263">
        <f>'Final data_for_R_analysis_Dryse'!B465</f>
        <v>24</v>
      </c>
      <c r="D319" t="s">
        <v>3829</v>
      </c>
      <c r="E319" t="s">
        <v>25</v>
      </c>
      <c r="F319" s="387">
        <v>8</v>
      </c>
      <c r="G319" s="16">
        <f>'Dry_Litterbag Placem_Collection'!E26</f>
        <v>42936</v>
      </c>
      <c r="H319" s="92" t="str">
        <f>'Final data_for_R_analysis_Dryse'!J465</f>
        <v>G562</v>
      </c>
      <c r="I319" t="str">
        <f>'Final data_for_R_analysis_Dryse'!J685</f>
        <v>R650</v>
      </c>
      <c r="J319">
        <f>IFERROR(INDEX('Green_rooibos initial weight'!$C$5:$C$1749,MATCH(H319, 'Green_rooibos initial weight'!$A$5:$A$1749,0)),"")</f>
        <v>2.1419999999999999</v>
      </c>
      <c r="K319">
        <f>IFERROR(INDEX('Green_rooibos initial weight'!$C$5:$C$1749,MATCH(I319, 'Green_rooibos initial weight'!$A$5:$A$1749,0)),"")</f>
        <v>2.169</v>
      </c>
      <c r="L319" s="195">
        <f t="shared" si="30"/>
        <v>1.8921999999999999</v>
      </c>
      <c r="M319" s="195">
        <f t="shared" si="31"/>
        <v>1.9192</v>
      </c>
      <c r="N319" s="16">
        <f>IF('Dry_Litterbag Placem_Collection'!G26="N.A","",'Dry_Litterbag Placem_Collection'!G26)</f>
        <v>43007</v>
      </c>
      <c r="O319" s="195">
        <f>IF(IFERROR(INDEX('Both teabags AfterDry'!$D$1:$D$839,MATCH(H319,'Both teabags AfterDry'!$A$1:$A$839,0)),"")="N.A","",(IFERROR(INDEX('Both teabags AfterDry'!$D$1:$D$839,MATCH(H319,'Both teabags AfterDry'!$A$1:$A$839,0)),"")))</f>
        <v>1.8862000000000001</v>
      </c>
      <c r="P319" s="195">
        <f>IF(IFERROR(INDEX('Both teabags AfterDry'!$D$1:$D$839,MATCH(I319,'Both teabags AfterDry'!$A$1:$A$839,0)),"")="N.A","",(IFERROR(INDEX('Both teabags AfterDry'!$D$1:$D$839,MATCH(I319,'Both teabags AfterDry'!$A$1:$A$839,0)),"")))</f>
        <v>1.9756</v>
      </c>
      <c r="Q319" s="195">
        <f t="shared" si="32"/>
        <v>1.7356</v>
      </c>
      <c r="R319" s="195">
        <f t="shared" si="32"/>
        <v>1.825</v>
      </c>
      <c r="S319" s="195">
        <f t="shared" si="27"/>
        <v>8.2760807525631419E-2</v>
      </c>
      <c r="T319" s="195">
        <f t="shared" si="33"/>
        <v>5.4256491394475699E-2</v>
      </c>
      <c r="U319" s="195">
        <f t="shared" si="28"/>
        <v>0.95091704877032091</v>
      </c>
      <c r="V319">
        <f t="shared" si="29"/>
        <v>71</v>
      </c>
      <c r="W319" s="195">
        <f t="shared" si="34"/>
        <v>0.90170925472015273</v>
      </c>
      <c r="X319" s="195">
        <f t="shared" si="35"/>
        <v>3.3100921643758587E-2</v>
      </c>
      <c r="Y319" s="255" t="str">
        <f>IF(ISNUMBER(SEARCH("C", 'Dry_Litterbag Placem_Collection'!V26)),"YES","NO")</f>
        <v>NO</v>
      </c>
      <c r="Z319" s="255" t="str">
        <f>IF(ISNUMBER(SEARCH("H", 'Dry_Litterbag Placem_Collection'!V26)),"YES","NO")</f>
        <v>NO</v>
      </c>
      <c r="AA319" s="255" t="str">
        <f>IF(ISNUMBER(SEARCH("R", 'Dry_Litterbag Placem_Collection'!V26)),"YES","NO")</f>
        <v>NO</v>
      </c>
      <c r="AB319" s="255" t="str">
        <f>IF(ISNUMBER(SEARCH("C", 'Dry_Litterbag Placem_Collection'!U26)),"YES","NO")</f>
        <v>NO</v>
      </c>
      <c r="AC319" s="255" t="str">
        <f>IF(ISNUMBER(SEARCH("H", 'Dry_Litterbag Placem_Collection'!U26)),"YES","NO")</f>
        <v>NO</v>
      </c>
      <c r="AD319" s="255" t="str">
        <f>IF(ISNUMBER(SEARCH("R", 'Dry_Litterbag Placem_Collection'!U26)),"YES","NO")</f>
        <v>NO</v>
      </c>
    </row>
    <row r="320" spans="2:30">
      <c r="B320" t="str">
        <f>'Final data_for_R_analysis_Dryse'!A466</f>
        <v>Dry</v>
      </c>
      <c r="C320" s="263">
        <f>'Final data_for_R_analysis_Dryse'!B466</f>
        <v>25</v>
      </c>
      <c r="D320" t="s">
        <v>3830</v>
      </c>
      <c r="E320" t="s">
        <v>25</v>
      </c>
      <c r="F320" s="386">
        <v>1</v>
      </c>
      <c r="G320" s="16">
        <f>'Dry_Litterbag Placem_Collection'!E27</f>
        <v>42936</v>
      </c>
      <c r="H320" s="92" t="str">
        <f>'Final data_for_R_analysis_Dryse'!J466</f>
        <v>G156</v>
      </c>
      <c r="I320" t="str">
        <f>'Final data_for_R_analysis_Dryse'!J686</f>
        <v>R230</v>
      </c>
      <c r="J320">
        <f>IFERROR(INDEX('Green_rooibos initial weight'!$C$5:$C$1749,MATCH(H320, 'Green_rooibos initial weight'!$A$5:$A$1749,0)),"")</f>
        <v>1.944</v>
      </c>
      <c r="K320">
        <f>IFERROR(INDEX('Green_rooibos initial weight'!$C$5:$C$1749,MATCH(I320, 'Green_rooibos initial weight'!$A$5:$A$1749,0)),"")</f>
        <v>2.2589999999999999</v>
      </c>
      <c r="L320" s="195">
        <f t="shared" si="30"/>
        <v>1.6941999999999999</v>
      </c>
      <c r="M320" s="195">
        <f t="shared" si="31"/>
        <v>2.0091999999999999</v>
      </c>
      <c r="N320" s="16">
        <f>IF('Dry_Litterbag Placem_Collection'!G27="N.A","",'Dry_Litterbag Placem_Collection'!G27)</f>
        <v>43007</v>
      </c>
      <c r="O320" s="195">
        <f>IF(IFERROR(INDEX('Both teabags AfterDry'!$D$1:$D$839,MATCH(H320,'Both teabags AfterDry'!$A$1:$A$839,0)),"")="N.A","",(IFERROR(INDEX('Both teabags AfterDry'!$D$1:$D$839,MATCH(H320,'Both teabags AfterDry'!$A$1:$A$839,0)),"")))</f>
        <v>1.8079000000000001</v>
      </c>
      <c r="P320" s="195">
        <f>IF(IFERROR(INDEX('Both teabags AfterDry'!$D$1:$D$839,MATCH(I320,'Both teabags AfterDry'!$A$1:$A$839,0)),"")="N.A","",(IFERROR(INDEX('Both teabags AfterDry'!$D$1:$D$839,MATCH(I320,'Both teabags AfterDry'!$A$1:$A$839,0)),"")))</f>
        <v>2.0360999999999998</v>
      </c>
      <c r="Q320" s="195">
        <f t="shared" si="32"/>
        <v>1.6573</v>
      </c>
      <c r="R320" s="195">
        <f t="shared" si="32"/>
        <v>1.8854999999999997</v>
      </c>
      <c r="S320" s="195">
        <f t="shared" si="27"/>
        <v>2.1780191240703517E-2</v>
      </c>
      <c r="T320" s="195">
        <f t="shared" si="33"/>
        <v>1.4278700195805646E-2</v>
      </c>
      <c r="U320" s="195">
        <f t="shared" si="28"/>
        <v>0.93843320724666524</v>
      </c>
      <c r="V320">
        <f t="shared" si="29"/>
        <v>71</v>
      </c>
      <c r="W320" s="195">
        <f t="shared" si="34"/>
        <v>0.97413278950035209</v>
      </c>
      <c r="X320" s="195" t="str">
        <f t="shared" si="35"/>
        <v/>
      </c>
      <c r="Y320" s="255" t="str">
        <f>IF(ISNUMBER(SEARCH("C", 'Dry_Litterbag Placem_Collection'!V27)),"YES","NO")</f>
        <v>NO</v>
      </c>
      <c r="Z320" s="255" t="str">
        <f>IF(ISNUMBER(SEARCH("H", 'Dry_Litterbag Placem_Collection'!V27)),"YES","NO")</f>
        <v>NO</v>
      </c>
      <c r="AA320" s="255" t="str">
        <f>IF(ISNUMBER(SEARCH("R", 'Dry_Litterbag Placem_Collection'!V27)),"YES","NO")</f>
        <v>NO</v>
      </c>
      <c r="AB320" s="255" t="str">
        <f>IF(ISNUMBER(SEARCH("C", 'Dry_Litterbag Placem_Collection'!U27)),"YES","NO")</f>
        <v>NO</v>
      </c>
      <c r="AC320" s="255" t="str">
        <f>IF(ISNUMBER(SEARCH("H", 'Dry_Litterbag Placem_Collection'!U27)),"YES","NO")</f>
        <v>NO</v>
      </c>
      <c r="AD320" s="255" t="str">
        <f>IF(ISNUMBER(SEARCH("R", 'Dry_Litterbag Placem_Collection'!U27)),"YES","NO")</f>
        <v>NO</v>
      </c>
    </row>
    <row r="321" spans="2:30">
      <c r="B321" t="str">
        <f>'Final data_for_R_analysis_Dryse'!A467</f>
        <v>Dry</v>
      </c>
      <c r="C321" s="263">
        <f>'Final data_for_R_analysis_Dryse'!B467</f>
        <v>26</v>
      </c>
      <c r="D321" t="s">
        <v>3830</v>
      </c>
      <c r="E321" t="s">
        <v>25</v>
      </c>
      <c r="F321" s="386">
        <v>2</v>
      </c>
      <c r="G321" s="16">
        <f>'Dry_Litterbag Placem_Collection'!E28</f>
        <v>42936</v>
      </c>
      <c r="H321" s="92" t="str">
        <f>'Final data_for_R_analysis_Dryse'!J467</f>
        <v>G555</v>
      </c>
      <c r="I321" t="str">
        <f>'Final data_for_R_analysis_Dryse'!J687</f>
        <v>R642</v>
      </c>
      <c r="J321">
        <f>IFERROR(INDEX('Green_rooibos initial weight'!$C$5:$C$1749,MATCH(H321, 'Green_rooibos initial weight'!$A$5:$A$1749,0)),"")</f>
        <v>2.1469999999999998</v>
      </c>
      <c r="K321">
        <f>IFERROR(INDEX('Green_rooibos initial weight'!$C$5:$C$1749,MATCH(I321, 'Green_rooibos initial weight'!$A$5:$A$1749,0)),"")</f>
        <v>2.14</v>
      </c>
      <c r="L321" s="195">
        <f t="shared" si="30"/>
        <v>1.8971999999999998</v>
      </c>
      <c r="M321" s="195">
        <f t="shared" si="31"/>
        <v>1.8902000000000001</v>
      </c>
      <c r="N321" s="16">
        <f>IF('Dry_Litterbag Placem_Collection'!G28="N.A","",'Dry_Litterbag Placem_Collection'!G28)</f>
        <v>43007</v>
      </c>
      <c r="O321" s="195">
        <f>IF(IFERROR(INDEX('Both teabags AfterDry'!$D$1:$D$839,MATCH(H321,'Both teabags AfterDry'!$A$1:$A$839,0)),"")="N.A","",(IFERROR(INDEX('Both teabags AfterDry'!$D$1:$D$839,MATCH(H321,'Both teabags AfterDry'!$A$1:$A$839,0)),"")))</f>
        <v>2.0030000000000001</v>
      </c>
      <c r="P321" s="195">
        <f>IF(IFERROR(INDEX('Both teabags AfterDry'!$D$1:$D$839,MATCH(I321,'Both teabags AfterDry'!$A$1:$A$839,0)),"")="N.A","",(IFERROR(INDEX('Both teabags AfterDry'!$D$1:$D$839,MATCH(I321,'Both teabags AfterDry'!$A$1:$A$839,0)),"")))</f>
        <v>1.9686999999999999</v>
      </c>
      <c r="Q321" s="195">
        <f t="shared" si="32"/>
        <v>1.8524</v>
      </c>
      <c r="R321" s="195">
        <f t="shared" si="32"/>
        <v>1.8180999999999998</v>
      </c>
      <c r="S321" s="195">
        <f t="shared" si="27"/>
        <v>2.3613746573898253E-2</v>
      </c>
      <c r="T321" s="195">
        <f t="shared" si="33"/>
        <v>1.5480745972436866E-2</v>
      </c>
      <c r="U321" s="195">
        <f t="shared" si="28"/>
        <v>0.96185588826579183</v>
      </c>
      <c r="V321">
        <f t="shared" si="29"/>
        <v>71</v>
      </c>
      <c r="W321" s="195">
        <f t="shared" si="34"/>
        <v>0.97195517033978829</v>
      </c>
      <c r="X321" s="195" t="str">
        <f t="shared" si="35"/>
        <v/>
      </c>
      <c r="Y321" s="255" t="str">
        <f>IF(ISNUMBER(SEARCH("C", 'Dry_Litterbag Placem_Collection'!V28)),"YES","NO")</f>
        <v>NO</v>
      </c>
      <c r="Z321" s="255" t="str">
        <f>IF(ISNUMBER(SEARCH("H", 'Dry_Litterbag Placem_Collection'!V28)),"YES","NO")</f>
        <v>NO</v>
      </c>
      <c r="AA321" s="255" t="str">
        <f>IF(ISNUMBER(SEARCH("R", 'Dry_Litterbag Placem_Collection'!V28)),"YES","NO")</f>
        <v>NO</v>
      </c>
      <c r="AB321" s="255" t="str">
        <f>IF(ISNUMBER(SEARCH("C", 'Dry_Litterbag Placem_Collection'!U28)),"YES","NO")</f>
        <v>NO</v>
      </c>
      <c r="AC321" s="255" t="str">
        <f>IF(ISNUMBER(SEARCH("H", 'Dry_Litterbag Placem_Collection'!U28)),"YES","NO")</f>
        <v>NO</v>
      </c>
      <c r="AD321" s="255" t="str">
        <f>IF(ISNUMBER(SEARCH("R", 'Dry_Litterbag Placem_Collection'!U28)),"YES","NO")</f>
        <v>NO</v>
      </c>
    </row>
    <row r="322" spans="2:30">
      <c r="B322" t="str">
        <f>'Final data_for_R_analysis_Dryse'!A468</f>
        <v>Dry</v>
      </c>
      <c r="C322" s="263">
        <f>'Final data_for_R_analysis_Dryse'!B468</f>
        <v>27</v>
      </c>
      <c r="D322" t="s">
        <v>3830</v>
      </c>
      <c r="E322" t="s">
        <v>25</v>
      </c>
      <c r="F322" s="386">
        <v>3</v>
      </c>
      <c r="G322" s="16">
        <f>'Dry_Litterbag Placem_Collection'!E29</f>
        <v>42936</v>
      </c>
      <c r="H322" s="92" t="str">
        <f>'Final data_for_R_analysis_Dryse'!J468</f>
        <v>G378</v>
      </c>
      <c r="I322" t="str">
        <f>'Final data_for_R_analysis_Dryse'!J688</f>
        <v>R199</v>
      </c>
      <c r="J322">
        <f>IFERROR(INDEX('Green_rooibos initial weight'!$C$5:$C$1749,MATCH(H322, 'Green_rooibos initial weight'!$A$5:$A$1749,0)),"")</f>
        <v>2.0830000000000002</v>
      </c>
      <c r="K322">
        <f>IFERROR(INDEX('Green_rooibos initial weight'!$C$5:$C$1749,MATCH(I322, 'Green_rooibos initial weight'!$A$5:$A$1749,0)),"")</f>
        <v>2.1850000000000001</v>
      </c>
      <c r="L322" s="195">
        <f t="shared" si="30"/>
        <v>1.8332000000000002</v>
      </c>
      <c r="M322" s="195">
        <f t="shared" si="31"/>
        <v>1.9352</v>
      </c>
      <c r="N322" s="16">
        <f>IF('Dry_Litterbag Placem_Collection'!G29="N.A","",'Dry_Litterbag Placem_Collection'!G29)</f>
        <v>43007</v>
      </c>
      <c r="O322" s="195" t="str">
        <f>IF(IFERROR(INDEX('Both teabags AfterDry'!$D$1:$D$839,MATCH(H322,'Both teabags AfterDry'!$A$1:$A$839,0)),"")="N.A","",(IFERROR(INDEX('Both teabags AfterDry'!$D$1:$D$839,MATCH(H322,'Both teabags AfterDry'!$A$1:$A$839,0)),"")))</f>
        <v/>
      </c>
      <c r="P322" s="195" t="str">
        <f>IF(IFERROR(INDEX('Both teabags AfterDry'!$D$1:$D$839,MATCH(I322,'Both teabags AfterDry'!$A$1:$A$839,0)),"")="N.A","",(IFERROR(INDEX('Both teabags AfterDry'!$D$1:$D$839,MATCH(I322,'Both teabags AfterDry'!$A$1:$A$839,0)),"")))</f>
        <v/>
      </c>
      <c r="Q322" s="195" t="str">
        <f t="shared" si="32"/>
        <v/>
      </c>
      <c r="R322" s="195" t="str">
        <f t="shared" si="32"/>
        <v/>
      </c>
      <c r="S322" s="195" t="str">
        <f t="shared" si="27"/>
        <v/>
      </c>
      <c r="T322" s="195" t="str">
        <f t="shared" si="33"/>
        <v/>
      </c>
      <c r="U322" s="195" t="str">
        <f t="shared" si="28"/>
        <v/>
      </c>
      <c r="V322">
        <f t="shared" si="29"/>
        <v>71</v>
      </c>
      <c r="W322" s="195" t="str">
        <f t="shared" si="34"/>
        <v/>
      </c>
      <c r="X322" s="195" t="str">
        <f t="shared" si="35"/>
        <v/>
      </c>
      <c r="Y322" s="255" t="str">
        <f>IF(ISNUMBER(SEARCH("C", 'Dry_Litterbag Placem_Collection'!V29)),"YES","NO")</f>
        <v>NO</v>
      </c>
      <c r="Z322" s="255" t="str">
        <f>IF(ISNUMBER(SEARCH("H", 'Dry_Litterbag Placem_Collection'!V29)),"YES","NO")</f>
        <v>NO</v>
      </c>
      <c r="AA322" s="255" t="str">
        <f>IF(ISNUMBER(SEARCH("R", 'Dry_Litterbag Placem_Collection'!V29)),"YES","NO")</f>
        <v>NO</v>
      </c>
      <c r="AB322" s="255" t="str">
        <f>IF(ISNUMBER(SEARCH("C", 'Dry_Litterbag Placem_Collection'!U29)),"YES","NO")</f>
        <v>NO</v>
      </c>
      <c r="AC322" s="255" t="str">
        <f>IF(ISNUMBER(SEARCH("H", 'Dry_Litterbag Placem_Collection'!U29)),"YES","NO")</f>
        <v>NO</v>
      </c>
      <c r="AD322" s="255" t="str">
        <f>IF(ISNUMBER(SEARCH("R", 'Dry_Litterbag Placem_Collection'!U29)),"YES","NO")</f>
        <v>NO</v>
      </c>
    </row>
    <row r="323" spans="2:30">
      <c r="B323" t="str">
        <f>'Final data_for_R_analysis_Dryse'!A469</f>
        <v>Dry</v>
      </c>
      <c r="C323" s="263">
        <f>'Final data_for_R_analysis_Dryse'!B469</f>
        <v>28</v>
      </c>
      <c r="D323" t="s">
        <v>3830</v>
      </c>
      <c r="E323" t="s">
        <v>25</v>
      </c>
      <c r="F323" s="387">
        <v>4</v>
      </c>
      <c r="G323" s="16">
        <f>'Dry_Litterbag Placem_Collection'!E30</f>
        <v>42936</v>
      </c>
      <c r="H323" s="92" t="str">
        <f>'Final data_for_R_analysis_Dryse'!J469</f>
        <v>G46</v>
      </c>
      <c r="I323" t="str">
        <f>'Final data_for_R_analysis_Dryse'!J689</f>
        <v>R162</v>
      </c>
      <c r="J323">
        <f>IFERROR(INDEX('Green_rooibos initial weight'!$C$5:$C$1749,MATCH(H323, 'Green_rooibos initial weight'!$A$5:$A$1749,0)),"")</f>
        <v>1.895</v>
      </c>
      <c r="K323">
        <f>IFERROR(INDEX('Green_rooibos initial weight'!$C$5:$C$1749,MATCH(I323, 'Green_rooibos initial weight'!$A$5:$A$1749,0)),"")</f>
        <v>2.242</v>
      </c>
      <c r="L323" s="195">
        <f t="shared" si="30"/>
        <v>1.6452</v>
      </c>
      <c r="M323" s="195">
        <f t="shared" si="31"/>
        <v>1.9922</v>
      </c>
      <c r="N323" s="16">
        <f>IF('Dry_Litterbag Placem_Collection'!G30="N.A","",'Dry_Litterbag Placem_Collection'!G30)</f>
        <v>43007</v>
      </c>
      <c r="O323" s="195">
        <f>IF(IFERROR(INDEX('Both teabags AfterDry'!$D$1:$D$839,MATCH(H323,'Both teabags AfterDry'!$A$1:$A$839,0)),"")="N.A","",(IFERROR(INDEX('Both teabags AfterDry'!$D$1:$D$839,MATCH(H323,'Both teabags AfterDry'!$A$1:$A$839,0)),"")))</f>
        <v>1.5884</v>
      </c>
      <c r="P323" s="195">
        <f>IF(IFERROR(INDEX('Both teabags AfterDry'!$D$1:$D$839,MATCH(I323,'Both teabags AfterDry'!$A$1:$A$839,0)),"")="N.A","",(IFERROR(INDEX('Both teabags AfterDry'!$D$1:$D$839,MATCH(I323,'Both teabags AfterDry'!$A$1:$A$839,0)),"")))</f>
        <v>1.964</v>
      </c>
      <c r="Q323" s="195">
        <f t="shared" si="32"/>
        <v>1.4378</v>
      </c>
      <c r="R323" s="195">
        <f t="shared" si="32"/>
        <v>1.8133999999999999</v>
      </c>
      <c r="S323" s="195">
        <f t="shared" si="27"/>
        <v>0.12606370046194992</v>
      </c>
      <c r="T323" s="195">
        <f t="shared" si="33"/>
        <v>8.2645086288594224E-2</v>
      </c>
      <c r="U323" s="195">
        <f t="shared" si="28"/>
        <v>0.91024997490211823</v>
      </c>
      <c r="V323">
        <f t="shared" si="29"/>
        <v>71</v>
      </c>
      <c r="W323" s="195">
        <f t="shared" si="34"/>
        <v>0.8502806407815322</v>
      </c>
      <c r="X323" s="195" t="str">
        <f t="shared" si="35"/>
        <v/>
      </c>
      <c r="Y323" s="255" t="str">
        <f>IF(ISNUMBER(SEARCH("C", 'Dry_Litterbag Placem_Collection'!V30)),"YES","NO")</f>
        <v>NO</v>
      </c>
      <c r="Z323" s="255" t="str">
        <f>IF(ISNUMBER(SEARCH("H", 'Dry_Litterbag Placem_Collection'!V30)),"YES","NO")</f>
        <v>NO</v>
      </c>
      <c r="AA323" s="255" t="str">
        <f>IF(ISNUMBER(SEARCH("R", 'Dry_Litterbag Placem_Collection'!V30)),"YES","NO")</f>
        <v>NO</v>
      </c>
      <c r="AB323" s="255" t="str">
        <f>IF(ISNUMBER(SEARCH("C", 'Dry_Litterbag Placem_Collection'!U30)),"YES","NO")</f>
        <v>NO</v>
      </c>
      <c r="AC323" s="255" t="str">
        <f>IF(ISNUMBER(SEARCH("H", 'Dry_Litterbag Placem_Collection'!U30)),"YES","NO")</f>
        <v>NO</v>
      </c>
      <c r="AD323" s="255" t="str">
        <f>IF(ISNUMBER(SEARCH("R", 'Dry_Litterbag Placem_Collection'!U30)),"YES","NO")</f>
        <v>NO</v>
      </c>
    </row>
    <row r="324" spans="2:30">
      <c r="B324" t="str">
        <f>'Final data_for_R_analysis_Dryse'!A470</f>
        <v>Dry</v>
      </c>
      <c r="C324" s="263">
        <f>'Final data_for_R_analysis_Dryse'!B470</f>
        <v>29</v>
      </c>
      <c r="D324" t="s">
        <v>3830</v>
      </c>
      <c r="E324" t="s">
        <v>25</v>
      </c>
      <c r="F324" s="387">
        <v>5</v>
      </c>
      <c r="G324" s="16">
        <f>'Dry_Litterbag Placem_Collection'!E31</f>
        <v>42936</v>
      </c>
      <c r="H324" s="92" t="str">
        <f>'Final data_for_R_analysis_Dryse'!J470</f>
        <v>G397</v>
      </c>
      <c r="I324" t="str">
        <f>'Final data_for_R_analysis_Dryse'!J690</f>
        <v>R163</v>
      </c>
      <c r="J324">
        <f>IFERROR(INDEX('Green_rooibos initial weight'!$C$5:$C$1749,MATCH(H324, 'Green_rooibos initial weight'!$A$5:$A$1749,0)),"")</f>
        <v>1.968</v>
      </c>
      <c r="K324">
        <f>IFERROR(INDEX('Green_rooibos initial weight'!$C$5:$C$1749,MATCH(I324, 'Green_rooibos initial weight'!$A$5:$A$1749,0)),"")</f>
        <v>2.23</v>
      </c>
      <c r="L324" s="195">
        <f t="shared" si="30"/>
        <v>1.7181999999999999</v>
      </c>
      <c r="M324" s="195">
        <f t="shared" si="31"/>
        <v>1.9802</v>
      </c>
      <c r="N324" s="16">
        <f>IF('Dry_Litterbag Placem_Collection'!G31="N.A","",'Dry_Litterbag Placem_Collection'!G31)</f>
        <v>43007</v>
      </c>
      <c r="O324" s="195">
        <f>IF(IFERROR(INDEX('Both teabags AfterDry'!$D$1:$D$839,MATCH(H324,'Both teabags AfterDry'!$A$1:$A$839,0)),"")="N.A","",(IFERROR(INDEX('Both teabags AfterDry'!$D$1:$D$839,MATCH(H324,'Both teabags AfterDry'!$A$1:$A$839,0)),"")))</f>
        <v>1.7436</v>
      </c>
      <c r="P324" s="195">
        <f>IF(IFERROR(INDEX('Both teabags AfterDry'!$D$1:$D$839,MATCH(I324,'Both teabags AfterDry'!$A$1:$A$839,0)),"")="N.A","",(IFERROR(INDEX('Both teabags AfterDry'!$D$1:$D$839,MATCH(I324,'Both teabags AfterDry'!$A$1:$A$839,0)),"")))</f>
        <v>1.9955000000000001</v>
      </c>
      <c r="Q324" s="195">
        <f t="shared" si="32"/>
        <v>1.593</v>
      </c>
      <c r="R324" s="195">
        <f t="shared" si="32"/>
        <v>1.8449</v>
      </c>
      <c r="S324" s="195">
        <f t="shared" si="27"/>
        <v>7.2866953788848776E-2</v>
      </c>
      <c r="T324" s="195">
        <f t="shared" si="33"/>
        <v>4.7770259491026743E-2</v>
      </c>
      <c r="U324" s="195">
        <f t="shared" si="28"/>
        <v>0.93167356832643167</v>
      </c>
      <c r="V324">
        <f t="shared" si="29"/>
        <v>71</v>
      </c>
      <c r="W324" s="195">
        <f t="shared" si="34"/>
        <v>0.91345967483509649</v>
      </c>
      <c r="X324" s="195" t="str">
        <f t="shared" si="35"/>
        <v/>
      </c>
      <c r="Y324" s="255" t="str">
        <f>IF(ISNUMBER(SEARCH("C", 'Dry_Litterbag Placem_Collection'!V31)),"YES","NO")</f>
        <v>NO</v>
      </c>
      <c r="Z324" s="255" t="str">
        <f>IF(ISNUMBER(SEARCH("H", 'Dry_Litterbag Placem_Collection'!V31)),"YES","NO")</f>
        <v>NO</v>
      </c>
      <c r="AA324" s="255" t="str">
        <f>IF(ISNUMBER(SEARCH("R", 'Dry_Litterbag Placem_Collection'!V31)),"YES","NO")</f>
        <v>NO</v>
      </c>
      <c r="AB324" s="255" t="str">
        <f>IF(ISNUMBER(SEARCH("C", 'Dry_Litterbag Placem_Collection'!U31)),"YES","NO")</f>
        <v>NO</v>
      </c>
      <c r="AC324" s="255" t="str">
        <f>IF(ISNUMBER(SEARCH("H", 'Dry_Litterbag Placem_Collection'!U31)),"YES","NO")</f>
        <v>NO</v>
      </c>
      <c r="AD324" s="255" t="str">
        <f>IF(ISNUMBER(SEARCH("R", 'Dry_Litterbag Placem_Collection'!U31)),"YES","NO")</f>
        <v>NO</v>
      </c>
    </row>
    <row r="325" spans="2:30">
      <c r="B325" t="str">
        <f>'Final data_for_R_analysis_Dryse'!A471</f>
        <v>Dry</v>
      </c>
      <c r="C325" s="263">
        <f>'Final data_for_R_analysis_Dryse'!B471</f>
        <v>30</v>
      </c>
      <c r="D325" t="s">
        <v>3830</v>
      </c>
      <c r="E325" t="s">
        <v>25</v>
      </c>
      <c r="F325" s="387">
        <v>6</v>
      </c>
      <c r="G325" s="16">
        <f>'Dry_Litterbag Placem_Collection'!E32</f>
        <v>42936</v>
      </c>
      <c r="H325" s="92" t="str">
        <f>'Final data_for_R_analysis_Dryse'!J471</f>
        <v>G166</v>
      </c>
      <c r="I325" t="str">
        <f>'Final data_for_R_analysis_Dryse'!J691</f>
        <v>R345</v>
      </c>
      <c r="J325">
        <f>IFERROR(INDEX('Green_rooibos initial weight'!$C$5:$C$1749,MATCH(H325, 'Green_rooibos initial weight'!$A$5:$A$1749,0)),"")</f>
        <v>2.032</v>
      </c>
      <c r="K325">
        <f>IFERROR(INDEX('Green_rooibos initial weight'!$C$5:$C$1749,MATCH(I325, 'Green_rooibos initial weight'!$A$5:$A$1749,0)),"")</f>
        <v>2.2599999999999998</v>
      </c>
      <c r="L325" s="195">
        <f t="shared" si="30"/>
        <v>1.7822</v>
      </c>
      <c r="M325" s="195">
        <f t="shared" si="31"/>
        <v>2.0101999999999998</v>
      </c>
      <c r="N325" s="16">
        <f>IF('Dry_Litterbag Placem_Collection'!G32="N.A","",'Dry_Litterbag Placem_Collection'!G32)</f>
        <v>43007</v>
      </c>
      <c r="O325" s="195">
        <f>IF(IFERROR(INDEX('Both teabags AfterDry'!$D$1:$D$839,MATCH(H325,'Both teabags AfterDry'!$A$1:$A$839,0)),"")="N.A","",(IFERROR(INDEX('Both teabags AfterDry'!$D$1:$D$839,MATCH(H325,'Both teabags AfterDry'!$A$1:$A$839,0)),"")))</f>
        <v>1.8809</v>
      </c>
      <c r="P325" s="195">
        <f>IF(IFERROR(INDEX('Both teabags AfterDry'!$D$1:$D$839,MATCH(I325,'Both teabags AfterDry'!$A$1:$A$839,0)),"")="N.A","",(IFERROR(INDEX('Both teabags AfterDry'!$D$1:$D$839,MATCH(I325,'Both teabags AfterDry'!$A$1:$A$839,0)),"")))</f>
        <v>2.0409000000000002</v>
      </c>
      <c r="Q325" s="195">
        <f t="shared" si="32"/>
        <v>1.7302999999999999</v>
      </c>
      <c r="R325" s="195">
        <f t="shared" si="32"/>
        <v>1.8903000000000001</v>
      </c>
      <c r="S325" s="195">
        <f t="shared" si="27"/>
        <v>2.9121310739535389E-2</v>
      </c>
      <c r="T325" s="195">
        <f t="shared" si="33"/>
        <v>1.9091405615467367E-2</v>
      </c>
      <c r="U325" s="195">
        <f t="shared" si="28"/>
        <v>0.94035419361257599</v>
      </c>
      <c r="V325">
        <f t="shared" si="29"/>
        <v>71</v>
      </c>
      <c r="W325" s="195">
        <f t="shared" si="34"/>
        <v>0.96541412026183449</v>
      </c>
      <c r="X325" s="195" t="str">
        <f t="shared" si="35"/>
        <v/>
      </c>
      <c r="Y325" s="255" t="str">
        <f>IF(ISNUMBER(SEARCH("C", 'Dry_Litterbag Placem_Collection'!V32)),"YES","NO")</f>
        <v>NO</v>
      </c>
      <c r="Z325" s="255" t="str">
        <f>IF(ISNUMBER(SEARCH("H", 'Dry_Litterbag Placem_Collection'!V32)),"YES","NO")</f>
        <v>NO</v>
      </c>
      <c r="AA325" s="255" t="str">
        <f>IF(ISNUMBER(SEARCH("R", 'Dry_Litterbag Placem_Collection'!V32)),"YES","NO")</f>
        <v>NO</v>
      </c>
      <c r="AB325" s="255" t="str">
        <f>IF(ISNUMBER(SEARCH("C", 'Dry_Litterbag Placem_Collection'!U32)),"YES","NO")</f>
        <v>NO</v>
      </c>
      <c r="AC325" s="255" t="str">
        <f>IF(ISNUMBER(SEARCH("H", 'Dry_Litterbag Placem_Collection'!U32)),"YES","NO")</f>
        <v>NO</v>
      </c>
      <c r="AD325" s="255" t="str">
        <f>IF(ISNUMBER(SEARCH("R", 'Dry_Litterbag Placem_Collection'!U32)),"YES","NO")</f>
        <v>NO</v>
      </c>
    </row>
    <row r="326" spans="2:30">
      <c r="B326" t="str">
        <f>'Final data_for_R_analysis_Dryse'!A472</f>
        <v>Dry</v>
      </c>
      <c r="C326" s="263">
        <f>'Final data_for_R_analysis_Dryse'!B472</f>
        <v>31</v>
      </c>
      <c r="D326" t="s">
        <v>3830</v>
      </c>
      <c r="E326" t="s">
        <v>25</v>
      </c>
      <c r="F326" s="387">
        <v>7</v>
      </c>
      <c r="G326" s="390">
        <f>'Dry_Litterbag Placem_Collection'!E33</f>
        <v>0</v>
      </c>
      <c r="H326" s="92" t="str">
        <f>'Final data_for_R_analysis_Dryse'!J472</f>
        <v/>
      </c>
      <c r="I326" t="str">
        <f>'Final data_for_R_analysis_Dryse'!J692</f>
        <v/>
      </c>
      <c r="J326" t="str">
        <f>IFERROR(INDEX('Green_rooibos initial weight'!$C$5:$C$1749,MATCH(H326, 'Green_rooibos initial weight'!$A$5:$A$1749,0)),"")</f>
        <v/>
      </c>
      <c r="K326" t="str">
        <f>IFERROR(INDEX('Green_rooibos initial weight'!$C$5:$C$1749,MATCH(I326, 'Green_rooibos initial weight'!$A$5:$A$1749,0)),"")</f>
        <v/>
      </c>
      <c r="L326" s="195" t="str">
        <f t="shared" si="30"/>
        <v/>
      </c>
      <c r="M326" s="195" t="str">
        <f t="shared" si="31"/>
        <v/>
      </c>
      <c r="N326" s="16">
        <f>IF('Dry_Litterbag Placem_Collection'!G33="N.A","",'Dry_Litterbag Placem_Collection'!G33)</f>
        <v>0</v>
      </c>
      <c r="O326" s="195" t="str">
        <f>IF(IFERROR(INDEX('Both teabags AfterDry'!$D$1:$D$839,MATCH(H326,'Both teabags AfterDry'!$A$1:$A$839,0)),"")="N.A","",(IFERROR(INDEX('Both teabags AfterDry'!$D$1:$D$839,MATCH(H326,'Both teabags AfterDry'!$A$1:$A$839,0)),"")))</f>
        <v/>
      </c>
      <c r="P326" s="195" t="str">
        <f>IF(IFERROR(INDEX('Both teabags AfterDry'!$D$1:$D$839,MATCH(I326,'Both teabags AfterDry'!$A$1:$A$839,0)),"")="N.A","",(IFERROR(INDEX('Both teabags AfterDry'!$D$1:$D$839,MATCH(I326,'Both teabags AfterDry'!$A$1:$A$839,0)),"")))</f>
        <v/>
      </c>
      <c r="Q326" s="195" t="str">
        <f t="shared" si="32"/>
        <v/>
      </c>
      <c r="R326" s="195" t="str">
        <f t="shared" si="32"/>
        <v/>
      </c>
      <c r="S326" s="195" t="str">
        <f t="shared" si="27"/>
        <v/>
      </c>
      <c r="T326" s="195" t="str">
        <f t="shared" si="33"/>
        <v/>
      </c>
      <c r="U326" s="195" t="str">
        <f t="shared" si="28"/>
        <v/>
      </c>
      <c r="V326" t="str">
        <f t="shared" si="29"/>
        <v/>
      </c>
      <c r="W326" s="195" t="str">
        <f t="shared" si="34"/>
        <v/>
      </c>
      <c r="X326" s="195" t="str">
        <f t="shared" si="35"/>
        <v/>
      </c>
      <c r="Y326" s="255" t="str">
        <f>IF(ISNUMBER(SEARCH("C", 'Dry_Litterbag Placem_Collection'!V33)),"YES","NO")</f>
        <v>NO</v>
      </c>
      <c r="Z326" s="255" t="str">
        <f>IF(ISNUMBER(SEARCH("H", 'Dry_Litterbag Placem_Collection'!V33)),"YES","NO")</f>
        <v>NO</v>
      </c>
      <c r="AA326" s="255" t="str">
        <f>IF(ISNUMBER(SEARCH("R", 'Dry_Litterbag Placem_Collection'!V33)),"YES","NO")</f>
        <v>NO</v>
      </c>
      <c r="AB326" s="255" t="str">
        <f>IF(ISNUMBER(SEARCH("C", 'Dry_Litterbag Placem_Collection'!U33)),"YES","NO")</f>
        <v>NO</v>
      </c>
      <c r="AC326" s="255" t="str">
        <f>IF(ISNUMBER(SEARCH("H", 'Dry_Litterbag Placem_Collection'!U33)),"YES","NO")</f>
        <v>NO</v>
      </c>
      <c r="AD326" s="255" t="str">
        <f>IF(ISNUMBER(SEARCH("R", 'Dry_Litterbag Placem_Collection'!U33)),"YES","NO")</f>
        <v>NO</v>
      </c>
    </row>
    <row r="327" spans="2:30">
      <c r="B327" t="str">
        <f>'Final data_for_R_analysis_Dryse'!A473</f>
        <v>Dry</v>
      </c>
      <c r="C327" s="263">
        <f>'Final data_for_R_analysis_Dryse'!B473</f>
        <v>32</v>
      </c>
      <c r="D327" t="s">
        <v>3830</v>
      </c>
      <c r="E327" t="s">
        <v>25</v>
      </c>
      <c r="F327" s="387">
        <v>8</v>
      </c>
      <c r="G327" s="16">
        <f>'Dry_Litterbag Placem_Collection'!E34</f>
        <v>42936</v>
      </c>
      <c r="H327" s="92" t="str">
        <f>'Final data_for_R_analysis_Dryse'!J473</f>
        <v>G293</v>
      </c>
      <c r="I327" t="str">
        <f>'Final data_for_R_analysis_Dryse'!J693</f>
        <v>R660</v>
      </c>
      <c r="J327">
        <f>IFERROR(INDEX('Green_rooibos initial weight'!$C$5:$C$1749,MATCH(H327, 'Green_rooibos initial weight'!$A$5:$A$1749,0)),"")</f>
        <v>2.0699999999999998</v>
      </c>
      <c r="K327">
        <f>IFERROR(INDEX('Green_rooibos initial weight'!$C$5:$C$1749,MATCH(I327, 'Green_rooibos initial weight'!$A$5:$A$1749,0)),"")</f>
        <v>2.2080000000000002</v>
      </c>
      <c r="L327" s="195">
        <f t="shared" si="30"/>
        <v>1.8201999999999998</v>
      </c>
      <c r="M327" s="195">
        <f t="shared" si="31"/>
        <v>1.9582000000000002</v>
      </c>
      <c r="N327" s="16">
        <f>IF('Dry_Litterbag Placem_Collection'!G34="N.A","",'Dry_Litterbag Placem_Collection'!G34)</f>
        <v>43007</v>
      </c>
      <c r="O327" s="195">
        <f>IF(IFERROR(INDEX('Both teabags AfterDry'!$D$1:$D$839,MATCH(H327,'Both teabags AfterDry'!$A$1:$A$839,0)),"")="N.A","",(IFERROR(INDEX('Both teabags AfterDry'!$D$1:$D$839,MATCH(H327,'Both teabags AfterDry'!$A$1:$A$839,0)),"")))</f>
        <v>1.8129</v>
      </c>
      <c r="P327" s="195">
        <f>IF(IFERROR(INDEX('Both teabags AfterDry'!$D$1:$D$839,MATCH(I327,'Both teabags AfterDry'!$A$1:$A$839,0)),"")="N.A","",(IFERROR(INDEX('Both teabags AfterDry'!$D$1:$D$839,MATCH(I327,'Both teabags AfterDry'!$A$1:$A$839,0)),"")))</f>
        <v>2.0331000000000001</v>
      </c>
      <c r="Q327" s="195">
        <f t="shared" si="32"/>
        <v>1.6622999999999999</v>
      </c>
      <c r="R327" s="195">
        <f t="shared" si="32"/>
        <v>1.8825000000000001</v>
      </c>
      <c r="S327" s="195">
        <f t="shared" si="27"/>
        <v>8.6748708933084284E-2</v>
      </c>
      <c r="T327" s="195">
        <f t="shared" si="33"/>
        <v>5.6870887566582595E-2</v>
      </c>
      <c r="U327" s="195">
        <f t="shared" si="28"/>
        <v>0.96134204882034513</v>
      </c>
      <c r="V327">
        <f t="shared" si="29"/>
        <v>71</v>
      </c>
      <c r="W327" s="195">
        <f t="shared" si="34"/>
        <v>0.89697302977068372</v>
      </c>
      <c r="X327" s="195">
        <f t="shared" si="35"/>
        <v>1.6037344169772986E-2</v>
      </c>
      <c r="Y327" s="255" t="str">
        <f>IF(ISNUMBER(SEARCH("C", 'Dry_Litterbag Placem_Collection'!V34)),"YES","NO")</f>
        <v>NO</v>
      </c>
      <c r="Z327" s="255" t="str">
        <f>IF(ISNUMBER(SEARCH("H", 'Dry_Litterbag Placem_Collection'!V34)),"YES","NO")</f>
        <v>NO</v>
      </c>
      <c r="AA327" s="255" t="str">
        <f>IF(ISNUMBER(SEARCH("R", 'Dry_Litterbag Placem_Collection'!V34)),"YES","NO")</f>
        <v>NO</v>
      </c>
      <c r="AB327" s="255" t="str">
        <f>IF(ISNUMBER(SEARCH("C", 'Dry_Litterbag Placem_Collection'!U34)),"YES","NO")</f>
        <v>NO</v>
      </c>
      <c r="AC327" s="255" t="str">
        <f>IF(ISNUMBER(SEARCH("H", 'Dry_Litterbag Placem_Collection'!U34)),"YES","NO")</f>
        <v>NO</v>
      </c>
      <c r="AD327" s="255" t="str">
        <f>IF(ISNUMBER(SEARCH("R", 'Dry_Litterbag Placem_Collection'!U34)),"YES","NO")</f>
        <v>NO</v>
      </c>
    </row>
    <row r="328" spans="2:30">
      <c r="B328" t="str">
        <f>'Final data_for_R_analysis_Dryse'!A474</f>
        <v>Dry</v>
      </c>
      <c r="C328" s="263">
        <f>'Final data_for_R_analysis_Dryse'!B474</f>
        <v>33</v>
      </c>
      <c r="D328" t="s">
        <v>3831</v>
      </c>
      <c r="E328" t="s">
        <v>25</v>
      </c>
      <c r="F328" s="386">
        <v>1</v>
      </c>
      <c r="G328" s="16">
        <f>'Dry_Litterbag Placem_Collection'!E35</f>
        <v>42938</v>
      </c>
      <c r="H328" s="92" t="str">
        <f>'Final data_for_R_analysis_Dryse'!J474</f>
        <v>G139</v>
      </c>
      <c r="I328" t="str">
        <f>'Final data_for_R_analysis_Dryse'!J694</f>
        <v>R712</v>
      </c>
      <c r="J328">
        <f>IFERROR(INDEX('Green_rooibos initial weight'!$C$5:$C$1749,MATCH(H328, 'Green_rooibos initial weight'!$A$5:$A$1749,0)),"")</f>
        <v>2.0059999999999998</v>
      </c>
      <c r="K328">
        <f>IFERROR(INDEX('Green_rooibos initial weight'!$C$5:$C$1749,MATCH(I328, 'Green_rooibos initial weight'!$A$5:$A$1749,0)),"")</f>
        <v>2.161</v>
      </c>
      <c r="L328" s="195">
        <f t="shared" si="30"/>
        <v>1.7561999999999998</v>
      </c>
      <c r="M328" s="195">
        <f t="shared" si="31"/>
        <v>1.9112</v>
      </c>
      <c r="N328" s="16">
        <f>IF('Dry_Litterbag Placem_Collection'!G35="N.A","",'Dry_Litterbag Placem_Collection'!G35)</f>
        <v>43005</v>
      </c>
      <c r="O328" s="195">
        <f>IF(IFERROR(INDEX('Both teabags AfterDry'!$D$1:$D$839,MATCH(H328,'Both teabags AfterDry'!$A$1:$A$839,0)),"")="N.A","",(IFERROR(INDEX('Both teabags AfterDry'!$D$1:$D$839,MATCH(H328,'Both teabags AfterDry'!$A$1:$A$839,0)),"")))</f>
        <v>1.8048</v>
      </c>
      <c r="P328" s="195">
        <f>IF(IFERROR(INDEX('Both teabags AfterDry'!$D$1:$D$839,MATCH(I328,'Both teabags AfterDry'!$A$1:$A$839,0)),"")="N.A","",(IFERROR(INDEX('Both teabags AfterDry'!$D$1:$D$839,MATCH(I328,'Both teabags AfterDry'!$A$1:$A$839,0)),"")))</f>
        <v>1.9524999999999999</v>
      </c>
      <c r="Q328" s="195">
        <f t="shared" si="32"/>
        <v>1.6541999999999999</v>
      </c>
      <c r="R328" s="195">
        <f t="shared" si="32"/>
        <v>1.8018999999999998</v>
      </c>
      <c r="S328" s="195">
        <f t="shared" si="27"/>
        <v>5.8079945336521943E-2</v>
      </c>
      <c r="T328" s="195">
        <f t="shared" si="33"/>
        <v>3.8076163688551233E-2</v>
      </c>
      <c r="U328" s="195">
        <f t="shared" si="28"/>
        <v>0.94281079949769764</v>
      </c>
      <c r="V328">
        <f t="shared" si="29"/>
        <v>67</v>
      </c>
      <c r="W328" s="195">
        <f t="shared" si="34"/>
        <v>0.9310214425932043</v>
      </c>
      <c r="X328" s="195" t="str">
        <f t="shared" si="35"/>
        <v/>
      </c>
      <c r="Y328" s="255" t="str">
        <f>IF(ISNUMBER(SEARCH("C", 'Dry_Litterbag Placem_Collection'!V35)),"YES","NO")</f>
        <v>NO</v>
      </c>
      <c r="Z328" s="255" t="str">
        <f>IF(ISNUMBER(SEARCH("H", 'Dry_Litterbag Placem_Collection'!V35)),"YES","NO")</f>
        <v>NO</v>
      </c>
      <c r="AA328" s="255" t="str">
        <f>IF(ISNUMBER(SEARCH("R", 'Dry_Litterbag Placem_Collection'!V35)),"YES","NO")</f>
        <v>NO</v>
      </c>
      <c r="AB328" s="255" t="str">
        <f>IF(ISNUMBER(SEARCH("C", 'Dry_Litterbag Placem_Collection'!U35)),"YES","NO")</f>
        <v>NO</v>
      </c>
      <c r="AC328" s="255" t="str">
        <f>IF(ISNUMBER(SEARCH("H", 'Dry_Litterbag Placem_Collection'!U35)),"YES","NO")</f>
        <v>NO</v>
      </c>
      <c r="AD328" s="255" t="str">
        <f>IF(ISNUMBER(SEARCH("R", 'Dry_Litterbag Placem_Collection'!U35)),"YES","NO")</f>
        <v>NO</v>
      </c>
    </row>
    <row r="329" spans="2:30">
      <c r="B329" t="str">
        <f>'Final data_for_R_analysis_Dryse'!A475</f>
        <v>Dry</v>
      </c>
      <c r="C329" s="263">
        <f>'Final data_for_R_analysis_Dryse'!B475</f>
        <v>34</v>
      </c>
      <c r="D329" t="s">
        <v>3831</v>
      </c>
      <c r="E329" t="s">
        <v>25</v>
      </c>
      <c r="F329" s="386">
        <v>2</v>
      </c>
      <c r="G329" s="16">
        <f>'Dry_Litterbag Placem_Collection'!E36</f>
        <v>42938</v>
      </c>
      <c r="H329" s="92" t="str">
        <f>'Final data_for_R_analysis_Dryse'!J475</f>
        <v>G487</v>
      </c>
      <c r="I329" t="str">
        <f>'Final data_for_R_analysis_Dryse'!J695</f>
        <v>R324</v>
      </c>
      <c r="J329">
        <f>IFERROR(INDEX('Green_rooibos initial weight'!$C$5:$C$1749,MATCH(H329, 'Green_rooibos initial weight'!$A$5:$A$1749,0)),"")</f>
        <v>1.9259999999999999</v>
      </c>
      <c r="K329">
        <f>IFERROR(INDEX('Green_rooibos initial weight'!$C$5:$C$1749,MATCH(I329, 'Green_rooibos initial weight'!$A$5:$A$1749,0)),"")</f>
        <v>2.2410000000000001</v>
      </c>
      <c r="L329" s="195">
        <f t="shared" si="30"/>
        <v>1.6761999999999999</v>
      </c>
      <c r="M329" s="195">
        <f t="shared" si="31"/>
        <v>1.9912000000000001</v>
      </c>
      <c r="N329" s="16">
        <f>IF('Dry_Litterbag Placem_Collection'!G36="N.A","",'Dry_Litterbag Placem_Collection'!G36)</f>
        <v>43005</v>
      </c>
      <c r="O329" s="195" t="str">
        <f>IF(IFERROR(INDEX('Both teabags AfterDry'!$D$1:$D$839,MATCH(H329,'Both teabags AfterDry'!$A$1:$A$839,0)),"")="N.A","",(IFERROR(INDEX('Both teabags AfterDry'!$D$1:$D$839,MATCH(H329,'Both teabags AfterDry'!$A$1:$A$839,0)),"")))</f>
        <v/>
      </c>
      <c r="P329" s="195" t="str">
        <f>IF(IFERROR(INDEX('Both teabags AfterDry'!$D$1:$D$839,MATCH(I329,'Both teabags AfterDry'!$A$1:$A$839,0)),"")="N.A","",(IFERROR(INDEX('Both teabags AfterDry'!$D$1:$D$839,MATCH(I329,'Both teabags AfterDry'!$A$1:$A$839,0)),"")))</f>
        <v/>
      </c>
      <c r="Q329" s="195" t="str">
        <f t="shared" si="32"/>
        <v/>
      </c>
      <c r="R329" s="195" t="str">
        <f t="shared" si="32"/>
        <v/>
      </c>
      <c r="S329" s="195" t="str">
        <f t="shared" si="27"/>
        <v/>
      </c>
      <c r="T329" s="195" t="str">
        <f t="shared" si="33"/>
        <v/>
      </c>
      <c r="U329" s="195" t="str">
        <f t="shared" si="28"/>
        <v/>
      </c>
      <c r="V329">
        <f t="shared" si="29"/>
        <v>67</v>
      </c>
      <c r="W329" s="195" t="str">
        <f t="shared" si="34"/>
        <v/>
      </c>
      <c r="X329" s="195" t="str">
        <f t="shared" si="35"/>
        <v/>
      </c>
      <c r="Y329" s="255" t="str">
        <f>IF(ISNUMBER(SEARCH("C", 'Dry_Litterbag Placem_Collection'!V36)),"YES","NO")</f>
        <v>NO</v>
      </c>
      <c r="Z329" s="255" t="str">
        <f>IF(ISNUMBER(SEARCH("H", 'Dry_Litterbag Placem_Collection'!V36)),"YES","NO")</f>
        <v>NO</v>
      </c>
      <c r="AA329" s="255" t="str">
        <f>IF(ISNUMBER(SEARCH("R", 'Dry_Litterbag Placem_Collection'!V36)),"YES","NO")</f>
        <v>NO</v>
      </c>
      <c r="AB329" s="255" t="str">
        <f>IF(ISNUMBER(SEARCH("C", 'Dry_Litterbag Placem_Collection'!U36)),"YES","NO")</f>
        <v>NO</v>
      </c>
      <c r="AC329" s="255" t="str">
        <f>IF(ISNUMBER(SEARCH("H", 'Dry_Litterbag Placem_Collection'!U36)),"YES","NO")</f>
        <v>NO</v>
      </c>
      <c r="AD329" s="255" t="str">
        <f>IF(ISNUMBER(SEARCH("R", 'Dry_Litterbag Placem_Collection'!U36)),"YES","NO")</f>
        <v>NO</v>
      </c>
    </row>
    <row r="330" spans="2:30">
      <c r="B330" t="str">
        <f>'Final data_for_R_analysis_Dryse'!A476</f>
        <v>Dry</v>
      </c>
      <c r="C330" s="263">
        <f>'Final data_for_R_analysis_Dryse'!B476</f>
        <v>35</v>
      </c>
      <c r="D330" t="s">
        <v>3831</v>
      </c>
      <c r="E330" t="s">
        <v>25</v>
      </c>
      <c r="F330" s="386">
        <v>3</v>
      </c>
      <c r="G330" s="16">
        <f>'Dry_Litterbag Placem_Collection'!E37</f>
        <v>42938</v>
      </c>
      <c r="H330" s="92" t="str">
        <f>'Final data_for_R_analysis_Dryse'!J476</f>
        <v>G717</v>
      </c>
      <c r="I330" t="str">
        <f>'Final data_for_R_analysis_Dryse'!J696</f>
        <v>R108</v>
      </c>
      <c r="J330">
        <f>IFERROR(INDEX('Green_rooibos initial weight'!$C$5:$C$1749,MATCH(H330, 'Green_rooibos initial weight'!$A$5:$A$1749,0)),"")</f>
        <v>1.944</v>
      </c>
      <c r="K330">
        <f>IFERROR(INDEX('Green_rooibos initial weight'!$C$5:$C$1749,MATCH(I330, 'Green_rooibos initial weight'!$A$5:$A$1749,0)),"")</f>
        <v>2.1680000000000001</v>
      </c>
      <c r="L330" s="195">
        <f t="shared" si="30"/>
        <v>1.6941999999999999</v>
      </c>
      <c r="M330" s="195">
        <f t="shared" si="31"/>
        <v>1.9182000000000001</v>
      </c>
      <c r="N330" s="16">
        <f>IF('Dry_Litterbag Placem_Collection'!G37="N.A","",'Dry_Litterbag Placem_Collection'!G37)</f>
        <v>43005</v>
      </c>
      <c r="O330" s="195">
        <f>IF(IFERROR(INDEX('Both teabags AfterDry'!$D$1:$D$839,MATCH(H330,'Both teabags AfterDry'!$A$1:$A$839,0)),"")="N.A","",(IFERROR(INDEX('Both teabags AfterDry'!$D$1:$D$839,MATCH(H330,'Both teabags AfterDry'!$A$1:$A$839,0)),"")))</f>
        <v>1.8165</v>
      </c>
      <c r="P330" s="195">
        <f>IF(IFERROR(INDEX('Both teabags AfterDry'!$D$1:$D$839,MATCH(I330,'Both teabags AfterDry'!$A$1:$A$839,0)),"")="N.A","",(IFERROR(INDEX('Both teabags AfterDry'!$D$1:$D$839,MATCH(I330,'Both teabags AfterDry'!$A$1:$A$839,0)),"")))</f>
        <v>1.9638</v>
      </c>
      <c r="Q330" s="195">
        <f t="shared" si="32"/>
        <v>1.6658999999999999</v>
      </c>
      <c r="R330" s="195">
        <f t="shared" si="32"/>
        <v>1.8131999999999999</v>
      </c>
      <c r="S330" s="195">
        <f t="shared" si="27"/>
        <v>1.6704049108723917E-2</v>
      </c>
      <c r="T330" s="195">
        <f t="shared" si="33"/>
        <v>1.0950873049899758E-2</v>
      </c>
      <c r="U330" s="195">
        <f t="shared" si="28"/>
        <v>0.94526118235846091</v>
      </c>
      <c r="V330">
        <f t="shared" si="29"/>
        <v>67</v>
      </c>
      <c r="W330" s="195">
        <f t="shared" si="34"/>
        <v>0.98016146186612363</v>
      </c>
      <c r="X330" s="195" t="str">
        <f t="shared" si="35"/>
        <v/>
      </c>
      <c r="Y330" s="255" t="str">
        <f>IF(ISNUMBER(SEARCH("C", 'Dry_Litterbag Placem_Collection'!V37)),"YES","NO")</f>
        <v>NO</v>
      </c>
      <c r="Z330" s="255" t="str">
        <f>IF(ISNUMBER(SEARCH("H", 'Dry_Litterbag Placem_Collection'!V37)),"YES","NO")</f>
        <v>NO</v>
      </c>
      <c r="AA330" s="255" t="str">
        <f>IF(ISNUMBER(SEARCH("R", 'Dry_Litterbag Placem_Collection'!V37)),"YES","NO")</f>
        <v>NO</v>
      </c>
      <c r="AB330" s="255" t="str">
        <f>IF(ISNUMBER(SEARCH("C", 'Dry_Litterbag Placem_Collection'!U37)),"YES","NO")</f>
        <v>NO</v>
      </c>
      <c r="AC330" s="255" t="str">
        <f>IF(ISNUMBER(SEARCH("H", 'Dry_Litterbag Placem_Collection'!U37)),"YES","NO")</f>
        <v>NO</v>
      </c>
      <c r="AD330" s="255" t="str">
        <f>IF(ISNUMBER(SEARCH("R", 'Dry_Litterbag Placem_Collection'!U37)),"YES","NO")</f>
        <v>NO</v>
      </c>
    </row>
    <row r="331" spans="2:30">
      <c r="B331" t="str">
        <f>'Final data_for_R_analysis_Dryse'!A477</f>
        <v>Dry</v>
      </c>
      <c r="C331" s="263">
        <f>'Final data_for_R_analysis_Dryse'!B477</f>
        <v>36</v>
      </c>
      <c r="D331" t="s">
        <v>3831</v>
      </c>
      <c r="E331" t="s">
        <v>25</v>
      </c>
      <c r="F331" s="387">
        <v>4</v>
      </c>
      <c r="G331" s="16">
        <f>'Dry_Litterbag Placem_Collection'!E38</f>
        <v>42938</v>
      </c>
      <c r="H331" s="92" t="str">
        <f>'Final data_for_R_analysis_Dryse'!J477</f>
        <v>G767</v>
      </c>
      <c r="I331" t="str">
        <f>'Final data_for_R_analysis_Dryse'!J697</f>
        <v>R152</v>
      </c>
      <c r="J331">
        <f>IFERROR(INDEX('Green_rooibos initial weight'!$C$5:$C$1749,MATCH(H331, 'Green_rooibos initial weight'!$A$5:$A$1749,0)),"")</f>
        <v>1.8879999999999999</v>
      </c>
      <c r="K331">
        <f>IFERROR(INDEX('Green_rooibos initial weight'!$C$5:$C$1749,MATCH(I331, 'Green_rooibos initial weight'!$A$5:$A$1749,0)),"")</f>
        <v>2.1800000000000002</v>
      </c>
      <c r="L331" s="195">
        <f t="shared" si="30"/>
        <v>1.6381999999999999</v>
      </c>
      <c r="M331" s="195">
        <f t="shared" si="31"/>
        <v>1.9302000000000001</v>
      </c>
      <c r="N331" s="16">
        <f>IF('Dry_Litterbag Placem_Collection'!G38="N.A","",'Dry_Litterbag Placem_Collection'!G38)</f>
        <v>43005</v>
      </c>
      <c r="O331" s="195">
        <f>IF(IFERROR(INDEX('Both teabags AfterDry'!$D$1:$D$839,MATCH(H331,'Both teabags AfterDry'!$A$1:$A$839,0)),"")="N.A","",(IFERROR(INDEX('Both teabags AfterDry'!$D$1:$D$839,MATCH(H331,'Both teabags AfterDry'!$A$1:$A$839,0)),"")))</f>
        <v>1.4665999999999999</v>
      </c>
      <c r="P331" s="195" t="str">
        <f>IF(IFERROR(INDEX('Both teabags AfterDry'!$D$1:$D$839,MATCH(I331,'Both teabags AfterDry'!$A$1:$A$839,0)),"")="N.A","",(IFERROR(INDEX('Both teabags AfterDry'!$D$1:$D$839,MATCH(I331,'Both teabags AfterDry'!$A$1:$A$839,0)),"")))</f>
        <v/>
      </c>
      <c r="Q331" s="195">
        <f t="shared" si="32"/>
        <v>1.3159999999999998</v>
      </c>
      <c r="R331" s="195" t="str">
        <f t="shared" si="32"/>
        <v/>
      </c>
      <c r="S331" s="195">
        <f t="shared" si="27"/>
        <v>0.19667928213893304</v>
      </c>
      <c r="T331" s="195">
        <f t="shared" si="33"/>
        <v>0.12893938686542877</v>
      </c>
      <c r="U331" s="195" t="str">
        <f t="shared" si="28"/>
        <v/>
      </c>
      <c r="V331">
        <f t="shared" si="29"/>
        <v>67</v>
      </c>
      <c r="W331" s="195">
        <f t="shared" si="34"/>
        <v>0.76641415422929571</v>
      </c>
      <c r="X331" s="195" t="str">
        <f t="shared" si="35"/>
        <v/>
      </c>
      <c r="Y331" s="255" t="str">
        <f>IF(ISNUMBER(SEARCH("C", 'Dry_Litterbag Placem_Collection'!V38)),"YES","NO")</f>
        <v>NO</v>
      </c>
      <c r="Z331" s="255" t="str">
        <f>IF(ISNUMBER(SEARCH("H", 'Dry_Litterbag Placem_Collection'!V38)),"YES","NO")</f>
        <v>NO</v>
      </c>
      <c r="AA331" s="255" t="str">
        <f>IF(ISNUMBER(SEARCH("R", 'Dry_Litterbag Placem_Collection'!V38)),"YES","NO")</f>
        <v>NO</v>
      </c>
      <c r="AB331" s="255" t="str">
        <f>IF(ISNUMBER(SEARCH("C", 'Dry_Litterbag Placem_Collection'!U38)),"YES","NO")</f>
        <v>NO</v>
      </c>
      <c r="AC331" s="255" t="str">
        <f>IF(ISNUMBER(SEARCH("H", 'Dry_Litterbag Placem_Collection'!U38)),"YES","NO")</f>
        <v>NO</v>
      </c>
      <c r="AD331" s="255" t="str">
        <f>IF(ISNUMBER(SEARCH("R", 'Dry_Litterbag Placem_Collection'!U38)),"YES","NO")</f>
        <v>YES</v>
      </c>
    </row>
    <row r="332" spans="2:30">
      <c r="B332" t="str">
        <f>'Final data_for_R_analysis_Dryse'!A478</f>
        <v>Dry</v>
      </c>
      <c r="C332" s="263">
        <f>'Final data_for_R_analysis_Dryse'!B478</f>
        <v>37</v>
      </c>
      <c r="D332" t="s">
        <v>3831</v>
      </c>
      <c r="E332" t="s">
        <v>25</v>
      </c>
      <c r="F332" s="387">
        <v>5</v>
      </c>
      <c r="G332" s="16">
        <f>'Dry_Litterbag Placem_Collection'!E39</f>
        <v>42938</v>
      </c>
      <c r="H332" s="92" t="str">
        <f>'Final data_for_R_analysis_Dryse'!J478</f>
        <v>G473</v>
      </c>
      <c r="I332" t="str">
        <f>'Final data_for_R_analysis_Dryse'!J698</f>
        <v>R681</v>
      </c>
      <c r="J332">
        <f>IFERROR(INDEX('Green_rooibos initial weight'!$C$5:$C$1749,MATCH(H332, 'Green_rooibos initial weight'!$A$5:$A$1749,0)),"")</f>
        <v>2.077</v>
      </c>
      <c r="K332">
        <f>IFERROR(INDEX('Green_rooibos initial weight'!$C$5:$C$1749,MATCH(I332, 'Green_rooibos initial weight'!$A$5:$A$1749,0)),"")</f>
        <v>2.1859999999999999</v>
      </c>
      <c r="L332" s="195">
        <f t="shared" si="30"/>
        <v>1.8271999999999999</v>
      </c>
      <c r="M332" s="195">
        <f t="shared" si="31"/>
        <v>1.9361999999999999</v>
      </c>
      <c r="N332" s="16">
        <f>IF('Dry_Litterbag Placem_Collection'!G39="N.A","",'Dry_Litterbag Placem_Collection'!G39)</f>
        <v>43005</v>
      </c>
      <c r="O332" s="195">
        <f>IF(IFERROR(INDEX('Both teabags AfterDry'!$D$1:$D$839,MATCH(H332,'Both teabags AfterDry'!$A$1:$A$839,0)),"")="N.A","",(IFERROR(INDEX('Both teabags AfterDry'!$D$1:$D$839,MATCH(H332,'Both teabags AfterDry'!$A$1:$A$839,0)),"")))</f>
        <v>1.8992</v>
      </c>
      <c r="P332" s="195">
        <f>IF(IFERROR(INDEX('Both teabags AfterDry'!$D$1:$D$839,MATCH(I332,'Both teabags AfterDry'!$A$1:$A$839,0)),"")="N.A","",(IFERROR(INDEX('Both teabags AfterDry'!$D$1:$D$839,MATCH(I332,'Both teabags AfterDry'!$A$1:$A$839,0)),"")))</f>
        <v>1.9663999999999999</v>
      </c>
      <c r="Q332" s="195">
        <f t="shared" si="32"/>
        <v>1.7485999999999999</v>
      </c>
      <c r="R332" s="195">
        <f t="shared" si="32"/>
        <v>1.8157999999999999</v>
      </c>
      <c r="S332" s="195">
        <f t="shared" ref="S332:S395" si="36">IFERROR(1-Q332/L332,"")</f>
        <v>4.3016637478108577E-2</v>
      </c>
      <c r="T332" s="195">
        <f t="shared" si="33"/>
        <v>2.820093098327309E-2</v>
      </c>
      <c r="U332" s="195">
        <f t="shared" ref="U332:U395" si="37">IFERROR(R332/M332,"")</f>
        <v>0.93781634128705704</v>
      </c>
      <c r="V332">
        <f t="shared" ref="V332:V395" si="38">IF((N332-G332)&gt;0,(IFERROR(N332-G332,"")),"")</f>
        <v>67</v>
      </c>
      <c r="W332" s="195">
        <f t="shared" si="34"/>
        <v>0.94891135691436035</v>
      </c>
      <c r="X332" s="195" t="str">
        <f t="shared" si="35"/>
        <v/>
      </c>
      <c r="Y332" s="255" t="str">
        <f>IF(ISNUMBER(SEARCH("C", 'Dry_Litterbag Placem_Collection'!V39)),"YES","NO")</f>
        <v>NO</v>
      </c>
      <c r="Z332" s="255" t="str">
        <f>IF(ISNUMBER(SEARCH("H", 'Dry_Litterbag Placem_Collection'!V39)),"YES","NO")</f>
        <v>NO</v>
      </c>
      <c r="AA332" s="255" t="str">
        <f>IF(ISNUMBER(SEARCH("R", 'Dry_Litterbag Placem_Collection'!V39)),"YES","NO")</f>
        <v>NO</v>
      </c>
      <c r="AB332" s="255" t="str">
        <f>IF(ISNUMBER(SEARCH("C", 'Dry_Litterbag Placem_Collection'!U39)),"YES","NO")</f>
        <v>NO</v>
      </c>
      <c r="AC332" s="255" t="str">
        <f>IF(ISNUMBER(SEARCH("H", 'Dry_Litterbag Placem_Collection'!U39)),"YES","NO")</f>
        <v>NO</v>
      </c>
      <c r="AD332" s="255" t="str">
        <f>IF(ISNUMBER(SEARCH("R", 'Dry_Litterbag Placem_Collection'!U39)),"YES","NO")</f>
        <v>NO</v>
      </c>
    </row>
    <row r="333" spans="2:30">
      <c r="B333" t="str">
        <f>'Final data_for_R_analysis_Dryse'!A479</f>
        <v>Dry</v>
      </c>
      <c r="C333" s="263">
        <f>'Final data_for_R_analysis_Dryse'!B479</f>
        <v>38</v>
      </c>
      <c r="D333" t="s">
        <v>3831</v>
      </c>
      <c r="E333" t="s">
        <v>25</v>
      </c>
      <c r="F333" s="387">
        <v>6</v>
      </c>
      <c r="G333" s="16">
        <f>'Dry_Litterbag Placem_Collection'!E40</f>
        <v>42938</v>
      </c>
      <c r="H333" s="92" t="str">
        <f>'Final data_for_R_analysis_Dryse'!J479</f>
        <v>G111</v>
      </c>
      <c r="I333" t="str">
        <f>'Final data_for_R_analysis_Dryse'!J699</f>
        <v>R260</v>
      </c>
      <c r="J333">
        <f>IFERROR(INDEX('Green_rooibos initial weight'!$C$5:$C$1749,MATCH(H333, 'Green_rooibos initial weight'!$A$5:$A$1749,0)),"")</f>
        <v>2.0750000000000002</v>
      </c>
      <c r="K333">
        <f>IFERROR(INDEX('Green_rooibos initial weight'!$C$5:$C$1749,MATCH(I333, 'Green_rooibos initial weight'!$A$5:$A$1749,0)),"")</f>
        <v>2.1779999999999999</v>
      </c>
      <c r="L333" s="195">
        <f t="shared" ref="L333:L396" si="39">IFERROR(IF(J333&gt;0,(J333*$F$31-($F$29+$F$30)),""),"")</f>
        <v>1.8252000000000002</v>
      </c>
      <c r="M333" s="195">
        <f t="shared" ref="M333:M396" si="40">IFERROR(IF(K333&gt;0,(K333*$F$32-($F$29+$F$30)),""),"")</f>
        <v>1.9281999999999999</v>
      </c>
      <c r="N333" s="16">
        <f>IF('Dry_Litterbag Placem_Collection'!G40="N.A","",'Dry_Litterbag Placem_Collection'!G40)</f>
        <v>43005</v>
      </c>
      <c r="O333" s="195">
        <f>IF(IFERROR(INDEX('Both teabags AfterDry'!$D$1:$D$839,MATCH(H333,'Both teabags AfterDry'!$A$1:$A$839,0)),"")="N.A","",(IFERROR(INDEX('Both teabags AfterDry'!$D$1:$D$839,MATCH(H333,'Both teabags AfterDry'!$A$1:$A$839,0)),"")))</f>
        <v>1.8357000000000001</v>
      </c>
      <c r="P333" s="195">
        <f>IF(IFERROR(INDEX('Both teabags AfterDry'!$D$1:$D$839,MATCH(I333,'Both teabags AfterDry'!$A$1:$A$839,0)),"")="N.A","",(IFERROR(INDEX('Both teabags AfterDry'!$D$1:$D$839,MATCH(I333,'Both teabags AfterDry'!$A$1:$A$839,0)),"")))</f>
        <v>1.8734</v>
      </c>
      <c r="Q333" s="195">
        <f t="shared" ref="Q333:R396" si="41">IFERROR(IF(O333&gt;0,O333-($F$29),""),"")</f>
        <v>1.6851</v>
      </c>
      <c r="R333" s="195">
        <f t="shared" si="41"/>
        <v>1.7227999999999999</v>
      </c>
      <c r="S333" s="195">
        <f t="shared" si="36"/>
        <v>7.6758711374096067E-2</v>
      </c>
      <c r="T333" s="195">
        <f t="shared" ref="T333:T396" si="42">IFERROR($F$26*(1-W333),"")</f>
        <v>5.0321625508908591E-2</v>
      </c>
      <c r="U333" s="195">
        <f t="shared" si="37"/>
        <v>0.89347578052069287</v>
      </c>
      <c r="V333">
        <f t="shared" si="38"/>
        <v>67</v>
      </c>
      <c r="W333" s="195">
        <f t="shared" ref="W333:W396" si="43">IFERROR(1-(S333/$F$25),"")</f>
        <v>0.90883763494762937</v>
      </c>
      <c r="X333" s="195" t="str">
        <f t="shared" ref="X333:X396" si="44">IFERROR(LN(T333/(U333-(1-T333)))/V333,"")</f>
        <v/>
      </c>
      <c r="Y333" s="255" t="str">
        <f>IF(ISNUMBER(SEARCH("C", 'Dry_Litterbag Placem_Collection'!V40)),"YES","NO")</f>
        <v>NO</v>
      </c>
      <c r="Z333" s="255" t="str">
        <f>IF(ISNUMBER(SEARCH("H", 'Dry_Litterbag Placem_Collection'!V40)),"YES","NO")</f>
        <v>NO</v>
      </c>
      <c r="AA333" s="255" t="str">
        <f>IF(ISNUMBER(SEARCH("R", 'Dry_Litterbag Placem_Collection'!V40)),"YES","NO")</f>
        <v>NO</v>
      </c>
      <c r="AB333" s="255" t="str">
        <f>IF(ISNUMBER(SEARCH("C", 'Dry_Litterbag Placem_Collection'!U40)),"YES","NO")</f>
        <v>NO</v>
      </c>
      <c r="AC333" s="255" t="str">
        <f>IF(ISNUMBER(SEARCH("H", 'Dry_Litterbag Placem_Collection'!U40)),"YES","NO")</f>
        <v>NO</v>
      </c>
      <c r="AD333" s="255" t="str">
        <f>IF(ISNUMBER(SEARCH("R", 'Dry_Litterbag Placem_Collection'!U40)),"YES","NO")</f>
        <v>NO</v>
      </c>
    </row>
    <row r="334" spans="2:30">
      <c r="B334" t="str">
        <f>'Final data_for_R_analysis_Dryse'!A480</f>
        <v>Dry</v>
      </c>
      <c r="C334" s="263">
        <f>'Final data_for_R_analysis_Dryse'!B480</f>
        <v>39</v>
      </c>
      <c r="D334" t="s">
        <v>3831</v>
      </c>
      <c r="E334" t="s">
        <v>25</v>
      </c>
      <c r="F334" s="387">
        <v>7</v>
      </c>
      <c r="G334" s="16">
        <f>'Dry_Litterbag Placem_Collection'!E41</f>
        <v>42938</v>
      </c>
      <c r="H334" s="92" t="str">
        <f>'Final data_for_R_analysis_Dryse'!J480</f>
        <v/>
      </c>
      <c r="I334" t="str">
        <f>'Final data_for_R_analysis_Dryse'!J700</f>
        <v/>
      </c>
      <c r="J334" t="str">
        <f>IFERROR(INDEX('Green_rooibos initial weight'!$C$5:$C$1749,MATCH(H334, 'Green_rooibos initial weight'!$A$5:$A$1749,0)),"")</f>
        <v/>
      </c>
      <c r="K334" t="str">
        <f>IFERROR(INDEX('Green_rooibos initial weight'!$C$5:$C$1749,MATCH(I334, 'Green_rooibos initial weight'!$A$5:$A$1749,0)),"")</f>
        <v/>
      </c>
      <c r="L334" s="195" t="str">
        <f t="shared" si="39"/>
        <v/>
      </c>
      <c r="M334" s="195" t="str">
        <f t="shared" si="40"/>
        <v/>
      </c>
      <c r="N334" s="16">
        <f>IF('Dry_Litterbag Placem_Collection'!G41="N.A","",'Dry_Litterbag Placem_Collection'!G41)</f>
        <v>0</v>
      </c>
      <c r="O334" s="195" t="str">
        <f>IF(IFERROR(INDEX('Both teabags AfterDry'!$D$1:$D$839,MATCH(H334,'Both teabags AfterDry'!$A$1:$A$839,0)),"")="N.A","",(IFERROR(INDEX('Both teabags AfterDry'!$D$1:$D$839,MATCH(H334,'Both teabags AfterDry'!$A$1:$A$839,0)),"")))</f>
        <v/>
      </c>
      <c r="P334" s="195" t="str">
        <f>IF(IFERROR(INDEX('Both teabags AfterDry'!$D$1:$D$839,MATCH(I334,'Both teabags AfterDry'!$A$1:$A$839,0)),"")="N.A","",(IFERROR(INDEX('Both teabags AfterDry'!$D$1:$D$839,MATCH(I334,'Both teabags AfterDry'!$A$1:$A$839,0)),"")))</f>
        <v/>
      </c>
      <c r="Q334" s="195" t="str">
        <f t="shared" si="41"/>
        <v/>
      </c>
      <c r="R334" s="195" t="str">
        <f t="shared" si="41"/>
        <v/>
      </c>
      <c r="S334" s="195" t="str">
        <f t="shared" si="36"/>
        <v/>
      </c>
      <c r="T334" s="195" t="str">
        <f t="shared" si="42"/>
        <v/>
      </c>
      <c r="U334" s="195" t="str">
        <f t="shared" si="37"/>
        <v/>
      </c>
      <c r="V334" t="str">
        <f t="shared" si="38"/>
        <v/>
      </c>
      <c r="W334" s="195" t="str">
        <f t="shared" si="43"/>
        <v/>
      </c>
      <c r="X334" s="195" t="str">
        <f t="shared" si="44"/>
        <v/>
      </c>
      <c r="Y334" s="255" t="str">
        <f>IF(ISNUMBER(SEARCH("C", 'Dry_Litterbag Placem_Collection'!V41)),"YES","NO")</f>
        <v>NO</v>
      </c>
      <c r="Z334" s="255" t="str">
        <f>IF(ISNUMBER(SEARCH("H", 'Dry_Litterbag Placem_Collection'!V41)),"YES","NO")</f>
        <v>NO</v>
      </c>
      <c r="AA334" s="255" t="str">
        <f>IF(ISNUMBER(SEARCH("R", 'Dry_Litterbag Placem_Collection'!V41)),"YES","NO")</f>
        <v>NO</v>
      </c>
      <c r="AB334" s="255" t="str">
        <f>IF(ISNUMBER(SEARCH("C", 'Dry_Litterbag Placem_Collection'!U41)),"YES","NO")</f>
        <v>NO</v>
      </c>
      <c r="AC334" s="255" t="str">
        <f>IF(ISNUMBER(SEARCH("H", 'Dry_Litterbag Placem_Collection'!U41)),"YES","NO")</f>
        <v>NO</v>
      </c>
      <c r="AD334" s="255" t="str">
        <f>IF(ISNUMBER(SEARCH("R", 'Dry_Litterbag Placem_Collection'!U41)),"YES","NO")</f>
        <v>NO</v>
      </c>
    </row>
    <row r="335" spans="2:30">
      <c r="B335" t="str">
        <f>'Final data_for_R_analysis_Dryse'!A481</f>
        <v>Dry</v>
      </c>
      <c r="C335" s="263">
        <f>'Final data_for_R_analysis_Dryse'!B481</f>
        <v>40</v>
      </c>
      <c r="D335" t="s">
        <v>3831</v>
      </c>
      <c r="E335" t="s">
        <v>25</v>
      </c>
      <c r="F335" s="387">
        <v>8</v>
      </c>
      <c r="G335" s="16">
        <f>'Dry_Litterbag Placem_Collection'!E42</f>
        <v>42938</v>
      </c>
      <c r="H335" s="92" t="str">
        <f>'Final data_for_R_analysis_Dryse'!J481</f>
        <v>G646</v>
      </c>
      <c r="I335" t="str">
        <f>'Final data_for_R_analysis_Dryse'!J701</f>
        <v>R402</v>
      </c>
      <c r="J335">
        <f>IFERROR(INDEX('Green_rooibos initial weight'!$C$5:$C$1749,MATCH(H335, 'Green_rooibos initial weight'!$A$5:$A$1749,0)),"")</f>
        <v>2.1629999999999998</v>
      </c>
      <c r="K335">
        <f>IFERROR(INDEX('Green_rooibos initial weight'!$C$5:$C$1749,MATCH(I335, 'Green_rooibos initial weight'!$A$5:$A$1749,0)),"")</f>
        <v>2.1459999999999999</v>
      </c>
      <c r="L335" s="195">
        <f t="shared" si="39"/>
        <v>1.9131999999999998</v>
      </c>
      <c r="M335" s="195">
        <f t="shared" si="40"/>
        <v>1.8961999999999999</v>
      </c>
      <c r="N335" s="16">
        <f>IF('Dry_Litterbag Placem_Collection'!G42="N.A","",'Dry_Litterbag Placem_Collection'!G42)</f>
        <v>43005</v>
      </c>
      <c r="O335" s="195">
        <f>IF(IFERROR(INDEX('Both teabags AfterDry'!$D$1:$D$839,MATCH(H335,'Both teabags AfterDry'!$A$1:$A$839,0)),"")="N.A","",(IFERROR(INDEX('Both teabags AfterDry'!$D$1:$D$839,MATCH(H335,'Both teabags AfterDry'!$A$1:$A$839,0)),"")))</f>
        <v>1.9007000000000001</v>
      </c>
      <c r="P335" s="195">
        <f>IF(IFERROR(INDEX('Both teabags AfterDry'!$D$1:$D$839,MATCH(I335,'Both teabags AfterDry'!$A$1:$A$839,0)),"")="N.A","",(IFERROR(INDEX('Both teabags AfterDry'!$D$1:$D$839,MATCH(I335,'Both teabags AfterDry'!$A$1:$A$839,0)),"")))</f>
        <v>1.9192</v>
      </c>
      <c r="Q335" s="195">
        <f t="shared" si="41"/>
        <v>1.7501</v>
      </c>
      <c r="R335" s="195">
        <f t="shared" si="41"/>
        <v>1.7685999999999999</v>
      </c>
      <c r="S335" s="195">
        <f t="shared" si="36"/>
        <v>8.5249843194647568E-2</v>
      </c>
      <c r="T335" s="195">
        <f t="shared" si="42"/>
        <v>5.5888258246372301E-2</v>
      </c>
      <c r="U335" s="195">
        <f t="shared" si="37"/>
        <v>0.93270752030376547</v>
      </c>
      <c r="V335">
        <f t="shared" si="38"/>
        <v>67</v>
      </c>
      <c r="W335" s="195">
        <f t="shared" si="43"/>
        <v>0.89875315535077482</v>
      </c>
      <c r="X335" s="195" t="str">
        <f t="shared" si="44"/>
        <v/>
      </c>
      <c r="Y335" s="255" t="str">
        <f>IF(ISNUMBER(SEARCH("C", 'Dry_Litterbag Placem_Collection'!V42)),"YES","NO")</f>
        <v>NO</v>
      </c>
      <c r="Z335" s="255" t="str">
        <f>IF(ISNUMBER(SEARCH("H", 'Dry_Litterbag Placem_Collection'!V42)),"YES","NO")</f>
        <v>NO</v>
      </c>
      <c r="AA335" s="255" t="str">
        <f>IF(ISNUMBER(SEARCH("R", 'Dry_Litterbag Placem_Collection'!V42)),"YES","NO")</f>
        <v>NO</v>
      </c>
      <c r="AB335" s="255" t="str">
        <f>IF(ISNUMBER(SEARCH("C", 'Dry_Litterbag Placem_Collection'!U42)),"YES","NO")</f>
        <v>NO</v>
      </c>
      <c r="AC335" s="255" t="str">
        <f>IF(ISNUMBER(SEARCH("H", 'Dry_Litterbag Placem_Collection'!U42)),"YES","NO")</f>
        <v>NO</v>
      </c>
      <c r="AD335" s="255" t="str">
        <f>IF(ISNUMBER(SEARCH("R", 'Dry_Litterbag Placem_Collection'!U42)),"YES","NO")</f>
        <v>NO</v>
      </c>
    </row>
    <row r="336" spans="2:30">
      <c r="B336" t="str">
        <f>'Final data_for_R_analysis_Dryse'!A482</f>
        <v>Dry</v>
      </c>
      <c r="C336" s="263">
        <f>'Final data_for_R_analysis_Dryse'!B482</f>
        <v>41</v>
      </c>
      <c r="D336" t="s">
        <v>3833</v>
      </c>
      <c r="E336" t="s">
        <v>25</v>
      </c>
      <c r="F336" s="386">
        <v>1</v>
      </c>
      <c r="G336" s="16">
        <f>'Dry_Litterbag Placem_Collection'!E43</f>
        <v>42938</v>
      </c>
      <c r="H336" s="92" t="str">
        <f>'Final data_for_R_analysis_Dryse'!J482</f>
        <v>G43</v>
      </c>
      <c r="I336" t="str">
        <f>'Final data_for_R_analysis_Dryse'!J702</f>
        <v>R648</v>
      </c>
      <c r="J336">
        <f>IFERROR(INDEX('Green_rooibos initial weight'!$C$5:$C$1749,MATCH(H336, 'Green_rooibos initial weight'!$A$5:$A$1749,0)),"")</f>
        <v>1.9650000000000001</v>
      </c>
      <c r="K336">
        <f>IFERROR(INDEX('Green_rooibos initial weight'!$C$5:$C$1749,MATCH(I336, 'Green_rooibos initial weight'!$A$5:$A$1749,0)),"")</f>
        <v>2.1920000000000002</v>
      </c>
      <c r="L336" s="195">
        <f t="shared" si="39"/>
        <v>1.7152000000000001</v>
      </c>
      <c r="M336" s="195">
        <f t="shared" si="40"/>
        <v>1.9422000000000001</v>
      </c>
      <c r="N336" s="16">
        <f>IF('Dry_Litterbag Placem_Collection'!G43="N.A","",'Dry_Litterbag Placem_Collection'!G43)</f>
        <v>43005</v>
      </c>
      <c r="O336" s="195">
        <f>IF(IFERROR(INDEX('Both teabags AfterDry'!$D$1:$D$839,MATCH(H336,'Both teabags AfterDry'!$A$1:$A$839,0)),"")="N.A","",(IFERROR(INDEX('Both teabags AfterDry'!$D$1:$D$839,MATCH(H336,'Both teabags AfterDry'!$A$1:$A$839,0)),"")))</f>
        <v>1.7821</v>
      </c>
      <c r="P336" s="195">
        <f>IF(IFERROR(INDEX('Both teabags AfterDry'!$D$1:$D$839,MATCH(I336,'Both teabags AfterDry'!$A$1:$A$839,0)),"")="N.A","",(IFERROR(INDEX('Both teabags AfterDry'!$D$1:$D$839,MATCH(I336,'Both teabags AfterDry'!$A$1:$A$839,0)),"")))</f>
        <v>1.9649000000000001</v>
      </c>
      <c r="Q336" s="195">
        <f t="shared" si="41"/>
        <v>1.6315</v>
      </c>
      <c r="R336" s="195">
        <f t="shared" si="41"/>
        <v>1.8143</v>
      </c>
      <c r="S336" s="195">
        <f t="shared" si="36"/>
        <v>4.8798973880597063E-2</v>
      </c>
      <c r="T336" s="195">
        <f t="shared" si="42"/>
        <v>3.1991726344524449E-2</v>
      </c>
      <c r="U336" s="195">
        <f t="shared" si="37"/>
        <v>0.93414684378539792</v>
      </c>
      <c r="V336">
        <f t="shared" si="38"/>
        <v>67</v>
      </c>
      <c r="W336" s="195">
        <f t="shared" si="43"/>
        <v>0.94204397401354267</v>
      </c>
      <c r="X336" s="195" t="str">
        <f t="shared" si="44"/>
        <v/>
      </c>
      <c r="Y336" s="255" t="str">
        <f>IF(ISNUMBER(SEARCH("C", 'Dry_Litterbag Placem_Collection'!V43)),"YES","NO")</f>
        <v>NO</v>
      </c>
      <c r="Z336" s="255" t="str">
        <f>IF(ISNUMBER(SEARCH("H", 'Dry_Litterbag Placem_Collection'!V43)),"YES","NO")</f>
        <v>NO</v>
      </c>
      <c r="AA336" s="255" t="str">
        <f>IF(ISNUMBER(SEARCH("R", 'Dry_Litterbag Placem_Collection'!V43)),"YES","NO")</f>
        <v>NO</v>
      </c>
      <c r="AB336" s="255" t="str">
        <f>IF(ISNUMBER(SEARCH("C", 'Dry_Litterbag Placem_Collection'!U43)),"YES","NO")</f>
        <v>NO</v>
      </c>
      <c r="AC336" s="255" t="str">
        <f>IF(ISNUMBER(SEARCH("H", 'Dry_Litterbag Placem_Collection'!U43)),"YES","NO")</f>
        <v>NO</v>
      </c>
      <c r="AD336" s="255" t="str">
        <f>IF(ISNUMBER(SEARCH("R", 'Dry_Litterbag Placem_Collection'!U43)),"YES","NO")</f>
        <v>NO</v>
      </c>
    </row>
    <row r="337" spans="2:30">
      <c r="B337" t="str">
        <f>'Final data_for_R_analysis_Dryse'!A483</f>
        <v>Dry</v>
      </c>
      <c r="C337" s="263">
        <f>'Final data_for_R_analysis_Dryse'!B483</f>
        <v>42</v>
      </c>
      <c r="D337" t="s">
        <v>3833</v>
      </c>
      <c r="E337" t="s">
        <v>25</v>
      </c>
      <c r="F337" s="386">
        <v>2</v>
      </c>
      <c r="G337" s="16">
        <f>'Dry_Litterbag Placem_Collection'!E44</f>
        <v>42938</v>
      </c>
      <c r="H337" s="92" t="str">
        <f>'Final data_for_R_analysis_Dryse'!J483</f>
        <v>G268</v>
      </c>
      <c r="I337" t="str">
        <f>'Final data_for_R_analysis_Dryse'!J703</f>
        <v>R257</v>
      </c>
      <c r="J337">
        <f>IFERROR(INDEX('Green_rooibos initial weight'!$C$5:$C$1749,MATCH(H337, 'Green_rooibos initial weight'!$A$5:$A$1749,0)),"")</f>
        <v>2.1389999999999998</v>
      </c>
      <c r="K337">
        <f>IFERROR(INDEX('Green_rooibos initial weight'!$C$5:$C$1749,MATCH(I337, 'Green_rooibos initial weight'!$A$5:$A$1749,0)),"")</f>
        <v>2.222</v>
      </c>
      <c r="L337" s="195">
        <f t="shared" si="39"/>
        <v>1.8891999999999998</v>
      </c>
      <c r="M337" s="195">
        <f t="shared" si="40"/>
        <v>1.9722</v>
      </c>
      <c r="N337" s="16">
        <f>IF('Dry_Litterbag Placem_Collection'!G44="N.A","",'Dry_Litterbag Placem_Collection'!G44)</f>
        <v>43005</v>
      </c>
      <c r="O337" s="195">
        <f>IF(IFERROR(INDEX('Both teabags AfterDry'!$D$1:$D$839,MATCH(H337,'Both teabags AfterDry'!$A$1:$A$839,0)),"")="N.A","",(IFERROR(INDEX('Both teabags AfterDry'!$D$1:$D$839,MATCH(H337,'Both teabags AfterDry'!$A$1:$A$839,0)),"")))</f>
        <v>1.7633000000000001</v>
      </c>
      <c r="P337" s="195">
        <f>IF(IFERROR(INDEX('Both teabags AfterDry'!$D$1:$D$839,MATCH(I337,'Both teabags AfterDry'!$A$1:$A$839,0)),"")="N.A","",(IFERROR(INDEX('Both teabags AfterDry'!$D$1:$D$839,MATCH(I337,'Both teabags AfterDry'!$A$1:$A$839,0)),"")))</f>
        <v>1.956</v>
      </c>
      <c r="Q337" s="195">
        <f t="shared" si="41"/>
        <v>1.6127</v>
      </c>
      <c r="R337" s="195">
        <f t="shared" si="41"/>
        <v>1.8053999999999999</v>
      </c>
      <c r="S337" s="195">
        <f t="shared" si="36"/>
        <v>0.14635824687698484</v>
      </c>
      <c r="T337" s="195">
        <f t="shared" si="42"/>
        <v>9.5949824555933094E-2</v>
      </c>
      <c r="U337" s="195">
        <f t="shared" si="37"/>
        <v>0.91542439914815943</v>
      </c>
      <c r="V337">
        <f t="shared" si="38"/>
        <v>67</v>
      </c>
      <c r="W337" s="195">
        <f t="shared" si="43"/>
        <v>0.82617785406533861</v>
      </c>
      <c r="X337" s="195">
        <f t="shared" si="44"/>
        <v>3.1827995182734742E-2</v>
      </c>
      <c r="Y337" s="255" t="str">
        <f>IF(ISNUMBER(SEARCH("C", 'Dry_Litterbag Placem_Collection'!V44)),"YES","NO")</f>
        <v>NO</v>
      </c>
      <c r="Z337" s="255" t="str">
        <f>IF(ISNUMBER(SEARCH("H", 'Dry_Litterbag Placem_Collection'!V44)),"YES","NO")</f>
        <v>NO</v>
      </c>
      <c r="AA337" s="255" t="str">
        <f>IF(ISNUMBER(SEARCH("R", 'Dry_Litterbag Placem_Collection'!V44)),"YES","NO")</f>
        <v>NO</v>
      </c>
      <c r="AB337" s="255" t="str">
        <f>IF(ISNUMBER(SEARCH("C", 'Dry_Litterbag Placem_Collection'!U44)),"YES","NO")</f>
        <v>NO</v>
      </c>
      <c r="AC337" s="255" t="str">
        <f>IF(ISNUMBER(SEARCH("H", 'Dry_Litterbag Placem_Collection'!U44)),"YES","NO")</f>
        <v>NO</v>
      </c>
      <c r="AD337" s="255" t="str">
        <f>IF(ISNUMBER(SEARCH("R", 'Dry_Litterbag Placem_Collection'!U44)),"YES","NO")</f>
        <v>YES</v>
      </c>
    </row>
    <row r="338" spans="2:30">
      <c r="B338" t="str">
        <f>'Final data_for_R_analysis_Dryse'!A484</f>
        <v>Dry</v>
      </c>
      <c r="C338" s="263">
        <f>'Final data_for_R_analysis_Dryse'!B484</f>
        <v>43</v>
      </c>
      <c r="D338" t="s">
        <v>3833</v>
      </c>
      <c r="E338" t="s">
        <v>25</v>
      </c>
      <c r="F338" s="386">
        <v>3</v>
      </c>
      <c r="G338" s="16">
        <f>'Dry_Litterbag Placem_Collection'!E45</f>
        <v>42938</v>
      </c>
      <c r="H338" s="92" t="str">
        <f>'Final data_for_R_analysis_Dryse'!J484</f>
        <v>G300</v>
      </c>
      <c r="I338" t="str">
        <f>'Final data_for_R_analysis_Dryse'!J704</f>
        <v>R691</v>
      </c>
      <c r="J338">
        <f>IFERROR(INDEX('Green_rooibos initial weight'!$C$5:$C$1749,MATCH(H338, 'Green_rooibos initial weight'!$A$5:$A$1749,0)),"")</f>
        <v>2.052</v>
      </c>
      <c r="K338">
        <f>IFERROR(INDEX('Green_rooibos initial weight'!$C$5:$C$1749,MATCH(I338, 'Green_rooibos initial weight'!$A$5:$A$1749,0)),"")</f>
        <v>2.1859999999999999</v>
      </c>
      <c r="L338" s="195">
        <f t="shared" si="39"/>
        <v>1.8022</v>
      </c>
      <c r="M338" s="195">
        <f t="shared" si="40"/>
        <v>1.9361999999999999</v>
      </c>
      <c r="N338" s="16">
        <f>IF('Dry_Litterbag Placem_Collection'!G45="N.A","",'Dry_Litterbag Placem_Collection'!G45)</f>
        <v>43005</v>
      </c>
      <c r="O338" s="195">
        <f>IF(IFERROR(INDEX('Both teabags AfterDry'!$D$1:$D$839,MATCH(H338,'Both teabags AfterDry'!$A$1:$A$839,0)),"")="N.A","",(IFERROR(INDEX('Both teabags AfterDry'!$D$1:$D$839,MATCH(H338,'Both teabags AfterDry'!$A$1:$A$839,0)),"")))</f>
        <v>1.8340000000000001</v>
      </c>
      <c r="P338" s="195">
        <f>IF(IFERROR(INDEX('Both teabags AfterDry'!$D$1:$D$839,MATCH(I338,'Both teabags AfterDry'!$A$1:$A$839,0)),"")="N.A","",(IFERROR(INDEX('Both teabags AfterDry'!$D$1:$D$839,MATCH(I338,'Both teabags AfterDry'!$A$1:$A$839,0)),"")))</f>
        <v>1.9609000000000001</v>
      </c>
      <c r="Q338" s="195">
        <f t="shared" si="41"/>
        <v>1.6834</v>
      </c>
      <c r="R338" s="195">
        <f t="shared" si="41"/>
        <v>1.8103</v>
      </c>
      <c r="S338" s="195">
        <f t="shared" si="36"/>
        <v>6.5919431805571027E-2</v>
      </c>
      <c r="T338" s="195">
        <f t="shared" si="42"/>
        <v>4.3215589497238978E-2</v>
      </c>
      <c r="U338" s="195">
        <f t="shared" si="37"/>
        <v>0.93497572564817688</v>
      </c>
      <c r="V338">
        <f t="shared" si="38"/>
        <v>67</v>
      </c>
      <c r="W338" s="195">
        <f t="shared" si="43"/>
        <v>0.92171088859195838</v>
      </c>
      <c r="X338" s="195" t="str">
        <f t="shared" si="44"/>
        <v/>
      </c>
      <c r="Y338" s="255" t="str">
        <f>IF(ISNUMBER(SEARCH("C", 'Dry_Litterbag Placem_Collection'!V45)),"YES","NO")</f>
        <v>NO</v>
      </c>
      <c r="Z338" s="255" t="str">
        <f>IF(ISNUMBER(SEARCH("H", 'Dry_Litterbag Placem_Collection'!V45)),"YES","NO")</f>
        <v>NO</v>
      </c>
      <c r="AA338" s="255" t="str">
        <f>IF(ISNUMBER(SEARCH("R", 'Dry_Litterbag Placem_Collection'!V45)),"YES","NO")</f>
        <v>NO</v>
      </c>
      <c r="AB338" s="255" t="str">
        <f>IF(ISNUMBER(SEARCH("C", 'Dry_Litterbag Placem_Collection'!U45)),"YES","NO")</f>
        <v>NO</v>
      </c>
      <c r="AC338" s="255" t="str">
        <f>IF(ISNUMBER(SEARCH("H", 'Dry_Litterbag Placem_Collection'!U45)),"YES","NO")</f>
        <v>NO</v>
      </c>
      <c r="AD338" s="255" t="str">
        <f>IF(ISNUMBER(SEARCH("R", 'Dry_Litterbag Placem_Collection'!U45)),"YES","NO")</f>
        <v>NO</v>
      </c>
    </row>
    <row r="339" spans="2:30">
      <c r="B339" t="str">
        <f>'Final data_for_R_analysis_Dryse'!A485</f>
        <v>Dry</v>
      </c>
      <c r="C339" s="263">
        <f>'Final data_for_R_analysis_Dryse'!B485</f>
        <v>44</v>
      </c>
      <c r="D339" t="s">
        <v>3833</v>
      </c>
      <c r="E339" t="s">
        <v>25</v>
      </c>
      <c r="F339" s="387">
        <v>4</v>
      </c>
      <c r="G339" s="16">
        <f>'Dry_Litterbag Placem_Collection'!E46</f>
        <v>42938</v>
      </c>
      <c r="H339" s="92" t="str">
        <f>'Final data_for_R_analysis_Dryse'!J485</f>
        <v>G823</v>
      </c>
      <c r="I339" t="str">
        <f>'Final data_for_R_analysis_Dryse'!J705</f>
        <v>R716</v>
      </c>
      <c r="J339">
        <f>IFERROR(INDEX('Green_rooibos initial weight'!$C$5:$C$1749,MATCH(H339, 'Green_rooibos initial weight'!$A$5:$A$1749,0)),"")</f>
        <v>1.9630000000000001</v>
      </c>
      <c r="K339">
        <f>IFERROR(INDEX('Green_rooibos initial weight'!$C$5:$C$1749,MATCH(I339, 'Green_rooibos initial weight'!$A$5:$A$1749,0)),"")</f>
        <v>2.2280000000000002</v>
      </c>
      <c r="L339" s="195">
        <f t="shared" si="39"/>
        <v>1.7132000000000001</v>
      </c>
      <c r="M339" s="195">
        <f t="shared" si="40"/>
        <v>1.9782000000000002</v>
      </c>
      <c r="N339" s="16">
        <f>IF('Dry_Litterbag Placem_Collection'!G46="N.A","",'Dry_Litterbag Placem_Collection'!G46)</f>
        <v>43005</v>
      </c>
      <c r="O339" s="195">
        <f>IF(IFERROR(INDEX('Both teabags AfterDry'!$D$1:$D$839,MATCH(H339,'Both teabags AfterDry'!$A$1:$A$839,0)),"")="N.A","",(IFERROR(INDEX('Both teabags AfterDry'!$D$1:$D$839,MATCH(H339,'Both teabags AfterDry'!$A$1:$A$839,0)),"")))</f>
        <v>1.8245</v>
      </c>
      <c r="P339" s="195">
        <f>IF(IFERROR(INDEX('Both teabags AfterDry'!$D$1:$D$839,MATCH(I339,'Both teabags AfterDry'!$A$1:$A$839,0)),"")="N.A","",(IFERROR(INDEX('Both teabags AfterDry'!$D$1:$D$839,MATCH(I339,'Both teabags AfterDry'!$A$1:$A$839,0)),"")))</f>
        <v>1.9879</v>
      </c>
      <c r="Q339" s="195">
        <f t="shared" si="41"/>
        <v>1.6738999999999999</v>
      </c>
      <c r="R339" s="195">
        <f t="shared" si="41"/>
        <v>1.8372999999999999</v>
      </c>
      <c r="S339" s="195">
        <f t="shared" si="36"/>
        <v>2.2939528367966422E-2</v>
      </c>
      <c r="T339" s="195">
        <f t="shared" si="42"/>
        <v>1.5038740687787988E-2</v>
      </c>
      <c r="U339" s="195">
        <f t="shared" si="37"/>
        <v>0.92877363259528856</v>
      </c>
      <c r="V339">
        <f t="shared" si="38"/>
        <v>67</v>
      </c>
      <c r="W339" s="195">
        <f t="shared" si="43"/>
        <v>0.97275590455110872</v>
      </c>
      <c r="X339" s="195" t="str">
        <f t="shared" si="44"/>
        <v/>
      </c>
      <c r="Y339" s="255" t="str">
        <f>IF(ISNUMBER(SEARCH("C", 'Dry_Litterbag Placem_Collection'!V46)),"YES","NO")</f>
        <v>NO</v>
      </c>
      <c r="Z339" s="255" t="str">
        <f>IF(ISNUMBER(SEARCH("H", 'Dry_Litterbag Placem_Collection'!V46)),"YES","NO")</f>
        <v>NO</v>
      </c>
      <c r="AA339" s="255" t="str">
        <f>IF(ISNUMBER(SEARCH("R", 'Dry_Litterbag Placem_Collection'!V46)),"YES","NO")</f>
        <v>NO</v>
      </c>
      <c r="AB339" s="255" t="str">
        <f>IF(ISNUMBER(SEARCH("C", 'Dry_Litterbag Placem_Collection'!U46)),"YES","NO")</f>
        <v>NO</v>
      </c>
      <c r="AC339" s="255" t="str">
        <f>IF(ISNUMBER(SEARCH("H", 'Dry_Litterbag Placem_Collection'!U46)),"YES","NO")</f>
        <v>NO</v>
      </c>
      <c r="AD339" s="255" t="str">
        <f>IF(ISNUMBER(SEARCH("R", 'Dry_Litterbag Placem_Collection'!U46)),"YES","NO")</f>
        <v>NO</v>
      </c>
    </row>
    <row r="340" spans="2:30">
      <c r="B340" t="str">
        <f>'Final data_for_R_analysis_Dryse'!A486</f>
        <v>Dry</v>
      </c>
      <c r="C340" s="263">
        <f>'Final data_for_R_analysis_Dryse'!B486</f>
        <v>45</v>
      </c>
      <c r="D340" t="s">
        <v>3833</v>
      </c>
      <c r="E340" t="s">
        <v>25</v>
      </c>
      <c r="F340" s="387">
        <v>5</v>
      </c>
      <c r="G340" s="16">
        <f>'Dry_Litterbag Placem_Collection'!E47</f>
        <v>42938</v>
      </c>
      <c r="H340" s="92" t="str">
        <f>'Final data_for_R_analysis_Dryse'!J486</f>
        <v>G354</v>
      </c>
      <c r="I340" t="str">
        <f>'Final data_for_R_analysis_Dryse'!J706</f>
        <v>R631</v>
      </c>
      <c r="J340">
        <f>IFERROR(INDEX('Green_rooibos initial weight'!$C$5:$C$1749,MATCH(H340, 'Green_rooibos initial weight'!$A$5:$A$1749,0)),"")</f>
        <v>1.835</v>
      </c>
      <c r="K340">
        <f>IFERROR(INDEX('Green_rooibos initial weight'!$C$5:$C$1749,MATCH(I340, 'Green_rooibos initial weight'!$A$5:$A$1749,0)),"")</f>
        <v>2.133</v>
      </c>
      <c r="L340" s="195">
        <f t="shared" si="39"/>
        <v>1.5851999999999999</v>
      </c>
      <c r="M340" s="195">
        <f t="shared" si="40"/>
        <v>1.8832</v>
      </c>
      <c r="N340" s="16">
        <f>IF('Dry_Litterbag Placem_Collection'!G47="N.A","",'Dry_Litterbag Placem_Collection'!G47)</f>
        <v>43005</v>
      </c>
      <c r="O340" s="195" t="str">
        <f>IF(IFERROR(INDEX('Both teabags AfterDry'!$D$1:$D$839,MATCH(H340,'Both teabags AfterDry'!$A$1:$A$839,0)),"")="N.A","",(IFERROR(INDEX('Both teabags AfterDry'!$D$1:$D$839,MATCH(H340,'Both teabags AfterDry'!$A$1:$A$839,0)),"")))</f>
        <v/>
      </c>
      <c r="P340" s="195" t="str">
        <f>IF(IFERROR(INDEX('Both teabags AfterDry'!$D$1:$D$839,MATCH(I340,'Both teabags AfterDry'!$A$1:$A$839,0)),"")="N.A","",(IFERROR(INDEX('Both teabags AfterDry'!$D$1:$D$839,MATCH(I340,'Both teabags AfterDry'!$A$1:$A$839,0)),"")))</f>
        <v/>
      </c>
      <c r="Q340" s="195" t="str">
        <f t="shared" si="41"/>
        <v/>
      </c>
      <c r="R340" s="195" t="str">
        <f t="shared" si="41"/>
        <v/>
      </c>
      <c r="S340" s="195" t="str">
        <f t="shared" si="36"/>
        <v/>
      </c>
      <c r="T340" s="195" t="str">
        <f t="shared" si="42"/>
        <v/>
      </c>
      <c r="U340" s="195" t="str">
        <f t="shared" si="37"/>
        <v/>
      </c>
      <c r="V340">
        <f t="shared" si="38"/>
        <v>67</v>
      </c>
      <c r="W340" s="195" t="str">
        <f t="shared" si="43"/>
        <v/>
      </c>
      <c r="X340" s="195" t="str">
        <f t="shared" si="44"/>
        <v/>
      </c>
      <c r="Y340" s="255" t="str">
        <f>IF(ISNUMBER(SEARCH("C", 'Dry_Litterbag Placem_Collection'!V47)),"YES","NO")</f>
        <v>NO</v>
      </c>
      <c r="Z340" s="255" t="str">
        <f>IF(ISNUMBER(SEARCH("H", 'Dry_Litterbag Placem_Collection'!V47)),"YES","NO")</f>
        <v>NO</v>
      </c>
      <c r="AA340" s="255" t="str">
        <f>IF(ISNUMBER(SEARCH("R", 'Dry_Litterbag Placem_Collection'!V47)),"YES","NO")</f>
        <v>NO</v>
      </c>
      <c r="AB340" s="255" t="str">
        <f>IF(ISNUMBER(SEARCH("C", 'Dry_Litterbag Placem_Collection'!U47)),"YES","NO")</f>
        <v>NO</v>
      </c>
      <c r="AC340" s="255" t="str">
        <f>IF(ISNUMBER(SEARCH("H", 'Dry_Litterbag Placem_Collection'!U47)),"YES","NO")</f>
        <v>NO</v>
      </c>
      <c r="AD340" s="255" t="str">
        <f>IF(ISNUMBER(SEARCH("R", 'Dry_Litterbag Placem_Collection'!U47)),"YES","NO")</f>
        <v>NO</v>
      </c>
    </row>
    <row r="341" spans="2:30">
      <c r="B341" t="str">
        <f>'Final data_for_R_analysis_Dryse'!A487</f>
        <v>Dry</v>
      </c>
      <c r="C341" s="263">
        <f>'Final data_for_R_analysis_Dryse'!B487</f>
        <v>46</v>
      </c>
      <c r="D341" t="s">
        <v>3833</v>
      </c>
      <c r="E341" t="s">
        <v>25</v>
      </c>
      <c r="F341" s="387">
        <v>6</v>
      </c>
      <c r="G341" s="16">
        <f>'Dry_Litterbag Placem_Collection'!E48</f>
        <v>0</v>
      </c>
      <c r="H341" s="92" t="str">
        <f>'Final data_for_R_analysis_Dryse'!J487</f>
        <v/>
      </c>
      <c r="I341" t="str">
        <f>'Final data_for_R_analysis_Dryse'!J707</f>
        <v/>
      </c>
      <c r="J341" t="str">
        <f>IFERROR(INDEX('Green_rooibos initial weight'!$C$5:$C$1749,MATCH(H341, 'Green_rooibos initial weight'!$A$5:$A$1749,0)),"")</f>
        <v/>
      </c>
      <c r="K341" t="str">
        <f>IFERROR(INDEX('Green_rooibos initial weight'!$C$5:$C$1749,MATCH(I341, 'Green_rooibos initial weight'!$A$5:$A$1749,0)),"")</f>
        <v/>
      </c>
      <c r="L341" s="195" t="str">
        <f t="shared" si="39"/>
        <v/>
      </c>
      <c r="M341" s="195" t="str">
        <f t="shared" si="40"/>
        <v/>
      </c>
      <c r="N341" s="16">
        <f>IF('Dry_Litterbag Placem_Collection'!G48="N.A","",'Dry_Litterbag Placem_Collection'!G48)</f>
        <v>0</v>
      </c>
      <c r="O341" s="195" t="str">
        <f>IF(IFERROR(INDEX('Both teabags AfterDry'!$D$1:$D$839,MATCH(H341,'Both teabags AfterDry'!$A$1:$A$839,0)),"")="N.A","",(IFERROR(INDEX('Both teabags AfterDry'!$D$1:$D$839,MATCH(H341,'Both teabags AfterDry'!$A$1:$A$839,0)),"")))</f>
        <v/>
      </c>
      <c r="P341" s="195" t="str">
        <f>IF(IFERROR(INDEX('Both teabags AfterDry'!$D$1:$D$839,MATCH(I341,'Both teabags AfterDry'!$A$1:$A$839,0)),"")="N.A","",(IFERROR(INDEX('Both teabags AfterDry'!$D$1:$D$839,MATCH(I341,'Both teabags AfterDry'!$A$1:$A$839,0)),"")))</f>
        <v/>
      </c>
      <c r="Q341" s="195" t="str">
        <f t="shared" si="41"/>
        <v/>
      </c>
      <c r="R341" s="195" t="str">
        <f t="shared" si="41"/>
        <v/>
      </c>
      <c r="S341" s="195" t="str">
        <f t="shared" si="36"/>
        <v/>
      </c>
      <c r="T341" s="195" t="str">
        <f t="shared" si="42"/>
        <v/>
      </c>
      <c r="U341" s="195" t="str">
        <f t="shared" si="37"/>
        <v/>
      </c>
      <c r="V341" t="str">
        <f t="shared" si="38"/>
        <v/>
      </c>
      <c r="W341" s="195" t="str">
        <f t="shared" si="43"/>
        <v/>
      </c>
      <c r="X341" s="195" t="str">
        <f t="shared" si="44"/>
        <v/>
      </c>
      <c r="Y341" s="255" t="str">
        <f>IF(ISNUMBER(SEARCH("C", 'Dry_Litterbag Placem_Collection'!V48)),"YES","NO")</f>
        <v>NO</v>
      </c>
      <c r="Z341" s="255" t="str">
        <f>IF(ISNUMBER(SEARCH("H", 'Dry_Litterbag Placem_Collection'!V48)),"YES","NO")</f>
        <v>NO</v>
      </c>
      <c r="AA341" s="255" t="str">
        <f>IF(ISNUMBER(SEARCH("R", 'Dry_Litterbag Placem_Collection'!V48)),"YES","NO")</f>
        <v>NO</v>
      </c>
      <c r="AB341" s="255" t="str">
        <f>IF(ISNUMBER(SEARCH("C", 'Dry_Litterbag Placem_Collection'!U48)),"YES","NO")</f>
        <v>NO</v>
      </c>
      <c r="AC341" s="255" t="str">
        <f>IF(ISNUMBER(SEARCH("H", 'Dry_Litterbag Placem_Collection'!U48)),"YES","NO")</f>
        <v>NO</v>
      </c>
      <c r="AD341" s="255" t="str">
        <f>IF(ISNUMBER(SEARCH("R", 'Dry_Litterbag Placem_Collection'!U48)),"YES","NO")</f>
        <v>NO</v>
      </c>
    </row>
    <row r="342" spans="2:30">
      <c r="B342" t="str">
        <f>'Final data_for_R_analysis_Dryse'!A488</f>
        <v>Dry</v>
      </c>
      <c r="C342" s="263">
        <f>'Final data_for_R_analysis_Dryse'!B488</f>
        <v>47</v>
      </c>
      <c r="D342" t="s">
        <v>3833</v>
      </c>
      <c r="E342" t="s">
        <v>25</v>
      </c>
      <c r="F342" s="387">
        <v>7</v>
      </c>
      <c r="G342" s="16">
        <f>'Dry_Litterbag Placem_Collection'!E49</f>
        <v>42938</v>
      </c>
      <c r="H342" s="92" t="str">
        <f>'Final data_for_R_analysis_Dryse'!J488</f>
        <v>G659</v>
      </c>
      <c r="I342" t="str">
        <f>'Final data_for_R_analysis_Dryse'!J708</f>
        <v>R606</v>
      </c>
      <c r="J342">
        <f>IFERROR(INDEX('Green_rooibos initial weight'!$C$5:$C$1749,MATCH(H342, 'Green_rooibos initial weight'!$A$5:$A$1749,0)),"")</f>
        <v>2.0529999999999999</v>
      </c>
      <c r="K342">
        <f>IFERROR(INDEX('Green_rooibos initial weight'!$C$5:$C$1749,MATCH(I342, 'Green_rooibos initial weight'!$A$5:$A$1749,0)),"")</f>
        <v>2.15</v>
      </c>
      <c r="L342" s="195">
        <f t="shared" si="39"/>
        <v>1.8031999999999999</v>
      </c>
      <c r="M342" s="195">
        <f t="shared" si="40"/>
        <v>1.9001999999999999</v>
      </c>
      <c r="N342" s="16">
        <f>IF('Dry_Litterbag Placem_Collection'!G49="N.A","",'Dry_Litterbag Placem_Collection'!G49)</f>
        <v>43005</v>
      </c>
      <c r="O342" s="195">
        <f>IF(IFERROR(INDEX('Both teabags AfterDry'!$D$1:$D$839,MATCH(H342,'Both teabags AfterDry'!$A$1:$A$839,0)),"")="N.A","",(IFERROR(INDEX('Both teabags AfterDry'!$D$1:$D$839,MATCH(H342,'Both teabags AfterDry'!$A$1:$A$839,0)),"")))</f>
        <v>1.8913</v>
      </c>
      <c r="P342" s="195">
        <f>IF(IFERROR(INDEX('Both teabags AfterDry'!$D$1:$D$839,MATCH(I342,'Both teabags AfterDry'!$A$1:$A$839,0)),"")="N.A","",(IFERROR(INDEX('Both teabags AfterDry'!$D$1:$D$839,MATCH(I342,'Both teabags AfterDry'!$A$1:$A$839,0)),"")))</f>
        <v>1.9615</v>
      </c>
      <c r="Q342" s="195">
        <f t="shared" si="41"/>
        <v>1.7406999999999999</v>
      </c>
      <c r="R342" s="195">
        <f t="shared" si="41"/>
        <v>1.8109</v>
      </c>
      <c r="S342" s="195">
        <f t="shared" si="36"/>
        <v>3.4660603371783449E-2</v>
      </c>
      <c r="T342" s="195">
        <f t="shared" si="42"/>
        <v>2.2722865868437619E-2</v>
      </c>
      <c r="U342" s="195">
        <f t="shared" si="37"/>
        <v>0.95300494684770032</v>
      </c>
      <c r="V342">
        <f t="shared" si="38"/>
        <v>67</v>
      </c>
      <c r="W342" s="195">
        <f t="shared" si="43"/>
        <v>0.95883538791949707</v>
      </c>
      <c r="X342" s="195" t="str">
        <f t="shared" si="44"/>
        <v/>
      </c>
      <c r="Y342" s="255" t="str">
        <f>IF(ISNUMBER(SEARCH("C", 'Dry_Litterbag Placem_Collection'!V49)),"YES","NO")</f>
        <v>NO</v>
      </c>
      <c r="Z342" s="255" t="str">
        <f>IF(ISNUMBER(SEARCH("H", 'Dry_Litterbag Placem_Collection'!V49)),"YES","NO")</f>
        <v>NO</v>
      </c>
      <c r="AA342" s="255" t="str">
        <f>IF(ISNUMBER(SEARCH("R", 'Dry_Litterbag Placem_Collection'!V49)),"YES","NO")</f>
        <v>NO</v>
      </c>
      <c r="AB342" s="255" t="str">
        <f>IF(ISNUMBER(SEARCH("C", 'Dry_Litterbag Placem_Collection'!U49)),"YES","NO")</f>
        <v>NO</v>
      </c>
      <c r="AC342" s="255" t="str">
        <f>IF(ISNUMBER(SEARCH("H", 'Dry_Litterbag Placem_Collection'!U49)),"YES","NO")</f>
        <v>NO</v>
      </c>
      <c r="AD342" s="255" t="str">
        <f>IF(ISNUMBER(SEARCH("R", 'Dry_Litterbag Placem_Collection'!U49)),"YES","NO")</f>
        <v>NO</v>
      </c>
    </row>
    <row r="343" spans="2:30">
      <c r="B343" t="str">
        <f>'Final data_for_R_analysis_Dryse'!A489</f>
        <v>Dry</v>
      </c>
      <c r="C343" s="263">
        <f>'Final data_for_R_analysis_Dryse'!B489</f>
        <v>48</v>
      </c>
      <c r="D343" t="s">
        <v>3833</v>
      </c>
      <c r="E343" t="s">
        <v>25</v>
      </c>
      <c r="F343" s="387">
        <v>8</v>
      </c>
      <c r="G343" s="16">
        <f>'Dry_Litterbag Placem_Collection'!E50</f>
        <v>42938</v>
      </c>
      <c r="H343" s="92" t="str">
        <f>'Final data_for_R_analysis_Dryse'!J489</f>
        <v>G267</v>
      </c>
      <c r="I343" t="str">
        <f>'Final data_for_R_analysis_Dryse'!J709</f>
        <v>R221</v>
      </c>
      <c r="J343">
        <f>IFERROR(INDEX('Green_rooibos initial weight'!$C$5:$C$1749,MATCH(H343, 'Green_rooibos initial weight'!$A$5:$A$1749,0)),"")</f>
        <v>2.069</v>
      </c>
      <c r="K343">
        <f>IFERROR(INDEX('Green_rooibos initial weight'!$C$5:$C$1749,MATCH(I343, 'Green_rooibos initial weight'!$A$5:$A$1749,0)),"")</f>
        <v>2.2210000000000001</v>
      </c>
      <c r="L343" s="195">
        <f t="shared" si="39"/>
        <v>1.8191999999999999</v>
      </c>
      <c r="M343" s="195">
        <f t="shared" si="40"/>
        <v>1.9712000000000001</v>
      </c>
      <c r="N343" s="16">
        <f>IF('Dry_Litterbag Placem_Collection'!G50="N.A","",'Dry_Litterbag Placem_Collection'!G50)</f>
        <v>43005</v>
      </c>
      <c r="O343" s="195">
        <f>IF(IFERROR(INDEX('Both teabags AfterDry'!$D$1:$D$839,MATCH(H343,'Both teabags AfterDry'!$A$1:$A$839,0)),"")="N.A","",(IFERROR(INDEX('Both teabags AfterDry'!$D$1:$D$839,MATCH(H343,'Both teabags AfterDry'!$A$1:$A$839,0)),"")))</f>
        <v>1.8248</v>
      </c>
      <c r="P343" s="195">
        <f>IF(IFERROR(INDEX('Both teabags AfterDry'!$D$1:$D$839,MATCH(I343,'Both teabags AfterDry'!$A$1:$A$839,0)),"")="N.A","",(IFERROR(INDEX('Both teabags AfterDry'!$D$1:$D$839,MATCH(I343,'Both teabags AfterDry'!$A$1:$A$839,0)),"")))</f>
        <v>1.8791</v>
      </c>
      <c r="Q343" s="195">
        <f t="shared" si="41"/>
        <v>1.6741999999999999</v>
      </c>
      <c r="R343" s="195">
        <f t="shared" si="41"/>
        <v>1.7284999999999999</v>
      </c>
      <c r="S343" s="195">
        <f t="shared" si="36"/>
        <v>7.9705364995602435E-2</v>
      </c>
      <c r="T343" s="195">
        <f t="shared" si="42"/>
        <v>5.2253398429421075E-2</v>
      </c>
      <c r="U343" s="195">
        <f t="shared" si="37"/>
        <v>0.87687702922077915</v>
      </c>
      <c r="V343">
        <f t="shared" si="38"/>
        <v>67</v>
      </c>
      <c r="W343" s="195">
        <f t="shared" si="43"/>
        <v>0.90533804632351256</v>
      </c>
      <c r="X343" s="195" t="str">
        <f t="shared" si="44"/>
        <v/>
      </c>
      <c r="Y343" s="255" t="str">
        <f>IF(ISNUMBER(SEARCH("C", 'Dry_Litterbag Placem_Collection'!V50)),"YES","NO")</f>
        <v>NO</v>
      </c>
      <c r="Z343" s="255" t="str">
        <f>IF(ISNUMBER(SEARCH("H", 'Dry_Litterbag Placem_Collection'!V50)),"YES","NO")</f>
        <v>NO</v>
      </c>
      <c r="AA343" s="255" t="str">
        <f>IF(ISNUMBER(SEARCH("R", 'Dry_Litterbag Placem_Collection'!V50)),"YES","NO")</f>
        <v>NO</v>
      </c>
      <c r="AB343" s="255" t="str">
        <f>IF(ISNUMBER(SEARCH("C", 'Dry_Litterbag Placem_Collection'!U50)),"YES","NO")</f>
        <v>NO</v>
      </c>
      <c r="AC343" s="255" t="str">
        <f>IF(ISNUMBER(SEARCH("H", 'Dry_Litterbag Placem_Collection'!U50)),"YES","NO")</f>
        <v>NO</v>
      </c>
      <c r="AD343" s="255" t="str">
        <f>IF(ISNUMBER(SEARCH("R", 'Dry_Litterbag Placem_Collection'!U50)),"YES","NO")</f>
        <v>NO</v>
      </c>
    </row>
    <row r="344" spans="2:30">
      <c r="B344" t="str">
        <f>'Final data_for_R_analysis_Dryse'!A490</f>
        <v>Dry</v>
      </c>
      <c r="C344" s="263">
        <f>'Final data_for_R_analysis_Dryse'!B490</f>
        <v>49</v>
      </c>
      <c r="D344" t="s">
        <v>3834</v>
      </c>
      <c r="E344" t="s">
        <v>25</v>
      </c>
      <c r="F344" s="386">
        <v>1</v>
      </c>
      <c r="G344" s="16">
        <f>'Dry_Litterbag Placem_Collection'!E51</f>
        <v>42938</v>
      </c>
      <c r="H344" s="92" t="str">
        <f>'Final data_for_R_analysis_Dryse'!J490</f>
        <v>G812</v>
      </c>
      <c r="I344" t="str">
        <f>'Final data_for_R_analysis_Dryse'!J710</f>
        <v>R308</v>
      </c>
      <c r="J344">
        <f>IFERROR(INDEX('Green_rooibos initial weight'!$C$5:$C$1749,MATCH(H344, 'Green_rooibos initial weight'!$A$5:$A$1749,0)),"")</f>
        <v>2.0169999999999999</v>
      </c>
      <c r="K344">
        <f>IFERROR(INDEX('Green_rooibos initial weight'!$C$5:$C$1749,MATCH(I344, 'Green_rooibos initial weight'!$A$5:$A$1749,0)),"")</f>
        <v>2.173</v>
      </c>
      <c r="L344" s="195">
        <f t="shared" si="39"/>
        <v>1.7671999999999999</v>
      </c>
      <c r="M344" s="195">
        <f t="shared" si="40"/>
        <v>1.9232</v>
      </c>
      <c r="N344" s="16">
        <f>IF('Dry_Litterbag Placem_Collection'!G51="N.A","",'Dry_Litterbag Placem_Collection'!G51)</f>
        <v>43005</v>
      </c>
      <c r="O344" s="195" t="str">
        <f>IF(IFERROR(INDEX('Both teabags AfterDry'!$D$1:$D$839,MATCH(H344,'Both teabags AfterDry'!$A$1:$A$839,0)),"")="N.A","",(IFERROR(INDEX('Both teabags AfterDry'!$D$1:$D$839,MATCH(H344,'Both teabags AfterDry'!$A$1:$A$839,0)),"")))</f>
        <v/>
      </c>
      <c r="P344" s="195" t="str">
        <f>IF(IFERROR(INDEX('Both teabags AfterDry'!$D$1:$D$839,MATCH(I344,'Both teabags AfterDry'!$A$1:$A$839,0)),"")="N.A","",(IFERROR(INDEX('Both teabags AfterDry'!$D$1:$D$839,MATCH(I344,'Both teabags AfterDry'!$A$1:$A$839,0)),"")))</f>
        <v/>
      </c>
      <c r="Q344" s="195" t="str">
        <f t="shared" si="41"/>
        <v/>
      </c>
      <c r="R344" s="195" t="str">
        <f t="shared" si="41"/>
        <v/>
      </c>
      <c r="S344" s="195" t="str">
        <f t="shared" si="36"/>
        <v/>
      </c>
      <c r="T344" s="195" t="str">
        <f t="shared" si="42"/>
        <v/>
      </c>
      <c r="U344" s="195" t="str">
        <f t="shared" si="37"/>
        <v/>
      </c>
      <c r="V344">
        <f t="shared" si="38"/>
        <v>67</v>
      </c>
      <c r="W344" s="195" t="str">
        <f t="shared" si="43"/>
        <v/>
      </c>
      <c r="X344" s="195" t="str">
        <f t="shared" si="44"/>
        <v/>
      </c>
      <c r="Y344" s="255" t="str">
        <f>IF(ISNUMBER(SEARCH("C", 'Dry_Litterbag Placem_Collection'!V51)),"YES","NO")</f>
        <v>NO</v>
      </c>
      <c r="Z344" s="255" t="str">
        <f>IF(ISNUMBER(SEARCH("H", 'Dry_Litterbag Placem_Collection'!V51)),"YES","NO")</f>
        <v>NO</v>
      </c>
      <c r="AA344" s="255" t="str">
        <f>IF(ISNUMBER(SEARCH("R", 'Dry_Litterbag Placem_Collection'!V51)),"YES","NO")</f>
        <v>NO</v>
      </c>
      <c r="AB344" s="255" t="str">
        <f>IF(ISNUMBER(SEARCH("C", 'Dry_Litterbag Placem_Collection'!U51)),"YES","NO")</f>
        <v>NO</v>
      </c>
      <c r="AC344" s="255" t="str">
        <f>IF(ISNUMBER(SEARCH("H", 'Dry_Litterbag Placem_Collection'!U51)),"YES","NO")</f>
        <v>NO</v>
      </c>
      <c r="AD344" s="255" t="str">
        <f>IF(ISNUMBER(SEARCH("R", 'Dry_Litterbag Placem_Collection'!U51)),"YES","NO")</f>
        <v>NO</v>
      </c>
    </row>
    <row r="345" spans="2:30">
      <c r="B345" t="str">
        <f>'Final data_for_R_analysis_Dryse'!A491</f>
        <v>Dry</v>
      </c>
      <c r="C345" s="263">
        <f>'Final data_for_R_analysis_Dryse'!B491</f>
        <v>50</v>
      </c>
      <c r="D345" t="s">
        <v>3834</v>
      </c>
      <c r="E345" t="s">
        <v>25</v>
      </c>
      <c r="F345" s="386">
        <v>2</v>
      </c>
      <c r="G345" s="16">
        <f>'Dry_Litterbag Placem_Collection'!E52</f>
        <v>42938</v>
      </c>
      <c r="H345" s="92" t="str">
        <f>'Final data_for_R_analysis_Dryse'!J491</f>
        <v>G212</v>
      </c>
      <c r="I345" t="str">
        <f>'Final data_for_R_analysis_Dryse'!J711</f>
        <v>R644</v>
      </c>
      <c r="J345">
        <f>IFERROR(INDEX('Green_rooibos initial weight'!$C$5:$C$1749,MATCH(H345, 'Green_rooibos initial weight'!$A$5:$A$1749,0)),"")</f>
        <v>1.9570000000000001</v>
      </c>
      <c r="K345">
        <f>IFERROR(INDEX('Green_rooibos initial weight'!$C$5:$C$1749,MATCH(I345, 'Green_rooibos initial weight'!$A$5:$A$1749,0)),"")</f>
        <v>2.2240000000000002</v>
      </c>
      <c r="L345" s="195">
        <f t="shared" si="39"/>
        <v>1.7072000000000001</v>
      </c>
      <c r="M345" s="195">
        <f t="shared" si="40"/>
        <v>1.9742000000000002</v>
      </c>
      <c r="N345" s="16">
        <f>IF('Dry_Litterbag Placem_Collection'!G52="N.A","",'Dry_Litterbag Placem_Collection'!G52)</f>
        <v>0</v>
      </c>
      <c r="O345" s="195" t="str">
        <f>IF(IFERROR(INDEX('Both teabags AfterDry'!$D$1:$D$839,MATCH(H345,'Both teabags AfterDry'!$A$1:$A$839,0)),"")="N.A","",(IFERROR(INDEX('Both teabags AfterDry'!$D$1:$D$839,MATCH(H345,'Both teabags AfterDry'!$A$1:$A$839,0)),"")))</f>
        <v/>
      </c>
      <c r="P345" s="195" t="str">
        <f>IF(IFERROR(INDEX('Both teabags AfterDry'!$D$1:$D$839,MATCH(I345,'Both teabags AfterDry'!$A$1:$A$839,0)),"")="N.A","",(IFERROR(INDEX('Both teabags AfterDry'!$D$1:$D$839,MATCH(I345,'Both teabags AfterDry'!$A$1:$A$839,0)),"")))</f>
        <v/>
      </c>
      <c r="Q345" s="195" t="str">
        <f t="shared" si="41"/>
        <v/>
      </c>
      <c r="R345" s="195" t="str">
        <f t="shared" si="41"/>
        <v/>
      </c>
      <c r="S345" s="195" t="str">
        <f t="shared" si="36"/>
        <v/>
      </c>
      <c r="T345" s="195" t="str">
        <f t="shared" si="42"/>
        <v/>
      </c>
      <c r="U345" s="195" t="str">
        <f t="shared" si="37"/>
        <v/>
      </c>
      <c r="V345" t="str">
        <f t="shared" si="38"/>
        <v/>
      </c>
      <c r="W345" s="195" t="str">
        <f t="shared" si="43"/>
        <v/>
      </c>
      <c r="X345" s="195" t="str">
        <f t="shared" si="44"/>
        <v/>
      </c>
      <c r="Y345" s="255" t="str">
        <f>IF(ISNUMBER(SEARCH("C", 'Dry_Litterbag Placem_Collection'!V52)),"YES","NO")</f>
        <v>NO</v>
      </c>
      <c r="Z345" s="255" t="str">
        <f>IF(ISNUMBER(SEARCH("H", 'Dry_Litterbag Placem_Collection'!V52)),"YES","NO")</f>
        <v>NO</v>
      </c>
      <c r="AA345" s="255" t="str">
        <f>IF(ISNUMBER(SEARCH("R", 'Dry_Litterbag Placem_Collection'!V52)),"YES","NO")</f>
        <v>NO</v>
      </c>
      <c r="AB345" s="255" t="str">
        <f>IF(ISNUMBER(SEARCH("C", 'Dry_Litterbag Placem_Collection'!U52)),"YES","NO")</f>
        <v>NO</v>
      </c>
      <c r="AC345" s="255" t="str">
        <f>IF(ISNUMBER(SEARCH("H", 'Dry_Litterbag Placem_Collection'!U52)),"YES","NO")</f>
        <v>NO</v>
      </c>
      <c r="AD345" s="255" t="str">
        <f>IF(ISNUMBER(SEARCH("R", 'Dry_Litterbag Placem_Collection'!U52)),"YES","NO")</f>
        <v>NO</v>
      </c>
    </row>
    <row r="346" spans="2:30">
      <c r="B346" t="str">
        <f>'Final data_for_R_analysis_Dryse'!A492</f>
        <v>Dry</v>
      </c>
      <c r="C346" s="263">
        <f>'Final data_for_R_analysis_Dryse'!B492</f>
        <v>51</v>
      </c>
      <c r="D346" t="s">
        <v>3834</v>
      </c>
      <c r="E346" t="s">
        <v>25</v>
      </c>
      <c r="F346" s="386">
        <v>3</v>
      </c>
      <c r="G346" s="16">
        <f>'Dry_Litterbag Placem_Collection'!E53</f>
        <v>42938</v>
      </c>
      <c r="H346" s="92" t="str">
        <f>'Final data_for_R_analysis_Dryse'!J492</f>
        <v>G598</v>
      </c>
      <c r="I346" t="str">
        <f>'Final data_for_R_analysis_Dryse'!J712</f>
        <v>R242</v>
      </c>
      <c r="J346">
        <f>IFERROR(INDEX('Green_rooibos initial weight'!$C$5:$C$1749,MATCH(H346, 'Green_rooibos initial weight'!$A$5:$A$1749,0)),"")</f>
        <v>2.1680000000000001</v>
      </c>
      <c r="K346">
        <f>IFERROR(INDEX('Green_rooibos initial weight'!$C$5:$C$1749,MATCH(I346, 'Green_rooibos initial weight'!$A$5:$A$1749,0)),"")</f>
        <v>2.194</v>
      </c>
      <c r="L346" s="195">
        <f t="shared" si="39"/>
        <v>1.9182000000000001</v>
      </c>
      <c r="M346" s="195">
        <f t="shared" si="40"/>
        <v>1.9441999999999999</v>
      </c>
      <c r="N346" s="16">
        <f>IF('Dry_Litterbag Placem_Collection'!G53="N.A","",'Dry_Litterbag Placem_Collection'!G53)</f>
        <v>43005</v>
      </c>
      <c r="O346" s="195">
        <f>IF(IFERROR(INDEX('Both teabags AfterDry'!$D$1:$D$839,MATCH(H346,'Both teabags AfterDry'!$A$1:$A$839,0)),"")="N.A","",(IFERROR(INDEX('Both teabags AfterDry'!$D$1:$D$839,MATCH(H346,'Both teabags AfterDry'!$A$1:$A$839,0)),"")))</f>
        <v>1.9169</v>
      </c>
      <c r="P346" s="195">
        <f>IF(IFERROR(INDEX('Both teabags AfterDry'!$D$1:$D$839,MATCH(I346,'Both teabags AfterDry'!$A$1:$A$839,0)),"")="N.A","",(IFERROR(INDEX('Both teabags AfterDry'!$D$1:$D$839,MATCH(I346,'Both teabags AfterDry'!$A$1:$A$839,0)),"")))</f>
        <v>1.9262999999999999</v>
      </c>
      <c r="Q346" s="195">
        <f t="shared" si="41"/>
        <v>1.7663</v>
      </c>
      <c r="R346" s="195">
        <f t="shared" si="41"/>
        <v>1.7756999999999998</v>
      </c>
      <c r="S346" s="195">
        <f t="shared" si="36"/>
        <v>7.91888228547597E-2</v>
      </c>
      <c r="T346" s="195">
        <f t="shared" si="42"/>
        <v>5.1914762726635845E-2</v>
      </c>
      <c r="U346" s="195">
        <f t="shared" si="37"/>
        <v>0.913331961732332</v>
      </c>
      <c r="V346">
        <f t="shared" si="38"/>
        <v>67</v>
      </c>
      <c r="W346" s="195">
        <f t="shared" si="43"/>
        <v>0.90595151679957275</v>
      </c>
      <c r="X346" s="195" t="str">
        <f t="shared" si="44"/>
        <v/>
      </c>
      <c r="Y346" s="255" t="str">
        <f>IF(ISNUMBER(SEARCH("C", 'Dry_Litterbag Placem_Collection'!V53)),"YES","NO")</f>
        <v>NO</v>
      </c>
      <c r="Z346" s="255" t="str">
        <f>IF(ISNUMBER(SEARCH("H", 'Dry_Litterbag Placem_Collection'!V53)),"YES","NO")</f>
        <v>NO</v>
      </c>
      <c r="AA346" s="255" t="str">
        <f>IF(ISNUMBER(SEARCH("R", 'Dry_Litterbag Placem_Collection'!V53)),"YES","NO")</f>
        <v>NO</v>
      </c>
      <c r="AB346" s="255" t="str">
        <f>IF(ISNUMBER(SEARCH("C", 'Dry_Litterbag Placem_Collection'!U53)),"YES","NO")</f>
        <v>NO</v>
      </c>
      <c r="AC346" s="255" t="str">
        <f>IF(ISNUMBER(SEARCH("H", 'Dry_Litterbag Placem_Collection'!U53)),"YES","NO")</f>
        <v>NO</v>
      </c>
      <c r="AD346" s="255" t="str">
        <f>IF(ISNUMBER(SEARCH("R", 'Dry_Litterbag Placem_Collection'!U53)),"YES","NO")</f>
        <v>NO</v>
      </c>
    </row>
    <row r="347" spans="2:30">
      <c r="B347" t="str">
        <f>'Final data_for_R_analysis_Dryse'!A493</f>
        <v>Dry</v>
      </c>
      <c r="C347" s="263">
        <f>'Final data_for_R_analysis_Dryse'!B493</f>
        <v>52</v>
      </c>
      <c r="D347" t="s">
        <v>3834</v>
      </c>
      <c r="E347" t="s">
        <v>25</v>
      </c>
      <c r="F347" s="387">
        <v>4</v>
      </c>
      <c r="G347" s="16">
        <f>'Dry_Litterbag Placem_Collection'!E54</f>
        <v>42938</v>
      </c>
      <c r="H347" s="92" t="str">
        <f>'Final data_for_R_analysis_Dryse'!J493</f>
        <v>G848</v>
      </c>
      <c r="I347" t="str">
        <f>'Final data_for_R_analysis_Dryse'!J713</f>
        <v>R648</v>
      </c>
      <c r="J347">
        <f>IFERROR(INDEX('Green_rooibos initial weight'!$C$5:$C$1749,MATCH(H347, 'Green_rooibos initial weight'!$A$5:$A$1749,0)),"")</f>
        <v>2.0110000000000001</v>
      </c>
      <c r="K347">
        <f>IFERROR(INDEX('Green_rooibos initial weight'!$C$5:$C$1749,MATCH(I347, 'Green_rooibos initial weight'!$A$5:$A$1749,0)),"")</f>
        <v>2.1920000000000002</v>
      </c>
      <c r="L347" s="195">
        <f t="shared" si="39"/>
        <v>1.7612000000000001</v>
      </c>
      <c r="M347" s="195">
        <f t="shared" si="40"/>
        <v>1.9422000000000001</v>
      </c>
      <c r="N347" s="16">
        <f>IF('Dry_Litterbag Placem_Collection'!G54="N.A","",'Dry_Litterbag Placem_Collection'!G54)</f>
        <v>43005</v>
      </c>
      <c r="O347" s="195">
        <f>IF(IFERROR(INDEX('Both teabags AfterDry'!$D$1:$D$839,MATCH(H347,'Both teabags AfterDry'!$A$1:$A$839,0)),"")="N.A","",(IFERROR(INDEX('Both teabags AfterDry'!$D$1:$D$839,MATCH(H347,'Both teabags AfterDry'!$A$1:$A$839,0)),"")))</f>
        <v>1.8361000000000001</v>
      </c>
      <c r="P347" s="195">
        <f>IF(IFERROR(INDEX('Both teabags AfterDry'!$D$1:$D$839,MATCH(I347,'Both teabags AfterDry'!$A$1:$A$839,0)),"")="N.A","",(IFERROR(INDEX('Both teabags AfterDry'!$D$1:$D$839,MATCH(I347,'Both teabags AfterDry'!$A$1:$A$839,0)),"")))</f>
        <v>1.9649000000000001</v>
      </c>
      <c r="Q347" s="195">
        <f t="shared" si="41"/>
        <v>1.6855</v>
      </c>
      <c r="R347" s="195">
        <f t="shared" si="41"/>
        <v>1.8143</v>
      </c>
      <c r="S347" s="195">
        <f t="shared" si="36"/>
        <v>4.2982057687940056E-2</v>
      </c>
      <c r="T347" s="195">
        <f t="shared" si="42"/>
        <v>2.8178261097081832E-2</v>
      </c>
      <c r="U347" s="195">
        <f t="shared" si="37"/>
        <v>0.93414684378539792</v>
      </c>
      <c r="V347">
        <f t="shared" si="38"/>
        <v>67</v>
      </c>
      <c r="W347" s="195">
        <f t="shared" si="43"/>
        <v>0.9489524255487648</v>
      </c>
      <c r="X347" s="195" t="str">
        <f t="shared" si="44"/>
        <v/>
      </c>
      <c r="Y347" s="255" t="str">
        <f>IF(ISNUMBER(SEARCH("C", 'Dry_Litterbag Placem_Collection'!V54)),"YES","NO")</f>
        <v>NO</v>
      </c>
      <c r="Z347" s="255" t="str">
        <f>IF(ISNUMBER(SEARCH("H", 'Dry_Litterbag Placem_Collection'!V54)),"YES","NO")</f>
        <v>NO</v>
      </c>
      <c r="AA347" s="255" t="str">
        <f>IF(ISNUMBER(SEARCH("R", 'Dry_Litterbag Placem_Collection'!V54)),"YES","NO")</f>
        <v>NO</v>
      </c>
      <c r="AB347" s="255" t="str">
        <f>IF(ISNUMBER(SEARCH("C", 'Dry_Litterbag Placem_Collection'!U54)),"YES","NO")</f>
        <v>NO</v>
      </c>
      <c r="AC347" s="255" t="str">
        <f>IF(ISNUMBER(SEARCH("H", 'Dry_Litterbag Placem_Collection'!U54)),"YES","NO")</f>
        <v>NO</v>
      </c>
      <c r="AD347" s="255" t="str">
        <f>IF(ISNUMBER(SEARCH("R", 'Dry_Litterbag Placem_Collection'!U54)),"YES","NO")</f>
        <v>NO</v>
      </c>
    </row>
    <row r="348" spans="2:30">
      <c r="B348" t="str">
        <f>'Final data_for_R_analysis_Dryse'!A494</f>
        <v>Dry</v>
      </c>
      <c r="C348" s="263">
        <f>'Final data_for_R_analysis_Dryse'!B494</f>
        <v>53</v>
      </c>
      <c r="D348" t="s">
        <v>3834</v>
      </c>
      <c r="E348" t="s">
        <v>25</v>
      </c>
      <c r="F348" s="387">
        <v>5</v>
      </c>
      <c r="G348" s="16">
        <f>'Dry_Litterbag Placem_Collection'!E55</f>
        <v>42938</v>
      </c>
      <c r="H348" s="92" t="str">
        <f>'Final data_for_R_analysis_Dryse'!J494</f>
        <v>G759</v>
      </c>
      <c r="I348" t="str">
        <f>'Final data_for_R_analysis_Dryse'!J714</f>
        <v>R140</v>
      </c>
      <c r="J348">
        <f>IFERROR(INDEX('Green_rooibos initial weight'!$C$5:$C$1749,MATCH(H348, 'Green_rooibos initial weight'!$A$5:$A$1749,0)),"")</f>
        <v>2.0539999999999998</v>
      </c>
      <c r="K348">
        <f>IFERROR(INDEX('Green_rooibos initial weight'!$C$5:$C$1749,MATCH(I348, 'Green_rooibos initial weight'!$A$5:$A$1749,0)),"")</f>
        <v>2.1930000000000001</v>
      </c>
      <c r="L348" s="195">
        <f t="shared" si="39"/>
        <v>1.8041999999999998</v>
      </c>
      <c r="M348" s="195">
        <f t="shared" si="40"/>
        <v>1.9432</v>
      </c>
      <c r="N348" s="16">
        <f>IF('Dry_Litterbag Placem_Collection'!G55="N.A","",'Dry_Litterbag Placem_Collection'!G55)</f>
        <v>43005</v>
      </c>
      <c r="O348" s="195">
        <f>IF(IFERROR(INDEX('Both teabags AfterDry'!$D$1:$D$839,MATCH(H348,'Both teabags AfterDry'!$A$1:$A$839,0)),"")="N.A","",(IFERROR(INDEX('Both teabags AfterDry'!$D$1:$D$839,MATCH(H348,'Both teabags AfterDry'!$A$1:$A$839,0)),"")))</f>
        <v>1.8980999999999999</v>
      </c>
      <c r="P348" s="195">
        <f>IF(IFERROR(INDEX('Both teabags AfterDry'!$D$1:$D$839,MATCH(I348,'Both teabags AfterDry'!$A$1:$A$839,0)),"")="N.A","",(IFERROR(INDEX('Both teabags AfterDry'!$D$1:$D$839,MATCH(I348,'Both teabags AfterDry'!$A$1:$A$839,0)),"")))</f>
        <v>1.9561999999999999</v>
      </c>
      <c r="Q348" s="195">
        <f t="shared" si="41"/>
        <v>1.7474999999999998</v>
      </c>
      <c r="R348" s="195">
        <f t="shared" si="41"/>
        <v>1.8055999999999999</v>
      </c>
      <c r="S348" s="195">
        <f t="shared" si="36"/>
        <v>3.1426671100764914E-2</v>
      </c>
      <c r="T348" s="195">
        <f t="shared" si="42"/>
        <v>2.060275825133279E-2</v>
      </c>
      <c r="U348" s="195">
        <f t="shared" si="37"/>
        <v>0.92918896665294348</v>
      </c>
      <c r="V348">
        <f t="shared" si="38"/>
        <v>67</v>
      </c>
      <c r="W348" s="195">
        <f t="shared" si="43"/>
        <v>0.96267616258816524</v>
      </c>
      <c r="X348" s="195" t="str">
        <f t="shared" si="44"/>
        <v/>
      </c>
      <c r="Y348" s="255" t="str">
        <f>IF(ISNUMBER(SEARCH("C", 'Dry_Litterbag Placem_Collection'!V55)),"YES","NO")</f>
        <v>NO</v>
      </c>
      <c r="Z348" s="255" t="str">
        <f>IF(ISNUMBER(SEARCH("H", 'Dry_Litterbag Placem_Collection'!V55)),"YES","NO")</f>
        <v>NO</v>
      </c>
      <c r="AA348" s="255" t="str">
        <f>IF(ISNUMBER(SEARCH("R", 'Dry_Litterbag Placem_Collection'!V55)),"YES","NO")</f>
        <v>NO</v>
      </c>
      <c r="AB348" s="255" t="str">
        <f>IF(ISNUMBER(SEARCH("C", 'Dry_Litterbag Placem_Collection'!U55)),"YES","NO")</f>
        <v>NO</v>
      </c>
      <c r="AC348" s="255" t="str">
        <f>IF(ISNUMBER(SEARCH("H", 'Dry_Litterbag Placem_Collection'!U55)),"YES","NO")</f>
        <v>NO</v>
      </c>
      <c r="AD348" s="255" t="str">
        <f>IF(ISNUMBER(SEARCH("R", 'Dry_Litterbag Placem_Collection'!U55)),"YES","NO")</f>
        <v>NO</v>
      </c>
    </row>
    <row r="349" spans="2:30">
      <c r="B349" t="str">
        <f>'Final data_for_R_analysis_Dryse'!A495</f>
        <v>Dry</v>
      </c>
      <c r="C349" s="263">
        <f>'Final data_for_R_analysis_Dryse'!B495</f>
        <v>54</v>
      </c>
      <c r="D349" t="s">
        <v>3834</v>
      </c>
      <c r="E349" t="s">
        <v>25</v>
      </c>
      <c r="F349" s="387">
        <v>6</v>
      </c>
      <c r="G349" s="16">
        <f>'Dry_Litterbag Placem_Collection'!E56</f>
        <v>0</v>
      </c>
      <c r="H349" s="92" t="str">
        <f>'Final data_for_R_analysis_Dryse'!J495</f>
        <v/>
      </c>
      <c r="I349" t="str">
        <f>'Final data_for_R_analysis_Dryse'!J715</f>
        <v/>
      </c>
      <c r="J349" t="str">
        <f>IFERROR(INDEX('Green_rooibos initial weight'!$C$5:$C$1749,MATCH(H349, 'Green_rooibos initial weight'!$A$5:$A$1749,0)),"")</f>
        <v/>
      </c>
      <c r="K349" t="str">
        <f>IFERROR(INDEX('Green_rooibos initial weight'!$C$5:$C$1749,MATCH(I349, 'Green_rooibos initial weight'!$A$5:$A$1749,0)),"")</f>
        <v/>
      </c>
      <c r="L349" s="195" t="str">
        <f t="shared" si="39"/>
        <v/>
      </c>
      <c r="M349" s="195" t="str">
        <f t="shared" si="40"/>
        <v/>
      </c>
      <c r="N349" s="16">
        <f>IF('Dry_Litterbag Placem_Collection'!G56="N.A","",'Dry_Litterbag Placem_Collection'!G56)</f>
        <v>0</v>
      </c>
      <c r="O349" s="195" t="str">
        <f>IF(IFERROR(INDEX('Both teabags AfterDry'!$D$1:$D$839,MATCH(H349,'Both teabags AfterDry'!$A$1:$A$839,0)),"")="N.A","",(IFERROR(INDEX('Both teabags AfterDry'!$D$1:$D$839,MATCH(H349,'Both teabags AfterDry'!$A$1:$A$839,0)),"")))</f>
        <v/>
      </c>
      <c r="P349" s="195" t="str">
        <f>IF(IFERROR(INDEX('Both teabags AfterDry'!$D$1:$D$839,MATCH(I349,'Both teabags AfterDry'!$A$1:$A$839,0)),"")="N.A","",(IFERROR(INDEX('Both teabags AfterDry'!$D$1:$D$839,MATCH(I349,'Both teabags AfterDry'!$A$1:$A$839,0)),"")))</f>
        <v/>
      </c>
      <c r="Q349" s="195" t="str">
        <f t="shared" si="41"/>
        <v/>
      </c>
      <c r="R349" s="195" t="str">
        <f t="shared" si="41"/>
        <v/>
      </c>
      <c r="S349" s="195" t="str">
        <f t="shared" si="36"/>
        <v/>
      </c>
      <c r="T349" s="195" t="str">
        <f t="shared" si="42"/>
        <v/>
      </c>
      <c r="U349" s="195" t="str">
        <f t="shared" si="37"/>
        <v/>
      </c>
      <c r="V349" t="str">
        <f t="shared" si="38"/>
        <v/>
      </c>
      <c r="W349" s="195" t="str">
        <f t="shared" si="43"/>
        <v/>
      </c>
      <c r="X349" s="195" t="str">
        <f t="shared" si="44"/>
        <v/>
      </c>
      <c r="Y349" s="255" t="str">
        <f>IF(ISNUMBER(SEARCH("C", 'Dry_Litterbag Placem_Collection'!V56)),"YES","NO")</f>
        <v>NO</v>
      </c>
      <c r="Z349" s="255" t="str">
        <f>IF(ISNUMBER(SEARCH("H", 'Dry_Litterbag Placem_Collection'!V56)),"YES","NO")</f>
        <v>NO</v>
      </c>
      <c r="AA349" s="255" t="str">
        <f>IF(ISNUMBER(SEARCH("R", 'Dry_Litterbag Placem_Collection'!V56)),"YES","NO")</f>
        <v>NO</v>
      </c>
      <c r="AB349" s="255" t="str">
        <f>IF(ISNUMBER(SEARCH("C", 'Dry_Litterbag Placem_Collection'!U56)),"YES","NO")</f>
        <v>NO</v>
      </c>
      <c r="AC349" s="255" t="str">
        <f>IF(ISNUMBER(SEARCH("H", 'Dry_Litterbag Placem_Collection'!U56)),"YES","NO")</f>
        <v>NO</v>
      </c>
      <c r="AD349" s="255" t="str">
        <f>IF(ISNUMBER(SEARCH("R", 'Dry_Litterbag Placem_Collection'!U56)),"YES","NO")</f>
        <v>NO</v>
      </c>
    </row>
    <row r="350" spans="2:30">
      <c r="B350" t="str">
        <f>'Final data_for_R_analysis_Dryse'!A496</f>
        <v>Dry</v>
      </c>
      <c r="C350" s="263">
        <f>'Final data_for_R_analysis_Dryse'!B496</f>
        <v>55</v>
      </c>
      <c r="D350" t="s">
        <v>3834</v>
      </c>
      <c r="E350" t="s">
        <v>25</v>
      </c>
      <c r="F350" s="387">
        <v>7</v>
      </c>
      <c r="G350" s="16">
        <f>'Dry_Litterbag Placem_Collection'!E57</f>
        <v>42938</v>
      </c>
      <c r="H350" s="92" t="str">
        <f>'Final data_for_R_analysis_Dryse'!J496</f>
        <v>G260</v>
      </c>
      <c r="I350" t="str">
        <f>'Final data_for_R_analysis_Dryse'!J716</f>
        <v>R192</v>
      </c>
      <c r="J350">
        <f>IFERROR(INDEX('Green_rooibos initial weight'!$C$5:$C$1749,MATCH(H350, 'Green_rooibos initial weight'!$A$5:$A$1749,0)),"")</f>
        <v>2.1560000000000001</v>
      </c>
      <c r="K350">
        <f>IFERROR(INDEX('Green_rooibos initial weight'!$C$5:$C$1749,MATCH(I350, 'Green_rooibos initial weight'!$A$5:$A$1749,0)),"")</f>
        <v>2.1970000000000001</v>
      </c>
      <c r="L350" s="195">
        <f t="shared" si="39"/>
        <v>1.9062000000000001</v>
      </c>
      <c r="M350" s="195">
        <f t="shared" si="40"/>
        <v>1.9472</v>
      </c>
      <c r="N350" s="16">
        <f>IF('Dry_Litterbag Placem_Collection'!G57="N.A","",'Dry_Litterbag Placem_Collection'!G57)</f>
        <v>43005</v>
      </c>
      <c r="O350" s="195">
        <f>IF(IFERROR(INDEX('Both teabags AfterDry'!$D$1:$D$839,MATCH(H350,'Both teabags AfterDry'!$A$1:$A$839,0)),"")="N.A","",(IFERROR(INDEX('Both teabags AfterDry'!$D$1:$D$839,MATCH(H350,'Both teabags AfterDry'!$A$1:$A$839,0)),"")))</f>
        <v>1.9074</v>
      </c>
      <c r="P350" s="195">
        <f>IF(IFERROR(INDEX('Both teabags AfterDry'!$D$1:$D$839,MATCH(I350,'Both teabags AfterDry'!$A$1:$A$839,0)),"")="N.A","",(IFERROR(INDEX('Both teabags AfterDry'!$D$1:$D$839,MATCH(I350,'Both teabags AfterDry'!$A$1:$A$839,0)),"")))</f>
        <v>1.9886999999999999</v>
      </c>
      <c r="Q350" s="195">
        <f t="shared" si="41"/>
        <v>1.7567999999999999</v>
      </c>
      <c r="R350" s="195">
        <f t="shared" si="41"/>
        <v>1.8380999999999998</v>
      </c>
      <c r="S350" s="195">
        <f t="shared" si="36"/>
        <v>7.8375826251180447E-2</v>
      </c>
      <c r="T350" s="195">
        <f t="shared" si="42"/>
        <v>5.1381776829752521E-2</v>
      </c>
      <c r="U350" s="195">
        <f t="shared" si="37"/>
        <v>0.94397082990961367</v>
      </c>
      <c r="V350">
        <f t="shared" si="38"/>
        <v>67</v>
      </c>
      <c r="W350" s="195">
        <f t="shared" si="43"/>
        <v>0.90691707096059326</v>
      </c>
      <c r="X350" s="195" t="str">
        <f t="shared" si="44"/>
        <v/>
      </c>
      <c r="Y350" s="255" t="str">
        <f>IF(ISNUMBER(SEARCH("C", 'Dry_Litterbag Placem_Collection'!V57)),"YES","NO")</f>
        <v>NO</v>
      </c>
      <c r="Z350" s="255" t="str">
        <f>IF(ISNUMBER(SEARCH("H", 'Dry_Litterbag Placem_Collection'!V57)),"YES","NO")</f>
        <v>NO</v>
      </c>
      <c r="AA350" s="255" t="str">
        <f>IF(ISNUMBER(SEARCH("R", 'Dry_Litterbag Placem_Collection'!V57)),"YES","NO")</f>
        <v>NO</v>
      </c>
      <c r="AB350" s="255" t="str">
        <f>IF(ISNUMBER(SEARCH("C", 'Dry_Litterbag Placem_Collection'!U57)),"YES","NO")</f>
        <v>NO</v>
      </c>
      <c r="AC350" s="255" t="str">
        <f>IF(ISNUMBER(SEARCH("H", 'Dry_Litterbag Placem_Collection'!U57)),"YES","NO")</f>
        <v>NO</v>
      </c>
      <c r="AD350" s="255" t="str">
        <f>IF(ISNUMBER(SEARCH("R", 'Dry_Litterbag Placem_Collection'!U57)),"YES","NO")</f>
        <v>NO</v>
      </c>
    </row>
    <row r="351" spans="2:30">
      <c r="B351" t="str">
        <f>'Final data_for_R_analysis_Dryse'!A497</f>
        <v>Dry</v>
      </c>
      <c r="C351" s="263">
        <f>'Final data_for_R_analysis_Dryse'!B497</f>
        <v>56</v>
      </c>
      <c r="D351" t="s">
        <v>3834</v>
      </c>
      <c r="E351" t="s">
        <v>25</v>
      </c>
      <c r="F351" s="387">
        <v>8</v>
      </c>
      <c r="G351" s="16">
        <f>'Dry_Litterbag Placem_Collection'!E58</f>
        <v>42938</v>
      </c>
      <c r="H351" s="92" t="str">
        <f>'Final data_for_R_analysis_Dryse'!J497</f>
        <v>G493</v>
      </c>
      <c r="I351" t="str">
        <f>'Final data_for_R_analysis_Dryse'!J717</f>
        <v>R227</v>
      </c>
      <c r="J351">
        <f>IFERROR(INDEX('Green_rooibos initial weight'!$C$5:$C$1749,MATCH(H351, 'Green_rooibos initial weight'!$A$5:$A$1749,0)),"")</f>
        <v>2.0510000000000002</v>
      </c>
      <c r="K351">
        <f>IFERROR(INDEX('Green_rooibos initial weight'!$C$5:$C$1749,MATCH(I351, 'Green_rooibos initial weight'!$A$5:$A$1749,0)),"")</f>
        <v>2.254</v>
      </c>
      <c r="L351" s="195">
        <f t="shared" si="39"/>
        <v>1.8012000000000001</v>
      </c>
      <c r="M351" s="195">
        <f t="shared" si="40"/>
        <v>2.0042</v>
      </c>
      <c r="N351" s="16">
        <f>IF('Dry_Litterbag Placem_Collection'!G58="N.A","",'Dry_Litterbag Placem_Collection'!G58)</f>
        <v>43005</v>
      </c>
      <c r="O351" s="195" t="str">
        <f>IF(IFERROR(INDEX('Both teabags AfterDry'!$D$1:$D$839,MATCH(H351,'Both teabags AfterDry'!$A$1:$A$839,0)),"")="N.A","",(IFERROR(INDEX('Both teabags AfterDry'!$D$1:$D$839,MATCH(H351,'Both teabags AfterDry'!$A$1:$A$839,0)),"")))</f>
        <v/>
      </c>
      <c r="P351" s="195">
        <f>IF(IFERROR(INDEX('Both teabags AfterDry'!$D$1:$D$839,MATCH(I351,'Both teabags AfterDry'!$A$1:$A$839,0)),"")="N.A","",(IFERROR(INDEX('Both teabags AfterDry'!$D$1:$D$839,MATCH(I351,'Both teabags AfterDry'!$A$1:$A$839,0)),"")))</f>
        <v>2.0263</v>
      </c>
      <c r="Q351" s="195" t="str">
        <f t="shared" si="41"/>
        <v/>
      </c>
      <c r="R351" s="195">
        <f t="shared" si="41"/>
        <v>1.8756999999999999</v>
      </c>
      <c r="S351" s="195" t="str">
        <f t="shared" si="36"/>
        <v/>
      </c>
      <c r="T351" s="195" t="str">
        <f t="shared" si="42"/>
        <v/>
      </c>
      <c r="U351" s="195">
        <f t="shared" si="37"/>
        <v>0.93588464225127233</v>
      </c>
      <c r="V351">
        <f t="shared" si="38"/>
        <v>67</v>
      </c>
      <c r="W351" s="195" t="str">
        <f t="shared" si="43"/>
        <v/>
      </c>
      <c r="X351" s="195" t="str">
        <f t="shared" si="44"/>
        <v/>
      </c>
      <c r="Y351" s="255" t="str">
        <f>IF(ISNUMBER(SEARCH("C", 'Dry_Litterbag Placem_Collection'!V58)),"YES","NO")</f>
        <v>NO</v>
      </c>
      <c r="Z351" s="255" t="str">
        <f>IF(ISNUMBER(SEARCH("H", 'Dry_Litterbag Placem_Collection'!V58)),"YES","NO")</f>
        <v>NO</v>
      </c>
      <c r="AA351" s="255" t="str">
        <f>IF(ISNUMBER(SEARCH("R", 'Dry_Litterbag Placem_Collection'!V58)),"YES","NO")</f>
        <v>NO</v>
      </c>
      <c r="AB351" s="255" t="str">
        <f>IF(ISNUMBER(SEARCH("C", 'Dry_Litterbag Placem_Collection'!U58)),"YES","NO")</f>
        <v>NO</v>
      </c>
      <c r="AC351" s="255" t="str">
        <f>IF(ISNUMBER(SEARCH("H", 'Dry_Litterbag Placem_Collection'!U58)),"YES","NO")</f>
        <v>NO</v>
      </c>
      <c r="AD351" s="255" t="str">
        <f>IF(ISNUMBER(SEARCH("R", 'Dry_Litterbag Placem_Collection'!U58)),"YES","NO")</f>
        <v>NO</v>
      </c>
    </row>
    <row r="352" spans="2:30">
      <c r="B352" t="str">
        <f>'Final data_for_R_analysis_Dryse'!A498</f>
        <v>Dry</v>
      </c>
      <c r="C352" s="263">
        <f>'Final data_for_R_analysis_Dryse'!B498</f>
        <v>57</v>
      </c>
      <c r="D352" t="s">
        <v>3835</v>
      </c>
      <c r="E352" t="s">
        <v>25</v>
      </c>
      <c r="F352" s="386">
        <v>1</v>
      </c>
      <c r="G352" s="16">
        <f>'Dry_Litterbag Placem_Collection'!E59</f>
        <v>42938</v>
      </c>
      <c r="H352" s="92" t="str">
        <f>'Final data_for_R_analysis_Dryse'!J498</f>
        <v>G342</v>
      </c>
      <c r="I352" t="str">
        <f>'Final data_for_R_analysis_Dryse'!J718</f>
        <v>R416</v>
      </c>
      <c r="J352">
        <f>IFERROR(INDEX('Green_rooibos initial weight'!$C$5:$C$1749,MATCH(H352, 'Green_rooibos initial weight'!$A$5:$A$1749,0)),"")</f>
        <v>1.9039999999999999</v>
      </c>
      <c r="K352">
        <f>IFERROR(INDEX('Green_rooibos initial weight'!$C$5:$C$1749,MATCH(I352, 'Green_rooibos initial weight'!$A$5:$A$1749,0)),"")</f>
        <v>2.2469999999999999</v>
      </c>
      <c r="L352" s="195">
        <f t="shared" si="39"/>
        <v>1.6541999999999999</v>
      </c>
      <c r="M352" s="195">
        <f t="shared" si="40"/>
        <v>1.9971999999999999</v>
      </c>
      <c r="N352" s="16">
        <f>IF('Dry_Litterbag Placem_Collection'!G59="N.A","",'Dry_Litterbag Placem_Collection'!G59)</f>
        <v>43005</v>
      </c>
      <c r="O352" s="195">
        <f>IF(IFERROR(INDEX('Both teabags AfterDry'!$D$1:$D$839,MATCH(H352,'Both teabags AfterDry'!$A$1:$A$839,0)),"")="N.A","",(IFERROR(INDEX('Both teabags AfterDry'!$D$1:$D$839,MATCH(H352,'Both teabags AfterDry'!$A$1:$A$839,0)),"")))</f>
        <v>1.7556</v>
      </c>
      <c r="P352" s="195">
        <f>IF(IFERROR(INDEX('Both teabags AfterDry'!$D$1:$D$839,MATCH(I352,'Both teabags AfterDry'!$A$1:$A$839,0)),"")="N.A","",(IFERROR(INDEX('Both teabags AfterDry'!$D$1:$D$839,MATCH(I352,'Both teabags AfterDry'!$A$1:$A$839,0)),"")))</f>
        <v>2.0192999999999999</v>
      </c>
      <c r="Q352" s="195">
        <f t="shared" si="41"/>
        <v>1.605</v>
      </c>
      <c r="R352" s="195">
        <f t="shared" si="41"/>
        <v>1.8686999999999998</v>
      </c>
      <c r="S352" s="195">
        <f t="shared" si="36"/>
        <v>2.9742473703300631E-2</v>
      </c>
      <c r="T352" s="195">
        <f t="shared" si="42"/>
        <v>1.949862884111872E-2</v>
      </c>
      <c r="U352" s="195">
        <f t="shared" si="37"/>
        <v>0.93565992389345076</v>
      </c>
      <c r="V352">
        <f t="shared" si="38"/>
        <v>67</v>
      </c>
      <c r="W352" s="195">
        <f t="shared" si="43"/>
        <v>0.96467639702695884</v>
      </c>
      <c r="X352" s="195" t="str">
        <f t="shared" si="44"/>
        <v/>
      </c>
      <c r="Y352" s="255" t="str">
        <f>IF(ISNUMBER(SEARCH("C", 'Dry_Litterbag Placem_Collection'!V59)),"YES","NO")</f>
        <v>NO</v>
      </c>
      <c r="Z352" s="255" t="str">
        <f>IF(ISNUMBER(SEARCH("H", 'Dry_Litterbag Placem_Collection'!V59)),"YES","NO")</f>
        <v>NO</v>
      </c>
      <c r="AA352" s="255" t="str">
        <f>IF(ISNUMBER(SEARCH("R", 'Dry_Litterbag Placem_Collection'!V59)),"YES","NO")</f>
        <v>NO</v>
      </c>
      <c r="AB352" s="255" t="str">
        <f>IF(ISNUMBER(SEARCH("C", 'Dry_Litterbag Placem_Collection'!U59)),"YES","NO")</f>
        <v>NO</v>
      </c>
      <c r="AC352" s="255" t="str">
        <f>IF(ISNUMBER(SEARCH("H", 'Dry_Litterbag Placem_Collection'!U59)),"YES","NO")</f>
        <v>NO</v>
      </c>
      <c r="AD352" s="255" t="str">
        <f>IF(ISNUMBER(SEARCH("R", 'Dry_Litterbag Placem_Collection'!U59)),"YES","NO")</f>
        <v>NO</v>
      </c>
    </row>
    <row r="353" spans="2:30">
      <c r="B353" t="str">
        <f>'Final data_for_R_analysis_Dryse'!A499</f>
        <v>Dry</v>
      </c>
      <c r="C353" s="263">
        <f>'Final data_for_R_analysis_Dryse'!B499</f>
        <v>58</v>
      </c>
      <c r="D353" t="s">
        <v>3835</v>
      </c>
      <c r="E353" t="s">
        <v>25</v>
      </c>
      <c r="F353" s="386">
        <v>2</v>
      </c>
      <c r="G353" s="16">
        <f>'Dry_Litterbag Placem_Collection'!E60</f>
        <v>42938</v>
      </c>
      <c r="H353" s="92" t="str">
        <f>'Final data_for_R_analysis_Dryse'!J499</f>
        <v>G735</v>
      </c>
      <c r="I353" t="str">
        <f>'Final data_for_R_analysis_Dryse'!J719</f>
        <v>R689</v>
      </c>
      <c r="J353">
        <f>IFERROR(INDEX('Green_rooibos initial weight'!$C$5:$C$1749,MATCH(H353, 'Green_rooibos initial weight'!$A$5:$A$1749,0)),"")</f>
        <v>2.0950000000000002</v>
      </c>
      <c r="K353">
        <f>IFERROR(INDEX('Green_rooibos initial weight'!$C$5:$C$1749,MATCH(I353, 'Green_rooibos initial weight'!$A$5:$A$1749,0)),"")</f>
        <v>2.11</v>
      </c>
      <c r="L353" s="195">
        <f t="shared" si="39"/>
        <v>1.8452000000000002</v>
      </c>
      <c r="M353" s="195">
        <f t="shared" si="40"/>
        <v>1.8601999999999999</v>
      </c>
      <c r="N353" s="16">
        <f>IF('Dry_Litterbag Placem_Collection'!G60="N.A","",'Dry_Litterbag Placem_Collection'!G60)</f>
        <v>43005</v>
      </c>
      <c r="O353" s="195">
        <f>IF(IFERROR(INDEX('Both teabags AfterDry'!$D$1:$D$839,MATCH(H353,'Both teabags AfterDry'!$A$1:$A$839,0)),"")="N.A","",(IFERROR(INDEX('Both teabags AfterDry'!$D$1:$D$839,MATCH(H353,'Both teabags AfterDry'!$A$1:$A$839,0)),"")))</f>
        <v>1.9036</v>
      </c>
      <c r="P353" s="195">
        <f>IF(IFERROR(INDEX('Both teabags AfterDry'!$D$1:$D$839,MATCH(I353,'Both teabags AfterDry'!$A$1:$A$839,0)),"")="N.A","",(IFERROR(INDEX('Both teabags AfterDry'!$D$1:$D$839,MATCH(I353,'Both teabags AfterDry'!$A$1:$A$839,0)),"")))</f>
        <v>1.9226000000000001</v>
      </c>
      <c r="Q353" s="195">
        <f t="shared" si="41"/>
        <v>1.7529999999999999</v>
      </c>
      <c r="R353" s="195">
        <f t="shared" si="41"/>
        <v>1.772</v>
      </c>
      <c r="S353" s="195">
        <f t="shared" si="36"/>
        <v>4.9967483199653273E-2</v>
      </c>
      <c r="T353" s="195">
        <f t="shared" si="42"/>
        <v>3.2757779959867707E-2</v>
      </c>
      <c r="U353" s="195">
        <f t="shared" si="37"/>
        <v>0.95258574346844438</v>
      </c>
      <c r="V353">
        <f t="shared" si="38"/>
        <v>67</v>
      </c>
      <c r="W353" s="195">
        <f t="shared" si="43"/>
        <v>0.94065619572487735</v>
      </c>
      <c r="X353" s="195" t="str">
        <f t="shared" si="44"/>
        <v/>
      </c>
      <c r="Y353" s="255" t="str">
        <f>IF(ISNUMBER(SEARCH("C", 'Dry_Litterbag Placem_Collection'!V60)),"YES","NO")</f>
        <v>NO</v>
      </c>
      <c r="Z353" s="255" t="str">
        <f>IF(ISNUMBER(SEARCH("H", 'Dry_Litterbag Placem_Collection'!V60)),"YES","NO")</f>
        <v>NO</v>
      </c>
      <c r="AA353" s="255" t="str">
        <f>IF(ISNUMBER(SEARCH("R", 'Dry_Litterbag Placem_Collection'!V60)),"YES","NO")</f>
        <v>NO</v>
      </c>
      <c r="AB353" s="255" t="str">
        <f>IF(ISNUMBER(SEARCH("C", 'Dry_Litterbag Placem_Collection'!U60)),"YES","NO")</f>
        <v>NO</v>
      </c>
      <c r="AC353" s="255" t="str">
        <f>IF(ISNUMBER(SEARCH("H", 'Dry_Litterbag Placem_Collection'!U60)),"YES","NO")</f>
        <v>NO</v>
      </c>
      <c r="AD353" s="255" t="str">
        <f>IF(ISNUMBER(SEARCH("R", 'Dry_Litterbag Placem_Collection'!U60)),"YES","NO")</f>
        <v>NO</v>
      </c>
    </row>
    <row r="354" spans="2:30">
      <c r="B354" t="str">
        <f>'Final data_for_R_analysis_Dryse'!A500</f>
        <v>Dry</v>
      </c>
      <c r="C354" s="263">
        <f>'Final data_for_R_analysis_Dryse'!B500</f>
        <v>59</v>
      </c>
      <c r="D354" t="s">
        <v>3835</v>
      </c>
      <c r="E354" t="s">
        <v>25</v>
      </c>
      <c r="F354" s="386">
        <v>3</v>
      </c>
      <c r="G354" s="16">
        <f>'Dry_Litterbag Placem_Collection'!E61</f>
        <v>42938</v>
      </c>
      <c r="H354" s="92" t="str">
        <f>'Final data_for_R_analysis_Dryse'!J500</f>
        <v>G558</v>
      </c>
      <c r="I354" t="str">
        <f>'Final data_for_R_analysis_Dryse'!J720</f>
        <v>R231</v>
      </c>
      <c r="J354">
        <f>IFERROR(INDEX('Green_rooibos initial weight'!$C$5:$C$1749,MATCH(H354, 'Green_rooibos initial weight'!$A$5:$A$1749,0)),"")</f>
        <v>2.1789999999999998</v>
      </c>
      <c r="K354">
        <f>IFERROR(INDEX('Green_rooibos initial weight'!$C$5:$C$1749,MATCH(I354, 'Green_rooibos initial weight'!$A$5:$A$1749,0)),"")</f>
        <v>2.1230000000000002</v>
      </c>
      <c r="L354" s="195">
        <f t="shared" si="39"/>
        <v>1.9291999999999998</v>
      </c>
      <c r="M354" s="195">
        <f t="shared" si="40"/>
        <v>1.8732000000000002</v>
      </c>
      <c r="N354" s="16">
        <f>IF('Dry_Litterbag Placem_Collection'!G61="N.A","",'Dry_Litterbag Placem_Collection'!G61)</f>
        <v>43005</v>
      </c>
      <c r="O354" s="195">
        <f>IF(IFERROR(INDEX('Both teabags AfterDry'!$D$1:$D$839,MATCH(H354,'Both teabags AfterDry'!$A$1:$A$839,0)),"")="N.A","",(IFERROR(INDEX('Both teabags AfterDry'!$D$1:$D$839,MATCH(H354,'Both teabags AfterDry'!$A$1:$A$839,0)),"")))</f>
        <v>1.9415</v>
      </c>
      <c r="P354" s="195" t="str">
        <f>IF(IFERROR(INDEX('Both teabags AfterDry'!$D$1:$D$839,MATCH(I354,'Both teabags AfterDry'!$A$1:$A$839,0)),"")="N.A","",(IFERROR(INDEX('Both teabags AfterDry'!$D$1:$D$839,MATCH(I354,'Both teabags AfterDry'!$A$1:$A$839,0)),"")))</f>
        <v/>
      </c>
      <c r="Q354" s="195">
        <f t="shared" si="41"/>
        <v>1.7908999999999999</v>
      </c>
      <c r="R354" s="195" t="str">
        <f t="shared" si="41"/>
        <v/>
      </c>
      <c r="S354" s="195">
        <f t="shared" si="36"/>
        <v>7.1687746216048009E-2</v>
      </c>
      <c r="T354" s="195">
        <f t="shared" si="42"/>
        <v>4.6997192293656155E-2</v>
      </c>
      <c r="U354" s="195" t="str">
        <f t="shared" si="37"/>
        <v/>
      </c>
      <c r="V354">
        <f t="shared" si="38"/>
        <v>67</v>
      </c>
      <c r="W354" s="195">
        <f t="shared" si="43"/>
        <v>0.91486015888830408</v>
      </c>
      <c r="X354" s="195" t="str">
        <f t="shared" si="44"/>
        <v/>
      </c>
      <c r="Y354" s="255" t="str">
        <f>IF(ISNUMBER(SEARCH("C", 'Dry_Litterbag Placem_Collection'!V61)),"YES","NO")</f>
        <v>NO</v>
      </c>
      <c r="Z354" s="255" t="str">
        <f>IF(ISNUMBER(SEARCH("H", 'Dry_Litterbag Placem_Collection'!V61)),"YES","NO")</f>
        <v>NO</v>
      </c>
      <c r="AA354" s="255" t="str">
        <f>IF(ISNUMBER(SEARCH("R", 'Dry_Litterbag Placem_Collection'!V61)),"YES","NO")</f>
        <v>NO</v>
      </c>
      <c r="AB354" s="255" t="str">
        <f>IF(ISNUMBER(SEARCH("C", 'Dry_Litterbag Placem_Collection'!U61)),"YES","NO")</f>
        <v>NO</v>
      </c>
      <c r="AC354" s="255" t="str">
        <f>IF(ISNUMBER(SEARCH("H", 'Dry_Litterbag Placem_Collection'!U61)),"YES","NO")</f>
        <v>NO</v>
      </c>
      <c r="AD354" s="255" t="str">
        <f>IF(ISNUMBER(SEARCH("R", 'Dry_Litterbag Placem_Collection'!U61)),"YES","NO")</f>
        <v>NO</v>
      </c>
    </row>
    <row r="355" spans="2:30">
      <c r="B355" t="str">
        <f>'Final data_for_R_analysis_Dryse'!A501</f>
        <v>Dry</v>
      </c>
      <c r="C355" s="263">
        <f>'Final data_for_R_analysis_Dryse'!B501</f>
        <v>60</v>
      </c>
      <c r="D355" t="s">
        <v>3835</v>
      </c>
      <c r="E355" t="s">
        <v>25</v>
      </c>
      <c r="F355" s="387">
        <v>4</v>
      </c>
      <c r="G355" s="16">
        <f>'Dry_Litterbag Placem_Collection'!E62</f>
        <v>42938</v>
      </c>
      <c r="H355" s="92" t="str">
        <f>'Final data_for_R_analysis_Dryse'!J501</f>
        <v>G751</v>
      </c>
      <c r="I355" t="str">
        <f>'Final data_for_R_analysis_Dryse'!J721</f>
        <v>R297</v>
      </c>
      <c r="J355">
        <f>IFERROR(INDEX('Green_rooibos initial weight'!$C$5:$C$1749,MATCH(H355, 'Green_rooibos initial weight'!$A$5:$A$1749,0)),"")</f>
        <v>2.0750000000000002</v>
      </c>
      <c r="K355">
        <f>IFERROR(INDEX('Green_rooibos initial weight'!$C$5:$C$1749,MATCH(I355, 'Green_rooibos initial weight'!$A$5:$A$1749,0)),"")</f>
        <v>2.1800000000000002</v>
      </c>
      <c r="L355" s="195">
        <f t="shared" si="39"/>
        <v>1.8252000000000002</v>
      </c>
      <c r="M355" s="195">
        <f t="shared" si="40"/>
        <v>1.9302000000000001</v>
      </c>
      <c r="N355" s="16">
        <f>IF('Dry_Litterbag Placem_Collection'!G62="N.A","",'Dry_Litterbag Placem_Collection'!G62)</f>
        <v>43005</v>
      </c>
      <c r="O355" s="195" t="str">
        <f>IF(IFERROR(INDEX('Both teabags AfterDry'!$D$1:$D$839,MATCH(H355,'Both teabags AfterDry'!$A$1:$A$839,0)),"")="N.A","",(IFERROR(INDEX('Both teabags AfterDry'!$D$1:$D$839,MATCH(H355,'Both teabags AfterDry'!$A$1:$A$839,0)),"")))</f>
        <v/>
      </c>
      <c r="P355" s="195">
        <f>IF(IFERROR(INDEX('Both teabags AfterDry'!$D$1:$D$839,MATCH(I355,'Both teabags AfterDry'!$A$1:$A$839,0)),"")="N.A","",(IFERROR(INDEX('Both teabags AfterDry'!$D$1:$D$839,MATCH(I355,'Both teabags AfterDry'!$A$1:$A$839,0)),"")))</f>
        <v>1.9569000000000001</v>
      </c>
      <c r="Q355" s="195" t="str">
        <f t="shared" si="41"/>
        <v/>
      </c>
      <c r="R355" s="195">
        <f t="shared" si="41"/>
        <v>1.8063</v>
      </c>
      <c r="S355" s="195" t="str">
        <f t="shared" si="36"/>
        <v/>
      </c>
      <c r="T355" s="195" t="str">
        <f t="shared" si="42"/>
        <v/>
      </c>
      <c r="U355" s="195">
        <f t="shared" si="37"/>
        <v>0.93580976064656507</v>
      </c>
      <c r="V355">
        <f t="shared" si="38"/>
        <v>67</v>
      </c>
      <c r="W355" s="195" t="str">
        <f t="shared" si="43"/>
        <v/>
      </c>
      <c r="X355" s="195" t="str">
        <f t="shared" si="44"/>
        <v/>
      </c>
      <c r="Y355" s="255" t="str">
        <f>IF(ISNUMBER(SEARCH("C", 'Dry_Litterbag Placem_Collection'!V62)),"YES","NO")</f>
        <v>NO</v>
      </c>
      <c r="Z355" s="255" t="str">
        <f>IF(ISNUMBER(SEARCH("H", 'Dry_Litterbag Placem_Collection'!V62)),"YES","NO")</f>
        <v>NO</v>
      </c>
      <c r="AA355" s="255" t="str">
        <f>IF(ISNUMBER(SEARCH("R", 'Dry_Litterbag Placem_Collection'!V62)),"YES","NO")</f>
        <v>NO</v>
      </c>
      <c r="AB355" s="255" t="str">
        <f>IF(ISNUMBER(SEARCH("C", 'Dry_Litterbag Placem_Collection'!U62)),"YES","NO")</f>
        <v>NO</v>
      </c>
      <c r="AC355" s="255" t="str">
        <f>IF(ISNUMBER(SEARCH("H", 'Dry_Litterbag Placem_Collection'!U62)),"YES","NO")</f>
        <v>NO</v>
      </c>
      <c r="AD355" s="255" t="str">
        <f>IF(ISNUMBER(SEARCH("R", 'Dry_Litterbag Placem_Collection'!U62)),"YES","NO")</f>
        <v>NO</v>
      </c>
    </row>
    <row r="356" spans="2:30">
      <c r="B356" t="str">
        <f>'Final data_for_R_analysis_Dryse'!A502</f>
        <v>Dry</v>
      </c>
      <c r="C356" s="263">
        <f>'Final data_for_R_analysis_Dryse'!B502</f>
        <v>61</v>
      </c>
      <c r="D356" t="s">
        <v>3835</v>
      </c>
      <c r="E356" t="s">
        <v>25</v>
      </c>
      <c r="F356" s="387">
        <v>5</v>
      </c>
      <c r="G356" s="16">
        <f>'Dry_Litterbag Placem_Collection'!E63</f>
        <v>42938</v>
      </c>
      <c r="H356" s="92" t="str">
        <f>'Final data_for_R_analysis_Dryse'!J502</f>
        <v>G748</v>
      </c>
      <c r="I356" t="str">
        <f>'Final data_for_R_analysis_Dryse'!J722</f>
        <v>R200</v>
      </c>
      <c r="J356">
        <f>IFERROR(INDEX('Green_rooibos initial weight'!$C$5:$C$1749,MATCH(H356, 'Green_rooibos initial weight'!$A$5:$A$1749,0)),"")</f>
        <v>2.081</v>
      </c>
      <c r="K356">
        <f>IFERROR(INDEX('Green_rooibos initial weight'!$C$5:$C$1749,MATCH(I356, 'Green_rooibos initial weight'!$A$5:$A$1749,0)),"")</f>
        <v>2.242</v>
      </c>
      <c r="L356" s="195">
        <f t="shared" si="39"/>
        <v>1.8311999999999999</v>
      </c>
      <c r="M356" s="195">
        <f t="shared" si="40"/>
        <v>1.9922</v>
      </c>
      <c r="N356" s="16">
        <f>IF('Dry_Litterbag Placem_Collection'!G63="N.A","",'Dry_Litterbag Placem_Collection'!G63)</f>
        <v>43005</v>
      </c>
      <c r="O356" s="195" t="str">
        <f>IF(IFERROR(INDEX('Both teabags AfterDry'!$D$1:$D$839,MATCH(H356,'Both teabags AfterDry'!$A$1:$A$839,0)),"")="N.A","",(IFERROR(INDEX('Both teabags AfterDry'!$D$1:$D$839,MATCH(H356,'Both teabags AfterDry'!$A$1:$A$839,0)),"")))</f>
        <v/>
      </c>
      <c r="P356" s="195" t="str">
        <f>IF(IFERROR(INDEX('Both teabags AfterDry'!$D$1:$D$839,MATCH(I356,'Both teabags AfterDry'!$A$1:$A$839,0)),"")="N.A","",(IFERROR(INDEX('Both teabags AfterDry'!$D$1:$D$839,MATCH(I356,'Both teabags AfterDry'!$A$1:$A$839,0)),"")))</f>
        <v/>
      </c>
      <c r="Q356" s="195" t="str">
        <f t="shared" si="41"/>
        <v/>
      </c>
      <c r="R356" s="195" t="str">
        <f t="shared" si="41"/>
        <v/>
      </c>
      <c r="S356" s="195" t="str">
        <f t="shared" si="36"/>
        <v/>
      </c>
      <c r="T356" s="195" t="str">
        <f t="shared" si="42"/>
        <v/>
      </c>
      <c r="U356" s="195" t="str">
        <f t="shared" si="37"/>
        <v/>
      </c>
      <c r="V356">
        <f t="shared" si="38"/>
        <v>67</v>
      </c>
      <c r="W356" s="195" t="str">
        <f t="shared" si="43"/>
        <v/>
      </c>
      <c r="X356" s="195" t="str">
        <f t="shared" si="44"/>
        <v/>
      </c>
      <c r="Y356" s="255" t="str">
        <f>IF(ISNUMBER(SEARCH("C", 'Dry_Litterbag Placem_Collection'!V63)),"YES","NO")</f>
        <v>NO</v>
      </c>
      <c r="Z356" s="255" t="str">
        <f>IF(ISNUMBER(SEARCH("H", 'Dry_Litterbag Placem_Collection'!V63)),"YES","NO")</f>
        <v>NO</v>
      </c>
      <c r="AA356" s="255" t="str">
        <f>IF(ISNUMBER(SEARCH("R", 'Dry_Litterbag Placem_Collection'!V63)),"YES","NO")</f>
        <v>NO</v>
      </c>
      <c r="AB356" s="255" t="str">
        <f>IF(ISNUMBER(SEARCH("C", 'Dry_Litterbag Placem_Collection'!U63)),"YES","NO")</f>
        <v>NO</v>
      </c>
      <c r="AC356" s="255" t="str">
        <f>IF(ISNUMBER(SEARCH("H", 'Dry_Litterbag Placem_Collection'!U63)),"YES","NO")</f>
        <v>NO</v>
      </c>
      <c r="AD356" s="255" t="str">
        <f>IF(ISNUMBER(SEARCH("R", 'Dry_Litterbag Placem_Collection'!U63)),"YES","NO")</f>
        <v>NO</v>
      </c>
    </row>
    <row r="357" spans="2:30">
      <c r="B357" t="str">
        <f>'Final data_for_R_analysis_Dryse'!A503</f>
        <v>Dry</v>
      </c>
      <c r="C357" s="263">
        <f>'Final data_for_R_analysis_Dryse'!B503</f>
        <v>62</v>
      </c>
      <c r="D357" t="s">
        <v>3835</v>
      </c>
      <c r="E357" t="s">
        <v>25</v>
      </c>
      <c r="F357" s="387">
        <v>6</v>
      </c>
      <c r="G357" s="390">
        <f>'Dry_Litterbag Placem_Collection'!E64</f>
        <v>0</v>
      </c>
      <c r="H357" s="92" t="str">
        <f>'Final data_for_R_analysis_Dryse'!J503</f>
        <v/>
      </c>
      <c r="I357" t="str">
        <f>'Final data_for_R_analysis_Dryse'!J723</f>
        <v/>
      </c>
      <c r="J357" t="str">
        <f>IFERROR(INDEX('Green_rooibos initial weight'!$C$5:$C$1749,MATCH(H357, 'Green_rooibos initial weight'!$A$5:$A$1749,0)),"")</f>
        <v/>
      </c>
      <c r="K357" t="str">
        <f>IFERROR(INDEX('Green_rooibos initial weight'!$C$5:$C$1749,MATCH(I357, 'Green_rooibos initial weight'!$A$5:$A$1749,0)),"")</f>
        <v/>
      </c>
      <c r="L357" s="195" t="str">
        <f t="shared" si="39"/>
        <v/>
      </c>
      <c r="M357" s="195" t="str">
        <f t="shared" si="40"/>
        <v/>
      </c>
      <c r="N357" s="16">
        <f>IF('Dry_Litterbag Placem_Collection'!G64="N.A","",'Dry_Litterbag Placem_Collection'!G64)</f>
        <v>0</v>
      </c>
      <c r="O357" s="195" t="str">
        <f>IF(IFERROR(INDEX('Both teabags AfterDry'!$D$1:$D$839,MATCH(H357,'Both teabags AfterDry'!$A$1:$A$839,0)),"")="N.A","",(IFERROR(INDEX('Both teabags AfterDry'!$D$1:$D$839,MATCH(H357,'Both teabags AfterDry'!$A$1:$A$839,0)),"")))</f>
        <v/>
      </c>
      <c r="P357" s="195" t="str">
        <f>IF(IFERROR(INDEX('Both teabags AfterDry'!$D$1:$D$839,MATCH(I357,'Both teabags AfterDry'!$A$1:$A$839,0)),"")="N.A","",(IFERROR(INDEX('Both teabags AfterDry'!$D$1:$D$839,MATCH(I357,'Both teabags AfterDry'!$A$1:$A$839,0)),"")))</f>
        <v/>
      </c>
      <c r="Q357" s="195" t="str">
        <f t="shared" si="41"/>
        <v/>
      </c>
      <c r="R357" s="195" t="str">
        <f t="shared" si="41"/>
        <v/>
      </c>
      <c r="S357" s="195" t="str">
        <f t="shared" si="36"/>
        <v/>
      </c>
      <c r="T357" s="195" t="str">
        <f t="shared" si="42"/>
        <v/>
      </c>
      <c r="U357" s="195" t="str">
        <f t="shared" si="37"/>
        <v/>
      </c>
      <c r="V357" t="str">
        <f t="shared" si="38"/>
        <v/>
      </c>
      <c r="W357" s="195" t="str">
        <f t="shared" si="43"/>
        <v/>
      </c>
      <c r="X357" s="195" t="str">
        <f t="shared" si="44"/>
        <v/>
      </c>
      <c r="Y357" s="255" t="str">
        <f>IF(ISNUMBER(SEARCH("C", 'Dry_Litterbag Placem_Collection'!V64)),"YES","NO")</f>
        <v>NO</v>
      </c>
      <c r="Z357" s="255" t="str">
        <f>IF(ISNUMBER(SEARCH("H", 'Dry_Litterbag Placem_Collection'!V64)),"YES","NO")</f>
        <v>NO</v>
      </c>
      <c r="AA357" s="255" t="str">
        <f>IF(ISNUMBER(SEARCH("R", 'Dry_Litterbag Placem_Collection'!V64)),"YES","NO")</f>
        <v>NO</v>
      </c>
      <c r="AB357" s="255" t="str">
        <f>IF(ISNUMBER(SEARCH("C", 'Dry_Litterbag Placem_Collection'!U64)),"YES","NO")</f>
        <v>NO</v>
      </c>
      <c r="AC357" s="255" t="str">
        <f>IF(ISNUMBER(SEARCH("H", 'Dry_Litterbag Placem_Collection'!U64)),"YES","NO")</f>
        <v>NO</v>
      </c>
      <c r="AD357" s="255" t="str">
        <f>IF(ISNUMBER(SEARCH("R", 'Dry_Litterbag Placem_Collection'!U64)),"YES","NO")</f>
        <v>NO</v>
      </c>
    </row>
    <row r="358" spans="2:30">
      <c r="B358" t="str">
        <f>'Final data_for_R_analysis_Dryse'!A504</f>
        <v>Dry</v>
      </c>
      <c r="C358" s="263">
        <f>'Final data_for_R_analysis_Dryse'!B504</f>
        <v>63</v>
      </c>
      <c r="D358" t="s">
        <v>3835</v>
      </c>
      <c r="E358" t="s">
        <v>25</v>
      </c>
      <c r="F358" s="387">
        <v>7</v>
      </c>
      <c r="G358" s="16">
        <f>'Dry_Litterbag Placem_Collection'!E65</f>
        <v>42938</v>
      </c>
      <c r="H358" s="92" t="str">
        <f>'Final data_for_R_analysis_Dryse'!J504</f>
        <v>G629</v>
      </c>
      <c r="I358" t="str">
        <f>'Final data_for_R_analysis_Dryse'!J724</f>
        <v>R713</v>
      </c>
      <c r="J358">
        <f>IFERROR(INDEX('Green_rooibos initial weight'!$C$5:$C$1749,MATCH(H358, 'Green_rooibos initial weight'!$A$5:$A$1749,0)),"")</f>
        <v>1.978</v>
      </c>
      <c r="K358">
        <f>IFERROR(INDEX('Green_rooibos initial weight'!$C$5:$C$1749,MATCH(I358, 'Green_rooibos initial weight'!$A$5:$A$1749,0)),"")</f>
        <v>2.1619999999999999</v>
      </c>
      <c r="L358" s="195">
        <f t="shared" si="39"/>
        <v>1.7282</v>
      </c>
      <c r="M358" s="195">
        <f t="shared" si="40"/>
        <v>1.9121999999999999</v>
      </c>
      <c r="N358" s="16">
        <f>IF('Dry_Litterbag Placem_Collection'!G65="N.A","",'Dry_Litterbag Placem_Collection'!G65)</f>
        <v>43005</v>
      </c>
      <c r="O358" s="195">
        <f>IF(IFERROR(INDEX('Both teabags AfterDry'!$D$1:$D$839,MATCH(H358,'Both teabags AfterDry'!$A$1:$A$839,0)),"")="N.A","",(IFERROR(INDEX('Both teabags AfterDry'!$D$1:$D$839,MATCH(H358,'Both teabags AfterDry'!$A$1:$A$839,0)),"")))</f>
        <v>1.8411</v>
      </c>
      <c r="P358" s="195">
        <f>IF(IFERROR(INDEX('Both teabags AfterDry'!$D$1:$D$839,MATCH(I358,'Both teabags AfterDry'!$A$1:$A$839,0)),"")="N.A","",(IFERROR(INDEX('Both teabags AfterDry'!$D$1:$D$839,MATCH(I358,'Both teabags AfterDry'!$A$1:$A$839,0)),"")))</f>
        <v>1.9921</v>
      </c>
      <c r="Q358" s="195">
        <f t="shared" si="41"/>
        <v>1.6904999999999999</v>
      </c>
      <c r="R358" s="195">
        <f t="shared" si="41"/>
        <v>1.8414999999999999</v>
      </c>
      <c r="S358" s="195">
        <f t="shared" si="36"/>
        <v>2.1814604791112191E-2</v>
      </c>
      <c r="T358" s="195">
        <f t="shared" si="42"/>
        <v>1.4301261098211324E-2</v>
      </c>
      <c r="U358" s="195">
        <f t="shared" si="37"/>
        <v>0.96302688003346926</v>
      </c>
      <c r="V358">
        <f t="shared" si="38"/>
        <v>67</v>
      </c>
      <c r="W358" s="195">
        <f t="shared" si="43"/>
        <v>0.97409191830034181</v>
      </c>
      <c r="X358" s="195" t="str">
        <f t="shared" si="44"/>
        <v/>
      </c>
      <c r="Y358" s="255" t="str">
        <f>IF(ISNUMBER(SEARCH("C", 'Dry_Litterbag Placem_Collection'!V65)),"YES","NO")</f>
        <v>NO</v>
      </c>
      <c r="Z358" s="255" t="str">
        <f>IF(ISNUMBER(SEARCH("H", 'Dry_Litterbag Placem_Collection'!V65)),"YES","NO")</f>
        <v>NO</v>
      </c>
      <c r="AA358" s="255" t="str">
        <f>IF(ISNUMBER(SEARCH("R", 'Dry_Litterbag Placem_Collection'!V65)),"YES","NO")</f>
        <v>NO</v>
      </c>
      <c r="AB358" s="255" t="str">
        <f>IF(ISNUMBER(SEARCH("C", 'Dry_Litterbag Placem_Collection'!U65)),"YES","NO")</f>
        <v>NO</v>
      </c>
      <c r="AC358" s="255" t="str">
        <f>IF(ISNUMBER(SEARCH("H", 'Dry_Litterbag Placem_Collection'!U65)),"YES","NO")</f>
        <v>NO</v>
      </c>
      <c r="AD358" s="255" t="str">
        <f>IF(ISNUMBER(SEARCH("R", 'Dry_Litterbag Placem_Collection'!U65)),"YES","NO")</f>
        <v>NO</v>
      </c>
    </row>
    <row r="359" spans="2:30">
      <c r="B359" t="str">
        <f>'Final data_for_R_analysis_Dryse'!A505</f>
        <v>Dry</v>
      </c>
      <c r="C359" s="263">
        <f>'Final data_for_R_analysis_Dryse'!B505</f>
        <v>64</v>
      </c>
      <c r="D359" t="s">
        <v>3835</v>
      </c>
      <c r="E359" t="s">
        <v>25</v>
      </c>
      <c r="F359" s="387">
        <v>8</v>
      </c>
      <c r="G359" s="16">
        <f>'Dry_Litterbag Placem_Collection'!E66</f>
        <v>42938</v>
      </c>
      <c r="H359" s="92" t="str">
        <f>'Final data_for_R_analysis_Dryse'!J505</f>
        <v>G84</v>
      </c>
      <c r="I359" t="str">
        <f>'Final data_for_R_analysis_Dryse'!J725</f>
        <v>R237</v>
      </c>
      <c r="J359">
        <f>IFERROR(INDEX('Green_rooibos initial weight'!$C$5:$C$1749,MATCH(H359, 'Green_rooibos initial weight'!$A$5:$A$1749,0)),"")</f>
        <v>2.1259999999999999</v>
      </c>
      <c r="K359">
        <f>IFERROR(INDEX('Green_rooibos initial weight'!$C$5:$C$1749,MATCH(I359, 'Green_rooibos initial weight'!$A$5:$A$1749,0)),"")</f>
        <v>2.1989999999999998</v>
      </c>
      <c r="L359" s="195">
        <f t="shared" si="39"/>
        <v>1.8761999999999999</v>
      </c>
      <c r="M359" s="195">
        <f t="shared" si="40"/>
        <v>1.9491999999999998</v>
      </c>
      <c r="N359" s="16">
        <f>IF('Dry_Litterbag Placem_Collection'!G66="N.A","",'Dry_Litterbag Placem_Collection'!G66)</f>
        <v>43005</v>
      </c>
      <c r="O359" s="195">
        <f>IF(IFERROR(INDEX('Both teabags AfterDry'!$D$1:$D$839,MATCH(H359,'Both teabags AfterDry'!$A$1:$A$839,0)),"")="N.A","",(IFERROR(INDEX('Both teabags AfterDry'!$D$1:$D$839,MATCH(H359,'Both teabags AfterDry'!$A$1:$A$839,0)),"")))</f>
        <v>1.9314</v>
      </c>
      <c r="P359" s="195">
        <f>IF(IFERROR(INDEX('Both teabags AfterDry'!$D$1:$D$839,MATCH(I359,'Both teabags AfterDry'!$A$1:$A$839,0)),"")="N.A","",(IFERROR(INDEX('Both teabags AfterDry'!$D$1:$D$839,MATCH(I359,'Both teabags AfterDry'!$A$1:$A$839,0)),"")))</f>
        <v>1.9715</v>
      </c>
      <c r="Q359" s="195">
        <f t="shared" si="41"/>
        <v>1.7807999999999999</v>
      </c>
      <c r="R359" s="195">
        <f t="shared" si="41"/>
        <v>1.8209</v>
      </c>
      <c r="S359" s="195">
        <f t="shared" si="36"/>
        <v>5.084745762711862E-2</v>
      </c>
      <c r="T359" s="195">
        <f t="shared" si="42"/>
        <v>3.3334675308989911E-2</v>
      </c>
      <c r="U359" s="195">
        <f t="shared" si="37"/>
        <v>0.93417812435871128</v>
      </c>
      <c r="V359">
        <f t="shared" si="38"/>
        <v>67</v>
      </c>
      <c r="W359" s="195">
        <f t="shared" si="43"/>
        <v>0.93961109545472843</v>
      </c>
      <c r="X359" s="195" t="str">
        <f t="shared" si="44"/>
        <v/>
      </c>
      <c r="Y359" s="255" t="str">
        <f>IF(ISNUMBER(SEARCH("C", 'Dry_Litterbag Placem_Collection'!V66)),"YES","NO")</f>
        <v>NO</v>
      </c>
      <c r="Z359" s="255" t="str">
        <f>IF(ISNUMBER(SEARCH("H", 'Dry_Litterbag Placem_Collection'!V66)),"YES","NO")</f>
        <v>NO</v>
      </c>
      <c r="AA359" s="255" t="str">
        <f>IF(ISNUMBER(SEARCH("R", 'Dry_Litterbag Placem_Collection'!V66)),"YES","NO")</f>
        <v>NO</v>
      </c>
      <c r="AB359" s="255" t="str">
        <f>IF(ISNUMBER(SEARCH("C", 'Dry_Litterbag Placem_Collection'!U66)),"YES","NO")</f>
        <v>NO</v>
      </c>
      <c r="AC359" s="255" t="str">
        <f>IF(ISNUMBER(SEARCH("H", 'Dry_Litterbag Placem_Collection'!U66)),"YES","NO")</f>
        <v>NO</v>
      </c>
      <c r="AD359" s="255" t="str">
        <f>IF(ISNUMBER(SEARCH("R", 'Dry_Litterbag Placem_Collection'!U66)),"YES","NO")</f>
        <v>NO</v>
      </c>
    </row>
    <row r="360" spans="2:30">
      <c r="B360" t="str">
        <f>'Final data_for_R_analysis_Dryse'!A506</f>
        <v>Dry</v>
      </c>
      <c r="C360" s="263">
        <f>'Final data_for_R_analysis_Dryse'!B506</f>
        <v>65</v>
      </c>
      <c r="D360" t="s">
        <v>3836</v>
      </c>
      <c r="E360" t="s">
        <v>25</v>
      </c>
      <c r="F360" s="386">
        <v>1</v>
      </c>
      <c r="G360" s="16">
        <f>'Dry_Litterbag Placem_Collection'!E67</f>
        <v>42937</v>
      </c>
      <c r="H360" s="92" t="str">
        <f>'Final data_for_R_analysis_Dryse'!J506</f>
        <v>G586</v>
      </c>
      <c r="I360" t="str">
        <f>'Final data_for_R_analysis_Dryse'!J726</f>
        <v>R654</v>
      </c>
      <c r="J360">
        <f>IFERROR(INDEX('Green_rooibos initial weight'!$C$5:$C$1749,MATCH(H360, 'Green_rooibos initial weight'!$A$5:$A$1749,0)),"")</f>
        <v>1.9590000000000001</v>
      </c>
      <c r="K360">
        <f>IFERROR(INDEX('Green_rooibos initial weight'!$C$5:$C$1749,MATCH(I360, 'Green_rooibos initial weight'!$A$5:$A$1749,0)),"")</f>
        <v>2.2040000000000002</v>
      </c>
      <c r="L360" s="195">
        <f t="shared" si="39"/>
        <v>1.7092000000000001</v>
      </c>
      <c r="M360" s="195">
        <f t="shared" si="40"/>
        <v>1.9542000000000002</v>
      </c>
      <c r="N360" s="16">
        <f>IF('Dry_Litterbag Placem_Collection'!G67="N.A","",'Dry_Litterbag Placem_Collection'!G67)</f>
        <v>43005</v>
      </c>
      <c r="O360" s="195" t="str">
        <f>IF(IFERROR(INDEX('Both teabags AfterDry'!$D$1:$D$839,MATCH(H360,'Both teabags AfterDry'!$A$1:$A$839,0)),"")="N.A","",(IFERROR(INDEX('Both teabags AfterDry'!$D$1:$D$839,MATCH(H360,'Both teabags AfterDry'!$A$1:$A$839,0)),"")))</f>
        <v/>
      </c>
      <c r="P360" s="195" t="str">
        <f>IF(IFERROR(INDEX('Both teabags AfterDry'!$D$1:$D$839,MATCH(I360,'Both teabags AfterDry'!$A$1:$A$839,0)),"")="N.A","",(IFERROR(INDEX('Both teabags AfterDry'!$D$1:$D$839,MATCH(I360,'Both teabags AfterDry'!$A$1:$A$839,0)),"")))</f>
        <v/>
      </c>
      <c r="Q360" s="195" t="str">
        <f t="shared" si="41"/>
        <v/>
      </c>
      <c r="R360" s="195" t="str">
        <f t="shared" si="41"/>
        <v/>
      </c>
      <c r="S360" s="195" t="str">
        <f t="shared" si="36"/>
        <v/>
      </c>
      <c r="T360" s="195" t="str">
        <f t="shared" si="42"/>
        <v/>
      </c>
      <c r="U360" s="195" t="str">
        <f t="shared" si="37"/>
        <v/>
      </c>
      <c r="V360">
        <f t="shared" si="38"/>
        <v>68</v>
      </c>
      <c r="W360" s="195" t="str">
        <f t="shared" si="43"/>
        <v/>
      </c>
      <c r="X360" s="195" t="str">
        <f t="shared" si="44"/>
        <v/>
      </c>
      <c r="Y360" s="255" t="str">
        <f>IF(ISNUMBER(SEARCH("C", 'Dry_Litterbag Placem_Collection'!V67)),"YES","NO")</f>
        <v>NO</v>
      </c>
      <c r="Z360" s="255" t="str">
        <f>IF(ISNUMBER(SEARCH("H", 'Dry_Litterbag Placem_Collection'!V67)),"YES","NO")</f>
        <v>NO</v>
      </c>
      <c r="AA360" s="255" t="str">
        <f>IF(ISNUMBER(SEARCH("R", 'Dry_Litterbag Placem_Collection'!V67)),"YES","NO")</f>
        <v>NO</v>
      </c>
      <c r="AB360" s="255" t="str">
        <f>IF(ISNUMBER(SEARCH("C", 'Dry_Litterbag Placem_Collection'!U67)),"YES","NO")</f>
        <v>NO</v>
      </c>
      <c r="AC360" s="255" t="str">
        <f>IF(ISNUMBER(SEARCH("H", 'Dry_Litterbag Placem_Collection'!U67)),"YES","NO")</f>
        <v>NO</v>
      </c>
      <c r="AD360" s="255" t="str">
        <f>IF(ISNUMBER(SEARCH("R", 'Dry_Litterbag Placem_Collection'!U67)),"YES","NO")</f>
        <v>NO</v>
      </c>
    </row>
    <row r="361" spans="2:30">
      <c r="B361" t="str">
        <f>'Final data_for_R_analysis_Dryse'!A507</f>
        <v>Dry</v>
      </c>
      <c r="C361" s="263">
        <f>'Final data_for_R_analysis_Dryse'!B507</f>
        <v>66</v>
      </c>
      <c r="D361" t="s">
        <v>3836</v>
      </c>
      <c r="E361" t="s">
        <v>25</v>
      </c>
      <c r="F361" s="386">
        <v>2</v>
      </c>
      <c r="G361" s="16">
        <f>'Dry_Litterbag Placem_Collection'!E68</f>
        <v>42937</v>
      </c>
      <c r="H361" s="92" t="str">
        <f>'Final data_for_R_analysis_Dryse'!J507</f>
        <v>G851</v>
      </c>
      <c r="I361" t="str">
        <f>'Final data_for_R_analysis_Dryse'!J727</f>
        <v>R634</v>
      </c>
      <c r="J361">
        <f>IFERROR(INDEX('Green_rooibos initial weight'!$C$5:$C$1749,MATCH(H361, 'Green_rooibos initial weight'!$A$5:$A$1749,0)),"")</f>
        <v>1.9930000000000001</v>
      </c>
      <c r="K361">
        <f>IFERROR(INDEX('Green_rooibos initial weight'!$C$5:$C$1749,MATCH(I361, 'Green_rooibos initial weight'!$A$5:$A$1749,0)),"")</f>
        <v>2.0979999999999999</v>
      </c>
      <c r="L361" s="195">
        <f t="shared" si="39"/>
        <v>1.7432000000000001</v>
      </c>
      <c r="M361" s="195">
        <f t="shared" si="40"/>
        <v>1.8481999999999998</v>
      </c>
      <c r="N361" s="16">
        <f>IF('Dry_Litterbag Placem_Collection'!G68="N.A","",'Dry_Litterbag Placem_Collection'!G68)</f>
        <v>43005</v>
      </c>
      <c r="O361" s="195">
        <f>IF(IFERROR(INDEX('Both teabags AfterDry'!$D$1:$D$839,MATCH(H361,'Both teabags AfterDry'!$A$1:$A$839,0)),"")="N.A","",(IFERROR(INDEX('Both teabags AfterDry'!$D$1:$D$839,MATCH(H361,'Both teabags AfterDry'!$A$1:$A$839,0)),"")))</f>
        <v>1.8367</v>
      </c>
      <c r="P361" s="195">
        <f>IF(IFERROR(INDEX('Both teabags AfterDry'!$D$1:$D$839,MATCH(I361,'Both teabags AfterDry'!$A$1:$A$839,0)),"")="N.A","",(IFERROR(INDEX('Both teabags AfterDry'!$D$1:$D$839,MATCH(I361,'Both teabags AfterDry'!$A$1:$A$839,0)),"")))</f>
        <v>1.9177</v>
      </c>
      <c r="Q361" s="195">
        <f t="shared" si="41"/>
        <v>1.6860999999999999</v>
      </c>
      <c r="R361" s="195">
        <f t="shared" si="41"/>
        <v>1.7670999999999999</v>
      </c>
      <c r="S361" s="195">
        <f t="shared" si="36"/>
        <v>3.2755851307939454E-2</v>
      </c>
      <c r="T361" s="195">
        <f t="shared" si="42"/>
        <v>2.147414480045436E-2</v>
      </c>
      <c r="U361" s="195">
        <f t="shared" si="37"/>
        <v>0.9561194675900877</v>
      </c>
      <c r="V361">
        <f t="shared" si="38"/>
        <v>68</v>
      </c>
      <c r="W361" s="195">
        <f t="shared" si="43"/>
        <v>0.96109756376729283</v>
      </c>
      <c r="X361" s="195" t="str">
        <f t="shared" si="44"/>
        <v/>
      </c>
      <c r="Y361" s="255" t="str">
        <f>IF(ISNUMBER(SEARCH("C", 'Dry_Litterbag Placem_Collection'!V68)),"YES","NO")</f>
        <v>NO</v>
      </c>
      <c r="Z361" s="255" t="str">
        <f>IF(ISNUMBER(SEARCH("H", 'Dry_Litterbag Placem_Collection'!V68)),"YES","NO")</f>
        <v>NO</v>
      </c>
      <c r="AA361" s="255" t="str">
        <f>IF(ISNUMBER(SEARCH("R", 'Dry_Litterbag Placem_Collection'!V68)),"YES","NO")</f>
        <v>NO</v>
      </c>
      <c r="AB361" s="255" t="str">
        <f>IF(ISNUMBER(SEARCH("C", 'Dry_Litterbag Placem_Collection'!U68)),"YES","NO")</f>
        <v>NO</v>
      </c>
      <c r="AC361" s="255" t="str">
        <f>IF(ISNUMBER(SEARCH("H", 'Dry_Litterbag Placem_Collection'!U68)),"YES","NO")</f>
        <v>NO</v>
      </c>
      <c r="AD361" s="255" t="str">
        <f>IF(ISNUMBER(SEARCH("R", 'Dry_Litterbag Placem_Collection'!U68)),"YES","NO")</f>
        <v>NO</v>
      </c>
    </row>
    <row r="362" spans="2:30">
      <c r="B362" t="str">
        <f>'Final data_for_R_analysis_Dryse'!A508</f>
        <v>Dry</v>
      </c>
      <c r="C362" s="263">
        <f>'Final data_for_R_analysis_Dryse'!B508</f>
        <v>67</v>
      </c>
      <c r="D362" t="s">
        <v>3836</v>
      </c>
      <c r="E362" t="s">
        <v>25</v>
      </c>
      <c r="F362" s="386">
        <v>3</v>
      </c>
      <c r="G362" s="390">
        <f>'Dry_Litterbag Placem_Collection'!E69</f>
        <v>0</v>
      </c>
      <c r="H362" s="92" t="str">
        <f>'Final data_for_R_analysis_Dryse'!J508</f>
        <v/>
      </c>
      <c r="I362" t="str">
        <f>'Final data_for_R_analysis_Dryse'!J728</f>
        <v/>
      </c>
      <c r="J362" t="str">
        <f>IFERROR(INDEX('Green_rooibos initial weight'!$C$5:$C$1749,MATCH(H362, 'Green_rooibos initial weight'!$A$5:$A$1749,0)),"")</f>
        <v/>
      </c>
      <c r="K362" t="str">
        <f>IFERROR(INDEX('Green_rooibos initial weight'!$C$5:$C$1749,MATCH(I362, 'Green_rooibos initial weight'!$A$5:$A$1749,0)),"")</f>
        <v/>
      </c>
      <c r="L362" s="195" t="str">
        <f t="shared" si="39"/>
        <v/>
      </c>
      <c r="M362" s="195" t="str">
        <f t="shared" si="40"/>
        <v/>
      </c>
      <c r="N362" s="16">
        <f>IF('Dry_Litterbag Placem_Collection'!G69="N.A","",'Dry_Litterbag Placem_Collection'!G69)</f>
        <v>0</v>
      </c>
      <c r="O362" s="195" t="str">
        <f>IF(IFERROR(INDEX('Both teabags AfterDry'!$D$1:$D$839,MATCH(H362,'Both teabags AfterDry'!$A$1:$A$839,0)),"")="N.A","",(IFERROR(INDEX('Both teabags AfterDry'!$D$1:$D$839,MATCH(H362,'Both teabags AfterDry'!$A$1:$A$839,0)),"")))</f>
        <v/>
      </c>
      <c r="P362" s="195" t="str">
        <f>IF(IFERROR(INDEX('Both teabags AfterDry'!$D$1:$D$839,MATCH(I362,'Both teabags AfterDry'!$A$1:$A$839,0)),"")="N.A","",(IFERROR(INDEX('Both teabags AfterDry'!$D$1:$D$839,MATCH(I362,'Both teabags AfterDry'!$A$1:$A$839,0)),"")))</f>
        <v/>
      </c>
      <c r="Q362" s="195" t="str">
        <f t="shared" si="41"/>
        <v/>
      </c>
      <c r="R362" s="195" t="str">
        <f t="shared" si="41"/>
        <v/>
      </c>
      <c r="S362" s="195" t="str">
        <f t="shared" si="36"/>
        <v/>
      </c>
      <c r="T362" s="195" t="str">
        <f t="shared" si="42"/>
        <v/>
      </c>
      <c r="U362" s="195" t="str">
        <f t="shared" si="37"/>
        <v/>
      </c>
      <c r="V362" t="str">
        <f t="shared" si="38"/>
        <v/>
      </c>
      <c r="W362" s="195" t="str">
        <f t="shared" si="43"/>
        <v/>
      </c>
      <c r="X362" s="195" t="str">
        <f t="shared" si="44"/>
        <v/>
      </c>
      <c r="Y362" s="255" t="str">
        <f>IF(ISNUMBER(SEARCH("C", 'Dry_Litterbag Placem_Collection'!V69)),"YES","NO")</f>
        <v>NO</v>
      </c>
      <c r="Z362" s="255" t="str">
        <f>IF(ISNUMBER(SEARCH("H", 'Dry_Litterbag Placem_Collection'!V69)),"YES","NO")</f>
        <v>NO</v>
      </c>
      <c r="AA362" s="255" t="str">
        <f>IF(ISNUMBER(SEARCH("R", 'Dry_Litterbag Placem_Collection'!V69)),"YES","NO")</f>
        <v>NO</v>
      </c>
      <c r="AB362" s="255" t="str">
        <f>IF(ISNUMBER(SEARCH("C", 'Dry_Litterbag Placem_Collection'!U69)),"YES","NO")</f>
        <v>NO</v>
      </c>
      <c r="AC362" s="255" t="str">
        <f>IF(ISNUMBER(SEARCH("H", 'Dry_Litterbag Placem_Collection'!U69)),"YES","NO")</f>
        <v>NO</v>
      </c>
      <c r="AD362" s="255" t="str">
        <f>IF(ISNUMBER(SEARCH("R", 'Dry_Litterbag Placem_Collection'!U69)),"YES","NO")</f>
        <v>NO</v>
      </c>
    </row>
    <row r="363" spans="2:30">
      <c r="B363" t="str">
        <f>'Final data_for_R_analysis_Dryse'!A509</f>
        <v>Dry</v>
      </c>
      <c r="C363" s="263">
        <f>'Final data_for_R_analysis_Dryse'!B509</f>
        <v>68</v>
      </c>
      <c r="D363" t="s">
        <v>3836</v>
      </c>
      <c r="E363" t="s">
        <v>25</v>
      </c>
      <c r="F363" s="387">
        <v>4</v>
      </c>
      <c r="G363" s="16">
        <f>'Dry_Litterbag Placem_Collection'!E70</f>
        <v>42937</v>
      </c>
      <c r="H363" s="92" t="str">
        <f>'Final data_for_R_analysis_Dryse'!J509</f>
        <v>G467</v>
      </c>
      <c r="I363" t="str">
        <f>'Final data_for_R_analysis_Dryse'!J729</f>
        <v>R201</v>
      </c>
      <c r="J363">
        <f>IFERROR(INDEX('Green_rooibos initial weight'!$C$5:$C$1749,MATCH(H363, 'Green_rooibos initial weight'!$A$5:$A$1749,0)),"")</f>
        <v>2.0259999999999998</v>
      </c>
      <c r="K363">
        <f>IFERROR(INDEX('Green_rooibos initial weight'!$C$5:$C$1749,MATCH(I363, 'Green_rooibos initial weight'!$A$5:$A$1749,0)),"")</f>
        <v>2.2349999999999999</v>
      </c>
      <c r="L363" s="195">
        <f t="shared" si="39"/>
        <v>1.7761999999999998</v>
      </c>
      <c r="M363" s="195">
        <f t="shared" si="40"/>
        <v>1.9851999999999999</v>
      </c>
      <c r="N363" s="16">
        <f>IF('Dry_Litterbag Placem_Collection'!G70="N.A","",'Dry_Litterbag Placem_Collection'!G70)</f>
        <v>43005</v>
      </c>
      <c r="O363" s="195">
        <f>IF(IFERROR(INDEX('Both teabags AfterDry'!$D$1:$D$839,MATCH(H363,'Both teabags AfterDry'!$A$1:$A$839,0)),"")="N.A","",(IFERROR(INDEX('Both teabags AfterDry'!$D$1:$D$839,MATCH(H363,'Both teabags AfterDry'!$A$1:$A$839,0)),"")))</f>
        <v>1.8359000000000001</v>
      </c>
      <c r="P363" s="195">
        <f>IF(IFERROR(INDEX('Both teabags AfterDry'!$D$1:$D$839,MATCH(I363,'Both teabags AfterDry'!$A$1:$A$839,0)),"")="N.A","",(IFERROR(INDEX('Both teabags AfterDry'!$D$1:$D$839,MATCH(I363,'Both teabags AfterDry'!$A$1:$A$839,0)),"")))</f>
        <v>2.0015000000000001</v>
      </c>
      <c r="Q363" s="195">
        <f t="shared" si="41"/>
        <v>1.6853</v>
      </c>
      <c r="R363" s="195">
        <f t="shared" si="41"/>
        <v>1.8509</v>
      </c>
      <c r="S363" s="195">
        <f t="shared" si="36"/>
        <v>5.1176669293998334E-2</v>
      </c>
      <c r="T363" s="195">
        <f t="shared" si="42"/>
        <v>3.3550500534782757E-2</v>
      </c>
      <c r="U363" s="195">
        <f t="shared" si="37"/>
        <v>0.93234938545234747</v>
      </c>
      <c r="V363">
        <f t="shared" si="38"/>
        <v>68</v>
      </c>
      <c r="W363" s="195">
        <f t="shared" si="43"/>
        <v>0.93922010772684283</v>
      </c>
      <c r="X363" s="195" t="str">
        <f t="shared" si="44"/>
        <v/>
      </c>
      <c r="Y363" s="255" t="str">
        <f>IF(ISNUMBER(SEARCH("C", 'Dry_Litterbag Placem_Collection'!V70)),"YES","NO")</f>
        <v>NO</v>
      </c>
      <c r="Z363" s="255" t="str">
        <f>IF(ISNUMBER(SEARCH("H", 'Dry_Litterbag Placem_Collection'!V70)),"YES","NO")</f>
        <v>NO</v>
      </c>
      <c r="AA363" s="255" t="str">
        <f>IF(ISNUMBER(SEARCH("R", 'Dry_Litterbag Placem_Collection'!V70)),"YES","NO")</f>
        <v>NO</v>
      </c>
      <c r="AB363" s="255" t="str">
        <f>IF(ISNUMBER(SEARCH("C", 'Dry_Litterbag Placem_Collection'!U70)),"YES","NO")</f>
        <v>NO</v>
      </c>
      <c r="AC363" s="255" t="str">
        <f>IF(ISNUMBER(SEARCH("H", 'Dry_Litterbag Placem_Collection'!U70)),"YES","NO")</f>
        <v>NO</v>
      </c>
      <c r="AD363" s="255" t="str">
        <f>IF(ISNUMBER(SEARCH("R", 'Dry_Litterbag Placem_Collection'!U70)),"YES","NO")</f>
        <v>NO</v>
      </c>
    </row>
    <row r="364" spans="2:30">
      <c r="B364" t="str">
        <f>'Final data_for_R_analysis_Dryse'!A510</f>
        <v>Dry</v>
      </c>
      <c r="C364" s="263">
        <f>'Final data_for_R_analysis_Dryse'!B510</f>
        <v>69</v>
      </c>
      <c r="D364" t="s">
        <v>3836</v>
      </c>
      <c r="E364" t="s">
        <v>25</v>
      </c>
      <c r="F364" s="387">
        <v>5</v>
      </c>
      <c r="G364" s="16">
        <f>'Dry_Litterbag Placem_Collection'!E71</f>
        <v>42937</v>
      </c>
      <c r="H364" s="92" t="str">
        <f>'Final data_for_R_analysis_Dryse'!J510</f>
        <v>G766</v>
      </c>
      <c r="I364" t="str">
        <f>'Final data_for_R_analysis_Dryse'!J730</f>
        <v>R174</v>
      </c>
      <c r="J364">
        <f>IFERROR(INDEX('Green_rooibos initial weight'!$C$5:$C$1749,MATCH(H364, 'Green_rooibos initial weight'!$A$5:$A$1749,0)),"")</f>
        <v>2.0409999999999999</v>
      </c>
      <c r="K364">
        <f>IFERROR(INDEX('Green_rooibos initial weight'!$C$5:$C$1749,MATCH(I364, 'Green_rooibos initial weight'!$A$5:$A$1749,0)),"")</f>
        <v>2.2410000000000001</v>
      </c>
      <c r="L364" s="195">
        <f t="shared" si="39"/>
        <v>1.7911999999999999</v>
      </c>
      <c r="M364" s="195">
        <f t="shared" si="40"/>
        <v>1.9912000000000001</v>
      </c>
      <c r="N364" s="16">
        <f>IF('Dry_Litterbag Placem_Collection'!G71="N.A","",'Dry_Litterbag Placem_Collection'!G71)</f>
        <v>43006</v>
      </c>
      <c r="O364" s="195">
        <f>IF(IFERROR(INDEX('Both teabags AfterDry'!$D$1:$D$839,MATCH(H364,'Both teabags AfterDry'!$A$1:$A$839,0)),"")="N.A","",(IFERROR(INDEX('Both teabags AfterDry'!$D$1:$D$839,MATCH(H364,'Both teabags AfterDry'!$A$1:$A$839,0)),"")))</f>
        <v>1.8654999999999999</v>
      </c>
      <c r="P364" s="195">
        <f>IF(IFERROR(INDEX('Both teabags AfterDry'!$D$1:$D$839,MATCH(I364,'Both teabags AfterDry'!$A$1:$A$839,0)),"")="N.A","",(IFERROR(INDEX('Both teabags AfterDry'!$D$1:$D$839,MATCH(I364,'Both teabags AfterDry'!$A$1:$A$839,0)),"")))</f>
        <v>1.9946999999999999</v>
      </c>
      <c r="Q364" s="195">
        <f t="shared" si="41"/>
        <v>1.7148999999999999</v>
      </c>
      <c r="R364" s="195">
        <f t="shared" si="41"/>
        <v>1.8440999999999999</v>
      </c>
      <c r="S364" s="195">
        <f t="shared" si="36"/>
        <v>4.2597141581062981E-2</v>
      </c>
      <c r="T364" s="195">
        <f t="shared" si="42"/>
        <v>2.7925917046017538E-2</v>
      </c>
      <c r="U364" s="195">
        <f t="shared" si="37"/>
        <v>0.9261249497790276</v>
      </c>
      <c r="V364">
        <f t="shared" si="38"/>
        <v>69</v>
      </c>
      <c r="W364" s="195">
        <f t="shared" si="43"/>
        <v>0.94940957056880881</v>
      </c>
      <c r="X364" s="195" t="str">
        <f t="shared" si="44"/>
        <v/>
      </c>
      <c r="Y364" s="255" t="str">
        <f>IF(ISNUMBER(SEARCH("C", 'Dry_Litterbag Placem_Collection'!V71)),"YES","NO")</f>
        <v>NO</v>
      </c>
      <c r="Z364" s="255" t="str">
        <f>IF(ISNUMBER(SEARCH("H", 'Dry_Litterbag Placem_Collection'!V71)),"YES","NO")</f>
        <v>NO</v>
      </c>
      <c r="AA364" s="255" t="str">
        <f>IF(ISNUMBER(SEARCH("R", 'Dry_Litterbag Placem_Collection'!V71)),"YES","NO")</f>
        <v>NO</v>
      </c>
      <c r="AB364" s="255" t="str">
        <f>IF(ISNUMBER(SEARCH("C", 'Dry_Litterbag Placem_Collection'!U71)),"YES","NO")</f>
        <v>NO</v>
      </c>
      <c r="AC364" s="255" t="str">
        <f>IF(ISNUMBER(SEARCH("H", 'Dry_Litterbag Placem_Collection'!U71)),"YES","NO")</f>
        <v>NO</v>
      </c>
      <c r="AD364" s="255" t="str">
        <f>IF(ISNUMBER(SEARCH("R", 'Dry_Litterbag Placem_Collection'!U71)),"YES","NO")</f>
        <v>NO</v>
      </c>
    </row>
    <row r="365" spans="2:30">
      <c r="B365" t="str">
        <f>'Final data_for_R_analysis_Dryse'!A511</f>
        <v>Dry</v>
      </c>
      <c r="C365" s="263">
        <f>'Final data_for_R_analysis_Dryse'!B511</f>
        <v>70</v>
      </c>
      <c r="D365" t="s">
        <v>3836</v>
      </c>
      <c r="E365" t="s">
        <v>25</v>
      </c>
      <c r="F365" s="387">
        <v>6</v>
      </c>
      <c r="G365" s="16">
        <f>'Dry_Litterbag Placem_Collection'!E72</f>
        <v>42937</v>
      </c>
      <c r="H365" s="92" t="str">
        <f>'Final data_for_R_analysis_Dryse'!J511</f>
        <v>G430</v>
      </c>
      <c r="I365" t="str">
        <f>'Final data_for_R_analysis_Dryse'!J731</f>
        <v>R261</v>
      </c>
      <c r="J365">
        <f>IFERROR(INDEX('Green_rooibos initial weight'!$C$5:$C$1749,MATCH(H365, 'Green_rooibos initial weight'!$A$5:$A$1749,0)),"")</f>
        <v>2.09</v>
      </c>
      <c r="K365">
        <f>IFERROR(INDEX('Green_rooibos initial weight'!$C$5:$C$1749,MATCH(I365, 'Green_rooibos initial weight'!$A$5:$A$1749,0)),"")</f>
        <v>2.2080000000000002</v>
      </c>
      <c r="L365" s="195">
        <f t="shared" si="39"/>
        <v>1.8401999999999998</v>
      </c>
      <c r="M365" s="195">
        <f t="shared" si="40"/>
        <v>1.9582000000000002</v>
      </c>
      <c r="N365" s="16">
        <f>IF('Dry_Litterbag Placem_Collection'!G72="N.A","",'Dry_Litterbag Placem_Collection'!G72)</f>
        <v>43006</v>
      </c>
      <c r="O365" s="195">
        <f>IF(IFERROR(INDEX('Both teabags AfterDry'!$D$1:$D$839,MATCH(H365,'Both teabags AfterDry'!$A$1:$A$839,0)),"")="N.A","",(IFERROR(INDEX('Both teabags AfterDry'!$D$1:$D$839,MATCH(H365,'Both teabags AfterDry'!$A$1:$A$839,0)),"")))</f>
        <v>1.8875999999999999</v>
      </c>
      <c r="P365" s="195">
        <f>IF(IFERROR(INDEX('Both teabags AfterDry'!$D$1:$D$839,MATCH(I365,'Both teabags AfterDry'!$A$1:$A$839,0)),"")="N.A","",(IFERROR(INDEX('Both teabags AfterDry'!$D$1:$D$839,MATCH(I365,'Both teabags AfterDry'!$A$1:$A$839,0)),"")))</f>
        <v>1.9642999999999999</v>
      </c>
      <c r="Q365" s="195">
        <f t="shared" si="41"/>
        <v>1.7369999999999999</v>
      </c>
      <c r="R365" s="195">
        <f t="shared" si="41"/>
        <v>1.8136999999999999</v>
      </c>
      <c r="S365" s="195">
        <f t="shared" si="36"/>
        <v>5.6080860776002606E-2</v>
      </c>
      <c r="T365" s="195">
        <f t="shared" si="42"/>
        <v>3.6765599938662054E-2</v>
      </c>
      <c r="U365" s="195">
        <f t="shared" si="37"/>
        <v>0.92620774180369714</v>
      </c>
      <c r="V365">
        <f t="shared" si="38"/>
        <v>69</v>
      </c>
      <c r="W365" s="195">
        <f t="shared" si="43"/>
        <v>0.93339565228503252</v>
      </c>
      <c r="X365" s="195" t="str">
        <f t="shared" si="44"/>
        <v/>
      </c>
      <c r="Y365" s="255" t="str">
        <f>IF(ISNUMBER(SEARCH("C", 'Dry_Litterbag Placem_Collection'!V72)),"YES","NO")</f>
        <v>NO</v>
      </c>
      <c r="Z365" s="255" t="str">
        <f>IF(ISNUMBER(SEARCH("H", 'Dry_Litterbag Placem_Collection'!V72)),"YES","NO")</f>
        <v>NO</v>
      </c>
      <c r="AA365" s="255" t="str">
        <f>IF(ISNUMBER(SEARCH("R", 'Dry_Litterbag Placem_Collection'!V72)),"YES","NO")</f>
        <v>NO</v>
      </c>
      <c r="AB365" s="255" t="str">
        <f>IF(ISNUMBER(SEARCH("C", 'Dry_Litterbag Placem_Collection'!U72)),"YES","NO")</f>
        <v>NO</v>
      </c>
      <c r="AC365" s="255" t="str">
        <f>IF(ISNUMBER(SEARCH("H", 'Dry_Litterbag Placem_Collection'!U72)),"YES","NO")</f>
        <v>NO</v>
      </c>
      <c r="AD365" s="255" t="str">
        <f>IF(ISNUMBER(SEARCH("R", 'Dry_Litterbag Placem_Collection'!U72)),"YES","NO")</f>
        <v>NO</v>
      </c>
    </row>
    <row r="366" spans="2:30">
      <c r="B366" t="str">
        <f>'Final data_for_R_analysis_Dryse'!A512</f>
        <v>Dry</v>
      </c>
      <c r="C366" s="263">
        <f>'Final data_for_R_analysis_Dryse'!B512</f>
        <v>71</v>
      </c>
      <c r="D366" t="s">
        <v>3836</v>
      </c>
      <c r="E366" t="s">
        <v>25</v>
      </c>
      <c r="F366" s="387">
        <v>7</v>
      </c>
      <c r="G366" s="16">
        <f>'Dry_Litterbag Placem_Collection'!E73</f>
        <v>42937</v>
      </c>
      <c r="H366" s="92" t="str">
        <f>'Final data_for_R_analysis_Dryse'!J512</f>
        <v>G174</v>
      </c>
      <c r="I366" t="str">
        <f>'Final data_for_R_analysis_Dryse'!J732</f>
        <v>R203</v>
      </c>
      <c r="J366">
        <f>IFERROR(INDEX('Green_rooibos initial weight'!$C$5:$C$1749,MATCH(H366, 'Green_rooibos initial weight'!$A$5:$A$1749,0)),"")</f>
        <v>2.0649999999999999</v>
      </c>
      <c r="K366">
        <f>IFERROR(INDEX('Green_rooibos initial weight'!$C$5:$C$1749,MATCH(I366, 'Green_rooibos initial weight'!$A$5:$A$1749,0)),"")</f>
        <v>2.2839999999999998</v>
      </c>
      <c r="L366" s="195">
        <f t="shared" si="39"/>
        <v>1.8151999999999999</v>
      </c>
      <c r="M366" s="195">
        <f t="shared" si="40"/>
        <v>2.0341999999999998</v>
      </c>
      <c r="N366" s="16">
        <f>IF('Dry_Litterbag Placem_Collection'!G73="N.A","",'Dry_Litterbag Placem_Collection'!G73)</f>
        <v>43006</v>
      </c>
      <c r="O366" s="195">
        <f>IF(IFERROR(INDEX('Both teabags AfterDry'!$D$1:$D$839,MATCH(H366,'Both teabags AfterDry'!$A$1:$A$839,0)),"")="N.A","",(IFERROR(INDEX('Both teabags AfterDry'!$D$1:$D$839,MATCH(H366,'Both teabags AfterDry'!$A$1:$A$839,0)),"")))</f>
        <v>1.8838999999999999</v>
      </c>
      <c r="P366" s="195">
        <f>IF(IFERROR(INDEX('Both teabags AfterDry'!$D$1:$D$839,MATCH(I366,'Both teabags AfterDry'!$A$1:$A$839,0)),"")="N.A","",(IFERROR(INDEX('Both teabags AfterDry'!$D$1:$D$839,MATCH(I366,'Both teabags AfterDry'!$A$1:$A$839,0)),"")))</f>
        <v>2.0466000000000002</v>
      </c>
      <c r="Q366" s="195">
        <f t="shared" si="41"/>
        <v>1.7332999999999998</v>
      </c>
      <c r="R366" s="195">
        <f t="shared" si="41"/>
        <v>1.8960000000000001</v>
      </c>
      <c r="S366" s="195">
        <f t="shared" si="36"/>
        <v>4.5118995152049424E-2</v>
      </c>
      <c r="T366" s="195">
        <f t="shared" si="42"/>
        <v>2.9579198722008652E-2</v>
      </c>
      <c r="U366" s="195">
        <f t="shared" si="37"/>
        <v>0.93206174417461429</v>
      </c>
      <c r="V366">
        <f t="shared" si="38"/>
        <v>69</v>
      </c>
      <c r="W366" s="195">
        <f t="shared" si="43"/>
        <v>0.94641449506882491</v>
      </c>
      <c r="X366" s="195" t="str">
        <f t="shared" si="44"/>
        <v/>
      </c>
      <c r="Y366" s="255" t="str">
        <f>IF(ISNUMBER(SEARCH("C", 'Dry_Litterbag Placem_Collection'!V73)),"YES","NO")</f>
        <v>NO</v>
      </c>
      <c r="Z366" s="255" t="str">
        <f>IF(ISNUMBER(SEARCH("H", 'Dry_Litterbag Placem_Collection'!V73)),"YES","NO")</f>
        <v>NO</v>
      </c>
      <c r="AA366" s="255" t="str">
        <f>IF(ISNUMBER(SEARCH("R", 'Dry_Litterbag Placem_Collection'!V73)),"YES","NO")</f>
        <v>NO</v>
      </c>
      <c r="AB366" s="255" t="str">
        <f>IF(ISNUMBER(SEARCH("C", 'Dry_Litterbag Placem_Collection'!U73)),"YES","NO")</f>
        <v>NO</v>
      </c>
      <c r="AC366" s="255" t="str">
        <f>IF(ISNUMBER(SEARCH("H", 'Dry_Litterbag Placem_Collection'!U73)),"YES","NO")</f>
        <v>NO</v>
      </c>
      <c r="AD366" s="255" t="str">
        <f>IF(ISNUMBER(SEARCH("R", 'Dry_Litterbag Placem_Collection'!U73)),"YES","NO")</f>
        <v>NO</v>
      </c>
    </row>
    <row r="367" spans="2:30">
      <c r="B367" t="str">
        <f>'Final data_for_R_analysis_Dryse'!A513</f>
        <v>Dry</v>
      </c>
      <c r="C367" s="263">
        <f>'Final data_for_R_analysis_Dryse'!B513</f>
        <v>72</v>
      </c>
      <c r="D367" t="s">
        <v>3836</v>
      </c>
      <c r="E367" t="s">
        <v>25</v>
      </c>
      <c r="F367" s="387">
        <v>8</v>
      </c>
      <c r="G367" s="16">
        <f>'Dry_Litterbag Placem_Collection'!E74</f>
        <v>42937</v>
      </c>
      <c r="H367" s="92" t="str">
        <f>'Final data_for_R_analysis_Dryse'!J513</f>
        <v>G714</v>
      </c>
      <c r="I367" t="str">
        <f>'Final data_for_R_analysis_Dryse'!J733</f>
        <v>R191</v>
      </c>
      <c r="J367">
        <f>IFERROR(INDEX('Green_rooibos initial weight'!$C$5:$C$1749,MATCH(H367, 'Green_rooibos initial weight'!$A$5:$A$1749,0)),"")</f>
        <v>2.0459999999999998</v>
      </c>
      <c r="K367">
        <f>IFERROR(INDEX('Green_rooibos initial weight'!$C$5:$C$1749,MATCH(I367, 'Green_rooibos initial weight'!$A$5:$A$1749,0)),"")</f>
        <v>2.1789999999999998</v>
      </c>
      <c r="L367" s="195">
        <f t="shared" si="39"/>
        <v>1.7961999999999998</v>
      </c>
      <c r="M367" s="195">
        <f t="shared" si="40"/>
        <v>1.9291999999999998</v>
      </c>
      <c r="N367" s="16">
        <f>IF('Dry_Litterbag Placem_Collection'!G74="N.A","",'Dry_Litterbag Placem_Collection'!G74)</f>
        <v>43006</v>
      </c>
      <c r="O367" s="195">
        <f>IF(IFERROR(INDEX('Both teabags AfterDry'!$D$1:$D$839,MATCH(H367,'Both teabags AfterDry'!$A$1:$A$839,0)),"")="N.A","",(IFERROR(INDEX('Both teabags AfterDry'!$D$1:$D$839,MATCH(H367,'Both teabags AfterDry'!$A$1:$A$839,0)),"")))</f>
        <v>1.8528</v>
      </c>
      <c r="P367" s="195">
        <f>IF(IFERROR(INDEX('Both teabags AfterDry'!$D$1:$D$839,MATCH(I367,'Both teabags AfterDry'!$A$1:$A$839,0)),"")="N.A","",(IFERROR(INDEX('Both teabags AfterDry'!$D$1:$D$839,MATCH(I367,'Both teabags AfterDry'!$A$1:$A$839,0)),"")))</f>
        <v>1.9675</v>
      </c>
      <c r="Q367" s="195">
        <f t="shared" si="41"/>
        <v>1.7021999999999999</v>
      </c>
      <c r="R367" s="195">
        <f t="shared" si="41"/>
        <v>1.8169</v>
      </c>
      <c r="S367" s="195">
        <f t="shared" si="36"/>
        <v>5.2332702371673423E-2</v>
      </c>
      <c r="T367" s="195">
        <f t="shared" si="42"/>
        <v>3.4308374951500853E-2</v>
      </c>
      <c r="U367" s="195">
        <f t="shared" si="37"/>
        <v>0.94178934273273907</v>
      </c>
      <c r="V367">
        <f t="shared" si="38"/>
        <v>69</v>
      </c>
      <c r="W367" s="195">
        <f t="shared" si="43"/>
        <v>0.93784714682699122</v>
      </c>
      <c r="X367" s="195" t="str">
        <f t="shared" si="44"/>
        <v/>
      </c>
      <c r="Y367" s="255" t="str">
        <f>IF(ISNUMBER(SEARCH("C", 'Dry_Litterbag Placem_Collection'!V74)),"YES","NO")</f>
        <v>NO</v>
      </c>
      <c r="Z367" s="255" t="str">
        <f>IF(ISNUMBER(SEARCH("H", 'Dry_Litterbag Placem_Collection'!V74)),"YES","NO")</f>
        <v>NO</v>
      </c>
      <c r="AA367" s="255" t="str">
        <f>IF(ISNUMBER(SEARCH("R", 'Dry_Litterbag Placem_Collection'!V74)),"YES","NO")</f>
        <v>NO</v>
      </c>
      <c r="AB367" s="255" t="str">
        <f>IF(ISNUMBER(SEARCH("C", 'Dry_Litterbag Placem_Collection'!U74)),"YES","NO")</f>
        <v>NO</v>
      </c>
      <c r="AC367" s="255" t="str">
        <f>IF(ISNUMBER(SEARCH("H", 'Dry_Litterbag Placem_Collection'!U74)),"YES","NO")</f>
        <v>NO</v>
      </c>
      <c r="AD367" s="255" t="str">
        <f>IF(ISNUMBER(SEARCH("R", 'Dry_Litterbag Placem_Collection'!U74)),"YES","NO")</f>
        <v>NO</v>
      </c>
    </row>
    <row r="368" spans="2:30">
      <c r="B368" t="str">
        <f>'Final data_for_R_analysis_Dryse'!A514</f>
        <v>Dry</v>
      </c>
      <c r="C368" s="263">
        <f>'Final data_for_R_analysis_Dryse'!B514</f>
        <v>73</v>
      </c>
      <c r="D368" t="s">
        <v>3838</v>
      </c>
      <c r="E368" t="s">
        <v>25</v>
      </c>
      <c r="F368" s="386">
        <v>1</v>
      </c>
      <c r="G368" s="16">
        <f>'Dry_Litterbag Placem_Collection'!E75</f>
        <v>42937</v>
      </c>
      <c r="H368" s="92" t="str">
        <f>'Final data_for_R_analysis_Dryse'!J514</f>
        <v>G726</v>
      </c>
      <c r="I368" t="str">
        <f>'Final data_for_R_analysis_Dryse'!J734</f>
        <v>R160</v>
      </c>
      <c r="J368">
        <f>IFERROR(INDEX('Green_rooibos initial weight'!$C$5:$C$1749,MATCH(H368, 'Green_rooibos initial weight'!$A$5:$A$1749,0)),"")</f>
        <v>1.9950000000000001</v>
      </c>
      <c r="K368">
        <f>IFERROR(INDEX('Green_rooibos initial weight'!$C$5:$C$1749,MATCH(I368, 'Green_rooibos initial weight'!$A$5:$A$1749,0)),"")</f>
        <v>2.1880000000000002</v>
      </c>
      <c r="L368" s="195">
        <f t="shared" si="39"/>
        <v>1.7452000000000001</v>
      </c>
      <c r="M368" s="195">
        <f t="shared" si="40"/>
        <v>1.9382000000000001</v>
      </c>
      <c r="N368" s="16">
        <f>IF('Dry_Litterbag Placem_Collection'!G75="N.A","",'Dry_Litterbag Placem_Collection'!G75)</f>
        <v>43006</v>
      </c>
      <c r="O368" s="195" t="str">
        <f>IF(IFERROR(INDEX('Both teabags AfterDry'!$D$1:$D$839,MATCH(H368,'Both teabags AfterDry'!$A$1:$A$839,0)),"")="N.A","",(IFERROR(INDEX('Both teabags AfterDry'!$D$1:$D$839,MATCH(H368,'Both teabags AfterDry'!$A$1:$A$839,0)),"")))</f>
        <v/>
      </c>
      <c r="P368" s="195" t="str">
        <f>IF(IFERROR(INDEX('Both teabags AfterDry'!$D$1:$D$839,MATCH(I368,'Both teabags AfterDry'!$A$1:$A$839,0)),"")="N.A","",(IFERROR(INDEX('Both teabags AfterDry'!$D$1:$D$839,MATCH(I368,'Both teabags AfterDry'!$A$1:$A$839,0)),"")))</f>
        <v/>
      </c>
      <c r="Q368" s="195" t="str">
        <f t="shared" si="41"/>
        <v/>
      </c>
      <c r="R368" s="195" t="str">
        <f t="shared" si="41"/>
        <v/>
      </c>
      <c r="S368" s="195" t="str">
        <f t="shared" si="36"/>
        <v/>
      </c>
      <c r="T368" s="195" t="str">
        <f t="shared" si="42"/>
        <v/>
      </c>
      <c r="U368" s="195" t="str">
        <f t="shared" si="37"/>
        <v/>
      </c>
      <c r="V368">
        <f t="shared" si="38"/>
        <v>69</v>
      </c>
      <c r="W368" s="195" t="str">
        <f t="shared" si="43"/>
        <v/>
      </c>
      <c r="X368" s="195" t="str">
        <f t="shared" si="44"/>
        <v/>
      </c>
      <c r="Y368" s="255" t="str">
        <f>IF(ISNUMBER(SEARCH("C", 'Dry_Litterbag Placem_Collection'!V75)),"YES","NO")</f>
        <v>NO</v>
      </c>
      <c r="Z368" s="255" t="str">
        <f>IF(ISNUMBER(SEARCH("H", 'Dry_Litterbag Placem_Collection'!V75)),"YES","NO")</f>
        <v>NO</v>
      </c>
      <c r="AA368" s="255" t="str">
        <f>IF(ISNUMBER(SEARCH("R", 'Dry_Litterbag Placem_Collection'!V75)),"YES","NO")</f>
        <v>NO</v>
      </c>
      <c r="AB368" s="255" t="str">
        <f>IF(ISNUMBER(SEARCH("C", 'Dry_Litterbag Placem_Collection'!U75)),"YES","NO")</f>
        <v>NO</v>
      </c>
      <c r="AC368" s="255" t="str">
        <f>IF(ISNUMBER(SEARCH("H", 'Dry_Litterbag Placem_Collection'!U75)),"YES","NO")</f>
        <v>NO</v>
      </c>
      <c r="AD368" s="255" t="str">
        <f>IF(ISNUMBER(SEARCH("R", 'Dry_Litterbag Placem_Collection'!U75)),"YES","NO")</f>
        <v>NO</v>
      </c>
    </row>
    <row r="369" spans="2:30">
      <c r="B369" t="str">
        <f>'Final data_for_R_analysis_Dryse'!A515</f>
        <v>Dry</v>
      </c>
      <c r="C369" s="263">
        <f>'Final data_for_R_analysis_Dryse'!B515</f>
        <v>74</v>
      </c>
      <c r="D369" t="s">
        <v>3838</v>
      </c>
      <c r="E369" t="s">
        <v>25</v>
      </c>
      <c r="F369" s="386">
        <v>2</v>
      </c>
      <c r="G369" s="16">
        <f>'Dry_Litterbag Placem_Collection'!E76</f>
        <v>42937</v>
      </c>
      <c r="H369" s="92" t="str">
        <f>'Final data_for_R_analysis_Dryse'!J515</f>
        <v>G866</v>
      </c>
      <c r="I369" t="str">
        <f>'Final data_for_R_analysis_Dryse'!J735</f>
        <v>R275</v>
      </c>
      <c r="J369">
        <f>IFERROR(INDEX('Green_rooibos initial weight'!$C$5:$C$1749,MATCH(H369, 'Green_rooibos initial weight'!$A$5:$A$1749,0)),"")</f>
        <v>2.0310000000000001</v>
      </c>
      <c r="K369">
        <f>IFERROR(INDEX('Green_rooibos initial weight'!$C$5:$C$1749,MATCH(I369, 'Green_rooibos initial weight'!$A$5:$A$1749,0)),"")</f>
        <v>0.22900000000000001</v>
      </c>
      <c r="L369" s="195">
        <f t="shared" si="39"/>
        <v>1.7812000000000001</v>
      </c>
      <c r="M369" s="195">
        <f t="shared" si="40"/>
        <v>-2.0800000000000013E-2</v>
      </c>
      <c r="N369" s="16">
        <f>IF('Dry_Litterbag Placem_Collection'!G76="N.A","",'Dry_Litterbag Placem_Collection'!G76)</f>
        <v>43006</v>
      </c>
      <c r="O369" s="195">
        <f>IF(IFERROR(INDEX('Both teabags AfterDry'!$D$1:$D$839,MATCH(H369,'Both teabags AfterDry'!$A$1:$A$839,0)),"")="N.A","",(IFERROR(INDEX('Both teabags AfterDry'!$D$1:$D$839,MATCH(H369,'Both teabags AfterDry'!$A$1:$A$839,0)),"")))</f>
        <v>1.8541000000000001</v>
      </c>
      <c r="P369" s="195">
        <f>IF(IFERROR(INDEX('Both teabags AfterDry'!$D$1:$D$839,MATCH(I369,'Both teabags AfterDry'!$A$1:$A$839,0)),"")="N.A","",(IFERROR(INDEX('Both teabags AfterDry'!$D$1:$D$839,MATCH(I369,'Both teabags AfterDry'!$A$1:$A$839,0)),"")))</f>
        <v>1.9981</v>
      </c>
      <c r="Q369" s="195">
        <f t="shared" si="41"/>
        <v>1.7035</v>
      </c>
      <c r="R369" s="195">
        <f t="shared" si="41"/>
        <v>1.8474999999999999</v>
      </c>
      <c r="S369" s="195">
        <f t="shared" si="36"/>
        <v>4.3622277116550645E-2</v>
      </c>
      <c r="T369" s="195">
        <f t="shared" si="42"/>
        <v>2.859797739707361E-2</v>
      </c>
      <c r="U369" s="195">
        <f t="shared" si="37"/>
        <v>-88.82211538461533</v>
      </c>
      <c r="V369">
        <f t="shared" si="38"/>
        <v>69</v>
      </c>
      <c r="W369" s="195">
        <f t="shared" si="43"/>
        <v>0.94819206993283767</v>
      </c>
      <c r="X369" s="195" t="str">
        <f t="shared" si="44"/>
        <v/>
      </c>
      <c r="Y369" s="255" t="str">
        <f>IF(ISNUMBER(SEARCH("C", 'Dry_Litterbag Placem_Collection'!V76)),"YES","NO")</f>
        <v>NO</v>
      </c>
      <c r="Z369" s="255" t="str">
        <f>IF(ISNUMBER(SEARCH("H", 'Dry_Litterbag Placem_Collection'!V76)),"YES","NO")</f>
        <v>NO</v>
      </c>
      <c r="AA369" s="255" t="str">
        <f>IF(ISNUMBER(SEARCH("R", 'Dry_Litterbag Placem_Collection'!V76)),"YES","NO")</f>
        <v>NO</v>
      </c>
      <c r="AB369" s="255" t="str">
        <f>IF(ISNUMBER(SEARCH("C", 'Dry_Litterbag Placem_Collection'!U76)),"YES","NO")</f>
        <v>NO</v>
      </c>
      <c r="AC369" s="255" t="str">
        <f>IF(ISNUMBER(SEARCH("H", 'Dry_Litterbag Placem_Collection'!U76)),"YES","NO")</f>
        <v>NO</v>
      </c>
      <c r="AD369" s="255" t="str">
        <f>IF(ISNUMBER(SEARCH("R", 'Dry_Litterbag Placem_Collection'!U76)),"YES","NO")</f>
        <v>NO</v>
      </c>
    </row>
    <row r="370" spans="2:30">
      <c r="B370" t="str">
        <f>'Final data_for_R_analysis_Dryse'!A516</f>
        <v>Dry</v>
      </c>
      <c r="C370" s="263">
        <f>'Final data_for_R_analysis_Dryse'!B516</f>
        <v>75</v>
      </c>
      <c r="D370" t="s">
        <v>3838</v>
      </c>
      <c r="E370" t="s">
        <v>25</v>
      </c>
      <c r="F370" s="386">
        <v>3</v>
      </c>
      <c r="G370" s="16">
        <f>'Dry_Litterbag Placem_Collection'!E77</f>
        <v>42937</v>
      </c>
      <c r="H370" s="92" t="str">
        <f>'Final data_for_R_analysis_Dryse'!J516</f>
        <v>G705</v>
      </c>
      <c r="I370" t="str">
        <f>'Final data_for_R_analysis_Dryse'!J736</f>
        <v>R657</v>
      </c>
      <c r="J370">
        <f>IFERROR(INDEX('Green_rooibos initial weight'!$C$5:$C$1749,MATCH(H370, 'Green_rooibos initial weight'!$A$5:$A$1749,0)),"")</f>
        <v>1.9830000000000001</v>
      </c>
      <c r="K370">
        <f>IFERROR(INDEX('Green_rooibos initial weight'!$C$5:$C$1749,MATCH(I370, 'Green_rooibos initial weight'!$A$5:$A$1749,0)),"")</f>
        <v>2.2509999999999999</v>
      </c>
      <c r="L370" s="195">
        <f t="shared" si="39"/>
        <v>1.7332000000000001</v>
      </c>
      <c r="M370" s="195">
        <f t="shared" si="40"/>
        <v>2.0011999999999999</v>
      </c>
      <c r="N370" s="16">
        <f>IF('Dry_Litterbag Placem_Collection'!G77="N.A","",'Dry_Litterbag Placem_Collection'!G77)</f>
        <v>43006</v>
      </c>
      <c r="O370" s="195">
        <f>IF(IFERROR(INDEX('Both teabags AfterDry'!$D$1:$D$839,MATCH(H370,'Both teabags AfterDry'!$A$1:$A$839,0)),"")="N.A","",(IFERROR(INDEX('Both teabags AfterDry'!$D$1:$D$839,MATCH(H370,'Both teabags AfterDry'!$A$1:$A$839,0)),"")))</f>
        <v>1.8152999999999999</v>
      </c>
      <c r="P370" s="195">
        <f>IF(IFERROR(INDEX('Both teabags AfterDry'!$D$1:$D$839,MATCH(I370,'Both teabags AfterDry'!$A$1:$A$839,0)),"")="N.A","",(IFERROR(INDEX('Both teabags AfterDry'!$D$1:$D$839,MATCH(I370,'Both teabags AfterDry'!$A$1:$A$839,0)),"")))</f>
        <v>2.0581999999999998</v>
      </c>
      <c r="Q370" s="195">
        <f t="shared" si="41"/>
        <v>1.6646999999999998</v>
      </c>
      <c r="R370" s="195">
        <f t="shared" si="41"/>
        <v>1.9075999999999997</v>
      </c>
      <c r="S370" s="195">
        <f t="shared" si="36"/>
        <v>3.9522270943918913E-2</v>
      </c>
      <c r="T370" s="195">
        <f t="shared" si="42"/>
        <v>2.5910087364659457E-2</v>
      </c>
      <c r="U370" s="195">
        <f t="shared" si="37"/>
        <v>0.95322806316210262</v>
      </c>
      <c r="V370">
        <f t="shared" si="38"/>
        <v>69</v>
      </c>
      <c r="W370" s="195">
        <f t="shared" si="43"/>
        <v>0.95306143593358794</v>
      </c>
      <c r="X370" s="195" t="str">
        <f t="shared" si="44"/>
        <v/>
      </c>
      <c r="Y370" s="255" t="str">
        <f>IF(ISNUMBER(SEARCH("C", 'Dry_Litterbag Placem_Collection'!V77)),"YES","NO")</f>
        <v>NO</v>
      </c>
      <c r="Z370" s="255" t="str">
        <f>IF(ISNUMBER(SEARCH("H", 'Dry_Litterbag Placem_Collection'!V77)),"YES","NO")</f>
        <v>NO</v>
      </c>
      <c r="AA370" s="255" t="str">
        <f>IF(ISNUMBER(SEARCH("R", 'Dry_Litterbag Placem_Collection'!V77)),"YES","NO")</f>
        <v>NO</v>
      </c>
      <c r="AB370" s="255" t="str">
        <f>IF(ISNUMBER(SEARCH("C", 'Dry_Litterbag Placem_Collection'!U77)),"YES","NO")</f>
        <v>NO</v>
      </c>
      <c r="AC370" s="255" t="str">
        <f>IF(ISNUMBER(SEARCH("H", 'Dry_Litterbag Placem_Collection'!U77)),"YES","NO")</f>
        <v>NO</v>
      </c>
      <c r="AD370" s="255" t="str">
        <f>IF(ISNUMBER(SEARCH("R", 'Dry_Litterbag Placem_Collection'!U77)),"YES","NO")</f>
        <v>NO</v>
      </c>
    </row>
    <row r="371" spans="2:30">
      <c r="B371" t="str">
        <f>'Final data_for_R_analysis_Dryse'!A517</f>
        <v>Dry</v>
      </c>
      <c r="C371" s="263">
        <f>'Final data_for_R_analysis_Dryse'!B517</f>
        <v>76</v>
      </c>
      <c r="D371" t="s">
        <v>3838</v>
      </c>
      <c r="E371" t="s">
        <v>25</v>
      </c>
      <c r="F371" s="387">
        <v>4</v>
      </c>
      <c r="G371" s="16">
        <f>'Dry_Litterbag Placem_Collection'!E78</f>
        <v>42937</v>
      </c>
      <c r="H371" s="92" t="str">
        <f>'Final data_for_R_analysis_Dryse'!J517</f>
        <v>G601</v>
      </c>
      <c r="I371" t="str">
        <f>'Final data_for_R_analysis_Dryse'!J737</f>
        <v>R306</v>
      </c>
      <c r="J371">
        <f>IFERROR(INDEX('Green_rooibos initial weight'!$C$5:$C$1749,MATCH(H371, 'Green_rooibos initial weight'!$A$5:$A$1749,0)),"")</f>
        <v>2.0099999999999998</v>
      </c>
      <c r="K371">
        <f>IFERROR(INDEX('Green_rooibos initial weight'!$C$5:$C$1749,MATCH(I371, 'Green_rooibos initial weight'!$A$5:$A$1749,0)),"")</f>
        <v>2.2440000000000002</v>
      </c>
      <c r="L371" s="195">
        <f t="shared" si="39"/>
        <v>1.7601999999999998</v>
      </c>
      <c r="M371" s="195">
        <f t="shared" si="40"/>
        <v>1.9942000000000002</v>
      </c>
      <c r="N371" s="16">
        <f>IF('Dry_Litterbag Placem_Collection'!G78="N.A","",'Dry_Litterbag Placem_Collection'!G78)</f>
        <v>43006</v>
      </c>
      <c r="O371" s="195">
        <f>IF(IFERROR(INDEX('Both teabags AfterDry'!$D$1:$D$839,MATCH(H371,'Both teabags AfterDry'!$A$1:$A$839,0)),"")="N.A","",(IFERROR(INDEX('Both teabags AfterDry'!$D$1:$D$839,MATCH(H371,'Both teabags AfterDry'!$A$1:$A$839,0)),"")))</f>
        <v>1.8379000000000001</v>
      </c>
      <c r="P371" s="195">
        <f>IF(IFERROR(INDEX('Both teabags AfterDry'!$D$1:$D$839,MATCH(I371,'Both teabags AfterDry'!$A$1:$A$839,0)),"")="N.A","",(IFERROR(INDEX('Both teabags AfterDry'!$D$1:$D$839,MATCH(I371,'Both teabags AfterDry'!$A$1:$A$839,0)),"")))</f>
        <v>2.0337999999999998</v>
      </c>
      <c r="Q371" s="195">
        <f t="shared" si="41"/>
        <v>1.6873</v>
      </c>
      <c r="R371" s="195">
        <f t="shared" si="41"/>
        <v>1.8831999999999998</v>
      </c>
      <c r="S371" s="195">
        <f t="shared" si="36"/>
        <v>4.1415748210430481E-2</v>
      </c>
      <c r="T371" s="195">
        <f t="shared" si="42"/>
        <v>2.7151416879047059E-2</v>
      </c>
      <c r="U371" s="195">
        <f t="shared" si="37"/>
        <v>0.94433858188747344</v>
      </c>
      <c r="V371">
        <f t="shared" si="38"/>
        <v>69</v>
      </c>
      <c r="W371" s="195">
        <f t="shared" si="43"/>
        <v>0.95081265058143649</v>
      </c>
      <c r="X371" s="195" t="str">
        <f t="shared" si="44"/>
        <v/>
      </c>
      <c r="Y371" s="255" t="str">
        <f>IF(ISNUMBER(SEARCH("C", 'Dry_Litterbag Placem_Collection'!V78)),"YES","NO")</f>
        <v>NO</v>
      </c>
      <c r="Z371" s="255" t="str">
        <f>IF(ISNUMBER(SEARCH("H", 'Dry_Litterbag Placem_Collection'!V78)),"YES","NO")</f>
        <v>NO</v>
      </c>
      <c r="AA371" s="255" t="str">
        <f>IF(ISNUMBER(SEARCH("R", 'Dry_Litterbag Placem_Collection'!V78)),"YES","NO")</f>
        <v>NO</v>
      </c>
      <c r="AB371" s="255" t="str">
        <f>IF(ISNUMBER(SEARCH("C", 'Dry_Litterbag Placem_Collection'!U78)),"YES","NO")</f>
        <v>NO</v>
      </c>
      <c r="AC371" s="255" t="str">
        <f>IF(ISNUMBER(SEARCH("H", 'Dry_Litterbag Placem_Collection'!U78)),"YES","NO")</f>
        <v>NO</v>
      </c>
      <c r="AD371" s="255" t="str">
        <f>IF(ISNUMBER(SEARCH("R", 'Dry_Litterbag Placem_Collection'!U78)),"YES","NO")</f>
        <v>NO</v>
      </c>
    </row>
    <row r="372" spans="2:30">
      <c r="B372" t="str">
        <f>'Final data_for_R_analysis_Dryse'!A518</f>
        <v>Dry</v>
      </c>
      <c r="C372" s="263">
        <f>'Final data_for_R_analysis_Dryse'!B518</f>
        <v>77</v>
      </c>
      <c r="D372" t="s">
        <v>3838</v>
      </c>
      <c r="E372" t="s">
        <v>25</v>
      </c>
      <c r="F372" s="387">
        <v>5</v>
      </c>
      <c r="G372" s="16">
        <f>'Dry_Litterbag Placem_Collection'!E79</f>
        <v>0</v>
      </c>
      <c r="H372" s="92" t="str">
        <f>'Final data_for_R_analysis_Dryse'!J518</f>
        <v/>
      </c>
      <c r="I372" t="str">
        <f>'Final data_for_R_analysis_Dryse'!J738</f>
        <v/>
      </c>
      <c r="J372" t="str">
        <f>IFERROR(INDEX('Green_rooibos initial weight'!$C$5:$C$1749,MATCH(H372, 'Green_rooibos initial weight'!$A$5:$A$1749,0)),"")</f>
        <v/>
      </c>
      <c r="K372" t="str">
        <f>IFERROR(INDEX('Green_rooibos initial weight'!$C$5:$C$1749,MATCH(I372, 'Green_rooibos initial weight'!$A$5:$A$1749,0)),"")</f>
        <v/>
      </c>
      <c r="L372" s="195" t="str">
        <f t="shared" si="39"/>
        <v/>
      </c>
      <c r="M372" s="195" t="str">
        <f t="shared" si="40"/>
        <v/>
      </c>
      <c r="N372" s="16">
        <f>IF('Dry_Litterbag Placem_Collection'!G79="N.A","",'Dry_Litterbag Placem_Collection'!G79)</f>
        <v>0</v>
      </c>
      <c r="O372" s="195" t="str">
        <f>IF(IFERROR(INDEX('Both teabags AfterDry'!$D$1:$D$839,MATCH(H372,'Both teabags AfterDry'!$A$1:$A$839,0)),"")="N.A","",(IFERROR(INDEX('Both teabags AfterDry'!$D$1:$D$839,MATCH(H372,'Both teabags AfterDry'!$A$1:$A$839,0)),"")))</f>
        <v/>
      </c>
      <c r="P372" s="195" t="str">
        <f>IF(IFERROR(INDEX('Both teabags AfterDry'!$D$1:$D$839,MATCH(I372,'Both teabags AfterDry'!$A$1:$A$839,0)),"")="N.A","",(IFERROR(INDEX('Both teabags AfterDry'!$D$1:$D$839,MATCH(I372,'Both teabags AfterDry'!$A$1:$A$839,0)),"")))</f>
        <v/>
      </c>
      <c r="Q372" s="195" t="str">
        <f t="shared" si="41"/>
        <v/>
      </c>
      <c r="R372" s="195" t="str">
        <f t="shared" si="41"/>
        <v/>
      </c>
      <c r="S372" s="195" t="str">
        <f t="shared" si="36"/>
        <v/>
      </c>
      <c r="T372" s="195" t="str">
        <f t="shared" si="42"/>
        <v/>
      </c>
      <c r="U372" s="195" t="str">
        <f t="shared" si="37"/>
        <v/>
      </c>
      <c r="V372" t="str">
        <f t="shared" si="38"/>
        <v/>
      </c>
      <c r="W372" s="195" t="str">
        <f t="shared" si="43"/>
        <v/>
      </c>
      <c r="X372" s="195" t="str">
        <f t="shared" si="44"/>
        <v/>
      </c>
      <c r="Y372" s="255" t="str">
        <f>IF(ISNUMBER(SEARCH("C", 'Dry_Litterbag Placem_Collection'!V79)),"YES","NO")</f>
        <v>NO</v>
      </c>
      <c r="Z372" s="255" t="str">
        <f>IF(ISNUMBER(SEARCH("H", 'Dry_Litterbag Placem_Collection'!V79)),"YES","NO")</f>
        <v>NO</v>
      </c>
      <c r="AA372" s="255" t="str">
        <f>IF(ISNUMBER(SEARCH("R", 'Dry_Litterbag Placem_Collection'!V79)),"YES","NO")</f>
        <v>NO</v>
      </c>
      <c r="AB372" s="255" t="str">
        <f>IF(ISNUMBER(SEARCH("C", 'Dry_Litterbag Placem_Collection'!U79)),"YES","NO")</f>
        <v>NO</v>
      </c>
      <c r="AC372" s="255" t="str">
        <f>IF(ISNUMBER(SEARCH("H", 'Dry_Litterbag Placem_Collection'!U79)),"YES","NO")</f>
        <v>NO</v>
      </c>
      <c r="AD372" s="255" t="str">
        <f>IF(ISNUMBER(SEARCH("R", 'Dry_Litterbag Placem_Collection'!U79)),"YES","NO")</f>
        <v>NO</v>
      </c>
    </row>
    <row r="373" spans="2:30">
      <c r="B373" t="str">
        <f>'Final data_for_R_analysis_Dryse'!A519</f>
        <v>Dry</v>
      </c>
      <c r="C373" s="263">
        <f>'Final data_for_R_analysis_Dryse'!B519</f>
        <v>78</v>
      </c>
      <c r="D373" t="s">
        <v>3838</v>
      </c>
      <c r="E373" t="s">
        <v>25</v>
      </c>
      <c r="F373" s="387">
        <v>6</v>
      </c>
      <c r="G373" s="16">
        <f>'Dry_Litterbag Placem_Collection'!E80</f>
        <v>42937</v>
      </c>
      <c r="H373" s="92" t="str">
        <f>'Final data_for_R_analysis_Dryse'!J519</f>
        <v>G157</v>
      </c>
      <c r="I373" t="str">
        <f>'Final data_for_R_analysis_Dryse'!J739</f>
        <v>R377</v>
      </c>
      <c r="J373">
        <f>IFERROR(INDEX('Green_rooibos initial weight'!$C$5:$C$1749,MATCH(H373, 'Green_rooibos initial weight'!$A$5:$A$1749,0)),"")</f>
        <v>1.994</v>
      </c>
      <c r="K373">
        <f>IFERROR(INDEX('Green_rooibos initial weight'!$C$5:$C$1749,MATCH(I373, 'Green_rooibos initial weight'!$A$5:$A$1749,0)),"")</f>
        <v>2.2309999999999999</v>
      </c>
      <c r="L373" s="195">
        <f t="shared" si="39"/>
        <v>1.7442</v>
      </c>
      <c r="M373" s="195">
        <f t="shared" si="40"/>
        <v>1.9811999999999999</v>
      </c>
      <c r="N373" s="16">
        <f>IF('Dry_Litterbag Placem_Collection'!G80="N.A","",'Dry_Litterbag Placem_Collection'!G80)</f>
        <v>43006</v>
      </c>
      <c r="O373" s="195">
        <f>IF(IFERROR(INDEX('Both teabags AfterDry'!$D$1:$D$839,MATCH(H373,'Both teabags AfterDry'!$A$1:$A$839,0)),"")="N.A","",(IFERROR(INDEX('Both teabags AfterDry'!$D$1:$D$839,MATCH(H373,'Both teabags AfterDry'!$A$1:$A$839,0)),"")))</f>
        <v>1.8103</v>
      </c>
      <c r="P373" s="195">
        <f>IF(IFERROR(INDEX('Both teabags AfterDry'!$D$1:$D$839,MATCH(I373,'Both teabags AfterDry'!$A$1:$A$839,0)),"")="N.A","",(IFERROR(INDEX('Both teabags AfterDry'!$D$1:$D$839,MATCH(I373,'Both teabags AfterDry'!$A$1:$A$839,0)),"")))</f>
        <v>1.9925999999999999</v>
      </c>
      <c r="Q373" s="195">
        <f t="shared" si="41"/>
        <v>1.6597</v>
      </c>
      <c r="R373" s="195">
        <f t="shared" si="41"/>
        <v>1.8419999999999999</v>
      </c>
      <c r="S373" s="195">
        <f t="shared" si="36"/>
        <v>4.8446279096433953E-2</v>
      </c>
      <c r="T373" s="195">
        <f t="shared" si="42"/>
        <v>3.1760506010963849E-2</v>
      </c>
      <c r="U373" s="195">
        <f t="shared" si="37"/>
        <v>0.9297395517867959</v>
      </c>
      <c r="V373">
        <f t="shared" si="38"/>
        <v>69</v>
      </c>
      <c r="W373" s="195">
        <f t="shared" si="43"/>
        <v>0.94246285142941333</v>
      </c>
      <c r="X373" s="195" t="str">
        <f t="shared" si="44"/>
        <v/>
      </c>
      <c r="Y373" s="255" t="str">
        <f>IF(ISNUMBER(SEARCH("C", 'Dry_Litterbag Placem_Collection'!V80)),"YES","NO")</f>
        <v>NO</v>
      </c>
      <c r="Z373" s="255" t="str">
        <f>IF(ISNUMBER(SEARCH("H", 'Dry_Litterbag Placem_Collection'!V80)),"YES","NO")</f>
        <v>NO</v>
      </c>
      <c r="AA373" s="255" t="str">
        <f>IF(ISNUMBER(SEARCH("R", 'Dry_Litterbag Placem_Collection'!V80)),"YES","NO")</f>
        <v>NO</v>
      </c>
      <c r="AB373" s="255" t="str">
        <f>IF(ISNUMBER(SEARCH("C", 'Dry_Litterbag Placem_Collection'!U80)),"YES","NO")</f>
        <v>NO</v>
      </c>
      <c r="AC373" s="255" t="str">
        <f>IF(ISNUMBER(SEARCH("H", 'Dry_Litterbag Placem_Collection'!U80)),"YES","NO")</f>
        <v>NO</v>
      </c>
      <c r="AD373" s="255" t="str">
        <f>IF(ISNUMBER(SEARCH("R", 'Dry_Litterbag Placem_Collection'!U80)),"YES","NO")</f>
        <v>NO</v>
      </c>
    </row>
    <row r="374" spans="2:30">
      <c r="B374" t="str">
        <f>'Final data_for_R_analysis_Dryse'!A520</f>
        <v>Dry</v>
      </c>
      <c r="C374" s="263">
        <f>'Final data_for_R_analysis_Dryse'!B520</f>
        <v>79</v>
      </c>
      <c r="D374" t="s">
        <v>3838</v>
      </c>
      <c r="E374" t="s">
        <v>25</v>
      </c>
      <c r="F374" s="387">
        <v>7</v>
      </c>
      <c r="G374" s="16">
        <f>'Dry_Litterbag Placem_Collection'!E81</f>
        <v>42937</v>
      </c>
      <c r="H374" s="92" t="str">
        <f>'Final data_for_R_analysis_Dryse'!J520</f>
        <v>G226</v>
      </c>
      <c r="I374" t="str">
        <f>'Final data_for_R_analysis_Dryse'!J740</f>
        <v>R61</v>
      </c>
      <c r="J374">
        <f>IFERROR(INDEX('Green_rooibos initial weight'!$C$5:$C$1749,MATCH(H374, 'Green_rooibos initial weight'!$A$5:$A$1749,0)),"")</f>
        <v>1.929</v>
      </c>
      <c r="K374">
        <f>IFERROR(INDEX('Green_rooibos initial weight'!$C$5:$C$1749,MATCH(I374, 'Green_rooibos initial weight'!$A$5:$A$1749,0)),"")</f>
        <v>2.2450000000000001</v>
      </c>
      <c r="L374" s="195">
        <f t="shared" si="39"/>
        <v>1.6792</v>
      </c>
      <c r="M374" s="195">
        <f t="shared" si="40"/>
        <v>1.9952000000000001</v>
      </c>
      <c r="N374" s="16">
        <f>IF('Dry_Litterbag Placem_Collection'!G81="N.A","",'Dry_Litterbag Placem_Collection'!G81)</f>
        <v>43006</v>
      </c>
      <c r="O374" s="195">
        <f>IF(IFERROR(INDEX('Both teabags AfterDry'!$D$1:$D$839,MATCH(H374,'Both teabags AfterDry'!$A$1:$A$839,0)),"")="N.A","",(IFERROR(INDEX('Both teabags AfterDry'!$D$1:$D$839,MATCH(H374,'Both teabags AfterDry'!$A$1:$A$839,0)),"")))</f>
        <v>1.7826</v>
      </c>
      <c r="P374" s="195">
        <f>IF(IFERROR(INDEX('Both teabags AfterDry'!$D$1:$D$839,MATCH(I374,'Both teabags AfterDry'!$A$1:$A$839,0)),"")="N.A","",(IFERROR(INDEX('Both teabags AfterDry'!$D$1:$D$839,MATCH(I374,'Both teabags AfterDry'!$A$1:$A$839,0)),"")))</f>
        <v>1.9782999999999999</v>
      </c>
      <c r="Q374" s="195">
        <f t="shared" si="41"/>
        <v>1.6319999999999999</v>
      </c>
      <c r="R374" s="195">
        <f t="shared" si="41"/>
        <v>1.8276999999999999</v>
      </c>
      <c r="S374" s="195">
        <f t="shared" si="36"/>
        <v>2.810862315388285E-2</v>
      </c>
      <c r="T374" s="195">
        <f t="shared" si="42"/>
        <v>1.842750591560964E-2</v>
      </c>
      <c r="U374" s="195">
        <f t="shared" si="37"/>
        <v>0.91604851643945462</v>
      </c>
      <c r="V374">
        <f t="shared" si="38"/>
        <v>69</v>
      </c>
      <c r="W374" s="195">
        <f t="shared" si="43"/>
        <v>0.96661683710940283</v>
      </c>
      <c r="X374" s="195" t="str">
        <f t="shared" si="44"/>
        <v/>
      </c>
      <c r="Y374" s="255" t="str">
        <f>IF(ISNUMBER(SEARCH("C", 'Dry_Litterbag Placem_Collection'!V81)),"YES","NO")</f>
        <v>NO</v>
      </c>
      <c r="Z374" s="255" t="str">
        <f>IF(ISNUMBER(SEARCH("H", 'Dry_Litterbag Placem_Collection'!V81)),"YES","NO")</f>
        <v>NO</v>
      </c>
      <c r="AA374" s="255" t="str">
        <f>IF(ISNUMBER(SEARCH("R", 'Dry_Litterbag Placem_Collection'!V81)),"YES","NO")</f>
        <v>NO</v>
      </c>
      <c r="AB374" s="255" t="str">
        <f>IF(ISNUMBER(SEARCH("C", 'Dry_Litterbag Placem_Collection'!U81)),"YES","NO")</f>
        <v>NO</v>
      </c>
      <c r="AC374" s="255" t="str">
        <f>IF(ISNUMBER(SEARCH("H", 'Dry_Litterbag Placem_Collection'!U81)),"YES","NO")</f>
        <v>NO</v>
      </c>
      <c r="AD374" s="255" t="str">
        <f>IF(ISNUMBER(SEARCH("R", 'Dry_Litterbag Placem_Collection'!U81)),"YES","NO")</f>
        <v>NO</v>
      </c>
    </row>
    <row r="375" spans="2:30">
      <c r="B375" t="str">
        <f>'Final data_for_R_analysis_Dryse'!A521</f>
        <v>Dry</v>
      </c>
      <c r="C375" s="263">
        <f>'Final data_for_R_analysis_Dryse'!B521</f>
        <v>80</v>
      </c>
      <c r="D375" t="s">
        <v>3838</v>
      </c>
      <c r="E375" t="s">
        <v>25</v>
      </c>
      <c r="F375" s="387">
        <v>8</v>
      </c>
      <c r="G375" s="16">
        <f>'Dry_Litterbag Placem_Collection'!E82</f>
        <v>42937</v>
      </c>
      <c r="H375" s="92" t="str">
        <f>'Final data_for_R_analysis_Dryse'!J521</f>
        <v>G855</v>
      </c>
      <c r="I375" t="str">
        <f>'Final data_for_R_analysis_Dryse'!J741</f>
        <v>R620</v>
      </c>
      <c r="J375">
        <f>IFERROR(INDEX('Green_rooibos initial weight'!$C$5:$C$1749,MATCH(H375, 'Green_rooibos initial weight'!$A$5:$A$1749,0)),"")</f>
        <v>1.9570000000000001</v>
      </c>
      <c r="K375">
        <f>IFERROR(INDEX('Green_rooibos initial weight'!$C$5:$C$1749,MATCH(I375, 'Green_rooibos initial weight'!$A$5:$A$1749,0)),"")</f>
        <v>2.1800000000000002</v>
      </c>
      <c r="L375" s="195">
        <f t="shared" si="39"/>
        <v>1.7072000000000001</v>
      </c>
      <c r="M375" s="195">
        <f t="shared" si="40"/>
        <v>1.9302000000000001</v>
      </c>
      <c r="N375" s="16">
        <f>IF('Dry_Litterbag Placem_Collection'!G82="N.A","",'Dry_Litterbag Placem_Collection'!G82)</f>
        <v>43006</v>
      </c>
      <c r="O375" s="195">
        <f>IF(IFERROR(INDEX('Both teabags AfterDry'!$D$1:$D$839,MATCH(H375,'Both teabags AfterDry'!$A$1:$A$839,0)),"")="N.A","",(IFERROR(INDEX('Both teabags AfterDry'!$D$1:$D$839,MATCH(H375,'Both teabags AfterDry'!$A$1:$A$839,0)),"")))</f>
        <v>1.7664</v>
      </c>
      <c r="P375" s="195">
        <f>IF(IFERROR(INDEX('Both teabags AfterDry'!$D$1:$D$839,MATCH(I375,'Both teabags AfterDry'!$A$1:$A$839,0)),"")="N.A","",(IFERROR(INDEX('Both teabags AfterDry'!$D$1:$D$839,MATCH(I375,'Both teabags AfterDry'!$A$1:$A$839,0)),"")))</f>
        <v>2.0047999999999999</v>
      </c>
      <c r="Q375" s="195">
        <f t="shared" si="41"/>
        <v>1.6157999999999999</v>
      </c>
      <c r="R375" s="195">
        <f t="shared" si="41"/>
        <v>1.8541999999999998</v>
      </c>
      <c r="S375" s="195">
        <f t="shared" si="36"/>
        <v>5.3537956888472404E-2</v>
      </c>
      <c r="T375" s="195">
        <f t="shared" si="42"/>
        <v>3.5098518055150588E-2</v>
      </c>
      <c r="U375" s="195">
        <f t="shared" si="37"/>
        <v>0.96062584188167011</v>
      </c>
      <c r="V375">
        <f t="shared" si="38"/>
        <v>69</v>
      </c>
      <c r="W375" s="195">
        <f t="shared" si="43"/>
        <v>0.93641572816095908</v>
      </c>
      <c r="X375" s="195" t="str">
        <f t="shared" si="44"/>
        <v/>
      </c>
      <c r="Y375" s="255" t="str">
        <f>IF(ISNUMBER(SEARCH("C", 'Dry_Litterbag Placem_Collection'!V82)),"YES","NO")</f>
        <v>NO</v>
      </c>
      <c r="Z375" s="255" t="str">
        <f>IF(ISNUMBER(SEARCH("H", 'Dry_Litterbag Placem_Collection'!V82)),"YES","NO")</f>
        <v>NO</v>
      </c>
      <c r="AA375" s="255" t="str">
        <f>IF(ISNUMBER(SEARCH("R", 'Dry_Litterbag Placem_Collection'!V82)),"YES","NO")</f>
        <v>NO</v>
      </c>
      <c r="AB375" s="255" t="str">
        <f>IF(ISNUMBER(SEARCH("C", 'Dry_Litterbag Placem_Collection'!U82)),"YES","NO")</f>
        <v>NO</v>
      </c>
      <c r="AC375" s="255" t="str">
        <f>IF(ISNUMBER(SEARCH("H", 'Dry_Litterbag Placem_Collection'!U82)),"YES","NO")</f>
        <v>NO</v>
      </c>
      <c r="AD375" s="255" t="str">
        <f>IF(ISNUMBER(SEARCH("R", 'Dry_Litterbag Placem_Collection'!U82)),"YES","NO")</f>
        <v>NO</v>
      </c>
    </row>
    <row r="376" spans="2:30">
      <c r="B376" t="str">
        <f>'Final data_for_R_analysis_Dryse'!A522</f>
        <v>Dry</v>
      </c>
      <c r="C376" s="263">
        <f>'Final data_for_R_analysis_Dryse'!B522</f>
        <v>81</v>
      </c>
      <c r="D376" t="s">
        <v>3839</v>
      </c>
      <c r="E376" t="s">
        <v>25</v>
      </c>
      <c r="F376" s="386">
        <v>1</v>
      </c>
      <c r="G376" s="16">
        <f>'Dry_Litterbag Placem_Collection'!E83</f>
        <v>42937</v>
      </c>
      <c r="H376" s="92" t="str">
        <f>'Final data_for_R_analysis_Dryse'!J522</f>
        <v>G413</v>
      </c>
      <c r="I376" t="str">
        <f>'Final data_for_R_analysis_Dryse'!J742</f>
        <v>R366</v>
      </c>
      <c r="J376">
        <f>IFERROR(INDEX('Green_rooibos initial weight'!$C$5:$C$1749,MATCH(H376, 'Green_rooibos initial weight'!$A$5:$A$1749,0)),"")</f>
        <v>2.1589999999999998</v>
      </c>
      <c r="K376">
        <f>IFERROR(INDEX('Green_rooibos initial weight'!$C$5:$C$1749,MATCH(I376, 'Green_rooibos initial weight'!$A$5:$A$1749,0)),"")</f>
        <v>2.2330000000000001</v>
      </c>
      <c r="L376" s="195">
        <f t="shared" si="39"/>
        <v>1.9091999999999998</v>
      </c>
      <c r="M376" s="195">
        <f t="shared" si="40"/>
        <v>1.9832000000000001</v>
      </c>
      <c r="N376" s="16">
        <f>IF('Dry_Litterbag Placem_Collection'!G83="N.A","",'Dry_Litterbag Placem_Collection'!G83)</f>
        <v>43006</v>
      </c>
      <c r="O376" s="195">
        <f>IF(IFERROR(INDEX('Both teabags AfterDry'!$D$1:$D$839,MATCH(H376,'Both teabags AfterDry'!$A$1:$A$839,0)),"")="N.A","",(IFERROR(INDEX('Both teabags AfterDry'!$D$1:$D$839,MATCH(H376,'Both teabags AfterDry'!$A$1:$A$839,0)),"")))</f>
        <v>1.9466000000000001</v>
      </c>
      <c r="P376" s="195">
        <f>IF(IFERROR(INDEX('Both teabags AfterDry'!$D$1:$D$839,MATCH(I376,'Both teabags AfterDry'!$A$1:$A$839,0)),"")="N.A","",(IFERROR(INDEX('Both teabags AfterDry'!$D$1:$D$839,MATCH(I376,'Both teabags AfterDry'!$A$1:$A$839,0)),"")))</f>
        <v>1.9832000000000001</v>
      </c>
      <c r="Q376" s="195">
        <f t="shared" si="41"/>
        <v>1.796</v>
      </c>
      <c r="R376" s="195">
        <f t="shared" si="41"/>
        <v>1.8326</v>
      </c>
      <c r="S376" s="195">
        <f t="shared" si="36"/>
        <v>5.9291849989524303E-2</v>
      </c>
      <c r="T376" s="195">
        <f t="shared" si="42"/>
        <v>3.8870666501445862E-2</v>
      </c>
      <c r="U376" s="195">
        <f t="shared" si="37"/>
        <v>0.92406212182331582</v>
      </c>
      <c r="V376">
        <f t="shared" si="38"/>
        <v>69</v>
      </c>
      <c r="W376" s="195">
        <f t="shared" si="43"/>
        <v>0.92958212590317779</v>
      </c>
      <c r="X376" s="195" t="str">
        <f t="shared" si="44"/>
        <v/>
      </c>
      <c r="Y376" s="255" t="str">
        <f>IF(ISNUMBER(SEARCH("C", 'Dry_Litterbag Placem_Collection'!V83)),"YES","NO")</f>
        <v>NO</v>
      </c>
      <c r="Z376" s="255" t="str">
        <f>IF(ISNUMBER(SEARCH("H", 'Dry_Litterbag Placem_Collection'!V83)),"YES","NO")</f>
        <v>NO</v>
      </c>
      <c r="AA376" s="255" t="str">
        <f>IF(ISNUMBER(SEARCH("R", 'Dry_Litterbag Placem_Collection'!V83)),"YES","NO")</f>
        <v>NO</v>
      </c>
      <c r="AB376" s="255" t="str">
        <f>IF(ISNUMBER(SEARCH("C", 'Dry_Litterbag Placem_Collection'!U83)),"YES","NO")</f>
        <v>NO</v>
      </c>
      <c r="AC376" s="255" t="str">
        <f>IF(ISNUMBER(SEARCH("H", 'Dry_Litterbag Placem_Collection'!U83)),"YES","NO")</f>
        <v>NO</v>
      </c>
      <c r="AD376" s="255" t="str">
        <f>IF(ISNUMBER(SEARCH("R", 'Dry_Litterbag Placem_Collection'!U83)),"YES","NO")</f>
        <v>NO</v>
      </c>
    </row>
    <row r="377" spans="2:30">
      <c r="B377" t="str">
        <f>'Final data_for_R_analysis_Dryse'!A523</f>
        <v>Dry</v>
      </c>
      <c r="C377" s="263">
        <f>'Final data_for_R_analysis_Dryse'!B523</f>
        <v>82</v>
      </c>
      <c r="D377" t="s">
        <v>3839</v>
      </c>
      <c r="E377" t="s">
        <v>25</v>
      </c>
      <c r="F377" s="386">
        <v>2</v>
      </c>
      <c r="G377" s="16">
        <f>'Dry_Litterbag Placem_Collection'!E84</f>
        <v>42937</v>
      </c>
      <c r="H377" s="92" t="str">
        <f>'Final data_for_R_analysis_Dryse'!J523</f>
        <v>G370</v>
      </c>
      <c r="I377" t="str">
        <f>'Final data_for_R_analysis_Dryse'!J743</f>
        <v>R610</v>
      </c>
      <c r="J377">
        <f>IFERROR(INDEX('Green_rooibos initial weight'!$C$5:$C$1749,MATCH(H377, 'Green_rooibos initial weight'!$A$5:$A$1749,0)),"")</f>
        <v>2.0619999999999998</v>
      </c>
      <c r="K377">
        <f>IFERROR(INDEX('Green_rooibos initial weight'!$C$5:$C$1749,MATCH(I377, 'Green_rooibos initial weight'!$A$5:$A$1749,0)),"")</f>
        <v>2.1230000000000002</v>
      </c>
      <c r="L377" s="195">
        <f t="shared" si="39"/>
        <v>1.8121999999999998</v>
      </c>
      <c r="M377" s="195">
        <f t="shared" si="40"/>
        <v>1.8732000000000002</v>
      </c>
      <c r="N377" s="16">
        <f>IF('Dry_Litterbag Placem_Collection'!G84="N.A","",'Dry_Litterbag Placem_Collection'!G84)</f>
        <v>43006</v>
      </c>
      <c r="O377" s="195">
        <f>IF(IFERROR(INDEX('Both teabags AfterDry'!$D$1:$D$839,MATCH(H377,'Both teabags AfterDry'!$A$1:$A$839,0)),"")="N.A","",(IFERROR(INDEX('Both teabags AfterDry'!$D$1:$D$839,MATCH(H377,'Both teabags AfterDry'!$A$1:$A$839,0)),"")))</f>
        <v>1.8433999999999999</v>
      </c>
      <c r="P377" s="195">
        <f>IF(IFERROR(INDEX('Both teabags AfterDry'!$D$1:$D$839,MATCH(I377,'Both teabags AfterDry'!$A$1:$A$839,0)),"")="N.A","",(IFERROR(INDEX('Both teabags AfterDry'!$D$1:$D$839,MATCH(I377,'Both teabags AfterDry'!$A$1:$A$839,0)),"")))</f>
        <v>1.9097999999999999</v>
      </c>
      <c r="Q377" s="195">
        <f t="shared" si="41"/>
        <v>1.6927999999999999</v>
      </c>
      <c r="R377" s="195">
        <f t="shared" si="41"/>
        <v>1.7591999999999999</v>
      </c>
      <c r="S377" s="195">
        <f t="shared" si="36"/>
        <v>6.5886767464959695E-2</v>
      </c>
      <c r="T377" s="195">
        <f t="shared" si="42"/>
        <v>4.3194175345199232E-2</v>
      </c>
      <c r="U377" s="195">
        <f t="shared" si="37"/>
        <v>0.93914157591287617</v>
      </c>
      <c r="V377">
        <f t="shared" si="38"/>
        <v>69</v>
      </c>
      <c r="W377" s="195">
        <f t="shared" si="43"/>
        <v>0.92174968234565358</v>
      </c>
      <c r="X377" s="195" t="str">
        <f t="shared" si="44"/>
        <v/>
      </c>
      <c r="Y377" s="255" t="str">
        <f>IF(ISNUMBER(SEARCH("C", 'Dry_Litterbag Placem_Collection'!V84)),"YES","NO")</f>
        <v>NO</v>
      </c>
      <c r="Z377" s="255" t="str">
        <f>IF(ISNUMBER(SEARCH("H", 'Dry_Litterbag Placem_Collection'!V84)),"YES","NO")</f>
        <v>NO</v>
      </c>
      <c r="AA377" s="255" t="str">
        <f>IF(ISNUMBER(SEARCH("R", 'Dry_Litterbag Placem_Collection'!V84)),"YES","NO")</f>
        <v>NO</v>
      </c>
      <c r="AB377" s="255" t="str">
        <f>IF(ISNUMBER(SEARCH("C", 'Dry_Litterbag Placem_Collection'!U84)),"YES","NO")</f>
        <v>NO</v>
      </c>
      <c r="AC377" s="255" t="str">
        <f>IF(ISNUMBER(SEARCH("H", 'Dry_Litterbag Placem_Collection'!U84)),"YES","NO")</f>
        <v>NO</v>
      </c>
      <c r="AD377" s="255" t="str">
        <f>IF(ISNUMBER(SEARCH("R", 'Dry_Litterbag Placem_Collection'!U84)),"YES","NO")</f>
        <v>NO</v>
      </c>
    </row>
    <row r="378" spans="2:30">
      <c r="B378" t="str">
        <f>'Final data_for_R_analysis_Dryse'!A524</f>
        <v>Dry</v>
      </c>
      <c r="C378" s="263">
        <f>'Final data_for_R_analysis_Dryse'!B524</f>
        <v>83</v>
      </c>
      <c r="D378" t="s">
        <v>3839</v>
      </c>
      <c r="E378" t="s">
        <v>25</v>
      </c>
      <c r="F378" s="386">
        <v>3</v>
      </c>
      <c r="G378" s="16">
        <f>'Dry_Litterbag Placem_Collection'!E85</f>
        <v>42937</v>
      </c>
      <c r="H378" s="92" t="str">
        <f>'Final data_for_R_analysis_Dryse'!J524</f>
        <v>G879</v>
      </c>
      <c r="I378" t="str">
        <f>'Final data_for_R_analysis_Dryse'!J744</f>
        <v>R614</v>
      </c>
      <c r="J378">
        <f>IFERROR(INDEX('Green_rooibos initial weight'!$C$5:$C$1749,MATCH(H378, 'Green_rooibos initial weight'!$A$5:$A$1749,0)),"")</f>
        <v>2.09</v>
      </c>
      <c r="K378">
        <f>IFERROR(INDEX('Green_rooibos initial weight'!$C$5:$C$1749,MATCH(I378, 'Green_rooibos initial weight'!$A$5:$A$1749,0)),"")</f>
        <v>2.1459999999999999</v>
      </c>
      <c r="L378" s="195">
        <f t="shared" si="39"/>
        <v>1.8401999999999998</v>
      </c>
      <c r="M378" s="195">
        <f t="shared" si="40"/>
        <v>1.8961999999999999</v>
      </c>
      <c r="N378" s="16">
        <f>IF('Dry_Litterbag Placem_Collection'!G85="N.A","",'Dry_Litterbag Placem_Collection'!G85)</f>
        <v>43006</v>
      </c>
      <c r="O378" s="195">
        <f>IF(IFERROR(INDEX('Both teabags AfterDry'!$D$1:$D$839,MATCH(H378,'Both teabags AfterDry'!$A$1:$A$839,0)),"")="N.A","",(IFERROR(INDEX('Both teabags AfterDry'!$D$1:$D$839,MATCH(H378,'Both teabags AfterDry'!$A$1:$A$839,0)),"")))</f>
        <v>1.8814</v>
      </c>
      <c r="P378" s="195">
        <f>IF(IFERROR(INDEX('Both teabags AfterDry'!$D$1:$D$839,MATCH(I378,'Both teabags AfterDry'!$A$1:$A$839,0)),"")="N.A","",(IFERROR(INDEX('Both teabags AfterDry'!$D$1:$D$839,MATCH(I378,'Both teabags AfterDry'!$A$1:$A$839,0)),"")))</f>
        <v>1.9262999999999999</v>
      </c>
      <c r="Q378" s="195">
        <f t="shared" si="41"/>
        <v>1.7307999999999999</v>
      </c>
      <c r="R378" s="195">
        <f t="shared" si="41"/>
        <v>1.7756999999999998</v>
      </c>
      <c r="S378" s="195">
        <f t="shared" si="36"/>
        <v>5.9450059776111286E-2</v>
      </c>
      <c r="T378" s="195">
        <f t="shared" si="42"/>
        <v>3.8974385981488634E-2</v>
      </c>
      <c r="U378" s="195">
        <f t="shared" si="37"/>
        <v>0.93645185107056217</v>
      </c>
      <c r="V378">
        <f t="shared" si="38"/>
        <v>69</v>
      </c>
      <c r="W378" s="195">
        <f t="shared" si="43"/>
        <v>0.92939422829440466</v>
      </c>
      <c r="X378" s="195" t="str">
        <f t="shared" si="44"/>
        <v/>
      </c>
      <c r="Y378" s="255" t="str">
        <f>IF(ISNUMBER(SEARCH("C", 'Dry_Litterbag Placem_Collection'!V85)),"YES","NO")</f>
        <v>NO</v>
      </c>
      <c r="Z378" s="255" t="str">
        <f>IF(ISNUMBER(SEARCH("H", 'Dry_Litterbag Placem_Collection'!V85)),"YES","NO")</f>
        <v>NO</v>
      </c>
      <c r="AA378" s="255" t="str">
        <f>IF(ISNUMBER(SEARCH("R", 'Dry_Litterbag Placem_Collection'!V85)),"YES","NO")</f>
        <v>NO</v>
      </c>
      <c r="AB378" s="255" t="str">
        <f>IF(ISNUMBER(SEARCH("C", 'Dry_Litterbag Placem_Collection'!U85)),"YES","NO")</f>
        <v>NO</v>
      </c>
      <c r="AC378" s="255" t="str">
        <f>IF(ISNUMBER(SEARCH("H", 'Dry_Litterbag Placem_Collection'!U85)),"YES","NO")</f>
        <v>NO</v>
      </c>
      <c r="AD378" s="255" t="str">
        <f>IF(ISNUMBER(SEARCH("R", 'Dry_Litterbag Placem_Collection'!U85)),"YES","NO")</f>
        <v>NO</v>
      </c>
    </row>
    <row r="379" spans="2:30">
      <c r="B379" t="str">
        <f>'Final data_for_R_analysis_Dryse'!A525</f>
        <v>Dry</v>
      </c>
      <c r="C379" s="263">
        <f>'Final data_for_R_analysis_Dryse'!B525</f>
        <v>84</v>
      </c>
      <c r="D379" t="s">
        <v>3839</v>
      </c>
      <c r="E379" t="s">
        <v>25</v>
      </c>
      <c r="F379" s="387">
        <v>4</v>
      </c>
      <c r="G379" s="16">
        <f>'Dry_Litterbag Placem_Collection'!E86</f>
        <v>42937</v>
      </c>
      <c r="H379" s="92" t="str">
        <f>'Final data_for_R_analysis_Dryse'!J525</f>
        <v>G854</v>
      </c>
      <c r="I379" t="str">
        <f>'Final data_for_R_analysis_Dryse'!J745</f>
        <v>R720</v>
      </c>
      <c r="J379">
        <f>IFERROR(INDEX('Green_rooibos initial weight'!$C$5:$C$1749,MATCH(H379, 'Green_rooibos initial weight'!$A$5:$A$1749,0)),"")</f>
        <v>1.998</v>
      </c>
      <c r="K379">
        <f>IFERROR(INDEX('Green_rooibos initial weight'!$C$5:$C$1749,MATCH(I379, 'Green_rooibos initial weight'!$A$5:$A$1749,0)),"")</f>
        <v>2.2080000000000002</v>
      </c>
      <c r="L379" s="195">
        <f t="shared" si="39"/>
        <v>1.7482</v>
      </c>
      <c r="M379" s="195">
        <f t="shared" si="40"/>
        <v>1.9582000000000002</v>
      </c>
      <c r="N379" s="16">
        <f>IF('Dry_Litterbag Placem_Collection'!G86="N.A","",'Dry_Litterbag Placem_Collection'!G86)</f>
        <v>43006</v>
      </c>
      <c r="O379" s="195">
        <f>IF(IFERROR(INDEX('Both teabags AfterDry'!$D$1:$D$839,MATCH(H379,'Both teabags AfterDry'!$A$1:$A$839,0)),"")="N.A","",(IFERROR(INDEX('Both teabags AfterDry'!$D$1:$D$839,MATCH(H379,'Both teabags AfterDry'!$A$1:$A$839,0)),"")))</f>
        <v>1.8062</v>
      </c>
      <c r="P379" s="195">
        <f>IF(IFERROR(INDEX('Both teabags AfterDry'!$D$1:$D$839,MATCH(I379,'Both teabags AfterDry'!$A$1:$A$839,0)),"")="N.A","",(IFERROR(INDEX('Both teabags AfterDry'!$D$1:$D$839,MATCH(I379,'Both teabags AfterDry'!$A$1:$A$839,0)),"")))</f>
        <v>1.9978</v>
      </c>
      <c r="Q379" s="195">
        <f t="shared" si="41"/>
        <v>1.6556</v>
      </c>
      <c r="R379" s="195">
        <f t="shared" si="41"/>
        <v>1.8472</v>
      </c>
      <c r="S379" s="195">
        <f t="shared" si="36"/>
        <v>5.2968767875529177E-2</v>
      </c>
      <c r="T379" s="195">
        <f t="shared" si="42"/>
        <v>3.472536801341107E-2</v>
      </c>
      <c r="U379" s="195">
        <f t="shared" si="37"/>
        <v>0.94331528955162891</v>
      </c>
      <c r="V379">
        <f t="shared" si="38"/>
        <v>69</v>
      </c>
      <c r="W379" s="195">
        <f t="shared" si="43"/>
        <v>0.93709172461338575</v>
      </c>
      <c r="X379" s="195" t="str">
        <f t="shared" si="44"/>
        <v/>
      </c>
      <c r="Y379" s="255" t="str">
        <f>IF(ISNUMBER(SEARCH("C", 'Dry_Litterbag Placem_Collection'!V86)),"YES","NO")</f>
        <v>NO</v>
      </c>
      <c r="Z379" s="255" t="str">
        <f>IF(ISNUMBER(SEARCH("H", 'Dry_Litterbag Placem_Collection'!V86)),"YES","NO")</f>
        <v>NO</v>
      </c>
      <c r="AA379" s="255" t="str">
        <f>IF(ISNUMBER(SEARCH("R", 'Dry_Litterbag Placem_Collection'!V86)),"YES","NO")</f>
        <v>NO</v>
      </c>
      <c r="AB379" s="255" t="str">
        <f>IF(ISNUMBER(SEARCH("C", 'Dry_Litterbag Placem_Collection'!U86)),"YES","NO")</f>
        <v>NO</v>
      </c>
      <c r="AC379" s="255" t="str">
        <f>IF(ISNUMBER(SEARCH("H", 'Dry_Litterbag Placem_Collection'!U86)),"YES","NO")</f>
        <v>NO</v>
      </c>
      <c r="AD379" s="255" t="str">
        <f>IF(ISNUMBER(SEARCH("R", 'Dry_Litterbag Placem_Collection'!U86)),"YES","NO")</f>
        <v>NO</v>
      </c>
    </row>
    <row r="380" spans="2:30">
      <c r="B380" t="str">
        <f>'Final data_for_R_analysis_Dryse'!A526</f>
        <v>Dry</v>
      </c>
      <c r="C380" s="263">
        <f>'Final data_for_R_analysis_Dryse'!B526</f>
        <v>85</v>
      </c>
      <c r="D380" t="s">
        <v>3839</v>
      </c>
      <c r="E380" t="s">
        <v>25</v>
      </c>
      <c r="F380" s="387">
        <v>5</v>
      </c>
      <c r="G380" s="16">
        <f>'Dry_Litterbag Placem_Collection'!E87</f>
        <v>0</v>
      </c>
      <c r="H380" s="92" t="str">
        <f>'Final data_for_R_analysis_Dryse'!J526</f>
        <v/>
      </c>
      <c r="I380" t="str">
        <f>'Final data_for_R_analysis_Dryse'!J746</f>
        <v/>
      </c>
      <c r="J380" t="str">
        <f>IFERROR(INDEX('Green_rooibos initial weight'!$C$5:$C$1749,MATCH(H380, 'Green_rooibos initial weight'!$A$5:$A$1749,0)),"")</f>
        <v/>
      </c>
      <c r="K380" t="str">
        <f>IFERROR(INDEX('Green_rooibos initial weight'!$C$5:$C$1749,MATCH(I380, 'Green_rooibos initial weight'!$A$5:$A$1749,0)),"")</f>
        <v/>
      </c>
      <c r="L380" s="195" t="str">
        <f t="shared" si="39"/>
        <v/>
      </c>
      <c r="M380" s="195" t="str">
        <f t="shared" si="40"/>
        <v/>
      </c>
      <c r="N380" s="16">
        <f>IF('Dry_Litterbag Placem_Collection'!G87="N.A","",'Dry_Litterbag Placem_Collection'!G87)</f>
        <v>0</v>
      </c>
      <c r="O380" s="195" t="str">
        <f>IF(IFERROR(INDEX('Both teabags AfterDry'!$D$1:$D$839,MATCH(H380,'Both teabags AfterDry'!$A$1:$A$839,0)),"")="N.A","",(IFERROR(INDEX('Both teabags AfterDry'!$D$1:$D$839,MATCH(H380,'Both teabags AfterDry'!$A$1:$A$839,0)),"")))</f>
        <v/>
      </c>
      <c r="P380" s="195" t="str">
        <f>IF(IFERROR(INDEX('Both teabags AfterDry'!$D$1:$D$839,MATCH(I380,'Both teabags AfterDry'!$A$1:$A$839,0)),"")="N.A","",(IFERROR(INDEX('Both teabags AfterDry'!$D$1:$D$839,MATCH(I380,'Both teabags AfterDry'!$A$1:$A$839,0)),"")))</f>
        <v/>
      </c>
      <c r="Q380" s="195" t="str">
        <f t="shared" si="41"/>
        <v/>
      </c>
      <c r="R380" s="195" t="str">
        <f t="shared" si="41"/>
        <v/>
      </c>
      <c r="S380" s="195" t="str">
        <f t="shared" si="36"/>
        <v/>
      </c>
      <c r="T380" s="195" t="str">
        <f t="shared" si="42"/>
        <v/>
      </c>
      <c r="U380" s="195" t="str">
        <f t="shared" si="37"/>
        <v/>
      </c>
      <c r="V380" t="str">
        <f t="shared" si="38"/>
        <v/>
      </c>
      <c r="W380" s="195" t="str">
        <f t="shared" si="43"/>
        <v/>
      </c>
      <c r="X380" s="195" t="str">
        <f t="shared" si="44"/>
        <v/>
      </c>
      <c r="Y380" s="255" t="str">
        <f>IF(ISNUMBER(SEARCH("C", 'Dry_Litterbag Placem_Collection'!V87)),"YES","NO")</f>
        <v>NO</v>
      </c>
      <c r="Z380" s="255" t="str">
        <f>IF(ISNUMBER(SEARCH("H", 'Dry_Litterbag Placem_Collection'!V87)),"YES","NO")</f>
        <v>NO</v>
      </c>
      <c r="AA380" s="255" t="str">
        <f>IF(ISNUMBER(SEARCH("R", 'Dry_Litterbag Placem_Collection'!V87)),"YES","NO")</f>
        <v>NO</v>
      </c>
      <c r="AB380" s="255" t="str">
        <f>IF(ISNUMBER(SEARCH("C", 'Dry_Litterbag Placem_Collection'!U87)),"YES","NO")</f>
        <v>NO</v>
      </c>
      <c r="AC380" s="255" t="str">
        <f>IF(ISNUMBER(SEARCH("H", 'Dry_Litterbag Placem_Collection'!U87)),"YES","NO")</f>
        <v>NO</v>
      </c>
      <c r="AD380" s="255" t="str">
        <f>IF(ISNUMBER(SEARCH("R", 'Dry_Litterbag Placem_Collection'!U87)),"YES","NO")</f>
        <v>NO</v>
      </c>
    </row>
    <row r="381" spans="2:30">
      <c r="B381" t="str">
        <f>'Final data_for_R_analysis_Dryse'!A527</f>
        <v>Dry</v>
      </c>
      <c r="C381" s="263">
        <f>'Final data_for_R_analysis_Dryse'!B527</f>
        <v>86</v>
      </c>
      <c r="D381" t="s">
        <v>3839</v>
      </c>
      <c r="E381" t="s">
        <v>25</v>
      </c>
      <c r="F381" s="387">
        <v>6</v>
      </c>
      <c r="G381" s="16">
        <f>'Dry_Litterbag Placem_Collection'!E88</f>
        <v>42937</v>
      </c>
      <c r="H381" s="92" t="str">
        <f>'Final data_for_R_analysis_Dryse'!J527</f>
        <v>G788</v>
      </c>
      <c r="I381" t="str">
        <f>'Final data_for_R_analysis_Dryse'!J747</f>
        <v>R643</v>
      </c>
      <c r="J381">
        <f>IFERROR(INDEX('Green_rooibos initial weight'!$C$5:$C$1749,MATCH(H381, 'Green_rooibos initial weight'!$A$5:$A$1749,0)),"")</f>
        <v>2.0699999999999998</v>
      </c>
      <c r="K381">
        <f>IFERROR(INDEX('Green_rooibos initial weight'!$C$5:$C$1749,MATCH(I381, 'Green_rooibos initial weight'!$A$5:$A$1749,0)),"")</f>
        <v>2.1930000000000001</v>
      </c>
      <c r="L381" s="195">
        <f t="shared" si="39"/>
        <v>1.8201999999999998</v>
      </c>
      <c r="M381" s="195">
        <f t="shared" si="40"/>
        <v>1.9432</v>
      </c>
      <c r="N381" s="16">
        <f>IF('Dry_Litterbag Placem_Collection'!G88="N.A","",'Dry_Litterbag Placem_Collection'!G88)</f>
        <v>43006</v>
      </c>
      <c r="O381" s="195" t="str">
        <f>IF(IFERROR(INDEX('Both teabags AfterDry'!$D$1:$D$839,MATCH(H381,'Both teabags AfterDry'!$A$1:$A$839,0)),"")="N.A","",(IFERROR(INDEX('Both teabags AfterDry'!$D$1:$D$839,MATCH(H381,'Both teabags AfterDry'!$A$1:$A$839,0)),"")))</f>
        <v/>
      </c>
      <c r="P381" s="195" t="str">
        <f>IF(IFERROR(INDEX('Both teabags AfterDry'!$D$1:$D$839,MATCH(I381,'Both teabags AfterDry'!$A$1:$A$839,0)),"")="N.A","",(IFERROR(INDEX('Both teabags AfterDry'!$D$1:$D$839,MATCH(I381,'Both teabags AfterDry'!$A$1:$A$839,0)),"")))</f>
        <v/>
      </c>
      <c r="Q381" s="195" t="str">
        <f t="shared" si="41"/>
        <v/>
      </c>
      <c r="R381" s="195" t="str">
        <f t="shared" si="41"/>
        <v/>
      </c>
      <c r="S381" s="195" t="str">
        <f t="shared" si="36"/>
        <v/>
      </c>
      <c r="T381" s="195" t="str">
        <f t="shared" si="42"/>
        <v/>
      </c>
      <c r="U381" s="195" t="str">
        <f t="shared" si="37"/>
        <v/>
      </c>
      <c r="V381">
        <f t="shared" si="38"/>
        <v>69</v>
      </c>
      <c r="W381" s="195" t="str">
        <f t="shared" si="43"/>
        <v/>
      </c>
      <c r="X381" s="195" t="str">
        <f t="shared" si="44"/>
        <v/>
      </c>
      <c r="Y381" s="255" t="str">
        <f>IF(ISNUMBER(SEARCH("C", 'Dry_Litterbag Placem_Collection'!V88)),"YES","NO")</f>
        <v>NO</v>
      </c>
      <c r="Z381" s="255" t="str">
        <f>IF(ISNUMBER(SEARCH("H", 'Dry_Litterbag Placem_Collection'!V88)),"YES","NO")</f>
        <v>NO</v>
      </c>
      <c r="AA381" s="255" t="str">
        <f>IF(ISNUMBER(SEARCH("R", 'Dry_Litterbag Placem_Collection'!V88)),"YES","NO")</f>
        <v>NO</v>
      </c>
      <c r="AB381" s="255" t="str">
        <f>IF(ISNUMBER(SEARCH("C", 'Dry_Litterbag Placem_Collection'!U88)),"YES","NO")</f>
        <v>NO</v>
      </c>
      <c r="AC381" s="255" t="str">
        <f>IF(ISNUMBER(SEARCH("H", 'Dry_Litterbag Placem_Collection'!U88)),"YES","NO")</f>
        <v>NO</v>
      </c>
      <c r="AD381" s="255" t="str">
        <f>IF(ISNUMBER(SEARCH("R", 'Dry_Litterbag Placem_Collection'!U88)),"YES","NO")</f>
        <v>NO</v>
      </c>
    </row>
    <row r="382" spans="2:30">
      <c r="B382" t="str">
        <f>'Final data_for_R_analysis_Dryse'!A528</f>
        <v>Dry</v>
      </c>
      <c r="C382" s="263">
        <f>'Final data_for_R_analysis_Dryse'!B528</f>
        <v>87</v>
      </c>
      <c r="D382" t="s">
        <v>3839</v>
      </c>
      <c r="E382" t="s">
        <v>25</v>
      </c>
      <c r="F382" s="387">
        <v>7</v>
      </c>
      <c r="G382" s="16">
        <f>'Dry_Litterbag Placem_Collection'!E89</f>
        <v>42937</v>
      </c>
      <c r="H382" s="92" t="str">
        <f>'Final data_for_R_analysis_Dryse'!J528</f>
        <v>G91</v>
      </c>
      <c r="I382" t="str">
        <f>'Final data_for_R_analysis_Dryse'!J748</f>
        <v>R277</v>
      </c>
      <c r="J382">
        <f>IFERROR(INDEX('Green_rooibos initial weight'!$C$5:$C$1749,MATCH(H382, 'Green_rooibos initial weight'!$A$5:$A$1749,0)),"")</f>
        <v>2.044</v>
      </c>
      <c r="K382">
        <f>IFERROR(INDEX('Green_rooibos initial weight'!$C$5:$C$1749,MATCH(I382, 'Green_rooibos initial weight'!$A$5:$A$1749,0)),"")</f>
        <v>2.1949999999999998</v>
      </c>
      <c r="L382" s="195">
        <f t="shared" si="39"/>
        <v>1.7942</v>
      </c>
      <c r="M382" s="195">
        <f t="shared" si="40"/>
        <v>1.9451999999999998</v>
      </c>
      <c r="N382" s="16">
        <f>IF('Dry_Litterbag Placem_Collection'!G89="N.A","",'Dry_Litterbag Placem_Collection'!G89)</f>
        <v>43006</v>
      </c>
      <c r="O382" s="195">
        <f>IF(IFERROR(INDEX('Both teabags AfterDry'!$D$1:$D$839,MATCH(H382,'Both teabags AfterDry'!$A$1:$A$839,0)),"")="N.A","",(IFERROR(INDEX('Both teabags AfterDry'!$D$1:$D$839,MATCH(H382,'Both teabags AfterDry'!$A$1:$A$839,0)),"")))</f>
        <v>1.8609</v>
      </c>
      <c r="P382" s="195">
        <f>IF(IFERROR(INDEX('Both teabags AfterDry'!$D$1:$D$839,MATCH(I382,'Both teabags AfterDry'!$A$1:$A$839,0)),"")="N.A","",(IFERROR(INDEX('Both teabags AfterDry'!$D$1:$D$839,MATCH(I382,'Both teabags AfterDry'!$A$1:$A$839,0)),"")))</f>
        <v>1.9473</v>
      </c>
      <c r="Q382" s="195">
        <f t="shared" si="41"/>
        <v>1.7102999999999999</v>
      </c>
      <c r="R382" s="195">
        <f t="shared" si="41"/>
        <v>1.7967</v>
      </c>
      <c r="S382" s="195">
        <f t="shared" si="36"/>
        <v>4.676178798350239E-2</v>
      </c>
      <c r="T382" s="195">
        <f t="shared" si="42"/>
        <v>3.0656184046191616E-2</v>
      </c>
      <c r="U382" s="195">
        <f t="shared" si="37"/>
        <v>0.92365823565700189</v>
      </c>
      <c r="V382">
        <f t="shared" si="38"/>
        <v>69</v>
      </c>
      <c r="W382" s="195">
        <f t="shared" si="43"/>
        <v>0.94446343469892824</v>
      </c>
      <c r="X382" s="195" t="str">
        <f t="shared" si="44"/>
        <v/>
      </c>
      <c r="Y382" s="255" t="str">
        <f>IF(ISNUMBER(SEARCH("C", 'Dry_Litterbag Placem_Collection'!V89)),"YES","NO")</f>
        <v>NO</v>
      </c>
      <c r="Z382" s="255" t="str">
        <f>IF(ISNUMBER(SEARCH("H", 'Dry_Litterbag Placem_Collection'!V89)),"YES","NO")</f>
        <v>NO</v>
      </c>
      <c r="AA382" s="255" t="str">
        <f>IF(ISNUMBER(SEARCH("R", 'Dry_Litterbag Placem_Collection'!V89)),"YES","NO")</f>
        <v>NO</v>
      </c>
      <c r="AB382" s="255" t="str">
        <f>IF(ISNUMBER(SEARCH("C", 'Dry_Litterbag Placem_Collection'!U89)),"YES","NO")</f>
        <v>NO</v>
      </c>
      <c r="AC382" s="255" t="str">
        <f>IF(ISNUMBER(SEARCH("H", 'Dry_Litterbag Placem_Collection'!U89)),"YES","NO")</f>
        <v>NO</v>
      </c>
      <c r="AD382" s="255" t="str">
        <f>IF(ISNUMBER(SEARCH("R", 'Dry_Litterbag Placem_Collection'!U89)),"YES","NO")</f>
        <v>NO</v>
      </c>
    </row>
    <row r="383" spans="2:30">
      <c r="B383" t="str">
        <f>'Final data_for_R_analysis_Dryse'!A529</f>
        <v>Dry</v>
      </c>
      <c r="C383" s="263">
        <f>'Final data_for_R_analysis_Dryse'!B529</f>
        <v>88</v>
      </c>
      <c r="D383" t="s">
        <v>3839</v>
      </c>
      <c r="E383" t="s">
        <v>25</v>
      </c>
      <c r="F383" s="387">
        <v>8</v>
      </c>
      <c r="G383" s="16">
        <f>'Dry_Litterbag Placem_Collection'!E90</f>
        <v>42937</v>
      </c>
      <c r="H383" s="92" t="str">
        <f>'Final data_for_R_analysis_Dryse'!J529</f>
        <v>G364</v>
      </c>
      <c r="I383" t="str">
        <f>'Final data_for_R_analysis_Dryse'!J749</f>
        <v>R197</v>
      </c>
      <c r="J383">
        <f>IFERROR(INDEX('Green_rooibos initial weight'!$C$5:$C$1749,MATCH(H383, 'Green_rooibos initial weight'!$A$5:$A$1749,0)),"")</f>
        <v>2.0569999999999999</v>
      </c>
      <c r="K383">
        <f>IFERROR(INDEX('Green_rooibos initial weight'!$C$5:$C$1749,MATCH(I383, 'Green_rooibos initial weight'!$A$5:$A$1749,0)),"")</f>
        <v>2.2330000000000001</v>
      </c>
      <c r="L383" s="195">
        <f t="shared" si="39"/>
        <v>1.8071999999999999</v>
      </c>
      <c r="M383" s="195">
        <f t="shared" si="40"/>
        <v>1.9832000000000001</v>
      </c>
      <c r="N383" s="16">
        <f>IF('Dry_Litterbag Placem_Collection'!G90="N.A","",'Dry_Litterbag Placem_Collection'!G90)</f>
        <v>43006</v>
      </c>
      <c r="O383" s="195">
        <f>IF(IFERROR(INDEX('Both teabags AfterDry'!$D$1:$D$839,MATCH(H383,'Both teabags AfterDry'!$A$1:$A$839,0)),"")="N.A","",(IFERROR(INDEX('Both teabags AfterDry'!$D$1:$D$839,MATCH(H383,'Both teabags AfterDry'!$A$1:$A$839,0)),"")))</f>
        <v>1.8589</v>
      </c>
      <c r="P383" s="195">
        <f>IF(IFERROR(INDEX('Both teabags AfterDry'!$D$1:$D$839,MATCH(I383,'Both teabags AfterDry'!$A$1:$A$839,0)),"")="N.A","",(IFERROR(INDEX('Both teabags AfterDry'!$D$1:$D$839,MATCH(I383,'Both teabags AfterDry'!$A$1:$A$839,0)),"")))</f>
        <v>1.9945999999999999</v>
      </c>
      <c r="Q383" s="195">
        <f t="shared" si="41"/>
        <v>1.7082999999999999</v>
      </c>
      <c r="R383" s="195">
        <f t="shared" si="41"/>
        <v>1.8439999999999999</v>
      </c>
      <c r="S383" s="195">
        <f t="shared" si="36"/>
        <v>5.4725542275343098E-2</v>
      </c>
      <c r="T383" s="195">
        <f t="shared" si="42"/>
        <v>3.587707759618694E-2</v>
      </c>
      <c r="U383" s="195">
        <f t="shared" si="37"/>
        <v>0.92981040742234766</v>
      </c>
      <c r="V383">
        <f t="shared" si="38"/>
        <v>69</v>
      </c>
      <c r="W383" s="195">
        <f t="shared" si="43"/>
        <v>0.93500529420980627</v>
      </c>
      <c r="X383" s="195" t="str">
        <f t="shared" si="44"/>
        <v/>
      </c>
      <c r="Y383" s="255" t="str">
        <f>IF(ISNUMBER(SEARCH("C", 'Dry_Litterbag Placem_Collection'!V90)),"YES","NO")</f>
        <v>NO</v>
      </c>
      <c r="Z383" s="255" t="str">
        <f>IF(ISNUMBER(SEARCH("H", 'Dry_Litterbag Placem_Collection'!V90)),"YES","NO")</f>
        <v>NO</v>
      </c>
      <c r="AA383" s="255" t="str">
        <f>IF(ISNUMBER(SEARCH("R", 'Dry_Litterbag Placem_Collection'!V90)),"YES","NO")</f>
        <v>NO</v>
      </c>
      <c r="AB383" s="255" t="str">
        <f>IF(ISNUMBER(SEARCH("C", 'Dry_Litterbag Placem_Collection'!U90)),"YES","NO")</f>
        <v>NO</v>
      </c>
      <c r="AC383" s="255" t="str">
        <f>IF(ISNUMBER(SEARCH("H", 'Dry_Litterbag Placem_Collection'!U90)),"YES","NO")</f>
        <v>NO</v>
      </c>
      <c r="AD383" s="255" t="str">
        <f>IF(ISNUMBER(SEARCH("R", 'Dry_Litterbag Placem_Collection'!U90)),"YES","NO")</f>
        <v>NO</v>
      </c>
    </row>
    <row r="384" spans="2:30">
      <c r="B384" t="str">
        <f>'Final data_for_R_analysis_Dryse'!A530</f>
        <v>Dry</v>
      </c>
      <c r="C384" s="263">
        <f>'Final data_for_R_analysis_Dryse'!B530</f>
        <v>89</v>
      </c>
      <c r="D384" t="s">
        <v>3840</v>
      </c>
      <c r="E384" t="s">
        <v>25</v>
      </c>
      <c r="F384" s="386">
        <v>1</v>
      </c>
      <c r="G384" s="16">
        <f>'Dry_Litterbag Placem_Collection'!E91</f>
        <v>42937</v>
      </c>
      <c r="H384" s="92" t="str">
        <f>'Final data_for_R_analysis_Dryse'!J530</f>
        <v>G862</v>
      </c>
      <c r="I384" t="str">
        <f>'Final data_for_R_analysis_Dryse'!J750</f>
        <v>R841</v>
      </c>
      <c r="J384">
        <f>IFERROR(INDEX('Green_rooibos initial weight'!$C$5:$C$1749,MATCH(H384, 'Green_rooibos initial weight'!$A$5:$A$1749,0)),"")</f>
        <v>1.996</v>
      </c>
      <c r="K384">
        <f>IFERROR(INDEX('Green_rooibos initial weight'!$C$5:$C$1749,MATCH(I384, 'Green_rooibos initial weight'!$A$5:$A$1749,0)),"")</f>
        <v>2.13</v>
      </c>
      <c r="L384" s="195">
        <f t="shared" si="39"/>
        <v>1.7462</v>
      </c>
      <c r="M384" s="195">
        <f t="shared" si="40"/>
        <v>1.8801999999999999</v>
      </c>
      <c r="N384" s="16">
        <f>IF('Dry_Litterbag Placem_Collection'!G91="N.A","",'Dry_Litterbag Placem_Collection'!G91)</f>
        <v>43006</v>
      </c>
      <c r="O384" s="195">
        <f>IF(IFERROR(INDEX('Both teabags AfterDry'!$D$1:$D$839,MATCH(H384,'Both teabags AfterDry'!$A$1:$A$839,0)),"")="N.A","",(IFERROR(INDEX('Both teabags AfterDry'!$D$1:$D$839,MATCH(H384,'Both teabags AfterDry'!$A$1:$A$839,0)),"")))</f>
        <v>1.8160000000000001</v>
      </c>
      <c r="P384" s="195">
        <f>IF(IFERROR(INDEX('Both teabags AfterDry'!$D$1:$D$839,MATCH(I384,'Both teabags AfterDry'!$A$1:$A$839,0)),"")="N.A","",(IFERROR(INDEX('Both teabags AfterDry'!$D$1:$D$839,MATCH(I384,'Both teabags AfterDry'!$A$1:$A$839,0)),"")))</f>
        <v>1.9592000000000001</v>
      </c>
      <c r="Q384" s="195">
        <f t="shared" si="41"/>
        <v>1.6654</v>
      </c>
      <c r="R384" s="195">
        <f t="shared" si="41"/>
        <v>1.8086</v>
      </c>
      <c r="S384" s="195">
        <f t="shared" si="36"/>
        <v>4.6271904707364531E-2</v>
      </c>
      <c r="T384" s="195">
        <f t="shared" si="42"/>
        <v>3.0335025413854216E-2</v>
      </c>
      <c r="U384" s="195">
        <f t="shared" si="37"/>
        <v>0.96191894479310713</v>
      </c>
      <c r="V384">
        <f t="shared" si="38"/>
        <v>69</v>
      </c>
      <c r="W384" s="195">
        <f t="shared" si="43"/>
        <v>0.94504524381548149</v>
      </c>
      <c r="X384" s="195" t="str">
        <f t="shared" si="44"/>
        <v/>
      </c>
      <c r="Y384" s="255" t="str">
        <f>IF(ISNUMBER(SEARCH("C", 'Dry_Litterbag Placem_Collection'!V91)),"YES","NO")</f>
        <v>NO</v>
      </c>
      <c r="Z384" s="255" t="str">
        <f>IF(ISNUMBER(SEARCH("H", 'Dry_Litterbag Placem_Collection'!V91)),"YES","NO")</f>
        <v>NO</v>
      </c>
      <c r="AA384" s="255" t="str">
        <f>IF(ISNUMBER(SEARCH("R", 'Dry_Litterbag Placem_Collection'!V91)),"YES","NO")</f>
        <v>NO</v>
      </c>
      <c r="AB384" s="255" t="str">
        <f>IF(ISNUMBER(SEARCH("C", 'Dry_Litterbag Placem_Collection'!U91)),"YES","NO")</f>
        <v>NO</v>
      </c>
      <c r="AC384" s="255" t="str">
        <f>IF(ISNUMBER(SEARCH("H", 'Dry_Litterbag Placem_Collection'!U91)),"YES","NO")</f>
        <v>NO</v>
      </c>
      <c r="AD384" s="255" t="str">
        <f>IF(ISNUMBER(SEARCH("R", 'Dry_Litterbag Placem_Collection'!U91)),"YES","NO")</f>
        <v>NO</v>
      </c>
    </row>
    <row r="385" spans="2:30">
      <c r="B385" t="str">
        <f>'Final data_for_R_analysis_Dryse'!A531</f>
        <v>Dry</v>
      </c>
      <c r="C385" s="263">
        <f>'Final data_for_R_analysis_Dryse'!B531</f>
        <v>90</v>
      </c>
      <c r="D385" t="s">
        <v>3840</v>
      </c>
      <c r="E385" t="s">
        <v>25</v>
      </c>
      <c r="F385" s="386">
        <v>2</v>
      </c>
      <c r="G385" s="16">
        <f>'Dry_Litterbag Placem_Collection'!E92</f>
        <v>42937</v>
      </c>
      <c r="H385" s="92" t="str">
        <f>'Final data_for_R_analysis_Dryse'!J531</f>
        <v>G330</v>
      </c>
      <c r="I385" t="str">
        <f>'Final data_for_R_analysis_Dryse'!J751</f>
        <v>R220</v>
      </c>
      <c r="J385">
        <f>IFERROR(INDEX('Green_rooibos initial weight'!$C$5:$C$1749,MATCH(H385, 'Green_rooibos initial weight'!$A$5:$A$1749,0)),"")</f>
        <v>2.1379999999999999</v>
      </c>
      <c r="K385">
        <f>IFERROR(INDEX('Green_rooibos initial weight'!$C$5:$C$1749,MATCH(I385, 'Green_rooibos initial weight'!$A$5:$A$1749,0)),"")</f>
        <v>2.2269999999999999</v>
      </c>
      <c r="L385" s="195">
        <f t="shared" si="39"/>
        <v>1.8881999999999999</v>
      </c>
      <c r="M385" s="195">
        <f t="shared" si="40"/>
        <v>1.9771999999999998</v>
      </c>
      <c r="N385" s="16">
        <f>IF('Dry_Litterbag Placem_Collection'!G92="N.A","",'Dry_Litterbag Placem_Collection'!G92)</f>
        <v>43006</v>
      </c>
      <c r="O385" s="195" t="str">
        <f>IF(IFERROR(INDEX('Both teabags AfterDry'!$D$1:$D$839,MATCH(H385,'Both teabags AfterDry'!$A$1:$A$839,0)),"")="N.A","",(IFERROR(INDEX('Both teabags AfterDry'!$D$1:$D$839,MATCH(H385,'Both teabags AfterDry'!$A$1:$A$839,0)),"")))</f>
        <v/>
      </c>
      <c r="P385" s="195" t="str">
        <f>IF(IFERROR(INDEX('Both teabags AfterDry'!$D$1:$D$839,MATCH(I385,'Both teabags AfterDry'!$A$1:$A$839,0)),"")="N.A","",(IFERROR(INDEX('Both teabags AfterDry'!$D$1:$D$839,MATCH(I385,'Both teabags AfterDry'!$A$1:$A$839,0)),"")))</f>
        <v/>
      </c>
      <c r="Q385" s="195" t="str">
        <f t="shared" si="41"/>
        <v/>
      </c>
      <c r="R385" s="195" t="str">
        <f t="shared" si="41"/>
        <v/>
      </c>
      <c r="S385" s="195" t="str">
        <f t="shared" si="36"/>
        <v/>
      </c>
      <c r="T385" s="195" t="str">
        <f t="shared" si="42"/>
        <v/>
      </c>
      <c r="U385" s="195" t="str">
        <f t="shared" si="37"/>
        <v/>
      </c>
      <c r="V385">
        <f t="shared" si="38"/>
        <v>69</v>
      </c>
      <c r="W385" s="195" t="str">
        <f t="shared" si="43"/>
        <v/>
      </c>
      <c r="X385" s="195" t="str">
        <f t="shared" si="44"/>
        <v/>
      </c>
      <c r="Y385" s="255" t="str">
        <f>IF(ISNUMBER(SEARCH("C", 'Dry_Litterbag Placem_Collection'!V92)),"YES","NO")</f>
        <v>NO</v>
      </c>
      <c r="Z385" s="255" t="str">
        <f>IF(ISNUMBER(SEARCH("H", 'Dry_Litterbag Placem_Collection'!V92)),"YES","NO")</f>
        <v>NO</v>
      </c>
      <c r="AA385" s="255" t="str">
        <f>IF(ISNUMBER(SEARCH("R", 'Dry_Litterbag Placem_Collection'!V92)),"YES","NO")</f>
        <v>NO</v>
      </c>
      <c r="AB385" s="255" t="str">
        <f>IF(ISNUMBER(SEARCH("C", 'Dry_Litterbag Placem_Collection'!U92)),"YES","NO")</f>
        <v>NO</v>
      </c>
      <c r="AC385" s="255" t="str">
        <f>IF(ISNUMBER(SEARCH("H", 'Dry_Litterbag Placem_Collection'!U92)),"YES","NO")</f>
        <v>NO</v>
      </c>
      <c r="AD385" s="255" t="str">
        <f>IF(ISNUMBER(SEARCH("R", 'Dry_Litterbag Placem_Collection'!U92)),"YES","NO")</f>
        <v>NO</v>
      </c>
    </row>
    <row r="386" spans="2:30">
      <c r="B386" t="str">
        <f>'Final data_for_R_analysis_Dryse'!A532</f>
        <v>Dry</v>
      </c>
      <c r="C386" s="263">
        <f>'Final data_for_R_analysis_Dryse'!B532</f>
        <v>91</v>
      </c>
      <c r="D386" t="s">
        <v>3840</v>
      </c>
      <c r="E386" t="s">
        <v>25</v>
      </c>
      <c r="F386" s="386">
        <v>3</v>
      </c>
      <c r="G386" s="16">
        <f>'Dry_Litterbag Placem_Collection'!E93</f>
        <v>42937</v>
      </c>
      <c r="H386" s="92" t="str">
        <f>'Final data_for_R_analysis_Dryse'!J532</f>
        <v>G596</v>
      </c>
      <c r="I386" t="str">
        <f>'Final data_for_R_analysis_Dryse'!J752</f>
        <v>R659</v>
      </c>
      <c r="J386">
        <f>IFERROR(INDEX('Green_rooibos initial weight'!$C$5:$C$1749,MATCH(H386, 'Green_rooibos initial weight'!$A$5:$A$1749,0)),"")</f>
        <v>2.0179999999999998</v>
      </c>
      <c r="K386">
        <f>IFERROR(INDEX('Green_rooibos initial weight'!$C$5:$C$1749,MATCH(I386, 'Green_rooibos initial weight'!$A$5:$A$1749,0)),"")</f>
        <v>2.2349999999999999</v>
      </c>
      <c r="L386" s="195">
        <f t="shared" si="39"/>
        <v>1.7681999999999998</v>
      </c>
      <c r="M386" s="195">
        <f t="shared" si="40"/>
        <v>1.9851999999999999</v>
      </c>
      <c r="N386" s="16">
        <f>IF('Dry_Litterbag Placem_Collection'!G93="N.A","",'Dry_Litterbag Placem_Collection'!G93)</f>
        <v>43006</v>
      </c>
      <c r="O386" s="195">
        <f>IF(IFERROR(INDEX('Both teabags AfterDry'!$D$1:$D$839,MATCH(H386,'Both teabags AfterDry'!$A$1:$A$839,0)),"")="N.A","",(IFERROR(INDEX('Both teabags AfterDry'!$D$1:$D$839,MATCH(H386,'Both teabags AfterDry'!$A$1:$A$839,0)),"")))</f>
        <v>1.8642000000000001</v>
      </c>
      <c r="P386" s="195">
        <f>IF(IFERROR(INDEX('Both teabags AfterDry'!$D$1:$D$839,MATCH(I386,'Both teabags AfterDry'!$A$1:$A$839,0)),"")="N.A","",(IFERROR(INDEX('Both teabags AfterDry'!$D$1:$D$839,MATCH(I386,'Both teabags AfterDry'!$A$1:$A$839,0)),"")))</f>
        <v>2.0495999999999999</v>
      </c>
      <c r="Q386" s="195">
        <f t="shared" si="41"/>
        <v>1.7136</v>
      </c>
      <c r="R386" s="195">
        <f t="shared" si="41"/>
        <v>1.8989999999999998</v>
      </c>
      <c r="S386" s="195">
        <f t="shared" si="36"/>
        <v>3.0878859857482066E-2</v>
      </c>
      <c r="T386" s="195">
        <f t="shared" si="42"/>
        <v>2.0243623089465684E-2</v>
      </c>
      <c r="U386" s="195">
        <f t="shared" si="37"/>
        <v>0.95657868224863996</v>
      </c>
      <c r="V386">
        <f t="shared" si="38"/>
        <v>69</v>
      </c>
      <c r="W386" s="195">
        <f t="shared" si="43"/>
        <v>0.96332676976546072</v>
      </c>
      <c r="X386" s="195" t="str">
        <f t="shared" si="44"/>
        <v/>
      </c>
      <c r="Y386" s="255" t="str">
        <f>IF(ISNUMBER(SEARCH("C", 'Dry_Litterbag Placem_Collection'!V93)),"YES","NO")</f>
        <v>NO</v>
      </c>
      <c r="Z386" s="255" t="str">
        <f>IF(ISNUMBER(SEARCH("H", 'Dry_Litterbag Placem_Collection'!V93)),"YES","NO")</f>
        <v>NO</v>
      </c>
      <c r="AA386" s="255" t="str">
        <f>IF(ISNUMBER(SEARCH("R", 'Dry_Litterbag Placem_Collection'!V93)),"YES","NO")</f>
        <v>NO</v>
      </c>
      <c r="AB386" s="255" t="str">
        <f>IF(ISNUMBER(SEARCH("C", 'Dry_Litterbag Placem_Collection'!U93)),"YES","NO")</f>
        <v>NO</v>
      </c>
      <c r="AC386" s="255" t="str">
        <f>IF(ISNUMBER(SEARCH("H", 'Dry_Litterbag Placem_Collection'!U93)),"YES","NO")</f>
        <v>NO</v>
      </c>
      <c r="AD386" s="255" t="str">
        <f>IF(ISNUMBER(SEARCH("R", 'Dry_Litterbag Placem_Collection'!U93)),"YES","NO")</f>
        <v>NO</v>
      </c>
    </row>
    <row r="387" spans="2:30">
      <c r="B387" t="str">
        <f>'Final data_for_R_analysis_Dryse'!A533</f>
        <v>Dry</v>
      </c>
      <c r="C387" s="263">
        <f>'Final data_for_R_analysis_Dryse'!B533</f>
        <v>92</v>
      </c>
      <c r="D387" t="s">
        <v>3840</v>
      </c>
      <c r="E387" t="s">
        <v>25</v>
      </c>
      <c r="F387" s="387">
        <v>4</v>
      </c>
      <c r="G387" s="16">
        <f>'Dry_Litterbag Placem_Collection'!E94</f>
        <v>42937</v>
      </c>
      <c r="H387" s="92" t="str">
        <f>'Final data_for_R_analysis_Dryse'!J533</f>
        <v>G380</v>
      </c>
      <c r="I387" t="str">
        <f>'Final data_for_R_analysis_Dryse'!J753</f>
        <v>R619</v>
      </c>
      <c r="J387">
        <f>IFERROR(INDEX('Green_rooibos initial weight'!$C$5:$C$1749,MATCH(H387, 'Green_rooibos initial weight'!$A$5:$A$1749,0)),"")</f>
        <v>2.0619999999999998</v>
      </c>
      <c r="K387">
        <f>IFERROR(INDEX('Green_rooibos initial weight'!$C$5:$C$1749,MATCH(I387, 'Green_rooibos initial weight'!$A$5:$A$1749,0)),"")</f>
        <v>2.1480000000000001</v>
      </c>
      <c r="L387" s="195">
        <f t="shared" si="39"/>
        <v>1.8121999999999998</v>
      </c>
      <c r="M387" s="195">
        <f t="shared" si="40"/>
        <v>1.8982000000000001</v>
      </c>
      <c r="N387" s="16">
        <f>IF('Dry_Litterbag Placem_Collection'!G94="N.A","",'Dry_Litterbag Placem_Collection'!G94)</f>
        <v>43006</v>
      </c>
      <c r="O387" s="195">
        <f>IF(IFERROR(INDEX('Both teabags AfterDry'!$D$1:$D$839,MATCH(H387,'Both teabags AfterDry'!$A$1:$A$839,0)),"")="N.A","",(IFERROR(INDEX('Both teabags AfterDry'!$D$1:$D$839,MATCH(H387,'Both teabags AfterDry'!$A$1:$A$839,0)),"")))</f>
        <v>1.8685</v>
      </c>
      <c r="P387" s="195">
        <f>IF(IFERROR(INDEX('Both teabags AfterDry'!$D$1:$D$839,MATCH(I387,'Both teabags AfterDry'!$A$1:$A$839,0)),"")="N.A","",(IFERROR(INDEX('Both teabags AfterDry'!$D$1:$D$839,MATCH(I387,'Both teabags AfterDry'!$A$1:$A$839,0)),"")))</f>
        <v>1.9713000000000001</v>
      </c>
      <c r="Q387" s="195">
        <f t="shared" si="41"/>
        <v>1.7179</v>
      </c>
      <c r="R387" s="195">
        <f t="shared" si="41"/>
        <v>1.8207</v>
      </c>
      <c r="S387" s="195">
        <f t="shared" si="36"/>
        <v>5.2036199095022551E-2</v>
      </c>
      <c r="T387" s="195">
        <f t="shared" si="42"/>
        <v>3.4113992755881777E-2</v>
      </c>
      <c r="U387" s="195">
        <f t="shared" si="37"/>
        <v>0.95917184701295954</v>
      </c>
      <c r="V387">
        <f t="shared" si="38"/>
        <v>69</v>
      </c>
      <c r="W387" s="195">
        <f t="shared" si="43"/>
        <v>0.93819928848572143</v>
      </c>
      <c r="X387" s="195" t="str">
        <f t="shared" si="44"/>
        <v/>
      </c>
      <c r="Y387" s="255" t="str">
        <f>IF(ISNUMBER(SEARCH("C", 'Dry_Litterbag Placem_Collection'!V94)),"YES","NO")</f>
        <v>NO</v>
      </c>
      <c r="Z387" s="255" t="str">
        <f>IF(ISNUMBER(SEARCH("H", 'Dry_Litterbag Placem_Collection'!V94)),"YES","NO")</f>
        <v>NO</v>
      </c>
      <c r="AA387" s="255" t="str">
        <f>IF(ISNUMBER(SEARCH("R", 'Dry_Litterbag Placem_Collection'!V94)),"YES","NO")</f>
        <v>NO</v>
      </c>
      <c r="AB387" s="255" t="str">
        <f>IF(ISNUMBER(SEARCH("C", 'Dry_Litterbag Placem_Collection'!U94)),"YES","NO")</f>
        <v>NO</v>
      </c>
      <c r="AC387" s="255" t="str">
        <f>IF(ISNUMBER(SEARCH("H", 'Dry_Litterbag Placem_Collection'!U94)),"YES","NO")</f>
        <v>NO</v>
      </c>
      <c r="AD387" s="255" t="str">
        <f>IF(ISNUMBER(SEARCH("R", 'Dry_Litterbag Placem_Collection'!U94)),"YES","NO")</f>
        <v>NO</v>
      </c>
    </row>
    <row r="388" spans="2:30">
      <c r="B388" t="str">
        <f>'Final data_for_R_analysis_Dryse'!A534</f>
        <v>Dry</v>
      </c>
      <c r="C388" s="263">
        <f>'Final data_for_R_analysis_Dryse'!B534</f>
        <v>93</v>
      </c>
      <c r="D388" t="s">
        <v>3840</v>
      </c>
      <c r="E388" t="s">
        <v>25</v>
      </c>
      <c r="F388" s="387">
        <v>5</v>
      </c>
      <c r="G388" s="16">
        <f>'Dry_Litterbag Placem_Collection'!E95</f>
        <v>42937</v>
      </c>
      <c r="H388" s="92" t="str">
        <f>'Final data_for_R_analysis_Dryse'!J534</f>
        <v>G872</v>
      </c>
      <c r="I388" t="str">
        <f>'Final data_for_R_analysis_Dryse'!J754</f>
        <v>R106</v>
      </c>
      <c r="J388">
        <f>IFERROR(INDEX('Green_rooibos initial weight'!$C$5:$C$1749,MATCH(H388, 'Green_rooibos initial weight'!$A$5:$A$1749,0)),"")</f>
        <v>2.008</v>
      </c>
      <c r="K388">
        <f>IFERROR(INDEX('Green_rooibos initial weight'!$C$5:$C$1749,MATCH(I388, 'Green_rooibos initial weight'!$A$5:$A$1749,0)),"")</f>
        <v>2.2330000000000001</v>
      </c>
      <c r="L388" s="195">
        <f t="shared" si="39"/>
        <v>1.7582</v>
      </c>
      <c r="M388" s="195">
        <f t="shared" si="40"/>
        <v>1.9832000000000001</v>
      </c>
      <c r="N388" s="16">
        <f>IF('Dry_Litterbag Placem_Collection'!G95="N.A","",'Dry_Litterbag Placem_Collection'!G95)</f>
        <v>43006</v>
      </c>
      <c r="O388" s="195">
        <f>IF(IFERROR(INDEX('Both teabags AfterDry'!$D$1:$D$839,MATCH(H388,'Both teabags AfterDry'!$A$1:$A$839,0)),"")="N.A","",(IFERROR(INDEX('Both teabags AfterDry'!$D$1:$D$839,MATCH(H388,'Both teabags AfterDry'!$A$1:$A$839,0)),"")))</f>
        <v>1.8389</v>
      </c>
      <c r="P388" s="195">
        <f>IF(IFERROR(INDEX('Both teabags AfterDry'!$D$1:$D$839,MATCH(I388,'Both teabags AfterDry'!$A$1:$A$839,0)),"")="N.A","",(IFERROR(INDEX('Both teabags AfterDry'!$D$1:$D$839,MATCH(I388,'Both teabags AfterDry'!$A$1:$A$839,0)),"")))</f>
        <v>2.0352999999999999</v>
      </c>
      <c r="Q388" s="195">
        <f t="shared" si="41"/>
        <v>1.6882999999999999</v>
      </c>
      <c r="R388" s="195">
        <f t="shared" si="41"/>
        <v>1.8846999999999998</v>
      </c>
      <c r="S388" s="195">
        <f t="shared" si="36"/>
        <v>3.9756569218519E-2</v>
      </c>
      <c r="T388" s="195">
        <f t="shared" si="42"/>
        <v>2.6063689083874703E-2</v>
      </c>
      <c r="U388" s="195">
        <f t="shared" si="37"/>
        <v>0.95033279548204908</v>
      </c>
      <c r="V388">
        <f t="shared" si="38"/>
        <v>69</v>
      </c>
      <c r="W388" s="195">
        <f t="shared" si="43"/>
        <v>0.95278317194950235</v>
      </c>
      <c r="X388" s="195" t="str">
        <f t="shared" si="44"/>
        <v/>
      </c>
      <c r="Y388" s="255" t="str">
        <f>IF(ISNUMBER(SEARCH("C", 'Dry_Litterbag Placem_Collection'!V95)),"YES","NO")</f>
        <v>NO</v>
      </c>
      <c r="Z388" s="255" t="str">
        <f>IF(ISNUMBER(SEARCH("H", 'Dry_Litterbag Placem_Collection'!V95)),"YES","NO")</f>
        <v>NO</v>
      </c>
      <c r="AA388" s="255" t="str">
        <f>IF(ISNUMBER(SEARCH("R", 'Dry_Litterbag Placem_Collection'!V95)),"YES","NO")</f>
        <v>NO</v>
      </c>
      <c r="AB388" s="255" t="str">
        <f>IF(ISNUMBER(SEARCH("C", 'Dry_Litterbag Placem_Collection'!U95)),"YES","NO")</f>
        <v>NO</v>
      </c>
      <c r="AC388" s="255" t="str">
        <f>IF(ISNUMBER(SEARCH("H", 'Dry_Litterbag Placem_Collection'!U95)),"YES","NO")</f>
        <v>NO</v>
      </c>
      <c r="AD388" s="255" t="str">
        <f>IF(ISNUMBER(SEARCH("R", 'Dry_Litterbag Placem_Collection'!U95)),"YES","NO")</f>
        <v>NO</v>
      </c>
    </row>
    <row r="389" spans="2:30">
      <c r="B389" t="str">
        <f>'Final data_for_R_analysis_Dryse'!A535</f>
        <v>Dry</v>
      </c>
      <c r="C389" s="263">
        <f>'Final data_for_R_analysis_Dryse'!B535</f>
        <v>94</v>
      </c>
      <c r="D389" t="s">
        <v>3840</v>
      </c>
      <c r="E389" t="s">
        <v>25</v>
      </c>
      <c r="F389" s="387">
        <v>6</v>
      </c>
      <c r="G389" s="16">
        <f>'Dry_Litterbag Placem_Collection'!E96</f>
        <v>0</v>
      </c>
      <c r="H389" s="92" t="str">
        <f>'Final data_for_R_analysis_Dryse'!J535</f>
        <v/>
      </c>
      <c r="I389" t="str">
        <f>'Final data_for_R_analysis_Dryse'!J755</f>
        <v/>
      </c>
      <c r="J389" t="str">
        <f>IFERROR(INDEX('Green_rooibos initial weight'!$C$5:$C$1749,MATCH(H389, 'Green_rooibos initial weight'!$A$5:$A$1749,0)),"")</f>
        <v/>
      </c>
      <c r="K389" t="str">
        <f>IFERROR(INDEX('Green_rooibos initial weight'!$C$5:$C$1749,MATCH(I389, 'Green_rooibos initial weight'!$A$5:$A$1749,0)),"")</f>
        <v/>
      </c>
      <c r="L389" s="195" t="str">
        <f t="shared" si="39"/>
        <v/>
      </c>
      <c r="M389" s="195" t="str">
        <f t="shared" si="40"/>
        <v/>
      </c>
      <c r="N389" s="16">
        <f>IF('Dry_Litterbag Placem_Collection'!G96="N.A","",'Dry_Litterbag Placem_Collection'!G96)</f>
        <v>0</v>
      </c>
      <c r="O389" s="195" t="str">
        <f>IF(IFERROR(INDEX('Both teabags AfterDry'!$D$1:$D$839,MATCH(H389,'Both teabags AfterDry'!$A$1:$A$839,0)),"")="N.A","",(IFERROR(INDEX('Both teabags AfterDry'!$D$1:$D$839,MATCH(H389,'Both teabags AfterDry'!$A$1:$A$839,0)),"")))</f>
        <v/>
      </c>
      <c r="P389" s="195" t="str">
        <f>IF(IFERROR(INDEX('Both teabags AfterDry'!$D$1:$D$839,MATCH(I389,'Both teabags AfterDry'!$A$1:$A$839,0)),"")="N.A","",(IFERROR(INDEX('Both teabags AfterDry'!$D$1:$D$839,MATCH(I389,'Both teabags AfterDry'!$A$1:$A$839,0)),"")))</f>
        <v/>
      </c>
      <c r="Q389" s="195" t="str">
        <f t="shared" si="41"/>
        <v/>
      </c>
      <c r="R389" s="195" t="str">
        <f t="shared" si="41"/>
        <v/>
      </c>
      <c r="S389" s="195" t="str">
        <f t="shared" si="36"/>
        <v/>
      </c>
      <c r="T389" s="195" t="str">
        <f t="shared" si="42"/>
        <v/>
      </c>
      <c r="U389" s="195" t="str">
        <f t="shared" si="37"/>
        <v/>
      </c>
      <c r="V389" t="str">
        <f t="shared" si="38"/>
        <v/>
      </c>
      <c r="W389" s="195" t="str">
        <f t="shared" si="43"/>
        <v/>
      </c>
      <c r="X389" s="195" t="str">
        <f t="shared" si="44"/>
        <v/>
      </c>
      <c r="Y389" s="255" t="str">
        <f>IF(ISNUMBER(SEARCH("C", 'Dry_Litterbag Placem_Collection'!V96)),"YES","NO")</f>
        <v>NO</v>
      </c>
      <c r="Z389" s="255" t="str">
        <f>IF(ISNUMBER(SEARCH("H", 'Dry_Litterbag Placem_Collection'!V96)),"YES","NO")</f>
        <v>NO</v>
      </c>
      <c r="AA389" s="255" t="str">
        <f>IF(ISNUMBER(SEARCH("R", 'Dry_Litterbag Placem_Collection'!V96)),"YES","NO")</f>
        <v>NO</v>
      </c>
      <c r="AB389" s="255" t="str">
        <f>IF(ISNUMBER(SEARCH("C", 'Dry_Litterbag Placem_Collection'!U96)),"YES","NO")</f>
        <v>NO</v>
      </c>
      <c r="AC389" s="255" t="str">
        <f>IF(ISNUMBER(SEARCH("H", 'Dry_Litterbag Placem_Collection'!U96)),"YES","NO")</f>
        <v>NO</v>
      </c>
      <c r="AD389" s="255" t="str">
        <f>IF(ISNUMBER(SEARCH("R", 'Dry_Litterbag Placem_Collection'!U96)),"YES","NO")</f>
        <v>NO</v>
      </c>
    </row>
    <row r="390" spans="2:30">
      <c r="B390" t="str">
        <f>'Final data_for_R_analysis_Dryse'!A536</f>
        <v>Dry</v>
      </c>
      <c r="C390" s="263">
        <f>'Final data_for_R_analysis_Dryse'!B536</f>
        <v>95</v>
      </c>
      <c r="D390" t="s">
        <v>3840</v>
      </c>
      <c r="E390" t="s">
        <v>25</v>
      </c>
      <c r="F390" s="387">
        <v>7</v>
      </c>
      <c r="G390" s="16">
        <f>'Dry_Litterbag Placem_Collection'!E97</f>
        <v>42937</v>
      </c>
      <c r="H390" s="92" t="str">
        <f>'Final data_for_R_analysis_Dryse'!J536</f>
        <v>G844</v>
      </c>
      <c r="I390" t="str">
        <f>'Final data_for_R_analysis_Dryse'!J756</f>
        <v>R233</v>
      </c>
      <c r="J390">
        <f>IFERROR(INDEX('Green_rooibos initial weight'!$C$5:$C$1749,MATCH(H390, 'Green_rooibos initial weight'!$A$5:$A$1749,0)),"")</f>
        <v>1.95</v>
      </c>
      <c r="K390">
        <f>IFERROR(INDEX('Green_rooibos initial weight'!$C$5:$C$1749,MATCH(I390, 'Green_rooibos initial weight'!$A$5:$A$1749,0)),"")</f>
        <v>2.1749999999999998</v>
      </c>
      <c r="L390" s="195">
        <f t="shared" si="39"/>
        <v>1.7001999999999999</v>
      </c>
      <c r="M390" s="195">
        <f t="shared" si="40"/>
        <v>1.9251999999999998</v>
      </c>
      <c r="N390" s="16">
        <f>IF('Dry_Litterbag Placem_Collection'!G97="N.A","",'Dry_Litterbag Placem_Collection'!G97)</f>
        <v>43006</v>
      </c>
      <c r="O390" s="195">
        <f>IF(IFERROR(INDEX('Both teabags AfterDry'!$D$1:$D$839,MATCH(H390,'Both teabags AfterDry'!$A$1:$A$839,0)),"")="N.A","",(IFERROR(INDEX('Both teabags AfterDry'!$D$1:$D$839,MATCH(H390,'Both teabags AfterDry'!$A$1:$A$839,0)),"")))</f>
        <v>1.7751999999999999</v>
      </c>
      <c r="P390" s="195">
        <f>IF(IFERROR(INDEX('Both teabags AfterDry'!$D$1:$D$839,MATCH(I390,'Both teabags AfterDry'!$A$1:$A$839,0)),"")="N.A","",(IFERROR(INDEX('Both teabags AfterDry'!$D$1:$D$839,MATCH(I390,'Both teabags AfterDry'!$A$1:$A$839,0)),"")))</f>
        <v>1.9479</v>
      </c>
      <c r="Q390" s="195">
        <f t="shared" si="41"/>
        <v>1.6245999999999998</v>
      </c>
      <c r="R390" s="195">
        <f t="shared" si="41"/>
        <v>1.7972999999999999</v>
      </c>
      <c r="S390" s="195">
        <f t="shared" si="36"/>
        <v>4.4465357016821638E-2</v>
      </c>
      <c r="T390" s="195">
        <f t="shared" si="42"/>
        <v>2.9150685360196597E-2</v>
      </c>
      <c r="U390" s="195">
        <f t="shared" si="37"/>
        <v>0.93356534386037815</v>
      </c>
      <c r="V390">
        <f t="shared" si="38"/>
        <v>69</v>
      </c>
      <c r="W390" s="195">
        <f t="shared" si="43"/>
        <v>0.9471907873909482</v>
      </c>
      <c r="X390" s="195" t="str">
        <f t="shared" si="44"/>
        <v/>
      </c>
      <c r="Y390" s="255" t="str">
        <f>IF(ISNUMBER(SEARCH("C", 'Dry_Litterbag Placem_Collection'!V97)),"YES","NO")</f>
        <v>NO</v>
      </c>
      <c r="Z390" s="255" t="str">
        <f>IF(ISNUMBER(SEARCH("H", 'Dry_Litterbag Placem_Collection'!V97)),"YES","NO")</f>
        <v>NO</v>
      </c>
      <c r="AA390" s="255" t="str">
        <f>IF(ISNUMBER(SEARCH("R", 'Dry_Litterbag Placem_Collection'!V97)),"YES","NO")</f>
        <v>NO</v>
      </c>
      <c r="AB390" s="255" t="str">
        <f>IF(ISNUMBER(SEARCH("C", 'Dry_Litterbag Placem_Collection'!U97)),"YES","NO")</f>
        <v>NO</v>
      </c>
      <c r="AC390" s="255" t="str">
        <f>IF(ISNUMBER(SEARCH("H", 'Dry_Litterbag Placem_Collection'!U97)),"YES","NO")</f>
        <v>NO</v>
      </c>
      <c r="AD390" s="255" t="str">
        <f>IF(ISNUMBER(SEARCH("R", 'Dry_Litterbag Placem_Collection'!U97)),"YES","NO")</f>
        <v>NO</v>
      </c>
    </row>
    <row r="391" spans="2:30">
      <c r="B391" t="str">
        <f>'Final data_for_R_analysis_Dryse'!A537</f>
        <v>Dry</v>
      </c>
      <c r="C391" s="263">
        <f>'Final data_for_R_analysis_Dryse'!B537</f>
        <v>96</v>
      </c>
      <c r="D391" t="s">
        <v>3840</v>
      </c>
      <c r="E391" t="s">
        <v>25</v>
      </c>
      <c r="F391" s="387">
        <v>8</v>
      </c>
      <c r="G391" s="16">
        <f>'Dry_Litterbag Placem_Collection'!E98</f>
        <v>42937</v>
      </c>
      <c r="H391" s="92" t="str">
        <f>'Final data_for_R_analysis_Dryse'!J537</f>
        <v>G372</v>
      </c>
      <c r="I391" t="str">
        <f>'Final data_for_R_analysis_Dryse'!J757</f>
        <v>R698</v>
      </c>
      <c r="J391">
        <f>IFERROR(INDEX('Green_rooibos initial weight'!$C$5:$C$1749,MATCH(H391, 'Green_rooibos initial weight'!$A$5:$A$1749,0)),"")</f>
        <v>2.1539999999999999</v>
      </c>
      <c r="K391">
        <f>IFERROR(INDEX('Green_rooibos initial weight'!$C$5:$C$1749,MATCH(I391, 'Green_rooibos initial weight'!$A$5:$A$1749,0)),"")</f>
        <v>2.1779999999999999</v>
      </c>
      <c r="L391" s="195">
        <f t="shared" si="39"/>
        <v>1.9041999999999999</v>
      </c>
      <c r="M391" s="195">
        <f t="shared" si="40"/>
        <v>1.9281999999999999</v>
      </c>
      <c r="N391" s="16">
        <f>IF('Dry_Litterbag Placem_Collection'!G98="N.A","",'Dry_Litterbag Placem_Collection'!G98)</f>
        <v>43006</v>
      </c>
      <c r="O391" s="195">
        <f>IF(IFERROR(INDEX('Both teabags AfterDry'!$D$1:$D$839,MATCH(H391,'Both teabags AfterDry'!$A$1:$A$839,0)),"")="N.A","",(IFERROR(INDEX('Both teabags AfterDry'!$D$1:$D$839,MATCH(H391,'Both teabags AfterDry'!$A$1:$A$839,0)),"")))</f>
        <v>1.9605999999999999</v>
      </c>
      <c r="P391" s="195">
        <f>IF(IFERROR(INDEX('Both teabags AfterDry'!$D$1:$D$839,MATCH(I391,'Both teabags AfterDry'!$A$1:$A$839,0)),"")="N.A","",(IFERROR(INDEX('Both teabags AfterDry'!$D$1:$D$839,MATCH(I391,'Both teabags AfterDry'!$A$1:$A$839,0)),"")))</f>
        <v>2.0065</v>
      </c>
      <c r="Q391" s="195">
        <f t="shared" si="41"/>
        <v>1.8099999999999998</v>
      </c>
      <c r="R391" s="195">
        <f t="shared" si="41"/>
        <v>1.8558999999999999</v>
      </c>
      <c r="S391" s="195">
        <f t="shared" si="36"/>
        <v>4.9469593530091394E-2</v>
      </c>
      <c r="T391" s="195">
        <f t="shared" si="42"/>
        <v>3.2431372480534973E-2</v>
      </c>
      <c r="U391" s="195">
        <f t="shared" si="37"/>
        <v>0.96250388963800437</v>
      </c>
      <c r="V391">
        <f t="shared" si="38"/>
        <v>69</v>
      </c>
      <c r="W391" s="195">
        <f t="shared" si="43"/>
        <v>0.94124751362221926</v>
      </c>
      <c r="X391" s="195" t="str">
        <f t="shared" si="44"/>
        <v/>
      </c>
      <c r="Y391" s="255" t="str">
        <f>IF(ISNUMBER(SEARCH("C", 'Dry_Litterbag Placem_Collection'!V98)),"YES","NO")</f>
        <v>NO</v>
      </c>
      <c r="Z391" s="255" t="str">
        <f>IF(ISNUMBER(SEARCH("H", 'Dry_Litterbag Placem_Collection'!V98)),"YES","NO")</f>
        <v>NO</v>
      </c>
      <c r="AA391" s="255" t="str">
        <f>IF(ISNUMBER(SEARCH("R", 'Dry_Litterbag Placem_Collection'!V98)),"YES","NO")</f>
        <v>NO</v>
      </c>
      <c r="AB391" s="255" t="str">
        <f>IF(ISNUMBER(SEARCH("C", 'Dry_Litterbag Placem_Collection'!U98)),"YES","NO")</f>
        <v>NO</v>
      </c>
      <c r="AC391" s="255" t="str">
        <f>IF(ISNUMBER(SEARCH("H", 'Dry_Litterbag Placem_Collection'!U98)),"YES","NO")</f>
        <v>NO</v>
      </c>
      <c r="AD391" s="255" t="str">
        <f>IF(ISNUMBER(SEARCH("R", 'Dry_Litterbag Placem_Collection'!U98)),"YES","NO")</f>
        <v>NO</v>
      </c>
    </row>
    <row r="392" spans="2:30">
      <c r="B392" t="str">
        <f>'Final data_for_R_analysis_Dryse'!A538</f>
        <v>Dry</v>
      </c>
      <c r="C392" s="263">
        <f>'Final data_for_R_analysis_Dryse'!B538</f>
        <v>97</v>
      </c>
      <c r="D392" t="s">
        <v>3841</v>
      </c>
      <c r="E392" t="s">
        <v>25</v>
      </c>
      <c r="F392" s="386">
        <v>1</v>
      </c>
      <c r="G392" s="16">
        <f>'Dry_Litterbag Placem_Collection'!E99</f>
        <v>42939</v>
      </c>
      <c r="H392" s="92" t="str">
        <f>'Final data_for_R_analysis_Dryse'!J538</f>
        <v>G3</v>
      </c>
      <c r="I392" t="str">
        <f>'Final data_for_R_analysis_Dryse'!J758</f>
        <v>R47</v>
      </c>
      <c r="J392">
        <f>IFERROR(INDEX('Green_rooibos initial weight'!$C$5:$C$1749,MATCH(H392, 'Green_rooibos initial weight'!$A$5:$A$1749,0)),"")</f>
        <v>2.0470000000000002</v>
      </c>
      <c r="K392">
        <f>IFERROR(INDEX('Green_rooibos initial weight'!$C$5:$C$1749,MATCH(I392, 'Green_rooibos initial weight'!$A$5:$A$1749,0)),"")</f>
        <v>2.1850000000000001</v>
      </c>
      <c r="L392" s="195">
        <f t="shared" si="39"/>
        <v>1.7972000000000001</v>
      </c>
      <c r="M392" s="195">
        <f t="shared" si="40"/>
        <v>1.9352</v>
      </c>
      <c r="N392" s="16">
        <f>IF('Dry_Litterbag Placem_Collection'!G99="N.A","",'Dry_Litterbag Placem_Collection'!G99)</f>
        <v>43010</v>
      </c>
      <c r="O392" s="195" t="str">
        <f>IF(IFERROR(INDEX('Both teabags AfterDry'!$D$1:$D$839,MATCH(H392,'Both teabags AfterDry'!$A$1:$A$839,0)),"")="N.A","",(IFERROR(INDEX('Both teabags AfterDry'!$D$1:$D$839,MATCH(H392,'Both teabags AfterDry'!$A$1:$A$839,0)),"")))</f>
        <v/>
      </c>
      <c r="P392" s="195" t="str">
        <f>IF(IFERROR(INDEX('Both teabags AfterDry'!$D$1:$D$839,MATCH(I392,'Both teabags AfterDry'!$A$1:$A$839,0)),"")="N.A","",(IFERROR(INDEX('Both teabags AfterDry'!$D$1:$D$839,MATCH(I392,'Both teabags AfterDry'!$A$1:$A$839,0)),"")))</f>
        <v/>
      </c>
      <c r="Q392" s="195" t="str">
        <f t="shared" si="41"/>
        <v/>
      </c>
      <c r="R392" s="195" t="str">
        <f t="shared" si="41"/>
        <v/>
      </c>
      <c r="S392" s="195" t="str">
        <f t="shared" si="36"/>
        <v/>
      </c>
      <c r="T392" s="195" t="str">
        <f t="shared" si="42"/>
        <v/>
      </c>
      <c r="U392" s="195" t="str">
        <f t="shared" si="37"/>
        <v/>
      </c>
      <c r="V392">
        <f t="shared" si="38"/>
        <v>71</v>
      </c>
      <c r="W392" s="195" t="str">
        <f t="shared" si="43"/>
        <v/>
      </c>
      <c r="X392" s="195" t="str">
        <f t="shared" si="44"/>
        <v/>
      </c>
      <c r="Y392" s="255" t="str">
        <f>IF(ISNUMBER(SEARCH("C", 'Dry_Litterbag Placem_Collection'!V99)),"YES","NO")</f>
        <v>NO</v>
      </c>
      <c r="Z392" s="255" t="str">
        <f>IF(ISNUMBER(SEARCH("H", 'Dry_Litterbag Placem_Collection'!V99)),"YES","NO")</f>
        <v>NO</v>
      </c>
      <c r="AA392" s="255" t="str">
        <f>IF(ISNUMBER(SEARCH("R", 'Dry_Litterbag Placem_Collection'!V99)),"YES","NO")</f>
        <v>NO</v>
      </c>
      <c r="AB392" s="255" t="str">
        <f>IF(ISNUMBER(SEARCH("C", 'Dry_Litterbag Placem_Collection'!U99)),"YES","NO")</f>
        <v>NO</v>
      </c>
      <c r="AC392" s="255" t="str">
        <f>IF(ISNUMBER(SEARCH("H", 'Dry_Litterbag Placem_Collection'!U99)),"YES","NO")</f>
        <v>NO</v>
      </c>
      <c r="AD392" s="255" t="str">
        <f>IF(ISNUMBER(SEARCH("R", 'Dry_Litterbag Placem_Collection'!U99)),"YES","NO")</f>
        <v>NO</v>
      </c>
    </row>
    <row r="393" spans="2:30">
      <c r="B393" t="str">
        <f>'Final data_for_R_analysis_Dryse'!A539</f>
        <v>Dry</v>
      </c>
      <c r="C393" s="263">
        <f>'Final data_for_R_analysis_Dryse'!B539</f>
        <v>98</v>
      </c>
      <c r="D393" t="s">
        <v>3841</v>
      </c>
      <c r="E393" t="s">
        <v>25</v>
      </c>
      <c r="F393" s="386">
        <v>2</v>
      </c>
      <c r="G393" s="16">
        <f>'Dry_Litterbag Placem_Collection'!E100</f>
        <v>42939</v>
      </c>
      <c r="H393" s="92" t="str">
        <f>'Final data_for_R_analysis_Dryse'!J539</f>
        <v>G25</v>
      </c>
      <c r="I393" t="str">
        <f>'Final data_for_R_analysis_Dryse'!J759</f>
        <v>R707</v>
      </c>
      <c r="J393">
        <f>IFERROR(INDEX('Green_rooibos initial weight'!$C$5:$C$1749,MATCH(H393, 'Green_rooibos initial weight'!$A$5:$A$1749,0)),"")</f>
        <v>2.0230000000000001</v>
      </c>
      <c r="K393">
        <f>IFERROR(INDEX('Green_rooibos initial weight'!$C$5:$C$1749,MATCH(I393, 'Green_rooibos initial weight'!$A$5:$A$1749,0)),"")</f>
        <v>2.145</v>
      </c>
      <c r="L393" s="195">
        <f t="shared" si="39"/>
        <v>1.7732000000000001</v>
      </c>
      <c r="M393" s="195">
        <f t="shared" si="40"/>
        <v>1.8952</v>
      </c>
      <c r="N393" s="16">
        <f>IF('Dry_Litterbag Placem_Collection'!G100="N.A","",'Dry_Litterbag Placem_Collection'!G100)</f>
        <v>43010</v>
      </c>
      <c r="O393" s="195">
        <f>IF(IFERROR(INDEX('Both teabags AfterDry'!$D$1:$D$839,MATCH(H393,'Both teabags AfterDry'!$A$1:$A$839,0)),"")="N.A","",(IFERROR(INDEX('Both teabags AfterDry'!$D$1:$D$839,MATCH(H393,'Both teabags AfterDry'!$A$1:$A$839,0)),"")))</f>
        <v>0.995</v>
      </c>
      <c r="P393" s="195">
        <f>IF(IFERROR(INDEX('Both teabags AfterDry'!$D$1:$D$839,MATCH(I393,'Both teabags AfterDry'!$A$1:$A$839,0)),"")="N.A","",(IFERROR(INDEX('Both teabags AfterDry'!$D$1:$D$839,MATCH(I393,'Both teabags AfterDry'!$A$1:$A$839,0)),"")))</f>
        <v>1.8146</v>
      </c>
      <c r="Q393" s="195">
        <f t="shared" si="41"/>
        <v>0.84440000000000004</v>
      </c>
      <c r="R393" s="195">
        <f t="shared" si="41"/>
        <v>1.6639999999999999</v>
      </c>
      <c r="S393" s="195">
        <f t="shared" si="36"/>
        <v>0.52379878186329798</v>
      </c>
      <c r="T393" s="195">
        <f t="shared" si="42"/>
        <v>0.34339302563959684</v>
      </c>
      <c r="U393" s="195">
        <f t="shared" si="37"/>
        <v>0.87800759814267615</v>
      </c>
      <c r="V393">
        <f t="shared" si="38"/>
        <v>71</v>
      </c>
      <c r="W393" s="195">
        <f t="shared" si="43"/>
        <v>0.37791118543551305</v>
      </c>
      <c r="X393" s="195">
        <f t="shared" si="44"/>
        <v>6.1817155044274286E-3</v>
      </c>
      <c r="Y393" s="255" t="str">
        <f>IF(ISNUMBER(SEARCH("C", 'Dry_Litterbag Placem_Collection'!V100)),"YES","NO")</f>
        <v>NO</v>
      </c>
      <c r="Z393" s="255" t="str">
        <f>IF(ISNUMBER(SEARCH("H", 'Dry_Litterbag Placem_Collection'!V100)),"YES","NO")</f>
        <v>NO</v>
      </c>
      <c r="AA393" s="255" t="str">
        <f>IF(ISNUMBER(SEARCH("R", 'Dry_Litterbag Placem_Collection'!V100)),"YES","NO")</f>
        <v>NO</v>
      </c>
      <c r="AB393" s="255" t="str">
        <f>IF(ISNUMBER(SEARCH("C", 'Dry_Litterbag Placem_Collection'!U100)),"YES","NO")</f>
        <v>NO</v>
      </c>
      <c r="AC393" s="255" t="str">
        <f>IF(ISNUMBER(SEARCH("H", 'Dry_Litterbag Placem_Collection'!U100)),"YES","NO")</f>
        <v>NO</v>
      </c>
      <c r="AD393" s="255" t="str">
        <f>IF(ISNUMBER(SEARCH("R", 'Dry_Litterbag Placem_Collection'!U100)),"YES","NO")</f>
        <v>NO</v>
      </c>
    </row>
    <row r="394" spans="2:30">
      <c r="B394" t="str">
        <f>'Final data_for_R_analysis_Dryse'!A540</f>
        <v>Dry</v>
      </c>
      <c r="C394" s="263">
        <f>'Final data_for_R_analysis_Dryse'!B540</f>
        <v>99</v>
      </c>
      <c r="D394" t="s">
        <v>3841</v>
      </c>
      <c r="E394" t="s">
        <v>25</v>
      </c>
      <c r="F394" s="386">
        <v>3</v>
      </c>
      <c r="G394" s="16">
        <f>'Dry_Litterbag Placem_Collection'!E101</f>
        <v>0</v>
      </c>
      <c r="H394" s="92" t="str">
        <f>'Final data_for_R_analysis_Dryse'!J540</f>
        <v/>
      </c>
      <c r="I394" t="str">
        <f>'Final data_for_R_analysis_Dryse'!J760</f>
        <v/>
      </c>
      <c r="J394" t="str">
        <f>IFERROR(INDEX('Green_rooibos initial weight'!$C$5:$C$1749,MATCH(H394, 'Green_rooibos initial weight'!$A$5:$A$1749,0)),"")</f>
        <v/>
      </c>
      <c r="K394" t="str">
        <f>IFERROR(INDEX('Green_rooibos initial weight'!$C$5:$C$1749,MATCH(I394, 'Green_rooibos initial weight'!$A$5:$A$1749,0)),"")</f>
        <v/>
      </c>
      <c r="L394" s="195" t="str">
        <f t="shared" si="39"/>
        <v/>
      </c>
      <c r="M394" s="195" t="str">
        <f t="shared" si="40"/>
        <v/>
      </c>
      <c r="N394" s="16">
        <f>IF('Dry_Litterbag Placem_Collection'!G101="N.A","",'Dry_Litterbag Placem_Collection'!G101)</f>
        <v>0</v>
      </c>
      <c r="O394" s="195" t="str">
        <f>IF(IFERROR(INDEX('Both teabags AfterDry'!$D$1:$D$839,MATCH(H394,'Both teabags AfterDry'!$A$1:$A$839,0)),"")="N.A","",(IFERROR(INDEX('Both teabags AfterDry'!$D$1:$D$839,MATCH(H394,'Both teabags AfterDry'!$A$1:$A$839,0)),"")))</f>
        <v/>
      </c>
      <c r="P394" s="195" t="str">
        <f>IF(IFERROR(INDEX('Both teabags AfterDry'!$D$1:$D$839,MATCH(I394,'Both teabags AfterDry'!$A$1:$A$839,0)),"")="N.A","",(IFERROR(INDEX('Both teabags AfterDry'!$D$1:$D$839,MATCH(I394,'Both teabags AfterDry'!$A$1:$A$839,0)),"")))</f>
        <v/>
      </c>
      <c r="Q394" s="195" t="str">
        <f t="shared" si="41"/>
        <v/>
      </c>
      <c r="R394" s="195" t="str">
        <f t="shared" si="41"/>
        <v/>
      </c>
      <c r="S394" s="195" t="str">
        <f t="shared" si="36"/>
        <v/>
      </c>
      <c r="T394" s="195" t="str">
        <f t="shared" si="42"/>
        <v/>
      </c>
      <c r="U394" s="195" t="str">
        <f t="shared" si="37"/>
        <v/>
      </c>
      <c r="V394" t="str">
        <f t="shared" si="38"/>
        <v/>
      </c>
      <c r="W394" s="195" t="str">
        <f t="shared" si="43"/>
        <v/>
      </c>
      <c r="X394" s="195" t="str">
        <f t="shared" si="44"/>
        <v/>
      </c>
      <c r="Y394" s="255" t="str">
        <f>IF(ISNUMBER(SEARCH("C", 'Dry_Litterbag Placem_Collection'!V101)),"YES","NO")</f>
        <v>NO</v>
      </c>
      <c r="Z394" s="255" t="str">
        <f>IF(ISNUMBER(SEARCH("H", 'Dry_Litterbag Placem_Collection'!V101)),"YES","NO")</f>
        <v>NO</v>
      </c>
      <c r="AA394" s="255" t="str">
        <f>IF(ISNUMBER(SEARCH("R", 'Dry_Litterbag Placem_Collection'!V101)),"YES","NO")</f>
        <v>NO</v>
      </c>
      <c r="AB394" s="255" t="str">
        <f>IF(ISNUMBER(SEARCH("C", 'Dry_Litterbag Placem_Collection'!U101)),"YES","NO")</f>
        <v>NO</v>
      </c>
      <c r="AC394" s="255" t="str">
        <f>IF(ISNUMBER(SEARCH("H", 'Dry_Litterbag Placem_Collection'!U101)),"YES","NO")</f>
        <v>NO</v>
      </c>
      <c r="AD394" s="255" t="str">
        <f>IF(ISNUMBER(SEARCH("R", 'Dry_Litterbag Placem_Collection'!U101)),"YES","NO")</f>
        <v>NO</v>
      </c>
    </row>
    <row r="395" spans="2:30">
      <c r="B395" t="str">
        <f>'Final data_for_R_analysis_Dryse'!A541</f>
        <v>Dry</v>
      </c>
      <c r="C395" s="263">
        <f>'Final data_for_R_analysis_Dryse'!B541</f>
        <v>100</v>
      </c>
      <c r="D395" t="s">
        <v>3841</v>
      </c>
      <c r="E395" t="s">
        <v>25</v>
      </c>
      <c r="F395" s="387">
        <v>4</v>
      </c>
      <c r="G395" s="16">
        <f>'Dry_Litterbag Placem_Collection'!E102</f>
        <v>42939</v>
      </c>
      <c r="H395" s="92" t="str">
        <f>'Final data_for_R_analysis_Dryse'!J541</f>
        <v>G187</v>
      </c>
      <c r="I395" t="str">
        <f>'Final data_for_R_analysis_Dryse'!J761</f>
        <v>R641</v>
      </c>
      <c r="J395">
        <f>IFERROR(INDEX('Green_rooibos initial weight'!$C$5:$C$1749,MATCH(H395, 'Green_rooibos initial weight'!$A$5:$A$1749,0)),"")</f>
        <v>1.996</v>
      </c>
      <c r="K395">
        <f>IFERROR(INDEX('Green_rooibos initial weight'!$C$5:$C$1749,MATCH(I395, 'Green_rooibos initial weight'!$A$5:$A$1749,0)),"")</f>
        <v>2.1459999999999999</v>
      </c>
      <c r="L395" s="195">
        <f t="shared" si="39"/>
        <v>1.7462</v>
      </c>
      <c r="M395" s="195">
        <f t="shared" si="40"/>
        <v>1.8961999999999999</v>
      </c>
      <c r="N395" s="16">
        <f>IF('Dry_Litterbag Placem_Collection'!G102="N.A","",'Dry_Litterbag Placem_Collection'!G102)</f>
        <v>43010</v>
      </c>
      <c r="O395" s="195">
        <f>IF(IFERROR(INDEX('Both teabags AfterDry'!$D$1:$D$839,MATCH(H395,'Both teabags AfterDry'!$A$1:$A$839,0)),"")="N.A","",(IFERROR(INDEX('Both teabags AfterDry'!$D$1:$D$839,MATCH(H395,'Both teabags AfterDry'!$A$1:$A$839,0)),"")))</f>
        <v>1.1655</v>
      </c>
      <c r="P395" s="195">
        <f>IF(IFERROR(INDEX('Both teabags AfterDry'!$D$1:$D$839,MATCH(I395,'Both teabags AfterDry'!$A$1:$A$839,0)),"")="N.A","",(IFERROR(INDEX('Both teabags AfterDry'!$D$1:$D$839,MATCH(I395,'Both teabags AfterDry'!$A$1:$A$839,0)),"")))</f>
        <v>1.9777</v>
      </c>
      <c r="Q395" s="195">
        <f t="shared" si="41"/>
        <v>1.0148999999999999</v>
      </c>
      <c r="R395" s="195">
        <f t="shared" si="41"/>
        <v>1.8270999999999999</v>
      </c>
      <c r="S395" s="195">
        <f t="shared" si="36"/>
        <v>0.41879509792692704</v>
      </c>
      <c r="T395" s="195">
        <f t="shared" si="42"/>
        <v>0.27455450600435122</v>
      </c>
      <c r="U395" s="195">
        <f t="shared" si="37"/>
        <v>0.96355869634004854</v>
      </c>
      <c r="V395">
        <f t="shared" si="38"/>
        <v>71</v>
      </c>
      <c r="W395" s="195">
        <f t="shared" si="43"/>
        <v>0.50261864854284199</v>
      </c>
      <c r="X395" s="195">
        <f t="shared" si="44"/>
        <v>2.005684580619812E-3</v>
      </c>
      <c r="Y395" s="255" t="str">
        <f>IF(ISNUMBER(SEARCH("C", 'Dry_Litterbag Placem_Collection'!V102)),"YES","NO")</f>
        <v>NO</v>
      </c>
      <c r="Z395" s="255" t="str">
        <f>IF(ISNUMBER(SEARCH("H", 'Dry_Litterbag Placem_Collection'!V102)),"YES","NO")</f>
        <v>NO</v>
      </c>
      <c r="AA395" s="255" t="str">
        <f>IF(ISNUMBER(SEARCH("R", 'Dry_Litterbag Placem_Collection'!V102)),"YES","NO")</f>
        <v>NO</v>
      </c>
      <c r="AB395" s="255" t="str">
        <f>IF(ISNUMBER(SEARCH("C", 'Dry_Litterbag Placem_Collection'!U102)),"YES","NO")</f>
        <v>NO</v>
      </c>
      <c r="AC395" s="255" t="str">
        <f>IF(ISNUMBER(SEARCH("H", 'Dry_Litterbag Placem_Collection'!U102)),"YES","NO")</f>
        <v>NO</v>
      </c>
      <c r="AD395" s="255" t="str">
        <f>IF(ISNUMBER(SEARCH("R", 'Dry_Litterbag Placem_Collection'!U102)),"YES","NO")</f>
        <v>NO</v>
      </c>
    </row>
    <row r="396" spans="2:30">
      <c r="B396" t="str">
        <f>'Final data_for_R_analysis_Dryse'!A542</f>
        <v>Dry</v>
      </c>
      <c r="C396" s="263">
        <f>'Final data_for_R_analysis_Dryse'!B542</f>
        <v>101</v>
      </c>
      <c r="D396" t="s">
        <v>3841</v>
      </c>
      <c r="E396" t="s">
        <v>25</v>
      </c>
      <c r="F396" s="387">
        <v>5</v>
      </c>
      <c r="G396" s="16">
        <f>'Dry_Litterbag Placem_Collection'!E103</f>
        <v>42939</v>
      </c>
      <c r="H396" s="92" t="str">
        <f>'Final data_for_R_analysis_Dryse'!J542</f>
        <v>G398</v>
      </c>
      <c r="I396" t="str">
        <f>'Final data_for_R_analysis_Dryse'!J762</f>
        <v>R245</v>
      </c>
      <c r="J396">
        <f>IFERROR(INDEX('Green_rooibos initial weight'!$C$5:$C$1749,MATCH(H396, 'Green_rooibos initial weight'!$A$5:$A$1749,0)),"")</f>
        <v>1.9870000000000001</v>
      </c>
      <c r="K396">
        <f>IFERROR(INDEX('Green_rooibos initial weight'!$C$5:$C$1749,MATCH(I396, 'Green_rooibos initial weight'!$A$5:$A$1749,0)),"")</f>
        <v>2.258</v>
      </c>
      <c r="L396" s="195">
        <f t="shared" si="39"/>
        <v>1.7372000000000001</v>
      </c>
      <c r="M396" s="195">
        <f t="shared" si="40"/>
        <v>2.0082</v>
      </c>
      <c r="N396" s="16">
        <f>IF('Dry_Litterbag Placem_Collection'!G103="N.A","",'Dry_Litterbag Placem_Collection'!G103)</f>
        <v>43010</v>
      </c>
      <c r="O396" s="195">
        <f>IF(IFERROR(INDEX('Both teabags AfterDry'!$D$1:$D$839,MATCH(H396,'Both teabags AfterDry'!$A$1:$A$839,0)),"")="N.A","",(IFERROR(INDEX('Both teabags AfterDry'!$D$1:$D$839,MATCH(H396,'Both teabags AfterDry'!$A$1:$A$839,0)),"")))</f>
        <v>1.0217000000000001</v>
      </c>
      <c r="P396" s="195">
        <f>IF(IFERROR(INDEX('Both teabags AfterDry'!$D$1:$D$839,MATCH(I396,'Both teabags AfterDry'!$A$1:$A$839,0)),"")="N.A","",(IFERROR(INDEX('Both teabags AfterDry'!$D$1:$D$839,MATCH(I396,'Both teabags AfterDry'!$A$1:$A$839,0)),"")))</f>
        <v>1.8418000000000001</v>
      </c>
      <c r="Q396" s="195">
        <f t="shared" si="41"/>
        <v>0.87109999999999999</v>
      </c>
      <c r="R396" s="195">
        <f t="shared" si="41"/>
        <v>1.6912</v>
      </c>
      <c r="S396" s="195">
        <f t="shared" ref="S396:S459" si="45">IFERROR(1-Q396/L396,"")</f>
        <v>0.49856090260188812</v>
      </c>
      <c r="T396" s="195">
        <f t="shared" si="42"/>
        <v>0.32684752759648728</v>
      </c>
      <c r="U396" s="195">
        <f t="shared" ref="U396:U459" si="46">IFERROR(R396/M396,"")</f>
        <v>0.84214719649437308</v>
      </c>
      <c r="V396">
        <f t="shared" ref="V396:V459" si="47">IF((N396-G396)&gt;0,(IFERROR(N396-G396,"")),"")</f>
        <v>71</v>
      </c>
      <c r="W396" s="195">
        <f t="shared" si="43"/>
        <v>0.40788491377447966</v>
      </c>
      <c r="X396" s="195">
        <f t="shared" si="44"/>
        <v>9.2905111218978178E-3</v>
      </c>
      <c r="Y396" s="255" t="str">
        <f>IF(ISNUMBER(SEARCH("C", 'Dry_Litterbag Placem_Collection'!V103)),"YES","NO")</f>
        <v>NO</v>
      </c>
      <c r="Z396" s="255" t="str">
        <f>IF(ISNUMBER(SEARCH("H", 'Dry_Litterbag Placem_Collection'!V103)),"YES","NO")</f>
        <v>NO</v>
      </c>
      <c r="AA396" s="255" t="str">
        <f>IF(ISNUMBER(SEARCH("R", 'Dry_Litterbag Placem_Collection'!V103)),"YES","NO")</f>
        <v>NO</v>
      </c>
      <c r="AB396" s="255" t="str">
        <f>IF(ISNUMBER(SEARCH("C", 'Dry_Litterbag Placem_Collection'!U103)),"YES","NO")</f>
        <v>NO</v>
      </c>
      <c r="AC396" s="255" t="str">
        <f>IF(ISNUMBER(SEARCH("H", 'Dry_Litterbag Placem_Collection'!U103)),"YES","NO")</f>
        <v>NO</v>
      </c>
      <c r="AD396" s="255" t="str">
        <f>IF(ISNUMBER(SEARCH("R", 'Dry_Litterbag Placem_Collection'!U103)),"YES","NO")</f>
        <v>NO</v>
      </c>
    </row>
    <row r="397" spans="2:30">
      <c r="B397" t="str">
        <f>'Final data_for_R_analysis_Dryse'!A543</f>
        <v>Dry</v>
      </c>
      <c r="C397" s="263">
        <f>'Final data_for_R_analysis_Dryse'!B543</f>
        <v>102</v>
      </c>
      <c r="D397" t="s">
        <v>3841</v>
      </c>
      <c r="E397" t="s">
        <v>25</v>
      </c>
      <c r="F397" s="387">
        <v>6</v>
      </c>
      <c r="G397" s="16">
        <f>'Dry_Litterbag Placem_Collection'!E104</f>
        <v>42939</v>
      </c>
      <c r="H397" s="92" t="str">
        <f>'Final data_for_R_analysis_Dryse'!J543</f>
        <v>G120</v>
      </c>
      <c r="I397" t="str">
        <f>'Final data_for_R_analysis_Dryse'!J763</f>
        <v>R714</v>
      </c>
      <c r="J397">
        <f>IFERROR(INDEX('Green_rooibos initial weight'!$C$5:$C$1749,MATCH(H397, 'Green_rooibos initial weight'!$A$5:$A$1749,0)),"")</f>
        <v>2.0449999999999999</v>
      </c>
      <c r="K397">
        <f>IFERROR(INDEX('Green_rooibos initial weight'!$C$5:$C$1749,MATCH(I397, 'Green_rooibos initial weight'!$A$5:$A$1749,0)),"")</f>
        <v>2.1560000000000001</v>
      </c>
      <c r="L397" s="195">
        <f t="shared" ref="L397:L460" si="48">IFERROR(IF(J397&gt;0,(J397*$F$31-($F$29+$F$30)),""),"")</f>
        <v>1.7951999999999999</v>
      </c>
      <c r="M397" s="195">
        <f t="shared" ref="M397:M460" si="49">IFERROR(IF(K397&gt;0,(K397*$F$32-($F$29+$F$30)),""),"")</f>
        <v>1.9062000000000001</v>
      </c>
      <c r="N397" s="16">
        <f>IF('Dry_Litterbag Placem_Collection'!G104="N.A","",'Dry_Litterbag Placem_Collection'!G104)</f>
        <v>43010</v>
      </c>
      <c r="O397" s="195">
        <f>IF(IFERROR(INDEX('Both teabags AfterDry'!$D$1:$D$839,MATCH(H397,'Both teabags AfterDry'!$A$1:$A$839,0)),"")="N.A","",(IFERROR(INDEX('Both teabags AfterDry'!$D$1:$D$839,MATCH(H397,'Both teabags AfterDry'!$A$1:$A$839,0)),"")))</f>
        <v>1.0569999999999999</v>
      </c>
      <c r="P397" s="195">
        <f>IF(IFERROR(INDEX('Both teabags AfterDry'!$D$1:$D$839,MATCH(I397,'Both teabags AfterDry'!$A$1:$A$839,0)),"")="N.A","",(IFERROR(INDEX('Both teabags AfterDry'!$D$1:$D$839,MATCH(I397,'Both teabags AfterDry'!$A$1:$A$839,0)),"")))</f>
        <v>1.8105</v>
      </c>
      <c r="Q397" s="195">
        <f t="shared" ref="Q397:R460" si="50">IFERROR(IF(O397&gt;0,O397-($F$29),""),"")</f>
        <v>0.90639999999999987</v>
      </c>
      <c r="R397" s="195">
        <f t="shared" si="50"/>
        <v>1.6598999999999999</v>
      </c>
      <c r="S397" s="195">
        <f t="shared" si="45"/>
        <v>0.49509803921568629</v>
      </c>
      <c r="T397" s="195">
        <f t="shared" ref="T397:T460" si="51">IFERROR($F$26*(1-W397),"")</f>
        <v>0.32457733687299151</v>
      </c>
      <c r="U397" s="195">
        <f t="shared" si="46"/>
        <v>0.87079005350960015</v>
      </c>
      <c r="V397">
        <f t="shared" si="47"/>
        <v>71</v>
      </c>
      <c r="W397" s="195">
        <f t="shared" ref="W397:W460" si="52">IFERROR(1-(S397/$F$25),"")</f>
        <v>0.41199757812863858</v>
      </c>
      <c r="X397" s="195">
        <f t="shared" ref="X397:X460" si="53">IFERROR(LN(T397/(U397-(1-T397)))/V397,"")</f>
        <v>7.1498872508218786E-3</v>
      </c>
      <c r="Y397" s="255" t="str">
        <f>IF(ISNUMBER(SEARCH("C", 'Dry_Litterbag Placem_Collection'!V104)),"YES","NO")</f>
        <v>NO</v>
      </c>
      <c r="Z397" s="255" t="str">
        <f>IF(ISNUMBER(SEARCH("H", 'Dry_Litterbag Placem_Collection'!V104)),"YES","NO")</f>
        <v>NO</v>
      </c>
      <c r="AA397" s="255" t="str">
        <f>IF(ISNUMBER(SEARCH("R", 'Dry_Litterbag Placem_Collection'!V104)),"YES","NO")</f>
        <v>NO</v>
      </c>
      <c r="AB397" s="255" t="str">
        <f>IF(ISNUMBER(SEARCH("C", 'Dry_Litterbag Placem_Collection'!U104)),"YES","NO")</f>
        <v>NO</v>
      </c>
      <c r="AC397" s="255" t="str">
        <f>IF(ISNUMBER(SEARCH("H", 'Dry_Litterbag Placem_Collection'!U104)),"YES","NO")</f>
        <v>NO</v>
      </c>
      <c r="AD397" s="255" t="str">
        <f>IF(ISNUMBER(SEARCH("R", 'Dry_Litterbag Placem_Collection'!U104)),"YES","NO")</f>
        <v>NO</v>
      </c>
    </row>
    <row r="398" spans="2:30">
      <c r="B398" t="str">
        <f>'Final data_for_R_analysis_Dryse'!A544</f>
        <v>Dry</v>
      </c>
      <c r="C398" s="263">
        <f>'Final data_for_R_analysis_Dryse'!B544</f>
        <v>103</v>
      </c>
      <c r="D398" t="s">
        <v>3841</v>
      </c>
      <c r="E398" t="s">
        <v>25</v>
      </c>
      <c r="F398" s="387">
        <v>7</v>
      </c>
      <c r="G398" s="16">
        <f>'Dry_Litterbag Placem_Collection'!E105</f>
        <v>42939</v>
      </c>
      <c r="H398" s="92" t="str">
        <f>'Final data_for_R_analysis_Dryse'!J544</f>
        <v>G145</v>
      </c>
      <c r="I398" t="str">
        <f>'Final data_for_R_analysis_Dryse'!J764</f>
        <v>R701</v>
      </c>
      <c r="J398">
        <f>IFERROR(INDEX('Green_rooibos initial weight'!$C$5:$C$1749,MATCH(H398, 'Green_rooibos initial weight'!$A$5:$A$1749,0)),"")</f>
        <v>2.044</v>
      </c>
      <c r="K398">
        <f>IFERROR(INDEX('Green_rooibos initial weight'!$C$5:$C$1749,MATCH(I398, 'Green_rooibos initial weight'!$A$5:$A$1749,0)),"")</f>
        <v>2.1549999999999998</v>
      </c>
      <c r="L398" s="195">
        <f t="shared" si="48"/>
        <v>1.7942</v>
      </c>
      <c r="M398" s="195">
        <f t="shared" si="49"/>
        <v>1.9051999999999998</v>
      </c>
      <c r="N398" s="16">
        <f>IF('Dry_Litterbag Placem_Collection'!G105="N.A","",'Dry_Litterbag Placem_Collection'!G105)</f>
        <v>43010</v>
      </c>
      <c r="O398" s="195">
        <f>IF(IFERROR(INDEX('Both teabags AfterDry'!$D$1:$D$839,MATCH(H398,'Both teabags AfterDry'!$A$1:$A$839,0)),"")="N.A","",(IFERROR(INDEX('Both teabags AfterDry'!$D$1:$D$839,MATCH(H398,'Both teabags AfterDry'!$A$1:$A$839,0)),"")))</f>
        <v>1.0654999999999999</v>
      </c>
      <c r="P398" s="195">
        <f>IF(IFERROR(INDEX('Both teabags AfterDry'!$D$1:$D$839,MATCH(I398,'Both teabags AfterDry'!$A$1:$A$839,0)),"")="N.A","",(IFERROR(INDEX('Both teabags AfterDry'!$D$1:$D$839,MATCH(I398,'Both teabags AfterDry'!$A$1:$A$839,0)),"")))</f>
        <v>1.8272999999999999</v>
      </c>
      <c r="Q398" s="195">
        <f t="shared" si="50"/>
        <v>0.91489999999999982</v>
      </c>
      <c r="R398" s="195">
        <f t="shared" si="50"/>
        <v>1.6766999999999999</v>
      </c>
      <c r="S398" s="195">
        <f t="shared" si="45"/>
        <v>0.49007914390814855</v>
      </c>
      <c r="T398" s="195">
        <f t="shared" si="51"/>
        <v>0.32128703971175537</v>
      </c>
      <c r="U398" s="195">
        <f t="shared" si="46"/>
        <v>0.88006508503044301</v>
      </c>
      <c r="V398">
        <f t="shared" si="47"/>
        <v>71</v>
      </c>
      <c r="W398" s="195">
        <f t="shared" si="52"/>
        <v>0.41795826139174752</v>
      </c>
      <c r="X398" s="195">
        <f t="shared" si="53"/>
        <v>6.5814040641289174E-3</v>
      </c>
      <c r="Y398" s="255" t="str">
        <f>IF(ISNUMBER(SEARCH("C", 'Dry_Litterbag Placem_Collection'!V105)),"YES","NO")</f>
        <v>NO</v>
      </c>
      <c r="Z398" s="255" t="str">
        <f>IF(ISNUMBER(SEARCH("H", 'Dry_Litterbag Placem_Collection'!V105)),"YES","NO")</f>
        <v>NO</v>
      </c>
      <c r="AA398" s="255" t="str">
        <f>IF(ISNUMBER(SEARCH("R", 'Dry_Litterbag Placem_Collection'!V105)),"YES","NO")</f>
        <v>NO</v>
      </c>
      <c r="AB398" s="255" t="str">
        <f>IF(ISNUMBER(SEARCH("C", 'Dry_Litterbag Placem_Collection'!U105)),"YES","NO")</f>
        <v>NO</v>
      </c>
      <c r="AC398" s="255" t="str">
        <f>IF(ISNUMBER(SEARCH("H", 'Dry_Litterbag Placem_Collection'!U105)),"YES","NO")</f>
        <v>NO</v>
      </c>
      <c r="AD398" s="255" t="str">
        <f>IF(ISNUMBER(SEARCH("R", 'Dry_Litterbag Placem_Collection'!U105)),"YES","NO")</f>
        <v>NO</v>
      </c>
    </row>
    <row r="399" spans="2:30">
      <c r="B399" t="str">
        <f>'Final data_for_R_analysis_Dryse'!A545</f>
        <v>Dry</v>
      </c>
      <c r="C399" s="263">
        <f>'Final data_for_R_analysis_Dryse'!B545</f>
        <v>104</v>
      </c>
      <c r="D399" t="s">
        <v>3841</v>
      </c>
      <c r="E399" t="s">
        <v>25</v>
      </c>
      <c r="F399" s="387">
        <v>8</v>
      </c>
      <c r="G399" s="16">
        <f>'Dry_Litterbag Placem_Collection'!E106</f>
        <v>42939</v>
      </c>
      <c r="H399" s="92" t="str">
        <f>'Final data_for_R_analysis_Dryse'!J545</f>
        <v>G76</v>
      </c>
      <c r="I399" t="str">
        <f>'Final data_for_R_analysis_Dryse'!J765</f>
        <v>R365</v>
      </c>
      <c r="J399">
        <f>IFERROR(INDEX('Green_rooibos initial weight'!$C$5:$C$1749,MATCH(H399, 'Green_rooibos initial weight'!$A$5:$A$1749,0)),"")</f>
        <v>2.0129999999999999</v>
      </c>
      <c r="K399">
        <f>IFERROR(INDEX('Green_rooibos initial weight'!$C$5:$C$1749,MATCH(I399, 'Green_rooibos initial weight'!$A$5:$A$1749,0)),"")</f>
        <v>2.2130000000000001</v>
      </c>
      <c r="L399" s="195">
        <f t="shared" si="48"/>
        <v>1.7631999999999999</v>
      </c>
      <c r="M399" s="195">
        <f t="shared" si="49"/>
        <v>1.9632000000000001</v>
      </c>
      <c r="N399" s="16">
        <f>IF('Dry_Litterbag Placem_Collection'!G106="N.A","",'Dry_Litterbag Placem_Collection'!G106)</f>
        <v>43010</v>
      </c>
      <c r="O399" s="195">
        <f>IF(IFERROR(INDEX('Both teabags AfterDry'!$D$1:$D$839,MATCH(H399,'Both teabags AfterDry'!$A$1:$A$839,0)),"")="N.A","",(IFERROR(INDEX('Both teabags AfterDry'!$D$1:$D$839,MATCH(H399,'Both teabags AfterDry'!$A$1:$A$839,0)),"")))</f>
        <v>1.2876000000000001</v>
      </c>
      <c r="P399" s="195">
        <f>IF(IFERROR(INDEX('Both teabags AfterDry'!$D$1:$D$839,MATCH(I399,'Both teabags AfterDry'!$A$1:$A$839,0)),"")="N.A","",(IFERROR(INDEX('Both teabags AfterDry'!$D$1:$D$839,MATCH(I399,'Both teabags AfterDry'!$A$1:$A$839,0)),"")))</f>
        <v>1.9468000000000001</v>
      </c>
      <c r="Q399" s="195">
        <f t="shared" si="50"/>
        <v>1.137</v>
      </c>
      <c r="R399" s="195">
        <f t="shared" si="50"/>
        <v>1.7962</v>
      </c>
      <c r="S399" s="195">
        <f t="shared" si="45"/>
        <v>0.35514972776769504</v>
      </c>
      <c r="T399" s="195">
        <f t="shared" si="51"/>
        <v>0.23282975027050795</v>
      </c>
      <c r="U399" s="195">
        <f t="shared" si="46"/>
        <v>0.91493480032599839</v>
      </c>
      <c r="V399">
        <f t="shared" si="47"/>
        <v>71</v>
      </c>
      <c r="W399" s="195">
        <f t="shared" si="52"/>
        <v>0.57820697414763056</v>
      </c>
      <c r="X399" s="195">
        <f t="shared" si="53"/>
        <v>6.404047441108938E-3</v>
      </c>
      <c r="Y399" s="255" t="str">
        <f>IF(ISNUMBER(SEARCH("C", 'Dry_Litterbag Placem_Collection'!V106)),"YES","NO")</f>
        <v>NO</v>
      </c>
      <c r="Z399" s="255" t="str">
        <f>IF(ISNUMBER(SEARCH("H", 'Dry_Litterbag Placem_Collection'!V106)),"YES","NO")</f>
        <v>NO</v>
      </c>
      <c r="AA399" s="255" t="str">
        <f>IF(ISNUMBER(SEARCH("R", 'Dry_Litterbag Placem_Collection'!V106)),"YES","NO")</f>
        <v>NO</v>
      </c>
      <c r="AB399" s="255" t="str">
        <f>IF(ISNUMBER(SEARCH("C", 'Dry_Litterbag Placem_Collection'!U106)),"YES","NO")</f>
        <v>NO</v>
      </c>
      <c r="AC399" s="255" t="str">
        <f>IF(ISNUMBER(SEARCH("H", 'Dry_Litterbag Placem_Collection'!U106)),"YES","NO")</f>
        <v>NO</v>
      </c>
      <c r="AD399" s="255" t="str">
        <f>IF(ISNUMBER(SEARCH("R", 'Dry_Litterbag Placem_Collection'!U106)),"YES","NO")</f>
        <v>NO</v>
      </c>
    </row>
    <row r="400" spans="2:30">
      <c r="B400" t="str">
        <f>'Final data_for_R_analysis_Dryse'!A546</f>
        <v>Dry</v>
      </c>
      <c r="C400" s="263">
        <f>'Final data_for_R_analysis_Dryse'!B546</f>
        <v>105</v>
      </c>
      <c r="D400" t="s">
        <v>3843</v>
      </c>
      <c r="E400" t="s">
        <v>25</v>
      </c>
      <c r="F400" s="386">
        <v>1</v>
      </c>
      <c r="G400" s="16">
        <f>'Dry_Litterbag Placem_Collection'!E107</f>
        <v>42939</v>
      </c>
      <c r="H400" s="92" t="str">
        <f>'Final data_for_R_analysis_Dryse'!J546</f>
        <v>G57</v>
      </c>
      <c r="I400" t="str">
        <f>'Final data_for_R_analysis_Dryse'!J766</f>
        <v>R212</v>
      </c>
      <c r="J400">
        <f>IFERROR(INDEX('Green_rooibos initial weight'!$C$5:$C$1749,MATCH(H400, 'Green_rooibos initial weight'!$A$5:$A$1749,0)),"")</f>
        <v>2.077</v>
      </c>
      <c r="K400">
        <f>IFERROR(INDEX('Green_rooibos initial weight'!$C$5:$C$1749,MATCH(I400, 'Green_rooibos initial weight'!$A$5:$A$1749,0)),"")</f>
        <v>2.2519999999999998</v>
      </c>
      <c r="L400" s="195">
        <f t="shared" si="48"/>
        <v>1.8271999999999999</v>
      </c>
      <c r="M400" s="195">
        <f t="shared" si="49"/>
        <v>2.0021999999999998</v>
      </c>
      <c r="N400" s="16">
        <f>IF('Dry_Litterbag Placem_Collection'!G107="N.A","",'Dry_Litterbag Placem_Collection'!G107)</f>
        <v>43010</v>
      </c>
      <c r="O400" s="195">
        <f>IF(IFERROR(INDEX('Both teabags AfterDry'!$D$1:$D$839,MATCH(H400,'Both teabags AfterDry'!$A$1:$A$839,0)),"")="N.A","",(IFERROR(INDEX('Both teabags AfterDry'!$D$1:$D$839,MATCH(H400,'Both teabags AfterDry'!$A$1:$A$839,0)),"")))</f>
        <v>1.0114000000000001</v>
      </c>
      <c r="P400" s="195">
        <f>IF(IFERROR(INDEX('Both teabags AfterDry'!$D$1:$D$839,MATCH(I400,'Both teabags AfterDry'!$A$1:$A$839,0)),"")="N.A","",(IFERROR(INDEX('Both teabags AfterDry'!$D$1:$D$839,MATCH(I400,'Both teabags AfterDry'!$A$1:$A$839,0)),"")))</f>
        <v>1.9135</v>
      </c>
      <c r="Q400" s="195">
        <f t="shared" si="50"/>
        <v>0.86080000000000001</v>
      </c>
      <c r="R400" s="195">
        <f t="shared" si="50"/>
        <v>1.7628999999999999</v>
      </c>
      <c r="S400" s="195">
        <f t="shared" si="45"/>
        <v>0.52889667250437822</v>
      </c>
      <c r="T400" s="195">
        <f t="shared" si="51"/>
        <v>0.34673511071545937</v>
      </c>
      <c r="U400" s="195">
        <f t="shared" si="46"/>
        <v>0.88048147038257918</v>
      </c>
      <c r="V400">
        <f t="shared" si="47"/>
        <v>71</v>
      </c>
      <c r="W400" s="195">
        <f t="shared" si="52"/>
        <v>0.37185668348648671</v>
      </c>
      <c r="X400" s="195">
        <f t="shared" si="53"/>
        <v>5.9529218924882256E-3</v>
      </c>
      <c r="Y400" s="255" t="str">
        <f>IF(ISNUMBER(SEARCH("C", 'Dry_Litterbag Placem_Collection'!V107)),"YES","NO")</f>
        <v>NO</v>
      </c>
      <c r="Z400" s="255" t="str">
        <f>IF(ISNUMBER(SEARCH("H", 'Dry_Litterbag Placem_Collection'!V107)),"YES","NO")</f>
        <v>NO</v>
      </c>
      <c r="AA400" s="255" t="str">
        <f>IF(ISNUMBER(SEARCH("R", 'Dry_Litterbag Placem_Collection'!V107)),"YES","NO")</f>
        <v>NO</v>
      </c>
      <c r="AB400" s="255" t="str">
        <f>IF(ISNUMBER(SEARCH("C", 'Dry_Litterbag Placem_Collection'!U107)),"YES","NO")</f>
        <v>NO</v>
      </c>
      <c r="AC400" s="255" t="str">
        <f>IF(ISNUMBER(SEARCH("H", 'Dry_Litterbag Placem_Collection'!U107)),"YES","NO")</f>
        <v>NO</v>
      </c>
      <c r="AD400" s="255" t="str">
        <f>IF(ISNUMBER(SEARCH("R", 'Dry_Litterbag Placem_Collection'!U107)),"YES","NO")</f>
        <v>NO</v>
      </c>
    </row>
    <row r="401" spans="2:30">
      <c r="B401" t="str">
        <f>'Final data_for_R_analysis_Dryse'!A547</f>
        <v>Dry</v>
      </c>
      <c r="C401" s="263">
        <f>'Final data_for_R_analysis_Dryse'!B547</f>
        <v>106</v>
      </c>
      <c r="D401" t="s">
        <v>3843</v>
      </c>
      <c r="E401" t="s">
        <v>25</v>
      </c>
      <c r="F401" s="386">
        <v>2</v>
      </c>
      <c r="G401" s="16">
        <f>'Dry_Litterbag Placem_Collection'!E108</f>
        <v>42939</v>
      </c>
      <c r="H401" s="92" t="str">
        <f>'Final data_for_R_analysis_Dryse'!J547</f>
        <v>G167</v>
      </c>
      <c r="I401" t="str">
        <f>'Final data_for_R_analysis_Dryse'!J767</f>
        <v>R66</v>
      </c>
      <c r="J401">
        <f>IFERROR(INDEX('Green_rooibos initial weight'!$C$5:$C$1749,MATCH(H401, 'Green_rooibos initial weight'!$A$5:$A$1749,0)),"")</f>
        <v>1.996</v>
      </c>
      <c r="K401">
        <f>IFERROR(INDEX('Green_rooibos initial weight'!$C$5:$C$1749,MATCH(I401, 'Green_rooibos initial weight'!$A$5:$A$1749,0)),"")</f>
        <v>2.1120000000000001</v>
      </c>
      <c r="L401" s="195">
        <f t="shared" si="48"/>
        <v>1.7462</v>
      </c>
      <c r="M401" s="195">
        <f t="shared" si="49"/>
        <v>1.8622000000000001</v>
      </c>
      <c r="N401" s="16">
        <f>IF('Dry_Litterbag Placem_Collection'!G108="N.A","",'Dry_Litterbag Placem_Collection'!G108)</f>
        <v>43010</v>
      </c>
      <c r="O401" s="195">
        <f>IF(IFERROR(INDEX('Both teabags AfterDry'!$D$1:$D$839,MATCH(H401,'Both teabags AfterDry'!$A$1:$A$839,0)),"")="N.A","",(IFERROR(INDEX('Both teabags AfterDry'!$D$1:$D$839,MATCH(H401,'Both teabags AfterDry'!$A$1:$A$839,0)),"")))</f>
        <v>0.98309999999999997</v>
      </c>
      <c r="P401" s="195">
        <f>IF(IFERROR(INDEX('Both teabags AfterDry'!$D$1:$D$839,MATCH(I401,'Both teabags AfterDry'!$A$1:$A$839,0)),"")="N.A","",(IFERROR(INDEX('Both teabags AfterDry'!$D$1:$D$839,MATCH(I401,'Both teabags AfterDry'!$A$1:$A$839,0)),"")))</f>
        <v>1.7972999999999999</v>
      </c>
      <c r="Q401" s="195">
        <f t="shared" si="50"/>
        <v>0.83250000000000002</v>
      </c>
      <c r="R401" s="195">
        <f t="shared" si="50"/>
        <v>1.6466999999999998</v>
      </c>
      <c r="S401" s="195">
        <f t="shared" si="45"/>
        <v>0.52325048677127473</v>
      </c>
      <c r="T401" s="195">
        <f t="shared" si="51"/>
        <v>0.34303357327523004</v>
      </c>
      <c r="U401" s="195">
        <f t="shared" si="46"/>
        <v>0.88427666201267308</v>
      </c>
      <c r="V401">
        <f t="shared" si="47"/>
        <v>71</v>
      </c>
      <c r="W401" s="195">
        <f t="shared" si="52"/>
        <v>0.37856236725501813</v>
      </c>
      <c r="X401" s="195">
        <f t="shared" si="53"/>
        <v>5.795951604745061E-3</v>
      </c>
      <c r="Y401" s="255" t="str">
        <f>IF(ISNUMBER(SEARCH("C", 'Dry_Litterbag Placem_Collection'!V108)),"YES","NO")</f>
        <v>NO</v>
      </c>
      <c r="Z401" s="255" t="str">
        <f>IF(ISNUMBER(SEARCH("H", 'Dry_Litterbag Placem_Collection'!V108)),"YES","NO")</f>
        <v>NO</v>
      </c>
      <c r="AA401" s="255" t="str">
        <f>IF(ISNUMBER(SEARCH("R", 'Dry_Litterbag Placem_Collection'!V108)),"YES","NO")</f>
        <v>NO</v>
      </c>
      <c r="AB401" s="255" t="str">
        <f>IF(ISNUMBER(SEARCH("C", 'Dry_Litterbag Placem_Collection'!U108)),"YES","NO")</f>
        <v>NO</v>
      </c>
      <c r="AC401" s="255" t="str">
        <f>IF(ISNUMBER(SEARCH("H", 'Dry_Litterbag Placem_Collection'!U108)),"YES","NO")</f>
        <v>NO</v>
      </c>
      <c r="AD401" s="255" t="str">
        <f>IF(ISNUMBER(SEARCH("R", 'Dry_Litterbag Placem_Collection'!U108)),"YES","NO")</f>
        <v>NO</v>
      </c>
    </row>
    <row r="402" spans="2:30">
      <c r="B402" t="str">
        <f>'Final data_for_R_analysis_Dryse'!A548</f>
        <v>Dry</v>
      </c>
      <c r="C402" s="263">
        <f>'Final data_for_R_analysis_Dryse'!B548</f>
        <v>107</v>
      </c>
      <c r="D402" t="s">
        <v>3843</v>
      </c>
      <c r="E402" t="s">
        <v>25</v>
      </c>
      <c r="F402" s="386">
        <v>3</v>
      </c>
      <c r="G402" s="16">
        <f>'Dry_Litterbag Placem_Collection'!E109</f>
        <v>42939</v>
      </c>
      <c r="H402" s="92" t="str">
        <f>'Final data_for_R_analysis_Dryse'!J548</f>
        <v>G208</v>
      </c>
      <c r="I402" t="str">
        <f>'Final data_for_R_analysis_Dryse'!J768</f>
        <v>R347</v>
      </c>
      <c r="J402">
        <f>IFERROR(INDEX('Green_rooibos initial weight'!$C$5:$C$1749,MATCH(H402, 'Green_rooibos initial weight'!$A$5:$A$1749,0)),"")</f>
        <v>2.0019999999999998</v>
      </c>
      <c r="K402">
        <f>IFERROR(INDEX('Green_rooibos initial weight'!$C$5:$C$1749,MATCH(I402, 'Green_rooibos initial weight'!$A$5:$A$1749,0)),"")</f>
        <v>2.2400000000000002</v>
      </c>
      <c r="L402" s="195">
        <f t="shared" si="48"/>
        <v>1.7521999999999998</v>
      </c>
      <c r="M402" s="195">
        <f t="shared" si="49"/>
        <v>1.9902000000000002</v>
      </c>
      <c r="N402" s="16">
        <f>IF('Dry_Litterbag Placem_Collection'!G109="N.A","",'Dry_Litterbag Placem_Collection'!G109)</f>
        <v>43010</v>
      </c>
      <c r="O402" s="195" t="str">
        <f>IF(IFERROR(INDEX('Both teabags AfterDry'!$D$1:$D$839,MATCH(H402,'Both teabags AfterDry'!$A$1:$A$839,0)),"")="N.A","",(IFERROR(INDEX('Both teabags AfterDry'!$D$1:$D$839,MATCH(H402,'Both teabags AfterDry'!$A$1:$A$839,0)),"")))</f>
        <v/>
      </c>
      <c r="P402" s="195" t="str">
        <f>IF(IFERROR(INDEX('Both teabags AfterDry'!$D$1:$D$839,MATCH(I402,'Both teabags AfterDry'!$A$1:$A$839,0)),"")="N.A","",(IFERROR(INDEX('Both teabags AfterDry'!$D$1:$D$839,MATCH(I402,'Both teabags AfterDry'!$A$1:$A$839,0)),"")))</f>
        <v/>
      </c>
      <c r="Q402" s="195" t="str">
        <f t="shared" si="50"/>
        <v/>
      </c>
      <c r="R402" s="195" t="str">
        <f t="shared" si="50"/>
        <v/>
      </c>
      <c r="S402" s="195" t="str">
        <f t="shared" si="45"/>
        <v/>
      </c>
      <c r="T402" s="195" t="str">
        <f t="shared" si="51"/>
        <v/>
      </c>
      <c r="U402" s="195" t="str">
        <f t="shared" si="46"/>
        <v/>
      </c>
      <c r="V402">
        <f t="shared" si="47"/>
        <v>71</v>
      </c>
      <c r="W402" s="195" t="str">
        <f t="shared" si="52"/>
        <v/>
      </c>
      <c r="X402" s="195" t="str">
        <f t="shared" si="53"/>
        <v/>
      </c>
      <c r="Y402" s="255" t="str">
        <f>IF(ISNUMBER(SEARCH("C", 'Dry_Litterbag Placem_Collection'!V109)),"YES","NO")</f>
        <v>NO</v>
      </c>
      <c r="Z402" s="255" t="str">
        <f>IF(ISNUMBER(SEARCH("H", 'Dry_Litterbag Placem_Collection'!V109)),"YES","NO")</f>
        <v>NO</v>
      </c>
      <c r="AA402" s="255" t="str">
        <f>IF(ISNUMBER(SEARCH("R", 'Dry_Litterbag Placem_Collection'!V109)),"YES","NO")</f>
        <v>NO</v>
      </c>
      <c r="AB402" s="255" t="str">
        <f>IF(ISNUMBER(SEARCH("C", 'Dry_Litterbag Placem_Collection'!U109)),"YES","NO")</f>
        <v>NO</v>
      </c>
      <c r="AC402" s="255" t="str">
        <f>IF(ISNUMBER(SEARCH("H", 'Dry_Litterbag Placem_Collection'!U109)),"YES","NO")</f>
        <v>NO</v>
      </c>
      <c r="AD402" s="255" t="str">
        <f>IF(ISNUMBER(SEARCH("R", 'Dry_Litterbag Placem_Collection'!U109)),"YES","NO")</f>
        <v>NO</v>
      </c>
    </row>
    <row r="403" spans="2:30">
      <c r="B403" t="str">
        <f>'Final data_for_R_analysis_Dryse'!A549</f>
        <v>Dry</v>
      </c>
      <c r="C403" s="263">
        <f>'Final data_for_R_analysis_Dryse'!B549</f>
        <v>108</v>
      </c>
      <c r="D403" t="s">
        <v>3843</v>
      </c>
      <c r="E403" t="s">
        <v>25</v>
      </c>
      <c r="F403" s="387">
        <v>4</v>
      </c>
      <c r="G403" s="16">
        <f>'Dry_Litterbag Placem_Collection'!E110</f>
        <v>42939</v>
      </c>
      <c r="H403" s="92" t="str">
        <f>'Final data_for_R_analysis_Dryse'!J549</f>
        <v>G62</v>
      </c>
      <c r="I403" t="str">
        <f>'Final data_for_R_analysis_Dryse'!J769</f>
        <v>R206</v>
      </c>
      <c r="J403">
        <f>IFERROR(INDEX('Green_rooibos initial weight'!$C$5:$C$1749,MATCH(H403, 'Green_rooibos initial weight'!$A$5:$A$1749,0)),"")</f>
        <v>2.0819999999999999</v>
      </c>
      <c r="K403">
        <f>IFERROR(INDEX('Green_rooibos initial weight'!$C$5:$C$1749,MATCH(I403, 'Green_rooibos initial weight'!$A$5:$A$1749,0)),"")</f>
        <v>2.2549999999999999</v>
      </c>
      <c r="L403" s="195">
        <f t="shared" si="48"/>
        <v>1.8321999999999998</v>
      </c>
      <c r="M403" s="195">
        <f t="shared" si="49"/>
        <v>2.0051999999999999</v>
      </c>
      <c r="N403" s="16">
        <f>IF('Dry_Litterbag Placem_Collection'!G110="N.A","",'Dry_Litterbag Placem_Collection'!G110)</f>
        <v>43010</v>
      </c>
      <c r="O403" s="195">
        <f>IF(IFERROR(INDEX('Both teabags AfterDry'!$D$1:$D$839,MATCH(H403,'Both teabags AfterDry'!$A$1:$A$839,0)),"")="N.A","",(IFERROR(INDEX('Both teabags AfterDry'!$D$1:$D$839,MATCH(H403,'Both teabags AfterDry'!$A$1:$A$839,0)),"")))</f>
        <v>1.0947</v>
      </c>
      <c r="P403" s="195">
        <f>IF(IFERROR(INDEX('Both teabags AfterDry'!$D$1:$D$839,MATCH(I403,'Both teabags AfterDry'!$A$1:$A$839,0)),"")="N.A","",(IFERROR(INDEX('Both teabags AfterDry'!$D$1:$D$839,MATCH(I403,'Both teabags AfterDry'!$A$1:$A$839,0)),"")))</f>
        <v>1.9655</v>
      </c>
      <c r="Q403" s="195">
        <f t="shared" si="50"/>
        <v>0.94409999999999994</v>
      </c>
      <c r="R403" s="195">
        <f t="shared" si="50"/>
        <v>1.8149</v>
      </c>
      <c r="S403" s="195">
        <f t="shared" si="45"/>
        <v>0.48471782556489462</v>
      </c>
      <c r="T403" s="195">
        <f t="shared" si="51"/>
        <v>0.31777225618981214</v>
      </c>
      <c r="U403" s="195">
        <f t="shared" si="46"/>
        <v>0.90509674845401955</v>
      </c>
      <c r="V403">
        <f t="shared" si="47"/>
        <v>71</v>
      </c>
      <c r="W403" s="195">
        <f t="shared" si="52"/>
        <v>0.42432562284454323</v>
      </c>
      <c r="X403" s="195">
        <f t="shared" si="53"/>
        <v>4.9964897882045917E-3</v>
      </c>
      <c r="Y403" s="255" t="str">
        <f>IF(ISNUMBER(SEARCH("C", 'Dry_Litterbag Placem_Collection'!V110)),"YES","NO")</f>
        <v>NO</v>
      </c>
      <c r="Z403" s="255" t="str">
        <f>IF(ISNUMBER(SEARCH("H", 'Dry_Litterbag Placem_Collection'!V110)),"YES","NO")</f>
        <v>NO</v>
      </c>
      <c r="AA403" s="255" t="str">
        <f>IF(ISNUMBER(SEARCH("R", 'Dry_Litterbag Placem_Collection'!V110)),"YES","NO")</f>
        <v>NO</v>
      </c>
      <c r="AB403" s="255" t="str">
        <f>IF(ISNUMBER(SEARCH("C", 'Dry_Litterbag Placem_Collection'!U110)),"YES","NO")</f>
        <v>NO</v>
      </c>
      <c r="AC403" s="255" t="str">
        <f>IF(ISNUMBER(SEARCH("H", 'Dry_Litterbag Placem_Collection'!U110)),"YES","NO")</f>
        <v>NO</v>
      </c>
      <c r="AD403" s="255" t="str">
        <f>IF(ISNUMBER(SEARCH("R", 'Dry_Litterbag Placem_Collection'!U110)),"YES","NO")</f>
        <v>NO</v>
      </c>
    </row>
    <row r="404" spans="2:30">
      <c r="B404" t="str">
        <f>'Final data_for_R_analysis_Dryse'!A550</f>
        <v>Dry</v>
      </c>
      <c r="C404" s="263">
        <f>'Final data_for_R_analysis_Dryse'!B550</f>
        <v>109</v>
      </c>
      <c r="D404" t="s">
        <v>3843</v>
      </c>
      <c r="E404" t="s">
        <v>25</v>
      </c>
      <c r="F404" s="387">
        <v>5</v>
      </c>
      <c r="G404" s="16">
        <f>'Dry_Litterbag Placem_Collection'!E111</f>
        <v>42939</v>
      </c>
      <c r="H404" s="92" t="str">
        <f>'Final data_for_R_analysis_Dryse'!J550</f>
        <v>G102</v>
      </c>
      <c r="I404" t="str">
        <f>'Final data_for_R_analysis_Dryse'!J770</f>
        <v>R299</v>
      </c>
      <c r="J404">
        <f>IFERROR(INDEX('Green_rooibos initial weight'!$C$5:$C$1749,MATCH(H404, 'Green_rooibos initial weight'!$A$5:$A$1749,0)),"")</f>
        <v>2.0920000000000001</v>
      </c>
      <c r="K404">
        <f>IFERROR(INDEX('Green_rooibos initial weight'!$C$5:$C$1749,MATCH(I404, 'Green_rooibos initial weight'!$A$5:$A$1749,0)),"")</f>
        <v>2.2919999999999998</v>
      </c>
      <c r="L404" s="195">
        <f t="shared" si="48"/>
        <v>1.8422000000000001</v>
      </c>
      <c r="M404" s="195">
        <f t="shared" si="49"/>
        <v>2.0421999999999998</v>
      </c>
      <c r="N404" s="16">
        <f>IF('Dry_Litterbag Placem_Collection'!G111="N.A","",'Dry_Litterbag Placem_Collection'!G111)</f>
        <v>43010</v>
      </c>
      <c r="O404" s="195">
        <f>IF(IFERROR(INDEX('Both teabags AfterDry'!$D$1:$D$839,MATCH(H404,'Both teabags AfterDry'!$A$1:$A$839,0)),"")="N.A","",(IFERROR(INDEX('Both teabags AfterDry'!$D$1:$D$839,MATCH(H404,'Both teabags AfterDry'!$A$1:$A$839,0)),"")))</f>
        <v>1.0327999999999999</v>
      </c>
      <c r="P404" s="195">
        <f>IF(IFERROR(INDEX('Both teabags AfterDry'!$D$1:$D$839,MATCH(I404,'Both teabags AfterDry'!$A$1:$A$839,0)),"")="N.A","",(IFERROR(INDEX('Both teabags AfterDry'!$D$1:$D$839,MATCH(I404,'Both teabags AfterDry'!$A$1:$A$839,0)),"")))</f>
        <v>1.8811</v>
      </c>
      <c r="Q404" s="195">
        <f t="shared" si="50"/>
        <v>0.88219999999999987</v>
      </c>
      <c r="R404" s="195">
        <f t="shared" si="50"/>
        <v>1.7304999999999999</v>
      </c>
      <c r="S404" s="195">
        <f t="shared" si="45"/>
        <v>0.52111605688850293</v>
      </c>
      <c r="T404" s="195">
        <f t="shared" si="51"/>
        <v>0.34163427957536063</v>
      </c>
      <c r="U404" s="195">
        <f t="shared" si="46"/>
        <v>0.84737048281265304</v>
      </c>
      <c r="V404">
        <f t="shared" si="47"/>
        <v>71</v>
      </c>
      <c r="W404" s="195">
        <f t="shared" si="52"/>
        <v>0.38109731960985394</v>
      </c>
      <c r="X404" s="195">
        <f t="shared" si="53"/>
        <v>8.3375858360886165E-3</v>
      </c>
      <c r="Y404" s="255" t="str">
        <f>IF(ISNUMBER(SEARCH("C", 'Dry_Litterbag Placem_Collection'!V111)),"YES","NO")</f>
        <v>NO</v>
      </c>
      <c r="Z404" s="255" t="str">
        <f>IF(ISNUMBER(SEARCH("H", 'Dry_Litterbag Placem_Collection'!V111)),"YES","NO")</f>
        <v>NO</v>
      </c>
      <c r="AA404" s="255" t="str">
        <f>IF(ISNUMBER(SEARCH("R", 'Dry_Litterbag Placem_Collection'!V111)),"YES","NO")</f>
        <v>NO</v>
      </c>
      <c r="AB404" s="255" t="str">
        <f>IF(ISNUMBER(SEARCH("C", 'Dry_Litterbag Placem_Collection'!U111)),"YES","NO")</f>
        <v>NO</v>
      </c>
      <c r="AC404" s="255" t="str">
        <f>IF(ISNUMBER(SEARCH("H", 'Dry_Litterbag Placem_Collection'!U111)),"YES","NO")</f>
        <v>NO</v>
      </c>
      <c r="AD404" s="255" t="str">
        <f>IF(ISNUMBER(SEARCH("R", 'Dry_Litterbag Placem_Collection'!U111)),"YES","NO")</f>
        <v>NO</v>
      </c>
    </row>
    <row r="405" spans="2:30">
      <c r="B405" t="str">
        <f>'Final data_for_R_analysis_Dryse'!A551</f>
        <v>Dry</v>
      </c>
      <c r="C405" s="263">
        <f>'Final data_for_R_analysis_Dryse'!B551</f>
        <v>110</v>
      </c>
      <c r="D405" t="s">
        <v>3843</v>
      </c>
      <c r="E405" t="s">
        <v>25</v>
      </c>
      <c r="F405" s="387">
        <v>6</v>
      </c>
      <c r="G405" s="16">
        <f>'Dry_Litterbag Placem_Collection'!E112</f>
        <v>42939</v>
      </c>
      <c r="H405" s="92" t="str">
        <f>'Final data_for_R_analysis_Dryse'!J551</f>
        <v>G265</v>
      </c>
      <c r="I405" t="str">
        <f>'Final data_for_R_analysis_Dryse'!J771</f>
        <v>R636</v>
      </c>
      <c r="J405">
        <f>IFERROR(INDEX('Green_rooibos initial weight'!$C$5:$C$1749,MATCH(H405, 'Green_rooibos initial weight'!$A$5:$A$1749,0)),"")</f>
        <v>1.9790000000000001</v>
      </c>
      <c r="K405">
        <f>IFERROR(INDEX('Green_rooibos initial weight'!$C$5:$C$1749,MATCH(I405, 'Green_rooibos initial weight'!$A$5:$A$1749,0)),"")</f>
        <v>2.1080000000000001</v>
      </c>
      <c r="L405" s="195">
        <f t="shared" si="48"/>
        <v>1.7292000000000001</v>
      </c>
      <c r="M405" s="195">
        <f t="shared" si="49"/>
        <v>1.8582000000000001</v>
      </c>
      <c r="N405" s="16">
        <f>IF('Dry_Litterbag Placem_Collection'!G112="N.A","",'Dry_Litterbag Placem_Collection'!G112)</f>
        <v>43010</v>
      </c>
      <c r="O405" s="195">
        <f>IF(IFERROR(INDEX('Both teabags AfterDry'!$D$1:$D$839,MATCH(H405,'Both teabags AfterDry'!$A$1:$A$839,0)),"")="N.A","",(IFERROR(INDEX('Both teabags AfterDry'!$D$1:$D$839,MATCH(H405,'Both teabags AfterDry'!$A$1:$A$839,0)),"")))</f>
        <v>0.93579999999999997</v>
      </c>
      <c r="P405" s="195">
        <f>IF(IFERROR(INDEX('Both teabags AfterDry'!$D$1:$D$839,MATCH(I405,'Both teabags AfterDry'!$A$1:$A$839,0)),"")="N.A","",(IFERROR(INDEX('Both teabags AfterDry'!$D$1:$D$839,MATCH(I405,'Both teabags AfterDry'!$A$1:$A$839,0)),"")))</f>
        <v>1.8521000000000001</v>
      </c>
      <c r="Q405" s="195">
        <f t="shared" si="50"/>
        <v>0.7851999999999999</v>
      </c>
      <c r="R405" s="195">
        <f t="shared" si="50"/>
        <v>1.7015</v>
      </c>
      <c r="S405" s="195">
        <f t="shared" si="45"/>
        <v>0.5459171871385613</v>
      </c>
      <c r="T405" s="195">
        <f t="shared" si="51"/>
        <v>0.35789345285093332</v>
      </c>
      <c r="U405" s="195">
        <f t="shared" si="46"/>
        <v>0.91567107953933913</v>
      </c>
      <c r="V405">
        <f t="shared" si="47"/>
        <v>71</v>
      </c>
      <c r="W405" s="195">
        <f t="shared" si="52"/>
        <v>0.35164229555990345</v>
      </c>
      <c r="X405" s="195">
        <f t="shared" si="53"/>
        <v>3.7844757760579942E-3</v>
      </c>
      <c r="Y405" s="255" t="str">
        <f>IF(ISNUMBER(SEARCH("C", 'Dry_Litterbag Placem_Collection'!V112)),"YES","NO")</f>
        <v>NO</v>
      </c>
      <c r="Z405" s="255" t="str">
        <f>IF(ISNUMBER(SEARCH("H", 'Dry_Litterbag Placem_Collection'!V112)),"YES","NO")</f>
        <v>NO</v>
      </c>
      <c r="AA405" s="255" t="str">
        <f>IF(ISNUMBER(SEARCH("R", 'Dry_Litterbag Placem_Collection'!V112)),"YES","NO")</f>
        <v>NO</v>
      </c>
      <c r="AB405" s="255" t="str">
        <f>IF(ISNUMBER(SEARCH("C", 'Dry_Litterbag Placem_Collection'!U112)),"YES","NO")</f>
        <v>NO</v>
      </c>
      <c r="AC405" s="255" t="str">
        <f>IF(ISNUMBER(SEARCH("H", 'Dry_Litterbag Placem_Collection'!U112)),"YES","NO")</f>
        <v>NO</v>
      </c>
      <c r="AD405" s="255" t="str">
        <f>IF(ISNUMBER(SEARCH("R", 'Dry_Litterbag Placem_Collection'!U112)),"YES","NO")</f>
        <v>NO</v>
      </c>
    </row>
    <row r="406" spans="2:30">
      <c r="B406" t="str">
        <f>'Final data_for_R_analysis_Dryse'!A552</f>
        <v>Dry</v>
      </c>
      <c r="C406" s="263">
        <f>'Final data_for_R_analysis_Dryse'!B552</f>
        <v>111</v>
      </c>
      <c r="D406" t="s">
        <v>3843</v>
      </c>
      <c r="E406" t="s">
        <v>25</v>
      </c>
      <c r="F406" s="387">
        <v>7</v>
      </c>
      <c r="G406" s="16">
        <f>'Dry_Litterbag Placem_Collection'!E113</f>
        <v>42939</v>
      </c>
      <c r="H406" s="92" t="str">
        <f>'Final data_for_R_analysis_Dryse'!J552</f>
        <v>G455</v>
      </c>
      <c r="I406" t="str">
        <f>'Final data_for_R_analysis_Dryse'!J772</f>
        <v>R239</v>
      </c>
      <c r="J406">
        <f>IFERROR(INDEX('Green_rooibos initial weight'!$C$5:$C$1749,MATCH(H406, 'Green_rooibos initial weight'!$A$5:$A$1749,0)),"")</f>
        <v>2.0299999999999998</v>
      </c>
      <c r="K406">
        <f>IFERROR(INDEX('Green_rooibos initial weight'!$C$5:$C$1749,MATCH(I406, 'Green_rooibos initial weight'!$A$5:$A$1749,0)),"")</f>
        <v>2.2189999999999999</v>
      </c>
      <c r="L406" s="195">
        <f t="shared" si="48"/>
        <v>1.7801999999999998</v>
      </c>
      <c r="M406" s="195">
        <f t="shared" si="49"/>
        <v>1.9691999999999998</v>
      </c>
      <c r="N406" s="16">
        <f>IF('Dry_Litterbag Placem_Collection'!G113="N.A","",'Dry_Litterbag Placem_Collection'!G113)</f>
        <v>43010</v>
      </c>
      <c r="O406" s="195">
        <f>IF(IFERROR(INDEX('Both teabags AfterDry'!$D$1:$D$839,MATCH(H406,'Both teabags AfterDry'!$A$1:$A$839,0)),"")="N.A","",(IFERROR(INDEX('Both teabags AfterDry'!$D$1:$D$839,MATCH(H406,'Both teabags AfterDry'!$A$1:$A$839,0)),"")))</f>
        <v>0.92169999999999996</v>
      </c>
      <c r="P406" s="195">
        <f>IF(IFERROR(INDEX('Both teabags AfterDry'!$D$1:$D$839,MATCH(I406,'Both teabags AfterDry'!$A$1:$A$839,0)),"")="N.A","",(IFERROR(INDEX('Both teabags AfterDry'!$D$1:$D$839,MATCH(I406,'Both teabags AfterDry'!$A$1:$A$839,0)),"")))</f>
        <v>1.8743000000000001</v>
      </c>
      <c r="Q406" s="195">
        <f t="shared" si="50"/>
        <v>0.7710999999999999</v>
      </c>
      <c r="R406" s="195">
        <f t="shared" si="50"/>
        <v>1.7237</v>
      </c>
      <c r="S406" s="195">
        <f t="shared" si="45"/>
        <v>0.56684642175036515</v>
      </c>
      <c r="T406" s="195">
        <f t="shared" si="51"/>
        <v>0.37161428124251966</v>
      </c>
      <c r="U406" s="195">
        <f t="shared" si="46"/>
        <v>0.87533008328255135</v>
      </c>
      <c r="V406">
        <f t="shared" si="47"/>
        <v>71</v>
      </c>
      <c r="W406" s="195">
        <f t="shared" si="52"/>
        <v>0.32678572238673975</v>
      </c>
      <c r="X406" s="195">
        <f t="shared" si="53"/>
        <v>5.7562446696306779E-3</v>
      </c>
      <c r="Y406" s="255" t="str">
        <f>IF(ISNUMBER(SEARCH("C", 'Dry_Litterbag Placem_Collection'!V113)),"YES","NO")</f>
        <v>NO</v>
      </c>
      <c r="Z406" s="255" t="str">
        <f>IF(ISNUMBER(SEARCH("H", 'Dry_Litterbag Placem_Collection'!V113)),"YES","NO")</f>
        <v>NO</v>
      </c>
      <c r="AA406" s="255" t="str">
        <f>IF(ISNUMBER(SEARCH("R", 'Dry_Litterbag Placem_Collection'!V113)),"YES","NO")</f>
        <v>NO</v>
      </c>
      <c r="AB406" s="255" t="str">
        <f>IF(ISNUMBER(SEARCH("C", 'Dry_Litterbag Placem_Collection'!U113)),"YES","NO")</f>
        <v>NO</v>
      </c>
      <c r="AC406" s="255" t="str">
        <f>IF(ISNUMBER(SEARCH("H", 'Dry_Litterbag Placem_Collection'!U113)),"YES","NO")</f>
        <v>NO</v>
      </c>
      <c r="AD406" s="255" t="str">
        <f>IF(ISNUMBER(SEARCH("R", 'Dry_Litterbag Placem_Collection'!U113)),"YES","NO")</f>
        <v>NO</v>
      </c>
    </row>
    <row r="407" spans="2:30">
      <c r="B407" t="str">
        <f>'Final data_for_R_analysis_Dryse'!A553</f>
        <v>Dry</v>
      </c>
      <c r="C407" s="263">
        <f>'Final data_for_R_analysis_Dryse'!B553</f>
        <v>112</v>
      </c>
      <c r="D407" t="s">
        <v>3843</v>
      </c>
      <c r="E407" t="s">
        <v>25</v>
      </c>
      <c r="F407" s="387">
        <v>8</v>
      </c>
      <c r="G407" s="16">
        <f>'Dry_Litterbag Placem_Collection'!E114</f>
        <v>0</v>
      </c>
      <c r="H407" s="92" t="str">
        <f>'Final data_for_R_analysis_Dryse'!J553</f>
        <v/>
      </c>
      <c r="I407" t="str">
        <f>'Final data_for_R_analysis_Dryse'!J773</f>
        <v/>
      </c>
      <c r="J407" t="str">
        <f>IFERROR(INDEX('Green_rooibos initial weight'!$C$5:$C$1749,MATCH(H407, 'Green_rooibos initial weight'!$A$5:$A$1749,0)),"")</f>
        <v/>
      </c>
      <c r="K407" t="str">
        <f>IFERROR(INDEX('Green_rooibos initial weight'!$C$5:$C$1749,MATCH(I407, 'Green_rooibos initial weight'!$A$5:$A$1749,0)),"")</f>
        <v/>
      </c>
      <c r="L407" s="195" t="str">
        <f t="shared" si="48"/>
        <v/>
      </c>
      <c r="M407" s="195" t="str">
        <f t="shared" si="49"/>
        <v/>
      </c>
      <c r="N407" s="16">
        <f>IF('Dry_Litterbag Placem_Collection'!G114="N.A","",'Dry_Litterbag Placem_Collection'!G114)</f>
        <v>0</v>
      </c>
      <c r="O407" s="195" t="str">
        <f>IF(IFERROR(INDEX('Both teabags AfterDry'!$D$1:$D$839,MATCH(H407,'Both teabags AfterDry'!$A$1:$A$839,0)),"")="N.A","",(IFERROR(INDEX('Both teabags AfterDry'!$D$1:$D$839,MATCH(H407,'Both teabags AfterDry'!$A$1:$A$839,0)),"")))</f>
        <v/>
      </c>
      <c r="P407" s="195" t="str">
        <f>IF(IFERROR(INDEX('Both teabags AfterDry'!$D$1:$D$839,MATCH(I407,'Both teabags AfterDry'!$A$1:$A$839,0)),"")="N.A","",(IFERROR(INDEX('Both teabags AfterDry'!$D$1:$D$839,MATCH(I407,'Both teabags AfterDry'!$A$1:$A$839,0)),"")))</f>
        <v/>
      </c>
      <c r="Q407" s="195" t="str">
        <f t="shared" si="50"/>
        <v/>
      </c>
      <c r="R407" s="195" t="str">
        <f t="shared" si="50"/>
        <v/>
      </c>
      <c r="S407" s="195" t="str">
        <f t="shared" si="45"/>
        <v/>
      </c>
      <c r="T407" s="195" t="str">
        <f t="shared" si="51"/>
        <v/>
      </c>
      <c r="U407" s="195" t="str">
        <f t="shared" si="46"/>
        <v/>
      </c>
      <c r="V407" t="str">
        <f t="shared" si="47"/>
        <v/>
      </c>
      <c r="W407" s="195" t="str">
        <f t="shared" si="52"/>
        <v/>
      </c>
      <c r="X407" s="195" t="str">
        <f t="shared" si="53"/>
        <v/>
      </c>
      <c r="Y407" s="255" t="str">
        <f>IF(ISNUMBER(SEARCH("C", 'Dry_Litterbag Placem_Collection'!V114)),"YES","NO")</f>
        <v>NO</v>
      </c>
      <c r="Z407" s="255" t="str">
        <f>IF(ISNUMBER(SEARCH("H", 'Dry_Litterbag Placem_Collection'!V114)),"YES","NO")</f>
        <v>NO</v>
      </c>
      <c r="AA407" s="255" t="str">
        <f>IF(ISNUMBER(SEARCH("R", 'Dry_Litterbag Placem_Collection'!V114)),"YES","NO")</f>
        <v>NO</v>
      </c>
      <c r="AB407" s="255" t="str">
        <f>IF(ISNUMBER(SEARCH("C", 'Dry_Litterbag Placem_Collection'!U114)),"YES","NO")</f>
        <v>NO</v>
      </c>
      <c r="AC407" s="255" t="str">
        <f>IF(ISNUMBER(SEARCH("H", 'Dry_Litterbag Placem_Collection'!U114)),"YES","NO")</f>
        <v>NO</v>
      </c>
      <c r="AD407" s="255" t="str">
        <f>IF(ISNUMBER(SEARCH("R", 'Dry_Litterbag Placem_Collection'!U114)),"YES","NO")</f>
        <v>NO</v>
      </c>
    </row>
    <row r="408" spans="2:30">
      <c r="B408" t="str">
        <f>'Final data_for_R_analysis_Dryse'!A554</f>
        <v>Dry</v>
      </c>
      <c r="C408" s="263">
        <f>'Final data_for_R_analysis_Dryse'!B554</f>
        <v>113</v>
      </c>
      <c r="D408" t="s">
        <v>3844</v>
      </c>
      <c r="E408" t="s">
        <v>25</v>
      </c>
      <c r="F408" s="386">
        <v>1</v>
      </c>
      <c r="G408" s="16">
        <f>'Dry_Litterbag Placem_Collection'!E115</f>
        <v>42939</v>
      </c>
      <c r="H408" s="92" t="str">
        <f>'Final data_for_R_analysis_Dryse'!J554</f>
        <v>G490</v>
      </c>
      <c r="I408" t="str">
        <f>'Final data_for_R_analysis_Dryse'!J774</f>
        <v>R313</v>
      </c>
      <c r="J408">
        <f>IFERROR(INDEX('Green_rooibos initial weight'!$C$5:$C$1749,MATCH(H408, 'Green_rooibos initial weight'!$A$5:$A$1749,0)),"")</f>
        <v>1.881</v>
      </c>
      <c r="K408">
        <f>IFERROR(INDEX('Green_rooibos initial weight'!$C$5:$C$1749,MATCH(I408, 'Green_rooibos initial weight'!$A$5:$A$1749,0)),"")</f>
        <v>2.2450000000000001</v>
      </c>
      <c r="L408" s="195">
        <f t="shared" si="48"/>
        <v>1.6312</v>
      </c>
      <c r="M408" s="195">
        <f t="shared" si="49"/>
        <v>1.9952000000000001</v>
      </c>
      <c r="N408" s="16">
        <f>IF('Dry_Litterbag Placem_Collection'!G115="N.A","",'Dry_Litterbag Placem_Collection'!G115)</f>
        <v>43008</v>
      </c>
      <c r="O408" s="195">
        <f>IF(IFERROR(INDEX('Both teabags AfterDry'!$D$1:$D$839,MATCH(H408,'Both teabags AfterDry'!$A$1:$A$839,0)),"")="N.A","",(IFERROR(INDEX('Both teabags AfterDry'!$D$1:$D$839,MATCH(H408,'Both teabags AfterDry'!$A$1:$A$839,0)),"")))</f>
        <v>0.72760000000000002</v>
      </c>
      <c r="P408" s="195">
        <f>IF(IFERROR(INDEX('Both teabags AfterDry'!$D$1:$D$839,MATCH(I408,'Both teabags AfterDry'!$A$1:$A$839,0)),"")="N.A","",(IFERROR(INDEX('Both teabags AfterDry'!$D$1:$D$839,MATCH(I408,'Both teabags AfterDry'!$A$1:$A$839,0)),"")))</f>
        <v>1.6048</v>
      </c>
      <c r="Q408" s="195">
        <f t="shared" si="50"/>
        <v>0.57699999999999996</v>
      </c>
      <c r="R408" s="195">
        <f t="shared" si="50"/>
        <v>1.4541999999999999</v>
      </c>
      <c r="S408" s="195">
        <f t="shared" si="45"/>
        <v>0.64627268268759197</v>
      </c>
      <c r="T408" s="195">
        <f t="shared" si="51"/>
        <v>0.4236847040897278</v>
      </c>
      <c r="U408" s="195">
        <f t="shared" si="46"/>
        <v>0.72884923817161185</v>
      </c>
      <c r="V408">
        <f t="shared" si="47"/>
        <v>69</v>
      </c>
      <c r="W408" s="195">
        <f t="shared" si="52"/>
        <v>0.23245524621426128</v>
      </c>
      <c r="X408" s="195">
        <f t="shared" si="53"/>
        <v>1.4805832067975555E-2</v>
      </c>
      <c r="Y408" s="255" t="str">
        <f>IF(ISNUMBER(SEARCH("C", 'Dry_Litterbag Placem_Collection'!V115)),"YES","NO")</f>
        <v>NO</v>
      </c>
      <c r="Z408" s="255" t="str">
        <f>IF(ISNUMBER(SEARCH("H", 'Dry_Litterbag Placem_Collection'!V115)),"YES","NO")</f>
        <v>NO</v>
      </c>
      <c r="AA408" s="255" t="str">
        <f>IF(ISNUMBER(SEARCH("R", 'Dry_Litterbag Placem_Collection'!V115)),"YES","NO")</f>
        <v>NO</v>
      </c>
      <c r="AB408" s="255" t="str">
        <f>IF(ISNUMBER(SEARCH("C", 'Dry_Litterbag Placem_Collection'!U115)),"YES","NO")</f>
        <v>NO</v>
      </c>
      <c r="AC408" s="255" t="str">
        <f>IF(ISNUMBER(SEARCH("H", 'Dry_Litterbag Placem_Collection'!U115)),"YES","NO")</f>
        <v>NO</v>
      </c>
      <c r="AD408" s="255" t="str">
        <f>IF(ISNUMBER(SEARCH("R", 'Dry_Litterbag Placem_Collection'!U115)),"YES","NO")</f>
        <v>NO</v>
      </c>
    </row>
    <row r="409" spans="2:30">
      <c r="B409" t="str">
        <f>'Final data_for_R_analysis_Dryse'!A555</f>
        <v>Dry</v>
      </c>
      <c r="C409" s="263">
        <f>'Final data_for_R_analysis_Dryse'!B555</f>
        <v>114</v>
      </c>
      <c r="D409" t="s">
        <v>3844</v>
      </c>
      <c r="E409" t="s">
        <v>25</v>
      </c>
      <c r="F409" s="386">
        <v>2</v>
      </c>
      <c r="G409" s="16">
        <f>'Dry_Litterbag Placem_Collection'!E116</f>
        <v>42939</v>
      </c>
      <c r="H409" s="92" t="str">
        <f>'Final data_for_R_analysis_Dryse'!J555</f>
        <v>G650</v>
      </c>
      <c r="I409" t="str">
        <f>'Final data_for_R_analysis_Dryse'!J775</f>
        <v>R247</v>
      </c>
      <c r="J409">
        <f>IFERROR(INDEX('Green_rooibos initial weight'!$C$5:$C$1749,MATCH(H409, 'Green_rooibos initial weight'!$A$5:$A$1749,0)),"")</f>
        <v>2.0270000000000001</v>
      </c>
      <c r="K409">
        <f>IFERROR(INDEX('Green_rooibos initial weight'!$C$5:$C$1749,MATCH(I409, 'Green_rooibos initial weight'!$A$5:$A$1749,0)),"")</f>
        <v>2.2330000000000001</v>
      </c>
      <c r="L409" s="195">
        <f t="shared" si="48"/>
        <v>1.7772000000000001</v>
      </c>
      <c r="M409" s="195">
        <f t="shared" si="49"/>
        <v>1.9832000000000001</v>
      </c>
      <c r="N409" s="16">
        <f>IF('Dry_Litterbag Placem_Collection'!G116="N.A","",'Dry_Litterbag Placem_Collection'!G116)</f>
        <v>43008</v>
      </c>
      <c r="O409" s="195">
        <f>IF(IFERROR(INDEX('Both teabags AfterDry'!$D$1:$D$839,MATCH(H409,'Both teabags AfterDry'!$A$1:$A$839,0)),"")="N.A","",(IFERROR(INDEX('Both teabags AfterDry'!$D$1:$D$839,MATCH(H409,'Both teabags AfterDry'!$A$1:$A$839,0)),"")))</f>
        <v>0.86890000000000001</v>
      </c>
      <c r="P409" s="195">
        <f>IF(IFERROR(INDEX('Both teabags AfterDry'!$D$1:$D$839,MATCH(I409,'Both teabags AfterDry'!$A$1:$A$839,0)),"")="N.A","",(IFERROR(INDEX('Both teabags AfterDry'!$D$1:$D$839,MATCH(I409,'Both teabags AfterDry'!$A$1:$A$839,0)),"")))</f>
        <v>1.7551000000000001</v>
      </c>
      <c r="Q409" s="195">
        <f t="shared" si="50"/>
        <v>0.71829999999999994</v>
      </c>
      <c r="R409" s="195">
        <f t="shared" si="50"/>
        <v>1.6045</v>
      </c>
      <c r="S409" s="195">
        <f t="shared" si="45"/>
        <v>0.59582489309025433</v>
      </c>
      <c r="T409" s="195">
        <f t="shared" si="51"/>
        <v>0.39061204392615256</v>
      </c>
      <c r="U409" s="195">
        <f t="shared" si="46"/>
        <v>0.8090459862847923</v>
      </c>
      <c r="V409">
        <f t="shared" si="47"/>
        <v>69</v>
      </c>
      <c r="W409" s="195">
        <f t="shared" si="52"/>
        <v>0.29236948564102805</v>
      </c>
      <c r="X409" s="195">
        <f t="shared" si="53"/>
        <v>9.726214467375989E-3</v>
      </c>
      <c r="Y409" s="255" t="str">
        <f>IF(ISNUMBER(SEARCH("C", 'Dry_Litterbag Placem_Collection'!V116)),"YES","NO")</f>
        <v>NO</v>
      </c>
      <c r="Z409" s="255" t="str">
        <f>IF(ISNUMBER(SEARCH("H", 'Dry_Litterbag Placem_Collection'!V116)),"YES","NO")</f>
        <v>NO</v>
      </c>
      <c r="AA409" s="255" t="str">
        <f>IF(ISNUMBER(SEARCH("R", 'Dry_Litterbag Placem_Collection'!V116)),"YES","NO")</f>
        <v>NO</v>
      </c>
      <c r="AB409" s="255" t="str">
        <f>IF(ISNUMBER(SEARCH("C", 'Dry_Litterbag Placem_Collection'!U116)),"YES","NO")</f>
        <v>NO</v>
      </c>
      <c r="AC409" s="255" t="str">
        <f>IF(ISNUMBER(SEARCH("H", 'Dry_Litterbag Placem_Collection'!U116)),"YES","NO")</f>
        <v>NO</v>
      </c>
      <c r="AD409" s="255" t="str">
        <f>IF(ISNUMBER(SEARCH("R", 'Dry_Litterbag Placem_Collection'!U116)),"YES","NO")</f>
        <v>NO</v>
      </c>
    </row>
    <row r="410" spans="2:30">
      <c r="B410" t="str">
        <f>'Final data_for_R_analysis_Dryse'!A556</f>
        <v>Dry</v>
      </c>
      <c r="C410" s="263">
        <f>'Final data_for_R_analysis_Dryse'!B556</f>
        <v>115</v>
      </c>
      <c r="D410" t="s">
        <v>3844</v>
      </c>
      <c r="E410" t="s">
        <v>25</v>
      </c>
      <c r="F410" s="386">
        <v>3</v>
      </c>
      <c r="G410" s="16">
        <f>'Dry_Litterbag Placem_Collection'!E117</f>
        <v>42939</v>
      </c>
      <c r="H410" s="92" t="str">
        <f>'Final data_for_R_analysis_Dryse'!J556</f>
        <v>G873</v>
      </c>
      <c r="I410" t="str">
        <f>'Final data_for_R_analysis_Dryse'!J776</f>
        <v>R671</v>
      </c>
      <c r="J410">
        <f>IFERROR(INDEX('Green_rooibos initial weight'!$C$5:$C$1749,MATCH(H410, 'Green_rooibos initial weight'!$A$5:$A$1749,0)),"")</f>
        <v>2.0089999999999999</v>
      </c>
      <c r="K410">
        <f>IFERROR(INDEX('Green_rooibos initial weight'!$C$5:$C$1749,MATCH(I410, 'Green_rooibos initial weight'!$A$5:$A$1749,0)),"")</f>
        <v>2.202</v>
      </c>
      <c r="L410" s="195">
        <f t="shared" si="48"/>
        <v>1.7591999999999999</v>
      </c>
      <c r="M410" s="195">
        <f t="shared" si="49"/>
        <v>1.9521999999999999</v>
      </c>
      <c r="N410" s="16">
        <f>IF('Dry_Litterbag Placem_Collection'!G117="N.A","",'Dry_Litterbag Placem_Collection'!G117)</f>
        <v>43008</v>
      </c>
      <c r="O410" s="195">
        <f>IF(IFERROR(INDEX('Both teabags AfterDry'!$D$1:$D$839,MATCH(H410,'Both teabags AfterDry'!$A$1:$A$839,0)),"")="N.A","",(IFERROR(INDEX('Both teabags AfterDry'!$D$1:$D$839,MATCH(H410,'Both teabags AfterDry'!$A$1:$A$839,0)),"")))</f>
        <v>0.68469999999999998</v>
      </c>
      <c r="P410" s="195">
        <f>IF(IFERROR(INDEX('Both teabags AfterDry'!$D$1:$D$839,MATCH(I410,'Both teabags AfterDry'!$A$1:$A$839,0)),"")="N.A","",(IFERROR(INDEX('Both teabags AfterDry'!$D$1:$D$839,MATCH(I410,'Both teabags AfterDry'!$A$1:$A$839,0)),"")))</f>
        <v>1.6099000000000001</v>
      </c>
      <c r="Q410" s="195">
        <f t="shared" si="50"/>
        <v>0.53410000000000002</v>
      </c>
      <c r="R410" s="195">
        <f t="shared" si="50"/>
        <v>1.4593</v>
      </c>
      <c r="S410" s="195">
        <f t="shared" si="45"/>
        <v>0.69639608913142337</v>
      </c>
      <c r="T410" s="195">
        <f t="shared" si="51"/>
        <v>0.45654470451371232</v>
      </c>
      <c r="U410" s="195">
        <f t="shared" si="46"/>
        <v>0.74751562339924194</v>
      </c>
      <c r="V410">
        <f t="shared" si="47"/>
        <v>69</v>
      </c>
      <c r="W410" s="195">
        <f t="shared" si="52"/>
        <v>0.17292625993892707</v>
      </c>
      <c r="X410" s="195">
        <f t="shared" si="53"/>
        <v>1.1670593462127527E-2</v>
      </c>
      <c r="Y410" s="255" t="str">
        <f>IF(ISNUMBER(SEARCH("C", 'Dry_Litterbag Placem_Collection'!V117)),"YES","NO")</f>
        <v>NO</v>
      </c>
      <c r="Z410" s="255" t="str">
        <f>IF(ISNUMBER(SEARCH("H", 'Dry_Litterbag Placem_Collection'!V117)),"YES","NO")</f>
        <v>NO</v>
      </c>
      <c r="AA410" s="255" t="str">
        <f>IF(ISNUMBER(SEARCH("R", 'Dry_Litterbag Placem_Collection'!V117)),"YES","NO")</f>
        <v>NO</v>
      </c>
      <c r="AB410" s="255" t="str">
        <f>IF(ISNUMBER(SEARCH("C", 'Dry_Litterbag Placem_Collection'!U117)),"YES","NO")</f>
        <v>NO</v>
      </c>
      <c r="AC410" s="255" t="str">
        <f>IF(ISNUMBER(SEARCH("H", 'Dry_Litterbag Placem_Collection'!U117)),"YES","NO")</f>
        <v>NO</v>
      </c>
      <c r="AD410" s="255" t="str">
        <f>IF(ISNUMBER(SEARCH("R", 'Dry_Litterbag Placem_Collection'!U117)),"YES","NO")</f>
        <v>NO</v>
      </c>
    </row>
    <row r="411" spans="2:30">
      <c r="B411" t="str">
        <f>'Final data_for_R_analysis_Dryse'!A557</f>
        <v>Dry</v>
      </c>
      <c r="C411" s="263">
        <f>'Final data_for_R_analysis_Dryse'!B557</f>
        <v>116</v>
      </c>
      <c r="D411" t="s">
        <v>3844</v>
      </c>
      <c r="E411" t="s">
        <v>25</v>
      </c>
      <c r="F411" s="387">
        <v>4</v>
      </c>
      <c r="G411" s="16">
        <f>'Dry_Litterbag Placem_Collection'!E118</f>
        <v>42939</v>
      </c>
      <c r="H411" s="92" t="str">
        <f>'Final data_for_R_analysis_Dryse'!J557</f>
        <v>G206</v>
      </c>
      <c r="I411" t="str">
        <f>'Final data_for_R_analysis_Dryse'!J777</f>
        <v>R638</v>
      </c>
      <c r="J411">
        <f>IFERROR(INDEX('Green_rooibos initial weight'!$C$5:$C$1749,MATCH(H411, 'Green_rooibos initial weight'!$A$5:$A$1749,0)),"")</f>
        <v>2.0249999999999999</v>
      </c>
      <c r="K411">
        <f>IFERROR(INDEX('Green_rooibos initial weight'!$C$5:$C$1749,MATCH(I411, 'Green_rooibos initial weight'!$A$5:$A$1749,0)),"")</f>
        <v>2.1659999999999999</v>
      </c>
      <c r="L411" s="195">
        <f t="shared" si="48"/>
        <v>1.7751999999999999</v>
      </c>
      <c r="M411" s="195">
        <f t="shared" si="49"/>
        <v>1.9161999999999999</v>
      </c>
      <c r="N411" s="16">
        <f>IF('Dry_Litterbag Placem_Collection'!G118="N.A","",'Dry_Litterbag Placem_Collection'!G118)</f>
        <v>43008</v>
      </c>
      <c r="O411" s="195">
        <f>IF(IFERROR(INDEX('Both teabags AfterDry'!$D$1:$D$839,MATCH(H411,'Both teabags AfterDry'!$A$1:$A$839,0)),"")="N.A","",(IFERROR(INDEX('Both teabags AfterDry'!$D$1:$D$839,MATCH(H411,'Both teabags AfterDry'!$A$1:$A$839,0)),"")))</f>
        <v>0.75260000000000005</v>
      </c>
      <c r="P411" s="195">
        <f>IF(IFERROR(INDEX('Both teabags AfterDry'!$D$1:$D$839,MATCH(I411,'Both teabags AfterDry'!$A$1:$A$839,0)),"")="N.A","",(IFERROR(INDEX('Both teabags AfterDry'!$D$1:$D$839,MATCH(I411,'Both teabags AfterDry'!$A$1:$A$839,0)),"")))</f>
        <v>1.5814999999999999</v>
      </c>
      <c r="Q411" s="195">
        <f t="shared" si="50"/>
        <v>0.60200000000000009</v>
      </c>
      <c r="R411" s="195">
        <f t="shared" si="50"/>
        <v>1.4308999999999998</v>
      </c>
      <c r="S411" s="195">
        <f t="shared" si="45"/>
        <v>0.66088328075709768</v>
      </c>
      <c r="T411" s="195">
        <f t="shared" si="51"/>
        <v>0.43326314842983132</v>
      </c>
      <c r="U411" s="195">
        <f t="shared" si="46"/>
        <v>0.74673833629057507</v>
      </c>
      <c r="V411">
        <f t="shared" si="47"/>
        <v>69</v>
      </c>
      <c r="W411" s="195">
        <f t="shared" si="52"/>
        <v>0.21510299197494331</v>
      </c>
      <c r="X411" s="195">
        <f t="shared" si="53"/>
        <v>1.2730147495636572E-2</v>
      </c>
      <c r="Y411" s="255" t="str">
        <f>IF(ISNUMBER(SEARCH("C", 'Dry_Litterbag Placem_Collection'!V118)),"YES","NO")</f>
        <v>NO</v>
      </c>
      <c r="Z411" s="255" t="str">
        <f>IF(ISNUMBER(SEARCH("H", 'Dry_Litterbag Placem_Collection'!V118)),"YES","NO")</f>
        <v>NO</v>
      </c>
      <c r="AA411" s="255" t="str">
        <f>IF(ISNUMBER(SEARCH("R", 'Dry_Litterbag Placem_Collection'!V118)),"YES","NO")</f>
        <v>NO</v>
      </c>
      <c r="AB411" s="255" t="str">
        <f>IF(ISNUMBER(SEARCH("C", 'Dry_Litterbag Placem_Collection'!U118)),"YES","NO")</f>
        <v>NO</v>
      </c>
      <c r="AC411" s="255" t="str">
        <f>IF(ISNUMBER(SEARCH("H", 'Dry_Litterbag Placem_Collection'!U118)),"YES","NO")</f>
        <v>NO</v>
      </c>
      <c r="AD411" s="255" t="str">
        <f>IF(ISNUMBER(SEARCH("R", 'Dry_Litterbag Placem_Collection'!U118)),"YES","NO")</f>
        <v>NO</v>
      </c>
    </row>
    <row r="412" spans="2:30">
      <c r="B412" t="str">
        <f>'Final data_for_R_analysis_Dryse'!A558</f>
        <v>Dry</v>
      </c>
      <c r="C412" s="263">
        <f>'Final data_for_R_analysis_Dryse'!B558</f>
        <v>117</v>
      </c>
      <c r="D412" t="s">
        <v>3844</v>
      </c>
      <c r="E412" t="s">
        <v>25</v>
      </c>
      <c r="F412" s="387">
        <v>5</v>
      </c>
      <c r="G412" s="16">
        <f>'Dry_Litterbag Placem_Collection'!E119</f>
        <v>42939</v>
      </c>
      <c r="H412" s="92" t="str">
        <f>'Final data_for_R_analysis_Dryse'!J558</f>
        <v>G163</v>
      </c>
      <c r="I412" t="str">
        <f>'Final data_for_R_analysis_Dryse'!J778</f>
        <v>R719</v>
      </c>
      <c r="J412">
        <f>IFERROR(INDEX('Green_rooibos initial weight'!$C$5:$C$1749,MATCH(H412, 'Green_rooibos initial weight'!$A$5:$A$1749,0)),"")</f>
        <v>2.04</v>
      </c>
      <c r="K412">
        <f>IFERROR(INDEX('Green_rooibos initial weight'!$C$5:$C$1749,MATCH(I412, 'Green_rooibos initial weight'!$A$5:$A$1749,0)),"")</f>
        <v>2.2050000000000001</v>
      </c>
      <c r="L412" s="195">
        <f t="shared" si="48"/>
        <v>1.7902</v>
      </c>
      <c r="M412" s="195">
        <f t="shared" si="49"/>
        <v>1.9552</v>
      </c>
      <c r="N412" s="16">
        <f>IF('Dry_Litterbag Placem_Collection'!G119="N.A","",'Dry_Litterbag Placem_Collection'!G119)</f>
        <v>43008</v>
      </c>
      <c r="O412" s="195" t="str">
        <f>IF(IFERROR(INDEX('Both teabags AfterDry'!$D$1:$D$839,MATCH(H412,'Both teabags AfterDry'!$A$1:$A$839,0)),"")="N.A","",(IFERROR(INDEX('Both teabags AfterDry'!$D$1:$D$839,MATCH(H412,'Both teabags AfterDry'!$A$1:$A$839,0)),"")))</f>
        <v/>
      </c>
      <c r="P412" s="195" t="str">
        <f>IF(IFERROR(INDEX('Both teabags AfterDry'!$D$1:$D$839,MATCH(I412,'Both teabags AfterDry'!$A$1:$A$839,0)),"")="N.A","",(IFERROR(INDEX('Both teabags AfterDry'!$D$1:$D$839,MATCH(I412,'Both teabags AfterDry'!$A$1:$A$839,0)),"")))</f>
        <v/>
      </c>
      <c r="Q412" s="195" t="str">
        <f t="shared" si="50"/>
        <v/>
      </c>
      <c r="R412" s="195" t="str">
        <f t="shared" si="50"/>
        <v/>
      </c>
      <c r="S412" s="195" t="str">
        <f t="shared" si="45"/>
        <v/>
      </c>
      <c r="T412" s="195" t="str">
        <f t="shared" si="51"/>
        <v/>
      </c>
      <c r="U412" s="195" t="str">
        <f t="shared" si="46"/>
        <v/>
      </c>
      <c r="V412">
        <f t="shared" si="47"/>
        <v>69</v>
      </c>
      <c r="W412" s="195" t="str">
        <f t="shared" si="52"/>
        <v/>
      </c>
      <c r="X412" s="195" t="str">
        <f t="shared" si="53"/>
        <v/>
      </c>
      <c r="Y412" s="255" t="str">
        <f>IF(ISNUMBER(SEARCH("C", 'Dry_Litterbag Placem_Collection'!V119)),"YES","NO")</f>
        <v>NO</v>
      </c>
      <c r="Z412" s="255" t="str">
        <f>IF(ISNUMBER(SEARCH("H", 'Dry_Litterbag Placem_Collection'!V119)),"YES","NO")</f>
        <v>NO</v>
      </c>
      <c r="AA412" s="255" t="str">
        <f>IF(ISNUMBER(SEARCH("R", 'Dry_Litterbag Placem_Collection'!V119)),"YES","NO")</f>
        <v>NO</v>
      </c>
      <c r="AB412" s="255" t="str">
        <f>IF(ISNUMBER(SEARCH("C", 'Dry_Litterbag Placem_Collection'!U119)),"YES","NO")</f>
        <v>NO</v>
      </c>
      <c r="AC412" s="255" t="str">
        <f>IF(ISNUMBER(SEARCH("H", 'Dry_Litterbag Placem_Collection'!U119)),"YES","NO")</f>
        <v>NO</v>
      </c>
      <c r="AD412" s="255" t="str">
        <f>IF(ISNUMBER(SEARCH("R", 'Dry_Litterbag Placem_Collection'!U119)),"YES","NO")</f>
        <v>NO</v>
      </c>
    </row>
    <row r="413" spans="2:30">
      <c r="B413" t="str">
        <f>'Final data_for_R_analysis_Dryse'!A559</f>
        <v>Dry</v>
      </c>
      <c r="C413" s="263">
        <f>'Final data_for_R_analysis_Dryse'!B559</f>
        <v>118</v>
      </c>
      <c r="D413" t="s">
        <v>3844</v>
      </c>
      <c r="E413" t="s">
        <v>25</v>
      </c>
      <c r="F413" s="387">
        <v>6</v>
      </c>
      <c r="G413" s="16">
        <f>'Dry_Litterbag Placem_Collection'!E120</f>
        <v>42939</v>
      </c>
      <c r="H413" s="92" t="str">
        <f>'Final data_for_R_analysis_Dryse'!J559</f>
        <v>G83</v>
      </c>
      <c r="I413" t="str">
        <f>'Final data_for_R_analysis_Dryse'!J779</f>
        <v>R173</v>
      </c>
      <c r="J413">
        <f>IFERROR(INDEX('Green_rooibos initial weight'!$C$5:$C$1749,MATCH(H413, 'Green_rooibos initial weight'!$A$5:$A$1749,0)),"")</f>
        <v>2.0209999999999999</v>
      </c>
      <c r="K413">
        <f>IFERROR(INDEX('Green_rooibos initial weight'!$C$5:$C$1749,MATCH(I413, 'Green_rooibos initial weight'!$A$5:$A$1749,0)),"")</f>
        <v>2.2040000000000002</v>
      </c>
      <c r="L413" s="195">
        <f t="shared" si="48"/>
        <v>1.7711999999999999</v>
      </c>
      <c r="M413" s="195">
        <f t="shared" si="49"/>
        <v>1.9542000000000002</v>
      </c>
      <c r="N413" s="16">
        <f>IF('Dry_Litterbag Placem_Collection'!G120="N.A","",'Dry_Litterbag Placem_Collection'!G120)</f>
        <v>43008</v>
      </c>
      <c r="O413" s="195">
        <f>IF(IFERROR(INDEX('Both teabags AfterDry'!$D$1:$D$839,MATCH(H413,'Both teabags AfterDry'!$A$1:$A$839,0)),"")="N.A","",(IFERROR(INDEX('Both teabags AfterDry'!$D$1:$D$839,MATCH(H413,'Both teabags AfterDry'!$A$1:$A$839,0)),"")))</f>
        <v>0.81779999999999997</v>
      </c>
      <c r="P413" s="195">
        <f>IF(IFERROR(INDEX('Both teabags AfterDry'!$D$1:$D$839,MATCH(I413,'Both teabags AfterDry'!$A$1:$A$839,0)),"")="N.A","",(IFERROR(INDEX('Both teabags AfterDry'!$D$1:$D$839,MATCH(I413,'Both teabags AfterDry'!$A$1:$A$839,0)),"")))</f>
        <v>1.5261</v>
      </c>
      <c r="Q413" s="195">
        <f t="shared" si="50"/>
        <v>0.66720000000000002</v>
      </c>
      <c r="R413" s="195">
        <f t="shared" si="50"/>
        <v>1.3754999999999999</v>
      </c>
      <c r="S413" s="195">
        <f t="shared" si="45"/>
        <v>0.62330623306233057</v>
      </c>
      <c r="T413" s="195">
        <f t="shared" si="51"/>
        <v>0.40862831431164665</v>
      </c>
      <c r="U413" s="195">
        <f t="shared" si="46"/>
        <v>0.70386859072766339</v>
      </c>
      <c r="V413">
        <f t="shared" si="47"/>
        <v>69</v>
      </c>
      <c r="W413" s="195">
        <f t="shared" si="52"/>
        <v>0.25973131465281407</v>
      </c>
      <c r="X413" s="195">
        <f t="shared" si="53"/>
        <v>1.8693916889785722E-2</v>
      </c>
      <c r="Y413" s="255" t="str">
        <f>IF(ISNUMBER(SEARCH("C", 'Dry_Litterbag Placem_Collection'!V120)),"YES","NO")</f>
        <v>NO</v>
      </c>
      <c r="Z413" s="255" t="str">
        <f>IF(ISNUMBER(SEARCH("H", 'Dry_Litterbag Placem_Collection'!V120)),"YES","NO")</f>
        <v>NO</v>
      </c>
      <c r="AA413" s="255" t="str">
        <f>IF(ISNUMBER(SEARCH("R", 'Dry_Litterbag Placem_Collection'!V120)),"YES","NO")</f>
        <v>NO</v>
      </c>
      <c r="AB413" s="255" t="str">
        <f>IF(ISNUMBER(SEARCH("C", 'Dry_Litterbag Placem_Collection'!U120)),"YES","NO")</f>
        <v>NO</v>
      </c>
      <c r="AC413" s="255" t="str">
        <f>IF(ISNUMBER(SEARCH("H", 'Dry_Litterbag Placem_Collection'!U120)),"YES","NO")</f>
        <v>NO</v>
      </c>
      <c r="AD413" s="255" t="str">
        <f>IF(ISNUMBER(SEARCH("R", 'Dry_Litterbag Placem_Collection'!U120)),"YES","NO")</f>
        <v>YES</v>
      </c>
    </row>
    <row r="414" spans="2:30">
      <c r="B414" t="str">
        <f>'Final data_for_R_analysis_Dryse'!A560</f>
        <v>Dry</v>
      </c>
      <c r="C414" s="263">
        <f>'Final data_for_R_analysis_Dryse'!B560</f>
        <v>119</v>
      </c>
      <c r="D414" t="s">
        <v>3844</v>
      </c>
      <c r="E414" t="s">
        <v>25</v>
      </c>
      <c r="F414" s="387">
        <v>7</v>
      </c>
      <c r="G414" s="16">
        <f>'Dry_Litterbag Placem_Collection'!E121</f>
        <v>42939</v>
      </c>
      <c r="H414" s="92" t="str">
        <f>'Final data_for_R_analysis_Dryse'!J560</f>
        <v>G159</v>
      </c>
      <c r="I414" t="str">
        <f>'Final data_for_R_analysis_Dryse'!J780</f>
        <v>R373</v>
      </c>
      <c r="J414">
        <f>IFERROR(INDEX('Green_rooibos initial weight'!$C$5:$C$1749,MATCH(H414, 'Green_rooibos initial weight'!$A$5:$A$1749,0)),"")</f>
        <v>2.1419999999999999</v>
      </c>
      <c r="K414">
        <f>IFERROR(INDEX('Green_rooibos initial weight'!$C$5:$C$1749,MATCH(I414, 'Green_rooibos initial weight'!$A$5:$A$1749,0)),"")</f>
        <v>2.226</v>
      </c>
      <c r="L414" s="195">
        <f t="shared" si="48"/>
        <v>1.8921999999999999</v>
      </c>
      <c r="M414" s="195">
        <f t="shared" si="49"/>
        <v>1.9762</v>
      </c>
      <c r="N414" s="16">
        <f>IF('Dry_Litterbag Placem_Collection'!G121="N.A","",'Dry_Litterbag Placem_Collection'!G121)</f>
        <v>43008</v>
      </c>
      <c r="O414" s="195">
        <f>IF(IFERROR(INDEX('Both teabags AfterDry'!$D$1:$D$839,MATCH(H414,'Both teabags AfterDry'!$A$1:$A$839,0)),"")="N.A","",(IFERROR(INDEX('Both teabags AfterDry'!$D$1:$D$839,MATCH(H414,'Both teabags AfterDry'!$A$1:$A$839,0)),"")))</f>
        <v>0.76990000000000003</v>
      </c>
      <c r="P414" s="195">
        <f>IF(IFERROR(INDEX('Both teabags AfterDry'!$D$1:$D$839,MATCH(I414,'Both teabags AfterDry'!$A$1:$A$839,0)),"")="N.A","",(IFERROR(INDEX('Both teabags AfterDry'!$D$1:$D$839,MATCH(I414,'Both teabags AfterDry'!$A$1:$A$839,0)),"")))</f>
        <v>1.5419</v>
      </c>
      <c r="Q414" s="195">
        <f t="shared" si="50"/>
        <v>0.61929999999999996</v>
      </c>
      <c r="R414" s="195">
        <f t="shared" si="50"/>
        <v>1.3913</v>
      </c>
      <c r="S414" s="195">
        <f t="shared" si="45"/>
        <v>0.67270901596025789</v>
      </c>
      <c r="T414" s="195">
        <f t="shared" si="51"/>
        <v>0.44101588694781763</v>
      </c>
      <c r="U414" s="195">
        <f t="shared" si="46"/>
        <v>0.70402793239550654</v>
      </c>
      <c r="V414">
        <f t="shared" si="47"/>
        <v>69</v>
      </c>
      <c r="W414" s="195">
        <f t="shared" si="52"/>
        <v>0.20105817581917107</v>
      </c>
      <c r="X414" s="195">
        <f t="shared" si="53"/>
        <v>1.6116594209979157E-2</v>
      </c>
      <c r="Y414" s="255" t="str">
        <f>IF(ISNUMBER(SEARCH("C", 'Dry_Litterbag Placem_Collection'!V121)),"YES","NO")</f>
        <v>NO</v>
      </c>
      <c r="Z414" s="255" t="str">
        <f>IF(ISNUMBER(SEARCH("H", 'Dry_Litterbag Placem_Collection'!V121)),"YES","NO")</f>
        <v>NO</v>
      </c>
      <c r="AA414" s="255" t="str">
        <f>IF(ISNUMBER(SEARCH("R", 'Dry_Litterbag Placem_Collection'!V121)),"YES","NO")</f>
        <v>NO</v>
      </c>
      <c r="AB414" s="255" t="str">
        <f>IF(ISNUMBER(SEARCH("C", 'Dry_Litterbag Placem_Collection'!U121)),"YES","NO")</f>
        <v>NO</v>
      </c>
      <c r="AC414" s="255" t="str">
        <f>IF(ISNUMBER(SEARCH("H", 'Dry_Litterbag Placem_Collection'!U121)),"YES","NO")</f>
        <v>NO</v>
      </c>
      <c r="AD414" s="255" t="str">
        <f>IF(ISNUMBER(SEARCH("R", 'Dry_Litterbag Placem_Collection'!U121)),"YES","NO")</f>
        <v>YES</v>
      </c>
    </row>
    <row r="415" spans="2:30">
      <c r="B415" t="str">
        <f>'Final data_for_R_analysis_Dryse'!A561</f>
        <v>Dry</v>
      </c>
      <c r="C415" s="263">
        <f>'Final data_for_R_analysis_Dryse'!B561</f>
        <v>120</v>
      </c>
      <c r="D415" t="s">
        <v>3844</v>
      </c>
      <c r="E415" t="s">
        <v>25</v>
      </c>
      <c r="F415" s="387">
        <v>8</v>
      </c>
      <c r="G415" s="16">
        <f>'Dry_Litterbag Placem_Collection'!E122</f>
        <v>0</v>
      </c>
      <c r="H415" s="92" t="str">
        <f>'Final data_for_R_analysis_Dryse'!J561</f>
        <v/>
      </c>
      <c r="I415" t="str">
        <f>'Final data_for_R_analysis_Dryse'!J781</f>
        <v/>
      </c>
      <c r="J415" t="str">
        <f>IFERROR(INDEX('Green_rooibos initial weight'!$C$5:$C$1749,MATCH(H415, 'Green_rooibos initial weight'!$A$5:$A$1749,0)),"")</f>
        <v/>
      </c>
      <c r="K415" t="str">
        <f>IFERROR(INDEX('Green_rooibos initial weight'!$C$5:$C$1749,MATCH(I415, 'Green_rooibos initial weight'!$A$5:$A$1749,0)),"")</f>
        <v/>
      </c>
      <c r="L415" s="195" t="str">
        <f t="shared" si="48"/>
        <v/>
      </c>
      <c r="M415" s="195" t="str">
        <f t="shared" si="49"/>
        <v/>
      </c>
      <c r="N415" s="16">
        <f>IF('Dry_Litterbag Placem_Collection'!G122="N.A","",'Dry_Litterbag Placem_Collection'!G122)</f>
        <v>0</v>
      </c>
      <c r="O415" s="195" t="str">
        <f>IF(IFERROR(INDEX('Both teabags AfterDry'!$D$1:$D$839,MATCH(H415,'Both teabags AfterDry'!$A$1:$A$839,0)),"")="N.A","",(IFERROR(INDEX('Both teabags AfterDry'!$D$1:$D$839,MATCH(H415,'Both teabags AfterDry'!$A$1:$A$839,0)),"")))</f>
        <v/>
      </c>
      <c r="P415" s="195" t="str">
        <f>IF(IFERROR(INDEX('Both teabags AfterDry'!$D$1:$D$839,MATCH(I415,'Both teabags AfterDry'!$A$1:$A$839,0)),"")="N.A","",(IFERROR(INDEX('Both teabags AfterDry'!$D$1:$D$839,MATCH(I415,'Both teabags AfterDry'!$A$1:$A$839,0)),"")))</f>
        <v/>
      </c>
      <c r="Q415" s="195" t="str">
        <f t="shared" si="50"/>
        <v/>
      </c>
      <c r="R415" s="195" t="str">
        <f t="shared" si="50"/>
        <v/>
      </c>
      <c r="S415" s="195" t="str">
        <f t="shared" si="45"/>
        <v/>
      </c>
      <c r="T415" s="195" t="str">
        <f t="shared" si="51"/>
        <v/>
      </c>
      <c r="U415" s="195" t="str">
        <f t="shared" si="46"/>
        <v/>
      </c>
      <c r="V415" t="str">
        <f t="shared" si="47"/>
        <v/>
      </c>
      <c r="W415" s="195" t="str">
        <f t="shared" si="52"/>
        <v/>
      </c>
      <c r="X415" s="195" t="str">
        <f t="shared" si="53"/>
        <v/>
      </c>
      <c r="Y415" s="255" t="str">
        <f>IF(ISNUMBER(SEARCH("C", 'Dry_Litterbag Placem_Collection'!V122)),"YES","NO")</f>
        <v>NO</v>
      </c>
      <c r="Z415" s="255" t="str">
        <f>IF(ISNUMBER(SEARCH("H", 'Dry_Litterbag Placem_Collection'!V122)),"YES","NO")</f>
        <v>NO</v>
      </c>
      <c r="AA415" s="255" t="str">
        <f>IF(ISNUMBER(SEARCH("R", 'Dry_Litterbag Placem_Collection'!V122)),"YES","NO")</f>
        <v>NO</v>
      </c>
      <c r="AB415" s="255" t="str">
        <f>IF(ISNUMBER(SEARCH("C", 'Dry_Litterbag Placem_Collection'!U122)),"YES","NO")</f>
        <v>NO</v>
      </c>
      <c r="AC415" s="255" t="str">
        <f>IF(ISNUMBER(SEARCH("H", 'Dry_Litterbag Placem_Collection'!U122)),"YES","NO")</f>
        <v>NO</v>
      </c>
      <c r="AD415" s="255" t="str">
        <f>IF(ISNUMBER(SEARCH("R", 'Dry_Litterbag Placem_Collection'!U122)),"YES","NO")</f>
        <v>NO</v>
      </c>
    </row>
    <row r="416" spans="2:30">
      <c r="B416" t="str">
        <f>'Final data_for_R_analysis_Dryse'!A562</f>
        <v>Dry</v>
      </c>
      <c r="C416" s="263">
        <f>'Final data_for_R_analysis_Dryse'!B562</f>
        <v>121</v>
      </c>
      <c r="D416" t="s">
        <v>3845</v>
      </c>
      <c r="E416" t="s">
        <v>25</v>
      </c>
      <c r="F416" s="386">
        <v>1</v>
      </c>
      <c r="G416" s="16">
        <f>'Dry_Litterbag Placem_Collection'!E123</f>
        <v>42939</v>
      </c>
      <c r="H416" s="92" t="str">
        <f>'Final data_for_R_analysis_Dryse'!J562</f>
        <v>G16</v>
      </c>
      <c r="I416" t="str">
        <f>'Final data_for_R_analysis_Dryse'!J782</f>
        <v>R374</v>
      </c>
      <c r="J416">
        <f>IFERROR(INDEX('Green_rooibos initial weight'!$C$5:$C$1749,MATCH(H416, 'Green_rooibos initial weight'!$A$5:$A$1749,0)),"")</f>
        <v>1.9410000000000001</v>
      </c>
      <c r="K416">
        <f>IFERROR(INDEX('Green_rooibos initial weight'!$C$5:$C$1749,MATCH(I416, 'Green_rooibos initial weight'!$A$5:$A$1749,0)),"")</f>
        <v>2.2090000000000001</v>
      </c>
      <c r="L416" s="195">
        <f t="shared" si="48"/>
        <v>1.6912</v>
      </c>
      <c r="M416" s="195">
        <f t="shared" si="49"/>
        <v>1.9592000000000001</v>
      </c>
      <c r="N416" s="16">
        <f>IF('Dry_Litterbag Placem_Collection'!G123="N.A","",'Dry_Litterbag Placem_Collection'!G123)</f>
        <v>43008</v>
      </c>
      <c r="O416" s="195" t="str">
        <f>IF(IFERROR(INDEX('Both teabags AfterDry'!$D$1:$D$839,MATCH(H416,'Both teabags AfterDry'!$A$1:$A$839,0)),"")="N.A","",(IFERROR(INDEX('Both teabags AfterDry'!$D$1:$D$839,MATCH(H416,'Both teabags AfterDry'!$A$1:$A$839,0)),"")))</f>
        <v/>
      </c>
      <c r="P416" s="195" t="str">
        <f>IF(IFERROR(INDEX('Both teabags AfterDry'!$D$1:$D$839,MATCH(I416,'Both teabags AfterDry'!$A$1:$A$839,0)),"")="N.A","",(IFERROR(INDEX('Both teabags AfterDry'!$D$1:$D$839,MATCH(I416,'Both teabags AfterDry'!$A$1:$A$839,0)),"")))</f>
        <v/>
      </c>
      <c r="Q416" s="195" t="str">
        <f t="shared" si="50"/>
        <v/>
      </c>
      <c r="R416" s="195" t="str">
        <f t="shared" si="50"/>
        <v/>
      </c>
      <c r="S416" s="195" t="str">
        <f t="shared" si="45"/>
        <v/>
      </c>
      <c r="T416" s="195" t="str">
        <f t="shared" si="51"/>
        <v/>
      </c>
      <c r="U416" s="195" t="str">
        <f t="shared" si="46"/>
        <v/>
      </c>
      <c r="V416">
        <f t="shared" si="47"/>
        <v>69</v>
      </c>
      <c r="W416" s="195" t="str">
        <f t="shared" si="52"/>
        <v/>
      </c>
      <c r="X416" s="195" t="str">
        <f t="shared" si="53"/>
        <v/>
      </c>
      <c r="Y416" s="255" t="str">
        <f>IF(ISNUMBER(SEARCH("C", 'Dry_Litterbag Placem_Collection'!V123)),"YES","NO")</f>
        <v>NO</v>
      </c>
      <c r="Z416" s="255" t="str">
        <f>IF(ISNUMBER(SEARCH("H", 'Dry_Litterbag Placem_Collection'!V123)),"YES","NO")</f>
        <v>NO</v>
      </c>
      <c r="AA416" s="255" t="str">
        <f>IF(ISNUMBER(SEARCH("R", 'Dry_Litterbag Placem_Collection'!V123)),"YES","NO")</f>
        <v>NO</v>
      </c>
      <c r="AB416" s="255" t="str">
        <f>IF(ISNUMBER(SEARCH("C", 'Dry_Litterbag Placem_Collection'!U123)),"YES","NO")</f>
        <v>NO</v>
      </c>
      <c r="AC416" s="255" t="str">
        <f>IF(ISNUMBER(SEARCH("H", 'Dry_Litterbag Placem_Collection'!U123)),"YES","NO")</f>
        <v>NO</v>
      </c>
      <c r="AD416" s="255" t="str">
        <f>IF(ISNUMBER(SEARCH("R", 'Dry_Litterbag Placem_Collection'!U123)),"YES","NO")</f>
        <v>NO</v>
      </c>
    </row>
    <row r="417" spans="2:30">
      <c r="B417" t="str">
        <f>'Final data_for_R_analysis_Dryse'!A563</f>
        <v>Dry</v>
      </c>
      <c r="C417" s="263">
        <f>'Final data_for_R_analysis_Dryse'!B563</f>
        <v>122</v>
      </c>
      <c r="D417" t="s">
        <v>3845</v>
      </c>
      <c r="E417" t="s">
        <v>25</v>
      </c>
      <c r="F417" s="386">
        <v>2</v>
      </c>
      <c r="G417" s="16">
        <f>'Dry_Litterbag Placem_Collection'!E124</f>
        <v>42939</v>
      </c>
      <c r="H417" s="92" t="str">
        <f>'Final data_for_R_analysis_Dryse'!J563</f>
        <v>G109</v>
      </c>
      <c r="I417" t="str">
        <f>'Final data_for_R_analysis_Dryse'!J783</f>
        <v>R388</v>
      </c>
      <c r="J417">
        <f>IFERROR(INDEX('Green_rooibos initial weight'!$C$5:$C$1749,MATCH(H417, 'Green_rooibos initial weight'!$A$5:$A$1749,0)),"")</f>
        <v>1.992</v>
      </c>
      <c r="K417">
        <f>IFERROR(INDEX('Green_rooibos initial weight'!$C$5:$C$1749,MATCH(I417, 'Green_rooibos initial weight'!$A$5:$A$1749,0)),"")</f>
        <v>2.2349999999999999</v>
      </c>
      <c r="L417" s="195">
        <f t="shared" si="48"/>
        <v>1.7422</v>
      </c>
      <c r="M417" s="195">
        <f t="shared" si="49"/>
        <v>1.9851999999999999</v>
      </c>
      <c r="N417" s="16">
        <f>IF('Dry_Litterbag Placem_Collection'!G124="N.A","",'Dry_Litterbag Placem_Collection'!G124)</f>
        <v>43008</v>
      </c>
      <c r="O417" s="195">
        <f>IF(IFERROR(INDEX('Both teabags AfterDry'!$D$1:$D$839,MATCH(H417,'Both teabags AfterDry'!$A$1:$A$839,0)),"")="N.A","",(IFERROR(INDEX('Both teabags AfterDry'!$D$1:$D$839,MATCH(H417,'Both teabags AfterDry'!$A$1:$A$839,0)),"")))</f>
        <v>0.67359999999999998</v>
      </c>
      <c r="P417" s="195">
        <f>IF(IFERROR(INDEX('Both teabags AfterDry'!$D$1:$D$839,MATCH(I417,'Both teabags AfterDry'!$A$1:$A$839,0)),"")="N.A","",(IFERROR(INDEX('Both teabags AfterDry'!$D$1:$D$839,MATCH(I417,'Both teabags AfterDry'!$A$1:$A$839,0)),"")))</f>
        <v>1.4536</v>
      </c>
      <c r="Q417" s="195">
        <f t="shared" si="50"/>
        <v>0.52299999999999991</v>
      </c>
      <c r="R417" s="195">
        <f t="shared" si="50"/>
        <v>1.3029999999999999</v>
      </c>
      <c r="S417" s="195">
        <f t="shared" si="45"/>
        <v>0.6998048444495466</v>
      </c>
      <c r="T417" s="195">
        <f t="shared" si="51"/>
        <v>0.45877942296454838</v>
      </c>
      <c r="U417" s="195">
        <f t="shared" si="46"/>
        <v>0.65635704211162604</v>
      </c>
      <c r="V417">
        <f t="shared" si="47"/>
        <v>69</v>
      </c>
      <c r="W417" s="195">
        <f t="shared" si="52"/>
        <v>0.16887785694828195</v>
      </c>
      <c r="X417" s="195">
        <f t="shared" si="53"/>
        <v>2.0035528360593132E-2</v>
      </c>
      <c r="Y417" s="255" t="str">
        <f>IF(ISNUMBER(SEARCH("C", 'Dry_Litterbag Placem_Collection'!V124)),"YES","NO")</f>
        <v>NO</v>
      </c>
      <c r="Z417" s="255" t="str">
        <f>IF(ISNUMBER(SEARCH("H", 'Dry_Litterbag Placem_Collection'!V124)),"YES","NO")</f>
        <v>NO</v>
      </c>
      <c r="AA417" s="255" t="str">
        <f>IF(ISNUMBER(SEARCH("R", 'Dry_Litterbag Placem_Collection'!V124)),"YES","NO")</f>
        <v>NO</v>
      </c>
      <c r="AB417" s="255" t="str">
        <f>IF(ISNUMBER(SEARCH("C", 'Dry_Litterbag Placem_Collection'!U124)),"YES","NO")</f>
        <v>NO</v>
      </c>
      <c r="AC417" s="255" t="str">
        <f>IF(ISNUMBER(SEARCH("H", 'Dry_Litterbag Placem_Collection'!U124)),"YES","NO")</f>
        <v>NO</v>
      </c>
      <c r="AD417" s="255" t="str">
        <f>IF(ISNUMBER(SEARCH("R", 'Dry_Litterbag Placem_Collection'!U124)),"YES","NO")</f>
        <v>NO</v>
      </c>
    </row>
    <row r="418" spans="2:30">
      <c r="B418" t="str">
        <f>'Final data_for_R_analysis_Dryse'!A564</f>
        <v>Dry</v>
      </c>
      <c r="C418" s="263">
        <f>'Final data_for_R_analysis_Dryse'!B564</f>
        <v>123</v>
      </c>
      <c r="D418" t="s">
        <v>3845</v>
      </c>
      <c r="E418" t="s">
        <v>25</v>
      </c>
      <c r="F418" s="386">
        <v>3</v>
      </c>
      <c r="G418" s="16">
        <f>'Dry_Litterbag Placem_Collection'!E125</f>
        <v>42939</v>
      </c>
      <c r="H418" s="92" t="str">
        <f>'Final data_for_R_analysis_Dryse'!J564</f>
        <v>G344</v>
      </c>
      <c r="I418" t="str">
        <f>'Final data_for_R_analysis_Dryse'!J784</f>
        <v>R281</v>
      </c>
      <c r="J418">
        <f>IFERROR(INDEX('Green_rooibos initial weight'!$C$5:$C$1749,MATCH(H418, 'Green_rooibos initial weight'!$A$5:$A$1749,0)),"")</f>
        <v>1.93</v>
      </c>
      <c r="K418">
        <f>IFERROR(INDEX('Green_rooibos initial weight'!$C$5:$C$1749,MATCH(I418, 'Green_rooibos initial weight'!$A$5:$A$1749,0)),"")</f>
        <v>2.17</v>
      </c>
      <c r="L418" s="195">
        <f t="shared" si="48"/>
        <v>1.6801999999999999</v>
      </c>
      <c r="M418" s="195">
        <f t="shared" si="49"/>
        <v>1.9201999999999999</v>
      </c>
      <c r="N418" s="16">
        <f>IF('Dry_Litterbag Placem_Collection'!G125="N.A","",'Dry_Litterbag Placem_Collection'!G125)</f>
        <v>43008</v>
      </c>
      <c r="O418" s="195">
        <f>IF(IFERROR(INDEX('Both teabags AfterDry'!$D$1:$D$839,MATCH(H418,'Both teabags AfterDry'!$A$1:$A$839,0)),"")="N.A","",(IFERROR(INDEX('Both teabags AfterDry'!$D$1:$D$839,MATCH(H418,'Both teabags AfterDry'!$A$1:$A$839,0)),"")))</f>
        <v>0.78580000000000005</v>
      </c>
      <c r="P418" s="195">
        <f>IF(IFERROR(INDEX('Both teabags AfterDry'!$D$1:$D$839,MATCH(I418,'Both teabags AfterDry'!$A$1:$A$839,0)),"")="N.A","",(IFERROR(INDEX('Both teabags AfterDry'!$D$1:$D$839,MATCH(I418,'Both teabags AfterDry'!$A$1:$A$839,0)),"")))</f>
        <v>1.7361</v>
      </c>
      <c r="Q418" s="195">
        <f t="shared" si="50"/>
        <v>0.63519999999999999</v>
      </c>
      <c r="R418" s="195">
        <f t="shared" si="50"/>
        <v>1.5854999999999999</v>
      </c>
      <c r="S418" s="195">
        <f t="shared" si="45"/>
        <v>0.62194976788477563</v>
      </c>
      <c r="T418" s="195">
        <f t="shared" si="51"/>
        <v>0.40773904022849905</v>
      </c>
      <c r="U418" s="195">
        <f t="shared" si="46"/>
        <v>0.8256952400791584</v>
      </c>
      <c r="V418">
        <f t="shared" si="47"/>
        <v>69</v>
      </c>
      <c r="W418" s="195">
        <f t="shared" si="52"/>
        <v>0.26134231842663225</v>
      </c>
      <c r="X418" s="195">
        <f t="shared" si="53"/>
        <v>8.0829968083643913E-3</v>
      </c>
      <c r="Y418" s="255" t="str">
        <f>IF(ISNUMBER(SEARCH("C", 'Dry_Litterbag Placem_Collection'!V125)),"YES","NO")</f>
        <v>NO</v>
      </c>
      <c r="Z418" s="255" t="str">
        <f>IF(ISNUMBER(SEARCH("H", 'Dry_Litterbag Placem_Collection'!V125)),"YES","NO")</f>
        <v>NO</v>
      </c>
      <c r="AA418" s="255" t="str">
        <f>IF(ISNUMBER(SEARCH("R", 'Dry_Litterbag Placem_Collection'!V125)),"YES","NO")</f>
        <v>NO</v>
      </c>
      <c r="AB418" s="255" t="str">
        <f>IF(ISNUMBER(SEARCH("C", 'Dry_Litterbag Placem_Collection'!U125)),"YES","NO")</f>
        <v>NO</v>
      </c>
      <c r="AC418" s="255" t="str">
        <f>IF(ISNUMBER(SEARCH("H", 'Dry_Litterbag Placem_Collection'!U125)),"YES","NO")</f>
        <v>NO</v>
      </c>
      <c r="AD418" s="255" t="str">
        <f>IF(ISNUMBER(SEARCH("R", 'Dry_Litterbag Placem_Collection'!U125)),"YES","NO")</f>
        <v>NO</v>
      </c>
    </row>
    <row r="419" spans="2:30">
      <c r="B419" t="str">
        <f>'Final data_for_R_analysis_Dryse'!A565</f>
        <v>Dry</v>
      </c>
      <c r="C419" s="263">
        <f>'Final data_for_R_analysis_Dryse'!B565</f>
        <v>124</v>
      </c>
      <c r="D419" t="s">
        <v>3845</v>
      </c>
      <c r="E419" t="s">
        <v>25</v>
      </c>
      <c r="F419" s="387">
        <v>4</v>
      </c>
      <c r="G419" s="16">
        <f>'Dry_Litterbag Placem_Collection'!E126</f>
        <v>42939</v>
      </c>
      <c r="H419" s="92" t="str">
        <f>'Final data_for_R_analysis_Dryse'!J565</f>
        <v>G221</v>
      </c>
      <c r="I419" t="str">
        <f>'Final data_for_R_analysis_Dryse'!J785</f>
        <v>R443</v>
      </c>
      <c r="J419">
        <f>IFERROR(INDEX('Green_rooibos initial weight'!$C$5:$C$1749,MATCH(H419, 'Green_rooibos initial weight'!$A$5:$A$1749,0)),"")</f>
        <v>2.004</v>
      </c>
      <c r="K419">
        <f>IFERROR(INDEX('Green_rooibos initial weight'!$C$5:$C$1749,MATCH(I419, 'Green_rooibos initial weight'!$A$5:$A$1749,0)),"")</f>
        <v>2.2149999999999999</v>
      </c>
      <c r="L419" s="195">
        <f t="shared" si="48"/>
        <v>1.7542</v>
      </c>
      <c r="M419" s="195">
        <f t="shared" si="49"/>
        <v>1.9651999999999998</v>
      </c>
      <c r="N419" s="16">
        <f>IF('Dry_Litterbag Placem_Collection'!G126="N.A","",'Dry_Litterbag Placem_Collection'!G126)</f>
        <v>43008</v>
      </c>
      <c r="O419" s="195">
        <f>IF(IFERROR(INDEX('Both teabags AfterDry'!$D$1:$D$839,MATCH(H419,'Both teabags AfterDry'!$A$1:$A$839,0)),"")="N.A","",(IFERROR(INDEX('Both teabags AfterDry'!$D$1:$D$839,MATCH(H419,'Both teabags AfterDry'!$A$1:$A$839,0)),"")))</f>
        <v>0.66700000000000004</v>
      </c>
      <c r="P419" s="195">
        <f>IF(IFERROR(INDEX('Both teabags AfterDry'!$D$1:$D$839,MATCH(I419,'Both teabags AfterDry'!$A$1:$A$839,0)),"")="N.A","",(IFERROR(INDEX('Both teabags AfterDry'!$D$1:$D$839,MATCH(I419,'Both teabags AfterDry'!$A$1:$A$839,0)),"")))</f>
        <v>1.5766</v>
      </c>
      <c r="Q419" s="195">
        <f t="shared" si="50"/>
        <v>0.51639999999999997</v>
      </c>
      <c r="R419" s="195">
        <f t="shared" si="50"/>
        <v>1.4259999999999999</v>
      </c>
      <c r="S419" s="195">
        <f t="shared" si="45"/>
        <v>0.70562079580435522</v>
      </c>
      <c r="T419" s="195">
        <f t="shared" si="51"/>
        <v>0.46259225568171508</v>
      </c>
      <c r="U419" s="195">
        <f t="shared" si="46"/>
        <v>0.72562589049460613</v>
      </c>
      <c r="V419">
        <f t="shared" si="47"/>
        <v>69</v>
      </c>
      <c r="W419" s="195">
        <f t="shared" si="52"/>
        <v>0.16197055130124083</v>
      </c>
      <c r="X419" s="195">
        <f t="shared" si="53"/>
        <v>1.3032527053062206E-2</v>
      </c>
      <c r="Y419" s="255" t="str">
        <f>IF(ISNUMBER(SEARCH("C", 'Dry_Litterbag Placem_Collection'!V126)),"YES","NO")</f>
        <v>NO</v>
      </c>
      <c r="Z419" s="255" t="str">
        <f>IF(ISNUMBER(SEARCH("H", 'Dry_Litterbag Placem_Collection'!V126)),"YES","NO")</f>
        <v>NO</v>
      </c>
      <c r="AA419" s="255" t="str">
        <f>IF(ISNUMBER(SEARCH("R", 'Dry_Litterbag Placem_Collection'!V126)),"YES","NO")</f>
        <v>NO</v>
      </c>
      <c r="AB419" s="255" t="str">
        <f>IF(ISNUMBER(SEARCH("C", 'Dry_Litterbag Placem_Collection'!U126)),"YES","NO")</f>
        <v>NO</v>
      </c>
      <c r="AC419" s="255" t="str">
        <f>IF(ISNUMBER(SEARCH("H", 'Dry_Litterbag Placem_Collection'!U126)),"YES","NO")</f>
        <v>NO</v>
      </c>
      <c r="AD419" s="255" t="str">
        <f>IF(ISNUMBER(SEARCH("R", 'Dry_Litterbag Placem_Collection'!U126)),"YES","NO")</f>
        <v>NO</v>
      </c>
    </row>
    <row r="420" spans="2:30">
      <c r="B420" t="str">
        <f>'Final data_for_R_analysis_Dryse'!A566</f>
        <v>Dry</v>
      </c>
      <c r="C420" s="263">
        <f>'Final data_for_R_analysis_Dryse'!B566</f>
        <v>125</v>
      </c>
      <c r="D420" t="s">
        <v>3845</v>
      </c>
      <c r="E420" t="s">
        <v>25</v>
      </c>
      <c r="F420" s="387">
        <v>5</v>
      </c>
      <c r="G420" s="16">
        <f>'Dry_Litterbag Placem_Collection'!E127</f>
        <v>42939</v>
      </c>
      <c r="H420" s="92" t="str">
        <f>'Final data_for_R_analysis_Dryse'!J566</f>
        <v>G757</v>
      </c>
      <c r="I420" t="str">
        <f>'Final data_for_R_analysis_Dryse'!J786</f>
        <v>R180</v>
      </c>
      <c r="J420">
        <f>IFERROR(INDEX('Green_rooibos initial weight'!$C$5:$C$1749,MATCH(H420, 'Green_rooibos initial weight'!$A$5:$A$1749,0)),"")</f>
        <v>2.0670000000000002</v>
      </c>
      <c r="K420">
        <f>IFERROR(INDEX('Green_rooibos initial weight'!$C$5:$C$1749,MATCH(I420, 'Green_rooibos initial weight'!$A$5:$A$1749,0)),"")</f>
        <v>2.2010000000000001</v>
      </c>
      <c r="L420" s="195">
        <f t="shared" si="48"/>
        <v>1.8172000000000001</v>
      </c>
      <c r="M420" s="195">
        <f t="shared" si="49"/>
        <v>1.9512</v>
      </c>
      <c r="N420" s="16">
        <f>IF('Dry_Litterbag Placem_Collection'!G127="N.A","",'Dry_Litterbag Placem_Collection'!G127)</f>
        <v>43008</v>
      </c>
      <c r="O420" s="195">
        <f>IF(IFERROR(INDEX('Both teabags AfterDry'!$D$1:$D$839,MATCH(H420,'Both teabags AfterDry'!$A$1:$A$839,0)),"")="N.A","",(IFERROR(INDEX('Both teabags AfterDry'!$D$1:$D$839,MATCH(H420,'Both teabags AfterDry'!$A$1:$A$839,0)),"")))</f>
        <v>0.92230000000000001</v>
      </c>
      <c r="P420" s="195">
        <f>IF(IFERROR(INDEX('Both teabags AfterDry'!$D$1:$D$839,MATCH(I420,'Both teabags AfterDry'!$A$1:$A$839,0)),"")="N.A","",(IFERROR(INDEX('Both teabags AfterDry'!$D$1:$D$839,MATCH(I420,'Both teabags AfterDry'!$A$1:$A$839,0)),"")))</f>
        <v>1.595</v>
      </c>
      <c r="Q420" s="195">
        <f t="shared" si="50"/>
        <v>0.77170000000000005</v>
      </c>
      <c r="R420" s="195">
        <f t="shared" si="50"/>
        <v>1.4443999999999999</v>
      </c>
      <c r="S420" s="195">
        <f t="shared" si="45"/>
        <v>0.5753356812678847</v>
      </c>
      <c r="T420" s="195">
        <f t="shared" si="51"/>
        <v>0.37717968653191497</v>
      </c>
      <c r="U420" s="195">
        <f t="shared" si="46"/>
        <v>0.74026240262402621</v>
      </c>
      <c r="V420">
        <f t="shared" si="47"/>
        <v>69</v>
      </c>
      <c r="W420" s="195">
        <f t="shared" si="52"/>
        <v>0.31670346642769032</v>
      </c>
      <c r="X420" s="195">
        <f t="shared" si="53"/>
        <v>1.6909802060260697E-2</v>
      </c>
      <c r="Y420" s="255" t="str">
        <f>IF(ISNUMBER(SEARCH("C", 'Dry_Litterbag Placem_Collection'!V127)),"YES","NO")</f>
        <v>NO</v>
      </c>
      <c r="Z420" s="255" t="str">
        <f>IF(ISNUMBER(SEARCH("H", 'Dry_Litterbag Placem_Collection'!V127)),"YES","NO")</f>
        <v>NO</v>
      </c>
      <c r="AA420" s="255" t="str">
        <f>IF(ISNUMBER(SEARCH("R", 'Dry_Litterbag Placem_Collection'!V127)),"YES","NO")</f>
        <v>NO</v>
      </c>
      <c r="AB420" s="255" t="str">
        <f>IF(ISNUMBER(SEARCH("C", 'Dry_Litterbag Placem_Collection'!U127)),"YES","NO")</f>
        <v>NO</v>
      </c>
      <c r="AC420" s="255" t="str">
        <f>IF(ISNUMBER(SEARCH("H", 'Dry_Litterbag Placem_Collection'!U127)),"YES","NO")</f>
        <v>NO</v>
      </c>
      <c r="AD420" s="255" t="str">
        <f>IF(ISNUMBER(SEARCH("R", 'Dry_Litterbag Placem_Collection'!U127)),"YES","NO")</f>
        <v>NO</v>
      </c>
    </row>
    <row r="421" spans="2:30">
      <c r="B421" t="str">
        <f>'Final data_for_R_analysis_Dryse'!A567</f>
        <v>Dry</v>
      </c>
      <c r="C421" s="263">
        <f>'Final data_for_R_analysis_Dryse'!B567</f>
        <v>126</v>
      </c>
      <c r="D421" t="s">
        <v>3845</v>
      </c>
      <c r="E421" t="s">
        <v>25</v>
      </c>
      <c r="F421" s="387">
        <v>6</v>
      </c>
      <c r="G421" s="16">
        <f>'Dry_Litterbag Placem_Collection'!E128</f>
        <v>0</v>
      </c>
      <c r="H421" s="92" t="str">
        <f>'Final data_for_R_analysis_Dryse'!J567</f>
        <v/>
      </c>
      <c r="I421" t="str">
        <f>'Final data_for_R_analysis_Dryse'!J787</f>
        <v/>
      </c>
      <c r="J421" t="str">
        <f>IFERROR(INDEX('Green_rooibos initial weight'!$C$5:$C$1749,MATCH(H421, 'Green_rooibos initial weight'!$A$5:$A$1749,0)),"")</f>
        <v/>
      </c>
      <c r="K421" t="str">
        <f>IFERROR(INDEX('Green_rooibos initial weight'!$C$5:$C$1749,MATCH(I421, 'Green_rooibos initial weight'!$A$5:$A$1749,0)),"")</f>
        <v/>
      </c>
      <c r="L421" s="195" t="str">
        <f t="shared" si="48"/>
        <v/>
      </c>
      <c r="M421" s="195" t="str">
        <f t="shared" si="49"/>
        <v/>
      </c>
      <c r="N421" s="16">
        <f>IF('Dry_Litterbag Placem_Collection'!G128="N.A","",'Dry_Litterbag Placem_Collection'!G128)</f>
        <v>0</v>
      </c>
      <c r="O421" s="195" t="str">
        <f>IF(IFERROR(INDEX('Both teabags AfterDry'!$D$1:$D$839,MATCH(H421,'Both teabags AfterDry'!$A$1:$A$839,0)),"")="N.A","",(IFERROR(INDEX('Both teabags AfterDry'!$D$1:$D$839,MATCH(H421,'Both teabags AfterDry'!$A$1:$A$839,0)),"")))</f>
        <v/>
      </c>
      <c r="P421" s="195" t="str">
        <f>IF(IFERROR(INDEX('Both teabags AfterDry'!$D$1:$D$839,MATCH(I421,'Both teabags AfterDry'!$A$1:$A$839,0)),"")="N.A","",(IFERROR(INDEX('Both teabags AfterDry'!$D$1:$D$839,MATCH(I421,'Both teabags AfterDry'!$A$1:$A$839,0)),"")))</f>
        <v/>
      </c>
      <c r="Q421" s="195" t="str">
        <f t="shared" si="50"/>
        <v/>
      </c>
      <c r="R421" s="195" t="str">
        <f t="shared" si="50"/>
        <v/>
      </c>
      <c r="S421" s="195" t="str">
        <f t="shared" si="45"/>
        <v/>
      </c>
      <c r="T421" s="195" t="str">
        <f t="shared" si="51"/>
        <v/>
      </c>
      <c r="U421" s="195" t="str">
        <f t="shared" si="46"/>
        <v/>
      </c>
      <c r="V421" t="str">
        <f t="shared" si="47"/>
        <v/>
      </c>
      <c r="W421" s="195" t="str">
        <f t="shared" si="52"/>
        <v/>
      </c>
      <c r="X421" s="195" t="str">
        <f t="shared" si="53"/>
        <v/>
      </c>
      <c r="Y421" s="255" t="str">
        <f>IF(ISNUMBER(SEARCH("C", 'Dry_Litterbag Placem_Collection'!V128)),"YES","NO")</f>
        <v>NO</v>
      </c>
      <c r="Z421" s="255" t="str">
        <f>IF(ISNUMBER(SEARCH("H", 'Dry_Litterbag Placem_Collection'!V128)),"YES","NO")</f>
        <v>NO</v>
      </c>
      <c r="AA421" s="255" t="str">
        <f>IF(ISNUMBER(SEARCH("R", 'Dry_Litterbag Placem_Collection'!V128)),"YES","NO")</f>
        <v>NO</v>
      </c>
      <c r="AB421" s="255" t="str">
        <f>IF(ISNUMBER(SEARCH("C", 'Dry_Litterbag Placem_Collection'!U128)),"YES","NO")</f>
        <v>NO</v>
      </c>
      <c r="AC421" s="255" t="str">
        <f>IF(ISNUMBER(SEARCH("H", 'Dry_Litterbag Placem_Collection'!U128)),"YES","NO")</f>
        <v>NO</v>
      </c>
      <c r="AD421" s="255" t="str">
        <f>IF(ISNUMBER(SEARCH("R", 'Dry_Litterbag Placem_Collection'!U128)),"YES","NO")</f>
        <v>NO</v>
      </c>
    </row>
    <row r="422" spans="2:30">
      <c r="B422" t="str">
        <f>'Final data_for_R_analysis_Dryse'!A568</f>
        <v>Dry</v>
      </c>
      <c r="C422" s="263">
        <f>'Final data_for_R_analysis_Dryse'!B568</f>
        <v>127</v>
      </c>
      <c r="D422" t="s">
        <v>3845</v>
      </c>
      <c r="E422" t="s">
        <v>25</v>
      </c>
      <c r="F422" s="387">
        <v>7</v>
      </c>
      <c r="G422" s="16">
        <f>'Dry_Litterbag Placem_Collection'!E129</f>
        <v>42939</v>
      </c>
      <c r="H422" s="92" t="str">
        <f>'Final data_for_R_analysis_Dryse'!J568</f>
        <v>G96</v>
      </c>
      <c r="I422" t="str">
        <f>'Final data_for_R_analysis_Dryse'!J788</f>
        <v>R229</v>
      </c>
      <c r="J422">
        <f>IFERROR(INDEX('Green_rooibos initial weight'!$C$5:$C$1749,MATCH(H422, 'Green_rooibos initial weight'!$A$5:$A$1749,0)),"")</f>
        <v>2.2349999999999999</v>
      </c>
      <c r="K422">
        <f>IFERROR(INDEX('Green_rooibos initial weight'!$C$5:$C$1749,MATCH(I422, 'Green_rooibos initial weight'!$A$5:$A$1749,0)),"")</f>
        <v>2.2530000000000001</v>
      </c>
      <c r="L422" s="195">
        <f t="shared" si="48"/>
        <v>1.9851999999999999</v>
      </c>
      <c r="M422" s="195">
        <f t="shared" si="49"/>
        <v>2.0032000000000001</v>
      </c>
      <c r="N422" s="16">
        <f>IF('Dry_Litterbag Placem_Collection'!G129="N.A","",'Dry_Litterbag Placem_Collection'!G129)</f>
        <v>43008</v>
      </c>
      <c r="O422" s="195">
        <f>IF(IFERROR(INDEX('Both teabags AfterDry'!$D$1:$D$839,MATCH(H422,'Both teabags AfterDry'!$A$1:$A$839,0)),"")="N.A","",(IFERROR(INDEX('Both teabags AfterDry'!$D$1:$D$839,MATCH(H422,'Both teabags AfterDry'!$A$1:$A$839,0)),"")))</f>
        <v>0.77790000000000004</v>
      </c>
      <c r="P422" s="195">
        <f>IF(IFERROR(INDEX('Both teabags AfterDry'!$D$1:$D$839,MATCH(I422,'Both teabags AfterDry'!$A$1:$A$839,0)),"")="N.A","",(IFERROR(INDEX('Both teabags AfterDry'!$D$1:$D$839,MATCH(I422,'Both teabags AfterDry'!$A$1:$A$839,0)),"")))</f>
        <v>1.5876999999999999</v>
      </c>
      <c r="Q422" s="195">
        <f t="shared" si="50"/>
        <v>0.62729999999999997</v>
      </c>
      <c r="R422" s="195">
        <f t="shared" si="50"/>
        <v>1.4370999999999998</v>
      </c>
      <c r="S422" s="195">
        <f t="shared" si="45"/>
        <v>0.6840116864799517</v>
      </c>
      <c r="T422" s="195">
        <f t="shared" si="51"/>
        <v>0.44842571370182116</v>
      </c>
      <c r="U422" s="195">
        <f t="shared" si="46"/>
        <v>0.71740215654952066</v>
      </c>
      <c r="V422">
        <f t="shared" si="47"/>
        <v>69</v>
      </c>
      <c r="W422" s="195">
        <f t="shared" si="52"/>
        <v>0.18763457662713567</v>
      </c>
      <c r="X422" s="195">
        <f t="shared" si="53"/>
        <v>1.4417285664180577E-2</v>
      </c>
      <c r="Y422" s="255" t="str">
        <f>IF(ISNUMBER(SEARCH("C", 'Dry_Litterbag Placem_Collection'!V129)),"YES","NO")</f>
        <v>NO</v>
      </c>
      <c r="Z422" s="255" t="str">
        <f>IF(ISNUMBER(SEARCH("H", 'Dry_Litterbag Placem_Collection'!V129)),"YES","NO")</f>
        <v>NO</v>
      </c>
      <c r="AA422" s="255" t="str">
        <f>IF(ISNUMBER(SEARCH("R", 'Dry_Litterbag Placem_Collection'!V129)),"YES","NO")</f>
        <v>NO</v>
      </c>
      <c r="AB422" s="255" t="str">
        <f>IF(ISNUMBER(SEARCH("C", 'Dry_Litterbag Placem_Collection'!U129)),"YES","NO")</f>
        <v>NO</v>
      </c>
      <c r="AC422" s="255" t="str">
        <f>IF(ISNUMBER(SEARCH("H", 'Dry_Litterbag Placem_Collection'!U129)),"YES","NO")</f>
        <v>NO</v>
      </c>
      <c r="AD422" s="255" t="str">
        <f>IF(ISNUMBER(SEARCH("R", 'Dry_Litterbag Placem_Collection'!U129)),"YES","NO")</f>
        <v>YES</v>
      </c>
    </row>
    <row r="423" spans="2:30">
      <c r="B423" t="str">
        <f>'Final data_for_R_analysis_Dryse'!A569</f>
        <v>Dry</v>
      </c>
      <c r="C423" s="263">
        <f>'Final data_for_R_analysis_Dryse'!B569</f>
        <v>128</v>
      </c>
      <c r="D423" t="s">
        <v>3845</v>
      </c>
      <c r="E423" t="s">
        <v>25</v>
      </c>
      <c r="F423" s="387">
        <v>8</v>
      </c>
      <c r="G423" s="16">
        <f>'Dry_Litterbag Placem_Collection'!E130</f>
        <v>42939</v>
      </c>
      <c r="H423" s="92" t="str">
        <f>'Final data_for_R_analysis_Dryse'!J569</f>
        <v>G134</v>
      </c>
      <c r="I423" t="str">
        <f>'Final data_for_R_analysis_Dryse'!J789</f>
        <v>R272</v>
      </c>
      <c r="J423">
        <f>IFERROR(INDEX('Green_rooibos initial weight'!$C$5:$C$1749,MATCH(H423, 'Green_rooibos initial weight'!$A$5:$A$1749,0)),"")</f>
        <v>2.0089999999999999</v>
      </c>
      <c r="K423">
        <f>IFERROR(INDEX('Green_rooibos initial weight'!$C$5:$C$1749,MATCH(I423, 'Green_rooibos initial weight'!$A$5:$A$1749,0)),"")</f>
        <v>2.2999999999999998</v>
      </c>
      <c r="L423" s="195">
        <f t="shared" si="48"/>
        <v>1.7591999999999999</v>
      </c>
      <c r="M423" s="195">
        <f t="shared" si="49"/>
        <v>2.0501999999999998</v>
      </c>
      <c r="N423" s="16">
        <f>IF('Dry_Litterbag Placem_Collection'!G130="N.A","",'Dry_Litterbag Placem_Collection'!G130)</f>
        <v>43008</v>
      </c>
      <c r="O423" s="195">
        <f>IF(IFERROR(INDEX('Both teabags AfterDry'!$D$1:$D$839,MATCH(H423,'Both teabags AfterDry'!$A$1:$A$839,0)),"")="N.A","",(IFERROR(INDEX('Both teabags AfterDry'!$D$1:$D$839,MATCH(H423,'Both teabags AfterDry'!$A$1:$A$839,0)),"")))</f>
        <v>0.82289999999999996</v>
      </c>
      <c r="P423" s="195">
        <f>IF(IFERROR(INDEX('Both teabags AfterDry'!$D$1:$D$839,MATCH(I423,'Both teabags AfterDry'!$A$1:$A$839,0)),"")="N.A","",(IFERROR(INDEX('Both teabags AfterDry'!$D$1:$D$839,MATCH(I423,'Both teabags AfterDry'!$A$1:$A$839,0)),"")))</f>
        <v>1.6163000000000001</v>
      </c>
      <c r="Q423" s="195">
        <f t="shared" si="50"/>
        <v>0.6722999999999999</v>
      </c>
      <c r="R423" s="195">
        <f t="shared" si="50"/>
        <v>1.4657</v>
      </c>
      <c r="S423" s="195">
        <f t="shared" si="45"/>
        <v>0.61783765347885411</v>
      </c>
      <c r="T423" s="195">
        <f t="shared" si="51"/>
        <v>0.40504321225692103</v>
      </c>
      <c r="U423" s="195">
        <f t="shared" si="46"/>
        <v>0.71490586284264956</v>
      </c>
      <c r="V423">
        <f t="shared" si="47"/>
        <v>69</v>
      </c>
      <c r="W423" s="195">
        <f t="shared" si="52"/>
        <v>0.26622606475195476</v>
      </c>
      <c r="X423" s="195">
        <f t="shared" si="53"/>
        <v>1.763661564936083E-2</v>
      </c>
      <c r="Y423" s="255" t="str">
        <f>IF(ISNUMBER(SEARCH("C", 'Dry_Litterbag Placem_Collection'!V130)),"YES","NO")</f>
        <v>NO</v>
      </c>
      <c r="Z423" s="255" t="str">
        <f>IF(ISNUMBER(SEARCH("H", 'Dry_Litterbag Placem_Collection'!V130)),"YES","NO")</f>
        <v>NO</v>
      </c>
      <c r="AA423" s="255" t="str">
        <f>IF(ISNUMBER(SEARCH("R", 'Dry_Litterbag Placem_Collection'!V130)),"YES","NO")</f>
        <v>NO</v>
      </c>
      <c r="AB423" s="255" t="str">
        <f>IF(ISNUMBER(SEARCH("C", 'Dry_Litterbag Placem_Collection'!U130)),"YES","NO")</f>
        <v>NO</v>
      </c>
      <c r="AC423" s="255" t="str">
        <f>IF(ISNUMBER(SEARCH("H", 'Dry_Litterbag Placem_Collection'!U130)),"YES","NO")</f>
        <v>NO</v>
      </c>
      <c r="AD423" s="255" t="str">
        <f>IF(ISNUMBER(SEARCH("R", 'Dry_Litterbag Placem_Collection'!U130)),"YES","NO")</f>
        <v>NO</v>
      </c>
    </row>
    <row r="424" spans="2:30">
      <c r="B424" t="str">
        <f>'Final data_for_R_analysis_Dryse'!A570</f>
        <v>Dry</v>
      </c>
      <c r="C424" s="263">
        <f>'Final data_for_R_analysis_Dryse'!B570</f>
        <v>129</v>
      </c>
      <c r="D424" t="s">
        <v>3846</v>
      </c>
      <c r="E424" t="s">
        <v>25</v>
      </c>
      <c r="F424" s="386">
        <v>1</v>
      </c>
      <c r="G424" s="16">
        <f>'Dry_Litterbag Placem_Collection'!E131</f>
        <v>42939</v>
      </c>
      <c r="H424" s="92" t="str">
        <f>'Final data_for_R_analysis_Dryse'!J570</f>
        <v>G671</v>
      </c>
      <c r="I424" t="str">
        <f>'Final data_for_R_analysis_Dryse'!J790</f>
        <v>R207</v>
      </c>
      <c r="J424">
        <f>IFERROR(INDEX('Green_rooibos initial weight'!$C$5:$C$1749,MATCH(H424, 'Green_rooibos initial weight'!$A$5:$A$1749,0)),"")</f>
        <v>2.0510000000000002</v>
      </c>
      <c r="K424">
        <f>IFERROR(INDEX('Green_rooibos initial weight'!$C$5:$C$1749,MATCH(I424, 'Green_rooibos initial weight'!$A$5:$A$1749,0)),"")</f>
        <v>2.1800000000000002</v>
      </c>
      <c r="L424" s="195">
        <f t="shared" si="48"/>
        <v>1.8012000000000001</v>
      </c>
      <c r="M424" s="195">
        <f t="shared" si="49"/>
        <v>1.9302000000000001</v>
      </c>
      <c r="N424" s="16">
        <f>IF('Dry_Litterbag Placem_Collection'!G131="N.A","",'Dry_Litterbag Placem_Collection'!G131)</f>
        <v>43008</v>
      </c>
      <c r="O424" s="195">
        <f>IF(IFERROR(INDEX('Both teabags AfterDry'!$D$1:$D$839,MATCH(H424,'Both teabags AfterDry'!$A$1:$A$839,0)),"")="N.A","",(IFERROR(INDEX('Both teabags AfterDry'!$D$1:$D$839,MATCH(H424,'Both teabags AfterDry'!$A$1:$A$839,0)),"")))</f>
        <v>0.68540000000000001</v>
      </c>
      <c r="P424" s="195">
        <f>IF(IFERROR(INDEX('Both teabags AfterDry'!$D$1:$D$839,MATCH(I424,'Both teabags AfterDry'!$A$1:$A$839,0)),"")="N.A","",(IFERROR(INDEX('Both teabags AfterDry'!$D$1:$D$839,MATCH(I424,'Both teabags AfterDry'!$A$1:$A$839,0)),"")))</f>
        <v>1.6962999999999999</v>
      </c>
      <c r="Q424" s="195">
        <f t="shared" si="50"/>
        <v>0.53479999999999994</v>
      </c>
      <c r="R424" s="195">
        <f t="shared" si="50"/>
        <v>1.5456999999999999</v>
      </c>
      <c r="S424" s="195">
        <f t="shared" si="45"/>
        <v>0.70308683100155456</v>
      </c>
      <c r="T424" s="195">
        <f t="shared" si="51"/>
        <v>0.46093103410078168</v>
      </c>
      <c r="U424" s="195">
        <f t="shared" si="46"/>
        <v>0.80079784478292393</v>
      </c>
      <c r="V424">
        <f t="shared" si="47"/>
        <v>69</v>
      </c>
      <c r="W424" s="195">
        <f t="shared" si="52"/>
        <v>0.16498001068698975</v>
      </c>
      <c r="X424" s="195">
        <f t="shared" si="53"/>
        <v>8.2020185015251219E-3</v>
      </c>
      <c r="Y424" s="255" t="str">
        <f>IF(ISNUMBER(SEARCH("C", 'Dry_Litterbag Placem_Collection'!V131)),"YES","NO")</f>
        <v>NO</v>
      </c>
      <c r="Z424" s="255" t="str">
        <f>IF(ISNUMBER(SEARCH("H", 'Dry_Litterbag Placem_Collection'!V131)),"YES","NO")</f>
        <v>NO</v>
      </c>
      <c r="AA424" s="255" t="str">
        <f>IF(ISNUMBER(SEARCH("R", 'Dry_Litterbag Placem_Collection'!V131)),"YES","NO")</f>
        <v>NO</v>
      </c>
      <c r="AB424" s="255" t="str">
        <f>IF(ISNUMBER(SEARCH("C", 'Dry_Litterbag Placem_Collection'!U131)),"YES","NO")</f>
        <v>NO</v>
      </c>
      <c r="AC424" s="255" t="str">
        <f>IF(ISNUMBER(SEARCH("H", 'Dry_Litterbag Placem_Collection'!U131)),"YES","NO")</f>
        <v>NO</v>
      </c>
      <c r="AD424" s="255" t="str">
        <f>IF(ISNUMBER(SEARCH("R", 'Dry_Litterbag Placem_Collection'!U131)),"YES","NO")</f>
        <v>NO</v>
      </c>
    </row>
    <row r="425" spans="2:30">
      <c r="B425" t="str">
        <f>'Final data_for_R_analysis_Dryse'!A571</f>
        <v>Dry</v>
      </c>
      <c r="C425" s="263">
        <f>'Final data_for_R_analysis_Dryse'!B571</f>
        <v>130</v>
      </c>
      <c r="D425" t="s">
        <v>3846</v>
      </c>
      <c r="E425" t="s">
        <v>25</v>
      </c>
      <c r="F425" s="386">
        <v>2</v>
      </c>
      <c r="G425" s="16">
        <f>'Dry_Litterbag Placem_Collection'!E132</f>
        <v>42939</v>
      </c>
      <c r="H425" s="92" t="str">
        <f>'Final data_for_R_analysis_Dryse'!J571</f>
        <v>G400</v>
      </c>
      <c r="I425" t="str">
        <f>'Final data_for_R_analysis_Dryse'!J791</f>
        <v>R193</v>
      </c>
      <c r="J425">
        <f>IFERROR(INDEX('Green_rooibos initial weight'!$C$5:$C$1749,MATCH(H425, 'Green_rooibos initial weight'!$A$5:$A$1749,0)),"")</f>
        <v>2.0089999999999999</v>
      </c>
      <c r="K425">
        <f>IFERROR(INDEX('Green_rooibos initial weight'!$C$5:$C$1749,MATCH(I425, 'Green_rooibos initial weight'!$A$5:$A$1749,0)),"")</f>
        <v>2.198</v>
      </c>
      <c r="L425" s="195">
        <f t="shared" si="48"/>
        <v>1.7591999999999999</v>
      </c>
      <c r="M425" s="195">
        <f t="shared" si="49"/>
        <v>1.9481999999999999</v>
      </c>
      <c r="N425" s="16">
        <f>IF('Dry_Litterbag Placem_Collection'!G132="N.A","",'Dry_Litterbag Placem_Collection'!G132)</f>
        <v>43008</v>
      </c>
      <c r="O425" s="195">
        <f>IF(IFERROR(INDEX('Both teabags AfterDry'!$D$1:$D$839,MATCH(H425,'Both teabags AfterDry'!$A$1:$A$839,0)),"")="N.A","",(IFERROR(INDEX('Both teabags AfterDry'!$D$1:$D$839,MATCH(H425,'Both teabags AfterDry'!$A$1:$A$839,0)),"")))</f>
        <v>0.86</v>
      </c>
      <c r="P425" s="195">
        <f>IF(IFERROR(INDEX('Both teabags AfterDry'!$D$1:$D$839,MATCH(I425,'Both teabags AfterDry'!$A$1:$A$839,0)),"")="N.A","",(IFERROR(INDEX('Both teabags AfterDry'!$D$1:$D$839,MATCH(I425,'Both teabags AfterDry'!$A$1:$A$839,0)),"")))</f>
        <v>1.7978000000000001</v>
      </c>
      <c r="Q425" s="195">
        <f t="shared" si="50"/>
        <v>0.70940000000000003</v>
      </c>
      <c r="R425" s="195">
        <f t="shared" si="50"/>
        <v>1.6472</v>
      </c>
      <c r="S425" s="195">
        <f t="shared" si="45"/>
        <v>0.59674852205547979</v>
      </c>
      <c r="T425" s="195">
        <f t="shared" si="51"/>
        <v>0.39121755840216732</v>
      </c>
      <c r="U425" s="195">
        <f t="shared" si="46"/>
        <v>0.84549840878759885</v>
      </c>
      <c r="V425">
        <f t="shared" si="47"/>
        <v>69</v>
      </c>
      <c r="W425" s="195">
        <f t="shared" si="52"/>
        <v>0.29127253912650852</v>
      </c>
      <c r="X425" s="195">
        <f t="shared" si="53"/>
        <v>7.281200707997309E-3</v>
      </c>
      <c r="Y425" s="255" t="str">
        <f>IF(ISNUMBER(SEARCH("C", 'Dry_Litterbag Placem_Collection'!V132)),"YES","NO")</f>
        <v>NO</v>
      </c>
      <c r="Z425" s="255" t="str">
        <f>IF(ISNUMBER(SEARCH("H", 'Dry_Litterbag Placem_Collection'!V132)),"YES","NO")</f>
        <v>NO</v>
      </c>
      <c r="AA425" s="255" t="str">
        <f>IF(ISNUMBER(SEARCH("R", 'Dry_Litterbag Placem_Collection'!V132)),"YES","NO")</f>
        <v>NO</v>
      </c>
      <c r="AB425" s="255" t="str">
        <f>IF(ISNUMBER(SEARCH("C", 'Dry_Litterbag Placem_Collection'!U132)),"YES","NO")</f>
        <v>NO</v>
      </c>
      <c r="AC425" s="255" t="str">
        <f>IF(ISNUMBER(SEARCH("H", 'Dry_Litterbag Placem_Collection'!U132)),"YES","NO")</f>
        <v>NO</v>
      </c>
      <c r="AD425" s="255" t="str">
        <f>IF(ISNUMBER(SEARCH("R", 'Dry_Litterbag Placem_Collection'!U132)),"YES","NO")</f>
        <v>YES</v>
      </c>
    </row>
    <row r="426" spans="2:30">
      <c r="B426" t="str">
        <f>'Final data_for_R_analysis_Dryse'!A572</f>
        <v>Dry</v>
      </c>
      <c r="C426" s="263">
        <f>'Final data_for_R_analysis_Dryse'!B572</f>
        <v>131</v>
      </c>
      <c r="D426" t="s">
        <v>3846</v>
      </c>
      <c r="E426" t="s">
        <v>25</v>
      </c>
      <c r="F426" s="386">
        <v>3</v>
      </c>
      <c r="G426" s="16">
        <f>'Dry_Litterbag Placem_Collection'!E133</f>
        <v>42939</v>
      </c>
      <c r="H426" s="92" t="str">
        <f>'Final data_for_R_analysis_Dryse'!J572</f>
        <v>G48</v>
      </c>
      <c r="I426" t="str">
        <f>'Final data_for_R_analysis_Dryse'!J792</f>
        <v>R188</v>
      </c>
      <c r="J426">
        <f>IFERROR(INDEX('Green_rooibos initial weight'!$C$5:$C$1749,MATCH(H426, 'Green_rooibos initial weight'!$A$5:$A$1749,0)),"")</f>
        <v>2.0590000000000002</v>
      </c>
      <c r="K426">
        <f>IFERROR(INDEX('Green_rooibos initial weight'!$C$5:$C$1749,MATCH(I426, 'Green_rooibos initial weight'!$A$5:$A$1749,0)),"")</f>
        <v>2.2440000000000002</v>
      </c>
      <c r="L426" s="195">
        <f t="shared" si="48"/>
        <v>1.8092000000000001</v>
      </c>
      <c r="M426" s="195">
        <f t="shared" si="49"/>
        <v>1.9942000000000002</v>
      </c>
      <c r="N426" s="16">
        <f>IF('Dry_Litterbag Placem_Collection'!G133="N.A","",'Dry_Litterbag Placem_Collection'!G133)</f>
        <v>43008</v>
      </c>
      <c r="O426" s="195">
        <f>IF(IFERROR(INDEX('Both teabags AfterDry'!$D$1:$D$839,MATCH(H426,'Both teabags AfterDry'!$A$1:$A$839,0)),"")="N.A","",(IFERROR(INDEX('Both teabags AfterDry'!$D$1:$D$839,MATCH(H426,'Both teabags AfterDry'!$A$1:$A$839,0)),"")))</f>
        <v>0.84750000000000003</v>
      </c>
      <c r="P426" s="195">
        <f>IF(IFERROR(INDEX('Both teabags AfterDry'!$D$1:$D$839,MATCH(I426,'Both teabags AfterDry'!$A$1:$A$839,0)),"")="N.A","",(IFERROR(INDEX('Both teabags AfterDry'!$D$1:$D$839,MATCH(I426,'Both teabags AfterDry'!$A$1:$A$839,0)),"")))</f>
        <v>1.7876000000000001</v>
      </c>
      <c r="Q426" s="195">
        <f t="shared" si="50"/>
        <v>0.69690000000000007</v>
      </c>
      <c r="R426" s="195">
        <f t="shared" si="50"/>
        <v>1.637</v>
      </c>
      <c r="S426" s="195">
        <f t="shared" si="45"/>
        <v>0.61480212248507626</v>
      </c>
      <c r="T426" s="195">
        <f t="shared" si="51"/>
        <v>0.40305317293558446</v>
      </c>
      <c r="U426" s="195">
        <f t="shared" si="46"/>
        <v>0.82088055360545575</v>
      </c>
      <c r="V426">
        <f t="shared" si="47"/>
        <v>69</v>
      </c>
      <c r="W426" s="195">
        <f t="shared" si="52"/>
        <v>0.26983120845002817</v>
      </c>
      <c r="X426" s="195">
        <f t="shared" si="53"/>
        <v>8.5176572693988154E-3</v>
      </c>
      <c r="Y426" s="255" t="str">
        <f>IF(ISNUMBER(SEARCH("C", 'Dry_Litterbag Placem_Collection'!V133)),"YES","NO")</f>
        <v>NO</v>
      </c>
      <c r="Z426" s="255" t="str">
        <f>IF(ISNUMBER(SEARCH("H", 'Dry_Litterbag Placem_Collection'!V133)),"YES","NO")</f>
        <v>NO</v>
      </c>
      <c r="AA426" s="255" t="str">
        <f>IF(ISNUMBER(SEARCH("R", 'Dry_Litterbag Placem_Collection'!V133)),"YES","NO")</f>
        <v>YES</v>
      </c>
      <c r="AB426" s="255" t="str">
        <f>IF(ISNUMBER(SEARCH("C", 'Dry_Litterbag Placem_Collection'!U133)),"YES","NO")</f>
        <v>NO</v>
      </c>
      <c r="AC426" s="255" t="str">
        <f>IF(ISNUMBER(SEARCH("H", 'Dry_Litterbag Placem_Collection'!U133)),"YES","NO")</f>
        <v>NO</v>
      </c>
      <c r="AD426" s="255" t="str">
        <f>IF(ISNUMBER(SEARCH("R", 'Dry_Litterbag Placem_Collection'!U133)),"YES","NO")</f>
        <v>YES</v>
      </c>
    </row>
    <row r="427" spans="2:30">
      <c r="B427" t="str">
        <f>'Final data_for_R_analysis_Dryse'!A573</f>
        <v>Dry</v>
      </c>
      <c r="C427" s="263">
        <f>'Final data_for_R_analysis_Dryse'!B573</f>
        <v>132</v>
      </c>
      <c r="D427" t="s">
        <v>3846</v>
      </c>
      <c r="E427" t="s">
        <v>25</v>
      </c>
      <c r="F427" s="387">
        <v>4</v>
      </c>
      <c r="G427" s="16">
        <f>'Dry_Litterbag Placem_Collection'!E134</f>
        <v>0</v>
      </c>
      <c r="H427" s="92" t="str">
        <f>'Final data_for_R_analysis_Dryse'!J573</f>
        <v/>
      </c>
      <c r="I427" t="str">
        <f>'Final data_for_R_analysis_Dryse'!J793</f>
        <v/>
      </c>
      <c r="J427" t="str">
        <f>IFERROR(INDEX('Green_rooibos initial weight'!$C$5:$C$1749,MATCH(H427, 'Green_rooibos initial weight'!$A$5:$A$1749,0)),"")</f>
        <v/>
      </c>
      <c r="K427" t="str">
        <f>IFERROR(INDEX('Green_rooibos initial weight'!$C$5:$C$1749,MATCH(I427, 'Green_rooibos initial weight'!$A$5:$A$1749,0)),"")</f>
        <v/>
      </c>
      <c r="L427" s="195" t="str">
        <f t="shared" si="48"/>
        <v/>
      </c>
      <c r="M427" s="195" t="str">
        <f t="shared" si="49"/>
        <v/>
      </c>
      <c r="N427" s="16">
        <f>IF('Dry_Litterbag Placem_Collection'!G134="N.A","",'Dry_Litterbag Placem_Collection'!G134)</f>
        <v>0</v>
      </c>
      <c r="O427" s="195" t="str">
        <f>IF(IFERROR(INDEX('Both teabags AfterDry'!$D$1:$D$839,MATCH(H427,'Both teabags AfterDry'!$A$1:$A$839,0)),"")="N.A","",(IFERROR(INDEX('Both teabags AfterDry'!$D$1:$D$839,MATCH(H427,'Both teabags AfterDry'!$A$1:$A$839,0)),"")))</f>
        <v/>
      </c>
      <c r="P427" s="195" t="str">
        <f>IF(IFERROR(INDEX('Both teabags AfterDry'!$D$1:$D$839,MATCH(I427,'Both teabags AfterDry'!$A$1:$A$839,0)),"")="N.A","",(IFERROR(INDEX('Both teabags AfterDry'!$D$1:$D$839,MATCH(I427,'Both teabags AfterDry'!$A$1:$A$839,0)),"")))</f>
        <v/>
      </c>
      <c r="Q427" s="195" t="str">
        <f t="shared" si="50"/>
        <v/>
      </c>
      <c r="R427" s="195" t="str">
        <f t="shared" si="50"/>
        <v/>
      </c>
      <c r="S427" s="195" t="str">
        <f t="shared" si="45"/>
        <v/>
      </c>
      <c r="T427" s="195" t="str">
        <f t="shared" si="51"/>
        <v/>
      </c>
      <c r="U427" s="195" t="str">
        <f t="shared" si="46"/>
        <v/>
      </c>
      <c r="V427" t="str">
        <f t="shared" si="47"/>
        <v/>
      </c>
      <c r="W427" s="195" t="str">
        <f t="shared" si="52"/>
        <v/>
      </c>
      <c r="X427" s="195" t="str">
        <f t="shared" si="53"/>
        <v/>
      </c>
      <c r="Y427" s="255" t="str">
        <f>IF(ISNUMBER(SEARCH("C", 'Dry_Litterbag Placem_Collection'!V134)),"YES","NO")</f>
        <v>NO</v>
      </c>
      <c r="Z427" s="255" t="str">
        <f>IF(ISNUMBER(SEARCH("H", 'Dry_Litterbag Placem_Collection'!V134)),"YES","NO")</f>
        <v>NO</v>
      </c>
      <c r="AA427" s="255" t="str">
        <f>IF(ISNUMBER(SEARCH("R", 'Dry_Litterbag Placem_Collection'!V134)),"YES","NO")</f>
        <v>NO</v>
      </c>
      <c r="AB427" s="255" t="str">
        <f>IF(ISNUMBER(SEARCH("C", 'Dry_Litterbag Placem_Collection'!U134)),"YES","NO")</f>
        <v>NO</v>
      </c>
      <c r="AC427" s="255" t="str">
        <f>IF(ISNUMBER(SEARCH("H", 'Dry_Litterbag Placem_Collection'!U134)),"YES","NO")</f>
        <v>NO</v>
      </c>
      <c r="AD427" s="255" t="str">
        <f>IF(ISNUMBER(SEARCH("R", 'Dry_Litterbag Placem_Collection'!U134)),"YES","NO")</f>
        <v>NO</v>
      </c>
    </row>
    <row r="428" spans="2:30">
      <c r="B428" t="str">
        <f>'Final data_for_R_analysis_Dryse'!A574</f>
        <v>Dry</v>
      </c>
      <c r="C428" s="263">
        <f>'Final data_for_R_analysis_Dryse'!B574</f>
        <v>133</v>
      </c>
      <c r="D428" t="s">
        <v>3846</v>
      </c>
      <c r="E428" t="s">
        <v>25</v>
      </c>
      <c r="F428" s="387">
        <v>5</v>
      </c>
      <c r="G428" s="16">
        <f>'Dry_Litterbag Placem_Collection'!E135</f>
        <v>42939</v>
      </c>
      <c r="H428" s="92" t="str">
        <f>'Final data_for_R_analysis_Dryse'!J574</f>
        <v>G210</v>
      </c>
      <c r="I428" t="str">
        <f>'Final data_for_R_analysis_Dryse'!J794</f>
        <v>R683</v>
      </c>
      <c r="J428">
        <f>IFERROR(INDEX('Green_rooibos initial weight'!$C$5:$C$1749,MATCH(H428, 'Green_rooibos initial weight'!$A$5:$A$1749,0)),"")</f>
        <v>1.923</v>
      </c>
      <c r="K428">
        <f>IFERROR(INDEX('Green_rooibos initial weight'!$C$5:$C$1749,MATCH(I428, 'Green_rooibos initial weight'!$A$5:$A$1749,0)),"")</f>
        <v>2.141</v>
      </c>
      <c r="L428" s="195">
        <f t="shared" si="48"/>
        <v>1.6732</v>
      </c>
      <c r="M428" s="195">
        <f t="shared" si="49"/>
        <v>1.8912</v>
      </c>
      <c r="N428" s="16">
        <f>IF('Dry_Litterbag Placem_Collection'!G135="N.A","",'Dry_Litterbag Placem_Collection'!G135)</f>
        <v>43008</v>
      </c>
      <c r="O428" s="195" t="str">
        <f>IF(IFERROR(INDEX('Both teabags AfterDry'!$D$1:$D$839,MATCH(H428,'Both teabags AfterDry'!$A$1:$A$839,0)),"")="N.A","",(IFERROR(INDEX('Both teabags AfterDry'!$D$1:$D$839,MATCH(H428,'Both teabags AfterDry'!$A$1:$A$839,0)),"")))</f>
        <v/>
      </c>
      <c r="P428" s="195" t="str">
        <f>IF(IFERROR(INDEX('Both teabags AfterDry'!$D$1:$D$839,MATCH(I428,'Both teabags AfterDry'!$A$1:$A$839,0)),"")="N.A","",(IFERROR(INDEX('Both teabags AfterDry'!$D$1:$D$839,MATCH(I428,'Both teabags AfterDry'!$A$1:$A$839,0)),"")))</f>
        <v/>
      </c>
      <c r="Q428" s="195" t="str">
        <f t="shared" si="50"/>
        <v/>
      </c>
      <c r="R428" s="195" t="str">
        <f t="shared" si="50"/>
        <v/>
      </c>
      <c r="S428" s="195" t="str">
        <f t="shared" si="45"/>
        <v/>
      </c>
      <c r="T428" s="195" t="str">
        <f t="shared" si="51"/>
        <v/>
      </c>
      <c r="U428" s="195" t="str">
        <f t="shared" si="46"/>
        <v/>
      </c>
      <c r="V428">
        <f t="shared" si="47"/>
        <v>69</v>
      </c>
      <c r="W428" s="195" t="str">
        <f t="shared" si="52"/>
        <v/>
      </c>
      <c r="X428" s="195" t="str">
        <f t="shared" si="53"/>
        <v/>
      </c>
      <c r="Y428" s="255" t="str">
        <f>IF(ISNUMBER(SEARCH("C", 'Dry_Litterbag Placem_Collection'!V135)),"YES","NO")</f>
        <v>NO</v>
      </c>
      <c r="Z428" s="255" t="str">
        <f>IF(ISNUMBER(SEARCH("H", 'Dry_Litterbag Placem_Collection'!V135)),"YES","NO")</f>
        <v>NO</v>
      </c>
      <c r="AA428" s="255" t="str">
        <f>IF(ISNUMBER(SEARCH("R", 'Dry_Litterbag Placem_Collection'!V135)),"YES","NO")</f>
        <v>NO</v>
      </c>
      <c r="AB428" s="255" t="str">
        <f>IF(ISNUMBER(SEARCH("C", 'Dry_Litterbag Placem_Collection'!U135)),"YES","NO")</f>
        <v>NO</v>
      </c>
      <c r="AC428" s="255" t="str">
        <f>IF(ISNUMBER(SEARCH("H", 'Dry_Litterbag Placem_Collection'!U135)),"YES","NO")</f>
        <v>NO</v>
      </c>
      <c r="AD428" s="255" t="str">
        <f>IF(ISNUMBER(SEARCH("R", 'Dry_Litterbag Placem_Collection'!U135)),"YES","NO")</f>
        <v>YES</v>
      </c>
    </row>
    <row r="429" spans="2:30">
      <c r="B429" t="str">
        <f>'Final data_for_R_analysis_Dryse'!A575</f>
        <v>Dry</v>
      </c>
      <c r="C429" s="263">
        <f>'Final data_for_R_analysis_Dryse'!B575</f>
        <v>134</v>
      </c>
      <c r="D429" t="s">
        <v>3846</v>
      </c>
      <c r="E429" t="s">
        <v>25</v>
      </c>
      <c r="F429" s="387">
        <v>6</v>
      </c>
      <c r="G429" s="16">
        <f>'Dry_Litterbag Placem_Collection'!E136</f>
        <v>42939</v>
      </c>
      <c r="H429" s="92" t="str">
        <f>'Final data_for_R_analysis_Dryse'!J575</f>
        <v>G40</v>
      </c>
      <c r="I429" t="str">
        <f>'Final data_for_R_analysis_Dryse'!J795</f>
        <v>R649</v>
      </c>
      <c r="J429">
        <f>IFERROR(INDEX('Green_rooibos initial weight'!$C$5:$C$1749,MATCH(H429, 'Green_rooibos initial weight'!$A$5:$A$1749,0)),"")</f>
        <v>2.0369999999999999</v>
      </c>
      <c r="K429">
        <f>IFERROR(INDEX('Green_rooibos initial weight'!$C$5:$C$1749,MATCH(I429, 'Green_rooibos initial weight'!$A$5:$A$1749,0)),"")</f>
        <v>2.161</v>
      </c>
      <c r="L429" s="195">
        <f t="shared" si="48"/>
        <v>1.7871999999999999</v>
      </c>
      <c r="M429" s="195">
        <f t="shared" si="49"/>
        <v>1.9112</v>
      </c>
      <c r="N429" s="16">
        <f>IF('Dry_Litterbag Placem_Collection'!G136="N.A","",'Dry_Litterbag Placem_Collection'!G136)</f>
        <v>43008</v>
      </c>
      <c r="O429" s="195">
        <f>IF(IFERROR(INDEX('Both teabags AfterDry'!$D$1:$D$839,MATCH(H429,'Both teabags AfterDry'!$A$1:$A$839,0)),"")="N.A","",(IFERROR(INDEX('Both teabags AfterDry'!$D$1:$D$839,MATCH(H429,'Both teabags AfterDry'!$A$1:$A$839,0)),"")))</f>
        <v>0.68400000000000005</v>
      </c>
      <c r="P429" s="195">
        <f>IF(IFERROR(INDEX('Both teabags AfterDry'!$D$1:$D$839,MATCH(I429,'Both teabags AfterDry'!$A$1:$A$839,0)),"")="N.A","",(IFERROR(INDEX('Both teabags AfterDry'!$D$1:$D$839,MATCH(I429,'Both teabags AfterDry'!$A$1:$A$839,0)),"")))</f>
        <v>1.7554000000000001</v>
      </c>
      <c r="Q429" s="195">
        <f t="shared" si="50"/>
        <v>0.5334000000000001</v>
      </c>
      <c r="R429" s="195">
        <f t="shared" si="50"/>
        <v>1.6048</v>
      </c>
      <c r="S429" s="195">
        <f t="shared" si="45"/>
        <v>0.70154431512981197</v>
      </c>
      <c r="T429" s="195">
        <f t="shared" si="51"/>
        <v>0.45991978854115945</v>
      </c>
      <c r="U429" s="195">
        <f t="shared" si="46"/>
        <v>0.83968187526161575</v>
      </c>
      <c r="V429">
        <f t="shared" si="47"/>
        <v>69</v>
      </c>
      <c r="W429" s="195">
        <f t="shared" si="52"/>
        <v>0.16681197728050834</v>
      </c>
      <c r="X429" s="195">
        <f t="shared" si="53"/>
        <v>6.2115695144984205E-3</v>
      </c>
      <c r="Y429" s="255" t="str">
        <f>IF(ISNUMBER(SEARCH("C", 'Dry_Litterbag Placem_Collection'!V136)),"YES","NO")</f>
        <v>NO</v>
      </c>
      <c r="Z429" s="255" t="str">
        <f>IF(ISNUMBER(SEARCH("H", 'Dry_Litterbag Placem_Collection'!V136)),"YES","NO")</f>
        <v>NO</v>
      </c>
      <c r="AA429" s="255" t="str">
        <f>IF(ISNUMBER(SEARCH("R", 'Dry_Litterbag Placem_Collection'!V136)),"YES","NO")</f>
        <v>YES</v>
      </c>
      <c r="AB429" s="255" t="str">
        <f>IF(ISNUMBER(SEARCH("C", 'Dry_Litterbag Placem_Collection'!U136)),"YES","NO")</f>
        <v>NO</v>
      </c>
      <c r="AC429" s="255" t="str">
        <f>IF(ISNUMBER(SEARCH("H", 'Dry_Litterbag Placem_Collection'!U136)),"YES","NO")</f>
        <v>NO</v>
      </c>
      <c r="AD429" s="255" t="str">
        <f>IF(ISNUMBER(SEARCH("R", 'Dry_Litterbag Placem_Collection'!U136)),"YES","NO")</f>
        <v>YES</v>
      </c>
    </row>
    <row r="430" spans="2:30">
      <c r="B430" t="str">
        <f>'Final data_for_R_analysis_Dryse'!A576</f>
        <v>Dry</v>
      </c>
      <c r="C430" s="263">
        <f>'Final data_for_R_analysis_Dryse'!B576</f>
        <v>135</v>
      </c>
      <c r="D430" t="s">
        <v>3846</v>
      </c>
      <c r="E430" t="s">
        <v>25</v>
      </c>
      <c r="F430" s="387">
        <v>7</v>
      </c>
      <c r="G430" s="16">
        <f>'Dry_Litterbag Placem_Collection'!E137</f>
        <v>42939</v>
      </c>
      <c r="H430" s="92" t="str">
        <f>'Final data_for_R_analysis_Dryse'!J576</f>
        <v>G517</v>
      </c>
      <c r="I430" t="str">
        <f>'Final data_for_R_analysis_Dryse'!J796</f>
        <v>R223</v>
      </c>
      <c r="J430">
        <f>IFERROR(INDEX('Green_rooibos initial weight'!$C$5:$C$1749,MATCH(H430, 'Green_rooibos initial weight'!$A$5:$A$1749,0)),"")</f>
        <v>2.069</v>
      </c>
      <c r="K430">
        <f>IFERROR(INDEX('Green_rooibos initial weight'!$C$5:$C$1749,MATCH(I430, 'Green_rooibos initial weight'!$A$5:$A$1749,0)),"")</f>
        <v>2.2170000000000001</v>
      </c>
      <c r="L430" s="195">
        <f t="shared" si="48"/>
        <v>1.8191999999999999</v>
      </c>
      <c r="M430" s="195">
        <f t="shared" si="49"/>
        <v>1.9672000000000001</v>
      </c>
      <c r="N430" s="16">
        <f>IF('Dry_Litterbag Placem_Collection'!G137="N.A","",'Dry_Litterbag Placem_Collection'!G137)</f>
        <v>43008</v>
      </c>
      <c r="O430" s="195">
        <f>IF(IFERROR(INDEX('Both teabags AfterDry'!$D$1:$D$839,MATCH(H430,'Both teabags AfterDry'!$A$1:$A$839,0)),"")="N.A","",(IFERROR(INDEX('Both teabags AfterDry'!$D$1:$D$839,MATCH(H430,'Both teabags AfterDry'!$A$1:$A$839,0)),"")))</f>
        <v>0.7097</v>
      </c>
      <c r="P430" s="195">
        <f>IF(IFERROR(INDEX('Both teabags AfterDry'!$D$1:$D$839,MATCH(I430,'Both teabags AfterDry'!$A$1:$A$839,0)),"")="N.A","",(IFERROR(INDEX('Both teabags AfterDry'!$D$1:$D$839,MATCH(I430,'Both teabags AfterDry'!$A$1:$A$839,0)),"")))</f>
        <v>1.7884</v>
      </c>
      <c r="Q430" s="195">
        <f t="shared" si="50"/>
        <v>0.55909999999999993</v>
      </c>
      <c r="R430" s="195">
        <f t="shared" si="50"/>
        <v>1.6377999999999999</v>
      </c>
      <c r="S430" s="195">
        <f t="shared" si="45"/>
        <v>0.69266710642040463</v>
      </c>
      <c r="T430" s="195">
        <f t="shared" si="51"/>
        <v>0.45410005076492088</v>
      </c>
      <c r="U430" s="195">
        <f t="shared" si="46"/>
        <v>0.83255388369255789</v>
      </c>
      <c r="V430">
        <f t="shared" si="47"/>
        <v>69</v>
      </c>
      <c r="W430" s="195">
        <f t="shared" si="52"/>
        <v>0.17735498049833176</v>
      </c>
      <c r="X430" s="195">
        <f t="shared" si="53"/>
        <v>6.667273405600185E-3</v>
      </c>
      <c r="Y430" s="255" t="str">
        <f>IF(ISNUMBER(SEARCH("C", 'Dry_Litterbag Placem_Collection'!V137)),"YES","NO")</f>
        <v>NO</v>
      </c>
      <c r="Z430" s="255" t="str">
        <f>IF(ISNUMBER(SEARCH("H", 'Dry_Litterbag Placem_Collection'!V137)),"YES","NO")</f>
        <v>NO</v>
      </c>
      <c r="AA430" s="255" t="str">
        <f>IF(ISNUMBER(SEARCH("R", 'Dry_Litterbag Placem_Collection'!V137)),"YES","NO")</f>
        <v>NO</v>
      </c>
      <c r="AB430" s="255" t="str">
        <f>IF(ISNUMBER(SEARCH("C", 'Dry_Litterbag Placem_Collection'!U137)),"YES","NO")</f>
        <v>NO</v>
      </c>
      <c r="AC430" s="255" t="str">
        <f>IF(ISNUMBER(SEARCH("H", 'Dry_Litterbag Placem_Collection'!U137)),"YES","NO")</f>
        <v>NO</v>
      </c>
      <c r="AD430" s="255" t="str">
        <f>IF(ISNUMBER(SEARCH("R", 'Dry_Litterbag Placem_Collection'!U137)),"YES","NO")</f>
        <v>NO</v>
      </c>
    </row>
    <row r="431" spans="2:30">
      <c r="B431" t="str">
        <f>'Final data_for_R_analysis_Dryse'!A577</f>
        <v>Dry</v>
      </c>
      <c r="C431" s="263">
        <f>'Final data_for_R_analysis_Dryse'!B577</f>
        <v>136</v>
      </c>
      <c r="D431" t="s">
        <v>3846</v>
      </c>
      <c r="E431" t="s">
        <v>25</v>
      </c>
      <c r="F431" s="387">
        <v>8</v>
      </c>
      <c r="G431" s="16">
        <f>'Dry_Litterbag Placem_Collection'!E138</f>
        <v>42939</v>
      </c>
      <c r="H431" s="92" t="str">
        <f>'Final data_for_R_analysis_Dryse'!J577</f>
        <v>G67</v>
      </c>
      <c r="I431" t="str">
        <f>'Final data_for_R_analysis_Dryse'!J797</f>
        <v>R214</v>
      </c>
      <c r="J431">
        <f>IFERROR(INDEX('Green_rooibos initial weight'!$C$5:$C$1749,MATCH(H431, 'Green_rooibos initial weight'!$A$5:$A$1749,0)),"")</f>
        <v>1.984</v>
      </c>
      <c r="K431">
        <f>IFERROR(INDEX('Green_rooibos initial weight'!$C$5:$C$1749,MATCH(I431, 'Green_rooibos initial weight'!$A$5:$A$1749,0)),"")</f>
        <v>2.1960000000000002</v>
      </c>
      <c r="L431" s="195">
        <f t="shared" si="48"/>
        <v>1.7342</v>
      </c>
      <c r="M431" s="195">
        <f t="shared" si="49"/>
        <v>1.9462000000000002</v>
      </c>
      <c r="N431" s="16">
        <f>IF('Dry_Litterbag Placem_Collection'!G138="N.A","",'Dry_Litterbag Placem_Collection'!G138)</f>
        <v>43008</v>
      </c>
      <c r="O431" s="195">
        <f>IF(IFERROR(INDEX('Both teabags AfterDry'!$D$1:$D$839,MATCH(H431,'Both teabags AfterDry'!$A$1:$A$839,0)),"")="N.A","",(IFERROR(INDEX('Both teabags AfterDry'!$D$1:$D$839,MATCH(H431,'Both teabags AfterDry'!$A$1:$A$839,0)),"")))</f>
        <v>0.77739999999999998</v>
      </c>
      <c r="P431" s="195">
        <f>IF(IFERROR(INDEX('Both teabags AfterDry'!$D$1:$D$839,MATCH(I431,'Both teabags AfterDry'!$A$1:$A$839,0)),"")="N.A","",(IFERROR(INDEX('Both teabags AfterDry'!$D$1:$D$839,MATCH(I431,'Both teabags AfterDry'!$A$1:$A$839,0)),"")))</f>
        <v>1.7265999999999999</v>
      </c>
      <c r="Q431" s="195">
        <f t="shared" si="50"/>
        <v>0.62680000000000002</v>
      </c>
      <c r="R431" s="195">
        <f t="shared" si="50"/>
        <v>1.5759999999999998</v>
      </c>
      <c r="S431" s="195">
        <f t="shared" si="45"/>
        <v>0.63856533271825622</v>
      </c>
      <c r="T431" s="195">
        <f t="shared" si="51"/>
        <v>0.41863190458489014</v>
      </c>
      <c r="U431" s="195">
        <f t="shared" si="46"/>
        <v>0.80978316719761567</v>
      </c>
      <c r="V431">
        <f t="shared" si="47"/>
        <v>69</v>
      </c>
      <c r="W431" s="195">
        <f t="shared" si="52"/>
        <v>0.2416088685056339</v>
      </c>
      <c r="X431" s="195">
        <f t="shared" si="53"/>
        <v>8.7801095698280818E-3</v>
      </c>
      <c r="Y431" s="255" t="str">
        <f>IF(ISNUMBER(SEARCH("C", 'Dry_Litterbag Placem_Collection'!V138)),"YES","NO")</f>
        <v>NO</v>
      </c>
      <c r="Z431" s="255" t="str">
        <f>IF(ISNUMBER(SEARCH("H", 'Dry_Litterbag Placem_Collection'!V138)),"YES","NO")</f>
        <v>NO</v>
      </c>
      <c r="AA431" s="255" t="str">
        <f>IF(ISNUMBER(SEARCH("R", 'Dry_Litterbag Placem_Collection'!V138)),"YES","NO")</f>
        <v>NO</v>
      </c>
      <c r="AB431" s="255" t="str">
        <f>IF(ISNUMBER(SEARCH("C", 'Dry_Litterbag Placem_Collection'!U138)),"YES","NO")</f>
        <v>NO</v>
      </c>
      <c r="AC431" s="255" t="str">
        <f>IF(ISNUMBER(SEARCH("H", 'Dry_Litterbag Placem_Collection'!U138)),"YES","NO")</f>
        <v>NO</v>
      </c>
      <c r="AD431" s="255" t="str">
        <f>IF(ISNUMBER(SEARCH("R", 'Dry_Litterbag Placem_Collection'!U138)),"YES","NO")</f>
        <v>YES</v>
      </c>
    </row>
    <row r="432" spans="2:30">
      <c r="B432" t="str">
        <f>'Final data_for_R_analysis_Dryse'!A578</f>
        <v>Dry</v>
      </c>
      <c r="C432" s="263">
        <f>'Final data_for_R_analysis_Dryse'!B578</f>
        <v>137</v>
      </c>
      <c r="D432" t="s">
        <v>3848</v>
      </c>
      <c r="E432" t="s">
        <v>25</v>
      </c>
      <c r="F432" s="386">
        <v>1</v>
      </c>
      <c r="G432" s="16">
        <f>'Dry_Litterbag Placem_Collection'!E139</f>
        <v>42939</v>
      </c>
      <c r="H432" s="92" t="str">
        <f>'Final data_for_R_analysis_Dryse'!J578</f>
        <v>G335</v>
      </c>
      <c r="I432" t="str">
        <f>'Final data_for_R_analysis_Dryse'!J798</f>
        <v>R628</v>
      </c>
      <c r="J432">
        <f>IFERROR(INDEX('Green_rooibos initial weight'!$C$5:$C$1749,MATCH(H432, 'Green_rooibos initial weight'!$A$5:$A$1749,0)),"")</f>
        <v>1.956</v>
      </c>
      <c r="K432">
        <f>IFERROR(INDEX('Green_rooibos initial weight'!$C$5:$C$1749,MATCH(I432, 'Green_rooibos initial weight'!$A$5:$A$1749,0)),"")</f>
        <v>2.0110000000000001</v>
      </c>
      <c r="L432" s="195">
        <f t="shared" si="48"/>
        <v>1.7061999999999999</v>
      </c>
      <c r="M432" s="195">
        <f t="shared" si="49"/>
        <v>1.7612000000000001</v>
      </c>
      <c r="N432" s="16">
        <f>IF('Dry_Litterbag Placem_Collection'!G139="N.A","",'Dry_Litterbag Placem_Collection'!G139)</f>
        <v>43008</v>
      </c>
      <c r="O432" s="195">
        <f>IF(IFERROR(INDEX('Both teabags AfterDry'!$D$1:$D$839,MATCH(H432,'Both teabags AfterDry'!$A$1:$A$839,0)),"")="N.A","",(IFERROR(INDEX('Both teabags AfterDry'!$D$1:$D$839,MATCH(H432,'Both teabags AfterDry'!$A$1:$A$839,0)),"")))</f>
        <v>0.85829999999999995</v>
      </c>
      <c r="P432" s="195">
        <f>IF(IFERROR(INDEX('Both teabags AfterDry'!$D$1:$D$839,MATCH(I432,'Both teabags AfterDry'!$A$1:$A$839,0)),"")="N.A","",(IFERROR(INDEX('Both teabags AfterDry'!$D$1:$D$839,MATCH(I432,'Both teabags AfterDry'!$A$1:$A$839,0)),"")))</f>
        <v>1.7652000000000001</v>
      </c>
      <c r="Q432" s="195">
        <f t="shared" si="50"/>
        <v>0.7077</v>
      </c>
      <c r="R432" s="195">
        <f t="shared" si="50"/>
        <v>1.6146</v>
      </c>
      <c r="S432" s="195">
        <f t="shared" si="45"/>
        <v>0.58521861446489276</v>
      </c>
      <c r="T432" s="195">
        <f t="shared" si="51"/>
        <v>0.38365875912662806</v>
      </c>
      <c r="U432" s="195">
        <f t="shared" si="46"/>
        <v>0.91676129911424031</v>
      </c>
      <c r="V432">
        <f t="shared" si="47"/>
        <v>69</v>
      </c>
      <c r="W432" s="195">
        <f t="shared" si="52"/>
        <v>0.30496601607494922</v>
      </c>
      <c r="X432" s="195">
        <f t="shared" si="53"/>
        <v>3.5445191299054274E-3</v>
      </c>
      <c r="Y432" s="255" t="str">
        <f>IF(ISNUMBER(SEARCH("C", 'Dry_Litterbag Placem_Collection'!V139)),"YES","NO")</f>
        <v>NO</v>
      </c>
      <c r="Z432" s="255" t="str">
        <f>IF(ISNUMBER(SEARCH("H", 'Dry_Litterbag Placem_Collection'!V139)),"YES","NO")</f>
        <v>NO</v>
      </c>
      <c r="AA432" s="255" t="str">
        <f>IF(ISNUMBER(SEARCH("R", 'Dry_Litterbag Placem_Collection'!V139)),"YES","NO")</f>
        <v>NO</v>
      </c>
      <c r="AB432" s="255" t="str">
        <f>IF(ISNUMBER(SEARCH("C", 'Dry_Litterbag Placem_Collection'!U139)),"YES","NO")</f>
        <v>NO</v>
      </c>
      <c r="AC432" s="255" t="str">
        <f>IF(ISNUMBER(SEARCH("H", 'Dry_Litterbag Placem_Collection'!U139)),"YES","NO")</f>
        <v>NO</v>
      </c>
      <c r="AD432" s="255" t="str">
        <f>IF(ISNUMBER(SEARCH("R", 'Dry_Litterbag Placem_Collection'!U139)),"YES","NO")</f>
        <v>NO</v>
      </c>
    </row>
    <row r="433" spans="2:30">
      <c r="B433" t="str">
        <f>'Final data_for_R_analysis_Dryse'!A579</f>
        <v>Dry</v>
      </c>
      <c r="C433" s="263">
        <f>'Final data_for_R_analysis_Dryse'!B579</f>
        <v>138</v>
      </c>
      <c r="D433" t="s">
        <v>3848</v>
      </c>
      <c r="E433" t="s">
        <v>25</v>
      </c>
      <c r="F433" s="386">
        <v>2</v>
      </c>
      <c r="G433" s="16">
        <f>'Dry_Litterbag Placem_Collection'!E140</f>
        <v>42939</v>
      </c>
      <c r="H433" s="92" t="str">
        <f>'Final data_for_R_analysis_Dryse'!J579</f>
        <v>G484</v>
      </c>
      <c r="I433" t="str">
        <f>'Final data_for_R_analysis_Dryse'!J799</f>
        <v>R198</v>
      </c>
      <c r="J433">
        <f>IFERROR(INDEX('Green_rooibos initial weight'!$C$5:$C$1749,MATCH(H433, 'Green_rooibos initial weight'!$A$5:$A$1749,0)),"")</f>
        <v>2.0009999999999999</v>
      </c>
      <c r="K433">
        <f>IFERROR(INDEX('Green_rooibos initial weight'!$C$5:$C$1749,MATCH(I433, 'Green_rooibos initial weight'!$A$5:$A$1749,0)),"")</f>
        <v>2.1970000000000001</v>
      </c>
      <c r="L433" s="195">
        <f t="shared" si="48"/>
        <v>1.7511999999999999</v>
      </c>
      <c r="M433" s="195">
        <f t="shared" si="49"/>
        <v>1.9472</v>
      </c>
      <c r="N433" s="16">
        <f>IF('Dry_Litterbag Placem_Collection'!G140="N.A","",'Dry_Litterbag Placem_Collection'!G140)</f>
        <v>43008</v>
      </c>
      <c r="O433" s="195">
        <f>IF(IFERROR(INDEX('Both teabags AfterDry'!$D$1:$D$839,MATCH(H433,'Both teabags AfterDry'!$A$1:$A$839,0)),"")="N.A","",(IFERROR(INDEX('Both teabags AfterDry'!$D$1:$D$839,MATCH(H433,'Both teabags AfterDry'!$A$1:$A$839,0)),"")))</f>
        <v>0.66439999999999999</v>
      </c>
      <c r="P433" s="195">
        <f>IF(IFERROR(INDEX('Both teabags AfterDry'!$D$1:$D$839,MATCH(I433,'Both teabags AfterDry'!$A$1:$A$839,0)),"")="N.A","",(IFERROR(INDEX('Both teabags AfterDry'!$D$1:$D$839,MATCH(I433,'Both teabags AfterDry'!$A$1:$A$839,0)),"")))</f>
        <v>1.7765</v>
      </c>
      <c r="Q433" s="195">
        <f t="shared" si="50"/>
        <v>0.51380000000000003</v>
      </c>
      <c r="R433" s="195">
        <f t="shared" si="50"/>
        <v>1.6258999999999999</v>
      </c>
      <c r="S433" s="195">
        <f t="shared" si="45"/>
        <v>0.70660118775696668</v>
      </c>
      <c r="T433" s="195">
        <f t="shared" si="51"/>
        <v>0.46323498294756016</v>
      </c>
      <c r="U433" s="195">
        <f t="shared" si="46"/>
        <v>0.83499383730484789</v>
      </c>
      <c r="V433">
        <f t="shared" si="47"/>
        <v>69</v>
      </c>
      <c r="W433" s="195">
        <f t="shared" si="52"/>
        <v>0.16080619031239107</v>
      </c>
      <c r="X433" s="195">
        <f t="shared" si="53"/>
        <v>6.3822232297417415E-3</v>
      </c>
      <c r="Y433" s="255" t="str">
        <f>IF(ISNUMBER(SEARCH("C", 'Dry_Litterbag Placem_Collection'!V140)),"YES","NO")</f>
        <v>NO</v>
      </c>
      <c r="Z433" s="255" t="str">
        <f>IF(ISNUMBER(SEARCH("H", 'Dry_Litterbag Placem_Collection'!V140)),"YES","NO")</f>
        <v>NO</v>
      </c>
      <c r="AA433" s="255" t="str">
        <f>IF(ISNUMBER(SEARCH("R", 'Dry_Litterbag Placem_Collection'!V140)),"YES","NO")</f>
        <v>NO</v>
      </c>
      <c r="AB433" s="255" t="str">
        <f>IF(ISNUMBER(SEARCH("C", 'Dry_Litterbag Placem_Collection'!U140)),"YES","NO")</f>
        <v>NO</v>
      </c>
      <c r="AC433" s="255" t="str">
        <f>IF(ISNUMBER(SEARCH("H", 'Dry_Litterbag Placem_Collection'!U140)),"YES","NO")</f>
        <v>NO</v>
      </c>
      <c r="AD433" s="255" t="str">
        <f>IF(ISNUMBER(SEARCH("R", 'Dry_Litterbag Placem_Collection'!U140)),"YES","NO")</f>
        <v>NO</v>
      </c>
    </row>
    <row r="434" spans="2:30">
      <c r="B434" t="str">
        <f>'Final data_for_R_analysis_Dryse'!A580</f>
        <v>Dry</v>
      </c>
      <c r="C434" s="263">
        <f>'Final data_for_R_analysis_Dryse'!B580</f>
        <v>139</v>
      </c>
      <c r="D434" t="s">
        <v>3848</v>
      </c>
      <c r="E434" t="s">
        <v>25</v>
      </c>
      <c r="F434" s="386">
        <v>3</v>
      </c>
      <c r="G434" s="16">
        <f>'Dry_Litterbag Placem_Collection'!E141</f>
        <v>42939</v>
      </c>
      <c r="H434" s="92" t="str">
        <f>'Final data_for_R_analysis_Dryse'!J580</f>
        <v>G868</v>
      </c>
      <c r="I434" t="str">
        <f>'Final data_for_R_analysis_Dryse'!J800</f>
        <v>R706</v>
      </c>
      <c r="J434">
        <f>IFERROR(INDEX('Green_rooibos initial weight'!$C$5:$C$1749,MATCH(H434, 'Green_rooibos initial weight'!$A$5:$A$1749,0)),"")</f>
        <v>1.95</v>
      </c>
      <c r="K434">
        <f>IFERROR(INDEX('Green_rooibos initial weight'!$C$5:$C$1749,MATCH(I434, 'Green_rooibos initial weight'!$A$5:$A$1749,0)),"")</f>
        <v>2.1480000000000001</v>
      </c>
      <c r="L434" s="195">
        <f t="shared" si="48"/>
        <v>1.7001999999999999</v>
      </c>
      <c r="M434" s="195">
        <f t="shared" si="49"/>
        <v>1.8982000000000001</v>
      </c>
      <c r="N434" s="16">
        <f>IF('Dry_Litterbag Placem_Collection'!G141="N.A","",'Dry_Litterbag Placem_Collection'!G141)</f>
        <v>43008</v>
      </c>
      <c r="O434" s="195">
        <f>IF(IFERROR(INDEX('Both teabags AfterDry'!$D$1:$D$839,MATCH(H434,'Both teabags AfterDry'!$A$1:$A$839,0)),"")="N.A","",(IFERROR(INDEX('Both teabags AfterDry'!$D$1:$D$839,MATCH(H434,'Both teabags AfterDry'!$A$1:$A$839,0)),"")))</f>
        <v>0.71699999999999997</v>
      </c>
      <c r="P434" s="195">
        <f>IF(IFERROR(INDEX('Both teabags AfterDry'!$D$1:$D$839,MATCH(I434,'Both teabags AfterDry'!$A$1:$A$839,0)),"")="N.A","",(IFERROR(INDEX('Both teabags AfterDry'!$D$1:$D$839,MATCH(I434,'Both teabags AfterDry'!$A$1:$A$839,0)),"")))</f>
        <v>1.5846</v>
      </c>
      <c r="Q434" s="195">
        <f t="shared" si="50"/>
        <v>0.56640000000000001</v>
      </c>
      <c r="R434" s="195">
        <f t="shared" si="50"/>
        <v>1.4339999999999999</v>
      </c>
      <c r="S434" s="195">
        <f t="shared" si="45"/>
        <v>0.66686272203270203</v>
      </c>
      <c r="T434" s="195">
        <f t="shared" si="51"/>
        <v>0.4371831621877097</v>
      </c>
      <c r="U434" s="195">
        <f t="shared" si="46"/>
        <v>0.75545253397955947</v>
      </c>
      <c r="V434">
        <f t="shared" si="47"/>
        <v>69</v>
      </c>
      <c r="W434" s="195">
        <f t="shared" si="52"/>
        <v>0.20800151777588827</v>
      </c>
      <c r="X434" s="195">
        <f t="shared" si="53"/>
        <v>1.1877556843150106E-2</v>
      </c>
      <c r="Y434" s="255" t="str">
        <f>IF(ISNUMBER(SEARCH("C", 'Dry_Litterbag Placem_Collection'!V141)),"YES","NO")</f>
        <v>NO</v>
      </c>
      <c r="Z434" s="255" t="str">
        <f>IF(ISNUMBER(SEARCH("H", 'Dry_Litterbag Placem_Collection'!V141)),"YES","NO")</f>
        <v>NO</v>
      </c>
      <c r="AA434" s="255" t="str">
        <f>IF(ISNUMBER(SEARCH("R", 'Dry_Litterbag Placem_Collection'!V141)),"YES","NO")</f>
        <v>NO</v>
      </c>
      <c r="AB434" s="255" t="str">
        <f>IF(ISNUMBER(SEARCH("C", 'Dry_Litterbag Placem_Collection'!U141)),"YES","NO")</f>
        <v>NO</v>
      </c>
      <c r="AC434" s="255" t="str">
        <f>IF(ISNUMBER(SEARCH("H", 'Dry_Litterbag Placem_Collection'!U141)),"YES","NO")</f>
        <v>NO</v>
      </c>
      <c r="AD434" s="255" t="str">
        <f>IF(ISNUMBER(SEARCH("R", 'Dry_Litterbag Placem_Collection'!U141)),"YES","NO")</f>
        <v>NO</v>
      </c>
    </row>
    <row r="435" spans="2:30">
      <c r="B435" t="str">
        <f>'Final data_for_R_analysis_Dryse'!A581</f>
        <v>Dry</v>
      </c>
      <c r="C435" s="263">
        <f>'Final data_for_R_analysis_Dryse'!B581</f>
        <v>140</v>
      </c>
      <c r="D435" t="s">
        <v>3848</v>
      </c>
      <c r="E435" t="s">
        <v>25</v>
      </c>
      <c r="F435" s="387">
        <v>4</v>
      </c>
      <c r="G435" s="16">
        <f>'Dry_Litterbag Placem_Collection'!E142</f>
        <v>42939</v>
      </c>
      <c r="H435" s="92" t="str">
        <f>'Final data_for_R_analysis_Dryse'!J581</f>
        <v>G792</v>
      </c>
      <c r="I435" t="str">
        <f>'Final data_for_R_analysis_Dryse'!J801</f>
        <v>R710</v>
      </c>
      <c r="J435">
        <f>IFERROR(INDEX('Green_rooibos initial weight'!$C$5:$C$1749,MATCH(H435, 'Green_rooibos initial weight'!$A$5:$A$1749,0)),"")</f>
        <v>2.0550000000000002</v>
      </c>
      <c r="K435">
        <f>IFERROR(INDEX('Green_rooibos initial weight'!$C$5:$C$1749,MATCH(I435, 'Green_rooibos initial weight'!$A$5:$A$1749,0)),"")</f>
        <v>2.1070000000000002</v>
      </c>
      <c r="L435" s="195">
        <f t="shared" si="48"/>
        <v>1.8052000000000001</v>
      </c>
      <c r="M435" s="195">
        <f t="shared" si="49"/>
        <v>1.8572000000000002</v>
      </c>
      <c r="N435" s="16">
        <f>IF('Dry_Litterbag Placem_Collection'!G142="N.A","",'Dry_Litterbag Placem_Collection'!G142)</f>
        <v>43008</v>
      </c>
      <c r="O435" s="195">
        <f>IF(IFERROR(INDEX('Both teabags AfterDry'!$D$1:$D$839,MATCH(H435,'Both teabags AfterDry'!$A$1:$A$839,0)),"")="N.A","",(IFERROR(INDEX('Both teabags AfterDry'!$D$1:$D$839,MATCH(H435,'Both teabags AfterDry'!$A$1:$A$839,0)),"")))</f>
        <v>0.87409999999999999</v>
      </c>
      <c r="P435" s="195">
        <f>IF(IFERROR(INDEX('Both teabags AfterDry'!$D$1:$D$839,MATCH(I435,'Both teabags AfterDry'!$A$1:$A$839,0)),"")="N.A","",(IFERROR(INDEX('Both teabags AfterDry'!$D$1:$D$839,MATCH(I435,'Both teabags AfterDry'!$A$1:$A$839,0)),"")))</f>
        <v>1.7403999999999999</v>
      </c>
      <c r="Q435" s="195">
        <f t="shared" si="50"/>
        <v>0.72350000000000003</v>
      </c>
      <c r="R435" s="195">
        <f t="shared" si="50"/>
        <v>1.5897999999999999</v>
      </c>
      <c r="S435" s="195">
        <f t="shared" si="45"/>
        <v>0.59921338355860843</v>
      </c>
      <c r="T435" s="195">
        <f t="shared" si="51"/>
        <v>0.39283347710730626</v>
      </c>
      <c r="U435" s="195">
        <f t="shared" si="46"/>
        <v>0.85601981477492983</v>
      </c>
      <c r="V435">
        <f t="shared" si="47"/>
        <v>69</v>
      </c>
      <c r="W435" s="195">
        <f t="shared" si="52"/>
        <v>0.2883451501679235</v>
      </c>
      <c r="X435" s="195">
        <f t="shared" si="53"/>
        <v>6.6162647261412211E-3</v>
      </c>
      <c r="Y435" s="255" t="str">
        <f>IF(ISNUMBER(SEARCH("C", 'Dry_Litterbag Placem_Collection'!V142)),"YES","NO")</f>
        <v>NO</v>
      </c>
      <c r="Z435" s="255" t="str">
        <f>IF(ISNUMBER(SEARCH("H", 'Dry_Litterbag Placem_Collection'!V142)),"YES","NO")</f>
        <v>NO</v>
      </c>
      <c r="AA435" s="255" t="str">
        <f>IF(ISNUMBER(SEARCH("R", 'Dry_Litterbag Placem_Collection'!V142)),"YES","NO")</f>
        <v>NO</v>
      </c>
      <c r="AB435" s="255" t="str">
        <f>IF(ISNUMBER(SEARCH("C", 'Dry_Litterbag Placem_Collection'!U142)),"YES","NO")</f>
        <v>NO</v>
      </c>
      <c r="AC435" s="255" t="str">
        <f>IF(ISNUMBER(SEARCH("H", 'Dry_Litterbag Placem_Collection'!U142)),"YES","NO")</f>
        <v>NO</v>
      </c>
      <c r="AD435" s="255" t="str">
        <f>IF(ISNUMBER(SEARCH("R", 'Dry_Litterbag Placem_Collection'!U142)),"YES","NO")</f>
        <v>NO</v>
      </c>
    </row>
    <row r="436" spans="2:30">
      <c r="B436" t="str">
        <f>'Final data_for_R_analysis_Dryse'!A582</f>
        <v>Dry</v>
      </c>
      <c r="C436" s="263">
        <f>'Final data_for_R_analysis_Dryse'!B582</f>
        <v>141</v>
      </c>
      <c r="D436" t="s">
        <v>3848</v>
      </c>
      <c r="E436" t="s">
        <v>25</v>
      </c>
      <c r="F436" s="387">
        <v>5</v>
      </c>
      <c r="G436" s="16">
        <f>'Dry_Litterbag Placem_Collection'!E143</f>
        <v>0</v>
      </c>
      <c r="H436" s="92" t="str">
        <f>'Final data_for_R_analysis_Dryse'!J582</f>
        <v/>
      </c>
      <c r="I436" t="str">
        <f>'Final data_for_R_analysis_Dryse'!J802</f>
        <v/>
      </c>
      <c r="J436" t="str">
        <f>IFERROR(INDEX('Green_rooibos initial weight'!$C$5:$C$1749,MATCH(H436, 'Green_rooibos initial weight'!$A$5:$A$1749,0)),"")</f>
        <v/>
      </c>
      <c r="K436" t="str">
        <f>IFERROR(INDEX('Green_rooibos initial weight'!$C$5:$C$1749,MATCH(I436, 'Green_rooibos initial weight'!$A$5:$A$1749,0)),"")</f>
        <v/>
      </c>
      <c r="L436" s="195" t="str">
        <f t="shared" si="48"/>
        <v/>
      </c>
      <c r="M436" s="195" t="str">
        <f t="shared" si="49"/>
        <v/>
      </c>
      <c r="N436" s="16">
        <f>IF('Dry_Litterbag Placem_Collection'!G143="N.A","",'Dry_Litterbag Placem_Collection'!G143)</f>
        <v>0</v>
      </c>
      <c r="O436" s="195" t="str">
        <f>IF(IFERROR(INDEX('Both teabags AfterDry'!$D$1:$D$839,MATCH(H436,'Both teabags AfterDry'!$A$1:$A$839,0)),"")="N.A","",(IFERROR(INDEX('Both teabags AfterDry'!$D$1:$D$839,MATCH(H436,'Both teabags AfterDry'!$A$1:$A$839,0)),"")))</f>
        <v/>
      </c>
      <c r="P436" s="195" t="str">
        <f>IF(IFERROR(INDEX('Both teabags AfterDry'!$D$1:$D$839,MATCH(I436,'Both teabags AfterDry'!$A$1:$A$839,0)),"")="N.A","",(IFERROR(INDEX('Both teabags AfterDry'!$D$1:$D$839,MATCH(I436,'Both teabags AfterDry'!$A$1:$A$839,0)),"")))</f>
        <v/>
      </c>
      <c r="Q436" s="195" t="str">
        <f t="shared" si="50"/>
        <v/>
      </c>
      <c r="R436" s="195" t="str">
        <f t="shared" si="50"/>
        <v/>
      </c>
      <c r="S436" s="195" t="str">
        <f t="shared" si="45"/>
        <v/>
      </c>
      <c r="T436" s="195" t="str">
        <f t="shared" si="51"/>
        <v/>
      </c>
      <c r="U436" s="195" t="str">
        <f t="shared" si="46"/>
        <v/>
      </c>
      <c r="V436" t="str">
        <f t="shared" si="47"/>
        <v/>
      </c>
      <c r="W436" s="195" t="str">
        <f t="shared" si="52"/>
        <v/>
      </c>
      <c r="X436" s="195" t="str">
        <f t="shared" si="53"/>
        <v/>
      </c>
      <c r="Y436" s="255" t="str">
        <f>IF(ISNUMBER(SEARCH("C", 'Dry_Litterbag Placem_Collection'!V143)),"YES","NO")</f>
        <v>NO</v>
      </c>
      <c r="Z436" s="255" t="str">
        <f>IF(ISNUMBER(SEARCH("H", 'Dry_Litterbag Placem_Collection'!V143)),"YES","NO")</f>
        <v>NO</v>
      </c>
      <c r="AA436" s="255" t="str">
        <f>IF(ISNUMBER(SEARCH("R", 'Dry_Litterbag Placem_Collection'!V143)),"YES","NO")</f>
        <v>NO</v>
      </c>
      <c r="AB436" s="255" t="str">
        <f>IF(ISNUMBER(SEARCH("C", 'Dry_Litterbag Placem_Collection'!U143)),"YES","NO")</f>
        <v>NO</v>
      </c>
      <c r="AC436" s="255" t="str">
        <f>IF(ISNUMBER(SEARCH("H", 'Dry_Litterbag Placem_Collection'!U143)),"YES","NO")</f>
        <v>NO</v>
      </c>
      <c r="AD436" s="255" t="str">
        <f>IF(ISNUMBER(SEARCH("R", 'Dry_Litterbag Placem_Collection'!U143)),"YES","NO")</f>
        <v>NO</v>
      </c>
    </row>
    <row r="437" spans="2:30">
      <c r="B437" t="str">
        <f>'Final data_for_R_analysis_Dryse'!A583</f>
        <v>Dry</v>
      </c>
      <c r="C437" s="263">
        <f>'Final data_for_R_analysis_Dryse'!B583</f>
        <v>142</v>
      </c>
      <c r="D437" t="s">
        <v>3848</v>
      </c>
      <c r="E437" t="s">
        <v>25</v>
      </c>
      <c r="F437" s="387">
        <v>6</v>
      </c>
      <c r="G437" s="16">
        <f>'Dry_Litterbag Placem_Collection'!E144</f>
        <v>42939</v>
      </c>
      <c r="H437" s="92" t="str">
        <f>'Final data_for_R_analysis_Dryse'!J583</f>
        <v>G711</v>
      </c>
      <c r="I437" t="str">
        <f>'Final data_for_R_analysis_Dryse'!J803</f>
        <v>R626</v>
      </c>
      <c r="J437">
        <f>IFERROR(INDEX('Green_rooibos initial weight'!$C$5:$C$1749,MATCH(H437, 'Green_rooibos initial weight'!$A$5:$A$1749,0)),"")</f>
        <v>2.1070000000000002</v>
      </c>
      <c r="K437">
        <f>IFERROR(INDEX('Green_rooibos initial weight'!$C$5:$C$1749,MATCH(I437, 'Green_rooibos initial weight'!$A$5:$A$1749,0)),"")</f>
        <v>2.0699999999999998</v>
      </c>
      <c r="L437" s="195">
        <f t="shared" si="48"/>
        <v>1.8572000000000002</v>
      </c>
      <c r="M437" s="195">
        <f t="shared" si="49"/>
        <v>1.8201999999999998</v>
      </c>
      <c r="N437" s="16">
        <f>IF('Dry_Litterbag Placem_Collection'!G144="N.A","",'Dry_Litterbag Placem_Collection'!G144)</f>
        <v>43008</v>
      </c>
      <c r="O437" s="195" t="str">
        <f>IF(IFERROR(INDEX('Both teabags AfterDry'!$D$1:$D$839,MATCH(H437,'Both teabags AfterDry'!$A$1:$A$839,0)),"")="N.A","",(IFERROR(INDEX('Both teabags AfterDry'!$D$1:$D$839,MATCH(H437,'Both teabags AfterDry'!$A$1:$A$839,0)),"")))</f>
        <v/>
      </c>
      <c r="P437" s="195" t="str">
        <f>IF(IFERROR(INDEX('Both teabags AfterDry'!$D$1:$D$839,MATCH(I437,'Both teabags AfterDry'!$A$1:$A$839,0)),"")="N.A","",(IFERROR(INDEX('Both teabags AfterDry'!$D$1:$D$839,MATCH(I437,'Both teabags AfterDry'!$A$1:$A$839,0)),"")))</f>
        <v/>
      </c>
      <c r="Q437" s="195" t="str">
        <f t="shared" si="50"/>
        <v/>
      </c>
      <c r="R437" s="195" t="str">
        <f t="shared" si="50"/>
        <v/>
      </c>
      <c r="S437" s="195" t="str">
        <f t="shared" si="45"/>
        <v/>
      </c>
      <c r="T437" s="195" t="str">
        <f t="shared" si="51"/>
        <v/>
      </c>
      <c r="U437" s="195" t="str">
        <f t="shared" si="46"/>
        <v/>
      </c>
      <c r="V437">
        <f t="shared" si="47"/>
        <v>69</v>
      </c>
      <c r="W437" s="195" t="str">
        <f t="shared" si="52"/>
        <v/>
      </c>
      <c r="X437" s="195" t="str">
        <f t="shared" si="53"/>
        <v/>
      </c>
      <c r="Y437" s="255" t="str">
        <f>IF(ISNUMBER(SEARCH("C", 'Dry_Litterbag Placem_Collection'!V144)),"YES","NO")</f>
        <v>NO</v>
      </c>
      <c r="Z437" s="255" t="str">
        <f>IF(ISNUMBER(SEARCH("H", 'Dry_Litterbag Placem_Collection'!V144)),"YES","NO")</f>
        <v>NO</v>
      </c>
      <c r="AA437" s="255" t="str">
        <f>IF(ISNUMBER(SEARCH("R", 'Dry_Litterbag Placem_Collection'!V144)),"YES","NO")</f>
        <v>NO</v>
      </c>
      <c r="AB437" s="255" t="str">
        <f>IF(ISNUMBER(SEARCH("C", 'Dry_Litterbag Placem_Collection'!U144)),"YES","NO")</f>
        <v>NO</v>
      </c>
      <c r="AC437" s="255" t="str">
        <f>IF(ISNUMBER(SEARCH("H", 'Dry_Litterbag Placem_Collection'!U144)),"YES","NO")</f>
        <v>NO</v>
      </c>
      <c r="AD437" s="255" t="str">
        <f>IF(ISNUMBER(SEARCH("R", 'Dry_Litterbag Placem_Collection'!U144)),"YES","NO")</f>
        <v>YES</v>
      </c>
    </row>
    <row r="438" spans="2:30">
      <c r="B438" t="str">
        <f>'Final data_for_R_analysis_Dryse'!A584</f>
        <v>Dry</v>
      </c>
      <c r="C438" s="263">
        <f>'Final data_for_R_analysis_Dryse'!B584</f>
        <v>143</v>
      </c>
      <c r="D438" t="s">
        <v>3848</v>
      </c>
      <c r="E438" t="s">
        <v>25</v>
      </c>
      <c r="F438" s="387">
        <v>7</v>
      </c>
      <c r="G438" s="16">
        <f>'Dry_Litterbag Placem_Collection'!E145</f>
        <v>42939</v>
      </c>
      <c r="H438" s="92" t="str">
        <f>'Final data_for_R_analysis_Dryse'!J584</f>
        <v>G205</v>
      </c>
      <c r="I438" t="str">
        <f>'Final data_for_R_analysis_Dryse'!J804</f>
        <v>R195</v>
      </c>
      <c r="J438">
        <f>IFERROR(INDEX('Green_rooibos initial weight'!$C$5:$C$1749,MATCH(H438, 'Green_rooibos initial weight'!$A$5:$A$1749,0)),"")</f>
        <v>2.1240000000000001</v>
      </c>
      <c r="K438">
        <f>IFERROR(INDEX('Green_rooibos initial weight'!$C$5:$C$1749,MATCH(I438, 'Green_rooibos initial weight'!$A$5:$A$1749,0)),"")</f>
        <v>2.1640000000000001</v>
      </c>
      <c r="L438" s="195">
        <f t="shared" si="48"/>
        <v>1.8742000000000001</v>
      </c>
      <c r="M438" s="195">
        <f t="shared" si="49"/>
        <v>1.9142000000000001</v>
      </c>
      <c r="N438" s="16">
        <f>IF('Dry_Litterbag Placem_Collection'!G145="N.A","",'Dry_Litterbag Placem_Collection'!G145)</f>
        <v>43008</v>
      </c>
      <c r="O438" s="195">
        <f>IF(IFERROR(INDEX('Both teabags AfterDry'!$D$1:$D$839,MATCH(H438,'Both teabags AfterDry'!$A$1:$A$839,0)),"")="N.A","",(IFERROR(INDEX('Both teabags AfterDry'!$D$1:$D$839,MATCH(H438,'Both teabags AfterDry'!$A$1:$A$839,0)),"")))</f>
        <v>0.82040000000000002</v>
      </c>
      <c r="P438" s="195">
        <f>IF(IFERROR(INDEX('Both teabags AfterDry'!$D$1:$D$839,MATCH(I438,'Both teabags AfterDry'!$A$1:$A$839,0)),"")="N.A","",(IFERROR(INDEX('Both teabags AfterDry'!$D$1:$D$839,MATCH(I438,'Both teabags AfterDry'!$A$1:$A$839,0)),"")))</f>
        <v>1.6592</v>
      </c>
      <c r="Q438" s="195">
        <f t="shared" si="50"/>
        <v>0.66979999999999995</v>
      </c>
      <c r="R438" s="195">
        <f t="shared" si="50"/>
        <v>1.5085999999999999</v>
      </c>
      <c r="S438" s="195">
        <f t="shared" si="45"/>
        <v>0.64262085156333371</v>
      </c>
      <c r="T438" s="195">
        <f t="shared" si="51"/>
        <v>0.42129062952845631</v>
      </c>
      <c r="U438" s="195">
        <f t="shared" si="46"/>
        <v>0.78810991536934483</v>
      </c>
      <c r="V438">
        <f t="shared" si="47"/>
        <v>69</v>
      </c>
      <c r="W438" s="195">
        <f t="shared" si="52"/>
        <v>0.23679233781076758</v>
      </c>
      <c r="X438" s="195">
        <f t="shared" si="53"/>
        <v>1.0131507627760267E-2</v>
      </c>
      <c r="Y438" s="255" t="str">
        <f>IF(ISNUMBER(SEARCH("C", 'Dry_Litterbag Placem_Collection'!V145)),"YES","NO")</f>
        <v>NO</v>
      </c>
      <c r="Z438" s="255" t="str">
        <f>IF(ISNUMBER(SEARCH("H", 'Dry_Litterbag Placem_Collection'!V145)),"YES","NO")</f>
        <v>NO</v>
      </c>
      <c r="AA438" s="255" t="str">
        <f>IF(ISNUMBER(SEARCH("R", 'Dry_Litterbag Placem_Collection'!V145)),"YES","NO")</f>
        <v>NO</v>
      </c>
      <c r="AB438" s="255" t="str">
        <f>IF(ISNUMBER(SEARCH("C", 'Dry_Litterbag Placem_Collection'!U145)),"YES","NO")</f>
        <v>NO</v>
      </c>
      <c r="AC438" s="255" t="str">
        <f>IF(ISNUMBER(SEARCH("H", 'Dry_Litterbag Placem_Collection'!U145)),"YES","NO")</f>
        <v>NO</v>
      </c>
      <c r="AD438" s="255" t="str">
        <f>IF(ISNUMBER(SEARCH("R", 'Dry_Litterbag Placem_Collection'!U145)),"YES","NO")</f>
        <v>YES</v>
      </c>
    </row>
    <row r="439" spans="2:30">
      <c r="B439" t="str">
        <f>'Final data_for_R_analysis_Dryse'!A585</f>
        <v>Dry</v>
      </c>
      <c r="C439" s="263">
        <f>'Final data_for_R_analysis_Dryse'!B585</f>
        <v>144</v>
      </c>
      <c r="D439" t="s">
        <v>3848</v>
      </c>
      <c r="E439" t="s">
        <v>25</v>
      </c>
      <c r="F439" s="387">
        <v>8</v>
      </c>
      <c r="G439" s="16">
        <f>'Dry_Litterbag Placem_Collection'!E146</f>
        <v>42939</v>
      </c>
      <c r="H439" s="92" t="str">
        <f>'Final data_for_R_analysis_Dryse'!J585</f>
        <v>G384</v>
      </c>
      <c r="I439" t="str">
        <f>'Final data_for_R_analysis_Dryse'!J805</f>
        <v>R295</v>
      </c>
      <c r="J439">
        <f>IFERROR(INDEX('Green_rooibos initial weight'!$C$5:$C$1749,MATCH(H439, 'Green_rooibos initial weight'!$A$5:$A$1749,0)),"")</f>
        <v>2.0499999999999998</v>
      </c>
      <c r="K439">
        <f>IFERROR(INDEX('Green_rooibos initial weight'!$C$5:$C$1749,MATCH(I439, 'Green_rooibos initial weight'!$A$5:$A$1749,0)),"")</f>
        <v>2.194</v>
      </c>
      <c r="L439" s="195">
        <f t="shared" si="48"/>
        <v>1.8001999999999998</v>
      </c>
      <c r="M439" s="195">
        <f t="shared" si="49"/>
        <v>1.9441999999999999</v>
      </c>
      <c r="N439" s="16">
        <f>IF('Dry_Litterbag Placem_Collection'!G146="N.A","",'Dry_Litterbag Placem_Collection'!G146)</f>
        <v>43008</v>
      </c>
      <c r="O439" s="195">
        <f>IF(IFERROR(INDEX('Both teabags AfterDry'!$D$1:$D$839,MATCH(H439,'Both teabags AfterDry'!$A$1:$A$839,0)),"")="N.A","",(IFERROR(INDEX('Both teabags AfterDry'!$D$1:$D$839,MATCH(H439,'Both teabags AfterDry'!$A$1:$A$839,0)),"")))</f>
        <v>0.73660000000000003</v>
      </c>
      <c r="P439" s="195">
        <f>IF(IFERROR(INDEX('Both teabags AfterDry'!$D$1:$D$839,MATCH(I439,'Both teabags AfterDry'!$A$1:$A$839,0)),"")="N.A","",(IFERROR(INDEX('Both teabags AfterDry'!$D$1:$D$839,MATCH(I439,'Both teabags AfterDry'!$A$1:$A$839,0)),"")))</f>
        <v>1.7096</v>
      </c>
      <c r="Q439" s="195">
        <f t="shared" si="50"/>
        <v>0.58600000000000008</v>
      </c>
      <c r="R439" s="195">
        <f t="shared" si="50"/>
        <v>1.5589999999999999</v>
      </c>
      <c r="S439" s="195">
        <f t="shared" si="45"/>
        <v>0.6744806132651926</v>
      </c>
      <c r="T439" s="195">
        <f t="shared" si="51"/>
        <v>0.44217731415960371</v>
      </c>
      <c r="U439" s="195">
        <f t="shared" si="46"/>
        <v>0.8018722353667318</v>
      </c>
      <c r="V439">
        <f t="shared" si="47"/>
        <v>69</v>
      </c>
      <c r="W439" s="195">
        <f t="shared" si="52"/>
        <v>0.19895414101521069</v>
      </c>
      <c r="X439" s="195">
        <f t="shared" si="53"/>
        <v>8.6136186722333523E-3</v>
      </c>
      <c r="Y439" s="255" t="str">
        <f>IF(ISNUMBER(SEARCH("C", 'Dry_Litterbag Placem_Collection'!V146)),"YES","NO")</f>
        <v>NO</v>
      </c>
      <c r="Z439" s="255" t="str">
        <f>IF(ISNUMBER(SEARCH("H", 'Dry_Litterbag Placem_Collection'!V146)),"YES","NO")</f>
        <v>NO</v>
      </c>
      <c r="AA439" s="255" t="str">
        <f>IF(ISNUMBER(SEARCH("R", 'Dry_Litterbag Placem_Collection'!V146)),"YES","NO")</f>
        <v>NO</v>
      </c>
      <c r="AB439" s="255" t="str">
        <f>IF(ISNUMBER(SEARCH("C", 'Dry_Litterbag Placem_Collection'!U146)),"YES","NO")</f>
        <v>NO</v>
      </c>
      <c r="AC439" s="255" t="str">
        <f>IF(ISNUMBER(SEARCH("H", 'Dry_Litterbag Placem_Collection'!U146)),"YES","NO")</f>
        <v>NO</v>
      </c>
      <c r="AD439" s="255" t="str">
        <f>IF(ISNUMBER(SEARCH("R", 'Dry_Litterbag Placem_Collection'!U146)),"YES","NO")</f>
        <v>NO</v>
      </c>
    </row>
    <row r="440" spans="2:30">
      <c r="B440" t="str">
        <f>'Final data_for_R_analysis_Dryse'!A586</f>
        <v>Dry</v>
      </c>
      <c r="C440" s="263">
        <f>'Final data_for_R_analysis_Dryse'!B586</f>
        <v>145</v>
      </c>
      <c r="D440" t="s">
        <v>3849</v>
      </c>
      <c r="E440" t="s">
        <v>25</v>
      </c>
      <c r="F440" s="386">
        <v>1</v>
      </c>
      <c r="G440" s="16">
        <f>'Dry_Litterbag Placem_Collection'!E147</f>
        <v>42939</v>
      </c>
      <c r="H440" s="92" t="str">
        <f>'Final data_for_R_analysis_Dryse'!J586</f>
        <v>G72</v>
      </c>
      <c r="I440" t="str">
        <f>'Final data_for_R_analysis_Dryse'!J806</f>
        <v>R609</v>
      </c>
      <c r="J440">
        <f>IFERROR(INDEX('Green_rooibos initial weight'!$C$5:$C$1749,MATCH(H440, 'Green_rooibos initial weight'!$A$5:$A$1749,0)),"")</f>
        <v>2.0190000000000001</v>
      </c>
      <c r="K440">
        <f>IFERROR(INDEX('Green_rooibos initial weight'!$C$5:$C$1749,MATCH(I440, 'Green_rooibos initial weight'!$A$5:$A$1749,0)),"")</f>
        <v>2.165</v>
      </c>
      <c r="L440" s="195">
        <f t="shared" si="48"/>
        <v>1.7692000000000001</v>
      </c>
      <c r="M440" s="195">
        <f t="shared" si="49"/>
        <v>1.9152</v>
      </c>
      <c r="N440" s="16">
        <f>IF('Dry_Litterbag Placem_Collection'!G147="N.A","",'Dry_Litterbag Placem_Collection'!G147)</f>
        <v>43010</v>
      </c>
      <c r="O440" s="195">
        <f>IF(IFERROR(INDEX('Both teabags AfterDry'!$D$1:$D$839,MATCH(H440,'Both teabags AfterDry'!$A$1:$A$839,0)),"")="N.A","",(IFERROR(INDEX('Both teabags AfterDry'!$D$1:$D$839,MATCH(H440,'Both teabags AfterDry'!$A$1:$A$839,0)),"")))</f>
        <v>1.7161999999999999</v>
      </c>
      <c r="P440" s="195">
        <f>IF(IFERROR(INDEX('Both teabags AfterDry'!$D$1:$D$839,MATCH(I440,'Both teabags AfterDry'!$A$1:$A$839,0)),"")="N.A","",(IFERROR(INDEX('Both teabags AfterDry'!$D$1:$D$839,MATCH(I440,'Both teabags AfterDry'!$A$1:$A$839,0)),"")))</f>
        <v>1.9753000000000001</v>
      </c>
      <c r="Q440" s="195">
        <f t="shared" si="50"/>
        <v>1.5655999999999999</v>
      </c>
      <c r="R440" s="195">
        <f t="shared" si="50"/>
        <v>1.8247</v>
      </c>
      <c r="S440" s="195">
        <f t="shared" si="45"/>
        <v>0.11508026226543078</v>
      </c>
      <c r="T440" s="195">
        <f t="shared" si="51"/>
        <v>7.544454248280022E-2</v>
      </c>
      <c r="U440" s="195">
        <f t="shared" si="46"/>
        <v>0.95274644945697573</v>
      </c>
      <c r="V440">
        <f t="shared" si="47"/>
        <v>71</v>
      </c>
      <c r="W440" s="195">
        <f t="shared" si="52"/>
        <v>0.86332510419782571</v>
      </c>
      <c r="X440" s="195">
        <f t="shared" si="53"/>
        <v>1.386472334570287E-2</v>
      </c>
      <c r="Y440" s="255" t="str">
        <f>IF(ISNUMBER(SEARCH("C", 'Dry_Litterbag Placem_Collection'!V147)),"YES","NO")</f>
        <v>NO</v>
      </c>
      <c r="Z440" s="255" t="str">
        <f>IF(ISNUMBER(SEARCH("H", 'Dry_Litterbag Placem_Collection'!V147)),"YES","NO")</f>
        <v>NO</v>
      </c>
      <c r="AA440" s="255" t="str">
        <f>IF(ISNUMBER(SEARCH("R", 'Dry_Litterbag Placem_Collection'!V147)),"YES","NO")</f>
        <v>NO</v>
      </c>
      <c r="AB440" s="255" t="str">
        <f>IF(ISNUMBER(SEARCH("C", 'Dry_Litterbag Placem_Collection'!U147)),"YES","NO")</f>
        <v>NO</v>
      </c>
      <c r="AC440" s="255" t="str">
        <f>IF(ISNUMBER(SEARCH("H", 'Dry_Litterbag Placem_Collection'!U147)),"YES","NO")</f>
        <v>NO</v>
      </c>
      <c r="AD440" s="255" t="str">
        <f>IF(ISNUMBER(SEARCH("R", 'Dry_Litterbag Placem_Collection'!U147)),"YES","NO")</f>
        <v>NO</v>
      </c>
    </row>
    <row r="441" spans="2:30">
      <c r="B441" t="str">
        <f>'Final data_for_R_analysis_Dryse'!A587</f>
        <v>Dry</v>
      </c>
      <c r="C441" s="263">
        <f>'Final data_for_R_analysis_Dryse'!B587</f>
        <v>146</v>
      </c>
      <c r="D441" t="s">
        <v>3849</v>
      </c>
      <c r="E441" t="s">
        <v>25</v>
      </c>
      <c r="F441" s="386">
        <v>2</v>
      </c>
      <c r="G441" s="16">
        <f>'Dry_Litterbag Placem_Collection'!E148</f>
        <v>42939</v>
      </c>
      <c r="H441" s="92" t="str">
        <f>'Final data_for_R_analysis_Dryse'!J587</f>
        <v>G336</v>
      </c>
      <c r="I441" t="str">
        <f>'Final data_for_R_analysis_Dryse'!J807</f>
        <v>R292</v>
      </c>
      <c r="J441">
        <f>IFERROR(INDEX('Green_rooibos initial weight'!$C$5:$C$1749,MATCH(H441, 'Green_rooibos initial weight'!$A$5:$A$1749,0)),"")</f>
        <v>1.9950000000000001</v>
      </c>
      <c r="K441">
        <f>IFERROR(INDEX('Green_rooibos initial weight'!$C$5:$C$1749,MATCH(I441, 'Green_rooibos initial weight'!$A$5:$A$1749,0)),"")</f>
        <v>2.2370000000000001</v>
      </c>
      <c r="L441" s="195">
        <f t="shared" si="48"/>
        <v>1.7452000000000001</v>
      </c>
      <c r="M441" s="195">
        <f t="shared" si="49"/>
        <v>1.9872000000000001</v>
      </c>
      <c r="N441" s="16">
        <f>IF('Dry_Litterbag Placem_Collection'!G148="N.A","",'Dry_Litterbag Placem_Collection'!G148)</f>
        <v>43010</v>
      </c>
      <c r="O441" s="195">
        <f>IF(IFERROR(INDEX('Both teabags AfterDry'!$D$1:$D$839,MATCH(H441,'Both teabags AfterDry'!$A$1:$A$839,0)),"")="N.A","",(IFERROR(INDEX('Both teabags AfterDry'!$D$1:$D$839,MATCH(H441,'Both teabags AfterDry'!$A$1:$A$839,0)),"")))</f>
        <v>1.6466000000000001</v>
      </c>
      <c r="P441" s="195">
        <f>IF(IFERROR(INDEX('Both teabags AfterDry'!$D$1:$D$839,MATCH(I441,'Both teabags AfterDry'!$A$1:$A$839,0)),"")="N.A","",(IFERROR(INDEX('Both teabags AfterDry'!$D$1:$D$839,MATCH(I441,'Both teabags AfterDry'!$A$1:$A$839,0)),"")))</f>
        <v>2.0505</v>
      </c>
      <c r="Q441" s="195">
        <f t="shared" si="50"/>
        <v>1.496</v>
      </c>
      <c r="R441" s="195">
        <f t="shared" si="50"/>
        <v>1.8998999999999999</v>
      </c>
      <c r="S441" s="195">
        <f t="shared" si="45"/>
        <v>0.14279165711666286</v>
      </c>
      <c r="T441" s="195">
        <f t="shared" si="51"/>
        <v>9.3611632694059255E-2</v>
      </c>
      <c r="U441" s="195">
        <f t="shared" si="46"/>
        <v>0.95606884057971009</v>
      </c>
      <c r="V441">
        <f t="shared" si="47"/>
        <v>71</v>
      </c>
      <c r="W441" s="195">
        <f t="shared" si="52"/>
        <v>0.83041370888757382</v>
      </c>
      <c r="X441" s="195">
        <f t="shared" si="53"/>
        <v>8.9231365162854882E-3</v>
      </c>
      <c r="Y441" s="255" t="str">
        <f>IF(ISNUMBER(SEARCH("C", 'Dry_Litterbag Placem_Collection'!V148)),"YES","NO")</f>
        <v>NO</v>
      </c>
      <c r="Z441" s="255" t="str">
        <f>IF(ISNUMBER(SEARCH("H", 'Dry_Litterbag Placem_Collection'!V148)),"YES","NO")</f>
        <v>NO</v>
      </c>
      <c r="AA441" s="255" t="str">
        <f>IF(ISNUMBER(SEARCH("R", 'Dry_Litterbag Placem_Collection'!V148)),"YES","NO")</f>
        <v>NO</v>
      </c>
      <c r="AB441" s="255" t="str">
        <f>IF(ISNUMBER(SEARCH("C", 'Dry_Litterbag Placem_Collection'!U148)),"YES","NO")</f>
        <v>NO</v>
      </c>
      <c r="AC441" s="255" t="str">
        <f>IF(ISNUMBER(SEARCH("H", 'Dry_Litterbag Placem_Collection'!U148)),"YES","NO")</f>
        <v>NO</v>
      </c>
      <c r="AD441" s="255" t="str">
        <f>IF(ISNUMBER(SEARCH("R", 'Dry_Litterbag Placem_Collection'!U148)),"YES","NO")</f>
        <v>NO</v>
      </c>
    </row>
    <row r="442" spans="2:30">
      <c r="B442" t="str">
        <f>'Final data_for_R_analysis_Dryse'!A588</f>
        <v>Dry</v>
      </c>
      <c r="C442" s="263">
        <f>'Final data_for_R_analysis_Dryse'!B588</f>
        <v>147</v>
      </c>
      <c r="D442" t="s">
        <v>3849</v>
      </c>
      <c r="E442" t="s">
        <v>25</v>
      </c>
      <c r="F442" s="386">
        <v>3</v>
      </c>
      <c r="G442" s="16">
        <f>'Dry_Litterbag Placem_Collection'!E149</f>
        <v>42939</v>
      </c>
      <c r="H442" s="92" t="str">
        <f>'Final data_for_R_analysis_Dryse'!J588</f>
        <v>G303</v>
      </c>
      <c r="I442" t="str">
        <f>'Final data_for_R_analysis_Dryse'!J808</f>
        <v>R243</v>
      </c>
      <c r="J442">
        <f>IFERROR(INDEX('Green_rooibos initial weight'!$C$5:$C$1749,MATCH(H442, 'Green_rooibos initial weight'!$A$5:$A$1749,0)),"")</f>
        <v>1.9850000000000001</v>
      </c>
      <c r="K442">
        <f>IFERROR(INDEX('Green_rooibos initial weight'!$C$5:$C$1749,MATCH(I442, 'Green_rooibos initial weight'!$A$5:$A$1749,0)),"")</f>
        <v>2.1680000000000001</v>
      </c>
      <c r="L442" s="195">
        <f t="shared" si="48"/>
        <v>1.7352000000000001</v>
      </c>
      <c r="M442" s="195">
        <f t="shared" si="49"/>
        <v>1.9182000000000001</v>
      </c>
      <c r="N442" s="16">
        <f>IF('Dry_Litterbag Placem_Collection'!G149="N.A","",'Dry_Litterbag Placem_Collection'!G149)</f>
        <v>43010</v>
      </c>
      <c r="O442" s="195">
        <f>IF(IFERROR(INDEX('Both teabags AfterDry'!$D$1:$D$839,MATCH(H442,'Both teabags AfterDry'!$A$1:$A$839,0)),"")="N.A","",(IFERROR(INDEX('Both teabags AfterDry'!$D$1:$D$839,MATCH(H442,'Both teabags AfterDry'!$A$1:$A$839,0)),"")))</f>
        <v>1.6654</v>
      </c>
      <c r="P442" s="195">
        <f>IF(IFERROR(INDEX('Both teabags AfterDry'!$D$1:$D$839,MATCH(I442,'Both teabags AfterDry'!$A$1:$A$839,0)),"")="N.A","",(IFERROR(INDEX('Both teabags AfterDry'!$D$1:$D$839,MATCH(I442,'Both teabags AfterDry'!$A$1:$A$839,0)),"")))</f>
        <v>1.9182999999999999</v>
      </c>
      <c r="Q442" s="195">
        <f t="shared" si="50"/>
        <v>1.5147999999999999</v>
      </c>
      <c r="R442" s="195">
        <f t="shared" si="50"/>
        <v>1.7676999999999998</v>
      </c>
      <c r="S442" s="195">
        <f t="shared" si="45"/>
        <v>0.12701705855232837</v>
      </c>
      <c r="T442" s="195">
        <f t="shared" si="51"/>
        <v>8.3270090642381542E-2</v>
      </c>
      <c r="U442" s="195">
        <f t="shared" si="46"/>
        <v>0.92154102804712734</v>
      </c>
      <c r="V442">
        <f t="shared" si="47"/>
        <v>71</v>
      </c>
      <c r="W442" s="195">
        <f t="shared" si="52"/>
        <v>0.84914838651742475</v>
      </c>
      <c r="X442" s="195">
        <f t="shared" si="53"/>
        <v>4.015718022430155E-2</v>
      </c>
      <c r="Y442" s="255" t="str">
        <f>IF(ISNUMBER(SEARCH("C", 'Dry_Litterbag Placem_Collection'!V149)),"YES","NO")</f>
        <v>NO</v>
      </c>
      <c r="Z442" s="255" t="str">
        <f>IF(ISNUMBER(SEARCH("H", 'Dry_Litterbag Placem_Collection'!V149)),"YES","NO")</f>
        <v>NO</v>
      </c>
      <c r="AA442" s="255" t="str">
        <f>IF(ISNUMBER(SEARCH("R", 'Dry_Litterbag Placem_Collection'!V149)),"YES","NO")</f>
        <v>NO</v>
      </c>
      <c r="AB442" s="255" t="str">
        <f>IF(ISNUMBER(SEARCH("C", 'Dry_Litterbag Placem_Collection'!U149)),"YES","NO")</f>
        <v>NO</v>
      </c>
      <c r="AC442" s="255" t="str">
        <f>IF(ISNUMBER(SEARCH("H", 'Dry_Litterbag Placem_Collection'!U149)),"YES","NO")</f>
        <v>NO</v>
      </c>
      <c r="AD442" s="255" t="str">
        <f>IF(ISNUMBER(SEARCH("R", 'Dry_Litterbag Placem_Collection'!U149)),"YES","NO")</f>
        <v>NO</v>
      </c>
    </row>
    <row r="443" spans="2:30">
      <c r="B443" t="str">
        <f>'Final data_for_R_analysis_Dryse'!A589</f>
        <v>Dry</v>
      </c>
      <c r="C443" s="263">
        <f>'Final data_for_R_analysis_Dryse'!B589</f>
        <v>148</v>
      </c>
      <c r="D443" t="s">
        <v>3849</v>
      </c>
      <c r="E443" t="s">
        <v>25</v>
      </c>
      <c r="F443" s="387">
        <v>4</v>
      </c>
      <c r="G443" s="16">
        <f>'Dry_Litterbag Placem_Collection'!E150</f>
        <v>42939</v>
      </c>
      <c r="H443" s="92" t="str">
        <f>'Final data_for_R_analysis_Dryse'!J589</f>
        <v>G161</v>
      </c>
      <c r="I443" t="str">
        <f>'Final data_for_R_analysis_Dryse'!J809</f>
        <v>R422</v>
      </c>
      <c r="J443">
        <f>IFERROR(INDEX('Green_rooibos initial weight'!$C$5:$C$1749,MATCH(H443, 'Green_rooibos initial weight'!$A$5:$A$1749,0)),"")</f>
        <v>2.0979999999999999</v>
      </c>
      <c r="K443">
        <f>IFERROR(INDEX('Green_rooibos initial weight'!$C$5:$C$1749,MATCH(I443, 'Green_rooibos initial weight'!$A$5:$A$1749,0)),"")</f>
        <v>2.1760000000000002</v>
      </c>
      <c r="L443" s="195">
        <f t="shared" si="48"/>
        <v>1.8481999999999998</v>
      </c>
      <c r="M443" s="195">
        <f t="shared" si="49"/>
        <v>1.9262000000000001</v>
      </c>
      <c r="N443" s="16">
        <f>IF('Dry_Litterbag Placem_Collection'!G150="N.A","",'Dry_Litterbag Placem_Collection'!G150)</f>
        <v>43010</v>
      </c>
      <c r="O443" s="195">
        <f>IF(IFERROR(INDEX('Both teabags AfterDry'!$D$1:$D$839,MATCH(H443,'Both teabags AfterDry'!$A$1:$A$839,0)),"")="N.A","",(IFERROR(INDEX('Both teabags AfterDry'!$D$1:$D$839,MATCH(H443,'Both teabags AfterDry'!$A$1:$A$839,0)),"")))</f>
        <v>1.7174</v>
      </c>
      <c r="P443" s="195">
        <f>IF(IFERROR(INDEX('Both teabags AfterDry'!$D$1:$D$839,MATCH(I443,'Both teabags AfterDry'!$A$1:$A$839,0)),"")="N.A","",(IFERROR(INDEX('Both teabags AfterDry'!$D$1:$D$839,MATCH(I443,'Both teabags AfterDry'!$A$1:$A$839,0)),"")))</f>
        <v>1.9601999999999999</v>
      </c>
      <c r="Q443" s="195">
        <f t="shared" si="50"/>
        <v>1.5668</v>
      </c>
      <c r="R443" s="195">
        <f t="shared" si="50"/>
        <v>1.8095999999999999</v>
      </c>
      <c r="S443" s="195">
        <f t="shared" si="45"/>
        <v>0.15225624932366622</v>
      </c>
      <c r="T443" s="195">
        <f t="shared" si="51"/>
        <v>9.981644848772421E-2</v>
      </c>
      <c r="U443" s="195">
        <f t="shared" si="46"/>
        <v>0.93946630671789</v>
      </c>
      <c r="V443">
        <f t="shared" si="47"/>
        <v>71</v>
      </c>
      <c r="W443" s="195">
        <f t="shared" si="52"/>
        <v>0.81917310056571702</v>
      </c>
      <c r="X443" s="195">
        <f t="shared" si="53"/>
        <v>1.3134469866306408E-2</v>
      </c>
      <c r="Y443" s="255" t="str">
        <f>IF(ISNUMBER(SEARCH("C", 'Dry_Litterbag Placem_Collection'!V150)),"YES","NO")</f>
        <v>NO</v>
      </c>
      <c r="Z443" s="255" t="str">
        <f>IF(ISNUMBER(SEARCH("H", 'Dry_Litterbag Placem_Collection'!V150)),"YES","NO")</f>
        <v>NO</v>
      </c>
      <c r="AA443" s="255" t="str">
        <f>IF(ISNUMBER(SEARCH("R", 'Dry_Litterbag Placem_Collection'!V150)),"YES","NO")</f>
        <v>NO</v>
      </c>
      <c r="AB443" s="255" t="str">
        <f>IF(ISNUMBER(SEARCH("C", 'Dry_Litterbag Placem_Collection'!U150)),"YES","NO")</f>
        <v>YES</v>
      </c>
      <c r="AC443" s="255" t="str">
        <f>IF(ISNUMBER(SEARCH("H", 'Dry_Litterbag Placem_Collection'!U150)),"YES","NO")</f>
        <v>NO</v>
      </c>
      <c r="AD443" s="255" t="str">
        <f>IF(ISNUMBER(SEARCH("R", 'Dry_Litterbag Placem_Collection'!U150)),"YES","NO")</f>
        <v>NO</v>
      </c>
    </row>
    <row r="444" spans="2:30">
      <c r="B444" t="str">
        <f>'Final data_for_R_analysis_Dryse'!A590</f>
        <v>Dry</v>
      </c>
      <c r="C444" s="263">
        <f>'Final data_for_R_analysis_Dryse'!B590</f>
        <v>149</v>
      </c>
      <c r="D444" t="s">
        <v>3849</v>
      </c>
      <c r="E444" t="s">
        <v>25</v>
      </c>
      <c r="F444" s="387">
        <v>5</v>
      </c>
      <c r="G444" s="16">
        <f>'Dry_Litterbag Placem_Collection'!E151</f>
        <v>42939</v>
      </c>
      <c r="H444" s="92" t="str">
        <f>'Final data_for_R_analysis_Dryse'!J590</f>
        <v>G464</v>
      </c>
      <c r="I444" t="str">
        <f>'Final data_for_R_analysis_Dryse'!J810</f>
        <v>R664</v>
      </c>
      <c r="J444">
        <f>IFERROR(INDEX('Green_rooibos initial weight'!$C$5:$C$1749,MATCH(H444, 'Green_rooibos initial weight'!$A$5:$A$1749,0)),"")</f>
        <v>1.964</v>
      </c>
      <c r="K444">
        <f>IFERROR(INDEX('Green_rooibos initial weight'!$C$5:$C$1749,MATCH(I444, 'Green_rooibos initial weight'!$A$5:$A$1749,0)),"")</f>
        <v>2.09</v>
      </c>
      <c r="L444" s="195">
        <f t="shared" si="48"/>
        <v>1.7141999999999999</v>
      </c>
      <c r="M444" s="195">
        <f t="shared" si="49"/>
        <v>1.8401999999999998</v>
      </c>
      <c r="N444" s="16">
        <f>IF('Dry_Litterbag Placem_Collection'!G151="N.A","",'Dry_Litterbag Placem_Collection'!G151)</f>
        <v>43010</v>
      </c>
      <c r="O444" s="195">
        <f>IF(IFERROR(INDEX('Both teabags AfterDry'!$D$1:$D$839,MATCH(H444,'Both teabags AfterDry'!$A$1:$A$839,0)),"")="N.A","",(IFERROR(INDEX('Both teabags AfterDry'!$D$1:$D$839,MATCH(H444,'Both teabags AfterDry'!$A$1:$A$839,0)),"")))</f>
        <v>1.571</v>
      </c>
      <c r="P444" s="195">
        <f>IF(IFERROR(INDEX('Both teabags AfterDry'!$D$1:$D$839,MATCH(I444,'Both teabags AfterDry'!$A$1:$A$839,0)),"")="N.A","",(IFERROR(INDEX('Both teabags AfterDry'!$D$1:$D$839,MATCH(I444,'Both teabags AfterDry'!$A$1:$A$839,0)),"")))</f>
        <v>1.8895999999999999</v>
      </c>
      <c r="Q444" s="195">
        <f t="shared" si="50"/>
        <v>1.4203999999999999</v>
      </c>
      <c r="R444" s="195">
        <f t="shared" si="50"/>
        <v>1.7389999999999999</v>
      </c>
      <c r="S444" s="195">
        <f t="shared" si="45"/>
        <v>0.17139190292847983</v>
      </c>
      <c r="T444" s="195">
        <f t="shared" si="51"/>
        <v>0.1123614375493122</v>
      </c>
      <c r="U444" s="195">
        <f t="shared" si="46"/>
        <v>0.94500597761112926</v>
      </c>
      <c r="V444">
        <f t="shared" si="47"/>
        <v>71</v>
      </c>
      <c r="W444" s="195">
        <f t="shared" si="52"/>
        <v>0.7964466711063185</v>
      </c>
      <c r="X444" s="195">
        <f t="shared" si="53"/>
        <v>9.4682300604145755E-3</v>
      </c>
      <c r="Y444" s="255" t="str">
        <f>IF(ISNUMBER(SEARCH("C", 'Dry_Litterbag Placem_Collection'!V151)),"YES","NO")</f>
        <v>NO</v>
      </c>
      <c r="Z444" s="255" t="str">
        <f>IF(ISNUMBER(SEARCH("H", 'Dry_Litterbag Placem_Collection'!V151)),"YES","NO")</f>
        <v>NO</v>
      </c>
      <c r="AA444" s="255" t="str">
        <f>IF(ISNUMBER(SEARCH("R", 'Dry_Litterbag Placem_Collection'!V151)),"YES","NO")</f>
        <v>NO</v>
      </c>
      <c r="AB444" s="255" t="str">
        <f>IF(ISNUMBER(SEARCH("C", 'Dry_Litterbag Placem_Collection'!U151)),"YES","NO")</f>
        <v>NO</v>
      </c>
      <c r="AC444" s="255" t="str">
        <f>IF(ISNUMBER(SEARCH("H", 'Dry_Litterbag Placem_Collection'!U151)),"YES","NO")</f>
        <v>NO</v>
      </c>
      <c r="AD444" s="255" t="str">
        <f>IF(ISNUMBER(SEARCH("R", 'Dry_Litterbag Placem_Collection'!U151)),"YES","NO")</f>
        <v>NO</v>
      </c>
    </row>
    <row r="445" spans="2:30">
      <c r="B445" t="str">
        <f>'Final data_for_R_analysis_Dryse'!A591</f>
        <v>Dry</v>
      </c>
      <c r="C445" s="263">
        <f>'Final data_for_R_analysis_Dryse'!B591</f>
        <v>150</v>
      </c>
      <c r="D445" t="s">
        <v>3849</v>
      </c>
      <c r="E445" t="s">
        <v>25</v>
      </c>
      <c r="F445" s="387">
        <v>6</v>
      </c>
      <c r="G445" s="16">
        <f>'Dry_Litterbag Placem_Collection'!E152</f>
        <v>42939</v>
      </c>
      <c r="H445" s="92" t="str">
        <f>'Final data_for_R_analysis_Dryse'!J591</f>
        <v>G843</v>
      </c>
      <c r="I445" t="str">
        <f>'Final data_for_R_analysis_Dryse'!J811</f>
        <v>R316</v>
      </c>
      <c r="J445">
        <f>IFERROR(INDEX('Green_rooibos initial weight'!$C$5:$C$1749,MATCH(H445, 'Green_rooibos initial weight'!$A$5:$A$1749,0)),"")</f>
        <v>1.964</v>
      </c>
      <c r="K445">
        <f>IFERROR(INDEX('Green_rooibos initial weight'!$C$5:$C$1749,MATCH(I445, 'Green_rooibos initial weight'!$A$5:$A$1749,0)),"")</f>
        <v>2.1779999999999999</v>
      </c>
      <c r="L445" s="195">
        <f t="shared" si="48"/>
        <v>1.7141999999999999</v>
      </c>
      <c r="M445" s="195">
        <f t="shared" si="49"/>
        <v>1.9281999999999999</v>
      </c>
      <c r="N445" s="16">
        <f>IF('Dry_Litterbag Placem_Collection'!G152="N.A","",'Dry_Litterbag Placem_Collection'!G152)</f>
        <v>43010</v>
      </c>
      <c r="O445" s="195" t="str">
        <f>IF(IFERROR(INDEX('Both teabags AfterDry'!$D$1:$D$839,MATCH(H445,'Both teabags AfterDry'!$A$1:$A$839,0)),"")="N.A","",(IFERROR(INDEX('Both teabags AfterDry'!$D$1:$D$839,MATCH(H445,'Both teabags AfterDry'!$A$1:$A$839,0)),"")))</f>
        <v/>
      </c>
      <c r="P445" s="195" t="str">
        <f>IF(IFERROR(INDEX('Both teabags AfterDry'!$D$1:$D$839,MATCH(I445,'Both teabags AfterDry'!$A$1:$A$839,0)),"")="N.A","",(IFERROR(INDEX('Both teabags AfterDry'!$D$1:$D$839,MATCH(I445,'Both teabags AfterDry'!$A$1:$A$839,0)),"")))</f>
        <v/>
      </c>
      <c r="Q445" s="195" t="str">
        <f t="shared" si="50"/>
        <v/>
      </c>
      <c r="R445" s="195" t="str">
        <f t="shared" si="50"/>
        <v/>
      </c>
      <c r="S445" s="195" t="str">
        <f t="shared" si="45"/>
        <v/>
      </c>
      <c r="T445" s="195" t="str">
        <f t="shared" si="51"/>
        <v/>
      </c>
      <c r="U445" s="195" t="str">
        <f t="shared" si="46"/>
        <v/>
      </c>
      <c r="V445">
        <f t="shared" si="47"/>
        <v>71</v>
      </c>
      <c r="W445" s="195" t="str">
        <f t="shared" si="52"/>
        <v/>
      </c>
      <c r="X445" s="195" t="str">
        <f t="shared" si="53"/>
        <v/>
      </c>
      <c r="Y445" s="255" t="str">
        <f>IF(ISNUMBER(SEARCH("C", 'Dry_Litterbag Placem_Collection'!V152)),"YES","NO")</f>
        <v>NO</v>
      </c>
      <c r="Z445" s="255" t="str">
        <f>IF(ISNUMBER(SEARCH("H", 'Dry_Litterbag Placem_Collection'!V152)),"YES","NO")</f>
        <v>NO</v>
      </c>
      <c r="AA445" s="255" t="str">
        <f>IF(ISNUMBER(SEARCH("R", 'Dry_Litterbag Placem_Collection'!V152)),"YES","NO")</f>
        <v>NO</v>
      </c>
      <c r="AB445" s="255" t="str">
        <f>IF(ISNUMBER(SEARCH("C", 'Dry_Litterbag Placem_Collection'!U152)),"YES","NO")</f>
        <v>NO</v>
      </c>
      <c r="AC445" s="255" t="str">
        <f>IF(ISNUMBER(SEARCH("H", 'Dry_Litterbag Placem_Collection'!U152)),"YES","NO")</f>
        <v>NO</v>
      </c>
      <c r="AD445" s="255" t="str">
        <f>IF(ISNUMBER(SEARCH("R", 'Dry_Litterbag Placem_Collection'!U152)),"YES","NO")</f>
        <v>NO</v>
      </c>
    </row>
    <row r="446" spans="2:30">
      <c r="B446" t="str">
        <f>'Final data_for_R_analysis_Dryse'!A592</f>
        <v>Dry</v>
      </c>
      <c r="C446" s="263">
        <f>'Final data_for_R_analysis_Dryse'!B592</f>
        <v>151</v>
      </c>
      <c r="D446" t="s">
        <v>3849</v>
      </c>
      <c r="E446" t="s">
        <v>25</v>
      </c>
      <c r="F446" s="387">
        <v>7</v>
      </c>
      <c r="G446" s="16">
        <f>'Dry_Litterbag Placem_Collection'!E153</f>
        <v>0</v>
      </c>
      <c r="H446" s="92" t="str">
        <f>'Final data_for_R_analysis_Dryse'!J592</f>
        <v/>
      </c>
      <c r="I446" t="str">
        <f>'Final data_for_R_analysis_Dryse'!J812</f>
        <v/>
      </c>
      <c r="J446" t="str">
        <f>IFERROR(INDEX('Green_rooibos initial weight'!$C$5:$C$1749,MATCH(H446, 'Green_rooibos initial weight'!$A$5:$A$1749,0)),"")</f>
        <v/>
      </c>
      <c r="K446" t="str">
        <f>IFERROR(INDEX('Green_rooibos initial weight'!$C$5:$C$1749,MATCH(I446, 'Green_rooibos initial weight'!$A$5:$A$1749,0)),"")</f>
        <v/>
      </c>
      <c r="L446" s="195" t="str">
        <f t="shared" si="48"/>
        <v/>
      </c>
      <c r="M446" s="195" t="str">
        <f t="shared" si="49"/>
        <v/>
      </c>
      <c r="N446" s="16">
        <f>IF('Dry_Litterbag Placem_Collection'!G153="N.A","",'Dry_Litterbag Placem_Collection'!G153)</f>
        <v>0</v>
      </c>
      <c r="O446" s="195" t="str">
        <f>IF(IFERROR(INDEX('Both teabags AfterDry'!$D$1:$D$839,MATCH(H446,'Both teabags AfterDry'!$A$1:$A$839,0)),"")="N.A","",(IFERROR(INDEX('Both teabags AfterDry'!$D$1:$D$839,MATCH(H446,'Both teabags AfterDry'!$A$1:$A$839,0)),"")))</f>
        <v/>
      </c>
      <c r="P446" s="195" t="str">
        <f>IF(IFERROR(INDEX('Both teabags AfterDry'!$D$1:$D$839,MATCH(I446,'Both teabags AfterDry'!$A$1:$A$839,0)),"")="N.A","",(IFERROR(INDEX('Both teabags AfterDry'!$D$1:$D$839,MATCH(I446,'Both teabags AfterDry'!$A$1:$A$839,0)),"")))</f>
        <v/>
      </c>
      <c r="Q446" s="195" t="str">
        <f t="shared" si="50"/>
        <v/>
      </c>
      <c r="R446" s="195" t="str">
        <f t="shared" si="50"/>
        <v/>
      </c>
      <c r="S446" s="195" t="str">
        <f t="shared" si="45"/>
        <v/>
      </c>
      <c r="T446" s="195" t="str">
        <f t="shared" si="51"/>
        <v/>
      </c>
      <c r="U446" s="195" t="str">
        <f t="shared" si="46"/>
        <v/>
      </c>
      <c r="V446" t="str">
        <f t="shared" si="47"/>
        <v/>
      </c>
      <c r="W446" s="195" t="str">
        <f t="shared" si="52"/>
        <v/>
      </c>
      <c r="X446" s="195" t="str">
        <f t="shared" si="53"/>
        <v/>
      </c>
      <c r="Y446" s="255" t="str">
        <f>IF(ISNUMBER(SEARCH("C", 'Dry_Litterbag Placem_Collection'!V153)),"YES","NO")</f>
        <v>NO</v>
      </c>
      <c r="Z446" s="255" t="str">
        <f>IF(ISNUMBER(SEARCH("H", 'Dry_Litterbag Placem_Collection'!V153)),"YES","NO")</f>
        <v>NO</v>
      </c>
      <c r="AA446" s="255" t="str">
        <f>IF(ISNUMBER(SEARCH("R", 'Dry_Litterbag Placem_Collection'!V153)),"YES","NO")</f>
        <v>NO</v>
      </c>
      <c r="AB446" s="255" t="str">
        <f>IF(ISNUMBER(SEARCH("C", 'Dry_Litterbag Placem_Collection'!U153)),"YES","NO")</f>
        <v>NO</v>
      </c>
      <c r="AC446" s="255" t="str">
        <f>IF(ISNUMBER(SEARCH("H", 'Dry_Litterbag Placem_Collection'!U153)),"YES","NO")</f>
        <v>NO</v>
      </c>
      <c r="AD446" s="255" t="str">
        <f>IF(ISNUMBER(SEARCH("R", 'Dry_Litterbag Placem_Collection'!U153)),"YES","NO")</f>
        <v>NO</v>
      </c>
    </row>
    <row r="447" spans="2:30">
      <c r="B447" t="str">
        <f>'Final data_for_R_analysis_Dryse'!A593</f>
        <v>Dry</v>
      </c>
      <c r="C447" s="263">
        <f>'Final data_for_R_analysis_Dryse'!B593</f>
        <v>152</v>
      </c>
      <c r="D447" t="s">
        <v>3849</v>
      </c>
      <c r="E447" t="s">
        <v>25</v>
      </c>
      <c r="F447" s="387">
        <v>8</v>
      </c>
      <c r="G447" s="16">
        <f>'Dry_Litterbag Placem_Collection'!E154</f>
        <v>42939</v>
      </c>
      <c r="H447" s="92" t="str">
        <f>'Final data_for_R_analysis_Dryse'!J593</f>
        <v>G617</v>
      </c>
      <c r="I447" t="str">
        <f>'Final data_for_R_analysis_Dryse'!J813</f>
        <v>R635</v>
      </c>
      <c r="J447">
        <f>IFERROR(INDEX('Green_rooibos initial weight'!$C$5:$C$1749,MATCH(H447, 'Green_rooibos initial weight'!$A$5:$A$1749,0)),"")</f>
        <v>2.0880000000000001</v>
      </c>
      <c r="K447">
        <f>IFERROR(INDEX('Green_rooibos initial weight'!$C$5:$C$1749,MATCH(I447, 'Green_rooibos initial weight'!$A$5:$A$1749,0)),"")</f>
        <v>2.1320000000000001</v>
      </c>
      <c r="L447" s="195">
        <f t="shared" si="48"/>
        <v>1.8382000000000001</v>
      </c>
      <c r="M447" s="195">
        <f t="shared" si="49"/>
        <v>1.8822000000000001</v>
      </c>
      <c r="N447" s="16">
        <f>IF('Dry_Litterbag Placem_Collection'!G154="N.A","",'Dry_Litterbag Placem_Collection'!G154)</f>
        <v>43010</v>
      </c>
      <c r="O447" s="195">
        <f>IF(IFERROR(INDEX('Both teabags AfterDry'!$D$1:$D$839,MATCH(H447,'Both teabags AfterDry'!$A$1:$A$839,0)),"")="N.A","",(IFERROR(INDEX('Both teabags AfterDry'!$D$1:$D$839,MATCH(H447,'Both teabags AfterDry'!$A$1:$A$839,0)),"")))</f>
        <v>1.3632</v>
      </c>
      <c r="P447" s="195">
        <f>IF(IFERROR(INDEX('Both teabags AfterDry'!$D$1:$D$839,MATCH(I447,'Both teabags AfterDry'!$A$1:$A$839,0)),"")="N.A","",(IFERROR(INDEX('Both teabags AfterDry'!$D$1:$D$839,MATCH(I447,'Both teabags AfterDry'!$A$1:$A$839,0)),"")))</f>
        <v>1.9524999999999999</v>
      </c>
      <c r="Q447" s="195">
        <f t="shared" si="50"/>
        <v>1.2125999999999999</v>
      </c>
      <c r="R447" s="195">
        <f t="shared" si="50"/>
        <v>1.8018999999999998</v>
      </c>
      <c r="S447" s="195">
        <f t="shared" si="45"/>
        <v>0.34033293439234036</v>
      </c>
      <c r="T447" s="195">
        <f t="shared" si="51"/>
        <v>0.22311612801018038</v>
      </c>
      <c r="U447" s="195">
        <f t="shared" si="46"/>
        <v>0.95733715864413971</v>
      </c>
      <c r="V447">
        <f t="shared" si="47"/>
        <v>71</v>
      </c>
      <c r="W447" s="195">
        <f t="shared" si="52"/>
        <v>0.59580411592358629</v>
      </c>
      <c r="X447" s="195">
        <f t="shared" si="53"/>
        <v>2.9890203485146674E-3</v>
      </c>
      <c r="Y447" s="255" t="str">
        <f>IF(ISNUMBER(SEARCH("C", 'Dry_Litterbag Placem_Collection'!V154)),"YES","NO")</f>
        <v>NO</v>
      </c>
      <c r="Z447" s="255" t="str">
        <f>IF(ISNUMBER(SEARCH("H", 'Dry_Litterbag Placem_Collection'!V154)),"YES","NO")</f>
        <v>NO</v>
      </c>
      <c r="AA447" s="255" t="str">
        <f>IF(ISNUMBER(SEARCH("R", 'Dry_Litterbag Placem_Collection'!V154)),"YES","NO")</f>
        <v>NO</v>
      </c>
      <c r="AB447" s="255" t="str">
        <f>IF(ISNUMBER(SEARCH("C", 'Dry_Litterbag Placem_Collection'!U154)),"YES","NO")</f>
        <v>NO</v>
      </c>
      <c r="AC447" s="255" t="str">
        <f>IF(ISNUMBER(SEARCH("H", 'Dry_Litterbag Placem_Collection'!U154)),"YES","NO")</f>
        <v>NO</v>
      </c>
      <c r="AD447" s="255" t="str">
        <f>IF(ISNUMBER(SEARCH("R", 'Dry_Litterbag Placem_Collection'!U154)),"YES","NO")</f>
        <v>NO</v>
      </c>
    </row>
    <row r="448" spans="2:30">
      <c r="B448" t="str">
        <f>'Final data_for_R_analysis_Dryse'!A594</f>
        <v>Dry</v>
      </c>
      <c r="C448" s="263">
        <f>'Final data_for_R_analysis_Dryse'!B594</f>
        <v>153</v>
      </c>
      <c r="D448" t="s">
        <v>3850</v>
      </c>
      <c r="E448" t="s">
        <v>25</v>
      </c>
      <c r="F448" s="386">
        <v>1</v>
      </c>
      <c r="G448" s="16">
        <f>'Dry_Litterbag Placem_Collection'!E155</f>
        <v>42939</v>
      </c>
      <c r="H448" s="92" t="str">
        <f>'Final data_for_R_analysis_Dryse'!J594</f>
        <v>G19</v>
      </c>
      <c r="I448" t="str">
        <f>'Final data_for_R_analysis_Dryse'!J814</f>
        <v>R651</v>
      </c>
      <c r="J448">
        <f>IFERROR(INDEX('Green_rooibos initial weight'!$C$5:$C$1749,MATCH(H448, 'Green_rooibos initial weight'!$A$5:$A$1749,0)),"")</f>
        <v>2.0659999999999998</v>
      </c>
      <c r="K448">
        <f>IFERROR(INDEX('Green_rooibos initial weight'!$C$5:$C$1749,MATCH(I448, 'Green_rooibos initial weight'!$A$5:$A$1749,0)),"")</f>
        <v>2.2349999999999999</v>
      </c>
      <c r="L448" s="195">
        <f t="shared" si="48"/>
        <v>1.8161999999999998</v>
      </c>
      <c r="M448" s="195">
        <f t="shared" si="49"/>
        <v>1.9851999999999999</v>
      </c>
      <c r="N448" s="16">
        <f>IF('Dry_Litterbag Placem_Collection'!G155="N.A","",'Dry_Litterbag Placem_Collection'!G155)</f>
        <v>43010</v>
      </c>
      <c r="O448" s="195">
        <f>IF(IFERROR(INDEX('Both teabags AfterDry'!$D$1:$D$839,MATCH(H448,'Both teabags AfterDry'!$A$1:$A$839,0)),"")="N.A","",(IFERROR(INDEX('Both teabags AfterDry'!$D$1:$D$839,MATCH(H448,'Both teabags AfterDry'!$A$1:$A$839,0)),"")))</f>
        <v>1.0404</v>
      </c>
      <c r="P448" s="195">
        <f>IF(IFERROR(INDEX('Both teabags AfterDry'!$D$1:$D$839,MATCH(I448,'Both teabags AfterDry'!$A$1:$A$839,0)),"")="N.A","",(IFERROR(INDEX('Both teabags AfterDry'!$D$1:$D$839,MATCH(I448,'Both teabags AfterDry'!$A$1:$A$839,0)),"")))</f>
        <v>2.0049000000000001</v>
      </c>
      <c r="Q448" s="195">
        <f t="shared" si="50"/>
        <v>0.88979999999999992</v>
      </c>
      <c r="R448" s="195">
        <f t="shared" si="50"/>
        <v>1.8543000000000001</v>
      </c>
      <c r="S448" s="195">
        <f t="shared" si="45"/>
        <v>0.5100759828212752</v>
      </c>
      <c r="T448" s="195">
        <f t="shared" si="51"/>
        <v>0.33439660631513535</v>
      </c>
      <c r="U448" s="195">
        <f t="shared" si="46"/>
        <v>0.93406205923836394</v>
      </c>
      <c r="V448">
        <f t="shared" si="47"/>
        <v>71</v>
      </c>
      <c r="W448" s="195">
        <f t="shared" si="52"/>
        <v>0.394209046530552</v>
      </c>
      <c r="X448" s="195">
        <f t="shared" si="53"/>
        <v>3.0933912151955337E-3</v>
      </c>
      <c r="Y448" s="255" t="str">
        <f>IF(ISNUMBER(SEARCH("C", 'Dry_Litterbag Placem_Collection'!V155)),"YES","NO")</f>
        <v>NO</v>
      </c>
      <c r="Z448" s="255" t="str">
        <f>IF(ISNUMBER(SEARCH("H", 'Dry_Litterbag Placem_Collection'!V155)),"YES","NO")</f>
        <v>NO</v>
      </c>
      <c r="AA448" s="255" t="str">
        <f>IF(ISNUMBER(SEARCH("R", 'Dry_Litterbag Placem_Collection'!V155)),"YES","NO")</f>
        <v>NO</v>
      </c>
      <c r="AB448" s="255" t="str">
        <f>IF(ISNUMBER(SEARCH("C", 'Dry_Litterbag Placem_Collection'!U155)),"YES","NO")</f>
        <v>NO</v>
      </c>
      <c r="AC448" s="255" t="str">
        <f>IF(ISNUMBER(SEARCH("H", 'Dry_Litterbag Placem_Collection'!U155)),"YES","NO")</f>
        <v>NO</v>
      </c>
      <c r="AD448" s="255" t="str">
        <f>IF(ISNUMBER(SEARCH("R", 'Dry_Litterbag Placem_Collection'!U155)),"YES","NO")</f>
        <v>NO</v>
      </c>
    </row>
    <row r="449" spans="2:30">
      <c r="B449" t="str">
        <f>'Final data_for_R_analysis_Dryse'!A595</f>
        <v>Dry</v>
      </c>
      <c r="C449" s="263">
        <f>'Final data_for_R_analysis_Dryse'!B595</f>
        <v>154</v>
      </c>
      <c r="D449" t="s">
        <v>3850</v>
      </c>
      <c r="E449" t="s">
        <v>25</v>
      </c>
      <c r="F449" s="386">
        <v>2</v>
      </c>
      <c r="G449" s="16">
        <f>'Dry_Litterbag Placem_Collection'!E156</f>
        <v>42939</v>
      </c>
      <c r="H449" s="92" t="str">
        <f>'Final data_for_R_analysis_Dryse'!J595</f>
        <v>G275</v>
      </c>
      <c r="I449" t="str">
        <f>'Final data_for_R_analysis_Dryse'!J815</f>
        <v>R367</v>
      </c>
      <c r="J449">
        <f>IFERROR(INDEX('Green_rooibos initial weight'!$C$5:$C$1749,MATCH(H449, 'Green_rooibos initial weight'!$A$5:$A$1749,0)),"")</f>
        <v>2.097</v>
      </c>
      <c r="K449">
        <f>IFERROR(INDEX('Green_rooibos initial weight'!$C$5:$C$1749,MATCH(I449, 'Green_rooibos initial weight'!$A$5:$A$1749,0)),"")</f>
        <v>2.165</v>
      </c>
      <c r="L449" s="195">
        <f t="shared" si="48"/>
        <v>1.8472</v>
      </c>
      <c r="M449" s="195">
        <f t="shared" si="49"/>
        <v>1.9152</v>
      </c>
      <c r="N449" s="16">
        <f>IF('Dry_Litterbag Placem_Collection'!G156="N.A","",'Dry_Litterbag Placem_Collection'!G156)</f>
        <v>43010</v>
      </c>
      <c r="O449" s="195">
        <f>IF(IFERROR(INDEX('Both teabags AfterDry'!$D$1:$D$839,MATCH(H449,'Both teabags AfterDry'!$A$1:$A$839,0)),"")="N.A","",(IFERROR(INDEX('Both teabags AfterDry'!$D$1:$D$839,MATCH(H449,'Both teabags AfterDry'!$A$1:$A$839,0)),"")))</f>
        <v>1.2171000000000001</v>
      </c>
      <c r="P449" s="195">
        <f>IF(IFERROR(INDEX('Both teabags AfterDry'!$D$1:$D$839,MATCH(I449,'Both teabags AfterDry'!$A$1:$A$839,0)),"")="N.A","",(IFERROR(INDEX('Both teabags AfterDry'!$D$1:$D$839,MATCH(I449,'Both teabags AfterDry'!$A$1:$A$839,0)),"")))</f>
        <v>1.8496999999999999</v>
      </c>
      <c r="Q449" s="195">
        <f t="shared" si="50"/>
        <v>1.0665</v>
      </c>
      <c r="R449" s="195">
        <f t="shared" si="50"/>
        <v>1.6990999999999998</v>
      </c>
      <c r="S449" s="195">
        <f t="shared" si="45"/>
        <v>0.42263967085318321</v>
      </c>
      <c r="T449" s="195">
        <f t="shared" si="51"/>
        <v>0.27707493861158811</v>
      </c>
      <c r="U449" s="195">
        <f t="shared" si="46"/>
        <v>0.88716583124477855</v>
      </c>
      <c r="V449">
        <f t="shared" si="47"/>
        <v>71</v>
      </c>
      <c r="W449" s="195">
        <f t="shared" si="52"/>
        <v>0.49805264744277522</v>
      </c>
      <c r="X449" s="195">
        <f t="shared" si="53"/>
        <v>7.3655569861496529E-3</v>
      </c>
      <c r="Y449" s="255" t="str">
        <f>IF(ISNUMBER(SEARCH("C", 'Dry_Litterbag Placem_Collection'!V156)),"YES","NO")</f>
        <v>NO</v>
      </c>
      <c r="Z449" s="255" t="str">
        <f>IF(ISNUMBER(SEARCH("H", 'Dry_Litterbag Placem_Collection'!V156)),"YES","NO")</f>
        <v>NO</v>
      </c>
      <c r="AA449" s="255" t="str">
        <f>IF(ISNUMBER(SEARCH("R", 'Dry_Litterbag Placem_Collection'!V156)),"YES","NO")</f>
        <v>NO</v>
      </c>
      <c r="AB449" s="255" t="str">
        <f>IF(ISNUMBER(SEARCH("C", 'Dry_Litterbag Placem_Collection'!U156)),"YES","NO")</f>
        <v>NO</v>
      </c>
      <c r="AC449" s="255" t="str">
        <f>IF(ISNUMBER(SEARCH("H", 'Dry_Litterbag Placem_Collection'!U156)),"YES","NO")</f>
        <v>NO</v>
      </c>
      <c r="AD449" s="255" t="str">
        <f>IF(ISNUMBER(SEARCH("R", 'Dry_Litterbag Placem_Collection'!U156)),"YES","NO")</f>
        <v>NO</v>
      </c>
    </row>
    <row r="450" spans="2:30">
      <c r="B450" t="str">
        <f>'Final data_for_R_analysis_Dryse'!A596</f>
        <v>Dry</v>
      </c>
      <c r="C450" s="263">
        <f>'Final data_for_R_analysis_Dryse'!B596</f>
        <v>155</v>
      </c>
      <c r="D450" t="s">
        <v>3850</v>
      </c>
      <c r="E450" t="s">
        <v>25</v>
      </c>
      <c r="F450" s="386">
        <v>3</v>
      </c>
      <c r="G450" s="16">
        <f>'Dry_Litterbag Placem_Collection'!E157</f>
        <v>42939</v>
      </c>
      <c r="H450" s="92" t="str">
        <f>'Final data_for_R_analysis_Dryse'!J596</f>
        <v>G289</v>
      </c>
      <c r="I450" t="str">
        <f>'Final data_for_R_analysis_Dryse'!J816</f>
        <v>R617</v>
      </c>
      <c r="J450">
        <f>IFERROR(INDEX('Green_rooibos initial weight'!$C$5:$C$1749,MATCH(H450, 'Green_rooibos initial weight'!$A$5:$A$1749,0)),"")</f>
        <v>2.093</v>
      </c>
      <c r="K450">
        <f>IFERROR(INDEX('Green_rooibos initial weight'!$C$5:$C$1749,MATCH(I450, 'Green_rooibos initial weight'!$A$5:$A$1749,0)),"")</f>
        <v>2.2010000000000001</v>
      </c>
      <c r="L450" s="195">
        <f t="shared" si="48"/>
        <v>1.8431999999999999</v>
      </c>
      <c r="M450" s="195">
        <f t="shared" si="49"/>
        <v>1.9512</v>
      </c>
      <c r="N450" s="16">
        <f>IF('Dry_Litterbag Placem_Collection'!G157="N.A","",'Dry_Litterbag Placem_Collection'!G157)</f>
        <v>43010</v>
      </c>
      <c r="O450" s="195">
        <f>IF(IFERROR(INDEX('Both teabags AfterDry'!$D$1:$D$839,MATCH(H450,'Both teabags AfterDry'!$A$1:$A$839,0)),"")="N.A","",(IFERROR(INDEX('Both teabags AfterDry'!$D$1:$D$839,MATCH(H450,'Both teabags AfterDry'!$A$1:$A$839,0)),"")))</f>
        <v>1.2491000000000001</v>
      </c>
      <c r="P450" s="195">
        <f>IF(IFERROR(INDEX('Both teabags AfterDry'!$D$1:$D$839,MATCH(I450,'Both teabags AfterDry'!$A$1:$A$839,0)),"")="N.A","",(IFERROR(INDEX('Both teabags AfterDry'!$D$1:$D$839,MATCH(I450,'Both teabags AfterDry'!$A$1:$A$839,0)),"")))</f>
        <v>1.8621000000000001</v>
      </c>
      <c r="Q450" s="195">
        <f t="shared" si="50"/>
        <v>1.0985</v>
      </c>
      <c r="R450" s="195">
        <f t="shared" si="50"/>
        <v>1.7115</v>
      </c>
      <c r="S450" s="195">
        <f t="shared" si="45"/>
        <v>0.40402560763888884</v>
      </c>
      <c r="T450" s="195">
        <f t="shared" si="51"/>
        <v>0.26487189479414086</v>
      </c>
      <c r="U450" s="195">
        <f t="shared" si="46"/>
        <v>0.87715252152521528</v>
      </c>
      <c r="V450">
        <f t="shared" si="47"/>
        <v>71</v>
      </c>
      <c r="W450" s="195">
        <f t="shared" si="52"/>
        <v>0.52015961088017959</v>
      </c>
      <c r="X450" s="195">
        <f t="shared" si="53"/>
        <v>8.7781310493058803E-3</v>
      </c>
      <c r="Y450" s="255" t="str">
        <f>IF(ISNUMBER(SEARCH("C", 'Dry_Litterbag Placem_Collection'!V157)),"YES","NO")</f>
        <v>NO</v>
      </c>
      <c r="Z450" s="255" t="str">
        <f>IF(ISNUMBER(SEARCH("H", 'Dry_Litterbag Placem_Collection'!V157)),"YES","NO")</f>
        <v>NO</v>
      </c>
      <c r="AA450" s="255" t="str">
        <f>IF(ISNUMBER(SEARCH("R", 'Dry_Litterbag Placem_Collection'!V157)),"YES","NO")</f>
        <v>NO</v>
      </c>
      <c r="AB450" s="255" t="str">
        <f>IF(ISNUMBER(SEARCH("C", 'Dry_Litterbag Placem_Collection'!U157)),"YES","NO")</f>
        <v>NO</v>
      </c>
      <c r="AC450" s="255" t="str">
        <f>IF(ISNUMBER(SEARCH("H", 'Dry_Litterbag Placem_Collection'!U157)),"YES","NO")</f>
        <v>NO</v>
      </c>
      <c r="AD450" s="255" t="str">
        <f>IF(ISNUMBER(SEARCH("R", 'Dry_Litterbag Placem_Collection'!U157)),"YES","NO")</f>
        <v>NO</v>
      </c>
    </row>
    <row r="451" spans="2:30">
      <c r="B451" t="str">
        <f>'Final data_for_R_analysis_Dryse'!A597</f>
        <v>Dry</v>
      </c>
      <c r="C451" s="263">
        <f>'Final data_for_R_analysis_Dryse'!B597</f>
        <v>156</v>
      </c>
      <c r="D451" t="s">
        <v>3850</v>
      </c>
      <c r="E451" t="s">
        <v>25</v>
      </c>
      <c r="F451" s="387">
        <v>4</v>
      </c>
      <c r="G451" s="16">
        <f>'Dry_Litterbag Placem_Collection'!E158</f>
        <v>42939</v>
      </c>
      <c r="H451" s="92" t="str">
        <f>'Final data_for_R_analysis_Dryse'!J597</f>
        <v>G65</v>
      </c>
      <c r="I451" t="str">
        <f>'Final data_for_R_analysis_Dryse'!J817</f>
        <v>R84</v>
      </c>
      <c r="J451">
        <f>IFERROR(INDEX('Green_rooibos initial weight'!$C$5:$C$1749,MATCH(H451, 'Green_rooibos initial weight'!$A$5:$A$1749,0)),"")</f>
        <v>2.0750000000000002</v>
      </c>
      <c r="K451">
        <f>IFERROR(INDEX('Green_rooibos initial weight'!$C$5:$C$1749,MATCH(I451, 'Green_rooibos initial weight'!$A$5:$A$1749,0)),"")</f>
        <v>2.1629999999999998</v>
      </c>
      <c r="L451" s="195">
        <f t="shared" si="48"/>
        <v>1.8252000000000002</v>
      </c>
      <c r="M451" s="195">
        <f t="shared" si="49"/>
        <v>1.9131999999999998</v>
      </c>
      <c r="N451" s="16">
        <f>IF('Dry_Litterbag Placem_Collection'!G158="N.A","",'Dry_Litterbag Placem_Collection'!G158)</f>
        <v>43010</v>
      </c>
      <c r="O451" s="195">
        <f>IF(IFERROR(INDEX('Both teabags AfterDry'!$D$1:$D$839,MATCH(H451,'Both teabags AfterDry'!$A$1:$A$839,0)),"")="N.A","",(IFERROR(INDEX('Both teabags AfterDry'!$D$1:$D$839,MATCH(H451,'Both teabags AfterDry'!$A$1:$A$839,0)),"")))</f>
        <v>1.0561</v>
      </c>
      <c r="P451" s="195">
        <f>IF(IFERROR(INDEX('Both teabags AfterDry'!$D$1:$D$839,MATCH(I451,'Both teabags AfterDry'!$A$1:$A$839,0)),"")="N.A","",(IFERROR(INDEX('Both teabags AfterDry'!$D$1:$D$839,MATCH(I451,'Both teabags AfterDry'!$A$1:$A$839,0)),"")))</f>
        <v>1.8827</v>
      </c>
      <c r="Q451" s="195">
        <f t="shared" si="50"/>
        <v>0.90549999999999997</v>
      </c>
      <c r="R451" s="195">
        <f t="shared" si="50"/>
        <v>1.7321</v>
      </c>
      <c r="S451" s="195">
        <f t="shared" si="45"/>
        <v>0.50388998465921553</v>
      </c>
      <c r="T451" s="195">
        <f t="shared" si="51"/>
        <v>0.33034117759131476</v>
      </c>
      <c r="U451" s="195">
        <f t="shared" si="46"/>
        <v>0.90534183566799087</v>
      </c>
      <c r="V451">
        <f t="shared" si="47"/>
        <v>71</v>
      </c>
      <c r="W451" s="195">
        <f t="shared" si="52"/>
        <v>0.40155583769689362</v>
      </c>
      <c r="X451" s="195">
        <f t="shared" si="53"/>
        <v>4.7554683641648386E-3</v>
      </c>
      <c r="Y451" s="255" t="str">
        <f>IF(ISNUMBER(SEARCH("C", 'Dry_Litterbag Placem_Collection'!V158)),"YES","NO")</f>
        <v>NO</v>
      </c>
      <c r="Z451" s="255" t="str">
        <f>IF(ISNUMBER(SEARCH("H", 'Dry_Litterbag Placem_Collection'!V158)),"YES","NO")</f>
        <v>NO</v>
      </c>
      <c r="AA451" s="255" t="str">
        <f>IF(ISNUMBER(SEARCH("R", 'Dry_Litterbag Placem_Collection'!V158)),"YES","NO")</f>
        <v>NO</v>
      </c>
      <c r="AB451" s="255" t="str">
        <f>IF(ISNUMBER(SEARCH("C", 'Dry_Litterbag Placem_Collection'!U158)),"YES","NO")</f>
        <v>NO</v>
      </c>
      <c r="AC451" s="255" t="str">
        <f>IF(ISNUMBER(SEARCH("H", 'Dry_Litterbag Placem_Collection'!U158)),"YES","NO")</f>
        <v>NO</v>
      </c>
      <c r="AD451" s="255" t="str">
        <f>IF(ISNUMBER(SEARCH("R", 'Dry_Litterbag Placem_Collection'!U158)),"YES","NO")</f>
        <v>NO</v>
      </c>
    </row>
    <row r="452" spans="2:30">
      <c r="B452" t="str">
        <f>'Final data_for_R_analysis_Dryse'!A598</f>
        <v>Dry</v>
      </c>
      <c r="C452" s="263">
        <f>'Final data_for_R_analysis_Dryse'!B598</f>
        <v>157</v>
      </c>
      <c r="D452" t="s">
        <v>3850</v>
      </c>
      <c r="E452" t="s">
        <v>25</v>
      </c>
      <c r="F452" s="387">
        <v>5</v>
      </c>
      <c r="G452" s="16">
        <f>'Dry_Litterbag Placem_Collection'!E159</f>
        <v>42939</v>
      </c>
      <c r="H452" s="92" t="str">
        <f>'Final data_for_R_analysis_Dryse'!J598</f>
        <v>G33</v>
      </c>
      <c r="I452" t="str">
        <f>'Final data_for_R_analysis_Dryse'!J818</f>
        <v>R248</v>
      </c>
      <c r="J452">
        <f>IFERROR(INDEX('Green_rooibos initial weight'!$C$5:$C$1749,MATCH(H452, 'Green_rooibos initial weight'!$A$5:$A$1749,0)),"")</f>
        <v>2.0579999999999998</v>
      </c>
      <c r="K452">
        <f>IFERROR(INDEX('Green_rooibos initial weight'!$C$5:$C$1749,MATCH(I452, 'Green_rooibos initial weight'!$A$5:$A$1749,0)),"")</f>
        <v>2.1829999999999998</v>
      </c>
      <c r="L452" s="195">
        <f t="shared" si="48"/>
        <v>1.8081999999999998</v>
      </c>
      <c r="M452" s="195">
        <f t="shared" si="49"/>
        <v>1.9331999999999998</v>
      </c>
      <c r="N452" s="16">
        <f>IF('Dry_Litterbag Placem_Collection'!G159="N.A","",'Dry_Litterbag Placem_Collection'!G159)</f>
        <v>43010</v>
      </c>
      <c r="O452" s="195" t="str">
        <f>IF(IFERROR(INDEX('Both teabags AfterDry'!$D$1:$D$839,MATCH(H452,'Both teabags AfterDry'!$A$1:$A$839,0)),"")="N.A","",(IFERROR(INDEX('Both teabags AfterDry'!$D$1:$D$839,MATCH(H452,'Both teabags AfterDry'!$A$1:$A$839,0)),"")))</f>
        <v/>
      </c>
      <c r="P452" s="195" t="str">
        <f>IF(IFERROR(INDEX('Both teabags AfterDry'!$D$1:$D$839,MATCH(I452,'Both teabags AfterDry'!$A$1:$A$839,0)),"")="N.A","",(IFERROR(INDEX('Both teabags AfterDry'!$D$1:$D$839,MATCH(I452,'Both teabags AfterDry'!$A$1:$A$839,0)),"")))</f>
        <v/>
      </c>
      <c r="Q452" s="195" t="str">
        <f t="shared" si="50"/>
        <v/>
      </c>
      <c r="R452" s="195" t="str">
        <f t="shared" si="50"/>
        <v/>
      </c>
      <c r="S452" s="195" t="str">
        <f t="shared" si="45"/>
        <v/>
      </c>
      <c r="T452" s="195" t="str">
        <f t="shared" si="51"/>
        <v/>
      </c>
      <c r="U452" s="195" t="str">
        <f t="shared" si="46"/>
        <v/>
      </c>
      <c r="V452">
        <f t="shared" si="47"/>
        <v>71</v>
      </c>
      <c r="W452" s="195" t="str">
        <f t="shared" si="52"/>
        <v/>
      </c>
      <c r="X452" s="195" t="str">
        <f t="shared" si="53"/>
        <v/>
      </c>
      <c r="Y452" s="255" t="str">
        <f>IF(ISNUMBER(SEARCH("C", 'Dry_Litterbag Placem_Collection'!V159)),"YES","NO")</f>
        <v>NO</v>
      </c>
      <c r="Z452" s="255" t="str">
        <f>IF(ISNUMBER(SEARCH("H", 'Dry_Litterbag Placem_Collection'!V159)),"YES","NO")</f>
        <v>NO</v>
      </c>
      <c r="AA452" s="255" t="str">
        <f>IF(ISNUMBER(SEARCH("R", 'Dry_Litterbag Placem_Collection'!V159)),"YES","NO")</f>
        <v>NO</v>
      </c>
      <c r="AB452" s="255" t="str">
        <f>IF(ISNUMBER(SEARCH("C", 'Dry_Litterbag Placem_Collection'!U159)),"YES","NO")</f>
        <v>NO</v>
      </c>
      <c r="AC452" s="255" t="str">
        <f>IF(ISNUMBER(SEARCH("H", 'Dry_Litterbag Placem_Collection'!U159)),"YES","NO")</f>
        <v>NO</v>
      </c>
      <c r="AD452" s="255" t="str">
        <f>IF(ISNUMBER(SEARCH("R", 'Dry_Litterbag Placem_Collection'!U159)),"YES","NO")</f>
        <v>NO</v>
      </c>
    </row>
    <row r="453" spans="2:30">
      <c r="B453" t="str">
        <f>'Final data_for_R_analysis_Dryse'!A599</f>
        <v>Dry</v>
      </c>
      <c r="C453" s="263">
        <f>'Final data_for_R_analysis_Dryse'!B599</f>
        <v>158</v>
      </c>
      <c r="D453" t="s">
        <v>3850</v>
      </c>
      <c r="E453" t="s">
        <v>25</v>
      </c>
      <c r="F453" s="387">
        <v>6</v>
      </c>
      <c r="G453" s="16">
        <f>'Dry_Litterbag Placem_Collection'!E160</f>
        <v>42939</v>
      </c>
      <c r="H453" s="92" t="str">
        <f>'Final data_for_R_analysis_Dryse'!J599</f>
        <v>G153</v>
      </c>
      <c r="I453" t="str">
        <f>'Final data_for_R_analysis_Dryse'!J819</f>
        <v>R238</v>
      </c>
      <c r="J453">
        <f>IFERROR(INDEX('Green_rooibos initial weight'!$C$5:$C$1749,MATCH(H453, 'Green_rooibos initial weight'!$A$5:$A$1749,0)),"")</f>
        <v>2.0529999999999999</v>
      </c>
      <c r="K453">
        <f>IFERROR(INDEX('Green_rooibos initial weight'!$C$5:$C$1749,MATCH(I453, 'Green_rooibos initial weight'!$A$5:$A$1749,0)),"")</f>
        <v>2.2389999999999999</v>
      </c>
      <c r="L453" s="195">
        <f t="shared" si="48"/>
        <v>1.8031999999999999</v>
      </c>
      <c r="M453" s="195">
        <f t="shared" si="49"/>
        <v>1.9891999999999999</v>
      </c>
      <c r="N453" s="16">
        <f>IF('Dry_Litterbag Placem_Collection'!G160="N.A","",'Dry_Litterbag Placem_Collection'!G160)</f>
        <v>43010</v>
      </c>
      <c r="O453" s="195">
        <f>IF(IFERROR(INDEX('Both teabags AfterDry'!$D$1:$D$839,MATCH(H453,'Both teabags AfterDry'!$A$1:$A$839,0)),"")="N.A","",(IFERROR(INDEX('Both teabags AfterDry'!$D$1:$D$839,MATCH(H453,'Both teabags AfterDry'!$A$1:$A$839,0)),"")))</f>
        <v>0.87609999999999999</v>
      </c>
      <c r="P453" s="195">
        <f>IF(IFERROR(INDEX('Both teabags AfterDry'!$D$1:$D$839,MATCH(I453,'Both teabags AfterDry'!$A$1:$A$839,0)),"")="N.A","",(IFERROR(INDEX('Both teabags AfterDry'!$D$1:$D$839,MATCH(I453,'Both teabags AfterDry'!$A$1:$A$839,0)),"")))</f>
        <v>1.7898000000000001</v>
      </c>
      <c r="Q453" s="195">
        <f t="shared" si="50"/>
        <v>0.72550000000000003</v>
      </c>
      <c r="R453" s="195">
        <f t="shared" si="50"/>
        <v>1.6392</v>
      </c>
      <c r="S453" s="195">
        <f t="shared" si="45"/>
        <v>0.59765971606033719</v>
      </c>
      <c r="T453" s="195">
        <f t="shared" si="51"/>
        <v>0.3918149207426439</v>
      </c>
      <c r="U453" s="195">
        <f t="shared" si="46"/>
        <v>0.82404986929418866</v>
      </c>
      <c r="V453">
        <f t="shared" si="47"/>
        <v>71</v>
      </c>
      <c r="W453" s="195">
        <f t="shared" si="52"/>
        <v>0.29019036097347128</v>
      </c>
      <c r="X453" s="195">
        <f t="shared" si="53"/>
        <v>8.3963006718876E-3</v>
      </c>
      <c r="Y453" s="255" t="str">
        <f>IF(ISNUMBER(SEARCH("C", 'Dry_Litterbag Placem_Collection'!V160)),"YES","NO")</f>
        <v>NO</v>
      </c>
      <c r="Z453" s="255" t="str">
        <f>IF(ISNUMBER(SEARCH("H", 'Dry_Litterbag Placem_Collection'!V160)),"YES","NO")</f>
        <v>NO</v>
      </c>
      <c r="AA453" s="255" t="str">
        <f>IF(ISNUMBER(SEARCH("R", 'Dry_Litterbag Placem_Collection'!V160)),"YES","NO")</f>
        <v>NO</v>
      </c>
      <c r="AB453" s="255" t="str">
        <f>IF(ISNUMBER(SEARCH("C", 'Dry_Litterbag Placem_Collection'!U160)),"YES","NO")</f>
        <v>NO</v>
      </c>
      <c r="AC453" s="255" t="str">
        <f>IF(ISNUMBER(SEARCH("H", 'Dry_Litterbag Placem_Collection'!U160)),"YES","NO")</f>
        <v>NO</v>
      </c>
      <c r="AD453" s="255" t="str">
        <f>IF(ISNUMBER(SEARCH("R", 'Dry_Litterbag Placem_Collection'!U160)),"YES","NO")</f>
        <v>NO</v>
      </c>
    </row>
    <row r="454" spans="2:30">
      <c r="B454" t="str">
        <f>'Final data_for_R_analysis_Dryse'!A600</f>
        <v>Dry</v>
      </c>
      <c r="C454" s="263">
        <f>'Final data_for_R_analysis_Dryse'!B600</f>
        <v>159</v>
      </c>
      <c r="D454" t="s">
        <v>3850</v>
      </c>
      <c r="E454" t="s">
        <v>25</v>
      </c>
      <c r="F454" s="387">
        <v>7</v>
      </c>
      <c r="G454" s="16">
        <f>'Dry_Litterbag Placem_Collection'!E161</f>
        <v>0</v>
      </c>
      <c r="H454" s="92" t="str">
        <f>'Final data_for_R_analysis_Dryse'!J600</f>
        <v/>
      </c>
      <c r="I454" t="str">
        <f>'Final data_for_R_analysis_Dryse'!J820</f>
        <v/>
      </c>
      <c r="J454" t="str">
        <f>IFERROR(INDEX('Green_rooibos initial weight'!$C$5:$C$1749,MATCH(H454, 'Green_rooibos initial weight'!$A$5:$A$1749,0)),"")</f>
        <v/>
      </c>
      <c r="K454" t="str">
        <f>IFERROR(INDEX('Green_rooibos initial weight'!$C$5:$C$1749,MATCH(I454, 'Green_rooibos initial weight'!$A$5:$A$1749,0)),"")</f>
        <v/>
      </c>
      <c r="L454" s="195" t="str">
        <f t="shared" si="48"/>
        <v/>
      </c>
      <c r="M454" s="195" t="str">
        <f t="shared" si="49"/>
        <v/>
      </c>
      <c r="N454" s="16">
        <f>IF('Dry_Litterbag Placem_Collection'!G161="N.A","",'Dry_Litterbag Placem_Collection'!G161)</f>
        <v>0</v>
      </c>
      <c r="O454" s="195" t="str">
        <f>IF(IFERROR(INDEX('Both teabags AfterDry'!$D$1:$D$839,MATCH(H454,'Both teabags AfterDry'!$A$1:$A$839,0)),"")="N.A","",(IFERROR(INDEX('Both teabags AfterDry'!$D$1:$D$839,MATCH(H454,'Both teabags AfterDry'!$A$1:$A$839,0)),"")))</f>
        <v/>
      </c>
      <c r="P454" s="195" t="str">
        <f>IF(IFERROR(INDEX('Both teabags AfterDry'!$D$1:$D$839,MATCH(I454,'Both teabags AfterDry'!$A$1:$A$839,0)),"")="N.A","",(IFERROR(INDEX('Both teabags AfterDry'!$D$1:$D$839,MATCH(I454,'Both teabags AfterDry'!$A$1:$A$839,0)),"")))</f>
        <v/>
      </c>
      <c r="Q454" s="195" t="str">
        <f t="shared" si="50"/>
        <v/>
      </c>
      <c r="R454" s="195" t="str">
        <f t="shared" si="50"/>
        <v/>
      </c>
      <c r="S454" s="195" t="str">
        <f t="shared" si="45"/>
        <v/>
      </c>
      <c r="T454" s="195" t="str">
        <f t="shared" si="51"/>
        <v/>
      </c>
      <c r="U454" s="195" t="str">
        <f t="shared" si="46"/>
        <v/>
      </c>
      <c r="V454" t="str">
        <f t="shared" si="47"/>
        <v/>
      </c>
      <c r="W454" s="195" t="str">
        <f t="shared" si="52"/>
        <v/>
      </c>
      <c r="X454" s="195" t="str">
        <f t="shared" si="53"/>
        <v/>
      </c>
      <c r="Y454" s="255" t="str">
        <f>IF(ISNUMBER(SEARCH("C", 'Dry_Litterbag Placem_Collection'!V161)),"YES","NO")</f>
        <v>NO</v>
      </c>
      <c r="Z454" s="255" t="str">
        <f>IF(ISNUMBER(SEARCH("H", 'Dry_Litterbag Placem_Collection'!V161)),"YES","NO")</f>
        <v>NO</v>
      </c>
      <c r="AA454" s="255" t="str">
        <f>IF(ISNUMBER(SEARCH("R", 'Dry_Litterbag Placem_Collection'!V161)),"YES","NO")</f>
        <v>NO</v>
      </c>
      <c r="AB454" s="255" t="str">
        <f>IF(ISNUMBER(SEARCH("C", 'Dry_Litterbag Placem_Collection'!U161)),"YES","NO")</f>
        <v>NO</v>
      </c>
      <c r="AC454" s="255" t="str">
        <f>IF(ISNUMBER(SEARCH("H", 'Dry_Litterbag Placem_Collection'!U161)),"YES","NO")</f>
        <v>NO</v>
      </c>
      <c r="AD454" s="255" t="str">
        <f>IF(ISNUMBER(SEARCH("R", 'Dry_Litterbag Placem_Collection'!U161)),"YES","NO")</f>
        <v>NO</v>
      </c>
    </row>
    <row r="455" spans="2:30">
      <c r="B455" t="str">
        <f>'Final data_for_R_analysis_Dryse'!A601</f>
        <v>Dry</v>
      </c>
      <c r="C455" s="263">
        <f>'Final data_for_R_analysis_Dryse'!B601</f>
        <v>160</v>
      </c>
      <c r="D455" t="s">
        <v>3850</v>
      </c>
      <c r="E455" t="s">
        <v>25</v>
      </c>
      <c r="F455" s="387">
        <v>8</v>
      </c>
      <c r="G455" s="16">
        <f>'Dry_Litterbag Placem_Collection'!E162</f>
        <v>42939</v>
      </c>
      <c r="H455" s="92" t="str">
        <f>'Final data_for_R_analysis_Dryse'!J601</f>
        <v>G175</v>
      </c>
      <c r="I455" t="str">
        <f>'Final data_for_R_analysis_Dryse'!J821</f>
        <v>R350</v>
      </c>
      <c r="J455">
        <f>IFERROR(INDEX('Green_rooibos initial weight'!$C$5:$C$1749,MATCH(H455, 'Green_rooibos initial weight'!$A$5:$A$1749,0)),"")</f>
        <v>1.9930000000000001</v>
      </c>
      <c r="K455">
        <f>IFERROR(INDEX('Green_rooibos initial weight'!$C$5:$C$1749,MATCH(I455, 'Green_rooibos initial weight'!$A$5:$A$1749,0)),"")</f>
        <v>2.21</v>
      </c>
      <c r="L455" s="195">
        <f t="shared" si="48"/>
        <v>1.7432000000000001</v>
      </c>
      <c r="M455" s="195">
        <f t="shared" si="49"/>
        <v>1.9601999999999999</v>
      </c>
      <c r="N455" s="16">
        <f>IF('Dry_Litterbag Placem_Collection'!G162="N.A","",'Dry_Litterbag Placem_Collection'!G162)</f>
        <v>43010</v>
      </c>
      <c r="O455" s="195">
        <f>IF(IFERROR(INDEX('Both teabags AfterDry'!$D$1:$D$839,MATCH(H455,'Both teabags AfterDry'!$A$1:$A$839,0)),"")="N.A","",(IFERROR(INDEX('Both teabags AfterDry'!$D$1:$D$839,MATCH(H455,'Both teabags AfterDry'!$A$1:$A$839,0)),"")))</f>
        <v>1.2042999999999999</v>
      </c>
      <c r="P455" s="195">
        <f>IF(IFERROR(INDEX('Both teabags AfterDry'!$D$1:$D$839,MATCH(I455,'Both teabags AfterDry'!$A$1:$A$839,0)),"")="N.A","",(IFERROR(INDEX('Both teabags AfterDry'!$D$1:$D$839,MATCH(I455,'Both teabags AfterDry'!$A$1:$A$839,0)),"")))</f>
        <v>1.9824999999999999</v>
      </c>
      <c r="Q455" s="195">
        <f t="shared" si="50"/>
        <v>1.0536999999999999</v>
      </c>
      <c r="R455" s="195">
        <f t="shared" si="50"/>
        <v>1.8318999999999999</v>
      </c>
      <c r="S455" s="195">
        <f t="shared" si="45"/>
        <v>0.39553694355208824</v>
      </c>
      <c r="T455" s="195">
        <f t="shared" si="51"/>
        <v>0.25930687985837614</v>
      </c>
      <c r="U455" s="195">
        <f t="shared" si="46"/>
        <v>0.93454749515355573</v>
      </c>
      <c r="V455">
        <f t="shared" si="47"/>
        <v>71</v>
      </c>
      <c r="W455" s="195">
        <f t="shared" si="52"/>
        <v>0.53024115967685481</v>
      </c>
      <c r="X455" s="195">
        <f t="shared" si="53"/>
        <v>4.0972534042167941E-3</v>
      </c>
      <c r="Y455" s="255" t="str">
        <f>IF(ISNUMBER(SEARCH("C", 'Dry_Litterbag Placem_Collection'!V162)),"YES","NO")</f>
        <v>NO</v>
      </c>
      <c r="Z455" s="255" t="str">
        <f>IF(ISNUMBER(SEARCH("H", 'Dry_Litterbag Placem_Collection'!V162)),"YES","NO")</f>
        <v>NO</v>
      </c>
      <c r="AA455" s="255" t="str">
        <f>IF(ISNUMBER(SEARCH("R", 'Dry_Litterbag Placem_Collection'!V162)),"YES","NO")</f>
        <v>NO</v>
      </c>
      <c r="AB455" s="255" t="str">
        <f>IF(ISNUMBER(SEARCH("C", 'Dry_Litterbag Placem_Collection'!U162)),"YES","NO")</f>
        <v>NO</v>
      </c>
      <c r="AC455" s="255" t="str">
        <f>IF(ISNUMBER(SEARCH("H", 'Dry_Litterbag Placem_Collection'!U162)),"YES","NO")</f>
        <v>NO</v>
      </c>
      <c r="AD455" s="255" t="str">
        <f>IF(ISNUMBER(SEARCH("R", 'Dry_Litterbag Placem_Collection'!U162)),"YES","NO")</f>
        <v>NO</v>
      </c>
    </row>
    <row r="456" spans="2:30">
      <c r="B456" t="str">
        <f>'Final data_for_R_analysis_Dryse'!A602</f>
        <v>Dry</v>
      </c>
      <c r="C456" s="263">
        <f>'Final data_for_R_analysis_Dryse'!B602</f>
        <v>161</v>
      </c>
      <c r="D456" t="s">
        <v>3851</v>
      </c>
      <c r="E456" t="s">
        <v>25</v>
      </c>
      <c r="F456" s="386">
        <v>1</v>
      </c>
      <c r="G456" s="16">
        <f>'Dry_Litterbag Placem_Collection'!E163</f>
        <v>42940</v>
      </c>
      <c r="H456" s="92" t="str">
        <f>'Final data_for_R_analysis_Dryse'!J602</f>
        <v>G207</v>
      </c>
      <c r="I456" t="str">
        <f>'Final data_for_R_analysis_Dryse'!J822</f>
        <v>R314</v>
      </c>
      <c r="J456">
        <f>IFERROR(INDEX('Green_rooibos initial weight'!$C$5:$C$1749,MATCH(H456, 'Green_rooibos initial weight'!$A$5:$A$1749,0)),"")</f>
        <v>2.1539999999999999</v>
      </c>
      <c r="K456">
        <f>IFERROR(INDEX('Green_rooibos initial weight'!$C$5:$C$1749,MATCH(I456, 'Green_rooibos initial weight'!$A$5:$A$1749,0)),"")</f>
        <v>2.17</v>
      </c>
      <c r="L456" s="195">
        <f t="shared" si="48"/>
        <v>1.9041999999999999</v>
      </c>
      <c r="M456" s="195">
        <f t="shared" si="49"/>
        <v>1.9201999999999999</v>
      </c>
      <c r="N456" s="16">
        <f>IF('Dry_Litterbag Placem_Collection'!G163="N.A","",'Dry_Litterbag Placem_Collection'!G163)</f>
        <v>43009</v>
      </c>
      <c r="O456" s="195">
        <f>IF(IFERROR(INDEX('Both teabags AfterDry'!$D$1:$D$839,MATCH(H456,'Both teabags AfterDry'!$A$1:$A$839,0)),"")="N.A","",(IFERROR(INDEX('Both teabags AfterDry'!$D$1:$D$839,MATCH(H456,'Both teabags AfterDry'!$A$1:$A$839,0)),"")))</f>
        <v>0.76570000000000005</v>
      </c>
      <c r="P456" s="195">
        <f>IF(IFERROR(INDEX('Both teabags AfterDry'!$D$1:$D$839,MATCH(I456,'Both teabags AfterDry'!$A$1:$A$839,0)),"")="N.A","",(IFERROR(INDEX('Both teabags AfterDry'!$D$1:$D$839,MATCH(I456,'Both teabags AfterDry'!$A$1:$A$839,0)),"")))</f>
        <v>1.7397</v>
      </c>
      <c r="Q456" s="195">
        <f t="shared" si="50"/>
        <v>0.61509999999999998</v>
      </c>
      <c r="R456" s="195">
        <f t="shared" si="50"/>
        <v>1.5891</v>
      </c>
      <c r="S456" s="195">
        <f t="shared" si="45"/>
        <v>0.67697720827644159</v>
      </c>
      <c r="T456" s="195">
        <f t="shared" si="51"/>
        <v>0.44381403677980502</v>
      </c>
      <c r="U456" s="195">
        <f t="shared" si="46"/>
        <v>0.82757004478700136</v>
      </c>
      <c r="V456">
        <f t="shared" si="47"/>
        <v>69</v>
      </c>
      <c r="W456" s="195">
        <f t="shared" si="52"/>
        <v>0.19598906380470116</v>
      </c>
      <c r="X456" s="195">
        <f t="shared" si="53"/>
        <v>7.1285586372014428E-3</v>
      </c>
      <c r="Y456" s="255" t="str">
        <f>IF(ISNUMBER(SEARCH("C", 'Dry_Litterbag Placem_Collection'!V163)),"YES","NO")</f>
        <v>NO</v>
      </c>
      <c r="Z456" s="255" t="str">
        <f>IF(ISNUMBER(SEARCH("H", 'Dry_Litterbag Placem_Collection'!V163)),"YES","NO")</f>
        <v>NO</v>
      </c>
      <c r="AA456" s="255" t="str">
        <f>IF(ISNUMBER(SEARCH("R", 'Dry_Litterbag Placem_Collection'!V163)),"YES","NO")</f>
        <v>NO</v>
      </c>
      <c r="AB456" s="255" t="str">
        <f>IF(ISNUMBER(SEARCH("C", 'Dry_Litterbag Placem_Collection'!U163)),"YES","NO")</f>
        <v>NO</v>
      </c>
      <c r="AC456" s="255" t="str">
        <f>IF(ISNUMBER(SEARCH("H", 'Dry_Litterbag Placem_Collection'!U163)),"YES","NO")</f>
        <v>NO</v>
      </c>
      <c r="AD456" s="255" t="str">
        <f>IF(ISNUMBER(SEARCH("R", 'Dry_Litterbag Placem_Collection'!U163)),"YES","NO")</f>
        <v>NO</v>
      </c>
    </row>
    <row r="457" spans="2:30">
      <c r="B457" t="str">
        <f>'Final data_for_R_analysis_Dryse'!A603</f>
        <v>Dry</v>
      </c>
      <c r="C457" s="263">
        <f>'Final data_for_R_analysis_Dryse'!B603</f>
        <v>162</v>
      </c>
      <c r="D457" t="s">
        <v>3851</v>
      </c>
      <c r="E457" t="s">
        <v>25</v>
      </c>
      <c r="F457" s="386">
        <v>2</v>
      </c>
      <c r="G457" s="16">
        <f>'Dry_Litterbag Placem_Collection'!E164</f>
        <v>42940</v>
      </c>
      <c r="H457" s="92" t="str">
        <f>'Final data_for_R_analysis_Dryse'!J603</f>
        <v>G580</v>
      </c>
      <c r="I457" t="str">
        <f>'Final data_for_R_analysis_Dryse'!J823</f>
        <v>R425</v>
      </c>
      <c r="J457">
        <f>IFERROR(INDEX('Green_rooibos initial weight'!$C$5:$C$1749,MATCH(H457, 'Green_rooibos initial weight'!$A$5:$A$1749,0)),"")</f>
        <v>2.1440000000000001</v>
      </c>
      <c r="K457">
        <f>IFERROR(INDEX('Green_rooibos initial weight'!$C$5:$C$1749,MATCH(I457, 'Green_rooibos initial weight'!$A$5:$A$1749,0)),"")</f>
        <v>2.25</v>
      </c>
      <c r="L457" s="195">
        <f t="shared" si="48"/>
        <v>1.8942000000000001</v>
      </c>
      <c r="M457" s="195">
        <f t="shared" si="49"/>
        <v>2.0002</v>
      </c>
      <c r="N457" s="16">
        <f>IF('Dry_Litterbag Placem_Collection'!G164="N.A","",'Dry_Litterbag Placem_Collection'!G164)</f>
        <v>43009</v>
      </c>
      <c r="O457" s="195">
        <f>IF(IFERROR(INDEX('Both teabags AfterDry'!$D$1:$D$839,MATCH(H457,'Both teabags AfterDry'!$A$1:$A$839,0)),"")="N.A","",(IFERROR(INDEX('Both teabags AfterDry'!$D$1:$D$839,MATCH(H457,'Both teabags AfterDry'!$A$1:$A$839,0)),"")))</f>
        <v>0.84409999999999996</v>
      </c>
      <c r="P457" s="195">
        <f>IF(IFERROR(INDEX('Both teabags AfterDry'!$D$1:$D$839,MATCH(I457,'Both teabags AfterDry'!$A$1:$A$839,0)),"")="N.A","",(IFERROR(INDEX('Both teabags AfterDry'!$D$1:$D$839,MATCH(I457,'Both teabags AfterDry'!$A$1:$A$839,0)),"")))</f>
        <v>1.8856999999999999</v>
      </c>
      <c r="Q457" s="195">
        <f t="shared" si="50"/>
        <v>0.69350000000000001</v>
      </c>
      <c r="R457" s="195">
        <f t="shared" si="50"/>
        <v>1.7350999999999999</v>
      </c>
      <c r="S457" s="195">
        <f t="shared" si="45"/>
        <v>0.63388237778481682</v>
      </c>
      <c r="T457" s="195">
        <f t="shared" si="51"/>
        <v>0.41556184386843104</v>
      </c>
      <c r="U457" s="195">
        <f t="shared" si="46"/>
        <v>0.86746325367463251</v>
      </c>
      <c r="V457">
        <f t="shared" si="47"/>
        <v>69</v>
      </c>
      <c r="W457" s="195">
        <f t="shared" si="52"/>
        <v>0.24717057270211773</v>
      </c>
      <c r="X457" s="195">
        <f t="shared" si="53"/>
        <v>5.5666067775764225E-3</v>
      </c>
      <c r="Y457" s="255" t="str">
        <f>IF(ISNUMBER(SEARCH("C", 'Dry_Litterbag Placem_Collection'!V164)),"YES","NO")</f>
        <v>NO</v>
      </c>
      <c r="Z457" s="255" t="str">
        <f>IF(ISNUMBER(SEARCH("H", 'Dry_Litterbag Placem_Collection'!V164)),"YES","NO")</f>
        <v>NO</v>
      </c>
      <c r="AA457" s="255" t="str">
        <f>IF(ISNUMBER(SEARCH("R", 'Dry_Litterbag Placem_Collection'!V164)),"YES","NO")</f>
        <v>NO</v>
      </c>
      <c r="AB457" s="255" t="str">
        <f>IF(ISNUMBER(SEARCH("C", 'Dry_Litterbag Placem_Collection'!U164)),"YES","NO")</f>
        <v>NO</v>
      </c>
      <c r="AC457" s="255" t="str">
        <f>IF(ISNUMBER(SEARCH("H", 'Dry_Litterbag Placem_Collection'!U164)),"YES","NO")</f>
        <v>NO</v>
      </c>
      <c r="AD457" s="255" t="str">
        <f>IF(ISNUMBER(SEARCH("R", 'Dry_Litterbag Placem_Collection'!U164)),"YES","NO")</f>
        <v>NO</v>
      </c>
    </row>
    <row r="458" spans="2:30">
      <c r="B458" t="str">
        <f>'Final data_for_R_analysis_Dryse'!A604</f>
        <v>Dry</v>
      </c>
      <c r="C458" s="263">
        <f>'Final data_for_R_analysis_Dryse'!B604</f>
        <v>163</v>
      </c>
      <c r="D458" t="s">
        <v>3851</v>
      </c>
      <c r="E458" t="s">
        <v>25</v>
      </c>
      <c r="F458" s="386">
        <v>3</v>
      </c>
      <c r="G458" s="16">
        <f>'Dry_Litterbag Placem_Collection'!E165</f>
        <v>42940</v>
      </c>
      <c r="H458" s="92" t="str">
        <f>'Final data_for_R_analysis_Dryse'!J604</f>
        <v>G722</v>
      </c>
      <c r="I458" t="str">
        <f>'Final data_for_R_analysis_Dryse'!J824</f>
        <v>R267</v>
      </c>
      <c r="J458">
        <f>IFERROR(INDEX('Green_rooibos initial weight'!$C$5:$C$1749,MATCH(H458, 'Green_rooibos initial weight'!$A$5:$A$1749,0)),"")</f>
        <v>2.0790000000000002</v>
      </c>
      <c r="K458">
        <f>IFERROR(INDEX('Green_rooibos initial weight'!$C$5:$C$1749,MATCH(I458, 'Green_rooibos initial weight'!$A$5:$A$1749,0)),"")</f>
        <v>2.1930000000000001</v>
      </c>
      <c r="L458" s="195">
        <f t="shared" si="48"/>
        <v>1.8292000000000002</v>
      </c>
      <c r="M458" s="195">
        <f t="shared" si="49"/>
        <v>1.9432</v>
      </c>
      <c r="N458" s="16">
        <f>IF('Dry_Litterbag Placem_Collection'!G165="N.A","",'Dry_Litterbag Placem_Collection'!G165)</f>
        <v>43009</v>
      </c>
      <c r="O458" s="195">
        <f>IF(IFERROR(INDEX('Both teabags AfterDry'!$D$1:$D$839,MATCH(H458,'Both teabags AfterDry'!$A$1:$A$839,0)),"")="N.A","",(IFERROR(INDEX('Both teabags AfterDry'!$D$1:$D$839,MATCH(H458,'Both teabags AfterDry'!$A$1:$A$839,0)),"")))</f>
        <v>0.86109999999999998</v>
      </c>
      <c r="P458" s="195">
        <f>IF(IFERROR(INDEX('Both teabags AfterDry'!$D$1:$D$839,MATCH(I458,'Both teabags AfterDry'!$A$1:$A$839,0)),"")="N.A","",(IFERROR(INDEX('Both teabags AfterDry'!$D$1:$D$839,MATCH(I458,'Both teabags AfterDry'!$A$1:$A$839,0)),"")))</f>
        <v>1.7754000000000001</v>
      </c>
      <c r="Q458" s="195">
        <f t="shared" si="50"/>
        <v>0.71049999999999991</v>
      </c>
      <c r="R458" s="195">
        <f t="shared" si="50"/>
        <v>1.6248</v>
      </c>
      <c r="S458" s="195">
        <f t="shared" si="45"/>
        <v>0.61157883227640508</v>
      </c>
      <c r="T458" s="195">
        <f t="shared" si="51"/>
        <v>0.40094004206244138</v>
      </c>
      <c r="U458" s="195">
        <f t="shared" si="46"/>
        <v>0.83614656237134621</v>
      </c>
      <c r="V458">
        <f t="shared" si="47"/>
        <v>69</v>
      </c>
      <c r="W458" s="195">
        <f t="shared" si="52"/>
        <v>0.27365934408978021</v>
      </c>
      <c r="X458" s="195">
        <f t="shared" si="53"/>
        <v>7.6142956688170556E-3</v>
      </c>
      <c r="Y458" s="255" t="str">
        <f>IF(ISNUMBER(SEARCH("C", 'Dry_Litterbag Placem_Collection'!V165)),"YES","NO")</f>
        <v>NO</v>
      </c>
      <c r="Z458" s="255" t="str">
        <f>IF(ISNUMBER(SEARCH("H", 'Dry_Litterbag Placem_Collection'!V165)),"YES","NO")</f>
        <v>NO</v>
      </c>
      <c r="AA458" s="255" t="str">
        <f>IF(ISNUMBER(SEARCH("R", 'Dry_Litterbag Placem_Collection'!V165)),"YES","NO")</f>
        <v>NO</v>
      </c>
      <c r="AB458" s="255" t="str">
        <f>IF(ISNUMBER(SEARCH("C", 'Dry_Litterbag Placem_Collection'!U165)),"YES","NO")</f>
        <v>NO</v>
      </c>
      <c r="AC458" s="255" t="str">
        <f>IF(ISNUMBER(SEARCH("H", 'Dry_Litterbag Placem_Collection'!U165)),"YES","NO")</f>
        <v>NO</v>
      </c>
      <c r="AD458" s="255" t="str">
        <f>IF(ISNUMBER(SEARCH("R", 'Dry_Litterbag Placem_Collection'!U165)),"YES","NO")</f>
        <v>NO</v>
      </c>
    </row>
    <row r="459" spans="2:30">
      <c r="B459" t="str">
        <f>'Final data_for_R_analysis_Dryse'!A605</f>
        <v>Dry</v>
      </c>
      <c r="C459" s="263">
        <f>'Final data_for_R_analysis_Dryse'!B605</f>
        <v>164</v>
      </c>
      <c r="D459" t="s">
        <v>3851</v>
      </c>
      <c r="E459" t="s">
        <v>25</v>
      </c>
      <c r="F459" s="387">
        <v>4</v>
      </c>
      <c r="G459" s="16">
        <f>'Dry_Litterbag Placem_Collection'!E166</f>
        <v>42940</v>
      </c>
      <c r="H459" s="92" t="str">
        <f>'Final data_for_R_analysis_Dryse'!J605</f>
        <v>G239</v>
      </c>
      <c r="I459" t="str">
        <f>'Final data_for_R_analysis_Dryse'!J825</f>
        <v>R211</v>
      </c>
      <c r="J459">
        <f>IFERROR(INDEX('Green_rooibos initial weight'!$C$5:$C$1749,MATCH(H459, 'Green_rooibos initial weight'!$A$5:$A$1749,0)),"")</f>
        <v>2.1019999999999999</v>
      </c>
      <c r="K459">
        <f>IFERROR(INDEX('Green_rooibos initial weight'!$C$5:$C$1749,MATCH(I459, 'Green_rooibos initial weight'!$A$5:$A$1749,0)),"")</f>
        <v>2.2389999999999999</v>
      </c>
      <c r="L459" s="195">
        <f t="shared" si="48"/>
        <v>1.8521999999999998</v>
      </c>
      <c r="M459" s="195">
        <f t="shared" si="49"/>
        <v>1.9891999999999999</v>
      </c>
      <c r="N459" s="16">
        <f>IF('Dry_Litterbag Placem_Collection'!G166="N.A","",'Dry_Litterbag Placem_Collection'!G166)</f>
        <v>43009</v>
      </c>
      <c r="O459" s="195">
        <f>IF(IFERROR(INDEX('Both teabags AfterDry'!$D$1:$D$839,MATCH(H459,'Both teabags AfterDry'!$A$1:$A$839,0)),"")="N.A","",(IFERROR(INDEX('Both teabags AfterDry'!$D$1:$D$839,MATCH(H459,'Both teabags AfterDry'!$A$1:$A$839,0)),"")))</f>
        <v>0.73950000000000005</v>
      </c>
      <c r="P459" s="195">
        <f>IF(IFERROR(INDEX('Both teabags AfterDry'!$D$1:$D$839,MATCH(I459,'Both teabags AfterDry'!$A$1:$A$839,0)),"")="N.A","",(IFERROR(INDEX('Both teabags AfterDry'!$D$1:$D$839,MATCH(I459,'Both teabags AfterDry'!$A$1:$A$839,0)),"")))</f>
        <v>1.7732000000000001</v>
      </c>
      <c r="Q459" s="195">
        <f t="shared" si="50"/>
        <v>0.58889999999999998</v>
      </c>
      <c r="R459" s="195">
        <f t="shared" si="50"/>
        <v>1.6226</v>
      </c>
      <c r="S459" s="195">
        <f t="shared" si="45"/>
        <v>0.68205377389050859</v>
      </c>
      <c r="T459" s="195">
        <f t="shared" si="51"/>
        <v>0.44714214155292259</v>
      </c>
      <c r="U459" s="195">
        <f t="shared" si="46"/>
        <v>0.81570480595214168</v>
      </c>
      <c r="V459">
        <f t="shared" si="47"/>
        <v>69</v>
      </c>
      <c r="W459" s="195">
        <f t="shared" si="52"/>
        <v>0.18995988849108236</v>
      </c>
      <c r="X459" s="195">
        <f t="shared" si="53"/>
        <v>7.7000669563297014E-3</v>
      </c>
      <c r="Y459" s="255" t="str">
        <f>IF(ISNUMBER(SEARCH("C", 'Dry_Litterbag Placem_Collection'!V166)),"YES","NO")</f>
        <v>NO</v>
      </c>
      <c r="Z459" s="255" t="str">
        <f>IF(ISNUMBER(SEARCH("H", 'Dry_Litterbag Placem_Collection'!V166)),"YES","NO")</f>
        <v>NO</v>
      </c>
      <c r="AA459" s="255" t="str">
        <f>IF(ISNUMBER(SEARCH("R", 'Dry_Litterbag Placem_Collection'!V166)),"YES","NO")</f>
        <v>YES</v>
      </c>
      <c r="AB459" s="255" t="str">
        <f>IF(ISNUMBER(SEARCH("C", 'Dry_Litterbag Placem_Collection'!U166)),"YES","NO")</f>
        <v>NO</v>
      </c>
      <c r="AC459" s="255" t="str">
        <f>IF(ISNUMBER(SEARCH("H", 'Dry_Litterbag Placem_Collection'!U166)),"YES","NO")</f>
        <v>NO</v>
      </c>
      <c r="AD459" s="255" t="str">
        <f>IF(ISNUMBER(SEARCH("R", 'Dry_Litterbag Placem_Collection'!U166)),"YES","NO")</f>
        <v>YES</v>
      </c>
    </row>
    <row r="460" spans="2:30">
      <c r="B460" t="str">
        <f>'Final data_for_R_analysis_Dryse'!A606</f>
        <v>Dry</v>
      </c>
      <c r="C460" s="263">
        <f>'Final data_for_R_analysis_Dryse'!B606</f>
        <v>165</v>
      </c>
      <c r="D460" t="s">
        <v>3851</v>
      </c>
      <c r="E460" t="s">
        <v>25</v>
      </c>
      <c r="F460" s="387">
        <v>5</v>
      </c>
      <c r="G460" s="16">
        <f>'Dry_Litterbag Placem_Collection'!E167</f>
        <v>42940</v>
      </c>
      <c r="H460" s="92" t="str">
        <f>'Final data_for_R_analysis_Dryse'!J606</f>
        <v>G343</v>
      </c>
      <c r="I460" t="str">
        <f>'Final data_for_R_analysis_Dryse'!J826</f>
        <v>R310</v>
      </c>
      <c r="J460">
        <f>IFERROR(INDEX('Green_rooibos initial weight'!$C$5:$C$1749,MATCH(H460, 'Green_rooibos initial weight'!$A$5:$A$1749,0)),"")</f>
        <v>1.8340000000000001</v>
      </c>
      <c r="K460">
        <f>IFERROR(INDEX('Green_rooibos initial weight'!$C$5:$C$1749,MATCH(I460, 'Green_rooibos initial weight'!$A$5:$A$1749,0)),"")</f>
        <v>2.2170000000000001</v>
      </c>
      <c r="L460" s="195">
        <f t="shared" si="48"/>
        <v>1.5842000000000001</v>
      </c>
      <c r="M460" s="195">
        <f t="shared" si="49"/>
        <v>1.9672000000000001</v>
      </c>
      <c r="N460" s="16">
        <f>IF('Dry_Litterbag Placem_Collection'!G167="N.A","",'Dry_Litterbag Placem_Collection'!G167)</f>
        <v>43009</v>
      </c>
      <c r="O460" s="195">
        <f>IF(IFERROR(INDEX('Both teabags AfterDry'!$D$1:$D$839,MATCH(H460,'Both teabags AfterDry'!$A$1:$A$839,0)),"")="N.A","",(IFERROR(INDEX('Both teabags AfterDry'!$D$1:$D$839,MATCH(H460,'Both teabags AfterDry'!$A$1:$A$839,0)),"")))</f>
        <v>0.68059999999999998</v>
      </c>
      <c r="P460" s="195">
        <f>IF(IFERROR(INDEX('Both teabags AfterDry'!$D$1:$D$839,MATCH(I460,'Both teabags AfterDry'!$A$1:$A$839,0)),"")="N.A","",(IFERROR(INDEX('Both teabags AfterDry'!$D$1:$D$839,MATCH(I460,'Both teabags AfterDry'!$A$1:$A$839,0)),"")))</f>
        <v>1.7559</v>
      </c>
      <c r="Q460" s="195">
        <f t="shared" si="50"/>
        <v>0.53</v>
      </c>
      <c r="R460" s="195">
        <f t="shared" si="50"/>
        <v>1.6052999999999999</v>
      </c>
      <c r="S460" s="195">
        <f t="shared" ref="S460:S515" si="54">IFERROR(1-Q460/L460,"")</f>
        <v>0.66544628203509659</v>
      </c>
      <c r="T460" s="195">
        <f t="shared" si="51"/>
        <v>0.43625456969521775</v>
      </c>
      <c r="U460" s="195">
        <f t="shared" ref="U460:U515" si="55">IFERROR(R460/M460,"")</f>
        <v>0.81603294021960138</v>
      </c>
      <c r="V460">
        <f t="shared" ref="V460:V515" si="56">IF((N460-G460)&gt;0,(IFERROR(N460-G460,"")),"")</f>
        <v>69</v>
      </c>
      <c r="W460" s="195">
        <f t="shared" si="52"/>
        <v>0.20968375055214183</v>
      </c>
      <c r="X460" s="195">
        <f t="shared" si="53"/>
        <v>7.9370521577088651E-3</v>
      </c>
      <c r="Y460" s="255" t="str">
        <f>IF(ISNUMBER(SEARCH("C", 'Dry_Litterbag Placem_Collection'!V167)),"YES","NO")</f>
        <v>NO</v>
      </c>
      <c r="Z460" s="255" t="str">
        <f>IF(ISNUMBER(SEARCH("H", 'Dry_Litterbag Placem_Collection'!V167)),"YES","NO")</f>
        <v>NO</v>
      </c>
      <c r="AA460" s="255" t="str">
        <f>IF(ISNUMBER(SEARCH("R", 'Dry_Litterbag Placem_Collection'!V167)),"YES","NO")</f>
        <v>NO</v>
      </c>
      <c r="AB460" s="255" t="str">
        <f>IF(ISNUMBER(SEARCH("C", 'Dry_Litterbag Placem_Collection'!U167)),"YES","NO")</f>
        <v>NO</v>
      </c>
      <c r="AC460" s="255" t="str">
        <f>IF(ISNUMBER(SEARCH("H", 'Dry_Litterbag Placem_Collection'!U167)),"YES","NO")</f>
        <v>NO</v>
      </c>
      <c r="AD460" s="255" t="str">
        <f>IF(ISNUMBER(SEARCH("R", 'Dry_Litterbag Placem_Collection'!U167)),"YES","NO")</f>
        <v>NO</v>
      </c>
    </row>
    <row r="461" spans="2:30">
      <c r="B461" t="str">
        <f>'Final data_for_R_analysis_Dryse'!A607</f>
        <v>Dry</v>
      </c>
      <c r="C461" s="263">
        <f>'Final data_for_R_analysis_Dryse'!B607</f>
        <v>166</v>
      </c>
      <c r="D461" t="s">
        <v>3851</v>
      </c>
      <c r="E461" t="s">
        <v>25</v>
      </c>
      <c r="F461" s="387">
        <v>6</v>
      </c>
      <c r="G461" s="16">
        <f>'Dry_Litterbag Placem_Collection'!E168</f>
        <v>42940</v>
      </c>
      <c r="H461" s="92" t="str">
        <f>'Final data_for_R_analysis_Dryse'!J607</f>
        <v>G409</v>
      </c>
      <c r="I461" t="str">
        <f>'Final data_for_R_analysis_Dryse'!J827</f>
        <v>R269</v>
      </c>
      <c r="J461">
        <f>IFERROR(INDEX('Green_rooibos initial weight'!$C$5:$C$1749,MATCH(H461, 'Green_rooibos initial weight'!$A$5:$A$1749,0)),"")</f>
        <v>1.968</v>
      </c>
      <c r="K461">
        <f>IFERROR(INDEX('Green_rooibos initial weight'!$C$5:$C$1749,MATCH(I461, 'Green_rooibos initial weight'!$A$5:$A$1749,0)),"")</f>
        <v>2.278</v>
      </c>
      <c r="L461" s="195">
        <f t="shared" ref="L461:L515" si="57">IFERROR(IF(J461&gt;0,(J461*$F$31-($F$29+$F$30)),""),"")</f>
        <v>1.7181999999999999</v>
      </c>
      <c r="M461" s="195">
        <f t="shared" ref="M461:M515" si="58">IFERROR(IF(K461&gt;0,(K461*$F$32-($F$29+$F$30)),""),"")</f>
        <v>2.0282</v>
      </c>
      <c r="N461" s="16">
        <f>IF('Dry_Litterbag Placem_Collection'!G168="N.A","",'Dry_Litterbag Placem_Collection'!G168)</f>
        <v>43009</v>
      </c>
      <c r="O461" s="195">
        <f>IF(IFERROR(INDEX('Both teabags AfterDry'!$D$1:$D$839,MATCH(H461,'Both teabags AfterDry'!$A$1:$A$839,0)),"")="N.A","",(IFERROR(INDEX('Both teabags AfterDry'!$D$1:$D$839,MATCH(H461,'Both teabags AfterDry'!$A$1:$A$839,0)),"")))</f>
        <v>0.77039999999999997</v>
      </c>
      <c r="P461" s="195">
        <f>IF(IFERROR(INDEX('Both teabags AfterDry'!$D$1:$D$839,MATCH(I461,'Both teabags AfterDry'!$A$1:$A$839,0)),"")="N.A","",(IFERROR(INDEX('Both teabags AfterDry'!$D$1:$D$839,MATCH(I461,'Both teabags AfterDry'!$A$1:$A$839,0)),"")))</f>
        <v>1.8042</v>
      </c>
      <c r="Q461" s="195">
        <f t="shared" ref="Q461:R515" si="59">IFERROR(IF(O461&gt;0,O461-($F$29),""),"")</f>
        <v>0.61979999999999991</v>
      </c>
      <c r="R461" s="195">
        <f t="shared" si="59"/>
        <v>1.6536</v>
      </c>
      <c r="S461" s="195">
        <f t="shared" si="54"/>
        <v>0.63927365847980444</v>
      </c>
      <c r="T461" s="195">
        <f t="shared" ref="T461:T515" si="60">IFERROR($F$26*(1-W461),"")</f>
        <v>0.41909627016728279</v>
      </c>
      <c r="U461" s="195">
        <f t="shared" si="55"/>
        <v>0.81530421063011538</v>
      </c>
      <c r="V461">
        <f t="shared" si="56"/>
        <v>69</v>
      </c>
      <c r="W461" s="195">
        <f t="shared" ref="W461:W515" si="61">IFERROR(1-(S461/$F$25),"")</f>
        <v>0.24076762650854577</v>
      </c>
      <c r="X461" s="195">
        <f t="shared" ref="X461:X515" si="62">IFERROR(LN(T461/(U461-(1-T461)))/V461,"")</f>
        <v>8.4212977736596792E-3</v>
      </c>
      <c r="Y461" s="255" t="str">
        <f>IF(ISNUMBER(SEARCH("C", 'Dry_Litterbag Placem_Collection'!V168)),"YES","NO")</f>
        <v>NO</v>
      </c>
      <c r="Z461" s="255" t="str">
        <f>IF(ISNUMBER(SEARCH("H", 'Dry_Litterbag Placem_Collection'!V168)),"YES","NO")</f>
        <v>NO</v>
      </c>
      <c r="AA461" s="255" t="str">
        <f>IF(ISNUMBER(SEARCH("R", 'Dry_Litterbag Placem_Collection'!V168)),"YES","NO")</f>
        <v>NO</v>
      </c>
      <c r="AB461" s="255" t="str">
        <f>IF(ISNUMBER(SEARCH("C", 'Dry_Litterbag Placem_Collection'!U168)),"YES","NO")</f>
        <v>NO</v>
      </c>
      <c r="AC461" s="255" t="str">
        <f>IF(ISNUMBER(SEARCH("H", 'Dry_Litterbag Placem_Collection'!U168)),"YES","NO")</f>
        <v>NO</v>
      </c>
      <c r="AD461" s="255" t="str">
        <f>IF(ISNUMBER(SEARCH("R", 'Dry_Litterbag Placem_Collection'!U168)),"YES","NO")</f>
        <v>NO</v>
      </c>
    </row>
    <row r="462" spans="2:30">
      <c r="B462" t="str">
        <f>'Final data_for_R_analysis_Dryse'!A608</f>
        <v>Dry</v>
      </c>
      <c r="C462" s="263">
        <f>'Final data_for_R_analysis_Dryse'!B608</f>
        <v>167</v>
      </c>
      <c r="D462" t="s">
        <v>3851</v>
      </c>
      <c r="E462" t="s">
        <v>25</v>
      </c>
      <c r="F462" s="387">
        <v>7</v>
      </c>
      <c r="G462" s="16">
        <f>'Dry_Litterbag Placem_Collection'!E169</f>
        <v>0</v>
      </c>
      <c r="H462" s="92" t="str">
        <f>'Final data_for_R_analysis_Dryse'!J608</f>
        <v/>
      </c>
      <c r="I462" t="str">
        <f>'Final data_for_R_analysis_Dryse'!J828</f>
        <v/>
      </c>
      <c r="J462" t="str">
        <f>IFERROR(INDEX('Green_rooibos initial weight'!$C$5:$C$1749,MATCH(H462, 'Green_rooibos initial weight'!$A$5:$A$1749,0)),"")</f>
        <v/>
      </c>
      <c r="K462" t="str">
        <f>IFERROR(INDEX('Green_rooibos initial weight'!$C$5:$C$1749,MATCH(I462, 'Green_rooibos initial weight'!$A$5:$A$1749,0)),"")</f>
        <v/>
      </c>
      <c r="L462" s="195" t="str">
        <f t="shared" si="57"/>
        <v/>
      </c>
      <c r="M462" s="195" t="str">
        <f t="shared" si="58"/>
        <v/>
      </c>
      <c r="N462" s="16">
        <f>IF('Dry_Litterbag Placem_Collection'!G169="N.A","",'Dry_Litterbag Placem_Collection'!G169)</f>
        <v>0</v>
      </c>
      <c r="O462" s="195" t="str">
        <f>IF(IFERROR(INDEX('Both teabags AfterDry'!$D$1:$D$839,MATCH(H462,'Both teabags AfterDry'!$A$1:$A$839,0)),"")="N.A","",(IFERROR(INDEX('Both teabags AfterDry'!$D$1:$D$839,MATCH(H462,'Both teabags AfterDry'!$A$1:$A$839,0)),"")))</f>
        <v/>
      </c>
      <c r="P462" s="195" t="str">
        <f>IF(IFERROR(INDEX('Both teabags AfterDry'!$D$1:$D$839,MATCH(I462,'Both teabags AfterDry'!$A$1:$A$839,0)),"")="N.A","",(IFERROR(INDEX('Both teabags AfterDry'!$D$1:$D$839,MATCH(I462,'Both teabags AfterDry'!$A$1:$A$839,0)),"")))</f>
        <v/>
      </c>
      <c r="Q462" s="195" t="str">
        <f t="shared" si="59"/>
        <v/>
      </c>
      <c r="R462" s="195" t="str">
        <f t="shared" si="59"/>
        <v/>
      </c>
      <c r="S462" s="195" t="str">
        <f t="shared" si="54"/>
        <v/>
      </c>
      <c r="T462" s="195" t="str">
        <f t="shared" si="60"/>
        <v/>
      </c>
      <c r="U462" s="195" t="str">
        <f t="shared" si="55"/>
        <v/>
      </c>
      <c r="V462" t="str">
        <f t="shared" si="56"/>
        <v/>
      </c>
      <c r="W462" s="195" t="str">
        <f t="shared" si="61"/>
        <v/>
      </c>
      <c r="X462" s="195" t="str">
        <f t="shared" si="62"/>
        <v/>
      </c>
      <c r="Y462" s="255" t="str">
        <f>IF(ISNUMBER(SEARCH("C", 'Dry_Litterbag Placem_Collection'!V169)),"YES","NO")</f>
        <v>NO</v>
      </c>
      <c r="Z462" s="255" t="str">
        <f>IF(ISNUMBER(SEARCH("H", 'Dry_Litterbag Placem_Collection'!V169)),"YES","NO")</f>
        <v>NO</v>
      </c>
      <c r="AA462" s="255" t="str">
        <f>IF(ISNUMBER(SEARCH("R", 'Dry_Litterbag Placem_Collection'!V169)),"YES","NO")</f>
        <v>NO</v>
      </c>
      <c r="AB462" s="255" t="str">
        <f>IF(ISNUMBER(SEARCH("C", 'Dry_Litterbag Placem_Collection'!U169)),"YES","NO")</f>
        <v>NO</v>
      </c>
      <c r="AC462" s="255" t="str">
        <f>IF(ISNUMBER(SEARCH("H", 'Dry_Litterbag Placem_Collection'!U169)),"YES","NO")</f>
        <v>NO</v>
      </c>
      <c r="AD462" s="255" t="str">
        <f>IF(ISNUMBER(SEARCH("R", 'Dry_Litterbag Placem_Collection'!U169)),"YES","NO")</f>
        <v>NO</v>
      </c>
    </row>
    <row r="463" spans="2:30">
      <c r="B463" t="str">
        <f>'Final data_for_R_analysis_Dryse'!A609</f>
        <v>Dry</v>
      </c>
      <c r="C463" s="263">
        <f>'Final data_for_R_analysis_Dryse'!B609</f>
        <v>168</v>
      </c>
      <c r="D463" t="s">
        <v>3851</v>
      </c>
      <c r="E463" t="s">
        <v>25</v>
      </c>
      <c r="F463" s="387">
        <v>8</v>
      </c>
      <c r="G463" s="16">
        <f>'Dry_Litterbag Placem_Collection'!E170</f>
        <v>42940</v>
      </c>
      <c r="H463" s="92" t="str">
        <f>'Final data_for_R_analysis_Dryse'!J609</f>
        <v>G304</v>
      </c>
      <c r="I463" t="str">
        <f>'Final data_for_R_analysis_Dryse'!J829</f>
        <v>R413</v>
      </c>
      <c r="J463">
        <f>IFERROR(INDEX('Green_rooibos initial weight'!$C$5:$C$1749,MATCH(H463, 'Green_rooibos initial weight'!$A$5:$A$1749,0)),"")</f>
        <v>1.9490000000000001</v>
      </c>
      <c r="K463">
        <f>IFERROR(INDEX('Green_rooibos initial weight'!$C$5:$C$1749,MATCH(I463, 'Green_rooibos initial weight'!$A$5:$A$1749,0)),"")</f>
        <v>2.214</v>
      </c>
      <c r="L463" s="195">
        <f t="shared" si="57"/>
        <v>1.6992</v>
      </c>
      <c r="M463" s="195">
        <f t="shared" si="58"/>
        <v>1.9641999999999999</v>
      </c>
      <c r="N463" s="16">
        <f>IF('Dry_Litterbag Placem_Collection'!G170="N.A","",'Dry_Litterbag Placem_Collection'!G170)</f>
        <v>43009</v>
      </c>
      <c r="O463" s="195" t="str">
        <f>IF(IFERROR(INDEX('Both teabags AfterDry'!$D$1:$D$839,MATCH(H463,'Both teabags AfterDry'!$A$1:$A$839,0)),"")="N.A","",(IFERROR(INDEX('Both teabags AfterDry'!$D$1:$D$839,MATCH(H463,'Both teabags AfterDry'!$A$1:$A$839,0)),"")))</f>
        <v/>
      </c>
      <c r="P463" s="195" t="str">
        <f>IF(IFERROR(INDEX('Both teabags AfterDry'!$D$1:$D$839,MATCH(I463,'Both teabags AfterDry'!$A$1:$A$839,0)),"")="N.A","",(IFERROR(INDEX('Both teabags AfterDry'!$D$1:$D$839,MATCH(I463,'Both teabags AfterDry'!$A$1:$A$839,0)),"")))</f>
        <v/>
      </c>
      <c r="Q463" s="195" t="str">
        <f t="shared" si="59"/>
        <v/>
      </c>
      <c r="R463" s="195" t="str">
        <f t="shared" si="59"/>
        <v/>
      </c>
      <c r="S463" s="195" t="str">
        <f t="shared" si="54"/>
        <v/>
      </c>
      <c r="T463" s="195" t="str">
        <f t="shared" si="60"/>
        <v/>
      </c>
      <c r="U463" s="195" t="str">
        <f t="shared" si="55"/>
        <v/>
      </c>
      <c r="V463">
        <f t="shared" si="56"/>
        <v>69</v>
      </c>
      <c r="W463" s="195" t="str">
        <f t="shared" si="61"/>
        <v/>
      </c>
      <c r="X463" s="195" t="str">
        <f t="shared" si="62"/>
        <v/>
      </c>
      <c r="Y463" s="255" t="str">
        <f>IF(ISNUMBER(SEARCH("C", 'Dry_Litterbag Placem_Collection'!V170)),"YES","NO")</f>
        <v>NO</v>
      </c>
      <c r="Z463" s="255" t="str">
        <f>IF(ISNUMBER(SEARCH("H", 'Dry_Litterbag Placem_Collection'!V170)),"YES","NO")</f>
        <v>NO</v>
      </c>
      <c r="AA463" s="255" t="str">
        <f>IF(ISNUMBER(SEARCH("R", 'Dry_Litterbag Placem_Collection'!V170)),"YES","NO")</f>
        <v>YES</v>
      </c>
      <c r="AB463" s="255" t="str">
        <f>IF(ISNUMBER(SEARCH("C", 'Dry_Litterbag Placem_Collection'!U170)),"YES","NO")</f>
        <v>NO</v>
      </c>
      <c r="AC463" s="255" t="str">
        <f>IF(ISNUMBER(SEARCH("H", 'Dry_Litterbag Placem_Collection'!U170)),"YES","NO")</f>
        <v>NO</v>
      </c>
      <c r="AD463" s="255" t="str">
        <f>IF(ISNUMBER(SEARCH("R", 'Dry_Litterbag Placem_Collection'!U170)),"YES","NO")</f>
        <v>NO</v>
      </c>
    </row>
    <row r="464" spans="2:30">
      <c r="B464" t="str">
        <f>'Final data_for_R_analysis_Dryse'!A610</f>
        <v>Dry</v>
      </c>
      <c r="C464" s="263">
        <f>'Final data_for_R_analysis_Dryse'!B610</f>
        <v>169</v>
      </c>
      <c r="D464" t="s">
        <v>3853</v>
      </c>
      <c r="E464" t="s">
        <v>25</v>
      </c>
      <c r="F464" s="386">
        <v>1</v>
      </c>
      <c r="G464" s="16">
        <f>'Dry_Litterbag Placem_Collection'!E171</f>
        <v>42940</v>
      </c>
      <c r="H464" s="92" t="str">
        <f>'Final data_for_R_analysis_Dryse'!J610</f>
        <v>G135</v>
      </c>
      <c r="I464" t="str">
        <f>'Final data_for_R_analysis_Dryse'!J830</f>
        <v>R80</v>
      </c>
      <c r="J464">
        <f>IFERROR(INDEX('Green_rooibos initial weight'!$C$5:$C$1749,MATCH(H464, 'Green_rooibos initial weight'!$A$5:$A$1749,0)),"")</f>
        <v>2.0049999999999999</v>
      </c>
      <c r="K464">
        <f>IFERROR(INDEX('Green_rooibos initial weight'!$C$5:$C$1749,MATCH(I464, 'Green_rooibos initial weight'!$A$5:$A$1749,0)),"")</f>
        <v>2.177</v>
      </c>
      <c r="L464" s="195">
        <f t="shared" si="57"/>
        <v>1.7551999999999999</v>
      </c>
      <c r="M464" s="195">
        <f t="shared" si="58"/>
        <v>1.9272</v>
      </c>
      <c r="N464" s="16">
        <f>IF('Dry_Litterbag Placem_Collection'!G171="N.A","",'Dry_Litterbag Placem_Collection'!G171)</f>
        <v>43009</v>
      </c>
      <c r="O464" s="195">
        <f>IF(IFERROR(INDEX('Both teabags AfterDry'!$D$1:$D$839,MATCH(H464,'Both teabags AfterDry'!$A$1:$A$839,0)),"")="N.A","",(IFERROR(INDEX('Both teabags AfterDry'!$D$1:$D$839,MATCH(H464,'Both teabags AfterDry'!$A$1:$A$839,0)),"")))</f>
        <v>0.78129999999999999</v>
      </c>
      <c r="P464" s="195">
        <f>IF(IFERROR(INDEX('Both teabags AfterDry'!$D$1:$D$839,MATCH(I464,'Both teabags AfterDry'!$A$1:$A$839,0)),"")="N.A","",(IFERROR(INDEX('Both teabags AfterDry'!$D$1:$D$839,MATCH(I464,'Both teabags AfterDry'!$A$1:$A$839,0)),"")))</f>
        <v>1.8815999999999999</v>
      </c>
      <c r="Q464" s="195">
        <f t="shared" si="59"/>
        <v>0.63070000000000004</v>
      </c>
      <c r="R464" s="195">
        <f t="shared" si="59"/>
        <v>1.7309999999999999</v>
      </c>
      <c r="S464" s="195">
        <f t="shared" si="54"/>
        <v>0.64066773017319956</v>
      </c>
      <c r="T464" s="195">
        <f t="shared" si="60"/>
        <v>0.42001019840333281</v>
      </c>
      <c r="U464" s="195">
        <f t="shared" si="55"/>
        <v>0.89819427148194264</v>
      </c>
      <c r="V464">
        <f t="shared" si="56"/>
        <v>69</v>
      </c>
      <c r="W464" s="195">
        <f t="shared" si="61"/>
        <v>0.23911195941425223</v>
      </c>
      <c r="X464" s="195">
        <f t="shared" si="62"/>
        <v>4.0229685461178385E-3</v>
      </c>
      <c r="Y464" s="255" t="str">
        <f>IF(ISNUMBER(SEARCH("C", 'Dry_Litterbag Placem_Collection'!V171)),"YES","NO")</f>
        <v>NO</v>
      </c>
      <c r="Z464" s="255" t="str">
        <f>IF(ISNUMBER(SEARCH("H", 'Dry_Litterbag Placem_Collection'!V171)),"YES","NO")</f>
        <v>NO</v>
      </c>
      <c r="AA464" s="255" t="str">
        <f>IF(ISNUMBER(SEARCH("R", 'Dry_Litterbag Placem_Collection'!V171)),"YES","NO")</f>
        <v>YES</v>
      </c>
      <c r="AB464" s="255" t="str">
        <f>IF(ISNUMBER(SEARCH("C", 'Dry_Litterbag Placem_Collection'!U171)),"YES","NO")</f>
        <v>NO</v>
      </c>
      <c r="AC464" s="255" t="str">
        <f>IF(ISNUMBER(SEARCH("H", 'Dry_Litterbag Placem_Collection'!U171)),"YES","NO")</f>
        <v>NO</v>
      </c>
      <c r="AD464" s="255" t="str">
        <f>IF(ISNUMBER(SEARCH("R", 'Dry_Litterbag Placem_Collection'!U171)),"YES","NO")</f>
        <v>YES</v>
      </c>
    </row>
    <row r="465" spans="2:30">
      <c r="B465" t="str">
        <f>'Final data_for_R_analysis_Dryse'!A611</f>
        <v>Dry</v>
      </c>
      <c r="C465" s="263">
        <f>'Final data_for_R_analysis_Dryse'!B611</f>
        <v>170</v>
      </c>
      <c r="D465" t="s">
        <v>3853</v>
      </c>
      <c r="E465" t="s">
        <v>25</v>
      </c>
      <c r="F465" s="386">
        <v>2</v>
      </c>
      <c r="G465" s="16">
        <f>'Dry_Litterbag Placem_Collection'!E172</f>
        <v>42940</v>
      </c>
      <c r="H465" s="92" t="str">
        <f>'Final data_for_R_analysis_Dryse'!J611</f>
        <v>G515</v>
      </c>
      <c r="I465" t="str">
        <f>'Final data_for_R_analysis_Dryse'!J831</f>
        <v>R208</v>
      </c>
      <c r="J465">
        <f>IFERROR(INDEX('Green_rooibos initial weight'!$C$5:$C$1749,MATCH(H465, 'Green_rooibos initial weight'!$A$5:$A$1749,0)),"")</f>
        <v>1.9890000000000001</v>
      </c>
      <c r="K465">
        <f>IFERROR(INDEX('Green_rooibos initial weight'!$C$5:$C$1749,MATCH(I465, 'Green_rooibos initial weight'!$A$5:$A$1749,0)),"")</f>
        <v>2.2250000000000001</v>
      </c>
      <c r="L465" s="195">
        <f t="shared" si="57"/>
        <v>1.7392000000000001</v>
      </c>
      <c r="M465" s="195">
        <f t="shared" si="58"/>
        <v>1.9752000000000001</v>
      </c>
      <c r="N465" s="16">
        <f>IF('Dry_Litterbag Placem_Collection'!G172="N.A","",'Dry_Litterbag Placem_Collection'!G172)</f>
        <v>43009</v>
      </c>
      <c r="O465" s="195">
        <f>IF(IFERROR(INDEX('Both teabags AfterDry'!$D$1:$D$839,MATCH(H465,'Both teabags AfterDry'!$A$1:$A$839,0)),"")="N.A","",(IFERROR(INDEX('Both teabags AfterDry'!$D$1:$D$839,MATCH(H465,'Both teabags AfterDry'!$A$1:$A$839,0)),"")))</f>
        <v>0.77959999999999996</v>
      </c>
      <c r="P465" s="195">
        <f>IF(IFERROR(INDEX('Both teabags AfterDry'!$D$1:$D$839,MATCH(I465,'Both teabags AfterDry'!$A$1:$A$839,0)),"")="N.A","",(IFERROR(INDEX('Both teabags AfterDry'!$D$1:$D$839,MATCH(I465,'Both teabags AfterDry'!$A$1:$A$839,0)),"")))</f>
        <v>1.8463000000000001</v>
      </c>
      <c r="Q465" s="195">
        <f t="shared" si="59"/>
        <v>0.629</v>
      </c>
      <c r="R465" s="195">
        <f t="shared" si="59"/>
        <v>1.6957</v>
      </c>
      <c r="S465" s="195">
        <f t="shared" si="54"/>
        <v>0.63833946642134309</v>
      </c>
      <c r="T465" s="195">
        <f t="shared" si="60"/>
        <v>0.41848383071803019</v>
      </c>
      <c r="U465" s="195">
        <f t="shared" si="55"/>
        <v>0.8584953422438234</v>
      </c>
      <c r="V465">
        <f t="shared" si="56"/>
        <v>69</v>
      </c>
      <c r="W465" s="195">
        <f t="shared" si="61"/>
        <v>0.24187711826443814</v>
      </c>
      <c r="X465" s="195">
        <f t="shared" si="62"/>
        <v>5.9811005421561833E-3</v>
      </c>
      <c r="Y465" s="255" t="str">
        <f>IF(ISNUMBER(SEARCH("C", 'Dry_Litterbag Placem_Collection'!V172)),"YES","NO")</f>
        <v>NO</v>
      </c>
      <c r="Z465" s="255" t="str">
        <f>IF(ISNUMBER(SEARCH("H", 'Dry_Litterbag Placem_Collection'!V172)),"YES","NO")</f>
        <v>NO</v>
      </c>
      <c r="AA465" s="255" t="str">
        <f>IF(ISNUMBER(SEARCH("R", 'Dry_Litterbag Placem_Collection'!V172)),"YES","NO")</f>
        <v>NO</v>
      </c>
      <c r="AB465" s="255" t="str">
        <f>IF(ISNUMBER(SEARCH("C", 'Dry_Litterbag Placem_Collection'!U172)),"YES","NO")</f>
        <v>NO</v>
      </c>
      <c r="AC465" s="255" t="str">
        <f>IF(ISNUMBER(SEARCH("H", 'Dry_Litterbag Placem_Collection'!U172)),"YES","NO")</f>
        <v>NO</v>
      </c>
      <c r="AD465" s="255" t="str">
        <f>IF(ISNUMBER(SEARCH("R", 'Dry_Litterbag Placem_Collection'!U172)),"YES","NO")</f>
        <v>YES</v>
      </c>
    </row>
    <row r="466" spans="2:30">
      <c r="B466" t="str">
        <f>'Final data_for_R_analysis_Dryse'!A612</f>
        <v>Dry</v>
      </c>
      <c r="C466" s="263">
        <f>'Final data_for_R_analysis_Dryse'!B612</f>
        <v>171</v>
      </c>
      <c r="D466" t="s">
        <v>3853</v>
      </c>
      <c r="E466" t="s">
        <v>25</v>
      </c>
      <c r="F466" s="386">
        <v>3</v>
      </c>
      <c r="G466" s="16">
        <f>'Dry_Litterbag Placem_Collection'!E173</f>
        <v>42940</v>
      </c>
      <c r="H466" s="92" t="str">
        <f>'Final data_for_R_analysis_Dryse'!J612</f>
        <v>G348</v>
      </c>
      <c r="I466" t="str">
        <f>'Final data_for_R_analysis_Dryse'!J832</f>
        <v>R633</v>
      </c>
      <c r="J466">
        <f>IFERROR(INDEX('Green_rooibos initial weight'!$C$5:$C$1749,MATCH(H466, 'Green_rooibos initial weight'!$A$5:$A$1749,0)),"")</f>
        <v>2.0139999999999998</v>
      </c>
      <c r="K466">
        <f>IFERROR(INDEX('Green_rooibos initial weight'!$C$5:$C$1749,MATCH(I466, 'Green_rooibos initial weight'!$A$5:$A$1749,0)),"")</f>
        <v>2.0760000000000001</v>
      </c>
      <c r="L466" s="195">
        <f t="shared" si="57"/>
        <v>1.7641999999999998</v>
      </c>
      <c r="M466" s="195">
        <f t="shared" si="58"/>
        <v>1.8262</v>
      </c>
      <c r="N466" s="16">
        <f>IF('Dry_Litterbag Placem_Collection'!G173="N.A","",'Dry_Litterbag Placem_Collection'!G173)</f>
        <v>43009</v>
      </c>
      <c r="O466" s="195">
        <f>IF(IFERROR(INDEX('Both teabags AfterDry'!$D$1:$D$839,MATCH(H466,'Both teabags AfterDry'!$A$1:$A$839,0)),"")="N.A","",(IFERROR(INDEX('Both teabags AfterDry'!$D$1:$D$839,MATCH(H466,'Both teabags AfterDry'!$A$1:$A$839,0)),"")))</f>
        <v>0.69310000000000005</v>
      </c>
      <c r="P466" s="195">
        <f>IF(IFERROR(INDEX('Both teabags AfterDry'!$D$1:$D$839,MATCH(I466,'Both teabags AfterDry'!$A$1:$A$839,0)),"")="N.A","",(IFERROR(INDEX('Both teabags AfterDry'!$D$1:$D$839,MATCH(I466,'Both teabags AfterDry'!$A$1:$A$839,0)),"")))</f>
        <v>1.6096999999999999</v>
      </c>
      <c r="Q466" s="195">
        <f t="shared" si="59"/>
        <v>0.54249999999999998</v>
      </c>
      <c r="R466" s="195">
        <f t="shared" si="59"/>
        <v>1.4590999999999998</v>
      </c>
      <c r="S466" s="195">
        <f t="shared" si="54"/>
        <v>0.69249518195215964</v>
      </c>
      <c r="T466" s="195">
        <f t="shared" si="60"/>
        <v>0.45398734018716408</v>
      </c>
      <c r="U466" s="195">
        <f t="shared" si="55"/>
        <v>0.79898149162194709</v>
      </c>
      <c r="V466">
        <f t="shared" si="56"/>
        <v>69</v>
      </c>
      <c r="W466" s="195">
        <f t="shared" si="61"/>
        <v>0.17755916632760138</v>
      </c>
      <c r="X466" s="195">
        <f t="shared" si="62"/>
        <v>8.4754061723794297E-3</v>
      </c>
      <c r="Y466" s="255" t="str">
        <f>IF(ISNUMBER(SEARCH("C", 'Dry_Litterbag Placem_Collection'!V173)),"YES","NO")</f>
        <v>NO</v>
      </c>
      <c r="Z466" s="255" t="str">
        <f>IF(ISNUMBER(SEARCH("H", 'Dry_Litterbag Placem_Collection'!V173)),"YES","NO")</f>
        <v>NO</v>
      </c>
      <c r="AA466" s="255" t="str">
        <f>IF(ISNUMBER(SEARCH("R", 'Dry_Litterbag Placem_Collection'!V173)),"YES","NO")</f>
        <v>NO</v>
      </c>
      <c r="AB466" s="255" t="str">
        <f>IF(ISNUMBER(SEARCH("C", 'Dry_Litterbag Placem_Collection'!U173)),"YES","NO")</f>
        <v>NO</v>
      </c>
      <c r="AC466" s="255" t="str">
        <f>IF(ISNUMBER(SEARCH("H", 'Dry_Litterbag Placem_Collection'!U173)),"YES","NO")</f>
        <v>NO</v>
      </c>
      <c r="AD466" s="255" t="str">
        <f>IF(ISNUMBER(SEARCH("R", 'Dry_Litterbag Placem_Collection'!U173)),"YES","NO")</f>
        <v>YES</v>
      </c>
    </row>
    <row r="467" spans="2:30">
      <c r="B467" t="str">
        <f>'Final data_for_R_analysis_Dryse'!A613</f>
        <v>Dry</v>
      </c>
      <c r="C467" s="263">
        <f>'Final data_for_R_analysis_Dryse'!B613</f>
        <v>172</v>
      </c>
      <c r="D467" t="s">
        <v>3853</v>
      </c>
      <c r="E467" t="s">
        <v>25</v>
      </c>
      <c r="F467" s="387">
        <v>4</v>
      </c>
      <c r="G467" s="16">
        <f>'Dry_Litterbag Placem_Collection'!E174</f>
        <v>0</v>
      </c>
      <c r="H467" s="92" t="str">
        <f>'Final data_for_R_analysis_Dryse'!J613</f>
        <v/>
      </c>
      <c r="I467" t="str">
        <f>'Final data_for_R_analysis_Dryse'!J833</f>
        <v/>
      </c>
      <c r="J467" t="str">
        <f>IFERROR(INDEX('Green_rooibos initial weight'!$C$5:$C$1749,MATCH(H467, 'Green_rooibos initial weight'!$A$5:$A$1749,0)),"")</f>
        <v/>
      </c>
      <c r="K467" t="str">
        <f>IFERROR(INDEX('Green_rooibos initial weight'!$C$5:$C$1749,MATCH(I467, 'Green_rooibos initial weight'!$A$5:$A$1749,0)),"")</f>
        <v/>
      </c>
      <c r="L467" s="195" t="str">
        <f t="shared" si="57"/>
        <v/>
      </c>
      <c r="M467" s="195" t="str">
        <f t="shared" si="58"/>
        <v/>
      </c>
      <c r="N467" s="16">
        <f>IF('Dry_Litterbag Placem_Collection'!G174="N.A","",'Dry_Litterbag Placem_Collection'!G174)</f>
        <v>0</v>
      </c>
      <c r="O467" s="195" t="str">
        <f>IF(IFERROR(INDEX('Both teabags AfterDry'!$D$1:$D$839,MATCH(H467,'Both teabags AfterDry'!$A$1:$A$839,0)),"")="N.A","",(IFERROR(INDEX('Both teabags AfterDry'!$D$1:$D$839,MATCH(H467,'Both teabags AfterDry'!$A$1:$A$839,0)),"")))</f>
        <v/>
      </c>
      <c r="P467" s="195" t="str">
        <f>IF(IFERROR(INDEX('Both teabags AfterDry'!$D$1:$D$839,MATCH(I467,'Both teabags AfterDry'!$A$1:$A$839,0)),"")="N.A","",(IFERROR(INDEX('Both teabags AfterDry'!$D$1:$D$839,MATCH(I467,'Both teabags AfterDry'!$A$1:$A$839,0)),"")))</f>
        <v/>
      </c>
      <c r="Q467" s="195" t="str">
        <f t="shared" si="59"/>
        <v/>
      </c>
      <c r="R467" s="195" t="str">
        <f t="shared" si="59"/>
        <v/>
      </c>
      <c r="S467" s="195" t="str">
        <f t="shared" si="54"/>
        <v/>
      </c>
      <c r="T467" s="195" t="str">
        <f t="shared" si="60"/>
        <v/>
      </c>
      <c r="U467" s="195" t="str">
        <f t="shared" si="55"/>
        <v/>
      </c>
      <c r="V467" t="str">
        <f t="shared" si="56"/>
        <v/>
      </c>
      <c r="W467" s="195" t="str">
        <f t="shared" si="61"/>
        <v/>
      </c>
      <c r="X467" s="195" t="str">
        <f t="shared" si="62"/>
        <v/>
      </c>
      <c r="Y467" s="255" t="str">
        <f>IF(ISNUMBER(SEARCH("C", 'Dry_Litterbag Placem_Collection'!V174)),"YES","NO")</f>
        <v>NO</v>
      </c>
      <c r="Z467" s="255" t="str">
        <f>IF(ISNUMBER(SEARCH("H", 'Dry_Litterbag Placem_Collection'!V174)),"YES","NO")</f>
        <v>NO</v>
      </c>
      <c r="AA467" s="255" t="str">
        <f>IF(ISNUMBER(SEARCH("R", 'Dry_Litterbag Placem_Collection'!V174)),"YES","NO")</f>
        <v>NO</v>
      </c>
      <c r="AB467" s="255" t="str">
        <f>IF(ISNUMBER(SEARCH("C", 'Dry_Litterbag Placem_Collection'!U174)),"YES","NO")</f>
        <v>NO</v>
      </c>
      <c r="AC467" s="255" t="str">
        <f>IF(ISNUMBER(SEARCH("H", 'Dry_Litterbag Placem_Collection'!U174)),"YES","NO")</f>
        <v>NO</v>
      </c>
      <c r="AD467" s="255" t="str">
        <f>IF(ISNUMBER(SEARCH("R", 'Dry_Litterbag Placem_Collection'!U174)),"YES","NO")</f>
        <v>NO</v>
      </c>
    </row>
    <row r="468" spans="2:30">
      <c r="B468" t="str">
        <f>'Final data_for_R_analysis_Dryse'!A614</f>
        <v>Dry</v>
      </c>
      <c r="C468" s="263">
        <f>'Final data_for_R_analysis_Dryse'!B614</f>
        <v>173</v>
      </c>
      <c r="D468" t="s">
        <v>3853</v>
      </c>
      <c r="E468" t="s">
        <v>25</v>
      </c>
      <c r="F468" s="387">
        <v>5</v>
      </c>
      <c r="G468" s="16">
        <f>'Dry_Litterbag Placem_Collection'!E175</f>
        <v>42940</v>
      </c>
      <c r="H468" s="92" t="str">
        <f>'Final data_for_R_analysis_Dryse'!J614</f>
        <v>G307</v>
      </c>
      <c r="I468" t="str">
        <f>'Final data_for_R_analysis_Dryse'!J834</f>
        <v>R473</v>
      </c>
      <c r="J468">
        <f>IFERROR(INDEX('Green_rooibos initial weight'!$C$5:$C$1749,MATCH(H468, 'Green_rooibos initial weight'!$A$5:$A$1749,0)),"")</f>
        <v>1.9810000000000001</v>
      </c>
      <c r="K468">
        <f>IFERROR(INDEX('Green_rooibos initial weight'!$C$5:$C$1749,MATCH(I468, 'Green_rooibos initial weight'!$A$5:$A$1749,0)),"")</f>
        <v>2.302</v>
      </c>
      <c r="L468" s="195">
        <f t="shared" si="57"/>
        <v>1.7312000000000001</v>
      </c>
      <c r="M468" s="195">
        <f t="shared" si="58"/>
        <v>2.0522</v>
      </c>
      <c r="N468" s="16">
        <f>IF('Dry_Litterbag Placem_Collection'!G175="N.A","",'Dry_Litterbag Placem_Collection'!G175)</f>
        <v>43009</v>
      </c>
      <c r="O468" s="195" t="str">
        <f>IF(IFERROR(INDEX('Both teabags AfterDry'!$D$1:$D$839,MATCH(H468,'Both teabags AfterDry'!$A$1:$A$839,0)),"")="N.A","",(IFERROR(INDEX('Both teabags AfterDry'!$D$1:$D$839,MATCH(H468,'Both teabags AfterDry'!$A$1:$A$839,0)),"")))</f>
        <v/>
      </c>
      <c r="P468" s="195" t="str">
        <f>IF(IFERROR(INDEX('Both teabags AfterDry'!$D$1:$D$839,MATCH(I468,'Both teabags AfterDry'!$A$1:$A$839,0)),"")="N.A","",(IFERROR(INDEX('Both teabags AfterDry'!$D$1:$D$839,MATCH(I468,'Both teabags AfterDry'!$A$1:$A$839,0)),"")))</f>
        <v/>
      </c>
      <c r="Q468" s="195" t="str">
        <f t="shared" si="59"/>
        <v/>
      </c>
      <c r="R468" s="195" t="str">
        <f t="shared" si="59"/>
        <v/>
      </c>
      <c r="S468" s="195" t="str">
        <f t="shared" si="54"/>
        <v/>
      </c>
      <c r="T468" s="195" t="str">
        <f t="shared" si="60"/>
        <v/>
      </c>
      <c r="U468" s="195" t="str">
        <f t="shared" si="55"/>
        <v/>
      </c>
      <c r="V468">
        <f t="shared" si="56"/>
        <v>69</v>
      </c>
      <c r="W468" s="195" t="str">
        <f t="shared" si="61"/>
        <v/>
      </c>
      <c r="X468" s="195" t="str">
        <f t="shared" si="62"/>
        <v/>
      </c>
      <c r="Y468" s="255" t="str">
        <f>IF(ISNUMBER(SEARCH("C", 'Dry_Litterbag Placem_Collection'!V175)),"YES","NO")</f>
        <v>NO</v>
      </c>
      <c r="Z468" s="255" t="str">
        <f>IF(ISNUMBER(SEARCH("H", 'Dry_Litterbag Placem_Collection'!V175)),"YES","NO")</f>
        <v>NO</v>
      </c>
      <c r="AA468" s="255" t="str">
        <f>IF(ISNUMBER(SEARCH("R", 'Dry_Litterbag Placem_Collection'!V175)),"YES","NO")</f>
        <v>NO</v>
      </c>
      <c r="AB468" s="255" t="str">
        <f>IF(ISNUMBER(SEARCH("C", 'Dry_Litterbag Placem_Collection'!U175)),"YES","NO")</f>
        <v>NO</v>
      </c>
      <c r="AC468" s="255" t="str">
        <f>IF(ISNUMBER(SEARCH("H", 'Dry_Litterbag Placem_Collection'!U175)),"YES","NO")</f>
        <v>NO</v>
      </c>
      <c r="AD468" s="255" t="str">
        <f>IF(ISNUMBER(SEARCH("R", 'Dry_Litterbag Placem_Collection'!U175)),"YES","NO")</f>
        <v>NO</v>
      </c>
    </row>
    <row r="469" spans="2:30">
      <c r="B469" t="str">
        <f>'Final data_for_R_analysis_Dryse'!A615</f>
        <v>Dry</v>
      </c>
      <c r="C469" s="263">
        <f>'Final data_for_R_analysis_Dryse'!B615</f>
        <v>174</v>
      </c>
      <c r="D469" t="s">
        <v>3853</v>
      </c>
      <c r="E469" t="s">
        <v>25</v>
      </c>
      <c r="F469" s="387">
        <v>6</v>
      </c>
      <c r="G469" s="16">
        <f>'Dry_Litterbag Placem_Collection'!E176</f>
        <v>42940</v>
      </c>
      <c r="H469" s="92" t="str">
        <f>'Final data_for_R_analysis_Dryse'!J615</f>
        <v>G155</v>
      </c>
      <c r="I469" t="str">
        <f>'Final data_for_R_analysis_Dryse'!J835</f>
        <v>R702</v>
      </c>
      <c r="J469">
        <f>IFERROR(INDEX('Green_rooibos initial weight'!$C$5:$C$1749,MATCH(H469, 'Green_rooibos initial weight'!$A$5:$A$1749,0)),"")</f>
        <v>2.0379999999999998</v>
      </c>
      <c r="K469">
        <f>IFERROR(INDEX('Green_rooibos initial weight'!$C$5:$C$1749,MATCH(I469, 'Green_rooibos initial weight'!$A$5:$A$1749,0)),"")</f>
        <v>2.2010000000000001</v>
      </c>
      <c r="L469" s="195">
        <f t="shared" si="57"/>
        <v>1.7881999999999998</v>
      </c>
      <c r="M469" s="195">
        <f t="shared" si="58"/>
        <v>1.9512</v>
      </c>
      <c r="N469" s="16">
        <f>IF('Dry_Litterbag Placem_Collection'!G176="N.A","",'Dry_Litterbag Placem_Collection'!G176)</f>
        <v>43009</v>
      </c>
      <c r="O469" s="195">
        <f>IF(IFERROR(INDEX('Both teabags AfterDry'!$D$1:$D$839,MATCH(H469,'Both teabags AfterDry'!$A$1:$A$839,0)),"")="N.A","",(IFERROR(INDEX('Both teabags AfterDry'!$D$1:$D$839,MATCH(H469,'Both teabags AfterDry'!$A$1:$A$839,0)),"")))</f>
        <v>0.78239999999999998</v>
      </c>
      <c r="P469" s="195">
        <f>IF(IFERROR(INDEX('Both teabags AfterDry'!$D$1:$D$839,MATCH(I469,'Both teabags AfterDry'!$A$1:$A$839,0)),"")="N.A","",(IFERROR(INDEX('Both teabags AfterDry'!$D$1:$D$839,MATCH(I469,'Both teabags AfterDry'!$A$1:$A$839,0)),"")))</f>
        <v>1.7047000000000001</v>
      </c>
      <c r="Q469" s="195">
        <f t="shared" si="59"/>
        <v>0.63179999999999992</v>
      </c>
      <c r="R469" s="195">
        <f t="shared" si="59"/>
        <v>1.5541</v>
      </c>
      <c r="S469" s="195">
        <f t="shared" si="54"/>
        <v>0.6466838161279499</v>
      </c>
      <c r="T469" s="195">
        <f t="shared" si="60"/>
        <v>0.42395423575134017</v>
      </c>
      <c r="U469" s="195">
        <f t="shared" si="55"/>
        <v>0.79648421484214837</v>
      </c>
      <c r="V469">
        <f t="shared" si="56"/>
        <v>69</v>
      </c>
      <c r="W469" s="195">
        <f t="shared" si="61"/>
        <v>0.23196696421858676</v>
      </c>
      <c r="X469" s="195">
        <f t="shared" si="62"/>
        <v>9.4783622401016995E-3</v>
      </c>
      <c r="Y469" s="255" t="str">
        <f>IF(ISNUMBER(SEARCH("C", 'Dry_Litterbag Placem_Collection'!V176)),"YES","NO")</f>
        <v>NO</v>
      </c>
      <c r="Z469" s="255" t="str">
        <f>IF(ISNUMBER(SEARCH("H", 'Dry_Litterbag Placem_Collection'!V176)),"YES","NO")</f>
        <v>NO</v>
      </c>
      <c r="AA469" s="255" t="str">
        <f>IF(ISNUMBER(SEARCH("R", 'Dry_Litterbag Placem_Collection'!V176)),"YES","NO")</f>
        <v>NO</v>
      </c>
      <c r="AB469" s="255" t="str">
        <f>IF(ISNUMBER(SEARCH("C", 'Dry_Litterbag Placem_Collection'!U176)),"YES","NO")</f>
        <v>NO</v>
      </c>
      <c r="AC469" s="255" t="str">
        <f>IF(ISNUMBER(SEARCH("H", 'Dry_Litterbag Placem_Collection'!U176)),"YES","NO")</f>
        <v>NO</v>
      </c>
      <c r="AD469" s="255" t="str">
        <f>IF(ISNUMBER(SEARCH("R", 'Dry_Litterbag Placem_Collection'!U176)),"YES","NO")</f>
        <v>NO</v>
      </c>
    </row>
    <row r="470" spans="2:30">
      <c r="B470" t="str">
        <f>'Final data_for_R_analysis_Dryse'!A616</f>
        <v>Dry</v>
      </c>
      <c r="C470" s="263">
        <f>'Final data_for_R_analysis_Dryse'!B616</f>
        <v>175</v>
      </c>
      <c r="D470" t="s">
        <v>3853</v>
      </c>
      <c r="E470" t="s">
        <v>25</v>
      </c>
      <c r="F470" s="387">
        <v>7</v>
      </c>
      <c r="G470" s="16">
        <f>'Dry_Litterbag Placem_Collection'!E177</f>
        <v>42940</v>
      </c>
      <c r="H470" s="92" t="str">
        <f>'Final data_for_R_analysis_Dryse'!J616</f>
        <v>G719</v>
      </c>
      <c r="I470" t="str">
        <f>'Final data_for_R_analysis_Dryse'!J836</f>
        <v>R175</v>
      </c>
      <c r="J470">
        <f>IFERROR(INDEX('Green_rooibos initial weight'!$C$5:$C$1749,MATCH(H470, 'Green_rooibos initial weight'!$A$5:$A$1749,0)),"")</f>
        <v>2.02</v>
      </c>
      <c r="K470">
        <f>IFERROR(INDEX('Green_rooibos initial weight'!$C$5:$C$1749,MATCH(I470, 'Green_rooibos initial weight'!$A$5:$A$1749,0)),"")</f>
        <v>2.2330000000000001</v>
      </c>
      <c r="L470" s="195">
        <f t="shared" si="57"/>
        <v>1.7702</v>
      </c>
      <c r="M470" s="195">
        <f t="shared" si="58"/>
        <v>1.9832000000000001</v>
      </c>
      <c r="N470" s="16">
        <f>IF('Dry_Litterbag Placem_Collection'!G177="N.A","",'Dry_Litterbag Placem_Collection'!G177)</f>
        <v>43009</v>
      </c>
      <c r="O470" s="195">
        <f>IF(IFERROR(INDEX('Both teabags AfterDry'!$D$1:$D$839,MATCH(H470,'Both teabags AfterDry'!$A$1:$A$839,0)),"")="N.A","",(IFERROR(INDEX('Both teabags AfterDry'!$D$1:$D$839,MATCH(H470,'Both teabags AfterDry'!$A$1:$A$839,0)),"")))</f>
        <v>0.80269999999999997</v>
      </c>
      <c r="P470" s="195">
        <f>IF(IFERROR(INDEX('Both teabags AfterDry'!$D$1:$D$839,MATCH(I470,'Both teabags AfterDry'!$A$1:$A$839,0)),"")="N.A","",(IFERROR(INDEX('Both teabags AfterDry'!$D$1:$D$839,MATCH(I470,'Both teabags AfterDry'!$A$1:$A$839,0)),"")))</f>
        <v>1.8721000000000001</v>
      </c>
      <c r="Q470" s="195">
        <f t="shared" si="59"/>
        <v>0.6520999999999999</v>
      </c>
      <c r="R470" s="195">
        <f t="shared" si="59"/>
        <v>1.7215</v>
      </c>
      <c r="S470" s="195">
        <f t="shared" si="54"/>
        <v>0.63162354536210596</v>
      </c>
      <c r="T470" s="195">
        <f t="shared" si="60"/>
        <v>0.41408099410912419</v>
      </c>
      <c r="U470" s="195">
        <f t="shared" si="55"/>
        <v>0.86804154901169828</v>
      </c>
      <c r="V470">
        <f t="shared" si="56"/>
        <v>69</v>
      </c>
      <c r="W470" s="195">
        <f t="shared" si="61"/>
        <v>0.24985327154144177</v>
      </c>
      <c r="X470" s="195">
        <f t="shared" si="62"/>
        <v>5.5611603770005713E-3</v>
      </c>
      <c r="Y470" s="255" t="str">
        <f>IF(ISNUMBER(SEARCH("C", 'Dry_Litterbag Placem_Collection'!V177)),"YES","NO")</f>
        <v>NO</v>
      </c>
      <c r="Z470" s="255" t="str">
        <f>IF(ISNUMBER(SEARCH("H", 'Dry_Litterbag Placem_Collection'!V177)),"YES","NO")</f>
        <v>NO</v>
      </c>
      <c r="AA470" s="255" t="str">
        <f>IF(ISNUMBER(SEARCH("R", 'Dry_Litterbag Placem_Collection'!V177)),"YES","NO")</f>
        <v>YES</v>
      </c>
      <c r="AB470" s="255" t="str">
        <f>IF(ISNUMBER(SEARCH("C", 'Dry_Litterbag Placem_Collection'!U177)),"YES","NO")</f>
        <v>NO</v>
      </c>
      <c r="AC470" s="255" t="str">
        <f>IF(ISNUMBER(SEARCH("H", 'Dry_Litterbag Placem_Collection'!U177)),"YES","NO")</f>
        <v>NO</v>
      </c>
      <c r="AD470" s="255" t="str">
        <f>IF(ISNUMBER(SEARCH("R", 'Dry_Litterbag Placem_Collection'!U177)),"YES","NO")</f>
        <v>NO</v>
      </c>
    </row>
    <row r="471" spans="2:30">
      <c r="B471" t="str">
        <f>'Final data_for_R_analysis_Dryse'!A617</f>
        <v>Dry</v>
      </c>
      <c r="C471" s="263">
        <f>'Final data_for_R_analysis_Dryse'!B617</f>
        <v>176</v>
      </c>
      <c r="D471" t="s">
        <v>3853</v>
      </c>
      <c r="E471" t="s">
        <v>25</v>
      </c>
      <c r="F471" s="387">
        <v>8</v>
      </c>
      <c r="G471" s="16">
        <f>'Dry_Litterbag Placem_Collection'!E178</f>
        <v>42940</v>
      </c>
      <c r="H471" s="92" t="str">
        <f>'Final data_for_R_analysis_Dryse'!J617</f>
        <v>G323</v>
      </c>
      <c r="I471" t="str">
        <f>'Final data_for_R_analysis_Dryse'!J837</f>
        <v>R332</v>
      </c>
      <c r="J471">
        <f>IFERROR(INDEX('Green_rooibos initial weight'!$C$5:$C$1749,MATCH(H471, 'Green_rooibos initial weight'!$A$5:$A$1749,0)),"")</f>
        <v>1.97</v>
      </c>
      <c r="K471">
        <f>IFERROR(INDEX('Green_rooibos initial weight'!$C$5:$C$1749,MATCH(I471, 'Green_rooibos initial weight'!$A$5:$A$1749,0)),"")</f>
        <v>2.1880000000000002</v>
      </c>
      <c r="L471" s="195">
        <f t="shared" si="57"/>
        <v>1.7202</v>
      </c>
      <c r="M471" s="195">
        <f t="shared" si="58"/>
        <v>1.9382000000000001</v>
      </c>
      <c r="N471" s="16">
        <f>IF('Dry_Litterbag Placem_Collection'!G178="N.A","",'Dry_Litterbag Placem_Collection'!G178)</f>
        <v>43009</v>
      </c>
      <c r="O471" s="195">
        <f>IF(IFERROR(INDEX('Both teabags AfterDry'!$D$1:$D$839,MATCH(H471,'Both teabags AfterDry'!$A$1:$A$839,0)),"")="N.A","",(IFERROR(INDEX('Both teabags AfterDry'!$D$1:$D$839,MATCH(H471,'Both teabags AfterDry'!$A$1:$A$839,0)),"")))</f>
        <v>0.74829999999999997</v>
      </c>
      <c r="P471" s="195">
        <f>IF(IFERROR(INDEX('Both teabags AfterDry'!$D$1:$D$839,MATCH(I471,'Both teabags AfterDry'!$A$1:$A$839,0)),"")="N.A","",(IFERROR(INDEX('Both teabags AfterDry'!$D$1:$D$839,MATCH(I471,'Both teabags AfterDry'!$A$1:$A$839,0)),"")))</f>
        <v>1.8720000000000001</v>
      </c>
      <c r="Q471" s="195">
        <f t="shared" si="59"/>
        <v>0.5976999999999999</v>
      </c>
      <c r="R471" s="195">
        <f t="shared" si="59"/>
        <v>1.7214</v>
      </c>
      <c r="S471" s="195">
        <f t="shared" si="54"/>
        <v>0.65254040227880483</v>
      </c>
      <c r="T471" s="195">
        <f t="shared" si="60"/>
        <v>0.42779370790724502</v>
      </c>
      <c r="U471" s="195">
        <f t="shared" si="55"/>
        <v>0.88814363842740685</v>
      </c>
      <c r="V471">
        <f t="shared" si="56"/>
        <v>69</v>
      </c>
      <c r="W471" s="195">
        <f t="shared" si="61"/>
        <v>0.22501139871875908</v>
      </c>
      <c r="X471" s="195">
        <f t="shared" si="62"/>
        <v>4.3927125460899909E-3</v>
      </c>
      <c r="Y471" s="255" t="str">
        <f>IF(ISNUMBER(SEARCH("C", 'Dry_Litterbag Placem_Collection'!V178)),"YES","NO")</f>
        <v>NO</v>
      </c>
      <c r="Z471" s="255" t="str">
        <f>IF(ISNUMBER(SEARCH("H", 'Dry_Litterbag Placem_Collection'!V178)),"YES","NO")</f>
        <v>NO</v>
      </c>
      <c r="AA471" s="255" t="str">
        <f>IF(ISNUMBER(SEARCH("R", 'Dry_Litterbag Placem_Collection'!V178)),"YES","NO")</f>
        <v>YES</v>
      </c>
      <c r="AB471" s="255" t="str">
        <f>IF(ISNUMBER(SEARCH("C", 'Dry_Litterbag Placem_Collection'!U178)),"YES","NO")</f>
        <v>NO</v>
      </c>
      <c r="AC471" s="255" t="str">
        <f>IF(ISNUMBER(SEARCH("H", 'Dry_Litterbag Placem_Collection'!U178)),"YES","NO")</f>
        <v>NO</v>
      </c>
      <c r="AD471" s="255" t="str">
        <f>IF(ISNUMBER(SEARCH("R", 'Dry_Litterbag Placem_Collection'!U178)),"YES","NO")</f>
        <v>YES</v>
      </c>
    </row>
    <row r="472" spans="2:30">
      <c r="B472" t="str">
        <f>'Final data_for_R_analysis_Dryse'!A618</f>
        <v>Dry</v>
      </c>
      <c r="C472" s="263">
        <f>'Final data_for_R_analysis_Dryse'!B618</f>
        <v>177</v>
      </c>
      <c r="D472" t="s">
        <v>3854</v>
      </c>
      <c r="E472" t="s">
        <v>25</v>
      </c>
      <c r="F472" s="386">
        <v>1</v>
      </c>
      <c r="G472" s="16">
        <f>'Dry_Litterbag Placem_Collection'!E179</f>
        <v>42940</v>
      </c>
      <c r="H472" s="92" t="str">
        <f>'Final data_for_R_analysis_Dryse'!J618</f>
        <v>G14</v>
      </c>
      <c r="I472" t="str">
        <f>'Final data_for_R_analysis_Dryse'!J838</f>
        <v>R279</v>
      </c>
      <c r="J472">
        <f>IFERROR(INDEX('Green_rooibos initial weight'!$C$5:$C$1749,MATCH(H472, 'Green_rooibos initial weight'!$A$5:$A$1749,0)),"")</f>
        <v>2.0750000000000002</v>
      </c>
      <c r="K472">
        <f>IFERROR(INDEX('Green_rooibos initial weight'!$C$5:$C$1749,MATCH(I472, 'Green_rooibos initial weight'!$A$5:$A$1749,0)),"")</f>
        <v>2.161</v>
      </c>
      <c r="L472" s="195">
        <f t="shared" si="57"/>
        <v>1.8252000000000002</v>
      </c>
      <c r="M472" s="195">
        <f t="shared" si="58"/>
        <v>1.9112</v>
      </c>
      <c r="N472" s="16">
        <f>IF('Dry_Litterbag Placem_Collection'!G179="N.A","",'Dry_Litterbag Placem_Collection'!G179)</f>
        <v>43009</v>
      </c>
      <c r="O472" s="195" t="str">
        <f>IF(IFERROR(INDEX('Both teabags AfterDry'!$D$1:$D$839,MATCH(H472,'Both teabags AfterDry'!$A$1:$A$839,0)),"")="N.A","",(IFERROR(INDEX('Both teabags AfterDry'!$D$1:$D$839,MATCH(H472,'Both teabags AfterDry'!$A$1:$A$839,0)),"")))</f>
        <v/>
      </c>
      <c r="P472" s="195" t="str">
        <f>IF(IFERROR(INDEX('Both teabags AfterDry'!$D$1:$D$839,MATCH(I472,'Both teabags AfterDry'!$A$1:$A$839,0)),"")="N.A","",(IFERROR(INDEX('Both teabags AfterDry'!$D$1:$D$839,MATCH(I472,'Both teabags AfterDry'!$A$1:$A$839,0)),"")))</f>
        <v/>
      </c>
      <c r="Q472" s="195" t="str">
        <f t="shared" si="59"/>
        <v/>
      </c>
      <c r="R472" s="195" t="str">
        <f t="shared" si="59"/>
        <v/>
      </c>
      <c r="S472" s="195" t="str">
        <f t="shared" si="54"/>
        <v/>
      </c>
      <c r="T472" s="195" t="str">
        <f t="shared" si="60"/>
        <v/>
      </c>
      <c r="U472" s="195" t="str">
        <f t="shared" si="55"/>
        <v/>
      </c>
      <c r="V472">
        <f t="shared" si="56"/>
        <v>69</v>
      </c>
      <c r="W472" s="195" t="str">
        <f t="shared" si="61"/>
        <v/>
      </c>
      <c r="X472" s="195" t="str">
        <f t="shared" si="62"/>
        <v/>
      </c>
      <c r="Y472" s="255" t="str">
        <f>IF(ISNUMBER(SEARCH("C", 'Dry_Litterbag Placem_Collection'!V179)),"YES","NO")</f>
        <v>NO</v>
      </c>
      <c r="Z472" s="255" t="str">
        <f>IF(ISNUMBER(SEARCH("H", 'Dry_Litterbag Placem_Collection'!V179)),"YES","NO")</f>
        <v>NO</v>
      </c>
      <c r="AA472" s="255" t="str">
        <f>IF(ISNUMBER(SEARCH("R", 'Dry_Litterbag Placem_Collection'!V179)),"YES","NO")</f>
        <v>YES</v>
      </c>
      <c r="AB472" s="255" t="str">
        <f>IF(ISNUMBER(SEARCH("C", 'Dry_Litterbag Placem_Collection'!U179)),"YES","NO")</f>
        <v>NO</v>
      </c>
      <c r="AC472" s="255" t="str">
        <f>IF(ISNUMBER(SEARCH("H", 'Dry_Litterbag Placem_Collection'!U179)),"YES","NO")</f>
        <v>NO</v>
      </c>
      <c r="AD472" s="255" t="str">
        <f>IF(ISNUMBER(SEARCH("R", 'Dry_Litterbag Placem_Collection'!U179)),"YES","NO")</f>
        <v>NO</v>
      </c>
    </row>
    <row r="473" spans="2:30">
      <c r="B473" t="str">
        <f>'Final data_for_R_analysis_Dryse'!A619</f>
        <v>Dry</v>
      </c>
      <c r="C473" s="263">
        <f>'Final data_for_R_analysis_Dryse'!B619</f>
        <v>178</v>
      </c>
      <c r="D473" t="s">
        <v>3854</v>
      </c>
      <c r="E473" t="s">
        <v>25</v>
      </c>
      <c r="F473" s="386">
        <v>2</v>
      </c>
      <c r="G473" s="16">
        <f>'Dry_Litterbag Placem_Collection'!E180</f>
        <v>42940</v>
      </c>
      <c r="H473" s="92" t="str">
        <f>'Final data_for_R_analysis_Dryse'!J619</f>
        <v>G410</v>
      </c>
      <c r="I473" t="str">
        <f>'Final data_for_R_analysis_Dryse'!J839</f>
        <v>R718</v>
      </c>
      <c r="J473">
        <f>IFERROR(INDEX('Green_rooibos initial weight'!$C$5:$C$1749,MATCH(H473, 'Green_rooibos initial weight'!$A$5:$A$1749,0)),"")</f>
        <v>2.1110000000000002</v>
      </c>
      <c r="K473">
        <f>IFERROR(INDEX('Green_rooibos initial weight'!$C$5:$C$1749,MATCH(I473, 'Green_rooibos initial weight'!$A$5:$A$1749,0)),"")</f>
        <v>2.2050000000000001</v>
      </c>
      <c r="L473" s="195">
        <f t="shared" si="57"/>
        <v>1.8612000000000002</v>
      </c>
      <c r="M473" s="195">
        <f t="shared" si="58"/>
        <v>1.9552</v>
      </c>
      <c r="N473" s="16">
        <f>IF('Dry_Litterbag Placem_Collection'!G180="N.A","",'Dry_Litterbag Placem_Collection'!G180)</f>
        <v>43009</v>
      </c>
      <c r="O473" s="195">
        <f>IF(IFERROR(INDEX('Both teabags AfterDry'!$D$1:$D$839,MATCH(H473,'Both teabags AfterDry'!$A$1:$A$839,0)),"")="N.A","",(IFERROR(INDEX('Both teabags AfterDry'!$D$1:$D$839,MATCH(H473,'Both teabags AfterDry'!$A$1:$A$839,0)),"")))</f>
        <v>0.71050000000000002</v>
      </c>
      <c r="P473" s="195">
        <f>IF(IFERROR(INDEX('Both teabags AfterDry'!$D$1:$D$839,MATCH(I473,'Both teabags AfterDry'!$A$1:$A$839,0)),"")="N.A","",(IFERROR(INDEX('Both teabags AfterDry'!$D$1:$D$839,MATCH(I473,'Both teabags AfterDry'!$A$1:$A$839,0)),"")))</f>
        <v>1.8359000000000001</v>
      </c>
      <c r="Q473" s="195">
        <f t="shared" si="59"/>
        <v>0.55990000000000006</v>
      </c>
      <c r="R473" s="195">
        <f t="shared" si="59"/>
        <v>1.6853</v>
      </c>
      <c r="S473" s="195">
        <f t="shared" si="54"/>
        <v>0.69917257683215128</v>
      </c>
      <c r="T473" s="195">
        <f t="shared" si="60"/>
        <v>0.45836491972844129</v>
      </c>
      <c r="U473" s="195">
        <f t="shared" si="55"/>
        <v>0.86195785597381336</v>
      </c>
      <c r="V473">
        <f t="shared" si="56"/>
        <v>69</v>
      </c>
      <c r="W473" s="195">
        <f t="shared" si="61"/>
        <v>0.16962876860789633</v>
      </c>
      <c r="X473" s="195">
        <f t="shared" si="62"/>
        <v>5.1932822222561011E-3</v>
      </c>
      <c r="Y473" s="255" t="str">
        <f>IF(ISNUMBER(SEARCH("C", 'Dry_Litterbag Placem_Collection'!V180)),"YES","NO")</f>
        <v>NO</v>
      </c>
      <c r="Z473" s="255" t="str">
        <f>IF(ISNUMBER(SEARCH("H", 'Dry_Litterbag Placem_Collection'!V180)),"YES","NO")</f>
        <v>NO</v>
      </c>
      <c r="AA473" s="255" t="str">
        <f>IF(ISNUMBER(SEARCH("R", 'Dry_Litterbag Placem_Collection'!V180)),"YES","NO")</f>
        <v>NO</v>
      </c>
      <c r="AB473" s="255" t="str">
        <f>IF(ISNUMBER(SEARCH("C", 'Dry_Litterbag Placem_Collection'!U180)),"YES","NO")</f>
        <v>NO</v>
      </c>
      <c r="AC473" s="255" t="str">
        <f>IF(ISNUMBER(SEARCH("H", 'Dry_Litterbag Placem_Collection'!U180)),"YES","NO")</f>
        <v>NO</v>
      </c>
      <c r="AD473" s="255" t="str">
        <f>IF(ISNUMBER(SEARCH("R", 'Dry_Litterbag Placem_Collection'!U180)),"YES","NO")</f>
        <v>NO</v>
      </c>
    </row>
    <row r="474" spans="2:30">
      <c r="B474" t="str">
        <f>'Final data_for_R_analysis_Dryse'!A620</f>
        <v>Dry</v>
      </c>
      <c r="C474" s="263">
        <f>'Final data_for_R_analysis_Dryse'!B620</f>
        <v>179</v>
      </c>
      <c r="D474" t="s">
        <v>3854</v>
      </c>
      <c r="E474" t="s">
        <v>25</v>
      </c>
      <c r="F474" s="386">
        <v>3</v>
      </c>
      <c r="G474" s="16">
        <f>'Dry_Litterbag Placem_Collection'!E181</f>
        <v>42940</v>
      </c>
      <c r="H474" s="92" t="str">
        <f>'Final data_for_R_analysis_Dryse'!J620</f>
        <v>G78</v>
      </c>
      <c r="I474" t="str">
        <f>'Final data_for_R_analysis_Dryse'!J840</f>
        <v>R640</v>
      </c>
      <c r="J474">
        <f>IFERROR(INDEX('Green_rooibos initial weight'!$C$5:$C$1749,MATCH(H474, 'Green_rooibos initial weight'!$A$5:$A$1749,0)),"")</f>
        <v>2.0379999999999998</v>
      </c>
      <c r="K474">
        <f>IFERROR(INDEX('Green_rooibos initial weight'!$C$5:$C$1749,MATCH(I474, 'Green_rooibos initial weight'!$A$5:$A$1749,0)),"")</f>
        <v>2.1019999999999999</v>
      </c>
      <c r="L474" s="195">
        <f t="shared" si="57"/>
        <v>1.7881999999999998</v>
      </c>
      <c r="M474" s="195">
        <f t="shared" si="58"/>
        <v>1.8521999999999998</v>
      </c>
      <c r="N474" s="16">
        <f>IF('Dry_Litterbag Placem_Collection'!G181="N.A","",'Dry_Litterbag Placem_Collection'!G181)</f>
        <v>43009</v>
      </c>
      <c r="O474" s="195">
        <f>IF(IFERROR(INDEX('Both teabags AfterDry'!$D$1:$D$839,MATCH(H474,'Both teabags AfterDry'!$A$1:$A$839,0)),"")="N.A","",(IFERROR(INDEX('Both teabags AfterDry'!$D$1:$D$839,MATCH(H474,'Both teabags AfterDry'!$A$1:$A$839,0)),"")))</f>
        <v>0.871</v>
      </c>
      <c r="P474" s="195">
        <f>IF(IFERROR(INDEX('Both teabags AfterDry'!$D$1:$D$839,MATCH(I474,'Both teabags AfterDry'!$A$1:$A$839,0)),"")="N.A","",(IFERROR(INDEX('Both teabags AfterDry'!$D$1:$D$839,MATCH(I474,'Both teabags AfterDry'!$A$1:$A$839,0)),"")))</f>
        <v>1.6580999999999999</v>
      </c>
      <c r="Q474" s="195">
        <f t="shared" si="59"/>
        <v>0.72039999999999993</v>
      </c>
      <c r="R474" s="195">
        <f t="shared" si="59"/>
        <v>1.5074999999999998</v>
      </c>
      <c r="S474" s="195">
        <f t="shared" si="54"/>
        <v>0.59713678559445249</v>
      </c>
      <c r="T474" s="195">
        <f t="shared" si="60"/>
        <v>0.39147209696928481</v>
      </c>
      <c r="U474" s="195">
        <f t="shared" si="55"/>
        <v>0.81389698736637506</v>
      </c>
      <c r="V474">
        <f t="shared" si="56"/>
        <v>69</v>
      </c>
      <c r="W474" s="195">
        <f t="shared" si="61"/>
        <v>0.29081141853390435</v>
      </c>
      <c r="X474" s="195">
        <f t="shared" si="62"/>
        <v>9.3493546238809459E-3</v>
      </c>
      <c r="Y474" s="255" t="str">
        <f>IF(ISNUMBER(SEARCH("C", 'Dry_Litterbag Placem_Collection'!V181)),"YES","NO")</f>
        <v>NO</v>
      </c>
      <c r="Z474" s="255" t="str">
        <f>IF(ISNUMBER(SEARCH("H", 'Dry_Litterbag Placem_Collection'!V181)),"YES","NO")</f>
        <v>NO</v>
      </c>
      <c r="AA474" s="255" t="str">
        <f>IF(ISNUMBER(SEARCH("R", 'Dry_Litterbag Placem_Collection'!V181)),"YES","NO")</f>
        <v>NO</v>
      </c>
      <c r="AB474" s="255" t="str">
        <f>IF(ISNUMBER(SEARCH("C", 'Dry_Litterbag Placem_Collection'!U181)),"YES","NO")</f>
        <v>NO</v>
      </c>
      <c r="AC474" s="255" t="str">
        <f>IF(ISNUMBER(SEARCH("H", 'Dry_Litterbag Placem_Collection'!U181)),"YES","NO")</f>
        <v>NO</v>
      </c>
      <c r="AD474" s="255" t="str">
        <f>IF(ISNUMBER(SEARCH("R", 'Dry_Litterbag Placem_Collection'!U181)),"YES","NO")</f>
        <v>YES</v>
      </c>
    </row>
    <row r="475" spans="2:30">
      <c r="B475" t="str">
        <f>'Final data_for_R_analysis_Dryse'!A621</f>
        <v>Dry</v>
      </c>
      <c r="C475" s="263">
        <f>'Final data_for_R_analysis_Dryse'!B621</f>
        <v>180</v>
      </c>
      <c r="D475" t="s">
        <v>3854</v>
      </c>
      <c r="E475" t="s">
        <v>25</v>
      </c>
      <c r="F475" s="387">
        <v>4</v>
      </c>
      <c r="G475" s="16">
        <f>'Dry_Litterbag Placem_Collection'!E182</f>
        <v>42940</v>
      </c>
      <c r="H475" s="92" t="str">
        <f>'Final data_for_R_analysis_Dryse'!J621</f>
        <v>G422</v>
      </c>
      <c r="I475" t="str">
        <f>'Final data_for_R_analysis_Dryse'!J841</f>
        <v>R669</v>
      </c>
      <c r="J475">
        <f>IFERROR(INDEX('Green_rooibos initial weight'!$C$5:$C$1749,MATCH(H475, 'Green_rooibos initial weight'!$A$5:$A$1749,0)),"")</f>
        <v>2.0049999999999999</v>
      </c>
      <c r="K475">
        <f>IFERROR(INDEX('Green_rooibos initial weight'!$C$5:$C$1749,MATCH(I475, 'Green_rooibos initial weight'!$A$5:$A$1749,0)),"")</f>
        <v>2.1480000000000001</v>
      </c>
      <c r="L475" s="195">
        <f t="shared" si="57"/>
        <v>1.7551999999999999</v>
      </c>
      <c r="M475" s="195">
        <f t="shared" si="58"/>
        <v>1.8982000000000001</v>
      </c>
      <c r="N475" s="16">
        <f>IF('Dry_Litterbag Placem_Collection'!G182="N.A","",'Dry_Litterbag Placem_Collection'!G182)</f>
        <v>43009</v>
      </c>
      <c r="O475" s="195">
        <f>IF(IFERROR(INDEX('Both teabags AfterDry'!$D$1:$D$839,MATCH(H475,'Both teabags AfterDry'!$A$1:$A$839,0)),"")="N.A","",(IFERROR(INDEX('Both teabags AfterDry'!$D$1:$D$839,MATCH(H475,'Both teabags AfterDry'!$A$1:$A$839,0)),"")))</f>
        <v>0.751</v>
      </c>
      <c r="P475" s="195">
        <f>IF(IFERROR(INDEX('Both teabags AfterDry'!$D$1:$D$839,MATCH(I475,'Both teabags AfterDry'!$A$1:$A$839,0)),"")="N.A","",(IFERROR(INDEX('Both teabags AfterDry'!$D$1:$D$839,MATCH(I475,'Both teabags AfterDry'!$A$1:$A$839,0)),"")))</f>
        <v>1.6716</v>
      </c>
      <c r="Q475" s="195">
        <f t="shared" si="59"/>
        <v>0.60040000000000004</v>
      </c>
      <c r="R475" s="195">
        <f t="shared" si="59"/>
        <v>1.5209999999999999</v>
      </c>
      <c r="S475" s="195">
        <f t="shared" si="54"/>
        <v>0.6579307201458523</v>
      </c>
      <c r="T475" s="195">
        <f t="shared" si="60"/>
        <v>0.43132750299348038</v>
      </c>
      <c r="U475" s="195">
        <f t="shared" si="55"/>
        <v>0.8012854283004951</v>
      </c>
      <c r="V475">
        <f t="shared" si="56"/>
        <v>69</v>
      </c>
      <c r="W475" s="195">
        <f t="shared" si="61"/>
        <v>0.2186095960263037</v>
      </c>
      <c r="X475" s="195">
        <f t="shared" si="62"/>
        <v>8.9491570462087167E-3</v>
      </c>
      <c r="Y475" s="255" t="str">
        <f>IF(ISNUMBER(SEARCH("C", 'Dry_Litterbag Placem_Collection'!V182)),"YES","NO")</f>
        <v>NO</v>
      </c>
      <c r="Z475" s="255" t="str">
        <f>IF(ISNUMBER(SEARCH("H", 'Dry_Litterbag Placem_Collection'!V182)),"YES","NO")</f>
        <v>NO</v>
      </c>
      <c r="AA475" s="255" t="str">
        <f>IF(ISNUMBER(SEARCH("R", 'Dry_Litterbag Placem_Collection'!V182)),"YES","NO")</f>
        <v>NO</v>
      </c>
      <c r="AB475" s="255" t="str">
        <f>IF(ISNUMBER(SEARCH("C", 'Dry_Litterbag Placem_Collection'!U182)),"YES","NO")</f>
        <v>NO</v>
      </c>
      <c r="AC475" s="255" t="str">
        <f>IF(ISNUMBER(SEARCH("H", 'Dry_Litterbag Placem_Collection'!U182)),"YES","NO")</f>
        <v>NO</v>
      </c>
      <c r="AD475" s="255" t="str">
        <f>IF(ISNUMBER(SEARCH("R", 'Dry_Litterbag Placem_Collection'!U182)),"YES","NO")</f>
        <v>YES</v>
      </c>
    </row>
    <row r="476" spans="2:30">
      <c r="B476" t="str">
        <f>'Final data_for_R_analysis_Dryse'!A622</f>
        <v>Dry</v>
      </c>
      <c r="C476" s="263">
        <f>'Final data_for_R_analysis_Dryse'!B622</f>
        <v>181</v>
      </c>
      <c r="D476" t="s">
        <v>3854</v>
      </c>
      <c r="E476" t="s">
        <v>25</v>
      </c>
      <c r="F476" s="387">
        <v>5</v>
      </c>
      <c r="G476" s="16">
        <f>'Dry_Litterbag Placem_Collection'!E183</f>
        <v>42940</v>
      </c>
      <c r="H476" s="92" t="str">
        <f>'Final data_for_R_analysis_Dryse'!J622</f>
        <v>G870</v>
      </c>
      <c r="I476" t="str">
        <f>'Final data_for_R_analysis_Dryse'!J842</f>
        <v>R170</v>
      </c>
      <c r="J476">
        <f>IFERROR(INDEX('Green_rooibos initial weight'!$C$5:$C$1749,MATCH(H476, 'Green_rooibos initial weight'!$A$5:$A$1749,0)),"")</f>
        <v>1.972</v>
      </c>
      <c r="K476">
        <f>IFERROR(INDEX('Green_rooibos initial weight'!$C$5:$C$1749,MATCH(I476, 'Green_rooibos initial weight'!$A$5:$A$1749,0)),"")</f>
        <v>2.1120000000000001</v>
      </c>
      <c r="L476" s="195">
        <f t="shared" si="57"/>
        <v>1.7222</v>
      </c>
      <c r="M476" s="195">
        <f t="shared" si="58"/>
        <v>1.8622000000000001</v>
      </c>
      <c r="N476" s="16">
        <f>IF('Dry_Litterbag Placem_Collection'!G183="N.A","",'Dry_Litterbag Placem_Collection'!G183)</f>
        <v>43009</v>
      </c>
      <c r="O476" s="195">
        <f>IF(IFERROR(INDEX('Both teabags AfterDry'!$D$1:$D$839,MATCH(H476,'Both teabags AfterDry'!$A$1:$A$839,0)),"")="N.A","",(IFERROR(INDEX('Both teabags AfterDry'!$D$1:$D$839,MATCH(H476,'Both teabags AfterDry'!$A$1:$A$839,0)),"")))</f>
        <v>0.75219999999999998</v>
      </c>
      <c r="P476" s="195">
        <f>IF(IFERROR(INDEX('Both teabags AfterDry'!$D$1:$D$839,MATCH(I476,'Both teabags AfterDry'!$A$1:$A$839,0)),"")="N.A","",(IFERROR(INDEX('Both teabags AfterDry'!$D$1:$D$839,MATCH(I476,'Both teabags AfterDry'!$A$1:$A$839,0)),"")))</f>
        <v>1.7410000000000001</v>
      </c>
      <c r="Q476" s="195">
        <f t="shared" si="59"/>
        <v>0.60159999999999991</v>
      </c>
      <c r="R476" s="195">
        <f t="shared" si="59"/>
        <v>1.5904</v>
      </c>
      <c r="S476" s="195">
        <f t="shared" si="54"/>
        <v>0.6506793636046917</v>
      </c>
      <c r="T476" s="195">
        <f t="shared" si="60"/>
        <v>0.42657364454844404</v>
      </c>
      <c r="U476" s="195">
        <f t="shared" si="55"/>
        <v>0.85404360433895388</v>
      </c>
      <c r="V476">
        <f t="shared" si="56"/>
        <v>69</v>
      </c>
      <c r="W476" s="195">
        <f t="shared" si="61"/>
        <v>0.22722165842673192</v>
      </c>
      <c r="X476" s="195">
        <f t="shared" si="62"/>
        <v>6.0694693719159816E-3</v>
      </c>
      <c r="Y476" s="255" t="str">
        <f>IF(ISNUMBER(SEARCH("C", 'Dry_Litterbag Placem_Collection'!V183)),"YES","NO")</f>
        <v>NO</v>
      </c>
      <c r="Z476" s="255" t="str">
        <f>IF(ISNUMBER(SEARCH("H", 'Dry_Litterbag Placem_Collection'!V183)),"YES","NO")</f>
        <v>NO</v>
      </c>
      <c r="AA476" s="255" t="str">
        <f>IF(ISNUMBER(SEARCH("R", 'Dry_Litterbag Placem_Collection'!V183)),"YES","NO")</f>
        <v>NO</v>
      </c>
      <c r="AB476" s="255" t="str">
        <f>IF(ISNUMBER(SEARCH("C", 'Dry_Litterbag Placem_Collection'!U183)),"YES","NO")</f>
        <v>NO</v>
      </c>
      <c r="AC476" s="255" t="str">
        <f>IF(ISNUMBER(SEARCH("H", 'Dry_Litterbag Placem_Collection'!U183)),"YES","NO")</f>
        <v>NO</v>
      </c>
      <c r="AD476" s="255" t="str">
        <f>IF(ISNUMBER(SEARCH("R", 'Dry_Litterbag Placem_Collection'!U183)),"YES","NO")</f>
        <v>NO</v>
      </c>
    </row>
    <row r="477" spans="2:30">
      <c r="B477" t="str">
        <f>'Final data_for_R_analysis_Dryse'!A623</f>
        <v>Dry</v>
      </c>
      <c r="C477" s="263">
        <f>'Final data_for_R_analysis_Dryse'!B623</f>
        <v>182</v>
      </c>
      <c r="D477" t="s">
        <v>3854</v>
      </c>
      <c r="E477" t="s">
        <v>25</v>
      </c>
      <c r="F477" s="387">
        <v>6</v>
      </c>
      <c r="G477" s="16">
        <f>'Dry_Litterbag Placem_Collection'!E184</f>
        <v>42940</v>
      </c>
      <c r="H477" s="92" t="str">
        <f>'Final data_for_R_analysis_Dryse'!J623</f>
        <v>G136</v>
      </c>
      <c r="I477" t="str">
        <f>'Final data_for_R_analysis_Dryse'!J843</f>
        <v>R697</v>
      </c>
      <c r="J477">
        <f>IFERROR(INDEX('Green_rooibos initial weight'!$C$5:$C$1749,MATCH(H477, 'Green_rooibos initial weight'!$A$5:$A$1749,0)),"")</f>
        <v>1.9430000000000001</v>
      </c>
      <c r="K477">
        <f>IFERROR(INDEX('Green_rooibos initial weight'!$C$5:$C$1749,MATCH(I477, 'Green_rooibos initial weight'!$A$5:$A$1749,0)),"")</f>
        <v>2.133</v>
      </c>
      <c r="L477" s="195">
        <f t="shared" si="57"/>
        <v>1.6932</v>
      </c>
      <c r="M477" s="195">
        <f t="shared" si="58"/>
        <v>1.8832</v>
      </c>
      <c r="N477" s="16">
        <f>IF('Dry_Litterbag Placem_Collection'!G184="N.A","",'Dry_Litterbag Placem_Collection'!G184)</f>
        <v>43009</v>
      </c>
      <c r="O477" s="195">
        <f>IF(IFERROR(INDEX('Both teabags AfterDry'!$D$1:$D$839,MATCH(H477,'Both teabags AfterDry'!$A$1:$A$839,0)),"")="N.A","",(IFERROR(INDEX('Both teabags AfterDry'!$D$1:$D$839,MATCH(H477,'Both teabags AfterDry'!$A$1:$A$839,0)),"")))</f>
        <v>0.71589999999999998</v>
      </c>
      <c r="P477" s="195">
        <f>IF(IFERROR(INDEX('Both teabags AfterDry'!$D$1:$D$839,MATCH(I477,'Both teabags AfterDry'!$A$1:$A$839,0)),"")="N.A","",(IFERROR(INDEX('Both teabags AfterDry'!$D$1:$D$839,MATCH(I477,'Both teabags AfterDry'!$A$1:$A$839,0)),"")))</f>
        <v>1.8089</v>
      </c>
      <c r="Q477" s="195">
        <f t="shared" si="59"/>
        <v>0.56529999999999991</v>
      </c>
      <c r="R477" s="195">
        <f t="shared" si="59"/>
        <v>1.6582999999999999</v>
      </c>
      <c r="S477" s="195">
        <f t="shared" si="54"/>
        <v>0.66613512875029535</v>
      </c>
      <c r="T477" s="195">
        <f t="shared" si="60"/>
        <v>0.43670616516646449</v>
      </c>
      <c r="U477" s="195">
        <f t="shared" si="55"/>
        <v>0.8805756159728122</v>
      </c>
      <c r="V477">
        <f t="shared" si="56"/>
        <v>69</v>
      </c>
      <c r="W477" s="195">
        <f t="shared" si="61"/>
        <v>0.20886564281437603</v>
      </c>
      <c r="X477" s="195">
        <f t="shared" si="62"/>
        <v>4.6300043403323552E-3</v>
      </c>
      <c r="Y477" s="255" t="str">
        <f>IF(ISNUMBER(SEARCH("C", 'Dry_Litterbag Placem_Collection'!V184)),"YES","NO")</f>
        <v>NO</v>
      </c>
      <c r="Z477" s="255" t="str">
        <f>IF(ISNUMBER(SEARCH("H", 'Dry_Litterbag Placem_Collection'!V184)),"YES","NO")</f>
        <v>NO</v>
      </c>
      <c r="AA477" s="255" t="str">
        <f>IF(ISNUMBER(SEARCH("R", 'Dry_Litterbag Placem_Collection'!V184)),"YES","NO")</f>
        <v>NO</v>
      </c>
      <c r="AB477" s="255" t="str">
        <f>IF(ISNUMBER(SEARCH("C", 'Dry_Litterbag Placem_Collection'!U184)),"YES","NO")</f>
        <v>NO</v>
      </c>
      <c r="AC477" s="255" t="str">
        <f>IF(ISNUMBER(SEARCH("H", 'Dry_Litterbag Placem_Collection'!U184)),"YES","NO")</f>
        <v>NO</v>
      </c>
      <c r="AD477" s="255" t="str">
        <f>IF(ISNUMBER(SEARCH("R", 'Dry_Litterbag Placem_Collection'!U184)),"YES","NO")</f>
        <v>YES</v>
      </c>
    </row>
    <row r="478" spans="2:30">
      <c r="B478" t="str">
        <f>'Final data_for_R_analysis_Dryse'!A624</f>
        <v>Dry</v>
      </c>
      <c r="C478" s="263">
        <f>'Final data_for_R_analysis_Dryse'!B624</f>
        <v>183</v>
      </c>
      <c r="D478" t="s">
        <v>3854</v>
      </c>
      <c r="E478" t="s">
        <v>25</v>
      </c>
      <c r="F478" s="387">
        <v>7</v>
      </c>
      <c r="G478" s="16">
        <f>'Dry_Litterbag Placem_Collection'!E185</f>
        <v>0</v>
      </c>
      <c r="H478" s="92" t="str">
        <f>'Final data_for_R_analysis_Dryse'!J624</f>
        <v/>
      </c>
      <c r="I478" t="str">
        <f>'Final data_for_R_analysis_Dryse'!J844</f>
        <v/>
      </c>
      <c r="J478" t="str">
        <f>IFERROR(INDEX('Green_rooibos initial weight'!$C$5:$C$1749,MATCH(H478, 'Green_rooibos initial weight'!$A$5:$A$1749,0)),"")</f>
        <v/>
      </c>
      <c r="K478" t="str">
        <f>IFERROR(INDEX('Green_rooibos initial weight'!$C$5:$C$1749,MATCH(I478, 'Green_rooibos initial weight'!$A$5:$A$1749,0)),"")</f>
        <v/>
      </c>
      <c r="L478" s="195" t="str">
        <f t="shared" si="57"/>
        <v/>
      </c>
      <c r="M478" s="195" t="str">
        <f t="shared" si="58"/>
        <v/>
      </c>
      <c r="N478" s="16">
        <f>IF('Dry_Litterbag Placem_Collection'!G185="N.A","",'Dry_Litterbag Placem_Collection'!G185)</f>
        <v>0</v>
      </c>
      <c r="O478" s="195" t="str">
        <f>IF(IFERROR(INDEX('Both teabags AfterDry'!$D$1:$D$839,MATCH(H478,'Both teabags AfterDry'!$A$1:$A$839,0)),"")="N.A","",(IFERROR(INDEX('Both teabags AfterDry'!$D$1:$D$839,MATCH(H478,'Both teabags AfterDry'!$A$1:$A$839,0)),"")))</f>
        <v/>
      </c>
      <c r="P478" s="195" t="str">
        <f>IF(IFERROR(INDEX('Both teabags AfterDry'!$D$1:$D$839,MATCH(I478,'Both teabags AfterDry'!$A$1:$A$839,0)),"")="N.A","",(IFERROR(INDEX('Both teabags AfterDry'!$D$1:$D$839,MATCH(I478,'Both teabags AfterDry'!$A$1:$A$839,0)),"")))</f>
        <v/>
      </c>
      <c r="Q478" s="195" t="str">
        <f t="shared" si="59"/>
        <v/>
      </c>
      <c r="R478" s="195" t="str">
        <f t="shared" si="59"/>
        <v/>
      </c>
      <c r="S478" s="195" t="str">
        <f t="shared" si="54"/>
        <v/>
      </c>
      <c r="T478" s="195" t="str">
        <f t="shared" si="60"/>
        <v/>
      </c>
      <c r="U478" s="195" t="str">
        <f t="shared" si="55"/>
        <v/>
      </c>
      <c r="V478" t="str">
        <f t="shared" si="56"/>
        <v/>
      </c>
      <c r="W478" s="195" t="str">
        <f t="shared" si="61"/>
        <v/>
      </c>
      <c r="X478" s="195" t="str">
        <f t="shared" si="62"/>
        <v/>
      </c>
      <c r="Y478" s="255" t="str">
        <f>IF(ISNUMBER(SEARCH("C", 'Dry_Litterbag Placem_Collection'!V185)),"YES","NO")</f>
        <v>NO</v>
      </c>
      <c r="Z478" s="255" t="str">
        <f>IF(ISNUMBER(SEARCH("H", 'Dry_Litterbag Placem_Collection'!V185)),"YES","NO")</f>
        <v>NO</v>
      </c>
      <c r="AA478" s="255" t="str">
        <f>IF(ISNUMBER(SEARCH("R", 'Dry_Litterbag Placem_Collection'!V185)),"YES","NO")</f>
        <v>NO</v>
      </c>
      <c r="AB478" s="255" t="str">
        <f>IF(ISNUMBER(SEARCH("C", 'Dry_Litterbag Placem_Collection'!U185)),"YES","NO")</f>
        <v>NO</v>
      </c>
      <c r="AC478" s="255" t="str">
        <f>IF(ISNUMBER(SEARCH("H", 'Dry_Litterbag Placem_Collection'!U185)),"YES","NO")</f>
        <v>NO</v>
      </c>
      <c r="AD478" s="255" t="str">
        <f>IF(ISNUMBER(SEARCH("R", 'Dry_Litterbag Placem_Collection'!U185)),"YES","NO")</f>
        <v>NO</v>
      </c>
    </row>
    <row r="479" spans="2:30">
      <c r="B479" t="str">
        <f>'Final data_for_R_analysis_Dryse'!A625</f>
        <v>Dry</v>
      </c>
      <c r="C479" s="263">
        <f>'Final data_for_R_analysis_Dryse'!B625</f>
        <v>184</v>
      </c>
      <c r="D479" t="s">
        <v>3854</v>
      </c>
      <c r="E479" t="s">
        <v>25</v>
      </c>
      <c r="F479" s="387">
        <v>8</v>
      </c>
      <c r="G479" s="16">
        <f>'Dry_Litterbag Placem_Collection'!E186</f>
        <v>42940</v>
      </c>
      <c r="H479" s="92" t="str">
        <f>'Final data_for_R_analysis_Dryse'!J625</f>
        <v>G266</v>
      </c>
      <c r="I479" t="str">
        <f>'Final data_for_R_analysis_Dryse'!J845</f>
        <v>R674</v>
      </c>
      <c r="J479">
        <f>IFERROR(INDEX('Green_rooibos initial weight'!$C$5:$C$1749,MATCH(H479, 'Green_rooibos initial weight'!$A$5:$A$1749,0)),"")</f>
        <v>1.9570000000000001</v>
      </c>
      <c r="K479">
        <f>IFERROR(INDEX('Green_rooibos initial weight'!$C$5:$C$1749,MATCH(I479, 'Green_rooibos initial weight'!$A$5:$A$1749,0)),"")</f>
        <v>2.1629999999999998</v>
      </c>
      <c r="L479" s="195">
        <f t="shared" si="57"/>
        <v>1.7072000000000001</v>
      </c>
      <c r="M479" s="195">
        <f t="shared" si="58"/>
        <v>1.9131999999999998</v>
      </c>
      <c r="N479" s="16">
        <f>IF('Dry_Litterbag Placem_Collection'!G186="N.A","",'Dry_Litterbag Placem_Collection'!G186)</f>
        <v>43009</v>
      </c>
      <c r="O479" s="195">
        <f>IF(IFERROR(INDEX('Both teabags AfterDry'!$D$1:$D$839,MATCH(H479,'Both teabags AfterDry'!$A$1:$A$839,0)),"")="N.A","",(IFERROR(INDEX('Both teabags AfterDry'!$D$1:$D$839,MATCH(H479,'Both teabags AfterDry'!$A$1:$A$839,0)),"")))</f>
        <v>0.69879999999999998</v>
      </c>
      <c r="P479" s="195">
        <f>IF(IFERROR(INDEX('Both teabags AfterDry'!$D$1:$D$839,MATCH(I479,'Both teabags AfterDry'!$A$1:$A$839,0)),"")="N.A","",(IFERROR(INDEX('Both teabags AfterDry'!$D$1:$D$839,MATCH(I479,'Both teabags AfterDry'!$A$1:$A$839,0)),"")))</f>
        <v>1.6498999999999999</v>
      </c>
      <c r="Q479" s="195">
        <f t="shared" si="59"/>
        <v>0.54820000000000002</v>
      </c>
      <c r="R479" s="195">
        <f t="shared" si="59"/>
        <v>1.4992999999999999</v>
      </c>
      <c r="S479" s="195">
        <f t="shared" si="54"/>
        <v>0.6788894095595126</v>
      </c>
      <c r="T479" s="195">
        <f t="shared" si="60"/>
        <v>0.44506764142143823</v>
      </c>
      <c r="U479" s="195">
        <f t="shared" si="55"/>
        <v>0.78366088229144892</v>
      </c>
      <c r="V479">
        <f t="shared" si="56"/>
        <v>69</v>
      </c>
      <c r="W479" s="195">
        <f t="shared" si="61"/>
        <v>0.19371804090319167</v>
      </c>
      <c r="X479" s="195">
        <f t="shared" si="62"/>
        <v>9.6476878183940837E-3</v>
      </c>
      <c r="Y479" s="255" t="str">
        <f>IF(ISNUMBER(SEARCH("C", 'Dry_Litterbag Placem_Collection'!V186)),"YES","NO")</f>
        <v>NO</v>
      </c>
      <c r="Z479" s="255" t="str">
        <f>IF(ISNUMBER(SEARCH("H", 'Dry_Litterbag Placem_Collection'!V186)),"YES","NO")</f>
        <v>NO</v>
      </c>
      <c r="AA479" s="255" t="str">
        <f>IF(ISNUMBER(SEARCH("R", 'Dry_Litterbag Placem_Collection'!V186)),"YES","NO")</f>
        <v>NO</v>
      </c>
      <c r="AB479" s="255" t="str">
        <f>IF(ISNUMBER(SEARCH("C", 'Dry_Litterbag Placem_Collection'!U186)),"YES","NO")</f>
        <v>NO</v>
      </c>
      <c r="AC479" s="255" t="str">
        <f>IF(ISNUMBER(SEARCH("H", 'Dry_Litterbag Placem_Collection'!U186)),"YES","NO")</f>
        <v>NO</v>
      </c>
      <c r="AD479" s="255" t="str">
        <f>IF(ISNUMBER(SEARCH("R", 'Dry_Litterbag Placem_Collection'!U186)),"YES","NO")</f>
        <v>YES</v>
      </c>
    </row>
    <row r="480" spans="2:30">
      <c r="B480" t="str">
        <f>'Final data_for_R_analysis_Dryse'!A626</f>
        <v>Dry</v>
      </c>
      <c r="C480" s="263">
        <f>'Final data_for_R_analysis_Dryse'!B626</f>
        <v>185</v>
      </c>
      <c r="D480" t="s">
        <v>3855</v>
      </c>
      <c r="E480" t="s">
        <v>25</v>
      </c>
      <c r="F480" s="386">
        <v>1</v>
      </c>
      <c r="G480" s="16">
        <f>'Dry_Litterbag Placem_Collection'!E187</f>
        <v>42940</v>
      </c>
      <c r="H480" s="92" t="str">
        <f>'Final data_for_R_analysis_Dryse'!J626</f>
        <v>G165</v>
      </c>
      <c r="I480" t="str">
        <f>'Final data_for_R_analysis_Dryse'!J846</f>
        <v>R607</v>
      </c>
      <c r="J480">
        <f>IFERROR(INDEX('Green_rooibos initial weight'!$C$5:$C$1749,MATCH(H480, 'Green_rooibos initial weight'!$A$5:$A$1749,0)),"")</f>
        <v>2.0089999999999999</v>
      </c>
      <c r="K480">
        <f>IFERROR(INDEX('Green_rooibos initial weight'!$C$5:$C$1749,MATCH(I480, 'Green_rooibos initial weight'!$A$5:$A$1749,0)),"")</f>
        <v>2.14</v>
      </c>
      <c r="L480" s="195">
        <f t="shared" si="57"/>
        <v>1.7591999999999999</v>
      </c>
      <c r="M480" s="195">
        <f t="shared" si="58"/>
        <v>1.8902000000000001</v>
      </c>
      <c r="N480" s="16">
        <f>IF('Dry_Litterbag Placem_Collection'!G187="N.A","",'Dry_Litterbag Placem_Collection'!G187)</f>
        <v>43009</v>
      </c>
      <c r="O480" s="195" t="str">
        <f>IF(IFERROR(INDEX('Both teabags AfterDry'!$D$1:$D$839,MATCH(H480,'Both teabags AfterDry'!$A$1:$A$839,0)),"")="N.A","",(IFERROR(INDEX('Both teabags AfterDry'!$D$1:$D$839,MATCH(H480,'Both teabags AfterDry'!$A$1:$A$839,0)),"")))</f>
        <v/>
      </c>
      <c r="P480" s="195" t="str">
        <f>IF(IFERROR(INDEX('Both teabags AfterDry'!$D$1:$D$839,MATCH(I480,'Both teabags AfterDry'!$A$1:$A$839,0)),"")="N.A","",(IFERROR(INDEX('Both teabags AfterDry'!$D$1:$D$839,MATCH(I480,'Both teabags AfterDry'!$A$1:$A$839,0)),"")))</f>
        <v/>
      </c>
      <c r="Q480" s="195" t="str">
        <f t="shared" si="59"/>
        <v/>
      </c>
      <c r="R480" s="195" t="str">
        <f t="shared" si="59"/>
        <v/>
      </c>
      <c r="S480" s="195" t="str">
        <f t="shared" si="54"/>
        <v/>
      </c>
      <c r="T480" s="195" t="str">
        <f t="shared" si="60"/>
        <v/>
      </c>
      <c r="U480" s="195" t="str">
        <f t="shared" si="55"/>
        <v/>
      </c>
      <c r="V480">
        <f t="shared" si="56"/>
        <v>69</v>
      </c>
      <c r="W480" s="195" t="str">
        <f t="shared" si="61"/>
        <v/>
      </c>
      <c r="X480" s="195" t="str">
        <f t="shared" si="62"/>
        <v/>
      </c>
      <c r="Y480" s="255" t="str">
        <f>IF(ISNUMBER(SEARCH("C", 'Dry_Litterbag Placem_Collection'!V187)),"YES","NO")</f>
        <v>NO</v>
      </c>
      <c r="Z480" s="255" t="str">
        <f>IF(ISNUMBER(SEARCH("H", 'Dry_Litterbag Placem_Collection'!V187)),"YES","NO")</f>
        <v>NO</v>
      </c>
      <c r="AA480" s="255" t="str">
        <f>IF(ISNUMBER(SEARCH("R", 'Dry_Litterbag Placem_Collection'!V187)),"YES","NO")</f>
        <v>NO</v>
      </c>
      <c r="AB480" s="255" t="str">
        <f>IF(ISNUMBER(SEARCH("C", 'Dry_Litterbag Placem_Collection'!U187)),"YES","NO")</f>
        <v>NO</v>
      </c>
      <c r="AC480" s="255" t="str">
        <f>IF(ISNUMBER(SEARCH("H", 'Dry_Litterbag Placem_Collection'!U187)),"YES","NO")</f>
        <v>NO</v>
      </c>
      <c r="AD480" s="255" t="str">
        <f>IF(ISNUMBER(SEARCH("R", 'Dry_Litterbag Placem_Collection'!U187)),"YES","NO")</f>
        <v>YES</v>
      </c>
    </row>
    <row r="481" spans="2:30">
      <c r="B481" t="str">
        <f>'Final data_for_R_analysis_Dryse'!A627</f>
        <v>Dry</v>
      </c>
      <c r="C481" s="263">
        <f>'Final data_for_R_analysis_Dryse'!B627</f>
        <v>186</v>
      </c>
      <c r="D481" t="s">
        <v>3855</v>
      </c>
      <c r="E481" t="s">
        <v>25</v>
      </c>
      <c r="F481" s="386">
        <v>2</v>
      </c>
      <c r="G481" s="16">
        <f>'Dry_Litterbag Placem_Collection'!E188</f>
        <v>42940</v>
      </c>
      <c r="H481" s="92" t="str">
        <f>'Final data_for_R_analysis_Dryse'!J627</f>
        <v>G22</v>
      </c>
      <c r="I481" t="str">
        <f>'Final data_for_R_analysis_Dryse'!J847</f>
        <v>R629</v>
      </c>
      <c r="J481">
        <f>IFERROR(INDEX('Green_rooibos initial weight'!$C$5:$C$1749,MATCH(H481, 'Green_rooibos initial weight'!$A$5:$A$1749,0)),"")</f>
        <v>2.1</v>
      </c>
      <c r="K481">
        <f>IFERROR(INDEX('Green_rooibos initial weight'!$C$5:$C$1749,MATCH(I481, 'Green_rooibos initial weight'!$A$5:$A$1749,0)),"")</f>
        <v>2.1669999999999998</v>
      </c>
      <c r="L481" s="195">
        <f t="shared" si="57"/>
        <v>1.8502000000000001</v>
      </c>
      <c r="M481" s="195">
        <f t="shared" si="58"/>
        <v>1.9171999999999998</v>
      </c>
      <c r="N481" s="16">
        <f>IF('Dry_Litterbag Placem_Collection'!G188="N.A","",'Dry_Litterbag Placem_Collection'!G188)</f>
        <v>43009</v>
      </c>
      <c r="O481" s="195">
        <f>IF(IFERROR(INDEX('Both teabags AfterDry'!$D$1:$D$839,MATCH(H481,'Both teabags AfterDry'!$A$1:$A$839,0)),"")="N.A","",(IFERROR(INDEX('Both teabags AfterDry'!$D$1:$D$839,MATCH(H481,'Both teabags AfterDry'!$A$1:$A$839,0)),"")))</f>
        <v>0.7238</v>
      </c>
      <c r="P481" s="195">
        <f>IF(IFERROR(INDEX('Both teabags AfterDry'!$D$1:$D$839,MATCH(I481,'Both teabags AfterDry'!$A$1:$A$839,0)),"")="N.A","",(IFERROR(INDEX('Both teabags AfterDry'!$D$1:$D$839,MATCH(I481,'Both teabags AfterDry'!$A$1:$A$839,0)),"")))</f>
        <v>1.8498000000000001</v>
      </c>
      <c r="Q481" s="195">
        <f t="shared" si="59"/>
        <v>0.57319999999999993</v>
      </c>
      <c r="R481" s="195">
        <f t="shared" si="59"/>
        <v>1.6992</v>
      </c>
      <c r="S481" s="195">
        <f t="shared" si="54"/>
        <v>0.69019565452383524</v>
      </c>
      <c r="T481" s="195">
        <f t="shared" si="60"/>
        <v>0.45247981151681366</v>
      </c>
      <c r="U481" s="195">
        <f t="shared" si="55"/>
        <v>0.88629250991028596</v>
      </c>
      <c r="V481">
        <f t="shared" si="56"/>
        <v>69</v>
      </c>
      <c r="W481" s="195">
        <f t="shared" si="61"/>
        <v>0.18029019652751155</v>
      </c>
      <c r="X481" s="195">
        <f t="shared" si="62"/>
        <v>4.1944185967748571E-3</v>
      </c>
      <c r="Y481" s="255" t="str">
        <f>IF(ISNUMBER(SEARCH("C", 'Dry_Litterbag Placem_Collection'!V188)),"YES","NO")</f>
        <v>NO</v>
      </c>
      <c r="Z481" s="255" t="str">
        <f>IF(ISNUMBER(SEARCH("H", 'Dry_Litterbag Placem_Collection'!V188)),"YES","NO")</f>
        <v>NO</v>
      </c>
      <c r="AA481" s="255" t="str">
        <f>IF(ISNUMBER(SEARCH("R", 'Dry_Litterbag Placem_Collection'!V188)),"YES","NO")</f>
        <v>NO</v>
      </c>
      <c r="AB481" s="255" t="str">
        <f>IF(ISNUMBER(SEARCH("C", 'Dry_Litterbag Placem_Collection'!U188)),"YES","NO")</f>
        <v>NO</v>
      </c>
      <c r="AC481" s="255" t="str">
        <f>IF(ISNUMBER(SEARCH("H", 'Dry_Litterbag Placem_Collection'!U188)),"YES","NO")</f>
        <v>NO</v>
      </c>
      <c r="AD481" s="255" t="str">
        <f>IF(ISNUMBER(SEARCH("R", 'Dry_Litterbag Placem_Collection'!U188)),"YES","NO")</f>
        <v>NO</v>
      </c>
    </row>
    <row r="482" spans="2:30">
      <c r="B482" t="str">
        <f>'Final data_for_R_analysis_Dryse'!A628</f>
        <v>Dry</v>
      </c>
      <c r="C482" s="263">
        <f>'Final data_for_R_analysis_Dryse'!B628</f>
        <v>187</v>
      </c>
      <c r="D482" t="s">
        <v>3855</v>
      </c>
      <c r="E482" t="s">
        <v>25</v>
      </c>
      <c r="F482" s="386">
        <v>3</v>
      </c>
      <c r="G482" s="16">
        <f>'Dry_Litterbag Placem_Collection'!E189</f>
        <v>42940</v>
      </c>
      <c r="H482" s="92" t="str">
        <f>'Final data_for_R_analysis_Dryse'!J628</f>
        <v>G371</v>
      </c>
      <c r="I482" t="str">
        <f>'Final data_for_R_analysis_Dryse'!J848</f>
        <v>R679</v>
      </c>
      <c r="J482">
        <f>IFERROR(INDEX('Green_rooibos initial weight'!$C$5:$C$1749,MATCH(H482, 'Green_rooibos initial weight'!$A$5:$A$1749,0)),"")</f>
        <v>2.06</v>
      </c>
      <c r="K482">
        <f>IFERROR(INDEX('Green_rooibos initial weight'!$C$5:$C$1749,MATCH(I482, 'Green_rooibos initial weight'!$A$5:$A$1749,0)),"")</f>
        <v>2.149</v>
      </c>
      <c r="L482" s="195">
        <f t="shared" si="57"/>
        <v>1.8102</v>
      </c>
      <c r="M482" s="195">
        <f t="shared" si="58"/>
        <v>1.8992</v>
      </c>
      <c r="N482" s="16">
        <f>IF('Dry_Litterbag Placem_Collection'!G189="N.A","",'Dry_Litterbag Placem_Collection'!G189)</f>
        <v>43009</v>
      </c>
      <c r="O482" s="195">
        <f>IF(IFERROR(INDEX('Both teabags AfterDry'!$D$1:$D$839,MATCH(H482,'Both teabags AfterDry'!$A$1:$A$839,0)),"")="N.A","",(IFERROR(INDEX('Both teabags AfterDry'!$D$1:$D$839,MATCH(H482,'Both teabags AfterDry'!$A$1:$A$839,0)),"")))</f>
        <v>0.81369999999999998</v>
      </c>
      <c r="P482" s="195">
        <f>IF(IFERROR(INDEX('Both teabags AfterDry'!$D$1:$D$839,MATCH(I482,'Both teabags AfterDry'!$A$1:$A$839,0)),"")="N.A","",(IFERROR(INDEX('Both teabags AfterDry'!$D$1:$D$839,MATCH(I482,'Both teabags AfterDry'!$A$1:$A$839,0)),"")))</f>
        <v>1.7021999999999999</v>
      </c>
      <c r="Q482" s="195">
        <f t="shared" si="59"/>
        <v>0.66310000000000002</v>
      </c>
      <c r="R482" s="195">
        <f t="shared" si="59"/>
        <v>1.5515999999999999</v>
      </c>
      <c r="S482" s="195">
        <f t="shared" si="54"/>
        <v>0.63368688542702456</v>
      </c>
      <c r="T482" s="195">
        <f t="shared" si="60"/>
        <v>0.41543368260774061</v>
      </c>
      <c r="U482" s="195">
        <f t="shared" si="55"/>
        <v>0.81697556866048859</v>
      </c>
      <c r="V482">
        <f t="shared" si="56"/>
        <v>69</v>
      </c>
      <c r="W482" s="195">
        <f t="shared" si="61"/>
        <v>0.2474027488990207</v>
      </c>
      <c r="X482" s="195">
        <f t="shared" si="62"/>
        <v>8.4177269739579494E-3</v>
      </c>
      <c r="Y482" s="255" t="str">
        <f>IF(ISNUMBER(SEARCH("C", 'Dry_Litterbag Placem_Collection'!V189)),"YES","NO")</f>
        <v>NO</v>
      </c>
      <c r="Z482" s="255" t="str">
        <f>IF(ISNUMBER(SEARCH("H", 'Dry_Litterbag Placem_Collection'!V189)),"YES","NO")</f>
        <v>NO</v>
      </c>
      <c r="AA482" s="255" t="str">
        <f>IF(ISNUMBER(SEARCH("R", 'Dry_Litterbag Placem_Collection'!V189)),"YES","NO")</f>
        <v>NO</v>
      </c>
      <c r="AB482" s="255" t="str">
        <f>IF(ISNUMBER(SEARCH("C", 'Dry_Litterbag Placem_Collection'!U189)),"YES","NO")</f>
        <v>NO</v>
      </c>
      <c r="AC482" s="255" t="str">
        <f>IF(ISNUMBER(SEARCH("H", 'Dry_Litterbag Placem_Collection'!U189)),"YES","NO")</f>
        <v>NO</v>
      </c>
      <c r="AD482" s="255" t="str">
        <f>IF(ISNUMBER(SEARCH("R", 'Dry_Litterbag Placem_Collection'!U189)),"YES","NO")</f>
        <v>NO</v>
      </c>
    </row>
    <row r="483" spans="2:30">
      <c r="B483" t="str">
        <f>'Final data_for_R_analysis_Dryse'!A629</f>
        <v>Dry</v>
      </c>
      <c r="C483" s="263">
        <f>'Final data_for_R_analysis_Dryse'!B629</f>
        <v>188</v>
      </c>
      <c r="D483" t="s">
        <v>3855</v>
      </c>
      <c r="E483" t="s">
        <v>25</v>
      </c>
      <c r="F483" s="387">
        <v>4</v>
      </c>
      <c r="G483" s="16">
        <f>'Dry_Litterbag Placem_Collection'!E190</f>
        <v>42940</v>
      </c>
      <c r="H483" s="92" t="str">
        <f>'Final data_for_R_analysis_Dryse'!J629</f>
        <v>G185</v>
      </c>
      <c r="I483" t="str">
        <f>'Final data_for_R_analysis_Dryse'!J849</f>
        <v>R682</v>
      </c>
      <c r="J483">
        <f>IFERROR(INDEX('Green_rooibos initial weight'!$C$5:$C$1749,MATCH(H483, 'Green_rooibos initial weight'!$A$5:$A$1749,0)),"")</f>
        <v>2.13</v>
      </c>
      <c r="K483">
        <f>IFERROR(INDEX('Green_rooibos initial weight'!$C$5:$C$1749,MATCH(I483, 'Green_rooibos initial weight'!$A$5:$A$1749,0)),"")</f>
        <v>2.1720000000000002</v>
      </c>
      <c r="L483" s="195">
        <f t="shared" si="57"/>
        <v>1.8801999999999999</v>
      </c>
      <c r="M483" s="195">
        <f t="shared" si="58"/>
        <v>1.9222000000000001</v>
      </c>
      <c r="N483" s="16">
        <f>IF('Dry_Litterbag Placem_Collection'!G190="N.A","",'Dry_Litterbag Placem_Collection'!G190)</f>
        <v>43009</v>
      </c>
      <c r="O483" s="195">
        <f>IF(IFERROR(INDEX('Both teabags AfterDry'!$D$1:$D$839,MATCH(H483,'Both teabags AfterDry'!$A$1:$A$839,0)),"")="N.A","",(IFERROR(INDEX('Both teabags AfterDry'!$D$1:$D$839,MATCH(H483,'Both teabags AfterDry'!$A$1:$A$839,0)),"")))</f>
        <v>0.74670000000000003</v>
      </c>
      <c r="P483" s="195">
        <f>IF(IFERROR(INDEX('Both teabags AfterDry'!$D$1:$D$839,MATCH(I483,'Both teabags AfterDry'!$A$1:$A$839,0)),"")="N.A","",(IFERROR(INDEX('Both teabags AfterDry'!$D$1:$D$839,MATCH(I483,'Both teabags AfterDry'!$A$1:$A$839,0)),"")))</f>
        <v>1.7353000000000001</v>
      </c>
      <c r="Q483" s="195">
        <f t="shared" si="59"/>
        <v>0.59610000000000007</v>
      </c>
      <c r="R483" s="195">
        <f t="shared" si="59"/>
        <v>1.5847</v>
      </c>
      <c r="S483" s="195">
        <f t="shared" si="54"/>
        <v>0.68295925965322835</v>
      </c>
      <c r="T483" s="195">
        <f t="shared" si="60"/>
        <v>0.44773576167290036</v>
      </c>
      <c r="U483" s="195">
        <f t="shared" si="55"/>
        <v>0.82441993549058368</v>
      </c>
      <c r="V483">
        <f t="shared" si="56"/>
        <v>69</v>
      </c>
      <c r="W483" s="195">
        <f t="shared" si="61"/>
        <v>0.18888448972300664</v>
      </c>
      <c r="X483" s="195">
        <f t="shared" si="62"/>
        <v>7.2149119150584917E-3</v>
      </c>
      <c r="Y483" s="255" t="str">
        <f>IF(ISNUMBER(SEARCH("C", 'Dry_Litterbag Placem_Collection'!V190)),"YES","NO")</f>
        <v>NO</v>
      </c>
      <c r="Z483" s="255" t="str">
        <f>IF(ISNUMBER(SEARCH("H", 'Dry_Litterbag Placem_Collection'!V190)),"YES","NO")</f>
        <v>NO</v>
      </c>
      <c r="AA483" s="255" t="str">
        <f>IF(ISNUMBER(SEARCH("R", 'Dry_Litterbag Placem_Collection'!V190)),"YES","NO")</f>
        <v>NO</v>
      </c>
      <c r="AB483" s="255" t="str">
        <f>IF(ISNUMBER(SEARCH("C", 'Dry_Litterbag Placem_Collection'!U190)),"YES","NO")</f>
        <v>NO</v>
      </c>
      <c r="AC483" s="255" t="str">
        <f>IF(ISNUMBER(SEARCH("H", 'Dry_Litterbag Placem_Collection'!U190)),"YES","NO")</f>
        <v>NO</v>
      </c>
      <c r="AD483" s="255" t="str">
        <f>IF(ISNUMBER(SEARCH("R", 'Dry_Litterbag Placem_Collection'!U190)),"YES","NO")</f>
        <v>NO</v>
      </c>
    </row>
    <row r="484" spans="2:30">
      <c r="B484" t="str">
        <f>'Final data_for_R_analysis_Dryse'!A630</f>
        <v>Dry</v>
      </c>
      <c r="C484" s="263">
        <f>'Final data_for_R_analysis_Dryse'!B630</f>
        <v>189</v>
      </c>
      <c r="D484" t="s">
        <v>3855</v>
      </c>
      <c r="E484" t="s">
        <v>25</v>
      </c>
      <c r="F484" s="387">
        <v>5</v>
      </c>
      <c r="G484" s="16">
        <f>'Dry_Litterbag Placem_Collection'!E191</f>
        <v>42940</v>
      </c>
      <c r="H484" s="92" t="str">
        <f>'Final data_for_R_analysis_Dryse'!J630</f>
        <v>G301</v>
      </c>
      <c r="I484" t="str">
        <f>'Final data_for_R_analysis_Dryse'!J850</f>
        <v>R693</v>
      </c>
      <c r="J484">
        <f>IFERROR(INDEX('Green_rooibos initial weight'!$C$5:$C$1749,MATCH(H484, 'Green_rooibos initial weight'!$A$5:$A$1749,0)),"")</f>
        <v>1.9379999999999999</v>
      </c>
      <c r="K484">
        <f>IFERROR(INDEX('Green_rooibos initial weight'!$C$5:$C$1749,MATCH(I484, 'Green_rooibos initial weight'!$A$5:$A$1749,0)),"")</f>
        <v>2.1789999999999998</v>
      </c>
      <c r="L484" s="195">
        <f t="shared" si="57"/>
        <v>1.6881999999999999</v>
      </c>
      <c r="M484" s="195">
        <f t="shared" si="58"/>
        <v>1.9291999999999998</v>
      </c>
      <c r="N484" s="16">
        <f>IF('Dry_Litterbag Placem_Collection'!G191="N.A","",'Dry_Litterbag Placem_Collection'!G191)</f>
        <v>43009</v>
      </c>
      <c r="O484" s="195">
        <f>IF(IFERROR(INDEX('Both teabags AfterDry'!$D$1:$D$839,MATCH(H484,'Both teabags AfterDry'!$A$1:$A$839,0)),"")="N.A","",(IFERROR(INDEX('Both teabags AfterDry'!$D$1:$D$839,MATCH(H484,'Both teabags AfterDry'!$A$1:$A$839,0)),"")))</f>
        <v>0.66849999999999998</v>
      </c>
      <c r="P484" s="195">
        <f>IF(IFERROR(INDEX('Both teabags AfterDry'!$D$1:$D$839,MATCH(I484,'Both teabags AfterDry'!$A$1:$A$839,0)),"")="N.A","",(IFERROR(INDEX('Both teabags AfterDry'!$D$1:$D$839,MATCH(I484,'Both teabags AfterDry'!$A$1:$A$839,0)),"")))</f>
        <v>1.919</v>
      </c>
      <c r="Q484" s="195">
        <f t="shared" si="59"/>
        <v>0.51790000000000003</v>
      </c>
      <c r="R484" s="195">
        <f t="shared" si="59"/>
        <v>1.7684</v>
      </c>
      <c r="S484" s="195">
        <f t="shared" si="54"/>
        <v>0.69322355171188244</v>
      </c>
      <c r="T484" s="195">
        <f t="shared" si="60"/>
        <v>0.45446484625292061</v>
      </c>
      <c r="U484" s="195">
        <f t="shared" si="55"/>
        <v>0.91664938834750165</v>
      </c>
      <c r="V484">
        <f t="shared" si="56"/>
        <v>69</v>
      </c>
      <c r="W484" s="195">
        <f t="shared" si="61"/>
        <v>0.17669411910702792</v>
      </c>
      <c r="X484" s="195">
        <f t="shared" si="62"/>
        <v>2.9363860791439848E-3</v>
      </c>
      <c r="Y484" s="255" t="str">
        <f>IF(ISNUMBER(SEARCH("C", 'Dry_Litterbag Placem_Collection'!V191)),"YES","NO")</f>
        <v>NO</v>
      </c>
      <c r="Z484" s="255" t="str">
        <f>IF(ISNUMBER(SEARCH("H", 'Dry_Litterbag Placem_Collection'!V191)),"YES","NO")</f>
        <v>NO</v>
      </c>
      <c r="AA484" s="255" t="str">
        <f>IF(ISNUMBER(SEARCH("R", 'Dry_Litterbag Placem_Collection'!V191)),"YES","NO")</f>
        <v>NO</v>
      </c>
      <c r="AB484" s="255" t="str">
        <f>IF(ISNUMBER(SEARCH("C", 'Dry_Litterbag Placem_Collection'!U191)),"YES","NO")</f>
        <v>NO</v>
      </c>
      <c r="AC484" s="255" t="str">
        <f>IF(ISNUMBER(SEARCH("H", 'Dry_Litterbag Placem_Collection'!U191)),"YES","NO")</f>
        <v>NO</v>
      </c>
      <c r="AD484" s="255" t="str">
        <f>IF(ISNUMBER(SEARCH("R", 'Dry_Litterbag Placem_Collection'!U191)),"YES","NO")</f>
        <v>YES</v>
      </c>
    </row>
    <row r="485" spans="2:30">
      <c r="B485" t="str">
        <f>'Final data_for_R_analysis_Dryse'!A631</f>
        <v>Dry</v>
      </c>
      <c r="C485" s="263">
        <f>'Final data_for_R_analysis_Dryse'!B631</f>
        <v>190</v>
      </c>
      <c r="D485" t="s">
        <v>3855</v>
      </c>
      <c r="E485" t="s">
        <v>25</v>
      </c>
      <c r="F485" s="387">
        <v>6</v>
      </c>
      <c r="G485" s="16">
        <f>'Dry_Litterbag Placem_Collection'!E192</f>
        <v>42940</v>
      </c>
      <c r="H485" s="92" t="str">
        <f>'Final data_for_R_analysis_Dryse'!J631</f>
        <v>G466</v>
      </c>
      <c r="I485" t="str">
        <f>'Final data_for_R_analysis_Dryse'!J851</f>
        <v>R605</v>
      </c>
      <c r="J485">
        <f>IFERROR(INDEX('Green_rooibos initial weight'!$C$5:$C$1749,MATCH(H485, 'Green_rooibos initial weight'!$A$5:$A$1749,0)),"")</f>
        <v>1.9319999999999999</v>
      </c>
      <c r="K485">
        <f>IFERROR(INDEX('Green_rooibos initial weight'!$C$5:$C$1749,MATCH(I485, 'Green_rooibos initial weight'!$A$5:$A$1749,0)),"")</f>
        <v>2.165</v>
      </c>
      <c r="L485" s="195">
        <f t="shared" si="57"/>
        <v>1.6821999999999999</v>
      </c>
      <c r="M485" s="195">
        <f t="shared" si="58"/>
        <v>1.9152</v>
      </c>
      <c r="N485" s="16">
        <f>IF('Dry_Litterbag Placem_Collection'!G192="N.A","",'Dry_Litterbag Placem_Collection'!G192)</f>
        <v>43009</v>
      </c>
      <c r="O485" s="195">
        <f>IF(IFERROR(INDEX('Both teabags AfterDry'!$D$1:$D$839,MATCH(H485,'Both teabags AfterDry'!$A$1:$A$839,0)),"")="N.A","",(IFERROR(INDEX('Both teabags AfterDry'!$D$1:$D$839,MATCH(H485,'Both teabags AfterDry'!$A$1:$A$839,0)),"")))</f>
        <v>0.81599999999999995</v>
      </c>
      <c r="P485" s="195">
        <f>IF(IFERROR(INDEX('Both teabags AfterDry'!$D$1:$D$839,MATCH(I485,'Both teabags AfterDry'!$A$1:$A$839,0)),"")="N.A","",(IFERROR(INDEX('Both teabags AfterDry'!$D$1:$D$839,MATCH(I485,'Both teabags AfterDry'!$A$1:$A$839,0)),"")))</f>
        <v>1.8051999999999999</v>
      </c>
      <c r="Q485" s="195">
        <f t="shared" si="59"/>
        <v>0.66539999999999999</v>
      </c>
      <c r="R485" s="195">
        <f t="shared" si="59"/>
        <v>1.6545999999999998</v>
      </c>
      <c r="S485" s="195">
        <f t="shared" si="54"/>
        <v>0.6044465580787064</v>
      </c>
      <c r="T485" s="195">
        <f t="shared" si="60"/>
        <v>0.39626425185207359</v>
      </c>
      <c r="U485" s="195">
        <f t="shared" si="55"/>
        <v>0.86393065998329144</v>
      </c>
      <c r="V485">
        <f t="shared" si="56"/>
        <v>69</v>
      </c>
      <c r="W485" s="195">
        <f t="shared" si="61"/>
        <v>0.28212997852885224</v>
      </c>
      <c r="X485" s="195">
        <f t="shared" si="62"/>
        <v>6.096380873890089E-3</v>
      </c>
      <c r="Y485" s="255" t="str">
        <f>IF(ISNUMBER(SEARCH("C", 'Dry_Litterbag Placem_Collection'!V192)),"YES","NO")</f>
        <v>NO</v>
      </c>
      <c r="Z485" s="255" t="str">
        <f>IF(ISNUMBER(SEARCH("H", 'Dry_Litterbag Placem_Collection'!V192)),"YES","NO")</f>
        <v>NO</v>
      </c>
      <c r="AA485" s="255" t="str">
        <f>IF(ISNUMBER(SEARCH("R", 'Dry_Litterbag Placem_Collection'!V192)),"YES","NO")</f>
        <v>NO</v>
      </c>
      <c r="AB485" s="255" t="str">
        <f>IF(ISNUMBER(SEARCH("C", 'Dry_Litterbag Placem_Collection'!U192)),"YES","NO")</f>
        <v>NO</v>
      </c>
      <c r="AC485" s="255" t="str">
        <f>IF(ISNUMBER(SEARCH("H", 'Dry_Litterbag Placem_Collection'!U192)),"YES","NO")</f>
        <v>NO</v>
      </c>
      <c r="AD485" s="255" t="str">
        <f>IF(ISNUMBER(SEARCH("R", 'Dry_Litterbag Placem_Collection'!U192)),"YES","NO")</f>
        <v>NO</v>
      </c>
    </row>
    <row r="486" spans="2:30">
      <c r="B486" t="str">
        <f>'Final data_for_R_analysis_Dryse'!A632</f>
        <v>Dry</v>
      </c>
      <c r="C486" s="263">
        <f>'Final data_for_R_analysis_Dryse'!B632</f>
        <v>191</v>
      </c>
      <c r="D486" t="s">
        <v>3855</v>
      </c>
      <c r="E486" t="s">
        <v>25</v>
      </c>
      <c r="F486" s="387">
        <v>7</v>
      </c>
      <c r="G486" s="16">
        <f>'Dry_Litterbag Placem_Collection'!E193</f>
        <v>42940</v>
      </c>
      <c r="H486" s="92" t="str">
        <f>'Final data_for_R_analysis_Dryse'!J632</f>
        <v>G32</v>
      </c>
      <c r="I486" t="str">
        <f>'Final data_for_R_analysis_Dryse'!J852</f>
        <v>R240</v>
      </c>
      <c r="J486">
        <f>IFERROR(INDEX('Green_rooibos initial weight'!$C$5:$C$1749,MATCH(H486, 'Green_rooibos initial weight'!$A$5:$A$1749,0)),"")</f>
        <v>2.0510000000000002</v>
      </c>
      <c r="K486">
        <f>IFERROR(INDEX('Green_rooibos initial weight'!$C$5:$C$1749,MATCH(I486, 'Green_rooibos initial weight'!$A$5:$A$1749,0)),"")</f>
        <v>2.1800000000000002</v>
      </c>
      <c r="L486" s="195">
        <f t="shared" si="57"/>
        <v>1.8012000000000001</v>
      </c>
      <c r="M486" s="195">
        <f t="shared" si="58"/>
        <v>1.9302000000000001</v>
      </c>
      <c r="N486" s="16">
        <f>IF('Dry_Litterbag Placem_Collection'!G193="N.A","",'Dry_Litterbag Placem_Collection'!G193)</f>
        <v>43009</v>
      </c>
      <c r="O486" s="195">
        <f>IF(IFERROR(INDEX('Both teabags AfterDry'!$D$1:$D$839,MATCH(H486,'Both teabags AfterDry'!$A$1:$A$839,0)),"")="N.A","",(IFERROR(INDEX('Both teabags AfterDry'!$D$1:$D$839,MATCH(H486,'Both teabags AfterDry'!$A$1:$A$839,0)),"")))</f>
        <v>0.77580000000000005</v>
      </c>
      <c r="P486" s="195">
        <f>IF(IFERROR(INDEX('Both teabags AfterDry'!$D$1:$D$839,MATCH(I486,'Both teabags AfterDry'!$A$1:$A$839,0)),"")="N.A","",(IFERROR(INDEX('Both teabags AfterDry'!$D$1:$D$839,MATCH(I486,'Both teabags AfterDry'!$A$1:$A$839,0)),"")))</f>
        <v>1.7597</v>
      </c>
      <c r="Q486" s="195">
        <f t="shared" si="59"/>
        <v>0.62519999999999998</v>
      </c>
      <c r="R486" s="195">
        <f t="shared" si="59"/>
        <v>1.6091</v>
      </c>
      <c r="S486" s="195">
        <f t="shared" si="54"/>
        <v>0.65289806795469696</v>
      </c>
      <c r="T486" s="195">
        <f t="shared" si="60"/>
        <v>0.42802818706768736</v>
      </c>
      <c r="U486" s="195">
        <f t="shared" si="55"/>
        <v>0.83364418195005696</v>
      </c>
      <c r="V486">
        <f t="shared" si="56"/>
        <v>69</v>
      </c>
      <c r="W486" s="195">
        <f t="shared" si="61"/>
        <v>0.22458661763100118</v>
      </c>
      <c r="X486" s="195">
        <f t="shared" si="62"/>
        <v>7.1318236195175855E-3</v>
      </c>
      <c r="Y486" s="255" t="str">
        <f>IF(ISNUMBER(SEARCH("C", 'Dry_Litterbag Placem_Collection'!V193)),"YES","NO")</f>
        <v>NO</v>
      </c>
      <c r="Z486" s="255" t="str">
        <f>IF(ISNUMBER(SEARCH("H", 'Dry_Litterbag Placem_Collection'!V193)),"YES","NO")</f>
        <v>NO</v>
      </c>
      <c r="AA486" s="255" t="str">
        <f>IF(ISNUMBER(SEARCH("R", 'Dry_Litterbag Placem_Collection'!V193)),"YES","NO")</f>
        <v>NO</v>
      </c>
      <c r="AB486" s="255" t="str">
        <f>IF(ISNUMBER(SEARCH("C", 'Dry_Litterbag Placem_Collection'!U193)),"YES","NO")</f>
        <v>NO</v>
      </c>
      <c r="AC486" s="255" t="str">
        <f>IF(ISNUMBER(SEARCH("H", 'Dry_Litterbag Placem_Collection'!U193)),"YES","NO")</f>
        <v>NO</v>
      </c>
      <c r="AD486" s="255" t="str">
        <f>IF(ISNUMBER(SEARCH("R", 'Dry_Litterbag Placem_Collection'!U193)),"YES","NO")</f>
        <v>NO</v>
      </c>
    </row>
    <row r="487" spans="2:30">
      <c r="B487" t="str">
        <f>'Final data_for_R_analysis_Dryse'!A633</f>
        <v>Dry</v>
      </c>
      <c r="C487" s="263">
        <f>'Final data_for_R_analysis_Dryse'!B633</f>
        <v>192</v>
      </c>
      <c r="D487" t="s">
        <v>3855</v>
      </c>
      <c r="E487" t="s">
        <v>25</v>
      </c>
      <c r="F487" s="387">
        <v>8</v>
      </c>
      <c r="G487" s="16">
        <f>'Dry_Litterbag Placem_Collection'!E194</f>
        <v>0</v>
      </c>
      <c r="H487" s="92" t="str">
        <f>'Final data_for_R_analysis_Dryse'!J633</f>
        <v/>
      </c>
      <c r="I487" t="str">
        <f>'Final data_for_R_analysis_Dryse'!J853</f>
        <v/>
      </c>
      <c r="J487" t="str">
        <f>IFERROR(INDEX('Green_rooibos initial weight'!$C$5:$C$1749,MATCH(H487, 'Green_rooibos initial weight'!$A$5:$A$1749,0)),"")</f>
        <v/>
      </c>
      <c r="K487" t="str">
        <f>IFERROR(INDEX('Green_rooibos initial weight'!$C$5:$C$1749,MATCH(I487, 'Green_rooibos initial weight'!$A$5:$A$1749,0)),"")</f>
        <v/>
      </c>
      <c r="L487" s="195" t="str">
        <f t="shared" si="57"/>
        <v/>
      </c>
      <c r="M487" s="195" t="str">
        <f t="shared" si="58"/>
        <v/>
      </c>
      <c r="N487" s="16">
        <f>IF('Dry_Litterbag Placem_Collection'!G194="N.A","",'Dry_Litterbag Placem_Collection'!G194)</f>
        <v>0</v>
      </c>
      <c r="O487" s="195" t="str">
        <f>IF(IFERROR(INDEX('Both teabags AfterDry'!$D$1:$D$839,MATCH(H487,'Both teabags AfterDry'!$A$1:$A$839,0)),"")="N.A","",(IFERROR(INDEX('Both teabags AfterDry'!$D$1:$D$839,MATCH(H487,'Both teabags AfterDry'!$A$1:$A$839,0)),"")))</f>
        <v/>
      </c>
      <c r="P487" s="195" t="str">
        <f>IF(IFERROR(INDEX('Both teabags AfterDry'!$D$1:$D$839,MATCH(I487,'Both teabags AfterDry'!$A$1:$A$839,0)),"")="N.A","",(IFERROR(INDEX('Both teabags AfterDry'!$D$1:$D$839,MATCH(I487,'Both teabags AfterDry'!$A$1:$A$839,0)),"")))</f>
        <v/>
      </c>
      <c r="Q487" s="195" t="str">
        <f t="shared" si="59"/>
        <v/>
      </c>
      <c r="R487" s="195" t="str">
        <f t="shared" si="59"/>
        <v/>
      </c>
      <c r="S487" s="195" t="str">
        <f t="shared" si="54"/>
        <v/>
      </c>
      <c r="T487" s="195" t="str">
        <f t="shared" si="60"/>
        <v/>
      </c>
      <c r="U487" s="195" t="str">
        <f t="shared" si="55"/>
        <v/>
      </c>
      <c r="V487" t="str">
        <f t="shared" si="56"/>
        <v/>
      </c>
      <c r="W487" s="195" t="str">
        <f t="shared" si="61"/>
        <v/>
      </c>
      <c r="X487" s="195" t="str">
        <f t="shared" si="62"/>
        <v/>
      </c>
      <c r="Y487" s="255" t="str">
        <f>IF(ISNUMBER(SEARCH("C", 'Dry_Litterbag Placem_Collection'!V194)),"YES","NO")</f>
        <v>NO</v>
      </c>
      <c r="Z487" s="255" t="str">
        <f>IF(ISNUMBER(SEARCH("H", 'Dry_Litterbag Placem_Collection'!V194)),"YES","NO")</f>
        <v>NO</v>
      </c>
      <c r="AA487" s="255" t="str">
        <f>IF(ISNUMBER(SEARCH("R", 'Dry_Litterbag Placem_Collection'!V194)),"YES","NO")</f>
        <v>NO</v>
      </c>
      <c r="AB487" s="255" t="str">
        <f>IF(ISNUMBER(SEARCH("C", 'Dry_Litterbag Placem_Collection'!U194)),"YES","NO")</f>
        <v>NO</v>
      </c>
      <c r="AC487" s="255" t="str">
        <f>IF(ISNUMBER(SEARCH("H", 'Dry_Litterbag Placem_Collection'!U194)),"YES","NO")</f>
        <v>NO</v>
      </c>
      <c r="AD487" s="255" t="str">
        <f>IF(ISNUMBER(SEARCH("R", 'Dry_Litterbag Placem_Collection'!U194)),"YES","NO")</f>
        <v>NO</v>
      </c>
    </row>
    <row r="488" spans="2:30">
      <c r="B488" t="str">
        <f>'Final data_for_R_analysis_Dryse'!A634</f>
        <v>Dry</v>
      </c>
      <c r="C488" s="263">
        <f>'Final data_for_R_analysis_Dryse'!B634</f>
        <v>193</v>
      </c>
      <c r="D488" t="s">
        <v>2445</v>
      </c>
      <c r="E488" t="s">
        <v>25</v>
      </c>
      <c r="F488" s="387">
        <v>1</v>
      </c>
      <c r="G488" s="16">
        <f>'Dry_Litterbag Placem_Collection'!E195</f>
        <v>42942</v>
      </c>
      <c r="H488" s="92" t="str">
        <f>'Final data_for_R_analysis_Dryse'!J634</f>
        <v>G45</v>
      </c>
      <c r="I488" t="str">
        <f>'Final data_for_R_analysis_Dryse'!J854</f>
        <v>R623</v>
      </c>
      <c r="J488">
        <f>IFERROR(INDEX('Green_rooibos initial weight'!$C$5:$C$1749,MATCH(H488, 'Green_rooibos initial weight'!$A$5:$A$1749,0)),"")</f>
        <v>2.0779999999999998</v>
      </c>
      <c r="K488">
        <f>IFERROR(INDEX('Green_rooibos initial weight'!$C$5:$C$1749,MATCH(I488, 'Green_rooibos initial weight'!$A$5:$A$1749,0)),"")</f>
        <v>2.056</v>
      </c>
      <c r="L488" s="195">
        <f t="shared" si="57"/>
        <v>1.8281999999999998</v>
      </c>
      <c r="M488" s="195">
        <f t="shared" si="58"/>
        <v>1.8062</v>
      </c>
      <c r="N488" s="16">
        <f>IF('Dry_Litterbag Placem_Collection'!G195="N.A","",'Dry_Litterbag Placem_Collection'!G195)</f>
        <v>43004</v>
      </c>
      <c r="O488" s="195">
        <f>IF(IFERROR(INDEX('Both teabags AfterDry'!$D$1:$D$839,MATCH(H488,'Both teabags AfterDry'!$A$1:$A$839,0)),"")="N.A","",(IFERROR(INDEX('Both teabags AfterDry'!$D$1:$D$839,MATCH(H488,'Both teabags AfterDry'!$A$1:$A$839,0)),"")))</f>
        <v>0.82699999999999996</v>
      </c>
      <c r="P488" s="195">
        <f>IF(IFERROR(INDEX('Both teabags AfterDry'!$D$1:$D$839,MATCH(I488,'Both teabags AfterDry'!$A$1:$A$839,0)),"")="N.A","",(IFERROR(INDEX('Both teabags AfterDry'!$D$1:$D$839,MATCH(I488,'Both teabags AfterDry'!$A$1:$A$839,0)),"")))</f>
        <v>1.397</v>
      </c>
      <c r="Q488" s="195">
        <f t="shared" si="59"/>
        <v>0.67639999999999989</v>
      </c>
      <c r="R488" s="195">
        <f t="shared" si="59"/>
        <v>1.2464</v>
      </c>
      <c r="S488" s="195">
        <f t="shared" si="54"/>
        <v>0.6300185975276229</v>
      </c>
      <c r="T488" s="195">
        <f t="shared" si="60"/>
        <v>0.4130288192817671</v>
      </c>
      <c r="U488" s="195">
        <f t="shared" si="55"/>
        <v>0.69006754512235624</v>
      </c>
      <c r="V488">
        <f t="shared" si="56"/>
        <v>62</v>
      </c>
      <c r="W488" s="195">
        <f t="shared" si="61"/>
        <v>0.25175938535911768</v>
      </c>
      <c r="X488" s="195">
        <f t="shared" si="62"/>
        <v>2.2384729730325809E-2</v>
      </c>
      <c r="Y488" s="255" t="str">
        <f>IF(ISNUMBER(SEARCH("C", 'Dry_Litterbag Placem_Collection'!V195)),"YES","NO")</f>
        <v>NO</v>
      </c>
      <c r="Z488" s="255" t="str">
        <f>IF(ISNUMBER(SEARCH("H", 'Dry_Litterbag Placem_Collection'!V195)),"YES","NO")</f>
        <v>NO</v>
      </c>
      <c r="AA488" s="255" t="str">
        <f>IF(ISNUMBER(SEARCH("R", 'Dry_Litterbag Placem_Collection'!V195)),"YES","NO")</f>
        <v>NO</v>
      </c>
      <c r="AB488" s="255" t="str">
        <f>IF(ISNUMBER(SEARCH("C", 'Dry_Litterbag Placem_Collection'!U195)),"YES","NO")</f>
        <v>NO</v>
      </c>
      <c r="AC488" s="255" t="str">
        <f>IF(ISNUMBER(SEARCH("H", 'Dry_Litterbag Placem_Collection'!U195)),"YES","NO")</f>
        <v>NO</v>
      </c>
      <c r="AD488" s="255" t="str">
        <f>IF(ISNUMBER(SEARCH("R", 'Dry_Litterbag Placem_Collection'!U195)),"YES","NO")</f>
        <v>YES</v>
      </c>
    </row>
    <row r="489" spans="2:30">
      <c r="B489" t="str">
        <f>'Final data_for_R_analysis_Dryse'!A635</f>
        <v>Dry</v>
      </c>
      <c r="C489" s="263">
        <f>'Final data_for_R_analysis_Dryse'!B635</f>
        <v>194</v>
      </c>
      <c r="D489" t="s">
        <v>2438</v>
      </c>
      <c r="E489" t="s">
        <v>25</v>
      </c>
      <c r="F489" s="387">
        <v>2</v>
      </c>
      <c r="G489" s="16">
        <f>'Dry_Litterbag Placem_Collection'!E196</f>
        <v>42942</v>
      </c>
      <c r="H489" s="92" t="str">
        <f>'Final data_for_R_analysis_Dryse'!J635</f>
        <v>G90</v>
      </c>
      <c r="I489" t="str">
        <f>'Final data_for_R_analysis_Dryse'!J855</f>
        <v>R611</v>
      </c>
      <c r="J489">
        <f>IFERROR(INDEX('Green_rooibos initial weight'!$C$5:$C$1749,MATCH(H489, 'Green_rooibos initial weight'!$A$5:$A$1749,0)),"")</f>
        <v>2.0409999999999999</v>
      </c>
      <c r="K489">
        <f>IFERROR(INDEX('Green_rooibos initial weight'!$C$5:$C$1749,MATCH(I489, 'Green_rooibos initial weight'!$A$5:$A$1749,0)),"")</f>
        <v>2.157</v>
      </c>
      <c r="L489" s="195">
        <f t="shared" si="57"/>
        <v>1.7911999999999999</v>
      </c>
      <c r="M489" s="195">
        <f t="shared" si="58"/>
        <v>1.9072</v>
      </c>
      <c r="N489" s="16">
        <f>IF('Dry_Litterbag Placem_Collection'!G196="N.A","",'Dry_Litterbag Placem_Collection'!G196)</f>
        <v>43004</v>
      </c>
      <c r="O489" s="195">
        <f>IF(IFERROR(INDEX('Both teabags AfterDry'!$D$1:$D$839,MATCH(H489,'Both teabags AfterDry'!$A$1:$A$839,0)),"")="N.A","",(IFERROR(INDEX('Both teabags AfterDry'!$D$1:$D$839,MATCH(H489,'Both teabags AfterDry'!$A$1:$A$839,0)),"")))</f>
        <v>0.74199999999999999</v>
      </c>
      <c r="P489" s="195">
        <f>IF(IFERROR(INDEX('Both teabags AfterDry'!$D$1:$D$839,MATCH(I489,'Both teabags AfterDry'!$A$1:$A$839,0)),"")="N.A","",(IFERROR(INDEX('Both teabags AfterDry'!$D$1:$D$839,MATCH(I489,'Both teabags AfterDry'!$A$1:$A$839,0)),"")))</f>
        <v>1.593</v>
      </c>
      <c r="Q489" s="195">
        <f t="shared" si="59"/>
        <v>0.59139999999999993</v>
      </c>
      <c r="R489" s="195">
        <f t="shared" si="59"/>
        <v>1.4423999999999999</v>
      </c>
      <c r="S489" s="195">
        <f t="shared" si="54"/>
        <v>0.66983028137561407</v>
      </c>
      <c r="T489" s="195">
        <f t="shared" si="60"/>
        <v>0.4391286405217803</v>
      </c>
      <c r="U489" s="195">
        <f t="shared" si="55"/>
        <v>0.75629194630872476</v>
      </c>
      <c r="V489">
        <f t="shared" si="56"/>
        <v>62</v>
      </c>
      <c r="W489" s="195">
        <f t="shared" si="61"/>
        <v>0.20447710050402124</v>
      </c>
      <c r="X489" s="195">
        <f t="shared" si="62"/>
        <v>1.3058682411617516E-2</v>
      </c>
      <c r="Y489" s="255" t="str">
        <f>IF(ISNUMBER(SEARCH("C", 'Dry_Litterbag Placem_Collection'!V196)),"YES","NO")</f>
        <v>NO</v>
      </c>
      <c r="Z489" s="255" t="str">
        <f>IF(ISNUMBER(SEARCH("H", 'Dry_Litterbag Placem_Collection'!V196)),"YES","NO")</f>
        <v>NO</v>
      </c>
      <c r="AA489" s="255" t="str">
        <f>IF(ISNUMBER(SEARCH("R", 'Dry_Litterbag Placem_Collection'!V196)),"YES","NO")</f>
        <v>YES</v>
      </c>
      <c r="AB489" s="255" t="str">
        <f>IF(ISNUMBER(SEARCH("C", 'Dry_Litterbag Placem_Collection'!U196)),"YES","NO")</f>
        <v>NO</v>
      </c>
      <c r="AC489" s="255" t="str">
        <f>IF(ISNUMBER(SEARCH("H", 'Dry_Litterbag Placem_Collection'!U196)),"YES","NO")</f>
        <v>NO</v>
      </c>
      <c r="AD489" s="255" t="str">
        <f>IF(ISNUMBER(SEARCH("R", 'Dry_Litterbag Placem_Collection'!U196)),"YES","NO")</f>
        <v>YES</v>
      </c>
    </row>
    <row r="490" spans="2:30">
      <c r="B490" t="str">
        <f>'Final data_for_R_analysis_Dryse'!A636</f>
        <v>Dry</v>
      </c>
      <c r="C490" s="263">
        <f>'Final data_for_R_analysis_Dryse'!B636</f>
        <v>195</v>
      </c>
      <c r="D490" t="s">
        <v>2430</v>
      </c>
      <c r="E490" t="s">
        <v>25</v>
      </c>
      <c r="F490" s="387">
        <v>3</v>
      </c>
      <c r="G490" s="16">
        <f>'Dry_Litterbag Placem_Collection'!E197</f>
        <v>42942</v>
      </c>
      <c r="H490" s="92" t="str">
        <f>'Final data_for_R_analysis_Dryse'!J636</f>
        <v>G338</v>
      </c>
      <c r="I490" t="str">
        <f>'Final data_for_R_analysis_Dryse'!J856</f>
        <v>R645</v>
      </c>
      <c r="J490">
        <f>IFERROR(INDEX('Green_rooibos initial weight'!$C$5:$C$1749,MATCH(H490, 'Green_rooibos initial weight'!$A$5:$A$1749,0)),"")</f>
        <v>1.946</v>
      </c>
      <c r="K490">
        <f>IFERROR(INDEX('Green_rooibos initial weight'!$C$5:$C$1749,MATCH(I490, 'Green_rooibos initial weight'!$A$5:$A$1749,0)),"")</f>
        <v>2.2469999999999999</v>
      </c>
      <c r="L490" s="195">
        <f t="shared" si="57"/>
        <v>1.6961999999999999</v>
      </c>
      <c r="M490" s="195">
        <f t="shared" si="58"/>
        <v>1.9971999999999999</v>
      </c>
      <c r="N490" s="16">
        <f>IF('Dry_Litterbag Placem_Collection'!G197="N.A","",'Dry_Litterbag Placem_Collection'!G197)</f>
        <v>43004</v>
      </c>
      <c r="O490" s="195">
        <f>IF(IFERROR(INDEX('Both teabags AfterDry'!$D$1:$D$839,MATCH(H490,'Both teabags AfterDry'!$A$1:$A$839,0)),"")="N.A","",(IFERROR(INDEX('Both teabags AfterDry'!$D$1:$D$839,MATCH(H490,'Both teabags AfterDry'!$A$1:$A$839,0)),"")))</f>
        <v>0.83299999999999996</v>
      </c>
      <c r="P490" s="195">
        <f>IF(IFERROR(INDEX('Both teabags AfterDry'!$D$1:$D$839,MATCH(I490,'Both teabags AfterDry'!$A$1:$A$839,0)),"")="N.A","",(IFERROR(INDEX('Both teabags AfterDry'!$D$1:$D$839,MATCH(I490,'Both teabags AfterDry'!$A$1:$A$839,0)),"")))</f>
        <v>1.7509999999999999</v>
      </c>
      <c r="Q490" s="195">
        <f t="shared" si="59"/>
        <v>0.6823999999999999</v>
      </c>
      <c r="R490" s="195">
        <f t="shared" si="59"/>
        <v>1.6003999999999998</v>
      </c>
      <c r="S490" s="195">
        <f t="shared" si="54"/>
        <v>0.59768895177455494</v>
      </c>
      <c r="T490" s="195">
        <f t="shared" si="60"/>
        <v>0.39183408714911444</v>
      </c>
      <c r="U490" s="195">
        <f t="shared" si="55"/>
        <v>0.80132185059082717</v>
      </c>
      <c r="V490">
        <f t="shared" si="56"/>
        <v>62</v>
      </c>
      <c r="W490" s="195">
        <f t="shared" si="61"/>
        <v>0.29015563922261878</v>
      </c>
      <c r="X490" s="195">
        <f t="shared" si="62"/>
        <v>1.1408720530456258E-2</v>
      </c>
      <c r="Y490" s="255" t="str">
        <f>IF(ISNUMBER(SEARCH("C", 'Dry_Litterbag Placem_Collection'!V197)),"YES","NO")</f>
        <v>NO</v>
      </c>
      <c r="Z490" s="255" t="str">
        <f>IF(ISNUMBER(SEARCH("H", 'Dry_Litterbag Placem_Collection'!V197)),"YES","NO")</f>
        <v>NO</v>
      </c>
      <c r="AA490" s="255" t="str">
        <f>IF(ISNUMBER(SEARCH("R", 'Dry_Litterbag Placem_Collection'!V197)),"YES","NO")</f>
        <v>NO</v>
      </c>
      <c r="AB490" s="255" t="str">
        <f>IF(ISNUMBER(SEARCH("C", 'Dry_Litterbag Placem_Collection'!U197)),"YES","NO")</f>
        <v>NO</v>
      </c>
      <c r="AC490" s="255" t="str">
        <f>IF(ISNUMBER(SEARCH("H", 'Dry_Litterbag Placem_Collection'!U197)),"YES","NO")</f>
        <v>NO</v>
      </c>
      <c r="AD490" s="255" t="str">
        <f>IF(ISNUMBER(SEARCH("R", 'Dry_Litterbag Placem_Collection'!U197)),"YES","NO")</f>
        <v>YES</v>
      </c>
    </row>
    <row r="491" spans="2:30">
      <c r="B491" t="str">
        <f>'Final data_for_R_analysis_Dryse'!A637</f>
        <v>Dry</v>
      </c>
      <c r="C491" s="263">
        <f>'Final data_for_R_analysis_Dryse'!B637</f>
        <v>196</v>
      </c>
      <c r="D491" t="s">
        <v>2421</v>
      </c>
      <c r="E491" t="s">
        <v>25</v>
      </c>
      <c r="F491" s="387">
        <v>4</v>
      </c>
      <c r="G491" s="16">
        <f>'Dry_Litterbag Placem_Collection'!E198</f>
        <v>42942</v>
      </c>
      <c r="H491" s="92" t="str">
        <f>'Final data_for_R_analysis_Dryse'!J637</f>
        <v>G243</v>
      </c>
      <c r="I491" t="str">
        <f>'Final data_for_R_analysis_Dryse'!J857</f>
        <v>R709</v>
      </c>
      <c r="J491">
        <f>IFERROR(INDEX('Green_rooibos initial weight'!$C$5:$C$1749,MATCH(H491, 'Green_rooibos initial weight'!$A$5:$A$1749,0)),"")</f>
        <v>2.13</v>
      </c>
      <c r="K491">
        <f>IFERROR(INDEX('Green_rooibos initial weight'!$C$5:$C$1749,MATCH(I491, 'Green_rooibos initial weight'!$A$5:$A$1749,0)),"")</f>
        <v>2.157</v>
      </c>
      <c r="L491" s="195">
        <f t="shared" si="57"/>
        <v>1.8801999999999999</v>
      </c>
      <c r="M491" s="195">
        <f t="shared" si="58"/>
        <v>1.9072</v>
      </c>
      <c r="N491" s="16">
        <f>IF('Dry_Litterbag Placem_Collection'!G198="N.A","",'Dry_Litterbag Placem_Collection'!G198)</f>
        <v>43004</v>
      </c>
      <c r="O491" s="195">
        <f>IF(IFERROR(INDEX('Both teabags AfterDry'!$D$1:$D$839,MATCH(H491,'Both teabags AfterDry'!$A$1:$A$839,0)),"")="N.A","",(IFERROR(INDEX('Both teabags AfterDry'!$D$1:$D$839,MATCH(H491,'Both teabags AfterDry'!$A$1:$A$839,0)),"")))</f>
        <v>1.04</v>
      </c>
      <c r="P491" s="195">
        <f>IF(IFERROR(INDEX('Both teabags AfterDry'!$D$1:$D$839,MATCH(I491,'Both teabags AfterDry'!$A$1:$A$839,0)),"")="N.A","",(IFERROR(INDEX('Both teabags AfterDry'!$D$1:$D$839,MATCH(I491,'Both teabags AfterDry'!$A$1:$A$839,0)),"")))</f>
        <v>1.863</v>
      </c>
      <c r="Q491" s="195">
        <f t="shared" si="59"/>
        <v>0.88939999999999997</v>
      </c>
      <c r="R491" s="195">
        <f t="shared" si="59"/>
        <v>1.7123999999999999</v>
      </c>
      <c r="S491" s="195">
        <f t="shared" si="54"/>
        <v>0.52696521646633343</v>
      </c>
      <c r="T491" s="195">
        <f t="shared" si="60"/>
        <v>0.34546888300405709</v>
      </c>
      <c r="U491" s="195">
        <f t="shared" si="55"/>
        <v>0.89786073825503354</v>
      </c>
      <c r="V491">
        <f t="shared" si="56"/>
        <v>62</v>
      </c>
      <c r="W491" s="195">
        <f t="shared" si="61"/>
        <v>0.37415057426801257</v>
      </c>
      <c r="X491" s="195">
        <f t="shared" si="62"/>
        <v>5.6529933101503284E-3</v>
      </c>
      <c r="Y491" s="255" t="str">
        <f>IF(ISNUMBER(SEARCH("C", 'Dry_Litterbag Placem_Collection'!V198)),"YES","NO")</f>
        <v>NO</v>
      </c>
      <c r="Z491" s="255" t="str">
        <f>IF(ISNUMBER(SEARCH("H", 'Dry_Litterbag Placem_Collection'!V198)),"YES","NO")</f>
        <v>NO</v>
      </c>
      <c r="AA491" s="255" t="str">
        <f>IF(ISNUMBER(SEARCH("R", 'Dry_Litterbag Placem_Collection'!V198)),"YES","NO")</f>
        <v>NO</v>
      </c>
      <c r="AB491" s="255" t="str">
        <f>IF(ISNUMBER(SEARCH("C", 'Dry_Litterbag Placem_Collection'!U198)),"YES","NO")</f>
        <v>NO</v>
      </c>
      <c r="AC491" s="255" t="str">
        <f>IF(ISNUMBER(SEARCH("H", 'Dry_Litterbag Placem_Collection'!U198)),"YES","NO")</f>
        <v>NO</v>
      </c>
      <c r="AD491" s="255" t="str">
        <f>IF(ISNUMBER(SEARCH("R", 'Dry_Litterbag Placem_Collection'!U198)),"YES","NO")</f>
        <v>YES</v>
      </c>
    </row>
    <row r="492" spans="2:30">
      <c r="B492" t="str">
        <f>'Final data_for_R_analysis_Dryse'!A638</f>
        <v>Dry</v>
      </c>
      <c r="C492" s="263">
        <f>'Final data_for_R_analysis_Dryse'!B638</f>
        <v>197</v>
      </c>
      <c r="D492" t="s">
        <v>2431</v>
      </c>
      <c r="E492" t="s">
        <v>25</v>
      </c>
      <c r="F492" s="387">
        <v>1</v>
      </c>
      <c r="G492" s="16">
        <f>'Dry_Litterbag Placem_Collection'!E199</f>
        <v>42942</v>
      </c>
      <c r="H492" s="92" t="str">
        <f>'Final data_for_R_analysis_Dryse'!J638</f>
        <v>G254</v>
      </c>
      <c r="I492" t="str">
        <f>'Final data_for_R_analysis_Dryse'!J858</f>
        <v>R131</v>
      </c>
      <c r="J492">
        <f>IFERROR(INDEX('Green_rooibos initial weight'!$C$5:$C$1749,MATCH(H492, 'Green_rooibos initial weight'!$A$5:$A$1749,0)),"")</f>
        <v>1.917</v>
      </c>
      <c r="K492">
        <f>IFERROR(INDEX('Green_rooibos initial weight'!$C$5:$C$1749,MATCH(I492, 'Green_rooibos initial weight'!$A$5:$A$1749,0)),"")</f>
        <v>2.1560000000000001</v>
      </c>
      <c r="L492" s="195">
        <f t="shared" si="57"/>
        <v>1.6672</v>
      </c>
      <c r="M492" s="195">
        <f t="shared" si="58"/>
        <v>1.9062000000000001</v>
      </c>
      <c r="N492" s="16">
        <f>IF('Dry_Litterbag Placem_Collection'!G199="N.A","",'Dry_Litterbag Placem_Collection'!G199)</f>
        <v>43004</v>
      </c>
      <c r="O492" s="195">
        <f>IF(IFERROR(INDEX('Both teabags AfterDry'!$D$1:$D$839,MATCH(H492,'Both teabags AfterDry'!$A$1:$A$839,0)),"")="N.A","",(IFERROR(INDEX('Both teabags AfterDry'!$D$1:$D$839,MATCH(H492,'Both teabags AfterDry'!$A$1:$A$839,0)),"")))</f>
        <v>0.82399999999999995</v>
      </c>
      <c r="P492" s="195">
        <f>IF(IFERROR(INDEX('Both teabags AfterDry'!$D$1:$D$839,MATCH(I492,'Both teabags AfterDry'!$A$1:$A$839,0)),"")="N.A","",(IFERROR(INDEX('Both teabags AfterDry'!$D$1:$D$839,MATCH(I492,'Both teabags AfterDry'!$A$1:$A$839,0)),"")))</f>
        <v>1.577</v>
      </c>
      <c r="Q492" s="195">
        <f t="shared" si="59"/>
        <v>0.6734</v>
      </c>
      <c r="R492" s="195">
        <f t="shared" si="59"/>
        <v>1.4263999999999999</v>
      </c>
      <c r="S492" s="195">
        <f t="shared" si="54"/>
        <v>0.59608925143953928</v>
      </c>
      <c r="T492" s="195">
        <f t="shared" si="60"/>
        <v>0.39078535248767904</v>
      </c>
      <c r="U492" s="195">
        <f t="shared" si="55"/>
        <v>0.74829503724687851</v>
      </c>
      <c r="V492">
        <f t="shared" si="56"/>
        <v>62</v>
      </c>
      <c r="W492" s="195">
        <f t="shared" si="61"/>
        <v>0.292055520855654</v>
      </c>
      <c r="X492" s="195">
        <f t="shared" si="62"/>
        <v>1.6663005310603263E-2</v>
      </c>
      <c r="Y492" s="255" t="str">
        <f>IF(ISNUMBER(SEARCH("C", 'Dry_Litterbag Placem_Collection'!V199)),"YES","NO")</f>
        <v>NO</v>
      </c>
      <c r="Z492" s="255" t="str">
        <f>IF(ISNUMBER(SEARCH("H", 'Dry_Litterbag Placem_Collection'!V199)),"YES","NO")</f>
        <v>NO</v>
      </c>
      <c r="AA492" s="255" t="str">
        <f>IF(ISNUMBER(SEARCH("R", 'Dry_Litterbag Placem_Collection'!V199)),"YES","NO")</f>
        <v>YES</v>
      </c>
      <c r="AB492" s="255" t="str">
        <f>IF(ISNUMBER(SEARCH("C", 'Dry_Litterbag Placem_Collection'!U199)),"YES","NO")</f>
        <v>NO</v>
      </c>
      <c r="AC492" s="255" t="str">
        <f>IF(ISNUMBER(SEARCH("H", 'Dry_Litterbag Placem_Collection'!U199)),"YES","NO")</f>
        <v>NO</v>
      </c>
      <c r="AD492" s="255" t="str">
        <f>IF(ISNUMBER(SEARCH("R", 'Dry_Litterbag Placem_Collection'!U199)),"YES","NO")</f>
        <v>YES</v>
      </c>
    </row>
    <row r="493" spans="2:30">
      <c r="B493" t="str">
        <f>'Final data_for_R_analysis_Dryse'!A639</f>
        <v>Dry</v>
      </c>
      <c r="C493" s="263">
        <f>'Final data_for_R_analysis_Dryse'!B639</f>
        <v>198</v>
      </c>
      <c r="D493" t="s">
        <v>2439</v>
      </c>
      <c r="E493" t="s">
        <v>25</v>
      </c>
      <c r="F493" s="387">
        <v>2</v>
      </c>
      <c r="G493" s="16">
        <f>'Dry_Litterbag Placem_Collection'!E200</f>
        <v>42942</v>
      </c>
      <c r="H493" s="92" t="str">
        <f>'Final data_for_R_analysis_Dryse'!J639</f>
        <v>G780</v>
      </c>
      <c r="I493" t="str">
        <f>'Final data_for_R_analysis_Dryse'!J859</f>
        <v>R711</v>
      </c>
      <c r="J493">
        <f>IFERROR(INDEX('Green_rooibos initial weight'!$C$5:$C$1749,MATCH(H493, 'Green_rooibos initial weight'!$A$5:$A$1749,0)),"")</f>
        <v>1.962</v>
      </c>
      <c r="K493">
        <f>IFERROR(INDEX('Green_rooibos initial weight'!$C$5:$C$1749,MATCH(I493, 'Green_rooibos initial weight'!$A$5:$A$1749,0)),"")</f>
        <v>2.13</v>
      </c>
      <c r="L493" s="195">
        <f t="shared" si="57"/>
        <v>1.7121999999999999</v>
      </c>
      <c r="M493" s="195">
        <f t="shared" si="58"/>
        <v>1.8801999999999999</v>
      </c>
      <c r="N493" s="16">
        <f>IF('Dry_Litterbag Placem_Collection'!G200="N.A","",'Dry_Litterbag Placem_Collection'!G200)</f>
        <v>43004</v>
      </c>
      <c r="O493" s="195">
        <f>IF(IFERROR(INDEX('Both teabags AfterDry'!$D$1:$D$839,MATCH(H493,'Both teabags AfterDry'!$A$1:$A$839,0)),"")="N.A","",(IFERROR(INDEX('Both teabags AfterDry'!$D$1:$D$839,MATCH(H493,'Both teabags AfterDry'!$A$1:$A$839,0)),"")))</f>
        <v>0.69899999999999995</v>
      </c>
      <c r="P493" s="195">
        <f>IF(IFERROR(INDEX('Both teabags AfterDry'!$D$1:$D$839,MATCH(I493,'Both teabags AfterDry'!$A$1:$A$839,0)),"")="N.A","",(IFERROR(INDEX('Both teabags AfterDry'!$D$1:$D$839,MATCH(I493,'Both teabags AfterDry'!$A$1:$A$839,0)),"")))</f>
        <v>1.7210000000000001</v>
      </c>
      <c r="Q493" s="195">
        <f t="shared" si="59"/>
        <v>0.5484</v>
      </c>
      <c r="R493" s="195">
        <f t="shared" si="59"/>
        <v>1.5704</v>
      </c>
      <c r="S493" s="195">
        <f t="shared" si="54"/>
        <v>0.679710314215629</v>
      </c>
      <c r="T493" s="195">
        <f t="shared" si="60"/>
        <v>0.44560581169480673</v>
      </c>
      <c r="U493" s="195">
        <f t="shared" si="55"/>
        <v>0.83523029464950549</v>
      </c>
      <c r="V493">
        <f t="shared" si="56"/>
        <v>62</v>
      </c>
      <c r="W493" s="195">
        <f t="shared" si="61"/>
        <v>0.19274309475578499</v>
      </c>
      <c r="X493" s="195">
        <f t="shared" si="62"/>
        <v>7.4461852128768144E-3</v>
      </c>
      <c r="Y493" s="255" t="str">
        <f>IF(ISNUMBER(SEARCH("C", 'Dry_Litterbag Placem_Collection'!V200)),"YES","NO")</f>
        <v>NO</v>
      </c>
      <c r="Z493" s="255" t="str">
        <f>IF(ISNUMBER(SEARCH("H", 'Dry_Litterbag Placem_Collection'!V200)),"YES","NO")</f>
        <v>NO</v>
      </c>
      <c r="AA493" s="255" t="str">
        <f>IF(ISNUMBER(SEARCH("R", 'Dry_Litterbag Placem_Collection'!V200)),"YES","NO")</f>
        <v>YES</v>
      </c>
      <c r="AB493" s="255" t="str">
        <f>IF(ISNUMBER(SEARCH("C", 'Dry_Litterbag Placem_Collection'!U200)),"YES","NO")</f>
        <v>NO</v>
      </c>
      <c r="AC493" s="255" t="str">
        <f>IF(ISNUMBER(SEARCH("H", 'Dry_Litterbag Placem_Collection'!U200)),"YES","NO")</f>
        <v>NO</v>
      </c>
      <c r="AD493" s="255" t="str">
        <f>IF(ISNUMBER(SEARCH("R", 'Dry_Litterbag Placem_Collection'!U200)),"YES","NO")</f>
        <v>YES</v>
      </c>
    </row>
    <row r="494" spans="2:30">
      <c r="B494" t="str">
        <f>'Final data_for_R_analysis_Dryse'!A640</f>
        <v>Dry</v>
      </c>
      <c r="C494" s="263">
        <f>'Final data_for_R_analysis_Dryse'!B640</f>
        <v>199</v>
      </c>
      <c r="D494" t="s">
        <v>2423</v>
      </c>
      <c r="E494" t="s">
        <v>25</v>
      </c>
      <c r="F494" s="387">
        <v>3</v>
      </c>
      <c r="G494" s="16">
        <f>'Dry_Litterbag Placem_Collection'!E201</f>
        <v>42942</v>
      </c>
      <c r="H494" s="92" t="str">
        <f>'Final data_for_R_analysis_Dryse'!J640</f>
        <v>G182</v>
      </c>
      <c r="I494" t="str">
        <f>'Final data_for_R_analysis_Dryse'!J860</f>
        <v>R236</v>
      </c>
      <c r="J494">
        <f>IFERROR(INDEX('Green_rooibos initial weight'!$C$5:$C$1749,MATCH(H494, 'Green_rooibos initial weight'!$A$5:$A$1749,0)),"")</f>
        <v>1.8919999999999999</v>
      </c>
      <c r="K494">
        <f>IFERROR(INDEX('Green_rooibos initial weight'!$C$5:$C$1749,MATCH(I494, 'Green_rooibos initial weight'!$A$5:$A$1749,0)),"")</f>
        <v>2.2440000000000002</v>
      </c>
      <c r="L494" s="195">
        <f t="shared" si="57"/>
        <v>1.6421999999999999</v>
      </c>
      <c r="M494" s="195">
        <f t="shared" si="58"/>
        <v>1.9942000000000002</v>
      </c>
      <c r="N494" s="16">
        <f>IF('Dry_Litterbag Placem_Collection'!G201="N.A","",'Dry_Litterbag Placem_Collection'!G201)</f>
        <v>43004</v>
      </c>
      <c r="O494" s="195">
        <f>IF(IFERROR(INDEX('Both teabags AfterDry'!$D$1:$D$839,MATCH(H494,'Both teabags AfterDry'!$A$1:$A$839,0)),"")="N.A","",(IFERROR(INDEX('Both teabags AfterDry'!$D$1:$D$839,MATCH(H494,'Both teabags AfterDry'!$A$1:$A$839,0)),"")))</f>
        <v>0.62490000000000001</v>
      </c>
      <c r="P494" s="195">
        <f>IF(IFERROR(INDEX('Both teabags AfterDry'!$D$1:$D$839,MATCH(I494,'Both teabags AfterDry'!$A$1:$A$839,0)),"")="N.A","",(IFERROR(INDEX('Both teabags AfterDry'!$D$1:$D$839,MATCH(I494,'Both teabags AfterDry'!$A$1:$A$839,0)),"")))</f>
        <v>1.62</v>
      </c>
      <c r="Q494" s="195">
        <f t="shared" si="59"/>
        <v>0.4743</v>
      </c>
      <c r="R494" s="195">
        <f t="shared" si="59"/>
        <v>1.4694</v>
      </c>
      <c r="S494" s="195">
        <f t="shared" si="54"/>
        <v>0.71118012422360244</v>
      </c>
      <c r="T494" s="195">
        <f t="shared" si="60"/>
        <v>0.46623685103495083</v>
      </c>
      <c r="U494" s="195">
        <f t="shared" si="55"/>
        <v>0.73683682679771334</v>
      </c>
      <c r="V494">
        <f t="shared" si="56"/>
        <v>62</v>
      </c>
      <c r="W494" s="195">
        <f t="shared" si="61"/>
        <v>0.15536802348740797</v>
      </c>
      <c r="X494" s="195">
        <f t="shared" si="62"/>
        <v>1.3405240497500906E-2</v>
      </c>
      <c r="Y494" s="255" t="str">
        <f>IF(ISNUMBER(SEARCH("C", 'Dry_Litterbag Placem_Collection'!V201)),"YES","NO")</f>
        <v>NO</v>
      </c>
      <c r="Z494" s="255" t="str">
        <f>IF(ISNUMBER(SEARCH("H", 'Dry_Litterbag Placem_Collection'!V201)),"YES","NO")</f>
        <v>NO</v>
      </c>
      <c r="AA494" s="255" t="str">
        <f>IF(ISNUMBER(SEARCH("R", 'Dry_Litterbag Placem_Collection'!V201)),"YES","NO")</f>
        <v>YES</v>
      </c>
      <c r="AB494" s="255" t="str">
        <f>IF(ISNUMBER(SEARCH("C", 'Dry_Litterbag Placem_Collection'!U201)),"YES","NO")</f>
        <v>NO</v>
      </c>
      <c r="AC494" s="255" t="str">
        <f>IF(ISNUMBER(SEARCH("H", 'Dry_Litterbag Placem_Collection'!U201)),"YES","NO")</f>
        <v>NO</v>
      </c>
      <c r="AD494" s="255" t="str">
        <f>IF(ISNUMBER(SEARCH("R", 'Dry_Litterbag Placem_Collection'!U201)),"YES","NO")</f>
        <v>YES</v>
      </c>
    </row>
    <row r="495" spans="2:30">
      <c r="B495" t="str">
        <f>'Final data_for_R_analysis_Dryse'!A641</f>
        <v>Dry</v>
      </c>
      <c r="C495" s="263">
        <f>'Final data_for_R_analysis_Dryse'!B641</f>
        <v>200</v>
      </c>
      <c r="D495" t="s">
        <v>2446</v>
      </c>
      <c r="E495" t="s">
        <v>25</v>
      </c>
      <c r="F495" s="387">
        <v>4</v>
      </c>
      <c r="G495" s="16">
        <f>'Dry_Litterbag Placem_Collection'!E202</f>
        <v>42942</v>
      </c>
      <c r="H495" s="92" t="str">
        <f>'Final data_for_R_analysis_Dryse'!J641</f>
        <v>G186</v>
      </c>
      <c r="I495" t="str">
        <f>'Final data_for_R_analysis_Dryse'!J861</f>
        <v>R205</v>
      </c>
      <c r="J495">
        <f>IFERROR(INDEX('Green_rooibos initial weight'!$C$5:$C$1749,MATCH(H495, 'Green_rooibos initial weight'!$A$5:$A$1749,0)),"")</f>
        <v>2.0419999999999998</v>
      </c>
      <c r="K495">
        <f>IFERROR(INDEX('Green_rooibos initial weight'!$C$5:$C$1749,MATCH(I495, 'Green_rooibos initial weight'!$A$5:$A$1749,0)),"")</f>
        <v>2.181</v>
      </c>
      <c r="L495" s="195">
        <f t="shared" si="57"/>
        <v>1.7921999999999998</v>
      </c>
      <c r="M495" s="195">
        <f t="shared" si="58"/>
        <v>1.9312</v>
      </c>
      <c r="N495" s="16">
        <f>IF('Dry_Litterbag Placem_Collection'!G202="N.A","",'Dry_Litterbag Placem_Collection'!G202)</f>
        <v>43004</v>
      </c>
      <c r="O495" s="195">
        <f>IF(IFERROR(INDEX('Both teabags AfterDry'!$D$1:$D$839,MATCH(H495,'Both teabags AfterDry'!$A$1:$A$839,0)),"")="N.A","",(IFERROR(INDEX('Both teabags AfterDry'!$D$1:$D$839,MATCH(H495,'Both teabags AfterDry'!$A$1:$A$839,0)),"")))</f>
        <v>0.6643</v>
      </c>
      <c r="P495" s="195">
        <f>IF(IFERROR(INDEX('Both teabags AfterDry'!$D$1:$D$839,MATCH(I495,'Both teabags AfterDry'!$A$1:$A$839,0)),"")="N.A","",(IFERROR(INDEX('Both teabags AfterDry'!$D$1:$D$839,MATCH(I495,'Both teabags AfterDry'!$A$1:$A$839,0)),"")))</f>
        <v>1.6595</v>
      </c>
      <c r="Q495" s="195">
        <f t="shared" si="59"/>
        <v>0.51370000000000005</v>
      </c>
      <c r="R495" s="195">
        <f t="shared" si="59"/>
        <v>1.5088999999999999</v>
      </c>
      <c r="S495" s="195">
        <f t="shared" si="54"/>
        <v>0.71336904363352294</v>
      </c>
      <c r="T495" s="195">
        <f t="shared" si="60"/>
        <v>0.46767186708515995</v>
      </c>
      <c r="U495" s="195">
        <f t="shared" si="55"/>
        <v>0.7813276719138359</v>
      </c>
      <c r="V495">
        <f t="shared" si="56"/>
        <v>62</v>
      </c>
      <c r="W495" s="195">
        <f t="shared" si="61"/>
        <v>0.15276835672978273</v>
      </c>
      <c r="X495" s="195">
        <f t="shared" si="62"/>
        <v>1.016638493943047E-2</v>
      </c>
      <c r="Y495" s="255" t="str">
        <f>IF(ISNUMBER(SEARCH("C", 'Dry_Litterbag Placem_Collection'!V202)),"YES","NO")</f>
        <v>NO</v>
      </c>
      <c r="Z495" s="255" t="str">
        <f>IF(ISNUMBER(SEARCH("H", 'Dry_Litterbag Placem_Collection'!V202)),"YES","NO")</f>
        <v>NO</v>
      </c>
      <c r="AA495" s="255" t="str">
        <f>IF(ISNUMBER(SEARCH("R", 'Dry_Litterbag Placem_Collection'!V202)),"YES","NO")</f>
        <v>YES</v>
      </c>
      <c r="AB495" s="255" t="str">
        <f>IF(ISNUMBER(SEARCH("C", 'Dry_Litterbag Placem_Collection'!U202)),"YES","NO")</f>
        <v>NO</v>
      </c>
      <c r="AC495" s="255" t="str">
        <f>IF(ISNUMBER(SEARCH("H", 'Dry_Litterbag Placem_Collection'!U202)),"YES","NO")</f>
        <v>NO</v>
      </c>
      <c r="AD495" s="255" t="str">
        <f>IF(ISNUMBER(SEARCH("R", 'Dry_Litterbag Placem_Collection'!U202)),"YES","NO")</f>
        <v>YES</v>
      </c>
    </row>
    <row r="496" spans="2:30">
      <c r="B496" t="str">
        <f>'Final data_for_R_analysis_Dryse'!A642</f>
        <v>Dry</v>
      </c>
      <c r="C496" s="263">
        <f>'Final data_for_R_analysis_Dryse'!B642</f>
        <v>201</v>
      </c>
      <c r="D496" t="s">
        <v>2447</v>
      </c>
      <c r="E496" t="s">
        <v>25</v>
      </c>
      <c r="F496" s="387">
        <v>1</v>
      </c>
      <c r="G496" s="16">
        <f>'Dry_Litterbag Placem_Collection'!E203</f>
        <v>42942</v>
      </c>
      <c r="H496" s="92" t="str">
        <f>'Final data_for_R_analysis_Dryse'!J642</f>
        <v>G315</v>
      </c>
      <c r="I496" t="str">
        <f>'Final data_for_R_analysis_Dryse'!J862</f>
        <v>R665</v>
      </c>
      <c r="J496">
        <f>IFERROR(INDEX('Green_rooibos initial weight'!$C$5:$C$1749,MATCH(H496, 'Green_rooibos initial weight'!$A$5:$A$1749,0)),"")</f>
        <v>2.0960000000000001</v>
      </c>
      <c r="K496">
        <f>IFERROR(INDEX('Green_rooibos initial weight'!$C$5:$C$1749,MATCH(I496, 'Green_rooibos initial weight'!$A$5:$A$1749,0)),"")</f>
        <v>2.1579999999999999</v>
      </c>
      <c r="L496" s="195">
        <f t="shared" si="57"/>
        <v>1.8462000000000001</v>
      </c>
      <c r="M496" s="195">
        <f t="shared" si="58"/>
        <v>1.9081999999999999</v>
      </c>
      <c r="N496" s="16">
        <f>IF('Dry_Litterbag Placem_Collection'!G203="N.A","",'Dry_Litterbag Placem_Collection'!G203)</f>
        <v>43004</v>
      </c>
      <c r="O496" s="195">
        <f>IF(IFERROR(INDEX('Both teabags AfterDry'!$D$1:$D$839,MATCH(H496,'Both teabags AfterDry'!$A$1:$A$839,0)),"")="N.A","",(IFERROR(INDEX('Both teabags AfterDry'!$D$1:$D$839,MATCH(H496,'Both teabags AfterDry'!$A$1:$A$839,0)),"")))</f>
        <v>0.84</v>
      </c>
      <c r="P496" s="195">
        <f>IF(IFERROR(INDEX('Both teabags AfterDry'!$D$1:$D$839,MATCH(I496,'Both teabags AfterDry'!$A$1:$A$839,0)),"")="N.A","",(IFERROR(INDEX('Both teabags AfterDry'!$D$1:$D$839,MATCH(I496,'Both teabags AfterDry'!$A$1:$A$839,0)),"")))</f>
        <v>1.7869999999999999</v>
      </c>
      <c r="Q496" s="195">
        <f t="shared" si="59"/>
        <v>0.68940000000000001</v>
      </c>
      <c r="R496" s="195">
        <f t="shared" si="59"/>
        <v>1.6363999999999999</v>
      </c>
      <c r="S496" s="195">
        <f t="shared" si="54"/>
        <v>0.62658433539161518</v>
      </c>
      <c r="T496" s="195">
        <f t="shared" si="60"/>
        <v>0.41077737902158146</v>
      </c>
      <c r="U496" s="195">
        <f t="shared" si="55"/>
        <v>0.85756210040876213</v>
      </c>
      <c r="V496">
        <f t="shared" si="56"/>
        <v>62</v>
      </c>
      <c r="W496" s="195">
        <f t="shared" si="61"/>
        <v>0.25583808148264231</v>
      </c>
      <c r="X496" s="195">
        <f t="shared" si="62"/>
        <v>6.8677180269008887E-3</v>
      </c>
      <c r="Y496" s="255" t="str">
        <f>IF(ISNUMBER(SEARCH("C", 'Dry_Litterbag Placem_Collection'!V203)),"YES","NO")</f>
        <v>NO</v>
      </c>
      <c r="Z496" s="255" t="str">
        <f>IF(ISNUMBER(SEARCH("H", 'Dry_Litterbag Placem_Collection'!V203)),"YES","NO")</f>
        <v>NO</v>
      </c>
      <c r="AA496" s="255" t="str">
        <f>IF(ISNUMBER(SEARCH("R", 'Dry_Litterbag Placem_Collection'!V203)),"YES","NO")</f>
        <v>YES</v>
      </c>
      <c r="AB496" s="255" t="str">
        <f>IF(ISNUMBER(SEARCH("C", 'Dry_Litterbag Placem_Collection'!U203)),"YES","NO")</f>
        <v>NO</v>
      </c>
      <c r="AC496" s="255" t="str">
        <f>IF(ISNUMBER(SEARCH("H", 'Dry_Litterbag Placem_Collection'!U203)),"YES","NO")</f>
        <v>NO</v>
      </c>
      <c r="AD496" s="255" t="str">
        <f>IF(ISNUMBER(SEARCH("R", 'Dry_Litterbag Placem_Collection'!U203)),"YES","NO")</f>
        <v>YES</v>
      </c>
    </row>
    <row r="497" spans="2:30">
      <c r="B497" t="str">
        <f>'Final data_for_R_analysis_Dryse'!A643</f>
        <v>Dry</v>
      </c>
      <c r="C497" s="263">
        <f>'Final data_for_R_analysis_Dryse'!B643</f>
        <v>202</v>
      </c>
      <c r="D497" t="s">
        <v>2424</v>
      </c>
      <c r="E497" t="s">
        <v>25</v>
      </c>
      <c r="F497" s="387">
        <v>2</v>
      </c>
      <c r="G497" s="16">
        <f>'Dry_Litterbag Placem_Collection'!E204</f>
        <v>42942</v>
      </c>
      <c r="H497" s="92" t="str">
        <f>'Final data_for_R_analysis_Dryse'!J643</f>
        <v>G147</v>
      </c>
      <c r="I497" t="str">
        <f>'Final data_for_R_analysis_Dryse'!J863</f>
        <v>R224</v>
      </c>
      <c r="J497">
        <f>IFERROR(INDEX('Green_rooibos initial weight'!$C$5:$C$1749,MATCH(H497, 'Green_rooibos initial weight'!$A$5:$A$1749,0)),"")</f>
        <v>2.0369999999999999</v>
      </c>
      <c r="K497">
        <f>IFERROR(INDEX('Green_rooibos initial weight'!$C$5:$C$1749,MATCH(I497, 'Green_rooibos initial weight'!$A$5:$A$1749,0)),"")</f>
        <v>2.298</v>
      </c>
      <c r="L497" s="195">
        <f t="shared" si="57"/>
        <v>1.7871999999999999</v>
      </c>
      <c r="M497" s="195">
        <f t="shared" si="58"/>
        <v>2.0482</v>
      </c>
      <c r="N497" s="16">
        <f>IF('Dry_Litterbag Placem_Collection'!G204="N.A","",'Dry_Litterbag Placem_Collection'!G204)</f>
        <v>43004</v>
      </c>
      <c r="O497" s="195">
        <f>IF(IFERROR(INDEX('Both teabags AfterDry'!$D$1:$D$839,MATCH(H497,'Both teabags AfterDry'!$A$1:$A$839,0)),"")="N.A","",(IFERROR(INDEX('Both teabags AfterDry'!$D$1:$D$839,MATCH(H497,'Both teabags AfterDry'!$A$1:$A$839,0)),"")))</f>
        <v>0.71709999999999996</v>
      </c>
      <c r="P497" s="195">
        <f>IF(IFERROR(INDEX('Both teabags AfterDry'!$D$1:$D$839,MATCH(I497,'Both teabags AfterDry'!$A$1:$A$839,0)),"")="N.A","",(IFERROR(INDEX('Both teabags AfterDry'!$D$1:$D$839,MATCH(I497,'Both teabags AfterDry'!$A$1:$A$839,0)),"")))</f>
        <v>1.8384</v>
      </c>
      <c r="Q497" s="195">
        <f t="shared" si="59"/>
        <v>0.5665</v>
      </c>
      <c r="R497" s="195">
        <f t="shared" si="59"/>
        <v>1.6878</v>
      </c>
      <c r="S497" s="195">
        <f t="shared" si="54"/>
        <v>0.68302372426141456</v>
      </c>
      <c r="T497" s="195">
        <f t="shared" si="60"/>
        <v>0.44777802350629559</v>
      </c>
      <c r="U497" s="195">
        <f t="shared" si="55"/>
        <v>0.82404062103310216</v>
      </c>
      <c r="V497">
        <f t="shared" si="56"/>
        <v>62</v>
      </c>
      <c r="W497" s="195">
        <f t="shared" si="61"/>
        <v>0.18880792843062399</v>
      </c>
      <c r="X497" s="195">
        <f t="shared" si="62"/>
        <v>8.0510085560315543E-3</v>
      </c>
      <c r="Y497" s="255" t="str">
        <f>IF(ISNUMBER(SEARCH("C", 'Dry_Litterbag Placem_Collection'!V204)),"YES","NO")</f>
        <v>NO</v>
      </c>
      <c r="Z497" s="255" t="str">
        <f>IF(ISNUMBER(SEARCH("H", 'Dry_Litterbag Placem_Collection'!V204)),"YES","NO")</f>
        <v>NO</v>
      </c>
      <c r="AA497" s="255" t="str">
        <f>IF(ISNUMBER(SEARCH("R", 'Dry_Litterbag Placem_Collection'!V204)),"YES","NO")</f>
        <v>YES</v>
      </c>
      <c r="AB497" s="255" t="str">
        <f>IF(ISNUMBER(SEARCH("C", 'Dry_Litterbag Placem_Collection'!U204)),"YES","NO")</f>
        <v>NO</v>
      </c>
      <c r="AC497" s="255" t="str">
        <f>IF(ISNUMBER(SEARCH("H", 'Dry_Litterbag Placem_Collection'!U204)),"YES","NO")</f>
        <v>NO</v>
      </c>
      <c r="AD497" s="255" t="str">
        <f>IF(ISNUMBER(SEARCH("R", 'Dry_Litterbag Placem_Collection'!U204)),"YES","NO")</f>
        <v>YES</v>
      </c>
    </row>
    <row r="498" spans="2:30">
      <c r="B498" t="str">
        <f>'Final data_for_R_analysis_Dryse'!A644</f>
        <v>Dry</v>
      </c>
      <c r="C498" s="263">
        <f>'Final data_for_R_analysis_Dryse'!B644</f>
        <v>203</v>
      </c>
      <c r="D498" t="s">
        <v>2433</v>
      </c>
      <c r="E498" t="s">
        <v>25</v>
      </c>
      <c r="F498" s="387">
        <v>3</v>
      </c>
      <c r="G498" s="16">
        <f>'Dry_Litterbag Placem_Collection'!E205</f>
        <v>42942</v>
      </c>
      <c r="H498" s="92" t="str">
        <f>'Final data_for_R_analysis_Dryse'!J644</f>
        <v>G168</v>
      </c>
      <c r="I498" t="str">
        <f>'Final data_for_R_analysis_Dryse'!J864</f>
        <v>R621</v>
      </c>
      <c r="J498">
        <f>IFERROR(INDEX('Green_rooibos initial weight'!$C$5:$C$1749,MATCH(H498, 'Green_rooibos initial weight'!$A$5:$A$1749,0)),"")</f>
        <v>2.0499999999999998</v>
      </c>
      <c r="K498">
        <f>IFERROR(INDEX('Green_rooibos initial weight'!$C$5:$C$1749,MATCH(I498, 'Green_rooibos initial weight'!$A$5:$A$1749,0)),"")</f>
        <v>2.0459999999999998</v>
      </c>
      <c r="L498" s="195">
        <f t="shared" si="57"/>
        <v>1.8001999999999998</v>
      </c>
      <c r="M498" s="195">
        <f t="shared" si="58"/>
        <v>1.7961999999999998</v>
      </c>
      <c r="N498" s="16">
        <f>IF('Dry_Litterbag Placem_Collection'!G205="N.A","",'Dry_Litterbag Placem_Collection'!G205)</f>
        <v>43004</v>
      </c>
      <c r="O498" s="195">
        <f>IF(IFERROR(INDEX('Both teabags AfterDry'!$D$1:$D$839,MATCH(H498,'Both teabags AfterDry'!$A$1:$A$839,0)),"")="N.A","",(IFERROR(INDEX('Both teabags AfterDry'!$D$1:$D$839,MATCH(H498,'Both teabags AfterDry'!$A$1:$A$839,0)),"")))</f>
        <v>0.72609999999999997</v>
      </c>
      <c r="P498" s="195">
        <f>IF(IFERROR(INDEX('Both teabags AfterDry'!$D$1:$D$839,MATCH(I498,'Both teabags AfterDry'!$A$1:$A$839,0)),"")="N.A","",(IFERROR(INDEX('Both teabags AfterDry'!$D$1:$D$839,MATCH(I498,'Both teabags AfterDry'!$A$1:$A$839,0)),"")))</f>
        <v>1.6888000000000001</v>
      </c>
      <c r="Q498" s="195">
        <f t="shared" si="59"/>
        <v>0.5754999999999999</v>
      </c>
      <c r="R498" s="195">
        <f t="shared" si="59"/>
        <v>1.5382</v>
      </c>
      <c r="S498" s="195">
        <f t="shared" si="54"/>
        <v>0.68031329852238642</v>
      </c>
      <c r="T498" s="195">
        <f t="shared" si="60"/>
        <v>0.44600111732108949</v>
      </c>
      <c r="U498" s="195">
        <f t="shared" si="55"/>
        <v>0.85636343391604508</v>
      </c>
      <c r="V498">
        <f t="shared" si="56"/>
        <v>62</v>
      </c>
      <c r="W498" s="195">
        <f t="shared" si="61"/>
        <v>0.19202696137483799</v>
      </c>
      <c r="X498" s="195">
        <f t="shared" si="62"/>
        <v>6.2691620085817343E-3</v>
      </c>
      <c r="Y498" s="255" t="str">
        <f>IF(ISNUMBER(SEARCH("C", 'Dry_Litterbag Placem_Collection'!V205)),"YES","NO")</f>
        <v>NO</v>
      </c>
      <c r="Z498" s="255" t="str">
        <f>IF(ISNUMBER(SEARCH("H", 'Dry_Litterbag Placem_Collection'!V205)),"YES","NO")</f>
        <v>NO</v>
      </c>
      <c r="AA498" s="255" t="str">
        <f>IF(ISNUMBER(SEARCH("R", 'Dry_Litterbag Placem_Collection'!V205)),"YES","NO")</f>
        <v>YES</v>
      </c>
      <c r="AB498" s="255" t="str">
        <f>IF(ISNUMBER(SEARCH("C", 'Dry_Litterbag Placem_Collection'!U205)),"YES","NO")</f>
        <v>NO</v>
      </c>
      <c r="AC498" s="255" t="str">
        <f>IF(ISNUMBER(SEARCH("H", 'Dry_Litterbag Placem_Collection'!U205)),"YES","NO")</f>
        <v>NO</v>
      </c>
      <c r="AD498" s="255" t="str">
        <f>IF(ISNUMBER(SEARCH("R", 'Dry_Litterbag Placem_Collection'!U205)),"YES","NO")</f>
        <v>YES</v>
      </c>
    </row>
    <row r="499" spans="2:30">
      <c r="B499" t="str">
        <f>'Final data_for_R_analysis_Dryse'!A645</f>
        <v>Dry</v>
      </c>
      <c r="C499" s="263">
        <f>'Final data_for_R_analysis_Dryse'!B645</f>
        <v>204</v>
      </c>
      <c r="D499" t="s">
        <v>2440</v>
      </c>
      <c r="E499" t="s">
        <v>25</v>
      </c>
      <c r="F499" s="387">
        <v>4</v>
      </c>
      <c r="G499" s="16">
        <f>'Dry_Litterbag Placem_Collection'!E206</f>
        <v>42942</v>
      </c>
      <c r="H499" s="92" t="str">
        <f>'Final data_for_R_analysis_Dryse'!J645</f>
        <v>G672</v>
      </c>
      <c r="I499" t="str">
        <f>'Final data_for_R_analysis_Dryse'!J865</f>
        <v>R708</v>
      </c>
      <c r="J499">
        <f>IFERROR(INDEX('Green_rooibos initial weight'!$C$5:$C$1749,MATCH(H499, 'Green_rooibos initial weight'!$A$5:$A$1749,0)),"")</f>
        <v>2.0350000000000001</v>
      </c>
      <c r="K499">
        <f>IFERROR(INDEX('Green_rooibos initial weight'!$C$5:$C$1749,MATCH(I499, 'Green_rooibos initial weight'!$A$5:$A$1749,0)),"")</f>
        <v>2.157</v>
      </c>
      <c r="L499" s="195">
        <f t="shared" si="57"/>
        <v>1.7852000000000001</v>
      </c>
      <c r="M499" s="195">
        <f t="shared" si="58"/>
        <v>1.9072</v>
      </c>
      <c r="N499" s="16">
        <f>IF('Dry_Litterbag Placem_Collection'!G206="N.A","",'Dry_Litterbag Placem_Collection'!G206)</f>
        <v>43004</v>
      </c>
      <c r="O499" s="195">
        <f>IF(IFERROR(INDEX('Both teabags AfterDry'!$D$1:$D$839,MATCH(H499,'Both teabags AfterDry'!$A$1:$A$839,0)),"")="N.A","",(IFERROR(INDEX('Both teabags AfterDry'!$D$1:$D$839,MATCH(H499,'Both teabags AfterDry'!$A$1:$A$839,0)),"")))</f>
        <v>0.75690000000000002</v>
      </c>
      <c r="P499" s="195">
        <f>IF(IFERROR(INDEX('Both teabags AfterDry'!$D$1:$D$839,MATCH(I499,'Both teabags AfterDry'!$A$1:$A$839,0)),"")="N.A","",(IFERROR(INDEX('Both teabags AfterDry'!$D$1:$D$839,MATCH(I499,'Both teabags AfterDry'!$A$1:$A$839,0)),"")))</f>
        <v>1.7259</v>
      </c>
      <c r="Q499" s="195">
        <f t="shared" si="59"/>
        <v>0.60630000000000006</v>
      </c>
      <c r="R499" s="195">
        <f t="shared" si="59"/>
        <v>1.5752999999999999</v>
      </c>
      <c r="S499" s="195">
        <f t="shared" si="54"/>
        <v>0.66037418776607659</v>
      </c>
      <c r="T499" s="195">
        <f t="shared" si="60"/>
        <v>0.43292939625519516</v>
      </c>
      <c r="U499" s="195">
        <f t="shared" si="55"/>
        <v>0.82597525167785235</v>
      </c>
      <c r="V499">
        <f t="shared" si="56"/>
        <v>62</v>
      </c>
      <c r="W499" s="195">
        <f t="shared" si="61"/>
        <v>0.21570761547971895</v>
      </c>
      <c r="X499" s="195">
        <f t="shared" si="62"/>
        <v>8.2921744894285734E-3</v>
      </c>
      <c r="Y499" s="255" t="str">
        <f>IF(ISNUMBER(SEARCH("C", 'Dry_Litterbag Placem_Collection'!V206)),"YES","NO")</f>
        <v>NO</v>
      </c>
      <c r="Z499" s="255" t="str">
        <f>IF(ISNUMBER(SEARCH("H", 'Dry_Litterbag Placem_Collection'!V206)),"YES","NO")</f>
        <v>NO</v>
      </c>
      <c r="AA499" s="255" t="str">
        <f>IF(ISNUMBER(SEARCH("R", 'Dry_Litterbag Placem_Collection'!V206)),"YES","NO")</f>
        <v>NO</v>
      </c>
      <c r="AB499" s="255" t="str">
        <f>IF(ISNUMBER(SEARCH("C", 'Dry_Litterbag Placem_Collection'!U206)),"YES","NO")</f>
        <v>NO</v>
      </c>
      <c r="AC499" s="255" t="str">
        <f>IF(ISNUMBER(SEARCH("H", 'Dry_Litterbag Placem_Collection'!U206)),"YES","NO")</f>
        <v>NO</v>
      </c>
      <c r="AD499" s="255" t="str">
        <f>IF(ISNUMBER(SEARCH("R", 'Dry_Litterbag Placem_Collection'!U206)),"YES","NO")</f>
        <v>NO</v>
      </c>
    </row>
    <row r="500" spans="2:30">
      <c r="B500" t="str">
        <f>'Final data_for_R_analysis_Dryse'!A646</f>
        <v>Dry</v>
      </c>
      <c r="C500" s="263">
        <f>'Final data_for_R_analysis_Dryse'!B646</f>
        <v>205</v>
      </c>
      <c r="D500" t="s">
        <v>2434</v>
      </c>
      <c r="E500" t="s">
        <v>25</v>
      </c>
      <c r="F500" s="387">
        <v>1</v>
      </c>
      <c r="G500" s="16">
        <f>'Dry_Litterbag Placem_Collection'!E207</f>
        <v>42942</v>
      </c>
      <c r="H500" s="92" t="str">
        <f>'Final data_for_R_analysis_Dryse'!J646</f>
        <v>G173</v>
      </c>
      <c r="I500" t="str">
        <f>'Final data_for_R_analysis_Dryse'!J866</f>
        <v>R637</v>
      </c>
      <c r="J500">
        <f>IFERROR(INDEX('Green_rooibos initial weight'!$C$5:$C$1749,MATCH(H500, 'Green_rooibos initial weight'!$A$5:$A$1749,0)),"")</f>
        <v>2.1419999999999999</v>
      </c>
      <c r="K500">
        <f>IFERROR(INDEX('Green_rooibos initial weight'!$C$5:$C$1749,MATCH(I500, 'Green_rooibos initial weight'!$A$5:$A$1749,0)),"")</f>
        <v>2.129</v>
      </c>
      <c r="L500" s="195">
        <f t="shared" si="57"/>
        <v>1.8921999999999999</v>
      </c>
      <c r="M500" s="195">
        <f t="shared" si="58"/>
        <v>1.8792</v>
      </c>
      <c r="N500" s="16">
        <f>IF('Dry_Litterbag Placem_Collection'!G207="N.A","",'Dry_Litterbag Placem_Collection'!G207)</f>
        <v>43004</v>
      </c>
      <c r="O500" s="195">
        <f>IF(IFERROR(INDEX('Both teabags AfterDry'!$D$1:$D$839,MATCH(H500,'Both teabags AfterDry'!$A$1:$A$839,0)),"")="N.A","",(IFERROR(INDEX('Both teabags AfterDry'!$D$1:$D$839,MATCH(H500,'Both teabags AfterDry'!$A$1:$A$839,0)),"")))</f>
        <v>0.79190000000000005</v>
      </c>
      <c r="P500" s="195">
        <f>IF(IFERROR(INDEX('Both teabags AfterDry'!$D$1:$D$839,MATCH(I500,'Both teabags AfterDry'!$A$1:$A$839,0)),"")="N.A","",(IFERROR(INDEX('Both teabags AfterDry'!$D$1:$D$839,MATCH(I500,'Both teabags AfterDry'!$A$1:$A$839,0)),"")))</f>
        <v>1.6534</v>
      </c>
      <c r="Q500" s="195">
        <f t="shared" si="59"/>
        <v>0.64129999999999998</v>
      </c>
      <c r="R500" s="195">
        <f t="shared" si="59"/>
        <v>1.5027999999999999</v>
      </c>
      <c r="S500" s="195">
        <f t="shared" si="54"/>
        <v>0.66108233801923688</v>
      </c>
      <c r="T500" s="195">
        <f t="shared" si="60"/>
        <v>0.43339364677745701</v>
      </c>
      <c r="U500" s="195">
        <f t="shared" si="55"/>
        <v>0.79970200085142606</v>
      </c>
      <c r="V500">
        <f t="shared" si="56"/>
        <v>62</v>
      </c>
      <c r="W500" s="195">
        <f t="shared" si="61"/>
        <v>0.21486658192489683</v>
      </c>
      <c r="X500" s="195">
        <f t="shared" si="62"/>
        <v>1.0003186383719796E-2</v>
      </c>
      <c r="Y500" s="255" t="str">
        <f>IF(ISNUMBER(SEARCH("C", 'Dry_Litterbag Placem_Collection'!V207)),"YES","NO")</f>
        <v>NO</v>
      </c>
      <c r="Z500" s="255" t="str">
        <f>IF(ISNUMBER(SEARCH("H", 'Dry_Litterbag Placem_Collection'!V207)),"YES","NO")</f>
        <v>NO</v>
      </c>
      <c r="AA500" s="255" t="str">
        <f>IF(ISNUMBER(SEARCH("R", 'Dry_Litterbag Placem_Collection'!V207)),"YES","NO")</f>
        <v>YES</v>
      </c>
      <c r="AB500" s="255" t="str">
        <f>IF(ISNUMBER(SEARCH("C", 'Dry_Litterbag Placem_Collection'!U207)),"YES","NO")</f>
        <v>NO</v>
      </c>
      <c r="AC500" s="255" t="str">
        <f>IF(ISNUMBER(SEARCH("H", 'Dry_Litterbag Placem_Collection'!U207)),"YES","NO")</f>
        <v>NO</v>
      </c>
      <c r="AD500" s="255" t="str">
        <f>IF(ISNUMBER(SEARCH("R", 'Dry_Litterbag Placem_Collection'!U207)),"YES","NO")</f>
        <v>YES</v>
      </c>
    </row>
    <row r="501" spans="2:30">
      <c r="B501" t="str">
        <f>'Final data_for_R_analysis_Dryse'!A647</f>
        <v>Dry</v>
      </c>
      <c r="C501" s="263">
        <f>'Final data_for_R_analysis_Dryse'!B647</f>
        <v>206</v>
      </c>
      <c r="D501" t="s">
        <v>2425</v>
      </c>
      <c r="E501" t="s">
        <v>25</v>
      </c>
      <c r="F501" s="387">
        <v>2</v>
      </c>
      <c r="G501" s="16">
        <f>'Dry_Litterbag Placem_Collection'!E208</f>
        <v>42942</v>
      </c>
      <c r="H501" s="92" t="str">
        <f>'Final data_for_R_analysis_Dryse'!J647</f>
        <v>G262</v>
      </c>
      <c r="I501" t="str">
        <f>'Final data_for_R_analysis_Dryse'!J867</f>
        <v>R284</v>
      </c>
      <c r="J501">
        <f>IFERROR(INDEX('Green_rooibos initial weight'!$C$5:$C$1749,MATCH(H501, 'Green_rooibos initial weight'!$A$5:$A$1749,0)),"")</f>
        <v>2.012</v>
      </c>
      <c r="K501">
        <f>IFERROR(INDEX('Green_rooibos initial weight'!$C$5:$C$1749,MATCH(I501, 'Green_rooibos initial weight'!$A$5:$A$1749,0)),"")</f>
        <v>2.2480000000000002</v>
      </c>
      <c r="L501" s="195">
        <f t="shared" si="57"/>
        <v>1.7622</v>
      </c>
      <c r="M501" s="195">
        <f t="shared" si="58"/>
        <v>1.9982000000000002</v>
      </c>
      <c r="N501" s="16">
        <f>IF('Dry_Litterbag Placem_Collection'!G208="N.A","",'Dry_Litterbag Placem_Collection'!G208)</f>
        <v>43004</v>
      </c>
      <c r="O501" s="195">
        <f>IF(IFERROR(INDEX('Both teabags AfterDry'!$D$1:$D$839,MATCH(H501,'Both teabags AfterDry'!$A$1:$A$839,0)),"")="N.A","",(IFERROR(INDEX('Both teabags AfterDry'!$D$1:$D$839,MATCH(H501,'Both teabags AfterDry'!$A$1:$A$839,0)),"")))</f>
        <v>0.59640000000000004</v>
      </c>
      <c r="P501" s="195">
        <f>IF(IFERROR(INDEX('Both teabags AfterDry'!$D$1:$D$839,MATCH(I501,'Both teabags AfterDry'!$A$1:$A$839,0)),"")="N.A","",(IFERROR(INDEX('Both teabags AfterDry'!$D$1:$D$839,MATCH(I501,'Both teabags AfterDry'!$A$1:$A$839,0)),"")))</f>
        <v>1.6192</v>
      </c>
      <c r="Q501" s="195">
        <f t="shared" si="59"/>
        <v>0.44580000000000003</v>
      </c>
      <c r="R501" s="195">
        <f t="shared" si="59"/>
        <v>1.4685999999999999</v>
      </c>
      <c r="S501" s="195">
        <f t="shared" si="54"/>
        <v>0.74702076949267959</v>
      </c>
      <c r="T501" s="195">
        <f t="shared" si="60"/>
        <v>0.48973333106883515</v>
      </c>
      <c r="U501" s="195">
        <f t="shared" si="55"/>
        <v>0.73496146531878681</v>
      </c>
      <c r="V501">
        <f t="shared" si="56"/>
        <v>62</v>
      </c>
      <c r="W501" s="195">
        <f t="shared" si="61"/>
        <v>0.11280193646950165</v>
      </c>
      <c r="X501" s="195">
        <f t="shared" si="62"/>
        <v>1.2566419351191051E-2</v>
      </c>
      <c r="Y501" s="255" t="str">
        <f>IF(ISNUMBER(SEARCH("C", 'Dry_Litterbag Placem_Collection'!V208)),"YES","NO")</f>
        <v>NO</v>
      </c>
      <c r="Z501" s="255" t="str">
        <f>IF(ISNUMBER(SEARCH("H", 'Dry_Litterbag Placem_Collection'!V208)),"YES","NO")</f>
        <v>NO</v>
      </c>
      <c r="AA501" s="255" t="str">
        <f>IF(ISNUMBER(SEARCH("R", 'Dry_Litterbag Placem_Collection'!V208)),"YES","NO")</f>
        <v>YES</v>
      </c>
      <c r="AB501" s="255" t="str">
        <f>IF(ISNUMBER(SEARCH("C", 'Dry_Litterbag Placem_Collection'!U208)),"YES","NO")</f>
        <v>NO</v>
      </c>
      <c r="AC501" s="255" t="str">
        <f>IF(ISNUMBER(SEARCH("H", 'Dry_Litterbag Placem_Collection'!U208)),"YES","NO")</f>
        <v>NO</v>
      </c>
      <c r="AD501" s="255" t="str">
        <f>IF(ISNUMBER(SEARCH("R", 'Dry_Litterbag Placem_Collection'!U208)),"YES","NO")</f>
        <v>YES</v>
      </c>
    </row>
    <row r="502" spans="2:30">
      <c r="B502" t="str">
        <f>'Final data_for_R_analysis_Dryse'!A648</f>
        <v>Dry</v>
      </c>
      <c r="C502" s="263">
        <f>'Final data_for_R_analysis_Dryse'!B648</f>
        <v>207</v>
      </c>
      <c r="D502" t="s">
        <v>2448</v>
      </c>
      <c r="E502" t="s">
        <v>25</v>
      </c>
      <c r="F502" s="387">
        <v>3</v>
      </c>
      <c r="G502" s="16">
        <f>'Dry_Litterbag Placem_Collection'!E209</f>
        <v>42942</v>
      </c>
      <c r="H502" s="92" t="str">
        <f>'Final data_for_R_analysis_Dryse'!J648</f>
        <v>G230</v>
      </c>
      <c r="I502" t="str">
        <f>'Final data_for_R_analysis_Dryse'!J868</f>
        <v>R604</v>
      </c>
      <c r="J502">
        <f>IFERROR(INDEX('Green_rooibos initial weight'!$C$5:$C$1749,MATCH(H502, 'Green_rooibos initial weight'!$A$5:$A$1749,0)),"")</f>
        <v>2.0030000000000001</v>
      </c>
      <c r="K502">
        <f>IFERROR(INDEX('Green_rooibos initial weight'!$C$5:$C$1749,MATCH(I502, 'Green_rooibos initial weight'!$A$5:$A$1749,0)),"")</f>
        <v>2.1230000000000002</v>
      </c>
      <c r="L502" s="195">
        <f t="shared" si="57"/>
        <v>1.7532000000000001</v>
      </c>
      <c r="M502" s="195">
        <f t="shared" si="58"/>
        <v>1.8732000000000002</v>
      </c>
      <c r="N502" s="16">
        <f>IF('Dry_Litterbag Placem_Collection'!G209="N.A","",'Dry_Litterbag Placem_Collection'!G209)</f>
        <v>43004</v>
      </c>
      <c r="O502" s="195">
        <f>IF(IFERROR(INDEX('Both teabags AfterDry'!$D$1:$D$839,MATCH(H502,'Both teabags AfterDry'!$A$1:$A$839,0)),"")="N.A","",(IFERROR(INDEX('Both teabags AfterDry'!$D$1:$D$839,MATCH(H502,'Both teabags AfterDry'!$A$1:$A$839,0)),"")))</f>
        <v>0.73299999999999998</v>
      </c>
      <c r="P502" s="195">
        <f>IF(IFERROR(INDEX('Both teabags AfterDry'!$D$1:$D$839,MATCH(I502,'Both teabags AfterDry'!$A$1:$A$839,0)),"")="N.A","",(IFERROR(INDEX('Both teabags AfterDry'!$D$1:$D$839,MATCH(I502,'Both teabags AfterDry'!$A$1:$A$839,0)),"")))</f>
        <v>1.615</v>
      </c>
      <c r="Q502" s="195">
        <f t="shared" si="59"/>
        <v>0.58240000000000003</v>
      </c>
      <c r="R502" s="195">
        <f t="shared" si="59"/>
        <v>1.4643999999999999</v>
      </c>
      <c r="S502" s="195">
        <f t="shared" si="54"/>
        <v>0.66780743782797169</v>
      </c>
      <c r="T502" s="195">
        <f t="shared" si="60"/>
        <v>0.43780250080883659</v>
      </c>
      <c r="U502" s="195">
        <f t="shared" si="55"/>
        <v>0.78176382660687582</v>
      </c>
      <c r="V502">
        <f t="shared" si="56"/>
        <v>62</v>
      </c>
      <c r="W502" s="195">
        <f t="shared" si="61"/>
        <v>0.20687952752022365</v>
      </c>
      <c r="X502" s="195">
        <f t="shared" si="62"/>
        <v>1.1130863474287026E-2</v>
      </c>
      <c r="Y502" s="255" t="str">
        <f>IF(ISNUMBER(SEARCH("C", 'Dry_Litterbag Placem_Collection'!V209)),"YES","NO")</f>
        <v>NO</v>
      </c>
      <c r="Z502" s="255" t="str">
        <f>IF(ISNUMBER(SEARCH("H", 'Dry_Litterbag Placem_Collection'!V209)),"YES","NO")</f>
        <v>NO</v>
      </c>
      <c r="AA502" s="255" t="str">
        <f>IF(ISNUMBER(SEARCH("R", 'Dry_Litterbag Placem_Collection'!V209)),"YES","NO")</f>
        <v>YES</v>
      </c>
      <c r="AB502" s="255" t="str">
        <f>IF(ISNUMBER(SEARCH("C", 'Dry_Litterbag Placem_Collection'!U209)),"YES","NO")</f>
        <v>NO</v>
      </c>
      <c r="AC502" s="255" t="str">
        <f>IF(ISNUMBER(SEARCH("H", 'Dry_Litterbag Placem_Collection'!U209)),"YES","NO")</f>
        <v>NO</v>
      </c>
      <c r="AD502" s="255" t="str">
        <f>IF(ISNUMBER(SEARCH("R", 'Dry_Litterbag Placem_Collection'!U209)),"YES","NO")</f>
        <v>NO</v>
      </c>
    </row>
    <row r="503" spans="2:30">
      <c r="B503" t="str">
        <f>'Final data_for_R_analysis_Dryse'!A649</f>
        <v>Dry</v>
      </c>
      <c r="C503" s="263">
        <f>'Final data_for_R_analysis_Dryse'!B649</f>
        <v>208</v>
      </c>
      <c r="D503" t="s">
        <v>2441</v>
      </c>
      <c r="E503" t="s">
        <v>25</v>
      </c>
      <c r="F503" s="387">
        <v>4</v>
      </c>
      <c r="G503" s="16">
        <f>'Dry_Litterbag Placem_Collection'!E210</f>
        <v>42942</v>
      </c>
      <c r="H503" s="92" t="str">
        <f>'Final data_for_R_analysis_Dryse'!J649</f>
        <v>G140</v>
      </c>
      <c r="I503" t="str">
        <f>'Final data_for_R_analysis_Dryse'!J869</f>
        <v>R625</v>
      </c>
      <c r="J503">
        <f>IFERROR(INDEX('Green_rooibos initial weight'!$C$5:$C$1749,MATCH(H503, 'Green_rooibos initial weight'!$A$5:$A$1749,0)),"")</f>
        <v>2.0590000000000002</v>
      </c>
      <c r="K503">
        <f>IFERROR(INDEX('Green_rooibos initial weight'!$C$5:$C$1749,MATCH(I503, 'Green_rooibos initial weight'!$A$5:$A$1749,0)),"")</f>
        <v>2.1589999999999998</v>
      </c>
      <c r="L503" s="195">
        <f t="shared" si="57"/>
        <v>1.8092000000000001</v>
      </c>
      <c r="M503" s="195">
        <f t="shared" si="58"/>
        <v>1.9091999999999998</v>
      </c>
      <c r="N503" s="16">
        <f>IF('Dry_Litterbag Placem_Collection'!G210="N.A","",'Dry_Litterbag Placem_Collection'!G210)</f>
        <v>43004</v>
      </c>
      <c r="O503" s="195">
        <f>IF(IFERROR(INDEX('Both teabags AfterDry'!$D$1:$D$839,MATCH(H503,'Both teabags AfterDry'!$A$1:$A$839,0)),"")="N.A","",(IFERROR(INDEX('Both teabags AfterDry'!$D$1:$D$839,MATCH(H503,'Both teabags AfterDry'!$A$1:$A$839,0)),"")))</f>
        <v>0.74199999999999999</v>
      </c>
      <c r="P503" s="195">
        <f>IF(IFERROR(INDEX('Both teabags AfterDry'!$D$1:$D$839,MATCH(I503,'Both teabags AfterDry'!$A$1:$A$839,0)),"")="N.A","",(IFERROR(INDEX('Both teabags AfterDry'!$D$1:$D$839,MATCH(I503,'Both teabags AfterDry'!$A$1:$A$839,0)),"")))</f>
        <v>1.6539999999999999</v>
      </c>
      <c r="Q503" s="195">
        <f t="shared" si="59"/>
        <v>0.59139999999999993</v>
      </c>
      <c r="R503" s="195">
        <f t="shared" si="59"/>
        <v>1.5033999999999998</v>
      </c>
      <c r="S503" s="195">
        <f t="shared" si="54"/>
        <v>0.67311518903382717</v>
      </c>
      <c r="T503" s="195">
        <f t="shared" si="60"/>
        <v>0.44128216668250902</v>
      </c>
      <c r="U503" s="195">
        <f t="shared" si="55"/>
        <v>0.78745024093861304</v>
      </c>
      <c r="V503">
        <f t="shared" si="56"/>
        <v>62</v>
      </c>
      <c r="W503" s="195">
        <f t="shared" si="61"/>
        <v>0.2005757849954547</v>
      </c>
      <c r="X503" s="195">
        <f t="shared" si="62"/>
        <v>1.059889854780407E-2</v>
      </c>
      <c r="Y503" s="255" t="str">
        <f>IF(ISNUMBER(SEARCH("C", 'Dry_Litterbag Placem_Collection'!V210)),"YES","NO")</f>
        <v>NO</v>
      </c>
      <c r="Z503" s="255" t="str">
        <f>IF(ISNUMBER(SEARCH("H", 'Dry_Litterbag Placem_Collection'!V210)),"YES","NO")</f>
        <v>NO</v>
      </c>
      <c r="AA503" s="255" t="str">
        <f>IF(ISNUMBER(SEARCH("R", 'Dry_Litterbag Placem_Collection'!V210)),"YES","NO")</f>
        <v>YES</v>
      </c>
      <c r="AB503" s="255" t="str">
        <f>IF(ISNUMBER(SEARCH("C", 'Dry_Litterbag Placem_Collection'!U210)),"YES","NO")</f>
        <v>NO</v>
      </c>
      <c r="AC503" s="255" t="str">
        <f>IF(ISNUMBER(SEARCH("H", 'Dry_Litterbag Placem_Collection'!U210)),"YES","NO")</f>
        <v>NO</v>
      </c>
      <c r="AD503" s="255" t="str">
        <f>IF(ISNUMBER(SEARCH("R", 'Dry_Litterbag Placem_Collection'!U210)),"YES","NO")</f>
        <v>YES</v>
      </c>
    </row>
    <row r="504" spans="2:30">
      <c r="B504" t="str">
        <f>'Final data_for_R_analysis_Dryse'!A650</f>
        <v>Dry</v>
      </c>
      <c r="C504" s="263">
        <f>'Final data_for_R_analysis_Dryse'!B650</f>
        <v>209</v>
      </c>
      <c r="D504" t="s">
        <v>2435</v>
      </c>
      <c r="E504" t="s">
        <v>25</v>
      </c>
      <c r="F504" s="387">
        <v>1</v>
      </c>
      <c r="G504" s="16">
        <f>'Dry_Litterbag Placem_Collection'!E211</f>
        <v>42942</v>
      </c>
      <c r="H504" s="92" t="str">
        <f>'Final data_for_R_analysis_Dryse'!J650</f>
        <v>G92</v>
      </c>
      <c r="I504" t="str">
        <f>'Final data_for_R_analysis_Dryse'!J870</f>
        <v>R647</v>
      </c>
      <c r="J504">
        <f>IFERROR(INDEX('Green_rooibos initial weight'!$C$5:$C$1749,MATCH(H504, 'Green_rooibos initial weight'!$A$5:$A$1749,0)),"")</f>
        <v>2.1930000000000001</v>
      </c>
      <c r="K504">
        <f>IFERROR(INDEX('Green_rooibos initial weight'!$C$5:$C$1749,MATCH(I504, 'Green_rooibos initial weight'!$A$5:$A$1749,0)),"")</f>
        <v>2.1640000000000001</v>
      </c>
      <c r="L504" s="195">
        <f t="shared" si="57"/>
        <v>1.9432</v>
      </c>
      <c r="M504" s="195">
        <f t="shared" si="58"/>
        <v>1.9142000000000001</v>
      </c>
      <c r="N504" s="16">
        <f>IF('Dry_Litterbag Placem_Collection'!G211="N.A","",'Dry_Litterbag Placem_Collection'!G211)</f>
        <v>43004</v>
      </c>
      <c r="O504" s="195">
        <f>IF(IFERROR(INDEX('Both teabags AfterDry'!$D$1:$D$839,MATCH(H504,'Both teabags AfterDry'!$A$1:$A$839,0)),"")="N.A","",(IFERROR(INDEX('Both teabags AfterDry'!$D$1:$D$839,MATCH(H504,'Both teabags AfterDry'!$A$1:$A$839,0)),"")))</f>
        <v>0.73619999999999997</v>
      </c>
      <c r="P504" s="195">
        <f>IF(IFERROR(INDEX('Both teabags AfterDry'!$D$1:$D$839,MATCH(I504,'Both teabags AfterDry'!$A$1:$A$839,0)),"")="N.A","",(IFERROR(INDEX('Both teabags AfterDry'!$D$1:$D$839,MATCH(I504,'Both teabags AfterDry'!$A$1:$A$839,0)),"")))</f>
        <v>1.6881999999999999</v>
      </c>
      <c r="Q504" s="195">
        <f t="shared" si="59"/>
        <v>0.5855999999999999</v>
      </c>
      <c r="R504" s="195">
        <f t="shared" si="59"/>
        <v>1.5375999999999999</v>
      </c>
      <c r="S504" s="195">
        <f t="shared" si="54"/>
        <v>0.698641416220667</v>
      </c>
      <c r="T504" s="195">
        <f t="shared" si="60"/>
        <v>0.45801670042019982</v>
      </c>
      <c r="U504" s="195">
        <f t="shared" si="55"/>
        <v>0.8032598474558561</v>
      </c>
      <c r="V504">
        <f t="shared" si="56"/>
        <v>62</v>
      </c>
      <c r="W504" s="195">
        <f t="shared" si="61"/>
        <v>0.17025960068804391</v>
      </c>
      <c r="X504" s="195">
        <f t="shared" si="62"/>
        <v>9.0536488785231736E-3</v>
      </c>
      <c r="Y504" s="255" t="str">
        <f>IF(ISNUMBER(SEARCH("C", 'Dry_Litterbag Placem_Collection'!V211)),"YES","NO")</f>
        <v>NO</v>
      </c>
      <c r="Z504" s="255" t="str">
        <f>IF(ISNUMBER(SEARCH("H", 'Dry_Litterbag Placem_Collection'!V211)),"YES","NO")</f>
        <v>NO</v>
      </c>
      <c r="AA504" s="255" t="str">
        <f>IF(ISNUMBER(SEARCH("R", 'Dry_Litterbag Placem_Collection'!V211)),"YES","NO")</f>
        <v>YES</v>
      </c>
      <c r="AB504" s="255" t="str">
        <f>IF(ISNUMBER(SEARCH("C", 'Dry_Litterbag Placem_Collection'!U211)),"YES","NO")</f>
        <v>NO</v>
      </c>
      <c r="AC504" s="255" t="str">
        <f>IF(ISNUMBER(SEARCH("H", 'Dry_Litterbag Placem_Collection'!U211)),"YES","NO")</f>
        <v>NO</v>
      </c>
      <c r="AD504" s="255" t="str">
        <f>IF(ISNUMBER(SEARCH("R", 'Dry_Litterbag Placem_Collection'!U211)),"YES","NO")</f>
        <v>YES</v>
      </c>
    </row>
    <row r="505" spans="2:30">
      <c r="B505" t="str">
        <f>'Final data_for_R_analysis_Dryse'!A651</f>
        <v>Dry</v>
      </c>
      <c r="C505" s="263">
        <f>'Final data_for_R_analysis_Dryse'!B651</f>
        <v>210</v>
      </c>
      <c r="D505" t="s">
        <v>2449</v>
      </c>
      <c r="E505" t="s">
        <v>25</v>
      </c>
      <c r="F505" s="387">
        <v>2</v>
      </c>
      <c r="G505" s="16">
        <f>'Dry_Litterbag Placem_Collection'!E212</f>
        <v>42942</v>
      </c>
      <c r="H505" s="92" t="str">
        <f>'Final data_for_R_analysis_Dryse'!J651</f>
        <v>G36</v>
      </c>
      <c r="I505" t="str">
        <f>'Final data_for_R_analysis_Dryse'!J871</f>
        <v>R599</v>
      </c>
      <c r="J505">
        <f>IFERROR(INDEX('Green_rooibos initial weight'!$C$5:$C$1749,MATCH(H505, 'Green_rooibos initial weight'!$A$5:$A$1749,0)),"")</f>
        <v>2.1429999999999998</v>
      </c>
      <c r="K505">
        <f>IFERROR(INDEX('Green_rooibos initial weight'!$C$5:$C$1749,MATCH(I505, 'Green_rooibos initial weight'!$A$5:$A$1749,0)),"")</f>
        <v>2.1760000000000002</v>
      </c>
      <c r="L505" s="195">
        <f t="shared" si="57"/>
        <v>1.8931999999999998</v>
      </c>
      <c r="M505" s="195">
        <f t="shared" si="58"/>
        <v>1.9262000000000001</v>
      </c>
      <c r="N505" s="16">
        <f>IF('Dry_Litterbag Placem_Collection'!G212="N.A","",'Dry_Litterbag Placem_Collection'!G212)</f>
        <v>43004</v>
      </c>
      <c r="O505" s="195">
        <f>IF(IFERROR(INDEX('Both teabags AfterDry'!$D$1:$D$839,MATCH(H505,'Both teabags AfterDry'!$A$1:$A$839,0)),"")="N.A","",(IFERROR(INDEX('Both teabags AfterDry'!$D$1:$D$839,MATCH(H505,'Both teabags AfterDry'!$A$1:$A$839,0)),"")))</f>
        <v>0.84599999999999997</v>
      </c>
      <c r="P505" s="195">
        <f>IF(IFERROR(INDEX('Both teabags AfterDry'!$D$1:$D$839,MATCH(I505,'Both teabags AfterDry'!$A$1:$A$839,0)),"")="N.A","",(IFERROR(INDEX('Both teabags AfterDry'!$D$1:$D$839,MATCH(I505,'Both teabags AfterDry'!$A$1:$A$839,0)),"")))</f>
        <v>1.742</v>
      </c>
      <c r="Q505" s="195">
        <f t="shared" si="59"/>
        <v>0.69540000000000002</v>
      </c>
      <c r="R505" s="195">
        <f t="shared" si="59"/>
        <v>1.5913999999999999</v>
      </c>
      <c r="S505" s="195">
        <f t="shared" si="54"/>
        <v>0.6326854003803084</v>
      </c>
      <c r="T505" s="195">
        <f t="shared" si="60"/>
        <v>0.41477712709017844</v>
      </c>
      <c r="U505" s="195">
        <f t="shared" si="55"/>
        <v>0.82618627349184914</v>
      </c>
      <c r="V505">
        <f t="shared" si="56"/>
        <v>62</v>
      </c>
      <c r="W505" s="195">
        <f t="shared" si="61"/>
        <v>0.24859216106851734</v>
      </c>
      <c r="X505" s="195">
        <f t="shared" si="62"/>
        <v>8.7596173493872838E-3</v>
      </c>
      <c r="Y505" s="255" t="str">
        <f>IF(ISNUMBER(SEARCH("C", 'Dry_Litterbag Placem_Collection'!V212)),"YES","NO")</f>
        <v>NO</v>
      </c>
      <c r="Z505" s="255" t="str">
        <f>IF(ISNUMBER(SEARCH("H", 'Dry_Litterbag Placem_Collection'!V212)),"YES","NO")</f>
        <v>NO</v>
      </c>
      <c r="AA505" s="255" t="str">
        <f>IF(ISNUMBER(SEARCH("R", 'Dry_Litterbag Placem_Collection'!V212)),"YES","NO")</f>
        <v>NO</v>
      </c>
      <c r="AB505" s="255" t="str">
        <f>IF(ISNUMBER(SEARCH("C", 'Dry_Litterbag Placem_Collection'!U212)),"YES","NO")</f>
        <v>NO</v>
      </c>
      <c r="AC505" s="255" t="str">
        <f>IF(ISNUMBER(SEARCH("H", 'Dry_Litterbag Placem_Collection'!U212)),"YES","NO")</f>
        <v>NO</v>
      </c>
      <c r="AD505" s="255" t="str">
        <f>IF(ISNUMBER(SEARCH("R", 'Dry_Litterbag Placem_Collection'!U212)),"YES","NO")</f>
        <v>NO</v>
      </c>
    </row>
    <row r="506" spans="2:30">
      <c r="B506" t="str">
        <f>'Final data_for_R_analysis_Dryse'!A652</f>
        <v>Dry</v>
      </c>
      <c r="C506" s="263">
        <f>'Final data_for_R_analysis_Dryse'!B652</f>
        <v>211</v>
      </c>
      <c r="D506" t="s">
        <v>2426</v>
      </c>
      <c r="E506" t="s">
        <v>25</v>
      </c>
      <c r="F506" s="387">
        <v>3</v>
      </c>
      <c r="G506" s="16">
        <f>'Dry_Litterbag Placem_Collection'!E213</f>
        <v>42942</v>
      </c>
      <c r="H506" s="92" t="str">
        <f>'Final data_for_R_analysis_Dryse'!J652</f>
        <v>G434</v>
      </c>
      <c r="I506" t="str">
        <f>'Final data_for_R_analysis_Dryse'!J872</f>
        <v>R670</v>
      </c>
      <c r="J506">
        <f>IFERROR(INDEX('Green_rooibos initial weight'!$C$5:$C$1749,MATCH(H506, 'Green_rooibos initial weight'!$A$5:$A$1749,0)),"")</f>
        <v>2.0339999999999998</v>
      </c>
      <c r="K506">
        <f>IFERROR(INDEX('Green_rooibos initial weight'!$C$5:$C$1749,MATCH(I506, 'Green_rooibos initial weight'!$A$5:$A$1749,0)),"")</f>
        <v>2.1059999999999999</v>
      </c>
      <c r="L506" s="195">
        <f t="shared" si="57"/>
        <v>1.7841999999999998</v>
      </c>
      <c r="M506" s="195">
        <f t="shared" si="58"/>
        <v>1.8561999999999999</v>
      </c>
      <c r="N506" s="16">
        <f>IF('Dry_Litterbag Placem_Collection'!G213="N.A","",'Dry_Litterbag Placem_Collection'!G213)</f>
        <v>43004</v>
      </c>
      <c r="O506" s="195">
        <f>IF(IFERROR(INDEX('Both teabags AfterDry'!$D$1:$D$839,MATCH(H506,'Both teabags AfterDry'!$A$1:$A$839,0)),"")="N.A","",(IFERROR(INDEX('Both teabags AfterDry'!$D$1:$D$839,MATCH(H506,'Both teabags AfterDry'!$A$1:$A$839,0)),"")))</f>
        <v>0.74099999999999999</v>
      </c>
      <c r="P506" s="195">
        <f>IF(IFERROR(INDEX('Both teabags AfterDry'!$D$1:$D$839,MATCH(I506,'Both teabags AfterDry'!$A$1:$A$839,0)),"")="N.A","",(IFERROR(INDEX('Both teabags AfterDry'!$D$1:$D$839,MATCH(I506,'Both teabags AfterDry'!$A$1:$A$839,0)),"")))</f>
        <v>1.4770000000000001</v>
      </c>
      <c r="Q506" s="195">
        <f t="shared" si="59"/>
        <v>0.59040000000000004</v>
      </c>
      <c r="R506" s="195">
        <f t="shared" si="59"/>
        <v>1.3264</v>
      </c>
      <c r="S506" s="195">
        <f t="shared" si="54"/>
        <v>0.66909539289317332</v>
      </c>
      <c r="T506" s="195">
        <f t="shared" si="60"/>
        <v>0.43864686089908755</v>
      </c>
      <c r="U506" s="195">
        <f t="shared" si="55"/>
        <v>0.71457817045576988</v>
      </c>
      <c r="V506">
        <f t="shared" si="56"/>
        <v>62</v>
      </c>
      <c r="W506" s="195">
        <f t="shared" si="61"/>
        <v>0.20534988967556611</v>
      </c>
      <c r="X506" s="195">
        <f t="shared" si="62"/>
        <v>1.696430706882612E-2</v>
      </c>
      <c r="Y506" s="255" t="str">
        <f>IF(ISNUMBER(SEARCH("C", 'Dry_Litterbag Placem_Collection'!V213)),"YES","NO")</f>
        <v>NO</v>
      </c>
      <c r="Z506" s="255" t="str">
        <f>IF(ISNUMBER(SEARCH("H", 'Dry_Litterbag Placem_Collection'!V213)),"YES","NO")</f>
        <v>NO</v>
      </c>
      <c r="AA506" s="255" t="str">
        <f>IF(ISNUMBER(SEARCH("R", 'Dry_Litterbag Placem_Collection'!V213)),"YES","NO")</f>
        <v>NO</v>
      </c>
      <c r="AB506" s="255" t="str">
        <f>IF(ISNUMBER(SEARCH("C", 'Dry_Litterbag Placem_Collection'!U213)),"YES","NO")</f>
        <v>NO</v>
      </c>
      <c r="AC506" s="255" t="str">
        <f>IF(ISNUMBER(SEARCH("H", 'Dry_Litterbag Placem_Collection'!U213)),"YES","NO")</f>
        <v>NO</v>
      </c>
      <c r="AD506" s="255" t="str">
        <f>IF(ISNUMBER(SEARCH("R", 'Dry_Litterbag Placem_Collection'!U213)),"YES","NO")</f>
        <v>YES</v>
      </c>
    </row>
    <row r="507" spans="2:30">
      <c r="B507" t="str">
        <f>'Final data_for_R_analysis_Dryse'!A653</f>
        <v>Dry</v>
      </c>
      <c r="C507" s="263">
        <f>'Final data_for_R_analysis_Dryse'!B653</f>
        <v>215</v>
      </c>
      <c r="D507" t="s">
        <v>2427</v>
      </c>
      <c r="E507" t="s">
        <v>25</v>
      </c>
      <c r="F507" s="387">
        <v>3</v>
      </c>
      <c r="G507" s="16">
        <f>'Dry_Litterbag Placem_Collection'!E214</f>
        <v>42942</v>
      </c>
      <c r="H507" s="92" t="str">
        <f>'Final data_for_R_analysis_Dryse'!J653</f>
        <v>G56</v>
      </c>
      <c r="I507" t="str">
        <f>'Final data_for_R_analysis_Dryse'!J873</f>
        <v>R256</v>
      </c>
      <c r="J507">
        <f>IFERROR(INDEX('Green_rooibos initial weight'!$C$5:$C$1749,MATCH(H507, 'Green_rooibos initial weight'!$A$5:$A$1749,0)),"")</f>
        <v>2.02</v>
      </c>
      <c r="K507">
        <f>IFERROR(INDEX('Green_rooibos initial weight'!$C$5:$C$1749,MATCH(I507, 'Green_rooibos initial weight'!$A$5:$A$1749,0)),"")</f>
        <v>2.2000000000000002</v>
      </c>
      <c r="L507" s="195">
        <f t="shared" si="57"/>
        <v>1.7702</v>
      </c>
      <c r="M507" s="195">
        <f t="shared" si="58"/>
        <v>1.9502000000000002</v>
      </c>
      <c r="N507" s="16">
        <f>IF('Dry_Litterbag Placem_Collection'!G214="N.A","",'Dry_Litterbag Placem_Collection'!G214)</f>
        <v>43004</v>
      </c>
      <c r="O507" s="195">
        <f>IF(IFERROR(INDEX('Both teabags AfterDry'!$D$1:$D$839,MATCH(H507,'Both teabags AfterDry'!$A$1:$A$839,0)),"")="N.A","",(IFERROR(INDEX('Both teabags AfterDry'!$D$1:$D$839,MATCH(H507,'Both teabags AfterDry'!$A$1:$A$839,0)),"")))</f>
        <v>0.7238</v>
      </c>
      <c r="P507" s="195">
        <f>IF(IFERROR(INDEX('Both teabags AfterDry'!$D$1:$D$839,MATCH(I507,'Both teabags AfterDry'!$A$1:$A$839,0)),"")="N.A","",(IFERROR(INDEX('Both teabags AfterDry'!$D$1:$D$839,MATCH(I507,'Both teabags AfterDry'!$A$1:$A$839,0)),"")))</f>
        <v>1.5882000000000001</v>
      </c>
      <c r="Q507" s="195">
        <f t="shared" si="59"/>
        <v>0.57319999999999993</v>
      </c>
      <c r="R507" s="195">
        <f t="shared" si="59"/>
        <v>1.4376</v>
      </c>
      <c r="S507" s="195">
        <f t="shared" si="54"/>
        <v>0.67619478025081914</v>
      </c>
      <c r="T507" s="195">
        <f t="shared" si="60"/>
        <v>0.44330109109079835</v>
      </c>
      <c r="U507" s="195">
        <f t="shared" si="55"/>
        <v>0.73715516357296684</v>
      </c>
      <c r="V507">
        <f t="shared" si="56"/>
        <v>62</v>
      </c>
      <c r="W507" s="195">
        <f t="shared" si="61"/>
        <v>0.19691831324130737</v>
      </c>
      <c r="X507" s="195">
        <f t="shared" si="62"/>
        <v>1.4496142114091398E-2</v>
      </c>
      <c r="Y507" s="255" t="str">
        <f>IF(ISNUMBER(SEARCH("C", 'Dry_Litterbag Placem_Collection'!V214)),"YES","NO")</f>
        <v>NO</v>
      </c>
      <c r="Z507" s="255" t="str">
        <f>IF(ISNUMBER(SEARCH("H", 'Dry_Litterbag Placem_Collection'!V214)),"YES","NO")</f>
        <v>NO</v>
      </c>
      <c r="AA507" s="255" t="str">
        <f>IF(ISNUMBER(SEARCH("R", 'Dry_Litterbag Placem_Collection'!V214)),"YES","NO")</f>
        <v>YES</v>
      </c>
      <c r="AB507" s="255" t="str">
        <f>IF(ISNUMBER(SEARCH("C", 'Dry_Litterbag Placem_Collection'!U214)),"YES","NO")</f>
        <v>NO</v>
      </c>
      <c r="AC507" s="255" t="str">
        <f>IF(ISNUMBER(SEARCH("H", 'Dry_Litterbag Placem_Collection'!U214)),"YES","NO")</f>
        <v>NO</v>
      </c>
      <c r="AD507" s="255" t="str">
        <f>IF(ISNUMBER(SEARCH("R", 'Dry_Litterbag Placem_Collection'!U214)),"YES","NO")</f>
        <v>YES</v>
      </c>
    </row>
    <row r="508" spans="2:30">
      <c r="B508" t="str">
        <f>'Final data_for_R_analysis_Dryse'!A654</f>
        <v>Dry</v>
      </c>
      <c r="C508" s="263">
        <f>'Final data_for_R_analysis_Dryse'!B654</f>
        <v>212</v>
      </c>
      <c r="D508" t="s">
        <v>2442</v>
      </c>
      <c r="E508" t="s">
        <v>25</v>
      </c>
      <c r="F508" s="387">
        <v>4</v>
      </c>
      <c r="G508" s="16">
        <f>'Dry_Litterbag Placem_Collection'!E215</f>
        <v>42942</v>
      </c>
      <c r="H508" s="92" t="str">
        <f>'Final data_for_R_analysis_Dryse'!J654</f>
        <v>G363</v>
      </c>
      <c r="I508" t="str">
        <f>'Final data_for_R_analysis_Dryse'!J874</f>
        <v>R658</v>
      </c>
      <c r="J508">
        <f>IFERROR(INDEX('Green_rooibos initial weight'!$C$5:$C$1749,MATCH(H508, 'Green_rooibos initial weight'!$A$5:$A$1749,0)),"")</f>
        <v>2.02</v>
      </c>
      <c r="K508">
        <f>IFERROR(INDEX('Green_rooibos initial weight'!$C$5:$C$1749,MATCH(I508, 'Green_rooibos initial weight'!$A$5:$A$1749,0)),"")</f>
        <v>2.2080000000000002</v>
      </c>
      <c r="L508" s="195">
        <f t="shared" si="57"/>
        <v>1.7702</v>
      </c>
      <c r="M508" s="195">
        <f t="shared" si="58"/>
        <v>1.9582000000000002</v>
      </c>
      <c r="N508" s="16">
        <f>IF('Dry_Litterbag Placem_Collection'!G215="N.A","",'Dry_Litterbag Placem_Collection'!G215)</f>
        <v>43004</v>
      </c>
      <c r="O508" s="195">
        <f>IF(IFERROR(INDEX('Both teabags AfterDry'!$D$1:$D$839,MATCH(H508,'Both teabags AfterDry'!$A$1:$A$839,0)),"")="N.A","",(IFERROR(INDEX('Both teabags AfterDry'!$D$1:$D$839,MATCH(H508,'Both teabags AfterDry'!$A$1:$A$839,0)),"")))</f>
        <v>0.753</v>
      </c>
      <c r="P508" s="195">
        <f>IF(IFERROR(INDEX('Both teabags AfterDry'!$D$1:$D$839,MATCH(I508,'Both teabags AfterDry'!$A$1:$A$839,0)),"")="N.A","",(IFERROR(INDEX('Both teabags AfterDry'!$D$1:$D$839,MATCH(I508,'Both teabags AfterDry'!$A$1:$A$839,0)),"")))</f>
        <v>1.655</v>
      </c>
      <c r="Q508" s="195">
        <f t="shared" si="59"/>
        <v>0.60240000000000005</v>
      </c>
      <c r="R508" s="195">
        <f t="shared" si="59"/>
        <v>1.5044</v>
      </c>
      <c r="S508" s="195">
        <f t="shared" si="54"/>
        <v>0.65969946898655518</v>
      </c>
      <c r="T508" s="195">
        <f t="shared" si="60"/>
        <v>0.43248706280353744</v>
      </c>
      <c r="U508" s="195">
        <f t="shared" si="55"/>
        <v>0.76825656214891214</v>
      </c>
      <c r="V508">
        <f t="shared" si="56"/>
        <v>62</v>
      </c>
      <c r="W508" s="195">
        <f t="shared" si="61"/>
        <v>0.21650894419649025</v>
      </c>
      <c r="X508" s="195">
        <f t="shared" si="62"/>
        <v>1.237941640582442E-2</v>
      </c>
      <c r="Y508" s="255" t="str">
        <f>IF(ISNUMBER(SEARCH("C", 'Dry_Litterbag Placem_Collection'!V215)),"YES","NO")</f>
        <v>NO</v>
      </c>
      <c r="Z508" s="255" t="str">
        <f>IF(ISNUMBER(SEARCH("H", 'Dry_Litterbag Placem_Collection'!V215)),"YES","NO")</f>
        <v>NO</v>
      </c>
      <c r="AA508" s="255" t="str">
        <f>IF(ISNUMBER(SEARCH("R", 'Dry_Litterbag Placem_Collection'!V215)),"YES","NO")</f>
        <v>YES</v>
      </c>
      <c r="AB508" s="255" t="str">
        <f>IF(ISNUMBER(SEARCH("C", 'Dry_Litterbag Placem_Collection'!U215)),"YES","NO")</f>
        <v>NO</v>
      </c>
      <c r="AC508" s="255" t="str">
        <f>IF(ISNUMBER(SEARCH("H", 'Dry_Litterbag Placem_Collection'!U215)),"YES","NO")</f>
        <v>NO</v>
      </c>
      <c r="AD508" s="255" t="str">
        <f>IF(ISNUMBER(SEARCH("R", 'Dry_Litterbag Placem_Collection'!U215)),"YES","NO")</f>
        <v>YES</v>
      </c>
    </row>
    <row r="509" spans="2:30">
      <c r="B509" t="str">
        <f>'Final data_for_R_analysis_Dryse'!A655</f>
        <v>Dry</v>
      </c>
      <c r="C509" s="263">
        <f>'Final data_for_R_analysis_Dryse'!B655</f>
        <v>213</v>
      </c>
      <c r="D509" t="s">
        <v>2450</v>
      </c>
      <c r="E509" t="s">
        <v>25</v>
      </c>
      <c r="F509" s="387">
        <v>1</v>
      </c>
      <c r="G509" s="16">
        <f>'Dry_Litterbag Placem_Collection'!E216</f>
        <v>42942</v>
      </c>
      <c r="H509" s="92" t="str">
        <f>'Final data_for_R_analysis_Dryse'!J655</f>
        <v>G5</v>
      </c>
      <c r="I509" t="str">
        <f>'Final data_for_R_analysis_Dryse'!J875</f>
        <v>R699</v>
      </c>
      <c r="J509">
        <f>IFERROR(INDEX('Green_rooibos initial weight'!$C$5:$C$1749,MATCH(H509, 'Green_rooibos initial weight'!$A$5:$A$1749,0)),"")</f>
        <v>2.0139999999999998</v>
      </c>
      <c r="K509">
        <f>IFERROR(INDEX('Green_rooibos initial weight'!$C$5:$C$1749,MATCH(I509, 'Green_rooibos initial weight'!$A$5:$A$1749,0)),"")</f>
        <v>2.157</v>
      </c>
      <c r="L509" s="195">
        <f t="shared" si="57"/>
        <v>1.7641999999999998</v>
      </c>
      <c r="M509" s="195">
        <f t="shared" si="58"/>
        <v>1.9072</v>
      </c>
      <c r="N509" s="16">
        <f>IF('Dry_Litterbag Placem_Collection'!G216="N.A","",'Dry_Litterbag Placem_Collection'!G216)</f>
        <v>43004</v>
      </c>
      <c r="O509" s="195">
        <f>IF(IFERROR(INDEX('Both teabags AfterDry'!$D$1:$D$839,MATCH(H509,'Both teabags AfterDry'!$A$1:$A$839,0)),"")="N.A","",(IFERROR(INDEX('Both teabags AfterDry'!$D$1:$D$839,MATCH(H509,'Both teabags AfterDry'!$A$1:$A$839,0)),"")))</f>
        <v>0.67</v>
      </c>
      <c r="P509" s="195">
        <f>IF(IFERROR(INDEX('Both teabags AfterDry'!$D$1:$D$839,MATCH(I509,'Both teabags AfterDry'!$A$1:$A$839,0)),"")="N.A","",(IFERROR(INDEX('Both teabags AfterDry'!$D$1:$D$839,MATCH(I509,'Both teabags AfterDry'!$A$1:$A$839,0)),"")))</f>
        <v>1.748</v>
      </c>
      <c r="Q509" s="195">
        <f t="shared" si="59"/>
        <v>0.51940000000000008</v>
      </c>
      <c r="R509" s="195">
        <f t="shared" si="59"/>
        <v>1.5973999999999999</v>
      </c>
      <c r="S509" s="195">
        <f t="shared" si="54"/>
        <v>0.7055889354948417</v>
      </c>
      <c r="T509" s="195">
        <f t="shared" si="60"/>
        <v>0.46257136863794857</v>
      </c>
      <c r="U509" s="195">
        <f t="shared" si="55"/>
        <v>0.83756291946308725</v>
      </c>
      <c r="V509">
        <f t="shared" si="56"/>
        <v>62</v>
      </c>
      <c r="W509" s="195">
        <f t="shared" si="61"/>
        <v>0.16200839014864399</v>
      </c>
      <c r="X509" s="195">
        <f t="shared" si="62"/>
        <v>6.9769492598676227E-3</v>
      </c>
      <c r="Y509" s="255" t="str">
        <f>IF(ISNUMBER(SEARCH("C", 'Dry_Litterbag Placem_Collection'!V216)),"YES","NO")</f>
        <v>NO</v>
      </c>
      <c r="Z509" s="255" t="str">
        <f>IF(ISNUMBER(SEARCH("H", 'Dry_Litterbag Placem_Collection'!V216)),"YES","NO")</f>
        <v>NO</v>
      </c>
      <c r="AA509" s="255" t="str">
        <f>IF(ISNUMBER(SEARCH("R", 'Dry_Litterbag Placem_Collection'!V216)),"YES","NO")</f>
        <v>NO</v>
      </c>
      <c r="AB509" s="255" t="str">
        <f>IF(ISNUMBER(SEARCH("C", 'Dry_Litterbag Placem_Collection'!U216)),"YES","NO")</f>
        <v>NO</v>
      </c>
      <c r="AC509" s="255" t="str">
        <f>IF(ISNUMBER(SEARCH("H", 'Dry_Litterbag Placem_Collection'!U216)),"YES","NO")</f>
        <v>NO</v>
      </c>
      <c r="AD509" s="255" t="str">
        <f>IF(ISNUMBER(SEARCH("R", 'Dry_Litterbag Placem_Collection'!U216)),"YES","NO")</f>
        <v>NO</v>
      </c>
    </row>
    <row r="510" spans="2:30">
      <c r="B510" t="str">
        <f>'Final data_for_R_analysis_Dryse'!A656</f>
        <v>Dry</v>
      </c>
      <c r="C510" s="263">
        <f>'Final data_for_R_analysis_Dryse'!B656</f>
        <v>214</v>
      </c>
      <c r="D510" t="s">
        <v>2443</v>
      </c>
      <c r="E510" t="s">
        <v>25</v>
      </c>
      <c r="F510" s="387">
        <v>2</v>
      </c>
      <c r="G510" s="16">
        <f>'Dry_Litterbag Placem_Collection'!E217</f>
        <v>42942</v>
      </c>
      <c r="H510" s="92" t="str">
        <f>'Final data_for_R_analysis_Dryse'!J656</f>
        <v>G771</v>
      </c>
      <c r="I510" t="str">
        <f>'Final data_for_R_analysis_Dryse'!J876</f>
        <v>R663</v>
      </c>
      <c r="J510">
        <f>IFERROR(INDEX('Green_rooibos initial weight'!$C$5:$C$1749,MATCH(H510, 'Green_rooibos initial weight'!$A$5:$A$1749,0)),"")</f>
        <v>1.9910000000000001</v>
      </c>
      <c r="K510">
        <f>IFERROR(INDEX('Green_rooibos initial weight'!$C$5:$C$1749,MATCH(I510, 'Green_rooibos initial weight'!$A$5:$A$1749,0)),"")</f>
        <v>2.105</v>
      </c>
      <c r="L510" s="195">
        <f t="shared" si="57"/>
        <v>1.7412000000000001</v>
      </c>
      <c r="M510" s="195">
        <f t="shared" si="58"/>
        <v>1.8552</v>
      </c>
      <c r="N510" s="16">
        <f>IF('Dry_Litterbag Placem_Collection'!G217="N.A","",'Dry_Litterbag Placem_Collection'!G217)</f>
        <v>43004</v>
      </c>
      <c r="O510" s="195">
        <f>IF(IFERROR(INDEX('Both teabags AfterDry'!$D$1:$D$839,MATCH(H510,'Both teabags AfterDry'!$A$1:$A$839,0)),"")="N.A","",(IFERROR(INDEX('Both teabags AfterDry'!$D$1:$D$839,MATCH(H510,'Both teabags AfterDry'!$A$1:$A$839,0)),"")))</f>
        <v>0.65300000000000002</v>
      </c>
      <c r="P510" s="195">
        <f>IF(IFERROR(INDEX('Both teabags AfterDry'!$D$1:$D$839,MATCH(I510,'Both teabags AfterDry'!$A$1:$A$839,0)),"")="N.A","",(IFERROR(INDEX('Both teabags AfterDry'!$D$1:$D$839,MATCH(I510,'Both teabags AfterDry'!$A$1:$A$839,0)),"")))</f>
        <v>1.6679999999999999</v>
      </c>
      <c r="Q510" s="195">
        <f t="shared" si="59"/>
        <v>0.50239999999999996</v>
      </c>
      <c r="R510" s="195">
        <f t="shared" si="59"/>
        <v>1.5173999999999999</v>
      </c>
      <c r="S510" s="195">
        <f t="shared" si="54"/>
        <v>0.71146335860326215</v>
      </c>
      <c r="T510" s="195">
        <f t="shared" si="60"/>
        <v>0.46642253438123604</v>
      </c>
      <c r="U510" s="195">
        <f t="shared" si="55"/>
        <v>0.81791720569210857</v>
      </c>
      <c r="V510">
        <f t="shared" si="56"/>
        <v>62</v>
      </c>
      <c r="W510" s="195">
        <f t="shared" si="61"/>
        <v>0.15503164061370289</v>
      </c>
      <c r="X510" s="195">
        <f t="shared" si="62"/>
        <v>7.9826154575965442E-3</v>
      </c>
      <c r="Y510" s="255" t="str">
        <f>IF(ISNUMBER(SEARCH("C", 'Dry_Litterbag Placem_Collection'!V217)),"YES","NO")</f>
        <v>NO</v>
      </c>
      <c r="Z510" s="255" t="str">
        <f>IF(ISNUMBER(SEARCH("H", 'Dry_Litterbag Placem_Collection'!V217)),"YES","NO")</f>
        <v>NO</v>
      </c>
      <c r="AA510" s="255" t="str">
        <f>IF(ISNUMBER(SEARCH("R", 'Dry_Litterbag Placem_Collection'!V217)),"YES","NO")</f>
        <v>NO</v>
      </c>
      <c r="AB510" s="255" t="str">
        <f>IF(ISNUMBER(SEARCH("C", 'Dry_Litterbag Placem_Collection'!U217)),"YES","NO")</f>
        <v>NO</v>
      </c>
      <c r="AC510" s="255" t="str">
        <f>IF(ISNUMBER(SEARCH("H", 'Dry_Litterbag Placem_Collection'!U217)),"YES","NO")</f>
        <v>NO</v>
      </c>
      <c r="AD510" s="255" t="str">
        <f>IF(ISNUMBER(SEARCH("R", 'Dry_Litterbag Placem_Collection'!U217)),"YES","NO")</f>
        <v>YES</v>
      </c>
    </row>
    <row r="511" spans="2:30">
      <c r="B511" t="str">
        <f>'Final data_for_R_analysis_Dryse'!A657</f>
        <v>Dry</v>
      </c>
      <c r="C511" s="263">
        <f>'Final data_for_R_analysis_Dryse'!B657</f>
        <v>216</v>
      </c>
      <c r="D511" t="s">
        <v>2436</v>
      </c>
      <c r="E511" t="s">
        <v>25</v>
      </c>
      <c r="F511" s="387">
        <v>4</v>
      </c>
      <c r="G511" s="16">
        <f>'Dry_Litterbag Placem_Collection'!E218</f>
        <v>42942</v>
      </c>
      <c r="H511" s="92" t="str">
        <f>'Final data_for_R_analysis_Dryse'!J657</f>
        <v>G361</v>
      </c>
      <c r="I511" t="str">
        <f>'Final data_for_R_analysis_Dryse'!J877</f>
        <v>R622</v>
      </c>
      <c r="J511">
        <f>IFERROR(INDEX('Green_rooibos initial weight'!$C$5:$C$1749,MATCH(H511, 'Green_rooibos initial weight'!$A$5:$A$1749,0)),"")</f>
        <v>2.0590000000000002</v>
      </c>
      <c r="K511">
        <f>IFERROR(INDEX('Green_rooibos initial weight'!$C$5:$C$1749,MATCH(I511, 'Green_rooibos initial weight'!$A$5:$A$1749,0)),"")</f>
        <v>2.1640000000000001</v>
      </c>
      <c r="L511" s="195">
        <f t="shared" si="57"/>
        <v>1.8092000000000001</v>
      </c>
      <c r="M511" s="195">
        <f t="shared" si="58"/>
        <v>1.9142000000000001</v>
      </c>
      <c r="N511" s="16">
        <f>IF('Dry_Litterbag Placem_Collection'!G218="N.A","",'Dry_Litterbag Placem_Collection'!G218)</f>
        <v>43004</v>
      </c>
      <c r="O511" s="195">
        <f>IF(IFERROR(INDEX('Both teabags AfterDry'!$D$1:$D$839,MATCH(H511,'Both teabags AfterDry'!$A$1:$A$839,0)),"")="N.A","",(IFERROR(INDEX('Both teabags AfterDry'!$D$1:$D$839,MATCH(H511,'Both teabags AfterDry'!$A$1:$A$839,0)),"")))</f>
        <v>0.73499999999999999</v>
      </c>
      <c r="P511" s="195">
        <f>IF(IFERROR(INDEX('Both teabags AfterDry'!$D$1:$D$839,MATCH(I511,'Both teabags AfterDry'!$A$1:$A$839,0)),"")="N.A","",(IFERROR(INDEX('Both teabags AfterDry'!$D$1:$D$839,MATCH(I511,'Both teabags AfterDry'!$A$1:$A$839,0)),"")))</f>
        <v>1.6419999999999999</v>
      </c>
      <c r="Q511" s="195">
        <f t="shared" si="59"/>
        <v>0.58440000000000003</v>
      </c>
      <c r="R511" s="195">
        <f t="shared" si="59"/>
        <v>1.4913999999999998</v>
      </c>
      <c r="S511" s="195">
        <f t="shared" si="54"/>
        <v>0.67698430245412333</v>
      </c>
      <c r="T511" s="195">
        <f t="shared" si="60"/>
        <v>0.44381868759462723</v>
      </c>
      <c r="U511" s="195">
        <f t="shared" si="55"/>
        <v>0.77912443840768975</v>
      </c>
      <c r="V511">
        <f t="shared" si="56"/>
        <v>62</v>
      </c>
      <c r="W511" s="195">
        <f t="shared" si="61"/>
        <v>0.19598063841553048</v>
      </c>
      <c r="X511" s="195">
        <f t="shared" si="62"/>
        <v>1.1104829341503992E-2</v>
      </c>
      <c r="Y511" s="255" t="str">
        <f>IF(ISNUMBER(SEARCH("C", 'Dry_Litterbag Placem_Collection'!V218)),"YES","NO")</f>
        <v>NO</v>
      </c>
      <c r="Z511" s="255" t="str">
        <f>IF(ISNUMBER(SEARCH("H", 'Dry_Litterbag Placem_Collection'!V218)),"YES","NO")</f>
        <v>NO</v>
      </c>
      <c r="AA511" s="255" t="str">
        <f>IF(ISNUMBER(SEARCH("R", 'Dry_Litterbag Placem_Collection'!V218)),"YES","NO")</f>
        <v>NO</v>
      </c>
      <c r="AB511" s="255" t="str">
        <f>IF(ISNUMBER(SEARCH("C", 'Dry_Litterbag Placem_Collection'!U218)),"YES","NO")</f>
        <v>NO</v>
      </c>
      <c r="AC511" s="255" t="str">
        <f>IF(ISNUMBER(SEARCH("H", 'Dry_Litterbag Placem_Collection'!U218)),"YES","NO")</f>
        <v>NO</v>
      </c>
      <c r="AD511" s="255" t="str">
        <f>IF(ISNUMBER(SEARCH("R", 'Dry_Litterbag Placem_Collection'!U218)),"YES","NO")</f>
        <v>NO</v>
      </c>
    </row>
    <row r="512" spans="2:30">
      <c r="B512" t="str">
        <f>'Final data_for_R_analysis_Dryse'!A658</f>
        <v>Dry</v>
      </c>
      <c r="C512" s="263">
        <f>'Final data_for_R_analysis_Dryse'!B658</f>
        <v>217</v>
      </c>
      <c r="D512" t="s">
        <v>2429</v>
      </c>
      <c r="E512" t="s">
        <v>25</v>
      </c>
      <c r="F512" s="387">
        <v>1</v>
      </c>
      <c r="G512" s="16">
        <f>'Dry_Litterbag Placem_Collection'!E219</f>
        <v>42942</v>
      </c>
      <c r="H512" s="92" t="str">
        <f>'Final data_for_R_analysis_Dryse'!J658</f>
        <v>G204</v>
      </c>
      <c r="I512" t="str">
        <f>'Final data_for_R_analysis_Dryse'!J878</f>
        <v>R608</v>
      </c>
      <c r="J512">
        <f>IFERROR(INDEX('Green_rooibos initial weight'!$C$5:$C$1749,MATCH(H512, 'Green_rooibos initial weight'!$A$5:$A$1749,0)),"")</f>
        <v>2.1970000000000001</v>
      </c>
      <c r="K512">
        <f>IFERROR(INDEX('Green_rooibos initial weight'!$C$5:$C$1749,MATCH(I512, 'Green_rooibos initial weight'!$A$5:$A$1749,0)),"")</f>
        <v>2.1440000000000001</v>
      </c>
      <c r="L512" s="195">
        <f t="shared" si="57"/>
        <v>1.9472</v>
      </c>
      <c r="M512" s="195">
        <f t="shared" si="58"/>
        <v>1.8942000000000001</v>
      </c>
      <c r="N512" s="16">
        <f>IF('Dry_Litterbag Placem_Collection'!G219="N.A","",'Dry_Litterbag Placem_Collection'!G219)</f>
        <v>43004</v>
      </c>
      <c r="O512" s="195">
        <f>IF(IFERROR(INDEX('Both teabags AfterDry'!$D$1:$D$839,MATCH(H512,'Both teabags AfterDry'!$A$1:$A$839,0)),"")="N.A","",(IFERROR(INDEX('Both teabags AfterDry'!$D$1:$D$839,MATCH(H512,'Both teabags AfterDry'!$A$1:$A$839,0)),"")))</f>
        <v>0.80579999999999996</v>
      </c>
      <c r="P512" s="195">
        <f>IF(IFERROR(INDEX('Both teabags AfterDry'!$D$1:$D$839,MATCH(I512,'Both teabags AfterDry'!$A$1:$A$839,0)),"")="N.A","",(IFERROR(INDEX('Both teabags AfterDry'!$D$1:$D$839,MATCH(I512,'Both teabags AfterDry'!$A$1:$A$839,0)),"")))</f>
        <v>1.6455</v>
      </c>
      <c r="Q512" s="195">
        <f t="shared" si="59"/>
        <v>0.6552</v>
      </c>
      <c r="R512" s="195">
        <f t="shared" si="59"/>
        <v>1.4948999999999999</v>
      </c>
      <c r="S512" s="195">
        <f t="shared" si="54"/>
        <v>0.6635168447000821</v>
      </c>
      <c r="T512" s="195">
        <f t="shared" si="60"/>
        <v>0.43498966540908002</v>
      </c>
      <c r="U512" s="195">
        <f t="shared" si="55"/>
        <v>0.78919860627177696</v>
      </c>
      <c r="V512">
        <f t="shared" si="56"/>
        <v>62</v>
      </c>
      <c r="W512" s="195">
        <f t="shared" si="61"/>
        <v>0.21197524382413047</v>
      </c>
      <c r="X512" s="195">
        <f t="shared" si="62"/>
        <v>1.069090444704884E-2</v>
      </c>
      <c r="Y512" s="255" t="str">
        <f>IF(ISNUMBER(SEARCH("C", 'Dry_Litterbag Placem_Collection'!V219)),"YES","NO")</f>
        <v>NO</v>
      </c>
      <c r="Z512" s="255" t="str">
        <f>IF(ISNUMBER(SEARCH("H", 'Dry_Litterbag Placem_Collection'!V219)),"YES","NO")</f>
        <v>NO</v>
      </c>
      <c r="AA512" s="255" t="str">
        <f>IF(ISNUMBER(SEARCH("R", 'Dry_Litterbag Placem_Collection'!V219)),"YES","NO")</f>
        <v>NO</v>
      </c>
      <c r="AB512" s="255" t="str">
        <f>IF(ISNUMBER(SEARCH("C", 'Dry_Litterbag Placem_Collection'!U219)),"YES","NO")</f>
        <v>NO</v>
      </c>
      <c r="AC512" s="255" t="str">
        <f>IF(ISNUMBER(SEARCH("H", 'Dry_Litterbag Placem_Collection'!U219)),"YES","NO")</f>
        <v>NO</v>
      </c>
      <c r="AD512" s="255" t="str">
        <f>IF(ISNUMBER(SEARCH("R", 'Dry_Litterbag Placem_Collection'!U219)),"YES","NO")</f>
        <v>YES</v>
      </c>
    </row>
    <row r="513" spans="2:30">
      <c r="B513" t="str">
        <f>'Final data_for_R_analysis_Dryse'!A659</f>
        <v>Dry</v>
      </c>
      <c r="C513" s="263">
        <f>'Final data_for_R_analysis_Dryse'!B659</f>
        <v>218</v>
      </c>
      <c r="D513" t="s">
        <v>2437</v>
      </c>
      <c r="E513" t="s">
        <v>25</v>
      </c>
      <c r="F513" s="387">
        <v>2</v>
      </c>
      <c r="G513" s="16">
        <f>'Dry_Litterbag Placem_Collection'!E220</f>
        <v>42942</v>
      </c>
      <c r="H513" s="92" t="str">
        <f>'Final data_for_R_analysis_Dryse'!J659</f>
        <v>G170</v>
      </c>
      <c r="I513" t="str">
        <f>'Final data_for_R_analysis_Dryse'!J879</f>
        <v>R639</v>
      </c>
      <c r="J513">
        <f>IFERROR(INDEX('Green_rooibos initial weight'!$C$5:$C$1749,MATCH(H513, 'Green_rooibos initial weight'!$A$5:$A$1749,0)),"")</f>
        <v>2.0390000000000001</v>
      </c>
      <c r="K513">
        <f>IFERROR(INDEX('Green_rooibos initial weight'!$C$5:$C$1749,MATCH(I513, 'Green_rooibos initial weight'!$A$5:$A$1749,0)),"")</f>
        <v>2.0840000000000001</v>
      </c>
      <c r="L513" s="195">
        <f t="shared" si="57"/>
        <v>1.7892000000000001</v>
      </c>
      <c r="M513" s="195">
        <f t="shared" si="58"/>
        <v>1.8342000000000001</v>
      </c>
      <c r="N513" s="16">
        <f>IF('Dry_Litterbag Placem_Collection'!G220="N.A","",'Dry_Litterbag Placem_Collection'!G220)</f>
        <v>43004</v>
      </c>
      <c r="O513" s="195">
        <f>IF(IFERROR(INDEX('Both teabags AfterDry'!$D$1:$D$839,MATCH(H513,'Both teabags AfterDry'!$A$1:$A$839,0)),"")="N.A","",(IFERROR(INDEX('Both teabags AfterDry'!$D$1:$D$839,MATCH(H513,'Both teabags AfterDry'!$A$1:$A$839,0)),"")))</f>
        <v>0.66100000000000003</v>
      </c>
      <c r="P513" s="195">
        <f>IF(IFERROR(INDEX('Both teabags AfterDry'!$D$1:$D$839,MATCH(I513,'Both teabags AfterDry'!$A$1:$A$839,0)),"")="N.A","",(IFERROR(INDEX('Both teabags AfterDry'!$D$1:$D$839,MATCH(I513,'Both teabags AfterDry'!$A$1:$A$839,0)),"")))</f>
        <v>1.6519999999999999</v>
      </c>
      <c r="Q513" s="195">
        <f t="shared" si="59"/>
        <v>0.51039999999999996</v>
      </c>
      <c r="R513" s="195">
        <f t="shared" si="59"/>
        <v>1.5013999999999998</v>
      </c>
      <c r="S513" s="195">
        <f t="shared" si="54"/>
        <v>0.71473284149340488</v>
      </c>
      <c r="T513" s="195">
        <f t="shared" si="60"/>
        <v>0.46856594834246978</v>
      </c>
      <c r="U513" s="195">
        <f t="shared" si="55"/>
        <v>0.81855849961836213</v>
      </c>
      <c r="V513">
        <f t="shared" si="56"/>
        <v>62</v>
      </c>
      <c r="W513" s="195">
        <f t="shared" si="61"/>
        <v>0.15114864430712005</v>
      </c>
      <c r="X513" s="195">
        <f t="shared" si="62"/>
        <v>7.8993728754922343E-3</v>
      </c>
      <c r="Y513" s="255" t="str">
        <f>IF(ISNUMBER(SEARCH("C", 'Dry_Litterbag Placem_Collection'!V220)),"YES","NO")</f>
        <v>NO</v>
      </c>
      <c r="Z513" s="255" t="str">
        <f>IF(ISNUMBER(SEARCH("H", 'Dry_Litterbag Placem_Collection'!V220)),"YES","NO")</f>
        <v>NO</v>
      </c>
      <c r="AA513" s="255" t="str">
        <f>IF(ISNUMBER(SEARCH("R", 'Dry_Litterbag Placem_Collection'!V220)),"YES","NO")</f>
        <v>YES</v>
      </c>
      <c r="AB513" s="255" t="str">
        <f>IF(ISNUMBER(SEARCH("C", 'Dry_Litterbag Placem_Collection'!U220)),"YES","NO")</f>
        <v>NO</v>
      </c>
      <c r="AC513" s="255" t="str">
        <f>IF(ISNUMBER(SEARCH("H", 'Dry_Litterbag Placem_Collection'!U220)),"YES","NO")</f>
        <v>NO</v>
      </c>
      <c r="AD513" s="255" t="str">
        <f>IF(ISNUMBER(SEARCH("R", 'Dry_Litterbag Placem_Collection'!U220)),"YES","NO")</f>
        <v>YES</v>
      </c>
    </row>
    <row r="514" spans="2:30">
      <c r="B514" t="str">
        <f>'Final data_for_R_analysis_Dryse'!A660</f>
        <v>Dry</v>
      </c>
      <c r="C514" s="263">
        <f>'Final data_for_R_analysis_Dryse'!B660</f>
        <v>219</v>
      </c>
      <c r="D514" t="s">
        <v>2444</v>
      </c>
      <c r="E514" t="s">
        <v>25</v>
      </c>
      <c r="F514" s="387">
        <v>3</v>
      </c>
      <c r="G514" s="16">
        <f>'Dry_Litterbag Placem_Collection'!E221</f>
        <v>42942</v>
      </c>
      <c r="H514" s="92" t="str">
        <f>'Final data_for_R_analysis_Dryse'!J660</f>
        <v>G123</v>
      </c>
      <c r="I514" t="str">
        <f>'Final data_for_R_analysis_Dryse'!J880</f>
        <v>R246</v>
      </c>
      <c r="J514">
        <f>IFERROR(INDEX('Green_rooibos initial weight'!$C$5:$C$1749,MATCH(H514, 'Green_rooibos initial weight'!$A$5:$A$1749,0)),"")</f>
        <v>2.133</v>
      </c>
      <c r="K514">
        <f>IFERROR(INDEX('Green_rooibos initial weight'!$C$5:$C$1749,MATCH(I514, 'Green_rooibos initial weight'!$A$5:$A$1749,0)),"")</f>
        <v>2.2170000000000001</v>
      </c>
      <c r="L514" s="195">
        <f t="shared" si="57"/>
        <v>1.8832</v>
      </c>
      <c r="M514" s="195">
        <f t="shared" si="58"/>
        <v>1.9672000000000001</v>
      </c>
      <c r="N514" s="16">
        <f>IF('Dry_Litterbag Placem_Collection'!G221="N.A","",'Dry_Litterbag Placem_Collection'!G221)</f>
        <v>43004</v>
      </c>
      <c r="O514" s="195">
        <f>IF(IFERROR(INDEX('Both teabags AfterDry'!$D$1:$D$839,MATCH(H514,'Both teabags AfterDry'!$A$1:$A$839,0)),"")="N.A","",(IFERROR(INDEX('Both teabags AfterDry'!$D$1:$D$839,MATCH(H514,'Both teabags AfterDry'!$A$1:$A$839,0)),"")))</f>
        <v>0.82250000000000001</v>
      </c>
      <c r="P514" s="195">
        <f>IF(IFERROR(INDEX('Both teabags AfterDry'!$D$1:$D$839,MATCH(I514,'Both teabags AfterDry'!$A$1:$A$839,0)),"")="N.A","",(IFERROR(INDEX('Both teabags AfterDry'!$D$1:$D$839,MATCH(I514,'Both teabags AfterDry'!$A$1:$A$839,0)),"")))</f>
        <v>1.639</v>
      </c>
      <c r="Q514" s="195">
        <f t="shared" si="59"/>
        <v>0.67189999999999994</v>
      </c>
      <c r="R514" s="195">
        <f t="shared" si="59"/>
        <v>1.4883999999999999</v>
      </c>
      <c r="S514" s="195">
        <f t="shared" si="54"/>
        <v>0.64321367884451996</v>
      </c>
      <c r="T514" s="195">
        <f t="shared" si="60"/>
        <v>0.42167927639213187</v>
      </c>
      <c r="U514" s="195">
        <f t="shared" si="55"/>
        <v>0.75660837738918252</v>
      </c>
      <c r="V514">
        <f t="shared" si="56"/>
        <v>62</v>
      </c>
      <c r="W514" s="195">
        <f t="shared" si="61"/>
        <v>0.23608826740555822</v>
      </c>
      <c r="X514" s="195">
        <f t="shared" si="62"/>
        <v>1.3884624808672117E-2</v>
      </c>
      <c r="Y514" s="255" t="str">
        <f>IF(ISNUMBER(SEARCH("C", 'Dry_Litterbag Placem_Collection'!V221)),"YES","NO")</f>
        <v>NO</v>
      </c>
      <c r="Z514" s="255" t="str">
        <f>IF(ISNUMBER(SEARCH("H", 'Dry_Litterbag Placem_Collection'!V221)),"YES","NO")</f>
        <v>NO</v>
      </c>
      <c r="AA514" s="255" t="str">
        <f>IF(ISNUMBER(SEARCH("R", 'Dry_Litterbag Placem_Collection'!V221)),"YES","NO")</f>
        <v>NO</v>
      </c>
      <c r="AB514" s="255" t="str">
        <f>IF(ISNUMBER(SEARCH("C", 'Dry_Litterbag Placem_Collection'!U221)),"YES","NO")</f>
        <v>NO</v>
      </c>
      <c r="AC514" s="255" t="str">
        <f>IF(ISNUMBER(SEARCH("H", 'Dry_Litterbag Placem_Collection'!U221)),"YES","NO")</f>
        <v>NO</v>
      </c>
      <c r="AD514" s="255" t="str">
        <f>IF(ISNUMBER(SEARCH("R", 'Dry_Litterbag Placem_Collection'!U221)),"YES","NO")</f>
        <v>YES</v>
      </c>
    </row>
    <row r="515" spans="2:30">
      <c r="B515" t="str">
        <f>'Final data_for_R_analysis_Dryse'!A661</f>
        <v>Dry</v>
      </c>
      <c r="C515" s="386">
        <f>'Final data_for_R_analysis_Dryse'!B661</f>
        <v>220</v>
      </c>
      <c r="D515" t="s">
        <v>2451</v>
      </c>
      <c r="E515" t="s">
        <v>25</v>
      </c>
      <c r="F515" s="387">
        <v>4</v>
      </c>
      <c r="G515" s="388">
        <f>'Dry_Litterbag Placem_Collection'!E222</f>
        <v>42942</v>
      </c>
      <c r="H515" s="92" t="str">
        <f>'Final data_for_R_analysis_Dryse'!J661</f>
        <v>G53</v>
      </c>
      <c r="I515" s="92" t="str">
        <f>'Final data_for_R_analysis_Dryse'!J881</f>
        <v>R672</v>
      </c>
      <c r="J515" s="92">
        <f>IFERROR(INDEX('Green_rooibos initial weight'!$C$5:$C$1749,MATCH(H515, 'Green_rooibos initial weight'!$A$5:$A$1749,0)),"")</f>
        <v>1.907</v>
      </c>
      <c r="K515" s="92">
        <f>IFERROR(INDEX('Green_rooibos initial weight'!$C$5:$C$1749,MATCH(I515, 'Green_rooibos initial weight'!$A$5:$A$1749,0)),"")</f>
        <v>2.161</v>
      </c>
      <c r="L515" s="195">
        <f t="shared" si="57"/>
        <v>1.6572</v>
      </c>
      <c r="M515" s="195">
        <f t="shared" si="58"/>
        <v>1.9112</v>
      </c>
      <c r="N515" s="388">
        <f>IF('Dry_Litterbag Placem_Collection'!G222="N.A","",'Dry_Litterbag Placem_Collection'!G222)</f>
        <v>43004</v>
      </c>
      <c r="O515" s="195" t="str">
        <f>IF(IFERROR(INDEX('Both teabags AfterDry'!$D$1:$D$839,MATCH(H515,'Both teabags AfterDry'!$A$1:$A$839,0)),"")="N.A","",(IFERROR(INDEX('Both teabags AfterDry'!$D$1:$D$839,MATCH(H515,'Both teabags AfterDry'!$A$1:$A$839,0)),"")))</f>
        <v/>
      </c>
      <c r="P515" s="195" t="str">
        <f>IF(IFERROR(INDEX('Both teabags AfterDry'!$D$1:$D$839,MATCH(I515,'Both teabags AfterDry'!$A$1:$A$839,0)),"")="N.A","",(IFERROR(INDEX('Both teabags AfterDry'!$D$1:$D$839,MATCH(I515,'Both teabags AfterDry'!$A$1:$A$839,0)),"")))</f>
        <v/>
      </c>
      <c r="Q515" s="195" t="str">
        <f t="shared" si="59"/>
        <v/>
      </c>
      <c r="R515" s="195" t="str">
        <f t="shared" si="59"/>
        <v/>
      </c>
      <c r="S515" s="195" t="str">
        <f t="shared" si="54"/>
        <v/>
      </c>
      <c r="T515" s="195" t="str">
        <f t="shared" si="60"/>
        <v/>
      </c>
      <c r="U515" s="195" t="str">
        <f t="shared" si="55"/>
        <v/>
      </c>
      <c r="V515" s="92">
        <f t="shared" si="56"/>
        <v>62</v>
      </c>
      <c r="W515" s="195" t="str">
        <f t="shared" si="61"/>
        <v/>
      </c>
      <c r="X515" s="195" t="str">
        <f t="shared" si="62"/>
        <v/>
      </c>
      <c r="Y515" s="255" t="str">
        <f>IF(ISNUMBER(SEARCH("C", 'Dry_Litterbag Placem_Collection'!V222)),"YES","NO")</f>
        <v>NO</v>
      </c>
      <c r="Z515" s="255" t="str">
        <f>IF(ISNUMBER(SEARCH("H", 'Dry_Litterbag Placem_Collection'!V222)),"YES","NO")</f>
        <v>NO</v>
      </c>
      <c r="AA515" s="255" t="str">
        <f>IF(ISNUMBER(SEARCH("R", 'Dry_Litterbag Placem_Collection'!V222)),"YES","NO")</f>
        <v>NO</v>
      </c>
      <c r="AB515" s="255" t="str">
        <f>IF(ISNUMBER(SEARCH("C", 'Dry_Litterbag Placem_Collection'!U222)),"YES","NO")</f>
        <v>NO</v>
      </c>
      <c r="AC515" s="255" t="str">
        <f>IF(ISNUMBER(SEARCH("H", 'Dry_Litterbag Placem_Collection'!U222)),"YES","NO")</f>
        <v>NO</v>
      </c>
      <c r="AD515" s="255" t="str">
        <f>IF(ISNUMBER(SEARCH("R", 'Dry_Litterbag Placem_Collection'!U222)),"YES","NO")</f>
        <v>YES</v>
      </c>
    </row>
  </sheetData>
  <mergeCells count="51">
    <mergeCell ref="B27:E27"/>
    <mergeCell ref="B12:E12"/>
    <mergeCell ref="B13:E13"/>
    <mergeCell ref="B14:E14"/>
    <mergeCell ref="B15:E15"/>
    <mergeCell ref="B16:E16"/>
    <mergeCell ref="B17:E17"/>
    <mergeCell ref="B18:E18"/>
    <mergeCell ref="B19:E19"/>
    <mergeCell ref="B20:E20"/>
    <mergeCell ref="B25:E25"/>
    <mergeCell ref="B26:E26"/>
    <mergeCell ref="B28:E28"/>
    <mergeCell ref="B29:E29"/>
    <mergeCell ref="B30:E30"/>
    <mergeCell ref="B31:E31"/>
    <mergeCell ref="B32:E32"/>
    <mergeCell ref="L48:M48"/>
    <mergeCell ref="K37:R37"/>
    <mergeCell ref="B38:D38"/>
    <mergeCell ref="O38:P38"/>
    <mergeCell ref="L40:M40"/>
    <mergeCell ref="L41:M41"/>
    <mergeCell ref="L42:M42"/>
    <mergeCell ref="B37:D37"/>
    <mergeCell ref="E37:F37"/>
    <mergeCell ref="L43:M43"/>
    <mergeCell ref="L44:M44"/>
    <mergeCell ref="L45:M45"/>
    <mergeCell ref="L46:M46"/>
    <mergeCell ref="L47:M47"/>
    <mergeCell ref="L60:M60"/>
    <mergeCell ref="L49:M49"/>
    <mergeCell ref="L50:M50"/>
    <mergeCell ref="L51:M51"/>
    <mergeCell ref="L52:M52"/>
    <mergeCell ref="L53:M53"/>
    <mergeCell ref="L54:M54"/>
    <mergeCell ref="L55:M55"/>
    <mergeCell ref="L56:M56"/>
    <mergeCell ref="L57:M57"/>
    <mergeCell ref="L58:M58"/>
    <mergeCell ref="L59:M59"/>
    <mergeCell ref="D73:H74"/>
    <mergeCell ref="Y74:AD74"/>
    <mergeCell ref="L61:M61"/>
    <mergeCell ref="L62:M62"/>
    <mergeCell ref="B68:E68"/>
    <mergeCell ref="B69:E69"/>
    <mergeCell ref="B70:E70"/>
    <mergeCell ref="F70:N70"/>
  </mergeCells>
  <dataValidations disablePrompts="1" count="7">
    <dataValidation type="list" allowBlank="1" showInputMessage="1" showErrorMessage="1" sqref="K39:K63" xr:uid="{4D304FE2-AD78-45CA-854D-9BD4F4593A1C}">
      <formula1>shading</formula1>
    </dataValidation>
    <dataValidation type="list" allowBlank="1" showInputMessage="1" showErrorMessage="1" sqref="L39:L63" xr:uid="{F673938C-AA16-43DA-99B9-06B637D4DF84}">
      <formula1>human_impact</formula1>
    </dataValidation>
    <dataValidation type="list" allowBlank="1" showInputMessage="1" showErrorMessage="1" sqref="O39:O63" xr:uid="{0F718265-1EEC-41CD-8A45-E199F89A3387}">
      <formula1>ecosystem</formula1>
    </dataValidation>
    <dataValidation type="list" allowBlank="1" showInputMessage="1" showErrorMessage="1" sqref="Q39:Q63" xr:uid="{5F9D61CF-8680-4389-8DA9-469044422A13}">
      <formula1>soildepth</formula1>
    </dataValidation>
    <dataValidation type="list" allowBlank="1" showInputMessage="1" showErrorMessage="1" sqref="R39:R63" xr:uid="{67D5706A-672F-4944-B98A-8B62A4F97ED7}">
      <formula1>rootingdepth</formula1>
    </dataValidation>
    <dataValidation type="list" allowBlank="1" showInputMessage="1" showErrorMessage="1" sqref="S39:S63" xr:uid="{FB4F6A00-F06E-4A80-97F6-1367254E0583}">
      <formula1>slope</formula1>
    </dataValidation>
    <dataValidation type="list" allowBlank="1" showInputMessage="1" showErrorMessage="1" sqref="T39:T63" xr:uid="{8054FFF6-B7FE-4003-9A66-86377D98305E}">
      <formula1>aspect</formula1>
    </dataValidation>
  </dataValidations>
  <hyperlinks>
    <hyperlink ref="F16" r:id="rId1" xr:uid="{D58790F6-456E-4F40-8EFE-551B3317A99D}"/>
    <hyperlink ref="F15" r:id="rId2" xr:uid="{5C40B110-7636-4C91-9DAC-A61DB1DE3531}"/>
  </hyperlinks>
  <pageMargins left="0.7" right="0.7" top="0.75" bottom="0.75" header="0.3" footer="0.3"/>
  <pageSetup paperSize="9" orientation="portrait" r:id="rId3"/>
  <legacyDrawing r:id="rId4"/>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CA439-458E-4322-954E-EE77842F672D}">
  <dimension ref="A1:AU515"/>
  <sheetViews>
    <sheetView topLeftCell="A66" zoomScale="85" zoomScaleNormal="85" workbookViewId="0">
      <selection activeCell="E94" sqref="E94"/>
    </sheetView>
  </sheetViews>
  <sheetFormatPr baseColWidth="10" defaultRowHeight="14.4"/>
  <cols>
    <col min="3" max="3" width="9.6640625" customWidth="1"/>
    <col min="4" max="4" width="23" customWidth="1"/>
    <col min="5" max="5" width="22.21875" customWidth="1"/>
    <col min="6" max="6" width="20.33203125" customWidth="1"/>
    <col min="7" max="7" width="18.33203125" customWidth="1"/>
    <col min="8" max="8" width="18.77734375" customWidth="1"/>
    <col min="9" max="9" width="13.77734375" customWidth="1"/>
    <col min="11" max="11" width="25.44140625" customWidth="1"/>
    <col min="14" max="14" width="25.77734375" customWidth="1"/>
    <col min="15" max="15" width="15.44140625" customWidth="1"/>
    <col min="16" max="16" width="27.33203125" customWidth="1"/>
    <col min="17" max="17" width="17.21875" customWidth="1"/>
    <col min="18" max="18" width="15.21875" customWidth="1"/>
  </cols>
  <sheetData>
    <row r="1" spans="2:13" s="289" customFormat="1">
      <c r="B1" s="289" t="s">
        <v>3793</v>
      </c>
      <c r="D1" s="289" t="s">
        <v>3794</v>
      </c>
      <c r="E1" s="290"/>
      <c r="K1" s="290"/>
      <c r="L1" s="291"/>
      <c r="M1" s="291"/>
    </row>
    <row r="2" spans="2:13" s="289" customFormat="1">
      <c r="B2" s="292" t="s">
        <v>3795</v>
      </c>
      <c r="E2" s="290"/>
      <c r="K2" s="290"/>
      <c r="L2" s="291"/>
      <c r="M2" s="291"/>
    </row>
    <row r="3" spans="2:13" s="294" customFormat="1" ht="30" customHeight="1">
      <c r="B3" s="293" t="s">
        <v>3796</v>
      </c>
      <c r="E3" s="295"/>
      <c r="K3" s="295"/>
      <c r="L3" s="296"/>
      <c r="M3" s="296"/>
    </row>
    <row r="4" spans="2:13" s="298" customFormat="1">
      <c r="B4" s="297" t="s">
        <v>3797</v>
      </c>
      <c r="E4" s="299"/>
      <c r="K4" s="299"/>
      <c r="L4" s="300"/>
      <c r="M4" s="300"/>
    </row>
    <row r="5" spans="2:13" s="298" customFormat="1">
      <c r="B5" s="298" t="s">
        <v>3798</v>
      </c>
      <c r="E5" s="299"/>
      <c r="K5" s="299"/>
      <c r="L5" s="300"/>
      <c r="M5" s="300"/>
    </row>
    <row r="6" spans="2:13" s="297" customFormat="1">
      <c r="B6" s="297" t="s">
        <v>3799</v>
      </c>
      <c r="E6" s="301"/>
      <c r="K6" s="301"/>
      <c r="L6" s="302"/>
      <c r="M6" s="302"/>
    </row>
    <row r="7" spans="2:13" s="289" customFormat="1">
      <c r="B7" s="303" t="s">
        <v>3800</v>
      </c>
      <c r="C7" s="304"/>
      <c r="D7" s="304"/>
      <c r="E7" s="305"/>
      <c r="G7" s="304"/>
      <c r="K7" s="290"/>
      <c r="L7" s="291"/>
      <c r="M7" s="291"/>
    </row>
    <row r="8" spans="2:13" s="289" customFormat="1">
      <c r="B8" s="304"/>
      <c r="C8" s="304"/>
      <c r="D8" s="304"/>
      <c r="E8" s="305"/>
      <c r="G8" s="304"/>
      <c r="K8" s="290"/>
      <c r="L8" s="291"/>
      <c r="M8" s="291"/>
    </row>
    <row r="9" spans="2:13" s="289" customFormat="1">
      <c r="B9" s="304"/>
      <c r="C9" s="304"/>
      <c r="D9" s="304"/>
      <c r="E9" s="305"/>
      <c r="G9" s="304"/>
      <c r="K9" s="290"/>
      <c r="L9" s="291"/>
      <c r="M9" s="291"/>
    </row>
    <row r="10" spans="2:13" s="304" customFormat="1">
      <c r="B10" s="306" t="s">
        <v>3801</v>
      </c>
      <c r="C10" s="306"/>
      <c r="E10" s="305"/>
      <c r="K10" s="305"/>
      <c r="L10" s="307"/>
      <c r="M10" s="307"/>
    </row>
    <row r="11" spans="2:13" s="304" customFormat="1" ht="15" thickBot="1">
      <c r="B11" s="306" t="s">
        <v>3802</v>
      </c>
      <c r="C11" s="306"/>
      <c r="E11" s="305"/>
      <c r="F11" s="304" t="s">
        <v>3803</v>
      </c>
      <c r="K11" s="305"/>
      <c r="L11" s="307"/>
      <c r="M11" s="307"/>
    </row>
    <row r="12" spans="2:13" s="303" customFormat="1">
      <c r="B12" s="445" t="s">
        <v>0</v>
      </c>
      <c r="C12" s="436"/>
      <c r="D12" s="436"/>
      <c r="E12" s="436"/>
      <c r="F12" s="308" t="s">
        <v>3804</v>
      </c>
      <c r="G12" s="309"/>
      <c r="H12" s="309"/>
      <c r="I12" s="309"/>
      <c r="K12" s="310"/>
      <c r="L12" s="311"/>
      <c r="M12" s="311"/>
    </row>
    <row r="13" spans="2:13" s="303" customFormat="1">
      <c r="B13" s="441" t="s">
        <v>3805</v>
      </c>
      <c r="C13" s="442"/>
      <c r="D13" s="442"/>
      <c r="E13" s="442"/>
      <c r="F13" s="313" t="s">
        <v>3806</v>
      </c>
      <c r="G13" s="309"/>
      <c r="H13" s="309"/>
      <c r="I13" s="309"/>
      <c r="K13" s="310"/>
      <c r="L13" s="311"/>
      <c r="M13" s="311"/>
    </row>
    <row r="14" spans="2:13" s="303" customFormat="1">
      <c r="B14" s="441" t="s">
        <v>1</v>
      </c>
      <c r="C14" s="442"/>
      <c r="D14" s="442"/>
      <c r="E14" s="442"/>
      <c r="F14" s="314" t="s">
        <v>3807</v>
      </c>
      <c r="G14" s="315"/>
      <c r="H14" s="316"/>
      <c r="I14" s="316"/>
      <c r="J14" s="316"/>
      <c r="K14" s="310"/>
      <c r="L14" s="311"/>
      <c r="M14" s="311"/>
    </row>
    <row r="15" spans="2:13" s="303" customFormat="1">
      <c r="B15" s="441" t="s">
        <v>2</v>
      </c>
      <c r="C15" s="442"/>
      <c r="D15" s="442"/>
      <c r="E15" s="442"/>
      <c r="F15" s="317" t="s">
        <v>3808</v>
      </c>
      <c r="G15" s="318"/>
      <c r="H15" s="319"/>
      <c r="I15" s="319"/>
      <c r="K15" s="310"/>
      <c r="L15" s="311"/>
      <c r="M15" s="311"/>
    </row>
    <row r="16" spans="2:13" s="303" customFormat="1">
      <c r="B16" s="441" t="s">
        <v>3</v>
      </c>
      <c r="C16" s="442"/>
      <c r="D16" s="442"/>
      <c r="E16" s="442"/>
      <c r="F16" s="320" t="s">
        <v>3809</v>
      </c>
      <c r="G16" s="319"/>
      <c r="H16" s="319"/>
      <c r="I16" s="319"/>
      <c r="K16" s="310"/>
      <c r="L16" s="311"/>
      <c r="M16" s="311"/>
    </row>
    <row r="17" spans="2:14" s="303" customFormat="1">
      <c r="B17" s="441" t="s">
        <v>4</v>
      </c>
      <c r="C17" s="442"/>
      <c r="D17" s="442"/>
      <c r="E17" s="442"/>
      <c r="F17" s="321" t="s">
        <v>3810</v>
      </c>
      <c r="G17" s="319"/>
      <c r="H17" s="319"/>
      <c r="I17" s="319"/>
      <c r="K17" s="310"/>
      <c r="L17" s="311"/>
      <c r="M17" s="311"/>
    </row>
    <row r="18" spans="2:14" s="303" customFormat="1">
      <c r="B18" s="441" t="s">
        <v>5</v>
      </c>
      <c r="C18" s="442"/>
      <c r="D18" s="442"/>
      <c r="E18" s="442"/>
      <c r="F18" s="321" t="s">
        <v>3811</v>
      </c>
      <c r="G18" s="319"/>
      <c r="H18" s="319"/>
      <c r="I18" s="319"/>
      <c r="K18" s="310"/>
      <c r="L18" s="311"/>
      <c r="M18" s="311"/>
    </row>
    <row r="19" spans="2:14" s="303" customFormat="1">
      <c r="B19" s="441" t="s">
        <v>6</v>
      </c>
      <c r="C19" s="442"/>
      <c r="D19" s="442"/>
      <c r="E19" s="442"/>
      <c r="F19" s="314" t="s">
        <v>3812</v>
      </c>
      <c r="G19" s="318"/>
      <c r="H19" s="322"/>
      <c r="I19" s="322"/>
      <c r="J19" s="322"/>
      <c r="K19" s="322"/>
      <c r="L19" s="322"/>
      <c r="M19" s="322"/>
      <c r="N19" s="322"/>
    </row>
    <row r="20" spans="2:14" s="303" customFormat="1" ht="15" thickBot="1">
      <c r="B20" s="443" t="s">
        <v>7</v>
      </c>
      <c r="C20" s="444"/>
      <c r="D20" s="444"/>
      <c r="E20" s="444"/>
      <c r="F20" s="323" t="s">
        <v>3813</v>
      </c>
      <c r="G20" s="319"/>
      <c r="H20" s="319"/>
      <c r="I20" s="319"/>
      <c r="K20" s="310"/>
      <c r="L20" s="311"/>
      <c r="M20" s="311"/>
    </row>
    <row r="21" spans="2:14">
      <c r="B21" s="309" t="s">
        <v>3814</v>
      </c>
      <c r="C21" s="309"/>
      <c r="D21" s="309"/>
      <c r="E21" s="309"/>
      <c r="F21" s="319"/>
    </row>
    <row r="23" spans="2:14">
      <c r="B23" s="324" t="s">
        <v>3815</v>
      </c>
      <c r="C23" s="309"/>
      <c r="D23" s="325"/>
      <c r="E23" s="326"/>
      <c r="F23" s="303"/>
      <c r="G23" s="303"/>
      <c r="H23" s="303"/>
      <c r="I23" s="303"/>
    </row>
    <row r="24" spans="2:14" ht="15" thickBot="1">
      <c r="B24" s="324" t="s">
        <v>3816</v>
      </c>
      <c r="C24" s="309"/>
      <c r="D24" s="325"/>
      <c r="E24" s="326"/>
      <c r="F24" s="303" t="s">
        <v>3803</v>
      </c>
      <c r="G24" s="303"/>
      <c r="H24" s="303"/>
      <c r="I24" s="303"/>
    </row>
    <row r="25" spans="2:14">
      <c r="B25" s="445" t="s">
        <v>8</v>
      </c>
      <c r="C25" s="436"/>
      <c r="D25" s="436"/>
      <c r="E25" s="436"/>
      <c r="F25" s="327">
        <v>0.84199999999999997</v>
      </c>
      <c r="G25" s="303"/>
      <c r="H25" s="303"/>
      <c r="I25" s="303"/>
    </row>
    <row r="26" spans="2:14">
      <c r="B26" s="441" t="s">
        <v>9</v>
      </c>
      <c r="C26" s="442"/>
      <c r="D26" s="442"/>
      <c r="E26" s="442"/>
      <c r="F26" s="328">
        <v>0.55200000000000005</v>
      </c>
      <c r="G26" s="303"/>
      <c r="H26" s="303"/>
      <c r="I26" s="303"/>
    </row>
    <row r="27" spans="2:14">
      <c r="B27" s="441" t="s">
        <v>10</v>
      </c>
      <c r="C27" s="442"/>
      <c r="D27" s="442"/>
      <c r="E27" s="442"/>
      <c r="F27" s="329">
        <v>0.12180000000000001</v>
      </c>
      <c r="G27" s="303"/>
      <c r="H27" s="303"/>
      <c r="I27" s="303"/>
    </row>
    <row r="28" spans="2:14">
      <c r="B28" s="441" t="s">
        <v>11</v>
      </c>
      <c r="C28" s="442"/>
      <c r="D28" s="442"/>
      <c r="E28" s="442"/>
      <c r="F28" s="329">
        <v>2.8799999999999999E-2</v>
      </c>
      <c r="G28" s="303"/>
      <c r="H28" s="303"/>
      <c r="I28" s="303"/>
    </row>
    <row r="29" spans="2:14">
      <c r="B29" s="441" t="s">
        <v>12</v>
      </c>
      <c r="C29" s="442"/>
      <c r="D29" s="442"/>
      <c r="E29" s="442"/>
      <c r="F29" s="330">
        <f>F27+F28</f>
        <v>0.15060000000000001</v>
      </c>
      <c r="G29" s="303"/>
      <c r="H29" s="303"/>
      <c r="I29" s="303"/>
    </row>
    <row r="30" spans="2:14">
      <c r="B30" s="441" t="s">
        <v>13</v>
      </c>
      <c r="C30" s="442"/>
      <c r="D30" s="442"/>
      <c r="E30" s="442"/>
      <c r="F30" s="329">
        <v>9.9199999999999997E-2</v>
      </c>
      <c r="G30" s="303"/>
      <c r="H30" s="303"/>
      <c r="I30" s="303"/>
    </row>
    <row r="31" spans="2:14">
      <c r="B31" s="441" t="s">
        <v>14</v>
      </c>
      <c r="C31" s="442"/>
      <c r="D31" s="442"/>
      <c r="E31" s="442"/>
      <c r="F31" s="329">
        <v>1</v>
      </c>
      <c r="G31" s="303" t="s">
        <v>3817</v>
      </c>
      <c r="H31" s="303"/>
      <c r="I31" s="303"/>
    </row>
    <row r="32" spans="2:14" ht="15" thickBot="1">
      <c r="B32" s="443" t="s">
        <v>15</v>
      </c>
      <c r="C32" s="444"/>
      <c r="D32" s="444"/>
      <c r="E32" s="444"/>
      <c r="F32" s="331">
        <v>1</v>
      </c>
      <c r="G32" s="303"/>
      <c r="H32" s="303"/>
      <c r="I32" s="303"/>
    </row>
    <row r="33" spans="1:24">
      <c r="A33" s="303"/>
      <c r="B33" s="309"/>
      <c r="C33" s="309"/>
      <c r="D33" s="309"/>
      <c r="E33" s="309"/>
      <c r="F33" s="332"/>
      <c r="G33" s="303"/>
      <c r="H33" s="303"/>
      <c r="I33" s="303"/>
      <c r="J33" s="303"/>
      <c r="K33" s="310"/>
      <c r="L33" s="311"/>
      <c r="M33" s="311"/>
      <c r="N33" s="303"/>
      <c r="O33" s="303"/>
      <c r="P33" s="303"/>
      <c r="Q33" s="303"/>
      <c r="R33" s="303"/>
      <c r="S33" s="303"/>
      <c r="T33" s="303"/>
      <c r="U33" s="303"/>
      <c r="V33" s="303"/>
      <c r="W33" s="303"/>
      <c r="X33" s="303"/>
    </row>
    <row r="34" spans="1:24">
      <c r="A34" s="303"/>
      <c r="B34" s="333" t="s">
        <v>3818</v>
      </c>
      <c r="C34" s="319"/>
      <c r="D34" s="303"/>
      <c r="E34" s="310"/>
      <c r="F34" s="303"/>
      <c r="G34" s="303"/>
      <c r="H34" s="303"/>
      <c r="I34" s="303"/>
      <c r="J34" s="303"/>
      <c r="K34" s="310"/>
      <c r="L34" s="311"/>
      <c r="M34" s="311"/>
      <c r="N34" s="303"/>
      <c r="O34" s="303"/>
      <c r="P34" s="303"/>
      <c r="Q34" s="303"/>
      <c r="R34" s="303"/>
      <c r="S34" s="303"/>
      <c r="T34" s="303"/>
      <c r="U34" s="303"/>
      <c r="V34" s="303"/>
      <c r="W34" s="303"/>
      <c r="X34" s="303"/>
    </row>
    <row r="35" spans="1:24">
      <c r="A35" s="289"/>
      <c r="B35" s="289"/>
      <c r="C35" s="289"/>
      <c r="D35" s="289"/>
      <c r="E35" s="289"/>
      <c r="F35" s="290"/>
      <c r="G35" s="289"/>
      <c r="H35" s="304"/>
      <c r="I35" s="304"/>
      <c r="J35" s="289"/>
      <c r="K35" s="289"/>
      <c r="L35" s="289"/>
      <c r="M35" s="289"/>
      <c r="N35" s="289"/>
      <c r="O35" s="289"/>
      <c r="P35" s="289"/>
      <c r="Q35" s="289"/>
      <c r="R35" s="289"/>
      <c r="S35" s="289"/>
      <c r="T35" s="289"/>
      <c r="U35" s="289"/>
      <c r="V35" s="289"/>
      <c r="W35" s="289"/>
      <c r="X35" s="289"/>
    </row>
    <row r="36" spans="1:24" ht="15" thickBot="1">
      <c r="A36" s="303"/>
      <c r="B36" s="333" t="s">
        <v>3819</v>
      </c>
      <c r="C36" s="303"/>
      <c r="D36" s="303"/>
      <c r="E36" s="310"/>
      <c r="F36" s="310"/>
      <c r="G36" s="303"/>
      <c r="H36" s="303" t="s">
        <v>3820</v>
      </c>
      <c r="I36" s="303"/>
      <c r="J36" s="303"/>
      <c r="K36" s="303"/>
      <c r="L36" s="303"/>
      <c r="M36" s="303"/>
      <c r="N36" s="303"/>
      <c r="O36" s="303"/>
      <c r="P36" s="303"/>
      <c r="Q36" s="303"/>
      <c r="R36" s="303"/>
      <c r="S36" s="303"/>
      <c r="T36" s="303"/>
      <c r="U36" s="303"/>
      <c r="V36" s="303"/>
      <c r="W36" s="303"/>
      <c r="X36" s="303"/>
    </row>
    <row r="37" spans="1:24" ht="15" customHeight="1" thickBot="1">
      <c r="A37" s="319"/>
      <c r="B37" s="437" t="s">
        <v>3821</v>
      </c>
      <c r="C37" s="438"/>
      <c r="D37" s="438"/>
      <c r="E37" s="439" t="s">
        <v>17</v>
      </c>
      <c r="F37" s="440"/>
      <c r="G37" s="334" t="s">
        <v>3822</v>
      </c>
      <c r="H37" s="335"/>
      <c r="I37" s="335"/>
      <c r="J37" s="336"/>
      <c r="K37" s="431" t="s">
        <v>3823</v>
      </c>
      <c r="L37" s="432"/>
      <c r="M37" s="432"/>
      <c r="N37" s="432"/>
      <c r="O37" s="432"/>
      <c r="P37" s="432"/>
      <c r="Q37" s="432"/>
      <c r="R37" s="433"/>
    </row>
    <row r="38" spans="1:24" ht="15" thickBot="1">
      <c r="A38" s="319"/>
      <c r="B38" s="434" t="s">
        <v>16</v>
      </c>
      <c r="C38" s="435"/>
      <c r="D38" s="435"/>
      <c r="E38" s="337" t="s">
        <v>18</v>
      </c>
      <c r="F38" s="338" t="s">
        <v>212</v>
      </c>
      <c r="G38" s="339" t="s">
        <v>2677</v>
      </c>
      <c r="H38" s="340" t="s">
        <v>2678</v>
      </c>
      <c r="I38" s="340" t="s">
        <v>2679</v>
      </c>
      <c r="J38" s="340" t="s">
        <v>2680</v>
      </c>
      <c r="K38" s="334" t="s">
        <v>204</v>
      </c>
      <c r="L38" s="336" t="s">
        <v>203</v>
      </c>
      <c r="M38" s="336"/>
      <c r="N38" s="336" t="s">
        <v>205</v>
      </c>
      <c r="O38" s="436" t="s">
        <v>216</v>
      </c>
      <c r="P38" s="436"/>
      <c r="Q38" s="336" t="s">
        <v>206</v>
      </c>
      <c r="R38" s="336" t="s">
        <v>207</v>
      </c>
      <c r="S38" s="336" t="s">
        <v>217</v>
      </c>
      <c r="T38" s="327" t="s">
        <v>218</v>
      </c>
    </row>
    <row r="39" spans="1:24">
      <c r="A39" s="319"/>
      <c r="B39" s="341" t="s">
        <v>3824</v>
      </c>
      <c r="C39" s="342"/>
      <c r="D39" s="343" t="s">
        <v>3825</v>
      </c>
      <c r="E39" s="344">
        <v>-3.3978609999999998</v>
      </c>
      <c r="F39" s="345">
        <v>34.837608000000003</v>
      </c>
      <c r="G39" s="346">
        <v>12.565665055683967</v>
      </c>
      <c r="H39" s="347">
        <v>0.9665896196679955</v>
      </c>
      <c r="I39" s="347">
        <v>86.467745324648035</v>
      </c>
      <c r="J39" s="348">
        <v>1.0225726959093147</v>
      </c>
      <c r="K39" s="344" t="s">
        <v>229</v>
      </c>
      <c r="L39" s="349" t="s">
        <v>257</v>
      </c>
      <c r="M39" s="349"/>
      <c r="N39" s="349" t="s">
        <v>2672</v>
      </c>
      <c r="O39" s="349" t="s">
        <v>3826</v>
      </c>
      <c r="P39" s="349"/>
      <c r="Q39" s="349" t="s">
        <v>247</v>
      </c>
      <c r="R39" s="349" t="s">
        <v>247</v>
      </c>
      <c r="S39" s="349" t="s">
        <v>234</v>
      </c>
      <c r="T39" s="308" t="s">
        <v>3827</v>
      </c>
    </row>
    <row r="40" spans="1:24">
      <c r="A40" s="319"/>
      <c r="B40" s="350" t="s">
        <v>3828</v>
      </c>
      <c r="C40" s="351"/>
      <c r="D40" s="352" t="s">
        <v>3825</v>
      </c>
      <c r="E40" s="353">
        <v>-3.3978290019999999</v>
      </c>
      <c r="F40" s="354">
        <v>34.837011969999999</v>
      </c>
      <c r="G40" s="355">
        <v>21.13063730679653</v>
      </c>
      <c r="H40" s="356">
        <v>3.0912555579081076</v>
      </c>
      <c r="I40" s="356">
        <v>75.778107135295357</v>
      </c>
      <c r="J40" s="357">
        <v>0.46131099063578063</v>
      </c>
      <c r="K40" s="353" t="s">
        <v>229</v>
      </c>
      <c r="L40" s="423" t="s">
        <v>257</v>
      </c>
      <c r="M40" s="423"/>
      <c r="N40" s="358" t="s">
        <v>2670</v>
      </c>
      <c r="O40" s="358" t="s">
        <v>3826</v>
      </c>
      <c r="P40" s="358"/>
      <c r="Q40" s="358" t="s">
        <v>247</v>
      </c>
      <c r="R40" s="358" t="s">
        <v>247</v>
      </c>
      <c r="S40" s="358" t="s">
        <v>234</v>
      </c>
      <c r="T40" s="313" t="s">
        <v>3827</v>
      </c>
    </row>
    <row r="41" spans="1:24">
      <c r="A41" s="319"/>
      <c r="B41" s="350" t="s">
        <v>3829</v>
      </c>
      <c r="C41" s="351"/>
      <c r="D41" s="352" t="s">
        <v>3825</v>
      </c>
      <c r="E41" s="353">
        <v>-3.3854090330000002</v>
      </c>
      <c r="F41" s="354">
        <v>34.818901029999999</v>
      </c>
      <c r="G41" s="355">
        <v>54.080969906906262</v>
      </c>
      <c r="H41" s="356">
        <v>21.264484651351896</v>
      </c>
      <c r="I41" s="356">
        <v>24.654545441741845</v>
      </c>
      <c r="J41" s="357">
        <v>1.8433218334154755</v>
      </c>
      <c r="K41" s="353" t="s">
        <v>229</v>
      </c>
      <c r="L41" s="423" t="s">
        <v>257</v>
      </c>
      <c r="M41" s="423"/>
      <c r="N41" s="358" t="s">
        <v>2673</v>
      </c>
      <c r="O41" s="358" t="s">
        <v>3826</v>
      </c>
      <c r="P41" s="358"/>
      <c r="Q41" s="358" t="s">
        <v>247</v>
      </c>
      <c r="R41" s="358" t="s">
        <v>247</v>
      </c>
      <c r="S41" s="358" t="s">
        <v>234</v>
      </c>
      <c r="T41" s="313" t="s">
        <v>3827</v>
      </c>
    </row>
    <row r="42" spans="1:24">
      <c r="A42" s="319"/>
      <c r="B42" s="350" t="s">
        <v>3830</v>
      </c>
      <c r="C42" s="351"/>
      <c r="D42" s="352" t="s">
        <v>3825</v>
      </c>
      <c r="E42" s="353">
        <v>-3.3849129919999998</v>
      </c>
      <c r="F42" s="354">
        <v>34.818899020000003</v>
      </c>
      <c r="G42" s="355">
        <v>51.960000000000008</v>
      </c>
      <c r="H42" s="356">
        <v>18.919999999999995</v>
      </c>
      <c r="I42" s="356">
        <v>29.120000000000005</v>
      </c>
      <c r="J42" s="357">
        <v>1.85293247905372</v>
      </c>
      <c r="K42" s="353" t="s">
        <v>229</v>
      </c>
      <c r="L42" s="423" t="s">
        <v>257</v>
      </c>
      <c r="M42" s="423"/>
      <c r="N42" s="358" t="s">
        <v>2673</v>
      </c>
      <c r="O42" s="358" t="s">
        <v>3826</v>
      </c>
      <c r="P42" s="358"/>
      <c r="Q42" s="358" t="s">
        <v>247</v>
      </c>
      <c r="R42" s="358" t="s">
        <v>247</v>
      </c>
      <c r="S42" s="358" t="s">
        <v>234</v>
      </c>
      <c r="T42" s="313" t="s">
        <v>3827</v>
      </c>
    </row>
    <row r="43" spans="1:24">
      <c r="A43" s="319"/>
      <c r="B43" s="350" t="s">
        <v>3831</v>
      </c>
      <c r="C43" s="351"/>
      <c r="D43" s="352" t="s">
        <v>3832</v>
      </c>
      <c r="E43" s="353">
        <v>-3.4092039989999998</v>
      </c>
      <c r="F43" s="354">
        <v>34.852751009999999</v>
      </c>
      <c r="G43" s="355">
        <v>23.96</v>
      </c>
      <c r="H43" s="356">
        <v>0.91999999999999804</v>
      </c>
      <c r="I43" s="356">
        <v>75.12</v>
      </c>
      <c r="J43" s="357">
        <v>1.2493839329719072</v>
      </c>
      <c r="K43" s="353" t="s">
        <v>229</v>
      </c>
      <c r="L43" s="423" t="s">
        <v>244</v>
      </c>
      <c r="M43" s="423"/>
      <c r="N43" s="358" t="s">
        <v>2670</v>
      </c>
      <c r="O43" s="358" t="s">
        <v>3826</v>
      </c>
      <c r="P43" s="358"/>
      <c r="Q43" s="358" t="s">
        <v>247</v>
      </c>
      <c r="R43" s="358" t="s">
        <v>247</v>
      </c>
      <c r="S43" s="358" t="s">
        <v>234</v>
      </c>
      <c r="T43" s="313" t="s">
        <v>3827</v>
      </c>
    </row>
    <row r="44" spans="1:24">
      <c r="A44" s="319"/>
      <c r="B44" s="350" t="s">
        <v>3833</v>
      </c>
      <c r="C44" s="351"/>
      <c r="D44" s="352" t="s">
        <v>3832</v>
      </c>
      <c r="E44" s="353">
        <v>-3.4083420040000001</v>
      </c>
      <c r="F44" s="354">
        <v>34.850283040000001</v>
      </c>
      <c r="G44" s="355">
        <v>19.96</v>
      </c>
      <c r="H44" s="356">
        <v>4.9199999999999982</v>
      </c>
      <c r="I44" s="356">
        <v>75.12</v>
      </c>
      <c r="J44" s="357">
        <v>1.641498275012321</v>
      </c>
      <c r="K44" s="353" t="s">
        <v>229</v>
      </c>
      <c r="L44" s="423" t="s">
        <v>244</v>
      </c>
      <c r="M44" s="423"/>
      <c r="N44" s="358" t="s">
        <v>2671</v>
      </c>
      <c r="O44" s="358" t="s">
        <v>3826</v>
      </c>
      <c r="P44" s="358"/>
      <c r="Q44" s="358" t="s">
        <v>247</v>
      </c>
      <c r="R44" s="358" t="s">
        <v>247</v>
      </c>
      <c r="S44" s="358" t="s">
        <v>234</v>
      </c>
      <c r="T44" s="313" t="s">
        <v>3827</v>
      </c>
    </row>
    <row r="45" spans="1:24">
      <c r="A45" s="319"/>
      <c r="B45" s="350" t="s">
        <v>3834</v>
      </c>
      <c r="C45" s="351"/>
      <c r="D45" s="352" t="s">
        <v>3832</v>
      </c>
      <c r="E45" s="353">
        <v>-3.406225992</v>
      </c>
      <c r="F45" s="354">
        <v>34.85055998</v>
      </c>
      <c r="G45" s="355">
        <v>21.96</v>
      </c>
      <c r="H45" s="356">
        <v>8.9199999999999982</v>
      </c>
      <c r="I45" s="356">
        <v>69.12</v>
      </c>
      <c r="J45" s="357">
        <v>1.7491375061606702</v>
      </c>
      <c r="K45" s="353" t="s">
        <v>229</v>
      </c>
      <c r="L45" s="423" t="s">
        <v>244</v>
      </c>
      <c r="M45" s="423"/>
      <c r="N45" s="358" t="s">
        <v>2670</v>
      </c>
      <c r="O45" s="358" t="s">
        <v>3826</v>
      </c>
      <c r="P45" s="358"/>
      <c r="Q45" s="358" t="s">
        <v>247</v>
      </c>
      <c r="R45" s="358" t="s">
        <v>247</v>
      </c>
      <c r="S45" s="358" t="s">
        <v>234</v>
      </c>
      <c r="T45" s="313" t="s">
        <v>3827</v>
      </c>
    </row>
    <row r="46" spans="1:24">
      <c r="A46" s="319"/>
      <c r="B46" s="350" t="s">
        <v>3835</v>
      </c>
      <c r="C46" s="351"/>
      <c r="D46" s="352" t="s">
        <v>3832</v>
      </c>
      <c r="E46" s="353">
        <v>-3.4064239729999999</v>
      </c>
      <c r="F46" s="354">
        <v>34.851213010000002</v>
      </c>
      <c r="G46" s="355">
        <v>25.96</v>
      </c>
      <c r="H46" s="356">
        <v>6.9200000000000008</v>
      </c>
      <c r="I46" s="356">
        <v>67.12</v>
      </c>
      <c r="J46" s="357">
        <v>1.7568260226712666</v>
      </c>
      <c r="K46" s="353" t="s">
        <v>229</v>
      </c>
      <c r="L46" s="423" t="s">
        <v>244</v>
      </c>
      <c r="M46" s="423"/>
      <c r="N46" s="358" t="s">
        <v>2670</v>
      </c>
      <c r="O46" s="358" t="s">
        <v>3826</v>
      </c>
      <c r="P46" s="358"/>
      <c r="Q46" s="358" t="s">
        <v>247</v>
      </c>
      <c r="R46" s="358" t="s">
        <v>247</v>
      </c>
      <c r="S46" s="358" t="s">
        <v>234</v>
      </c>
      <c r="T46" s="313" t="s">
        <v>3827</v>
      </c>
    </row>
    <row r="47" spans="1:24">
      <c r="A47" s="319"/>
      <c r="B47" s="350" t="s">
        <v>3836</v>
      </c>
      <c r="C47" s="351"/>
      <c r="D47" s="352" t="s">
        <v>3837</v>
      </c>
      <c r="E47" s="353">
        <v>-3.2993960379999998</v>
      </c>
      <c r="F47" s="354">
        <v>34.848240959999998</v>
      </c>
      <c r="G47" s="355">
        <v>47.96</v>
      </c>
      <c r="H47" s="356">
        <v>22.919999999999995</v>
      </c>
      <c r="I47" s="356">
        <v>29.120000000000012</v>
      </c>
      <c r="J47" s="357">
        <v>2.8831936914736325</v>
      </c>
      <c r="K47" s="353" t="s">
        <v>229</v>
      </c>
      <c r="L47" s="423" t="s">
        <v>230</v>
      </c>
      <c r="M47" s="423"/>
      <c r="N47" s="358" t="s">
        <v>2673</v>
      </c>
      <c r="O47" s="358" t="s">
        <v>3826</v>
      </c>
      <c r="P47" s="358"/>
      <c r="Q47" s="358" t="s">
        <v>247</v>
      </c>
      <c r="R47" s="358" t="s">
        <v>247</v>
      </c>
      <c r="S47" s="358" t="s">
        <v>234</v>
      </c>
      <c r="T47" s="313" t="s">
        <v>3827</v>
      </c>
    </row>
    <row r="48" spans="1:24">
      <c r="A48" s="319"/>
      <c r="B48" s="350" t="s">
        <v>3838</v>
      </c>
      <c r="C48" s="351"/>
      <c r="D48" s="352" t="s">
        <v>3837</v>
      </c>
      <c r="E48" s="353">
        <v>-3.3025860229999999</v>
      </c>
      <c r="F48" s="354">
        <v>34.848048009999999</v>
      </c>
      <c r="G48" s="355">
        <v>45.272914521112256</v>
      </c>
      <c r="H48" s="356">
        <v>23.604531410916575</v>
      </c>
      <c r="I48" s="356">
        <v>31.122554067971166</v>
      </c>
      <c r="J48" s="357">
        <v>2.0547560374568752</v>
      </c>
      <c r="K48" s="353" t="s">
        <v>229</v>
      </c>
      <c r="L48" s="423" t="s">
        <v>230</v>
      </c>
      <c r="M48" s="423"/>
      <c r="N48" s="358" t="s">
        <v>2673</v>
      </c>
      <c r="O48" s="358" t="s">
        <v>3826</v>
      </c>
      <c r="P48" s="358"/>
      <c r="Q48" s="358" t="s">
        <v>247</v>
      </c>
      <c r="R48" s="358" t="s">
        <v>247</v>
      </c>
      <c r="S48" s="358" t="s">
        <v>234</v>
      </c>
      <c r="T48" s="313" t="s">
        <v>3827</v>
      </c>
    </row>
    <row r="49" spans="1:20">
      <c r="A49" s="319"/>
      <c r="B49" s="350" t="s">
        <v>3839</v>
      </c>
      <c r="C49" s="351"/>
      <c r="D49" s="352" t="s">
        <v>3837</v>
      </c>
      <c r="E49" s="353">
        <v>-3.2957159630000001</v>
      </c>
      <c r="F49" s="354">
        <v>34.852460999999998</v>
      </c>
      <c r="G49" s="355">
        <v>38.691629007962128</v>
      </c>
      <c r="H49" s="356">
        <v>26.81299763288143</v>
      </c>
      <c r="I49" s="356">
        <v>34.495373359156439</v>
      </c>
      <c r="J49" s="357">
        <v>2.5483587974371611</v>
      </c>
      <c r="K49" s="353" t="s">
        <v>229</v>
      </c>
      <c r="L49" s="423" t="s">
        <v>230</v>
      </c>
      <c r="M49" s="423"/>
      <c r="N49" s="358" t="s">
        <v>2675</v>
      </c>
      <c r="O49" s="358" t="s">
        <v>3826</v>
      </c>
      <c r="P49" s="358"/>
      <c r="Q49" s="358" t="s">
        <v>247</v>
      </c>
      <c r="R49" s="358" t="s">
        <v>247</v>
      </c>
      <c r="S49" s="358" t="s">
        <v>234</v>
      </c>
      <c r="T49" s="313" t="s">
        <v>3827</v>
      </c>
    </row>
    <row r="50" spans="1:20">
      <c r="A50" s="319"/>
      <c r="B50" s="350" t="s">
        <v>3840</v>
      </c>
      <c r="C50" s="351"/>
      <c r="D50" s="352" t="s">
        <v>3837</v>
      </c>
      <c r="E50" s="353">
        <v>-3.2966709980000002</v>
      </c>
      <c r="F50" s="354">
        <v>34.854407019999996</v>
      </c>
      <c r="G50" s="355">
        <v>28.145762029394</v>
      </c>
      <c r="H50" s="356">
        <v>25.085564727199518</v>
      </c>
      <c r="I50" s="356">
        <v>46.768673243406489</v>
      </c>
      <c r="J50" s="357">
        <v>2.1716214884179394</v>
      </c>
      <c r="K50" s="353" t="s">
        <v>229</v>
      </c>
      <c r="L50" s="423" t="s">
        <v>230</v>
      </c>
      <c r="M50" s="423"/>
      <c r="N50" s="358" t="s">
        <v>2670</v>
      </c>
      <c r="O50" s="358" t="s">
        <v>3826</v>
      </c>
      <c r="P50" s="358"/>
      <c r="Q50" s="358" t="s">
        <v>247</v>
      </c>
      <c r="R50" s="358" t="s">
        <v>247</v>
      </c>
      <c r="S50" s="358" t="s">
        <v>234</v>
      </c>
      <c r="T50" s="313" t="s">
        <v>3827</v>
      </c>
    </row>
    <row r="51" spans="1:20">
      <c r="A51" s="303"/>
      <c r="B51" s="350" t="s">
        <v>3841</v>
      </c>
      <c r="C51" s="351"/>
      <c r="D51" s="352" t="s">
        <v>3842</v>
      </c>
      <c r="E51" s="353">
        <v>-2.3691620310000001</v>
      </c>
      <c r="F51" s="354">
        <v>34.06028104</v>
      </c>
      <c r="G51" s="355">
        <v>45.96</v>
      </c>
      <c r="H51" s="356">
        <v>14.920000000000003</v>
      </c>
      <c r="I51" s="356">
        <v>39.119999999999997</v>
      </c>
      <c r="J51" s="357">
        <v>2.0374568753080333</v>
      </c>
      <c r="K51" s="353" t="s">
        <v>229</v>
      </c>
      <c r="L51" s="423" t="s">
        <v>257</v>
      </c>
      <c r="M51" s="423"/>
      <c r="N51" s="358" t="s">
        <v>2673</v>
      </c>
      <c r="O51" s="358" t="s">
        <v>3826</v>
      </c>
      <c r="P51" s="358"/>
      <c r="Q51" s="358" t="s">
        <v>247</v>
      </c>
      <c r="R51" s="358" t="s">
        <v>247</v>
      </c>
      <c r="S51" s="358" t="s">
        <v>234</v>
      </c>
      <c r="T51" s="313" t="s">
        <v>3827</v>
      </c>
    </row>
    <row r="52" spans="1:20">
      <c r="A52" s="303"/>
      <c r="B52" s="350" t="s">
        <v>3843</v>
      </c>
      <c r="C52" s="351"/>
      <c r="D52" s="352" t="s">
        <v>3842</v>
      </c>
      <c r="E52" s="353">
        <v>-2.3698080240000001</v>
      </c>
      <c r="F52" s="354">
        <v>34.059671010000002</v>
      </c>
      <c r="G52" s="355">
        <v>34.344660194174757</v>
      </c>
      <c r="H52" s="356">
        <v>19.22727272727273</v>
      </c>
      <c r="I52" s="356">
        <v>46.428067078552509</v>
      </c>
      <c r="J52" s="357">
        <v>1.7452932479053718</v>
      </c>
      <c r="K52" s="353" t="s">
        <v>229</v>
      </c>
      <c r="L52" s="423" t="s">
        <v>257</v>
      </c>
      <c r="M52" s="423"/>
      <c r="N52" s="358" t="s">
        <v>2670</v>
      </c>
      <c r="O52" s="358" t="s">
        <v>3826</v>
      </c>
      <c r="P52" s="358"/>
      <c r="Q52" s="358" t="s">
        <v>247</v>
      </c>
      <c r="R52" s="358" t="s">
        <v>247</v>
      </c>
      <c r="S52" s="358" t="s">
        <v>234</v>
      </c>
      <c r="T52" s="313" t="s">
        <v>3827</v>
      </c>
    </row>
    <row r="53" spans="1:20">
      <c r="A53" s="303"/>
      <c r="B53" s="350" t="s">
        <v>3844</v>
      </c>
      <c r="C53" s="351"/>
      <c r="D53" s="352" t="s">
        <v>3842</v>
      </c>
      <c r="E53" s="353">
        <v>-2.3487199940000001</v>
      </c>
      <c r="F53" s="354">
        <v>34.051391029999998</v>
      </c>
      <c r="G53" s="355">
        <v>27.96</v>
      </c>
      <c r="H53" s="356">
        <v>4.9200000000000017</v>
      </c>
      <c r="I53" s="356">
        <v>67.12</v>
      </c>
      <c r="J53" s="357">
        <v>0.88610152784622953</v>
      </c>
      <c r="K53" s="353" t="s">
        <v>229</v>
      </c>
      <c r="L53" s="423" t="s">
        <v>257</v>
      </c>
      <c r="M53" s="423"/>
      <c r="N53" s="358" t="s">
        <v>2670</v>
      </c>
      <c r="O53" s="358" t="s">
        <v>3826</v>
      </c>
      <c r="P53" s="358"/>
      <c r="Q53" s="358" t="s">
        <v>247</v>
      </c>
      <c r="R53" s="358" t="s">
        <v>247</v>
      </c>
      <c r="S53" s="358" t="s">
        <v>234</v>
      </c>
      <c r="T53" s="313" t="s">
        <v>3827</v>
      </c>
    </row>
    <row r="54" spans="1:20">
      <c r="A54" s="303"/>
      <c r="B54" s="350" t="s">
        <v>3845</v>
      </c>
      <c r="C54" s="351"/>
      <c r="D54" s="352" t="s">
        <v>3842</v>
      </c>
      <c r="E54" s="353">
        <v>-2.3492639789999998</v>
      </c>
      <c r="F54" s="354">
        <v>34.051464029999998</v>
      </c>
      <c r="G54" s="355">
        <v>17.96</v>
      </c>
      <c r="H54" s="356">
        <v>4.9199999999999982</v>
      </c>
      <c r="I54" s="356">
        <v>77.12</v>
      </c>
      <c r="J54" s="357">
        <v>2.0220798422868409</v>
      </c>
      <c r="K54" s="353" t="s">
        <v>229</v>
      </c>
      <c r="L54" s="423" t="s">
        <v>257</v>
      </c>
      <c r="M54" s="423"/>
      <c r="N54" s="358" t="s">
        <v>2671</v>
      </c>
      <c r="O54" s="358" t="s">
        <v>3826</v>
      </c>
      <c r="P54" s="358"/>
      <c r="Q54" s="358" t="s">
        <v>247</v>
      </c>
      <c r="R54" s="358" t="s">
        <v>247</v>
      </c>
      <c r="S54" s="358" t="s">
        <v>234</v>
      </c>
      <c r="T54" s="313" t="s">
        <v>3827</v>
      </c>
    </row>
    <row r="55" spans="1:20">
      <c r="B55" s="350" t="s">
        <v>3846</v>
      </c>
      <c r="C55" s="351"/>
      <c r="D55" s="352" t="s">
        <v>3847</v>
      </c>
      <c r="E55" s="353">
        <v>-2.3503360249999998</v>
      </c>
      <c r="F55" s="354">
        <v>34.049662009999999</v>
      </c>
      <c r="G55" s="355">
        <v>31.214836424255054</v>
      </c>
      <c r="H55" s="356">
        <v>11.377370285476141</v>
      </c>
      <c r="I55" s="356">
        <v>57.407793290268799</v>
      </c>
      <c r="J55" s="357">
        <v>1.7337604731394776</v>
      </c>
      <c r="K55" s="353" t="s">
        <v>229</v>
      </c>
      <c r="L55" s="423" t="s">
        <v>244</v>
      </c>
      <c r="M55" s="423"/>
      <c r="N55" s="358" t="s">
        <v>2670</v>
      </c>
      <c r="O55" s="358" t="s">
        <v>3826</v>
      </c>
      <c r="P55" s="358"/>
      <c r="Q55" s="358" t="s">
        <v>247</v>
      </c>
      <c r="R55" s="358" t="s">
        <v>247</v>
      </c>
      <c r="S55" s="358" t="s">
        <v>234</v>
      </c>
      <c r="T55" s="313" t="s">
        <v>3827</v>
      </c>
    </row>
    <row r="56" spans="1:20">
      <c r="B56" s="350" t="s">
        <v>3848</v>
      </c>
      <c r="C56" s="351"/>
      <c r="D56" s="352" t="s">
        <v>3847</v>
      </c>
      <c r="E56" s="353">
        <v>-2.348596025</v>
      </c>
      <c r="F56" s="354">
        <v>34.050070959999999</v>
      </c>
      <c r="G56" s="355">
        <v>33.96</v>
      </c>
      <c r="H56" s="356">
        <v>8.9200000000000017</v>
      </c>
      <c r="I56" s="356">
        <v>57.12</v>
      </c>
      <c r="J56" s="357">
        <v>2.072055199605717</v>
      </c>
      <c r="K56" s="353" t="s">
        <v>229</v>
      </c>
      <c r="L56" s="423" t="s">
        <v>244</v>
      </c>
      <c r="M56" s="423"/>
      <c r="N56" s="358" t="s">
        <v>2670</v>
      </c>
      <c r="O56" s="358" t="s">
        <v>3826</v>
      </c>
      <c r="P56" s="358"/>
      <c r="Q56" s="358" t="s">
        <v>247</v>
      </c>
      <c r="R56" s="358" t="s">
        <v>247</v>
      </c>
      <c r="S56" s="358" t="s">
        <v>234</v>
      </c>
      <c r="T56" s="313" t="s">
        <v>3827</v>
      </c>
    </row>
    <row r="57" spans="1:20">
      <c r="B57" s="350" t="s">
        <v>3849</v>
      </c>
      <c r="C57" s="351"/>
      <c r="D57" s="352" t="s">
        <v>3847</v>
      </c>
      <c r="E57" s="353">
        <v>-2.3675269729999999</v>
      </c>
      <c r="F57" s="354">
        <v>34.06035799</v>
      </c>
      <c r="G57" s="355">
        <v>39.96</v>
      </c>
      <c r="H57" s="356">
        <v>12.920000000000002</v>
      </c>
      <c r="I57" s="356">
        <v>47.12</v>
      </c>
      <c r="J57" s="357">
        <v>1.6549531789058647</v>
      </c>
      <c r="K57" s="353" t="s">
        <v>229</v>
      </c>
      <c r="L57" s="423" t="s">
        <v>244</v>
      </c>
      <c r="M57" s="423"/>
      <c r="N57" s="358" t="s">
        <v>2674</v>
      </c>
      <c r="O57" s="358" t="s">
        <v>3826</v>
      </c>
      <c r="P57" s="358"/>
      <c r="Q57" s="358" t="s">
        <v>247</v>
      </c>
      <c r="R57" s="358" t="s">
        <v>247</v>
      </c>
      <c r="S57" s="358" t="s">
        <v>234</v>
      </c>
      <c r="T57" s="313" t="s">
        <v>3827</v>
      </c>
    </row>
    <row r="58" spans="1:20">
      <c r="B58" s="350" t="s">
        <v>3850</v>
      </c>
      <c r="C58" s="351"/>
      <c r="D58" s="352" t="s">
        <v>3847</v>
      </c>
      <c r="E58" s="353">
        <v>-2.3676780150000001</v>
      </c>
      <c r="F58" s="354">
        <v>34.05937797</v>
      </c>
      <c r="G58" s="355">
        <v>27.96</v>
      </c>
      <c r="H58" s="356">
        <v>4.9200000000000017</v>
      </c>
      <c r="I58" s="356">
        <v>67.12</v>
      </c>
      <c r="J58" s="357">
        <v>1.0437161163134547</v>
      </c>
      <c r="K58" s="353" t="s">
        <v>229</v>
      </c>
      <c r="L58" s="423" t="s">
        <v>244</v>
      </c>
      <c r="M58" s="423"/>
      <c r="N58" s="358" t="s">
        <v>2670</v>
      </c>
      <c r="O58" s="358" t="s">
        <v>3826</v>
      </c>
      <c r="P58" s="358"/>
      <c r="Q58" s="358" t="s">
        <v>247</v>
      </c>
      <c r="R58" s="358" t="s">
        <v>247</v>
      </c>
      <c r="S58" s="358" t="s">
        <v>234</v>
      </c>
      <c r="T58" s="313" t="s">
        <v>3827</v>
      </c>
    </row>
    <row r="59" spans="1:20">
      <c r="B59" s="350" t="s">
        <v>3851</v>
      </c>
      <c r="C59" s="351"/>
      <c r="D59" s="352" t="s">
        <v>3852</v>
      </c>
      <c r="E59" s="353">
        <v>-2.272751033</v>
      </c>
      <c r="F59" s="354">
        <v>34.023176030000002</v>
      </c>
      <c r="G59" s="355">
        <v>21.96</v>
      </c>
      <c r="H59" s="356">
        <v>4.9199999999999982</v>
      </c>
      <c r="I59" s="356">
        <v>73.12</v>
      </c>
      <c r="J59" s="357">
        <v>1.2416954164613114</v>
      </c>
      <c r="K59" s="353" t="s">
        <v>229</v>
      </c>
      <c r="L59" s="423" t="s">
        <v>230</v>
      </c>
      <c r="M59" s="423"/>
      <c r="N59" s="358" t="s">
        <v>2670</v>
      </c>
      <c r="O59" s="358" t="s">
        <v>3826</v>
      </c>
      <c r="P59" s="358"/>
      <c r="Q59" s="358" t="s">
        <v>247</v>
      </c>
      <c r="R59" s="358" t="s">
        <v>247</v>
      </c>
      <c r="S59" s="358" t="s">
        <v>234</v>
      </c>
      <c r="T59" s="313" t="s">
        <v>3827</v>
      </c>
    </row>
    <row r="60" spans="1:20">
      <c r="B60" s="350" t="s">
        <v>3853</v>
      </c>
      <c r="C60" s="351"/>
      <c r="D60" s="352" t="s">
        <v>3852</v>
      </c>
      <c r="E60" s="353">
        <v>-2.2784290180000002</v>
      </c>
      <c r="F60" s="354">
        <v>34.024240030000001</v>
      </c>
      <c r="G60" s="355">
        <v>23.96</v>
      </c>
      <c r="H60" s="356">
        <v>4.9199999999999982</v>
      </c>
      <c r="I60" s="356">
        <v>71.12</v>
      </c>
      <c r="J60" s="357">
        <v>3.30913750616067</v>
      </c>
      <c r="K60" s="353" t="s">
        <v>229</v>
      </c>
      <c r="L60" s="423" t="s">
        <v>230</v>
      </c>
      <c r="M60" s="423"/>
      <c r="N60" s="358" t="s">
        <v>2670</v>
      </c>
      <c r="O60" s="358" t="s">
        <v>3826</v>
      </c>
      <c r="P60" s="358"/>
      <c r="Q60" s="358" t="s">
        <v>247</v>
      </c>
      <c r="R60" s="358" t="s">
        <v>247</v>
      </c>
      <c r="S60" s="358" t="s">
        <v>234</v>
      </c>
      <c r="T60" s="313" t="s">
        <v>3827</v>
      </c>
    </row>
    <row r="61" spans="1:20">
      <c r="B61" s="350" t="s">
        <v>3854</v>
      </c>
      <c r="C61" s="351"/>
      <c r="D61" s="352" t="s">
        <v>3852</v>
      </c>
      <c r="E61" s="353">
        <v>-2.277740026</v>
      </c>
      <c r="F61" s="354">
        <v>34.027640990000002</v>
      </c>
      <c r="G61" s="355">
        <v>25.96</v>
      </c>
      <c r="H61" s="356">
        <v>8.9200000000000017</v>
      </c>
      <c r="I61" s="356">
        <v>65.12</v>
      </c>
      <c r="J61" s="357">
        <v>1.614588467225234</v>
      </c>
      <c r="K61" s="353" t="s">
        <v>229</v>
      </c>
      <c r="L61" s="423" t="s">
        <v>230</v>
      </c>
      <c r="M61" s="423"/>
      <c r="N61" s="358" t="s">
        <v>2670</v>
      </c>
      <c r="O61" s="358" t="s">
        <v>3826</v>
      </c>
      <c r="P61" s="358"/>
      <c r="Q61" s="358" t="s">
        <v>247</v>
      </c>
      <c r="R61" s="358" t="s">
        <v>247</v>
      </c>
      <c r="S61" s="358" t="s">
        <v>234</v>
      </c>
      <c r="T61" s="313" t="s">
        <v>3827</v>
      </c>
    </row>
    <row r="62" spans="1:20">
      <c r="B62" s="350" t="s">
        <v>3855</v>
      </c>
      <c r="C62" s="351"/>
      <c r="D62" s="352" t="s">
        <v>3852</v>
      </c>
      <c r="E62" s="353">
        <v>-2.2787330300000002</v>
      </c>
      <c r="F62" s="354">
        <v>34.032136029999997</v>
      </c>
      <c r="G62" s="355">
        <v>25.96</v>
      </c>
      <c r="H62" s="356">
        <v>8.9200000000000017</v>
      </c>
      <c r="I62" s="356">
        <v>65.12</v>
      </c>
      <c r="J62" s="357">
        <v>1.6991621488417901</v>
      </c>
      <c r="K62" s="353" t="s">
        <v>229</v>
      </c>
      <c r="L62" s="423" t="s">
        <v>230</v>
      </c>
      <c r="M62" s="423"/>
      <c r="N62" s="358" t="s">
        <v>2670</v>
      </c>
      <c r="O62" s="358" t="s">
        <v>3826</v>
      </c>
      <c r="P62" s="358"/>
      <c r="Q62" s="358" t="s">
        <v>247</v>
      </c>
      <c r="R62" s="358" t="s">
        <v>247</v>
      </c>
      <c r="S62" s="358" t="s">
        <v>234</v>
      </c>
      <c r="T62" s="313" t="s">
        <v>3827</v>
      </c>
    </row>
    <row r="63" spans="1:20" ht="15" thickBot="1">
      <c r="B63" s="359" t="s">
        <v>2526</v>
      </c>
      <c r="C63" s="360"/>
      <c r="D63" s="361" t="s">
        <v>3856</v>
      </c>
      <c r="E63" s="362">
        <v>-2.439403972</v>
      </c>
      <c r="F63" s="363">
        <v>34.838404959999998</v>
      </c>
      <c r="G63" s="364">
        <v>22.017293559158162</v>
      </c>
      <c r="H63" s="365">
        <v>6.5855206693798616</v>
      </c>
      <c r="I63" s="365">
        <v>71.397185771461977</v>
      </c>
      <c r="J63" s="366">
        <v>1.1393420404139967</v>
      </c>
      <c r="K63" s="362" t="s">
        <v>229</v>
      </c>
      <c r="L63" s="367" t="s">
        <v>230</v>
      </c>
      <c r="M63" s="367"/>
      <c r="N63" s="367" t="s">
        <v>2670</v>
      </c>
      <c r="O63" s="367" t="s">
        <v>3826</v>
      </c>
      <c r="P63" s="367"/>
      <c r="Q63" s="367" t="s">
        <v>247</v>
      </c>
      <c r="R63" s="367" t="s">
        <v>247</v>
      </c>
      <c r="S63" s="367" t="s">
        <v>234</v>
      </c>
      <c r="T63" s="368" t="s">
        <v>3827</v>
      </c>
    </row>
    <row r="64" spans="1:20">
      <c r="B64" s="333" t="s">
        <v>3857</v>
      </c>
    </row>
    <row r="67" spans="2:47" ht="15" thickBot="1">
      <c r="B67" s="333" t="s">
        <v>3858</v>
      </c>
      <c r="C67" s="319"/>
      <c r="D67" s="319"/>
      <c r="E67" s="319"/>
      <c r="F67" s="369"/>
      <c r="G67" s="369"/>
      <c r="H67" s="369"/>
      <c r="I67" s="369"/>
      <c r="J67" s="319"/>
      <c r="K67" s="370"/>
      <c r="L67" s="371"/>
    </row>
    <row r="68" spans="2:47" ht="15" thickBot="1">
      <c r="B68" s="424" t="s">
        <v>21</v>
      </c>
      <c r="C68" s="425"/>
      <c r="D68" s="425"/>
      <c r="E68" s="425"/>
      <c r="F68" s="372" t="s">
        <v>3859</v>
      </c>
      <c r="G68" s="373"/>
      <c r="H68" s="373"/>
      <c r="I68" s="373"/>
      <c r="J68" s="373"/>
      <c r="K68" s="373"/>
      <c r="L68" s="374"/>
    </row>
    <row r="69" spans="2:47">
      <c r="B69" s="426" t="s">
        <v>22</v>
      </c>
      <c r="C69" s="427"/>
      <c r="D69" s="427"/>
      <c r="E69" s="427"/>
      <c r="F69" s="375" t="s">
        <v>3860</v>
      </c>
      <c r="G69" s="376"/>
      <c r="H69" s="376"/>
      <c r="I69" s="376"/>
      <c r="J69" s="376"/>
      <c r="K69" s="376"/>
      <c r="L69" s="377"/>
    </row>
    <row r="70" spans="2:47" ht="15" thickBot="1">
      <c r="B70" s="428" t="s">
        <v>25</v>
      </c>
      <c r="C70" s="429"/>
      <c r="D70" s="429"/>
      <c r="E70" s="429"/>
      <c r="F70" s="430" t="s">
        <v>3861</v>
      </c>
      <c r="G70" s="423"/>
      <c r="H70" s="423"/>
      <c r="I70" s="423"/>
      <c r="J70" s="423"/>
      <c r="K70" s="423"/>
      <c r="L70" s="423"/>
      <c r="M70" s="423"/>
      <c r="N70" s="423"/>
    </row>
    <row r="71" spans="2:47">
      <c r="B71" s="333" t="s">
        <v>3862</v>
      </c>
    </row>
    <row r="72" spans="2:47" ht="18">
      <c r="AO72" s="379"/>
    </row>
    <row r="73" spans="2:47">
      <c r="D73" s="420" t="s">
        <v>3863</v>
      </c>
      <c r="E73" s="420"/>
      <c r="F73" s="420"/>
      <c r="G73" s="420"/>
      <c r="H73" s="420"/>
    </row>
    <row r="74" spans="2:47" ht="18.600000000000001" thickBot="1">
      <c r="B74" s="380" t="s">
        <v>3864</v>
      </c>
      <c r="D74" s="421"/>
      <c r="E74" s="421"/>
      <c r="F74" s="421"/>
      <c r="G74" s="421"/>
      <c r="H74" s="421"/>
      <c r="AG74" s="422" t="s">
        <v>3865</v>
      </c>
      <c r="AH74" s="422"/>
      <c r="AI74" s="422"/>
      <c r="AJ74" s="422"/>
      <c r="AK74" s="422"/>
      <c r="AL74" s="422"/>
    </row>
    <row r="75" spans="2:47" ht="101.4" thickBot="1">
      <c r="B75" s="381" t="s">
        <v>2457</v>
      </c>
      <c r="C75" s="109" t="s">
        <v>23</v>
      </c>
      <c r="D75" s="109" t="s">
        <v>3866</v>
      </c>
      <c r="E75" s="109" t="s">
        <v>25</v>
      </c>
      <c r="F75" s="109" t="s">
        <v>26</v>
      </c>
      <c r="G75" s="382" t="s">
        <v>27</v>
      </c>
      <c r="H75" s="109" t="s">
        <v>3867</v>
      </c>
      <c r="I75" s="109" t="s">
        <v>3868</v>
      </c>
      <c r="J75" s="109" t="s">
        <v>3869</v>
      </c>
      <c r="K75" s="109" t="s">
        <v>28</v>
      </c>
      <c r="L75" s="109" t="s">
        <v>29</v>
      </c>
      <c r="M75" s="109" t="s">
        <v>3870</v>
      </c>
      <c r="N75" s="109" t="s">
        <v>3871</v>
      </c>
      <c r="O75" s="109" t="s">
        <v>30</v>
      </c>
      <c r="P75" s="109" t="s">
        <v>3886</v>
      </c>
      <c r="Q75" s="109" t="s">
        <v>3873</v>
      </c>
      <c r="R75" s="382" t="s">
        <v>31</v>
      </c>
      <c r="S75" s="109" t="s">
        <v>3874</v>
      </c>
      <c r="T75" s="109" t="s">
        <v>3875</v>
      </c>
      <c r="U75" s="109" t="s">
        <v>34</v>
      </c>
      <c r="V75" s="109" t="s">
        <v>35</v>
      </c>
      <c r="W75" s="109" t="s">
        <v>3876</v>
      </c>
      <c r="X75" s="109" t="s">
        <v>3877</v>
      </c>
      <c r="Y75" s="109" t="s">
        <v>3878</v>
      </c>
      <c r="Z75" s="109" t="s">
        <v>3879</v>
      </c>
      <c r="AA75" s="109" t="s">
        <v>3880</v>
      </c>
      <c r="AB75" s="109" t="s">
        <v>288</v>
      </c>
      <c r="AC75" s="109" t="s">
        <v>291</v>
      </c>
      <c r="AD75" s="109" t="s">
        <v>292</v>
      </c>
      <c r="AE75" s="109" t="s">
        <v>40</v>
      </c>
      <c r="AF75" s="383" t="s">
        <v>41</v>
      </c>
      <c r="AG75" s="384" t="s">
        <v>3888</v>
      </c>
      <c r="AH75" s="384" t="s">
        <v>3881</v>
      </c>
      <c r="AI75" s="384" t="s">
        <v>3882</v>
      </c>
      <c r="AJ75" s="384" t="s">
        <v>3887</v>
      </c>
      <c r="AK75" s="384" t="s">
        <v>3883</v>
      </c>
      <c r="AL75" s="385" t="s">
        <v>3884</v>
      </c>
      <c r="AR75" s="446" t="s">
        <v>3565</v>
      </c>
      <c r="AS75" s="446"/>
      <c r="AT75" s="446"/>
      <c r="AU75" s="446"/>
    </row>
    <row r="76" spans="2:47">
      <c r="B76" t="str">
        <f>'Final data_for_R_analysis_Dryse'!A2</f>
        <v>Dry</v>
      </c>
      <c r="C76" s="263">
        <f>'Final data_for_R_analysis_Dryse'!B2</f>
        <v>1</v>
      </c>
      <c r="D76" t="s">
        <v>3824</v>
      </c>
      <c r="E76" t="s">
        <v>22</v>
      </c>
      <c r="F76" s="386">
        <v>1</v>
      </c>
      <c r="G76" s="16">
        <f>'Dry_Litterbag Placem_Collection'!E3</f>
        <v>42938</v>
      </c>
      <c r="H76" t="str">
        <f>'Final data_for_R_analysis_Dryse'!J2</f>
        <v>G407</v>
      </c>
      <c r="I76" t="str">
        <f>'Final data_for_R_analysis_Dryse'!J222</f>
        <v>R811</v>
      </c>
      <c r="J76">
        <f>IFERROR(INDEX('Green_rooibos initial weight'!$C$5:$C$1749,MATCH(H76, 'Green_rooibos initial weight'!$A$5:$A$1749,0)),"")</f>
        <v>1.966</v>
      </c>
      <c r="K76">
        <f>IFERROR(INDEX('Green_rooibos initial weight'!$C$5:$C$1749,MATCH(I76, 'Green_rooibos initial weight'!$A$5:$A$1749,0)),"")</f>
        <v>2.226</v>
      </c>
      <c r="L76" s="195">
        <f>IFERROR(IF(J76&gt;0,(J76*$F$31-($F$29+$F$30)),""),"")</f>
        <v>1.7161999999999999</v>
      </c>
      <c r="M76" s="240">
        <f>AVERAGE(Ashed_controlls!$K$1:$K$11)</f>
        <v>5.5147656768714146</v>
      </c>
      <c r="N76" s="195">
        <f t="shared" ref="N76:N139" si="0">IFERROR(L76-(M76/100)*L76,"")</f>
        <v>1.6215555914535327</v>
      </c>
      <c r="O76" s="195">
        <f>IFERROR(IF(K76&gt;0,(K76*$F$32-($F$29+$F$30)),""),"")</f>
        <v>1.9762</v>
      </c>
      <c r="P76" s="240">
        <f>AVERAGE(Ashed_controlls!$K$12:$K$14)</f>
        <v>2.2816647271287041</v>
      </c>
      <c r="Q76" s="195">
        <f t="shared" ref="Q76:Q139" si="1">IFERROR(O76-(P76/100)*O76,"")</f>
        <v>1.9311097416624825</v>
      </c>
      <c r="R76" s="16">
        <f>IF('Dry_Litterbag Placem_Collection'!G3="N.A","",'Dry_Litterbag Placem_Collection'!G3)</f>
        <v>43007</v>
      </c>
      <c r="S76" s="195">
        <f>IF(IFERROR(INDEX('Both teabags AfterDry'!$D$1:$D$839,MATCH(H76,'Both teabags AfterDry'!$A$1:$A$839,0)),"")="N.A","",(IFERROR(INDEX('Both teabags AfterDry'!$D$1:$D$839,MATCH(H76,'Both teabags AfterDry'!$A$1:$A$839,0)),"")))</f>
        <v>1.278</v>
      </c>
      <c r="T76" s="195">
        <f>IF(IFERROR(INDEX('Both teabags AfterDry'!$D$1:$D$839,MATCH(I76,'Both teabags AfterDry'!$A$1:$A$839,0)),"")="N.A","",(IFERROR(INDEX('Both teabags AfterDry'!$D$1:$D$839,MATCH(I76,'Both teabags AfterDry'!$A$1:$A$839,0)),"")))</f>
        <v>1.8292999999999999</v>
      </c>
      <c r="U76" s="195">
        <f>IFERROR(IF(S76&gt;0,S76-($F$29),""),"")</f>
        <v>1.1274</v>
      </c>
      <c r="V76" s="195">
        <f>IFERROR(IF(T76&gt;0,T76-($F$29),""),"")</f>
        <v>1.6786999999999999</v>
      </c>
      <c r="W76" s="195">
        <f>IFERROR(INDEX('Ashed teabags dry'!$K$2:$K$821,MATCH(H76,'Ashed teabags dry'!$A$2:$A$821,0)),"")</f>
        <v>21.67931688804563</v>
      </c>
      <c r="X76" s="195">
        <f>IFERROR(INDEX('Ashed teabags dry'!$K$2:$K$821,MATCH(I76,'Ashed teabags dry'!$A$2:$A$821,0)),"")</f>
        <v>3.9233576642330181</v>
      </c>
      <c r="Y76" s="195">
        <f t="shared" ref="Y76:Z139" si="2">IFERROR(U76-(W76/100)*U76,"")</f>
        <v>0.88298738140417354</v>
      </c>
      <c r="Z76" s="195">
        <f t="shared" si="2"/>
        <v>1.6128385948905202</v>
      </c>
      <c r="AA76" s="195">
        <f>IFERROR(1-Y76/N76,"")</f>
        <v>0.45546894225644163</v>
      </c>
      <c r="AB76" s="195">
        <f>IFERROR($F$26*(1-AE76),"")</f>
        <v>0.29859721630113517</v>
      </c>
      <c r="AC76" s="195">
        <f t="shared" ref="AC76:AC139" si="3">IFERROR(Z76/Q76,"")</f>
        <v>0.83518743657832495</v>
      </c>
      <c r="AD76">
        <f t="shared" ref="AD76:AD139" si="4">IF((R76-G76)&gt;0,(IFERROR(R76-G76,"")),"")</f>
        <v>69</v>
      </c>
      <c r="AE76" s="195">
        <f>IFERROR(1-(AA76/$F$25),"")</f>
        <v>0.45906301394721893</v>
      </c>
      <c r="AF76" s="195">
        <f>IFERROR(LN(AB76/(AC76-(1-AB76)))/AD76,"")</f>
        <v>1.1635711933221597E-2</v>
      </c>
      <c r="AG76" s="255" t="str">
        <f>IF(ISNUMBER(SEARCH("C", 'Dry_Litterbag Placem_Collection'!AB3)),"YES","NO")</f>
        <v>NO</v>
      </c>
      <c r="AH76" s="255" t="str">
        <f>IF(ISNUMBER(SEARCH("H", 'Dry_Litterbag Placem_Collection'!AB3)),"YES","NO")</f>
        <v>NO</v>
      </c>
      <c r="AI76" s="255" t="str">
        <f>IF(ISNUMBER(SEARCH("R", 'Dry_Litterbag Placem_Collection'!AB3)),"YES","NO")</f>
        <v>NO</v>
      </c>
      <c r="AJ76" s="255" t="str">
        <f>IF(ISNUMBER(SEARCH("C", 'Dry_Litterbag Placem_Collection'!AA3)),"YES","NO")</f>
        <v>NO</v>
      </c>
      <c r="AK76" s="255" t="str">
        <f>IF(ISNUMBER(SEARCH("H", 'Dry_Litterbag Placem_Collection'!AA3)),"YES","NO")</f>
        <v>NO</v>
      </c>
      <c r="AL76" s="255" t="str">
        <f>IF(ISNUMBER(SEARCH("R", 'Dry_Litterbag Placem_Collection'!AA3)),"YES","NO")</f>
        <v>NO</v>
      </c>
      <c r="AR76" t="s">
        <v>1643</v>
      </c>
      <c r="AT76" t="s">
        <v>328</v>
      </c>
    </row>
    <row r="77" spans="2:47">
      <c r="B77" t="str">
        <f>'Final data_for_R_analysis_Dryse'!A3</f>
        <v>Dry</v>
      </c>
      <c r="C77" s="263">
        <f>'Final data_for_R_analysis_Dryse'!B3</f>
        <v>2</v>
      </c>
      <c r="D77" t="s">
        <v>3824</v>
      </c>
      <c r="E77" t="s">
        <v>22</v>
      </c>
      <c r="F77" s="386">
        <v>2</v>
      </c>
      <c r="G77" s="16">
        <f>'Dry_Litterbag Placem_Collection'!E4</f>
        <v>0</v>
      </c>
      <c r="H77" t="str">
        <f>'Final data_for_R_analysis_Dryse'!J3</f>
        <v/>
      </c>
      <c r="I77" t="str">
        <f>'Final data_for_R_analysis_Dryse'!J223</f>
        <v/>
      </c>
      <c r="J77" t="str">
        <f>IFERROR(INDEX('Green_rooibos initial weight'!$C$5:$C$1749,MATCH(H77, 'Green_rooibos initial weight'!$A$5:$A$1749,0)),"")</f>
        <v/>
      </c>
      <c r="K77" t="str">
        <f>IFERROR(INDEX('Green_rooibos initial weight'!$C$5:$C$1749,MATCH(I77, 'Green_rooibos initial weight'!$A$5:$A$1749,0)),"")</f>
        <v/>
      </c>
      <c r="L77" s="195" t="str">
        <f t="shared" ref="L77:L140" si="5">IFERROR(IF(J77&gt;0,(J77*$F$31-($F$29+$F$30)),""),"")</f>
        <v/>
      </c>
      <c r="M77" s="240">
        <f>AVERAGE(Ashed_controlls!$K$1:$K$11)</f>
        <v>5.5147656768714146</v>
      </c>
      <c r="N77" s="195" t="str">
        <f t="shared" si="0"/>
        <v/>
      </c>
      <c r="O77" s="195" t="str">
        <f t="shared" ref="O77:O140" si="6">IFERROR(IF(K77&gt;0,(K77*$F$32-($F$29+$F$30)),""),"")</f>
        <v/>
      </c>
      <c r="P77" s="240">
        <f>AVERAGE(Ashed_controlls!$K$12:$K$14)</f>
        <v>2.2816647271287041</v>
      </c>
      <c r="Q77" s="195" t="str">
        <f t="shared" si="1"/>
        <v/>
      </c>
      <c r="R77" s="16">
        <f>IF('Dry_Litterbag Placem_Collection'!G4="N.A","",'Dry_Litterbag Placem_Collection'!G4)</f>
        <v>0</v>
      </c>
      <c r="S77" s="195" t="str">
        <f>IF(IFERROR(INDEX('Both teabags AfterDry'!$D$1:$D$839,MATCH(H77,'Both teabags AfterDry'!$A$1:$A$839,0)),"")="N.A","",(IFERROR(INDEX('Both teabags AfterDry'!$D$1:$D$839,MATCH(H77,'Both teabags AfterDry'!$A$1:$A$839,0)),"")))</f>
        <v/>
      </c>
      <c r="T77" s="195" t="str">
        <f>IF(IFERROR(INDEX('Both teabags AfterDry'!$D$1:$D$839,MATCH(I77,'Both teabags AfterDry'!$A$1:$A$839,0)),"")="N.A","",(IFERROR(INDEX('Both teabags AfterDry'!$D$1:$D$839,MATCH(I77,'Both teabags AfterDry'!$A$1:$A$839,0)),"")))</f>
        <v/>
      </c>
      <c r="U77" s="195" t="str">
        <f t="shared" ref="U77:V140" si="7">IFERROR(IF(S77&gt;0,S77-($F$29),""),"")</f>
        <v/>
      </c>
      <c r="V77" s="195" t="str">
        <f t="shared" si="7"/>
        <v/>
      </c>
      <c r="W77" s="195" t="str">
        <f>IFERROR(INDEX('Ashed teabags dry'!$K$2:$K$821,MATCH(H77,'Ashed teabags dry'!$A$2:$A$821,0)),"")</f>
        <v/>
      </c>
      <c r="X77" s="195" t="str">
        <f>IFERROR(INDEX('Ashed teabags dry'!$K$2:$K$821,MATCH(I77,'Ashed teabags dry'!$A$2:$A$821,0)),"")</f>
        <v/>
      </c>
      <c r="Y77" s="195" t="str">
        <f t="shared" si="2"/>
        <v/>
      </c>
      <c r="Z77" s="195" t="str">
        <f t="shared" si="2"/>
        <v/>
      </c>
      <c r="AA77" s="195" t="str">
        <f t="shared" ref="AA77:AA140" si="8">IFERROR(1-Y77/N77,"")</f>
        <v/>
      </c>
      <c r="AB77" s="195" t="str">
        <f t="shared" ref="AB77:AB140" si="9">IFERROR($F$26*(1-AE77),"")</f>
        <v/>
      </c>
      <c r="AC77" s="195" t="str">
        <f t="shared" si="3"/>
        <v/>
      </c>
      <c r="AD77" t="str">
        <f t="shared" si="4"/>
        <v/>
      </c>
      <c r="AE77" s="195" t="str">
        <f t="shared" ref="AE77:AE140" si="10">IFERROR(1-(AA77/$F$25),"")</f>
        <v/>
      </c>
      <c r="AF77" s="195" t="str">
        <f t="shared" ref="AF77:AF140" si="11">IFERROR(LN(AB77/(AC77-(1-AB77)))/AD77,"")</f>
        <v/>
      </c>
      <c r="AG77" s="255" t="str">
        <f>IF(ISNUMBER(SEARCH("C", 'Dry_Litterbag Placem_Collection'!AB4)),"YES","NO")</f>
        <v>NO</v>
      </c>
      <c r="AH77" s="255" t="str">
        <f>IF(ISNUMBER(SEARCH("H", 'Dry_Litterbag Placem_Collection'!AB4)),"YES","NO")</f>
        <v>NO</v>
      </c>
      <c r="AI77" s="255" t="str">
        <f>IF(ISNUMBER(SEARCH("R", 'Dry_Litterbag Placem_Collection'!AB4)),"YES","NO")</f>
        <v>NO</v>
      </c>
      <c r="AJ77" s="255" t="str">
        <f>IF(ISNUMBER(SEARCH("C", 'Dry_Litterbag Placem_Collection'!AA4)),"YES","NO")</f>
        <v>NO</v>
      </c>
      <c r="AK77" s="255" t="str">
        <f>IF(ISNUMBER(SEARCH("H", 'Dry_Litterbag Placem_Collection'!AA4)),"YES","NO")</f>
        <v>NO</v>
      </c>
      <c r="AL77" s="255" t="str">
        <f>IF(ISNUMBER(SEARCH("R", 'Dry_Litterbag Placem_Collection'!AA4)),"YES","NO")</f>
        <v>NO</v>
      </c>
      <c r="AR77" t="s">
        <v>3654</v>
      </c>
      <c r="AT77" t="s">
        <v>3654</v>
      </c>
    </row>
    <row r="78" spans="2:47">
      <c r="B78" t="str">
        <f>'Final data_for_R_analysis_Dryse'!A4</f>
        <v>Dry</v>
      </c>
      <c r="C78" s="263">
        <f>'Final data_for_R_analysis_Dryse'!B4</f>
        <v>3</v>
      </c>
      <c r="D78" t="s">
        <v>3824</v>
      </c>
      <c r="E78" t="s">
        <v>22</v>
      </c>
      <c r="F78" s="386">
        <v>3</v>
      </c>
      <c r="G78" s="16">
        <f>'Dry_Litterbag Placem_Collection'!E5</f>
        <v>42938</v>
      </c>
      <c r="H78" t="str">
        <f>'Final data_for_R_analysis_Dryse'!J4</f>
        <v>G259</v>
      </c>
      <c r="I78" t="str">
        <f>'Final data_for_R_analysis_Dryse'!J224</f>
        <v>R742</v>
      </c>
      <c r="J78">
        <f>IFERROR(INDEX('Green_rooibos initial weight'!$C$5:$C$1749,MATCH(H78, 'Green_rooibos initial weight'!$A$5:$A$1749,0)),"")</f>
        <v>1.913</v>
      </c>
      <c r="K78">
        <f>IFERROR(INDEX('Green_rooibos initial weight'!$C$5:$C$1749,MATCH(I78, 'Green_rooibos initial weight'!$A$5:$A$1749,0)),"")</f>
        <v>2.1259999999999999</v>
      </c>
      <c r="L78" s="195">
        <f t="shared" si="5"/>
        <v>1.6632</v>
      </c>
      <c r="M78" s="240">
        <f>AVERAGE(Ashed_controlls!$K$1:$K$11)</f>
        <v>5.5147656768714146</v>
      </c>
      <c r="N78" s="195">
        <f t="shared" si="0"/>
        <v>1.5714784172622747</v>
      </c>
      <c r="O78" s="195">
        <f t="shared" si="6"/>
        <v>1.8761999999999999</v>
      </c>
      <c r="P78" s="240">
        <f>AVERAGE(Ashed_controlls!$K$12:$K$14)</f>
        <v>2.2816647271287041</v>
      </c>
      <c r="Q78" s="195">
        <f t="shared" si="1"/>
        <v>1.8333914063896111</v>
      </c>
      <c r="R78" s="16">
        <f>IF('Dry_Litterbag Placem_Collection'!G5="N.A","",'Dry_Litterbag Placem_Collection'!G5)</f>
        <v>43007</v>
      </c>
      <c r="S78" s="195">
        <f>IF(IFERROR(INDEX('Both teabags AfterDry'!$D$1:$D$839,MATCH(H78,'Both teabags AfterDry'!$A$1:$A$839,0)),"")="N.A","",(IFERROR(INDEX('Both teabags AfterDry'!$D$1:$D$839,MATCH(H78,'Both teabags AfterDry'!$A$1:$A$839,0)),"")))</f>
        <v>1.5964</v>
      </c>
      <c r="T78" s="195">
        <f>IF(IFERROR(INDEX('Both teabags AfterDry'!$D$1:$D$839,MATCH(I78,'Both teabags AfterDry'!$A$1:$A$839,0)),"")="N.A","",(IFERROR(INDEX('Both teabags AfterDry'!$D$1:$D$839,MATCH(I78,'Both teabags AfterDry'!$A$1:$A$839,0)),"")))</f>
        <v>1.8767</v>
      </c>
      <c r="U78" s="195">
        <f t="shared" si="7"/>
        <v>1.4458</v>
      </c>
      <c r="V78" s="195">
        <f t="shared" si="7"/>
        <v>1.7261</v>
      </c>
      <c r="W78" s="195">
        <f>IFERROR(INDEX('Ashed teabags dry'!$K$2:$K$821,MATCH(H78,'Ashed teabags dry'!$A$2:$A$821,0)),"")</f>
        <v>10.613993336505917</v>
      </c>
      <c r="X78" s="195">
        <f>IFERROR(INDEX('Ashed teabags dry'!$K$2:$K$821,MATCH(I78,'Ashed teabags dry'!$A$2:$A$821,0)),"")</f>
        <v>2.7142857142857459</v>
      </c>
      <c r="Y78" s="195">
        <f t="shared" si="2"/>
        <v>1.2923428843407974</v>
      </c>
      <c r="Z78" s="195">
        <f t="shared" si="2"/>
        <v>1.6792487142857138</v>
      </c>
      <c r="AA78" s="195">
        <f t="shared" si="8"/>
        <v>0.17762606845582307</v>
      </c>
      <c r="AB78" s="195">
        <f t="shared" si="9"/>
        <v>0.11644844392828307</v>
      </c>
      <c r="AC78" s="195">
        <f t="shared" si="3"/>
        <v>0.91592483112624523</v>
      </c>
      <c r="AD78">
        <f t="shared" si="4"/>
        <v>69</v>
      </c>
      <c r="AE78" s="195">
        <f t="shared" si="10"/>
        <v>0.78904267404296546</v>
      </c>
      <c r="AF78" s="195">
        <f t="shared" si="11"/>
        <v>1.8552397032406274E-2</v>
      </c>
      <c r="AG78" s="255" t="str">
        <f>IF(ISNUMBER(SEARCH("C", 'Dry_Litterbag Placem_Collection'!AB5)),"YES","NO")</f>
        <v>NO</v>
      </c>
      <c r="AH78" s="255" t="str">
        <f>IF(ISNUMBER(SEARCH("H", 'Dry_Litterbag Placem_Collection'!AB5)),"YES","NO")</f>
        <v>NO</v>
      </c>
      <c r="AI78" s="255" t="str">
        <f>IF(ISNUMBER(SEARCH("R", 'Dry_Litterbag Placem_Collection'!AB5)),"YES","NO")</f>
        <v>NO</v>
      </c>
      <c r="AJ78" s="255" t="str">
        <f>IF(ISNUMBER(SEARCH("C", 'Dry_Litterbag Placem_Collection'!AA5)),"YES","NO")</f>
        <v>NO</v>
      </c>
      <c r="AK78" s="255" t="str">
        <f>IF(ISNUMBER(SEARCH("H", 'Dry_Litterbag Placem_Collection'!AA5)),"YES","NO")</f>
        <v>NO</v>
      </c>
      <c r="AL78" s="255" t="str">
        <f>IF(ISNUMBER(SEARCH("R", 'Dry_Litterbag Placem_Collection'!AA5)),"YES","NO")</f>
        <v>NO</v>
      </c>
      <c r="AR78" t="s">
        <v>1791</v>
      </c>
      <c r="AT78" t="s">
        <v>397</v>
      </c>
    </row>
    <row r="79" spans="2:47">
      <c r="B79" t="str">
        <f>'Final data_for_R_analysis_Dryse'!A5</f>
        <v>Dry</v>
      </c>
      <c r="C79" s="263">
        <f>'Final data_for_R_analysis_Dryse'!B5</f>
        <v>4</v>
      </c>
      <c r="D79" t="s">
        <v>3824</v>
      </c>
      <c r="E79" t="s">
        <v>22</v>
      </c>
      <c r="F79" s="387">
        <v>4</v>
      </c>
      <c r="G79" s="16">
        <f>'Dry_Litterbag Placem_Collection'!E6</f>
        <v>42938</v>
      </c>
      <c r="H79" t="str">
        <f>'Final data_for_R_analysis_Dryse'!J5</f>
        <v>G255</v>
      </c>
      <c r="I79" t="str">
        <f>'Final data_for_R_analysis_Dryse'!J225</f>
        <v>R661</v>
      </c>
      <c r="J79">
        <f>IFERROR(INDEX('Green_rooibos initial weight'!$C$5:$C$1749,MATCH(H79, 'Green_rooibos initial weight'!$A$5:$A$1749,0)),"")</f>
        <v>2.0310000000000001</v>
      </c>
      <c r="K79">
        <f>IFERROR(INDEX('Green_rooibos initial weight'!$C$5:$C$1749,MATCH(I79, 'Green_rooibos initial weight'!$A$5:$A$1749,0)),"")</f>
        <v>2.1629999999999998</v>
      </c>
      <c r="L79" s="195">
        <f t="shared" si="5"/>
        <v>1.7812000000000001</v>
      </c>
      <c r="M79" s="240">
        <f>AVERAGE(Ashed_controlls!$K$1:$K$11)</f>
        <v>5.5147656768714146</v>
      </c>
      <c r="N79" s="195">
        <f t="shared" si="0"/>
        <v>1.6829709937635664</v>
      </c>
      <c r="O79" s="195">
        <f t="shared" si="6"/>
        <v>1.9131999999999998</v>
      </c>
      <c r="P79" s="240">
        <f>AVERAGE(Ashed_controlls!$K$12:$K$14)</f>
        <v>2.2816647271287041</v>
      </c>
      <c r="Q79" s="195">
        <f t="shared" si="1"/>
        <v>1.8695471904405734</v>
      </c>
      <c r="R79" s="16">
        <f>IF('Dry_Litterbag Placem_Collection'!G6="N.A","",'Dry_Litterbag Placem_Collection'!G6)</f>
        <v>43007</v>
      </c>
      <c r="S79" s="195">
        <f>IF(IFERROR(INDEX('Both teabags AfterDry'!$D$1:$D$839,MATCH(H79,'Both teabags AfterDry'!$A$1:$A$839,0)),"")="N.A","",(IFERROR(INDEX('Both teabags AfterDry'!$D$1:$D$839,MATCH(H79,'Both teabags AfterDry'!$A$1:$A$839,0)),"")))</f>
        <v>1.6215999999999999</v>
      </c>
      <c r="T79" s="195">
        <f>IF(IFERROR(INDEX('Both teabags AfterDry'!$D$1:$D$839,MATCH(I79,'Both teabags AfterDry'!$A$1:$A$839,0)),"")="N.A","",(IFERROR(INDEX('Both teabags AfterDry'!$D$1:$D$839,MATCH(I79,'Both teabags AfterDry'!$A$1:$A$839,0)),"")))</f>
        <v>1.837</v>
      </c>
      <c r="U79" s="195">
        <f t="shared" si="7"/>
        <v>1.4709999999999999</v>
      </c>
      <c r="V79" s="195">
        <f t="shared" si="7"/>
        <v>1.6863999999999999</v>
      </c>
      <c r="W79" s="195">
        <f>IFERROR(INDEX('Ashed teabags dry'!$K$2:$K$821,MATCH(H79,'Ashed teabags dry'!$A$2:$A$821,0)),"")</f>
        <v>8.5846867749423765</v>
      </c>
      <c r="X79" s="195">
        <f>IFERROR(INDEX('Ashed teabags dry'!$K$2:$K$821,MATCH(I79,'Ashed teabags dry'!$A$2:$A$821,0)),"")</f>
        <v>2.5594149908590014</v>
      </c>
      <c r="Y79" s="195">
        <f t="shared" si="2"/>
        <v>1.3447192575405975</v>
      </c>
      <c r="Z79" s="195">
        <f t="shared" si="2"/>
        <v>1.6432380255941537</v>
      </c>
      <c r="AA79" s="195">
        <f t="shared" si="8"/>
        <v>0.20098488772319767</v>
      </c>
      <c r="AB79" s="195">
        <f t="shared" si="9"/>
        <v>0.13176206416057618</v>
      </c>
      <c r="AC79" s="195">
        <f t="shared" si="3"/>
        <v>0.8789497446207345</v>
      </c>
      <c r="AD79">
        <f t="shared" si="4"/>
        <v>69</v>
      </c>
      <c r="AE79" s="195">
        <f t="shared" si="10"/>
        <v>0.76130060840475333</v>
      </c>
      <c r="AF79" s="195">
        <f t="shared" si="11"/>
        <v>3.6371753542998125E-2</v>
      </c>
      <c r="AG79" s="255" t="str">
        <f>IF(ISNUMBER(SEARCH("C", 'Dry_Litterbag Placem_Collection'!AB6)),"YES","NO")</f>
        <v>NO</v>
      </c>
      <c r="AH79" s="255" t="str">
        <f>IF(ISNUMBER(SEARCH("H", 'Dry_Litterbag Placem_Collection'!AB6)),"YES","NO")</f>
        <v>NO</v>
      </c>
      <c r="AI79" s="255" t="str">
        <f>IF(ISNUMBER(SEARCH("R", 'Dry_Litterbag Placem_Collection'!AB6)),"YES","NO")</f>
        <v>NO</v>
      </c>
      <c r="AJ79" s="255" t="str">
        <f>IF(ISNUMBER(SEARCH("C", 'Dry_Litterbag Placem_Collection'!AA6)),"YES","NO")</f>
        <v>NO</v>
      </c>
      <c r="AK79" s="255" t="str">
        <f>IF(ISNUMBER(SEARCH("H", 'Dry_Litterbag Placem_Collection'!AA6)),"YES","NO")</f>
        <v>NO</v>
      </c>
      <c r="AL79" s="255" t="str">
        <f>IF(ISNUMBER(SEARCH("R", 'Dry_Litterbag Placem_Collection'!AA6)),"YES","NO")</f>
        <v>NO</v>
      </c>
      <c r="AR79" t="s">
        <v>1795</v>
      </c>
      <c r="AT79" t="s">
        <v>478</v>
      </c>
    </row>
    <row r="80" spans="2:47">
      <c r="B80" t="str">
        <f>'Final data_for_R_analysis_Dryse'!A6</f>
        <v>Dry</v>
      </c>
      <c r="C80" s="263">
        <f>'Final data_for_R_analysis_Dryse'!B6</f>
        <v>5</v>
      </c>
      <c r="D80" t="s">
        <v>3824</v>
      </c>
      <c r="E80" t="s">
        <v>22</v>
      </c>
      <c r="F80" s="387">
        <v>5</v>
      </c>
      <c r="G80" s="16">
        <f>'Dry_Litterbag Placem_Collection'!E7</f>
        <v>42938</v>
      </c>
      <c r="H80" t="str">
        <f>'Final data_for_R_analysis_Dryse'!J6</f>
        <v>G122</v>
      </c>
      <c r="I80" t="str">
        <f>'Final data_for_R_analysis_Dryse'!J226</f>
        <v>R724</v>
      </c>
      <c r="J80">
        <f>IFERROR(INDEX('Green_rooibos initial weight'!$C$5:$C$1749,MATCH(H80, 'Green_rooibos initial weight'!$A$5:$A$1749,0)),"")</f>
        <v>1.95</v>
      </c>
      <c r="K80">
        <f>IFERROR(INDEX('Green_rooibos initial weight'!$C$5:$C$1749,MATCH(I80, 'Green_rooibos initial weight'!$A$5:$A$1749,0)),"")</f>
        <v>2.149</v>
      </c>
      <c r="L80" s="195">
        <f t="shared" si="5"/>
        <v>1.7001999999999999</v>
      </c>
      <c r="M80" s="240">
        <f>AVERAGE(Ashed_controlls!$K$1:$K$11)</f>
        <v>5.5147656768714146</v>
      </c>
      <c r="N80" s="195">
        <f t="shared" si="0"/>
        <v>1.6064379539618321</v>
      </c>
      <c r="O80" s="195">
        <f t="shared" si="6"/>
        <v>1.8992</v>
      </c>
      <c r="P80" s="240">
        <f>AVERAGE(Ashed_controlls!$K$12:$K$14)</f>
        <v>2.2816647271287041</v>
      </c>
      <c r="Q80" s="195">
        <f t="shared" si="1"/>
        <v>1.8558666235023717</v>
      </c>
      <c r="R80" s="16">
        <f>IF('Dry_Litterbag Placem_Collection'!G7="N.A","",'Dry_Litterbag Placem_Collection'!G7)</f>
        <v>0</v>
      </c>
      <c r="S80" s="195" t="str">
        <f>IF(IFERROR(INDEX('Both teabags AfterDry'!$D$1:$D$839,MATCH(H80,'Both teabags AfterDry'!$A$1:$A$839,0)),"")="N.A","",(IFERROR(INDEX('Both teabags AfterDry'!$D$1:$D$839,MATCH(H80,'Both teabags AfterDry'!$A$1:$A$839,0)),"")))</f>
        <v/>
      </c>
      <c r="T80" s="195" t="str">
        <f>IF(IFERROR(INDEX('Both teabags AfterDry'!$D$1:$D$839,MATCH(I80,'Both teabags AfterDry'!$A$1:$A$839,0)),"")="N.A","",(IFERROR(INDEX('Both teabags AfterDry'!$D$1:$D$839,MATCH(I80,'Both teabags AfterDry'!$A$1:$A$839,0)),"")))</f>
        <v/>
      </c>
      <c r="U80" s="195" t="str">
        <f t="shared" si="7"/>
        <v/>
      </c>
      <c r="V80" s="195" t="str">
        <f t="shared" si="7"/>
        <v/>
      </c>
      <c r="W80" s="195" t="str">
        <f>IFERROR(INDEX('Ashed teabags dry'!$K$2:$K$821,MATCH(H80,'Ashed teabags dry'!$A$2:$A$821,0)),"")</f>
        <v/>
      </c>
      <c r="X80" s="195" t="str">
        <f>IFERROR(INDEX('Ashed teabags dry'!$K$2:$K$821,MATCH(I80,'Ashed teabags dry'!$A$2:$A$821,0)),"")</f>
        <v/>
      </c>
      <c r="Y80" s="195" t="str">
        <f t="shared" si="2"/>
        <v/>
      </c>
      <c r="Z80" s="195" t="str">
        <f t="shared" si="2"/>
        <v/>
      </c>
      <c r="AA80" s="195" t="str">
        <f t="shared" si="8"/>
        <v/>
      </c>
      <c r="AB80" s="195" t="str">
        <f t="shared" si="9"/>
        <v/>
      </c>
      <c r="AC80" s="195" t="str">
        <f t="shared" si="3"/>
        <v/>
      </c>
      <c r="AD80" t="str">
        <f t="shared" si="4"/>
        <v/>
      </c>
      <c r="AE80" s="195" t="str">
        <f t="shared" si="10"/>
        <v/>
      </c>
      <c r="AF80" s="195" t="str">
        <f t="shared" si="11"/>
        <v/>
      </c>
      <c r="AG80" s="255" t="str">
        <f>IF(ISNUMBER(SEARCH("C", 'Dry_Litterbag Placem_Collection'!AB7)),"YES","NO")</f>
        <v>NO</v>
      </c>
      <c r="AH80" s="255" t="str">
        <f>IF(ISNUMBER(SEARCH("H", 'Dry_Litterbag Placem_Collection'!AB7)),"YES","NO")</f>
        <v>NO</v>
      </c>
      <c r="AI80" s="255" t="str">
        <f>IF(ISNUMBER(SEARCH("R", 'Dry_Litterbag Placem_Collection'!AB7)),"YES","NO")</f>
        <v>NO</v>
      </c>
      <c r="AJ80" s="255" t="str">
        <f>IF(ISNUMBER(SEARCH("C", 'Dry_Litterbag Placem_Collection'!AA7)),"YES","NO")</f>
        <v>NO</v>
      </c>
      <c r="AK80" s="255" t="str">
        <f>IF(ISNUMBER(SEARCH("H", 'Dry_Litterbag Placem_Collection'!AA7)),"YES","NO")</f>
        <v>NO</v>
      </c>
      <c r="AL80" s="255" t="str">
        <f>IF(ISNUMBER(SEARCH("R", 'Dry_Litterbag Placem_Collection'!AA7)),"YES","NO")</f>
        <v>NO</v>
      </c>
      <c r="AR80" t="s">
        <v>1928</v>
      </c>
      <c r="AT80" t="s">
        <v>415</v>
      </c>
    </row>
    <row r="81" spans="2:46">
      <c r="B81" t="str">
        <f>'Final data_for_R_analysis_Dryse'!A7</f>
        <v>Dry</v>
      </c>
      <c r="C81" s="263">
        <f>'Final data_for_R_analysis_Dryse'!B7</f>
        <v>6</v>
      </c>
      <c r="D81" t="s">
        <v>3824</v>
      </c>
      <c r="E81" t="s">
        <v>22</v>
      </c>
      <c r="F81" s="387">
        <v>6</v>
      </c>
      <c r="G81" s="16">
        <f>'Dry_Litterbag Placem_Collection'!E8</f>
        <v>42938</v>
      </c>
      <c r="H81" t="str">
        <f>'Final data_for_R_analysis_Dryse'!J7</f>
        <v>G478</v>
      </c>
      <c r="I81" t="str">
        <f>'Final data_for_R_analysis_Dryse'!J227</f>
        <v>R688</v>
      </c>
      <c r="J81">
        <f>IFERROR(INDEX('Green_rooibos initial weight'!$C$5:$C$1749,MATCH(H81, 'Green_rooibos initial weight'!$A$5:$A$1749,0)),"")</f>
        <v>2.056</v>
      </c>
      <c r="K81">
        <f>IFERROR(INDEX('Green_rooibos initial weight'!$C$5:$C$1749,MATCH(I81, 'Green_rooibos initial weight'!$A$5:$A$1749,0)),"")</f>
        <v>2.1709999999999998</v>
      </c>
      <c r="L81" s="195">
        <f t="shared" si="5"/>
        <v>1.8062</v>
      </c>
      <c r="M81" s="240">
        <f>AVERAGE(Ashed_controlls!$K$1:$K$11)</f>
        <v>5.5147656768714146</v>
      </c>
      <c r="N81" s="195">
        <f t="shared" si="0"/>
        <v>1.7065923023443486</v>
      </c>
      <c r="O81" s="195">
        <f t="shared" si="6"/>
        <v>1.9211999999999998</v>
      </c>
      <c r="P81" s="240">
        <f>AVERAGE(Ashed_controlls!$K$12:$K$14)</f>
        <v>2.2816647271287041</v>
      </c>
      <c r="Q81" s="195">
        <f t="shared" si="1"/>
        <v>1.8773646572624032</v>
      </c>
      <c r="R81" s="16">
        <f>IF('Dry_Litterbag Placem_Collection'!G8="N.A","",'Dry_Litterbag Placem_Collection'!G8)</f>
        <v>43007</v>
      </c>
      <c r="S81" s="195" t="str">
        <f>IF(IFERROR(INDEX('Both teabags AfterDry'!$D$1:$D$839,MATCH(H81,'Both teabags AfterDry'!$A$1:$A$839,0)),"")="N.A","",(IFERROR(INDEX('Both teabags AfterDry'!$D$1:$D$839,MATCH(H81,'Both teabags AfterDry'!$A$1:$A$839,0)),"")))</f>
        <v/>
      </c>
      <c r="T81" s="195" t="str">
        <f>IF(IFERROR(INDEX('Both teabags AfterDry'!$D$1:$D$839,MATCH(I81,'Both teabags AfterDry'!$A$1:$A$839,0)),"")="N.A","",(IFERROR(INDEX('Both teabags AfterDry'!$D$1:$D$839,MATCH(I81,'Both teabags AfterDry'!$A$1:$A$839,0)),"")))</f>
        <v/>
      </c>
      <c r="U81" s="195" t="str">
        <f t="shared" si="7"/>
        <v/>
      </c>
      <c r="V81" s="195" t="str">
        <f t="shared" si="7"/>
        <v/>
      </c>
      <c r="W81" s="195" t="str">
        <f>IFERROR(INDEX('Ashed teabags dry'!$K$2:$K$821,MATCH(H81,'Ashed teabags dry'!$A$2:$A$821,0)),"")</f>
        <v/>
      </c>
      <c r="X81" s="195" t="str">
        <f>IFERROR(INDEX('Ashed teabags dry'!$K$2:$K$821,MATCH(I81,'Ashed teabags dry'!$A$2:$A$821,0)),"")</f>
        <v/>
      </c>
      <c r="Y81" s="195" t="str">
        <f t="shared" si="2"/>
        <v/>
      </c>
      <c r="Z81" s="195" t="str">
        <f t="shared" si="2"/>
        <v/>
      </c>
      <c r="AA81" s="195" t="str">
        <f t="shared" si="8"/>
        <v/>
      </c>
      <c r="AB81" s="195" t="str">
        <f t="shared" si="9"/>
        <v/>
      </c>
      <c r="AC81" s="195" t="str">
        <f t="shared" si="3"/>
        <v/>
      </c>
      <c r="AD81">
        <f t="shared" si="4"/>
        <v>69</v>
      </c>
      <c r="AE81" s="195" t="str">
        <f t="shared" si="10"/>
        <v/>
      </c>
      <c r="AF81" s="195" t="str">
        <f t="shared" si="11"/>
        <v/>
      </c>
      <c r="AG81" s="255" t="str">
        <f>IF(ISNUMBER(SEARCH("C", 'Dry_Litterbag Placem_Collection'!AB8)),"YES","NO")</f>
        <v>NO</v>
      </c>
      <c r="AH81" s="255" t="str">
        <f>IF(ISNUMBER(SEARCH("H", 'Dry_Litterbag Placem_Collection'!AB8)),"YES","NO")</f>
        <v>NO</v>
      </c>
      <c r="AI81" s="255" t="str">
        <f>IF(ISNUMBER(SEARCH("R", 'Dry_Litterbag Placem_Collection'!AB8)),"YES","NO")</f>
        <v>NO</v>
      </c>
      <c r="AJ81" s="255" t="str">
        <f>IF(ISNUMBER(SEARCH("C", 'Dry_Litterbag Placem_Collection'!AA8)),"YES","NO")</f>
        <v>NO</v>
      </c>
      <c r="AK81" s="255" t="str">
        <f>IF(ISNUMBER(SEARCH("H", 'Dry_Litterbag Placem_Collection'!AA8)),"YES","NO")</f>
        <v>NO</v>
      </c>
      <c r="AL81" s="255" t="str">
        <f>IF(ISNUMBER(SEARCH("R", 'Dry_Litterbag Placem_Collection'!AA8)),"YES","NO")</f>
        <v>NO</v>
      </c>
      <c r="AR81" t="s">
        <v>1572</v>
      </c>
      <c r="AT81" t="s">
        <v>451</v>
      </c>
    </row>
    <row r="82" spans="2:46">
      <c r="B82" t="str">
        <f>'Final data_for_R_analysis_Dryse'!A8</f>
        <v>Dry</v>
      </c>
      <c r="C82" s="263">
        <f>'Final data_for_R_analysis_Dryse'!B8</f>
        <v>7</v>
      </c>
      <c r="D82" t="s">
        <v>3824</v>
      </c>
      <c r="E82" t="s">
        <v>22</v>
      </c>
      <c r="F82" s="387">
        <v>7</v>
      </c>
      <c r="G82" s="16">
        <f>'Dry_Litterbag Placem_Collection'!E9</f>
        <v>42938</v>
      </c>
      <c r="H82" t="str">
        <f>'Final data_for_R_analysis_Dryse'!J8</f>
        <v>G106</v>
      </c>
      <c r="I82" t="str">
        <f>'Final data_for_R_analysis_Dryse'!J228</f>
        <v>R762</v>
      </c>
      <c r="J82">
        <f>IFERROR(INDEX('Green_rooibos initial weight'!$C$5:$C$1749,MATCH(H82, 'Green_rooibos initial weight'!$A$5:$A$1749,0)),"")</f>
        <v>2.1230000000000002</v>
      </c>
      <c r="K82">
        <f>IFERROR(INDEX('Green_rooibos initial weight'!$C$5:$C$1749,MATCH(I82, 'Green_rooibos initial weight'!$A$5:$A$1749,0)),"")</f>
        <v>2.1949999999999998</v>
      </c>
      <c r="L82" s="195">
        <f t="shared" si="5"/>
        <v>1.8732000000000002</v>
      </c>
      <c r="M82" s="240">
        <f>AVERAGE(Ashed_controlls!$K$1:$K$11)</f>
        <v>5.5147656768714146</v>
      </c>
      <c r="N82" s="195">
        <f t="shared" si="0"/>
        <v>1.7698974093408448</v>
      </c>
      <c r="O82" s="195">
        <f t="shared" si="6"/>
        <v>1.9451999999999998</v>
      </c>
      <c r="P82" s="240">
        <f>AVERAGE(Ashed_controlls!$K$12:$K$14)</f>
        <v>2.2816647271287041</v>
      </c>
      <c r="Q82" s="195">
        <f t="shared" si="1"/>
        <v>1.9008170577278922</v>
      </c>
      <c r="R82" s="16">
        <f>IF('Dry_Litterbag Placem_Collection'!G9="N.A","",'Dry_Litterbag Placem_Collection'!G9)</f>
        <v>43007</v>
      </c>
      <c r="S82" s="195">
        <f>IF(IFERROR(INDEX('Both teabags AfterDry'!$D$1:$D$839,MATCH(H82,'Both teabags AfterDry'!$A$1:$A$839,0)),"")="N.A","",(IFERROR(INDEX('Both teabags AfterDry'!$D$1:$D$839,MATCH(H82,'Both teabags AfterDry'!$A$1:$A$839,0)),"")))</f>
        <v>2.0188999999999999</v>
      </c>
      <c r="T82" s="195">
        <f>IF(IFERROR(INDEX('Both teabags AfterDry'!$D$1:$D$839,MATCH(I82,'Both teabags AfterDry'!$A$1:$A$839,0)),"")="N.A","",(IFERROR(INDEX('Both teabags AfterDry'!$D$1:$D$839,MATCH(I82,'Both teabags AfterDry'!$A$1:$A$839,0)),"")))</f>
        <v>1.7052</v>
      </c>
      <c r="U82" s="195">
        <f t="shared" si="7"/>
        <v>1.8682999999999998</v>
      </c>
      <c r="V82" s="195">
        <f t="shared" si="7"/>
        <v>1.5546</v>
      </c>
      <c r="W82" s="195">
        <f>IFERROR(INDEX('Ashed teabags dry'!$K$2:$K$821,MATCH(H82,'Ashed teabags dry'!$A$2:$A$821,0)),"")</f>
        <v>8.482523444160524</v>
      </c>
      <c r="X82" s="195">
        <f>IFERROR(INDEX('Ashed teabags dry'!$K$2:$K$821,MATCH(I82,'Ashed teabags dry'!$A$2:$A$821,0)),"")</f>
        <v>6.2499999999996207</v>
      </c>
      <c r="Y82" s="195">
        <f t="shared" si="2"/>
        <v>1.7098210144927488</v>
      </c>
      <c r="Z82" s="195">
        <f t="shared" si="2"/>
        <v>1.4574375000000059</v>
      </c>
      <c r="AA82" s="195">
        <f t="shared" si="8"/>
        <v>3.3943433405255963E-2</v>
      </c>
      <c r="AB82" s="195">
        <f t="shared" si="9"/>
        <v>2.2252702184918424E-2</v>
      </c>
      <c r="AC82" s="195">
        <f t="shared" si="3"/>
        <v>0.76674264578734785</v>
      </c>
      <c r="AD82">
        <f t="shared" si="4"/>
        <v>69</v>
      </c>
      <c r="AE82" s="195">
        <f t="shared" si="10"/>
        <v>0.95968713372297387</v>
      </c>
      <c r="AF82" s="195" t="str">
        <f t="shared" si="11"/>
        <v/>
      </c>
      <c r="AG82" s="255" t="str">
        <f>IF(ISNUMBER(SEARCH("C", 'Dry_Litterbag Placem_Collection'!AB9)),"YES","NO")</f>
        <v>NO</v>
      </c>
      <c r="AH82" s="255" t="str">
        <f>IF(ISNUMBER(SEARCH("H", 'Dry_Litterbag Placem_Collection'!AB9)),"YES","NO")</f>
        <v>NO</v>
      </c>
      <c r="AI82" s="255" t="str">
        <f>IF(ISNUMBER(SEARCH("R", 'Dry_Litterbag Placem_Collection'!AB9)),"YES","NO")</f>
        <v>NO</v>
      </c>
      <c r="AJ82" s="255" t="str">
        <f>IF(ISNUMBER(SEARCH("C", 'Dry_Litterbag Placem_Collection'!AA9)),"YES","NO")</f>
        <v>NO</v>
      </c>
      <c r="AK82" s="255" t="str">
        <f>IF(ISNUMBER(SEARCH("H", 'Dry_Litterbag Placem_Collection'!AA9)),"YES","NO")</f>
        <v>NO</v>
      </c>
      <c r="AL82" s="255" t="str">
        <f>IF(ISNUMBER(SEARCH("R", 'Dry_Litterbag Placem_Collection'!AA9)),"YES","NO")</f>
        <v>NO</v>
      </c>
      <c r="AR82" t="s">
        <v>1944</v>
      </c>
      <c r="AT82" t="s">
        <v>377</v>
      </c>
    </row>
    <row r="83" spans="2:46">
      <c r="B83" t="str">
        <f>'Final data_for_R_analysis_Dryse'!A9</f>
        <v>Dry</v>
      </c>
      <c r="C83" s="263">
        <f>'Final data_for_R_analysis_Dryse'!B9</f>
        <v>8</v>
      </c>
      <c r="D83" t="s">
        <v>3824</v>
      </c>
      <c r="E83" t="s">
        <v>22</v>
      </c>
      <c r="F83" s="387">
        <v>8</v>
      </c>
      <c r="G83" s="16">
        <f>'Dry_Litterbag Placem_Collection'!E10</f>
        <v>42938</v>
      </c>
      <c r="H83" t="str">
        <f>'Final data_for_R_analysis_Dryse'!J9</f>
        <v>G228</v>
      </c>
      <c r="I83" t="str">
        <f>'Final data_for_R_analysis_Dryse'!J229</f>
        <v>R727</v>
      </c>
      <c r="J83">
        <f>IFERROR(INDEX('Green_rooibos initial weight'!$C$5:$C$1749,MATCH(H83, 'Green_rooibos initial weight'!$A$5:$A$1749,0)),"")</f>
        <v>1.976</v>
      </c>
      <c r="K83">
        <f>IFERROR(INDEX('Green_rooibos initial weight'!$C$5:$C$1749,MATCH(I83, 'Green_rooibos initial weight'!$A$5:$A$1749,0)),"")</f>
        <v>2.1629999999999998</v>
      </c>
      <c r="L83" s="195">
        <f t="shared" si="5"/>
        <v>1.7262</v>
      </c>
      <c r="M83" s="240">
        <f>AVERAGE(Ashed_controlls!$K$1:$K$11)</f>
        <v>5.5147656768714146</v>
      </c>
      <c r="N83" s="195">
        <f t="shared" si="0"/>
        <v>1.6310041148858456</v>
      </c>
      <c r="O83" s="195">
        <f t="shared" si="6"/>
        <v>1.9131999999999998</v>
      </c>
      <c r="P83" s="240">
        <f>AVERAGE(Ashed_controlls!$K$12:$K$14)</f>
        <v>2.2816647271287041</v>
      </c>
      <c r="Q83" s="195">
        <f t="shared" si="1"/>
        <v>1.8695471904405734</v>
      </c>
      <c r="R83" s="16">
        <f>IF('Dry_Litterbag Placem_Collection'!G10="N.A","",'Dry_Litterbag Placem_Collection'!G10)</f>
        <v>43007</v>
      </c>
      <c r="S83" s="195">
        <f>IF(IFERROR(INDEX('Both teabags AfterDry'!$D$1:$D$839,MATCH(H83,'Both teabags AfterDry'!$A$1:$A$839,0)),"")="N.A","",(IFERROR(INDEX('Both teabags AfterDry'!$D$1:$D$839,MATCH(H83,'Both teabags AfterDry'!$A$1:$A$839,0)),"")))</f>
        <v>0.83330000000000004</v>
      </c>
      <c r="T83" s="195">
        <f>IF(IFERROR(INDEX('Both teabags AfterDry'!$D$1:$D$839,MATCH(I83,'Both teabags AfterDry'!$A$1:$A$839,0)),"")="N.A","",(IFERROR(INDEX('Both teabags AfterDry'!$D$1:$D$839,MATCH(I83,'Both teabags AfterDry'!$A$1:$A$839,0)),"")))</f>
        <v>0</v>
      </c>
      <c r="U83" s="195">
        <f t="shared" si="7"/>
        <v>0.68270000000000008</v>
      </c>
      <c r="V83" s="195" t="str">
        <f t="shared" si="7"/>
        <v/>
      </c>
      <c r="W83" s="195">
        <f>IFERROR(INDEX('Ashed teabags dry'!$K$2:$K$821,MATCH(H83,'Ashed teabags dry'!$A$2:$A$821,0)),"")</f>
        <v>14.545454545454678</v>
      </c>
      <c r="X83" s="195">
        <f>IFERROR(INDEX('Ashed teabags dry'!$K$2:$K$821,MATCH(I83,'Ashed teabags dry'!$A$2:$A$821,0)),"")</f>
        <v>91.762114537445356</v>
      </c>
      <c r="Y83" s="195">
        <f t="shared" si="2"/>
        <v>0.58339818181818104</v>
      </c>
      <c r="Z83" s="195" t="str">
        <f t="shared" si="2"/>
        <v/>
      </c>
      <c r="AA83" s="195">
        <f t="shared" si="8"/>
        <v>0.64230735134655792</v>
      </c>
      <c r="AB83" s="195">
        <f t="shared" si="9"/>
        <v>0.4210851044457245</v>
      </c>
      <c r="AC83" s="195" t="str">
        <f t="shared" si="3"/>
        <v/>
      </c>
      <c r="AD83">
        <f t="shared" si="4"/>
        <v>69</v>
      </c>
      <c r="AE83" s="195">
        <f t="shared" si="10"/>
        <v>0.23716466585919482</v>
      </c>
      <c r="AF83" s="195" t="str">
        <f t="shared" si="11"/>
        <v/>
      </c>
      <c r="AG83" s="255" t="str">
        <f>IF(ISNUMBER(SEARCH("C", 'Dry_Litterbag Placem_Collection'!AB10)),"YES","NO")</f>
        <v>NO</v>
      </c>
      <c r="AH83" s="255" t="str">
        <f>IF(ISNUMBER(SEARCH("H", 'Dry_Litterbag Placem_Collection'!AB10)),"YES","NO")</f>
        <v>NO</v>
      </c>
      <c r="AI83" s="255" t="str">
        <f>IF(ISNUMBER(SEARCH("R", 'Dry_Litterbag Placem_Collection'!AB10)),"YES","NO")</f>
        <v>NO</v>
      </c>
      <c r="AJ83" s="255" t="str">
        <f>IF(ISNUMBER(SEARCH("C", 'Dry_Litterbag Placem_Collection'!AA10)),"YES","NO")</f>
        <v>NO</v>
      </c>
      <c r="AK83" s="255" t="str">
        <f>IF(ISNUMBER(SEARCH("H", 'Dry_Litterbag Placem_Collection'!AA10)),"YES","NO")</f>
        <v>NO</v>
      </c>
      <c r="AL83" s="255" t="str">
        <f>IF(ISNUMBER(SEARCH("R", 'Dry_Litterbag Placem_Collection'!AA10)),"YES","NO")</f>
        <v>NO</v>
      </c>
      <c r="AR83" t="s">
        <v>1822</v>
      </c>
      <c r="AT83" t="s">
        <v>412</v>
      </c>
    </row>
    <row r="84" spans="2:46">
      <c r="B84" t="str">
        <f>'Final data_for_R_analysis_Dryse'!A10</f>
        <v>Dry</v>
      </c>
      <c r="C84" s="263">
        <f>'Final data_for_R_analysis_Dryse'!B10</f>
        <v>9</v>
      </c>
      <c r="D84" t="s">
        <v>3828</v>
      </c>
      <c r="E84" t="s">
        <v>22</v>
      </c>
      <c r="F84" s="386">
        <v>1</v>
      </c>
      <c r="G84" s="16">
        <f>'Dry_Litterbag Placem_Collection'!E11</f>
        <v>42938</v>
      </c>
      <c r="H84" t="str">
        <f>'Final data_for_R_analysis_Dryse'!J10</f>
        <v>G277</v>
      </c>
      <c r="I84" t="str">
        <f>'Final data_for_R_analysis_Dryse'!J230</f>
        <v>R785</v>
      </c>
      <c r="J84">
        <f>IFERROR(INDEX('Green_rooibos initial weight'!$C$5:$C$1749,MATCH(H84, 'Green_rooibos initial weight'!$A$5:$A$1749,0)),"")</f>
        <v>1.93</v>
      </c>
      <c r="K84">
        <f>IFERROR(INDEX('Green_rooibos initial weight'!$C$5:$C$1749,MATCH(I84, 'Green_rooibos initial weight'!$A$5:$A$1749,0)),"")</f>
        <v>2.2549999999999999</v>
      </c>
      <c r="L84" s="195">
        <f t="shared" si="5"/>
        <v>1.6801999999999999</v>
      </c>
      <c r="M84" s="240">
        <f>AVERAGE(Ashed_controlls!$K$1:$K$11)</f>
        <v>5.5147656768714146</v>
      </c>
      <c r="N84" s="195">
        <f t="shared" si="0"/>
        <v>1.5875409070972064</v>
      </c>
      <c r="O84" s="195">
        <f t="shared" si="6"/>
        <v>2.0051999999999999</v>
      </c>
      <c r="P84" s="240">
        <f>AVERAGE(Ashed_controlls!$K$12:$K$14)</f>
        <v>2.2816647271287041</v>
      </c>
      <c r="Q84" s="195">
        <f t="shared" si="1"/>
        <v>1.959448058891615</v>
      </c>
      <c r="R84" s="16">
        <f>IF('Dry_Litterbag Placem_Collection'!G11="N.A","",'Dry_Litterbag Placem_Collection'!G11)</f>
        <v>43007</v>
      </c>
      <c r="S84" s="195">
        <f>IF(IFERROR(INDEX('Both teabags AfterDry'!$D$1:$D$839,MATCH(H84,'Both teabags AfterDry'!$A$1:$A$839,0)),"")="N.A","",(IFERROR(INDEX('Both teabags AfterDry'!$D$1:$D$839,MATCH(H84,'Both teabags AfterDry'!$A$1:$A$839,0)),"")))</f>
        <v>1.9345000000000001</v>
      </c>
      <c r="T84" s="195">
        <f>IF(IFERROR(INDEX('Both teabags AfterDry'!$D$1:$D$839,MATCH(I84,'Both teabags AfterDry'!$A$1:$A$839,0)),"")="N.A","",(IFERROR(INDEX('Both teabags AfterDry'!$D$1:$D$839,MATCH(I84,'Both teabags AfterDry'!$A$1:$A$839,0)),"")))</f>
        <v>3.7812999999999999</v>
      </c>
      <c r="U84" s="195">
        <f t="shared" si="7"/>
        <v>1.7839</v>
      </c>
      <c r="V84" s="195">
        <f t="shared" si="7"/>
        <v>3.6307</v>
      </c>
      <c r="W84" s="195">
        <f>IFERROR(INDEX('Ashed teabags dry'!$K$2:$K$821,MATCH(H84,'Ashed teabags dry'!$A$2:$A$821,0)),"")</f>
        <v>22.768222768222728</v>
      </c>
      <c r="X84" s="195">
        <f>IFERROR(INDEX('Ashed teabags dry'!$K$2:$K$821,MATCH(I84,'Ashed teabags dry'!$A$2:$A$821,0)),"")</f>
        <v>96.078431372548579</v>
      </c>
      <c r="Y84" s="195">
        <f t="shared" si="2"/>
        <v>1.3777376740376748</v>
      </c>
      <c r="Z84" s="195">
        <f t="shared" si="2"/>
        <v>0.1423803921568787</v>
      </c>
      <c r="AA84" s="195">
        <f t="shared" si="8"/>
        <v>0.13215611145614736</v>
      </c>
      <c r="AB84" s="195">
        <f t="shared" si="9"/>
        <v>8.6639160954623914E-2</v>
      </c>
      <c r="AC84" s="195">
        <f t="shared" si="3"/>
        <v>7.266351945936135E-2</v>
      </c>
      <c r="AD84">
        <f t="shared" si="4"/>
        <v>69</v>
      </c>
      <c r="AE84" s="195">
        <f t="shared" si="10"/>
        <v>0.84304499827060886</v>
      </c>
      <c r="AF84" s="195" t="str">
        <f t="shared" si="11"/>
        <v/>
      </c>
      <c r="AG84" s="255" t="str">
        <f>IF(ISNUMBER(SEARCH("C", 'Dry_Litterbag Placem_Collection'!AB11)),"YES","NO")</f>
        <v>NO</v>
      </c>
      <c r="AH84" s="255" t="str">
        <f>IF(ISNUMBER(SEARCH("H", 'Dry_Litterbag Placem_Collection'!AB11)),"YES","NO")</f>
        <v>NO</v>
      </c>
      <c r="AI84" s="255" t="str">
        <f>IF(ISNUMBER(SEARCH("R", 'Dry_Litterbag Placem_Collection'!AB11)),"YES","NO")</f>
        <v>NO</v>
      </c>
      <c r="AJ84" s="255" t="str">
        <f>IF(ISNUMBER(SEARCH("C", 'Dry_Litterbag Placem_Collection'!AA11)),"YES","NO")</f>
        <v>NO</v>
      </c>
      <c r="AK84" s="255" t="str">
        <f>IF(ISNUMBER(SEARCH("H", 'Dry_Litterbag Placem_Collection'!AA11)),"YES","NO")</f>
        <v>NO</v>
      </c>
      <c r="AL84" s="255" t="str">
        <f>IF(ISNUMBER(SEARCH("R", 'Dry_Litterbag Placem_Collection'!AA11)),"YES","NO")</f>
        <v>NO</v>
      </c>
      <c r="AR84" t="s">
        <v>1773</v>
      </c>
      <c r="AT84" t="s">
        <v>354</v>
      </c>
    </row>
    <row r="85" spans="2:46">
      <c r="B85" t="str">
        <f>'Final data_for_R_analysis_Dryse'!A11</f>
        <v>Dry</v>
      </c>
      <c r="C85" s="263">
        <f>'Final data_for_R_analysis_Dryse'!B11</f>
        <v>10</v>
      </c>
      <c r="D85" t="s">
        <v>3828</v>
      </c>
      <c r="E85" t="s">
        <v>22</v>
      </c>
      <c r="F85" s="386">
        <v>2</v>
      </c>
      <c r="G85" s="16">
        <f>'Dry_Litterbag Placem_Collection'!E12</f>
        <v>42938</v>
      </c>
      <c r="H85" t="str">
        <f>'Final data_for_R_analysis_Dryse'!J11</f>
        <v>G310</v>
      </c>
      <c r="I85" t="str">
        <f>'Final data_for_R_analysis_Dryse'!J231</f>
        <v>R747</v>
      </c>
      <c r="J85">
        <f>IFERROR(INDEX('Green_rooibos initial weight'!$C$5:$C$1749,MATCH(H85, 'Green_rooibos initial weight'!$A$5:$A$1749,0)),"")</f>
        <v>2.0459999999999998</v>
      </c>
      <c r="K85">
        <f>IFERROR(INDEX('Green_rooibos initial weight'!$C$5:$C$1749,MATCH(I85, 'Green_rooibos initial weight'!$A$5:$A$1749,0)),"")</f>
        <v>2.1549999999999998</v>
      </c>
      <c r="L85" s="195">
        <f t="shared" si="5"/>
        <v>1.7961999999999998</v>
      </c>
      <c r="M85" s="240">
        <f>AVERAGE(Ashed_controlls!$K$1:$K$11)</f>
        <v>5.5147656768714146</v>
      </c>
      <c r="N85" s="195">
        <f t="shared" si="0"/>
        <v>1.6971437789120354</v>
      </c>
      <c r="O85" s="195">
        <f t="shared" si="6"/>
        <v>1.9051999999999998</v>
      </c>
      <c r="P85" s="240">
        <f>AVERAGE(Ashed_controlls!$K$12:$K$14)</f>
        <v>2.2816647271287041</v>
      </c>
      <c r="Q85" s="195">
        <f t="shared" si="1"/>
        <v>1.8617297236187438</v>
      </c>
      <c r="R85" s="16">
        <f>IF('Dry_Litterbag Placem_Collection'!G12="N.A","",'Dry_Litterbag Placem_Collection'!G12)</f>
        <v>0</v>
      </c>
      <c r="S85" s="195" t="str">
        <f>IF(IFERROR(INDEX('Both teabags AfterDry'!$D$1:$D$839,MATCH(H85,'Both teabags AfterDry'!$A$1:$A$839,0)),"")="N.A","",(IFERROR(INDEX('Both teabags AfterDry'!$D$1:$D$839,MATCH(H85,'Both teabags AfterDry'!$A$1:$A$839,0)),"")))</f>
        <v/>
      </c>
      <c r="T85" s="195" t="str">
        <f>IF(IFERROR(INDEX('Both teabags AfterDry'!$D$1:$D$839,MATCH(I85,'Both teabags AfterDry'!$A$1:$A$839,0)),"")="N.A","",(IFERROR(INDEX('Both teabags AfterDry'!$D$1:$D$839,MATCH(I85,'Both teabags AfterDry'!$A$1:$A$839,0)),"")))</f>
        <v/>
      </c>
      <c r="U85" s="195" t="str">
        <f t="shared" si="7"/>
        <v/>
      </c>
      <c r="V85" s="195" t="str">
        <f t="shared" si="7"/>
        <v/>
      </c>
      <c r="W85" s="195" t="str">
        <f>IFERROR(INDEX('Ashed teabags dry'!$K$2:$K$821,MATCH(H85,'Ashed teabags dry'!$A$2:$A$821,0)),"")</f>
        <v/>
      </c>
      <c r="X85" s="195" t="str">
        <f>IFERROR(INDEX('Ashed teabags dry'!$K$2:$K$821,MATCH(I85,'Ashed teabags dry'!$A$2:$A$821,0)),"")</f>
        <v/>
      </c>
      <c r="Y85" s="195" t="str">
        <f t="shared" si="2"/>
        <v/>
      </c>
      <c r="Z85" s="195" t="str">
        <f t="shared" si="2"/>
        <v/>
      </c>
      <c r="AA85" s="195" t="str">
        <f t="shared" si="8"/>
        <v/>
      </c>
      <c r="AB85" s="195" t="str">
        <f t="shared" si="9"/>
        <v/>
      </c>
      <c r="AC85" s="195" t="str">
        <f t="shared" si="3"/>
        <v/>
      </c>
      <c r="AD85" t="str">
        <f t="shared" si="4"/>
        <v/>
      </c>
      <c r="AE85" s="195" t="str">
        <f t="shared" si="10"/>
        <v/>
      </c>
      <c r="AF85" s="195" t="str">
        <f t="shared" si="11"/>
        <v/>
      </c>
      <c r="AG85" s="255" t="str">
        <f>IF(ISNUMBER(SEARCH("C", 'Dry_Litterbag Placem_Collection'!AB12)),"YES","NO")</f>
        <v>NO</v>
      </c>
      <c r="AH85" s="255" t="str">
        <f>IF(ISNUMBER(SEARCH("H", 'Dry_Litterbag Placem_Collection'!AB12)),"YES","NO")</f>
        <v>NO</v>
      </c>
      <c r="AI85" s="255" t="str">
        <f>IF(ISNUMBER(SEARCH("R", 'Dry_Litterbag Placem_Collection'!AB12)),"YES","NO")</f>
        <v>NO</v>
      </c>
      <c r="AJ85" s="255" t="str">
        <f>IF(ISNUMBER(SEARCH("C", 'Dry_Litterbag Placem_Collection'!AA12)),"YES","NO")</f>
        <v>NO</v>
      </c>
      <c r="AK85" s="255" t="str">
        <f>IF(ISNUMBER(SEARCH("H", 'Dry_Litterbag Placem_Collection'!AA12)),"YES","NO")</f>
        <v>NO</v>
      </c>
      <c r="AL85" s="255" t="str">
        <f>IF(ISNUMBER(SEARCH("R", 'Dry_Litterbag Placem_Collection'!AA12)),"YES","NO")</f>
        <v>NO</v>
      </c>
      <c r="AR85" t="s">
        <v>1740</v>
      </c>
      <c r="AT85" t="s">
        <v>392</v>
      </c>
    </row>
    <row r="86" spans="2:46">
      <c r="B86" t="str">
        <f>'Final data_for_R_analysis_Dryse'!A12</f>
        <v>Dry</v>
      </c>
      <c r="C86" s="263">
        <f>'Final data_for_R_analysis_Dryse'!B12</f>
        <v>11</v>
      </c>
      <c r="D86" t="s">
        <v>3828</v>
      </c>
      <c r="E86" t="s">
        <v>22</v>
      </c>
      <c r="F86" s="386">
        <v>3</v>
      </c>
      <c r="G86" s="16">
        <f>'Dry_Litterbag Placem_Collection'!E13</f>
        <v>42938</v>
      </c>
      <c r="H86" t="str">
        <f>'Final data_for_R_analysis_Dryse'!J12</f>
        <v>G435</v>
      </c>
      <c r="I86" t="str">
        <f>'Final data_for_R_analysis_Dryse'!J232</f>
        <v>R748</v>
      </c>
      <c r="J86">
        <f>IFERROR(INDEX('Green_rooibos initial weight'!$C$5:$C$1749,MATCH(H86, 'Green_rooibos initial weight'!$A$5:$A$1749,0)),"")</f>
        <v>2.0009999999999999</v>
      </c>
      <c r="K86">
        <f>IFERROR(INDEX('Green_rooibos initial weight'!$C$5:$C$1749,MATCH(I86, 'Green_rooibos initial weight'!$A$5:$A$1749,0)),"")</f>
        <v>2.1829999999999998</v>
      </c>
      <c r="L86" s="195">
        <f t="shared" si="5"/>
        <v>1.7511999999999999</v>
      </c>
      <c r="M86" s="240">
        <f>AVERAGE(Ashed_controlls!$K$1:$K$11)</f>
        <v>5.5147656768714146</v>
      </c>
      <c r="N86" s="195">
        <f t="shared" si="0"/>
        <v>1.6546254234666278</v>
      </c>
      <c r="O86" s="195">
        <f t="shared" si="6"/>
        <v>1.9331999999999998</v>
      </c>
      <c r="P86" s="240">
        <f>AVERAGE(Ashed_controlls!$K$12:$K$14)</f>
        <v>2.2816647271287041</v>
      </c>
      <c r="Q86" s="195">
        <f t="shared" si="1"/>
        <v>1.8890908574951477</v>
      </c>
      <c r="R86" s="16">
        <f>IF('Dry_Litterbag Placem_Collection'!G13="N.A","",'Dry_Litterbag Placem_Collection'!G13)</f>
        <v>43007</v>
      </c>
      <c r="S86" s="195">
        <f>IF(IFERROR(INDEX('Both teabags AfterDry'!$D$1:$D$839,MATCH(H86,'Both teabags AfterDry'!$A$1:$A$839,0)),"")="N.A","",(IFERROR(INDEX('Both teabags AfterDry'!$D$1:$D$839,MATCH(H86,'Both teabags AfterDry'!$A$1:$A$839,0)),"")))</f>
        <v>1.7934000000000001</v>
      </c>
      <c r="T86" s="195">
        <f>IF(IFERROR(INDEX('Both teabags AfterDry'!$D$1:$D$839,MATCH(I86,'Both teabags AfterDry'!$A$1:$A$839,0)),"")="N.A","",(IFERROR(INDEX('Both teabags AfterDry'!$D$1:$D$839,MATCH(I86,'Both teabags AfterDry'!$A$1:$A$839,0)),"")))</f>
        <v>0.98360000000000003</v>
      </c>
      <c r="U86" s="195">
        <f t="shared" si="7"/>
        <v>1.6428</v>
      </c>
      <c r="V86" s="195">
        <f t="shared" si="7"/>
        <v>0.83299999999999996</v>
      </c>
      <c r="W86" s="195">
        <f>IFERROR(INDEX('Ashed teabags dry'!$K$2:$K$821,MATCH(H86,'Ashed teabags dry'!$A$2:$A$821,0)),"")</f>
        <v>10.240078392944513</v>
      </c>
      <c r="X86" s="195">
        <f>IFERROR(INDEX('Ashed teabags dry'!$K$2:$K$821,MATCH(I86,'Ashed teabags dry'!$A$2:$A$821,0)),"")</f>
        <v>89.951923076922583</v>
      </c>
      <c r="Y86" s="195">
        <f t="shared" si="2"/>
        <v>1.4745759921607076</v>
      </c>
      <c r="Z86" s="195">
        <f t="shared" si="2"/>
        <v>8.3700480769234864E-2</v>
      </c>
      <c r="AA86" s="195">
        <f t="shared" si="8"/>
        <v>0.10881582547468438</v>
      </c>
      <c r="AB86" s="195">
        <f t="shared" si="9"/>
        <v>7.1337690810006849E-2</v>
      </c>
      <c r="AC86" s="195">
        <f t="shared" si="3"/>
        <v>4.4307281694337383E-2</v>
      </c>
      <c r="AD86">
        <f t="shared" si="4"/>
        <v>69</v>
      </c>
      <c r="AE86" s="195">
        <f t="shared" si="10"/>
        <v>0.87076505288042239</v>
      </c>
      <c r="AF86" s="195" t="str">
        <f t="shared" si="11"/>
        <v/>
      </c>
      <c r="AG86" s="255" t="str">
        <f>IF(ISNUMBER(SEARCH("C", 'Dry_Litterbag Placem_Collection'!AB13)),"YES","NO")</f>
        <v>NO</v>
      </c>
      <c r="AH86" s="255" t="str">
        <f>IF(ISNUMBER(SEARCH("H", 'Dry_Litterbag Placem_Collection'!AB13)),"YES","NO")</f>
        <v>NO</v>
      </c>
      <c r="AI86" s="255" t="str">
        <f>IF(ISNUMBER(SEARCH("R", 'Dry_Litterbag Placem_Collection'!AB13)),"YES","NO")</f>
        <v>NO</v>
      </c>
      <c r="AJ86" s="255" t="str">
        <f>IF(ISNUMBER(SEARCH("C", 'Dry_Litterbag Placem_Collection'!AA13)),"YES","NO")</f>
        <v>NO</v>
      </c>
      <c r="AK86" s="255" t="str">
        <f>IF(ISNUMBER(SEARCH("H", 'Dry_Litterbag Placem_Collection'!AA13)),"YES","NO")</f>
        <v>NO</v>
      </c>
      <c r="AL86" s="255" t="str">
        <f>IF(ISNUMBER(SEARCH("R", 'Dry_Litterbag Placem_Collection'!AA13)),"YES","NO")</f>
        <v>NO</v>
      </c>
      <c r="AR86" t="s">
        <v>1615</v>
      </c>
      <c r="AT86" t="s">
        <v>391</v>
      </c>
    </row>
    <row r="87" spans="2:46">
      <c r="B87" t="str">
        <f>'Final data_for_R_analysis_Dryse'!A13</f>
        <v>Dry</v>
      </c>
      <c r="C87" s="263">
        <f>'Final data_for_R_analysis_Dryse'!B13</f>
        <v>12</v>
      </c>
      <c r="D87" t="s">
        <v>3828</v>
      </c>
      <c r="E87" t="s">
        <v>22</v>
      </c>
      <c r="F87" s="387">
        <v>4</v>
      </c>
      <c r="G87" s="16">
        <f>'Dry_Litterbag Placem_Collection'!E14</f>
        <v>0</v>
      </c>
      <c r="H87" t="str">
        <f>'Final data_for_R_analysis_Dryse'!J13</f>
        <v/>
      </c>
      <c r="I87" t="str">
        <f>'Final data_for_R_analysis_Dryse'!J233</f>
        <v/>
      </c>
      <c r="J87" t="str">
        <f>IFERROR(INDEX('Green_rooibos initial weight'!$C$5:$C$1749,MATCH(H87, 'Green_rooibos initial weight'!$A$5:$A$1749,0)),"")</f>
        <v/>
      </c>
      <c r="K87" t="str">
        <f>IFERROR(INDEX('Green_rooibos initial weight'!$C$5:$C$1749,MATCH(I87, 'Green_rooibos initial weight'!$A$5:$A$1749,0)),"")</f>
        <v/>
      </c>
      <c r="L87" s="195" t="str">
        <f t="shared" si="5"/>
        <v/>
      </c>
      <c r="M87" s="240">
        <f>AVERAGE(Ashed_controlls!$K$1:$K$11)</f>
        <v>5.5147656768714146</v>
      </c>
      <c r="N87" s="195" t="str">
        <f t="shared" si="0"/>
        <v/>
      </c>
      <c r="O87" s="195" t="str">
        <f t="shared" si="6"/>
        <v/>
      </c>
      <c r="P87" s="240">
        <f>AVERAGE(Ashed_controlls!$K$12:$K$14)</f>
        <v>2.2816647271287041</v>
      </c>
      <c r="Q87" s="195" t="str">
        <f t="shared" si="1"/>
        <v/>
      </c>
      <c r="R87" s="16">
        <f>IF('Dry_Litterbag Placem_Collection'!G14="N.A","",'Dry_Litterbag Placem_Collection'!G14)</f>
        <v>0</v>
      </c>
      <c r="S87" s="195" t="str">
        <f>IF(IFERROR(INDEX('Both teabags AfterDry'!$D$1:$D$839,MATCH(H87,'Both teabags AfterDry'!$A$1:$A$839,0)),"")="N.A","",(IFERROR(INDEX('Both teabags AfterDry'!$D$1:$D$839,MATCH(H87,'Both teabags AfterDry'!$A$1:$A$839,0)),"")))</f>
        <v/>
      </c>
      <c r="T87" s="195" t="str">
        <f>IF(IFERROR(INDEX('Both teabags AfterDry'!$D$1:$D$839,MATCH(I87,'Both teabags AfterDry'!$A$1:$A$839,0)),"")="N.A","",(IFERROR(INDEX('Both teabags AfterDry'!$D$1:$D$839,MATCH(I87,'Both teabags AfterDry'!$A$1:$A$839,0)),"")))</f>
        <v/>
      </c>
      <c r="U87" s="195" t="str">
        <f t="shared" si="7"/>
        <v/>
      </c>
      <c r="V87" s="195" t="str">
        <f t="shared" si="7"/>
        <v/>
      </c>
      <c r="W87" s="195" t="str">
        <f>IFERROR(INDEX('Ashed teabags dry'!$K$2:$K$821,MATCH(H87,'Ashed teabags dry'!$A$2:$A$821,0)),"")</f>
        <v/>
      </c>
      <c r="X87" s="195" t="str">
        <f>IFERROR(INDEX('Ashed teabags dry'!$K$2:$K$821,MATCH(I87,'Ashed teabags dry'!$A$2:$A$821,0)),"")</f>
        <v/>
      </c>
      <c r="Y87" s="195" t="str">
        <f t="shared" si="2"/>
        <v/>
      </c>
      <c r="Z87" s="195" t="str">
        <f t="shared" si="2"/>
        <v/>
      </c>
      <c r="AA87" s="195" t="str">
        <f t="shared" si="8"/>
        <v/>
      </c>
      <c r="AB87" s="195" t="str">
        <f t="shared" si="9"/>
        <v/>
      </c>
      <c r="AC87" s="195" t="str">
        <f t="shared" si="3"/>
        <v/>
      </c>
      <c r="AD87" t="str">
        <f t="shared" si="4"/>
        <v/>
      </c>
      <c r="AE87" s="195" t="str">
        <f t="shared" si="10"/>
        <v/>
      </c>
      <c r="AF87" s="195" t="str">
        <f t="shared" si="11"/>
        <v/>
      </c>
      <c r="AG87" s="255" t="str">
        <f>IF(ISNUMBER(SEARCH("C", 'Dry_Litterbag Placem_Collection'!AB14)),"YES","NO")</f>
        <v>NO</v>
      </c>
      <c r="AH87" s="255" t="str">
        <f>IF(ISNUMBER(SEARCH("H", 'Dry_Litterbag Placem_Collection'!AB14)),"YES","NO")</f>
        <v>NO</v>
      </c>
      <c r="AI87" s="255" t="str">
        <f>IF(ISNUMBER(SEARCH("R", 'Dry_Litterbag Placem_Collection'!AB14)),"YES","NO")</f>
        <v>NO</v>
      </c>
      <c r="AJ87" s="255" t="str">
        <f>IF(ISNUMBER(SEARCH("C", 'Dry_Litterbag Placem_Collection'!AA14)),"YES","NO")</f>
        <v>NO</v>
      </c>
      <c r="AK87" s="255" t="str">
        <f>IF(ISNUMBER(SEARCH("H", 'Dry_Litterbag Placem_Collection'!AA14)),"YES","NO")</f>
        <v>NO</v>
      </c>
      <c r="AL87" s="255" t="str">
        <f>IF(ISNUMBER(SEARCH("R", 'Dry_Litterbag Placem_Collection'!AA14)),"YES","NO")</f>
        <v>NO</v>
      </c>
      <c r="AR87" t="s">
        <v>3654</v>
      </c>
      <c r="AT87" t="s">
        <v>3654</v>
      </c>
    </row>
    <row r="88" spans="2:46">
      <c r="B88" t="str">
        <f>'Final data_for_R_analysis_Dryse'!A14</f>
        <v>Dry</v>
      </c>
      <c r="C88" s="263">
        <f>'Final data_for_R_analysis_Dryse'!B14</f>
        <v>13</v>
      </c>
      <c r="D88" t="s">
        <v>3828</v>
      </c>
      <c r="E88" t="s">
        <v>22</v>
      </c>
      <c r="F88" s="387">
        <v>5</v>
      </c>
      <c r="G88" s="16">
        <f>'Dry_Litterbag Placem_Collection'!E15</f>
        <v>42938</v>
      </c>
      <c r="H88" t="str">
        <f>'Final data_for_R_analysis_Dryse'!J14</f>
        <v>G2</v>
      </c>
      <c r="I88" t="str">
        <f>'Final data_for_R_analysis_Dryse'!J234</f>
        <v>R784</v>
      </c>
      <c r="J88">
        <f>IFERROR(INDEX('Green_rooibos initial weight'!$C$5:$C$1749,MATCH(H88, 'Green_rooibos initial weight'!$A$5:$A$1749,0)),"")</f>
        <v>2</v>
      </c>
      <c r="K88">
        <f>IFERROR(INDEX('Green_rooibos initial weight'!$C$5:$C$1749,MATCH(I88, 'Green_rooibos initial weight'!$A$5:$A$1749,0)),"")</f>
        <v>2.17</v>
      </c>
      <c r="L88" s="195">
        <f t="shared" si="5"/>
        <v>1.7502</v>
      </c>
      <c r="M88" s="240">
        <f>AVERAGE(Ashed_controlls!$K$1:$K$11)</f>
        <v>5.5147656768714146</v>
      </c>
      <c r="N88" s="195">
        <f t="shared" si="0"/>
        <v>1.6536805711233964</v>
      </c>
      <c r="O88" s="195">
        <f t="shared" si="6"/>
        <v>1.9201999999999999</v>
      </c>
      <c r="P88" s="240">
        <f>AVERAGE(Ashed_controlls!$K$12:$K$14)</f>
        <v>2.2816647271287041</v>
      </c>
      <c r="Q88" s="195">
        <f t="shared" si="1"/>
        <v>1.8763874739096746</v>
      </c>
      <c r="R88" s="16">
        <f>IF('Dry_Litterbag Placem_Collection'!G15="N.A","",'Dry_Litterbag Placem_Collection'!G15)</f>
        <v>43007</v>
      </c>
      <c r="S88" s="195">
        <f>IF(IFERROR(INDEX('Both teabags AfterDry'!$D$1:$D$839,MATCH(H88,'Both teabags AfterDry'!$A$1:$A$839,0)),"")="N.A","",(IFERROR(INDEX('Both teabags AfterDry'!$D$1:$D$839,MATCH(H88,'Both teabags AfterDry'!$A$1:$A$839,0)),"")))</f>
        <v>1.7587999999999999</v>
      </c>
      <c r="T88" s="195">
        <f>IF(IFERROR(INDEX('Both teabags AfterDry'!$D$1:$D$839,MATCH(I88,'Both teabags AfterDry'!$A$1:$A$839,0)),"")="N.A","",(IFERROR(INDEX('Both teabags AfterDry'!$D$1:$D$839,MATCH(I88,'Both teabags AfterDry'!$A$1:$A$839,0)),"")))</f>
        <v>0</v>
      </c>
      <c r="U88" s="195">
        <f t="shared" si="7"/>
        <v>1.6081999999999999</v>
      </c>
      <c r="V88" s="195" t="str">
        <f t="shared" si="7"/>
        <v/>
      </c>
      <c r="W88" s="195">
        <f>IFERROR(INDEX('Ashed teabags dry'!$K$2:$K$821,MATCH(H88,'Ashed teabags dry'!$A$2:$A$821,0)),"")</f>
        <v>27.976482116609386</v>
      </c>
      <c r="X88" s="195">
        <f>IFERROR(INDEX('Ashed teabags dry'!$K$2:$K$821,MATCH(I88,'Ashed teabags dry'!$A$2:$A$821,0)),"")</f>
        <v>92.742616033754956</v>
      </c>
      <c r="Y88" s="195">
        <f t="shared" si="2"/>
        <v>1.1582822146006877</v>
      </c>
      <c r="Z88" s="195" t="str">
        <f t="shared" si="2"/>
        <v/>
      </c>
      <c r="AA88" s="195">
        <f t="shared" si="8"/>
        <v>0.29957318551923806</v>
      </c>
      <c r="AB88" s="195">
        <f t="shared" si="9"/>
        <v>0.19639477245441733</v>
      </c>
      <c r="AC88" s="195" t="str">
        <f t="shared" si="3"/>
        <v/>
      </c>
      <c r="AD88">
        <f t="shared" si="4"/>
        <v>69</v>
      </c>
      <c r="AE88" s="195">
        <f t="shared" si="10"/>
        <v>0.64421236874199761</v>
      </c>
      <c r="AF88" s="195" t="str">
        <f t="shared" si="11"/>
        <v/>
      </c>
      <c r="AG88" s="255" t="str">
        <f>IF(ISNUMBER(SEARCH("C", 'Dry_Litterbag Placem_Collection'!AB15)),"YES","NO")</f>
        <v>NO</v>
      </c>
      <c r="AH88" s="255" t="str">
        <f>IF(ISNUMBER(SEARCH("H", 'Dry_Litterbag Placem_Collection'!AB15)),"YES","NO")</f>
        <v>NO</v>
      </c>
      <c r="AI88" s="255" t="str">
        <f>IF(ISNUMBER(SEARCH("R", 'Dry_Litterbag Placem_Collection'!AB15)),"YES","NO")</f>
        <v>NO</v>
      </c>
      <c r="AJ88" s="255" t="str">
        <f>IF(ISNUMBER(SEARCH("C", 'Dry_Litterbag Placem_Collection'!AA15)),"YES","NO")</f>
        <v>NO</v>
      </c>
      <c r="AK88" s="255" t="str">
        <f>IF(ISNUMBER(SEARCH("H", 'Dry_Litterbag Placem_Collection'!AA15)),"YES","NO")</f>
        <v>NO</v>
      </c>
      <c r="AL88" s="255" t="str">
        <f>IF(ISNUMBER(SEARCH("R", 'Dry_Litterbag Placem_Collection'!AA15)),"YES","NO")</f>
        <v>NO</v>
      </c>
      <c r="AR88" t="s">
        <v>2048</v>
      </c>
      <c r="AT88" t="s">
        <v>355</v>
      </c>
    </row>
    <row r="89" spans="2:46">
      <c r="B89" t="str">
        <f>'Final data_for_R_analysis_Dryse'!A15</f>
        <v>Dry</v>
      </c>
      <c r="C89" s="263">
        <f>'Final data_for_R_analysis_Dryse'!B15</f>
        <v>14</v>
      </c>
      <c r="D89" t="s">
        <v>3828</v>
      </c>
      <c r="E89" t="s">
        <v>22</v>
      </c>
      <c r="F89" s="387">
        <v>6</v>
      </c>
      <c r="G89" s="16">
        <f>'Dry_Litterbag Placem_Collection'!E16</f>
        <v>42938</v>
      </c>
      <c r="H89" t="str">
        <f>'Final data_for_R_analysis_Dryse'!J15</f>
        <v>G225</v>
      </c>
      <c r="I89" t="str">
        <f>'Final data_for_R_analysis_Dryse'!J235</f>
        <v>R838</v>
      </c>
      <c r="J89">
        <f>IFERROR(INDEX('Green_rooibos initial weight'!$C$5:$C$1749,MATCH(H89, 'Green_rooibos initial weight'!$A$5:$A$1749,0)),"")</f>
        <v>2.117</v>
      </c>
      <c r="K89">
        <f>IFERROR(INDEX('Green_rooibos initial weight'!$C$5:$C$1749,MATCH(I89, 'Green_rooibos initial weight'!$A$5:$A$1749,0)),"")</f>
        <v>2.1589999999999998</v>
      </c>
      <c r="L89" s="195">
        <f t="shared" si="5"/>
        <v>1.8672</v>
      </c>
      <c r="M89" s="240">
        <f>AVERAGE(Ashed_controlls!$K$1:$K$11)</f>
        <v>5.5147656768714146</v>
      </c>
      <c r="N89" s="195">
        <f t="shared" si="0"/>
        <v>1.764228295281457</v>
      </c>
      <c r="O89" s="195">
        <f t="shared" si="6"/>
        <v>1.9091999999999998</v>
      </c>
      <c r="P89" s="240">
        <f>AVERAGE(Ashed_controlls!$K$12:$K$14)</f>
        <v>2.2816647271287041</v>
      </c>
      <c r="Q89" s="195">
        <f t="shared" si="1"/>
        <v>1.8656384570296585</v>
      </c>
      <c r="R89" s="16">
        <f>IF('Dry_Litterbag Placem_Collection'!G16="N.A","",'Dry_Litterbag Placem_Collection'!G16)</f>
        <v>43007</v>
      </c>
      <c r="S89" s="195">
        <f>IF(IFERROR(INDEX('Both teabags AfterDry'!$D$1:$D$839,MATCH(H89,'Both teabags AfterDry'!$A$1:$A$839,0)),"")="N.A","",(IFERROR(INDEX('Both teabags AfterDry'!$D$1:$D$839,MATCH(H89,'Both teabags AfterDry'!$A$1:$A$839,0)),"")))</f>
        <v>1.25</v>
      </c>
      <c r="T89" s="195">
        <f>IF(IFERROR(INDEX('Both teabags AfterDry'!$D$1:$D$839,MATCH(I89,'Both teabags AfterDry'!$A$1:$A$839,0)),"")="N.A","",(IFERROR(INDEX('Both teabags AfterDry'!$D$1:$D$839,MATCH(I89,'Both teabags AfterDry'!$A$1:$A$839,0)),"")))</f>
        <v>1.0848</v>
      </c>
      <c r="U89" s="195">
        <f t="shared" si="7"/>
        <v>1.0993999999999999</v>
      </c>
      <c r="V89" s="195">
        <f t="shared" si="7"/>
        <v>0.93419999999999992</v>
      </c>
      <c r="W89" s="195" t="str">
        <f>IFERROR(INDEX('Ashed teabags dry'!$K$2:$K$821,MATCH(H89,'Ashed teabags dry'!$A$2:$A$821,0)),"")</f>
        <v/>
      </c>
      <c r="X89" s="195">
        <f>IFERROR(INDEX('Ashed teabags dry'!$K$2:$K$821,MATCH(I89,'Ashed teabags dry'!$A$2:$A$821,0)),"")</f>
        <v>96.944824441403483</v>
      </c>
      <c r="Y89" s="195" t="str">
        <f t="shared" si="2"/>
        <v/>
      </c>
      <c r="Z89" s="195">
        <f t="shared" si="2"/>
        <v>2.854145006840858E-2</v>
      </c>
      <c r="AA89" s="195" t="str">
        <f t="shared" si="8"/>
        <v/>
      </c>
      <c r="AB89" s="195" t="str">
        <f t="shared" si="9"/>
        <v/>
      </c>
      <c r="AC89" s="195">
        <f t="shared" si="3"/>
        <v>1.5298489351388221E-2</v>
      </c>
      <c r="AD89">
        <f t="shared" si="4"/>
        <v>69</v>
      </c>
      <c r="AE89" s="195" t="str">
        <f t="shared" si="10"/>
        <v/>
      </c>
      <c r="AF89" s="195" t="str">
        <f t="shared" si="11"/>
        <v/>
      </c>
      <c r="AG89" s="255" t="str">
        <f>IF(ISNUMBER(SEARCH("C", 'Dry_Litterbag Placem_Collection'!AB16)),"YES","NO")</f>
        <v>NO</v>
      </c>
      <c r="AH89" s="255" t="str">
        <f>IF(ISNUMBER(SEARCH("H", 'Dry_Litterbag Placem_Collection'!AB16)),"YES","NO")</f>
        <v>NO</v>
      </c>
      <c r="AI89" s="255" t="str">
        <f>IF(ISNUMBER(SEARCH("R", 'Dry_Litterbag Placem_Collection'!AB16)),"YES","NO")</f>
        <v>NO</v>
      </c>
      <c r="AJ89" s="255" t="str">
        <f>IF(ISNUMBER(SEARCH("C", 'Dry_Litterbag Placem_Collection'!AA16)),"YES","NO")</f>
        <v>NO</v>
      </c>
      <c r="AK89" s="255" t="str">
        <f>IF(ISNUMBER(SEARCH("H", 'Dry_Litterbag Placem_Collection'!AA16)),"YES","NO")</f>
        <v>NO</v>
      </c>
      <c r="AL89" s="255" t="str">
        <f>IF(ISNUMBER(SEARCH("R", 'Dry_Litterbag Placem_Collection'!AA16)),"YES","NO")</f>
        <v>NO</v>
      </c>
      <c r="AR89" t="s">
        <v>1825</v>
      </c>
      <c r="AT89" t="s">
        <v>301</v>
      </c>
    </row>
    <row r="90" spans="2:46">
      <c r="B90" t="str">
        <f>'Final data_for_R_analysis_Dryse'!A16</f>
        <v>Dry</v>
      </c>
      <c r="C90" s="263">
        <f>'Final data_for_R_analysis_Dryse'!B16</f>
        <v>15</v>
      </c>
      <c r="D90" t="s">
        <v>3828</v>
      </c>
      <c r="E90" t="s">
        <v>22</v>
      </c>
      <c r="F90" s="387">
        <v>7</v>
      </c>
      <c r="G90" s="16">
        <f>'Dry_Litterbag Placem_Collection'!E17</f>
        <v>42938</v>
      </c>
      <c r="H90" t="str">
        <f>'Final data_for_R_analysis_Dryse'!J16</f>
        <v>G444</v>
      </c>
      <c r="I90" t="str">
        <f>'Final data_for_R_analysis_Dryse'!J236</f>
        <v>R793</v>
      </c>
      <c r="J90">
        <f>IFERROR(INDEX('Green_rooibos initial weight'!$C$5:$C$1749,MATCH(H90, 'Green_rooibos initial weight'!$A$5:$A$1749,0)),"")</f>
        <v>2.0259999999999998</v>
      </c>
      <c r="K90">
        <f>IFERROR(INDEX('Green_rooibos initial weight'!$C$5:$C$1749,MATCH(I90, 'Green_rooibos initial weight'!$A$5:$A$1749,0)),"")</f>
        <v>2.2050000000000001</v>
      </c>
      <c r="L90" s="195">
        <f t="shared" si="5"/>
        <v>1.7761999999999998</v>
      </c>
      <c r="M90" s="240">
        <f>AVERAGE(Ashed_controlls!$K$1:$K$11)</f>
        <v>5.5147656768714146</v>
      </c>
      <c r="N90" s="195">
        <f t="shared" si="0"/>
        <v>1.6782467320474097</v>
      </c>
      <c r="O90" s="195">
        <f t="shared" si="6"/>
        <v>1.9552</v>
      </c>
      <c r="P90" s="240">
        <f>AVERAGE(Ashed_controlls!$K$12:$K$14)</f>
        <v>2.2816647271287041</v>
      </c>
      <c r="Q90" s="195">
        <f t="shared" si="1"/>
        <v>1.9105888912551796</v>
      </c>
      <c r="R90" s="16">
        <f>IF('Dry_Litterbag Placem_Collection'!G17="N.A","",'Dry_Litterbag Placem_Collection'!G17)</f>
        <v>43007</v>
      </c>
      <c r="S90" s="195">
        <f>IF(IFERROR(INDEX('Both teabags AfterDry'!$D$1:$D$839,MATCH(H90,'Both teabags AfterDry'!$A$1:$A$839,0)),"")="N.A","",(IFERROR(INDEX('Both teabags AfterDry'!$D$1:$D$839,MATCH(H90,'Both teabags AfterDry'!$A$1:$A$839,0)),"")))</f>
        <v>1.3574999999999999</v>
      </c>
      <c r="T90" s="195">
        <f>IF(IFERROR(INDEX('Both teabags AfterDry'!$D$1:$D$839,MATCH(I90,'Both teabags AfterDry'!$A$1:$A$839,0)),"")="N.A","",(IFERROR(INDEX('Both teabags AfterDry'!$D$1:$D$839,MATCH(I90,'Both teabags AfterDry'!$A$1:$A$839,0)),"")))</f>
        <v>0.24560000000000001</v>
      </c>
      <c r="U90" s="195">
        <f t="shared" si="7"/>
        <v>1.2068999999999999</v>
      </c>
      <c r="V90" s="195">
        <f t="shared" si="7"/>
        <v>9.5000000000000001E-2</v>
      </c>
      <c r="W90" s="195">
        <f>IFERROR(INDEX('Ashed teabags dry'!$K$2:$K$821,MATCH(H90,'Ashed teabags dry'!$A$2:$A$821,0)),"")</f>
        <v>10.790345480359514</v>
      </c>
      <c r="X90" s="195">
        <f>IFERROR(INDEX('Ashed teabags dry'!$K$2:$K$821,MATCH(I90,'Ashed teabags dry'!$A$2:$A$821,0)),"")</f>
        <v>0</v>
      </c>
      <c r="Y90" s="195">
        <f t="shared" si="2"/>
        <v>1.0766713203975409</v>
      </c>
      <c r="Z90" s="195">
        <f t="shared" si="2"/>
        <v>9.5000000000000001E-2</v>
      </c>
      <c r="AA90" s="195">
        <f t="shared" si="8"/>
        <v>0.35845468974395989</v>
      </c>
      <c r="AB90" s="195">
        <f t="shared" si="9"/>
        <v>0.23499642368012572</v>
      </c>
      <c r="AC90" s="195">
        <f t="shared" si="3"/>
        <v>4.9722889332612444E-2</v>
      </c>
      <c r="AD90">
        <f t="shared" si="4"/>
        <v>69</v>
      </c>
      <c r="AE90" s="195">
        <f t="shared" si="10"/>
        <v>0.57428184115919256</v>
      </c>
      <c r="AF90" s="195" t="str">
        <f t="shared" si="11"/>
        <v/>
      </c>
      <c r="AG90" s="255" t="str">
        <f>IF(ISNUMBER(SEARCH("C", 'Dry_Litterbag Placem_Collection'!AB17)),"YES","NO")</f>
        <v>NO</v>
      </c>
      <c r="AH90" s="255" t="str">
        <f>IF(ISNUMBER(SEARCH("H", 'Dry_Litterbag Placem_Collection'!AB17)),"YES","NO")</f>
        <v>NO</v>
      </c>
      <c r="AI90" s="255" t="str">
        <f>IF(ISNUMBER(SEARCH("R", 'Dry_Litterbag Placem_Collection'!AB17)),"YES","NO")</f>
        <v>NO</v>
      </c>
      <c r="AJ90" s="255" t="str">
        <f>IF(ISNUMBER(SEARCH("C", 'Dry_Litterbag Placem_Collection'!AA17)),"YES","NO")</f>
        <v>NO</v>
      </c>
      <c r="AK90" s="255" t="str">
        <f>IF(ISNUMBER(SEARCH("H", 'Dry_Litterbag Placem_Collection'!AA17)),"YES","NO")</f>
        <v>NO</v>
      </c>
      <c r="AL90" s="255" t="str">
        <f>IF(ISNUMBER(SEARCH("R", 'Dry_Litterbag Placem_Collection'!AA17)),"YES","NO")</f>
        <v>NO</v>
      </c>
      <c r="AR90" t="s">
        <v>1606</v>
      </c>
      <c r="AT90" t="s">
        <v>346</v>
      </c>
    </row>
    <row r="91" spans="2:46">
      <c r="B91" t="str">
        <f>'Final data_for_R_analysis_Dryse'!A17</f>
        <v>Dry</v>
      </c>
      <c r="C91" s="263">
        <f>'Final data_for_R_analysis_Dryse'!B17</f>
        <v>16</v>
      </c>
      <c r="D91" t="s">
        <v>3828</v>
      </c>
      <c r="E91" t="s">
        <v>22</v>
      </c>
      <c r="F91" s="387">
        <v>8</v>
      </c>
      <c r="G91" s="16">
        <f>'Dry_Litterbag Placem_Collection'!E18</f>
        <v>42938</v>
      </c>
      <c r="H91" t="str">
        <f>'Final data_for_R_analysis_Dryse'!J17</f>
        <v>G376</v>
      </c>
      <c r="I91" t="str">
        <f>'Final data_for_R_analysis_Dryse'!J237</f>
        <v>R755</v>
      </c>
      <c r="J91">
        <f>IFERROR(INDEX('Green_rooibos initial weight'!$C$5:$C$1749,MATCH(H91, 'Green_rooibos initial weight'!$A$5:$A$1749,0)),"")</f>
        <v>2.0329999999999999</v>
      </c>
      <c r="K91">
        <f>IFERROR(INDEX('Green_rooibos initial weight'!$C$5:$C$1749,MATCH(I91, 'Green_rooibos initial weight'!$A$5:$A$1749,0)),"")</f>
        <v>2.2120000000000002</v>
      </c>
      <c r="L91" s="195">
        <f t="shared" si="5"/>
        <v>1.7831999999999999</v>
      </c>
      <c r="M91" s="240">
        <f>AVERAGE(Ashed_controlls!$K$1:$K$11)</f>
        <v>5.5147656768714146</v>
      </c>
      <c r="N91" s="195">
        <f t="shared" si="0"/>
        <v>1.6848606984500289</v>
      </c>
      <c r="O91" s="195">
        <f t="shared" si="6"/>
        <v>1.9622000000000002</v>
      </c>
      <c r="P91" s="240">
        <f>AVERAGE(Ashed_controlls!$K$12:$K$14)</f>
        <v>2.2816647271287041</v>
      </c>
      <c r="Q91" s="195">
        <f t="shared" si="1"/>
        <v>1.9174291747242806</v>
      </c>
      <c r="R91" s="16">
        <f>IF('Dry_Litterbag Placem_Collection'!G18="N.A","",'Dry_Litterbag Placem_Collection'!G18)</f>
        <v>43007</v>
      </c>
      <c r="S91" s="195" t="str">
        <f>IF(IFERROR(INDEX('Both teabags AfterDry'!$D$1:$D$839,MATCH(H91,'Both teabags AfterDry'!$A$1:$A$839,0)),"")="N.A","",(IFERROR(INDEX('Both teabags AfterDry'!$D$1:$D$839,MATCH(H91,'Both teabags AfterDry'!$A$1:$A$839,0)),"")))</f>
        <v/>
      </c>
      <c r="T91" s="195" t="str">
        <f>IF(IFERROR(INDEX('Both teabags AfterDry'!$D$1:$D$839,MATCH(I91,'Both teabags AfterDry'!$A$1:$A$839,0)),"")="N.A","",(IFERROR(INDEX('Both teabags AfterDry'!$D$1:$D$839,MATCH(I91,'Both teabags AfterDry'!$A$1:$A$839,0)),"")))</f>
        <v/>
      </c>
      <c r="U91" s="195" t="str">
        <f t="shared" si="7"/>
        <v/>
      </c>
      <c r="V91" s="195" t="str">
        <f t="shared" si="7"/>
        <v/>
      </c>
      <c r="W91" s="195" t="str">
        <f>IFERROR(INDEX('Ashed teabags dry'!$K$2:$K$821,MATCH(H91,'Ashed teabags dry'!$A$2:$A$821,0)),"")</f>
        <v/>
      </c>
      <c r="X91" s="195" t="str">
        <f>IFERROR(INDEX('Ashed teabags dry'!$K$2:$K$821,MATCH(I91,'Ashed teabags dry'!$A$2:$A$821,0)),"")</f>
        <v/>
      </c>
      <c r="Y91" s="195" t="str">
        <f t="shared" si="2"/>
        <v/>
      </c>
      <c r="Z91" s="195" t="str">
        <f t="shared" si="2"/>
        <v/>
      </c>
      <c r="AA91" s="195" t="str">
        <f t="shared" si="8"/>
        <v/>
      </c>
      <c r="AB91" s="195" t="str">
        <f t="shared" si="9"/>
        <v/>
      </c>
      <c r="AC91" s="195" t="str">
        <f t="shared" si="3"/>
        <v/>
      </c>
      <c r="AD91">
        <f t="shared" si="4"/>
        <v>69</v>
      </c>
      <c r="AE91" s="195" t="str">
        <f t="shared" si="10"/>
        <v/>
      </c>
      <c r="AF91" s="195" t="str">
        <f t="shared" si="11"/>
        <v/>
      </c>
      <c r="AG91" s="255" t="str">
        <f>IF(ISNUMBER(SEARCH("C", 'Dry_Litterbag Placem_Collection'!AB18)),"YES","NO")</f>
        <v>NO</v>
      </c>
      <c r="AH91" s="255" t="str">
        <f>IF(ISNUMBER(SEARCH("H", 'Dry_Litterbag Placem_Collection'!AB18)),"YES","NO")</f>
        <v>NO</v>
      </c>
      <c r="AI91" s="255" t="str">
        <f>IF(ISNUMBER(SEARCH("R", 'Dry_Litterbag Placem_Collection'!AB18)),"YES","NO")</f>
        <v>NO</v>
      </c>
      <c r="AJ91" s="255" t="str">
        <f>IF(ISNUMBER(SEARCH("C", 'Dry_Litterbag Placem_Collection'!AA18)),"YES","NO")</f>
        <v>NO</v>
      </c>
      <c r="AK91" s="255" t="str">
        <f>IF(ISNUMBER(SEARCH("H", 'Dry_Litterbag Placem_Collection'!AA18)),"YES","NO")</f>
        <v>NO</v>
      </c>
      <c r="AL91" s="255" t="str">
        <f>IF(ISNUMBER(SEARCH("R", 'Dry_Litterbag Placem_Collection'!AA18)),"YES","NO")</f>
        <v>NO</v>
      </c>
      <c r="AR91" t="s">
        <v>1674</v>
      </c>
      <c r="AT91" t="s">
        <v>384</v>
      </c>
    </row>
    <row r="92" spans="2:46">
      <c r="B92" t="str">
        <f>'Final data_for_R_analysis_Dryse'!A18</f>
        <v>Dry</v>
      </c>
      <c r="C92" s="263">
        <f>'Final data_for_R_analysis_Dryse'!B18</f>
        <v>17</v>
      </c>
      <c r="D92" t="s">
        <v>3829</v>
      </c>
      <c r="E92" t="s">
        <v>22</v>
      </c>
      <c r="F92" s="386">
        <v>1</v>
      </c>
      <c r="G92" s="16">
        <f>'Dry_Litterbag Placem_Collection'!E19</f>
        <v>42936</v>
      </c>
      <c r="H92" t="str">
        <f>'Final data_for_R_analysis_Dryse'!J18</f>
        <v>G209</v>
      </c>
      <c r="I92" t="str">
        <f>'Final data_for_R_analysis_Dryse'!J238</f>
        <v>R826</v>
      </c>
      <c r="J92">
        <f>IFERROR(INDEX('Green_rooibos initial weight'!$C$5:$C$1749,MATCH(H92, 'Green_rooibos initial weight'!$A$5:$A$1749,0)),"")</f>
        <v>2.1160000000000001</v>
      </c>
      <c r="K92">
        <f>IFERROR(INDEX('Green_rooibos initial weight'!$C$5:$C$1749,MATCH(I92, 'Green_rooibos initial weight'!$A$5:$A$1749,0)),"")</f>
        <v>2.1659999999999999</v>
      </c>
      <c r="L92" s="195">
        <f t="shared" si="5"/>
        <v>1.8662000000000001</v>
      </c>
      <c r="M92" s="240">
        <f>AVERAGE(Ashed_controlls!$K$1:$K$11)</f>
        <v>5.5147656768714146</v>
      </c>
      <c r="N92" s="195">
        <f t="shared" si="0"/>
        <v>1.7632834429382258</v>
      </c>
      <c r="O92" s="195">
        <f t="shared" si="6"/>
        <v>1.9161999999999999</v>
      </c>
      <c r="P92" s="240">
        <f>AVERAGE(Ashed_controlls!$K$12:$K$14)</f>
        <v>2.2816647271287041</v>
      </c>
      <c r="Q92" s="195">
        <f t="shared" si="1"/>
        <v>1.8724787404987597</v>
      </c>
      <c r="R92" s="16">
        <f>IF('Dry_Litterbag Placem_Collection'!G19="N.A","",'Dry_Litterbag Placem_Collection'!G19)</f>
        <v>43007</v>
      </c>
      <c r="S92" s="195">
        <f>IF(IFERROR(INDEX('Both teabags AfterDry'!$D$1:$D$839,MATCH(H92,'Both teabags AfterDry'!$A$1:$A$839,0)),"")="N.A","",(IFERROR(INDEX('Both teabags AfterDry'!$D$1:$D$839,MATCH(H92,'Both teabags AfterDry'!$A$1:$A$839,0)),"")))</f>
        <v>1.9087000000000001</v>
      </c>
      <c r="T92" s="195">
        <f>IF(IFERROR(INDEX('Both teabags AfterDry'!$D$1:$D$839,MATCH(I92,'Both teabags AfterDry'!$A$1:$A$839,0)),"")="N.A","",(IFERROR(INDEX('Both teabags AfterDry'!$D$1:$D$839,MATCH(I92,'Both teabags AfterDry'!$A$1:$A$839,0)),"")))</f>
        <v>1.9086000000000001</v>
      </c>
      <c r="U92" s="195">
        <f t="shared" si="7"/>
        <v>1.7581</v>
      </c>
      <c r="V92" s="195">
        <f t="shared" si="7"/>
        <v>1.758</v>
      </c>
      <c r="W92" s="195">
        <f>IFERROR(INDEX('Ashed teabags dry'!$K$2:$K$821,MATCH(H92,'Ashed teabags dry'!$A$2:$A$821,0)),"")</f>
        <v>5.4283290924516674</v>
      </c>
      <c r="X92" s="195">
        <f>IFERROR(INDEX('Ashed teabags dry'!$K$2:$K$821,MATCH(I92,'Ashed teabags dry'!$A$2:$A$821,0)),"")</f>
        <v>3.214971209212738</v>
      </c>
      <c r="Y92" s="195">
        <f t="shared" si="2"/>
        <v>1.6626645462256073</v>
      </c>
      <c r="Z92" s="195">
        <f t="shared" si="2"/>
        <v>1.7014808061420401</v>
      </c>
      <c r="AA92" s="195">
        <f t="shared" si="8"/>
        <v>5.7063370676783243E-2</v>
      </c>
      <c r="AB92" s="195">
        <f t="shared" si="9"/>
        <v>3.7409715693093072E-2</v>
      </c>
      <c r="AC92" s="195">
        <f t="shared" si="3"/>
        <v>0.90867830397306837</v>
      </c>
      <c r="AD92">
        <f t="shared" si="4"/>
        <v>71</v>
      </c>
      <c r="AE92" s="195">
        <f t="shared" si="10"/>
        <v>0.93222877591830966</v>
      </c>
      <c r="AF92" s="195" t="str">
        <f t="shared" si="11"/>
        <v/>
      </c>
      <c r="AG92" s="255" t="str">
        <f>IF(ISNUMBER(SEARCH("C", 'Dry_Litterbag Placem_Collection'!AB19)),"YES","NO")</f>
        <v>NO</v>
      </c>
      <c r="AH92" s="255" t="str">
        <f>IF(ISNUMBER(SEARCH("H", 'Dry_Litterbag Placem_Collection'!AB19)),"YES","NO")</f>
        <v>NO</v>
      </c>
      <c r="AI92" s="255" t="str">
        <f>IF(ISNUMBER(SEARCH("R", 'Dry_Litterbag Placem_Collection'!AB19)),"YES","NO")</f>
        <v>NO</v>
      </c>
      <c r="AJ92" s="255" t="str">
        <f>IF(ISNUMBER(SEARCH("C", 'Dry_Litterbag Placem_Collection'!AA19)),"YES","NO")</f>
        <v>NO</v>
      </c>
      <c r="AK92" s="255" t="str">
        <f>IF(ISNUMBER(SEARCH("H", 'Dry_Litterbag Placem_Collection'!AA19)),"YES","NO")</f>
        <v>NO</v>
      </c>
      <c r="AL92" s="255" t="str">
        <f>IF(ISNUMBER(SEARCH("R", 'Dry_Litterbag Placem_Collection'!AA19)),"YES","NO")</f>
        <v>NO</v>
      </c>
      <c r="AR92" t="s">
        <v>1841</v>
      </c>
      <c r="AT92" t="s">
        <v>313</v>
      </c>
    </row>
    <row r="93" spans="2:46">
      <c r="B93" t="str">
        <f>'Final data_for_R_analysis_Dryse'!A19</f>
        <v>Dry</v>
      </c>
      <c r="C93" s="263">
        <f>'Final data_for_R_analysis_Dryse'!B19</f>
        <v>18</v>
      </c>
      <c r="D93" t="s">
        <v>3829</v>
      </c>
      <c r="E93" t="s">
        <v>22</v>
      </c>
      <c r="F93" s="386">
        <v>2</v>
      </c>
      <c r="G93" s="16">
        <f>'Dry_Litterbag Placem_Collection'!E20</f>
        <v>42936</v>
      </c>
      <c r="H93" t="str">
        <f>'Final data_for_R_analysis_Dryse'!J19</f>
        <v>G10</v>
      </c>
      <c r="I93" t="str">
        <f>'Final data_for_R_analysis_Dryse'!J239</f>
        <v>R732</v>
      </c>
      <c r="J93">
        <f>IFERROR(INDEX('Green_rooibos initial weight'!$C$5:$C$1749,MATCH(H93, 'Green_rooibos initial weight'!$A$5:$A$1749,0)),"")</f>
        <v>1.9710000000000001</v>
      </c>
      <c r="K93">
        <f>IFERROR(INDEX('Green_rooibos initial weight'!$C$5:$C$1749,MATCH(I93, 'Green_rooibos initial weight'!$A$5:$A$1749,0)),"")</f>
        <v>2.2189999999999999</v>
      </c>
      <c r="L93" s="195">
        <f t="shared" si="5"/>
        <v>1.7212000000000001</v>
      </c>
      <c r="M93" s="240">
        <f>AVERAGE(Ashed_controlls!$K$1:$K$11)</f>
        <v>5.5147656768714146</v>
      </c>
      <c r="N93" s="195">
        <f t="shared" si="0"/>
        <v>1.6262798531696894</v>
      </c>
      <c r="O93" s="195">
        <f t="shared" si="6"/>
        <v>1.9691999999999998</v>
      </c>
      <c r="P93" s="240">
        <f>AVERAGE(Ashed_controlls!$K$12:$K$14)</f>
        <v>2.2816647271287041</v>
      </c>
      <c r="Q93" s="195">
        <f t="shared" si="1"/>
        <v>1.9242694581933815</v>
      </c>
      <c r="R93" s="16">
        <f>IF('Dry_Litterbag Placem_Collection'!G20="N.A","",'Dry_Litterbag Placem_Collection'!G20)</f>
        <v>43007</v>
      </c>
      <c r="S93" s="195">
        <f>IF(IFERROR(INDEX('Both teabags AfterDry'!$D$1:$D$839,MATCH(H93,'Both teabags AfterDry'!$A$1:$A$839,0)),"")="N.A","",(IFERROR(INDEX('Both teabags AfterDry'!$D$1:$D$839,MATCH(H93,'Both teabags AfterDry'!$A$1:$A$839,0)),"")))</f>
        <v>1.7706999999999999</v>
      </c>
      <c r="T93" s="195">
        <f>IF(IFERROR(INDEX('Both teabags AfterDry'!$D$1:$D$839,MATCH(I93,'Both teabags AfterDry'!$A$1:$A$839,0)),"")="N.A","",(IFERROR(INDEX('Both teabags AfterDry'!$D$1:$D$839,MATCH(I93,'Both teabags AfterDry'!$A$1:$A$839,0)),"")))</f>
        <v>1.9874000000000001</v>
      </c>
      <c r="U93" s="195">
        <f t="shared" si="7"/>
        <v>1.6200999999999999</v>
      </c>
      <c r="V93" s="195">
        <f t="shared" si="7"/>
        <v>1.8368</v>
      </c>
      <c r="W93" s="195">
        <f>IFERROR(INDEX('Ashed teabags dry'!$K$2:$K$821,MATCH(H93,'Ashed teabags dry'!$A$2:$A$821,0)),"")</f>
        <v>5.8337384540594233</v>
      </c>
      <c r="X93" s="195">
        <f>IFERROR(INDEX('Ashed teabags dry'!$K$2:$K$821,MATCH(I93,'Ashed teabags dry'!$A$2:$A$821,0)),"")</f>
        <v>2.4777006937559349</v>
      </c>
      <c r="Y93" s="195">
        <f t="shared" si="2"/>
        <v>1.5255876033057831</v>
      </c>
      <c r="Z93" s="195">
        <f t="shared" si="2"/>
        <v>1.791289593657091</v>
      </c>
      <c r="AA93" s="195">
        <f t="shared" si="8"/>
        <v>6.1915696531351982E-2</v>
      </c>
      <c r="AB93" s="195">
        <f t="shared" si="9"/>
        <v>4.0590812927917212E-2</v>
      </c>
      <c r="AC93" s="195">
        <f t="shared" si="3"/>
        <v>0.93089332475237641</v>
      </c>
      <c r="AD93">
        <f t="shared" si="4"/>
        <v>71</v>
      </c>
      <c r="AE93" s="195">
        <f t="shared" si="10"/>
        <v>0.92646591860884564</v>
      </c>
      <c r="AF93" s="195" t="str">
        <f t="shared" si="11"/>
        <v/>
      </c>
      <c r="AG93" s="255" t="str">
        <f>IF(ISNUMBER(SEARCH("C", 'Dry_Litterbag Placem_Collection'!AB20)),"YES","NO")</f>
        <v>NO</v>
      </c>
      <c r="AH93" s="255" t="str">
        <f>IF(ISNUMBER(SEARCH("H", 'Dry_Litterbag Placem_Collection'!AB20)),"YES","NO")</f>
        <v>NO</v>
      </c>
      <c r="AI93" s="255" t="str">
        <f>IF(ISNUMBER(SEARCH("R", 'Dry_Litterbag Placem_Collection'!AB20)),"YES","NO")</f>
        <v>NO</v>
      </c>
      <c r="AJ93" s="255" t="str">
        <f>IF(ISNUMBER(SEARCH("C", 'Dry_Litterbag Placem_Collection'!AA20)),"YES","NO")</f>
        <v>NO</v>
      </c>
      <c r="AK93" s="255" t="str">
        <f>IF(ISNUMBER(SEARCH("H", 'Dry_Litterbag Placem_Collection'!AA20)),"YES","NO")</f>
        <v>NO</v>
      </c>
      <c r="AL93" s="255" t="str">
        <f>IF(ISNUMBER(SEARCH("R", 'Dry_Litterbag Placem_Collection'!AA20)),"YES","NO")</f>
        <v>NO</v>
      </c>
      <c r="AR93" t="s">
        <v>2040</v>
      </c>
      <c r="AT93" t="s">
        <v>407</v>
      </c>
    </row>
    <row r="94" spans="2:46">
      <c r="B94" t="str">
        <f>'Final data_for_R_analysis_Dryse'!A20</f>
        <v>Dry</v>
      </c>
      <c r="C94" s="263">
        <f>'Final data_for_R_analysis_Dryse'!B20</f>
        <v>19</v>
      </c>
      <c r="D94" t="s">
        <v>3829</v>
      </c>
      <c r="E94" t="s">
        <v>22</v>
      </c>
      <c r="F94" s="386">
        <v>3</v>
      </c>
      <c r="G94" s="16">
        <f>'Dry_Litterbag Placem_Collection'!E21</f>
        <v>42936</v>
      </c>
      <c r="H94" t="str">
        <f>'Final data_for_R_analysis_Dryse'!J20</f>
        <v>G190</v>
      </c>
      <c r="I94" t="str">
        <f>'Final data_for_R_analysis_Dryse'!J240</f>
        <v>R749</v>
      </c>
      <c r="J94">
        <f>IFERROR(INDEX('Green_rooibos initial weight'!$C$5:$C$1749,MATCH(H94, 'Green_rooibos initial weight'!$A$5:$A$1749,0)),"")</f>
        <v>1.909</v>
      </c>
      <c r="K94">
        <f>IFERROR(INDEX('Green_rooibos initial weight'!$C$5:$C$1749,MATCH(I94, 'Green_rooibos initial weight'!$A$5:$A$1749,0)),"")</f>
        <v>2.2050000000000001</v>
      </c>
      <c r="L94" s="195">
        <f t="shared" si="5"/>
        <v>1.6592</v>
      </c>
      <c r="M94" s="240">
        <f>AVERAGE(Ashed_controlls!$K$1:$K$11)</f>
        <v>5.5147656768714146</v>
      </c>
      <c r="N94" s="195">
        <f t="shared" si="0"/>
        <v>1.5676990078893496</v>
      </c>
      <c r="O94" s="195">
        <f t="shared" si="6"/>
        <v>1.9552</v>
      </c>
      <c r="P94" s="240">
        <f>AVERAGE(Ashed_controlls!$K$12:$K$14)</f>
        <v>2.2816647271287041</v>
      </c>
      <c r="Q94" s="195">
        <f t="shared" si="1"/>
        <v>1.9105888912551796</v>
      </c>
      <c r="R94" s="16">
        <f>IF('Dry_Litterbag Placem_Collection'!G21="N.A","",'Dry_Litterbag Placem_Collection'!G21)</f>
        <v>43007</v>
      </c>
      <c r="S94" s="195">
        <f>IF(IFERROR(INDEX('Both teabags AfterDry'!$D$1:$D$839,MATCH(H94,'Both teabags AfterDry'!$A$1:$A$839,0)),"")="N.A","",(IFERROR(INDEX('Both teabags AfterDry'!$D$1:$D$839,MATCH(H94,'Both teabags AfterDry'!$A$1:$A$839,0)),"")))</f>
        <v>1.7041999999999999</v>
      </c>
      <c r="T94" s="195">
        <f>IF(IFERROR(INDEX('Both teabags AfterDry'!$D$1:$D$839,MATCH(I94,'Both teabags AfterDry'!$A$1:$A$839,0)),"")="N.A","",(IFERROR(INDEX('Both teabags AfterDry'!$D$1:$D$839,MATCH(I94,'Both teabags AfterDry'!$A$1:$A$839,0)),"")))</f>
        <v>1.9492</v>
      </c>
      <c r="U94" s="195">
        <f t="shared" si="7"/>
        <v>1.5535999999999999</v>
      </c>
      <c r="V94" s="195">
        <f t="shared" si="7"/>
        <v>1.7986</v>
      </c>
      <c r="W94" s="195">
        <f>IFERROR(INDEX('Ashed teabags dry'!$K$2:$K$821,MATCH(H94,'Ashed teabags dry'!$A$2:$A$821,0)),"")</f>
        <v>6.0311284046705405</v>
      </c>
      <c r="X94" s="195">
        <f>IFERROR(INDEX('Ashed teabags dry'!$K$2:$K$821,MATCH(I94,'Ashed teabags dry'!$A$2:$A$821,0)),"")</f>
        <v>3.2445520581110632</v>
      </c>
      <c r="Y94" s="195">
        <f t="shared" si="2"/>
        <v>1.4599003891050384</v>
      </c>
      <c r="Z94" s="195">
        <f t="shared" si="2"/>
        <v>1.7402434866828145</v>
      </c>
      <c r="AA94" s="195">
        <f t="shared" si="8"/>
        <v>6.8762318686062307E-2</v>
      </c>
      <c r="AB94" s="195">
        <f t="shared" si="9"/>
        <v>4.5079334815565759E-2</v>
      </c>
      <c r="AC94" s="195">
        <f t="shared" si="3"/>
        <v>0.91084141368557048</v>
      </c>
      <c r="AD94">
        <f t="shared" si="4"/>
        <v>71</v>
      </c>
      <c r="AE94" s="195">
        <f t="shared" si="10"/>
        <v>0.91833453837759826</v>
      </c>
      <c r="AF94" s="195" t="str">
        <f t="shared" si="11"/>
        <v/>
      </c>
      <c r="AG94" s="255" t="str">
        <f>IF(ISNUMBER(SEARCH("C", 'Dry_Litterbag Placem_Collection'!AB21)),"YES","NO")</f>
        <v>NO</v>
      </c>
      <c r="AH94" s="255" t="str">
        <f>IF(ISNUMBER(SEARCH("H", 'Dry_Litterbag Placem_Collection'!AB21)),"YES","NO")</f>
        <v>NO</v>
      </c>
      <c r="AI94" s="255" t="str">
        <f>IF(ISNUMBER(SEARCH("R", 'Dry_Litterbag Placem_Collection'!AB21)),"YES","NO")</f>
        <v>NO</v>
      </c>
      <c r="AJ94" s="255" t="str">
        <f>IF(ISNUMBER(SEARCH("C", 'Dry_Litterbag Placem_Collection'!AA21)),"YES","NO")</f>
        <v>NO</v>
      </c>
      <c r="AK94" s="255" t="str">
        <f>IF(ISNUMBER(SEARCH("H", 'Dry_Litterbag Placem_Collection'!AA21)),"YES","NO")</f>
        <v>NO</v>
      </c>
      <c r="AL94" s="255" t="str">
        <f>IF(ISNUMBER(SEARCH("R", 'Dry_Litterbag Placem_Collection'!AA21)),"YES","NO")</f>
        <v>NO</v>
      </c>
      <c r="AR94" t="s">
        <v>1860</v>
      </c>
      <c r="AT94" t="s">
        <v>390</v>
      </c>
    </row>
    <row r="95" spans="2:46">
      <c r="B95" t="str">
        <f>'Final data_for_R_analysis_Dryse'!A21</f>
        <v>Dry</v>
      </c>
      <c r="C95" s="263">
        <f>'Final data_for_R_analysis_Dryse'!B21</f>
        <v>20</v>
      </c>
      <c r="D95" t="s">
        <v>3829</v>
      </c>
      <c r="E95" t="s">
        <v>22</v>
      </c>
      <c r="F95" s="387">
        <v>4</v>
      </c>
      <c r="G95" s="16">
        <f>'Dry_Litterbag Placem_Collection'!E22</f>
        <v>42936</v>
      </c>
      <c r="H95" t="str">
        <f>'Final data_for_R_analysis_Dryse'!J21</f>
        <v>G38</v>
      </c>
      <c r="I95" t="str">
        <f>'Final data_for_R_analysis_Dryse'!J241</f>
        <v>R632</v>
      </c>
      <c r="J95">
        <f>IFERROR(INDEX('Green_rooibos initial weight'!$C$5:$C$1749,MATCH(H95, 'Green_rooibos initial weight'!$A$5:$A$1749,0)),"")</f>
        <v>1.93</v>
      </c>
      <c r="K95">
        <f>IFERROR(INDEX('Green_rooibos initial weight'!$C$5:$C$1749,MATCH(I95, 'Green_rooibos initial weight'!$A$5:$A$1749,0)),"")</f>
        <v>2.1269999999999998</v>
      </c>
      <c r="L95" s="195">
        <f t="shared" si="5"/>
        <v>1.6801999999999999</v>
      </c>
      <c r="M95" s="240">
        <f>AVERAGE(Ashed_controlls!$K$1:$K$11)</f>
        <v>5.5147656768714146</v>
      </c>
      <c r="N95" s="195">
        <f t="shared" si="0"/>
        <v>1.5875409070972064</v>
      </c>
      <c r="O95" s="195">
        <f t="shared" si="6"/>
        <v>1.8771999999999998</v>
      </c>
      <c r="P95" s="240">
        <f>AVERAGE(Ashed_controlls!$K$12:$K$14)</f>
        <v>2.2816647271287041</v>
      </c>
      <c r="Q95" s="195">
        <f t="shared" si="1"/>
        <v>1.8343685897423396</v>
      </c>
      <c r="R95" s="16">
        <f>IF('Dry_Litterbag Placem_Collection'!G22="N.A","",'Dry_Litterbag Placem_Collection'!G22)</f>
        <v>43007</v>
      </c>
      <c r="S95" s="195">
        <f>IF(IFERROR(INDEX('Both teabags AfterDry'!$D$1:$D$839,MATCH(H95,'Both teabags AfterDry'!$A$1:$A$839,0)),"")="N.A","",(IFERROR(INDEX('Both teabags AfterDry'!$D$1:$D$839,MATCH(H95,'Both teabags AfterDry'!$A$1:$A$839,0)),"")))</f>
        <v>1.6738</v>
      </c>
      <c r="T95" s="195">
        <f>IF(IFERROR(INDEX('Both teabags AfterDry'!$D$1:$D$839,MATCH(I95,'Both teabags AfterDry'!$A$1:$A$839,0)),"")="N.A","",(IFERROR(INDEX('Both teabags AfterDry'!$D$1:$D$839,MATCH(I95,'Both teabags AfterDry'!$A$1:$A$839,0)),"")))</f>
        <v>1.9161999999999999</v>
      </c>
      <c r="U95" s="195">
        <f t="shared" si="7"/>
        <v>1.5231999999999999</v>
      </c>
      <c r="V95" s="195">
        <f t="shared" si="7"/>
        <v>1.7655999999999998</v>
      </c>
      <c r="W95" s="195">
        <f>IFERROR(INDEX('Ashed teabags dry'!$K$2:$K$821,MATCH(H95,'Ashed teabags dry'!$A$2:$A$821,0)),"")</f>
        <v>6.723084156088639</v>
      </c>
      <c r="X95" s="195">
        <f>IFERROR(INDEX('Ashed teabags dry'!$K$2:$K$821,MATCH(I95,'Ashed teabags dry'!$A$2:$A$821,0)),"")</f>
        <v>3.0104712041882107</v>
      </c>
      <c r="Y95" s="195">
        <f t="shared" si="2"/>
        <v>1.4207939821344577</v>
      </c>
      <c r="Z95" s="195">
        <f t="shared" si="2"/>
        <v>1.7124471204188527</v>
      </c>
      <c r="AA95" s="195">
        <f t="shared" si="8"/>
        <v>0.10503472648628809</v>
      </c>
      <c r="AB95" s="195">
        <f t="shared" si="9"/>
        <v>6.8858870570583167E-2</v>
      </c>
      <c r="AC95" s="195">
        <f t="shared" si="3"/>
        <v>0.93353491222796592</v>
      </c>
      <c r="AD95">
        <f t="shared" si="4"/>
        <v>71</v>
      </c>
      <c r="AE95" s="195">
        <f t="shared" si="10"/>
        <v>0.87525566925618992</v>
      </c>
      <c r="AF95" s="195">
        <f t="shared" si="11"/>
        <v>4.7312453244476721E-2</v>
      </c>
      <c r="AG95" s="255" t="str">
        <f>IF(ISNUMBER(SEARCH("C", 'Dry_Litterbag Placem_Collection'!AB22)),"YES","NO")</f>
        <v>NO</v>
      </c>
      <c r="AH95" s="255" t="str">
        <f>IF(ISNUMBER(SEARCH("H", 'Dry_Litterbag Placem_Collection'!AB22)),"YES","NO")</f>
        <v>NO</v>
      </c>
      <c r="AI95" s="255" t="str">
        <f>IF(ISNUMBER(SEARCH("R", 'Dry_Litterbag Placem_Collection'!AB22)),"YES","NO")</f>
        <v>NO</v>
      </c>
      <c r="AJ95" s="255" t="str">
        <f>IF(ISNUMBER(SEARCH("C", 'Dry_Litterbag Placem_Collection'!AA22)),"YES","NO")</f>
        <v>NO</v>
      </c>
      <c r="AK95" s="255" t="str">
        <f>IF(ISNUMBER(SEARCH("H", 'Dry_Litterbag Placem_Collection'!AA22)),"YES","NO")</f>
        <v>NO</v>
      </c>
      <c r="AL95" s="255" t="str">
        <f>IF(ISNUMBER(SEARCH("R", 'Dry_Litterbag Placem_Collection'!AA22)),"YES","NO")</f>
        <v>NO</v>
      </c>
      <c r="AR95" t="s">
        <v>2012</v>
      </c>
      <c r="AT95" t="s">
        <v>507</v>
      </c>
    </row>
    <row r="96" spans="2:46">
      <c r="B96" t="str">
        <f>'Final data_for_R_analysis_Dryse'!A22</f>
        <v>Dry</v>
      </c>
      <c r="C96" s="263">
        <f>'Final data_for_R_analysis_Dryse'!B22</f>
        <v>21</v>
      </c>
      <c r="D96" t="s">
        <v>3829</v>
      </c>
      <c r="E96" t="s">
        <v>22</v>
      </c>
      <c r="F96" s="387">
        <v>5</v>
      </c>
      <c r="G96" s="16">
        <f>'Dry_Litterbag Placem_Collection'!E23</f>
        <v>42936</v>
      </c>
      <c r="H96" t="str">
        <f>'Final data_for_R_analysis_Dryse'!J22</f>
        <v>G468</v>
      </c>
      <c r="I96" t="str">
        <f>'Final data_for_R_analysis_Dryse'!J242</f>
        <v>R630</v>
      </c>
      <c r="J96">
        <f>IFERROR(INDEX('Green_rooibos initial weight'!$C$5:$C$1749,MATCH(H96, 'Green_rooibos initial weight'!$A$5:$A$1749,0)),"")</f>
        <v>2.1309999999999998</v>
      </c>
      <c r="K96">
        <f>IFERROR(INDEX('Green_rooibos initial weight'!$C$5:$C$1749,MATCH(I96, 'Green_rooibos initial weight'!$A$5:$A$1749,0)),"")</f>
        <v>2.13</v>
      </c>
      <c r="L96" s="195">
        <f t="shared" si="5"/>
        <v>1.8811999999999998</v>
      </c>
      <c r="M96" s="240">
        <f>AVERAGE(Ashed_controlls!$K$1:$K$11)</f>
        <v>5.5147656768714146</v>
      </c>
      <c r="N96" s="195">
        <f t="shared" si="0"/>
        <v>1.7774562280866948</v>
      </c>
      <c r="O96" s="195">
        <f t="shared" si="6"/>
        <v>1.8801999999999999</v>
      </c>
      <c r="P96" s="240">
        <f>AVERAGE(Ashed_controlls!$K$12:$K$14)</f>
        <v>2.2816647271287041</v>
      </c>
      <c r="Q96" s="195">
        <f t="shared" si="1"/>
        <v>1.837300139800526</v>
      </c>
      <c r="R96" s="16">
        <f>IF('Dry_Litterbag Placem_Collection'!G23="N.A","",'Dry_Litterbag Placem_Collection'!G23)</f>
        <v>43007</v>
      </c>
      <c r="S96" s="195" t="str">
        <f>IF(IFERROR(INDEX('Both teabags AfterDry'!$D$1:$D$839,MATCH(H96,'Both teabags AfterDry'!$A$1:$A$839,0)),"")="N.A","",(IFERROR(INDEX('Both teabags AfterDry'!$D$1:$D$839,MATCH(H96,'Both teabags AfterDry'!$A$1:$A$839,0)),"")))</f>
        <v/>
      </c>
      <c r="T96" s="195" t="str">
        <f>IF(IFERROR(INDEX('Both teabags AfterDry'!$D$1:$D$839,MATCH(I96,'Both teabags AfterDry'!$A$1:$A$839,0)),"")="N.A","",(IFERROR(INDEX('Both teabags AfterDry'!$D$1:$D$839,MATCH(I96,'Both teabags AfterDry'!$A$1:$A$839,0)),"")))</f>
        <v/>
      </c>
      <c r="U96" s="195" t="str">
        <f t="shared" si="7"/>
        <v/>
      </c>
      <c r="V96" s="195" t="str">
        <f t="shared" si="7"/>
        <v/>
      </c>
      <c r="W96" s="195" t="str">
        <f>IFERROR(INDEX('Ashed teabags dry'!$K$2:$K$821,MATCH(H96,'Ashed teabags dry'!$A$2:$A$821,0)),"")</f>
        <v/>
      </c>
      <c r="X96" s="195" t="str">
        <f>IFERROR(INDEX('Ashed teabags dry'!$K$2:$K$821,MATCH(I96,'Ashed teabags dry'!$A$2:$A$821,0)),"")</f>
        <v/>
      </c>
      <c r="Y96" s="195" t="str">
        <f t="shared" si="2"/>
        <v/>
      </c>
      <c r="Z96" s="195" t="str">
        <f t="shared" si="2"/>
        <v/>
      </c>
      <c r="AA96" s="195" t="str">
        <f t="shared" si="8"/>
        <v/>
      </c>
      <c r="AB96" s="195" t="str">
        <f t="shared" si="9"/>
        <v/>
      </c>
      <c r="AC96" s="195" t="str">
        <f t="shared" si="3"/>
        <v/>
      </c>
      <c r="AD96">
        <f t="shared" si="4"/>
        <v>71</v>
      </c>
      <c r="AE96" s="195" t="str">
        <f t="shared" si="10"/>
        <v/>
      </c>
      <c r="AF96" s="195" t="str">
        <f t="shared" si="11"/>
        <v/>
      </c>
      <c r="AG96" s="255" t="str">
        <f>IF(ISNUMBER(SEARCH("C", 'Dry_Litterbag Placem_Collection'!AB23)),"YES","NO")</f>
        <v>NO</v>
      </c>
      <c r="AH96" s="255" t="str">
        <f>IF(ISNUMBER(SEARCH("H", 'Dry_Litterbag Placem_Collection'!AB23)),"YES","NO")</f>
        <v>NO</v>
      </c>
      <c r="AI96" s="255" t="str">
        <f>IF(ISNUMBER(SEARCH("R", 'Dry_Litterbag Placem_Collection'!AB23)),"YES","NO")</f>
        <v>NO</v>
      </c>
      <c r="AJ96" s="255" t="str">
        <f>IF(ISNUMBER(SEARCH("C", 'Dry_Litterbag Placem_Collection'!AA23)),"YES","NO")</f>
        <v>NO</v>
      </c>
      <c r="AK96" s="255" t="str">
        <f>IF(ISNUMBER(SEARCH("H", 'Dry_Litterbag Placem_Collection'!AA23)),"YES","NO")</f>
        <v>NO</v>
      </c>
      <c r="AL96" s="255" t="str">
        <f>IF(ISNUMBER(SEARCH("R", 'Dry_Litterbag Placem_Collection'!AA23)),"YES","NO")</f>
        <v>NO</v>
      </c>
      <c r="AR96" t="s">
        <v>1582</v>
      </c>
      <c r="AT96" t="s">
        <v>509</v>
      </c>
    </row>
    <row r="97" spans="2:46">
      <c r="B97" t="str">
        <f>'Final data_for_R_analysis_Dryse'!A23</f>
        <v>Dry</v>
      </c>
      <c r="C97" s="263">
        <f>'Final data_for_R_analysis_Dryse'!B23</f>
        <v>22</v>
      </c>
      <c r="D97" t="s">
        <v>3829</v>
      </c>
      <c r="E97" t="s">
        <v>22</v>
      </c>
      <c r="F97" s="387">
        <v>6</v>
      </c>
      <c r="G97" s="16">
        <f>'Dry_Litterbag Placem_Collection'!E24</f>
        <v>42936</v>
      </c>
      <c r="H97" t="str">
        <f>'Final data_for_R_analysis_Dryse'!J23</f>
        <v>G8</v>
      </c>
      <c r="I97" t="str">
        <f>'Final data_for_R_analysis_Dryse'!J243</f>
        <v>R723</v>
      </c>
      <c r="J97">
        <f>IFERROR(INDEX('Green_rooibos initial weight'!$C$5:$C$1749,MATCH(H97, 'Green_rooibos initial weight'!$A$5:$A$1749,0)),"")</f>
        <v>2.0209999999999999</v>
      </c>
      <c r="K97">
        <f>IFERROR(INDEX('Green_rooibos initial weight'!$C$5:$C$1749,MATCH(I97, 'Green_rooibos initial weight'!$A$5:$A$1749,0)),"")</f>
        <v>2.2559999999999998</v>
      </c>
      <c r="L97" s="195">
        <f t="shared" si="5"/>
        <v>1.7711999999999999</v>
      </c>
      <c r="M97" s="240">
        <f>AVERAGE(Ashed_controlls!$K$1:$K$11)</f>
        <v>5.5147656768714146</v>
      </c>
      <c r="N97" s="195">
        <f t="shared" si="0"/>
        <v>1.6735224703312535</v>
      </c>
      <c r="O97" s="195">
        <f t="shared" si="6"/>
        <v>2.0061999999999998</v>
      </c>
      <c r="P97" s="240">
        <f>AVERAGE(Ashed_controlls!$K$12:$K$14)</f>
        <v>2.2816647271287041</v>
      </c>
      <c r="Q97" s="195">
        <f t="shared" si="1"/>
        <v>1.9604252422443438</v>
      </c>
      <c r="R97" s="16">
        <f>IF('Dry_Litterbag Placem_Collection'!G24="N.A","",'Dry_Litterbag Placem_Collection'!G24)</f>
        <v>43007</v>
      </c>
      <c r="S97" s="195">
        <f>IF(IFERROR(INDEX('Both teabags AfterDry'!$D$1:$D$839,MATCH(H97,'Both teabags AfterDry'!$A$1:$A$839,0)),"")="N.A","",(IFERROR(INDEX('Both teabags AfterDry'!$D$1:$D$839,MATCH(H97,'Both teabags AfterDry'!$A$1:$A$839,0)),"")))</f>
        <v>1.4722999999999999</v>
      </c>
      <c r="T97" s="195">
        <f>IF(IFERROR(INDEX('Both teabags AfterDry'!$D$1:$D$839,MATCH(I97,'Both teabags AfterDry'!$A$1:$A$839,0)),"")="N.A","",(IFERROR(INDEX('Both teabags AfterDry'!$D$1:$D$839,MATCH(I97,'Both teabags AfterDry'!$A$1:$A$839,0)),"")))</f>
        <v>1.8997999999999999</v>
      </c>
      <c r="U97" s="195">
        <f t="shared" si="7"/>
        <v>1.3216999999999999</v>
      </c>
      <c r="V97" s="195">
        <f t="shared" si="7"/>
        <v>1.7491999999999999</v>
      </c>
      <c r="W97" s="195">
        <f>IFERROR(INDEX('Ashed teabags dry'!$K$2:$K$821,MATCH(H97,'Ashed teabags dry'!$A$2:$A$821,0)),"")</f>
        <v>8.7882822902793247</v>
      </c>
      <c r="X97" s="195">
        <f>IFERROR(INDEX('Ashed teabags dry'!$K$2:$K$821,MATCH(I97,'Ashed teabags dry'!$A$2:$A$821,0)),"")</f>
        <v>3.508771929824448</v>
      </c>
      <c r="Y97" s="195">
        <f t="shared" si="2"/>
        <v>1.2055452729693781</v>
      </c>
      <c r="Z97" s="195">
        <f t="shared" si="2"/>
        <v>1.6878245614035106</v>
      </c>
      <c r="AA97" s="195">
        <f t="shared" si="8"/>
        <v>0.27963604054222524</v>
      </c>
      <c r="AB97" s="195">
        <f t="shared" si="9"/>
        <v>0.18332434011794338</v>
      </c>
      <c r="AC97" s="195">
        <f t="shared" si="3"/>
        <v>0.86094818870585799</v>
      </c>
      <c r="AD97">
        <f t="shared" si="4"/>
        <v>71</v>
      </c>
      <c r="AE97" s="195">
        <f t="shared" si="10"/>
        <v>0.6678906881921316</v>
      </c>
      <c r="AF97" s="195">
        <f t="shared" si="11"/>
        <v>2.001257136053796E-2</v>
      </c>
      <c r="AG97" s="255" t="str">
        <f>IF(ISNUMBER(SEARCH("C", 'Dry_Litterbag Placem_Collection'!AB24)),"YES","NO")</f>
        <v>NO</v>
      </c>
      <c r="AH97" s="255" t="str">
        <f>IF(ISNUMBER(SEARCH("H", 'Dry_Litterbag Placem_Collection'!AB24)),"YES","NO")</f>
        <v>NO</v>
      </c>
      <c r="AI97" s="255" t="str">
        <f>IF(ISNUMBER(SEARCH("R", 'Dry_Litterbag Placem_Collection'!AB24)),"YES","NO")</f>
        <v>NO</v>
      </c>
      <c r="AJ97" s="255" t="str">
        <f>IF(ISNUMBER(SEARCH("C", 'Dry_Litterbag Placem_Collection'!AA24)),"YES","NO")</f>
        <v>NO</v>
      </c>
      <c r="AK97" s="255" t="str">
        <f>IF(ISNUMBER(SEARCH("H", 'Dry_Litterbag Placem_Collection'!AA24)),"YES","NO")</f>
        <v>NO</v>
      </c>
      <c r="AL97" s="255" t="str">
        <f>IF(ISNUMBER(SEARCH("R", 'Dry_Litterbag Placem_Collection'!AA24)),"YES","NO")</f>
        <v>NO</v>
      </c>
      <c r="AR97" t="s">
        <v>2042</v>
      </c>
      <c r="AT97" t="s">
        <v>416</v>
      </c>
    </row>
    <row r="98" spans="2:46">
      <c r="B98" t="str">
        <f>'Final data_for_R_analysis_Dryse'!A24</f>
        <v>Dry</v>
      </c>
      <c r="C98" s="263">
        <f>'Final data_for_R_analysis_Dryse'!B24</f>
        <v>23</v>
      </c>
      <c r="D98" t="s">
        <v>3829</v>
      </c>
      <c r="E98" t="s">
        <v>22</v>
      </c>
      <c r="F98" s="387">
        <v>7</v>
      </c>
      <c r="G98" s="390">
        <f>'Dry_Litterbag Placem_Collection'!E25</f>
        <v>0</v>
      </c>
      <c r="H98" t="str">
        <f>'Final data_for_R_analysis_Dryse'!J24</f>
        <v/>
      </c>
      <c r="I98" t="str">
        <f>'Final data_for_R_analysis_Dryse'!J244</f>
        <v/>
      </c>
      <c r="J98" t="str">
        <f>IFERROR(INDEX('Green_rooibos initial weight'!$C$5:$C$1749,MATCH(H98, 'Green_rooibos initial weight'!$A$5:$A$1749,0)),"")</f>
        <v/>
      </c>
      <c r="K98" t="str">
        <f>IFERROR(INDEX('Green_rooibos initial weight'!$C$5:$C$1749,MATCH(I98, 'Green_rooibos initial weight'!$A$5:$A$1749,0)),"")</f>
        <v/>
      </c>
      <c r="L98" s="195" t="str">
        <f t="shared" si="5"/>
        <v/>
      </c>
      <c r="M98" s="240">
        <f>AVERAGE(Ashed_controlls!$K$1:$K$11)</f>
        <v>5.5147656768714146</v>
      </c>
      <c r="N98" s="195" t="str">
        <f t="shared" si="0"/>
        <v/>
      </c>
      <c r="O98" s="195" t="str">
        <f t="shared" si="6"/>
        <v/>
      </c>
      <c r="P98" s="240">
        <f>AVERAGE(Ashed_controlls!$K$12:$K$14)</f>
        <v>2.2816647271287041</v>
      </c>
      <c r="Q98" s="195" t="str">
        <f t="shared" si="1"/>
        <v/>
      </c>
      <c r="R98" s="16">
        <f>IF('Dry_Litterbag Placem_Collection'!G25="N.A","",'Dry_Litterbag Placem_Collection'!G25)</f>
        <v>0</v>
      </c>
      <c r="S98" s="195" t="str">
        <f>IF(IFERROR(INDEX('Both teabags AfterDry'!$D$1:$D$839,MATCH(H98,'Both teabags AfterDry'!$A$1:$A$839,0)),"")="N.A","",(IFERROR(INDEX('Both teabags AfterDry'!$D$1:$D$839,MATCH(H98,'Both teabags AfterDry'!$A$1:$A$839,0)),"")))</f>
        <v/>
      </c>
      <c r="T98" s="195" t="str">
        <f>IF(IFERROR(INDEX('Both teabags AfterDry'!$D$1:$D$839,MATCH(I98,'Both teabags AfterDry'!$A$1:$A$839,0)),"")="N.A","",(IFERROR(INDEX('Both teabags AfterDry'!$D$1:$D$839,MATCH(I98,'Both teabags AfterDry'!$A$1:$A$839,0)),"")))</f>
        <v/>
      </c>
      <c r="U98" s="195" t="str">
        <f t="shared" si="7"/>
        <v/>
      </c>
      <c r="V98" s="195" t="str">
        <f t="shared" si="7"/>
        <v/>
      </c>
      <c r="W98" s="195" t="str">
        <f>IFERROR(INDEX('Ashed teabags dry'!$K$2:$K$821,MATCH(H98,'Ashed teabags dry'!$A$2:$A$821,0)),"")</f>
        <v/>
      </c>
      <c r="X98" s="195" t="str">
        <f>IFERROR(INDEX('Ashed teabags dry'!$K$2:$K$821,MATCH(I98,'Ashed teabags dry'!$A$2:$A$821,0)),"")</f>
        <v/>
      </c>
      <c r="Y98" s="195" t="str">
        <f t="shared" si="2"/>
        <v/>
      </c>
      <c r="Z98" s="195" t="str">
        <f t="shared" si="2"/>
        <v/>
      </c>
      <c r="AA98" s="195" t="str">
        <f t="shared" si="8"/>
        <v/>
      </c>
      <c r="AB98" s="195" t="str">
        <f t="shared" si="9"/>
        <v/>
      </c>
      <c r="AC98" s="195" t="str">
        <f t="shared" si="3"/>
        <v/>
      </c>
      <c r="AD98" t="str">
        <f t="shared" si="4"/>
        <v/>
      </c>
      <c r="AE98" s="195" t="str">
        <f t="shared" si="10"/>
        <v/>
      </c>
      <c r="AF98" s="195" t="str">
        <f t="shared" si="11"/>
        <v/>
      </c>
      <c r="AG98" s="255" t="str">
        <f>IF(ISNUMBER(SEARCH("C", 'Dry_Litterbag Placem_Collection'!AB25)),"YES","NO")</f>
        <v>NO</v>
      </c>
      <c r="AH98" s="255" t="str">
        <f>IF(ISNUMBER(SEARCH("H", 'Dry_Litterbag Placem_Collection'!AB25)),"YES","NO")</f>
        <v>NO</v>
      </c>
      <c r="AI98" s="255" t="str">
        <f>IF(ISNUMBER(SEARCH("R", 'Dry_Litterbag Placem_Collection'!AB25)),"YES","NO")</f>
        <v>NO</v>
      </c>
      <c r="AJ98" s="255" t="str">
        <f>IF(ISNUMBER(SEARCH("C", 'Dry_Litterbag Placem_Collection'!AA25)),"YES","NO")</f>
        <v>NO</v>
      </c>
      <c r="AK98" s="255" t="str">
        <f>IF(ISNUMBER(SEARCH("H", 'Dry_Litterbag Placem_Collection'!AA25)),"YES","NO")</f>
        <v>NO</v>
      </c>
      <c r="AL98" s="255" t="str">
        <f>IF(ISNUMBER(SEARCH("R", 'Dry_Litterbag Placem_Collection'!AA25)),"YES","NO")</f>
        <v>NO</v>
      </c>
      <c r="AR98" t="s">
        <v>3654</v>
      </c>
      <c r="AT98" t="s">
        <v>3654</v>
      </c>
    </row>
    <row r="99" spans="2:46">
      <c r="B99" t="str">
        <f>'Final data_for_R_analysis_Dryse'!A25</f>
        <v>Dry</v>
      </c>
      <c r="C99" s="263">
        <f>'Final data_for_R_analysis_Dryse'!B25</f>
        <v>24</v>
      </c>
      <c r="D99" t="s">
        <v>3829</v>
      </c>
      <c r="E99" t="s">
        <v>22</v>
      </c>
      <c r="F99" s="387">
        <v>8</v>
      </c>
      <c r="G99" s="16">
        <f>'Dry_Litterbag Placem_Collection'!E26</f>
        <v>42936</v>
      </c>
      <c r="H99" t="str">
        <f>'Final data_for_R_analysis_Dryse'!J25</f>
        <v>G320</v>
      </c>
      <c r="I99" t="str">
        <f>'Final data_for_R_analysis_Dryse'!J245</f>
        <v>R225</v>
      </c>
      <c r="J99">
        <f>IFERROR(INDEX('Green_rooibos initial weight'!$C$5:$C$1749,MATCH(H99, 'Green_rooibos initial weight'!$A$5:$A$1749,0)),"")</f>
        <v>2.044</v>
      </c>
      <c r="K99">
        <f>IFERROR(INDEX('Green_rooibos initial weight'!$C$5:$C$1749,MATCH(I99, 'Green_rooibos initial weight'!$A$5:$A$1749,0)),"")</f>
        <v>2.214</v>
      </c>
      <c r="L99" s="195">
        <f t="shared" si="5"/>
        <v>1.7942</v>
      </c>
      <c r="M99" s="240">
        <f>AVERAGE(Ashed_controlls!$K$1:$K$11)</f>
        <v>5.5147656768714146</v>
      </c>
      <c r="N99" s="195">
        <f t="shared" si="0"/>
        <v>1.6952540742255731</v>
      </c>
      <c r="O99" s="195">
        <f t="shared" si="6"/>
        <v>1.9641999999999999</v>
      </c>
      <c r="P99" s="240">
        <f>AVERAGE(Ashed_controlls!$K$12:$K$14)</f>
        <v>2.2816647271287041</v>
      </c>
      <c r="Q99" s="195">
        <f t="shared" si="1"/>
        <v>1.919383541429738</v>
      </c>
      <c r="R99" s="16">
        <f>IF('Dry_Litterbag Placem_Collection'!G26="N.A","",'Dry_Litterbag Placem_Collection'!G26)</f>
        <v>43007</v>
      </c>
      <c r="S99" s="195">
        <f>IF(IFERROR(INDEX('Both teabags AfterDry'!$D$1:$D$839,MATCH(H99,'Both teabags AfterDry'!$A$1:$A$839,0)),"")="N.A","",(IFERROR(INDEX('Both teabags AfterDry'!$D$1:$D$839,MATCH(H99,'Both teabags AfterDry'!$A$1:$A$839,0)),"")))</f>
        <v>1.7525999999999999</v>
      </c>
      <c r="T99" s="195">
        <f>IF(IFERROR(INDEX('Both teabags AfterDry'!$D$1:$D$839,MATCH(I99,'Both teabags AfterDry'!$A$1:$A$839,0)),"")="N.A","",(IFERROR(INDEX('Both teabags AfterDry'!$D$1:$D$839,MATCH(I99,'Both teabags AfterDry'!$A$1:$A$839,0)),"")))</f>
        <v>1.9572000000000001</v>
      </c>
      <c r="U99" s="195">
        <f t="shared" si="7"/>
        <v>1.6019999999999999</v>
      </c>
      <c r="V99" s="195">
        <f t="shared" si="7"/>
        <v>1.8066</v>
      </c>
      <c r="W99" s="195">
        <f>IFERROR(INDEX('Ashed teabags dry'!$K$2:$K$821,MATCH(H99,'Ashed teabags dry'!$A$2:$A$821,0)),"")</f>
        <v>6.2730627306273838</v>
      </c>
      <c r="X99" s="195">
        <f>IFERROR(INDEX('Ashed teabags dry'!$K$2:$K$821,MATCH(I99,'Ashed teabags dry'!$A$2:$A$821,0)),"")</f>
        <v>2.4928092042184851</v>
      </c>
      <c r="Y99" s="195">
        <f t="shared" si="2"/>
        <v>1.5015055350553492</v>
      </c>
      <c r="Z99" s="195">
        <f t="shared" si="2"/>
        <v>1.7615649089165888</v>
      </c>
      <c r="AA99" s="195">
        <f t="shared" si="8"/>
        <v>0.11428879134753422</v>
      </c>
      <c r="AB99" s="195">
        <f t="shared" si="9"/>
        <v>7.4925668436863324E-2</v>
      </c>
      <c r="AC99" s="195">
        <f t="shared" si="3"/>
        <v>0.91777639585489468</v>
      </c>
      <c r="AD99">
        <f t="shared" si="4"/>
        <v>71</v>
      </c>
      <c r="AE99" s="195">
        <f t="shared" si="10"/>
        <v>0.8642650934114795</v>
      </c>
      <c r="AF99" s="195" t="str">
        <f t="shared" si="11"/>
        <v/>
      </c>
      <c r="AG99" s="255" t="str">
        <f>IF(ISNUMBER(SEARCH("C", 'Dry_Litterbag Placem_Collection'!AB26)),"YES","NO")</f>
        <v>NO</v>
      </c>
      <c r="AH99" s="255" t="str">
        <f>IF(ISNUMBER(SEARCH("H", 'Dry_Litterbag Placem_Collection'!AB26)),"YES","NO")</f>
        <v>NO</v>
      </c>
      <c r="AI99" s="255" t="str">
        <f>IF(ISNUMBER(SEARCH("R", 'Dry_Litterbag Placem_Collection'!AB26)),"YES","NO")</f>
        <v>NO</v>
      </c>
      <c r="AJ99" s="255" t="str">
        <f>IF(ISNUMBER(SEARCH("C", 'Dry_Litterbag Placem_Collection'!AA26)),"YES","NO")</f>
        <v>NO</v>
      </c>
      <c r="AK99" s="255" t="str">
        <f>IF(ISNUMBER(SEARCH("H", 'Dry_Litterbag Placem_Collection'!AA26)),"YES","NO")</f>
        <v>NO</v>
      </c>
      <c r="AL99" s="255" t="str">
        <f>IF(ISNUMBER(SEARCH("R", 'Dry_Litterbag Placem_Collection'!AA26)),"YES","NO")</f>
        <v>NO</v>
      </c>
      <c r="AR99" t="s">
        <v>1730</v>
      </c>
      <c r="AT99" t="s">
        <v>916</v>
      </c>
    </row>
    <row r="100" spans="2:46">
      <c r="B100" t="str">
        <f>'Final data_for_R_analysis_Dryse'!A26</f>
        <v>Dry</v>
      </c>
      <c r="C100" s="263">
        <f>'Final data_for_R_analysis_Dryse'!B26</f>
        <v>25</v>
      </c>
      <c r="D100" t="s">
        <v>3830</v>
      </c>
      <c r="E100" t="s">
        <v>22</v>
      </c>
      <c r="F100" s="386">
        <v>1</v>
      </c>
      <c r="G100" s="16">
        <f>'Dry_Litterbag Placem_Collection'!E27</f>
        <v>42936</v>
      </c>
      <c r="H100" t="str">
        <f>'Final data_for_R_analysis_Dryse'!J26</f>
        <v>G322</v>
      </c>
      <c r="I100" t="str">
        <f>'Final data_for_R_analysis_Dryse'!J246</f>
        <v>R43</v>
      </c>
      <c r="J100">
        <f>IFERROR(INDEX('Green_rooibos initial weight'!$C$5:$C$1749,MATCH(H100, 'Green_rooibos initial weight'!$A$5:$A$1749,0)),"")</f>
        <v>2.0169999999999999</v>
      </c>
      <c r="K100">
        <f>IFERROR(INDEX('Green_rooibos initial weight'!$C$5:$C$1749,MATCH(I100, 'Green_rooibos initial weight'!$A$5:$A$1749,0)),"")</f>
        <v>2.2759999999999998</v>
      </c>
      <c r="L100" s="195">
        <f t="shared" si="5"/>
        <v>1.7671999999999999</v>
      </c>
      <c r="M100" s="240">
        <f>AVERAGE(Ashed_controlls!$K$1:$K$11)</f>
        <v>5.5147656768714146</v>
      </c>
      <c r="N100" s="195">
        <f t="shared" si="0"/>
        <v>1.6697430609583281</v>
      </c>
      <c r="O100" s="195">
        <f t="shared" si="6"/>
        <v>2.0261999999999998</v>
      </c>
      <c r="P100" s="240">
        <f>AVERAGE(Ashed_controlls!$K$12:$K$14)</f>
        <v>2.2816647271287041</v>
      </c>
      <c r="Q100" s="195">
        <f t="shared" si="1"/>
        <v>1.9799689092989179</v>
      </c>
      <c r="R100" s="16">
        <f>IF('Dry_Litterbag Placem_Collection'!G27="N.A","",'Dry_Litterbag Placem_Collection'!G27)</f>
        <v>43007</v>
      </c>
      <c r="S100" s="195">
        <f>IF(IFERROR(INDEX('Both teabags AfterDry'!$D$1:$D$839,MATCH(H100,'Both teabags AfterDry'!$A$1:$A$839,0)),"")="N.A","",(IFERROR(INDEX('Both teabags AfterDry'!$D$1:$D$839,MATCH(H100,'Both teabags AfterDry'!$A$1:$A$839,0)),"")))</f>
        <v>1.8697999999999999</v>
      </c>
      <c r="T100" s="195">
        <f>IF(IFERROR(INDEX('Both teabags AfterDry'!$D$1:$D$839,MATCH(I100,'Both teabags AfterDry'!$A$1:$A$839,0)),"")="N.A","",(IFERROR(INDEX('Both teabags AfterDry'!$D$1:$D$839,MATCH(I100,'Both teabags AfterDry'!$A$1:$A$839,0)),"")))</f>
        <v>2.0165999999999999</v>
      </c>
      <c r="U100" s="195">
        <f t="shared" si="7"/>
        <v>1.7191999999999998</v>
      </c>
      <c r="V100" s="195">
        <f t="shared" si="7"/>
        <v>1.8659999999999999</v>
      </c>
      <c r="W100" s="195">
        <f>IFERROR(INDEX('Ashed teabags dry'!$K$2:$K$821,MATCH(H100,'Ashed teabags dry'!$A$2:$A$821,0)),"")</f>
        <v>6.1076102762959152</v>
      </c>
      <c r="X100" s="195">
        <f>IFERROR(INDEX('Ashed teabags dry'!$K$2:$K$821,MATCH(I100,'Ashed teabags dry'!$A$2:$A$821,0)),"")</f>
        <v>3.4160037435664092</v>
      </c>
      <c r="Y100" s="195">
        <f t="shared" si="2"/>
        <v>1.6141979641299204</v>
      </c>
      <c r="Z100" s="195">
        <f t="shared" si="2"/>
        <v>1.8022573701450506</v>
      </c>
      <c r="AA100" s="195">
        <f t="shared" si="8"/>
        <v>3.3265655134106842E-2</v>
      </c>
      <c r="AB100" s="195">
        <f t="shared" si="9"/>
        <v>2.1808362985780233E-2</v>
      </c>
      <c r="AC100" s="195">
        <f t="shared" si="3"/>
        <v>0.91024528803495575</v>
      </c>
      <c r="AD100">
        <f t="shared" si="4"/>
        <v>71</v>
      </c>
      <c r="AE100" s="195">
        <f t="shared" si="10"/>
        <v>0.96049209604025321</v>
      </c>
      <c r="AF100" s="195" t="str">
        <f t="shared" si="11"/>
        <v/>
      </c>
      <c r="AG100" s="255" t="str">
        <f>IF(ISNUMBER(SEARCH("C", 'Dry_Litterbag Placem_Collection'!AB27)),"YES","NO")</f>
        <v>NO</v>
      </c>
      <c r="AH100" s="255" t="str">
        <f>IF(ISNUMBER(SEARCH("H", 'Dry_Litterbag Placem_Collection'!AB27)),"YES","NO")</f>
        <v>NO</v>
      </c>
      <c r="AI100" s="255" t="str">
        <f>IF(ISNUMBER(SEARCH("R", 'Dry_Litterbag Placem_Collection'!AB27)),"YES","NO")</f>
        <v>NO</v>
      </c>
      <c r="AJ100" s="255" t="str">
        <f>IF(ISNUMBER(SEARCH("C", 'Dry_Litterbag Placem_Collection'!AA27)),"YES","NO")</f>
        <v>NO</v>
      </c>
      <c r="AK100" s="255" t="str">
        <f>IF(ISNUMBER(SEARCH("H", 'Dry_Litterbag Placem_Collection'!AA27)),"YES","NO")</f>
        <v>NO</v>
      </c>
      <c r="AL100" s="255" t="str">
        <f>IF(ISNUMBER(SEARCH("R", 'Dry_Litterbag Placem_Collection'!AA27)),"YES","NO")</f>
        <v>NO</v>
      </c>
      <c r="AR100" t="s">
        <v>1728</v>
      </c>
      <c r="AT100" t="s">
        <v>1098</v>
      </c>
    </row>
    <row r="101" spans="2:46">
      <c r="B101" t="str">
        <f>'Final data_for_R_analysis_Dryse'!A27</f>
        <v>Dry</v>
      </c>
      <c r="C101" s="263">
        <f>'Final data_for_R_analysis_Dryse'!B27</f>
        <v>26</v>
      </c>
      <c r="D101" t="s">
        <v>3830</v>
      </c>
      <c r="E101" t="s">
        <v>22</v>
      </c>
      <c r="F101" s="386">
        <v>2</v>
      </c>
      <c r="G101" s="16">
        <f>'Dry_Litterbag Placem_Collection'!E28</f>
        <v>42936</v>
      </c>
      <c r="H101" t="str">
        <f>'Final data_for_R_analysis_Dryse'!J27</f>
        <v>G58</v>
      </c>
      <c r="I101" t="str">
        <f>'Final data_for_R_analysis_Dryse'!J247</f>
        <v>R602</v>
      </c>
      <c r="J101">
        <f>IFERROR(INDEX('Green_rooibos initial weight'!$C$5:$C$1749,MATCH(H101, 'Green_rooibos initial weight'!$A$5:$A$1749,0)),"")</f>
        <v>1.9370000000000001</v>
      </c>
      <c r="K101">
        <f>IFERROR(INDEX('Green_rooibos initial weight'!$C$5:$C$1749,MATCH(I101, 'Green_rooibos initial weight'!$A$5:$A$1749,0)),"")</f>
        <v>2.19</v>
      </c>
      <c r="L101" s="195">
        <f t="shared" si="5"/>
        <v>1.6872</v>
      </c>
      <c r="M101" s="240">
        <f>AVERAGE(Ashed_controlls!$K$1:$K$11)</f>
        <v>5.5147656768714146</v>
      </c>
      <c r="N101" s="195">
        <f t="shared" si="0"/>
        <v>1.5941548734998254</v>
      </c>
      <c r="O101" s="195">
        <f t="shared" si="6"/>
        <v>1.9401999999999999</v>
      </c>
      <c r="P101" s="240">
        <f>AVERAGE(Ashed_controlls!$K$12:$K$14)</f>
        <v>2.2816647271287041</v>
      </c>
      <c r="Q101" s="195">
        <f t="shared" si="1"/>
        <v>1.8959311409642488</v>
      </c>
      <c r="R101" s="16">
        <f>IF('Dry_Litterbag Placem_Collection'!G28="N.A","",'Dry_Litterbag Placem_Collection'!G28)</f>
        <v>43007</v>
      </c>
      <c r="S101" s="195">
        <f>IF(IFERROR(INDEX('Both teabags AfterDry'!$D$1:$D$839,MATCH(H101,'Both teabags AfterDry'!$A$1:$A$839,0)),"")="N.A","",(IFERROR(INDEX('Both teabags AfterDry'!$D$1:$D$839,MATCH(H101,'Both teabags AfterDry'!$A$1:$A$839,0)),"")))</f>
        <v>1.7357</v>
      </c>
      <c r="T101" s="195">
        <f>IF(IFERROR(INDEX('Both teabags AfterDry'!$D$1:$D$839,MATCH(I101,'Both teabags AfterDry'!$A$1:$A$839,0)),"")="N.A","",(IFERROR(INDEX('Both teabags AfterDry'!$D$1:$D$839,MATCH(I101,'Both teabags AfterDry'!$A$1:$A$839,0)),"")))</f>
        <v>1.9849000000000001</v>
      </c>
      <c r="U101" s="195">
        <f t="shared" si="7"/>
        <v>1.5851</v>
      </c>
      <c r="V101" s="195">
        <f t="shared" si="7"/>
        <v>1.8343</v>
      </c>
      <c r="W101" s="195">
        <f>IFERROR(INDEX('Ashed teabags dry'!$K$2:$K$821,MATCH(H101,'Ashed teabags dry'!$A$2:$A$821,0)),"")</f>
        <v>5.724049551473775</v>
      </c>
      <c r="X101" s="195">
        <f>IFERROR(INDEX('Ashed teabags dry'!$K$2:$K$821,MATCH(I101,'Ashed teabags dry'!$A$2:$A$821,0)),"")</f>
        <v>2.2760290556907226</v>
      </c>
      <c r="Y101" s="195">
        <f t="shared" si="2"/>
        <v>1.4943680905595891</v>
      </c>
      <c r="Z101" s="195">
        <f t="shared" si="2"/>
        <v>1.7925507990314651</v>
      </c>
      <c r="AA101" s="195">
        <f t="shared" si="8"/>
        <v>6.2595413155287272E-2</v>
      </c>
      <c r="AB101" s="195">
        <f t="shared" si="9"/>
        <v>4.1036422876150336E-2</v>
      </c>
      <c r="AC101" s="195">
        <f t="shared" si="3"/>
        <v>0.94547252286799532</v>
      </c>
      <c r="AD101">
        <f t="shared" si="4"/>
        <v>71</v>
      </c>
      <c r="AE101" s="195">
        <f t="shared" si="10"/>
        <v>0.92565865420987259</v>
      </c>
      <c r="AF101" s="195" t="str">
        <f t="shared" si="11"/>
        <v/>
      </c>
      <c r="AG101" s="255" t="str">
        <f>IF(ISNUMBER(SEARCH("C", 'Dry_Litterbag Placem_Collection'!AB28)),"YES","NO")</f>
        <v>NO</v>
      </c>
      <c r="AH101" s="255" t="str">
        <f>IF(ISNUMBER(SEARCH("H", 'Dry_Litterbag Placem_Collection'!AB28)),"YES","NO")</f>
        <v>NO</v>
      </c>
      <c r="AI101" s="255" t="str">
        <f>IF(ISNUMBER(SEARCH("R", 'Dry_Litterbag Placem_Collection'!AB28)),"YES","NO")</f>
        <v>NO</v>
      </c>
      <c r="AJ101" s="255" t="str">
        <f>IF(ISNUMBER(SEARCH("C", 'Dry_Litterbag Placem_Collection'!AA28)),"YES","NO")</f>
        <v>NO</v>
      </c>
      <c r="AK101" s="255" t="str">
        <f>IF(ISNUMBER(SEARCH("H", 'Dry_Litterbag Placem_Collection'!AA28)),"YES","NO")</f>
        <v>NO</v>
      </c>
      <c r="AL101" s="255" t="str">
        <f>IF(ISNUMBER(SEARCH("R", 'Dry_Litterbag Placem_Collection'!AA28)),"YES","NO")</f>
        <v>NO</v>
      </c>
      <c r="AR101" t="s">
        <v>1992</v>
      </c>
      <c r="AT101" t="s">
        <v>537</v>
      </c>
    </row>
    <row r="102" spans="2:46">
      <c r="B102" t="str">
        <f>'Final data_for_R_analysis_Dryse'!A28</f>
        <v>Dry</v>
      </c>
      <c r="C102" s="263">
        <f>'Final data_for_R_analysis_Dryse'!B28</f>
        <v>27</v>
      </c>
      <c r="D102" t="s">
        <v>3830</v>
      </c>
      <c r="E102" t="s">
        <v>22</v>
      </c>
      <c r="F102" s="386">
        <v>3</v>
      </c>
      <c r="G102" s="16">
        <f>'Dry_Litterbag Placem_Collection'!E29</f>
        <v>42936</v>
      </c>
      <c r="H102" t="str">
        <f>'Final data_for_R_analysis_Dryse'!J28</f>
        <v>G340</v>
      </c>
      <c r="I102" t="str">
        <f>'Final data_for_R_analysis_Dryse'!J248</f>
        <v>R666</v>
      </c>
      <c r="J102">
        <f>IFERROR(INDEX('Green_rooibos initial weight'!$C$5:$C$1749,MATCH(H102, 'Green_rooibos initial weight'!$A$5:$A$1749,0)),"")</f>
        <v>2.0150000000000001</v>
      </c>
      <c r="K102">
        <f>IFERROR(INDEX('Green_rooibos initial weight'!$C$5:$C$1749,MATCH(I102, 'Green_rooibos initial weight'!$A$5:$A$1749,0)),"")</f>
        <v>2.15</v>
      </c>
      <c r="L102" s="195">
        <f t="shared" si="5"/>
        <v>1.7652000000000001</v>
      </c>
      <c r="M102" s="240">
        <f>AVERAGE(Ashed_controlls!$K$1:$K$11)</f>
        <v>5.5147656768714146</v>
      </c>
      <c r="N102" s="195">
        <f t="shared" si="0"/>
        <v>1.6678533562718658</v>
      </c>
      <c r="O102" s="195">
        <f t="shared" si="6"/>
        <v>1.9001999999999999</v>
      </c>
      <c r="P102" s="240">
        <f>AVERAGE(Ashed_controlls!$K$12:$K$14)</f>
        <v>2.2816647271287041</v>
      </c>
      <c r="Q102" s="195">
        <f t="shared" si="1"/>
        <v>1.8568438068551003</v>
      </c>
      <c r="R102" s="16">
        <f>IF('Dry_Litterbag Placem_Collection'!G29="N.A","",'Dry_Litterbag Placem_Collection'!G29)</f>
        <v>43007</v>
      </c>
      <c r="S102" s="195" t="str">
        <f>IF(IFERROR(INDEX('Both teabags AfterDry'!$D$1:$D$839,MATCH(H102,'Both teabags AfterDry'!$A$1:$A$839,0)),"")="N.A","",(IFERROR(INDEX('Both teabags AfterDry'!$D$1:$D$839,MATCH(H102,'Both teabags AfterDry'!$A$1:$A$839,0)),"")))</f>
        <v/>
      </c>
      <c r="T102" s="195" t="str">
        <f>IF(IFERROR(INDEX('Both teabags AfterDry'!$D$1:$D$839,MATCH(I102,'Both teabags AfterDry'!$A$1:$A$839,0)),"")="N.A","",(IFERROR(INDEX('Both teabags AfterDry'!$D$1:$D$839,MATCH(I102,'Both teabags AfterDry'!$A$1:$A$839,0)),"")))</f>
        <v/>
      </c>
      <c r="U102" s="195" t="str">
        <f t="shared" si="7"/>
        <v/>
      </c>
      <c r="V102" s="195" t="str">
        <f t="shared" si="7"/>
        <v/>
      </c>
      <c r="W102" s="195" t="str">
        <f>IFERROR(INDEX('Ashed teabags dry'!$K$2:$K$821,MATCH(H102,'Ashed teabags dry'!$A$2:$A$821,0)),"")</f>
        <v/>
      </c>
      <c r="X102" s="195" t="str">
        <f>IFERROR(INDEX('Ashed teabags dry'!$K$2:$K$821,MATCH(I102,'Ashed teabags dry'!$A$2:$A$821,0)),"")</f>
        <v/>
      </c>
      <c r="Y102" s="195" t="str">
        <f t="shared" si="2"/>
        <v/>
      </c>
      <c r="Z102" s="195" t="str">
        <f t="shared" si="2"/>
        <v/>
      </c>
      <c r="AA102" s="195" t="str">
        <f t="shared" si="8"/>
        <v/>
      </c>
      <c r="AB102" s="195" t="str">
        <f t="shared" si="9"/>
        <v/>
      </c>
      <c r="AC102" s="195" t="str">
        <f t="shared" si="3"/>
        <v/>
      </c>
      <c r="AD102">
        <f t="shared" si="4"/>
        <v>71</v>
      </c>
      <c r="AE102" s="195" t="str">
        <f t="shared" si="10"/>
        <v/>
      </c>
      <c r="AF102" s="195" t="str">
        <f t="shared" si="11"/>
        <v/>
      </c>
      <c r="AG102" s="255" t="str">
        <f>IF(ISNUMBER(SEARCH("C", 'Dry_Litterbag Placem_Collection'!AB29)),"YES","NO")</f>
        <v>NO</v>
      </c>
      <c r="AH102" s="255" t="str">
        <f>IF(ISNUMBER(SEARCH("H", 'Dry_Litterbag Placem_Collection'!AB29)),"YES","NO")</f>
        <v>NO</v>
      </c>
      <c r="AI102" s="255" t="str">
        <f>IF(ISNUMBER(SEARCH("R", 'Dry_Litterbag Placem_Collection'!AB29)),"YES","NO")</f>
        <v>NO</v>
      </c>
      <c r="AJ102" s="255" t="str">
        <f>IF(ISNUMBER(SEARCH("C", 'Dry_Litterbag Placem_Collection'!AA29)),"YES","NO")</f>
        <v>NO</v>
      </c>
      <c r="AK102" s="255" t="str">
        <f>IF(ISNUMBER(SEARCH("H", 'Dry_Litterbag Placem_Collection'!AA29)),"YES","NO")</f>
        <v>NO</v>
      </c>
      <c r="AL102" s="255" t="str">
        <f>IF(ISNUMBER(SEARCH("R", 'Dry_Litterbag Placem_Collection'!AA29)),"YES","NO")</f>
        <v>NO</v>
      </c>
      <c r="AR102" t="s">
        <v>1710</v>
      </c>
      <c r="AT102" t="s">
        <v>473</v>
      </c>
    </row>
    <row r="103" spans="2:46">
      <c r="B103" t="str">
        <f>'Final data_for_R_analysis_Dryse'!A29</f>
        <v>Dry</v>
      </c>
      <c r="C103" s="263">
        <f>'Final data_for_R_analysis_Dryse'!B29</f>
        <v>28</v>
      </c>
      <c r="D103" t="s">
        <v>3830</v>
      </c>
      <c r="E103" t="s">
        <v>22</v>
      </c>
      <c r="F103" s="387">
        <v>4</v>
      </c>
      <c r="G103" s="16">
        <f>'Dry_Litterbag Placem_Collection'!E30</f>
        <v>42936</v>
      </c>
      <c r="H103" t="str">
        <f>'Final data_for_R_analysis_Dryse'!J29</f>
        <v>G61</v>
      </c>
      <c r="I103" t="str">
        <f>'Final data_for_R_analysis_Dryse'!J249</f>
        <v>R705</v>
      </c>
      <c r="J103">
        <f>IFERROR(INDEX('Green_rooibos initial weight'!$C$5:$C$1749,MATCH(H103, 'Green_rooibos initial weight'!$A$5:$A$1749,0)),"")</f>
        <v>1.88</v>
      </c>
      <c r="K103">
        <f>IFERROR(INDEX('Green_rooibos initial weight'!$C$5:$C$1749,MATCH(I103, 'Green_rooibos initial weight'!$A$5:$A$1749,0)),"")</f>
        <v>2.1859999999999999</v>
      </c>
      <c r="L103" s="195">
        <f t="shared" si="5"/>
        <v>1.6301999999999999</v>
      </c>
      <c r="M103" s="240">
        <f>AVERAGE(Ashed_controlls!$K$1:$K$11)</f>
        <v>5.5147656768714146</v>
      </c>
      <c r="N103" s="195">
        <f t="shared" si="0"/>
        <v>1.5402982899356421</v>
      </c>
      <c r="O103" s="195">
        <f t="shared" si="6"/>
        <v>1.9361999999999999</v>
      </c>
      <c r="P103" s="240">
        <f>AVERAGE(Ashed_controlls!$K$12:$K$14)</f>
        <v>2.2816647271287041</v>
      </c>
      <c r="Q103" s="195">
        <f t="shared" si="1"/>
        <v>1.8920224075533341</v>
      </c>
      <c r="R103" s="16">
        <f>IF('Dry_Litterbag Placem_Collection'!G30="N.A","",'Dry_Litterbag Placem_Collection'!G30)</f>
        <v>43007</v>
      </c>
      <c r="S103" s="195">
        <f>IF(IFERROR(INDEX('Both teabags AfterDry'!$D$1:$D$839,MATCH(H103,'Both teabags AfterDry'!$A$1:$A$839,0)),"")="N.A","",(IFERROR(INDEX('Both teabags AfterDry'!$D$1:$D$839,MATCH(H103,'Both teabags AfterDry'!$A$1:$A$839,0)),"")))</f>
        <v>1.4991000000000001</v>
      </c>
      <c r="T103" s="195">
        <f>IF(IFERROR(INDEX('Both teabags AfterDry'!$D$1:$D$839,MATCH(I103,'Both teabags AfterDry'!$A$1:$A$839,0)),"")="N.A","",(IFERROR(INDEX('Both teabags AfterDry'!$D$1:$D$839,MATCH(I103,'Both teabags AfterDry'!$A$1:$A$839,0)),"")))</f>
        <v>2.0167999999999999</v>
      </c>
      <c r="U103" s="195">
        <f t="shared" si="7"/>
        <v>1.3485</v>
      </c>
      <c r="V103" s="195">
        <f t="shared" si="7"/>
        <v>1.8661999999999999</v>
      </c>
      <c r="W103" s="195">
        <f>IFERROR(INDEX('Ashed teabags dry'!$K$2:$K$821,MATCH(H103,'Ashed teabags dry'!$A$2:$A$821,0)),"")</f>
        <v>6.888472352389627</v>
      </c>
      <c r="X103" s="195">
        <f>IFERROR(INDEX('Ashed teabags dry'!$K$2:$K$821,MATCH(I103,'Ashed teabags dry'!$A$2:$A$821,0)),"")</f>
        <v>3.6201222378937139</v>
      </c>
      <c r="Y103" s="195">
        <f t="shared" si="2"/>
        <v>1.2556089503280259</v>
      </c>
      <c r="Z103" s="195">
        <f t="shared" si="2"/>
        <v>1.7986412787964274</v>
      </c>
      <c r="AA103" s="195">
        <f t="shared" si="8"/>
        <v>0.1848274074364592</v>
      </c>
      <c r="AB103" s="195">
        <f t="shared" si="9"/>
        <v>0.12116951176356945</v>
      </c>
      <c r="AC103" s="195">
        <f t="shared" si="3"/>
        <v>0.95064480823054187</v>
      </c>
      <c r="AD103">
        <f t="shared" si="4"/>
        <v>71</v>
      </c>
      <c r="AE103" s="195">
        <f t="shared" si="10"/>
        <v>0.78049001492106984</v>
      </c>
      <c r="AF103" s="195">
        <f t="shared" si="11"/>
        <v>7.3676984493174103E-3</v>
      </c>
      <c r="AG103" s="255" t="str">
        <f>IF(ISNUMBER(SEARCH("C", 'Dry_Litterbag Placem_Collection'!AB30)),"YES","NO")</f>
        <v>NO</v>
      </c>
      <c r="AH103" s="255" t="str">
        <f>IF(ISNUMBER(SEARCH("H", 'Dry_Litterbag Placem_Collection'!AB30)),"YES","NO")</f>
        <v>NO</v>
      </c>
      <c r="AI103" s="255" t="str">
        <f>IF(ISNUMBER(SEARCH("R", 'Dry_Litterbag Placem_Collection'!AB30)),"YES","NO")</f>
        <v>NO</v>
      </c>
      <c r="AJ103" s="255" t="str">
        <f>IF(ISNUMBER(SEARCH("C", 'Dry_Litterbag Placem_Collection'!AA30)),"YES","NO")</f>
        <v>NO</v>
      </c>
      <c r="AK103" s="255" t="str">
        <f>IF(ISNUMBER(SEARCH("H", 'Dry_Litterbag Placem_Collection'!AA30)),"YES","NO")</f>
        <v>NO</v>
      </c>
      <c r="AL103" s="255" t="str">
        <f>IF(ISNUMBER(SEARCH("R", 'Dry_Litterbag Placem_Collection'!AA30)),"YES","NO")</f>
        <v>NO</v>
      </c>
      <c r="AR103" t="s">
        <v>1989</v>
      </c>
      <c r="AT103" t="s">
        <v>434</v>
      </c>
    </row>
    <row r="104" spans="2:46">
      <c r="B104" t="str">
        <f>'Final data_for_R_analysis_Dryse'!A30</f>
        <v>Dry</v>
      </c>
      <c r="C104" s="263">
        <f>'Final data_for_R_analysis_Dryse'!B30</f>
        <v>29</v>
      </c>
      <c r="D104" t="s">
        <v>3830</v>
      </c>
      <c r="E104" t="s">
        <v>22</v>
      </c>
      <c r="F104" s="387">
        <v>5</v>
      </c>
      <c r="G104" s="16">
        <f>'Dry_Litterbag Placem_Collection'!E31</f>
        <v>42936</v>
      </c>
      <c r="H104" t="str">
        <f>'Final data_for_R_analysis_Dryse'!J30</f>
        <v>G319</v>
      </c>
      <c r="I104" t="str">
        <f>'Final data_for_R_analysis_Dryse'!J250</f>
        <v>R305</v>
      </c>
      <c r="J104">
        <f>IFERROR(INDEX('Green_rooibos initial weight'!$C$5:$C$1749,MATCH(H104, 'Green_rooibos initial weight'!$A$5:$A$1749,0)),"")</f>
        <v>2.012</v>
      </c>
      <c r="K104">
        <f>IFERROR(INDEX('Green_rooibos initial weight'!$C$5:$C$1749,MATCH(I104, 'Green_rooibos initial weight'!$A$5:$A$1749,0)),"")</f>
        <v>2.2829999999999999</v>
      </c>
      <c r="L104" s="195">
        <f t="shared" si="5"/>
        <v>1.7622</v>
      </c>
      <c r="M104" s="240">
        <f>AVERAGE(Ashed_controlls!$K$1:$K$11)</f>
        <v>5.5147656768714146</v>
      </c>
      <c r="N104" s="195">
        <f t="shared" si="0"/>
        <v>1.6650187992421719</v>
      </c>
      <c r="O104" s="195">
        <f t="shared" si="6"/>
        <v>2.0331999999999999</v>
      </c>
      <c r="P104" s="240">
        <f>AVERAGE(Ashed_controlls!$K$12:$K$14)</f>
        <v>2.2816647271287041</v>
      </c>
      <c r="Q104" s="195">
        <f t="shared" si="1"/>
        <v>1.9868091927680191</v>
      </c>
      <c r="R104" s="16">
        <f>IF('Dry_Litterbag Placem_Collection'!G31="N.A","",'Dry_Litterbag Placem_Collection'!G31)</f>
        <v>43007</v>
      </c>
      <c r="S104" s="195">
        <f>IF(IFERROR(INDEX('Both teabags AfterDry'!$D$1:$D$839,MATCH(H104,'Both teabags AfterDry'!$A$1:$A$839,0)),"")="N.A","",(IFERROR(INDEX('Both teabags AfterDry'!$D$1:$D$839,MATCH(H104,'Both teabags AfterDry'!$A$1:$A$839,0)),"")))</f>
        <v>1.8162</v>
      </c>
      <c r="T104" s="195">
        <f>IF(IFERROR(INDEX('Both teabags AfterDry'!$D$1:$D$839,MATCH(I104,'Both teabags AfterDry'!$A$1:$A$839,0)),"")="N.A","",(IFERROR(INDEX('Both teabags AfterDry'!$D$1:$D$839,MATCH(I104,'Both teabags AfterDry'!$A$1:$A$839,0)),"")))</f>
        <v>2.0718999999999999</v>
      </c>
      <c r="U104" s="195">
        <f t="shared" si="7"/>
        <v>1.6656</v>
      </c>
      <c r="V104" s="195">
        <f t="shared" si="7"/>
        <v>1.9212999999999998</v>
      </c>
      <c r="W104" s="195" t="str">
        <f>IFERROR(INDEX('Ashed teabags dry'!$K$2:$K$821,MATCH(H104,'Ashed teabags dry'!$A$2:$A$821,0)),"")</f>
        <v/>
      </c>
      <c r="X104" s="195">
        <f>IFERROR(INDEX('Ashed teabags dry'!$K$2:$K$821,MATCH(I104,'Ashed teabags dry'!$A$2:$A$821,0)),"")</f>
        <v>2.7534965034964429</v>
      </c>
      <c r="Y104" s="195" t="str">
        <f t="shared" si="2"/>
        <v/>
      </c>
      <c r="Z104" s="195">
        <f t="shared" si="2"/>
        <v>1.8683970716783227</v>
      </c>
      <c r="AA104" s="195" t="str">
        <f t="shared" si="8"/>
        <v/>
      </c>
      <c r="AB104" s="195" t="str">
        <f t="shared" si="9"/>
        <v/>
      </c>
      <c r="AC104" s="195">
        <f t="shared" si="3"/>
        <v>0.94040085906552262</v>
      </c>
      <c r="AD104">
        <f t="shared" si="4"/>
        <v>71</v>
      </c>
      <c r="AE104" s="195" t="str">
        <f t="shared" si="10"/>
        <v/>
      </c>
      <c r="AF104" s="195" t="str">
        <f t="shared" si="11"/>
        <v/>
      </c>
      <c r="AG104" s="255" t="str">
        <f>IF(ISNUMBER(SEARCH("C", 'Dry_Litterbag Placem_Collection'!AB31)),"YES","NO")</f>
        <v>NO</v>
      </c>
      <c r="AH104" s="255" t="str">
        <f>IF(ISNUMBER(SEARCH("H", 'Dry_Litterbag Placem_Collection'!AB31)),"YES","NO")</f>
        <v>NO</v>
      </c>
      <c r="AI104" s="255" t="str">
        <f>IF(ISNUMBER(SEARCH("R", 'Dry_Litterbag Placem_Collection'!AB31)),"YES","NO")</f>
        <v>NO</v>
      </c>
      <c r="AJ104" s="255" t="str">
        <f>IF(ISNUMBER(SEARCH("C", 'Dry_Litterbag Placem_Collection'!AA31)),"YES","NO")</f>
        <v>NO</v>
      </c>
      <c r="AK104" s="255" t="str">
        <f>IF(ISNUMBER(SEARCH("H", 'Dry_Litterbag Placem_Collection'!AA31)),"YES","NO")</f>
        <v>NO</v>
      </c>
      <c r="AL104" s="255" t="str">
        <f>IF(ISNUMBER(SEARCH("R", 'Dry_Litterbag Placem_Collection'!AA31)),"YES","NO")</f>
        <v>NO</v>
      </c>
      <c r="AR104" t="s">
        <v>1731</v>
      </c>
      <c r="AT104" t="s">
        <v>836</v>
      </c>
    </row>
    <row r="105" spans="2:46">
      <c r="B105" t="str">
        <f>'Final data_for_R_analysis_Dryse'!A31</f>
        <v>Dry</v>
      </c>
      <c r="C105" s="263">
        <f>'Final data_for_R_analysis_Dryse'!B31</f>
        <v>30</v>
      </c>
      <c r="D105" t="s">
        <v>3830</v>
      </c>
      <c r="E105" t="s">
        <v>22</v>
      </c>
      <c r="F105" s="387">
        <v>6</v>
      </c>
      <c r="G105" s="16">
        <f>'Dry_Litterbag Placem_Collection'!E32</f>
        <v>42936</v>
      </c>
      <c r="H105" t="str">
        <f>'Final data_for_R_analysis_Dryse'!J31</f>
        <v>G273</v>
      </c>
      <c r="I105" t="str">
        <f>'Final data_for_R_analysis_Dryse'!J251</f>
        <v>R667</v>
      </c>
      <c r="J105">
        <f>IFERROR(INDEX('Green_rooibos initial weight'!$C$5:$C$1749,MATCH(H105, 'Green_rooibos initial weight'!$A$5:$A$1749,0)),"")</f>
        <v>2.073</v>
      </c>
      <c r="K105">
        <f>IFERROR(INDEX('Green_rooibos initial weight'!$C$5:$C$1749,MATCH(I105, 'Green_rooibos initial weight'!$A$5:$A$1749,0)),"")</f>
        <v>2.1949999999999998</v>
      </c>
      <c r="L105" s="195">
        <f t="shared" si="5"/>
        <v>1.8231999999999999</v>
      </c>
      <c r="M105" s="240">
        <f>AVERAGE(Ashed_controlls!$K$1:$K$11)</f>
        <v>5.5147656768714146</v>
      </c>
      <c r="N105" s="195">
        <f t="shared" si="0"/>
        <v>1.7226547921792803</v>
      </c>
      <c r="O105" s="195">
        <f t="shared" si="6"/>
        <v>1.9451999999999998</v>
      </c>
      <c r="P105" s="240">
        <f>AVERAGE(Ashed_controlls!$K$12:$K$14)</f>
        <v>2.2816647271287041</v>
      </c>
      <c r="Q105" s="195">
        <f t="shared" si="1"/>
        <v>1.9008170577278922</v>
      </c>
      <c r="R105" s="16">
        <f>IF('Dry_Litterbag Placem_Collection'!G32="N.A","",'Dry_Litterbag Placem_Collection'!G32)</f>
        <v>43007</v>
      </c>
      <c r="S105" s="195">
        <f>IF(IFERROR(INDEX('Both teabags AfterDry'!$D$1:$D$839,MATCH(H105,'Both teabags AfterDry'!$A$1:$A$839,0)),"")="N.A","",(IFERROR(INDEX('Both teabags AfterDry'!$D$1:$D$839,MATCH(H105,'Both teabags AfterDry'!$A$1:$A$839,0)),"")))</f>
        <v>1.9318</v>
      </c>
      <c r="T105" s="195">
        <f>IF(IFERROR(INDEX('Both teabags AfterDry'!$D$1:$D$839,MATCH(I105,'Both teabags AfterDry'!$A$1:$A$839,0)),"")="N.A","",(IFERROR(INDEX('Both teabags AfterDry'!$D$1:$D$839,MATCH(I105,'Both teabags AfterDry'!$A$1:$A$839,0)),"")))</f>
        <v>2.0158999999999998</v>
      </c>
      <c r="U105" s="195">
        <f t="shared" si="7"/>
        <v>1.7811999999999999</v>
      </c>
      <c r="V105" s="195">
        <f t="shared" si="7"/>
        <v>1.8652999999999997</v>
      </c>
      <c r="W105" s="195">
        <f>IFERROR(INDEX('Ashed teabags dry'!$K$2:$K$821,MATCH(H105,'Ashed teabags dry'!$A$2:$A$821,0)),"")</f>
        <v>5.1138805328754682</v>
      </c>
      <c r="X105" s="195">
        <f>IFERROR(INDEX('Ashed teabags dry'!$K$2:$K$821,MATCH(I105,'Ashed teabags dry'!$A$2:$A$821,0)),"")</f>
        <v>2.0813623462635014</v>
      </c>
      <c r="Y105" s="195">
        <f t="shared" si="2"/>
        <v>1.690111559948422</v>
      </c>
      <c r="Z105" s="195">
        <f t="shared" si="2"/>
        <v>1.8264763481551467</v>
      </c>
      <c r="AA105" s="195">
        <f t="shared" si="8"/>
        <v>1.8891325399959413E-2</v>
      </c>
      <c r="AB105" s="195">
        <f t="shared" si="9"/>
        <v>1.2384811901161063E-2</v>
      </c>
      <c r="AC105" s="195">
        <f t="shared" si="3"/>
        <v>0.9608901291839167</v>
      </c>
      <c r="AD105">
        <f t="shared" si="4"/>
        <v>71</v>
      </c>
      <c r="AE105" s="195">
        <f t="shared" si="10"/>
        <v>0.97756374655586764</v>
      </c>
      <c r="AF105" s="195" t="str">
        <f t="shared" si="11"/>
        <v/>
      </c>
      <c r="AG105" s="255" t="str">
        <f>IF(ISNUMBER(SEARCH("C", 'Dry_Litterbag Placem_Collection'!AB32)),"YES","NO")</f>
        <v>NO</v>
      </c>
      <c r="AH105" s="255" t="str">
        <f>IF(ISNUMBER(SEARCH("H", 'Dry_Litterbag Placem_Collection'!AB32)),"YES","NO")</f>
        <v>NO</v>
      </c>
      <c r="AI105" s="255" t="str">
        <f>IF(ISNUMBER(SEARCH("R", 'Dry_Litterbag Placem_Collection'!AB32)),"YES","NO")</f>
        <v>NO</v>
      </c>
      <c r="AJ105" s="255" t="str">
        <f>IF(ISNUMBER(SEARCH("C", 'Dry_Litterbag Placem_Collection'!AA32)),"YES","NO")</f>
        <v>NO</v>
      </c>
      <c r="AK105" s="255" t="str">
        <f>IF(ISNUMBER(SEARCH("H", 'Dry_Litterbag Placem_Collection'!AA32)),"YES","NO")</f>
        <v>NO</v>
      </c>
      <c r="AL105" s="255" t="str">
        <f>IF(ISNUMBER(SEARCH("R", 'Dry_Litterbag Placem_Collection'!AA32)),"YES","NO")</f>
        <v>NO</v>
      </c>
      <c r="AR105" t="s">
        <v>1777</v>
      </c>
      <c r="AT105" t="s">
        <v>472</v>
      </c>
    </row>
    <row r="106" spans="2:46">
      <c r="B106" t="str">
        <f>'Final data_for_R_analysis_Dryse'!A32</f>
        <v>Dry</v>
      </c>
      <c r="C106" s="263">
        <f>'Final data_for_R_analysis_Dryse'!B32</f>
        <v>31</v>
      </c>
      <c r="D106" t="s">
        <v>3830</v>
      </c>
      <c r="E106" t="s">
        <v>22</v>
      </c>
      <c r="F106" s="387">
        <v>7</v>
      </c>
      <c r="G106" s="390">
        <f>'Dry_Litterbag Placem_Collection'!E33</f>
        <v>0</v>
      </c>
      <c r="H106" t="str">
        <f>'Final data_for_R_analysis_Dryse'!J32</f>
        <v/>
      </c>
      <c r="I106" t="str">
        <f>'Final data_for_R_analysis_Dryse'!J252</f>
        <v/>
      </c>
      <c r="J106" t="str">
        <f>IFERROR(INDEX('Green_rooibos initial weight'!$C$5:$C$1749,MATCH(H106, 'Green_rooibos initial weight'!$A$5:$A$1749,0)),"")</f>
        <v/>
      </c>
      <c r="K106" t="str">
        <f>IFERROR(INDEX('Green_rooibos initial weight'!$C$5:$C$1749,MATCH(I106, 'Green_rooibos initial weight'!$A$5:$A$1749,0)),"")</f>
        <v/>
      </c>
      <c r="L106" s="195" t="str">
        <f t="shared" si="5"/>
        <v/>
      </c>
      <c r="M106" s="240">
        <f>AVERAGE(Ashed_controlls!$K$1:$K$11)</f>
        <v>5.5147656768714146</v>
      </c>
      <c r="N106" s="195" t="str">
        <f t="shared" si="0"/>
        <v/>
      </c>
      <c r="O106" s="195" t="str">
        <f t="shared" si="6"/>
        <v/>
      </c>
      <c r="P106" s="240">
        <f>AVERAGE(Ashed_controlls!$K$12:$K$14)</f>
        <v>2.2816647271287041</v>
      </c>
      <c r="Q106" s="195" t="str">
        <f t="shared" si="1"/>
        <v/>
      </c>
      <c r="R106" s="16">
        <f>IF('Dry_Litterbag Placem_Collection'!G33="N.A","",'Dry_Litterbag Placem_Collection'!G33)</f>
        <v>0</v>
      </c>
      <c r="S106" s="195" t="str">
        <f>IF(IFERROR(INDEX('Both teabags AfterDry'!$D$1:$D$839,MATCH(H106,'Both teabags AfterDry'!$A$1:$A$839,0)),"")="N.A","",(IFERROR(INDEX('Both teabags AfterDry'!$D$1:$D$839,MATCH(H106,'Both teabags AfterDry'!$A$1:$A$839,0)),"")))</f>
        <v/>
      </c>
      <c r="T106" s="195" t="str">
        <f>IF(IFERROR(INDEX('Both teabags AfterDry'!$D$1:$D$839,MATCH(I106,'Both teabags AfterDry'!$A$1:$A$839,0)),"")="N.A","",(IFERROR(INDEX('Both teabags AfterDry'!$D$1:$D$839,MATCH(I106,'Both teabags AfterDry'!$A$1:$A$839,0)),"")))</f>
        <v/>
      </c>
      <c r="U106" s="195" t="str">
        <f t="shared" si="7"/>
        <v/>
      </c>
      <c r="V106" s="195" t="str">
        <f t="shared" si="7"/>
        <v/>
      </c>
      <c r="W106" s="195" t="str">
        <f>IFERROR(INDEX('Ashed teabags dry'!$K$2:$K$821,MATCH(H106,'Ashed teabags dry'!$A$2:$A$821,0)),"")</f>
        <v/>
      </c>
      <c r="X106" s="195" t="str">
        <f>IFERROR(INDEX('Ashed teabags dry'!$K$2:$K$821,MATCH(I106,'Ashed teabags dry'!$A$2:$A$821,0)),"")</f>
        <v/>
      </c>
      <c r="Y106" s="195" t="str">
        <f t="shared" si="2"/>
        <v/>
      </c>
      <c r="Z106" s="195" t="str">
        <f t="shared" si="2"/>
        <v/>
      </c>
      <c r="AA106" s="195" t="str">
        <f t="shared" si="8"/>
        <v/>
      </c>
      <c r="AB106" s="195" t="str">
        <f t="shared" si="9"/>
        <v/>
      </c>
      <c r="AC106" s="195" t="str">
        <f t="shared" si="3"/>
        <v/>
      </c>
      <c r="AD106" t="str">
        <f t="shared" si="4"/>
        <v/>
      </c>
      <c r="AE106" s="195" t="str">
        <f t="shared" si="10"/>
        <v/>
      </c>
      <c r="AF106" s="195" t="str">
        <f t="shared" si="11"/>
        <v/>
      </c>
      <c r="AG106" s="255" t="str">
        <f>IF(ISNUMBER(SEARCH("C", 'Dry_Litterbag Placem_Collection'!AB33)),"YES","NO")</f>
        <v>NO</v>
      </c>
      <c r="AH106" s="255" t="str">
        <f>IF(ISNUMBER(SEARCH("H", 'Dry_Litterbag Placem_Collection'!AB33)),"YES","NO")</f>
        <v>NO</v>
      </c>
      <c r="AI106" s="255" t="str">
        <f>IF(ISNUMBER(SEARCH("R", 'Dry_Litterbag Placem_Collection'!AB33)),"YES","NO")</f>
        <v>NO</v>
      </c>
      <c r="AJ106" s="255" t="str">
        <f>IF(ISNUMBER(SEARCH("C", 'Dry_Litterbag Placem_Collection'!AA33)),"YES","NO")</f>
        <v>NO</v>
      </c>
      <c r="AK106" s="255" t="str">
        <f>IF(ISNUMBER(SEARCH("H", 'Dry_Litterbag Placem_Collection'!AA33)),"YES","NO")</f>
        <v>NO</v>
      </c>
      <c r="AL106" s="255" t="str">
        <f>IF(ISNUMBER(SEARCH("R", 'Dry_Litterbag Placem_Collection'!AA33)),"YES","NO")</f>
        <v>NO</v>
      </c>
      <c r="AR106" t="s">
        <v>3654</v>
      </c>
      <c r="AT106" t="s">
        <v>3654</v>
      </c>
    </row>
    <row r="107" spans="2:46">
      <c r="B107" t="str">
        <f>'Final data_for_R_analysis_Dryse'!A33</f>
        <v>Dry</v>
      </c>
      <c r="C107" s="263">
        <f>'Final data_for_R_analysis_Dryse'!B33</f>
        <v>32</v>
      </c>
      <c r="D107" t="s">
        <v>3830</v>
      </c>
      <c r="E107" t="s">
        <v>22</v>
      </c>
      <c r="F107" s="387">
        <v>8</v>
      </c>
      <c r="G107" s="16">
        <f>'Dry_Litterbag Placem_Collection'!E34</f>
        <v>42936</v>
      </c>
      <c r="H107" t="str">
        <f>'Final data_for_R_analysis_Dryse'!J33</f>
        <v>G193</v>
      </c>
      <c r="I107" t="str">
        <f>'Final data_for_R_analysis_Dryse'!J253</f>
        <v>R743</v>
      </c>
      <c r="J107">
        <f>IFERROR(INDEX('Green_rooibos initial weight'!$C$5:$C$1749,MATCH(H107, 'Green_rooibos initial weight'!$A$5:$A$1749,0)),"")</f>
        <v>2.177</v>
      </c>
      <c r="K107">
        <f>IFERROR(INDEX('Green_rooibos initial weight'!$C$5:$C$1749,MATCH(I107, 'Green_rooibos initial weight'!$A$5:$A$1749,0)),"")</f>
        <v>2.2480000000000002</v>
      </c>
      <c r="L107" s="195">
        <f t="shared" si="5"/>
        <v>1.9272</v>
      </c>
      <c r="M107" s="240">
        <f>AVERAGE(Ashed_controlls!$K$1:$K$11)</f>
        <v>5.5147656768714146</v>
      </c>
      <c r="N107" s="195">
        <f t="shared" si="0"/>
        <v>1.8209194358753342</v>
      </c>
      <c r="O107" s="195">
        <f t="shared" si="6"/>
        <v>1.9982000000000002</v>
      </c>
      <c r="P107" s="240">
        <f>AVERAGE(Ashed_controlls!$K$12:$K$14)</f>
        <v>2.2816647271287041</v>
      </c>
      <c r="Q107" s="195">
        <f t="shared" si="1"/>
        <v>1.9526077754225144</v>
      </c>
      <c r="R107" s="16">
        <f>IF('Dry_Litterbag Placem_Collection'!G34="N.A","",'Dry_Litterbag Placem_Collection'!G34)</f>
        <v>43007</v>
      </c>
      <c r="S107" s="195">
        <f>IF(IFERROR(INDEX('Both teabags AfterDry'!$D$1:$D$839,MATCH(H107,'Both teabags AfterDry'!$A$1:$A$839,0)),"")="N.A","",(IFERROR(INDEX('Both teabags AfterDry'!$D$1:$D$839,MATCH(H107,'Both teabags AfterDry'!$A$1:$A$839,0)),"")))</f>
        <v>1.8848</v>
      </c>
      <c r="T107" s="195">
        <f>IF(IFERROR(INDEX('Both teabags AfterDry'!$D$1:$D$839,MATCH(I107,'Both teabags AfterDry'!$A$1:$A$839,0)),"")="N.A","",(IFERROR(INDEX('Both teabags AfterDry'!$D$1:$D$839,MATCH(I107,'Both teabags AfterDry'!$A$1:$A$839,0)),"")))</f>
        <v>1.9944999999999999</v>
      </c>
      <c r="U107" s="195">
        <f t="shared" si="7"/>
        <v>1.7342</v>
      </c>
      <c r="V107" s="195">
        <f t="shared" si="7"/>
        <v>1.8438999999999999</v>
      </c>
      <c r="W107" s="195">
        <f>IFERROR(INDEX('Ashed teabags dry'!$K$2:$K$821,MATCH(H107,'Ashed teabags dry'!$A$2:$A$821,0)),"")</f>
        <v>6.5004452359746852</v>
      </c>
      <c r="X107" s="195">
        <f>IFERROR(INDEX('Ashed teabags dry'!$K$2:$K$821,MATCH(I107,'Ashed teabags dry'!$A$2:$A$821,0)),"")</f>
        <v>3.3151904997520401</v>
      </c>
      <c r="Y107" s="195">
        <f t="shared" si="2"/>
        <v>1.6214692787177269</v>
      </c>
      <c r="Z107" s="195">
        <f t="shared" si="2"/>
        <v>1.7827712023750719</v>
      </c>
      <c r="AA107" s="195">
        <f t="shared" si="8"/>
        <v>0.10953266422889796</v>
      </c>
      <c r="AB107" s="195">
        <f t="shared" si="9"/>
        <v>7.1807637356712195E-2</v>
      </c>
      <c r="AC107" s="195">
        <f t="shared" si="3"/>
        <v>0.91302064081420942</v>
      </c>
      <c r="AD107">
        <f t="shared" si="4"/>
        <v>71</v>
      </c>
      <c r="AE107" s="195">
        <f t="shared" si="10"/>
        <v>0.86991370044073879</v>
      </c>
      <c r="AF107" s="195" t="str">
        <f t="shared" si="11"/>
        <v/>
      </c>
      <c r="AG107" s="255" t="str">
        <f>IF(ISNUMBER(SEARCH("C", 'Dry_Litterbag Placem_Collection'!AB34)),"YES","NO")</f>
        <v>NO</v>
      </c>
      <c r="AH107" s="255" t="str">
        <f>IF(ISNUMBER(SEARCH("H", 'Dry_Litterbag Placem_Collection'!AB34)),"YES","NO")</f>
        <v>NO</v>
      </c>
      <c r="AI107" s="255" t="str">
        <f>IF(ISNUMBER(SEARCH("R", 'Dry_Litterbag Placem_Collection'!AB34)),"YES","NO")</f>
        <v>NO</v>
      </c>
      <c r="AJ107" s="255" t="str">
        <f>IF(ISNUMBER(SEARCH("C", 'Dry_Litterbag Placem_Collection'!AA34)),"YES","NO")</f>
        <v>NO</v>
      </c>
      <c r="AK107" s="255" t="str">
        <f>IF(ISNUMBER(SEARCH("H", 'Dry_Litterbag Placem_Collection'!AA34)),"YES","NO")</f>
        <v>NO</v>
      </c>
      <c r="AL107" s="255" t="str">
        <f>IF(ISNUMBER(SEARCH("R", 'Dry_Litterbag Placem_Collection'!AA34)),"YES","NO")</f>
        <v>NO</v>
      </c>
      <c r="AR107" t="s">
        <v>1857</v>
      </c>
      <c r="AT107" t="s">
        <v>396</v>
      </c>
    </row>
    <row r="108" spans="2:46">
      <c r="B108" t="str">
        <f>'Final data_for_R_analysis_Dryse'!A34</f>
        <v>Dry</v>
      </c>
      <c r="C108" s="263">
        <f>'Final data_for_R_analysis_Dryse'!B34</f>
        <v>33</v>
      </c>
      <c r="D108" t="s">
        <v>3831</v>
      </c>
      <c r="E108" t="s">
        <v>22</v>
      </c>
      <c r="F108" s="386">
        <v>1</v>
      </c>
      <c r="G108" s="16">
        <f>'Dry_Litterbag Placem_Collection'!E35</f>
        <v>42938</v>
      </c>
      <c r="H108" t="str">
        <f>'Final data_for_R_analysis_Dryse'!J34</f>
        <v>G218</v>
      </c>
      <c r="I108" t="str">
        <f>'Final data_for_R_analysis_Dryse'!J254</f>
        <v>R769</v>
      </c>
      <c r="J108">
        <f>IFERROR(INDEX('Green_rooibos initial weight'!$C$5:$C$1749,MATCH(H108, 'Green_rooibos initial weight'!$A$5:$A$1749,0)),"")</f>
        <v>1.96</v>
      </c>
      <c r="K108">
        <f>IFERROR(INDEX('Green_rooibos initial weight'!$C$5:$C$1749,MATCH(I108, 'Green_rooibos initial weight'!$A$5:$A$1749,0)),"")</f>
        <v>2.2480000000000002</v>
      </c>
      <c r="L108" s="195">
        <f t="shared" si="5"/>
        <v>1.7101999999999999</v>
      </c>
      <c r="M108" s="240">
        <f>AVERAGE(Ashed_controlls!$K$1:$K$11)</f>
        <v>5.5147656768714146</v>
      </c>
      <c r="N108" s="195">
        <f t="shared" si="0"/>
        <v>1.615886477394145</v>
      </c>
      <c r="O108" s="195">
        <f t="shared" si="6"/>
        <v>1.9982000000000002</v>
      </c>
      <c r="P108" s="240">
        <f>AVERAGE(Ashed_controlls!$K$12:$K$14)</f>
        <v>2.2816647271287041</v>
      </c>
      <c r="Q108" s="195">
        <f t="shared" si="1"/>
        <v>1.9526077754225144</v>
      </c>
      <c r="R108" s="16">
        <f>IF('Dry_Litterbag Placem_Collection'!G35="N.A","",'Dry_Litterbag Placem_Collection'!G35)</f>
        <v>43005</v>
      </c>
      <c r="S108" s="195">
        <f>IF(IFERROR(INDEX('Both teabags AfterDry'!$D$1:$D$839,MATCH(H108,'Both teabags AfterDry'!$A$1:$A$839,0)),"")="N.A","",(IFERROR(INDEX('Both teabags AfterDry'!$D$1:$D$839,MATCH(H108,'Both teabags AfterDry'!$A$1:$A$839,0)),"")))</f>
        <v>1.7766</v>
      </c>
      <c r="T108" s="195">
        <f>IF(IFERROR(INDEX('Both teabags AfterDry'!$D$1:$D$839,MATCH(I108,'Both teabags AfterDry'!$A$1:$A$839,0)),"")="N.A","",(IFERROR(INDEX('Both teabags AfterDry'!$D$1:$D$839,MATCH(I108,'Both teabags AfterDry'!$A$1:$A$839,0)),"")))</f>
        <v>1.9911000000000001</v>
      </c>
      <c r="U108" s="195">
        <f t="shared" si="7"/>
        <v>1.6259999999999999</v>
      </c>
      <c r="V108" s="195">
        <f t="shared" si="7"/>
        <v>1.8405</v>
      </c>
      <c r="W108" s="195">
        <f>IFERROR(INDEX('Ashed teabags dry'!$K$2:$K$821,MATCH(H108,'Ashed teabags dry'!$A$2:$A$821,0)),"")</f>
        <v>5.8311575282857895</v>
      </c>
      <c r="X108" s="195">
        <f>IFERROR(INDEX('Ashed teabags dry'!$K$2:$K$821,MATCH(I108,'Ashed teabags dry'!$A$2:$A$821,0)),"")</f>
        <v>2.7544351073765245</v>
      </c>
      <c r="Y108" s="195">
        <f t="shared" si="2"/>
        <v>1.5311853785900729</v>
      </c>
      <c r="Z108" s="195">
        <f t="shared" si="2"/>
        <v>1.7898046218487351</v>
      </c>
      <c r="AA108" s="195">
        <f t="shared" si="8"/>
        <v>5.2417728589860602E-2</v>
      </c>
      <c r="AB108" s="195">
        <f t="shared" si="9"/>
        <v>3.4364116605229277E-2</v>
      </c>
      <c r="AC108" s="195">
        <f t="shared" si="3"/>
        <v>0.91662270547982883</v>
      </c>
      <c r="AD108">
        <f t="shared" si="4"/>
        <v>67</v>
      </c>
      <c r="AE108" s="195">
        <f t="shared" si="10"/>
        <v>0.93774616557023682</v>
      </c>
      <c r="AF108" s="195" t="str">
        <f t="shared" si="11"/>
        <v/>
      </c>
      <c r="AG108" s="255" t="str">
        <f>IF(ISNUMBER(SEARCH("C", 'Dry_Litterbag Placem_Collection'!AB35)),"YES","NO")</f>
        <v>NO</v>
      </c>
      <c r="AH108" s="255" t="str">
        <f>IF(ISNUMBER(SEARCH("H", 'Dry_Litterbag Placem_Collection'!AB35)),"YES","NO")</f>
        <v>NO</v>
      </c>
      <c r="AI108" s="255" t="str">
        <f>IF(ISNUMBER(SEARCH("R", 'Dry_Litterbag Placem_Collection'!AB35)),"YES","NO")</f>
        <v>NO</v>
      </c>
      <c r="AJ108" s="255" t="str">
        <f>IF(ISNUMBER(SEARCH("C", 'Dry_Litterbag Placem_Collection'!AA35)),"YES","NO")</f>
        <v>NO</v>
      </c>
      <c r="AK108" s="255" t="str">
        <f>IF(ISNUMBER(SEARCH("H", 'Dry_Litterbag Placem_Collection'!AA35)),"YES","NO")</f>
        <v>NO</v>
      </c>
      <c r="AL108" s="255" t="str">
        <f>IF(ISNUMBER(SEARCH("R", 'Dry_Litterbag Placem_Collection'!AA35)),"YES","NO")</f>
        <v>NO</v>
      </c>
      <c r="AR108" t="s">
        <v>1832</v>
      </c>
      <c r="AT108" t="s">
        <v>370</v>
      </c>
    </row>
    <row r="109" spans="2:46">
      <c r="B109" t="str">
        <f>'Final data_for_R_analysis_Dryse'!A35</f>
        <v>Dry</v>
      </c>
      <c r="C109" s="263">
        <f>'Final data_for_R_analysis_Dryse'!B35</f>
        <v>34</v>
      </c>
      <c r="D109" t="s">
        <v>3831</v>
      </c>
      <c r="E109" t="s">
        <v>22</v>
      </c>
      <c r="F109" s="386">
        <v>2</v>
      </c>
      <c r="G109" s="16">
        <f>'Dry_Litterbag Placem_Collection'!E36</f>
        <v>42938</v>
      </c>
      <c r="H109" t="str">
        <f>'Final data_for_R_analysis_Dryse'!J35</f>
        <v>G104</v>
      </c>
      <c r="I109" t="str">
        <f>'Final data_for_R_analysis_Dryse'!J255</f>
        <v>R753</v>
      </c>
      <c r="J109">
        <f>IFERROR(INDEX('Green_rooibos initial weight'!$C$5:$C$1749,MATCH(H109, 'Green_rooibos initial weight'!$A$5:$A$1749,0)),"")</f>
        <v>2.0259999999999998</v>
      </c>
      <c r="K109">
        <f>IFERROR(INDEX('Green_rooibos initial weight'!$C$5:$C$1749,MATCH(I109, 'Green_rooibos initial weight'!$A$5:$A$1749,0)),"")</f>
        <v>2.2400000000000002</v>
      </c>
      <c r="L109" s="195">
        <f t="shared" si="5"/>
        <v>1.7761999999999998</v>
      </c>
      <c r="M109" s="240">
        <f>AVERAGE(Ashed_controlls!$K$1:$K$11)</f>
        <v>5.5147656768714146</v>
      </c>
      <c r="N109" s="195">
        <f t="shared" si="0"/>
        <v>1.6782467320474097</v>
      </c>
      <c r="O109" s="195">
        <f t="shared" si="6"/>
        <v>1.9902000000000002</v>
      </c>
      <c r="P109" s="240">
        <f>AVERAGE(Ashed_controlls!$K$12:$K$14)</f>
        <v>2.2816647271287041</v>
      </c>
      <c r="Q109" s="195">
        <f t="shared" si="1"/>
        <v>1.9447903086006848</v>
      </c>
      <c r="R109" s="16">
        <f>IF('Dry_Litterbag Placem_Collection'!G36="N.A","",'Dry_Litterbag Placem_Collection'!G36)</f>
        <v>43005</v>
      </c>
      <c r="S109" s="195" t="str">
        <f>IF(IFERROR(INDEX('Both teabags AfterDry'!$D$1:$D$839,MATCH(H109,'Both teabags AfterDry'!$A$1:$A$839,0)),"")="N.A","",(IFERROR(INDEX('Both teabags AfterDry'!$D$1:$D$839,MATCH(H109,'Both teabags AfterDry'!$A$1:$A$839,0)),"")))</f>
        <v/>
      </c>
      <c r="T109" s="195" t="str">
        <f>IF(IFERROR(INDEX('Both teabags AfterDry'!$D$1:$D$839,MATCH(I109,'Both teabags AfterDry'!$A$1:$A$839,0)),"")="N.A","",(IFERROR(INDEX('Both teabags AfterDry'!$D$1:$D$839,MATCH(I109,'Both teabags AfterDry'!$A$1:$A$839,0)),"")))</f>
        <v/>
      </c>
      <c r="U109" s="195" t="str">
        <f t="shared" si="7"/>
        <v/>
      </c>
      <c r="V109" s="195" t="str">
        <f t="shared" si="7"/>
        <v/>
      </c>
      <c r="W109" s="195" t="str">
        <f>IFERROR(INDEX('Ashed teabags dry'!$K$2:$K$821,MATCH(H109,'Ashed teabags dry'!$A$2:$A$821,0)),"")</f>
        <v/>
      </c>
      <c r="X109" s="195" t="str">
        <f>IFERROR(INDEX('Ashed teabags dry'!$K$2:$K$821,MATCH(I109,'Ashed teabags dry'!$A$2:$A$821,0)),"")</f>
        <v/>
      </c>
      <c r="Y109" s="195" t="str">
        <f t="shared" si="2"/>
        <v/>
      </c>
      <c r="Z109" s="195" t="str">
        <f t="shared" si="2"/>
        <v/>
      </c>
      <c r="AA109" s="195" t="str">
        <f t="shared" si="8"/>
        <v/>
      </c>
      <c r="AB109" s="195" t="str">
        <f t="shared" si="9"/>
        <v/>
      </c>
      <c r="AC109" s="195" t="str">
        <f t="shared" si="3"/>
        <v/>
      </c>
      <c r="AD109">
        <f t="shared" si="4"/>
        <v>67</v>
      </c>
      <c r="AE109" s="195" t="str">
        <f t="shared" si="10"/>
        <v/>
      </c>
      <c r="AF109" s="195" t="str">
        <f t="shared" si="11"/>
        <v/>
      </c>
      <c r="AG109" s="255" t="str">
        <f>IF(ISNUMBER(SEARCH("C", 'Dry_Litterbag Placem_Collection'!AB36)),"YES","NO")</f>
        <v>NO</v>
      </c>
      <c r="AH109" s="255" t="str">
        <f>IF(ISNUMBER(SEARCH("H", 'Dry_Litterbag Placem_Collection'!AB36)),"YES","NO")</f>
        <v>NO</v>
      </c>
      <c r="AI109" s="255" t="str">
        <f>IF(ISNUMBER(SEARCH("R", 'Dry_Litterbag Placem_Collection'!AB36)),"YES","NO")</f>
        <v>NO</v>
      </c>
      <c r="AJ109" s="255" t="str">
        <f>IF(ISNUMBER(SEARCH("C", 'Dry_Litterbag Placem_Collection'!AA36)),"YES","NO")</f>
        <v>NO</v>
      </c>
      <c r="AK109" s="255" t="str">
        <f>IF(ISNUMBER(SEARCH("H", 'Dry_Litterbag Placem_Collection'!AA36)),"YES","NO")</f>
        <v>NO</v>
      </c>
      <c r="AL109" s="255" t="str">
        <f>IF(ISNUMBER(SEARCH("R", 'Dry_Litterbag Placem_Collection'!AA36)),"YES","NO")</f>
        <v>NO</v>
      </c>
      <c r="AR109" t="s">
        <v>1946</v>
      </c>
      <c r="AT109" t="s">
        <v>386</v>
      </c>
    </row>
    <row r="110" spans="2:46">
      <c r="B110" t="str">
        <f>'Final data_for_R_analysis_Dryse'!A36</f>
        <v>Dry</v>
      </c>
      <c r="C110" s="263">
        <f>'Final data_for_R_analysis_Dryse'!B36</f>
        <v>35</v>
      </c>
      <c r="D110" t="s">
        <v>3831</v>
      </c>
      <c r="E110" t="s">
        <v>22</v>
      </c>
      <c r="F110" s="386">
        <v>3</v>
      </c>
      <c r="G110" s="16">
        <f>'Dry_Litterbag Placem_Collection'!E37</f>
        <v>42938</v>
      </c>
      <c r="H110" t="str">
        <f>'Final data_for_R_analysis_Dryse'!J36</f>
        <v>G188</v>
      </c>
      <c r="I110" t="str">
        <f>'Final data_for_R_analysis_Dryse'!J256</f>
        <v>R776</v>
      </c>
      <c r="J110">
        <f>IFERROR(INDEX('Green_rooibos initial weight'!$C$5:$C$1749,MATCH(H110, 'Green_rooibos initial weight'!$A$5:$A$1749,0)),"")</f>
        <v>1.952</v>
      </c>
      <c r="K110">
        <f>IFERROR(INDEX('Green_rooibos initial weight'!$C$5:$C$1749,MATCH(I110, 'Green_rooibos initial weight'!$A$5:$A$1749,0)),"")</f>
        <v>2.1989999999999998</v>
      </c>
      <c r="L110" s="195">
        <f t="shared" si="5"/>
        <v>1.7021999999999999</v>
      </c>
      <c r="M110" s="240">
        <f>AVERAGE(Ashed_controlls!$K$1:$K$11)</f>
        <v>5.5147656768714146</v>
      </c>
      <c r="N110" s="195">
        <f t="shared" si="0"/>
        <v>1.6083276586482946</v>
      </c>
      <c r="O110" s="195">
        <f t="shared" si="6"/>
        <v>1.9491999999999998</v>
      </c>
      <c r="P110" s="240">
        <f>AVERAGE(Ashed_controlls!$K$12:$K$14)</f>
        <v>2.2816647271287041</v>
      </c>
      <c r="Q110" s="195">
        <f t="shared" si="1"/>
        <v>1.9047257911388071</v>
      </c>
      <c r="R110" s="16">
        <f>IF('Dry_Litterbag Placem_Collection'!G37="N.A","",'Dry_Litterbag Placem_Collection'!G37)</f>
        <v>43005</v>
      </c>
      <c r="S110" s="195">
        <f>IF(IFERROR(INDEX('Both teabags AfterDry'!$D$1:$D$839,MATCH(H110,'Both teabags AfterDry'!$A$1:$A$839,0)),"")="N.A","",(IFERROR(INDEX('Both teabags AfterDry'!$D$1:$D$839,MATCH(H110,'Both teabags AfterDry'!$A$1:$A$839,0)),"")))</f>
        <v>1.7849999999999999</v>
      </c>
      <c r="T110" s="195">
        <f>IF(IFERROR(INDEX('Both teabags AfterDry'!$D$1:$D$839,MATCH(I110,'Both teabags AfterDry'!$A$1:$A$839,0)),"")="N.A","",(IFERROR(INDEX('Both teabags AfterDry'!$D$1:$D$839,MATCH(I110,'Both teabags AfterDry'!$A$1:$A$839,0)),"")))</f>
        <v>1.9447000000000001</v>
      </c>
      <c r="U110" s="195">
        <f t="shared" si="7"/>
        <v>1.6343999999999999</v>
      </c>
      <c r="V110" s="195">
        <f t="shared" si="7"/>
        <v>1.7941</v>
      </c>
      <c r="W110" s="195">
        <f>IFERROR(INDEX('Ashed teabags dry'!$K$2:$K$821,MATCH(H110,'Ashed teabags dry'!$A$2:$A$821,0)),"")</f>
        <v>5.9055118110234908</v>
      </c>
      <c r="X110" s="195">
        <f>IFERROR(INDEX('Ashed teabags dry'!$K$2:$K$821,MATCH(I110,'Ashed teabags dry'!$A$2:$A$821,0)),"")</f>
        <v>3.3316506814742248</v>
      </c>
      <c r="Y110" s="195">
        <f t="shared" si="2"/>
        <v>1.5378803149606319</v>
      </c>
      <c r="Z110" s="195">
        <f t="shared" si="2"/>
        <v>1.734326855123671</v>
      </c>
      <c r="AA110" s="195">
        <f t="shared" si="8"/>
        <v>4.3801611760422965E-2</v>
      </c>
      <c r="AB110" s="195">
        <f t="shared" si="9"/>
        <v>2.8715545952201289E-2</v>
      </c>
      <c r="AC110" s="195">
        <f t="shared" si="3"/>
        <v>0.91053886244000659</v>
      </c>
      <c r="AD110">
        <f t="shared" si="4"/>
        <v>67</v>
      </c>
      <c r="AE110" s="195">
        <f t="shared" si="10"/>
        <v>0.94797908341992521</v>
      </c>
      <c r="AF110" s="195" t="str">
        <f t="shared" si="11"/>
        <v/>
      </c>
      <c r="AG110" s="255" t="str">
        <f>IF(ISNUMBER(SEARCH("C", 'Dry_Litterbag Placem_Collection'!AB37)),"YES","NO")</f>
        <v>NO</v>
      </c>
      <c r="AH110" s="255" t="str">
        <f>IF(ISNUMBER(SEARCH("H", 'Dry_Litterbag Placem_Collection'!AB37)),"YES","NO")</f>
        <v>NO</v>
      </c>
      <c r="AI110" s="255" t="str">
        <f>IF(ISNUMBER(SEARCH("R", 'Dry_Litterbag Placem_Collection'!AB37)),"YES","NO")</f>
        <v>NO</v>
      </c>
      <c r="AJ110" s="255" t="str">
        <f>IF(ISNUMBER(SEARCH("C", 'Dry_Litterbag Placem_Collection'!AA37)),"YES","NO")</f>
        <v>NO</v>
      </c>
      <c r="AK110" s="255" t="str">
        <f>IF(ISNUMBER(SEARCH("H", 'Dry_Litterbag Placem_Collection'!AA37)),"YES","NO")</f>
        <v>NO</v>
      </c>
      <c r="AL110" s="255" t="str">
        <f>IF(ISNUMBER(SEARCH("R", 'Dry_Litterbag Placem_Collection'!AA37)),"YES","NO")</f>
        <v>NO</v>
      </c>
      <c r="AR110" t="s">
        <v>1862</v>
      </c>
      <c r="AT110" t="s">
        <v>363</v>
      </c>
    </row>
    <row r="111" spans="2:46">
      <c r="B111" t="str">
        <f>'Final data_for_R_analysis_Dryse'!A37</f>
        <v>Dry</v>
      </c>
      <c r="C111" s="263">
        <f>'Final data_for_R_analysis_Dryse'!B37</f>
        <v>36</v>
      </c>
      <c r="D111" t="s">
        <v>3831</v>
      </c>
      <c r="E111" t="s">
        <v>22</v>
      </c>
      <c r="F111" s="387">
        <v>4</v>
      </c>
      <c r="G111" s="16">
        <f>'Dry_Litterbag Placem_Collection'!E38</f>
        <v>42938</v>
      </c>
      <c r="H111" t="str">
        <f>'Final data_for_R_analysis_Dryse'!J37</f>
        <v>G379</v>
      </c>
      <c r="I111" t="str">
        <f>'Final data_for_R_analysis_Dryse'!J257</f>
        <v>R799</v>
      </c>
      <c r="J111">
        <f>IFERROR(INDEX('Green_rooibos initial weight'!$C$5:$C$1749,MATCH(H111, 'Green_rooibos initial weight'!$A$5:$A$1749,0)),"")</f>
        <v>2.052</v>
      </c>
      <c r="K111">
        <f>IFERROR(INDEX('Green_rooibos initial weight'!$C$5:$C$1749,MATCH(I111, 'Green_rooibos initial weight'!$A$5:$A$1749,0)),"")</f>
        <v>2.2040000000000002</v>
      </c>
      <c r="L111" s="195">
        <f t="shared" si="5"/>
        <v>1.8022</v>
      </c>
      <c r="M111" s="240">
        <f>AVERAGE(Ashed_controlls!$K$1:$K$11)</f>
        <v>5.5147656768714146</v>
      </c>
      <c r="N111" s="195">
        <f t="shared" si="0"/>
        <v>1.7028128929714235</v>
      </c>
      <c r="O111" s="195">
        <f t="shared" si="6"/>
        <v>1.9542000000000002</v>
      </c>
      <c r="P111" s="240">
        <f>AVERAGE(Ashed_controlls!$K$12:$K$14)</f>
        <v>2.2816647271287041</v>
      </c>
      <c r="Q111" s="195">
        <f t="shared" si="1"/>
        <v>1.909611707902451</v>
      </c>
      <c r="R111" s="16">
        <f>IF('Dry_Litterbag Placem_Collection'!G38="N.A","",'Dry_Litterbag Placem_Collection'!G38)</f>
        <v>43005</v>
      </c>
      <c r="S111" s="195">
        <f>IF(IFERROR(INDEX('Both teabags AfterDry'!$D$1:$D$839,MATCH(H111,'Both teabags AfterDry'!$A$1:$A$839,0)),"")="N.A","",(IFERROR(INDEX('Both teabags AfterDry'!$D$1:$D$839,MATCH(H111,'Both teabags AfterDry'!$A$1:$A$839,0)),"")))</f>
        <v>1.65</v>
      </c>
      <c r="T111" s="195">
        <f>IF(IFERROR(INDEX('Both teabags AfterDry'!$D$1:$D$839,MATCH(I111,'Both teabags AfterDry'!$A$1:$A$839,0)),"")="N.A","",(IFERROR(INDEX('Both teabags AfterDry'!$D$1:$D$839,MATCH(I111,'Both teabags AfterDry'!$A$1:$A$839,0)),"")))</f>
        <v>1.3494999999999999</v>
      </c>
      <c r="U111" s="195">
        <f t="shared" si="7"/>
        <v>1.4993999999999998</v>
      </c>
      <c r="V111" s="195">
        <f t="shared" si="7"/>
        <v>1.1988999999999999</v>
      </c>
      <c r="W111" s="195">
        <f>IFERROR(INDEX('Ashed teabags dry'!$K$2:$K$821,MATCH(H111,'Ashed teabags dry'!$A$2:$A$821,0)),"")</f>
        <v>8.6725663716812598</v>
      </c>
      <c r="X111" s="195">
        <f>IFERROR(INDEX('Ashed teabags dry'!$K$2:$K$821,MATCH(I111,'Ashed teabags dry'!$A$2:$A$821,0)),"")</f>
        <v>96.616541353382999</v>
      </c>
      <c r="Y111" s="195">
        <f t="shared" si="2"/>
        <v>1.3693635398230111</v>
      </c>
      <c r="Z111" s="195">
        <f t="shared" si="2"/>
        <v>4.0564285714291159E-2</v>
      </c>
      <c r="AA111" s="195">
        <f t="shared" si="8"/>
        <v>0.19582266174091523</v>
      </c>
      <c r="AB111" s="195">
        <f t="shared" si="9"/>
        <v>0.12837780199641949</v>
      </c>
      <c r="AC111" s="195">
        <f t="shared" si="3"/>
        <v>2.1242164334469672E-2</v>
      </c>
      <c r="AD111">
        <f t="shared" si="4"/>
        <v>67</v>
      </c>
      <c r="AE111" s="195">
        <f t="shared" si="10"/>
        <v>0.76743151812242849</v>
      </c>
      <c r="AF111" s="195" t="str">
        <f t="shared" si="11"/>
        <v/>
      </c>
      <c r="AG111" s="255" t="str">
        <f>IF(ISNUMBER(SEARCH("C", 'Dry_Litterbag Placem_Collection'!AB38)),"YES","NO")</f>
        <v>NO</v>
      </c>
      <c r="AH111" s="255" t="str">
        <f>IF(ISNUMBER(SEARCH("H", 'Dry_Litterbag Placem_Collection'!AB38)),"YES","NO")</f>
        <v>NO</v>
      </c>
      <c r="AI111" s="255" t="str">
        <f>IF(ISNUMBER(SEARCH("R", 'Dry_Litterbag Placem_Collection'!AB38)),"YES","NO")</f>
        <v>NO</v>
      </c>
      <c r="AJ111" s="255" t="str">
        <f>IF(ISNUMBER(SEARCH("C", 'Dry_Litterbag Placem_Collection'!AA38)),"YES","NO")</f>
        <v>NO</v>
      </c>
      <c r="AK111" s="255" t="str">
        <f>IF(ISNUMBER(SEARCH("H", 'Dry_Litterbag Placem_Collection'!AA38)),"YES","NO")</f>
        <v>NO</v>
      </c>
      <c r="AL111" s="255" t="str">
        <f>IF(ISNUMBER(SEARCH("R", 'Dry_Litterbag Placem_Collection'!AA38)),"YES","NO")</f>
        <v>NO</v>
      </c>
      <c r="AR111" t="s">
        <v>1671</v>
      </c>
      <c r="AT111" t="s">
        <v>340</v>
      </c>
    </row>
    <row r="112" spans="2:46">
      <c r="B112" t="str">
        <f>'Final data_for_R_analysis_Dryse'!A38</f>
        <v>Dry</v>
      </c>
      <c r="C112" s="263">
        <f>'Final data_for_R_analysis_Dryse'!B38</f>
        <v>37</v>
      </c>
      <c r="D112" t="s">
        <v>3831</v>
      </c>
      <c r="E112" t="s">
        <v>22</v>
      </c>
      <c r="F112" s="387">
        <v>5</v>
      </c>
      <c r="G112" s="16">
        <f>'Dry_Litterbag Placem_Collection'!E39</f>
        <v>42938</v>
      </c>
      <c r="H112" t="str">
        <f>'Final data_for_R_analysis_Dryse'!J38</f>
        <v>G66</v>
      </c>
      <c r="I112" t="str">
        <f>'Final data_for_R_analysis_Dryse'!J258</f>
        <v>R722</v>
      </c>
      <c r="J112">
        <f>IFERROR(INDEX('Green_rooibos initial weight'!$C$5:$C$1749,MATCH(H112, 'Green_rooibos initial weight'!$A$5:$A$1749,0)),"")</f>
        <v>1.9490000000000001</v>
      </c>
      <c r="K112">
        <f>IFERROR(INDEX('Green_rooibos initial weight'!$C$5:$C$1749,MATCH(I112, 'Green_rooibos initial weight'!$A$5:$A$1749,0)),"")</f>
        <v>2.2069999999999999</v>
      </c>
      <c r="L112" s="195">
        <f t="shared" si="5"/>
        <v>1.6992</v>
      </c>
      <c r="M112" s="240">
        <f>AVERAGE(Ashed_controlls!$K$1:$K$11)</f>
        <v>5.5147656768714146</v>
      </c>
      <c r="N112" s="195">
        <f t="shared" si="0"/>
        <v>1.6054931016186009</v>
      </c>
      <c r="O112" s="195">
        <f t="shared" si="6"/>
        <v>1.9571999999999998</v>
      </c>
      <c r="P112" s="240">
        <f>AVERAGE(Ashed_controlls!$K$12:$K$14)</f>
        <v>2.2816647271287041</v>
      </c>
      <c r="Q112" s="195">
        <f t="shared" si="1"/>
        <v>1.9125432579606367</v>
      </c>
      <c r="R112" s="16">
        <f>IF('Dry_Litterbag Placem_Collection'!G39="N.A","",'Dry_Litterbag Placem_Collection'!G39)</f>
        <v>43005</v>
      </c>
      <c r="S112" s="195">
        <f>IF(IFERROR(INDEX('Both teabags AfterDry'!$D$1:$D$839,MATCH(H112,'Both teabags AfterDry'!$A$1:$A$839,0)),"")="N.A","",(IFERROR(INDEX('Both teabags AfterDry'!$D$1:$D$839,MATCH(H112,'Both teabags AfterDry'!$A$1:$A$839,0)),"")))</f>
        <v>3.3298000000000001</v>
      </c>
      <c r="T112" s="195">
        <f>IF(IFERROR(INDEX('Both teabags AfterDry'!$D$1:$D$839,MATCH(I112,'Both teabags AfterDry'!$A$1:$A$839,0)),"")="N.A","",(IFERROR(INDEX('Both teabags AfterDry'!$D$1:$D$839,MATCH(I112,'Both teabags AfterDry'!$A$1:$A$839,0)),"")))</f>
        <v>0.13320000000000001</v>
      </c>
      <c r="U112" s="195">
        <f t="shared" si="7"/>
        <v>3.1792000000000002</v>
      </c>
      <c r="V112" s="195">
        <f t="shared" si="7"/>
        <v>-1.7399999999999999E-2</v>
      </c>
      <c r="W112" s="195">
        <f>IFERROR(INDEX('Ashed teabags dry'!$K$2:$K$821,MATCH(H112,'Ashed teabags dry'!$A$2:$A$821,0)),"")</f>
        <v>73.511543134872284</v>
      </c>
      <c r="X112" s="195">
        <f>IFERROR(INDEX('Ashed teabags dry'!$K$2:$K$821,MATCH(I112,'Ashed teabags dry'!$A$2:$A$821,0)),"")</f>
        <v>96.545105566220045</v>
      </c>
      <c r="Y112" s="195">
        <f t="shared" si="2"/>
        <v>0.84212102065614047</v>
      </c>
      <c r="Z112" s="195">
        <f t="shared" si="2"/>
        <v>-6.0115163147771156E-4</v>
      </c>
      <c r="AA112" s="195">
        <f t="shared" si="8"/>
        <v>0.47547515476264324</v>
      </c>
      <c r="AB112" s="195">
        <f t="shared" si="9"/>
        <v>0.31171292806292056</v>
      </c>
      <c r="AC112" s="195">
        <f t="shared" si="3"/>
        <v>-3.1432054097365898E-4</v>
      </c>
      <c r="AD112">
        <f t="shared" si="4"/>
        <v>67</v>
      </c>
      <c r="AE112" s="195">
        <f t="shared" si="10"/>
        <v>0.43530266655268024</v>
      </c>
      <c r="AF112" s="195" t="str">
        <f t="shared" si="11"/>
        <v/>
      </c>
      <c r="AG112" s="255" t="str">
        <f>IF(ISNUMBER(SEARCH("C", 'Dry_Litterbag Placem_Collection'!AB39)),"YES","NO")</f>
        <v>NO</v>
      </c>
      <c r="AH112" s="255" t="str">
        <f>IF(ISNUMBER(SEARCH("H", 'Dry_Litterbag Placem_Collection'!AB39)),"YES","NO")</f>
        <v>NO</v>
      </c>
      <c r="AI112" s="255" t="str">
        <f>IF(ISNUMBER(SEARCH("R", 'Dry_Litterbag Placem_Collection'!AB39)),"YES","NO")</f>
        <v>NO</v>
      </c>
      <c r="AJ112" s="255" t="str">
        <f>IF(ISNUMBER(SEARCH("C", 'Dry_Litterbag Placem_Collection'!AA39)),"YES","NO")</f>
        <v>NO</v>
      </c>
      <c r="AK112" s="255" t="str">
        <f>IF(ISNUMBER(SEARCH("H", 'Dry_Litterbag Placem_Collection'!AA39)),"YES","NO")</f>
        <v>NO</v>
      </c>
      <c r="AL112" s="255" t="str">
        <f>IF(ISNUMBER(SEARCH("R", 'Dry_Litterbag Placem_Collection'!AA39)),"YES","NO")</f>
        <v>NO</v>
      </c>
      <c r="AR112" t="s">
        <v>1984</v>
      </c>
      <c r="AT112" t="s">
        <v>417</v>
      </c>
    </row>
    <row r="113" spans="2:46">
      <c r="B113" t="str">
        <f>'Final data_for_R_analysis_Dryse'!A39</f>
        <v>Dry</v>
      </c>
      <c r="C113" s="263">
        <f>'Final data_for_R_analysis_Dryse'!B39</f>
        <v>38</v>
      </c>
      <c r="D113" t="s">
        <v>3831</v>
      </c>
      <c r="E113" t="s">
        <v>22</v>
      </c>
      <c r="F113" s="387">
        <v>6</v>
      </c>
      <c r="G113" s="16">
        <f>'Dry_Litterbag Placem_Collection'!E40</f>
        <v>42938</v>
      </c>
      <c r="H113" t="str">
        <f>'Final data_for_R_analysis_Dryse'!J39</f>
        <v>G625</v>
      </c>
      <c r="I113" t="str">
        <f>'Final data_for_R_analysis_Dryse'!J259</f>
        <v>R796</v>
      </c>
      <c r="J113">
        <f>IFERROR(INDEX('Green_rooibos initial weight'!$C$5:$C$1749,MATCH(H113, 'Green_rooibos initial weight'!$A$5:$A$1749,0)),"")</f>
        <v>1.9650000000000001</v>
      </c>
      <c r="K113">
        <f>IFERROR(INDEX('Green_rooibos initial weight'!$C$5:$C$1749,MATCH(I113, 'Green_rooibos initial weight'!$A$5:$A$1749,0)),"")</f>
        <v>2.2360000000000002</v>
      </c>
      <c r="L113" s="195">
        <f t="shared" si="5"/>
        <v>1.7152000000000001</v>
      </c>
      <c r="M113" s="240">
        <f>AVERAGE(Ashed_controlls!$K$1:$K$11)</f>
        <v>5.5147656768714146</v>
      </c>
      <c r="N113" s="195">
        <f t="shared" si="0"/>
        <v>1.6206107391103015</v>
      </c>
      <c r="O113" s="195">
        <f t="shared" si="6"/>
        <v>1.9862000000000002</v>
      </c>
      <c r="P113" s="240">
        <f>AVERAGE(Ashed_controlls!$K$12:$K$14)</f>
        <v>2.2816647271287041</v>
      </c>
      <c r="Q113" s="195">
        <f t="shared" si="1"/>
        <v>1.9408815751897699</v>
      </c>
      <c r="R113" s="16">
        <f>IF('Dry_Litterbag Placem_Collection'!G40="N.A","",'Dry_Litterbag Placem_Collection'!G40)</f>
        <v>43005</v>
      </c>
      <c r="S113" s="195">
        <f>IF(IFERROR(INDEX('Both teabags AfterDry'!$D$1:$D$839,MATCH(H113,'Both teabags AfterDry'!$A$1:$A$839,0)),"")="N.A","",(IFERROR(INDEX('Both teabags AfterDry'!$D$1:$D$839,MATCH(H113,'Both teabags AfterDry'!$A$1:$A$839,0)),"")))</f>
        <v>1.8379000000000001</v>
      </c>
      <c r="T113" s="195">
        <f>IF(IFERROR(INDEX('Both teabags AfterDry'!$D$1:$D$839,MATCH(I113,'Both teabags AfterDry'!$A$1:$A$839,0)),"")="N.A","",(IFERROR(INDEX('Both teabags AfterDry'!$D$1:$D$839,MATCH(I113,'Both teabags AfterDry'!$A$1:$A$839,0)),"")))</f>
        <v>1.9076</v>
      </c>
      <c r="U113" s="195">
        <f t="shared" si="7"/>
        <v>1.6873</v>
      </c>
      <c r="V113" s="195">
        <f t="shared" si="7"/>
        <v>1.7569999999999999</v>
      </c>
      <c r="W113" s="195">
        <f>IFERROR(INDEX('Ashed teabags dry'!$K$2:$K$821,MATCH(H113,'Ashed teabags dry'!$A$2:$A$821,0)),"")</f>
        <v>9.99592003263969</v>
      </c>
      <c r="X113" s="195">
        <f>IFERROR(INDEX('Ashed teabags dry'!$K$2:$K$821,MATCH(I113,'Ashed teabags dry'!$A$2:$A$821,0)),"")</f>
        <v>4.810004810006216</v>
      </c>
      <c r="Y113" s="195">
        <f t="shared" si="2"/>
        <v>1.5186388412892706</v>
      </c>
      <c r="Z113" s="195">
        <f t="shared" si="2"/>
        <v>1.6724882154881906</v>
      </c>
      <c r="AA113" s="195">
        <f t="shared" si="8"/>
        <v>6.2921894419268432E-2</v>
      </c>
      <c r="AB113" s="195">
        <f t="shared" si="9"/>
        <v>4.1250458099092856E-2</v>
      </c>
      <c r="AC113" s="195">
        <f t="shared" si="3"/>
        <v>0.86171574652856542</v>
      </c>
      <c r="AD113">
        <f t="shared" si="4"/>
        <v>67</v>
      </c>
      <c r="AE113" s="195">
        <f t="shared" si="10"/>
        <v>0.92527090924077382</v>
      </c>
      <c r="AF113" s="195" t="str">
        <f t="shared" si="11"/>
        <v/>
      </c>
      <c r="AG113" s="255" t="str">
        <f>IF(ISNUMBER(SEARCH("C", 'Dry_Litterbag Placem_Collection'!AB40)),"YES","NO")</f>
        <v>NO</v>
      </c>
      <c r="AH113" s="255" t="str">
        <f>IF(ISNUMBER(SEARCH("H", 'Dry_Litterbag Placem_Collection'!AB40)),"YES","NO")</f>
        <v>NO</v>
      </c>
      <c r="AI113" s="255" t="str">
        <f>IF(ISNUMBER(SEARCH("R", 'Dry_Litterbag Placem_Collection'!AB40)),"YES","NO")</f>
        <v>NO</v>
      </c>
      <c r="AJ113" s="255" t="str">
        <f>IF(ISNUMBER(SEARCH("C", 'Dry_Litterbag Placem_Collection'!AA40)),"YES","NO")</f>
        <v>NO</v>
      </c>
      <c r="AK113" s="255" t="str">
        <f>IF(ISNUMBER(SEARCH("H", 'Dry_Litterbag Placem_Collection'!AA40)),"YES","NO")</f>
        <v>NO</v>
      </c>
      <c r="AL113" s="255" t="str">
        <f>IF(ISNUMBER(SEARCH("R", 'Dry_Litterbag Placem_Collection'!AA40)),"YES","NO")</f>
        <v>NO</v>
      </c>
      <c r="AR113" t="s">
        <v>1425</v>
      </c>
      <c r="AT113" t="s">
        <v>343</v>
      </c>
    </row>
    <row r="114" spans="2:46">
      <c r="B114" t="str">
        <f>'Final data_for_R_analysis_Dryse'!A40</f>
        <v>Dry</v>
      </c>
      <c r="C114" s="263">
        <f>'Final data_for_R_analysis_Dryse'!B40</f>
        <v>39</v>
      </c>
      <c r="D114" t="s">
        <v>3831</v>
      </c>
      <c r="E114" t="s">
        <v>22</v>
      </c>
      <c r="F114" s="387">
        <v>7</v>
      </c>
      <c r="G114" s="16">
        <f>'Dry_Litterbag Placem_Collection'!E41</f>
        <v>42938</v>
      </c>
      <c r="H114" t="str">
        <f>'Final data_for_R_analysis_Dryse'!J40</f>
        <v/>
      </c>
      <c r="I114" t="str">
        <f>'Final data_for_R_analysis_Dryse'!J260</f>
        <v/>
      </c>
      <c r="J114" t="str">
        <f>IFERROR(INDEX('Green_rooibos initial weight'!$C$5:$C$1749,MATCH(H114, 'Green_rooibos initial weight'!$A$5:$A$1749,0)),"")</f>
        <v/>
      </c>
      <c r="K114" t="str">
        <f>IFERROR(INDEX('Green_rooibos initial weight'!$C$5:$C$1749,MATCH(I114, 'Green_rooibos initial weight'!$A$5:$A$1749,0)),"")</f>
        <v/>
      </c>
      <c r="L114" s="195" t="str">
        <f t="shared" si="5"/>
        <v/>
      </c>
      <c r="M114" s="240">
        <f>AVERAGE(Ashed_controlls!$K$1:$K$11)</f>
        <v>5.5147656768714146</v>
      </c>
      <c r="N114" s="195" t="str">
        <f t="shared" si="0"/>
        <v/>
      </c>
      <c r="O114" s="195" t="str">
        <f t="shared" si="6"/>
        <v/>
      </c>
      <c r="P114" s="240">
        <f>AVERAGE(Ashed_controlls!$K$12:$K$14)</f>
        <v>2.2816647271287041</v>
      </c>
      <c r="Q114" s="195" t="str">
        <f t="shared" si="1"/>
        <v/>
      </c>
      <c r="R114" s="16">
        <f>IF('Dry_Litterbag Placem_Collection'!G41="N.A","",'Dry_Litterbag Placem_Collection'!G41)</f>
        <v>0</v>
      </c>
      <c r="S114" s="195" t="str">
        <f>IF(IFERROR(INDEX('Both teabags AfterDry'!$D$1:$D$839,MATCH(H114,'Both teabags AfterDry'!$A$1:$A$839,0)),"")="N.A","",(IFERROR(INDEX('Both teabags AfterDry'!$D$1:$D$839,MATCH(H114,'Both teabags AfterDry'!$A$1:$A$839,0)),"")))</f>
        <v/>
      </c>
      <c r="T114" s="195" t="str">
        <f>IF(IFERROR(INDEX('Both teabags AfterDry'!$D$1:$D$839,MATCH(I114,'Both teabags AfterDry'!$A$1:$A$839,0)),"")="N.A","",(IFERROR(INDEX('Both teabags AfterDry'!$D$1:$D$839,MATCH(I114,'Both teabags AfterDry'!$A$1:$A$839,0)),"")))</f>
        <v/>
      </c>
      <c r="U114" s="195" t="str">
        <f t="shared" si="7"/>
        <v/>
      </c>
      <c r="V114" s="195" t="str">
        <f t="shared" si="7"/>
        <v/>
      </c>
      <c r="W114" s="195" t="str">
        <f>IFERROR(INDEX('Ashed teabags dry'!$K$2:$K$821,MATCH(H114,'Ashed teabags dry'!$A$2:$A$821,0)),"")</f>
        <v/>
      </c>
      <c r="X114" s="195" t="str">
        <f>IFERROR(INDEX('Ashed teabags dry'!$K$2:$K$821,MATCH(I114,'Ashed teabags dry'!$A$2:$A$821,0)),"")</f>
        <v/>
      </c>
      <c r="Y114" s="195" t="str">
        <f t="shared" si="2"/>
        <v/>
      </c>
      <c r="Z114" s="195" t="str">
        <f t="shared" si="2"/>
        <v/>
      </c>
      <c r="AA114" s="195" t="str">
        <f t="shared" si="8"/>
        <v/>
      </c>
      <c r="AB114" s="195" t="str">
        <f t="shared" si="9"/>
        <v/>
      </c>
      <c r="AC114" s="195" t="str">
        <f t="shared" si="3"/>
        <v/>
      </c>
      <c r="AD114" t="str">
        <f t="shared" si="4"/>
        <v/>
      </c>
      <c r="AE114" s="195" t="str">
        <f t="shared" si="10"/>
        <v/>
      </c>
      <c r="AF114" s="195" t="str">
        <f t="shared" si="11"/>
        <v/>
      </c>
      <c r="AG114" s="255" t="str">
        <f>IF(ISNUMBER(SEARCH("C", 'Dry_Litterbag Placem_Collection'!AB41)),"YES","NO")</f>
        <v>NO</v>
      </c>
      <c r="AH114" s="255" t="str">
        <f>IF(ISNUMBER(SEARCH("H", 'Dry_Litterbag Placem_Collection'!AB41)),"YES","NO")</f>
        <v>NO</v>
      </c>
      <c r="AI114" s="255" t="str">
        <f>IF(ISNUMBER(SEARCH("R", 'Dry_Litterbag Placem_Collection'!AB41)),"YES","NO")</f>
        <v>NO</v>
      </c>
      <c r="AJ114" s="255" t="str">
        <f>IF(ISNUMBER(SEARCH("C", 'Dry_Litterbag Placem_Collection'!AA41)),"YES","NO")</f>
        <v>NO</v>
      </c>
      <c r="AK114" s="255" t="str">
        <f>IF(ISNUMBER(SEARCH("H", 'Dry_Litterbag Placem_Collection'!AA41)),"YES","NO")</f>
        <v>NO</v>
      </c>
      <c r="AL114" s="255" t="str">
        <f>IF(ISNUMBER(SEARCH("R", 'Dry_Litterbag Placem_Collection'!AA41)),"YES","NO")</f>
        <v>NO</v>
      </c>
      <c r="AR114" t="s">
        <v>3654</v>
      </c>
      <c r="AT114" t="s">
        <v>3654</v>
      </c>
    </row>
    <row r="115" spans="2:46">
      <c r="B115" t="str">
        <f>'Final data_for_R_analysis_Dryse'!A41</f>
        <v>Dry</v>
      </c>
      <c r="C115" s="263">
        <f>'Final data_for_R_analysis_Dryse'!B41</f>
        <v>40</v>
      </c>
      <c r="D115" t="s">
        <v>3831</v>
      </c>
      <c r="E115" t="s">
        <v>22</v>
      </c>
      <c r="F115" s="387">
        <v>8</v>
      </c>
      <c r="G115" s="16">
        <f>'Dry_Litterbag Placem_Collection'!E42</f>
        <v>42938</v>
      </c>
      <c r="H115" t="str">
        <f>'Final data_for_R_analysis_Dryse'!J41</f>
        <v>G88</v>
      </c>
      <c r="I115" t="str">
        <f>'Final data_for_R_analysis_Dryse'!J261</f>
        <v>R782</v>
      </c>
      <c r="J115">
        <f>IFERROR(INDEX('Green_rooibos initial weight'!$C$5:$C$1749,MATCH(H115, 'Green_rooibos initial weight'!$A$5:$A$1749,0)),"")</f>
        <v>2.1549999999999998</v>
      </c>
      <c r="K115">
        <f>IFERROR(INDEX('Green_rooibos initial weight'!$C$5:$C$1749,MATCH(I115, 'Green_rooibos initial weight'!$A$5:$A$1749,0)),"")</f>
        <v>2.2410000000000001</v>
      </c>
      <c r="L115" s="195">
        <f t="shared" si="5"/>
        <v>1.9051999999999998</v>
      </c>
      <c r="M115" s="240">
        <f>AVERAGE(Ashed_controlls!$K$1:$K$11)</f>
        <v>5.5147656768714146</v>
      </c>
      <c r="N115" s="195">
        <f t="shared" si="0"/>
        <v>1.8001326843242456</v>
      </c>
      <c r="O115" s="195">
        <f t="shared" si="6"/>
        <v>1.9912000000000001</v>
      </c>
      <c r="P115" s="240">
        <f>AVERAGE(Ashed_controlls!$K$12:$K$14)</f>
        <v>2.2816647271287041</v>
      </c>
      <c r="Q115" s="195">
        <f t="shared" si="1"/>
        <v>1.9457674919534134</v>
      </c>
      <c r="R115" s="16">
        <f>IF('Dry_Litterbag Placem_Collection'!G42="N.A","",'Dry_Litterbag Placem_Collection'!G42)</f>
        <v>43005</v>
      </c>
      <c r="S115" s="195">
        <f>IF(IFERROR(INDEX('Both teabags AfterDry'!$D$1:$D$839,MATCH(H115,'Both teabags AfterDry'!$A$1:$A$839,0)),"")="N.A","",(IFERROR(INDEX('Both teabags AfterDry'!$D$1:$D$839,MATCH(H115,'Both teabags AfterDry'!$A$1:$A$839,0)),"")))</f>
        <v>1.9495</v>
      </c>
      <c r="T115" s="195">
        <f>IF(IFERROR(INDEX('Both teabags AfterDry'!$D$1:$D$839,MATCH(I115,'Both teabags AfterDry'!$A$1:$A$839,0)),"")="N.A","",(IFERROR(INDEX('Both teabags AfterDry'!$D$1:$D$839,MATCH(I115,'Both teabags AfterDry'!$A$1:$A$839,0)),"")))</f>
        <v>1.992</v>
      </c>
      <c r="U115" s="195">
        <f t="shared" si="7"/>
        <v>1.7988999999999999</v>
      </c>
      <c r="V115" s="195">
        <f t="shared" si="7"/>
        <v>1.8413999999999999</v>
      </c>
      <c r="W115" s="195">
        <f>IFERROR(INDEX('Ashed teabags dry'!$K$2:$K$821,MATCH(H115,'Ashed teabags dry'!$A$2:$A$821,0)),"")</f>
        <v>6.6945606694563358</v>
      </c>
      <c r="X115" s="195">
        <f>IFERROR(INDEX('Ashed teabags dry'!$K$2:$K$821,MATCH(I115,'Ashed teabags dry'!$A$2:$A$821,0)),"")</f>
        <v>3.5485460818134884</v>
      </c>
      <c r="Y115" s="195">
        <f t="shared" si="2"/>
        <v>1.6784715481171499</v>
      </c>
      <c r="Z115" s="195">
        <f t="shared" si="2"/>
        <v>1.7760570724494864</v>
      </c>
      <c r="AA115" s="195">
        <f t="shared" si="8"/>
        <v>6.7584538221284629E-2</v>
      </c>
      <c r="AB115" s="195">
        <f t="shared" si="9"/>
        <v>4.4307203204452646E-2</v>
      </c>
      <c r="AC115" s="195">
        <f t="shared" si="3"/>
        <v>0.91277970250517981</v>
      </c>
      <c r="AD115">
        <f t="shared" si="4"/>
        <v>67</v>
      </c>
      <c r="AE115" s="195">
        <f t="shared" si="10"/>
        <v>0.9197333275281655</v>
      </c>
      <c r="AF115" s="195" t="str">
        <f t="shared" si="11"/>
        <v/>
      </c>
      <c r="AG115" s="255" t="str">
        <f>IF(ISNUMBER(SEARCH("C", 'Dry_Litterbag Placem_Collection'!AB42)),"YES","NO")</f>
        <v>NO</v>
      </c>
      <c r="AH115" s="255" t="str">
        <f>IF(ISNUMBER(SEARCH("H", 'Dry_Litterbag Placem_Collection'!AB42)),"YES","NO")</f>
        <v>NO</v>
      </c>
      <c r="AI115" s="255" t="str">
        <f>IF(ISNUMBER(SEARCH("R", 'Dry_Litterbag Placem_Collection'!AB42)),"YES","NO")</f>
        <v>NO</v>
      </c>
      <c r="AJ115" s="255" t="str">
        <f>IF(ISNUMBER(SEARCH("C", 'Dry_Litterbag Placem_Collection'!AA42)),"YES","NO")</f>
        <v>NO</v>
      </c>
      <c r="AK115" s="255" t="str">
        <f>IF(ISNUMBER(SEARCH("H", 'Dry_Litterbag Placem_Collection'!AA42)),"YES","NO")</f>
        <v>NO</v>
      </c>
      <c r="AL115" s="255" t="str">
        <f>IF(ISNUMBER(SEARCH("R", 'Dry_Litterbag Placem_Collection'!AA42)),"YES","NO")</f>
        <v>NO</v>
      </c>
      <c r="AR115" t="s">
        <v>1962</v>
      </c>
      <c r="AT115" t="s">
        <v>357</v>
      </c>
    </row>
    <row r="116" spans="2:46">
      <c r="B116" t="str">
        <f>'Final data_for_R_analysis_Dryse'!A42</f>
        <v>Dry</v>
      </c>
      <c r="C116" s="263">
        <f>'Final data_for_R_analysis_Dryse'!B42</f>
        <v>41</v>
      </c>
      <c r="D116" t="s">
        <v>3833</v>
      </c>
      <c r="E116" t="s">
        <v>22</v>
      </c>
      <c r="F116" s="386">
        <v>1</v>
      </c>
      <c r="G116" s="16">
        <f>'Dry_Litterbag Placem_Collection'!E43</f>
        <v>42938</v>
      </c>
      <c r="H116" t="str">
        <f>'Final data_for_R_analysis_Dryse'!J42</f>
        <v>G256</v>
      </c>
      <c r="I116" t="str">
        <f>'Final data_for_R_analysis_Dryse'!J262</f>
        <v>R820</v>
      </c>
      <c r="J116">
        <f>IFERROR(INDEX('Green_rooibos initial weight'!$C$5:$C$1749,MATCH(H116, 'Green_rooibos initial weight'!$A$5:$A$1749,0)),"")</f>
        <v>2.11</v>
      </c>
      <c r="K116">
        <f>IFERROR(INDEX('Green_rooibos initial weight'!$C$5:$C$1749,MATCH(I116, 'Green_rooibos initial weight'!$A$5:$A$1749,0)),"")</f>
        <v>2.2170000000000001</v>
      </c>
      <c r="L116" s="195">
        <f t="shared" si="5"/>
        <v>1.8601999999999999</v>
      </c>
      <c r="M116" s="240">
        <f>AVERAGE(Ashed_controlls!$K$1:$K$11)</f>
        <v>5.5147656768714146</v>
      </c>
      <c r="N116" s="195">
        <f t="shared" si="0"/>
        <v>1.7576143288788377</v>
      </c>
      <c r="O116" s="195">
        <f t="shared" si="6"/>
        <v>1.9672000000000001</v>
      </c>
      <c r="P116" s="240">
        <f>AVERAGE(Ashed_controlls!$K$12:$K$14)</f>
        <v>2.2816647271287041</v>
      </c>
      <c r="Q116" s="195">
        <f t="shared" si="1"/>
        <v>1.9223150914879241</v>
      </c>
      <c r="R116" s="16">
        <f>IF('Dry_Litterbag Placem_Collection'!G43="N.A","",'Dry_Litterbag Placem_Collection'!G43)</f>
        <v>43005</v>
      </c>
      <c r="S116" s="195">
        <f>IF(IFERROR(INDEX('Both teabags AfterDry'!$D$1:$D$839,MATCH(H116,'Both teabags AfterDry'!$A$1:$A$839,0)),"")="N.A","",(IFERROR(INDEX('Both teabags AfterDry'!$D$1:$D$839,MATCH(H116,'Both teabags AfterDry'!$A$1:$A$839,0)),"")))</f>
        <v>1.6208</v>
      </c>
      <c r="T116" s="195">
        <f>IF(IFERROR(INDEX('Both teabags AfterDry'!$D$1:$D$839,MATCH(I116,'Both teabags AfterDry'!$A$1:$A$839,0)),"")="N.A","",(IFERROR(INDEX('Both teabags AfterDry'!$D$1:$D$839,MATCH(I116,'Both teabags AfterDry'!$A$1:$A$839,0)),"")))</f>
        <v>1.2708999999999999</v>
      </c>
      <c r="U116" s="195">
        <f t="shared" si="7"/>
        <v>1.4702</v>
      </c>
      <c r="V116" s="195">
        <f t="shared" si="7"/>
        <v>1.1202999999999999</v>
      </c>
      <c r="W116" s="195">
        <f>IFERROR(INDEX('Ashed teabags dry'!$K$2:$K$821,MATCH(H116,'Ashed teabags dry'!$A$2:$A$821,0)),"")</f>
        <v>6.3627730294394693</v>
      </c>
      <c r="X116" s="195">
        <f>IFERROR(INDEX('Ashed teabags dry'!$K$2:$K$821,MATCH(I116,'Ashed teabags dry'!$A$2:$A$821,0)),"")</f>
        <v>3.1920199501252777</v>
      </c>
      <c r="Y116" s="195">
        <f t="shared" si="2"/>
        <v>1.376654510921181</v>
      </c>
      <c r="Z116" s="195">
        <f t="shared" si="2"/>
        <v>1.0845398004987463</v>
      </c>
      <c r="AA116" s="195">
        <f t="shared" si="8"/>
        <v>0.21674824317156471</v>
      </c>
      <c r="AB116" s="195">
        <f t="shared" si="9"/>
        <v>0.14209623542838923</v>
      </c>
      <c r="AC116" s="195">
        <f t="shared" si="3"/>
        <v>0.5641841991987292</v>
      </c>
      <c r="AD116">
        <f t="shared" si="4"/>
        <v>67</v>
      </c>
      <c r="AE116" s="195">
        <f t="shared" si="10"/>
        <v>0.74257928364422243</v>
      </c>
      <c r="AF116" s="195" t="str">
        <f t="shared" si="11"/>
        <v/>
      </c>
      <c r="AG116" s="255" t="str">
        <f>IF(ISNUMBER(SEARCH("C", 'Dry_Litterbag Placem_Collection'!AB43)),"YES","NO")</f>
        <v>NO</v>
      </c>
      <c r="AH116" s="255" t="str">
        <f>IF(ISNUMBER(SEARCH("H", 'Dry_Litterbag Placem_Collection'!AB43)),"YES","NO")</f>
        <v>NO</v>
      </c>
      <c r="AI116" s="255" t="str">
        <f>IF(ISNUMBER(SEARCH("R", 'Dry_Litterbag Placem_Collection'!AB43)),"YES","NO")</f>
        <v>NO</v>
      </c>
      <c r="AJ116" s="255" t="str">
        <f>IF(ISNUMBER(SEARCH("C", 'Dry_Litterbag Placem_Collection'!AA43)),"YES","NO")</f>
        <v>NO</v>
      </c>
      <c r="AK116" s="255" t="str">
        <f>IF(ISNUMBER(SEARCH("H", 'Dry_Litterbag Placem_Collection'!AA43)),"YES","NO")</f>
        <v>NO</v>
      </c>
      <c r="AL116" s="255" t="str">
        <f>IF(ISNUMBER(SEARCH("R", 'Dry_Litterbag Placem_Collection'!AA43)),"YES","NO")</f>
        <v>NO</v>
      </c>
      <c r="AR116" t="s">
        <v>1794</v>
      </c>
      <c r="AT116" t="s">
        <v>319</v>
      </c>
    </row>
    <row r="117" spans="2:46">
      <c r="B117" t="str">
        <f>'Final data_for_R_analysis_Dryse'!A43</f>
        <v>Dry</v>
      </c>
      <c r="C117" s="263">
        <f>'Final data_for_R_analysis_Dryse'!B43</f>
        <v>42</v>
      </c>
      <c r="D117" t="s">
        <v>3833</v>
      </c>
      <c r="E117" t="s">
        <v>22</v>
      </c>
      <c r="F117" s="386">
        <v>2</v>
      </c>
      <c r="G117" s="16">
        <f>'Dry_Litterbag Placem_Collection'!E44</f>
        <v>42938</v>
      </c>
      <c r="H117" t="str">
        <f>'Final data_for_R_analysis_Dryse'!J43</f>
        <v>G341</v>
      </c>
      <c r="I117" t="str">
        <f>'Final data_for_R_analysis_Dryse'!J263</f>
        <v>R806</v>
      </c>
      <c r="J117">
        <f>IFERROR(INDEX('Green_rooibos initial weight'!$C$5:$C$1749,MATCH(H117, 'Green_rooibos initial weight'!$A$5:$A$1749,0)),"")</f>
        <v>1.954</v>
      </c>
      <c r="K117">
        <f>IFERROR(INDEX('Green_rooibos initial weight'!$C$5:$C$1749,MATCH(I117, 'Green_rooibos initial weight'!$A$5:$A$1749,0)),"")</f>
        <v>2.2389999999999999</v>
      </c>
      <c r="L117" s="195">
        <f t="shared" si="5"/>
        <v>1.7041999999999999</v>
      </c>
      <c r="M117" s="240">
        <f>AVERAGE(Ashed_controlls!$K$1:$K$11)</f>
        <v>5.5147656768714146</v>
      </c>
      <c r="N117" s="195">
        <f t="shared" si="0"/>
        <v>1.6102173633347574</v>
      </c>
      <c r="O117" s="195">
        <f t="shared" si="6"/>
        <v>1.9891999999999999</v>
      </c>
      <c r="P117" s="240">
        <f>AVERAGE(Ashed_controlls!$K$12:$K$14)</f>
        <v>2.2816647271287041</v>
      </c>
      <c r="Q117" s="195">
        <f t="shared" si="1"/>
        <v>1.9438131252479556</v>
      </c>
      <c r="R117" s="16">
        <f>IF('Dry_Litterbag Placem_Collection'!G44="N.A","",'Dry_Litterbag Placem_Collection'!G44)</f>
        <v>43005</v>
      </c>
      <c r="S117" s="195">
        <f>IF(IFERROR(INDEX('Both teabags AfterDry'!$D$1:$D$839,MATCH(H117,'Both teabags AfterDry'!$A$1:$A$839,0)),"")="N.A","",(IFERROR(INDEX('Both teabags AfterDry'!$D$1:$D$839,MATCH(H117,'Both teabags AfterDry'!$A$1:$A$839,0)),"")))</f>
        <v>1.7267999999999999</v>
      </c>
      <c r="T117" s="195">
        <f>IF(IFERROR(INDEX('Both teabags AfterDry'!$D$1:$D$839,MATCH(I117,'Both teabags AfterDry'!$A$1:$A$839,0)),"")="N.A","",(IFERROR(INDEX('Both teabags AfterDry'!$D$1:$D$839,MATCH(I117,'Both teabags AfterDry'!$A$1:$A$839,0)),"")))</f>
        <v>0.14760000000000001</v>
      </c>
      <c r="U117" s="195">
        <f t="shared" si="7"/>
        <v>1.5761999999999998</v>
      </c>
      <c r="V117" s="195">
        <f t="shared" si="7"/>
        <v>-3.0000000000000027E-3</v>
      </c>
      <c r="W117" s="195">
        <f>IFERROR(INDEX('Ashed teabags dry'!$K$2:$K$821,MATCH(H117,'Ashed teabags dry'!$A$2:$A$821,0)),"")</f>
        <v>7.1704594246447426</v>
      </c>
      <c r="X117" s="195">
        <f>IFERROR(INDEX('Ashed teabags dry'!$K$2:$K$821,MATCH(I117,'Ashed teabags dry'!$A$2:$A$821,0)),"")</f>
        <v>0</v>
      </c>
      <c r="Y117" s="195">
        <f t="shared" si="2"/>
        <v>1.4631792185487493</v>
      </c>
      <c r="Z117" s="195">
        <f t="shared" si="2"/>
        <v>-3.0000000000000027E-3</v>
      </c>
      <c r="AA117" s="195">
        <f t="shared" si="8"/>
        <v>9.1315711862336557E-2</v>
      </c>
      <c r="AB117" s="195">
        <f t="shared" si="9"/>
        <v>5.9864932242291925E-2</v>
      </c>
      <c r="AC117" s="195">
        <f t="shared" si="3"/>
        <v>-1.5433582380082543E-3</v>
      </c>
      <c r="AD117">
        <f t="shared" si="4"/>
        <v>67</v>
      </c>
      <c r="AE117" s="195">
        <f t="shared" si="10"/>
        <v>0.89154903579294942</v>
      </c>
      <c r="AF117" s="195" t="str">
        <f t="shared" si="11"/>
        <v/>
      </c>
      <c r="AG117" s="255" t="str">
        <f>IF(ISNUMBER(SEARCH("C", 'Dry_Litterbag Placem_Collection'!AB44)),"YES","NO")</f>
        <v>NO</v>
      </c>
      <c r="AH117" s="255" t="str">
        <f>IF(ISNUMBER(SEARCH("H", 'Dry_Litterbag Placem_Collection'!AB44)),"YES","NO")</f>
        <v>NO</v>
      </c>
      <c r="AI117" s="255" t="str">
        <f>IF(ISNUMBER(SEARCH("R", 'Dry_Litterbag Placem_Collection'!AB44)),"YES","NO")</f>
        <v>NO</v>
      </c>
      <c r="AJ117" s="255" t="str">
        <f>IF(ISNUMBER(SEARCH("C", 'Dry_Litterbag Placem_Collection'!AA44)),"YES","NO")</f>
        <v>NO</v>
      </c>
      <c r="AK117" s="255" t="str">
        <f>IF(ISNUMBER(SEARCH("H", 'Dry_Litterbag Placem_Collection'!AA44)),"YES","NO")</f>
        <v>NO</v>
      </c>
      <c r="AL117" s="255" t="str">
        <f>IF(ISNUMBER(SEARCH("R", 'Dry_Litterbag Placem_Collection'!AA44)),"YES","NO")</f>
        <v>NO</v>
      </c>
      <c r="AR117" t="s">
        <v>1709</v>
      </c>
      <c r="AT117" t="s">
        <v>333</v>
      </c>
    </row>
    <row r="118" spans="2:46">
      <c r="B118" t="str">
        <f>'Final data_for_R_analysis_Dryse'!A44</f>
        <v>Dry</v>
      </c>
      <c r="C118" s="263">
        <f>'Final data_for_R_analysis_Dryse'!B44</f>
        <v>43</v>
      </c>
      <c r="D118" t="s">
        <v>3833</v>
      </c>
      <c r="E118" t="s">
        <v>22</v>
      </c>
      <c r="F118" s="386">
        <v>3</v>
      </c>
      <c r="G118" s="16">
        <f>'Dry_Litterbag Placem_Collection'!E45</f>
        <v>42938</v>
      </c>
      <c r="H118" t="str">
        <f>'Final data_for_R_analysis_Dryse'!J44</f>
        <v>G246</v>
      </c>
      <c r="I118" t="str">
        <f>'Final data_for_R_analysis_Dryse'!J264</f>
        <v>R758</v>
      </c>
      <c r="J118">
        <f>IFERROR(INDEX('Green_rooibos initial weight'!$C$5:$C$1749,MATCH(H118, 'Green_rooibos initial weight'!$A$5:$A$1749,0)),"")</f>
        <v>2.1829999999999998</v>
      </c>
      <c r="K118">
        <f>IFERROR(INDEX('Green_rooibos initial weight'!$C$5:$C$1749,MATCH(I118, 'Green_rooibos initial weight'!$A$5:$A$1749,0)),"")</f>
        <v>2.2200000000000002</v>
      </c>
      <c r="L118" s="195">
        <f t="shared" si="5"/>
        <v>1.9331999999999998</v>
      </c>
      <c r="M118" s="240">
        <f>AVERAGE(Ashed_controlls!$K$1:$K$11)</f>
        <v>5.5147656768714146</v>
      </c>
      <c r="N118" s="195">
        <f t="shared" si="0"/>
        <v>1.8265885499347216</v>
      </c>
      <c r="O118" s="195">
        <f t="shared" si="6"/>
        <v>1.9702000000000002</v>
      </c>
      <c r="P118" s="240">
        <f>AVERAGE(Ashed_controlls!$K$12:$K$14)</f>
        <v>2.2816647271287041</v>
      </c>
      <c r="Q118" s="195">
        <f t="shared" si="1"/>
        <v>1.9252466415461105</v>
      </c>
      <c r="R118" s="16">
        <f>IF('Dry_Litterbag Placem_Collection'!G45="N.A","",'Dry_Litterbag Placem_Collection'!G45)</f>
        <v>43005</v>
      </c>
      <c r="S118" s="195">
        <f>IF(IFERROR(INDEX('Both teabags AfterDry'!$D$1:$D$839,MATCH(H118,'Both teabags AfterDry'!$A$1:$A$839,0)),"")="N.A","",(IFERROR(INDEX('Both teabags AfterDry'!$D$1:$D$839,MATCH(H118,'Both teabags AfterDry'!$A$1:$A$839,0)),"")))</f>
        <v>1.9577</v>
      </c>
      <c r="T118" s="195">
        <f>IF(IFERROR(INDEX('Both teabags AfterDry'!$D$1:$D$839,MATCH(I118,'Both teabags AfterDry'!$A$1:$A$839,0)),"")="N.A","",(IFERROR(INDEX('Both teabags AfterDry'!$D$1:$D$839,MATCH(I118,'Both teabags AfterDry'!$A$1:$A$839,0)),"")))</f>
        <v>1.6818</v>
      </c>
      <c r="U118" s="195">
        <f t="shared" si="7"/>
        <v>1.8070999999999999</v>
      </c>
      <c r="V118" s="195">
        <f t="shared" si="7"/>
        <v>1.5311999999999999</v>
      </c>
      <c r="W118" s="195">
        <f>IFERROR(INDEX('Ashed teabags dry'!$K$2:$K$821,MATCH(H118,'Ashed teabags dry'!$A$2:$A$821,0)),"")</f>
        <v>8.1468218442253786</v>
      </c>
      <c r="X118" s="195">
        <f>IFERROR(INDEX('Ashed teabags dry'!$K$2:$K$821,MATCH(I118,'Ashed teabags dry'!$A$2:$A$821,0)),"")</f>
        <v>92.062122519413393</v>
      </c>
      <c r="Y118" s="195">
        <f t="shared" si="2"/>
        <v>1.6598787824530032</v>
      </c>
      <c r="Z118" s="195">
        <f t="shared" si="2"/>
        <v>0.12154477998274205</v>
      </c>
      <c r="AA118" s="195">
        <f t="shared" si="8"/>
        <v>9.1268374307764244E-2</v>
      </c>
      <c r="AB118" s="195">
        <f t="shared" si="9"/>
        <v>5.9833898596064E-2</v>
      </c>
      <c r="AC118" s="195">
        <f t="shared" si="3"/>
        <v>6.3132056620617147E-2</v>
      </c>
      <c r="AD118">
        <f t="shared" si="4"/>
        <v>67</v>
      </c>
      <c r="AE118" s="195">
        <f t="shared" si="10"/>
        <v>0.89160525616655073</v>
      </c>
      <c r="AF118" s="195" t="str">
        <f t="shared" si="11"/>
        <v/>
      </c>
      <c r="AG118" s="255" t="str">
        <f>IF(ISNUMBER(SEARCH("C", 'Dry_Litterbag Placem_Collection'!AB45)),"YES","NO")</f>
        <v>NO</v>
      </c>
      <c r="AH118" s="255" t="str">
        <f>IF(ISNUMBER(SEARCH("H", 'Dry_Litterbag Placem_Collection'!AB45)),"YES","NO")</f>
        <v>NO</v>
      </c>
      <c r="AI118" s="255" t="str">
        <f>IF(ISNUMBER(SEARCH("R", 'Dry_Litterbag Placem_Collection'!AB45)),"YES","NO")</f>
        <v>NO</v>
      </c>
      <c r="AJ118" s="255" t="str">
        <f>IF(ISNUMBER(SEARCH("C", 'Dry_Litterbag Placem_Collection'!AA45)),"YES","NO")</f>
        <v>NO</v>
      </c>
      <c r="AK118" s="255" t="str">
        <f>IF(ISNUMBER(SEARCH("H", 'Dry_Litterbag Placem_Collection'!AA45)),"YES","NO")</f>
        <v>NO</v>
      </c>
      <c r="AL118" s="255" t="str">
        <f>IF(ISNUMBER(SEARCH("R", 'Dry_Litterbag Placem_Collection'!AA45)),"YES","NO")</f>
        <v>NO</v>
      </c>
      <c r="AR118" t="s">
        <v>1804</v>
      </c>
      <c r="AT118" t="s">
        <v>381</v>
      </c>
    </row>
    <row r="119" spans="2:46">
      <c r="B119" t="str">
        <f>'Final data_for_R_analysis_Dryse'!A45</f>
        <v>Dry</v>
      </c>
      <c r="C119" s="263">
        <f>'Final data_for_R_analysis_Dryse'!B45</f>
        <v>44</v>
      </c>
      <c r="D119" t="s">
        <v>3833</v>
      </c>
      <c r="E119" t="s">
        <v>22</v>
      </c>
      <c r="F119" s="387">
        <v>4</v>
      </c>
      <c r="G119" s="16">
        <f>'Dry_Litterbag Placem_Collection'!E46</f>
        <v>42938</v>
      </c>
      <c r="H119" t="str">
        <f>'Final data_for_R_analysis_Dryse'!J45</f>
        <v>G115</v>
      </c>
      <c r="I119" t="str">
        <f>'Final data_for_R_analysis_Dryse'!J265</f>
        <v>R783</v>
      </c>
      <c r="J119">
        <f>IFERROR(INDEX('Green_rooibos initial weight'!$C$5:$C$1749,MATCH(H119, 'Green_rooibos initial weight'!$A$5:$A$1749,0)),"")</f>
        <v>2.048</v>
      </c>
      <c r="K119">
        <f>IFERROR(INDEX('Green_rooibos initial weight'!$C$5:$C$1749,MATCH(I119, 'Green_rooibos initial weight'!$A$5:$A$1749,0)),"")</f>
        <v>2.1989999999999998</v>
      </c>
      <c r="L119" s="195">
        <f t="shared" si="5"/>
        <v>1.7982</v>
      </c>
      <c r="M119" s="240">
        <f>AVERAGE(Ashed_controlls!$K$1:$K$11)</f>
        <v>5.5147656768714146</v>
      </c>
      <c r="N119" s="195">
        <f t="shared" si="0"/>
        <v>1.6990334835984982</v>
      </c>
      <c r="O119" s="195">
        <f t="shared" si="6"/>
        <v>1.9491999999999998</v>
      </c>
      <c r="P119" s="240">
        <f>AVERAGE(Ashed_controlls!$K$12:$K$14)</f>
        <v>2.2816647271287041</v>
      </c>
      <c r="Q119" s="195">
        <f t="shared" si="1"/>
        <v>1.9047257911388071</v>
      </c>
      <c r="R119" s="16">
        <f>IF('Dry_Litterbag Placem_Collection'!G46="N.A","",'Dry_Litterbag Placem_Collection'!G46)</f>
        <v>43005</v>
      </c>
      <c r="S119" s="195">
        <f>IF(IFERROR(INDEX('Both teabags AfterDry'!$D$1:$D$839,MATCH(H119,'Both teabags AfterDry'!$A$1:$A$839,0)),"")="N.A","",(IFERROR(INDEX('Both teabags AfterDry'!$D$1:$D$839,MATCH(H119,'Both teabags AfterDry'!$A$1:$A$839,0)),"")))</f>
        <v>1.7069000000000001</v>
      </c>
      <c r="T119" s="195">
        <f>IF(IFERROR(INDEX('Both teabags AfterDry'!$D$1:$D$839,MATCH(I119,'Both teabags AfterDry'!$A$1:$A$839,0)),"")="N.A","",(IFERROR(INDEX('Both teabags AfterDry'!$D$1:$D$839,MATCH(I119,'Both teabags AfterDry'!$A$1:$A$839,0)),"")))</f>
        <v>1.8973</v>
      </c>
      <c r="U119" s="195">
        <f t="shared" si="7"/>
        <v>1.5563</v>
      </c>
      <c r="V119" s="195">
        <f t="shared" si="7"/>
        <v>1.7466999999999999</v>
      </c>
      <c r="W119" s="195">
        <f>IFERROR(INDEX('Ashed teabags dry'!$K$2:$K$821,MATCH(H119,'Ashed teabags dry'!$A$2:$A$821,0)),"")</f>
        <v>5.939159826170572</v>
      </c>
      <c r="X119" s="195">
        <f>IFERROR(INDEX('Ashed teabags dry'!$K$2:$K$821,MATCH(I119,'Ashed teabags dry'!$A$2:$A$821,0)),"")</f>
        <v>3.6579572446556408</v>
      </c>
      <c r="Y119" s="195">
        <f t="shared" si="2"/>
        <v>1.4638688556253074</v>
      </c>
      <c r="Z119" s="195">
        <f t="shared" si="2"/>
        <v>1.6828064608075999</v>
      </c>
      <c r="AA119" s="195">
        <f t="shared" si="8"/>
        <v>0.13841082606277988</v>
      </c>
      <c r="AB119" s="195">
        <f t="shared" si="9"/>
        <v>9.0739638939019582E-2</v>
      </c>
      <c r="AC119" s="195">
        <f t="shared" si="3"/>
        <v>0.88349014258975045</v>
      </c>
      <c r="AD119">
        <f t="shared" si="4"/>
        <v>67</v>
      </c>
      <c r="AE119" s="195">
        <f t="shared" si="10"/>
        <v>0.83561659612496453</v>
      </c>
      <c r="AF119" s="195" t="str">
        <f t="shared" si="11"/>
        <v/>
      </c>
      <c r="AG119" s="255" t="str">
        <f>IF(ISNUMBER(SEARCH("C", 'Dry_Litterbag Placem_Collection'!AB46)),"YES","NO")</f>
        <v>NO</v>
      </c>
      <c r="AH119" s="255" t="str">
        <f>IF(ISNUMBER(SEARCH("H", 'Dry_Litterbag Placem_Collection'!AB46)),"YES","NO")</f>
        <v>NO</v>
      </c>
      <c r="AI119" s="255" t="str">
        <f>IF(ISNUMBER(SEARCH("R", 'Dry_Litterbag Placem_Collection'!AB46)),"YES","NO")</f>
        <v>NO</v>
      </c>
      <c r="AJ119" s="255" t="str">
        <f>IF(ISNUMBER(SEARCH("C", 'Dry_Litterbag Placem_Collection'!AA46)),"YES","NO")</f>
        <v>NO</v>
      </c>
      <c r="AK119" s="255" t="str">
        <f>IF(ISNUMBER(SEARCH("H", 'Dry_Litterbag Placem_Collection'!AA46)),"YES","NO")</f>
        <v>NO</v>
      </c>
      <c r="AL119" s="255" t="str">
        <f>IF(ISNUMBER(SEARCH("R", 'Dry_Litterbag Placem_Collection'!AA46)),"YES","NO")</f>
        <v>NO</v>
      </c>
      <c r="AR119" t="s">
        <v>1935</v>
      </c>
      <c r="AT119" t="s">
        <v>356</v>
      </c>
    </row>
    <row r="120" spans="2:46">
      <c r="B120" t="str">
        <f>'Final data_for_R_analysis_Dryse'!A46</f>
        <v>Dry</v>
      </c>
      <c r="C120" s="263">
        <f>'Final data_for_R_analysis_Dryse'!B46</f>
        <v>45</v>
      </c>
      <c r="D120" t="s">
        <v>3833</v>
      </c>
      <c r="E120" t="s">
        <v>22</v>
      </c>
      <c r="F120" s="387">
        <v>5</v>
      </c>
      <c r="G120" s="16">
        <f>'Dry_Litterbag Placem_Collection'!E47</f>
        <v>42938</v>
      </c>
      <c r="H120" t="str">
        <f>'Final data_for_R_analysis_Dryse'!J46</f>
        <v>G480</v>
      </c>
      <c r="I120" t="str">
        <f>'Final data_for_R_analysis_Dryse'!J266</f>
        <v>R827</v>
      </c>
      <c r="J120">
        <f>IFERROR(INDEX('Green_rooibos initial weight'!$C$5:$C$1749,MATCH(H120, 'Green_rooibos initial weight'!$A$5:$A$1749,0)),"")</f>
        <v>1.9850000000000001</v>
      </c>
      <c r="K120">
        <f>IFERROR(INDEX('Green_rooibos initial weight'!$C$5:$C$1749,MATCH(I120, 'Green_rooibos initial weight'!$A$5:$A$1749,0)),"")</f>
        <v>2.222</v>
      </c>
      <c r="L120" s="195">
        <f t="shared" si="5"/>
        <v>1.7352000000000001</v>
      </c>
      <c r="M120" s="240">
        <f>AVERAGE(Ashed_controlls!$K$1:$K$11)</f>
        <v>5.5147656768714146</v>
      </c>
      <c r="N120" s="195">
        <f t="shared" si="0"/>
        <v>1.6395077859749272</v>
      </c>
      <c r="O120" s="195">
        <f t="shared" si="6"/>
        <v>1.9722</v>
      </c>
      <c r="P120" s="240">
        <f>AVERAGE(Ashed_controlls!$K$12:$K$14)</f>
        <v>2.2816647271287041</v>
      </c>
      <c r="Q120" s="195">
        <f t="shared" si="1"/>
        <v>1.9272010082515676</v>
      </c>
      <c r="R120" s="16">
        <f>IF('Dry_Litterbag Placem_Collection'!G47="N.A","",'Dry_Litterbag Placem_Collection'!G47)</f>
        <v>43005</v>
      </c>
      <c r="S120" s="195" t="str">
        <f>IF(IFERROR(INDEX('Both teabags AfterDry'!$D$1:$D$839,MATCH(H120,'Both teabags AfterDry'!$A$1:$A$839,0)),"")="N.A","",(IFERROR(INDEX('Both teabags AfterDry'!$D$1:$D$839,MATCH(H120,'Both teabags AfterDry'!$A$1:$A$839,0)),"")))</f>
        <v/>
      </c>
      <c r="T120" s="195" t="str">
        <f>IF(IFERROR(INDEX('Both teabags AfterDry'!$D$1:$D$839,MATCH(I120,'Both teabags AfterDry'!$A$1:$A$839,0)),"")="N.A","",(IFERROR(INDEX('Both teabags AfterDry'!$D$1:$D$839,MATCH(I120,'Both teabags AfterDry'!$A$1:$A$839,0)),"")))</f>
        <v/>
      </c>
      <c r="U120" s="195" t="str">
        <f t="shared" si="7"/>
        <v/>
      </c>
      <c r="V120" s="195" t="str">
        <f t="shared" si="7"/>
        <v/>
      </c>
      <c r="W120" s="195" t="str">
        <f>IFERROR(INDEX('Ashed teabags dry'!$K$2:$K$821,MATCH(H120,'Ashed teabags dry'!$A$2:$A$821,0)),"")</f>
        <v/>
      </c>
      <c r="X120" s="195" t="str">
        <f>IFERROR(INDEX('Ashed teabags dry'!$K$2:$K$821,MATCH(I120,'Ashed teabags dry'!$A$2:$A$821,0)),"")</f>
        <v/>
      </c>
      <c r="Y120" s="195" t="str">
        <f t="shared" si="2"/>
        <v/>
      </c>
      <c r="Z120" s="195" t="str">
        <f t="shared" si="2"/>
        <v/>
      </c>
      <c r="AA120" s="195" t="str">
        <f t="shared" si="8"/>
        <v/>
      </c>
      <c r="AB120" s="195" t="str">
        <f t="shared" si="9"/>
        <v/>
      </c>
      <c r="AC120" s="195" t="str">
        <f t="shared" si="3"/>
        <v/>
      </c>
      <c r="AD120">
        <f t="shared" si="4"/>
        <v>67</v>
      </c>
      <c r="AE120" s="195" t="str">
        <f t="shared" si="10"/>
        <v/>
      </c>
      <c r="AF120" s="195" t="str">
        <f t="shared" si="11"/>
        <v/>
      </c>
      <c r="AG120" s="255" t="str">
        <f>IF(ISNUMBER(SEARCH("C", 'Dry_Litterbag Placem_Collection'!AB47)),"YES","NO")</f>
        <v>NO</v>
      </c>
      <c r="AH120" s="255" t="str">
        <f>IF(ISNUMBER(SEARCH("H", 'Dry_Litterbag Placem_Collection'!AB47)),"YES","NO")</f>
        <v>NO</v>
      </c>
      <c r="AI120" s="255" t="str">
        <f>IF(ISNUMBER(SEARCH("R", 'Dry_Litterbag Placem_Collection'!AB47)),"YES","NO")</f>
        <v>NO</v>
      </c>
      <c r="AJ120" s="255" t="str">
        <f>IF(ISNUMBER(SEARCH("C", 'Dry_Litterbag Placem_Collection'!AA47)),"YES","NO")</f>
        <v>NO</v>
      </c>
      <c r="AK120" s="255" t="str">
        <f>IF(ISNUMBER(SEARCH("H", 'Dry_Litterbag Placem_Collection'!AA47)),"YES","NO")</f>
        <v>NO</v>
      </c>
      <c r="AL120" s="255" t="str">
        <f>IF(ISNUMBER(SEARCH("R", 'Dry_Litterbag Placem_Collection'!AA47)),"YES","NO")</f>
        <v>NO</v>
      </c>
      <c r="AR120" t="s">
        <v>1570</v>
      </c>
      <c r="AT120" t="s">
        <v>312</v>
      </c>
    </row>
    <row r="121" spans="2:46">
      <c r="B121" t="str">
        <f>'Final data_for_R_analysis_Dryse'!A47</f>
        <v>Dry</v>
      </c>
      <c r="C121" s="263">
        <f>'Final data_for_R_analysis_Dryse'!B47</f>
        <v>46</v>
      </c>
      <c r="D121" t="s">
        <v>3833</v>
      </c>
      <c r="E121" t="s">
        <v>22</v>
      </c>
      <c r="F121" s="387">
        <v>6</v>
      </c>
      <c r="G121" s="16">
        <f>'Dry_Litterbag Placem_Collection'!E48</f>
        <v>0</v>
      </c>
      <c r="H121" t="str">
        <f>'Final data_for_R_analysis_Dryse'!J47</f>
        <v/>
      </c>
      <c r="I121" t="str">
        <f>'Final data_for_R_analysis_Dryse'!J267</f>
        <v/>
      </c>
      <c r="J121" t="str">
        <f>IFERROR(INDEX('Green_rooibos initial weight'!$C$5:$C$1749,MATCH(H121, 'Green_rooibos initial weight'!$A$5:$A$1749,0)),"")</f>
        <v/>
      </c>
      <c r="K121" t="str">
        <f>IFERROR(INDEX('Green_rooibos initial weight'!$C$5:$C$1749,MATCH(I121, 'Green_rooibos initial weight'!$A$5:$A$1749,0)),"")</f>
        <v/>
      </c>
      <c r="L121" s="195" t="str">
        <f t="shared" si="5"/>
        <v/>
      </c>
      <c r="M121" s="240">
        <f>AVERAGE(Ashed_controlls!$K$1:$K$11)</f>
        <v>5.5147656768714146</v>
      </c>
      <c r="N121" s="195" t="str">
        <f t="shared" si="0"/>
        <v/>
      </c>
      <c r="O121" s="195" t="str">
        <f t="shared" si="6"/>
        <v/>
      </c>
      <c r="P121" s="240">
        <f>AVERAGE(Ashed_controlls!$K$12:$K$14)</f>
        <v>2.2816647271287041</v>
      </c>
      <c r="Q121" s="195" t="str">
        <f t="shared" si="1"/>
        <v/>
      </c>
      <c r="R121" s="16">
        <f>IF('Dry_Litterbag Placem_Collection'!G48="N.A","",'Dry_Litterbag Placem_Collection'!G48)</f>
        <v>0</v>
      </c>
      <c r="S121" s="195" t="str">
        <f>IF(IFERROR(INDEX('Both teabags AfterDry'!$D$1:$D$839,MATCH(H121,'Both teabags AfterDry'!$A$1:$A$839,0)),"")="N.A","",(IFERROR(INDEX('Both teabags AfterDry'!$D$1:$D$839,MATCH(H121,'Both teabags AfterDry'!$A$1:$A$839,0)),"")))</f>
        <v/>
      </c>
      <c r="T121" s="195" t="str">
        <f>IF(IFERROR(INDEX('Both teabags AfterDry'!$D$1:$D$839,MATCH(I121,'Both teabags AfterDry'!$A$1:$A$839,0)),"")="N.A","",(IFERROR(INDEX('Both teabags AfterDry'!$D$1:$D$839,MATCH(I121,'Both teabags AfterDry'!$A$1:$A$839,0)),"")))</f>
        <v/>
      </c>
      <c r="U121" s="195" t="str">
        <f t="shared" si="7"/>
        <v/>
      </c>
      <c r="V121" s="195" t="str">
        <f t="shared" si="7"/>
        <v/>
      </c>
      <c r="W121" s="195" t="str">
        <f>IFERROR(INDEX('Ashed teabags dry'!$K$2:$K$821,MATCH(H121,'Ashed teabags dry'!$A$2:$A$821,0)),"")</f>
        <v/>
      </c>
      <c r="X121" s="195" t="str">
        <f>IFERROR(INDEX('Ashed teabags dry'!$K$2:$K$821,MATCH(I121,'Ashed teabags dry'!$A$2:$A$821,0)),"")</f>
        <v/>
      </c>
      <c r="Y121" s="195" t="str">
        <f t="shared" si="2"/>
        <v/>
      </c>
      <c r="Z121" s="195" t="str">
        <f t="shared" si="2"/>
        <v/>
      </c>
      <c r="AA121" s="195" t="str">
        <f t="shared" si="8"/>
        <v/>
      </c>
      <c r="AB121" s="195" t="str">
        <f t="shared" si="9"/>
        <v/>
      </c>
      <c r="AC121" s="195" t="str">
        <f t="shared" si="3"/>
        <v/>
      </c>
      <c r="AD121" t="str">
        <f t="shared" si="4"/>
        <v/>
      </c>
      <c r="AE121" s="195" t="str">
        <f t="shared" si="10"/>
        <v/>
      </c>
      <c r="AF121" s="195" t="str">
        <f t="shared" si="11"/>
        <v/>
      </c>
      <c r="AG121" s="255" t="str">
        <f>IF(ISNUMBER(SEARCH("C", 'Dry_Litterbag Placem_Collection'!AB48)),"YES","NO")</f>
        <v>NO</v>
      </c>
      <c r="AH121" s="255" t="str">
        <f>IF(ISNUMBER(SEARCH("H", 'Dry_Litterbag Placem_Collection'!AB48)),"YES","NO")</f>
        <v>NO</v>
      </c>
      <c r="AI121" s="255" t="str">
        <f>IF(ISNUMBER(SEARCH("R", 'Dry_Litterbag Placem_Collection'!AB48)),"YES","NO")</f>
        <v>NO</v>
      </c>
      <c r="AJ121" s="255" t="str">
        <f>IF(ISNUMBER(SEARCH("C", 'Dry_Litterbag Placem_Collection'!AA48)),"YES","NO")</f>
        <v>NO</v>
      </c>
      <c r="AK121" s="255" t="str">
        <f>IF(ISNUMBER(SEARCH("H", 'Dry_Litterbag Placem_Collection'!AA48)),"YES","NO")</f>
        <v>NO</v>
      </c>
      <c r="AL121" s="255" t="str">
        <f>IF(ISNUMBER(SEARCH("R", 'Dry_Litterbag Placem_Collection'!AA48)),"YES","NO")</f>
        <v>NO</v>
      </c>
      <c r="AR121" t="s">
        <v>3654</v>
      </c>
      <c r="AT121" t="s">
        <v>3654</v>
      </c>
    </row>
    <row r="122" spans="2:46">
      <c r="B122" t="str">
        <f>'Final data_for_R_analysis_Dryse'!A48</f>
        <v>Dry</v>
      </c>
      <c r="C122" s="263">
        <f>'Final data_for_R_analysis_Dryse'!B48</f>
        <v>47</v>
      </c>
      <c r="D122" t="s">
        <v>3833</v>
      </c>
      <c r="E122" t="s">
        <v>22</v>
      </c>
      <c r="F122" s="387">
        <v>7</v>
      </c>
      <c r="G122" s="16">
        <f>'Dry_Litterbag Placem_Collection'!E49</f>
        <v>42938</v>
      </c>
      <c r="H122" t="str">
        <f>'Final data_for_R_analysis_Dryse'!J48</f>
        <v>G110</v>
      </c>
      <c r="I122" t="str">
        <f>'Final data_for_R_analysis_Dryse'!J268</f>
        <v>R831</v>
      </c>
      <c r="J122">
        <f>IFERROR(INDEX('Green_rooibos initial weight'!$C$5:$C$1749,MATCH(H122, 'Green_rooibos initial weight'!$A$5:$A$1749,0)),"")</f>
        <v>2.093</v>
      </c>
      <c r="K122">
        <f>IFERROR(INDEX('Green_rooibos initial weight'!$C$5:$C$1749,MATCH(I122, 'Green_rooibos initial weight'!$A$5:$A$1749,0)),"")</f>
        <v>2.2410000000000001</v>
      </c>
      <c r="L122" s="195">
        <f t="shared" si="5"/>
        <v>1.8431999999999999</v>
      </c>
      <c r="M122" s="240">
        <f>AVERAGE(Ashed_controlls!$K$1:$K$11)</f>
        <v>5.5147656768714146</v>
      </c>
      <c r="N122" s="195">
        <f t="shared" si="0"/>
        <v>1.741551839043906</v>
      </c>
      <c r="O122" s="195">
        <f t="shared" si="6"/>
        <v>1.9912000000000001</v>
      </c>
      <c r="P122" s="240">
        <f>AVERAGE(Ashed_controlls!$K$12:$K$14)</f>
        <v>2.2816647271287041</v>
      </c>
      <c r="Q122" s="195">
        <f t="shared" si="1"/>
        <v>1.9457674919534134</v>
      </c>
      <c r="R122" s="16">
        <f>IF('Dry_Litterbag Placem_Collection'!G49="N.A","",'Dry_Litterbag Placem_Collection'!G49)</f>
        <v>43005</v>
      </c>
      <c r="S122" s="195">
        <f>IF(IFERROR(INDEX('Both teabags AfterDry'!$D$1:$D$839,MATCH(H122,'Both teabags AfterDry'!$A$1:$A$839,0)),"")="N.A","",(IFERROR(INDEX('Both teabags AfterDry'!$D$1:$D$839,MATCH(H122,'Both teabags AfterDry'!$A$1:$A$839,0)),"")))</f>
        <v>1.8372999999999999</v>
      </c>
      <c r="T122" s="195">
        <f>IF(IFERROR(INDEX('Both teabags AfterDry'!$D$1:$D$839,MATCH(I122,'Both teabags AfterDry'!$A$1:$A$839,0)),"")="N.A","",(IFERROR(INDEX('Both teabags AfterDry'!$D$1:$D$839,MATCH(I122,'Both teabags AfterDry'!$A$1:$A$839,0)),"")))</f>
        <v>1.9105000000000001</v>
      </c>
      <c r="U122" s="195">
        <f t="shared" si="7"/>
        <v>1.6866999999999999</v>
      </c>
      <c r="V122" s="195">
        <f t="shared" si="7"/>
        <v>1.7599</v>
      </c>
      <c r="W122" s="195">
        <f>IFERROR(INDEX('Ashed teabags dry'!$K$2:$K$821,MATCH(H122,'Ashed teabags dry'!$A$2:$A$821,0)),"")</f>
        <v>6.3440422936146827</v>
      </c>
      <c r="X122" s="195">
        <f>IFERROR(INDEX('Ashed teabags dry'!$K$2:$K$821,MATCH(I122,'Ashed teabags dry'!$A$2:$A$821,0)),"")</f>
        <v>4.5857988165679391</v>
      </c>
      <c r="Y122" s="195">
        <f t="shared" si="2"/>
        <v>1.5796950386336011</v>
      </c>
      <c r="Z122" s="195">
        <f t="shared" si="2"/>
        <v>1.6791945266272208</v>
      </c>
      <c r="AA122" s="195">
        <f t="shared" si="8"/>
        <v>9.293826160188412E-2</v>
      </c>
      <c r="AB122" s="195">
        <f t="shared" si="9"/>
        <v>6.0928646560855164E-2</v>
      </c>
      <c r="AC122" s="195">
        <f t="shared" si="3"/>
        <v>0.8629985512510685</v>
      </c>
      <c r="AD122">
        <f t="shared" si="4"/>
        <v>67</v>
      </c>
      <c r="AE122" s="195">
        <f t="shared" si="10"/>
        <v>0.88962201709990008</v>
      </c>
      <c r="AF122" s="195" t="str">
        <f t="shared" si="11"/>
        <v/>
      </c>
      <c r="AG122" s="255" t="str">
        <f>IF(ISNUMBER(SEARCH("C", 'Dry_Litterbag Placem_Collection'!AB49)),"YES","NO")</f>
        <v>NO</v>
      </c>
      <c r="AH122" s="255" t="str">
        <f>IF(ISNUMBER(SEARCH("H", 'Dry_Litterbag Placem_Collection'!AB49)),"YES","NO")</f>
        <v>NO</v>
      </c>
      <c r="AI122" s="255" t="str">
        <f>IF(ISNUMBER(SEARCH("R", 'Dry_Litterbag Placem_Collection'!AB49)),"YES","NO")</f>
        <v>NO</v>
      </c>
      <c r="AJ122" s="255" t="str">
        <f>IF(ISNUMBER(SEARCH("C", 'Dry_Litterbag Placem_Collection'!AA49)),"YES","NO")</f>
        <v>NO</v>
      </c>
      <c r="AK122" s="255" t="str">
        <f>IF(ISNUMBER(SEARCH("H", 'Dry_Litterbag Placem_Collection'!AA49)),"YES","NO")</f>
        <v>NO</v>
      </c>
      <c r="AL122" s="255" t="str">
        <f>IF(ISNUMBER(SEARCH("R", 'Dry_Litterbag Placem_Collection'!AA49)),"YES","NO")</f>
        <v>NO</v>
      </c>
      <c r="AR122" t="s">
        <v>1940</v>
      </c>
      <c r="AT122" t="s">
        <v>308</v>
      </c>
    </row>
    <row r="123" spans="2:46">
      <c r="B123" t="str">
        <f>'Final data_for_R_analysis_Dryse'!A49</f>
        <v>Dry</v>
      </c>
      <c r="C123" s="263">
        <f>'Final data_for_R_analysis_Dryse'!B49</f>
        <v>48</v>
      </c>
      <c r="D123" t="s">
        <v>3833</v>
      </c>
      <c r="E123" t="s">
        <v>22</v>
      </c>
      <c r="F123" s="387">
        <v>8</v>
      </c>
      <c r="G123" s="16">
        <f>'Dry_Litterbag Placem_Collection'!E50</f>
        <v>42938</v>
      </c>
      <c r="H123" t="str">
        <f>'Final data_for_R_analysis_Dryse'!J49</f>
        <v>G233</v>
      </c>
      <c r="I123" t="str">
        <f>'Final data_for_R_analysis_Dryse'!J269</f>
        <v>R828</v>
      </c>
      <c r="J123">
        <f>IFERROR(INDEX('Green_rooibos initial weight'!$C$5:$C$1749,MATCH(H123, 'Green_rooibos initial weight'!$A$5:$A$1749,0)),"")</f>
        <v>1.9490000000000001</v>
      </c>
      <c r="K123">
        <f>IFERROR(INDEX('Green_rooibos initial weight'!$C$5:$C$1749,MATCH(I123, 'Green_rooibos initial weight'!$A$5:$A$1749,0)),"")</f>
        <v>2.2330000000000001</v>
      </c>
      <c r="L123" s="195">
        <f t="shared" si="5"/>
        <v>1.6992</v>
      </c>
      <c r="M123" s="240">
        <f>AVERAGE(Ashed_controlls!$K$1:$K$11)</f>
        <v>5.5147656768714146</v>
      </c>
      <c r="N123" s="195">
        <f t="shared" si="0"/>
        <v>1.6054931016186009</v>
      </c>
      <c r="O123" s="195">
        <f t="shared" si="6"/>
        <v>1.9832000000000001</v>
      </c>
      <c r="P123" s="240">
        <f>AVERAGE(Ashed_controlls!$K$12:$K$14)</f>
        <v>2.2816647271287041</v>
      </c>
      <c r="Q123" s="195">
        <f t="shared" si="1"/>
        <v>1.9379500251315835</v>
      </c>
      <c r="R123" s="16">
        <f>IF('Dry_Litterbag Placem_Collection'!G50="N.A","",'Dry_Litterbag Placem_Collection'!G50)</f>
        <v>43005</v>
      </c>
      <c r="S123" s="195">
        <f>IF(IFERROR(INDEX('Both teabags AfterDry'!$D$1:$D$839,MATCH(H123,'Both teabags AfterDry'!$A$1:$A$839,0)),"")="N.A","",(IFERROR(INDEX('Both teabags AfterDry'!$D$1:$D$839,MATCH(H123,'Both teabags AfterDry'!$A$1:$A$839,0)),"")))</f>
        <v>1.6727000000000001</v>
      </c>
      <c r="T123" s="195">
        <f>IF(IFERROR(INDEX('Both teabags AfterDry'!$D$1:$D$839,MATCH(I123,'Both teabags AfterDry'!$A$1:$A$839,0)),"")="N.A","",(IFERROR(INDEX('Both teabags AfterDry'!$D$1:$D$839,MATCH(I123,'Both teabags AfterDry'!$A$1:$A$839,0)),"")))</f>
        <v>1.7596000000000001</v>
      </c>
      <c r="U123" s="195">
        <f t="shared" si="7"/>
        <v>1.5221</v>
      </c>
      <c r="V123" s="195">
        <f t="shared" si="7"/>
        <v>1.609</v>
      </c>
      <c r="W123" s="195">
        <f>IFERROR(INDEX('Ashed teabags dry'!$K$2:$K$821,MATCH(H123,'Ashed teabags dry'!$A$2:$A$821,0)),"")</f>
        <v>6.3352826510722657</v>
      </c>
      <c r="X123" s="195">
        <f>IFERROR(INDEX('Ashed teabags dry'!$K$2:$K$821,MATCH(I123,'Ashed teabags dry'!$A$2:$A$821,0)),"")</f>
        <v>2.0276953511382803</v>
      </c>
      <c r="Y123" s="195">
        <f t="shared" si="2"/>
        <v>1.4256706627680291</v>
      </c>
      <c r="Z123" s="195">
        <f t="shared" si="2"/>
        <v>1.576374381800185</v>
      </c>
      <c r="AA123" s="195">
        <f t="shared" si="8"/>
        <v>0.1120044917472901</v>
      </c>
      <c r="AB123" s="195">
        <f t="shared" si="9"/>
        <v>7.3428122855705658E-2</v>
      </c>
      <c r="AC123" s="195">
        <f t="shared" si="3"/>
        <v>0.81342364940146061</v>
      </c>
      <c r="AD123">
        <f t="shared" si="4"/>
        <v>67</v>
      </c>
      <c r="AE123" s="195">
        <f t="shared" si="10"/>
        <v>0.86697803830488107</v>
      </c>
      <c r="AF123" s="195" t="str">
        <f t="shared" si="11"/>
        <v/>
      </c>
      <c r="AG123" s="255" t="str">
        <f>IF(ISNUMBER(SEARCH("C", 'Dry_Litterbag Placem_Collection'!AB50)),"YES","NO")</f>
        <v>NO</v>
      </c>
      <c r="AH123" s="255" t="str">
        <f>IF(ISNUMBER(SEARCH("H", 'Dry_Litterbag Placem_Collection'!AB50)),"YES","NO")</f>
        <v>NO</v>
      </c>
      <c r="AI123" s="255" t="str">
        <f>IF(ISNUMBER(SEARCH("R", 'Dry_Litterbag Placem_Collection'!AB50)),"YES","NO")</f>
        <v>NO</v>
      </c>
      <c r="AJ123" s="255" t="str">
        <f>IF(ISNUMBER(SEARCH("C", 'Dry_Litterbag Placem_Collection'!AA50)),"YES","NO")</f>
        <v>NO</v>
      </c>
      <c r="AK123" s="255" t="str">
        <f>IF(ISNUMBER(SEARCH("H", 'Dry_Litterbag Placem_Collection'!AA50)),"YES","NO")</f>
        <v>NO</v>
      </c>
      <c r="AL123" s="255" t="str">
        <f>IF(ISNUMBER(SEARCH("R", 'Dry_Litterbag Placem_Collection'!AA50)),"YES","NO")</f>
        <v>NO</v>
      </c>
      <c r="AR123" t="s">
        <v>1817</v>
      </c>
      <c r="AT123" t="s">
        <v>311</v>
      </c>
    </row>
    <row r="124" spans="2:46">
      <c r="B124" t="str">
        <f>'Final data_for_R_analysis_Dryse'!A50</f>
        <v>Dry</v>
      </c>
      <c r="C124" s="263">
        <f>'Final data_for_R_analysis_Dryse'!B50</f>
        <v>49</v>
      </c>
      <c r="D124" t="s">
        <v>3834</v>
      </c>
      <c r="E124" t="s">
        <v>22</v>
      </c>
      <c r="F124" s="386">
        <v>1</v>
      </c>
      <c r="G124" s="16">
        <f>'Dry_Litterbag Placem_Collection'!E51</f>
        <v>42938</v>
      </c>
      <c r="H124" t="str">
        <f>'Final data_for_R_analysis_Dryse'!J50</f>
        <v>G54</v>
      </c>
      <c r="I124" t="str">
        <f>'Final data_for_R_analysis_Dryse'!J270</f>
        <v>R805</v>
      </c>
      <c r="J124">
        <f>IFERROR(INDEX('Green_rooibos initial weight'!$C$5:$C$1749,MATCH(H124, 'Green_rooibos initial weight'!$A$5:$A$1749,0)),"")</f>
        <v>2.0539999999999998</v>
      </c>
      <c r="K124">
        <f>IFERROR(INDEX('Green_rooibos initial weight'!$C$5:$C$1749,MATCH(I124, 'Green_rooibos initial weight'!$A$5:$A$1749,0)),"")</f>
        <v>2.2469999999999999</v>
      </c>
      <c r="L124" s="195">
        <f t="shared" si="5"/>
        <v>1.8041999999999998</v>
      </c>
      <c r="M124" s="240">
        <f>AVERAGE(Ashed_controlls!$K$1:$K$11)</f>
        <v>5.5147656768714146</v>
      </c>
      <c r="N124" s="195">
        <f t="shared" si="0"/>
        <v>1.7047025976578858</v>
      </c>
      <c r="O124" s="195">
        <f t="shared" si="6"/>
        <v>1.9971999999999999</v>
      </c>
      <c r="P124" s="240">
        <f>AVERAGE(Ashed_controlls!$K$12:$K$14)</f>
        <v>2.2816647271287041</v>
      </c>
      <c r="Q124" s="195">
        <f t="shared" si="1"/>
        <v>1.9516305920697854</v>
      </c>
      <c r="R124" s="16">
        <f>IF('Dry_Litterbag Placem_Collection'!G51="N.A","",'Dry_Litterbag Placem_Collection'!G51)</f>
        <v>43005</v>
      </c>
      <c r="S124" s="195" t="str">
        <f>IF(IFERROR(INDEX('Both teabags AfterDry'!$D$1:$D$839,MATCH(H124,'Both teabags AfterDry'!$A$1:$A$839,0)),"")="N.A","",(IFERROR(INDEX('Both teabags AfterDry'!$D$1:$D$839,MATCH(H124,'Both teabags AfterDry'!$A$1:$A$839,0)),"")))</f>
        <v/>
      </c>
      <c r="T124" s="195" t="str">
        <f>IF(IFERROR(INDEX('Both teabags AfterDry'!$D$1:$D$839,MATCH(I124,'Both teabags AfterDry'!$A$1:$A$839,0)),"")="N.A","",(IFERROR(INDEX('Both teabags AfterDry'!$D$1:$D$839,MATCH(I124,'Both teabags AfterDry'!$A$1:$A$839,0)),"")))</f>
        <v/>
      </c>
      <c r="U124" s="195" t="str">
        <f t="shared" si="7"/>
        <v/>
      </c>
      <c r="V124" s="195" t="str">
        <f t="shared" si="7"/>
        <v/>
      </c>
      <c r="W124" s="195" t="str">
        <f>IFERROR(INDEX('Ashed teabags dry'!$K$2:$K$821,MATCH(H124,'Ashed teabags dry'!$A$2:$A$821,0)),"")</f>
        <v/>
      </c>
      <c r="X124" s="195" t="str">
        <f>IFERROR(INDEX('Ashed teabags dry'!$K$2:$K$821,MATCH(I124,'Ashed teabags dry'!$A$2:$A$821,0)),"")</f>
        <v/>
      </c>
      <c r="Y124" s="195" t="str">
        <f t="shared" si="2"/>
        <v/>
      </c>
      <c r="Z124" s="195" t="str">
        <f t="shared" si="2"/>
        <v/>
      </c>
      <c r="AA124" s="195" t="str">
        <f t="shared" si="8"/>
        <v/>
      </c>
      <c r="AB124" s="195" t="str">
        <f t="shared" si="9"/>
        <v/>
      </c>
      <c r="AC124" s="195" t="str">
        <f t="shared" si="3"/>
        <v/>
      </c>
      <c r="AD124">
        <f t="shared" si="4"/>
        <v>67</v>
      </c>
      <c r="AE124" s="195" t="str">
        <f t="shared" si="10"/>
        <v/>
      </c>
      <c r="AF124" s="195" t="str">
        <f t="shared" si="11"/>
        <v/>
      </c>
      <c r="AG124" s="255" t="str">
        <f>IF(ISNUMBER(SEARCH("C", 'Dry_Litterbag Placem_Collection'!AB51)),"YES","NO")</f>
        <v>NO</v>
      </c>
      <c r="AH124" s="255" t="str">
        <f>IF(ISNUMBER(SEARCH("H", 'Dry_Litterbag Placem_Collection'!AB51)),"YES","NO")</f>
        <v>NO</v>
      </c>
      <c r="AI124" s="255" t="str">
        <f>IF(ISNUMBER(SEARCH("R", 'Dry_Litterbag Placem_Collection'!AB51)),"YES","NO")</f>
        <v>NO</v>
      </c>
      <c r="AJ124" s="255" t="str">
        <f>IF(ISNUMBER(SEARCH("C", 'Dry_Litterbag Placem_Collection'!AA51)),"YES","NO")</f>
        <v>NO</v>
      </c>
      <c r="AK124" s="255" t="str">
        <f>IF(ISNUMBER(SEARCH("H", 'Dry_Litterbag Placem_Collection'!AA51)),"YES","NO")</f>
        <v>NO</v>
      </c>
      <c r="AL124" s="255" t="str">
        <f>IF(ISNUMBER(SEARCH("R", 'Dry_Litterbag Placem_Collection'!AA51)),"YES","NO")</f>
        <v>NO</v>
      </c>
      <c r="AR124" t="s">
        <v>1996</v>
      </c>
      <c r="AT124" t="s">
        <v>334</v>
      </c>
    </row>
    <row r="125" spans="2:46">
      <c r="B125" t="str">
        <f>'Final data_for_R_analysis_Dryse'!A51</f>
        <v>Dry</v>
      </c>
      <c r="C125" s="263">
        <f>'Final data_for_R_analysis_Dryse'!B51</f>
        <v>50</v>
      </c>
      <c r="D125" t="s">
        <v>3834</v>
      </c>
      <c r="E125" t="s">
        <v>22</v>
      </c>
      <c r="F125" s="386">
        <v>2</v>
      </c>
      <c r="G125" s="16">
        <f>'Dry_Litterbag Placem_Collection'!E52</f>
        <v>42938</v>
      </c>
      <c r="H125" t="str">
        <f>'Final data_for_R_analysis_Dryse'!J51</f>
        <v>G276</v>
      </c>
      <c r="I125" t="str">
        <f>'Final data_for_R_analysis_Dryse'!J271</f>
        <v>R754</v>
      </c>
      <c r="J125">
        <f>IFERROR(INDEX('Green_rooibos initial weight'!$C$5:$C$1749,MATCH(H125, 'Green_rooibos initial weight'!$A$5:$A$1749,0)),"")</f>
        <v>1.966</v>
      </c>
      <c r="K125">
        <f>IFERROR(INDEX('Green_rooibos initial weight'!$C$5:$C$1749,MATCH(I125, 'Green_rooibos initial weight'!$A$5:$A$1749,0)),"")</f>
        <v>2.2069999999999999</v>
      </c>
      <c r="L125" s="195">
        <f t="shared" si="5"/>
        <v>1.7161999999999999</v>
      </c>
      <c r="M125" s="240">
        <f>AVERAGE(Ashed_controlls!$K$1:$K$11)</f>
        <v>5.5147656768714146</v>
      </c>
      <c r="N125" s="195">
        <f t="shared" si="0"/>
        <v>1.6215555914535327</v>
      </c>
      <c r="O125" s="195">
        <f t="shared" si="6"/>
        <v>1.9571999999999998</v>
      </c>
      <c r="P125" s="240">
        <f>AVERAGE(Ashed_controlls!$K$12:$K$14)</f>
        <v>2.2816647271287041</v>
      </c>
      <c r="Q125" s="195">
        <f t="shared" si="1"/>
        <v>1.9125432579606367</v>
      </c>
      <c r="R125" s="16">
        <f>IF('Dry_Litterbag Placem_Collection'!G52="N.A","",'Dry_Litterbag Placem_Collection'!G52)</f>
        <v>0</v>
      </c>
      <c r="S125" s="195" t="str">
        <f>IF(IFERROR(INDEX('Both teabags AfterDry'!$D$1:$D$839,MATCH(H125,'Both teabags AfterDry'!$A$1:$A$839,0)),"")="N.A","",(IFERROR(INDEX('Both teabags AfterDry'!$D$1:$D$839,MATCH(H125,'Both teabags AfterDry'!$A$1:$A$839,0)),"")))</f>
        <v/>
      </c>
      <c r="T125" s="195" t="str">
        <f>IF(IFERROR(INDEX('Both teabags AfterDry'!$D$1:$D$839,MATCH(I125,'Both teabags AfterDry'!$A$1:$A$839,0)),"")="N.A","",(IFERROR(INDEX('Both teabags AfterDry'!$D$1:$D$839,MATCH(I125,'Both teabags AfterDry'!$A$1:$A$839,0)),"")))</f>
        <v/>
      </c>
      <c r="U125" s="195" t="str">
        <f t="shared" si="7"/>
        <v/>
      </c>
      <c r="V125" s="195" t="str">
        <f t="shared" si="7"/>
        <v/>
      </c>
      <c r="W125" s="195" t="str">
        <f>IFERROR(INDEX('Ashed teabags dry'!$K$2:$K$821,MATCH(H125,'Ashed teabags dry'!$A$2:$A$821,0)),"")</f>
        <v/>
      </c>
      <c r="X125" s="195" t="str">
        <f>IFERROR(INDEX('Ashed teabags dry'!$K$2:$K$821,MATCH(I125,'Ashed teabags dry'!$A$2:$A$821,0)),"")</f>
        <v/>
      </c>
      <c r="Y125" s="195" t="str">
        <f t="shared" si="2"/>
        <v/>
      </c>
      <c r="Z125" s="195" t="str">
        <f t="shared" si="2"/>
        <v/>
      </c>
      <c r="AA125" s="195" t="str">
        <f t="shared" si="8"/>
        <v/>
      </c>
      <c r="AB125" s="195" t="str">
        <f t="shared" si="9"/>
        <v/>
      </c>
      <c r="AC125" s="195" t="str">
        <f t="shared" si="3"/>
        <v/>
      </c>
      <c r="AD125" t="str">
        <f t="shared" si="4"/>
        <v/>
      </c>
      <c r="AE125" s="195" t="str">
        <f t="shared" si="10"/>
        <v/>
      </c>
      <c r="AF125" s="195" t="str">
        <f t="shared" si="11"/>
        <v/>
      </c>
      <c r="AG125" s="255" t="str">
        <f>IF(ISNUMBER(SEARCH("C", 'Dry_Litterbag Placem_Collection'!AB52)),"YES","NO")</f>
        <v>NO</v>
      </c>
      <c r="AH125" s="255" t="str">
        <f>IF(ISNUMBER(SEARCH("H", 'Dry_Litterbag Placem_Collection'!AB52)),"YES","NO")</f>
        <v>NO</v>
      </c>
      <c r="AI125" s="255" t="str">
        <f>IF(ISNUMBER(SEARCH("R", 'Dry_Litterbag Placem_Collection'!AB52)),"YES","NO")</f>
        <v>NO</v>
      </c>
      <c r="AJ125" s="255" t="str">
        <f>IF(ISNUMBER(SEARCH("C", 'Dry_Litterbag Placem_Collection'!AA52)),"YES","NO")</f>
        <v>NO</v>
      </c>
      <c r="AK125" s="255" t="str">
        <f>IF(ISNUMBER(SEARCH("H", 'Dry_Litterbag Placem_Collection'!AA52)),"YES","NO")</f>
        <v>NO</v>
      </c>
      <c r="AL125" s="255" t="str">
        <f>IF(ISNUMBER(SEARCH("R", 'Dry_Litterbag Placem_Collection'!AA52)),"YES","NO")</f>
        <v>NO</v>
      </c>
      <c r="AR125" t="s">
        <v>1774</v>
      </c>
      <c r="AT125" t="s">
        <v>385</v>
      </c>
    </row>
    <row r="126" spans="2:46">
      <c r="B126" t="str">
        <f>'Final data_for_R_analysis_Dryse'!A52</f>
        <v>Dry</v>
      </c>
      <c r="C126" s="263">
        <f>'Final data_for_R_analysis_Dryse'!B52</f>
        <v>51</v>
      </c>
      <c r="D126" t="s">
        <v>3834</v>
      </c>
      <c r="E126" t="s">
        <v>22</v>
      </c>
      <c r="F126" s="386">
        <v>3</v>
      </c>
      <c r="G126" s="16">
        <f>'Dry_Litterbag Placem_Collection'!E53</f>
        <v>42938</v>
      </c>
      <c r="H126" t="str">
        <f>'Final data_for_R_analysis_Dryse'!J52</f>
        <v>G227</v>
      </c>
      <c r="I126" t="str">
        <f>'Final data_for_R_analysis_Dryse'!J272</f>
        <v>R798</v>
      </c>
      <c r="J126">
        <f>IFERROR(INDEX('Green_rooibos initial weight'!$C$5:$C$1749,MATCH(H126, 'Green_rooibos initial weight'!$A$5:$A$1749,0)),"")</f>
        <v>1.986</v>
      </c>
      <c r="K126">
        <f>IFERROR(INDEX('Green_rooibos initial weight'!$C$5:$C$1749,MATCH(I126, 'Green_rooibos initial weight'!$A$5:$A$1749,0)),"")</f>
        <v>2.1850000000000001</v>
      </c>
      <c r="L126" s="195">
        <f t="shared" si="5"/>
        <v>1.7362</v>
      </c>
      <c r="M126" s="240">
        <f>AVERAGE(Ashed_controlls!$K$1:$K$11)</f>
        <v>5.5147656768714146</v>
      </c>
      <c r="N126" s="195">
        <f t="shared" si="0"/>
        <v>1.6404526383181586</v>
      </c>
      <c r="O126" s="195">
        <f t="shared" si="6"/>
        <v>1.9352</v>
      </c>
      <c r="P126" s="240">
        <f>AVERAGE(Ashed_controlls!$K$12:$K$14)</f>
        <v>2.2816647271287041</v>
      </c>
      <c r="Q126" s="195">
        <f t="shared" si="1"/>
        <v>1.8910452242006053</v>
      </c>
      <c r="R126" s="16">
        <f>IF('Dry_Litterbag Placem_Collection'!G53="N.A","",'Dry_Litterbag Placem_Collection'!G53)</f>
        <v>43005</v>
      </c>
      <c r="S126" s="195">
        <f>IF(IFERROR(INDEX('Both teabags AfterDry'!$D$1:$D$839,MATCH(H126,'Both teabags AfterDry'!$A$1:$A$839,0)),"")="N.A","",(IFERROR(INDEX('Both teabags AfterDry'!$D$1:$D$839,MATCH(H126,'Both teabags AfterDry'!$A$1:$A$839,0)),"")))</f>
        <v>1.7715000000000001</v>
      </c>
      <c r="T126" s="195">
        <f>IF(IFERROR(INDEX('Both teabags AfterDry'!$D$1:$D$839,MATCH(I126,'Both teabags AfterDry'!$A$1:$A$839,0)),"")="N.A","",(IFERROR(INDEX('Both teabags AfterDry'!$D$1:$D$839,MATCH(I126,'Both teabags AfterDry'!$A$1:$A$839,0)),"")))</f>
        <v>1.8956999999999999</v>
      </c>
      <c r="U126" s="195">
        <f t="shared" si="7"/>
        <v>1.6209</v>
      </c>
      <c r="V126" s="195">
        <f t="shared" si="7"/>
        <v>1.7450999999999999</v>
      </c>
      <c r="W126" s="195">
        <f>IFERROR(INDEX('Ashed teabags dry'!$K$2:$K$821,MATCH(H126,'Ashed teabags dry'!$A$2:$A$821,0)),"")</f>
        <v>5.9108954565503948</v>
      </c>
      <c r="X126" s="195">
        <f>IFERROR(INDEX('Ashed teabags dry'!$K$2:$K$821,MATCH(I126,'Ashed teabags dry'!$A$2:$A$821,0)),"")</f>
        <v>3.1954887218038985</v>
      </c>
      <c r="Y126" s="195">
        <f t="shared" si="2"/>
        <v>1.5250902955447747</v>
      </c>
      <c r="Z126" s="195">
        <f t="shared" si="2"/>
        <v>1.6893355263158001</v>
      </c>
      <c r="AA126" s="195">
        <f t="shared" si="8"/>
        <v>7.0323482725875519E-2</v>
      </c>
      <c r="AB126" s="195">
        <f t="shared" si="9"/>
        <v>4.6102805777533583E-2</v>
      </c>
      <c r="AC126" s="195">
        <f t="shared" si="3"/>
        <v>0.89333428132578208</v>
      </c>
      <c r="AD126">
        <f t="shared" si="4"/>
        <v>67</v>
      </c>
      <c r="AE126" s="195">
        <f t="shared" si="10"/>
        <v>0.91648042431606236</v>
      </c>
      <c r="AF126" s="195" t="str">
        <f t="shared" si="11"/>
        <v/>
      </c>
      <c r="AG126" s="255" t="str">
        <f>IF(ISNUMBER(SEARCH("C", 'Dry_Litterbag Placem_Collection'!AB53)),"YES","NO")</f>
        <v>NO</v>
      </c>
      <c r="AH126" s="255" t="str">
        <f>IF(ISNUMBER(SEARCH("H", 'Dry_Litterbag Placem_Collection'!AB53)),"YES","NO")</f>
        <v>NO</v>
      </c>
      <c r="AI126" s="255" t="str">
        <f>IF(ISNUMBER(SEARCH("R", 'Dry_Litterbag Placem_Collection'!AB53)),"YES","NO")</f>
        <v>NO</v>
      </c>
      <c r="AJ126" s="255" t="str">
        <f>IF(ISNUMBER(SEARCH("C", 'Dry_Litterbag Placem_Collection'!AA53)),"YES","NO")</f>
        <v>NO</v>
      </c>
      <c r="AK126" s="255" t="str">
        <f>IF(ISNUMBER(SEARCH("H", 'Dry_Litterbag Placem_Collection'!AA53)),"YES","NO")</f>
        <v>NO</v>
      </c>
      <c r="AL126" s="255" t="str">
        <f>IF(ISNUMBER(SEARCH("R", 'Dry_Litterbag Placem_Collection'!AA53)),"YES","NO")</f>
        <v>NO</v>
      </c>
      <c r="AR126" t="s">
        <v>1823</v>
      </c>
      <c r="AT126" t="s">
        <v>341</v>
      </c>
    </row>
    <row r="127" spans="2:46">
      <c r="B127" t="str">
        <f>'Final data_for_R_analysis_Dryse'!A53</f>
        <v>Dry</v>
      </c>
      <c r="C127" s="263">
        <f>'Final data_for_R_analysis_Dryse'!B53</f>
        <v>52</v>
      </c>
      <c r="D127" t="s">
        <v>3834</v>
      </c>
      <c r="E127" t="s">
        <v>22</v>
      </c>
      <c r="F127" s="387">
        <v>4</v>
      </c>
      <c r="G127" s="16">
        <f>'Dry_Litterbag Placem_Collection'!E54</f>
        <v>42938</v>
      </c>
      <c r="H127" t="str">
        <f>'Final data_for_R_analysis_Dryse'!J53</f>
        <v>G237</v>
      </c>
      <c r="I127" t="str">
        <f>'Final data_for_R_analysis_Dryse'!J273</f>
        <v>R833</v>
      </c>
      <c r="J127">
        <f>IFERROR(INDEX('Green_rooibos initial weight'!$C$5:$C$1749,MATCH(H127, 'Green_rooibos initial weight'!$A$5:$A$1749,0)),"")</f>
        <v>1.988</v>
      </c>
      <c r="K127">
        <f>IFERROR(INDEX('Green_rooibos initial weight'!$C$5:$C$1749,MATCH(I127, 'Green_rooibos initial weight'!$A$5:$A$1749,0)),"")</f>
        <v>2.218</v>
      </c>
      <c r="L127" s="195">
        <f t="shared" si="5"/>
        <v>1.7382</v>
      </c>
      <c r="M127" s="240">
        <f>AVERAGE(Ashed_controlls!$K$1:$K$11)</f>
        <v>5.5147656768714146</v>
      </c>
      <c r="N127" s="195">
        <f t="shared" si="0"/>
        <v>1.6423423430046211</v>
      </c>
      <c r="O127" s="195">
        <f t="shared" si="6"/>
        <v>1.9681999999999999</v>
      </c>
      <c r="P127" s="240">
        <f>AVERAGE(Ashed_controlls!$K$12:$K$14)</f>
        <v>2.2816647271287041</v>
      </c>
      <c r="Q127" s="195">
        <f t="shared" si="1"/>
        <v>1.9232922748406529</v>
      </c>
      <c r="R127" s="16">
        <f>IF('Dry_Litterbag Placem_Collection'!G54="N.A","",'Dry_Litterbag Placem_Collection'!G54)</f>
        <v>43005</v>
      </c>
      <c r="S127" s="195">
        <f>IF(IFERROR(INDEX('Both teabags AfterDry'!$D$1:$D$839,MATCH(H127,'Both teabags AfterDry'!$A$1:$A$839,0)),"")="N.A","",(IFERROR(INDEX('Both teabags AfterDry'!$D$1:$D$839,MATCH(H127,'Both teabags AfterDry'!$A$1:$A$839,0)),"")))</f>
        <v>1.8220000000000001</v>
      </c>
      <c r="T127" s="195">
        <f>IF(IFERROR(INDEX('Both teabags AfterDry'!$D$1:$D$839,MATCH(I127,'Both teabags AfterDry'!$A$1:$A$839,0)),"")="N.A","",(IFERROR(INDEX('Both teabags AfterDry'!$D$1:$D$839,MATCH(I127,'Both teabags AfterDry'!$A$1:$A$839,0)),"")))</f>
        <v>1.9791000000000001</v>
      </c>
      <c r="U127" s="195">
        <f t="shared" si="7"/>
        <v>1.6714</v>
      </c>
      <c r="V127" s="195">
        <f t="shared" si="7"/>
        <v>1.8285</v>
      </c>
      <c r="W127" s="195">
        <f>IFERROR(INDEX('Ashed teabags dry'!$K$2:$K$821,MATCH(H127,'Ashed teabags dry'!$A$2:$A$821,0)),"")</f>
        <v>5.8161350844273088</v>
      </c>
      <c r="X127" s="195">
        <f>IFERROR(INDEX('Ashed teabags dry'!$K$2:$K$821,MATCH(I127,'Ashed teabags dry'!$A$2:$A$821,0)),"")</f>
        <v>3.0042918454938667</v>
      </c>
      <c r="Y127" s="195">
        <f t="shared" si="2"/>
        <v>1.5741891181988819</v>
      </c>
      <c r="Z127" s="195">
        <f t="shared" si="2"/>
        <v>1.7735665236051446</v>
      </c>
      <c r="AA127" s="195">
        <f t="shared" si="8"/>
        <v>4.1497575152970145E-2</v>
      </c>
      <c r="AB127" s="195">
        <f t="shared" si="9"/>
        <v>2.720506114541513E-2</v>
      </c>
      <c r="AC127" s="195">
        <f t="shared" si="3"/>
        <v>0.92215132707902481</v>
      </c>
      <c r="AD127">
        <f t="shared" si="4"/>
        <v>67</v>
      </c>
      <c r="AE127" s="195">
        <f t="shared" si="10"/>
        <v>0.95071546893946535</v>
      </c>
      <c r="AF127" s="195" t="str">
        <f t="shared" si="11"/>
        <v/>
      </c>
      <c r="AG127" s="255" t="str">
        <f>IF(ISNUMBER(SEARCH("C", 'Dry_Litterbag Placem_Collection'!AB54)),"YES","NO")</f>
        <v>NO</v>
      </c>
      <c r="AH127" s="255" t="str">
        <f>IF(ISNUMBER(SEARCH("H", 'Dry_Litterbag Placem_Collection'!AB54)),"YES","NO")</f>
        <v>NO</v>
      </c>
      <c r="AI127" s="255" t="str">
        <f>IF(ISNUMBER(SEARCH("R", 'Dry_Litterbag Placem_Collection'!AB54)),"YES","NO")</f>
        <v>NO</v>
      </c>
      <c r="AJ127" s="255" t="str">
        <f>IF(ISNUMBER(SEARCH("C", 'Dry_Litterbag Placem_Collection'!AA54)),"YES","NO")</f>
        <v>NO</v>
      </c>
      <c r="AK127" s="255" t="str">
        <f>IF(ISNUMBER(SEARCH("H", 'Dry_Litterbag Placem_Collection'!AA54)),"YES","NO")</f>
        <v>NO</v>
      </c>
      <c r="AL127" s="255" t="str">
        <f>IF(ISNUMBER(SEARCH("R", 'Dry_Litterbag Placem_Collection'!AA54)),"YES","NO")</f>
        <v>NO</v>
      </c>
      <c r="AR127" t="s">
        <v>1813</v>
      </c>
      <c r="AT127" t="s">
        <v>306</v>
      </c>
    </row>
    <row r="128" spans="2:46">
      <c r="B128" t="str">
        <f>'Final data_for_R_analysis_Dryse'!A54</f>
        <v>Dry</v>
      </c>
      <c r="C128" s="263">
        <f>'Final data_for_R_analysis_Dryse'!B54</f>
        <v>53</v>
      </c>
      <c r="D128" t="s">
        <v>3834</v>
      </c>
      <c r="E128" t="s">
        <v>22</v>
      </c>
      <c r="F128" s="387">
        <v>5</v>
      </c>
      <c r="G128" s="16">
        <f>'Dry_Litterbag Placem_Collection'!E55</f>
        <v>42938</v>
      </c>
      <c r="H128" t="str">
        <f>'Final data_for_R_analysis_Dryse'!J54</f>
        <v>G172</v>
      </c>
      <c r="I128" t="str">
        <f>'Final data_for_R_analysis_Dryse'!J274</f>
        <v>R734</v>
      </c>
      <c r="J128">
        <f>IFERROR(INDEX('Green_rooibos initial weight'!$C$5:$C$1749,MATCH(H128, 'Green_rooibos initial weight'!$A$5:$A$1749,0)),"")</f>
        <v>1.9870000000000001</v>
      </c>
      <c r="K128">
        <f>IFERROR(INDEX('Green_rooibos initial weight'!$C$5:$C$1749,MATCH(I128, 'Green_rooibos initial weight'!$A$5:$A$1749,0)),"")</f>
        <v>2.1589999999999998</v>
      </c>
      <c r="L128" s="195">
        <f t="shared" si="5"/>
        <v>1.7372000000000001</v>
      </c>
      <c r="M128" s="240">
        <f>AVERAGE(Ashed_controlls!$K$1:$K$11)</f>
        <v>5.5147656768714146</v>
      </c>
      <c r="N128" s="195">
        <f t="shared" si="0"/>
        <v>1.64139749066139</v>
      </c>
      <c r="O128" s="195">
        <f t="shared" si="6"/>
        <v>1.9091999999999998</v>
      </c>
      <c r="P128" s="240">
        <f>AVERAGE(Ashed_controlls!$K$12:$K$14)</f>
        <v>2.2816647271287041</v>
      </c>
      <c r="Q128" s="195">
        <f t="shared" si="1"/>
        <v>1.8656384570296585</v>
      </c>
      <c r="R128" s="16">
        <f>IF('Dry_Litterbag Placem_Collection'!G55="N.A","",'Dry_Litterbag Placem_Collection'!G55)</f>
        <v>43005</v>
      </c>
      <c r="S128" s="195">
        <f>IF(IFERROR(INDEX('Both teabags AfterDry'!$D$1:$D$839,MATCH(H128,'Both teabags AfterDry'!$A$1:$A$839,0)),"")="N.A","",(IFERROR(INDEX('Both teabags AfterDry'!$D$1:$D$839,MATCH(H128,'Both teabags AfterDry'!$A$1:$A$839,0)),"")))</f>
        <v>1.8197000000000001</v>
      </c>
      <c r="T128" s="195">
        <f>IF(IFERROR(INDEX('Both teabags AfterDry'!$D$1:$D$839,MATCH(I128,'Both teabags AfterDry'!$A$1:$A$839,0)),"")="N.A","",(IFERROR(INDEX('Both teabags AfterDry'!$D$1:$D$839,MATCH(I128,'Both teabags AfterDry'!$A$1:$A$839,0)),"")))</f>
        <v>1.8914</v>
      </c>
      <c r="U128" s="195">
        <f t="shared" si="7"/>
        <v>1.6691</v>
      </c>
      <c r="V128" s="195">
        <f t="shared" si="7"/>
        <v>1.7407999999999999</v>
      </c>
      <c r="W128" s="195">
        <f>IFERROR(INDEX('Ashed teabags dry'!$K$2:$K$821,MATCH(H128,'Ashed teabags dry'!$A$2:$A$821,0)),"")</f>
        <v>5.6308213378488601</v>
      </c>
      <c r="X128" s="195">
        <f>IFERROR(INDEX('Ashed teabags dry'!$K$2:$K$821,MATCH(I128,'Ashed teabags dry'!$A$2:$A$821,0)),"")</f>
        <v>2.63419483101393</v>
      </c>
      <c r="Y128" s="195">
        <f t="shared" si="2"/>
        <v>1.5751159610499648</v>
      </c>
      <c r="Z128" s="195">
        <f t="shared" si="2"/>
        <v>1.6949439363817094</v>
      </c>
      <c r="AA128" s="195">
        <f t="shared" si="8"/>
        <v>4.0381156903509963E-2</v>
      </c>
      <c r="AB128" s="195">
        <f t="shared" si="9"/>
        <v>2.6473157494937682E-2</v>
      </c>
      <c r="AC128" s="195">
        <f t="shared" si="3"/>
        <v>0.9085061095279322</v>
      </c>
      <c r="AD128">
        <f t="shared" si="4"/>
        <v>67</v>
      </c>
      <c r="AE128" s="195">
        <f t="shared" si="10"/>
        <v>0.95204138134975058</v>
      </c>
      <c r="AF128" s="195" t="str">
        <f t="shared" si="11"/>
        <v/>
      </c>
      <c r="AG128" s="255" t="str">
        <f>IF(ISNUMBER(SEARCH("C", 'Dry_Litterbag Placem_Collection'!AB55)),"YES","NO")</f>
        <v>NO</v>
      </c>
      <c r="AH128" s="255" t="str">
        <f>IF(ISNUMBER(SEARCH("H", 'Dry_Litterbag Placem_Collection'!AB55)),"YES","NO")</f>
        <v>NO</v>
      </c>
      <c r="AI128" s="255" t="str">
        <f>IF(ISNUMBER(SEARCH("R", 'Dry_Litterbag Placem_Collection'!AB55)),"YES","NO")</f>
        <v>NO</v>
      </c>
      <c r="AJ128" s="255" t="str">
        <f>IF(ISNUMBER(SEARCH("C", 'Dry_Litterbag Placem_Collection'!AA55)),"YES","NO")</f>
        <v>NO</v>
      </c>
      <c r="AK128" s="255" t="str">
        <f>IF(ISNUMBER(SEARCH("H", 'Dry_Litterbag Placem_Collection'!AA55)),"YES","NO")</f>
        <v>NO</v>
      </c>
      <c r="AL128" s="255" t="str">
        <f>IF(ISNUMBER(SEARCH("R", 'Dry_Litterbag Placem_Collection'!AA55)),"YES","NO")</f>
        <v>NO</v>
      </c>
      <c r="AR128" t="s">
        <v>1878</v>
      </c>
      <c r="AT128" t="s">
        <v>405</v>
      </c>
    </row>
    <row r="129" spans="2:46">
      <c r="B129" t="str">
        <f>'Final data_for_R_analysis_Dryse'!A55</f>
        <v>Dry</v>
      </c>
      <c r="C129" s="263">
        <f>'Final data_for_R_analysis_Dryse'!B55</f>
        <v>54</v>
      </c>
      <c r="D129" t="s">
        <v>3834</v>
      </c>
      <c r="E129" t="s">
        <v>22</v>
      </c>
      <c r="F129" s="387">
        <v>6</v>
      </c>
      <c r="G129" s="16">
        <f>'Dry_Litterbag Placem_Collection'!E56</f>
        <v>0</v>
      </c>
      <c r="H129" t="str">
        <f>'Final data_for_R_analysis_Dryse'!J55</f>
        <v/>
      </c>
      <c r="I129" t="str">
        <f>'Final data_for_R_analysis_Dryse'!J275</f>
        <v/>
      </c>
      <c r="J129" t="str">
        <f>IFERROR(INDEX('Green_rooibos initial weight'!$C$5:$C$1749,MATCH(H129, 'Green_rooibos initial weight'!$A$5:$A$1749,0)),"")</f>
        <v/>
      </c>
      <c r="K129" t="str">
        <f>IFERROR(INDEX('Green_rooibos initial weight'!$C$5:$C$1749,MATCH(I129, 'Green_rooibos initial weight'!$A$5:$A$1749,0)),"")</f>
        <v/>
      </c>
      <c r="L129" s="195" t="str">
        <f t="shared" si="5"/>
        <v/>
      </c>
      <c r="M129" s="240">
        <f>AVERAGE(Ashed_controlls!$K$1:$K$11)</f>
        <v>5.5147656768714146</v>
      </c>
      <c r="N129" s="195" t="str">
        <f t="shared" si="0"/>
        <v/>
      </c>
      <c r="O129" s="195" t="str">
        <f t="shared" si="6"/>
        <v/>
      </c>
      <c r="P129" s="240">
        <f>AVERAGE(Ashed_controlls!$K$12:$K$14)</f>
        <v>2.2816647271287041</v>
      </c>
      <c r="Q129" s="195" t="str">
        <f t="shared" si="1"/>
        <v/>
      </c>
      <c r="R129" s="16">
        <f>IF('Dry_Litterbag Placem_Collection'!G56="N.A","",'Dry_Litterbag Placem_Collection'!G56)</f>
        <v>0</v>
      </c>
      <c r="S129" s="195" t="str">
        <f>IF(IFERROR(INDEX('Both teabags AfterDry'!$D$1:$D$839,MATCH(H129,'Both teabags AfterDry'!$A$1:$A$839,0)),"")="N.A","",(IFERROR(INDEX('Both teabags AfterDry'!$D$1:$D$839,MATCH(H129,'Both teabags AfterDry'!$A$1:$A$839,0)),"")))</f>
        <v/>
      </c>
      <c r="T129" s="195" t="str">
        <f>IF(IFERROR(INDEX('Both teabags AfterDry'!$D$1:$D$839,MATCH(I129,'Both teabags AfterDry'!$A$1:$A$839,0)),"")="N.A","",(IFERROR(INDEX('Both teabags AfterDry'!$D$1:$D$839,MATCH(I129,'Both teabags AfterDry'!$A$1:$A$839,0)),"")))</f>
        <v/>
      </c>
      <c r="U129" s="195" t="str">
        <f t="shared" si="7"/>
        <v/>
      </c>
      <c r="V129" s="195" t="str">
        <f t="shared" si="7"/>
        <v/>
      </c>
      <c r="W129" s="195" t="str">
        <f>IFERROR(INDEX('Ashed teabags dry'!$K$2:$K$821,MATCH(H129,'Ashed teabags dry'!$A$2:$A$821,0)),"")</f>
        <v/>
      </c>
      <c r="X129" s="195" t="str">
        <f>IFERROR(INDEX('Ashed teabags dry'!$K$2:$K$821,MATCH(I129,'Ashed teabags dry'!$A$2:$A$821,0)),"")</f>
        <v/>
      </c>
      <c r="Y129" s="195" t="str">
        <f t="shared" si="2"/>
        <v/>
      </c>
      <c r="Z129" s="195" t="str">
        <f t="shared" si="2"/>
        <v/>
      </c>
      <c r="AA129" s="195" t="str">
        <f t="shared" si="8"/>
        <v/>
      </c>
      <c r="AB129" s="195" t="str">
        <f t="shared" si="9"/>
        <v/>
      </c>
      <c r="AC129" s="195" t="str">
        <f t="shared" si="3"/>
        <v/>
      </c>
      <c r="AD129" t="str">
        <f t="shared" si="4"/>
        <v/>
      </c>
      <c r="AE129" s="195" t="str">
        <f t="shared" si="10"/>
        <v/>
      </c>
      <c r="AF129" s="195" t="str">
        <f t="shared" si="11"/>
        <v/>
      </c>
      <c r="AG129" s="255" t="str">
        <f>IF(ISNUMBER(SEARCH("C", 'Dry_Litterbag Placem_Collection'!AB56)),"YES","NO")</f>
        <v>NO</v>
      </c>
      <c r="AH129" s="255" t="str">
        <f>IF(ISNUMBER(SEARCH("H", 'Dry_Litterbag Placem_Collection'!AB56)),"YES","NO")</f>
        <v>NO</v>
      </c>
      <c r="AI129" s="255" t="str">
        <f>IF(ISNUMBER(SEARCH("R", 'Dry_Litterbag Placem_Collection'!AB56)),"YES","NO")</f>
        <v>NO</v>
      </c>
      <c r="AJ129" s="255" t="str">
        <f>IF(ISNUMBER(SEARCH("C", 'Dry_Litterbag Placem_Collection'!AA56)),"YES","NO")</f>
        <v>NO</v>
      </c>
      <c r="AK129" s="255" t="str">
        <f>IF(ISNUMBER(SEARCH("H", 'Dry_Litterbag Placem_Collection'!AA56)),"YES","NO")</f>
        <v>NO</v>
      </c>
      <c r="AL129" s="255" t="str">
        <f>IF(ISNUMBER(SEARCH("R", 'Dry_Litterbag Placem_Collection'!AA56)),"YES","NO")</f>
        <v>NO</v>
      </c>
      <c r="AR129" t="s">
        <v>3654</v>
      </c>
      <c r="AT129" t="s">
        <v>3654</v>
      </c>
    </row>
    <row r="130" spans="2:46">
      <c r="B130" t="str">
        <f>'Final data_for_R_analysis_Dryse'!A56</f>
        <v>Dry</v>
      </c>
      <c r="C130" s="263">
        <f>'Final data_for_R_analysis_Dryse'!B56</f>
        <v>55</v>
      </c>
      <c r="D130" t="s">
        <v>3834</v>
      </c>
      <c r="E130" t="s">
        <v>22</v>
      </c>
      <c r="F130" s="387">
        <v>7</v>
      </c>
      <c r="G130" s="16">
        <f>'Dry_Litterbag Placem_Collection'!E57</f>
        <v>42938</v>
      </c>
      <c r="H130" t="str">
        <f>'Final data_for_R_analysis_Dryse'!J56</f>
        <v>G86</v>
      </c>
      <c r="I130" t="str">
        <f>'Final data_for_R_analysis_Dryse'!J276</f>
        <v>R839</v>
      </c>
      <c r="J130">
        <f>IFERROR(INDEX('Green_rooibos initial weight'!$C$5:$C$1749,MATCH(H130, 'Green_rooibos initial weight'!$A$5:$A$1749,0)),"")</f>
        <v>2.1030000000000002</v>
      </c>
      <c r="K130">
        <f>IFERROR(INDEX('Green_rooibos initial weight'!$C$5:$C$1749,MATCH(I130, 'Green_rooibos initial weight'!$A$5:$A$1749,0)),"")</f>
        <v>2.2269999999999999</v>
      </c>
      <c r="L130" s="195">
        <f t="shared" si="5"/>
        <v>1.8532000000000002</v>
      </c>
      <c r="M130" s="240">
        <f>AVERAGE(Ashed_controlls!$K$1:$K$11)</f>
        <v>5.5147656768714146</v>
      </c>
      <c r="N130" s="195">
        <f t="shared" si="0"/>
        <v>1.7510003624762192</v>
      </c>
      <c r="O130" s="195">
        <f t="shared" si="6"/>
        <v>1.9771999999999998</v>
      </c>
      <c r="P130" s="240">
        <f>AVERAGE(Ashed_controlls!$K$12:$K$14)</f>
        <v>2.2816647271287041</v>
      </c>
      <c r="Q130" s="195">
        <f t="shared" si="1"/>
        <v>1.9320869250152111</v>
      </c>
      <c r="R130" s="16">
        <f>IF('Dry_Litterbag Placem_Collection'!G57="N.A","",'Dry_Litterbag Placem_Collection'!G57)</f>
        <v>43005</v>
      </c>
      <c r="S130" s="195">
        <f>IF(IFERROR(INDEX('Both teabags AfterDry'!$D$1:$D$839,MATCH(H130,'Both teabags AfterDry'!$A$1:$A$839,0)),"")="N.A","",(IFERROR(INDEX('Both teabags AfterDry'!$D$1:$D$839,MATCH(H130,'Both teabags AfterDry'!$A$1:$A$839,0)),"")))</f>
        <v>1.8914</v>
      </c>
      <c r="T130" s="195">
        <f>IF(IFERROR(INDEX('Both teabags AfterDry'!$D$1:$D$839,MATCH(I130,'Both teabags AfterDry'!$A$1:$A$839,0)),"")="N.A","",(IFERROR(INDEX('Both teabags AfterDry'!$D$1:$D$839,MATCH(I130,'Both teabags AfterDry'!$A$1:$A$839,0)),"")))</f>
        <v>1.9775</v>
      </c>
      <c r="U130" s="195">
        <f t="shared" si="7"/>
        <v>1.7407999999999999</v>
      </c>
      <c r="V130" s="195">
        <f t="shared" si="7"/>
        <v>1.8269</v>
      </c>
      <c r="W130" s="195">
        <f>IFERROR(INDEX('Ashed teabags dry'!$K$2:$K$821,MATCH(H130,'Ashed teabags dry'!$A$2:$A$821,0)),"")</f>
        <v>6.1160714285713613</v>
      </c>
      <c r="X130" s="195">
        <f>IFERROR(INDEX('Ashed teabags dry'!$K$2:$K$821,MATCH(I130,'Ashed teabags dry'!$A$2:$A$821,0)),"")</f>
        <v>2.7226580526069402</v>
      </c>
      <c r="Y130" s="195">
        <f t="shared" si="2"/>
        <v>1.6343314285714297</v>
      </c>
      <c r="Z130" s="195">
        <f t="shared" si="2"/>
        <v>1.7771597600369238</v>
      </c>
      <c r="AA130" s="195">
        <f t="shared" si="8"/>
        <v>6.6629874216473262E-2</v>
      </c>
      <c r="AB130" s="195">
        <f t="shared" si="9"/>
        <v>4.3681342716737834E-2</v>
      </c>
      <c r="AC130" s="195">
        <f t="shared" si="3"/>
        <v>0.91981356378307488</v>
      </c>
      <c r="AD130">
        <f t="shared" si="4"/>
        <v>67</v>
      </c>
      <c r="AE130" s="195">
        <f t="shared" si="10"/>
        <v>0.92086713275953291</v>
      </c>
      <c r="AF130" s="195" t="str">
        <f t="shared" si="11"/>
        <v/>
      </c>
      <c r="AG130" s="255" t="str">
        <f>IF(ISNUMBER(SEARCH("C", 'Dry_Litterbag Placem_Collection'!AB57)),"YES","NO")</f>
        <v>NO</v>
      </c>
      <c r="AH130" s="255" t="str">
        <f>IF(ISNUMBER(SEARCH("H", 'Dry_Litterbag Placem_Collection'!AB57)),"YES","NO")</f>
        <v>NO</v>
      </c>
      <c r="AI130" s="255" t="str">
        <f>IF(ISNUMBER(SEARCH("R", 'Dry_Litterbag Placem_Collection'!AB57)),"YES","NO")</f>
        <v>NO</v>
      </c>
      <c r="AJ130" s="255" t="str">
        <f>IF(ISNUMBER(SEARCH("C", 'Dry_Litterbag Placem_Collection'!AA57)),"YES","NO")</f>
        <v>NO</v>
      </c>
      <c r="AK130" s="255" t="str">
        <f>IF(ISNUMBER(SEARCH("H", 'Dry_Litterbag Placem_Collection'!AA57)),"YES","NO")</f>
        <v>NO</v>
      </c>
      <c r="AL130" s="255" t="str">
        <f>IF(ISNUMBER(SEARCH("R", 'Dry_Litterbag Placem_Collection'!AA57)),"YES","NO")</f>
        <v>NO</v>
      </c>
      <c r="AR130" t="s">
        <v>1964</v>
      </c>
      <c r="AT130" t="s">
        <v>300</v>
      </c>
    </row>
    <row r="131" spans="2:46">
      <c r="B131" t="str">
        <f>'Final data_for_R_analysis_Dryse'!A57</f>
        <v>Dry</v>
      </c>
      <c r="C131" s="263">
        <f>'Final data_for_R_analysis_Dryse'!B57</f>
        <v>56</v>
      </c>
      <c r="D131" t="s">
        <v>3834</v>
      </c>
      <c r="E131" t="s">
        <v>22</v>
      </c>
      <c r="F131" s="387">
        <v>8</v>
      </c>
      <c r="G131" s="16">
        <f>'Dry_Litterbag Placem_Collection'!E58</f>
        <v>42938</v>
      </c>
      <c r="H131" t="str">
        <f>'Final data_for_R_analysis_Dryse'!J57</f>
        <v>G107</v>
      </c>
      <c r="I131" t="str">
        <f>'Final data_for_R_analysis_Dryse'!J277</f>
        <v>R760</v>
      </c>
      <c r="J131">
        <f>IFERROR(INDEX('Green_rooibos initial weight'!$C$5:$C$1749,MATCH(H131, 'Green_rooibos initial weight'!$A$5:$A$1749,0)),"")</f>
        <v>2.1749999999999998</v>
      </c>
      <c r="K131">
        <f>IFERROR(INDEX('Green_rooibos initial weight'!$C$5:$C$1749,MATCH(I131, 'Green_rooibos initial weight'!$A$5:$A$1749,0)),"")</f>
        <v>2.2320000000000002</v>
      </c>
      <c r="L131" s="195">
        <f t="shared" si="5"/>
        <v>1.9251999999999998</v>
      </c>
      <c r="M131" s="240">
        <f>AVERAGE(Ashed_controlls!$K$1:$K$11)</f>
        <v>5.5147656768714146</v>
      </c>
      <c r="N131" s="195">
        <f t="shared" si="0"/>
        <v>1.8190297311888712</v>
      </c>
      <c r="O131" s="195">
        <f t="shared" si="6"/>
        <v>1.9822000000000002</v>
      </c>
      <c r="P131" s="240">
        <f>AVERAGE(Ashed_controlls!$K$12:$K$14)</f>
        <v>2.2816647271287041</v>
      </c>
      <c r="Q131" s="195">
        <f t="shared" si="1"/>
        <v>1.936972841778855</v>
      </c>
      <c r="R131" s="16">
        <f>IF('Dry_Litterbag Placem_Collection'!G58="N.A","",'Dry_Litterbag Placem_Collection'!G58)</f>
        <v>43005</v>
      </c>
      <c r="S131" s="195">
        <f>IF(IFERROR(INDEX('Both teabags AfterDry'!$D$1:$D$839,MATCH(H131,'Both teabags AfterDry'!$A$1:$A$839,0)),"")="N.A","",(IFERROR(INDEX('Both teabags AfterDry'!$D$1:$D$839,MATCH(H131,'Both teabags AfterDry'!$A$1:$A$839,0)),"")))</f>
        <v>2.0276000000000001</v>
      </c>
      <c r="T131" s="195">
        <f>IF(IFERROR(INDEX('Both teabags AfterDry'!$D$1:$D$839,MATCH(I131,'Both teabags AfterDry'!$A$1:$A$839,0)),"")="N.A","",(IFERROR(INDEX('Both teabags AfterDry'!$D$1:$D$839,MATCH(I131,'Both teabags AfterDry'!$A$1:$A$839,0)),"")))</f>
        <v>1.9821</v>
      </c>
      <c r="U131" s="195">
        <f t="shared" si="7"/>
        <v>1.877</v>
      </c>
      <c r="V131" s="195">
        <f t="shared" si="7"/>
        <v>1.8314999999999999</v>
      </c>
      <c r="W131" s="195">
        <f>IFERROR(INDEX('Ashed teabags dry'!$K$2:$K$821,MATCH(H131,'Ashed teabags dry'!$A$2:$A$821,0)),"")</f>
        <v>5.6218057921633493</v>
      </c>
      <c r="X131" s="195">
        <f>IFERROR(INDEX('Ashed teabags dry'!$K$2:$K$821,MATCH(I131,'Ashed teabags dry'!$A$2:$A$821,0)),"")</f>
        <v>2.8949950932292219</v>
      </c>
      <c r="Y131" s="195">
        <f t="shared" si="2"/>
        <v>1.7714787052810939</v>
      </c>
      <c r="Z131" s="195">
        <f t="shared" si="2"/>
        <v>1.7784781648675068</v>
      </c>
      <c r="AA131" s="195">
        <f t="shared" si="8"/>
        <v>2.614087339666471E-2</v>
      </c>
      <c r="AB131" s="195">
        <f t="shared" si="9"/>
        <v>1.7137484697100851E-2</v>
      </c>
      <c r="AC131" s="195">
        <f t="shared" si="3"/>
        <v>0.91817403244240037</v>
      </c>
      <c r="AD131">
        <f t="shared" si="4"/>
        <v>67</v>
      </c>
      <c r="AE131" s="195">
        <f t="shared" si="10"/>
        <v>0.96895383207046948</v>
      </c>
      <c r="AF131" s="195" t="str">
        <f t="shared" si="11"/>
        <v/>
      </c>
      <c r="AG131" s="255" t="str">
        <f>IF(ISNUMBER(SEARCH("C", 'Dry_Litterbag Placem_Collection'!AB58)),"YES","NO")</f>
        <v>NO</v>
      </c>
      <c r="AH131" s="255" t="str">
        <f>IF(ISNUMBER(SEARCH("H", 'Dry_Litterbag Placem_Collection'!AB58)),"YES","NO")</f>
        <v>NO</v>
      </c>
      <c r="AI131" s="255" t="str">
        <f>IF(ISNUMBER(SEARCH("R", 'Dry_Litterbag Placem_Collection'!AB58)),"YES","NO")</f>
        <v>NO</v>
      </c>
      <c r="AJ131" s="255" t="str">
        <f>IF(ISNUMBER(SEARCH("C", 'Dry_Litterbag Placem_Collection'!AA58)),"YES","NO")</f>
        <v>NO</v>
      </c>
      <c r="AK131" s="255" t="str">
        <f>IF(ISNUMBER(SEARCH("H", 'Dry_Litterbag Placem_Collection'!AA58)),"YES","NO")</f>
        <v>NO</v>
      </c>
      <c r="AL131" s="255" t="str">
        <f>IF(ISNUMBER(SEARCH("R", 'Dry_Litterbag Placem_Collection'!AA58)),"YES","NO")</f>
        <v>NO</v>
      </c>
      <c r="AR131" t="s">
        <v>1943</v>
      </c>
      <c r="AT131" t="s">
        <v>379</v>
      </c>
    </row>
    <row r="132" spans="2:46">
      <c r="B132" t="str">
        <f>'Final data_for_R_analysis_Dryse'!A58</f>
        <v>Dry</v>
      </c>
      <c r="C132" s="263">
        <f>'Final data_for_R_analysis_Dryse'!B58</f>
        <v>57</v>
      </c>
      <c r="D132" t="s">
        <v>3835</v>
      </c>
      <c r="E132" t="s">
        <v>22</v>
      </c>
      <c r="F132" s="386">
        <v>1</v>
      </c>
      <c r="G132" s="16">
        <f>'Dry_Litterbag Placem_Collection'!E59</f>
        <v>42938</v>
      </c>
      <c r="H132" t="str">
        <f>'Final data_for_R_analysis_Dryse'!J58</f>
        <v>G41</v>
      </c>
      <c r="I132" t="str">
        <f>'Final data_for_R_analysis_Dryse'!J278</f>
        <v>R830</v>
      </c>
      <c r="J132">
        <f>IFERROR(INDEX('Green_rooibos initial weight'!$C$5:$C$1749,MATCH(H132, 'Green_rooibos initial weight'!$A$5:$A$1749,0)),"")</f>
        <v>1.9850000000000001</v>
      </c>
      <c r="K132">
        <f>IFERROR(INDEX('Green_rooibos initial weight'!$C$5:$C$1749,MATCH(I132, 'Green_rooibos initial weight'!$A$5:$A$1749,0)),"")</f>
        <v>2.2160000000000002</v>
      </c>
      <c r="L132" s="195">
        <f t="shared" si="5"/>
        <v>1.7352000000000001</v>
      </c>
      <c r="M132" s="240">
        <f>AVERAGE(Ashed_controlls!$K$1:$K$11)</f>
        <v>5.5147656768714146</v>
      </c>
      <c r="N132" s="195">
        <f t="shared" si="0"/>
        <v>1.6395077859749272</v>
      </c>
      <c r="O132" s="195">
        <f t="shared" si="6"/>
        <v>1.9662000000000002</v>
      </c>
      <c r="P132" s="240">
        <f>AVERAGE(Ashed_controlls!$K$12:$K$14)</f>
        <v>2.2816647271287041</v>
      </c>
      <c r="Q132" s="195">
        <f t="shared" si="1"/>
        <v>1.9213379081351956</v>
      </c>
      <c r="R132" s="16">
        <f>IF('Dry_Litterbag Placem_Collection'!G59="N.A","",'Dry_Litterbag Placem_Collection'!G59)</f>
        <v>43005</v>
      </c>
      <c r="S132" s="195">
        <f>IF(IFERROR(INDEX('Both teabags AfterDry'!$D$1:$D$839,MATCH(H132,'Both teabags AfterDry'!$A$1:$A$839,0)),"")="N.A","",(IFERROR(INDEX('Both teabags AfterDry'!$D$1:$D$839,MATCH(H132,'Both teabags AfterDry'!$A$1:$A$839,0)),"")))</f>
        <v>1.7847</v>
      </c>
      <c r="T132" s="195">
        <f>IF(IFERROR(INDEX('Both teabags AfterDry'!$D$1:$D$839,MATCH(I132,'Both teabags AfterDry'!$A$1:$A$839,0)),"")="N.A","",(IFERROR(INDEX('Both teabags AfterDry'!$D$1:$D$839,MATCH(I132,'Both teabags AfterDry'!$A$1:$A$839,0)),"")))</f>
        <v>1.9719</v>
      </c>
      <c r="U132" s="195">
        <f t="shared" si="7"/>
        <v>1.6340999999999999</v>
      </c>
      <c r="V132" s="195">
        <f t="shared" si="7"/>
        <v>1.8212999999999999</v>
      </c>
      <c r="W132" s="195">
        <f>IFERROR(INDEX('Ashed teabags dry'!$K$2:$K$821,MATCH(H132,'Ashed teabags dry'!$A$2:$A$821,0)),"")</f>
        <v>6.1166429587480353</v>
      </c>
      <c r="X132" s="195">
        <f>IFERROR(INDEX('Ashed teabags dry'!$K$2:$K$821,MATCH(I132,'Ashed teabags dry'!$A$2:$A$821,0)),"")</f>
        <v>2.183219178082795</v>
      </c>
      <c r="Y132" s="195">
        <f t="shared" si="2"/>
        <v>1.5341479374110982</v>
      </c>
      <c r="Z132" s="195">
        <f t="shared" si="2"/>
        <v>1.781537029109578</v>
      </c>
      <c r="AA132" s="195">
        <f t="shared" si="8"/>
        <v>6.4263097415653392E-2</v>
      </c>
      <c r="AB132" s="195">
        <f t="shared" si="9"/>
        <v>4.2129726571782267E-2</v>
      </c>
      <c r="AC132" s="195">
        <f t="shared" si="3"/>
        <v>0.92723774488928656</v>
      </c>
      <c r="AD132">
        <f t="shared" si="4"/>
        <v>67</v>
      </c>
      <c r="AE132" s="195">
        <f t="shared" si="10"/>
        <v>0.92367803157285822</v>
      </c>
      <c r="AF132" s="195" t="str">
        <f t="shared" si="11"/>
        <v/>
      </c>
      <c r="AG132" s="255" t="str">
        <f>IF(ISNUMBER(SEARCH("C", 'Dry_Litterbag Placem_Collection'!AB59)),"YES","NO")</f>
        <v>NO</v>
      </c>
      <c r="AH132" s="255" t="str">
        <f>IF(ISNUMBER(SEARCH("H", 'Dry_Litterbag Placem_Collection'!AB59)),"YES","NO")</f>
        <v>NO</v>
      </c>
      <c r="AI132" s="255" t="str">
        <f>IF(ISNUMBER(SEARCH("R", 'Dry_Litterbag Placem_Collection'!AB59)),"YES","NO")</f>
        <v>NO</v>
      </c>
      <c r="AJ132" s="255" t="str">
        <f>IF(ISNUMBER(SEARCH("C", 'Dry_Litterbag Placem_Collection'!AA59)),"YES","NO")</f>
        <v>NO</v>
      </c>
      <c r="AK132" s="255" t="str">
        <f>IF(ISNUMBER(SEARCH("H", 'Dry_Litterbag Placem_Collection'!AA59)),"YES","NO")</f>
        <v>NO</v>
      </c>
      <c r="AL132" s="255" t="str">
        <f>IF(ISNUMBER(SEARCH("R", 'Dry_Litterbag Placem_Collection'!AA59)),"YES","NO")</f>
        <v>NO</v>
      </c>
      <c r="AR132" t="s">
        <v>2009</v>
      </c>
      <c r="AT132" t="s">
        <v>309</v>
      </c>
    </row>
    <row r="133" spans="2:46">
      <c r="B133" t="str">
        <f>'Final data_for_R_analysis_Dryse'!A59</f>
        <v>Dry</v>
      </c>
      <c r="C133" s="263">
        <f>'Final data_for_R_analysis_Dryse'!B59</f>
        <v>58</v>
      </c>
      <c r="D133" t="s">
        <v>3835</v>
      </c>
      <c r="E133" t="s">
        <v>22</v>
      </c>
      <c r="F133" s="386">
        <v>2</v>
      </c>
      <c r="G133" s="16">
        <f>'Dry_Litterbag Placem_Collection'!E60</f>
        <v>42938</v>
      </c>
      <c r="H133" t="str">
        <f>'Final data_for_R_analysis_Dryse'!J59</f>
        <v>G481</v>
      </c>
      <c r="I133" t="str">
        <f>'Final data_for_R_analysis_Dryse'!J279</f>
        <v>R725</v>
      </c>
      <c r="J133">
        <f>IFERROR(INDEX('Green_rooibos initial weight'!$C$5:$C$1749,MATCH(H133, 'Green_rooibos initial weight'!$A$5:$A$1749,0)),"")</f>
        <v>2.0529999999999999</v>
      </c>
      <c r="K133">
        <f>IFERROR(INDEX('Green_rooibos initial weight'!$C$5:$C$1749,MATCH(I133, 'Green_rooibos initial weight'!$A$5:$A$1749,0)),"")</f>
        <v>2.1930000000000001</v>
      </c>
      <c r="L133" s="195">
        <f t="shared" si="5"/>
        <v>1.8031999999999999</v>
      </c>
      <c r="M133" s="240">
        <f>AVERAGE(Ashed_controlls!$K$1:$K$11)</f>
        <v>5.5147656768714146</v>
      </c>
      <c r="N133" s="195">
        <f t="shared" si="0"/>
        <v>1.7037577453146546</v>
      </c>
      <c r="O133" s="195">
        <f t="shared" si="6"/>
        <v>1.9432</v>
      </c>
      <c r="P133" s="240">
        <f>AVERAGE(Ashed_controlls!$K$12:$K$14)</f>
        <v>2.2816647271287041</v>
      </c>
      <c r="Q133" s="195">
        <f t="shared" si="1"/>
        <v>1.8988626910224351</v>
      </c>
      <c r="R133" s="16">
        <f>IF('Dry_Litterbag Placem_Collection'!G60="N.A","",'Dry_Litterbag Placem_Collection'!G60)</f>
        <v>43005</v>
      </c>
      <c r="S133" s="195">
        <f>IF(IFERROR(INDEX('Both teabags AfterDry'!$D$1:$D$839,MATCH(H133,'Both teabags AfterDry'!$A$1:$A$839,0)),"")="N.A","",(IFERROR(INDEX('Both teabags AfterDry'!$D$1:$D$839,MATCH(H133,'Both teabags AfterDry'!$A$1:$A$839,0)),"")))</f>
        <v>1.7612000000000001</v>
      </c>
      <c r="T133" s="195">
        <f>IF(IFERROR(INDEX('Both teabags AfterDry'!$D$1:$D$839,MATCH(I133,'Both teabags AfterDry'!$A$1:$A$839,0)),"")="N.A","",(IFERROR(INDEX('Both teabags AfterDry'!$D$1:$D$839,MATCH(I133,'Both teabags AfterDry'!$A$1:$A$839,0)),"")))</f>
        <v>0.71450000000000002</v>
      </c>
      <c r="U133" s="195">
        <f t="shared" si="7"/>
        <v>1.6106</v>
      </c>
      <c r="V133" s="195">
        <f t="shared" si="7"/>
        <v>0.56390000000000007</v>
      </c>
      <c r="W133" s="195">
        <f>IFERROR(INDEX('Ashed teabags dry'!$K$2:$K$821,MATCH(H133,'Ashed teabags dry'!$A$2:$A$821,0)),"")</f>
        <v>5.8618976651769072</v>
      </c>
      <c r="X133" s="195">
        <f>IFERROR(INDEX('Ashed teabags dry'!$K$2:$K$821,MATCH(I133,'Ashed teabags dry'!$A$2:$A$821,0)),"")</f>
        <v>3.528360875390312</v>
      </c>
      <c r="Y133" s="195">
        <f t="shared" si="2"/>
        <v>1.5161882762046608</v>
      </c>
      <c r="Z133" s="195">
        <f t="shared" si="2"/>
        <v>0.54400357302367408</v>
      </c>
      <c r="AA133" s="195">
        <f t="shared" si="8"/>
        <v>0.11009163105835384</v>
      </c>
      <c r="AB133" s="195">
        <f t="shared" si="9"/>
        <v>7.2174085919490885E-2</v>
      </c>
      <c r="AC133" s="195">
        <f t="shared" si="3"/>
        <v>0.28648915774460632</v>
      </c>
      <c r="AD133">
        <f t="shared" si="4"/>
        <v>67</v>
      </c>
      <c r="AE133" s="195">
        <f t="shared" si="10"/>
        <v>0.86924984434874841</v>
      </c>
      <c r="AF133" s="195" t="str">
        <f t="shared" si="11"/>
        <v/>
      </c>
      <c r="AG133" s="255" t="str">
        <f>IF(ISNUMBER(SEARCH("C", 'Dry_Litterbag Placem_Collection'!AB60)),"YES","NO")</f>
        <v>NO</v>
      </c>
      <c r="AH133" s="255" t="str">
        <f>IF(ISNUMBER(SEARCH("H", 'Dry_Litterbag Placem_Collection'!AB60)),"YES","NO")</f>
        <v>NO</v>
      </c>
      <c r="AI133" s="255" t="str">
        <f>IF(ISNUMBER(SEARCH("R", 'Dry_Litterbag Placem_Collection'!AB60)),"YES","NO")</f>
        <v>NO</v>
      </c>
      <c r="AJ133" s="255" t="str">
        <f>IF(ISNUMBER(SEARCH("C", 'Dry_Litterbag Placem_Collection'!AA60)),"YES","NO")</f>
        <v>NO</v>
      </c>
      <c r="AK133" s="255" t="str">
        <f>IF(ISNUMBER(SEARCH("H", 'Dry_Litterbag Placem_Collection'!AA60)),"YES","NO")</f>
        <v>NO</v>
      </c>
      <c r="AL133" s="255" t="str">
        <f>IF(ISNUMBER(SEARCH("R", 'Dry_Litterbag Placem_Collection'!AA60)),"YES","NO")</f>
        <v>NO</v>
      </c>
      <c r="AR133" t="s">
        <v>1569</v>
      </c>
      <c r="AT133" t="s">
        <v>414</v>
      </c>
    </row>
    <row r="134" spans="2:46">
      <c r="B134" t="str">
        <f>'Final data_for_R_analysis_Dryse'!A60</f>
        <v>Dry</v>
      </c>
      <c r="C134" s="263">
        <f>'Final data_for_R_analysis_Dryse'!B60</f>
        <v>59</v>
      </c>
      <c r="D134" t="s">
        <v>3835</v>
      </c>
      <c r="E134" t="s">
        <v>22</v>
      </c>
      <c r="F134" s="386">
        <v>3</v>
      </c>
      <c r="G134" s="16">
        <f>'Dry_Litterbag Placem_Collection'!E61</f>
        <v>42938</v>
      </c>
      <c r="H134" t="str">
        <f>'Final data_for_R_analysis_Dryse'!J60</f>
        <v>G261</v>
      </c>
      <c r="I134" t="str">
        <f>'Final data_for_R_analysis_Dryse'!J280</f>
        <v>R721</v>
      </c>
      <c r="J134">
        <f>IFERROR(INDEX('Green_rooibos initial weight'!$C$5:$C$1749,MATCH(H134, 'Green_rooibos initial weight'!$A$5:$A$1749,0)),"")</f>
        <v>1.9850000000000001</v>
      </c>
      <c r="K134">
        <f>IFERROR(INDEX('Green_rooibos initial weight'!$C$5:$C$1749,MATCH(I134, 'Green_rooibos initial weight'!$A$5:$A$1749,0)),"")</f>
        <v>2.2229999999999999</v>
      </c>
      <c r="L134" s="195">
        <f t="shared" si="5"/>
        <v>1.7352000000000001</v>
      </c>
      <c r="M134" s="240">
        <f>AVERAGE(Ashed_controlls!$K$1:$K$11)</f>
        <v>5.5147656768714146</v>
      </c>
      <c r="N134" s="195">
        <f t="shared" si="0"/>
        <v>1.6395077859749272</v>
      </c>
      <c r="O134" s="195">
        <f t="shared" si="6"/>
        <v>1.9731999999999998</v>
      </c>
      <c r="P134" s="240">
        <f>AVERAGE(Ashed_controlls!$K$12:$K$14)</f>
        <v>2.2816647271287041</v>
      </c>
      <c r="Q134" s="195">
        <f t="shared" si="1"/>
        <v>1.9281781916042962</v>
      </c>
      <c r="R134" s="16">
        <f>IF('Dry_Litterbag Placem_Collection'!G61="N.A","",'Dry_Litterbag Placem_Collection'!G61)</f>
        <v>43005</v>
      </c>
      <c r="S134" s="195">
        <f>IF(IFERROR(INDEX('Both teabags AfterDry'!$D$1:$D$839,MATCH(H134,'Both teabags AfterDry'!$A$1:$A$839,0)),"")="N.A","",(IFERROR(INDEX('Both teabags AfterDry'!$D$1:$D$839,MATCH(H134,'Both teabags AfterDry'!$A$1:$A$839,0)),"")))</f>
        <v>1.8041</v>
      </c>
      <c r="T134" s="195">
        <f>IF(IFERROR(INDEX('Both teabags AfterDry'!$D$1:$D$839,MATCH(I134,'Both teabags AfterDry'!$A$1:$A$839,0)),"")="N.A","",(IFERROR(INDEX('Both teabags AfterDry'!$D$1:$D$839,MATCH(I134,'Both teabags AfterDry'!$A$1:$A$839,0)),"")))</f>
        <v>1.9549000000000001</v>
      </c>
      <c r="U134" s="195">
        <f t="shared" si="7"/>
        <v>1.6535</v>
      </c>
      <c r="V134" s="195">
        <f t="shared" si="7"/>
        <v>1.8043</v>
      </c>
      <c r="W134" s="195">
        <f>IFERROR(INDEX('Ashed teabags dry'!$K$2:$K$821,MATCH(H134,'Ashed teabags dry'!$A$2:$A$821,0)),"")</f>
        <v>5.7350933090575786</v>
      </c>
      <c r="X134" s="195">
        <f>IFERROR(INDEX('Ashed teabags dry'!$K$2:$K$821,MATCH(I134,'Ashed teabags dry'!$A$2:$A$821,0)),"")</f>
        <v>2.6871401151632113</v>
      </c>
      <c r="Y134" s="195">
        <f t="shared" si="2"/>
        <v>1.558670232134733</v>
      </c>
      <c r="Z134" s="195">
        <f t="shared" si="2"/>
        <v>1.7558159309021102</v>
      </c>
      <c r="AA134" s="195">
        <f t="shared" si="8"/>
        <v>4.9305989597435484E-2</v>
      </c>
      <c r="AB134" s="195">
        <f t="shared" si="9"/>
        <v>3.232411669570591E-2</v>
      </c>
      <c r="AC134" s="195">
        <f t="shared" si="3"/>
        <v>0.91060874899804989</v>
      </c>
      <c r="AD134">
        <f t="shared" si="4"/>
        <v>67</v>
      </c>
      <c r="AE134" s="195">
        <f t="shared" si="10"/>
        <v>0.94144181758024292</v>
      </c>
      <c r="AF134" s="195" t="str">
        <f t="shared" si="11"/>
        <v/>
      </c>
      <c r="AG134" s="255" t="str">
        <f>IF(ISNUMBER(SEARCH("C", 'Dry_Litterbag Placem_Collection'!AB61)),"YES","NO")</f>
        <v>NO</v>
      </c>
      <c r="AH134" s="255" t="str">
        <f>IF(ISNUMBER(SEARCH("H", 'Dry_Litterbag Placem_Collection'!AB61)),"YES","NO")</f>
        <v>NO</v>
      </c>
      <c r="AI134" s="255" t="str">
        <f>IF(ISNUMBER(SEARCH("R", 'Dry_Litterbag Placem_Collection'!AB61)),"YES","NO")</f>
        <v>NO</v>
      </c>
      <c r="AJ134" s="255" t="str">
        <f>IF(ISNUMBER(SEARCH("C", 'Dry_Litterbag Placem_Collection'!AA61)),"YES","NO")</f>
        <v>NO</v>
      </c>
      <c r="AK134" s="255" t="str">
        <f>IF(ISNUMBER(SEARCH("H", 'Dry_Litterbag Placem_Collection'!AA61)),"YES","NO")</f>
        <v>NO</v>
      </c>
      <c r="AL134" s="255" t="str">
        <f>IF(ISNUMBER(SEARCH("R", 'Dry_Litterbag Placem_Collection'!AA61)),"YES","NO")</f>
        <v>NO</v>
      </c>
      <c r="AR134" t="s">
        <v>1789</v>
      </c>
      <c r="AT134" t="s">
        <v>418</v>
      </c>
    </row>
    <row r="135" spans="2:46">
      <c r="B135" t="str">
        <f>'Final data_for_R_analysis_Dryse'!A61</f>
        <v>Dry</v>
      </c>
      <c r="C135" s="263">
        <f>'Final data_for_R_analysis_Dryse'!B61</f>
        <v>60</v>
      </c>
      <c r="D135" t="s">
        <v>3835</v>
      </c>
      <c r="E135" t="s">
        <v>22</v>
      </c>
      <c r="F135" s="387">
        <v>4</v>
      </c>
      <c r="G135" s="16">
        <f>'Dry_Litterbag Placem_Collection'!E62</f>
        <v>42938</v>
      </c>
      <c r="H135" t="str">
        <f>'Final data_for_R_analysis_Dryse'!J61</f>
        <v>G152</v>
      </c>
      <c r="I135" t="str">
        <f>'Final data_for_R_analysis_Dryse'!J281</f>
        <v>R763</v>
      </c>
      <c r="J135">
        <f>IFERROR(INDEX('Green_rooibos initial weight'!$C$5:$C$1749,MATCH(H135, 'Green_rooibos initial weight'!$A$5:$A$1749,0)),"")</f>
        <v>2.0489999999999999</v>
      </c>
      <c r="K135">
        <f>IFERROR(INDEX('Green_rooibos initial weight'!$C$5:$C$1749,MATCH(I135, 'Green_rooibos initial weight'!$A$5:$A$1749,0)),"")</f>
        <v>2.2589999999999999</v>
      </c>
      <c r="L135" s="195">
        <f t="shared" si="5"/>
        <v>1.7991999999999999</v>
      </c>
      <c r="M135" s="240">
        <f>AVERAGE(Ashed_controlls!$K$1:$K$11)</f>
        <v>5.5147656768714146</v>
      </c>
      <c r="N135" s="195">
        <f t="shared" si="0"/>
        <v>1.6999783359417293</v>
      </c>
      <c r="O135" s="195">
        <f t="shared" si="6"/>
        <v>2.0091999999999999</v>
      </c>
      <c r="P135" s="240">
        <f>AVERAGE(Ashed_controlls!$K$12:$K$14)</f>
        <v>2.2816647271287041</v>
      </c>
      <c r="Q135" s="195">
        <f t="shared" si="1"/>
        <v>1.9633567923025299</v>
      </c>
      <c r="R135" s="16">
        <f>IF('Dry_Litterbag Placem_Collection'!G62="N.A","",'Dry_Litterbag Placem_Collection'!G62)</f>
        <v>43005</v>
      </c>
      <c r="S135" s="195">
        <f>IF(IFERROR(INDEX('Both teabags AfterDry'!$D$1:$D$839,MATCH(H135,'Both teabags AfterDry'!$A$1:$A$839,0)),"")="N.A","",(IFERROR(INDEX('Both teabags AfterDry'!$D$1:$D$839,MATCH(H135,'Both teabags AfterDry'!$A$1:$A$839,0)),"")))</f>
        <v>1.8697999999999999</v>
      </c>
      <c r="T135" s="195">
        <f>IF(IFERROR(INDEX('Both teabags AfterDry'!$D$1:$D$839,MATCH(I135,'Both teabags AfterDry'!$A$1:$A$839,0)),"")="N.A","",(IFERROR(INDEX('Both teabags AfterDry'!$D$1:$D$839,MATCH(I135,'Both teabags AfterDry'!$A$1:$A$839,0)),"")))</f>
        <v>1.9797</v>
      </c>
      <c r="U135" s="195">
        <f t="shared" si="7"/>
        <v>1.7191999999999998</v>
      </c>
      <c r="V135" s="195">
        <f t="shared" si="7"/>
        <v>1.8290999999999999</v>
      </c>
      <c r="W135" s="195">
        <f>IFERROR(INDEX('Ashed teabags dry'!$K$2:$K$821,MATCH(H135,'Ashed teabags dry'!$A$2:$A$821,0)),"")</f>
        <v>5.545536519386725</v>
      </c>
      <c r="X135" s="195">
        <f>IFERROR(INDEX('Ashed teabags dry'!$K$2:$K$821,MATCH(I135,'Ashed teabags dry'!$A$2:$A$821,0)),"")</f>
        <v>2.8315946348738801</v>
      </c>
      <c r="Y135" s="195">
        <f t="shared" si="2"/>
        <v>1.6238611361587032</v>
      </c>
      <c r="Z135" s="195">
        <f t="shared" si="2"/>
        <v>1.7773073025335218</v>
      </c>
      <c r="AA135" s="195">
        <f t="shared" si="8"/>
        <v>4.4775393999865187E-2</v>
      </c>
      <c r="AB135" s="195">
        <f t="shared" si="9"/>
        <v>2.9353940009412785E-2</v>
      </c>
      <c r="AC135" s="195">
        <f t="shared" si="3"/>
        <v>0.90523908313637769</v>
      </c>
      <c r="AD135">
        <f t="shared" si="4"/>
        <v>67</v>
      </c>
      <c r="AE135" s="195">
        <f t="shared" si="10"/>
        <v>0.94682257244671597</v>
      </c>
      <c r="AF135" s="195" t="str">
        <f t="shared" si="11"/>
        <v/>
      </c>
      <c r="AG135" s="255" t="str">
        <f>IF(ISNUMBER(SEARCH("C", 'Dry_Litterbag Placem_Collection'!AB62)),"YES","NO")</f>
        <v>NO</v>
      </c>
      <c r="AH135" s="255" t="str">
        <f>IF(ISNUMBER(SEARCH("H", 'Dry_Litterbag Placem_Collection'!AB62)),"YES","NO")</f>
        <v>NO</v>
      </c>
      <c r="AI135" s="255" t="str">
        <f>IF(ISNUMBER(SEARCH("R", 'Dry_Litterbag Placem_Collection'!AB62)),"YES","NO")</f>
        <v>NO</v>
      </c>
      <c r="AJ135" s="255" t="str">
        <f>IF(ISNUMBER(SEARCH("C", 'Dry_Litterbag Placem_Collection'!AA62)),"YES","NO")</f>
        <v>NO</v>
      </c>
      <c r="AK135" s="255" t="str">
        <f>IF(ISNUMBER(SEARCH("H", 'Dry_Litterbag Placem_Collection'!AA62)),"YES","NO")</f>
        <v>NO</v>
      </c>
      <c r="AL135" s="255" t="str">
        <f>IF(ISNUMBER(SEARCH("R", 'Dry_Litterbag Placem_Collection'!AA62)),"YES","NO")</f>
        <v>NO</v>
      </c>
      <c r="AR135" t="s">
        <v>1898</v>
      </c>
      <c r="AT135" t="s">
        <v>376</v>
      </c>
    </row>
    <row r="136" spans="2:46">
      <c r="B136" t="str">
        <f>'Final data_for_R_analysis_Dryse'!A62</f>
        <v>Dry</v>
      </c>
      <c r="C136" s="263">
        <f>'Final data_for_R_analysis_Dryse'!B62</f>
        <v>61</v>
      </c>
      <c r="D136" t="s">
        <v>3835</v>
      </c>
      <c r="E136" t="s">
        <v>22</v>
      </c>
      <c r="F136" s="387">
        <v>5</v>
      </c>
      <c r="G136" s="16">
        <f>'Dry_Litterbag Placem_Collection'!E63</f>
        <v>42938</v>
      </c>
      <c r="H136" t="str">
        <f>'Final data_for_R_analysis_Dryse'!J62</f>
        <v>G191</v>
      </c>
      <c r="I136" t="str">
        <f>'Final data_for_R_analysis_Dryse'!J282</f>
        <v>R775</v>
      </c>
      <c r="J136">
        <f>IFERROR(INDEX('Green_rooibos initial weight'!$C$5:$C$1749,MATCH(H136, 'Green_rooibos initial weight'!$A$5:$A$1749,0)),"")</f>
        <v>2.0590000000000002</v>
      </c>
      <c r="K136">
        <f>IFERROR(INDEX('Green_rooibos initial weight'!$C$5:$C$1749,MATCH(I136, 'Green_rooibos initial weight'!$A$5:$A$1749,0)),"")</f>
        <v>2.2290000000000001</v>
      </c>
      <c r="L136" s="195">
        <f t="shared" si="5"/>
        <v>1.8092000000000001</v>
      </c>
      <c r="M136" s="240">
        <f>AVERAGE(Ashed_controlls!$K$1:$K$11)</f>
        <v>5.5147656768714146</v>
      </c>
      <c r="N136" s="195">
        <f t="shared" si="0"/>
        <v>1.7094268593740425</v>
      </c>
      <c r="O136" s="195">
        <f t="shared" si="6"/>
        <v>1.9792000000000001</v>
      </c>
      <c r="P136" s="240">
        <f>AVERAGE(Ashed_controlls!$K$12:$K$14)</f>
        <v>2.2816647271287041</v>
      </c>
      <c r="Q136" s="195">
        <f t="shared" si="1"/>
        <v>1.9340412917206689</v>
      </c>
      <c r="R136" s="16">
        <f>IF('Dry_Litterbag Placem_Collection'!G63="N.A","",'Dry_Litterbag Placem_Collection'!G63)</f>
        <v>43005</v>
      </c>
      <c r="S136" s="195" t="str">
        <f>IF(IFERROR(INDEX('Both teabags AfterDry'!$D$1:$D$839,MATCH(H136,'Both teabags AfterDry'!$A$1:$A$839,0)),"")="N.A","",(IFERROR(INDEX('Both teabags AfterDry'!$D$1:$D$839,MATCH(H136,'Both teabags AfterDry'!$A$1:$A$839,0)),"")))</f>
        <v/>
      </c>
      <c r="T136" s="195" t="str">
        <f>IF(IFERROR(INDEX('Both teabags AfterDry'!$D$1:$D$839,MATCH(I136,'Both teabags AfterDry'!$A$1:$A$839,0)),"")="N.A","",(IFERROR(INDEX('Both teabags AfterDry'!$D$1:$D$839,MATCH(I136,'Both teabags AfterDry'!$A$1:$A$839,0)),"")))</f>
        <v/>
      </c>
      <c r="U136" s="195" t="str">
        <f t="shared" si="7"/>
        <v/>
      </c>
      <c r="V136" s="195" t="str">
        <f t="shared" si="7"/>
        <v/>
      </c>
      <c r="W136" s="195" t="str">
        <f>IFERROR(INDEX('Ashed teabags dry'!$K$2:$K$821,MATCH(H136,'Ashed teabags dry'!$A$2:$A$821,0)),"")</f>
        <v/>
      </c>
      <c r="X136" s="195" t="str">
        <f>IFERROR(INDEX('Ashed teabags dry'!$K$2:$K$821,MATCH(I136,'Ashed teabags dry'!$A$2:$A$821,0)),"")</f>
        <v/>
      </c>
      <c r="Y136" s="195" t="str">
        <f t="shared" si="2"/>
        <v/>
      </c>
      <c r="Z136" s="195" t="str">
        <f t="shared" si="2"/>
        <v/>
      </c>
      <c r="AA136" s="195" t="str">
        <f t="shared" si="8"/>
        <v/>
      </c>
      <c r="AB136" s="195" t="str">
        <f t="shared" si="9"/>
        <v/>
      </c>
      <c r="AC136" s="195" t="str">
        <f t="shared" si="3"/>
        <v/>
      </c>
      <c r="AD136">
        <f t="shared" si="4"/>
        <v>67</v>
      </c>
      <c r="AE136" s="195" t="str">
        <f t="shared" si="10"/>
        <v/>
      </c>
      <c r="AF136" s="195" t="str">
        <f t="shared" si="11"/>
        <v/>
      </c>
      <c r="AG136" s="255" t="str">
        <f>IF(ISNUMBER(SEARCH("C", 'Dry_Litterbag Placem_Collection'!AB63)),"YES","NO")</f>
        <v>NO</v>
      </c>
      <c r="AH136" s="255" t="str">
        <f>IF(ISNUMBER(SEARCH("H", 'Dry_Litterbag Placem_Collection'!AB63)),"YES","NO")</f>
        <v>NO</v>
      </c>
      <c r="AI136" s="255" t="str">
        <f>IF(ISNUMBER(SEARCH("R", 'Dry_Litterbag Placem_Collection'!AB63)),"YES","NO")</f>
        <v>NO</v>
      </c>
      <c r="AJ136" s="255" t="str">
        <f>IF(ISNUMBER(SEARCH("C", 'Dry_Litterbag Placem_Collection'!AA63)),"YES","NO")</f>
        <v>NO</v>
      </c>
      <c r="AK136" s="255" t="str">
        <f>IF(ISNUMBER(SEARCH("H", 'Dry_Litterbag Placem_Collection'!AA63)),"YES","NO")</f>
        <v>NO</v>
      </c>
      <c r="AL136" s="255" t="str">
        <f>IF(ISNUMBER(SEARCH("R", 'Dry_Litterbag Placem_Collection'!AA63)),"YES","NO")</f>
        <v>NO</v>
      </c>
      <c r="AR136" t="s">
        <v>1859</v>
      </c>
      <c r="AT136" t="s">
        <v>364</v>
      </c>
    </row>
    <row r="137" spans="2:46">
      <c r="B137" t="str">
        <f>'Final data_for_R_analysis_Dryse'!A63</f>
        <v>Dry</v>
      </c>
      <c r="C137" s="263">
        <f>'Final data_for_R_analysis_Dryse'!B63</f>
        <v>62</v>
      </c>
      <c r="D137" t="s">
        <v>3835</v>
      </c>
      <c r="E137" t="s">
        <v>22</v>
      </c>
      <c r="F137" s="387">
        <v>6</v>
      </c>
      <c r="G137" s="390">
        <f>'Dry_Litterbag Placem_Collection'!E64</f>
        <v>0</v>
      </c>
      <c r="H137" t="str">
        <f>'Final data_for_R_analysis_Dryse'!J63</f>
        <v/>
      </c>
      <c r="I137" t="str">
        <f>'Final data_for_R_analysis_Dryse'!J283</f>
        <v/>
      </c>
      <c r="J137" t="str">
        <f>IFERROR(INDEX('Green_rooibos initial weight'!$C$5:$C$1749,MATCH(H137, 'Green_rooibos initial weight'!$A$5:$A$1749,0)),"")</f>
        <v/>
      </c>
      <c r="K137" t="str">
        <f>IFERROR(INDEX('Green_rooibos initial weight'!$C$5:$C$1749,MATCH(I137, 'Green_rooibos initial weight'!$A$5:$A$1749,0)),"")</f>
        <v/>
      </c>
      <c r="L137" s="195" t="str">
        <f t="shared" si="5"/>
        <v/>
      </c>
      <c r="M137" s="240">
        <f>AVERAGE(Ashed_controlls!$K$1:$K$11)</f>
        <v>5.5147656768714146</v>
      </c>
      <c r="N137" s="195" t="str">
        <f t="shared" si="0"/>
        <v/>
      </c>
      <c r="O137" s="195" t="str">
        <f t="shared" si="6"/>
        <v/>
      </c>
      <c r="P137" s="240">
        <f>AVERAGE(Ashed_controlls!$K$12:$K$14)</f>
        <v>2.2816647271287041</v>
      </c>
      <c r="Q137" s="195" t="str">
        <f t="shared" si="1"/>
        <v/>
      </c>
      <c r="R137" s="16">
        <f>IF('Dry_Litterbag Placem_Collection'!G64="N.A","",'Dry_Litterbag Placem_Collection'!G64)</f>
        <v>0</v>
      </c>
      <c r="S137" s="195" t="str">
        <f>IF(IFERROR(INDEX('Both teabags AfterDry'!$D$1:$D$839,MATCH(H137,'Both teabags AfterDry'!$A$1:$A$839,0)),"")="N.A","",(IFERROR(INDEX('Both teabags AfterDry'!$D$1:$D$839,MATCH(H137,'Both teabags AfterDry'!$A$1:$A$839,0)),"")))</f>
        <v/>
      </c>
      <c r="T137" s="195" t="str">
        <f>IF(IFERROR(INDEX('Both teabags AfterDry'!$D$1:$D$839,MATCH(I137,'Both teabags AfterDry'!$A$1:$A$839,0)),"")="N.A","",(IFERROR(INDEX('Both teabags AfterDry'!$D$1:$D$839,MATCH(I137,'Both teabags AfterDry'!$A$1:$A$839,0)),"")))</f>
        <v/>
      </c>
      <c r="U137" s="195" t="str">
        <f t="shared" si="7"/>
        <v/>
      </c>
      <c r="V137" s="195" t="str">
        <f t="shared" si="7"/>
        <v/>
      </c>
      <c r="W137" s="195" t="str">
        <f>IFERROR(INDEX('Ashed teabags dry'!$K$2:$K$821,MATCH(H137,'Ashed teabags dry'!$A$2:$A$821,0)),"")</f>
        <v/>
      </c>
      <c r="X137" s="195" t="str">
        <f>IFERROR(INDEX('Ashed teabags dry'!$K$2:$K$821,MATCH(I137,'Ashed teabags dry'!$A$2:$A$821,0)),"")</f>
        <v/>
      </c>
      <c r="Y137" s="195" t="str">
        <f t="shared" si="2"/>
        <v/>
      </c>
      <c r="Z137" s="195" t="str">
        <f t="shared" si="2"/>
        <v/>
      </c>
      <c r="AA137" s="195" t="str">
        <f t="shared" si="8"/>
        <v/>
      </c>
      <c r="AB137" s="195" t="str">
        <f t="shared" si="9"/>
        <v/>
      </c>
      <c r="AC137" s="195" t="str">
        <f t="shared" si="3"/>
        <v/>
      </c>
      <c r="AD137" t="str">
        <f t="shared" si="4"/>
        <v/>
      </c>
      <c r="AE137" s="195" t="str">
        <f t="shared" si="10"/>
        <v/>
      </c>
      <c r="AF137" s="195" t="str">
        <f t="shared" si="11"/>
        <v/>
      </c>
      <c r="AG137" s="255" t="str">
        <f>IF(ISNUMBER(SEARCH("C", 'Dry_Litterbag Placem_Collection'!AB64)),"YES","NO")</f>
        <v>NO</v>
      </c>
      <c r="AH137" s="255" t="str">
        <f>IF(ISNUMBER(SEARCH("H", 'Dry_Litterbag Placem_Collection'!AB64)),"YES","NO")</f>
        <v>NO</v>
      </c>
      <c r="AI137" s="255" t="str">
        <f>IF(ISNUMBER(SEARCH("R", 'Dry_Litterbag Placem_Collection'!AB64)),"YES","NO")</f>
        <v>NO</v>
      </c>
      <c r="AJ137" s="255" t="str">
        <f>IF(ISNUMBER(SEARCH("C", 'Dry_Litterbag Placem_Collection'!AA64)),"YES","NO")</f>
        <v>NO</v>
      </c>
      <c r="AK137" s="255" t="str">
        <f>IF(ISNUMBER(SEARCH("H", 'Dry_Litterbag Placem_Collection'!AA64)),"YES","NO")</f>
        <v>NO</v>
      </c>
      <c r="AL137" s="255" t="str">
        <f>IF(ISNUMBER(SEARCH("R", 'Dry_Litterbag Placem_Collection'!AA64)),"YES","NO")</f>
        <v>NO</v>
      </c>
      <c r="AR137" t="s">
        <v>3654</v>
      </c>
      <c r="AT137" t="s">
        <v>3654</v>
      </c>
    </row>
    <row r="138" spans="2:46">
      <c r="B138" t="str">
        <f>'Final data_for_R_analysis_Dryse'!A64</f>
        <v>Dry</v>
      </c>
      <c r="C138" s="263">
        <f>'Final data_for_R_analysis_Dryse'!B64</f>
        <v>63</v>
      </c>
      <c r="D138" t="s">
        <v>3835</v>
      </c>
      <c r="E138" t="s">
        <v>22</v>
      </c>
      <c r="F138" s="387">
        <v>7</v>
      </c>
      <c r="G138" s="16">
        <f>'Dry_Litterbag Placem_Collection'!E65</f>
        <v>42938</v>
      </c>
      <c r="H138" t="str">
        <f>'Final data_for_R_analysis_Dryse'!J64</f>
        <v>G49</v>
      </c>
      <c r="I138" t="str">
        <f>'Final data_for_R_analysis_Dryse'!J284</f>
        <v>R733</v>
      </c>
      <c r="J138">
        <f>IFERROR(INDEX('Green_rooibos initial weight'!$C$5:$C$1749,MATCH(H138, 'Green_rooibos initial weight'!$A$5:$A$1749,0)),"")</f>
        <v>2.0859999999999999</v>
      </c>
      <c r="K138">
        <f>IFERROR(INDEX('Green_rooibos initial weight'!$C$5:$C$1749,MATCH(I138, 'Green_rooibos initial weight'!$A$5:$A$1749,0)),"")</f>
        <v>2.181</v>
      </c>
      <c r="L138" s="195">
        <f t="shared" si="5"/>
        <v>1.8361999999999998</v>
      </c>
      <c r="M138" s="240">
        <f>AVERAGE(Ashed_controlls!$K$1:$K$11)</f>
        <v>5.5147656768714146</v>
      </c>
      <c r="N138" s="195">
        <f t="shared" si="0"/>
        <v>1.734937872641287</v>
      </c>
      <c r="O138" s="195">
        <f t="shared" si="6"/>
        <v>1.9312</v>
      </c>
      <c r="P138" s="240">
        <f>AVERAGE(Ashed_controlls!$K$12:$K$14)</f>
        <v>2.2816647271287041</v>
      </c>
      <c r="Q138" s="195">
        <f t="shared" si="1"/>
        <v>1.8871364907896906</v>
      </c>
      <c r="R138" s="16">
        <f>IF('Dry_Litterbag Placem_Collection'!G65="N.A","",'Dry_Litterbag Placem_Collection'!G65)</f>
        <v>43005</v>
      </c>
      <c r="S138" s="195">
        <f>IF(IFERROR(INDEX('Both teabags AfterDry'!$D$1:$D$839,MATCH(H138,'Both teabags AfterDry'!$A$1:$A$839,0)),"")="N.A","",(IFERROR(INDEX('Both teabags AfterDry'!$D$1:$D$839,MATCH(H138,'Both teabags AfterDry'!$A$1:$A$839,0)),"")))</f>
        <v>1.9326000000000001</v>
      </c>
      <c r="T138" s="195">
        <f>IF(IFERROR(INDEX('Both teabags AfterDry'!$D$1:$D$839,MATCH(I138,'Both teabags AfterDry'!$A$1:$A$839,0)),"")="N.A","",(IFERROR(INDEX('Both teabags AfterDry'!$D$1:$D$839,MATCH(I138,'Both teabags AfterDry'!$A$1:$A$839,0)),"")))</f>
        <v>1.9025000000000001</v>
      </c>
      <c r="U138" s="195">
        <f t="shared" si="7"/>
        <v>1.782</v>
      </c>
      <c r="V138" s="195">
        <f t="shared" si="7"/>
        <v>1.7519</v>
      </c>
      <c r="W138" s="195">
        <f>IFERROR(INDEX('Ashed teabags dry'!$K$2:$K$821,MATCH(H138,'Ashed teabags dry'!$A$2:$A$821,0)),"")</f>
        <v>4.9388753056235117</v>
      </c>
      <c r="X138" s="195">
        <f>IFERROR(INDEX('Ashed teabags dry'!$K$2:$K$821,MATCH(I138,'Ashed teabags dry'!$A$2:$A$821,0)),"")</f>
        <v>2.0627417275461966</v>
      </c>
      <c r="Y138" s="195">
        <f t="shared" si="2"/>
        <v>1.693989242053789</v>
      </c>
      <c r="Z138" s="195">
        <f t="shared" si="2"/>
        <v>1.7157628276751182</v>
      </c>
      <c r="AA138" s="195">
        <f t="shared" si="8"/>
        <v>2.3602361348627032E-2</v>
      </c>
      <c r="AB138" s="195">
        <f t="shared" si="9"/>
        <v>1.5473282024278029E-2</v>
      </c>
      <c r="AC138" s="195">
        <f t="shared" si="3"/>
        <v>0.90918851712582838</v>
      </c>
      <c r="AD138">
        <f t="shared" si="4"/>
        <v>67</v>
      </c>
      <c r="AE138" s="195">
        <f t="shared" si="10"/>
        <v>0.97196869198500357</v>
      </c>
      <c r="AF138" s="195" t="str">
        <f t="shared" si="11"/>
        <v/>
      </c>
      <c r="AG138" s="255" t="str">
        <f>IF(ISNUMBER(SEARCH("C", 'Dry_Litterbag Placem_Collection'!AB65)),"YES","NO")</f>
        <v>NO</v>
      </c>
      <c r="AH138" s="255" t="str">
        <f>IF(ISNUMBER(SEARCH("H", 'Dry_Litterbag Placem_Collection'!AB65)),"YES","NO")</f>
        <v>NO</v>
      </c>
      <c r="AI138" s="255" t="str">
        <f>IF(ISNUMBER(SEARCH("R", 'Dry_Litterbag Placem_Collection'!AB65)),"YES","NO")</f>
        <v>NO</v>
      </c>
      <c r="AJ138" s="255" t="str">
        <f>IF(ISNUMBER(SEARCH("C", 'Dry_Litterbag Placem_Collection'!AA65)),"YES","NO")</f>
        <v>NO</v>
      </c>
      <c r="AK138" s="255" t="str">
        <f>IF(ISNUMBER(SEARCH("H", 'Dry_Litterbag Placem_Collection'!AA65)),"YES","NO")</f>
        <v>NO</v>
      </c>
      <c r="AL138" s="255" t="str">
        <f>IF(ISNUMBER(SEARCH("R", 'Dry_Litterbag Placem_Collection'!AA65)),"YES","NO")</f>
        <v>NO</v>
      </c>
      <c r="AR138" t="s">
        <v>2001</v>
      </c>
      <c r="AT138" t="s">
        <v>406</v>
      </c>
    </row>
    <row r="139" spans="2:46">
      <c r="B139" t="str">
        <f>'Final data_for_R_analysis_Dryse'!A65</f>
        <v>Dry</v>
      </c>
      <c r="C139" s="263">
        <f>'Final data_for_R_analysis_Dryse'!B65</f>
        <v>64</v>
      </c>
      <c r="D139" t="s">
        <v>3835</v>
      </c>
      <c r="E139" t="s">
        <v>22</v>
      </c>
      <c r="F139" s="387">
        <v>8</v>
      </c>
      <c r="G139" s="16">
        <f>'Dry_Litterbag Placem_Collection'!E66</f>
        <v>42938</v>
      </c>
      <c r="H139" t="str">
        <f>'Final data_for_R_analysis_Dryse'!J65</f>
        <v>G347</v>
      </c>
      <c r="I139" t="str">
        <f>'Final data_for_R_analysis_Dryse'!J285</f>
        <v>R765</v>
      </c>
      <c r="J139">
        <f>IFERROR(INDEX('Green_rooibos initial weight'!$C$5:$C$1749,MATCH(H139, 'Green_rooibos initial weight'!$A$5:$A$1749,0)),"")</f>
        <v>1.8919999999999999</v>
      </c>
      <c r="K139">
        <f>IFERROR(INDEX('Green_rooibos initial weight'!$C$5:$C$1749,MATCH(I139, 'Green_rooibos initial weight'!$A$5:$A$1749,0)),"")</f>
        <v>2.2400000000000002</v>
      </c>
      <c r="L139" s="195">
        <f t="shared" si="5"/>
        <v>1.6421999999999999</v>
      </c>
      <c r="M139" s="240">
        <f>AVERAGE(Ashed_controlls!$K$1:$K$11)</f>
        <v>5.5147656768714146</v>
      </c>
      <c r="N139" s="195">
        <f t="shared" si="0"/>
        <v>1.5516365180544176</v>
      </c>
      <c r="O139" s="195">
        <f t="shared" si="6"/>
        <v>1.9902000000000002</v>
      </c>
      <c r="P139" s="240">
        <f>AVERAGE(Ashed_controlls!$K$12:$K$14)</f>
        <v>2.2816647271287041</v>
      </c>
      <c r="Q139" s="195">
        <f t="shared" si="1"/>
        <v>1.9447903086006848</v>
      </c>
      <c r="R139" s="16">
        <f>IF('Dry_Litterbag Placem_Collection'!G66="N.A","",'Dry_Litterbag Placem_Collection'!G66)</f>
        <v>43005</v>
      </c>
      <c r="S139" s="195">
        <f>IF(IFERROR(INDEX('Both teabags AfterDry'!$D$1:$D$839,MATCH(H139,'Both teabags AfterDry'!$A$1:$A$839,0)),"")="N.A","",(IFERROR(INDEX('Both teabags AfterDry'!$D$1:$D$839,MATCH(H139,'Both teabags AfterDry'!$A$1:$A$839,0)),"")))</f>
        <v>1.6924999999999999</v>
      </c>
      <c r="T139" s="195">
        <f>IF(IFERROR(INDEX('Both teabags AfterDry'!$D$1:$D$839,MATCH(I139,'Both teabags AfterDry'!$A$1:$A$839,0)),"")="N.A","",(IFERROR(INDEX('Both teabags AfterDry'!$D$1:$D$839,MATCH(I139,'Both teabags AfterDry'!$A$1:$A$839,0)),"")))</f>
        <v>1.9783999999999999</v>
      </c>
      <c r="U139" s="195">
        <f t="shared" si="7"/>
        <v>1.5418999999999998</v>
      </c>
      <c r="V139" s="195">
        <f t="shared" si="7"/>
        <v>1.8277999999999999</v>
      </c>
      <c r="W139" s="195">
        <f>IFERROR(INDEX('Ashed teabags dry'!$K$2:$K$821,MATCH(H139,'Ashed teabags dry'!$A$2:$A$821,0)),"")</f>
        <v>6.3334982681843854</v>
      </c>
      <c r="X139" s="195">
        <f>IFERROR(INDEX('Ashed teabags dry'!$K$2:$K$821,MATCH(I139,'Ashed teabags dry'!$A$2:$A$821,0)),"")</f>
        <v>2.2874191944304623</v>
      </c>
      <c r="Y139" s="195">
        <f t="shared" si="2"/>
        <v>1.4442437902028649</v>
      </c>
      <c r="Z139" s="195">
        <f t="shared" si="2"/>
        <v>1.7859905519641999</v>
      </c>
      <c r="AA139" s="195">
        <f t="shared" si="8"/>
        <v>6.9212555003675402E-2</v>
      </c>
      <c r="AB139" s="195">
        <f t="shared" si="9"/>
        <v>4.5374501617611467E-2</v>
      </c>
      <c r="AC139" s="195">
        <f t="shared" si="3"/>
        <v>0.91834607775748101</v>
      </c>
      <c r="AD139">
        <f t="shared" si="4"/>
        <v>67</v>
      </c>
      <c r="AE139" s="195">
        <f t="shared" si="10"/>
        <v>0.91779981591012416</v>
      </c>
      <c r="AF139" s="195" t="str">
        <f t="shared" si="11"/>
        <v/>
      </c>
      <c r="AG139" s="255" t="str">
        <f>IF(ISNUMBER(SEARCH("C", 'Dry_Litterbag Placem_Collection'!AB66)),"YES","NO")</f>
        <v>NO</v>
      </c>
      <c r="AH139" s="255" t="str">
        <f>IF(ISNUMBER(SEARCH("H", 'Dry_Litterbag Placem_Collection'!AB66)),"YES","NO")</f>
        <v>NO</v>
      </c>
      <c r="AI139" s="255" t="str">
        <f>IF(ISNUMBER(SEARCH("R", 'Dry_Litterbag Placem_Collection'!AB66)),"YES","NO")</f>
        <v>NO</v>
      </c>
      <c r="AJ139" s="255" t="str">
        <f>IF(ISNUMBER(SEARCH("C", 'Dry_Litterbag Placem_Collection'!AA66)),"YES","NO")</f>
        <v>NO</v>
      </c>
      <c r="AK139" s="255" t="str">
        <f>IF(ISNUMBER(SEARCH("H", 'Dry_Litterbag Placem_Collection'!AA66)),"YES","NO")</f>
        <v>NO</v>
      </c>
      <c r="AL139" s="255" t="str">
        <f>IF(ISNUMBER(SEARCH("R", 'Dry_Litterbag Placem_Collection'!AA66)),"YES","NO")</f>
        <v>NO</v>
      </c>
      <c r="AR139" t="s">
        <v>1703</v>
      </c>
      <c r="AT139" t="s">
        <v>374</v>
      </c>
    </row>
    <row r="140" spans="2:46">
      <c r="B140" t="str">
        <f>'Final data_for_R_analysis_Dryse'!A66</f>
        <v>Dry</v>
      </c>
      <c r="C140" s="263">
        <f>'Final data_for_R_analysis_Dryse'!B66</f>
        <v>65</v>
      </c>
      <c r="D140" t="s">
        <v>3836</v>
      </c>
      <c r="E140" t="s">
        <v>22</v>
      </c>
      <c r="F140" s="386">
        <v>1</v>
      </c>
      <c r="G140" s="16">
        <f>'Dry_Litterbag Placem_Collection'!E67</f>
        <v>42937</v>
      </c>
      <c r="H140" t="str">
        <f>'Final data_for_R_analysis_Dryse'!J66</f>
        <v>G495</v>
      </c>
      <c r="I140" t="str">
        <f>'Final data_for_R_analysis_Dryse'!J286</f>
        <v>R731</v>
      </c>
      <c r="J140">
        <f>IFERROR(INDEX('Green_rooibos initial weight'!$C$5:$C$1749,MATCH(H140, 'Green_rooibos initial weight'!$A$5:$A$1749,0)),"")</f>
        <v>2.0390000000000001</v>
      </c>
      <c r="K140">
        <f>IFERROR(INDEX('Green_rooibos initial weight'!$C$5:$C$1749,MATCH(I140, 'Green_rooibos initial weight'!$A$5:$A$1749,0)),"")</f>
        <v>2.2480000000000002</v>
      </c>
      <c r="L140" s="195">
        <f t="shared" si="5"/>
        <v>1.7892000000000001</v>
      </c>
      <c r="M140" s="240">
        <f>AVERAGE(Ashed_controlls!$K$1:$K$11)</f>
        <v>5.5147656768714146</v>
      </c>
      <c r="N140" s="195">
        <f t="shared" ref="N140:N203" si="12">IFERROR(L140-(M140/100)*L140,"")</f>
        <v>1.6905298125094168</v>
      </c>
      <c r="O140" s="195">
        <f t="shared" si="6"/>
        <v>1.9982000000000002</v>
      </c>
      <c r="P140" s="240">
        <f>AVERAGE(Ashed_controlls!$K$12:$K$14)</f>
        <v>2.2816647271287041</v>
      </c>
      <c r="Q140" s="195">
        <f t="shared" ref="Q140:Q203" si="13">IFERROR(O140-(P140/100)*O140,"")</f>
        <v>1.9526077754225144</v>
      </c>
      <c r="R140" s="16">
        <f>IF('Dry_Litterbag Placem_Collection'!G67="N.A","",'Dry_Litterbag Placem_Collection'!G67)</f>
        <v>43005</v>
      </c>
      <c r="S140" s="195" t="str">
        <f>IF(IFERROR(INDEX('Both teabags AfterDry'!$D$1:$D$839,MATCH(H140,'Both teabags AfterDry'!$A$1:$A$839,0)),"")="N.A","",(IFERROR(INDEX('Both teabags AfterDry'!$D$1:$D$839,MATCH(H140,'Both teabags AfterDry'!$A$1:$A$839,0)),"")))</f>
        <v/>
      </c>
      <c r="T140" s="195" t="str">
        <f>IF(IFERROR(INDEX('Both teabags AfterDry'!$D$1:$D$839,MATCH(I140,'Both teabags AfterDry'!$A$1:$A$839,0)),"")="N.A","",(IFERROR(INDEX('Both teabags AfterDry'!$D$1:$D$839,MATCH(I140,'Both teabags AfterDry'!$A$1:$A$839,0)),"")))</f>
        <v/>
      </c>
      <c r="U140" s="195" t="str">
        <f t="shared" si="7"/>
        <v/>
      </c>
      <c r="V140" s="195" t="str">
        <f t="shared" si="7"/>
        <v/>
      </c>
      <c r="W140" s="195" t="str">
        <f>IFERROR(INDEX('Ashed teabags dry'!$K$2:$K$821,MATCH(H140,'Ashed teabags dry'!$A$2:$A$821,0)),"")</f>
        <v/>
      </c>
      <c r="X140" s="195" t="str">
        <f>IFERROR(INDEX('Ashed teabags dry'!$K$2:$K$821,MATCH(I140,'Ashed teabags dry'!$A$2:$A$821,0)),"")</f>
        <v/>
      </c>
      <c r="Y140" s="195" t="str">
        <f t="shared" ref="Y140:Z203" si="14">IFERROR(U140-(W140/100)*U140,"")</f>
        <v/>
      </c>
      <c r="Z140" s="195" t="str">
        <f t="shared" si="14"/>
        <v/>
      </c>
      <c r="AA140" s="195" t="str">
        <f t="shared" si="8"/>
        <v/>
      </c>
      <c r="AB140" s="195" t="str">
        <f t="shared" si="9"/>
        <v/>
      </c>
      <c r="AC140" s="195" t="str">
        <f t="shared" ref="AC140:AC203" si="15">IFERROR(Z140/Q140,"")</f>
        <v/>
      </c>
      <c r="AD140">
        <f t="shared" ref="AD140:AD203" si="16">IF((R140-G140)&gt;0,(IFERROR(R140-G140,"")),"")</f>
        <v>68</v>
      </c>
      <c r="AE140" s="195" t="str">
        <f t="shared" si="10"/>
        <v/>
      </c>
      <c r="AF140" s="195" t="str">
        <f t="shared" si="11"/>
        <v/>
      </c>
      <c r="AG140" s="255" t="str">
        <f>IF(ISNUMBER(SEARCH("C", 'Dry_Litterbag Placem_Collection'!AB67)),"YES","NO")</f>
        <v>NO</v>
      </c>
      <c r="AH140" s="255" t="str">
        <f>IF(ISNUMBER(SEARCH("H", 'Dry_Litterbag Placem_Collection'!AB67)),"YES","NO")</f>
        <v>NO</v>
      </c>
      <c r="AI140" s="255" t="str">
        <f>IF(ISNUMBER(SEARCH("R", 'Dry_Litterbag Placem_Collection'!AB67)),"YES","NO")</f>
        <v>NO</v>
      </c>
      <c r="AJ140" s="255" t="str">
        <f>IF(ISNUMBER(SEARCH("C", 'Dry_Litterbag Placem_Collection'!AA67)),"YES","NO")</f>
        <v>NO</v>
      </c>
      <c r="AK140" s="255" t="str">
        <f>IF(ISNUMBER(SEARCH("H", 'Dry_Litterbag Placem_Collection'!AA67)),"YES","NO")</f>
        <v>NO</v>
      </c>
      <c r="AL140" s="255" t="str">
        <f>IF(ISNUMBER(SEARCH("R", 'Dry_Litterbag Placem_Collection'!AA67)),"YES","NO")</f>
        <v>NO</v>
      </c>
      <c r="AR140" t="s">
        <v>1555</v>
      </c>
      <c r="AT140" t="s">
        <v>408</v>
      </c>
    </row>
    <row r="141" spans="2:46">
      <c r="B141" t="str">
        <f>'Final data_for_R_analysis_Dryse'!A67</f>
        <v>Dry</v>
      </c>
      <c r="C141" s="263">
        <f>'Final data_for_R_analysis_Dryse'!B67</f>
        <v>66</v>
      </c>
      <c r="D141" t="s">
        <v>3836</v>
      </c>
      <c r="E141" t="s">
        <v>22</v>
      </c>
      <c r="F141" s="386">
        <v>2</v>
      </c>
      <c r="G141" s="16">
        <f>'Dry_Litterbag Placem_Collection'!E68</f>
        <v>42937</v>
      </c>
      <c r="H141" t="str">
        <f>'Final data_for_R_analysis_Dryse'!J67</f>
        <v>G247</v>
      </c>
      <c r="I141" t="str">
        <f>'Final data_for_R_analysis_Dryse'!J287</f>
        <v>R816</v>
      </c>
      <c r="J141">
        <f>IFERROR(INDEX('Green_rooibos initial weight'!$C$5:$C$1749,MATCH(H141, 'Green_rooibos initial weight'!$A$5:$A$1749,0)),"")</f>
        <v>2.13</v>
      </c>
      <c r="K141">
        <f>IFERROR(INDEX('Green_rooibos initial weight'!$C$5:$C$1749,MATCH(I141, 'Green_rooibos initial weight'!$A$5:$A$1749,0)),"")</f>
        <v>2.194</v>
      </c>
      <c r="L141" s="195">
        <f t="shared" ref="L141:L204" si="17">IFERROR(IF(J141&gt;0,(J141*$F$31-($F$29+$F$30)),""),"")</f>
        <v>1.8801999999999999</v>
      </c>
      <c r="M141" s="240">
        <f>AVERAGE(Ashed_controlls!$K$1:$K$11)</f>
        <v>5.5147656768714146</v>
      </c>
      <c r="N141" s="195">
        <f t="shared" si="12"/>
        <v>1.7765113757434636</v>
      </c>
      <c r="O141" s="195">
        <f t="shared" ref="O141:O204" si="18">IFERROR(IF(K141&gt;0,(K141*$F$32-($F$29+$F$30)),""),"")</f>
        <v>1.9441999999999999</v>
      </c>
      <c r="P141" s="240">
        <f>AVERAGE(Ashed_controlls!$K$12:$K$14)</f>
        <v>2.2816647271287041</v>
      </c>
      <c r="Q141" s="195">
        <f t="shared" si="13"/>
        <v>1.8998398743751637</v>
      </c>
      <c r="R141" s="16">
        <f>IF('Dry_Litterbag Placem_Collection'!G68="N.A","",'Dry_Litterbag Placem_Collection'!G68)</f>
        <v>43005</v>
      </c>
      <c r="S141" s="195">
        <f>IF(IFERROR(INDEX('Both teabags AfterDry'!$D$1:$D$839,MATCH(H141,'Both teabags AfterDry'!$A$1:$A$839,0)),"")="N.A","",(IFERROR(INDEX('Both teabags AfterDry'!$D$1:$D$839,MATCH(H141,'Both teabags AfterDry'!$A$1:$A$839,0)),"")))</f>
        <v>1.9853000000000001</v>
      </c>
      <c r="T141" s="195" t="str">
        <f>IF(IFERROR(INDEX('Both teabags AfterDry'!$D$1:$D$839,MATCH(I141,'Both teabags AfterDry'!$A$1:$A$839,0)),"")="N.A","",(IFERROR(INDEX('Both teabags AfterDry'!$D$1:$D$839,MATCH(I141,'Both teabags AfterDry'!$A$1:$A$839,0)),"")))</f>
        <v/>
      </c>
      <c r="U141" s="195">
        <f t="shared" ref="U141:V204" si="19">IFERROR(IF(S141&gt;0,S141-($F$29),""),"")</f>
        <v>1.8347</v>
      </c>
      <c r="V141" s="195" t="str">
        <f t="shared" si="19"/>
        <v/>
      </c>
      <c r="W141" s="195">
        <f>IFERROR(INDEX('Ashed teabags dry'!$K$2:$K$821,MATCH(H141,'Ashed teabags dry'!$A$2:$A$821,0)),"")</f>
        <v>6.078147612156255</v>
      </c>
      <c r="X141" s="195">
        <f>IFERROR(INDEX('Ashed teabags dry'!$K$2:$K$821,MATCH(I141,'Ashed teabags dry'!$A$2:$A$821,0)),"")</f>
        <v>3.3524481693872197</v>
      </c>
      <c r="Y141" s="195">
        <f t="shared" si="14"/>
        <v>1.7231842257597692</v>
      </c>
      <c r="Z141" s="195" t="str">
        <f t="shared" si="14"/>
        <v/>
      </c>
      <c r="AA141" s="195">
        <f t="shared" ref="AA141:AA204" si="20">IFERROR(1-Y141/N141,"")</f>
        <v>3.0017905154914759E-2</v>
      </c>
      <c r="AB141" s="195">
        <f t="shared" ref="AB141:AB204" si="21">IFERROR($F$26*(1-AE141),"")</f>
        <v>1.9679196728637719E-2</v>
      </c>
      <c r="AC141" s="195" t="str">
        <f t="shared" si="15"/>
        <v/>
      </c>
      <c r="AD141">
        <f t="shared" si="16"/>
        <v>68</v>
      </c>
      <c r="AE141" s="195">
        <f t="shared" ref="AE141:AE204" si="22">IFERROR(1-(AA141/$F$25),"")</f>
        <v>0.96434928128869979</v>
      </c>
      <c r="AF141" s="195" t="str">
        <f t="shared" ref="AF141:AF204" si="23">IFERROR(LN(AB141/(AC141-(1-AB141)))/AD141,"")</f>
        <v/>
      </c>
      <c r="AG141" s="255" t="str">
        <f>IF(ISNUMBER(SEARCH("C", 'Dry_Litterbag Placem_Collection'!AB68)),"YES","NO")</f>
        <v>NO</v>
      </c>
      <c r="AH141" s="255" t="str">
        <f>IF(ISNUMBER(SEARCH("H", 'Dry_Litterbag Placem_Collection'!AB68)),"YES","NO")</f>
        <v>NO</v>
      </c>
      <c r="AI141" s="255" t="str">
        <f>IF(ISNUMBER(SEARCH("R", 'Dry_Litterbag Placem_Collection'!AB68)),"YES","NO")</f>
        <v>NO</v>
      </c>
      <c r="AJ141" s="255" t="str">
        <f>IF(ISNUMBER(SEARCH("C", 'Dry_Litterbag Placem_Collection'!AA68)),"YES","NO")</f>
        <v>NO</v>
      </c>
      <c r="AK141" s="255" t="str">
        <f>IF(ISNUMBER(SEARCH("H", 'Dry_Litterbag Placem_Collection'!AA68)),"YES","NO")</f>
        <v>NO</v>
      </c>
      <c r="AL141" s="255" t="str">
        <f>IF(ISNUMBER(SEARCH("R", 'Dry_Litterbag Placem_Collection'!AA68)),"YES","NO")</f>
        <v>NO</v>
      </c>
      <c r="AR141" t="s">
        <v>1803</v>
      </c>
      <c r="AT141" t="s">
        <v>323</v>
      </c>
    </row>
    <row r="142" spans="2:46">
      <c r="B142" t="str">
        <f>'Final data_for_R_analysis_Dryse'!A68</f>
        <v>Dry</v>
      </c>
      <c r="C142" s="263">
        <f>'Final data_for_R_analysis_Dryse'!B68</f>
        <v>67</v>
      </c>
      <c r="D142" t="s">
        <v>3836</v>
      </c>
      <c r="E142" t="s">
        <v>22</v>
      </c>
      <c r="F142" s="386">
        <v>3</v>
      </c>
      <c r="G142" s="390">
        <f>'Dry_Litterbag Placem_Collection'!E69</f>
        <v>0</v>
      </c>
      <c r="H142" t="str">
        <f>'Final data_for_R_analysis_Dryse'!J68</f>
        <v/>
      </c>
      <c r="I142" t="str">
        <f>'Final data_for_R_analysis_Dryse'!J288</f>
        <v/>
      </c>
      <c r="J142" t="str">
        <f>IFERROR(INDEX('Green_rooibos initial weight'!$C$5:$C$1749,MATCH(H142, 'Green_rooibos initial weight'!$A$5:$A$1749,0)),"")</f>
        <v/>
      </c>
      <c r="K142" t="str">
        <f>IFERROR(INDEX('Green_rooibos initial weight'!$C$5:$C$1749,MATCH(I142, 'Green_rooibos initial weight'!$A$5:$A$1749,0)),"")</f>
        <v/>
      </c>
      <c r="L142" s="195" t="str">
        <f t="shared" si="17"/>
        <v/>
      </c>
      <c r="M142" s="240">
        <f>AVERAGE(Ashed_controlls!$K$1:$K$11)</f>
        <v>5.5147656768714146</v>
      </c>
      <c r="N142" s="195" t="str">
        <f t="shared" si="12"/>
        <v/>
      </c>
      <c r="O142" s="195" t="str">
        <f t="shared" si="18"/>
        <v/>
      </c>
      <c r="P142" s="240">
        <f>AVERAGE(Ashed_controlls!$K$12:$K$14)</f>
        <v>2.2816647271287041</v>
      </c>
      <c r="Q142" s="195" t="str">
        <f t="shared" si="13"/>
        <v/>
      </c>
      <c r="R142" s="16">
        <f>IF('Dry_Litterbag Placem_Collection'!G69="N.A","",'Dry_Litterbag Placem_Collection'!G69)</f>
        <v>0</v>
      </c>
      <c r="S142" s="195" t="str">
        <f>IF(IFERROR(INDEX('Both teabags AfterDry'!$D$1:$D$839,MATCH(H142,'Both teabags AfterDry'!$A$1:$A$839,0)),"")="N.A","",(IFERROR(INDEX('Both teabags AfterDry'!$D$1:$D$839,MATCH(H142,'Both teabags AfterDry'!$A$1:$A$839,0)),"")))</f>
        <v/>
      </c>
      <c r="T142" s="195" t="str">
        <f>IF(IFERROR(INDEX('Both teabags AfterDry'!$D$1:$D$839,MATCH(I142,'Both teabags AfterDry'!$A$1:$A$839,0)),"")="N.A","",(IFERROR(INDEX('Both teabags AfterDry'!$D$1:$D$839,MATCH(I142,'Both teabags AfterDry'!$A$1:$A$839,0)),"")))</f>
        <v/>
      </c>
      <c r="U142" s="195" t="str">
        <f t="shared" si="19"/>
        <v/>
      </c>
      <c r="V142" s="195" t="str">
        <f t="shared" si="19"/>
        <v/>
      </c>
      <c r="W142" s="195" t="str">
        <f>IFERROR(INDEX('Ashed teabags dry'!$K$2:$K$821,MATCH(H142,'Ashed teabags dry'!$A$2:$A$821,0)),"")</f>
        <v/>
      </c>
      <c r="X142" s="195" t="str">
        <f>IFERROR(INDEX('Ashed teabags dry'!$K$2:$K$821,MATCH(I142,'Ashed teabags dry'!$A$2:$A$821,0)),"")</f>
        <v/>
      </c>
      <c r="Y142" s="195" t="str">
        <f t="shared" si="14"/>
        <v/>
      </c>
      <c r="Z142" s="195" t="str">
        <f t="shared" si="14"/>
        <v/>
      </c>
      <c r="AA142" s="195" t="str">
        <f t="shared" si="20"/>
        <v/>
      </c>
      <c r="AB142" s="195" t="str">
        <f t="shared" si="21"/>
        <v/>
      </c>
      <c r="AC142" s="195" t="str">
        <f t="shared" si="15"/>
        <v/>
      </c>
      <c r="AD142" t="str">
        <f t="shared" si="16"/>
        <v/>
      </c>
      <c r="AE142" s="195" t="str">
        <f t="shared" si="22"/>
        <v/>
      </c>
      <c r="AF142" s="195" t="str">
        <f t="shared" si="23"/>
        <v/>
      </c>
      <c r="AG142" s="255" t="str">
        <f>IF(ISNUMBER(SEARCH("C", 'Dry_Litterbag Placem_Collection'!AB69)),"YES","NO")</f>
        <v>NO</v>
      </c>
      <c r="AH142" s="255" t="str">
        <f>IF(ISNUMBER(SEARCH("H", 'Dry_Litterbag Placem_Collection'!AB69)),"YES","NO")</f>
        <v>NO</v>
      </c>
      <c r="AI142" s="255" t="str">
        <f>IF(ISNUMBER(SEARCH("R", 'Dry_Litterbag Placem_Collection'!AB69)),"YES","NO")</f>
        <v>NO</v>
      </c>
      <c r="AJ142" s="255" t="str">
        <f>IF(ISNUMBER(SEARCH("C", 'Dry_Litterbag Placem_Collection'!AA69)),"YES","NO")</f>
        <v>NO</v>
      </c>
      <c r="AK142" s="255" t="str">
        <f>IF(ISNUMBER(SEARCH("H", 'Dry_Litterbag Placem_Collection'!AA69)),"YES","NO")</f>
        <v>NO</v>
      </c>
      <c r="AL142" s="255" t="str">
        <f>IF(ISNUMBER(SEARCH("R", 'Dry_Litterbag Placem_Collection'!AA69)),"YES","NO")</f>
        <v>NO</v>
      </c>
      <c r="AR142" t="s">
        <v>3654</v>
      </c>
      <c r="AT142" t="s">
        <v>3654</v>
      </c>
    </row>
    <row r="143" spans="2:46">
      <c r="B143" t="str">
        <f>'Final data_for_R_analysis_Dryse'!A69</f>
        <v>Dry</v>
      </c>
      <c r="C143" s="263">
        <f>'Final data_for_R_analysis_Dryse'!B69</f>
        <v>68</v>
      </c>
      <c r="D143" t="s">
        <v>3836</v>
      </c>
      <c r="E143" t="s">
        <v>22</v>
      </c>
      <c r="F143" s="387">
        <v>4</v>
      </c>
      <c r="G143" s="16">
        <f>'Dry_Litterbag Placem_Collection'!E70</f>
        <v>42937</v>
      </c>
      <c r="H143" t="str">
        <f>'Final data_for_R_analysis_Dryse'!J69</f>
        <v>G63</v>
      </c>
      <c r="I143" t="str">
        <f>'Final data_for_R_analysis_Dryse'!J289</f>
        <v>R815</v>
      </c>
      <c r="J143">
        <f>IFERROR(INDEX('Green_rooibos initial weight'!$C$5:$C$1749,MATCH(H143, 'Green_rooibos initial weight'!$A$5:$A$1749,0)),"")</f>
        <v>2</v>
      </c>
      <c r="K143">
        <f>IFERROR(INDEX('Green_rooibos initial weight'!$C$5:$C$1749,MATCH(I143, 'Green_rooibos initial weight'!$A$5:$A$1749,0)),"")</f>
        <v>2.2130000000000001</v>
      </c>
      <c r="L143" s="195">
        <f t="shared" si="17"/>
        <v>1.7502</v>
      </c>
      <c r="M143" s="240">
        <f>AVERAGE(Ashed_controlls!$K$1:$K$11)</f>
        <v>5.5147656768714146</v>
      </c>
      <c r="N143" s="195">
        <f t="shared" si="12"/>
        <v>1.6536805711233964</v>
      </c>
      <c r="O143" s="195">
        <f t="shared" si="18"/>
        <v>1.9632000000000001</v>
      </c>
      <c r="P143" s="240">
        <f>AVERAGE(Ashed_controlls!$K$12:$K$14)</f>
        <v>2.2816647271287041</v>
      </c>
      <c r="Q143" s="195">
        <f t="shared" si="13"/>
        <v>1.9184063580770094</v>
      </c>
      <c r="R143" s="16">
        <f>IF('Dry_Litterbag Placem_Collection'!G70="N.A","",'Dry_Litterbag Placem_Collection'!G70)</f>
        <v>43005</v>
      </c>
      <c r="S143" s="195">
        <f>IF(IFERROR(INDEX('Both teabags AfterDry'!$D$1:$D$839,MATCH(H143,'Both teabags AfterDry'!$A$1:$A$839,0)),"")="N.A","",(IFERROR(INDEX('Both teabags AfterDry'!$D$1:$D$839,MATCH(H143,'Both teabags AfterDry'!$A$1:$A$839,0)),"")))</f>
        <v>1.8152999999999999</v>
      </c>
      <c r="T143" s="195">
        <f>IF(IFERROR(INDEX('Both teabags AfterDry'!$D$1:$D$839,MATCH(I143,'Both teabags AfterDry'!$A$1:$A$839,0)),"")="N.A","",(IFERROR(INDEX('Both teabags AfterDry'!$D$1:$D$839,MATCH(I143,'Both teabags AfterDry'!$A$1:$A$839,0)),"")))</f>
        <v>1.9467000000000001</v>
      </c>
      <c r="U143" s="195">
        <f t="shared" si="19"/>
        <v>1.6646999999999998</v>
      </c>
      <c r="V143" s="195">
        <f t="shared" si="19"/>
        <v>1.7961</v>
      </c>
      <c r="W143" s="195">
        <f>IFERROR(INDEX('Ashed teabags dry'!$K$2:$K$821,MATCH(H143,'Ashed teabags dry'!$A$2:$A$821,0)),"")</f>
        <v>5.6851311953349883</v>
      </c>
      <c r="X143" s="195">
        <f>IFERROR(INDEX('Ashed teabags dry'!$K$2:$K$821,MATCH(I143,'Ashed teabags dry'!$A$2:$A$821,0)),"")</f>
        <v>2.8207461328482384</v>
      </c>
      <c r="Y143" s="195">
        <f t="shared" si="14"/>
        <v>1.5700596209912583</v>
      </c>
      <c r="Z143" s="195">
        <f t="shared" si="14"/>
        <v>1.7454365787079129</v>
      </c>
      <c r="AA143" s="195">
        <f t="shared" si="20"/>
        <v>5.0566567444964128E-2</v>
      </c>
      <c r="AB143" s="195">
        <f t="shared" si="21"/>
        <v>3.3150528776271053E-2</v>
      </c>
      <c r="AC143" s="195">
        <f t="shared" si="15"/>
        <v>0.909836735767244</v>
      </c>
      <c r="AD143">
        <f t="shared" si="16"/>
        <v>68</v>
      </c>
      <c r="AE143" s="195">
        <f t="shared" si="22"/>
        <v>0.93994469424588578</v>
      </c>
      <c r="AF143" s="195" t="str">
        <f t="shared" si="23"/>
        <v/>
      </c>
      <c r="AG143" s="255" t="str">
        <f>IF(ISNUMBER(SEARCH("C", 'Dry_Litterbag Placem_Collection'!AB70)),"YES","NO")</f>
        <v>NO</v>
      </c>
      <c r="AH143" s="255" t="str">
        <f>IF(ISNUMBER(SEARCH("H", 'Dry_Litterbag Placem_Collection'!AB70)),"YES","NO")</f>
        <v>NO</v>
      </c>
      <c r="AI143" s="255" t="str">
        <f>IF(ISNUMBER(SEARCH("R", 'Dry_Litterbag Placem_Collection'!AB70)),"YES","NO")</f>
        <v>NO</v>
      </c>
      <c r="AJ143" s="255" t="str">
        <f>IF(ISNUMBER(SEARCH("C", 'Dry_Litterbag Placem_Collection'!AA70)),"YES","NO")</f>
        <v>NO</v>
      </c>
      <c r="AK143" s="255" t="str">
        <f>IF(ISNUMBER(SEARCH("H", 'Dry_Litterbag Placem_Collection'!AA70)),"YES","NO")</f>
        <v>NO</v>
      </c>
      <c r="AL143" s="255" t="str">
        <f>IF(ISNUMBER(SEARCH("R", 'Dry_Litterbag Placem_Collection'!AA70)),"YES","NO")</f>
        <v>NO</v>
      </c>
      <c r="AR143" t="s">
        <v>1987</v>
      </c>
      <c r="AT143" t="s">
        <v>324</v>
      </c>
    </row>
    <row r="144" spans="2:46">
      <c r="B144" t="str">
        <f>'Final data_for_R_analysis_Dryse'!A70</f>
        <v>Dry</v>
      </c>
      <c r="C144" s="263">
        <f>'Final data_for_R_analysis_Dryse'!B70</f>
        <v>69</v>
      </c>
      <c r="D144" t="s">
        <v>3836</v>
      </c>
      <c r="E144" t="s">
        <v>22</v>
      </c>
      <c r="F144" s="387">
        <v>5</v>
      </c>
      <c r="G144" s="16">
        <f>'Dry_Litterbag Placem_Collection'!E71</f>
        <v>42937</v>
      </c>
      <c r="H144" t="str">
        <f>'Final data_for_R_analysis_Dryse'!J70</f>
        <v>G382</v>
      </c>
      <c r="I144" t="str">
        <f>'Final data_for_R_analysis_Dryse'!J290</f>
        <v>R741</v>
      </c>
      <c r="J144">
        <f>IFERROR(INDEX('Green_rooibos initial weight'!$C$5:$C$1749,MATCH(H144, 'Green_rooibos initial weight'!$A$5:$A$1749,0)),"")</f>
        <v>2.0960000000000001</v>
      </c>
      <c r="K144">
        <f>IFERROR(INDEX('Green_rooibos initial weight'!$C$5:$C$1749,MATCH(I144, 'Green_rooibos initial weight'!$A$5:$A$1749,0)),"")</f>
        <v>2.262</v>
      </c>
      <c r="L144" s="195">
        <f t="shared" si="17"/>
        <v>1.8462000000000001</v>
      </c>
      <c r="M144" s="240">
        <f>AVERAGE(Ashed_controlls!$K$1:$K$11)</f>
        <v>5.5147656768714146</v>
      </c>
      <c r="N144" s="195">
        <f t="shared" si="12"/>
        <v>1.7443863960735999</v>
      </c>
      <c r="O144" s="195">
        <f t="shared" si="18"/>
        <v>2.0122</v>
      </c>
      <c r="P144" s="240">
        <f>AVERAGE(Ashed_controlls!$K$12:$K$14)</f>
        <v>2.2816647271287041</v>
      </c>
      <c r="Q144" s="195">
        <f t="shared" si="13"/>
        <v>1.9662883423607163</v>
      </c>
      <c r="R144" s="16">
        <f>IF('Dry_Litterbag Placem_Collection'!G71="N.A","",'Dry_Litterbag Placem_Collection'!G71)</f>
        <v>43006</v>
      </c>
      <c r="S144" s="195">
        <f>IF(IFERROR(INDEX('Both teabags AfterDry'!$D$1:$D$839,MATCH(H144,'Both teabags AfterDry'!$A$1:$A$839,0)),"")="N.A","",(IFERROR(INDEX('Both teabags AfterDry'!$D$1:$D$839,MATCH(H144,'Both teabags AfterDry'!$A$1:$A$839,0)),"")))</f>
        <v>1.8677999999999999</v>
      </c>
      <c r="T144" s="195">
        <f>IF(IFERROR(INDEX('Both teabags AfterDry'!$D$1:$D$839,MATCH(I144,'Both teabags AfterDry'!$A$1:$A$839,0)),"")="N.A","",(IFERROR(INDEX('Both teabags AfterDry'!$D$1:$D$839,MATCH(I144,'Both teabags AfterDry'!$A$1:$A$839,0)),"")))</f>
        <v>1.9702999999999999</v>
      </c>
      <c r="U144" s="195">
        <f t="shared" si="19"/>
        <v>1.7171999999999998</v>
      </c>
      <c r="V144" s="195">
        <f t="shared" si="19"/>
        <v>1.8196999999999999</v>
      </c>
      <c r="W144" s="195">
        <f>IFERROR(INDEX('Ashed teabags dry'!$K$2:$K$821,MATCH(H144,'Ashed teabags dry'!$A$2:$A$821,0)),"")</f>
        <v>5.5063913470994565</v>
      </c>
      <c r="X144" s="195">
        <f>IFERROR(INDEX('Ashed teabags dry'!$K$2:$K$821,MATCH(I144,'Ashed teabags dry'!$A$2:$A$821,0)),"")</f>
        <v>3.5535535535533986</v>
      </c>
      <c r="Y144" s="195">
        <f t="shared" si="14"/>
        <v>1.622644247787608</v>
      </c>
      <c r="Z144" s="195">
        <f t="shared" si="14"/>
        <v>1.7550359859859888</v>
      </c>
      <c r="AA144" s="195">
        <f t="shared" si="20"/>
        <v>6.9790815016683605E-2</v>
      </c>
      <c r="AB144" s="195">
        <f t="shared" si="21"/>
        <v>4.5753598443241492E-2</v>
      </c>
      <c r="AC144" s="195">
        <f t="shared" si="15"/>
        <v>0.89256288011091045</v>
      </c>
      <c r="AD144">
        <f t="shared" si="16"/>
        <v>69</v>
      </c>
      <c r="AE144" s="195">
        <f t="shared" si="22"/>
        <v>0.91711304629847556</v>
      </c>
      <c r="AF144" s="195" t="str">
        <f t="shared" si="23"/>
        <v/>
      </c>
      <c r="AG144" s="255" t="str">
        <f>IF(ISNUMBER(SEARCH("C", 'Dry_Litterbag Placem_Collection'!AB71)),"YES","NO")</f>
        <v>NO</v>
      </c>
      <c r="AH144" s="255" t="str">
        <f>IF(ISNUMBER(SEARCH("H", 'Dry_Litterbag Placem_Collection'!AB71)),"YES","NO")</f>
        <v>NO</v>
      </c>
      <c r="AI144" s="255" t="str">
        <f>IF(ISNUMBER(SEARCH("R", 'Dry_Litterbag Placem_Collection'!AB71)),"YES","NO")</f>
        <v>NO</v>
      </c>
      <c r="AJ144" s="255" t="str">
        <f>IF(ISNUMBER(SEARCH("C", 'Dry_Litterbag Placem_Collection'!AA71)),"YES","NO")</f>
        <v>NO</v>
      </c>
      <c r="AK144" s="255" t="str">
        <f>IF(ISNUMBER(SEARCH("H", 'Dry_Litterbag Placem_Collection'!AA71)),"YES","NO")</f>
        <v>NO</v>
      </c>
      <c r="AL144" s="255" t="str">
        <f>IF(ISNUMBER(SEARCH("R", 'Dry_Litterbag Placem_Collection'!AA71)),"YES","NO")</f>
        <v>NO</v>
      </c>
      <c r="AR144" t="s">
        <v>1668</v>
      </c>
      <c r="AT144" t="s">
        <v>398</v>
      </c>
    </row>
    <row r="145" spans="2:46">
      <c r="B145" t="str">
        <f>'Final data_for_R_analysis_Dryse'!A71</f>
        <v>Dry</v>
      </c>
      <c r="C145" s="263">
        <f>'Final data_for_R_analysis_Dryse'!B71</f>
        <v>70</v>
      </c>
      <c r="D145" t="s">
        <v>3836</v>
      </c>
      <c r="E145" t="s">
        <v>22</v>
      </c>
      <c r="F145" s="387">
        <v>6</v>
      </c>
      <c r="G145" s="16">
        <f>'Dry_Litterbag Placem_Collection'!E72</f>
        <v>42937</v>
      </c>
      <c r="H145" t="str">
        <f>'Final data_for_R_analysis_Dryse'!J71</f>
        <v>G278</v>
      </c>
      <c r="I145" t="str">
        <f>'Final data_for_R_analysis_Dryse'!J291</f>
        <v>R294</v>
      </c>
      <c r="J145">
        <f>IFERROR(INDEX('Green_rooibos initial weight'!$C$5:$C$1749,MATCH(H145, 'Green_rooibos initial weight'!$A$5:$A$1749,0)),"")</f>
        <v>2.0049999999999999</v>
      </c>
      <c r="K145">
        <f>IFERROR(INDEX('Green_rooibos initial weight'!$C$5:$C$1749,MATCH(I145, 'Green_rooibos initial weight'!$A$5:$A$1749,0)),"")</f>
        <v>2.226</v>
      </c>
      <c r="L145" s="195">
        <f t="shared" si="17"/>
        <v>1.7551999999999999</v>
      </c>
      <c r="M145" s="240">
        <f>AVERAGE(Ashed_controlls!$K$1:$K$11)</f>
        <v>5.5147656768714146</v>
      </c>
      <c r="N145" s="195">
        <f t="shared" si="12"/>
        <v>1.6584048328395529</v>
      </c>
      <c r="O145" s="195">
        <f t="shared" si="18"/>
        <v>1.9762</v>
      </c>
      <c r="P145" s="240">
        <f>AVERAGE(Ashed_controlls!$K$12:$K$14)</f>
        <v>2.2816647271287041</v>
      </c>
      <c r="Q145" s="195">
        <f t="shared" si="13"/>
        <v>1.9311097416624825</v>
      </c>
      <c r="R145" s="16">
        <f>IF('Dry_Litterbag Placem_Collection'!G72="N.A","",'Dry_Litterbag Placem_Collection'!G72)</f>
        <v>43006</v>
      </c>
      <c r="S145" s="195">
        <f>IF(IFERROR(INDEX('Both teabags AfterDry'!$D$1:$D$839,MATCH(H145,'Both teabags AfterDry'!$A$1:$A$839,0)),"")="N.A","",(IFERROR(INDEX('Both teabags AfterDry'!$D$1:$D$839,MATCH(H145,'Both teabags AfterDry'!$A$1:$A$839,0)),"")))</f>
        <v>1.8243</v>
      </c>
      <c r="T145" s="195">
        <f>IF(IFERROR(INDEX('Both teabags AfterDry'!$D$1:$D$839,MATCH(I145,'Both teabags AfterDry'!$A$1:$A$839,0)),"")="N.A","",(IFERROR(INDEX('Both teabags AfterDry'!$D$1:$D$839,MATCH(I145,'Both teabags AfterDry'!$A$1:$A$839,0)),"")))</f>
        <v>0.51</v>
      </c>
      <c r="U145" s="195">
        <f t="shared" si="19"/>
        <v>1.6737</v>
      </c>
      <c r="V145" s="195">
        <f t="shared" si="19"/>
        <v>0.3594</v>
      </c>
      <c r="W145" s="195">
        <f>IFERROR(INDEX('Ashed teabags dry'!$K$2:$K$821,MATCH(H145,'Ashed teabags dry'!$A$2:$A$821,0)),"")</f>
        <v>5.9292476332832429</v>
      </c>
      <c r="X145" s="195">
        <f>IFERROR(INDEX('Ashed teabags dry'!$K$2:$K$821,MATCH(I145,'Ashed teabags dry'!$A$2:$A$821,0)),"")</f>
        <v>66.450324513230314</v>
      </c>
      <c r="Y145" s="195">
        <f t="shared" si="14"/>
        <v>1.5744621823617384</v>
      </c>
      <c r="Z145" s="195">
        <f t="shared" si="14"/>
        <v>0.12057753369945023</v>
      </c>
      <c r="AA145" s="195">
        <f t="shared" si="20"/>
        <v>5.0616501360579269E-2</v>
      </c>
      <c r="AB145" s="195">
        <f t="shared" si="21"/>
        <v>3.3183264549928482E-2</v>
      </c>
      <c r="AC145" s="195">
        <f t="shared" si="15"/>
        <v>6.2439503617047497E-2</v>
      </c>
      <c r="AD145">
        <f t="shared" si="16"/>
        <v>69</v>
      </c>
      <c r="AE145" s="195">
        <f t="shared" si="22"/>
        <v>0.93988539030810059</v>
      </c>
      <c r="AF145" s="195" t="str">
        <f t="shared" si="23"/>
        <v/>
      </c>
      <c r="AG145" s="255" t="str">
        <f>IF(ISNUMBER(SEARCH("C", 'Dry_Litterbag Placem_Collection'!AB72)),"YES","NO")</f>
        <v>NO</v>
      </c>
      <c r="AH145" s="255" t="str">
        <f>IF(ISNUMBER(SEARCH("H", 'Dry_Litterbag Placem_Collection'!AB72)),"YES","NO")</f>
        <v>NO</v>
      </c>
      <c r="AI145" s="255" t="str">
        <f>IF(ISNUMBER(SEARCH("R", 'Dry_Litterbag Placem_Collection'!AB72)),"YES","NO")</f>
        <v>NO</v>
      </c>
      <c r="AJ145" s="255" t="str">
        <f>IF(ISNUMBER(SEARCH("C", 'Dry_Litterbag Placem_Collection'!AA72)),"YES","NO")</f>
        <v>NO</v>
      </c>
      <c r="AK145" s="255" t="str">
        <f>IF(ISNUMBER(SEARCH("H", 'Dry_Litterbag Placem_Collection'!AA72)),"YES","NO")</f>
        <v>NO</v>
      </c>
      <c r="AL145" s="255" t="str">
        <f>IF(ISNUMBER(SEARCH("R", 'Dry_Litterbag Placem_Collection'!AA72)),"YES","NO")</f>
        <v>NO</v>
      </c>
      <c r="AR145" t="s">
        <v>1772</v>
      </c>
      <c r="AT145" t="s">
        <v>847</v>
      </c>
    </row>
    <row r="146" spans="2:46">
      <c r="B146" t="str">
        <f>'Final data_for_R_analysis_Dryse'!A72</f>
        <v>Dry</v>
      </c>
      <c r="C146" s="263">
        <f>'Final data_for_R_analysis_Dryse'!B72</f>
        <v>71</v>
      </c>
      <c r="D146" t="s">
        <v>3836</v>
      </c>
      <c r="E146" t="s">
        <v>22</v>
      </c>
      <c r="F146" s="387">
        <v>7</v>
      </c>
      <c r="G146" s="16">
        <f>'Dry_Litterbag Placem_Collection'!E73</f>
        <v>42937</v>
      </c>
      <c r="H146" t="str">
        <f>'Final data_for_R_analysis_Dryse'!J72</f>
        <v>G138</v>
      </c>
      <c r="I146" t="str">
        <f>'Final data_for_R_analysis_Dryse'!J292</f>
        <v>R761</v>
      </c>
      <c r="J146">
        <f>IFERROR(INDEX('Green_rooibos initial weight'!$C$5:$C$1749,MATCH(H146, 'Green_rooibos initial weight'!$A$5:$A$1749,0)),"")</f>
        <v>1.956</v>
      </c>
      <c r="K146">
        <f>IFERROR(INDEX('Green_rooibos initial weight'!$C$5:$C$1749,MATCH(I146, 'Green_rooibos initial weight'!$A$5:$A$1749,0)),"")</f>
        <v>2.1509999999999998</v>
      </c>
      <c r="L146" s="195">
        <f t="shared" si="17"/>
        <v>1.7061999999999999</v>
      </c>
      <c r="M146" s="240">
        <f>AVERAGE(Ashed_controlls!$K$1:$K$11)</f>
        <v>5.5147656768714146</v>
      </c>
      <c r="N146" s="195">
        <f t="shared" si="12"/>
        <v>1.6121070680212199</v>
      </c>
      <c r="O146" s="195">
        <f t="shared" si="18"/>
        <v>1.9011999999999998</v>
      </c>
      <c r="P146" s="240">
        <f>AVERAGE(Ashed_controlls!$K$12:$K$14)</f>
        <v>2.2816647271287041</v>
      </c>
      <c r="Q146" s="195">
        <f t="shared" si="13"/>
        <v>1.8578209902078289</v>
      </c>
      <c r="R146" s="16">
        <f>IF('Dry_Litterbag Placem_Collection'!G73="N.A","",'Dry_Litterbag Placem_Collection'!G73)</f>
        <v>43006</v>
      </c>
      <c r="S146" s="195">
        <f>IF(IFERROR(INDEX('Both teabags AfterDry'!$D$1:$D$839,MATCH(H146,'Both teabags AfterDry'!$A$1:$A$839,0)),"")="N.A","",(IFERROR(INDEX('Both teabags AfterDry'!$D$1:$D$839,MATCH(H146,'Both teabags AfterDry'!$A$1:$A$839,0)),"")))</f>
        <v>1.782</v>
      </c>
      <c r="T146" s="195">
        <f>IF(IFERROR(INDEX('Both teabags AfterDry'!$D$1:$D$839,MATCH(I146,'Both teabags AfterDry'!$A$1:$A$839,0)),"")="N.A","",(IFERROR(INDEX('Both teabags AfterDry'!$D$1:$D$839,MATCH(I146,'Both teabags AfterDry'!$A$1:$A$839,0)),"")))</f>
        <v>1.9017999999999999</v>
      </c>
      <c r="U146" s="195">
        <f t="shared" si="19"/>
        <v>1.6314</v>
      </c>
      <c r="V146" s="195">
        <f t="shared" si="19"/>
        <v>1.7511999999999999</v>
      </c>
      <c r="W146" s="195">
        <f>IFERROR(INDEX('Ashed teabags dry'!$K$2:$K$821,MATCH(H146,'Ashed teabags dry'!$A$2:$A$821,0)),"")</f>
        <v>5.177372962607877</v>
      </c>
      <c r="X146" s="195">
        <f>IFERROR(INDEX('Ashed teabags dry'!$K$2:$K$821,MATCH(I146,'Ashed teabags dry'!$A$2:$A$821,0)),"")</f>
        <v>2.5515210991172763</v>
      </c>
      <c r="Y146" s="195">
        <f t="shared" si="14"/>
        <v>1.546936337488015</v>
      </c>
      <c r="Z146" s="195">
        <f t="shared" si="14"/>
        <v>1.7065177625122581</v>
      </c>
      <c r="AA146" s="195">
        <f t="shared" si="20"/>
        <v>4.0425807829996496E-2</v>
      </c>
      <c r="AB146" s="195">
        <f t="shared" si="21"/>
        <v>2.6502429836292241E-2</v>
      </c>
      <c r="AC146" s="195">
        <f t="shared" si="15"/>
        <v>0.91855876939002346</v>
      </c>
      <c r="AD146">
        <f t="shared" si="16"/>
        <v>69</v>
      </c>
      <c r="AE146" s="195">
        <f t="shared" si="22"/>
        <v>0.95198835174584739</v>
      </c>
      <c r="AF146" s="195" t="str">
        <f t="shared" si="23"/>
        <v/>
      </c>
      <c r="AG146" s="255" t="str">
        <f>IF(ISNUMBER(SEARCH("C", 'Dry_Litterbag Placem_Collection'!AB73)),"YES","NO")</f>
        <v>NO</v>
      </c>
      <c r="AH146" s="255" t="str">
        <f>IF(ISNUMBER(SEARCH("H", 'Dry_Litterbag Placem_Collection'!AB73)),"YES","NO")</f>
        <v>NO</v>
      </c>
      <c r="AI146" s="255" t="str">
        <f>IF(ISNUMBER(SEARCH("R", 'Dry_Litterbag Placem_Collection'!AB73)),"YES","NO")</f>
        <v>NO</v>
      </c>
      <c r="AJ146" s="255" t="str">
        <f>IF(ISNUMBER(SEARCH("C", 'Dry_Litterbag Placem_Collection'!AA73)),"YES","NO")</f>
        <v>NO</v>
      </c>
      <c r="AK146" s="255" t="str">
        <f>IF(ISNUMBER(SEARCH("H", 'Dry_Litterbag Placem_Collection'!AA73)),"YES","NO")</f>
        <v>NO</v>
      </c>
      <c r="AL146" s="255" t="str">
        <f>IF(ISNUMBER(SEARCH("R", 'Dry_Litterbag Placem_Collection'!AA73)),"YES","NO")</f>
        <v>NO</v>
      </c>
      <c r="AR146" t="s">
        <v>1912</v>
      </c>
      <c r="AT146" t="s">
        <v>378</v>
      </c>
    </row>
    <row r="147" spans="2:46">
      <c r="B147" t="str">
        <f>'Final data_for_R_analysis_Dryse'!A73</f>
        <v>Dry</v>
      </c>
      <c r="C147" s="263">
        <f>'Final data_for_R_analysis_Dryse'!B73</f>
        <v>72</v>
      </c>
      <c r="D147" t="s">
        <v>3836</v>
      </c>
      <c r="E147" t="s">
        <v>22</v>
      </c>
      <c r="F147" s="387">
        <v>8</v>
      </c>
      <c r="G147" s="16">
        <f>'Dry_Litterbag Placem_Collection'!E74</f>
        <v>42937</v>
      </c>
      <c r="H147" t="str">
        <f>'Final data_for_R_analysis_Dryse'!J73</f>
        <v>G431</v>
      </c>
      <c r="I147" t="str">
        <f>'Final data_for_R_analysis_Dryse'!J293</f>
        <v>R780</v>
      </c>
      <c r="J147">
        <f>IFERROR(INDEX('Green_rooibos initial weight'!$C$5:$C$1749,MATCH(H147, 'Green_rooibos initial weight'!$A$5:$A$1749,0)),"")</f>
        <v>2.08</v>
      </c>
      <c r="K147">
        <f>IFERROR(INDEX('Green_rooibos initial weight'!$C$5:$C$1749,MATCH(I147, 'Green_rooibos initial weight'!$A$5:$A$1749,0)),"")</f>
        <v>2.19</v>
      </c>
      <c r="L147" s="195">
        <f t="shared" si="17"/>
        <v>1.8302</v>
      </c>
      <c r="M147" s="240">
        <f>AVERAGE(Ashed_controlls!$K$1:$K$11)</f>
        <v>5.5147656768714146</v>
      </c>
      <c r="N147" s="195">
        <f t="shared" si="12"/>
        <v>1.7292687585818993</v>
      </c>
      <c r="O147" s="195">
        <f t="shared" si="18"/>
        <v>1.9401999999999999</v>
      </c>
      <c r="P147" s="240">
        <f>AVERAGE(Ashed_controlls!$K$12:$K$14)</f>
        <v>2.2816647271287041</v>
      </c>
      <c r="Q147" s="195">
        <f t="shared" si="13"/>
        <v>1.8959311409642488</v>
      </c>
      <c r="R147" s="16">
        <f>IF('Dry_Litterbag Placem_Collection'!G74="N.A","",'Dry_Litterbag Placem_Collection'!G74)</f>
        <v>43006</v>
      </c>
      <c r="S147" s="195">
        <f>IF(IFERROR(INDEX('Both teabags AfterDry'!$D$1:$D$839,MATCH(H147,'Both teabags AfterDry'!$A$1:$A$839,0)),"")="N.A","",(IFERROR(INDEX('Both teabags AfterDry'!$D$1:$D$839,MATCH(H147,'Both teabags AfterDry'!$A$1:$A$839,0)),"")))</f>
        <v>1.8758999999999999</v>
      </c>
      <c r="T147" s="195">
        <f>IF(IFERROR(INDEX('Both teabags AfterDry'!$D$1:$D$839,MATCH(I147,'Both teabags AfterDry'!$A$1:$A$839,0)),"")="N.A","",(IFERROR(INDEX('Both teabags AfterDry'!$D$1:$D$839,MATCH(I147,'Both teabags AfterDry'!$A$1:$A$839,0)),"")))</f>
        <v>1.9477</v>
      </c>
      <c r="U147" s="195">
        <f t="shared" si="19"/>
        <v>1.7252999999999998</v>
      </c>
      <c r="V147" s="195">
        <f t="shared" si="19"/>
        <v>1.7970999999999999</v>
      </c>
      <c r="W147" s="195">
        <f>IFERROR(INDEX('Ashed teabags dry'!$K$2:$K$821,MATCH(H147,'Ashed teabags dry'!$A$2:$A$821,0)),"")</f>
        <v>5.6922334780507073</v>
      </c>
      <c r="X147" s="195">
        <f>IFERROR(INDEX('Ashed teabags dry'!$K$2:$K$821,MATCH(I147,'Ashed teabags dry'!$A$2:$A$821,0)),"")</f>
        <v>2.0045558086562076</v>
      </c>
      <c r="Y147" s="195">
        <f t="shared" si="14"/>
        <v>1.627091895803191</v>
      </c>
      <c r="Z147" s="195">
        <f t="shared" si="14"/>
        <v>1.7610761275626392</v>
      </c>
      <c r="AA147" s="195">
        <f t="shared" si="20"/>
        <v>5.9086745349230307E-2</v>
      </c>
      <c r="AB147" s="195">
        <f t="shared" si="21"/>
        <v>3.8736203601870689E-2</v>
      </c>
      <c r="AC147" s="195">
        <f t="shared" si="15"/>
        <v>0.92887135482514205</v>
      </c>
      <c r="AD147">
        <f t="shared" si="16"/>
        <v>69</v>
      </c>
      <c r="AE147" s="195">
        <f t="shared" si="22"/>
        <v>0.9298257181125531</v>
      </c>
      <c r="AF147" s="195" t="str">
        <f t="shared" si="23"/>
        <v/>
      </c>
      <c r="AG147" s="255" t="str">
        <f>IF(ISNUMBER(SEARCH("C", 'Dry_Litterbag Placem_Collection'!AB74)),"YES","NO")</f>
        <v>NO</v>
      </c>
      <c r="AH147" s="255" t="str">
        <f>IF(ISNUMBER(SEARCH("H", 'Dry_Litterbag Placem_Collection'!AB74)),"YES","NO")</f>
        <v>NO</v>
      </c>
      <c r="AI147" s="255" t="str">
        <f>IF(ISNUMBER(SEARCH("R", 'Dry_Litterbag Placem_Collection'!AB74)),"YES","NO")</f>
        <v>NO</v>
      </c>
      <c r="AJ147" s="255" t="str">
        <f>IF(ISNUMBER(SEARCH("C", 'Dry_Litterbag Placem_Collection'!AA74)),"YES","NO")</f>
        <v>NO</v>
      </c>
      <c r="AK147" s="255" t="str">
        <f>IF(ISNUMBER(SEARCH("H", 'Dry_Litterbag Placem_Collection'!AA74)),"YES","NO")</f>
        <v>NO</v>
      </c>
      <c r="AL147" s="255" t="str">
        <f>IF(ISNUMBER(SEARCH("R", 'Dry_Litterbag Placem_Collection'!AA74)),"YES","NO")</f>
        <v>NO</v>
      </c>
      <c r="AR147" t="s">
        <v>1619</v>
      </c>
      <c r="AT147" t="s">
        <v>359</v>
      </c>
    </row>
    <row r="148" spans="2:46">
      <c r="B148" t="str">
        <f>'Final data_for_R_analysis_Dryse'!A74</f>
        <v>Dry</v>
      </c>
      <c r="C148" s="263">
        <f>'Final data_for_R_analysis_Dryse'!B74</f>
        <v>73</v>
      </c>
      <c r="D148" t="s">
        <v>3838</v>
      </c>
      <c r="E148" t="s">
        <v>22</v>
      </c>
      <c r="F148" s="386">
        <v>1</v>
      </c>
      <c r="G148" s="16">
        <f>'Dry_Litterbag Placem_Collection'!E75</f>
        <v>42937</v>
      </c>
      <c r="H148" t="str">
        <f>'Final data_for_R_analysis_Dryse'!J74</f>
        <v>G321</v>
      </c>
      <c r="I148" t="str">
        <f>'Final data_for_R_analysis_Dryse'!J294</f>
        <v>R730</v>
      </c>
      <c r="J148">
        <f>IFERROR(INDEX('Green_rooibos initial weight'!$C$5:$C$1749,MATCH(H148, 'Green_rooibos initial weight'!$A$5:$A$1749,0)),"")</f>
        <v>1.9179999999999999</v>
      </c>
      <c r="K148">
        <f>IFERROR(INDEX('Green_rooibos initial weight'!$C$5:$C$1749,MATCH(I148, 'Green_rooibos initial weight'!$A$5:$A$1749,0)),"")</f>
        <v>2.1509999999999998</v>
      </c>
      <c r="L148" s="195">
        <f t="shared" si="17"/>
        <v>1.6681999999999999</v>
      </c>
      <c r="M148" s="240">
        <f>AVERAGE(Ashed_controlls!$K$1:$K$11)</f>
        <v>5.5147656768714146</v>
      </c>
      <c r="N148" s="195">
        <f t="shared" si="12"/>
        <v>1.5762026789784309</v>
      </c>
      <c r="O148" s="195">
        <f t="shared" si="18"/>
        <v>1.9011999999999998</v>
      </c>
      <c r="P148" s="240">
        <f>AVERAGE(Ashed_controlls!$K$12:$K$14)</f>
        <v>2.2816647271287041</v>
      </c>
      <c r="Q148" s="195">
        <f t="shared" si="13"/>
        <v>1.8578209902078289</v>
      </c>
      <c r="R148" s="16">
        <f>IF('Dry_Litterbag Placem_Collection'!G75="N.A","",'Dry_Litterbag Placem_Collection'!G75)</f>
        <v>43006</v>
      </c>
      <c r="S148" s="195" t="str">
        <f>IF(IFERROR(INDEX('Both teabags AfterDry'!$D$1:$D$839,MATCH(H148,'Both teabags AfterDry'!$A$1:$A$839,0)),"")="N.A","",(IFERROR(INDEX('Both teabags AfterDry'!$D$1:$D$839,MATCH(H148,'Both teabags AfterDry'!$A$1:$A$839,0)),"")))</f>
        <v/>
      </c>
      <c r="T148" s="195" t="str">
        <f>IF(IFERROR(INDEX('Both teabags AfterDry'!$D$1:$D$839,MATCH(I148,'Both teabags AfterDry'!$A$1:$A$839,0)),"")="N.A","",(IFERROR(INDEX('Both teabags AfterDry'!$D$1:$D$839,MATCH(I148,'Both teabags AfterDry'!$A$1:$A$839,0)),"")))</f>
        <v/>
      </c>
      <c r="U148" s="195" t="str">
        <f t="shared" si="19"/>
        <v/>
      </c>
      <c r="V148" s="195" t="str">
        <f t="shared" si="19"/>
        <v/>
      </c>
      <c r="W148" s="195" t="str">
        <f>IFERROR(INDEX('Ashed teabags dry'!$K$2:$K$821,MATCH(H148,'Ashed teabags dry'!$A$2:$A$821,0)),"")</f>
        <v/>
      </c>
      <c r="X148" s="195" t="str">
        <f>IFERROR(INDEX('Ashed teabags dry'!$K$2:$K$821,MATCH(I148,'Ashed teabags dry'!$A$2:$A$821,0)),"")</f>
        <v/>
      </c>
      <c r="Y148" s="195" t="str">
        <f t="shared" si="14"/>
        <v/>
      </c>
      <c r="Z148" s="195" t="str">
        <f t="shared" si="14"/>
        <v/>
      </c>
      <c r="AA148" s="195" t="str">
        <f t="shared" si="20"/>
        <v/>
      </c>
      <c r="AB148" s="195" t="str">
        <f t="shared" si="21"/>
        <v/>
      </c>
      <c r="AC148" s="195" t="str">
        <f t="shared" si="15"/>
        <v/>
      </c>
      <c r="AD148">
        <f t="shared" si="16"/>
        <v>69</v>
      </c>
      <c r="AE148" s="195" t="str">
        <f t="shared" si="22"/>
        <v/>
      </c>
      <c r="AF148" s="195" t="str">
        <f t="shared" si="23"/>
        <v/>
      </c>
      <c r="AG148" s="255" t="str">
        <f>IF(ISNUMBER(SEARCH("C", 'Dry_Litterbag Placem_Collection'!AB75)),"YES","NO")</f>
        <v>NO</v>
      </c>
      <c r="AH148" s="255" t="str">
        <f>IF(ISNUMBER(SEARCH("H", 'Dry_Litterbag Placem_Collection'!AB75)),"YES","NO")</f>
        <v>NO</v>
      </c>
      <c r="AI148" s="255" t="str">
        <f>IF(ISNUMBER(SEARCH("R", 'Dry_Litterbag Placem_Collection'!AB75)),"YES","NO")</f>
        <v>NO</v>
      </c>
      <c r="AJ148" s="255" t="str">
        <f>IF(ISNUMBER(SEARCH("C", 'Dry_Litterbag Placem_Collection'!AA75)),"YES","NO")</f>
        <v>NO</v>
      </c>
      <c r="AK148" s="255" t="str">
        <f>IF(ISNUMBER(SEARCH("H", 'Dry_Litterbag Placem_Collection'!AA75)),"YES","NO")</f>
        <v>NO</v>
      </c>
      <c r="AL148" s="255" t="str">
        <f>IF(ISNUMBER(SEARCH("R", 'Dry_Litterbag Placem_Collection'!AA75)),"YES","NO")</f>
        <v>NO</v>
      </c>
      <c r="AR148" t="s">
        <v>1729</v>
      </c>
      <c r="AT148" t="s">
        <v>409</v>
      </c>
    </row>
    <row r="149" spans="2:46">
      <c r="B149" t="str">
        <f>'Final data_for_R_analysis_Dryse'!A75</f>
        <v>Dry</v>
      </c>
      <c r="C149" s="263">
        <f>'Final data_for_R_analysis_Dryse'!B75</f>
        <v>74</v>
      </c>
      <c r="D149" t="s">
        <v>3838</v>
      </c>
      <c r="E149" t="s">
        <v>22</v>
      </c>
      <c r="F149" s="386">
        <v>2</v>
      </c>
      <c r="G149" s="16">
        <f>'Dry_Litterbag Placem_Collection'!E76</f>
        <v>42937</v>
      </c>
      <c r="H149" t="str">
        <f>'Final data_for_R_analysis_Dryse'!J75</f>
        <v>G329</v>
      </c>
      <c r="I149" t="str">
        <f>'Final data_for_R_analysis_Dryse'!J295</f>
        <v>R825</v>
      </c>
      <c r="J149">
        <f>IFERROR(INDEX('Green_rooibos initial weight'!$C$5:$C$1749,MATCH(H149, 'Green_rooibos initial weight'!$A$5:$A$1749,0)),"")</f>
        <v>1.9550000000000001</v>
      </c>
      <c r="K149">
        <f>IFERROR(INDEX('Green_rooibos initial weight'!$C$5:$C$1749,MATCH(I149, 'Green_rooibos initial weight'!$A$5:$A$1749,0)),"")</f>
        <v>2.1419999999999999</v>
      </c>
      <c r="L149" s="195">
        <f t="shared" si="17"/>
        <v>1.7052</v>
      </c>
      <c r="M149" s="240">
        <f>AVERAGE(Ashed_controlls!$K$1:$K$11)</f>
        <v>5.5147656768714146</v>
      </c>
      <c r="N149" s="195">
        <f t="shared" si="12"/>
        <v>1.6111622156779888</v>
      </c>
      <c r="O149" s="195">
        <f t="shared" si="18"/>
        <v>1.8921999999999999</v>
      </c>
      <c r="P149" s="240">
        <f>AVERAGE(Ashed_controlls!$K$12:$K$14)</f>
        <v>2.2816647271287041</v>
      </c>
      <c r="Q149" s="195">
        <f t="shared" si="13"/>
        <v>1.8490263400332705</v>
      </c>
      <c r="R149" s="16">
        <f>IF('Dry_Litterbag Placem_Collection'!G76="N.A","",'Dry_Litterbag Placem_Collection'!G76)</f>
        <v>43006</v>
      </c>
      <c r="S149" s="195">
        <f>IF(IFERROR(INDEX('Both teabags AfterDry'!$D$1:$D$839,MATCH(H149,'Both teabags AfterDry'!$A$1:$A$839,0)),"")="N.A","",(IFERROR(INDEX('Both teabags AfterDry'!$D$1:$D$839,MATCH(H149,'Both teabags AfterDry'!$A$1:$A$839,0)),"")))</f>
        <v>1.7850999999999999</v>
      </c>
      <c r="T149" s="195">
        <f>IF(IFERROR(INDEX('Both teabags AfterDry'!$D$1:$D$839,MATCH(I149,'Both teabags AfterDry'!$A$1:$A$839,0)),"")="N.A","",(IFERROR(INDEX('Both teabags AfterDry'!$D$1:$D$839,MATCH(I149,'Both teabags AfterDry'!$A$1:$A$839,0)),"")))</f>
        <v>1.8925000000000001</v>
      </c>
      <c r="U149" s="195">
        <f t="shared" si="19"/>
        <v>1.6344999999999998</v>
      </c>
      <c r="V149" s="195">
        <f t="shared" si="19"/>
        <v>1.7419</v>
      </c>
      <c r="W149" s="195">
        <f>IFERROR(INDEX('Ashed teabags dry'!$K$2:$K$821,MATCH(H149,'Ashed teabags dry'!$A$2:$A$821,0)),"")</f>
        <v>5.4652880354504347</v>
      </c>
      <c r="X149" s="195">
        <f>IFERROR(INDEX('Ashed teabags dry'!$K$2:$K$821,MATCH(I149,'Ashed teabags dry'!$A$2:$A$821,0)),"")</f>
        <v>2.7741655830084477</v>
      </c>
      <c r="Y149" s="195">
        <f t="shared" si="14"/>
        <v>1.5451698670605625</v>
      </c>
      <c r="Z149" s="195">
        <f t="shared" si="14"/>
        <v>1.6935768097095758</v>
      </c>
      <c r="AA149" s="195">
        <f t="shared" si="20"/>
        <v>4.0959468869902871E-2</v>
      </c>
      <c r="AB149" s="195">
        <f t="shared" si="21"/>
        <v>2.6852288380268895E-2</v>
      </c>
      <c r="AC149" s="195">
        <f t="shared" si="15"/>
        <v>0.91592898004854939</v>
      </c>
      <c r="AD149">
        <f t="shared" si="16"/>
        <v>69</v>
      </c>
      <c r="AE149" s="195">
        <f t="shared" si="22"/>
        <v>0.95135455003574476</v>
      </c>
      <c r="AF149" s="195" t="str">
        <f t="shared" si="23"/>
        <v/>
      </c>
      <c r="AG149" s="255" t="str">
        <f>IF(ISNUMBER(SEARCH("C", 'Dry_Litterbag Placem_Collection'!AB76)),"YES","NO")</f>
        <v>NO</v>
      </c>
      <c r="AH149" s="255" t="str">
        <f>IF(ISNUMBER(SEARCH("H", 'Dry_Litterbag Placem_Collection'!AB76)),"YES","NO")</f>
        <v>NO</v>
      </c>
      <c r="AI149" s="255" t="str">
        <f>IF(ISNUMBER(SEARCH("R", 'Dry_Litterbag Placem_Collection'!AB76)),"YES","NO")</f>
        <v>NO</v>
      </c>
      <c r="AJ149" s="255" t="str">
        <f>IF(ISNUMBER(SEARCH("C", 'Dry_Litterbag Placem_Collection'!AA76)),"YES","NO")</f>
        <v>NO</v>
      </c>
      <c r="AK149" s="255" t="str">
        <f>IF(ISNUMBER(SEARCH("H", 'Dry_Litterbag Placem_Collection'!AA76)),"YES","NO")</f>
        <v>NO</v>
      </c>
      <c r="AL149" s="255" t="str">
        <f>IF(ISNUMBER(SEARCH("R", 'Dry_Litterbag Placem_Collection'!AA76)),"YES","NO")</f>
        <v>NO</v>
      </c>
      <c r="AR149" t="s">
        <v>1721</v>
      </c>
      <c r="AT149" t="s">
        <v>314</v>
      </c>
    </row>
    <row r="150" spans="2:46">
      <c r="B150" t="str">
        <f>'Final data_for_R_analysis_Dryse'!A76</f>
        <v>Dry</v>
      </c>
      <c r="C150" s="263">
        <f>'Final data_for_R_analysis_Dryse'!B76</f>
        <v>75</v>
      </c>
      <c r="D150" t="s">
        <v>3838</v>
      </c>
      <c r="E150" t="s">
        <v>22</v>
      </c>
      <c r="F150" s="386">
        <v>3</v>
      </c>
      <c r="G150" s="16">
        <f>'Dry_Litterbag Placem_Collection'!E77</f>
        <v>42937</v>
      </c>
      <c r="H150" t="str">
        <f>'Final data_for_R_analysis_Dryse'!J76</f>
        <v>G215</v>
      </c>
      <c r="I150" t="str">
        <f>'Final data_for_R_analysis_Dryse'!J296</f>
        <v>R840</v>
      </c>
      <c r="J150">
        <f>IFERROR(INDEX('Green_rooibos initial weight'!$C$5:$C$1749,MATCH(H150, 'Green_rooibos initial weight'!$A$5:$A$1749,0)),"")</f>
        <v>2.0579999999999998</v>
      </c>
      <c r="K150">
        <f>IFERROR(INDEX('Green_rooibos initial weight'!$C$5:$C$1749,MATCH(I150, 'Green_rooibos initial weight'!$A$5:$A$1749,0)),"")</f>
        <v>2.3010000000000002</v>
      </c>
      <c r="L150" s="195">
        <f t="shared" si="17"/>
        <v>1.8081999999999998</v>
      </c>
      <c r="M150" s="240">
        <f>AVERAGE(Ashed_controlls!$K$1:$K$11)</f>
        <v>5.5147656768714146</v>
      </c>
      <c r="N150" s="195">
        <f t="shared" si="12"/>
        <v>1.7084820070308109</v>
      </c>
      <c r="O150" s="195">
        <f t="shared" si="18"/>
        <v>2.0512000000000001</v>
      </c>
      <c r="P150" s="240">
        <f>AVERAGE(Ashed_controlls!$K$12:$K$14)</f>
        <v>2.2816647271287041</v>
      </c>
      <c r="Q150" s="195">
        <f t="shared" si="13"/>
        <v>2.0043984931171361</v>
      </c>
      <c r="R150" s="16">
        <f>IF('Dry_Litterbag Placem_Collection'!G77="N.A","",'Dry_Litterbag Placem_Collection'!G77)</f>
        <v>43006</v>
      </c>
      <c r="S150" s="195">
        <f>IF(IFERROR(INDEX('Both teabags AfterDry'!$D$1:$D$839,MATCH(H150,'Both teabags AfterDry'!$A$1:$A$839,0)),"")="N.A","",(IFERROR(INDEX('Both teabags AfterDry'!$D$1:$D$839,MATCH(H150,'Both teabags AfterDry'!$A$1:$A$839,0)),"")))</f>
        <v>1.9146000000000001</v>
      </c>
      <c r="T150" s="195">
        <f>IF(IFERROR(INDEX('Both teabags AfterDry'!$D$1:$D$839,MATCH(I150,'Both teabags AfterDry'!$A$1:$A$839,0)),"")="N.A","",(IFERROR(INDEX('Both teabags AfterDry'!$D$1:$D$839,MATCH(I150,'Both teabags AfterDry'!$A$1:$A$839,0)),"")))</f>
        <v>2.0405000000000002</v>
      </c>
      <c r="U150" s="195">
        <f t="shared" si="19"/>
        <v>1.764</v>
      </c>
      <c r="V150" s="195">
        <f t="shared" si="19"/>
        <v>1.8899000000000001</v>
      </c>
      <c r="W150" s="195">
        <f>IFERROR(INDEX('Ashed teabags dry'!$K$2:$K$821,MATCH(H150,'Ashed teabags dry'!$A$2:$A$821,0)),"")</f>
        <v>5.0223769269016794</v>
      </c>
      <c r="X150" s="195">
        <f>IFERROR(INDEX('Ashed teabags dry'!$K$2:$K$821,MATCH(I150,'Ashed teabags dry'!$A$2:$A$821,0)),"")</f>
        <v>3.2504780114727398</v>
      </c>
      <c r="Y150" s="195">
        <f t="shared" si="14"/>
        <v>1.6754052710094545</v>
      </c>
      <c r="Z150" s="195">
        <f t="shared" si="14"/>
        <v>1.8284692160611768</v>
      </c>
      <c r="AA150" s="195">
        <f t="shared" si="20"/>
        <v>1.9360306918795644E-2</v>
      </c>
      <c r="AB150" s="195">
        <f t="shared" si="21"/>
        <v>1.2692267718735375E-2</v>
      </c>
      <c r="AC150" s="195">
        <f t="shared" si="15"/>
        <v>0.91222839287692581</v>
      </c>
      <c r="AD150">
        <f t="shared" si="16"/>
        <v>69</v>
      </c>
      <c r="AE150" s="195">
        <f t="shared" si="22"/>
        <v>0.97700676137910258</v>
      </c>
      <c r="AF150" s="195" t="str">
        <f t="shared" si="23"/>
        <v/>
      </c>
      <c r="AG150" s="255" t="str">
        <f>IF(ISNUMBER(SEARCH("C", 'Dry_Litterbag Placem_Collection'!AB77)),"YES","NO")</f>
        <v>NO</v>
      </c>
      <c r="AH150" s="255" t="str">
        <f>IF(ISNUMBER(SEARCH("H", 'Dry_Litterbag Placem_Collection'!AB77)),"YES","NO")</f>
        <v>NO</v>
      </c>
      <c r="AI150" s="255" t="str">
        <f>IF(ISNUMBER(SEARCH("R", 'Dry_Litterbag Placem_Collection'!AB77)),"YES","NO")</f>
        <v>NO</v>
      </c>
      <c r="AJ150" s="255" t="str">
        <f>IF(ISNUMBER(SEARCH("C", 'Dry_Litterbag Placem_Collection'!AA77)),"YES","NO")</f>
        <v>NO</v>
      </c>
      <c r="AK150" s="255" t="str">
        <f>IF(ISNUMBER(SEARCH("H", 'Dry_Litterbag Placem_Collection'!AA77)),"YES","NO")</f>
        <v>NO</v>
      </c>
      <c r="AL150" s="255" t="str">
        <f>IF(ISNUMBER(SEARCH("R", 'Dry_Litterbag Placem_Collection'!AA77)),"YES","NO")</f>
        <v>NO</v>
      </c>
      <c r="AR150" t="s">
        <v>1835</v>
      </c>
      <c r="AT150" t="s">
        <v>299</v>
      </c>
    </row>
    <row r="151" spans="2:46">
      <c r="B151" t="str">
        <f>'Final data_for_R_analysis_Dryse'!A77</f>
        <v>Dry</v>
      </c>
      <c r="C151" s="263">
        <f>'Final data_for_R_analysis_Dryse'!B77</f>
        <v>76</v>
      </c>
      <c r="D151" t="s">
        <v>3838</v>
      </c>
      <c r="E151" t="s">
        <v>22</v>
      </c>
      <c r="F151" s="387">
        <v>4</v>
      </c>
      <c r="G151" s="16">
        <f>'Dry_Litterbag Placem_Collection'!E78</f>
        <v>42937</v>
      </c>
      <c r="H151" t="str">
        <f>'Final data_for_R_analysis_Dryse'!J77</f>
        <v>G60</v>
      </c>
      <c r="I151" t="str">
        <f>'Final data_for_R_analysis_Dryse'!J297</f>
        <v>R770</v>
      </c>
      <c r="J151">
        <f>IFERROR(INDEX('Green_rooibos initial weight'!$C$5:$C$1749,MATCH(H151, 'Green_rooibos initial weight'!$A$5:$A$1749,0)),"")</f>
        <v>2.1230000000000002</v>
      </c>
      <c r="K151">
        <f>IFERROR(INDEX('Green_rooibos initial weight'!$C$5:$C$1749,MATCH(I151, 'Green_rooibos initial weight'!$A$5:$A$1749,0)),"")</f>
        <v>2.206</v>
      </c>
      <c r="L151" s="195">
        <f t="shared" si="17"/>
        <v>1.8732000000000002</v>
      </c>
      <c r="M151" s="240">
        <f>AVERAGE(Ashed_controlls!$K$1:$K$11)</f>
        <v>5.5147656768714146</v>
      </c>
      <c r="N151" s="195">
        <f t="shared" si="12"/>
        <v>1.7698974093408448</v>
      </c>
      <c r="O151" s="195">
        <f t="shared" si="18"/>
        <v>1.9561999999999999</v>
      </c>
      <c r="P151" s="240">
        <f>AVERAGE(Ashed_controlls!$K$12:$K$14)</f>
        <v>2.2816647271287041</v>
      </c>
      <c r="Q151" s="195">
        <f t="shared" si="13"/>
        <v>1.9115660746079082</v>
      </c>
      <c r="R151" s="16">
        <f>IF('Dry_Litterbag Placem_Collection'!G78="N.A","",'Dry_Litterbag Placem_Collection'!G78)</f>
        <v>43006</v>
      </c>
      <c r="S151" s="195">
        <f>IF(IFERROR(INDEX('Both teabags AfterDry'!$D$1:$D$839,MATCH(H151,'Both teabags AfterDry'!$A$1:$A$839,0)),"")="N.A","",(IFERROR(INDEX('Both teabags AfterDry'!$D$1:$D$839,MATCH(H151,'Both teabags AfterDry'!$A$1:$A$839,0)),"")))</f>
        <v>1.9540999999999999</v>
      </c>
      <c r="T151" s="195">
        <f>IF(IFERROR(INDEX('Both teabags AfterDry'!$D$1:$D$839,MATCH(I151,'Both teabags AfterDry'!$A$1:$A$839,0)),"")="N.A","",(IFERROR(INDEX('Both teabags AfterDry'!$D$1:$D$839,MATCH(I151,'Both teabags AfterDry'!$A$1:$A$839,0)),"")))</f>
        <v>1.9444999999999999</v>
      </c>
      <c r="U151" s="195">
        <f t="shared" si="19"/>
        <v>1.8034999999999999</v>
      </c>
      <c r="V151" s="195">
        <f t="shared" si="19"/>
        <v>1.7938999999999998</v>
      </c>
      <c r="W151" s="195">
        <f>IFERROR(INDEX('Ashed teabags dry'!$K$2:$K$821,MATCH(H151,'Ashed teabags dry'!$A$2:$A$821,0)),"")</f>
        <v>5.8748403575990409</v>
      </c>
      <c r="X151" s="195">
        <f>IFERROR(INDEX('Ashed teabags dry'!$K$2:$K$821,MATCH(I151,'Ashed teabags dry'!$A$2:$A$821,0)),"")</f>
        <v>2.8059990324146233</v>
      </c>
      <c r="Y151" s="195">
        <f t="shared" si="14"/>
        <v>1.6975472541507013</v>
      </c>
      <c r="Z151" s="195">
        <f t="shared" si="14"/>
        <v>1.7435631833575138</v>
      </c>
      <c r="AA151" s="195">
        <f t="shared" si="20"/>
        <v>4.0878163224776221E-2</v>
      </c>
      <c r="AB151" s="195">
        <f t="shared" si="21"/>
        <v>2.6798985867074195E-2</v>
      </c>
      <c r="AC151" s="195">
        <f t="shared" si="15"/>
        <v>0.91211243310809731</v>
      </c>
      <c r="AD151">
        <f t="shared" si="16"/>
        <v>69</v>
      </c>
      <c r="AE151" s="195">
        <f t="shared" si="22"/>
        <v>0.9514511125596482</v>
      </c>
      <c r="AF151" s="195" t="str">
        <f t="shared" si="23"/>
        <v/>
      </c>
      <c r="AG151" s="255" t="str">
        <f>IF(ISNUMBER(SEARCH("C", 'Dry_Litterbag Placem_Collection'!AB78)),"YES","NO")</f>
        <v>NO</v>
      </c>
      <c r="AH151" s="255" t="str">
        <f>IF(ISNUMBER(SEARCH("H", 'Dry_Litterbag Placem_Collection'!AB78)),"YES","NO")</f>
        <v>NO</v>
      </c>
      <c r="AI151" s="255" t="str">
        <f>IF(ISNUMBER(SEARCH("R", 'Dry_Litterbag Placem_Collection'!AB78)),"YES","NO")</f>
        <v>NO</v>
      </c>
      <c r="AJ151" s="255" t="str">
        <f>IF(ISNUMBER(SEARCH("C", 'Dry_Litterbag Placem_Collection'!AA78)),"YES","NO")</f>
        <v>NO</v>
      </c>
      <c r="AK151" s="255" t="str">
        <f>IF(ISNUMBER(SEARCH("H", 'Dry_Litterbag Placem_Collection'!AA78)),"YES","NO")</f>
        <v>NO</v>
      </c>
      <c r="AL151" s="255" t="str">
        <f>IF(ISNUMBER(SEARCH("R", 'Dry_Litterbag Placem_Collection'!AA78)),"YES","NO")</f>
        <v>NO</v>
      </c>
      <c r="AR151" t="s">
        <v>1990</v>
      </c>
      <c r="AT151" t="s">
        <v>369</v>
      </c>
    </row>
    <row r="152" spans="2:46">
      <c r="B152" t="str">
        <f>'Final data_for_R_analysis_Dryse'!A78</f>
        <v>Dry</v>
      </c>
      <c r="C152" s="263">
        <f>'Final data_for_R_analysis_Dryse'!B78</f>
        <v>77</v>
      </c>
      <c r="D152" t="s">
        <v>3838</v>
      </c>
      <c r="E152" t="s">
        <v>22</v>
      </c>
      <c r="F152" s="387">
        <v>5</v>
      </c>
      <c r="G152" s="16">
        <f>'Dry_Litterbag Placem_Collection'!E79</f>
        <v>0</v>
      </c>
      <c r="H152" t="str">
        <f>'Final data_for_R_analysis_Dryse'!J78</f>
        <v/>
      </c>
      <c r="I152" t="str">
        <f>'Final data_for_R_analysis_Dryse'!J298</f>
        <v/>
      </c>
      <c r="J152" t="str">
        <f>IFERROR(INDEX('Green_rooibos initial weight'!$C$5:$C$1749,MATCH(H152, 'Green_rooibos initial weight'!$A$5:$A$1749,0)),"")</f>
        <v/>
      </c>
      <c r="K152" t="str">
        <f>IFERROR(INDEX('Green_rooibos initial weight'!$C$5:$C$1749,MATCH(I152, 'Green_rooibos initial weight'!$A$5:$A$1749,0)),"")</f>
        <v/>
      </c>
      <c r="L152" s="195" t="str">
        <f t="shared" si="17"/>
        <v/>
      </c>
      <c r="M152" s="240">
        <f>AVERAGE(Ashed_controlls!$K$1:$K$11)</f>
        <v>5.5147656768714146</v>
      </c>
      <c r="N152" s="195" t="str">
        <f t="shared" si="12"/>
        <v/>
      </c>
      <c r="O152" s="195" t="str">
        <f t="shared" si="18"/>
        <v/>
      </c>
      <c r="P152" s="240">
        <f>AVERAGE(Ashed_controlls!$K$12:$K$14)</f>
        <v>2.2816647271287041</v>
      </c>
      <c r="Q152" s="195" t="str">
        <f t="shared" si="13"/>
        <v/>
      </c>
      <c r="R152" s="16">
        <f>IF('Dry_Litterbag Placem_Collection'!G79="N.A","",'Dry_Litterbag Placem_Collection'!G79)</f>
        <v>0</v>
      </c>
      <c r="S152" s="195" t="str">
        <f>IF(IFERROR(INDEX('Both teabags AfterDry'!$D$1:$D$839,MATCH(H152,'Both teabags AfterDry'!$A$1:$A$839,0)),"")="N.A","",(IFERROR(INDEX('Both teabags AfterDry'!$D$1:$D$839,MATCH(H152,'Both teabags AfterDry'!$A$1:$A$839,0)),"")))</f>
        <v/>
      </c>
      <c r="T152" s="195" t="str">
        <f>IF(IFERROR(INDEX('Both teabags AfterDry'!$D$1:$D$839,MATCH(I152,'Both teabags AfterDry'!$A$1:$A$839,0)),"")="N.A","",(IFERROR(INDEX('Both teabags AfterDry'!$D$1:$D$839,MATCH(I152,'Both teabags AfterDry'!$A$1:$A$839,0)),"")))</f>
        <v/>
      </c>
      <c r="U152" s="195" t="str">
        <f t="shared" si="19"/>
        <v/>
      </c>
      <c r="V152" s="195" t="str">
        <f t="shared" si="19"/>
        <v/>
      </c>
      <c r="W152" s="195" t="str">
        <f>IFERROR(INDEX('Ashed teabags dry'!$K$2:$K$821,MATCH(H152,'Ashed teabags dry'!$A$2:$A$821,0)),"")</f>
        <v/>
      </c>
      <c r="X152" s="195" t="str">
        <f>IFERROR(INDEX('Ashed teabags dry'!$K$2:$K$821,MATCH(I152,'Ashed teabags dry'!$A$2:$A$821,0)),"")</f>
        <v/>
      </c>
      <c r="Y152" s="195" t="str">
        <f t="shared" si="14"/>
        <v/>
      </c>
      <c r="Z152" s="195" t="str">
        <f t="shared" si="14"/>
        <v/>
      </c>
      <c r="AA152" s="195" t="str">
        <f t="shared" si="20"/>
        <v/>
      </c>
      <c r="AB152" s="195" t="str">
        <f t="shared" si="21"/>
        <v/>
      </c>
      <c r="AC152" s="195" t="str">
        <f t="shared" si="15"/>
        <v/>
      </c>
      <c r="AD152" t="str">
        <f t="shared" si="16"/>
        <v/>
      </c>
      <c r="AE152" s="195" t="str">
        <f t="shared" si="22"/>
        <v/>
      </c>
      <c r="AF152" s="195" t="str">
        <f t="shared" si="23"/>
        <v/>
      </c>
      <c r="AG152" s="255" t="str">
        <f>IF(ISNUMBER(SEARCH("C", 'Dry_Litterbag Placem_Collection'!AB79)),"YES","NO")</f>
        <v>NO</v>
      </c>
      <c r="AH152" s="255" t="str">
        <f>IF(ISNUMBER(SEARCH("H", 'Dry_Litterbag Placem_Collection'!AB79)),"YES","NO")</f>
        <v>NO</v>
      </c>
      <c r="AI152" s="255" t="str">
        <f>IF(ISNUMBER(SEARCH("R", 'Dry_Litterbag Placem_Collection'!AB79)),"YES","NO")</f>
        <v>NO</v>
      </c>
      <c r="AJ152" s="255" t="str">
        <f>IF(ISNUMBER(SEARCH("C", 'Dry_Litterbag Placem_Collection'!AA79)),"YES","NO")</f>
        <v>NO</v>
      </c>
      <c r="AK152" s="255" t="str">
        <f>IF(ISNUMBER(SEARCH("H", 'Dry_Litterbag Placem_Collection'!AA79)),"YES","NO")</f>
        <v>NO</v>
      </c>
      <c r="AL152" s="255" t="str">
        <f>IF(ISNUMBER(SEARCH("R", 'Dry_Litterbag Placem_Collection'!AA79)),"YES","NO")</f>
        <v>NO</v>
      </c>
      <c r="AR152" t="s">
        <v>3654</v>
      </c>
      <c r="AT152" t="s">
        <v>3654</v>
      </c>
    </row>
    <row r="153" spans="2:46">
      <c r="B153" t="str">
        <f>'Final data_for_R_analysis_Dryse'!A79</f>
        <v>Dry</v>
      </c>
      <c r="C153" s="263">
        <f>'Final data_for_R_analysis_Dryse'!B79</f>
        <v>78</v>
      </c>
      <c r="D153" t="s">
        <v>3838</v>
      </c>
      <c r="E153" t="s">
        <v>22</v>
      </c>
      <c r="F153" s="387">
        <v>6</v>
      </c>
      <c r="G153" s="16">
        <f>'Dry_Litterbag Placem_Collection'!E80</f>
        <v>42937</v>
      </c>
      <c r="H153" t="str">
        <f>'Final data_for_R_analysis_Dryse'!J79</f>
        <v>G97</v>
      </c>
      <c r="I153" t="str">
        <f>'Final data_for_R_analysis_Dryse'!J299</f>
        <v>R696</v>
      </c>
      <c r="J153">
        <f>IFERROR(INDEX('Green_rooibos initial weight'!$C$5:$C$1749,MATCH(H153, 'Green_rooibos initial weight'!$A$5:$A$1749,0)),"")</f>
        <v>2.0960000000000001</v>
      </c>
      <c r="K153">
        <f>IFERROR(INDEX('Green_rooibos initial weight'!$C$5:$C$1749,MATCH(I153, 'Green_rooibos initial weight'!$A$5:$A$1749,0)),"")</f>
        <v>2.1389999999999998</v>
      </c>
      <c r="L153" s="195">
        <f t="shared" si="17"/>
        <v>1.8462000000000001</v>
      </c>
      <c r="M153" s="240">
        <f>AVERAGE(Ashed_controlls!$K$1:$K$11)</f>
        <v>5.5147656768714146</v>
      </c>
      <c r="N153" s="195">
        <f t="shared" si="12"/>
        <v>1.7443863960735999</v>
      </c>
      <c r="O153" s="195">
        <f t="shared" si="18"/>
        <v>1.8891999999999998</v>
      </c>
      <c r="P153" s="240">
        <f>AVERAGE(Ashed_controlls!$K$12:$K$14)</f>
        <v>2.2816647271287041</v>
      </c>
      <c r="Q153" s="195">
        <f t="shared" si="13"/>
        <v>1.8460947899750844</v>
      </c>
      <c r="R153" s="16">
        <f>IF('Dry_Litterbag Placem_Collection'!G80="N.A","",'Dry_Litterbag Placem_Collection'!G80)</f>
        <v>43006</v>
      </c>
      <c r="S153" s="195">
        <f>IF(IFERROR(INDEX('Both teabags AfterDry'!$D$1:$D$839,MATCH(H153,'Both teabags AfterDry'!$A$1:$A$839,0)),"")="N.A","",(IFERROR(INDEX('Both teabags AfterDry'!$D$1:$D$839,MATCH(H153,'Both teabags AfterDry'!$A$1:$A$839,0)),"")))</f>
        <v>1.7647999999999999</v>
      </c>
      <c r="T153" s="195">
        <f>IF(IFERROR(INDEX('Both teabags AfterDry'!$D$1:$D$839,MATCH(I153,'Both teabags AfterDry'!$A$1:$A$839,0)),"")="N.A","",(IFERROR(INDEX('Both teabags AfterDry'!$D$1:$D$839,MATCH(I153,'Both teabags AfterDry'!$A$1:$A$839,0)),"")))</f>
        <v>1.9605999999999999</v>
      </c>
      <c r="U153" s="195">
        <f t="shared" si="19"/>
        <v>1.6141999999999999</v>
      </c>
      <c r="V153" s="195">
        <f t="shared" si="19"/>
        <v>1.8099999999999998</v>
      </c>
      <c r="W153" s="195">
        <f>IFERROR(INDEX('Ashed teabags dry'!$K$2:$K$821,MATCH(H153,'Ashed teabags dry'!$A$2:$A$821,0)),"")</f>
        <v>5.6475170399223327</v>
      </c>
      <c r="X153" s="195">
        <f>IFERROR(INDEX('Ashed teabags dry'!$K$2:$K$821,MATCH(I153,'Ashed teabags dry'!$A$2:$A$821,0)),"")</f>
        <v>2.2848808945063115</v>
      </c>
      <c r="Y153" s="195">
        <f t="shared" si="14"/>
        <v>1.5230377799415735</v>
      </c>
      <c r="Z153" s="195">
        <f t="shared" si="14"/>
        <v>1.7686436558094356</v>
      </c>
      <c r="AA153" s="195">
        <f t="shared" si="20"/>
        <v>0.12689196420601245</v>
      </c>
      <c r="AB153" s="195">
        <f t="shared" si="21"/>
        <v>8.3188081047172097E-2</v>
      </c>
      <c r="AC153" s="195">
        <f t="shared" si="15"/>
        <v>0.95804596026908562</v>
      </c>
      <c r="AD153">
        <f t="shared" si="16"/>
        <v>69</v>
      </c>
      <c r="AE153" s="195">
        <f t="shared" si="22"/>
        <v>0.84929695462468824</v>
      </c>
      <c r="AF153" s="195">
        <f t="shared" si="23"/>
        <v>1.0171593046052297E-2</v>
      </c>
      <c r="AG153" s="255" t="str">
        <f>IF(ISNUMBER(SEARCH("C", 'Dry_Litterbag Placem_Collection'!AB80)),"YES","NO")</f>
        <v>NO</v>
      </c>
      <c r="AH153" s="255" t="str">
        <f>IF(ISNUMBER(SEARCH("H", 'Dry_Litterbag Placem_Collection'!AB80)),"YES","NO")</f>
        <v>NO</v>
      </c>
      <c r="AI153" s="255" t="str">
        <f>IF(ISNUMBER(SEARCH("R", 'Dry_Litterbag Placem_Collection'!AB80)),"YES","NO")</f>
        <v>NO</v>
      </c>
      <c r="AJ153" s="255" t="str">
        <f>IF(ISNUMBER(SEARCH("C", 'Dry_Litterbag Placem_Collection'!AA80)),"YES","NO")</f>
        <v>NO</v>
      </c>
      <c r="AK153" s="255" t="str">
        <f>IF(ISNUMBER(SEARCH("H", 'Dry_Litterbag Placem_Collection'!AA80)),"YES","NO")</f>
        <v>NO</v>
      </c>
      <c r="AL153" s="255" t="str">
        <f>IF(ISNUMBER(SEARCH("R", 'Dry_Litterbag Placem_Collection'!AA80)),"YES","NO")</f>
        <v>NO</v>
      </c>
      <c r="AR153" t="s">
        <v>1953</v>
      </c>
      <c r="AT153" t="s">
        <v>443</v>
      </c>
    </row>
    <row r="154" spans="2:46">
      <c r="B154" t="str">
        <f>'Final data_for_R_analysis_Dryse'!A80</f>
        <v>Dry</v>
      </c>
      <c r="C154" s="263">
        <f>'Final data_for_R_analysis_Dryse'!B80</f>
        <v>79</v>
      </c>
      <c r="D154" t="s">
        <v>3838</v>
      </c>
      <c r="E154" t="s">
        <v>22</v>
      </c>
      <c r="F154" s="387">
        <v>7</v>
      </c>
      <c r="G154" s="16">
        <f>'Dry_Litterbag Placem_Collection'!E81</f>
        <v>42937</v>
      </c>
      <c r="H154" t="str">
        <f>'Final data_for_R_analysis_Dryse'!J80</f>
        <v>G130</v>
      </c>
      <c r="I154" t="str">
        <f>'Final data_for_R_analysis_Dryse'!J300</f>
        <v>R270</v>
      </c>
      <c r="J154">
        <f>IFERROR(INDEX('Green_rooibos initial weight'!$C$5:$C$1749,MATCH(H154, 'Green_rooibos initial weight'!$A$5:$A$1749,0)),"")</f>
        <v>1.976</v>
      </c>
      <c r="K154">
        <f>IFERROR(INDEX('Green_rooibos initial weight'!$C$5:$C$1749,MATCH(I154, 'Green_rooibos initial weight'!$A$5:$A$1749,0)),"")</f>
        <v>2.2170000000000001</v>
      </c>
      <c r="L154" s="195">
        <f t="shared" si="17"/>
        <v>1.7262</v>
      </c>
      <c r="M154" s="240">
        <f>AVERAGE(Ashed_controlls!$K$1:$K$11)</f>
        <v>5.5147656768714146</v>
      </c>
      <c r="N154" s="195">
        <f t="shared" si="12"/>
        <v>1.6310041148858456</v>
      </c>
      <c r="O154" s="195">
        <f t="shared" si="18"/>
        <v>1.9672000000000001</v>
      </c>
      <c r="P154" s="240">
        <f>AVERAGE(Ashed_controlls!$K$12:$K$14)</f>
        <v>2.2816647271287041</v>
      </c>
      <c r="Q154" s="195">
        <f t="shared" si="13"/>
        <v>1.9223150914879241</v>
      </c>
      <c r="R154" s="16">
        <f>IF('Dry_Litterbag Placem_Collection'!G81="N.A","",'Dry_Litterbag Placem_Collection'!G81)</f>
        <v>43006</v>
      </c>
      <c r="S154" s="195">
        <f>IF(IFERROR(INDEX('Both teabags AfterDry'!$D$1:$D$839,MATCH(H154,'Both teabags AfterDry'!$A$1:$A$839,0)),"")="N.A","",(IFERROR(INDEX('Both teabags AfterDry'!$D$1:$D$839,MATCH(H154,'Both teabags AfterDry'!$A$1:$A$839,0)),"")))</f>
        <v>1.8545</v>
      </c>
      <c r="T154" s="195">
        <f>IF(IFERROR(INDEX('Both teabags AfterDry'!$D$1:$D$839,MATCH(I154,'Both teabags AfterDry'!$A$1:$A$839,0)),"")="N.A","",(IFERROR(INDEX('Both teabags AfterDry'!$D$1:$D$839,MATCH(I154,'Both teabags AfterDry'!$A$1:$A$839,0)),"")))</f>
        <v>1.9970000000000001</v>
      </c>
      <c r="U154" s="195">
        <f t="shared" si="19"/>
        <v>1.7039</v>
      </c>
      <c r="V154" s="195">
        <f t="shared" si="19"/>
        <v>1.8464</v>
      </c>
      <c r="W154" s="195">
        <f>IFERROR(INDEX('Ashed teabags dry'!$K$2:$K$821,MATCH(H154,'Ashed teabags dry'!$A$2:$A$821,0)),"")</f>
        <v>5.8363970588233842</v>
      </c>
      <c r="X154" s="195">
        <f>IFERROR(INDEX('Ashed teabags dry'!$K$2:$K$821,MATCH(I154,'Ashed teabags dry'!$A$2:$A$821,0)),"")</f>
        <v>2.6437847866422564</v>
      </c>
      <c r="Y154" s="195">
        <f t="shared" si="14"/>
        <v>1.6044536305147084</v>
      </c>
      <c r="Z154" s="195">
        <f t="shared" si="14"/>
        <v>1.7975851576994375</v>
      </c>
      <c r="AA154" s="195">
        <f t="shared" si="20"/>
        <v>1.627861274463771E-2</v>
      </c>
      <c r="AB154" s="195">
        <f t="shared" si="21"/>
        <v>1.0671964649691232E-2</v>
      </c>
      <c r="AC154" s="195">
        <f t="shared" si="15"/>
        <v>0.93511472997283585</v>
      </c>
      <c r="AD154">
        <f t="shared" si="16"/>
        <v>69</v>
      </c>
      <c r="AE154" s="195">
        <f t="shared" si="22"/>
        <v>0.9806667307070811</v>
      </c>
      <c r="AF154" s="195" t="str">
        <f t="shared" si="23"/>
        <v/>
      </c>
      <c r="AG154" s="255" t="str">
        <f>IF(ISNUMBER(SEARCH("C", 'Dry_Litterbag Placem_Collection'!AB81)),"YES","NO")</f>
        <v>NO</v>
      </c>
      <c r="AH154" s="255" t="str">
        <f>IF(ISNUMBER(SEARCH("H", 'Dry_Litterbag Placem_Collection'!AB81)),"YES","NO")</f>
        <v>NO</v>
      </c>
      <c r="AI154" s="255" t="str">
        <f>IF(ISNUMBER(SEARCH("R", 'Dry_Litterbag Placem_Collection'!AB81)),"YES","NO")</f>
        <v>NO</v>
      </c>
      <c r="AJ154" s="255" t="str">
        <f>IF(ISNUMBER(SEARCH("C", 'Dry_Litterbag Placem_Collection'!AA81)),"YES","NO")</f>
        <v>NO</v>
      </c>
      <c r="AK154" s="255" t="str">
        <f>IF(ISNUMBER(SEARCH("H", 'Dry_Litterbag Placem_Collection'!AA81)),"YES","NO")</f>
        <v>NO</v>
      </c>
      <c r="AL154" s="255" t="str">
        <f>IF(ISNUMBER(SEARCH("R", 'Dry_Litterbag Placem_Collection'!AA81)),"YES","NO")</f>
        <v>NO</v>
      </c>
      <c r="AR154" t="s">
        <v>1930</v>
      </c>
      <c r="AT154" t="s">
        <v>871</v>
      </c>
    </row>
    <row r="155" spans="2:46">
      <c r="B155" t="str">
        <f>'Final data_for_R_analysis_Dryse'!A81</f>
        <v>Dry</v>
      </c>
      <c r="C155" s="263">
        <f>'Final data_for_R_analysis_Dryse'!B81</f>
        <v>80</v>
      </c>
      <c r="D155" t="s">
        <v>3838</v>
      </c>
      <c r="E155" t="s">
        <v>22</v>
      </c>
      <c r="F155" s="387">
        <v>8</v>
      </c>
      <c r="G155" s="16">
        <f>'Dry_Litterbag Placem_Collection'!E82</f>
        <v>42937</v>
      </c>
      <c r="H155" t="str">
        <f>'Final data_for_R_analysis_Dryse'!J81</f>
        <v>G24</v>
      </c>
      <c r="I155" t="str">
        <f>'Final data_for_R_analysis_Dryse'!J301</f>
        <v>R726</v>
      </c>
      <c r="J155">
        <f>IFERROR(INDEX('Green_rooibos initial weight'!$C$5:$C$1749,MATCH(H155, 'Green_rooibos initial weight'!$A$5:$A$1749,0)),"")</f>
        <v>2.09</v>
      </c>
      <c r="K155">
        <f>IFERROR(INDEX('Green_rooibos initial weight'!$C$5:$C$1749,MATCH(I155, 'Green_rooibos initial weight'!$A$5:$A$1749,0)),"")</f>
        <v>2.2810000000000001</v>
      </c>
      <c r="L155" s="195">
        <f t="shared" si="17"/>
        <v>1.8401999999999998</v>
      </c>
      <c r="M155" s="240">
        <f>AVERAGE(Ashed_controlls!$K$1:$K$11)</f>
        <v>5.5147656768714146</v>
      </c>
      <c r="N155" s="195">
        <f t="shared" si="12"/>
        <v>1.7387172820142121</v>
      </c>
      <c r="O155" s="195">
        <f t="shared" si="18"/>
        <v>2.0312000000000001</v>
      </c>
      <c r="P155" s="240">
        <f>AVERAGE(Ashed_controlls!$K$12:$K$14)</f>
        <v>2.2816647271287041</v>
      </c>
      <c r="Q155" s="195">
        <f t="shared" si="13"/>
        <v>1.9848548260625618</v>
      </c>
      <c r="R155" s="16">
        <f>IF('Dry_Litterbag Placem_Collection'!G82="N.A","",'Dry_Litterbag Placem_Collection'!G82)</f>
        <v>43006</v>
      </c>
      <c r="S155" s="195">
        <f>IF(IFERROR(INDEX('Both teabags AfterDry'!$D$1:$D$839,MATCH(H155,'Both teabags AfterDry'!$A$1:$A$839,0)),"")="N.A","",(IFERROR(INDEX('Both teabags AfterDry'!$D$1:$D$839,MATCH(H155,'Both teabags AfterDry'!$A$1:$A$839,0)),"")))</f>
        <v>1.9084000000000001</v>
      </c>
      <c r="T155" s="195">
        <f>IF(IFERROR(INDEX('Both teabags AfterDry'!$D$1:$D$839,MATCH(I155,'Both teabags AfterDry'!$A$1:$A$839,0)),"")="N.A","",(IFERROR(INDEX('Both teabags AfterDry'!$D$1:$D$839,MATCH(I155,'Both teabags AfterDry'!$A$1:$A$839,0)),"")))</f>
        <v>1.9471000000000001</v>
      </c>
      <c r="U155" s="195">
        <f t="shared" si="19"/>
        <v>1.7578</v>
      </c>
      <c r="V155" s="195">
        <f t="shared" si="19"/>
        <v>1.7965</v>
      </c>
      <c r="W155" s="195">
        <f>IFERROR(INDEX('Ashed teabags dry'!$K$2:$K$821,MATCH(H155,'Ashed teabags dry'!$A$2:$A$821,0)),"")</f>
        <v>5.4078826764434664</v>
      </c>
      <c r="X155" s="195">
        <f>IFERROR(INDEX('Ashed teabags dry'!$K$2:$K$821,MATCH(I155,'Ashed teabags dry'!$A$2:$A$821,0)),"")</f>
        <v>2.8653295128930178</v>
      </c>
      <c r="Y155" s="195">
        <f t="shared" si="14"/>
        <v>1.6627402383134768</v>
      </c>
      <c r="Z155" s="195">
        <f t="shared" si="14"/>
        <v>1.7450243553008769</v>
      </c>
      <c r="AA155" s="195">
        <f t="shared" si="20"/>
        <v>4.3697180954410109E-2</v>
      </c>
      <c r="AB155" s="195">
        <f t="shared" si="21"/>
        <v>2.8647083000990968E-2</v>
      </c>
      <c r="AC155" s="195">
        <f t="shared" si="15"/>
        <v>0.87916976717262163</v>
      </c>
      <c r="AD155">
        <f t="shared" si="16"/>
        <v>69</v>
      </c>
      <c r="AE155" s="195">
        <f t="shared" si="22"/>
        <v>0.94810311050545115</v>
      </c>
      <c r="AF155" s="195" t="str">
        <f t="shared" si="23"/>
        <v/>
      </c>
      <c r="AG155" s="255" t="str">
        <f>IF(ISNUMBER(SEARCH("C", 'Dry_Litterbag Placem_Collection'!AB82)),"YES","NO")</f>
        <v>NO</v>
      </c>
      <c r="AH155" s="255" t="str">
        <f>IF(ISNUMBER(SEARCH("H", 'Dry_Litterbag Placem_Collection'!AB82)),"YES","NO")</f>
        <v>NO</v>
      </c>
      <c r="AI155" s="255" t="str">
        <f>IF(ISNUMBER(SEARCH("R", 'Dry_Litterbag Placem_Collection'!AB82)),"YES","NO")</f>
        <v>NO</v>
      </c>
      <c r="AJ155" s="255" t="str">
        <f>IF(ISNUMBER(SEARCH("C", 'Dry_Litterbag Placem_Collection'!AA82)),"YES","NO")</f>
        <v>NO</v>
      </c>
      <c r="AK155" s="255" t="str">
        <f>IF(ISNUMBER(SEARCH("H", 'Dry_Litterbag Placem_Collection'!AA82)),"YES","NO")</f>
        <v>NO</v>
      </c>
      <c r="AL155" s="255" t="str">
        <f>IF(ISNUMBER(SEARCH("R", 'Dry_Litterbag Placem_Collection'!AA82)),"YES","NO")</f>
        <v>NO</v>
      </c>
      <c r="AR155" t="s">
        <v>2026</v>
      </c>
      <c r="AT155" t="s">
        <v>413</v>
      </c>
    </row>
    <row r="156" spans="2:46">
      <c r="B156" t="str">
        <f>'Final data_for_R_analysis_Dryse'!A82</f>
        <v>Dry</v>
      </c>
      <c r="C156" s="263">
        <f>'Final data_for_R_analysis_Dryse'!B82</f>
        <v>81</v>
      </c>
      <c r="D156" t="s">
        <v>3839</v>
      </c>
      <c r="E156" t="s">
        <v>22</v>
      </c>
      <c r="F156" s="386">
        <v>1</v>
      </c>
      <c r="G156" s="16">
        <f>'Dry_Litterbag Placem_Collection'!E83</f>
        <v>42937</v>
      </c>
      <c r="H156" t="str">
        <f>'Final data_for_R_analysis_Dryse'!J82</f>
        <v>G312</v>
      </c>
      <c r="I156" t="str">
        <f>'Final data_for_R_analysis_Dryse'!J302</f>
        <v>R739</v>
      </c>
      <c r="J156">
        <f>IFERROR(INDEX('Green_rooibos initial weight'!$C$5:$C$1749,MATCH(H156, 'Green_rooibos initial weight'!$A$5:$A$1749,0)),"")</f>
        <v>2.0179999999999998</v>
      </c>
      <c r="K156">
        <f>IFERROR(INDEX('Green_rooibos initial weight'!$C$5:$C$1749,MATCH(I156, 'Green_rooibos initial weight'!$A$5:$A$1749,0)),"")</f>
        <v>2.222</v>
      </c>
      <c r="L156" s="195">
        <f t="shared" si="17"/>
        <v>1.7681999999999998</v>
      </c>
      <c r="M156" s="240">
        <f>AVERAGE(Ashed_controlls!$K$1:$K$11)</f>
        <v>5.5147656768714146</v>
      </c>
      <c r="N156" s="195">
        <f t="shared" si="12"/>
        <v>1.6706879133015595</v>
      </c>
      <c r="O156" s="195">
        <f t="shared" si="18"/>
        <v>1.9722</v>
      </c>
      <c r="P156" s="240">
        <f>AVERAGE(Ashed_controlls!$K$12:$K$14)</f>
        <v>2.2816647271287041</v>
      </c>
      <c r="Q156" s="195">
        <f t="shared" si="13"/>
        <v>1.9272010082515676</v>
      </c>
      <c r="R156" s="16">
        <f>IF('Dry_Litterbag Placem_Collection'!G83="N.A","",'Dry_Litterbag Placem_Collection'!G83)</f>
        <v>43006</v>
      </c>
      <c r="S156" s="195">
        <f>IF(IFERROR(INDEX('Both teabags AfterDry'!$D$1:$D$839,MATCH(H156,'Both teabags AfterDry'!$A$1:$A$839,0)),"")="N.A","",(IFERROR(INDEX('Both teabags AfterDry'!$D$1:$D$839,MATCH(H156,'Both teabags AfterDry'!$A$1:$A$839,0)),"")))</f>
        <v>1.7978000000000001</v>
      </c>
      <c r="T156" s="195">
        <f>IF(IFERROR(INDEX('Both teabags AfterDry'!$D$1:$D$839,MATCH(I156,'Both teabags AfterDry'!$A$1:$A$839,0)),"")="N.A","",(IFERROR(INDEX('Both teabags AfterDry'!$D$1:$D$839,MATCH(I156,'Both teabags AfterDry'!$A$1:$A$839,0)),"")))</f>
        <v>1.9457</v>
      </c>
      <c r="U156" s="195">
        <f t="shared" si="19"/>
        <v>1.6472</v>
      </c>
      <c r="V156" s="195">
        <f t="shared" si="19"/>
        <v>1.7950999999999999</v>
      </c>
      <c r="W156" s="195">
        <f>IFERROR(INDEX('Ashed teabags dry'!$K$2:$K$821,MATCH(H156,'Ashed teabags dry'!$A$2:$A$821,0)),"")</f>
        <v>5.5148853099064077</v>
      </c>
      <c r="X156" s="195">
        <f>IFERROR(INDEX('Ashed teabags dry'!$K$2:$K$821,MATCH(I156,'Ashed teabags dry'!$A$2:$A$821,0)),"")</f>
        <v>2.6627218934911183</v>
      </c>
      <c r="Y156" s="195">
        <f t="shared" si="14"/>
        <v>1.5563588091752216</v>
      </c>
      <c r="Z156" s="195">
        <f t="shared" si="14"/>
        <v>1.7473014792899408</v>
      </c>
      <c r="AA156" s="195">
        <f t="shared" si="20"/>
        <v>6.8432352455584877E-2</v>
      </c>
      <c r="AB156" s="195">
        <f t="shared" si="21"/>
        <v>4.486301491149982E-2</v>
      </c>
      <c r="AC156" s="195">
        <f t="shared" si="15"/>
        <v>0.90665243106901516</v>
      </c>
      <c r="AD156">
        <f t="shared" si="16"/>
        <v>69</v>
      </c>
      <c r="AE156" s="195">
        <f t="shared" si="22"/>
        <v>0.9187264222617757</v>
      </c>
      <c r="AF156" s="195" t="str">
        <f t="shared" si="23"/>
        <v/>
      </c>
      <c r="AG156" s="255" t="str">
        <f>IF(ISNUMBER(SEARCH("C", 'Dry_Litterbag Placem_Collection'!AB83)),"YES","NO")</f>
        <v>NO</v>
      </c>
      <c r="AH156" s="255" t="str">
        <f>IF(ISNUMBER(SEARCH("H", 'Dry_Litterbag Placem_Collection'!AB83)),"YES","NO")</f>
        <v>NO</v>
      </c>
      <c r="AI156" s="255" t="str">
        <f>IF(ISNUMBER(SEARCH("R", 'Dry_Litterbag Placem_Collection'!AB83)),"YES","NO")</f>
        <v>NO</v>
      </c>
      <c r="AJ156" s="255" t="str">
        <f>IF(ISNUMBER(SEARCH("C", 'Dry_Litterbag Placem_Collection'!AA83)),"YES","NO")</f>
        <v>NO</v>
      </c>
      <c r="AK156" s="255" t="str">
        <f>IF(ISNUMBER(SEARCH("H", 'Dry_Litterbag Placem_Collection'!AA83)),"YES","NO")</f>
        <v>NO</v>
      </c>
      <c r="AL156" s="255" t="str">
        <f>IF(ISNUMBER(SEARCH("R", 'Dry_Litterbag Placem_Collection'!AA83)),"YES","NO")</f>
        <v>NO</v>
      </c>
      <c r="AR156" t="s">
        <v>1738</v>
      </c>
      <c r="AT156" t="s">
        <v>400</v>
      </c>
    </row>
    <row r="157" spans="2:46">
      <c r="B157" t="str">
        <f>'Final data_for_R_analysis_Dryse'!A83</f>
        <v>Dry</v>
      </c>
      <c r="C157" s="263">
        <f>'Final data_for_R_analysis_Dryse'!B83</f>
        <v>82</v>
      </c>
      <c r="D157" t="s">
        <v>3839</v>
      </c>
      <c r="E157" t="s">
        <v>22</v>
      </c>
      <c r="F157" s="386">
        <v>2</v>
      </c>
      <c r="G157" s="16">
        <f>'Dry_Litterbag Placem_Collection'!E84</f>
        <v>42937</v>
      </c>
      <c r="H157" t="str">
        <f>'Final data_for_R_analysis_Dryse'!J83</f>
        <v>G356</v>
      </c>
      <c r="I157" t="str">
        <f>'Final data_for_R_analysis_Dryse'!J303</f>
        <v>R800</v>
      </c>
      <c r="J157">
        <f>IFERROR(INDEX('Green_rooibos initial weight'!$C$5:$C$1749,MATCH(H157, 'Green_rooibos initial weight'!$A$5:$A$1749,0)),"")</f>
        <v>1.9870000000000001</v>
      </c>
      <c r="K157">
        <f>IFERROR(INDEX('Green_rooibos initial weight'!$C$5:$C$1749,MATCH(I157, 'Green_rooibos initial weight'!$A$5:$A$1749,0)),"")</f>
        <v>2.1579999999999999</v>
      </c>
      <c r="L157" s="195">
        <f t="shared" si="17"/>
        <v>1.7372000000000001</v>
      </c>
      <c r="M157" s="240">
        <f>AVERAGE(Ashed_controlls!$K$1:$K$11)</f>
        <v>5.5147656768714146</v>
      </c>
      <c r="N157" s="195">
        <f t="shared" si="12"/>
        <v>1.64139749066139</v>
      </c>
      <c r="O157" s="195">
        <f t="shared" si="18"/>
        <v>1.9081999999999999</v>
      </c>
      <c r="P157" s="240">
        <f>AVERAGE(Ashed_controlls!$K$12:$K$14)</f>
        <v>2.2816647271287041</v>
      </c>
      <c r="Q157" s="195">
        <f t="shared" si="13"/>
        <v>1.8646612736769299</v>
      </c>
      <c r="R157" s="16">
        <f>IF('Dry_Litterbag Placem_Collection'!G84="N.A","",'Dry_Litterbag Placem_Collection'!G84)</f>
        <v>43006</v>
      </c>
      <c r="S157" s="195">
        <f>IF(IFERROR(INDEX('Both teabags AfterDry'!$D$1:$D$839,MATCH(H157,'Both teabags AfterDry'!$A$1:$A$839,0)),"")="N.A","",(IFERROR(INDEX('Both teabags AfterDry'!$D$1:$D$839,MATCH(H157,'Both teabags AfterDry'!$A$1:$A$839,0)),"")))</f>
        <v>1.7767999999999999</v>
      </c>
      <c r="T157" s="195">
        <f>IF(IFERROR(INDEX('Both teabags AfterDry'!$D$1:$D$839,MATCH(I157,'Both teabags AfterDry'!$A$1:$A$839,0)),"")="N.A","",(IFERROR(INDEX('Both teabags AfterDry'!$D$1:$D$839,MATCH(I157,'Both teabags AfterDry'!$A$1:$A$839,0)),"")))</f>
        <v>1.8712</v>
      </c>
      <c r="U157" s="195">
        <f t="shared" si="19"/>
        <v>1.6261999999999999</v>
      </c>
      <c r="V157" s="195">
        <f t="shared" si="19"/>
        <v>1.7205999999999999</v>
      </c>
      <c r="W157" s="195">
        <f>IFERROR(INDEX('Ashed teabags dry'!$K$2:$K$821,MATCH(H157,'Ashed teabags dry'!$A$2:$A$821,0)),"")</f>
        <v>5.2706552706550589</v>
      </c>
      <c r="X157" s="195">
        <f>IFERROR(INDEX('Ashed teabags dry'!$K$2:$K$821,MATCH(I157,'Ashed teabags dry'!$A$2:$A$821,0)),"")</f>
        <v>2.8725314183131179</v>
      </c>
      <c r="Y157" s="195">
        <f t="shared" si="14"/>
        <v>1.5404886039886074</v>
      </c>
      <c r="Z157" s="195">
        <f t="shared" si="14"/>
        <v>1.6711752244165043</v>
      </c>
      <c r="AA157" s="195">
        <f t="shared" si="20"/>
        <v>6.1477422286128847E-2</v>
      </c>
      <c r="AB157" s="195">
        <f t="shared" si="21"/>
        <v>4.0303488244588029E-2</v>
      </c>
      <c r="AC157" s="195">
        <f t="shared" si="15"/>
        <v>0.89623528305551714</v>
      </c>
      <c r="AD157">
        <f t="shared" si="16"/>
        <v>69</v>
      </c>
      <c r="AE157" s="195">
        <f t="shared" si="22"/>
        <v>0.92698643433951444</v>
      </c>
      <c r="AF157" s="195" t="str">
        <f t="shared" si="23"/>
        <v/>
      </c>
      <c r="AG157" s="255" t="str">
        <f>IF(ISNUMBER(SEARCH("C", 'Dry_Litterbag Placem_Collection'!AB84)),"YES","NO")</f>
        <v>NO</v>
      </c>
      <c r="AH157" s="255" t="str">
        <f>IF(ISNUMBER(SEARCH("H", 'Dry_Litterbag Placem_Collection'!AB84)),"YES","NO")</f>
        <v>NO</v>
      </c>
      <c r="AI157" s="255" t="str">
        <f>IF(ISNUMBER(SEARCH("R", 'Dry_Litterbag Placem_Collection'!AB84)),"YES","NO")</f>
        <v>NO</v>
      </c>
      <c r="AJ157" s="255" t="str">
        <f>IF(ISNUMBER(SEARCH("C", 'Dry_Litterbag Placem_Collection'!AA84)),"YES","NO")</f>
        <v>NO</v>
      </c>
      <c r="AK157" s="255" t="str">
        <f>IF(ISNUMBER(SEARCH("H", 'Dry_Litterbag Placem_Collection'!AA84)),"YES","NO")</f>
        <v>NO</v>
      </c>
      <c r="AL157" s="255" t="str">
        <f>IF(ISNUMBER(SEARCH("R", 'Dry_Litterbag Placem_Collection'!AA84)),"YES","NO")</f>
        <v>NO</v>
      </c>
      <c r="AR157" t="s">
        <v>1694</v>
      </c>
      <c r="AT157" t="s">
        <v>339</v>
      </c>
    </row>
    <row r="158" spans="2:46">
      <c r="B158" t="str">
        <f>'Final data_for_R_analysis_Dryse'!A84</f>
        <v>Dry</v>
      </c>
      <c r="C158" s="263">
        <f>'Final data_for_R_analysis_Dryse'!B84</f>
        <v>83</v>
      </c>
      <c r="D158" t="s">
        <v>3839</v>
      </c>
      <c r="E158" t="s">
        <v>22</v>
      </c>
      <c r="F158" s="386">
        <v>3</v>
      </c>
      <c r="G158" s="16">
        <f>'Dry_Litterbag Placem_Collection'!E85</f>
        <v>42937</v>
      </c>
      <c r="H158" t="str">
        <f>'Final data_for_R_analysis_Dryse'!J84</f>
        <v>G331</v>
      </c>
      <c r="I158" t="str">
        <f>'Final data_for_R_analysis_Dryse'!J304</f>
        <v>R764</v>
      </c>
      <c r="J158">
        <f>IFERROR(INDEX('Green_rooibos initial weight'!$C$5:$C$1749,MATCH(H158, 'Green_rooibos initial weight'!$A$5:$A$1749,0)),"")</f>
        <v>2.0550000000000002</v>
      </c>
      <c r="K158">
        <f>IFERROR(INDEX('Green_rooibos initial weight'!$C$5:$C$1749,MATCH(I158, 'Green_rooibos initial weight'!$A$5:$A$1749,0)),"")</f>
        <v>2.2160000000000002</v>
      </c>
      <c r="L158" s="195">
        <f t="shared" si="17"/>
        <v>1.8052000000000001</v>
      </c>
      <c r="M158" s="240">
        <f>AVERAGE(Ashed_controlls!$K$1:$K$11)</f>
        <v>5.5147656768714146</v>
      </c>
      <c r="N158" s="195">
        <f t="shared" si="12"/>
        <v>1.7056474500011174</v>
      </c>
      <c r="O158" s="195">
        <f t="shared" si="18"/>
        <v>1.9662000000000002</v>
      </c>
      <c r="P158" s="240">
        <f>AVERAGE(Ashed_controlls!$K$12:$K$14)</f>
        <v>2.2816647271287041</v>
      </c>
      <c r="Q158" s="195">
        <f t="shared" si="13"/>
        <v>1.9213379081351956</v>
      </c>
      <c r="R158" s="16">
        <f>IF('Dry_Litterbag Placem_Collection'!G85="N.A","",'Dry_Litterbag Placem_Collection'!G85)</f>
        <v>43006</v>
      </c>
      <c r="S158" s="195">
        <f>IF(IFERROR(INDEX('Both teabags AfterDry'!$D$1:$D$839,MATCH(H158,'Both teabags AfterDry'!$A$1:$A$839,0)),"")="N.A","",(IFERROR(INDEX('Both teabags AfterDry'!$D$1:$D$839,MATCH(H158,'Both teabags AfterDry'!$A$1:$A$839,0)),"")))</f>
        <v>1.8354999999999999</v>
      </c>
      <c r="T158" s="195">
        <f>IF(IFERROR(INDEX('Both teabags AfterDry'!$D$1:$D$839,MATCH(I158,'Both teabags AfterDry'!$A$1:$A$839,0)),"")="N.A","",(IFERROR(INDEX('Both teabags AfterDry'!$D$1:$D$839,MATCH(I158,'Both teabags AfterDry'!$A$1:$A$839,0)),"")))</f>
        <v>1.9178999999999999</v>
      </c>
      <c r="U158" s="195">
        <f t="shared" si="19"/>
        <v>1.6848999999999998</v>
      </c>
      <c r="V158" s="195">
        <f t="shared" si="19"/>
        <v>1.7672999999999999</v>
      </c>
      <c r="W158" s="195">
        <f>IFERROR(INDEX('Ashed teabags dry'!$K$2:$K$821,MATCH(H158,'Ashed teabags dry'!$A$2:$A$821,0)),"")</f>
        <v>5.6902523503216829</v>
      </c>
      <c r="X158" s="195">
        <f>IFERROR(INDEX('Ashed teabags dry'!$K$2:$K$821,MATCH(I158,'Ashed teabags dry'!$A$2:$A$821,0)),"")</f>
        <v>2.3591718825229306</v>
      </c>
      <c r="Y158" s="195">
        <f t="shared" si="14"/>
        <v>1.5890249381494299</v>
      </c>
      <c r="Z158" s="195">
        <f t="shared" si="14"/>
        <v>1.7256063553201721</v>
      </c>
      <c r="AA158" s="195">
        <f t="shared" si="20"/>
        <v>6.8374336004554226E-2</v>
      </c>
      <c r="AB158" s="195">
        <f t="shared" si="21"/>
        <v>4.4824980373532018E-2</v>
      </c>
      <c r="AC158" s="195">
        <f t="shared" si="15"/>
        <v>0.89812747045365082</v>
      </c>
      <c r="AD158">
        <f t="shared" si="16"/>
        <v>69</v>
      </c>
      <c r="AE158" s="195">
        <f t="shared" si="22"/>
        <v>0.91879532541026809</v>
      </c>
      <c r="AF158" s="195" t="str">
        <f t="shared" si="23"/>
        <v/>
      </c>
      <c r="AG158" s="255" t="str">
        <f>IF(ISNUMBER(SEARCH("C", 'Dry_Litterbag Placem_Collection'!AB85)),"YES","NO")</f>
        <v>NO</v>
      </c>
      <c r="AH158" s="255" t="str">
        <f>IF(ISNUMBER(SEARCH("H", 'Dry_Litterbag Placem_Collection'!AB85)),"YES","NO")</f>
        <v>NO</v>
      </c>
      <c r="AI158" s="255" t="str">
        <f>IF(ISNUMBER(SEARCH("R", 'Dry_Litterbag Placem_Collection'!AB85)),"YES","NO")</f>
        <v>NO</v>
      </c>
      <c r="AJ158" s="255" t="str">
        <f>IF(ISNUMBER(SEARCH("C", 'Dry_Litterbag Placem_Collection'!AA85)),"YES","NO")</f>
        <v>NO</v>
      </c>
      <c r="AK158" s="255" t="str">
        <f>IF(ISNUMBER(SEARCH("H", 'Dry_Litterbag Placem_Collection'!AA85)),"YES","NO")</f>
        <v>NO</v>
      </c>
      <c r="AL158" s="255" t="str">
        <f>IF(ISNUMBER(SEARCH("R", 'Dry_Litterbag Placem_Collection'!AA85)),"YES","NO")</f>
        <v>NO</v>
      </c>
      <c r="AR158" t="s">
        <v>1719</v>
      </c>
      <c r="AT158" t="s">
        <v>375</v>
      </c>
    </row>
    <row r="159" spans="2:46">
      <c r="B159" t="str">
        <f>'Final data_for_R_analysis_Dryse'!A85</f>
        <v>Dry</v>
      </c>
      <c r="C159" s="263">
        <f>'Final data_for_R_analysis_Dryse'!B85</f>
        <v>84</v>
      </c>
      <c r="D159" t="s">
        <v>3839</v>
      </c>
      <c r="E159" t="s">
        <v>22</v>
      </c>
      <c r="F159" s="387">
        <v>4</v>
      </c>
      <c r="G159" s="16">
        <f>'Dry_Litterbag Placem_Collection'!E86</f>
        <v>42937</v>
      </c>
      <c r="H159" t="str">
        <f>'Final data_for_R_analysis_Dryse'!J85</f>
        <v>G101</v>
      </c>
      <c r="I159" t="str">
        <f>'Final data_for_R_analysis_Dryse'!J305</f>
        <v>R778</v>
      </c>
      <c r="J159">
        <f>IFERROR(INDEX('Green_rooibos initial weight'!$C$5:$C$1749,MATCH(H159, 'Green_rooibos initial weight'!$A$5:$A$1749,0)),"")</f>
        <v>2.173</v>
      </c>
      <c r="K159">
        <f>IFERROR(INDEX('Green_rooibos initial weight'!$C$5:$C$1749,MATCH(I159, 'Green_rooibos initial weight'!$A$5:$A$1749,0)),"")</f>
        <v>2.2450000000000001</v>
      </c>
      <c r="L159" s="195">
        <f t="shared" si="17"/>
        <v>1.9232</v>
      </c>
      <c r="M159" s="240">
        <f>AVERAGE(Ashed_controlls!$K$1:$K$11)</f>
        <v>5.5147656768714146</v>
      </c>
      <c r="N159" s="195">
        <f t="shared" si="12"/>
        <v>1.8171400265024089</v>
      </c>
      <c r="O159" s="195">
        <f t="shared" si="18"/>
        <v>1.9952000000000001</v>
      </c>
      <c r="P159" s="240">
        <f>AVERAGE(Ashed_controlls!$K$12:$K$14)</f>
        <v>2.2816647271287041</v>
      </c>
      <c r="Q159" s="195">
        <f t="shared" si="13"/>
        <v>1.9496762253643283</v>
      </c>
      <c r="R159" s="16">
        <f>IF('Dry_Litterbag Placem_Collection'!G86="N.A","",'Dry_Litterbag Placem_Collection'!G86)</f>
        <v>43006</v>
      </c>
      <c r="S159" s="195">
        <f>IF(IFERROR(INDEX('Both teabags AfterDry'!$D$1:$D$839,MATCH(H159,'Both teabags AfterDry'!$A$1:$A$839,0)),"")="N.A","",(IFERROR(INDEX('Both teabags AfterDry'!$D$1:$D$839,MATCH(H159,'Both teabags AfterDry'!$A$1:$A$839,0)),"")))</f>
        <v>1.9434</v>
      </c>
      <c r="T159" s="195">
        <f>IF(IFERROR(INDEX('Both teabags AfterDry'!$D$1:$D$839,MATCH(I159,'Both teabags AfterDry'!$A$1:$A$839,0)),"")="N.A","",(IFERROR(INDEX('Both teabags AfterDry'!$D$1:$D$839,MATCH(I159,'Both teabags AfterDry'!$A$1:$A$839,0)),"")))</f>
        <v>1.9495</v>
      </c>
      <c r="U159" s="195">
        <f t="shared" si="19"/>
        <v>1.7927999999999999</v>
      </c>
      <c r="V159" s="195">
        <f t="shared" si="19"/>
        <v>1.7988999999999999</v>
      </c>
      <c r="W159" s="195">
        <f>IFERROR(INDEX('Ashed teabags dry'!$K$2:$K$821,MATCH(H159,'Ashed teabags dry'!$A$2:$A$821,0)),"")</f>
        <v>5.5508112724168974</v>
      </c>
      <c r="X159" s="195">
        <f>IFERROR(INDEX('Ashed teabags dry'!$K$2:$K$821,MATCH(I159,'Ashed teabags dry'!$A$2:$A$821,0)),"")</f>
        <v>2.5398406374508733</v>
      </c>
      <c r="Y159" s="195">
        <f t="shared" si="14"/>
        <v>1.6932850555081098</v>
      </c>
      <c r="Z159" s="195">
        <f t="shared" si="14"/>
        <v>1.7532108067728962</v>
      </c>
      <c r="AA159" s="195">
        <f t="shared" si="20"/>
        <v>6.8159288325563172E-2</v>
      </c>
      <c r="AB159" s="195">
        <f t="shared" si="21"/>
        <v>4.468399899728133E-2</v>
      </c>
      <c r="AC159" s="195">
        <f t="shared" si="15"/>
        <v>0.89923177190370707</v>
      </c>
      <c r="AD159">
        <f t="shared" si="16"/>
        <v>69</v>
      </c>
      <c r="AE159" s="195">
        <f t="shared" si="22"/>
        <v>0.9190507264542005</v>
      </c>
      <c r="AF159" s="195" t="str">
        <f t="shared" si="23"/>
        <v/>
      </c>
      <c r="AG159" s="255" t="str">
        <f>IF(ISNUMBER(SEARCH("C", 'Dry_Litterbag Placem_Collection'!AB86)),"YES","NO")</f>
        <v>NO</v>
      </c>
      <c r="AH159" s="255" t="str">
        <f>IF(ISNUMBER(SEARCH("H", 'Dry_Litterbag Placem_Collection'!AB86)),"YES","NO")</f>
        <v>NO</v>
      </c>
      <c r="AI159" s="255" t="str">
        <f>IF(ISNUMBER(SEARCH("R", 'Dry_Litterbag Placem_Collection'!AB86)),"YES","NO")</f>
        <v>NO</v>
      </c>
      <c r="AJ159" s="255" t="str">
        <f>IF(ISNUMBER(SEARCH("C", 'Dry_Litterbag Placem_Collection'!AA86)),"YES","NO")</f>
        <v>NO</v>
      </c>
      <c r="AK159" s="255" t="str">
        <f>IF(ISNUMBER(SEARCH("H", 'Dry_Litterbag Placem_Collection'!AA86)),"YES","NO")</f>
        <v>NO</v>
      </c>
      <c r="AL159" s="255" t="str">
        <f>IF(ISNUMBER(SEARCH("R", 'Dry_Litterbag Placem_Collection'!AA86)),"YES","NO")</f>
        <v>NO</v>
      </c>
      <c r="AR159" t="s">
        <v>1949</v>
      </c>
      <c r="AT159" t="s">
        <v>361</v>
      </c>
    </row>
    <row r="160" spans="2:46">
      <c r="B160" t="str">
        <f>'Final data_for_R_analysis_Dryse'!A86</f>
        <v>Dry</v>
      </c>
      <c r="C160" s="263">
        <f>'Final data_for_R_analysis_Dryse'!B86</f>
        <v>85</v>
      </c>
      <c r="D160" t="s">
        <v>3839</v>
      </c>
      <c r="E160" t="s">
        <v>22</v>
      </c>
      <c r="F160" s="387">
        <v>5</v>
      </c>
      <c r="G160" s="16">
        <f>'Dry_Litterbag Placem_Collection'!E87</f>
        <v>0</v>
      </c>
      <c r="H160" t="str">
        <f>'Final data_for_R_analysis_Dryse'!J86</f>
        <v/>
      </c>
      <c r="I160" t="str">
        <f>'Final data_for_R_analysis_Dryse'!J306</f>
        <v/>
      </c>
      <c r="J160" t="str">
        <f>IFERROR(INDEX('Green_rooibos initial weight'!$C$5:$C$1749,MATCH(H160, 'Green_rooibos initial weight'!$A$5:$A$1749,0)),"")</f>
        <v/>
      </c>
      <c r="K160" t="str">
        <f>IFERROR(INDEX('Green_rooibos initial weight'!$C$5:$C$1749,MATCH(I160, 'Green_rooibos initial weight'!$A$5:$A$1749,0)),"")</f>
        <v/>
      </c>
      <c r="L160" s="195" t="str">
        <f t="shared" si="17"/>
        <v/>
      </c>
      <c r="M160" s="240">
        <f>AVERAGE(Ashed_controlls!$K$1:$K$11)</f>
        <v>5.5147656768714146</v>
      </c>
      <c r="N160" s="195" t="str">
        <f t="shared" si="12"/>
        <v/>
      </c>
      <c r="O160" s="195" t="str">
        <f t="shared" si="18"/>
        <v/>
      </c>
      <c r="P160" s="240">
        <f>AVERAGE(Ashed_controlls!$K$12:$K$14)</f>
        <v>2.2816647271287041</v>
      </c>
      <c r="Q160" s="195" t="str">
        <f t="shared" si="13"/>
        <v/>
      </c>
      <c r="R160" s="16">
        <f>IF('Dry_Litterbag Placem_Collection'!G87="N.A","",'Dry_Litterbag Placem_Collection'!G87)</f>
        <v>0</v>
      </c>
      <c r="S160" s="195" t="str">
        <f>IF(IFERROR(INDEX('Both teabags AfterDry'!$D$1:$D$839,MATCH(H160,'Both teabags AfterDry'!$A$1:$A$839,0)),"")="N.A","",(IFERROR(INDEX('Both teabags AfterDry'!$D$1:$D$839,MATCH(H160,'Both teabags AfterDry'!$A$1:$A$839,0)),"")))</f>
        <v/>
      </c>
      <c r="T160" s="195" t="str">
        <f>IF(IFERROR(INDEX('Both teabags AfterDry'!$D$1:$D$839,MATCH(I160,'Both teabags AfterDry'!$A$1:$A$839,0)),"")="N.A","",(IFERROR(INDEX('Both teabags AfterDry'!$D$1:$D$839,MATCH(I160,'Both teabags AfterDry'!$A$1:$A$839,0)),"")))</f>
        <v/>
      </c>
      <c r="U160" s="195" t="str">
        <f t="shared" si="19"/>
        <v/>
      </c>
      <c r="V160" s="195" t="str">
        <f t="shared" si="19"/>
        <v/>
      </c>
      <c r="W160" s="195" t="str">
        <f>IFERROR(INDEX('Ashed teabags dry'!$K$2:$K$821,MATCH(H160,'Ashed teabags dry'!$A$2:$A$821,0)),"")</f>
        <v/>
      </c>
      <c r="X160" s="195" t="str">
        <f>IFERROR(INDEX('Ashed teabags dry'!$K$2:$K$821,MATCH(I160,'Ashed teabags dry'!$A$2:$A$821,0)),"")</f>
        <v/>
      </c>
      <c r="Y160" s="195" t="str">
        <f t="shared" si="14"/>
        <v/>
      </c>
      <c r="Z160" s="195" t="str">
        <f t="shared" si="14"/>
        <v/>
      </c>
      <c r="AA160" s="195" t="str">
        <f t="shared" si="20"/>
        <v/>
      </c>
      <c r="AB160" s="195" t="str">
        <f t="shared" si="21"/>
        <v/>
      </c>
      <c r="AC160" s="195" t="str">
        <f t="shared" si="15"/>
        <v/>
      </c>
      <c r="AD160" t="str">
        <f t="shared" si="16"/>
        <v/>
      </c>
      <c r="AE160" s="195" t="str">
        <f t="shared" si="22"/>
        <v/>
      </c>
      <c r="AF160" s="195" t="str">
        <f t="shared" si="23"/>
        <v/>
      </c>
      <c r="AG160" s="255" t="str">
        <f>IF(ISNUMBER(SEARCH("C", 'Dry_Litterbag Placem_Collection'!AB87)),"YES","NO")</f>
        <v>NO</v>
      </c>
      <c r="AH160" s="255" t="str">
        <f>IF(ISNUMBER(SEARCH("H", 'Dry_Litterbag Placem_Collection'!AB87)),"YES","NO")</f>
        <v>NO</v>
      </c>
      <c r="AI160" s="255" t="str">
        <f>IF(ISNUMBER(SEARCH("R", 'Dry_Litterbag Placem_Collection'!AB87)),"YES","NO")</f>
        <v>NO</v>
      </c>
      <c r="AJ160" s="255" t="str">
        <f>IF(ISNUMBER(SEARCH("C", 'Dry_Litterbag Placem_Collection'!AA87)),"YES","NO")</f>
        <v>NO</v>
      </c>
      <c r="AK160" s="255" t="str">
        <f>IF(ISNUMBER(SEARCH("H", 'Dry_Litterbag Placem_Collection'!AA87)),"YES","NO")</f>
        <v>NO</v>
      </c>
      <c r="AL160" s="255" t="str">
        <f>IF(ISNUMBER(SEARCH("R", 'Dry_Litterbag Placem_Collection'!AA87)),"YES","NO")</f>
        <v>NO</v>
      </c>
      <c r="AR160" t="s">
        <v>3654</v>
      </c>
      <c r="AT160" t="s">
        <v>3654</v>
      </c>
    </row>
    <row r="161" spans="2:46">
      <c r="B161" t="str">
        <f>'Final data_for_R_analysis_Dryse'!A87</f>
        <v>Dry</v>
      </c>
      <c r="C161" s="263">
        <f>'Final data_for_R_analysis_Dryse'!B87</f>
        <v>86</v>
      </c>
      <c r="D161" t="s">
        <v>3839</v>
      </c>
      <c r="E161" t="s">
        <v>22</v>
      </c>
      <c r="F161" s="387">
        <v>6</v>
      </c>
      <c r="G161" s="16">
        <f>'Dry_Litterbag Placem_Collection'!E88</f>
        <v>42937</v>
      </c>
      <c r="H161" t="str">
        <f>'Final data_for_R_analysis_Dryse'!J87</f>
        <v>G31</v>
      </c>
      <c r="I161" t="str">
        <f>'Final data_for_R_analysis_Dryse'!J307</f>
        <v>R738</v>
      </c>
      <c r="J161">
        <f>IFERROR(INDEX('Green_rooibos initial weight'!$C$5:$C$1749,MATCH(H161, 'Green_rooibos initial weight'!$A$5:$A$1749,0)),"")</f>
        <v>1.9390000000000001</v>
      </c>
      <c r="K161">
        <f>IFERROR(INDEX('Green_rooibos initial weight'!$C$5:$C$1749,MATCH(I161, 'Green_rooibos initial weight'!$A$5:$A$1749,0)),"")</f>
        <v>2.1890000000000001</v>
      </c>
      <c r="L161" s="195">
        <f t="shared" si="17"/>
        <v>1.6892</v>
      </c>
      <c r="M161" s="240">
        <f>AVERAGE(Ashed_controlls!$K$1:$K$11)</f>
        <v>5.5147656768714146</v>
      </c>
      <c r="N161" s="195">
        <f t="shared" si="12"/>
        <v>1.5960445781862882</v>
      </c>
      <c r="O161" s="195">
        <f t="shared" si="18"/>
        <v>1.9392</v>
      </c>
      <c r="P161" s="240">
        <f>AVERAGE(Ashed_controlls!$K$12:$K$14)</f>
        <v>2.2816647271287041</v>
      </c>
      <c r="Q161" s="195">
        <f t="shared" si="13"/>
        <v>1.8949539576115202</v>
      </c>
      <c r="R161" s="16">
        <f>IF('Dry_Litterbag Placem_Collection'!G88="N.A","",'Dry_Litterbag Placem_Collection'!G88)</f>
        <v>43006</v>
      </c>
      <c r="S161" s="195" t="str">
        <f>IF(IFERROR(INDEX('Both teabags AfterDry'!$D$1:$D$839,MATCH(H161,'Both teabags AfterDry'!$A$1:$A$839,0)),"")="N.A","",(IFERROR(INDEX('Both teabags AfterDry'!$D$1:$D$839,MATCH(H161,'Both teabags AfterDry'!$A$1:$A$839,0)),"")))</f>
        <v/>
      </c>
      <c r="T161" s="195" t="str">
        <f>IF(IFERROR(INDEX('Both teabags AfterDry'!$D$1:$D$839,MATCH(I161,'Both teabags AfterDry'!$A$1:$A$839,0)),"")="N.A","",(IFERROR(INDEX('Both teabags AfterDry'!$D$1:$D$839,MATCH(I161,'Both teabags AfterDry'!$A$1:$A$839,0)),"")))</f>
        <v/>
      </c>
      <c r="U161" s="195" t="str">
        <f t="shared" si="19"/>
        <v/>
      </c>
      <c r="V161" s="195" t="str">
        <f t="shared" si="19"/>
        <v/>
      </c>
      <c r="W161" s="195" t="str">
        <f>IFERROR(INDEX('Ashed teabags dry'!$K$2:$K$821,MATCH(H161,'Ashed teabags dry'!$A$2:$A$821,0)),"")</f>
        <v/>
      </c>
      <c r="X161" s="195" t="str">
        <f>IFERROR(INDEX('Ashed teabags dry'!$K$2:$K$821,MATCH(I161,'Ashed teabags dry'!$A$2:$A$821,0)),"")</f>
        <v/>
      </c>
      <c r="Y161" s="195" t="str">
        <f t="shared" si="14"/>
        <v/>
      </c>
      <c r="Z161" s="195" t="str">
        <f t="shared" si="14"/>
        <v/>
      </c>
      <c r="AA161" s="195" t="str">
        <f t="shared" si="20"/>
        <v/>
      </c>
      <c r="AB161" s="195" t="str">
        <f t="shared" si="21"/>
        <v/>
      </c>
      <c r="AC161" s="195" t="str">
        <f t="shared" si="15"/>
        <v/>
      </c>
      <c r="AD161">
        <f t="shared" si="16"/>
        <v>69</v>
      </c>
      <c r="AE161" s="195" t="str">
        <f t="shared" si="22"/>
        <v/>
      </c>
      <c r="AF161" s="195" t="str">
        <f t="shared" si="23"/>
        <v/>
      </c>
      <c r="AG161" s="255" t="str">
        <f>IF(ISNUMBER(SEARCH("C", 'Dry_Litterbag Placem_Collection'!AB88)),"YES","NO")</f>
        <v>NO</v>
      </c>
      <c r="AH161" s="255" t="str">
        <f>IF(ISNUMBER(SEARCH("H", 'Dry_Litterbag Placem_Collection'!AB88)),"YES","NO")</f>
        <v>NO</v>
      </c>
      <c r="AI161" s="255" t="str">
        <f>IF(ISNUMBER(SEARCH("R", 'Dry_Litterbag Placem_Collection'!AB88)),"YES","NO")</f>
        <v>NO</v>
      </c>
      <c r="AJ161" s="255" t="str">
        <f>IF(ISNUMBER(SEARCH("C", 'Dry_Litterbag Placem_Collection'!AA88)),"YES","NO")</f>
        <v>NO</v>
      </c>
      <c r="AK161" s="255" t="str">
        <f>IF(ISNUMBER(SEARCH("H", 'Dry_Litterbag Placem_Collection'!AA88)),"YES","NO")</f>
        <v>NO</v>
      </c>
      <c r="AL161" s="255" t="str">
        <f>IF(ISNUMBER(SEARCH("R", 'Dry_Litterbag Placem_Collection'!AA88)),"YES","NO")</f>
        <v>NO</v>
      </c>
      <c r="AR161" t="s">
        <v>2019</v>
      </c>
      <c r="AT161" t="s">
        <v>401</v>
      </c>
    </row>
    <row r="162" spans="2:46">
      <c r="B162" t="str">
        <f>'Final data_for_R_analysis_Dryse'!A88</f>
        <v>Dry</v>
      </c>
      <c r="C162" s="263">
        <f>'Final data_for_R_analysis_Dryse'!B88</f>
        <v>87</v>
      </c>
      <c r="D162" t="s">
        <v>3839</v>
      </c>
      <c r="E162" t="s">
        <v>22</v>
      </c>
      <c r="F162" s="387">
        <v>7</v>
      </c>
      <c r="G162" s="16">
        <f>'Dry_Litterbag Placem_Collection'!E89</f>
        <v>42937</v>
      </c>
      <c r="H162" t="str">
        <f>'Final data_for_R_analysis_Dryse'!J88</f>
        <v>G220</v>
      </c>
      <c r="I162" t="str">
        <f>'Final data_for_R_analysis_Dryse'!J308</f>
        <v>R394</v>
      </c>
      <c r="J162">
        <f>IFERROR(INDEX('Green_rooibos initial weight'!$C$5:$C$1749,MATCH(H162, 'Green_rooibos initial weight'!$A$5:$A$1749,0)),"")</f>
        <v>2.1179999999999999</v>
      </c>
      <c r="K162">
        <f>IFERROR(INDEX('Green_rooibos initial weight'!$C$5:$C$1749,MATCH(I162, 'Green_rooibos initial weight'!$A$5:$A$1749,0)),"")</f>
        <v>2.1800000000000002</v>
      </c>
      <c r="L162" s="195">
        <f t="shared" si="17"/>
        <v>1.8681999999999999</v>
      </c>
      <c r="M162" s="240">
        <f>AVERAGE(Ashed_controlls!$K$1:$K$11)</f>
        <v>5.5147656768714146</v>
      </c>
      <c r="N162" s="195">
        <f t="shared" si="12"/>
        <v>1.7651731476246881</v>
      </c>
      <c r="O162" s="195">
        <f t="shared" si="18"/>
        <v>1.9302000000000001</v>
      </c>
      <c r="P162" s="240">
        <f>AVERAGE(Ashed_controlls!$K$12:$K$14)</f>
        <v>2.2816647271287041</v>
      </c>
      <c r="Q162" s="195">
        <f t="shared" si="13"/>
        <v>1.8861593074369618</v>
      </c>
      <c r="R162" s="16">
        <f>IF('Dry_Litterbag Placem_Collection'!G89="N.A","",'Dry_Litterbag Placem_Collection'!G89)</f>
        <v>43006</v>
      </c>
      <c r="S162" s="195">
        <f>IF(IFERROR(INDEX('Both teabags AfterDry'!$D$1:$D$839,MATCH(H162,'Both teabags AfterDry'!$A$1:$A$839,0)),"")="N.A","",(IFERROR(INDEX('Both teabags AfterDry'!$D$1:$D$839,MATCH(H162,'Both teabags AfterDry'!$A$1:$A$839,0)),"")))</f>
        <v>1.9671000000000001</v>
      </c>
      <c r="T162" s="195">
        <f>IF(IFERROR(INDEX('Both teabags AfterDry'!$D$1:$D$839,MATCH(I162,'Both teabags AfterDry'!$A$1:$A$839,0)),"")="N.A","",(IFERROR(INDEX('Both teabags AfterDry'!$D$1:$D$839,MATCH(I162,'Both teabags AfterDry'!$A$1:$A$839,0)),"")))</f>
        <v>1.9392</v>
      </c>
      <c r="U162" s="195">
        <f t="shared" si="19"/>
        <v>1.8165</v>
      </c>
      <c r="V162" s="195">
        <f t="shared" si="19"/>
        <v>1.7886</v>
      </c>
      <c r="W162" s="195">
        <f>IFERROR(INDEX('Ashed teabags dry'!$K$2:$K$821,MATCH(H162,'Ashed teabags dry'!$A$2:$A$821,0)),"")</f>
        <v>5.9062218214606252</v>
      </c>
      <c r="X162" s="195">
        <f>IFERROR(INDEX('Ashed teabags dry'!$K$2:$K$821,MATCH(I162,'Ashed teabags dry'!$A$2:$A$821,0)),"")</f>
        <v>3.1437125748499946</v>
      </c>
      <c r="Y162" s="195">
        <f t="shared" si="14"/>
        <v>1.7092134806131678</v>
      </c>
      <c r="Z162" s="195">
        <f t="shared" si="14"/>
        <v>1.732371556886233</v>
      </c>
      <c r="AA162" s="195">
        <f t="shared" si="20"/>
        <v>3.1702083779612589E-2</v>
      </c>
      <c r="AB162" s="195">
        <f t="shared" si="21"/>
        <v>2.0783313831765019E-2</v>
      </c>
      <c r="AC162" s="195">
        <f t="shared" si="15"/>
        <v>0.91846513179223144</v>
      </c>
      <c r="AD162">
        <f t="shared" si="16"/>
        <v>69</v>
      </c>
      <c r="AE162" s="195">
        <f t="shared" si="22"/>
        <v>0.96234906914535323</v>
      </c>
      <c r="AF162" s="195" t="str">
        <f t="shared" si="23"/>
        <v/>
      </c>
      <c r="AG162" s="255" t="str">
        <f>IF(ISNUMBER(SEARCH("C", 'Dry_Litterbag Placem_Collection'!AB89)),"YES","NO")</f>
        <v>NO</v>
      </c>
      <c r="AH162" s="255" t="str">
        <f>IF(ISNUMBER(SEARCH("H", 'Dry_Litterbag Placem_Collection'!AB89)),"YES","NO")</f>
        <v>NO</v>
      </c>
      <c r="AI162" s="255" t="str">
        <f>IF(ISNUMBER(SEARCH("R", 'Dry_Litterbag Placem_Collection'!AB89)),"YES","NO")</f>
        <v>NO</v>
      </c>
      <c r="AJ162" s="255" t="str">
        <f>IF(ISNUMBER(SEARCH("C", 'Dry_Litterbag Placem_Collection'!AA89)),"YES","NO")</f>
        <v>NO</v>
      </c>
      <c r="AK162" s="255" t="str">
        <f>IF(ISNUMBER(SEARCH("H", 'Dry_Litterbag Placem_Collection'!AA89)),"YES","NO")</f>
        <v>NO</v>
      </c>
      <c r="AL162" s="255" t="str">
        <f>IF(ISNUMBER(SEARCH("R", 'Dry_Litterbag Placem_Collection'!AA89)),"YES","NO")</f>
        <v>NO</v>
      </c>
      <c r="AR162" t="s">
        <v>1830</v>
      </c>
      <c r="AT162" t="s">
        <v>747</v>
      </c>
    </row>
    <row r="163" spans="2:46">
      <c r="B163" t="str">
        <f>'Final data_for_R_analysis_Dryse'!A89</f>
        <v>Dry</v>
      </c>
      <c r="C163" s="263">
        <f>'Final data_for_R_analysis_Dryse'!B89</f>
        <v>88</v>
      </c>
      <c r="D163" t="s">
        <v>3839</v>
      </c>
      <c r="E163" t="s">
        <v>22</v>
      </c>
      <c r="F163" s="387">
        <v>8</v>
      </c>
      <c r="G163" s="16">
        <f>'Dry_Litterbag Placem_Collection'!E90</f>
        <v>42937</v>
      </c>
      <c r="H163" t="str">
        <f>'Final data_for_R_analysis_Dryse'!J89</f>
        <v>G531</v>
      </c>
      <c r="I163" t="str">
        <f>'Final data_for_R_analysis_Dryse'!J309</f>
        <v>R819</v>
      </c>
      <c r="J163">
        <f>IFERROR(INDEX('Green_rooibos initial weight'!$C$5:$C$1749,MATCH(H163, 'Green_rooibos initial weight'!$A$5:$A$1749,0)),"")</f>
        <v>2.0110000000000001</v>
      </c>
      <c r="K163">
        <f>IFERROR(INDEX('Green_rooibos initial weight'!$C$5:$C$1749,MATCH(I163, 'Green_rooibos initial weight'!$A$5:$A$1749,0)),"")</f>
        <v>2.16</v>
      </c>
      <c r="L163" s="195">
        <f t="shared" si="17"/>
        <v>1.7612000000000001</v>
      </c>
      <c r="M163" s="240">
        <f>AVERAGE(Ashed_controlls!$K$1:$K$11)</f>
        <v>5.5147656768714146</v>
      </c>
      <c r="N163" s="195">
        <f t="shared" si="12"/>
        <v>1.6640739468989407</v>
      </c>
      <c r="O163" s="195">
        <f t="shared" si="18"/>
        <v>1.9102000000000001</v>
      </c>
      <c r="P163" s="240">
        <f>AVERAGE(Ashed_controlls!$K$12:$K$14)</f>
        <v>2.2816647271287041</v>
      </c>
      <c r="Q163" s="195">
        <f t="shared" si="13"/>
        <v>1.8666156403823877</v>
      </c>
      <c r="R163" s="16">
        <f>IF('Dry_Litterbag Placem_Collection'!G90="N.A","",'Dry_Litterbag Placem_Collection'!G90)</f>
        <v>43006</v>
      </c>
      <c r="S163" s="195">
        <f>IF(IFERROR(INDEX('Both teabags AfterDry'!$D$1:$D$839,MATCH(H163,'Both teabags AfterDry'!$A$1:$A$839,0)),"")="N.A","",(IFERROR(INDEX('Both teabags AfterDry'!$D$1:$D$839,MATCH(H163,'Both teabags AfterDry'!$A$1:$A$839,0)),"")))</f>
        <v>1.8593999999999999</v>
      </c>
      <c r="T163" s="195">
        <f>IF(IFERROR(INDEX('Both teabags AfterDry'!$D$1:$D$839,MATCH(I163,'Both teabags AfterDry'!$A$1:$A$839,0)),"")="N.A","",(IFERROR(INDEX('Both teabags AfterDry'!$D$1:$D$839,MATCH(I163,'Both teabags AfterDry'!$A$1:$A$839,0)),"")))</f>
        <v>2.8028</v>
      </c>
      <c r="U163" s="195">
        <f t="shared" si="19"/>
        <v>1.7087999999999999</v>
      </c>
      <c r="V163" s="195">
        <f t="shared" si="19"/>
        <v>2.6522000000000001</v>
      </c>
      <c r="W163" s="195">
        <f>IFERROR(INDEX('Ashed teabags dry'!$K$2:$K$821,MATCH(H163,'Ashed teabags dry'!$A$2:$A$821,0)),"")</f>
        <v>7.2600696171056427</v>
      </c>
      <c r="X163" s="195">
        <f>IFERROR(INDEX('Ashed teabags dry'!$K$2:$K$821,MATCH(I163,'Ashed teabags dry'!$A$2:$A$821,0)),"")</f>
        <v>86.93858845096193</v>
      </c>
      <c r="Y163" s="195">
        <f t="shared" si="14"/>
        <v>1.5847399303828986</v>
      </c>
      <c r="Z163" s="195">
        <f t="shared" si="14"/>
        <v>0.3464147571035876</v>
      </c>
      <c r="AA163" s="195">
        <f t="shared" si="20"/>
        <v>4.7674573995875491E-2</v>
      </c>
      <c r="AB163" s="195">
        <f t="shared" si="21"/>
        <v>3.1254590078056116E-2</v>
      </c>
      <c r="AC163" s="195">
        <f t="shared" si="15"/>
        <v>0.18558440720695044</v>
      </c>
      <c r="AD163">
        <f t="shared" si="16"/>
        <v>69</v>
      </c>
      <c r="AE163" s="195">
        <f t="shared" si="22"/>
        <v>0.94337936580062298</v>
      </c>
      <c r="AF163" s="195" t="str">
        <f t="shared" si="23"/>
        <v/>
      </c>
      <c r="AG163" s="255" t="str">
        <f>IF(ISNUMBER(SEARCH("C", 'Dry_Litterbag Placem_Collection'!AB90)),"YES","NO")</f>
        <v>NO</v>
      </c>
      <c r="AH163" s="255" t="str">
        <f>IF(ISNUMBER(SEARCH("H", 'Dry_Litterbag Placem_Collection'!AB90)),"YES","NO")</f>
        <v>NO</v>
      </c>
      <c r="AI163" s="255" t="str">
        <f>IF(ISNUMBER(SEARCH("R", 'Dry_Litterbag Placem_Collection'!AB90)),"YES","NO")</f>
        <v>NO</v>
      </c>
      <c r="AJ163" s="255" t="str">
        <f>IF(ISNUMBER(SEARCH("C", 'Dry_Litterbag Placem_Collection'!AA90)),"YES","NO")</f>
        <v>NO</v>
      </c>
      <c r="AK163" s="255" t="str">
        <f>IF(ISNUMBER(SEARCH("H", 'Dry_Litterbag Placem_Collection'!AA90)),"YES","NO")</f>
        <v>NO</v>
      </c>
      <c r="AL163" s="255" t="str">
        <f>IF(ISNUMBER(SEARCH("R", 'Dry_Litterbag Placem_Collection'!AA90)),"YES","NO")</f>
        <v>NO</v>
      </c>
      <c r="AR163" t="s">
        <v>1519</v>
      </c>
      <c r="AT163" t="s">
        <v>320</v>
      </c>
    </row>
    <row r="164" spans="2:46">
      <c r="B164" t="str">
        <f>'Final data_for_R_analysis_Dryse'!A90</f>
        <v>Dry</v>
      </c>
      <c r="C164" s="263">
        <f>'Final data_for_R_analysis_Dryse'!B90</f>
        <v>89</v>
      </c>
      <c r="D164" t="s">
        <v>3840</v>
      </c>
      <c r="E164" t="s">
        <v>22</v>
      </c>
      <c r="F164" s="386">
        <v>1</v>
      </c>
      <c r="G164" s="16">
        <f>'Dry_Litterbag Placem_Collection'!E91</f>
        <v>42937</v>
      </c>
      <c r="H164" t="str">
        <f>'Final data_for_R_analysis_Dryse'!J90</f>
        <v>G35</v>
      </c>
      <c r="I164" t="str">
        <f>'Final data_for_R_analysis_Dryse'!J310</f>
        <v>R818</v>
      </c>
      <c r="J164">
        <f>IFERROR(INDEX('Green_rooibos initial weight'!$C$5:$C$1749,MATCH(H164, 'Green_rooibos initial weight'!$A$5:$A$1749,0)),"")</f>
        <v>2.0299999999999998</v>
      </c>
      <c r="K164">
        <f>IFERROR(INDEX('Green_rooibos initial weight'!$C$5:$C$1749,MATCH(I164, 'Green_rooibos initial weight'!$A$5:$A$1749,0)),"")</f>
        <v>2.1680000000000001</v>
      </c>
      <c r="L164" s="195">
        <f t="shared" si="17"/>
        <v>1.7801999999999998</v>
      </c>
      <c r="M164" s="240">
        <f>AVERAGE(Ashed_controlls!$K$1:$K$11)</f>
        <v>5.5147656768714146</v>
      </c>
      <c r="N164" s="195">
        <f t="shared" si="12"/>
        <v>1.6820261414203348</v>
      </c>
      <c r="O164" s="195">
        <f t="shared" si="18"/>
        <v>1.9182000000000001</v>
      </c>
      <c r="P164" s="240">
        <f>AVERAGE(Ashed_controlls!$K$12:$K$14)</f>
        <v>2.2816647271287041</v>
      </c>
      <c r="Q164" s="195">
        <f t="shared" si="13"/>
        <v>1.8744331072042173</v>
      </c>
      <c r="R164" s="16">
        <f>IF('Dry_Litterbag Placem_Collection'!G91="N.A","",'Dry_Litterbag Placem_Collection'!G91)</f>
        <v>43006</v>
      </c>
      <c r="S164" s="195">
        <f>IF(IFERROR(INDEX('Both teabags AfterDry'!$D$1:$D$839,MATCH(H164,'Both teabags AfterDry'!$A$1:$A$839,0)),"")="N.A","",(IFERROR(INDEX('Both teabags AfterDry'!$D$1:$D$839,MATCH(H164,'Both teabags AfterDry'!$A$1:$A$839,0)),"")))</f>
        <v>1.8633999999999999</v>
      </c>
      <c r="T164" s="195">
        <f>IF(IFERROR(INDEX('Both teabags AfterDry'!$D$1:$D$839,MATCH(I164,'Both teabags AfterDry'!$A$1:$A$839,0)),"")="N.A","",(IFERROR(INDEX('Both teabags AfterDry'!$D$1:$D$839,MATCH(I164,'Both teabags AfterDry'!$A$1:$A$839,0)),"")))</f>
        <v>1.9155</v>
      </c>
      <c r="U164" s="195">
        <f t="shared" si="19"/>
        <v>1.7127999999999999</v>
      </c>
      <c r="V164" s="195">
        <f t="shared" si="19"/>
        <v>1.7648999999999999</v>
      </c>
      <c r="W164" s="195">
        <f>IFERROR(INDEX('Ashed teabags dry'!$K$2:$K$821,MATCH(H164,'Ashed teabags dry'!$A$2:$A$821,0)),"")</f>
        <v>5.6105610561053325</v>
      </c>
      <c r="X164" s="195">
        <f>IFERROR(INDEX('Ashed teabags dry'!$K$2:$K$821,MATCH(I164,'Ashed teabags dry'!$A$2:$A$821,0)),"")</f>
        <v>2.8114396509937518</v>
      </c>
      <c r="Y164" s="195">
        <f t="shared" si="14"/>
        <v>1.6167023102310278</v>
      </c>
      <c r="Z164" s="195">
        <f t="shared" si="14"/>
        <v>1.7152809015996111</v>
      </c>
      <c r="AA164" s="195">
        <f t="shared" si="20"/>
        <v>3.8836394738875013E-2</v>
      </c>
      <c r="AB164" s="195">
        <f t="shared" si="21"/>
        <v>2.546043930624586E-2</v>
      </c>
      <c r="AC164" s="195">
        <f t="shared" si="15"/>
        <v>0.91509315270151881</v>
      </c>
      <c r="AD164">
        <f t="shared" si="16"/>
        <v>69</v>
      </c>
      <c r="AE164" s="195">
        <f t="shared" si="22"/>
        <v>0.95387601574955461</v>
      </c>
      <c r="AF164" s="195" t="str">
        <f t="shared" si="23"/>
        <v/>
      </c>
      <c r="AG164" s="255" t="str">
        <f>IF(ISNUMBER(SEARCH("C", 'Dry_Litterbag Placem_Collection'!AB91)),"YES","NO")</f>
        <v>NO</v>
      </c>
      <c r="AH164" s="255" t="str">
        <f>IF(ISNUMBER(SEARCH("H", 'Dry_Litterbag Placem_Collection'!AB91)),"YES","NO")</f>
        <v>NO</v>
      </c>
      <c r="AI164" s="255" t="str">
        <f>IF(ISNUMBER(SEARCH("R", 'Dry_Litterbag Placem_Collection'!AB91)),"YES","NO")</f>
        <v>NO</v>
      </c>
      <c r="AJ164" s="255" t="str">
        <f>IF(ISNUMBER(SEARCH("C", 'Dry_Litterbag Placem_Collection'!AA91)),"YES","NO")</f>
        <v>NO</v>
      </c>
      <c r="AK164" s="255" t="str">
        <f>IF(ISNUMBER(SEARCH("H", 'Dry_Litterbag Placem_Collection'!AA91)),"YES","NO")</f>
        <v>NO</v>
      </c>
      <c r="AL164" s="255" t="str">
        <f>IF(ISNUMBER(SEARCH("R", 'Dry_Litterbag Placem_Collection'!AA91)),"YES","NO")</f>
        <v>NO</v>
      </c>
      <c r="AR164" t="s">
        <v>2015</v>
      </c>
      <c r="AT164" t="s">
        <v>321</v>
      </c>
    </row>
    <row r="165" spans="2:46">
      <c r="B165" t="str">
        <f>'Final data_for_R_analysis_Dryse'!A91</f>
        <v>Dry</v>
      </c>
      <c r="C165" s="263">
        <f>'Final data_for_R_analysis_Dryse'!B91</f>
        <v>90</v>
      </c>
      <c r="D165" t="s">
        <v>3840</v>
      </c>
      <c r="E165" t="s">
        <v>22</v>
      </c>
      <c r="F165" s="386">
        <v>2</v>
      </c>
      <c r="G165" s="16">
        <f>'Dry_Litterbag Placem_Collection'!E92</f>
        <v>42937</v>
      </c>
      <c r="H165" t="str">
        <f>'Final data_for_R_analysis_Dryse'!J91</f>
        <v>G264</v>
      </c>
      <c r="I165" t="str">
        <f>'Final data_for_R_analysis_Dryse'!J311</f>
        <v>R767</v>
      </c>
      <c r="J165">
        <f>IFERROR(INDEX('Green_rooibos initial weight'!$C$5:$C$1749,MATCH(H165, 'Green_rooibos initial weight'!$A$5:$A$1749,0)),"")</f>
        <v>2.1070000000000002</v>
      </c>
      <c r="K165">
        <f>IFERROR(INDEX('Green_rooibos initial weight'!$C$5:$C$1749,MATCH(I165, 'Green_rooibos initial weight'!$A$5:$A$1749,0)),"")</f>
        <v>2.1890000000000001</v>
      </c>
      <c r="L165" s="195">
        <f t="shared" si="17"/>
        <v>1.8572000000000002</v>
      </c>
      <c r="M165" s="240">
        <f>AVERAGE(Ashed_controlls!$K$1:$K$11)</f>
        <v>5.5147656768714146</v>
      </c>
      <c r="N165" s="195">
        <f t="shared" si="12"/>
        <v>1.7547797718491442</v>
      </c>
      <c r="O165" s="195">
        <f t="shared" si="18"/>
        <v>1.9392</v>
      </c>
      <c r="P165" s="240">
        <f>AVERAGE(Ashed_controlls!$K$12:$K$14)</f>
        <v>2.2816647271287041</v>
      </c>
      <c r="Q165" s="195">
        <f t="shared" si="13"/>
        <v>1.8949539576115202</v>
      </c>
      <c r="R165" s="16">
        <f>IF('Dry_Litterbag Placem_Collection'!G92="N.A","",'Dry_Litterbag Placem_Collection'!G92)</f>
        <v>43006</v>
      </c>
      <c r="S165" s="195" t="str">
        <f>IF(IFERROR(INDEX('Both teabags AfterDry'!$D$1:$D$839,MATCH(H165,'Both teabags AfterDry'!$A$1:$A$839,0)),"")="N.A","",(IFERROR(INDEX('Both teabags AfterDry'!$D$1:$D$839,MATCH(H165,'Both teabags AfterDry'!$A$1:$A$839,0)),"")))</f>
        <v/>
      </c>
      <c r="T165" s="195" t="str">
        <f>IF(IFERROR(INDEX('Both teabags AfterDry'!$D$1:$D$839,MATCH(I165,'Both teabags AfterDry'!$A$1:$A$839,0)),"")="N.A","",(IFERROR(INDEX('Both teabags AfterDry'!$D$1:$D$839,MATCH(I165,'Both teabags AfterDry'!$A$1:$A$839,0)),"")))</f>
        <v/>
      </c>
      <c r="U165" s="195" t="str">
        <f t="shared" si="19"/>
        <v/>
      </c>
      <c r="V165" s="195" t="str">
        <f t="shared" si="19"/>
        <v/>
      </c>
      <c r="W165" s="195" t="str">
        <f>IFERROR(INDEX('Ashed teabags dry'!$K$2:$K$821,MATCH(H165,'Ashed teabags dry'!$A$2:$A$821,0)),"")</f>
        <v/>
      </c>
      <c r="X165" s="195" t="str">
        <f>IFERROR(INDEX('Ashed teabags dry'!$K$2:$K$821,MATCH(I165,'Ashed teabags dry'!$A$2:$A$821,0)),"")</f>
        <v/>
      </c>
      <c r="Y165" s="195" t="str">
        <f t="shared" si="14"/>
        <v/>
      </c>
      <c r="Z165" s="195" t="str">
        <f t="shared" si="14"/>
        <v/>
      </c>
      <c r="AA165" s="195" t="str">
        <f t="shared" si="20"/>
        <v/>
      </c>
      <c r="AB165" s="195" t="str">
        <f t="shared" si="21"/>
        <v/>
      </c>
      <c r="AC165" s="195" t="str">
        <f t="shared" si="15"/>
        <v/>
      </c>
      <c r="AD165">
        <f t="shared" si="16"/>
        <v>69</v>
      </c>
      <c r="AE165" s="195" t="str">
        <f t="shared" si="22"/>
        <v/>
      </c>
      <c r="AF165" s="195" t="str">
        <f t="shared" si="23"/>
        <v/>
      </c>
      <c r="AG165" s="255" t="str">
        <f>IF(ISNUMBER(SEARCH("C", 'Dry_Litterbag Placem_Collection'!AB92)),"YES","NO")</f>
        <v>NO</v>
      </c>
      <c r="AH165" s="255" t="str">
        <f>IF(ISNUMBER(SEARCH("H", 'Dry_Litterbag Placem_Collection'!AB92)),"YES","NO")</f>
        <v>NO</v>
      </c>
      <c r="AI165" s="255" t="str">
        <f>IF(ISNUMBER(SEARCH("R", 'Dry_Litterbag Placem_Collection'!AB92)),"YES","NO")</f>
        <v>NO</v>
      </c>
      <c r="AJ165" s="255" t="str">
        <f>IF(ISNUMBER(SEARCH("C", 'Dry_Litterbag Placem_Collection'!AA92)),"YES","NO")</f>
        <v>NO</v>
      </c>
      <c r="AK165" s="255" t="str">
        <f>IF(ISNUMBER(SEARCH("H", 'Dry_Litterbag Placem_Collection'!AA92)),"YES","NO")</f>
        <v>NO</v>
      </c>
      <c r="AL165" s="255" t="str">
        <f>IF(ISNUMBER(SEARCH("R", 'Dry_Litterbag Placem_Collection'!AA92)),"YES","NO")</f>
        <v>NO</v>
      </c>
      <c r="AR165" t="s">
        <v>1786</v>
      </c>
      <c r="AT165" t="s">
        <v>372</v>
      </c>
    </row>
    <row r="166" spans="2:46">
      <c r="B166" t="str">
        <f>'Final data_for_R_analysis_Dryse'!A92</f>
        <v>Dry</v>
      </c>
      <c r="C166" s="263">
        <f>'Final data_for_R_analysis_Dryse'!B92</f>
        <v>91</v>
      </c>
      <c r="D166" t="s">
        <v>3840</v>
      </c>
      <c r="E166" t="s">
        <v>22</v>
      </c>
      <c r="F166" s="386">
        <v>3</v>
      </c>
      <c r="G166" s="16">
        <f>'Dry_Litterbag Placem_Collection'!E93</f>
        <v>42937</v>
      </c>
      <c r="H166" t="str">
        <f>'Final data_for_R_analysis_Dryse'!J92</f>
        <v>G13</v>
      </c>
      <c r="I166" t="str">
        <f>'Final data_for_R_analysis_Dryse'!J312</f>
        <v>R787</v>
      </c>
      <c r="J166">
        <f>IFERROR(INDEX('Green_rooibos initial weight'!$C$5:$C$1749,MATCH(H166, 'Green_rooibos initial weight'!$A$5:$A$1749,0)),"")</f>
        <v>2.085</v>
      </c>
      <c r="K166">
        <f>IFERROR(INDEX('Green_rooibos initial weight'!$C$5:$C$1749,MATCH(I166, 'Green_rooibos initial weight'!$A$5:$A$1749,0)),"")</f>
        <v>2.1579999999999999</v>
      </c>
      <c r="L166" s="195">
        <f t="shared" si="17"/>
        <v>1.8351999999999999</v>
      </c>
      <c r="M166" s="240">
        <f>AVERAGE(Ashed_controlls!$K$1:$K$11)</f>
        <v>5.5147656768714146</v>
      </c>
      <c r="N166" s="195">
        <f t="shared" si="12"/>
        <v>1.7339930202980558</v>
      </c>
      <c r="O166" s="195">
        <f t="shared" si="18"/>
        <v>1.9081999999999999</v>
      </c>
      <c r="P166" s="240">
        <f>AVERAGE(Ashed_controlls!$K$12:$K$14)</f>
        <v>2.2816647271287041</v>
      </c>
      <c r="Q166" s="195">
        <f t="shared" si="13"/>
        <v>1.8646612736769299</v>
      </c>
      <c r="R166" s="16">
        <f>IF('Dry_Litterbag Placem_Collection'!G93="N.A","",'Dry_Litterbag Placem_Collection'!G93)</f>
        <v>43006</v>
      </c>
      <c r="S166" s="195">
        <f>IF(IFERROR(INDEX('Both teabags AfterDry'!$D$1:$D$839,MATCH(H166,'Both teabags AfterDry'!$A$1:$A$839,0)),"")="N.A","",(IFERROR(INDEX('Both teabags AfterDry'!$D$1:$D$839,MATCH(H166,'Both teabags AfterDry'!$A$1:$A$839,0)),"")))</f>
        <v>1.9104000000000001</v>
      </c>
      <c r="T166" s="195">
        <f>IF(IFERROR(INDEX('Both teabags AfterDry'!$D$1:$D$839,MATCH(I166,'Both teabags AfterDry'!$A$1:$A$839,0)),"")="N.A","",(IFERROR(INDEX('Both teabags AfterDry'!$D$1:$D$839,MATCH(I166,'Both teabags AfterDry'!$A$1:$A$839,0)),"")))</f>
        <v>1.8551</v>
      </c>
      <c r="U166" s="195">
        <f t="shared" si="19"/>
        <v>1.7598</v>
      </c>
      <c r="V166" s="195">
        <f t="shared" si="19"/>
        <v>1.7044999999999999</v>
      </c>
      <c r="W166" s="195">
        <f>IFERROR(INDEX('Ashed teabags dry'!$K$2:$K$821,MATCH(H166,'Ashed teabags dry'!$A$2:$A$821,0)),"")</f>
        <v>5.9558517284466683</v>
      </c>
      <c r="X166" s="195">
        <f>IFERROR(INDEX('Ashed teabags dry'!$K$2:$K$821,MATCH(I166,'Ashed teabags dry'!$A$2:$A$821,0)),"")</f>
        <v>3.5746606334838318</v>
      </c>
      <c r="Y166" s="195">
        <f t="shared" si="14"/>
        <v>1.6549889212827955</v>
      </c>
      <c r="Z166" s="195">
        <f t="shared" si="14"/>
        <v>1.643569909502268</v>
      </c>
      <c r="AA166" s="195">
        <f t="shared" si="20"/>
        <v>4.5561947534068059E-2</v>
      </c>
      <c r="AB166" s="195">
        <f t="shared" si="21"/>
        <v>2.9869590307370037E-2</v>
      </c>
      <c r="AC166" s="195">
        <f t="shared" si="15"/>
        <v>0.88143081679457458</v>
      </c>
      <c r="AD166">
        <f t="shared" si="16"/>
        <v>69</v>
      </c>
      <c r="AE166" s="195">
        <f t="shared" si="22"/>
        <v>0.9458884233562137</v>
      </c>
      <c r="AF166" s="195" t="str">
        <f t="shared" si="23"/>
        <v/>
      </c>
      <c r="AG166" s="255" t="str">
        <f>IF(ISNUMBER(SEARCH("C", 'Dry_Litterbag Placem_Collection'!AB93)),"YES","NO")</f>
        <v>NO</v>
      </c>
      <c r="AH166" s="255" t="str">
        <f>IF(ISNUMBER(SEARCH("H", 'Dry_Litterbag Placem_Collection'!AB93)),"YES","NO")</f>
        <v>NO</v>
      </c>
      <c r="AI166" s="255" t="str">
        <f>IF(ISNUMBER(SEARCH("R", 'Dry_Litterbag Placem_Collection'!AB93)),"YES","NO")</f>
        <v>NO</v>
      </c>
      <c r="AJ166" s="255" t="str">
        <f>IF(ISNUMBER(SEARCH("C", 'Dry_Litterbag Placem_Collection'!AA93)),"YES","NO")</f>
        <v>NO</v>
      </c>
      <c r="AK166" s="255" t="str">
        <f>IF(ISNUMBER(SEARCH("H", 'Dry_Litterbag Placem_Collection'!AA93)),"YES","NO")</f>
        <v>NO</v>
      </c>
      <c r="AL166" s="255" t="str">
        <f>IF(ISNUMBER(SEARCH("R", 'Dry_Litterbag Placem_Collection'!AA93)),"YES","NO")</f>
        <v>NO</v>
      </c>
      <c r="AR166" t="s">
        <v>2037</v>
      </c>
      <c r="AT166" t="s">
        <v>352</v>
      </c>
    </row>
    <row r="167" spans="2:46">
      <c r="B167" t="str">
        <f>'Final data_for_R_analysis_Dryse'!A93</f>
        <v>Dry</v>
      </c>
      <c r="C167" s="263">
        <f>'Final data_for_R_analysis_Dryse'!B93</f>
        <v>92</v>
      </c>
      <c r="D167" t="s">
        <v>3840</v>
      </c>
      <c r="E167" t="s">
        <v>22</v>
      </c>
      <c r="F167" s="387">
        <v>4</v>
      </c>
      <c r="G167" s="16">
        <f>'Dry_Litterbag Placem_Collection'!E94</f>
        <v>42937</v>
      </c>
      <c r="H167" t="str">
        <f>'Final data_for_R_analysis_Dryse'!J93</f>
        <v>G324</v>
      </c>
      <c r="I167" t="str">
        <f>'Final data_for_R_analysis_Dryse'!J313</f>
        <v>R812</v>
      </c>
      <c r="J167">
        <f>IFERROR(INDEX('Green_rooibos initial weight'!$C$5:$C$1749,MATCH(H167, 'Green_rooibos initial weight'!$A$5:$A$1749,0)),"")</f>
        <v>2.0430000000000001</v>
      </c>
      <c r="K167">
        <f>IFERROR(INDEX('Green_rooibos initial weight'!$C$5:$C$1749,MATCH(I167, 'Green_rooibos initial weight'!$A$5:$A$1749,0)),"")</f>
        <v>2.1819999999999999</v>
      </c>
      <c r="L167" s="195">
        <f t="shared" si="17"/>
        <v>1.7932000000000001</v>
      </c>
      <c r="M167" s="240">
        <f>AVERAGE(Ashed_controlls!$K$1:$K$11)</f>
        <v>5.5147656768714146</v>
      </c>
      <c r="N167" s="195">
        <f t="shared" si="12"/>
        <v>1.6943092218823419</v>
      </c>
      <c r="O167" s="195">
        <f t="shared" si="18"/>
        <v>1.9321999999999999</v>
      </c>
      <c r="P167" s="240">
        <f>AVERAGE(Ashed_controlls!$K$12:$K$14)</f>
        <v>2.2816647271287041</v>
      </c>
      <c r="Q167" s="195">
        <f t="shared" si="13"/>
        <v>1.8881136741424192</v>
      </c>
      <c r="R167" s="16">
        <f>IF('Dry_Litterbag Placem_Collection'!G94="N.A","",'Dry_Litterbag Placem_Collection'!G94)</f>
        <v>43006</v>
      </c>
      <c r="S167" s="195">
        <f>IF(IFERROR(INDEX('Both teabags AfterDry'!$D$1:$D$839,MATCH(H167,'Both teabags AfterDry'!$A$1:$A$839,0)),"")="N.A","",(IFERROR(INDEX('Both teabags AfterDry'!$D$1:$D$839,MATCH(H167,'Both teabags AfterDry'!$A$1:$A$839,0)),"")))</f>
        <v>1.6847000000000001</v>
      </c>
      <c r="T167" s="195">
        <f>IF(IFERROR(INDEX('Both teabags AfterDry'!$D$1:$D$839,MATCH(I167,'Both teabags AfterDry'!$A$1:$A$839,0)),"")="N.A","",(IFERROR(INDEX('Both teabags AfterDry'!$D$1:$D$839,MATCH(I167,'Both teabags AfterDry'!$A$1:$A$839,0)),"")))</f>
        <v>1.8855</v>
      </c>
      <c r="U167" s="195">
        <f t="shared" si="19"/>
        <v>1.5341</v>
      </c>
      <c r="V167" s="195">
        <f t="shared" si="19"/>
        <v>1.7348999999999999</v>
      </c>
      <c r="W167" s="195">
        <f>IFERROR(INDEX('Ashed teabags dry'!$K$2:$K$821,MATCH(H167,'Ashed teabags dry'!$A$2:$A$821,0)),"")</f>
        <v>7.5962018990501106</v>
      </c>
      <c r="X167" s="195">
        <f>IFERROR(INDEX('Ashed teabags dry'!$K$2:$K$821,MATCH(I167,'Ashed teabags dry'!$A$2:$A$821,0)),"")</f>
        <v>1.8952618453866015</v>
      </c>
      <c r="Y167" s="195">
        <f t="shared" si="14"/>
        <v>1.4175666666666722</v>
      </c>
      <c r="Z167" s="195">
        <f t="shared" si="14"/>
        <v>1.7020191022443878</v>
      </c>
      <c r="AA167" s="195">
        <f t="shared" si="20"/>
        <v>0.16333651003104055</v>
      </c>
      <c r="AB167" s="195">
        <f t="shared" si="21"/>
        <v>0.10708046738377007</v>
      </c>
      <c r="AC167" s="195">
        <f t="shared" si="15"/>
        <v>0.90143889404193023</v>
      </c>
      <c r="AD167">
        <f t="shared" si="16"/>
        <v>69</v>
      </c>
      <c r="AE167" s="195">
        <f t="shared" si="22"/>
        <v>0.8060136460438948</v>
      </c>
      <c r="AF167" s="195">
        <f t="shared" si="23"/>
        <v>3.6684626021082307E-2</v>
      </c>
      <c r="AG167" s="255" t="str">
        <f>IF(ISNUMBER(SEARCH("C", 'Dry_Litterbag Placem_Collection'!AB94)),"YES","NO")</f>
        <v>NO</v>
      </c>
      <c r="AH167" s="255" t="str">
        <f>IF(ISNUMBER(SEARCH("H", 'Dry_Litterbag Placem_Collection'!AB94)),"YES","NO")</f>
        <v>NO</v>
      </c>
      <c r="AI167" s="255" t="str">
        <f>IF(ISNUMBER(SEARCH("R", 'Dry_Litterbag Placem_Collection'!AB94)),"YES","NO")</f>
        <v>NO</v>
      </c>
      <c r="AJ167" s="255" t="str">
        <f>IF(ISNUMBER(SEARCH("C", 'Dry_Litterbag Placem_Collection'!AA94)),"YES","NO")</f>
        <v>NO</v>
      </c>
      <c r="AK167" s="255" t="str">
        <f>IF(ISNUMBER(SEARCH("H", 'Dry_Litterbag Placem_Collection'!AA94)),"YES","NO")</f>
        <v>NO</v>
      </c>
      <c r="AL167" s="255" t="str">
        <f>IF(ISNUMBER(SEARCH("R", 'Dry_Litterbag Placem_Collection'!AA94)),"YES","NO")</f>
        <v>NO</v>
      </c>
      <c r="AR167" t="s">
        <v>1726</v>
      </c>
      <c r="AT167" t="s">
        <v>327</v>
      </c>
    </row>
    <row r="168" spans="2:46">
      <c r="B168" t="str">
        <f>'Final data_for_R_analysis_Dryse'!A94</f>
        <v>Dry</v>
      </c>
      <c r="C168" s="263">
        <f>'Final data_for_R_analysis_Dryse'!B94</f>
        <v>93</v>
      </c>
      <c r="D168" t="s">
        <v>3840</v>
      </c>
      <c r="E168" t="s">
        <v>22</v>
      </c>
      <c r="F168" s="387">
        <v>5</v>
      </c>
      <c r="G168" s="16">
        <f>'Dry_Litterbag Placem_Collection'!E95</f>
        <v>42937</v>
      </c>
      <c r="H168" t="str">
        <f>'Final data_for_R_analysis_Dryse'!J94</f>
        <v>G99</v>
      </c>
      <c r="I168" t="str">
        <f>'Final data_for_R_analysis_Dryse'!J314</f>
        <v>R675</v>
      </c>
      <c r="J168">
        <f>IFERROR(INDEX('Green_rooibos initial weight'!$C$5:$C$1749,MATCH(H168, 'Green_rooibos initial weight'!$A$5:$A$1749,0)),"")</f>
        <v>2.097</v>
      </c>
      <c r="K168">
        <f>IFERROR(INDEX('Green_rooibos initial weight'!$C$5:$C$1749,MATCH(I168, 'Green_rooibos initial weight'!$A$5:$A$1749,0)),"")</f>
        <v>2.2069999999999999</v>
      </c>
      <c r="L168" s="195">
        <f t="shared" si="17"/>
        <v>1.8472</v>
      </c>
      <c r="M168" s="240">
        <f>AVERAGE(Ashed_controlls!$K$1:$K$11)</f>
        <v>5.5147656768714146</v>
      </c>
      <c r="N168" s="195">
        <f t="shared" si="12"/>
        <v>1.7453312484168313</v>
      </c>
      <c r="O168" s="195">
        <f t="shared" si="18"/>
        <v>1.9571999999999998</v>
      </c>
      <c r="P168" s="240">
        <f>AVERAGE(Ashed_controlls!$K$12:$K$14)</f>
        <v>2.2816647271287041</v>
      </c>
      <c r="Q168" s="195">
        <f t="shared" si="13"/>
        <v>1.9125432579606367</v>
      </c>
      <c r="R168" s="16">
        <f>IF('Dry_Litterbag Placem_Collection'!G95="N.A","",'Dry_Litterbag Placem_Collection'!G95)</f>
        <v>43006</v>
      </c>
      <c r="S168" s="195">
        <f>IF(IFERROR(INDEX('Both teabags AfterDry'!$D$1:$D$839,MATCH(H168,'Both teabags AfterDry'!$A$1:$A$839,0)),"")="N.A","",(IFERROR(INDEX('Both teabags AfterDry'!$D$1:$D$839,MATCH(H168,'Both teabags AfterDry'!$A$1:$A$839,0)),"")))</f>
        <v>1.9186000000000001</v>
      </c>
      <c r="T168" s="195">
        <f>IF(IFERROR(INDEX('Both teabags AfterDry'!$D$1:$D$839,MATCH(I168,'Both teabags AfterDry'!$A$1:$A$839,0)),"")="N.A","",(IFERROR(INDEX('Both teabags AfterDry'!$D$1:$D$839,MATCH(I168,'Both teabags AfterDry'!$A$1:$A$839,0)),"")))</f>
        <v>2.0310000000000001</v>
      </c>
      <c r="U168" s="195">
        <f t="shared" si="19"/>
        <v>1.768</v>
      </c>
      <c r="V168" s="195">
        <f t="shared" si="19"/>
        <v>1.8804000000000001</v>
      </c>
      <c r="W168" s="195">
        <f>IFERROR(INDEX('Ashed teabags dry'!$K$2:$K$821,MATCH(H168,'Ashed teabags dry'!$A$2:$A$821,0)),"")</f>
        <v>6.1659712563742239</v>
      </c>
      <c r="X168" s="195">
        <f>IFERROR(INDEX('Ashed teabags dry'!$K$2:$K$821,MATCH(I168,'Ashed teabags dry'!$A$2:$A$821,0)),"")</f>
        <v>3.8099506947561541</v>
      </c>
      <c r="Y168" s="195">
        <f t="shared" si="14"/>
        <v>1.6589856281873037</v>
      </c>
      <c r="Z168" s="195">
        <f t="shared" si="14"/>
        <v>1.8087576871358053</v>
      </c>
      <c r="AA168" s="195">
        <f t="shared" si="20"/>
        <v>4.947233959619457E-2</v>
      </c>
      <c r="AB168" s="195">
        <f t="shared" si="21"/>
        <v>3.2433172751899532E-2</v>
      </c>
      <c r="AC168" s="195">
        <f t="shared" si="15"/>
        <v>0.9457342622746745</v>
      </c>
      <c r="AD168">
        <f t="shared" si="16"/>
        <v>69</v>
      </c>
      <c r="AE168" s="195">
        <f t="shared" si="22"/>
        <v>0.94124425226105157</v>
      </c>
      <c r="AF168" s="195" t="str">
        <f t="shared" si="23"/>
        <v/>
      </c>
      <c r="AG168" s="255" t="str">
        <f>IF(ISNUMBER(SEARCH("C", 'Dry_Litterbag Placem_Collection'!AB95)),"YES","NO")</f>
        <v>NO</v>
      </c>
      <c r="AH168" s="255" t="str">
        <f>IF(ISNUMBER(SEARCH("H", 'Dry_Litterbag Placem_Collection'!AB95)),"YES","NO")</f>
        <v>NO</v>
      </c>
      <c r="AI168" s="255" t="str">
        <f>IF(ISNUMBER(SEARCH("R", 'Dry_Litterbag Placem_Collection'!AB95)),"YES","NO")</f>
        <v>NO</v>
      </c>
      <c r="AJ168" s="255" t="str">
        <f>IF(ISNUMBER(SEARCH("C", 'Dry_Litterbag Placem_Collection'!AA95)),"YES","NO")</f>
        <v>NO</v>
      </c>
      <c r="AK168" s="255" t="str">
        <f>IF(ISNUMBER(SEARCH("H", 'Dry_Litterbag Placem_Collection'!AA95)),"YES","NO")</f>
        <v>NO</v>
      </c>
      <c r="AL168" s="255" t="str">
        <f>IF(ISNUMBER(SEARCH("R", 'Dry_Litterbag Placem_Collection'!AA95)),"YES","NO")</f>
        <v>NO</v>
      </c>
      <c r="AR168" t="s">
        <v>1951</v>
      </c>
      <c r="AT168" t="s">
        <v>464</v>
      </c>
    </row>
    <row r="169" spans="2:46">
      <c r="B169" t="str">
        <f>'Final data_for_R_analysis_Dryse'!A95</f>
        <v>Dry</v>
      </c>
      <c r="C169" s="263">
        <f>'Final data_for_R_analysis_Dryse'!B95</f>
        <v>94</v>
      </c>
      <c r="D169" t="s">
        <v>3840</v>
      </c>
      <c r="E169" t="s">
        <v>22</v>
      </c>
      <c r="F169" s="387">
        <v>6</v>
      </c>
      <c r="G169" s="16">
        <f>'Dry_Litterbag Placem_Collection'!E96</f>
        <v>0</v>
      </c>
      <c r="H169" t="str">
        <f>'Final data_for_R_analysis_Dryse'!J95</f>
        <v/>
      </c>
      <c r="I169" t="str">
        <f>'Final data_for_R_analysis_Dryse'!J315</f>
        <v/>
      </c>
      <c r="J169" t="str">
        <f>IFERROR(INDEX('Green_rooibos initial weight'!$C$5:$C$1749,MATCH(H169, 'Green_rooibos initial weight'!$A$5:$A$1749,0)),"")</f>
        <v/>
      </c>
      <c r="K169" t="str">
        <f>IFERROR(INDEX('Green_rooibos initial weight'!$C$5:$C$1749,MATCH(I169, 'Green_rooibos initial weight'!$A$5:$A$1749,0)),"")</f>
        <v/>
      </c>
      <c r="L169" s="195" t="str">
        <f t="shared" si="17"/>
        <v/>
      </c>
      <c r="M169" s="240">
        <f>AVERAGE(Ashed_controlls!$K$1:$K$11)</f>
        <v>5.5147656768714146</v>
      </c>
      <c r="N169" s="195" t="str">
        <f t="shared" si="12"/>
        <v/>
      </c>
      <c r="O169" s="195" t="str">
        <f t="shared" si="18"/>
        <v/>
      </c>
      <c r="P169" s="240">
        <f>AVERAGE(Ashed_controlls!$K$12:$K$14)</f>
        <v>2.2816647271287041</v>
      </c>
      <c r="Q169" s="195" t="str">
        <f t="shared" si="13"/>
        <v/>
      </c>
      <c r="R169" s="16">
        <f>IF('Dry_Litterbag Placem_Collection'!G96="N.A","",'Dry_Litterbag Placem_Collection'!G96)</f>
        <v>0</v>
      </c>
      <c r="S169" s="195" t="str">
        <f>IF(IFERROR(INDEX('Both teabags AfterDry'!$D$1:$D$839,MATCH(H169,'Both teabags AfterDry'!$A$1:$A$839,0)),"")="N.A","",(IFERROR(INDEX('Both teabags AfterDry'!$D$1:$D$839,MATCH(H169,'Both teabags AfterDry'!$A$1:$A$839,0)),"")))</f>
        <v/>
      </c>
      <c r="T169" s="195" t="str">
        <f>IF(IFERROR(INDEX('Both teabags AfterDry'!$D$1:$D$839,MATCH(I169,'Both teabags AfterDry'!$A$1:$A$839,0)),"")="N.A","",(IFERROR(INDEX('Both teabags AfterDry'!$D$1:$D$839,MATCH(I169,'Both teabags AfterDry'!$A$1:$A$839,0)),"")))</f>
        <v/>
      </c>
      <c r="U169" s="195" t="str">
        <f t="shared" si="19"/>
        <v/>
      </c>
      <c r="V169" s="195" t="str">
        <f t="shared" si="19"/>
        <v/>
      </c>
      <c r="W169" s="195" t="str">
        <f>IFERROR(INDEX('Ashed teabags dry'!$K$2:$K$821,MATCH(H169,'Ashed teabags dry'!$A$2:$A$821,0)),"")</f>
        <v/>
      </c>
      <c r="X169" s="195" t="str">
        <f>IFERROR(INDEX('Ashed teabags dry'!$K$2:$K$821,MATCH(I169,'Ashed teabags dry'!$A$2:$A$821,0)),"")</f>
        <v/>
      </c>
      <c r="Y169" s="195" t="str">
        <f t="shared" si="14"/>
        <v/>
      </c>
      <c r="Z169" s="195" t="str">
        <f t="shared" si="14"/>
        <v/>
      </c>
      <c r="AA169" s="195" t="str">
        <f t="shared" si="20"/>
        <v/>
      </c>
      <c r="AB169" s="195" t="str">
        <f t="shared" si="21"/>
        <v/>
      </c>
      <c r="AC169" s="195" t="str">
        <f t="shared" si="15"/>
        <v/>
      </c>
      <c r="AD169" t="str">
        <f t="shared" si="16"/>
        <v/>
      </c>
      <c r="AE169" s="195" t="str">
        <f t="shared" si="22"/>
        <v/>
      </c>
      <c r="AF169" s="195" t="str">
        <f t="shared" si="23"/>
        <v/>
      </c>
      <c r="AG169" s="255" t="str">
        <f>IF(ISNUMBER(SEARCH("C", 'Dry_Litterbag Placem_Collection'!AB96)),"YES","NO")</f>
        <v>NO</v>
      </c>
      <c r="AH169" s="255" t="str">
        <f>IF(ISNUMBER(SEARCH("H", 'Dry_Litterbag Placem_Collection'!AB96)),"YES","NO")</f>
        <v>NO</v>
      </c>
      <c r="AI169" s="255" t="str">
        <f>IF(ISNUMBER(SEARCH("R", 'Dry_Litterbag Placem_Collection'!AB96)),"YES","NO")</f>
        <v>NO</v>
      </c>
      <c r="AJ169" s="255" t="str">
        <f>IF(ISNUMBER(SEARCH("C", 'Dry_Litterbag Placem_Collection'!AA96)),"YES","NO")</f>
        <v>NO</v>
      </c>
      <c r="AK169" s="255" t="str">
        <f>IF(ISNUMBER(SEARCH("H", 'Dry_Litterbag Placem_Collection'!AA96)),"YES","NO")</f>
        <v>NO</v>
      </c>
      <c r="AL169" s="255" t="str">
        <f>IF(ISNUMBER(SEARCH("R", 'Dry_Litterbag Placem_Collection'!AA96)),"YES","NO")</f>
        <v>NO</v>
      </c>
      <c r="AR169" t="s">
        <v>3654</v>
      </c>
      <c r="AT169" t="s">
        <v>3654</v>
      </c>
    </row>
    <row r="170" spans="2:46">
      <c r="B170" t="str">
        <f>'Final data_for_R_analysis_Dryse'!A96</f>
        <v>Dry</v>
      </c>
      <c r="C170" s="263">
        <f>'Final data_for_R_analysis_Dryse'!B96</f>
        <v>95</v>
      </c>
      <c r="D170" t="s">
        <v>3840</v>
      </c>
      <c r="E170" t="s">
        <v>22</v>
      </c>
      <c r="F170" s="387">
        <v>7</v>
      </c>
      <c r="G170" s="16">
        <f>'Dry_Litterbag Placem_Collection'!E97</f>
        <v>42937</v>
      </c>
      <c r="H170" t="str">
        <f>'Final data_for_R_analysis_Dryse'!J96</f>
        <v>G126</v>
      </c>
      <c r="I170" t="str">
        <f>'Final data_for_R_analysis_Dryse'!J316</f>
        <v>R794</v>
      </c>
      <c r="J170">
        <f>IFERROR(INDEX('Green_rooibos initial weight'!$C$5:$C$1749,MATCH(H170, 'Green_rooibos initial weight'!$A$5:$A$1749,0)),"")</f>
        <v>2.093</v>
      </c>
      <c r="K170">
        <f>IFERROR(INDEX('Green_rooibos initial weight'!$C$5:$C$1749,MATCH(I170, 'Green_rooibos initial weight'!$A$5:$A$1749,0)),"")</f>
        <v>2.2000000000000002</v>
      </c>
      <c r="L170" s="195">
        <f t="shared" si="17"/>
        <v>1.8431999999999999</v>
      </c>
      <c r="M170" s="240">
        <f>AVERAGE(Ashed_controlls!$K$1:$K$11)</f>
        <v>5.5147656768714146</v>
      </c>
      <c r="N170" s="195">
        <f t="shared" si="12"/>
        <v>1.741551839043906</v>
      </c>
      <c r="O170" s="195">
        <f t="shared" si="18"/>
        <v>1.9502000000000002</v>
      </c>
      <c r="P170" s="240">
        <f>AVERAGE(Ashed_controlls!$K$12:$K$14)</f>
        <v>2.2816647271287041</v>
      </c>
      <c r="Q170" s="195">
        <f t="shared" si="13"/>
        <v>1.9057029744915361</v>
      </c>
      <c r="R170" s="16">
        <f>IF('Dry_Litterbag Placem_Collection'!G97="N.A","",'Dry_Litterbag Placem_Collection'!G97)</f>
        <v>43006</v>
      </c>
      <c r="S170" s="195">
        <f>IF(IFERROR(INDEX('Both teabags AfterDry'!$D$1:$D$839,MATCH(H170,'Both teabags AfterDry'!$A$1:$A$839,0)),"")="N.A","",(IFERROR(INDEX('Both teabags AfterDry'!$D$1:$D$839,MATCH(H170,'Both teabags AfterDry'!$A$1:$A$839,0)),"")))</f>
        <v>1.8705000000000001</v>
      </c>
      <c r="T170" s="195">
        <f>IF(IFERROR(INDEX('Both teabags AfterDry'!$D$1:$D$839,MATCH(I170,'Both teabags AfterDry'!$A$1:$A$839,0)),"")="N.A","",(IFERROR(INDEX('Both teabags AfterDry'!$D$1:$D$839,MATCH(I170,'Both teabags AfterDry'!$A$1:$A$839,0)),"")))</f>
        <v>1.9469000000000001</v>
      </c>
      <c r="U170" s="195">
        <f t="shared" si="19"/>
        <v>1.7199</v>
      </c>
      <c r="V170" s="195">
        <f t="shared" si="19"/>
        <v>1.7963</v>
      </c>
      <c r="W170" s="195">
        <f>IFERROR(INDEX('Ashed teabags dry'!$K$2:$K$821,MATCH(H170,'Ashed teabags dry'!$A$2:$A$821,0)),"")</f>
        <v>5.4866412213739713</v>
      </c>
      <c r="X170" s="195">
        <f>IFERROR(INDEX('Ashed teabags dry'!$K$2:$K$821,MATCH(I170,'Ashed teabags dry'!$A$2:$A$821,0)),"")</f>
        <v>2.6693030153240724</v>
      </c>
      <c r="Y170" s="195">
        <f t="shared" si="14"/>
        <v>1.6255352576335891</v>
      </c>
      <c r="Z170" s="195">
        <f t="shared" si="14"/>
        <v>1.7483513099357337</v>
      </c>
      <c r="AA170" s="195">
        <f t="shared" si="20"/>
        <v>6.6616783267277713E-2</v>
      </c>
      <c r="AB170" s="195">
        <f t="shared" si="21"/>
        <v>4.367276052676642E-2</v>
      </c>
      <c r="AC170" s="195">
        <f t="shared" si="15"/>
        <v>0.91743117019703158</v>
      </c>
      <c r="AD170">
        <f t="shared" si="16"/>
        <v>69</v>
      </c>
      <c r="AE170" s="195">
        <f t="shared" si="22"/>
        <v>0.92088268020513331</v>
      </c>
      <c r="AF170" s="195" t="str">
        <f t="shared" si="23"/>
        <v/>
      </c>
      <c r="AG170" s="255" t="str">
        <f>IF(ISNUMBER(SEARCH("C", 'Dry_Litterbag Placem_Collection'!AB97)),"YES","NO")</f>
        <v>NO</v>
      </c>
      <c r="AH170" s="255" t="str">
        <f>IF(ISNUMBER(SEARCH("H", 'Dry_Litterbag Placem_Collection'!AB97)),"YES","NO")</f>
        <v>NO</v>
      </c>
      <c r="AI170" s="255" t="str">
        <f>IF(ISNUMBER(SEARCH("R", 'Dry_Litterbag Placem_Collection'!AB97)),"YES","NO")</f>
        <v>NO</v>
      </c>
      <c r="AJ170" s="255" t="str">
        <f>IF(ISNUMBER(SEARCH("C", 'Dry_Litterbag Placem_Collection'!AA97)),"YES","NO")</f>
        <v>NO</v>
      </c>
      <c r="AK170" s="255" t="str">
        <f>IF(ISNUMBER(SEARCH("H", 'Dry_Litterbag Placem_Collection'!AA97)),"YES","NO")</f>
        <v>NO</v>
      </c>
      <c r="AL170" s="255" t="str">
        <f>IF(ISNUMBER(SEARCH("R", 'Dry_Litterbag Placem_Collection'!AA97)),"YES","NO")</f>
        <v>NO</v>
      </c>
      <c r="AR170" t="s">
        <v>1924</v>
      </c>
      <c r="AT170" t="s">
        <v>345</v>
      </c>
    </row>
    <row r="171" spans="2:46">
      <c r="B171" t="str">
        <f>'Final data_for_R_analysis_Dryse'!A97</f>
        <v>Dry</v>
      </c>
      <c r="C171" s="263">
        <f>'Final data_for_R_analysis_Dryse'!B97</f>
        <v>96</v>
      </c>
      <c r="D171" t="s">
        <v>3840</v>
      </c>
      <c r="E171" t="s">
        <v>22</v>
      </c>
      <c r="F171" s="387">
        <v>8</v>
      </c>
      <c r="G171" s="16">
        <f>'Dry_Litterbag Placem_Collection'!E98</f>
        <v>42937</v>
      </c>
      <c r="H171" t="str">
        <f>'Final data_for_R_analysis_Dryse'!J97</f>
        <v>G244</v>
      </c>
      <c r="I171" t="str">
        <f>'Final data_for_R_analysis_Dryse'!J317</f>
        <v>R737</v>
      </c>
      <c r="J171">
        <f>IFERROR(INDEX('Green_rooibos initial weight'!$C$5:$C$1749,MATCH(H171, 'Green_rooibos initial weight'!$A$5:$A$1749,0)),"")</f>
        <v>2.04</v>
      </c>
      <c r="K171">
        <f>IFERROR(INDEX('Green_rooibos initial weight'!$C$5:$C$1749,MATCH(I171, 'Green_rooibos initial weight'!$A$5:$A$1749,0)),"")</f>
        <v>2.222</v>
      </c>
      <c r="L171" s="195">
        <f t="shared" si="17"/>
        <v>1.7902</v>
      </c>
      <c r="M171" s="240">
        <f>AVERAGE(Ashed_controlls!$K$1:$K$11)</f>
        <v>5.5147656768714146</v>
      </c>
      <c r="N171" s="195">
        <f t="shared" si="12"/>
        <v>1.691474664852648</v>
      </c>
      <c r="O171" s="195">
        <f t="shared" si="18"/>
        <v>1.9722</v>
      </c>
      <c r="P171" s="240">
        <f>AVERAGE(Ashed_controlls!$K$12:$K$14)</f>
        <v>2.2816647271287041</v>
      </c>
      <c r="Q171" s="195">
        <f t="shared" si="13"/>
        <v>1.9272010082515676</v>
      </c>
      <c r="R171" s="16">
        <f>IF('Dry_Litterbag Placem_Collection'!G98="N.A","",'Dry_Litterbag Placem_Collection'!G98)</f>
        <v>43006</v>
      </c>
      <c r="S171" s="195">
        <f>IF(IFERROR(INDEX('Both teabags AfterDry'!$D$1:$D$839,MATCH(H171,'Both teabags AfterDry'!$A$1:$A$839,0)),"")="N.A","",(IFERROR(INDEX('Both teabags AfterDry'!$D$1:$D$839,MATCH(H171,'Both teabags AfterDry'!$A$1:$A$839,0)),"")))</f>
        <v>1.8649</v>
      </c>
      <c r="T171" s="195">
        <f>IF(IFERROR(INDEX('Both teabags AfterDry'!$D$1:$D$839,MATCH(I171,'Both teabags AfterDry'!$A$1:$A$839,0)),"")="N.A","",(IFERROR(INDEX('Both teabags AfterDry'!$D$1:$D$839,MATCH(I171,'Both teabags AfterDry'!$A$1:$A$839,0)),"")))</f>
        <v>1.9686999999999999</v>
      </c>
      <c r="U171" s="195">
        <f t="shared" si="19"/>
        <v>1.7142999999999999</v>
      </c>
      <c r="V171" s="195">
        <f t="shared" si="19"/>
        <v>1.8180999999999998</v>
      </c>
      <c r="W171" s="195">
        <f>IFERROR(INDEX('Ashed teabags dry'!$K$2:$K$821,MATCH(H171,'Ashed teabags dry'!$A$2:$A$821,0)),"")</f>
        <v>5.8795180722893514</v>
      </c>
      <c r="X171" s="195">
        <f>IFERROR(INDEX('Ashed teabags dry'!$K$2:$K$821,MATCH(I171,'Ashed teabags dry'!$A$2:$A$821,0)),"")</f>
        <v>3.1531531531539305</v>
      </c>
      <c r="Y171" s="195">
        <f t="shared" si="14"/>
        <v>1.6135074216867435</v>
      </c>
      <c r="Z171" s="195">
        <f t="shared" si="14"/>
        <v>1.7607725225225082</v>
      </c>
      <c r="AA171" s="195">
        <f t="shared" si="20"/>
        <v>4.6094242370870231E-2</v>
      </c>
      <c r="AB171" s="195">
        <f t="shared" si="21"/>
        <v>3.0218553193254619E-2</v>
      </c>
      <c r="AC171" s="195">
        <f t="shared" si="15"/>
        <v>0.91364238342732607</v>
      </c>
      <c r="AD171">
        <f t="shared" si="16"/>
        <v>69</v>
      </c>
      <c r="AE171" s="195">
        <f t="shared" si="22"/>
        <v>0.94525624421511845</v>
      </c>
      <c r="AF171" s="195" t="str">
        <f t="shared" si="23"/>
        <v/>
      </c>
      <c r="AG171" s="255" t="str">
        <f>IF(ISNUMBER(SEARCH("C", 'Dry_Litterbag Placem_Collection'!AB98)),"YES","NO")</f>
        <v>NO</v>
      </c>
      <c r="AH171" s="255" t="str">
        <f>IF(ISNUMBER(SEARCH("H", 'Dry_Litterbag Placem_Collection'!AB98)),"YES","NO")</f>
        <v>NO</v>
      </c>
      <c r="AI171" s="255" t="str">
        <f>IF(ISNUMBER(SEARCH("R", 'Dry_Litterbag Placem_Collection'!AB98)),"YES","NO")</f>
        <v>NO</v>
      </c>
      <c r="AJ171" s="255" t="str">
        <f>IF(ISNUMBER(SEARCH("C", 'Dry_Litterbag Placem_Collection'!AA98)),"YES","NO")</f>
        <v>NO</v>
      </c>
      <c r="AK171" s="255" t="str">
        <f>IF(ISNUMBER(SEARCH("H", 'Dry_Litterbag Placem_Collection'!AA98)),"YES","NO")</f>
        <v>NO</v>
      </c>
      <c r="AL171" s="255" t="str">
        <f>IF(ISNUMBER(SEARCH("R", 'Dry_Litterbag Placem_Collection'!AA98)),"YES","NO")</f>
        <v>NO</v>
      </c>
      <c r="AR171" t="s">
        <v>1806</v>
      </c>
      <c r="AT171" t="s">
        <v>402</v>
      </c>
    </row>
    <row r="172" spans="2:46">
      <c r="B172" t="str">
        <f>'Final data_for_R_analysis_Dryse'!A98</f>
        <v>Dry</v>
      </c>
      <c r="C172" s="263">
        <f>'Final data_for_R_analysis_Dryse'!B98</f>
        <v>97</v>
      </c>
      <c r="D172" t="s">
        <v>3841</v>
      </c>
      <c r="E172" t="s">
        <v>22</v>
      </c>
      <c r="F172" s="386">
        <v>1</v>
      </c>
      <c r="G172" s="16">
        <f>'Dry_Litterbag Placem_Collection'!E99</f>
        <v>42939</v>
      </c>
      <c r="H172" t="str">
        <f>'Final data_for_R_analysis_Dryse'!J98</f>
        <v>G432</v>
      </c>
      <c r="I172" t="str">
        <f>'Final data_for_R_analysis_Dryse'!J318</f>
        <v>R801</v>
      </c>
      <c r="J172">
        <f>IFERROR(INDEX('Green_rooibos initial weight'!$C$5:$C$1749,MATCH(H172, 'Green_rooibos initial weight'!$A$5:$A$1749,0)),"")</f>
        <v>2.0659999999999998</v>
      </c>
      <c r="K172">
        <f>IFERROR(INDEX('Green_rooibos initial weight'!$C$5:$C$1749,MATCH(I172, 'Green_rooibos initial weight'!$A$5:$A$1749,0)),"")</f>
        <v>2.17</v>
      </c>
      <c r="L172" s="195">
        <f t="shared" si="17"/>
        <v>1.8161999999999998</v>
      </c>
      <c r="M172" s="240">
        <f>AVERAGE(Ashed_controlls!$K$1:$K$11)</f>
        <v>5.5147656768714146</v>
      </c>
      <c r="N172" s="195">
        <f t="shared" si="12"/>
        <v>1.7160408257766613</v>
      </c>
      <c r="O172" s="195">
        <f t="shared" si="18"/>
        <v>1.9201999999999999</v>
      </c>
      <c r="P172" s="240">
        <f>AVERAGE(Ashed_controlls!$K$12:$K$14)</f>
        <v>2.2816647271287041</v>
      </c>
      <c r="Q172" s="195">
        <f t="shared" si="13"/>
        <v>1.8763874739096746</v>
      </c>
      <c r="R172" s="16">
        <f>IF('Dry_Litterbag Placem_Collection'!G99="N.A","",'Dry_Litterbag Placem_Collection'!G99)</f>
        <v>43010</v>
      </c>
      <c r="S172" s="195" t="str">
        <f>IF(IFERROR(INDEX('Both teabags AfterDry'!$D$1:$D$839,MATCH(H172,'Both teabags AfterDry'!$A$1:$A$839,0)),"")="N.A","",(IFERROR(INDEX('Both teabags AfterDry'!$D$1:$D$839,MATCH(H172,'Both teabags AfterDry'!$A$1:$A$839,0)),"")))</f>
        <v/>
      </c>
      <c r="T172" s="195" t="str">
        <f>IF(IFERROR(INDEX('Both teabags AfterDry'!$D$1:$D$839,MATCH(I172,'Both teabags AfterDry'!$A$1:$A$839,0)),"")="N.A","",(IFERROR(INDEX('Both teabags AfterDry'!$D$1:$D$839,MATCH(I172,'Both teabags AfterDry'!$A$1:$A$839,0)),"")))</f>
        <v/>
      </c>
      <c r="U172" s="195" t="str">
        <f t="shared" si="19"/>
        <v/>
      </c>
      <c r="V172" s="195" t="str">
        <f t="shared" si="19"/>
        <v/>
      </c>
      <c r="W172" s="195" t="str">
        <f>IFERROR(INDEX('Ashed teabags dry'!$K$2:$K$821,MATCH(H172,'Ashed teabags dry'!$A$2:$A$821,0)),"")</f>
        <v/>
      </c>
      <c r="X172" s="195" t="str">
        <f>IFERROR(INDEX('Ashed teabags dry'!$K$2:$K$821,MATCH(I172,'Ashed teabags dry'!$A$2:$A$821,0)),"")</f>
        <v/>
      </c>
      <c r="Y172" s="195" t="str">
        <f t="shared" si="14"/>
        <v/>
      </c>
      <c r="Z172" s="195" t="str">
        <f t="shared" si="14"/>
        <v/>
      </c>
      <c r="AA172" s="195" t="str">
        <f t="shared" si="20"/>
        <v/>
      </c>
      <c r="AB172" s="195" t="str">
        <f t="shared" si="21"/>
        <v/>
      </c>
      <c r="AC172" s="195" t="str">
        <f t="shared" si="15"/>
        <v/>
      </c>
      <c r="AD172">
        <f t="shared" si="16"/>
        <v>71</v>
      </c>
      <c r="AE172" s="195" t="str">
        <f t="shared" si="22"/>
        <v/>
      </c>
      <c r="AF172" s="195" t="str">
        <f t="shared" si="23"/>
        <v/>
      </c>
      <c r="AG172" s="255" t="str">
        <f>IF(ISNUMBER(SEARCH("C", 'Dry_Litterbag Placem_Collection'!AB99)),"YES","NO")</f>
        <v>NO</v>
      </c>
      <c r="AH172" s="255" t="str">
        <f>IF(ISNUMBER(SEARCH("H", 'Dry_Litterbag Placem_Collection'!AB99)),"YES","NO")</f>
        <v>NO</v>
      </c>
      <c r="AI172" s="255" t="str">
        <f>IF(ISNUMBER(SEARCH("R", 'Dry_Litterbag Placem_Collection'!AB99)),"YES","NO")</f>
        <v>NO</v>
      </c>
      <c r="AJ172" s="255" t="str">
        <f>IF(ISNUMBER(SEARCH("C", 'Dry_Litterbag Placem_Collection'!AA99)),"YES","NO")</f>
        <v>NO</v>
      </c>
      <c r="AK172" s="255" t="str">
        <f>IF(ISNUMBER(SEARCH("H", 'Dry_Litterbag Placem_Collection'!AA99)),"YES","NO")</f>
        <v>NO</v>
      </c>
      <c r="AL172" s="255" t="str">
        <f>IF(ISNUMBER(SEARCH("R", 'Dry_Litterbag Placem_Collection'!AA99)),"YES","NO")</f>
        <v>NO</v>
      </c>
      <c r="AR172" t="s">
        <v>1618</v>
      </c>
      <c r="AT172" t="s">
        <v>338</v>
      </c>
    </row>
    <row r="173" spans="2:46">
      <c r="B173" t="str">
        <f>'Final data_for_R_analysis_Dryse'!A99</f>
        <v>Dry</v>
      </c>
      <c r="C173" s="263">
        <f>'Final data_for_R_analysis_Dryse'!B99</f>
        <v>98</v>
      </c>
      <c r="D173" t="s">
        <v>3841</v>
      </c>
      <c r="E173" t="s">
        <v>22</v>
      </c>
      <c r="F173" s="386">
        <v>2</v>
      </c>
      <c r="G173" s="16">
        <f>'Dry_Litterbag Placem_Collection'!E100</f>
        <v>42939</v>
      </c>
      <c r="H173" t="str">
        <f>'Final data_for_R_analysis_Dryse'!J99</f>
        <v>G184</v>
      </c>
      <c r="I173" t="str">
        <f>'Final data_for_R_analysis_Dryse'!J319</f>
        <v>R808</v>
      </c>
      <c r="J173">
        <f>IFERROR(INDEX('Green_rooibos initial weight'!$C$5:$C$1749,MATCH(H173, 'Green_rooibos initial weight'!$A$5:$A$1749,0)),"")</f>
        <v>1.925</v>
      </c>
      <c r="K173">
        <f>IFERROR(INDEX('Green_rooibos initial weight'!$C$5:$C$1749,MATCH(I173, 'Green_rooibos initial weight'!$A$5:$A$1749,0)),"")</f>
        <v>2.2309999999999999</v>
      </c>
      <c r="L173" s="195">
        <f t="shared" si="17"/>
        <v>1.6752</v>
      </c>
      <c r="M173" s="240">
        <f>AVERAGE(Ashed_controlls!$K$1:$K$11)</f>
        <v>5.5147656768714146</v>
      </c>
      <c r="N173" s="195">
        <f t="shared" si="12"/>
        <v>1.5828166453810502</v>
      </c>
      <c r="O173" s="195">
        <f t="shared" si="18"/>
        <v>1.9811999999999999</v>
      </c>
      <c r="P173" s="240">
        <f>AVERAGE(Ashed_controlls!$K$12:$K$14)</f>
        <v>2.2816647271287041</v>
      </c>
      <c r="Q173" s="195">
        <f t="shared" si="13"/>
        <v>1.935995658426126</v>
      </c>
      <c r="R173" s="16">
        <f>IF('Dry_Litterbag Placem_Collection'!G100="N.A","",'Dry_Litterbag Placem_Collection'!G100)</f>
        <v>43010</v>
      </c>
      <c r="S173" s="195">
        <f>IF(IFERROR(INDEX('Both teabags AfterDry'!$D$1:$D$839,MATCH(H173,'Both teabags AfterDry'!$A$1:$A$839,0)),"")="N.A","",(IFERROR(INDEX('Both teabags AfterDry'!$D$1:$D$839,MATCH(H173,'Both teabags AfterDry'!$A$1:$A$839,0)),"")))</f>
        <v>0.99180000000000001</v>
      </c>
      <c r="T173" s="195">
        <f>IF(IFERROR(INDEX('Both teabags AfterDry'!$D$1:$D$839,MATCH(I173,'Both teabags AfterDry'!$A$1:$A$839,0)),"")="N.A","",(IFERROR(INDEX('Both teabags AfterDry'!$D$1:$D$839,MATCH(I173,'Both teabags AfterDry'!$A$1:$A$839,0)),"")))</f>
        <v>0</v>
      </c>
      <c r="U173" s="195">
        <f t="shared" si="19"/>
        <v>0.84119999999999995</v>
      </c>
      <c r="V173" s="195" t="str">
        <f t="shared" si="19"/>
        <v/>
      </c>
      <c r="W173" s="195">
        <f>IFERROR(INDEX('Ashed teabags dry'!$K$2:$K$821,MATCH(H173,'Ashed teabags dry'!$A$2:$A$821,0)),"")</f>
        <v>12.153918348193013</v>
      </c>
      <c r="X173" s="195" t="str">
        <f>IFERROR(INDEX('Ashed teabags dry'!$K$2:$K$821,MATCH(I173,'Ashed teabags dry'!$A$2:$A$821,0)),"")</f>
        <v/>
      </c>
      <c r="Y173" s="195">
        <f t="shared" si="14"/>
        <v>0.73896123885500031</v>
      </c>
      <c r="Z173" s="195" t="str">
        <f t="shared" si="14"/>
        <v/>
      </c>
      <c r="AA173" s="195">
        <f t="shared" si="20"/>
        <v>0.53313528701418134</v>
      </c>
      <c r="AB173" s="195">
        <f t="shared" si="21"/>
        <v>0.34951386987152983</v>
      </c>
      <c r="AC173" s="195" t="str">
        <f t="shared" si="15"/>
        <v/>
      </c>
      <c r="AD173">
        <f t="shared" si="16"/>
        <v>71</v>
      </c>
      <c r="AE173" s="195">
        <f t="shared" si="22"/>
        <v>0.3668226995080982</v>
      </c>
      <c r="AF173" s="195" t="str">
        <f t="shared" si="23"/>
        <v/>
      </c>
      <c r="AG173" s="255" t="str">
        <f>IF(ISNUMBER(SEARCH("C", 'Dry_Litterbag Placem_Collection'!AB100)),"YES","NO")</f>
        <v>NO</v>
      </c>
      <c r="AH173" s="255" t="str">
        <f>IF(ISNUMBER(SEARCH("H", 'Dry_Litterbag Placem_Collection'!AB100)),"YES","NO")</f>
        <v>NO</v>
      </c>
      <c r="AI173" s="255" t="str">
        <f>IF(ISNUMBER(SEARCH("R", 'Dry_Litterbag Placem_Collection'!AB100)),"YES","NO")</f>
        <v>NO</v>
      </c>
      <c r="AJ173" s="255" t="str">
        <f>IF(ISNUMBER(SEARCH("C", 'Dry_Litterbag Placem_Collection'!AA100)),"YES","NO")</f>
        <v>NO</v>
      </c>
      <c r="AK173" s="255" t="str">
        <f>IF(ISNUMBER(SEARCH("H", 'Dry_Litterbag Placem_Collection'!AA100)),"YES","NO")</f>
        <v>NO</v>
      </c>
      <c r="AL173" s="255" t="str">
        <f>IF(ISNUMBER(SEARCH("R", 'Dry_Litterbag Placem_Collection'!AA100)),"YES","NO")</f>
        <v>NO</v>
      </c>
      <c r="AR173" t="s">
        <v>1866</v>
      </c>
      <c r="AT173" t="s">
        <v>331</v>
      </c>
    </row>
    <row r="174" spans="2:46">
      <c r="B174" t="str">
        <f>'Final data_for_R_analysis_Dryse'!A100</f>
        <v>Dry</v>
      </c>
      <c r="C174" s="263">
        <f>'Final data_for_R_analysis_Dryse'!B100</f>
        <v>99</v>
      </c>
      <c r="D174" t="s">
        <v>3841</v>
      </c>
      <c r="E174" t="s">
        <v>22</v>
      </c>
      <c r="F174" s="386">
        <v>3</v>
      </c>
      <c r="G174" s="16">
        <f>'Dry_Litterbag Placem_Collection'!E101</f>
        <v>0</v>
      </c>
      <c r="H174" t="str">
        <f>'Final data_for_R_analysis_Dryse'!J100</f>
        <v/>
      </c>
      <c r="I174" t="str">
        <f>'Final data_for_R_analysis_Dryse'!J320</f>
        <v/>
      </c>
      <c r="J174" t="str">
        <f>IFERROR(INDEX('Green_rooibos initial weight'!$C$5:$C$1749,MATCH(H174, 'Green_rooibos initial weight'!$A$5:$A$1749,0)),"")</f>
        <v/>
      </c>
      <c r="K174" t="str">
        <f>IFERROR(INDEX('Green_rooibos initial weight'!$C$5:$C$1749,MATCH(I174, 'Green_rooibos initial weight'!$A$5:$A$1749,0)),"")</f>
        <v/>
      </c>
      <c r="L174" s="195" t="str">
        <f t="shared" si="17"/>
        <v/>
      </c>
      <c r="M174" s="240">
        <f>AVERAGE(Ashed_controlls!$K$1:$K$11)</f>
        <v>5.5147656768714146</v>
      </c>
      <c r="N174" s="195" t="str">
        <f t="shared" si="12"/>
        <v/>
      </c>
      <c r="O174" s="195" t="str">
        <f t="shared" si="18"/>
        <v/>
      </c>
      <c r="P174" s="240">
        <f>AVERAGE(Ashed_controlls!$K$12:$K$14)</f>
        <v>2.2816647271287041</v>
      </c>
      <c r="Q174" s="195" t="str">
        <f t="shared" si="13"/>
        <v/>
      </c>
      <c r="R174" s="16">
        <f>IF('Dry_Litterbag Placem_Collection'!G101="N.A","",'Dry_Litterbag Placem_Collection'!G101)</f>
        <v>0</v>
      </c>
      <c r="S174" s="195" t="str">
        <f>IF(IFERROR(INDEX('Both teabags AfterDry'!$D$1:$D$839,MATCH(H174,'Both teabags AfterDry'!$A$1:$A$839,0)),"")="N.A","",(IFERROR(INDEX('Both teabags AfterDry'!$D$1:$D$839,MATCH(H174,'Both teabags AfterDry'!$A$1:$A$839,0)),"")))</f>
        <v/>
      </c>
      <c r="T174" s="195" t="str">
        <f>IF(IFERROR(INDEX('Both teabags AfterDry'!$D$1:$D$839,MATCH(I174,'Both teabags AfterDry'!$A$1:$A$839,0)),"")="N.A","",(IFERROR(INDEX('Both teabags AfterDry'!$D$1:$D$839,MATCH(I174,'Both teabags AfterDry'!$A$1:$A$839,0)),"")))</f>
        <v/>
      </c>
      <c r="U174" s="195" t="str">
        <f t="shared" si="19"/>
        <v/>
      </c>
      <c r="V174" s="195" t="str">
        <f t="shared" si="19"/>
        <v/>
      </c>
      <c r="W174" s="195" t="str">
        <f>IFERROR(INDEX('Ashed teabags dry'!$K$2:$K$821,MATCH(H174,'Ashed teabags dry'!$A$2:$A$821,0)),"")</f>
        <v/>
      </c>
      <c r="X174" s="195" t="str">
        <f>IFERROR(INDEX('Ashed teabags dry'!$K$2:$K$821,MATCH(I174,'Ashed teabags dry'!$A$2:$A$821,0)),"")</f>
        <v/>
      </c>
      <c r="Y174" s="195" t="str">
        <f t="shared" si="14"/>
        <v/>
      </c>
      <c r="Z174" s="195" t="str">
        <f t="shared" si="14"/>
        <v/>
      </c>
      <c r="AA174" s="195" t="str">
        <f t="shared" si="20"/>
        <v/>
      </c>
      <c r="AB174" s="195" t="str">
        <f t="shared" si="21"/>
        <v/>
      </c>
      <c r="AC174" s="195" t="str">
        <f t="shared" si="15"/>
        <v/>
      </c>
      <c r="AD174" t="str">
        <f t="shared" si="16"/>
        <v/>
      </c>
      <c r="AE174" s="195" t="str">
        <f t="shared" si="22"/>
        <v/>
      </c>
      <c r="AF174" s="195" t="str">
        <f t="shared" si="23"/>
        <v/>
      </c>
      <c r="AG174" s="255" t="str">
        <f>IF(ISNUMBER(SEARCH("C", 'Dry_Litterbag Placem_Collection'!AB101)),"YES","NO")</f>
        <v>NO</v>
      </c>
      <c r="AH174" s="255" t="str">
        <f>IF(ISNUMBER(SEARCH("H", 'Dry_Litterbag Placem_Collection'!AB101)),"YES","NO")</f>
        <v>NO</v>
      </c>
      <c r="AI174" s="255" t="str">
        <f>IF(ISNUMBER(SEARCH("R", 'Dry_Litterbag Placem_Collection'!AB101)),"YES","NO")</f>
        <v>NO</v>
      </c>
      <c r="AJ174" s="255" t="str">
        <f>IF(ISNUMBER(SEARCH("C", 'Dry_Litterbag Placem_Collection'!AA101)),"YES","NO")</f>
        <v>NO</v>
      </c>
      <c r="AK174" s="255" t="str">
        <f>IF(ISNUMBER(SEARCH("H", 'Dry_Litterbag Placem_Collection'!AA101)),"YES","NO")</f>
        <v>NO</v>
      </c>
      <c r="AL174" s="255" t="str">
        <f>IF(ISNUMBER(SEARCH("R", 'Dry_Litterbag Placem_Collection'!AA101)),"YES","NO")</f>
        <v>NO</v>
      </c>
      <c r="AR174" t="s">
        <v>3654</v>
      </c>
      <c r="AT174" t="s">
        <v>3654</v>
      </c>
    </row>
    <row r="175" spans="2:46">
      <c r="B175" t="str">
        <f>'Final data_for_R_analysis_Dryse'!A101</f>
        <v>Dry</v>
      </c>
      <c r="C175" s="263">
        <f>'Final data_for_R_analysis_Dryse'!B101</f>
        <v>100</v>
      </c>
      <c r="D175" t="s">
        <v>3841</v>
      </c>
      <c r="E175" t="s">
        <v>22</v>
      </c>
      <c r="F175" s="387">
        <v>4</v>
      </c>
      <c r="G175" s="16">
        <f>'Dry_Litterbag Placem_Collection'!E102</f>
        <v>42939</v>
      </c>
      <c r="H175" t="str">
        <f>'Final data_for_R_analysis_Dryse'!J101</f>
        <v>G176</v>
      </c>
      <c r="I175" t="str">
        <f>'Final data_for_R_analysis_Dryse'!J321</f>
        <v>R276</v>
      </c>
      <c r="J175">
        <f>IFERROR(INDEX('Green_rooibos initial weight'!$C$5:$C$1749,MATCH(H175, 'Green_rooibos initial weight'!$A$5:$A$1749,0)),"")</f>
        <v>2.0590000000000002</v>
      </c>
      <c r="K175">
        <f>IFERROR(INDEX('Green_rooibos initial weight'!$C$5:$C$1749,MATCH(I175, 'Green_rooibos initial weight'!$A$5:$A$1749,0)),"")</f>
        <v>2.1930000000000001</v>
      </c>
      <c r="L175" s="195">
        <f t="shared" si="17"/>
        <v>1.8092000000000001</v>
      </c>
      <c r="M175" s="240">
        <f>AVERAGE(Ashed_controlls!$K$1:$K$11)</f>
        <v>5.5147656768714146</v>
      </c>
      <c r="N175" s="195">
        <f t="shared" si="12"/>
        <v>1.7094268593740425</v>
      </c>
      <c r="O175" s="195">
        <f t="shared" si="18"/>
        <v>1.9432</v>
      </c>
      <c r="P175" s="240">
        <f>AVERAGE(Ashed_controlls!$K$12:$K$14)</f>
        <v>2.2816647271287041</v>
      </c>
      <c r="Q175" s="195">
        <f t="shared" si="13"/>
        <v>1.8988626910224351</v>
      </c>
      <c r="R175" s="16">
        <f>IF('Dry_Litterbag Placem_Collection'!G102="N.A","",'Dry_Litterbag Placem_Collection'!G102)</f>
        <v>43010</v>
      </c>
      <c r="S175" s="195">
        <f>IF(IFERROR(INDEX('Both teabags AfterDry'!$D$1:$D$839,MATCH(H175,'Both teabags AfterDry'!$A$1:$A$839,0)),"")="N.A","",(IFERROR(INDEX('Both teabags AfterDry'!$D$1:$D$839,MATCH(H175,'Both teabags AfterDry'!$A$1:$A$839,0)),"")))</f>
        <v>1.3146</v>
      </c>
      <c r="T175" s="195">
        <f>IF(IFERROR(INDEX('Both teabags AfterDry'!$D$1:$D$839,MATCH(I175,'Both teabags AfterDry'!$A$1:$A$839,0)),"")="N.A","",(IFERROR(INDEX('Both teabags AfterDry'!$D$1:$D$839,MATCH(I175,'Both teabags AfterDry'!$A$1:$A$839,0)),"")))</f>
        <v>1.4581</v>
      </c>
      <c r="U175" s="195">
        <f t="shared" si="19"/>
        <v>1.1639999999999999</v>
      </c>
      <c r="V175" s="195">
        <f t="shared" si="19"/>
        <v>1.3074999999999999</v>
      </c>
      <c r="W175" s="195">
        <f>IFERROR(INDEX('Ashed teabags dry'!$K$2:$K$821,MATCH(H175,'Ashed teabags dry'!$A$2:$A$821,0)),"")</f>
        <v>14.190157668418236</v>
      </c>
      <c r="X175" s="195">
        <f>IFERROR(INDEX('Ashed teabags dry'!$K$2:$K$821,MATCH(I175,'Ashed teabags dry'!$A$2:$A$821,0)),"")</f>
        <v>88.392857142857224</v>
      </c>
      <c r="Y175" s="195">
        <f t="shared" si="14"/>
        <v>0.99882656473961173</v>
      </c>
      <c r="Z175" s="195">
        <f t="shared" si="14"/>
        <v>0.1517633928571418</v>
      </c>
      <c r="AA175" s="195">
        <f t="shared" si="20"/>
        <v>0.4156950563504298</v>
      </c>
      <c r="AB175" s="195">
        <f t="shared" si="21"/>
        <v>0.27252217470954548</v>
      </c>
      <c r="AC175" s="195">
        <f t="shared" si="15"/>
        <v>7.9923310713649026E-2</v>
      </c>
      <c r="AD175">
        <f t="shared" si="16"/>
        <v>71</v>
      </c>
      <c r="AE175" s="195">
        <f t="shared" si="22"/>
        <v>0.50630040813488142</v>
      </c>
      <c r="AF175" s="195" t="str">
        <f t="shared" si="23"/>
        <v/>
      </c>
      <c r="AG175" s="255" t="str">
        <f>IF(ISNUMBER(SEARCH("C", 'Dry_Litterbag Placem_Collection'!AB102)),"YES","NO")</f>
        <v>NO</v>
      </c>
      <c r="AH175" s="255" t="str">
        <f>IF(ISNUMBER(SEARCH("H", 'Dry_Litterbag Placem_Collection'!AB102)),"YES","NO")</f>
        <v>NO</v>
      </c>
      <c r="AI175" s="255" t="str">
        <f>IF(ISNUMBER(SEARCH("R", 'Dry_Litterbag Placem_Collection'!AB102)),"YES","NO")</f>
        <v>NO</v>
      </c>
      <c r="AJ175" s="255" t="str">
        <f>IF(ISNUMBER(SEARCH("C", 'Dry_Litterbag Placem_Collection'!AA102)),"YES","NO")</f>
        <v>NO</v>
      </c>
      <c r="AK175" s="255" t="str">
        <f>IF(ISNUMBER(SEARCH("H", 'Dry_Litterbag Placem_Collection'!AA102)),"YES","NO")</f>
        <v>NO</v>
      </c>
      <c r="AL175" s="255" t="str">
        <f>IF(ISNUMBER(SEARCH("R", 'Dry_Litterbag Placem_Collection'!AA102)),"YES","NO")</f>
        <v>NO</v>
      </c>
      <c r="AR175" t="s">
        <v>1874</v>
      </c>
      <c r="AT175" t="s">
        <v>865</v>
      </c>
    </row>
    <row r="176" spans="2:46">
      <c r="B176" t="str">
        <f>'Final data_for_R_analysis_Dryse'!A102</f>
        <v>Dry</v>
      </c>
      <c r="C176" s="263">
        <f>'Final data_for_R_analysis_Dryse'!B102</f>
        <v>101</v>
      </c>
      <c r="D176" t="s">
        <v>3841</v>
      </c>
      <c r="E176" t="s">
        <v>22</v>
      </c>
      <c r="F176" s="387">
        <v>5</v>
      </c>
      <c r="G176" s="16">
        <f>'Dry_Litterbag Placem_Collection'!E103</f>
        <v>42939</v>
      </c>
      <c r="H176" t="str">
        <f>'Final data_for_R_analysis_Dryse'!J102</f>
        <v>G11</v>
      </c>
      <c r="I176" t="str">
        <f>'Final data_for_R_analysis_Dryse'!J322</f>
        <v>R624</v>
      </c>
      <c r="J176">
        <f>IFERROR(INDEX('Green_rooibos initial weight'!$C$5:$C$1749,MATCH(H176, 'Green_rooibos initial weight'!$A$5:$A$1749,0)),"")</f>
        <v>1.839</v>
      </c>
      <c r="K176">
        <f>IFERROR(INDEX('Green_rooibos initial weight'!$C$5:$C$1749,MATCH(I176, 'Green_rooibos initial weight'!$A$5:$A$1749,0)),"")</f>
        <v>2.0739999999999998</v>
      </c>
      <c r="L176" s="195">
        <f t="shared" si="17"/>
        <v>1.5891999999999999</v>
      </c>
      <c r="M176" s="240">
        <f>AVERAGE(Ashed_controlls!$K$1:$K$11)</f>
        <v>5.5147656768714146</v>
      </c>
      <c r="N176" s="195">
        <f t="shared" si="12"/>
        <v>1.5015593438631594</v>
      </c>
      <c r="O176" s="195">
        <f t="shared" si="18"/>
        <v>1.8241999999999998</v>
      </c>
      <c r="P176" s="240">
        <f>AVERAGE(Ashed_controlls!$K$12:$K$14)</f>
        <v>2.2816647271287041</v>
      </c>
      <c r="Q176" s="195">
        <f t="shared" si="13"/>
        <v>1.7825778720477179</v>
      </c>
      <c r="R176" s="16">
        <f>IF('Dry_Litterbag Placem_Collection'!G103="N.A","",'Dry_Litterbag Placem_Collection'!G103)</f>
        <v>43010</v>
      </c>
      <c r="S176" s="195">
        <f>IF(IFERROR(INDEX('Both teabags AfterDry'!$D$1:$D$839,MATCH(H176,'Both teabags AfterDry'!$A$1:$A$839,0)),"")="N.A","",(IFERROR(INDEX('Both teabags AfterDry'!$D$1:$D$839,MATCH(H176,'Both teabags AfterDry'!$A$1:$A$839,0)),"")))</f>
        <v>1.0169999999999999</v>
      </c>
      <c r="T176" s="195">
        <f>IF(IFERROR(INDEX('Both teabags AfterDry'!$D$1:$D$839,MATCH(I176,'Both teabags AfterDry'!$A$1:$A$839,0)),"")="N.A","",(IFERROR(INDEX('Both teabags AfterDry'!$D$1:$D$839,MATCH(I176,'Both teabags AfterDry'!$A$1:$A$839,0)),"")))</f>
        <v>0</v>
      </c>
      <c r="U176" s="195">
        <f t="shared" si="19"/>
        <v>0.86639999999999984</v>
      </c>
      <c r="V176" s="195" t="str">
        <f t="shared" si="19"/>
        <v/>
      </c>
      <c r="W176" s="195">
        <f>IFERROR(INDEX('Ashed teabags dry'!$K$2:$K$821,MATCH(H176,'Ashed teabags dry'!$A$2:$A$821,0)),"")</f>
        <v>15.774099318403096</v>
      </c>
      <c r="X176" s="195">
        <f>IFERROR(INDEX('Ashed teabags dry'!$K$2:$K$821,MATCH(I176,'Ashed teabags dry'!$A$2:$A$821,0)),"")</f>
        <v>86.281234688877774</v>
      </c>
      <c r="Y176" s="195">
        <f t="shared" si="14"/>
        <v>0.72973320350535542</v>
      </c>
      <c r="Z176" s="195" t="str">
        <f t="shared" si="14"/>
        <v/>
      </c>
      <c r="AA176" s="195">
        <f t="shared" si="20"/>
        <v>0.51401640801759907</v>
      </c>
      <c r="AB176" s="195">
        <f t="shared" si="21"/>
        <v>0.33697987794027873</v>
      </c>
      <c r="AC176" s="195" t="str">
        <f t="shared" si="15"/>
        <v/>
      </c>
      <c r="AD176">
        <f t="shared" si="16"/>
        <v>71</v>
      </c>
      <c r="AE176" s="195">
        <f t="shared" si="22"/>
        <v>0.38952920662992985</v>
      </c>
      <c r="AF176" s="195" t="str">
        <f t="shared" si="23"/>
        <v/>
      </c>
      <c r="AG176" s="255" t="str">
        <f>IF(ISNUMBER(SEARCH("C", 'Dry_Litterbag Placem_Collection'!AB103)),"YES","NO")</f>
        <v>NO</v>
      </c>
      <c r="AH176" s="255" t="str">
        <f>IF(ISNUMBER(SEARCH("H", 'Dry_Litterbag Placem_Collection'!AB103)),"YES","NO")</f>
        <v>NO</v>
      </c>
      <c r="AI176" s="255" t="str">
        <f>IF(ISNUMBER(SEARCH("R", 'Dry_Litterbag Placem_Collection'!AB103)),"YES","NO")</f>
        <v>NO</v>
      </c>
      <c r="AJ176" s="255" t="str">
        <f>IF(ISNUMBER(SEARCH("C", 'Dry_Litterbag Placem_Collection'!AA103)),"YES","NO")</f>
        <v>NO</v>
      </c>
      <c r="AK176" s="255" t="str">
        <f>IF(ISNUMBER(SEARCH("H", 'Dry_Litterbag Placem_Collection'!AA103)),"YES","NO")</f>
        <v>NO</v>
      </c>
      <c r="AL176" s="255" t="str">
        <f>IF(ISNUMBER(SEARCH("R", 'Dry_Litterbag Placem_Collection'!AA103)),"YES","NO")</f>
        <v>NO</v>
      </c>
      <c r="AR176" t="s">
        <v>2039</v>
      </c>
      <c r="AT176" t="s">
        <v>515</v>
      </c>
    </row>
    <row r="177" spans="2:46">
      <c r="B177" t="str">
        <f>'Final data_for_R_analysis_Dryse'!A103</f>
        <v>Dry</v>
      </c>
      <c r="C177" s="263">
        <f>'Final data_for_R_analysis_Dryse'!B103</f>
        <v>102</v>
      </c>
      <c r="D177" t="s">
        <v>3841</v>
      </c>
      <c r="E177" t="s">
        <v>22</v>
      </c>
      <c r="F177" s="387">
        <v>6</v>
      </c>
      <c r="G177" s="16">
        <f>'Dry_Litterbag Placem_Collection'!E104</f>
        <v>42939</v>
      </c>
      <c r="H177" t="str">
        <f>'Final data_for_R_analysis_Dryse'!J103</f>
        <v>G284</v>
      </c>
      <c r="I177" t="str">
        <f>'Final data_for_R_analysis_Dryse'!J323</f>
        <v>R781</v>
      </c>
      <c r="J177">
        <f>IFERROR(INDEX('Green_rooibos initial weight'!$C$5:$C$1749,MATCH(H177, 'Green_rooibos initial weight'!$A$5:$A$1749,0)),"")</f>
        <v>2.0760000000000001</v>
      </c>
      <c r="K177">
        <f>IFERROR(INDEX('Green_rooibos initial weight'!$C$5:$C$1749,MATCH(I177, 'Green_rooibos initial weight'!$A$5:$A$1749,0)),"")</f>
        <v>2.194</v>
      </c>
      <c r="L177" s="195">
        <f t="shared" si="17"/>
        <v>1.8262</v>
      </c>
      <c r="M177" s="240">
        <f>AVERAGE(Ashed_controlls!$K$1:$K$11)</f>
        <v>5.5147656768714146</v>
      </c>
      <c r="N177" s="195">
        <f t="shared" si="12"/>
        <v>1.7254893492089742</v>
      </c>
      <c r="O177" s="195">
        <f t="shared" si="18"/>
        <v>1.9441999999999999</v>
      </c>
      <c r="P177" s="240">
        <f>AVERAGE(Ashed_controlls!$K$12:$K$14)</f>
        <v>2.2816647271287041</v>
      </c>
      <c r="Q177" s="195">
        <f t="shared" si="13"/>
        <v>1.8998398743751637</v>
      </c>
      <c r="R177" s="16">
        <f>IF('Dry_Litterbag Placem_Collection'!G104="N.A","",'Dry_Litterbag Placem_Collection'!G104)</f>
        <v>43010</v>
      </c>
      <c r="S177" s="195">
        <f>IF(IFERROR(INDEX('Both teabags AfterDry'!$D$1:$D$839,MATCH(H177,'Both teabags AfterDry'!$A$1:$A$839,0)),"")="N.A","",(IFERROR(INDEX('Both teabags AfterDry'!$D$1:$D$839,MATCH(H177,'Both teabags AfterDry'!$A$1:$A$839,0)),"")))</f>
        <v>1.1585000000000001</v>
      </c>
      <c r="T177" s="195">
        <f>IF(IFERROR(INDEX('Both teabags AfterDry'!$D$1:$D$839,MATCH(I177,'Both teabags AfterDry'!$A$1:$A$839,0)),"")="N.A","",(IFERROR(INDEX('Both teabags AfterDry'!$D$1:$D$839,MATCH(I177,'Both teabags AfterDry'!$A$1:$A$839,0)),"")))</f>
        <v>1.8687</v>
      </c>
      <c r="U177" s="195">
        <f t="shared" si="19"/>
        <v>1.0079</v>
      </c>
      <c r="V177" s="195">
        <f t="shared" si="19"/>
        <v>1.7181</v>
      </c>
      <c r="W177" s="195">
        <f>IFERROR(INDEX('Ashed teabags dry'!$K$2:$K$821,MATCH(H177,'Ashed teabags dry'!$A$2:$A$821,0)),"")</f>
        <v>12.200736648250626</v>
      </c>
      <c r="X177" s="195">
        <f>IFERROR(INDEX('Ashed teabags dry'!$K$2:$K$821,MATCH(I177,'Ashed teabags dry'!$A$2:$A$821,0)),"")</f>
        <v>3.9305301645336419</v>
      </c>
      <c r="Y177" s="195">
        <f t="shared" si="14"/>
        <v>0.88492877532228198</v>
      </c>
      <c r="Z177" s="195">
        <f t="shared" si="14"/>
        <v>1.6505695612431475</v>
      </c>
      <c r="AA177" s="195">
        <f t="shared" si="20"/>
        <v>0.48714329895576303</v>
      </c>
      <c r="AB177" s="195">
        <f t="shared" si="21"/>
        <v>0.31936235275959768</v>
      </c>
      <c r="AC177" s="195">
        <f t="shared" si="15"/>
        <v>0.86879404075356692</v>
      </c>
      <c r="AD177">
        <f t="shared" si="16"/>
        <v>71</v>
      </c>
      <c r="AE177" s="195">
        <f t="shared" si="22"/>
        <v>0.42144501311667093</v>
      </c>
      <c r="AF177" s="195">
        <f t="shared" si="23"/>
        <v>7.4514487719086605E-3</v>
      </c>
      <c r="AG177" s="255" t="str">
        <f>IF(ISNUMBER(SEARCH("C", 'Dry_Litterbag Placem_Collection'!AB104)),"YES","NO")</f>
        <v>NO</v>
      </c>
      <c r="AH177" s="255" t="str">
        <f>IF(ISNUMBER(SEARCH("H", 'Dry_Litterbag Placem_Collection'!AB104)),"YES","NO")</f>
        <v>NO</v>
      </c>
      <c r="AI177" s="255" t="str">
        <f>IF(ISNUMBER(SEARCH("R", 'Dry_Litterbag Placem_Collection'!AB104)),"YES","NO")</f>
        <v>NO</v>
      </c>
      <c r="AJ177" s="255" t="str">
        <f>IF(ISNUMBER(SEARCH("C", 'Dry_Litterbag Placem_Collection'!AA104)),"YES","NO")</f>
        <v>NO</v>
      </c>
      <c r="AK177" s="255" t="str">
        <f>IF(ISNUMBER(SEARCH("H", 'Dry_Litterbag Placem_Collection'!AA104)),"YES","NO")</f>
        <v>NO</v>
      </c>
      <c r="AL177" s="255" t="str">
        <f>IF(ISNUMBER(SEARCH("R", 'Dry_Litterbag Placem_Collection'!AA104)),"YES","NO")</f>
        <v>NO</v>
      </c>
      <c r="AR177" t="s">
        <v>1766</v>
      </c>
      <c r="AT177" t="s">
        <v>358</v>
      </c>
    </row>
    <row r="178" spans="2:46">
      <c r="B178" t="str">
        <f>'Final data_for_R_analysis_Dryse'!A104</f>
        <v>Dry</v>
      </c>
      <c r="C178" s="263">
        <f>'Final data_for_R_analysis_Dryse'!B104</f>
        <v>103</v>
      </c>
      <c r="D178" t="s">
        <v>3841</v>
      </c>
      <c r="E178" t="s">
        <v>22</v>
      </c>
      <c r="F178" s="387">
        <v>7</v>
      </c>
      <c r="G178" s="16">
        <f>'Dry_Litterbag Placem_Collection'!E105</f>
        <v>42939</v>
      </c>
      <c r="H178" t="str">
        <f>'Final data_for_R_analysis_Dryse'!J104</f>
        <v>G326</v>
      </c>
      <c r="I178" t="str">
        <f>'Final data_for_R_analysis_Dryse'!J324</f>
        <v>R772</v>
      </c>
      <c r="J178">
        <f>IFERROR(INDEX('Green_rooibos initial weight'!$C$5:$C$1749,MATCH(H178, 'Green_rooibos initial weight'!$A$5:$A$1749,0)),"")</f>
        <v>2.04</v>
      </c>
      <c r="K178">
        <f>IFERROR(INDEX('Green_rooibos initial weight'!$C$5:$C$1749,MATCH(I178, 'Green_rooibos initial weight'!$A$5:$A$1749,0)),"")</f>
        <v>2.1909999999999998</v>
      </c>
      <c r="L178" s="195">
        <f t="shared" si="17"/>
        <v>1.7902</v>
      </c>
      <c r="M178" s="240">
        <f>AVERAGE(Ashed_controlls!$K$1:$K$11)</f>
        <v>5.5147656768714146</v>
      </c>
      <c r="N178" s="195">
        <f t="shared" si="12"/>
        <v>1.691474664852648</v>
      </c>
      <c r="O178" s="195">
        <f t="shared" si="18"/>
        <v>1.9411999999999998</v>
      </c>
      <c r="P178" s="240">
        <f>AVERAGE(Ashed_controlls!$K$12:$K$14)</f>
        <v>2.2816647271287041</v>
      </c>
      <c r="Q178" s="195">
        <f t="shared" si="13"/>
        <v>1.8969083243169773</v>
      </c>
      <c r="R178" s="16">
        <f>IF('Dry_Litterbag Placem_Collection'!G105="N.A","",'Dry_Litterbag Placem_Collection'!G105)</f>
        <v>43010</v>
      </c>
      <c r="S178" s="195">
        <f>IF(IFERROR(INDEX('Both teabags AfterDry'!$D$1:$D$839,MATCH(H178,'Both teabags AfterDry'!$A$1:$A$839,0)),"")="N.A","",(IFERROR(INDEX('Both teabags AfterDry'!$D$1:$D$839,MATCH(H178,'Both teabags AfterDry'!$A$1:$A$839,0)),"")))</f>
        <v>1.0625</v>
      </c>
      <c r="T178" s="195">
        <f>IF(IFERROR(INDEX('Both teabags AfterDry'!$D$1:$D$839,MATCH(I178,'Both teabags AfterDry'!$A$1:$A$839,0)),"")="N.A","",(IFERROR(INDEX('Both teabags AfterDry'!$D$1:$D$839,MATCH(I178,'Both teabags AfterDry'!$A$1:$A$839,0)),"")))</f>
        <v>1.5579000000000001</v>
      </c>
      <c r="U178" s="195">
        <f t="shared" si="19"/>
        <v>0.91189999999999993</v>
      </c>
      <c r="V178" s="195">
        <f t="shared" si="19"/>
        <v>1.4073</v>
      </c>
      <c r="W178" s="195">
        <f>IFERROR(INDEX('Ashed teabags dry'!$K$2:$K$821,MATCH(H178,'Ashed teabags dry'!$A$2:$A$821,0)),"")</f>
        <v>16.846473029045587</v>
      </c>
      <c r="X178" s="195">
        <f>IFERROR(INDEX('Ashed teabags dry'!$K$2:$K$821,MATCH(I178,'Ashed teabags dry'!$A$2:$A$821,0)),"")</f>
        <v>79.426490669094463</v>
      </c>
      <c r="Y178" s="195">
        <f t="shared" si="14"/>
        <v>0.75827701244813328</v>
      </c>
      <c r="Z178" s="195">
        <f t="shared" si="14"/>
        <v>0.28953099681383354</v>
      </c>
      <c r="AA178" s="195">
        <f t="shared" si="20"/>
        <v>0.55170655038206551</v>
      </c>
      <c r="AB178" s="195">
        <f t="shared" si="21"/>
        <v>0.36168885488230429</v>
      </c>
      <c r="AC178" s="195">
        <f t="shared" si="15"/>
        <v>0.15263309939771888</v>
      </c>
      <c r="AD178">
        <f t="shared" si="16"/>
        <v>71</v>
      </c>
      <c r="AE178" s="195">
        <f t="shared" si="22"/>
        <v>0.34476656724220245</v>
      </c>
      <c r="AF178" s="195" t="str">
        <f t="shared" si="23"/>
        <v/>
      </c>
      <c r="AG178" s="255" t="str">
        <f>IF(ISNUMBER(SEARCH("C", 'Dry_Litterbag Placem_Collection'!AB105)),"YES","NO")</f>
        <v>NO</v>
      </c>
      <c r="AH178" s="255" t="str">
        <f>IF(ISNUMBER(SEARCH("H", 'Dry_Litterbag Placem_Collection'!AB105)),"YES","NO")</f>
        <v>NO</v>
      </c>
      <c r="AI178" s="255" t="str">
        <f>IF(ISNUMBER(SEARCH("R", 'Dry_Litterbag Placem_Collection'!AB105)),"YES","NO")</f>
        <v>NO</v>
      </c>
      <c r="AJ178" s="255" t="str">
        <f>IF(ISNUMBER(SEARCH("C", 'Dry_Litterbag Placem_Collection'!AA105)),"YES","NO")</f>
        <v>NO</v>
      </c>
      <c r="AK178" s="255" t="str">
        <f>IF(ISNUMBER(SEARCH("H", 'Dry_Litterbag Placem_Collection'!AA105)),"YES","NO")</f>
        <v>NO</v>
      </c>
      <c r="AL178" s="255" t="str">
        <f>IF(ISNUMBER(SEARCH("R", 'Dry_Litterbag Placem_Collection'!AA105)),"YES","NO")</f>
        <v>NO</v>
      </c>
      <c r="AR178" t="s">
        <v>1724</v>
      </c>
      <c r="AT178" t="s">
        <v>367</v>
      </c>
    </row>
    <row r="179" spans="2:46">
      <c r="B179" t="str">
        <f>'Final data_for_R_analysis_Dryse'!A105</f>
        <v>Dry</v>
      </c>
      <c r="C179" s="263">
        <f>'Final data_for_R_analysis_Dryse'!B105</f>
        <v>104</v>
      </c>
      <c r="D179" t="s">
        <v>3841</v>
      </c>
      <c r="E179" t="s">
        <v>22</v>
      </c>
      <c r="F179" s="387">
        <v>8</v>
      </c>
      <c r="G179" s="16">
        <f>'Dry_Litterbag Placem_Collection'!E106</f>
        <v>42939</v>
      </c>
      <c r="H179" t="str">
        <f>'Final data_for_R_analysis_Dryse'!J105</f>
        <v>G162</v>
      </c>
      <c r="I179" t="str">
        <f>'Final data_for_R_analysis_Dryse'!J325</f>
        <v>R744</v>
      </c>
      <c r="J179">
        <f>IFERROR(INDEX('Green_rooibos initial weight'!$C$5:$C$1749,MATCH(H179, 'Green_rooibos initial weight'!$A$5:$A$1749,0)),"")</f>
        <v>2.0390000000000001</v>
      </c>
      <c r="K179">
        <f>IFERROR(INDEX('Green_rooibos initial weight'!$C$5:$C$1749,MATCH(I179, 'Green_rooibos initial weight'!$A$5:$A$1749,0)),"")</f>
        <v>2.2280000000000002</v>
      </c>
      <c r="L179" s="195">
        <f t="shared" si="17"/>
        <v>1.7892000000000001</v>
      </c>
      <c r="M179" s="240">
        <f>AVERAGE(Ashed_controlls!$K$1:$K$11)</f>
        <v>5.5147656768714146</v>
      </c>
      <c r="N179" s="195">
        <f t="shared" si="12"/>
        <v>1.6905298125094168</v>
      </c>
      <c r="O179" s="195">
        <f t="shared" si="18"/>
        <v>1.9782000000000002</v>
      </c>
      <c r="P179" s="240">
        <f>AVERAGE(Ashed_controlls!$K$12:$K$14)</f>
        <v>2.2816647271287041</v>
      </c>
      <c r="Q179" s="195">
        <f t="shared" si="13"/>
        <v>1.9330641083679401</v>
      </c>
      <c r="R179" s="16">
        <f>IF('Dry_Litterbag Placem_Collection'!G106="N.A","",'Dry_Litterbag Placem_Collection'!G106)</f>
        <v>43010</v>
      </c>
      <c r="S179" s="195">
        <f>IF(IFERROR(INDEX('Both teabags AfterDry'!$D$1:$D$839,MATCH(H179,'Both teabags AfterDry'!$A$1:$A$839,0)),"")="N.A","",(IFERROR(INDEX('Both teabags AfterDry'!$D$1:$D$839,MATCH(H179,'Both teabags AfterDry'!$A$1:$A$839,0)),"")))</f>
        <v>1.4899</v>
      </c>
      <c r="T179" s="195">
        <f>IF(IFERROR(INDEX('Both teabags AfterDry'!$D$1:$D$839,MATCH(I179,'Both teabags AfterDry'!$A$1:$A$839,0)),"")="N.A","",(IFERROR(INDEX('Both teabags AfterDry'!$D$1:$D$839,MATCH(I179,'Both teabags AfterDry'!$A$1:$A$839,0)),"")))</f>
        <v>0</v>
      </c>
      <c r="U179" s="195">
        <f t="shared" si="19"/>
        <v>1.3392999999999999</v>
      </c>
      <c r="V179" s="195" t="str">
        <f t="shared" si="19"/>
        <v/>
      </c>
      <c r="W179" s="195" t="str">
        <f>IFERROR(INDEX('Ashed teabags dry'!$K$2:$K$821,MATCH(H179,'Ashed teabags dry'!$A$2:$A$821,0)),"")</f>
        <v/>
      </c>
      <c r="X179" s="195">
        <f>IFERROR(INDEX('Ashed teabags dry'!$K$2:$K$821,MATCH(I179,'Ashed teabags dry'!$A$2:$A$821,0)),"")</f>
        <v>84.528487229861895</v>
      </c>
      <c r="Y179" s="195" t="str">
        <f t="shared" si="14"/>
        <v/>
      </c>
      <c r="Z179" s="195" t="str">
        <f t="shared" si="14"/>
        <v/>
      </c>
      <c r="AA179" s="195" t="str">
        <f t="shared" si="20"/>
        <v/>
      </c>
      <c r="AB179" s="195" t="str">
        <f t="shared" si="21"/>
        <v/>
      </c>
      <c r="AC179" s="195" t="str">
        <f t="shared" si="15"/>
        <v/>
      </c>
      <c r="AD179">
        <f t="shared" si="16"/>
        <v>71</v>
      </c>
      <c r="AE179" s="195" t="str">
        <f t="shared" si="22"/>
        <v/>
      </c>
      <c r="AF179" s="195" t="str">
        <f t="shared" si="23"/>
        <v/>
      </c>
      <c r="AG179" s="255" t="str">
        <f>IF(ISNUMBER(SEARCH("C", 'Dry_Litterbag Placem_Collection'!AB106)),"YES","NO")</f>
        <v>NO</v>
      </c>
      <c r="AH179" s="255" t="str">
        <f>IF(ISNUMBER(SEARCH("H", 'Dry_Litterbag Placem_Collection'!AB106)),"YES","NO")</f>
        <v>NO</v>
      </c>
      <c r="AI179" s="255" t="str">
        <f>IF(ISNUMBER(SEARCH("R", 'Dry_Litterbag Placem_Collection'!AB106)),"YES","NO")</f>
        <v>NO</v>
      </c>
      <c r="AJ179" s="255" t="str">
        <f>IF(ISNUMBER(SEARCH("C", 'Dry_Litterbag Placem_Collection'!AA106)),"YES","NO")</f>
        <v>NO</v>
      </c>
      <c r="AK179" s="255" t="str">
        <f>IF(ISNUMBER(SEARCH("H", 'Dry_Litterbag Placem_Collection'!AA106)),"YES","NO")</f>
        <v>NO</v>
      </c>
      <c r="AL179" s="255" t="str">
        <f>IF(ISNUMBER(SEARCH("R", 'Dry_Litterbag Placem_Collection'!AA106)),"YES","NO")</f>
        <v>NO</v>
      </c>
      <c r="AR179" t="s">
        <v>1888</v>
      </c>
      <c r="AT179" t="s">
        <v>395</v>
      </c>
    </row>
    <row r="180" spans="2:46">
      <c r="B180" t="str">
        <f>'Final data_for_R_analysis_Dryse'!A106</f>
        <v>Dry</v>
      </c>
      <c r="C180" s="263">
        <f>'Final data_for_R_analysis_Dryse'!B106</f>
        <v>105</v>
      </c>
      <c r="D180" t="s">
        <v>3843</v>
      </c>
      <c r="E180" t="s">
        <v>22</v>
      </c>
      <c r="F180" s="386">
        <v>1</v>
      </c>
      <c r="G180" s="16">
        <f>'Dry_Litterbag Placem_Collection'!E107</f>
        <v>42939</v>
      </c>
      <c r="H180" t="str">
        <f>'Final data_for_R_analysis_Dryse'!J106</f>
        <v>G6</v>
      </c>
      <c r="I180" t="str">
        <f>'Final data_for_R_analysis_Dryse'!J326</f>
        <v>R824</v>
      </c>
      <c r="J180">
        <f>IFERROR(INDEX('Green_rooibos initial weight'!$C$5:$C$1749,MATCH(H180, 'Green_rooibos initial weight'!$A$5:$A$1749,0)),"")</f>
        <v>2.016</v>
      </c>
      <c r="K180">
        <f>IFERROR(INDEX('Green_rooibos initial weight'!$C$5:$C$1749,MATCH(I180, 'Green_rooibos initial weight'!$A$5:$A$1749,0)),"")</f>
        <v>2.173</v>
      </c>
      <c r="L180" s="195">
        <f t="shared" si="17"/>
        <v>1.7662</v>
      </c>
      <c r="M180" s="240">
        <f>AVERAGE(Ashed_controlls!$K$1:$K$11)</f>
        <v>5.5147656768714146</v>
      </c>
      <c r="N180" s="195">
        <f t="shared" si="12"/>
        <v>1.668798208615097</v>
      </c>
      <c r="O180" s="195">
        <f t="shared" si="18"/>
        <v>1.9232</v>
      </c>
      <c r="P180" s="240">
        <f>AVERAGE(Ashed_controlls!$K$12:$K$14)</f>
        <v>2.2816647271287041</v>
      </c>
      <c r="Q180" s="195">
        <f t="shared" si="13"/>
        <v>1.8793190239678608</v>
      </c>
      <c r="R180" s="16">
        <f>IF('Dry_Litterbag Placem_Collection'!G107="N.A","",'Dry_Litterbag Placem_Collection'!G107)</f>
        <v>43010</v>
      </c>
      <c r="S180" s="195">
        <f>IF(IFERROR(INDEX('Both teabags AfterDry'!$D$1:$D$839,MATCH(H180,'Both teabags AfterDry'!$A$1:$A$839,0)),"")="N.A","",(IFERROR(INDEX('Both teabags AfterDry'!$D$1:$D$839,MATCH(H180,'Both teabags AfterDry'!$A$1:$A$839,0)),"")))</f>
        <v>1.1637</v>
      </c>
      <c r="T180" s="195">
        <f>IF(IFERROR(INDEX('Both teabags AfterDry'!$D$1:$D$839,MATCH(I180,'Both teabags AfterDry'!$A$1:$A$839,0)),"")="N.A","",(IFERROR(INDEX('Both teabags AfterDry'!$D$1:$D$839,MATCH(I180,'Both teabags AfterDry'!$A$1:$A$839,0)),"")))</f>
        <v>1.7653000000000001</v>
      </c>
      <c r="U180" s="195">
        <f t="shared" si="19"/>
        <v>1.0130999999999999</v>
      </c>
      <c r="V180" s="195">
        <f t="shared" si="19"/>
        <v>1.6147</v>
      </c>
      <c r="W180" s="195">
        <f>IFERROR(INDEX('Ashed teabags dry'!$K$2:$K$821,MATCH(H180,'Ashed teabags dry'!$A$2:$A$821,0)),"")</f>
        <v>24.114832535885235</v>
      </c>
      <c r="X180" s="195">
        <f>IFERROR(INDEX('Ashed teabags dry'!$K$2:$K$821,MATCH(I180,'Ashed teabags dry'!$A$2:$A$821,0)),"")</f>
        <v>83.348375451263863</v>
      </c>
      <c r="Y180" s="195">
        <f t="shared" si="14"/>
        <v>0.76879263157894662</v>
      </c>
      <c r="Z180" s="195">
        <f t="shared" si="14"/>
        <v>0.26887378158844233</v>
      </c>
      <c r="AA180" s="195">
        <f t="shared" si="20"/>
        <v>0.53931360447890664</v>
      </c>
      <c r="AB180" s="195">
        <f t="shared" si="21"/>
        <v>0.353564263268832</v>
      </c>
      <c r="AC180" s="195">
        <f t="shared" si="15"/>
        <v>0.1430697918551164</v>
      </c>
      <c r="AD180">
        <f t="shared" si="16"/>
        <v>71</v>
      </c>
      <c r="AE180" s="195">
        <f t="shared" si="22"/>
        <v>0.35948503031008705</v>
      </c>
      <c r="AF180" s="195" t="str">
        <f t="shared" si="23"/>
        <v/>
      </c>
      <c r="AG180" s="255" t="str">
        <f>IF(ISNUMBER(SEARCH("C", 'Dry_Litterbag Placem_Collection'!AB107)),"YES","NO")</f>
        <v>NO</v>
      </c>
      <c r="AH180" s="255" t="str">
        <f>IF(ISNUMBER(SEARCH("H", 'Dry_Litterbag Placem_Collection'!AB107)),"YES","NO")</f>
        <v>NO</v>
      </c>
      <c r="AI180" s="255" t="str">
        <f>IF(ISNUMBER(SEARCH("R", 'Dry_Litterbag Placem_Collection'!AB107)),"YES","NO")</f>
        <v>NO</v>
      </c>
      <c r="AJ180" s="255" t="str">
        <f>IF(ISNUMBER(SEARCH("C", 'Dry_Litterbag Placem_Collection'!AA107)),"YES","NO")</f>
        <v>NO</v>
      </c>
      <c r="AK180" s="255" t="str">
        <f>IF(ISNUMBER(SEARCH("H", 'Dry_Litterbag Placem_Collection'!AA107)),"YES","NO")</f>
        <v>NO</v>
      </c>
      <c r="AL180" s="255" t="str">
        <f>IF(ISNUMBER(SEARCH("R", 'Dry_Litterbag Placem_Collection'!AA107)),"YES","NO")</f>
        <v>NO</v>
      </c>
      <c r="AR180" t="s">
        <v>2044</v>
      </c>
      <c r="AT180" t="s">
        <v>315</v>
      </c>
    </row>
    <row r="181" spans="2:46">
      <c r="B181" t="str">
        <f>'Final data_for_R_analysis_Dryse'!A107</f>
        <v>Dry</v>
      </c>
      <c r="C181" s="263">
        <f>'Final data_for_R_analysis_Dryse'!B107</f>
        <v>106</v>
      </c>
      <c r="D181" t="s">
        <v>3843</v>
      </c>
      <c r="E181" t="s">
        <v>22</v>
      </c>
      <c r="F181" s="386">
        <v>2</v>
      </c>
      <c r="G181" s="16">
        <f>'Dry_Litterbag Placem_Collection'!E108</f>
        <v>42939</v>
      </c>
      <c r="H181" t="str">
        <f>'Final data_for_R_analysis_Dryse'!J107</f>
        <v>G20</v>
      </c>
      <c r="I181" t="str">
        <f>'Final data_for_R_analysis_Dryse'!J327</f>
        <v>R790</v>
      </c>
      <c r="J181">
        <f>IFERROR(INDEX('Green_rooibos initial weight'!$C$5:$C$1749,MATCH(H181, 'Green_rooibos initial weight'!$A$5:$A$1749,0)),"")</f>
        <v>2.032</v>
      </c>
      <c r="K181">
        <f>IFERROR(INDEX('Green_rooibos initial weight'!$C$5:$C$1749,MATCH(I181, 'Green_rooibos initial weight'!$A$5:$A$1749,0)),"")</f>
        <v>2.266</v>
      </c>
      <c r="L181" s="195">
        <f t="shared" si="17"/>
        <v>1.7822</v>
      </c>
      <c r="M181" s="240">
        <f>AVERAGE(Ashed_controlls!$K$1:$K$11)</f>
        <v>5.5147656768714146</v>
      </c>
      <c r="N181" s="195">
        <f t="shared" si="12"/>
        <v>1.6839158461067976</v>
      </c>
      <c r="O181" s="195">
        <f t="shared" si="18"/>
        <v>2.0162</v>
      </c>
      <c r="P181" s="240">
        <f>AVERAGE(Ashed_controlls!$K$12:$K$14)</f>
        <v>2.2816647271287041</v>
      </c>
      <c r="Q181" s="195">
        <f t="shared" si="13"/>
        <v>1.9701970757716312</v>
      </c>
      <c r="R181" s="16">
        <f>IF('Dry_Litterbag Placem_Collection'!G108="N.A","",'Dry_Litterbag Placem_Collection'!G108)</f>
        <v>43010</v>
      </c>
      <c r="S181" s="195">
        <f>IF(IFERROR(INDEX('Both teabags AfterDry'!$D$1:$D$839,MATCH(H181,'Both teabags AfterDry'!$A$1:$A$839,0)),"")="N.A","",(IFERROR(INDEX('Both teabags AfterDry'!$D$1:$D$839,MATCH(H181,'Both teabags AfterDry'!$A$1:$A$839,0)),"")))</f>
        <v>1.0826</v>
      </c>
      <c r="T181" s="195">
        <f>IF(IFERROR(INDEX('Both teabags AfterDry'!$D$1:$D$839,MATCH(I181,'Both teabags AfterDry'!$A$1:$A$839,0)),"")="N.A","",(IFERROR(INDEX('Both teabags AfterDry'!$D$1:$D$839,MATCH(I181,'Both teabags AfterDry'!$A$1:$A$839,0)),"")))</f>
        <v>2.2315</v>
      </c>
      <c r="U181" s="195">
        <f t="shared" si="19"/>
        <v>0.93199999999999994</v>
      </c>
      <c r="V181" s="195">
        <f t="shared" si="19"/>
        <v>2.0809000000000002</v>
      </c>
      <c r="W181" s="195">
        <f>IFERROR(INDEX('Ashed teabags dry'!$K$2:$K$821,MATCH(H181,'Ashed teabags dry'!$A$2:$A$821,0)),"")</f>
        <v>11.814345991561</v>
      </c>
      <c r="X181" s="195">
        <f>IFERROR(INDEX('Ashed teabags dry'!$K$2:$K$821,MATCH(I181,'Ashed teabags dry'!$A$2:$A$821,0)),"")</f>
        <v>81.485100146555695</v>
      </c>
      <c r="Y181" s="195">
        <f t="shared" si="14"/>
        <v>0.82189029535865143</v>
      </c>
      <c r="Z181" s="195">
        <f t="shared" si="14"/>
        <v>0.38527655105032244</v>
      </c>
      <c r="AA181" s="195">
        <f t="shared" si="20"/>
        <v>0.51191723905986364</v>
      </c>
      <c r="AB181" s="195">
        <f t="shared" si="21"/>
        <v>0.33560370066632395</v>
      </c>
      <c r="AC181" s="195">
        <f t="shared" si="15"/>
        <v>0.1955522905744991</v>
      </c>
      <c r="AD181">
        <f t="shared" si="16"/>
        <v>71</v>
      </c>
      <c r="AE181" s="195">
        <f t="shared" si="22"/>
        <v>0.39202228140158712</v>
      </c>
      <c r="AF181" s="195" t="str">
        <f t="shared" si="23"/>
        <v/>
      </c>
      <c r="AG181" s="255" t="str">
        <f>IF(ISNUMBER(SEARCH("C", 'Dry_Litterbag Placem_Collection'!AB108)),"YES","NO")</f>
        <v>NO</v>
      </c>
      <c r="AH181" s="255" t="str">
        <f>IF(ISNUMBER(SEARCH("H", 'Dry_Litterbag Placem_Collection'!AB108)),"YES","NO")</f>
        <v>NO</v>
      </c>
      <c r="AI181" s="255" t="str">
        <f>IF(ISNUMBER(SEARCH("R", 'Dry_Litterbag Placem_Collection'!AB108)),"YES","NO")</f>
        <v>NO</v>
      </c>
      <c r="AJ181" s="255" t="str">
        <f>IF(ISNUMBER(SEARCH("C", 'Dry_Litterbag Placem_Collection'!AA108)),"YES","NO")</f>
        <v>NO</v>
      </c>
      <c r="AK181" s="255" t="str">
        <f>IF(ISNUMBER(SEARCH("H", 'Dry_Litterbag Placem_Collection'!AA108)),"YES","NO")</f>
        <v>NO</v>
      </c>
      <c r="AL181" s="255" t="str">
        <f>IF(ISNUMBER(SEARCH("R", 'Dry_Litterbag Placem_Collection'!AA108)),"YES","NO")</f>
        <v>NO</v>
      </c>
      <c r="AR181" t="s">
        <v>2030</v>
      </c>
      <c r="AT181" t="s">
        <v>349</v>
      </c>
    </row>
    <row r="182" spans="2:46">
      <c r="B182" t="str">
        <f>'Final data_for_R_analysis_Dryse'!A108</f>
        <v>Dry</v>
      </c>
      <c r="C182" s="263">
        <f>'Final data_for_R_analysis_Dryse'!B108</f>
        <v>107</v>
      </c>
      <c r="D182" t="s">
        <v>3843</v>
      </c>
      <c r="E182" t="s">
        <v>22</v>
      </c>
      <c r="F182" s="386">
        <v>3</v>
      </c>
      <c r="G182" s="16">
        <f>'Dry_Litterbag Placem_Collection'!E109</f>
        <v>42939</v>
      </c>
      <c r="H182" t="str">
        <f>'Final data_for_R_analysis_Dryse'!J108</f>
        <v>G129</v>
      </c>
      <c r="I182" t="str">
        <f>'Final data_for_R_analysis_Dryse'!J328</f>
        <v>R809</v>
      </c>
      <c r="J182">
        <f>IFERROR(INDEX('Green_rooibos initial weight'!$C$5:$C$1749,MATCH(H182, 'Green_rooibos initial weight'!$A$5:$A$1749,0)),"")</f>
        <v>1.9630000000000001</v>
      </c>
      <c r="K182">
        <f>IFERROR(INDEX('Green_rooibos initial weight'!$C$5:$C$1749,MATCH(I182, 'Green_rooibos initial weight'!$A$5:$A$1749,0)),"")</f>
        <v>2.2210000000000001</v>
      </c>
      <c r="L182" s="195">
        <f t="shared" si="17"/>
        <v>1.7132000000000001</v>
      </c>
      <c r="M182" s="240">
        <f>AVERAGE(Ashed_controlls!$K$1:$K$11)</f>
        <v>5.5147656768714146</v>
      </c>
      <c r="N182" s="195">
        <f t="shared" si="12"/>
        <v>1.618721034423839</v>
      </c>
      <c r="O182" s="195">
        <f t="shared" si="18"/>
        <v>1.9712000000000001</v>
      </c>
      <c r="P182" s="240">
        <f>AVERAGE(Ashed_controlls!$K$12:$K$14)</f>
        <v>2.2816647271287041</v>
      </c>
      <c r="Q182" s="195">
        <f t="shared" si="13"/>
        <v>1.926223824898839</v>
      </c>
      <c r="R182" s="16">
        <f>IF('Dry_Litterbag Placem_Collection'!G109="N.A","",'Dry_Litterbag Placem_Collection'!G109)</f>
        <v>43010</v>
      </c>
      <c r="S182" s="195" t="str">
        <f>IF(IFERROR(INDEX('Both teabags AfterDry'!$D$1:$D$839,MATCH(H182,'Both teabags AfterDry'!$A$1:$A$839,0)),"")="N.A","",(IFERROR(INDEX('Both teabags AfterDry'!$D$1:$D$839,MATCH(H182,'Both teabags AfterDry'!$A$1:$A$839,0)),"")))</f>
        <v/>
      </c>
      <c r="T182" s="195" t="str">
        <f>IF(IFERROR(INDEX('Both teabags AfterDry'!$D$1:$D$839,MATCH(I182,'Both teabags AfterDry'!$A$1:$A$839,0)),"")="N.A","",(IFERROR(INDEX('Both teabags AfterDry'!$D$1:$D$839,MATCH(I182,'Both teabags AfterDry'!$A$1:$A$839,0)),"")))</f>
        <v/>
      </c>
      <c r="U182" s="195" t="str">
        <f t="shared" si="19"/>
        <v/>
      </c>
      <c r="V182" s="195" t="str">
        <f t="shared" si="19"/>
        <v/>
      </c>
      <c r="W182" s="195" t="str">
        <f>IFERROR(INDEX('Ashed teabags dry'!$K$2:$K$821,MATCH(H182,'Ashed teabags dry'!$A$2:$A$821,0)),"")</f>
        <v/>
      </c>
      <c r="X182" s="195">
        <f>IFERROR(INDEX('Ashed teabags dry'!$K$2:$K$821,MATCH(I182,'Ashed teabags dry'!$A$2:$A$821,0)),"")</f>
        <v>0</v>
      </c>
      <c r="Y182" s="195" t="str">
        <f t="shared" si="14"/>
        <v/>
      </c>
      <c r="Z182" s="195" t="str">
        <f t="shared" si="14"/>
        <v/>
      </c>
      <c r="AA182" s="195" t="str">
        <f t="shared" si="20"/>
        <v/>
      </c>
      <c r="AB182" s="195" t="str">
        <f t="shared" si="21"/>
        <v/>
      </c>
      <c r="AC182" s="195" t="str">
        <f t="shared" si="15"/>
        <v/>
      </c>
      <c r="AD182">
        <f t="shared" si="16"/>
        <v>71</v>
      </c>
      <c r="AE182" s="195" t="str">
        <f t="shared" si="22"/>
        <v/>
      </c>
      <c r="AF182" s="195" t="str">
        <f t="shared" si="23"/>
        <v/>
      </c>
      <c r="AG182" s="255" t="str">
        <f>IF(ISNUMBER(SEARCH("C", 'Dry_Litterbag Placem_Collection'!AB109)),"YES","NO")</f>
        <v>NO</v>
      </c>
      <c r="AH182" s="255" t="str">
        <f>IF(ISNUMBER(SEARCH("H", 'Dry_Litterbag Placem_Collection'!AB109)),"YES","NO")</f>
        <v>NO</v>
      </c>
      <c r="AI182" s="255" t="str">
        <f>IF(ISNUMBER(SEARCH("R", 'Dry_Litterbag Placem_Collection'!AB109)),"YES","NO")</f>
        <v>NO</v>
      </c>
      <c r="AJ182" s="255" t="str">
        <f>IF(ISNUMBER(SEARCH("C", 'Dry_Litterbag Placem_Collection'!AA109)),"YES","NO")</f>
        <v>NO</v>
      </c>
      <c r="AK182" s="255" t="str">
        <f>IF(ISNUMBER(SEARCH("H", 'Dry_Litterbag Placem_Collection'!AA109)),"YES","NO")</f>
        <v>NO</v>
      </c>
      <c r="AL182" s="255" t="str">
        <f>IF(ISNUMBER(SEARCH("R", 'Dry_Litterbag Placem_Collection'!AA109)),"YES","NO")</f>
        <v>NO</v>
      </c>
      <c r="AR182" t="s">
        <v>1921</v>
      </c>
      <c r="AT182" t="s">
        <v>330</v>
      </c>
    </row>
    <row r="183" spans="2:46">
      <c r="B183" t="str">
        <f>'Final data_for_R_analysis_Dryse'!A109</f>
        <v>Dry</v>
      </c>
      <c r="C183" s="263">
        <f>'Final data_for_R_analysis_Dryse'!B109</f>
        <v>108</v>
      </c>
      <c r="D183" t="s">
        <v>3843</v>
      </c>
      <c r="E183" t="s">
        <v>22</v>
      </c>
      <c r="F183" s="387">
        <v>4</v>
      </c>
      <c r="G183" s="16">
        <f>'Dry_Litterbag Placem_Collection'!E110</f>
        <v>42939</v>
      </c>
      <c r="H183" t="str">
        <f>'Final data_for_R_analysis_Dryse'!J109</f>
        <v>G258</v>
      </c>
      <c r="I183" t="str">
        <f>'Final data_for_R_analysis_Dryse'!J329</f>
        <v>R777</v>
      </c>
      <c r="J183">
        <f>IFERROR(INDEX('Green_rooibos initial weight'!$C$5:$C$1749,MATCH(H183, 'Green_rooibos initial weight'!$A$5:$A$1749,0)),"")</f>
        <v>2.1280000000000001</v>
      </c>
      <c r="K183">
        <f>IFERROR(INDEX('Green_rooibos initial weight'!$C$5:$C$1749,MATCH(I183, 'Green_rooibos initial weight'!$A$5:$A$1749,0)),"")</f>
        <v>2.2549999999999999</v>
      </c>
      <c r="L183" s="195">
        <f t="shared" si="17"/>
        <v>1.8782000000000001</v>
      </c>
      <c r="M183" s="240">
        <f>AVERAGE(Ashed_controlls!$K$1:$K$11)</f>
        <v>5.5147656768714146</v>
      </c>
      <c r="N183" s="195">
        <f t="shared" si="12"/>
        <v>1.7746216710570011</v>
      </c>
      <c r="O183" s="195">
        <f t="shared" si="18"/>
        <v>2.0051999999999999</v>
      </c>
      <c r="P183" s="240">
        <f>AVERAGE(Ashed_controlls!$K$12:$K$14)</f>
        <v>2.2816647271287041</v>
      </c>
      <c r="Q183" s="195">
        <f t="shared" si="13"/>
        <v>1.959448058891615</v>
      </c>
      <c r="R183" s="16">
        <f>IF('Dry_Litterbag Placem_Collection'!G110="N.A","",'Dry_Litterbag Placem_Collection'!G110)</f>
        <v>43010</v>
      </c>
      <c r="S183" s="195">
        <f>IF(IFERROR(INDEX('Both teabags AfterDry'!$D$1:$D$839,MATCH(H183,'Both teabags AfterDry'!$A$1:$A$839,0)),"")="N.A","",(IFERROR(INDEX('Both teabags AfterDry'!$D$1:$D$839,MATCH(H183,'Both teabags AfterDry'!$A$1:$A$839,0)),"")))</f>
        <v>0.92730000000000001</v>
      </c>
      <c r="T183" s="195">
        <f>IF(IFERROR(INDEX('Both teabags AfterDry'!$D$1:$D$839,MATCH(I183,'Both teabags AfterDry'!$A$1:$A$839,0)),"")="N.A","",(IFERROR(INDEX('Both teabags AfterDry'!$D$1:$D$839,MATCH(I183,'Both teabags AfterDry'!$A$1:$A$839,0)),"")))</f>
        <v>1.8240000000000001</v>
      </c>
      <c r="U183" s="195">
        <f t="shared" si="19"/>
        <v>0.77669999999999995</v>
      </c>
      <c r="V183" s="195">
        <f t="shared" si="19"/>
        <v>1.6734</v>
      </c>
      <c r="W183" s="195">
        <f>IFERROR(INDEX('Ashed teabags dry'!$K$2:$K$821,MATCH(H183,'Ashed teabags dry'!$A$2:$A$821,0)),"")</f>
        <v>20.211233797408489</v>
      </c>
      <c r="X183" s="195">
        <f>IFERROR(INDEX('Ashed teabags dry'!$K$2:$K$821,MATCH(I183,'Ashed teabags dry'!$A$2:$A$821,0)),"")</f>
        <v>4.6835443037977491</v>
      </c>
      <c r="Y183" s="195">
        <f t="shared" si="14"/>
        <v>0.61971934709552823</v>
      </c>
      <c r="Z183" s="195">
        <f t="shared" si="14"/>
        <v>1.5950255696202484</v>
      </c>
      <c r="AA183" s="195">
        <f t="shared" si="20"/>
        <v>0.65078790752825044</v>
      </c>
      <c r="AB183" s="195">
        <f t="shared" si="21"/>
        <v>0.42664480398526639</v>
      </c>
      <c r="AC183" s="195">
        <f t="shared" si="15"/>
        <v>0.81401778545867332</v>
      </c>
      <c r="AD183">
        <f t="shared" si="16"/>
        <v>71</v>
      </c>
      <c r="AE183" s="195">
        <f t="shared" si="22"/>
        <v>0.22709274640350297</v>
      </c>
      <c r="AF183" s="195">
        <f t="shared" si="23"/>
        <v>8.0641678529666978E-3</v>
      </c>
      <c r="AG183" s="255" t="str">
        <f>IF(ISNUMBER(SEARCH("C", 'Dry_Litterbag Placem_Collection'!AB110)),"YES","NO")</f>
        <v>NO</v>
      </c>
      <c r="AH183" s="255" t="str">
        <f>IF(ISNUMBER(SEARCH("H", 'Dry_Litterbag Placem_Collection'!AB110)),"YES","NO")</f>
        <v>NO</v>
      </c>
      <c r="AI183" s="255" t="str">
        <f>IF(ISNUMBER(SEARCH("R", 'Dry_Litterbag Placem_Collection'!AB110)),"YES","NO")</f>
        <v>NO</v>
      </c>
      <c r="AJ183" s="255" t="str">
        <f>IF(ISNUMBER(SEARCH("C", 'Dry_Litterbag Placem_Collection'!AA110)),"YES","NO")</f>
        <v>NO</v>
      </c>
      <c r="AK183" s="255" t="str">
        <f>IF(ISNUMBER(SEARCH("H", 'Dry_Litterbag Placem_Collection'!AA110)),"YES","NO")</f>
        <v>NO</v>
      </c>
      <c r="AL183" s="255" t="str">
        <f>IF(ISNUMBER(SEARCH("R", 'Dry_Litterbag Placem_Collection'!AA110)),"YES","NO")</f>
        <v>NO</v>
      </c>
      <c r="AR183" t="s">
        <v>1792</v>
      </c>
      <c r="AT183" t="s">
        <v>362</v>
      </c>
    </row>
    <row r="184" spans="2:46">
      <c r="B184" t="str">
        <f>'Final data_for_R_analysis_Dryse'!A110</f>
        <v>Dry</v>
      </c>
      <c r="C184" s="263">
        <f>'Final data_for_R_analysis_Dryse'!B110</f>
        <v>109</v>
      </c>
      <c r="D184" t="s">
        <v>3843</v>
      </c>
      <c r="E184" t="s">
        <v>22</v>
      </c>
      <c r="F184" s="387">
        <v>5</v>
      </c>
      <c r="G184" s="16">
        <f>'Dry_Litterbag Placem_Collection'!E111</f>
        <v>42939</v>
      </c>
      <c r="H184" t="str">
        <f>'Final data_for_R_analysis_Dryse'!J110</f>
        <v>G294</v>
      </c>
      <c r="I184" t="str">
        <f>'Final data_for_R_analysis_Dryse'!J330</f>
        <v>R804</v>
      </c>
      <c r="J184">
        <f>IFERROR(INDEX('Green_rooibos initial weight'!$C$5:$C$1749,MATCH(H184, 'Green_rooibos initial weight'!$A$5:$A$1749,0)),"")</f>
        <v>1.994</v>
      </c>
      <c r="K184">
        <f>IFERROR(INDEX('Green_rooibos initial weight'!$C$5:$C$1749,MATCH(I184, 'Green_rooibos initial weight'!$A$5:$A$1749,0)),"")</f>
        <v>2.1960000000000002</v>
      </c>
      <c r="L184" s="195">
        <f t="shared" si="17"/>
        <v>1.7442</v>
      </c>
      <c r="M184" s="240">
        <f>AVERAGE(Ashed_controlls!$K$1:$K$11)</f>
        <v>5.5147656768714146</v>
      </c>
      <c r="N184" s="195">
        <f t="shared" si="12"/>
        <v>1.6480114570640088</v>
      </c>
      <c r="O184" s="195">
        <f t="shared" si="18"/>
        <v>1.9462000000000002</v>
      </c>
      <c r="P184" s="240">
        <f>AVERAGE(Ashed_controlls!$K$12:$K$14)</f>
        <v>2.2816647271287041</v>
      </c>
      <c r="Q184" s="195">
        <f t="shared" si="13"/>
        <v>1.9017942410806212</v>
      </c>
      <c r="R184" s="16">
        <f>IF('Dry_Litterbag Placem_Collection'!G111="N.A","",'Dry_Litterbag Placem_Collection'!G111)</f>
        <v>43010</v>
      </c>
      <c r="S184" s="195">
        <f>IF(IFERROR(INDEX('Both teabags AfterDry'!$D$1:$D$839,MATCH(H184,'Both teabags AfterDry'!$A$1:$A$839,0)),"")="N.A","",(IFERROR(INDEX('Both teabags AfterDry'!$D$1:$D$839,MATCH(H184,'Both teabags AfterDry'!$A$1:$A$839,0)),"")))</f>
        <v>0.93010000000000004</v>
      </c>
      <c r="T184" s="195">
        <f>IF(IFERROR(INDEX('Both teabags AfterDry'!$D$1:$D$839,MATCH(I184,'Both teabags AfterDry'!$A$1:$A$839,0)),"")="N.A","",(IFERROR(INDEX('Both teabags AfterDry'!$D$1:$D$839,MATCH(I184,'Both teabags AfterDry'!$A$1:$A$839,0)),"")))</f>
        <v>1.3936999999999999</v>
      </c>
      <c r="U184" s="195">
        <f t="shared" si="19"/>
        <v>0.77950000000000008</v>
      </c>
      <c r="V184" s="195">
        <f t="shared" si="19"/>
        <v>1.2430999999999999</v>
      </c>
      <c r="W184" s="195">
        <f>IFERROR(INDEX('Ashed teabags dry'!$K$2:$K$821,MATCH(H184,'Ashed teabags dry'!$A$2:$A$821,0)),"")</f>
        <v>29.671832269827163</v>
      </c>
      <c r="X184" s="195">
        <f>IFERROR(INDEX('Ashed teabags dry'!$K$2:$K$821,MATCH(I184,'Ashed teabags dry'!$A$2:$A$821,0)),"")</f>
        <v>71.520554730063893</v>
      </c>
      <c r="Y184" s="195">
        <f t="shared" si="14"/>
        <v>0.54820806745669737</v>
      </c>
      <c r="Z184" s="195">
        <f t="shared" si="14"/>
        <v>0.35402798415057579</v>
      </c>
      <c r="AA184" s="195">
        <f t="shared" si="20"/>
        <v>0.6673517862349394</v>
      </c>
      <c r="AB184" s="195">
        <f t="shared" si="21"/>
        <v>0.43750378384998412</v>
      </c>
      <c r="AC184" s="195">
        <f t="shared" si="15"/>
        <v>0.18615472510286551</v>
      </c>
      <c r="AD184">
        <f t="shared" si="16"/>
        <v>71</v>
      </c>
      <c r="AE184" s="195">
        <f t="shared" si="22"/>
        <v>0.2074206814311883</v>
      </c>
      <c r="AF184" s="195" t="str">
        <f t="shared" si="23"/>
        <v/>
      </c>
      <c r="AG184" s="255" t="str">
        <f>IF(ISNUMBER(SEARCH("C", 'Dry_Litterbag Placem_Collection'!AB111)),"YES","NO")</f>
        <v>NO</v>
      </c>
      <c r="AH184" s="255" t="str">
        <f>IF(ISNUMBER(SEARCH("H", 'Dry_Litterbag Placem_Collection'!AB111)),"YES","NO")</f>
        <v>NO</v>
      </c>
      <c r="AI184" s="255" t="str">
        <f>IF(ISNUMBER(SEARCH("R", 'Dry_Litterbag Placem_Collection'!AB111)),"YES","NO")</f>
        <v>NO</v>
      </c>
      <c r="AJ184" s="255" t="str">
        <f>IF(ISNUMBER(SEARCH("C", 'Dry_Litterbag Placem_Collection'!AA111)),"YES","NO")</f>
        <v>NO</v>
      </c>
      <c r="AK184" s="255" t="str">
        <f>IF(ISNUMBER(SEARCH("H", 'Dry_Litterbag Placem_Collection'!AA111)),"YES","NO")</f>
        <v>NO</v>
      </c>
      <c r="AL184" s="255" t="str">
        <f>IF(ISNUMBER(SEARCH("R", 'Dry_Litterbag Placem_Collection'!AA111)),"YES","NO")</f>
        <v>NO</v>
      </c>
      <c r="AR184" t="s">
        <v>1756</v>
      </c>
      <c r="AT184" t="s">
        <v>335</v>
      </c>
    </row>
    <row r="185" spans="2:46">
      <c r="B185" t="str">
        <f>'Final data_for_R_analysis_Dryse'!A111</f>
        <v>Dry</v>
      </c>
      <c r="C185" s="263">
        <f>'Final data_for_R_analysis_Dryse'!B111</f>
        <v>110</v>
      </c>
      <c r="D185" t="s">
        <v>3843</v>
      </c>
      <c r="E185" t="s">
        <v>22</v>
      </c>
      <c r="F185" s="387">
        <v>6</v>
      </c>
      <c r="G185" s="16">
        <f>'Dry_Litterbag Placem_Collection'!E112</f>
        <v>42939</v>
      </c>
      <c r="H185" t="str">
        <f>'Final data_for_R_analysis_Dryse'!J111</f>
        <v>G350</v>
      </c>
      <c r="I185" t="str">
        <f>'Final data_for_R_analysis_Dryse'!J331</f>
        <v>R786</v>
      </c>
      <c r="J185">
        <f>IFERROR(INDEX('Green_rooibos initial weight'!$C$5:$C$1749,MATCH(H185, 'Green_rooibos initial weight'!$A$5:$A$1749,0)),"")</f>
        <v>2.0640000000000001</v>
      </c>
      <c r="K185">
        <f>IFERROR(INDEX('Green_rooibos initial weight'!$C$5:$C$1749,MATCH(I185, 'Green_rooibos initial weight'!$A$5:$A$1749,0)),"")</f>
        <v>2.177</v>
      </c>
      <c r="L185" s="195">
        <f t="shared" si="17"/>
        <v>1.8142</v>
      </c>
      <c r="M185" s="240">
        <f>AVERAGE(Ashed_controlls!$K$1:$K$11)</f>
        <v>5.5147656768714146</v>
      </c>
      <c r="N185" s="195">
        <f t="shared" si="12"/>
        <v>1.7141511210901987</v>
      </c>
      <c r="O185" s="195">
        <f t="shared" si="18"/>
        <v>1.9272</v>
      </c>
      <c r="P185" s="240">
        <f>AVERAGE(Ashed_controlls!$K$12:$K$14)</f>
        <v>2.2816647271287041</v>
      </c>
      <c r="Q185" s="195">
        <f t="shared" si="13"/>
        <v>1.8832277573787757</v>
      </c>
      <c r="R185" s="16">
        <f>IF('Dry_Litterbag Placem_Collection'!G112="N.A","",'Dry_Litterbag Placem_Collection'!G112)</f>
        <v>43010</v>
      </c>
      <c r="S185" s="195">
        <f>IF(IFERROR(INDEX('Both teabags AfterDry'!$D$1:$D$839,MATCH(H185,'Both teabags AfterDry'!$A$1:$A$839,0)),"")="N.A","",(IFERROR(INDEX('Both teabags AfterDry'!$D$1:$D$839,MATCH(H185,'Both teabags AfterDry'!$A$1:$A$839,0)),"")))</f>
        <v>0.95640000000000003</v>
      </c>
      <c r="T185" s="195">
        <f>IF(IFERROR(INDEX('Both teabags AfterDry'!$D$1:$D$839,MATCH(I185,'Both teabags AfterDry'!$A$1:$A$839,0)),"")="N.A","",(IFERROR(INDEX('Both teabags AfterDry'!$D$1:$D$839,MATCH(I185,'Both teabags AfterDry'!$A$1:$A$839,0)),"")))</f>
        <v>1.7806</v>
      </c>
      <c r="U185" s="195">
        <f t="shared" si="19"/>
        <v>0.80580000000000007</v>
      </c>
      <c r="V185" s="195">
        <f t="shared" si="19"/>
        <v>1.63</v>
      </c>
      <c r="W185" s="195">
        <f>IFERROR(INDEX('Ashed teabags dry'!$K$2:$K$821,MATCH(H185,'Ashed teabags dry'!$A$2:$A$821,0)),"")</f>
        <v>19.624497094323072</v>
      </c>
      <c r="X185" s="195">
        <f>IFERROR(INDEX('Ashed teabags dry'!$K$2:$K$821,MATCH(I185,'Ashed teabags dry'!$A$2:$A$821,0)),"")</f>
        <v>88.700312639571393</v>
      </c>
      <c r="Y185" s="195">
        <f t="shared" si="14"/>
        <v>0.64766580241394478</v>
      </c>
      <c r="Z185" s="195">
        <f t="shared" si="14"/>
        <v>0.18418490397498632</v>
      </c>
      <c r="AA185" s="195">
        <f t="shared" si="20"/>
        <v>0.62216528376912894</v>
      </c>
      <c r="AB185" s="195">
        <f t="shared" si="21"/>
        <v>0.40788032855173301</v>
      </c>
      <c r="AC185" s="195">
        <f t="shared" si="15"/>
        <v>9.7802776776904216E-2</v>
      </c>
      <c r="AD185">
        <f t="shared" si="16"/>
        <v>71</v>
      </c>
      <c r="AE185" s="195">
        <f t="shared" si="22"/>
        <v>0.26108636131932428</v>
      </c>
      <c r="AF185" s="195" t="str">
        <f t="shared" si="23"/>
        <v/>
      </c>
      <c r="AG185" s="255" t="str">
        <f>IF(ISNUMBER(SEARCH("C", 'Dry_Litterbag Placem_Collection'!AB112)),"YES","NO")</f>
        <v>NO</v>
      </c>
      <c r="AH185" s="255" t="str">
        <f>IF(ISNUMBER(SEARCH("H", 'Dry_Litterbag Placem_Collection'!AB112)),"YES","NO")</f>
        <v>NO</v>
      </c>
      <c r="AI185" s="255" t="str">
        <f>IF(ISNUMBER(SEARCH("R", 'Dry_Litterbag Placem_Collection'!AB112)),"YES","NO")</f>
        <v>NO</v>
      </c>
      <c r="AJ185" s="255" t="str">
        <f>IF(ISNUMBER(SEARCH("C", 'Dry_Litterbag Placem_Collection'!AA112)),"YES","NO")</f>
        <v>NO</v>
      </c>
      <c r="AK185" s="255" t="str">
        <f>IF(ISNUMBER(SEARCH("H", 'Dry_Litterbag Placem_Collection'!AA112)),"YES","NO")</f>
        <v>NO</v>
      </c>
      <c r="AL185" s="255" t="str">
        <f>IF(ISNUMBER(SEARCH("R", 'Dry_Litterbag Placem_Collection'!AA112)),"YES","NO")</f>
        <v>NO</v>
      </c>
      <c r="AR185" t="s">
        <v>1700</v>
      </c>
      <c r="AT185" t="s">
        <v>353</v>
      </c>
    </row>
    <row r="186" spans="2:46">
      <c r="B186" t="str">
        <f>'Final data_for_R_analysis_Dryse'!A112</f>
        <v>Dry</v>
      </c>
      <c r="C186" s="263">
        <f>'Final data_for_R_analysis_Dryse'!B112</f>
        <v>111</v>
      </c>
      <c r="D186" t="s">
        <v>3843</v>
      </c>
      <c r="E186" t="s">
        <v>22</v>
      </c>
      <c r="F186" s="387">
        <v>7</v>
      </c>
      <c r="G186" s="16">
        <f>'Dry_Litterbag Placem_Collection'!E113</f>
        <v>42939</v>
      </c>
      <c r="H186" t="str">
        <f>'Final data_for_R_analysis_Dryse'!J112</f>
        <v>G274</v>
      </c>
      <c r="I186" t="str">
        <f>'Final data_for_R_analysis_Dryse'!J332</f>
        <v>R835</v>
      </c>
      <c r="J186">
        <f>IFERROR(INDEX('Green_rooibos initial weight'!$C$5:$C$1749,MATCH(H186, 'Green_rooibos initial weight'!$A$5:$A$1749,0)),"")</f>
        <v>2.12</v>
      </c>
      <c r="K186">
        <f>IFERROR(INDEX('Green_rooibos initial weight'!$C$5:$C$1749,MATCH(I186, 'Green_rooibos initial weight'!$A$5:$A$1749,0)),"")</f>
        <v>2.15</v>
      </c>
      <c r="L186" s="195">
        <f t="shared" si="17"/>
        <v>1.8702000000000001</v>
      </c>
      <c r="M186" s="240">
        <f>AVERAGE(Ashed_controlls!$K$1:$K$11)</f>
        <v>5.5147656768714146</v>
      </c>
      <c r="N186" s="195">
        <f t="shared" si="12"/>
        <v>1.7670628523111509</v>
      </c>
      <c r="O186" s="195">
        <f t="shared" si="18"/>
        <v>1.9001999999999999</v>
      </c>
      <c r="P186" s="240">
        <f>AVERAGE(Ashed_controlls!$K$12:$K$14)</f>
        <v>2.2816647271287041</v>
      </c>
      <c r="Q186" s="195">
        <f t="shared" si="13"/>
        <v>1.8568438068551003</v>
      </c>
      <c r="R186" s="16">
        <f>IF('Dry_Litterbag Placem_Collection'!G113="N.A","",'Dry_Litterbag Placem_Collection'!G113)</f>
        <v>43010</v>
      </c>
      <c r="S186" s="195">
        <f>IF(IFERROR(INDEX('Both teabags AfterDry'!$D$1:$D$839,MATCH(H186,'Both teabags AfterDry'!$A$1:$A$839,0)),"")="N.A","",(IFERROR(INDEX('Both teabags AfterDry'!$D$1:$D$839,MATCH(H186,'Both teabags AfterDry'!$A$1:$A$839,0)),"")))</f>
        <v>1.0779000000000001</v>
      </c>
      <c r="T186" s="195">
        <f>IF(IFERROR(INDEX('Both teabags AfterDry'!$D$1:$D$839,MATCH(I186,'Both teabags AfterDry'!$A$1:$A$839,0)),"")="N.A","",(IFERROR(INDEX('Both teabags AfterDry'!$D$1:$D$839,MATCH(I186,'Both teabags AfterDry'!$A$1:$A$839,0)),"")))</f>
        <v>1.7563</v>
      </c>
      <c r="U186" s="195">
        <f t="shared" si="19"/>
        <v>0.92730000000000001</v>
      </c>
      <c r="V186" s="195">
        <f t="shared" si="19"/>
        <v>1.6056999999999999</v>
      </c>
      <c r="W186" s="195">
        <f>IFERROR(INDEX('Ashed teabags dry'!$K$2:$K$821,MATCH(H186,'Ashed teabags dry'!$A$2:$A$821,0)),"")</f>
        <v>17.275747508306221</v>
      </c>
      <c r="X186" s="195">
        <f>IFERROR(INDEX('Ashed teabags dry'!$K$2:$K$821,MATCH(I186,'Ashed teabags dry'!$A$2:$A$821,0)),"")</f>
        <v>4.065040650406667</v>
      </c>
      <c r="Y186" s="195">
        <f t="shared" si="14"/>
        <v>0.76710199335547635</v>
      </c>
      <c r="Z186" s="195">
        <f t="shared" si="14"/>
        <v>1.54042764227642</v>
      </c>
      <c r="AA186" s="195">
        <f t="shared" si="20"/>
        <v>0.56588867659564035</v>
      </c>
      <c r="AB186" s="195">
        <f t="shared" si="21"/>
        <v>0.37098640080854334</v>
      </c>
      <c r="AC186" s="195">
        <f t="shared" si="15"/>
        <v>0.82959462534730477</v>
      </c>
      <c r="AD186">
        <f t="shared" si="16"/>
        <v>71</v>
      </c>
      <c r="AE186" s="195">
        <f t="shared" si="22"/>
        <v>0.32792318694104472</v>
      </c>
      <c r="AF186" s="195">
        <f t="shared" si="23"/>
        <v>8.6612270541274062E-3</v>
      </c>
      <c r="AG186" s="255" t="str">
        <f>IF(ISNUMBER(SEARCH("C", 'Dry_Litterbag Placem_Collection'!AB113)),"YES","NO")</f>
        <v>NO</v>
      </c>
      <c r="AH186" s="255" t="str">
        <f>IF(ISNUMBER(SEARCH("H", 'Dry_Litterbag Placem_Collection'!AB113)),"YES","NO")</f>
        <v>NO</v>
      </c>
      <c r="AI186" s="255" t="str">
        <f>IF(ISNUMBER(SEARCH("R", 'Dry_Litterbag Placem_Collection'!AB113)),"YES","NO")</f>
        <v>NO</v>
      </c>
      <c r="AJ186" s="255" t="str">
        <f>IF(ISNUMBER(SEARCH("C", 'Dry_Litterbag Placem_Collection'!AA113)),"YES","NO")</f>
        <v>NO</v>
      </c>
      <c r="AK186" s="255" t="str">
        <f>IF(ISNUMBER(SEARCH("H", 'Dry_Litterbag Placem_Collection'!AA113)),"YES","NO")</f>
        <v>NO</v>
      </c>
      <c r="AL186" s="255" t="str">
        <f>IF(ISNUMBER(SEARCH("R", 'Dry_Litterbag Placem_Collection'!AA113)),"YES","NO")</f>
        <v>NO</v>
      </c>
      <c r="AR186" t="s">
        <v>1776</v>
      </c>
      <c r="AT186" t="s">
        <v>304</v>
      </c>
    </row>
    <row r="187" spans="2:46">
      <c r="B187" t="str">
        <f>'Final data_for_R_analysis_Dryse'!A113</f>
        <v>Dry</v>
      </c>
      <c r="C187" s="263">
        <f>'Final data_for_R_analysis_Dryse'!B113</f>
        <v>112</v>
      </c>
      <c r="D187" t="s">
        <v>3843</v>
      </c>
      <c r="E187" t="s">
        <v>22</v>
      </c>
      <c r="F187" s="387">
        <v>8</v>
      </c>
      <c r="G187" s="16">
        <f>'Dry_Litterbag Placem_Collection'!E114</f>
        <v>0</v>
      </c>
      <c r="H187" t="str">
        <f>'Final data_for_R_analysis_Dryse'!J113</f>
        <v/>
      </c>
      <c r="I187" t="str">
        <f>'Final data_for_R_analysis_Dryse'!J333</f>
        <v/>
      </c>
      <c r="J187" t="str">
        <f>IFERROR(INDEX('Green_rooibos initial weight'!$C$5:$C$1749,MATCH(H187, 'Green_rooibos initial weight'!$A$5:$A$1749,0)),"")</f>
        <v/>
      </c>
      <c r="K187" t="str">
        <f>IFERROR(INDEX('Green_rooibos initial weight'!$C$5:$C$1749,MATCH(I187, 'Green_rooibos initial weight'!$A$5:$A$1749,0)),"")</f>
        <v/>
      </c>
      <c r="L187" s="195" t="str">
        <f t="shared" si="17"/>
        <v/>
      </c>
      <c r="M187" s="240">
        <f>AVERAGE(Ashed_controlls!$K$1:$K$11)</f>
        <v>5.5147656768714146</v>
      </c>
      <c r="N187" s="195" t="str">
        <f t="shared" si="12"/>
        <v/>
      </c>
      <c r="O187" s="195" t="str">
        <f t="shared" si="18"/>
        <v/>
      </c>
      <c r="P187" s="240">
        <f>AVERAGE(Ashed_controlls!$K$12:$K$14)</f>
        <v>2.2816647271287041</v>
      </c>
      <c r="Q187" s="195" t="str">
        <f t="shared" si="13"/>
        <v/>
      </c>
      <c r="R187" s="16">
        <f>IF('Dry_Litterbag Placem_Collection'!G114="N.A","",'Dry_Litterbag Placem_Collection'!G114)</f>
        <v>0</v>
      </c>
      <c r="S187" s="195" t="str">
        <f>IF(IFERROR(INDEX('Both teabags AfterDry'!$D$1:$D$839,MATCH(H187,'Both teabags AfterDry'!$A$1:$A$839,0)),"")="N.A","",(IFERROR(INDEX('Both teabags AfterDry'!$D$1:$D$839,MATCH(H187,'Both teabags AfterDry'!$A$1:$A$839,0)),"")))</f>
        <v/>
      </c>
      <c r="T187" s="195" t="str">
        <f>IF(IFERROR(INDEX('Both teabags AfterDry'!$D$1:$D$839,MATCH(I187,'Both teabags AfterDry'!$A$1:$A$839,0)),"")="N.A","",(IFERROR(INDEX('Both teabags AfterDry'!$D$1:$D$839,MATCH(I187,'Both teabags AfterDry'!$A$1:$A$839,0)),"")))</f>
        <v/>
      </c>
      <c r="U187" s="195" t="str">
        <f t="shared" si="19"/>
        <v/>
      </c>
      <c r="V187" s="195" t="str">
        <f t="shared" si="19"/>
        <v/>
      </c>
      <c r="W187" s="195" t="str">
        <f>IFERROR(INDEX('Ashed teabags dry'!$K$2:$K$821,MATCH(H187,'Ashed teabags dry'!$A$2:$A$821,0)),"")</f>
        <v/>
      </c>
      <c r="X187" s="195" t="str">
        <f>IFERROR(INDEX('Ashed teabags dry'!$K$2:$K$821,MATCH(I187,'Ashed teabags dry'!$A$2:$A$821,0)),"")</f>
        <v/>
      </c>
      <c r="Y187" s="195" t="str">
        <f t="shared" si="14"/>
        <v/>
      </c>
      <c r="Z187" s="195" t="str">
        <f t="shared" si="14"/>
        <v/>
      </c>
      <c r="AA187" s="195" t="str">
        <f t="shared" si="20"/>
        <v/>
      </c>
      <c r="AB187" s="195" t="str">
        <f t="shared" si="21"/>
        <v/>
      </c>
      <c r="AC187" s="195" t="str">
        <f t="shared" si="15"/>
        <v/>
      </c>
      <c r="AD187" t="str">
        <f t="shared" si="16"/>
        <v/>
      </c>
      <c r="AE187" s="195" t="str">
        <f t="shared" si="22"/>
        <v/>
      </c>
      <c r="AF187" s="195" t="str">
        <f t="shared" si="23"/>
        <v/>
      </c>
      <c r="AG187" s="255" t="str">
        <f>IF(ISNUMBER(SEARCH("C", 'Dry_Litterbag Placem_Collection'!AB114)),"YES","NO")</f>
        <v>NO</v>
      </c>
      <c r="AH187" s="255" t="str">
        <f>IF(ISNUMBER(SEARCH("H", 'Dry_Litterbag Placem_Collection'!AB114)),"YES","NO")</f>
        <v>NO</v>
      </c>
      <c r="AI187" s="255" t="str">
        <f>IF(ISNUMBER(SEARCH("R", 'Dry_Litterbag Placem_Collection'!AB114)),"YES","NO")</f>
        <v>NO</v>
      </c>
      <c r="AJ187" s="255" t="str">
        <f>IF(ISNUMBER(SEARCH("C", 'Dry_Litterbag Placem_Collection'!AA114)),"YES","NO")</f>
        <v>NO</v>
      </c>
      <c r="AK187" s="255" t="str">
        <f>IF(ISNUMBER(SEARCH("H", 'Dry_Litterbag Placem_Collection'!AA114)),"YES","NO")</f>
        <v>NO</v>
      </c>
      <c r="AL187" s="255" t="str">
        <f>IF(ISNUMBER(SEARCH("R", 'Dry_Litterbag Placem_Collection'!AA114)),"YES","NO")</f>
        <v>NO</v>
      </c>
      <c r="AR187" t="s">
        <v>3654</v>
      </c>
      <c r="AT187" t="s">
        <v>3654</v>
      </c>
    </row>
    <row r="188" spans="2:46">
      <c r="B188" t="str">
        <f>'Final data_for_R_analysis_Dryse'!A114</f>
        <v>Dry</v>
      </c>
      <c r="C188" s="263">
        <f>'Final data_for_R_analysis_Dryse'!B114</f>
        <v>113</v>
      </c>
      <c r="D188" t="s">
        <v>3844</v>
      </c>
      <c r="E188" t="s">
        <v>22</v>
      </c>
      <c r="F188" s="386">
        <v>1</v>
      </c>
      <c r="G188" s="16">
        <f>'Dry_Litterbag Placem_Collection'!E115</f>
        <v>42939</v>
      </c>
      <c r="H188" t="str">
        <f>'Final data_for_R_analysis_Dryse'!J114</f>
        <v>G314</v>
      </c>
      <c r="I188" t="str">
        <f>'Final data_for_R_analysis_Dryse'!J334</f>
        <v>R807</v>
      </c>
      <c r="J188">
        <f>IFERROR(INDEX('Green_rooibos initial weight'!$C$5:$C$1749,MATCH(H188, 'Green_rooibos initial weight'!$A$5:$A$1749,0)),"")</f>
        <v>2.0430000000000001</v>
      </c>
      <c r="K188">
        <f>IFERROR(INDEX('Green_rooibos initial weight'!$C$5:$C$1749,MATCH(I188, 'Green_rooibos initial weight'!$A$5:$A$1749,0)),"")</f>
        <v>2.21</v>
      </c>
      <c r="L188" s="195">
        <f t="shared" si="17"/>
        <v>1.7932000000000001</v>
      </c>
      <c r="M188" s="240">
        <f>AVERAGE(Ashed_controlls!$K$1:$K$11)</f>
        <v>5.5147656768714146</v>
      </c>
      <c r="N188" s="195">
        <f t="shared" si="12"/>
        <v>1.6943092218823419</v>
      </c>
      <c r="O188" s="195">
        <f t="shared" si="18"/>
        <v>1.9601999999999999</v>
      </c>
      <c r="P188" s="240">
        <f>AVERAGE(Ashed_controlls!$K$12:$K$14)</f>
        <v>2.2816647271287041</v>
      </c>
      <c r="Q188" s="195">
        <f t="shared" si="13"/>
        <v>1.9154748080188231</v>
      </c>
      <c r="R188" s="16">
        <f>IF('Dry_Litterbag Placem_Collection'!G115="N.A","",'Dry_Litterbag Placem_Collection'!G115)</f>
        <v>43008</v>
      </c>
      <c r="S188" s="195">
        <f>IF(IFERROR(INDEX('Both teabags AfterDry'!$D$1:$D$839,MATCH(H188,'Both teabags AfterDry'!$A$1:$A$839,0)),"")="N.A","",(IFERROR(INDEX('Both teabags AfterDry'!$D$1:$D$839,MATCH(H188,'Both teabags AfterDry'!$A$1:$A$839,0)),"")))</f>
        <v>0.78080000000000005</v>
      </c>
      <c r="T188" s="195">
        <f>IF(IFERROR(INDEX('Both teabags AfterDry'!$D$1:$D$839,MATCH(I188,'Both teabags AfterDry'!$A$1:$A$839,0)),"")="N.A","",(IFERROR(INDEX('Both teabags AfterDry'!$D$1:$D$839,MATCH(I188,'Both teabags AfterDry'!$A$1:$A$839,0)),"")))</f>
        <v>1.5793999999999999</v>
      </c>
      <c r="U188" s="195">
        <f t="shared" si="19"/>
        <v>0.63020000000000009</v>
      </c>
      <c r="V188" s="195">
        <f t="shared" si="19"/>
        <v>1.4287999999999998</v>
      </c>
      <c r="W188" s="195">
        <f>IFERROR(INDEX('Ashed teabags dry'!$K$2:$K$821,MATCH(H188,'Ashed teabags dry'!$A$2:$A$821,0)),"")</f>
        <v>21.798134011874424</v>
      </c>
      <c r="X188" s="195">
        <f>IFERROR(INDEX('Ashed teabags dry'!$K$2:$K$821,MATCH(I188,'Ashed teabags dry'!$A$2:$A$821,0)),"")</f>
        <v>9.4054580896693931</v>
      </c>
      <c r="Y188" s="195">
        <f t="shared" si="14"/>
        <v>0.49282815945716746</v>
      </c>
      <c r="Z188" s="195">
        <f t="shared" si="14"/>
        <v>1.2944148148148036</v>
      </c>
      <c r="AA188" s="195">
        <f t="shared" si="20"/>
        <v>0.70912738177176082</v>
      </c>
      <c r="AB188" s="195">
        <f t="shared" si="21"/>
        <v>0.46489111014015677</v>
      </c>
      <c r="AC188" s="195">
        <f t="shared" si="15"/>
        <v>0.67576707842668926</v>
      </c>
      <c r="AD188">
        <f t="shared" si="16"/>
        <v>69</v>
      </c>
      <c r="AE188" s="195">
        <f t="shared" si="22"/>
        <v>0.15780595989102042</v>
      </c>
      <c r="AF188" s="195">
        <f t="shared" si="23"/>
        <v>1.7325658749616508E-2</v>
      </c>
      <c r="AG188" s="255" t="str">
        <f>IF(ISNUMBER(SEARCH("C", 'Dry_Litterbag Placem_Collection'!AB115)),"YES","NO")</f>
        <v>NO</v>
      </c>
      <c r="AH188" s="255" t="str">
        <f>IF(ISNUMBER(SEARCH("H", 'Dry_Litterbag Placem_Collection'!AB115)),"YES","NO")</f>
        <v>NO</v>
      </c>
      <c r="AI188" s="255" t="str">
        <f>IF(ISNUMBER(SEARCH("R", 'Dry_Litterbag Placem_Collection'!AB115)),"YES","NO")</f>
        <v>NO</v>
      </c>
      <c r="AJ188" s="255" t="str">
        <f>IF(ISNUMBER(SEARCH("C", 'Dry_Litterbag Placem_Collection'!AA115)),"YES","NO")</f>
        <v>NO</v>
      </c>
      <c r="AK188" s="255" t="str">
        <f>IF(ISNUMBER(SEARCH("H", 'Dry_Litterbag Placem_Collection'!AA115)),"YES","NO")</f>
        <v>NO</v>
      </c>
      <c r="AL188" s="255" t="str">
        <f>IF(ISNUMBER(SEARCH("R", 'Dry_Litterbag Placem_Collection'!AA115)),"YES","NO")</f>
        <v>NO</v>
      </c>
      <c r="AR188" t="s">
        <v>1736</v>
      </c>
      <c r="AT188" t="s">
        <v>332</v>
      </c>
    </row>
    <row r="189" spans="2:46">
      <c r="B189" t="str">
        <f>'Final data_for_R_analysis_Dryse'!A115</f>
        <v>Dry</v>
      </c>
      <c r="C189" s="263">
        <f>'Final data_for_R_analysis_Dryse'!B115</f>
        <v>114</v>
      </c>
      <c r="D189" t="s">
        <v>3844</v>
      </c>
      <c r="E189" t="s">
        <v>22</v>
      </c>
      <c r="F189" s="386">
        <v>2</v>
      </c>
      <c r="G189" s="16">
        <f>'Dry_Litterbag Placem_Collection'!E116</f>
        <v>42939</v>
      </c>
      <c r="H189" t="str">
        <f>'Final data_for_R_analysis_Dryse'!J115</f>
        <v>G263</v>
      </c>
      <c r="I189" t="str">
        <f>'Final data_for_R_analysis_Dryse'!J335</f>
        <v>R829</v>
      </c>
      <c r="J189">
        <f>IFERROR(INDEX('Green_rooibos initial weight'!$C$5:$C$1749,MATCH(H189, 'Green_rooibos initial weight'!$A$5:$A$1749,0)),"")</f>
        <v>2.0960000000000001</v>
      </c>
      <c r="K189">
        <f>IFERROR(INDEX('Green_rooibos initial weight'!$C$5:$C$1749,MATCH(I189, 'Green_rooibos initial weight'!$A$5:$A$1749,0)),"")</f>
        <v>2.1880000000000002</v>
      </c>
      <c r="L189" s="195">
        <f t="shared" si="17"/>
        <v>1.8462000000000001</v>
      </c>
      <c r="M189" s="240">
        <f>AVERAGE(Ashed_controlls!$K$1:$K$11)</f>
        <v>5.5147656768714146</v>
      </c>
      <c r="N189" s="195">
        <f t="shared" si="12"/>
        <v>1.7443863960735999</v>
      </c>
      <c r="O189" s="195">
        <f t="shared" si="18"/>
        <v>1.9382000000000001</v>
      </c>
      <c r="P189" s="240">
        <f>AVERAGE(Ashed_controlls!$K$12:$K$14)</f>
        <v>2.2816647271287041</v>
      </c>
      <c r="Q189" s="195">
        <f t="shared" si="13"/>
        <v>1.8939767742587916</v>
      </c>
      <c r="R189" s="16">
        <f>IF('Dry_Litterbag Placem_Collection'!G116="N.A","",'Dry_Litterbag Placem_Collection'!G116)</f>
        <v>43008</v>
      </c>
      <c r="S189" s="195">
        <f>IF(IFERROR(INDEX('Both teabags AfterDry'!$D$1:$D$839,MATCH(H189,'Both teabags AfterDry'!$A$1:$A$839,0)),"")="N.A","",(IFERROR(INDEX('Both teabags AfterDry'!$D$1:$D$839,MATCH(H189,'Both teabags AfterDry'!$A$1:$A$839,0)),"")))</f>
        <v>0.83330000000000004</v>
      </c>
      <c r="T189" s="195">
        <f>IF(IFERROR(INDEX('Both teabags AfterDry'!$D$1:$D$839,MATCH(I189,'Both teabags AfterDry'!$A$1:$A$839,0)),"")="N.A","",(IFERROR(INDEX('Both teabags AfterDry'!$D$1:$D$839,MATCH(I189,'Both teabags AfterDry'!$A$1:$A$839,0)),"")))</f>
        <v>1.1127</v>
      </c>
      <c r="U189" s="195">
        <f t="shared" si="19"/>
        <v>0.68270000000000008</v>
      </c>
      <c r="V189" s="195">
        <f t="shared" si="19"/>
        <v>0.96209999999999996</v>
      </c>
      <c r="W189" s="195">
        <f>IFERROR(INDEX('Ashed teabags dry'!$K$2:$K$821,MATCH(H189,'Ashed teabags dry'!$A$2:$A$821,0)),"")</f>
        <v>29.125376992675438</v>
      </c>
      <c r="X189" s="195">
        <f>IFERROR(INDEX('Ashed teabags dry'!$K$2:$K$821,MATCH(I189,'Ashed teabags dry'!$A$2:$A$821,0)),"")</f>
        <v>88.557650153441656</v>
      </c>
      <c r="Y189" s="195">
        <f t="shared" si="14"/>
        <v>0.48386105127100487</v>
      </c>
      <c r="Z189" s="195">
        <f t="shared" si="14"/>
        <v>0.11008684787373779</v>
      </c>
      <c r="AA189" s="195">
        <f t="shared" si="20"/>
        <v>0.72261819264348959</v>
      </c>
      <c r="AB189" s="195">
        <f t="shared" si="21"/>
        <v>0.47373544220808345</v>
      </c>
      <c r="AC189" s="195">
        <f t="shared" si="15"/>
        <v>5.8124708481084891E-2</v>
      </c>
      <c r="AD189">
        <f t="shared" si="16"/>
        <v>69</v>
      </c>
      <c r="AE189" s="195">
        <f t="shared" si="22"/>
        <v>0.14178361918825466</v>
      </c>
      <c r="AF189" s="195" t="str">
        <f t="shared" si="23"/>
        <v/>
      </c>
      <c r="AG189" s="255" t="str">
        <f>IF(ISNUMBER(SEARCH("C", 'Dry_Litterbag Placem_Collection'!AB116)),"YES","NO")</f>
        <v>NO</v>
      </c>
      <c r="AH189" s="255" t="str">
        <f>IF(ISNUMBER(SEARCH("H", 'Dry_Litterbag Placem_Collection'!AB116)),"YES","NO")</f>
        <v>NO</v>
      </c>
      <c r="AI189" s="255" t="str">
        <f>IF(ISNUMBER(SEARCH("R", 'Dry_Litterbag Placem_Collection'!AB116)),"YES","NO")</f>
        <v>NO</v>
      </c>
      <c r="AJ189" s="255" t="str">
        <f>IF(ISNUMBER(SEARCH("C", 'Dry_Litterbag Placem_Collection'!AA116)),"YES","NO")</f>
        <v>NO</v>
      </c>
      <c r="AK189" s="255" t="str">
        <f>IF(ISNUMBER(SEARCH("H", 'Dry_Litterbag Placem_Collection'!AA116)),"YES","NO")</f>
        <v>NO</v>
      </c>
      <c r="AL189" s="255" t="str">
        <f>IF(ISNUMBER(SEARCH("R", 'Dry_Litterbag Placem_Collection'!AA116)),"YES","NO")</f>
        <v>NO</v>
      </c>
      <c r="AR189" t="s">
        <v>1787</v>
      </c>
      <c r="AT189" t="s">
        <v>310</v>
      </c>
    </row>
    <row r="190" spans="2:46">
      <c r="B190" t="str">
        <f>'Final data_for_R_analysis_Dryse'!A116</f>
        <v>Dry</v>
      </c>
      <c r="C190" s="263">
        <f>'Final data_for_R_analysis_Dryse'!B116</f>
        <v>115</v>
      </c>
      <c r="D190" t="s">
        <v>3844</v>
      </c>
      <c r="E190" t="s">
        <v>22</v>
      </c>
      <c r="F190" s="386">
        <v>3</v>
      </c>
      <c r="G190" s="16">
        <f>'Dry_Litterbag Placem_Collection'!E117</f>
        <v>42939</v>
      </c>
      <c r="H190" t="str">
        <f>'Final data_for_R_analysis_Dryse'!J116</f>
        <v>G125</v>
      </c>
      <c r="I190" t="str">
        <f>'Final data_for_R_analysis_Dryse'!J336</f>
        <v>R766</v>
      </c>
      <c r="J190">
        <f>IFERROR(INDEX('Green_rooibos initial weight'!$C$5:$C$1749,MATCH(H190, 'Green_rooibos initial weight'!$A$5:$A$1749,0)),"")</f>
        <v>2.0979999999999999</v>
      </c>
      <c r="K190">
        <f>IFERROR(INDEX('Green_rooibos initial weight'!$C$5:$C$1749,MATCH(I190, 'Green_rooibos initial weight'!$A$5:$A$1749,0)),"")</f>
        <v>2.21</v>
      </c>
      <c r="L190" s="195">
        <f t="shared" si="17"/>
        <v>1.8481999999999998</v>
      </c>
      <c r="M190" s="240">
        <f>AVERAGE(Ashed_controlls!$K$1:$K$11)</f>
        <v>5.5147656768714146</v>
      </c>
      <c r="N190" s="195">
        <f t="shared" si="12"/>
        <v>1.7462761007600625</v>
      </c>
      <c r="O190" s="195">
        <f t="shared" si="18"/>
        <v>1.9601999999999999</v>
      </c>
      <c r="P190" s="240">
        <f>AVERAGE(Ashed_controlls!$K$12:$K$14)</f>
        <v>2.2816647271287041</v>
      </c>
      <c r="Q190" s="195">
        <f t="shared" si="13"/>
        <v>1.9154748080188231</v>
      </c>
      <c r="R190" s="16">
        <f>IF('Dry_Litterbag Placem_Collection'!G117="N.A","",'Dry_Litterbag Placem_Collection'!G117)</f>
        <v>43008</v>
      </c>
      <c r="S190" s="195">
        <f>IF(IFERROR(INDEX('Both teabags AfterDry'!$D$1:$D$839,MATCH(H190,'Both teabags AfterDry'!$A$1:$A$839,0)),"")="N.A","",(IFERROR(INDEX('Both teabags AfterDry'!$D$1:$D$839,MATCH(H190,'Both teabags AfterDry'!$A$1:$A$839,0)),"")))</f>
        <v>0.78120000000000001</v>
      </c>
      <c r="T190" s="195">
        <f>IF(IFERROR(INDEX('Both teabags AfterDry'!$D$1:$D$839,MATCH(I190,'Both teabags AfterDry'!$A$1:$A$839,0)),"")="N.A","",(IFERROR(INDEX('Both teabags AfterDry'!$D$1:$D$839,MATCH(I190,'Both teabags AfterDry'!$A$1:$A$839,0)),"")))</f>
        <v>1.6694</v>
      </c>
      <c r="U190" s="195">
        <f t="shared" si="19"/>
        <v>0.63060000000000005</v>
      </c>
      <c r="V190" s="195">
        <f t="shared" si="19"/>
        <v>1.5187999999999999</v>
      </c>
      <c r="W190" s="195">
        <f>IFERROR(INDEX('Ashed teabags dry'!$K$2:$K$821,MATCH(H190,'Ashed teabags dry'!$A$2:$A$821,0)),"")</f>
        <v>18.503937007873372</v>
      </c>
      <c r="X190" s="195">
        <f>IFERROR(INDEX('Ashed teabags dry'!$K$2:$K$821,MATCH(I190,'Ashed teabags dry'!$A$2:$A$821,0)),"")</f>
        <v>23.045267489711783</v>
      </c>
      <c r="Y190" s="195">
        <f t="shared" si="14"/>
        <v>0.51391417322835053</v>
      </c>
      <c r="Z190" s="195">
        <f t="shared" si="14"/>
        <v>1.1687884773662574</v>
      </c>
      <c r="AA190" s="195">
        <f t="shared" si="20"/>
        <v>0.70570852283629681</v>
      </c>
      <c r="AB190" s="195">
        <f t="shared" si="21"/>
        <v>0.46264976794018514</v>
      </c>
      <c r="AC190" s="195">
        <f t="shared" si="15"/>
        <v>0.61018211906171504</v>
      </c>
      <c r="AD190">
        <f t="shared" si="16"/>
        <v>69</v>
      </c>
      <c r="AE190" s="195">
        <f t="shared" si="22"/>
        <v>0.16186636242720087</v>
      </c>
      <c r="AF190" s="195">
        <f t="shared" si="23"/>
        <v>2.6794441442518264E-2</v>
      </c>
      <c r="AG190" s="255" t="str">
        <f>IF(ISNUMBER(SEARCH("C", 'Dry_Litterbag Placem_Collection'!AB117)),"YES","NO")</f>
        <v>NO</v>
      </c>
      <c r="AH190" s="255" t="str">
        <f>IF(ISNUMBER(SEARCH("H", 'Dry_Litterbag Placem_Collection'!AB117)),"YES","NO")</f>
        <v>NO</v>
      </c>
      <c r="AI190" s="255" t="str">
        <f>IF(ISNUMBER(SEARCH("R", 'Dry_Litterbag Placem_Collection'!AB117)),"YES","NO")</f>
        <v>NO</v>
      </c>
      <c r="AJ190" s="255" t="str">
        <f>IF(ISNUMBER(SEARCH("C", 'Dry_Litterbag Placem_Collection'!AA117)),"YES","NO")</f>
        <v>NO</v>
      </c>
      <c r="AK190" s="255" t="str">
        <f>IF(ISNUMBER(SEARCH("H", 'Dry_Litterbag Placem_Collection'!AA117)),"YES","NO")</f>
        <v>NO</v>
      </c>
      <c r="AL190" s="255" t="str">
        <f>IF(ISNUMBER(SEARCH("R", 'Dry_Litterbag Placem_Collection'!AA117)),"YES","NO")</f>
        <v>NO</v>
      </c>
      <c r="AR190" t="s">
        <v>1925</v>
      </c>
      <c r="AT190" t="s">
        <v>373</v>
      </c>
    </row>
    <row r="191" spans="2:46">
      <c r="B191" t="str">
        <f>'Final data_for_R_analysis_Dryse'!A117</f>
        <v>Dry</v>
      </c>
      <c r="C191" s="263">
        <f>'Final data_for_R_analysis_Dryse'!B117</f>
        <v>116</v>
      </c>
      <c r="D191" t="s">
        <v>3844</v>
      </c>
      <c r="E191" t="s">
        <v>22</v>
      </c>
      <c r="F191" s="387">
        <v>4</v>
      </c>
      <c r="G191" s="16">
        <f>'Dry_Litterbag Placem_Collection'!E118</f>
        <v>42939</v>
      </c>
      <c r="H191" t="str">
        <f>'Final data_for_R_analysis_Dryse'!J117</f>
        <v>G189</v>
      </c>
      <c r="I191" t="str">
        <f>'Final data_for_R_analysis_Dryse'!J337</f>
        <v>R757</v>
      </c>
      <c r="J191">
        <f>IFERROR(INDEX('Green_rooibos initial weight'!$C$5:$C$1749,MATCH(H191, 'Green_rooibos initial weight'!$A$5:$A$1749,0)),"")</f>
        <v>2.0059999999999998</v>
      </c>
      <c r="K191">
        <f>IFERROR(INDEX('Green_rooibos initial weight'!$C$5:$C$1749,MATCH(I191, 'Green_rooibos initial weight'!$A$5:$A$1749,0)),"")</f>
        <v>2.2050000000000001</v>
      </c>
      <c r="L191" s="195">
        <f t="shared" si="17"/>
        <v>1.7561999999999998</v>
      </c>
      <c r="M191" s="240">
        <f>AVERAGE(Ashed_controlls!$K$1:$K$11)</f>
        <v>5.5147656768714146</v>
      </c>
      <c r="N191" s="195">
        <f t="shared" si="12"/>
        <v>1.659349685182784</v>
      </c>
      <c r="O191" s="195">
        <f t="shared" si="18"/>
        <v>1.9552</v>
      </c>
      <c r="P191" s="240">
        <f>AVERAGE(Ashed_controlls!$K$12:$K$14)</f>
        <v>2.2816647271287041</v>
      </c>
      <c r="Q191" s="195">
        <f t="shared" si="13"/>
        <v>1.9105888912551796</v>
      </c>
      <c r="R191" s="16">
        <f>IF('Dry_Litterbag Placem_Collection'!G118="N.A","",'Dry_Litterbag Placem_Collection'!G118)</f>
        <v>43008</v>
      </c>
      <c r="S191" s="195">
        <f>IF(IFERROR(INDEX('Both teabags AfterDry'!$D$1:$D$839,MATCH(H191,'Both teabags AfterDry'!$A$1:$A$839,0)),"")="N.A","",(IFERROR(INDEX('Both teabags AfterDry'!$D$1:$D$839,MATCH(H191,'Both teabags AfterDry'!$A$1:$A$839,0)),"")))</f>
        <v>0.76890000000000003</v>
      </c>
      <c r="T191" s="195">
        <f>IF(IFERROR(INDEX('Both teabags AfterDry'!$D$1:$D$839,MATCH(I191,'Both teabags AfterDry'!$A$1:$A$839,0)),"")="N.A","",(IFERROR(INDEX('Both teabags AfterDry'!$D$1:$D$839,MATCH(I191,'Both teabags AfterDry'!$A$1:$A$839,0)),"")))</f>
        <v>1.7337</v>
      </c>
      <c r="U191" s="195">
        <f t="shared" si="19"/>
        <v>0.61830000000000007</v>
      </c>
      <c r="V191" s="195">
        <f t="shared" si="19"/>
        <v>1.5831</v>
      </c>
      <c r="W191" s="195">
        <f>IFERROR(INDEX('Ashed teabags dry'!$K$2:$K$821,MATCH(H191,'Ashed teabags dry'!$A$2:$A$821,0)),"")</f>
        <v>20.116618075801487</v>
      </c>
      <c r="X191" s="195">
        <f>IFERROR(INDEX('Ashed teabags dry'!$K$2:$K$821,MATCH(I191,'Ashed teabags dry'!$A$2:$A$821,0)),"")</f>
        <v>14.66357308584627</v>
      </c>
      <c r="Y191" s="195">
        <f t="shared" si="14"/>
        <v>0.49391895043731948</v>
      </c>
      <c r="Z191" s="195">
        <f t="shared" si="14"/>
        <v>1.3509609744779676</v>
      </c>
      <c r="AA191" s="195">
        <f t="shared" si="20"/>
        <v>0.70234185425303386</v>
      </c>
      <c r="AB191" s="195">
        <f t="shared" si="21"/>
        <v>0.46044264079296288</v>
      </c>
      <c r="AC191" s="195">
        <f t="shared" si="15"/>
        <v>0.70709140028048678</v>
      </c>
      <c r="AD191">
        <f t="shared" si="16"/>
        <v>69</v>
      </c>
      <c r="AE191" s="195">
        <f t="shared" si="22"/>
        <v>0.16586478117216874</v>
      </c>
      <c r="AF191" s="195">
        <f t="shared" si="23"/>
        <v>1.46521989636635E-2</v>
      </c>
      <c r="AG191" s="255" t="str">
        <f>IF(ISNUMBER(SEARCH("C", 'Dry_Litterbag Placem_Collection'!AB118)),"YES","NO")</f>
        <v>NO</v>
      </c>
      <c r="AH191" s="255" t="str">
        <f>IF(ISNUMBER(SEARCH("H", 'Dry_Litterbag Placem_Collection'!AB118)),"YES","NO")</f>
        <v>NO</v>
      </c>
      <c r="AI191" s="255" t="str">
        <f>IF(ISNUMBER(SEARCH("R", 'Dry_Litterbag Placem_Collection'!AB118)),"YES","NO")</f>
        <v>NO</v>
      </c>
      <c r="AJ191" s="255" t="str">
        <f>IF(ISNUMBER(SEARCH("C", 'Dry_Litterbag Placem_Collection'!AA118)),"YES","NO")</f>
        <v>NO</v>
      </c>
      <c r="AK191" s="255" t="str">
        <f>IF(ISNUMBER(SEARCH("H", 'Dry_Litterbag Placem_Collection'!AA118)),"YES","NO")</f>
        <v>NO</v>
      </c>
      <c r="AL191" s="255" t="str">
        <f>IF(ISNUMBER(SEARCH("R", 'Dry_Litterbag Placem_Collection'!AA118)),"YES","NO")</f>
        <v>NO</v>
      </c>
      <c r="AR191" t="s">
        <v>1861</v>
      </c>
      <c r="AT191" t="s">
        <v>382</v>
      </c>
    </row>
    <row r="192" spans="2:46">
      <c r="B192" t="str">
        <f>'Final data_for_R_analysis_Dryse'!A118</f>
        <v>Dry</v>
      </c>
      <c r="C192" s="263">
        <f>'Final data_for_R_analysis_Dryse'!B118</f>
        <v>117</v>
      </c>
      <c r="D192" t="s">
        <v>3844</v>
      </c>
      <c r="E192" t="s">
        <v>22</v>
      </c>
      <c r="F192" s="387">
        <v>5</v>
      </c>
      <c r="G192" s="16">
        <f>'Dry_Litterbag Placem_Collection'!E119</f>
        <v>42939</v>
      </c>
      <c r="H192" t="str">
        <f>'Final data_for_R_analysis_Dryse'!J118</f>
        <v>G533</v>
      </c>
      <c r="I192" t="str">
        <f>'Final data_for_R_analysis_Dryse'!J338</f>
        <v>R745</v>
      </c>
      <c r="J192">
        <f>IFERROR(INDEX('Green_rooibos initial weight'!$C$5:$C$1749,MATCH(H192, 'Green_rooibos initial weight'!$A$5:$A$1749,0)),"")</f>
        <v>2.1070000000000002</v>
      </c>
      <c r="K192">
        <f>IFERROR(INDEX('Green_rooibos initial weight'!$C$5:$C$1749,MATCH(I192, 'Green_rooibos initial weight'!$A$5:$A$1749,0)),"")</f>
        <v>2.2909999999999999</v>
      </c>
      <c r="L192" s="195">
        <f t="shared" si="17"/>
        <v>1.8572000000000002</v>
      </c>
      <c r="M192" s="240">
        <f>AVERAGE(Ashed_controlls!$K$1:$K$11)</f>
        <v>5.5147656768714146</v>
      </c>
      <c r="N192" s="195">
        <f t="shared" si="12"/>
        <v>1.7547797718491442</v>
      </c>
      <c r="O192" s="195">
        <f t="shared" si="18"/>
        <v>2.0411999999999999</v>
      </c>
      <c r="P192" s="240">
        <f>AVERAGE(Ashed_controlls!$K$12:$K$14)</f>
        <v>2.2816647271287041</v>
      </c>
      <c r="Q192" s="195">
        <f t="shared" si="13"/>
        <v>1.9946266595898487</v>
      </c>
      <c r="R192" s="16">
        <f>IF('Dry_Litterbag Placem_Collection'!G119="N.A","",'Dry_Litterbag Placem_Collection'!G119)</f>
        <v>43008</v>
      </c>
      <c r="S192" s="195" t="str">
        <f>IF(IFERROR(INDEX('Both teabags AfterDry'!$D$1:$D$839,MATCH(H192,'Both teabags AfterDry'!$A$1:$A$839,0)),"")="N.A","",(IFERROR(INDEX('Both teabags AfterDry'!$D$1:$D$839,MATCH(H192,'Both teabags AfterDry'!$A$1:$A$839,0)),"")))</f>
        <v/>
      </c>
      <c r="T192" s="195" t="str">
        <f>IF(IFERROR(INDEX('Both teabags AfterDry'!$D$1:$D$839,MATCH(I192,'Both teabags AfterDry'!$A$1:$A$839,0)),"")="N.A","",(IFERROR(INDEX('Both teabags AfterDry'!$D$1:$D$839,MATCH(I192,'Both teabags AfterDry'!$A$1:$A$839,0)),"")))</f>
        <v/>
      </c>
      <c r="U192" s="195" t="str">
        <f t="shared" si="19"/>
        <v/>
      </c>
      <c r="V192" s="195" t="str">
        <f t="shared" si="19"/>
        <v/>
      </c>
      <c r="W192" s="195" t="str">
        <f>IFERROR(INDEX('Ashed teabags dry'!$K$2:$K$821,MATCH(H192,'Ashed teabags dry'!$A$2:$A$821,0)),"")</f>
        <v/>
      </c>
      <c r="X192" s="195" t="str">
        <f>IFERROR(INDEX('Ashed teabags dry'!$K$2:$K$821,MATCH(I192,'Ashed teabags dry'!$A$2:$A$821,0)),"")</f>
        <v/>
      </c>
      <c r="Y192" s="195" t="str">
        <f t="shared" si="14"/>
        <v/>
      </c>
      <c r="Z192" s="195" t="str">
        <f t="shared" si="14"/>
        <v/>
      </c>
      <c r="AA192" s="195" t="str">
        <f t="shared" si="20"/>
        <v/>
      </c>
      <c r="AB192" s="195" t="str">
        <f t="shared" si="21"/>
        <v/>
      </c>
      <c r="AC192" s="195" t="str">
        <f t="shared" si="15"/>
        <v/>
      </c>
      <c r="AD192">
        <f t="shared" si="16"/>
        <v>69</v>
      </c>
      <c r="AE192" s="195" t="str">
        <f t="shared" si="22"/>
        <v/>
      </c>
      <c r="AF192" s="195" t="str">
        <f t="shared" si="23"/>
        <v/>
      </c>
      <c r="AG192" s="255" t="str">
        <f>IF(ISNUMBER(SEARCH("C", 'Dry_Litterbag Placem_Collection'!AB119)),"YES","NO")</f>
        <v>NO</v>
      </c>
      <c r="AH192" s="255" t="str">
        <f>IF(ISNUMBER(SEARCH("H", 'Dry_Litterbag Placem_Collection'!AB119)),"YES","NO")</f>
        <v>NO</v>
      </c>
      <c r="AI192" s="255" t="str">
        <f>IF(ISNUMBER(SEARCH("R", 'Dry_Litterbag Placem_Collection'!AB119)),"YES","NO")</f>
        <v>NO</v>
      </c>
      <c r="AJ192" s="255" t="str">
        <f>IF(ISNUMBER(SEARCH("C", 'Dry_Litterbag Placem_Collection'!AA119)),"YES","NO")</f>
        <v>NO</v>
      </c>
      <c r="AK192" s="255" t="str">
        <f>IF(ISNUMBER(SEARCH("H", 'Dry_Litterbag Placem_Collection'!AA119)),"YES","NO")</f>
        <v>NO</v>
      </c>
      <c r="AL192" s="255" t="str">
        <f>IF(ISNUMBER(SEARCH("R", 'Dry_Litterbag Placem_Collection'!AA119)),"YES","NO")</f>
        <v>NO</v>
      </c>
      <c r="AR192" t="s">
        <v>1517</v>
      </c>
      <c r="AT192" t="s">
        <v>394</v>
      </c>
    </row>
    <row r="193" spans="2:46">
      <c r="B193" t="str">
        <f>'Final data_for_R_analysis_Dryse'!A119</f>
        <v>Dry</v>
      </c>
      <c r="C193" s="263">
        <f>'Final data_for_R_analysis_Dryse'!B119</f>
        <v>118</v>
      </c>
      <c r="D193" t="s">
        <v>3844</v>
      </c>
      <c r="E193" t="s">
        <v>22</v>
      </c>
      <c r="F193" s="387">
        <v>6</v>
      </c>
      <c r="G193" s="16">
        <f>'Dry_Litterbag Placem_Collection'!E120</f>
        <v>42939</v>
      </c>
      <c r="H193" t="str">
        <f>'Final data_for_R_analysis_Dryse'!J119</f>
        <v>G200</v>
      </c>
      <c r="I193" t="str">
        <f>'Final data_for_R_analysis_Dryse'!J339</f>
        <v>R791</v>
      </c>
      <c r="J193">
        <f>IFERROR(INDEX('Green_rooibos initial weight'!$C$5:$C$1749,MATCH(H193, 'Green_rooibos initial weight'!$A$5:$A$1749,0)),"")</f>
        <v>2.0150000000000001</v>
      </c>
      <c r="K193">
        <f>IFERROR(INDEX('Green_rooibos initial weight'!$C$5:$C$1749,MATCH(I193, 'Green_rooibos initial weight'!$A$5:$A$1749,0)),"")</f>
        <v>2.1579999999999999</v>
      </c>
      <c r="L193" s="195">
        <f t="shared" si="17"/>
        <v>1.7652000000000001</v>
      </c>
      <c r="M193" s="240">
        <f>AVERAGE(Ashed_controlls!$K$1:$K$11)</f>
        <v>5.5147656768714146</v>
      </c>
      <c r="N193" s="195">
        <f t="shared" si="12"/>
        <v>1.6678533562718658</v>
      </c>
      <c r="O193" s="195">
        <f t="shared" si="18"/>
        <v>1.9081999999999999</v>
      </c>
      <c r="P193" s="240">
        <f>AVERAGE(Ashed_controlls!$K$12:$K$14)</f>
        <v>2.2816647271287041</v>
      </c>
      <c r="Q193" s="195">
        <f t="shared" si="13"/>
        <v>1.8646612736769299</v>
      </c>
      <c r="R193" s="16">
        <f>IF('Dry_Litterbag Placem_Collection'!G120="N.A","",'Dry_Litterbag Placem_Collection'!G120)</f>
        <v>43008</v>
      </c>
      <c r="S193" s="195">
        <f>IF(IFERROR(INDEX('Both teabags AfterDry'!$D$1:$D$839,MATCH(H193,'Both teabags AfterDry'!$A$1:$A$839,0)),"")="N.A","",(IFERROR(INDEX('Both teabags AfterDry'!$D$1:$D$839,MATCH(H193,'Both teabags AfterDry'!$A$1:$A$839,0)),"")))</f>
        <v>0.71760000000000002</v>
      </c>
      <c r="T193" s="195">
        <f>IF(IFERROR(INDEX('Both teabags AfterDry'!$D$1:$D$839,MATCH(I193,'Both teabags AfterDry'!$A$1:$A$839,0)),"")="N.A","",(IFERROR(INDEX('Both teabags AfterDry'!$D$1:$D$839,MATCH(I193,'Both teabags AfterDry'!$A$1:$A$839,0)),"")))</f>
        <v>1.629</v>
      </c>
      <c r="U193" s="195">
        <f t="shared" si="19"/>
        <v>0.56699999999999995</v>
      </c>
      <c r="V193" s="195">
        <f t="shared" si="19"/>
        <v>1.4783999999999999</v>
      </c>
      <c r="W193" s="195">
        <f>IFERROR(INDEX('Ashed teabags dry'!$K$2:$K$821,MATCH(H193,'Ashed teabags dry'!$A$2:$A$821,0)),"")</f>
        <v>18.547215496368619</v>
      </c>
      <c r="X193" s="195">
        <f>IFERROR(INDEX('Ashed teabags dry'!$K$2:$K$821,MATCH(I193,'Ashed teabags dry'!$A$2:$A$821,0)),"")</f>
        <v>7.1167883211671752</v>
      </c>
      <c r="Y193" s="195">
        <f t="shared" si="14"/>
        <v>0.46183728813558989</v>
      </c>
      <c r="Z193" s="195">
        <f t="shared" si="14"/>
        <v>1.3731854014598643</v>
      </c>
      <c r="AA193" s="195">
        <f t="shared" si="20"/>
        <v>0.72309478744106759</v>
      </c>
      <c r="AB193" s="195">
        <f t="shared" si="21"/>
        <v>0.47404788915376406</v>
      </c>
      <c r="AC193" s="195">
        <f t="shared" si="15"/>
        <v>0.73642619216951766</v>
      </c>
      <c r="AD193">
        <f t="shared" si="16"/>
        <v>69</v>
      </c>
      <c r="AE193" s="195">
        <f t="shared" si="22"/>
        <v>0.14121759211274632</v>
      </c>
      <c r="AF193" s="195">
        <f t="shared" si="23"/>
        <v>1.1767330900373648E-2</v>
      </c>
      <c r="AG193" s="255" t="str">
        <f>IF(ISNUMBER(SEARCH("C", 'Dry_Litterbag Placem_Collection'!AB120)),"YES","NO")</f>
        <v>NO</v>
      </c>
      <c r="AH193" s="255" t="str">
        <f>IF(ISNUMBER(SEARCH("H", 'Dry_Litterbag Placem_Collection'!AB120)),"YES","NO")</f>
        <v>NO</v>
      </c>
      <c r="AI193" s="255" t="str">
        <f>IF(ISNUMBER(SEARCH("R", 'Dry_Litterbag Placem_Collection'!AB120)),"YES","NO")</f>
        <v>NO</v>
      </c>
      <c r="AJ193" s="255" t="str">
        <f>IF(ISNUMBER(SEARCH("C", 'Dry_Litterbag Placem_Collection'!AA120)),"YES","NO")</f>
        <v>NO</v>
      </c>
      <c r="AK193" s="255" t="str">
        <f>IF(ISNUMBER(SEARCH("H", 'Dry_Litterbag Placem_Collection'!AA120)),"YES","NO")</f>
        <v>NO</v>
      </c>
      <c r="AL193" s="255" t="str">
        <f>IF(ISNUMBER(SEARCH("R", 'Dry_Litterbag Placem_Collection'!AA120)),"YES","NO")</f>
        <v>NO</v>
      </c>
      <c r="AR193" t="s">
        <v>1850</v>
      </c>
      <c r="AT193" t="s">
        <v>348</v>
      </c>
    </row>
    <row r="194" spans="2:46">
      <c r="B194" t="str">
        <f>'Final data_for_R_analysis_Dryse'!A120</f>
        <v>Dry</v>
      </c>
      <c r="C194" s="263">
        <f>'Final data_for_R_analysis_Dryse'!B120</f>
        <v>119</v>
      </c>
      <c r="D194" t="s">
        <v>3844</v>
      </c>
      <c r="E194" t="s">
        <v>22</v>
      </c>
      <c r="F194" s="387">
        <v>7</v>
      </c>
      <c r="G194" s="16">
        <f>'Dry_Litterbag Placem_Collection'!E121</f>
        <v>42939</v>
      </c>
      <c r="H194" t="str">
        <f>'Final data_for_R_analysis_Dryse'!J120</f>
        <v>G236</v>
      </c>
      <c r="I194" t="str">
        <f>'Final data_for_R_analysis_Dryse'!J340</f>
        <v>R802</v>
      </c>
      <c r="J194">
        <f>IFERROR(INDEX('Green_rooibos initial weight'!$C$5:$C$1749,MATCH(H194, 'Green_rooibos initial weight'!$A$5:$A$1749,0)),"")</f>
        <v>2.0529999999999999</v>
      </c>
      <c r="K194">
        <f>IFERROR(INDEX('Green_rooibos initial weight'!$C$5:$C$1749,MATCH(I194, 'Green_rooibos initial weight'!$A$5:$A$1749,0)),"")</f>
        <v>2.25</v>
      </c>
      <c r="L194" s="195">
        <f t="shared" si="17"/>
        <v>1.8031999999999999</v>
      </c>
      <c r="M194" s="240">
        <f>AVERAGE(Ashed_controlls!$K$1:$K$11)</f>
        <v>5.5147656768714146</v>
      </c>
      <c r="N194" s="195">
        <f t="shared" si="12"/>
        <v>1.7037577453146546</v>
      </c>
      <c r="O194" s="195">
        <f t="shared" si="18"/>
        <v>2.0002</v>
      </c>
      <c r="P194" s="240">
        <f>AVERAGE(Ashed_controlls!$K$12:$K$14)</f>
        <v>2.2816647271287041</v>
      </c>
      <c r="Q194" s="195">
        <f t="shared" si="13"/>
        <v>1.9545621421279717</v>
      </c>
      <c r="R194" s="16">
        <f>IF('Dry_Litterbag Placem_Collection'!G121="N.A","",'Dry_Litterbag Placem_Collection'!G121)</f>
        <v>43008</v>
      </c>
      <c r="S194" s="195">
        <f>IF(IFERROR(INDEX('Both teabags AfterDry'!$D$1:$D$839,MATCH(H194,'Both teabags AfterDry'!$A$1:$A$839,0)),"")="N.A","",(IFERROR(INDEX('Both teabags AfterDry'!$D$1:$D$839,MATCH(H194,'Both teabags AfterDry'!$A$1:$A$839,0)),"")))</f>
        <v>0.81489999999999996</v>
      </c>
      <c r="T194" s="195">
        <f>IF(IFERROR(INDEX('Both teabags AfterDry'!$D$1:$D$839,MATCH(I194,'Both teabags AfterDry'!$A$1:$A$839,0)),"")="N.A","",(IFERROR(INDEX('Both teabags AfterDry'!$D$1:$D$839,MATCH(I194,'Both teabags AfterDry'!$A$1:$A$839,0)),"")))</f>
        <v>1.6778</v>
      </c>
      <c r="U194" s="195">
        <f t="shared" si="19"/>
        <v>0.66429999999999989</v>
      </c>
      <c r="V194" s="195">
        <f t="shared" si="19"/>
        <v>1.5271999999999999</v>
      </c>
      <c r="W194" s="195">
        <f>IFERROR(INDEX('Ashed teabags dry'!$K$2:$K$821,MATCH(H194,'Ashed teabags dry'!$A$2:$A$821,0)),"")</f>
        <v>19.0062711046786</v>
      </c>
      <c r="X194" s="195">
        <f>IFERROR(INDEX('Ashed teabags dry'!$K$2:$K$821,MATCH(I194,'Ashed teabags dry'!$A$2:$A$821,0)),"")</f>
        <v>9.0650213573804805</v>
      </c>
      <c r="Y194" s="195">
        <f t="shared" si="14"/>
        <v>0.53804134105162005</v>
      </c>
      <c r="Z194" s="195">
        <f t="shared" si="14"/>
        <v>1.3887589938300853</v>
      </c>
      <c r="AA194" s="195">
        <f t="shared" si="20"/>
        <v>0.68420314300478613</v>
      </c>
      <c r="AB194" s="195">
        <f t="shared" si="21"/>
        <v>0.44855122914328027</v>
      </c>
      <c r="AC194" s="195">
        <f t="shared" si="15"/>
        <v>0.71052179099208124</v>
      </c>
      <c r="AD194">
        <f t="shared" si="16"/>
        <v>69</v>
      </c>
      <c r="AE194" s="195">
        <f t="shared" si="22"/>
        <v>0.1874071935810141</v>
      </c>
      <c r="AF194" s="195">
        <f t="shared" si="23"/>
        <v>1.502405152648441E-2</v>
      </c>
      <c r="AG194" s="255" t="str">
        <f>IF(ISNUMBER(SEARCH("C", 'Dry_Litterbag Placem_Collection'!AB121)),"YES","NO")</f>
        <v>NO</v>
      </c>
      <c r="AH194" s="255" t="str">
        <f>IF(ISNUMBER(SEARCH("H", 'Dry_Litterbag Placem_Collection'!AB121)),"YES","NO")</f>
        <v>NO</v>
      </c>
      <c r="AI194" s="255" t="str">
        <f>IF(ISNUMBER(SEARCH("R", 'Dry_Litterbag Placem_Collection'!AB121)),"YES","NO")</f>
        <v>NO</v>
      </c>
      <c r="AJ194" s="255" t="str">
        <f>IF(ISNUMBER(SEARCH("C", 'Dry_Litterbag Placem_Collection'!AA121)),"YES","NO")</f>
        <v>NO</v>
      </c>
      <c r="AK194" s="255" t="str">
        <f>IF(ISNUMBER(SEARCH("H", 'Dry_Litterbag Placem_Collection'!AA121)),"YES","NO")</f>
        <v>NO</v>
      </c>
      <c r="AL194" s="255" t="str">
        <f>IF(ISNUMBER(SEARCH("R", 'Dry_Litterbag Placem_Collection'!AA121)),"YES","NO")</f>
        <v>NO</v>
      </c>
      <c r="AR194" t="s">
        <v>1814</v>
      </c>
      <c r="AT194" t="s">
        <v>337</v>
      </c>
    </row>
    <row r="195" spans="2:46">
      <c r="B195" t="str">
        <f>'Final data_for_R_analysis_Dryse'!A121</f>
        <v>Dry</v>
      </c>
      <c r="C195" s="263">
        <f>'Final data_for_R_analysis_Dryse'!B121</f>
        <v>120</v>
      </c>
      <c r="D195" t="s">
        <v>3844</v>
      </c>
      <c r="E195" t="s">
        <v>22</v>
      </c>
      <c r="F195" s="387">
        <v>8</v>
      </c>
      <c r="G195" s="16">
        <f>'Dry_Litterbag Placem_Collection'!E122</f>
        <v>0</v>
      </c>
      <c r="H195" t="str">
        <f>'Final data_for_R_analysis_Dryse'!J121</f>
        <v/>
      </c>
      <c r="I195" t="str">
        <f>'Final data_for_R_analysis_Dryse'!J341</f>
        <v/>
      </c>
      <c r="J195" t="str">
        <f>IFERROR(INDEX('Green_rooibos initial weight'!$C$5:$C$1749,MATCH(H195, 'Green_rooibos initial weight'!$A$5:$A$1749,0)),"")</f>
        <v/>
      </c>
      <c r="K195" t="str">
        <f>IFERROR(INDEX('Green_rooibos initial weight'!$C$5:$C$1749,MATCH(I195, 'Green_rooibos initial weight'!$A$5:$A$1749,0)),"")</f>
        <v/>
      </c>
      <c r="L195" s="195" t="str">
        <f t="shared" si="17"/>
        <v/>
      </c>
      <c r="M195" s="240">
        <f>AVERAGE(Ashed_controlls!$K$1:$K$11)</f>
        <v>5.5147656768714146</v>
      </c>
      <c r="N195" s="195" t="str">
        <f t="shared" si="12"/>
        <v/>
      </c>
      <c r="O195" s="195" t="str">
        <f t="shared" si="18"/>
        <v/>
      </c>
      <c r="P195" s="240">
        <f>AVERAGE(Ashed_controlls!$K$12:$K$14)</f>
        <v>2.2816647271287041</v>
      </c>
      <c r="Q195" s="195" t="str">
        <f t="shared" si="13"/>
        <v/>
      </c>
      <c r="R195" s="16">
        <f>IF('Dry_Litterbag Placem_Collection'!G122="N.A","",'Dry_Litterbag Placem_Collection'!G122)</f>
        <v>0</v>
      </c>
      <c r="S195" s="195" t="str">
        <f>IF(IFERROR(INDEX('Both teabags AfterDry'!$D$1:$D$839,MATCH(H195,'Both teabags AfterDry'!$A$1:$A$839,0)),"")="N.A","",(IFERROR(INDEX('Both teabags AfterDry'!$D$1:$D$839,MATCH(H195,'Both teabags AfterDry'!$A$1:$A$839,0)),"")))</f>
        <v/>
      </c>
      <c r="T195" s="195" t="str">
        <f>IF(IFERROR(INDEX('Both teabags AfterDry'!$D$1:$D$839,MATCH(I195,'Both teabags AfterDry'!$A$1:$A$839,0)),"")="N.A","",(IFERROR(INDEX('Both teabags AfterDry'!$D$1:$D$839,MATCH(I195,'Both teabags AfterDry'!$A$1:$A$839,0)),"")))</f>
        <v/>
      </c>
      <c r="U195" s="195" t="str">
        <f t="shared" si="19"/>
        <v/>
      </c>
      <c r="V195" s="195" t="str">
        <f t="shared" si="19"/>
        <v/>
      </c>
      <c r="W195" s="195" t="str">
        <f>IFERROR(INDEX('Ashed teabags dry'!$K$2:$K$821,MATCH(H195,'Ashed teabags dry'!$A$2:$A$821,0)),"")</f>
        <v/>
      </c>
      <c r="X195" s="195" t="str">
        <f>IFERROR(INDEX('Ashed teabags dry'!$K$2:$K$821,MATCH(I195,'Ashed teabags dry'!$A$2:$A$821,0)),"")</f>
        <v/>
      </c>
      <c r="Y195" s="195" t="str">
        <f t="shared" si="14"/>
        <v/>
      </c>
      <c r="Z195" s="195" t="str">
        <f t="shared" si="14"/>
        <v/>
      </c>
      <c r="AA195" s="195" t="str">
        <f t="shared" si="20"/>
        <v/>
      </c>
      <c r="AB195" s="195" t="str">
        <f t="shared" si="21"/>
        <v/>
      </c>
      <c r="AC195" s="195" t="str">
        <f t="shared" si="15"/>
        <v/>
      </c>
      <c r="AD195" t="str">
        <f t="shared" si="16"/>
        <v/>
      </c>
      <c r="AE195" s="195" t="str">
        <f t="shared" si="22"/>
        <v/>
      </c>
      <c r="AF195" s="195" t="str">
        <f t="shared" si="23"/>
        <v/>
      </c>
      <c r="AG195" s="255" t="str">
        <f>IF(ISNUMBER(SEARCH("C", 'Dry_Litterbag Placem_Collection'!AB122)),"YES","NO")</f>
        <v>NO</v>
      </c>
      <c r="AH195" s="255" t="str">
        <f>IF(ISNUMBER(SEARCH("H", 'Dry_Litterbag Placem_Collection'!AB122)),"YES","NO")</f>
        <v>NO</v>
      </c>
      <c r="AI195" s="255" t="str">
        <f>IF(ISNUMBER(SEARCH("R", 'Dry_Litterbag Placem_Collection'!AB122)),"YES","NO")</f>
        <v>NO</v>
      </c>
      <c r="AJ195" s="255" t="str">
        <f>IF(ISNUMBER(SEARCH("C", 'Dry_Litterbag Placem_Collection'!AA122)),"YES","NO")</f>
        <v>NO</v>
      </c>
      <c r="AK195" s="255" t="str">
        <f>IF(ISNUMBER(SEARCH("H", 'Dry_Litterbag Placem_Collection'!AA122)),"YES","NO")</f>
        <v>NO</v>
      </c>
      <c r="AL195" s="255" t="str">
        <f>IF(ISNUMBER(SEARCH("R", 'Dry_Litterbag Placem_Collection'!AA122)),"YES","NO")</f>
        <v>NO</v>
      </c>
      <c r="AR195" t="s">
        <v>3654</v>
      </c>
      <c r="AT195" t="s">
        <v>3654</v>
      </c>
    </row>
    <row r="196" spans="2:46">
      <c r="B196" t="str">
        <f>'Final data_for_R_analysis_Dryse'!A122</f>
        <v>Dry</v>
      </c>
      <c r="C196" s="263">
        <f>'Final data_for_R_analysis_Dryse'!B122</f>
        <v>121</v>
      </c>
      <c r="D196" t="s">
        <v>3845</v>
      </c>
      <c r="E196" t="s">
        <v>22</v>
      </c>
      <c r="F196" s="386">
        <v>1</v>
      </c>
      <c r="G196" s="16">
        <f>'Dry_Litterbag Placem_Collection'!E123</f>
        <v>42939</v>
      </c>
      <c r="H196" t="str">
        <f>'Final data_for_R_analysis_Dryse'!J122</f>
        <v>G280</v>
      </c>
      <c r="I196" t="str">
        <f>'Final data_for_R_analysis_Dryse'!J342</f>
        <v>R822</v>
      </c>
      <c r="J196">
        <f>IFERROR(INDEX('Green_rooibos initial weight'!$C$5:$C$1749,MATCH(H196, 'Green_rooibos initial weight'!$A$5:$A$1749,0)),"")</f>
        <v>1.9450000000000001</v>
      </c>
      <c r="K196">
        <f>IFERROR(INDEX('Green_rooibos initial weight'!$C$5:$C$1749,MATCH(I196, 'Green_rooibos initial weight'!$A$5:$A$1749,0)),"")</f>
        <v>2.1880000000000002</v>
      </c>
      <c r="L196" s="195">
        <f t="shared" si="17"/>
        <v>1.6952</v>
      </c>
      <c r="M196" s="240">
        <f>AVERAGE(Ashed_controlls!$K$1:$K$11)</f>
        <v>5.5147656768714146</v>
      </c>
      <c r="N196" s="195">
        <f t="shared" si="12"/>
        <v>1.6017136922456758</v>
      </c>
      <c r="O196" s="195">
        <f t="shared" si="18"/>
        <v>1.9382000000000001</v>
      </c>
      <c r="P196" s="240">
        <f>AVERAGE(Ashed_controlls!$K$12:$K$14)</f>
        <v>2.2816647271287041</v>
      </c>
      <c r="Q196" s="195">
        <f t="shared" si="13"/>
        <v>1.8939767742587916</v>
      </c>
      <c r="R196" s="16">
        <f>IF('Dry_Litterbag Placem_Collection'!G123="N.A","",'Dry_Litterbag Placem_Collection'!G123)</f>
        <v>43008</v>
      </c>
      <c r="S196" s="195" t="str">
        <f>IF(IFERROR(INDEX('Both teabags AfterDry'!$D$1:$D$839,MATCH(H196,'Both teabags AfterDry'!$A$1:$A$839,0)),"")="N.A","",(IFERROR(INDEX('Both teabags AfterDry'!$D$1:$D$839,MATCH(H196,'Both teabags AfterDry'!$A$1:$A$839,0)),"")))</f>
        <v/>
      </c>
      <c r="T196" s="195" t="str">
        <f>IF(IFERROR(INDEX('Both teabags AfterDry'!$D$1:$D$839,MATCH(I196,'Both teabags AfterDry'!$A$1:$A$839,0)),"")="N.A","",(IFERROR(INDEX('Both teabags AfterDry'!$D$1:$D$839,MATCH(I196,'Both teabags AfterDry'!$A$1:$A$839,0)),"")))</f>
        <v/>
      </c>
      <c r="U196" s="195" t="str">
        <f t="shared" si="19"/>
        <v/>
      </c>
      <c r="V196" s="195" t="str">
        <f t="shared" si="19"/>
        <v/>
      </c>
      <c r="W196" s="195" t="str">
        <f>IFERROR(INDEX('Ashed teabags dry'!$K$2:$K$821,MATCH(H196,'Ashed teabags dry'!$A$2:$A$821,0)),"")</f>
        <v/>
      </c>
      <c r="X196" s="195" t="str">
        <f>IFERROR(INDEX('Ashed teabags dry'!$K$2:$K$821,MATCH(I196,'Ashed teabags dry'!$A$2:$A$821,0)),"")</f>
        <v/>
      </c>
      <c r="Y196" s="195" t="str">
        <f t="shared" si="14"/>
        <v/>
      </c>
      <c r="Z196" s="195" t="str">
        <f t="shared" si="14"/>
        <v/>
      </c>
      <c r="AA196" s="195" t="str">
        <f t="shared" si="20"/>
        <v/>
      </c>
      <c r="AB196" s="195" t="str">
        <f t="shared" si="21"/>
        <v/>
      </c>
      <c r="AC196" s="195" t="str">
        <f t="shared" si="15"/>
        <v/>
      </c>
      <c r="AD196">
        <f t="shared" si="16"/>
        <v>69</v>
      </c>
      <c r="AE196" s="195" t="str">
        <f t="shared" si="22"/>
        <v/>
      </c>
      <c r="AF196" s="195" t="str">
        <f t="shared" si="23"/>
        <v/>
      </c>
      <c r="AG196" s="255" t="str">
        <f>IF(ISNUMBER(SEARCH("C", 'Dry_Litterbag Placem_Collection'!AB123)),"YES","NO")</f>
        <v>NO</v>
      </c>
      <c r="AH196" s="255" t="str">
        <f>IF(ISNUMBER(SEARCH("H", 'Dry_Litterbag Placem_Collection'!AB123)),"YES","NO")</f>
        <v>NO</v>
      </c>
      <c r="AI196" s="255" t="str">
        <f>IF(ISNUMBER(SEARCH("R", 'Dry_Litterbag Placem_Collection'!AB123)),"YES","NO")</f>
        <v>NO</v>
      </c>
      <c r="AJ196" s="255" t="str">
        <f>IF(ISNUMBER(SEARCH("C", 'Dry_Litterbag Placem_Collection'!AA123)),"YES","NO")</f>
        <v>NO</v>
      </c>
      <c r="AK196" s="255" t="str">
        <f>IF(ISNUMBER(SEARCH("H", 'Dry_Litterbag Placem_Collection'!AA123)),"YES","NO")</f>
        <v>NO</v>
      </c>
      <c r="AL196" s="255" t="str">
        <f>IF(ISNUMBER(SEARCH("R", 'Dry_Litterbag Placem_Collection'!AA123)),"YES","NO")</f>
        <v>NO</v>
      </c>
      <c r="AR196" t="s">
        <v>1770</v>
      </c>
      <c r="AT196" t="s">
        <v>317</v>
      </c>
    </row>
    <row r="197" spans="2:46">
      <c r="B197" t="str">
        <f>'Final data_for_R_analysis_Dryse'!A123</f>
        <v>Dry</v>
      </c>
      <c r="C197" s="263">
        <f>'Final data_for_R_analysis_Dryse'!B123</f>
        <v>122</v>
      </c>
      <c r="D197" t="s">
        <v>3845</v>
      </c>
      <c r="E197" t="s">
        <v>22</v>
      </c>
      <c r="F197" s="386">
        <v>2</v>
      </c>
      <c r="G197" s="16">
        <f>'Dry_Litterbag Placem_Collection'!E124</f>
        <v>42939</v>
      </c>
      <c r="H197" t="str">
        <f>'Final data_for_R_analysis_Dryse'!J123</f>
        <v>G231</v>
      </c>
      <c r="I197" t="str">
        <f>'Final data_for_R_analysis_Dryse'!J343</f>
        <v>R792</v>
      </c>
      <c r="J197">
        <f>IFERROR(INDEX('Green_rooibos initial weight'!$C$5:$C$1749,MATCH(H197, 'Green_rooibos initial weight'!$A$5:$A$1749,0)),"")</f>
        <v>2.085</v>
      </c>
      <c r="K197">
        <f>IFERROR(INDEX('Green_rooibos initial weight'!$C$5:$C$1749,MATCH(I197, 'Green_rooibos initial weight'!$A$5:$A$1749,0)),"")</f>
        <v>2.2389999999999999</v>
      </c>
      <c r="L197" s="195">
        <f t="shared" si="17"/>
        <v>1.8351999999999999</v>
      </c>
      <c r="M197" s="240">
        <f>AVERAGE(Ashed_controlls!$K$1:$K$11)</f>
        <v>5.5147656768714146</v>
      </c>
      <c r="N197" s="195">
        <f t="shared" si="12"/>
        <v>1.7339930202980558</v>
      </c>
      <c r="O197" s="195">
        <f t="shared" si="18"/>
        <v>1.9891999999999999</v>
      </c>
      <c r="P197" s="240">
        <f>AVERAGE(Ashed_controlls!$K$12:$K$14)</f>
        <v>2.2816647271287041</v>
      </c>
      <c r="Q197" s="195">
        <f t="shared" si="13"/>
        <v>1.9438131252479556</v>
      </c>
      <c r="R197" s="16">
        <f>IF('Dry_Litterbag Placem_Collection'!G124="N.A","",'Dry_Litterbag Placem_Collection'!G124)</f>
        <v>43008</v>
      </c>
      <c r="S197" s="195">
        <f>IF(IFERROR(INDEX('Both teabags AfterDry'!$D$1:$D$839,MATCH(H197,'Both teabags AfterDry'!$A$1:$A$839,0)),"")="N.A","",(IFERROR(INDEX('Both teabags AfterDry'!$D$1:$D$839,MATCH(H197,'Both teabags AfterDry'!$A$1:$A$839,0)),"")))</f>
        <v>1.8747</v>
      </c>
      <c r="T197" s="195">
        <f>IF(IFERROR(INDEX('Both teabags AfterDry'!$D$1:$D$839,MATCH(I197,'Both teabags AfterDry'!$A$1:$A$839,0)),"")="N.A","",(IFERROR(INDEX('Both teabags AfterDry'!$D$1:$D$839,MATCH(I197,'Both teabags AfterDry'!$A$1:$A$839,0)),"")))</f>
        <v>0</v>
      </c>
      <c r="U197" s="195">
        <f t="shared" si="19"/>
        <v>1.7241</v>
      </c>
      <c r="V197" s="195" t="str">
        <f t="shared" si="19"/>
        <v/>
      </c>
      <c r="W197" s="195">
        <f>IFERROR(INDEX('Ashed teabags dry'!$K$2:$K$821,MATCH(H197,'Ashed teabags dry'!$A$2:$A$821,0)),"")</f>
        <v>27.063339731285495</v>
      </c>
      <c r="X197" s="195">
        <f>IFERROR(INDEX('Ashed teabags dry'!$K$2:$K$821,MATCH(I197,'Ashed teabags dry'!$A$2:$A$821,0)),"")</f>
        <v>0</v>
      </c>
      <c r="Y197" s="195">
        <f t="shared" si="14"/>
        <v>1.2575009596929068</v>
      </c>
      <c r="Z197" s="195" t="str">
        <f t="shared" si="14"/>
        <v/>
      </c>
      <c r="AA197" s="195">
        <f t="shared" si="20"/>
        <v>0.27479468200122559</v>
      </c>
      <c r="AB197" s="195">
        <f t="shared" si="21"/>
        <v>0.18015043285591034</v>
      </c>
      <c r="AC197" s="195" t="str">
        <f t="shared" si="15"/>
        <v/>
      </c>
      <c r="AD197">
        <f t="shared" si="16"/>
        <v>69</v>
      </c>
      <c r="AE197" s="195">
        <f t="shared" si="22"/>
        <v>0.67364052018856824</v>
      </c>
      <c r="AF197" s="195" t="str">
        <f t="shared" si="23"/>
        <v/>
      </c>
      <c r="AG197" s="255" t="str">
        <f>IF(ISNUMBER(SEARCH("C", 'Dry_Litterbag Placem_Collection'!AB124)),"YES","NO")</f>
        <v>NO</v>
      </c>
      <c r="AH197" s="255" t="str">
        <f>IF(ISNUMBER(SEARCH("H", 'Dry_Litterbag Placem_Collection'!AB124)),"YES","NO")</f>
        <v>NO</v>
      </c>
      <c r="AI197" s="255" t="str">
        <f>IF(ISNUMBER(SEARCH("R", 'Dry_Litterbag Placem_Collection'!AB124)),"YES","NO")</f>
        <v>NO</v>
      </c>
      <c r="AJ197" s="255" t="str">
        <f>IF(ISNUMBER(SEARCH("C", 'Dry_Litterbag Placem_Collection'!AA124)),"YES","NO")</f>
        <v>NO</v>
      </c>
      <c r="AK197" s="255" t="str">
        <f>IF(ISNUMBER(SEARCH("H", 'Dry_Litterbag Placem_Collection'!AA124)),"YES","NO")</f>
        <v>NO</v>
      </c>
      <c r="AL197" s="255" t="str">
        <f>IF(ISNUMBER(SEARCH("R", 'Dry_Litterbag Placem_Collection'!AA124)),"YES","NO")</f>
        <v>NO</v>
      </c>
      <c r="AR197" t="s">
        <v>1819</v>
      </c>
      <c r="AT197" t="s">
        <v>347</v>
      </c>
    </row>
    <row r="198" spans="2:46">
      <c r="B198" t="str">
        <f>'Final data_for_R_analysis_Dryse'!A124</f>
        <v>Dry</v>
      </c>
      <c r="C198" s="263">
        <f>'Final data_for_R_analysis_Dryse'!B124</f>
        <v>123</v>
      </c>
      <c r="D198" t="s">
        <v>3845</v>
      </c>
      <c r="E198" t="s">
        <v>22</v>
      </c>
      <c r="F198" s="386">
        <v>3</v>
      </c>
      <c r="G198" s="16">
        <f>'Dry_Litterbag Placem_Collection'!E125</f>
        <v>42939</v>
      </c>
      <c r="H198" t="str">
        <f>'Final data_for_R_analysis_Dryse'!J124</f>
        <v>G292</v>
      </c>
      <c r="I198" t="str">
        <f>'Final data_for_R_analysis_Dryse'!J344</f>
        <v>R740</v>
      </c>
      <c r="J198">
        <f>IFERROR(INDEX('Green_rooibos initial weight'!$C$5:$C$1749,MATCH(H198, 'Green_rooibos initial weight'!$A$5:$A$1749,0)),"")</f>
        <v>2.0289999999999999</v>
      </c>
      <c r="K198">
        <f>IFERROR(INDEX('Green_rooibos initial weight'!$C$5:$C$1749,MATCH(I198, 'Green_rooibos initial weight'!$A$5:$A$1749,0)),"")</f>
        <v>2.161</v>
      </c>
      <c r="L198" s="195">
        <f t="shared" si="17"/>
        <v>1.7791999999999999</v>
      </c>
      <c r="M198" s="240">
        <f>AVERAGE(Ashed_controlls!$K$1:$K$11)</f>
        <v>5.5147656768714146</v>
      </c>
      <c r="N198" s="195">
        <f t="shared" si="12"/>
        <v>1.6810812890771036</v>
      </c>
      <c r="O198" s="195">
        <f t="shared" si="18"/>
        <v>1.9112</v>
      </c>
      <c r="P198" s="240">
        <f>AVERAGE(Ashed_controlls!$K$12:$K$14)</f>
        <v>2.2816647271287041</v>
      </c>
      <c r="Q198" s="195">
        <f t="shared" si="13"/>
        <v>1.8675928237351163</v>
      </c>
      <c r="R198" s="16">
        <f>IF('Dry_Litterbag Placem_Collection'!G125="N.A","",'Dry_Litterbag Placem_Collection'!G125)</f>
        <v>43008</v>
      </c>
      <c r="S198" s="195">
        <f>IF(IFERROR(INDEX('Both teabags AfterDry'!$D$1:$D$839,MATCH(H198,'Both teabags AfterDry'!$A$1:$A$839,0)),"")="N.A","",(IFERROR(INDEX('Both teabags AfterDry'!$D$1:$D$839,MATCH(H198,'Both teabags AfterDry'!$A$1:$A$839,0)),"")))</f>
        <v>0.88980000000000004</v>
      </c>
      <c r="T198" s="195">
        <f>IF(IFERROR(INDEX('Both teabags AfterDry'!$D$1:$D$839,MATCH(I198,'Both teabags AfterDry'!$A$1:$A$839,0)),"")="N.A","",(IFERROR(INDEX('Both teabags AfterDry'!$D$1:$D$839,MATCH(I198,'Both teabags AfterDry'!$A$1:$A$839,0)),"")))</f>
        <v>1.6575</v>
      </c>
      <c r="U198" s="195">
        <f t="shared" si="19"/>
        <v>0.73920000000000008</v>
      </c>
      <c r="V198" s="195">
        <f t="shared" si="19"/>
        <v>1.5068999999999999</v>
      </c>
      <c r="W198" s="195">
        <f>IFERROR(INDEX('Ashed teabags dry'!$K$2:$K$821,MATCH(H198,'Ashed teabags dry'!$A$2:$A$821,0)),"")</f>
        <v>18.857705563761883</v>
      </c>
      <c r="X198" s="195">
        <f>IFERROR(INDEX('Ashed teabags dry'!$K$2:$K$821,MATCH(I198,'Ashed teabags dry'!$A$2:$A$821,0)),"")</f>
        <v>10.523831996223592</v>
      </c>
      <c r="Y198" s="195">
        <f t="shared" si="14"/>
        <v>0.59980384047267221</v>
      </c>
      <c r="Z198" s="195">
        <f t="shared" si="14"/>
        <v>1.3483163756489067</v>
      </c>
      <c r="AA198" s="195">
        <f t="shared" si="20"/>
        <v>0.64320354740135244</v>
      </c>
      <c r="AB198" s="195">
        <f t="shared" si="21"/>
        <v>0.42167263440088665</v>
      </c>
      <c r="AC198" s="195">
        <f t="shared" si="15"/>
        <v>0.72195414252680845</v>
      </c>
      <c r="AD198">
        <f t="shared" si="16"/>
        <v>69</v>
      </c>
      <c r="AE198" s="195">
        <f t="shared" si="22"/>
        <v>0.23610029999839377</v>
      </c>
      <c r="AF198" s="195">
        <f t="shared" si="23"/>
        <v>1.5608857348347166E-2</v>
      </c>
      <c r="AG198" s="255" t="str">
        <f>IF(ISNUMBER(SEARCH("C", 'Dry_Litterbag Placem_Collection'!AB125)),"YES","NO")</f>
        <v>NO</v>
      </c>
      <c r="AH198" s="255" t="str">
        <f>IF(ISNUMBER(SEARCH("H", 'Dry_Litterbag Placem_Collection'!AB125)),"YES","NO")</f>
        <v>NO</v>
      </c>
      <c r="AI198" s="255" t="str">
        <f>IF(ISNUMBER(SEARCH("R", 'Dry_Litterbag Placem_Collection'!AB125)),"YES","NO")</f>
        <v>NO</v>
      </c>
      <c r="AJ198" s="255" t="str">
        <f>IF(ISNUMBER(SEARCH("C", 'Dry_Litterbag Placem_Collection'!AA125)),"YES","NO")</f>
        <v>NO</v>
      </c>
      <c r="AK198" s="255" t="str">
        <f>IF(ISNUMBER(SEARCH("H", 'Dry_Litterbag Placem_Collection'!AA125)),"YES","NO")</f>
        <v>NO</v>
      </c>
      <c r="AL198" s="255" t="str">
        <f>IF(ISNUMBER(SEARCH("R", 'Dry_Litterbag Placem_Collection'!AA125)),"YES","NO")</f>
        <v>NO</v>
      </c>
      <c r="AR198" t="s">
        <v>1758</v>
      </c>
      <c r="AT198" t="s">
        <v>399</v>
      </c>
    </row>
    <row r="199" spans="2:46">
      <c r="B199" t="str">
        <f>'Final data_for_R_analysis_Dryse'!A125</f>
        <v>Dry</v>
      </c>
      <c r="C199" s="263">
        <f>'Final data_for_R_analysis_Dryse'!B125</f>
        <v>124</v>
      </c>
      <c r="D199" t="s">
        <v>3845</v>
      </c>
      <c r="E199" t="s">
        <v>22</v>
      </c>
      <c r="F199" s="387">
        <v>4</v>
      </c>
      <c r="G199" s="16">
        <f>'Dry_Litterbag Placem_Collection'!E126</f>
        <v>42939</v>
      </c>
      <c r="H199" t="str">
        <f>'Final data_for_R_analysis_Dryse'!J125</f>
        <v>G116</v>
      </c>
      <c r="I199" t="str">
        <f>'Final data_for_R_analysis_Dryse'!J345</f>
        <v>R797</v>
      </c>
      <c r="J199">
        <f>IFERROR(INDEX('Green_rooibos initial weight'!$C$5:$C$1749,MATCH(H199, 'Green_rooibos initial weight'!$A$5:$A$1749,0)),"")</f>
        <v>1.925</v>
      </c>
      <c r="K199">
        <f>IFERROR(INDEX('Green_rooibos initial weight'!$C$5:$C$1749,MATCH(I199, 'Green_rooibos initial weight'!$A$5:$A$1749,0)),"")</f>
        <v>2.2130000000000001</v>
      </c>
      <c r="L199" s="195">
        <f t="shared" si="17"/>
        <v>1.6752</v>
      </c>
      <c r="M199" s="240">
        <f>AVERAGE(Ashed_controlls!$K$1:$K$11)</f>
        <v>5.5147656768714146</v>
      </c>
      <c r="N199" s="195">
        <f t="shared" si="12"/>
        <v>1.5828166453810502</v>
      </c>
      <c r="O199" s="195">
        <f t="shared" si="18"/>
        <v>1.9632000000000001</v>
      </c>
      <c r="P199" s="240">
        <f>AVERAGE(Ashed_controlls!$K$12:$K$14)</f>
        <v>2.2816647271287041</v>
      </c>
      <c r="Q199" s="195">
        <f t="shared" si="13"/>
        <v>1.9184063580770094</v>
      </c>
      <c r="R199" s="16">
        <f>IF('Dry_Litterbag Placem_Collection'!G126="N.A","",'Dry_Litterbag Placem_Collection'!G126)</f>
        <v>43008</v>
      </c>
      <c r="S199" s="195">
        <f>IF(IFERROR(INDEX('Both teabags AfterDry'!$D$1:$D$839,MATCH(H199,'Both teabags AfterDry'!$A$1:$A$839,0)),"")="N.A","",(IFERROR(INDEX('Both teabags AfterDry'!$D$1:$D$839,MATCH(H199,'Both teabags AfterDry'!$A$1:$A$839,0)),"")))</f>
        <v>0.63749999999999996</v>
      </c>
      <c r="T199" s="195">
        <f>IF(IFERROR(INDEX('Both teabags AfterDry'!$D$1:$D$839,MATCH(I199,'Both teabags AfterDry'!$A$1:$A$839,0)),"")="N.A","",(IFERROR(INDEX('Both teabags AfterDry'!$D$1:$D$839,MATCH(I199,'Both teabags AfterDry'!$A$1:$A$839,0)),"")))</f>
        <v>1.5708</v>
      </c>
      <c r="U199" s="195">
        <f t="shared" si="19"/>
        <v>0.48689999999999994</v>
      </c>
      <c r="V199" s="195">
        <f t="shared" si="19"/>
        <v>1.4201999999999999</v>
      </c>
      <c r="W199" s="195">
        <f>IFERROR(INDEX('Ashed teabags dry'!$K$2:$K$821,MATCH(H199,'Ashed teabags dry'!$A$2:$A$821,0)),"")</f>
        <v>17.988929889299115</v>
      </c>
      <c r="X199" s="195">
        <f>IFERROR(INDEX('Ashed teabags dry'!$K$2:$K$821,MATCH(I199,'Ashed teabags dry'!$A$2:$A$821,0)),"")</f>
        <v>3.4211742949603519</v>
      </c>
      <c r="Y199" s="195">
        <f t="shared" si="14"/>
        <v>0.39931190036900255</v>
      </c>
      <c r="Z199" s="195">
        <f t="shared" si="14"/>
        <v>1.371612482662973</v>
      </c>
      <c r="AA199" s="195">
        <f t="shared" si="20"/>
        <v>0.74772068417762216</v>
      </c>
      <c r="AB199" s="195">
        <f t="shared" si="21"/>
        <v>0.49019218250124402</v>
      </c>
      <c r="AC199" s="195">
        <f t="shared" si="15"/>
        <v>0.71497494620371416</v>
      </c>
      <c r="AD199">
        <f t="shared" si="16"/>
        <v>69</v>
      </c>
      <c r="AE199" s="195">
        <f t="shared" si="22"/>
        <v>0.111970683874558</v>
      </c>
      <c r="AF199" s="195">
        <f t="shared" si="23"/>
        <v>1.2622791513459209E-2</v>
      </c>
      <c r="AG199" s="255" t="str">
        <f>IF(ISNUMBER(SEARCH("C", 'Dry_Litterbag Placem_Collection'!AB126)),"YES","NO")</f>
        <v>NO</v>
      </c>
      <c r="AH199" s="255" t="str">
        <f>IF(ISNUMBER(SEARCH("H", 'Dry_Litterbag Placem_Collection'!AB126)),"YES","NO")</f>
        <v>NO</v>
      </c>
      <c r="AI199" s="255" t="str">
        <f>IF(ISNUMBER(SEARCH("R", 'Dry_Litterbag Placem_Collection'!AB126)),"YES","NO")</f>
        <v>NO</v>
      </c>
      <c r="AJ199" s="255" t="str">
        <f>IF(ISNUMBER(SEARCH("C", 'Dry_Litterbag Placem_Collection'!AA126)),"YES","NO")</f>
        <v>NO</v>
      </c>
      <c r="AK199" s="255" t="str">
        <f>IF(ISNUMBER(SEARCH("H", 'Dry_Litterbag Placem_Collection'!AA126)),"YES","NO")</f>
        <v>NO</v>
      </c>
      <c r="AL199" s="255" t="str">
        <f>IF(ISNUMBER(SEARCH("R", 'Dry_Litterbag Placem_Collection'!AA126)),"YES","NO")</f>
        <v>NO</v>
      </c>
      <c r="AR199" t="s">
        <v>1934</v>
      </c>
      <c r="AT199" t="s">
        <v>342</v>
      </c>
    </row>
    <row r="200" spans="2:46">
      <c r="B200" t="str">
        <f>'Final data_for_R_analysis_Dryse'!A126</f>
        <v>Dry</v>
      </c>
      <c r="C200" s="263">
        <f>'Final data_for_R_analysis_Dryse'!B126</f>
        <v>125</v>
      </c>
      <c r="D200" t="s">
        <v>3845</v>
      </c>
      <c r="E200" t="s">
        <v>22</v>
      </c>
      <c r="F200" s="387">
        <v>5</v>
      </c>
      <c r="G200" s="16">
        <f>'Dry_Litterbag Placem_Collection'!E127</f>
        <v>42939</v>
      </c>
      <c r="H200" t="str">
        <f>'Final data_for_R_analysis_Dryse'!J126</f>
        <v>G50</v>
      </c>
      <c r="I200" t="str">
        <f>'Final data_for_R_analysis_Dryse'!J346</f>
        <v>R795</v>
      </c>
      <c r="J200">
        <f>IFERROR(INDEX('Green_rooibos initial weight'!$C$5:$C$1749,MATCH(H200, 'Green_rooibos initial weight'!$A$5:$A$1749,0)),"")</f>
        <v>1.954</v>
      </c>
      <c r="K200">
        <f>IFERROR(INDEX('Green_rooibos initial weight'!$C$5:$C$1749,MATCH(I200, 'Green_rooibos initial weight'!$A$5:$A$1749,0)),"")</f>
        <v>2.2170000000000001</v>
      </c>
      <c r="L200" s="195">
        <f t="shared" si="17"/>
        <v>1.7041999999999999</v>
      </c>
      <c r="M200" s="240">
        <f>AVERAGE(Ashed_controlls!$K$1:$K$11)</f>
        <v>5.5147656768714146</v>
      </c>
      <c r="N200" s="195">
        <f t="shared" si="12"/>
        <v>1.6102173633347574</v>
      </c>
      <c r="O200" s="195">
        <f t="shared" si="18"/>
        <v>1.9672000000000001</v>
      </c>
      <c r="P200" s="240">
        <f>AVERAGE(Ashed_controlls!$K$12:$K$14)</f>
        <v>2.2816647271287041</v>
      </c>
      <c r="Q200" s="195">
        <f t="shared" si="13"/>
        <v>1.9223150914879241</v>
      </c>
      <c r="R200" s="16">
        <f>IF('Dry_Litterbag Placem_Collection'!G127="N.A","",'Dry_Litterbag Placem_Collection'!G127)</f>
        <v>43008</v>
      </c>
      <c r="S200" s="195">
        <f>IF(IFERROR(INDEX('Both teabags AfterDry'!$D$1:$D$839,MATCH(H200,'Both teabags AfterDry'!$A$1:$A$839,0)),"")="N.A","",(IFERROR(INDEX('Both teabags AfterDry'!$D$1:$D$839,MATCH(H200,'Both teabags AfterDry'!$A$1:$A$839,0)),"")))</f>
        <v>0.8911</v>
      </c>
      <c r="T200" s="195">
        <f>IF(IFERROR(INDEX('Both teabags AfterDry'!$D$1:$D$839,MATCH(I200,'Both teabags AfterDry'!$A$1:$A$839,0)),"")="N.A","",(IFERROR(INDEX('Both teabags AfterDry'!$D$1:$D$839,MATCH(I200,'Both teabags AfterDry'!$A$1:$A$839,0)),"")))</f>
        <v>0.83220000000000005</v>
      </c>
      <c r="U200" s="195">
        <f t="shared" si="19"/>
        <v>0.74049999999999994</v>
      </c>
      <c r="V200" s="195">
        <f t="shared" si="19"/>
        <v>0.68159999999999998</v>
      </c>
      <c r="W200" s="195">
        <f>IFERROR(INDEX('Ashed teabags dry'!$K$2:$K$821,MATCH(H200,'Ashed teabags dry'!$A$2:$A$821,0)),"")</f>
        <v>30.974309258361465</v>
      </c>
      <c r="X200" s="195">
        <f>IFERROR(INDEX('Ashed teabags dry'!$K$2:$K$821,MATCH(I200,'Ashed teabags dry'!$A$2:$A$821,0)),"")</f>
        <v>91.950000000000998</v>
      </c>
      <c r="Y200" s="195">
        <f t="shared" si="14"/>
        <v>0.5111352399418333</v>
      </c>
      <c r="Z200" s="195">
        <f t="shared" si="14"/>
        <v>5.4868799999993167E-2</v>
      </c>
      <c r="AA200" s="195">
        <f t="shared" si="20"/>
        <v>0.68256755169794392</v>
      </c>
      <c r="AB200" s="195">
        <f t="shared" si="21"/>
        <v>0.44747896500862833</v>
      </c>
      <c r="AC200" s="195">
        <f t="shared" si="15"/>
        <v>2.8543083411743508E-2</v>
      </c>
      <c r="AD200">
        <f t="shared" si="16"/>
        <v>69</v>
      </c>
      <c r="AE200" s="195">
        <f t="shared" si="22"/>
        <v>0.18934970107132554</v>
      </c>
      <c r="AF200" s="195" t="str">
        <f t="shared" si="23"/>
        <v/>
      </c>
      <c r="AG200" s="255" t="str">
        <f>IF(ISNUMBER(SEARCH("C", 'Dry_Litterbag Placem_Collection'!AB127)),"YES","NO")</f>
        <v>NO</v>
      </c>
      <c r="AH200" s="255" t="str">
        <f>IF(ISNUMBER(SEARCH("H", 'Dry_Litterbag Placem_Collection'!AB127)),"YES","NO")</f>
        <v>NO</v>
      </c>
      <c r="AI200" s="255" t="str">
        <f>IF(ISNUMBER(SEARCH("R", 'Dry_Litterbag Placem_Collection'!AB127)),"YES","NO")</f>
        <v>NO</v>
      </c>
      <c r="AJ200" s="255" t="str">
        <f>IF(ISNUMBER(SEARCH("C", 'Dry_Litterbag Placem_Collection'!AA127)),"YES","NO")</f>
        <v>NO</v>
      </c>
      <c r="AK200" s="255" t="str">
        <f>IF(ISNUMBER(SEARCH("H", 'Dry_Litterbag Placem_Collection'!AA127)),"YES","NO")</f>
        <v>NO</v>
      </c>
      <c r="AL200" s="255" t="str">
        <f>IF(ISNUMBER(SEARCH("R", 'Dry_Litterbag Placem_Collection'!AA127)),"YES","NO")</f>
        <v>NO</v>
      </c>
      <c r="AR200" t="s">
        <v>2000</v>
      </c>
      <c r="AT200" t="s">
        <v>344</v>
      </c>
    </row>
    <row r="201" spans="2:46">
      <c r="B201" t="str">
        <f>'Final data_for_R_analysis_Dryse'!A127</f>
        <v>Dry</v>
      </c>
      <c r="C201" s="263">
        <f>'Final data_for_R_analysis_Dryse'!B127</f>
        <v>126</v>
      </c>
      <c r="D201" t="s">
        <v>3845</v>
      </c>
      <c r="E201" t="s">
        <v>22</v>
      </c>
      <c r="F201" s="387">
        <v>6</v>
      </c>
      <c r="G201" s="16">
        <f>'Dry_Litterbag Placem_Collection'!E128</f>
        <v>0</v>
      </c>
      <c r="H201" t="str">
        <f>'Final data_for_R_analysis_Dryse'!J127</f>
        <v/>
      </c>
      <c r="I201" t="str">
        <f>'Final data_for_R_analysis_Dryse'!J347</f>
        <v/>
      </c>
      <c r="J201" t="str">
        <f>IFERROR(INDEX('Green_rooibos initial weight'!$C$5:$C$1749,MATCH(H201, 'Green_rooibos initial weight'!$A$5:$A$1749,0)),"")</f>
        <v/>
      </c>
      <c r="K201" t="str">
        <f>IFERROR(INDEX('Green_rooibos initial weight'!$C$5:$C$1749,MATCH(I201, 'Green_rooibos initial weight'!$A$5:$A$1749,0)),"")</f>
        <v/>
      </c>
      <c r="L201" s="195" t="str">
        <f t="shared" si="17"/>
        <v/>
      </c>
      <c r="M201" s="240">
        <f>AVERAGE(Ashed_controlls!$K$1:$K$11)</f>
        <v>5.5147656768714146</v>
      </c>
      <c r="N201" s="195" t="str">
        <f t="shared" si="12"/>
        <v/>
      </c>
      <c r="O201" s="195" t="str">
        <f t="shared" si="18"/>
        <v/>
      </c>
      <c r="P201" s="240">
        <f>AVERAGE(Ashed_controlls!$K$12:$K$14)</f>
        <v>2.2816647271287041</v>
      </c>
      <c r="Q201" s="195" t="str">
        <f t="shared" si="13"/>
        <v/>
      </c>
      <c r="R201" s="16">
        <f>IF('Dry_Litterbag Placem_Collection'!G128="N.A","",'Dry_Litterbag Placem_Collection'!G128)</f>
        <v>0</v>
      </c>
      <c r="S201" s="195" t="str">
        <f>IF(IFERROR(INDEX('Both teabags AfterDry'!$D$1:$D$839,MATCH(H201,'Both teabags AfterDry'!$A$1:$A$839,0)),"")="N.A","",(IFERROR(INDEX('Both teabags AfterDry'!$D$1:$D$839,MATCH(H201,'Both teabags AfterDry'!$A$1:$A$839,0)),"")))</f>
        <v/>
      </c>
      <c r="T201" s="195" t="str">
        <f>IF(IFERROR(INDEX('Both teabags AfterDry'!$D$1:$D$839,MATCH(I201,'Both teabags AfterDry'!$A$1:$A$839,0)),"")="N.A","",(IFERROR(INDEX('Both teabags AfterDry'!$D$1:$D$839,MATCH(I201,'Both teabags AfterDry'!$A$1:$A$839,0)),"")))</f>
        <v/>
      </c>
      <c r="U201" s="195" t="str">
        <f t="shared" si="19"/>
        <v/>
      </c>
      <c r="V201" s="195" t="str">
        <f t="shared" si="19"/>
        <v/>
      </c>
      <c r="W201" s="195" t="str">
        <f>IFERROR(INDEX('Ashed teabags dry'!$K$2:$K$821,MATCH(H201,'Ashed teabags dry'!$A$2:$A$821,0)),"")</f>
        <v/>
      </c>
      <c r="X201" s="195" t="str">
        <f>IFERROR(INDEX('Ashed teabags dry'!$K$2:$K$821,MATCH(I201,'Ashed teabags dry'!$A$2:$A$821,0)),"")</f>
        <v/>
      </c>
      <c r="Y201" s="195" t="str">
        <f t="shared" si="14"/>
        <v/>
      </c>
      <c r="Z201" s="195" t="str">
        <f t="shared" si="14"/>
        <v/>
      </c>
      <c r="AA201" s="195" t="str">
        <f t="shared" si="20"/>
        <v/>
      </c>
      <c r="AB201" s="195" t="str">
        <f t="shared" si="21"/>
        <v/>
      </c>
      <c r="AC201" s="195" t="str">
        <f t="shared" si="15"/>
        <v/>
      </c>
      <c r="AD201" t="str">
        <f t="shared" si="16"/>
        <v/>
      </c>
      <c r="AE201" s="195" t="str">
        <f t="shared" si="22"/>
        <v/>
      </c>
      <c r="AF201" s="195" t="str">
        <f t="shared" si="23"/>
        <v/>
      </c>
      <c r="AG201" s="255" t="str">
        <f>IF(ISNUMBER(SEARCH("C", 'Dry_Litterbag Placem_Collection'!AB128)),"YES","NO")</f>
        <v>NO</v>
      </c>
      <c r="AH201" s="255" t="str">
        <f>IF(ISNUMBER(SEARCH("H", 'Dry_Litterbag Placem_Collection'!AB128)),"YES","NO")</f>
        <v>NO</v>
      </c>
      <c r="AI201" s="255" t="str">
        <f>IF(ISNUMBER(SEARCH("R", 'Dry_Litterbag Placem_Collection'!AB128)),"YES","NO")</f>
        <v>NO</v>
      </c>
      <c r="AJ201" s="255" t="str">
        <f>IF(ISNUMBER(SEARCH("C", 'Dry_Litterbag Placem_Collection'!AA128)),"YES","NO")</f>
        <v>NO</v>
      </c>
      <c r="AK201" s="255" t="str">
        <f>IF(ISNUMBER(SEARCH("H", 'Dry_Litterbag Placem_Collection'!AA128)),"YES","NO")</f>
        <v>NO</v>
      </c>
      <c r="AL201" s="255" t="str">
        <f>IF(ISNUMBER(SEARCH("R", 'Dry_Litterbag Placem_Collection'!AA128)),"YES","NO")</f>
        <v>NO</v>
      </c>
      <c r="AR201" t="s">
        <v>3654</v>
      </c>
      <c r="AT201" t="s">
        <v>3654</v>
      </c>
    </row>
    <row r="202" spans="2:46">
      <c r="B202" t="str">
        <f>'Final data_for_R_analysis_Dryse'!A128</f>
        <v>Dry</v>
      </c>
      <c r="C202" s="263">
        <f>'Final data_for_R_analysis_Dryse'!B128</f>
        <v>127</v>
      </c>
      <c r="D202" t="s">
        <v>3845</v>
      </c>
      <c r="E202" t="s">
        <v>22</v>
      </c>
      <c r="F202" s="387">
        <v>7</v>
      </c>
      <c r="G202" s="16">
        <f>'Dry_Litterbag Placem_Collection'!E129</f>
        <v>42939</v>
      </c>
      <c r="H202" t="str">
        <f>'Final data_for_R_analysis_Dryse'!J128</f>
        <v>G318</v>
      </c>
      <c r="I202" t="str">
        <f>'Final data_for_R_analysis_Dryse'!J348</f>
        <v>R751</v>
      </c>
      <c r="J202">
        <f>IFERROR(INDEX('Green_rooibos initial weight'!$C$5:$C$1749,MATCH(H202, 'Green_rooibos initial weight'!$A$5:$A$1749,0)),"")</f>
        <v>1.929</v>
      </c>
      <c r="K202">
        <f>IFERROR(INDEX('Green_rooibos initial weight'!$C$5:$C$1749,MATCH(I202, 'Green_rooibos initial weight'!$A$5:$A$1749,0)),"")</f>
        <v>2.262</v>
      </c>
      <c r="L202" s="195">
        <f t="shared" si="17"/>
        <v>1.6792</v>
      </c>
      <c r="M202" s="240">
        <f>AVERAGE(Ashed_controlls!$K$1:$K$11)</f>
        <v>5.5147656768714146</v>
      </c>
      <c r="N202" s="195">
        <f t="shared" si="12"/>
        <v>1.5865960547539752</v>
      </c>
      <c r="O202" s="195">
        <f t="shared" si="18"/>
        <v>2.0122</v>
      </c>
      <c r="P202" s="240">
        <f>AVERAGE(Ashed_controlls!$K$12:$K$14)</f>
        <v>2.2816647271287041</v>
      </c>
      <c r="Q202" s="195">
        <f t="shared" si="13"/>
        <v>1.9662883423607163</v>
      </c>
      <c r="R202" s="16">
        <f>IF('Dry_Litterbag Placem_Collection'!G129="N.A","",'Dry_Litterbag Placem_Collection'!G129)</f>
        <v>43008</v>
      </c>
      <c r="S202" s="195">
        <f>IF(IFERROR(INDEX('Both teabags AfterDry'!$D$1:$D$839,MATCH(H202,'Both teabags AfterDry'!$A$1:$A$839,0)),"")="N.A","",(IFERROR(INDEX('Both teabags AfterDry'!$D$1:$D$839,MATCH(H202,'Both teabags AfterDry'!$A$1:$A$839,0)),"")))</f>
        <v>0.70609999999999995</v>
      </c>
      <c r="T202" s="195">
        <f>IF(IFERROR(INDEX('Both teabags AfterDry'!$D$1:$D$839,MATCH(I202,'Both teabags AfterDry'!$A$1:$A$839,0)),"")="N.A","",(IFERROR(INDEX('Both teabags AfterDry'!$D$1:$D$839,MATCH(I202,'Both teabags AfterDry'!$A$1:$A$839,0)),"")))</f>
        <v>1.6394</v>
      </c>
      <c r="U202" s="195">
        <f t="shared" si="19"/>
        <v>0.55549999999999988</v>
      </c>
      <c r="V202" s="195">
        <f t="shared" si="19"/>
        <v>1.4887999999999999</v>
      </c>
      <c r="W202" s="195">
        <f>IFERROR(INDEX('Ashed teabags dry'!$K$2:$K$821,MATCH(H202,'Ashed teabags dry'!$A$2:$A$821,0)),"")</f>
        <v>13.937442502299483</v>
      </c>
      <c r="X202" s="195">
        <f>IFERROR(INDEX('Ashed teabags dry'!$K$2:$K$821,MATCH(I202,'Ashed teabags dry'!$A$2:$A$821,0)),"")</f>
        <v>4.0196078431371527</v>
      </c>
      <c r="Y202" s="195">
        <f t="shared" si="14"/>
        <v>0.47807750689972628</v>
      </c>
      <c r="Z202" s="195">
        <f t="shared" si="14"/>
        <v>1.428956078431374</v>
      </c>
      <c r="AA202" s="195">
        <f t="shared" si="20"/>
        <v>0.69867723705271723</v>
      </c>
      <c r="AB202" s="195">
        <f t="shared" si="21"/>
        <v>0.45804018391104506</v>
      </c>
      <c r="AC202" s="195">
        <f t="shared" si="15"/>
        <v>0.72672763584397604</v>
      </c>
      <c r="AD202">
        <f t="shared" si="16"/>
        <v>69</v>
      </c>
      <c r="AE202" s="195">
        <f t="shared" si="22"/>
        <v>0.17021705813216481</v>
      </c>
      <c r="AF202" s="195">
        <f t="shared" si="23"/>
        <v>1.315734651511646E-2</v>
      </c>
      <c r="AG202" s="255" t="str">
        <f>IF(ISNUMBER(SEARCH("C", 'Dry_Litterbag Placem_Collection'!AB129)),"YES","NO")</f>
        <v>NO</v>
      </c>
      <c r="AH202" s="255" t="str">
        <f>IF(ISNUMBER(SEARCH("H", 'Dry_Litterbag Placem_Collection'!AB129)),"YES","NO")</f>
        <v>NO</v>
      </c>
      <c r="AI202" s="255" t="str">
        <f>IF(ISNUMBER(SEARCH("R", 'Dry_Litterbag Placem_Collection'!AB129)),"YES","NO")</f>
        <v>NO</v>
      </c>
      <c r="AJ202" s="255" t="str">
        <f>IF(ISNUMBER(SEARCH("C", 'Dry_Litterbag Placem_Collection'!AA129)),"YES","NO")</f>
        <v>NO</v>
      </c>
      <c r="AK202" s="255" t="str">
        <f>IF(ISNUMBER(SEARCH("H", 'Dry_Litterbag Placem_Collection'!AA129)),"YES","NO")</f>
        <v>NO</v>
      </c>
      <c r="AL202" s="255" t="str">
        <f>IF(ISNUMBER(SEARCH("R", 'Dry_Litterbag Placem_Collection'!AA129)),"YES","NO")</f>
        <v>NO</v>
      </c>
      <c r="AR202" t="s">
        <v>1732</v>
      </c>
      <c r="AT202" t="s">
        <v>388</v>
      </c>
    </row>
    <row r="203" spans="2:46">
      <c r="B203" t="str">
        <f>'Final data_for_R_analysis_Dryse'!A129</f>
        <v>Dry</v>
      </c>
      <c r="C203" s="263">
        <f>'Final data_for_R_analysis_Dryse'!B129</f>
        <v>128</v>
      </c>
      <c r="D203" t="s">
        <v>3845</v>
      </c>
      <c r="E203" t="s">
        <v>22</v>
      </c>
      <c r="F203" s="387">
        <v>8</v>
      </c>
      <c r="G203" s="16">
        <f>'Dry_Litterbag Placem_Collection'!E130</f>
        <v>42939</v>
      </c>
      <c r="H203" t="str">
        <f>'Final data_for_R_analysis_Dryse'!J129</f>
        <v>G34</v>
      </c>
      <c r="I203" t="str">
        <f>'Final data_for_R_analysis_Dryse'!J349</f>
        <v>R819</v>
      </c>
      <c r="J203">
        <f>IFERROR(INDEX('Green_rooibos initial weight'!$C$5:$C$1749,MATCH(H203, 'Green_rooibos initial weight'!$A$5:$A$1749,0)),"")</f>
        <v>2.133</v>
      </c>
      <c r="K203">
        <f>IFERROR(INDEX('Green_rooibos initial weight'!$C$5:$C$1749,MATCH(I203, 'Green_rooibos initial weight'!$A$5:$A$1749,0)),"")</f>
        <v>2.16</v>
      </c>
      <c r="L203" s="195">
        <f t="shared" si="17"/>
        <v>1.8832</v>
      </c>
      <c r="M203" s="240">
        <f>AVERAGE(Ashed_controlls!$K$1:$K$11)</f>
        <v>5.5147656768714146</v>
      </c>
      <c r="N203" s="195">
        <f t="shared" si="12"/>
        <v>1.7793459327731576</v>
      </c>
      <c r="O203" s="195">
        <f t="shared" si="18"/>
        <v>1.9102000000000001</v>
      </c>
      <c r="P203" s="240">
        <f>AVERAGE(Ashed_controlls!$K$12:$K$14)</f>
        <v>2.2816647271287041</v>
      </c>
      <c r="Q203" s="195">
        <f t="shared" si="13"/>
        <v>1.8666156403823877</v>
      </c>
      <c r="R203" s="16">
        <f>IF('Dry_Litterbag Placem_Collection'!G130="N.A","",'Dry_Litterbag Placem_Collection'!G130)</f>
        <v>43008</v>
      </c>
      <c r="S203" s="195">
        <f>IF(IFERROR(INDEX('Both teabags AfterDry'!$D$1:$D$839,MATCH(H203,'Both teabags AfterDry'!$A$1:$A$839,0)),"")="N.A","",(IFERROR(INDEX('Both teabags AfterDry'!$D$1:$D$839,MATCH(H203,'Both teabags AfterDry'!$A$1:$A$839,0)),"")))</f>
        <v>0.92579999999999996</v>
      </c>
      <c r="T203" s="195">
        <f>IF(IFERROR(INDEX('Both teabags AfterDry'!$D$1:$D$839,MATCH(I203,'Both teabags AfterDry'!$A$1:$A$839,0)),"")="N.A","",(IFERROR(INDEX('Both teabags AfterDry'!$D$1:$D$839,MATCH(I203,'Both teabags AfterDry'!$A$1:$A$839,0)),"")))</f>
        <v>2.8028</v>
      </c>
      <c r="U203" s="195">
        <f t="shared" si="19"/>
        <v>0.77519999999999989</v>
      </c>
      <c r="V203" s="195">
        <f t="shared" si="19"/>
        <v>2.6522000000000001</v>
      </c>
      <c r="W203" s="195">
        <f>IFERROR(INDEX('Ashed teabags dry'!$K$2:$K$821,MATCH(H203,'Ashed teabags dry'!$A$2:$A$821,0)),"")</f>
        <v>26.714158504006296</v>
      </c>
      <c r="X203" s="195">
        <f>IFERROR(INDEX('Ashed teabags dry'!$K$2:$K$821,MATCH(I203,'Ashed teabags dry'!$A$2:$A$821,0)),"")</f>
        <v>86.93858845096193</v>
      </c>
      <c r="Y203" s="195">
        <f t="shared" si="14"/>
        <v>0.56811184327694308</v>
      </c>
      <c r="Z203" s="195">
        <f t="shared" si="14"/>
        <v>0.3464147571035876</v>
      </c>
      <c r="AA203" s="195">
        <f t="shared" si="20"/>
        <v>0.68071872208035122</v>
      </c>
      <c r="AB203" s="195">
        <f t="shared" si="21"/>
        <v>0.44626690568688115</v>
      </c>
      <c r="AC203" s="195">
        <f t="shared" si="15"/>
        <v>0.18558440720695044</v>
      </c>
      <c r="AD203">
        <f t="shared" si="16"/>
        <v>69</v>
      </c>
      <c r="AE203" s="195">
        <f t="shared" si="22"/>
        <v>0.19154546071217193</v>
      </c>
      <c r="AF203" s="195" t="str">
        <f t="shared" si="23"/>
        <v/>
      </c>
      <c r="AG203" s="255" t="str">
        <f>IF(ISNUMBER(SEARCH("C", 'Dry_Litterbag Placem_Collection'!AB130)),"YES","NO")</f>
        <v>NO</v>
      </c>
      <c r="AH203" s="255" t="str">
        <f>IF(ISNUMBER(SEARCH("H", 'Dry_Litterbag Placem_Collection'!AB130)),"YES","NO")</f>
        <v>NO</v>
      </c>
      <c r="AI203" s="255" t="str">
        <f>IF(ISNUMBER(SEARCH("R", 'Dry_Litterbag Placem_Collection'!AB130)),"YES","NO")</f>
        <v>NO</v>
      </c>
      <c r="AJ203" s="255" t="str">
        <f>IF(ISNUMBER(SEARCH("C", 'Dry_Litterbag Placem_Collection'!AA130)),"YES","NO")</f>
        <v>NO</v>
      </c>
      <c r="AK203" s="255" t="str">
        <f>IF(ISNUMBER(SEARCH("H", 'Dry_Litterbag Placem_Collection'!AA130)),"YES","NO")</f>
        <v>NO</v>
      </c>
      <c r="AL203" s="255" t="str">
        <f>IF(ISNUMBER(SEARCH("R", 'Dry_Litterbag Placem_Collection'!AA130)),"YES","NO")</f>
        <v>NO</v>
      </c>
      <c r="AR203" t="s">
        <v>2016</v>
      </c>
      <c r="AT203" t="s">
        <v>320</v>
      </c>
    </row>
    <row r="204" spans="2:46">
      <c r="B204" t="str">
        <f>'Final data_for_R_analysis_Dryse'!A130</f>
        <v>Dry</v>
      </c>
      <c r="C204" s="263">
        <f>'Final data_for_R_analysis_Dryse'!B130</f>
        <v>129</v>
      </c>
      <c r="D204" t="s">
        <v>3846</v>
      </c>
      <c r="E204" t="s">
        <v>22</v>
      </c>
      <c r="F204" s="386">
        <v>1</v>
      </c>
      <c r="G204" s="16">
        <f>'Dry_Litterbag Placem_Collection'!E131</f>
        <v>42939</v>
      </c>
      <c r="H204" t="str">
        <f>'Final data_for_R_analysis_Dryse'!J130</f>
        <v>G80</v>
      </c>
      <c r="I204" t="str">
        <f>'Final data_for_R_analysis_Dryse'!J350</f>
        <v>R768</v>
      </c>
      <c r="J204">
        <f>IFERROR(INDEX('Green_rooibos initial weight'!$C$5:$C$1749,MATCH(H204, 'Green_rooibos initial weight'!$A$5:$A$1749,0)),"")</f>
        <v>2.0259999999999998</v>
      </c>
      <c r="K204">
        <f>IFERROR(INDEX('Green_rooibos initial weight'!$C$5:$C$1749,MATCH(I204, 'Green_rooibos initial weight'!$A$5:$A$1749,0)),"")</f>
        <v>2.2120000000000002</v>
      </c>
      <c r="L204" s="195">
        <f t="shared" si="17"/>
        <v>1.7761999999999998</v>
      </c>
      <c r="M204" s="240">
        <f>AVERAGE(Ashed_controlls!$K$1:$K$11)</f>
        <v>5.5147656768714146</v>
      </c>
      <c r="N204" s="195">
        <f t="shared" ref="N204:N267" si="24">IFERROR(L204-(M204/100)*L204,"")</f>
        <v>1.6782467320474097</v>
      </c>
      <c r="O204" s="195">
        <f t="shared" si="18"/>
        <v>1.9622000000000002</v>
      </c>
      <c r="P204" s="240">
        <f>AVERAGE(Ashed_controlls!$K$12:$K$14)</f>
        <v>2.2816647271287041</v>
      </c>
      <c r="Q204" s="195">
        <f t="shared" ref="Q204:Q267" si="25">IFERROR(O204-(P204/100)*O204,"")</f>
        <v>1.9174291747242806</v>
      </c>
      <c r="R204" s="16">
        <f>IF('Dry_Litterbag Placem_Collection'!G131="N.A","",'Dry_Litterbag Placem_Collection'!G131)</f>
        <v>43008</v>
      </c>
      <c r="S204" s="195">
        <f>IF(IFERROR(INDEX('Both teabags AfterDry'!$D$1:$D$839,MATCH(H204,'Both teabags AfterDry'!$A$1:$A$839,0)),"")="N.A","",(IFERROR(INDEX('Both teabags AfterDry'!$D$1:$D$839,MATCH(H204,'Both teabags AfterDry'!$A$1:$A$839,0)),"")))</f>
        <v>0.72970000000000002</v>
      </c>
      <c r="T204" s="195">
        <f>IF(IFERROR(INDEX('Both teabags AfterDry'!$D$1:$D$839,MATCH(I204,'Both teabags AfterDry'!$A$1:$A$839,0)),"")="N.A","",(IFERROR(INDEX('Both teabags AfterDry'!$D$1:$D$839,MATCH(I204,'Both teabags AfterDry'!$A$1:$A$839,0)),"")))</f>
        <v>0.67179999999999995</v>
      </c>
      <c r="U204" s="195">
        <f t="shared" si="19"/>
        <v>0.57909999999999995</v>
      </c>
      <c r="V204" s="195">
        <f t="shared" si="19"/>
        <v>0.52119999999999989</v>
      </c>
      <c r="W204" s="195">
        <f>IFERROR(INDEX('Ashed teabags dry'!$K$2:$K$821,MATCH(H204,'Ashed teabags dry'!$A$2:$A$821,0)),"")</f>
        <v>20.009394081728875</v>
      </c>
      <c r="X204" s="195">
        <f>IFERROR(INDEX('Ashed teabags dry'!$K$2:$K$821,MATCH(I204,'Ashed teabags dry'!$A$2:$A$821,0)),"")</f>
        <v>87.766714082503427</v>
      </c>
      <c r="Y204" s="195">
        <f t="shared" ref="Y204:Z267" si="26">IFERROR(U204-(W204/100)*U204,"")</f>
        <v>0.46322559887270803</v>
      </c>
      <c r="Z204" s="195">
        <f t="shared" si="26"/>
        <v>6.3759886201992133E-2</v>
      </c>
      <c r="AA204" s="195">
        <f t="shared" si="20"/>
        <v>0.72398242163857107</v>
      </c>
      <c r="AB204" s="195">
        <f t="shared" si="21"/>
        <v>0.47462980610984712</v>
      </c>
      <c r="AC204" s="195">
        <f t="shared" ref="AC204:AC267" si="27">IFERROR(Z204/Q204,"")</f>
        <v>3.3252798613101611E-2</v>
      </c>
      <c r="AD204">
        <f t="shared" ref="AD204:AD267" si="28">IF((R204-G204)&gt;0,(IFERROR(R204-G204,"")),"")</f>
        <v>69</v>
      </c>
      <c r="AE204" s="195">
        <f t="shared" si="22"/>
        <v>0.14016339472853789</v>
      </c>
      <c r="AF204" s="195" t="str">
        <f t="shared" si="23"/>
        <v/>
      </c>
      <c r="AG204" s="255" t="str">
        <f>IF(ISNUMBER(SEARCH("C", 'Dry_Litterbag Placem_Collection'!AB131)),"YES","NO")</f>
        <v>NO</v>
      </c>
      <c r="AH204" s="255" t="str">
        <f>IF(ISNUMBER(SEARCH("H", 'Dry_Litterbag Placem_Collection'!AB131)),"YES","NO")</f>
        <v>NO</v>
      </c>
      <c r="AI204" s="255" t="str">
        <f>IF(ISNUMBER(SEARCH("R", 'Dry_Litterbag Placem_Collection'!AB131)),"YES","NO")</f>
        <v>NO</v>
      </c>
      <c r="AJ204" s="255" t="str">
        <f>IF(ISNUMBER(SEARCH("C", 'Dry_Litterbag Placem_Collection'!AA131)),"YES","NO")</f>
        <v>NO</v>
      </c>
      <c r="AK204" s="255" t="str">
        <f>IF(ISNUMBER(SEARCH("H", 'Dry_Litterbag Placem_Collection'!AA131)),"YES","NO")</f>
        <v>NO</v>
      </c>
      <c r="AL204" s="255" t="str">
        <f>IF(ISNUMBER(SEARCH("R", 'Dry_Litterbag Placem_Collection'!AA131)),"YES","NO")</f>
        <v>NO</v>
      </c>
      <c r="AR204" t="s">
        <v>1970</v>
      </c>
      <c r="AT204" t="s">
        <v>371</v>
      </c>
    </row>
    <row r="205" spans="2:46">
      <c r="B205" t="str">
        <f>'Final data_for_R_analysis_Dryse'!A131</f>
        <v>Dry</v>
      </c>
      <c r="C205" s="263">
        <f>'Final data_for_R_analysis_Dryse'!B131</f>
        <v>130</v>
      </c>
      <c r="D205" t="s">
        <v>3846</v>
      </c>
      <c r="E205" t="s">
        <v>22</v>
      </c>
      <c r="F205" s="386">
        <v>2</v>
      </c>
      <c r="G205" s="16">
        <f>'Dry_Litterbag Placem_Collection'!E132</f>
        <v>42939</v>
      </c>
      <c r="H205" t="str">
        <f>'Final data_for_R_analysis_Dryse'!J131</f>
        <v>G64</v>
      </c>
      <c r="I205" t="str">
        <f>'Final data_for_R_analysis_Dryse'!J351</f>
        <v>R789</v>
      </c>
      <c r="J205">
        <f>IFERROR(INDEX('Green_rooibos initial weight'!$C$5:$C$1749,MATCH(H205, 'Green_rooibos initial weight'!$A$5:$A$1749,0)),"")</f>
        <v>2.0840000000000001</v>
      </c>
      <c r="K205">
        <f>IFERROR(INDEX('Green_rooibos initial weight'!$C$5:$C$1749,MATCH(I205, 'Green_rooibos initial weight'!$A$5:$A$1749,0)),"")</f>
        <v>2.2549999999999999</v>
      </c>
      <c r="L205" s="195">
        <f t="shared" ref="L205:L268" si="29">IFERROR(IF(J205&gt;0,(J205*$F$31-($F$29+$F$30)),""),"")</f>
        <v>1.8342000000000001</v>
      </c>
      <c r="M205" s="240">
        <f>AVERAGE(Ashed_controlls!$K$1:$K$11)</f>
        <v>5.5147656768714146</v>
      </c>
      <c r="N205" s="195">
        <f t="shared" si="24"/>
        <v>1.7330481679548246</v>
      </c>
      <c r="O205" s="195">
        <f t="shared" ref="O205:O268" si="30">IFERROR(IF(K205&gt;0,(K205*$F$32-($F$29+$F$30)),""),"")</f>
        <v>2.0051999999999999</v>
      </c>
      <c r="P205" s="240">
        <f>AVERAGE(Ashed_controlls!$K$12:$K$14)</f>
        <v>2.2816647271287041</v>
      </c>
      <c r="Q205" s="195">
        <f t="shared" si="25"/>
        <v>1.959448058891615</v>
      </c>
      <c r="R205" s="16">
        <f>IF('Dry_Litterbag Placem_Collection'!G132="N.A","",'Dry_Litterbag Placem_Collection'!G132)</f>
        <v>43008</v>
      </c>
      <c r="S205" s="195">
        <f>IF(IFERROR(INDEX('Both teabags AfterDry'!$D$1:$D$839,MATCH(H205,'Both teabags AfterDry'!$A$1:$A$839,0)),"")="N.A","",(IFERROR(INDEX('Both teabags AfterDry'!$D$1:$D$839,MATCH(H205,'Both teabags AfterDry'!$A$1:$A$839,0)),"")))</f>
        <v>0.83650000000000002</v>
      </c>
      <c r="T205" s="195">
        <f>IF(IFERROR(INDEX('Both teabags AfterDry'!$D$1:$D$839,MATCH(I205,'Both teabags AfterDry'!$A$1:$A$839,0)),"")="N.A","",(IFERROR(INDEX('Both teabags AfterDry'!$D$1:$D$839,MATCH(I205,'Both teabags AfterDry'!$A$1:$A$839,0)),"")))</f>
        <v>2.4607999999999999</v>
      </c>
      <c r="U205" s="195">
        <f t="shared" ref="U205:V268" si="31">IFERROR(IF(S205&gt;0,S205-($F$29),""),"")</f>
        <v>0.68589999999999995</v>
      </c>
      <c r="V205" s="195">
        <f t="shared" si="31"/>
        <v>2.3102</v>
      </c>
      <c r="W205" s="195">
        <f>IFERROR(INDEX('Ashed teabags dry'!$K$2:$K$821,MATCH(H205,'Ashed teabags dry'!$A$2:$A$821,0)),"")</f>
        <v>23.217636022513883</v>
      </c>
      <c r="X205" s="195">
        <f>IFERROR(INDEX('Ashed teabags dry'!$K$2:$K$821,MATCH(I205,'Ashed teabags dry'!$A$2:$A$821,0)),"")</f>
        <v>91.804831833254127</v>
      </c>
      <c r="Y205" s="195">
        <f t="shared" si="26"/>
        <v>0.52665023452157722</v>
      </c>
      <c r="Z205" s="195">
        <f t="shared" si="26"/>
        <v>0.18932477498816302</v>
      </c>
      <c r="AA205" s="195">
        <f t="shared" ref="AA205:AA268" si="32">IFERROR(1-Y205/N205,"")</f>
        <v>0.69611333126240882</v>
      </c>
      <c r="AB205" s="195">
        <f t="shared" ref="AB205:AB268" si="33">IFERROR($F$26*(1-AE205),"")</f>
        <v>0.45635933355920394</v>
      </c>
      <c r="AC205" s="195">
        <f t="shared" si="27"/>
        <v>9.6621481814249691E-2</v>
      </c>
      <c r="AD205">
        <f t="shared" si="28"/>
        <v>69</v>
      </c>
      <c r="AE205" s="195">
        <f t="shared" ref="AE205:AE268" si="34">IFERROR(1-(AA205/$F$25),"")</f>
        <v>0.17326207688550022</v>
      </c>
      <c r="AF205" s="195" t="str">
        <f t="shared" ref="AF205:AF268" si="35">IFERROR(LN(AB205/(AC205-(1-AB205)))/AD205,"")</f>
        <v/>
      </c>
      <c r="AG205" s="255" t="str">
        <f>IF(ISNUMBER(SEARCH("C", 'Dry_Litterbag Placem_Collection'!AB132)),"YES","NO")</f>
        <v>NO</v>
      </c>
      <c r="AH205" s="255" t="str">
        <f>IF(ISNUMBER(SEARCH("H", 'Dry_Litterbag Placem_Collection'!AB132)),"YES","NO")</f>
        <v>NO</v>
      </c>
      <c r="AI205" s="255" t="str">
        <f>IF(ISNUMBER(SEARCH("R", 'Dry_Litterbag Placem_Collection'!AB132)),"YES","NO")</f>
        <v>NO</v>
      </c>
      <c r="AJ205" s="255" t="str">
        <f>IF(ISNUMBER(SEARCH("C", 'Dry_Litterbag Placem_Collection'!AA132)),"YES","NO")</f>
        <v>NO</v>
      </c>
      <c r="AK205" s="255" t="str">
        <f>IF(ISNUMBER(SEARCH("H", 'Dry_Litterbag Placem_Collection'!AA132)),"YES","NO")</f>
        <v>NO</v>
      </c>
      <c r="AL205" s="255" t="str">
        <f>IF(ISNUMBER(SEARCH("R", 'Dry_Litterbag Placem_Collection'!AA132)),"YES","NO")</f>
        <v>NO</v>
      </c>
      <c r="AR205" t="s">
        <v>1986</v>
      </c>
      <c r="AT205" t="s">
        <v>350</v>
      </c>
    </row>
    <row r="206" spans="2:46">
      <c r="B206" t="str">
        <f>'Final data_for_R_analysis_Dryse'!A132</f>
        <v>Dry</v>
      </c>
      <c r="C206" s="263">
        <f>'Final data_for_R_analysis_Dryse'!B132</f>
        <v>131</v>
      </c>
      <c r="D206" t="s">
        <v>3846</v>
      </c>
      <c r="E206" t="s">
        <v>22</v>
      </c>
      <c r="F206" s="386">
        <v>3</v>
      </c>
      <c r="G206" s="16">
        <f>'Dry_Litterbag Placem_Collection'!E133</f>
        <v>42939</v>
      </c>
      <c r="H206" t="str">
        <f>'Final data_for_R_analysis_Dryse'!J132</f>
        <v>G118</v>
      </c>
      <c r="I206" t="str">
        <f>'Final data_for_R_analysis_Dryse'!J352</f>
        <v>R586</v>
      </c>
      <c r="J206">
        <f>IFERROR(INDEX('Green_rooibos initial weight'!$C$5:$C$1749,MATCH(H206, 'Green_rooibos initial weight'!$A$5:$A$1749,0)),"")</f>
        <v>2.0870000000000002</v>
      </c>
      <c r="K206">
        <f>IFERROR(INDEX('Green_rooibos initial weight'!$C$5:$C$1749,MATCH(I206, 'Green_rooibos initial weight'!$A$5:$A$1749,0)),"")</f>
        <v>2.1520000000000001</v>
      </c>
      <c r="L206" s="195">
        <f t="shared" si="29"/>
        <v>1.8372000000000002</v>
      </c>
      <c r="M206" s="240">
        <f>AVERAGE(Ashed_controlls!$K$1:$K$11)</f>
        <v>5.5147656768714146</v>
      </c>
      <c r="N206" s="195">
        <f t="shared" si="24"/>
        <v>1.7358827249845186</v>
      </c>
      <c r="O206" s="195">
        <f t="shared" si="30"/>
        <v>1.9022000000000001</v>
      </c>
      <c r="P206" s="240">
        <f>AVERAGE(Ashed_controlls!$K$12:$K$14)</f>
        <v>2.2816647271287041</v>
      </c>
      <c r="Q206" s="195">
        <f t="shared" si="25"/>
        <v>1.8587981735605579</v>
      </c>
      <c r="R206" s="16">
        <f>IF('Dry_Litterbag Placem_Collection'!G133="N.A","",'Dry_Litterbag Placem_Collection'!G133)</f>
        <v>43008</v>
      </c>
      <c r="S206" s="195">
        <f>IF(IFERROR(INDEX('Both teabags AfterDry'!$D$1:$D$839,MATCH(H206,'Both teabags AfterDry'!$A$1:$A$839,0)),"")="N.A","",(IFERROR(INDEX('Both teabags AfterDry'!$D$1:$D$839,MATCH(H206,'Both teabags AfterDry'!$A$1:$A$839,0)),"")))</f>
        <v>0.87509999999999999</v>
      </c>
      <c r="T206" s="195">
        <f>IF(IFERROR(INDEX('Both teabags AfterDry'!$D$1:$D$839,MATCH(I206,'Both teabags AfterDry'!$A$1:$A$839,0)),"")="N.A","",(IFERROR(INDEX('Both teabags AfterDry'!$D$1:$D$839,MATCH(I206,'Both teabags AfterDry'!$A$1:$A$839,0)),"")))</f>
        <v>2.2069000000000001</v>
      </c>
      <c r="U206" s="195">
        <f t="shared" si="31"/>
        <v>0.72449999999999992</v>
      </c>
      <c r="V206" s="195">
        <f t="shared" si="31"/>
        <v>2.0563000000000002</v>
      </c>
      <c r="W206" s="195">
        <f>IFERROR(INDEX('Ashed teabags dry'!$K$2:$K$821,MATCH(H206,'Ashed teabags dry'!$A$2:$A$821,0)),"")</f>
        <v>19.267364414842707</v>
      </c>
      <c r="X206" s="195">
        <f>IFERROR(INDEX('Ashed teabags dry'!$K$2:$K$821,MATCH(I206,'Ashed teabags dry'!$A$2:$A$821,0)),"")</f>
        <v>73.946360153256592</v>
      </c>
      <c r="Y206" s="195">
        <f t="shared" si="26"/>
        <v>0.58490794481446451</v>
      </c>
      <c r="Z206" s="195">
        <f t="shared" si="26"/>
        <v>0.53574099616858462</v>
      </c>
      <c r="AA206" s="195">
        <f t="shared" si="32"/>
        <v>0.66304869770526631</v>
      </c>
      <c r="AB206" s="195">
        <f t="shared" si="33"/>
        <v>0.43468275669038842</v>
      </c>
      <c r="AC206" s="195">
        <f t="shared" si="27"/>
        <v>0.28821902441531028</v>
      </c>
      <c r="AD206">
        <f t="shared" si="28"/>
        <v>69</v>
      </c>
      <c r="AE206" s="195">
        <f t="shared" si="34"/>
        <v>0.21253123787973116</v>
      </c>
      <c r="AF206" s="195" t="str">
        <f t="shared" si="35"/>
        <v/>
      </c>
      <c r="AG206" s="255" t="str">
        <f>IF(ISNUMBER(SEARCH("C", 'Dry_Litterbag Placem_Collection'!AB133)),"YES","NO")</f>
        <v>NO</v>
      </c>
      <c r="AH206" s="255" t="str">
        <f>IF(ISNUMBER(SEARCH("H", 'Dry_Litterbag Placem_Collection'!AB133)),"YES","NO")</f>
        <v>NO</v>
      </c>
      <c r="AI206" s="255" t="str">
        <f>IF(ISNUMBER(SEARCH("R", 'Dry_Litterbag Placem_Collection'!AB133)),"YES","NO")</f>
        <v>NO</v>
      </c>
      <c r="AJ206" s="255" t="str">
        <f>IF(ISNUMBER(SEARCH("C", 'Dry_Litterbag Placem_Collection'!AA133)),"YES","NO")</f>
        <v>NO</v>
      </c>
      <c r="AK206" s="255" t="str">
        <f>IF(ISNUMBER(SEARCH("H", 'Dry_Litterbag Placem_Collection'!AA133)),"YES","NO")</f>
        <v>NO</v>
      </c>
      <c r="AL206" s="255" t="str">
        <f>IF(ISNUMBER(SEARCH("R", 'Dry_Litterbag Placem_Collection'!AA133)),"YES","NO")</f>
        <v>NO</v>
      </c>
      <c r="AR206" t="s">
        <v>1932</v>
      </c>
      <c r="AT206" t="s">
        <v>555</v>
      </c>
    </row>
    <row r="207" spans="2:46">
      <c r="B207" t="str">
        <f>'Final data_for_R_analysis_Dryse'!A133</f>
        <v>Dry</v>
      </c>
      <c r="C207" s="263">
        <f>'Final data_for_R_analysis_Dryse'!B133</f>
        <v>132</v>
      </c>
      <c r="D207" t="s">
        <v>3846</v>
      </c>
      <c r="E207" t="s">
        <v>22</v>
      </c>
      <c r="F207" s="387">
        <v>4</v>
      </c>
      <c r="G207" s="16">
        <f>'Dry_Litterbag Placem_Collection'!E134</f>
        <v>0</v>
      </c>
      <c r="H207" t="str">
        <f>'Final data_for_R_analysis_Dryse'!J133</f>
        <v/>
      </c>
      <c r="I207" t="str">
        <f>'Final data_for_R_analysis_Dryse'!J353</f>
        <v/>
      </c>
      <c r="J207" t="str">
        <f>IFERROR(INDEX('Green_rooibos initial weight'!$C$5:$C$1749,MATCH(H207, 'Green_rooibos initial weight'!$A$5:$A$1749,0)),"")</f>
        <v/>
      </c>
      <c r="K207" t="str">
        <f>IFERROR(INDEX('Green_rooibos initial weight'!$C$5:$C$1749,MATCH(I207, 'Green_rooibos initial weight'!$A$5:$A$1749,0)),"")</f>
        <v/>
      </c>
      <c r="L207" s="195" t="str">
        <f t="shared" si="29"/>
        <v/>
      </c>
      <c r="M207" s="240">
        <f>AVERAGE(Ashed_controlls!$K$1:$K$11)</f>
        <v>5.5147656768714146</v>
      </c>
      <c r="N207" s="195" t="str">
        <f t="shared" si="24"/>
        <v/>
      </c>
      <c r="O207" s="195" t="str">
        <f t="shared" si="30"/>
        <v/>
      </c>
      <c r="P207" s="240">
        <f>AVERAGE(Ashed_controlls!$K$12:$K$14)</f>
        <v>2.2816647271287041</v>
      </c>
      <c r="Q207" s="195" t="str">
        <f t="shared" si="25"/>
        <v/>
      </c>
      <c r="R207" s="16">
        <f>IF('Dry_Litterbag Placem_Collection'!G134="N.A","",'Dry_Litterbag Placem_Collection'!G134)</f>
        <v>0</v>
      </c>
      <c r="S207" s="195" t="str">
        <f>IF(IFERROR(INDEX('Both teabags AfterDry'!$D$1:$D$839,MATCH(H207,'Both teabags AfterDry'!$A$1:$A$839,0)),"")="N.A","",(IFERROR(INDEX('Both teabags AfterDry'!$D$1:$D$839,MATCH(H207,'Both teabags AfterDry'!$A$1:$A$839,0)),"")))</f>
        <v/>
      </c>
      <c r="T207" s="195" t="str">
        <f>IF(IFERROR(INDEX('Both teabags AfterDry'!$D$1:$D$839,MATCH(I207,'Both teabags AfterDry'!$A$1:$A$839,0)),"")="N.A","",(IFERROR(INDEX('Both teabags AfterDry'!$D$1:$D$839,MATCH(I207,'Both teabags AfterDry'!$A$1:$A$839,0)),"")))</f>
        <v/>
      </c>
      <c r="U207" s="195" t="str">
        <f t="shared" si="31"/>
        <v/>
      </c>
      <c r="V207" s="195" t="str">
        <f t="shared" si="31"/>
        <v/>
      </c>
      <c r="W207" s="195" t="str">
        <f>IFERROR(INDEX('Ashed teabags dry'!$K$2:$K$821,MATCH(H207,'Ashed teabags dry'!$A$2:$A$821,0)),"")</f>
        <v/>
      </c>
      <c r="X207" s="195" t="str">
        <f>IFERROR(INDEX('Ashed teabags dry'!$K$2:$K$821,MATCH(I207,'Ashed teabags dry'!$A$2:$A$821,0)),"")</f>
        <v/>
      </c>
      <c r="Y207" s="195" t="str">
        <f t="shared" si="26"/>
        <v/>
      </c>
      <c r="Z207" s="195" t="str">
        <f t="shared" si="26"/>
        <v/>
      </c>
      <c r="AA207" s="195" t="str">
        <f t="shared" si="32"/>
        <v/>
      </c>
      <c r="AB207" s="195" t="str">
        <f t="shared" si="33"/>
        <v/>
      </c>
      <c r="AC207" s="195" t="str">
        <f t="shared" si="27"/>
        <v/>
      </c>
      <c r="AD207" t="str">
        <f t="shared" si="28"/>
        <v/>
      </c>
      <c r="AE207" s="195" t="str">
        <f t="shared" si="34"/>
        <v/>
      </c>
      <c r="AF207" s="195" t="str">
        <f t="shared" si="35"/>
        <v/>
      </c>
      <c r="AG207" s="255" t="str">
        <f>IF(ISNUMBER(SEARCH("C", 'Dry_Litterbag Placem_Collection'!AB134)),"YES","NO")</f>
        <v>NO</v>
      </c>
      <c r="AH207" s="255" t="str">
        <f>IF(ISNUMBER(SEARCH("H", 'Dry_Litterbag Placem_Collection'!AB134)),"YES","NO")</f>
        <v>NO</v>
      </c>
      <c r="AI207" s="255" t="str">
        <f>IF(ISNUMBER(SEARCH("R", 'Dry_Litterbag Placem_Collection'!AB134)),"YES","NO")</f>
        <v>NO</v>
      </c>
      <c r="AJ207" s="255" t="str">
        <f>IF(ISNUMBER(SEARCH("C", 'Dry_Litterbag Placem_Collection'!AA134)),"YES","NO")</f>
        <v>NO</v>
      </c>
      <c r="AK207" s="255" t="str">
        <f>IF(ISNUMBER(SEARCH("H", 'Dry_Litterbag Placem_Collection'!AA134)),"YES","NO")</f>
        <v>NO</v>
      </c>
      <c r="AL207" s="255" t="str">
        <f>IF(ISNUMBER(SEARCH("R", 'Dry_Litterbag Placem_Collection'!AA134)),"YES","NO")</f>
        <v>NO</v>
      </c>
      <c r="AR207" t="s">
        <v>3654</v>
      </c>
      <c r="AT207" t="s">
        <v>3654</v>
      </c>
    </row>
    <row r="208" spans="2:46">
      <c r="B208" t="str">
        <f>'Final data_for_R_analysis_Dryse'!A134</f>
        <v>Dry</v>
      </c>
      <c r="C208" s="263">
        <f>'Final data_for_R_analysis_Dryse'!B134</f>
        <v>133</v>
      </c>
      <c r="D208" t="s">
        <v>3846</v>
      </c>
      <c r="E208" t="s">
        <v>22</v>
      </c>
      <c r="F208" s="387">
        <v>5</v>
      </c>
      <c r="G208" s="16">
        <f>'Dry_Litterbag Placem_Collection'!E135</f>
        <v>42939</v>
      </c>
      <c r="H208" t="str">
        <f>'Final data_for_R_analysis_Dryse'!J134</f>
        <v>G270</v>
      </c>
      <c r="I208" t="str">
        <f>'Final data_for_R_analysis_Dryse'!J354</f>
        <v>R817</v>
      </c>
      <c r="J208">
        <f>IFERROR(INDEX('Green_rooibos initial weight'!$C$5:$C$1749,MATCH(H208, 'Green_rooibos initial weight'!$A$5:$A$1749,0)),"")</f>
        <v>2.0139999999999998</v>
      </c>
      <c r="K208">
        <f>IFERROR(INDEX('Green_rooibos initial weight'!$C$5:$C$1749,MATCH(I208, 'Green_rooibos initial weight'!$A$5:$A$1749,0)),"")</f>
        <v>2.1749999999999998</v>
      </c>
      <c r="L208" s="195">
        <f t="shared" si="29"/>
        <v>1.7641999999999998</v>
      </c>
      <c r="M208" s="240">
        <f>AVERAGE(Ashed_controlls!$K$1:$K$11)</f>
        <v>5.5147656768714146</v>
      </c>
      <c r="N208" s="195">
        <f t="shared" si="24"/>
        <v>1.6669085039286342</v>
      </c>
      <c r="O208" s="195">
        <f t="shared" si="30"/>
        <v>1.9251999999999998</v>
      </c>
      <c r="P208" s="240">
        <f>AVERAGE(Ashed_controlls!$K$12:$K$14)</f>
        <v>2.2816647271287041</v>
      </c>
      <c r="Q208" s="195">
        <f t="shared" si="25"/>
        <v>1.8812733906733179</v>
      </c>
      <c r="R208" s="16">
        <f>IF('Dry_Litterbag Placem_Collection'!G135="N.A","",'Dry_Litterbag Placem_Collection'!G135)</f>
        <v>43008</v>
      </c>
      <c r="S208" s="195" t="str">
        <f>IF(IFERROR(INDEX('Both teabags AfterDry'!$D$1:$D$839,MATCH(H208,'Both teabags AfterDry'!$A$1:$A$839,0)),"")="N.A","",(IFERROR(INDEX('Both teabags AfterDry'!$D$1:$D$839,MATCH(H208,'Both teabags AfterDry'!$A$1:$A$839,0)),"")))</f>
        <v/>
      </c>
      <c r="T208" s="195" t="str">
        <f>IF(IFERROR(INDEX('Both teabags AfterDry'!$D$1:$D$839,MATCH(I208,'Both teabags AfterDry'!$A$1:$A$839,0)),"")="N.A","",(IFERROR(INDEX('Both teabags AfterDry'!$D$1:$D$839,MATCH(I208,'Both teabags AfterDry'!$A$1:$A$839,0)),"")))</f>
        <v/>
      </c>
      <c r="U208" s="195" t="str">
        <f t="shared" si="31"/>
        <v/>
      </c>
      <c r="V208" s="195" t="str">
        <f t="shared" si="31"/>
        <v/>
      </c>
      <c r="W208" s="195" t="str">
        <f>IFERROR(INDEX('Ashed teabags dry'!$K$2:$K$821,MATCH(H208,'Ashed teabags dry'!$A$2:$A$821,0)),"")</f>
        <v/>
      </c>
      <c r="X208" s="195" t="str">
        <f>IFERROR(INDEX('Ashed teabags dry'!$K$2:$K$821,MATCH(I208,'Ashed teabags dry'!$A$2:$A$821,0)),"")</f>
        <v/>
      </c>
      <c r="Y208" s="195" t="str">
        <f t="shared" si="26"/>
        <v/>
      </c>
      <c r="Z208" s="195" t="str">
        <f t="shared" si="26"/>
        <v/>
      </c>
      <c r="AA208" s="195" t="str">
        <f t="shared" si="32"/>
        <v/>
      </c>
      <c r="AB208" s="195" t="str">
        <f t="shared" si="33"/>
        <v/>
      </c>
      <c r="AC208" s="195" t="str">
        <f t="shared" si="27"/>
        <v/>
      </c>
      <c r="AD208">
        <f t="shared" si="28"/>
        <v>69</v>
      </c>
      <c r="AE208" s="195" t="str">
        <f t="shared" si="34"/>
        <v/>
      </c>
      <c r="AF208" s="195" t="str">
        <f t="shared" si="35"/>
        <v/>
      </c>
      <c r="AG208" s="255" t="str">
        <f>IF(ISNUMBER(SEARCH("C", 'Dry_Litterbag Placem_Collection'!AB135)),"YES","NO")</f>
        <v>NO</v>
      </c>
      <c r="AH208" s="255" t="str">
        <f>IF(ISNUMBER(SEARCH("H", 'Dry_Litterbag Placem_Collection'!AB135)),"YES","NO")</f>
        <v>NO</v>
      </c>
      <c r="AI208" s="255" t="str">
        <f>IF(ISNUMBER(SEARCH("R", 'Dry_Litterbag Placem_Collection'!AB135)),"YES","NO")</f>
        <v>NO</v>
      </c>
      <c r="AJ208" s="255" t="str">
        <f>IF(ISNUMBER(SEARCH("C", 'Dry_Litterbag Placem_Collection'!AA135)),"YES","NO")</f>
        <v>NO</v>
      </c>
      <c r="AK208" s="255" t="str">
        <f>IF(ISNUMBER(SEARCH("H", 'Dry_Litterbag Placem_Collection'!AA135)),"YES","NO")</f>
        <v>NO</v>
      </c>
      <c r="AL208" s="255" t="str">
        <f>IF(ISNUMBER(SEARCH("R", 'Dry_Litterbag Placem_Collection'!AA135)),"YES","NO")</f>
        <v>NO</v>
      </c>
      <c r="AR208" t="s">
        <v>1780</v>
      </c>
      <c r="AT208" t="s">
        <v>322</v>
      </c>
    </row>
    <row r="209" spans="2:46">
      <c r="B209" t="str">
        <f>'Final data_for_R_analysis_Dryse'!A135</f>
        <v>Dry</v>
      </c>
      <c r="C209" s="263">
        <f>'Final data_for_R_analysis_Dryse'!B135</f>
        <v>134</v>
      </c>
      <c r="D209" t="s">
        <v>3846</v>
      </c>
      <c r="E209" t="s">
        <v>22</v>
      </c>
      <c r="F209" s="387">
        <v>6</v>
      </c>
      <c r="G209" s="16">
        <f>'Dry_Litterbag Placem_Collection'!E136</f>
        <v>42939</v>
      </c>
      <c r="H209" t="str">
        <f>'Final data_for_R_analysis_Dryse'!J135</f>
        <v>G316</v>
      </c>
      <c r="I209" t="str">
        <f>'Final data_for_R_analysis_Dryse'!J355</f>
        <v>R837</v>
      </c>
      <c r="J209">
        <f>IFERROR(INDEX('Green_rooibos initial weight'!$C$5:$C$1749,MATCH(H209, 'Green_rooibos initial weight'!$A$5:$A$1749,0)),"")</f>
        <v>2.0579999999999998</v>
      </c>
      <c r="K209">
        <f>IFERROR(INDEX('Green_rooibos initial weight'!$C$5:$C$1749,MATCH(I209, 'Green_rooibos initial weight'!$A$5:$A$1749,0)),"")</f>
        <v>2.1909999999999998</v>
      </c>
      <c r="L209" s="195">
        <f t="shared" si="29"/>
        <v>1.8081999999999998</v>
      </c>
      <c r="M209" s="240">
        <f>AVERAGE(Ashed_controlls!$K$1:$K$11)</f>
        <v>5.5147656768714146</v>
      </c>
      <c r="N209" s="195">
        <f t="shared" si="24"/>
        <v>1.7084820070308109</v>
      </c>
      <c r="O209" s="195">
        <f t="shared" si="30"/>
        <v>1.9411999999999998</v>
      </c>
      <c r="P209" s="240">
        <f>AVERAGE(Ashed_controlls!$K$12:$K$14)</f>
        <v>2.2816647271287041</v>
      </c>
      <c r="Q209" s="195">
        <f t="shared" si="25"/>
        <v>1.8969083243169773</v>
      </c>
      <c r="R209" s="16">
        <f>IF('Dry_Litterbag Placem_Collection'!G136="N.A","",'Dry_Litterbag Placem_Collection'!G136)</f>
        <v>43008</v>
      </c>
      <c r="S209" s="195">
        <f>IF(IFERROR(INDEX('Both teabags AfterDry'!$D$1:$D$839,MATCH(H209,'Both teabags AfterDry'!$A$1:$A$839,0)),"")="N.A","",(IFERROR(INDEX('Both teabags AfterDry'!$D$1:$D$839,MATCH(H209,'Both teabags AfterDry'!$A$1:$A$839,0)),"")))</f>
        <v>0.6512</v>
      </c>
      <c r="T209" s="195">
        <f>IF(IFERROR(INDEX('Both teabags AfterDry'!$D$1:$D$839,MATCH(I209,'Both teabags AfterDry'!$A$1:$A$839,0)),"")="N.A","",(IFERROR(INDEX('Both teabags AfterDry'!$D$1:$D$839,MATCH(I209,'Both teabags AfterDry'!$A$1:$A$839,0)),"")))</f>
        <v>1.7436</v>
      </c>
      <c r="U209" s="195">
        <f t="shared" si="31"/>
        <v>0.50059999999999993</v>
      </c>
      <c r="V209" s="195">
        <f t="shared" si="31"/>
        <v>1.593</v>
      </c>
      <c r="W209" s="195" t="str">
        <f>IFERROR(INDEX('Ashed teabags dry'!$K$2:$K$821,MATCH(H209,'Ashed teabags dry'!$A$2:$A$821,0)),"")</f>
        <v/>
      </c>
      <c r="X209" s="195">
        <f>IFERROR(INDEX('Ashed teabags dry'!$K$2:$K$821,MATCH(I209,'Ashed teabags dry'!$A$2:$A$821,0)),"")</f>
        <v>3.5795197100129474</v>
      </c>
      <c r="Y209" s="195" t="str">
        <f t="shared" si="26"/>
        <v/>
      </c>
      <c r="Z209" s="195">
        <f t="shared" si="26"/>
        <v>1.5359782510194937</v>
      </c>
      <c r="AA209" s="195" t="str">
        <f t="shared" si="32"/>
        <v/>
      </c>
      <c r="AB209" s="195" t="str">
        <f t="shared" si="33"/>
        <v/>
      </c>
      <c r="AC209" s="195">
        <f t="shared" si="27"/>
        <v>0.80972719204685639</v>
      </c>
      <c r="AD209">
        <f t="shared" si="28"/>
        <v>69</v>
      </c>
      <c r="AE209" s="195" t="str">
        <f t="shared" si="34"/>
        <v/>
      </c>
      <c r="AF209" s="195" t="str">
        <f t="shared" si="35"/>
        <v/>
      </c>
      <c r="AG209" s="255" t="str">
        <f>IF(ISNUMBER(SEARCH("C", 'Dry_Litterbag Placem_Collection'!AB136)),"YES","NO")</f>
        <v>NO</v>
      </c>
      <c r="AH209" s="255" t="str">
        <f>IF(ISNUMBER(SEARCH("H", 'Dry_Litterbag Placem_Collection'!AB136)),"YES","NO")</f>
        <v>NO</v>
      </c>
      <c r="AI209" s="255" t="str">
        <f>IF(ISNUMBER(SEARCH("R", 'Dry_Litterbag Placem_Collection'!AB136)),"YES","NO")</f>
        <v>NO</v>
      </c>
      <c r="AJ209" s="255" t="str">
        <f>IF(ISNUMBER(SEARCH("C", 'Dry_Litterbag Placem_Collection'!AA136)),"YES","NO")</f>
        <v>NO</v>
      </c>
      <c r="AK209" s="255" t="str">
        <f>IF(ISNUMBER(SEARCH("H", 'Dry_Litterbag Placem_Collection'!AA136)),"YES","NO")</f>
        <v>NO</v>
      </c>
      <c r="AL209" s="255" t="str">
        <f>IF(ISNUMBER(SEARCH("R", 'Dry_Litterbag Placem_Collection'!AA136)),"YES","NO")</f>
        <v>NO</v>
      </c>
      <c r="AR209" t="s">
        <v>1734</v>
      </c>
      <c r="AT209" t="s">
        <v>302</v>
      </c>
    </row>
    <row r="210" spans="2:46">
      <c r="B210" t="str">
        <f>'Final data_for_R_analysis_Dryse'!A136</f>
        <v>Dry</v>
      </c>
      <c r="C210" s="263">
        <f>'Final data_for_R_analysis_Dryse'!B136</f>
        <v>135</v>
      </c>
      <c r="D210" t="s">
        <v>3846</v>
      </c>
      <c r="E210" t="s">
        <v>22</v>
      </c>
      <c r="F210" s="387">
        <v>7</v>
      </c>
      <c r="G210" s="16">
        <f>'Dry_Litterbag Placem_Collection'!E137</f>
        <v>42939</v>
      </c>
      <c r="H210" t="str">
        <f>'Final data_for_R_analysis_Dryse'!J136</f>
        <v>G77</v>
      </c>
      <c r="I210" t="str">
        <f>'Final data_for_R_analysis_Dryse'!J356</f>
        <v>R756</v>
      </c>
      <c r="J210">
        <f>IFERROR(INDEX('Green_rooibos initial weight'!$C$5:$C$1749,MATCH(H210, 'Green_rooibos initial weight'!$A$5:$A$1749,0)),"")</f>
        <v>2.0190000000000001</v>
      </c>
      <c r="K210">
        <f>IFERROR(INDEX('Green_rooibos initial weight'!$C$5:$C$1749,MATCH(I210, 'Green_rooibos initial weight'!$A$5:$A$1749,0)),"")</f>
        <v>2.2690000000000001</v>
      </c>
      <c r="L210" s="195">
        <f t="shared" si="29"/>
        <v>1.7692000000000001</v>
      </c>
      <c r="M210" s="240">
        <f>AVERAGE(Ashed_controlls!$K$1:$K$11)</f>
        <v>5.5147656768714146</v>
      </c>
      <c r="N210" s="195">
        <f t="shared" si="24"/>
        <v>1.6716327656447911</v>
      </c>
      <c r="O210" s="195">
        <f t="shared" si="30"/>
        <v>2.0192000000000001</v>
      </c>
      <c r="P210" s="240">
        <f>AVERAGE(Ashed_controlls!$K$12:$K$14)</f>
        <v>2.2816647271287041</v>
      </c>
      <c r="Q210" s="195">
        <f t="shared" si="25"/>
        <v>1.9731286258298173</v>
      </c>
      <c r="R210" s="16">
        <f>IF('Dry_Litterbag Placem_Collection'!G137="N.A","",'Dry_Litterbag Placem_Collection'!G137)</f>
        <v>43008</v>
      </c>
      <c r="S210" s="195">
        <f>IF(IFERROR(INDEX('Both teabags AfterDry'!$D$1:$D$839,MATCH(H210,'Both teabags AfterDry'!$A$1:$A$839,0)),"")="N.A","",(IFERROR(INDEX('Both teabags AfterDry'!$D$1:$D$839,MATCH(H210,'Both teabags AfterDry'!$A$1:$A$839,0)),"")))</f>
        <v>0.94330000000000003</v>
      </c>
      <c r="T210" s="195">
        <f>IF(IFERROR(INDEX('Both teabags AfterDry'!$D$1:$D$839,MATCH(I210,'Both teabags AfterDry'!$A$1:$A$839,0)),"")="N.A","",(IFERROR(INDEX('Both teabags AfterDry'!$D$1:$D$839,MATCH(I210,'Both teabags AfterDry'!$A$1:$A$839,0)),"")))</f>
        <v>2.0406</v>
      </c>
      <c r="U210" s="195">
        <f t="shared" si="31"/>
        <v>0.79269999999999996</v>
      </c>
      <c r="V210" s="195">
        <f t="shared" si="31"/>
        <v>1.89</v>
      </c>
      <c r="W210" s="195">
        <f>IFERROR(INDEX('Ashed teabags dry'!$K$2:$K$821,MATCH(H210,'Ashed teabags dry'!$A$2:$A$821,0)),"")</f>
        <v>34.179033030157882</v>
      </c>
      <c r="X210" s="195">
        <f>IFERROR(INDEX('Ashed teabags dry'!$K$2:$K$821,MATCH(I210,'Ashed teabags dry'!$A$2:$A$821,0)),"")</f>
        <v>89.95546759030151</v>
      </c>
      <c r="Y210" s="195">
        <f t="shared" si="26"/>
        <v>0.52176280516993845</v>
      </c>
      <c r="Z210" s="195">
        <f t="shared" si="26"/>
        <v>0.18984166254330148</v>
      </c>
      <c r="AA210" s="195">
        <f t="shared" si="32"/>
        <v>0.68787235097735033</v>
      </c>
      <c r="AB210" s="195">
        <f t="shared" si="33"/>
        <v>0.45095669565260976</v>
      </c>
      <c r="AC210" s="195">
        <f t="shared" si="27"/>
        <v>9.621352610170654E-2</v>
      </c>
      <c r="AD210">
        <f t="shared" si="28"/>
        <v>69</v>
      </c>
      <c r="AE210" s="195">
        <f t="shared" si="34"/>
        <v>0.18304946439744618</v>
      </c>
      <c r="AF210" s="195" t="str">
        <f t="shared" si="35"/>
        <v/>
      </c>
      <c r="AG210" s="255" t="str">
        <f>IF(ISNUMBER(SEARCH("C", 'Dry_Litterbag Placem_Collection'!AB137)),"YES","NO")</f>
        <v>NO</v>
      </c>
      <c r="AH210" s="255" t="str">
        <f>IF(ISNUMBER(SEARCH("H", 'Dry_Litterbag Placem_Collection'!AB137)),"YES","NO")</f>
        <v>NO</v>
      </c>
      <c r="AI210" s="255" t="str">
        <f>IF(ISNUMBER(SEARCH("R", 'Dry_Litterbag Placem_Collection'!AB137)),"YES","NO")</f>
        <v>NO</v>
      </c>
      <c r="AJ210" s="255" t="str">
        <f>IF(ISNUMBER(SEARCH("C", 'Dry_Litterbag Placem_Collection'!AA137)),"YES","NO")</f>
        <v>NO</v>
      </c>
      <c r="AK210" s="255" t="str">
        <f>IF(ISNUMBER(SEARCH("H", 'Dry_Litterbag Placem_Collection'!AA137)),"YES","NO")</f>
        <v>NO</v>
      </c>
      <c r="AL210" s="255" t="str">
        <f>IF(ISNUMBER(SEARCH("R", 'Dry_Litterbag Placem_Collection'!AA137)),"YES","NO")</f>
        <v>NO</v>
      </c>
      <c r="AR210" t="s">
        <v>1973</v>
      </c>
      <c r="AT210" t="s">
        <v>383</v>
      </c>
    </row>
    <row r="211" spans="2:46">
      <c r="B211" t="str">
        <f>'Final data_for_R_analysis_Dryse'!A137</f>
        <v>Dry</v>
      </c>
      <c r="C211" s="263">
        <f>'Final data_for_R_analysis_Dryse'!B137</f>
        <v>136</v>
      </c>
      <c r="D211" t="s">
        <v>3846</v>
      </c>
      <c r="E211" t="s">
        <v>22</v>
      </c>
      <c r="F211" s="387">
        <v>8</v>
      </c>
      <c r="G211" s="16">
        <f>'Dry_Litterbag Placem_Collection'!E138</f>
        <v>42939</v>
      </c>
      <c r="H211" t="str">
        <f>'Final data_for_R_analysis_Dryse'!J137</f>
        <v>G332</v>
      </c>
      <c r="I211" t="str">
        <f>'Final data_for_R_analysis_Dryse'!J357</f>
        <v>R184</v>
      </c>
      <c r="J211">
        <f>IFERROR(INDEX('Green_rooibos initial weight'!$C$5:$C$1749,MATCH(H211, 'Green_rooibos initial weight'!$A$5:$A$1749,0)),"")</f>
        <v>2.121</v>
      </c>
      <c r="K211">
        <f>IFERROR(INDEX('Green_rooibos initial weight'!$C$5:$C$1749,MATCH(I211, 'Green_rooibos initial weight'!$A$5:$A$1749,0)),"")</f>
        <v>2.202</v>
      </c>
      <c r="L211" s="195">
        <f t="shared" si="29"/>
        <v>1.8712</v>
      </c>
      <c r="M211" s="240">
        <f>AVERAGE(Ashed_controlls!$K$1:$K$11)</f>
        <v>5.5147656768714146</v>
      </c>
      <c r="N211" s="195">
        <f t="shared" si="24"/>
        <v>1.7680077046543821</v>
      </c>
      <c r="O211" s="195">
        <f t="shared" si="30"/>
        <v>1.9521999999999999</v>
      </c>
      <c r="P211" s="240">
        <f>AVERAGE(Ashed_controlls!$K$12:$K$14)</f>
        <v>2.2816647271287041</v>
      </c>
      <c r="Q211" s="195">
        <f t="shared" si="25"/>
        <v>1.9076573411969935</v>
      </c>
      <c r="R211" s="16">
        <f>IF('Dry_Litterbag Placem_Collection'!G138="N.A","",'Dry_Litterbag Placem_Collection'!G138)</f>
        <v>43008</v>
      </c>
      <c r="S211" s="195">
        <f>IF(IFERROR(INDEX('Both teabags AfterDry'!$D$1:$D$839,MATCH(H211,'Both teabags AfterDry'!$A$1:$A$839,0)),"")="N.A","",(IFERROR(INDEX('Both teabags AfterDry'!$D$1:$D$839,MATCH(H211,'Both teabags AfterDry'!$A$1:$A$839,0)),"")))</f>
        <v>0.98260000000000003</v>
      </c>
      <c r="T211" s="195">
        <f>IF(IFERROR(INDEX('Both teabags AfterDry'!$D$1:$D$839,MATCH(I211,'Both teabags AfterDry'!$A$1:$A$839,0)),"")="N.A","",(IFERROR(INDEX('Both teabags AfterDry'!$D$1:$D$839,MATCH(I211,'Both teabags AfterDry'!$A$1:$A$839,0)),"")))</f>
        <v>1.7850999999999999</v>
      </c>
      <c r="U211" s="195">
        <f t="shared" si="31"/>
        <v>0.83200000000000007</v>
      </c>
      <c r="V211" s="195">
        <f t="shared" si="31"/>
        <v>1.6344999999999998</v>
      </c>
      <c r="W211" s="195">
        <f>IFERROR(INDEX('Ashed teabags dry'!$K$2:$K$821,MATCH(H211,'Ashed teabags dry'!$A$2:$A$821,0)),"")</f>
        <v>36.128717698681726</v>
      </c>
      <c r="X211" s="195">
        <f>IFERROR(INDEX('Ashed teabags dry'!$K$2:$K$821,MATCH(I211,'Ashed teabags dry'!$A$2:$A$821,0)),"")</f>
        <v>4.4315992292882065</v>
      </c>
      <c r="Y211" s="195">
        <f t="shared" si="26"/>
        <v>0.53140906874696814</v>
      </c>
      <c r="Z211" s="195">
        <f t="shared" si="26"/>
        <v>1.562065510597284</v>
      </c>
      <c r="AA211" s="195">
        <f t="shared" si="32"/>
        <v>0.69943056959084338</v>
      </c>
      <c r="AB211" s="195">
        <f t="shared" si="33"/>
        <v>0.45853405512368833</v>
      </c>
      <c r="AC211" s="195">
        <f t="shared" si="27"/>
        <v>0.81883967149841397</v>
      </c>
      <c r="AD211">
        <f t="shared" si="28"/>
        <v>69</v>
      </c>
      <c r="AE211" s="195">
        <f t="shared" si="34"/>
        <v>0.16932236390636179</v>
      </c>
      <c r="AF211" s="195">
        <f t="shared" si="35"/>
        <v>7.2850546897403855E-3</v>
      </c>
      <c r="AG211" s="255" t="str">
        <f>IF(ISNUMBER(SEARCH("C", 'Dry_Litterbag Placem_Collection'!AB138)),"YES","NO")</f>
        <v>NO</v>
      </c>
      <c r="AH211" s="255" t="str">
        <f>IF(ISNUMBER(SEARCH("H", 'Dry_Litterbag Placem_Collection'!AB138)),"YES","NO")</f>
        <v>NO</v>
      </c>
      <c r="AI211" s="255" t="str">
        <f>IF(ISNUMBER(SEARCH("R", 'Dry_Litterbag Placem_Collection'!AB138)),"YES","NO")</f>
        <v>NO</v>
      </c>
      <c r="AJ211" s="255" t="str">
        <f>IF(ISNUMBER(SEARCH("C", 'Dry_Litterbag Placem_Collection'!AA138)),"YES","NO")</f>
        <v>NO</v>
      </c>
      <c r="AK211" s="255" t="str">
        <f>IF(ISNUMBER(SEARCH("H", 'Dry_Litterbag Placem_Collection'!AA138)),"YES","NO")</f>
        <v>NO</v>
      </c>
      <c r="AL211" s="255" t="str">
        <f>IF(ISNUMBER(SEARCH("R", 'Dry_Litterbag Placem_Collection'!AA138)),"YES","NO")</f>
        <v>NO</v>
      </c>
      <c r="AR211" t="s">
        <v>1718</v>
      </c>
      <c r="AT211" t="s">
        <v>957</v>
      </c>
    </row>
    <row r="212" spans="2:46">
      <c r="B212" t="str">
        <f>'Final data_for_R_analysis_Dryse'!A138</f>
        <v>Dry</v>
      </c>
      <c r="C212" s="263">
        <f>'Final data_for_R_analysis_Dryse'!B138</f>
        <v>137</v>
      </c>
      <c r="D212" t="s">
        <v>3848</v>
      </c>
      <c r="E212" t="s">
        <v>22</v>
      </c>
      <c r="F212" s="386">
        <v>1</v>
      </c>
      <c r="G212" s="16">
        <f>'Dry_Litterbag Placem_Collection'!E139</f>
        <v>42939</v>
      </c>
      <c r="H212" t="str">
        <f>'Final data_for_R_analysis_Dryse'!J138</f>
        <v>G30</v>
      </c>
      <c r="I212" t="str">
        <f>'Final data_for_R_analysis_Dryse'!J358</f>
        <v>R746</v>
      </c>
      <c r="J212">
        <f>IFERROR(INDEX('Green_rooibos initial weight'!$C$5:$C$1749,MATCH(H212, 'Green_rooibos initial weight'!$A$5:$A$1749,0)),"")</f>
        <v>2.0680000000000001</v>
      </c>
      <c r="K212">
        <f>IFERROR(INDEX('Green_rooibos initial weight'!$C$5:$C$1749,MATCH(I212, 'Green_rooibos initial weight'!$A$5:$A$1749,0)),"")</f>
        <v>2.2290000000000001</v>
      </c>
      <c r="L212" s="195">
        <f t="shared" si="29"/>
        <v>1.8182</v>
      </c>
      <c r="M212" s="240">
        <f>AVERAGE(Ashed_controlls!$K$1:$K$11)</f>
        <v>5.5147656768714146</v>
      </c>
      <c r="N212" s="195">
        <f t="shared" si="24"/>
        <v>1.7179305304631241</v>
      </c>
      <c r="O212" s="195">
        <f t="shared" si="30"/>
        <v>1.9792000000000001</v>
      </c>
      <c r="P212" s="240">
        <f>AVERAGE(Ashed_controlls!$K$12:$K$14)</f>
        <v>2.2816647271287041</v>
      </c>
      <c r="Q212" s="195">
        <f t="shared" si="25"/>
        <v>1.9340412917206689</v>
      </c>
      <c r="R212" s="16">
        <f>IF('Dry_Litterbag Placem_Collection'!G139="N.A","",'Dry_Litterbag Placem_Collection'!G139)</f>
        <v>43008</v>
      </c>
      <c r="S212" s="195">
        <f>IF(IFERROR(INDEX('Both teabags AfterDry'!$D$1:$D$839,MATCH(H212,'Both teabags AfterDry'!$A$1:$A$839,0)),"")="N.A","",(IFERROR(INDEX('Both teabags AfterDry'!$D$1:$D$839,MATCH(H212,'Both teabags AfterDry'!$A$1:$A$839,0)),"")))</f>
        <v>0.80879999999999996</v>
      </c>
      <c r="T212" s="195">
        <f>IF(IFERROR(INDEX('Both teabags AfterDry'!$D$1:$D$839,MATCH(I212,'Both teabags AfterDry'!$A$1:$A$839,0)),"")="N.A","",(IFERROR(INDEX('Both teabags AfterDry'!$D$1:$D$839,MATCH(I212,'Both teabags AfterDry'!$A$1:$A$839,0)),"")))</f>
        <v>5.0305999999999997</v>
      </c>
      <c r="U212" s="195">
        <f t="shared" si="31"/>
        <v>0.6581999999999999</v>
      </c>
      <c r="V212" s="195">
        <f t="shared" si="31"/>
        <v>4.88</v>
      </c>
      <c r="W212" s="195">
        <f>IFERROR(INDEX('Ashed teabags dry'!$K$2:$K$821,MATCH(H212,'Ashed teabags dry'!$A$2:$A$821,0)),"")</f>
        <v>19.57311534968159</v>
      </c>
      <c r="X212" s="195">
        <f>IFERROR(INDEX('Ashed teabags dry'!$K$2:$K$821,MATCH(I212,'Ashed teabags dry'!$A$2:$A$821,0)),"")</f>
        <v>91.181818181818144</v>
      </c>
      <c r="Y212" s="195">
        <f t="shared" si="26"/>
        <v>0.52936975476839565</v>
      </c>
      <c r="Z212" s="195">
        <f t="shared" si="26"/>
        <v>0.43032727272727467</v>
      </c>
      <c r="AA212" s="195">
        <f t="shared" si="32"/>
        <v>0.6918561342374614</v>
      </c>
      <c r="AB212" s="195">
        <f t="shared" si="33"/>
        <v>0.45356839204166122</v>
      </c>
      <c r="AC212" s="195">
        <f t="shared" si="27"/>
        <v>0.22250159527071064</v>
      </c>
      <c r="AD212">
        <f t="shared" si="28"/>
        <v>69</v>
      </c>
      <c r="AE212" s="195">
        <f t="shared" si="34"/>
        <v>0.17831813035930943</v>
      </c>
      <c r="AF212" s="195" t="str">
        <f t="shared" si="35"/>
        <v/>
      </c>
      <c r="AG212" s="255" t="str">
        <f>IF(ISNUMBER(SEARCH("C", 'Dry_Litterbag Placem_Collection'!AB139)),"YES","NO")</f>
        <v>NO</v>
      </c>
      <c r="AH212" s="255" t="str">
        <f>IF(ISNUMBER(SEARCH("H", 'Dry_Litterbag Placem_Collection'!AB139)),"YES","NO")</f>
        <v>NO</v>
      </c>
      <c r="AI212" s="255" t="str">
        <f>IF(ISNUMBER(SEARCH("R", 'Dry_Litterbag Placem_Collection'!AB139)),"YES","NO")</f>
        <v>NO</v>
      </c>
      <c r="AJ212" s="255" t="str">
        <f>IF(ISNUMBER(SEARCH("C", 'Dry_Litterbag Placem_Collection'!AA139)),"YES","NO")</f>
        <v>NO</v>
      </c>
      <c r="AK212" s="255" t="str">
        <f>IF(ISNUMBER(SEARCH("H", 'Dry_Litterbag Placem_Collection'!AA139)),"YES","NO")</f>
        <v>NO</v>
      </c>
      <c r="AL212" s="255" t="str">
        <f>IF(ISNUMBER(SEARCH("R", 'Dry_Litterbag Placem_Collection'!AA139)),"YES","NO")</f>
        <v>NO</v>
      </c>
      <c r="AR212" t="s">
        <v>2020</v>
      </c>
      <c r="AT212" t="s">
        <v>393</v>
      </c>
    </row>
    <row r="213" spans="2:46">
      <c r="B213" t="str">
        <f>'Final data_for_R_analysis_Dryse'!A139</f>
        <v>Dry</v>
      </c>
      <c r="C213" s="263">
        <f>'Final data_for_R_analysis_Dryse'!B139</f>
        <v>138</v>
      </c>
      <c r="D213" t="s">
        <v>3848</v>
      </c>
      <c r="E213" t="s">
        <v>22</v>
      </c>
      <c r="F213" s="386">
        <v>2</v>
      </c>
      <c r="G213" s="16">
        <f>'Dry_Litterbag Placem_Collection'!E140</f>
        <v>42939</v>
      </c>
      <c r="H213" t="str">
        <f>'Final data_for_R_analysis_Dryse'!J139</f>
        <v>G213</v>
      </c>
      <c r="I213" t="str">
        <f>'Final data_for_R_analysis_Dryse'!J359</f>
        <v>R821</v>
      </c>
      <c r="J213">
        <f>IFERROR(INDEX('Green_rooibos initial weight'!$C$5:$C$1749,MATCH(H213, 'Green_rooibos initial weight'!$A$5:$A$1749,0)),"")</f>
        <v>2.0670000000000002</v>
      </c>
      <c r="K213">
        <f>IFERROR(INDEX('Green_rooibos initial weight'!$C$5:$C$1749,MATCH(I213, 'Green_rooibos initial weight'!$A$5:$A$1749,0)),"")</f>
        <v>2.1680000000000001</v>
      </c>
      <c r="L213" s="195">
        <f t="shared" si="29"/>
        <v>1.8172000000000001</v>
      </c>
      <c r="M213" s="240">
        <f>AVERAGE(Ashed_controlls!$K$1:$K$11)</f>
        <v>5.5147656768714146</v>
      </c>
      <c r="N213" s="195">
        <f t="shared" si="24"/>
        <v>1.7169856781198929</v>
      </c>
      <c r="O213" s="195">
        <f t="shared" si="30"/>
        <v>1.9182000000000001</v>
      </c>
      <c r="P213" s="240">
        <f>AVERAGE(Ashed_controlls!$K$12:$K$14)</f>
        <v>2.2816647271287041</v>
      </c>
      <c r="Q213" s="195">
        <f t="shared" si="25"/>
        <v>1.8744331072042173</v>
      </c>
      <c r="R213" s="16">
        <f>IF('Dry_Litterbag Placem_Collection'!G140="N.A","",'Dry_Litterbag Placem_Collection'!G140)</f>
        <v>43008</v>
      </c>
      <c r="S213" s="195">
        <f>IF(IFERROR(INDEX('Both teabags AfterDry'!$D$1:$D$839,MATCH(H213,'Both teabags AfterDry'!$A$1:$A$839,0)),"")="N.A","",(IFERROR(INDEX('Both teabags AfterDry'!$D$1:$D$839,MATCH(H213,'Both teabags AfterDry'!$A$1:$A$839,0)),"")))</f>
        <v>0.66200000000000003</v>
      </c>
      <c r="T213" s="195">
        <f>IF(IFERROR(INDEX('Both teabags AfterDry'!$D$1:$D$839,MATCH(I213,'Both teabags AfterDry'!$A$1:$A$839,0)),"")="N.A","",(IFERROR(INDEX('Both teabags AfterDry'!$D$1:$D$839,MATCH(I213,'Both teabags AfterDry'!$A$1:$A$839,0)),"")))</f>
        <v>0.2059</v>
      </c>
      <c r="U213" s="195">
        <f t="shared" si="31"/>
        <v>0.51140000000000008</v>
      </c>
      <c r="V213" s="195">
        <f t="shared" si="31"/>
        <v>5.5299999999999988E-2</v>
      </c>
      <c r="W213" s="195">
        <f>IFERROR(INDEX('Ashed teabags dry'!$K$2:$K$821,MATCH(H213,'Ashed teabags dry'!$A$2:$A$821,0)),"")</f>
        <v>28.084896347481987</v>
      </c>
      <c r="X213" s="195">
        <f>IFERROR(INDEX('Ashed teabags dry'!$K$2:$K$821,MATCH(I213,'Ashed teabags dry'!$A$2:$A$821,0)),"")</f>
        <v>0</v>
      </c>
      <c r="Y213" s="195">
        <f t="shared" si="26"/>
        <v>0.36777384007897718</v>
      </c>
      <c r="Z213" s="195">
        <f t="shared" si="26"/>
        <v>5.5299999999999988E-2</v>
      </c>
      <c r="AA213" s="195">
        <f t="shared" si="32"/>
        <v>0.78580261631437065</v>
      </c>
      <c r="AB213" s="195">
        <f t="shared" si="33"/>
        <v>0.51515800974528825</v>
      </c>
      <c r="AC213" s="195">
        <f t="shared" si="27"/>
        <v>2.9502253127870685E-2</v>
      </c>
      <c r="AD213">
        <f t="shared" si="28"/>
        <v>69</v>
      </c>
      <c r="AE213" s="195">
        <f t="shared" si="34"/>
        <v>6.6742735968680855E-2</v>
      </c>
      <c r="AF213" s="195" t="str">
        <f t="shared" si="35"/>
        <v/>
      </c>
      <c r="AG213" s="255" t="str">
        <f>IF(ISNUMBER(SEARCH("C", 'Dry_Litterbag Placem_Collection'!AB140)),"YES","NO")</f>
        <v>NO</v>
      </c>
      <c r="AH213" s="255" t="str">
        <f>IF(ISNUMBER(SEARCH("H", 'Dry_Litterbag Placem_Collection'!AB140)),"YES","NO")</f>
        <v>NO</v>
      </c>
      <c r="AI213" s="255" t="str">
        <f>IF(ISNUMBER(SEARCH("R", 'Dry_Litterbag Placem_Collection'!AB140)),"YES","NO")</f>
        <v>NO</v>
      </c>
      <c r="AJ213" s="255" t="str">
        <f>IF(ISNUMBER(SEARCH("C", 'Dry_Litterbag Placem_Collection'!AA140)),"YES","NO")</f>
        <v>NO</v>
      </c>
      <c r="AK213" s="255" t="str">
        <f>IF(ISNUMBER(SEARCH("H", 'Dry_Litterbag Placem_Collection'!AA140)),"YES","NO")</f>
        <v>NO</v>
      </c>
      <c r="AL213" s="255" t="str">
        <f>IF(ISNUMBER(SEARCH("R", 'Dry_Litterbag Placem_Collection'!AA140)),"YES","NO")</f>
        <v>NO</v>
      </c>
      <c r="AR213" t="s">
        <v>1837</v>
      </c>
      <c r="AT213" t="s">
        <v>318</v>
      </c>
    </row>
    <row r="214" spans="2:46">
      <c r="B214" t="str">
        <f>'Final data_for_R_analysis_Dryse'!A140</f>
        <v>Dry</v>
      </c>
      <c r="C214" s="263">
        <f>'Final data_for_R_analysis_Dryse'!B140</f>
        <v>139</v>
      </c>
      <c r="D214" t="s">
        <v>3848</v>
      </c>
      <c r="E214" t="s">
        <v>22</v>
      </c>
      <c r="F214" s="386">
        <v>3</v>
      </c>
      <c r="G214" s="16">
        <f>'Dry_Litterbag Placem_Collection'!E141</f>
        <v>42939</v>
      </c>
      <c r="H214" t="str">
        <f>'Final data_for_R_analysis_Dryse'!J140</f>
        <v>G17</v>
      </c>
      <c r="I214" t="str">
        <f>'Final data_for_R_analysis_Dryse'!J360</f>
        <v>R813</v>
      </c>
      <c r="J214">
        <f>IFERROR(INDEX('Green_rooibos initial weight'!$C$5:$C$1749,MATCH(H214, 'Green_rooibos initial weight'!$A$5:$A$1749,0)),"")</f>
        <v>1.9870000000000001</v>
      </c>
      <c r="K214">
        <f>IFERROR(INDEX('Green_rooibos initial weight'!$C$5:$C$1749,MATCH(I214, 'Green_rooibos initial weight'!$A$5:$A$1749,0)),"")</f>
        <v>2.2309999999999999</v>
      </c>
      <c r="L214" s="195">
        <f t="shared" si="29"/>
        <v>1.7372000000000001</v>
      </c>
      <c r="M214" s="240">
        <f>AVERAGE(Ashed_controlls!$K$1:$K$11)</f>
        <v>5.5147656768714146</v>
      </c>
      <c r="N214" s="195">
        <f t="shared" si="24"/>
        <v>1.64139749066139</v>
      </c>
      <c r="O214" s="195">
        <f t="shared" si="30"/>
        <v>1.9811999999999999</v>
      </c>
      <c r="P214" s="240">
        <f>AVERAGE(Ashed_controlls!$K$12:$K$14)</f>
        <v>2.2816647271287041</v>
      </c>
      <c r="Q214" s="195">
        <f t="shared" si="25"/>
        <v>1.935995658426126</v>
      </c>
      <c r="R214" s="16">
        <f>IF('Dry_Litterbag Placem_Collection'!G141="N.A","",'Dry_Litterbag Placem_Collection'!G141)</f>
        <v>43008</v>
      </c>
      <c r="S214" s="195">
        <f>IF(IFERROR(INDEX('Both teabags AfterDry'!$D$1:$D$839,MATCH(H214,'Both teabags AfterDry'!$A$1:$A$839,0)),"")="N.A","",(IFERROR(INDEX('Both teabags AfterDry'!$D$1:$D$839,MATCH(H214,'Both teabags AfterDry'!$A$1:$A$839,0)),"")))</f>
        <v>0.73580000000000001</v>
      </c>
      <c r="T214" s="195">
        <f>IF(IFERROR(INDEX('Both teabags AfterDry'!$D$1:$D$839,MATCH(I214,'Both teabags AfterDry'!$A$1:$A$839,0)),"")="N.A","",(IFERROR(INDEX('Both teabags AfterDry'!$D$1:$D$839,MATCH(I214,'Both teabags AfterDry'!$A$1:$A$839,0)),"")))</f>
        <v>2.1772999999999998</v>
      </c>
      <c r="U214" s="195">
        <f t="shared" si="31"/>
        <v>0.58519999999999994</v>
      </c>
      <c r="V214" s="195">
        <f t="shared" si="31"/>
        <v>2.0266999999999999</v>
      </c>
      <c r="W214" s="195">
        <f>IFERROR(INDEX('Ashed teabags dry'!$K$2:$K$821,MATCH(H214,'Ashed teabags dry'!$A$2:$A$821,0)),"")</f>
        <v>21.345029239766301</v>
      </c>
      <c r="X214" s="195">
        <f>IFERROR(INDEX('Ashed teabags dry'!$K$2:$K$821,MATCH(I214,'Ashed teabags dry'!$A$2:$A$821,0)),"")</f>
        <v>88.823816495851673</v>
      </c>
      <c r="Y214" s="195">
        <f t="shared" si="26"/>
        <v>0.46028888888888758</v>
      </c>
      <c r="Z214" s="195">
        <f t="shared" si="26"/>
        <v>0.22650771107857426</v>
      </c>
      <c r="AA214" s="195">
        <f t="shared" si="32"/>
        <v>0.71957500148034392</v>
      </c>
      <c r="AB214" s="195">
        <f t="shared" si="33"/>
        <v>0.47174038101799276</v>
      </c>
      <c r="AC214" s="195">
        <f t="shared" si="27"/>
        <v>0.11699804702181742</v>
      </c>
      <c r="AD214">
        <f t="shared" si="28"/>
        <v>69</v>
      </c>
      <c r="AE214" s="195">
        <f t="shared" si="34"/>
        <v>0.14539786047465086</v>
      </c>
      <c r="AF214" s="195" t="str">
        <f t="shared" si="35"/>
        <v/>
      </c>
      <c r="AG214" s="255" t="str">
        <f>IF(ISNUMBER(SEARCH("C", 'Dry_Litterbag Placem_Collection'!AB141)),"YES","NO")</f>
        <v>NO</v>
      </c>
      <c r="AH214" s="255" t="str">
        <f>IF(ISNUMBER(SEARCH("H", 'Dry_Litterbag Placem_Collection'!AB141)),"YES","NO")</f>
        <v>NO</v>
      </c>
      <c r="AI214" s="255" t="str">
        <f>IF(ISNUMBER(SEARCH("R", 'Dry_Litterbag Placem_Collection'!AB141)),"YES","NO")</f>
        <v>NO</v>
      </c>
      <c r="AJ214" s="255" t="str">
        <f>IF(ISNUMBER(SEARCH("C", 'Dry_Litterbag Placem_Collection'!AA141)),"YES","NO")</f>
        <v>NO</v>
      </c>
      <c r="AK214" s="255" t="str">
        <f>IF(ISNUMBER(SEARCH("H", 'Dry_Litterbag Placem_Collection'!AA141)),"YES","NO")</f>
        <v>NO</v>
      </c>
      <c r="AL214" s="255" t="str">
        <f>IF(ISNUMBER(SEARCH("R", 'Dry_Litterbag Placem_Collection'!AA141)),"YES","NO")</f>
        <v>NO</v>
      </c>
      <c r="AR214" t="s">
        <v>1800</v>
      </c>
      <c r="AT214" t="s">
        <v>326</v>
      </c>
    </row>
    <row r="215" spans="2:46">
      <c r="B215" t="str">
        <f>'Final data_for_R_analysis_Dryse'!A141</f>
        <v>Dry</v>
      </c>
      <c r="C215" s="263">
        <f>'Final data_for_R_analysis_Dryse'!B141</f>
        <v>140</v>
      </c>
      <c r="D215" t="s">
        <v>3848</v>
      </c>
      <c r="E215" t="s">
        <v>22</v>
      </c>
      <c r="F215" s="387">
        <v>4</v>
      </c>
      <c r="G215" s="16">
        <f>'Dry_Litterbag Placem_Collection'!E142</f>
        <v>42939</v>
      </c>
      <c r="H215" t="str">
        <f>'Final data_for_R_analysis_Dryse'!J141</f>
        <v>G401</v>
      </c>
      <c r="I215" t="str">
        <f>'Final data_for_R_analysis_Dryse'!J361</f>
        <v>R729</v>
      </c>
      <c r="J215">
        <f>IFERROR(INDEX('Green_rooibos initial weight'!$C$5:$C$1749,MATCH(H215, 'Green_rooibos initial weight'!$A$5:$A$1749,0)),"")</f>
        <v>1.9390000000000001</v>
      </c>
      <c r="K215">
        <f>IFERROR(INDEX('Green_rooibos initial weight'!$C$5:$C$1749,MATCH(I215, 'Green_rooibos initial weight'!$A$5:$A$1749,0)),"")</f>
        <v>2.1970000000000001</v>
      </c>
      <c r="L215" s="195">
        <f t="shared" si="29"/>
        <v>1.6892</v>
      </c>
      <c r="M215" s="240">
        <f>AVERAGE(Ashed_controlls!$K$1:$K$11)</f>
        <v>5.5147656768714146</v>
      </c>
      <c r="N215" s="195">
        <f t="shared" si="24"/>
        <v>1.5960445781862882</v>
      </c>
      <c r="O215" s="195">
        <f t="shared" si="30"/>
        <v>1.9472</v>
      </c>
      <c r="P215" s="240">
        <f>AVERAGE(Ashed_controlls!$K$12:$K$14)</f>
        <v>2.2816647271287041</v>
      </c>
      <c r="Q215" s="195">
        <f t="shared" si="25"/>
        <v>1.90277142443335</v>
      </c>
      <c r="R215" s="16">
        <f>IF('Dry_Litterbag Placem_Collection'!G142="N.A","",'Dry_Litterbag Placem_Collection'!G142)</f>
        <v>43008</v>
      </c>
      <c r="S215" s="195">
        <f>IF(IFERROR(INDEX('Both teabags AfterDry'!$D$1:$D$839,MATCH(H215,'Both teabags AfterDry'!$A$1:$A$839,0)),"")="N.A","",(IFERROR(INDEX('Both teabags AfterDry'!$D$1:$D$839,MATCH(H215,'Both teabags AfterDry'!$A$1:$A$839,0)),"")))</f>
        <v>0.9304</v>
      </c>
      <c r="T215" s="195">
        <f>IF(IFERROR(INDEX('Both teabags AfterDry'!$D$1:$D$839,MATCH(I215,'Both teabags AfterDry'!$A$1:$A$839,0)),"")="N.A","",(IFERROR(INDEX('Both teabags AfterDry'!$D$1:$D$839,MATCH(I215,'Both teabags AfterDry'!$A$1:$A$839,0)),"")))</f>
        <v>1.7859</v>
      </c>
      <c r="U215" s="195">
        <f t="shared" si="31"/>
        <v>0.77980000000000005</v>
      </c>
      <c r="V215" s="195">
        <f t="shared" si="31"/>
        <v>1.6353</v>
      </c>
      <c r="W215" s="195">
        <f>IFERROR(INDEX('Ashed teabags dry'!$K$2:$K$821,MATCH(H215,'Ashed teabags dry'!$A$2:$A$821,0)),"")</f>
        <v>22.900763358778644</v>
      </c>
      <c r="X215" s="195">
        <f>IFERROR(INDEX('Ashed teabags dry'!$K$2:$K$821,MATCH(I215,'Ashed teabags dry'!$A$2:$A$821,0)),"")</f>
        <v>7.374631268436298</v>
      </c>
      <c r="Y215" s="195">
        <f t="shared" si="26"/>
        <v>0.60121984732824418</v>
      </c>
      <c r="Z215" s="195">
        <f t="shared" si="26"/>
        <v>1.5147026548672613</v>
      </c>
      <c r="AA215" s="195">
        <f t="shared" si="32"/>
        <v>0.6233063565107575</v>
      </c>
      <c r="AB215" s="195">
        <f t="shared" si="33"/>
        <v>0.40862839524220684</v>
      </c>
      <c r="AC215" s="195">
        <f t="shared" si="27"/>
        <v>0.79605076858789992</v>
      </c>
      <c r="AD215">
        <f t="shared" si="28"/>
        <v>69</v>
      </c>
      <c r="AE215" s="195">
        <f t="shared" si="34"/>
        <v>0.25973116803948038</v>
      </c>
      <c r="AF215" s="195">
        <f t="shared" si="35"/>
        <v>1.0019746018546867E-2</v>
      </c>
      <c r="AG215" s="255" t="str">
        <f>IF(ISNUMBER(SEARCH("C", 'Dry_Litterbag Placem_Collection'!AB142)),"YES","NO")</f>
        <v>NO</v>
      </c>
      <c r="AH215" s="255" t="str">
        <f>IF(ISNUMBER(SEARCH("H", 'Dry_Litterbag Placem_Collection'!AB142)),"YES","NO")</f>
        <v>NO</v>
      </c>
      <c r="AI215" s="255" t="str">
        <f>IF(ISNUMBER(SEARCH("R", 'Dry_Litterbag Placem_Collection'!AB142)),"YES","NO")</f>
        <v>NO</v>
      </c>
      <c r="AJ215" s="255" t="str">
        <f>IF(ISNUMBER(SEARCH("C", 'Dry_Litterbag Placem_Collection'!AA142)),"YES","NO")</f>
        <v>NO</v>
      </c>
      <c r="AK215" s="255" t="str">
        <f>IF(ISNUMBER(SEARCH("H", 'Dry_Litterbag Placem_Collection'!AA142)),"YES","NO")</f>
        <v>NO</v>
      </c>
      <c r="AL215" s="255" t="str">
        <f>IF(ISNUMBER(SEARCH("R", 'Dry_Litterbag Placem_Collection'!AA142)),"YES","NO")</f>
        <v>NO</v>
      </c>
      <c r="AR215" t="s">
        <v>1649</v>
      </c>
      <c r="AT215" t="s">
        <v>410</v>
      </c>
    </row>
    <row r="216" spans="2:46">
      <c r="B216" t="str">
        <f>'Final data_for_R_analysis_Dryse'!A142</f>
        <v>Dry</v>
      </c>
      <c r="C216" s="263">
        <f>'Final data_for_R_analysis_Dryse'!B142</f>
        <v>141</v>
      </c>
      <c r="D216" t="s">
        <v>3848</v>
      </c>
      <c r="E216" t="s">
        <v>22</v>
      </c>
      <c r="F216" s="387">
        <v>5</v>
      </c>
      <c r="G216" s="16">
        <f>'Dry_Litterbag Placem_Collection'!E143</f>
        <v>0</v>
      </c>
      <c r="H216" t="str">
        <f>'Final data_for_R_analysis_Dryse'!J142</f>
        <v/>
      </c>
      <c r="I216" t="str">
        <f>'Final data_for_R_analysis_Dryse'!J362</f>
        <v/>
      </c>
      <c r="J216" t="str">
        <f>IFERROR(INDEX('Green_rooibos initial weight'!$C$5:$C$1749,MATCH(H216, 'Green_rooibos initial weight'!$A$5:$A$1749,0)),"")</f>
        <v/>
      </c>
      <c r="K216" t="str">
        <f>IFERROR(INDEX('Green_rooibos initial weight'!$C$5:$C$1749,MATCH(I216, 'Green_rooibos initial weight'!$A$5:$A$1749,0)),"")</f>
        <v/>
      </c>
      <c r="L216" s="195" t="str">
        <f t="shared" si="29"/>
        <v/>
      </c>
      <c r="M216" s="240">
        <f>AVERAGE(Ashed_controlls!$K$1:$K$11)</f>
        <v>5.5147656768714146</v>
      </c>
      <c r="N216" s="195" t="str">
        <f t="shared" si="24"/>
        <v/>
      </c>
      <c r="O216" s="195" t="str">
        <f t="shared" si="30"/>
        <v/>
      </c>
      <c r="P216" s="240">
        <f>AVERAGE(Ashed_controlls!$K$12:$K$14)</f>
        <v>2.2816647271287041</v>
      </c>
      <c r="Q216" s="195" t="str">
        <f t="shared" si="25"/>
        <v/>
      </c>
      <c r="R216" s="16">
        <f>IF('Dry_Litterbag Placem_Collection'!G143="N.A","",'Dry_Litterbag Placem_Collection'!G143)</f>
        <v>0</v>
      </c>
      <c r="S216" s="195" t="str">
        <f>IF(IFERROR(INDEX('Both teabags AfterDry'!$D$1:$D$839,MATCH(H216,'Both teabags AfterDry'!$A$1:$A$839,0)),"")="N.A","",(IFERROR(INDEX('Both teabags AfterDry'!$D$1:$D$839,MATCH(H216,'Both teabags AfterDry'!$A$1:$A$839,0)),"")))</f>
        <v/>
      </c>
      <c r="T216" s="195" t="str">
        <f>IF(IFERROR(INDEX('Both teabags AfterDry'!$D$1:$D$839,MATCH(I216,'Both teabags AfterDry'!$A$1:$A$839,0)),"")="N.A","",(IFERROR(INDEX('Both teabags AfterDry'!$D$1:$D$839,MATCH(I216,'Both teabags AfterDry'!$A$1:$A$839,0)),"")))</f>
        <v/>
      </c>
      <c r="U216" s="195" t="str">
        <f t="shared" si="31"/>
        <v/>
      </c>
      <c r="V216" s="195" t="str">
        <f t="shared" si="31"/>
        <v/>
      </c>
      <c r="W216" s="195" t="str">
        <f>IFERROR(INDEX('Ashed teabags dry'!$K$2:$K$821,MATCH(H216,'Ashed teabags dry'!$A$2:$A$821,0)),"")</f>
        <v/>
      </c>
      <c r="X216" s="195" t="str">
        <f>IFERROR(INDEX('Ashed teabags dry'!$K$2:$K$821,MATCH(I216,'Ashed teabags dry'!$A$2:$A$821,0)),"")</f>
        <v/>
      </c>
      <c r="Y216" s="195" t="str">
        <f t="shared" si="26"/>
        <v/>
      </c>
      <c r="Z216" s="195" t="str">
        <f t="shared" si="26"/>
        <v/>
      </c>
      <c r="AA216" s="195" t="str">
        <f t="shared" si="32"/>
        <v/>
      </c>
      <c r="AB216" s="195" t="str">
        <f t="shared" si="33"/>
        <v/>
      </c>
      <c r="AC216" s="195" t="str">
        <f t="shared" si="27"/>
        <v/>
      </c>
      <c r="AD216" t="str">
        <f t="shared" si="28"/>
        <v/>
      </c>
      <c r="AE216" s="195" t="str">
        <f t="shared" si="34"/>
        <v/>
      </c>
      <c r="AF216" s="195" t="str">
        <f t="shared" si="35"/>
        <v/>
      </c>
      <c r="AG216" s="255" t="str">
        <f>IF(ISNUMBER(SEARCH("C", 'Dry_Litterbag Placem_Collection'!AB143)),"YES","NO")</f>
        <v>NO</v>
      </c>
      <c r="AH216" s="255" t="str">
        <f>IF(ISNUMBER(SEARCH("H", 'Dry_Litterbag Placem_Collection'!AB143)),"YES","NO")</f>
        <v>NO</v>
      </c>
      <c r="AI216" s="255" t="str">
        <f>IF(ISNUMBER(SEARCH("R", 'Dry_Litterbag Placem_Collection'!AB143)),"YES","NO")</f>
        <v>NO</v>
      </c>
      <c r="AJ216" s="255" t="str">
        <f>IF(ISNUMBER(SEARCH("C", 'Dry_Litterbag Placem_Collection'!AA143)),"YES","NO")</f>
        <v>NO</v>
      </c>
      <c r="AK216" s="255" t="str">
        <f>IF(ISNUMBER(SEARCH("H", 'Dry_Litterbag Placem_Collection'!AA143)),"YES","NO")</f>
        <v>NO</v>
      </c>
      <c r="AL216" s="255" t="str">
        <f>IF(ISNUMBER(SEARCH("R", 'Dry_Litterbag Placem_Collection'!AA143)),"YES","NO")</f>
        <v>NO</v>
      </c>
      <c r="AR216" t="s">
        <v>3654</v>
      </c>
      <c r="AT216" t="s">
        <v>3654</v>
      </c>
    </row>
    <row r="217" spans="2:46">
      <c r="B217" t="str">
        <f>'Final data_for_R_analysis_Dryse'!A143</f>
        <v>Dry</v>
      </c>
      <c r="C217" s="263">
        <f>'Final data_for_R_analysis_Dryse'!B143</f>
        <v>142</v>
      </c>
      <c r="D217" t="s">
        <v>3848</v>
      </c>
      <c r="E217" t="s">
        <v>22</v>
      </c>
      <c r="F217" s="387">
        <v>6</v>
      </c>
      <c r="G217" s="16">
        <f>'Dry_Litterbag Placem_Collection'!E144</f>
        <v>42939</v>
      </c>
      <c r="H217" t="str">
        <f>'Final data_for_R_analysis_Dryse'!J143</f>
        <v>G87</v>
      </c>
      <c r="I217" t="str">
        <f>'Final data_for_R_analysis_Dryse'!J363</f>
        <v>R834</v>
      </c>
      <c r="J217">
        <f>IFERROR(INDEX('Green_rooibos initial weight'!$C$5:$C$1749,MATCH(H217, 'Green_rooibos initial weight'!$A$5:$A$1749,0)),"")</f>
        <v>1.9870000000000001</v>
      </c>
      <c r="K217">
        <f>IFERROR(INDEX('Green_rooibos initial weight'!$C$5:$C$1749,MATCH(I217, 'Green_rooibos initial weight'!$A$5:$A$1749,0)),"")</f>
        <v>2.1840000000000002</v>
      </c>
      <c r="L217" s="195">
        <f t="shared" si="29"/>
        <v>1.7372000000000001</v>
      </c>
      <c r="M217" s="240">
        <f>AVERAGE(Ashed_controlls!$K$1:$K$11)</f>
        <v>5.5147656768714146</v>
      </c>
      <c r="N217" s="195">
        <f t="shared" si="24"/>
        <v>1.64139749066139</v>
      </c>
      <c r="O217" s="195">
        <f t="shared" si="30"/>
        <v>1.9342000000000001</v>
      </c>
      <c r="P217" s="240">
        <f>AVERAGE(Ashed_controlls!$K$12:$K$14)</f>
        <v>2.2816647271287041</v>
      </c>
      <c r="Q217" s="195">
        <f t="shared" si="25"/>
        <v>1.8900680408478767</v>
      </c>
      <c r="R217" s="16">
        <f>IF('Dry_Litterbag Placem_Collection'!G144="N.A","",'Dry_Litterbag Placem_Collection'!G144)</f>
        <v>43008</v>
      </c>
      <c r="S217" s="195" t="str">
        <f>IF(IFERROR(INDEX('Both teabags AfterDry'!$D$1:$D$839,MATCH(H217,'Both teabags AfterDry'!$A$1:$A$839,0)),"")="N.A","",(IFERROR(INDEX('Both teabags AfterDry'!$D$1:$D$839,MATCH(H217,'Both teabags AfterDry'!$A$1:$A$839,0)),"")))</f>
        <v/>
      </c>
      <c r="T217" s="195" t="str">
        <f>IF(IFERROR(INDEX('Both teabags AfterDry'!$D$1:$D$839,MATCH(I217,'Both teabags AfterDry'!$A$1:$A$839,0)),"")="N.A","",(IFERROR(INDEX('Both teabags AfterDry'!$D$1:$D$839,MATCH(I217,'Both teabags AfterDry'!$A$1:$A$839,0)),"")))</f>
        <v/>
      </c>
      <c r="U217" s="195" t="str">
        <f t="shared" si="31"/>
        <v/>
      </c>
      <c r="V217" s="195" t="str">
        <f t="shared" si="31"/>
        <v/>
      </c>
      <c r="W217" s="195" t="str">
        <f>IFERROR(INDEX('Ashed teabags dry'!$K$2:$K$821,MATCH(H217,'Ashed teabags dry'!$A$2:$A$821,0)),"")</f>
        <v/>
      </c>
      <c r="X217" s="195" t="str">
        <f>IFERROR(INDEX('Ashed teabags dry'!$K$2:$K$821,MATCH(I217,'Ashed teabags dry'!$A$2:$A$821,0)),"")</f>
        <v/>
      </c>
      <c r="Y217" s="195" t="str">
        <f t="shared" si="26"/>
        <v/>
      </c>
      <c r="Z217" s="195" t="str">
        <f t="shared" si="26"/>
        <v/>
      </c>
      <c r="AA217" s="195" t="str">
        <f t="shared" si="32"/>
        <v/>
      </c>
      <c r="AB217" s="195" t="str">
        <f t="shared" si="33"/>
        <v/>
      </c>
      <c r="AC217" s="195" t="str">
        <f t="shared" si="27"/>
        <v/>
      </c>
      <c r="AD217">
        <f t="shared" si="28"/>
        <v>69</v>
      </c>
      <c r="AE217" s="195" t="str">
        <f t="shared" si="34"/>
        <v/>
      </c>
      <c r="AF217" s="195" t="str">
        <f t="shared" si="35"/>
        <v/>
      </c>
      <c r="AG217" s="255" t="str">
        <f>IF(ISNUMBER(SEARCH("C", 'Dry_Litterbag Placem_Collection'!AB144)),"YES","NO")</f>
        <v>NO</v>
      </c>
      <c r="AH217" s="255" t="str">
        <f>IF(ISNUMBER(SEARCH("H", 'Dry_Litterbag Placem_Collection'!AB144)),"YES","NO")</f>
        <v>NO</v>
      </c>
      <c r="AI217" s="255" t="str">
        <f>IF(ISNUMBER(SEARCH("R", 'Dry_Litterbag Placem_Collection'!AB144)),"YES","NO")</f>
        <v>NO</v>
      </c>
      <c r="AJ217" s="255" t="str">
        <f>IF(ISNUMBER(SEARCH("C", 'Dry_Litterbag Placem_Collection'!AA144)),"YES","NO")</f>
        <v>NO</v>
      </c>
      <c r="AK217" s="255" t="str">
        <f>IF(ISNUMBER(SEARCH("H", 'Dry_Litterbag Placem_Collection'!AA144)),"YES","NO")</f>
        <v>NO</v>
      </c>
      <c r="AL217" s="255" t="str">
        <f>IF(ISNUMBER(SEARCH("R", 'Dry_Litterbag Placem_Collection'!AA144)),"YES","NO")</f>
        <v>NO</v>
      </c>
      <c r="AR217" t="s">
        <v>1963</v>
      </c>
      <c r="AT217" t="s">
        <v>305</v>
      </c>
    </row>
    <row r="218" spans="2:46">
      <c r="B218" t="str">
        <f>'Final data_for_R_analysis_Dryse'!A144</f>
        <v>Dry</v>
      </c>
      <c r="C218" s="263">
        <f>'Final data_for_R_analysis_Dryse'!B144</f>
        <v>143</v>
      </c>
      <c r="D218" t="s">
        <v>3848</v>
      </c>
      <c r="E218" t="s">
        <v>22</v>
      </c>
      <c r="F218" s="387">
        <v>7</v>
      </c>
      <c r="G218" s="16">
        <f>'Dry_Litterbag Placem_Collection'!E145</f>
        <v>42939</v>
      </c>
      <c r="H218" t="str">
        <f>'Final data_for_R_analysis_Dryse'!J144</f>
        <v>G501</v>
      </c>
      <c r="I218" t="str">
        <f>'Final data_for_R_analysis_Dryse'!J364</f>
        <v>R774</v>
      </c>
      <c r="J218">
        <f>IFERROR(INDEX('Green_rooibos initial weight'!$C$5:$C$1749,MATCH(H218, 'Green_rooibos initial weight'!$A$5:$A$1749,0)),"")</f>
        <v>1.917</v>
      </c>
      <c r="K218">
        <f>IFERROR(INDEX('Green_rooibos initial weight'!$C$5:$C$1749,MATCH(I218, 'Green_rooibos initial weight'!$A$5:$A$1749,0)),"")</f>
        <v>2.1629999999999998</v>
      </c>
      <c r="L218" s="195">
        <f t="shared" si="29"/>
        <v>1.6672</v>
      </c>
      <c r="M218" s="240">
        <f>AVERAGE(Ashed_controlls!$K$1:$K$11)</f>
        <v>5.5147656768714146</v>
      </c>
      <c r="N218" s="195">
        <f t="shared" si="24"/>
        <v>1.5752578266351998</v>
      </c>
      <c r="O218" s="195">
        <f t="shared" si="30"/>
        <v>1.9131999999999998</v>
      </c>
      <c r="P218" s="240">
        <f>AVERAGE(Ashed_controlls!$K$12:$K$14)</f>
        <v>2.2816647271287041</v>
      </c>
      <c r="Q218" s="195">
        <f t="shared" si="25"/>
        <v>1.8695471904405734</v>
      </c>
      <c r="R218" s="16">
        <f>IF('Dry_Litterbag Placem_Collection'!G145="N.A","",'Dry_Litterbag Placem_Collection'!G145)</f>
        <v>43008</v>
      </c>
      <c r="S218" s="195">
        <f>IF(IFERROR(INDEX('Both teabags AfterDry'!$D$1:$D$839,MATCH(H218,'Both teabags AfterDry'!$A$1:$A$839,0)),"")="N.A","",(IFERROR(INDEX('Both teabags AfterDry'!$D$1:$D$839,MATCH(H218,'Both teabags AfterDry'!$A$1:$A$839,0)),"")))</f>
        <v>0.78680000000000005</v>
      </c>
      <c r="T218" s="195">
        <f>IF(IFERROR(INDEX('Both teabags AfterDry'!$D$1:$D$839,MATCH(I218,'Both teabags AfterDry'!$A$1:$A$839,0)),"")="N.A","",(IFERROR(INDEX('Both teabags AfterDry'!$D$1:$D$839,MATCH(I218,'Both teabags AfterDry'!$A$1:$A$839,0)),"")))</f>
        <v>1.5979000000000001</v>
      </c>
      <c r="U218" s="195">
        <f t="shared" si="31"/>
        <v>0.6362000000000001</v>
      </c>
      <c r="V218" s="195">
        <f t="shared" si="31"/>
        <v>1.4473</v>
      </c>
      <c r="W218" s="195">
        <f>IFERROR(INDEX('Ashed teabags dry'!$K$2:$K$821,MATCH(H218,'Ashed teabags dry'!$A$2:$A$821,0)),"")</f>
        <v>20.618120237087211</v>
      </c>
      <c r="X218" s="195">
        <f>IFERROR(INDEX('Ashed teabags dry'!$K$2:$K$821,MATCH(I218,'Ashed teabags dry'!$A$2:$A$821,0)),"")</f>
        <v>5.2657480314956748</v>
      </c>
      <c r="Y218" s="195">
        <f t="shared" si="26"/>
        <v>0.50502751905165122</v>
      </c>
      <c r="Z218" s="195">
        <f t="shared" si="26"/>
        <v>1.371088828740163</v>
      </c>
      <c r="AA218" s="195">
        <f t="shared" si="32"/>
        <v>0.67940008898073156</v>
      </c>
      <c r="AB218" s="195">
        <f t="shared" si="33"/>
        <v>0.44540243363107346</v>
      </c>
      <c r="AC218" s="195">
        <f t="shared" si="27"/>
        <v>0.73338016593047606</v>
      </c>
      <c r="AD218">
        <f t="shared" si="28"/>
        <v>69</v>
      </c>
      <c r="AE218" s="195">
        <f t="shared" si="34"/>
        <v>0.19311153327704089</v>
      </c>
      <c r="AF218" s="195">
        <f t="shared" si="35"/>
        <v>1.3229096791529373E-2</v>
      </c>
      <c r="AG218" s="255" t="str">
        <f>IF(ISNUMBER(SEARCH("C", 'Dry_Litterbag Placem_Collection'!AB145)),"YES","NO")</f>
        <v>NO</v>
      </c>
      <c r="AH218" s="255" t="str">
        <f>IF(ISNUMBER(SEARCH("H", 'Dry_Litterbag Placem_Collection'!AB145)),"YES","NO")</f>
        <v>NO</v>
      </c>
      <c r="AI218" s="255" t="str">
        <f>IF(ISNUMBER(SEARCH("R", 'Dry_Litterbag Placem_Collection'!AB145)),"YES","NO")</f>
        <v>NO</v>
      </c>
      <c r="AJ218" s="255" t="str">
        <f>IF(ISNUMBER(SEARCH("C", 'Dry_Litterbag Placem_Collection'!AA145)),"YES","NO")</f>
        <v>NO</v>
      </c>
      <c r="AK218" s="255" t="str">
        <f>IF(ISNUMBER(SEARCH("H", 'Dry_Litterbag Placem_Collection'!AA145)),"YES","NO")</f>
        <v>NO</v>
      </c>
      <c r="AL218" s="255" t="str">
        <f>IF(ISNUMBER(SEARCH("R", 'Dry_Litterbag Placem_Collection'!AA145)),"YES","NO")</f>
        <v>NO</v>
      </c>
      <c r="AR218" t="s">
        <v>1549</v>
      </c>
      <c r="AT218" t="s">
        <v>365</v>
      </c>
    </row>
    <row r="219" spans="2:46">
      <c r="B219" t="str">
        <f>'Final data_for_R_analysis_Dryse'!A145</f>
        <v>Dry</v>
      </c>
      <c r="C219" s="263">
        <f>'Final data_for_R_analysis_Dryse'!B145</f>
        <v>144</v>
      </c>
      <c r="D219" t="s">
        <v>3848</v>
      </c>
      <c r="E219" t="s">
        <v>22</v>
      </c>
      <c r="F219" s="387">
        <v>8</v>
      </c>
      <c r="G219" s="16">
        <f>'Dry_Litterbag Placem_Collection'!E146</f>
        <v>42939</v>
      </c>
      <c r="H219" t="str">
        <f>'Final data_for_R_analysis_Dryse'!J145</f>
        <v>G141</v>
      </c>
      <c r="I219" t="str">
        <f>'Final data_for_R_analysis_Dryse'!J365</f>
        <v>R779</v>
      </c>
      <c r="J219">
        <f>IFERROR(INDEX('Green_rooibos initial weight'!$C$5:$C$1749,MATCH(H219, 'Green_rooibos initial weight'!$A$5:$A$1749,0)),"")</f>
        <v>2.0310000000000001</v>
      </c>
      <c r="K219">
        <f>IFERROR(INDEX('Green_rooibos initial weight'!$C$5:$C$1749,MATCH(I219, 'Green_rooibos initial weight'!$A$5:$A$1749,0)),"")</f>
        <v>2.16</v>
      </c>
      <c r="L219" s="195">
        <f t="shared" si="29"/>
        <v>1.7812000000000001</v>
      </c>
      <c r="M219" s="240">
        <f>AVERAGE(Ashed_controlls!$K$1:$K$11)</f>
        <v>5.5147656768714146</v>
      </c>
      <c r="N219" s="195">
        <f t="shared" si="24"/>
        <v>1.6829709937635664</v>
      </c>
      <c r="O219" s="195">
        <f t="shared" si="30"/>
        <v>1.9102000000000001</v>
      </c>
      <c r="P219" s="240">
        <f>AVERAGE(Ashed_controlls!$K$12:$K$14)</f>
        <v>2.2816647271287041</v>
      </c>
      <c r="Q219" s="195">
        <f t="shared" si="25"/>
        <v>1.8666156403823877</v>
      </c>
      <c r="R219" s="16">
        <f>IF('Dry_Litterbag Placem_Collection'!G146="N.A","",'Dry_Litterbag Placem_Collection'!G146)</f>
        <v>43008</v>
      </c>
      <c r="S219" s="195">
        <f>IF(IFERROR(INDEX('Both teabags AfterDry'!$D$1:$D$839,MATCH(H219,'Both teabags AfterDry'!$A$1:$A$839,0)),"")="N.A","",(IFERROR(INDEX('Both teabags AfterDry'!$D$1:$D$839,MATCH(H219,'Both teabags AfterDry'!$A$1:$A$839,0)),"")))</f>
        <v>0.66180000000000005</v>
      </c>
      <c r="T219" s="195">
        <f>IF(IFERROR(INDEX('Both teabags AfterDry'!$D$1:$D$839,MATCH(I219,'Both teabags AfterDry'!$A$1:$A$839,0)),"")="N.A","",(IFERROR(INDEX('Both teabags AfterDry'!$D$1:$D$839,MATCH(I219,'Both teabags AfterDry'!$A$1:$A$839,0)),"")))</f>
        <v>0.17680000000000001</v>
      </c>
      <c r="U219" s="195">
        <f t="shared" si="31"/>
        <v>0.5112000000000001</v>
      </c>
      <c r="V219" s="195">
        <f t="shared" si="31"/>
        <v>2.6200000000000001E-2</v>
      </c>
      <c r="W219" s="195">
        <f>IFERROR(INDEX('Ashed teabags dry'!$K$2:$K$821,MATCH(H219,'Ashed teabags dry'!$A$2:$A$821,0)),"")</f>
        <v>16.886930983847094</v>
      </c>
      <c r="X219" s="195">
        <f>IFERROR(INDEX('Ashed teabags dry'!$K$2:$K$821,MATCH(I219,'Ashed teabags dry'!$A$2:$A$821,0)),"")</f>
        <v>0</v>
      </c>
      <c r="Y219" s="195">
        <f t="shared" si="26"/>
        <v>0.42487400881057374</v>
      </c>
      <c r="Z219" s="195">
        <f t="shared" si="26"/>
        <v>2.6200000000000001E-2</v>
      </c>
      <c r="AA219" s="195">
        <f t="shared" si="32"/>
        <v>0.74754525753266643</v>
      </c>
      <c r="AB219" s="195">
        <f t="shared" si="33"/>
        <v>0.49007717595965788</v>
      </c>
      <c r="AC219" s="195">
        <f t="shared" si="27"/>
        <v>1.4036097969602767E-2</v>
      </c>
      <c r="AD219">
        <f t="shared" si="28"/>
        <v>69</v>
      </c>
      <c r="AE219" s="195">
        <f t="shared" si="34"/>
        <v>0.1121790290585909</v>
      </c>
      <c r="AF219" s="195" t="str">
        <f t="shared" si="35"/>
        <v/>
      </c>
      <c r="AG219" s="255" t="str">
        <f>IF(ISNUMBER(SEARCH("C", 'Dry_Litterbag Placem_Collection'!AB146)),"YES","NO")</f>
        <v>NO</v>
      </c>
      <c r="AH219" s="255" t="str">
        <f>IF(ISNUMBER(SEARCH("H", 'Dry_Litterbag Placem_Collection'!AB146)),"YES","NO")</f>
        <v>NO</v>
      </c>
      <c r="AI219" s="255" t="str">
        <f>IF(ISNUMBER(SEARCH("R", 'Dry_Litterbag Placem_Collection'!AB146)),"YES","NO")</f>
        <v>NO</v>
      </c>
      <c r="AJ219" s="255" t="str">
        <f>IF(ISNUMBER(SEARCH("C", 'Dry_Litterbag Placem_Collection'!AA146)),"YES","NO")</f>
        <v>NO</v>
      </c>
      <c r="AK219" s="255" t="str">
        <f>IF(ISNUMBER(SEARCH("H", 'Dry_Litterbag Placem_Collection'!AA146)),"YES","NO")</f>
        <v>NO</v>
      </c>
      <c r="AL219" s="255" t="str">
        <f>IF(ISNUMBER(SEARCH("R", 'Dry_Litterbag Placem_Collection'!AA146)),"YES","NO")</f>
        <v>NO</v>
      </c>
      <c r="AR219" t="s">
        <v>1909</v>
      </c>
      <c r="AT219" t="s">
        <v>360</v>
      </c>
    </row>
    <row r="220" spans="2:46">
      <c r="B220" t="str">
        <f>'Final data_for_R_analysis_Dryse'!A146</f>
        <v>Dry</v>
      </c>
      <c r="C220" s="263">
        <f>'Final data_for_R_analysis_Dryse'!B146</f>
        <v>145</v>
      </c>
      <c r="D220" t="s">
        <v>3849</v>
      </c>
      <c r="E220" t="s">
        <v>22</v>
      </c>
      <c r="F220" s="386">
        <v>1</v>
      </c>
      <c r="G220" s="16">
        <f>'Dry_Litterbag Placem_Collection'!E147</f>
        <v>42939</v>
      </c>
      <c r="H220" t="str">
        <f>'Final data_for_R_analysis_Dryse'!J146</f>
        <v>G131</v>
      </c>
      <c r="I220" t="str">
        <f>'Final data_for_R_analysis_Dryse'!J366</f>
        <v>R728</v>
      </c>
      <c r="J220">
        <f>IFERROR(INDEX('Green_rooibos initial weight'!$C$5:$C$1749,MATCH(H220, 'Green_rooibos initial weight'!$A$5:$A$1749,0)),"")</f>
        <v>1.9670000000000001</v>
      </c>
      <c r="K220">
        <f>IFERROR(INDEX('Green_rooibos initial weight'!$C$5:$C$1749,MATCH(I220, 'Green_rooibos initial weight'!$A$5:$A$1749,0)),"")</f>
        <v>2.2429999999999999</v>
      </c>
      <c r="L220" s="195">
        <f t="shared" si="29"/>
        <v>1.7172000000000001</v>
      </c>
      <c r="M220" s="240">
        <f>AVERAGE(Ashed_controlls!$K$1:$K$11)</f>
        <v>5.5147656768714146</v>
      </c>
      <c r="N220" s="195">
        <f t="shared" si="24"/>
        <v>1.6225004437967641</v>
      </c>
      <c r="O220" s="195">
        <f t="shared" si="30"/>
        <v>1.9931999999999999</v>
      </c>
      <c r="P220" s="240">
        <f>AVERAGE(Ashed_controlls!$K$12:$K$14)</f>
        <v>2.2816647271287041</v>
      </c>
      <c r="Q220" s="195">
        <f t="shared" si="25"/>
        <v>1.9477218586588705</v>
      </c>
      <c r="R220" s="16">
        <f>IF('Dry_Litterbag Placem_Collection'!G147="N.A","",'Dry_Litterbag Placem_Collection'!G147)</f>
        <v>43010</v>
      </c>
      <c r="S220" s="195">
        <f>IF(IFERROR(INDEX('Both teabags AfterDry'!$D$1:$D$839,MATCH(H220,'Both teabags AfterDry'!$A$1:$A$839,0)),"")="N.A","",(IFERROR(INDEX('Both teabags AfterDry'!$D$1:$D$839,MATCH(H220,'Both teabags AfterDry'!$A$1:$A$839,0)),"")))</f>
        <v>1.544</v>
      </c>
      <c r="T220" s="195">
        <f>IF(IFERROR(INDEX('Both teabags AfterDry'!$D$1:$D$839,MATCH(I220,'Both teabags AfterDry'!$A$1:$A$839,0)),"")="N.A","",(IFERROR(INDEX('Both teabags AfterDry'!$D$1:$D$839,MATCH(I220,'Both teabags AfterDry'!$A$1:$A$839,0)),"")))</f>
        <v>1.9579</v>
      </c>
      <c r="U220" s="195">
        <f t="shared" si="31"/>
        <v>1.3934</v>
      </c>
      <c r="V220" s="195">
        <f t="shared" si="31"/>
        <v>1.8072999999999999</v>
      </c>
      <c r="W220" s="195">
        <f>IFERROR(INDEX('Ashed teabags dry'!$K$2:$K$821,MATCH(H220,'Ashed teabags dry'!$A$2:$A$821,0)),"")</f>
        <v>8.3820662768028189</v>
      </c>
      <c r="X220" s="195">
        <f>IFERROR(INDEX('Ashed teabags dry'!$K$2:$K$821,MATCH(I220,'Ashed teabags dry'!$A$2:$A$821,0)),"")</f>
        <v>3.1746031746032655</v>
      </c>
      <c r="Y220" s="195">
        <f t="shared" si="26"/>
        <v>1.2766042884990294</v>
      </c>
      <c r="Z220" s="195">
        <f t="shared" si="26"/>
        <v>1.7499253968253952</v>
      </c>
      <c r="AA220" s="195">
        <f t="shared" si="32"/>
        <v>0.21318709441355443</v>
      </c>
      <c r="AB220" s="195">
        <f t="shared" si="33"/>
        <v>0.13976161058940859</v>
      </c>
      <c r="AC220" s="195">
        <f t="shared" si="27"/>
        <v>0.89844727523381052</v>
      </c>
      <c r="AD220">
        <f t="shared" si="28"/>
        <v>71</v>
      </c>
      <c r="AE220" s="195">
        <f t="shared" si="34"/>
        <v>0.74680867646846272</v>
      </c>
      <c r="AF220" s="195">
        <f t="shared" si="35"/>
        <v>1.8265775887172896E-2</v>
      </c>
      <c r="AG220" s="255" t="str">
        <f>IF(ISNUMBER(SEARCH("C", 'Dry_Litterbag Placem_Collection'!AB147)),"YES","NO")</f>
        <v>NO</v>
      </c>
      <c r="AH220" s="255" t="str">
        <f>IF(ISNUMBER(SEARCH("H", 'Dry_Litterbag Placem_Collection'!AB147)),"YES","NO")</f>
        <v>NO</v>
      </c>
      <c r="AI220" s="255" t="str">
        <f>IF(ISNUMBER(SEARCH("R", 'Dry_Litterbag Placem_Collection'!AB147)),"YES","NO")</f>
        <v>NO</v>
      </c>
      <c r="AJ220" s="255" t="str">
        <f>IF(ISNUMBER(SEARCH("C", 'Dry_Litterbag Placem_Collection'!AA147)),"YES","NO")</f>
        <v>NO</v>
      </c>
      <c r="AK220" s="255" t="str">
        <f>IF(ISNUMBER(SEARCH("H", 'Dry_Litterbag Placem_Collection'!AA147)),"YES","NO")</f>
        <v>NO</v>
      </c>
      <c r="AL220" s="255" t="str">
        <f>IF(ISNUMBER(SEARCH("R", 'Dry_Litterbag Placem_Collection'!AA147)),"YES","NO")</f>
        <v>NO</v>
      </c>
      <c r="AR220" t="s">
        <v>1919</v>
      </c>
      <c r="AT220" t="s">
        <v>411</v>
      </c>
    </row>
    <row r="221" spans="2:46">
      <c r="B221" t="str">
        <f>'Final data_for_R_analysis_Dryse'!A147</f>
        <v>Dry</v>
      </c>
      <c r="C221" s="263">
        <f>'Final data_for_R_analysis_Dryse'!B147</f>
        <v>146</v>
      </c>
      <c r="D221" t="s">
        <v>3849</v>
      </c>
      <c r="E221" t="s">
        <v>22</v>
      </c>
      <c r="F221" s="386">
        <v>2</v>
      </c>
      <c r="G221" s="16">
        <f>'Dry_Litterbag Placem_Collection'!E148</f>
        <v>42939</v>
      </c>
      <c r="H221" t="str">
        <f>'Final data_for_R_analysis_Dryse'!J147</f>
        <v>G465</v>
      </c>
      <c r="I221" t="str">
        <f>'Final data_for_R_analysis_Dryse'!J367</f>
        <v>R13</v>
      </c>
      <c r="J221">
        <f>IFERROR(INDEX('Green_rooibos initial weight'!$C$5:$C$1749,MATCH(H221, 'Green_rooibos initial weight'!$A$5:$A$1749,0)),"")</f>
        <v>2.004</v>
      </c>
      <c r="K221">
        <f>IFERROR(INDEX('Green_rooibos initial weight'!$C$5:$C$1749,MATCH(I221, 'Green_rooibos initial weight'!$A$5:$A$1749,0)),"")</f>
        <v>2.2490000000000001</v>
      </c>
      <c r="L221" s="195">
        <f t="shared" si="29"/>
        <v>1.7542</v>
      </c>
      <c r="M221" s="240">
        <f>AVERAGE(Ashed_controlls!$K$1:$K$11)</f>
        <v>5.5147656768714146</v>
      </c>
      <c r="N221" s="195">
        <f t="shared" si="24"/>
        <v>1.6574599804963217</v>
      </c>
      <c r="O221" s="195">
        <f t="shared" si="30"/>
        <v>1.9992000000000001</v>
      </c>
      <c r="P221" s="240">
        <f>AVERAGE(Ashed_controlls!$K$12:$K$14)</f>
        <v>2.2816647271287041</v>
      </c>
      <c r="Q221" s="195">
        <f t="shared" si="25"/>
        <v>1.953584958775243</v>
      </c>
      <c r="R221" s="16">
        <f>IF('Dry_Litterbag Placem_Collection'!G148="N.A","",'Dry_Litterbag Placem_Collection'!G148)</f>
        <v>43010</v>
      </c>
      <c r="S221" s="195">
        <f>IF(IFERROR(INDEX('Both teabags AfterDry'!$D$1:$D$839,MATCH(H221,'Both teabags AfterDry'!$A$1:$A$839,0)),"")="N.A","",(IFERROR(INDEX('Both teabags AfterDry'!$D$1:$D$839,MATCH(H221,'Both teabags AfterDry'!$A$1:$A$839,0)),"")))</f>
        <v>1.6845000000000001</v>
      </c>
      <c r="T221" s="195">
        <f>IF(IFERROR(INDEX('Both teabags AfterDry'!$D$1:$D$839,MATCH(I221,'Both teabags AfterDry'!$A$1:$A$839,0)),"")="N.A","",(IFERROR(INDEX('Both teabags AfterDry'!$D$1:$D$839,MATCH(I221,'Both teabags AfterDry'!$A$1:$A$839,0)),"")))</f>
        <v>0.68400000000000005</v>
      </c>
      <c r="U221" s="195">
        <f t="shared" si="31"/>
        <v>1.5339</v>
      </c>
      <c r="V221" s="195">
        <f t="shared" si="31"/>
        <v>0.5334000000000001</v>
      </c>
      <c r="W221" s="195">
        <f>IFERROR(INDEX('Ashed teabags dry'!$K$2:$K$821,MATCH(H221,'Ashed teabags dry'!$A$2:$A$821,0)),"")</f>
        <v>6.8675889328057185</v>
      </c>
      <c r="X221" s="195">
        <f>IFERROR(INDEX('Ashed teabags dry'!$K$2:$K$821,MATCH(I221,'Ashed teabags dry'!$A$2:$A$821,0)),"")</f>
        <v>88.478802992518979</v>
      </c>
      <c r="Y221" s="195">
        <f t="shared" si="26"/>
        <v>1.4285580533596931</v>
      </c>
      <c r="Z221" s="195">
        <f t="shared" si="26"/>
        <v>6.1454064837903777E-2</v>
      </c>
      <c r="AA221" s="195">
        <f t="shared" si="32"/>
        <v>0.13810404464069448</v>
      </c>
      <c r="AB221" s="195">
        <f t="shared" si="33"/>
        <v>9.0538518576797317E-2</v>
      </c>
      <c r="AC221" s="195">
        <f t="shared" si="27"/>
        <v>3.1457073091119135E-2</v>
      </c>
      <c r="AD221">
        <f t="shared" si="28"/>
        <v>71</v>
      </c>
      <c r="AE221" s="195">
        <f t="shared" si="34"/>
        <v>0.83598094460725125</v>
      </c>
      <c r="AF221" s="195" t="str">
        <f t="shared" si="35"/>
        <v/>
      </c>
      <c r="AG221" s="255" t="str">
        <f>IF(ISNUMBER(SEARCH("C", 'Dry_Litterbag Placem_Collection'!AB148)),"YES","NO")</f>
        <v>NO</v>
      </c>
      <c r="AH221" s="255" t="str">
        <f>IF(ISNUMBER(SEARCH("H", 'Dry_Litterbag Placem_Collection'!AB148)),"YES","NO")</f>
        <v>NO</v>
      </c>
      <c r="AI221" s="255" t="str">
        <f>IF(ISNUMBER(SEARCH("R", 'Dry_Litterbag Placem_Collection'!AB148)),"YES","NO")</f>
        <v>NO</v>
      </c>
      <c r="AJ221" s="255" t="str">
        <f>IF(ISNUMBER(SEARCH("C", 'Dry_Litterbag Placem_Collection'!AA148)),"YES","NO")</f>
        <v>NO</v>
      </c>
      <c r="AK221" s="255" t="str">
        <f>IF(ISNUMBER(SEARCH("H", 'Dry_Litterbag Placem_Collection'!AA148)),"YES","NO")</f>
        <v>NO</v>
      </c>
      <c r="AL221" s="255" t="str">
        <f>IF(ISNUMBER(SEARCH("R", 'Dry_Litterbag Placem_Collection'!AA148)),"YES","NO")</f>
        <v>NO</v>
      </c>
      <c r="AR221" t="s">
        <v>1585</v>
      </c>
      <c r="AT221" t="s">
        <v>1128</v>
      </c>
    </row>
    <row r="222" spans="2:46">
      <c r="B222" t="str">
        <f>'Final data_for_R_analysis_Dryse'!A148</f>
        <v>Dry</v>
      </c>
      <c r="C222" s="263">
        <f>'Final data_for_R_analysis_Dryse'!B148</f>
        <v>147</v>
      </c>
      <c r="D222" t="s">
        <v>3849</v>
      </c>
      <c r="E222" t="s">
        <v>22</v>
      </c>
      <c r="F222" s="386">
        <v>3</v>
      </c>
      <c r="G222" s="16">
        <f>'Dry_Litterbag Placem_Collection'!E149</f>
        <v>42939</v>
      </c>
      <c r="H222" t="str">
        <f>'Final data_for_R_analysis_Dryse'!J148</f>
        <v>G15</v>
      </c>
      <c r="I222" t="str">
        <f>'Final data_for_R_analysis_Dryse'!J368</f>
        <v>R832</v>
      </c>
      <c r="J222">
        <f>IFERROR(INDEX('Green_rooibos initial weight'!$C$5:$C$1749,MATCH(H222, 'Green_rooibos initial weight'!$A$5:$A$1749,0)),"")</f>
        <v>2.0510000000000002</v>
      </c>
      <c r="K222">
        <f>IFERROR(INDEX('Green_rooibos initial weight'!$C$5:$C$1749,MATCH(I222, 'Green_rooibos initial weight'!$A$5:$A$1749,0)),"")</f>
        <v>2.2149999999999999</v>
      </c>
      <c r="L222" s="195">
        <f t="shared" si="29"/>
        <v>1.8012000000000001</v>
      </c>
      <c r="M222" s="240">
        <f>AVERAGE(Ashed_controlls!$K$1:$K$11)</f>
        <v>5.5147656768714146</v>
      </c>
      <c r="N222" s="195">
        <f t="shared" si="24"/>
        <v>1.7018680406281923</v>
      </c>
      <c r="O222" s="195">
        <f t="shared" si="30"/>
        <v>1.9651999999999998</v>
      </c>
      <c r="P222" s="240">
        <f>AVERAGE(Ashed_controlls!$K$12:$K$14)</f>
        <v>2.2816647271287041</v>
      </c>
      <c r="Q222" s="195">
        <f t="shared" si="25"/>
        <v>1.9203607247824666</v>
      </c>
      <c r="R222" s="16">
        <f>IF('Dry_Litterbag Placem_Collection'!G149="N.A","",'Dry_Litterbag Placem_Collection'!G149)</f>
        <v>43010</v>
      </c>
      <c r="S222" s="195">
        <f>IF(IFERROR(INDEX('Both teabags AfterDry'!$D$1:$D$839,MATCH(H222,'Both teabags AfterDry'!$A$1:$A$839,0)),"")="N.A","",(IFERROR(INDEX('Both teabags AfterDry'!$D$1:$D$839,MATCH(H222,'Both teabags AfterDry'!$A$1:$A$839,0)),"")))</f>
        <v>1.6711</v>
      </c>
      <c r="T222" s="195">
        <f>IF(IFERROR(INDEX('Both teabags AfterDry'!$D$1:$D$839,MATCH(I222,'Both teabags AfterDry'!$A$1:$A$839,0)),"")="N.A","",(IFERROR(INDEX('Both teabags AfterDry'!$D$1:$D$839,MATCH(I222,'Both teabags AfterDry'!$A$1:$A$839,0)),"")))</f>
        <v>1.7279</v>
      </c>
      <c r="U222" s="195">
        <f t="shared" si="31"/>
        <v>1.5205</v>
      </c>
      <c r="V222" s="195">
        <f t="shared" si="31"/>
        <v>1.5772999999999999</v>
      </c>
      <c r="W222" s="195">
        <f>IFERROR(INDEX('Ashed teabags dry'!$K$2:$K$821,MATCH(H222,'Ashed teabags dry'!$A$2:$A$821,0)),"")</f>
        <v>6.9790628115651439</v>
      </c>
      <c r="X222" s="195">
        <f>IFERROR(INDEX('Ashed teabags dry'!$K$2:$K$821,MATCH(I222,'Ashed teabags dry'!$A$2:$A$821,0)),"")</f>
        <v>3.1790556334733524</v>
      </c>
      <c r="Y222" s="195">
        <f t="shared" si="26"/>
        <v>1.4143833499501519</v>
      </c>
      <c r="Z222" s="195">
        <f t="shared" si="26"/>
        <v>1.5271567554932248</v>
      </c>
      <c r="AA222" s="195">
        <f t="shared" si="32"/>
        <v>0.16892302094816014</v>
      </c>
      <c r="AB222" s="195">
        <f t="shared" si="33"/>
        <v>0.1107428830919055</v>
      </c>
      <c r="AC222" s="195">
        <f t="shared" si="27"/>
        <v>0.79524473490063552</v>
      </c>
      <c r="AD222">
        <f t="shared" si="28"/>
        <v>71</v>
      </c>
      <c r="AE222" s="195">
        <f t="shared" si="34"/>
        <v>0.7993788349784321</v>
      </c>
      <c r="AF222" s="195" t="str">
        <f t="shared" si="35"/>
        <v/>
      </c>
      <c r="AG222" s="255" t="str">
        <f>IF(ISNUMBER(SEARCH("C", 'Dry_Litterbag Placem_Collection'!AB149)),"YES","NO")</f>
        <v>NO</v>
      </c>
      <c r="AH222" s="255" t="str">
        <f>IF(ISNUMBER(SEARCH("H", 'Dry_Litterbag Placem_Collection'!AB149)),"YES","NO")</f>
        <v>NO</v>
      </c>
      <c r="AI222" s="255" t="str">
        <f>IF(ISNUMBER(SEARCH("R", 'Dry_Litterbag Placem_Collection'!AB149)),"YES","NO")</f>
        <v>NO</v>
      </c>
      <c r="AJ222" s="255" t="str">
        <f>IF(ISNUMBER(SEARCH("C", 'Dry_Litterbag Placem_Collection'!AA149)),"YES","NO")</f>
        <v>NO</v>
      </c>
      <c r="AK222" s="255" t="str">
        <f>IF(ISNUMBER(SEARCH("H", 'Dry_Litterbag Placem_Collection'!AA149)),"YES","NO")</f>
        <v>NO</v>
      </c>
      <c r="AL222" s="255" t="str">
        <f>IF(ISNUMBER(SEARCH("R", 'Dry_Litterbag Placem_Collection'!AA149)),"YES","NO")</f>
        <v>NO</v>
      </c>
      <c r="AR222" t="s">
        <v>2035</v>
      </c>
      <c r="AT222" t="s">
        <v>307</v>
      </c>
    </row>
    <row r="223" spans="2:46">
      <c r="B223" t="str">
        <f>'Final data_for_R_analysis_Dryse'!A149</f>
        <v>Dry</v>
      </c>
      <c r="C223" s="263">
        <f>'Final data_for_R_analysis_Dryse'!B149</f>
        <v>148</v>
      </c>
      <c r="D223" t="s">
        <v>3849</v>
      </c>
      <c r="E223" t="s">
        <v>22</v>
      </c>
      <c r="F223" s="387">
        <v>4</v>
      </c>
      <c r="G223" s="16">
        <f>'Dry_Litterbag Placem_Collection'!E150</f>
        <v>42939</v>
      </c>
      <c r="H223" t="str">
        <f>'Final data_for_R_analysis_Dryse'!J149</f>
        <v>G290</v>
      </c>
      <c r="I223" t="str">
        <f>'Final data_for_R_analysis_Dryse'!J369</f>
        <v>R823</v>
      </c>
      <c r="J223">
        <f>IFERROR(INDEX('Green_rooibos initial weight'!$C$5:$C$1749,MATCH(H223, 'Green_rooibos initial weight'!$A$5:$A$1749,0)),"")</f>
        <v>2.0539999999999998</v>
      </c>
      <c r="K223">
        <f>IFERROR(INDEX('Green_rooibos initial weight'!$C$5:$C$1749,MATCH(I223, 'Green_rooibos initial weight'!$A$5:$A$1749,0)),"")</f>
        <v>2.214</v>
      </c>
      <c r="L223" s="195">
        <f t="shared" si="29"/>
        <v>1.8041999999999998</v>
      </c>
      <c r="M223" s="240">
        <f>AVERAGE(Ashed_controlls!$K$1:$K$11)</f>
        <v>5.5147656768714146</v>
      </c>
      <c r="N223" s="195">
        <f t="shared" si="24"/>
        <v>1.7047025976578858</v>
      </c>
      <c r="O223" s="195">
        <f t="shared" si="30"/>
        <v>1.9641999999999999</v>
      </c>
      <c r="P223" s="240">
        <f>AVERAGE(Ashed_controlls!$K$12:$K$14)</f>
        <v>2.2816647271287041</v>
      </c>
      <c r="Q223" s="195">
        <f t="shared" si="25"/>
        <v>1.919383541429738</v>
      </c>
      <c r="R223" s="16">
        <f>IF('Dry_Litterbag Placem_Collection'!G150="N.A","",'Dry_Litterbag Placem_Collection'!G150)</f>
        <v>43010</v>
      </c>
      <c r="S223" s="195">
        <f>IF(IFERROR(INDEX('Both teabags AfterDry'!$D$1:$D$839,MATCH(H223,'Both teabags AfterDry'!$A$1:$A$839,0)),"")="N.A","",(IFERROR(INDEX('Both teabags AfterDry'!$D$1:$D$839,MATCH(H223,'Both teabags AfterDry'!$A$1:$A$839,0)),"")))</f>
        <v>1.6564000000000001</v>
      </c>
      <c r="T223" s="195">
        <f>IF(IFERROR(INDEX('Both teabags AfterDry'!$D$1:$D$839,MATCH(I223,'Both teabags AfterDry'!$A$1:$A$839,0)),"")="N.A","",(IFERROR(INDEX('Both teabags AfterDry'!$D$1:$D$839,MATCH(I223,'Both teabags AfterDry'!$A$1:$A$839,0)),"")))</f>
        <v>0</v>
      </c>
      <c r="U223" s="195">
        <f t="shared" si="31"/>
        <v>1.5058</v>
      </c>
      <c r="V223" s="195" t="str">
        <f t="shared" si="31"/>
        <v/>
      </c>
      <c r="W223" s="195">
        <f>IFERROR(INDEX('Ashed teabags dry'!$K$2:$K$821,MATCH(H223,'Ashed teabags dry'!$A$2:$A$821,0)),"")</f>
        <v>7.4552269887550784</v>
      </c>
      <c r="X223" s="195">
        <f>IFERROR(INDEX('Ashed teabags dry'!$K$2:$K$821,MATCH(I223,'Ashed teabags dry'!$A$2:$A$821,0)),"")</f>
        <v>90.2597402597399</v>
      </c>
      <c r="Y223" s="195">
        <f t="shared" si="26"/>
        <v>1.393539192003326</v>
      </c>
      <c r="Z223" s="195" t="str">
        <f t="shared" si="26"/>
        <v/>
      </c>
      <c r="AA223" s="195">
        <f t="shared" si="32"/>
        <v>0.18253237021054081</v>
      </c>
      <c r="AB223" s="195">
        <f t="shared" si="33"/>
        <v>0.11966492678885816</v>
      </c>
      <c r="AC223" s="195" t="str">
        <f t="shared" si="27"/>
        <v/>
      </c>
      <c r="AD223">
        <f t="shared" si="28"/>
        <v>71</v>
      </c>
      <c r="AE223" s="195">
        <f t="shared" si="34"/>
        <v>0.78321571233902509</v>
      </c>
      <c r="AF223" s="195" t="str">
        <f t="shared" si="35"/>
        <v/>
      </c>
      <c r="AG223" s="255" t="str">
        <f>IF(ISNUMBER(SEARCH("C", 'Dry_Litterbag Placem_Collection'!AB150)),"YES","NO")</f>
        <v>NO</v>
      </c>
      <c r="AH223" s="255" t="str">
        <f>IF(ISNUMBER(SEARCH("H", 'Dry_Litterbag Placem_Collection'!AB150)),"YES","NO")</f>
        <v>NO</v>
      </c>
      <c r="AI223" s="255" t="str">
        <f>IF(ISNUMBER(SEARCH("R", 'Dry_Litterbag Placem_Collection'!AB150)),"YES","NO")</f>
        <v>NO</v>
      </c>
      <c r="AJ223" s="255" t="str">
        <f>IF(ISNUMBER(SEARCH("C", 'Dry_Litterbag Placem_Collection'!AA150)),"YES","NO")</f>
        <v>NO</v>
      </c>
      <c r="AK223" s="255" t="str">
        <f>IF(ISNUMBER(SEARCH("H", 'Dry_Litterbag Placem_Collection'!AA150)),"YES","NO")</f>
        <v>NO</v>
      </c>
      <c r="AL223" s="255" t="str">
        <f>IF(ISNUMBER(SEARCH("R", 'Dry_Litterbag Placem_Collection'!AA150)),"YES","NO")</f>
        <v>NO</v>
      </c>
      <c r="AR223" t="s">
        <v>1760</v>
      </c>
      <c r="AT223" t="s">
        <v>316</v>
      </c>
    </row>
    <row r="224" spans="2:46">
      <c r="B224" t="str">
        <f>'Final data_for_R_analysis_Dryse'!A150</f>
        <v>Dry</v>
      </c>
      <c r="C224" s="263">
        <f>'Final data_for_R_analysis_Dryse'!B150</f>
        <v>149</v>
      </c>
      <c r="D224" t="s">
        <v>3849</v>
      </c>
      <c r="E224" t="s">
        <v>22</v>
      </c>
      <c r="F224" s="387">
        <v>5</v>
      </c>
      <c r="G224" s="16">
        <f>'Dry_Litterbag Placem_Collection'!E151</f>
        <v>42939</v>
      </c>
      <c r="H224" t="str">
        <f>'Final data_for_R_analysis_Dryse'!J150</f>
        <v>G194</v>
      </c>
      <c r="I224" t="str">
        <f>'Final data_for_R_analysis_Dryse'!J370</f>
        <v>R703</v>
      </c>
      <c r="J224">
        <f>IFERROR(INDEX('Green_rooibos initial weight'!$C$5:$C$1749,MATCH(H224, 'Green_rooibos initial weight'!$A$5:$A$1749,0)),"")</f>
        <v>2.032</v>
      </c>
      <c r="K224">
        <f>IFERROR(INDEX('Green_rooibos initial weight'!$C$5:$C$1749,MATCH(I224, 'Green_rooibos initial weight'!$A$5:$A$1749,0)),"")</f>
        <v>2.1379999999999999</v>
      </c>
      <c r="L224" s="195">
        <f t="shared" si="29"/>
        <v>1.7822</v>
      </c>
      <c r="M224" s="240">
        <f>AVERAGE(Ashed_controlls!$K$1:$K$11)</f>
        <v>5.5147656768714146</v>
      </c>
      <c r="N224" s="195">
        <f t="shared" si="24"/>
        <v>1.6839158461067976</v>
      </c>
      <c r="O224" s="195">
        <f t="shared" si="30"/>
        <v>1.8881999999999999</v>
      </c>
      <c r="P224" s="240">
        <f>AVERAGE(Ashed_controlls!$K$12:$K$14)</f>
        <v>2.2816647271287041</v>
      </c>
      <c r="Q224" s="195">
        <f t="shared" si="25"/>
        <v>1.8451176066223556</v>
      </c>
      <c r="R224" s="16">
        <f>IF('Dry_Litterbag Placem_Collection'!G151="N.A","",'Dry_Litterbag Placem_Collection'!G151)</f>
        <v>43010</v>
      </c>
      <c r="S224" s="195">
        <f>IF(IFERROR(INDEX('Both teabags AfterDry'!$D$1:$D$839,MATCH(H224,'Both teabags AfterDry'!$A$1:$A$839,0)),"")="N.A","",(IFERROR(INDEX('Both teabags AfterDry'!$D$1:$D$839,MATCH(H224,'Both teabags AfterDry'!$A$1:$A$839,0)),"")))</f>
        <v>1.56</v>
      </c>
      <c r="T224" s="195">
        <f>IF(IFERROR(INDEX('Both teabags AfterDry'!$D$1:$D$839,MATCH(I224,'Both teabags AfterDry'!$A$1:$A$839,0)),"")="N.A","",(IFERROR(INDEX('Both teabags AfterDry'!$D$1:$D$839,MATCH(I224,'Both teabags AfterDry'!$A$1:$A$839,0)),"")))</f>
        <v>1.9032</v>
      </c>
      <c r="U224" s="195">
        <f t="shared" si="31"/>
        <v>1.4094</v>
      </c>
      <c r="V224" s="195">
        <f t="shared" si="31"/>
        <v>1.7525999999999999</v>
      </c>
      <c r="W224" s="195">
        <f>IFERROR(INDEX('Ashed teabags dry'!$K$2:$K$821,MATCH(H224,'Ashed teabags dry'!$A$2:$A$821,0)),"")</f>
        <v>7.1186440677962963</v>
      </c>
      <c r="X224" s="195">
        <f>IFERROR(INDEX('Ashed teabags dry'!$K$2:$K$821,MATCH(I224,'Ashed teabags dry'!$A$2:$A$821,0)),"")</f>
        <v>3.0988686669941248</v>
      </c>
      <c r="Y224" s="195">
        <f t="shared" si="26"/>
        <v>1.3090698305084789</v>
      </c>
      <c r="Z224" s="195">
        <f t="shared" si="26"/>
        <v>1.698289227742261</v>
      </c>
      <c r="AA224" s="195">
        <f t="shared" si="32"/>
        <v>0.22260376993598596</v>
      </c>
      <c r="AB224" s="195">
        <f t="shared" si="33"/>
        <v>0.14593501306967249</v>
      </c>
      <c r="AC224" s="195">
        <f t="shared" si="27"/>
        <v>0.92042329532106282</v>
      </c>
      <c r="AD224">
        <f t="shared" si="28"/>
        <v>71</v>
      </c>
      <c r="AE224" s="195">
        <f t="shared" si="34"/>
        <v>0.73562497632305712</v>
      </c>
      <c r="AF224" s="195">
        <f t="shared" si="35"/>
        <v>1.1099893423320399E-2</v>
      </c>
      <c r="AG224" s="255" t="str">
        <f>IF(ISNUMBER(SEARCH("C", 'Dry_Litterbag Placem_Collection'!AB151)),"YES","NO")</f>
        <v>NO</v>
      </c>
      <c r="AH224" s="255" t="str">
        <f>IF(ISNUMBER(SEARCH("H", 'Dry_Litterbag Placem_Collection'!AB151)),"YES","NO")</f>
        <v>NO</v>
      </c>
      <c r="AI224" s="255" t="str">
        <f>IF(ISNUMBER(SEARCH("R", 'Dry_Litterbag Placem_Collection'!AB151)),"YES","NO")</f>
        <v>NO</v>
      </c>
      <c r="AJ224" s="255" t="str">
        <f>IF(ISNUMBER(SEARCH("C", 'Dry_Litterbag Placem_Collection'!AA151)),"YES","NO")</f>
        <v>NO</v>
      </c>
      <c r="AK224" s="255" t="str">
        <f>IF(ISNUMBER(SEARCH("H", 'Dry_Litterbag Placem_Collection'!AA151)),"YES","NO")</f>
        <v>NO</v>
      </c>
      <c r="AL224" s="255" t="str">
        <f>IF(ISNUMBER(SEARCH("R", 'Dry_Litterbag Placem_Collection'!AA151)),"YES","NO")</f>
        <v>NO</v>
      </c>
      <c r="AR224" t="s">
        <v>1856</v>
      </c>
      <c r="AT224" t="s">
        <v>436</v>
      </c>
    </row>
    <row r="225" spans="2:46">
      <c r="B225" t="str">
        <f>'Final data_for_R_analysis_Dryse'!A151</f>
        <v>Dry</v>
      </c>
      <c r="C225" s="263">
        <f>'Final data_for_R_analysis_Dryse'!B151</f>
        <v>150</v>
      </c>
      <c r="D225" t="s">
        <v>3849</v>
      </c>
      <c r="E225" t="s">
        <v>22</v>
      </c>
      <c r="F225" s="387">
        <v>6</v>
      </c>
      <c r="G225" s="16">
        <f>'Dry_Litterbag Placem_Collection'!E152</f>
        <v>42939</v>
      </c>
      <c r="H225" t="str">
        <f>'Final data_for_R_analysis_Dryse'!J151</f>
        <v>G272</v>
      </c>
      <c r="I225" t="str">
        <f>'Final data_for_R_analysis_Dryse'!J371</f>
        <v>R668</v>
      </c>
      <c r="J225">
        <f>IFERROR(INDEX('Green_rooibos initial weight'!$C$5:$C$1749,MATCH(H225, 'Green_rooibos initial weight'!$A$5:$A$1749,0)),"")</f>
        <v>2.0649999999999999</v>
      </c>
      <c r="K225">
        <f>IFERROR(INDEX('Green_rooibos initial weight'!$C$5:$C$1749,MATCH(I225, 'Green_rooibos initial weight'!$A$5:$A$1749,0)),"")</f>
        <v>2.1419999999999999</v>
      </c>
      <c r="L225" s="195">
        <f t="shared" si="29"/>
        <v>1.8151999999999999</v>
      </c>
      <c r="M225" s="240">
        <f>AVERAGE(Ashed_controlls!$K$1:$K$11)</f>
        <v>5.5147656768714146</v>
      </c>
      <c r="N225" s="195">
        <f t="shared" si="24"/>
        <v>1.7150959734334301</v>
      </c>
      <c r="O225" s="195">
        <f t="shared" si="30"/>
        <v>1.8921999999999999</v>
      </c>
      <c r="P225" s="240">
        <f>AVERAGE(Ashed_controlls!$K$12:$K$14)</f>
        <v>2.2816647271287041</v>
      </c>
      <c r="Q225" s="195">
        <f t="shared" si="25"/>
        <v>1.8490263400332705</v>
      </c>
      <c r="R225" s="16">
        <f>IF('Dry_Litterbag Placem_Collection'!G152="N.A","",'Dry_Litterbag Placem_Collection'!G152)</f>
        <v>43010</v>
      </c>
      <c r="S225" s="195" t="str">
        <f>IF(IFERROR(INDEX('Both teabags AfterDry'!$D$1:$D$839,MATCH(H225,'Both teabags AfterDry'!$A$1:$A$839,0)),"")="N.A","",(IFERROR(INDEX('Both teabags AfterDry'!$D$1:$D$839,MATCH(H225,'Both teabags AfterDry'!$A$1:$A$839,0)),"")))</f>
        <v/>
      </c>
      <c r="T225" s="195" t="str">
        <f>IF(IFERROR(INDEX('Both teabags AfterDry'!$D$1:$D$839,MATCH(I225,'Both teabags AfterDry'!$A$1:$A$839,0)),"")="N.A","",(IFERROR(INDEX('Both teabags AfterDry'!$D$1:$D$839,MATCH(I225,'Both teabags AfterDry'!$A$1:$A$839,0)),"")))</f>
        <v/>
      </c>
      <c r="U225" s="195" t="str">
        <f t="shared" si="31"/>
        <v/>
      </c>
      <c r="V225" s="195" t="str">
        <f t="shared" si="31"/>
        <v/>
      </c>
      <c r="W225" s="195" t="str">
        <f>IFERROR(INDEX('Ashed teabags dry'!$K$2:$K$821,MATCH(H225,'Ashed teabags dry'!$A$2:$A$821,0)),"")</f>
        <v/>
      </c>
      <c r="X225" s="195" t="str">
        <f>IFERROR(INDEX('Ashed teabags dry'!$K$2:$K$821,MATCH(I225,'Ashed teabags dry'!$A$2:$A$821,0)),"")</f>
        <v/>
      </c>
      <c r="Y225" s="195" t="str">
        <f t="shared" si="26"/>
        <v/>
      </c>
      <c r="Z225" s="195" t="str">
        <f t="shared" si="26"/>
        <v/>
      </c>
      <c r="AA225" s="195" t="str">
        <f t="shared" si="32"/>
        <v/>
      </c>
      <c r="AB225" s="195" t="str">
        <f t="shared" si="33"/>
        <v/>
      </c>
      <c r="AC225" s="195" t="str">
        <f t="shared" si="27"/>
        <v/>
      </c>
      <c r="AD225">
        <f t="shared" si="28"/>
        <v>71</v>
      </c>
      <c r="AE225" s="195" t="str">
        <f t="shared" si="34"/>
        <v/>
      </c>
      <c r="AF225" s="195" t="str">
        <f t="shared" si="35"/>
        <v/>
      </c>
      <c r="AG225" s="255" t="str">
        <f>IF(ISNUMBER(SEARCH("C", 'Dry_Litterbag Placem_Collection'!AB152)),"YES","NO")</f>
        <v>NO</v>
      </c>
      <c r="AH225" s="255" t="str">
        <f>IF(ISNUMBER(SEARCH("H", 'Dry_Litterbag Placem_Collection'!AB152)),"YES","NO")</f>
        <v>NO</v>
      </c>
      <c r="AI225" s="255" t="str">
        <f>IF(ISNUMBER(SEARCH("R", 'Dry_Litterbag Placem_Collection'!AB152)),"YES","NO")</f>
        <v>NO</v>
      </c>
      <c r="AJ225" s="255" t="str">
        <f>IF(ISNUMBER(SEARCH("C", 'Dry_Litterbag Placem_Collection'!AA152)),"YES","NO")</f>
        <v>NO</v>
      </c>
      <c r="AK225" s="255" t="str">
        <f>IF(ISNUMBER(SEARCH("H", 'Dry_Litterbag Placem_Collection'!AA152)),"YES","NO")</f>
        <v>NO</v>
      </c>
      <c r="AL225" s="255" t="str">
        <f>IF(ISNUMBER(SEARCH("R", 'Dry_Litterbag Placem_Collection'!AA152)),"YES","NO")</f>
        <v>NO</v>
      </c>
      <c r="AR225" t="s">
        <v>1778</v>
      </c>
      <c r="AT225" t="s">
        <v>471</v>
      </c>
    </row>
    <row r="226" spans="2:46">
      <c r="B226" t="str">
        <f>'Final data_for_R_analysis_Dryse'!A152</f>
        <v>Dry</v>
      </c>
      <c r="C226" s="263">
        <f>'Final data_for_R_analysis_Dryse'!B152</f>
        <v>151</v>
      </c>
      <c r="D226" t="s">
        <v>3849</v>
      </c>
      <c r="E226" t="s">
        <v>22</v>
      </c>
      <c r="F226" s="387">
        <v>7</v>
      </c>
      <c r="G226" s="16">
        <f>'Dry_Litterbag Placem_Collection'!E153</f>
        <v>0</v>
      </c>
      <c r="H226" t="str">
        <f>'Final data_for_R_analysis_Dryse'!J152</f>
        <v/>
      </c>
      <c r="I226" t="str">
        <f>'Final data_for_R_analysis_Dryse'!J372</f>
        <v/>
      </c>
      <c r="J226" t="str">
        <f>IFERROR(INDEX('Green_rooibos initial weight'!$C$5:$C$1749,MATCH(H226, 'Green_rooibos initial weight'!$A$5:$A$1749,0)),"")</f>
        <v/>
      </c>
      <c r="K226" t="str">
        <f>IFERROR(INDEX('Green_rooibos initial weight'!$C$5:$C$1749,MATCH(I226, 'Green_rooibos initial weight'!$A$5:$A$1749,0)),"")</f>
        <v/>
      </c>
      <c r="L226" s="195" t="str">
        <f t="shared" si="29"/>
        <v/>
      </c>
      <c r="M226" s="240">
        <f>AVERAGE(Ashed_controlls!$K$1:$K$11)</f>
        <v>5.5147656768714146</v>
      </c>
      <c r="N226" s="195" t="str">
        <f t="shared" si="24"/>
        <v/>
      </c>
      <c r="O226" s="195" t="str">
        <f t="shared" si="30"/>
        <v/>
      </c>
      <c r="P226" s="240">
        <f>AVERAGE(Ashed_controlls!$K$12:$K$14)</f>
        <v>2.2816647271287041</v>
      </c>
      <c r="Q226" s="195" t="str">
        <f t="shared" si="25"/>
        <v/>
      </c>
      <c r="R226" s="16">
        <f>IF('Dry_Litterbag Placem_Collection'!G153="N.A","",'Dry_Litterbag Placem_Collection'!G153)</f>
        <v>0</v>
      </c>
      <c r="S226" s="195" t="str">
        <f>IF(IFERROR(INDEX('Both teabags AfterDry'!$D$1:$D$839,MATCH(H226,'Both teabags AfterDry'!$A$1:$A$839,0)),"")="N.A","",(IFERROR(INDEX('Both teabags AfterDry'!$D$1:$D$839,MATCH(H226,'Both teabags AfterDry'!$A$1:$A$839,0)),"")))</f>
        <v/>
      </c>
      <c r="T226" s="195" t="str">
        <f>IF(IFERROR(INDEX('Both teabags AfterDry'!$D$1:$D$839,MATCH(I226,'Both teabags AfterDry'!$A$1:$A$839,0)),"")="N.A","",(IFERROR(INDEX('Both teabags AfterDry'!$D$1:$D$839,MATCH(I226,'Both teabags AfterDry'!$A$1:$A$839,0)),"")))</f>
        <v/>
      </c>
      <c r="U226" s="195" t="str">
        <f t="shared" si="31"/>
        <v/>
      </c>
      <c r="V226" s="195" t="str">
        <f t="shared" si="31"/>
        <v/>
      </c>
      <c r="W226" s="195" t="str">
        <f>IFERROR(INDEX('Ashed teabags dry'!$K$2:$K$821,MATCH(H226,'Ashed teabags dry'!$A$2:$A$821,0)),"")</f>
        <v/>
      </c>
      <c r="X226" s="195" t="str">
        <f>IFERROR(INDEX('Ashed teabags dry'!$K$2:$K$821,MATCH(I226,'Ashed teabags dry'!$A$2:$A$821,0)),"")</f>
        <v/>
      </c>
      <c r="Y226" s="195" t="str">
        <f t="shared" si="26"/>
        <v/>
      </c>
      <c r="Z226" s="195" t="str">
        <f t="shared" si="26"/>
        <v/>
      </c>
      <c r="AA226" s="195" t="str">
        <f t="shared" si="32"/>
        <v/>
      </c>
      <c r="AB226" s="195" t="str">
        <f t="shared" si="33"/>
        <v/>
      </c>
      <c r="AC226" s="195" t="str">
        <f t="shared" si="27"/>
        <v/>
      </c>
      <c r="AD226" t="str">
        <f t="shared" si="28"/>
        <v/>
      </c>
      <c r="AE226" s="195" t="str">
        <f t="shared" si="34"/>
        <v/>
      </c>
      <c r="AF226" s="195" t="str">
        <f t="shared" si="35"/>
        <v/>
      </c>
      <c r="AG226" s="255" t="str">
        <f>IF(ISNUMBER(SEARCH("C", 'Dry_Litterbag Placem_Collection'!AB153)),"YES","NO")</f>
        <v>NO</v>
      </c>
      <c r="AH226" s="255" t="str">
        <f>IF(ISNUMBER(SEARCH("H", 'Dry_Litterbag Placem_Collection'!AB153)),"YES","NO")</f>
        <v>NO</v>
      </c>
      <c r="AI226" s="255" t="str">
        <f>IF(ISNUMBER(SEARCH("R", 'Dry_Litterbag Placem_Collection'!AB153)),"YES","NO")</f>
        <v>NO</v>
      </c>
      <c r="AJ226" s="255" t="str">
        <f>IF(ISNUMBER(SEARCH("C", 'Dry_Litterbag Placem_Collection'!AA153)),"YES","NO")</f>
        <v>NO</v>
      </c>
      <c r="AK226" s="255" t="str">
        <f>IF(ISNUMBER(SEARCH("H", 'Dry_Litterbag Placem_Collection'!AA153)),"YES","NO")</f>
        <v>NO</v>
      </c>
      <c r="AL226" s="255" t="str">
        <f>IF(ISNUMBER(SEARCH("R", 'Dry_Litterbag Placem_Collection'!AA153)),"YES","NO")</f>
        <v>NO</v>
      </c>
      <c r="AR226" t="s">
        <v>3654</v>
      </c>
      <c r="AT226" t="s">
        <v>3654</v>
      </c>
    </row>
    <row r="227" spans="2:46">
      <c r="B227" t="str">
        <f>'Final data_for_R_analysis_Dryse'!A153</f>
        <v>Dry</v>
      </c>
      <c r="C227" s="263">
        <f>'Final data_for_R_analysis_Dryse'!B153</f>
        <v>152</v>
      </c>
      <c r="D227" t="s">
        <v>3849</v>
      </c>
      <c r="E227" t="s">
        <v>22</v>
      </c>
      <c r="F227" s="387">
        <v>8</v>
      </c>
      <c r="G227" s="16">
        <f>'Dry_Litterbag Placem_Collection'!E154</f>
        <v>42939</v>
      </c>
      <c r="H227" t="str">
        <f>'Final data_for_R_analysis_Dryse'!J153</f>
        <v>G198</v>
      </c>
      <c r="I227" t="str">
        <f>'Final data_for_R_analysis_Dryse'!J373</f>
        <v>R788</v>
      </c>
      <c r="J227">
        <f>IFERROR(INDEX('Green_rooibos initial weight'!$C$5:$C$1749,MATCH(H227, 'Green_rooibos initial weight'!$A$5:$A$1749,0)),"")</f>
        <v>1.931</v>
      </c>
      <c r="K227">
        <f>IFERROR(INDEX('Green_rooibos initial weight'!$C$5:$C$1749,MATCH(I227, 'Green_rooibos initial weight'!$A$5:$A$1749,0)),"")</f>
        <v>2.1869999999999998</v>
      </c>
      <c r="L227" s="195">
        <f t="shared" si="29"/>
        <v>1.6812</v>
      </c>
      <c r="M227" s="240">
        <f>AVERAGE(Ashed_controlls!$K$1:$K$11)</f>
        <v>5.5147656768714146</v>
      </c>
      <c r="N227" s="195">
        <f t="shared" si="24"/>
        <v>1.5884857594404378</v>
      </c>
      <c r="O227" s="195">
        <f t="shared" si="30"/>
        <v>1.9371999999999998</v>
      </c>
      <c r="P227" s="240">
        <f>AVERAGE(Ashed_controlls!$K$12:$K$14)</f>
        <v>2.2816647271287041</v>
      </c>
      <c r="Q227" s="195">
        <f t="shared" si="25"/>
        <v>1.8929995909060626</v>
      </c>
      <c r="R227" s="16">
        <f>IF('Dry_Litterbag Placem_Collection'!G154="N.A","",'Dry_Litterbag Placem_Collection'!G154)</f>
        <v>43010</v>
      </c>
      <c r="S227" s="195">
        <f>IF(IFERROR(INDEX('Both teabags AfterDry'!$D$1:$D$839,MATCH(H227,'Both teabags AfterDry'!$A$1:$A$839,0)),"")="N.A","",(IFERROR(INDEX('Both teabags AfterDry'!$D$1:$D$839,MATCH(H227,'Both teabags AfterDry'!$A$1:$A$839,0)),"")))</f>
        <v>1.3654999999999999</v>
      </c>
      <c r="T227" s="195">
        <f>IF(IFERROR(INDEX('Both teabags AfterDry'!$D$1:$D$839,MATCH(I227,'Both teabags AfterDry'!$A$1:$A$839,0)),"")="N.A","",(IFERROR(INDEX('Both teabags AfterDry'!$D$1:$D$839,MATCH(I227,'Both teabags AfterDry'!$A$1:$A$839,0)),"")))</f>
        <v>0.43190000000000001</v>
      </c>
      <c r="U227" s="195">
        <f t="shared" si="31"/>
        <v>1.2148999999999999</v>
      </c>
      <c r="V227" s="195">
        <f t="shared" si="31"/>
        <v>0.28129999999999999</v>
      </c>
      <c r="W227" s="195">
        <f>IFERROR(INDEX('Ashed teabags dry'!$K$2:$K$821,MATCH(H227,'Ashed teabags dry'!$A$2:$A$821,0)),"")</f>
        <v>10.100586756077433</v>
      </c>
      <c r="X227" s="195">
        <f>IFERROR(INDEX('Ashed teabags dry'!$K$2:$K$821,MATCH(I227,'Ashed teabags dry'!$A$2:$A$821,0)),"")</f>
        <v>89.775910364145446</v>
      </c>
      <c r="Y227" s="195">
        <f t="shared" si="26"/>
        <v>1.0921879715004152</v>
      </c>
      <c r="Z227" s="195">
        <f t="shared" si="26"/>
        <v>2.8760364145658857E-2</v>
      </c>
      <c r="AA227" s="195">
        <f t="shared" si="32"/>
        <v>0.31243452136130523</v>
      </c>
      <c r="AB227" s="195">
        <f t="shared" si="33"/>
        <v>0.20482643205634263</v>
      </c>
      <c r="AC227" s="195">
        <f t="shared" si="27"/>
        <v>1.5193011284219579E-2</v>
      </c>
      <c r="AD227">
        <f t="shared" si="28"/>
        <v>71</v>
      </c>
      <c r="AE227" s="195">
        <f t="shared" si="34"/>
        <v>0.62893762308633583</v>
      </c>
      <c r="AF227" s="195" t="str">
        <f t="shared" si="35"/>
        <v/>
      </c>
      <c r="AG227" s="255" t="str">
        <f>IF(ISNUMBER(SEARCH("C", 'Dry_Litterbag Placem_Collection'!AB154)),"YES","NO")</f>
        <v>NO</v>
      </c>
      <c r="AH227" s="255" t="str">
        <f>IF(ISNUMBER(SEARCH("H", 'Dry_Litterbag Placem_Collection'!AB154)),"YES","NO")</f>
        <v>NO</v>
      </c>
      <c r="AI227" s="255" t="str">
        <f>IF(ISNUMBER(SEARCH("R", 'Dry_Litterbag Placem_Collection'!AB154)),"YES","NO")</f>
        <v>NO</v>
      </c>
      <c r="AJ227" s="255" t="str">
        <f>IF(ISNUMBER(SEARCH("C", 'Dry_Litterbag Placem_Collection'!AA154)),"YES","NO")</f>
        <v>NO</v>
      </c>
      <c r="AK227" s="255" t="str">
        <f>IF(ISNUMBER(SEARCH("H", 'Dry_Litterbag Placem_Collection'!AA154)),"YES","NO")</f>
        <v>NO</v>
      </c>
      <c r="AL227" s="255" t="str">
        <f>IF(ISNUMBER(SEARCH("R", 'Dry_Litterbag Placem_Collection'!AA154)),"YES","NO")</f>
        <v>NO</v>
      </c>
      <c r="AR227" t="s">
        <v>1852</v>
      </c>
      <c r="AT227" t="s">
        <v>351</v>
      </c>
    </row>
    <row r="228" spans="2:46">
      <c r="B228" t="str">
        <f>'Final data_for_R_analysis_Dryse'!A154</f>
        <v>Dry</v>
      </c>
      <c r="C228" s="263">
        <f>'Final data_for_R_analysis_Dryse'!B154</f>
        <v>153</v>
      </c>
      <c r="D228" t="s">
        <v>3850</v>
      </c>
      <c r="E228" t="s">
        <v>22</v>
      </c>
      <c r="F228" s="386">
        <v>1</v>
      </c>
      <c r="G228" s="16">
        <f>'Dry_Litterbag Placem_Collection'!E155</f>
        <v>42939</v>
      </c>
      <c r="H228" t="str">
        <f>'Final data_for_R_analysis_Dryse'!J154</f>
        <v>G197</v>
      </c>
      <c r="I228" t="str">
        <f>'Final data_for_R_analysis_Dryse'!J374</f>
        <v>R735</v>
      </c>
      <c r="J228">
        <f>IFERROR(INDEX('Green_rooibos initial weight'!$C$5:$C$1749,MATCH(H228, 'Green_rooibos initial weight'!$A$5:$A$1749,0)),"")</f>
        <v>2.1120000000000001</v>
      </c>
      <c r="K228">
        <f>IFERROR(INDEX('Green_rooibos initial weight'!$C$5:$C$1749,MATCH(I228, 'Green_rooibos initial weight'!$A$5:$A$1749,0)),"")</f>
        <v>2.12</v>
      </c>
      <c r="L228" s="195">
        <f t="shared" si="29"/>
        <v>1.8622000000000001</v>
      </c>
      <c r="M228" s="240">
        <f>AVERAGE(Ashed_controlls!$K$1:$K$11)</f>
        <v>5.5147656768714146</v>
      </c>
      <c r="N228" s="195">
        <f t="shared" si="24"/>
        <v>1.7595040335653005</v>
      </c>
      <c r="O228" s="195">
        <f t="shared" si="30"/>
        <v>1.8702000000000001</v>
      </c>
      <c r="P228" s="240">
        <f>AVERAGE(Ashed_controlls!$K$12:$K$14)</f>
        <v>2.2816647271287041</v>
      </c>
      <c r="Q228" s="195">
        <f t="shared" si="25"/>
        <v>1.827528306273239</v>
      </c>
      <c r="R228" s="16">
        <f>IF('Dry_Litterbag Placem_Collection'!G155="N.A","",'Dry_Litterbag Placem_Collection'!G155)</f>
        <v>43010</v>
      </c>
      <c r="S228" s="195">
        <f>IF(IFERROR(INDEX('Both teabags AfterDry'!$D$1:$D$839,MATCH(H228,'Both teabags AfterDry'!$A$1:$A$839,0)),"")="N.A","",(IFERROR(INDEX('Both teabags AfterDry'!$D$1:$D$839,MATCH(H228,'Both teabags AfterDry'!$A$1:$A$839,0)),"")))</f>
        <v>1.2847</v>
      </c>
      <c r="T228" s="195">
        <f>IF(IFERROR(INDEX('Both teabags AfterDry'!$D$1:$D$839,MATCH(I228,'Both teabags AfterDry'!$A$1:$A$839,0)),"")="N.A","",(IFERROR(INDEX('Both teabags AfterDry'!$D$1:$D$839,MATCH(I228,'Both teabags AfterDry'!$A$1:$A$839,0)),"")))</f>
        <v>1.0566</v>
      </c>
      <c r="U228" s="195">
        <f t="shared" si="31"/>
        <v>1.1340999999999999</v>
      </c>
      <c r="V228" s="195">
        <f t="shared" si="31"/>
        <v>0.90599999999999992</v>
      </c>
      <c r="W228" s="195">
        <f>IFERROR(INDEX('Ashed teabags dry'!$K$2:$K$821,MATCH(H228,'Ashed teabags dry'!$A$2:$A$821,0)),"")</f>
        <v>10.205908683975077</v>
      </c>
      <c r="X228" s="195">
        <f>IFERROR(INDEX('Ashed teabags dry'!$K$2:$K$821,MATCH(I228,'Ashed teabags dry'!$A$2:$A$821,0)),"")</f>
        <v>50.895883777238879</v>
      </c>
      <c r="Y228" s="195">
        <f t="shared" si="26"/>
        <v>1.0183547896150387</v>
      </c>
      <c r="Z228" s="195">
        <f t="shared" si="26"/>
        <v>0.44488329297821572</v>
      </c>
      <c r="AA228" s="195">
        <f t="shared" si="32"/>
        <v>0.42122622614763994</v>
      </c>
      <c r="AB228" s="195">
        <f t="shared" si="33"/>
        <v>0.27614830977850036</v>
      </c>
      <c r="AC228" s="195">
        <f t="shared" si="27"/>
        <v>0.24343441983967823</v>
      </c>
      <c r="AD228">
        <f t="shared" si="28"/>
        <v>71</v>
      </c>
      <c r="AE228" s="195">
        <f t="shared" si="34"/>
        <v>0.49973132286503563</v>
      </c>
      <c r="AF228" s="195" t="str">
        <f t="shared" si="35"/>
        <v/>
      </c>
      <c r="AG228" s="255" t="str">
        <f>IF(ISNUMBER(SEARCH("C", 'Dry_Litterbag Placem_Collection'!AB155)),"YES","NO")</f>
        <v>NO</v>
      </c>
      <c r="AH228" s="255" t="str">
        <f>IF(ISNUMBER(SEARCH("H", 'Dry_Litterbag Placem_Collection'!AB155)),"YES","NO")</f>
        <v>NO</v>
      </c>
      <c r="AI228" s="255" t="str">
        <f>IF(ISNUMBER(SEARCH("R", 'Dry_Litterbag Placem_Collection'!AB155)),"YES","NO")</f>
        <v>NO</v>
      </c>
      <c r="AJ228" s="255" t="str">
        <f>IF(ISNUMBER(SEARCH("C", 'Dry_Litterbag Placem_Collection'!AA155)),"YES","NO")</f>
        <v>NO</v>
      </c>
      <c r="AK228" s="255" t="str">
        <f>IF(ISNUMBER(SEARCH("H", 'Dry_Litterbag Placem_Collection'!AA155)),"YES","NO")</f>
        <v>NO</v>
      </c>
      <c r="AL228" s="255" t="str">
        <f>IF(ISNUMBER(SEARCH("R", 'Dry_Litterbag Placem_Collection'!AA155)),"YES","NO")</f>
        <v>NO</v>
      </c>
      <c r="AR228" t="s">
        <v>1853</v>
      </c>
      <c r="AT228" t="s">
        <v>404</v>
      </c>
    </row>
    <row r="229" spans="2:46">
      <c r="B229" t="str">
        <f>'Final data_for_R_analysis_Dryse'!A155</f>
        <v>Dry</v>
      </c>
      <c r="C229" s="263">
        <f>'Final data_for_R_analysis_Dryse'!B155</f>
        <v>154</v>
      </c>
      <c r="D229" t="s">
        <v>3850</v>
      </c>
      <c r="E229" t="s">
        <v>22</v>
      </c>
      <c r="F229" s="386">
        <v>2</v>
      </c>
      <c r="G229" s="16">
        <f>'Dry_Litterbag Placem_Collection'!E156</f>
        <v>42939</v>
      </c>
      <c r="H229" t="str">
        <f>'Final data_for_R_analysis_Dryse'!J155</f>
        <v>G127</v>
      </c>
      <c r="I229" t="str">
        <f>'Final data_for_R_analysis_Dryse'!J375</f>
        <v>R836</v>
      </c>
      <c r="J229">
        <f>IFERROR(INDEX('Green_rooibos initial weight'!$C$5:$C$1749,MATCH(H229, 'Green_rooibos initial weight'!$A$5:$A$1749,0)),"")</f>
        <v>1.9490000000000001</v>
      </c>
      <c r="K229">
        <f>IFERROR(INDEX('Green_rooibos initial weight'!$C$5:$C$1749,MATCH(I229, 'Green_rooibos initial weight'!$A$5:$A$1749,0)),"")</f>
        <v>2.2000000000000002</v>
      </c>
      <c r="L229" s="195">
        <f t="shared" si="29"/>
        <v>1.6992</v>
      </c>
      <c r="M229" s="240">
        <f>AVERAGE(Ashed_controlls!$K$1:$K$11)</f>
        <v>5.5147656768714146</v>
      </c>
      <c r="N229" s="195">
        <f t="shared" si="24"/>
        <v>1.6054931016186009</v>
      </c>
      <c r="O229" s="195">
        <f t="shared" si="30"/>
        <v>1.9502000000000002</v>
      </c>
      <c r="P229" s="240">
        <f>AVERAGE(Ashed_controlls!$K$12:$K$14)</f>
        <v>2.2816647271287041</v>
      </c>
      <c r="Q229" s="195">
        <f t="shared" si="25"/>
        <v>1.9057029744915361</v>
      </c>
      <c r="R229" s="16">
        <f>IF('Dry_Litterbag Placem_Collection'!G156="N.A","",'Dry_Litterbag Placem_Collection'!G156)</f>
        <v>43010</v>
      </c>
      <c r="S229" s="195">
        <f>IF(IFERROR(INDEX('Both teabags AfterDry'!$D$1:$D$839,MATCH(H229,'Both teabags AfterDry'!$A$1:$A$839,0)),"")="N.A","",(IFERROR(INDEX('Both teabags AfterDry'!$D$1:$D$839,MATCH(H229,'Both teabags AfterDry'!$A$1:$A$839,0)),"")))</f>
        <v>1.1896</v>
      </c>
      <c r="T229" s="195">
        <f>IF(IFERROR(INDEX('Both teabags AfterDry'!$D$1:$D$839,MATCH(I229,'Both teabags AfterDry'!$A$1:$A$839,0)),"")="N.A","",(IFERROR(INDEX('Both teabags AfterDry'!$D$1:$D$839,MATCH(I229,'Both teabags AfterDry'!$A$1:$A$839,0)),"")))</f>
        <v>0.62509999999999999</v>
      </c>
      <c r="U229" s="195">
        <f t="shared" si="31"/>
        <v>1.0389999999999999</v>
      </c>
      <c r="V229" s="195">
        <f t="shared" si="31"/>
        <v>0.47449999999999998</v>
      </c>
      <c r="W229" s="195">
        <f>IFERROR(INDEX('Ashed teabags dry'!$K$2:$K$821,MATCH(H229,'Ashed teabags dry'!$A$2:$A$821,0)),"")</f>
        <v>12.964728312678373</v>
      </c>
      <c r="X229" s="195">
        <f>IFERROR(INDEX('Ashed teabags dry'!$K$2:$K$821,MATCH(I229,'Ashed teabags dry'!$A$2:$A$821,0)),"")</f>
        <v>87.866927592954596</v>
      </c>
      <c r="Y229" s="195">
        <f t="shared" si="26"/>
        <v>0.90429647283127168</v>
      </c>
      <c r="Z229" s="195">
        <f t="shared" si="26"/>
        <v>5.7571428571430439E-2</v>
      </c>
      <c r="AA229" s="195">
        <f t="shared" si="32"/>
        <v>0.43674845322001554</v>
      </c>
      <c r="AB229" s="195">
        <f t="shared" si="33"/>
        <v>0.28632440163592471</v>
      </c>
      <c r="AC229" s="195">
        <f t="shared" si="27"/>
        <v>3.0210074362082145E-2</v>
      </c>
      <c r="AD229">
        <f t="shared" si="28"/>
        <v>71</v>
      </c>
      <c r="AE229" s="195">
        <f t="shared" si="34"/>
        <v>0.48129637384796253</v>
      </c>
      <c r="AF229" s="195" t="str">
        <f t="shared" si="35"/>
        <v/>
      </c>
      <c r="AG229" s="255" t="str">
        <f>IF(ISNUMBER(SEARCH("C", 'Dry_Litterbag Placem_Collection'!AB156)),"YES","NO")</f>
        <v>NO</v>
      </c>
      <c r="AH229" s="255" t="str">
        <f>IF(ISNUMBER(SEARCH("H", 'Dry_Litterbag Placem_Collection'!AB156)),"YES","NO")</f>
        <v>NO</v>
      </c>
      <c r="AI229" s="255" t="str">
        <f>IF(ISNUMBER(SEARCH("R", 'Dry_Litterbag Placem_Collection'!AB156)),"YES","NO")</f>
        <v>NO</v>
      </c>
      <c r="AJ229" s="255" t="str">
        <f>IF(ISNUMBER(SEARCH("C", 'Dry_Litterbag Placem_Collection'!AA156)),"YES","NO")</f>
        <v>NO</v>
      </c>
      <c r="AK229" s="255" t="str">
        <f>IF(ISNUMBER(SEARCH("H", 'Dry_Litterbag Placem_Collection'!AA156)),"YES","NO")</f>
        <v>NO</v>
      </c>
      <c r="AL229" s="255" t="str">
        <f>IF(ISNUMBER(SEARCH("R", 'Dry_Litterbag Placem_Collection'!AA156)),"YES","NO")</f>
        <v>NO</v>
      </c>
      <c r="AR229" t="s">
        <v>1923</v>
      </c>
      <c r="AT229" t="s">
        <v>303</v>
      </c>
    </row>
    <row r="230" spans="2:46">
      <c r="B230" t="str">
        <f>'Final data_for_R_analysis_Dryse'!A156</f>
        <v>Dry</v>
      </c>
      <c r="C230" s="263">
        <f>'Final data_for_R_analysis_Dryse'!B156</f>
        <v>155</v>
      </c>
      <c r="D230" t="s">
        <v>3850</v>
      </c>
      <c r="E230" t="s">
        <v>22</v>
      </c>
      <c r="F230" s="386">
        <v>3</v>
      </c>
      <c r="G230" s="16">
        <f>'Dry_Litterbag Placem_Collection'!E157</f>
        <v>42939</v>
      </c>
      <c r="H230" t="str">
        <f>'Final data_for_R_analysis_Dryse'!J156</f>
        <v>G253</v>
      </c>
      <c r="I230" t="str">
        <f>'Final data_for_R_analysis_Dryse'!J376</f>
        <v>R337</v>
      </c>
      <c r="J230">
        <f>IFERROR(INDEX('Green_rooibos initial weight'!$C$5:$C$1749,MATCH(H230, 'Green_rooibos initial weight'!$A$5:$A$1749,0)),"")</f>
        <v>2.0169999999999999</v>
      </c>
      <c r="K230">
        <f>IFERROR(INDEX('Green_rooibos initial weight'!$C$5:$C$1749,MATCH(I230, 'Green_rooibos initial weight'!$A$5:$A$1749,0)),"")</f>
        <v>2.2309999999999999</v>
      </c>
      <c r="L230" s="195">
        <f t="shared" si="29"/>
        <v>1.7671999999999999</v>
      </c>
      <c r="M230" s="240">
        <f>AVERAGE(Ashed_controlls!$K$1:$K$11)</f>
        <v>5.5147656768714146</v>
      </c>
      <c r="N230" s="195">
        <f t="shared" si="24"/>
        <v>1.6697430609583281</v>
      </c>
      <c r="O230" s="195">
        <f t="shared" si="30"/>
        <v>1.9811999999999999</v>
      </c>
      <c r="P230" s="240">
        <f>AVERAGE(Ashed_controlls!$K$12:$K$14)</f>
        <v>2.2816647271287041</v>
      </c>
      <c r="Q230" s="195">
        <f t="shared" si="25"/>
        <v>1.935995658426126</v>
      </c>
      <c r="R230" s="16">
        <f>IF('Dry_Litterbag Placem_Collection'!G157="N.A","",'Dry_Litterbag Placem_Collection'!G157)</f>
        <v>43010</v>
      </c>
      <c r="S230" s="195">
        <f>IF(IFERROR(INDEX('Both teabags AfterDry'!$D$1:$D$839,MATCH(H230,'Both teabags AfterDry'!$A$1:$A$839,0)),"")="N.A","",(IFERROR(INDEX('Both teabags AfterDry'!$D$1:$D$839,MATCH(H230,'Both teabags AfterDry'!$A$1:$A$839,0)),"")))</f>
        <v>1.2484</v>
      </c>
      <c r="T230" s="195">
        <f>IF(IFERROR(INDEX('Both teabags AfterDry'!$D$1:$D$839,MATCH(I230,'Both teabags AfterDry'!$A$1:$A$839,0)),"")="N.A","",(IFERROR(INDEX('Both teabags AfterDry'!$D$1:$D$839,MATCH(I230,'Both teabags AfterDry'!$A$1:$A$839,0)),"")))</f>
        <v>1.8893</v>
      </c>
      <c r="U230" s="195">
        <f t="shared" si="31"/>
        <v>1.0977999999999999</v>
      </c>
      <c r="V230" s="195">
        <f t="shared" si="31"/>
        <v>1.7386999999999999</v>
      </c>
      <c r="W230" s="195">
        <f>IFERROR(INDEX('Ashed teabags dry'!$K$2:$K$821,MATCH(H230,'Ashed teabags dry'!$A$2:$A$821,0)),"")</f>
        <v>13.077679449360829</v>
      </c>
      <c r="X230" s="195">
        <f>IFERROR(INDEX('Ashed teabags dry'!$K$2:$K$821,MATCH(I230,'Ashed teabags dry'!$A$2:$A$821,0)),"")</f>
        <v>5.2232142857139205</v>
      </c>
      <c r="Y230" s="195">
        <f t="shared" si="26"/>
        <v>0.95423323500491675</v>
      </c>
      <c r="Z230" s="195">
        <f t="shared" si="26"/>
        <v>1.647883973214292</v>
      </c>
      <c r="AA230" s="195">
        <f t="shared" si="32"/>
        <v>0.42851492704677174</v>
      </c>
      <c r="AB230" s="195">
        <f t="shared" si="33"/>
        <v>0.28092665051047272</v>
      </c>
      <c r="AC230" s="195">
        <f t="shared" si="27"/>
        <v>0.8511816470466389</v>
      </c>
      <c r="AD230">
        <f t="shared" si="28"/>
        <v>71</v>
      </c>
      <c r="AE230" s="195">
        <f t="shared" si="34"/>
        <v>0.49107490849552049</v>
      </c>
      <c r="AF230" s="195">
        <f t="shared" si="35"/>
        <v>1.0626360321072836E-2</v>
      </c>
      <c r="AG230" s="255" t="str">
        <f>IF(ISNUMBER(SEARCH("C", 'Dry_Litterbag Placem_Collection'!AB157)),"YES","NO")</f>
        <v>NO</v>
      </c>
      <c r="AH230" s="255" t="str">
        <f>IF(ISNUMBER(SEARCH("H", 'Dry_Litterbag Placem_Collection'!AB157)),"YES","NO")</f>
        <v>NO</v>
      </c>
      <c r="AI230" s="255" t="str">
        <f>IF(ISNUMBER(SEARCH("R", 'Dry_Litterbag Placem_Collection'!AB157)),"YES","NO")</f>
        <v>NO</v>
      </c>
      <c r="AJ230" s="255" t="str">
        <f>IF(ISNUMBER(SEARCH("C", 'Dry_Litterbag Placem_Collection'!AA157)),"YES","NO")</f>
        <v>NO</v>
      </c>
      <c r="AK230" s="255" t="str">
        <f>IF(ISNUMBER(SEARCH("H", 'Dry_Litterbag Placem_Collection'!AA157)),"YES","NO")</f>
        <v>NO</v>
      </c>
      <c r="AL230" s="255" t="str">
        <f>IF(ISNUMBER(SEARCH("R", 'Dry_Litterbag Placem_Collection'!AA157)),"YES","NO")</f>
        <v>NO</v>
      </c>
      <c r="AR230" t="s">
        <v>1797</v>
      </c>
      <c r="AT230" t="s">
        <v>804</v>
      </c>
    </row>
    <row r="231" spans="2:46">
      <c r="B231" t="str">
        <f>'Final data_for_R_analysis_Dryse'!A157</f>
        <v>Dry</v>
      </c>
      <c r="C231" s="263">
        <f>'Final data_for_R_analysis_Dryse'!B157</f>
        <v>156</v>
      </c>
      <c r="D231" t="s">
        <v>3850</v>
      </c>
      <c r="E231" t="s">
        <v>22</v>
      </c>
      <c r="F231" s="387">
        <v>4</v>
      </c>
      <c r="G231" s="16">
        <f>'Dry_Litterbag Placem_Collection'!E158</f>
        <v>42939</v>
      </c>
      <c r="H231" t="str">
        <f>'Final data_for_R_analysis_Dryse'!J157</f>
        <v>G47</v>
      </c>
      <c r="I231" t="str">
        <f>'Final data_for_R_analysis_Dryse'!J377</f>
        <v>R118</v>
      </c>
      <c r="J231">
        <f>IFERROR(INDEX('Green_rooibos initial weight'!$C$5:$C$1749,MATCH(H231, 'Green_rooibos initial weight'!$A$5:$A$1749,0)),"")</f>
        <v>2.0840000000000001</v>
      </c>
      <c r="K231">
        <f>IFERROR(INDEX('Green_rooibos initial weight'!$C$5:$C$1749,MATCH(I231, 'Green_rooibos initial weight'!$A$5:$A$1749,0)),"")</f>
        <v>2.3330000000000002</v>
      </c>
      <c r="L231" s="195">
        <f t="shared" si="29"/>
        <v>1.8342000000000001</v>
      </c>
      <c r="M231" s="240">
        <f>AVERAGE(Ashed_controlls!$K$1:$K$11)</f>
        <v>5.5147656768714146</v>
      </c>
      <c r="N231" s="195">
        <f t="shared" si="24"/>
        <v>1.7330481679548246</v>
      </c>
      <c r="O231" s="195">
        <f t="shared" si="30"/>
        <v>2.0832000000000002</v>
      </c>
      <c r="P231" s="240">
        <f>AVERAGE(Ashed_controlls!$K$12:$K$14)</f>
        <v>2.2816647271287041</v>
      </c>
      <c r="Q231" s="195">
        <f t="shared" si="25"/>
        <v>2.035668360404455</v>
      </c>
      <c r="R231" s="16">
        <f>IF('Dry_Litterbag Placem_Collection'!G158="N.A","",'Dry_Litterbag Placem_Collection'!G158)</f>
        <v>43010</v>
      </c>
      <c r="S231" s="195">
        <f>IF(IFERROR(INDEX('Both teabags AfterDry'!$D$1:$D$839,MATCH(H231,'Both teabags AfterDry'!$A$1:$A$839,0)),"")="N.A","",(IFERROR(INDEX('Both teabags AfterDry'!$D$1:$D$839,MATCH(H231,'Both teabags AfterDry'!$A$1:$A$839,0)),"")))</f>
        <v>1.1167</v>
      </c>
      <c r="T231" s="195">
        <f>IF(IFERROR(INDEX('Both teabags AfterDry'!$D$1:$D$839,MATCH(I231,'Both teabags AfterDry'!$A$1:$A$839,0)),"")="N.A","",(IFERROR(INDEX('Both teabags AfterDry'!$D$1:$D$839,MATCH(I231,'Both teabags AfterDry'!$A$1:$A$839,0)),"")))</f>
        <v>0.79290000000000005</v>
      </c>
      <c r="U231" s="195">
        <f t="shared" si="31"/>
        <v>0.96609999999999996</v>
      </c>
      <c r="V231" s="195">
        <f t="shared" si="31"/>
        <v>0.64230000000000009</v>
      </c>
      <c r="W231" s="195">
        <f>IFERROR(INDEX('Ashed teabags dry'!$K$2:$K$821,MATCH(H231,'Ashed teabags dry'!$A$2:$A$821,0)),"")</f>
        <v>22.323571771483682</v>
      </c>
      <c r="X231" s="195">
        <f>IFERROR(INDEX('Ashed teabags dry'!$K$2:$K$821,MATCH(I231,'Ashed teabags dry'!$A$2:$A$821,0)),"")</f>
        <v>77.250247279920742</v>
      </c>
      <c r="Y231" s="195">
        <f t="shared" si="26"/>
        <v>0.75043197311569609</v>
      </c>
      <c r="Z231" s="195">
        <f t="shared" si="26"/>
        <v>0.14612166172106905</v>
      </c>
      <c r="AA231" s="195">
        <f t="shared" si="32"/>
        <v>0.56698723844399368</v>
      </c>
      <c r="AB231" s="195">
        <f t="shared" si="33"/>
        <v>0.3717065981248035</v>
      </c>
      <c r="AC231" s="195">
        <f t="shared" si="27"/>
        <v>7.178068125597678E-2</v>
      </c>
      <c r="AD231">
        <f t="shared" si="28"/>
        <v>71</v>
      </c>
      <c r="AE231" s="195">
        <f t="shared" si="34"/>
        <v>0.3266184816579647</v>
      </c>
      <c r="AF231" s="195" t="str">
        <f t="shared" si="35"/>
        <v/>
      </c>
      <c r="AG231" s="255" t="str">
        <f>IF(ISNUMBER(SEARCH("C", 'Dry_Litterbag Placem_Collection'!AB158)),"YES","NO")</f>
        <v>NO</v>
      </c>
      <c r="AH231" s="255" t="str">
        <f>IF(ISNUMBER(SEARCH("H", 'Dry_Litterbag Placem_Collection'!AB158)),"YES","NO")</f>
        <v>NO</v>
      </c>
      <c r="AI231" s="255" t="str">
        <f>IF(ISNUMBER(SEARCH("R", 'Dry_Litterbag Placem_Collection'!AB158)),"YES","NO")</f>
        <v>NO</v>
      </c>
      <c r="AJ231" s="255" t="str">
        <f>IF(ISNUMBER(SEARCH("C", 'Dry_Litterbag Placem_Collection'!AA158)),"YES","NO")</f>
        <v>NO</v>
      </c>
      <c r="AK231" s="255" t="str">
        <f>IF(ISNUMBER(SEARCH("H", 'Dry_Litterbag Placem_Collection'!AA158)),"YES","NO")</f>
        <v>NO</v>
      </c>
      <c r="AL231" s="255" t="str">
        <f>IF(ISNUMBER(SEARCH("R", 'Dry_Litterbag Placem_Collection'!AA158)),"YES","NO")</f>
        <v>NO</v>
      </c>
      <c r="AR231" t="s">
        <v>2003</v>
      </c>
      <c r="AT231" t="s">
        <v>1023</v>
      </c>
    </row>
    <row r="232" spans="2:46">
      <c r="B232" t="str">
        <f>'Final data_for_R_analysis_Dryse'!A158</f>
        <v>Dry</v>
      </c>
      <c r="C232" s="263">
        <f>'Final data_for_R_analysis_Dryse'!B158</f>
        <v>157</v>
      </c>
      <c r="D232" t="s">
        <v>3850</v>
      </c>
      <c r="E232" t="s">
        <v>22</v>
      </c>
      <c r="F232" s="387">
        <v>5</v>
      </c>
      <c r="G232" s="16">
        <f>'Dry_Litterbag Placem_Collection'!E159</f>
        <v>42939</v>
      </c>
      <c r="H232" t="str">
        <f>'Final data_for_R_analysis_Dryse'!J158</f>
        <v>G328</v>
      </c>
      <c r="I232" t="str">
        <f>'Final data_for_R_analysis_Dryse'!J378</f>
        <v>R478</v>
      </c>
      <c r="J232">
        <f>IFERROR(INDEX('Green_rooibos initial weight'!$C$5:$C$1749,MATCH(H232, 'Green_rooibos initial weight'!$A$5:$A$1749,0)),"")</f>
        <v>2.1309999999999998</v>
      </c>
      <c r="K232">
        <f>IFERROR(INDEX('Green_rooibos initial weight'!$C$5:$C$1749,MATCH(I232, 'Green_rooibos initial weight'!$A$5:$A$1749,0)),"")</f>
        <v>2.1640000000000001</v>
      </c>
      <c r="L232" s="195">
        <f t="shared" si="29"/>
        <v>1.8811999999999998</v>
      </c>
      <c r="M232" s="240">
        <f>AVERAGE(Ashed_controlls!$K$1:$K$11)</f>
        <v>5.5147656768714146</v>
      </c>
      <c r="N232" s="195">
        <f t="shared" si="24"/>
        <v>1.7774562280866948</v>
      </c>
      <c r="O232" s="195">
        <f t="shared" si="30"/>
        <v>1.9142000000000001</v>
      </c>
      <c r="P232" s="240">
        <f>AVERAGE(Ashed_controlls!$K$12:$K$14)</f>
        <v>2.2816647271287041</v>
      </c>
      <c r="Q232" s="195">
        <f t="shared" si="25"/>
        <v>1.8705243737933024</v>
      </c>
      <c r="R232" s="16">
        <f>IF('Dry_Litterbag Placem_Collection'!G159="N.A","",'Dry_Litterbag Placem_Collection'!G159)</f>
        <v>43010</v>
      </c>
      <c r="S232" s="195" t="str">
        <f>IF(IFERROR(INDEX('Both teabags AfterDry'!$D$1:$D$839,MATCH(H232,'Both teabags AfterDry'!$A$1:$A$839,0)),"")="N.A","",(IFERROR(INDEX('Both teabags AfterDry'!$D$1:$D$839,MATCH(H232,'Both teabags AfterDry'!$A$1:$A$839,0)),"")))</f>
        <v/>
      </c>
      <c r="T232" s="195" t="str">
        <f>IF(IFERROR(INDEX('Both teabags AfterDry'!$D$1:$D$839,MATCH(I232,'Both teabags AfterDry'!$A$1:$A$839,0)),"")="N.A","",(IFERROR(INDEX('Both teabags AfterDry'!$D$1:$D$839,MATCH(I232,'Both teabags AfterDry'!$A$1:$A$839,0)),"")))</f>
        <v/>
      </c>
      <c r="U232" s="195" t="str">
        <f t="shared" si="31"/>
        <v/>
      </c>
      <c r="V232" s="195" t="str">
        <f t="shared" si="31"/>
        <v/>
      </c>
      <c r="W232" s="195" t="str">
        <f>IFERROR(INDEX('Ashed teabags dry'!$K$2:$K$821,MATCH(H232,'Ashed teabags dry'!$A$2:$A$821,0)),"")</f>
        <v/>
      </c>
      <c r="X232" s="195" t="str">
        <f>IFERROR(INDEX('Ashed teabags dry'!$K$2:$K$821,MATCH(I232,'Ashed teabags dry'!$A$2:$A$821,0)),"")</f>
        <v/>
      </c>
      <c r="Y232" s="195" t="str">
        <f t="shared" si="26"/>
        <v/>
      </c>
      <c r="Z232" s="195" t="str">
        <f t="shared" si="26"/>
        <v/>
      </c>
      <c r="AA232" s="195" t="str">
        <f t="shared" si="32"/>
        <v/>
      </c>
      <c r="AB232" s="195" t="str">
        <f t="shared" si="33"/>
        <v/>
      </c>
      <c r="AC232" s="195" t="str">
        <f t="shared" si="27"/>
        <v/>
      </c>
      <c r="AD232">
        <f t="shared" si="28"/>
        <v>71</v>
      </c>
      <c r="AE232" s="195" t="str">
        <f t="shared" si="34"/>
        <v/>
      </c>
      <c r="AF232" s="195" t="str">
        <f t="shared" si="35"/>
        <v/>
      </c>
      <c r="AG232" s="255" t="str">
        <f>IF(ISNUMBER(SEARCH("C", 'Dry_Litterbag Placem_Collection'!AB159)),"YES","NO")</f>
        <v>NO</v>
      </c>
      <c r="AH232" s="255" t="str">
        <f>IF(ISNUMBER(SEARCH("H", 'Dry_Litterbag Placem_Collection'!AB159)),"YES","NO")</f>
        <v>NO</v>
      </c>
      <c r="AI232" s="255" t="str">
        <f>IF(ISNUMBER(SEARCH("R", 'Dry_Litterbag Placem_Collection'!AB159)),"YES","NO")</f>
        <v>NO</v>
      </c>
      <c r="AJ232" s="255" t="str">
        <f>IF(ISNUMBER(SEARCH("C", 'Dry_Litterbag Placem_Collection'!AA159)),"YES","NO")</f>
        <v>NO</v>
      </c>
      <c r="AK232" s="255" t="str">
        <f>IF(ISNUMBER(SEARCH("H", 'Dry_Litterbag Placem_Collection'!AA159)),"YES","NO")</f>
        <v>NO</v>
      </c>
      <c r="AL232" s="255" t="str">
        <f>IF(ISNUMBER(SEARCH("R", 'Dry_Litterbag Placem_Collection'!AA159)),"YES","NO")</f>
        <v>NO</v>
      </c>
      <c r="AR232" t="s">
        <v>1722</v>
      </c>
      <c r="AT232" t="s">
        <v>663</v>
      </c>
    </row>
    <row r="233" spans="2:46">
      <c r="B233" t="str">
        <f>'Final data_for_R_analysis_Dryse'!A159</f>
        <v>Dry</v>
      </c>
      <c r="C233" s="263">
        <f>'Final data_for_R_analysis_Dryse'!B159</f>
        <v>158</v>
      </c>
      <c r="D233" t="s">
        <v>3850</v>
      </c>
      <c r="E233" t="s">
        <v>22</v>
      </c>
      <c r="F233" s="387">
        <v>6</v>
      </c>
      <c r="G233" s="16">
        <f>'Dry_Litterbag Placem_Collection'!E160</f>
        <v>42939</v>
      </c>
      <c r="H233" t="str">
        <f>'Final data_for_R_analysis_Dryse'!J159</f>
        <v>G21</v>
      </c>
      <c r="I233" t="str">
        <f>'Final data_for_R_analysis_Dryse'!J379</f>
        <v>R773</v>
      </c>
      <c r="J233">
        <f>IFERROR(INDEX('Green_rooibos initial weight'!$C$5:$C$1749,MATCH(H233, 'Green_rooibos initial weight'!$A$5:$A$1749,0)),"")</f>
        <v>2.04</v>
      </c>
      <c r="K233">
        <f>IFERROR(INDEX('Green_rooibos initial weight'!$C$5:$C$1749,MATCH(I233, 'Green_rooibos initial weight'!$A$5:$A$1749,0)),"")</f>
        <v>2.2320000000000002</v>
      </c>
      <c r="L233" s="195">
        <f t="shared" si="29"/>
        <v>1.7902</v>
      </c>
      <c r="M233" s="240">
        <f>AVERAGE(Ashed_controlls!$K$1:$K$11)</f>
        <v>5.5147656768714146</v>
      </c>
      <c r="N233" s="195">
        <f t="shared" si="24"/>
        <v>1.691474664852648</v>
      </c>
      <c r="O233" s="195">
        <f t="shared" si="30"/>
        <v>1.9822000000000002</v>
      </c>
      <c r="P233" s="240">
        <f>AVERAGE(Ashed_controlls!$K$12:$K$14)</f>
        <v>2.2816647271287041</v>
      </c>
      <c r="Q233" s="195">
        <f t="shared" si="25"/>
        <v>1.936972841778855</v>
      </c>
      <c r="R233" s="16">
        <f>IF('Dry_Litterbag Placem_Collection'!G160="N.A","",'Dry_Litterbag Placem_Collection'!G160)</f>
        <v>43010</v>
      </c>
      <c r="S233" s="195">
        <f>IF(IFERROR(INDEX('Both teabags AfterDry'!$D$1:$D$839,MATCH(H233,'Both teabags AfterDry'!$A$1:$A$839,0)),"")="N.A","",(IFERROR(INDEX('Both teabags AfterDry'!$D$1:$D$839,MATCH(H233,'Both teabags AfterDry'!$A$1:$A$839,0)),"")))</f>
        <v>0</v>
      </c>
      <c r="T233" s="195">
        <f>IF(IFERROR(INDEX('Both teabags AfterDry'!$D$1:$D$839,MATCH(I233,'Both teabags AfterDry'!$A$1:$A$839,0)),"")="N.A","",(IFERROR(INDEX('Both teabags AfterDry'!$D$1:$D$839,MATCH(I233,'Both teabags AfterDry'!$A$1:$A$839,0)),"")))</f>
        <v>1.3551</v>
      </c>
      <c r="U233" s="195" t="str">
        <f t="shared" si="31"/>
        <v/>
      </c>
      <c r="V233" s="195">
        <f t="shared" si="31"/>
        <v>1.2044999999999999</v>
      </c>
      <c r="W233" s="195">
        <f>IFERROR(INDEX('Ashed teabags dry'!$K$2:$K$821,MATCH(H233,'Ashed teabags dry'!$A$2:$A$821,0)),"")</f>
        <v>0</v>
      </c>
      <c r="X233" s="195">
        <f>IFERROR(INDEX('Ashed teabags dry'!$K$2:$K$821,MATCH(I233,'Ashed teabags dry'!$A$2:$A$821,0)),"")</f>
        <v>86.234021632251483</v>
      </c>
      <c r="Y233" s="195" t="str">
        <f t="shared" si="26"/>
        <v/>
      </c>
      <c r="Z233" s="195">
        <f t="shared" si="26"/>
        <v>0.16581120943953098</v>
      </c>
      <c r="AA233" s="195" t="str">
        <f t="shared" si="32"/>
        <v/>
      </c>
      <c r="AB233" s="195" t="str">
        <f t="shared" si="33"/>
        <v/>
      </c>
      <c r="AC233" s="195">
        <f t="shared" si="27"/>
        <v>8.56032701456233E-2</v>
      </c>
      <c r="AD233">
        <f t="shared" si="28"/>
        <v>71</v>
      </c>
      <c r="AE233" s="195" t="str">
        <f t="shared" si="34"/>
        <v/>
      </c>
      <c r="AF233" s="195" t="str">
        <f t="shared" si="35"/>
        <v/>
      </c>
      <c r="AG233" s="255" t="str">
        <f>IF(ISNUMBER(SEARCH("C", 'Dry_Litterbag Placem_Collection'!AB160)),"YES","NO")</f>
        <v>NO</v>
      </c>
      <c r="AH233" s="255" t="str">
        <f>IF(ISNUMBER(SEARCH("H", 'Dry_Litterbag Placem_Collection'!AB160)),"YES","NO")</f>
        <v>NO</v>
      </c>
      <c r="AI233" s="255" t="str">
        <f>IF(ISNUMBER(SEARCH("R", 'Dry_Litterbag Placem_Collection'!AB160)),"YES","NO")</f>
        <v>NO</v>
      </c>
      <c r="AJ233" s="255" t="str">
        <f>IF(ISNUMBER(SEARCH("C", 'Dry_Litterbag Placem_Collection'!AA160)),"YES","NO")</f>
        <v>NO</v>
      </c>
      <c r="AK233" s="255" t="str">
        <f>IF(ISNUMBER(SEARCH("H", 'Dry_Litterbag Placem_Collection'!AA160)),"YES","NO")</f>
        <v>NO</v>
      </c>
      <c r="AL233" s="255" t="str">
        <f>IF(ISNUMBER(SEARCH("R", 'Dry_Litterbag Placem_Collection'!AA160)),"YES","NO")</f>
        <v>NO</v>
      </c>
      <c r="AR233" t="s">
        <v>2029</v>
      </c>
      <c r="AT233" t="s">
        <v>366</v>
      </c>
    </row>
    <row r="234" spans="2:46">
      <c r="B234" t="str">
        <f>'Final data_for_R_analysis_Dryse'!A160</f>
        <v>Dry</v>
      </c>
      <c r="C234" s="263">
        <f>'Final data_for_R_analysis_Dryse'!B160</f>
        <v>159</v>
      </c>
      <c r="D234" t="s">
        <v>3850</v>
      </c>
      <c r="E234" t="s">
        <v>22</v>
      </c>
      <c r="F234" s="387">
        <v>7</v>
      </c>
      <c r="G234" s="16">
        <f>'Dry_Litterbag Placem_Collection'!E161</f>
        <v>0</v>
      </c>
      <c r="H234" t="str">
        <f>'Final data_for_R_analysis_Dryse'!J160</f>
        <v/>
      </c>
      <c r="I234" t="str">
        <f>'Final data_for_R_analysis_Dryse'!J380</f>
        <v/>
      </c>
      <c r="J234" t="str">
        <f>IFERROR(INDEX('Green_rooibos initial weight'!$C$5:$C$1749,MATCH(H234, 'Green_rooibos initial weight'!$A$5:$A$1749,0)),"")</f>
        <v/>
      </c>
      <c r="K234" t="str">
        <f>IFERROR(INDEX('Green_rooibos initial weight'!$C$5:$C$1749,MATCH(I234, 'Green_rooibos initial weight'!$A$5:$A$1749,0)),"")</f>
        <v/>
      </c>
      <c r="L234" s="195" t="str">
        <f t="shared" si="29"/>
        <v/>
      </c>
      <c r="M234" s="240">
        <f>AVERAGE(Ashed_controlls!$K$1:$K$11)</f>
        <v>5.5147656768714146</v>
      </c>
      <c r="N234" s="195" t="str">
        <f t="shared" si="24"/>
        <v/>
      </c>
      <c r="O234" s="195" t="str">
        <f t="shared" si="30"/>
        <v/>
      </c>
      <c r="P234" s="240">
        <f>AVERAGE(Ashed_controlls!$K$12:$K$14)</f>
        <v>2.2816647271287041</v>
      </c>
      <c r="Q234" s="195" t="str">
        <f t="shared" si="25"/>
        <v/>
      </c>
      <c r="R234" s="16">
        <f>IF('Dry_Litterbag Placem_Collection'!G161="N.A","",'Dry_Litterbag Placem_Collection'!G161)</f>
        <v>0</v>
      </c>
      <c r="S234" s="195" t="str">
        <f>IF(IFERROR(INDEX('Both teabags AfterDry'!$D$1:$D$839,MATCH(H234,'Both teabags AfterDry'!$A$1:$A$839,0)),"")="N.A","",(IFERROR(INDEX('Both teabags AfterDry'!$D$1:$D$839,MATCH(H234,'Both teabags AfterDry'!$A$1:$A$839,0)),"")))</f>
        <v/>
      </c>
      <c r="T234" s="195" t="str">
        <f>IF(IFERROR(INDEX('Both teabags AfterDry'!$D$1:$D$839,MATCH(I234,'Both teabags AfterDry'!$A$1:$A$839,0)),"")="N.A","",(IFERROR(INDEX('Both teabags AfterDry'!$D$1:$D$839,MATCH(I234,'Both teabags AfterDry'!$A$1:$A$839,0)),"")))</f>
        <v/>
      </c>
      <c r="U234" s="195" t="str">
        <f t="shared" si="31"/>
        <v/>
      </c>
      <c r="V234" s="195" t="str">
        <f t="shared" si="31"/>
        <v/>
      </c>
      <c r="W234" s="195" t="str">
        <f>IFERROR(INDEX('Ashed teabags dry'!$K$2:$K$821,MATCH(H234,'Ashed teabags dry'!$A$2:$A$821,0)),"")</f>
        <v/>
      </c>
      <c r="X234" s="195" t="str">
        <f>IFERROR(INDEX('Ashed teabags dry'!$K$2:$K$821,MATCH(I234,'Ashed teabags dry'!$A$2:$A$821,0)),"")</f>
        <v/>
      </c>
      <c r="Y234" s="195" t="str">
        <f t="shared" si="26"/>
        <v/>
      </c>
      <c r="Z234" s="195" t="str">
        <f t="shared" si="26"/>
        <v/>
      </c>
      <c r="AA234" s="195" t="str">
        <f t="shared" si="32"/>
        <v/>
      </c>
      <c r="AB234" s="195" t="str">
        <f t="shared" si="33"/>
        <v/>
      </c>
      <c r="AC234" s="195" t="str">
        <f t="shared" si="27"/>
        <v/>
      </c>
      <c r="AD234" t="str">
        <f t="shared" si="28"/>
        <v/>
      </c>
      <c r="AE234" s="195" t="str">
        <f t="shared" si="34"/>
        <v/>
      </c>
      <c r="AF234" s="195" t="str">
        <f t="shared" si="35"/>
        <v/>
      </c>
      <c r="AG234" s="255" t="str">
        <f>IF(ISNUMBER(SEARCH("C", 'Dry_Litterbag Placem_Collection'!AB161)),"YES","NO")</f>
        <v>NO</v>
      </c>
      <c r="AH234" s="255" t="str">
        <f>IF(ISNUMBER(SEARCH("H", 'Dry_Litterbag Placem_Collection'!AB161)),"YES","NO")</f>
        <v>NO</v>
      </c>
      <c r="AI234" s="255" t="str">
        <f>IF(ISNUMBER(SEARCH("R", 'Dry_Litterbag Placem_Collection'!AB161)),"YES","NO")</f>
        <v>NO</v>
      </c>
      <c r="AJ234" s="255" t="str">
        <f>IF(ISNUMBER(SEARCH("C", 'Dry_Litterbag Placem_Collection'!AA161)),"YES","NO")</f>
        <v>NO</v>
      </c>
      <c r="AK234" s="255" t="str">
        <f>IF(ISNUMBER(SEARCH("H", 'Dry_Litterbag Placem_Collection'!AA161)),"YES","NO")</f>
        <v>NO</v>
      </c>
      <c r="AL234" s="255" t="str">
        <f>IF(ISNUMBER(SEARCH("R", 'Dry_Litterbag Placem_Collection'!AA161)),"YES","NO")</f>
        <v>NO</v>
      </c>
      <c r="AR234" t="s">
        <v>3654</v>
      </c>
      <c r="AT234" t="s">
        <v>3654</v>
      </c>
    </row>
    <row r="235" spans="2:46">
      <c r="B235" t="str">
        <f>'Final data_for_R_analysis_Dryse'!A161</f>
        <v>Dry</v>
      </c>
      <c r="C235" s="263">
        <f>'Final data_for_R_analysis_Dryse'!B161</f>
        <v>160</v>
      </c>
      <c r="D235" t="s">
        <v>3850</v>
      </c>
      <c r="E235" t="s">
        <v>22</v>
      </c>
      <c r="F235" s="387">
        <v>8</v>
      </c>
      <c r="G235" s="16">
        <f>'Dry_Litterbag Placem_Collection'!E162</f>
        <v>42939</v>
      </c>
      <c r="H235" t="str">
        <f>'Final data_for_R_analysis_Dryse'!J161</f>
        <v>G482</v>
      </c>
      <c r="I235" t="str">
        <f>'Final data_for_R_analysis_Dryse'!J381</f>
        <v>R401</v>
      </c>
      <c r="J235">
        <f>IFERROR(INDEX('Green_rooibos initial weight'!$C$5:$C$1749,MATCH(H235, 'Green_rooibos initial weight'!$A$5:$A$1749,0)),"")</f>
        <v>2.056</v>
      </c>
      <c r="K235">
        <f>IFERROR(INDEX('Green_rooibos initial weight'!$C$5:$C$1749,MATCH(I235, 'Green_rooibos initial weight'!$A$5:$A$1749,0)),"")</f>
        <v>2.214</v>
      </c>
      <c r="L235" s="195">
        <f t="shared" si="29"/>
        <v>1.8062</v>
      </c>
      <c r="M235" s="240">
        <f>AVERAGE(Ashed_controlls!$K$1:$K$11)</f>
        <v>5.5147656768714146</v>
      </c>
      <c r="N235" s="195">
        <f t="shared" si="24"/>
        <v>1.7065923023443486</v>
      </c>
      <c r="O235" s="195">
        <f t="shared" si="30"/>
        <v>1.9641999999999999</v>
      </c>
      <c r="P235" s="240">
        <f>AVERAGE(Ashed_controlls!$K$12:$K$14)</f>
        <v>2.2816647271287041</v>
      </c>
      <c r="Q235" s="195">
        <f t="shared" si="25"/>
        <v>1.919383541429738</v>
      </c>
      <c r="R235" s="16">
        <f>IF('Dry_Litterbag Placem_Collection'!G162="N.A","",'Dry_Litterbag Placem_Collection'!G162)</f>
        <v>43010</v>
      </c>
      <c r="S235" s="195">
        <f>IF(IFERROR(INDEX('Both teabags AfterDry'!$D$1:$D$839,MATCH(H235,'Both teabags AfterDry'!$A$1:$A$839,0)),"")="N.A","",(IFERROR(INDEX('Both teabags AfterDry'!$D$1:$D$839,MATCH(H235,'Both teabags AfterDry'!$A$1:$A$839,0)),"")))</f>
        <v>1.4819</v>
      </c>
      <c r="T235" s="195">
        <f>IF(IFERROR(INDEX('Both teabags AfterDry'!$D$1:$D$839,MATCH(I235,'Both teabags AfterDry'!$A$1:$A$839,0)),"")="N.A","",(IFERROR(INDEX('Both teabags AfterDry'!$D$1:$D$839,MATCH(I235,'Both teabags AfterDry'!$A$1:$A$839,0)),"")))</f>
        <v>1.7884</v>
      </c>
      <c r="U235" s="195">
        <f t="shared" si="31"/>
        <v>1.3312999999999999</v>
      </c>
      <c r="V235" s="195">
        <f t="shared" si="31"/>
        <v>1.6377999999999999</v>
      </c>
      <c r="W235" s="195">
        <f>IFERROR(INDEX('Ashed teabags dry'!$K$2:$K$821,MATCH(H235,'Ashed teabags dry'!$A$2:$A$821,0)),"")</f>
        <v>15.061378659112389</v>
      </c>
      <c r="X235" s="195">
        <f>IFERROR(INDEX('Ashed teabags dry'!$K$2:$K$821,MATCH(I235,'Ashed teabags dry'!$A$2:$A$821,0)),"")</f>
        <v>5.077369439072041</v>
      </c>
      <c r="Y235" s="195">
        <f t="shared" si="26"/>
        <v>1.1307878659112367</v>
      </c>
      <c r="Z235" s="195">
        <f t="shared" si="26"/>
        <v>1.554642843326878</v>
      </c>
      <c r="AA235" s="195">
        <f t="shared" si="32"/>
        <v>0.33740011345540954</v>
      </c>
      <c r="AB235" s="195">
        <f t="shared" si="33"/>
        <v>0.22119342354796448</v>
      </c>
      <c r="AC235" s="195">
        <f t="shared" si="27"/>
        <v>0.80996987301914303</v>
      </c>
      <c r="AD235">
        <f t="shared" si="28"/>
        <v>71</v>
      </c>
      <c r="AE235" s="195">
        <f t="shared" si="34"/>
        <v>0.59928727618122379</v>
      </c>
      <c r="AF235" s="195">
        <f t="shared" si="35"/>
        <v>2.7602768002354269E-2</v>
      </c>
      <c r="AG235" s="255" t="str">
        <f>IF(ISNUMBER(SEARCH("C", 'Dry_Litterbag Placem_Collection'!AB162)),"YES","NO")</f>
        <v>NO</v>
      </c>
      <c r="AH235" s="255" t="str">
        <f>IF(ISNUMBER(SEARCH("H", 'Dry_Litterbag Placem_Collection'!AB162)),"YES","NO")</f>
        <v>NO</v>
      </c>
      <c r="AI235" s="255" t="str">
        <f>IF(ISNUMBER(SEARCH("R", 'Dry_Litterbag Placem_Collection'!AB162)),"YES","NO")</f>
        <v>NO</v>
      </c>
      <c r="AJ235" s="255" t="str">
        <f>IF(ISNUMBER(SEARCH("C", 'Dry_Litterbag Placem_Collection'!AA162)),"YES","NO")</f>
        <v>NO</v>
      </c>
      <c r="AK235" s="255" t="str">
        <f>IF(ISNUMBER(SEARCH("H", 'Dry_Litterbag Placem_Collection'!AA162)),"YES","NO")</f>
        <v>NO</v>
      </c>
      <c r="AL235" s="255" t="str">
        <f>IF(ISNUMBER(SEARCH("R", 'Dry_Litterbag Placem_Collection'!AA162)),"YES","NO")</f>
        <v>NO</v>
      </c>
      <c r="AR235" t="s">
        <v>1568</v>
      </c>
      <c r="AT235" t="s">
        <v>740</v>
      </c>
    </row>
    <row r="236" spans="2:46">
      <c r="B236" t="str">
        <f>'Final data_for_R_analysis_Dryse'!A162</f>
        <v>Dry</v>
      </c>
      <c r="C236" s="263">
        <f>'Final data_for_R_analysis_Dryse'!B162</f>
        <v>161</v>
      </c>
      <c r="D236" t="s">
        <v>3851</v>
      </c>
      <c r="E236" t="s">
        <v>22</v>
      </c>
      <c r="F236" s="386">
        <v>1</v>
      </c>
      <c r="G236" s="16">
        <f>'Dry_Litterbag Placem_Collection'!E163</f>
        <v>42940</v>
      </c>
      <c r="H236" t="str">
        <f>'Final data_for_R_analysis_Dryse'!J162</f>
        <v>G51</v>
      </c>
      <c r="I236" t="str">
        <f>'Final data_for_R_analysis_Dryse'!J382</f>
        <v>R673</v>
      </c>
      <c r="J236">
        <f>IFERROR(INDEX('Green_rooibos initial weight'!$C$5:$C$1749,MATCH(H236, 'Green_rooibos initial weight'!$A$5:$A$1749,0)),"")</f>
        <v>2.0259999999999998</v>
      </c>
      <c r="K236">
        <f>IFERROR(INDEX('Green_rooibos initial weight'!$C$5:$C$1749,MATCH(I236, 'Green_rooibos initial weight'!$A$5:$A$1749,0)),"")</f>
        <v>2.121</v>
      </c>
      <c r="L236" s="195">
        <f t="shared" si="29"/>
        <v>1.7761999999999998</v>
      </c>
      <c r="M236" s="240">
        <f>AVERAGE(Ashed_controlls!$K$1:$K$11)</f>
        <v>5.5147656768714146</v>
      </c>
      <c r="N236" s="195">
        <f t="shared" si="24"/>
        <v>1.6782467320474097</v>
      </c>
      <c r="O236" s="195">
        <f t="shared" si="30"/>
        <v>1.8712</v>
      </c>
      <c r="P236" s="240">
        <f>AVERAGE(Ashed_controlls!$K$12:$K$14)</f>
        <v>2.2816647271287041</v>
      </c>
      <c r="Q236" s="195">
        <f t="shared" si="25"/>
        <v>1.8285054896259676</v>
      </c>
      <c r="R236" s="16">
        <f>IF('Dry_Litterbag Placem_Collection'!G163="N.A","",'Dry_Litterbag Placem_Collection'!G163)</f>
        <v>43009</v>
      </c>
      <c r="S236" s="195">
        <f>IF(IFERROR(INDEX('Both teabags AfterDry'!$D$1:$D$839,MATCH(H236,'Both teabags AfterDry'!$A$1:$A$839,0)),"")="N.A","",(IFERROR(INDEX('Both teabags AfterDry'!$D$1:$D$839,MATCH(H236,'Both teabags AfterDry'!$A$1:$A$839,0)),"")))</f>
        <v>0.81589999999999996</v>
      </c>
      <c r="T236" s="195">
        <f>IF(IFERROR(INDEX('Both teabags AfterDry'!$D$1:$D$839,MATCH(I236,'Both teabags AfterDry'!$A$1:$A$839,0)),"")="N.A","",(IFERROR(INDEX('Both teabags AfterDry'!$D$1:$D$839,MATCH(I236,'Both teabags AfterDry'!$A$1:$A$839,0)),"")))</f>
        <v>1.1623000000000001</v>
      </c>
      <c r="U236" s="195">
        <f t="shared" si="31"/>
        <v>0.6653</v>
      </c>
      <c r="V236" s="195">
        <f t="shared" si="31"/>
        <v>1.0117</v>
      </c>
      <c r="W236" s="195">
        <f>IFERROR(INDEX('Ashed teabags dry'!$K$2:$K$821,MATCH(H236,'Ashed teabags dry'!$A$2:$A$821,0)),"")</f>
        <v>26.176336226588315</v>
      </c>
      <c r="X236" s="195">
        <f>IFERROR(INDEX('Ashed teabags dry'!$K$2:$K$821,MATCH(I236,'Ashed teabags dry'!$A$2:$A$821,0)),"")</f>
        <v>32.285429141716598</v>
      </c>
      <c r="Y236" s="195">
        <f t="shared" si="26"/>
        <v>0.49114883508450791</v>
      </c>
      <c r="Z236" s="195">
        <f t="shared" si="26"/>
        <v>0.68506831337325313</v>
      </c>
      <c r="AA236" s="195">
        <f t="shared" si="32"/>
        <v>0.70734408373593471</v>
      </c>
      <c r="AB236" s="195">
        <f t="shared" si="33"/>
        <v>0.4637220121404228</v>
      </c>
      <c r="AC236" s="195">
        <f t="shared" si="27"/>
        <v>0.37466024425958283</v>
      </c>
      <c r="AD236">
        <f t="shared" si="28"/>
        <v>69</v>
      </c>
      <c r="AE236" s="195">
        <f t="shared" si="34"/>
        <v>0.15992389104995874</v>
      </c>
      <c r="AF236" s="195" t="str">
        <f t="shared" si="35"/>
        <v/>
      </c>
      <c r="AG236" s="255" t="str">
        <f>IF(ISNUMBER(SEARCH("C", 'Dry_Litterbag Placem_Collection'!AB163)),"YES","NO")</f>
        <v>NO</v>
      </c>
      <c r="AH236" s="255" t="str">
        <f>IF(ISNUMBER(SEARCH("H", 'Dry_Litterbag Placem_Collection'!AB163)),"YES","NO")</f>
        <v>NO</v>
      </c>
      <c r="AI236" s="255" t="str">
        <f>IF(ISNUMBER(SEARCH("R", 'Dry_Litterbag Placem_Collection'!AB163)),"YES","NO")</f>
        <v>NO</v>
      </c>
      <c r="AJ236" s="255" t="str">
        <f>IF(ISNUMBER(SEARCH("C", 'Dry_Litterbag Placem_Collection'!AA163)),"YES","NO")</f>
        <v>NO</v>
      </c>
      <c r="AK236" s="255" t="str">
        <f>IF(ISNUMBER(SEARCH("H", 'Dry_Litterbag Placem_Collection'!AA163)),"YES","NO")</f>
        <v>NO</v>
      </c>
      <c r="AL236" s="255" t="str">
        <f>IF(ISNUMBER(SEARCH("R", 'Dry_Litterbag Placem_Collection'!AA163)),"YES","NO")</f>
        <v>NO</v>
      </c>
      <c r="AR236" t="s">
        <v>1999</v>
      </c>
      <c r="AT236" t="s">
        <v>466</v>
      </c>
    </row>
    <row r="237" spans="2:46">
      <c r="B237" t="str">
        <f>'Final data_for_R_analysis_Dryse'!A163</f>
        <v>Dry</v>
      </c>
      <c r="C237" s="263">
        <f>'Final data_for_R_analysis_Dryse'!B163</f>
        <v>162</v>
      </c>
      <c r="D237" t="s">
        <v>3851</v>
      </c>
      <c r="E237" t="s">
        <v>22</v>
      </c>
      <c r="F237" s="386">
        <v>2</v>
      </c>
      <c r="G237" s="16">
        <f>'Dry_Litterbag Placem_Collection'!E164</f>
        <v>42940</v>
      </c>
      <c r="H237" t="str">
        <f>'Final data_for_R_analysis_Dryse'!J163</f>
        <v>G238</v>
      </c>
      <c r="I237" t="str">
        <f>'Final data_for_R_analysis_Dryse'!J383</f>
        <v>R814</v>
      </c>
      <c r="J237">
        <f>IFERROR(INDEX('Green_rooibos initial weight'!$C$5:$C$1749,MATCH(H237, 'Green_rooibos initial weight'!$A$5:$A$1749,0)),"")</f>
        <v>2.1160000000000001</v>
      </c>
      <c r="K237">
        <f>IFERROR(INDEX('Green_rooibos initial weight'!$C$5:$C$1749,MATCH(I237, 'Green_rooibos initial weight'!$A$5:$A$1749,0)),"")</f>
        <v>2.2210000000000001</v>
      </c>
      <c r="L237" s="195">
        <f t="shared" si="29"/>
        <v>1.8662000000000001</v>
      </c>
      <c r="M237" s="240">
        <f>AVERAGE(Ashed_controlls!$K$1:$K$11)</f>
        <v>5.5147656768714146</v>
      </c>
      <c r="N237" s="195">
        <f t="shared" si="24"/>
        <v>1.7632834429382258</v>
      </c>
      <c r="O237" s="195">
        <f t="shared" si="30"/>
        <v>1.9712000000000001</v>
      </c>
      <c r="P237" s="240">
        <f>AVERAGE(Ashed_controlls!$K$12:$K$14)</f>
        <v>2.2816647271287041</v>
      </c>
      <c r="Q237" s="195">
        <f t="shared" si="25"/>
        <v>1.926223824898839</v>
      </c>
      <c r="R237" s="16">
        <f>IF('Dry_Litterbag Placem_Collection'!G164="N.A","",'Dry_Litterbag Placem_Collection'!G164)</f>
        <v>43009</v>
      </c>
      <c r="S237" s="195">
        <f>IF(IFERROR(INDEX('Both teabags AfterDry'!$D$1:$D$839,MATCH(H237,'Both teabags AfterDry'!$A$1:$A$839,0)),"")="N.A","",(IFERROR(INDEX('Both teabags AfterDry'!$D$1:$D$839,MATCH(H237,'Both teabags AfterDry'!$A$1:$A$839,0)),"")))</f>
        <v>0.81089999999999995</v>
      </c>
      <c r="T237" s="195">
        <f>IF(IFERROR(INDEX('Both teabags AfterDry'!$D$1:$D$839,MATCH(I237,'Both teabags AfterDry'!$A$1:$A$839,0)),"")="N.A","",(IFERROR(INDEX('Both teabags AfterDry'!$D$1:$D$839,MATCH(I237,'Both teabags AfterDry'!$A$1:$A$839,0)),"")))</f>
        <v>2.4714999999999998</v>
      </c>
      <c r="U237" s="195">
        <f t="shared" si="31"/>
        <v>0.66029999999999989</v>
      </c>
      <c r="V237" s="195">
        <f t="shared" si="31"/>
        <v>2.3209</v>
      </c>
      <c r="W237" s="195">
        <f>IFERROR(INDEX('Ashed teabags dry'!$K$2:$K$821,MATCH(H237,'Ashed teabags dry'!$A$2:$A$821,0)),"")</f>
        <v>25.849056603773789</v>
      </c>
      <c r="X237" s="195">
        <f>IFERROR(INDEX('Ashed teabags dry'!$K$2:$K$821,MATCH(I237,'Ashed teabags dry'!$A$2:$A$821,0)),"")</f>
        <v>91.237322515213222</v>
      </c>
      <c r="Y237" s="195">
        <f t="shared" si="26"/>
        <v>0.48961867924528157</v>
      </c>
      <c r="Z237" s="195">
        <f t="shared" si="26"/>
        <v>0.20337298174441631</v>
      </c>
      <c r="AA237" s="195">
        <f t="shared" si="32"/>
        <v>0.72232559591814038</v>
      </c>
      <c r="AB237" s="195">
        <f t="shared" si="33"/>
        <v>0.47354362107697567</v>
      </c>
      <c r="AC237" s="195">
        <f t="shared" si="27"/>
        <v>0.10558117863332783</v>
      </c>
      <c r="AD237">
        <f t="shared" si="28"/>
        <v>69</v>
      </c>
      <c r="AE237" s="195">
        <f t="shared" si="34"/>
        <v>0.14213112123736293</v>
      </c>
      <c r="AF237" s="195" t="str">
        <f t="shared" si="35"/>
        <v/>
      </c>
      <c r="AG237" s="255" t="str">
        <f>IF(ISNUMBER(SEARCH("C", 'Dry_Litterbag Placem_Collection'!AB164)),"YES","NO")</f>
        <v>NO</v>
      </c>
      <c r="AH237" s="255" t="str">
        <f>IF(ISNUMBER(SEARCH("H", 'Dry_Litterbag Placem_Collection'!AB164)),"YES","NO")</f>
        <v>NO</v>
      </c>
      <c r="AI237" s="255" t="str">
        <f>IF(ISNUMBER(SEARCH("R", 'Dry_Litterbag Placem_Collection'!AB164)),"YES","NO")</f>
        <v>NO</v>
      </c>
      <c r="AJ237" s="255" t="str">
        <f>IF(ISNUMBER(SEARCH("C", 'Dry_Litterbag Placem_Collection'!AA164)),"YES","NO")</f>
        <v>NO</v>
      </c>
      <c r="AK237" s="255" t="str">
        <f>IF(ISNUMBER(SEARCH("H", 'Dry_Litterbag Placem_Collection'!AA164)),"YES","NO")</f>
        <v>NO</v>
      </c>
      <c r="AL237" s="255" t="str">
        <f>IF(ISNUMBER(SEARCH("R", 'Dry_Litterbag Placem_Collection'!AA164)),"YES","NO")</f>
        <v>NO</v>
      </c>
      <c r="AR237" t="s">
        <v>1812</v>
      </c>
      <c r="AT237" t="s">
        <v>325</v>
      </c>
    </row>
    <row r="238" spans="2:46">
      <c r="B238" t="str">
        <f>'Final data_for_R_analysis_Dryse'!A164</f>
        <v>Dry</v>
      </c>
      <c r="C238" s="263">
        <f>'Final data_for_R_analysis_Dryse'!B164</f>
        <v>163</v>
      </c>
      <c r="D238" t="s">
        <v>3851</v>
      </c>
      <c r="E238" t="s">
        <v>22</v>
      </c>
      <c r="F238" s="386">
        <v>3</v>
      </c>
      <c r="G238" s="16">
        <f>'Dry_Litterbag Placem_Collection'!E165</f>
        <v>42940</v>
      </c>
      <c r="H238" t="str">
        <f>'Final data_for_R_analysis_Dryse'!J164</f>
        <v>G59</v>
      </c>
      <c r="I238" t="str">
        <f>'Final data_for_R_analysis_Dryse'!J384</f>
        <v>R615</v>
      </c>
      <c r="J238">
        <f>IFERROR(INDEX('Green_rooibos initial weight'!$C$5:$C$1749,MATCH(H238, 'Green_rooibos initial weight'!$A$5:$A$1749,0)),"")</f>
        <v>1.929</v>
      </c>
      <c r="K238">
        <f>IFERROR(INDEX('Green_rooibos initial weight'!$C$5:$C$1749,MATCH(I238, 'Green_rooibos initial weight'!$A$5:$A$1749,0)),"")</f>
        <v>2.157</v>
      </c>
      <c r="L238" s="195">
        <f t="shared" si="29"/>
        <v>1.6792</v>
      </c>
      <c r="M238" s="240">
        <f>AVERAGE(Ashed_controlls!$K$1:$K$11)</f>
        <v>5.5147656768714146</v>
      </c>
      <c r="N238" s="195">
        <f t="shared" si="24"/>
        <v>1.5865960547539752</v>
      </c>
      <c r="O238" s="195">
        <f t="shared" si="30"/>
        <v>1.9072</v>
      </c>
      <c r="P238" s="240">
        <f>AVERAGE(Ashed_controlls!$K$12:$K$14)</f>
        <v>2.2816647271287041</v>
      </c>
      <c r="Q238" s="195">
        <f t="shared" si="25"/>
        <v>1.8636840903242013</v>
      </c>
      <c r="R238" s="16">
        <f>IF('Dry_Litterbag Placem_Collection'!G165="N.A","",'Dry_Litterbag Placem_Collection'!G165)</f>
        <v>43009</v>
      </c>
      <c r="S238" s="195">
        <f>IF(IFERROR(INDEX('Both teabags AfterDry'!$D$1:$D$839,MATCH(H238,'Both teabags AfterDry'!$A$1:$A$839,0)),"")="N.A","",(IFERROR(INDEX('Both teabags AfterDry'!$D$1:$D$839,MATCH(H238,'Both teabags AfterDry'!$A$1:$A$839,0)),"")))</f>
        <v>0.95679999999999998</v>
      </c>
      <c r="T238" s="195">
        <f>IF(IFERROR(INDEX('Both teabags AfterDry'!$D$1:$D$839,MATCH(I238,'Both teabags AfterDry'!$A$1:$A$839,0)),"")="N.A","",(IFERROR(INDEX('Both teabags AfterDry'!$D$1:$D$839,MATCH(I238,'Both teabags AfterDry'!$A$1:$A$839,0)),"")))</f>
        <v>1.4872000000000001</v>
      </c>
      <c r="U238" s="195">
        <f t="shared" si="31"/>
        <v>0.80620000000000003</v>
      </c>
      <c r="V238" s="195">
        <f t="shared" si="31"/>
        <v>1.3366</v>
      </c>
      <c r="W238" s="195">
        <f>IFERROR(INDEX('Ashed teabags dry'!$K$2:$K$821,MATCH(H238,'Ashed teabags dry'!$A$2:$A$821,0)),"")</f>
        <v>34.794396746499032</v>
      </c>
      <c r="X238" s="195">
        <f>IFERROR(INDEX('Ashed teabags dry'!$K$2:$K$821,MATCH(I238,'Ashed teabags dry'!$A$2:$A$821,0)),"")</f>
        <v>30.154767848227259</v>
      </c>
      <c r="Y238" s="195">
        <f t="shared" si="26"/>
        <v>0.52568757342972483</v>
      </c>
      <c r="Z238" s="195">
        <f t="shared" si="26"/>
        <v>0.93355137294059443</v>
      </c>
      <c r="AA238" s="195">
        <f t="shared" si="32"/>
        <v>0.66866955716006726</v>
      </c>
      <c r="AB238" s="195">
        <f t="shared" si="33"/>
        <v>0.43836769067975911</v>
      </c>
      <c r="AC238" s="195">
        <f t="shared" si="27"/>
        <v>0.50091717678300107</v>
      </c>
      <c r="AD238">
        <f t="shared" si="28"/>
        <v>69</v>
      </c>
      <c r="AE238" s="195">
        <f t="shared" si="34"/>
        <v>0.20585563282652342</v>
      </c>
      <c r="AF238" s="195" t="str">
        <f t="shared" si="35"/>
        <v/>
      </c>
      <c r="AG238" s="255" t="str">
        <f>IF(ISNUMBER(SEARCH("C", 'Dry_Litterbag Placem_Collection'!AB165)),"YES","NO")</f>
        <v>NO</v>
      </c>
      <c r="AH238" s="255" t="str">
        <f>IF(ISNUMBER(SEARCH("H", 'Dry_Litterbag Placem_Collection'!AB165)),"YES","NO")</f>
        <v>NO</v>
      </c>
      <c r="AI238" s="255" t="str">
        <f>IF(ISNUMBER(SEARCH("R", 'Dry_Litterbag Placem_Collection'!AB165)),"YES","NO")</f>
        <v>NO</v>
      </c>
      <c r="AJ238" s="255" t="str">
        <f>IF(ISNUMBER(SEARCH("C", 'Dry_Litterbag Placem_Collection'!AA165)),"YES","NO")</f>
        <v>NO</v>
      </c>
      <c r="AK238" s="255" t="str">
        <f>IF(ISNUMBER(SEARCH("H", 'Dry_Litterbag Placem_Collection'!AA165)),"YES","NO")</f>
        <v>NO</v>
      </c>
      <c r="AL238" s="255" t="str">
        <f>IF(ISNUMBER(SEARCH("R", 'Dry_Litterbag Placem_Collection'!AA165)),"YES","NO")</f>
        <v>NO</v>
      </c>
      <c r="AR238" t="s">
        <v>1991</v>
      </c>
      <c r="AT238" t="s">
        <v>524</v>
      </c>
    </row>
    <row r="239" spans="2:46">
      <c r="B239" t="str">
        <f>'Final data_for_R_analysis_Dryse'!A165</f>
        <v>Dry</v>
      </c>
      <c r="C239" s="263">
        <f>'Final data_for_R_analysis_Dryse'!B165</f>
        <v>164</v>
      </c>
      <c r="D239" t="s">
        <v>3851</v>
      </c>
      <c r="E239" t="s">
        <v>22</v>
      </c>
      <c r="F239" s="387">
        <v>4</v>
      </c>
      <c r="G239" s="16">
        <f>'Dry_Litterbag Placem_Collection'!E166</f>
        <v>42940</v>
      </c>
      <c r="H239" t="str">
        <f>'Final data_for_R_analysis_Dryse'!J165</f>
        <v>G7</v>
      </c>
      <c r="I239" t="str">
        <f>'Final data_for_R_analysis_Dryse'!J385</f>
        <v>R514</v>
      </c>
      <c r="J239">
        <f>IFERROR(INDEX('Green_rooibos initial weight'!$C$5:$C$1749,MATCH(H239, 'Green_rooibos initial weight'!$A$5:$A$1749,0)),"")</f>
        <v>1.974</v>
      </c>
      <c r="K239">
        <f>IFERROR(INDEX('Green_rooibos initial weight'!$C$5:$C$1749,MATCH(I239, 'Green_rooibos initial weight'!$A$5:$A$1749,0)),"")</f>
        <v>2.1059999999999999</v>
      </c>
      <c r="L239" s="195">
        <f t="shared" si="29"/>
        <v>1.7242</v>
      </c>
      <c r="M239" s="240">
        <f>AVERAGE(Ashed_controlls!$K$1:$K$11)</f>
        <v>5.5147656768714146</v>
      </c>
      <c r="N239" s="195">
        <f t="shared" si="24"/>
        <v>1.6291144101993831</v>
      </c>
      <c r="O239" s="195">
        <f t="shared" si="30"/>
        <v>1.8561999999999999</v>
      </c>
      <c r="P239" s="240">
        <f>AVERAGE(Ashed_controlls!$K$12:$K$14)</f>
        <v>2.2816647271287041</v>
      </c>
      <c r="Q239" s="195">
        <f t="shared" si="25"/>
        <v>1.8138477393350367</v>
      </c>
      <c r="R239" s="16">
        <f>IF('Dry_Litterbag Placem_Collection'!G166="N.A","",'Dry_Litterbag Placem_Collection'!G166)</f>
        <v>43009</v>
      </c>
      <c r="S239" s="195">
        <f>IF(IFERROR(INDEX('Both teabags AfterDry'!$D$1:$D$839,MATCH(H239,'Both teabags AfterDry'!$A$1:$A$839,0)),"")="N.A","",(IFERROR(INDEX('Both teabags AfterDry'!$D$1:$D$839,MATCH(H239,'Both teabags AfterDry'!$A$1:$A$839,0)),"")))</f>
        <v>0.82040000000000002</v>
      </c>
      <c r="T239" s="195">
        <f>IF(IFERROR(INDEX('Both teabags AfterDry'!$D$1:$D$839,MATCH(I239,'Both teabags AfterDry'!$A$1:$A$839,0)),"")="N.A","",(IFERROR(INDEX('Both teabags AfterDry'!$D$1:$D$839,MATCH(I239,'Both teabags AfterDry'!$A$1:$A$839,0)),"")))</f>
        <v>1.8293999999999999</v>
      </c>
      <c r="U239" s="195">
        <f t="shared" si="31"/>
        <v>0.66979999999999995</v>
      </c>
      <c r="V239" s="195">
        <f t="shared" si="31"/>
        <v>1.6787999999999998</v>
      </c>
      <c r="W239" s="195">
        <f>IFERROR(INDEX('Ashed teabags dry'!$K$2:$K$821,MATCH(H239,'Ashed teabags dry'!$A$2:$A$821,0)),"")</f>
        <v>25.538020086083453</v>
      </c>
      <c r="X239" s="195">
        <f>IFERROR(INDEX('Ashed teabags dry'!$K$2:$K$821,MATCH(I239,'Ashed teabags dry'!$A$2:$A$821,0)),"")</f>
        <v>11.27856101118171</v>
      </c>
      <c r="Y239" s="195">
        <f t="shared" si="26"/>
        <v>0.49874634146341301</v>
      </c>
      <c r="Z239" s="195">
        <f t="shared" si="26"/>
        <v>1.4894555177442814</v>
      </c>
      <c r="AA239" s="195">
        <f t="shared" si="32"/>
        <v>0.69385431843158718</v>
      </c>
      <c r="AB239" s="195">
        <f t="shared" si="33"/>
        <v>0.45487836552759642</v>
      </c>
      <c r="AC239" s="195">
        <f t="shared" si="27"/>
        <v>0.82115796460970936</v>
      </c>
      <c r="AD239">
        <f t="shared" si="28"/>
        <v>69</v>
      </c>
      <c r="AE239" s="195">
        <f t="shared" si="34"/>
        <v>0.17594498998623842</v>
      </c>
      <c r="AF239" s="195">
        <f t="shared" si="35"/>
        <v>7.239095169778424E-3</v>
      </c>
      <c r="AG239" s="255" t="str">
        <f>IF(ISNUMBER(SEARCH("C", 'Dry_Litterbag Placem_Collection'!AB166)),"YES","NO")</f>
        <v>NO</v>
      </c>
      <c r="AH239" s="255" t="str">
        <f>IF(ISNUMBER(SEARCH("H", 'Dry_Litterbag Placem_Collection'!AB166)),"YES","NO")</f>
        <v>NO</v>
      </c>
      <c r="AI239" s="255" t="str">
        <f>IF(ISNUMBER(SEARCH("R", 'Dry_Litterbag Placem_Collection'!AB166)),"YES","NO")</f>
        <v>NO</v>
      </c>
      <c r="AJ239" s="255" t="str">
        <f>IF(ISNUMBER(SEARCH("C", 'Dry_Litterbag Placem_Collection'!AA166)),"YES","NO")</f>
        <v>NO</v>
      </c>
      <c r="AK239" s="255" t="str">
        <f>IF(ISNUMBER(SEARCH("H", 'Dry_Litterbag Placem_Collection'!AA166)),"YES","NO")</f>
        <v>NO</v>
      </c>
      <c r="AL239" s="255" t="str">
        <f>IF(ISNUMBER(SEARCH("R", 'Dry_Litterbag Placem_Collection'!AA166)),"YES","NO")</f>
        <v>NO</v>
      </c>
      <c r="AR239" t="s">
        <v>2043</v>
      </c>
      <c r="AT239" t="s">
        <v>627</v>
      </c>
    </row>
    <row r="240" spans="2:46">
      <c r="B240" t="str">
        <f>'Final data_for_R_analysis_Dryse'!A166</f>
        <v>Dry</v>
      </c>
      <c r="C240" s="263">
        <f>'Final data_for_R_analysis_Dryse'!B166</f>
        <v>165</v>
      </c>
      <c r="D240" t="s">
        <v>3851</v>
      </c>
      <c r="E240" t="s">
        <v>22</v>
      </c>
      <c r="F240" s="387">
        <v>5</v>
      </c>
      <c r="G240" s="16">
        <f>'Dry_Litterbag Placem_Collection'!E167</f>
        <v>42940</v>
      </c>
      <c r="H240" t="str">
        <f>'Final data_for_R_analysis_Dryse'!J166</f>
        <v>G85</v>
      </c>
      <c r="I240" t="str">
        <f>'Final data_for_R_analysis_Dryse'!J386</f>
        <v>R127</v>
      </c>
      <c r="J240">
        <f>IFERROR(INDEX('Green_rooibos initial weight'!$C$5:$C$1749,MATCH(H240, 'Green_rooibos initial weight'!$A$5:$A$1749,0)),"")</f>
        <v>2.1360000000000001</v>
      </c>
      <c r="K240">
        <f>IFERROR(INDEX('Green_rooibos initial weight'!$C$5:$C$1749,MATCH(I240, 'Green_rooibos initial weight'!$A$5:$A$1749,0)),"")</f>
        <v>2.1869999999999998</v>
      </c>
      <c r="L240" s="195">
        <f t="shared" si="29"/>
        <v>1.8862000000000001</v>
      </c>
      <c r="M240" s="240">
        <f>AVERAGE(Ashed_controlls!$K$1:$K$11)</f>
        <v>5.5147656768714146</v>
      </c>
      <c r="N240" s="195">
        <f t="shared" si="24"/>
        <v>1.7821804898028515</v>
      </c>
      <c r="O240" s="195">
        <f t="shared" si="30"/>
        <v>1.9371999999999998</v>
      </c>
      <c r="P240" s="240">
        <f>AVERAGE(Ashed_controlls!$K$12:$K$14)</f>
        <v>2.2816647271287041</v>
      </c>
      <c r="Q240" s="195">
        <f t="shared" si="25"/>
        <v>1.8929995909060626</v>
      </c>
      <c r="R240" s="16">
        <f>IF('Dry_Litterbag Placem_Collection'!G167="N.A","",'Dry_Litterbag Placem_Collection'!G167)</f>
        <v>43009</v>
      </c>
      <c r="S240" s="195">
        <f>IF(IFERROR(INDEX('Both teabags AfterDry'!$D$1:$D$839,MATCH(H240,'Both teabags AfterDry'!$A$1:$A$839,0)),"")="N.A","",(IFERROR(INDEX('Both teabags AfterDry'!$D$1:$D$839,MATCH(H240,'Both teabags AfterDry'!$A$1:$A$839,0)),"")))</f>
        <v>0.84360000000000002</v>
      </c>
      <c r="T240" s="195">
        <f>IF(IFERROR(INDEX('Both teabags AfterDry'!$D$1:$D$839,MATCH(I240,'Both teabags AfterDry'!$A$1:$A$839,0)),"")="N.A","",(IFERROR(INDEX('Both teabags AfterDry'!$D$1:$D$839,MATCH(I240,'Both teabags AfterDry'!$A$1:$A$839,0)),"")))</f>
        <v>1.7946</v>
      </c>
      <c r="U240" s="195">
        <f t="shared" si="31"/>
        <v>0.69300000000000006</v>
      </c>
      <c r="V240" s="195">
        <f t="shared" si="31"/>
        <v>1.6439999999999999</v>
      </c>
      <c r="W240" s="195">
        <f>IFERROR(INDEX('Ashed teabags dry'!$K$2:$K$821,MATCH(H240,'Ashed teabags dry'!$A$2:$A$821,0)),"")</f>
        <v>25.443786982247975</v>
      </c>
      <c r="X240" s="195">
        <f>IFERROR(INDEX('Ashed teabags dry'!$K$2:$K$821,MATCH(I240,'Ashed teabags dry'!$A$2:$A$821,0)),"")</f>
        <v>16.392649903288074</v>
      </c>
      <c r="Y240" s="195">
        <f t="shared" si="26"/>
        <v>0.51667455621302161</v>
      </c>
      <c r="Z240" s="195">
        <f t="shared" si="26"/>
        <v>1.3745048355899441</v>
      </c>
      <c r="AA240" s="195">
        <f t="shared" si="32"/>
        <v>0.71008853526941196</v>
      </c>
      <c r="AB240" s="195">
        <f t="shared" si="33"/>
        <v>0.46552122502222737</v>
      </c>
      <c r="AC240" s="195">
        <f t="shared" si="27"/>
        <v>0.72609885506211491</v>
      </c>
      <c r="AD240">
        <f t="shared" si="28"/>
        <v>69</v>
      </c>
      <c r="AE240" s="195">
        <f t="shared" si="34"/>
        <v>0.15666444742350116</v>
      </c>
      <c r="AF240" s="195">
        <f t="shared" si="35"/>
        <v>1.2864391734823748E-2</v>
      </c>
      <c r="AG240" s="255" t="str">
        <f>IF(ISNUMBER(SEARCH("C", 'Dry_Litterbag Placem_Collection'!AB167)),"YES","NO")</f>
        <v>NO</v>
      </c>
      <c r="AH240" s="255" t="str">
        <f>IF(ISNUMBER(SEARCH("H", 'Dry_Litterbag Placem_Collection'!AB167)),"YES","NO")</f>
        <v>NO</v>
      </c>
      <c r="AI240" s="255" t="str">
        <f>IF(ISNUMBER(SEARCH("R", 'Dry_Litterbag Placem_Collection'!AB167)),"YES","NO")</f>
        <v>NO</v>
      </c>
      <c r="AJ240" s="255" t="str">
        <f>IF(ISNUMBER(SEARCH("C", 'Dry_Litterbag Placem_Collection'!AA167)),"YES","NO")</f>
        <v>NO</v>
      </c>
      <c r="AK240" s="255" t="str">
        <f>IF(ISNUMBER(SEARCH("H", 'Dry_Litterbag Placem_Collection'!AA167)),"YES","NO")</f>
        <v>NO</v>
      </c>
      <c r="AL240" s="255" t="str">
        <f>IF(ISNUMBER(SEARCH("R", 'Dry_Litterbag Placem_Collection'!AA167)),"YES","NO")</f>
        <v>NO</v>
      </c>
      <c r="AR240" t="s">
        <v>1965</v>
      </c>
      <c r="AT240" t="s">
        <v>1014</v>
      </c>
    </row>
    <row r="241" spans="2:46">
      <c r="B241" t="str">
        <f>'Final data_for_R_analysis_Dryse'!A167</f>
        <v>Dry</v>
      </c>
      <c r="C241" s="263">
        <f>'Final data_for_R_analysis_Dryse'!B167</f>
        <v>166</v>
      </c>
      <c r="D241" t="s">
        <v>3851</v>
      </c>
      <c r="E241" t="s">
        <v>22</v>
      </c>
      <c r="F241" s="387">
        <v>6</v>
      </c>
      <c r="G241" s="16">
        <f>'Dry_Litterbag Placem_Collection'!E168</f>
        <v>42940</v>
      </c>
      <c r="H241" t="str">
        <f>'Final data_for_R_analysis_Dryse'!J167</f>
        <v>G1</v>
      </c>
      <c r="I241" t="str">
        <f>'Final data_for_R_analysis_Dryse'!J387</f>
        <v>R752</v>
      </c>
      <c r="J241">
        <f>IFERROR(INDEX('Green_rooibos initial weight'!$C$5:$C$1749,MATCH(H241, 'Green_rooibos initial weight'!$A$5:$A$1749,0)),"")</f>
        <v>1.9870000000000001</v>
      </c>
      <c r="K241">
        <f>IFERROR(INDEX('Green_rooibos initial weight'!$C$5:$C$1749,MATCH(I241, 'Green_rooibos initial weight'!$A$5:$A$1749,0)),"")</f>
        <v>2.1970000000000001</v>
      </c>
      <c r="L241" s="195">
        <f t="shared" si="29"/>
        <v>1.7372000000000001</v>
      </c>
      <c r="M241" s="240">
        <f>AVERAGE(Ashed_controlls!$K$1:$K$11)</f>
        <v>5.5147656768714146</v>
      </c>
      <c r="N241" s="195">
        <f t="shared" si="24"/>
        <v>1.64139749066139</v>
      </c>
      <c r="O241" s="195">
        <f t="shared" si="30"/>
        <v>1.9472</v>
      </c>
      <c r="P241" s="240">
        <f>AVERAGE(Ashed_controlls!$K$12:$K$14)</f>
        <v>2.2816647271287041</v>
      </c>
      <c r="Q241" s="195">
        <f t="shared" si="25"/>
        <v>1.90277142443335</v>
      </c>
      <c r="R241" s="16">
        <f>IF('Dry_Litterbag Placem_Collection'!G168="N.A","",'Dry_Litterbag Placem_Collection'!G168)</f>
        <v>43009</v>
      </c>
      <c r="S241" s="195">
        <f>IF(IFERROR(INDEX('Both teabags AfterDry'!$D$1:$D$839,MATCH(H241,'Both teabags AfterDry'!$A$1:$A$839,0)),"")="N.A","",(IFERROR(INDEX('Both teabags AfterDry'!$D$1:$D$839,MATCH(H241,'Both teabags AfterDry'!$A$1:$A$839,0)),"")))</f>
        <v>0.85040000000000004</v>
      </c>
      <c r="T241" s="195">
        <f>IF(IFERROR(INDEX('Both teabags AfterDry'!$D$1:$D$839,MATCH(I241,'Both teabags AfterDry'!$A$1:$A$839,0)),"")="N.A","",(IFERROR(INDEX('Both teabags AfterDry'!$D$1:$D$839,MATCH(I241,'Both teabags AfterDry'!$A$1:$A$839,0)),"")))</f>
        <v>1.6897</v>
      </c>
      <c r="U241" s="195">
        <f t="shared" si="31"/>
        <v>0.69979999999999998</v>
      </c>
      <c r="V241" s="195">
        <f t="shared" si="31"/>
        <v>1.5390999999999999</v>
      </c>
      <c r="W241" s="195">
        <f>IFERROR(INDEX('Ashed teabags dry'!$K$2:$K$821,MATCH(H241,'Ashed teabags dry'!$A$2:$A$821,0)),"")</f>
        <v>26.737451737451874</v>
      </c>
      <c r="X241" s="195">
        <f>IFERROR(INDEX('Ashed teabags dry'!$K$2:$K$821,MATCH(I241,'Ashed teabags dry'!$A$2:$A$821,0)),"")</f>
        <v>8.4949215143121215</v>
      </c>
      <c r="Y241" s="195">
        <f t="shared" si="26"/>
        <v>0.51269131274131174</v>
      </c>
      <c r="Z241" s="195">
        <f t="shared" si="26"/>
        <v>1.408354662973222</v>
      </c>
      <c r="AA241" s="195">
        <f t="shared" si="32"/>
        <v>0.6876495086301575</v>
      </c>
      <c r="AB241" s="195">
        <f t="shared" si="33"/>
        <v>0.45081060423259733</v>
      </c>
      <c r="AC241" s="195">
        <f t="shared" si="27"/>
        <v>0.74015966652044585</v>
      </c>
      <c r="AD241">
        <f t="shared" si="28"/>
        <v>69</v>
      </c>
      <c r="AE241" s="195">
        <f t="shared" si="34"/>
        <v>0.18331412276703385</v>
      </c>
      <c r="AF241" s="195">
        <f t="shared" si="35"/>
        <v>1.2448254197205201E-2</v>
      </c>
      <c r="AG241" s="255" t="str">
        <f>IF(ISNUMBER(SEARCH("C", 'Dry_Litterbag Placem_Collection'!AB168)),"YES","NO")</f>
        <v>NO</v>
      </c>
      <c r="AH241" s="255" t="str">
        <f>IF(ISNUMBER(SEARCH("H", 'Dry_Litterbag Placem_Collection'!AB168)),"YES","NO")</f>
        <v>NO</v>
      </c>
      <c r="AI241" s="255" t="str">
        <f>IF(ISNUMBER(SEARCH("R", 'Dry_Litterbag Placem_Collection'!AB168)),"YES","NO")</f>
        <v>NO</v>
      </c>
      <c r="AJ241" s="255" t="str">
        <f>IF(ISNUMBER(SEARCH("C", 'Dry_Litterbag Placem_Collection'!AA168)),"YES","NO")</f>
        <v>NO</v>
      </c>
      <c r="AK241" s="255" t="str">
        <f>IF(ISNUMBER(SEARCH("H", 'Dry_Litterbag Placem_Collection'!AA168)),"YES","NO")</f>
        <v>NO</v>
      </c>
      <c r="AL241" s="255" t="str">
        <f>IF(ISNUMBER(SEARCH("R", 'Dry_Litterbag Placem_Collection'!AA168)),"YES","NO")</f>
        <v>NO</v>
      </c>
      <c r="AR241" t="s">
        <v>2049</v>
      </c>
      <c r="AT241" t="s">
        <v>387</v>
      </c>
    </row>
    <row r="242" spans="2:46">
      <c r="B242" t="str">
        <f>'Final data_for_R_analysis_Dryse'!A168</f>
        <v>Dry</v>
      </c>
      <c r="C242" s="263">
        <f>'Final data_for_R_analysis_Dryse'!B168</f>
        <v>167</v>
      </c>
      <c r="D242" t="s">
        <v>3851</v>
      </c>
      <c r="E242" t="s">
        <v>22</v>
      </c>
      <c r="F242" s="387">
        <v>7</v>
      </c>
      <c r="G242" s="16">
        <f>'Dry_Litterbag Placem_Collection'!E169</f>
        <v>0</v>
      </c>
      <c r="H242" t="str">
        <f>'Final data_for_R_analysis_Dryse'!J168</f>
        <v/>
      </c>
      <c r="I242" t="str">
        <f>'Final data_for_R_analysis_Dryse'!J388</f>
        <v/>
      </c>
      <c r="J242" t="str">
        <f>IFERROR(INDEX('Green_rooibos initial weight'!$C$5:$C$1749,MATCH(H242, 'Green_rooibos initial weight'!$A$5:$A$1749,0)),"")</f>
        <v/>
      </c>
      <c r="K242" t="str">
        <f>IFERROR(INDEX('Green_rooibos initial weight'!$C$5:$C$1749,MATCH(I242, 'Green_rooibos initial weight'!$A$5:$A$1749,0)),"")</f>
        <v/>
      </c>
      <c r="L242" s="195" t="str">
        <f t="shared" si="29"/>
        <v/>
      </c>
      <c r="M242" s="240">
        <f>AVERAGE(Ashed_controlls!$K$1:$K$11)</f>
        <v>5.5147656768714146</v>
      </c>
      <c r="N242" s="195" t="str">
        <f t="shared" si="24"/>
        <v/>
      </c>
      <c r="O242" s="195" t="str">
        <f t="shared" si="30"/>
        <v/>
      </c>
      <c r="P242" s="240">
        <f>AVERAGE(Ashed_controlls!$K$12:$K$14)</f>
        <v>2.2816647271287041</v>
      </c>
      <c r="Q242" s="195" t="str">
        <f t="shared" si="25"/>
        <v/>
      </c>
      <c r="R242" s="16">
        <f>IF('Dry_Litterbag Placem_Collection'!G169="N.A","",'Dry_Litterbag Placem_Collection'!G169)</f>
        <v>0</v>
      </c>
      <c r="S242" s="195" t="str">
        <f>IF(IFERROR(INDEX('Both teabags AfterDry'!$D$1:$D$839,MATCH(H242,'Both teabags AfterDry'!$A$1:$A$839,0)),"")="N.A","",(IFERROR(INDEX('Both teabags AfterDry'!$D$1:$D$839,MATCH(H242,'Both teabags AfterDry'!$A$1:$A$839,0)),"")))</f>
        <v/>
      </c>
      <c r="T242" s="195" t="str">
        <f>IF(IFERROR(INDEX('Both teabags AfterDry'!$D$1:$D$839,MATCH(I242,'Both teabags AfterDry'!$A$1:$A$839,0)),"")="N.A","",(IFERROR(INDEX('Both teabags AfterDry'!$D$1:$D$839,MATCH(I242,'Both teabags AfterDry'!$A$1:$A$839,0)),"")))</f>
        <v/>
      </c>
      <c r="U242" s="195" t="str">
        <f t="shared" si="31"/>
        <v/>
      </c>
      <c r="V242" s="195" t="str">
        <f t="shared" si="31"/>
        <v/>
      </c>
      <c r="W242" s="195" t="str">
        <f>IFERROR(INDEX('Ashed teabags dry'!$K$2:$K$821,MATCH(H242,'Ashed teabags dry'!$A$2:$A$821,0)),"")</f>
        <v/>
      </c>
      <c r="X242" s="195" t="str">
        <f>IFERROR(INDEX('Ashed teabags dry'!$K$2:$K$821,MATCH(I242,'Ashed teabags dry'!$A$2:$A$821,0)),"")</f>
        <v/>
      </c>
      <c r="Y242" s="195" t="str">
        <f t="shared" si="26"/>
        <v/>
      </c>
      <c r="Z242" s="195" t="str">
        <f t="shared" si="26"/>
        <v/>
      </c>
      <c r="AA242" s="195" t="str">
        <f t="shared" si="32"/>
        <v/>
      </c>
      <c r="AB242" s="195" t="str">
        <f t="shared" si="33"/>
        <v/>
      </c>
      <c r="AC242" s="195" t="str">
        <f t="shared" si="27"/>
        <v/>
      </c>
      <c r="AD242" t="str">
        <f t="shared" si="28"/>
        <v/>
      </c>
      <c r="AE242" s="195" t="str">
        <f t="shared" si="34"/>
        <v/>
      </c>
      <c r="AF242" s="195" t="str">
        <f t="shared" si="35"/>
        <v/>
      </c>
      <c r="AG242" s="255" t="str">
        <f>IF(ISNUMBER(SEARCH("C", 'Dry_Litterbag Placem_Collection'!AB169)),"YES","NO")</f>
        <v>NO</v>
      </c>
      <c r="AH242" s="255" t="str">
        <f>IF(ISNUMBER(SEARCH("H", 'Dry_Litterbag Placem_Collection'!AB169)),"YES","NO")</f>
        <v>NO</v>
      </c>
      <c r="AI242" s="255" t="str">
        <f>IF(ISNUMBER(SEARCH("R", 'Dry_Litterbag Placem_Collection'!AB169)),"YES","NO")</f>
        <v>NO</v>
      </c>
      <c r="AJ242" s="255" t="str">
        <f>IF(ISNUMBER(SEARCH("C", 'Dry_Litterbag Placem_Collection'!AA169)),"YES","NO")</f>
        <v>NO</v>
      </c>
      <c r="AK242" s="255" t="str">
        <f>IF(ISNUMBER(SEARCH("H", 'Dry_Litterbag Placem_Collection'!AA169)),"YES","NO")</f>
        <v>NO</v>
      </c>
      <c r="AL242" s="255" t="str">
        <f>IF(ISNUMBER(SEARCH("R", 'Dry_Litterbag Placem_Collection'!AA169)),"YES","NO")</f>
        <v>NO</v>
      </c>
      <c r="AR242" t="s">
        <v>3654</v>
      </c>
      <c r="AT242" t="s">
        <v>3654</v>
      </c>
    </row>
    <row r="243" spans="2:46">
      <c r="B243" t="str">
        <f>'Final data_for_R_analysis_Dryse'!A169</f>
        <v>Dry</v>
      </c>
      <c r="C243" s="263">
        <f>'Final data_for_R_analysis_Dryse'!B169</f>
        <v>168</v>
      </c>
      <c r="D243" t="s">
        <v>3851</v>
      </c>
      <c r="E243" t="s">
        <v>22</v>
      </c>
      <c r="F243" s="387">
        <v>8</v>
      </c>
      <c r="G243" s="16">
        <f>'Dry_Litterbag Placem_Collection'!E170</f>
        <v>42940</v>
      </c>
      <c r="H243" t="str">
        <f>'Final data_for_R_analysis_Dryse'!J169</f>
        <v>G70</v>
      </c>
      <c r="I243" t="str">
        <f>'Final data_for_R_analysis_Dryse'!J389</f>
        <v>R690</v>
      </c>
      <c r="J243">
        <f>IFERROR(INDEX('Green_rooibos initial weight'!$C$5:$C$1749,MATCH(H243, 'Green_rooibos initial weight'!$A$5:$A$1749,0)),"")</f>
        <v>2.0939999999999999</v>
      </c>
      <c r="K243">
        <f>IFERROR(INDEX('Green_rooibos initial weight'!$C$5:$C$1749,MATCH(I243, 'Green_rooibos initial weight'!$A$5:$A$1749,0)),"")</f>
        <v>2.141</v>
      </c>
      <c r="L243" s="195">
        <f t="shared" si="29"/>
        <v>1.8441999999999998</v>
      </c>
      <c r="M243" s="240">
        <f>AVERAGE(Ashed_controlls!$K$1:$K$11)</f>
        <v>5.5147656768714146</v>
      </c>
      <c r="N243" s="195">
        <f t="shared" si="24"/>
        <v>1.7424966913871371</v>
      </c>
      <c r="O243" s="195">
        <f t="shared" si="30"/>
        <v>1.8912</v>
      </c>
      <c r="P243" s="240">
        <f>AVERAGE(Ashed_controlls!$K$12:$K$14)</f>
        <v>2.2816647271287041</v>
      </c>
      <c r="Q243" s="195">
        <f t="shared" si="25"/>
        <v>1.8480491566805419</v>
      </c>
      <c r="R243" s="16">
        <f>IF('Dry_Litterbag Placem_Collection'!G170="N.A","",'Dry_Litterbag Placem_Collection'!G170)</f>
        <v>43009</v>
      </c>
      <c r="S243" s="195" t="str">
        <f>IF(IFERROR(INDEX('Both teabags AfterDry'!$D$1:$D$839,MATCH(H243,'Both teabags AfterDry'!$A$1:$A$839,0)),"")="N.A","",(IFERROR(INDEX('Both teabags AfterDry'!$D$1:$D$839,MATCH(H243,'Both teabags AfterDry'!$A$1:$A$839,0)),"")))</f>
        <v/>
      </c>
      <c r="T243" s="195" t="str">
        <f>IF(IFERROR(INDEX('Both teabags AfterDry'!$D$1:$D$839,MATCH(I243,'Both teabags AfterDry'!$A$1:$A$839,0)),"")="N.A","",(IFERROR(INDEX('Both teabags AfterDry'!$D$1:$D$839,MATCH(I243,'Both teabags AfterDry'!$A$1:$A$839,0)),"")))</f>
        <v/>
      </c>
      <c r="U243" s="195" t="str">
        <f t="shared" si="31"/>
        <v/>
      </c>
      <c r="V243" s="195" t="str">
        <f t="shared" si="31"/>
        <v/>
      </c>
      <c r="W243" s="195" t="str">
        <f>IFERROR(INDEX('Ashed teabags dry'!$K$2:$K$821,MATCH(H243,'Ashed teabags dry'!$A$2:$A$821,0)),"")</f>
        <v/>
      </c>
      <c r="X243" s="195" t="str">
        <f>IFERROR(INDEX('Ashed teabags dry'!$K$2:$K$821,MATCH(I243,'Ashed teabags dry'!$A$2:$A$821,0)),"")</f>
        <v/>
      </c>
      <c r="Y243" s="195" t="str">
        <f t="shared" si="26"/>
        <v/>
      </c>
      <c r="Z243" s="195" t="str">
        <f t="shared" si="26"/>
        <v/>
      </c>
      <c r="AA243" s="195" t="str">
        <f t="shared" si="32"/>
        <v/>
      </c>
      <c r="AB243" s="195" t="str">
        <f t="shared" si="33"/>
        <v/>
      </c>
      <c r="AC243" s="195" t="str">
        <f t="shared" si="27"/>
        <v/>
      </c>
      <c r="AD243">
        <f t="shared" si="28"/>
        <v>69</v>
      </c>
      <c r="AE243" s="195" t="str">
        <f t="shared" si="34"/>
        <v/>
      </c>
      <c r="AF243" s="195" t="str">
        <f t="shared" si="35"/>
        <v/>
      </c>
      <c r="AG243" s="255" t="str">
        <f>IF(ISNUMBER(SEARCH("C", 'Dry_Litterbag Placem_Collection'!AB170)),"YES","NO")</f>
        <v>NO</v>
      </c>
      <c r="AH243" s="255" t="str">
        <f>IF(ISNUMBER(SEARCH("H", 'Dry_Litterbag Placem_Collection'!AB170)),"YES","NO")</f>
        <v>NO</v>
      </c>
      <c r="AI243" s="255" t="str">
        <f>IF(ISNUMBER(SEARCH("R", 'Dry_Litterbag Placem_Collection'!AB170)),"YES","NO")</f>
        <v>NO</v>
      </c>
      <c r="AJ243" s="255" t="str">
        <f>IF(ISNUMBER(SEARCH("C", 'Dry_Litterbag Placem_Collection'!AA170)),"YES","NO")</f>
        <v>NO</v>
      </c>
      <c r="AK243" s="255" t="str">
        <f>IF(ISNUMBER(SEARCH("H", 'Dry_Litterbag Placem_Collection'!AA170)),"YES","NO")</f>
        <v>NO</v>
      </c>
      <c r="AL243" s="255" t="str">
        <f>IF(ISNUMBER(SEARCH("R", 'Dry_Litterbag Placem_Collection'!AA170)),"YES","NO")</f>
        <v>NO</v>
      </c>
      <c r="AR243" t="s">
        <v>1980</v>
      </c>
      <c r="AT243" t="s">
        <v>449</v>
      </c>
    </row>
    <row r="244" spans="2:46">
      <c r="B244" t="str">
        <f>'Final data_for_R_analysis_Dryse'!A170</f>
        <v>Dry</v>
      </c>
      <c r="C244" s="263">
        <f>'Final data_for_R_analysis_Dryse'!B170</f>
        <v>169</v>
      </c>
      <c r="D244" t="s">
        <v>3853</v>
      </c>
      <c r="E244" t="s">
        <v>22</v>
      </c>
      <c r="F244" s="386">
        <v>1</v>
      </c>
      <c r="G244" s="16">
        <f>'Dry_Litterbag Placem_Collection'!E171</f>
        <v>42940</v>
      </c>
      <c r="H244" t="str">
        <f>'Final data_for_R_analysis_Dryse'!J170</f>
        <v>G250</v>
      </c>
      <c r="I244" t="str">
        <f>'Final data_for_R_analysis_Dryse'!J390</f>
        <v>R684</v>
      </c>
      <c r="J244">
        <f>IFERROR(INDEX('Green_rooibos initial weight'!$C$5:$C$1749,MATCH(H244, 'Green_rooibos initial weight'!$A$5:$A$1749,0)),"")</f>
        <v>2.0139999999999998</v>
      </c>
      <c r="K244">
        <f>IFERROR(INDEX('Green_rooibos initial weight'!$C$5:$C$1749,MATCH(I244, 'Green_rooibos initial weight'!$A$5:$A$1749,0)),"")</f>
        <v>2.1139999999999999</v>
      </c>
      <c r="L244" s="195">
        <f t="shared" si="29"/>
        <v>1.7641999999999998</v>
      </c>
      <c r="M244" s="240">
        <f>AVERAGE(Ashed_controlls!$K$1:$K$11)</f>
        <v>5.5147656768714146</v>
      </c>
      <c r="N244" s="195">
        <f t="shared" si="24"/>
        <v>1.6669085039286342</v>
      </c>
      <c r="O244" s="195">
        <f t="shared" si="30"/>
        <v>1.8641999999999999</v>
      </c>
      <c r="P244" s="240">
        <f>AVERAGE(Ashed_controlls!$K$12:$K$14)</f>
        <v>2.2816647271287041</v>
      </c>
      <c r="Q244" s="195">
        <f t="shared" si="25"/>
        <v>1.8216652061568666</v>
      </c>
      <c r="R244" s="16">
        <f>IF('Dry_Litterbag Placem_Collection'!G171="N.A","",'Dry_Litterbag Placem_Collection'!G171)</f>
        <v>43009</v>
      </c>
      <c r="S244" s="195">
        <f>IF(IFERROR(INDEX('Both teabags AfterDry'!$D$1:$D$839,MATCH(H244,'Both teabags AfterDry'!$A$1:$A$839,0)),"")="N.A","",(IFERROR(INDEX('Both teabags AfterDry'!$D$1:$D$839,MATCH(H244,'Both teabags AfterDry'!$A$1:$A$839,0)),"")))</f>
        <v>0.80610000000000004</v>
      </c>
      <c r="T244" s="195">
        <f>IF(IFERROR(INDEX('Both teabags AfterDry'!$D$1:$D$839,MATCH(I244,'Both teabags AfterDry'!$A$1:$A$839,0)),"")="N.A","",(IFERROR(INDEX('Both teabags AfterDry'!$D$1:$D$839,MATCH(I244,'Both teabags AfterDry'!$A$1:$A$839,0)),"")))</f>
        <v>1.8154999999999999</v>
      </c>
      <c r="U244" s="195">
        <f t="shared" si="31"/>
        <v>0.65549999999999997</v>
      </c>
      <c r="V244" s="195">
        <f t="shared" si="31"/>
        <v>1.6648999999999998</v>
      </c>
      <c r="W244" s="195">
        <f>IFERROR(INDEX('Ashed teabags dry'!$K$2:$K$821,MATCH(H244,'Ashed teabags dry'!$A$2:$A$821,0)),"")</f>
        <v>17.823265102348216</v>
      </c>
      <c r="X244" s="195">
        <f>IFERROR(INDEX('Ashed teabags dry'!$K$2:$K$821,MATCH(I244,'Ashed teabags dry'!$A$2:$A$821,0)),"")</f>
        <v>11.642512077294652</v>
      </c>
      <c r="Y244" s="195">
        <f t="shared" si="26"/>
        <v>0.53866849725410737</v>
      </c>
      <c r="Z244" s="195">
        <f t="shared" si="26"/>
        <v>1.4710638164251213</v>
      </c>
      <c r="AA244" s="195">
        <f t="shared" si="32"/>
        <v>0.67684579208483686</v>
      </c>
      <c r="AB244" s="195">
        <f t="shared" si="33"/>
        <v>0.44372788269694774</v>
      </c>
      <c r="AC244" s="195">
        <f t="shared" si="27"/>
        <v>0.80753796661055932</v>
      </c>
      <c r="AD244">
        <f t="shared" si="28"/>
        <v>69</v>
      </c>
      <c r="AE244" s="195">
        <f t="shared" si="34"/>
        <v>0.19614514004176142</v>
      </c>
      <c r="AF244" s="195">
        <f t="shared" si="35"/>
        <v>8.2420283845384256E-3</v>
      </c>
      <c r="AG244" s="255" t="str">
        <f>IF(ISNUMBER(SEARCH("C", 'Dry_Litterbag Placem_Collection'!AB171)),"YES","NO")</f>
        <v>NO</v>
      </c>
      <c r="AH244" s="255" t="str">
        <f>IF(ISNUMBER(SEARCH("H", 'Dry_Litterbag Placem_Collection'!AB171)),"YES","NO")</f>
        <v>NO</v>
      </c>
      <c r="AI244" s="255" t="str">
        <f>IF(ISNUMBER(SEARCH("R", 'Dry_Litterbag Placem_Collection'!AB171)),"YES","NO")</f>
        <v>NO</v>
      </c>
      <c r="AJ244" s="255" t="str">
        <f>IF(ISNUMBER(SEARCH("C", 'Dry_Litterbag Placem_Collection'!AA171)),"YES","NO")</f>
        <v>NO</v>
      </c>
      <c r="AK244" s="255" t="str">
        <f>IF(ISNUMBER(SEARCH("H", 'Dry_Litterbag Placem_Collection'!AA171)),"YES","NO")</f>
        <v>NO</v>
      </c>
      <c r="AL244" s="255" t="str">
        <f>IF(ISNUMBER(SEARCH("R", 'Dry_Litterbag Placem_Collection'!AA171)),"YES","NO")</f>
        <v>NO</v>
      </c>
      <c r="AR244" t="s">
        <v>1800</v>
      </c>
      <c r="AT244" t="s">
        <v>455</v>
      </c>
    </row>
    <row r="245" spans="2:46">
      <c r="B245" t="str">
        <f>'Final data_for_R_analysis_Dryse'!A171</f>
        <v>Dry</v>
      </c>
      <c r="C245" s="263">
        <f>'Final data_for_R_analysis_Dryse'!B171</f>
        <v>170</v>
      </c>
      <c r="D245" t="s">
        <v>3853</v>
      </c>
      <c r="E245" t="s">
        <v>22</v>
      </c>
      <c r="F245" s="386">
        <v>2</v>
      </c>
      <c r="G245" s="16">
        <f>'Dry_Litterbag Placem_Collection'!E172</f>
        <v>42940</v>
      </c>
      <c r="H245" t="str">
        <f>'Final data_for_R_analysis_Dryse'!J171</f>
        <v>G624</v>
      </c>
      <c r="I245" t="str">
        <f>'Final data_for_R_analysis_Dryse'!J391</f>
        <v>R694</v>
      </c>
      <c r="J245">
        <f>IFERROR(INDEX('Green_rooibos initial weight'!$C$5:$C$1749,MATCH(H245, 'Green_rooibos initial weight'!$A$5:$A$1749,0)),"")</f>
        <v>2.024</v>
      </c>
      <c r="K245">
        <f>IFERROR(INDEX('Green_rooibos initial weight'!$C$5:$C$1749,MATCH(I245, 'Green_rooibos initial weight'!$A$5:$A$1749,0)),"")</f>
        <v>2.23</v>
      </c>
      <c r="L245" s="195">
        <f t="shared" si="29"/>
        <v>1.7742</v>
      </c>
      <c r="M245" s="240">
        <f>AVERAGE(Ashed_controlls!$K$1:$K$11)</f>
        <v>5.5147656768714146</v>
      </c>
      <c r="N245" s="195">
        <f t="shared" si="24"/>
        <v>1.6763570273609474</v>
      </c>
      <c r="O245" s="195">
        <f t="shared" si="30"/>
        <v>1.9802</v>
      </c>
      <c r="P245" s="240">
        <f>AVERAGE(Ashed_controlls!$K$12:$K$14)</f>
        <v>2.2816647271287041</v>
      </c>
      <c r="Q245" s="195">
        <f t="shared" si="25"/>
        <v>1.9350184750733974</v>
      </c>
      <c r="R245" s="16">
        <f>IF('Dry_Litterbag Placem_Collection'!G172="N.A","",'Dry_Litterbag Placem_Collection'!G172)</f>
        <v>43009</v>
      </c>
      <c r="S245" s="195">
        <f>IF(IFERROR(INDEX('Both teabags AfterDry'!$D$1:$D$839,MATCH(H245,'Both teabags AfterDry'!$A$1:$A$839,0)),"")="N.A","",(IFERROR(INDEX('Both teabags AfterDry'!$D$1:$D$839,MATCH(H245,'Both teabags AfterDry'!$A$1:$A$839,0)),"")))</f>
        <v>0.94779999999999998</v>
      </c>
      <c r="T245" s="195">
        <f>IF(IFERROR(INDEX('Both teabags AfterDry'!$D$1:$D$839,MATCH(I245,'Both teabags AfterDry'!$A$1:$A$839,0)),"")="N.A","",(IFERROR(INDEX('Both teabags AfterDry'!$D$1:$D$839,MATCH(I245,'Both teabags AfterDry'!$A$1:$A$839,0)),"")))</f>
        <v>1.7605</v>
      </c>
      <c r="U245" s="195">
        <f t="shared" si="31"/>
        <v>0.79719999999999991</v>
      </c>
      <c r="V245" s="195">
        <f t="shared" si="31"/>
        <v>1.6098999999999999</v>
      </c>
      <c r="W245" s="195">
        <f>IFERROR(INDEX('Ashed teabags dry'!$K$2:$K$821,MATCH(H245,'Ashed teabags dry'!$A$2:$A$821,0)),"")</f>
        <v>29.054385105340501</v>
      </c>
      <c r="X245" s="195">
        <f>IFERROR(INDEX('Ashed teabags dry'!$K$2:$K$821,MATCH(I245,'Ashed teabags dry'!$A$2:$A$821,0)),"")</f>
        <v>4.9253731343281189</v>
      </c>
      <c r="Y245" s="195">
        <f t="shared" si="26"/>
        <v>0.56557844194022544</v>
      </c>
      <c r="Z245" s="195">
        <f t="shared" si="26"/>
        <v>1.5306064179104515</v>
      </c>
      <c r="AA245" s="195">
        <f t="shared" si="32"/>
        <v>0.66261456676051678</v>
      </c>
      <c r="AB245" s="195">
        <f t="shared" si="33"/>
        <v>0.4343981482800538</v>
      </c>
      <c r="AC245" s="195">
        <f t="shared" si="27"/>
        <v>0.79100351631133337</v>
      </c>
      <c r="AD245">
        <f t="shared" si="28"/>
        <v>69</v>
      </c>
      <c r="AE245" s="195">
        <f t="shared" si="34"/>
        <v>0.21304683282598957</v>
      </c>
      <c r="AF245" s="195">
        <f t="shared" si="35"/>
        <v>9.508369844495922E-3</v>
      </c>
      <c r="AG245" s="255" t="str">
        <f>IF(ISNUMBER(SEARCH("C", 'Dry_Litterbag Placem_Collection'!AB172)),"YES","NO")</f>
        <v>NO</v>
      </c>
      <c r="AH245" s="255" t="str">
        <f>IF(ISNUMBER(SEARCH("H", 'Dry_Litterbag Placem_Collection'!AB172)),"YES","NO")</f>
        <v>NO</v>
      </c>
      <c r="AI245" s="255" t="str">
        <f>IF(ISNUMBER(SEARCH("R", 'Dry_Litterbag Placem_Collection'!AB172)),"YES","NO")</f>
        <v>NO</v>
      </c>
      <c r="AJ245" s="255" t="str">
        <f>IF(ISNUMBER(SEARCH("C", 'Dry_Litterbag Placem_Collection'!AA172)),"YES","NO")</f>
        <v>NO</v>
      </c>
      <c r="AK245" s="255" t="str">
        <f>IF(ISNUMBER(SEARCH("H", 'Dry_Litterbag Placem_Collection'!AA172)),"YES","NO")</f>
        <v>NO</v>
      </c>
      <c r="AL245" s="255" t="str">
        <f>IF(ISNUMBER(SEARCH("R", 'Dry_Litterbag Placem_Collection'!AA172)),"YES","NO")</f>
        <v>NO</v>
      </c>
      <c r="AR245" t="s">
        <v>1426</v>
      </c>
      <c r="AT245" t="s">
        <v>445</v>
      </c>
    </row>
    <row r="246" spans="2:46">
      <c r="B246" t="str">
        <f>'Final data_for_R_analysis_Dryse'!A172</f>
        <v>Dry</v>
      </c>
      <c r="C246" s="263">
        <f>'Final data_for_R_analysis_Dryse'!B172</f>
        <v>171</v>
      </c>
      <c r="D246" t="s">
        <v>3853</v>
      </c>
      <c r="E246" t="s">
        <v>22</v>
      </c>
      <c r="F246" s="386">
        <v>3</v>
      </c>
      <c r="G246" s="16">
        <f>'Dry_Litterbag Placem_Collection'!E173</f>
        <v>42940</v>
      </c>
      <c r="H246" t="str">
        <f>'Final data_for_R_analysis_Dryse'!J172</f>
        <v>G149</v>
      </c>
      <c r="I246" t="str">
        <f>'Final data_for_R_analysis_Dryse'!J392</f>
        <v>R655</v>
      </c>
      <c r="J246">
        <f>IFERROR(INDEX('Green_rooibos initial weight'!$C$5:$C$1749,MATCH(H246, 'Green_rooibos initial weight'!$A$5:$A$1749,0)),"")</f>
        <v>2.1789999999999998</v>
      </c>
      <c r="K246">
        <f>IFERROR(INDEX('Green_rooibos initial weight'!$C$5:$C$1749,MATCH(I246, 'Green_rooibos initial weight'!$A$5:$A$1749,0)),"")</f>
        <v>2.1779999999999999</v>
      </c>
      <c r="L246" s="195">
        <f t="shared" si="29"/>
        <v>1.9291999999999998</v>
      </c>
      <c r="M246" s="240">
        <f>AVERAGE(Ashed_controlls!$K$1:$K$11)</f>
        <v>5.5147656768714146</v>
      </c>
      <c r="N246" s="195">
        <f t="shared" si="24"/>
        <v>1.8228091405617965</v>
      </c>
      <c r="O246" s="195">
        <f t="shared" si="30"/>
        <v>1.9281999999999999</v>
      </c>
      <c r="P246" s="240">
        <f>AVERAGE(Ashed_controlls!$K$12:$K$14)</f>
        <v>2.2816647271287041</v>
      </c>
      <c r="Q246" s="195">
        <f t="shared" si="25"/>
        <v>1.8842049407315042</v>
      </c>
      <c r="R246" s="16">
        <f>IF('Dry_Litterbag Placem_Collection'!G173="N.A","",'Dry_Litterbag Placem_Collection'!G173)</f>
        <v>43009</v>
      </c>
      <c r="S246" s="195">
        <f>IF(IFERROR(INDEX('Both teabags AfterDry'!$D$1:$D$839,MATCH(H246,'Both teabags AfterDry'!$A$1:$A$839,0)),"")="N.A","",(IFERROR(INDEX('Both teabags AfterDry'!$D$1:$D$839,MATCH(H246,'Both teabags AfterDry'!$A$1:$A$839,0)),"")))</f>
        <v>0.75890000000000002</v>
      </c>
      <c r="T246" s="195">
        <f>IF(IFERROR(INDEX('Both teabags AfterDry'!$D$1:$D$839,MATCH(I246,'Both teabags AfterDry'!$A$1:$A$839,0)),"")="N.A","",(IFERROR(INDEX('Both teabags AfterDry'!$D$1:$D$839,MATCH(I246,'Both teabags AfterDry'!$A$1:$A$839,0)),"")))</f>
        <v>3.7545000000000002</v>
      </c>
      <c r="U246" s="195">
        <f t="shared" si="31"/>
        <v>0.60830000000000006</v>
      </c>
      <c r="V246" s="195">
        <f t="shared" si="31"/>
        <v>3.6039000000000003</v>
      </c>
      <c r="W246" s="195">
        <f>IFERROR(INDEX('Ashed teabags dry'!$K$2:$K$821,MATCH(H246,'Ashed teabags dry'!$A$2:$A$821,0)),"")</f>
        <v>19.04525111884687</v>
      </c>
      <c r="X246" s="195">
        <f>IFERROR(INDEX('Ashed teabags dry'!$K$2:$K$821,MATCH(I246,'Ashed teabags dry'!$A$2:$A$821,0)),"")</f>
        <v>89.436947417404014</v>
      </c>
      <c r="Y246" s="195">
        <f t="shared" si="26"/>
        <v>0.49244773744405457</v>
      </c>
      <c r="Z246" s="195">
        <f t="shared" si="26"/>
        <v>0.38068185202417704</v>
      </c>
      <c r="AA246" s="195">
        <f t="shared" si="32"/>
        <v>0.72984130566062433</v>
      </c>
      <c r="AB246" s="195">
        <f t="shared" si="33"/>
        <v>0.47847078470862792</v>
      </c>
      <c r="AC246" s="195">
        <f t="shared" si="27"/>
        <v>0.20203845335231158</v>
      </c>
      <c r="AD246">
        <f t="shared" si="28"/>
        <v>69</v>
      </c>
      <c r="AE246" s="195">
        <f t="shared" si="34"/>
        <v>0.13320510016552922</v>
      </c>
      <c r="AF246" s="195" t="str">
        <f t="shared" si="35"/>
        <v/>
      </c>
      <c r="AG246" s="255" t="str">
        <f>IF(ISNUMBER(SEARCH("C", 'Dry_Litterbag Placem_Collection'!AB173)),"YES","NO")</f>
        <v>NO</v>
      </c>
      <c r="AH246" s="255" t="str">
        <f>IF(ISNUMBER(SEARCH("H", 'Dry_Litterbag Placem_Collection'!AB173)),"YES","NO")</f>
        <v>NO</v>
      </c>
      <c r="AI246" s="255" t="str">
        <f>IF(ISNUMBER(SEARCH("R", 'Dry_Litterbag Placem_Collection'!AB173)),"YES","NO")</f>
        <v>NO</v>
      </c>
      <c r="AJ246" s="255" t="str">
        <f>IF(ISNUMBER(SEARCH("C", 'Dry_Litterbag Placem_Collection'!AA173)),"YES","NO")</f>
        <v>NO</v>
      </c>
      <c r="AK246" s="255" t="str">
        <f>IF(ISNUMBER(SEARCH("H", 'Dry_Litterbag Placem_Collection'!AA173)),"YES","NO")</f>
        <v>NO</v>
      </c>
      <c r="AL246" s="255" t="str">
        <f>IF(ISNUMBER(SEARCH("R", 'Dry_Litterbag Placem_Collection'!AA173)),"YES","NO")</f>
        <v>NO</v>
      </c>
      <c r="AR246" t="s">
        <v>1901</v>
      </c>
      <c r="AT246" t="s">
        <v>484</v>
      </c>
    </row>
    <row r="247" spans="2:46">
      <c r="B247" t="str">
        <f>'Final data_for_R_analysis_Dryse'!A173</f>
        <v>Dry</v>
      </c>
      <c r="C247" s="263">
        <f>'Final data_for_R_analysis_Dryse'!B173</f>
        <v>172</v>
      </c>
      <c r="D247" t="s">
        <v>3853</v>
      </c>
      <c r="E247" t="s">
        <v>22</v>
      </c>
      <c r="F247" s="387">
        <v>4</v>
      </c>
      <c r="G247" s="16">
        <f>'Dry_Litterbag Placem_Collection'!E174</f>
        <v>0</v>
      </c>
      <c r="H247" t="str">
        <f>'Final data_for_R_analysis_Dryse'!J173</f>
        <v/>
      </c>
      <c r="I247" t="str">
        <f>'Final data_for_R_analysis_Dryse'!J393</f>
        <v/>
      </c>
      <c r="J247" t="str">
        <f>IFERROR(INDEX('Green_rooibos initial weight'!$C$5:$C$1749,MATCH(H247, 'Green_rooibos initial weight'!$A$5:$A$1749,0)),"")</f>
        <v/>
      </c>
      <c r="K247" t="str">
        <f>IFERROR(INDEX('Green_rooibos initial weight'!$C$5:$C$1749,MATCH(I247, 'Green_rooibos initial weight'!$A$5:$A$1749,0)),"")</f>
        <v/>
      </c>
      <c r="L247" s="195" t="str">
        <f t="shared" si="29"/>
        <v/>
      </c>
      <c r="M247" s="240">
        <f>AVERAGE(Ashed_controlls!$K$1:$K$11)</f>
        <v>5.5147656768714146</v>
      </c>
      <c r="N247" s="195" t="str">
        <f t="shared" si="24"/>
        <v/>
      </c>
      <c r="O247" s="195" t="str">
        <f t="shared" si="30"/>
        <v/>
      </c>
      <c r="P247" s="240">
        <f>AVERAGE(Ashed_controlls!$K$12:$K$14)</f>
        <v>2.2816647271287041</v>
      </c>
      <c r="Q247" s="195" t="str">
        <f t="shared" si="25"/>
        <v/>
      </c>
      <c r="R247" s="16">
        <f>IF('Dry_Litterbag Placem_Collection'!G174="N.A","",'Dry_Litterbag Placem_Collection'!G174)</f>
        <v>0</v>
      </c>
      <c r="S247" s="195" t="str">
        <f>IF(IFERROR(INDEX('Both teabags AfterDry'!$D$1:$D$839,MATCH(H247,'Both teabags AfterDry'!$A$1:$A$839,0)),"")="N.A","",(IFERROR(INDEX('Both teabags AfterDry'!$D$1:$D$839,MATCH(H247,'Both teabags AfterDry'!$A$1:$A$839,0)),"")))</f>
        <v/>
      </c>
      <c r="T247" s="195" t="str">
        <f>IF(IFERROR(INDEX('Both teabags AfterDry'!$D$1:$D$839,MATCH(I247,'Both teabags AfterDry'!$A$1:$A$839,0)),"")="N.A","",(IFERROR(INDEX('Both teabags AfterDry'!$D$1:$D$839,MATCH(I247,'Both teabags AfterDry'!$A$1:$A$839,0)),"")))</f>
        <v/>
      </c>
      <c r="U247" s="195" t="str">
        <f t="shared" si="31"/>
        <v/>
      </c>
      <c r="V247" s="195" t="str">
        <f t="shared" si="31"/>
        <v/>
      </c>
      <c r="W247" s="195" t="str">
        <f>IFERROR(INDEX('Ashed teabags dry'!$K$2:$K$821,MATCH(H247,'Ashed teabags dry'!$A$2:$A$821,0)),"")</f>
        <v/>
      </c>
      <c r="X247" s="195" t="str">
        <f>IFERROR(INDEX('Ashed teabags dry'!$K$2:$K$821,MATCH(I247,'Ashed teabags dry'!$A$2:$A$821,0)),"")</f>
        <v/>
      </c>
      <c r="Y247" s="195" t="str">
        <f t="shared" si="26"/>
        <v/>
      </c>
      <c r="Z247" s="195" t="str">
        <f t="shared" si="26"/>
        <v/>
      </c>
      <c r="AA247" s="195" t="str">
        <f t="shared" si="32"/>
        <v/>
      </c>
      <c r="AB247" s="195" t="str">
        <f t="shared" si="33"/>
        <v/>
      </c>
      <c r="AC247" s="195" t="str">
        <f t="shared" si="27"/>
        <v/>
      </c>
      <c r="AD247" t="str">
        <f t="shared" si="28"/>
        <v/>
      </c>
      <c r="AE247" s="195" t="str">
        <f t="shared" si="34"/>
        <v/>
      </c>
      <c r="AF247" s="195" t="str">
        <f t="shared" si="35"/>
        <v/>
      </c>
      <c r="AG247" s="255" t="str">
        <f>IF(ISNUMBER(SEARCH("C", 'Dry_Litterbag Placem_Collection'!AB174)),"YES","NO")</f>
        <v>NO</v>
      </c>
      <c r="AH247" s="255" t="str">
        <f>IF(ISNUMBER(SEARCH("H", 'Dry_Litterbag Placem_Collection'!AB174)),"YES","NO")</f>
        <v>NO</v>
      </c>
      <c r="AI247" s="255" t="str">
        <f>IF(ISNUMBER(SEARCH("R", 'Dry_Litterbag Placem_Collection'!AB174)),"YES","NO")</f>
        <v>NO</v>
      </c>
      <c r="AJ247" s="255" t="str">
        <f>IF(ISNUMBER(SEARCH("C", 'Dry_Litterbag Placem_Collection'!AA174)),"YES","NO")</f>
        <v>NO</v>
      </c>
      <c r="AK247" s="255" t="str">
        <f>IF(ISNUMBER(SEARCH("H", 'Dry_Litterbag Placem_Collection'!AA174)),"YES","NO")</f>
        <v>NO</v>
      </c>
      <c r="AL247" s="255" t="str">
        <f>IF(ISNUMBER(SEARCH("R", 'Dry_Litterbag Placem_Collection'!AA174)),"YES","NO")</f>
        <v>NO</v>
      </c>
      <c r="AR247" t="s">
        <v>3654</v>
      </c>
      <c r="AT247" t="s">
        <v>3654</v>
      </c>
    </row>
    <row r="248" spans="2:46">
      <c r="B248" t="str">
        <f>'Final data_for_R_analysis_Dryse'!A174</f>
        <v>Dry</v>
      </c>
      <c r="C248" s="263">
        <f>'Final data_for_R_analysis_Dryse'!B174</f>
        <v>173</v>
      </c>
      <c r="D248" t="s">
        <v>3853</v>
      </c>
      <c r="E248" t="s">
        <v>22</v>
      </c>
      <c r="F248" s="387">
        <v>5</v>
      </c>
      <c r="G248" s="16">
        <f>'Dry_Litterbag Placem_Collection'!E175</f>
        <v>42940</v>
      </c>
      <c r="H248" t="str">
        <f>'Final data_for_R_analysis_Dryse'!J174</f>
        <v>G597</v>
      </c>
      <c r="I248" t="str">
        <f>'Final data_for_R_analysis_Dryse'!J394</f>
        <v>R405</v>
      </c>
      <c r="J248">
        <f>IFERROR(INDEX('Green_rooibos initial weight'!$C$5:$C$1749,MATCH(H248, 'Green_rooibos initial weight'!$A$5:$A$1749,0)),"")</f>
        <v>1.948</v>
      </c>
      <c r="K248">
        <f>IFERROR(INDEX('Green_rooibos initial weight'!$C$5:$C$1749,MATCH(I248, 'Green_rooibos initial weight'!$A$5:$A$1749,0)),"")</f>
        <v>2.2400000000000002</v>
      </c>
      <c r="L248" s="195">
        <f t="shared" si="29"/>
        <v>1.6981999999999999</v>
      </c>
      <c r="M248" s="240">
        <f>AVERAGE(Ashed_controlls!$K$1:$K$11)</f>
        <v>5.5147656768714146</v>
      </c>
      <c r="N248" s="195">
        <f t="shared" si="24"/>
        <v>1.6045482492753695</v>
      </c>
      <c r="O248" s="195">
        <f t="shared" si="30"/>
        <v>1.9902000000000002</v>
      </c>
      <c r="P248" s="240">
        <f>AVERAGE(Ashed_controlls!$K$12:$K$14)</f>
        <v>2.2816647271287041</v>
      </c>
      <c r="Q248" s="195">
        <f t="shared" si="25"/>
        <v>1.9447903086006848</v>
      </c>
      <c r="R248" s="16">
        <f>IF('Dry_Litterbag Placem_Collection'!G175="N.A","",'Dry_Litterbag Placem_Collection'!G175)</f>
        <v>43009</v>
      </c>
      <c r="S248" s="195" t="str">
        <f>IF(IFERROR(INDEX('Both teabags AfterDry'!$D$1:$D$839,MATCH(H248,'Both teabags AfterDry'!$A$1:$A$839,0)),"")="N.A","",(IFERROR(INDEX('Both teabags AfterDry'!$D$1:$D$839,MATCH(H248,'Both teabags AfterDry'!$A$1:$A$839,0)),"")))</f>
        <v/>
      </c>
      <c r="T248" s="195" t="str">
        <f>IF(IFERROR(INDEX('Both teabags AfterDry'!$D$1:$D$839,MATCH(I248,'Both teabags AfterDry'!$A$1:$A$839,0)),"")="N.A","",(IFERROR(INDEX('Both teabags AfterDry'!$D$1:$D$839,MATCH(I248,'Both teabags AfterDry'!$A$1:$A$839,0)),"")))</f>
        <v/>
      </c>
      <c r="U248" s="195" t="str">
        <f t="shared" si="31"/>
        <v/>
      </c>
      <c r="V248" s="195" t="str">
        <f t="shared" si="31"/>
        <v/>
      </c>
      <c r="W248" s="195" t="str">
        <f>IFERROR(INDEX('Ashed teabags dry'!$K$2:$K$821,MATCH(H248,'Ashed teabags dry'!$A$2:$A$821,0)),"")</f>
        <v/>
      </c>
      <c r="X248" s="195" t="str">
        <f>IFERROR(INDEX('Ashed teabags dry'!$K$2:$K$821,MATCH(I248,'Ashed teabags dry'!$A$2:$A$821,0)),"")</f>
        <v/>
      </c>
      <c r="Y248" s="195" t="str">
        <f t="shared" si="26"/>
        <v/>
      </c>
      <c r="Z248" s="195" t="str">
        <f t="shared" si="26"/>
        <v/>
      </c>
      <c r="AA248" s="195" t="str">
        <f t="shared" si="32"/>
        <v/>
      </c>
      <c r="AB248" s="195" t="str">
        <f t="shared" si="33"/>
        <v/>
      </c>
      <c r="AC248" s="195" t="str">
        <f t="shared" si="27"/>
        <v/>
      </c>
      <c r="AD248">
        <f t="shared" si="28"/>
        <v>69</v>
      </c>
      <c r="AE248" s="195" t="str">
        <f t="shared" si="34"/>
        <v/>
      </c>
      <c r="AF248" s="195" t="str">
        <f t="shared" si="35"/>
        <v/>
      </c>
      <c r="AG248" s="255" t="str">
        <f>IF(ISNUMBER(SEARCH("C", 'Dry_Litterbag Placem_Collection'!AB175)),"YES","NO")</f>
        <v>NO</v>
      </c>
      <c r="AH248" s="255" t="str">
        <f>IF(ISNUMBER(SEARCH("H", 'Dry_Litterbag Placem_Collection'!AB175)),"YES","NO")</f>
        <v>NO</v>
      </c>
      <c r="AI248" s="255" t="str">
        <f>IF(ISNUMBER(SEARCH("R", 'Dry_Litterbag Placem_Collection'!AB175)),"YES","NO")</f>
        <v>NO</v>
      </c>
      <c r="AJ248" s="255" t="str">
        <f>IF(ISNUMBER(SEARCH("C", 'Dry_Litterbag Placem_Collection'!AA175)),"YES","NO")</f>
        <v>NO</v>
      </c>
      <c r="AK248" s="255" t="str">
        <f>IF(ISNUMBER(SEARCH("H", 'Dry_Litterbag Placem_Collection'!AA175)),"YES","NO")</f>
        <v>NO</v>
      </c>
      <c r="AL248" s="255" t="str">
        <f>IF(ISNUMBER(SEARCH("R", 'Dry_Litterbag Placem_Collection'!AA175)),"YES","NO")</f>
        <v>NO</v>
      </c>
      <c r="AR248" t="s">
        <v>1453</v>
      </c>
      <c r="AT248" t="s">
        <v>736</v>
      </c>
    </row>
    <row r="249" spans="2:46">
      <c r="B249" t="str">
        <f>'Final data_for_R_analysis_Dryse'!A175</f>
        <v>Dry</v>
      </c>
      <c r="C249" s="263">
        <f>'Final data_for_R_analysis_Dryse'!B175</f>
        <v>174</v>
      </c>
      <c r="D249" t="s">
        <v>3853</v>
      </c>
      <c r="E249" t="s">
        <v>22</v>
      </c>
      <c r="F249" s="387">
        <v>6</v>
      </c>
      <c r="G249" s="16">
        <f>'Dry_Litterbag Placem_Collection'!E176</f>
        <v>42940</v>
      </c>
      <c r="H249" t="str">
        <f>'Final data_for_R_analysis_Dryse'!J175</f>
        <v>G396</v>
      </c>
      <c r="I249" t="str">
        <f>'Final data_for_R_analysis_Dryse'!J395</f>
        <v>R736</v>
      </c>
      <c r="J249">
        <f>IFERROR(INDEX('Green_rooibos initial weight'!$C$5:$C$1749,MATCH(H249, 'Green_rooibos initial weight'!$A$5:$A$1749,0)),"")</f>
        <v>2.0070000000000001</v>
      </c>
      <c r="K249">
        <f>IFERROR(INDEX('Green_rooibos initial weight'!$C$5:$C$1749,MATCH(I249, 'Green_rooibos initial weight'!$A$5:$A$1749,0)),"")</f>
        <v>2.2189999999999999</v>
      </c>
      <c r="L249" s="195">
        <f t="shared" si="29"/>
        <v>1.7572000000000001</v>
      </c>
      <c r="M249" s="240">
        <f>AVERAGE(Ashed_controlls!$K$1:$K$11)</f>
        <v>5.5147656768714146</v>
      </c>
      <c r="N249" s="195">
        <f t="shared" si="24"/>
        <v>1.6602945375260156</v>
      </c>
      <c r="O249" s="195">
        <f t="shared" si="30"/>
        <v>1.9691999999999998</v>
      </c>
      <c r="P249" s="240">
        <f>AVERAGE(Ashed_controlls!$K$12:$K$14)</f>
        <v>2.2816647271287041</v>
      </c>
      <c r="Q249" s="195">
        <f t="shared" si="25"/>
        <v>1.9242694581933815</v>
      </c>
      <c r="R249" s="16">
        <f>IF('Dry_Litterbag Placem_Collection'!G176="N.A","",'Dry_Litterbag Placem_Collection'!G176)</f>
        <v>43009</v>
      </c>
      <c r="S249" s="195">
        <f>IF(IFERROR(INDEX('Both teabags AfterDry'!$D$1:$D$839,MATCH(H249,'Both teabags AfterDry'!$A$1:$A$839,0)),"")="N.A","",(IFERROR(INDEX('Both teabags AfterDry'!$D$1:$D$839,MATCH(H249,'Both teabags AfterDry'!$A$1:$A$839,0)),"")))</f>
        <v>0.80349999999999999</v>
      </c>
      <c r="T249" s="195">
        <f>IF(IFERROR(INDEX('Both teabags AfterDry'!$D$1:$D$839,MATCH(I249,'Both teabags AfterDry'!$A$1:$A$839,0)),"")="N.A","",(IFERROR(INDEX('Both teabags AfterDry'!$D$1:$D$839,MATCH(I249,'Both teabags AfterDry'!$A$1:$A$839,0)),"")))</f>
        <v>1.6238999999999999</v>
      </c>
      <c r="U249" s="195">
        <f t="shared" si="31"/>
        <v>0.65290000000000004</v>
      </c>
      <c r="V249" s="195">
        <f t="shared" si="31"/>
        <v>1.4732999999999998</v>
      </c>
      <c r="W249" s="195">
        <f>IFERROR(INDEX('Ashed teabags dry'!$K$2:$K$821,MATCH(H249,'Ashed teabags dry'!$A$2:$A$821,0)),"")</f>
        <v>24.860074626865973</v>
      </c>
      <c r="X249" s="195">
        <f>IFERROR(INDEX('Ashed teabags dry'!$K$2:$K$821,MATCH(I249,'Ashed teabags dry'!$A$2:$A$821,0)),"")</f>
        <v>10.510638297872269</v>
      </c>
      <c r="Y249" s="195">
        <f t="shared" si="26"/>
        <v>0.49058857276119205</v>
      </c>
      <c r="Z249" s="195">
        <f t="shared" si="26"/>
        <v>1.3184467659574477</v>
      </c>
      <c r="AA249" s="195">
        <f t="shared" si="32"/>
        <v>0.70451714339058658</v>
      </c>
      <c r="AB249" s="195">
        <f t="shared" si="33"/>
        <v>0.46186872108266486</v>
      </c>
      <c r="AC249" s="195">
        <f t="shared" si="27"/>
        <v>0.68516743346084386</v>
      </c>
      <c r="AD249">
        <f t="shared" si="28"/>
        <v>69</v>
      </c>
      <c r="AE249" s="195">
        <f t="shared" si="34"/>
        <v>0.16328130238647676</v>
      </c>
      <c r="AF249" s="195">
        <f t="shared" si="35"/>
        <v>1.6588437556348069E-2</v>
      </c>
      <c r="AG249" s="255" t="str">
        <f>IF(ISNUMBER(SEARCH("C", 'Dry_Litterbag Placem_Collection'!AB176)),"YES","NO")</f>
        <v>NO</v>
      </c>
      <c r="AH249" s="255" t="str">
        <f>IF(ISNUMBER(SEARCH("H", 'Dry_Litterbag Placem_Collection'!AB176)),"YES","NO")</f>
        <v>NO</v>
      </c>
      <c r="AI249" s="255" t="str">
        <f>IF(ISNUMBER(SEARCH("R", 'Dry_Litterbag Placem_Collection'!AB176)),"YES","NO")</f>
        <v>NO</v>
      </c>
      <c r="AJ249" s="255" t="str">
        <f>IF(ISNUMBER(SEARCH("C", 'Dry_Litterbag Placem_Collection'!AA176)),"YES","NO")</f>
        <v>NO</v>
      </c>
      <c r="AK249" s="255" t="str">
        <f>IF(ISNUMBER(SEARCH("H", 'Dry_Litterbag Placem_Collection'!AA176)),"YES","NO")</f>
        <v>NO</v>
      </c>
      <c r="AL249" s="255" t="str">
        <f>IF(ISNUMBER(SEARCH("R", 'Dry_Litterbag Placem_Collection'!AA176)),"YES","NO")</f>
        <v>NO</v>
      </c>
      <c r="AR249" t="s">
        <v>1654</v>
      </c>
      <c r="AT249" t="s">
        <v>403</v>
      </c>
    </row>
    <row r="250" spans="2:46">
      <c r="B250" t="str">
        <f>'Final data_for_R_analysis_Dryse'!A176</f>
        <v>Dry</v>
      </c>
      <c r="C250" s="263">
        <f>'Final data_for_R_analysis_Dryse'!B176</f>
        <v>175</v>
      </c>
      <c r="D250" t="s">
        <v>3853</v>
      </c>
      <c r="E250" t="s">
        <v>22</v>
      </c>
      <c r="F250" s="387">
        <v>7</v>
      </c>
      <c r="G250" s="16">
        <f>'Dry_Litterbag Placem_Collection'!E177</f>
        <v>42940</v>
      </c>
      <c r="H250" t="str">
        <f>'Final data_for_R_analysis_Dryse'!J176</f>
        <v>G612</v>
      </c>
      <c r="I250" t="str">
        <f>'Final data_for_R_analysis_Dryse'!J396</f>
        <v>R338</v>
      </c>
      <c r="J250">
        <f>IFERROR(INDEX('Green_rooibos initial weight'!$C$5:$C$1749,MATCH(H250, 'Green_rooibos initial weight'!$A$5:$A$1749,0)),"")</f>
        <v>2.004</v>
      </c>
      <c r="K250">
        <f>IFERROR(INDEX('Green_rooibos initial weight'!$C$5:$C$1749,MATCH(I250, 'Green_rooibos initial weight'!$A$5:$A$1749,0)),"")</f>
        <v>2.1709999999999998</v>
      </c>
      <c r="L250" s="195">
        <f t="shared" si="29"/>
        <v>1.7542</v>
      </c>
      <c r="M250" s="240">
        <f>AVERAGE(Ashed_controlls!$K$1:$K$11)</f>
        <v>5.5147656768714146</v>
      </c>
      <c r="N250" s="195">
        <f t="shared" si="24"/>
        <v>1.6574599804963217</v>
      </c>
      <c r="O250" s="195">
        <f t="shared" si="30"/>
        <v>1.9211999999999998</v>
      </c>
      <c r="P250" s="240">
        <f>AVERAGE(Ashed_controlls!$K$12:$K$14)</f>
        <v>2.2816647271287041</v>
      </c>
      <c r="Q250" s="195">
        <f t="shared" si="25"/>
        <v>1.8773646572624032</v>
      </c>
      <c r="R250" s="16">
        <f>IF('Dry_Litterbag Placem_Collection'!G177="N.A","",'Dry_Litterbag Placem_Collection'!G177)</f>
        <v>43009</v>
      </c>
      <c r="S250" s="195">
        <f>IF(IFERROR(INDEX('Both teabags AfterDry'!$D$1:$D$839,MATCH(H250,'Both teabags AfterDry'!$A$1:$A$839,0)),"")="N.A","",(IFERROR(INDEX('Both teabags AfterDry'!$D$1:$D$839,MATCH(H250,'Both teabags AfterDry'!$A$1:$A$839,0)),"")))</f>
        <v>0.83</v>
      </c>
      <c r="T250" s="195">
        <f>IF(IFERROR(INDEX('Both teabags AfterDry'!$D$1:$D$839,MATCH(I250,'Both teabags AfterDry'!$A$1:$A$839,0)),"")="N.A","",(IFERROR(INDEX('Both teabags AfterDry'!$D$1:$D$839,MATCH(I250,'Both teabags AfterDry'!$A$1:$A$839,0)),"")))</f>
        <v>1.8117000000000001</v>
      </c>
      <c r="U250" s="195">
        <f t="shared" si="31"/>
        <v>0.6794</v>
      </c>
      <c r="V250" s="195">
        <f t="shared" si="31"/>
        <v>1.6611</v>
      </c>
      <c r="W250" s="195">
        <f>IFERROR(INDEX('Ashed teabags dry'!$K$2:$K$821,MATCH(H250,'Ashed teabags dry'!$A$2:$A$821,0)),"")</f>
        <v>28.902765388045704</v>
      </c>
      <c r="X250" s="195">
        <f>IFERROR(INDEX('Ashed teabags dry'!$K$2:$K$821,MATCH(I250,'Ashed teabags dry'!$A$2:$A$821,0)),"")</f>
        <v>8.794946550048822</v>
      </c>
      <c r="Y250" s="195">
        <f t="shared" si="26"/>
        <v>0.48303461195361752</v>
      </c>
      <c r="Z250" s="195">
        <f t="shared" si="26"/>
        <v>1.515007142857139</v>
      </c>
      <c r="AA250" s="195">
        <f t="shared" si="32"/>
        <v>0.7085693665985382</v>
      </c>
      <c r="AB250" s="195">
        <f t="shared" si="33"/>
        <v>0.46452528546602506</v>
      </c>
      <c r="AC250" s="195">
        <f t="shared" si="27"/>
        <v>0.80698607859505644</v>
      </c>
      <c r="AD250">
        <f t="shared" si="28"/>
        <v>69</v>
      </c>
      <c r="AE250" s="195">
        <f t="shared" si="34"/>
        <v>0.15846868574995465</v>
      </c>
      <c r="AF250" s="195">
        <f t="shared" si="35"/>
        <v>7.7827825735537872E-3</v>
      </c>
      <c r="AG250" s="255" t="str">
        <f>IF(ISNUMBER(SEARCH("C", 'Dry_Litterbag Placem_Collection'!AB177)),"YES","NO")</f>
        <v>NO</v>
      </c>
      <c r="AH250" s="255" t="str">
        <f>IF(ISNUMBER(SEARCH("H", 'Dry_Litterbag Placem_Collection'!AB177)),"YES","NO")</f>
        <v>NO</v>
      </c>
      <c r="AI250" s="255" t="str">
        <f>IF(ISNUMBER(SEARCH("R", 'Dry_Litterbag Placem_Collection'!AB177)),"YES","NO")</f>
        <v>NO</v>
      </c>
      <c r="AJ250" s="255" t="str">
        <f>IF(ISNUMBER(SEARCH("C", 'Dry_Litterbag Placem_Collection'!AA177)),"YES","NO")</f>
        <v>NO</v>
      </c>
      <c r="AK250" s="255" t="str">
        <f>IF(ISNUMBER(SEARCH("H", 'Dry_Litterbag Placem_Collection'!AA177)),"YES","NO")</f>
        <v>NO</v>
      </c>
      <c r="AL250" s="255" t="str">
        <f>IF(ISNUMBER(SEARCH("R", 'Dry_Litterbag Placem_Collection'!AA177)),"YES","NO")</f>
        <v>NO</v>
      </c>
      <c r="AR250" t="s">
        <v>1438</v>
      </c>
      <c r="AT250" t="s">
        <v>803</v>
      </c>
    </row>
    <row r="251" spans="2:46">
      <c r="B251" t="str">
        <f>'Final data_for_R_analysis_Dryse'!A177</f>
        <v>Dry</v>
      </c>
      <c r="C251" s="263">
        <f>'Final data_for_R_analysis_Dryse'!B177</f>
        <v>176</v>
      </c>
      <c r="D251" t="s">
        <v>3853</v>
      </c>
      <c r="E251" t="s">
        <v>22</v>
      </c>
      <c r="F251" s="387">
        <v>8</v>
      </c>
      <c r="G251" s="16">
        <f>'Dry_Litterbag Placem_Collection'!E178</f>
        <v>42940</v>
      </c>
      <c r="H251" t="str">
        <f>'Final data_for_R_analysis_Dryse'!J177</f>
        <v>G183</v>
      </c>
      <c r="I251" t="str">
        <f>'Final data_for_R_analysis_Dryse'!J397</f>
        <v>R52</v>
      </c>
      <c r="J251">
        <f>IFERROR(INDEX('Green_rooibos initial weight'!$C$5:$C$1749,MATCH(H251, 'Green_rooibos initial weight'!$A$5:$A$1749,0)),"")</f>
        <v>1.897</v>
      </c>
      <c r="K251">
        <f>IFERROR(INDEX('Green_rooibos initial weight'!$C$5:$C$1749,MATCH(I251, 'Green_rooibos initial weight'!$A$5:$A$1749,0)),"")</f>
        <v>2.1629999999999998</v>
      </c>
      <c r="L251" s="195">
        <f t="shared" si="29"/>
        <v>1.6472</v>
      </c>
      <c r="M251" s="240">
        <f>AVERAGE(Ashed_controlls!$K$1:$K$11)</f>
        <v>5.5147656768714146</v>
      </c>
      <c r="N251" s="195">
        <f t="shared" si="24"/>
        <v>1.5563607797705741</v>
      </c>
      <c r="O251" s="195">
        <f t="shared" si="30"/>
        <v>1.9131999999999998</v>
      </c>
      <c r="P251" s="240">
        <f>AVERAGE(Ashed_controlls!$K$12:$K$14)</f>
        <v>2.2816647271287041</v>
      </c>
      <c r="Q251" s="195">
        <f t="shared" si="25"/>
        <v>1.8695471904405734</v>
      </c>
      <c r="R251" s="16">
        <f>IF('Dry_Litterbag Placem_Collection'!G178="N.A","",'Dry_Litterbag Placem_Collection'!G178)</f>
        <v>43009</v>
      </c>
      <c r="S251" s="195">
        <f>IF(IFERROR(INDEX('Both teabags AfterDry'!$D$1:$D$839,MATCH(H251,'Both teabags AfterDry'!$A$1:$A$839,0)),"")="N.A","",(IFERROR(INDEX('Both teabags AfterDry'!$D$1:$D$839,MATCH(H251,'Both teabags AfterDry'!$A$1:$A$839,0)),"")))</f>
        <v>0.92459999999999998</v>
      </c>
      <c r="T251" s="195">
        <f>IF(IFERROR(INDEX('Both teabags AfterDry'!$D$1:$D$839,MATCH(I251,'Both teabags AfterDry'!$A$1:$A$839,0)),"")="N.A","",(IFERROR(INDEX('Both teabags AfterDry'!$D$1:$D$839,MATCH(I251,'Both teabags AfterDry'!$A$1:$A$839,0)),"")))</f>
        <v>0</v>
      </c>
      <c r="U251" s="195">
        <f t="shared" si="31"/>
        <v>0.77400000000000002</v>
      </c>
      <c r="V251" s="195" t="str">
        <f t="shared" si="31"/>
        <v/>
      </c>
      <c r="W251" s="195">
        <f>IFERROR(INDEX('Ashed teabags dry'!$K$2:$K$821,MATCH(H251,'Ashed teabags dry'!$A$2:$A$821,0)),"")</f>
        <v>36.390532544378914</v>
      </c>
      <c r="X251" s="195">
        <f>IFERROR(INDEX('Ashed teabags dry'!$K$2:$K$821,MATCH(I251,'Ashed teabags dry'!$A$2:$A$821,0)),"")</f>
        <v>93.555555555555571</v>
      </c>
      <c r="Y251" s="195">
        <f t="shared" si="26"/>
        <v>0.49233727810650724</v>
      </c>
      <c r="Z251" s="195" t="str">
        <f t="shared" si="26"/>
        <v/>
      </c>
      <c r="AA251" s="195">
        <f t="shared" si="32"/>
        <v>0.68366121499214105</v>
      </c>
      <c r="AB251" s="195">
        <f t="shared" si="33"/>
        <v>0.44819595092121367</v>
      </c>
      <c r="AC251" s="195" t="str">
        <f t="shared" si="27"/>
        <v/>
      </c>
      <c r="AD251">
        <f t="shared" si="28"/>
        <v>69</v>
      </c>
      <c r="AE251" s="195">
        <f t="shared" si="34"/>
        <v>0.18805081354852604</v>
      </c>
      <c r="AF251" s="195" t="str">
        <f t="shared" si="35"/>
        <v/>
      </c>
      <c r="AG251" s="255" t="str">
        <f>IF(ISNUMBER(SEARCH("C", 'Dry_Litterbag Placem_Collection'!AB178)),"YES","NO")</f>
        <v>NO</v>
      </c>
      <c r="AH251" s="255" t="str">
        <f>IF(ISNUMBER(SEARCH("H", 'Dry_Litterbag Placem_Collection'!AB178)),"YES","NO")</f>
        <v>NO</v>
      </c>
      <c r="AI251" s="255" t="str">
        <f>IF(ISNUMBER(SEARCH("R", 'Dry_Litterbag Placem_Collection'!AB178)),"YES","NO")</f>
        <v>NO</v>
      </c>
      <c r="AJ251" s="255" t="str">
        <f>IF(ISNUMBER(SEARCH("C", 'Dry_Litterbag Placem_Collection'!AA178)),"YES","NO")</f>
        <v>NO</v>
      </c>
      <c r="AK251" s="255" t="str">
        <f>IF(ISNUMBER(SEARCH("H", 'Dry_Litterbag Placem_Collection'!AA178)),"YES","NO")</f>
        <v>NO</v>
      </c>
      <c r="AL251" s="255" t="str">
        <f>IF(ISNUMBER(SEARCH("R", 'Dry_Litterbag Placem_Collection'!AA178)),"YES","NO")</f>
        <v>NO</v>
      </c>
      <c r="AR251" t="s">
        <v>1867</v>
      </c>
      <c r="AT251" t="s">
        <v>1089</v>
      </c>
    </row>
    <row r="252" spans="2:46">
      <c r="B252" t="str">
        <f>'Final data_for_R_analysis_Dryse'!A178</f>
        <v>Dry</v>
      </c>
      <c r="C252" s="263">
        <f>'Final data_for_R_analysis_Dryse'!B178</f>
        <v>177</v>
      </c>
      <c r="D252" t="s">
        <v>3854</v>
      </c>
      <c r="E252" t="s">
        <v>22</v>
      </c>
      <c r="F252" s="386">
        <v>1</v>
      </c>
      <c r="G252" s="16">
        <f>'Dry_Litterbag Placem_Collection'!E179</f>
        <v>42940</v>
      </c>
      <c r="H252" t="str">
        <f>'Final data_for_R_analysis_Dryse'!J178</f>
        <v>G98</v>
      </c>
      <c r="I252" t="str">
        <f>'Final data_for_R_analysis_Dryse'!J398</f>
        <v>R750</v>
      </c>
      <c r="J252">
        <f>IFERROR(INDEX('Green_rooibos initial weight'!$C$5:$C$1749,MATCH(H252, 'Green_rooibos initial weight'!$A$5:$A$1749,0)),"")</f>
        <v>2.0979999999999999</v>
      </c>
      <c r="K252">
        <f>IFERROR(INDEX('Green_rooibos initial weight'!$C$5:$C$1749,MATCH(I252, 'Green_rooibos initial weight'!$A$5:$A$1749,0)),"")</f>
        <v>2.2029999999999998</v>
      </c>
      <c r="L252" s="195">
        <f t="shared" si="29"/>
        <v>1.8481999999999998</v>
      </c>
      <c r="M252" s="240">
        <f>AVERAGE(Ashed_controlls!$K$1:$K$11)</f>
        <v>5.5147656768714146</v>
      </c>
      <c r="N252" s="195">
        <f t="shared" si="24"/>
        <v>1.7462761007600625</v>
      </c>
      <c r="O252" s="195">
        <f t="shared" si="30"/>
        <v>1.9531999999999998</v>
      </c>
      <c r="P252" s="240">
        <f>AVERAGE(Ashed_controlls!$K$12:$K$14)</f>
        <v>2.2816647271287041</v>
      </c>
      <c r="Q252" s="195">
        <f t="shared" si="25"/>
        <v>1.908634524549722</v>
      </c>
      <c r="R252" s="16">
        <f>IF('Dry_Litterbag Placem_Collection'!G179="N.A","",'Dry_Litterbag Placem_Collection'!G179)</f>
        <v>43009</v>
      </c>
      <c r="S252" s="195" t="str">
        <f>IF(IFERROR(INDEX('Both teabags AfterDry'!$D$1:$D$839,MATCH(H252,'Both teabags AfterDry'!$A$1:$A$839,0)),"")="N.A","",(IFERROR(INDEX('Both teabags AfterDry'!$D$1:$D$839,MATCH(H252,'Both teabags AfterDry'!$A$1:$A$839,0)),"")))</f>
        <v/>
      </c>
      <c r="T252" s="195" t="str">
        <f>IF(IFERROR(INDEX('Both teabags AfterDry'!$D$1:$D$839,MATCH(I252,'Both teabags AfterDry'!$A$1:$A$839,0)),"")="N.A","",(IFERROR(INDEX('Both teabags AfterDry'!$D$1:$D$839,MATCH(I252,'Both teabags AfterDry'!$A$1:$A$839,0)),"")))</f>
        <v/>
      </c>
      <c r="U252" s="195" t="str">
        <f t="shared" si="31"/>
        <v/>
      </c>
      <c r="V252" s="195" t="str">
        <f t="shared" si="31"/>
        <v/>
      </c>
      <c r="W252" s="195" t="str">
        <f>IFERROR(INDEX('Ashed teabags dry'!$K$2:$K$821,MATCH(H252,'Ashed teabags dry'!$A$2:$A$821,0)),"")</f>
        <v/>
      </c>
      <c r="X252" s="195" t="str">
        <f>IFERROR(INDEX('Ashed teabags dry'!$K$2:$K$821,MATCH(I252,'Ashed teabags dry'!$A$2:$A$821,0)),"")</f>
        <v/>
      </c>
      <c r="Y252" s="195" t="str">
        <f t="shared" si="26"/>
        <v/>
      </c>
      <c r="Z252" s="195" t="str">
        <f t="shared" si="26"/>
        <v/>
      </c>
      <c r="AA252" s="195" t="str">
        <f t="shared" si="32"/>
        <v/>
      </c>
      <c r="AB252" s="195" t="str">
        <f t="shared" si="33"/>
        <v/>
      </c>
      <c r="AC252" s="195" t="str">
        <f t="shared" si="27"/>
        <v/>
      </c>
      <c r="AD252">
        <f t="shared" si="28"/>
        <v>69</v>
      </c>
      <c r="AE252" s="195" t="str">
        <f t="shared" si="34"/>
        <v/>
      </c>
      <c r="AF252" s="195" t="str">
        <f t="shared" si="35"/>
        <v/>
      </c>
      <c r="AG252" s="255" t="str">
        <f>IF(ISNUMBER(SEARCH("C", 'Dry_Litterbag Placem_Collection'!AB179)),"YES","NO")</f>
        <v>NO</v>
      </c>
      <c r="AH252" s="255" t="str">
        <f>IF(ISNUMBER(SEARCH("H", 'Dry_Litterbag Placem_Collection'!AB179)),"YES","NO")</f>
        <v>NO</v>
      </c>
      <c r="AI252" s="255" t="str">
        <f>IF(ISNUMBER(SEARCH("R", 'Dry_Litterbag Placem_Collection'!AB179)),"YES","NO")</f>
        <v>NO</v>
      </c>
      <c r="AJ252" s="255" t="str">
        <f>IF(ISNUMBER(SEARCH("C", 'Dry_Litterbag Placem_Collection'!AA179)),"YES","NO")</f>
        <v>NO</v>
      </c>
      <c r="AK252" s="255" t="str">
        <f>IF(ISNUMBER(SEARCH("H", 'Dry_Litterbag Placem_Collection'!AA179)),"YES","NO")</f>
        <v>NO</v>
      </c>
      <c r="AL252" s="255" t="str">
        <f>IF(ISNUMBER(SEARCH("R", 'Dry_Litterbag Placem_Collection'!AA179)),"YES","NO")</f>
        <v>NO</v>
      </c>
      <c r="AR252" t="s">
        <v>1952</v>
      </c>
      <c r="AT252" t="s">
        <v>389</v>
      </c>
    </row>
    <row r="253" spans="2:46">
      <c r="B253" t="str">
        <f>'Final data_for_R_analysis_Dryse'!A179</f>
        <v>Dry</v>
      </c>
      <c r="C253" s="263">
        <f>'Final data_for_R_analysis_Dryse'!B179</f>
        <v>178</v>
      </c>
      <c r="D253" t="s">
        <v>3854</v>
      </c>
      <c r="E253" t="s">
        <v>22</v>
      </c>
      <c r="F253" s="386">
        <v>2</v>
      </c>
      <c r="G253" s="16">
        <f>'Dry_Litterbag Placem_Collection'!E180</f>
        <v>42940</v>
      </c>
      <c r="H253" t="str">
        <f>'Final data_for_R_analysis_Dryse'!J179</f>
        <v>G353</v>
      </c>
      <c r="I253" t="str">
        <f>'Final data_for_R_analysis_Dryse'!J399</f>
        <v>R612</v>
      </c>
      <c r="J253">
        <f>IFERROR(INDEX('Green_rooibos initial weight'!$C$5:$C$1749,MATCH(H253, 'Green_rooibos initial weight'!$A$5:$A$1749,0)),"")</f>
        <v>1.988</v>
      </c>
      <c r="K253">
        <f>IFERROR(INDEX('Green_rooibos initial weight'!$C$5:$C$1749,MATCH(I253, 'Green_rooibos initial weight'!$A$5:$A$1749,0)),"")</f>
        <v>2.11</v>
      </c>
      <c r="L253" s="195">
        <f t="shared" si="29"/>
        <v>1.7382</v>
      </c>
      <c r="M253" s="240">
        <f>AVERAGE(Ashed_controlls!$K$1:$K$11)</f>
        <v>5.5147656768714146</v>
      </c>
      <c r="N253" s="195">
        <f t="shared" si="24"/>
        <v>1.6423423430046211</v>
      </c>
      <c r="O253" s="195">
        <f t="shared" si="30"/>
        <v>1.8601999999999999</v>
      </c>
      <c r="P253" s="240">
        <f>AVERAGE(Ashed_controlls!$K$12:$K$14)</f>
        <v>2.2816647271287041</v>
      </c>
      <c r="Q253" s="195">
        <f t="shared" si="25"/>
        <v>1.8177564727459516</v>
      </c>
      <c r="R253" s="16">
        <f>IF('Dry_Litterbag Placem_Collection'!G180="N.A","",'Dry_Litterbag Placem_Collection'!G180)</f>
        <v>43009</v>
      </c>
      <c r="S253" s="195">
        <f>IF(IFERROR(INDEX('Both teabags AfterDry'!$D$1:$D$839,MATCH(H253,'Both teabags AfterDry'!$A$1:$A$839,0)),"")="N.A","",(IFERROR(INDEX('Both teabags AfterDry'!$D$1:$D$839,MATCH(H253,'Both teabags AfterDry'!$A$1:$A$839,0)),"")))</f>
        <v>0.80569999999999997</v>
      </c>
      <c r="T253" s="195">
        <f>IF(IFERROR(INDEX('Both teabags AfterDry'!$D$1:$D$839,MATCH(I253,'Both teabags AfterDry'!$A$1:$A$839,0)),"")="N.A","",(IFERROR(INDEX('Both teabags AfterDry'!$D$1:$D$839,MATCH(I253,'Both teabags AfterDry'!$A$1:$A$839,0)),"")))</f>
        <v>0</v>
      </c>
      <c r="U253" s="195">
        <f t="shared" si="31"/>
        <v>0.65510000000000002</v>
      </c>
      <c r="V253" s="195" t="str">
        <f t="shared" si="31"/>
        <v/>
      </c>
      <c r="W253" s="195">
        <f>IFERROR(INDEX('Ashed teabags dry'!$K$2:$K$821,MATCH(H253,'Ashed teabags dry'!$A$2:$A$821,0)),"")</f>
        <v>27.451946771808881</v>
      </c>
      <c r="X253" s="195">
        <f>IFERROR(INDEX('Ashed teabags dry'!$K$2:$K$821,MATCH(I253,'Ashed teabags dry'!$A$2:$A$821,0)),"")</f>
        <v>94.417238001958822</v>
      </c>
      <c r="Y253" s="195">
        <f t="shared" si="26"/>
        <v>0.47526229669788</v>
      </c>
      <c r="Z253" s="195" t="str">
        <f t="shared" si="26"/>
        <v/>
      </c>
      <c r="AA253" s="195">
        <f t="shared" si="32"/>
        <v>0.71061922703131408</v>
      </c>
      <c r="AB253" s="195">
        <f t="shared" si="33"/>
        <v>0.46586913696114657</v>
      </c>
      <c r="AC253" s="195" t="str">
        <f t="shared" si="27"/>
        <v/>
      </c>
      <c r="AD253">
        <f t="shared" si="28"/>
        <v>69</v>
      </c>
      <c r="AE253" s="195">
        <f t="shared" si="34"/>
        <v>0.15603417217183602</v>
      </c>
      <c r="AF253" s="195" t="str">
        <f t="shared" si="35"/>
        <v/>
      </c>
      <c r="AG253" s="255" t="str">
        <f>IF(ISNUMBER(SEARCH("C", 'Dry_Litterbag Placem_Collection'!AB180)),"YES","NO")</f>
        <v>NO</v>
      </c>
      <c r="AH253" s="255" t="str">
        <f>IF(ISNUMBER(SEARCH("H", 'Dry_Litterbag Placem_Collection'!AB180)),"YES","NO")</f>
        <v>NO</v>
      </c>
      <c r="AI253" s="255" t="str">
        <f>IF(ISNUMBER(SEARCH("R", 'Dry_Litterbag Placem_Collection'!AB180)),"YES","NO")</f>
        <v>NO</v>
      </c>
      <c r="AJ253" s="255" t="str">
        <f>IF(ISNUMBER(SEARCH("C", 'Dry_Litterbag Placem_Collection'!AA180)),"YES","NO")</f>
        <v>NO</v>
      </c>
      <c r="AK253" s="255" t="str">
        <f>IF(ISNUMBER(SEARCH("H", 'Dry_Litterbag Placem_Collection'!AA180)),"YES","NO")</f>
        <v>NO</v>
      </c>
      <c r="AL253" s="255" t="str">
        <f>IF(ISNUMBER(SEARCH("R", 'Dry_Litterbag Placem_Collection'!AA180)),"YES","NO")</f>
        <v>NO</v>
      </c>
      <c r="AR253" t="s">
        <v>1697</v>
      </c>
      <c r="AT253" t="s">
        <v>527</v>
      </c>
    </row>
    <row r="254" spans="2:46">
      <c r="B254" t="str">
        <f>'Final data_for_R_analysis_Dryse'!A180</f>
        <v>Dry</v>
      </c>
      <c r="C254" s="263">
        <f>'Final data_for_R_analysis_Dryse'!B180</f>
        <v>179</v>
      </c>
      <c r="D254" t="s">
        <v>3854</v>
      </c>
      <c r="E254" t="s">
        <v>22</v>
      </c>
      <c r="F254" s="386">
        <v>3</v>
      </c>
      <c r="G254" s="16">
        <f>'Dry_Litterbag Placem_Collection'!E181</f>
        <v>42940</v>
      </c>
      <c r="H254" t="str">
        <f>'Final data_for_R_analysis_Dryse'!J180</f>
        <v>G42</v>
      </c>
      <c r="I254" t="str">
        <f>'Final data_for_R_analysis_Dryse'!J400</f>
        <v>R491</v>
      </c>
      <c r="J254">
        <f>IFERROR(INDEX('Green_rooibos initial weight'!$C$5:$C$1749,MATCH(H254, 'Green_rooibos initial weight'!$A$5:$A$1749,0)),"")</f>
        <v>1.9530000000000001</v>
      </c>
      <c r="K254">
        <f>IFERROR(INDEX('Green_rooibos initial weight'!$C$5:$C$1749,MATCH(I254, 'Green_rooibos initial weight'!$A$5:$A$1749,0)),"")</f>
        <v>2.2690000000000001</v>
      </c>
      <c r="L254" s="195">
        <f t="shared" si="29"/>
        <v>1.7032</v>
      </c>
      <c r="M254" s="240">
        <f>AVERAGE(Ashed_controlls!$K$1:$K$11)</f>
        <v>5.5147656768714146</v>
      </c>
      <c r="N254" s="195">
        <f t="shared" si="24"/>
        <v>1.609272510991526</v>
      </c>
      <c r="O254" s="195">
        <f t="shared" si="30"/>
        <v>2.0192000000000001</v>
      </c>
      <c r="P254" s="240">
        <f>AVERAGE(Ashed_controlls!$K$12:$K$14)</f>
        <v>2.2816647271287041</v>
      </c>
      <c r="Q254" s="195">
        <f t="shared" si="25"/>
        <v>1.9731286258298173</v>
      </c>
      <c r="R254" s="16">
        <f>IF('Dry_Litterbag Placem_Collection'!G181="N.A","",'Dry_Litterbag Placem_Collection'!G181)</f>
        <v>43009</v>
      </c>
      <c r="S254" s="195" t="str">
        <f>IF(IFERROR(INDEX('Both teabags AfterDry'!$D$1:$D$839,MATCH(H254,'Both teabags AfterDry'!$A$1:$A$839,0)),"")="N.A","",(IFERROR(INDEX('Both teabags AfterDry'!$D$1:$D$839,MATCH(H254,'Both teabags AfterDry'!$A$1:$A$839,0)),"")))</f>
        <v/>
      </c>
      <c r="T254" s="195">
        <f>IF(IFERROR(INDEX('Both teabags AfterDry'!$D$1:$D$839,MATCH(I254,'Both teabags AfterDry'!$A$1:$A$839,0)),"")="N.A","",(IFERROR(INDEX('Both teabags AfterDry'!$D$1:$D$839,MATCH(I254,'Both teabags AfterDry'!$A$1:$A$839,0)),"")))</f>
        <v>2.0198</v>
      </c>
      <c r="U254" s="195" t="str">
        <f t="shared" si="31"/>
        <v/>
      </c>
      <c r="V254" s="195">
        <f t="shared" si="31"/>
        <v>1.8692</v>
      </c>
      <c r="W254" s="195">
        <f>IFERROR(INDEX('Ashed teabags dry'!$K$2:$K$821,MATCH(H254,'Ashed teabags dry'!$A$2:$A$821,0)),"")</f>
        <v>41.121951219512503</v>
      </c>
      <c r="X254" s="195">
        <f>IFERROR(INDEX('Ashed teabags dry'!$K$2:$K$821,MATCH(I254,'Ashed teabags dry'!$A$2:$A$821,0)),"")</f>
        <v>14.684287812040845</v>
      </c>
      <c r="Y254" s="195" t="str">
        <f t="shared" si="26"/>
        <v/>
      </c>
      <c r="Z254" s="195">
        <f t="shared" si="26"/>
        <v>1.5947212922173324</v>
      </c>
      <c r="AA254" s="195" t="str">
        <f t="shared" si="32"/>
        <v/>
      </c>
      <c r="AB254" s="195" t="str">
        <f t="shared" si="33"/>
        <v/>
      </c>
      <c r="AC254" s="195">
        <f t="shared" si="27"/>
        <v>0.80821963218270054</v>
      </c>
      <c r="AD254">
        <f t="shared" si="28"/>
        <v>69</v>
      </c>
      <c r="AE254" s="195" t="str">
        <f t="shared" si="34"/>
        <v/>
      </c>
      <c r="AF254" s="195" t="str">
        <f t="shared" si="35"/>
        <v/>
      </c>
      <c r="AG254" s="255" t="str">
        <f>IF(ISNUMBER(SEARCH("C", 'Dry_Litterbag Placem_Collection'!AB181)),"YES","NO")</f>
        <v>NO</v>
      </c>
      <c r="AH254" s="255" t="str">
        <f>IF(ISNUMBER(SEARCH("H", 'Dry_Litterbag Placem_Collection'!AB181)),"YES","NO")</f>
        <v>NO</v>
      </c>
      <c r="AI254" s="255" t="str">
        <f>IF(ISNUMBER(SEARCH("R", 'Dry_Litterbag Placem_Collection'!AB181)),"YES","NO")</f>
        <v>NO</v>
      </c>
      <c r="AJ254" s="255" t="str">
        <f>IF(ISNUMBER(SEARCH("C", 'Dry_Litterbag Placem_Collection'!AA181)),"YES","NO")</f>
        <v>NO</v>
      </c>
      <c r="AK254" s="255" t="str">
        <f>IF(ISNUMBER(SEARCH("H", 'Dry_Litterbag Placem_Collection'!AA181)),"YES","NO")</f>
        <v>NO</v>
      </c>
      <c r="AL254" s="255" t="str">
        <f>IF(ISNUMBER(SEARCH("R", 'Dry_Litterbag Placem_Collection'!AA181)),"YES","NO")</f>
        <v>NO</v>
      </c>
      <c r="AR254" t="s">
        <v>2008</v>
      </c>
      <c r="AT254" t="s">
        <v>650</v>
      </c>
    </row>
    <row r="255" spans="2:46">
      <c r="B255" t="str">
        <f>'Final data_for_R_analysis_Dryse'!A181</f>
        <v>Dry</v>
      </c>
      <c r="C255" s="263">
        <f>'Final data_for_R_analysis_Dryse'!B181</f>
        <v>180</v>
      </c>
      <c r="D255" t="s">
        <v>3854</v>
      </c>
      <c r="E255" t="s">
        <v>22</v>
      </c>
      <c r="F255" s="387">
        <v>4</v>
      </c>
      <c r="G255" s="16">
        <f>'Dry_Litterbag Placem_Collection'!E182</f>
        <v>42940</v>
      </c>
      <c r="H255" t="str">
        <f>'Final data_for_R_analysis_Dryse'!J181</f>
        <v>G245</v>
      </c>
      <c r="I255" t="str">
        <f>'Final data_for_R_analysis_Dryse'!J401</f>
        <v>R325</v>
      </c>
      <c r="J255">
        <f>IFERROR(INDEX('Green_rooibos initial weight'!$C$5:$C$1749,MATCH(H255, 'Green_rooibos initial weight'!$A$5:$A$1749,0)),"")</f>
        <v>2.0150000000000001</v>
      </c>
      <c r="K255">
        <f>IFERROR(INDEX('Green_rooibos initial weight'!$C$5:$C$1749,MATCH(I255, 'Green_rooibos initial weight'!$A$5:$A$1749,0)),"")</f>
        <v>2.2069999999999999</v>
      </c>
      <c r="L255" s="195">
        <f t="shared" si="29"/>
        <v>1.7652000000000001</v>
      </c>
      <c r="M255" s="240">
        <f>AVERAGE(Ashed_controlls!$K$1:$K$11)</f>
        <v>5.5147656768714146</v>
      </c>
      <c r="N255" s="195">
        <f t="shared" si="24"/>
        <v>1.6678533562718658</v>
      </c>
      <c r="O255" s="195">
        <f t="shared" si="30"/>
        <v>1.9571999999999998</v>
      </c>
      <c r="P255" s="240">
        <f>AVERAGE(Ashed_controlls!$K$12:$K$14)</f>
        <v>2.2816647271287041</v>
      </c>
      <c r="Q255" s="195">
        <f t="shared" si="25"/>
        <v>1.9125432579606367</v>
      </c>
      <c r="R255" s="16">
        <f>IF('Dry_Litterbag Placem_Collection'!G182="N.A","",'Dry_Litterbag Placem_Collection'!G182)</f>
        <v>43009</v>
      </c>
      <c r="S255" s="195">
        <f>IF(IFERROR(INDEX('Both teabags AfterDry'!$D$1:$D$839,MATCH(H255,'Both teabags AfterDry'!$A$1:$A$839,0)),"")="N.A","",(IFERROR(INDEX('Both teabags AfterDry'!$D$1:$D$839,MATCH(H255,'Both teabags AfterDry'!$A$1:$A$839,0)),"")))</f>
        <v>0.81240000000000001</v>
      </c>
      <c r="T255" s="195">
        <f>IF(IFERROR(INDEX('Both teabags AfterDry'!$D$1:$D$839,MATCH(I255,'Both teabags AfterDry'!$A$1:$A$839,0)),"")="N.A","",(IFERROR(INDEX('Both teabags AfterDry'!$D$1:$D$839,MATCH(I255,'Both teabags AfterDry'!$A$1:$A$839,0)),"")))</f>
        <v>1.6720999999999999</v>
      </c>
      <c r="U255" s="195">
        <f t="shared" si="31"/>
        <v>0.66179999999999994</v>
      </c>
      <c r="V255" s="195">
        <f t="shared" si="31"/>
        <v>1.5214999999999999</v>
      </c>
      <c r="W255" s="195">
        <f>IFERROR(INDEX('Ashed teabags dry'!$K$2:$K$821,MATCH(H255,'Ashed teabags dry'!$A$2:$A$821,0)),"")</f>
        <v>19.084712755598879</v>
      </c>
      <c r="X255" s="195">
        <f>IFERROR(INDEX('Ashed teabags dry'!$K$2:$K$821,MATCH(I255,'Ashed teabags dry'!$A$2:$A$821,0)),"")</f>
        <v>6.4801178203239465</v>
      </c>
      <c r="Y255" s="195">
        <f t="shared" si="26"/>
        <v>0.53549737098344652</v>
      </c>
      <c r="Z255" s="195">
        <f t="shared" si="26"/>
        <v>1.422905007363771</v>
      </c>
      <c r="AA255" s="195">
        <f t="shared" si="32"/>
        <v>0.67893018353817514</v>
      </c>
      <c r="AB255" s="195">
        <f t="shared" si="33"/>
        <v>0.44509437210578712</v>
      </c>
      <c r="AC255" s="195">
        <f t="shared" si="27"/>
        <v>0.74398579035594115</v>
      </c>
      <c r="AD255">
        <f t="shared" si="28"/>
        <v>69</v>
      </c>
      <c r="AE255" s="195">
        <f t="shared" si="34"/>
        <v>0.19366961575038577</v>
      </c>
      <c r="AF255" s="195">
        <f t="shared" si="35"/>
        <v>1.2407467633088675E-2</v>
      </c>
      <c r="AG255" s="255" t="str">
        <f>IF(ISNUMBER(SEARCH("C", 'Dry_Litterbag Placem_Collection'!AB182)),"YES","NO")</f>
        <v>NO</v>
      </c>
      <c r="AH255" s="255" t="str">
        <f>IF(ISNUMBER(SEARCH("H", 'Dry_Litterbag Placem_Collection'!AB182)),"YES","NO")</f>
        <v>NO</v>
      </c>
      <c r="AI255" s="255" t="str">
        <f>IF(ISNUMBER(SEARCH("R", 'Dry_Litterbag Placem_Collection'!AB182)),"YES","NO")</f>
        <v>NO</v>
      </c>
      <c r="AJ255" s="255" t="str">
        <f>IF(ISNUMBER(SEARCH("C", 'Dry_Litterbag Placem_Collection'!AA182)),"YES","NO")</f>
        <v>NO</v>
      </c>
      <c r="AK255" s="255" t="str">
        <f>IF(ISNUMBER(SEARCH("H", 'Dry_Litterbag Placem_Collection'!AA182)),"YES","NO")</f>
        <v>NO</v>
      </c>
      <c r="AL255" s="255" t="str">
        <f>IF(ISNUMBER(SEARCH("R", 'Dry_Litterbag Placem_Collection'!AA182)),"YES","NO")</f>
        <v>NO</v>
      </c>
      <c r="AR255" t="s">
        <v>1805</v>
      </c>
      <c r="AT255" t="s">
        <v>816</v>
      </c>
    </row>
    <row r="256" spans="2:46">
      <c r="B256" t="str">
        <f>'Final data_for_R_analysis_Dryse'!A182</f>
        <v>Dry</v>
      </c>
      <c r="C256" s="263">
        <f>'Final data_for_R_analysis_Dryse'!B182</f>
        <v>181</v>
      </c>
      <c r="D256" t="s">
        <v>3854</v>
      </c>
      <c r="E256" t="s">
        <v>22</v>
      </c>
      <c r="F256" s="387">
        <v>5</v>
      </c>
      <c r="G256" s="16">
        <f>'Dry_Litterbag Placem_Collection'!E183</f>
        <v>42940</v>
      </c>
      <c r="H256" t="str">
        <f>'Final data_for_R_analysis_Dryse'!J182</f>
        <v>G411</v>
      </c>
      <c r="I256" t="str">
        <f>'Final data_for_R_analysis_Dryse'!J402</f>
        <v>R116</v>
      </c>
      <c r="J256">
        <f>IFERROR(INDEX('Green_rooibos initial weight'!$C$5:$C$1749,MATCH(H256, 'Green_rooibos initial weight'!$A$5:$A$1749,0)),"")</f>
        <v>2.1120000000000001</v>
      </c>
      <c r="K256">
        <f>IFERROR(INDEX('Green_rooibos initial weight'!$C$5:$C$1749,MATCH(I256, 'Green_rooibos initial weight'!$A$5:$A$1749,0)),"")</f>
        <v>2.2909999999999999</v>
      </c>
      <c r="L256" s="195">
        <f t="shared" si="29"/>
        <v>1.8622000000000001</v>
      </c>
      <c r="M256" s="240">
        <f>AVERAGE(Ashed_controlls!$K$1:$K$11)</f>
        <v>5.5147656768714146</v>
      </c>
      <c r="N256" s="195">
        <f t="shared" si="24"/>
        <v>1.7595040335653005</v>
      </c>
      <c r="O256" s="195">
        <f t="shared" si="30"/>
        <v>2.0411999999999999</v>
      </c>
      <c r="P256" s="240">
        <f>AVERAGE(Ashed_controlls!$K$12:$K$14)</f>
        <v>2.2816647271287041</v>
      </c>
      <c r="Q256" s="195">
        <f t="shared" si="25"/>
        <v>1.9946266595898487</v>
      </c>
      <c r="R256" s="16">
        <f>IF('Dry_Litterbag Placem_Collection'!G183="N.A","",'Dry_Litterbag Placem_Collection'!G183)</f>
        <v>43009</v>
      </c>
      <c r="S256" s="195">
        <f>IF(IFERROR(INDEX('Both teabags AfterDry'!$D$1:$D$839,MATCH(H256,'Both teabags AfterDry'!$A$1:$A$839,0)),"")="N.A","",(IFERROR(INDEX('Both teabags AfterDry'!$D$1:$D$839,MATCH(H256,'Both teabags AfterDry'!$A$1:$A$839,0)),"")))</f>
        <v>0.76629999999999998</v>
      </c>
      <c r="T256" s="195">
        <f>IF(IFERROR(INDEX('Both teabags AfterDry'!$D$1:$D$839,MATCH(I256,'Both teabags AfterDry'!$A$1:$A$839,0)),"")="N.A","",(IFERROR(INDEX('Both teabags AfterDry'!$D$1:$D$839,MATCH(I256,'Both teabags AfterDry'!$A$1:$A$839,0)),"")))</f>
        <v>2.0322</v>
      </c>
      <c r="U256" s="195">
        <f t="shared" si="31"/>
        <v>0.61569999999999991</v>
      </c>
      <c r="V256" s="195">
        <f t="shared" si="31"/>
        <v>1.8815999999999999</v>
      </c>
      <c r="W256" s="195">
        <f>IFERROR(INDEX('Ashed teabags dry'!$K$2:$K$821,MATCH(H256,'Ashed teabags dry'!$A$2:$A$821,0)),"")</f>
        <v>18.218018914882634</v>
      </c>
      <c r="X256" s="195">
        <f>IFERROR(INDEX('Ashed teabags dry'!$K$2:$K$821,MATCH(I256,'Ashed teabags dry'!$A$2:$A$821,0)),"")</f>
        <v>7.2674418604643565</v>
      </c>
      <c r="Y256" s="195">
        <f t="shared" si="26"/>
        <v>0.50353165754106755</v>
      </c>
      <c r="Z256" s="195">
        <f t="shared" si="26"/>
        <v>1.7448558139535026</v>
      </c>
      <c r="AA256" s="195">
        <f t="shared" si="32"/>
        <v>0.71382182255032611</v>
      </c>
      <c r="AB256" s="195">
        <f t="shared" si="33"/>
        <v>0.467968700769335</v>
      </c>
      <c r="AC256" s="195">
        <f t="shared" si="27"/>
        <v>0.8747781473613182</v>
      </c>
      <c r="AD256">
        <f t="shared" si="28"/>
        <v>69</v>
      </c>
      <c r="AE256" s="195">
        <f t="shared" si="34"/>
        <v>0.15223061454830622</v>
      </c>
      <c r="AF256" s="195">
        <f t="shared" si="35"/>
        <v>4.5131781508547849E-3</v>
      </c>
      <c r="AG256" s="255" t="str">
        <f>IF(ISNUMBER(SEARCH("C", 'Dry_Litterbag Placem_Collection'!AB183)),"YES","NO")</f>
        <v>NO</v>
      </c>
      <c r="AH256" s="255" t="str">
        <f>IF(ISNUMBER(SEARCH("H", 'Dry_Litterbag Placem_Collection'!AB183)),"YES","NO")</f>
        <v>NO</v>
      </c>
      <c r="AI256" s="255" t="str">
        <f>IF(ISNUMBER(SEARCH("R", 'Dry_Litterbag Placem_Collection'!AB183)),"YES","NO")</f>
        <v>NO</v>
      </c>
      <c r="AJ256" s="255" t="str">
        <f>IF(ISNUMBER(SEARCH("C", 'Dry_Litterbag Placem_Collection'!AA183)),"YES","NO")</f>
        <v>NO</v>
      </c>
      <c r="AK256" s="255" t="str">
        <f>IF(ISNUMBER(SEARCH("H", 'Dry_Litterbag Placem_Collection'!AA183)),"YES","NO")</f>
        <v>NO</v>
      </c>
      <c r="AL256" s="255" t="str">
        <f>IF(ISNUMBER(SEARCH("R", 'Dry_Litterbag Placem_Collection'!AA183)),"YES","NO")</f>
        <v>NO</v>
      </c>
      <c r="AR256" t="s">
        <v>1639</v>
      </c>
      <c r="AT256" t="s">
        <v>1025</v>
      </c>
    </row>
    <row r="257" spans="2:46">
      <c r="B257" t="str">
        <f>'Final data_for_R_analysis_Dryse'!A183</f>
        <v>Dry</v>
      </c>
      <c r="C257" s="263">
        <f>'Final data_for_R_analysis_Dryse'!B183</f>
        <v>182</v>
      </c>
      <c r="D257" t="s">
        <v>3854</v>
      </c>
      <c r="E257" t="s">
        <v>22</v>
      </c>
      <c r="F257" s="387">
        <v>6</v>
      </c>
      <c r="G257" s="16">
        <f>'Dry_Litterbag Placem_Collection'!E184</f>
        <v>42940</v>
      </c>
      <c r="H257" t="str">
        <f>'Final data_for_R_analysis_Dryse'!J183</f>
        <v>G309</v>
      </c>
      <c r="I257" t="str">
        <f>'Final data_for_R_analysis_Dryse'!J403</f>
        <v>R613</v>
      </c>
      <c r="J257">
        <f>IFERROR(INDEX('Green_rooibos initial weight'!$C$5:$C$1749,MATCH(H257, 'Green_rooibos initial weight'!$A$5:$A$1749,0)),"")</f>
        <v>2.0579999999999998</v>
      </c>
      <c r="K257">
        <f>IFERROR(INDEX('Green_rooibos initial weight'!$C$5:$C$1749,MATCH(I257, 'Green_rooibos initial weight'!$A$5:$A$1749,0)),"")</f>
        <v>2.1680000000000001</v>
      </c>
      <c r="L257" s="195">
        <f t="shared" si="29"/>
        <v>1.8081999999999998</v>
      </c>
      <c r="M257" s="240">
        <f>AVERAGE(Ashed_controlls!$K$1:$K$11)</f>
        <v>5.5147656768714146</v>
      </c>
      <c r="N257" s="195">
        <f t="shared" si="24"/>
        <v>1.7084820070308109</v>
      </c>
      <c r="O257" s="195">
        <f t="shared" si="30"/>
        <v>1.9182000000000001</v>
      </c>
      <c r="P257" s="240">
        <f>AVERAGE(Ashed_controlls!$K$12:$K$14)</f>
        <v>2.2816647271287041</v>
      </c>
      <c r="Q257" s="195">
        <f t="shared" si="25"/>
        <v>1.8744331072042173</v>
      </c>
      <c r="R257" s="16">
        <f>IF('Dry_Litterbag Placem_Collection'!G184="N.A","",'Dry_Litterbag Placem_Collection'!G184)</f>
        <v>43009</v>
      </c>
      <c r="S257" s="195">
        <f>IF(IFERROR(INDEX('Both teabags AfterDry'!$D$1:$D$839,MATCH(H257,'Both teabags AfterDry'!$A$1:$A$839,0)),"")="N.A","",(IFERROR(INDEX('Both teabags AfterDry'!$D$1:$D$839,MATCH(H257,'Both teabags AfterDry'!$A$1:$A$839,0)),"")))</f>
        <v>0.88170000000000004</v>
      </c>
      <c r="T257" s="195">
        <f>IF(IFERROR(INDEX('Both teabags AfterDry'!$D$1:$D$839,MATCH(I257,'Both teabags AfterDry'!$A$1:$A$839,0)),"")="N.A","",(IFERROR(INDEX('Both teabags AfterDry'!$D$1:$D$839,MATCH(I257,'Both teabags AfterDry'!$A$1:$A$839,0)),"")))</f>
        <v>1.7827</v>
      </c>
      <c r="U257" s="195">
        <f t="shared" si="31"/>
        <v>0.73110000000000008</v>
      </c>
      <c r="V257" s="195">
        <f t="shared" si="31"/>
        <v>1.6320999999999999</v>
      </c>
      <c r="W257" s="195">
        <f>IFERROR(INDEX('Ashed teabags dry'!$K$2:$K$821,MATCH(H257,'Ashed teabags dry'!$A$2:$A$821,0)),"")</f>
        <v>34.288537549406669</v>
      </c>
      <c r="X257" s="195">
        <f>IFERROR(INDEX('Ashed teabags dry'!$K$2:$K$821,MATCH(I257,'Ashed teabags dry'!$A$2:$A$821,0)),"")</f>
        <v>22.3821339950374</v>
      </c>
      <c r="Y257" s="195">
        <f t="shared" si="26"/>
        <v>0.48041650197628794</v>
      </c>
      <c r="Z257" s="195">
        <f t="shared" si="26"/>
        <v>1.2668011910669945</v>
      </c>
      <c r="AA257" s="195">
        <f t="shared" si="32"/>
        <v>0.71880505618481227</v>
      </c>
      <c r="AB257" s="195">
        <f t="shared" si="33"/>
        <v>0.47123561878149217</v>
      </c>
      <c r="AC257" s="195">
        <f t="shared" si="27"/>
        <v>0.67583163474767738</v>
      </c>
      <c r="AD257">
        <f t="shared" si="28"/>
        <v>69</v>
      </c>
      <c r="AE257" s="195">
        <f t="shared" si="34"/>
        <v>0.14631228481613745</v>
      </c>
      <c r="AF257" s="195">
        <f t="shared" si="35"/>
        <v>1.687635118792085E-2</v>
      </c>
      <c r="AG257" s="255" t="str">
        <f>IF(ISNUMBER(SEARCH("C", 'Dry_Litterbag Placem_Collection'!AB184)),"YES","NO")</f>
        <v>NO</v>
      </c>
      <c r="AH257" s="255" t="str">
        <f>IF(ISNUMBER(SEARCH("H", 'Dry_Litterbag Placem_Collection'!AB184)),"YES","NO")</f>
        <v>NO</v>
      </c>
      <c r="AI257" s="255" t="str">
        <f>IF(ISNUMBER(SEARCH("R", 'Dry_Litterbag Placem_Collection'!AB184)),"YES","NO")</f>
        <v>NO</v>
      </c>
      <c r="AJ257" s="255" t="str">
        <f>IF(ISNUMBER(SEARCH("C", 'Dry_Litterbag Placem_Collection'!AA184)),"YES","NO")</f>
        <v>NO</v>
      </c>
      <c r="AK257" s="255" t="str">
        <f>IF(ISNUMBER(SEARCH("H", 'Dry_Litterbag Placem_Collection'!AA184)),"YES","NO")</f>
        <v>NO</v>
      </c>
      <c r="AL257" s="255" t="str">
        <f>IF(ISNUMBER(SEARCH("R", 'Dry_Litterbag Placem_Collection'!AA184)),"YES","NO")</f>
        <v>NO</v>
      </c>
      <c r="AR257" t="s">
        <v>1741</v>
      </c>
      <c r="AT257" t="s">
        <v>526</v>
      </c>
    </row>
    <row r="258" spans="2:46">
      <c r="B258" t="str">
        <f>'Final data_for_R_analysis_Dryse'!A184</f>
        <v>Dry</v>
      </c>
      <c r="C258" s="263">
        <f>'Final data_for_R_analysis_Dryse'!B184</f>
        <v>183</v>
      </c>
      <c r="D258" t="s">
        <v>3854</v>
      </c>
      <c r="E258" t="s">
        <v>22</v>
      </c>
      <c r="F258" s="387">
        <v>7</v>
      </c>
      <c r="G258" s="16">
        <f>'Dry_Litterbag Placem_Collection'!E185</f>
        <v>0</v>
      </c>
      <c r="H258" t="str">
        <f>'Final data_for_R_analysis_Dryse'!J184</f>
        <v/>
      </c>
      <c r="I258" t="str">
        <f>'Final data_for_R_analysis_Dryse'!J404</f>
        <v/>
      </c>
      <c r="J258" t="str">
        <f>IFERROR(INDEX('Green_rooibos initial weight'!$C$5:$C$1749,MATCH(H258, 'Green_rooibos initial weight'!$A$5:$A$1749,0)),"")</f>
        <v/>
      </c>
      <c r="K258" t="str">
        <f>IFERROR(INDEX('Green_rooibos initial weight'!$C$5:$C$1749,MATCH(I258, 'Green_rooibos initial weight'!$A$5:$A$1749,0)),"")</f>
        <v/>
      </c>
      <c r="L258" s="195" t="str">
        <f t="shared" si="29"/>
        <v/>
      </c>
      <c r="M258" s="240">
        <f>AVERAGE(Ashed_controlls!$K$1:$K$11)</f>
        <v>5.5147656768714146</v>
      </c>
      <c r="N258" s="195" t="str">
        <f t="shared" si="24"/>
        <v/>
      </c>
      <c r="O258" s="195" t="str">
        <f t="shared" si="30"/>
        <v/>
      </c>
      <c r="P258" s="240">
        <f>AVERAGE(Ashed_controlls!$K$12:$K$14)</f>
        <v>2.2816647271287041</v>
      </c>
      <c r="Q258" s="195" t="str">
        <f t="shared" si="25"/>
        <v/>
      </c>
      <c r="R258" s="16">
        <f>IF('Dry_Litterbag Placem_Collection'!G185="N.A","",'Dry_Litterbag Placem_Collection'!G185)</f>
        <v>0</v>
      </c>
      <c r="S258" s="195" t="str">
        <f>IF(IFERROR(INDEX('Both teabags AfterDry'!$D$1:$D$839,MATCH(H258,'Both teabags AfterDry'!$A$1:$A$839,0)),"")="N.A","",(IFERROR(INDEX('Both teabags AfterDry'!$D$1:$D$839,MATCH(H258,'Both teabags AfterDry'!$A$1:$A$839,0)),"")))</f>
        <v/>
      </c>
      <c r="T258" s="195" t="str">
        <f>IF(IFERROR(INDEX('Both teabags AfterDry'!$D$1:$D$839,MATCH(I258,'Both teabags AfterDry'!$A$1:$A$839,0)),"")="N.A","",(IFERROR(INDEX('Both teabags AfterDry'!$D$1:$D$839,MATCH(I258,'Both teabags AfterDry'!$A$1:$A$839,0)),"")))</f>
        <v/>
      </c>
      <c r="U258" s="195" t="str">
        <f t="shared" si="31"/>
        <v/>
      </c>
      <c r="V258" s="195" t="str">
        <f t="shared" si="31"/>
        <v/>
      </c>
      <c r="W258" s="195" t="str">
        <f>IFERROR(INDEX('Ashed teabags dry'!$K$2:$K$821,MATCH(H258,'Ashed teabags dry'!$A$2:$A$821,0)),"")</f>
        <v/>
      </c>
      <c r="X258" s="195" t="str">
        <f>IFERROR(INDEX('Ashed teabags dry'!$K$2:$K$821,MATCH(I258,'Ashed teabags dry'!$A$2:$A$821,0)),"")</f>
        <v/>
      </c>
      <c r="Y258" s="195" t="str">
        <f t="shared" si="26"/>
        <v/>
      </c>
      <c r="Z258" s="195" t="str">
        <f t="shared" si="26"/>
        <v/>
      </c>
      <c r="AA258" s="195" t="str">
        <f t="shared" si="32"/>
        <v/>
      </c>
      <c r="AB258" s="195" t="str">
        <f t="shared" si="33"/>
        <v/>
      </c>
      <c r="AC258" s="195" t="str">
        <f t="shared" si="27"/>
        <v/>
      </c>
      <c r="AD258" t="str">
        <f t="shared" si="28"/>
        <v/>
      </c>
      <c r="AE258" s="195" t="str">
        <f t="shared" si="34"/>
        <v/>
      </c>
      <c r="AF258" s="195" t="str">
        <f t="shared" si="35"/>
        <v/>
      </c>
      <c r="AG258" s="255" t="str">
        <f>IF(ISNUMBER(SEARCH("C", 'Dry_Litterbag Placem_Collection'!AB185)),"YES","NO")</f>
        <v>NO</v>
      </c>
      <c r="AH258" s="255" t="str">
        <f>IF(ISNUMBER(SEARCH("H", 'Dry_Litterbag Placem_Collection'!AB185)),"YES","NO")</f>
        <v>NO</v>
      </c>
      <c r="AI258" s="255" t="str">
        <f>IF(ISNUMBER(SEARCH("R", 'Dry_Litterbag Placem_Collection'!AB185)),"YES","NO")</f>
        <v>NO</v>
      </c>
      <c r="AJ258" s="255" t="str">
        <f>IF(ISNUMBER(SEARCH("C", 'Dry_Litterbag Placem_Collection'!AA185)),"YES","NO")</f>
        <v>NO</v>
      </c>
      <c r="AK258" s="255" t="str">
        <f>IF(ISNUMBER(SEARCH("H", 'Dry_Litterbag Placem_Collection'!AA185)),"YES","NO")</f>
        <v>NO</v>
      </c>
      <c r="AL258" s="255" t="str">
        <f>IF(ISNUMBER(SEARCH("R", 'Dry_Litterbag Placem_Collection'!AA185)),"YES","NO")</f>
        <v>NO</v>
      </c>
      <c r="AR258" t="s">
        <v>3654</v>
      </c>
      <c r="AT258" t="s">
        <v>3654</v>
      </c>
    </row>
    <row r="259" spans="2:46">
      <c r="B259" t="str">
        <f>'Final data_for_R_analysis_Dryse'!A185</f>
        <v>Dry</v>
      </c>
      <c r="C259" s="263">
        <f>'Final data_for_R_analysis_Dryse'!B185</f>
        <v>184</v>
      </c>
      <c r="D259" t="s">
        <v>3854</v>
      </c>
      <c r="E259" t="s">
        <v>22</v>
      </c>
      <c r="F259" s="387">
        <v>8</v>
      </c>
      <c r="G259" s="16">
        <f>'Dry_Litterbag Placem_Collection'!E186</f>
        <v>42940</v>
      </c>
      <c r="H259" t="str">
        <f>'Final data_for_R_analysis_Dryse'!J185</f>
        <v>G235</v>
      </c>
      <c r="I259" t="str">
        <f>'Final data_for_R_analysis_Dryse'!J405</f>
        <v>R179</v>
      </c>
      <c r="J259">
        <f>IFERROR(INDEX('Green_rooibos initial weight'!$C$5:$C$1749,MATCH(H259, 'Green_rooibos initial weight'!$A$5:$A$1749,0)),"")</f>
        <v>1.9259999999999999</v>
      </c>
      <c r="K259">
        <f>IFERROR(INDEX('Green_rooibos initial weight'!$C$5:$C$1749,MATCH(I259, 'Green_rooibos initial weight'!$A$5:$A$1749,0)),"")</f>
        <v>2.177</v>
      </c>
      <c r="L259" s="195">
        <f t="shared" si="29"/>
        <v>1.6761999999999999</v>
      </c>
      <c r="M259" s="240">
        <f>AVERAGE(Ashed_controlls!$K$1:$K$11)</f>
        <v>5.5147656768714146</v>
      </c>
      <c r="N259" s="195">
        <f t="shared" si="24"/>
        <v>1.5837614977242813</v>
      </c>
      <c r="O259" s="195">
        <f t="shared" si="30"/>
        <v>1.9272</v>
      </c>
      <c r="P259" s="240">
        <f>AVERAGE(Ashed_controlls!$K$12:$K$14)</f>
        <v>2.2816647271287041</v>
      </c>
      <c r="Q259" s="195">
        <f t="shared" si="25"/>
        <v>1.8832277573787757</v>
      </c>
      <c r="R259" s="16">
        <f>IF('Dry_Litterbag Placem_Collection'!G186="N.A","",'Dry_Litterbag Placem_Collection'!G186)</f>
        <v>43009</v>
      </c>
      <c r="S259" s="195">
        <f>IF(IFERROR(INDEX('Both teabags AfterDry'!$D$1:$D$839,MATCH(H259,'Both teabags AfterDry'!$A$1:$A$839,0)),"")="N.A","",(IFERROR(INDEX('Both teabags AfterDry'!$D$1:$D$839,MATCH(H259,'Both teabags AfterDry'!$A$1:$A$839,0)),"")))</f>
        <v>0.66620000000000001</v>
      </c>
      <c r="T259" s="195">
        <f>IF(IFERROR(INDEX('Both teabags AfterDry'!$D$1:$D$839,MATCH(I259,'Both teabags AfterDry'!$A$1:$A$839,0)),"")="N.A","",(IFERROR(INDEX('Both teabags AfterDry'!$D$1:$D$839,MATCH(I259,'Both teabags AfterDry'!$A$1:$A$839,0)),"")))</f>
        <v>1.7174</v>
      </c>
      <c r="U259" s="195">
        <f t="shared" si="31"/>
        <v>0.51560000000000006</v>
      </c>
      <c r="V259" s="195">
        <f t="shared" si="31"/>
        <v>1.5668</v>
      </c>
      <c r="W259" s="195">
        <f>IFERROR(INDEX('Ashed teabags dry'!$K$2:$K$821,MATCH(H259,'Ashed teabags dry'!$A$2:$A$821,0)),"")</f>
        <v>28.09315866084463</v>
      </c>
      <c r="X259" s="195">
        <f>IFERROR(INDEX('Ashed teabags dry'!$K$2:$K$821,MATCH(I259,'Ashed teabags dry'!$A$2:$A$821,0)),"")</f>
        <v>5.7032382793619867</v>
      </c>
      <c r="Y259" s="195">
        <f t="shared" si="26"/>
        <v>0.37075167394468511</v>
      </c>
      <c r="Z259" s="195">
        <f t="shared" si="26"/>
        <v>1.4774416626389564</v>
      </c>
      <c r="AA259" s="195">
        <f t="shared" si="32"/>
        <v>0.7659043520899953</v>
      </c>
      <c r="AB259" s="195">
        <f t="shared" si="33"/>
        <v>0.502113066928358</v>
      </c>
      <c r="AC259" s="195">
        <f t="shared" si="27"/>
        <v>0.78452627774315298</v>
      </c>
      <c r="AD259">
        <f t="shared" si="28"/>
        <v>69</v>
      </c>
      <c r="AE259" s="195">
        <f t="shared" si="34"/>
        <v>9.0374878752974674E-2</v>
      </c>
      <c r="AF259" s="195">
        <f t="shared" si="35"/>
        <v>8.1246455145481105E-3</v>
      </c>
      <c r="AG259" s="255" t="str">
        <f>IF(ISNUMBER(SEARCH("C", 'Dry_Litterbag Placem_Collection'!AB186)),"YES","NO")</f>
        <v>NO</v>
      </c>
      <c r="AH259" s="255" t="str">
        <f>IF(ISNUMBER(SEARCH("H", 'Dry_Litterbag Placem_Collection'!AB186)),"YES","NO")</f>
        <v>NO</v>
      </c>
      <c r="AI259" s="255" t="str">
        <f>IF(ISNUMBER(SEARCH("R", 'Dry_Litterbag Placem_Collection'!AB186)),"YES","NO")</f>
        <v>NO</v>
      </c>
      <c r="AJ259" s="255" t="str">
        <f>IF(ISNUMBER(SEARCH("C", 'Dry_Litterbag Placem_Collection'!AA186)),"YES","NO")</f>
        <v>NO</v>
      </c>
      <c r="AK259" s="255" t="str">
        <f>IF(ISNUMBER(SEARCH("H", 'Dry_Litterbag Placem_Collection'!AA186)),"YES","NO")</f>
        <v>NO</v>
      </c>
      <c r="AL259" s="255" t="str">
        <f>IF(ISNUMBER(SEARCH("R", 'Dry_Litterbag Placem_Collection'!AA186)),"YES","NO")</f>
        <v>NO</v>
      </c>
      <c r="AR259" t="s">
        <v>1815</v>
      </c>
      <c r="AT259" t="s">
        <v>962</v>
      </c>
    </row>
    <row r="260" spans="2:46">
      <c r="B260" t="str">
        <f>'Final data_for_R_analysis_Dryse'!A186</f>
        <v>Dry</v>
      </c>
      <c r="C260" s="263">
        <f>'Final data_for_R_analysis_Dryse'!B186</f>
        <v>185</v>
      </c>
      <c r="D260" t="s">
        <v>3855</v>
      </c>
      <c r="E260" t="s">
        <v>22</v>
      </c>
      <c r="F260" s="386">
        <v>1</v>
      </c>
      <c r="G260" s="16">
        <f>'Dry_Litterbag Placem_Collection'!E187</f>
        <v>42940</v>
      </c>
      <c r="H260" t="str">
        <f>'Final data_for_R_analysis_Dryse'!J186</f>
        <v>G369</v>
      </c>
      <c r="I260" t="str">
        <f>'Final data_for_R_analysis_Dryse'!J406</f>
        <v>R300</v>
      </c>
      <c r="J260">
        <f>IFERROR(INDEX('Green_rooibos initial weight'!$C$5:$C$1749,MATCH(H260, 'Green_rooibos initial weight'!$A$5:$A$1749,0)),"")</f>
        <v>2.1219999999999999</v>
      </c>
      <c r="K260">
        <f>IFERROR(INDEX('Green_rooibos initial weight'!$C$5:$C$1749,MATCH(I260, 'Green_rooibos initial weight'!$A$5:$A$1749,0)),"")</f>
        <v>2.2330000000000001</v>
      </c>
      <c r="L260" s="195">
        <f t="shared" si="29"/>
        <v>1.8721999999999999</v>
      </c>
      <c r="M260" s="240">
        <f>AVERAGE(Ashed_controlls!$K$1:$K$11)</f>
        <v>5.5147656768714146</v>
      </c>
      <c r="N260" s="195">
        <f t="shared" si="24"/>
        <v>1.7689525569976132</v>
      </c>
      <c r="O260" s="195">
        <f t="shared" si="30"/>
        <v>1.9832000000000001</v>
      </c>
      <c r="P260" s="240">
        <f>AVERAGE(Ashed_controlls!$K$12:$K$14)</f>
        <v>2.2816647271287041</v>
      </c>
      <c r="Q260" s="195">
        <f t="shared" si="25"/>
        <v>1.9379500251315835</v>
      </c>
      <c r="R260" s="16">
        <f>IF('Dry_Litterbag Placem_Collection'!G187="N.A","",'Dry_Litterbag Placem_Collection'!G187)</f>
        <v>43009</v>
      </c>
      <c r="S260" s="195" t="str">
        <f>IF(IFERROR(INDEX('Both teabags AfterDry'!$D$1:$D$839,MATCH(H260,'Both teabags AfterDry'!$A$1:$A$839,0)),"")="N.A","",(IFERROR(INDEX('Both teabags AfterDry'!$D$1:$D$839,MATCH(H260,'Both teabags AfterDry'!$A$1:$A$839,0)),"")))</f>
        <v/>
      </c>
      <c r="T260" s="195" t="str">
        <f>IF(IFERROR(INDEX('Both teabags AfterDry'!$D$1:$D$839,MATCH(I260,'Both teabags AfterDry'!$A$1:$A$839,0)),"")="N.A","",(IFERROR(INDEX('Both teabags AfterDry'!$D$1:$D$839,MATCH(I260,'Both teabags AfterDry'!$A$1:$A$839,0)),"")))</f>
        <v/>
      </c>
      <c r="U260" s="195" t="str">
        <f t="shared" si="31"/>
        <v/>
      </c>
      <c r="V260" s="195" t="str">
        <f t="shared" si="31"/>
        <v/>
      </c>
      <c r="W260" s="195" t="str">
        <f>IFERROR(INDEX('Ashed teabags dry'!$K$2:$K$821,MATCH(H260,'Ashed teabags dry'!$A$2:$A$821,0)),"")</f>
        <v/>
      </c>
      <c r="X260" s="195" t="str">
        <f>IFERROR(INDEX('Ashed teabags dry'!$K$2:$K$821,MATCH(I260,'Ashed teabags dry'!$A$2:$A$821,0)),"")</f>
        <v/>
      </c>
      <c r="Y260" s="195" t="str">
        <f t="shared" si="26"/>
        <v/>
      </c>
      <c r="Z260" s="195" t="str">
        <f t="shared" si="26"/>
        <v/>
      </c>
      <c r="AA260" s="195" t="str">
        <f t="shared" si="32"/>
        <v/>
      </c>
      <c r="AB260" s="195" t="str">
        <f t="shared" si="33"/>
        <v/>
      </c>
      <c r="AC260" s="195" t="str">
        <f t="shared" si="27"/>
        <v/>
      </c>
      <c r="AD260">
        <f t="shared" si="28"/>
        <v>69</v>
      </c>
      <c r="AE260" s="195" t="str">
        <f t="shared" si="34"/>
        <v/>
      </c>
      <c r="AF260" s="195" t="str">
        <f t="shared" si="35"/>
        <v/>
      </c>
      <c r="AG260" s="255" t="str">
        <f>IF(ISNUMBER(SEARCH("C", 'Dry_Litterbag Placem_Collection'!AB187)),"YES","NO")</f>
        <v>NO</v>
      </c>
      <c r="AH260" s="255" t="str">
        <f>IF(ISNUMBER(SEARCH("H", 'Dry_Litterbag Placem_Collection'!AB187)),"YES","NO")</f>
        <v>NO</v>
      </c>
      <c r="AI260" s="255" t="str">
        <f>IF(ISNUMBER(SEARCH("R", 'Dry_Litterbag Placem_Collection'!AB187)),"YES","NO")</f>
        <v>NO</v>
      </c>
      <c r="AJ260" s="255" t="str">
        <f>IF(ISNUMBER(SEARCH("C", 'Dry_Litterbag Placem_Collection'!AA187)),"YES","NO")</f>
        <v>NO</v>
      </c>
      <c r="AK260" s="255" t="str">
        <f>IF(ISNUMBER(SEARCH("H", 'Dry_Litterbag Placem_Collection'!AA187)),"YES","NO")</f>
        <v>NO</v>
      </c>
      <c r="AL260" s="255" t="str">
        <f>IF(ISNUMBER(SEARCH("R", 'Dry_Litterbag Placem_Collection'!AA187)),"YES","NO")</f>
        <v>NO</v>
      </c>
      <c r="AR260" t="s">
        <v>1681</v>
      </c>
      <c r="AT260" t="s">
        <v>841</v>
      </c>
    </row>
    <row r="261" spans="2:46">
      <c r="B261" t="str">
        <f>'Final data_for_R_analysis_Dryse'!A187</f>
        <v>Dry</v>
      </c>
      <c r="C261" s="263">
        <f>'Final data_for_R_analysis_Dryse'!B187</f>
        <v>186</v>
      </c>
      <c r="D261" t="s">
        <v>3855</v>
      </c>
      <c r="E261" t="s">
        <v>22</v>
      </c>
      <c r="F261" s="386">
        <v>2</v>
      </c>
      <c r="G261" s="16">
        <f>'Dry_Litterbag Placem_Collection'!E188</f>
        <v>42940</v>
      </c>
      <c r="H261" t="str">
        <f>'Final data_for_R_analysis_Dryse'!J187</f>
        <v>G295</v>
      </c>
      <c r="I261" t="str">
        <f>'Final data_for_R_analysis_Dryse'!J407</f>
        <v>R717</v>
      </c>
      <c r="J261">
        <f>IFERROR(INDEX('Green_rooibos initial weight'!$C$5:$C$1749,MATCH(H261, 'Green_rooibos initial weight'!$A$5:$A$1749,0)),"")</f>
        <v>2.0379999999999998</v>
      </c>
      <c r="K261">
        <f>IFERROR(INDEX('Green_rooibos initial weight'!$C$5:$C$1749,MATCH(I261, 'Green_rooibos initial weight'!$A$5:$A$1749,0)),"")</f>
        <v>2.1619999999999999</v>
      </c>
      <c r="L261" s="195">
        <f t="shared" si="29"/>
        <v>1.7881999999999998</v>
      </c>
      <c r="M261" s="240">
        <f>AVERAGE(Ashed_controlls!$K$1:$K$11)</f>
        <v>5.5147656768714146</v>
      </c>
      <c r="N261" s="195">
        <f t="shared" si="24"/>
        <v>1.6895849601661852</v>
      </c>
      <c r="O261" s="195">
        <f t="shared" si="30"/>
        <v>1.9121999999999999</v>
      </c>
      <c r="P261" s="240">
        <f>AVERAGE(Ashed_controlls!$K$12:$K$14)</f>
        <v>2.2816647271287041</v>
      </c>
      <c r="Q261" s="195">
        <f t="shared" si="25"/>
        <v>1.8685700070878448</v>
      </c>
      <c r="R261" s="16">
        <f>IF('Dry_Litterbag Placem_Collection'!G188="N.A","",'Dry_Litterbag Placem_Collection'!G188)</f>
        <v>43009</v>
      </c>
      <c r="S261" s="195">
        <f>IF(IFERROR(INDEX('Both teabags AfterDry'!$D$1:$D$839,MATCH(H261,'Both teabags AfterDry'!$A$1:$A$839,0)),"")="N.A","",(IFERROR(INDEX('Both teabags AfterDry'!$D$1:$D$839,MATCH(H261,'Both teabags AfterDry'!$A$1:$A$839,0)),"")))</f>
        <v>0.92659999999999998</v>
      </c>
      <c r="T261" s="195">
        <f>IF(IFERROR(INDEX('Both teabags AfterDry'!$D$1:$D$839,MATCH(I261,'Both teabags AfterDry'!$A$1:$A$839,0)),"")="N.A","",(IFERROR(INDEX('Both teabags AfterDry'!$D$1:$D$839,MATCH(I261,'Both teabags AfterDry'!$A$1:$A$839,0)),"")))</f>
        <v>1.7592000000000001</v>
      </c>
      <c r="U261" s="195">
        <f t="shared" si="31"/>
        <v>0.77600000000000002</v>
      </c>
      <c r="V261" s="195">
        <f t="shared" si="31"/>
        <v>1.6086</v>
      </c>
      <c r="W261" s="195">
        <f>IFERROR(INDEX('Ashed teabags dry'!$K$2:$K$821,MATCH(H261,'Ashed teabags dry'!$A$2:$A$821,0)),"")</f>
        <v>26.422563087580492</v>
      </c>
      <c r="X261" s="195">
        <f>IFERROR(INDEX('Ashed teabags dry'!$K$2:$K$821,MATCH(I261,'Ashed teabags dry'!$A$2:$A$821,0)),"")</f>
        <v>31.265266243282504</v>
      </c>
      <c r="Y261" s="195">
        <f t="shared" si="26"/>
        <v>0.57096091044037545</v>
      </c>
      <c r="Z261" s="195">
        <f t="shared" si="26"/>
        <v>1.1056669272105577</v>
      </c>
      <c r="AA261" s="195">
        <f t="shared" si="32"/>
        <v>0.66207031673375183</v>
      </c>
      <c r="AB261" s="195">
        <f t="shared" si="33"/>
        <v>0.4340413477874478</v>
      </c>
      <c r="AC261" s="195">
        <f t="shared" si="27"/>
        <v>0.5917182246405277</v>
      </c>
      <c r="AD261">
        <f t="shared" si="28"/>
        <v>69</v>
      </c>
      <c r="AE261" s="195">
        <f t="shared" si="34"/>
        <v>0.21369321052998591</v>
      </c>
      <c r="AF261" s="195">
        <f t="shared" si="35"/>
        <v>4.0932369538499956E-2</v>
      </c>
      <c r="AG261" s="255" t="str">
        <f>IF(ISNUMBER(SEARCH("C", 'Dry_Litterbag Placem_Collection'!AB188)),"YES","NO")</f>
        <v>NO</v>
      </c>
      <c r="AH261" s="255" t="str">
        <f>IF(ISNUMBER(SEARCH("H", 'Dry_Litterbag Placem_Collection'!AB188)),"YES","NO")</f>
        <v>NO</v>
      </c>
      <c r="AI261" s="255" t="str">
        <f>IF(ISNUMBER(SEARCH("R", 'Dry_Litterbag Placem_Collection'!AB188)),"YES","NO")</f>
        <v>NO</v>
      </c>
      <c r="AJ261" s="255" t="str">
        <f>IF(ISNUMBER(SEARCH("C", 'Dry_Litterbag Placem_Collection'!AA188)),"YES","NO")</f>
        <v>NO</v>
      </c>
      <c r="AK261" s="255" t="str">
        <f>IF(ISNUMBER(SEARCH("H", 'Dry_Litterbag Placem_Collection'!AA188)),"YES","NO")</f>
        <v>NO</v>
      </c>
      <c r="AL261" s="255" t="str">
        <f>IF(ISNUMBER(SEARCH("R", 'Dry_Litterbag Placem_Collection'!AA188)),"YES","NO")</f>
        <v>NO</v>
      </c>
      <c r="AR261" t="s">
        <v>1755</v>
      </c>
      <c r="AT261" t="s">
        <v>422</v>
      </c>
    </row>
    <row r="262" spans="2:46">
      <c r="B262" t="str">
        <f>'Final data_for_R_analysis_Dryse'!A188</f>
        <v>Dry</v>
      </c>
      <c r="C262" s="263">
        <f>'Final data_for_R_analysis_Dryse'!B188</f>
        <v>187</v>
      </c>
      <c r="D262" t="s">
        <v>3855</v>
      </c>
      <c r="E262" t="s">
        <v>22</v>
      </c>
      <c r="F262" s="386">
        <v>3</v>
      </c>
      <c r="G262" s="16">
        <f>'Dry_Litterbag Placem_Collection'!E189</f>
        <v>42940</v>
      </c>
      <c r="H262" t="str">
        <f>'Final data_for_R_analysis_Dryse'!J188</f>
        <v>G242</v>
      </c>
      <c r="I262" t="str">
        <f>'Final data_for_R_analysis_Dryse'!J408</f>
        <v>R759</v>
      </c>
      <c r="J262">
        <f>IFERROR(INDEX('Green_rooibos initial weight'!$C$5:$C$1749,MATCH(H262, 'Green_rooibos initial weight'!$A$5:$A$1749,0)),"")</f>
        <v>1.9470000000000001</v>
      </c>
      <c r="K262">
        <f>IFERROR(INDEX('Green_rooibos initial weight'!$C$5:$C$1749,MATCH(I262, 'Green_rooibos initial weight'!$A$5:$A$1749,0)),"")</f>
        <v>2.2469999999999999</v>
      </c>
      <c r="L262" s="195">
        <f t="shared" si="29"/>
        <v>1.6972</v>
      </c>
      <c r="M262" s="240">
        <f>AVERAGE(Ashed_controlls!$K$1:$K$11)</f>
        <v>5.5147656768714146</v>
      </c>
      <c r="N262" s="195">
        <f t="shared" si="24"/>
        <v>1.6036033969321384</v>
      </c>
      <c r="O262" s="195">
        <f t="shared" si="30"/>
        <v>1.9971999999999999</v>
      </c>
      <c r="P262" s="240">
        <f>AVERAGE(Ashed_controlls!$K$12:$K$14)</f>
        <v>2.2816647271287041</v>
      </c>
      <c r="Q262" s="195">
        <f t="shared" si="25"/>
        <v>1.9516305920697854</v>
      </c>
      <c r="R262" s="16">
        <f>IF('Dry_Litterbag Placem_Collection'!G189="N.A","",'Dry_Litterbag Placem_Collection'!G189)</f>
        <v>43009</v>
      </c>
      <c r="S262" s="195">
        <f>IF(IFERROR(INDEX('Both teabags AfterDry'!$D$1:$D$839,MATCH(H262,'Both teabags AfterDry'!$A$1:$A$839,0)),"")="N.A","",(IFERROR(INDEX('Both teabags AfterDry'!$D$1:$D$839,MATCH(H262,'Both teabags AfterDry'!$A$1:$A$839,0)),"")))</f>
        <v>0.70840000000000003</v>
      </c>
      <c r="T262" s="195">
        <f>IF(IFERROR(INDEX('Both teabags AfterDry'!$D$1:$D$839,MATCH(I262,'Both teabags AfterDry'!$A$1:$A$839,0)),"")="N.A","",(IFERROR(INDEX('Both teabags AfterDry'!$D$1:$D$839,MATCH(I262,'Both teabags AfterDry'!$A$1:$A$839,0)),"")))</f>
        <v>1.7075</v>
      </c>
      <c r="U262" s="195">
        <f t="shared" si="31"/>
        <v>0.55780000000000007</v>
      </c>
      <c r="V262" s="195">
        <f t="shared" si="31"/>
        <v>1.5569</v>
      </c>
      <c r="W262" s="195">
        <f>IFERROR(INDEX('Ashed teabags dry'!$K$2:$K$821,MATCH(H262,'Ashed teabags dry'!$A$2:$A$821,0)),"")</f>
        <v>27.059970745976948</v>
      </c>
      <c r="X262" s="195">
        <f>IFERROR(INDEX('Ashed teabags dry'!$K$2:$K$821,MATCH(I262,'Ashed teabags dry'!$A$2:$A$821,0)),"")</f>
        <v>9.3676814988289312</v>
      </c>
      <c r="Y262" s="195">
        <f t="shared" si="26"/>
        <v>0.40685948317894061</v>
      </c>
      <c r="Z262" s="195">
        <f t="shared" si="26"/>
        <v>1.4110545667447323</v>
      </c>
      <c r="AA262" s="195">
        <f t="shared" si="32"/>
        <v>0.74628422217282309</v>
      </c>
      <c r="AB262" s="195">
        <f t="shared" si="33"/>
        <v>0.48925046394227839</v>
      </c>
      <c r="AC262" s="195">
        <f t="shared" si="27"/>
        <v>0.72301314217884349</v>
      </c>
      <c r="AD262">
        <f t="shared" si="28"/>
        <v>69</v>
      </c>
      <c r="AE262" s="195">
        <f t="shared" si="34"/>
        <v>0.11367669575674211</v>
      </c>
      <c r="AF262" s="195">
        <f t="shared" si="35"/>
        <v>1.2102110538974925E-2</v>
      </c>
      <c r="AG262" s="255" t="str">
        <f>IF(ISNUMBER(SEARCH("C", 'Dry_Litterbag Placem_Collection'!AB189)),"YES","NO")</f>
        <v>NO</v>
      </c>
      <c r="AH262" s="255" t="str">
        <f>IF(ISNUMBER(SEARCH("H", 'Dry_Litterbag Placem_Collection'!AB189)),"YES","NO")</f>
        <v>NO</v>
      </c>
      <c r="AI262" s="255" t="str">
        <f>IF(ISNUMBER(SEARCH("R", 'Dry_Litterbag Placem_Collection'!AB189)),"YES","NO")</f>
        <v>NO</v>
      </c>
      <c r="AJ262" s="255" t="str">
        <f>IF(ISNUMBER(SEARCH("C", 'Dry_Litterbag Placem_Collection'!AA189)),"YES","NO")</f>
        <v>NO</v>
      </c>
      <c r="AK262" s="255" t="str">
        <f>IF(ISNUMBER(SEARCH("H", 'Dry_Litterbag Placem_Collection'!AA189)),"YES","NO")</f>
        <v>NO</v>
      </c>
      <c r="AL262" s="255" t="str">
        <f>IF(ISNUMBER(SEARCH("R", 'Dry_Litterbag Placem_Collection'!AA189)),"YES","NO")</f>
        <v>NO</v>
      </c>
      <c r="AR262" t="s">
        <v>1808</v>
      </c>
      <c r="AT262" t="s">
        <v>380</v>
      </c>
    </row>
    <row r="263" spans="2:46">
      <c r="B263" t="str">
        <f>'Final data_for_R_analysis_Dryse'!A189</f>
        <v>Dry</v>
      </c>
      <c r="C263" s="263">
        <f>'Final data_for_R_analysis_Dryse'!B189</f>
        <v>188</v>
      </c>
      <c r="D263" t="s">
        <v>3855</v>
      </c>
      <c r="E263" t="s">
        <v>22</v>
      </c>
      <c r="F263" s="387">
        <v>4</v>
      </c>
      <c r="G263" s="16">
        <f>'Dry_Litterbag Placem_Collection'!E190</f>
        <v>42940</v>
      </c>
      <c r="H263" t="str">
        <f>'Final data_for_R_analysis_Dryse'!J189</f>
        <v>G146</v>
      </c>
      <c r="I263" t="str">
        <f>'Final data_for_R_analysis_Dryse'!J409</f>
        <v>R357</v>
      </c>
      <c r="J263">
        <f>IFERROR(INDEX('Green_rooibos initial weight'!$C$5:$C$1749,MATCH(H263, 'Green_rooibos initial weight'!$A$5:$A$1749,0)),"")</f>
        <v>2.0529999999999999</v>
      </c>
      <c r="K263">
        <f>IFERROR(INDEX('Green_rooibos initial weight'!$C$5:$C$1749,MATCH(I263, 'Green_rooibos initial weight'!$A$5:$A$1749,0)),"")</f>
        <v>2.2090000000000001</v>
      </c>
      <c r="L263" s="195">
        <f t="shared" si="29"/>
        <v>1.8031999999999999</v>
      </c>
      <c r="M263" s="240">
        <f>AVERAGE(Ashed_controlls!$K$1:$K$11)</f>
        <v>5.5147656768714146</v>
      </c>
      <c r="N263" s="195">
        <f t="shared" si="24"/>
        <v>1.7037577453146546</v>
      </c>
      <c r="O263" s="195">
        <f t="shared" si="30"/>
        <v>1.9592000000000001</v>
      </c>
      <c r="P263" s="240">
        <f>AVERAGE(Ashed_controlls!$K$12:$K$14)</f>
        <v>2.2816647271287041</v>
      </c>
      <c r="Q263" s="195">
        <f t="shared" si="25"/>
        <v>1.9144976246660945</v>
      </c>
      <c r="R263" s="16">
        <f>IF('Dry_Litterbag Placem_Collection'!G190="N.A","",'Dry_Litterbag Placem_Collection'!G190)</f>
        <v>43009</v>
      </c>
      <c r="S263" s="195">
        <f>IF(IFERROR(INDEX('Both teabags AfterDry'!$D$1:$D$839,MATCH(H263,'Both teabags AfterDry'!$A$1:$A$839,0)),"")="N.A","",(IFERROR(INDEX('Both teabags AfterDry'!$D$1:$D$839,MATCH(H263,'Both teabags AfterDry'!$A$1:$A$839,0)),"")))</f>
        <v>0.91069999999999995</v>
      </c>
      <c r="T263" s="195">
        <f>IF(IFERROR(INDEX('Both teabags AfterDry'!$D$1:$D$839,MATCH(I263,'Both teabags AfterDry'!$A$1:$A$839,0)),"")="N.A","",(IFERROR(INDEX('Both teabags AfterDry'!$D$1:$D$839,MATCH(I263,'Both teabags AfterDry'!$A$1:$A$839,0)),"")))</f>
        <v>0</v>
      </c>
      <c r="U263" s="195">
        <f t="shared" si="31"/>
        <v>0.7601</v>
      </c>
      <c r="V263" s="195" t="str">
        <f t="shared" si="31"/>
        <v/>
      </c>
      <c r="W263" s="195">
        <f>IFERROR(INDEX('Ashed teabags dry'!$K$2:$K$821,MATCH(H263,'Ashed teabags dry'!$A$2:$A$821,0)),"")</f>
        <v>39.03411608329683</v>
      </c>
      <c r="X263" s="195">
        <f>IFERROR(INDEX('Ashed teabags dry'!$K$2:$K$821,MATCH(I263,'Ashed teabags dry'!$A$2:$A$821,0)),"")</f>
        <v>0</v>
      </c>
      <c r="Y263" s="195">
        <f t="shared" si="26"/>
        <v>0.46340168365086076</v>
      </c>
      <c r="Z263" s="195" t="str">
        <f t="shared" si="26"/>
        <v/>
      </c>
      <c r="AA263" s="195">
        <f t="shared" si="32"/>
        <v>0.72801198707667303</v>
      </c>
      <c r="AB263" s="195">
        <f t="shared" si="33"/>
        <v>0.47727151646831778</v>
      </c>
      <c r="AC263" s="195" t="str">
        <f t="shared" si="27"/>
        <v/>
      </c>
      <c r="AD263">
        <f t="shared" si="28"/>
        <v>69</v>
      </c>
      <c r="AE263" s="195">
        <f t="shared" si="34"/>
        <v>0.13537768755739543</v>
      </c>
      <c r="AF263" s="195" t="str">
        <f t="shared" si="35"/>
        <v/>
      </c>
      <c r="AG263" s="255" t="str">
        <f>IF(ISNUMBER(SEARCH("C", 'Dry_Litterbag Placem_Collection'!AB190)),"YES","NO")</f>
        <v>NO</v>
      </c>
      <c r="AH263" s="255" t="str">
        <f>IF(ISNUMBER(SEARCH("H", 'Dry_Litterbag Placem_Collection'!AB190)),"YES","NO")</f>
        <v>NO</v>
      </c>
      <c r="AI263" s="255" t="str">
        <f>IF(ISNUMBER(SEARCH("R", 'Dry_Litterbag Placem_Collection'!AB190)),"YES","NO")</f>
        <v>NO</v>
      </c>
      <c r="AJ263" s="255" t="str">
        <f>IF(ISNUMBER(SEARCH("C", 'Dry_Litterbag Placem_Collection'!AA190)),"YES","NO")</f>
        <v>NO</v>
      </c>
      <c r="AK263" s="255" t="str">
        <f>IF(ISNUMBER(SEARCH("H", 'Dry_Litterbag Placem_Collection'!AA190)),"YES","NO")</f>
        <v>NO</v>
      </c>
      <c r="AL263" s="255" t="str">
        <f>IF(ISNUMBER(SEARCH("R", 'Dry_Litterbag Placem_Collection'!AA190)),"YES","NO")</f>
        <v>NO</v>
      </c>
      <c r="AR263" t="s">
        <v>1904</v>
      </c>
      <c r="AT263" t="s">
        <v>784</v>
      </c>
    </row>
    <row r="264" spans="2:46">
      <c r="B264" t="str">
        <f>'Final data_for_R_analysis_Dryse'!A190</f>
        <v>Dry</v>
      </c>
      <c r="C264" s="263">
        <f>'Final data_for_R_analysis_Dryse'!B190</f>
        <v>189</v>
      </c>
      <c r="D264" t="s">
        <v>3855</v>
      </c>
      <c r="E264" t="s">
        <v>22</v>
      </c>
      <c r="F264" s="387">
        <v>5</v>
      </c>
      <c r="G264" s="16">
        <f>'Dry_Litterbag Placem_Collection'!E191</f>
        <v>42940</v>
      </c>
      <c r="H264" t="str">
        <f>'Final data_for_R_analysis_Dryse'!J190</f>
        <v>G144</v>
      </c>
      <c r="I264" t="str">
        <f>'Final data_for_R_analysis_Dryse'!J410</f>
        <v>R18</v>
      </c>
      <c r="J264">
        <f>IFERROR(INDEX('Green_rooibos initial weight'!$C$5:$C$1749,MATCH(H264, 'Green_rooibos initial weight'!$A$5:$A$1749,0)),"")</f>
        <v>2.0230000000000001</v>
      </c>
      <c r="K264">
        <f>IFERROR(INDEX('Green_rooibos initial weight'!$C$5:$C$1749,MATCH(I264, 'Green_rooibos initial weight'!$A$5:$A$1749,0)),"")</f>
        <v>2.2519999999999998</v>
      </c>
      <c r="L264" s="195">
        <f t="shared" si="29"/>
        <v>1.7732000000000001</v>
      </c>
      <c r="M264" s="240">
        <f>AVERAGE(Ashed_controlls!$K$1:$K$11)</f>
        <v>5.5147656768714146</v>
      </c>
      <c r="N264" s="195">
        <f t="shared" si="24"/>
        <v>1.6754121750177162</v>
      </c>
      <c r="O264" s="195">
        <f t="shared" si="30"/>
        <v>2.0021999999999998</v>
      </c>
      <c r="P264" s="240">
        <f>AVERAGE(Ashed_controlls!$K$12:$K$14)</f>
        <v>2.2816647271287041</v>
      </c>
      <c r="Q264" s="195">
        <f t="shared" si="25"/>
        <v>1.9565165088334289</v>
      </c>
      <c r="R264" s="16">
        <f>IF('Dry_Litterbag Placem_Collection'!G191="N.A","",'Dry_Litterbag Placem_Collection'!G191)</f>
        <v>43009</v>
      </c>
      <c r="S264" s="195">
        <f>IF(IFERROR(INDEX('Both teabags AfterDry'!$D$1:$D$839,MATCH(H264,'Both teabags AfterDry'!$A$1:$A$839,0)),"")="N.A","",(IFERROR(INDEX('Both teabags AfterDry'!$D$1:$D$839,MATCH(H264,'Both teabags AfterDry'!$A$1:$A$839,0)),"")))</f>
        <v>0.68520000000000003</v>
      </c>
      <c r="T264" s="195">
        <f>IF(IFERROR(INDEX('Both teabags AfterDry'!$D$1:$D$839,MATCH(I264,'Both teabags AfterDry'!$A$1:$A$839,0)),"")="N.A","",(IFERROR(INDEX('Both teabags AfterDry'!$D$1:$D$839,MATCH(I264,'Both teabags AfterDry'!$A$1:$A$839,0)),"")))</f>
        <v>0</v>
      </c>
      <c r="U264" s="195">
        <f t="shared" si="31"/>
        <v>0.53459999999999996</v>
      </c>
      <c r="V264" s="195" t="str">
        <f t="shared" si="31"/>
        <v/>
      </c>
      <c r="W264" s="195">
        <f>IFERROR(INDEX('Ashed teabags dry'!$K$2:$K$821,MATCH(H264,'Ashed teabags dry'!$A$2:$A$821,0)),"")</f>
        <v>22.366450324513245</v>
      </c>
      <c r="X264" s="195">
        <f>IFERROR(INDEX('Ashed teabags dry'!$K$2:$K$821,MATCH(I264,'Ashed teabags dry'!$A$2:$A$821,0)),"")</f>
        <v>91.674047829938516</v>
      </c>
      <c r="Y264" s="195">
        <f t="shared" si="26"/>
        <v>0.41502895656515215</v>
      </c>
      <c r="Z264" s="195" t="str">
        <f t="shared" si="26"/>
        <v/>
      </c>
      <c r="AA264" s="195">
        <f t="shared" si="32"/>
        <v>0.75228247546860305</v>
      </c>
      <c r="AB264" s="195">
        <f t="shared" si="33"/>
        <v>0.49318281052098445</v>
      </c>
      <c r="AC264" s="195" t="str">
        <f t="shared" si="27"/>
        <v/>
      </c>
      <c r="AD264">
        <f t="shared" si="28"/>
        <v>69</v>
      </c>
      <c r="AE264" s="195">
        <f t="shared" si="34"/>
        <v>0.10655287949097025</v>
      </c>
      <c r="AF264" s="195" t="str">
        <f t="shared" si="35"/>
        <v/>
      </c>
      <c r="AG264" s="255" t="str">
        <f>IF(ISNUMBER(SEARCH("C", 'Dry_Litterbag Placem_Collection'!AB191)),"YES","NO")</f>
        <v>NO</v>
      </c>
      <c r="AH264" s="255" t="str">
        <f>IF(ISNUMBER(SEARCH("H", 'Dry_Litterbag Placem_Collection'!AB191)),"YES","NO")</f>
        <v>NO</v>
      </c>
      <c r="AI264" s="255" t="str">
        <f>IF(ISNUMBER(SEARCH("R", 'Dry_Litterbag Placem_Collection'!AB191)),"YES","NO")</f>
        <v>NO</v>
      </c>
      <c r="AJ264" s="255" t="str">
        <f>IF(ISNUMBER(SEARCH("C", 'Dry_Litterbag Placem_Collection'!AA191)),"YES","NO")</f>
        <v>NO</v>
      </c>
      <c r="AK264" s="255" t="str">
        <f>IF(ISNUMBER(SEARCH("H", 'Dry_Litterbag Placem_Collection'!AA191)),"YES","NO")</f>
        <v>NO</v>
      </c>
      <c r="AL264" s="255" t="str">
        <f>IF(ISNUMBER(SEARCH("R", 'Dry_Litterbag Placem_Collection'!AA191)),"YES","NO")</f>
        <v>NO</v>
      </c>
      <c r="AR264" t="s">
        <v>1906</v>
      </c>
      <c r="AT264" t="s">
        <v>1123</v>
      </c>
    </row>
    <row r="265" spans="2:46">
      <c r="B265" t="str">
        <f>'Final data_for_R_analysis_Dryse'!A191</f>
        <v>Dry</v>
      </c>
      <c r="C265" s="263">
        <f>'Final data_for_R_analysis_Dryse'!B191</f>
        <v>190</v>
      </c>
      <c r="D265" t="s">
        <v>3855</v>
      </c>
      <c r="E265" t="s">
        <v>22</v>
      </c>
      <c r="F265" s="387">
        <v>6</v>
      </c>
      <c r="G265" s="16">
        <f>'Dry_Litterbag Placem_Collection'!E192</f>
        <v>42940</v>
      </c>
      <c r="H265" t="str">
        <f>'Final data_for_R_analysis_Dryse'!J191</f>
        <v>G171</v>
      </c>
      <c r="I265" t="str">
        <f>'Final data_for_R_analysis_Dryse'!J411</f>
        <v>R397</v>
      </c>
      <c r="J265">
        <f>IFERROR(INDEX('Green_rooibos initial weight'!$C$5:$C$1749,MATCH(H265, 'Green_rooibos initial weight'!$A$5:$A$1749,0)),"")</f>
        <v>1.9239999999999999</v>
      </c>
      <c r="K265">
        <f>IFERROR(INDEX('Green_rooibos initial weight'!$C$5:$C$1749,MATCH(I265, 'Green_rooibos initial weight'!$A$5:$A$1749,0)),"")</f>
        <v>2.1970000000000001</v>
      </c>
      <c r="L265" s="195">
        <f t="shared" si="29"/>
        <v>1.6741999999999999</v>
      </c>
      <c r="M265" s="240">
        <f>AVERAGE(Ashed_controlls!$K$1:$K$11)</f>
        <v>5.5147656768714146</v>
      </c>
      <c r="N265" s="195">
        <f t="shared" si="24"/>
        <v>1.5818717930378188</v>
      </c>
      <c r="O265" s="195">
        <f t="shared" si="30"/>
        <v>1.9472</v>
      </c>
      <c r="P265" s="240">
        <f>AVERAGE(Ashed_controlls!$K$12:$K$14)</f>
        <v>2.2816647271287041</v>
      </c>
      <c r="Q265" s="195">
        <f t="shared" si="25"/>
        <v>1.90277142443335</v>
      </c>
      <c r="R265" s="16">
        <f>IF('Dry_Litterbag Placem_Collection'!G192="N.A","",'Dry_Litterbag Placem_Collection'!G192)</f>
        <v>43009</v>
      </c>
      <c r="S265" s="195">
        <f>IF(IFERROR(INDEX('Both teabags AfterDry'!$D$1:$D$839,MATCH(H265,'Both teabags AfterDry'!$A$1:$A$839,0)),"")="N.A","",(IFERROR(INDEX('Both teabags AfterDry'!$D$1:$D$839,MATCH(H265,'Both teabags AfterDry'!$A$1:$A$839,0)),"")))</f>
        <v>0.75309999999999999</v>
      </c>
      <c r="T265" s="195">
        <f>IF(IFERROR(INDEX('Both teabags AfterDry'!$D$1:$D$839,MATCH(I265,'Both teabags AfterDry'!$A$1:$A$839,0)),"")="N.A","",(IFERROR(INDEX('Both teabags AfterDry'!$D$1:$D$839,MATCH(I265,'Both teabags AfterDry'!$A$1:$A$839,0)),"")))</f>
        <v>1.7444999999999999</v>
      </c>
      <c r="U265" s="195">
        <f t="shared" si="31"/>
        <v>0.60250000000000004</v>
      </c>
      <c r="V265" s="195">
        <f t="shared" si="31"/>
        <v>1.5938999999999999</v>
      </c>
      <c r="W265" s="195">
        <f>IFERROR(INDEX('Ashed teabags dry'!$K$2:$K$821,MATCH(H265,'Ashed teabags dry'!$A$2:$A$821,0)),"")</f>
        <v>24.915824915824324</v>
      </c>
      <c r="X265" s="195">
        <f>IFERROR(INDEX('Ashed teabags dry'!$K$2:$K$821,MATCH(I265,'Ashed teabags dry'!$A$2:$A$821,0)),"")</f>
        <v>11.059262715818997</v>
      </c>
      <c r="Y265" s="195">
        <f t="shared" si="26"/>
        <v>0.45238215488215849</v>
      </c>
      <c r="Z265" s="195">
        <f t="shared" si="26"/>
        <v>1.417626411572561</v>
      </c>
      <c r="AA265" s="195">
        <f t="shared" si="32"/>
        <v>0.71402097384048679</v>
      </c>
      <c r="AB265" s="195">
        <f t="shared" si="33"/>
        <v>0.46809926076003416</v>
      </c>
      <c r="AC265" s="195">
        <f t="shared" si="27"/>
        <v>0.74503242657994695</v>
      </c>
      <c r="AD265">
        <f t="shared" si="28"/>
        <v>69</v>
      </c>
      <c r="AE265" s="195">
        <f t="shared" si="34"/>
        <v>0.15199409282602516</v>
      </c>
      <c r="AF265" s="195">
        <f t="shared" si="35"/>
        <v>1.1402465854722172E-2</v>
      </c>
      <c r="AG265" s="255" t="str">
        <f>IF(ISNUMBER(SEARCH("C", 'Dry_Litterbag Placem_Collection'!AB192)),"YES","NO")</f>
        <v>NO</v>
      </c>
      <c r="AH265" s="255" t="str">
        <f>IF(ISNUMBER(SEARCH("H", 'Dry_Litterbag Placem_Collection'!AB192)),"YES","NO")</f>
        <v>NO</v>
      </c>
      <c r="AI265" s="255" t="str">
        <f>IF(ISNUMBER(SEARCH("R", 'Dry_Litterbag Placem_Collection'!AB192)),"YES","NO")</f>
        <v>NO</v>
      </c>
      <c r="AJ265" s="255" t="str">
        <f>IF(ISNUMBER(SEARCH("C", 'Dry_Litterbag Placem_Collection'!AA192)),"YES","NO")</f>
        <v>NO</v>
      </c>
      <c r="AK265" s="255" t="str">
        <f>IF(ISNUMBER(SEARCH("H", 'Dry_Litterbag Placem_Collection'!AA192)),"YES","NO")</f>
        <v>NO</v>
      </c>
      <c r="AL265" s="255" t="str">
        <f>IF(ISNUMBER(SEARCH("R", 'Dry_Litterbag Placem_Collection'!AA192)),"YES","NO")</f>
        <v>NO</v>
      </c>
      <c r="AR265" t="s">
        <v>1879</v>
      </c>
      <c r="AT265" t="s">
        <v>744</v>
      </c>
    </row>
    <row r="266" spans="2:46">
      <c r="B266" t="str">
        <f>'Final data_for_R_analysis_Dryse'!A192</f>
        <v>Dry</v>
      </c>
      <c r="C266" s="263">
        <f>'Final data_for_R_analysis_Dryse'!B192</f>
        <v>191</v>
      </c>
      <c r="D266" t="s">
        <v>3855</v>
      </c>
      <c r="E266" t="s">
        <v>22</v>
      </c>
      <c r="F266" s="387">
        <v>7</v>
      </c>
      <c r="G266" s="16">
        <f>'Dry_Litterbag Placem_Collection'!E193</f>
        <v>42940</v>
      </c>
      <c r="H266" t="str">
        <f>'Final data_for_R_analysis_Dryse'!J192</f>
        <v>G232</v>
      </c>
      <c r="I266" t="str">
        <f>'Final data_for_R_analysis_Dryse'!J412</f>
        <v>R715</v>
      </c>
      <c r="J266">
        <f>IFERROR(INDEX('Green_rooibos initial weight'!$C$5:$C$1749,MATCH(H266, 'Green_rooibos initial weight'!$A$5:$A$1749,0)),"")</f>
        <v>2.04</v>
      </c>
      <c r="K266">
        <f>IFERROR(INDEX('Green_rooibos initial weight'!$C$5:$C$1749,MATCH(I266, 'Green_rooibos initial weight'!$A$5:$A$1749,0)),"")</f>
        <v>2.161</v>
      </c>
      <c r="L266" s="195">
        <f t="shared" si="29"/>
        <v>1.7902</v>
      </c>
      <c r="M266" s="240">
        <f>AVERAGE(Ashed_controlls!$K$1:$K$11)</f>
        <v>5.5147656768714146</v>
      </c>
      <c r="N266" s="195">
        <f t="shared" si="24"/>
        <v>1.691474664852648</v>
      </c>
      <c r="O266" s="195">
        <f t="shared" si="30"/>
        <v>1.9112</v>
      </c>
      <c r="P266" s="240">
        <f>AVERAGE(Ashed_controlls!$K$12:$K$14)</f>
        <v>2.2816647271287041</v>
      </c>
      <c r="Q266" s="195">
        <f t="shared" si="25"/>
        <v>1.8675928237351163</v>
      </c>
      <c r="R266" s="16">
        <f>IF('Dry_Litterbag Placem_Collection'!G193="N.A","",'Dry_Litterbag Placem_Collection'!G193)</f>
        <v>43009</v>
      </c>
      <c r="S266" s="195">
        <f>IF(IFERROR(INDEX('Both teabags AfterDry'!$D$1:$D$839,MATCH(H266,'Both teabags AfterDry'!$A$1:$A$839,0)),"")="N.A","",(IFERROR(INDEX('Both teabags AfterDry'!$D$1:$D$839,MATCH(H266,'Both teabags AfterDry'!$A$1:$A$839,0)),"")))</f>
        <v>0.80369999999999997</v>
      </c>
      <c r="T266" s="195">
        <f>IF(IFERROR(INDEX('Both teabags AfterDry'!$D$1:$D$839,MATCH(I266,'Both teabags AfterDry'!$A$1:$A$839,0)),"")="N.A","",(IFERROR(INDEX('Both teabags AfterDry'!$D$1:$D$839,MATCH(I266,'Both teabags AfterDry'!$A$1:$A$839,0)),"")))</f>
        <v>1.9014</v>
      </c>
      <c r="U266" s="195">
        <f t="shared" si="31"/>
        <v>0.65310000000000001</v>
      </c>
      <c r="V266" s="195">
        <f t="shared" si="31"/>
        <v>1.7507999999999999</v>
      </c>
      <c r="W266" s="195">
        <f>IFERROR(INDEX('Ashed teabags dry'!$K$2:$K$821,MATCH(H266,'Ashed teabags dry'!$A$2:$A$821,0)),"")</f>
        <v>26.339066339066047</v>
      </c>
      <c r="X266" s="195">
        <f>IFERROR(INDEX('Ashed teabags dry'!$K$2:$K$821,MATCH(I266,'Ashed teabags dry'!$A$2:$A$821,0)),"")</f>
        <v>5.9051306873185379</v>
      </c>
      <c r="Y266" s="195">
        <f t="shared" si="26"/>
        <v>0.48107955773955968</v>
      </c>
      <c r="Z266" s="195">
        <f t="shared" si="26"/>
        <v>1.647412971926427</v>
      </c>
      <c r="AA266" s="195">
        <f t="shared" si="32"/>
        <v>0.71558571479906341</v>
      </c>
      <c r="AB266" s="195">
        <f t="shared" si="33"/>
        <v>0.46912507668537179</v>
      </c>
      <c r="AC266" s="195">
        <f t="shared" si="27"/>
        <v>0.88210500221973565</v>
      </c>
      <c r="AD266">
        <f t="shared" si="28"/>
        <v>69</v>
      </c>
      <c r="AE266" s="195">
        <f t="shared" si="34"/>
        <v>0.15013573064244246</v>
      </c>
      <c r="AF266" s="195">
        <f t="shared" si="35"/>
        <v>4.1946074890022679E-3</v>
      </c>
      <c r="AG266" s="255" t="str">
        <f>IF(ISNUMBER(SEARCH("C", 'Dry_Litterbag Placem_Collection'!AB193)),"YES","NO")</f>
        <v>NO</v>
      </c>
      <c r="AH266" s="255" t="str">
        <f>IF(ISNUMBER(SEARCH("H", 'Dry_Litterbag Placem_Collection'!AB193)),"YES","NO")</f>
        <v>NO</v>
      </c>
      <c r="AI266" s="255" t="str">
        <f>IF(ISNUMBER(SEARCH("R", 'Dry_Litterbag Placem_Collection'!AB193)),"YES","NO")</f>
        <v>NO</v>
      </c>
      <c r="AJ266" s="255" t="str">
        <f>IF(ISNUMBER(SEARCH("C", 'Dry_Litterbag Placem_Collection'!AA193)),"YES","NO")</f>
        <v>NO</v>
      </c>
      <c r="AK266" s="255" t="str">
        <f>IF(ISNUMBER(SEARCH("H", 'Dry_Litterbag Placem_Collection'!AA193)),"YES","NO")</f>
        <v>NO</v>
      </c>
      <c r="AL266" s="255" t="str">
        <f>IF(ISNUMBER(SEARCH("R", 'Dry_Litterbag Placem_Collection'!AA193)),"YES","NO")</f>
        <v>NO</v>
      </c>
      <c r="AR266" t="s">
        <v>1818</v>
      </c>
      <c r="AT266" t="s">
        <v>424</v>
      </c>
    </row>
    <row r="267" spans="2:46">
      <c r="B267" t="str">
        <f>'Final data_for_R_analysis_Dryse'!A193</f>
        <v>Dry</v>
      </c>
      <c r="C267" s="263">
        <f>'Final data_for_R_analysis_Dryse'!B193</f>
        <v>192</v>
      </c>
      <c r="D267" t="s">
        <v>3855</v>
      </c>
      <c r="E267" t="s">
        <v>22</v>
      </c>
      <c r="F267" s="387">
        <v>8</v>
      </c>
      <c r="G267" s="16">
        <f>'Dry_Litterbag Placem_Collection'!E194</f>
        <v>0</v>
      </c>
      <c r="H267" t="str">
        <f>'Final data_for_R_analysis_Dryse'!J193</f>
        <v/>
      </c>
      <c r="I267" t="str">
        <f>'Final data_for_R_analysis_Dryse'!J413</f>
        <v/>
      </c>
      <c r="J267" t="str">
        <f>IFERROR(INDEX('Green_rooibos initial weight'!$C$5:$C$1749,MATCH(H267, 'Green_rooibos initial weight'!$A$5:$A$1749,0)),"")</f>
        <v/>
      </c>
      <c r="K267" t="str">
        <f>IFERROR(INDEX('Green_rooibos initial weight'!$C$5:$C$1749,MATCH(I267, 'Green_rooibos initial weight'!$A$5:$A$1749,0)),"")</f>
        <v/>
      </c>
      <c r="L267" s="195" t="str">
        <f t="shared" si="29"/>
        <v/>
      </c>
      <c r="M267" s="240">
        <f>AVERAGE(Ashed_controlls!$K$1:$K$11)</f>
        <v>5.5147656768714146</v>
      </c>
      <c r="N267" s="195" t="str">
        <f t="shared" si="24"/>
        <v/>
      </c>
      <c r="O267" s="195" t="str">
        <f t="shared" si="30"/>
        <v/>
      </c>
      <c r="P267" s="240">
        <f>AVERAGE(Ashed_controlls!$K$12:$K$14)</f>
        <v>2.2816647271287041</v>
      </c>
      <c r="Q267" s="195" t="str">
        <f t="shared" si="25"/>
        <v/>
      </c>
      <c r="R267" s="16">
        <f>IF('Dry_Litterbag Placem_Collection'!G194="N.A","",'Dry_Litterbag Placem_Collection'!G194)</f>
        <v>0</v>
      </c>
      <c r="S267" s="195" t="str">
        <f>IF(IFERROR(INDEX('Both teabags AfterDry'!$D$1:$D$839,MATCH(H267,'Both teabags AfterDry'!$A$1:$A$839,0)),"")="N.A","",(IFERROR(INDEX('Both teabags AfterDry'!$D$1:$D$839,MATCH(H267,'Both teabags AfterDry'!$A$1:$A$839,0)),"")))</f>
        <v/>
      </c>
      <c r="T267" s="195" t="str">
        <f>IF(IFERROR(INDEX('Both teabags AfterDry'!$D$1:$D$839,MATCH(I267,'Both teabags AfterDry'!$A$1:$A$839,0)),"")="N.A","",(IFERROR(INDEX('Both teabags AfterDry'!$D$1:$D$839,MATCH(I267,'Both teabags AfterDry'!$A$1:$A$839,0)),"")))</f>
        <v/>
      </c>
      <c r="U267" s="195" t="str">
        <f t="shared" si="31"/>
        <v/>
      </c>
      <c r="V267" s="195" t="str">
        <f t="shared" si="31"/>
        <v/>
      </c>
      <c r="W267" s="195" t="str">
        <f>IFERROR(INDEX('Ashed teabags dry'!$K$2:$K$821,MATCH(H267,'Ashed teabags dry'!$A$2:$A$821,0)),"")</f>
        <v/>
      </c>
      <c r="X267" s="195" t="str">
        <f>IFERROR(INDEX('Ashed teabags dry'!$K$2:$K$821,MATCH(I267,'Ashed teabags dry'!$A$2:$A$821,0)),"")</f>
        <v/>
      </c>
      <c r="Y267" s="195" t="str">
        <f t="shared" si="26"/>
        <v/>
      </c>
      <c r="Z267" s="195" t="str">
        <f t="shared" si="26"/>
        <v/>
      </c>
      <c r="AA267" s="195" t="str">
        <f t="shared" si="32"/>
        <v/>
      </c>
      <c r="AB267" s="195" t="str">
        <f t="shared" si="33"/>
        <v/>
      </c>
      <c r="AC267" s="195" t="str">
        <f t="shared" si="27"/>
        <v/>
      </c>
      <c r="AD267" t="str">
        <f t="shared" si="28"/>
        <v/>
      </c>
      <c r="AE267" s="195" t="str">
        <f t="shared" si="34"/>
        <v/>
      </c>
      <c r="AF267" s="195" t="str">
        <f t="shared" si="35"/>
        <v/>
      </c>
      <c r="AG267" s="255" t="str">
        <f>IF(ISNUMBER(SEARCH("C", 'Dry_Litterbag Placem_Collection'!AB194)),"YES","NO")</f>
        <v>NO</v>
      </c>
      <c r="AH267" s="255" t="str">
        <f>IF(ISNUMBER(SEARCH("H", 'Dry_Litterbag Placem_Collection'!AB194)),"YES","NO")</f>
        <v>NO</v>
      </c>
      <c r="AI267" s="255" t="str">
        <f>IF(ISNUMBER(SEARCH("R", 'Dry_Litterbag Placem_Collection'!AB194)),"YES","NO")</f>
        <v>NO</v>
      </c>
      <c r="AJ267" s="255" t="str">
        <f>IF(ISNUMBER(SEARCH("C", 'Dry_Litterbag Placem_Collection'!AA194)),"YES","NO")</f>
        <v>NO</v>
      </c>
      <c r="AK267" s="255" t="str">
        <f>IF(ISNUMBER(SEARCH("H", 'Dry_Litterbag Placem_Collection'!AA194)),"YES","NO")</f>
        <v>NO</v>
      </c>
      <c r="AL267" s="255" t="str">
        <f>IF(ISNUMBER(SEARCH("R", 'Dry_Litterbag Placem_Collection'!AA194)),"YES","NO")</f>
        <v>NO</v>
      </c>
      <c r="AR267" t="s">
        <v>3654</v>
      </c>
      <c r="AT267" t="s">
        <v>3654</v>
      </c>
    </row>
    <row r="268" spans="2:46">
      <c r="B268" t="str">
        <f>'Final data_for_R_analysis_Dryse'!A194</f>
        <v>Dry</v>
      </c>
      <c r="C268" s="263">
        <f>'Final data_for_R_analysis_Dryse'!B194</f>
        <v>193</v>
      </c>
      <c r="D268" t="s">
        <v>2445</v>
      </c>
      <c r="E268" t="s">
        <v>22</v>
      </c>
      <c r="F268" s="387">
        <v>1</v>
      </c>
      <c r="G268" s="16">
        <f>'Dry_Litterbag Placem_Collection'!E195</f>
        <v>42942</v>
      </c>
      <c r="H268" t="str">
        <f>'Final data_for_R_analysis_Dryse'!J194</f>
        <v>G257</v>
      </c>
      <c r="I268" t="str">
        <f>'Final data_for_R_analysis_Dryse'!J414</f>
        <v>R695</v>
      </c>
      <c r="J268">
        <f>IFERROR(INDEX('Green_rooibos initial weight'!$C$5:$C$1749,MATCH(H268, 'Green_rooibos initial weight'!$A$5:$A$1749,0)),"")</f>
        <v>1.9319999999999999</v>
      </c>
      <c r="K268">
        <f>IFERROR(INDEX('Green_rooibos initial weight'!$C$5:$C$1749,MATCH(I268, 'Green_rooibos initial weight'!$A$5:$A$1749,0)),"")</f>
        <v>2.1789999999999998</v>
      </c>
      <c r="L268" s="195">
        <f t="shared" si="29"/>
        <v>1.6821999999999999</v>
      </c>
      <c r="M268" s="240">
        <f>AVERAGE(Ashed_controlls!$K$1:$K$11)</f>
        <v>5.5147656768714146</v>
      </c>
      <c r="N268" s="195">
        <f t="shared" ref="N268:N331" si="36">IFERROR(L268-(M268/100)*L268,"")</f>
        <v>1.589430611783669</v>
      </c>
      <c r="O268" s="195">
        <f t="shared" si="30"/>
        <v>1.9291999999999998</v>
      </c>
      <c r="P268" s="240">
        <f>AVERAGE(Ashed_controlls!$K$12:$K$14)</f>
        <v>2.2816647271287041</v>
      </c>
      <c r="Q268" s="195">
        <f t="shared" ref="Q268:Q331" si="37">IFERROR(O268-(P268/100)*O268,"")</f>
        <v>1.8851821240842328</v>
      </c>
      <c r="R268" s="16">
        <f>IF('Dry_Litterbag Placem_Collection'!G195="N.A","",'Dry_Litterbag Placem_Collection'!G195)</f>
        <v>43004</v>
      </c>
      <c r="S268" s="195">
        <f>IF(IFERROR(INDEX('Both teabags AfterDry'!$D$1:$D$839,MATCH(H268,'Both teabags AfterDry'!$A$1:$A$839,0)),"")="N.A","",(IFERROR(INDEX('Both teabags AfterDry'!$D$1:$D$839,MATCH(H268,'Both teabags AfterDry'!$A$1:$A$839,0)),"")))</f>
        <v>0.67</v>
      </c>
      <c r="T268" s="195">
        <f>IF(IFERROR(INDEX('Both teabags AfterDry'!$D$1:$D$839,MATCH(I268,'Both teabags AfterDry'!$A$1:$A$839,0)),"")="N.A","",(IFERROR(INDEX('Both teabags AfterDry'!$D$1:$D$839,MATCH(I268,'Both teabags AfterDry'!$A$1:$A$839,0)),"")))</f>
        <v>1.42</v>
      </c>
      <c r="U268" s="195">
        <f t="shared" si="31"/>
        <v>0.51940000000000008</v>
      </c>
      <c r="V268" s="195">
        <f t="shared" si="31"/>
        <v>1.2693999999999999</v>
      </c>
      <c r="W268" s="195">
        <f>IFERROR(INDEX('Ashed teabags dry'!$K$2:$K$821,MATCH(H268,'Ashed teabags dry'!$A$2:$A$821,0)),"")</f>
        <v>13.170731707316666</v>
      </c>
      <c r="X268" s="195">
        <f>IFERROR(INDEX('Ashed teabags dry'!$K$2:$K$821,MATCH(I268,'Ashed teabags dry'!$A$2:$A$821,0)),"")</f>
        <v>8.5788561525128699</v>
      </c>
      <c r="Y268" s="195">
        <f t="shared" ref="Y268:Z331" si="38">IFERROR(U268-(W268/100)*U268,"")</f>
        <v>0.45099121951219734</v>
      </c>
      <c r="Z268" s="195">
        <f t="shared" si="38"/>
        <v>1.1605000000000014</v>
      </c>
      <c r="AA268" s="195">
        <f t="shared" si="32"/>
        <v>0.71625611324668514</v>
      </c>
      <c r="AB268" s="195">
        <f t="shared" si="33"/>
        <v>0.46956457780542782</v>
      </c>
      <c r="AC268" s="195">
        <f t="shared" ref="AC268:AC331" si="39">IFERROR(Z268/Q268,"")</f>
        <v>0.61559039053785791</v>
      </c>
      <c r="AD268">
        <f t="shared" ref="AD268:AD331" si="40">IF((R268-G268)&gt;0,(IFERROR(R268-G268,"")),"")</f>
        <v>62</v>
      </c>
      <c r="AE268" s="195">
        <f t="shared" si="34"/>
        <v>0.14933953296118152</v>
      </c>
      <c r="AF268" s="195">
        <f t="shared" si="35"/>
        <v>2.7537630347814493E-2</v>
      </c>
      <c r="AG268" s="255" t="str">
        <f>IF(ISNUMBER(SEARCH("C", 'Dry_Litterbag Placem_Collection'!AB195)),"YES","NO")</f>
        <v>NO</v>
      </c>
      <c r="AH268" s="255" t="str">
        <f>IF(ISNUMBER(SEARCH("H", 'Dry_Litterbag Placem_Collection'!AB195)),"YES","NO")</f>
        <v>NO</v>
      </c>
      <c r="AI268" s="255" t="str">
        <f>IF(ISNUMBER(SEARCH("R", 'Dry_Litterbag Placem_Collection'!AB195)),"YES","NO")</f>
        <v>NO</v>
      </c>
      <c r="AJ268" s="255" t="str">
        <f>IF(ISNUMBER(SEARCH("C", 'Dry_Litterbag Placem_Collection'!AA195)),"YES","NO")</f>
        <v>NO</v>
      </c>
      <c r="AK268" s="255" t="str">
        <f>IF(ISNUMBER(SEARCH("H", 'Dry_Litterbag Placem_Collection'!AA195)),"YES","NO")</f>
        <v>NO</v>
      </c>
      <c r="AL268" s="255" t="str">
        <f>IF(ISNUMBER(SEARCH("R", 'Dry_Litterbag Placem_Collection'!AA195)),"YES","NO")</f>
        <v>NO</v>
      </c>
      <c r="AR268" t="s">
        <v>1793</v>
      </c>
      <c r="AT268" t="s">
        <v>444</v>
      </c>
    </row>
    <row r="269" spans="2:46">
      <c r="B269" t="str">
        <f>'Final data_for_R_analysis_Dryse'!A195</f>
        <v>Dry</v>
      </c>
      <c r="C269" s="263">
        <f>'Final data_for_R_analysis_Dryse'!B195</f>
        <v>194</v>
      </c>
      <c r="D269" t="s">
        <v>2438</v>
      </c>
      <c r="E269" t="s">
        <v>22</v>
      </c>
      <c r="F269" s="387">
        <v>2</v>
      </c>
      <c r="G269" s="16">
        <f>'Dry_Litterbag Placem_Collection'!E196</f>
        <v>42942</v>
      </c>
      <c r="H269" t="str">
        <f>'Final data_for_R_analysis_Dryse'!J195</f>
        <v>G148</v>
      </c>
      <c r="I269" t="str">
        <f>'Final data_for_R_analysis_Dryse'!J415</f>
        <v>R653</v>
      </c>
      <c r="J269">
        <f>IFERROR(INDEX('Green_rooibos initial weight'!$C$5:$C$1749,MATCH(H269, 'Green_rooibos initial weight'!$A$5:$A$1749,0)),"")</f>
        <v>2.0710000000000002</v>
      </c>
      <c r="K269">
        <f>IFERROR(INDEX('Green_rooibos initial weight'!$C$5:$C$1749,MATCH(I269, 'Green_rooibos initial weight'!$A$5:$A$1749,0)),"")</f>
        <v>2.1989999999999998</v>
      </c>
      <c r="L269" s="195">
        <f t="shared" ref="L269:L332" si="41">IFERROR(IF(J269&gt;0,(J269*$F$31-($F$29+$F$30)),""),"")</f>
        <v>1.8212000000000002</v>
      </c>
      <c r="M269" s="240">
        <f>AVERAGE(Ashed_controlls!$K$1:$K$11)</f>
        <v>5.5147656768714146</v>
      </c>
      <c r="N269" s="195">
        <f t="shared" si="36"/>
        <v>1.720765087492818</v>
      </c>
      <c r="O269" s="195">
        <f t="shared" ref="O269:O332" si="42">IFERROR(IF(K269&gt;0,(K269*$F$32-($F$29+$F$30)),""),"")</f>
        <v>1.9491999999999998</v>
      </c>
      <c r="P269" s="240">
        <f>AVERAGE(Ashed_controlls!$K$12:$K$14)</f>
        <v>2.2816647271287041</v>
      </c>
      <c r="Q269" s="195">
        <f t="shared" si="37"/>
        <v>1.9047257911388071</v>
      </c>
      <c r="R269" s="16">
        <f>IF('Dry_Litterbag Placem_Collection'!G196="N.A","",'Dry_Litterbag Placem_Collection'!G196)</f>
        <v>43004</v>
      </c>
      <c r="S269" s="195">
        <f>IF(IFERROR(INDEX('Both teabags AfterDry'!$D$1:$D$839,MATCH(H269,'Both teabags AfterDry'!$A$1:$A$839,0)),"")="N.A","",(IFERROR(INDEX('Both teabags AfterDry'!$D$1:$D$839,MATCH(H269,'Both teabags AfterDry'!$A$1:$A$839,0)),"")))</f>
        <v>0.433</v>
      </c>
      <c r="T269" s="195">
        <f>IF(IFERROR(INDEX('Both teabags AfterDry'!$D$1:$D$839,MATCH(I269,'Both teabags AfterDry'!$A$1:$A$839,0)),"")="N.A","",(IFERROR(INDEX('Both teabags AfterDry'!$D$1:$D$839,MATCH(I269,'Both teabags AfterDry'!$A$1:$A$839,0)),"")))</f>
        <v>1.613</v>
      </c>
      <c r="U269" s="195">
        <f t="shared" ref="U269:V332" si="43">IFERROR(IF(S269&gt;0,S269-($F$29),""),"")</f>
        <v>0.28239999999999998</v>
      </c>
      <c r="V269" s="195">
        <f t="shared" si="43"/>
        <v>1.4623999999999999</v>
      </c>
      <c r="W269" s="195">
        <f>IFERROR(INDEX('Ashed teabags dry'!$K$2:$K$821,MATCH(H269,'Ashed teabags dry'!$A$2:$A$821,0)),"")</f>
        <v>15.447941888619916</v>
      </c>
      <c r="X269" s="195">
        <f>IFERROR(INDEX('Ashed teabags dry'!$K$2:$K$821,MATCH(I269,'Ashed teabags dry'!$A$2:$A$821,0)),"")</f>
        <v>6.2529384109078929</v>
      </c>
      <c r="Y269" s="195">
        <f t="shared" si="38"/>
        <v>0.23877501210653734</v>
      </c>
      <c r="Z269" s="195">
        <f t="shared" si="38"/>
        <v>1.3709570286788828</v>
      </c>
      <c r="AA269" s="195">
        <f t="shared" ref="AA269:AA332" si="44">IFERROR(1-Y269/N269,"")</f>
        <v>0.86123904195753043</v>
      </c>
      <c r="AB269" s="195">
        <f t="shared" ref="AB269:AB332" si="45">IFERROR($F$26*(1-AE269),"")</f>
        <v>0.56461276859923615</v>
      </c>
      <c r="AC269" s="195">
        <f t="shared" si="39"/>
        <v>0.71976608657102714</v>
      </c>
      <c r="AD269">
        <f t="shared" si="40"/>
        <v>62</v>
      </c>
      <c r="AE269" s="195">
        <f t="shared" ref="AE269:AE332" si="46">IFERROR(1-(AA269/$F$25),"")</f>
        <v>-2.2849218476876931E-2</v>
      </c>
      <c r="AF269" s="195">
        <f t="shared" ref="AF269:AF332" si="47">IFERROR(LN(AB269/(AC269-(1-AB269)))/AD269,"")</f>
        <v>1.1061819106599593E-2</v>
      </c>
      <c r="AG269" s="255" t="str">
        <f>IF(ISNUMBER(SEARCH("C", 'Dry_Litterbag Placem_Collection'!AB196)),"YES","NO")</f>
        <v>NO</v>
      </c>
      <c r="AH269" s="255" t="str">
        <f>IF(ISNUMBER(SEARCH("H", 'Dry_Litterbag Placem_Collection'!AB196)),"YES","NO")</f>
        <v>NO</v>
      </c>
      <c r="AI269" s="255" t="str">
        <f>IF(ISNUMBER(SEARCH("R", 'Dry_Litterbag Placem_Collection'!AB196)),"YES","NO")</f>
        <v>NO</v>
      </c>
      <c r="AJ269" s="255" t="str">
        <f>IF(ISNUMBER(SEARCH("C", 'Dry_Litterbag Placem_Collection'!AA196)),"YES","NO")</f>
        <v>NO</v>
      </c>
      <c r="AK269" s="255" t="str">
        <f>IF(ISNUMBER(SEARCH("H", 'Dry_Litterbag Placem_Collection'!AA196)),"YES","NO")</f>
        <v>NO</v>
      </c>
      <c r="AL269" s="255" t="str">
        <f>IF(ISNUMBER(SEARCH("R", 'Dry_Litterbag Placem_Collection'!AA196)),"YES","NO")</f>
        <v>NO</v>
      </c>
      <c r="AR269" t="s">
        <v>1902</v>
      </c>
      <c r="AT269" t="s">
        <v>486</v>
      </c>
    </row>
    <row r="270" spans="2:46">
      <c r="B270" t="str">
        <f>'Final data_for_R_analysis_Dryse'!A196</f>
        <v>Dry</v>
      </c>
      <c r="C270" s="263">
        <f>'Final data_for_R_analysis_Dryse'!B196</f>
        <v>195</v>
      </c>
      <c r="D270" t="s">
        <v>2430</v>
      </c>
      <c r="E270" t="s">
        <v>22</v>
      </c>
      <c r="F270" s="387">
        <v>3</v>
      </c>
      <c r="G270" s="16">
        <f>'Dry_Litterbag Placem_Collection'!E197</f>
        <v>42942</v>
      </c>
      <c r="H270" t="str">
        <f>'Final data_for_R_analysis_Dryse'!J196</f>
        <v>G105</v>
      </c>
      <c r="I270" t="str">
        <f>'Final data_for_R_analysis_Dryse'!J416</f>
        <v>R389</v>
      </c>
      <c r="J270">
        <f>IFERROR(INDEX('Green_rooibos initial weight'!$C$5:$C$1749,MATCH(H270, 'Green_rooibos initial weight'!$A$5:$A$1749,0)),"")</f>
        <v>2.1440000000000001</v>
      </c>
      <c r="K270">
        <f>IFERROR(INDEX('Green_rooibos initial weight'!$C$5:$C$1749,MATCH(I270, 'Green_rooibos initial weight'!$A$5:$A$1749,0)),"")</f>
        <v>2.2349999999999999</v>
      </c>
      <c r="L270" s="195">
        <f t="shared" si="41"/>
        <v>1.8942000000000001</v>
      </c>
      <c r="M270" s="240">
        <f>AVERAGE(Ashed_controlls!$K$1:$K$11)</f>
        <v>5.5147656768714146</v>
      </c>
      <c r="N270" s="195">
        <f t="shared" si="36"/>
        <v>1.7897393085487017</v>
      </c>
      <c r="O270" s="195">
        <f t="shared" si="42"/>
        <v>1.9851999999999999</v>
      </c>
      <c r="P270" s="240">
        <f>AVERAGE(Ashed_controlls!$K$12:$K$14)</f>
        <v>2.2816647271287041</v>
      </c>
      <c r="Q270" s="195">
        <f t="shared" si="37"/>
        <v>1.9399043918370409</v>
      </c>
      <c r="R270" s="16">
        <f>IF('Dry_Litterbag Placem_Collection'!G197="N.A","",'Dry_Litterbag Placem_Collection'!G197)</f>
        <v>43004</v>
      </c>
      <c r="S270" s="195">
        <f>IF(IFERROR(INDEX('Both teabags AfterDry'!$D$1:$D$839,MATCH(H270,'Both teabags AfterDry'!$A$1:$A$839,0)),"")="N.A","",(IFERROR(INDEX('Both teabags AfterDry'!$D$1:$D$839,MATCH(H270,'Both teabags AfterDry'!$A$1:$A$839,0)),"")))</f>
        <v>1.2050000000000001</v>
      </c>
      <c r="T270" s="195">
        <f>IF(IFERROR(INDEX('Both teabags AfterDry'!$D$1:$D$839,MATCH(I270,'Both teabags AfterDry'!$A$1:$A$839,0)),"")="N.A","",(IFERROR(INDEX('Both teabags AfterDry'!$D$1:$D$839,MATCH(I270,'Both teabags AfterDry'!$A$1:$A$839,0)),"")))</f>
        <v>0.78200000000000003</v>
      </c>
      <c r="U270" s="195">
        <f t="shared" si="43"/>
        <v>1.0544</v>
      </c>
      <c r="V270" s="195">
        <f t="shared" si="43"/>
        <v>0.63139999999999996</v>
      </c>
      <c r="W270" s="195">
        <f>IFERROR(INDEX('Ashed teabags dry'!$K$2:$K$821,MATCH(H270,'Ashed teabags dry'!$A$2:$A$821,0)),"")</f>
        <v>44.075144508670796</v>
      </c>
      <c r="X270" s="195">
        <f>IFERROR(INDEX('Ashed teabags dry'!$K$2:$K$821,MATCH(I270,'Ashed teabags dry'!$A$2:$A$821,0)),"")</f>
        <v>74.075764491100372</v>
      </c>
      <c r="Y270" s="195">
        <f t="shared" si="38"/>
        <v>0.58967167630057515</v>
      </c>
      <c r="Z270" s="195">
        <f t="shared" si="38"/>
        <v>0.16368562300319223</v>
      </c>
      <c r="AA270" s="195">
        <f t="shared" si="44"/>
        <v>0.67052649875654824</v>
      </c>
      <c r="AB270" s="195">
        <f t="shared" si="45"/>
        <v>0.43958506806842601</v>
      </c>
      <c r="AC270" s="195">
        <f t="shared" si="39"/>
        <v>8.4378190848975826E-2</v>
      </c>
      <c r="AD270">
        <f t="shared" si="40"/>
        <v>62</v>
      </c>
      <c r="AE270" s="195">
        <f t="shared" si="46"/>
        <v>0.20365023900647472</v>
      </c>
      <c r="AF270" s="195" t="str">
        <f t="shared" si="47"/>
        <v/>
      </c>
      <c r="AG270" s="255" t="str">
        <f>IF(ISNUMBER(SEARCH("C", 'Dry_Litterbag Placem_Collection'!AB197)),"YES","NO")</f>
        <v>NO</v>
      </c>
      <c r="AH270" s="255" t="str">
        <f>IF(ISNUMBER(SEARCH("H", 'Dry_Litterbag Placem_Collection'!AB197)),"YES","NO")</f>
        <v>NO</v>
      </c>
      <c r="AI270" s="255" t="str">
        <f>IF(ISNUMBER(SEARCH("R", 'Dry_Litterbag Placem_Collection'!AB197)),"YES","NO")</f>
        <v>NO</v>
      </c>
      <c r="AJ270" s="255" t="str">
        <f>IF(ISNUMBER(SEARCH("C", 'Dry_Litterbag Placem_Collection'!AA197)),"YES","NO")</f>
        <v>NO</v>
      </c>
      <c r="AK270" s="255" t="str">
        <f>IF(ISNUMBER(SEARCH("H", 'Dry_Litterbag Placem_Collection'!AA197)),"YES","NO")</f>
        <v>NO</v>
      </c>
      <c r="AL270" s="255" t="str">
        <f>IF(ISNUMBER(SEARCH("R", 'Dry_Litterbag Placem_Collection'!AA197)),"YES","NO")</f>
        <v>NO</v>
      </c>
      <c r="AR270" t="s">
        <v>1945</v>
      </c>
      <c r="AT270" t="s">
        <v>752</v>
      </c>
    </row>
    <row r="271" spans="2:46">
      <c r="B271" t="str">
        <f>'Final data_for_R_analysis_Dryse'!A197</f>
        <v>Dry</v>
      </c>
      <c r="C271" s="263">
        <f>'Final data_for_R_analysis_Dryse'!B197</f>
        <v>196</v>
      </c>
      <c r="D271" t="s">
        <v>2421</v>
      </c>
      <c r="E271" t="s">
        <v>22</v>
      </c>
      <c r="F271" s="387">
        <v>4</v>
      </c>
      <c r="G271" s="16">
        <f>'Dry_Litterbag Placem_Collection'!E198</f>
        <v>42942</v>
      </c>
      <c r="H271" t="str">
        <f>'Final data_for_R_analysis_Dryse'!J197</f>
        <v>G12</v>
      </c>
      <c r="I271" t="str">
        <f>'Final data_for_R_analysis_Dryse'!J417</f>
        <v>R455</v>
      </c>
      <c r="J271">
        <f>IFERROR(INDEX('Green_rooibos initial weight'!$C$5:$C$1749,MATCH(H271, 'Green_rooibos initial weight'!$A$5:$A$1749,0)),"")</f>
        <v>1.9870000000000001</v>
      </c>
      <c r="K271">
        <f>IFERROR(INDEX('Green_rooibos initial weight'!$C$5:$C$1749,MATCH(I271, 'Green_rooibos initial weight'!$A$5:$A$1749,0)),"")</f>
        <v>2.1850000000000001</v>
      </c>
      <c r="L271" s="195">
        <f t="shared" si="41"/>
        <v>1.7372000000000001</v>
      </c>
      <c r="M271" s="240">
        <f>AVERAGE(Ashed_controlls!$K$1:$K$11)</f>
        <v>5.5147656768714146</v>
      </c>
      <c r="N271" s="195">
        <f t="shared" si="36"/>
        <v>1.64139749066139</v>
      </c>
      <c r="O271" s="195">
        <f t="shared" si="42"/>
        <v>1.9352</v>
      </c>
      <c r="P271" s="240">
        <f>AVERAGE(Ashed_controlls!$K$12:$K$14)</f>
        <v>2.2816647271287041</v>
      </c>
      <c r="Q271" s="195">
        <f t="shared" si="37"/>
        <v>1.8910452242006053</v>
      </c>
      <c r="R271" s="16">
        <f>IF('Dry_Litterbag Placem_Collection'!G198="N.A","",'Dry_Litterbag Placem_Collection'!G198)</f>
        <v>43004</v>
      </c>
      <c r="S271" s="195">
        <f>IF(IFERROR(INDEX('Both teabags AfterDry'!$D$1:$D$839,MATCH(H271,'Both teabags AfterDry'!$A$1:$A$839,0)),"")="N.A","",(IFERROR(INDEX('Both teabags AfterDry'!$D$1:$D$839,MATCH(H271,'Both teabags AfterDry'!$A$1:$A$839,0)),"")))</f>
        <v>0.748</v>
      </c>
      <c r="T271" s="195">
        <f>IF(IFERROR(INDEX('Both teabags AfterDry'!$D$1:$D$839,MATCH(I271,'Both teabags AfterDry'!$A$1:$A$839,0)),"")="N.A","",(IFERROR(INDEX('Both teabags AfterDry'!$D$1:$D$839,MATCH(I271,'Both teabags AfterDry'!$A$1:$A$839,0)),"")))</f>
        <v>0.19900000000000001</v>
      </c>
      <c r="U271" s="195">
        <f t="shared" si="43"/>
        <v>0.59739999999999993</v>
      </c>
      <c r="V271" s="195">
        <f t="shared" si="43"/>
        <v>4.8399999999999999E-2</v>
      </c>
      <c r="W271" s="195">
        <f>IFERROR(INDEX('Ashed teabags dry'!$K$2:$K$821,MATCH(H271,'Ashed teabags dry'!$A$2:$A$821,0)),"")</f>
        <v>27.855421686746478</v>
      </c>
      <c r="X271" s="195" t="str">
        <f>IFERROR(INDEX('Ashed teabags dry'!$K$2:$K$821,MATCH(I271,'Ashed teabags dry'!$A$2:$A$821,0)),"")</f>
        <v/>
      </c>
      <c r="Y271" s="195">
        <f t="shared" si="38"/>
        <v>0.43099171084337651</v>
      </c>
      <c r="Z271" s="195" t="str">
        <f t="shared" si="38"/>
        <v/>
      </c>
      <c r="AA271" s="195">
        <f t="shared" si="44"/>
        <v>0.73742392485947361</v>
      </c>
      <c r="AB271" s="195">
        <f t="shared" si="45"/>
        <v>0.4834418129720065</v>
      </c>
      <c r="AC271" s="195" t="str">
        <f t="shared" si="39"/>
        <v/>
      </c>
      <c r="AD271">
        <f t="shared" si="40"/>
        <v>62</v>
      </c>
      <c r="AE271" s="195">
        <f t="shared" si="46"/>
        <v>0.12419961418114767</v>
      </c>
      <c r="AF271" s="195" t="str">
        <f t="shared" si="47"/>
        <v/>
      </c>
      <c r="AG271" s="255" t="str">
        <f>IF(ISNUMBER(SEARCH("C", 'Dry_Litterbag Placem_Collection'!AB198)),"YES","NO")</f>
        <v>NO</v>
      </c>
      <c r="AH271" s="255" t="str">
        <f>IF(ISNUMBER(SEARCH("H", 'Dry_Litterbag Placem_Collection'!AB198)),"YES","NO")</f>
        <v>NO</v>
      </c>
      <c r="AI271" s="255" t="str">
        <f>IF(ISNUMBER(SEARCH("R", 'Dry_Litterbag Placem_Collection'!AB198)),"YES","NO")</f>
        <v>NO</v>
      </c>
      <c r="AJ271" s="255" t="str">
        <f>IF(ISNUMBER(SEARCH("C", 'Dry_Litterbag Placem_Collection'!AA198)),"YES","NO")</f>
        <v>NO</v>
      </c>
      <c r="AK271" s="255" t="str">
        <f>IF(ISNUMBER(SEARCH("H", 'Dry_Litterbag Placem_Collection'!AA198)),"YES","NO")</f>
        <v>NO</v>
      </c>
      <c r="AL271" s="255" t="str">
        <f>IF(ISNUMBER(SEARCH("R", 'Dry_Litterbag Placem_Collection'!AA198)),"YES","NO")</f>
        <v>NO</v>
      </c>
      <c r="AR271" t="s">
        <v>2038</v>
      </c>
      <c r="AT271" t="s">
        <v>686</v>
      </c>
    </row>
    <row r="272" spans="2:46">
      <c r="B272" t="str">
        <f>'Final data_for_R_analysis_Dryse'!A198</f>
        <v>Dry</v>
      </c>
      <c r="C272" s="263">
        <f>'Final data_for_R_analysis_Dryse'!B198</f>
        <v>197</v>
      </c>
      <c r="D272" t="s">
        <v>2431</v>
      </c>
      <c r="E272" t="s">
        <v>22</v>
      </c>
      <c r="F272" s="387">
        <v>1</v>
      </c>
      <c r="G272" s="16">
        <f>'Dry_Litterbag Placem_Collection'!E199</f>
        <v>42942</v>
      </c>
      <c r="H272" t="str">
        <f>'Final data_for_R_analysis_Dryse'!J198</f>
        <v>G399</v>
      </c>
      <c r="I272" t="str">
        <f>'Final data_for_R_analysis_Dryse'!J418</f>
        <v>R692</v>
      </c>
      <c r="J272">
        <f>IFERROR(INDEX('Green_rooibos initial weight'!$C$5:$C$1749,MATCH(H272, 'Green_rooibos initial weight'!$A$5:$A$1749,0)),"")</f>
        <v>2.0070000000000001</v>
      </c>
      <c r="K272">
        <f>IFERROR(INDEX('Green_rooibos initial weight'!$C$5:$C$1749,MATCH(I272, 'Green_rooibos initial weight'!$A$5:$A$1749,0)),"")</f>
        <v>2.1419999999999999</v>
      </c>
      <c r="L272" s="195">
        <f t="shared" si="41"/>
        <v>1.7572000000000001</v>
      </c>
      <c r="M272" s="240">
        <f>AVERAGE(Ashed_controlls!$K$1:$K$11)</f>
        <v>5.5147656768714146</v>
      </c>
      <c r="N272" s="195">
        <f t="shared" si="36"/>
        <v>1.6602945375260156</v>
      </c>
      <c r="O272" s="195">
        <f t="shared" si="42"/>
        <v>1.8921999999999999</v>
      </c>
      <c r="P272" s="240">
        <f>AVERAGE(Ashed_controlls!$K$12:$K$14)</f>
        <v>2.2816647271287041</v>
      </c>
      <c r="Q272" s="195">
        <f t="shared" si="37"/>
        <v>1.8490263400332705</v>
      </c>
      <c r="R272" s="16">
        <f>IF('Dry_Litterbag Placem_Collection'!G199="N.A","",'Dry_Litterbag Placem_Collection'!G199)</f>
        <v>43004</v>
      </c>
      <c r="S272" s="195">
        <f>IF(IFERROR(INDEX('Both teabags AfterDry'!$D$1:$D$839,MATCH(H272,'Both teabags AfterDry'!$A$1:$A$839,0)),"")="N.A","",(IFERROR(INDEX('Both teabags AfterDry'!$D$1:$D$839,MATCH(H272,'Both teabags AfterDry'!$A$1:$A$839,0)),"")))</f>
        <v>0.69</v>
      </c>
      <c r="T272" s="195">
        <f>IF(IFERROR(INDEX('Both teabags AfterDry'!$D$1:$D$839,MATCH(I272,'Both teabags AfterDry'!$A$1:$A$839,0)),"")="N.A","",(IFERROR(INDEX('Both teabags AfterDry'!$D$1:$D$839,MATCH(I272,'Both teabags AfterDry'!$A$1:$A$839,0)),"")))</f>
        <v>1.6160000000000001</v>
      </c>
      <c r="U272" s="195">
        <f t="shared" si="43"/>
        <v>0.53939999999999988</v>
      </c>
      <c r="V272" s="195">
        <f t="shared" si="43"/>
        <v>1.4654</v>
      </c>
      <c r="W272" s="195">
        <f>IFERROR(INDEX('Ashed teabags dry'!$K$2:$K$821,MATCH(H272,'Ashed teabags dry'!$A$2:$A$821,0)),"")</f>
        <v>18.458698661744211</v>
      </c>
      <c r="X272" s="195">
        <f>IFERROR(INDEX('Ashed teabags dry'!$K$2:$K$821,MATCH(I272,'Ashed teabags dry'!$A$2:$A$821,0)),"")</f>
        <v>6.6166740185264974</v>
      </c>
      <c r="Y272" s="195">
        <f t="shared" si="38"/>
        <v>0.43983377941855162</v>
      </c>
      <c r="Z272" s="195">
        <f t="shared" si="38"/>
        <v>1.3684392589325127</v>
      </c>
      <c r="AA272" s="195">
        <f t="shared" si="44"/>
        <v>0.73508689604319088</v>
      </c>
      <c r="AB272" s="195">
        <f t="shared" si="45"/>
        <v>0.4819096990686953</v>
      </c>
      <c r="AC272" s="195">
        <f t="shared" si="39"/>
        <v>0.74008640618277488</v>
      </c>
      <c r="AD272">
        <f t="shared" si="40"/>
        <v>62</v>
      </c>
      <c r="AE272" s="195">
        <f t="shared" si="46"/>
        <v>0.12697518284656661</v>
      </c>
      <c r="AF272" s="195">
        <f t="shared" si="47"/>
        <v>1.2501563102620806E-2</v>
      </c>
      <c r="AG272" s="255" t="str">
        <f>IF(ISNUMBER(SEARCH("C", 'Dry_Litterbag Placem_Collection'!AB199)),"YES","NO")</f>
        <v>NO</v>
      </c>
      <c r="AH272" s="255" t="str">
        <f>IF(ISNUMBER(SEARCH("H", 'Dry_Litterbag Placem_Collection'!AB199)),"YES","NO")</f>
        <v>NO</v>
      </c>
      <c r="AI272" s="255" t="str">
        <f>IF(ISNUMBER(SEARCH("R", 'Dry_Litterbag Placem_Collection'!AB199)),"YES","NO")</f>
        <v>NO</v>
      </c>
      <c r="AJ272" s="255" t="str">
        <f>IF(ISNUMBER(SEARCH("C", 'Dry_Litterbag Placem_Collection'!AA199)),"YES","NO")</f>
        <v>NO</v>
      </c>
      <c r="AK272" s="255" t="str">
        <f>IF(ISNUMBER(SEARCH("H", 'Dry_Litterbag Placem_Collection'!AA199)),"YES","NO")</f>
        <v>NO</v>
      </c>
      <c r="AL272" s="255" t="str">
        <f>IF(ISNUMBER(SEARCH("R", 'Dry_Litterbag Placem_Collection'!AA199)),"YES","NO")</f>
        <v>NO</v>
      </c>
      <c r="AR272" t="s">
        <v>1651</v>
      </c>
      <c r="AT272" t="s">
        <v>447</v>
      </c>
    </row>
    <row r="273" spans="2:46">
      <c r="B273" t="str">
        <f>'Final data_for_R_analysis_Dryse'!A199</f>
        <v>Dry</v>
      </c>
      <c r="C273" s="263">
        <f>'Final data_for_R_analysis_Dryse'!B199</f>
        <v>198</v>
      </c>
      <c r="D273" t="s">
        <v>2439</v>
      </c>
      <c r="E273" t="s">
        <v>22</v>
      </c>
      <c r="F273" s="387">
        <v>2</v>
      </c>
      <c r="G273" s="16">
        <f>'Dry_Litterbag Placem_Collection'!E200</f>
        <v>42942</v>
      </c>
      <c r="H273" t="str">
        <f>'Final data_for_R_analysis_Dryse'!J199</f>
        <v>G27</v>
      </c>
      <c r="I273" t="str">
        <f>'Final data_for_R_analysis_Dryse'!J419</f>
        <v>R352</v>
      </c>
      <c r="J273">
        <f>IFERROR(INDEX('Green_rooibos initial weight'!$C$5:$C$1749,MATCH(H273, 'Green_rooibos initial weight'!$A$5:$A$1749,0)),"")</f>
        <v>1.966</v>
      </c>
      <c r="K273">
        <f>IFERROR(INDEX('Green_rooibos initial weight'!$C$5:$C$1749,MATCH(I273, 'Green_rooibos initial weight'!$A$5:$A$1749,0)),"")</f>
        <v>2.2789999999999999</v>
      </c>
      <c r="L273" s="195">
        <f t="shared" si="41"/>
        <v>1.7161999999999999</v>
      </c>
      <c r="M273" s="240">
        <f>AVERAGE(Ashed_controlls!$K$1:$K$11)</f>
        <v>5.5147656768714146</v>
      </c>
      <c r="N273" s="195">
        <f t="shared" si="36"/>
        <v>1.6215555914535327</v>
      </c>
      <c r="O273" s="195">
        <f t="shared" si="42"/>
        <v>2.0291999999999999</v>
      </c>
      <c r="P273" s="240">
        <f>AVERAGE(Ashed_controlls!$K$12:$K$14)</f>
        <v>2.2816647271287041</v>
      </c>
      <c r="Q273" s="195">
        <f t="shared" si="37"/>
        <v>1.9829004593571042</v>
      </c>
      <c r="R273" s="16">
        <f>IF('Dry_Litterbag Placem_Collection'!G200="N.A","",'Dry_Litterbag Placem_Collection'!G200)</f>
        <v>43004</v>
      </c>
      <c r="S273" s="195">
        <f>IF(IFERROR(INDEX('Both teabags AfterDry'!$D$1:$D$839,MATCH(H273,'Both teabags AfterDry'!$A$1:$A$839,0)),"")="N.A","",(IFERROR(INDEX('Both teabags AfterDry'!$D$1:$D$839,MATCH(H273,'Both teabags AfterDry'!$A$1:$A$839,0)),"")))</f>
        <v>0.73799999999999999</v>
      </c>
      <c r="T273" s="195">
        <f>IF(IFERROR(INDEX('Both teabags AfterDry'!$D$1:$D$839,MATCH(I273,'Both teabags AfterDry'!$A$1:$A$839,0)),"")="N.A","",(IFERROR(INDEX('Both teabags AfterDry'!$D$1:$D$839,MATCH(I273,'Both teabags AfterDry'!$A$1:$A$839,0)),"")))</f>
        <v>1.615</v>
      </c>
      <c r="U273" s="195">
        <f t="shared" si="43"/>
        <v>0.58739999999999992</v>
      </c>
      <c r="V273" s="195">
        <f t="shared" si="43"/>
        <v>1.4643999999999999</v>
      </c>
      <c r="W273" s="195">
        <f>IFERROR(INDEX('Ashed teabags dry'!$K$2:$K$821,MATCH(H273,'Ashed teabags dry'!$A$2:$A$821,0)),"")</f>
        <v>26.042177538007827</v>
      </c>
      <c r="X273" s="195">
        <f>IFERROR(INDEX('Ashed teabags dry'!$K$2:$K$821,MATCH(I273,'Ashed teabags dry'!$A$2:$A$821,0)),"")</f>
        <v>5.1034482758627195</v>
      </c>
      <c r="Y273" s="195">
        <f t="shared" si="38"/>
        <v>0.43442824914174194</v>
      </c>
      <c r="Z273" s="195">
        <f t="shared" si="38"/>
        <v>1.3896651034482663</v>
      </c>
      <c r="AA273" s="195">
        <f t="shared" si="44"/>
        <v>0.73209167084285509</v>
      </c>
      <c r="AB273" s="195">
        <f t="shared" si="45"/>
        <v>0.47994608349792878</v>
      </c>
      <c r="AC273" s="195">
        <f t="shared" si="39"/>
        <v>0.70082443971939135</v>
      </c>
      <c r="AD273">
        <f t="shared" si="40"/>
        <v>62</v>
      </c>
      <c r="AE273" s="195">
        <f t="shared" si="46"/>
        <v>0.1305324574312885</v>
      </c>
      <c r="AF273" s="195">
        <f t="shared" si="47"/>
        <v>1.5749118906176911E-2</v>
      </c>
      <c r="AG273" s="255" t="str">
        <f>IF(ISNUMBER(SEARCH("C", 'Dry_Litterbag Placem_Collection'!AB200)),"YES","NO")</f>
        <v>NO</v>
      </c>
      <c r="AH273" s="255" t="str">
        <f>IF(ISNUMBER(SEARCH("H", 'Dry_Litterbag Placem_Collection'!AB200)),"YES","NO")</f>
        <v>NO</v>
      </c>
      <c r="AI273" s="255" t="str">
        <f>IF(ISNUMBER(SEARCH("R", 'Dry_Litterbag Placem_Collection'!AB200)),"YES","NO")</f>
        <v>NO</v>
      </c>
      <c r="AJ273" s="255" t="str">
        <f>IF(ISNUMBER(SEARCH("C", 'Dry_Litterbag Placem_Collection'!AA200)),"YES","NO")</f>
        <v>NO</v>
      </c>
      <c r="AK273" s="255" t="str">
        <f>IF(ISNUMBER(SEARCH("H", 'Dry_Litterbag Placem_Collection'!AA200)),"YES","NO")</f>
        <v>NO</v>
      </c>
      <c r="AL273" s="255" t="str">
        <f>IF(ISNUMBER(SEARCH("R", 'Dry_Litterbag Placem_Collection'!AA200)),"YES","NO")</f>
        <v>NO</v>
      </c>
      <c r="AR273" t="s">
        <v>2023</v>
      </c>
      <c r="AT273" t="s">
        <v>789</v>
      </c>
    </row>
    <row r="274" spans="2:46">
      <c r="B274" t="str">
        <f>'Final data_for_R_analysis_Dryse'!A200</f>
        <v>Dry</v>
      </c>
      <c r="C274" s="263">
        <f>'Final data_for_R_analysis_Dryse'!B200</f>
        <v>199</v>
      </c>
      <c r="D274" t="s">
        <v>2423</v>
      </c>
      <c r="E274" t="s">
        <v>22</v>
      </c>
      <c r="F274" s="387">
        <v>3</v>
      </c>
      <c r="G274" s="16">
        <f>'Dry_Litterbag Placem_Collection'!E201</f>
        <v>42942</v>
      </c>
      <c r="H274" t="str">
        <f>'Final data_for_R_analysis_Dryse'!J200</f>
        <v>G224</v>
      </c>
      <c r="I274" t="str">
        <f>'Final data_for_R_analysis_Dryse'!J420</f>
        <v>R327</v>
      </c>
      <c r="J274">
        <f>IFERROR(INDEX('Green_rooibos initial weight'!$C$5:$C$1749,MATCH(H274, 'Green_rooibos initial weight'!$A$5:$A$1749,0)),"")</f>
        <v>2.0259999999999998</v>
      </c>
      <c r="K274">
        <f>IFERROR(INDEX('Green_rooibos initial weight'!$C$5:$C$1749,MATCH(I274, 'Green_rooibos initial weight'!$A$5:$A$1749,0)),"")</f>
        <v>2.2229999999999999</v>
      </c>
      <c r="L274" s="195">
        <f t="shared" si="41"/>
        <v>1.7761999999999998</v>
      </c>
      <c r="M274" s="240">
        <f>AVERAGE(Ashed_controlls!$K$1:$K$11)</f>
        <v>5.5147656768714146</v>
      </c>
      <c r="N274" s="195">
        <f t="shared" si="36"/>
        <v>1.6782467320474097</v>
      </c>
      <c r="O274" s="195">
        <f t="shared" si="42"/>
        <v>1.9731999999999998</v>
      </c>
      <c r="P274" s="240">
        <f>AVERAGE(Ashed_controlls!$K$12:$K$14)</f>
        <v>2.2816647271287041</v>
      </c>
      <c r="Q274" s="195">
        <f t="shared" si="37"/>
        <v>1.9281781916042962</v>
      </c>
      <c r="R274" s="16">
        <f>IF('Dry_Litterbag Placem_Collection'!G201="N.A","",'Dry_Litterbag Placem_Collection'!G201)</f>
        <v>43004</v>
      </c>
      <c r="S274" s="195">
        <f>IF(IFERROR(INDEX('Both teabags AfterDry'!$D$1:$D$839,MATCH(H274,'Both teabags AfterDry'!$A$1:$A$839,0)),"")="N.A","",(IFERROR(INDEX('Both teabags AfterDry'!$D$1:$D$839,MATCH(H274,'Both teabags AfterDry'!$A$1:$A$839,0)),"")))</f>
        <v>0.53049999999999997</v>
      </c>
      <c r="T274" s="195">
        <f>IF(IFERROR(INDEX('Both teabags AfterDry'!$D$1:$D$839,MATCH(I274,'Both teabags AfterDry'!$A$1:$A$839,0)),"")="N.A","",(IFERROR(INDEX('Both teabags AfterDry'!$D$1:$D$839,MATCH(I274,'Both teabags AfterDry'!$A$1:$A$839,0)),"")))</f>
        <v>1.5642</v>
      </c>
      <c r="U274" s="195">
        <f t="shared" si="43"/>
        <v>0.37989999999999996</v>
      </c>
      <c r="V274" s="195">
        <f t="shared" si="43"/>
        <v>1.4136</v>
      </c>
      <c r="W274" s="195">
        <f>IFERROR(INDEX('Ashed teabags dry'!$K$2:$K$821,MATCH(H274,'Ashed teabags dry'!$A$2:$A$821,0)),"")</f>
        <v>22.616075886170179</v>
      </c>
      <c r="X274" s="195">
        <f>IFERROR(INDEX('Ashed teabags dry'!$K$2:$K$821,MATCH(I274,'Ashed teabags dry'!$A$2:$A$821,0)),"")</f>
        <v>3.4327009936770145</v>
      </c>
      <c r="Y274" s="195">
        <f t="shared" si="38"/>
        <v>0.29398152770843944</v>
      </c>
      <c r="Z274" s="195">
        <f t="shared" si="38"/>
        <v>1.3650753387533816</v>
      </c>
      <c r="AA274" s="195">
        <f t="shared" si="44"/>
        <v>0.82482818402405533</v>
      </c>
      <c r="AB274" s="195">
        <f t="shared" si="45"/>
        <v>0.5407424674361978</v>
      </c>
      <c r="AC274" s="195">
        <f t="shared" si="39"/>
        <v>0.70796119606435448</v>
      </c>
      <c r="AD274">
        <f t="shared" si="40"/>
        <v>62</v>
      </c>
      <c r="AE274" s="195">
        <f t="shared" si="46"/>
        <v>2.039408073152571E-2</v>
      </c>
      <c r="AF274" s="195">
        <f t="shared" si="47"/>
        <v>1.2527113767560114E-2</v>
      </c>
      <c r="AG274" s="255" t="str">
        <f>IF(ISNUMBER(SEARCH("C", 'Dry_Litterbag Placem_Collection'!AB201)),"YES","NO")</f>
        <v>NO</v>
      </c>
      <c r="AH274" s="255" t="str">
        <f>IF(ISNUMBER(SEARCH("H", 'Dry_Litterbag Placem_Collection'!AB201)),"YES","NO")</f>
        <v>NO</v>
      </c>
      <c r="AI274" s="255" t="str">
        <f>IF(ISNUMBER(SEARCH("R", 'Dry_Litterbag Placem_Collection'!AB201)),"YES","NO")</f>
        <v>NO</v>
      </c>
      <c r="AJ274" s="255" t="str">
        <f>IF(ISNUMBER(SEARCH("C", 'Dry_Litterbag Placem_Collection'!AA201)),"YES","NO")</f>
        <v>NO</v>
      </c>
      <c r="AK274" s="255" t="str">
        <f>IF(ISNUMBER(SEARCH("H", 'Dry_Litterbag Placem_Collection'!AA201)),"YES","NO")</f>
        <v>NO</v>
      </c>
      <c r="AL274" s="255" t="str">
        <f>IF(ISNUMBER(SEARCH("R", 'Dry_Litterbag Placem_Collection'!AA201)),"YES","NO")</f>
        <v>NO</v>
      </c>
      <c r="AR274" t="s">
        <v>1826</v>
      </c>
      <c r="AT274" t="s">
        <v>814</v>
      </c>
    </row>
    <row r="275" spans="2:46">
      <c r="B275" t="str">
        <f>'Final data_for_R_analysis_Dryse'!A201</f>
        <v>Dry</v>
      </c>
      <c r="C275" s="263">
        <f>'Final data_for_R_analysis_Dryse'!B201</f>
        <v>200</v>
      </c>
      <c r="D275" t="s">
        <v>2446</v>
      </c>
      <c r="E275" t="s">
        <v>22</v>
      </c>
      <c r="F275" s="387">
        <v>4</v>
      </c>
      <c r="G275" s="16">
        <f>'Dry_Litterbag Placem_Collection'!E202</f>
        <v>42942</v>
      </c>
      <c r="H275" t="str">
        <f>'Final data_for_R_analysis_Dryse'!J201</f>
        <v>G158</v>
      </c>
      <c r="I275" t="str">
        <f>'Final data_for_R_analysis_Dryse'!J421</f>
        <v>R75</v>
      </c>
      <c r="J275">
        <f>IFERROR(INDEX('Green_rooibos initial weight'!$C$5:$C$1749,MATCH(H275, 'Green_rooibos initial weight'!$A$5:$A$1749,0)),"")</f>
        <v>2.0609999999999999</v>
      </c>
      <c r="K275">
        <f>IFERROR(INDEX('Green_rooibos initial weight'!$C$5:$C$1749,MATCH(I275, 'Green_rooibos initial weight'!$A$5:$A$1749,0)),"")</f>
        <v>2.1819999999999999</v>
      </c>
      <c r="L275" s="195">
        <f t="shared" si="41"/>
        <v>1.8111999999999999</v>
      </c>
      <c r="M275" s="240">
        <f>AVERAGE(Ashed_controlls!$K$1:$K$11)</f>
        <v>5.5147656768714146</v>
      </c>
      <c r="N275" s="195">
        <f t="shared" si="36"/>
        <v>1.7113165640605048</v>
      </c>
      <c r="O275" s="195">
        <f t="shared" si="42"/>
        <v>1.9321999999999999</v>
      </c>
      <c r="P275" s="240">
        <f>AVERAGE(Ashed_controlls!$K$12:$K$14)</f>
        <v>2.2816647271287041</v>
      </c>
      <c r="Q275" s="195">
        <f t="shared" si="37"/>
        <v>1.8881136741424192</v>
      </c>
      <c r="R275" s="16">
        <f>IF('Dry_Litterbag Placem_Collection'!G202="N.A","",'Dry_Litterbag Placem_Collection'!G202)</f>
        <v>43004</v>
      </c>
      <c r="S275" s="195">
        <f>IF(IFERROR(INDEX('Both teabags AfterDry'!$D$1:$D$839,MATCH(H275,'Both teabags AfterDry'!$A$1:$A$839,0)),"")="N.A","",(IFERROR(INDEX('Both teabags AfterDry'!$D$1:$D$839,MATCH(H275,'Both teabags AfterDry'!$A$1:$A$839,0)),"")))</f>
        <v>0.71050000000000002</v>
      </c>
      <c r="T275" s="195">
        <f>IF(IFERROR(INDEX('Both teabags AfterDry'!$D$1:$D$839,MATCH(I275,'Both teabags AfterDry'!$A$1:$A$839,0)),"")="N.A","",(IFERROR(INDEX('Both teabags AfterDry'!$D$1:$D$839,MATCH(I275,'Both teabags AfterDry'!$A$1:$A$839,0)),"")))</f>
        <v>0.1565</v>
      </c>
      <c r="U275" s="195">
        <f t="shared" si="43"/>
        <v>0.55990000000000006</v>
      </c>
      <c r="V275" s="195">
        <f t="shared" si="43"/>
        <v>5.8999999999999886E-3</v>
      </c>
      <c r="W275" s="195">
        <f>IFERROR(INDEX('Ashed teabags dry'!$K$2:$K$821,MATCH(H275,'Ashed teabags dry'!$A$2:$A$821,0)),"")</f>
        <v>21.295855169128785</v>
      </c>
      <c r="X275" s="195">
        <f>IFERROR(INDEX('Ashed teabags dry'!$K$2:$K$821,MATCH(I275,'Ashed teabags dry'!$A$2:$A$821,0)),"")</f>
        <v>0</v>
      </c>
      <c r="Y275" s="195">
        <f t="shared" si="38"/>
        <v>0.44066450690804798</v>
      </c>
      <c r="Z275" s="195">
        <f t="shared" si="38"/>
        <v>5.8999999999999886E-3</v>
      </c>
      <c r="AA275" s="195">
        <f t="shared" si="44"/>
        <v>0.74249971269928761</v>
      </c>
      <c r="AB275" s="195">
        <f t="shared" si="45"/>
        <v>0.48676940785036438</v>
      </c>
      <c r="AC275" s="195">
        <f t="shared" si="39"/>
        <v>3.1248118589468758E-3</v>
      </c>
      <c r="AD275">
        <f t="shared" si="40"/>
        <v>62</v>
      </c>
      <c r="AE275" s="195">
        <f t="shared" si="46"/>
        <v>0.11817136258991967</v>
      </c>
      <c r="AF275" s="195" t="str">
        <f t="shared" si="47"/>
        <v/>
      </c>
      <c r="AG275" s="255" t="str">
        <f>IF(ISNUMBER(SEARCH("C", 'Dry_Litterbag Placem_Collection'!AB202)),"YES","NO")</f>
        <v>NO</v>
      </c>
      <c r="AH275" s="255" t="str">
        <f>IF(ISNUMBER(SEARCH("H", 'Dry_Litterbag Placem_Collection'!AB202)),"YES","NO")</f>
        <v>NO</v>
      </c>
      <c r="AI275" s="255" t="str">
        <f>IF(ISNUMBER(SEARCH("R", 'Dry_Litterbag Placem_Collection'!AB202)),"YES","NO")</f>
        <v>NO</v>
      </c>
      <c r="AJ275" s="255" t="str">
        <f>IF(ISNUMBER(SEARCH("C", 'Dry_Litterbag Placem_Collection'!AA202)),"YES","NO")</f>
        <v>NO</v>
      </c>
      <c r="AK275" s="255" t="str">
        <f>IF(ISNUMBER(SEARCH("H", 'Dry_Litterbag Placem_Collection'!AA202)),"YES","NO")</f>
        <v>NO</v>
      </c>
      <c r="AL275" s="255" t="str">
        <f>IF(ISNUMBER(SEARCH("R", 'Dry_Litterbag Placem_Collection'!AA202)),"YES","NO")</f>
        <v>NO</v>
      </c>
      <c r="AR275" t="s">
        <v>1892</v>
      </c>
      <c r="AT275" t="s">
        <v>1066</v>
      </c>
    </row>
    <row r="276" spans="2:46">
      <c r="B276" t="str">
        <f>'Final data_for_R_analysis_Dryse'!A202</f>
        <v>Dry</v>
      </c>
      <c r="C276" s="263">
        <f>'Final data_for_R_analysis_Dryse'!B202</f>
        <v>201</v>
      </c>
      <c r="D276" t="s">
        <v>2447</v>
      </c>
      <c r="E276" t="s">
        <v>22</v>
      </c>
      <c r="F276" s="387">
        <v>1</v>
      </c>
      <c r="G276" s="16">
        <f>'Dry_Litterbag Placem_Collection'!E203</f>
        <v>42942</v>
      </c>
      <c r="H276" t="str">
        <f>'Final data_for_R_analysis_Dryse'!J202</f>
        <v>G211</v>
      </c>
      <c r="I276" t="str">
        <f>'Final data_for_R_analysis_Dryse'!J422</f>
        <v>R36</v>
      </c>
      <c r="J276">
        <f>IFERROR(INDEX('Green_rooibos initial weight'!$C$5:$C$1749,MATCH(H276, 'Green_rooibos initial weight'!$A$5:$A$1749,0)),"")</f>
        <v>2.06</v>
      </c>
      <c r="K276">
        <f>IFERROR(INDEX('Green_rooibos initial weight'!$C$5:$C$1749,MATCH(I276, 'Green_rooibos initial weight'!$A$5:$A$1749,0)),"")</f>
        <v>2.298</v>
      </c>
      <c r="L276" s="195">
        <f t="shared" si="41"/>
        <v>1.8102</v>
      </c>
      <c r="M276" s="240">
        <f>AVERAGE(Ashed_controlls!$K$1:$K$11)</f>
        <v>5.5147656768714146</v>
      </c>
      <c r="N276" s="195">
        <f t="shared" si="36"/>
        <v>1.7103717117172736</v>
      </c>
      <c r="O276" s="195">
        <f t="shared" si="42"/>
        <v>2.0482</v>
      </c>
      <c r="P276" s="240">
        <f>AVERAGE(Ashed_controlls!$K$12:$K$14)</f>
        <v>2.2816647271287041</v>
      </c>
      <c r="Q276" s="195">
        <f t="shared" si="37"/>
        <v>2.0014669430589498</v>
      </c>
      <c r="R276" s="16">
        <f>IF('Dry_Litterbag Placem_Collection'!G203="N.A","",'Dry_Litterbag Placem_Collection'!G203)</f>
        <v>43004</v>
      </c>
      <c r="S276" s="195">
        <f>IF(IFERROR(INDEX('Both teabags AfterDry'!$D$1:$D$839,MATCH(H276,'Both teabags AfterDry'!$A$1:$A$839,0)),"")="N.A","",(IFERROR(INDEX('Both teabags AfterDry'!$D$1:$D$839,MATCH(H276,'Both teabags AfterDry'!$A$1:$A$839,0)),"")))</f>
        <v>0.67300000000000004</v>
      </c>
      <c r="T276" s="195">
        <f>IF(IFERROR(INDEX('Both teabags AfterDry'!$D$1:$D$839,MATCH(I276,'Both teabags AfterDry'!$A$1:$A$839,0)),"")="N.A","",(IFERROR(INDEX('Both teabags AfterDry'!$D$1:$D$839,MATCH(I276,'Both teabags AfterDry'!$A$1:$A$839,0)),"")))</f>
        <v>1.968</v>
      </c>
      <c r="U276" s="195">
        <f t="shared" si="43"/>
        <v>0.52239999999999998</v>
      </c>
      <c r="V276" s="195">
        <f t="shared" si="43"/>
        <v>1.8173999999999999</v>
      </c>
      <c r="W276" s="195">
        <f>IFERROR(INDEX('Ashed teabags dry'!$K$2:$K$821,MATCH(H276,'Ashed teabags dry'!$A$2:$A$821,0)),"")</f>
        <v>67.294685990337157</v>
      </c>
      <c r="X276" s="195">
        <f>IFERROR(INDEX('Ashed teabags dry'!$K$2:$K$821,MATCH(I276,'Ashed teabags dry'!$A$2:$A$821,0)),"")</f>
        <v>10.068426197458811</v>
      </c>
      <c r="Y276" s="195">
        <f t="shared" si="38"/>
        <v>0.17085256038647867</v>
      </c>
      <c r="Z276" s="195">
        <f t="shared" si="38"/>
        <v>1.6344164222873836</v>
      </c>
      <c r="AA276" s="195">
        <f t="shared" si="44"/>
        <v>0.90010793606090655</v>
      </c>
      <c r="AB276" s="195">
        <f t="shared" si="45"/>
        <v>0.59009451390216205</v>
      </c>
      <c r="AC276" s="195">
        <f t="shared" si="39"/>
        <v>0.81660925150700558</v>
      </c>
      <c r="AD276">
        <f t="shared" si="40"/>
        <v>62</v>
      </c>
      <c r="AE276" s="195">
        <f t="shared" si="46"/>
        <v>-6.9011800547394975E-2</v>
      </c>
      <c r="AF276" s="195">
        <f t="shared" si="47"/>
        <v>6.0031878356522203E-3</v>
      </c>
      <c r="AG276" s="255" t="str">
        <f>IF(ISNUMBER(SEARCH("C", 'Dry_Litterbag Placem_Collection'!AB203)),"YES","NO")</f>
        <v>NO</v>
      </c>
      <c r="AH276" s="255" t="str">
        <f>IF(ISNUMBER(SEARCH("H", 'Dry_Litterbag Placem_Collection'!AB203)),"YES","NO")</f>
        <v>NO</v>
      </c>
      <c r="AI276" s="255" t="str">
        <f>IF(ISNUMBER(SEARCH("R", 'Dry_Litterbag Placem_Collection'!AB203)),"YES","NO")</f>
        <v>NO</v>
      </c>
      <c r="AJ276" s="255" t="str">
        <f>IF(ISNUMBER(SEARCH("C", 'Dry_Litterbag Placem_Collection'!AA203)),"YES","NO")</f>
        <v>NO</v>
      </c>
      <c r="AK276" s="255" t="str">
        <f>IF(ISNUMBER(SEARCH("H", 'Dry_Litterbag Placem_Collection'!AA203)),"YES","NO")</f>
        <v>NO</v>
      </c>
      <c r="AL276" s="255" t="str">
        <f>IF(ISNUMBER(SEARCH("R", 'Dry_Litterbag Placem_Collection'!AA203)),"YES","NO")</f>
        <v>NO</v>
      </c>
      <c r="AR276" t="s">
        <v>1839</v>
      </c>
      <c r="AT276" t="s">
        <v>1105</v>
      </c>
    </row>
    <row r="277" spans="2:46">
      <c r="B277" t="str">
        <f>'Final data_for_R_analysis_Dryse'!A203</f>
        <v>Dry</v>
      </c>
      <c r="C277" s="263">
        <f>'Final data_for_R_analysis_Dryse'!B203</f>
        <v>202</v>
      </c>
      <c r="D277" t="s">
        <v>2424</v>
      </c>
      <c r="E277" t="s">
        <v>22</v>
      </c>
      <c r="F277" s="387">
        <v>2</v>
      </c>
      <c r="G277" s="16">
        <f>'Dry_Litterbag Placem_Collection'!E204</f>
        <v>42942</v>
      </c>
      <c r="H277" t="str">
        <f>'Final data_for_R_analysis_Dryse'!J203</f>
        <v>G181</v>
      </c>
      <c r="I277" t="str">
        <f>'Final data_for_R_analysis_Dryse'!J423</f>
        <v>R676</v>
      </c>
      <c r="J277">
        <f>IFERROR(INDEX('Green_rooibos initial weight'!$C$5:$C$1749,MATCH(H277, 'Green_rooibos initial weight'!$A$5:$A$1749,0)),"")</f>
        <v>1.7629999999999999</v>
      </c>
      <c r="K277">
        <f>IFERROR(INDEX('Green_rooibos initial weight'!$C$5:$C$1749,MATCH(I277, 'Green_rooibos initial weight'!$A$5:$A$1749,0)),"")</f>
        <v>2.1459999999999999</v>
      </c>
      <c r="L277" s="195">
        <f t="shared" si="41"/>
        <v>1.5131999999999999</v>
      </c>
      <c r="M277" s="240">
        <f>AVERAGE(Ashed_controlls!$K$1:$K$11)</f>
        <v>5.5147656768714146</v>
      </c>
      <c r="N277" s="195">
        <f t="shared" si="36"/>
        <v>1.4297505657775815</v>
      </c>
      <c r="O277" s="195">
        <f t="shared" si="42"/>
        <v>1.8961999999999999</v>
      </c>
      <c r="P277" s="240">
        <f>AVERAGE(Ashed_controlls!$K$12:$K$14)</f>
        <v>2.2816647271287041</v>
      </c>
      <c r="Q277" s="195">
        <f t="shared" si="37"/>
        <v>1.8529350734441854</v>
      </c>
      <c r="R277" s="16">
        <f>IF('Dry_Litterbag Placem_Collection'!G204="N.A","",'Dry_Litterbag Placem_Collection'!G204)</f>
        <v>43004</v>
      </c>
      <c r="S277" s="195">
        <f>IF(IFERROR(INDEX('Both teabags AfterDry'!$D$1:$D$839,MATCH(H277,'Both teabags AfterDry'!$A$1:$A$839,0)),"")="N.A","",(IFERROR(INDEX('Both teabags AfterDry'!$D$1:$D$839,MATCH(H277,'Both teabags AfterDry'!$A$1:$A$839,0)),"")))</f>
        <v>0.80740000000000001</v>
      </c>
      <c r="T277" s="195">
        <f>IF(IFERROR(INDEX('Both teabags AfterDry'!$D$1:$D$839,MATCH(I277,'Both teabags AfterDry'!$A$1:$A$839,0)),"")="N.A","",(IFERROR(INDEX('Both teabags AfterDry'!$D$1:$D$839,MATCH(I277,'Both teabags AfterDry'!$A$1:$A$839,0)),"")))</f>
        <v>1.6712</v>
      </c>
      <c r="U277" s="195">
        <f t="shared" si="43"/>
        <v>0.65680000000000005</v>
      </c>
      <c r="V277" s="195">
        <f t="shared" si="43"/>
        <v>1.5206</v>
      </c>
      <c r="W277" s="195">
        <f>IFERROR(INDEX('Ashed teabags dry'!$K$2:$K$821,MATCH(H277,'Ashed teabags dry'!$A$2:$A$821,0)),"")</f>
        <v>30.530575539568105</v>
      </c>
      <c r="X277" s="195">
        <f>IFERROR(INDEX('Ashed teabags dry'!$K$2:$K$821,MATCH(I277,'Ashed teabags dry'!$A$2:$A$821,0)),"")</f>
        <v>11.369253583786671</v>
      </c>
      <c r="Y277" s="195">
        <f t="shared" si="38"/>
        <v>0.45627517985611671</v>
      </c>
      <c r="Z277" s="195">
        <f t="shared" si="38"/>
        <v>1.3477191300049398</v>
      </c>
      <c r="AA277" s="195">
        <f t="shared" si="44"/>
        <v>0.68087078209480012</v>
      </c>
      <c r="AB277" s="195">
        <f t="shared" si="45"/>
        <v>0.44636659348732743</v>
      </c>
      <c r="AC277" s="195">
        <f t="shared" si="39"/>
        <v>0.72734287850671209</v>
      </c>
      <c r="AD277">
        <f t="shared" si="40"/>
        <v>62</v>
      </c>
      <c r="AE277" s="195">
        <f t="shared" si="46"/>
        <v>0.19136486687078369</v>
      </c>
      <c r="AF277" s="195">
        <f t="shared" si="47"/>
        <v>1.522187694133415E-2</v>
      </c>
      <c r="AG277" s="255" t="str">
        <f>IF(ISNUMBER(SEARCH("C", 'Dry_Litterbag Placem_Collection'!AB204)),"YES","NO")</f>
        <v>NO</v>
      </c>
      <c r="AH277" s="255" t="str">
        <f>IF(ISNUMBER(SEARCH("H", 'Dry_Litterbag Placem_Collection'!AB204)),"YES","NO")</f>
        <v>NO</v>
      </c>
      <c r="AI277" s="255" t="str">
        <f>IF(ISNUMBER(SEARCH("R", 'Dry_Litterbag Placem_Collection'!AB204)),"YES","NO")</f>
        <v>NO</v>
      </c>
      <c r="AJ277" s="255" t="str">
        <f>IF(ISNUMBER(SEARCH("C", 'Dry_Litterbag Placem_Collection'!AA204)),"YES","NO")</f>
        <v>NO</v>
      </c>
      <c r="AK277" s="255" t="str">
        <f>IF(ISNUMBER(SEARCH("H", 'Dry_Litterbag Placem_Collection'!AA204)),"YES","NO")</f>
        <v>NO</v>
      </c>
      <c r="AL277" s="255" t="str">
        <f>IF(ISNUMBER(SEARCH("R", 'Dry_Litterbag Placem_Collection'!AA204)),"YES","NO")</f>
        <v>NO</v>
      </c>
      <c r="AR277" t="s">
        <v>1869</v>
      </c>
      <c r="AT277" t="s">
        <v>463</v>
      </c>
    </row>
    <row r="278" spans="2:46">
      <c r="B278" t="str">
        <f>'Final data_for_R_analysis_Dryse'!A204</f>
        <v>Dry</v>
      </c>
      <c r="C278" s="263">
        <f>'Final data_for_R_analysis_Dryse'!B204</f>
        <v>203</v>
      </c>
      <c r="D278" t="s">
        <v>2433</v>
      </c>
      <c r="E278" t="s">
        <v>22</v>
      </c>
      <c r="F278" s="387">
        <v>3</v>
      </c>
      <c r="G278" s="16">
        <f>'Dry_Litterbag Placem_Collection'!E205</f>
        <v>42942</v>
      </c>
      <c r="H278" t="str">
        <f>'Final data_for_R_analysis_Dryse'!J204</f>
        <v>G179</v>
      </c>
      <c r="I278" t="str">
        <f>'Final data_for_R_analysis_Dryse'!J424</f>
        <v>R685</v>
      </c>
      <c r="J278">
        <f>IFERROR(INDEX('Green_rooibos initial weight'!$C$5:$C$1749,MATCH(H278, 'Green_rooibos initial weight'!$A$5:$A$1749,0)),"")</f>
        <v>1.9750000000000001</v>
      </c>
      <c r="K278">
        <f>IFERROR(INDEX('Green_rooibos initial weight'!$C$5:$C$1749,MATCH(I278, 'Green_rooibos initial weight'!$A$5:$A$1749,0)),"")</f>
        <v>2.1629999999999998</v>
      </c>
      <c r="L278" s="195">
        <f t="shared" si="41"/>
        <v>1.7252000000000001</v>
      </c>
      <c r="M278" s="240">
        <f>AVERAGE(Ashed_controlls!$K$1:$K$11)</f>
        <v>5.5147656768714146</v>
      </c>
      <c r="N278" s="195">
        <f t="shared" si="36"/>
        <v>1.6300592625426145</v>
      </c>
      <c r="O278" s="195">
        <f t="shared" si="42"/>
        <v>1.9131999999999998</v>
      </c>
      <c r="P278" s="240">
        <f>AVERAGE(Ashed_controlls!$K$12:$K$14)</f>
        <v>2.2816647271287041</v>
      </c>
      <c r="Q278" s="195">
        <f t="shared" si="37"/>
        <v>1.8695471904405734</v>
      </c>
      <c r="R278" s="16">
        <f>IF('Dry_Litterbag Placem_Collection'!G205="N.A","",'Dry_Litterbag Placem_Collection'!G205)</f>
        <v>43004</v>
      </c>
      <c r="S278" s="195">
        <f>IF(IFERROR(INDEX('Both teabags AfterDry'!$D$1:$D$839,MATCH(H278,'Both teabags AfterDry'!$A$1:$A$839,0)),"")="N.A","",(IFERROR(INDEX('Both teabags AfterDry'!$D$1:$D$839,MATCH(H278,'Both teabags AfterDry'!$A$1:$A$839,0)),"")))</f>
        <v>0.59770000000000001</v>
      </c>
      <c r="T278" s="195">
        <f>IF(IFERROR(INDEX('Both teabags AfterDry'!$D$1:$D$839,MATCH(I278,'Both teabags AfterDry'!$A$1:$A$839,0)),"")="N.A","",(IFERROR(INDEX('Both teabags AfterDry'!$D$1:$D$839,MATCH(I278,'Both teabags AfterDry'!$A$1:$A$839,0)),"")))</f>
        <v>1.7919</v>
      </c>
      <c r="U278" s="195">
        <f t="shared" si="43"/>
        <v>0.4471</v>
      </c>
      <c r="V278" s="195">
        <f t="shared" si="43"/>
        <v>1.6413</v>
      </c>
      <c r="W278" s="195">
        <f>IFERROR(INDEX('Ashed teabags dry'!$K$2:$K$821,MATCH(H278,'Ashed teabags dry'!$A$2:$A$821,0)),"")</f>
        <v>24.558823529410816</v>
      </c>
      <c r="X278" s="195">
        <f>IFERROR(INDEX('Ashed teabags dry'!$K$2:$K$821,MATCH(I278,'Ashed teabags dry'!$A$2:$A$821,0)),"")</f>
        <v>7.1924603174607373</v>
      </c>
      <c r="Y278" s="195">
        <f t="shared" si="38"/>
        <v>0.33729750000000425</v>
      </c>
      <c r="Z278" s="195">
        <f t="shared" si="38"/>
        <v>1.5232501488095169</v>
      </c>
      <c r="AA278" s="195">
        <f t="shared" si="44"/>
        <v>0.79307654160139085</v>
      </c>
      <c r="AB278" s="195">
        <f t="shared" si="45"/>
        <v>0.51992666385269337</v>
      </c>
      <c r="AC278" s="195">
        <f t="shared" si="39"/>
        <v>0.81476956377364895</v>
      </c>
      <c r="AD278">
        <f t="shared" si="40"/>
        <v>62</v>
      </c>
      <c r="AE278" s="195">
        <f t="shared" si="46"/>
        <v>5.8103869832077382E-2</v>
      </c>
      <c r="AF278" s="195">
        <f t="shared" si="47"/>
        <v>7.104265053768123E-3</v>
      </c>
      <c r="AG278" s="255" t="str">
        <f>IF(ISNUMBER(SEARCH("C", 'Dry_Litterbag Placem_Collection'!AB205)),"YES","NO")</f>
        <v>NO</v>
      </c>
      <c r="AH278" s="255" t="str">
        <f>IF(ISNUMBER(SEARCH("H", 'Dry_Litterbag Placem_Collection'!AB205)),"YES","NO")</f>
        <v>NO</v>
      </c>
      <c r="AI278" s="255" t="str">
        <f>IF(ISNUMBER(SEARCH("R", 'Dry_Litterbag Placem_Collection'!AB205)),"YES","NO")</f>
        <v>NO</v>
      </c>
      <c r="AJ278" s="255" t="str">
        <f>IF(ISNUMBER(SEARCH("C", 'Dry_Litterbag Placem_Collection'!AA205)),"YES","NO")</f>
        <v>NO</v>
      </c>
      <c r="AK278" s="255" t="str">
        <f>IF(ISNUMBER(SEARCH("H", 'Dry_Litterbag Placem_Collection'!AA205)),"YES","NO")</f>
        <v>NO</v>
      </c>
      <c r="AL278" s="255" t="str">
        <f>IF(ISNUMBER(SEARCH("R", 'Dry_Litterbag Placem_Collection'!AA205)),"YES","NO")</f>
        <v>NO</v>
      </c>
      <c r="AR278" t="s">
        <v>1871</v>
      </c>
      <c r="AT278" t="s">
        <v>454</v>
      </c>
    </row>
    <row r="279" spans="2:46">
      <c r="B279" t="str">
        <f>'Final data_for_R_analysis_Dryse'!A205</f>
        <v>Dry</v>
      </c>
      <c r="C279" s="263">
        <f>'Final data_for_R_analysis_Dryse'!B205</f>
        <v>204</v>
      </c>
      <c r="D279" t="s">
        <v>2440</v>
      </c>
      <c r="E279" t="s">
        <v>22</v>
      </c>
      <c r="F279" s="387">
        <v>4</v>
      </c>
      <c r="G279" s="16">
        <f>'Dry_Litterbag Placem_Collection'!E206</f>
        <v>42942</v>
      </c>
      <c r="H279" t="str">
        <f>'Final data_for_R_analysis_Dryse'!J205</f>
        <v>G248</v>
      </c>
      <c r="I279" t="str">
        <f>'Final data_for_R_analysis_Dryse'!J425</f>
        <v>R254</v>
      </c>
      <c r="J279">
        <f>IFERROR(INDEX('Green_rooibos initial weight'!$C$5:$C$1749,MATCH(H279, 'Green_rooibos initial weight'!$A$5:$A$1749,0)),"")</f>
        <v>1.9950000000000001</v>
      </c>
      <c r="K279">
        <f>IFERROR(INDEX('Green_rooibos initial weight'!$C$5:$C$1749,MATCH(I279, 'Green_rooibos initial weight'!$A$5:$A$1749,0)),"")</f>
        <v>2.266</v>
      </c>
      <c r="L279" s="195">
        <f t="shared" si="41"/>
        <v>1.7452000000000001</v>
      </c>
      <c r="M279" s="240">
        <f>AVERAGE(Ashed_controlls!$K$1:$K$11)</f>
        <v>5.5147656768714146</v>
      </c>
      <c r="N279" s="195">
        <f t="shared" si="36"/>
        <v>1.6489563094072401</v>
      </c>
      <c r="O279" s="195">
        <f t="shared" si="42"/>
        <v>2.0162</v>
      </c>
      <c r="P279" s="240">
        <f>AVERAGE(Ashed_controlls!$K$12:$K$14)</f>
        <v>2.2816647271287041</v>
      </c>
      <c r="Q279" s="195">
        <f t="shared" si="37"/>
        <v>1.9701970757716312</v>
      </c>
      <c r="R279" s="16">
        <f>IF('Dry_Litterbag Placem_Collection'!G206="N.A","",'Dry_Litterbag Placem_Collection'!G206)</f>
        <v>43004</v>
      </c>
      <c r="S279" s="195">
        <f>IF(IFERROR(INDEX('Both teabags AfterDry'!$D$1:$D$839,MATCH(H279,'Both teabags AfterDry'!$A$1:$A$839,0)),"")="N.A","",(IFERROR(INDEX('Both teabags AfterDry'!$D$1:$D$839,MATCH(H279,'Both teabags AfterDry'!$A$1:$A$839,0)),"")))</f>
        <v>1.7124999999999999</v>
      </c>
      <c r="T279" s="195">
        <f>IF(IFERROR(INDEX('Both teabags AfterDry'!$D$1:$D$839,MATCH(I279,'Both teabags AfterDry'!$A$1:$A$839,0)),"")="N.A","",(IFERROR(INDEX('Both teabags AfterDry'!$D$1:$D$839,MATCH(I279,'Both teabags AfterDry'!$A$1:$A$839,0)),"")))</f>
        <v>1.8010999999999999</v>
      </c>
      <c r="U279" s="195">
        <f t="shared" si="43"/>
        <v>1.5618999999999998</v>
      </c>
      <c r="V279" s="195">
        <f t="shared" si="43"/>
        <v>1.6504999999999999</v>
      </c>
      <c r="W279" s="195">
        <f>IFERROR(INDEX('Ashed teabags dry'!$K$2:$K$821,MATCH(H279,'Ashed teabags dry'!$A$2:$A$821,0)),"")</f>
        <v>13.375486381322672</v>
      </c>
      <c r="X279" s="195">
        <f>IFERROR(INDEX('Ashed teabags dry'!$K$2:$K$821,MATCH(I279,'Ashed teabags dry'!$A$2:$A$821,0)),"")</f>
        <v>6.0425953442297144</v>
      </c>
      <c r="Y279" s="195">
        <f t="shared" si="38"/>
        <v>1.352988278210121</v>
      </c>
      <c r="Z279" s="195">
        <f t="shared" si="38"/>
        <v>1.5507669638434884</v>
      </c>
      <c r="AA279" s="195">
        <f t="shared" si="44"/>
        <v>0.1794880977189216</v>
      </c>
      <c r="AB279" s="195">
        <f t="shared" si="45"/>
        <v>0.11766915669934055</v>
      </c>
      <c r="AC279" s="195">
        <f t="shared" si="39"/>
        <v>0.78711261066922855</v>
      </c>
      <c r="AD279">
        <f t="shared" si="40"/>
        <v>62</v>
      </c>
      <c r="AE279" s="195">
        <f t="shared" si="46"/>
        <v>0.7868312378635135</v>
      </c>
      <c r="AF279" s="195" t="str">
        <f t="shared" si="47"/>
        <v/>
      </c>
      <c r="AG279" s="255" t="str">
        <f>IF(ISNUMBER(SEARCH("C", 'Dry_Litterbag Placem_Collection'!AB206)),"YES","NO")</f>
        <v>NO</v>
      </c>
      <c r="AH279" s="255" t="str">
        <f>IF(ISNUMBER(SEARCH("H", 'Dry_Litterbag Placem_Collection'!AB206)),"YES","NO")</f>
        <v>NO</v>
      </c>
      <c r="AI279" s="255" t="str">
        <f>IF(ISNUMBER(SEARCH("R", 'Dry_Litterbag Placem_Collection'!AB206)),"YES","NO")</f>
        <v>NO</v>
      </c>
      <c r="AJ279" s="255" t="str">
        <f>IF(ISNUMBER(SEARCH("C", 'Dry_Litterbag Placem_Collection'!AA206)),"YES","NO")</f>
        <v>NO</v>
      </c>
      <c r="AK279" s="255" t="str">
        <f>IF(ISNUMBER(SEARCH("H", 'Dry_Litterbag Placem_Collection'!AA206)),"YES","NO")</f>
        <v>NO</v>
      </c>
      <c r="AL279" s="255" t="str">
        <f>IF(ISNUMBER(SEARCH("R", 'Dry_Litterbag Placem_Collection'!AA206)),"YES","NO")</f>
        <v>NO</v>
      </c>
      <c r="AR279" t="s">
        <v>1802</v>
      </c>
      <c r="AT279" t="s">
        <v>887</v>
      </c>
    </row>
    <row r="280" spans="2:46">
      <c r="B280" t="str">
        <f>'Final data_for_R_analysis_Dryse'!A206</f>
        <v>Dry</v>
      </c>
      <c r="C280" s="263">
        <f>'Final data_for_R_analysis_Dryse'!B206</f>
        <v>205</v>
      </c>
      <c r="D280" t="s">
        <v>2434</v>
      </c>
      <c r="E280" t="s">
        <v>22</v>
      </c>
      <c r="F280" s="387">
        <v>1</v>
      </c>
      <c r="G280" s="16">
        <f>'Dry_Litterbag Placem_Collection'!E207</f>
        <v>42942</v>
      </c>
      <c r="H280" t="str">
        <f>'Final data_for_R_analysis_Dryse'!J206</f>
        <v>G55</v>
      </c>
      <c r="I280" t="str">
        <f>'Final data_for_R_analysis_Dryse'!J426</f>
        <v>R348</v>
      </c>
      <c r="J280">
        <f>IFERROR(INDEX('Green_rooibos initial weight'!$C$5:$C$1749,MATCH(H280, 'Green_rooibos initial weight'!$A$5:$A$1749,0)),"")</f>
        <v>2.024</v>
      </c>
      <c r="K280">
        <f>IFERROR(INDEX('Green_rooibos initial weight'!$C$5:$C$1749,MATCH(I280, 'Green_rooibos initial weight'!$A$5:$A$1749,0)),"")</f>
        <v>2.31</v>
      </c>
      <c r="L280" s="195">
        <f t="shared" si="41"/>
        <v>1.7742</v>
      </c>
      <c r="M280" s="240">
        <f>AVERAGE(Ashed_controlls!$K$1:$K$11)</f>
        <v>5.5147656768714146</v>
      </c>
      <c r="N280" s="195">
        <f t="shared" si="36"/>
        <v>1.6763570273609474</v>
      </c>
      <c r="O280" s="195">
        <f t="shared" si="42"/>
        <v>2.0602</v>
      </c>
      <c r="P280" s="240">
        <f>AVERAGE(Ashed_controlls!$K$12:$K$14)</f>
        <v>2.2816647271287041</v>
      </c>
      <c r="Q280" s="195">
        <f t="shared" si="37"/>
        <v>2.0131931432916943</v>
      </c>
      <c r="R280" s="16">
        <f>IF('Dry_Litterbag Placem_Collection'!G207="N.A","",'Dry_Litterbag Placem_Collection'!G207)</f>
        <v>43004</v>
      </c>
      <c r="S280" s="195">
        <f>IF(IFERROR(INDEX('Both teabags AfterDry'!$D$1:$D$839,MATCH(H280,'Both teabags AfterDry'!$A$1:$A$839,0)),"")="N.A","",(IFERROR(INDEX('Both teabags AfterDry'!$D$1:$D$839,MATCH(H280,'Both teabags AfterDry'!$A$1:$A$839,0)),"")))</f>
        <v>0.86550000000000005</v>
      </c>
      <c r="T280" s="195">
        <f>IF(IFERROR(INDEX('Both teabags AfterDry'!$D$1:$D$839,MATCH(I280,'Both teabags AfterDry'!$A$1:$A$839,0)),"")="N.A","",(IFERROR(INDEX('Both teabags AfterDry'!$D$1:$D$839,MATCH(I280,'Both teabags AfterDry'!$A$1:$A$839,0)),"")))</f>
        <v>1.7168000000000001</v>
      </c>
      <c r="U280" s="195">
        <f t="shared" si="43"/>
        <v>0.71490000000000009</v>
      </c>
      <c r="V280" s="195">
        <f t="shared" si="43"/>
        <v>1.5662</v>
      </c>
      <c r="W280" s="195">
        <f>IFERROR(INDEX('Ashed teabags dry'!$K$2:$K$821,MATCH(H280,'Ashed teabags dry'!$A$2:$A$821,0)),"")</f>
        <v>19.260700389104883</v>
      </c>
      <c r="X280" s="195">
        <f>IFERROR(INDEX('Ashed teabags dry'!$K$2:$K$821,MATCH(I280,'Ashed teabags dry'!$A$2:$A$821,0)),"")</f>
        <v>5.9891107078038743</v>
      </c>
      <c r="Y280" s="195">
        <f t="shared" si="38"/>
        <v>0.57720525291828928</v>
      </c>
      <c r="Z280" s="195">
        <f t="shared" si="38"/>
        <v>1.4723985480943758</v>
      </c>
      <c r="AA280" s="195">
        <f t="shared" si="44"/>
        <v>0.65567880618666829</v>
      </c>
      <c r="AB280" s="195">
        <f t="shared" si="45"/>
        <v>0.42985118885396784</v>
      </c>
      <c r="AC280" s="195">
        <f t="shared" si="39"/>
        <v>0.73137470838337637</v>
      </c>
      <c r="AD280">
        <f t="shared" si="40"/>
        <v>62</v>
      </c>
      <c r="AE280" s="195">
        <f t="shared" si="46"/>
        <v>0.22128407816310181</v>
      </c>
      <c r="AF280" s="195">
        <f t="shared" si="47"/>
        <v>1.5816654941156874E-2</v>
      </c>
      <c r="AG280" s="255" t="str">
        <f>IF(ISNUMBER(SEARCH("C", 'Dry_Litterbag Placem_Collection'!AB207)),"YES","NO")</f>
        <v>NO</v>
      </c>
      <c r="AH280" s="255" t="str">
        <f>IF(ISNUMBER(SEARCH("H", 'Dry_Litterbag Placem_Collection'!AB207)),"YES","NO")</f>
        <v>NO</v>
      </c>
      <c r="AI280" s="255" t="str">
        <f>IF(ISNUMBER(SEARCH("R", 'Dry_Litterbag Placem_Collection'!AB207)),"YES","NO")</f>
        <v>NO</v>
      </c>
      <c r="AJ280" s="255" t="str">
        <f>IF(ISNUMBER(SEARCH("C", 'Dry_Litterbag Placem_Collection'!AA207)),"YES","NO")</f>
        <v>NO</v>
      </c>
      <c r="AK280" s="255" t="str">
        <f>IF(ISNUMBER(SEARCH("H", 'Dry_Litterbag Placem_Collection'!AA207)),"YES","NO")</f>
        <v>NO</v>
      </c>
      <c r="AL280" s="255" t="str">
        <f>IF(ISNUMBER(SEARCH("R", 'Dry_Litterbag Placem_Collection'!AA207)),"YES","NO")</f>
        <v>NO</v>
      </c>
      <c r="AR280" t="s">
        <v>1995</v>
      </c>
      <c r="AT280" t="s">
        <v>793</v>
      </c>
    </row>
    <row r="281" spans="2:46">
      <c r="B281" t="str">
        <f>'Final data_for_R_analysis_Dryse'!A207</f>
        <v>Dry</v>
      </c>
      <c r="C281" s="263">
        <f>'Final data_for_R_analysis_Dryse'!B207</f>
        <v>206</v>
      </c>
      <c r="D281" t="s">
        <v>2425</v>
      </c>
      <c r="E281" t="s">
        <v>22</v>
      </c>
      <c r="F281" s="387">
        <v>2</v>
      </c>
      <c r="G281" s="16">
        <f>'Dry_Litterbag Placem_Collection'!E208</f>
        <v>42942</v>
      </c>
      <c r="H281" t="str">
        <f>'Final data_for_R_analysis_Dryse'!J207</f>
        <v>G124</v>
      </c>
      <c r="I281" t="str">
        <f>'Final data_for_R_analysis_Dryse'!J427</f>
        <v>R686</v>
      </c>
      <c r="J281">
        <f>IFERROR(INDEX('Green_rooibos initial weight'!$C$5:$C$1749,MATCH(H281, 'Green_rooibos initial weight'!$A$5:$A$1749,0)),"")</f>
        <v>1.9390000000000001</v>
      </c>
      <c r="K281">
        <f>IFERROR(INDEX('Green_rooibos initial weight'!$C$5:$C$1749,MATCH(I281, 'Green_rooibos initial weight'!$A$5:$A$1749,0)),"")</f>
        <v>2.1890000000000001</v>
      </c>
      <c r="L281" s="195">
        <f t="shared" si="41"/>
        <v>1.6892</v>
      </c>
      <c r="M281" s="240">
        <f>AVERAGE(Ashed_controlls!$K$1:$K$11)</f>
        <v>5.5147656768714146</v>
      </c>
      <c r="N281" s="195">
        <f t="shared" si="36"/>
        <v>1.5960445781862882</v>
      </c>
      <c r="O281" s="195">
        <f t="shared" si="42"/>
        <v>1.9392</v>
      </c>
      <c r="P281" s="240">
        <f>AVERAGE(Ashed_controlls!$K$12:$K$14)</f>
        <v>2.2816647271287041</v>
      </c>
      <c r="Q281" s="195">
        <f t="shared" si="37"/>
        <v>1.8949539576115202</v>
      </c>
      <c r="R281" s="16">
        <f>IF('Dry_Litterbag Placem_Collection'!G208="N.A","",'Dry_Litterbag Placem_Collection'!G208)</f>
        <v>43004</v>
      </c>
      <c r="S281" s="195">
        <f>IF(IFERROR(INDEX('Both teabags AfterDry'!$D$1:$D$839,MATCH(H281,'Both teabags AfterDry'!$A$1:$A$839,0)),"")="N.A","",(IFERROR(INDEX('Both teabags AfterDry'!$D$1:$D$839,MATCH(H281,'Both teabags AfterDry'!$A$1:$A$839,0)),"")))</f>
        <v>0.66969999999999996</v>
      </c>
      <c r="T281" s="195">
        <f>IF(IFERROR(INDEX('Both teabags AfterDry'!$D$1:$D$839,MATCH(I281,'Both teabags AfterDry'!$A$1:$A$839,0)),"")="N.A","",(IFERROR(INDEX('Both teabags AfterDry'!$D$1:$D$839,MATCH(I281,'Both teabags AfterDry'!$A$1:$A$839,0)),"")))</f>
        <v>3.4599000000000002</v>
      </c>
      <c r="U281" s="195">
        <f t="shared" si="43"/>
        <v>0.51909999999999989</v>
      </c>
      <c r="V281" s="195">
        <f t="shared" si="43"/>
        <v>3.3093000000000004</v>
      </c>
      <c r="W281" s="195">
        <f>IFERROR(INDEX('Ashed teabags dry'!$K$2:$K$821,MATCH(H281,'Ashed teabags dry'!$A$2:$A$821,0)),"")</f>
        <v>14.333976833976731</v>
      </c>
      <c r="X281" s="195">
        <f>IFERROR(INDEX('Ashed teabags dry'!$K$2:$K$821,MATCH(I281,'Ashed teabags dry'!$A$2:$A$821,0)),"")</f>
        <v>95.258416311047142</v>
      </c>
      <c r="Y281" s="195">
        <f t="shared" si="38"/>
        <v>0.44469232625482669</v>
      </c>
      <c r="Z281" s="195">
        <f t="shared" si="38"/>
        <v>0.1569132290185169</v>
      </c>
      <c r="AA281" s="195">
        <f t="shared" si="44"/>
        <v>0.72137850512912005</v>
      </c>
      <c r="AB281" s="195">
        <f t="shared" si="45"/>
        <v>0.47292272545281983</v>
      </c>
      <c r="AC281" s="195">
        <f t="shared" si="39"/>
        <v>8.2805826700030713E-2</v>
      </c>
      <c r="AD281">
        <f t="shared" si="40"/>
        <v>62</v>
      </c>
      <c r="AE281" s="195">
        <f t="shared" si="46"/>
        <v>0.14325593215068877</v>
      </c>
      <c r="AF281" s="195" t="str">
        <f t="shared" si="47"/>
        <v/>
      </c>
      <c r="AG281" s="255" t="str">
        <f>IF(ISNUMBER(SEARCH("C", 'Dry_Litterbag Placem_Collection'!AB208)),"YES","NO")</f>
        <v>NO</v>
      </c>
      <c r="AH281" s="255" t="str">
        <f>IF(ISNUMBER(SEARCH("H", 'Dry_Litterbag Placem_Collection'!AB208)),"YES","NO")</f>
        <v>NO</v>
      </c>
      <c r="AI281" s="255" t="str">
        <f>IF(ISNUMBER(SEARCH("R", 'Dry_Litterbag Placem_Collection'!AB208)),"YES","NO")</f>
        <v>NO</v>
      </c>
      <c r="AJ281" s="255" t="str">
        <f>IF(ISNUMBER(SEARCH("C", 'Dry_Litterbag Placem_Collection'!AA208)),"YES","NO")</f>
        <v>NO</v>
      </c>
      <c r="AK281" s="255" t="str">
        <f>IF(ISNUMBER(SEARCH("H", 'Dry_Litterbag Placem_Collection'!AA208)),"YES","NO")</f>
        <v>NO</v>
      </c>
      <c r="AL281" s="255" t="str">
        <f>IF(ISNUMBER(SEARCH("R", 'Dry_Litterbag Placem_Collection'!AA208)),"YES","NO")</f>
        <v>NO</v>
      </c>
      <c r="AR281" t="s">
        <v>1926</v>
      </c>
      <c r="AT281" t="s">
        <v>453</v>
      </c>
    </row>
    <row r="282" spans="2:46">
      <c r="B282" t="str">
        <f>'Final data_for_R_analysis_Dryse'!A208</f>
        <v>Dry</v>
      </c>
      <c r="C282" s="263">
        <f>'Final data_for_R_analysis_Dryse'!B208</f>
        <v>207</v>
      </c>
      <c r="D282" t="s">
        <v>2448</v>
      </c>
      <c r="E282" t="s">
        <v>22</v>
      </c>
      <c r="F282" s="387">
        <v>3</v>
      </c>
      <c r="G282" s="16">
        <f>'Dry_Litterbag Placem_Collection'!E209</f>
        <v>42942</v>
      </c>
      <c r="H282" t="str">
        <f>'Final data_for_R_analysis_Dryse'!J208</f>
        <v>G234</v>
      </c>
      <c r="I282" t="str">
        <f>'Final data_for_R_analysis_Dryse'!J428</f>
        <v>R551</v>
      </c>
      <c r="J282">
        <f>IFERROR(INDEX('Green_rooibos initial weight'!$C$5:$C$1749,MATCH(H282, 'Green_rooibos initial weight'!$A$5:$A$1749,0)),"")</f>
        <v>2.13</v>
      </c>
      <c r="K282">
        <f>IFERROR(INDEX('Green_rooibos initial weight'!$C$5:$C$1749,MATCH(I282, 'Green_rooibos initial weight'!$A$5:$A$1749,0)),"")</f>
        <v>2.1739999999999999</v>
      </c>
      <c r="L282" s="195">
        <f t="shared" si="41"/>
        <v>1.8801999999999999</v>
      </c>
      <c r="M282" s="240">
        <f>AVERAGE(Ashed_controlls!$K$1:$K$11)</f>
        <v>5.5147656768714146</v>
      </c>
      <c r="N282" s="195">
        <f t="shared" si="36"/>
        <v>1.7765113757434636</v>
      </c>
      <c r="O282" s="195">
        <f t="shared" si="42"/>
        <v>1.9241999999999999</v>
      </c>
      <c r="P282" s="240">
        <f>AVERAGE(Ashed_controlls!$K$12:$K$14)</f>
        <v>2.2816647271287041</v>
      </c>
      <c r="Q282" s="195">
        <f t="shared" si="37"/>
        <v>1.8802962073205893</v>
      </c>
      <c r="R282" s="16">
        <f>IF('Dry_Litterbag Placem_Collection'!G209="N.A","",'Dry_Litterbag Placem_Collection'!G209)</f>
        <v>43004</v>
      </c>
      <c r="S282" s="195">
        <f>IF(IFERROR(INDEX('Both teabags AfterDry'!$D$1:$D$839,MATCH(H282,'Both teabags AfterDry'!$A$1:$A$839,0)),"")="N.A","",(IFERROR(INDEX('Both teabags AfterDry'!$D$1:$D$839,MATCH(H282,'Both teabags AfterDry'!$A$1:$A$839,0)),"")))</f>
        <v>0.745</v>
      </c>
      <c r="T282" s="195">
        <f>IF(IFERROR(INDEX('Both teabags AfterDry'!$D$1:$D$839,MATCH(I282,'Both teabags AfterDry'!$A$1:$A$839,0)),"")="N.A","",(IFERROR(INDEX('Both teabags AfterDry'!$D$1:$D$839,MATCH(I282,'Both teabags AfterDry'!$A$1:$A$839,0)),"")))</f>
        <v>8.3109999999999999</v>
      </c>
      <c r="U282" s="195">
        <f t="shared" si="43"/>
        <v>0.59440000000000004</v>
      </c>
      <c r="V282" s="195">
        <f t="shared" si="43"/>
        <v>8.1603999999999992</v>
      </c>
      <c r="W282" s="195">
        <f>IFERROR(INDEX('Ashed teabags dry'!$K$2:$K$821,MATCH(H282,'Ashed teabags dry'!$A$2:$A$821,0)),"")</f>
        <v>21.467639015496861</v>
      </c>
      <c r="X282" s="195">
        <f>IFERROR(INDEX('Ashed teabags dry'!$K$2:$K$821,MATCH(I282,'Ashed teabags dry'!$A$2:$A$821,0)),"")</f>
        <v>95.853767275969844</v>
      </c>
      <c r="Y282" s="195">
        <f t="shared" si="38"/>
        <v>0.46679635369188666</v>
      </c>
      <c r="Z282" s="195">
        <f t="shared" si="38"/>
        <v>0.33834917521175623</v>
      </c>
      <c r="AA282" s="195">
        <f t="shared" si="44"/>
        <v>0.73723987357157561</v>
      </c>
      <c r="AB282" s="195">
        <f t="shared" si="45"/>
        <v>0.48332115227020161</v>
      </c>
      <c r="AC282" s="195">
        <f t="shared" si="39"/>
        <v>0.17994461398925105</v>
      </c>
      <c r="AD282">
        <f t="shared" si="40"/>
        <v>62</v>
      </c>
      <c r="AE282" s="195">
        <f t="shared" si="46"/>
        <v>0.1244182024090551</v>
      </c>
      <c r="AF282" s="195" t="str">
        <f t="shared" si="47"/>
        <v/>
      </c>
      <c r="AG282" s="255" t="str">
        <f>IF(ISNUMBER(SEARCH("C", 'Dry_Litterbag Placem_Collection'!AB209)),"YES","NO")</f>
        <v>NO</v>
      </c>
      <c r="AH282" s="255" t="str">
        <f>IF(ISNUMBER(SEARCH("H", 'Dry_Litterbag Placem_Collection'!AB209)),"YES","NO")</f>
        <v>NO</v>
      </c>
      <c r="AI282" s="255" t="str">
        <f>IF(ISNUMBER(SEARCH("R", 'Dry_Litterbag Placem_Collection'!AB209)),"YES","NO")</f>
        <v>NO</v>
      </c>
      <c r="AJ282" s="255" t="str">
        <f>IF(ISNUMBER(SEARCH("C", 'Dry_Litterbag Placem_Collection'!AA209)),"YES","NO")</f>
        <v>NO</v>
      </c>
      <c r="AK282" s="255" t="str">
        <f>IF(ISNUMBER(SEARCH("H", 'Dry_Litterbag Placem_Collection'!AA209)),"YES","NO")</f>
        <v>NO</v>
      </c>
      <c r="AL282" s="255" t="str">
        <f>IF(ISNUMBER(SEARCH("R", 'Dry_Litterbag Placem_Collection'!AA209)),"YES","NO")</f>
        <v>NO</v>
      </c>
      <c r="AR282" t="s">
        <v>1816</v>
      </c>
      <c r="AT282" t="s">
        <v>590</v>
      </c>
    </row>
    <row r="283" spans="2:46">
      <c r="B283" t="str">
        <f>'Final data_for_R_analysis_Dryse'!A209</f>
        <v>Dry</v>
      </c>
      <c r="C283" s="263">
        <f>'Final data_for_R_analysis_Dryse'!B209</f>
        <v>208</v>
      </c>
      <c r="D283" t="s">
        <v>2441</v>
      </c>
      <c r="E283" t="s">
        <v>22</v>
      </c>
      <c r="F283" s="387">
        <v>4</v>
      </c>
      <c r="G283" s="16">
        <f>'Dry_Litterbag Placem_Collection'!E210</f>
        <v>42942</v>
      </c>
      <c r="H283" t="str">
        <f>'Final data_for_R_analysis_Dryse'!J209</f>
        <v>G412</v>
      </c>
      <c r="I283" t="str">
        <f>'Final data_for_R_analysis_Dryse'!J429</f>
        <v>R516</v>
      </c>
      <c r="J283">
        <f>IFERROR(INDEX('Green_rooibos initial weight'!$C$5:$C$1749,MATCH(H283, 'Green_rooibos initial weight'!$A$5:$A$1749,0)),"")</f>
        <v>2.0049999999999999</v>
      </c>
      <c r="K283">
        <f>IFERROR(INDEX('Green_rooibos initial weight'!$C$5:$C$1749,MATCH(I283, 'Green_rooibos initial weight'!$A$5:$A$1749,0)),"")</f>
        <v>2.141</v>
      </c>
      <c r="L283" s="195">
        <f t="shared" si="41"/>
        <v>1.7551999999999999</v>
      </c>
      <c r="M283" s="240">
        <f>AVERAGE(Ashed_controlls!$K$1:$K$11)</f>
        <v>5.5147656768714146</v>
      </c>
      <c r="N283" s="195">
        <f t="shared" si="36"/>
        <v>1.6584048328395529</v>
      </c>
      <c r="O283" s="195">
        <f t="shared" si="42"/>
        <v>1.8912</v>
      </c>
      <c r="P283" s="240">
        <f>AVERAGE(Ashed_controlls!$K$12:$K$14)</f>
        <v>2.2816647271287041</v>
      </c>
      <c r="Q283" s="195">
        <f t="shared" si="37"/>
        <v>1.8480491566805419</v>
      </c>
      <c r="R283" s="16">
        <f>IF('Dry_Litterbag Placem_Collection'!G210="N.A","",'Dry_Litterbag Placem_Collection'!G210)</f>
        <v>43004</v>
      </c>
      <c r="S283" s="195">
        <f>IF(IFERROR(INDEX('Both teabags AfterDry'!$D$1:$D$839,MATCH(H283,'Both teabags AfterDry'!$A$1:$A$839,0)),"")="N.A","",(IFERROR(INDEX('Both teabags AfterDry'!$D$1:$D$839,MATCH(H283,'Both teabags AfterDry'!$A$1:$A$839,0)),"")))</f>
        <v>0.72499999999999998</v>
      </c>
      <c r="T283" s="195">
        <f>IF(IFERROR(INDEX('Both teabags AfterDry'!$D$1:$D$839,MATCH(I283,'Both teabags AfterDry'!$A$1:$A$839,0)),"")="N.A","",(IFERROR(INDEX('Both teabags AfterDry'!$D$1:$D$839,MATCH(I283,'Both teabags AfterDry'!$A$1:$A$839,0)),"")))</f>
        <v>1.7749999999999999</v>
      </c>
      <c r="U283" s="195">
        <f t="shared" si="43"/>
        <v>0.57440000000000002</v>
      </c>
      <c r="V283" s="195">
        <f t="shared" si="43"/>
        <v>1.6243999999999998</v>
      </c>
      <c r="W283" s="195">
        <f>IFERROR(INDEX('Ashed teabags dry'!$K$2:$K$821,MATCH(H283,'Ashed teabags dry'!$A$2:$A$821,0)),"")</f>
        <v>27.644710578842087</v>
      </c>
      <c r="X283" s="195">
        <f>IFERROR(INDEX('Ashed teabags dry'!$K$2:$K$821,MATCH(I283,'Ashed teabags dry'!$A$2:$A$821,0)),"")</f>
        <v>78.613771089831701</v>
      </c>
      <c r="Y283" s="195">
        <f t="shared" si="38"/>
        <v>0.41560878243513111</v>
      </c>
      <c r="Z283" s="195">
        <f t="shared" si="38"/>
        <v>0.34739790241677393</v>
      </c>
      <c r="AA283" s="195">
        <f t="shared" si="44"/>
        <v>0.74939244374757541</v>
      </c>
      <c r="AB283" s="195">
        <f t="shared" si="45"/>
        <v>0.49128815789627278</v>
      </c>
      <c r="AC283" s="195">
        <f t="shared" si="39"/>
        <v>0.18798087765196062</v>
      </c>
      <c r="AD283">
        <f t="shared" si="40"/>
        <v>62</v>
      </c>
      <c r="AE283" s="195">
        <f t="shared" si="46"/>
        <v>0.1099852212024045</v>
      </c>
      <c r="AF283" s="195" t="str">
        <f t="shared" si="47"/>
        <v/>
      </c>
      <c r="AG283" s="255" t="str">
        <f>IF(ISNUMBER(SEARCH("C", 'Dry_Litterbag Placem_Collection'!AB210)),"YES","NO")</f>
        <v>NO</v>
      </c>
      <c r="AH283" s="255" t="str">
        <f>IF(ISNUMBER(SEARCH("H", 'Dry_Litterbag Placem_Collection'!AB210)),"YES","NO")</f>
        <v>NO</v>
      </c>
      <c r="AI283" s="255" t="str">
        <f>IF(ISNUMBER(SEARCH("R", 'Dry_Litterbag Placem_Collection'!AB210)),"YES","NO")</f>
        <v>NO</v>
      </c>
      <c r="AJ283" s="255" t="str">
        <f>IF(ISNUMBER(SEARCH("C", 'Dry_Litterbag Placem_Collection'!AA210)),"YES","NO")</f>
        <v>NO</v>
      </c>
      <c r="AK283" s="255" t="str">
        <f>IF(ISNUMBER(SEARCH("H", 'Dry_Litterbag Placem_Collection'!AA210)),"YES","NO")</f>
        <v>NO</v>
      </c>
      <c r="AL283" s="255" t="str">
        <f>IF(ISNUMBER(SEARCH("R", 'Dry_Litterbag Placem_Collection'!AA210)),"YES","NO")</f>
        <v>NO</v>
      </c>
      <c r="AR283" t="s">
        <v>1638</v>
      </c>
      <c r="AT283" t="s">
        <v>625</v>
      </c>
    </row>
    <row r="284" spans="2:46">
      <c r="B284" t="str">
        <f>'Final data_for_R_analysis_Dryse'!A210</f>
        <v>Dry</v>
      </c>
      <c r="C284" s="263">
        <f>'Final data_for_R_analysis_Dryse'!B210</f>
        <v>209</v>
      </c>
      <c r="D284" t="s">
        <v>2435</v>
      </c>
      <c r="E284" t="s">
        <v>22</v>
      </c>
      <c r="F284" s="387">
        <v>1</v>
      </c>
      <c r="G284" s="16">
        <f>'Dry_Litterbag Placem_Collection'!E211</f>
        <v>42942</v>
      </c>
      <c r="H284" t="str">
        <f>'Final data_for_R_analysis_Dryse'!J210</f>
        <v>G94</v>
      </c>
      <c r="I284" t="str">
        <f>'Final data_for_R_analysis_Dryse'!J430</f>
        <v>R678</v>
      </c>
      <c r="J284">
        <f>IFERROR(INDEX('Green_rooibos initial weight'!$C$5:$C$1749,MATCH(H284, 'Green_rooibos initial weight'!$A$5:$A$1749,0)),"")</f>
        <v>2.0630000000000002</v>
      </c>
      <c r="K284">
        <f>IFERROR(INDEX('Green_rooibos initial weight'!$C$5:$C$1749,MATCH(I284, 'Green_rooibos initial weight'!$A$5:$A$1749,0)),"")</f>
        <v>2.1320000000000001</v>
      </c>
      <c r="L284" s="195">
        <f t="shared" si="41"/>
        <v>1.8132000000000001</v>
      </c>
      <c r="M284" s="240">
        <f>AVERAGE(Ashed_controlls!$K$1:$K$11)</f>
        <v>5.5147656768714146</v>
      </c>
      <c r="N284" s="195">
        <f t="shared" si="36"/>
        <v>1.7132062687469676</v>
      </c>
      <c r="O284" s="195">
        <f t="shared" si="42"/>
        <v>1.8822000000000001</v>
      </c>
      <c r="P284" s="240">
        <f>AVERAGE(Ashed_controlls!$K$12:$K$14)</f>
        <v>2.2816647271287041</v>
      </c>
      <c r="Q284" s="195">
        <f t="shared" si="37"/>
        <v>1.8392545065059835</v>
      </c>
      <c r="R284" s="16">
        <f>IF('Dry_Litterbag Placem_Collection'!G211="N.A","",'Dry_Litterbag Placem_Collection'!G211)</f>
        <v>43004</v>
      </c>
      <c r="S284" s="195" t="str">
        <f>IF(IFERROR(INDEX('Both teabags AfterDry'!$D$1:$D$839,MATCH(H284,'Both teabags AfterDry'!$A$1:$A$839,0)),"")="N.A","",(IFERROR(INDEX('Both teabags AfterDry'!$D$1:$D$839,MATCH(H284,'Both teabags AfterDry'!$A$1:$A$839,0)),"")))</f>
        <v/>
      </c>
      <c r="T284" s="195">
        <f>IF(IFERROR(INDEX('Both teabags AfterDry'!$D$1:$D$839,MATCH(I284,'Both teabags AfterDry'!$A$1:$A$839,0)),"")="N.A","",(IFERROR(INDEX('Both teabags AfterDry'!$D$1:$D$839,MATCH(I284,'Both teabags AfterDry'!$A$1:$A$839,0)),"")))</f>
        <v>1.6856</v>
      </c>
      <c r="U284" s="195" t="str">
        <f t="shared" si="43"/>
        <v/>
      </c>
      <c r="V284" s="195">
        <f t="shared" si="43"/>
        <v>1.5349999999999999</v>
      </c>
      <c r="W284" s="195">
        <f>IFERROR(INDEX('Ashed teabags dry'!$K$2:$K$821,MATCH(H284,'Ashed teabags dry'!$A$2:$A$821,0)),"")</f>
        <v>19.445818901534416</v>
      </c>
      <c r="X284" s="195">
        <f>IFERROR(INDEX('Ashed teabags dry'!$K$2:$K$821,MATCH(I284,'Ashed teabags dry'!$A$2:$A$821,0)),"")</f>
        <v>3.8461538461540399</v>
      </c>
      <c r="Y284" s="195" t="str">
        <f t="shared" si="38"/>
        <v/>
      </c>
      <c r="Z284" s="195">
        <f t="shared" si="38"/>
        <v>1.4759615384615354</v>
      </c>
      <c r="AA284" s="195" t="str">
        <f t="shared" si="44"/>
        <v/>
      </c>
      <c r="AB284" s="195" t="str">
        <f t="shared" si="45"/>
        <v/>
      </c>
      <c r="AC284" s="195">
        <f t="shared" si="39"/>
        <v>0.80247814168220111</v>
      </c>
      <c r="AD284">
        <f t="shared" si="40"/>
        <v>62</v>
      </c>
      <c r="AE284" s="195" t="str">
        <f t="shared" si="46"/>
        <v/>
      </c>
      <c r="AF284" s="195" t="str">
        <f t="shared" si="47"/>
        <v/>
      </c>
      <c r="AG284" s="255" t="str">
        <f>IF(ISNUMBER(SEARCH("C", 'Dry_Litterbag Placem_Collection'!AB211)),"YES","NO")</f>
        <v>NO</v>
      </c>
      <c r="AH284" s="255" t="str">
        <f>IF(ISNUMBER(SEARCH("H", 'Dry_Litterbag Placem_Collection'!AB211)),"YES","NO")</f>
        <v>NO</v>
      </c>
      <c r="AI284" s="255" t="str">
        <f>IF(ISNUMBER(SEARCH("R", 'Dry_Litterbag Placem_Collection'!AB211)),"YES","NO")</f>
        <v>NO</v>
      </c>
      <c r="AJ284" s="255" t="str">
        <f>IF(ISNUMBER(SEARCH("C", 'Dry_Litterbag Placem_Collection'!AA211)),"YES","NO")</f>
        <v>NO</v>
      </c>
      <c r="AK284" s="255" t="str">
        <f>IF(ISNUMBER(SEARCH("H", 'Dry_Litterbag Placem_Collection'!AA211)),"YES","NO")</f>
        <v>NO</v>
      </c>
      <c r="AL284" s="255" t="str">
        <f>IF(ISNUMBER(SEARCH("R", 'Dry_Litterbag Placem_Collection'!AA211)),"YES","NO")</f>
        <v>NO</v>
      </c>
      <c r="AR284" t="s">
        <v>1956</v>
      </c>
      <c r="AT284" t="s">
        <v>461</v>
      </c>
    </row>
    <row r="285" spans="2:46">
      <c r="B285" t="str">
        <f>'Final data_for_R_analysis_Dryse'!A211</f>
        <v>Dry</v>
      </c>
      <c r="C285" s="263">
        <f>'Final data_for_R_analysis_Dryse'!B211</f>
        <v>210</v>
      </c>
      <c r="D285" t="s">
        <v>2449</v>
      </c>
      <c r="E285" t="s">
        <v>22</v>
      </c>
      <c r="F285" s="387">
        <v>2</v>
      </c>
      <c r="G285" s="16">
        <f>'Dry_Litterbag Placem_Collection'!E212</f>
        <v>42942</v>
      </c>
      <c r="H285" t="str">
        <f>'Final data_for_R_analysis_Dryse'!J211</f>
        <v>G93</v>
      </c>
      <c r="I285" t="str">
        <f>'Final data_for_R_analysis_Dryse'!J431</f>
        <v>R335</v>
      </c>
      <c r="J285">
        <f>IFERROR(INDEX('Green_rooibos initial weight'!$C$5:$C$1749,MATCH(H285, 'Green_rooibos initial weight'!$A$5:$A$1749,0)),"")</f>
        <v>2.1230000000000002</v>
      </c>
      <c r="K285">
        <f>IFERROR(INDEX('Green_rooibos initial weight'!$C$5:$C$1749,MATCH(I285, 'Green_rooibos initial weight'!$A$5:$A$1749,0)),"")</f>
        <v>2.1629999999999998</v>
      </c>
      <c r="L285" s="195">
        <f t="shared" si="41"/>
        <v>1.8732000000000002</v>
      </c>
      <c r="M285" s="240">
        <f>AVERAGE(Ashed_controlls!$K$1:$K$11)</f>
        <v>5.5147656768714146</v>
      </c>
      <c r="N285" s="195">
        <f t="shared" si="36"/>
        <v>1.7698974093408448</v>
      </c>
      <c r="O285" s="195">
        <f t="shared" si="42"/>
        <v>1.9131999999999998</v>
      </c>
      <c r="P285" s="240">
        <f>AVERAGE(Ashed_controlls!$K$12:$K$14)</f>
        <v>2.2816647271287041</v>
      </c>
      <c r="Q285" s="195">
        <f t="shared" si="37"/>
        <v>1.8695471904405734</v>
      </c>
      <c r="R285" s="16">
        <f>IF('Dry_Litterbag Placem_Collection'!G212="N.A","",'Dry_Litterbag Placem_Collection'!G212)</f>
        <v>43004</v>
      </c>
      <c r="S285" s="195">
        <f>IF(IFERROR(INDEX('Both teabags AfterDry'!$D$1:$D$839,MATCH(H285,'Both teabags AfterDry'!$A$1:$A$839,0)),"")="N.A","",(IFERROR(INDEX('Both teabags AfterDry'!$D$1:$D$839,MATCH(H285,'Both teabags AfterDry'!$A$1:$A$839,0)),"")))</f>
        <v>0.80600000000000005</v>
      </c>
      <c r="T285" s="195">
        <f>IF(IFERROR(INDEX('Both teabags AfterDry'!$D$1:$D$839,MATCH(I285,'Both teabags AfterDry'!$A$1:$A$839,0)),"")="N.A","",(IFERROR(INDEX('Both teabags AfterDry'!$D$1:$D$839,MATCH(I285,'Both teabags AfterDry'!$A$1:$A$839,0)),"")))</f>
        <v>1.716</v>
      </c>
      <c r="U285" s="195">
        <f t="shared" si="43"/>
        <v>0.65539999999999998</v>
      </c>
      <c r="V285" s="195">
        <f t="shared" si="43"/>
        <v>1.5653999999999999</v>
      </c>
      <c r="W285" s="195">
        <f>IFERROR(INDEX('Ashed teabags dry'!$K$2:$K$821,MATCH(H285,'Ashed teabags dry'!$A$2:$A$821,0)),"")</f>
        <v>13.82488479262701</v>
      </c>
      <c r="X285" s="195">
        <f>IFERROR(INDEX('Ashed teabags dry'!$K$2:$K$821,MATCH(I285,'Ashed teabags dry'!$A$2:$A$821,0)),"")</f>
        <v>89.116785265801681</v>
      </c>
      <c r="Y285" s="195">
        <f t="shared" si="38"/>
        <v>0.56479170506912257</v>
      </c>
      <c r="Z285" s="195">
        <f t="shared" si="38"/>
        <v>0.17036584344914041</v>
      </c>
      <c r="AA285" s="195">
        <f t="shared" si="44"/>
        <v>0.68089014533364089</v>
      </c>
      <c r="AB285" s="195">
        <f t="shared" si="45"/>
        <v>0.44637928767716128</v>
      </c>
      <c r="AC285" s="195">
        <f t="shared" si="39"/>
        <v>9.112679493743743E-2</v>
      </c>
      <c r="AD285">
        <f t="shared" si="40"/>
        <v>62</v>
      </c>
      <c r="AE285" s="195">
        <f t="shared" si="46"/>
        <v>0.1913418701500702</v>
      </c>
      <c r="AF285" s="195" t="str">
        <f t="shared" si="47"/>
        <v/>
      </c>
      <c r="AG285" s="255" t="str">
        <f>IF(ISNUMBER(SEARCH("C", 'Dry_Litterbag Placem_Collection'!AB212)),"YES","NO")</f>
        <v>NO</v>
      </c>
      <c r="AH285" s="255" t="str">
        <f>IF(ISNUMBER(SEARCH("H", 'Dry_Litterbag Placem_Collection'!AB212)),"YES","NO")</f>
        <v>NO</v>
      </c>
      <c r="AI285" s="255" t="str">
        <f>IF(ISNUMBER(SEARCH("R", 'Dry_Litterbag Placem_Collection'!AB212)),"YES","NO")</f>
        <v>NO</v>
      </c>
      <c r="AJ285" s="255" t="str">
        <f>IF(ISNUMBER(SEARCH("C", 'Dry_Litterbag Placem_Collection'!AA212)),"YES","NO")</f>
        <v>NO</v>
      </c>
      <c r="AK285" s="255" t="str">
        <f>IF(ISNUMBER(SEARCH("H", 'Dry_Litterbag Placem_Collection'!AA212)),"YES","NO")</f>
        <v>NO</v>
      </c>
      <c r="AL285" s="255" t="str">
        <f>IF(ISNUMBER(SEARCH("R", 'Dry_Litterbag Placem_Collection'!AA212)),"YES","NO")</f>
        <v>NO</v>
      </c>
      <c r="AR285" t="s">
        <v>1957</v>
      </c>
      <c r="AT285" t="s">
        <v>806</v>
      </c>
    </row>
    <row r="286" spans="2:46">
      <c r="B286" t="str">
        <f>'Final data_for_R_analysis_Dryse'!A212</f>
        <v>Dry</v>
      </c>
      <c r="C286" s="263">
        <f>'Final data_for_R_analysis_Dryse'!B212</f>
        <v>211</v>
      </c>
      <c r="D286" t="s">
        <v>2426</v>
      </c>
      <c r="E286" t="s">
        <v>22</v>
      </c>
      <c r="F286" s="387">
        <v>3</v>
      </c>
      <c r="G286" s="16">
        <f>'Dry_Litterbag Placem_Collection'!E213</f>
        <v>42942</v>
      </c>
      <c r="H286" t="str">
        <f>'Final data_for_R_analysis_Dryse'!J212</f>
        <v>G26</v>
      </c>
      <c r="I286" t="str">
        <f>'Final data_for_R_analysis_Dryse'!J432</f>
        <v>R249</v>
      </c>
      <c r="J286">
        <f>IFERROR(INDEX('Green_rooibos initial weight'!$C$5:$C$1749,MATCH(H286, 'Green_rooibos initial weight'!$A$5:$A$1749,0)),"")</f>
        <v>2.1059999999999999</v>
      </c>
      <c r="K286">
        <f>IFERROR(INDEX('Green_rooibos initial weight'!$C$5:$C$1749,MATCH(I286, 'Green_rooibos initial weight'!$A$5:$A$1749,0)),"")</f>
        <v>2.294</v>
      </c>
      <c r="L286" s="195">
        <f t="shared" si="41"/>
        <v>1.8561999999999999</v>
      </c>
      <c r="M286" s="240">
        <f>AVERAGE(Ashed_controlls!$K$1:$K$11)</f>
        <v>5.5147656768714146</v>
      </c>
      <c r="N286" s="195">
        <f t="shared" si="36"/>
        <v>1.7538349195059126</v>
      </c>
      <c r="O286" s="195">
        <f t="shared" si="42"/>
        <v>2.0442</v>
      </c>
      <c r="P286" s="240">
        <f>AVERAGE(Ashed_controlls!$K$12:$K$14)</f>
        <v>2.2816647271287041</v>
      </c>
      <c r="Q286" s="195">
        <f t="shared" si="37"/>
        <v>1.9975582096480351</v>
      </c>
      <c r="R286" s="16">
        <f>IF('Dry_Litterbag Placem_Collection'!G213="N.A","",'Dry_Litterbag Placem_Collection'!G213)</f>
        <v>43004</v>
      </c>
      <c r="S286" s="195">
        <f>IF(IFERROR(INDEX('Both teabags AfterDry'!$D$1:$D$839,MATCH(H286,'Both teabags AfterDry'!$A$1:$A$839,0)),"")="N.A","",(IFERROR(INDEX('Both teabags AfterDry'!$D$1:$D$839,MATCH(H286,'Both teabags AfterDry'!$A$1:$A$839,0)),"")))</f>
        <v>0.38400000000000001</v>
      </c>
      <c r="T286" s="195">
        <f>IF(IFERROR(INDEX('Both teabags AfterDry'!$D$1:$D$839,MATCH(I286,'Both teabags AfterDry'!$A$1:$A$839,0)),"")="N.A","",(IFERROR(INDEX('Both teabags AfterDry'!$D$1:$D$839,MATCH(I286,'Both teabags AfterDry'!$A$1:$A$839,0)),"")))</f>
        <v>1.1160000000000001</v>
      </c>
      <c r="U286" s="195">
        <f t="shared" si="43"/>
        <v>0.2334</v>
      </c>
      <c r="V286" s="195">
        <f t="shared" si="43"/>
        <v>0.96540000000000004</v>
      </c>
      <c r="W286" s="195">
        <f>IFERROR(INDEX('Ashed teabags dry'!$K$2:$K$821,MATCH(H286,'Ashed teabags dry'!$A$2:$A$821,0)),"")</f>
        <v>18.38888888888961</v>
      </c>
      <c r="X286" s="195">
        <f>IFERROR(INDEX('Ashed teabags dry'!$K$2:$K$821,MATCH(I286,'Ashed teabags dry'!$A$2:$A$821,0)),"")</f>
        <v>35.262904003859205</v>
      </c>
      <c r="Y286" s="195">
        <f t="shared" si="38"/>
        <v>0.19048033333333164</v>
      </c>
      <c r="Z286" s="195">
        <f t="shared" si="38"/>
        <v>0.62497192474674323</v>
      </c>
      <c r="AA286" s="195">
        <f t="shared" si="44"/>
        <v>0.89139209670486352</v>
      </c>
      <c r="AB286" s="195">
        <f t="shared" si="45"/>
        <v>0.58438056696090823</v>
      </c>
      <c r="AC286" s="195">
        <f t="shared" si="39"/>
        <v>0.31286794133366547</v>
      </c>
      <c r="AD286">
        <f t="shared" si="40"/>
        <v>62</v>
      </c>
      <c r="AE286" s="195">
        <f t="shared" si="46"/>
        <v>-5.8660447392949511E-2</v>
      </c>
      <c r="AF286" s="195" t="str">
        <f t="shared" si="47"/>
        <v/>
      </c>
      <c r="AG286" s="255" t="str">
        <f>IF(ISNUMBER(SEARCH("C", 'Dry_Litterbag Placem_Collection'!AB213)),"YES","NO")</f>
        <v>NO</v>
      </c>
      <c r="AH286" s="255" t="str">
        <f>IF(ISNUMBER(SEARCH("H", 'Dry_Litterbag Placem_Collection'!AB213)),"YES","NO")</f>
        <v>NO</v>
      </c>
      <c r="AI286" s="255" t="str">
        <f>IF(ISNUMBER(SEARCH("R", 'Dry_Litterbag Placem_Collection'!AB213)),"YES","NO")</f>
        <v>NO</v>
      </c>
      <c r="AJ286" s="255" t="str">
        <f>IF(ISNUMBER(SEARCH("C", 'Dry_Litterbag Placem_Collection'!AA213)),"YES","NO")</f>
        <v>NO</v>
      </c>
      <c r="AK286" s="255" t="str">
        <f>IF(ISNUMBER(SEARCH("H", 'Dry_Litterbag Placem_Collection'!AA213)),"YES","NO")</f>
        <v>NO</v>
      </c>
      <c r="AL286" s="255" t="str">
        <f>IF(ISNUMBER(SEARCH("R", 'Dry_Litterbag Placem_Collection'!AA213)),"YES","NO")</f>
        <v>NO</v>
      </c>
      <c r="AR286" t="s">
        <v>2024</v>
      </c>
      <c r="AT286" t="s">
        <v>892</v>
      </c>
    </row>
    <row r="287" spans="2:46">
      <c r="B287" t="str">
        <f>'Final data_for_R_analysis_Dryse'!A213</f>
        <v>Dry</v>
      </c>
      <c r="C287" s="263">
        <f>'Final data_for_R_analysis_Dryse'!B213</f>
        <v>215</v>
      </c>
      <c r="D287" t="s">
        <v>2427</v>
      </c>
      <c r="E287" t="s">
        <v>22</v>
      </c>
      <c r="F287" s="387">
        <v>3</v>
      </c>
      <c r="G287" s="16">
        <f>'Dry_Litterbag Placem_Collection'!E214</f>
        <v>42942</v>
      </c>
      <c r="H287" t="str">
        <f>'Final data_for_R_analysis_Dryse'!J213</f>
        <v>G169</v>
      </c>
      <c r="I287" t="str">
        <f>'Final data_for_R_analysis_Dryse'!J433</f>
        <v>R627</v>
      </c>
      <c r="J287">
        <f>IFERROR(INDEX('Green_rooibos initial weight'!$C$5:$C$1749,MATCH(H287, 'Green_rooibos initial weight'!$A$5:$A$1749,0)),"")</f>
        <v>2.0649999999999999</v>
      </c>
      <c r="K287">
        <f>IFERROR(INDEX('Green_rooibos initial weight'!$C$5:$C$1749,MATCH(I287, 'Green_rooibos initial weight'!$A$5:$A$1749,0)),"")</f>
        <v>2.1429999999999998</v>
      </c>
      <c r="L287" s="195">
        <f t="shared" si="41"/>
        <v>1.8151999999999999</v>
      </c>
      <c r="M287" s="240">
        <f>AVERAGE(Ashed_controlls!$K$1:$K$11)</f>
        <v>5.5147656768714146</v>
      </c>
      <c r="N287" s="195">
        <f t="shared" si="36"/>
        <v>1.7150959734334301</v>
      </c>
      <c r="O287" s="195">
        <f t="shared" si="42"/>
        <v>1.8931999999999998</v>
      </c>
      <c r="P287" s="240">
        <f>AVERAGE(Ashed_controlls!$K$12:$K$14)</f>
        <v>2.2816647271287041</v>
      </c>
      <c r="Q287" s="195">
        <f t="shared" si="37"/>
        <v>1.850003523385999</v>
      </c>
      <c r="R287" s="16">
        <f>IF('Dry_Litterbag Placem_Collection'!G214="N.A","",'Dry_Litterbag Placem_Collection'!G214)</f>
        <v>43004</v>
      </c>
      <c r="S287" s="195">
        <f>IF(IFERROR(INDEX('Both teabags AfterDry'!$D$1:$D$839,MATCH(H287,'Both teabags AfterDry'!$A$1:$A$839,0)),"")="N.A","",(IFERROR(INDEX('Both teabags AfterDry'!$D$1:$D$839,MATCH(H287,'Both teabags AfterDry'!$A$1:$A$839,0)),"")))</f>
        <v>0.70899999999999996</v>
      </c>
      <c r="T287" s="195">
        <f>IF(IFERROR(INDEX('Both teabags AfterDry'!$D$1:$D$839,MATCH(I287,'Both teabags AfterDry'!$A$1:$A$839,0)),"")="N.A","",(IFERROR(INDEX('Both teabags AfterDry'!$D$1:$D$839,MATCH(I287,'Both teabags AfterDry'!$A$1:$A$839,0)),"")))</f>
        <v>1.7356</v>
      </c>
      <c r="U287" s="195">
        <f t="shared" si="43"/>
        <v>0.55840000000000001</v>
      </c>
      <c r="V287" s="195">
        <f t="shared" si="43"/>
        <v>1.585</v>
      </c>
      <c r="W287" s="195">
        <f>IFERROR(INDEX('Ashed teabags dry'!$K$2:$K$821,MATCH(H287,'Ashed teabags dry'!$A$2:$A$821,0)),"")</f>
        <v>21.867199201197611</v>
      </c>
      <c r="X287" s="195">
        <f>IFERROR(INDEX('Ashed teabags dry'!$K$2:$K$821,MATCH(I287,'Ashed teabags dry'!$A$2:$A$821,0)),"")</f>
        <v>5.6538839724678436</v>
      </c>
      <c r="Y287" s="195">
        <f t="shared" si="38"/>
        <v>0.43629355966051253</v>
      </c>
      <c r="Z287" s="195">
        <f t="shared" si="38"/>
        <v>1.4953859390363846</v>
      </c>
      <c r="AA287" s="195">
        <f t="shared" si="44"/>
        <v>0.74561565858783885</v>
      </c>
      <c r="AB287" s="195">
        <f t="shared" si="45"/>
        <v>0.4888121657250441</v>
      </c>
      <c r="AC287" s="195">
        <f t="shared" si="39"/>
        <v>0.8083151843405304</v>
      </c>
      <c r="AD287">
        <f t="shared" si="40"/>
        <v>62</v>
      </c>
      <c r="AE287" s="195">
        <f t="shared" si="46"/>
        <v>0.11447071426622457</v>
      </c>
      <c r="AF287" s="195">
        <f t="shared" si="47"/>
        <v>8.0293138953481634E-3</v>
      </c>
      <c r="AG287" s="255" t="str">
        <f>IF(ISNUMBER(SEARCH("C", 'Dry_Litterbag Placem_Collection'!AB214)),"YES","NO")</f>
        <v>NO</v>
      </c>
      <c r="AH287" s="255" t="str">
        <f>IF(ISNUMBER(SEARCH("H", 'Dry_Litterbag Placem_Collection'!AB214)),"YES","NO")</f>
        <v>NO</v>
      </c>
      <c r="AI287" s="255" t="str">
        <f>IF(ISNUMBER(SEARCH("R", 'Dry_Litterbag Placem_Collection'!AB214)),"YES","NO")</f>
        <v>NO</v>
      </c>
      <c r="AJ287" s="255" t="str">
        <f>IF(ISNUMBER(SEARCH("C", 'Dry_Litterbag Placem_Collection'!AA214)),"YES","NO")</f>
        <v>NO</v>
      </c>
      <c r="AK287" s="255" t="str">
        <f>IF(ISNUMBER(SEARCH("H", 'Dry_Litterbag Placem_Collection'!AA214)),"YES","NO")</f>
        <v>NO</v>
      </c>
      <c r="AL287" s="255" t="str">
        <f>IF(ISNUMBER(SEARCH("R", 'Dry_Litterbag Placem_Collection'!AA214)),"YES","NO")</f>
        <v>NO</v>
      </c>
      <c r="AR287" t="s">
        <v>1881</v>
      </c>
      <c r="AT287" t="s">
        <v>512</v>
      </c>
    </row>
    <row r="288" spans="2:46">
      <c r="B288" t="str">
        <f>'Final data_for_R_analysis_Dryse'!A214</f>
        <v>Dry</v>
      </c>
      <c r="C288" s="263">
        <f>'Final data_for_R_analysis_Dryse'!B214</f>
        <v>212</v>
      </c>
      <c r="D288" t="s">
        <v>2442</v>
      </c>
      <c r="E288" t="s">
        <v>22</v>
      </c>
      <c r="F288" s="387">
        <v>4</v>
      </c>
      <c r="G288" s="16">
        <f>'Dry_Litterbag Placem_Collection'!E215</f>
        <v>42942</v>
      </c>
      <c r="H288" t="str">
        <f>'Final data_for_R_analysis_Dryse'!J214</f>
        <v>G68</v>
      </c>
      <c r="I288" t="str">
        <f>'Final data_for_R_analysis_Dryse'!J434</f>
        <v>R803</v>
      </c>
      <c r="J288">
        <f>IFERROR(INDEX('Green_rooibos initial weight'!$C$5:$C$1749,MATCH(H288, 'Green_rooibos initial weight'!$A$5:$A$1749,0)),"")</f>
        <v>1.921</v>
      </c>
      <c r="K288">
        <f>IFERROR(INDEX('Green_rooibos initial weight'!$C$5:$C$1749,MATCH(I288, 'Green_rooibos initial weight'!$A$5:$A$1749,0)),"")</f>
        <v>2.1930000000000001</v>
      </c>
      <c r="L288" s="195">
        <f t="shared" si="41"/>
        <v>1.6712</v>
      </c>
      <c r="M288" s="240">
        <f>AVERAGE(Ashed_controlls!$K$1:$K$11)</f>
        <v>5.5147656768714146</v>
      </c>
      <c r="N288" s="195">
        <f t="shared" si="36"/>
        <v>1.5790372360081248</v>
      </c>
      <c r="O288" s="195">
        <f t="shared" si="42"/>
        <v>1.9432</v>
      </c>
      <c r="P288" s="240">
        <f>AVERAGE(Ashed_controlls!$K$12:$K$14)</f>
        <v>2.2816647271287041</v>
      </c>
      <c r="Q288" s="195">
        <f t="shared" si="37"/>
        <v>1.8988626910224351</v>
      </c>
      <c r="R288" s="16">
        <f>IF('Dry_Litterbag Placem_Collection'!G215="N.A","",'Dry_Litterbag Placem_Collection'!G215)</f>
        <v>43004</v>
      </c>
      <c r="S288" s="195">
        <f>IF(IFERROR(INDEX('Both teabags AfterDry'!$D$1:$D$839,MATCH(H288,'Both teabags AfterDry'!$A$1:$A$839,0)),"")="N.A","",(IFERROR(INDEX('Both teabags AfterDry'!$D$1:$D$839,MATCH(H288,'Both teabags AfterDry'!$A$1:$A$839,0)),"")))</f>
        <v>0.71</v>
      </c>
      <c r="T288" s="195">
        <f>IF(IFERROR(INDEX('Both teabags AfterDry'!$D$1:$D$839,MATCH(I288,'Both teabags AfterDry'!$A$1:$A$839,0)),"")="N.A","",(IFERROR(INDEX('Both teabags AfterDry'!$D$1:$D$839,MATCH(I288,'Both teabags AfterDry'!$A$1:$A$839,0)),"")))</f>
        <v>0.78500000000000003</v>
      </c>
      <c r="U288" s="195">
        <f t="shared" si="43"/>
        <v>0.5593999999999999</v>
      </c>
      <c r="V288" s="195">
        <f t="shared" si="43"/>
        <v>0.63440000000000007</v>
      </c>
      <c r="W288" s="195">
        <f>IFERROR(INDEX('Ashed teabags dry'!$K$2:$K$821,MATCH(H288,'Ashed teabags dry'!$A$2:$A$821,0)),"")</f>
        <v>24.931756141947613</v>
      </c>
      <c r="X288" s="195">
        <f>IFERROR(INDEX('Ashed teabags dry'!$K$2:$K$821,MATCH(I288,'Ashed teabags dry'!$A$2:$A$821,0)),"")</f>
        <v>11.856932876041183</v>
      </c>
      <c r="Y288" s="195">
        <f t="shared" si="38"/>
        <v>0.419931756141945</v>
      </c>
      <c r="Z288" s="195">
        <f t="shared" si="38"/>
        <v>0.55917961783439485</v>
      </c>
      <c r="AA288" s="195">
        <f t="shared" si="44"/>
        <v>0.73405835748145443</v>
      </c>
      <c r="AB288" s="195">
        <f t="shared" si="45"/>
        <v>0.48123540775506285</v>
      </c>
      <c r="AC288" s="195">
        <f t="shared" si="39"/>
        <v>0.29448133373630442</v>
      </c>
      <c r="AD288">
        <f t="shared" si="40"/>
        <v>62</v>
      </c>
      <c r="AE288" s="195">
        <f t="shared" si="46"/>
        <v>0.128196725081408</v>
      </c>
      <c r="AF288" s="195" t="str">
        <f t="shared" si="47"/>
        <v/>
      </c>
      <c r="AG288" s="255" t="str">
        <f>IF(ISNUMBER(SEARCH("C", 'Dry_Litterbag Placem_Collection'!AB215)),"YES","NO")</f>
        <v>NO</v>
      </c>
      <c r="AH288" s="255" t="str">
        <f>IF(ISNUMBER(SEARCH("H", 'Dry_Litterbag Placem_Collection'!AB215)),"YES","NO")</f>
        <v>NO</v>
      </c>
      <c r="AI288" s="255" t="str">
        <f>IF(ISNUMBER(SEARCH("R", 'Dry_Litterbag Placem_Collection'!AB215)),"YES","NO")</f>
        <v>NO</v>
      </c>
      <c r="AJ288" s="255" t="str">
        <f>IF(ISNUMBER(SEARCH("C", 'Dry_Litterbag Placem_Collection'!AA215)),"YES","NO")</f>
        <v>NO</v>
      </c>
      <c r="AK288" s="255" t="str">
        <f>IF(ISNUMBER(SEARCH("H", 'Dry_Litterbag Placem_Collection'!AA215)),"YES","NO")</f>
        <v>NO</v>
      </c>
      <c r="AL288" s="255" t="str">
        <f>IF(ISNUMBER(SEARCH("R", 'Dry_Litterbag Placem_Collection'!AA215)),"YES","NO")</f>
        <v>NO</v>
      </c>
      <c r="AR288" t="s">
        <v>1982</v>
      </c>
      <c r="AT288" t="s">
        <v>336</v>
      </c>
    </row>
    <row r="289" spans="2:46">
      <c r="B289" t="str">
        <f>'Final data_for_R_analysis_Dryse'!A215</f>
        <v>Dry</v>
      </c>
      <c r="C289" s="263">
        <f>'Final data_for_R_analysis_Dryse'!B215</f>
        <v>213</v>
      </c>
      <c r="D289" t="s">
        <v>2450</v>
      </c>
      <c r="E289" t="s">
        <v>22</v>
      </c>
      <c r="F289" s="387">
        <v>1</v>
      </c>
      <c r="G289" s="16">
        <f>'Dry_Litterbag Placem_Collection'!E216</f>
        <v>42942</v>
      </c>
      <c r="H289" t="str">
        <f>'Final data_for_R_analysis_Dryse'!J215</f>
        <v>G143</v>
      </c>
      <c r="I289" t="str">
        <f>'Final data_for_R_analysis_Dryse'!J435</f>
        <v>R321</v>
      </c>
      <c r="J289">
        <f>IFERROR(INDEX('Green_rooibos initial weight'!$C$5:$C$1749,MATCH(H289, 'Green_rooibos initial weight'!$A$5:$A$1749,0)),"")</f>
        <v>1.9450000000000001</v>
      </c>
      <c r="K289">
        <f>IFERROR(INDEX('Green_rooibos initial weight'!$C$5:$C$1749,MATCH(I289, 'Green_rooibos initial weight'!$A$5:$A$1749,0)),"")</f>
        <v>2.1859999999999999</v>
      </c>
      <c r="L289" s="195">
        <f t="shared" si="41"/>
        <v>1.6952</v>
      </c>
      <c r="M289" s="240">
        <f>AVERAGE(Ashed_controlls!$K$1:$K$11)</f>
        <v>5.5147656768714146</v>
      </c>
      <c r="N289" s="195">
        <f t="shared" si="36"/>
        <v>1.6017136922456758</v>
      </c>
      <c r="O289" s="195">
        <f t="shared" si="42"/>
        <v>1.9361999999999999</v>
      </c>
      <c r="P289" s="240">
        <f>AVERAGE(Ashed_controlls!$K$12:$K$14)</f>
        <v>2.2816647271287041</v>
      </c>
      <c r="Q289" s="195">
        <f t="shared" si="37"/>
        <v>1.8920224075533341</v>
      </c>
      <c r="R289" s="16">
        <f>IF('Dry_Litterbag Placem_Collection'!G216="N.A","",'Dry_Litterbag Placem_Collection'!G216)</f>
        <v>43004</v>
      </c>
      <c r="S289" s="195">
        <f>IF(IFERROR(INDEX('Both teabags AfterDry'!$D$1:$D$839,MATCH(H289,'Both teabags AfterDry'!$A$1:$A$839,0)),"")="N.A","",(IFERROR(INDEX('Both teabags AfterDry'!$D$1:$D$839,MATCH(H289,'Both teabags AfterDry'!$A$1:$A$839,0)),"")))</f>
        <v>0.57899999999999996</v>
      </c>
      <c r="T289" s="195">
        <f>IF(IFERROR(INDEX('Both teabags AfterDry'!$D$1:$D$839,MATCH(I289,'Both teabags AfterDry'!$A$1:$A$839,0)),"")="N.A","",(IFERROR(INDEX('Both teabags AfterDry'!$D$1:$D$839,MATCH(I289,'Both teabags AfterDry'!$A$1:$A$839,0)),"")))</f>
        <v>1.6859999999999999</v>
      </c>
      <c r="U289" s="195">
        <f t="shared" si="43"/>
        <v>0.42839999999999995</v>
      </c>
      <c r="V289" s="195">
        <f t="shared" si="43"/>
        <v>1.5353999999999999</v>
      </c>
      <c r="W289" s="195">
        <f>IFERROR(INDEX('Ashed teabags dry'!$K$2:$K$821,MATCH(H289,'Ashed teabags dry'!$A$2:$A$821,0)),"")</f>
        <v>19.161676646707068</v>
      </c>
      <c r="X289" s="195">
        <f>IFERROR(INDEX('Ashed teabags dry'!$K$2:$K$821,MATCH(I289,'Ashed teabags dry'!$A$2:$A$821,0)),"")</f>
        <v>5.7692307692305311</v>
      </c>
      <c r="Y289" s="195">
        <f t="shared" si="38"/>
        <v>0.34631137724550687</v>
      </c>
      <c r="Z289" s="195">
        <f t="shared" si="38"/>
        <v>1.4468192307692342</v>
      </c>
      <c r="AA289" s="195">
        <f t="shared" si="44"/>
        <v>0.78378696584658492</v>
      </c>
      <c r="AB289" s="195">
        <f t="shared" si="45"/>
        <v>0.51383658568564716</v>
      </c>
      <c r="AC289" s="195">
        <f t="shared" si="39"/>
        <v>0.7646945538241201</v>
      </c>
      <c r="AD289">
        <f t="shared" si="40"/>
        <v>62</v>
      </c>
      <c r="AE289" s="195">
        <f t="shared" si="46"/>
        <v>6.9136620134697235E-2</v>
      </c>
      <c r="AF289" s="195">
        <f t="shared" si="47"/>
        <v>9.8770229610008128E-3</v>
      </c>
      <c r="AG289" s="255" t="str">
        <f>IF(ISNUMBER(SEARCH("C", 'Dry_Litterbag Placem_Collection'!AB216)),"YES","NO")</f>
        <v>NO</v>
      </c>
      <c r="AH289" s="255" t="str">
        <f>IF(ISNUMBER(SEARCH("H", 'Dry_Litterbag Placem_Collection'!AB216)),"YES","NO")</f>
        <v>NO</v>
      </c>
      <c r="AI289" s="255" t="str">
        <f>IF(ISNUMBER(SEARCH("R", 'Dry_Litterbag Placem_Collection'!AB216)),"YES","NO")</f>
        <v>NO</v>
      </c>
      <c r="AJ289" s="255" t="str">
        <f>IF(ISNUMBER(SEARCH("C", 'Dry_Litterbag Placem_Collection'!AA216)),"YES","NO")</f>
        <v>NO</v>
      </c>
      <c r="AK289" s="255" t="str">
        <f>IF(ISNUMBER(SEARCH("H", 'Dry_Litterbag Placem_Collection'!AA216)),"YES","NO")</f>
        <v>NO</v>
      </c>
      <c r="AL289" s="255" t="str">
        <f>IF(ISNUMBER(SEARCH("R", 'Dry_Litterbag Placem_Collection'!AA216)),"YES","NO")</f>
        <v>NO</v>
      </c>
      <c r="AR289" t="s">
        <v>1907</v>
      </c>
      <c r="AT289" t="s">
        <v>820</v>
      </c>
    </row>
    <row r="290" spans="2:46">
      <c r="B290" t="str">
        <f>'Final data_for_R_analysis_Dryse'!A216</f>
        <v>Dry</v>
      </c>
      <c r="C290" s="263">
        <f>'Final data_for_R_analysis_Dryse'!B216</f>
        <v>214</v>
      </c>
      <c r="D290" t="s">
        <v>2443</v>
      </c>
      <c r="E290" t="s">
        <v>22</v>
      </c>
      <c r="F290" s="387">
        <v>2</v>
      </c>
      <c r="G290" s="16">
        <f>'Dry_Litterbag Placem_Collection'!E217</f>
        <v>42942</v>
      </c>
      <c r="H290" t="str">
        <f>'Final data_for_R_analysis_Dryse'!J216</f>
        <v>G128</v>
      </c>
      <c r="I290" t="str">
        <f>'Final data_for_R_analysis_Dryse'!J436</f>
        <v>R677</v>
      </c>
      <c r="J290">
        <f>IFERROR(INDEX('Green_rooibos initial weight'!$C$5:$C$1749,MATCH(H290, 'Green_rooibos initial weight'!$A$5:$A$1749,0)),"")</f>
        <v>2.0219999999999998</v>
      </c>
      <c r="K290">
        <f>IFERROR(INDEX('Green_rooibos initial weight'!$C$5:$C$1749,MATCH(I290, 'Green_rooibos initial weight'!$A$5:$A$1749,0)),"")</f>
        <v>2.1240000000000001</v>
      </c>
      <c r="L290" s="195">
        <f t="shared" si="41"/>
        <v>1.7721999999999998</v>
      </c>
      <c r="M290" s="240">
        <f>AVERAGE(Ashed_controlls!$K$1:$K$11)</f>
        <v>5.5147656768714146</v>
      </c>
      <c r="N290" s="195">
        <f t="shared" si="36"/>
        <v>1.6744673226744846</v>
      </c>
      <c r="O290" s="195">
        <f t="shared" si="42"/>
        <v>1.8742000000000001</v>
      </c>
      <c r="P290" s="240">
        <f>AVERAGE(Ashed_controlls!$K$12:$K$14)</f>
        <v>2.2816647271287041</v>
      </c>
      <c r="Q290" s="195">
        <f t="shared" si="37"/>
        <v>1.8314370396841539</v>
      </c>
      <c r="R290" s="16">
        <f>IF('Dry_Litterbag Placem_Collection'!G217="N.A","",'Dry_Litterbag Placem_Collection'!G217)</f>
        <v>43004</v>
      </c>
      <c r="S290" s="195">
        <f>IF(IFERROR(INDEX('Both teabags AfterDry'!$D$1:$D$839,MATCH(H290,'Both teabags AfterDry'!$A$1:$A$839,0)),"")="N.A","",(IFERROR(INDEX('Both teabags AfterDry'!$D$1:$D$839,MATCH(H290,'Both teabags AfterDry'!$A$1:$A$839,0)),"")))</f>
        <v>0.70599999999999996</v>
      </c>
      <c r="T290" s="195">
        <f>IF(IFERROR(INDEX('Both teabags AfterDry'!$D$1:$D$839,MATCH(I290,'Both teabags AfterDry'!$A$1:$A$839,0)),"")="N.A","",(IFERROR(INDEX('Both teabags AfterDry'!$D$1:$D$839,MATCH(I290,'Both teabags AfterDry'!$A$1:$A$839,0)),"")))</f>
        <v>1.7569999999999999</v>
      </c>
      <c r="U290" s="195">
        <f t="shared" si="43"/>
        <v>0.55539999999999989</v>
      </c>
      <c r="V290" s="195">
        <f t="shared" si="43"/>
        <v>1.6063999999999998</v>
      </c>
      <c r="W290" s="195">
        <f>IFERROR(INDEX('Ashed teabags dry'!$K$2:$K$821,MATCH(H290,'Ashed teabags dry'!$A$2:$A$821,0)),"")</f>
        <v>20.06472491909372</v>
      </c>
      <c r="X290" s="195">
        <f>IFERROR(INDEX('Ashed teabags dry'!$K$2:$K$821,MATCH(I290,'Ashed teabags dry'!$A$2:$A$821,0)),"")</f>
        <v>10.652591170825588</v>
      </c>
      <c r="Y290" s="195">
        <f t="shared" si="38"/>
        <v>0.44396051779935342</v>
      </c>
      <c r="Z290" s="195">
        <f t="shared" si="38"/>
        <v>1.4352767754318576</v>
      </c>
      <c r="AA290" s="195">
        <f t="shared" si="44"/>
        <v>0.73486462722350843</v>
      </c>
      <c r="AB290" s="195">
        <f t="shared" si="45"/>
        <v>0.48176398364296519</v>
      </c>
      <c r="AC290" s="195">
        <f t="shared" si="39"/>
        <v>0.78368884342285805</v>
      </c>
      <c r="AD290">
        <f t="shared" si="40"/>
        <v>62</v>
      </c>
      <c r="AE290" s="195">
        <f t="shared" si="46"/>
        <v>0.12723916006709213</v>
      </c>
      <c r="AF290" s="195">
        <f t="shared" si="47"/>
        <v>9.6131803963733393E-3</v>
      </c>
      <c r="AG290" s="255" t="str">
        <f>IF(ISNUMBER(SEARCH("C", 'Dry_Litterbag Placem_Collection'!AB217)),"YES","NO")</f>
        <v>NO</v>
      </c>
      <c r="AH290" s="255" t="str">
        <f>IF(ISNUMBER(SEARCH("H", 'Dry_Litterbag Placem_Collection'!AB217)),"YES","NO")</f>
        <v>NO</v>
      </c>
      <c r="AI290" s="255" t="str">
        <f>IF(ISNUMBER(SEARCH("R", 'Dry_Litterbag Placem_Collection'!AB217)),"YES","NO")</f>
        <v>NO</v>
      </c>
      <c r="AJ290" s="255" t="str">
        <f>IF(ISNUMBER(SEARCH("C", 'Dry_Litterbag Placem_Collection'!AA217)),"YES","NO")</f>
        <v>NO</v>
      </c>
      <c r="AK290" s="255" t="str">
        <f>IF(ISNUMBER(SEARCH("H", 'Dry_Litterbag Placem_Collection'!AA217)),"YES","NO")</f>
        <v>NO</v>
      </c>
      <c r="AL290" s="255" t="str">
        <f>IF(ISNUMBER(SEARCH("R", 'Dry_Litterbag Placem_Collection'!AA217)),"YES","NO")</f>
        <v>NO</v>
      </c>
      <c r="AR290" t="s">
        <v>1922</v>
      </c>
      <c r="AT290" t="s">
        <v>462</v>
      </c>
    </row>
    <row r="291" spans="2:46">
      <c r="B291" t="str">
        <f>'Final data_for_R_analysis_Dryse'!A217</f>
        <v>Dry</v>
      </c>
      <c r="C291" s="263">
        <f>'Final data_for_R_analysis_Dryse'!B217</f>
        <v>216</v>
      </c>
      <c r="D291" t="s">
        <v>2436</v>
      </c>
      <c r="E291" t="s">
        <v>22</v>
      </c>
      <c r="F291" s="387">
        <v>4</v>
      </c>
      <c r="G291" s="16">
        <f>'Dry_Litterbag Placem_Collection'!E218</f>
        <v>42942</v>
      </c>
      <c r="H291" t="str">
        <f>'Final data_for_R_analysis_Dryse'!J217</f>
        <v>G95</v>
      </c>
      <c r="I291" t="str">
        <f>'Final data_for_R_analysis_Dryse'!J437</f>
        <v>R379</v>
      </c>
      <c r="J291">
        <f>IFERROR(INDEX('Green_rooibos initial weight'!$C$5:$C$1749,MATCH(H291, 'Green_rooibos initial weight'!$A$5:$A$1749,0)),"")</f>
        <v>2.1110000000000002</v>
      </c>
      <c r="K291">
        <f>IFERROR(INDEX('Green_rooibos initial weight'!$C$5:$C$1749,MATCH(I291, 'Green_rooibos initial weight'!$A$5:$A$1749,0)),"")</f>
        <v>2.246</v>
      </c>
      <c r="L291" s="195">
        <f t="shared" si="41"/>
        <v>1.8612000000000002</v>
      </c>
      <c r="M291" s="240">
        <f>AVERAGE(Ashed_controlls!$K$1:$K$11)</f>
        <v>5.5147656768714146</v>
      </c>
      <c r="N291" s="195">
        <f t="shared" si="36"/>
        <v>1.7585591812220693</v>
      </c>
      <c r="O291" s="195">
        <f t="shared" si="42"/>
        <v>1.9962</v>
      </c>
      <c r="P291" s="240">
        <f>AVERAGE(Ashed_controlls!$K$12:$K$14)</f>
        <v>2.2816647271287041</v>
      </c>
      <c r="Q291" s="195">
        <f t="shared" si="37"/>
        <v>1.9506534087170568</v>
      </c>
      <c r="R291" s="16">
        <f>IF('Dry_Litterbag Placem_Collection'!G218="N.A","",'Dry_Litterbag Placem_Collection'!G218)</f>
        <v>43004</v>
      </c>
      <c r="S291" s="195">
        <f>IF(IFERROR(INDEX('Both teabags AfterDry'!$D$1:$D$839,MATCH(H291,'Both teabags AfterDry'!$A$1:$A$839,0)),"")="N.A","",(IFERROR(INDEX('Both teabags AfterDry'!$D$1:$D$839,MATCH(H291,'Both teabags AfterDry'!$A$1:$A$839,0)),"")))</f>
        <v>0.80600000000000005</v>
      </c>
      <c r="T291" s="195">
        <f>IF(IFERROR(INDEX('Both teabags AfterDry'!$D$1:$D$839,MATCH(I291,'Both teabags AfterDry'!$A$1:$A$839,0)),"")="N.A","",(IFERROR(INDEX('Both teabags AfterDry'!$D$1:$D$839,MATCH(I291,'Both teabags AfterDry'!$A$1:$A$839,0)),"")))</f>
        <v>1.736</v>
      </c>
      <c r="U291" s="195">
        <f t="shared" si="43"/>
        <v>0.65539999999999998</v>
      </c>
      <c r="V291" s="195">
        <f t="shared" si="43"/>
        <v>1.5853999999999999</v>
      </c>
      <c r="W291" s="195">
        <f>IFERROR(INDEX('Ashed teabags dry'!$K$2:$K$821,MATCH(H291,'Ashed teabags dry'!$A$2:$A$821,0)),"")</f>
        <v>24.313893653516725</v>
      </c>
      <c r="X291" s="195">
        <f>IFERROR(INDEX('Ashed teabags dry'!$K$2:$K$821,MATCH(I291,'Ashed teabags dry'!$A$2:$A$821,0)),"")</f>
        <v>4.8247610377782575</v>
      </c>
      <c r="Y291" s="195">
        <f t="shared" si="38"/>
        <v>0.49604674099485135</v>
      </c>
      <c r="Z291" s="195">
        <f t="shared" si="38"/>
        <v>1.5089082385070633</v>
      </c>
      <c r="AA291" s="195">
        <f t="shared" si="44"/>
        <v>0.71792434039658803</v>
      </c>
      <c r="AB291" s="195">
        <f t="shared" si="45"/>
        <v>0.47065823740963969</v>
      </c>
      <c r="AC291" s="195">
        <f t="shared" si="39"/>
        <v>0.77353989784349808</v>
      </c>
      <c r="AD291">
        <f t="shared" si="40"/>
        <v>62</v>
      </c>
      <c r="AE291" s="195">
        <f t="shared" si="46"/>
        <v>0.14735826556224696</v>
      </c>
      <c r="AF291" s="195">
        <f t="shared" si="47"/>
        <v>1.058310152478994E-2</v>
      </c>
      <c r="AG291" s="255" t="str">
        <f>IF(ISNUMBER(SEARCH("C", 'Dry_Litterbag Placem_Collection'!AB218)),"YES","NO")</f>
        <v>NO</v>
      </c>
      <c r="AH291" s="255" t="str">
        <f>IF(ISNUMBER(SEARCH("H", 'Dry_Litterbag Placem_Collection'!AB218)),"YES","NO")</f>
        <v>NO</v>
      </c>
      <c r="AI291" s="255" t="str">
        <f>IF(ISNUMBER(SEARCH("R", 'Dry_Litterbag Placem_Collection'!AB218)),"YES","NO")</f>
        <v>NO</v>
      </c>
      <c r="AJ291" s="255" t="str">
        <f>IF(ISNUMBER(SEARCH("C", 'Dry_Litterbag Placem_Collection'!AA218)),"YES","NO")</f>
        <v>NO</v>
      </c>
      <c r="AK291" s="255" t="str">
        <f>IF(ISNUMBER(SEARCH("H", 'Dry_Litterbag Placem_Collection'!AA218)),"YES","NO")</f>
        <v>NO</v>
      </c>
      <c r="AL291" s="255" t="str">
        <f>IF(ISNUMBER(SEARCH("R", 'Dry_Litterbag Placem_Collection'!AA218)),"YES","NO")</f>
        <v>NO</v>
      </c>
      <c r="AR291" t="s">
        <v>1955</v>
      </c>
      <c r="AT291" t="s">
        <v>762</v>
      </c>
    </row>
    <row r="292" spans="2:46">
      <c r="B292" t="str">
        <f>'Final data_for_R_analysis_Dryse'!A218</f>
        <v>Dry</v>
      </c>
      <c r="C292" s="263">
        <f>'Final data_for_R_analysis_Dryse'!B218</f>
        <v>217</v>
      </c>
      <c r="D292" t="s">
        <v>2429</v>
      </c>
      <c r="E292" t="s">
        <v>22</v>
      </c>
      <c r="F292" s="387">
        <v>1</v>
      </c>
      <c r="G292" s="16">
        <f>'Dry_Litterbag Placem_Collection'!E219</f>
        <v>42942</v>
      </c>
      <c r="H292" t="str">
        <f>'Final data_for_R_analysis_Dryse'!J218</f>
        <v>G313</v>
      </c>
      <c r="I292" t="str">
        <f>'Final data_for_R_analysis_Dryse'!J438</f>
        <v>R771</v>
      </c>
      <c r="J292">
        <f>IFERROR(INDEX('Green_rooibos initial weight'!$C$5:$C$1749,MATCH(H292, 'Green_rooibos initial weight'!$A$5:$A$1749,0)),"")</f>
        <v>1.923</v>
      </c>
      <c r="K292">
        <f>IFERROR(INDEX('Green_rooibos initial weight'!$C$5:$C$1749,MATCH(I292, 'Green_rooibos initial weight'!$A$5:$A$1749,0)),"")</f>
        <v>2.2309999999999999</v>
      </c>
      <c r="L292" s="195">
        <f t="shared" si="41"/>
        <v>1.6732</v>
      </c>
      <c r="M292" s="240">
        <f>AVERAGE(Ashed_controlls!$K$1:$K$11)</f>
        <v>5.5147656768714146</v>
      </c>
      <c r="N292" s="195">
        <f t="shared" si="36"/>
        <v>1.5809269406945876</v>
      </c>
      <c r="O292" s="195">
        <f t="shared" si="42"/>
        <v>1.9811999999999999</v>
      </c>
      <c r="P292" s="240">
        <f>AVERAGE(Ashed_controlls!$K$12:$K$14)</f>
        <v>2.2816647271287041</v>
      </c>
      <c r="Q292" s="195">
        <f t="shared" si="37"/>
        <v>1.935995658426126</v>
      </c>
      <c r="R292" s="16">
        <f>IF('Dry_Litterbag Placem_Collection'!G219="N.A","",'Dry_Litterbag Placem_Collection'!G219)</f>
        <v>43004</v>
      </c>
      <c r="S292" s="195">
        <f>IF(IFERROR(INDEX('Both teabags AfterDry'!$D$1:$D$839,MATCH(H292,'Both teabags AfterDry'!$A$1:$A$839,0)),"")="N.A","",(IFERROR(INDEX('Both teabags AfterDry'!$D$1:$D$839,MATCH(H292,'Both teabags AfterDry'!$A$1:$A$839,0)),"")))</f>
        <v>0.74719999999999998</v>
      </c>
      <c r="T292" s="195">
        <f>IF(IFERROR(INDEX('Both teabags AfterDry'!$D$1:$D$839,MATCH(I292,'Both teabags AfterDry'!$A$1:$A$839,0)),"")="N.A","",(IFERROR(INDEX('Both teabags AfterDry'!$D$1:$D$839,MATCH(I292,'Both teabags AfterDry'!$A$1:$A$839,0)),"")))</f>
        <v>1.0895999999999999</v>
      </c>
      <c r="U292" s="195">
        <f t="shared" si="43"/>
        <v>0.59660000000000002</v>
      </c>
      <c r="V292" s="195">
        <f t="shared" si="43"/>
        <v>0.93899999999999983</v>
      </c>
      <c r="W292" s="195">
        <f>IFERROR(INDEX('Ashed teabags dry'!$K$2:$K$821,MATCH(H292,'Ashed teabags dry'!$A$2:$A$821,0)),"")</f>
        <v>17.652671755725578</v>
      </c>
      <c r="X292" s="195">
        <f>IFERROR(INDEX('Ashed teabags dry'!$K$2:$K$821,MATCH(I292,'Ashed teabags dry'!$A$2:$A$821,0)),"")</f>
        <v>85.664182376150734</v>
      </c>
      <c r="Y292" s="195">
        <f t="shared" si="38"/>
        <v>0.49128416030534122</v>
      </c>
      <c r="Z292" s="195">
        <f t="shared" si="38"/>
        <v>0.13461332748794463</v>
      </c>
      <c r="AA292" s="195">
        <f t="shared" si="44"/>
        <v>0.68924297027319104</v>
      </c>
      <c r="AB292" s="195">
        <f t="shared" si="45"/>
        <v>0.4518552489201918</v>
      </c>
      <c r="AC292" s="195">
        <f t="shared" si="39"/>
        <v>6.9531833349966793E-2</v>
      </c>
      <c r="AD292">
        <f t="shared" si="40"/>
        <v>62</v>
      </c>
      <c r="AE292" s="195">
        <f t="shared" si="46"/>
        <v>0.18142165050689896</v>
      </c>
      <c r="AF292" s="195" t="str">
        <f t="shared" si="47"/>
        <v/>
      </c>
      <c r="AG292" s="255" t="str">
        <f>IF(ISNUMBER(SEARCH("C", 'Dry_Litterbag Placem_Collection'!AB219)),"YES","NO")</f>
        <v>NO</v>
      </c>
      <c r="AH292" s="255" t="str">
        <f>IF(ISNUMBER(SEARCH("H", 'Dry_Litterbag Placem_Collection'!AB219)),"YES","NO")</f>
        <v>NO</v>
      </c>
      <c r="AI292" s="255" t="str">
        <f>IF(ISNUMBER(SEARCH("R", 'Dry_Litterbag Placem_Collection'!AB219)),"YES","NO")</f>
        <v>NO</v>
      </c>
      <c r="AJ292" s="255" t="str">
        <f>IF(ISNUMBER(SEARCH("C", 'Dry_Litterbag Placem_Collection'!AA219)),"YES","NO")</f>
        <v>NO</v>
      </c>
      <c r="AK292" s="255" t="str">
        <f>IF(ISNUMBER(SEARCH("H", 'Dry_Litterbag Placem_Collection'!AA219)),"YES","NO")</f>
        <v>NO</v>
      </c>
      <c r="AL292" s="255" t="str">
        <f>IF(ISNUMBER(SEARCH("R", 'Dry_Litterbag Placem_Collection'!AA219)),"YES","NO")</f>
        <v>NO</v>
      </c>
      <c r="AR292" t="s">
        <v>1737</v>
      </c>
      <c r="AT292" t="s">
        <v>368</v>
      </c>
    </row>
    <row r="293" spans="2:46">
      <c r="B293" t="str">
        <f>'Final data_for_R_analysis_Dryse'!A219</f>
        <v>Dry</v>
      </c>
      <c r="C293" s="263">
        <f>'Final data_for_R_analysis_Dryse'!B219</f>
        <v>218</v>
      </c>
      <c r="D293" t="s">
        <v>2437</v>
      </c>
      <c r="E293" t="s">
        <v>22</v>
      </c>
      <c r="F293" s="387">
        <v>2</v>
      </c>
      <c r="G293" s="16">
        <f>'Dry_Litterbag Placem_Collection'!E220</f>
        <v>42942</v>
      </c>
      <c r="H293" t="str">
        <f>'Final data_for_R_analysis_Dryse'!J219</f>
        <v>G485</v>
      </c>
      <c r="I293" t="str">
        <f>'Final data_for_R_analysis_Dryse'!J439</f>
        <v>R680</v>
      </c>
      <c r="J293">
        <f>IFERROR(INDEX('Green_rooibos initial weight'!$C$5:$C$1749,MATCH(H293, 'Green_rooibos initial weight'!$A$5:$A$1749,0)),"")</f>
        <v>1.9890000000000001</v>
      </c>
      <c r="K293">
        <f>IFERROR(INDEX('Green_rooibos initial weight'!$C$5:$C$1749,MATCH(I293, 'Green_rooibos initial weight'!$A$5:$A$1749,0)),"")</f>
        <v>2.1080000000000001</v>
      </c>
      <c r="L293" s="195">
        <f t="shared" si="41"/>
        <v>1.7392000000000001</v>
      </c>
      <c r="M293" s="240">
        <f>AVERAGE(Ashed_controlls!$K$1:$K$11)</f>
        <v>5.5147656768714146</v>
      </c>
      <c r="N293" s="195">
        <f t="shared" si="36"/>
        <v>1.6432871953478525</v>
      </c>
      <c r="O293" s="195">
        <f t="shared" si="42"/>
        <v>1.8582000000000001</v>
      </c>
      <c r="P293" s="240">
        <f>AVERAGE(Ashed_controlls!$K$12:$K$14)</f>
        <v>2.2816647271287041</v>
      </c>
      <c r="Q293" s="195">
        <f t="shared" si="37"/>
        <v>1.8158021060404945</v>
      </c>
      <c r="R293" s="16">
        <f>IF('Dry_Litterbag Placem_Collection'!G220="N.A","",'Dry_Litterbag Placem_Collection'!G220)</f>
        <v>43004</v>
      </c>
      <c r="S293" s="195">
        <f>IF(IFERROR(INDEX('Both teabags AfterDry'!$D$1:$D$839,MATCH(H293,'Both teabags AfterDry'!$A$1:$A$839,0)),"")="N.A","",(IFERROR(INDEX('Both teabags AfterDry'!$D$1:$D$839,MATCH(H293,'Both teabags AfterDry'!$A$1:$A$839,0)),"")))</f>
        <v>0.66900000000000004</v>
      </c>
      <c r="T293" s="195">
        <f>IF(IFERROR(INDEX('Both teabags AfterDry'!$D$1:$D$839,MATCH(I293,'Both teabags AfterDry'!$A$1:$A$839,0)),"")="N.A","",(IFERROR(INDEX('Both teabags AfterDry'!$D$1:$D$839,MATCH(I293,'Both teabags AfterDry'!$A$1:$A$839,0)),"")))</f>
        <v>0.17100000000000001</v>
      </c>
      <c r="U293" s="195">
        <f t="shared" si="43"/>
        <v>0.51839999999999997</v>
      </c>
      <c r="V293" s="195">
        <f t="shared" si="43"/>
        <v>2.0400000000000001E-2</v>
      </c>
      <c r="W293" s="195">
        <f>IFERROR(INDEX('Ashed teabags dry'!$K$2:$K$821,MATCH(H293,'Ashed teabags dry'!$A$2:$A$821,0)),"")</f>
        <v>22.069641981362956</v>
      </c>
      <c r="X293" s="195">
        <f>IFERROR(INDEX('Ashed teabags dry'!$K$2:$K$821,MATCH(I293,'Ashed teabags dry'!$A$2:$A$821,0)),"")</f>
        <v>0</v>
      </c>
      <c r="Y293" s="195">
        <f t="shared" si="38"/>
        <v>0.40399097596861444</v>
      </c>
      <c r="Z293" s="195">
        <f t="shared" si="38"/>
        <v>2.0400000000000001E-2</v>
      </c>
      <c r="AA293" s="195">
        <f t="shared" si="44"/>
        <v>0.75415680404964314</v>
      </c>
      <c r="AB293" s="195">
        <f t="shared" si="45"/>
        <v>0.49441158650285394</v>
      </c>
      <c r="AC293" s="195">
        <f t="shared" si="39"/>
        <v>1.1234704449420358E-2</v>
      </c>
      <c r="AD293">
        <f t="shared" si="40"/>
        <v>62</v>
      </c>
      <c r="AE293" s="195">
        <f t="shared" si="46"/>
        <v>0.10432683604555448</v>
      </c>
      <c r="AF293" s="195" t="str">
        <f t="shared" si="47"/>
        <v/>
      </c>
      <c r="AG293" s="255" t="str">
        <f>IF(ISNUMBER(SEARCH("C", 'Dry_Litterbag Placem_Collection'!AB220)),"YES","NO")</f>
        <v>NO</v>
      </c>
      <c r="AH293" s="255" t="str">
        <f>IF(ISNUMBER(SEARCH("H", 'Dry_Litterbag Placem_Collection'!AB220)),"YES","NO")</f>
        <v>NO</v>
      </c>
      <c r="AI293" s="255" t="str">
        <f>IF(ISNUMBER(SEARCH("R", 'Dry_Litterbag Placem_Collection'!AB220)),"YES","NO")</f>
        <v>NO</v>
      </c>
      <c r="AJ293" s="255" t="str">
        <f>IF(ISNUMBER(SEARCH("C", 'Dry_Litterbag Placem_Collection'!AA220)),"YES","NO")</f>
        <v>NO</v>
      </c>
      <c r="AK293" s="255" t="str">
        <f>IF(ISNUMBER(SEARCH("H", 'Dry_Litterbag Placem_Collection'!AA220)),"YES","NO")</f>
        <v>NO</v>
      </c>
      <c r="AL293" s="255" t="str">
        <f>IF(ISNUMBER(SEARCH("R", 'Dry_Litterbag Placem_Collection'!AA220)),"YES","NO")</f>
        <v>NO</v>
      </c>
      <c r="AR293" t="s">
        <v>1565</v>
      </c>
      <c r="AT293" t="s">
        <v>459</v>
      </c>
    </row>
    <row r="294" spans="2:46">
      <c r="B294" t="str">
        <f>'Final data_for_R_analysis_Dryse'!A220</f>
        <v>Dry</v>
      </c>
      <c r="C294" s="386">
        <f>'Final data_for_R_analysis_Dryse'!B220</f>
        <v>219</v>
      </c>
      <c r="D294" t="s">
        <v>2444</v>
      </c>
      <c r="E294" t="s">
        <v>22</v>
      </c>
      <c r="F294" s="387">
        <v>3</v>
      </c>
      <c r="G294" s="388">
        <f>'Dry_Litterbag Placem_Collection'!E221</f>
        <v>42942</v>
      </c>
      <c r="H294" s="92" t="str">
        <f>'Final data_for_R_analysis_Dryse'!J220</f>
        <v>G196</v>
      </c>
      <c r="I294" s="92" t="str">
        <f>'Final data_for_R_analysis_Dryse'!J440</f>
        <v>R178</v>
      </c>
      <c r="J294" s="92">
        <f>IFERROR(INDEX('Green_rooibos initial weight'!$C$5:$C$1749,MATCH(H294, 'Green_rooibos initial weight'!$A$5:$A$1749,0)),"")</f>
        <v>2.028</v>
      </c>
      <c r="K294" s="92">
        <f>IFERROR(INDEX('Green_rooibos initial weight'!$C$5:$C$1749,MATCH(I294, 'Green_rooibos initial weight'!$A$5:$A$1749,0)),"")</f>
        <v>2.222</v>
      </c>
      <c r="L294" s="195">
        <f t="shared" si="41"/>
        <v>1.7782</v>
      </c>
      <c r="M294" s="240">
        <f>AVERAGE(Ashed_controlls!$K$1:$K$11)</f>
        <v>5.5147656768714146</v>
      </c>
      <c r="N294" s="389">
        <f t="shared" si="36"/>
        <v>1.6801364367338725</v>
      </c>
      <c r="O294" s="195">
        <f t="shared" si="42"/>
        <v>1.9722</v>
      </c>
      <c r="P294" s="240">
        <f>AVERAGE(Ashed_controlls!$K$12:$K$14)</f>
        <v>2.2816647271287041</v>
      </c>
      <c r="Q294" s="389">
        <f t="shared" si="37"/>
        <v>1.9272010082515676</v>
      </c>
      <c r="R294" s="388">
        <f>IF('Dry_Litterbag Placem_Collection'!G221="N.A","",'Dry_Litterbag Placem_Collection'!G221)</f>
        <v>43004</v>
      </c>
      <c r="S294" s="195">
        <f>IF(IFERROR(INDEX('Both teabags AfterDry'!$D$1:$D$839,MATCH(H294,'Both teabags AfterDry'!$A$1:$A$839,0)),"")="N.A","",(IFERROR(INDEX('Both teabags AfterDry'!$D$1:$D$839,MATCH(H294,'Both teabags AfterDry'!$A$1:$A$839,0)),"")))</f>
        <v>0.5756</v>
      </c>
      <c r="T294" s="195">
        <f>IF(IFERROR(INDEX('Both teabags AfterDry'!$D$1:$D$839,MATCH(I294,'Both teabags AfterDry'!$A$1:$A$839,0)),"")="N.A","",(IFERROR(INDEX('Both teabags AfterDry'!$D$1:$D$839,MATCH(I294,'Both teabags AfterDry'!$A$1:$A$839,0)),"")))</f>
        <v>1.8229</v>
      </c>
      <c r="U294" s="195">
        <f t="shared" si="43"/>
        <v>0.42499999999999999</v>
      </c>
      <c r="V294" s="195">
        <f t="shared" si="43"/>
        <v>1.6722999999999999</v>
      </c>
      <c r="W294" s="195">
        <f>IFERROR(INDEX('Ashed teabags dry'!$K$2:$K$821,MATCH(H294,'Ashed teabags dry'!$A$2:$A$821,0)),"")</f>
        <v>22.698178237321503</v>
      </c>
      <c r="X294" s="195">
        <f>IFERROR(INDEX('Ashed teabags dry'!$K$2:$K$821,MATCH(I294,'Ashed teabags dry'!$A$2:$A$821,0)),"")</f>
        <v>19.137332672284675</v>
      </c>
      <c r="Y294" s="389">
        <f t="shared" si="38"/>
        <v>0.32853274249138359</v>
      </c>
      <c r="Z294" s="389">
        <f t="shared" si="38"/>
        <v>1.3522663857213832</v>
      </c>
      <c r="AA294" s="195">
        <f t="shared" si="44"/>
        <v>0.80446067634242846</v>
      </c>
      <c r="AB294" s="195">
        <f t="shared" si="45"/>
        <v>0.52738989707959683</v>
      </c>
      <c r="AC294" s="195">
        <f t="shared" si="39"/>
        <v>0.70167376414368543</v>
      </c>
      <c r="AD294" s="92">
        <f t="shared" si="40"/>
        <v>62</v>
      </c>
      <c r="AE294" s="195">
        <f t="shared" si="46"/>
        <v>4.4583519783339076E-2</v>
      </c>
      <c r="AF294" s="195">
        <f t="shared" si="47"/>
        <v>1.3450647679353514E-2</v>
      </c>
      <c r="AG294" s="255" t="str">
        <f>IF(ISNUMBER(SEARCH("C", 'Dry_Litterbag Placem_Collection'!AB221)),"YES","NO")</f>
        <v>NO</v>
      </c>
      <c r="AH294" s="255" t="str">
        <f>IF(ISNUMBER(SEARCH("H", 'Dry_Litterbag Placem_Collection'!AB221)),"YES","NO")</f>
        <v>NO</v>
      </c>
      <c r="AI294" s="255" t="str">
        <f>IF(ISNUMBER(SEARCH("R", 'Dry_Litterbag Placem_Collection'!AB221)),"YES","NO")</f>
        <v>NO</v>
      </c>
      <c r="AJ294" s="255" t="str">
        <f>IF(ISNUMBER(SEARCH("C", 'Dry_Litterbag Placem_Collection'!AA221)),"YES","NO")</f>
        <v>NO</v>
      </c>
      <c r="AK294" s="255" t="str">
        <f>IF(ISNUMBER(SEARCH("H", 'Dry_Litterbag Placem_Collection'!AA221)),"YES","NO")</f>
        <v>NO</v>
      </c>
      <c r="AL294" s="255" t="str">
        <f>IF(ISNUMBER(SEARCH("R", 'Dry_Litterbag Placem_Collection'!AA221)),"YES","NO")</f>
        <v>NO</v>
      </c>
      <c r="AR294" t="s">
        <v>1854</v>
      </c>
      <c r="AT294" t="s">
        <v>963</v>
      </c>
    </row>
    <row r="295" spans="2:46">
      <c r="B295" t="str">
        <f>'Final data_for_R_analysis_Dryse'!A221</f>
        <v>Dry</v>
      </c>
      <c r="C295" s="386">
        <f>'Final data_for_R_analysis_Dryse'!B221</f>
        <v>220</v>
      </c>
      <c r="D295" t="s">
        <v>2451</v>
      </c>
      <c r="E295" t="s">
        <v>22</v>
      </c>
      <c r="F295" s="387">
        <v>4</v>
      </c>
      <c r="G295" s="388">
        <f>'Dry_Litterbag Placem_Collection'!E222</f>
        <v>42942</v>
      </c>
      <c r="H295" s="92" t="str">
        <f>'Final data_for_R_analysis_Dryse'!J221</f>
        <v>G39</v>
      </c>
      <c r="I295" s="92" t="str">
        <f>'Final data_for_R_analysis_Dryse'!J441</f>
        <v>R194</v>
      </c>
      <c r="J295" s="92">
        <f>IFERROR(INDEX('Green_rooibos initial weight'!$C$5:$C$1749,MATCH(H295, 'Green_rooibos initial weight'!$A$5:$A$1749,0)),"")</f>
        <v>2.0670000000000002</v>
      </c>
      <c r="K295" s="92">
        <f>IFERROR(INDEX('Green_rooibos initial weight'!$C$5:$C$1749,MATCH(I295, 'Green_rooibos initial weight'!$A$5:$A$1749,0)),"")</f>
        <v>2.149</v>
      </c>
      <c r="L295" s="195">
        <f t="shared" si="41"/>
        <v>1.8172000000000001</v>
      </c>
      <c r="M295" s="240">
        <f>AVERAGE(Ashed_controlls!$K$1:$K$11)</f>
        <v>5.5147656768714146</v>
      </c>
      <c r="N295" s="389">
        <f t="shared" si="36"/>
        <v>1.7169856781198929</v>
      </c>
      <c r="O295" s="195">
        <f t="shared" si="42"/>
        <v>1.8992</v>
      </c>
      <c r="P295" s="240">
        <f>AVERAGE(Ashed_controlls!$K$12:$K$14)</f>
        <v>2.2816647271287041</v>
      </c>
      <c r="Q295" s="389">
        <f t="shared" si="37"/>
        <v>1.8558666235023717</v>
      </c>
      <c r="R295" s="388">
        <f>IF('Dry_Litterbag Placem_Collection'!G222="N.A","",'Dry_Litterbag Placem_Collection'!G222)</f>
        <v>43004</v>
      </c>
      <c r="S295" s="195" t="str">
        <f>IF(IFERROR(INDEX('Both teabags AfterDry'!$D$1:$D$839,MATCH(H295,'Both teabags AfterDry'!$A$1:$A$839,0)),"")="N.A","",(IFERROR(INDEX('Both teabags AfterDry'!$D$1:$D$839,MATCH(H295,'Both teabags AfterDry'!$A$1:$A$839,0)),"")))</f>
        <v/>
      </c>
      <c r="T295" s="195" t="str">
        <f>IF(IFERROR(INDEX('Both teabags AfterDry'!$D$1:$D$839,MATCH(I295,'Both teabags AfterDry'!$A$1:$A$839,0)),"")="N.A","",(IFERROR(INDEX('Both teabags AfterDry'!$D$1:$D$839,MATCH(I295,'Both teabags AfterDry'!$A$1:$A$839,0)),"")))</f>
        <v/>
      </c>
      <c r="U295" s="195" t="str">
        <f t="shared" si="43"/>
        <v/>
      </c>
      <c r="V295" s="195" t="str">
        <f t="shared" si="43"/>
        <v/>
      </c>
      <c r="W295" s="195" t="str">
        <f>IFERROR(INDEX('Ashed teabags dry'!$K$2:$K$821,MATCH(H295,'Ashed teabags dry'!$A$2:$A$821,0)),"")</f>
        <v/>
      </c>
      <c r="X295" s="195" t="str">
        <f>IFERROR(INDEX('Ashed teabags dry'!$K$2:$K$821,MATCH(I295,'Ashed teabags dry'!$A$2:$A$821,0)),"")</f>
        <v/>
      </c>
      <c r="Y295" s="389" t="str">
        <f t="shared" si="38"/>
        <v/>
      </c>
      <c r="Z295" s="389" t="str">
        <f t="shared" si="38"/>
        <v/>
      </c>
      <c r="AA295" s="195" t="str">
        <f t="shared" si="44"/>
        <v/>
      </c>
      <c r="AB295" s="195" t="str">
        <f t="shared" si="45"/>
        <v/>
      </c>
      <c r="AC295" s="195" t="str">
        <f t="shared" si="39"/>
        <v/>
      </c>
      <c r="AD295" s="92">
        <f t="shared" si="40"/>
        <v>62</v>
      </c>
      <c r="AE295" s="195" t="str">
        <f t="shared" si="46"/>
        <v/>
      </c>
      <c r="AF295" s="195" t="str">
        <f t="shared" si="47"/>
        <v/>
      </c>
      <c r="AG295" s="255" t="str">
        <f>IF(ISNUMBER(SEARCH("C", 'Dry_Litterbag Placem_Collection'!AB222)),"YES","NO")</f>
        <v>NO</v>
      </c>
      <c r="AH295" s="255" t="str">
        <f>IF(ISNUMBER(SEARCH("H", 'Dry_Litterbag Placem_Collection'!AB222)),"YES","NO")</f>
        <v>NO</v>
      </c>
      <c r="AI295" s="255" t="str">
        <f>IF(ISNUMBER(SEARCH("R", 'Dry_Litterbag Placem_Collection'!AB222)),"YES","NO")</f>
        <v>NO</v>
      </c>
      <c r="AJ295" s="255" t="str">
        <f>IF(ISNUMBER(SEARCH("C", 'Dry_Litterbag Placem_Collection'!AA222)),"YES","NO")</f>
        <v>NO</v>
      </c>
      <c r="AK295" s="255" t="str">
        <f>IF(ISNUMBER(SEARCH("H", 'Dry_Litterbag Placem_Collection'!AA222)),"YES","NO")</f>
        <v>NO</v>
      </c>
      <c r="AL295" s="255" t="str">
        <f>IF(ISNUMBER(SEARCH("R", 'Dry_Litterbag Placem_Collection'!AA222)),"YES","NO")</f>
        <v>NO</v>
      </c>
      <c r="AR295" t="s">
        <v>2011</v>
      </c>
      <c r="AT295" t="s">
        <v>947</v>
      </c>
    </row>
    <row r="296" spans="2:46">
      <c r="B296" t="str">
        <f>'Final data_for_R_analysis_Dryse'!A442</f>
        <v>Dry</v>
      </c>
      <c r="C296" s="386">
        <f>'Final data_for_R_analysis_Dryse'!B442</f>
        <v>1</v>
      </c>
      <c r="D296" t="s">
        <v>3824</v>
      </c>
      <c r="E296" t="s">
        <v>25</v>
      </c>
      <c r="F296" s="386">
        <v>1</v>
      </c>
      <c r="G296" s="388">
        <f>'Dry_Litterbag Placem_Collection'!E3</f>
        <v>42938</v>
      </c>
      <c r="H296" s="92" t="str">
        <f>'Final data_for_R_analysis_Dryse'!J442</f>
        <v>G377</v>
      </c>
      <c r="I296" s="92" t="str">
        <f>'Final data_for_R_analysis_Dryse'!J662</f>
        <v>R204</v>
      </c>
      <c r="J296" s="92">
        <f>IFERROR(INDEX('Green_rooibos initial weight'!$C$5:$C$1749,MATCH(H296, 'Green_rooibos initial weight'!$A$5:$A$1749,0)),"")</f>
        <v>2.1030000000000002</v>
      </c>
      <c r="K296" s="92">
        <f>IFERROR(INDEX('Green_rooibos initial weight'!$C$5:$C$1749,MATCH(I296, 'Green_rooibos initial weight'!$A$5:$A$1749,0)),"")</f>
        <v>2.2290000000000001</v>
      </c>
      <c r="L296" s="195">
        <f t="shared" si="41"/>
        <v>1.8532000000000002</v>
      </c>
      <c r="M296" s="240">
        <f>AVERAGE(Ashed_controlls!$K$1:$K$11)</f>
        <v>5.5147656768714146</v>
      </c>
      <c r="N296" s="389">
        <f t="shared" si="36"/>
        <v>1.7510003624762192</v>
      </c>
      <c r="O296" s="195">
        <f t="shared" si="42"/>
        <v>1.9792000000000001</v>
      </c>
      <c r="P296" s="240">
        <f>AVERAGE(Ashed_controlls!$K$12:$K$14)</f>
        <v>2.2816647271287041</v>
      </c>
      <c r="Q296" s="389">
        <f t="shared" si="37"/>
        <v>1.9340412917206689</v>
      </c>
      <c r="R296" s="388">
        <f>IF('Dry_Litterbag Placem_Collection'!G3="N.A","",'Dry_Litterbag Placem_Collection'!G3)</f>
        <v>43007</v>
      </c>
      <c r="S296" s="195">
        <f>IF(IFERROR(INDEX('Both teabags AfterDry'!$D$1:$D$839,MATCH(H296,'Both teabags AfterDry'!$A$1:$A$839,0)),"")="N.A","",(IFERROR(INDEX('Both teabags AfterDry'!$D$1:$D$839,MATCH(H296,'Both teabags AfterDry'!$A$1:$A$839,0)),"")))</f>
        <v>1.3894</v>
      </c>
      <c r="T296" s="195">
        <f>IF(IFERROR(INDEX('Both teabags AfterDry'!$D$1:$D$839,MATCH(I296,'Both teabags AfterDry'!$A$1:$A$839,0)),"")="N.A","",(IFERROR(INDEX('Both teabags AfterDry'!$D$1:$D$839,MATCH(I296,'Both teabags AfterDry'!$A$1:$A$839,0)),"")))</f>
        <v>1.8874</v>
      </c>
      <c r="U296" s="195">
        <f t="shared" si="43"/>
        <v>1.2387999999999999</v>
      </c>
      <c r="V296" s="195">
        <f t="shared" si="43"/>
        <v>1.7367999999999999</v>
      </c>
      <c r="W296" s="195">
        <f>IFERROR(INDEX('Ashed teabags dry'!$K$2:$K$821,MATCH(H296,'Ashed teabags dry'!$A$2:$A$821,0)),"")</f>
        <v>16.862567811935126</v>
      </c>
      <c r="X296" s="195">
        <f>IFERROR(INDEX('Ashed teabags dry'!$K$2:$K$821,MATCH(I296,'Ashed teabags dry'!$A$2:$A$821,0)),"")</f>
        <v>2.3391812865495751</v>
      </c>
      <c r="Y296" s="389">
        <f t="shared" si="38"/>
        <v>1.0299065099457476</v>
      </c>
      <c r="Z296" s="389">
        <f t="shared" si="38"/>
        <v>1.6961730994152069</v>
      </c>
      <c r="AA296" s="195">
        <f t="shared" si="44"/>
        <v>0.41181822002065116</v>
      </c>
      <c r="AB296" s="195">
        <f t="shared" si="45"/>
        <v>0.26998059079738657</v>
      </c>
      <c r="AC296" s="195">
        <f t="shared" si="39"/>
        <v>0.87700976534278829</v>
      </c>
      <c r="AD296" s="92">
        <f t="shared" si="40"/>
        <v>69</v>
      </c>
      <c r="AE296" s="195">
        <f t="shared" si="46"/>
        <v>0.5109047268163287</v>
      </c>
      <c r="AF296" s="195">
        <f t="shared" si="47"/>
        <v>8.8113491353737743E-3</v>
      </c>
      <c r="AG296" s="255" t="str">
        <f>IF(ISNUMBER(SEARCH("C", 'Dry_Litterbag Placem_Collection'!AD3)),"YES","NO")</f>
        <v>NO</v>
      </c>
      <c r="AH296" s="255" t="str">
        <f>IF(ISNUMBER(SEARCH("H", 'Dry_Litterbag Placem_Collection'!AD3)),"YES","NO")</f>
        <v>NO</v>
      </c>
      <c r="AI296" s="255" t="str">
        <f>IF(ISNUMBER(SEARCH("R", 'Dry_Litterbag Placem_Collection'!AD3)),"YES","NO")</f>
        <v>NO</v>
      </c>
      <c r="AJ296" s="255" t="str">
        <f>IF(ISNUMBER(SEARCH("C", 'Dry_Litterbag Placem_Collection'!AC3)),"YES","NO")</f>
        <v>NO</v>
      </c>
      <c r="AK296" s="255" t="str">
        <f>IF(ISNUMBER(SEARCH("H", 'Dry_Litterbag Placem_Collection'!AC3)),"YES","NO")</f>
        <v>NO</v>
      </c>
      <c r="AL296" s="255" t="str">
        <f>IF(ISNUMBER(SEARCH("R", 'Dry_Litterbag Placem_Collection'!AC3)),"YES","NO")</f>
        <v>NO</v>
      </c>
      <c r="AR296" t="s">
        <v>1673</v>
      </c>
      <c r="AT296" t="s">
        <v>937</v>
      </c>
    </row>
    <row r="297" spans="2:46">
      <c r="B297" t="str">
        <f>'Final data_for_R_analysis_Dryse'!A443</f>
        <v>Dry</v>
      </c>
      <c r="C297" s="386">
        <f>'Final data_for_R_analysis_Dryse'!B443</f>
        <v>2</v>
      </c>
      <c r="D297" t="s">
        <v>3824</v>
      </c>
      <c r="E297" t="s">
        <v>25</v>
      </c>
      <c r="F297" s="386">
        <v>2</v>
      </c>
      <c r="G297" s="388">
        <f>'Dry_Litterbag Placem_Collection'!E4</f>
        <v>0</v>
      </c>
      <c r="H297" s="92" t="str">
        <f>'Final data_for_R_analysis_Dryse'!J443</f>
        <v/>
      </c>
      <c r="I297" s="92" t="str">
        <f>'Final data_for_R_analysis_Dryse'!J663</f>
        <v/>
      </c>
      <c r="J297" s="92" t="str">
        <f>IFERROR(INDEX('Green_rooibos initial weight'!$C$5:$C$1749,MATCH(H297, 'Green_rooibos initial weight'!$A$5:$A$1749,0)),"")</f>
        <v/>
      </c>
      <c r="K297" s="92" t="str">
        <f>IFERROR(INDEX('Green_rooibos initial weight'!$C$5:$C$1749,MATCH(I297, 'Green_rooibos initial weight'!$A$5:$A$1749,0)),"")</f>
        <v/>
      </c>
      <c r="L297" s="195" t="str">
        <f t="shared" si="41"/>
        <v/>
      </c>
      <c r="M297" s="240">
        <f>AVERAGE(Ashed_controlls!$K$1:$K$11)</f>
        <v>5.5147656768714146</v>
      </c>
      <c r="N297" s="389" t="str">
        <f t="shared" si="36"/>
        <v/>
      </c>
      <c r="O297" s="195" t="str">
        <f t="shared" si="42"/>
        <v/>
      </c>
      <c r="P297" s="240">
        <f>AVERAGE(Ashed_controlls!$K$12:$K$14)</f>
        <v>2.2816647271287041</v>
      </c>
      <c r="Q297" s="389" t="str">
        <f t="shared" si="37"/>
        <v/>
      </c>
      <c r="R297" s="388">
        <f>IF('Dry_Litterbag Placem_Collection'!G4="N.A","",'Dry_Litterbag Placem_Collection'!G4)</f>
        <v>0</v>
      </c>
      <c r="S297" s="195" t="str">
        <f>IF(IFERROR(INDEX('Both teabags AfterDry'!$D$1:$D$839,MATCH(H297,'Both teabags AfterDry'!$A$1:$A$839,0)),"")="N.A","",(IFERROR(INDEX('Both teabags AfterDry'!$D$1:$D$839,MATCH(H297,'Both teabags AfterDry'!$A$1:$A$839,0)),"")))</f>
        <v/>
      </c>
      <c r="T297" s="195" t="str">
        <f>IF(IFERROR(INDEX('Both teabags AfterDry'!$D$1:$D$839,MATCH(I297,'Both teabags AfterDry'!$A$1:$A$839,0)),"")="N.A","",(IFERROR(INDEX('Both teabags AfterDry'!$D$1:$D$839,MATCH(I297,'Both teabags AfterDry'!$A$1:$A$839,0)),"")))</f>
        <v/>
      </c>
      <c r="U297" s="195" t="str">
        <f t="shared" si="43"/>
        <v/>
      </c>
      <c r="V297" s="195" t="str">
        <f t="shared" si="43"/>
        <v/>
      </c>
      <c r="W297" s="195" t="str">
        <f>IFERROR(INDEX('Ashed teabags dry'!$K$2:$K$821,MATCH(H297,'Ashed teabags dry'!$A$2:$A$821,0)),"")</f>
        <v/>
      </c>
      <c r="X297" s="195" t="str">
        <f>IFERROR(INDEX('Ashed teabags dry'!$K$2:$K$821,MATCH(I297,'Ashed teabags dry'!$A$2:$A$821,0)),"")</f>
        <v/>
      </c>
      <c r="Y297" s="389" t="str">
        <f t="shared" si="38"/>
        <v/>
      </c>
      <c r="Z297" s="389" t="str">
        <f t="shared" si="38"/>
        <v/>
      </c>
      <c r="AA297" s="195" t="str">
        <f t="shared" si="44"/>
        <v/>
      </c>
      <c r="AB297" s="195" t="str">
        <f t="shared" si="45"/>
        <v/>
      </c>
      <c r="AC297" s="195" t="str">
        <f t="shared" si="39"/>
        <v/>
      </c>
      <c r="AD297" s="92" t="str">
        <f t="shared" si="40"/>
        <v/>
      </c>
      <c r="AE297" s="195" t="str">
        <f t="shared" si="46"/>
        <v/>
      </c>
      <c r="AF297" s="195" t="str">
        <f t="shared" si="47"/>
        <v/>
      </c>
      <c r="AG297" s="255" t="str">
        <f>IF(ISNUMBER(SEARCH("C", 'Dry_Litterbag Placem_Collection'!AD4)),"YES","NO")</f>
        <v>NO</v>
      </c>
      <c r="AH297" s="255" t="str">
        <f>IF(ISNUMBER(SEARCH("H", 'Dry_Litterbag Placem_Collection'!AD4)),"YES","NO")</f>
        <v>NO</v>
      </c>
      <c r="AI297" s="255" t="str">
        <f>IF(ISNUMBER(SEARCH("R", 'Dry_Litterbag Placem_Collection'!AD4)),"YES","NO")</f>
        <v>NO</v>
      </c>
      <c r="AJ297" s="255" t="str">
        <f>IF(ISNUMBER(SEARCH("C", 'Dry_Litterbag Placem_Collection'!AC4)),"YES","NO")</f>
        <v>NO</v>
      </c>
      <c r="AK297" s="255" t="str">
        <f>IF(ISNUMBER(SEARCH("H", 'Dry_Litterbag Placem_Collection'!AC4)),"YES","NO")</f>
        <v>NO</v>
      </c>
      <c r="AL297" s="255" t="str">
        <f>IF(ISNUMBER(SEARCH("R", 'Dry_Litterbag Placem_Collection'!AC4)),"YES","NO")</f>
        <v>NO</v>
      </c>
      <c r="AR297" t="s">
        <v>3654</v>
      </c>
      <c r="AT297" t="s">
        <v>3654</v>
      </c>
    </row>
    <row r="298" spans="2:46">
      <c r="B298" t="str">
        <f>'Final data_for_R_analysis_Dryse'!A444</f>
        <v>Dry</v>
      </c>
      <c r="C298" s="263">
        <f>'Final data_for_R_analysis_Dryse'!B444</f>
        <v>3</v>
      </c>
      <c r="D298" t="s">
        <v>3824</v>
      </c>
      <c r="E298" t="s">
        <v>25</v>
      </c>
      <c r="F298" s="386">
        <v>3</v>
      </c>
      <c r="G298" s="16">
        <f>'Dry_Litterbag Placem_Collection'!E5</f>
        <v>42938</v>
      </c>
      <c r="H298" s="92" t="str">
        <f>'Final data_for_R_analysis_Dryse'!J444</f>
        <v>G44</v>
      </c>
      <c r="I298" t="str">
        <f>'Final data_for_R_analysis_Dryse'!J664</f>
        <v>R283</v>
      </c>
      <c r="J298">
        <f>IFERROR(INDEX('Green_rooibos initial weight'!$C$5:$C$1749,MATCH(H298, 'Green_rooibos initial weight'!$A$5:$A$1749,0)),"")</f>
        <v>2.0680000000000001</v>
      </c>
      <c r="K298">
        <f>IFERROR(INDEX('Green_rooibos initial weight'!$C$5:$C$1749,MATCH(I298, 'Green_rooibos initial weight'!$A$5:$A$1749,0)),"")</f>
        <v>2.21</v>
      </c>
      <c r="L298" s="195">
        <f t="shared" si="41"/>
        <v>1.8182</v>
      </c>
      <c r="M298" s="240">
        <f>AVERAGE(Ashed_controlls!$K$1:$K$11)</f>
        <v>5.5147656768714146</v>
      </c>
      <c r="N298" s="195">
        <f t="shared" si="36"/>
        <v>1.7179305304631241</v>
      </c>
      <c r="O298" s="195">
        <f t="shared" si="42"/>
        <v>1.9601999999999999</v>
      </c>
      <c r="P298" s="240">
        <f>AVERAGE(Ashed_controlls!$K$12:$K$14)</f>
        <v>2.2816647271287041</v>
      </c>
      <c r="Q298" s="195">
        <f t="shared" si="37"/>
        <v>1.9154748080188231</v>
      </c>
      <c r="R298" s="16">
        <f>IF('Dry_Litterbag Placem_Collection'!G5="N.A","",'Dry_Litterbag Placem_Collection'!G5)</f>
        <v>43007</v>
      </c>
      <c r="S298" s="195">
        <f>IF(IFERROR(INDEX('Both teabags AfterDry'!$D$1:$D$839,MATCH(H298,'Both teabags AfterDry'!$A$1:$A$839,0)),"")="N.A","",(IFERROR(INDEX('Both teabags AfterDry'!$D$1:$D$839,MATCH(H298,'Both teabags AfterDry'!$A$1:$A$839,0)),"")))</f>
        <v>1.5553999999999999</v>
      </c>
      <c r="T298" s="195">
        <f>IF(IFERROR(INDEX('Both teabags AfterDry'!$D$1:$D$839,MATCH(I298,'Both teabags AfterDry'!$A$1:$A$839,0)),"")="N.A","",(IFERROR(INDEX('Both teabags AfterDry'!$D$1:$D$839,MATCH(I298,'Both teabags AfterDry'!$A$1:$A$839,0)),"")))</f>
        <v>1.9180999999999999</v>
      </c>
      <c r="U298" s="195">
        <f t="shared" si="43"/>
        <v>1.4047999999999998</v>
      </c>
      <c r="V298" s="195">
        <f t="shared" si="43"/>
        <v>1.7674999999999998</v>
      </c>
      <c r="W298" s="195">
        <f>IFERROR(INDEX('Ashed teabags dry'!$K$2:$K$821,MATCH(H298,'Ashed teabags dry'!$A$2:$A$821,0)),"")</f>
        <v>10.622710622710303</v>
      </c>
      <c r="X298" s="195">
        <f>IFERROR(INDEX('Ashed teabags dry'!$K$2:$K$821,MATCH(I298,'Ashed teabags dry'!$A$2:$A$821,0)),"")</f>
        <v>2.5675077467904308</v>
      </c>
      <c r="Y298" s="195">
        <f t="shared" si="38"/>
        <v>1.2555721611721655</v>
      </c>
      <c r="Z298" s="195">
        <f t="shared" si="38"/>
        <v>1.7221193005754789</v>
      </c>
      <c r="AA298" s="195">
        <f t="shared" si="44"/>
        <v>0.26913682543747264</v>
      </c>
      <c r="AB298" s="195">
        <f t="shared" si="45"/>
        <v>0.17644124422979202</v>
      </c>
      <c r="AC298" s="195">
        <f t="shared" si="39"/>
        <v>0.89905609479493398</v>
      </c>
      <c r="AD298">
        <f t="shared" si="40"/>
        <v>69</v>
      </c>
      <c r="AE298" s="195">
        <f t="shared" si="46"/>
        <v>0.68036006480110145</v>
      </c>
      <c r="AF298" s="195">
        <f t="shared" si="47"/>
        <v>1.2302761103499002E-2</v>
      </c>
      <c r="AG298" s="255" t="str">
        <f>IF(ISNUMBER(SEARCH("C", 'Dry_Litterbag Placem_Collection'!AD5)),"YES","NO")</f>
        <v>NO</v>
      </c>
      <c r="AH298" s="255" t="str">
        <f>IF(ISNUMBER(SEARCH("H", 'Dry_Litterbag Placem_Collection'!AD5)),"YES","NO")</f>
        <v>NO</v>
      </c>
      <c r="AI298" s="255" t="str">
        <f>IF(ISNUMBER(SEARCH("R", 'Dry_Litterbag Placem_Collection'!AD5)),"YES","NO")</f>
        <v>NO</v>
      </c>
      <c r="AJ298" s="255" t="str">
        <f>IF(ISNUMBER(SEARCH("C", 'Dry_Litterbag Placem_Collection'!AC5)),"YES","NO")</f>
        <v>NO</v>
      </c>
      <c r="AK298" s="255" t="str">
        <f>IF(ISNUMBER(SEARCH("H", 'Dry_Litterbag Placem_Collection'!AC5)),"YES","NO")</f>
        <v>NO</v>
      </c>
      <c r="AL298" s="255" t="str">
        <f>IF(ISNUMBER(SEARCH("R", 'Dry_Litterbag Placem_Collection'!AC5)),"YES","NO")</f>
        <v>NO</v>
      </c>
      <c r="AR298" t="s">
        <v>2006</v>
      </c>
      <c r="AT298" t="s">
        <v>858</v>
      </c>
    </row>
    <row r="299" spans="2:46">
      <c r="B299" t="str">
        <f>'Final data_for_R_analysis_Dryse'!A445</f>
        <v>Dry</v>
      </c>
      <c r="C299" s="263">
        <f>'Final data_for_R_analysis_Dryse'!B445</f>
        <v>4</v>
      </c>
      <c r="D299" t="s">
        <v>3824</v>
      </c>
      <c r="E299" t="s">
        <v>25</v>
      </c>
      <c r="F299" s="387">
        <v>4</v>
      </c>
      <c r="G299" s="16">
        <f>'Dry_Litterbag Placem_Collection'!E6</f>
        <v>42938</v>
      </c>
      <c r="H299" s="92" t="str">
        <f>'Final data_for_R_analysis_Dryse'!J445</f>
        <v>G357</v>
      </c>
      <c r="I299" t="str">
        <f>'Final data_for_R_analysis_Dryse'!J665</f>
        <v>R298</v>
      </c>
      <c r="J299">
        <f>IFERROR(INDEX('Green_rooibos initial weight'!$C$5:$C$1749,MATCH(H299, 'Green_rooibos initial weight'!$A$5:$A$1749,0)),"")</f>
        <v>1.996</v>
      </c>
      <c r="K299">
        <f>IFERROR(INDEX('Green_rooibos initial weight'!$C$5:$C$1749,MATCH(I299, 'Green_rooibos initial weight'!$A$5:$A$1749,0)),"")</f>
        <v>2.2229999999999999</v>
      </c>
      <c r="L299" s="195">
        <f t="shared" si="41"/>
        <v>1.7462</v>
      </c>
      <c r="M299" s="240">
        <f>AVERAGE(Ashed_controlls!$K$1:$K$11)</f>
        <v>5.5147656768714146</v>
      </c>
      <c r="N299" s="195">
        <f t="shared" si="36"/>
        <v>1.6499011617504713</v>
      </c>
      <c r="O299" s="195">
        <f t="shared" si="42"/>
        <v>1.9731999999999998</v>
      </c>
      <c r="P299" s="240">
        <f>AVERAGE(Ashed_controlls!$K$12:$K$14)</f>
        <v>2.2816647271287041</v>
      </c>
      <c r="Q299" s="195">
        <f t="shared" si="37"/>
        <v>1.9281781916042962</v>
      </c>
      <c r="R299" s="16">
        <f>IF('Dry_Litterbag Placem_Collection'!G6="N.A","",'Dry_Litterbag Placem_Collection'!G6)</f>
        <v>43007</v>
      </c>
      <c r="S299" s="195">
        <f>IF(IFERROR(INDEX('Both teabags AfterDry'!$D$1:$D$839,MATCH(H299,'Both teabags AfterDry'!$A$1:$A$839,0)),"")="N.A","",(IFERROR(INDEX('Both teabags AfterDry'!$D$1:$D$839,MATCH(H299,'Both teabags AfterDry'!$A$1:$A$839,0)),"")))</f>
        <v>1.6417999999999999</v>
      </c>
      <c r="T299" s="195">
        <f>IF(IFERROR(INDEX('Both teabags AfterDry'!$D$1:$D$839,MATCH(I299,'Both teabags AfterDry'!$A$1:$A$839,0)),"")="N.A","",(IFERROR(INDEX('Both teabags AfterDry'!$D$1:$D$839,MATCH(I299,'Both teabags AfterDry'!$A$1:$A$839,0)),"")))</f>
        <v>1.9487000000000001</v>
      </c>
      <c r="U299" s="195">
        <f t="shared" si="43"/>
        <v>1.4911999999999999</v>
      </c>
      <c r="V299" s="195">
        <f t="shared" si="43"/>
        <v>1.7981</v>
      </c>
      <c r="W299" s="195">
        <f>IFERROR(INDEX('Ashed teabags dry'!$K$2:$K$821,MATCH(H299,'Ashed teabags dry'!$A$2:$A$821,0)),"")</f>
        <v>6.3956144358153066</v>
      </c>
      <c r="X299" s="195">
        <f>IFERROR(INDEX('Ashed teabags dry'!$K$2:$K$821,MATCH(I299,'Ashed teabags dry'!$A$2:$A$821,0)),"")</f>
        <v>2.1226415094341604</v>
      </c>
      <c r="Y299" s="195">
        <f t="shared" si="38"/>
        <v>1.3958285975331219</v>
      </c>
      <c r="Z299" s="195">
        <f t="shared" si="38"/>
        <v>1.7599327830188645</v>
      </c>
      <c r="AA299" s="195">
        <f t="shared" si="44"/>
        <v>0.15399259671275689</v>
      </c>
      <c r="AB299" s="195">
        <f t="shared" si="45"/>
        <v>0.10095476649102354</v>
      </c>
      <c r="AC299" s="195">
        <f t="shared" si="39"/>
        <v>0.91274384840674561</v>
      </c>
      <c r="AD299">
        <f t="shared" si="40"/>
        <v>69</v>
      </c>
      <c r="AE299" s="195">
        <f t="shared" si="46"/>
        <v>0.81711093026988491</v>
      </c>
      <c r="AF299" s="195">
        <f t="shared" si="47"/>
        <v>2.8947504849692458E-2</v>
      </c>
      <c r="AG299" s="255" t="str">
        <f>IF(ISNUMBER(SEARCH("C", 'Dry_Litterbag Placem_Collection'!AD6)),"YES","NO")</f>
        <v>NO</v>
      </c>
      <c r="AH299" s="255" t="str">
        <f>IF(ISNUMBER(SEARCH("H", 'Dry_Litterbag Placem_Collection'!AD6)),"YES","NO")</f>
        <v>NO</v>
      </c>
      <c r="AI299" s="255" t="str">
        <f>IF(ISNUMBER(SEARCH("R", 'Dry_Litterbag Placem_Collection'!AD6)),"YES","NO")</f>
        <v>NO</v>
      </c>
      <c r="AJ299" s="255" t="str">
        <f>IF(ISNUMBER(SEARCH("C", 'Dry_Litterbag Placem_Collection'!AC6)),"YES","NO")</f>
        <v>NO</v>
      </c>
      <c r="AK299" s="255" t="str">
        <f>IF(ISNUMBER(SEARCH("H", 'Dry_Litterbag Placem_Collection'!AC6)),"YES","NO")</f>
        <v>NO</v>
      </c>
      <c r="AL299" s="255" t="str">
        <f>IF(ISNUMBER(SEARCH("R", 'Dry_Litterbag Placem_Collection'!AC6)),"YES","NO")</f>
        <v>NO</v>
      </c>
      <c r="AR299" t="s">
        <v>1693</v>
      </c>
      <c r="AT299" t="s">
        <v>843</v>
      </c>
    </row>
    <row r="300" spans="2:46">
      <c r="B300" t="str">
        <f>'Final data_for_R_analysis_Dryse'!A446</f>
        <v>Dry</v>
      </c>
      <c r="C300" s="263">
        <f>'Final data_for_R_analysis_Dryse'!B446</f>
        <v>5</v>
      </c>
      <c r="D300" t="s">
        <v>3824</v>
      </c>
      <c r="E300" t="s">
        <v>25</v>
      </c>
      <c r="F300" s="387">
        <v>5</v>
      </c>
      <c r="G300" s="16">
        <f>'Dry_Litterbag Placem_Collection'!E7</f>
        <v>42938</v>
      </c>
      <c r="H300" s="92" t="str">
        <f>'Final data_for_R_analysis_Dryse'!J446</f>
        <v>G734</v>
      </c>
      <c r="I300" t="str">
        <f>'Final data_for_R_analysis_Dryse'!J666</f>
        <v>R226</v>
      </c>
      <c r="J300">
        <f>IFERROR(INDEX('Green_rooibos initial weight'!$C$5:$C$1749,MATCH(H300, 'Green_rooibos initial weight'!$A$5:$A$1749,0)),"")</f>
        <v>1.9870000000000001</v>
      </c>
      <c r="K300">
        <f>IFERROR(INDEX('Green_rooibos initial weight'!$C$5:$C$1749,MATCH(I300, 'Green_rooibos initial weight'!$A$5:$A$1749,0)),"")</f>
        <v>2.2410000000000001</v>
      </c>
      <c r="L300" s="195">
        <f t="shared" si="41"/>
        <v>1.7372000000000001</v>
      </c>
      <c r="M300" s="240">
        <f>AVERAGE(Ashed_controlls!$K$1:$K$11)</f>
        <v>5.5147656768714146</v>
      </c>
      <c r="N300" s="195">
        <f t="shared" si="36"/>
        <v>1.64139749066139</v>
      </c>
      <c r="O300" s="195">
        <f t="shared" si="42"/>
        <v>1.9912000000000001</v>
      </c>
      <c r="P300" s="240">
        <f>AVERAGE(Ashed_controlls!$K$12:$K$14)</f>
        <v>2.2816647271287041</v>
      </c>
      <c r="Q300" s="195">
        <f t="shared" si="37"/>
        <v>1.9457674919534134</v>
      </c>
      <c r="R300" s="16">
        <f>IF('Dry_Litterbag Placem_Collection'!G7="N.A","",'Dry_Litterbag Placem_Collection'!G7)</f>
        <v>0</v>
      </c>
      <c r="S300" s="195" t="str">
        <f>IF(IFERROR(INDEX('Both teabags AfterDry'!$D$1:$D$839,MATCH(H300,'Both teabags AfterDry'!$A$1:$A$839,0)),"")="N.A","",(IFERROR(INDEX('Both teabags AfterDry'!$D$1:$D$839,MATCH(H300,'Both teabags AfterDry'!$A$1:$A$839,0)),"")))</f>
        <v/>
      </c>
      <c r="T300" s="195" t="str">
        <f>IF(IFERROR(INDEX('Both teabags AfterDry'!$D$1:$D$839,MATCH(I300,'Both teabags AfterDry'!$A$1:$A$839,0)),"")="N.A","",(IFERROR(INDEX('Both teabags AfterDry'!$D$1:$D$839,MATCH(I300,'Both teabags AfterDry'!$A$1:$A$839,0)),"")))</f>
        <v/>
      </c>
      <c r="U300" s="195" t="str">
        <f t="shared" si="43"/>
        <v/>
      </c>
      <c r="V300" s="195" t="str">
        <f t="shared" si="43"/>
        <v/>
      </c>
      <c r="W300" s="195" t="str">
        <f>IFERROR(INDEX('Ashed teabags dry'!$K$2:$K$821,MATCH(H300,'Ashed teabags dry'!$A$2:$A$821,0)),"")</f>
        <v/>
      </c>
      <c r="X300" s="195" t="str">
        <f>IFERROR(INDEX('Ashed teabags dry'!$K$2:$K$821,MATCH(I300,'Ashed teabags dry'!$A$2:$A$821,0)),"")</f>
        <v/>
      </c>
      <c r="Y300" s="195" t="str">
        <f t="shared" si="38"/>
        <v/>
      </c>
      <c r="Z300" s="195" t="str">
        <f t="shared" si="38"/>
        <v/>
      </c>
      <c r="AA300" s="195" t="str">
        <f t="shared" si="44"/>
        <v/>
      </c>
      <c r="AB300" s="195" t="str">
        <f t="shared" si="45"/>
        <v/>
      </c>
      <c r="AC300" s="195" t="str">
        <f t="shared" si="39"/>
        <v/>
      </c>
      <c r="AD300" t="str">
        <f t="shared" si="40"/>
        <v/>
      </c>
      <c r="AE300" s="195" t="str">
        <f t="shared" si="46"/>
        <v/>
      </c>
      <c r="AF300" s="195" t="str">
        <f t="shared" si="47"/>
        <v/>
      </c>
      <c r="AG300" s="255" t="str">
        <f>IF(ISNUMBER(SEARCH("C", 'Dry_Litterbag Placem_Collection'!AD7)),"YES","NO")</f>
        <v>NO</v>
      </c>
      <c r="AH300" s="255" t="str">
        <f>IF(ISNUMBER(SEARCH("H", 'Dry_Litterbag Placem_Collection'!AD7)),"YES","NO")</f>
        <v>NO</v>
      </c>
      <c r="AI300" s="255" t="str">
        <f>IF(ISNUMBER(SEARCH("R", 'Dry_Litterbag Placem_Collection'!AD7)),"YES","NO")</f>
        <v>NO</v>
      </c>
      <c r="AJ300" s="255" t="str">
        <f>IF(ISNUMBER(SEARCH("C", 'Dry_Litterbag Placem_Collection'!AC7)),"YES","NO")</f>
        <v>NO</v>
      </c>
      <c r="AK300" s="255" t="str">
        <f>IF(ISNUMBER(SEARCH("H", 'Dry_Litterbag Placem_Collection'!AC7)),"YES","NO")</f>
        <v>NO</v>
      </c>
      <c r="AL300" s="255" t="str">
        <f>IF(ISNUMBER(SEARCH("R", 'Dry_Litterbag Placem_Collection'!AC7)),"YES","NO")</f>
        <v>NO</v>
      </c>
      <c r="AR300" t="s">
        <v>1316</v>
      </c>
      <c r="AT300" t="s">
        <v>915</v>
      </c>
    </row>
    <row r="301" spans="2:46">
      <c r="B301" t="str">
        <f>'Final data_for_R_analysis_Dryse'!A447</f>
        <v>Dry</v>
      </c>
      <c r="C301" s="263">
        <f>'Final data_for_R_analysis_Dryse'!B447</f>
        <v>6</v>
      </c>
      <c r="D301" t="s">
        <v>3824</v>
      </c>
      <c r="E301" t="s">
        <v>25</v>
      </c>
      <c r="F301" s="387">
        <v>6</v>
      </c>
      <c r="G301" s="16">
        <f>'Dry_Litterbag Placem_Collection'!E8</f>
        <v>42938</v>
      </c>
      <c r="H301" s="92" t="str">
        <f>'Final data_for_R_analysis_Dryse'!J447</f>
        <v>G164</v>
      </c>
      <c r="I301" t="str">
        <f>'Final data_for_R_analysis_Dryse'!J667</f>
        <v>R286</v>
      </c>
      <c r="J301">
        <f>IFERROR(INDEX('Green_rooibos initial weight'!$C$5:$C$1749,MATCH(H301, 'Green_rooibos initial weight'!$A$5:$A$1749,0)),"")</f>
        <v>1.994</v>
      </c>
      <c r="K301">
        <f>IFERROR(INDEX('Green_rooibos initial weight'!$C$5:$C$1749,MATCH(I301, 'Green_rooibos initial weight'!$A$5:$A$1749,0)),"")</f>
        <v>2.2160000000000002</v>
      </c>
      <c r="L301" s="195">
        <f t="shared" si="41"/>
        <v>1.7442</v>
      </c>
      <c r="M301" s="240">
        <f>AVERAGE(Ashed_controlls!$K$1:$K$11)</f>
        <v>5.5147656768714146</v>
      </c>
      <c r="N301" s="195">
        <f t="shared" si="36"/>
        <v>1.6480114570640088</v>
      </c>
      <c r="O301" s="195">
        <f t="shared" si="42"/>
        <v>1.9662000000000002</v>
      </c>
      <c r="P301" s="240">
        <f>AVERAGE(Ashed_controlls!$K$12:$K$14)</f>
        <v>2.2816647271287041</v>
      </c>
      <c r="Q301" s="195">
        <f t="shared" si="37"/>
        <v>1.9213379081351956</v>
      </c>
      <c r="R301" s="16">
        <f>IF('Dry_Litterbag Placem_Collection'!G8="N.A","",'Dry_Litterbag Placem_Collection'!G8)</f>
        <v>43007</v>
      </c>
      <c r="S301" s="195" t="str">
        <f>IF(IFERROR(INDEX('Both teabags AfterDry'!$D$1:$D$839,MATCH(H301,'Both teabags AfterDry'!$A$1:$A$839,0)),"")="N.A","",(IFERROR(INDEX('Both teabags AfterDry'!$D$1:$D$839,MATCH(H301,'Both teabags AfterDry'!$A$1:$A$839,0)),"")))</f>
        <v/>
      </c>
      <c r="T301" s="195" t="str">
        <f>IF(IFERROR(INDEX('Both teabags AfterDry'!$D$1:$D$839,MATCH(I301,'Both teabags AfterDry'!$A$1:$A$839,0)),"")="N.A","",(IFERROR(INDEX('Both teabags AfterDry'!$D$1:$D$839,MATCH(I301,'Both teabags AfterDry'!$A$1:$A$839,0)),"")))</f>
        <v/>
      </c>
      <c r="U301" s="195" t="str">
        <f t="shared" si="43"/>
        <v/>
      </c>
      <c r="V301" s="195" t="str">
        <f t="shared" si="43"/>
        <v/>
      </c>
      <c r="W301" s="195" t="str">
        <f>IFERROR(INDEX('Ashed teabags dry'!$K$2:$K$821,MATCH(H301,'Ashed teabags dry'!$A$2:$A$821,0)),"")</f>
        <v/>
      </c>
      <c r="X301" s="195" t="str">
        <f>IFERROR(INDEX('Ashed teabags dry'!$K$2:$K$821,MATCH(I301,'Ashed teabags dry'!$A$2:$A$821,0)),"")</f>
        <v/>
      </c>
      <c r="Y301" s="195" t="str">
        <f t="shared" si="38"/>
        <v/>
      </c>
      <c r="Z301" s="195" t="str">
        <f t="shared" si="38"/>
        <v/>
      </c>
      <c r="AA301" s="195" t="str">
        <f t="shared" si="44"/>
        <v/>
      </c>
      <c r="AB301" s="195" t="str">
        <f t="shared" si="45"/>
        <v/>
      </c>
      <c r="AC301" s="195" t="str">
        <f t="shared" si="39"/>
        <v/>
      </c>
      <c r="AD301">
        <f t="shared" si="40"/>
        <v>69</v>
      </c>
      <c r="AE301" s="195" t="str">
        <f t="shared" si="46"/>
        <v/>
      </c>
      <c r="AF301" s="195" t="str">
        <f t="shared" si="47"/>
        <v/>
      </c>
      <c r="AG301" s="255" t="str">
        <f>IF(ISNUMBER(SEARCH("C", 'Dry_Litterbag Placem_Collection'!AD8)),"YES","NO")</f>
        <v>NO</v>
      </c>
      <c r="AH301" s="255" t="str">
        <f>IF(ISNUMBER(SEARCH("H", 'Dry_Litterbag Placem_Collection'!AD8)),"YES","NO")</f>
        <v>NO</v>
      </c>
      <c r="AI301" s="255" t="str">
        <f>IF(ISNUMBER(SEARCH("R", 'Dry_Litterbag Placem_Collection'!AD8)),"YES","NO")</f>
        <v>NO</v>
      </c>
      <c r="AJ301" s="255" t="str">
        <f>IF(ISNUMBER(SEARCH("C", 'Dry_Litterbag Placem_Collection'!AC8)),"YES","NO")</f>
        <v>NO</v>
      </c>
      <c r="AK301" s="255" t="str">
        <f>IF(ISNUMBER(SEARCH("H", 'Dry_Litterbag Placem_Collection'!AC8)),"YES","NO")</f>
        <v>NO</v>
      </c>
      <c r="AL301" s="255" t="str">
        <f>IF(ISNUMBER(SEARCH("R", 'Dry_Litterbag Placem_Collection'!AC8)),"YES","NO")</f>
        <v>NO</v>
      </c>
      <c r="AR301" t="s">
        <v>1886</v>
      </c>
      <c r="AT301" t="s">
        <v>855</v>
      </c>
    </row>
    <row r="302" spans="2:46">
      <c r="B302" t="str">
        <f>'Final data_for_R_analysis_Dryse'!A448</f>
        <v>Dry</v>
      </c>
      <c r="C302" s="263">
        <f>'Final data_for_R_analysis_Dryse'!B448</f>
        <v>7</v>
      </c>
      <c r="D302" t="s">
        <v>3824</v>
      </c>
      <c r="E302" t="s">
        <v>25</v>
      </c>
      <c r="F302" s="387">
        <v>7</v>
      </c>
      <c r="G302" s="16">
        <f>'Dry_Litterbag Placem_Collection'!E9</f>
        <v>42938</v>
      </c>
      <c r="H302" s="92" t="str">
        <f>'Final data_for_R_analysis_Dryse'!J448</f>
        <v>G776</v>
      </c>
      <c r="I302" t="str">
        <f>'Final data_for_R_analysis_Dryse'!J668</f>
        <v>R210</v>
      </c>
      <c r="J302">
        <f>IFERROR(INDEX('Green_rooibos initial weight'!$C$5:$C$1749,MATCH(H302, 'Green_rooibos initial weight'!$A$5:$A$1749,0)),"")</f>
        <v>1.9790000000000001</v>
      </c>
      <c r="K302">
        <f>IFERROR(INDEX('Green_rooibos initial weight'!$C$5:$C$1749,MATCH(I302, 'Green_rooibos initial weight'!$A$5:$A$1749,0)),"")</f>
        <v>2.2429999999999999</v>
      </c>
      <c r="L302" s="195">
        <f t="shared" si="41"/>
        <v>1.7292000000000001</v>
      </c>
      <c r="M302" s="240">
        <f>AVERAGE(Ashed_controlls!$K$1:$K$11)</f>
        <v>5.5147656768714146</v>
      </c>
      <c r="N302" s="195">
        <f t="shared" si="36"/>
        <v>1.6338386719155396</v>
      </c>
      <c r="O302" s="195">
        <f t="shared" si="42"/>
        <v>1.9931999999999999</v>
      </c>
      <c r="P302" s="240">
        <f>AVERAGE(Ashed_controlls!$K$12:$K$14)</f>
        <v>2.2816647271287041</v>
      </c>
      <c r="Q302" s="195">
        <f t="shared" si="37"/>
        <v>1.9477218586588705</v>
      </c>
      <c r="R302" s="16">
        <f>IF('Dry_Litterbag Placem_Collection'!G9="N.A","",'Dry_Litterbag Placem_Collection'!G9)</f>
        <v>43007</v>
      </c>
      <c r="S302" s="195">
        <f>IF(IFERROR(INDEX('Both teabags AfterDry'!$D$1:$D$839,MATCH(H302,'Both teabags AfterDry'!$A$1:$A$839,0)),"")="N.A","",(IFERROR(INDEX('Both teabags AfterDry'!$D$1:$D$839,MATCH(H302,'Both teabags AfterDry'!$A$1:$A$839,0)),"")))</f>
        <v>1.8093999999999999</v>
      </c>
      <c r="T302" s="195">
        <f>IF(IFERROR(INDEX('Both teabags AfterDry'!$D$1:$D$839,MATCH(I302,'Both teabags AfterDry'!$A$1:$A$839,0)),"")="N.A","",(IFERROR(INDEX('Both teabags AfterDry'!$D$1:$D$839,MATCH(I302,'Both teabags AfterDry'!$A$1:$A$839,0)),"")))</f>
        <v>2.0261</v>
      </c>
      <c r="U302" s="195">
        <f t="shared" si="43"/>
        <v>1.6587999999999998</v>
      </c>
      <c r="V302" s="195">
        <f t="shared" si="43"/>
        <v>1.8754999999999999</v>
      </c>
      <c r="W302" s="195">
        <f>IFERROR(INDEX('Ashed teabags dry'!$K$2:$K$821,MATCH(H302,'Ashed teabags dry'!$A$2:$A$821,0)),"")</f>
        <v>5.924510272335799</v>
      </c>
      <c r="X302" s="195">
        <f>IFERROR(INDEX('Ashed teabags dry'!$K$2:$K$821,MATCH(I302,'Ashed teabags dry'!$A$2:$A$821,0)),"")</f>
        <v>3.0331753554506005</v>
      </c>
      <c r="Y302" s="195">
        <f t="shared" si="38"/>
        <v>1.5605242236024937</v>
      </c>
      <c r="Z302" s="195">
        <f t="shared" si="38"/>
        <v>1.8186127962085239</v>
      </c>
      <c r="AA302" s="195">
        <f t="shared" si="44"/>
        <v>4.4872513775849665E-2</v>
      </c>
      <c r="AB302" s="195">
        <f t="shared" si="45"/>
        <v>2.9417609981317146E-2</v>
      </c>
      <c r="AC302" s="195">
        <f t="shared" si="39"/>
        <v>0.93371278251236223</v>
      </c>
      <c r="AD302">
        <f t="shared" si="40"/>
        <v>69</v>
      </c>
      <c r="AE302" s="195">
        <f t="shared" si="46"/>
        <v>0.94670722829471532</v>
      </c>
      <c r="AF302" s="195" t="str">
        <f t="shared" si="47"/>
        <v/>
      </c>
      <c r="AG302" s="255" t="str">
        <f>IF(ISNUMBER(SEARCH("C", 'Dry_Litterbag Placem_Collection'!AD9)),"YES","NO")</f>
        <v>NO</v>
      </c>
      <c r="AH302" s="255" t="str">
        <f>IF(ISNUMBER(SEARCH("H", 'Dry_Litterbag Placem_Collection'!AD9)),"YES","NO")</f>
        <v>NO</v>
      </c>
      <c r="AI302" s="255" t="str">
        <f>IF(ISNUMBER(SEARCH("R", 'Dry_Litterbag Placem_Collection'!AD9)),"YES","NO")</f>
        <v>NO</v>
      </c>
      <c r="AJ302" s="255" t="str">
        <f>IF(ISNUMBER(SEARCH("C", 'Dry_Litterbag Placem_Collection'!AC9)),"YES","NO")</f>
        <v>NO</v>
      </c>
      <c r="AK302" s="255" t="str">
        <f>IF(ISNUMBER(SEARCH("H", 'Dry_Litterbag Placem_Collection'!AC9)),"YES","NO")</f>
        <v>NO</v>
      </c>
      <c r="AL302" s="255" t="str">
        <f>IF(ISNUMBER(SEARCH("R", 'Dry_Litterbag Placem_Collection'!AC9)),"YES","NO")</f>
        <v>NO</v>
      </c>
      <c r="AR302" t="s">
        <v>1274</v>
      </c>
      <c r="AT302" t="s">
        <v>931</v>
      </c>
    </row>
    <row r="303" spans="2:46">
      <c r="B303" t="str">
        <f>'Final data_for_R_analysis_Dryse'!A449</f>
        <v>Dry</v>
      </c>
      <c r="C303" s="263">
        <f>'Final data_for_R_analysis_Dryse'!B449</f>
        <v>8</v>
      </c>
      <c r="D303" t="s">
        <v>3824</v>
      </c>
      <c r="E303" t="s">
        <v>25</v>
      </c>
      <c r="F303" s="387">
        <v>8</v>
      </c>
      <c r="G303" s="16">
        <f>'Dry_Litterbag Placem_Collection'!E10</f>
        <v>42938</v>
      </c>
      <c r="H303" s="92" t="str">
        <f>'Final data_for_R_analysis_Dryse'!J449</f>
        <v>G23</v>
      </c>
      <c r="I303" t="str">
        <f>'Final data_for_R_analysis_Dryse'!J669</f>
        <v>R213</v>
      </c>
      <c r="J303">
        <f>IFERROR(INDEX('Green_rooibos initial weight'!$C$5:$C$1749,MATCH(H303, 'Green_rooibos initial weight'!$A$5:$A$1749,0)),"")</f>
        <v>2.0750000000000002</v>
      </c>
      <c r="K303">
        <f>IFERROR(INDEX('Green_rooibos initial weight'!$C$5:$C$1749,MATCH(I303, 'Green_rooibos initial weight'!$A$5:$A$1749,0)),"")</f>
        <v>2.254</v>
      </c>
      <c r="L303" s="195">
        <f t="shared" si="41"/>
        <v>1.8252000000000002</v>
      </c>
      <c r="M303" s="240">
        <f>AVERAGE(Ashed_controlls!$K$1:$K$11)</f>
        <v>5.5147656768714146</v>
      </c>
      <c r="N303" s="195">
        <f t="shared" si="36"/>
        <v>1.7245444968657431</v>
      </c>
      <c r="O303" s="195">
        <f t="shared" si="42"/>
        <v>2.0042</v>
      </c>
      <c r="P303" s="240">
        <f>AVERAGE(Ashed_controlls!$K$12:$K$14)</f>
        <v>2.2816647271287041</v>
      </c>
      <c r="Q303" s="195">
        <f t="shared" si="37"/>
        <v>1.9584708755388864</v>
      </c>
      <c r="R303" s="16">
        <f>IF('Dry_Litterbag Placem_Collection'!G10="N.A","",'Dry_Litterbag Placem_Collection'!G10)</f>
        <v>43007</v>
      </c>
      <c r="S303" s="195">
        <f>IF(IFERROR(INDEX('Both teabags AfterDry'!$D$1:$D$839,MATCH(H303,'Both teabags AfterDry'!$A$1:$A$839,0)),"")="N.A","",(IFERROR(INDEX('Both teabags AfterDry'!$D$1:$D$839,MATCH(H303,'Both teabags AfterDry'!$A$1:$A$839,0)),"")))</f>
        <v>0.94159999999999999</v>
      </c>
      <c r="T303" s="195">
        <f>IF(IFERROR(INDEX('Both teabags AfterDry'!$D$1:$D$839,MATCH(I303,'Both teabags AfterDry'!$A$1:$A$839,0)),"")="N.A","",(IFERROR(INDEX('Both teabags AfterDry'!$D$1:$D$839,MATCH(I303,'Both teabags AfterDry'!$A$1:$A$839,0)),"")))</f>
        <v>1.7698</v>
      </c>
      <c r="U303" s="195">
        <f t="shared" si="43"/>
        <v>0.79099999999999993</v>
      </c>
      <c r="V303" s="195">
        <f t="shared" si="43"/>
        <v>1.6192</v>
      </c>
      <c r="W303" s="195">
        <f>IFERROR(INDEX('Ashed teabags dry'!$K$2:$K$821,MATCH(H303,'Ashed teabags dry'!$A$2:$A$821,0)),"")</f>
        <v>19.020979020979762</v>
      </c>
      <c r="X303" s="195">
        <f>IFERROR(INDEX('Ashed teabags dry'!$K$2:$K$821,MATCH(I303,'Ashed teabags dry'!$A$2:$A$821,0)),"")</f>
        <v>2.3334747560458351</v>
      </c>
      <c r="Y303" s="195">
        <f t="shared" si="38"/>
        <v>0.64054405594405006</v>
      </c>
      <c r="Z303" s="195">
        <f t="shared" si="38"/>
        <v>1.5814163767501057</v>
      </c>
      <c r="AA303" s="195">
        <f t="shared" si="44"/>
        <v>0.62857203330606959</v>
      </c>
      <c r="AB303" s="195">
        <f t="shared" si="45"/>
        <v>0.41208047789186514</v>
      </c>
      <c r="AC303" s="195">
        <f t="shared" si="39"/>
        <v>0.80747505439158929</v>
      </c>
      <c r="AD303">
        <f t="shared" si="40"/>
        <v>69</v>
      </c>
      <c r="AE303" s="195">
        <f t="shared" si="46"/>
        <v>0.25347739512343281</v>
      </c>
      <c r="AF303" s="195">
        <f t="shared" si="47"/>
        <v>9.1248328983769104E-3</v>
      </c>
      <c r="AG303" s="255" t="str">
        <f>IF(ISNUMBER(SEARCH("C", 'Dry_Litterbag Placem_Collection'!AD10)),"YES","NO")</f>
        <v>NO</v>
      </c>
      <c r="AH303" s="255" t="str">
        <f>IF(ISNUMBER(SEARCH("H", 'Dry_Litterbag Placem_Collection'!AD10)),"YES","NO")</f>
        <v>NO</v>
      </c>
      <c r="AI303" s="255" t="str">
        <f>IF(ISNUMBER(SEARCH("R", 'Dry_Litterbag Placem_Collection'!AD10)),"YES","NO")</f>
        <v>NO</v>
      </c>
      <c r="AJ303" s="255" t="str">
        <f>IF(ISNUMBER(SEARCH("C", 'Dry_Litterbag Placem_Collection'!AC10)),"YES","NO")</f>
        <v>NO</v>
      </c>
      <c r="AK303" s="255" t="str">
        <f>IF(ISNUMBER(SEARCH("H", 'Dry_Litterbag Placem_Collection'!AC10)),"YES","NO")</f>
        <v>NO</v>
      </c>
      <c r="AL303" s="255" t="str">
        <f>IF(ISNUMBER(SEARCH("R", 'Dry_Litterbag Placem_Collection'!AC10)),"YES","NO")</f>
        <v>NO</v>
      </c>
      <c r="AR303" t="s">
        <v>2027</v>
      </c>
      <c r="AT303" t="s">
        <v>928</v>
      </c>
    </row>
    <row r="304" spans="2:46">
      <c r="B304" t="str">
        <f>'Final data_for_R_analysis_Dryse'!A450</f>
        <v>Dry</v>
      </c>
      <c r="C304" s="263">
        <f>'Final data_for_R_analysis_Dryse'!B450</f>
        <v>9</v>
      </c>
      <c r="D304" t="s">
        <v>3828</v>
      </c>
      <c r="E304" t="s">
        <v>25</v>
      </c>
      <c r="F304" s="386">
        <v>1</v>
      </c>
      <c r="G304" s="16">
        <f>'Dry_Litterbag Placem_Collection'!E11</f>
        <v>42938</v>
      </c>
      <c r="H304" s="92" t="str">
        <f>'Final data_for_R_analysis_Dryse'!J450</f>
        <v>G570</v>
      </c>
      <c r="I304" t="str">
        <f>'Final data_for_R_analysis_Dryse'!J670</f>
        <v>R704</v>
      </c>
      <c r="J304">
        <f>IFERROR(INDEX('Green_rooibos initial weight'!$C$5:$C$1749,MATCH(H304, 'Green_rooibos initial weight'!$A$5:$A$1749,0)),"")</f>
        <v>2.1040000000000001</v>
      </c>
      <c r="K304">
        <f>IFERROR(INDEX('Green_rooibos initial weight'!$C$5:$C$1749,MATCH(I304, 'Green_rooibos initial weight'!$A$5:$A$1749,0)),"")</f>
        <v>2.1480000000000001</v>
      </c>
      <c r="L304" s="195">
        <f t="shared" si="41"/>
        <v>1.8542000000000001</v>
      </c>
      <c r="M304" s="240">
        <f>AVERAGE(Ashed_controlls!$K$1:$K$11)</f>
        <v>5.5147656768714146</v>
      </c>
      <c r="N304" s="195">
        <f t="shared" si="36"/>
        <v>1.7519452148194503</v>
      </c>
      <c r="O304" s="195">
        <f t="shared" si="42"/>
        <v>1.8982000000000001</v>
      </c>
      <c r="P304" s="240">
        <f>AVERAGE(Ashed_controlls!$K$12:$K$14)</f>
        <v>2.2816647271287041</v>
      </c>
      <c r="Q304" s="195">
        <f t="shared" si="37"/>
        <v>1.854889440149643</v>
      </c>
      <c r="R304" s="16">
        <f>IF('Dry_Litterbag Placem_Collection'!G11="N.A","",'Dry_Litterbag Placem_Collection'!G11)</f>
        <v>43007</v>
      </c>
      <c r="S304" s="195">
        <f>IF(IFERROR(INDEX('Both teabags AfterDry'!$D$1:$D$839,MATCH(H304,'Both teabags AfterDry'!$A$1:$A$839,0)),"")="N.A","",(IFERROR(INDEX('Both teabags AfterDry'!$D$1:$D$839,MATCH(H304,'Both teabags AfterDry'!$A$1:$A$839,0)),"")))</f>
        <v>1.9100999999999999</v>
      </c>
      <c r="T304" s="195">
        <f>IF(IFERROR(INDEX('Both teabags AfterDry'!$D$1:$D$839,MATCH(I304,'Both teabags AfterDry'!$A$1:$A$839,0)),"")="N.A","",(IFERROR(INDEX('Both teabags AfterDry'!$D$1:$D$839,MATCH(I304,'Both teabags AfterDry'!$A$1:$A$839,0)),"")))</f>
        <v>1.9311</v>
      </c>
      <c r="U304" s="195">
        <f t="shared" si="43"/>
        <v>1.7594999999999998</v>
      </c>
      <c r="V304" s="195">
        <f t="shared" si="43"/>
        <v>1.7805</v>
      </c>
      <c r="W304" s="195">
        <f>IFERROR(INDEX('Ashed teabags dry'!$K$2:$K$821,MATCH(H304,'Ashed teabags dry'!$A$2:$A$821,0)),"")</f>
        <v>5.923344947734277</v>
      </c>
      <c r="X304" s="195">
        <f>IFERROR(INDEX('Ashed teabags dry'!$K$2:$K$821,MATCH(I304,'Ashed teabags dry'!$A$2:$A$821,0)),"")</f>
        <v>2.4847632442568237</v>
      </c>
      <c r="Y304" s="195">
        <f t="shared" si="38"/>
        <v>1.6552787456446152</v>
      </c>
      <c r="Z304" s="195">
        <f t="shared" si="38"/>
        <v>1.7362587904360072</v>
      </c>
      <c r="AA304" s="195">
        <f t="shared" si="44"/>
        <v>5.5176650706396213E-2</v>
      </c>
      <c r="AB304" s="195">
        <f t="shared" si="45"/>
        <v>3.6172816140060238E-2</v>
      </c>
      <c r="AC304" s="195">
        <f t="shared" si="39"/>
        <v>0.93604435545006648</v>
      </c>
      <c r="AD304">
        <f t="shared" si="40"/>
        <v>69</v>
      </c>
      <c r="AE304" s="195">
        <f t="shared" si="46"/>
        <v>0.93446953597815174</v>
      </c>
      <c r="AF304" s="195" t="str">
        <f t="shared" si="47"/>
        <v/>
      </c>
      <c r="AG304" s="255" t="str">
        <f>IF(ISNUMBER(SEARCH("C", 'Dry_Litterbag Placem_Collection'!AD11)),"YES","NO")</f>
        <v>NO</v>
      </c>
      <c r="AH304" s="255" t="str">
        <f>IF(ISNUMBER(SEARCH("H", 'Dry_Litterbag Placem_Collection'!AD11)),"YES","NO")</f>
        <v>NO</v>
      </c>
      <c r="AI304" s="255" t="str">
        <f>IF(ISNUMBER(SEARCH("R", 'Dry_Litterbag Placem_Collection'!AD11)),"YES","NO")</f>
        <v>NO</v>
      </c>
      <c r="AJ304" s="255" t="str">
        <f>IF(ISNUMBER(SEARCH("C", 'Dry_Litterbag Placem_Collection'!AC11)),"YES","NO")</f>
        <v>NO</v>
      </c>
      <c r="AK304" s="255" t="str">
        <f>IF(ISNUMBER(SEARCH("H", 'Dry_Litterbag Placem_Collection'!AC11)),"YES","NO")</f>
        <v>NO</v>
      </c>
      <c r="AL304" s="255" t="str">
        <f>IF(ISNUMBER(SEARCH("R", 'Dry_Litterbag Placem_Collection'!AC11)),"YES","NO")</f>
        <v>NO</v>
      </c>
      <c r="AR304" t="s">
        <v>1480</v>
      </c>
      <c r="AT304" t="s">
        <v>435</v>
      </c>
    </row>
    <row r="305" spans="2:46">
      <c r="B305" t="str">
        <f>'Final data_for_R_analysis_Dryse'!A451</f>
        <v>Dry</v>
      </c>
      <c r="C305" s="263">
        <f>'Final data_for_R_analysis_Dryse'!B451</f>
        <v>10</v>
      </c>
      <c r="D305" t="s">
        <v>3828</v>
      </c>
      <c r="E305" t="s">
        <v>25</v>
      </c>
      <c r="F305" s="386">
        <v>2</v>
      </c>
      <c r="G305" s="16">
        <f>'Dry_Litterbag Placem_Collection'!E12</f>
        <v>42938</v>
      </c>
      <c r="H305" s="92" t="str">
        <f>'Final data_for_R_analysis_Dryse'!J451</f>
        <v>G642</v>
      </c>
      <c r="I305" t="str">
        <f>'Final data_for_R_analysis_Dryse'!J671</f>
        <v>R355</v>
      </c>
      <c r="J305">
        <f>IFERROR(INDEX('Green_rooibos initial weight'!$C$5:$C$1749,MATCH(H305, 'Green_rooibos initial weight'!$A$5:$A$1749,0)),"")</f>
        <v>2.1269999999999998</v>
      </c>
      <c r="K305">
        <f>IFERROR(INDEX('Green_rooibos initial weight'!$C$5:$C$1749,MATCH(I305, 'Green_rooibos initial weight'!$A$5:$A$1749,0)),"")</f>
        <v>2.1850000000000001</v>
      </c>
      <c r="L305" s="195">
        <f t="shared" si="41"/>
        <v>1.8771999999999998</v>
      </c>
      <c r="M305" s="240">
        <f>AVERAGE(Ashed_controlls!$K$1:$K$11)</f>
        <v>5.5147656768714146</v>
      </c>
      <c r="N305" s="195">
        <f t="shared" si="36"/>
        <v>1.7736768187137695</v>
      </c>
      <c r="O305" s="195">
        <f t="shared" si="42"/>
        <v>1.9352</v>
      </c>
      <c r="P305" s="240">
        <f>AVERAGE(Ashed_controlls!$K$12:$K$14)</f>
        <v>2.2816647271287041</v>
      </c>
      <c r="Q305" s="195">
        <f t="shared" si="37"/>
        <v>1.8910452242006053</v>
      </c>
      <c r="R305" s="16">
        <f>IF('Dry_Litterbag Placem_Collection'!G12="N.A","",'Dry_Litterbag Placem_Collection'!G12)</f>
        <v>0</v>
      </c>
      <c r="S305" s="195" t="str">
        <f>IF(IFERROR(INDEX('Both teabags AfterDry'!$D$1:$D$839,MATCH(H305,'Both teabags AfterDry'!$A$1:$A$839,0)),"")="N.A","",(IFERROR(INDEX('Both teabags AfterDry'!$D$1:$D$839,MATCH(H305,'Both teabags AfterDry'!$A$1:$A$839,0)),"")))</f>
        <v/>
      </c>
      <c r="T305" s="195" t="str">
        <f>IF(IFERROR(INDEX('Both teabags AfterDry'!$D$1:$D$839,MATCH(I305,'Both teabags AfterDry'!$A$1:$A$839,0)),"")="N.A","",(IFERROR(INDEX('Both teabags AfterDry'!$D$1:$D$839,MATCH(I305,'Both teabags AfterDry'!$A$1:$A$839,0)),"")))</f>
        <v/>
      </c>
      <c r="U305" s="195" t="str">
        <f t="shared" si="43"/>
        <v/>
      </c>
      <c r="V305" s="195" t="str">
        <f t="shared" si="43"/>
        <v/>
      </c>
      <c r="W305" s="195" t="str">
        <f>IFERROR(INDEX('Ashed teabags dry'!$K$2:$K$821,MATCH(H305,'Ashed teabags dry'!$A$2:$A$821,0)),"")</f>
        <v/>
      </c>
      <c r="X305" s="195" t="str">
        <f>IFERROR(INDEX('Ashed teabags dry'!$K$2:$K$821,MATCH(I305,'Ashed teabags dry'!$A$2:$A$821,0)),"")</f>
        <v/>
      </c>
      <c r="Y305" s="195" t="str">
        <f t="shared" si="38"/>
        <v/>
      </c>
      <c r="Z305" s="195" t="str">
        <f t="shared" si="38"/>
        <v/>
      </c>
      <c r="AA305" s="195" t="str">
        <f t="shared" si="44"/>
        <v/>
      </c>
      <c r="AB305" s="195" t="str">
        <f t="shared" si="45"/>
        <v/>
      </c>
      <c r="AC305" s="195" t="str">
        <f t="shared" si="39"/>
        <v/>
      </c>
      <c r="AD305" t="str">
        <f t="shared" si="40"/>
        <v/>
      </c>
      <c r="AE305" s="195" t="str">
        <f t="shared" si="46"/>
        <v/>
      </c>
      <c r="AF305" s="195" t="str">
        <f t="shared" si="47"/>
        <v/>
      </c>
      <c r="AG305" s="255" t="str">
        <f>IF(ISNUMBER(SEARCH("C", 'Dry_Litterbag Placem_Collection'!AD12)),"YES","NO")</f>
        <v>NO</v>
      </c>
      <c r="AH305" s="255" t="str">
        <f>IF(ISNUMBER(SEARCH("H", 'Dry_Litterbag Placem_Collection'!AD12)),"YES","NO")</f>
        <v>NO</v>
      </c>
      <c r="AI305" s="255" t="str">
        <f>IF(ISNUMBER(SEARCH("R", 'Dry_Litterbag Placem_Collection'!AD12)),"YES","NO")</f>
        <v>NO</v>
      </c>
      <c r="AJ305" s="255" t="str">
        <f>IF(ISNUMBER(SEARCH("C", 'Dry_Litterbag Placem_Collection'!AC12)),"YES","NO")</f>
        <v>NO</v>
      </c>
      <c r="AK305" s="255" t="str">
        <f>IF(ISNUMBER(SEARCH("H", 'Dry_Litterbag Placem_Collection'!AC12)),"YES","NO")</f>
        <v>NO</v>
      </c>
      <c r="AL305" s="255" t="str">
        <f>IF(ISNUMBER(SEARCH("R", 'Dry_Litterbag Placem_Collection'!AC12)),"YES","NO")</f>
        <v>NO</v>
      </c>
      <c r="AR305" t="s">
        <v>1408</v>
      </c>
      <c r="AT305" t="s">
        <v>786</v>
      </c>
    </row>
    <row r="306" spans="2:46">
      <c r="B306" t="str">
        <f>'Final data_for_R_analysis_Dryse'!A452</f>
        <v>Dry</v>
      </c>
      <c r="C306" s="263">
        <f>'Final data_for_R_analysis_Dryse'!B452</f>
        <v>11</v>
      </c>
      <c r="D306" t="s">
        <v>3828</v>
      </c>
      <c r="E306" t="s">
        <v>25</v>
      </c>
      <c r="F306" s="386">
        <v>3</v>
      </c>
      <c r="G306" s="16">
        <f>'Dry_Litterbag Placem_Collection'!E13</f>
        <v>42938</v>
      </c>
      <c r="H306" s="92" t="str">
        <f>'Final data_for_R_analysis_Dryse'!J452</f>
        <v>G663</v>
      </c>
      <c r="I306" t="str">
        <f>'Final data_for_R_analysis_Dryse'!J672</f>
        <v>R616</v>
      </c>
      <c r="J306">
        <f>IFERROR(INDEX('Green_rooibos initial weight'!$C$5:$C$1749,MATCH(H306, 'Green_rooibos initial weight'!$A$5:$A$1749,0)),"")</f>
        <v>2.0760000000000001</v>
      </c>
      <c r="K306">
        <f>IFERROR(INDEX('Green_rooibos initial weight'!$C$5:$C$1749,MATCH(I306, 'Green_rooibos initial weight'!$A$5:$A$1749,0)),"")</f>
        <v>2.1739999999999999</v>
      </c>
      <c r="L306" s="195">
        <f t="shared" si="41"/>
        <v>1.8262</v>
      </c>
      <c r="M306" s="240">
        <f>AVERAGE(Ashed_controlls!$K$1:$K$11)</f>
        <v>5.5147656768714146</v>
      </c>
      <c r="N306" s="195">
        <f t="shared" si="36"/>
        <v>1.7254893492089742</v>
      </c>
      <c r="O306" s="195">
        <f t="shared" si="42"/>
        <v>1.9241999999999999</v>
      </c>
      <c r="P306" s="240">
        <f>AVERAGE(Ashed_controlls!$K$12:$K$14)</f>
        <v>2.2816647271287041</v>
      </c>
      <c r="Q306" s="195">
        <f t="shared" si="37"/>
        <v>1.8802962073205893</v>
      </c>
      <c r="R306" s="16">
        <f>IF('Dry_Litterbag Placem_Collection'!G13="N.A","",'Dry_Litterbag Placem_Collection'!G13)</f>
        <v>43007</v>
      </c>
      <c r="S306" s="195">
        <f>IF(IFERROR(INDEX('Both teabags AfterDry'!$D$1:$D$839,MATCH(H306,'Both teabags AfterDry'!$A$1:$A$839,0)),"")="N.A","",(IFERROR(INDEX('Both teabags AfterDry'!$D$1:$D$839,MATCH(H306,'Both teabags AfterDry'!$A$1:$A$839,0)),"")))</f>
        <v>1.6718</v>
      </c>
      <c r="T306" s="195">
        <f>IF(IFERROR(INDEX('Both teabags AfterDry'!$D$1:$D$839,MATCH(I306,'Both teabags AfterDry'!$A$1:$A$839,0)),"")="N.A","",(IFERROR(INDEX('Both teabags AfterDry'!$D$1:$D$839,MATCH(I306,'Both teabags AfterDry'!$A$1:$A$839,0)),"")))</f>
        <v>1.9423999999999999</v>
      </c>
      <c r="U306" s="195">
        <f t="shared" si="43"/>
        <v>1.5211999999999999</v>
      </c>
      <c r="V306" s="195">
        <f t="shared" si="43"/>
        <v>1.7917999999999998</v>
      </c>
      <c r="W306" s="195">
        <f>IFERROR(INDEX('Ashed teabags dry'!$K$2:$K$821,MATCH(H306,'Ashed teabags dry'!$A$2:$A$821,0)),"")</f>
        <v>7.9058031959628696</v>
      </c>
      <c r="X306" s="195">
        <f>IFERROR(INDEX('Ashed teabags dry'!$K$2:$K$821,MATCH(I306,'Ashed teabags dry'!$A$2:$A$821,0)),"")</f>
        <v>2.5878906250002163</v>
      </c>
      <c r="Y306" s="195">
        <f t="shared" si="38"/>
        <v>1.4009369217830128</v>
      </c>
      <c r="Z306" s="195">
        <f t="shared" si="38"/>
        <v>1.745430175781246</v>
      </c>
      <c r="AA306" s="195">
        <f t="shared" si="44"/>
        <v>0.18809297639231903</v>
      </c>
      <c r="AB306" s="195">
        <f t="shared" si="45"/>
        <v>0.12331035982014267</v>
      </c>
      <c r="AC306" s="195">
        <f t="shared" si="39"/>
        <v>0.92827405011281361</v>
      </c>
      <c r="AD306">
        <f t="shared" si="40"/>
        <v>69</v>
      </c>
      <c r="AE306" s="195">
        <f t="shared" si="46"/>
        <v>0.77661166699249518</v>
      </c>
      <c r="AF306" s="195">
        <f t="shared" si="47"/>
        <v>1.2630216436767745E-2</v>
      </c>
      <c r="AG306" s="255" t="str">
        <f>IF(ISNUMBER(SEARCH("C", 'Dry_Litterbag Placem_Collection'!AD13)),"YES","NO")</f>
        <v>NO</v>
      </c>
      <c r="AH306" s="255" t="str">
        <f>IF(ISNUMBER(SEARCH("H", 'Dry_Litterbag Placem_Collection'!AD13)),"YES","NO")</f>
        <v>NO</v>
      </c>
      <c r="AI306" s="255" t="str">
        <f>IF(ISNUMBER(SEARCH("R", 'Dry_Litterbag Placem_Collection'!AD13)),"YES","NO")</f>
        <v>NO</v>
      </c>
      <c r="AJ306" s="255" t="str">
        <f>IF(ISNUMBER(SEARCH("C", 'Dry_Litterbag Placem_Collection'!AC13)),"YES","NO")</f>
        <v>NO</v>
      </c>
      <c r="AK306" s="255" t="str">
        <f>IF(ISNUMBER(SEARCH("H", 'Dry_Litterbag Placem_Collection'!AC13)),"YES","NO")</f>
        <v>NO</v>
      </c>
      <c r="AL306" s="255" t="str">
        <f>IF(ISNUMBER(SEARCH("R", 'Dry_Litterbag Placem_Collection'!AC13)),"YES","NO")</f>
        <v>NO</v>
      </c>
      <c r="AR306" t="s">
        <v>1387</v>
      </c>
      <c r="AT306" t="s">
        <v>523</v>
      </c>
    </row>
    <row r="307" spans="2:46">
      <c r="B307" t="str">
        <f>'Final data_for_R_analysis_Dryse'!A453</f>
        <v>Dry</v>
      </c>
      <c r="C307" s="263">
        <f>'Final data_for_R_analysis_Dryse'!B453</f>
        <v>12</v>
      </c>
      <c r="D307" t="s">
        <v>3828</v>
      </c>
      <c r="E307" t="s">
        <v>25</v>
      </c>
      <c r="F307" s="387">
        <v>4</v>
      </c>
      <c r="G307" s="16">
        <f>'Dry_Litterbag Placem_Collection'!E14</f>
        <v>0</v>
      </c>
      <c r="H307" s="92" t="str">
        <f>'Final data_for_R_analysis_Dryse'!J453</f>
        <v/>
      </c>
      <c r="I307" t="str">
        <f>'Final data_for_R_analysis_Dryse'!J673</f>
        <v/>
      </c>
      <c r="J307" t="str">
        <f>IFERROR(INDEX('Green_rooibos initial weight'!$C$5:$C$1749,MATCH(H307, 'Green_rooibos initial weight'!$A$5:$A$1749,0)),"")</f>
        <v/>
      </c>
      <c r="K307" t="str">
        <f>IFERROR(INDEX('Green_rooibos initial weight'!$C$5:$C$1749,MATCH(I307, 'Green_rooibos initial weight'!$A$5:$A$1749,0)),"")</f>
        <v/>
      </c>
      <c r="L307" s="195" t="str">
        <f t="shared" si="41"/>
        <v/>
      </c>
      <c r="M307" s="240">
        <f>AVERAGE(Ashed_controlls!$K$1:$K$11)</f>
        <v>5.5147656768714146</v>
      </c>
      <c r="N307" s="195" t="str">
        <f t="shared" si="36"/>
        <v/>
      </c>
      <c r="O307" s="195" t="str">
        <f t="shared" si="42"/>
        <v/>
      </c>
      <c r="P307" s="240">
        <f>AVERAGE(Ashed_controlls!$K$12:$K$14)</f>
        <v>2.2816647271287041</v>
      </c>
      <c r="Q307" s="195" t="str">
        <f t="shared" si="37"/>
        <v/>
      </c>
      <c r="R307" s="16">
        <f>IF('Dry_Litterbag Placem_Collection'!G14="N.A","",'Dry_Litterbag Placem_Collection'!G14)</f>
        <v>0</v>
      </c>
      <c r="S307" s="195" t="str">
        <f>IF(IFERROR(INDEX('Both teabags AfterDry'!$D$1:$D$839,MATCH(H307,'Both teabags AfterDry'!$A$1:$A$839,0)),"")="N.A","",(IFERROR(INDEX('Both teabags AfterDry'!$D$1:$D$839,MATCH(H307,'Both teabags AfterDry'!$A$1:$A$839,0)),"")))</f>
        <v/>
      </c>
      <c r="T307" s="195" t="str">
        <f>IF(IFERROR(INDEX('Both teabags AfterDry'!$D$1:$D$839,MATCH(I307,'Both teabags AfterDry'!$A$1:$A$839,0)),"")="N.A","",(IFERROR(INDEX('Both teabags AfterDry'!$D$1:$D$839,MATCH(I307,'Both teabags AfterDry'!$A$1:$A$839,0)),"")))</f>
        <v/>
      </c>
      <c r="U307" s="195" t="str">
        <f t="shared" si="43"/>
        <v/>
      </c>
      <c r="V307" s="195" t="str">
        <f t="shared" si="43"/>
        <v/>
      </c>
      <c r="W307" s="195" t="str">
        <f>IFERROR(INDEX('Ashed teabags dry'!$K$2:$K$821,MATCH(H307,'Ashed teabags dry'!$A$2:$A$821,0)),"")</f>
        <v/>
      </c>
      <c r="X307" s="195" t="str">
        <f>IFERROR(INDEX('Ashed teabags dry'!$K$2:$K$821,MATCH(I307,'Ashed teabags dry'!$A$2:$A$821,0)),"")</f>
        <v/>
      </c>
      <c r="Y307" s="195" t="str">
        <f t="shared" si="38"/>
        <v/>
      </c>
      <c r="Z307" s="195" t="str">
        <f t="shared" si="38"/>
        <v/>
      </c>
      <c r="AA307" s="195" t="str">
        <f t="shared" si="44"/>
        <v/>
      </c>
      <c r="AB307" s="195" t="str">
        <f t="shared" si="45"/>
        <v/>
      </c>
      <c r="AC307" s="195" t="str">
        <f t="shared" si="39"/>
        <v/>
      </c>
      <c r="AD307" t="str">
        <f t="shared" si="40"/>
        <v/>
      </c>
      <c r="AE307" s="195" t="str">
        <f t="shared" si="46"/>
        <v/>
      </c>
      <c r="AF307" s="195" t="str">
        <f t="shared" si="47"/>
        <v/>
      </c>
      <c r="AG307" s="255" t="str">
        <f>IF(ISNUMBER(SEARCH("C", 'Dry_Litterbag Placem_Collection'!AD14)),"YES","NO")</f>
        <v>NO</v>
      </c>
      <c r="AH307" s="255" t="str">
        <f>IF(ISNUMBER(SEARCH("H", 'Dry_Litterbag Placem_Collection'!AD14)),"YES","NO")</f>
        <v>NO</v>
      </c>
      <c r="AI307" s="255" t="str">
        <f>IF(ISNUMBER(SEARCH("R", 'Dry_Litterbag Placem_Collection'!AD14)),"YES","NO")</f>
        <v>NO</v>
      </c>
      <c r="AJ307" s="255" t="str">
        <f>IF(ISNUMBER(SEARCH("C", 'Dry_Litterbag Placem_Collection'!AC14)),"YES","NO")</f>
        <v>NO</v>
      </c>
      <c r="AK307" s="255" t="str">
        <f>IF(ISNUMBER(SEARCH("H", 'Dry_Litterbag Placem_Collection'!AC14)),"YES","NO")</f>
        <v>NO</v>
      </c>
      <c r="AL307" s="255" t="str">
        <f>IF(ISNUMBER(SEARCH("R", 'Dry_Litterbag Placem_Collection'!AC14)),"YES","NO")</f>
        <v>NO</v>
      </c>
      <c r="AR307" t="s">
        <v>3654</v>
      </c>
      <c r="AT307" t="s">
        <v>3654</v>
      </c>
    </row>
    <row r="308" spans="2:46">
      <c r="B308" t="str">
        <f>'Final data_for_R_analysis_Dryse'!A454</f>
        <v>Dry</v>
      </c>
      <c r="C308" s="263">
        <f>'Final data_for_R_analysis_Dryse'!B454</f>
        <v>13</v>
      </c>
      <c r="D308" t="s">
        <v>3828</v>
      </c>
      <c r="E308" t="s">
        <v>25</v>
      </c>
      <c r="F308" s="387">
        <v>5</v>
      </c>
      <c r="G308" s="16">
        <f>'Dry_Litterbag Placem_Collection'!E15</f>
        <v>42938</v>
      </c>
      <c r="H308" s="92" t="str">
        <f>'Final data_for_R_analysis_Dryse'!J454</f>
        <v>G874</v>
      </c>
      <c r="I308" t="str">
        <f>'Final data_for_R_analysis_Dryse'!J674</f>
        <v>R603</v>
      </c>
      <c r="J308">
        <f>IFERROR(INDEX('Green_rooibos initial weight'!$C$5:$C$1749,MATCH(H308, 'Green_rooibos initial weight'!$A$5:$A$1749,0)),"")</f>
        <v>2.032</v>
      </c>
      <c r="K308">
        <f>IFERROR(INDEX('Green_rooibos initial weight'!$C$5:$C$1749,MATCH(I308, 'Green_rooibos initial weight'!$A$5:$A$1749,0)),"")</f>
        <v>2.1440000000000001</v>
      </c>
      <c r="L308" s="195">
        <f t="shared" si="41"/>
        <v>1.7822</v>
      </c>
      <c r="M308" s="240">
        <f>AVERAGE(Ashed_controlls!$K$1:$K$11)</f>
        <v>5.5147656768714146</v>
      </c>
      <c r="N308" s="195">
        <f t="shared" si="36"/>
        <v>1.6839158461067976</v>
      </c>
      <c r="O308" s="195">
        <f t="shared" si="42"/>
        <v>1.8942000000000001</v>
      </c>
      <c r="P308" s="240">
        <f>AVERAGE(Ashed_controlls!$K$12:$K$14)</f>
        <v>2.2816647271287041</v>
      </c>
      <c r="Q308" s="195">
        <f t="shared" si="37"/>
        <v>1.8509807067387283</v>
      </c>
      <c r="R308" s="16">
        <f>IF('Dry_Litterbag Placem_Collection'!G15="N.A","",'Dry_Litterbag Placem_Collection'!G15)</f>
        <v>43007</v>
      </c>
      <c r="S308" s="195">
        <f>IF(IFERROR(INDEX('Both teabags AfterDry'!$D$1:$D$839,MATCH(H308,'Both teabags AfterDry'!$A$1:$A$839,0)),"")="N.A","",(IFERROR(INDEX('Both teabags AfterDry'!$D$1:$D$839,MATCH(H308,'Both teabags AfterDry'!$A$1:$A$839,0)),"")))</f>
        <v>1.361</v>
      </c>
      <c r="T308" s="195">
        <f>IF(IFERROR(INDEX('Both teabags AfterDry'!$D$1:$D$839,MATCH(I308,'Both teabags AfterDry'!$A$1:$A$839,0)),"")="N.A","",(IFERROR(INDEX('Both teabags AfterDry'!$D$1:$D$839,MATCH(I308,'Both teabags AfterDry'!$A$1:$A$839,0)),"")))</f>
        <v>1.9094</v>
      </c>
      <c r="U308" s="195">
        <f t="shared" si="43"/>
        <v>1.2103999999999999</v>
      </c>
      <c r="V308" s="195">
        <f t="shared" si="43"/>
        <v>1.7587999999999999</v>
      </c>
      <c r="W308" s="195">
        <f>IFERROR(INDEX('Ashed teabags dry'!$K$2:$K$821,MATCH(H308,'Ashed teabags dry'!$A$2:$A$821,0)),"")</f>
        <v>9.2644320297957403</v>
      </c>
      <c r="X308" s="195">
        <f>IFERROR(INDEX('Ashed teabags dry'!$K$2:$K$821,MATCH(I308,'Ashed teabags dry'!$A$2:$A$821,0)),"")</f>
        <v>3.2763532763534955</v>
      </c>
      <c r="Y308" s="195">
        <f t="shared" si="38"/>
        <v>1.0982633147113523</v>
      </c>
      <c r="Z308" s="195">
        <f t="shared" si="38"/>
        <v>1.7011754985754945</v>
      </c>
      <c r="AA308" s="195">
        <f t="shared" si="44"/>
        <v>0.34779204242864636</v>
      </c>
      <c r="AB308" s="195">
        <f t="shared" si="45"/>
        <v>0.22800618458505084</v>
      </c>
      <c r="AC308" s="195">
        <f t="shared" si="39"/>
        <v>0.91906711527686435</v>
      </c>
      <c r="AD308">
        <f t="shared" si="40"/>
        <v>69</v>
      </c>
      <c r="AE308" s="195">
        <f t="shared" si="46"/>
        <v>0.58694531778070502</v>
      </c>
      <c r="AF308" s="195">
        <f t="shared" si="47"/>
        <v>6.3542268542506036E-3</v>
      </c>
      <c r="AG308" s="255" t="str">
        <f>IF(ISNUMBER(SEARCH("C", 'Dry_Litterbag Placem_Collection'!AD15)),"YES","NO")</f>
        <v>NO</v>
      </c>
      <c r="AH308" s="255" t="str">
        <f>IF(ISNUMBER(SEARCH("H", 'Dry_Litterbag Placem_Collection'!AD15)),"YES","NO")</f>
        <v>NO</v>
      </c>
      <c r="AI308" s="255" t="str">
        <f>IF(ISNUMBER(SEARCH("R", 'Dry_Litterbag Placem_Collection'!AD15)),"YES","NO")</f>
        <v>NO</v>
      </c>
      <c r="AJ308" s="255" t="str">
        <f>IF(ISNUMBER(SEARCH("C", 'Dry_Litterbag Placem_Collection'!AC15)),"YES","NO")</f>
        <v>NO</v>
      </c>
      <c r="AK308" s="255" t="str">
        <f>IF(ISNUMBER(SEARCH("H", 'Dry_Litterbag Placem_Collection'!AC15)),"YES","NO")</f>
        <v>NO</v>
      </c>
      <c r="AL308" s="255" t="str">
        <f>IF(ISNUMBER(SEARCH("R", 'Dry_Litterbag Placem_Collection'!AC15)),"YES","NO")</f>
        <v>NO</v>
      </c>
      <c r="AR308" t="s">
        <v>1176</v>
      </c>
      <c r="AT308" t="s">
        <v>536</v>
      </c>
    </row>
    <row r="309" spans="2:46">
      <c r="B309" t="str">
        <f>'Final data_for_R_analysis_Dryse'!A455</f>
        <v>Dry</v>
      </c>
      <c r="C309" s="263">
        <f>'Final data_for_R_analysis_Dryse'!B455</f>
        <v>14</v>
      </c>
      <c r="D309" t="s">
        <v>3828</v>
      </c>
      <c r="E309" t="s">
        <v>25</v>
      </c>
      <c r="F309" s="387">
        <v>6</v>
      </c>
      <c r="G309" s="16">
        <f>'Dry_Litterbag Placem_Collection'!E16</f>
        <v>42938</v>
      </c>
      <c r="H309" s="92" t="str">
        <f>'Final data_for_R_analysis_Dryse'!J455</f>
        <v>G219</v>
      </c>
      <c r="I309" t="str">
        <f>'Final data_for_R_analysis_Dryse'!J675</f>
        <v>R652</v>
      </c>
      <c r="J309">
        <f>IFERROR(INDEX('Green_rooibos initial weight'!$C$5:$C$1749,MATCH(H309, 'Green_rooibos initial weight'!$A$5:$A$1749,0)),"")</f>
        <v>2.0110000000000001</v>
      </c>
      <c r="K309">
        <f>IFERROR(INDEX('Green_rooibos initial weight'!$C$5:$C$1749,MATCH(I309, 'Green_rooibos initial weight'!$A$5:$A$1749,0)),"")</f>
        <v>2.2090000000000001</v>
      </c>
      <c r="L309" s="195">
        <f t="shared" si="41"/>
        <v>1.7612000000000001</v>
      </c>
      <c r="M309" s="240">
        <f>AVERAGE(Ashed_controlls!$K$1:$K$11)</f>
        <v>5.5147656768714146</v>
      </c>
      <c r="N309" s="195">
        <f t="shared" si="36"/>
        <v>1.6640739468989407</v>
      </c>
      <c r="O309" s="195">
        <f t="shared" si="42"/>
        <v>1.9592000000000001</v>
      </c>
      <c r="P309" s="240">
        <f>AVERAGE(Ashed_controlls!$K$12:$K$14)</f>
        <v>2.2816647271287041</v>
      </c>
      <c r="Q309" s="195">
        <f t="shared" si="37"/>
        <v>1.9144976246660945</v>
      </c>
      <c r="R309" s="16">
        <f>IF('Dry_Litterbag Placem_Collection'!G16="N.A","",'Dry_Litterbag Placem_Collection'!G16)</f>
        <v>43007</v>
      </c>
      <c r="S309" s="195">
        <f>IF(IFERROR(INDEX('Both teabags AfterDry'!$D$1:$D$839,MATCH(H309,'Both teabags AfterDry'!$A$1:$A$839,0)),"")="N.A","",(IFERROR(INDEX('Both teabags AfterDry'!$D$1:$D$839,MATCH(H309,'Both teabags AfterDry'!$A$1:$A$839,0)),"")))</f>
        <v>0.76939999999999997</v>
      </c>
      <c r="T309" s="195">
        <f>IF(IFERROR(INDEX('Both teabags AfterDry'!$D$1:$D$839,MATCH(I309,'Both teabags AfterDry'!$A$1:$A$839,0)),"")="N.A","",(IFERROR(INDEX('Both teabags AfterDry'!$D$1:$D$839,MATCH(I309,'Both teabags AfterDry'!$A$1:$A$839,0)),"")))</f>
        <v>1.9245000000000001</v>
      </c>
      <c r="U309" s="195">
        <f t="shared" si="43"/>
        <v>0.61880000000000002</v>
      </c>
      <c r="V309" s="195">
        <f t="shared" si="43"/>
        <v>1.7739</v>
      </c>
      <c r="W309" s="195">
        <f>IFERROR(INDEX('Ashed teabags dry'!$K$2:$K$821,MATCH(H309,'Ashed teabags dry'!$A$2:$A$821,0)),"")</f>
        <v>15.956439393940133</v>
      </c>
      <c r="X309" s="195">
        <f>IFERROR(INDEX('Ashed teabags dry'!$K$2:$K$821,MATCH(I309,'Ashed teabags dry'!$A$2:$A$821,0)),"")</f>
        <v>2.5664115263402163</v>
      </c>
      <c r="Y309" s="195">
        <f t="shared" si="38"/>
        <v>0.52006155303029844</v>
      </c>
      <c r="Z309" s="195">
        <f t="shared" si="38"/>
        <v>1.7283744259342508</v>
      </c>
      <c r="AA309" s="195">
        <f t="shared" si="44"/>
        <v>0.68747689728605443</v>
      </c>
      <c r="AB309" s="195">
        <f t="shared" si="45"/>
        <v>0.4506974433514277</v>
      </c>
      <c r="AC309" s="195">
        <f t="shared" si="39"/>
        <v>0.90278222530346297</v>
      </c>
      <c r="AD309">
        <f t="shared" si="40"/>
        <v>69</v>
      </c>
      <c r="AE309" s="195">
        <f t="shared" si="46"/>
        <v>0.18351912436335571</v>
      </c>
      <c r="AF309" s="195">
        <f t="shared" si="47"/>
        <v>3.521308518753978E-3</v>
      </c>
      <c r="AG309" s="255" t="str">
        <f>IF(ISNUMBER(SEARCH("C", 'Dry_Litterbag Placem_Collection'!AD16)),"YES","NO")</f>
        <v>NO</v>
      </c>
      <c r="AH309" s="255" t="str">
        <f>IF(ISNUMBER(SEARCH("H", 'Dry_Litterbag Placem_Collection'!AD16)),"YES","NO")</f>
        <v>NO</v>
      </c>
      <c r="AI309" s="255" t="str">
        <f>IF(ISNUMBER(SEARCH("R", 'Dry_Litterbag Placem_Collection'!AD16)),"YES","NO")</f>
        <v>NO</v>
      </c>
      <c r="AJ309" s="255" t="str">
        <f>IF(ISNUMBER(SEARCH("C", 'Dry_Litterbag Placem_Collection'!AC16)),"YES","NO")</f>
        <v>NO</v>
      </c>
      <c r="AK309" s="255" t="str">
        <f>IF(ISNUMBER(SEARCH("H", 'Dry_Litterbag Placem_Collection'!AC16)),"YES","NO")</f>
        <v>NO</v>
      </c>
      <c r="AL309" s="255" t="str">
        <f>IF(ISNUMBER(SEARCH("R", 'Dry_Litterbag Placem_Collection'!AC16)),"YES","NO")</f>
        <v>NO</v>
      </c>
      <c r="AR309" t="s">
        <v>1831</v>
      </c>
      <c r="AT309" t="s">
        <v>487</v>
      </c>
    </row>
    <row r="310" spans="2:46">
      <c r="B310" t="str">
        <f>'Final data_for_R_analysis_Dryse'!A456</f>
        <v>Dry</v>
      </c>
      <c r="C310" s="263">
        <f>'Final data_for_R_analysis_Dryse'!B456</f>
        <v>15</v>
      </c>
      <c r="D310" t="s">
        <v>3828</v>
      </c>
      <c r="E310" t="s">
        <v>25</v>
      </c>
      <c r="F310" s="387">
        <v>7</v>
      </c>
      <c r="G310" s="16">
        <f>'Dry_Litterbag Placem_Collection'!E17</f>
        <v>42938</v>
      </c>
      <c r="H310" s="92" t="str">
        <f>'Final data_for_R_analysis_Dryse'!J456</f>
        <v>G630</v>
      </c>
      <c r="I310" t="str">
        <f>'Final data_for_R_analysis_Dryse'!J676</f>
        <v>R304</v>
      </c>
      <c r="J310">
        <f>IFERROR(INDEX('Green_rooibos initial weight'!$C$5:$C$1749,MATCH(H310, 'Green_rooibos initial weight'!$A$5:$A$1749,0)),"")</f>
        <v>2.12</v>
      </c>
      <c r="K310">
        <f>IFERROR(INDEX('Green_rooibos initial weight'!$C$5:$C$1749,MATCH(I310, 'Green_rooibos initial weight'!$A$5:$A$1749,0)),"")</f>
        <v>2.1930000000000001</v>
      </c>
      <c r="L310" s="195">
        <f t="shared" si="41"/>
        <v>1.8702000000000001</v>
      </c>
      <c r="M310" s="240">
        <f>AVERAGE(Ashed_controlls!$K$1:$K$11)</f>
        <v>5.5147656768714146</v>
      </c>
      <c r="N310" s="195">
        <f t="shared" si="36"/>
        <v>1.7670628523111509</v>
      </c>
      <c r="O310" s="195">
        <f t="shared" si="42"/>
        <v>1.9432</v>
      </c>
      <c r="P310" s="240">
        <f>AVERAGE(Ashed_controlls!$K$12:$K$14)</f>
        <v>2.2816647271287041</v>
      </c>
      <c r="Q310" s="195">
        <f t="shared" si="37"/>
        <v>1.8988626910224351</v>
      </c>
      <c r="R310" s="16">
        <f>IF('Dry_Litterbag Placem_Collection'!G17="N.A","",'Dry_Litterbag Placem_Collection'!G17)</f>
        <v>43007</v>
      </c>
      <c r="S310" s="195">
        <f>IF(IFERROR(INDEX('Both teabags AfterDry'!$D$1:$D$839,MATCH(H310,'Both teabags AfterDry'!$A$1:$A$839,0)),"")="N.A","",(IFERROR(INDEX('Both teabags AfterDry'!$D$1:$D$839,MATCH(H310,'Both teabags AfterDry'!$A$1:$A$839,0)),"")))</f>
        <v>1.8631</v>
      </c>
      <c r="T310" s="195">
        <f>IF(IFERROR(INDEX('Both teabags AfterDry'!$D$1:$D$839,MATCH(I310,'Both teabags AfterDry'!$A$1:$A$839,0)),"")="N.A","",(IFERROR(INDEX('Both teabags AfterDry'!$D$1:$D$839,MATCH(I310,'Both teabags AfterDry'!$A$1:$A$839,0)),"")))</f>
        <v>1.8989</v>
      </c>
      <c r="U310" s="195">
        <f t="shared" si="43"/>
        <v>1.7124999999999999</v>
      </c>
      <c r="V310" s="195">
        <f t="shared" si="43"/>
        <v>1.7483</v>
      </c>
      <c r="W310" s="195">
        <f>IFERROR(INDEX('Ashed teabags dry'!$K$2:$K$821,MATCH(H310,'Ashed teabags dry'!$A$2:$A$821,0)),"")</f>
        <v>6.134371957156727</v>
      </c>
      <c r="X310" s="195">
        <f>IFERROR(INDEX('Ashed teabags dry'!$K$2:$K$821,MATCH(I310,'Ashed teabags dry'!$A$2:$A$821,0)),"")</f>
        <v>3.0414746543770974</v>
      </c>
      <c r="Y310" s="195">
        <f t="shared" si="38"/>
        <v>1.607448880233691</v>
      </c>
      <c r="Z310" s="195">
        <f t="shared" si="38"/>
        <v>1.6951258986175253</v>
      </c>
      <c r="AA310" s="195">
        <f t="shared" si="44"/>
        <v>9.0327274928959089E-2</v>
      </c>
      <c r="AB310" s="195">
        <f t="shared" si="45"/>
        <v>5.9216930832286713E-2</v>
      </c>
      <c r="AC310" s="195">
        <f t="shared" si="39"/>
        <v>0.89270588475504331</v>
      </c>
      <c r="AD310">
        <f t="shared" si="40"/>
        <v>69</v>
      </c>
      <c r="AE310" s="195">
        <f t="shared" si="46"/>
        <v>0.89272295139078495</v>
      </c>
      <c r="AF310" s="195" t="str">
        <f t="shared" si="47"/>
        <v/>
      </c>
      <c r="AG310" s="255" t="str">
        <f>IF(ISNUMBER(SEARCH("C", 'Dry_Litterbag Placem_Collection'!AD17)),"YES","NO")</f>
        <v>NO</v>
      </c>
      <c r="AH310" s="255" t="str">
        <f>IF(ISNUMBER(SEARCH("H", 'Dry_Litterbag Placem_Collection'!AD17)),"YES","NO")</f>
        <v>NO</v>
      </c>
      <c r="AI310" s="255" t="str">
        <f>IF(ISNUMBER(SEARCH("R", 'Dry_Litterbag Placem_Collection'!AD17)),"YES","NO")</f>
        <v>NO</v>
      </c>
      <c r="AJ310" s="255" t="str">
        <f>IF(ISNUMBER(SEARCH("C", 'Dry_Litterbag Placem_Collection'!AC17)),"YES","NO")</f>
        <v>NO</v>
      </c>
      <c r="AK310" s="255" t="str">
        <f>IF(ISNUMBER(SEARCH("H", 'Dry_Litterbag Placem_Collection'!AC17)),"YES","NO")</f>
        <v>NO</v>
      </c>
      <c r="AL310" s="255" t="str">
        <f>IF(ISNUMBER(SEARCH("R", 'Dry_Litterbag Placem_Collection'!AC17)),"YES","NO")</f>
        <v>NO</v>
      </c>
      <c r="AR310" t="s">
        <v>1420</v>
      </c>
      <c r="AT310" t="s">
        <v>837</v>
      </c>
    </row>
    <row r="311" spans="2:46">
      <c r="B311" t="str">
        <f>'Final data_for_R_analysis_Dryse'!A457</f>
        <v>Dry</v>
      </c>
      <c r="C311" s="263">
        <f>'Final data_for_R_analysis_Dryse'!B457</f>
        <v>16</v>
      </c>
      <c r="D311" t="s">
        <v>3828</v>
      </c>
      <c r="E311" t="s">
        <v>25</v>
      </c>
      <c r="F311" s="387">
        <v>8</v>
      </c>
      <c r="G311" s="16">
        <f>'Dry_Litterbag Placem_Collection'!E18</f>
        <v>42938</v>
      </c>
      <c r="H311" s="92" t="str">
        <f>'Final data_for_R_analysis_Dryse'!J457</f>
        <v>G662</v>
      </c>
      <c r="I311" t="str">
        <f>'Final data_for_R_analysis_Dryse'!J677</f>
        <v>R687</v>
      </c>
      <c r="J311">
        <f>IFERROR(INDEX('Green_rooibos initial weight'!$C$5:$C$1749,MATCH(H311, 'Green_rooibos initial weight'!$A$5:$A$1749,0)),"")</f>
        <v>2.1349999999999998</v>
      </c>
      <c r="K311">
        <f>IFERROR(INDEX('Green_rooibos initial weight'!$C$5:$C$1749,MATCH(I311, 'Green_rooibos initial weight'!$A$5:$A$1749,0)),"")</f>
        <v>2.2029999999999998</v>
      </c>
      <c r="L311" s="195">
        <f t="shared" si="41"/>
        <v>1.8851999999999998</v>
      </c>
      <c r="M311" s="240">
        <f>AVERAGE(Ashed_controlls!$K$1:$K$11)</f>
        <v>5.5147656768714146</v>
      </c>
      <c r="N311" s="195">
        <f t="shared" si="36"/>
        <v>1.7812356374596199</v>
      </c>
      <c r="O311" s="195">
        <f t="shared" si="42"/>
        <v>1.9531999999999998</v>
      </c>
      <c r="P311" s="240">
        <f>AVERAGE(Ashed_controlls!$K$12:$K$14)</f>
        <v>2.2816647271287041</v>
      </c>
      <c r="Q311" s="195">
        <f t="shared" si="37"/>
        <v>1.908634524549722</v>
      </c>
      <c r="R311" s="16">
        <f>IF('Dry_Litterbag Placem_Collection'!G18="N.A","",'Dry_Litterbag Placem_Collection'!G18)</f>
        <v>43007</v>
      </c>
      <c r="S311" s="195" t="str">
        <f>IF(IFERROR(INDEX('Both teabags AfterDry'!$D$1:$D$839,MATCH(H311,'Both teabags AfterDry'!$A$1:$A$839,0)),"")="N.A","",(IFERROR(INDEX('Both teabags AfterDry'!$D$1:$D$839,MATCH(H311,'Both teabags AfterDry'!$A$1:$A$839,0)),"")))</f>
        <v/>
      </c>
      <c r="T311" s="195" t="str">
        <f>IF(IFERROR(INDEX('Both teabags AfterDry'!$D$1:$D$839,MATCH(I311,'Both teabags AfterDry'!$A$1:$A$839,0)),"")="N.A","",(IFERROR(INDEX('Both teabags AfterDry'!$D$1:$D$839,MATCH(I311,'Both teabags AfterDry'!$A$1:$A$839,0)),"")))</f>
        <v/>
      </c>
      <c r="U311" s="195" t="str">
        <f t="shared" si="43"/>
        <v/>
      </c>
      <c r="V311" s="195" t="str">
        <f t="shared" si="43"/>
        <v/>
      </c>
      <c r="W311" s="195" t="str">
        <f>IFERROR(INDEX('Ashed teabags dry'!$K$2:$K$821,MATCH(H311,'Ashed teabags dry'!$A$2:$A$821,0)),"")</f>
        <v/>
      </c>
      <c r="X311" s="195" t="str">
        <f>IFERROR(INDEX('Ashed teabags dry'!$K$2:$K$821,MATCH(I311,'Ashed teabags dry'!$A$2:$A$821,0)),"")</f>
        <v/>
      </c>
      <c r="Y311" s="195" t="str">
        <f t="shared" si="38"/>
        <v/>
      </c>
      <c r="Z311" s="195" t="str">
        <f t="shared" si="38"/>
        <v/>
      </c>
      <c r="AA311" s="195" t="str">
        <f t="shared" si="44"/>
        <v/>
      </c>
      <c r="AB311" s="195" t="str">
        <f t="shared" si="45"/>
        <v/>
      </c>
      <c r="AC311" s="195" t="str">
        <f t="shared" si="39"/>
        <v/>
      </c>
      <c r="AD311">
        <f t="shared" si="40"/>
        <v>69</v>
      </c>
      <c r="AE311" s="195" t="str">
        <f t="shared" si="46"/>
        <v/>
      </c>
      <c r="AF311" s="195" t="str">
        <f t="shared" si="47"/>
        <v/>
      </c>
      <c r="AG311" s="255" t="str">
        <f>IF(ISNUMBER(SEARCH("C", 'Dry_Litterbag Placem_Collection'!AD18)),"YES","NO")</f>
        <v>NO</v>
      </c>
      <c r="AH311" s="255" t="str">
        <f>IF(ISNUMBER(SEARCH("H", 'Dry_Litterbag Placem_Collection'!AD18)),"YES","NO")</f>
        <v>NO</v>
      </c>
      <c r="AI311" s="255" t="str">
        <f>IF(ISNUMBER(SEARCH("R", 'Dry_Litterbag Placem_Collection'!AD18)),"YES","NO")</f>
        <v>NO</v>
      </c>
      <c r="AJ311" s="255" t="str">
        <f>IF(ISNUMBER(SEARCH("C", 'Dry_Litterbag Placem_Collection'!AC18)),"YES","NO")</f>
        <v>NO</v>
      </c>
      <c r="AK311" s="255" t="str">
        <f>IF(ISNUMBER(SEARCH("H", 'Dry_Litterbag Placem_Collection'!AC18)),"YES","NO")</f>
        <v>NO</v>
      </c>
      <c r="AL311" s="255" t="str">
        <f>IF(ISNUMBER(SEARCH("R", 'Dry_Litterbag Placem_Collection'!AC18)),"YES","NO")</f>
        <v>NO</v>
      </c>
      <c r="AR311" t="s">
        <v>1388</v>
      </c>
      <c r="AT311" t="s">
        <v>452</v>
      </c>
    </row>
    <row r="312" spans="2:46">
      <c r="B312" t="str">
        <f>'Final data_for_R_analysis_Dryse'!A458</f>
        <v>Dry</v>
      </c>
      <c r="C312" s="263">
        <f>'Final data_for_R_analysis_Dryse'!B458</f>
        <v>17</v>
      </c>
      <c r="D312" t="s">
        <v>3829</v>
      </c>
      <c r="E312" t="s">
        <v>25</v>
      </c>
      <c r="F312" s="386">
        <v>1</v>
      </c>
      <c r="G312" s="16">
        <f>'Dry_Litterbag Placem_Collection'!E19</f>
        <v>42936</v>
      </c>
      <c r="H312" s="92" t="str">
        <f>'Final data_for_R_analysis_Dryse'!J458</f>
        <v>G349</v>
      </c>
      <c r="I312" t="str">
        <f>'Final data_for_R_analysis_Dryse'!J678</f>
        <v>R407</v>
      </c>
      <c r="J312">
        <f>IFERROR(INDEX('Green_rooibos initial weight'!$C$5:$C$1749,MATCH(H312, 'Green_rooibos initial weight'!$A$5:$A$1749,0)),"")</f>
        <v>1.9450000000000001</v>
      </c>
      <c r="K312">
        <f>IFERROR(INDEX('Green_rooibos initial weight'!$C$5:$C$1749,MATCH(I312, 'Green_rooibos initial weight'!$A$5:$A$1749,0)),"")</f>
        <v>2.1859999999999999</v>
      </c>
      <c r="L312" s="195">
        <f t="shared" si="41"/>
        <v>1.6952</v>
      </c>
      <c r="M312" s="240">
        <f>AVERAGE(Ashed_controlls!$K$1:$K$11)</f>
        <v>5.5147656768714146</v>
      </c>
      <c r="N312" s="195">
        <f t="shared" si="36"/>
        <v>1.6017136922456758</v>
      </c>
      <c r="O312" s="195">
        <f t="shared" si="42"/>
        <v>1.9361999999999999</v>
      </c>
      <c r="P312" s="240">
        <f>AVERAGE(Ashed_controlls!$K$12:$K$14)</f>
        <v>2.2816647271287041</v>
      </c>
      <c r="Q312" s="195">
        <f t="shared" si="37"/>
        <v>1.8920224075533341</v>
      </c>
      <c r="R312" s="16">
        <f>IF('Dry_Litterbag Placem_Collection'!G19="N.A","",'Dry_Litterbag Placem_Collection'!G19)</f>
        <v>43007</v>
      </c>
      <c r="S312" s="195">
        <f>IF(IFERROR(INDEX('Both teabags AfterDry'!$D$1:$D$839,MATCH(H312,'Both teabags AfterDry'!$A$1:$A$839,0)),"")="N.A","",(IFERROR(INDEX('Both teabags AfterDry'!$D$1:$D$839,MATCH(H312,'Both teabags AfterDry'!$A$1:$A$839,0)),"")))</f>
        <v>1.7968</v>
      </c>
      <c r="T312" s="195">
        <f>IF(IFERROR(INDEX('Both teabags AfterDry'!$D$1:$D$839,MATCH(I312,'Both teabags AfterDry'!$A$1:$A$839,0)),"")="N.A","",(IFERROR(INDEX('Both teabags AfterDry'!$D$1:$D$839,MATCH(I312,'Both teabags AfterDry'!$A$1:$A$839,0)),"")))</f>
        <v>2.0062000000000002</v>
      </c>
      <c r="U312" s="195">
        <f t="shared" si="43"/>
        <v>1.6461999999999999</v>
      </c>
      <c r="V312" s="195">
        <f t="shared" si="43"/>
        <v>1.8556000000000001</v>
      </c>
      <c r="W312" s="195">
        <f>IFERROR(INDEX('Ashed teabags dry'!$K$2:$K$821,MATCH(H312,'Ashed teabags dry'!$A$2:$A$821,0)),"")</f>
        <v>5.923344947734277</v>
      </c>
      <c r="X312" s="195">
        <f>IFERROR(INDEX('Ashed teabags dry'!$K$2:$K$821,MATCH(I312,'Ashed teabags dry'!$A$2:$A$821,0)),"")</f>
        <v>2.9004329004331213</v>
      </c>
      <c r="Y312" s="195">
        <f t="shared" si="38"/>
        <v>1.5486898954703983</v>
      </c>
      <c r="Z312" s="195">
        <f t="shared" si="38"/>
        <v>1.8017795670995631</v>
      </c>
      <c r="AA312" s="195">
        <f t="shared" si="44"/>
        <v>3.3104416246161783E-2</v>
      </c>
      <c r="AB312" s="195">
        <f t="shared" si="45"/>
        <v>2.1702657681569267E-2</v>
      </c>
      <c r="AC312" s="195">
        <f t="shared" si="39"/>
        <v>0.95230350333404967</v>
      </c>
      <c r="AD312">
        <f t="shared" si="40"/>
        <v>71</v>
      </c>
      <c r="AE312" s="195">
        <f t="shared" si="46"/>
        <v>0.96068359115657742</v>
      </c>
      <c r="AF312" s="195" t="str">
        <f t="shared" si="47"/>
        <v/>
      </c>
      <c r="AG312" s="255" t="str">
        <f>IF(ISNUMBER(SEARCH("C", 'Dry_Litterbag Placem_Collection'!AD19)),"YES","NO")</f>
        <v>NO</v>
      </c>
      <c r="AH312" s="255" t="str">
        <f>IF(ISNUMBER(SEARCH("H", 'Dry_Litterbag Placem_Collection'!AD19)),"YES","NO")</f>
        <v>NO</v>
      </c>
      <c r="AI312" s="255" t="str">
        <f>IF(ISNUMBER(SEARCH("R", 'Dry_Litterbag Placem_Collection'!AD19)),"YES","NO")</f>
        <v>NO</v>
      </c>
      <c r="AJ312" s="255" t="str">
        <f>IF(ISNUMBER(SEARCH("C", 'Dry_Litterbag Placem_Collection'!AC19)),"YES","NO")</f>
        <v>NO</v>
      </c>
      <c r="AK312" s="255" t="str">
        <f>IF(ISNUMBER(SEARCH("H", 'Dry_Litterbag Placem_Collection'!AC19)),"YES","NO")</f>
        <v>NO</v>
      </c>
      <c r="AL312" s="255" t="str">
        <f>IF(ISNUMBER(SEARCH("R", 'Dry_Litterbag Placem_Collection'!AC19)),"YES","NO")</f>
        <v>NO</v>
      </c>
      <c r="AR312" t="s">
        <v>1701</v>
      </c>
      <c r="AT312" t="s">
        <v>734</v>
      </c>
    </row>
    <row r="313" spans="2:46">
      <c r="B313" t="str">
        <f>'Final data_for_R_analysis_Dryse'!A459</f>
        <v>Dry</v>
      </c>
      <c r="C313" s="263">
        <f>'Final data_for_R_analysis_Dryse'!B459</f>
        <v>18</v>
      </c>
      <c r="D313" t="s">
        <v>3829</v>
      </c>
      <c r="E313" t="s">
        <v>25</v>
      </c>
      <c r="F313" s="386">
        <v>2</v>
      </c>
      <c r="G313" s="16">
        <f>'Dry_Litterbag Placem_Collection'!E20</f>
        <v>42936</v>
      </c>
      <c r="H313" s="92" t="str">
        <f>'Final data_for_R_analysis_Dryse'!J459</f>
        <v>G113</v>
      </c>
      <c r="I313" t="str">
        <f>'Final data_for_R_analysis_Dryse'!J679</f>
        <v>R361</v>
      </c>
      <c r="J313">
        <f>IFERROR(INDEX('Green_rooibos initial weight'!$C$5:$C$1749,MATCH(H313, 'Green_rooibos initial weight'!$A$5:$A$1749,0)),"")</f>
        <v>2.0539999999999998</v>
      </c>
      <c r="K313">
        <f>IFERROR(INDEX('Green_rooibos initial weight'!$C$5:$C$1749,MATCH(I313, 'Green_rooibos initial weight'!$A$5:$A$1749,0)),"")</f>
        <v>2.2210000000000001</v>
      </c>
      <c r="L313" s="195">
        <f t="shared" si="41"/>
        <v>1.8041999999999998</v>
      </c>
      <c r="M313" s="240">
        <f>AVERAGE(Ashed_controlls!$K$1:$K$11)</f>
        <v>5.5147656768714146</v>
      </c>
      <c r="N313" s="195">
        <f t="shared" si="36"/>
        <v>1.7047025976578858</v>
      </c>
      <c r="O313" s="195">
        <f t="shared" si="42"/>
        <v>1.9712000000000001</v>
      </c>
      <c r="P313" s="240">
        <f>AVERAGE(Ashed_controlls!$K$12:$K$14)</f>
        <v>2.2816647271287041</v>
      </c>
      <c r="Q313" s="195">
        <f t="shared" si="37"/>
        <v>1.926223824898839</v>
      </c>
      <c r="R313" s="16">
        <f>IF('Dry_Litterbag Placem_Collection'!G20="N.A","",'Dry_Litterbag Placem_Collection'!G20)</f>
        <v>43007</v>
      </c>
      <c r="S313" s="195">
        <f>IF(IFERROR(INDEX('Both teabags AfterDry'!$D$1:$D$839,MATCH(H313,'Both teabags AfterDry'!$A$1:$A$839,0)),"")="N.A","",(IFERROR(INDEX('Both teabags AfterDry'!$D$1:$D$839,MATCH(H313,'Both teabags AfterDry'!$A$1:$A$839,0)),"")))</f>
        <v>1.8204</v>
      </c>
      <c r="T313" s="195">
        <f>IF(IFERROR(INDEX('Both teabags AfterDry'!$D$1:$D$839,MATCH(I313,'Both teabags AfterDry'!$A$1:$A$839,0)),"")="N.A","",(IFERROR(INDEX('Both teabags AfterDry'!$D$1:$D$839,MATCH(I313,'Both teabags AfterDry'!$A$1:$A$839,0)),"")))</f>
        <v>2.0156999999999998</v>
      </c>
      <c r="U313" s="195">
        <f t="shared" si="43"/>
        <v>1.6698</v>
      </c>
      <c r="V313" s="195">
        <f t="shared" si="43"/>
        <v>1.8650999999999998</v>
      </c>
      <c r="W313" s="195">
        <f>IFERROR(INDEX('Ashed teabags dry'!$K$2:$K$821,MATCH(H313,'Ashed teabags dry'!$A$2:$A$821,0)),"")</f>
        <v>6.7017711823853698</v>
      </c>
      <c r="X313" s="195">
        <f>IFERROR(INDEX('Ashed teabags dry'!$K$2:$K$821,MATCH(I313,'Ashed teabags dry'!$A$2:$A$821,0)),"")</f>
        <v>2.3668639053252516</v>
      </c>
      <c r="Y313" s="195">
        <f t="shared" si="38"/>
        <v>1.557893824796529</v>
      </c>
      <c r="Z313" s="195">
        <f t="shared" si="38"/>
        <v>1.8209556213017786</v>
      </c>
      <c r="AA313" s="195">
        <f t="shared" si="44"/>
        <v>8.6119873966907345E-2</v>
      </c>
      <c r="AB313" s="195">
        <f t="shared" si="45"/>
        <v>5.6458634714647127E-2</v>
      </c>
      <c r="AC313" s="195">
        <f t="shared" si="39"/>
        <v>0.94534996284630168</v>
      </c>
      <c r="AD313">
        <f t="shared" si="40"/>
        <v>71</v>
      </c>
      <c r="AE313" s="195">
        <f t="shared" si="46"/>
        <v>0.89771986464737841</v>
      </c>
      <c r="AF313" s="195">
        <f t="shared" si="47"/>
        <v>4.8464176399051456E-2</v>
      </c>
      <c r="AG313" s="255" t="str">
        <f>IF(ISNUMBER(SEARCH("C", 'Dry_Litterbag Placem_Collection'!AD20)),"YES","NO")</f>
        <v>NO</v>
      </c>
      <c r="AH313" s="255" t="str">
        <f>IF(ISNUMBER(SEARCH("H", 'Dry_Litterbag Placem_Collection'!AD20)),"YES","NO")</f>
        <v>NO</v>
      </c>
      <c r="AI313" s="255" t="str">
        <f>IF(ISNUMBER(SEARCH("R", 'Dry_Litterbag Placem_Collection'!AD20)),"YES","NO")</f>
        <v>NO</v>
      </c>
      <c r="AJ313" s="255" t="str">
        <f>IF(ISNUMBER(SEARCH("C", 'Dry_Litterbag Placem_Collection'!AC20)),"YES","NO")</f>
        <v>NO</v>
      </c>
      <c r="AK313" s="255" t="str">
        <f>IF(ISNUMBER(SEARCH("H", 'Dry_Litterbag Placem_Collection'!AC20)),"YES","NO")</f>
        <v>NO</v>
      </c>
      <c r="AL313" s="255" t="str">
        <f>IF(ISNUMBER(SEARCH("R", 'Dry_Litterbag Placem_Collection'!AC20)),"YES","NO")</f>
        <v>NO</v>
      </c>
      <c r="AR313" t="s">
        <v>1937</v>
      </c>
      <c r="AT313" t="s">
        <v>780</v>
      </c>
    </row>
    <row r="314" spans="2:46">
      <c r="B314" t="str">
        <f>'Final data_for_R_analysis_Dryse'!A460</f>
        <v>Dry</v>
      </c>
      <c r="C314" s="263">
        <f>'Final data_for_R_analysis_Dryse'!B460</f>
        <v>19</v>
      </c>
      <c r="D314" t="s">
        <v>3829</v>
      </c>
      <c r="E314" t="s">
        <v>25</v>
      </c>
      <c r="F314" s="386">
        <v>3</v>
      </c>
      <c r="G314" s="16">
        <f>'Dry_Litterbag Placem_Collection'!E21</f>
        <v>42936</v>
      </c>
      <c r="H314" s="92" t="str">
        <f>'Final data_for_R_analysis_Dryse'!J460</f>
        <v>G394</v>
      </c>
      <c r="I314" t="str">
        <f>'Final data_for_R_analysis_Dryse'!J680</f>
        <v>R280</v>
      </c>
      <c r="J314">
        <f>IFERROR(INDEX('Green_rooibos initial weight'!$C$5:$C$1749,MATCH(H314, 'Green_rooibos initial weight'!$A$5:$A$1749,0)),"")</f>
        <v>2.056</v>
      </c>
      <c r="K314">
        <f>IFERROR(INDEX('Green_rooibos initial weight'!$C$5:$C$1749,MATCH(I314, 'Green_rooibos initial weight'!$A$5:$A$1749,0)),"")</f>
        <v>2.11</v>
      </c>
      <c r="L314" s="195">
        <f t="shared" si="41"/>
        <v>1.8062</v>
      </c>
      <c r="M314" s="240">
        <f>AVERAGE(Ashed_controlls!$K$1:$K$11)</f>
        <v>5.5147656768714146</v>
      </c>
      <c r="N314" s="195">
        <f t="shared" si="36"/>
        <v>1.7065923023443486</v>
      </c>
      <c r="O314" s="195">
        <f t="shared" si="42"/>
        <v>1.8601999999999999</v>
      </c>
      <c r="P314" s="240">
        <f>AVERAGE(Ashed_controlls!$K$12:$K$14)</f>
        <v>2.2816647271287041</v>
      </c>
      <c r="Q314" s="195">
        <f t="shared" si="37"/>
        <v>1.8177564727459516</v>
      </c>
      <c r="R314" s="16">
        <f>IF('Dry_Litterbag Placem_Collection'!G21="N.A","",'Dry_Litterbag Placem_Collection'!G21)</f>
        <v>43007</v>
      </c>
      <c r="S314" s="195">
        <f>IF(IFERROR(INDEX('Both teabags AfterDry'!$D$1:$D$839,MATCH(H314,'Both teabags AfterDry'!$A$1:$A$839,0)),"")="N.A","",(IFERROR(INDEX('Both teabags AfterDry'!$D$1:$D$839,MATCH(H314,'Both teabags AfterDry'!$A$1:$A$839,0)),"")))</f>
        <v>1.8532999999999999</v>
      </c>
      <c r="T314" s="195">
        <f>IF(IFERROR(INDEX('Both teabags AfterDry'!$D$1:$D$839,MATCH(I314,'Both teabags AfterDry'!$A$1:$A$839,0)),"")="N.A","",(IFERROR(INDEX('Both teabags AfterDry'!$D$1:$D$839,MATCH(I314,'Both teabags AfterDry'!$A$1:$A$839,0)),"")))</f>
        <v>1.9007000000000001</v>
      </c>
      <c r="U314" s="195">
        <f t="shared" si="43"/>
        <v>1.7026999999999999</v>
      </c>
      <c r="V314" s="195">
        <f t="shared" si="43"/>
        <v>1.7501</v>
      </c>
      <c r="W314" s="195">
        <f>IFERROR(INDEX('Ashed teabags dry'!$K$2:$K$821,MATCH(H314,'Ashed teabags dry'!$A$2:$A$821,0)),"")</f>
        <v>6.2286689419790493</v>
      </c>
      <c r="X314" s="195">
        <f>IFERROR(INDEX('Ashed teabags dry'!$K$2:$K$821,MATCH(I314,'Ashed teabags dry'!$A$2:$A$821,0)),"")</f>
        <v>2.6531596719727872</v>
      </c>
      <c r="Y314" s="195">
        <f t="shared" si="38"/>
        <v>1.5966444539249227</v>
      </c>
      <c r="Z314" s="195">
        <f t="shared" si="38"/>
        <v>1.7036670525808042</v>
      </c>
      <c r="AA314" s="195">
        <f t="shared" si="44"/>
        <v>6.4425374630127097E-2</v>
      </c>
      <c r="AB314" s="195">
        <f t="shared" si="45"/>
        <v>4.223611258412132E-2</v>
      </c>
      <c r="AC314" s="195">
        <f t="shared" si="39"/>
        <v>0.9372361359314535</v>
      </c>
      <c r="AD314">
        <f t="shared" si="40"/>
        <v>71</v>
      </c>
      <c r="AE314" s="195">
        <f t="shared" si="46"/>
        <v>0.9234853032896353</v>
      </c>
      <c r="AF314" s="195" t="str">
        <f t="shared" si="47"/>
        <v/>
      </c>
      <c r="AG314" s="255" t="str">
        <f>IF(ISNUMBER(SEARCH("C", 'Dry_Litterbag Placem_Collection'!AD21)),"YES","NO")</f>
        <v>NO</v>
      </c>
      <c r="AH314" s="255" t="str">
        <f>IF(ISNUMBER(SEARCH("H", 'Dry_Litterbag Placem_Collection'!AD21)),"YES","NO")</f>
        <v>NO</v>
      </c>
      <c r="AI314" s="255" t="str">
        <f>IF(ISNUMBER(SEARCH("R", 'Dry_Litterbag Placem_Collection'!AD21)),"YES","NO")</f>
        <v>NO</v>
      </c>
      <c r="AJ314" s="255" t="str">
        <f>IF(ISNUMBER(SEARCH("C", 'Dry_Litterbag Placem_Collection'!AC21)),"YES","NO")</f>
        <v>NO</v>
      </c>
      <c r="AK314" s="255" t="str">
        <f>IF(ISNUMBER(SEARCH("H", 'Dry_Litterbag Placem_Collection'!AC21)),"YES","NO")</f>
        <v>NO</v>
      </c>
      <c r="AL314" s="255" t="str">
        <f>IF(ISNUMBER(SEARCH("R", 'Dry_Litterbag Placem_Collection'!AC21)),"YES","NO")</f>
        <v>NO</v>
      </c>
      <c r="AR314" t="s">
        <v>1656</v>
      </c>
      <c r="AT314" t="s">
        <v>861</v>
      </c>
    </row>
    <row r="315" spans="2:46">
      <c r="B315" t="str">
        <f>'Final data_for_R_analysis_Dryse'!A461</f>
        <v>Dry</v>
      </c>
      <c r="C315" s="263">
        <f>'Final data_for_R_analysis_Dryse'!B461</f>
        <v>20</v>
      </c>
      <c r="D315" t="s">
        <v>3829</v>
      </c>
      <c r="E315" t="s">
        <v>25</v>
      </c>
      <c r="F315" s="387">
        <v>4</v>
      </c>
      <c r="G315" s="16">
        <f>'Dry_Litterbag Placem_Collection'!E22</f>
        <v>42936</v>
      </c>
      <c r="H315" s="92" t="str">
        <f>'Final data_for_R_analysis_Dryse'!J461</f>
        <v>G79</v>
      </c>
      <c r="I315" t="str">
        <f>'Final data_for_R_analysis_Dryse'!J681</f>
        <v>R320</v>
      </c>
      <c r="J315">
        <f>IFERROR(INDEX('Green_rooibos initial weight'!$C$5:$C$1749,MATCH(H315, 'Green_rooibos initial weight'!$A$5:$A$1749,0)),"")</f>
        <v>2.1120000000000001</v>
      </c>
      <c r="K315">
        <f>IFERROR(INDEX('Green_rooibos initial weight'!$C$5:$C$1749,MATCH(I315, 'Green_rooibos initial weight'!$A$5:$A$1749,0)),"")</f>
        <v>2.1459999999999999</v>
      </c>
      <c r="L315" s="195">
        <f t="shared" si="41"/>
        <v>1.8622000000000001</v>
      </c>
      <c r="M315" s="240">
        <f>AVERAGE(Ashed_controlls!$K$1:$K$11)</f>
        <v>5.5147656768714146</v>
      </c>
      <c r="N315" s="195">
        <f t="shared" si="36"/>
        <v>1.7595040335653005</v>
      </c>
      <c r="O315" s="195">
        <f t="shared" si="42"/>
        <v>1.8961999999999999</v>
      </c>
      <c r="P315" s="240">
        <f>AVERAGE(Ashed_controlls!$K$12:$K$14)</f>
        <v>2.2816647271287041</v>
      </c>
      <c r="Q315" s="195">
        <f t="shared" si="37"/>
        <v>1.8529350734441854</v>
      </c>
      <c r="R315" s="16">
        <f>IF('Dry_Litterbag Placem_Collection'!G22="N.A","",'Dry_Litterbag Placem_Collection'!G22)</f>
        <v>43007</v>
      </c>
      <c r="S315" s="195">
        <f>IF(IFERROR(INDEX('Both teabags AfterDry'!$D$1:$D$839,MATCH(H315,'Both teabags AfterDry'!$A$1:$A$839,0)),"")="N.A","",(IFERROR(INDEX('Both teabags AfterDry'!$D$1:$D$839,MATCH(H315,'Both teabags AfterDry'!$A$1:$A$839,0)),"")))</f>
        <v>1.8559000000000001</v>
      </c>
      <c r="T315" s="195">
        <f>IF(IFERROR(INDEX('Both teabags AfterDry'!$D$1:$D$839,MATCH(I315,'Both teabags AfterDry'!$A$1:$A$839,0)),"")="N.A","",(IFERROR(INDEX('Both teabags AfterDry'!$D$1:$D$839,MATCH(I315,'Both teabags AfterDry'!$A$1:$A$839,0)),"")))</f>
        <v>1.9332</v>
      </c>
      <c r="U315" s="195">
        <f t="shared" si="43"/>
        <v>1.7053</v>
      </c>
      <c r="V315" s="195">
        <f t="shared" si="43"/>
        <v>1.7826</v>
      </c>
      <c r="W315" s="195">
        <f>IFERROR(INDEX('Ashed teabags dry'!$K$2:$K$821,MATCH(H315,'Ashed teabags dry'!$A$2:$A$821,0)),"")</f>
        <v>6.4935064935060867</v>
      </c>
      <c r="X315" s="195">
        <f>IFERROR(INDEX('Ashed teabags dry'!$K$2:$K$821,MATCH(I315,'Ashed teabags dry'!$A$2:$A$821,0)),"")</f>
        <v>2.2439024390243194</v>
      </c>
      <c r="Y315" s="195">
        <f t="shared" si="38"/>
        <v>1.5945662337662407</v>
      </c>
      <c r="Z315" s="195">
        <f t="shared" si="38"/>
        <v>1.7426001951219525</v>
      </c>
      <c r="AA315" s="195">
        <f t="shared" si="44"/>
        <v>9.3741075128338625E-2</v>
      </c>
      <c r="AB315" s="195">
        <f t="shared" si="45"/>
        <v>6.1454956616203017E-2</v>
      </c>
      <c r="AC315" s="195">
        <f t="shared" si="39"/>
        <v>0.94045399652501294</v>
      </c>
      <c r="AD315">
        <f t="shared" si="40"/>
        <v>71</v>
      </c>
      <c r="AE315" s="195">
        <f t="shared" si="46"/>
        <v>0.88866855685470469</v>
      </c>
      <c r="AF315" s="195">
        <f t="shared" si="47"/>
        <v>4.8897880218682056E-2</v>
      </c>
      <c r="AG315" s="255" t="str">
        <f>IF(ISNUMBER(SEARCH("C", 'Dry_Litterbag Placem_Collection'!AD22)),"YES","NO")</f>
        <v>NO</v>
      </c>
      <c r="AH315" s="255" t="str">
        <f>IF(ISNUMBER(SEARCH("H", 'Dry_Litterbag Placem_Collection'!AD22)),"YES","NO")</f>
        <v>NO</v>
      </c>
      <c r="AI315" s="255" t="str">
        <f>IF(ISNUMBER(SEARCH("R", 'Dry_Litterbag Placem_Collection'!AD22)),"YES","NO")</f>
        <v>NO</v>
      </c>
      <c r="AJ315" s="255" t="str">
        <f>IF(ISNUMBER(SEARCH("C", 'Dry_Litterbag Placem_Collection'!AC22)),"YES","NO")</f>
        <v>NO</v>
      </c>
      <c r="AK315" s="255" t="str">
        <f>IF(ISNUMBER(SEARCH("H", 'Dry_Litterbag Placem_Collection'!AC22)),"YES","NO")</f>
        <v>NO</v>
      </c>
      <c r="AL315" s="255" t="str">
        <f>IF(ISNUMBER(SEARCH("R", 'Dry_Litterbag Placem_Collection'!AC22)),"YES","NO")</f>
        <v>NO</v>
      </c>
      <c r="AR315" t="s">
        <v>1971</v>
      </c>
      <c r="AT315" t="s">
        <v>821</v>
      </c>
    </row>
    <row r="316" spans="2:46">
      <c r="B316" t="str">
        <f>'Final data_for_R_analysis_Dryse'!A462</f>
        <v>Dry</v>
      </c>
      <c r="C316" s="263">
        <f>'Final data_for_R_analysis_Dryse'!B462</f>
        <v>21</v>
      </c>
      <c r="D316" t="s">
        <v>3829</v>
      </c>
      <c r="E316" t="s">
        <v>25</v>
      </c>
      <c r="F316" s="387">
        <v>5</v>
      </c>
      <c r="G316" s="16">
        <f>'Dry_Litterbag Placem_Collection'!E23</f>
        <v>42936</v>
      </c>
      <c r="H316" s="92" t="str">
        <f>'Final data_for_R_analysis_Dryse'!J462</f>
        <v>G488</v>
      </c>
      <c r="I316" t="str">
        <f>'Final data_for_R_analysis_Dryse'!J682</f>
        <v>R209</v>
      </c>
      <c r="J316">
        <f>IFERROR(INDEX('Green_rooibos initial weight'!$C$5:$C$1749,MATCH(H316, 'Green_rooibos initial weight'!$A$5:$A$1749,0)),"")</f>
        <v>1.9910000000000001</v>
      </c>
      <c r="K316">
        <f>IFERROR(INDEX('Green_rooibos initial weight'!$C$5:$C$1749,MATCH(I316, 'Green_rooibos initial weight'!$A$5:$A$1749,0)),"")</f>
        <v>2.2069999999999999</v>
      </c>
      <c r="L316" s="195">
        <f t="shared" si="41"/>
        <v>1.7412000000000001</v>
      </c>
      <c r="M316" s="240">
        <f>AVERAGE(Ashed_controlls!$K$1:$K$11)</f>
        <v>5.5147656768714146</v>
      </c>
      <c r="N316" s="195">
        <f t="shared" si="36"/>
        <v>1.645176900034315</v>
      </c>
      <c r="O316" s="195">
        <f t="shared" si="42"/>
        <v>1.9571999999999998</v>
      </c>
      <c r="P316" s="240">
        <f>AVERAGE(Ashed_controlls!$K$12:$K$14)</f>
        <v>2.2816647271287041</v>
      </c>
      <c r="Q316" s="195">
        <f t="shared" si="37"/>
        <v>1.9125432579606367</v>
      </c>
      <c r="R316" s="16">
        <f>IF('Dry_Litterbag Placem_Collection'!G23="N.A","",'Dry_Litterbag Placem_Collection'!G23)</f>
        <v>43007</v>
      </c>
      <c r="S316" s="195" t="str">
        <f>IF(IFERROR(INDEX('Both teabags AfterDry'!$D$1:$D$839,MATCH(H316,'Both teabags AfterDry'!$A$1:$A$839,0)),"")="N.A","",(IFERROR(INDEX('Both teabags AfterDry'!$D$1:$D$839,MATCH(H316,'Both teabags AfterDry'!$A$1:$A$839,0)),"")))</f>
        <v/>
      </c>
      <c r="T316" s="195" t="str">
        <f>IF(IFERROR(INDEX('Both teabags AfterDry'!$D$1:$D$839,MATCH(I316,'Both teabags AfterDry'!$A$1:$A$839,0)),"")="N.A","",(IFERROR(INDEX('Both teabags AfterDry'!$D$1:$D$839,MATCH(I316,'Both teabags AfterDry'!$A$1:$A$839,0)),"")))</f>
        <v/>
      </c>
      <c r="U316" s="195" t="str">
        <f t="shared" si="43"/>
        <v/>
      </c>
      <c r="V316" s="195" t="str">
        <f t="shared" si="43"/>
        <v/>
      </c>
      <c r="W316" s="195" t="str">
        <f>IFERROR(INDEX('Ashed teabags dry'!$K$2:$K$821,MATCH(H316,'Ashed teabags dry'!$A$2:$A$821,0)),"")</f>
        <v/>
      </c>
      <c r="X316" s="195" t="str">
        <f>IFERROR(INDEX('Ashed teabags dry'!$K$2:$K$821,MATCH(I316,'Ashed teabags dry'!$A$2:$A$821,0)),"")</f>
        <v/>
      </c>
      <c r="Y316" s="195" t="str">
        <f t="shared" si="38"/>
        <v/>
      </c>
      <c r="Z316" s="195" t="str">
        <f t="shared" si="38"/>
        <v/>
      </c>
      <c r="AA316" s="195" t="str">
        <f t="shared" si="44"/>
        <v/>
      </c>
      <c r="AB316" s="195" t="str">
        <f t="shared" si="45"/>
        <v/>
      </c>
      <c r="AC316" s="195" t="str">
        <f t="shared" si="39"/>
        <v/>
      </c>
      <c r="AD316">
        <f t="shared" si="40"/>
        <v>71</v>
      </c>
      <c r="AE316" s="195" t="str">
        <f t="shared" si="46"/>
        <v/>
      </c>
      <c r="AF316" s="195" t="str">
        <f t="shared" si="47"/>
        <v/>
      </c>
      <c r="AG316" s="255" t="str">
        <f>IF(ISNUMBER(SEARCH("C", 'Dry_Litterbag Placem_Collection'!AD23)),"YES","NO")</f>
        <v>NO</v>
      </c>
      <c r="AH316" s="255" t="str">
        <f>IF(ISNUMBER(SEARCH("H", 'Dry_Litterbag Placem_Collection'!AD23)),"YES","NO")</f>
        <v>NO</v>
      </c>
      <c r="AI316" s="255" t="str">
        <f>IF(ISNUMBER(SEARCH("R", 'Dry_Litterbag Placem_Collection'!AD23)),"YES","NO")</f>
        <v>NO</v>
      </c>
      <c r="AJ316" s="255" t="str">
        <f>IF(ISNUMBER(SEARCH("C", 'Dry_Litterbag Placem_Collection'!AC23)),"YES","NO")</f>
        <v>NO</v>
      </c>
      <c r="AK316" s="255" t="str">
        <f>IF(ISNUMBER(SEARCH("H", 'Dry_Litterbag Placem_Collection'!AC23)),"YES","NO")</f>
        <v>NO</v>
      </c>
      <c r="AL316" s="255" t="str">
        <f>IF(ISNUMBER(SEARCH("R", 'Dry_Litterbag Placem_Collection'!AC23)),"YES","NO")</f>
        <v>NO</v>
      </c>
      <c r="AR316" t="s">
        <v>1562</v>
      </c>
      <c r="AT316" t="s">
        <v>932</v>
      </c>
    </row>
    <row r="317" spans="2:46">
      <c r="B317" t="str">
        <f>'Final data_for_R_analysis_Dryse'!A463</f>
        <v>Dry</v>
      </c>
      <c r="C317" s="263">
        <f>'Final data_for_R_analysis_Dryse'!B463</f>
        <v>22</v>
      </c>
      <c r="D317" t="s">
        <v>3829</v>
      </c>
      <c r="E317" t="s">
        <v>25</v>
      </c>
      <c r="F317" s="387">
        <v>6</v>
      </c>
      <c r="G317" s="16">
        <f>'Dry_Litterbag Placem_Collection'!E24</f>
        <v>42936</v>
      </c>
      <c r="H317" s="92" t="str">
        <f>'Final data_for_R_analysis_Dryse'!J463</f>
        <v>G750</v>
      </c>
      <c r="I317" t="str">
        <f>'Final data_for_R_analysis_Dryse'!J683</f>
        <v>R646</v>
      </c>
      <c r="J317">
        <f>IFERROR(INDEX('Green_rooibos initial weight'!$C$5:$C$1749,MATCH(H317, 'Green_rooibos initial weight'!$A$5:$A$1749,0)),"")</f>
        <v>1.966</v>
      </c>
      <c r="K317">
        <f>IFERROR(INDEX('Green_rooibos initial weight'!$C$5:$C$1749,MATCH(I317, 'Green_rooibos initial weight'!$A$5:$A$1749,0)),"")</f>
        <v>2.1480000000000001</v>
      </c>
      <c r="L317" s="195">
        <f t="shared" si="41"/>
        <v>1.7161999999999999</v>
      </c>
      <c r="M317" s="240">
        <f>AVERAGE(Ashed_controlls!$K$1:$K$11)</f>
        <v>5.5147656768714146</v>
      </c>
      <c r="N317" s="195">
        <f t="shared" si="36"/>
        <v>1.6215555914535327</v>
      </c>
      <c r="O317" s="195">
        <f t="shared" si="42"/>
        <v>1.8982000000000001</v>
      </c>
      <c r="P317" s="240">
        <f>AVERAGE(Ashed_controlls!$K$12:$K$14)</f>
        <v>2.2816647271287041</v>
      </c>
      <c r="Q317" s="195">
        <f t="shared" si="37"/>
        <v>1.854889440149643</v>
      </c>
      <c r="R317" s="16">
        <f>IF('Dry_Litterbag Placem_Collection'!G24="N.A","",'Dry_Litterbag Placem_Collection'!G24)</f>
        <v>43007</v>
      </c>
      <c r="S317" s="195">
        <f>IF(IFERROR(INDEX('Both teabags AfterDry'!$D$1:$D$839,MATCH(H317,'Both teabags AfterDry'!$A$1:$A$839,0)),"")="N.A","",(IFERROR(INDEX('Both teabags AfterDry'!$D$1:$D$839,MATCH(H317,'Both teabags AfterDry'!$A$1:$A$839,0)),"")))</f>
        <v>1.3833</v>
      </c>
      <c r="T317" s="195">
        <f>IF(IFERROR(INDEX('Both teabags AfterDry'!$D$1:$D$839,MATCH(I317,'Both teabags AfterDry'!$A$1:$A$839,0)),"")="N.A","",(IFERROR(INDEX('Both teabags AfterDry'!$D$1:$D$839,MATCH(I317,'Both teabags AfterDry'!$A$1:$A$839,0)),"")))</f>
        <v>1.8704000000000001</v>
      </c>
      <c r="U317" s="195">
        <f t="shared" si="43"/>
        <v>1.2326999999999999</v>
      </c>
      <c r="V317" s="195">
        <f t="shared" si="43"/>
        <v>1.7198</v>
      </c>
      <c r="W317" s="195">
        <f>IFERROR(INDEX('Ashed teabags dry'!$K$2:$K$821,MATCH(H317,'Ashed teabags dry'!$A$2:$A$821,0)),"")</f>
        <v>8.0118694362018044</v>
      </c>
      <c r="X317" s="195">
        <f>IFERROR(INDEX('Ashed teabags dry'!$K$2:$K$821,MATCH(I317,'Ashed teabags dry'!$A$2:$A$821,0)),"")</f>
        <v>2.497502497502583</v>
      </c>
      <c r="Y317" s="195">
        <f t="shared" si="38"/>
        <v>1.1339376854599403</v>
      </c>
      <c r="Z317" s="195">
        <f t="shared" si="38"/>
        <v>1.6768479520479507</v>
      </c>
      <c r="AA317" s="195">
        <f t="shared" si="44"/>
        <v>0.30070995318544746</v>
      </c>
      <c r="AB317" s="195">
        <f t="shared" si="45"/>
        <v>0.19714001681516274</v>
      </c>
      <c r="AC317" s="195">
        <f t="shared" si="39"/>
        <v>0.90401504033182223</v>
      </c>
      <c r="AD317">
        <f t="shared" si="40"/>
        <v>71</v>
      </c>
      <c r="AE317" s="195">
        <f t="shared" si="46"/>
        <v>0.64286228837832837</v>
      </c>
      <c r="AF317" s="195">
        <f t="shared" si="47"/>
        <v>9.3980234177306228E-3</v>
      </c>
      <c r="AG317" s="255" t="str">
        <f>IF(ISNUMBER(SEARCH("C", 'Dry_Litterbag Placem_Collection'!AD24)),"YES","NO")</f>
        <v>NO</v>
      </c>
      <c r="AH317" s="255" t="str">
        <f>IF(ISNUMBER(SEARCH("H", 'Dry_Litterbag Placem_Collection'!AD24)),"YES","NO")</f>
        <v>NO</v>
      </c>
      <c r="AI317" s="255" t="str">
        <f>IF(ISNUMBER(SEARCH("R", 'Dry_Litterbag Placem_Collection'!AD24)),"YES","NO")</f>
        <v>NO</v>
      </c>
      <c r="AJ317" s="255" t="str">
        <f>IF(ISNUMBER(SEARCH("C", 'Dry_Litterbag Placem_Collection'!AC24)),"YES","NO")</f>
        <v>NO</v>
      </c>
      <c r="AK317" s="255" t="str">
        <f>IF(ISNUMBER(SEARCH("H", 'Dry_Litterbag Placem_Collection'!AC24)),"YES","NO")</f>
        <v>NO</v>
      </c>
      <c r="AL317" s="255" t="str">
        <f>IF(ISNUMBER(SEARCH("R", 'Dry_Litterbag Placem_Collection'!AC24)),"YES","NO")</f>
        <v>NO</v>
      </c>
      <c r="AR317" t="s">
        <v>1300</v>
      </c>
      <c r="AT317" t="s">
        <v>493</v>
      </c>
    </row>
    <row r="318" spans="2:46">
      <c r="B318" t="str">
        <f>'Final data_for_R_analysis_Dryse'!A464</f>
        <v>Dry</v>
      </c>
      <c r="C318" s="263">
        <f>'Final data_for_R_analysis_Dryse'!B464</f>
        <v>23</v>
      </c>
      <c r="D318" t="s">
        <v>3829</v>
      </c>
      <c r="E318" t="s">
        <v>25</v>
      </c>
      <c r="F318" s="387">
        <v>7</v>
      </c>
      <c r="G318" s="390">
        <f>'Dry_Litterbag Placem_Collection'!E25</f>
        <v>0</v>
      </c>
      <c r="H318" s="92" t="str">
        <f>'Final data_for_R_analysis_Dryse'!J464</f>
        <v/>
      </c>
      <c r="I318" t="str">
        <f>'Final data_for_R_analysis_Dryse'!J684</f>
        <v/>
      </c>
      <c r="J318" t="str">
        <f>IFERROR(INDEX('Green_rooibos initial weight'!$C$5:$C$1749,MATCH(H318, 'Green_rooibos initial weight'!$A$5:$A$1749,0)),"")</f>
        <v/>
      </c>
      <c r="K318" t="str">
        <f>IFERROR(INDEX('Green_rooibos initial weight'!$C$5:$C$1749,MATCH(I318, 'Green_rooibos initial weight'!$A$5:$A$1749,0)),"")</f>
        <v/>
      </c>
      <c r="L318" s="195" t="str">
        <f t="shared" si="41"/>
        <v/>
      </c>
      <c r="M318" s="240">
        <f>AVERAGE(Ashed_controlls!$K$1:$K$11)</f>
        <v>5.5147656768714146</v>
      </c>
      <c r="N318" s="195" t="str">
        <f t="shared" si="36"/>
        <v/>
      </c>
      <c r="O318" s="195" t="str">
        <f t="shared" si="42"/>
        <v/>
      </c>
      <c r="P318" s="240">
        <f>AVERAGE(Ashed_controlls!$K$12:$K$14)</f>
        <v>2.2816647271287041</v>
      </c>
      <c r="Q318" s="195" t="str">
        <f t="shared" si="37"/>
        <v/>
      </c>
      <c r="R318" s="16">
        <f>IF('Dry_Litterbag Placem_Collection'!G25="N.A","",'Dry_Litterbag Placem_Collection'!G25)</f>
        <v>0</v>
      </c>
      <c r="S318" s="195" t="str">
        <f>IF(IFERROR(INDEX('Both teabags AfterDry'!$D$1:$D$839,MATCH(H318,'Both teabags AfterDry'!$A$1:$A$839,0)),"")="N.A","",(IFERROR(INDEX('Both teabags AfterDry'!$D$1:$D$839,MATCH(H318,'Both teabags AfterDry'!$A$1:$A$839,0)),"")))</f>
        <v/>
      </c>
      <c r="T318" s="195" t="str">
        <f>IF(IFERROR(INDEX('Both teabags AfterDry'!$D$1:$D$839,MATCH(I318,'Both teabags AfterDry'!$A$1:$A$839,0)),"")="N.A","",(IFERROR(INDEX('Both teabags AfterDry'!$D$1:$D$839,MATCH(I318,'Both teabags AfterDry'!$A$1:$A$839,0)),"")))</f>
        <v/>
      </c>
      <c r="U318" s="195" t="str">
        <f t="shared" si="43"/>
        <v/>
      </c>
      <c r="V318" s="195" t="str">
        <f t="shared" si="43"/>
        <v/>
      </c>
      <c r="W318" s="195" t="str">
        <f>IFERROR(INDEX('Ashed teabags dry'!$K$2:$K$821,MATCH(H318,'Ashed teabags dry'!$A$2:$A$821,0)),"")</f>
        <v/>
      </c>
      <c r="X318" s="195" t="str">
        <f>IFERROR(INDEX('Ashed teabags dry'!$K$2:$K$821,MATCH(I318,'Ashed teabags dry'!$A$2:$A$821,0)),"")</f>
        <v/>
      </c>
      <c r="Y318" s="195" t="str">
        <f t="shared" si="38"/>
        <v/>
      </c>
      <c r="Z318" s="195" t="str">
        <f t="shared" si="38"/>
        <v/>
      </c>
      <c r="AA318" s="195" t="str">
        <f t="shared" si="44"/>
        <v/>
      </c>
      <c r="AB318" s="195" t="str">
        <f t="shared" si="45"/>
        <v/>
      </c>
      <c r="AC318" s="195" t="str">
        <f t="shared" si="39"/>
        <v/>
      </c>
      <c r="AD318" t="str">
        <f t="shared" si="40"/>
        <v/>
      </c>
      <c r="AE318" s="195" t="str">
        <f t="shared" si="46"/>
        <v/>
      </c>
      <c r="AF318" s="195" t="str">
        <f t="shared" si="47"/>
        <v/>
      </c>
      <c r="AG318" s="255" t="str">
        <f>IF(ISNUMBER(SEARCH("C", 'Dry_Litterbag Placem_Collection'!AD25)),"YES","NO")</f>
        <v>NO</v>
      </c>
      <c r="AH318" s="255" t="str">
        <f>IF(ISNUMBER(SEARCH("H", 'Dry_Litterbag Placem_Collection'!AD25)),"YES","NO")</f>
        <v>NO</v>
      </c>
      <c r="AI318" s="255" t="str">
        <f>IF(ISNUMBER(SEARCH("R", 'Dry_Litterbag Placem_Collection'!AD25)),"YES","NO")</f>
        <v>NO</v>
      </c>
      <c r="AJ318" s="255" t="str">
        <f>IF(ISNUMBER(SEARCH("C", 'Dry_Litterbag Placem_Collection'!AC25)),"YES","NO")</f>
        <v>NO</v>
      </c>
      <c r="AK318" s="255" t="str">
        <f>IF(ISNUMBER(SEARCH("H", 'Dry_Litterbag Placem_Collection'!AC25)),"YES","NO")</f>
        <v>NO</v>
      </c>
      <c r="AL318" s="255" t="str">
        <f>IF(ISNUMBER(SEARCH("R", 'Dry_Litterbag Placem_Collection'!AC25)),"YES","NO")</f>
        <v>NO</v>
      </c>
      <c r="AR318" t="s">
        <v>3654</v>
      </c>
      <c r="AT318" t="s">
        <v>3654</v>
      </c>
    </row>
    <row r="319" spans="2:46">
      <c r="B319" t="str">
        <f>'Final data_for_R_analysis_Dryse'!A465</f>
        <v>Dry</v>
      </c>
      <c r="C319" s="263">
        <f>'Final data_for_R_analysis_Dryse'!B465</f>
        <v>24</v>
      </c>
      <c r="D319" t="s">
        <v>3829</v>
      </c>
      <c r="E319" t="s">
        <v>25</v>
      </c>
      <c r="F319" s="387">
        <v>8</v>
      </c>
      <c r="G319" s="16">
        <f>'Dry_Litterbag Placem_Collection'!E26</f>
        <v>42936</v>
      </c>
      <c r="H319" s="92" t="str">
        <f>'Final data_for_R_analysis_Dryse'!J465</f>
        <v>G562</v>
      </c>
      <c r="I319" t="str">
        <f>'Final data_for_R_analysis_Dryse'!J685</f>
        <v>R650</v>
      </c>
      <c r="J319">
        <f>IFERROR(INDEX('Green_rooibos initial weight'!$C$5:$C$1749,MATCH(H319, 'Green_rooibos initial weight'!$A$5:$A$1749,0)),"")</f>
        <v>2.1419999999999999</v>
      </c>
      <c r="K319">
        <f>IFERROR(INDEX('Green_rooibos initial weight'!$C$5:$C$1749,MATCH(I319, 'Green_rooibos initial weight'!$A$5:$A$1749,0)),"")</f>
        <v>2.169</v>
      </c>
      <c r="L319" s="195">
        <f t="shared" si="41"/>
        <v>1.8921999999999999</v>
      </c>
      <c r="M319" s="240">
        <f>AVERAGE(Ashed_controlls!$K$1:$K$11)</f>
        <v>5.5147656768714146</v>
      </c>
      <c r="N319" s="195">
        <f t="shared" si="36"/>
        <v>1.7878496038622389</v>
      </c>
      <c r="O319" s="195">
        <f t="shared" si="42"/>
        <v>1.9192</v>
      </c>
      <c r="P319" s="240">
        <f>AVERAGE(Ashed_controlls!$K$12:$K$14)</f>
        <v>2.2816647271287041</v>
      </c>
      <c r="Q319" s="195">
        <f t="shared" si="37"/>
        <v>1.8754102905569459</v>
      </c>
      <c r="R319" s="16">
        <f>IF('Dry_Litterbag Placem_Collection'!G26="N.A","",'Dry_Litterbag Placem_Collection'!G26)</f>
        <v>43007</v>
      </c>
      <c r="S319" s="195">
        <f>IF(IFERROR(INDEX('Both teabags AfterDry'!$D$1:$D$839,MATCH(H319,'Both teabags AfterDry'!$A$1:$A$839,0)),"")="N.A","",(IFERROR(INDEX('Both teabags AfterDry'!$D$1:$D$839,MATCH(H319,'Both teabags AfterDry'!$A$1:$A$839,0)),"")))</f>
        <v>1.8862000000000001</v>
      </c>
      <c r="T319" s="195">
        <f>IF(IFERROR(INDEX('Both teabags AfterDry'!$D$1:$D$839,MATCH(I319,'Both teabags AfterDry'!$A$1:$A$839,0)),"")="N.A","",(IFERROR(INDEX('Both teabags AfterDry'!$D$1:$D$839,MATCH(I319,'Both teabags AfterDry'!$A$1:$A$839,0)),"")))</f>
        <v>1.9756</v>
      </c>
      <c r="U319" s="195">
        <f t="shared" si="43"/>
        <v>1.7356</v>
      </c>
      <c r="V319" s="195">
        <f t="shared" si="43"/>
        <v>1.825</v>
      </c>
      <c r="W319" s="195">
        <f>IFERROR(INDEX('Ashed teabags dry'!$K$2:$K$821,MATCH(H319,'Ashed teabags dry'!$A$2:$A$821,0)),"")</f>
        <v>6.1334641805691774</v>
      </c>
      <c r="X319" s="195">
        <f>IFERROR(INDEX('Ashed teabags dry'!$K$2:$K$821,MATCH(I319,'Ashed teabags dry'!$A$2:$A$821,0)),"")</f>
        <v>3.4467713787080392</v>
      </c>
      <c r="Y319" s="195">
        <f t="shared" si="38"/>
        <v>1.6291475956820414</v>
      </c>
      <c r="Z319" s="195">
        <f t="shared" si="38"/>
        <v>1.7620964223385782</v>
      </c>
      <c r="AA319" s="195">
        <f t="shared" si="44"/>
        <v>8.8766978965880705E-2</v>
      </c>
      <c r="AB319" s="195">
        <f t="shared" si="45"/>
        <v>5.8194028965755547E-2</v>
      </c>
      <c r="AC319" s="195">
        <f t="shared" si="39"/>
        <v>0.939579158337285</v>
      </c>
      <c r="AD319">
        <f t="shared" si="40"/>
        <v>71</v>
      </c>
      <c r="AE319" s="195">
        <f t="shared" si="46"/>
        <v>0.89457603448232692</v>
      </c>
      <c r="AF319" s="195" t="str">
        <f t="shared" si="47"/>
        <v/>
      </c>
      <c r="AG319" s="255" t="str">
        <f>IF(ISNUMBER(SEARCH("C", 'Dry_Litterbag Placem_Collection'!AD26)),"YES","NO")</f>
        <v>NO</v>
      </c>
      <c r="AH319" s="255" t="str">
        <f>IF(ISNUMBER(SEARCH("H", 'Dry_Litterbag Placem_Collection'!AD26)),"YES","NO")</f>
        <v>NO</v>
      </c>
      <c r="AI319" s="255" t="str">
        <f>IF(ISNUMBER(SEARCH("R", 'Dry_Litterbag Placem_Collection'!AD26)),"YES","NO")</f>
        <v>NO</v>
      </c>
      <c r="AJ319" s="255" t="str">
        <f>IF(ISNUMBER(SEARCH("C", 'Dry_Litterbag Placem_Collection'!AC26)),"YES","NO")</f>
        <v>NO</v>
      </c>
      <c r="AK319" s="255" t="str">
        <f>IF(ISNUMBER(SEARCH("H", 'Dry_Litterbag Placem_Collection'!AC26)),"YES","NO")</f>
        <v>NO</v>
      </c>
      <c r="AL319" s="255" t="str">
        <f>IF(ISNUMBER(SEARCH("R", 'Dry_Litterbag Placem_Collection'!AC26)),"YES","NO")</f>
        <v>NO</v>
      </c>
      <c r="AR319" t="s">
        <v>1488</v>
      </c>
      <c r="AT319" t="s">
        <v>489</v>
      </c>
    </row>
    <row r="320" spans="2:46">
      <c r="B320" t="str">
        <f>'Final data_for_R_analysis_Dryse'!A466</f>
        <v>Dry</v>
      </c>
      <c r="C320" s="263">
        <f>'Final data_for_R_analysis_Dryse'!B466</f>
        <v>25</v>
      </c>
      <c r="D320" t="s">
        <v>3830</v>
      </c>
      <c r="E320" t="s">
        <v>25</v>
      </c>
      <c r="F320" s="386">
        <v>1</v>
      </c>
      <c r="G320" s="16">
        <f>'Dry_Litterbag Placem_Collection'!E27</f>
        <v>42936</v>
      </c>
      <c r="H320" s="92" t="str">
        <f>'Final data_for_R_analysis_Dryse'!J466</f>
        <v>G156</v>
      </c>
      <c r="I320" t="str">
        <f>'Final data_for_R_analysis_Dryse'!J686</f>
        <v>R230</v>
      </c>
      <c r="J320">
        <f>IFERROR(INDEX('Green_rooibos initial weight'!$C$5:$C$1749,MATCH(H320, 'Green_rooibos initial weight'!$A$5:$A$1749,0)),"")</f>
        <v>1.944</v>
      </c>
      <c r="K320">
        <f>IFERROR(INDEX('Green_rooibos initial weight'!$C$5:$C$1749,MATCH(I320, 'Green_rooibos initial weight'!$A$5:$A$1749,0)),"")</f>
        <v>2.2589999999999999</v>
      </c>
      <c r="L320" s="195">
        <f t="shared" si="41"/>
        <v>1.6941999999999999</v>
      </c>
      <c r="M320" s="240">
        <f>AVERAGE(Ashed_controlls!$K$1:$K$11)</f>
        <v>5.5147656768714146</v>
      </c>
      <c r="N320" s="195">
        <f t="shared" si="36"/>
        <v>1.6007688399024445</v>
      </c>
      <c r="O320" s="195">
        <f t="shared" si="42"/>
        <v>2.0091999999999999</v>
      </c>
      <c r="P320" s="240">
        <f>AVERAGE(Ashed_controlls!$K$12:$K$14)</f>
        <v>2.2816647271287041</v>
      </c>
      <c r="Q320" s="195">
        <f t="shared" si="37"/>
        <v>1.9633567923025299</v>
      </c>
      <c r="R320" s="16">
        <f>IF('Dry_Litterbag Placem_Collection'!G27="N.A","",'Dry_Litterbag Placem_Collection'!G27)</f>
        <v>43007</v>
      </c>
      <c r="S320" s="195">
        <f>IF(IFERROR(INDEX('Both teabags AfterDry'!$D$1:$D$839,MATCH(H320,'Both teabags AfterDry'!$A$1:$A$839,0)),"")="N.A","",(IFERROR(INDEX('Both teabags AfterDry'!$D$1:$D$839,MATCH(H320,'Both teabags AfterDry'!$A$1:$A$839,0)),"")))</f>
        <v>1.8079000000000001</v>
      </c>
      <c r="T320" s="195">
        <f>IF(IFERROR(INDEX('Both teabags AfterDry'!$D$1:$D$839,MATCH(I320,'Both teabags AfterDry'!$A$1:$A$839,0)),"")="N.A","",(IFERROR(INDEX('Both teabags AfterDry'!$D$1:$D$839,MATCH(I320,'Both teabags AfterDry'!$A$1:$A$839,0)),"")))</f>
        <v>2.0360999999999998</v>
      </c>
      <c r="U320" s="195">
        <f t="shared" si="43"/>
        <v>1.6573</v>
      </c>
      <c r="V320" s="195">
        <f t="shared" si="43"/>
        <v>1.8854999999999997</v>
      </c>
      <c r="W320" s="195">
        <f>IFERROR(INDEX('Ashed teabags dry'!$K$2:$K$821,MATCH(H320,'Ashed teabags dry'!$A$2:$A$821,0)),"")</f>
        <v>5.9562587249876717</v>
      </c>
      <c r="X320" s="195">
        <f>IFERROR(INDEX('Ashed teabags dry'!$K$2:$K$821,MATCH(I320,'Ashed teabags dry'!$A$2:$A$821,0)),"")</f>
        <v>3.0508474576268232</v>
      </c>
      <c r="Y320" s="195">
        <f t="shared" si="38"/>
        <v>1.5585869241507793</v>
      </c>
      <c r="Z320" s="195">
        <f t="shared" si="38"/>
        <v>1.827976271186446</v>
      </c>
      <c r="AA320" s="195">
        <f t="shared" si="44"/>
        <v>2.6351035015296675E-2</v>
      </c>
      <c r="AB320" s="195">
        <f t="shared" si="45"/>
        <v>1.7275262860384537E-2</v>
      </c>
      <c r="AC320" s="195">
        <f t="shared" si="39"/>
        <v>0.9310463988782619</v>
      </c>
      <c r="AD320">
        <f t="shared" si="40"/>
        <v>71</v>
      </c>
      <c r="AE320" s="195">
        <f t="shared" si="46"/>
        <v>0.96870423394857874</v>
      </c>
      <c r="AF320" s="195" t="str">
        <f t="shared" si="47"/>
        <v/>
      </c>
      <c r="AG320" s="255" t="str">
        <f>IF(ISNUMBER(SEARCH("C", 'Dry_Litterbag Placem_Collection'!AD27)),"YES","NO")</f>
        <v>NO</v>
      </c>
      <c r="AH320" s="255" t="str">
        <f>IF(ISNUMBER(SEARCH("H", 'Dry_Litterbag Placem_Collection'!AD27)),"YES","NO")</f>
        <v>NO</v>
      </c>
      <c r="AI320" s="255" t="str">
        <f>IF(ISNUMBER(SEARCH("R", 'Dry_Litterbag Placem_Collection'!AD27)),"YES","NO")</f>
        <v>NO</v>
      </c>
      <c r="AJ320" s="255" t="str">
        <f>IF(ISNUMBER(SEARCH("C", 'Dry_Litterbag Placem_Collection'!AC27)),"YES","NO")</f>
        <v>NO</v>
      </c>
      <c r="AK320" s="255" t="str">
        <f>IF(ISNUMBER(SEARCH("H", 'Dry_Litterbag Placem_Collection'!AC27)),"YES","NO")</f>
        <v>NO</v>
      </c>
      <c r="AL320" s="255" t="str">
        <f>IF(ISNUMBER(SEARCH("R", 'Dry_Litterbag Placem_Collection'!AC27)),"YES","NO")</f>
        <v>NO</v>
      </c>
      <c r="AR320" t="s">
        <v>1894</v>
      </c>
      <c r="AT320" t="s">
        <v>911</v>
      </c>
    </row>
    <row r="321" spans="2:46">
      <c r="B321" t="str">
        <f>'Final data_for_R_analysis_Dryse'!A467</f>
        <v>Dry</v>
      </c>
      <c r="C321" s="263">
        <f>'Final data_for_R_analysis_Dryse'!B467</f>
        <v>26</v>
      </c>
      <c r="D321" t="s">
        <v>3830</v>
      </c>
      <c r="E321" t="s">
        <v>25</v>
      </c>
      <c r="F321" s="386">
        <v>2</v>
      </c>
      <c r="G321" s="16">
        <f>'Dry_Litterbag Placem_Collection'!E28</f>
        <v>42936</v>
      </c>
      <c r="H321" s="92" t="str">
        <f>'Final data_for_R_analysis_Dryse'!J467</f>
        <v>G555</v>
      </c>
      <c r="I321" t="str">
        <f>'Final data_for_R_analysis_Dryse'!J687</f>
        <v>R642</v>
      </c>
      <c r="J321">
        <f>IFERROR(INDEX('Green_rooibos initial weight'!$C$5:$C$1749,MATCH(H321, 'Green_rooibos initial weight'!$A$5:$A$1749,0)),"")</f>
        <v>2.1469999999999998</v>
      </c>
      <c r="K321">
        <f>IFERROR(INDEX('Green_rooibos initial weight'!$C$5:$C$1749,MATCH(I321, 'Green_rooibos initial weight'!$A$5:$A$1749,0)),"")</f>
        <v>2.14</v>
      </c>
      <c r="L321" s="195">
        <f t="shared" si="41"/>
        <v>1.8971999999999998</v>
      </c>
      <c r="M321" s="240">
        <f>AVERAGE(Ashed_controlls!$K$1:$K$11)</f>
        <v>5.5147656768714146</v>
      </c>
      <c r="N321" s="195">
        <f t="shared" si="36"/>
        <v>1.7925738655783954</v>
      </c>
      <c r="O321" s="195">
        <f t="shared" si="42"/>
        <v>1.8902000000000001</v>
      </c>
      <c r="P321" s="240">
        <f>AVERAGE(Ashed_controlls!$K$12:$K$14)</f>
        <v>2.2816647271287041</v>
      </c>
      <c r="Q321" s="195">
        <f t="shared" si="37"/>
        <v>1.8470719733278134</v>
      </c>
      <c r="R321" s="16">
        <f>IF('Dry_Litterbag Placem_Collection'!G28="N.A","",'Dry_Litterbag Placem_Collection'!G28)</f>
        <v>43007</v>
      </c>
      <c r="S321" s="195">
        <f>IF(IFERROR(INDEX('Both teabags AfterDry'!$D$1:$D$839,MATCH(H321,'Both teabags AfterDry'!$A$1:$A$839,0)),"")="N.A","",(IFERROR(INDEX('Both teabags AfterDry'!$D$1:$D$839,MATCH(H321,'Both teabags AfterDry'!$A$1:$A$839,0)),"")))</f>
        <v>2.0030000000000001</v>
      </c>
      <c r="T321" s="195">
        <f>IF(IFERROR(INDEX('Both teabags AfterDry'!$D$1:$D$839,MATCH(I321,'Both teabags AfterDry'!$A$1:$A$839,0)),"")="N.A","",(IFERROR(INDEX('Both teabags AfterDry'!$D$1:$D$839,MATCH(I321,'Both teabags AfterDry'!$A$1:$A$839,0)),"")))</f>
        <v>1.9686999999999999</v>
      </c>
      <c r="U321" s="195">
        <f t="shared" si="43"/>
        <v>1.8524</v>
      </c>
      <c r="V321" s="195">
        <f t="shared" si="43"/>
        <v>1.8180999999999998</v>
      </c>
      <c r="W321" s="195">
        <f>IFERROR(INDEX('Ashed teabags dry'!$K$2:$K$821,MATCH(H321,'Ashed teabags dry'!$A$2:$A$821,0)),"")</f>
        <v>6.0509554140126784</v>
      </c>
      <c r="X321" s="195">
        <f>IFERROR(INDEX('Ashed teabags dry'!$K$2:$K$821,MATCH(I321,'Ashed teabags dry'!$A$2:$A$821,0)),"")</f>
        <v>2.1136683889149204</v>
      </c>
      <c r="Y321" s="195">
        <f t="shared" si="38"/>
        <v>1.7403121019108292</v>
      </c>
      <c r="Z321" s="195">
        <f t="shared" si="38"/>
        <v>1.7796713950211376</v>
      </c>
      <c r="AA321" s="195">
        <f t="shared" si="44"/>
        <v>2.9154594224045205E-2</v>
      </c>
      <c r="AB321" s="195">
        <f t="shared" si="45"/>
        <v>1.9113225667070008E-2</v>
      </c>
      <c r="AC321" s="195">
        <f t="shared" si="39"/>
        <v>0.96350950083160958</v>
      </c>
      <c r="AD321">
        <f t="shared" si="40"/>
        <v>71</v>
      </c>
      <c r="AE321" s="195">
        <f t="shared" si="46"/>
        <v>0.96537459118284419</v>
      </c>
      <c r="AF321" s="195" t="str">
        <f t="shared" si="47"/>
        <v/>
      </c>
      <c r="AG321" s="255" t="str">
        <f>IF(ISNUMBER(SEARCH("C", 'Dry_Litterbag Placem_Collection'!AD28)),"YES","NO")</f>
        <v>NO</v>
      </c>
      <c r="AH321" s="255" t="str">
        <f>IF(ISNUMBER(SEARCH("H", 'Dry_Litterbag Placem_Collection'!AD28)),"YES","NO")</f>
        <v>NO</v>
      </c>
      <c r="AI321" s="255" t="str">
        <f>IF(ISNUMBER(SEARCH("R", 'Dry_Litterbag Placem_Collection'!AD28)),"YES","NO")</f>
        <v>NO</v>
      </c>
      <c r="AJ321" s="255" t="str">
        <f>IF(ISNUMBER(SEARCH("C", 'Dry_Litterbag Placem_Collection'!AC28)),"YES","NO")</f>
        <v>NO</v>
      </c>
      <c r="AK321" s="255" t="str">
        <f>IF(ISNUMBER(SEARCH("H", 'Dry_Litterbag Placem_Collection'!AC28)),"YES","NO")</f>
        <v>NO</v>
      </c>
      <c r="AL321" s="255" t="str">
        <f>IF(ISNUMBER(SEARCH("R", 'Dry_Litterbag Placem_Collection'!AC28)),"YES","NO")</f>
        <v>NO</v>
      </c>
      <c r="AR321" t="s">
        <v>1495</v>
      </c>
      <c r="AT321" t="s">
        <v>497</v>
      </c>
    </row>
    <row r="322" spans="2:46">
      <c r="B322" t="str">
        <f>'Final data_for_R_analysis_Dryse'!A468</f>
        <v>Dry</v>
      </c>
      <c r="C322" s="263">
        <f>'Final data_for_R_analysis_Dryse'!B468</f>
        <v>27</v>
      </c>
      <c r="D322" t="s">
        <v>3830</v>
      </c>
      <c r="E322" t="s">
        <v>25</v>
      </c>
      <c r="F322" s="386">
        <v>3</v>
      </c>
      <c r="G322" s="16">
        <f>'Dry_Litterbag Placem_Collection'!E29</f>
        <v>42936</v>
      </c>
      <c r="H322" s="92" t="str">
        <f>'Final data_for_R_analysis_Dryse'!J468</f>
        <v>G378</v>
      </c>
      <c r="I322" t="str">
        <f>'Final data_for_R_analysis_Dryse'!J688</f>
        <v>R199</v>
      </c>
      <c r="J322">
        <f>IFERROR(INDEX('Green_rooibos initial weight'!$C$5:$C$1749,MATCH(H322, 'Green_rooibos initial weight'!$A$5:$A$1749,0)),"")</f>
        <v>2.0830000000000002</v>
      </c>
      <c r="K322">
        <f>IFERROR(INDEX('Green_rooibos initial weight'!$C$5:$C$1749,MATCH(I322, 'Green_rooibos initial weight'!$A$5:$A$1749,0)),"")</f>
        <v>2.1850000000000001</v>
      </c>
      <c r="L322" s="195">
        <f t="shared" si="41"/>
        <v>1.8332000000000002</v>
      </c>
      <c r="M322" s="240">
        <f>AVERAGE(Ashed_controlls!$K$1:$K$11)</f>
        <v>5.5147656768714146</v>
      </c>
      <c r="N322" s="195">
        <f t="shared" si="36"/>
        <v>1.7321033156115935</v>
      </c>
      <c r="O322" s="195">
        <f t="shared" si="42"/>
        <v>1.9352</v>
      </c>
      <c r="P322" s="240">
        <f>AVERAGE(Ashed_controlls!$K$12:$K$14)</f>
        <v>2.2816647271287041</v>
      </c>
      <c r="Q322" s="195">
        <f t="shared" si="37"/>
        <v>1.8910452242006053</v>
      </c>
      <c r="R322" s="16">
        <f>IF('Dry_Litterbag Placem_Collection'!G29="N.A","",'Dry_Litterbag Placem_Collection'!G29)</f>
        <v>43007</v>
      </c>
      <c r="S322" s="195" t="str">
        <f>IF(IFERROR(INDEX('Both teabags AfterDry'!$D$1:$D$839,MATCH(H322,'Both teabags AfterDry'!$A$1:$A$839,0)),"")="N.A","",(IFERROR(INDEX('Both teabags AfterDry'!$D$1:$D$839,MATCH(H322,'Both teabags AfterDry'!$A$1:$A$839,0)),"")))</f>
        <v/>
      </c>
      <c r="T322" s="195" t="str">
        <f>IF(IFERROR(INDEX('Both teabags AfterDry'!$D$1:$D$839,MATCH(I322,'Both teabags AfterDry'!$A$1:$A$839,0)),"")="N.A","",(IFERROR(INDEX('Both teabags AfterDry'!$D$1:$D$839,MATCH(I322,'Both teabags AfterDry'!$A$1:$A$839,0)),"")))</f>
        <v/>
      </c>
      <c r="U322" s="195" t="str">
        <f t="shared" si="43"/>
        <v/>
      </c>
      <c r="V322" s="195" t="str">
        <f t="shared" si="43"/>
        <v/>
      </c>
      <c r="W322" s="195" t="str">
        <f>IFERROR(INDEX('Ashed teabags dry'!$K$2:$K$821,MATCH(H322,'Ashed teabags dry'!$A$2:$A$821,0)),"")</f>
        <v/>
      </c>
      <c r="X322" s="195" t="str">
        <f>IFERROR(INDEX('Ashed teabags dry'!$K$2:$K$821,MATCH(I322,'Ashed teabags dry'!$A$2:$A$821,0)),"")</f>
        <v/>
      </c>
      <c r="Y322" s="195" t="str">
        <f t="shared" si="38"/>
        <v/>
      </c>
      <c r="Z322" s="195" t="str">
        <f t="shared" si="38"/>
        <v/>
      </c>
      <c r="AA322" s="195" t="str">
        <f t="shared" si="44"/>
        <v/>
      </c>
      <c r="AB322" s="195" t="str">
        <f t="shared" si="45"/>
        <v/>
      </c>
      <c r="AC322" s="195" t="str">
        <f t="shared" si="39"/>
        <v/>
      </c>
      <c r="AD322">
        <f t="shared" si="40"/>
        <v>71</v>
      </c>
      <c r="AE322" s="195" t="str">
        <f t="shared" si="46"/>
        <v/>
      </c>
      <c r="AF322" s="195" t="str">
        <f t="shared" si="47"/>
        <v/>
      </c>
      <c r="AG322" s="255" t="str">
        <f>IF(ISNUMBER(SEARCH("C", 'Dry_Litterbag Placem_Collection'!AD29)),"YES","NO")</f>
        <v>NO</v>
      </c>
      <c r="AH322" s="255" t="str">
        <f>IF(ISNUMBER(SEARCH("H", 'Dry_Litterbag Placem_Collection'!AD29)),"YES","NO")</f>
        <v>NO</v>
      </c>
      <c r="AI322" s="255" t="str">
        <f>IF(ISNUMBER(SEARCH("R", 'Dry_Litterbag Placem_Collection'!AD29)),"YES","NO")</f>
        <v>NO</v>
      </c>
      <c r="AJ322" s="255" t="str">
        <f>IF(ISNUMBER(SEARCH("C", 'Dry_Litterbag Placem_Collection'!AC29)),"YES","NO")</f>
        <v>NO</v>
      </c>
      <c r="AK322" s="255" t="str">
        <f>IF(ISNUMBER(SEARCH("H", 'Dry_Litterbag Placem_Collection'!AC29)),"YES","NO")</f>
        <v>NO</v>
      </c>
      <c r="AL322" s="255" t="str">
        <f>IF(ISNUMBER(SEARCH("R", 'Dry_Litterbag Placem_Collection'!AC29)),"YES","NO")</f>
        <v>NO</v>
      </c>
      <c r="AR322" t="s">
        <v>1672</v>
      </c>
      <c r="AT322" t="s">
        <v>942</v>
      </c>
    </row>
    <row r="323" spans="2:46">
      <c r="B323" t="str">
        <f>'Final data_for_R_analysis_Dryse'!A469</f>
        <v>Dry</v>
      </c>
      <c r="C323" s="263">
        <f>'Final data_for_R_analysis_Dryse'!B469</f>
        <v>28</v>
      </c>
      <c r="D323" t="s">
        <v>3830</v>
      </c>
      <c r="E323" t="s">
        <v>25</v>
      </c>
      <c r="F323" s="387">
        <v>4</v>
      </c>
      <c r="G323" s="16">
        <f>'Dry_Litterbag Placem_Collection'!E30</f>
        <v>42936</v>
      </c>
      <c r="H323" s="92" t="str">
        <f>'Final data_for_R_analysis_Dryse'!J469</f>
        <v>G46</v>
      </c>
      <c r="I323" t="str">
        <f>'Final data_for_R_analysis_Dryse'!J689</f>
        <v>R162</v>
      </c>
      <c r="J323">
        <f>IFERROR(INDEX('Green_rooibos initial weight'!$C$5:$C$1749,MATCH(H323, 'Green_rooibos initial weight'!$A$5:$A$1749,0)),"")</f>
        <v>1.895</v>
      </c>
      <c r="K323">
        <f>IFERROR(INDEX('Green_rooibos initial weight'!$C$5:$C$1749,MATCH(I323, 'Green_rooibos initial weight'!$A$5:$A$1749,0)),"")</f>
        <v>2.242</v>
      </c>
      <c r="L323" s="195">
        <f t="shared" si="41"/>
        <v>1.6452</v>
      </c>
      <c r="M323" s="240">
        <f>AVERAGE(Ashed_controlls!$K$1:$K$11)</f>
        <v>5.5147656768714146</v>
      </c>
      <c r="N323" s="195">
        <f t="shared" si="36"/>
        <v>1.5544710750841115</v>
      </c>
      <c r="O323" s="195">
        <f t="shared" si="42"/>
        <v>1.9922</v>
      </c>
      <c r="P323" s="240">
        <f>AVERAGE(Ashed_controlls!$K$12:$K$14)</f>
        <v>2.2816647271287041</v>
      </c>
      <c r="Q323" s="195">
        <f t="shared" si="37"/>
        <v>1.9467446753061419</v>
      </c>
      <c r="R323" s="16">
        <f>IF('Dry_Litterbag Placem_Collection'!G30="N.A","",'Dry_Litterbag Placem_Collection'!G30)</f>
        <v>43007</v>
      </c>
      <c r="S323" s="195">
        <f>IF(IFERROR(INDEX('Both teabags AfterDry'!$D$1:$D$839,MATCH(H323,'Both teabags AfterDry'!$A$1:$A$839,0)),"")="N.A","",(IFERROR(INDEX('Both teabags AfterDry'!$D$1:$D$839,MATCH(H323,'Both teabags AfterDry'!$A$1:$A$839,0)),"")))</f>
        <v>1.5884</v>
      </c>
      <c r="T323" s="195">
        <f>IF(IFERROR(INDEX('Both teabags AfterDry'!$D$1:$D$839,MATCH(I323,'Both teabags AfterDry'!$A$1:$A$839,0)),"")="N.A","",(IFERROR(INDEX('Both teabags AfterDry'!$D$1:$D$839,MATCH(I323,'Both teabags AfterDry'!$A$1:$A$839,0)),"")))</f>
        <v>1.964</v>
      </c>
      <c r="U323" s="195">
        <f t="shared" si="43"/>
        <v>1.4378</v>
      </c>
      <c r="V323" s="195">
        <f t="shared" si="43"/>
        <v>1.8133999999999999</v>
      </c>
      <c r="W323" s="195">
        <f>IFERROR(INDEX('Ashed teabags dry'!$K$2:$K$821,MATCH(H323,'Ashed teabags dry'!$A$2:$A$821,0)),"")</f>
        <v>6.5978456014354894</v>
      </c>
      <c r="X323" s="195">
        <f>IFERROR(INDEX('Ashed teabags dry'!$K$2:$K$821,MATCH(I323,'Ashed teabags dry'!$A$2:$A$821,0)),"")</f>
        <v>3.596059113301163</v>
      </c>
      <c r="Y323" s="195">
        <f t="shared" si="38"/>
        <v>1.3429361759425604</v>
      </c>
      <c r="Z323" s="195">
        <f t="shared" si="38"/>
        <v>1.7481890640393967</v>
      </c>
      <c r="AA323" s="195">
        <f t="shared" si="44"/>
        <v>0.13608159233847761</v>
      </c>
      <c r="AB323" s="195">
        <f t="shared" si="45"/>
        <v>8.9212635357291736E-2</v>
      </c>
      <c r="AC323" s="195">
        <f t="shared" si="39"/>
        <v>0.89800634167111781</v>
      </c>
      <c r="AD323">
        <f t="shared" si="40"/>
        <v>71</v>
      </c>
      <c r="AE323" s="195">
        <f t="shared" si="46"/>
        <v>0.83838290696142803</v>
      </c>
      <c r="AF323" s="195" t="str">
        <f t="shared" si="47"/>
        <v/>
      </c>
      <c r="AG323" s="255" t="str">
        <f>IF(ISNUMBER(SEARCH("C", 'Dry_Litterbag Placem_Collection'!AD30)),"YES","NO")</f>
        <v>NO</v>
      </c>
      <c r="AH323" s="255" t="str">
        <f>IF(ISNUMBER(SEARCH("H", 'Dry_Litterbag Placem_Collection'!AD30)),"YES","NO")</f>
        <v>NO</v>
      </c>
      <c r="AI323" s="255" t="str">
        <f>IF(ISNUMBER(SEARCH("R", 'Dry_Litterbag Placem_Collection'!AD30)),"YES","NO")</f>
        <v>NO</v>
      </c>
      <c r="AJ323" s="255" t="str">
        <f>IF(ISNUMBER(SEARCH("C", 'Dry_Litterbag Placem_Collection'!AC30)),"YES","NO")</f>
        <v>NO</v>
      </c>
      <c r="AK323" s="255" t="str">
        <f>IF(ISNUMBER(SEARCH("H", 'Dry_Litterbag Placem_Collection'!AC30)),"YES","NO")</f>
        <v>NO</v>
      </c>
      <c r="AL323" s="255" t="str">
        <f>IF(ISNUMBER(SEARCH("R", 'Dry_Litterbag Placem_Collection'!AC30)),"YES","NO")</f>
        <v>NO</v>
      </c>
      <c r="AR323" t="s">
        <v>2004</v>
      </c>
      <c r="AT323" t="s">
        <v>979</v>
      </c>
    </row>
    <row r="324" spans="2:46">
      <c r="B324" t="str">
        <f>'Final data_for_R_analysis_Dryse'!A470</f>
        <v>Dry</v>
      </c>
      <c r="C324" s="263">
        <f>'Final data_for_R_analysis_Dryse'!B470</f>
        <v>29</v>
      </c>
      <c r="D324" t="s">
        <v>3830</v>
      </c>
      <c r="E324" t="s">
        <v>25</v>
      </c>
      <c r="F324" s="387">
        <v>5</v>
      </c>
      <c r="G324" s="16">
        <f>'Dry_Litterbag Placem_Collection'!E31</f>
        <v>42936</v>
      </c>
      <c r="H324" s="92" t="str">
        <f>'Final data_for_R_analysis_Dryse'!J470</f>
        <v>G397</v>
      </c>
      <c r="I324" t="str">
        <f>'Final data_for_R_analysis_Dryse'!J690</f>
        <v>R163</v>
      </c>
      <c r="J324">
        <f>IFERROR(INDEX('Green_rooibos initial weight'!$C$5:$C$1749,MATCH(H324, 'Green_rooibos initial weight'!$A$5:$A$1749,0)),"")</f>
        <v>1.968</v>
      </c>
      <c r="K324">
        <f>IFERROR(INDEX('Green_rooibos initial weight'!$C$5:$C$1749,MATCH(I324, 'Green_rooibos initial weight'!$A$5:$A$1749,0)),"")</f>
        <v>2.23</v>
      </c>
      <c r="L324" s="195">
        <f t="shared" si="41"/>
        <v>1.7181999999999999</v>
      </c>
      <c r="M324" s="240">
        <f>AVERAGE(Ashed_controlls!$K$1:$K$11)</f>
        <v>5.5147656768714146</v>
      </c>
      <c r="N324" s="195">
        <f t="shared" si="36"/>
        <v>1.6234452961399952</v>
      </c>
      <c r="O324" s="195">
        <f t="shared" si="42"/>
        <v>1.9802</v>
      </c>
      <c r="P324" s="240">
        <f>AVERAGE(Ashed_controlls!$K$12:$K$14)</f>
        <v>2.2816647271287041</v>
      </c>
      <c r="Q324" s="195">
        <f t="shared" si="37"/>
        <v>1.9350184750733974</v>
      </c>
      <c r="R324" s="16">
        <f>IF('Dry_Litterbag Placem_Collection'!G31="N.A","",'Dry_Litterbag Placem_Collection'!G31)</f>
        <v>43007</v>
      </c>
      <c r="S324" s="195">
        <f>IF(IFERROR(INDEX('Both teabags AfterDry'!$D$1:$D$839,MATCH(H324,'Both teabags AfterDry'!$A$1:$A$839,0)),"")="N.A","",(IFERROR(INDEX('Both teabags AfterDry'!$D$1:$D$839,MATCH(H324,'Both teabags AfterDry'!$A$1:$A$839,0)),"")))</f>
        <v>1.7436</v>
      </c>
      <c r="T324" s="195">
        <f>IF(IFERROR(INDEX('Both teabags AfterDry'!$D$1:$D$839,MATCH(I324,'Both teabags AfterDry'!$A$1:$A$839,0)),"")="N.A","",(IFERROR(INDEX('Both teabags AfterDry'!$D$1:$D$839,MATCH(I324,'Both teabags AfterDry'!$A$1:$A$839,0)),"")))</f>
        <v>1.9955000000000001</v>
      </c>
      <c r="U324" s="195">
        <f t="shared" si="43"/>
        <v>1.593</v>
      </c>
      <c r="V324" s="195">
        <f t="shared" si="43"/>
        <v>1.8449</v>
      </c>
      <c r="W324" s="195">
        <f>IFERROR(INDEX('Ashed teabags dry'!$K$2:$K$821,MATCH(H324,'Ashed teabags dry'!$A$2:$A$821,0)),"")</f>
        <v>6.4090019569471499</v>
      </c>
      <c r="X324" s="195">
        <f>IFERROR(INDEX('Ashed teabags dry'!$K$2:$K$821,MATCH(I324,'Ashed teabags dry'!$A$2:$A$821,0)),"")</f>
        <v>2.8292682926832247</v>
      </c>
      <c r="Y324" s="195">
        <f t="shared" si="38"/>
        <v>1.4909045988258318</v>
      </c>
      <c r="Z324" s="195">
        <f t="shared" si="38"/>
        <v>1.7927028292682872</v>
      </c>
      <c r="AA324" s="195">
        <f t="shared" si="44"/>
        <v>8.1641615907416476E-2</v>
      </c>
      <c r="AB324" s="195">
        <f t="shared" si="45"/>
        <v>5.3522769573508162E-2</v>
      </c>
      <c r="AC324" s="195">
        <f t="shared" si="39"/>
        <v>0.92645256485227512</v>
      </c>
      <c r="AD324">
        <f t="shared" si="40"/>
        <v>71</v>
      </c>
      <c r="AE324" s="195">
        <f t="shared" si="46"/>
        <v>0.90303846091755768</v>
      </c>
      <c r="AF324" s="195" t="str">
        <f t="shared" si="47"/>
        <v/>
      </c>
      <c r="AG324" s="255" t="str">
        <f>IF(ISNUMBER(SEARCH("C", 'Dry_Litterbag Placem_Collection'!AD31)),"YES","NO")</f>
        <v>NO</v>
      </c>
      <c r="AH324" s="255" t="str">
        <f>IF(ISNUMBER(SEARCH("H", 'Dry_Litterbag Placem_Collection'!AD31)),"YES","NO")</f>
        <v>NO</v>
      </c>
      <c r="AI324" s="255" t="str">
        <f>IF(ISNUMBER(SEARCH("R", 'Dry_Litterbag Placem_Collection'!AD31)),"YES","NO")</f>
        <v>NO</v>
      </c>
      <c r="AJ324" s="255" t="str">
        <f>IF(ISNUMBER(SEARCH("C", 'Dry_Litterbag Placem_Collection'!AC31)),"YES","NO")</f>
        <v>NO</v>
      </c>
      <c r="AK324" s="255" t="str">
        <f>IF(ISNUMBER(SEARCH("H", 'Dry_Litterbag Placem_Collection'!AC31)),"YES","NO")</f>
        <v>NO</v>
      </c>
      <c r="AL324" s="255" t="str">
        <f>IF(ISNUMBER(SEARCH("R", 'Dry_Litterbag Placem_Collection'!AC31)),"YES","NO")</f>
        <v>NO</v>
      </c>
      <c r="AR324" t="s">
        <v>1653</v>
      </c>
      <c r="AT324" t="s">
        <v>978</v>
      </c>
    </row>
    <row r="325" spans="2:46">
      <c r="B325" t="str">
        <f>'Final data_for_R_analysis_Dryse'!A471</f>
        <v>Dry</v>
      </c>
      <c r="C325" s="263">
        <f>'Final data_for_R_analysis_Dryse'!B471</f>
        <v>30</v>
      </c>
      <c r="D325" t="s">
        <v>3830</v>
      </c>
      <c r="E325" t="s">
        <v>25</v>
      </c>
      <c r="F325" s="387">
        <v>6</v>
      </c>
      <c r="G325" s="16">
        <f>'Dry_Litterbag Placem_Collection'!E32</f>
        <v>42936</v>
      </c>
      <c r="H325" s="92" t="str">
        <f>'Final data_for_R_analysis_Dryse'!J471</f>
        <v>G166</v>
      </c>
      <c r="I325" t="str">
        <f>'Final data_for_R_analysis_Dryse'!J691</f>
        <v>R345</v>
      </c>
      <c r="J325">
        <f>IFERROR(INDEX('Green_rooibos initial weight'!$C$5:$C$1749,MATCH(H325, 'Green_rooibos initial weight'!$A$5:$A$1749,0)),"")</f>
        <v>2.032</v>
      </c>
      <c r="K325">
        <f>IFERROR(INDEX('Green_rooibos initial weight'!$C$5:$C$1749,MATCH(I325, 'Green_rooibos initial weight'!$A$5:$A$1749,0)),"")</f>
        <v>2.2599999999999998</v>
      </c>
      <c r="L325" s="195">
        <f t="shared" si="41"/>
        <v>1.7822</v>
      </c>
      <c r="M325" s="240">
        <f>AVERAGE(Ashed_controlls!$K$1:$K$11)</f>
        <v>5.5147656768714146</v>
      </c>
      <c r="N325" s="195">
        <f t="shared" si="36"/>
        <v>1.6839158461067976</v>
      </c>
      <c r="O325" s="195">
        <f t="shared" si="42"/>
        <v>2.0101999999999998</v>
      </c>
      <c r="P325" s="240">
        <f>AVERAGE(Ashed_controlls!$K$12:$K$14)</f>
        <v>2.2816647271287041</v>
      </c>
      <c r="Q325" s="195">
        <f t="shared" si="37"/>
        <v>1.9643339756552585</v>
      </c>
      <c r="R325" s="16">
        <f>IF('Dry_Litterbag Placem_Collection'!G32="N.A","",'Dry_Litterbag Placem_Collection'!G32)</f>
        <v>43007</v>
      </c>
      <c r="S325" s="195">
        <f>IF(IFERROR(INDEX('Both teabags AfterDry'!$D$1:$D$839,MATCH(H325,'Both teabags AfterDry'!$A$1:$A$839,0)),"")="N.A","",(IFERROR(INDEX('Both teabags AfterDry'!$D$1:$D$839,MATCH(H325,'Both teabags AfterDry'!$A$1:$A$839,0)),"")))</f>
        <v>1.8809</v>
      </c>
      <c r="T325" s="195">
        <f>IF(IFERROR(INDEX('Both teabags AfterDry'!$D$1:$D$839,MATCH(I325,'Both teabags AfterDry'!$A$1:$A$839,0)),"")="N.A","",(IFERROR(INDEX('Both teabags AfterDry'!$D$1:$D$839,MATCH(I325,'Both teabags AfterDry'!$A$1:$A$839,0)),"")))</f>
        <v>2.0409000000000002</v>
      </c>
      <c r="U325" s="195">
        <f t="shared" si="43"/>
        <v>1.7302999999999999</v>
      </c>
      <c r="V325" s="195">
        <f t="shared" si="43"/>
        <v>1.8903000000000001</v>
      </c>
      <c r="W325" s="195">
        <f>IFERROR(INDEX('Ashed teabags dry'!$K$2:$K$821,MATCH(H325,'Ashed teabags dry'!$A$2:$A$821,0)),"")</f>
        <v>5.730937348227001</v>
      </c>
      <c r="X325" s="195">
        <f>IFERROR(INDEX('Ashed teabags dry'!$K$2:$K$821,MATCH(I325,'Ashed teabags dry'!$A$2:$A$821,0)),"")</f>
        <v>2.2449975597850815</v>
      </c>
      <c r="Y325" s="195">
        <f t="shared" si="38"/>
        <v>1.6311375910636281</v>
      </c>
      <c r="Z325" s="195">
        <f t="shared" si="38"/>
        <v>1.8478628111273827</v>
      </c>
      <c r="AA325" s="195">
        <f t="shared" si="44"/>
        <v>3.1342572828204185E-2</v>
      </c>
      <c r="AB325" s="195">
        <f t="shared" si="45"/>
        <v>2.0547624942005571E-2</v>
      </c>
      <c r="AC325" s="195">
        <f t="shared" si="39"/>
        <v>0.94070704576138919</v>
      </c>
      <c r="AD325">
        <f t="shared" si="40"/>
        <v>71</v>
      </c>
      <c r="AE325" s="195">
        <f t="shared" si="46"/>
        <v>0.96277604177172904</v>
      </c>
      <c r="AF325" s="195" t="str">
        <f t="shared" si="47"/>
        <v/>
      </c>
      <c r="AG325" s="255" t="str">
        <f>IF(ISNUMBER(SEARCH("C", 'Dry_Litterbag Placem_Collection'!AD32)),"YES","NO")</f>
        <v>NO</v>
      </c>
      <c r="AH325" s="255" t="str">
        <f>IF(ISNUMBER(SEARCH("H", 'Dry_Litterbag Placem_Collection'!AD32)),"YES","NO")</f>
        <v>NO</v>
      </c>
      <c r="AI325" s="255" t="str">
        <f>IF(ISNUMBER(SEARCH("R", 'Dry_Litterbag Placem_Collection'!AD32)),"YES","NO")</f>
        <v>NO</v>
      </c>
      <c r="AJ325" s="255" t="str">
        <f>IF(ISNUMBER(SEARCH("C", 'Dry_Litterbag Placem_Collection'!AC32)),"YES","NO")</f>
        <v>NO</v>
      </c>
      <c r="AK325" s="255" t="str">
        <f>IF(ISNUMBER(SEARCH("H", 'Dry_Litterbag Placem_Collection'!AC32)),"YES","NO")</f>
        <v>NO</v>
      </c>
      <c r="AL325" s="255" t="str">
        <f>IF(ISNUMBER(SEARCH("R", 'Dry_Litterbag Placem_Collection'!AC32)),"YES","NO")</f>
        <v>NO</v>
      </c>
      <c r="AR325" t="s">
        <v>1884</v>
      </c>
      <c r="AT325" t="s">
        <v>796</v>
      </c>
    </row>
    <row r="326" spans="2:46">
      <c r="B326" t="str">
        <f>'Final data_for_R_analysis_Dryse'!A472</f>
        <v>Dry</v>
      </c>
      <c r="C326" s="263">
        <f>'Final data_for_R_analysis_Dryse'!B472</f>
        <v>31</v>
      </c>
      <c r="D326" t="s">
        <v>3830</v>
      </c>
      <c r="E326" t="s">
        <v>25</v>
      </c>
      <c r="F326" s="387">
        <v>7</v>
      </c>
      <c r="G326" s="390">
        <f>'Dry_Litterbag Placem_Collection'!E33</f>
        <v>0</v>
      </c>
      <c r="H326" s="92" t="str">
        <f>'Final data_for_R_analysis_Dryse'!J472</f>
        <v/>
      </c>
      <c r="I326" t="str">
        <f>'Final data_for_R_analysis_Dryse'!J692</f>
        <v/>
      </c>
      <c r="J326" t="str">
        <f>IFERROR(INDEX('Green_rooibos initial weight'!$C$5:$C$1749,MATCH(H326, 'Green_rooibos initial weight'!$A$5:$A$1749,0)),"")</f>
        <v/>
      </c>
      <c r="K326" t="str">
        <f>IFERROR(INDEX('Green_rooibos initial weight'!$C$5:$C$1749,MATCH(I326, 'Green_rooibos initial weight'!$A$5:$A$1749,0)),"")</f>
        <v/>
      </c>
      <c r="L326" s="195" t="str">
        <f t="shared" si="41"/>
        <v/>
      </c>
      <c r="M326" s="240">
        <f>AVERAGE(Ashed_controlls!$K$1:$K$11)</f>
        <v>5.5147656768714146</v>
      </c>
      <c r="N326" s="195" t="str">
        <f t="shared" si="36"/>
        <v/>
      </c>
      <c r="O326" s="195" t="str">
        <f t="shared" si="42"/>
        <v/>
      </c>
      <c r="P326" s="240">
        <f>AVERAGE(Ashed_controlls!$K$12:$K$14)</f>
        <v>2.2816647271287041</v>
      </c>
      <c r="Q326" s="195" t="str">
        <f t="shared" si="37"/>
        <v/>
      </c>
      <c r="R326" s="16">
        <f>IF('Dry_Litterbag Placem_Collection'!G33="N.A","",'Dry_Litterbag Placem_Collection'!G33)</f>
        <v>0</v>
      </c>
      <c r="S326" s="195" t="str">
        <f>IF(IFERROR(INDEX('Both teabags AfterDry'!$D$1:$D$839,MATCH(H326,'Both teabags AfterDry'!$A$1:$A$839,0)),"")="N.A","",(IFERROR(INDEX('Both teabags AfterDry'!$D$1:$D$839,MATCH(H326,'Both teabags AfterDry'!$A$1:$A$839,0)),"")))</f>
        <v/>
      </c>
      <c r="T326" s="195" t="str">
        <f>IF(IFERROR(INDEX('Both teabags AfterDry'!$D$1:$D$839,MATCH(I326,'Both teabags AfterDry'!$A$1:$A$839,0)),"")="N.A","",(IFERROR(INDEX('Both teabags AfterDry'!$D$1:$D$839,MATCH(I326,'Both teabags AfterDry'!$A$1:$A$839,0)),"")))</f>
        <v/>
      </c>
      <c r="U326" s="195" t="str">
        <f t="shared" si="43"/>
        <v/>
      </c>
      <c r="V326" s="195" t="str">
        <f t="shared" si="43"/>
        <v/>
      </c>
      <c r="W326" s="195" t="str">
        <f>IFERROR(INDEX('Ashed teabags dry'!$K$2:$K$821,MATCH(H326,'Ashed teabags dry'!$A$2:$A$821,0)),"")</f>
        <v/>
      </c>
      <c r="X326" s="195" t="str">
        <f>IFERROR(INDEX('Ashed teabags dry'!$K$2:$K$821,MATCH(I326,'Ashed teabags dry'!$A$2:$A$821,0)),"")</f>
        <v/>
      </c>
      <c r="Y326" s="195" t="str">
        <f t="shared" si="38"/>
        <v/>
      </c>
      <c r="Z326" s="195" t="str">
        <f t="shared" si="38"/>
        <v/>
      </c>
      <c r="AA326" s="195" t="str">
        <f t="shared" si="44"/>
        <v/>
      </c>
      <c r="AB326" s="195" t="str">
        <f t="shared" si="45"/>
        <v/>
      </c>
      <c r="AC326" s="195" t="str">
        <f t="shared" si="39"/>
        <v/>
      </c>
      <c r="AD326" t="str">
        <f t="shared" si="40"/>
        <v/>
      </c>
      <c r="AE326" s="195" t="str">
        <f t="shared" si="46"/>
        <v/>
      </c>
      <c r="AF326" s="195" t="str">
        <f t="shared" si="47"/>
        <v/>
      </c>
      <c r="AG326" s="255" t="str">
        <f>IF(ISNUMBER(SEARCH("C", 'Dry_Litterbag Placem_Collection'!AD33)),"YES","NO")</f>
        <v>NO</v>
      </c>
      <c r="AH326" s="255" t="str">
        <f>IF(ISNUMBER(SEARCH("H", 'Dry_Litterbag Placem_Collection'!AD33)),"YES","NO")</f>
        <v>NO</v>
      </c>
      <c r="AI326" s="255" t="str">
        <f>IF(ISNUMBER(SEARCH("R", 'Dry_Litterbag Placem_Collection'!AD33)),"YES","NO")</f>
        <v>NO</v>
      </c>
      <c r="AJ326" s="255" t="str">
        <f>IF(ISNUMBER(SEARCH("C", 'Dry_Litterbag Placem_Collection'!AC33)),"YES","NO")</f>
        <v>NO</v>
      </c>
      <c r="AK326" s="255" t="str">
        <f>IF(ISNUMBER(SEARCH("H", 'Dry_Litterbag Placem_Collection'!AC33)),"YES","NO")</f>
        <v>NO</v>
      </c>
      <c r="AL326" s="255" t="str">
        <f>IF(ISNUMBER(SEARCH("R", 'Dry_Litterbag Placem_Collection'!AC33)),"YES","NO")</f>
        <v>NO</v>
      </c>
      <c r="AR326" t="s">
        <v>3654</v>
      </c>
      <c r="AT326" t="s">
        <v>3654</v>
      </c>
    </row>
    <row r="327" spans="2:46">
      <c r="B327" t="str">
        <f>'Final data_for_R_analysis_Dryse'!A473</f>
        <v>Dry</v>
      </c>
      <c r="C327" s="263">
        <f>'Final data_for_R_analysis_Dryse'!B473</f>
        <v>32</v>
      </c>
      <c r="D327" t="s">
        <v>3830</v>
      </c>
      <c r="E327" t="s">
        <v>25</v>
      </c>
      <c r="F327" s="387">
        <v>8</v>
      </c>
      <c r="G327" s="16">
        <f>'Dry_Litterbag Placem_Collection'!E34</f>
        <v>42936</v>
      </c>
      <c r="H327" s="92" t="str">
        <f>'Final data_for_R_analysis_Dryse'!J473</f>
        <v>G293</v>
      </c>
      <c r="I327" t="str">
        <f>'Final data_for_R_analysis_Dryse'!J693</f>
        <v>R660</v>
      </c>
      <c r="J327">
        <f>IFERROR(INDEX('Green_rooibos initial weight'!$C$5:$C$1749,MATCH(H327, 'Green_rooibos initial weight'!$A$5:$A$1749,0)),"")</f>
        <v>2.0699999999999998</v>
      </c>
      <c r="K327">
        <f>IFERROR(INDEX('Green_rooibos initial weight'!$C$5:$C$1749,MATCH(I327, 'Green_rooibos initial weight'!$A$5:$A$1749,0)),"")</f>
        <v>2.2080000000000002</v>
      </c>
      <c r="L327" s="195">
        <f t="shared" si="41"/>
        <v>1.8201999999999998</v>
      </c>
      <c r="M327" s="240">
        <f>AVERAGE(Ashed_controlls!$K$1:$K$11)</f>
        <v>5.5147656768714146</v>
      </c>
      <c r="N327" s="195">
        <f t="shared" si="36"/>
        <v>1.7198202351495864</v>
      </c>
      <c r="O327" s="195">
        <f t="shared" si="42"/>
        <v>1.9582000000000002</v>
      </c>
      <c r="P327" s="240">
        <f>AVERAGE(Ashed_controlls!$K$12:$K$14)</f>
        <v>2.2816647271287041</v>
      </c>
      <c r="Q327" s="195">
        <f t="shared" si="37"/>
        <v>1.913520441313366</v>
      </c>
      <c r="R327" s="16">
        <f>IF('Dry_Litterbag Placem_Collection'!G34="N.A","",'Dry_Litterbag Placem_Collection'!G34)</f>
        <v>43007</v>
      </c>
      <c r="S327" s="195">
        <f>IF(IFERROR(INDEX('Both teabags AfterDry'!$D$1:$D$839,MATCH(H327,'Both teabags AfterDry'!$A$1:$A$839,0)),"")="N.A","",(IFERROR(INDEX('Both teabags AfterDry'!$D$1:$D$839,MATCH(H327,'Both teabags AfterDry'!$A$1:$A$839,0)),"")))</f>
        <v>1.8129</v>
      </c>
      <c r="T327" s="195">
        <f>IF(IFERROR(INDEX('Both teabags AfterDry'!$D$1:$D$839,MATCH(I327,'Both teabags AfterDry'!$A$1:$A$839,0)),"")="N.A","",(IFERROR(INDEX('Both teabags AfterDry'!$D$1:$D$839,MATCH(I327,'Both teabags AfterDry'!$A$1:$A$839,0)),"")))</f>
        <v>2.0331000000000001</v>
      </c>
      <c r="U327" s="195">
        <f t="shared" si="43"/>
        <v>1.6622999999999999</v>
      </c>
      <c r="V327" s="195">
        <f t="shared" si="43"/>
        <v>1.8825000000000001</v>
      </c>
      <c r="W327" s="195">
        <f>IFERROR(INDEX('Ashed teabags dry'!$K$2:$K$821,MATCH(H327,'Ashed teabags dry'!$A$2:$A$821,0)),"")</f>
        <v>6.7003792667513089</v>
      </c>
      <c r="X327" s="195">
        <f>IFERROR(INDEX('Ashed teabags dry'!$K$2:$K$821,MATCH(I327,'Ashed teabags dry'!$A$2:$A$821,0)),"")</f>
        <v>2.8682547399117464</v>
      </c>
      <c r="Y327" s="195">
        <f t="shared" si="38"/>
        <v>1.5509195954487929</v>
      </c>
      <c r="Z327" s="195">
        <f t="shared" si="38"/>
        <v>1.8285051045211613</v>
      </c>
      <c r="AA327" s="195">
        <f t="shared" si="44"/>
        <v>9.8208310525025766E-2</v>
      </c>
      <c r="AB327" s="195">
        <f t="shared" si="45"/>
        <v>6.4383595498591725E-2</v>
      </c>
      <c r="AC327" s="195">
        <f t="shared" si="39"/>
        <v>0.95557124190747944</v>
      </c>
      <c r="AD327">
        <f t="shared" si="40"/>
        <v>71</v>
      </c>
      <c r="AE327" s="195">
        <f t="shared" si="46"/>
        <v>0.88336305163298601</v>
      </c>
      <c r="AF327" s="195">
        <f t="shared" si="47"/>
        <v>1.6498412421701646E-2</v>
      </c>
      <c r="AG327" s="255" t="str">
        <f>IF(ISNUMBER(SEARCH("C", 'Dry_Litterbag Placem_Collection'!AD34)),"YES","NO")</f>
        <v>NO</v>
      </c>
      <c r="AH327" s="255" t="str">
        <f>IF(ISNUMBER(SEARCH("H", 'Dry_Litterbag Placem_Collection'!AD34)),"YES","NO")</f>
        <v>NO</v>
      </c>
      <c r="AI327" s="255" t="str">
        <f>IF(ISNUMBER(SEARCH("R", 'Dry_Litterbag Placem_Collection'!AD34)),"YES","NO")</f>
        <v>NO</v>
      </c>
      <c r="AJ327" s="255" t="str">
        <f>IF(ISNUMBER(SEARCH("C", 'Dry_Litterbag Placem_Collection'!AC34)),"YES","NO")</f>
        <v>NO</v>
      </c>
      <c r="AK327" s="255" t="str">
        <f>IF(ISNUMBER(SEARCH("H", 'Dry_Litterbag Placem_Collection'!AC34)),"YES","NO")</f>
        <v>NO</v>
      </c>
      <c r="AL327" s="255" t="str">
        <f>IF(ISNUMBER(SEARCH("R", 'Dry_Litterbag Placem_Collection'!AC34)),"YES","NO")</f>
        <v>NO</v>
      </c>
      <c r="AR327" t="s">
        <v>1757</v>
      </c>
      <c r="AT327" t="s">
        <v>479</v>
      </c>
    </row>
    <row r="328" spans="2:46">
      <c r="B328" t="str">
        <f>'Final data_for_R_analysis_Dryse'!A474</f>
        <v>Dry</v>
      </c>
      <c r="C328" s="263">
        <f>'Final data_for_R_analysis_Dryse'!B474</f>
        <v>33</v>
      </c>
      <c r="D328" t="s">
        <v>3831</v>
      </c>
      <c r="E328" t="s">
        <v>25</v>
      </c>
      <c r="F328" s="386">
        <v>1</v>
      </c>
      <c r="G328" s="16">
        <f>'Dry_Litterbag Placem_Collection'!E35</f>
        <v>42938</v>
      </c>
      <c r="H328" s="92" t="str">
        <f>'Final data_for_R_analysis_Dryse'!J474</f>
        <v>G139</v>
      </c>
      <c r="I328" t="str">
        <f>'Final data_for_R_analysis_Dryse'!J694</f>
        <v>R712</v>
      </c>
      <c r="J328">
        <f>IFERROR(INDEX('Green_rooibos initial weight'!$C$5:$C$1749,MATCH(H328, 'Green_rooibos initial weight'!$A$5:$A$1749,0)),"")</f>
        <v>2.0059999999999998</v>
      </c>
      <c r="K328">
        <f>IFERROR(INDEX('Green_rooibos initial weight'!$C$5:$C$1749,MATCH(I328, 'Green_rooibos initial weight'!$A$5:$A$1749,0)),"")</f>
        <v>2.161</v>
      </c>
      <c r="L328" s="195">
        <f t="shared" si="41"/>
        <v>1.7561999999999998</v>
      </c>
      <c r="M328" s="240">
        <f>AVERAGE(Ashed_controlls!$K$1:$K$11)</f>
        <v>5.5147656768714146</v>
      </c>
      <c r="N328" s="195">
        <f t="shared" si="36"/>
        <v>1.659349685182784</v>
      </c>
      <c r="O328" s="195">
        <f t="shared" si="42"/>
        <v>1.9112</v>
      </c>
      <c r="P328" s="240">
        <f>AVERAGE(Ashed_controlls!$K$12:$K$14)</f>
        <v>2.2816647271287041</v>
      </c>
      <c r="Q328" s="195">
        <f t="shared" si="37"/>
        <v>1.8675928237351163</v>
      </c>
      <c r="R328" s="16">
        <f>IF('Dry_Litterbag Placem_Collection'!G35="N.A","",'Dry_Litterbag Placem_Collection'!G35)</f>
        <v>43005</v>
      </c>
      <c r="S328" s="195">
        <f>IF(IFERROR(INDEX('Both teabags AfterDry'!$D$1:$D$839,MATCH(H328,'Both teabags AfterDry'!$A$1:$A$839,0)),"")="N.A","",(IFERROR(INDEX('Both teabags AfterDry'!$D$1:$D$839,MATCH(H328,'Both teabags AfterDry'!$A$1:$A$839,0)),"")))</f>
        <v>1.8048</v>
      </c>
      <c r="T328" s="195">
        <f>IF(IFERROR(INDEX('Both teabags AfterDry'!$D$1:$D$839,MATCH(I328,'Both teabags AfterDry'!$A$1:$A$839,0)),"")="N.A","",(IFERROR(INDEX('Both teabags AfterDry'!$D$1:$D$839,MATCH(I328,'Both teabags AfterDry'!$A$1:$A$839,0)),"")))</f>
        <v>1.9524999999999999</v>
      </c>
      <c r="U328" s="195">
        <f t="shared" si="43"/>
        <v>1.6541999999999999</v>
      </c>
      <c r="V328" s="195">
        <f t="shared" si="43"/>
        <v>1.8018999999999998</v>
      </c>
      <c r="W328" s="195">
        <f>IFERROR(INDEX('Ashed teabags dry'!$K$2:$K$821,MATCH(H328,'Ashed teabags dry'!$A$2:$A$821,0)),"")</f>
        <v>6.3172671970048668</v>
      </c>
      <c r="X328" s="195">
        <f>IFERROR(INDEX('Ashed teabags dry'!$K$2:$K$821,MATCH(I328,'Ashed teabags dry'!$A$2:$A$821,0)),"")</f>
        <v>2.162162162162347</v>
      </c>
      <c r="Y328" s="195">
        <f t="shared" si="38"/>
        <v>1.5496997660271454</v>
      </c>
      <c r="Z328" s="195">
        <f t="shared" si="38"/>
        <v>1.7629399999999964</v>
      </c>
      <c r="AA328" s="195">
        <f t="shared" si="44"/>
        <v>6.6080055418554107E-2</v>
      </c>
      <c r="AB328" s="195">
        <f t="shared" si="45"/>
        <v>4.3320891438292021E-2</v>
      </c>
      <c r="AC328" s="195">
        <f t="shared" si="39"/>
        <v>0.94396378996262253</v>
      </c>
      <c r="AD328">
        <f t="shared" si="40"/>
        <v>67</v>
      </c>
      <c r="AE328" s="195">
        <f t="shared" si="46"/>
        <v>0.92152012420599272</v>
      </c>
      <c r="AF328" s="195" t="str">
        <f t="shared" si="47"/>
        <v/>
      </c>
      <c r="AG328" s="255" t="str">
        <f>IF(ISNUMBER(SEARCH("C", 'Dry_Litterbag Placem_Collection'!AD35)),"YES","NO")</f>
        <v>NO</v>
      </c>
      <c r="AH328" s="255" t="str">
        <f>IF(ISNUMBER(SEARCH("H", 'Dry_Litterbag Placem_Collection'!AD35)),"YES","NO")</f>
        <v>NO</v>
      </c>
      <c r="AI328" s="255" t="str">
        <f>IF(ISNUMBER(SEARCH("R", 'Dry_Litterbag Placem_Collection'!AD35)),"YES","NO")</f>
        <v>NO</v>
      </c>
      <c r="AJ328" s="255" t="str">
        <f>IF(ISNUMBER(SEARCH("C", 'Dry_Litterbag Placem_Collection'!AC35)),"YES","NO")</f>
        <v>NO</v>
      </c>
      <c r="AK328" s="255" t="str">
        <f>IF(ISNUMBER(SEARCH("H", 'Dry_Litterbag Placem_Collection'!AC35)),"YES","NO")</f>
        <v>NO</v>
      </c>
      <c r="AL328" s="255" t="str">
        <f>IF(ISNUMBER(SEARCH("R", 'Dry_Litterbag Placem_Collection'!AC35)),"YES","NO")</f>
        <v>NO</v>
      </c>
      <c r="AR328" t="s">
        <v>1911</v>
      </c>
      <c r="AT328" t="s">
        <v>427</v>
      </c>
    </row>
    <row r="329" spans="2:46">
      <c r="B329" t="str">
        <f>'Final data_for_R_analysis_Dryse'!A475</f>
        <v>Dry</v>
      </c>
      <c r="C329" s="263">
        <f>'Final data_for_R_analysis_Dryse'!B475</f>
        <v>34</v>
      </c>
      <c r="D329" t="s">
        <v>3831</v>
      </c>
      <c r="E329" t="s">
        <v>25</v>
      </c>
      <c r="F329" s="386">
        <v>2</v>
      </c>
      <c r="G329" s="16">
        <f>'Dry_Litterbag Placem_Collection'!E36</f>
        <v>42938</v>
      </c>
      <c r="H329" s="92" t="str">
        <f>'Final data_for_R_analysis_Dryse'!J475</f>
        <v>G487</v>
      </c>
      <c r="I329" t="str">
        <f>'Final data_for_R_analysis_Dryse'!J695</f>
        <v>R324</v>
      </c>
      <c r="J329">
        <f>IFERROR(INDEX('Green_rooibos initial weight'!$C$5:$C$1749,MATCH(H329, 'Green_rooibos initial weight'!$A$5:$A$1749,0)),"")</f>
        <v>1.9259999999999999</v>
      </c>
      <c r="K329">
        <f>IFERROR(INDEX('Green_rooibos initial weight'!$C$5:$C$1749,MATCH(I329, 'Green_rooibos initial weight'!$A$5:$A$1749,0)),"")</f>
        <v>2.2410000000000001</v>
      </c>
      <c r="L329" s="195">
        <f t="shared" si="41"/>
        <v>1.6761999999999999</v>
      </c>
      <c r="M329" s="240">
        <f>AVERAGE(Ashed_controlls!$K$1:$K$11)</f>
        <v>5.5147656768714146</v>
      </c>
      <c r="N329" s="195">
        <f t="shared" si="36"/>
        <v>1.5837614977242813</v>
      </c>
      <c r="O329" s="195">
        <f t="shared" si="42"/>
        <v>1.9912000000000001</v>
      </c>
      <c r="P329" s="240">
        <f>AVERAGE(Ashed_controlls!$K$12:$K$14)</f>
        <v>2.2816647271287041</v>
      </c>
      <c r="Q329" s="195">
        <f t="shared" si="37"/>
        <v>1.9457674919534134</v>
      </c>
      <c r="R329" s="16">
        <f>IF('Dry_Litterbag Placem_Collection'!G36="N.A","",'Dry_Litterbag Placem_Collection'!G36)</f>
        <v>43005</v>
      </c>
      <c r="S329" s="195" t="str">
        <f>IF(IFERROR(INDEX('Both teabags AfterDry'!$D$1:$D$839,MATCH(H329,'Both teabags AfterDry'!$A$1:$A$839,0)),"")="N.A","",(IFERROR(INDEX('Both teabags AfterDry'!$D$1:$D$839,MATCH(H329,'Both teabags AfterDry'!$A$1:$A$839,0)),"")))</f>
        <v/>
      </c>
      <c r="T329" s="195" t="str">
        <f>IF(IFERROR(INDEX('Both teabags AfterDry'!$D$1:$D$839,MATCH(I329,'Both teabags AfterDry'!$A$1:$A$839,0)),"")="N.A","",(IFERROR(INDEX('Both teabags AfterDry'!$D$1:$D$839,MATCH(I329,'Both teabags AfterDry'!$A$1:$A$839,0)),"")))</f>
        <v/>
      </c>
      <c r="U329" s="195" t="str">
        <f t="shared" si="43"/>
        <v/>
      </c>
      <c r="V329" s="195" t="str">
        <f t="shared" si="43"/>
        <v/>
      </c>
      <c r="W329" s="195" t="str">
        <f>IFERROR(INDEX('Ashed teabags dry'!$K$2:$K$821,MATCH(H329,'Ashed teabags dry'!$A$2:$A$821,0)),"")</f>
        <v/>
      </c>
      <c r="X329" s="195" t="str">
        <f>IFERROR(INDEX('Ashed teabags dry'!$K$2:$K$821,MATCH(I329,'Ashed teabags dry'!$A$2:$A$821,0)),"")</f>
        <v/>
      </c>
      <c r="Y329" s="195" t="str">
        <f t="shared" si="38"/>
        <v/>
      </c>
      <c r="Z329" s="195" t="str">
        <f t="shared" si="38"/>
        <v/>
      </c>
      <c r="AA329" s="195" t="str">
        <f t="shared" si="44"/>
        <v/>
      </c>
      <c r="AB329" s="195" t="str">
        <f t="shared" si="45"/>
        <v/>
      </c>
      <c r="AC329" s="195" t="str">
        <f t="shared" si="39"/>
        <v/>
      </c>
      <c r="AD329">
        <f t="shared" si="40"/>
        <v>67</v>
      </c>
      <c r="AE329" s="195" t="str">
        <f t="shared" si="46"/>
        <v/>
      </c>
      <c r="AF329" s="195" t="str">
        <f t="shared" si="47"/>
        <v/>
      </c>
      <c r="AG329" s="255" t="str">
        <f>IF(ISNUMBER(SEARCH("C", 'Dry_Litterbag Placem_Collection'!AD36)),"YES","NO")</f>
        <v>NO</v>
      </c>
      <c r="AH329" s="255" t="str">
        <f>IF(ISNUMBER(SEARCH("H", 'Dry_Litterbag Placem_Collection'!AD36)),"YES","NO")</f>
        <v>NO</v>
      </c>
      <c r="AI329" s="255" t="str">
        <f>IF(ISNUMBER(SEARCH("R", 'Dry_Litterbag Placem_Collection'!AD36)),"YES","NO")</f>
        <v>NO</v>
      </c>
      <c r="AJ329" s="255" t="str">
        <f>IF(ISNUMBER(SEARCH("C", 'Dry_Litterbag Placem_Collection'!AC36)),"YES","NO")</f>
        <v>NO</v>
      </c>
      <c r="AK329" s="255" t="str">
        <f>IF(ISNUMBER(SEARCH("H", 'Dry_Litterbag Placem_Collection'!AC36)),"YES","NO")</f>
        <v>NO</v>
      </c>
      <c r="AL329" s="255" t="str">
        <f>IF(ISNUMBER(SEARCH("R", 'Dry_Litterbag Placem_Collection'!AC36)),"YES","NO")</f>
        <v>NO</v>
      </c>
      <c r="AR329" t="s">
        <v>1563</v>
      </c>
      <c r="AT329" t="s">
        <v>817</v>
      </c>
    </row>
    <row r="330" spans="2:46">
      <c r="B330" t="str">
        <f>'Final data_for_R_analysis_Dryse'!A476</f>
        <v>Dry</v>
      </c>
      <c r="C330" s="263">
        <f>'Final data_for_R_analysis_Dryse'!B476</f>
        <v>35</v>
      </c>
      <c r="D330" t="s">
        <v>3831</v>
      </c>
      <c r="E330" t="s">
        <v>25</v>
      </c>
      <c r="F330" s="386">
        <v>3</v>
      </c>
      <c r="G330" s="16">
        <f>'Dry_Litterbag Placem_Collection'!E37</f>
        <v>42938</v>
      </c>
      <c r="H330" s="92" t="str">
        <f>'Final data_for_R_analysis_Dryse'!J476</f>
        <v>G717</v>
      </c>
      <c r="I330" t="str">
        <f>'Final data_for_R_analysis_Dryse'!J696</f>
        <v>R108</v>
      </c>
      <c r="J330">
        <f>IFERROR(INDEX('Green_rooibos initial weight'!$C$5:$C$1749,MATCH(H330, 'Green_rooibos initial weight'!$A$5:$A$1749,0)),"")</f>
        <v>1.944</v>
      </c>
      <c r="K330">
        <f>IFERROR(INDEX('Green_rooibos initial weight'!$C$5:$C$1749,MATCH(I330, 'Green_rooibos initial weight'!$A$5:$A$1749,0)),"")</f>
        <v>2.1680000000000001</v>
      </c>
      <c r="L330" s="195">
        <f t="shared" si="41"/>
        <v>1.6941999999999999</v>
      </c>
      <c r="M330" s="240">
        <f>AVERAGE(Ashed_controlls!$K$1:$K$11)</f>
        <v>5.5147656768714146</v>
      </c>
      <c r="N330" s="195">
        <f t="shared" si="36"/>
        <v>1.6007688399024445</v>
      </c>
      <c r="O330" s="195">
        <f t="shared" si="42"/>
        <v>1.9182000000000001</v>
      </c>
      <c r="P330" s="240">
        <f>AVERAGE(Ashed_controlls!$K$12:$K$14)</f>
        <v>2.2816647271287041</v>
      </c>
      <c r="Q330" s="195">
        <f t="shared" si="37"/>
        <v>1.8744331072042173</v>
      </c>
      <c r="R330" s="16">
        <f>IF('Dry_Litterbag Placem_Collection'!G37="N.A","",'Dry_Litterbag Placem_Collection'!G37)</f>
        <v>43005</v>
      </c>
      <c r="S330" s="195">
        <f>IF(IFERROR(INDEX('Both teabags AfterDry'!$D$1:$D$839,MATCH(H330,'Both teabags AfterDry'!$A$1:$A$839,0)),"")="N.A","",(IFERROR(INDEX('Both teabags AfterDry'!$D$1:$D$839,MATCH(H330,'Both teabags AfterDry'!$A$1:$A$839,0)),"")))</f>
        <v>1.8165</v>
      </c>
      <c r="T330" s="195">
        <f>IF(IFERROR(INDEX('Both teabags AfterDry'!$D$1:$D$839,MATCH(I330,'Both teabags AfterDry'!$A$1:$A$839,0)),"")="N.A","",(IFERROR(INDEX('Both teabags AfterDry'!$D$1:$D$839,MATCH(I330,'Both teabags AfterDry'!$A$1:$A$839,0)),"")))</f>
        <v>1.9638</v>
      </c>
      <c r="U330" s="195">
        <f t="shared" si="43"/>
        <v>1.6658999999999999</v>
      </c>
      <c r="V330" s="195">
        <f t="shared" si="43"/>
        <v>1.8131999999999999</v>
      </c>
      <c r="W330" s="195">
        <f>IFERROR(INDEX('Ashed teabags dry'!$K$2:$K$821,MATCH(H330,'Ashed teabags dry'!$A$2:$A$821,0)),"")</f>
        <v>5.65371024735001</v>
      </c>
      <c r="X330" s="195">
        <f>IFERROR(INDEX('Ashed teabags dry'!$K$2:$K$821,MATCH(I330,'Ashed teabags dry'!$A$2:$A$821,0)),"")</f>
        <v>2.5853658536585367</v>
      </c>
      <c r="Y330" s="195">
        <f t="shared" si="38"/>
        <v>1.5717148409893962</v>
      </c>
      <c r="Z330" s="195">
        <f t="shared" si="38"/>
        <v>1.7663221463414633</v>
      </c>
      <c r="AA330" s="195">
        <f t="shared" si="44"/>
        <v>1.8150027779663014E-2</v>
      </c>
      <c r="AB330" s="195">
        <f t="shared" si="45"/>
        <v>1.1898830563389516E-2</v>
      </c>
      <c r="AC330" s="195">
        <f t="shared" si="39"/>
        <v>0.94232338276183925</v>
      </c>
      <c r="AD330">
        <f t="shared" si="40"/>
        <v>67</v>
      </c>
      <c r="AE330" s="195">
        <f t="shared" si="46"/>
        <v>0.97844414753009146</v>
      </c>
      <c r="AF330" s="195" t="str">
        <f t="shared" si="47"/>
        <v/>
      </c>
      <c r="AG330" s="255" t="str">
        <f>IF(ISNUMBER(SEARCH("C", 'Dry_Litterbag Placem_Collection'!AD37)),"YES","NO")</f>
        <v>NO</v>
      </c>
      <c r="AH330" s="255" t="str">
        <f>IF(ISNUMBER(SEARCH("H", 'Dry_Litterbag Placem_Collection'!AD37)),"YES","NO")</f>
        <v>NO</v>
      </c>
      <c r="AI330" s="255" t="str">
        <f>IF(ISNUMBER(SEARCH("R", 'Dry_Litterbag Placem_Collection'!AD37)),"YES","NO")</f>
        <v>NO</v>
      </c>
      <c r="AJ330" s="255" t="str">
        <f>IF(ISNUMBER(SEARCH("C", 'Dry_Litterbag Placem_Collection'!AC37)),"YES","NO")</f>
        <v>NO</v>
      </c>
      <c r="AK330" s="255" t="str">
        <f>IF(ISNUMBER(SEARCH("H", 'Dry_Litterbag Placem_Collection'!AC37)),"YES","NO")</f>
        <v>NO</v>
      </c>
      <c r="AL330" s="255" t="str">
        <f>IF(ISNUMBER(SEARCH("R", 'Dry_Litterbag Placem_Collection'!AC37)),"YES","NO")</f>
        <v>NO</v>
      </c>
      <c r="AR330" t="s">
        <v>1333</v>
      </c>
      <c r="AT330" t="s">
        <v>1033</v>
      </c>
    </row>
    <row r="331" spans="2:46">
      <c r="B331" t="str">
        <f>'Final data_for_R_analysis_Dryse'!A477</f>
        <v>Dry</v>
      </c>
      <c r="C331" s="263">
        <f>'Final data_for_R_analysis_Dryse'!B477</f>
        <v>36</v>
      </c>
      <c r="D331" t="s">
        <v>3831</v>
      </c>
      <c r="E331" t="s">
        <v>25</v>
      </c>
      <c r="F331" s="387">
        <v>4</v>
      </c>
      <c r="G331" s="16">
        <f>'Dry_Litterbag Placem_Collection'!E38</f>
        <v>42938</v>
      </c>
      <c r="H331" s="92" t="str">
        <f>'Final data_for_R_analysis_Dryse'!J477</f>
        <v>G767</v>
      </c>
      <c r="I331" t="str">
        <f>'Final data_for_R_analysis_Dryse'!J697</f>
        <v>R152</v>
      </c>
      <c r="J331">
        <f>IFERROR(INDEX('Green_rooibos initial weight'!$C$5:$C$1749,MATCH(H331, 'Green_rooibos initial weight'!$A$5:$A$1749,0)),"")</f>
        <v>1.8879999999999999</v>
      </c>
      <c r="K331">
        <f>IFERROR(INDEX('Green_rooibos initial weight'!$C$5:$C$1749,MATCH(I331, 'Green_rooibos initial weight'!$A$5:$A$1749,0)),"")</f>
        <v>2.1800000000000002</v>
      </c>
      <c r="L331" s="195">
        <f t="shared" si="41"/>
        <v>1.6381999999999999</v>
      </c>
      <c r="M331" s="240">
        <f>AVERAGE(Ashed_controlls!$K$1:$K$11)</f>
        <v>5.5147656768714146</v>
      </c>
      <c r="N331" s="195">
        <f t="shared" si="36"/>
        <v>1.5478571086814923</v>
      </c>
      <c r="O331" s="195">
        <f t="shared" si="42"/>
        <v>1.9302000000000001</v>
      </c>
      <c r="P331" s="240">
        <f>AVERAGE(Ashed_controlls!$K$12:$K$14)</f>
        <v>2.2816647271287041</v>
      </c>
      <c r="Q331" s="195">
        <f t="shared" si="37"/>
        <v>1.8861593074369618</v>
      </c>
      <c r="R331" s="16">
        <f>IF('Dry_Litterbag Placem_Collection'!G38="N.A","",'Dry_Litterbag Placem_Collection'!G38)</f>
        <v>43005</v>
      </c>
      <c r="S331" s="195">
        <f>IF(IFERROR(INDEX('Both teabags AfterDry'!$D$1:$D$839,MATCH(H331,'Both teabags AfterDry'!$A$1:$A$839,0)),"")="N.A","",(IFERROR(INDEX('Both teabags AfterDry'!$D$1:$D$839,MATCH(H331,'Both teabags AfterDry'!$A$1:$A$839,0)),"")))</f>
        <v>1.4665999999999999</v>
      </c>
      <c r="T331" s="195" t="str">
        <f>IF(IFERROR(INDEX('Both teabags AfterDry'!$D$1:$D$839,MATCH(I331,'Both teabags AfterDry'!$A$1:$A$839,0)),"")="N.A","",(IFERROR(INDEX('Both teabags AfterDry'!$D$1:$D$839,MATCH(I331,'Both teabags AfterDry'!$A$1:$A$839,0)),"")))</f>
        <v/>
      </c>
      <c r="U331" s="195">
        <f t="shared" si="43"/>
        <v>1.3159999999999998</v>
      </c>
      <c r="V331" s="195" t="str">
        <f t="shared" si="43"/>
        <v/>
      </c>
      <c r="W331" s="195">
        <f>IFERROR(INDEX('Ashed teabags dry'!$K$2:$K$821,MATCH(H331,'Ashed teabags dry'!$A$2:$A$821,0)),"")</f>
        <v>8.3333333333337372</v>
      </c>
      <c r="X331" s="195" t="str">
        <f>IFERROR(INDEX('Ashed teabags dry'!$K$2:$K$821,MATCH(I331,'Ashed teabags dry'!$A$2:$A$821,0)),"")</f>
        <v/>
      </c>
      <c r="Y331" s="195">
        <f t="shared" si="38"/>
        <v>1.2063333333333279</v>
      </c>
      <c r="Z331" s="195" t="str">
        <f t="shared" si="38"/>
        <v/>
      </c>
      <c r="AA331" s="195">
        <f t="shared" si="44"/>
        <v>0.22064296079570533</v>
      </c>
      <c r="AB331" s="195">
        <f t="shared" si="45"/>
        <v>0.14464954199433414</v>
      </c>
      <c r="AC331" s="195" t="str">
        <f t="shared" si="39"/>
        <v/>
      </c>
      <c r="AD331">
        <f t="shared" si="40"/>
        <v>67</v>
      </c>
      <c r="AE331" s="195">
        <f t="shared" si="46"/>
        <v>0.73795372827113381</v>
      </c>
      <c r="AF331" s="195" t="str">
        <f t="shared" si="47"/>
        <v/>
      </c>
      <c r="AG331" s="255" t="str">
        <f>IF(ISNUMBER(SEARCH("C", 'Dry_Litterbag Placem_Collection'!AD38)),"YES","NO")</f>
        <v>NO</v>
      </c>
      <c r="AH331" s="255" t="str">
        <f>IF(ISNUMBER(SEARCH("H", 'Dry_Litterbag Placem_Collection'!AD38)),"YES","NO")</f>
        <v>NO</v>
      </c>
      <c r="AI331" s="255" t="str">
        <f>IF(ISNUMBER(SEARCH("R", 'Dry_Litterbag Placem_Collection'!AD38)),"YES","NO")</f>
        <v>NO</v>
      </c>
      <c r="AJ331" s="255" t="str">
        <f>IF(ISNUMBER(SEARCH("C", 'Dry_Litterbag Placem_Collection'!AC38)),"YES","NO")</f>
        <v>NO</v>
      </c>
      <c r="AK331" s="255" t="str">
        <f>IF(ISNUMBER(SEARCH("H", 'Dry_Litterbag Placem_Collection'!AC38)),"YES","NO")</f>
        <v>NO</v>
      </c>
      <c r="AL331" s="255" t="str">
        <f>IF(ISNUMBER(SEARCH("R", 'Dry_Litterbag Placem_Collection'!AC38)),"YES","NO")</f>
        <v>NO</v>
      </c>
      <c r="AR331" t="s">
        <v>1283</v>
      </c>
      <c r="AT331" t="s">
        <v>989</v>
      </c>
    </row>
    <row r="332" spans="2:46">
      <c r="B332" t="str">
        <f>'Final data_for_R_analysis_Dryse'!A478</f>
        <v>Dry</v>
      </c>
      <c r="C332" s="263">
        <f>'Final data_for_R_analysis_Dryse'!B478</f>
        <v>37</v>
      </c>
      <c r="D332" t="s">
        <v>3831</v>
      </c>
      <c r="E332" t="s">
        <v>25</v>
      </c>
      <c r="F332" s="387">
        <v>5</v>
      </c>
      <c r="G332" s="16">
        <f>'Dry_Litterbag Placem_Collection'!E39</f>
        <v>42938</v>
      </c>
      <c r="H332" s="92" t="str">
        <f>'Final data_for_R_analysis_Dryse'!J478</f>
        <v>G473</v>
      </c>
      <c r="I332" t="str">
        <f>'Final data_for_R_analysis_Dryse'!J698</f>
        <v>R681</v>
      </c>
      <c r="J332">
        <f>IFERROR(INDEX('Green_rooibos initial weight'!$C$5:$C$1749,MATCH(H332, 'Green_rooibos initial weight'!$A$5:$A$1749,0)),"")</f>
        <v>2.077</v>
      </c>
      <c r="K332">
        <f>IFERROR(INDEX('Green_rooibos initial weight'!$C$5:$C$1749,MATCH(I332, 'Green_rooibos initial weight'!$A$5:$A$1749,0)),"")</f>
        <v>2.1859999999999999</v>
      </c>
      <c r="L332" s="195">
        <f t="shared" si="41"/>
        <v>1.8271999999999999</v>
      </c>
      <c r="M332" s="240">
        <f>AVERAGE(Ashed_controlls!$K$1:$K$11)</f>
        <v>5.5147656768714146</v>
      </c>
      <c r="N332" s="195">
        <f t="shared" ref="N332:N395" si="48">IFERROR(L332-(M332/100)*L332,"")</f>
        <v>1.7264342015522054</v>
      </c>
      <c r="O332" s="195">
        <f t="shared" si="42"/>
        <v>1.9361999999999999</v>
      </c>
      <c r="P332" s="240">
        <f>AVERAGE(Ashed_controlls!$K$12:$K$14)</f>
        <v>2.2816647271287041</v>
      </c>
      <c r="Q332" s="195">
        <f t="shared" ref="Q332:Q395" si="49">IFERROR(O332-(P332/100)*O332,"")</f>
        <v>1.8920224075533341</v>
      </c>
      <c r="R332" s="16">
        <f>IF('Dry_Litterbag Placem_Collection'!G39="N.A","",'Dry_Litterbag Placem_Collection'!G39)</f>
        <v>43005</v>
      </c>
      <c r="S332" s="195">
        <f>IF(IFERROR(INDEX('Both teabags AfterDry'!$D$1:$D$839,MATCH(H332,'Both teabags AfterDry'!$A$1:$A$839,0)),"")="N.A","",(IFERROR(INDEX('Both teabags AfterDry'!$D$1:$D$839,MATCH(H332,'Both teabags AfterDry'!$A$1:$A$839,0)),"")))</f>
        <v>1.8992</v>
      </c>
      <c r="T332" s="195">
        <f>IF(IFERROR(INDEX('Both teabags AfterDry'!$D$1:$D$839,MATCH(I332,'Both teabags AfterDry'!$A$1:$A$839,0)),"")="N.A","",(IFERROR(INDEX('Both teabags AfterDry'!$D$1:$D$839,MATCH(I332,'Both teabags AfterDry'!$A$1:$A$839,0)),"")))</f>
        <v>1.9663999999999999</v>
      </c>
      <c r="U332" s="195">
        <f t="shared" si="43"/>
        <v>1.7485999999999999</v>
      </c>
      <c r="V332" s="195">
        <f t="shared" si="43"/>
        <v>1.8157999999999999</v>
      </c>
      <c r="W332" s="195">
        <f>IFERROR(INDEX('Ashed teabags dry'!$K$2:$K$821,MATCH(H332,'Ashed teabags dry'!$A$2:$A$821,0)),"")</f>
        <v>6.7924528301884193</v>
      </c>
      <c r="X332" s="195">
        <f>IFERROR(INDEX('Ashed teabags dry'!$K$2:$K$821,MATCH(I332,'Ashed teabags dry'!$A$2:$A$821,0)),"")</f>
        <v>4.1249999999999165</v>
      </c>
      <c r="Y332" s="195">
        <f t="shared" ref="Y332:Z395" si="50">IFERROR(U332-(W332/100)*U332,"")</f>
        <v>1.6298271698113251</v>
      </c>
      <c r="Z332" s="195">
        <f t="shared" si="50"/>
        <v>1.7408982500000014</v>
      </c>
      <c r="AA332" s="195">
        <f t="shared" si="44"/>
        <v>5.5957552077005146E-2</v>
      </c>
      <c r="AB332" s="195">
        <f t="shared" si="45"/>
        <v>3.6684760981599548E-2</v>
      </c>
      <c r="AC332" s="195">
        <f t="shared" ref="AC332:AC395" si="51">IFERROR(Z332/Q332,"")</f>
        <v>0.92012559843371067</v>
      </c>
      <c r="AD332">
        <f t="shared" ref="AD332:AD395" si="52">IF((R332-G332)&gt;0,(IFERROR(R332-G332,"")),"")</f>
        <v>67</v>
      </c>
      <c r="AE332" s="195">
        <f t="shared" si="46"/>
        <v>0.93354209967101531</v>
      </c>
      <c r="AF332" s="195" t="str">
        <f t="shared" si="47"/>
        <v/>
      </c>
      <c r="AG332" s="255" t="str">
        <f>IF(ISNUMBER(SEARCH("C", 'Dry_Litterbag Placem_Collection'!AD39)),"YES","NO")</f>
        <v>NO</v>
      </c>
      <c r="AH332" s="255" t="str">
        <f>IF(ISNUMBER(SEARCH("H", 'Dry_Litterbag Placem_Collection'!AD39)),"YES","NO")</f>
        <v>NO</v>
      </c>
      <c r="AI332" s="255" t="str">
        <f>IF(ISNUMBER(SEARCH("R", 'Dry_Litterbag Placem_Collection'!AD39)),"YES","NO")</f>
        <v>NO</v>
      </c>
      <c r="AJ332" s="255" t="str">
        <f>IF(ISNUMBER(SEARCH("C", 'Dry_Litterbag Placem_Collection'!AC39)),"YES","NO")</f>
        <v>NO</v>
      </c>
      <c r="AK332" s="255" t="str">
        <f>IF(ISNUMBER(SEARCH("H", 'Dry_Litterbag Placem_Collection'!AC39)),"YES","NO")</f>
        <v>NO</v>
      </c>
      <c r="AL332" s="255" t="str">
        <f>IF(ISNUMBER(SEARCH("R", 'Dry_Litterbag Placem_Collection'!AC39)),"YES","NO")</f>
        <v>NO</v>
      </c>
      <c r="AR332" t="s">
        <v>1577</v>
      </c>
      <c r="AT332" t="s">
        <v>458</v>
      </c>
    </row>
    <row r="333" spans="2:46">
      <c r="B333" t="str">
        <f>'Final data_for_R_analysis_Dryse'!A479</f>
        <v>Dry</v>
      </c>
      <c r="C333" s="263">
        <f>'Final data_for_R_analysis_Dryse'!B479</f>
        <v>38</v>
      </c>
      <c r="D333" t="s">
        <v>3831</v>
      </c>
      <c r="E333" t="s">
        <v>25</v>
      </c>
      <c r="F333" s="387">
        <v>6</v>
      </c>
      <c r="G333" s="16">
        <f>'Dry_Litterbag Placem_Collection'!E40</f>
        <v>42938</v>
      </c>
      <c r="H333" s="92" t="str">
        <f>'Final data_for_R_analysis_Dryse'!J479</f>
        <v>G111</v>
      </c>
      <c r="I333" t="str">
        <f>'Final data_for_R_analysis_Dryse'!J699</f>
        <v>R260</v>
      </c>
      <c r="J333">
        <f>IFERROR(INDEX('Green_rooibos initial weight'!$C$5:$C$1749,MATCH(H333, 'Green_rooibos initial weight'!$A$5:$A$1749,0)),"")</f>
        <v>2.0750000000000002</v>
      </c>
      <c r="K333">
        <f>IFERROR(INDEX('Green_rooibos initial weight'!$C$5:$C$1749,MATCH(I333, 'Green_rooibos initial weight'!$A$5:$A$1749,0)),"")</f>
        <v>2.1779999999999999</v>
      </c>
      <c r="L333" s="195">
        <f t="shared" ref="L333:L396" si="53">IFERROR(IF(J333&gt;0,(J333*$F$31-($F$29+$F$30)),""),"")</f>
        <v>1.8252000000000002</v>
      </c>
      <c r="M333" s="240">
        <f>AVERAGE(Ashed_controlls!$K$1:$K$11)</f>
        <v>5.5147656768714146</v>
      </c>
      <c r="N333" s="195">
        <f t="shared" si="48"/>
        <v>1.7245444968657431</v>
      </c>
      <c r="O333" s="195">
        <f t="shared" ref="O333:O396" si="54">IFERROR(IF(K333&gt;0,(K333*$F$32-($F$29+$F$30)),""),"")</f>
        <v>1.9281999999999999</v>
      </c>
      <c r="P333" s="240">
        <f>AVERAGE(Ashed_controlls!$K$12:$K$14)</f>
        <v>2.2816647271287041</v>
      </c>
      <c r="Q333" s="195">
        <f t="shared" si="49"/>
        <v>1.8842049407315042</v>
      </c>
      <c r="R333" s="16">
        <f>IF('Dry_Litterbag Placem_Collection'!G40="N.A","",'Dry_Litterbag Placem_Collection'!G40)</f>
        <v>43005</v>
      </c>
      <c r="S333" s="195">
        <f>IF(IFERROR(INDEX('Both teabags AfterDry'!$D$1:$D$839,MATCH(H333,'Both teabags AfterDry'!$A$1:$A$839,0)),"")="N.A","",(IFERROR(INDEX('Both teabags AfterDry'!$D$1:$D$839,MATCH(H333,'Both teabags AfterDry'!$A$1:$A$839,0)),"")))</f>
        <v>1.8357000000000001</v>
      </c>
      <c r="T333" s="195">
        <f>IF(IFERROR(INDEX('Both teabags AfterDry'!$D$1:$D$839,MATCH(I333,'Both teabags AfterDry'!$A$1:$A$839,0)),"")="N.A","",(IFERROR(INDEX('Both teabags AfterDry'!$D$1:$D$839,MATCH(I333,'Both teabags AfterDry'!$A$1:$A$839,0)),"")))</f>
        <v>1.8734</v>
      </c>
      <c r="U333" s="195">
        <f t="shared" ref="U333:V396" si="55">IFERROR(IF(S333&gt;0,S333-($F$29),""),"")</f>
        <v>1.6851</v>
      </c>
      <c r="V333" s="195">
        <f t="shared" si="55"/>
        <v>1.7227999999999999</v>
      </c>
      <c r="W333" s="195">
        <f>IFERROR(INDEX('Ashed teabags dry'!$K$2:$K$821,MATCH(H333,'Ashed teabags dry'!$A$2:$A$821,0)),"")</f>
        <v>6.2317429406042981</v>
      </c>
      <c r="X333" s="195">
        <f>IFERROR(INDEX('Ashed teabags dry'!$K$2:$K$821,MATCH(I333,'Ashed teabags dry'!$A$2:$A$821,0)),"")</f>
        <v>3.7144036318613898</v>
      </c>
      <c r="Y333" s="195">
        <f t="shared" si="50"/>
        <v>1.580088899707877</v>
      </c>
      <c r="Z333" s="195">
        <f t="shared" si="50"/>
        <v>1.6588082542302918</v>
      </c>
      <c r="AA333" s="195">
        <f t="shared" ref="AA333:AA396" si="56">IFERROR(1-Y333/N333,"")</f>
        <v>8.3764493998505385E-2</v>
      </c>
      <c r="AB333" s="195">
        <f t="shared" ref="AB333:AB396" si="57">IFERROR($F$26*(1-AE333),"")</f>
        <v>5.4914490127286178E-2</v>
      </c>
      <c r="AC333" s="195">
        <f t="shared" si="51"/>
        <v>0.88037570562058565</v>
      </c>
      <c r="AD333">
        <f t="shared" si="52"/>
        <v>67</v>
      </c>
      <c r="AE333" s="195">
        <f t="shared" ref="AE333:AE396" si="58">IFERROR(1-(AA333/$F$25),"")</f>
        <v>0.90051722803027867</v>
      </c>
      <c r="AF333" s="195" t="str">
        <f t="shared" ref="AF333:AF396" si="59">IFERROR(LN(AB333/(AC333-(1-AB333)))/AD333,"")</f>
        <v/>
      </c>
      <c r="AG333" s="255" t="str">
        <f>IF(ISNUMBER(SEARCH("C", 'Dry_Litterbag Placem_Collection'!AD40)),"YES","NO")</f>
        <v>NO</v>
      </c>
      <c r="AH333" s="255" t="str">
        <f>IF(ISNUMBER(SEARCH("H", 'Dry_Litterbag Placem_Collection'!AD40)),"YES","NO")</f>
        <v>NO</v>
      </c>
      <c r="AI333" s="255" t="str">
        <f>IF(ISNUMBER(SEARCH("R", 'Dry_Litterbag Placem_Collection'!AD40)),"YES","NO")</f>
        <v>NO</v>
      </c>
      <c r="AJ333" s="255" t="str">
        <f>IF(ISNUMBER(SEARCH("C", 'Dry_Litterbag Placem_Collection'!AC40)),"YES","NO")</f>
        <v>NO</v>
      </c>
      <c r="AK333" s="255" t="str">
        <f>IF(ISNUMBER(SEARCH("H", 'Dry_Litterbag Placem_Collection'!AC40)),"YES","NO")</f>
        <v>NO</v>
      </c>
      <c r="AL333" s="255" t="str">
        <f>IF(ISNUMBER(SEARCH("R", 'Dry_Litterbag Placem_Collection'!AC40)),"YES","NO")</f>
        <v>NO</v>
      </c>
      <c r="AR333" t="s">
        <v>1939</v>
      </c>
      <c r="AT333" t="s">
        <v>881</v>
      </c>
    </row>
    <row r="334" spans="2:46">
      <c r="B334" t="str">
        <f>'Final data_for_R_analysis_Dryse'!A480</f>
        <v>Dry</v>
      </c>
      <c r="C334" s="263">
        <f>'Final data_for_R_analysis_Dryse'!B480</f>
        <v>39</v>
      </c>
      <c r="D334" t="s">
        <v>3831</v>
      </c>
      <c r="E334" t="s">
        <v>25</v>
      </c>
      <c r="F334" s="387">
        <v>7</v>
      </c>
      <c r="G334" s="16">
        <f>'Dry_Litterbag Placem_Collection'!E41</f>
        <v>42938</v>
      </c>
      <c r="H334" s="92" t="str">
        <f>'Final data_for_R_analysis_Dryse'!J480</f>
        <v/>
      </c>
      <c r="I334" t="str">
        <f>'Final data_for_R_analysis_Dryse'!J700</f>
        <v/>
      </c>
      <c r="J334" t="str">
        <f>IFERROR(INDEX('Green_rooibos initial weight'!$C$5:$C$1749,MATCH(H334, 'Green_rooibos initial weight'!$A$5:$A$1749,0)),"")</f>
        <v/>
      </c>
      <c r="K334" t="str">
        <f>IFERROR(INDEX('Green_rooibos initial weight'!$C$5:$C$1749,MATCH(I334, 'Green_rooibos initial weight'!$A$5:$A$1749,0)),"")</f>
        <v/>
      </c>
      <c r="L334" s="195" t="str">
        <f t="shared" si="53"/>
        <v/>
      </c>
      <c r="M334" s="240">
        <f>AVERAGE(Ashed_controlls!$K$1:$K$11)</f>
        <v>5.5147656768714146</v>
      </c>
      <c r="N334" s="195" t="str">
        <f t="shared" si="48"/>
        <v/>
      </c>
      <c r="O334" s="195" t="str">
        <f t="shared" si="54"/>
        <v/>
      </c>
      <c r="P334" s="240">
        <f>AVERAGE(Ashed_controlls!$K$12:$K$14)</f>
        <v>2.2816647271287041</v>
      </c>
      <c r="Q334" s="195" t="str">
        <f t="shared" si="49"/>
        <v/>
      </c>
      <c r="R334" s="16">
        <f>IF('Dry_Litterbag Placem_Collection'!G41="N.A","",'Dry_Litterbag Placem_Collection'!G41)</f>
        <v>0</v>
      </c>
      <c r="S334" s="195" t="str">
        <f>IF(IFERROR(INDEX('Both teabags AfterDry'!$D$1:$D$839,MATCH(H334,'Both teabags AfterDry'!$A$1:$A$839,0)),"")="N.A","",(IFERROR(INDEX('Both teabags AfterDry'!$D$1:$D$839,MATCH(H334,'Both teabags AfterDry'!$A$1:$A$839,0)),"")))</f>
        <v/>
      </c>
      <c r="T334" s="195" t="str">
        <f>IF(IFERROR(INDEX('Both teabags AfterDry'!$D$1:$D$839,MATCH(I334,'Both teabags AfterDry'!$A$1:$A$839,0)),"")="N.A","",(IFERROR(INDEX('Both teabags AfterDry'!$D$1:$D$839,MATCH(I334,'Both teabags AfterDry'!$A$1:$A$839,0)),"")))</f>
        <v/>
      </c>
      <c r="U334" s="195" t="str">
        <f t="shared" si="55"/>
        <v/>
      </c>
      <c r="V334" s="195" t="str">
        <f t="shared" si="55"/>
        <v/>
      </c>
      <c r="W334" s="195" t="str">
        <f>IFERROR(INDEX('Ashed teabags dry'!$K$2:$K$821,MATCH(H334,'Ashed teabags dry'!$A$2:$A$821,0)),"")</f>
        <v/>
      </c>
      <c r="X334" s="195" t="str">
        <f>IFERROR(INDEX('Ashed teabags dry'!$K$2:$K$821,MATCH(I334,'Ashed teabags dry'!$A$2:$A$821,0)),"")</f>
        <v/>
      </c>
      <c r="Y334" s="195" t="str">
        <f t="shared" si="50"/>
        <v/>
      </c>
      <c r="Z334" s="195" t="str">
        <f t="shared" si="50"/>
        <v/>
      </c>
      <c r="AA334" s="195" t="str">
        <f t="shared" si="56"/>
        <v/>
      </c>
      <c r="AB334" s="195" t="str">
        <f t="shared" si="57"/>
        <v/>
      </c>
      <c r="AC334" s="195" t="str">
        <f t="shared" si="51"/>
        <v/>
      </c>
      <c r="AD334" t="str">
        <f t="shared" si="52"/>
        <v/>
      </c>
      <c r="AE334" s="195" t="str">
        <f t="shared" si="58"/>
        <v/>
      </c>
      <c r="AF334" s="195" t="str">
        <f t="shared" si="59"/>
        <v/>
      </c>
      <c r="AG334" s="255" t="str">
        <f>IF(ISNUMBER(SEARCH("C", 'Dry_Litterbag Placem_Collection'!AD41)),"YES","NO")</f>
        <v>NO</v>
      </c>
      <c r="AH334" s="255" t="str">
        <f>IF(ISNUMBER(SEARCH("H", 'Dry_Litterbag Placem_Collection'!AD41)),"YES","NO")</f>
        <v>NO</v>
      </c>
      <c r="AI334" s="255" t="str">
        <f>IF(ISNUMBER(SEARCH("R", 'Dry_Litterbag Placem_Collection'!AD41)),"YES","NO")</f>
        <v>NO</v>
      </c>
      <c r="AJ334" s="255" t="str">
        <f>IF(ISNUMBER(SEARCH("C", 'Dry_Litterbag Placem_Collection'!AC41)),"YES","NO")</f>
        <v>NO</v>
      </c>
      <c r="AK334" s="255" t="str">
        <f>IF(ISNUMBER(SEARCH("H", 'Dry_Litterbag Placem_Collection'!AC41)),"YES","NO")</f>
        <v>NO</v>
      </c>
      <c r="AL334" s="255" t="str">
        <f>IF(ISNUMBER(SEARCH("R", 'Dry_Litterbag Placem_Collection'!AC41)),"YES","NO")</f>
        <v>NO</v>
      </c>
      <c r="AR334" t="s">
        <v>3654</v>
      </c>
      <c r="AT334" t="s">
        <v>3654</v>
      </c>
    </row>
    <row r="335" spans="2:46">
      <c r="B335" t="str">
        <f>'Final data_for_R_analysis_Dryse'!A481</f>
        <v>Dry</v>
      </c>
      <c r="C335" s="263">
        <f>'Final data_for_R_analysis_Dryse'!B481</f>
        <v>40</v>
      </c>
      <c r="D335" t="s">
        <v>3831</v>
      </c>
      <c r="E335" t="s">
        <v>25</v>
      </c>
      <c r="F335" s="387">
        <v>8</v>
      </c>
      <c r="G335" s="16">
        <f>'Dry_Litterbag Placem_Collection'!E42</f>
        <v>42938</v>
      </c>
      <c r="H335" s="92" t="str">
        <f>'Final data_for_R_analysis_Dryse'!J481</f>
        <v>G646</v>
      </c>
      <c r="I335" t="str">
        <f>'Final data_for_R_analysis_Dryse'!J701</f>
        <v>R402</v>
      </c>
      <c r="J335">
        <f>IFERROR(INDEX('Green_rooibos initial weight'!$C$5:$C$1749,MATCH(H335, 'Green_rooibos initial weight'!$A$5:$A$1749,0)),"")</f>
        <v>2.1629999999999998</v>
      </c>
      <c r="K335">
        <f>IFERROR(INDEX('Green_rooibos initial weight'!$C$5:$C$1749,MATCH(I335, 'Green_rooibos initial weight'!$A$5:$A$1749,0)),"")</f>
        <v>2.1459999999999999</v>
      </c>
      <c r="L335" s="195">
        <f t="shared" si="53"/>
        <v>1.9131999999999998</v>
      </c>
      <c r="M335" s="240">
        <f>AVERAGE(Ashed_controlls!$K$1:$K$11)</f>
        <v>5.5147656768714146</v>
      </c>
      <c r="N335" s="195">
        <f t="shared" si="48"/>
        <v>1.807691503070096</v>
      </c>
      <c r="O335" s="195">
        <f t="shared" si="54"/>
        <v>1.8961999999999999</v>
      </c>
      <c r="P335" s="240">
        <f>AVERAGE(Ashed_controlls!$K$12:$K$14)</f>
        <v>2.2816647271287041</v>
      </c>
      <c r="Q335" s="195">
        <f t="shared" si="49"/>
        <v>1.8529350734441854</v>
      </c>
      <c r="R335" s="16">
        <f>IF('Dry_Litterbag Placem_Collection'!G42="N.A","",'Dry_Litterbag Placem_Collection'!G42)</f>
        <v>43005</v>
      </c>
      <c r="S335" s="195">
        <f>IF(IFERROR(INDEX('Both teabags AfterDry'!$D$1:$D$839,MATCH(H335,'Both teabags AfterDry'!$A$1:$A$839,0)),"")="N.A","",(IFERROR(INDEX('Both teabags AfterDry'!$D$1:$D$839,MATCH(H335,'Both teabags AfterDry'!$A$1:$A$839,0)),"")))</f>
        <v>1.9007000000000001</v>
      </c>
      <c r="T335" s="195">
        <f>IF(IFERROR(INDEX('Both teabags AfterDry'!$D$1:$D$839,MATCH(I335,'Both teabags AfterDry'!$A$1:$A$839,0)),"")="N.A","",(IFERROR(INDEX('Both teabags AfterDry'!$D$1:$D$839,MATCH(I335,'Both teabags AfterDry'!$A$1:$A$839,0)),"")))</f>
        <v>1.9192</v>
      </c>
      <c r="U335" s="195">
        <f t="shared" si="55"/>
        <v>1.7501</v>
      </c>
      <c r="V335" s="195">
        <f t="shared" si="55"/>
        <v>1.7685999999999999</v>
      </c>
      <c r="W335" s="195">
        <f>IFERROR(INDEX('Ashed teabags dry'!$K$2:$K$821,MATCH(H335,'Ashed teabags dry'!$A$2:$A$821,0)),"")</f>
        <v>6.7672833495611799</v>
      </c>
      <c r="X335" s="195">
        <f>IFERROR(INDEX('Ashed teabags dry'!$K$2:$K$821,MATCH(I335,'Ashed teabags dry'!$A$2:$A$821,0)),"")</f>
        <v>3.0697674418608112</v>
      </c>
      <c r="Y335" s="195">
        <f t="shared" si="50"/>
        <v>1.6316657740993297</v>
      </c>
      <c r="Z335" s="195">
        <f t="shared" si="50"/>
        <v>1.7143080930232497</v>
      </c>
      <c r="AA335" s="195">
        <f t="shared" si="56"/>
        <v>9.7375978518354889E-2</v>
      </c>
      <c r="AB335" s="195">
        <f t="shared" si="57"/>
        <v>6.3837933660489191E-2</v>
      </c>
      <c r="AC335" s="195">
        <f t="shared" si="51"/>
        <v>0.92518519272061728</v>
      </c>
      <c r="AD335">
        <f t="shared" si="52"/>
        <v>67</v>
      </c>
      <c r="AE335" s="195">
        <f t="shared" si="58"/>
        <v>0.88435156945563553</v>
      </c>
      <c r="AF335" s="195" t="str">
        <f t="shared" si="59"/>
        <v/>
      </c>
      <c r="AG335" s="255" t="str">
        <f>IF(ISNUMBER(SEARCH("C", 'Dry_Litterbag Placem_Collection'!AD42)),"YES","NO")</f>
        <v>NO</v>
      </c>
      <c r="AH335" s="255" t="str">
        <f>IF(ISNUMBER(SEARCH("H", 'Dry_Litterbag Placem_Collection'!AD42)),"YES","NO")</f>
        <v>NO</v>
      </c>
      <c r="AI335" s="255" t="str">
        <f>IF(ISNUMBER(SEARCH("R", 'Dry_Litterbag Placem_Collection'!AD42)),"YES","NO")</f>
        <v>NO</v>
      </c>
      <c r="AJ335" s="255" t="str">
        <f>IF(ISNUMBER(SEARCH("C", 'Dry_Litterbag Placem_Collection'!AC42)),"YES","NO")</f>
        <v>NO</v>
      </c>
      <c r="AK335" s="255" t="str">
        <f>IF(ISNUMBER(SEARCH("H", 'Dry_Litterbag Placem_Collection'!AC42)),"YES","NO")</f>
        <v>NO</v>
      </c>
      <c r="AL335" s="255" t="str">
        <f>IF(ISNUMBER(SEARCH("R", 'Dry_Litterbag Placem_Collection'!AC42)),"YES","NO")</f>
        <v>NO</v>
      </c>
      <c r="AR335" t="s">
        <v>1404</v>
      </c>
      <c r="AT335" t="s">
        <v>739</v>
      </c>
    </row>
    <row r="336" spans="2:46">
      <c r="B336" t="str">
        <f>'Final data_for_R_analysis_Dryse'!A482</f>
        <v>Dry</v>
      </c>
      <c r="C336" s="263">
        <f>'Final data_for_R_analysis_Dryse'!B482</f>
        <v>41</v>
      </c>
      <c r="D336" t="s">
        <v>3833</v>
      </c>
      <c r="E336" t="s">
        <v>25</v>
      </c>
      <c r="F336" s="386">
        <v>1</v>
      </c>
      <c r="G336" s="16">
        <f>'Dry_Litterbag Placem_Collection'!E43</f>
        <v>42938</v>
      </c>
      <c r="H336" s="92" t="str">
        <f>'Final data_for_R_analysis_Dryse'!J482</f>
        <v>G43</v>
      </c>
      <c r="I336" t="str">
        <f>'Final data_for_R_analysis_Dryse'!J702</f>
        <v>R648</v>
      </c>
      <c r="J336">
        <f>IFERROR(INDEX('Green_rooibos initial weight'!$C$5:$C$1749,MATCH(H336, 'Green_rooibos initial weight'!$A$5:$A$1749,0)),"")</f>
        <v>1.9650000000000001</v>
      </c>
      <c r="K336">
        <f>IFERROR(INDEX('Green_rooibos initial weight'!$C$5:$C$1749,MATCH(I336, 'Green_rooibos initial weight'!$A$5:$A$1749,0)),"")</f>
        <v>2.1920000000000002</v>
      </c>
      <c r="L336" s="195">
        <f t="shared" si="53"/>
        <v>1.7152000000000001</v>
      </c>
      <c r="M336" s="240">
        <f>AVERAGE(Ashed_controlls!$K$1:$K$11)</f>
        <v>5.5147656768714146</v>
      </c>
      <c r="N336" s="195">
        <f t="shared" si="48"/>
        <v>1.6206107391103015</v>
      </c>
      <c r="O336" s="195">
        <f t="shared" si="54"/>
        <v>1.9422000000000001</v>
      </c>
      <c r="P336" s="240">
        <f>AVERAGE(Ashed_controlls!$K$12:$K$14)</f>
        <v>2.2816647271287041</v>
      </c>
      <c r="Q336" s="195">
        <f t="shared" si="49"/>
        <v>1.8978855076697065</v>
      </c>
      <c r="R336" s="16">
        <f>IF('Dry_Litterbag Placem_Collection'!G43="N.A","",'Dry_Litterbag Placem_Collection'!G43)</f>
        <v>43005</v>
      </c>
      <c r="S336" s="195">
        <f>IF(IFERROR(INDEX('Both teabags AfterDry'!$D$1:$D$839,MATCH(H336,'Both teabags AfterDry'!$A$1:$A$839,0)),"")="N.A","",(IFERROR(INDEX('Both teabags AfterDry'!$D$1:$D$839,MATCH(H336,'Both teabags AfterDry'!$A$1:$A$839,0)),"")))</f>
        <v>1.7821</v>
      </c>
      <c r="T336" s="195">
        <f>IF(IFERROR(INDEX('Both teabags AfterDry'!$D$1:$D$839,MATCH(I336,'Both teabags AfterDry'!$A$1:$A$839,0)),"")="N.A","",(IFERROR(INDEX('Both teabags AfterDry'!$D$1:$D$839,MATCH(I336,'Both teabags AfterDry'!$A$1:$A$839,0)),"")))</f>
        <v>1.9649000000000001</v>
      </c>
      <c r="U336" s="195">
        <f t="shared" si="55"/>
        <v>1.6315</v>
      </c>
      <c r="V336" s="195">
        <f t="shared" si="55"/>
        <v>1.8143</v>
      </c>
      <c r="W336" s="195">
        <f>IFERROR(INDEX('Ashed teabags dry'!$K$2:$K$821,MATCH(H336,'Ashed teabags dry'!$A$2:$A$821,0)),"")</f>
        <v>4.8097944905995158</v>
      </c>
      <c r="X336" s="195">
        <f>IFERROR(INDEX('Ashed teabags dry'!$K$2:$K$821,MATCH(I336,'Ashed teabags dry'!$A$2:$A$821,0)),"")</f>
        <v>3.1295137217131312</v>
      </c>
      <c r="Y336" s="195">
        <f t="shared" si="50"/>
        <v>1.5530282028858688</v>
      </c>
      <c r="Z336" s="195">
        <f t="shared" si="50"/>
        <v>1.7575212325469587</v>
      </c>
      <c r="AA336" s="195">
        <f t="shared" si="56"/>
        <v>4.1701893362458442E-2</v>
      </c>
      <c r="AB336" s="195">
        <f t="shared" si="57"/>
        <v>2.733900847515091E-2</v>
      </c>
      <c r="AC336" s="195">
        <f t="shared" si="51"/>
        <v>0.92604175828546564</v>
      </c>
      <c r="AD336">
        <f t="shared" si="52"/>
        <v>67</v>
      </c>
      <c r="AE336" s="195">
        <f t="shared" si="58"/>
        <v>0.95047281073342227</v>
      </c>
      <c r="AF336" s="195" t="str">
        <f t="shared" si="59"/>
        <v/>
      </c>
      <c r="AG336" s="255" t="str">
        <f>IF(ISNUMBER(SEARCH("C", 'Dry_Litterbag Placem_Collection'!AD43)),"YES","NO")</f>
        <v>NO</v>
      </c>
      <c r="AH336" s="255" t="str">
        <f>IF(ISNUMBER(SEARCH("H", 'Dry_Litterbag Placem_Collection'!AD43)),"YES","NO")</f>
        <v>NO</v>
      </c>
      <c r="AI336" s="255" t="str">
        <f>IF(ISNUMBER(SEARCH("R", 'Dry_Litterbag Placem_Collection'!AD43)),"YES","NO")</f>
        <v>NO</v>
      </c>
      <c r="AJ336" s="255" t="str">
        <f>IF(ISNUMBER(SEARCH("C", 'Dry_Litterbag Placem_Collection'!AC43)),"YES","NO")</f>
        <v>NO</v>
      </c>
      <c r="AK336" s="255" t="str">
        <f>IF(ISNUMBER(SEARCH("H", 'Dry_Litterbag Placem_Collection'!AC43)),"YES","NO")</f>
        <v>NO</v>
      </c>
      <c r="AL336" s="255" t="str">
        <f>IF(ISNUMBER(SEARCH("R", 'Dry_Litterbag Placem_Collection'!AC43)),"YES","NO")</f>
        <v>NO</v>
      </c>
      <c r="AR336" t="s">
        <v>2007</v>
      </c>
      <c r="AT336" t="s">
        <v>491</v>
      </c>
    </row>
    <row r="337" spans="2:46">
      <c r="B337" t="str">
        <f>'Final data_for_R_analysis_Dryse'!A483</f>
        <v>Dry</v>
      </c>
      <c r="C337" s="263">
        <f>'Final data_for_R_analysis_Dryse'!B483</f>
        <v>42</v>
      </c>
      <c r="D337" t="s">
        <v>3833</v>
      </c>
      <c r="E337" t="s">
        <v>25</v>
      </c>
      <c r="F337" s="386">
        <v>2</v>
      </c>
      <c r="G337" s="16">
        <f>'Dry_Litterbag Placem_Collection'!E44</f>
        <v>42938</v>
      </c>
      <c r="H337" s="92" t="str">
        <f>'Final data_for_R_analysis_Dryse'!J483</f>
        <v>G268</v>
      </c>
      <c r="I337" t="str">
        <f>'Final data_for_R_analysis_Dryse'!J703</f>
        <v>R257</v>
      </c>
      <c r="J337">
        <f>IFERROR(INDEX('Green_rooibos initial weight'!$C$5:$C$1749,MATCH(H337, 'Green_rooibos initial weight'!$A$5:$A$1749,0)),"")</f>
        <v>2.1389999999999998</v>
      </c>
      <c r="K337">
        <f>IFERROR(INDEX('Green_rooibos initial weight'!$C$5:$C$1749,MATCH(I337, 'Green_rooibos initial weight'!$A$5:$A$1749,0)),"")</f>
        <v>2.222</v>
      </c>
      <c r="L337" s="195">
        <f t="shared" si="53"/>
        <v>1.8891999999999998</v>
      </c>
      <c r="M337" s="240">
        <f>AVERAGE(Ashed_controlls!$K$1:$K$11)</f>
        <v>5.5147656768714146</v>
      </c>
      <c r="N337" s="195">
        <f t="shared" si="48"/>
        <v>1.785015046832545</v>
      </c>
      <c r="O337" s="195">
        <f t="shared" si="54"/>
        <v>1.9722</v>
      </c>
      <c r="P337" s="240">
        <f>AVERAGE(Ashed_controlls!$K$12:$K$14)</f>
        <v>2.2816647271287041</v>
      </c>
      <c r="Q337" s="195">
        <f t="shared" si="49"/>
        <v>1.9272010082515676</v>
      </c>
      <c r="R337" s="16">
        <f>IF('Dry_Litterbag Placem_Collection'!G44="N.A","",'Dry_Litterbag Placem_Collection'!G44)</f>
        <v>43005</v>
      </c>
      <c r="S337" s="195">
        <f>IF(IFERROR(INDEX('Both teabags AfterDry'!$D$1:$D$839,MATCH(H337,'Both teabags AfterDry'!$A$1:$A$839,0)),"")="N.A","",(IFERROR(INDEX('Both teabags AfterDry'!$D$1:$D$839,MATCH(H337,'Both teabags AfterDry'!$A$1:$A$839,0)),"")))</f>
        <v>1.7633000000000001</v>
      </c>
      <c r="T337" s="195">
        <f>IF(IFERROR(INDEX('Both teabags AfterDry'!$D$1:$D$839,MATCH(I337,'Both teabags AfterDry'!$A$1:$A$839,0)),"")="N.A","",(IFERROR(INDEX('Both teabags AfterDry'!$D$1:$D$839,MATCH(I337,'Both teabags AfterDry'!$A$1:$A$839,0)),"")))</f>
        <v>1.956</v>
      </c>
      <c r="U337" s="195">
        <f t="shared" si="55"/>
        <v>1.6127</v>
      </c>
      <c r="V337" s="195">
        <f t="shared" si="55"/>
        <v>1.8053999999999999</v>
      </c>
      <c r="W337" s="195">
        <f>IFERROR(INDEX('Ashed teabags dry'!$K$2:$K$821,MATCH(H337,'Ashed teabags dry'!$A$2:$A$821,0)),"")</f>
        <v>9.3972472710013903</v>
      </c>
      <c r="X337" s="195">
        <f>IFERROR(INDEX('Ashed teabags dry'!$K$2:$K$821,MATCH(I337,'Ashed teabags dry'!$A$2:$A$821,0)),"")</f>
        <v>2.8571428571426241</v>
      </c>
      <c r="Y337" s="195">
        <f t="shared" si="50"/>
        <v>1.4611505932605606</v>
      </c>
      <c r="Z337" s="195">
        <f t="shared" si="50"/>
        <v>1.753817142857147</v>
      </c>
      <c r="AA337" s="195">
        <f t="shared" si="56"/>
        <v>0.18143513924247978</v>
      </c>
      <c r="AB337" s="195">
        <f t="shared" si="57"/>
        <v>0.11894560197369221</v>
      </c>
      <c r="AC337" s="195">
        <f t="shared" si="51"/>
        <v>0.910033325713273</v>
      </c>
      <c r="AD337">
        <f t="shared" si="52"/>
        <v>67</v>
      </c>
      <c r="AE337" s="195">
        <f t="shared" si="58"/>
        <v>0.78451883700418079</v>
      </c>
      <c r="AF337" s="195">
        <f t="shared" si="59"/>
        <v>2.1076079521612927E-2</v>
      </c>
      <c r="AG337" s="255" t="str">
        <f>IF(ISNUMBER(SEARCH("C", 'Dry_Litterbag Placem_Collection'!AD44)),"YES","NO")</f>
        <v>NO</v>
      </c>
      <c r="AH337" s="255" t="str">
        <f>IF(ISNUMBER(SEARCH("H", 'Dry_Litterbag Placem_Collection'!AD44)),"YES","NO")</f>
        <v>NO</v>
      </c>
      <c r="AI337" s="255" t="str">
        <f>IF(ISNUMBER(SEARCH("R", 'Dry_Litterbag Placem_Collection'!AD44)),"YES","NO")</f>
        <v>NO</v>
      </c>
      <c r="AJ337" s="255" t="str">
        <f>IF(ISNUMBER(SEARCH("C", 'Dry_Litterbag Placem_Collection'!AC44)),"YES","NO")</f>
        <v>NO</v>
      </c>
      <c r="AK337" s="255" t="str">
        <f>IF(ISNUMBER(SEARCH("H", 'Dry_Litterbag Placem_Collection'!AC44)),"YES","NO")</f>
        <v>NO</v>
      </c>
      <c r="AL337" s="255" t="str">
        <f>IF(ISNUMBER(SEARCH("R", 'Dry_Litterbag Placem_Collection'!AC44)),"YES","NO")</f>
        <v>NO</v>
      </c>
      <c r="AR337" t="s">
        <v>1782</v>
      </c>
      <c r="AT337" t="s">
        <v>884</v>
      </c>
    </row>
    <row r="338" spans="2:46">
      <c r="B338" t="str">
        <f>'Final data_for_R_analysis_Dryse'!A484</f>
        <v>Dry</v>
      </c>
      <c r="C338" s="263">
        <f>'Final data_for_R_analysis_Dryse'!B484</f>
        <v>43</v>
      </c>
      <c r="D338" t="s">
        <v>3833</v>
      </c>
      <c r="E338" t="s">
        <v>25</v>
      </c>
      <c r="F338" s="386">
        <v>3</v>
      </c>
      <c r="G338" s="16">
        <f>'Dry_Litterbag Placem_Collection'!E45</f>
        <v>42938</v>
      </c>
      <c r="H338" s="92" t="str">
        <f>'Final data_for_R_analysis_Dryse'!J484</f>
        <v>G300</v>
      </c>
      <c r="I338" t="str">
        <f>'Final data_for_R_analysis_Dryse'!J704</f>
        <v>R691</v>
      </c>
      <c r="J338">
        <f>IFERROR(INDEX('Green_rooibos initial weight'!$C$5:$C$1749,MATCH(H338, 'Green_rooibos initial weight'!$A$5:$A$1749,0)),"")</f>
        <v>2.052</v>
      </c>
      <c r="K338">
        <f>IFERROR(INDEX('Green_rooibos initial weight'!$C$5:$C$1749,MATCH(I338, 'Green_rooibos initial weight'!$A$5:$A$1749,0)),"")</f>
        <v>2.1859999999999999</v>
      </c>
      <c r="L338" s="195">
        <f t="shared" si="53"/>
        <v>1.8022</v>
      </c>
      <c r="M338" s="240">
        <f>AVERAGE(Ashed_controlls!$K$1:$K$11)</f>
        <v>5.5147656768714146</v>
      </c>
      <c r="N338" s="195">
        <f t="shared" si="48"/>
        <v>1.7028128929714235</v>
      </c>
      <c r="O338" s="195">
        <f t="shared" si="54"/>
        <v>1.9361999999999999</v>
      </c>
      <c r="P338" s="240">
        <f>AVERAGE(Ashed_controlls!$K$12:$K$14)</f>
        <v>2.2816647271287041</v>
      </c>
      <c r="Q338" s="195">
        <f t="shared" si="49"/>
        <v>1.8920224075533341</v>
      </c>
      <c r="R338" s="16">
        <f>IF('Dry_Litterbag Placem_Collection'!G45="N.A","",'Dry_Litterbag Placem_Collection'!G45)</f>
        <v>43005</v>
      </c>
      <c r="S338" s="195">
        <f>IF(IFERROR(INDEX('Both teabags AfterDry'!$D$1:$D$839,MATCH(H338,'Both teabags AfterDry'!$A$1:$A$839,0)),"")="N.A","",(IFERROR(INDEX('Both teabags AfterDry'!$D$1:$D$839,MATCH(H338,'Both teabags AfterDry'!$A$1:$A$839,0)),"")))</f>
        <v>1.8340000000000001</v>
      </c>
      <c r="T338" s="195">
        <f>IF(IFERROR(INDEX('Both teabags AfterDry'!$D$1:$D$839,MATCH(I338,'Both teabags AfterDry'!$A$1:$A$839,0)),"")="N.A","",(IFERROR(INDEX('Both teabags AfterDry'!$D$1:$D$839,MATCH(I338,'Both teabags AfterDry'!$A$1:$A$839,0)),"")))</f>
        <v>1.9609000000000001</v>
      </c>
      <c r="U338" s="195">
        <f t="shared" si="55"/>
        <v>1.6834</v>
      </c>
      <c r="V338" s="195">
        <f t="shared" si="55"/>
        <v>1.8103</v>
      </c>
      <c r="W338" s="195">
        <f>IFERROR(INDEX('Ashed teabags dry'!$K$2:$K$821,MATCH(H338,'Ashed teabags dry'!$A$2:$A$821,0)),"")</f>
        <v>6.2999529854254668</v>
      </c>
      <c r="X338" s="195">
        <f>IFERROR(INDEX('Ashed teabags dry'!$K$2:$K$821,MATCH(I338,'Ashed teabags dry'!$A$2:$A$821,0)),"")</f>
        <v>3.8599640933580917</v>
      </c>
      <c r="Y338" s="195">
        <f t="shared" si="50"/>
        <v>1.5773465914433478</v>
      </c>
      <c r="Z338" s="195">
        <f t="shared" si="50"/>
        <v>1.7404230700179384</v>
      </c>
      <c r="AA338" s="195">
        <f t="shared" si="56"/>
        <v>7.3681789729190927E-2</v>
      </c>
      <c r="AB338" s="195">
        <f t="shared" si="57"/>
        <v>4.8304451223887643E-2</v>
      </c>
      <c r="AC338" s="195">
        <f t="shared" si="51"/>
        <v>0.91987444919775763</v>
      </c>
      <c r="AD338">
        <f t="shared" si="52"/>
        <v>67</v>
      </c>
      <c r="AE338" s="195">
        <f t="shared" si="58"/>
        <v>0.91249193618860935</v>
      </c>
      <c r="AF338" s="195" t="str">
        <f t="shared" si="59"/>
        <v/>
      </c>
      <c r="AG338" s="255" t="str">
        <f>IF(ISNUMBER(SEARCH("C", 'Dry_Litterbag Placem_Collection'!AD45)),"YES","NO")</f>
        <v>NO</v>
      </c>
      <c r="AH338" s="255" t="str">
        <f>IF(ISNUMBER(SEARCH("H", 'Dry_Litterbag Placem_Collection'!AD45)),"YES","NO")</f>
        <v>NO</v>
      </c>
      <c r="AI338" s="255" t="str">
        <f>IF(ISNUMBER(SEARCH("R", 'Dry_Litterbag Placem_Collection'!AD45)),"YES","NO")</f>
        <v>NO</v>
      </c>
      <c r="AJ338" s="255" t="str">
        <f>IF(ISNUMBER(SEARCH("C", 'Dry_Litterbag Placem_Collection'!AC45)),"YES","NO")</f>
        <v>NO</v>
      </c>
      <c r="AK338" s="255" t="str">
        <f>IF(ISNUMBER(SEARCH("H", 'Dry_Litterbag Placem_Collection'!AC45)),"YES","NO")</f>
        <v>NO</v>
      </c>
      <c r="AL338" s="255" t="str">
        <f>IF(ISNUMBER(SEARCH("R", 'Dry_Litterbag Placem_Collection'!AC45)),"YES","NO")</f>
        <v>NO</v>
      </c>
      <c r="AR338" t="s">
        <v>1750</v>
      </c>
      <c r="AT338" t="s">
        <v>448</v>
      </c>
    </row>
    <row r="339" spans="2:46">
      <c r="B339" t="str">
        <f>'Final data_for_R_analysis_Dryse'!A485</f>
        <v>Dry</v>
      </c>
      <c r="C339" s="263">
        <f>'Final data_for_R_analysis_Dryse'!B485</f>
        <v>44</v>
      </c>
      <c r="D339" t="s">
        <v>3833</v>
      </c>
      <c r="E339" t="s">
        <v>25</v>
      </c>
      <c r="F339" s="387">
        <v>4</v>
      </c>
      <c r="G339" s="16">
        <f>'Dry_Litterbag Placem_Collection'!E46</f>
        <v>42938</v>
      </c>
      <c r="H339" s="92" t="str">
        <f>'Final data_for_R_analysis_Dryse'!J485</f>
        <v>G823</v>
      </c>
      <c r="I339" t="str">
        <f>'Final data_for_R_analysis_Dryse'!J705</f>
        <v>R716</v>
      </c>
      <c r="J339">
        <f>IFERROR(INDEX('Green_rooibos initial weight'!$C$5:$C$1749,MATCH(H339, 'Green_rooibos initial weight'!$A$5:$A$1749,0)),"")</f>
        <v>1.9630000000000001</v>
      </c>
      <c r="K339">
        <f>IFERROR(INDEX('Green_rooibos initial weight'!$C$5:$C$1749,MATCH(I339, 'Green_rooibos initial weight'!$A$5:$A$1749,0)),"")</f>
        <v>2.2280000000000002</v>
      </c>
      <c r="L339" s="195">
        <f t="shared" si="53"/>
        <v>1.7132000000000001</v>
      </c>
      <c r="M339" s="240">
        <f>AVERAGE(Ashed_controlls!$K$1:$K$11)</f>
        <v>5.5147656768714146</v>
      </c>
      <c r="N339" s="195">
        <f t="shared" si="48"/>
        <v>1.618721034423839</v>
      </c>
      <c r="O339" s="195">
        <f t="shared" si="54"/>
        <v>1.9782000000000002</v>
      </c>
      <c r="P339" s="240">
        <f>AVERAGE(Ashed_controlls!$K$12:$K$14)</f>
        <v>2.2816647271287041</v>
      </c>
      <c r="Q339" s="195">
        <f t="shared" si="49"/>
        <v>1.9330641083679401</v>
      </c>
      <c r="R339" s="16">
        <f>IF('Dry_Litterbag Placem_Collection'!G46="N.A","",'Dry_Litterbag Placem_Collection'!G46)</f>
        <v>43005</v>
      </c>
      <c r="S339" s="195">
        <f>IF(IFERROR(INDEX('Both teabags AfterDry'!$D$1:$D$839,MATCH(H339,'Both teabags AfterDry'!$A$1:$A$839,0)),"")="N.A","",(IFERROR(INDEX('Both teabags AfterDry'!$D$1:$D$839,MATCH(H339,'Both teabags AfterDry'!$A$1:$A$839,0)),"")))</f>
        <v>1.8245</v>
      </c>
      <c r="T339" s="195">
        <f>IF(IFERROR(INDEX('Both teabags AfterDry'!$D$1:$D$839,MATCH(I339,'Both teabags AfterDry'!$A$1:$A$839,0)),"")="N.A","",(IFERROR(INDEX('Both teabags AfterDry'!$D$1:$D$839,MATCH(I339,'Both teabags AfterDry'!$A$1:$A$839,0)),"")))</f>
        <v>1.9879</v>
      </c>
      <c r="U339" s="195">
        <f t="shared" si="55"/>
        <v>1.6738999999999999</v>
      </c>
      <c r="V339" s="195">
        <f t="shared" si="55"/>
        <v>1.8372999999999999</v>
      </c>
      <c r="W339" s="195">
        <f>IFERROR(INDEX('Ashed teabags dry'!$K$2:$K$821,MATCH(H339,'Ashed teabags dry'!$A$2:$A$821,0)),"")</f>
        <v>6.7021748779403518</v>
      </c>
      <c r="X339" s="195">
        <f>IFERROR(INDEX('Ashed teabags dry'!$K$2:$K$821,MATCH(I339,'Ashed teabags dry'!$A$2:$A$821,0)),"")</f>
        <v>2.9353233830845578</v>
      </c>
      <c r="Y339" s="195">
        <f t="shared" si="50"/>
        <v>1.5617122947181563</v>
      </c>
      <c r="Z339" s="195">
        <f t="shared" si="50"/>
        <v>1.7833693034825873</v>
      </c>
      <c r="AA339" s="195">
        <f t="shared" si="56"/>
        <v>3.5218384448790552E-2</v>
      </c>
      <c r="AB339" s="195">
        <f t="shared" si="57"/>
        <v>2.3088537073316387E-2</v>
      </c>
      <c r="AC339" s="195">
        <f t="shared" si="51"/>
        <v>0.92256086891410027</v>
      </c>
      <c r="AD339">
        <f t="shared" si="52"/>
        <v>67</v>
      </c>
      <c r="AE339" s="195">
        <f t="shared" si="58"/>
        <v>0.95817294008457177</v>
      </c>
      <c r="AF339" s="195" t="str">
        <f t="shared" si="59"/>
        <v/>
      </c>
      <c r="AG339" s="255" t="str">
        <f>IF(ISNUMBER(SEARCH("C", 'Dry_Litterbag Placem_Collection'!AD46)),"YES","NO")</f>
        <v>NO</v>
      </c>
      <c r="AH339" s="255" t="str">
        <f>IF(ISNUMBER(SEARCH("H", 'Dry_Litterbag Placem_Collection'!AD46)),"YES","NO")</f>
        <v>NO</v>
      </c>
      <c r="AI339" s="255" t="str">
        <f>IF(ISNUMBER(SEARCH("R", 'Dry_Litterbag Placem_Collection'!AD46)),"YES","NO")</f>
        <v>NO</v>
      </c>
      <c r="AJ339" s="255" t="str">
        <f>IF(ISNUMBER(SEARCH("C", 'Dry_Litterbag Placem_Collection'!AC46)),"YES","NO")</f>
        <v>NO</v>
      </c>
      <c r="AK339" s="255" t="str">
        <f>IF(ISNUMBER(SEARCH("H", 'Dry_Litterbag Placem_Collection'!AC46)),"YES","NO")</f>
        <v>NO</v>
      </c>
      <c r="AL339" s="255" t="str">
        <f>IF(ISNUMBER(SEARCH("R", 'Dry_Litterbag Placem_Collection'!AC46)),"YES","NO")</f>
        <v>NO</v>
      </c>
      <c r="AR339" t="s">
        <v>1227</v>
      </c>
      <c r="AT339" t="s">
        <v>423</v>
      </c>
    </row>
    <row r="340" spans="2:46">
      <c r="B340" t="str">
        <f>'Final data_for_R_analysis_Dryse'!A486</f>
        <v>Dry</v>
      </c>
      <c r="C340" s="263">
        <f>'Final data_for_R_analysis_Dryse'!B486</f>
        <v>45</v>
      </c>
      <c r="D340" t="s">
        <v>3833</v>
      </c>
      <c r="E340" t="s">
        <v>25</v>
      </c>
      <c r="F340" s="387">
        <v>5</v>
      </c>
      <c r="G340" s="16">
        <f>'Dry_Litterbag Placem_Collection'!E47</f>
        <v>42938</v>
      </c>
      <c r="H340" s="92" t="str">
        <f>'Final data_for_R_analysis_Dryse'!J486</f>
        <v>G354</v>
      </c>
      <c r="I340" t="str">
        <f>'Final data_for_R_analysis_Dryse'!J706</f>
        <v>R631</v>
      </c>
      <c r="J340">
        <f>IFERROR(INDEX('Green_rooibos initial weight'!$C$5:$C$1749,MATCH(H340, 'Green_rooibos initial weight'!$A$5:$A$1749,0)),"")</f>
        <v>1.835</v>
      </c>
      <c r="K340">
        <f>IFERROR(INDEX('Green_rooibos initial weight'!$C$5:$C$1749,MATCH(I340, 'Green_rooibos initial weight'!$A$5:$A$1749,0)),"")</f>
        <v>2.133</v>
      </c>
      <c r="L340" s="195">
        <f t="shared" si="53"/>
        <v>1.5851999999999999</v>
      </c>
      <c r="M340" s="240">
        <f>AVERAGE(Ashed_controlls!$K$1:$K$11)</f>
        <v>5.5147656768714146</v>
      </c>
      <c r="N340" s="195">
        <f t="shared" si="48"/>
        <v>1.4977799344902343</v>
      </c>
      <c r="O340" s="195">
        <f t="shared" si="54"/>
        <v>1.8832</v>
      </c>
      <c r="P340" s="240">
        <f>AVERAGE(Ashed_controlls!$K$12:$K$14)</f>
        <v>2.2816647271287041</v>
      </c>
      <c r="Q340" s="195">
        <f t="shared" si="49"/>
        <v>1.8402316898587123</v>
      </c>
      <c r="R340" s="16">
        <f>IF('Dry_Litterbag Placem_Collection'!G47="N.A","",'Dry_Litterbag Placem_Collection'!G47)</f>
        <v>43005</v>
      </c>
      <c r="S340" s="195" t="str">
        <f>IF(IFERROR(INDEX('Both teabags AfterDry'!$D$1:$D$839,MATCH(H340,'Both teabags AfterDry'!$A$1:$A$839,0)),"")="N.A","",(IFERROR(INDEX('Both teabags AfterDry'!$D$1:$D$839,MATCH(H340,'Both teabags AfterDry'!$A$1:$A$839,0)),"")))</f>
        <v/>
      </c>
      <c r="T340" s="195" t="str">
        <f>IF(IFERROR(INDEX('Both teabags AfterDry'!$D$1:$D$839,MATCH(I340,'Both teabags AfterDry'!$A$1:$A$839,0)),"")="N.A","",(IFERROR(INDEX('Both teabags AfterDry'!$D$1:$D$839,MATCH(I340,'Both teabags AfterDry'!$A$1:$A$839,0)),"")))</f>
        <v/>
      </c>
      <c r="U340" s="195" t="str">
        <f t="shared" si="55"/>
        <v/>
      </c>
      <c r="V340" s="195" t="str">
        <f t="shared" si="55"/>
        <v/>
      </c>
      <c r="W340" s="195" t="str">
        <f>IFERROR(INDEX('Ashed teabags dry'!$K$2:$K$821,MATCH(H340,'Ashed teabags dry'!$A$2:$A$821,0)),"")</f>
        <v/>
      </c>
      <c r="X340" s="195" t="str">
        <f>IFERROR(INDEX('Ashed teabags dry'!$K$2:$K$821,MATCH(I340,'Ashed teabags dry'!$A$2:$A$821,0)),"")</f>
        <v/>
      </c>
      <c r="Y340" s="195" t="str">
        <f t="shared" si="50"/>
        <v/>
      </c>
      <c r="Z340" s="195" t="str">
        <f t="shared" si="50"/>
        <v/>
      </c>
      <c r="AA340" s="195" t="str">
        <f t="shared" si="56"/>
        <v/>
      </c>
      <c r="AB340" s="195" t="str">
        <f t="shared" si="57"/>
        <v/>
      </c>
      <c r="AC340" s="195" t="str">
        <f t="shared" si="51"/>
        <v/>
      </c>
      <c r="AD340">
        <f t="shared" si="52"/>
        <v>67</v>
      </c>
      <c r="AE340" s="195" t="str">
        <f t="shared" si="58"/>
        <v/>
      </c>
      <c r="AF340" s="195" t="str">
        <f t="shared" si="59"/>
        <v/>
      </c>
      <c r="AG340" s="255" t="str">
        <f>IF(ISNUMBER(SEARCH("C", 'Dry_Litterbag Placem_Collection'!AD47)),"YES","NO")</f>
        <v>NO</v>
      </c>
      <c r="AH340" s="255" t="str">
        <f>IF(ISNUMBER(SEARCH("H", 'Dry_Litterbag Placem_Collection'!AD47)),"YES","NO")</f>
        <v>NO</v>
      </c>
      <c r="AI340" s="255" t="str">
        <f>IF(ISNUMBER(SEARCH("R", 'Dry_Litterbag Placem_Collection'!AD47)),"YES","NO")</f>
        <v>NO</v>
      </c>
      <c r="AJ340" s="255" t="str">
        <f>IF(ISNUMBER(SEARCH("C", 'Dry_Litterbag Placem_Collection'!AC47)),"YES","NO")</f>
        <v>NO</v>
      </c>
      <c r="AK340" s="255" t="str">
        <f>IF(ISNUMBER(SEARCH("H", 'Dry_Litterbag Placem_Collection'!AC47)),"YES","NO")</f>
        <v>NO</v>
      </c>
      <c r="AL340" s="255" t="str">
        <f>IF(ISNUMBER(SEARCH("R", 'Dry_Litterbag Placem_Collection'!AC47)),"YES","NO")</f>
        <v>NO</v>
      </c>
      <c r="AR340" t="s">
        <v>1696</v>
      </c>
      <c r="AT340" t="s">
        <v>508</v>
      </c>
    </row>
    <row r="341" spans="2:46">
      <c r="B341" t="str">
        <f>'Final data_for_R_analysis_Dryse'!A487</f>
        <v>Dry</v>
      </c>
      <c r="C341" s="263">
        <f>'Final data_for_R_analysis_Dryse'!B487</f>
        <v>46</v>
      </c>
      <c r="D341" t="s">
        <v>3833</v>
      </c>
      <c r="E341" t="s">
        <v>25</v>
      </c>
      <c r="F341" s="387">
        <v>6</v>
      </c>
      <c r="G341" s="16">
        <f>'Dry_Litterbag Placem_Collection'!E48</f>
        <v>0</v>
      </c>
      <c r="H341" s="92" t="str">
        <f>'Final data_for_R_analysis_Dryse'!J487</f>
        <v/>
      </c>
      <c r="I341" t="str">
        <f>'Final data_for_R_analysis_Dryse'!J707</f>
        <v/>
      </c>
      <c r="J341" t="str">
        <f>IFERROR(INDEX('Green_rooibos initial weight'!$C$5:$C$1749,MATCH(H341, 'Green_rooibos initial weight'!$A$5:$A$1749,0)),"")</f>
        <v/>
      </c>
      <c r="K341" t="str">
        <f>IFERROR(INDEX('Green_rooibos initial weight'!$C$5:$C$1749,MATCH(I341, 'Green_rooibos initial weight'!$A$5:$A$1749,0)),"")</f>
        <v/>
      </c>
      <c r="L341" s="195" t="str">
        <f t="shared" si="53"/>
        <v/>
      </c>
      <c r="M341" s="240">
        <f>AVERAGE(Ashed_controlls!$K$1:$K$11)</f>
        <v>5.5147656768714146</v>
      </c>
      <c r="N341" s="195" t="str">
        <f t="shared" si="48"/>
        <v/>
      </c>
      <c r="O341" s="195" t="str">
        <f t="shared" si="54"/>
        <v/>
      </c>
      <c r="P341" s="240">
        <f>AVERAGE(Ashed_controlls!$K$12:$K$14)</f>
        <v>2.2816647271287041</v>
      </c>
      <c r="Q341" s="195" t="str">
        <f t="shared" si="49"/>
        <v/>
      </c>
      <c r="R341" s="16">
        <f>IF('Dry_Litterbag Placem_Collection'!G48="N.A","",'Dry_Litterbag Placem_Collection'!G48)</f>
        <v>0</v>
      </c>
      <c r="S341" s="195" t="str">
        <f>IF(IFERROR(INDEX('Both teabags AfterDry'!$D$1:$D$839,MATCH(H341,'Both teabags AfterDry'!$A$1:$A$839,0)),"")="N.A","",(IFERROR(INDEX('Both teabags AfterDry'!$D$1:$D$839,MATCH(H341,'Both teabags AfterDry'!$A$1:$A$839,0)),"")))</f>
        <v/>
      </c>
      <c r="T341" s="195" t="str">
        <f>IF(IFERROR(INDEX('Both teabags AfterDry'!$D$1:$D$839,MATCH(I341,'Both teabags AfterDry'!$A$1:$A$839,0)),"")="N.A","",(IFERROR(INDEX('Both teabags AfterDry'!$D$1:$D$839,MATCH(I341,'Both teabags AfterDry'!$A$1:$A$839,0)),"")))</f>
        <v/>
      </c>
      <c r="U341" s="195" t="str">
        <f t="shared" si="55"/>
        <v/>
      </c>
      <c r="V341" s="195" t="str">
        <f t="shared" si="55"/>
        <v/>
      </c>
      <c r="W341" s="195" t="str">
        <f>IFERROR(INDEX('Ashed teabags dry'!$K$2:$K$821,MATCH(H341,'Ashed teabags dry'!$A$2:$A$821,0)),"")</f>
        <v/>
      </c>
      <c r="X341" s="195" t="str">
        <f>IFERROR(INDEX('Ashed teabags dry'!$K$2:$K$821,MATCH(I341,'Ashed teabags dry'!$A$2:$A$821,0)),"")</f>
        <v/>
      </c>
      <c r="Y341" s="195" t="str">
        <f t="shared" si="50"/>
        <v/>
      </c>
      <c r="Z341" s="195" t="str">
        <f t="shared" si="50"/>
        <v/>
      </c>
      <c r="AA341" s="195" t="str">
        <f t="shared" si="56"/>
        <v/>
      </c>
      <c r="AB341" s="195" t="str">
        <f t="shared" si="57"/>
        <v/>
      </c>
      <c r="AC341" s="195" t="str">
        <f t="shared" si="51"/>
        <v/>
      </c>
      <c r="AD341" t="str">
        <f t="shared" si="52"/>
        <v/>
      </c>
      <c r="AE341" s="195" t="str">
        <f t="shared" si="58"/>
        <v/>
      </c>
      <c r="AF341" s="195" t="str">
        <f t="shared" si="59"/>
        <v/>
      </c>
      <c r="AG341" s="255" t="str">
        <f>IF(ISNUMBER(SEARCH("C", 'Dry_Litterbag Placem_Collection'!AD48)),"YES","NO")</f>
        <v>NO</v>
      </c>
      <c r="AH341" s="255" t="str">
        <f>IF(ISNUMBER(SEARCH("H", 'Dry_Litterbag Placem_Collection'!AD48)),"YES","NO")</f>
        <v>NO</v>
      </c>
      <c r="AI341" s="255" t="str">
        <f>IF(ISNUMBER(SEARCH("R", 'Dry_Litterbag Placem_Collection'!AD48)),"YES","NO")</f>
        <v>NO</v>
      </c>
      <c r="AJ341" s="255" t="str">
        <f>IF(ISNUMBER(SEARCH("C", 'Dry_Litterbag Placem_Collection'!AC48)),"YES","NO")</f>
        <v>NO</v>
      </c>
      <c r="AK341" s="255" t="str">
        <f>IF(ISNUMBER(SEARCH("H", 'Dry_Litterbag Placem_Collection'!AC48)),"YES","NO")</f>
        <v>NO</v>
      </c>
      <c r="AL341" s="255" t="str">
        <f>IF(ISNUMBER(SEARCH("R", 'Dry_Litterbag Placem_Collection'!AC48)),"YES","NO")</f>
        <v>NO</v>
      </c>
      <c r="AR341" t="s">
        <v>3654</v>
      </c>
      <c r="AT341" t="s">
        <v>3654</v>
      </c>
    </row>
    <row r="342" spans="2:46">
      <c r="B342" t="str">
        <f>'Final data_for_R_analysis_Dryse'!A488</f>
        <v>Dry</v>
      </c>
      <c r="C342" s="263">
        <f>'Final data_for_R_analysis_Dryse'!B488</f>
        <v>47</v>
      </c>
      <c r="D342" t="s">
        <v>3833</v>
      </c>
      <c r="E342" t="s">
        <v>25</v>
      </c>
      <c r="F342" s="387">
        <v>7</v>
      </c>
      <c r="G342" s="16">
        <f>'Dry_Litterbag Placem_Collection'!E49</f>
        <v>42938</v>
      </c>
      <c r="H342" s="92" t="str">
        <f>'Final data_for_R_analysis_Dryse'!J488</f>
        <v>G659</v>
      </c>
      <c r="I342" t="str">
        <f>'Final data_for_R_analysis_Dryse'!J708</f>
        <v>R606</v>
      </c>
      <c r="J342">
        <f>IFERROR(INDEX('Green_rooibos initial weight'!$C$5:$C$1749,MATCH(H342, 'Green_rooibos initial weight'!$A$5:$A$1749,0)),"")</f>
        <v>2.0529999999999999</v>
      </c>
      <c r="K342">
        <f>IFERROR(INDEX('Green_rooibos initial weight'!$C$5:$C$1749,MATCH(I342, 'Green_rooibos initial weight'!$A$5:$A$1749,0)),"")</f>
        <v>2.15</v>
      </c>
      <c r="L342" s="195">
        <f t="shared" si="53"/>
        <v>1.8031999999999999</v>
      </c>
      <c r="M342" s="240">
        <f>AVERAGE(Ashed_controlls!$K$1:$K$11)</f>
        <v>5.5147656768714146</v>
      </c>
      <c r="N342" s="195">
        <f t="shared" si="48"/>
        <v>1.7037577453146546</v>
      </c>
      <c r="O342" s="195">
        <f t="shared" si="54"/>
        <v>1.9001999999999999</v>
      </c>
      <c r="P342" s="240">
        <f>AVERAGE(Ashed_controlls!$K$12:$K$14)</f>
        <v>2.2816647271287041</v>
      </c>
      <c r="Q342" s="195">
        <f t="shared" si="49"/>
        <v>1.8568438068551003</v>
      </c>
      <c r="R342" s="16">
        <f>IF('Dry_Litterbag Placem_Collection'!G49="N.A","",'Dry_Litterbag Placem_Collection'!G49)</f>
        <v>43005</v>
      </c>
      <c r="S342" s="195">
        <f>IF(IFERROR(INDEX('Both teabags AfterDry'!$D$1:$D$839,MATCH(H342,'Both teabags AfterDry'!$A$1:$A$839,0)),"")="N.A","",(IFERROR(INDEX('Both teabags AfterDry'!$D$1:$D$839,MATCH(H342,'Both teabags AfterDry'!$A$1:$A$839,0)),"")))</f>
        <v>1.8913</v>
      </c>
      <c r="T342" s="195">
        <f>IF(IFERROR(INDEX('Both teabags AfterDry'!$D$1:$D$839,MATCH(I342,'Both teabags AfterDry'!$A$1:$A$839,0)),"")="N.A","",(IFERROR(INDEX('Both teabags AfterDry'!$D$1:$D$839,MATCH(I342,'Both teabags AfterDry'!$A$1:$A$839,0)),"")))</f>
        <v>1.9615</v>
      </c>
      <c r="U342" s="195">
        <f t="shared" si="55"/>
        <v>1.7406999999999999</v>
      </c>
      <c r="V342" s="195">
        <f t="shared" si="55"/>
        <v>1.8109</v>
      </c>
      <c r="W342" s="195">
        <f>IFERROR(INDEX('Ashed teabags dry'!$K$2:$K$821,MATCH(H342,'Ashed teabags dry'!$A$2:$A$821,0)),"")</f>
        <v>5.8849557522116545</v>
      </c>
      <c r="X342" s="195">
        <f>IFERROR(INDEX('Ashed teabags dry'!$K$2:$K$821,MATCH(I342,'Ashed teabags dry'!$A$2:$A$821,0)),"")</f>
        <v>1.9589106545621751</v>
      </c>
      <c r="Y342" s="195">
        <f t="shared" si="50"/>
        <v>1.6382605752212516</v>
      </c>
      <c r="Z342" s="195">
        <f t="shared" si="50"/>
        <v>1.7754260869565335</v>
      </c>
      <c r="AA342" s="195">
        <f t="shared" si="56"/>
        <v>3.8442771734139236E-2</v>
      </c>
      <c r="AB342" s="195">
        <f t="shared" si="57"/>
        <v>2.5202387170124567E-2</v>
      </c>
      <c r="AC342" s="195">
        <f t="shared" si="51"/>
        <v>0.95615262867130302</v>
      </c>
      <c r="AD342">
        <f t="shared" si="52"/>
        <v>67</v>
      </c>
      <c r="AE342" s="195">
        <f t="shared" si="58"/>
        <v>0.95434350150339753</v>
      </c>
      <c r="AF342" s="195" t="str">
        <f t="shared" si="59"/>
        <v/>
      </c>
      <c r="AG342" s="255" t="str">
        <f>IF(ISNUMBER(SEARCH("C", 'Dry_Litterbag Placem_Collection'!AD49)),"YES","NO")</f>
        <v>NO</v>
      </c>
      <c r="AH342" s="255" t="str">
        <f>IF(ISNUMBER(SEARCH("H", 'Dry_Litterbag Placem_Collection'!AD49)),"YES","NO")</f>
        <v>NO</v>
      </c>
      <c r="AI342" s="255" t="str">
        <f>IF(ISNUMBER(SEARCH("R", 'Dry_Litterbag Placem_Collection'!AD49)),"YES","NO")</f>
        <v>NO</v>
      </c>
      <c r="AJ342" s="255" t="str">
        <f>IF(ISNUMBER(SEARCH("C", 'Dry_Litterbag Placem_Collection'!AC49)),"YES","NO")</f>
        <v>NO</v>
      </c>
      <c r="AK342" s="255" t="str">
        <f>IF(ISNUMBER(SEARCH("H", 'Dry_Litterbag Placem_Collection'!AC49)),"YES","NO")</f>
        <v>NO</v>
      </c>
      <c r="AL342" s="255" t="str">
        <f>IF(ISNUMBER(SEARCH("R", 'Dry_Litterbag Placem_Collection'!AC49)),"YES","NO")</f>
        <v>NO</v>
      </c>
      <c r="AR342" t="s">
        <v>1391</v>
      </c>
      <c r="AT342" t="s">
        <v>533</v>
      </c>
    </row>
    <row r="343" spans="2:46">
      <c r="B343" t="str">
        <f>'Final data_for_R_analysis_Dryse'!A489</f>
        <v>Dry</v>
      </c>
      <c r="C343" s="263">
        <f>'Final data_for_R_analysis_Dryse'!B489</f>
        <v>48</v>
      </c>
      <c r="D343" t="s">
        <v>3833</v>
      </c>
      <c r="E343" t="s">
        <v>25</v>
      </c>
      <c r="F343" s="387">
        <v>8</v>
      </c>
      <c r="G343" s="16">
        <f>'Dry_Litterbag Placem_Collection'!E50</f>
        <v>42938</v>
      </c>
      <c r="H343" s="92" t="str">
        <f>'Final data_for_R_analysis_Dryse'!J489</f>
        <v>G267</v>
      </c>
      <c r="I343" t="str">
        <f>'Final data_for_R_analysis_Dryse'!J709</f>
        <v>R221</v>
      </c>
      <c r="J343">
        <f>IFERROR(INDEX('Green_rooibos initial weight'!$C$5:$C$1749,MATCH(H343, 'Green_rooibos initial weight'!$A$5:$A$1749,0)),"")</f>
        <v>2.069</v>
      </c>
      <c r="K343">
        <f>IFERROR(INDEX('Green_rooibos initial weight'!$C$5:$C$1749,MATCH(I343, 'Green_rooibos initial weight'!$A$5:$A$1749,0)),"")</f>
        <v>2.2210000000000001</v>
      </c>
      <c r="L343" s="195">
        <f t="shared" si="53"/>
        <v>1.8191999999999999</v>
      </c>
      <c r="M343" s="240">
        <f>AVERAGE(Ashed_controlls!$K$1:$K$11)</f>
        <v>5.5147656768714146</v>
      </c>
      <c r="N343" s="195">
        <f t="shared" si="48"/>
        <v>1.7188753828063552</v>
      </c>
      <c r="O343" s="195">
        <f t="shared" si="54"/>
        <v>1.9712000000000001</v>
      </c>
      <c r="P343" s="240">
        <f>AVERAGE(Ashed_controlls!$K$12:$K$14)</f>
        <v>2.2816647271287041</v>
      </c>
      <c r="Q343" s="195">
        <f t="shared" si="49"/>
        <v>1.926223824898839</v>
      </c>
      <c r="R343" s="16">
        <f>IF('Dry_Litterbag Placem_Collection'!G50="N.A","",'Dry_Litterbag Placem_Collection'!G50)</f>
        <v>43005</v>
      </c>
      <c r="S343" s="195">
        <f>IF(IFERROR(INDEX('Both teabags AfterDry'!$D$1:$D$839,MATCH(H343,'Both teabags AfterDry'!$A$1:$A$839,0)),"")="N.A","",(IFERROR(INDEX('Both teabags AfterDry'!$D$1:$D$839,MATCH(H343,'Both teabags AfterDry'!$A$1:$A$839,0)),"")))</f>
        <v>1.8248</v>
      </c>
      <c r="T343" s="195">
        <f>IF(IFERROR(INDEX('Both teabags AfterDry'!$D$1:$D$839,MATCH(I343,'Both teabags AfterDry'!$A$1:$A$839,0)),"")="N.A","",(IFERROR(INDEX('Both teabags AfterDry'!$D$1:$D$839,MATCH(I343,'Both teabags AfterDry'!$A$1:$A$839,0)),"")))</f>
        <v>1.8791</v>
      </c>
      <c r="U343" s="195">
        <f t="shared" si="55"/>
        <v>1.6741999999999999</v>
      </c>
      <c r="V343" s="195">
        <f t="shared" si="55"/>
        <v>1.7284999999999999</v>
      </c>
      <c r="W343" s="195">
        <f>IFERROR(INDEX('Ashed teabags dry'!$K$2:$K$821,MATCH(H343,'Ashed teabags dry'!$A$2:$A$821,0)),"")</f>
        <v>5.78791719476098</v>
      </c>
      <c r="X343" s="195">
        <f>IFERROR(INDEX('Ashed teabags dry'!$K$2:$K$821,MATCH(I343,'Ashed teabags dry'!$A$2:$A$821,0)),"")</f>
        <v>2.6198934280645174</v>
      </c>
      <c r="Y343" s="195">
        <f t="shared" si="50"/>
        <v>1.5772986903253117</v>
      </c>
      <c r="Z343" s="195">
        <f t="shared" si="50"/>
        <v>1.6832151420959047</v>
      </c>
      <c r="AA343" s="195">
        <f t="shared" si="56"/>
        <v>8.2365885216120538E-2</v>
      </c>
      <c r="AB343" s="195">
        <f t="shared" si="57"/>
        <v>5.3997587457599201E-2</v>
      </c>
      <c r="AC343" s="195">
        <f t="shared" si="51"/>
        <v>0.87384192861611154</v>
      </c>
      <c r="AD343">
        <f t="shared" si="52"/>
        <v>67</v>
      </c>
      <c r="AE343" s="195">
        <f t="shared" si="58"/>
        <v>0.90217828359130581</v>
      </c>
      <c r="AF343" s="195" t="str">
        <f t="shared" si="59"/>
        <v/>
      </c>
      <c r="AG343" s="255" t="str">
        <f>IF(ISNUMBER(SEARCH("C", 'Dry_Litterbag Placem_Collection'!AD50)),"YES","NO")</f>
        <v>NO</v>
      </c>
      <c r="AH343" s="255" t="str">
        <f>IF(ISNUMBER(SEARCH("H", 'Dry_Litterbag Placem_Collection'!AD50)),"YES","NO")</f>
        <v>NO</v>
      </c>
      <c r="AI343" s="255" t="str">
        <f>IF(ISNUMBER(SEARCH("R", 'Dry_Litterbag Placem_Collection'!AD50)),"YES","NO")</f>
        <v>NO</v>
      </c>
      <c r="AJ343" s="255" t="str">
        <f>IF(ISNUMBER(SEARCH("C", 'Dry_Litterbag Placem_Collection'!AC50)),"YES","NO")</f>
        <v>NO</v>
      </c>
      <c r="AK343" s="255" t="str">
        <f>IF(ISNUMBER(SEARCH("H", 'Dry_Litterbag Placem_Collection'!AC50)),"YES","NO")</f>
        <v>NO</v>
      </c>
      <c r="AL343" s="255" t="str">
        <f>IF(ISNUMBER(SEARCH("R", 'Dry_Litterbag Placem_Collection'!AC50)),"YES","NO")</f>
        <v>NO</v>
      </c>
      <c r="AR343" t="s">
        <v>1783</v>
      </c>
      <c r="AT343" t="s">
        <v>920</v>
      </c>
    </row>
    <row r="344" spans="2:46">
      <c r="B344" t="str">
        <f>'Final data_for_R_analysis_Dryse'!A490</f>
        <v>Dry</v>
      </c>
      <c r="C344" s="263">
        <f>'Final data_for_R_analysis_Dryse'!B490</f>
        <v>49</v>
      </c>
      <c r="D344" t="s">
        <v>3834</v>
      </c>
      <c r="E344" t="s">
        <v>25</v>
      </c>
      <c r="F344" s="386">
        <v>1</v>
      </c>
      <c r="G344" s="16">
        <f>'Dry_Litterbag Placem_Collection'!E51</f>
        <v>42938</v>
      </c>
      <c r="H344" s="92" t="str">
        <f>'Final data_for_R_analysis_Dryse'!J490</f>
        <v>G812</v>
      </c>
      <c r="I344" t="str">
        <f>'Final data_for_R_analysis_Dryse'!J710</f>
        <v>R308</v>
      </c>
      <c r="J344">
        <f>IFERROR(INDEX('Green_rooibos initial weight'!$C$5:$C$1749,MATCH(H344, 'Green_rooibos initial weight'!$A$5:$A$1749,0)),"")</f>
        <v>2.0169999999999999</v>
      </c>
      <c r="K344">
        <f>IFERROR(INDEX('Green_rooibos initial weight'!$C$5:$C$1749,MATCH(I344, 'Green_rooibos initial weight'!$A$5:$A$1749,0)),"")</f>
        <v>2.173</v>
      </c>
      <c r="L344" s="195">
        <f t="shared" si="53"/>
        <v>1.7671999999999999</v>
      </c>
      <c r="M344" s="240">
        <f>AVERAGE(Ashed_controlls!$K$1:$K$11)</f>
        <v>5.5147656768714146</v>
      </c>
      <c r="N344" s="195">
        <f t="shared" si="48"/>
        <v>1.6697430609583281</v>
      </c>
      <c r="O344" s="195">
        <f t="shared" si="54"/>
        <v>1.9232</v>
      </c>
      <c r="P344" s="240">
        <f>AVERAGE(Ashed_controlls!$K$12:$K$14)</f>
        <v>2.2816647271287041</v>
      </c>
      <c r="Q344" s="195">
        <f t="shared" si="49"/>
        <v>1.8793190239678608</v>
      </c>
      <c r="R344" s="16">
        <f>IF('Dry_Litterbag Placem_Collection'!G51="N.A","",'Dry_Litterbag Placem_Collection'!G51)</f>
        <v>43005</v>
      </c>
      <c r="S344" s="195" t="str">
        <f>IF(IFERROR(INDEX('Both teabags AfterDry'!$D$1:$D$839,MATCH(H344,'Both teabags AfterDry'!$A$1:$A$839,0)),"")="N.A","",(IFERROR(INDEX('Both teabags AfterDry'!$D$1:$D$839,MATCH(H344,'Both teabags AfterDry'!$A$1:$A$839,0)),"")))</f>
        <v/>
      </c>
      <c r="T344" s="195" t="str">
        <f>IF(IFERROR(INDEX('Both teabags AfterDry'!$D$1:$D$839,MATCH(I344,'Both teabags AfterDry'!$A$1:$A$839,0)),"")="N.A","",(IFERROR(INDEX('Both teabags AfterDry'!$D$1:$D$839,MATCH(I344,'Both teabags AfterDry'!$A$1:$A$839,0)),"")))</f>
        <v/>
      </c>
      <c r="U344" s="195" t="str">
        <f t="shared" si="55"/>
        <v/>
      </c>
      <c r="V344" s="195" t="str">
        <f t="shared" si="55"/>
        <v/>
      </c>
      <c r="W344" s="195" t="str">
        <f>IFERROR(INDEX('Ashed teabags dry'!$K$2:$K$821,MATCH(H344,'Ashed teabags dry'!$A$2:$A$821,0)),"")</f>
        <v/>
      </c>
      <c r="X344" s="195" t="str">
        <f>IFERROR(INDEX('Ashed teabags dry'!$K$2:$K$821,MATCH(I344,'Ashed teabags dry'!$A$2:$A$821,0)),"")</f>
        <v/>
      </c>
      <c r="Y344" s="195" t="str">
        <f t="shared" si="50"/>
        <v/>
      </c>
      <c r="Z344" s="195" t="str">
        <f t="shared" si="50"/>
        <v/>
      </c>
      <c r="AA344" s="195" t="str">
        <f t="shared" si="56"/>
        <v/>
      </c>
      <c r="AB344" s="195" t="str">
        <f t="shared" si="57"/>
        <v/>
      </c>
      <c r="AC344" s="195" t="str">
        <f t="shared" si="51"/>
        <v/>
      </c>
      <c r="AD344">
        <f t="shared" si="52"/>
        <v>67</v>
      </c>
      <c r="AE344" s="195" t="str">
        <f t="shared" si="58"/>
        <v/>
      </c>
      <c r="AF344" s="195" t="str">
        <f t="shared" si="59"/>
        <v/>
      </c>
      <c r="AG344" s="255" t="str">
        <f>IF(ISNUMBER(SEARCH("C", 'Dry_Litterbag Placem_Collection'!AD51)),"YES","NO")</f>
        <v>NO</v>
      </c>
      <c r="AH344" s="255" t="str">
        <f>IF(ISNUMBER(SEARCH("H", 'Dry_Litterbag Placem_Collection'!AD51)),"YES","NO")</f>
        <v>NO</v>
      </c>
      <c r="AI344" s="255" t="str">
        <f>IF(ISNUMBER(SEARCH("R", 'Dry_Litterbag Placem_Collection'!AD51)),"YES","NO")</f>
        <v>NO</v>
      </c>
      <c r="AJ344" s="255" t="str">
        <f>IF(ISNUMBER(SEARCH("C", 'Dry_Litterbag Placem_Collection'!AC51)),"YES","NO")</f>
        <v>NO</v>
      </c>
      <c r="AK344" s="255" t="str">
        <f>IF(ISNUMBER(SEARCH("H", 'Dry_Litterbag Placem_Collection'!AC51)),"YES","NO")</f>
        <v>NO</v>
      </c>
      <c r="AL344" s="255" t="str">
        <f>IF(ISNUMBER(SEARCH("R", 'Dry_Litterbag Placem_Collection'!AC51)),"YES","NO")</f>
        <v>NO</v>
      </c>
      <c r="AR344" t="s">
        <v>1238</v>
      </c>
      <c r="AT344" t="s">
        <v>833</v>
      </c>
    </row>
    <row r="345" spans="2:46">
      <c r="B345" t="str">
        <f>'Final data_for_R_analysis_Dryse'!A491</f>
        <v>Dry</v>
      </c>
      <c r="C345" s="263">
        <f>'Final data_for_R_analysis_Dryse'!B491</f>
        <v>50</v>
      </c>
      <c r="D345" t="s">
        <v>3834</v>
      </c>
      <c r="E345" t="s">
        <v>25</v>
      </c>
      <c r="F345" s="386">
        <v>2</v>
      </c>
      <c r="G345" s="16">
        <f>'Dry_Litterbag Placem_Collection'!E52</f>
        <v>42938</v>
      </c>
      <c r="H345" s="92" t="str">
        <f>'Final data_for_R_analysis_Dryse'!J491</f>
        <v>G212</v>
      </c>
      <c r="I345" t="str">
        <f>'Final data_for_R_analysis_Dryse'!J711</f>
        <v>R644</v>
      </c>
      <c r="J345">
        <f>IFERROR(INDEX('Green_rooibos initial weight'!$C$5:$C$1749,MATCH(H345, 'Green_rooibos initial weight'!$A$5:$A$1749,0)),"")</f>
        <v>1.9570000000000001</v>
      </c>
      <c r="K345">
        <f>IFERROR(INDEX('Green_rooibos initial weight'!$C$5:$C$1749,MATCH(I345, 'Green_rooibos initial weight'!$A$5:$A$1749,0)),"")</f>
        <v>2.2240000000000002</v>
      </c>
      <c r="L345" s="195">
        <f t="shared" si="53"/>
        <v>1.7072000000000001</v>
      </c>
      <c r="M345" s="240">
        <f>AVERAGE(Ashed_controlls!$K$1:$K$11)</f>
        <v>5.5147656768714146</v>
      </c>
      <c r="N345" s="195">
        <f t="shared" si="48"/>
        <v>1.6130519203644513</v>
      </c>
      <c r="O345" s="195">
        <f t="shared" si="54"/>
        <v>1.9742000000000002</v>
      </c>
      <c r="P345" s="240">
        <f>AVERAGE(Ashed_controlls!$K$12:$K$14)</f>
        <v>2.2816647271287041</v>
      </c>
      <c r="Q345" s="195">
        <f t="shared" si="49"/>
        <v>1.9291553749570254</v>
      </c>
      <c r="R345" s="16">
        <f>IF('Dry_Litterbag Placem_Collection'!G52="N.A","",'Dry_Litterbag Placem_Collection'!G52)</f>
        <v>0</v>
      </c>
      <c r="S345" s="195" t="str">
        <f>IF(IFERROR(INDEX('Both teabags AfterDry'!$D$1:$D$839,MATCH(H345,'Both teabags AfterDry'!$A$1:$A$839,0)),"")="N.A","",(IFERROR(INDEX('Both teabags AfterDry'!$D$1:$D$839,MATCH(H345,'Both teabags AfterDry'!$A$1:$A$839,0)),"")))</f>
        <v/>
      </c>
      <c r="T345" s="195" t="str">
        <f>IF(IFERROR(INDEX('Both teabags AfterDry'!$D$1:$D$839,MATCH(I345,'Both teabags AfterDry'!$A$1:$A$839,0)),"")="N.A","",(IFERROR(INDEX('Both teabags AfterDry'!$D$1:$D$839,MATCH(I345,'Both teabags AfterDry'!$A$1:$A$839,0)),"")))</f>
        <v/>
      </c>
      <c r="U345" s="195" t="str">
        <f t="shared" si="55"/>
        <v/>
      </c>
      <c r="V345" s="195" t="str">
        <f t="shared" si="55"/>
        <v/>
      </c>
      <c r="W345" s="195" t="str">
        <f>IFERROR(INDEX('Ashed teabags dry'!$K$2:$K$821,MATCH(H345,'Ashed teabags dry'!$A$2:$A$821,0)),"")</f>
        <v/>
      </c>
      <c r="X345" s="195" t="str">
        <f>IFERROR(INDEX('Ashed teabags dry'!$K$2:$K$821,MATCH(I345,'Ashed teabags dry'!$A$2:$A$821,0)),"")</f>
        <v/>
      </c>
      <c r="Y345" s="195" t="str">
        <f t="shared" si="50"/>
        <v/>
      </c>
      <c r="Z345" s="195" t="str">
        <f t="shared" si="50"/>
        <v/>
      </c>
      <c r="AA345" s="195" t="str">
        <f t="shared" si="56"/>
        <v/>
      </c>
      <c r="AB345" s="195" t="str">
        <f t="shared" si="57"/>
        <v/>
      </c>
      <c r="AC345" s="195" t="str">
        <f t="shared" si="51"/>
        <v/>
      </c>
      <c r="AD345" t="str">
        <f t="shared" si="52"/>
        <v/>
      </c>
      <c r="AE345" s="195" t="str">
        <f t="shared" si="58"/>
        <v/>
      </c>
      <c r="AF345" s="195" t="str">
        <f t="shared" si="59"/>
        <v/>
      </c>
      <c r="AG345" s="255" t="str">
        <f>IF(ISNUMBER(SEARCH("C", 'Dry_Litterbag Placem_Collection'!AD52)),"YES","NO")</f>
        <v>NO</v>
      </c>
      <c r="AH345" s="255" t="str">
        <f>IF(ISNUMBER(SEARCH("H", 'Dry_Litterbag Placem_Collection'!AD52)),"YES","NO")</f>
        <v>NO</v>
      </c>
      <c r="AI345" s="255" t="str">
        <f>IF(ISNUMBER(SEARCH("R", 'Dry_Litterbag Placem_Collection'!AD52)),"YES","NO")</f>
        <v>NO</v>
      </c>
      <c r="AJ345" s="255" t="str">
        <f>IF(ISNUMBER(SEARCH("C", 'Dry_Litterbag Placem_Collection'!AC52)),"YES","NO")</f>
        <v>NO</v>
      </c>
      <c r="AK345" s="255" t="str">
        <f>IF(ISNUMBER(SEARCH("H", 'Dry_Litterbag Placem_Collection'!AC52)),"YES","NO")</f>
        <v>NO</v>
      </c>
      <c r="AL345" s="255" t="str">
        <f>IF(ISNUMBER(SEARCH("R", 'Dry_Litterbag Placem_Collection'!AC52)),"YES","NO")</f>
        <v>NO</v>
      </c>
      <c r="AR345" t="s">
        <v>1838</v>
      </c>
      <c r="AT345" t="s">
        <v>495</v>
      </c>
    </row>
    <row r="346" spans="2:46">
      <c r="B346" t="str">
        <f>'Final data_for_R_analysis_Dryse'!A492</f>
        <v>Dry</v>
      </c>
      <c r="C346" s="263">
        <f>'Final data_for_R_analysis_Dryse'!B492</f>
        <v>51</v>
      </c>
      <c r="D346" t="s">
        <v>3834</v>
      </c>
      <c r="E346" t="s">
        <v>25</v>
      </c>
      <c r="F346" s="386">
        <v>3</v>
      </c>
      <c r="G346" s="16">
        <f>'Dry_Litterbag Placem_Collection'!E53</f>
        <v>42938</v>
      </c>
      <c r="H346" s="92" t="str">
        <f>'Final data_for_R_analysis_Dryse'!J492</f>
        <v>G598</v>
      </c>
      <c r="I346" t="str">
        <f>'Final data_for_R_analysis_Dryse'!J712</f>
        <v>R242</v>
      </c>
      <c r="J346">
        <f>IFERROR(INDEX('Green_rooibos initial weight'!$C$5:$C$1749,MATCH(H346, 'Green_rooibos initial weight'!$A$5:$A$1749,0)),"")</f>
        <v>2.1680000000000001</v>
      </c>
      <c r="K346">
        <f>IFERROR(INDEX('Green_rooibos initial weight'!$C$5:$C$1749,MATCH(I346, 'Green_rooibos initial weight'!$A$5:$A$1749,0)),"")</f>
        <v>2.194</v>
      </c>
      <c r="L346" s="195">
        <f t="shared" si="53"/>
        <v>1.9182000000000001</v>
      </c>
      <c r="M346" s="240">
        <f>AVERAGE(Ashed_controlls!$K$1:$K$11)</f>
        <v>5.5147656768714146</v>
      </c>
      <c r="N346" s="195">
        <f t="shared" si="48"/>
        <v>1.8124157647862527</v>
      </c>
      <c r="O346" s="195">
        <f t="shared" si="54"/>
        <v>1.9441999999999999</v>
      </c>
      <c r="P346" s="240">
        <f>AVERAGE(Ashed_controlls!$K$12:$K$14)</f>
        <v>2.2816647271287041</v>
      </c>
      <c r="Q346" s="195">
        <f t="shared" si="49"/>
        <v>1.8998398743751637</v>
      </c>
      <c r="R346" s="16">
        <f>IF('Dry_Litterbag Placem_Collection'!G53="N.A","",'Dry_Litterbag Placem_Collection'!G53)</f>
        <v>43005</v>
      </c>
      <c r="S346" s="195">
        <f>IF(IFERROR(INDEX('Both teabags AfterDry'!$D$1:$D$839,MATCH(H346,'Both teabags AfterDry'!$A$1:$A$839,0)),"")="N.A","",(IFERROR(INDEX('Both teabags AfterDry'!$D$1:$D$839,MATCH(H346,'Both teabags AfterDry'!$A$1:$A$839,0)),"")))</f>
        <v>1.9169</v>
      </c>
      <c r="T346" s="195">
        <f>IF(IFERROR(INDEX('Both teabags AfterDry'!$D$1:$D$839,MATCH(I346,'Both teabags AfterDry'!$A$1:$A$839,0)),"")="N.A","",(IFERROR(INDEX('Both teabags AfterDry'!$D$1:$D$839,MATCH(I346,'Both teabags AfterDry'!$A$1:$A$839,0)),"")))</f>
        <v>1.9262999999999999</v>
      </c>
      <c r="U346" s="195">
        <f t="shared" si="55"/>
        <v>1.7663</v>
      </c>
      <c r="V346" s="195">
        <f t="shared" si="55"/>
        <v>1.7756999999999998</v>
      </c>
      <c r="W346" s="195">
        <f>IFERROR(INDEX('Ashed teabags dry'!$K$2:$K$821,MATCH(H346,'Ashed teabags dry'!$A$2:$A$821,0)),"")</f>
        <v>6.1355764473040955</v>
      </c>
      <c r="X346" s="195">
        <f>IFERROR(INDEX('Ashed teabags dry'!$K$2:$K$821,MATCH(I346,'Ashed teabags dry'!$A$2:$A$821,0)),"")</f>
        <v>3.7440758293834344</v>
      </c>
      <c r="Y346" s="195">
        <f t="shared" si="50"/>
        <v>1.6579273132112677</v>
      </c>
      <c r="Z346" s="195">
        <f t="shared" si="50"/>
        <v>1.7092164454976382</v>
      </c>
      <c r="AA346" s="195">
        <f t="shared" si="56"/>
        <v>8.5238969212566129E-2</v>
      </c>
      <c r="AB346" s="195">
        <f t="shared" si="57"/>
        <v>5.5881129460019628E-2</v>
      </c>
      <c r="AC346" s="195">
        <f t="shared" si="51"/>
        <v>0.89966342350814199</v>
      </c>
      <c r="AD346">
        <f t="shared" si="52"/>
        <v>67</v>
      </c>
      <c r="AE346" s="195">
        <f t="shared" si="58"/>
        <v>0.89876606981880502</v>
      </c>
      <c r="AF346" s="195" t="str">
        <f t="shared" si="59"/>
        <v/>
      </c>
      <c r="AG346" s="255" t="str">
        <f>IF(ISNUMBER(SEARCH("C", 'Dry_Litterbag Placem_Collection'!AD53)),"YES","NO")</f>
        <v>NO</v>
      </c>
      <c r="AH346" s="255" t="str">
        <f>IF(ISNUMBER(SEARCH("H", 'Dry_Litterbag Placem_Collection'!AD53)),"YES","NO")</f>
        <v>NO</v>
      </c>
      <c r="AI346" s="255" t="str">
        <f>IF(ISNUMBER(SEARCH("R", 'Dry_Litterbag Placem_Collection'!AD53)),"YES","NO")</f>
        <v>NO</v>
      </c>
      <c r="AJ346" s="255" t="str">
        <f>IF(ISNUMBER(SEARCH("C", 'Dry_Litterbag Placem_Collection'!AC53)),"YES","NO")</f>
        <v>NO</v>
      </c>
      <c r="AK346" s="255" t="str">
        <f>IF(ISNUMBER(SEARCH("H", 'Dry_Litterbag Placem_Collection'!AC53)),"YES","NO")</f>
        <v>NO</v>
      </c>
      <c r="AL346" s="255" t="str">
        <f>IF(ISNUMBER(SEARCH("R", 'Dry_Litterbag Placem_Collection'!AC53)),"YES","NO")</f>
        <v>NO</v>
      </c>
      <c r="AR346" t="s">
        <v>1452</v>
      </c>
      <c r="AT346" t="s">
        <v>899</v>
      </c>
    </row>
    <row r="347" spans="2:46">
      <c r="B347" t="str">
        <f>'Final data_for_R_analysis_Dryse'!A493</f>
        <v>Dry</v>
      </c>
      <c r="C347" s="263">
        <f>'Final data_for_R_analysis_Dryse'!B493</f>
        <v>52</v>
      </c>
      <c r="D347" t="s">
        <v>3834</v>
      </c>
      <c r="E347" t="s">
        <v>25</v>
      </c>
      <c r="F347" s="387">
        <v>4</v>
      </c>
      <c r="G347" s="16">
        <f>'Dry_Litterbag Placem_Collection'!E54</f>
        <v>42938</v>
      </c>
      <c r="H347" s="92" t="str">
        <f>'Final data_for_R_analysis_Dryse'!J493</f>
        <v>G848</v>
      </c>
      <c r="I347" t="str">
        <f>'Final data_for_R_analysis_Dryse'!J713</f>
        <v>R648</v>
      </c>
      <c r="J347">
        <f>IFERROR(INDEX('Green_rooibos initial weight'!$C$5:$C$1749,MATCH(H347, 'Green_rooibos initial weight'!$A$5:$A$1749,0)),"")</f>
        <v>2.0110000000000001</v>
      </c>
      <c r="K347">
        <f>IFERROR(INDEX('Green_rooibos initial weight'!$C$5:$C$1749,MATCH(I347, 'Green_rooibos initial weight'!$A$5:$A$1749,0)),"")</f>
        <v>2.1920000000000002</v>
      </c>
      <c r="L347" s="195">
        <f t="shared" si="53"/>
        <v>1.7612000000000001</v>
      </c>
      <c r="M347" s="240">
        <f>AVERAGE(Ashed_controlls!$K$1:$K$11)</f>
        <v>5.5147656768714146</v>
      </c>
      <c r="N347" s="195">
        <f t="shared" si="48"/>
        <v>1.6640739468989407</v>
      </c>
      <c r="O347" s="195">
        <f t="shared" si="54"/>
        <v>1.9422000000000001</v>
      </c>
      <c r="P347" s="240">
        <f>AVERAGE(Ashed_controlls!$K$12:$K$14)</f>
        <v>2.2816647271287041</v>
      </c>
      <c r="Q347" s="195">
        <f t="shared" si="49"/>
        <v>1.8978855076697065</v>
      </c>
      <c r="R347" s="16">
        <f>IF('Dry_Litterbag Placem_Collection'!G54="N.A","",'Dry_Litterbag Placem_Collection'!G54)</f>
        <v>43005</v>
      </c>
      <c r="S347" s="195">
        <f>IF(IFERROR(INDEX('Both teabags AfterDry'!$D$1:$D$839,MATCH(H347,'Both teabags AfterDry'!$A$1:$A$839,0)),"")="N.A","",(IFERROR(INDEX('Both teabags AfterDry'!$D$1:$D$839,MATCH(H347,'Both teabags AfterDry'!$A$1:$A$839,0)),"")))</f>
        <v>1.8361000000000001</v>
      </c>
      <c r="T347" s="195">
        <f>IF(IFERROR(INDEX('Both teabags AfterDry'!$D$1:$D$839,MATCH(I347,'Both teabags AfterDry'!$A$1:$A$839,0)),"")="N.A","",(IFERROR(INDEX('Both teabags AfterDry'!$D$1:$D$839,MATCH(I347,'Both teabags AfterDry'!$A$1:$A$839,0)),"")))</f>
        <v>1.9649000000000001</v>
      </c>
      <c r="U347" s="195">
        <f t="shared" si="55"/>
        <v>1.6855</v>
      </c>
      <c r="V347" s="195">
        <f t="shared" si="55"/>
        <v>1.8143</v>
      </c>
      <c r="W347" s="195">
        <f>IFERROR(INDEX('Ashed teabags dry'!$K$2:$K$821,MATCH(H347,'Ashed teabags dry'!$A$2:$A$821,0)),"")</f>
        <v>5.7409879839785489</v>
      </c>
      <c r="X347" s="195">
        <f>IFERROR(INDEX('Ashed teabags dry'!$K$2:$K$821,MATCH(I347,'Ashed teabags dry'!$A$2:$A$821,0)),"")</f>
        <v>3.1295137217131312</v>
      </c>
      <c r="Y347" s="195">
        <f t="shared" si="50"/>
        <v>1.5887356475300416</v>
      </c>
      <c r="Z347" s="195">
        <f t="shared" si="50"/>
        <v>1.7575212325469587</v>
      </c>
      <c r="AA347" s="195">
        <f t="shared" si="56"/>
        <v>4.5273408377851654E-2</v>
      </c>
      <c r="AB347" s="195">
        <f t="shared" si="57"/>
        <v>2.9680429245337456E-2</v>
      </c>
      <c r="AC347" s="195">
        <f t="shared" si="51"/>
        <v>0.92604175828546564</v>
      </c>
      <c r="AD347">
        <f t="shared" si="52"/>
        <v>67</v>
      </c>
      <c r="AE347" s="195">
        <f t="shared" si="58"/>
        <v>0.94623110643960606</v>
      </c>
      <c r="AF347" s="195" t="str">
        <f t="shared" si="59"/>
        <v/>
      </c>
      <c r="AG347" s="255" t="str">
        <f>IF(ISNUMBER(SEARCH("C", 'Dry_Litterbag Placem_Collection'!AD54)),"YES","NO")</f>
        <v>NO</v>
      </c>
      <c r="AH347" s="255" t="str">
        <f>IF(ISNUMBER(SEARCH("H", 'Dry_Litterbag Placem_Collection'!AD54)),"YES","NO")</f>
        <v>NO</v>
      </c>
      <c r="AI347" s="255" t="str">
        <f>IF(ISNUMBER(SEARCH("R", 'Dry_Litterbag Placem_Collection'!AD54)),"YES","NO")</f>
        <v>NO</v>
      </c>
      <c r="AJ347" s="255" t="str">
        <f>IF(ISNUMBER(SEARCH("C", 'Dry_Litterbag Placem_Collection'!AC54)),"YES","NO")</f>
        <v>NO</v>
      </c>
      <c r="AK347" s="255" t="str">
        <f>IF(ISNUMBER(SEARCH("H", 'Dry_Litterbag Placem_Collection'!AC54)),"YES","NO")</f>
        <v>NO</v>
      </c>
      <c r="AL347" s="255" t="str">
        <f>IF(ISNUMBER(SEARCH("R", 'Dry_Litterbag Placem_Collection'!AC54)),"YES","NO")</f>
        <v>NO</v>
      </c>
      <c r="AR347" t="s">
        <v>1202</v>
      </c>
      <c r="AT347" t="s">
        <v>491</v>
      </c>
    </row>
    <row r="348" spans="2:46">
      <c r="B348" t="str">
        <f>'Final data_for_R_analysis_Dryse'!A494</f>
        <v>Dry</v>
      </c>
      <c r="C348" s="263">
        <f>'Final data_for_R_analysis_Dryse'!B494</f>
        <v>53</v>
      </c>
      <c r="D348" t="s">
        <v>3834</v>
      </c>
      <c r="E348" t="s">
        <v>25</v>
      </c>
      <c r="F348" s="387">
        <v>5</v>
      </c>
      <c r="G348" s="16">
        <f>'Dry_Litterbag Placem_Collection'!E55</f>
        <v>42938</v>
      </c>
      <c r="H348" s="92" t="str">
        <f>'Final data_for_R_analysis_Dryse'!J494</f>
        <v>G759</v>
      </c>
      <c r="I348" t="str">
        <f>'Final data_for_R_analysis_Dryse'!J714</f>
        <v>R140</v>
      </c>
      <c r="J348">
        <f>IFERROR(INDEX('Green_rooibos initial weight'!$C$5:$C$1749,MATCH(H348, 'Green_rooibos initial weight'!$A$5:$A$1749,0)),"")</f>
        <v>2.0539999999999998</v>
      </c>
      <c r="K348">
        <f>IFERROR(INDEX('Green_rooibos initial weight'!$C$5:$C$1749,MATCH(I348, 'Green_rooibos initial weight'!$A$5:$A$1749,0)),"")</f>
        <v>2.1930000000000001</v>
      </c>
      <c r="L348" s="195">
        <f t="shared" si="53"/>
        <v>1.8041999999999998</v>
      </c>
      <c r="M348" s="240">
        <f>AVERAGE(Ashed_controlls!$K$1:$K$11)</f>
        <v>5.5147656768714146</v>
      </c>
      <c r="N348" s="195">
        <f t="shared" si="48"/>
        <v>1.7047025976578858</v>
      </c>
      <c r="O348" s="195">
        <f t="shared" si="54"/>
        <v>1.9432</v>
      </c>
      <c r="P348" s="240">
        <f>AVERAGE(Ashed_controlls!$K$12:$K$14)</f>
        <v>2.2816647271287041</v>
      </c>
      <c r="Q348" s="195">
        <f t="shared" si="49"/>
        <v>1.8988626910224351</v>
      </c>
      <c r="R348" s="16">
        <f>IF('Dry_Litterbag Placem_Collection'!G55="N.A","",'Dry_Litterbag Placem_Collection'!G55)</f>
        <v>43005</v>
      </c>
      <c r="S348" s="195">
        <f>IF(IFERROR(INDEX('Both teabags AfterDry'!$D$1:$D$839,MATCH(H348,'Both teabags AfterDry'!$A$1:$A$839,0)),"")="N.A","",(IFERROR(INDEX('Both teabags AfterDry'!$D$1:$D$839,MATCH(H348,'Both teabags AfterDry'!$A$1:$A$839,0)),"")))</f>
        <v>1.8980999999999999</v>
      </c>
      <c r="T348" s="195">
        <f>IF(IFERROR(INDEX('Both teabags AfterDry'!$D$1:$D$839,MATCH(I348,'Both teabags AfterDry'!$A$1:$A$839,0)),"")="N.A","",(IFERROR(INDEX('Both teabags AfterDry'!$D$1:$D$839,MATCH(I348,'Both teabags AfterDry'!$A$1:$A$839,0)),"")))</f>
        <v>1.9561999999999999</v>
      </c>
      <c r="U348" s="195">
        <f t="shared" si="55"/>
        <v>1.7474999999999998</v>
      </c>
      <c r="V348" s="195">
        <f t="shared" si="55"/>
        <v>1.8055999999999999</v>
      </c>
      <c r="W348" s="195">
        <f>IFERROR(INDEX('Ashed teabags dry'!$K$2:$K$821,MATCH(H348,'Ashed teabags dry'!$A$2:$A$821,0)),"")</f>
        <v>5.7571359458148255</v>
      </c>
      <c r="X348" s="195">
        <f>IFERROR(INDEX('Ashed teabags dry'!$K$2:$K$821,MATCH(I348,'Ashed teabags dry'!$A$2:$A$821,0)),"")</f>
        <v>3.1146767343080963</v>
      </c>
      <c r="Y348" s="195">
        <f t="shared" si="50"/>
        <v>1.6468940493468858</v>
      </c>
      <c r="Z348" s="195">
        <f t="shared" si="50"/>
        <v>1.749361396885333</v>
      </c>
      <c r="AA348" s="195">
        <f t="shared" si="56"/>
        <v>3.3911222045665879E-2</v>
      </c>
      <c r="AB348" s="195">
        <f t="shared" si="57"/>
        <v>2.2231584999058841E-2</v>
      </c>
      <c r="AC348" s="195">
        <f t="shared" si="51"/>
        <v>0.92126798064761395</v>
      </c>
      <c r="AD348">
        <f t="shared" si="52"/>
        <v>67</v>
      </c>
      <c r="AE348" s="195">
        <f t="shared" si="58"/>
        <v>0.95972538949445862</v>
      </c>
      <c r="AF348" s="195" t="str">
        <f t="shared" si="59"/>
        <v/>
      </c>
      <c r="AG348" s="255" t="str">
        <f>IF(ISNUMBER(SEARCH("C", 'Dry_Litterbag Placem_Collection'!AD55)),"YES","NO")</f>
        <v>NO</v>
      </c>
      <c r="AH348" s="255" t="str">
        <f>IF(ISNUMBER(SEARCH("H", 'Dry_Litterbag Placem_Collection'!AD55)),"YES","NO")</f>
        <v>NO</v>
      </c>
      <c r="AI348" s="255" t="str">
        <f>IF(ISNUMBER(SEARCH("R", 'Dry_Litterbag Placem_Collection'!AD55)),"YES","NO")</f>
        <v>NO</v>
      </c>
      <c r="AJ348" s="255" t="str">
        <f>IF(ISNUMBER(SEARCH("C", 'Dry_Litterbag Placem_Collection'!AC55)),"YES","NO")</f>
        <v>NO</v>
      </c>
      <c r="AK348" s="255" t="str">
        <f>IF(ISNUMBER(SEARCH("H", 'Dry_Litterbag Placem_Collection'!AC55)),"YES","NO")</f>
        <v>NO</v>
      </c>
      <c r="AL348" s="255" t="str">
        <f>IF(ISNUMBER(SEARCH("R", 'Dry_Litterbag Placem_Collection'!AC55)),"YES","NO")</f>
        <v>NO</v>
      </c>
      <c r="AR348" t="s">
        <v>1291</v>
      </c>
      <c r="AT348" t="s">
        <v>1001</v>
      </c>
    </row>
    <row r="349" spans="2:46">
      <c r="B349" t="str">
        <f>'Final data_for_R_analysis_Dryse'!A495</f>
        <v>Dry</v>
      </c>
      <c r="C349" s="263">
        <f>'Final data_for_R_analysis_Dryse'!B495</f>
        <v>54</v>
      </c>
      <c r="D349" t="s">
        <v>3834</v>
      </c>
      <c r="E349" t="s">
        <v>25</v>
      </c>
      <c r="F349" s="387">
        <v>6</v>
      </c>
      <c r="G349" s="16">
        <f>'Dry_Litterbag Placem_Collection'!E56</f>
        <v>0</v>
      </c>
      <c r="H349" s="92" t="str">
        <f>'Final data_for_R_analysis_Dryse'!J495</f>
        <v/>
      </c>
      <c r="I349" t="str">
        <f>'Final data_for_R_analysis_Dryse'!J715</f>
        <v/>
      </c>
      <c r="J349" t="str">
        <f>IFERROR(INDEX('Green_rooibos initial weight'!$C$5:$C$1749,MATCH(H349, 'Green_rooibos initial weight'!$A$5:$A$1749,0)),"")</f>
        <v/>
      </c>
      <c r="K349" t="str">
        <f>IFERROR(INDEX('Green_rooibos initial weight'!$C$5:$C$1749,MATCH(I349, 'Green_rooibos initial weight'!$A$5:$A$1749,0)),"")</f>
        <v/>
      </c>
      <c r="L349" s="195" t="str">
        <f t="shared" si="53"/>
        <v/>
      </c>
      <c r="M349" s="240">
        <f>AVERAGE(Ashed_controlls!$K$1:$K$11)</f>
        <v>5.5147656768714146</v>
      </c>
      <c r="N349" s="195" t="str">
        <f t="shared" si="48"/>
        <v/>
      </c>
      <c r="O349" s="195" t="str">
        <f t="shared" si="54"/>
        <v/>
      </c>
      <c r="P349" s="240">
        <f>AVERAGE(Ashed_controlls!$K$12:$K$14)</f>
        <v>2.2816647271287041</v>
      </c>
      <c r="Q349" s="195" t="str">
        <f t="shared" si="49"/>
        <v/>
      </c>
      <c r="R349" s="16">
        <f>IF('Dry_Litterbag Placem_Collection'!G56="N.A","",'Dry_Litterbag Placem_Collection'!G56)</f>
        <v>0</v>
      </c>
      <c r="S349" s="195" t="str">
        <f>IF(IFERROR(INDEX('Both teabags AfterDry'!$D$1:$D$839,MATCH(H349,'Both teabags AfterDry'!$A$1:$A$839,0)),"")="N.A","",(IFERROR(INDEX('Both teabags AfterDry'!$D$1:$D$839,MATCH(H349,'Both teabags AfterDry'!$A$1:$A$839,0)),"")))</f>
        <v/>
      </c>
      <c r="T349" s="195" t="str">
        <f>IF(IFERROR(INDEX('Both teabags AfterDry'!$D$1:$D$839,MATCH(I349,'Both teabags AfterDry'!$A$1:$A$839,0)),"")="N.A","",(IFERROR(INDEX('Both teabags AfterDry'!$D$1:$D$839,MATCH(I349,'Both teabags AfterDry'!$A$1:$A$839,0)),"")))</f>
        <v/>
      </c>
      <c r="U349" s="195" t="str">
        <f t="shared" si="55"/>
        <v/>
      </c>
      <c r="V349" s="195" t="str">
        <f t="shared" si="55"/>
        <v/>
      </c>
      <c r="W349" s="195" t="str">
        <f>IFERROR(INDEX('Ashed teabags dry'!$K$2:$K$821,MATCH(H349,'Ashed teabags dry'!$A$2:$A$821,0)),"")</f>
        <v/>
      </c>
      <c r="X349" s="195" t="str">
        <f>IFERROR(INDEX('Ashed teabags dry'!$K$2:$K$821,MATCH(I349,'Ashed teabags dry'!$A$2:$A$821,0)),"")</f>
        <v/>
      </c>
      <c r="Y349" s="195" t="str">
        <f t="shared" si="50"/>
        <v/>
      </c>
      <c r="Z349" s="195" t="str">
        <f t="shared" si="50"/>
        <v/>
      </c>
      <c r="AA349" s="195" t="str">
        <f t="shared" si="56"/>
        <v/>
      </c>
      <c r="AB349" s="195" t="str">
        <f t="shared" si="57"/>
        <v/>
      </c>
      <c r="AC349" s="195" t="str">
        <f t="shared" si="51"/>
        <v/>
      </c>
      <c r="AD349" t="str">
        <f t="shared" si="52"/>
        <v/>
      </c>
      <c r="AE349" s="195" t="str">
        <f t="shared" si="58"/>
        <v/>
      </c>
      <c r="AF349" s="195" t="str">
        <f t="shared" si="59"/>
        <v/>
      </c>
      <c r="AG349" s="255" t="str">
        <f>IF(ISNUMBER(SEARCH("C", 'Dry_Litterbag Placem_Collection'!AD56)),"YES","NO")</f>
        <v>NO</v>
      </c>
      <c r="AH349" s="255" t="str">
        <f>IF(ISNUMBER(SEARCH("H", 'Dry_Litterbag Placem_Collection'!AD56)),"YES","NO")</f>
        <v>NO</v>
      </c>
      <c r="AI349" s="255" t="str">
        <f>IF(ISNUMBER(SEARCH("R", 'Dry_Litterbag Placem_Collection'!AD56)),"YES","NO")</f>
        <v>NO</v>
      </c>
      <c r="AJ349" s="255" t="str">
        <f>IF(ISNUMBER(SEARCH("C", 'Dry_Litterbag Placem_Collection'!AC56)),"YES","NO")</f>
        <v>NO</v>
      </c>
      <c r="AK349" s="255" t="str">
        <f>IF(ISNUMBER(SEARCH("H", 'Dry_Litterbag Placem_Collection'!AC56)),"YES","NO")</f>
        <v>NO</v>
      </c>
      <c r="AL349" s="255" t="str">
        <f>IF(ISNUMBER(SEARCH("R", 'Dry_Litterbag Placem_Collection'!AC56)),"YES","NO")</f>
        <v>NO</v>
      </c>
      <c r="AR349" t="s">
        <v>3654</v>
      </c>
      <c r="AT349" t="s">
        <v>3654</v>
      </c>
    </row>
    <row r="350" spans="2:46">
      <c r="B350" t="str">
        <f>'Final data_for_R_analysis_Dryse'!A496</f>
        <v>Dry</v>
      </c>
      <c r="C350" s="263">
        <f>'Final data_for_R_analysis_Dryse'!B496</f>
        <v>55</v>
      </c>
      <c r="D350" t="s">
        <v>3834</v>
      </c>
      <c r="E350" t="s">
        <v>25</v>
      </c>
      <c r="F350" s="387">
        <v>7</v>
      </c>
      <c r="G350" s="16">
        <f>'Dry_Litterbag Placem_Collection'!E57</f>
        <v>42938</v>
      </c>
      <c r="H350" s="92" t="str">
        <f>'Final data_for_R_analysis_Dryse'!J496</f>
        <v>G260</v>
      </c>
      <c r="I350" t="str">
        <f>'Final data_for_R_analysis_Dryse'!J716</f>
        <v>R192</v>
      </c>
      <c r="J350">
        <f>IFERROR(INDEX('Green_rooibos initial weight'!$C$5:$C$1749,MATCH(H350, 'Green_rooibos initial weight'!$A$5:$A$1749,0)),"")</f>
        <v>2.1560000000000001</v>
      </c>
      <c r="K350">
        <f>IFERROR(INDEX('Green_rooibos initial weight'!$C$5:$C$1749,MATCH(I350, 'Green_rooibos initial weight'!$A$5:$A$1749,0)),"")</f>
        <v>2.1970000000000001</v>
      </c>
      <c r="L350" s="195">
        <f t="shared" si="53"/>
        <v>1.9062000000000001</v>
      </c>
      <c r="M350" s="240">
        <f>AVERAGE(Ashed_controlls!$K$1:$K$11)</f>
        <v>5.5147656768714146</v>
      </c>
      <c r="N350" s="195">
        <f t="shared" si="48"/>
        <v>1.8010775366674772</v>
      </c>
      <c r="O350" s="195">
        <f t="shared" si="54"/>
        <v>1.9472</v>
      </c>
      <c r="P350" s="240">
        <f>AVERAGE(Ashed_controlls!$K$12:$K$14)</f>
        <v>2.2816647271287041</v>
      </c>
      <c r="Q350" s="195">
        <f t="shared" si="49"/>
        <v>1.90277142443335</v>
      </c>
      <c r="R350" s="16">
        <f>IF('Dry_Litterbag Placem_Collection'!G57="N.A","",'Dry_Litterbag Placem_Collection'!G57)</f>
        <v>43005</v>
      </c>
      <c r="S350" s="195">
        <f>IF(IFERROR(INDEX('Both teabags AfterDry'!$D$1:$D$839,MATCH(H350,'Both teabags AfterDry'!$A$1:$A$839,0)),"")="N.A","",(IFERROR(INDEX('Both teabags AfterDry'!$D$1:$D$839,MATCH(H350,'Both teabags AfterDry'!$A$1:$A$839,0)),"")))</f>
        <v>1.9074</v>
      </c>
      <c r="T350" s="195">
        <f>IF(IFERROR(INDEX('Both teabags AfterDry'!$D$1:$D$839,MATCH(I350,'Both teabags AfterDry'!$A$1:$A$839,0)),"")="N.A","",(IFERROR(INDEX('Both teabags AfterDry'!$D$1:$D$839,MATCH(I350,'Both teabags AfterDry'!$A$1:$A$839,0)),"")))</f>
        <v>1.9886999999999999</v>
      </c>
      <c r="U350" s="195">
        <f t="shared" si="55"/>
        <v>1.7567999999999999</v>
      </c>
      <c r="V350" s="195">
        <f t="shared" si="55"/>
        <v>1.8380999999999998</v>
      </c>
      <c r="W350" s="195">
        <f>IFERROR(INDEX('Ashed teabags dry'!$K$2:$K$821,MATCH(H350,'Ashed teabags dry'!$A$2:$A$821,0)),"")</f>
        <v>8.8734232274901057</v>
      </c>
      <c r="X350" s="195">
        <f>IFERROR(INDEX('Ashed teabags dry'!$K$2:$K$821,MATCH(I350,'Ashed teabags dry'!$A$2:$A$821,0)),"")</f>
        <v>3.4583536288358885</v>
      </c>
      <c r="Y350" s="195">
        <f t="shared" si="50"/>
        <v>1.6009117007394538</v>
      </c>
      <c r="Z350" s="195">
        <f t="shared" si="50"/>
        <v>1.7745320019483675</v>
      </c>
      <c r="AA350" s="195">
        <f t="shared" si="56"/>
        <v>0.11113671224748545</v>
      </c>
      <c r="AB350" s="195">
        <f t="shared" si="57"/>
        <v>7.2859222281011826E-2</v>
      </c>
      <c r="AC350" s="195">
        <f t="shared" si="51"/>
        <v>0.93260387409739842</v>
      </c>
      <c r="AD350">
        <f t="shared" si="52"/>
        <v>67</v>
      </c>
      <c r="AE350" s="195">
        <f t="shared" si="58"/>
        <v>0.86800865528802207</v>
      </c>
      <c r="AF350" s="195">
        <f t="shared" si="59"/>
        <v>3.8664378896711461E-2</v>
      </c>
      <c r="AG350" s="255" t="str">
        <f>IF(ISNUMBER(SEARCH("C", 'Dry_Litterbag Placem_Collection'!AD57)),"YES","NO")</f>
        <v>NO</v>
      </c>
      <c r="AH350" s="255" t="str">
        <f>IF(ISNUMBER(SEARCH("H", 'Dry_Litterbag Placem_Collection'!AD57)),"YES","NO")</f>
        <v>NO</v>
      </c>
      <c r="AI350" s="255" t="str">
        <f>IF(ISNUMBER(SEARCH("R", 'Dry_Litterbag Placem_Collection'!AD57)),"YES","NO")</f>
        <v>NO</v>
      </c>
      <c r="AJ350" s="255" t="str">
        <f>IF(ISNUMBER(SEARCH("C", 'Dry_Litterbag Placem_Collection'!AC57)),"YES","NO")</f>
        <v>NO</v>
      </c>
      <c r="AK350" s="255" t="str">
        <f>IF(ISNUMBER(SEARCH("H", 'Dry_Litterbag Placem_Collection'!AC57)),"YES","NO")</f>
        <v>NO</v>
      </c>
      <c r="AL350" s="255" t="str">
        <f>IF(ISNUMBER(SEARCH("R", 'Dry_Litterbag Placem_Collection'!AC57)),"YES","NO")</f>
        <v>NO</v>
      </c>
      <c r="AR350" t="s">
        <v>1790</v>
      </c>
      <c r="AT350" t="s">
        <v>949</v>
      </c>
    </row>
    <row r="351" spans="2:46">
      <c r="B351" t="str">
        <f>'Final data_for_R_analysis_Dryse'!A497</f>
        <v>Dry</v>
      </c>
      <c r="C351" s="263">
        <f>'Final data_for_R_analysis_Dryse'!B497</f>
        <v>56</v>
      </c>
      <c r="D351" t="s">
        <v>3834</v>
      </c>
      <c r="E351" t="s">
        <v>25</v>
      </c>
      <c r="F351" s="387">
        <v>8</v>
      </c>
      <c r="G351" s="16">
        <f>'Dry_Litterbag Placem_Collection'!E58</f>
        <v>42938</v>
      </c>
      <c r="H351" s="92" t="str">
        <f>'Final data_for_R_analysis_Dryse'!J497</f>
        <v>G493</v>
      </c>
      <c r="I351" t="str">
        <f>'Final data_for_R_analysis_Dryse'!J717</f>
        <v>R227</v>
      </c>
      <c r="J351">
        <f>IFERROR(INDEX('Green_rooibos initial weight'!$C$5:$C$1749,MATCH(H351, 'Green_rooibos initial weight'!$A$5:$A$1749,0)),"")</f>
        <v>2.0510000000000002</v>
      </c>
      <c r="K351">
        <f>IFERROR(INDEX('Green_rooibos initial weight'!$C$5:$C$1749,MATCH(I351, 'Green_rooibos initial weight'!$A$5:$A$1749,0)),"")</f>
        <v>2.254</v>
      </c>
      <c r="L351" s="195">
        <f t="shared" si="53"/>
        <v>1.8012000000000001</v>
      </c>
      <c r="M351" s="240">
        <f>AVERAGE(Ashed_controlls!$K$1:$K$11)</f>
        <v>5.5147656768714146</v>
      </c>
      <c r="N351" s="195">
        <f t="shared" si="48"/>
        <v>1.7018680406281923</v>
      </c>
      <c r="O351" s="195">
        <f t="shared" si="54"/>
        <v>2.0042</v>
      </c>
      <c r="P351" s="240">
        <f>AVERAGE(Ashed_controlls!$K$12:$K$14)</f>
        <v>2.2816647271287041</v>
      </c>
      <c r="Q351" s="195">
        <f t="shared" si="49"/>
        <v>1.9584708755388864</v>
      </c>
      <c r="R351" s="16">
        <f>IF('Dry_Litterbag Placem_Collection'!G58="N.A","",'Dry_Litterbag Placem_Collection'!G58)</f>
        <v>43005</v>
      </c>
      <c r="S351" s="195" t="str">
        <f>IF(IFERROR(INDEX('Both teabags AfterDry'!$D$1:$D$839,MATCH(H351,'Both teabags AfterDry'!$A$1:$A$839,0)),"")="N.A","",(IFERROR(INDEX('Both teabags AfterDry'!$D$1:$D$839,MATCH(H351,'Both teabags AfterDry'!$A$1:$A$839,0)),"")))</f>
        <v/>
      </c>
      <c r="T351" s="195">
        <f>IF(IFERROR(INDEX('Both teabags AfterDry'!$D$1:$D$839,MATCH(I351,'Both teabags AfterDry'!$A$1:$A$839,0)),"")="N.A","",(IFERROR(INDEX('Both teabags AfterDry'!$D$1:$D$839,MATCH(I351,'Both teabags AfterDry'!$A$1:$A$839,0)),"")))</f>
        <v>2.0263</v>
      </c>
      <c r="U351" s="195" t="str">
        <f t="shared" si="55"/>
        <v/>
      </c>
      <c r="V351" s="195">
        <f t="shared" si="55"/>
        <v>1.8756999999999999</v>
      </c>
      <c r="W351" s="195">
        <f>IFERROR(INDEX('Ashed teabags dry'!$K$2:$K$821,MATCH(H351,'Ashed teabags dry'!$A$2:$A$821,0)),"")</f>
        <v>6.380316930776055</v>
      </c>
      <c r="X351" s="195">
        <f>IFERROR(INDEX('Ashed teabags dry'!$K$2:$K$821,MATCH(I351,'Ashed teabags dry'!$A$2:$A$821,0)),"")</f>
        <v>3.7500000000005613</v>
      </c>
      <c r="Y351" s="195" t="str">
        <f t="shared" si="50"/>
        <v/>
      </c>
      <c r="Z351" s="195">
        <f t="shared" si="50"/>
        <v>1.8053612499999894</v>
      </c>
      <c r="AA351" s="195" t="str">
        <f t="shared" si="56"/>
        <v/>
      </c>
      <c r="AB351" s="195" t="str">
        <f t="shared" si="57"/>
        <v/>
      </c>
      <c r="AC351" s="195">
        <f t="shared" si="51"/>
        <v>0.92182185221581714</v>
      </c>
      <c r="AD351">
        <f t="shared" si="52"/>
        <v>67</v>
      </c>
      <c r="AE351" s="195" t="str">
        <f t="shared" si="58"/>
        <v/>
      </c>
      <c r="AF351" s="195" t="str">
        <f t="shared" si="59"/>
        <v/>
      </c>
      <c r="AG351" s="255" t="str">
        <f>IF(ISNUMBER(SEARCH("C", 'Dry_Litterbag Placem_Collection'!AD58)),"YES","NO")</f>
        <v>NO</v>
      </c>
      <c r="AH351" s="255" t="str">
        <f>IF(ISNUMBER(SEARCH("H", 'Dry_Litterbag Placem_Collection'!AD58)),"YES","NO")</f>
        <v>NO</v>
      </c>
      <c r="AI351" s="255" t="str">
        <f>IF(ISNUMBER(SEARCH("R", 'Dry_Litterbag Placem_Collection'!AD58)),"YES","NO")</f>
        <v>NO</v>
      </c>
      <c r="AJ351" s="255" t="str">
        <f>IF(ISNUMBER(SEARCH("C", 'Dry_Litterbag Placem_Collection'!AC58)),"YES","NO")</f>
        <v>NO</v>
      </c>
      <c r="AK351" s="255" t="str">
        <f>IF(ISNUMBER(SEARCH("H", 'Dry_Litterbag Placem_Collection'!AC58)),"YES","NO")</f>
        <v>NO</v>
      </c>
      <c r="AL351" s="255" t="str">
        <f>IF(ISNUMBER(SEARCH("R", 'Dry_Litterbag Placem_Collection'!AC58)),"YES","NO")</f>
        <v>NO</v>
      </c>
      <c r="AR351" t="s">
        <v>1557</v>
      </c>
      <c r="AT351" t="s">
        <v>914</v>
      </c>
    </row>
    <row r="352" spans="2:46">
      <c r="B352" t="str">
        <f>'Final data_for_R_analysis_Dryse'!A498</f>
        <v>Dry</v>
      </c>
      <c r="C352" s="263">
        <f>'Final data_for_R_analysis_Dryse'!B498</f>
        <v>57</v>
      </c>
      <c r="D352" t="s">
        <v>3835</v>
      </c>
      <c r="E352" t="s">
        <v>25</v>
      </c>
      <c r="F352" s="386">
        <v>1</v>
      </c>
      <c r="G352" s="16">
        <f>'Dry_Litterbag Placem_Collection'!E59</f>
        <v>42938</v>
      </c>
      <c r="H352" s="92" t="str">
        <f>'Final data_for_R_analysis_Dryse'!J498</f>
        <v>G342</v>
      </c>
      <c r="I352" t="str">
        <f>'Final data_for_R_analysis_Dryse'!J718</f>
        <v>R416</v>
      </c>
      <c r="J352">
        <f>IFERROR(INDEX('Green_rooibos initial weight'!$C$5:$C$1749,MATCH(H352, 'Green_rooibos initial weight'!$A$5:$A$1749,0)),"")</f>
        <v>1.9039999999999999</v>
      </c>
      <c r="K352">
        <f>IFERROR(INDEX('Green_rooibos initial weight'!$C$5:$C$1749,MATCH(I352, 'Green_rooibos initial weight'!$A$5:$A$1749,0)),"")</f>
        <v>2.2469999999999999</v>
      </c>
      <c r="L352" s="195">
        <f t="shared" si="53"/>
        <v>1.6541999999999999</v>
      </c>
      <c r="M352" s="240">
        <f>AVERAGE(Ashed_controlls!$K$1:$K$11)</f>
        <v>5.5147656768714146</v>
      </c>
      <c r="N352" s="195">
        <f t="shared" si="48"/>
        <v>1.5629747461731929</v>
      </c>
      <c r="O352" s="195">
        <f t="shared" si="54"/>
        <v>1.9971999999999999</v>
      </c>
      <c r="P352" s="240">
        <f>AVERAGE(Ashed_controlls!$K$12:$K$14)</f>
        <v>2.2816647271287041</v>
      </c>
      <c r="Q352" s="195">
        <f t="shared" si="49"/>
        <v>1.9516305920697854</v>
      </c>
      <c r="R352" s="16">
        <f>IF('Dry_Litterbag Placem_Collection'!G59="N.A","",'Dry_Litterbag Placem_Collection'!G59)</f>
        <v>43005</v>
      </c>
      <c r="S352" s="195">
        <f>IF(IFERROR(INDEX('Both teabags AfterDry'!$D$1:$D$839,MATCH(H352,'Both teabags AfterDry'!$A$1:$A$839,0)),"")="N.A","",(IFERROR(INDEX('Both teabags AfterDry'!$D$1:$D$839,MATCH(H352,'Both teabags AfterDry'!$A$1:$A$839,0)),"")))</f>
        <v>1.7556</v>
      </c>
      <c r="T352" s="195">
        <f>IF(IFERROR(INDEX('Both teabags AfterDry'!$D$1:$D$839,MATCH(I352,'Both teabags AfterDry'!$A$1:$A$839,0)),"")="N.A","",(IFERROR(INDEX('Both teabags AfterDry'!$D$1:$D$839,MATCH(I352,'Both teabags AfterDry'!$A$1:$A$839,0)),"")))</f>
        <v>2.0192999999999999</v>
      </c>
      <c r="U352" s="195">
        <f t="shared" si="55"/>
        <v>1.605</v>
      </c>
      <c r="V352" s="195">
        <f t="shared" si="55"/>
        <v>1.8686999999999998</v>
      </c>
      <c r="W352" s="195">
        <f>IFERROR(INDEX('Ashed teabags dry'!$K$2:$K$821,MATCH(H352,'Ashed teabags dry'!$A$2:$A$821,0)),"")</f>
        <v>5.6726094003237382</v>
      </c>
      <c r="X352" s="195">
        <f>IFERROR(INDEX('Ashed teabags dry'!$K$2:$K$821,MATCH(I352,'Ashed teabags dry'!$A$2:$A$821,0)),"")</f>
        <v>1.8527315914489777</v>
      </c>
      <c r="Y352" s="195">
        <f t="shared" si="50"/>
        <v>1.5139546191248039</v>
      </c>
      <c r="Z352" s="195">
        <f t="shared" si="50"/>
        <v>1.8340780047505927</v>
      </c>
      <c r="AA352" s="195">
        <f t="shared" si="56"/>
        <v>3.1363351946927187E-2</v>
      </c>
      <c r="AB352" s="195">
        <f t="shared" si="57"/>
        <v>2.0561247357130438E-2</v>
      </c>
      <c r="AC352" s="195">
        <f t="shared" si="51"/>
        <v>0.93976698879549569</v>
      </c>
      <c r="AD352">
        <f t="shared" si="52"/>
        <v>67</v>
      </c>
      <c r="AE352" s="195">
        <f t="shared" si="58"/>
        <v>0.96275136348345935</v>
      </c>
      <c r="AF352" s="195" t="str">
        <f t="shared" si="59"/>
        <v/>
      </c>
      <c r="AG352" s="255" t="str">
        <f>IF(ISNUMBER(SEARCH("C", 'Dry_Litterbag Placem_Collection'!AD59)),"YES","NO")</f>
        <v>NO</v>
      </c>
      <c r="AH352" s="255" t="str">
        <f>IF(ISNUMBER(SEARCH("H", 'Dry_Litterbag Placem_Collection'!AD59)),"YES","NO")</f>
        <v>NO</v>
      </c>
      <c r="AI352" s="255" t="str">
        <f>IF(ISNUMBER(SEARCH("R", 'Dry_Litterbag Placem_Collection'!AD59)),"YES","NO")</f>
        <v>NO</v>
      </c>
      <c r="AJ352" s="255" t="str">
        <f>IF(ISNUMBER(SEARCH("C", 'Dry_Litterbag Placem_Collection'!AC59)),"YES","NO")</f>
        <v>NO</v>
      </c>
      <c r="AK352" s="255" t="str">
        <f>IF(ISNUMBER(SEARCH("H", 'Dry_Litterbag Placem_Collection'!AC59)),"YES","NO")</f>
        <v>NO</v>
      </c>
      <c r="AL352" s="255" t="str">
        <f>IF(ISNUMBER(SEARCH("R", 'Dry_Litterbag Placem_Collection'!AC59)),"YES","NO")</f>
        <v>NO</v>
      </c>
      <c r="AR352" t="s">
        <v>1708</v>
      </c>
      <c r="AT352" t="s">
        <v>725</v>
      </c>
    </row>
    <row r="353" spans="2:46">
      <c r="B353" t="str">
        <f>'Final data_for_R_analysis_Dryse'!A499</f>
        <v>Dry</v>
      </c>
      <c r="C353" s="263">
        <f>'Final data_for_R_analysis_Dryse'!B499</f>
        <v>58</v>
      </c>
      <c r="D353" t="s">
        <v>3835</v>
      </c>
      <c r="E353" t="s">
        <v>25</v>
      </c>
      <c r="F353" s="386">
        <v>2</v>
      </c>
      <c r="G353" s="16">
        <f>'Dry_Litterbag Placem_Collection'!E60</f>
        <v>42938</v>
      </c>
      <c r="H353" s="92" t="str">
        <f>'Final data_for_R_analysis_Dryse'!J499</f>
        <v>G735</v>
      </c>
      <c r="I353" t="str">
        <f>'Final data_for_R_analysis_Dryse'!J719</f>
        <v>R689</v>
      </c>
      <c r="J353">
        <f>IFERROR(INDEX('Green_rooibos initial weight'!$C$5:$C$1749,MATCH(H353, 'Green_rooibos initial weight'!$A$5:$A$1749,0)),"")</f>
        <v>2.0950000000000002</v>
      </c>
      <c r="K353">
        <f>IFERROR(INDEX('Green_rooibos initial weight'!$C$5:$C$1749,MATCH(I353, 'Green_rooibos initial weight'!$A$5:$A$1749,0)),"")</f>
        <v>2.11</v>
      </c>
      <c r="L353" s="195">
        <f t="shared" si="53"/>
        <v>1.8452000000000002</v>
      </c>
      <c r="M353" s="240">
        <f>AVERAGE(Ashed_controlls!$K$1:$K$11)</f>
        <v>5.5147656768714146</v>
      </c>
      <c r="N353" s="195">
        <f t="shared" si="48"/>
        <v>1.7434415437303687</v>
      </c>
      <c r="O353" s="195">
        <f t="shared" si="54"/>
        <v>1.8601999999999999</v>
      </c>
      <c r="P353" s="240">
        <f>AVERAGE(Ashed_controlls!$K$12:$K$14)</f>
        <v>2.2816647271287041</v>
      </c>
      <c r="Q353" s="195">
        <f t="shared" si="49"/>
        <v>1.8177564727459516</v>
      </c>
      <c r="R353" s="16">
        <f>IF('Dry_Litterbag Placem_Collection'!G60="N.A","",'Dry_Litterbag Placem_Collection'!G60)</f>
        <v>43005</v>
      </c>
      <c r="S353" s="195">
        <f>IF(IFERROR(INDEX('Both teabags AfterDry'!$D$1:$D$839,MATCH(H353,'Both teabags AfterDry'!$A$1:$A$839,0)),"")="N.A","",(IFERROR(INDEX('Both teabags AfterDry'!$D$1:$D$839,MATCH(H353,'Both teabags AfterDry'!$A$1:$A$839,0)),"")))</f>
        <v>1.9036</v>
      </c>
      <c r="T353" s="195">
        <f>IF(IFERROR(INDEX('Both teabags AfterDry'!$D$1:$D$839,MATCH(I353,'Both teabags AfterDry'!$A$1:$A$839,0)),"")="N.A","",(IFERROR(INDEX('Both teabags AfterDry'!$D$1:$D$839,MATCH(I353,'Both teabags AfterDry'!$A$1:$A$839,0)),"")))</f>
        <v>1.9226000000000001</v>
      </c>
      <c r="U353" s="195">
        <f t="shared" si="55"/>
        <v>1.7529999999999999</v>
      </c>
      <c r="V353" s="195">
        <f t="shared" si="55"/>
        <v>1.772</v>
      </c>
      <c r="W353" s="195">
        <f>IFERROR(INDEX('Ashed teabags dry'!$K$2:$K$821,MATCH(H353,'Ashed teabags dry'!$A$2:$A$821,0)),"")</f>
        <v>6.5088757396447594</v>
      </c>
      <c r="X353" s="195">
        <f>IFERROR(INDEX('Ashed teabags dry'!$K$2:$K$821,MATCH(I353,'Ashed teabags dry'!$A$2:$A$821,0)),"")</f>
        <v>2.075098814229281</v>
      </c>
      <c r="Y353" s="195">
        <f t="shared" si="50"/>
        <v>1.6388994082840274</v>
      </c>
      <c r="Z353" s="195">
        <f t="shared" si="50"/>
        <v>1.7352292490118573</v>
      </c>
      <c r="AA353" s="195">
        <f t="shared" si="56"/>
        <v>5.9963086128289045E-2</v>
      </c>
      <c r="AB353" s="195">
        <f t="shared" si="57"/>
        <v>3.9310716796693033E-2</v>
      </c>
      <c r="AC353" s="195">
        <f t="shared" si="51"/>
        <v>0.9545994059317382</v>
      </c>
      <c r="AD353">
        <f t="shared" si="52"/>
        <v>67</v>
      </c>
      <c r="AE353" s="195">
        <f t="shared" si="58"/>
        <v>0.92878493333932421</v>
      </c>
      <c r="AF353" s="195" t="str">
        <f t="shared" si="59"/>
        <v/>
      </c>
      <c r="AG353" s="255" t="str">
        <f>IF(ISNUMBER(SEARCH("C", 'Dry_Litterbag Placem_Collection'!AD60)),"YES","NO")</f>
        <v>NO</v>
      </c>
      <c r="AH353" s="255" t="str">
        <f>IF(ISNUMBER(SEARCH("H", 'Dry_Litterbag Placem_Collection'!AD60)),"YES","NO")</f>
        <v>NO</v>
      </c>
      <c r="AI353" s="255" t="str">
        <f>IF(ISNUMBER(SEARCH("R", 'Dry_Litterbag Placem_Collection'!AD60)),"YES","NO")</f>
        <v>NO</v>
      </c>
      <c r="AJ353" s="255" t="str">
        <f>IF(ISNUMBER(SEARCH("C", 'Dry_Litterbag Placem_Collection'!AC60)),"YES","NO")</f>
        <v>NO</v>
      </c>
      <c r="AK353" s="255" t="str">
        <f>IF(ISNUMBER(SEARCH("H", 'Dry_Litterbag Placem_Collection'!AC60)),"YES","NO")</f>
        <v>NO</v>
      </c>
      <c r="AL353" s="255" t="str">
        <f>IF(ISNUMBER(SEARCH("R", 'Dry_Litterbag Placem_Collection'!AC60)),"YES","NO")</f>
        <v>NO</v>
      </c>
      <c r="AR353" t="s">
        <v>1315</v>
      </c>
      <c r="AT353" t="s">
        <v>450</v>
      </c>
    </row>
    <row r="354" spans="2:46">
      <c r="B354" t="str">
        <f>'Final data_for_R_analysis_Dryse'!A500</f>
        <v>Dry</v>
      </c>
      <c r="C354" s="263">
        <f>'Final data_for_R_analysis_Dryse'!B500</f>
        <v>59</v>
      </c>
      <c r="D354" t="s">
        <v>3835</v>
      </c>
      <c r="E354" t="s">
        <v>25</v>
      </c>
      <c r="F354" s="386">
        <v>3</v>
      </c>
      <c r="G354" s="16">
        <f>'Dry_Litterbag Placem_Collection'!E61</f>
        <v>42938</v>
      </c>
      <c r="H354" s="92" t="str">
        <f>'Final data_for_R_analysis_Dryse'!J500</f>
        <v>G558</v>
      </c>
      <c r="I354" t="str">
        <f>'Final data_for_R_analysis_Dryse'!J720</f>
        <v>R231</v>
      </c>
      <c r="J354">
        <f>IFERROR(INDEX('Green_rooibos initial weight'!$C$5:$C$1749,MATCH(H354, 'Green_rooibos initial weight'!$A$5:$A$1749,0)),"")</f>
        <v>2.1789999999999998</v>
      </c>
      <c r="K354">
        <f>IFERROR(INDEX('Green_rooibos initial weight'!$C$5:$C$1749,MATCH(I354, 'Green_rooibos initial weight'!$A$5:$A$1749,0)),"")</f>
        <v>2.1230000000000002</v>
      </c>
      <c r="L354" s="195">
        <f t="shared" si="53"/>
        <v>1.9291999999999998</v>
      </c>
      <c r="M354" s="240">
        <f>AVERAGE(Ashed_controlls!$K$1:$K$11)</f>
        <v>5.5147656768714146</v>
      </c>
      <c r="N354" s="195">
        <f t="shared" si="48"/>
        <v>1.8228091405617965</v>
      </c>
      <c r="O354" s="195">
        <f t="shared" si="54"/>
        <v>1.8732000000000002</v>
      </c>
      <c r="P354" s="240">
        <f>AVERAGE(Ashed_controlls!$K$12:$K$14)</f>
        <v>2.2816647271287041</v>
      </c>
      <c r="Q354" s="195">
        <f t="shared" si="49"/>
        <v>1.8304598563314254</v>
      </c>
      <c r="R354" s="16">
        <f>IF('Dry_Litterbag Placem_Collection'!G61="N.A","",'Dry_Litterbag Placem_Collection'!G61)</f>
        <v>43005</v>
      </c>
      <c r="S354" s="195">
        <f>IF(IFERROR(INDEX('Both teabags AfterDry'!$D$1:$D$839,MATCH(H354,'Both teabags AfterDry'!$A$1:$A$839,0)),"")="N.A","",(IFERROR(INDEX('Both teabags AfterDry'!$D$1:$D$839,MATCH(H354,'Both teabags AfterDry'!$A$1:$A$839,0)),"")))</f>
        <v>1.9415</v>
      </c>
      <c r="T354" s="195" t="str">
        <f>IF(IFERROR(INDEX('Both teabags AfterDry'!$D$1:$D$839,MATCH(I354,'Both teabags AfterDry'!$A$1:$A$839,0)),"")="N.A","",(IFERROR(INDEX('Both teabags AfterDry'!$D$1:$D$839,MATCH(I354,'Both teabags AfterDry'!$A$1:$A$839,0)),"")))</f>
        <v/>
      </c>
      <c r="U354" s="195">
        <f t="shared" si="55"/>
        <v>1.7908999999999999</v>
      </c>
      <c r="V354" s="195" t="str">
        <f t="shared" si="55"/>
        <v/>
      </c>
      <c r="W354" s="195">
        <f>IFERROR(INDEX('Ashed teabags dry'!$K$2:$K$821,MATCH(H354,'Ashed teabags dry'!$A$2:$A$821,0)),"")</f>
        <v>5.6511056511055608</v>
      </c>
      <c r="X354" s="195">
        <f>IFERROR(INDEX('Ashed teabags dry'!$K$2:$K$821,MATCH(I354,'Ashed teabags dry'!$A$2:$A$821,0)),"")</f>
        <v>2.4205748865354395</v>
      </c>
      <c r="Y354" s="195">
        <f t="shared" si="50"/>
        <v>1.6896943488943506</v>
      </c>
      <c r="Z354" s="195" t="str">
        <f t="shared" si="50"/>
        <v/>
      </c>
      <c r="AA354" s="195">
        <f t="shared" si="56"/>
        <v>7.3027278997744971E-2</v>
      </c>
      <c r="AB354" s="195">
        <f t="shared" si="57"/>
        <v>4.7875365803747315E-2</v>
      </c>
      <c r="AC354" s="195" t="str">
        <f t="shared" si="51"/>
        <v/>
      </c>
      <c r="AD354">
        <f t="shared" si="52"/>
        <v>67</v>
      </c>
      <c r="AE354" s="195">
        <f t="shared" si="58"/>
        <v>0.91326926484828386</v>
      </c>
      <c r="AF354" s="195" t="str">
        <f t="shared" si="59"/>
        <v/>
      </c>
      <c r="AG354" s="255" t="str">
        <f>IF(ISNUMBER(SEARCH("C", 'Dry_Litterbag Placem_Collection'!AD61)),"YES","NO")</f>
        <v>NO</v>
      </c>
      <c r="AH354" s="255" t="str">
        <f>IF(ISNUMBER(SEARCH("H", 'Dry_Litterbag Placem_Collection'!AD61)),"YES","NO")</f>
        <v>NO</v>
      </c>
      <c r="AI354" s="255" t="str">
        <f>IF(ISNUMBER(SEARCH("R", 'Dry_Litterbag Placem_Collection'!AD61)),"YES","NO")</f>
        <v>NO</v>
      </c>
      <c r="AJ354" s="255" t="str">
        <f>IF(ISNUMBER(SEARCH("C", 'Dry_Litterbag Placem_Collection'!AC61)),"YES","NO")</f>
        <v>NO</v>
      </c>
      <c r="AK354" s="255" t="str">
        <f>IF(ISNUMBER(SEARCH("H", 'Dry_Litterbag Placem_Collection'!AC61)),"YES","NO")</f>
        <v>NO</v>
      </c>
      <c r="AL354" s="255" t="str">
        <f>IF(ISNUMBER(SEARCH("R", 'Dry_Litterbag Placem_Collection'!AC61)),"YES","NO")</f>
        <v>NO</v>
      </c>
      <c r="AR354" t="s">
        <v>1492</v>
      </c>
      <c r="AT354" t="s">
        <v>910</v>
      </c>
    </row>
    <row r="355" spans="2:46">
      <c r="B355" t="str">
        <f>'Final data_for_R_analysis_Dryse'!A501</f>
        <v>Dry</v>
      </c>
      <c r="C355" s="263">
        <f>'Final data_for_R_analysis_Dryse'!B501</f>
        <v>60</v>
      </c>
      <c r="D355" t="s">
        <v>3835</v>
      </c>
      <c r="E355" t="s">
        <v>25</v>
      </c>
      <c r="F355" s="387">
        <v>4</v>
      </c>
      <c r="G355" s="16">
        <f>'Dry_Litterbag Placem_Collection'!E62</f>
        <v>42938</v>
      </c>
      <c r="H355" s="92" t="str">
        <f>'Final data_for_R_analysis_Dryse'!J501</f>
        <v>G751</v>
      </c>
      <c r="I355" t="str">
        <f>'Final data_for_R_analysis_Dryse'!J721</f>
        <v>R297</v>
      </c>
      <c r="J355">
        <f>IFERROR(INDEX('Green_rooibos initial weight'!$C$5:$C$1749,MATCH(H355, 'Green_rooibos initial weight'!$A$5:$A$1749,0)),"")</f>
        <v>2.0750000000000002</v>
      </c>
      <c r="K355">
        <f>IFERROR(INDEX('Green_rooibos initial weight'!$C$5:$C$1749,MATCH(I355, 'Green_rooibos initial weight'!$A$5:$A$1749,0)),"")</f>
        <v>2.1800000000000002</v>
      </c>
      <c r="L355" s="195">
        <f t="shared" si="53"/>
        <v>1.8252000000000002</v>
      </c>
      <c r="M355" s="240">
        <f>AVERAGE(Ashed_controlls!$K$1:$K$11)</f>
        <v>5.5147656768714146</v>
      </c>
      <c r="N355" s="195">
        <f t="shared" si="48"/>
        <v>1.7245444968657431</v>
      </c>
      <c r="O355" s="195">
        <f t="shared" si="54"/>
        <v>1.9302000000000001</v>
      </c>
      <c r="P355" s="240">
        <f>AVERAGE(Ashed_controlls!$K$12:$K$14)</f>
        <v>2.2816647271287041</v>
      </c>
      <c r="Q355" s="195">
        <f t="shared" si="49"/>
        <v>1.8861593074369618</v>
      </c>
      <c r="R355" s="16">
        <f>IF('Dry_Litterbag Placem_Collection'!G62="N.A","",'Dry_Litterbag Placem_Collection'!G62)</f>
        <v>43005</v>
      </c>
      <c r="S355" s="195" t="str">
        <f>IF(IFERROR(INDEX('Both teabags AfterDry'!$D$1:$D$839,MATCH(H355,'Both teabags AfterDry'!$A$1:$A$839,0)),"")="N.A","",(IFERROR(INDEX('Both teabags AfterDry'!$D$1:$D$839,MATCH(H355,'Both teabags AfterDry'!$A$1:$A$839,0)),"")))</f>
        <v/>
      </c>
      <c r="T355" s="195">
        <f>IF(IFERROR(INDEX('Both teabags AfterDry'!$D$1:$D$839,MATCH(I355,'Both teabags AfterDry'!$A$1:$A$839,0)),"")="N.A","",(IFERROR(INDEX('Both teabags AfterDry'!$D$1:$D$839,MATCH(I355,'Both teabags AfterDry'!$A$1:$A$839,0)),"")))</f>
        <v>1.9569000000000001</v>
      </c>
      <c r="U355" s="195" t="str">
        <f t="shared" si="55"/>
        <v/>
      </c>
      <c r="V355" s="195">
        <f t="shared" si="55"/>
        <v>1.8063</v>
      </c>
      <c r="W355" s="195" t="str">
        <f>IFERROR(INDEX('Ashed teabags dry'!$K$2:$K$821,MATCH(H355,'Ashed teabags dry'!$A$2:$A$821,0)),"")</f>
        <v/>
      </c>
      <c r="X355" s="195">
        <f>IFERROR(INDEX('Ashed teabags dry'!$K$2:$K$821,MATCH(I355,'Ashed teabags dry'!$A$2:$A$821,0)),"")</f>
        <v>2.1921641791054141</v>
      </c>
      <c r="Y355" s="195" t="str">
        <f t="shared" si="50"/>
        <v/>
      </c>
      <c r="Z355" s="195">
        <f t="shared" si="50"/>
        <v>1.766702938432819</v>
      </c>
      <c r="AA355" s="195" t="str">
        <f t="shared" si="56"/>
        <v/>
      </c>
      <c r="AB355" s="195" t="str">
        <f t="shared" si="57"/>
        <v/>
      </c>
      <c r="AC355" s="195">
        <f t="shared" si="51"/>
        <v>0.93666687191631337</v>
      </c>
      <c r="AD355">
        <f t="shared" si="52"/>
        <v>67</v>
      </c>
      <c r="AE355" s="195" t="str">
        <f t="shared" si="58"/>
        <v/>
      </c>
      <c r="AF355" s="195" t="str">
        <f t="shared" si="59"/>
        <v/>
      </c>
      <c r="AG355" s="255" t="str">
        <f>IF(ISNUMBER(SEARCH("C", 'Dry_Litterbag Placem_Collection'!AD62)),"YES","NO")</f>
        <v>NO</v>
      </c>
      <c r="AH355" s="255" t="str">
        <f>IF(ISNUMBER(SEARCH("H", 'Dry_Litterbag Placem_Collection'!AD62)),"YES","NO")</f>
        <v>NO</v>
      </c>
      <c r="AI355" s="255" t="str">
        <f>IF(ISNUMBER(SEARCH("R", 'Dry_Litterbag Placem_Collection'!AD62)),"YES","NO")</f>
        <v>NO</v>
      </c>
      <c r="AJ355" s="255" t="str">
        <f>IF(ISNUMBER(SEARCH("C", 'Dry_Litterbag Placem_Collection'!AC62)),"YES","NO")</f>
        <v>NO</v>
      </c>
      <c r="AK355" s="255" t="str">
        <f>IF(ISNUMBER(SEARCH("H", 'Dry_Litterbag Placem_Collection'!AC62)),"YES","NO")</f>
        <v>NO</v>
      </c>
      <c r="AL355" s="255" t="str">
        <f>IF(ISNUMBER(SEARCH("R", 'Dry_Litterbag Placem_Collection'!AC62)),"YES","NO")</f>
        <v>NO</v>
      </c>
      <c r="AR355" t="s">
        <v>1299</v>
      </c>
      <c r="AT355" t="s">
        <v>844</v>
      </c>
    </row>
    <row r="356" spans="2:46">
      <c r="B356" t="str">
        <f>'Final data_for_R_analysis_Dryse'!A502</f>
        <v>Dry</v>
      </c>
      <c r="C356" s="263">
        <f>'Final data_for_R_analysis_Dryse'!B502</f>
        <v>61</v>
      </c>
      <c r="D356" t="s">
        <v>3835</v>
      </c>
      <c r="E356" t="s">
        <v>25</v>
      </c>
      <c r="F356" s="387">
        <v>5</v>
      </c>
      <c r="G356" s="16">
        <f>'Dry_Litterbag Placem_Collection'!E63</f>
        <v>42938</v>
      </c>
      <c r="H356" s="92" t="str">
        <f>'Final data_for_R_analysis_Dryse'!J502</f>
        <v>G748</v>
      </c>
      <c r="I356" t="str">
        <f>'Final data_for_R_analysis_Dryse'!J722</f>
        <v>R200</v>
      </c>
      <c r="J356">
        <f>IFERROR(INDEX('Green_rooibos initial weight'!$C$5:$C$1749,MATCH(H356, 'Green_rooibos initial weight'!$A$5:$A$1749,0)),"")</f>
        <v>2.081</v>
      </c>
      <c r="K356">
        <f>IFERROR(INDEX('Green_rooibos initial weight'!$C$5:$C$1749,MATCH(I356, 'Green_rooibos initial weight'!$A$5:$A$1749,0)),"")</f>
        <v>2.242</v>
      </c>
      <c r="L356" s="195">
        <f t="shared" si="53"/>
        <v>1.8311999999999999</v>
      </c>
      <c r="M356" s="240">
        <f>AVERAGE(Ashed_controlls!$K$1:$K$11)</f>
        <v>5.5147656768714146</v>
      </c>
      <c r="N356" s="195">
        <f t="shared" si="48"/>
        <v>1.7302136109251305</v>
      </c>
      <c r="O356" s="195">
        <f t="shared" si="54"/>
        <v>1.9922</v>
      </c>
      <c r="P356" s="240">
        <f>AVERAGE(Ashed_controlls!$K$12:$K$14)</f>
        <v>2.2816647271287041</v>
      </c>
      <c r="Q356" s="195">
        <f t="shared" si="49"/>
        <v>1.9467446753061419</v>
      </c>
      <c r="R356" s="16">
        <f>IF('Dry_Litterbag Placem_Collection'!G63="N.A","",'Dry_Litterbag Placem_Collection'!G63)</f>
        <v>43005</v>
      </c>
      <c r="S356" s="195" t="str">
        <f>IF(IFERROR(INDEX('Both teabags AfterDry'!$D$1:$D$839,MATCH(H356,'Both teabags AfterDry'!$A$1:$A$839,0)),"")="N.A","",(IFERROR(INDEX('Both teabags AfterDry'!$D$1:$D$839,MATCH(H356,'Both teabags AfterDry'!$A$1:$A$839,0)),"")))</f>
        <v/>
      </c>
      <c r="T356" s="195" t="str">
        <f>IF(IFERROR(INDEX('Both teabags AfterDry'!$D$1:$D$839,MATCH(I356,'Both teabags AfterDry'!$A$1:$A$839,0)),"")="N.A","",(IFERROR(INDEX('Both teabags AfterDry'!$D$1:$D$839,MATCH(I356,'Both teabags AfterDry'!$A$1:$A$839,0)),"")))</f>
        <v/>
      </c>
      <c r="U356" s="195" t="str">
        <f t="shared" si="55"/>
        <v/>
      </c>
      <c r="V356" s="195" t="str">
        <f t="shared" si="55"/>
        <v/>
      </c>
      <c r="W356" s="195" t="str">
        <f>IFERROR(INDEX('Ashed teabags dry'!$K$2:$K$821,MATCH(H356,'Ashed teabags dry'!$A$2:$A$821,0)),"")</f>
        <v/>
      </c>
      <c r="X356" s="195" t="str">
        <f>IFERROR(INDEX('Ashed teabags dry'!$K$2:$K$821,MATCH(I356,'Ashed teabags dry'!$A$2:$A$821,0)),"")</f>
        <v/>
      </c>
      <c r="Y356" s="195" t="str">
        <f t="shared" si="50"/>
        <v/>
      </c>
      <c r="Z356" s="195" t="str">
        <f t="shared" si="50"/>
        <v/>
      </c>
      <c r="AA356" s="195" t="str">
        <f t="shared" si="56"/>
        <v/>
      </c>
      <c r="AB356" s="195" t="str">
        <f t="shared" si="57"/>
        <v/>
      </c>
      <c r="AC356" s="195" t="str">
        <f t="shared" si="51"/>
        <v/>
      </c>
      <c r="AD356">
        <f t="shared" si="52"/>
        <v>67</v>
      </c>
      <c r="AE356" s="195" t="str">
        <f t="shared" si="58"/>
        <v/>
      </c>
      <c r="AF356" s="195" t="str">
        <f t="shared" si="59"/>
        <v/>
      </c>
      <c r="AG356" s="255" t="str">
        <f>IF(ISNUMBER(SEARCH("C", 'Dry_Litterbag Placem_Collection'!AD63)),"YES","NO")</f>
        <v>NO</v>
      </c>
      <c r="AH356" s="255" t="str">
        <f>IF(ISNUMBER(SEARCH("H", 'Dry_Litterbag Placem_Collection'!AD63)),"YES","NO")</f>
        <v>NO</v>
      </c>
      <c r="AI356" s="255" t="str">
        <f>IF(ISNUMBER(SEARCH("R", 'Dry_Litterbag Placem_Collection'!AD63)),"YES","NO")</f>
        <v>NO</v>
      </c>
      <c r="AJ356" s="255" t="str">
        <f>IF(ISNUMBER(SEARCH("C", 'Dry_Litterbag Placem_Collection'!AC63)),"YES","NO")</f>
        <v>NO</v>
      </c>
      <c r="AK356" s="255" t="str">
        <f>IF(ISNUMBER(SEARCH("H", 'Dry_Litterbag Placem_Collection'!AC63)),"YES","NO")</f>
        <v>NO</v>
      </c>
      <c r="AL356" s="255" t="str">
        <f>IF(ISNUMBER(SEARCH("R", 'Dry_Litterbag Placem_Collection'!AC63)),"YES","NO")</f>
        <v>NO</v>
      </c>
      <c r="AR356" t="s">
        <v>1302</v>
      </c>
      <c r="AT356" t="s">
        <v>941</v>
      </c>
    </row>
    <row r="357" spans="2:46">
      <c r="B357" t="str">
        <f>'Final data_for_R_analysis_Dryse'!A503</f>
        <v>Dry</v>
      </c>
      <c r="C357" s="263">
        <f>'Final data_for_R_analysis_Dryse'!B503</f>
        <v>62</v>
      </c>
      <c r="D357" t="s">
        <v>3835</v>
      </c>
      <c r="E357" t="s">
        <v>25</v>
      </c>
      <c r="F357" s="387">
        <v>6</v>
      </c>
      <c r="G357" s="390">
        <f>'Dry_Litterbag Placem_Collection'!E64</f>
        <v>0</v>
      </c>
      <c r="H357" s="92" t="str">
        <f>'Final data_for_R_analysis_Dryse'!J503</f>
        <v/>
      </c>
      <c r="I357" t="str">
        <f>'Final data_for_R_analysis_Dryse'!J723</f>
        <v/>
      </c>
      <c r="J357" t="str">
        <f>IFERROR(INDEX('Green_rooibos initial weight'!$C$5:$C$1749,MATCH(H357, 'Green_rooibos initial weight'!$A$5:$A$1749,0)),"")</f>
        <v/>
      </c>
      <c r="K357" t="str">
        <f>IFERROR(INDEX('Green_rooibos initial weight'!$C$5:$C$1749,MATCH(I357, 'Green_rooibos initial weight'!$A$5:$A$1749,0)),"")</f>
        <v/>
      </c>
      <c r="L357" s="195" t="str">
        <f t="shared" si="53"/>
        <v/>
      </c>
      <c r="M357" s="240">
        <f>AVERAGE(Ashed_controlls!$K$1:$K$11)</f>
        <v>5.5147656768714146</v>
      </c>
      <c r="N357" s="195" t="str">
        <f t="shared" si="48"/>
        <v/>
      </c>
      <c r="O357" s="195" t="str">
        <f t="shared" si="54"/>
        <v/>
      </c>
      <c r="P357" s="240">
        <f>AVERAGE(Ashed_controlls!$K$12:$K$14)</f>
        <v>2.2816647271287041</v>
      </c>
      <c r="Q357" s="195" t="str">
        <f t="shared" si="49"/>
        <v/>
      </c>
      <c r="R357" s="16">
        <f>IF('Dry_Litterbag Placem_Collection'!G64="N.A","",'Dry_Litterbag Placem_Collection'!G64)</f>
        <v>0</v>
      </c>
      <c r="S357" s="195" t="str">
        <f>IF(IFERROR(INDEX('Both teabags AfterDry'!$D$1:$D$839,MATCH(H357,'Both teabags AfterDry'!$A$1:$A$839,0)),"")="N.A","",(IFERROR(INDEX('Both teabags AfterDry'!$D$1:$D$839,MATCH(H357,'Both teabags AfterDry'!$A$1:$A$839,0)),"")))</f>
        <v/>
      </c>
      <c r="T357" s="195" t="str">
        <f>IF(IFERROR(INDEX('Both teabags AfterDry'!$D$1:$D$839,MATCH(I357,'Both teabags AfterDry'!$A$1:$A$839,0)),"")="N.A","",(IFERROR(INDEX('Both teabags AfterDry'!$D$1:$D$839,MATCH(I357,'Both teabags AfterDry'!$A$1:$A$839,0)),"")))</f>
        <v/>
      </c>
      <c r="U357" s="195" t="str">
        <f t="shared" si="55"/>
        <v/>
      </c>
      <c r="V357" s="195" t="str">
        <f t="shared" si="55"/>
        <v/>
      </c>
      <c r="W357" s="195" t="str">
        <f>IFERROR(INDEX('Ashed teabags dry'!$K$2:$K$821,MATCH(H357,'Ashed teabags dry'!$A$2:$A$821,0)),"")</f>
        <v/>
      </c>
      <c r="X357" s="195" t="str">
        <f>IFERROR(INDEX('Ashed teabags dry'!$K$2:$K$821,MATCH(I357,'Ashed teabags dry'!$A$2:$A$821,0)),"")</f>
        <v/>
      </c>
      <c r="Y357" s="195" t="str">
        <f t="shared" si="50"/>
        <v/>
      </c>
      <c r="Z357" s="195" t="str">
        <f t="shared" si="50"/>
        <v/>
      </c>
      <c r="AA357" s="195" t="str">
        <f t="shared" si="56"/>
        <v/>
      </c>
      <c r="AB357" s="195" t="str">
        <f t="shared" si="57"/>
        <v/>
      </c>
      <c r="AC357" s="195" t="str">
        <f t="shared" si="51"/>
        <v/>
      </c>
      <c r="AD357" t="str">
        <f t="shared" si="52"/>
        <v/>
      </c>
      <c r="AE357" s="195" t="str">
        <f t="shared" si="58"/>
        <v/>
      </c>
      <c r="AF357" s="195" t="str">
        <f t="shared" si="59"/>
        <v/>
      </c>
      <c r="AG357" s="255" t="str">
        <f>IF(ISNUMBER(SEARCH("C", 'Dry_Litterbag Placem_Collection'!AD64)),"YES","NO")</f>
        <v>NO</v>
      </c>
      <c r="AH357" s="255" t="str">
        <f>IF(ISNUMBER(SEARCH("H", 'Dry_Litterbag Placem_Collection'!AD64)),"YES","NO")</f>
        <v>NO</v>
      </c>
      <c r="AI357" s="255" t="str">
        <f>IF(ISNUMBER(SEARCH("R", 'Dry_Litterbag Placem_Collection'!AD64)),"YES","NO")</f>
        <v>NO</v>
      </c>
      <c r="AJ357" s="255" t="str">
        <f>IF(ISNUMBER(SEARCH("C", 'Dry_Litterbag Placem_Collection'!AC64)),"YES","NO")</f>
        <v>NO</v>
      </c>
      <c r="AK357" s="255" t="str">
        <f>IF(ISNUMBER(SEARCH("H", 'Dry_Litterbag Placem_Collection'!AC64)),"YES","NO")</f>
        <v>NO</v>
      </c>
      <c r="AL357" s="255" t="str">
        <f>IF(ISNUMBER(SEARCH("R", 'Dry_Litterbag Placem_Collection'!AC64)),"YES","NO")</f>
        <v>NO</v>
      </c>
      <c r="AR357" t="s">
        <v>3654</v>
      </c>
      <c r="AT357" t="s">
        <v>3654</v>
      </c>
    </row>
    <row r="358" spans="2:46">
      <c r="B358" t="str">
        <f>'Final data_for_R_analysis_Dryse'!A504</f>
        <v>Dry</v>
      </c>
      <c r="C358" s="263">
        <f>'Final data_for_R_analysis_Dryse'!B504</f>
        <v>63</v>
      </c>
      <c r="D358" t="s">
        <v>3835</v>
      </c>
      <c r="E358" t="s">
        <v>25</v>
      </c>
      <c r="F358" s="387">
        <v>7</v>
      </c>
      <c r="G358" s="16">
        <f>'Dry_Litterbag Placem_Collection'!E65</f>
        <v>42938</v>
      </c>
      <c r="H358" s="92" t="str">
        <f>'Final data_for_R_analysis_Dryse'!J504</f>
        <v>G629</v>
      </c>
      <c r="I358" t="str">
        <f>'Final data_for_R_analysis_Dryse'!J724</f>
        <v>R713</v>
      </c>
      <c r="J358">
        <f>IFERROR(INDEX('Green_rooibos initial weight'!$C$5:$C$1749,MATCH(H358, 'Green_rooibos initial weight'!$A$5:$A$1749,0)),"")</f>
        <v>1.978</v>
      </c>
      <c r="K358">
        <f>IFERROR(INDEX('Green_rooibos initial weight'!$C$5:$C$1749,MATCH(I358, 'Green_rooibos initial weight'!$A$5:$A$1749,0)),"")</f>
        <v>2.1619999999999999</v>
      </c>
      <c r="L358" s="195">
        <f t="shared" si="53"/>
        <v>1.7282</v>
      </c>
      <c r="M358" s="240">
        <f>AVERAGE(Ashed_controlls!$K$1:$K$11)</f>
        <v>5.5147656768714146</v>
      </c>
      <c r="N358" s="195">
        <f t="shared" si="48"/>
        <v>1.6328938195723082</v>
      </c>
      <c r="O358" s="195">
        <f t="shared" si="54"/>
        <v>1.9121999999999999</v>
      </c>
      <c r="P358" s="240">
        <f>AVERAGE(Ashed_controlls!$K$12:$K$14)</f>
        <v>2.2816647271287041</v>
      </c>
      <c r="Q358" s="195">
        <f t="shared" si="49"/>
        <v>1.8685700070878448</v>
      </c>
      <c r="R358" s="16">
        <f>IF('Dry_Litterbag Placem_Collection'!G65="N.A","",'Dry_Litterbag Placem_Collection'!G65)</f>
        <v>43005</v>
      </c>
      <c r="S358" s="195">
        <f>IF(IFERROR(INDEX('Both teabags AfterDry'!$D$1:$D$839,MATCH(H358,'Both teabags AfterDry'!$A$1:$A$839,0)),"")="N.A","",(IFERROR(INDEX('Both teabags AfterDry'!$D$1:$D$839,MATCH(H358,'Both teabags AfterDry'!$A$1:$A$839,0)),"")))</f>
        <v>1.8411</v>
      </c>
      <c r="T358" s="195">
        <f>IF(IFERROR(INDEX('Both teabags AfterDry'!$D$1:$D$839,MATCH(I358,'Both teabags AfterDry'!$A$1:$A$839,0)),"")="N.A","",(IFERROR(INDEX('Both teabags AfterDry'!$D$1:$D$839,MATCH(I358,'Both teabags AfterDry'!$A$1:$A$839,0)),"")))</f>
        <v>1.9921</v>
      </c>
      <c r="U358" s="195">
        <f t="shared" si="55"/>
        <v>1.6904999999999999</v>
      </c>
      <c r="V358" s="195">
        <f t="shared" si="55"/>
        <v>1.8414999999999999</v>
      </c>
      <c r="W358" s="195">
        <f>IFERROR(INDEX('Ashed teabags dry'!$K$2:$K$821,MATCH(H358,'Ashed teabags dry'!$A$2:$A$821,0)),"")</f>
        <v>5.6801195814651884</v>
      </c>
      <c r="X358" s="195">
        <f>IFERROR(INDEX('Ashed teabags dry'!$K$2:$K$821,MATCH(I358,'Ashed teabags dry'!$A$2:$A$821,0)),"")</f>
        <v>2.4745269286755853</v>
      </c>
      <c r="Y358" s="195">
        <f t="shared" si="50"/>
        <v>1.5944775784753309</v>
      </c>
      <c r="Z358" s="195">
        <f t="shared" si="50"/>
        <v>1.7959315866084391</v>
      </c>
      <c r="AA358" s="195">
        <f t="shared" si="56"/>
        <v>2.3526478351813096E-2</v>
      </c>
      <c r="AB358" s="195">
        <f t="shared" si="57"/>
        <v>1.5423534501426188E-2</v>
      </c>
      <c r="AC358" s="195">
        <f t="shared" si="51"/>
        <v>0.96112619799960708</v>
      </c>
      <c r="AD358">
        <f t="shared" si="52"/>
        <v>67</v>
      </c>
      <c r="AE358" s="195">
        <f t="shared" si="58"/>
        <v>0.97205881430901053</v>
      </c>
      <c r="AF358" s="195" t="str">
        <f t="shared" si="59"/>
        <v/>
      </c>
      <c r="AG358" s="255" t="str">
        <f>IF(ISNUMBER(SEARCH("C", 'Dry_Litterbag Placem_Collection'!AD65)),"YES","NO")</f>
        <v>NO</v>
      </c>
      <c r="AH358" s="255" t="str">
        <f>IF(ISNUMBER(SEARCH("H", 'Dry_Litterbag Placem_Collection'!AD65)),"YES","NO")</f>
        <v>NO</v>
      </c>
      <c r="AI358" s="255" t="str">
        <f>IF(ISNUMBER(SEARCH("R", 'Dry_Litterbag Placem_Collection'!AD65)),"YES","NO")</f>
        <v>NO</v>
      </c>
      <c r="AJ358" s="255" t="str">
        <f>IF(ISNUMBER(SEARCH("C", 'Dry_Litterbag Placem_Collection'!AC65)),"YES","NO")</f>
        <v>NO</v>
      </c>
      <c r="AK358" s="255" t="str">
        <f>IF(ISNUMBER(SEARCH("H", 'Dry_Litterbag Placem_Collection'!AC65)),"YES","NO")</f>
        <v>NO</v>
      </c>
      <c r="AL358" s="255" t="str">
        <f>IF(ISNUMBER(SEARCH("R", 'Dry_Litterbag Placem_Collection'!AC65)),"YES","NO")</f>
        <v>NO</v>
      </c>
      <c r="AR358" t="s">
        <v>1421</v>
      </c>
      <c r="AT358" t="s">
        <v>426</v>
      </c>
    </row>
    <row r="359" spans="2:46">
      <c r="B359" t="str">
        <f>'Final data_for_R_analysis_Dryse'!A505</f>
        <v>Dry</v>
      </c>
      <c r="C359" s="263">
        <f>'Final data_for_R_analysis_Dryse'!B505</f>
        <v>64</v>
      </c>
      <c r="D359" t="s">
        <v>3835</v>
      </c>
      <c r="E359" t="s">
        <v>25</v>
      </c>
      <c r="F359" s="387">
        <v>8</v>
      </c>
      <c r="G359" s="16">
        <f>'Dry_Litterbag Placem_Collection'!E66</f>
        <v>42938</v>
      </c>
      <c r="H359" s="92" t="str">
        <f>'Final data_for_R_analysis_Dryse'!J505</f>
        <v>G84</v>
      </c>
      <c r="I359" t="str">
        <f>'Final data_for_R_analysis_Dryse'!J725</f>
        <v>R237</v>
      </c>
      <c r="J359">
        <f>IFERROR(INDEX('Green_rooibos initial weight'!$C$5:$C$1749,MATCH(H359, 'Green_rooibos initial weight'!$A$5:$A$1749,0)),"")</f>
        <v>2.1259999999999999</v>
      </c>
      <c r="K359">
        <f>IFERROR(INDEX('Green_rooibos initial weight'!$C$5:$C$1749,MATCH(I359, 'Green_rooibos initial weight'!$A$5:$A$1749,0)),"")</f>
        <v>2.1989999999999998</v>
      </c>
      <c r="L359" s="195">
        <f t="shared" si="53"/>
        <v>1.8761999999999999</v>
      </c>
      <c r="M359" s="240">
        <f>AVERAGE(Ashed_controlls!$K$1:$K$11)</f>
        <v>5.5147656768714146</v>
      </c>
      <c r="N359" s="195">
        <f t="shared" si="48"/>
        <v>1.7727319663705383</v>
      </c>
      <c r="O359" s="195">
        <f t="shared" si="54"/>
        <v>1.9491999999999998</v>
      </c>
      <c r="P359" s="240">
        <f>AVERAGE(Ashed_controlls!$K$12:$K$14)</f>
        <v>2.2816647271287041</v>
      </c>
      <c r="Q359" s="195">
        <f t="shared" si="49"/>
        <v>1.9047257911388071</v>
      </c>
      <c r="R359" s="16">
        <f>IF('Dry_Litterbag Placem_Collection'!G66="N.A","",'Dry_Litterbag Placem_Collection'!G66)</f>
        <v>43005</v>
      </c>
      <c r="S359" s="195">
        <f>IF(IFERROR(INDEX('Both teabags AfterDry'!$D$1:$D$839,MATCH(H359,'Both teabags AfterDry'!$A$1:$A$839,0)),"")="N.A","",(IFERROR(INDEX('Both teabags AfterDry'!$D$1:$D$839,MATCH(H359,'Both teabags AfterDry'!$A$1:$A$839,0)),"")))</f>
        <v>1.9314</v>
      </c>
      <c r="T359" s="195">
        <f>IF(IFERROR(INDEX('Both teabags AfterDry'!$D$1:$D$839,MATCH(I359,'Both teabags AfterDry'!$A$1:$A$839,0)),"")="N.A","",(IFERROR(INDEX('Both teabags AfterDry'!$D$1:$D$839,MATCH(I359,'Both teabags AfterDry'!$A$1:$A$839,0)),"")))</f>
        <v>1.9715</v>
      </c>
      <c r="U359" s="195">
        <f t="shared" si="55"/>
        <v>1.7807999999999999</v>
      </c>
      <c r="V359" s="195">
        <f t="shared" si="55"/>
        <v>1.8209</v>
      </c>
      <c r="W359" s="195">
        <f>IFERROR(INDEX('Ashed teabags dry'!$K$2:$K$821,MATCH(H359,'Ashed teabags dry'!$A$2:$A$821,0)),"")</f>
        <v>5.2683407188580818</v>
      </c>
      <c r="X359" s="195">
        <f>IFERROR(INDEX('Ashed teabags dry'!$K$2:$K$821,MATCH(I359,'Ashed teabags dry'!$A$2:$A$821,0)),"")</f>
        <v>2.2650602409639138</v>
      </c>
      <c r="Y359" s="195">
        <f t="shared" si="50"/>
        <v>1.6869813884785752</v>
      </c>
      <c r="Z359" s="195">
        <f t="shared" si="50"/>
        <v>1.7796555180722882</v>
      </c>
      <c r="AA359" s="195">
        <f t="shared" si="56"/>
        <v>4.8371992787791473E-2</v>
      </c>
      <c r="AB359" s="195">
        <f t="shared" si="57"/>
        <v>3.1711805248053324E-2</v>
      </c>
      <c r="AC359" s="195">
        <f t="shared" si="51"/>
        <v>0.93433686168981767</v>
      </c>
      <c r="AD359">
        <f t="shared" si="52"/>
        <v>67</v>
      </c>
      <c r="AE359" s="195">
        <f t="shared" si="58"/>
        <v>0.94255107744917876</v>
      </c>
      <c r="AF359" s="195" t="str">
        <f t="shared" si="59"/>
        <v/>
      </c>
      <c r="AG359" s="255" t="str">
        <f>IF(ISNUMBER(SEARCH("C", 'Dry_Litterbag Placem_Collection'!AD66)),"YES","NO")</f>
        <v>NO</v>
      </c>
      <c r="AH359" s="255" t="str">
        <f>IF(ISNUMBER(SEARCH("H", 'Dry_Litterbag Placem_Collection'!AD66)),"YES","NO")</f>
        <v>NO</v>
      </c>
      <c r="AI359" s="255" t="str">
        <f>IF(ISNUMBER(SEARCH("R", 'Dry_Litterbag Placem_Collection'!AD66)),"YES","NO")</f>
        <v>NO</v>
      </c>
      <c r="AJ359" s="255" t="str">
        <f>IF(ISNUMBER(SEARCH("C", 'Dry_Litterbag Placem_Collection'!AC66)),"YES","NO")</f>
        <v>NO</v>
      </c>
      <c r="AK359" s="255" t="str">
        <f>IF(ISNUMBER(SEARCH("H", 'Dry_Litterbag Placem_Collection'!AC66)),"YES","NO")</f>
        <v>NO</v>
      </c>
      <c r="AL359" s="255" t="str">
        <f>IF(ISNUMBER(SEARCH("R", 'Dry_Litterbag Placem_Collection'!AC66)),"YES","NO")</f>
        <v>NO</v>
      </c>
      <c r="AR359" t="s">
        <v>1966</v>
      </c>
      <c r="AT359" t="s">
        <v>904</v>
      </c>
    </row>
    <row r="360" spans="2:46">
      <c r="B360" t="str">
        <f>'Final data_for_R_analysis_Dryse'!A506</f>
        <v>Dry</v>
      </c>
      <c r="C360" s="263">
        <f>'Final data_for_R_analysis_Dryse'!B506</f>
        <v>65</v>
      </c>
      <c r="D360" t="s">
        <v>3836</v>
      </c>
      <c r="E360" t="s">
        <v>25</v>
      </c>
      <c r="F360" s="386">
        <v>1</v>
      </c>
      <c r="G360" s="16">
        <f>'Dry_Litterbag Placem_Collection'!E67</f>
        <v>42937</v>
      </c>
      <c r="H360" s="92" t="str">
        <f>'Final data_for_R_analysis_Dryse'!J506</f>
        <v>G586</v>
      </c>
      <c r="I360" t="str">
        <f>'Final data_for_R_analysis_Dryse'!J726</f>
        <v>R654</v>
      </c>
      <c r="J360">
        <f>IFERROR(INDEX('Green_rooibos initial weight'!$C$5:$C$1749,MATCH(H360, 'Green_rooibos initial weight'!$A$5:$A$1749,0)),"")</f>
        <v>1.9590000000000001</v>
      </c>
      <c r="K360">
        <f>IFERROR(INDEX('Green_rooibos initial weight'!$C$5:$C$1749,MATCH(I360, 'Green_rooibos initial weight'!$A$5:$A$1749,0)),"")</f>
        <v>2.2040000000000002</v>
      </c>
      <c r="L360" s="195">
        <f t="shared" si="53"/>
        <v>1.7092000000000001</v>
      </c>
      <c r="M360" s="240">
        <f>AVERAGE(Ashed_controlls!$K$1:$K$11)</f>
        <v>5.5147656768714146</v>
      </c>
      <c r="N360" s="195">
        <f t="shared" si="48"/>
        <v>1.6149416250509139</v>
      </c>
      <c r="O360" s="195">
        <f t="shared" si="54"/>
        <v>1.9542000000000002</v>
      </c>
      <c r="P360" s="240">
        <f>AVERAGE(Ashed_controlls!$K$12:$K$14)</f>
        <v>2.2816647271287041</v>
      </c>
      <c r="Q360" s="195">
        <f t="shared" si="49"/>
        <v>1.909611707902451</v>
      </c>
      <c r="R360" s="16">
        <f>IF('Dry_Litterbag Placem_Collection'!G67="N.A","",'Dry_Litterbag Placem_Collection'!G67)</f>
        <v>43005</v>
      </c>
      <c r="S360" s="195" t="str">
        <f>IF(IFERROR(INDEX('Both teabags AfterDry'!$D$1:$D$839,MATCH(H360,'Both teabags AfterDry'!$A$1:$A$839,0)),"")="N.A","",(IFERROR(INDEX('Both teabags AfterDry'!$D$1:$D$839,MATCH(H360,'Both teabags AfterDry'!$A$1:$A$839,0)),"")))</f>
        <v/>
      </c>
      <c r="T360" s="195" t="str">
        <f>IF(IFERROR(INDEX('Both teabags AfterDry'!$D$1:$D$839,MATCH(I360,'Both teabags AfterDry'!$A$1:$A$839,0)),"")="N.A","",(IFERROR(INDEX('Both teabags AfterDry'!$D$1:$D$839,MATCH(I360,'Both teabags AfterDry'!$A$1:$A$839,0)),"")))</f>
        <v/>
      </c>
      <c r="U360" s="195" t="str">
        <f t="shared" si="55"/>
        <v/>
      </c>
      <c r="V360" s="195" t="str">
        <f t="shared" si="55"/>
        <v/>
      </c>
      <c r="W360" s="195" t="str">
        <f>IFERROR(INDEX('Ashed teabags dry'!$K$2:$K$821,MATCH(H360,'Ashed teabags dry'!$A$2:$A$821,0)),"")</f>
        <v/>
      </c>
      <c r="X360" s="195" t="str">
        <f>IFERROR(INDEX('Ashed teabags dry'!$K$2:$K$821,MATCH(I360,'Ashed teabags dry'!$A$2:$A$821,0)),"")</f>
        <v/>
      </c>
      <c r="Y360" s="195" t="str">
        <f t="shared" si="50"/>
        <v/>
      </c>
      <c r="Z360" s="195" t="str">
        <f t="shared" si="50"/>
        <v/>
      </c>
      <c r="AA360" s="195" t="str">
        <f t="shared" si="56"/>
        <v/>
      </c>
      <c r="AB360" s="195" t="str">
        <f t="shared" si="57"/>
        <v/>
      </c>
      <c r="AC360" s="195" t="str">
        <f t="shared" si="51"/>
        <v/>
      </c>
      <c r="AD360">
        <f t="shared" si="52"/>
        <v>68</v>
      </c>
      <c r="AE360" s="195" t="str">
        <f t="shared" si="58"/>
        <v/>
      </c>
      <c r="AF360" s="195" t="str">
        <f t="shared" si="59"/>
        <v/>
      </c>
      <c r="AG360" s="255" t="str">
        <f>IF(ISNUMBER(SEARCH("C", 'Dry_Litterbag Placem_Collection'!AD67)),"YES","NO")</f>
        <v>NO</v>
      </c>
      <c r="AH360" s="255" t="str">
        <f>IF(ISNUMBER(SEARCH("H", 'Dry_Litterbag Placem_Collection'!AD67)),"YES","NO")</f>
        <v>NO</v>
      </c>
      <c r="AI360" s="255" t="str">
        <f>IF(ISNUMBER(SEARCH("R", 'Dry_Litterbag Placem_Collection'!AD67)),"YES","NO")</f>
        <v>NO</v>
      </c>
      <c r="AJ360" s="255" t="str">
        <f>IF(ISNUMBER(SEARCH("C", 'Dry_Litterbag Placem_Collection'!AC67)),"YES","NO")</f>
        <v>NO</v>
      </c>
      <c r="AK360" s="255" t="str">
        <f>IF(ISNUMBER(SEARCH("H", 'Dry_Litterbag Placem_Collection'!AC67)),"YES","NO")</f>
        <v>NO</v>
      </c>
      <c r="AL360" s="255" t="str">
        <f>IF(ISNUMBER(SEARCH("R", 'Dry_Litterbag Placem_Collection'!AC67)),"YES","NO")</f>
        <v>NO</v>
      </c>
      <c r="AR360" t="s">
        <v>1464</v>
      </c>
      <c r="AT360" t="s">
        <v>485</v>
      </c>
    </row>
    <row r="361" spans="2:46">
      <c r="B361" t="str">
        <f>'Final data_for_R_analysis_Dryse'!A507</f>
        <v>Dry</v>
      </c>
      <c r="C361" s="263">
        <f>'Final data_for_R_analysis_Dryse'!B507</f>
        <v>66</v>
      </c>
      <c r="D361" t="s">
        <v>3836</v>
      </c>
      <c r="E361" t="s">
        <v>25</v>
      </c>
      <c r="F361" s="386">
        <v>2</v>
      </c>
      <c r="G361" s="16">
        <f>'Dry_Litterbag Placem_Collection'!E68</f>
        <v>42937</v>
      </c>
      <c r="H361" s="92" t="str">
        <f>'Final data_for_R_analysis_Dryse'!J507</f>
        <v>G851</v>
      </c>
      <c r="I361" t="str">
        <f>'Final data_for_R_analysis_Dryse'!J727</f>
        <v>R634</v>
      </c>
      <c r="J361">
        <f>IFERROR(INDEX('Green_rooibos initial weight'!$C$5:$C$1749,MATCH(H361, 'Green_rooibos initial weight'!$A$5:$A$1749,0)),"")</f>
        <v>1.9930000000000001</v>
      </c>
      <c r="K361">
        <f>IFERROR(INDEX('Green_rooibos initial weight'!$C$5:$C$1749,MATCH(I361, 'Green_rooibos initial weight'!$A$5:$A$1749,0)),"")</f>
        <v>2.0979999999999999</v>
      </c>
      <c r="L361" s="195">
        <f t="shared" si="53"/>
        <v>1.7432000000000001</v>
      </c>
      <c r="M361" s="240">
        <f>AVERAGE(Ashed_controlls!$K$1:$K$11)</f>
        <v>5.5147656768714146</v>
      </c>
      <c r="N361" s="195">
        <f t="shared" si="48"/>
        <v>1.6470666047207776</v>
      </c>
      <c r="O361" s="195">
        <f t="shared" si="54"/>
        <v>1.8481999999999998</v>
      </c>
      <c r="P361" s="240">
        <f>AVERAGE(Ashed_controlls!$K$12:$K$14)</f>
        <v>2.2816647271287041</v>
      </c>
      <c r="Q361" s="195">
        <f t="shared" si="49"/>
        <v>1.8060302725132071</v>
      </c>
      <c r="R361" s="16">
        <f>IF('Dry_Litterbag Placem_Collection'!G68="N.A","",'Dry_Litterbag Placem_Collection'!G68)</f>
        <v>43005</v>
      </c>
      <c r="S361" s="195">
        <f>IF(IFERROR(INDEX('Both teabags AfterDry'!$D$1:$D$839,MATCH(H361,'Both teabags AfterDry'!$A$1:$A$839,0)),"")="N.A","",(IFERROR(INDEX('Both teabags AfterDry'!$D$1:$D$839,MATCH(H361,'Both teabags AfterDry'!$A$1:$A$839,0)),"")))</f>
        <v>1.8367</v>
      </c>
      <c r="T361" s="195">
        <f>IF(IFERROR(INDEX('Both teabags AfterDry'!$D$1:$D$839,MATCH(I361,'Both teabags AfterDry'!$A$1:$A$839,0)),"")="N.A","",(IFERROR(INDEX('Both teabags AfterDry'!$D$1:$D$839,MATCH(I361,'Both teabags AfterDry'!$A$1:$A$839,0)),"")))</f>
        <v>1.9177</v>
      </c>
      <c r="U361" s="195">
        <f t="shared" si="55"/>
        <v>1.6860999999999999</v>
      </c>
      <c r="V361" s="195">
        <f t="shared" si="55"/>
        <v>1.7670999999999999</v>
      </c>
      <c r="W361" s="195">
        <f>IFERROR(INDEX('Ashed teabags dry'!$K$2:$K$821,MATCH(H361,'Ashed teabags dry'!$A$2:$A$821,0)),"")</f>
        <v>6.3484251968505419</v>
      </c>
      <c r="X361" s="195">
        <f>IFERROR(INDEX('Ashed teabags dry'!$K$2:$K$821,MATCH(I361,'Ashed teabags dry'!$A$2:$A$821,0)),"")</f>
        <v>2.2058823529412819</v>
      </c>
      <c r="Y361" s="195">
        <f t="shared" si="50"/>
        <v>1.5790592027559029</v>
      </c>
      <c r="Z361" s="195">
        <f t="shared" si="50"/>
        <v>1.7281198529411745</v>
      </c>
      <c r="AA361" s="195">
        <f t="shared" si="56"/>
        <v>4.129001326962356E-2</v>
      </c>
      <c r="AB361" s="195">
        <f t="shared" si="57"/>
        <v>2.706898732165345E-2</v>
      </c>
      <c r="AC361" s="195">
        <f t="shared" si="51"/>
        <v>0.95686095589991671</v>
      </c>
      <c r="AD361">
        <f t="shared" si="52"/>
        <v>68</v>
      </c>
      <c r="AE361" s="195">
        <f t="shared" si="58"/>
        <v>0.95096197948975825</v>
      </c>
      <c r="AF361" s="195" t="str">
        <f t="shared" si="59"/>
        <v/>
      </c>
      <c r="AG361" s="255" t="str">
        <f>IF(ISNUMBER(SEARCH("C", 'Dry_Litterbag Placem_Collection'!AD68)),"YES","NO")</f>
        <v>NO</v>
      </c>
      <c r="AH361" s="255" t="str">
        <f>IF(ISNUMBER(SEARCH("H", 'Dry_Litterbag Placem_Collection'!AD68)),"YES","NO")</f>
        <v>NO</v>
      </c>
      <c r="AI361" s="255" t="str">
        <f>IF(ISNUMBER(SEARCH("R", 'Dry_Litterbag Placem_Collection'!AD68)),"YES","NO")</f>
        <v>NO</v>
      </c>
      <c r="AJ361" s="255" t="str">
        <f>IF(ISNUMBER(SEARCH("C", 'Dry_Litterbag Placem_Collection'!AC68)),"YES","NO")</f>
        <v>NO</v>
      </c>
      <c r="AK361" s="255" t="str">
        <f>IF(ISNUMBER(SEARCH("H", 'Dry_Litterbag Placem_Collection'!AC68)),"YES","NO")</f>
        <v>NO</v>
      </c>
      <c r="AL361" s="255" t="str">
        <f>IF(ISNUMBER(SEARCH("R", 'Dry_Litterbag Placem_Collection'!AC68)),"YES","NO")</f>
        <v>NO</v>
      </c>
      <c r="AR361" t="s">
        <v>1199</v>
      </c>
      <c r="AT361" t="s">
        <v>505</v>
      </c>
    </row>
    <row r="362" spans="2:46">
      <c r="B362" t="str">
        <f>'Final data_for_R_analysis_Dryse'!A508</f>
        <v>Dry</v>
      </c>
      <c r="C362" s="263">
        <f>'Final data_for_R_analysis_Dryse'!B508</f>
        <v>67</v>
      </c>
      <c r="D362" t="s">
        <v>3836</v>
      </c>
      <c r="E362" t="s">
        <v>25</v>
      </c>
      <c r="F362" s="386">
        <v>3</v>
      </c>
      <c r="G362" s="390">
        <f>'Dry_Litterbag Placem_Collection'!E69</f>
        <v>0</v>
      </c>
      <c r="H362" s="92" t="str">
        <f>'Final data_for_R_analysis_Dryse'!J508</f>
        <v/>
      </c>
      <c r="I362" t="str">
        <f>'Final data_for_R_analysis_Dryse'!J728</f>
        <v/>
      </c>
      <c r="J362" t="str">
        <f>IFERROR(INDEX('Green_rooibos initial weight'!$C$5:$C$1749,MATCH(H362, 'Green_rooibos initial weight'!$A$5:$A$1749,0)),"")</f>
        <v/>
      </c>
      <c r="K362" t="str">
        <f>IFERROR(INDEX('Green_rooibos initial weight'!$C$5:$C$1749,MATCH(I362, 'Green_rooibos initial weight'!$A$5:$A$1749,0)),"")</f>
        <v/>
      </c>
      <c r="L362" s="195" t="str">
        <f t="shared" si="53"/>
        <v/>
      </c>
      <c r="M362" s="240">
        <f>AVERAGE(Ashed_controlls!$K$1:$K$11)</f>
        <v>5.5147656768714146</v>
      </c>
      <c r="N362" s="195" t="str">
        <f t="shared" si="48"/>
        <v/>
      </c>
      <c r="O362" s="195" t="str">
        <f t="shared" si="54"/>
        <v/>
      </c>
      <c r="P362" s="240">
        <f>AVERAGE(Ashed_controlls!$K$12:$K$14)</f>
        <v>2.2816647271287041</v>
      </c>
      <c r="Q362" s="195" t="str">
        <f t="shared" si="49"/>
        <v/>
      </c>
      <c r="R362" s="16">
        <f>IF('Dry_Litterbag Placem_Collection'!G69="N.A","",'Dry_Litterbag Placem_Collection'!G69)</f>
        <v>0</v>
      </c>
      <c r="S362" s="195" t="str">
        <f>IF(IFERROR(INDEX('Both teabags AfterDry'!$D$1:$D$839,MATCH(H362,'Both teabags AfterDry'!$A$1:$A$839,0)),"")="N.A","",(IFERROR(INDEX('Both teabags AfterDry'!$D$1:$D$839,MATCH(H362,'Both teabags AfterDry'!$A$1:$A$839,0)),"")))</f>
        <v/>
      </c>
      <c r="T362" s="195" t="str">
        <f>IF(IFERROR(INDEX('Both teabags AfterDry'!$D$1:$D$839,MATCH(I362,'Both teabags AfterDry'!$A$1:$A$839,0)),"")="N.A","",(IFERROR(INDEX('Both teabags AfterDry'!$D$1:$D$839,MATCH(I362,'Both teabags AfterDry'!$A$1:$A$839,0)),"")))</f>
        <v/>
      </c>
      <c r="U362" s="195" t="str">
        <f t="shared" si="55"/>
        <v/>
      </c>
      <c r="V362" s="195" t="str">
        <f t="shared" si="55"/>
        <v/>
      </c>
      <c r="W362" s="195" t="str">
        <f>IFERROR(INDEX('Ashed teabags dry'!$K$2:$K$821,MATCH(H362,'Ashed teabags dry'!$A$2:$A$821,0)),"")</f>
        <v/>
      </c>
      <c r="X362" s="195" t="str">
        <f>IFERROR(INDEX('Ashed teabags dry'!$K$2:$K$821,MATCH(I362,'Ashed teabags dry'!$A$2:$A$821,0)),"")</f>
        <v/>
      </c>
      <c r="Y362" s="195" t="str">
        <f t="shared" si="50"/>
        <v/>
      </c>
      <c r="Z362" s="195" t="str">
        <f t="shared" si="50"/>
        <v/>
      </c>
      <c r="AA362" s="195" t="str">
        <f t="shared" si="56"/>
        <v/>
      </c>
      <c r="AB362" s="195" t="str">
        <f t="shared" si="57"/>
        <v/>
      </c>
      <c r="AC362" s="195" t="str">
        <f t="shared" si="51"/>
        <v/>
      </c>
      <c r="AD362" t="str">
        <f t="shared" si="52"/>
        <v/>
      </c>
      <c r="AE362" s="195" t="str">
        <f t="shared" si="58"/>
        <v/>
      </c>
      <c r="AF362" s="195" t="str">
        <f t="shared" si="59"/>
        <v/>
      </c>
      <c r="AG362" s="255" t="str">
        <f>IF(ISNUMBER(SEARCH("C", 'Dry_Litterbag Placem_Collection'!AD69)),"YES","NO")</f>
        <v>NO</v>
      </c>
      <c r="AH362" s="255" t="str">
        <f>IF(ISNUMBER(SEARCH("H", 'Dry_Litterbag Placem_Collection'!AD69)),"YES","NO")</f>
        <v>NO</v>
      </c>
      <c r="AI362" s="255" t="str">
        <f>IF(ISNUMBER(SEARCH("R", 'Dry_Litterbag Placem_Collection'!AD69)),"YES","NO")</f>
        <v>NO</v>
      </c>
      <c r="AJ362" s="255" t="str">
        <f>IF(ISNUMBER(SEARCH("C", 'Dry_Litterbag Placem_Collection'!AC69)),"YES","NO")</f>
        <v>NO</v>
      </c>
      <c r="AK362" s="255" t="str">
        <f>IF(ISNUMBER(SEARCH("H", 'Dry_Litterbag Placem_Collection'!AC69)),"YES","NO")</f>
        <v>NO</v>
      </c>
      <c r="AL362" s="255" t="str">
        <f>IF(ISNUMBER(SEARCH("R", 'Dry_Litterbag Placem_Collection'!AC69)),"YES","NO")</f>
        <v>NO</v>
      </c>
      <c r="AR362" t="s">
        <v>3654</v>
      </c>
      <c r="AT362" t="s">
        <v>3654</v>
      </c>
    </row>
    <row r="363" spans="2:46">
      <c r="B363" t="str">
        <f>'Final data_for_R_analysis_Dryse'!A509</f>
        <v>Dry</v>
      </c>
      <c r="C363" s="263">
        <f>'Final data_for_R_analysis_Dryse'!B509</f>
        <v>68</v>
      </c>
      <c r="D363" t="s">
        <v>3836</v>
      </c>
      <c r="E363" t="s">
        <v>25</v>
      </c>
      <c r="F363" s="387">
        <v>4</v>
      </c>
      <c r="G363" s="16">
        <f>'Dry_Litterbag Placem_Collection'!E70</f>
        <v>42937</v>
      </c>
      <c r="H363" s="92" t="str">
        <f>'Final data_for_R_analysis_Dryse'!J509</f>
        <v>G467</v>
      </c>
      <c r="I363" t="str">
        <f>'Final data_for_R_analysis_Dryse'!J729</f>
        <v>R201</v>
      </c>
      <c r="J363">
        <f>IFERROR(INDEX('Green_rooibos initial weight'!$C$5:$C$1749,MATCH(H363, 'Green_rooibos initial weight'!$A$5:$A$1749,0)),"")</f>
        <v>2.0259999999999998</v>
      </c>
      <c r="K363">
        <f>IFERROR(INDEX('Green_rooibos initial weight'!$C$5:$C$1749,MATCH(I363, 'Green_rooibos initial weight'!$A$5:$A$1749,0)),"")</f>
        <v>2.2349999999999999</v>
      </c>
      <c r="L363" s="195">
        <f t="shared" si="53"/>
        <v>1.7761999999999998</v>
      </c>
      <c r="M363" s="240">
        <f>AVERAGE(Ashed_controlls!$K$1:$K$11)</f>
        <v>5.5147656768714146</v>
      </c>
      <c r="N363" s="195">
        <f t="shared" si="48"/>
        <v>1.6782467320474097</v>
      </c>
      <c r="O363" s="195">
        <f t="shared" si="54"/>
        <v>1.9851999999999999</v>
      </c>
      <c r="P363" s="240">
        <f>AVERAGE(Ashed_controlls!$K$12:$K$14)</f>
        <v>2.2816647271287041</v>
      </c>
      <c r="Q363" s="195">
        <f t="shared" si="49"/>
        <v>1.9399043918370409</v>
      </c>
      <c r="R363" s="16">
        <f>IF('Dry_Litterbag Placem_Collection'!G70="N.A","",'Dry_Litterbag Placem_Collection'!G70)</f>
        <v>43005</v>
      </c>
      <c r="S363" s="195">
        <f>IF(IFERROR(INDEX('Both teabags AfterDry'!$D$1:$D$839,MATCH(H363,'Both teabags AfterDry'!$A$1:$A$839,0)),"")="N.A","",(IFERROR(INDEX('Both teabags AfterDry'!$D$1:$D$839,MATCH(H363,'Both teabags AfterDry'!$A$1:$A$839,0)),"")))</f>
        <v>1.8359000000000001</v>
      </c>
      <c r="T363" s="195">
        <f>IF(IFERROR(INDEX('Both teabags AfterDry'!$D$1:$D$839,MATCH(I363,'Both teabags AfterDry'!$A$1:$A$839,0)),"")="N.A","",(IFERROR(INDEX('Both teabags AfterDry'!$D$1:$D$839,MATCH(I363,'Both teabags AfterDry'!$A$1:$A$839,0)),"")))</f>
        <v>2.0015000000000001</v>
      </c>
      <c r="U363" s="195">
        <f t="shared" si="55"/>
        <v>1.6853</v>
      </c>
      <c r="V363" s="195">
        <f t="shared" si="55"/>
        <v>1.8509</v>
      </c>
      <c r="W363" s="195">
        <f>IFERROR(INDEX('Ashed teabags dry'!$K$2:$K$821,MATCH(H363,'Ashed teabags dry'!$A$2:$A$821,0)),"")</f>
        <v>5.6516237874314612</v>
      </c>
      <c r="X363" s="195">
        <f>IFERROR(INDEX('Ashed teabags dry'!$K$2:$K$821,MATCH(I363,'Ashed teabags dry'!$A$2:$A$821,0)),"")</f>
        <v>3.2690695725061474</v>
      </c>
      <c r="Y363" s="195">
        <f t="shared" si="50"/>
        <v>1.5900531843104175</v>
      </c>
      <c r="Z363" s="195">
        <f t="shared" si="50"/>
        <v>1.7903927912824837</v>
      </c>
      <c r="AA363" s="195">
        <f t="shared" si="56"/>
        <v>5.2551002217295362E-2</v>
      </c>
      <c r="AB363" s="195">
        <f t="shared" si="57"/>
        <v>3.4451488389485828E-2</v>
      </c>
      <c r="AC363" s="195">
        <f t="shared" si="51"/>
        <v>0.92292836637532771</v>
      </c>
      <c r="AD363">
        <f t="shared" si="52"/>
        <v>68</v>
      </c>
      <c r="AE363" s="195">
        <f t="shared" si="58"/>
        <v>0.93758788335238075</v>
      </c>
      <c r="AF363" s="195" t="str">
        <f t="shared" si="59"/>
        <v/>
      </c>
      <c r="AG363" s="255" t="str">
        <f>IF(ISNUMBER(SEARCH("C", 'Dry_Litterbag Placem_Collection'!AD70)),"YES","NO")</f>
        <v>NO</v>
      </c>
      <c r="AH363" s="255" t="str">
        <f>IF(ISNUMBER(SEARCH("H", 'Dry_Litterbag Placem_Collection'!AD70)),"YES","NO")</f>
        <v>NO</v>
      </c>
      <c r="AI363" s="255" t="str">
        <f>IF(ISNUMBER(SEARCH("R", 'Dry_Litterbag Placem_Collection'!AD70)),"YES","NO")</f>
        <v>NO</v>
      </c>
      <c r="AJ363" s="255" t="str">
        <f>IF(ISNUMBER(SEARCH("C", 'Dry_Litterbag Placem_Collection'!AC70)),"YES","NO")</f>
        <v>NO</v>
      </c>
      <c r="AK363" s="255" t="str">
        <f>IF(ISNUMBER(SEARCH("H", 'Dry_Litterbag Placem_Collection'!AC70)),"YES","NO")</f>
        <v>NO</v>
      </c>
      <c r="AL363" s="255" t="str">
        <f>IF(ISNUMBER(SEARCH("R", 'Dry_Litterbag Placem_Collection'!AC70)),"YES","NO")</f>
        <v>NO</v>
      </c>
      <c r="AR363" t="s">
        <v>1583</v>
      </c>
      <c r="AT363" t="s">
        <v>940</v>
      </c>
    </row>
    <row r="364" spans="2:46">
      <c r="B364" t="str">
        <f>'Final data_for_R_analysis_Dryse'!A510</f>
        <v>Dry</v>
      </c>
      <c r="C364" s="263">
        <f>'Final data_for_R_analysis_Dryse'!B510</f>
        <v>69</v>
      </c>
      <c r="D364" t="s">
        <v>3836</v>
      </c>
      <c r="E364" t="s">
        <v>25</v>
      </c>
      <c r="F364" s="387">
        <v>5</v>
      </c>
      <c r="G364" s="16">
        <f>'Dry_Litterbag Placem_Collection'!E71</f>
        <v>42937</v>
      </c>
      <c r="H364" s="92" t="str">
        <f>'Final data_for_R_analysis_Dryse'!J510</f>
        <v>G766</v>
      </c>
      <c r="I364" t="str">
        <f>'Final data_for_R_analysis_Dryse'!J730</f>
        <v>R174</v>
      </c>
      <c r="J364">
        <f>IFERROR(INDEX('Green_rooibos initial weight'!$C$5:$C$1749,MATCH(H364, 'Green_rooibos initial weight'!$A$5:$A$1749,0)),"")</f>
        <v>2.0409999999999999</v>
      </c>
      <c r="K364">
        <f>IFERROR(INDEX('Green_rooibos initial weight'!$C$5:$C$1749,MATCH(I364, 'Green_rooibos initial weight'!$A$5:$A$1749,0)),"")</f>
        <v>2.2410000000000001</v>
      </c>
      <c r="L364" s="195">
        <f t="shared" si="53"/>
        <v>1.7911999999999999</v>
      </c>
      <c r="M364" s="240">
        <f>AVERAGE(Ashed_controlls!$K$1:$K$11)</f>
        <v>5.5147656768714146</v>
      </c>
      <c r="N364" s="195">
        <f t="shared" si="48"/>
        <v>1.6924195171958791</v>
      </c>
      <c r="O364" s="195">
        <f t="shared" si="54"/>
        <v>1.9912000000000001</v>
      </c>
      <c r="P364" s="240">
        <f>AVERAGE(Ashed_controlls!$K$12:$K$14)</f>
        <v>2.2816647271287041</v>
      </c>
      <c r="Q364" s="195">
        <f t="shared" si="49"/>
        <v>1.9457674919534134</v>
      </c>
      <c r="R364" s="16">
        <f>IF('Dry_Litterbag Placem_Collection'!G71="N.A","",'Dry_Litterbag Placem_Collection'!G71)</f>
        <v>43006</v>
      </c>
      <c r="S364" s="195">
        <f>IF(IFERROR(INDEX('Both teabags AfterDry'!$D$1:$D$839,MATCH(H364,'Both teabags AfterDry'!$A$1:$A$839,0)),"")="N.A","",(IFERROR(INDEX('Both teabags AfterDry'!$D$1:$D$839,MATCH(H364,'Both teabags AfterDry'!$A$1:$A$839,0)),"")))</f>
        <v>1.8654999999999999</v>
      </c>
      <c r="T364" s="195">
        <f>IF(IFERROR(INDEX('Both teabags AfterDry'!$D$1:$D$839,MATCH(I364,'Both teabags AfterDry'!$A$1:$A$839,0)),"")="N.A","",(IFERROR(INDEX('Both teabags AfterDry'!$D$1:$D$839,MATCH(I364,'Both teabags AfterDry'!$A$1:$A$839,0)),"")))</f>
        <v>1.9946999999999999</v>
      </c>
      <c r="U364" s="195">
        <f t="shared" si="55"/>
        <v>1.7148999999999999</v>
      </c>
      <c r="V364" s="195">
        <f t="shared" si="55"/>
        <v>1.8440999999999999</v>
      </c>
      <c r="W364" s="195">
        <f>IFERROR(INDEX('Ashed teabags dry'!$K$2:$K$821,MATCH(H364,'Ashed teabags dry'!$A$2:$A$821,0)),"")</f>
        <v>6.0009837678305544</v>
      </c>
      <c r="X364" s="195">
        <f>IFERROR(INDEX('Ashed teabags dry'!$K$2:$K$821,MATCH(I364,'Ashed teabags dry'!$A$2:$A$821,0)),"")</f>
        <v>2.7638190954781701</v>
      </c>
      <c r="Y364" s="195">
        <f t="shared" si="50"/>
        <v>1.6119891293654738</v>
      </c>
      <c r="Z364" s="195">
        <f t="shared" si="50"/>
        <v>1.793132412060287</v>
      </c>
      <c r="AA364" s="195">
        <f t="shared" si="56"/>
        <v>4.7523907053298564E-2</v>
      </c>
      <c r="AB364" s="195">
        <f t="shared" si="57"/>
        <v>3.1155815550380991E-2</v>
      </c>
      <c r="AC364" s="195">
        <f t="shared" si="51"/>
        <v>0.92155533457911176</v>
      </c>
      <c r="AD364">
        <f t="shared" si="52"/>
        <v>69</v>
      </c>
      <c r="AE364" s="195">
        <f t="shared" si="58"/>
        <v>0.94355830516235328</v>
      </c>
      <c r="AF364" s="195" t="str">
        <f t="shared" si="59"/>
        <v/>
      </c>
      <c r="AG364" s="255" t="str">
        <f>IF(ISNUMBER(SEARCH("C", 'Dry_Litterbag Placem_Collection'!AD71)),"YES","NO")</f>
        <v>NO</v>
      </c>
      <c r="AH364" s="255" t="str">
        <f>IF(ISNUMBER(SEARCH("H", 'Dry_Litterbag Placem_Collection'!AD71)),"YES","NO")</f>
        <v>NO</v>
      </c>
      <c r="AI364" s="255" t="str">
        <f>IF(ISNUMBER(SEARCH("R", 'Dry_Litterbag Placem_Collection'!AD71)),"YES","NO")</f>
        <v>NO</v>
      </c>
      <c r="AJ364" s="255" t="str">
        <f>IF(ISNUMBER(SEARCH("C", 'Dry_Litterbag Placem_Collection'!AC71)),"YES","NO")</f>
        <v>NO</v>
      </c>
      <c r="AK364" s="255" t="str">
        <f>IF(ISNUMBER(SEARCH("H", 'Dry_Litterbag Placem_Collection'!AC71)),"YES","NO")</f>
        <v>NO</v>
      </c>
      <c r="AL364" s="255" t="str">
        <f>IF(ISNUMBER(SEARCH("R", 'Dry_Litterbag Placem_Collection'!AC71)),"YES","NO")</f>
        <v>NO</v>
      </c>
      <c r="AR364" t="s">
        <v>1284</v>
      </c>
      <c r="AT364" t="s">
        <v>967</v>
      </c>
    </row>
    <row r="365" spans="2:46">
      <c r="B365" t="str">
        <f>'Final data_for_R_analysis_Dryse'!A511</f>
        <v>Dry</v>
      </c>
      <c r="C365" s="263">
        <f>'Final data_for_R_analysis_Dryse'!B511</f>
        <v>70</v>
      </c>
      <c r="D365" t="s">
        <v>3836</v>
      </c>
      <c r="E365" t="s">
        <v>25</v>
      </c>
      <c r="F365" s="387">
        <v>6</v>
      </c>
      <c r="G365" s="16">
        <f>'Dry_Litterbag Placem_Collection'!E72</f>
        <v>42937</v>
      </c>
      <c r="H365" s="92" t="str">
        <f>'Final data_for_R_analysis_Dryse'!J511</f>
        <v>G430</v>
      </c>
      <c r="I365" t="str">
        <f>'Final data_for_R_analysis_Dryse'!J731</f>
        <v>R261</v>
      </c>
      <c r="J365">
        <f>IFERROR(INDEX('Green_rooibos initial weight'!$C$5:$C$1749,MATCH(H365, 'Green_rooibos initial weight'!$A$5:$A$1749,0)),"")</f>
        <v>2.09</v>
      </c>
      <c r="K365">
        <f>IFERROR(INDEX('Green_rooibos initial weight'!$C$5:$C$1749,MATCH(I365, 'Green_rooibos initial weight'!$A$5:$A$1749,0)),"")</f>
        <v>2.2080000000000002</v>
      </c>
      <c r="L365" s="195">
        <f t="shared" si="53"/>
        <v>1.8401999999999998</v>
      </c>
      <c r="M365" s="240">
        <f>AVERAGE(Ashed_controlls!$K$1:$K$11)</f>
        <v>5.5147656768714146</v>
      </c>
      <c r="N365" s="195">
        <f t="shared" si="48"/>
        <v>1.7387172820142121</v>
      </c>
      <c r="O365" s="195">
        <f t="shared" si="54"/>
        <v>1.9582000000000002</v>
      </c>
      <c r="P365" s="240">
        <f>AVERAGE(Ashed_controlls!$K$12:$K$14)</f>
        <v>2.2816647271287041</v>
      </c>
      <c r="Q365" s="195">
        <f t="shared" si="49"/>
        <v>1.913520441313366</v>
      </c>
      <c r="R365" s="16">
        <f>IF('Dry_Litterbag Placem_Collection'!G72="N.A","",'Dry_Litterbag Placem_Collection'!G72)</f>
        <v>43006</v>
      </c>
      <c r="S365" s="195">
        <f>IF(IFERROR(INDEX('Both teabags AfterDry'!$D$1:$D$839,MATCH(H365,'Both teabags AfterDry'!$A$1:$A$839,0)),"")="N.A","",(IFERROR(INDEX('Both teabags AfterDry'!$D$1:$D$839,MATCH(H365,'Both teabags AfterDry'!$A$1:$A$839,0)),"")))</f>
        <v>1.8875999999999999</v>
      </c>
      <c r="T365" s="195">
        <f>IF(IFERROR(INDEX('Both teabags AfterDry'!$D$1:$D$839,MATCH(I365,'Both teabags AfterDry'!$A$1:$A$839,0)),"")="N.A","",(IFERROR(INDEX('Both teabags AfterDry'!$D$1:$D$839,MATCH(I365,'Both teabags AfterDry'!$A$1:$A$839,0)),"")))</f>
        <v>1.9642999999999999</v>
      </c>
      <c r="U365" s="195">
        <f t="shared" si="55"/>
        <v>1.7369999999999999</v>
      </c>
      <c r="V365" s="195">
        <f t="shared" si="55"/>
        <v>1.8136999999999999</v>
      </c>
      <c r="W365" s="195">
        <f>IFERROR(INDEX('Ashed teabags dry'!$K$2:$K$821,MATCH(H365,'Ashed teabags dry'!$A$2:$A$821,0)),"")</f>
        <v>5.6997022543597504</v>
      </c>
      <c r="X365" s="195">
        <f>IFERROR(INDEX('Ashed teabags dry'!$K$2:$K$821,MATCH(I365,'Ashed teabags dry'!$A$2:$A$821,0)),"")</f>
        <v>3.9428289797936209</v>
      </c>
      <c r="Y365" s="195">
        <f t="shared" si="50"/>
        <v>1.637996171841771</v>
      </c>
      <c r="Z365" s="195">
        <f t="shared" si="50"/>
        <v>1.7421889107934829</v>
      </c>
      <c r="AA365" s="195">
        <f t="shared" si="56"/>
        <v>5.7928399984476409E-2</v>
      </c>
      <c r="AB365" s="195">
        <f t="shared" si="57"/>
        <v>3.7976813291485695E-2</v>
      </c>
      <c r="AC365" s="195">
        <f t="shared" si="51"/>
        <v>0.91046265991165076</v>
      </c>
      <c r="AD365">
        <f t="shared" si="52"/>
        <v>69</v>
      </c>
      <c r="AE365" s="195">
        <f t="shared" si="58"/>
        <v>0.93120142519658389</v>
      </c>
      <c r="AF365" s="195" t="str">
        <f t="shared" si="59"/>
        <v/>
      </c>
      <c r="AG365" s="255" t="str">
        <f>IF(ISNUMBER(SEARCH("C", 'Dry_Litterbag Placem_Collection'!AD72)),"YES","NO")</f>
        <v>NO</v>
      </c>
      <c r="AH365" s="255" t="str">
        <f>IF(ISNUMBER(SEARCH("H", 'Dry_Litterbag Placem_Collection'!AD72)),"YES","NO")</f>
        <v>NO</v>
      </c>
      <c r="AI365" s="255" t="str">
        <f>IF(ISNUMBER(SEARCH("R", 'Dry_Litterbag Placem_Collection'!AD72)),"YES","NO")</f>
        <v>NO</v>
      </c>
      <c r="AJ365" s="255" t="str">
        <f>IF(ISNUMBER(SEARCH("C", 'Dry_Litterbag Placem_Collection'!AC72)),"YES","NO")</f>
        <v>NO</v>
      </c>
      <c r="AK365" s="255" t="str">
        <f>IF(ISNUMBER(SEARCH("H", 'Dry_Litterbag Placem_Collection'!AC72)),"YES","NO")</f>
        <v>NO</v>
      </c>
      <c r="AL365" s="255" t="str">
        <f>IF(ISNUMBER(SEARCH("R", 'Dry_Litterbag Placem_Collection'!AC72)),"YES","NO")</f>
        <v>NO</v>
      </c>
      <c r="AR365" t="s">
        <v>1620</v>
      </c>
      <c r="AT365" t="s">
        <v>880</v>
      </c>
    </row>
    <row r="366" spans="2:46">
      <c r="B366" t="str">
        <f>'Final data_for_R_analysis_Dryse'!A512</f>
        <v>Dry</v>
      </c>
      <c r="C366" s="263">
        <f>'Final data_for_R_analysis_Dryse'!B512</f>
        <v>71</v>
      </c>
      <c r="D366" t="s">
        <v>3836</v>
      </c>
      <c r="E366" t="s">
        <v>25</v>
      </c>
      <c r="F366" s="387">
        <v>7</v>
      </c>
      <c r="G366" s="16">
        <f>'Dry_Litterbag Placem_Collection'!E73</f>
        <v>42937</v>
      </c>
      <c r="H366" s="92" t="str">
        <f>'Final data_for_R_analysis_Dryse'!J512</f>
        <v>G174</v>
      </c>
      <c r="I366" t="str">
        <f>'Final data_for_R_analysis_Dryse'!J732</f>
        <v>R203</v>
      </c>
      <c r="J366">
        <f>IFERROR(INDEX('Green_rooibos initial weight'!$C$5:$C$1749,MATCH(H366, 'Green_rooibos initial weight'!$A$5:$A$1749,0)),"")</f>
        <v>2.0649999999999999</v>
      </c>
      <c r="K366">
        <f>IFERROR(INDEX('Green_rooibos initial weight'!$C$5:$C$1749,MATCH(I366, 'Green_rooibos initial weight'!$A$5:$A$1749,0)),"")</f>
        <v>2.2839999999999998</v>
      </c>
      <c r="L366" s="195">
        <f t="shared" si="53"/>
        <v>1.8151999999999999</v>
      </c>
      <c r="M366" s="240">
        <f>AVERAGE(Ashed_controlls!$K$1:$K$11)</f>
        <v>5.5147656768714146</v>
      </c>
      <c r="N366" s="195">
        <f t="shared" si="48"/>
        <v>1.7150959734334301</v>
      </c>
      <c r="O366" s="195">
        <f t="shared" si="54"/>
        <v>2.0341999999999998</v>
      </c>
      <c r="P366" s="240">
        <f>AVERAGE(Ashed_controlls!$K$12:$K$14)</f>
        <v>2.2816647271287041</v>
      </c>
      <c r="Q366" s="195">
        <f t="shared" si="49"/>
        <v>1.9877863761207477</v>
      </c>
      <c r="R366" s="16">
        <f>IF('Dry_Litterbag Placem_Collection'!G73="N.A","",'Dry_Litterbag Placem_Collection'!G73)</f>
        <v>43006</v>
      </c>
      <c r="S366" s="195">
        <f>IF(IFERROR(INDEX('Both teabags AfterDry'!$D$1:$D$839,MATCH(H366,'Both teabags AfterDry'!$A$1:$A$839,0)),"")="N.A","",(IFERROR(INDEX('Both teabags AfterDry'!$D$1:$D$839,MATCH(H366,'Both teabags AfterDry'!$A$1:$A$839,0)),"")))</f>
        <v>1.8838999999999999</v>
      </c>
      <c r="T366" s="195">
        <f>IF(IFERROR(INDEX('Both teabags AfterDry'!$D$1:$D$839,MATCH(I366,'Both teabags AfterDry'!$A$1:$A$839,0)),"")="N.A","",(IFERROR(INDEX('Both teabags AfterDry'!$D$1:$D$839,MATCH(I366,'Both teabags AfterDry'!$A$1:$A$839,0)),"")))</f>
        <v>2.0466000000000002</v>
      </c>
      <c r="U366" s="195">
        <f t="shared" si="55"/>
        <v>1.7332999999999998</v>
      </c>
      <c r="V366" s="195">
        <f t="shared" si="55"/>
        <v>1.8960000000000001</v>
      </c>
      <c r="W366" s="195">
        <f>IFERROR(INDEX('Ashed teabags dry'!$K$2:$K$821,MATCH(H366,'Ashed teabags dry'!$A$2:$A$821,0)),"")</f>
        <v>5.4401582591501034</v>
      </c>
      <c r="X366" s="195">
        <f>IFERROR(INDEX('Ashed teabags dry'!$K$2:$K$821,MATCH(I366,'Ashed teabags dry'!$A$2:$A$821,0)),"")</f>
        <v>3.3625730994153482</v>
      </c>
      <c r="Y366" s="195">
        <f t="shared" si="50"/>
        <v>1.6390057368941511</v>
      </c>
      <c r="Z366" s="195">
        <f t="shared" si="50"/>
        <v>1.8322456140350851</v>
      </c>
      <c r="AA366" s="195">
        <f t="shared" si="56"/>
        <v>4.4365002144430954E-2</v>
      </c>
      <c r="AB366" s="195">
        <f t="shared" si="57"/>
        <v>2.9084894517489183E-2</v>
      </c>
      <c r="AC366" s="195">
        <f t="shared" si="51"/>
        <v>0.92175177174259182</v>
      </c>
      <c r="AD366">
        <f t="shared" si="52"/>
        <v>69</v>
      </c>
      <c r="AE366" s="195">
        <f t="shared" si="58"/>
        <v>0.94730997370020076</v>
      </c>
      <c r="AF366" s="195" t="str">
        <f t="shared" si="59"/>
        <v/>
      </c>
      <c r="AG366" s="255" t="str">
        <f>IF(ISNUMBER(SEARCH("C", 'Dry_Litterbag Placem_Collection'!AD73)),"YES","NO")</f>
        <v>NO</v>
      </c>
      <c r="AH366" s="255" t="str">
        <f>IF(ISNUMBER(SEARCH("H", 'Dry_Litterbag Placem_Collection'!AD73)),"YES","NO")</f>
        <v>NO</v>
      </c>
      <c r="AI366" s="255" t="str">
        <f>IF(ISNUMBER(SEARCH("R", 'Dry_Litterbag Placem_Collection'!AD73)),"YES","NO")</f>
        <v>NO</v>
      </c>
      <c r="AJ366" s="255" t="str">
        <f>IF(ISNUMBER(SEARCH("C", 'Dry_Litterbag Placem_Collection'!AC73)),"YES","NO")</f>
        <v>NO</v>
      </c>
      <c r="AK366" s="255" t="str">
        <f>IF(ISNUMBER(SEARCH("H", 'Dry_Litterbag Placem_Collection'!AC73)),"YES","NO")</f>
        <v>NO</v>
      </c>
      <c r="AL366" s="255" t="str">
        <f>IF(ISNUMBER(SEARCH("R", 'Dry_Litterbag Placem_Collection'!AC73)),"YES","NO")</f>
        <v>NO</v>
      </c>
      <c r="AR366" t="s">
        <v>1876</v>
      </c>
      <c r="AT366" t="s">
        <v>938</v>
      </c>
    </row>
    <row r="367" spans="2:46">
      <c r="B367" t="str">
        <f>'Final data_for_R_analysis_Dryse'!A513</f>
        <v>Dry</v>
      </c>
      <c r="C367" s="263">
        <f>'Final data_for_R_analysis_Dryse'!B513</f>
        <v>72</v>
      </c>
      <c r="D367" t="s">
        <v>3836</v>
      </c>
      <c r="E367" t="s">
        <v>25</v>
      </c>
      <c r="F367" s="387">
        <v>8</v>
      </c>
      <c r="G367" s="16">
        <f>'Dry_Litterbag Placem_Collection'!E74</f>
        <v>42937</v>
      </c>
      <c r="H367" s="92" t="str">
        <f>'Final data_for_R_analysis_Dryse'!J513</f>
        <v>G714</v>
      </c>
      <c r="I367" t="str">
        <f>'Final data_for_R_analysis_Dryse'!J733</f>
        <v>R191</v>
      </c>
      <c r="J367">
        <f>IFERROR(INDEX('Green_rooibos initial weight'!$C$5:$C$1749,MATCH(H367, 'Green_rooibos initial weight'!$A$5:$A$1749,0)),"")</f>
        <v>2.0459999999999998</v>
      </c>
      <c r="K367">
        <f>IFERROR(INDEX('Green_rooibos initial weight'!$C$5:$C$1749,MATCH(I367, 'Green_rooibos initial weight'!$A$5:$A$1749,0)),"")</f>
        <v>2.1789999999999998</v>
      </c>
      <c r="L367" s="195">
        <f t="shared" si="53"/>
        <v>1.7961999999999998</v>
      </c>
      <c r="M367" s="240">
        <f>AVERAGE(Ashed_controlls!$K$1:$K$11)</f>
        <v>5.5147656768714146</v>
      </c>
      <c r="N367" s="195">
        <f t="shared" si="48"/>
        <v>1.6971437789120354</v>
      </c>
      <c r="O367" s="195">
        <f t="shared" si="54"/>
        <v>1.9291999999999998</v>
      </c>
      <c r="P367" s="240">
        <f>AVERAGE(Ashed_controlls!$K$12:$K$14)</f>
        <v>2.2816647271287041</v>
      </c>
      <c r="Q367" s="195">
        <f t="shared" si="49"/>
        <v>1.8851821240842328</v>
      </c>
      <c r="R367" s="16">
        <f>IF('Dry_Litterbag Placem_Collection'!G74="N.A","",'Dry_Litterbag Placem_Collection'!G74)</f>
        <v>43006</v>
      </c>
      <c r="S367" s="195">
        <f>IF(IFERROR(INDEX('Both teabags AfterDry'!$D$1:$D$839,MATCH(H367,'Both teabags AfterDry'!$A$1:$A$839,0)),"")="N.A","",(IFERROR(INDEX('Both teabags AfterDry'!$D$1:$D$839,MATCH(H367,'Both teabags AfterDry'!$A$1:$A$839,0)),"")))</f>
        <v>1.8528</v>
      </c>
      <c r="T367" s="195">
        <f>IF(IFERROR(INDEX('Both teabags AfterDry'!$D$1:$D$839,MATCH(I367,'Both teabags AfterDry'!$A$1:$A$839,0)),"")="N.A","",(IFERROR(INDEX('Both teabags AfterDry'!$D$1:$D$839,MATCH(I367,'Both teabags AfterDry'!$A$1:$A$839,0)),"")))</f>
        <v>1.9675</v>
      </c>
      <c r="U367" s="195">
        <f t="shared" si="55"/>
        <v>1.7021999999999999</v>
      </c>
      <c r="V367" s="195">
        <f t="shared" si="55"/>
        <v>1.8169</v>
      </c>
      <c r="W367" s="195">
        <f>IFERROR(INDEX('Ashed teabags dry'!$K$2:$K$821,MATCH(H367,'Ashed teabags dry'!$A$2:$A$821,0)),"")</f>
        <v>5.4821341164956561</v>
      </c>
      <c r="X367" s="195">
        <f>IFERROR(INDEX('Ashed teabags dry'!$K$2:$K$821,MATCH(I367,'Ashed teabags dry'!$A$2:$A$821,0)),"")</f>
        <v>1.8121125417263937</v>
      </c>
      <c r="Y367" s="195">
        <f t="shared" si="50"/>
        <v>1.6088831130690109</v>
      </c>
      <c r="Z367" s="195">
        <f t="shared" si="50"/>
        <v>1.783975727229373</v>
      </c>
      <c r="AA367" s="195">
        <f t="shared" si="56"/>
        <v>5.2005414591098753E-2</v>
      </c>
      <c r="AB367" s="195">
        <f t="shared" si="57"/>
        <v>3.4093810990839114E-2</v>
      </c>
      <c r="AC367" s="195">
        <f t="shared" si="51"/>
        <v>0.9463147907239875</v>
      </c>
      <c r="AD367">
        <f t="shared" si="52"/>
        <v>69</v>
      </c>
      <c r="AE367" s="195">
        <f t="shared" si="58"/>
        <v>0.93823584965427698</v>
      </c>
      <c r="AF367" s="195" t="str">
        <f t="shared" si="59"/>
        <v/>
      </c>
      <c r="AG367" s="255" t="str">
        <f>IF(ISNUMBER(SEARCH("C", 'Dry_Litterbag Placem_Collection'!AD74)),"YES","NO")</f>
        <v>NO</v>
      </c>
      <c r="AH367" s="255" t="str">
        <f>IF(ISNUMBER(SEARCH("H", 'Dry_Litterbag Placem_Collection'!AD74)),"YES","NO")</f>
        <v>NO</v>
      </c>
      <c r="AI367" s="255" t="str">
        <f>IF(ISNUMBER(SEARCH("R", 'Dry_Litterbag Placem_Collection'!AD74)),"YES","NO")</f>
        <v>NO</v>
      </c>
      <c r="AJ367" s="255" t="str">
        <f>IF(ISNUMBER(SEARCH("C", 'Dry_Litterbag Placem_Collection'!AC74)),"YES","NO")</f>
        <v>NO</v>
      </c>
      <c r="AK367" s="255" t="str">
        <f>IF(ISNUMBER(SEARCH("H", 'Dry_Litterbag Placem_Collection'!AC74)),"YES","NO")</f>
        <v>NO</v>
      </c>
      <c r="AL367" s="255" t="str">
        <f>IF(ISNUMBER(SEARCH("R", 'Dry_Litterbag Placem_Collection'!AC74)),"YES","NO")</f>
        <v>NO</v>
      </c>
      <c r="AR367" t="s">
        <v>1336</v>
      </c>
      <c r="AT367" t="s">
        <v>950</v>
      </c>
    </row>
    <row r="368" spans="2:46">
      <c r="B368" t="str">
        <f>'Final data_for_R_analysis_Dryse'!A514</f>
        <v>Dry</v>
      </c>
      <c r="C368" s="263">
        <f>'Final data_for_R_analysis_Dryse'!B514</f>
        <v>73</v>
      </c>
      <c r="D368" t="s">
        <v>3838</v>
      </c>
      <c r="E368" t="s">
        <v>25</v>
      </c>
      <c r="F368" s="386">
        <v>1</v>
      </c>
      <c r="G368" s="16">
        <f>'Dry_Litterbag Placem_Collection'!E75</f>
        <v>42937</v>
      </c>
      <c r="H368" s="92" t="str">
        <f>'Final data_for_R_analysis_Dryse'!J514</f>
        <v>G726</v>
      </c>
      <c r="I368" t="str">
        <f>'Final data_for_R_analysis_Dryse'!J734</f>
        <v>R160</v>
      </c>
      <c r="J368">
        <f>IFERROR(INDEX('Green_rooibos initial weight'!$C$5:$C$1749,MATCH(H368, 'Green_rooibos initial weight'!$A$5:$A$1749,0)),"")</f>
        <v>1.9950000000000001</v>
      </c>
      <c r="K368">
        <f>IFERROR(INDEX('Green_rooibos initial weight'!$C$5:$C$1749,MATCH(I368, 'Green_rooibos initial weight'!$A$5:$A$1749,0)),"")</f>
        <v>2.1880000000000002</v>
      </c>
      <c r="L368" s="195">
        <f t="shared" si="53"/>
        <v>1.7452000000000001</v>
      </c>
      <c r="M368" s="240">
        <f>AVERAGE(Ashed_controlls!$K$1:$K$11)</f>
        <v>5.5147656768714146</v>
      </c>
      <c r="N368" s="195">
        <f t="shared" si="48"/>
        <v>1.6489563094072401</v>
      </c>
      <c r="O368" s="195">
        <f t="shared" si="54"/>
        <v>1.9382000000000001</v>
      </c>
      <c r="P368" s="240">
        <f>AVERAGE(Ashed_controlls!$K$12:$K$14)</f>
        <v>2.2816647271287041</v>
      </c>
      <c r="Q368" s="195">
        <f t="shared" si="49"/>
        <v>1.8939767742587916</v>
      </c>
      <c r="R368" s="16">
        <f>IF('Dry_Litterbag Placem_Collection'!G75="N.A","",'Dry_Litterbag Placem_Collection'!G75)</f>
        <v>43006</v>
      </c>
      <c r="S368" s="195" t="str">
        <f>IF(IFERROR(INDEX('Both teabags AfterDry'!$D$1:$D$839,MATCH(H368,'Both teabags AfterDry'!$A$1:$A$839,0)),"")="N.A","",(IFERROR(INDEX('Both teabags AfterDry'!$D$1:$D$839,MATCH(H368,'Both teabags AfterDry'!$A$1:$A$839,0)),"")))</f>
        <v/>
      </c>
      <c r="T368" s="195" t="str">
        <f>IF(IFERROR(INDEX('Both teabags AfterDry'!$D$1:$D$839,MATCH(I368,'Both teabags AfterDry'!$A$1:$A$839,0)),"")="N.A","",(IFERROR(INDEX('Both teabags AfterDry'!$D$1:$D$839,MATCH(I368,'Both teabags AfterDry'!$A$1:$A$839,0)),"")))</f>
        <v/>
      </c>
      <c r="U368" s="195" t="str">
        <f t="shared" si="55"/>
        <v/>
      </c>
      <c r="V368" s="195" t="str">
        <f t="shared" si="55"/>
        <v/>
      </c>
      <c r="W368" s="195" t="str">
        <f>IFERROR(INDEX('Ashed teabags dry'!$K$2:$K$821,MATCH(H368,'Ashed teabags dry'!$A$2:$A$821,0)),"")</f>
        <v/>
      </c>
      <c r="X368" s="195" t="str">
        <f>IFERROR(INDEX('Ashed teabags dry'!$K$2:$K$821,MATCH(I368,'Ashed teabags dry'!$A$2:$A$821,0)),"")</f>
        <v/>
      </c>
      <c r="Y368" s="195" t="str">
        <f t="shared" si="50"/>
        <v/>
      </c>
      <c r="Z368" s="195" t="str">
        <f t="shared" si="50"/>
        <v/>
      </c>
      <c r="AA368" s="195" t="str">
        <f t="shared" si="56"/>
        <v/>
      </c>
      <c r="AB368" s="195" t="str">
        <f t="shared" si="57"/>
        <v/>
      </c>
      <c r="AC368" s="195" t="str">
        <f t="shared" si="51"/>
        <v/>
      </c>
      <c r="AD368">
        <f t="shared" si="52"/>
        <v>69</v>
      </c>
      <c r="AE368" s="195" t="str">
        <f t="shared" si="58"/>
        <v/>
      </c>
      <c r="AF368" s="195" t="str">
        <f t="shared" si="59"/>
        <v/>
      </c>
      <c r="AG368" s="255" t="str">
        <f>IF(ISNUMBER(SEARCH("C", 'Dry_Litterbag Placem_Collection'!AD75)),"YES","NO")</f>
        <v>NO</v>
      </c>
      <c r="AH368" s="255" t="str">
        <f>IF(ISNUMBER(SEARCH("H", 'Dry_Litterbag Placem_Collection'!AD75)),"YES","NO")</f>
        <v>NO</v>
      </c>
      <c r="AI368" s="255" t="str">
        <f>IF(ISNUMBER(SEARCH("R", 'Dry_Litterbag Placem_Collection'!AD75)),"YES","NO")</f>
        <v>NO</v>
      </c>
      <c r="AJ368" s="255" t="str">
        <f>IF(ISNUMBER(SEARCH("C", 'Dry_Litterbag Placem_Collection'!AC75)),"YES","NO")</f>
        <v>NO</v>
      </c>
      <c r="AK368" s="255" t="str">
        <f>IF(ISNUMBER(SEARCH("H", 'Dry_Litterbag Placem_Collection'!AC75)),"YES","NO")</f>
        <v>NO</v>
      </c>
      <c r="AL368" s="255" t="str">
        <f>IF(ISNUMBER(SEARCH("R", 'Dry_Litterbag Placem_Collection'!AC75)),"YES","NO")</f>
        <v>NO</v>
      </c>
      <c r="AR368" t="s">
        <v>1324</v>
      </c>
      <c r="AT368" t="s">
        <v>981</v>
      </c>
    </row>
    <row r="369" spans="2:46">
      <c r="B369" t="str">
        <f>'Final data_for_R_analysis_Dryse'!A515</f>
        <v>Dry</v>
      </c>
      <c r="C369" s="263">
        <f>'Final data_for_R_analysis_Dryse'!B515</f>
        <v>74</v>
      </c>
      <c r="D369" t="s">
        <v>3838</v>
      </c>
      <c r="E369" t="s">
        <v>25</v>
      </c>
      <c r="F369" s="386">
        <v>2</v>
      </c>
      <c r="G369" s="16">
        <f>'Dry_Litterbag Placem_Collection'!E76</f>
        <v>42937</v>
      </c>
      <c r="H369" s="92" t="str">
        <f>'Final data_for_R_analysis_Dryse'!J515</f>
        <v>G866</v>
      </c>
      <c r="I369" t="str">
        <f>'Final data_for_R_analysis_Dryse'!J735</f>
        <v>R275</v>
      </c>
      <c r="J369">
        <f>IFERROR(INDEX('Green_rooibos initial weight'!$C$5:$C$1749,MATCH(H369, 'Green_rooibos initial weight'!$A$5:$A$1749,0)),"")</f>
        <v>2.0310000000000001</v>
      </c>
      <c r="K369">
        <f>IFERROR(INDEX('Green_rooibos initial weight'!$C$5:$C$1749,MATCH(I369, 'Green_rooibos initial weight'!$A$5:$A$1749,0)),"")</f>
        <v>0.22900000000000001</v>
      </c>
      <c r="L369" s="195">
        <f t="shared" si="53"/>
        <v>1.7812000000000001</v>
      </c>
      <c r="M369" s="240">
        <f>AVERAGE(Ashed_controlls!$K$1:$K$11)</f>
        <v>5.5147656768714146</v>
      </c>
      <c r="N369" s="195">
        <f t="shared" si="48"/>
        <v>1.6829709937635664</v>
      </c>
      <c r="O369" s="195">
        <f t="shared" si="54"/>
        <v>-2.0800000000000013E-2</v>
      </c>
      <c r="P369" s="240">
        <f>AVERAGE(Ashed_controlls!$K$12:$K$14)</f>
        <v>2.2816647271287041</v>
      </c>
      <c r="Q369" s="195">
        <f t="shared" si="49"/>
        <v>-2.0325413736757243E-2</v>
      </c>
      <c r="R369" s="16">
        <f>IF('Dry_Litterbag Placem_Collection'!G76="N.A","",'Dry_Litterbag Placem_Collection'!G76)</f>
        <v>43006</v>
      </c>
      <c r="S369" s="195">
        <f>IF(IFERROR(INDEX('Both teabags AfterDry'!$D$1:$D$839,MATCH(H369,'Both teabags AfterDry'!$A$1:$A$839,0)),"")="N.A","",(IFERROR(INDEX('Both teabags AfterDry'!$D$1:$D$839,MATCH(H369,'Both teabags AfterDry'!$A$1:$A$839,0)),"")))</f>
        <v>1.8541000000000001</v>
      </c>
      <c r="T369" s="195">
        <f>IF(IFERROR(INDEX('Both teabags AfterDry'!$D$1:$D$839,MATCH(I369,'Both teabags AfterDry'!$A$1:$A$839,0)),"")="N.A","",(IFERROR(INDEX('Both teabags AfterDry'!$D$1:$D$839,MATCH(I369,'Both teabags AfterDry'!$A$1:$A$839,0)),"")))</f>
        <v>1.9981</v>
      </c>
      <c r="U369" s="195">
        <f t="shared" si="55"/>
        <v>1.7035</v>
      </c>
      <c r="V369" s="195">
        <f t="shared" si="55"/>
        <v>1.8474999999999999</v>
      </c>
      <c r="W369" s="195">
        <f>IFERROR(INDEX('Ashed teabags dry'!$K$2:$K$821,MATCH(H369,'Ashed teabags dry'!$A$2:$A$821,0)),"")</f>
        <v>5.5854973052423755</v>
      </c>
      <c r="X369" s="195">
        <f>IFERROR(INDEX('Ashed teabags dry'!$K$2:$K$821,MATCH(I369,'Ashed teabags dry'!$A$2:$A$821,0)),"")</f>
        <v>2.3587223587229587</v>
      </c>
      <c r="Y369" s="195">
        <f t="shared" si="50"/>
        <v>1.6083510534051961</v>
      </c>
      <c r="Z369" s="195">
        <f t="shared" si="50"/>
        <v>1.8039226044225933</v>
      </c>
      <c r="AA369" s="195">
        <f t="shared" si="56"/>
        <v>4.4338221297266944E-2</v>
      </c>
      <c r="AB369" s="195">
        <f t="shared" si="57"/>
        <v>2.9067337477543188E-2</v>
      </c>
      <c r="AC369" s="195">
        <f t="shared" si="51"/>
        <v>-88.752073034573058</v>
      </c>
      <c r="AD369">
        <f t="shared" si="52"/>
        <v>69</v>
      </c>
      <c r="AE369" s="195">
        <f t="shared" si="58"/>
        <v>0.94734177993198698</v>
      </c>
      <c r="AF369" s="195" t="str">
        <f t="shared" si="59"/>
        <v/>
      </c>
      <c r="AG369" s="255" t="str">
        <f>IF(ISNUMBER(SEARCH("C", 'Dry_Litterbag Placem_Collection'!AD76)),"YES","NO")</f>
        <v>NO</v>
      </c>
      <c r="AH369" s="255" t="str">
        <f>IF(ISNUMBER(SEARCH("H", 'Dry_Litterbag Placem_Collection'!AD76)),"YES","NO")</f>
        <v>NO</v>
      </c>
      <c r="AI369" s="255" t="str">
        <f>IF(ISNUMBER(SEARCH("R", 'Dry_Litterbag Placem_Collection'!AD76)),"YES","NO")</f>
        <v>NO</v>
      </c>
      <c r="AJ369" s="255" t="str">
        <f>IF(ISNUMBER(SEARCH("C", 'Dry_Litterbag Placem_Collection'!AC76)),"YES","NO")</f>
        <v>NO</v>
      </c>
      <c r="AK369" s="255" t="str">
        <f>IF(ISNUMBER(SEARCH("H", 'Dry_Litterbag Placem_Collection'!AC76)),"YES","NO")</f>
        <v>NO</v>
      </c>
      <c r="AL369" s="255" t="str">
        <f>IF(ISNUMBER(SEARCH("R", 'Dry_Litterbag Placem_Collection'!AC76)),"YES","NO")</f>
        <v>NO</v>
      </c>
      <c r="AR369" t="s">
        <v>1184</v>
      </c>
      <c r="AT369" t="s">
        <v>866</v>
      </c>
    </row>
    <row r="370" spans="2:46">
      <c r="B370" t="str">
        <f>'Final data_for_R_analysis_Dryse'!A516</f>
        <v>Dry</v>
      </c>
      <c r="C370" s="263">
        <f>'Final data_for_R_analysis_Dryse'!B516</f>
        <v>75</v>
      </c>
      <c r="D370" t="s">
        <v>3838</v>
      </c>
      <c r="E370" t="s">
        <v>25</v>
      </c>
      <c r="F370" s="386">
        <v>3</v>
      </c>
      <c r="G370" s="16">
        <f>'Dry_Litterbag Placem_Collection'!E77</f>
        <v>42937</v>
      </c>
      <c r="H370" s="92" t="str">
        <f>'Final data_for_R_analysis_Dryse'!J516</f>
        <v>G705</v>
      </c>
      <c r="I370" t="str">
        <f>'Final data_for_R_analysis_Dryse'!J736</f>
        <v>R657</v>
      </c>
      <c r="J370">
        <f>IFERROR(INDEX('Green_rooibos initial weight'!$C$5:$C$1749,MATCH(H370, 'Green_rooibos initial weight'!$A$5:$A$1749,0)),"")</f>
        <v>1.9830000000000001</v>
      </c>
      <c r="K370">
        <f>IFERROR(INDEX('Green_rooibos initial weight'!$C$5:$C$1749,MATCH(I370, 'Green_rooibos initial weight'!$A$5:$A$1749,0)),"")</f>
        <v>2.2509999999999999</v>
      </c>
      <c r="L370" s="195">
        <f t="shared" si="53"/>
        <v>1.7332000000000001</v>
      </c>
      <c r="M370" s="240">
        <f>AVERAGE(Ashed_controlls!$K$1:$K$11)</f>
        <v>5.5147656768714146</v>
      </c>
      <c r="N370" s="195">
        <f t="shared" si="48"/>
        <v>1.6376180812884646</v>
      </c>
      <c r="O370" s="195">
        <f t="shared" si="54"/>
        <v>2.0011999999999999</v>
      </c>
      <c r="P370" s="240">
        <f>AVERAGE(Ashed_controlls!$K$12:$K$14)</f>
        <v>2.2816647271287041</v>
      </c>
      <c r="Q370" s="195">
        <f t="shared" si="49"/>
        <v>1.9555393254807003</v>
      </c>
      <c r="R370" s="16">
        <f>IF('Dry_Litterbag Placem_Collection'!G77="N.A","",'Dry_Litterbag Placem_Collection'!G77)</f>
        <v>43006</v>
      </c>
      <c r="S370" s="195">
        <f>IF(IFERROR(INDEX('Both teabags AfterDry'!$D$1:$D$839,MATCH(H370,'Both teabags AfterDry'!$A$1:$A$839,0)),"")="N.A","",(IFERROR(INDEX('Both teabags AfterDry'!$D$1:$D$839,MATCH(H370,'Both teabags AfterDry'!$A$1:$A$839,0)),"")))</f>
        <v>1.8152999999999999</v>
      </c>
      <c r="T370" s="195">
        <f>IF(IFERROR(INDEX('Both teabags AfterDry'!$D$1:$D$839,MATCH(I370,'Both teabags AfterDry'!$A$1:$A$839,0)),"")="N.A","",(IFERROR(INDEX('Both teabags AfterDry'!$D$1:$D$839,MATCH(I370,'Both teabags AfterDry'!$A$1:$A$839,0)),"")))</f>
        <v>2.0581999999999998</v>
      </c>
      <c r="U370" s="195">
        <f t="shared" si="55"/>
        <v>1.6646999999999998</v>
      </c>
      <c r="V370" s="195">
        <f t="shared" si="55"/>
        <v>1.9075999999999997</v>
      </c>
      <c r="W370" s="195">
        <f>IFERROR(INDEX('Ashed teabags dry'!$K$2:$K$821,MATCH(H370,'Ashed teabags dry'!$A$2:$A$821,0)),"")</f>
        <v>5.8558558558565581</v>
      </c>
      <c r="X370" s="195">
        <f>IFERROR(INDEX('Ashed teabags dry'!$K$2:$K$821,MATCH(I370,'Ashed teabags dry'!$A$2:$A$821,0)),"")</f>
        <v>2.5461807289067337</v>
      </c>
      <c r="Y370" s="195">
        <f t="shared" si="50"/>
        <v>1.5672175675675557</v>
      </c>
      <c r="Z370" s="195">
        <f t="shared" si="50"/>
        <v>1.8590290564153749</v>
      </c>
      <c r="AA370" s="195">
        <f t="shared" si="56"/>
        <v>4.2989580125738724E-2</v>
      </c>
      <c r="AB370" s="195">
        <f t="shared" si="57"/>
        <v>2.8183192671505663E-2</v>
      </c>
      <c r="AC370" s="195">
        <f t="shared" si="51"/>
        <v>0.95064774826678478</v>
      </c>
      <c r="AD370">
        <f t="shared" si="52"/>
        <v>69</v>
      </c>
      <c r="AE370" s="195">
        <f t="shared" si="58"/>
        <v>0.94894349153712743</v>
      </c>
      <c r="AF370" s="195" t="str">
        <f t="shared" si="59"/>
        <v/>
      </c>
      <c r="AG370" s="255" t="str">
        <f>IF(ISNUMBER(SEARCH("C", 'Dry_Litterbag Placem_Collection'!AD77)),"YES","NO")</f>
        <v>NO</v>
      </c>
      <c r="AH370" s="255" t="str">
        <f>IF(ISNUMBER(SEARCH("H", 'Dry_Litterbag Placem_Collection'!AD77)),"YES","NO")</f>
        <v>NO</v>
      </c>
      <c r="AI370" s="255" t="str">
        <f>IF(ISNUMBER(SEARCH("R", 'Dry_Litterbag Placem_Collection'!AD77)),"YES","NO")</f>
        <v>NO</v>
      </c>
      <c r="AJ370" s="255" t="str">
        <f>IF(ISNUMBER(SEARCH("C", 'Dry_Litterbag Placem_Collection'!AC77)),"YES","NO")</f>
        <v>NO</v>
      </c>
      <c r="AK370" s="255" t="str">
        <f>IF(ISNUMBER(SEARCH("H", 'Dry_Litterbag Placem_Collection'!AC77)),"YES","NO")</f>
        <v>NO</v>
      </c>
      <c r="AL370" s="255" t="str">
        <f>IF(ISNUMBER(SEARCH("R", 'Dry_Litterbag Placem_Collection'!AC77)),"YES","NO")</f>
        <v>NO</v>
      </c>
      <c r="AR370" t="s">
        <v>1345</v>
      </c>
      <c r="AT370" t="s">
        <v>482</v>
      </c>
    </row>
    <row r="371" spans="2:46">
      <c r="B371" t="str">
        <f>'Final data_for_R_analysis_Dryse'!A517</f>
        <v>Dry</v>
      </c>
      <c r="C371" s="263">
        <f>'Final data_for_R_analysis_Dryse'!B517</f>
        <v>76</v>
      </c>
      <c r="D371" t="s">
        <v>3838</v>
      </c>
      <c r="E371" t="s">
        <v>25</v>
      </c>
      <c r="F371" s="387">
        <v>4</v>
      </c>
      <c r="G371" s="16">
        <f>'Dry_Litterbag Placem_Collection'!E78</f>
        <v>42937</v>
      </c>
      <c r="H371" s="92" t="str">
        <f>'Final data_for_R_analysis_Dryse'!J517</f>
        <v>G601</v>
      </c>
      <c r="I371" t="str">
        <f>'Final data_for_R_analysis_Dryse'!J737</f>
        <v>R306</v>
      </c>
      <c r="J371">
        <f>IFERROR(INDEX('Green_rooibos initial weight'!$C$5:$C$1749,MATCH(H371, 'Green_rooibos initial weight'!$A$5:$A$1749,0)),"")</f>
        <v>2.0099999999999998</v>
      </c>
      <c r="K371">
        <f>IFERROR(INDEX('Green_rooibos initial weight'!$C$5:$C$1749,MATCH(I371, 'Green_rooibos initial weight'!$A$5:$A$1749,0)),"")</f>
        <v>2.2440000000000002</v>
      </c>
      <c r="L371" s="195">
        <f t="shared" si="53"/>
        <v>1.7601999999999998</v>
      </c>
      <c r="M371" s="240">
        <f>AVERAGE(Ashed_controlls!$K$1:$K$11)</f>
        <v>5.5147656768714146</v>
      </c>
      <c r="N371" s="195">
        <f t="shared" si="48"/>
        <v>1.6631290945557091</v>
      </c>
      <c r="O371" s="195">
        <f t="shared" si="54"/>
        <v>1.9942000000000002</v>
      </c>
      <c r="P371" s="240">
        <f>AVERAGE(Ashed_controlls!$K$12:$K$14)</f>
        <v>2.2816647271287041</v>
      </c>
      <c r="Q371" s="195">
        <f t="shared" si="49"/>
        <v>1.9486990420115995</v>
      </c>
      <c r="R371" s="16">
        <f>IF('Dry_Litterbag Placem_Collection'!G78="N.A","",'Dry_Litterbag Placem_Collection'!G78)</f>
        <v>43006</v>
      </c>
      <c r="S371" s="195">
        <f>IF(IFERROR(INDEX('Both teabags AfterDry'!$D$1:$D$839,MATCH(H371,'Both teabags AfterDry'!$A$1:$A$839,0)),"")="N.A","",(IFERROR(INDEX('Both teabags AfterDry'!$D$1:$D$839,MATCH(H371,'Both teabags AfterDry'!$A$1:$A$839,0)),"")))</f>
        <v>1.8379000000000001</v>
      </c>
      <c r="T371" s="195">
        <f>IF(IFERROR(INDEX('Both teabags AfterDry'!$D$1:$D$839,MATCH(I371,'Both teabags AfterDry'!$A$1:$A$839,0)),"")="N.A","",(IFERROR(INDEX('Both teabags AfterDry'!$D$1:$D$839,MATCH(I371,'Both teabags AfterDry'!$A$1:$A$839,0)),"")))</f>
        <v>2.0337999999999998</v>
      </c>
      <c r="U371" s="195">
        <f t="shared" si="55"/>
        <v>1.6873</v>
      </c>
      <c r="V371" s="195">
        <f t="shared" si="55"/>
        <v>1.8831999999999998</v>
      </c>
      <c r="W371" s="195">
        <f>IFERROR(INDEX('Ashed teabags dry'!$K$2:$K$821,MATCH(H371,'Ashed teabags dry'!$A$2:$A$821,0)),"")</f>
        <v>5.9833251593918666</v>
      </c>
      <c r="X371" s="195">
        <f>IFERROR(INDEX('Ashed teabags dry'!$K$2:$K$821,MATCH(I371,'Ashed teabags dry'!$A$2:$A$821,0)),"")</f>
        <v>3.2818532818523578</v>
      </c>
      <c r="Y371" s="195">
        <f t="shared" si="50"/>
        <v>1.586343354585581</v>
      </c>
      <c r="Z371" s="195">
        <f t="shared" si="50"/>
        <v>1.8213961389961562</v>
      </c>
      <c r="AA371" s="195">
        <f t="shared" si="56"/>
        <v>4.6169440617380819E-2</v>
      </c>
      <c r="AB371" s="195">
        <f t="shared" si="57"/>
        <v>3.0267851806168932E-2</v>
      </c>
      <c r="AC371" s="195">
        <f t="shared" si="51"/>
        <v>0.93467287648274755</v>
      </c>
      <c r="AD371">
        <f t="shared" si="52"/>
        <v>69</v>
      </c>
      <c r="AE371" s="195">
        <f t="shared" si="58"/>
        <v>0.94516693513375194</v>
      </c>
      <c r="AF371" s="195" t="str">
        <f t="shared" si="59"/>
        <v/>
      </c>
      <c r="AG371" s="255" t="str">
        <f>IF(ISNUMBER(SEARCH("C", 'Dry_Litterbag Placem_Collection'!AD78)),"YES","NO")</f>
        <v>NO</v>
      </c>
      <c r="AH371" s="255" t="str">
        <f>IF(ISNUMBER(SEARCH("H", 'Dry_Litterbag Placem_Collection'!AD78)),"YES","NO")</f>
        <v>NO</v>
      </c>
      <c r="AI371" s="255" t="str">
        <f>IF(ISNUMBER(SEARCH("R", 'Dry_Litterbag Placem_Collection'!AD78)),"YES","NO")</f>
        <v>NO</v>
      </c>
      <c r="AJ371" s="255" t="str">
        <f>IF(ISNUMBER(SEARCH("C", 'Dry_Litterbag Placem_Collection'!AC78)),"YES","NO")</f>
        <v>NO</v>
      </c>
      <c r="AK371" s="255" t="str">
        <f>IF(ISNUMBER(SEARCH("H", 'Dry_Litterbag Placem_Collection'!AC78)),"YES","NO")</f>
        <v>NO</v>
      </c>
      <c r="AL371" s="255" t="str">
        <f>IF(ISNUMBER(SEARCH("R", 'Dry_Litterbag Placem_Collection'!AC78)),"YES","NO")</f>
        <v>NO</v>
      </c>
      <c r="AR371" t="s">
        <v>1449</v>
      </c>
      <c r="AT371" t="s">
        <v>835</v>
      </c>
    </row>
    <row r="372" spans="2:46">
      <c r="B372" t="str">
        <f>'Final data_for_R_analysis_Dryse'!A518</f>
        <v>Dry</v>
      </c>
      <c r="C372" s="263">
        <f>'Final data_for_R_analysis_Dryse'!B518</f>
        <v>77</v>
      </c>
      <c r="D372" t="s">
        <v>3838</v>
      </c>
      <c r="E372" t="s">
        <v>25</v>
      </c>
      <c r="F372" s="387">
        <v>5</v>
      </c>
      <c r="G372" s="16">
        <f>'Dry_Litterbag Placem_Collection'!E79</f>
        <v>0</v>
      </c>
      <c r="H372" s="92" t="str">
        <f>'Final data_for_R_analysis_Dryse'!J518</f>
        <v/>
      </c>
      <c r="I372" t="str">
        <f>'Final data_for_R_analysis_Dryse'!J738</f>
        <v/>
      </c>
      <c r="J372" t="str">
        <f>IFERROR(INDEX('Green_rooibos initial weight'!$C$5:$C$1749,MATCH(H372, 'Green_rooibos initial weight'!$A$5:$A$1749,0)),"")</f>
        <v/>
      </c>
      <c r="K372" t="str">
        <f>IFERROR(INDEX('Green_rooibos initial weight'!$C$5:$C$1749,MATCH(I372, 'Green_rooibos initial weight'!$A$5:$A$1749,0)),"")</f>
        <v/>
      </c>
      <c r="L372" s="195" t="str">
        <f t="shared" si="53"/>
        <v/>
      </c>
      <c r="M372" s="240">
        <f>AVERAGE(Ashed_controlls!$K$1:$K$11)</f>
        <v>5.5147656768714146</v>
      </c>
      <c r="N372" s="195" t="str">
        <f t="shared" si="48"/>
        <v/>
      </c>
      <c r="O372" s="195" t="str">
        <f t="shared" si="54"/>
        <v/>
      </c>
      <c r="P372" s="240">
        <f>AVERAGE(Ashed_controlls!$K$12:$K$14)</f>
        <v>2.2816647271287041</v>
      </c>
      <c r="Q372" s="195" t="str">
        <f t="shared" si="49"/>
        <v/>
      </c>
      <c r="R372" s="16">
        <f>IF('Dry_Litterbag Placem_Collection'!G79="N.A","",'Dry_Litterbag Placem_Collection'!G79)</f>
        <v>0</v>
      </c>
      <c r="S372" s="195" t="str">
        <f>IF(IFERROR(INDEX('Both teabags AfterDry'!$D$1:$D$839,MATCH(H372,'Both teabags AfterDry'!$A$1:$A$839,0)),"")="N.A","",(IFERROR(INDEX('Both teabags AfterDry'!$D$1:$D$839,MATCH(H372,'Both teabags AfterDry'!$A$1:$A$839,0)),"")))</f>
        <v/>
      </c>
      <c r="T372" s="195" t="str">
        <f>IF(IFERROR(INDEX('Both teabags AfterDry'!$D$1:$D$839,MATCH(I372,'Both teabags AfterDry'!$A$1:$A$839,0)),"")="N.A","",(IFERROR(INDEX('Both teabags AfterDry'!$D$1:$D$839,MATCH(I372,'Both teabags AfterDry'!$A$1:$A$839,0)),"")))</f>
        <v/>
      </c>
      <c r="U372" s="195" t="str">
        <f t="shared" si="55"/>
        <v/>
      </c>
      <c r="V372" s="195" t="str">
        <f t="shared" si="55"/>
        <v/>
      </c>
      <c r="W372" s="195" t="str">
        <f>IFERROR(INDEX('Ashed teabags dry'!$K$2:$K$821,MATCH(H372,'Ashed teabags dry'!$A$2:$A$821,0)),"")</f>
        <v/>
      </c>
      <c r="X372" s="195" t="str">
        <f>IFERROR(INDEX('Ashed teabags dry'!$K$2:$K$821,MATCH(I372,'Ashed teabags dry'!$A$2:$A$821,0)),"")</f>
        <v/>
      </c>
      <c r="Y372" s="195" t="str">
        <f t="shared" si="50"/>
        <v/>
      </c>
      <c r="Z372" s="195" t="str">
        <f t="shared" si="50"/>
        <v/>
      </c>
      <c r="AA372" s="195" t="str">
        <f t="shared" si="56"/>
        <v/>
      </c>
      <c r="AB372" s="195" t="str">
        <f t="shared" si="57"/>
        <v/>
      </c>
      <c r="AC372" s="195" t="str">
        <f t="shared" si="51"/>
        <v/>
      </c>
      <c r="AD372" t="str">
        <f t="shared" si="52"/>
        <v/>
      </c>
      <c r="AE372" s="195" t="str">
        <f t="shared" si="58"/>
        <v/>
      </c>
      <c r="AF372" s="195" t="str">
        <f t="shared" si="59"/>
        <v/>
      </c>
      <c r="AG372" s="255" t="str">
        <f>IF(ISNUMBER(SEARCH("C", 'Dry_Litterbag Placem_Collection'!AD79)),"YES","NO")</f>
        <v>NO</v>
      </c>
      <c r="AH372" s="255" t="str">
        <f>IF(ISNUMBER(SEARCH("H", 'Dry_Litterbag Placem_Collection'!AD79)),"YES","NO")</f>
        <v>NO</v>
      </c>
      <c r="AI372" s="255" t="str">
        <f>IF(ISNUMBER(SEARCH("R", 'Dry_Litterbag Placem_Collection'!AD79)),"YES","NO")</f>
        <v>NO</v>
      </c>
      <c r="AJ372" s="255" t="str">
        <f>IF(ISNUMBER(SEARCH("C", 'Dry_Litterbag Placem_Collection'!AC79)),"YES","NO")</f>
        <v>NO</v>
      </c>
      <c r="AK372" s="255" t="str">
        <f>IF(ISNUMBER(SEARCH("H", 'Dry_Litterbag Placem_Collection'!AC79)),"YES","NO")</f>
        <v>NO</v>
      </c>
      <c r="AL372" s="255" t="str">
        <f>IF(ISNUMBER(SEARCH("R", 'Dry_Litterbag Placem_Collection'!AC79)),"YES","NO")</f>
        <v>NO</v>
      </c>
      <c r="AR372" t="s">
        <v>3654</v>
      </c>
      <c r="AT372" t="s">
        <v>3654</v>
      </c>
    </row>
    <row r="373" spans="2:46">
      <c r="B373" t="str">
        <f>'Final data_for_R_analysis_Dryse'!A519</f>
        <v>Dry</v>
      </c>
      <c r="C373" s="263">
        <f>'Final data_for_R_analysis_Dryse'!B519</f>
        <v>78</v>
      </c>
      <c r="D373" t="s">
        <v>3838</v>
      </c>
      <c r="E373" t="s">
        <v>25</v>
      </c>
      <c r="F373" s="387">
        <v>6</v>
      </c>
      <c r="G373" s="16">
        <f>'Dry_Litterbag Placem_Collection'!E80</f>
        <v>42937</v>
      </c>
      <c r="H373" s="92" t="str">
        <f>'Final data_for_R_analysis_Dryse'!J519</f>
        <v>G157</v>
      </c>
      <c r="I373" t="str">
        <f>'Final data_for_R_analysis_Dryse'!J739</f>
        <v>R377</v>
      </c>
      <c r="J373">
        <f>IFERROR(INDEX('Green_rooibos initial weight'!$C$5:$C$1749,MATCH(H373, 'Green_rooibos initial weight'!$A$5:$A$1749,0)),"")</f>
        <v>1.994</v>
      </c>
      <c r="K373">
        <f>IFERROR(INDEX('Green_rooibos initial weight'!$C$5:$C$1749,MATCH(I373, 'Green_rooibos initial weight'!$A$5:$A$1749,0)),"")</f>
        <v>2.2309999999999999</v>
      </c>
      <c r="L373" s="195">
        <f t="shared" si="53"/>
        <v>1.7442</v>
      </c>
      <c r="M373" s="240">
        <f>AVERAGE(Ashed_controlls!$K$1:$K$11)</f>
        <v>5.5147656768714146</v>
      </c>
      <c r="N373" s="195">
        <f t="shared" si="48"/>
        <v>1.6480114570640088</v>
      </c>
      <c r="O373" s="195">
        <f t="shared" si="54"/>
        <v>1.9811999999999999</v>
      </c>
      <c r="P373" s="240">
        <f>AVERAGE(Ashed_controlls!$K$12:$K$14)</f>
        <v>2.2816647271287041</v>
      </c>
      <c r="Q373" s="195">
        <f t="shared" si="49"/>
        <v>1.935995658426126</v>
      </c>
      <c r="R373" s="16">
        <f>IF('Dry_Litterbag Placem_Collection'!G80="N.A","",'Dry_Litterbag Placem_Collection'!G80)</f>
        <v>43006</v>
      </c>
      <c r="S373" s="195">
        <f>IF(IFERROR(INDEX('Both teabags AfterDry'!$D$1:$D$839,MATCH(H373,'Both teabags AfterDry'!$A$1:$A$839,0)),"")="N.A","",(IFERROR(INDEX('Both teabags AfterDry'!$D$1:$D$839,MATCH(H373,'Both teabags AfterDry'!$A$1:$A$839,0)),"")))</f>
        <v>1.8103</v>
      </c>
      <c r="T373" s="195">
        <f>IF(IFERROR(INDEX('Both teabags AfterDry'!$D$1:$D$839,MATCH(I373,'Both teabags AfterDry'!$A$1:$A$839,0)),"")="N.A","",(IFERROR(INDEX('Both teabags AfterDry'!$D$1:$D$839,MATCH(I373,'Both teabags AfterDry'!$A$1:$A$839,0)),"")))</f>
        <v>1.9925999999999999</v>
      </c>
      <c r="U373" s="195">
        <f t="shared" si="55"/>
        <v>1.6597</v>
      </c>
      <c r="V373" s="195">
        <f t="shared" si="55"/>
        <v>1.8419999999999999</v>
      </c>
      <c r="W373" s="195">
        <f>IFERROR(INDEX('Ashed teabags dry'!$K$2:$K$821,MATCH(H373,'Ashed teabags dry'!$A$2:$A$821,0)),"")</f>
        <v>6.3027295285366076</v>
      </c>
      <c r="X373" s="195">
        <f>IFERROR(INDEX('Ashed teabags dry'!$K$2:$K$821,MATCH(I373,'Ashed teabags dry'!$A$2:$A$821,0)),"")</f>
        <v>2.2244191794369352</v>
      </c>
      <c r="Y373" s="195">
        <f t="shared" si="50"/>
        <v>1.5550935980148779</v>
      </c>
      <c r="Z373" s="195">
        <f t="shared" si="50"/>
        <v>1.8010261987147715</v>
      </c>
      <c r="AA373" s="195">
        <f t="shared" si="56"/>
        <v>5.6381804052908269E-2</v>
      </c>
      <c r="AB373" s="195">
        <f t="shared" si="57"/>
        <v>3.6962892918296172E-2</v>
      </c>
      <c r="AC373" s="195">
        <f t="shared" si="51"/>
        <v>0.93028421364277325</v>
      </c>
      <c r="AD373">
        <f t="shared" si="52"/>
        <v>69</v>
      </c>
      <c r="AE373" s="195">
        <f t="shared" si="58"/>
        <v>0.93303823746685477</v>
      </c>
      <c r="AF373" s="195" t="str">
        <f t="shared" si="59"/>
        <v/>
      </c>
      <c r="AG373" s="255" t="str">
        <f>IF(ISNUMBER(SEARCH("C", 'Dry_Litterbag Placem_Collection'!AD80)),"YES","NO")</f>
        <v>NO</v>
      </c>
      <c r="AH373" s="255" t="str">
        <f>IF(ISNUMBER(SEARCH("H", 'Dry_Litterbag Placem_Collection'!AD80)),"YES","NO")</f>
        <v>NO</v>
      </c>
      <c r="AI373" s="255" t="str">
        <f>IF(ISNUMBER(SEARCH("R", 'Dry_Litterbag Placem_Collection'!AD80)),"YES","NO")</f>
        <v>NO</v>
      </c>
      <c r="AJ373" s="255" t="str">
        <f>IF(ISNUMBER(SEARCH("C", 'Dry_Litterbag Placem_Collection'!AC80)),"YES","NO")</f>
        <v>NO</v>
      </c>
      <c r="AK373" s="255" t="str">
        <f>IF(ISNUMBER(SEARCH("H", 'Dry_Litterbag Placem_Collection'!AC80)),"YES","NO")</f>
        <v>NO</v>
      </c>
      <c r="AL373" s="255" t="str">
        <f>IF(ISNUMBER(SEARCH("R", 'Dry_Litterbag Placem_Collection'!AC80)),"YES","NO")</f>
        <v>NO</v>
      </c>
      <c r="AR373" t="s">
        <v>1893</v>
      </c>
      <c r="AT373" t="s">
        <v>764</v>
      </c>
    </row>
    <row r="374" spans="2:46">
      <c r="B374" t="str">
        <f>'Final data_for_R_analysis_Dryse'!A520</f>
        <v>Dry</v>
      </c>
      <c r="C374" s="263">
        <f>'Final data_for_R_analysis_Dryse'!B520</f>
        <v>79</v>
      </c>
      <c r="D374" t="s">
        <v>3838</v>
      </c>
      <c r="E374" t="s">
        <v>25</v>
      </c>
      <c r="F374" s="387">
        <v>7</v>
      </c>
      <c r="G374" s="16">
        <f>'Dry_Litterbag Placem_Collection'!E81</f>
        <v>42937</v>
      </c>
      <c r="H374" s="92" t="str">
        <f>'Final data_for_R_analysis_Dryse'!J520</f>
        <v>G226</v>
      </c>
      <c r="I374" t="str">
        <f>'Final data_for_R_analysis_Dryse'!J740</f>
        <v>R61</v>
      </c>
      <c r="J374">
        <f>IFERROR(INDEX('Green_rooibos initial weight'!$C$5:$C$1749,MATCH(H374, 'Green_rooibos initial weight'!$A$5:$A$1749,0)),"")</f>
        <v>1.929</v>
      </c>
      <c r="K374">
        <f>IFERROR(INDEX('Green_rooibos initial weight'!$C$5:$C$1749,MATCH(I374, 'Green_rooibos initial weight'!$A$5:$A$1749,0)),"")</f>
        <v>2.2450000000000001</v>
      </c>
      <c r="L374" s="195">
        <f t="shared" si="53"/>
        <v>1.6792</v>
      </c>
      <c r="M374" s="240">
        <f>AVERAGE(Ashed_controlls!$K$1:$K$11)</f>
        <v>5.5147656768714146</v>
      </c>
      <c r="N374" s="195">
        <f t="shared" si="48"/>
        <v>1.5865960547539752</v>
      </c>
      <c r="O374" s="195">
        <f t="shared" si="54"/>
        <v>1.9952000000000001</v>
      </c>
      <c r="P374" s="240">
        <f>AVERAGE(Ashed_controlls!$K$12:$K$14)</f>
        <v>2.2816647271287041</v>
      </c>
      <c r="Q374" s="195">
        <f t="shared" si="49"/>
        <v>1.9496762253643283</v>
      </c>
      <c r="R374" s="16">
        <f>IF('Dry_Litterbag Placem_Collection'!G81="N.A","",'Dry_Litterbag Placem_Collection'!G81)</f>
        <v>43006</v>
      </c>
      <c r="S374" s="195">
        <f>IF(IFERROR(INDEX('Both teabags AfterDry'!$D$1:$D$839,MATCH(H374,'Both teabags AfterDry'!$A$1:$A$839,0)),"")="N.A","",(IFERROR(INDEX('Both teabags AfterDry'!$D$1:$D$839,MATCH(H374,'Both teabags AfterDry'!$A$1:$A$839,0)),"")))</f>
        <v>1.7826</v>
      </c>
      <c r="T374" s="195">
        <f>IF(IFERROR(INDEX('Both teabags AfterDry'!$D$1:$D$839,MATCH(I374,'Both teabags AfterDry'!$A$1:$A$839,0)),"")="N.A","",(IFERROR(INDEX('Both teabags AfterDry'!$D$1:$D$839,MATCH(I374,'Both teabags AfterDry'!$A$1:$A$839,0)),"")))</f>
        <v>1.9782999999999999</v>
      </c>
      <c r="U374" s="195">
        <f t="shared" si="55"/>
        <v>1.6319999999999999</v>
      </c>
      <c r="V374" s="195">
        <f t="shared" si="55"/>
        <v>1.8276999999999999</v>
      </c>
      <c r="W374" s="195">
        <f>IFERROR(INDEX('Ashed teabags dry'!$K$2:$K$821,MATCH(H374,'Ashed teabags dry'!$A$2:$A$821,0)),"")</f>
        <v>5.6047197640117146</v>
      </c>
      <c r="X374" s="195">
        <f>IFERROR(INDEX('Ashed teabags dry'!$K$2:$K$821,MATCH(I374,'Ashed teabags dry'!$A$2:$A$821,0)),"")</f>
        <v>2.8766455387618852</v>
      </c>
      <c r="Y374" s="195">
        <f t="shared" si="50"/>
        <v>1.5405309734513288</v>
      </c>
      <c r="Z374" s="195">
        <f t="shared" si="50"/>
        <v>1.7751235494880488</v>
      </c>
      <c r="AA374" s="195">
        <f t="shared" si="56"/>
        <v>2.9033906371202622E-2</v>
      </c>
      <c r="AB374" s="195">
        <f t="shared" si="57"/>
        <v>1.9034104889434526E-2</v>
      </c>
      <c r="AC374" s="195">
        <f t="shared" si="51"/>
        <v>0.91047094199260625</v>
      </c>
      <c r="AD374">
        <f t="shared" si="52"/>
        <v>69</v>
      </c>
      <c r="AE374" s="195">
        <f t="shared" si="58"/>
        <v>0.96551792592493746</v>
      </c>
      <c r="AF374" s="195" t="str">
        <f t="shared" si="59"/>
        <v/>
      </c>
      <c r="AG374" s="255" t="str">
        <f>IF(ISNUMBER(SEARCH("C", 'Dry_Litterbag Placem_Collection'!AD81)),"YES","NO")</f>
        <v>NO</v>
      </c>
      <c r="AH374" s="255" t="str">
        <f>IF(ISNUMBER(SEARCH("H", 'Dry_Litterbag Placem_Collection'!AD81)),"YES","NO")</f>
        <v>NO</v>
      </c>
      <c r="AI374" s="255" t="str">
        <f>IF(ISNUMBER(SEARCH("R", 'Dry_Litterbag Placem_Collection'!AD81)),"YES","NO")</f>
        <v>NO</v>
      </c>
      <c r="AJ374" s="255" t="str">
        <f>IF(ISNUMBER(SEARCH("C", 'Dry_Litterbag Placem_Collection'!AC81)),"YES","NO")</f>
        <v>NO</v>
      </c>
      <c r="AK374" s="255" t="str">
        <f>IF(ISNUMBER(SEARCH("H", 'Dry_Litterbag Placem_Collection'!AC81)),"YES","NO")</f>
        <v>NO</v>
      </c>
      <c r="AL374" s="255" t="str">
        <f>IF(ISNUMBER(SEARCH("R", 'Dry_Litterbag Placem_Collection'!AC81)),"YES","NO")</f>
        <v>NO</v>
      </c>
      <c r="AR374" t="s">
        <v>1824</v>
      </c>
      <c r="AT374" t="s">
        <v>1080</v>
      </c>
    </row>
    <row r="375" spans="2:46">
      <c r="B375" t="str">
        <f>'Final data_for_R_analysis_Dryse'!A521</f>
        <v>Dry</v>
      </c>
      <c r="C375" s="263">
        <f>'Final data_for_R_analysis_Dryse'!B521</f>
        <v>80</v>
      </c>
      <c r="D375" t="s">
        <v>3838</v>
      </c>
      <c r="E375" t="s">
        <v>25</v>
      </c>
      <c r="F375" s="387">
        <v>8</v>
      </c>
      <c r="G375" s="16">
        <f>'Dry_Litterbag Placem_Collection'!E82</f>
        <v>42937</v>
      </c>
      <c r="H375" s="92" t="str">
        <f>'Final data_for_R_analysis_Dryse'!J521</f>
        <v>G855</v>
      </c>
      <c r="I375" t="str">
        <f>'Final data_for_R_analysis_Dryse'!J741</f>
        <v>R620</v>
      </c>
      <c r="J375">
        <f>IFERROR(INDEX('Green_rooibos initial weight'!$C$5:$C$1749,MATCH(H375, 'Green_rooibos initial weight'!$A$5:$A$1749,0)),"")</f>
        <v>1.9570000000000001</v>
      </c>
      <c r="K375">
        <f>IFERROR(INDEX('Green_rooibos initial weight'!$C$5:$C$1749,MATCH(I375, 'Green_rooibos initial weight'!$A$5:$A$1749,0)),"")</f>
        <v>2.1800000000000002</v>
      </c>
      <c r="L375" s="195">
        <f t="shared" si="53"/>
        <v>1.7072000000000001</v>
      </c>
      <c r="M375" s="240">
        <f>AVERAGE(Ashed_controlls!$K$1:$K$11)</f>
        <v>5.5147656768714146</v>
      </c>
      <c r="N375" s="195">
        <f t="shared" si="48"/>
        <v>1.6130519203644513</v>
      </c>
      <c r="O375" s="195">
        <f t="shared" si="54"/>
        <v>1.9302000000000001</v>
      </c>
      <c r="P375" s="240">
        <f>AVERAGE(Ashed_controlls!$K$12:$K$14)</f>
        <v>2.2816647271287041</v>
      </c>
      <c r="Q375" s="195">
        <f t="shared" si="49"/>
        <v>1.8861593074369618</v>
      </c>
      <c r="R375" s="16">
        <f>IF('Dry_Litterbag Placem_Collection'!G82="N.A","",'Dry_Litterbag Placem_Collection'!G82)</f>
        <v>43006</v>
      </c>
      <c r="S375" s="195">
        <f>IF(IFERROR(INDEX('Both teabags AfterDry'!$D$1:$D$839,MATCH(H375,'Both teabags AfterDry'!$A$1:$A$839,0)),"")="N.A","",(IFERROR(INDEX('Both teabags AfterDry'!$D$1:$D$839,MATCH(H375,'Both teabags AfterDry'!$A$1:$A$839,0)),"")))</f>
        <v>1.7664</v>
      </c>
      <c r="T375" s="195">
        <f>IF(IFERROR(INDEX('Both teabags AfterDry'!$D$1:$D$839,MATCH(I375,'Both teabags AfterDry'!$A$1:$A$839,0)),"")="N.A","",(IFERROR(INDEX('Both teabags AfterDry'!$D$1:$D$839,MATCH(I375,'Both teabags AfterDry'!$A$1:$A$839,0)),"")))</f>
        <v>2.0047999999999999</v>
      </c>
      <c r="U375" s="195">
        <f t="shared" si="55"/>
        <v>1.6157999999999999</v>
      </c>
      <c r="V375" s="195">
        <f t="shared" si="55"/>
        <v>1.8541999999999998</v>
      </c>
      <c r="W375" s="195">
        <f>IFERROR(INDEX('Ashed teabags dry'!$K$2:$K$821,MATCH(H375,'Ashed teabags dry'!$A$2:$A$821,0)),"")</f>
        <v>6.0306475531388282</v>
      </c>
      <c r="X375" s="195">
        <f>IFERROR(INDEX('Ashed teabags dry'!$K$2:$K$821,MATCH(I375,'Ashed teabags dry'!$A$2:$A$821,0)),"")</f>
        <v>3.2972440944880175</v>
      </c>
      <c r="Y375" s="195">
        <f t="shared" si="50"/>
        <v>1.5183567968363827</v>
      </c>
      <c r="Z375" s="195">
        <f t="shared" si="50"/>
        <v>1.7930625000000031</v>
      </c>
      <c r="AA375" s="195">
        <f t="shared" si="56"/>
        <v>5.8705564484665351E-2</v>
      </c>
      <c r="AB375" s="195">
        <f t="shared" si="57"/>
        <v>3.8486308308236662E-2</v>
      </c>
      <c r="AC375" s="195">
        <f t="shared" si="51"/>
        <v>0.95064212918289237</v>
      </c>
      <c r="AD375">
        <f t="shared" si="52"/>
        <v>69</v>
      </c>
      <c r="AE375" s="195">
        <f t="shared" si="58"/>
        <v>0.93027842697783214</v>
      </c>
      <c r="AF375" s="195" t="str">
        <f t="shared" si="59"/>
        <v/>
      </c>
      <c r="AG375" s="255" t="str">
        <f>IF(ISNUMBER(SEARCH("C", 'Dry_Litterbag Placem_Collection'!AD82)),"YES","NO")</f>
        <v>NO</v>
      </c>
      <c r="AH375" s="255" t="str">
        <f>IF(ISNUMBER(SEARCH("H", 'Dry_Litterbag Placem_Collection'!AD82)),"YES","NO")</f>
        <v>NO</v>
      </c>
      <c r="AI375" s="255" t="str">
        <f>IF(ISNUMBER(SEARCH("R", 'Dry_Litterbag Placem_Collection'!AD82)),"YES","NO")</f>
        <v>NO</v>
      </c>
      <c r="AJ375" s="255" t="str">
        <f>IF(ISNUMBER(SEARCH("C", 'Dry_Litterbag Placem_Collection'!AC82)),"YES","NO")</f>
        <v>NO</v>
      </c>
      <c r="AK375" s="255" t="str">
        <f>IF(ISNUMBER(SEARCH("H", 'Dry_Litterbag Placem_Collection'!AC82)),"YES","NO")</f>
        <v>NO</v>
      </c>
      <c r="AL375" s="255" t="str">
        <f>IF(ISNUMBER(SEARCH("R", 'Dry_Litterbag Placem_Collection'!AC82)),"YES","NO")</f>
        <v>NO</v>
      </c>
      <c r="AR375" t="s">
        <v>1195</v>
      </c>
      <c r="AT375" t="s">
        <v>519</v>
      </c>
    </row>
    <row r="376" spans="2:46">
      <c r="B376" t="str">
        <f>'Final data_for_R_analysis_Dryse'!A522</f>
        <v>Dry</v>
      </c>
      <c r="C376" s="263">
        <f>'Final data_for_R_analysis_Dryse'!B522</f>
        <v>81</v>
      </c>
      <c r="D376" t="s">
        <v>3839</v>
      </c>
      <c r="E376" t="s">
        <v>25</v>
      </c>
      <c r="F376" s="386">
        <v>1</v>
      </c>
      <c r="G376" s="16">
        <f>'Dry_Litterbag Placem_Collection'!E83</f>
        <v>42937</v>
      </c>
      <c r="H376" s="92" t="str">
        <f>'Final data_for_R_analysis_Dryse'!J522</f>
        <v>G413</v>
      </c>
      <c r="I376" t="str">
        <f>'Final data_for_R_analysis_Dryse'!J742</f>
        <v>R366</v>
      </c>
      <c r="J376">
        <f>IFERROR(INDEX('Green_rooibos initial weight'!$C$5:$C$1749,MATCH(H376, 'Green_rooibos initial weight'!$A$5:$A$1749,0)),"")</f>
        <v>2.1589999999999998</v>
      </c>
      <c r="K376">
        <f>IFERROR(INDEX('Green_rooibos initial weight'!$C$5:$C$1749,MATCH(I376, 'Green_rooibos initial weight'!$A$5:$A$1749,0)),"")</f>
        <v>2.2330000000000001</v>
      </c>
      <c r="L376" s="195">
        <f t="shared" si="53"/>
        <v>1.9091999999999998</v>
      </c>
      <c r="M376" s="240">
        <f>AVERAGE(Ashed_controlls!$K$1:$K$11)</f>
        <v>5.5147656768714146</v>
      </c>
      <c r="N376" s="195">
        <f t="shared" si="48"/>
        <v>1.8039120936971709</v>
      </c>
      <c r="O376" s="195">
        <f t="shared" si="54"/>
        <v>1.9832000000000001</v>
      </c>
      <c r="P376" s="240">
        <f>AVERAGE(Ashed_controlls!$K$12:$K$14)</f>
        <v>2.2816647271287041</v>
      </c>
      <c r="Q376" s="195">
        <f t="shared" si="49"/>
        <v>1.9379500251315835</v>
      </c>
      <c r="R376" s="16">
        <f>IF('Dry_Litterbag Placem_Collection'!G83="N.A","",'Dry_Litterbag Placem_Collection'!G83)</f>
        <v>43006</v>
      </c>
      <c r="S376" s="195">
        <f>IF(IFERROR(INDEX('Both teabags AfterDry'!$D$1:$D$839,MATCH(H376,'Both teabags AfterDry'!$A$1:$A$839,0)),"")="N.A","",(IFERROR(INDEX('Both teabags AfterDry'!$D$1:$D$839,MATCH(H376,'Both teabags AfterDry'!$A$1:$A$839,0)),"")))</f>
        <v>1.9466000000000001</v>
      </c>
      <c r="T376" s="195">
        <f>IF(IFERROR(INDEX('Both teabags AfterDry'!$D$1:$D$839,MATCH(I376,'Both teabags AfterDry'!$A$1:$A$839,0)),"")="N.A","",(IFERROR(INDEX('Both teabags AfterDry'!$D$1:$D$839,MATCH(I376,'Both teabags AfterDry'!$A$1:$A$839,0)),"")))</f>
        <v>1.9832000000000001</v>
      </c>
      <c r="U376" s="195">
        <f t="shared" si="55"/>
        <v>1.796</v>
      </c>
      <c r="V376" s="195">
        <f t="shared" si="55"/>
        <v>1.8326</v>
      </c>
      <c r="W376" s="195">
        <f>IFERROR(INDEX('Ashed teabags dry'!$K$2:$K$821,MATCH(H376,'Ashed teabags dry'!$A$2:$A$821,0)),"")</f>
        <v>5.3246753246752787</v>
      </c>
      <c r="X376" s="195">
        <f>IFERROR(INDEX('Ashed teabags dry'!$K$2:$K$821,MATCH(I376,'Ashed teabags dry'!$A$2:$A$821,0)),"")</f>
        <v>3.3302497687320054</v>
      </c>
      <c r="Y376" s="195">
        <f t="shared" si="50"/>
        <v>1.7003688311688321</v>
      </c>
      <c r="Z376" s="195">
        <f t="shared" si="50"/>
        <v>1.7715698427382174</v>
      </c>
      <c r="AA376" s="195">
        <f t="shared" si="56"/>
        <v>5.7399283972936699E-2</v>
      </c>
      <c r="AB376" s="195">
        <f t="shared" si="57"/>
        <v>3.7629934386058245E-2</v>
      </c>
      <c r="AC376" s="195">
        <f t="shared" si="51"/>
        <v>0.91414629880248366</v>
      </c>
      <c r="AD376">
        <f t="shared" si="52"/>
        <v>69</v>
      </c>
      <c r="AE376" s="195">
        <f t="shared" si="58"/>
        <v>0.93182982901076405</v>
      </c>
      <c r="AF376" s="195" t="str">
        <f t="shared" si="59"/>
        <v/>
      </c>
      <c r="AG376" s="255" t="str">
        <f>IF(ISNUMBER(SEARCH("C", 'Dry_Litterbag Placem_Collection'!AD83)),"YES","NO")</f>
        <v>NO</v>
      </c>
      <c r="AH376" s="255" t="str">
        <f>IF(ISNUMBER(SEARCH("H", 'Dry_Litterbag Placem_Collection'!AD83)),"YES","NO")</f>
        <v>NO</v>
      </c>
      <c r="AI376" s="255" t="str">
        <f>IF(ISNUMBER(SEARCH("R", 'Dry_Litterbag Placem_Collection'!AD83)),"YES","NO")</f>
        <v>NO</v>
      </c>
      <c r="AJ376" s="255" t="str">
        <f>IF(ISNUMBER(SEARCH("C", 'Dry_Litterbag Placem_Collection'!AC83)),"YES","NO")</f>
        <v>NO</v>
      </c>
      <c r="AK376" s="255" t="str">
        <f>IF(ISNUMBER(SEARCH("H", 'Dry_Litterbag Placem_Collection'!AC83)),"YES","NO")</f>
        <v>NO</v>
      </c>
      <c r="AL376" s="255" t="str">
        <f>IF(ISNUMBER(SEARCH("R", 'Dry_Litterbag Placem_Collection'!AC83)),"YES","NO")</f>
        <v>NO</v>
      </c>
      <c r="AR376" t="s">
        <v>1637</v>
      </c>
      <c r="AT376" t="s">
        <v>775</v>
      </c>
    </row>
    <row r="377" spans="2:46">
      <c r="B377" t="str">
        <f>'Final data_for_R_analysis_Dryse'!A523</f>
        <v>Dry</v>
      </c>
      <c r="C377" s="263">
        <f>'Final data_for_R_analysis_Dryse'!B523</f>
        <v>82</v>
      </c>
      <c r="D377" t="s">
        <v>3839</v>
      </c>
      <c r="E377" t="s">
        <v>25</v>
      </c>
      <c r="F377" s="386">
        <v>2</v>
      </c>
      <c r="G377" s="16">
        <f>'Dry_Litterbag Placem_Collection'!E84</f>
        <v>42937</v>
      </c>
      <c r="H377" s="92" t="str">
        <f>'Final data_for_R_analysis_Dryse'!J523</f>
        <v>G370</v>
      </c>
      <c r="I377" t="str">
        <f>'Final data_for_R_analysis_Dryse'!J743</f>
        <v>R610</v>
      </c>
      <c r="J377">
        <f>IFERROR(INDEX('Green_rooibos initial weight'!$C$5:$C$1749,MATCH(H377, 'Green_rooibos initial weight'!$A$5:$A$1749,0)),"")</f>
        <v>2.0619999999999998</v>
      </c>
      <c r="K377">
        <f>IFERROR(INDEX('Green_rooibos initial weight'!$C$5:$C$1749,MATCH(I377, 'Green_rooibos initial weight'!$A$5:$A$1749,0)),"")</f>
        <v>2.1230000000000002</v>
      </c>
      <c r="L377" s="195">
        <f t="shared" si="53"/>
        <v>1.8121999999999998</v>
      </c>
      <c r="M377" s="240">
        <f>AVERAGE(Ashed_controlls!$K$1:$K$11)</f>
        <v>5.5147656768714146</v>
      </c>
      <c r="N377" s="195">
        <f t="shared" si="48"/>
        <v>1.712261416403736</v>
      </c>
      <c r="O377" s="195">
        <f t="shared" si="54"/>
        <v>1.8732000000000002</v>
      </c>
      <c r="P377" s="240">
        <f>AVERAGE(Ashed_controlls!$K$12:$K$14)</f>
        <v>2.2816647271287041</v>
      </c>
      <c r="Q377" s="195">
        <f t="shared" si="49"/>
        <v>1.8304598563314254</v>
      </c>
      <c r="R377" s="16">
        <f>IF('Dry_Litterbag Placem_Collection'!G84="N.A","",'Dry_Litterbag Placem_Collection'!G84)</f>
        <v>43006</v>
      </c>
      <c r="S377" s="195">
        <f>IF(IFERROR(INDEX('Both teabags AfterDry'!$D$1:$D$839,MATCH(H377,'Both teabags AfterDry'!$A$1:$A$839,0)),"")="N.A","",(IFERROR(INDEX('Both teabags AfterDry'!$D$1:$D$839,MATCH(H377,'Both teabags AfterDry'!$A$1:$A$839,0)),"")))</f>
        <v>1.8433999999999999</v>
      </c>
      <c r="T377" s="195">
        <f>IF(IFERROR(INDEX('Both teabags AfterDry'!$D$1:$D$839,MATCH(I377,'Both teabags AfterDry'!$A$1:$A$839,0)),"")="N.A","",(IFERROR(INDEX('Both teabags AfterDry'!$D$1:$D$839,MATCH(I377,'Both teabags AfterDry'!$A$1:$A$839,0)),"")))</f>
        <v>1.9097999999999999</v>
      </c>
      <c r="U377" s="195">
        <f t="shared" si="55"/>
        <v>1.6927999999999999</v>
      </c>
      <c r="V377" s="195">
        <f t="shared" si="55"/>
        <v>1.7591999999999999</v>
      </c>
      <c r="W377" s="195">
        <f>IFERROR(INDEX('Ashed teabags dry'!$K$2:$K$821,MATCH(H377,'Ashed teabags dry'!$A$2:$A$821,0)),"")</f>
        <v>5.4829185997469585</v>
      </c>
      <c r="X377" s="195">
        <f>IFERROR(INDEX('Ashed teabags dry'!$K$2:$K$821,MATCH(I377,'Ashed teabags dry'!$A$2:$A$821,0)),"")</f>
        <v>2.8992628992631118</v>
      </c>
      <c r="Y377" s="195">
        <f t="shared" si="50"/>
        <v>1.5999851539434833</v>
      </c>
      <c r="Z377" s="195">
        <f t="shared" si="50"/>
        <v>1.7081961670761632</v>
      </c>
      <c r="AA377" s="195">
        <f t="shared" si="56"/>
        <v>6.5571916405186892E-2</v>
      </c>
      <c r="AB377" s="195">
        <f t="shared" si="57"/>
        <v>4.298776467418431E-2</v>
      </c>
      <c r="AC377" s="195">
        <f t="shared" si="51"/>
        <v>0.93320602534256014</v>
      </c>
      <c r="AD377">
        <f t="shared" si="52"/>
        <v>69</v>
      </c>
      <c r="AE377" s="195">
        <f t="shared" si="58"/>
        <v>0.92212361472068061</v>
      </c>
      <c r="AF377" s="195" t="str">
        <f t="shared" si="59"/>
        <v/>
      </c>
      <c r="AG377" s="255" t="str">
        <f>IF(ISNUMBER(SEARCH("C", 'Dry_Litterbag Placem_Collection'!AD84)),"YES","NO")</f>
        <v>NO</v>
      </c>
      <c r="AH377" s="255" t="str">
        <f>IF(ISNUMBER(SEARCH("H", 'Dry_Litterbag Placem_Collection'!AD84)),"YES","NO")</f>
        <v>NO</v>
      </c>
      <c r="AI377" s="255" t="str">
        <f>IF(ISNUMBER(SEARCH("R", 'Dry_Litterbag Placem_Collection'!AD84)),"YES","NO")</f>
        <v>NO</v>
      </c>
      <c r="AJ377" s="255" t="str">
        <f>IF(ISNUMBER(SEARCH("C", 'Dry_Litterbag Placem_Collection'!AC84)),"YES","NO")</f>
        <v>NO</v>
      </c>
      <c r="AK377" s="255" t="str">
        <f>IF(ISNUMBER(SEARCH("H", 'Dry_Litterbag Placem_Collection'!AC84)),"YES","NO")</f>
        <v>NO</v>
      </c>
      <c r="AL377" s="255" t="str">
        <f>IF(ISNUMBER(SEARCH("R", 'Dry_Litterbag Placem_Collection'!AC84)),"YES","NO")</f>
        <v>NO</v>
      </c>
      <c r="AR377" t="s">
        <v>1680</v>
      </c>
      <c r="AT377" t="s">
        <v>529</v>
      </c>
    </row>
    <row r="378" spans="2:46">
      <c r="B378" t="str">
        <f>'Final data_for_R_analysis_Dryse'!A524</f>
        <v>Dry</v>
      </c>
      <c r="C378" s="263">
        <f>'Final data_for_R_analysis_Dryse'!B524</f>
        <v>83</v>
      </c>
      <c r="D378" t="s">
        <v>3839</v>
      </c>
      <c r="E378" t="s">
        <v>25</v>
      </c>
      <c r="F378" s="386">
        <v>3</v>
      </c>
      <c r="G378" s="16">
        <f>'Dry_Litterbag Placem_Collection'!E85</f>
        <v>42937</v>
      </c>
      <c r="H378" s="92" t="str">
        <f>'Final data_for_R_analysis_Dryse'!J524</f>
        <v>G879</v>
      </c>
      <c r="I378" t="str">
        <f>'Final data_for_R_analysis_Dryse'!J744</f>
        <v>R614</v>
      </c>
      <c r="J378">
        <f>IFERROR(INDEX('Green_rooibos initial weight'!$C$5:$C$1749,MATCH(H378, 'Green_rooibos initial weight'!$A$5:$A$1749,0)),"")</f>
        <v>2.09</v>
      </c>
      <c r="K378">
        <f>IFERROR(INDEX('Green_rooibos initial weight'!$C$5:$C$1749,MATCH(I378, 'Green_rooibos initial weight'!$A$5:$A$1749,0)),"")</f>
        <v>2.1459999999999999</v>
      </c>
      <c r="L378" s="195">
        <f t="shared" si="53"/>
        <v>1.8401999999999998</v>
      </c>
      <c r="M378" s="240">
        <f>AVERAGE(Ashed_controlls!$K$1:$K$11)</f>
        <v>5.5147656768714146</v>
      </c>
      <c r="N378" s="195">
        <f t="shared" si="48"/>
        <v>1.7387172820142121</v>
      </c>
      <c r="O378" s="195">
        <f t="shared" si="54"/>
        <v>1.8961999999999999</v>
      </c>
      <c r="P378" s="240">
        <f>AVERAGE(Ashed_controlls!$K$12:$K$14)</f>
        <v>2.2816647271287041</v>
      </c>
      <c r="Q378" s="195">
        <f t="shared" si="49"/>
        <v>1.8529350734441854</v>
      </c>
      <c r="R378" s="16">
        <f>IF('Dry_Litterbag Placem_Collection'!G85="N.A","",'Dry_Litterbag Placem_Collection'!G85)</f>
        <v>43006</v>
      </c>
      <c r="S378" s="195">
        <f>IF(IFERROR(INDEX('Both teabags AfterDry'!$D$1:$D$839,MATCH(H378,'Both teabags AfterDry'!$A$1:$A$839,0)),"")="N.A","",(IFERROR(INDEX('Both teabags AfterDry'!$D$1:$D$839,MATCH(H378,'Both teabags AfterDry'!$A$1:$A$839,0)),"")))</f>
        <v>1.8814</v>
      </c>
      <c r="T378" s="195">
        <f>IF(IFERROR(INDEX('Both teabags AfterDry'!$D$1:$D$839,MATCH(I378,'Both teabags AfterDry'!$A$1:$A$839,0)),"")="N.A","",(IFERROR(INDEX('Both teabags AfterDry'!$D$1:$D$839,MATCH(I378,'Both teabags AfterDry'!$A$1:$A$839,0)),"")))</f>
        <v>1.9262999999999999</v>
      </c>
      <c r="U378" s="195">
        <f t="shared" si="55"/>
        <v>1.7307999999999999</v>
      </c>
      <c r="V378" s="195">
        <f t="shared" si="55"/>
        <v>1.7756999999999998</v>
      </c>
      <c r="W378" s="195">
        <f>IFERROR(INDEX('Ashed teabags dry'!$K$2:$K$821,MATCH(H378,'Ashed teabags dry'!$A$2:$A$821,0)),"")</f>
        <v>6.0018903591673709</v>
      </c>
      <c r="X378" s="195">
        <f>IFERROR(INDEX('Ashed teabags dry'!$K$2:$K$821,MATCH(I378,'Ashed teabags dry'!$A$2:$A$821,0)),"")</f>
        <v>2.629063097514555</v>
      </c>
      <c r="Y378" s="195">
        <f t="shared" si="50"/>
        <v>1.6269192816635309</v>
      </c>
      <c r="Z378" s="195">
        <f t="shared" si="50"/>
        <v>1.729015726577434</v>
      </c>
      <c r="AA378" s="195">
        <f t="shared" si="56"/>
        <v>6.4299125284571268E-2</v>
      </c>
      <c r="AB378" s="195">
        <f t="shared" si="57"/>
        <v>4.215334579226053E-2</v>
      </c>
      <c r="AC378" s="195">
        <f t="shared" si="51"/>
        <v>0.93312267189350917</v>
      </c>
      <c r="AD378">
        <f t="shared" si="52"/>
        <v>69</v>
      </c>
      <c r="AE378" s="195">
        <f t="shared" si="58"/>
        <v>0.92363524312996281</v>
      </c>
      <c r="AF378" s="195" t="str">
        <f t="shared" si="59"/>
        <v/>
      </c>
      <c r="AG378" s="255" t="str">
        <f>IF(ISNUMBER(SEARCH("C", 'Dry_Litterbag Placem_Collection'!AD85)),"YES","NO")</f>
        <v>NO</v>
      </c>
      <c r="AH378" s="255" t="str">
        <f>IF(ISNUMBER(SEARCH("H", 'Dry_Litterbag Placem_Collection'!AD85)),"YES","NO")</f>
        <v>NO</v>
      </c>
      <c r="AI378" s="255" t="str">
        <f>IF(ISNUMBER(SEARCH("R", 'Dry_Litterbag Placem_Collection'!AD85)),"YES","NO")</f>
        <v>NO</v>
      </c>
      <c r="AJ378" s="255" t="str">
        <f>IF(ISNUMBER(SEARCH("C", 'Dry_Litterbag Placem_Collection'!AC85)),"YES","NO")</f>
        <v>NO</v>
      </c>
      <c r="AK378" s="255" t="str">
        <f>IF(ISNUMBER(SEARCH("H", 'Dry_Litterbag Placem_Collection'!AC85)),"YES","NO")</f>
        <v>NO</v>
      </c>
      <c r="AL378" s="255" t="str">
        <f>IF(ISNUMBER(SEARCH("R", 'Dry_Litterbag Placem_Collection'!AC85)),"YES","NO")</f>
        <v>NO</v>
      </c>
      <c r="AR378" t="s">
        <v>1171</v>
      </c>
      <c r="AT378" t="s">
        <v>525</v>
      </c>
    </row>
    <row r="379" spans="2:46">
      <c r="B379" t="str">
        <f>'Final data_for_R_analysis_Dryse'!A525</f>
        <v>Dry</v>
      </c>
      <c r="C379" s="263">
        <f>'Final data_for_R_analysis_Dryse'!B525</f>
        <v>84</v>
      </c>
      <c r="D379" t="s">
        <v>3839</v>
      </c>
      <c r="E379" t="s">
        <v>25</v>
      </c>
      <c r="F379" s="387">
        <v>4</v>
      </c>
      <c r="G379" s="16">
        <f>'Dry_Litterbag Placem_Collection'!E86</f>
        <v>42937</v>
      </c>
      <c r="H379" s="92" t="str">
        <f>'Final data_for_R_analysis_Dryse'!J525</f>
        <v>G854</v>
      </c>
      <c r="I379" t="str">
        <f>'Final data_for_R_analysis_Dryse'!J745</f>
        <v>R720</v>
      </c>
      <c r="J379">
        <f>IFERROR(INDEX('Green_rooibos initial weight'!$C$5:$C$1749,MATCH(H379, 'Green_rooibos initial weight'!$A$5:$A$1749,0)),"")</f>
        <v>1.998</v>
      </c>
      <c r="K379">
        <f>IFERROR(INDEX('Green_rooibos initial weight'!$C$5:$C$1749,MATCH(I379, 'Green_rooibos initial weight'!$A$5:$A$1749,0)),"")</f>
        <v>2.2080000000000002</v>
      </c>
      <c r="L379" s="195">
        <f t="shared" si="53"/>
        <v>1.7482</v>
      </c>
      <c r="M379" s="240">
        <f>AVERAGE(Ashed_controlls!$K$1:$K$11)</f>
        <v>5.5147656768714146</v>
      </c>
      <c r="N379" s="195">
        <f t="shared" si="48"/>
        <v>1.6517908664369338</v>
      </c>
      <c r="O379" s="195">
        <f t="shared" si="54"/>
        <v>1.9582000000000002</v>
      </c>
      <c r="P379" s="240">
        <f>AVERAGE(Ashed_controlls!$K$12:$K$14)</f>
        <v>2.2816647271287041</v>
      </c>
      <c r="Q379" s="195">
        <f t="shared" si="49"/>
        <v>1.913520441313366</v>
      </c>
      <c r="R379" s="16">
        <f>IF('Dry_Litterbag Placem_Collection'!G86="N.A","",'Dry_Litterbag Placem_Collection'!G86)</f>
        <v>43006</v>
      </c>
      <c r="S379" s="195">
        <f>IF(IFERROR(INDEX('Both teabags AfterDry'!$D$1:$D$839,MATCH(H379,'Both teabags AfterDry'!$A$1:$A$839,0)),"")="N.A","",(IFERROR(INDEX('Both teabags AfterDry'!$D$1:$D$839,MATCH(H379,'Both teabags AfterDry'!$A$1:$A$839,0)),"")))</f>
        <v>1.8062</v>
      </c>
      <c r="T379" s="195">
        <f>IF(IFERROR(INDEX('Both teabags AfterDry'!$D$1:$D$839,MATCH(I379,'Both teabags AfterDry'!$A$1:$A$839,0)),"")="N.A","",(IFERROR(INDEX('Both teabags AfterDry'!$D$1:$D$839,MATCH(I379,'Both teabags AfterDry'!$A$1:$A$839,0)),"")))</f>
        <v>1.9978</v>
      </c>
      <c r="U379" s="195">
        <f t="shared" si="55"/>
        <v>1.6556</v>
      </c>
      <c r="V379" s="195">
        <f t="shared" si="55"/>
        <v>1.8472</v>
      </c>
      <c r="W379" s="195">
        <f>IFERROR(INDEX('Ashed teabags dry'!$K$2:$K$821,MATCH(H379,'Ashed teabags dry'!$A$2:$A$821,0)),"")</f>
        <v>6.7607003891055024</v>
      </c>
      <c r="X379" s="195">
        <f>IFERROR(INDEX('Ashed teabags dry'!$K$2:$K$821,MATCH(I379,'Ashed teabags dry'!$A$2:$A$821,0)),"")</f>
        <v>2.5841053144808623</v>
      </c>
      <c r="Y379" s="195">
        <f t="shared" si="50"/>
        <v>1.5436698443579693</v>
      </c>
      <c r="Z379" s="195">
        <f t="shared" si="50"/>
        <v>1.7994664066309094</v>
      </c>
      <c r="AA379" s="195">
        <f t="shared" si="56"/>
        <v>6.5456847035479493E-2</v>
      </c>
      <c r="AB379" s="195">
        <f t="shared" si="57"/>
        <v>4.2912327272665869E-2</v>
      </c>
      <c r="AC379" s="195">
        <f t="shared" si="51"/>
        <v>0.94039570614454771</v>
      </c>
      <c r="AD379">
        <f t="shared" si="52"/>
        <v>69</v>
      </c>
      <c r="AE379" s="195">
        <f t="shared" si="58"/>
        <v>0.92226027667995314</v>
      </c>
      <c r="AF379" s="195" t="str">
        <f t="shared" si="59"/>
        <v/>
      </c>
      <c r="AG379" s="255" t="str">
        <f>IF(ISNUMBER(SEARCH("C", 'Dry_Litterbag Placem_Collection'!AD86)),"YES","NO")</f>
        <v>NO</v>
      </c>
      <c r="AH379" s="255" t="str">
        <f>IF(ISNUMBER(SEARCH("H", 'Dry_Litterbag Placem_Collection'!AD86)),"YES","NO")</f>
        <v>NO</v>
      </c>
      <c r="AI379" s="255" t="str">
        <f>IF(ISNUMBER(SEARCH("R", 'Dry_Litterbag Placem_Collection'!AD86)),"YES","NO")</f>
        <v>NO</v>
      </c>
      <c r="AJ379" s="255" t="str">
        <f>IF(ISNUMBER(SEARCH("C", 'Dry_Litterbag Placem_Collection'!AC86)),"YES","NO")</f>
        <v>NO</v>
      </c>
      <c r="AK379" s="255" t="str">
        <f>IF(ISNUMBER(SEARCH("H", 'Dry_Litterbag Placem_Collection'!AC86)),"YES","NO")</f>
        <v>NO</v>
      </c>
      <c r="AL379" s="255" t="str">
        <f>IF(ISNUMBER(SEARCH("R", 'Dry_Litterbag Placem_Collection'!AC86)),"YES","NO")</f>
        <v>NO</v>
      </c>
      <c r="AR379" t="s">
        <v>1196</v>
      </c>
      <c r="AT379" t="s">
        <v>419</v>
      </c>
    </row>
    <row r="380" spans="2:46">
      <c r="B380" t="str">
        <f>'Final data_for_R_analysis_Dryse'!A526</f>
        <v>Dry</v>
      </c>
      <c r="C380" s="263">
        <f>'Final data_for_R_analysis_Dryse'!B526</f>
        <v>85</v>
      </c>
      <c r="D380" t="s">
        <v>3839</v>
      </c>
      <c r="E380" t="s">
        <v>25</v>
      </c>
      <c r="F380" s="387">
        <v>5</v>
      </c>
      <c r="G380" s="16">
        <f>'Dry_Litterbag Placem_Collection'!E87</f>
        <v>0</v>
      </c>
      <c r="H380" s="92" t="str">
        <f>'Final data_for_R_analysis_Dryse'!J526</f>
        <v/>
      </c>
      <c r="I380" t="str">
        <f>'Final data_for_R_analysis_Dryse'!J746</f>
        <v/>
      </c>
      <c r="J380" t="str">
        <f>IFERROR(INDEX('Green_rooibos initial weight'!$C$5:$C$1749,MATCH(H380, 'Green_rooibos initial weight'!$A$5:$A$1749,0)),"")</f>
        <v/>
      </c>
      <c r="K380" t="str">
        <f>IFERROR(INDEX('Green_rooibos initial weight'!$C$5:$C$1749,MATCH(I380, 'Green_rooibos initial weight'!$A$5:$A$1749,0)),"")</f>
        <v/>
      </c>
      <c r="L380" s="195" t="str">
        <f t="shared" si="53"/>
        <v/>
      </c>
      <c r="M380" s="240">
        <f>AVERAGE(Ashed_controlls!$K$1:$K$11)</f>
        <v>5.5147656768714146</v>
      </c>
      <c r="N380" s="195" t="str">
        <f t="shared" si="48"/>
        <v/>
      </c>
      <c r="O380" s="195" t="str">
        <f t="shared" si="54"/>
        <v/>
      </c>
      <c r="P380" s="240">
        <f>AVERAGE(Ashed_controlls!$K$12:$K$14)</f>
        <v>2.2816647271287041</v>
      </c>
      <c r="Q380" s="195" t="str">
        <f t="shared" si="49"/>
        <v/>
      </c>
      <c r="R380" s="16">
        <f>IF('Dry_Litterbag Placem_Collection'!G87="N.A","",'Dry_Litterbag Placem_Collection'!G87)</f>
        <v>0</v>
      </c>
      <c r="S380" s="195" t="str">
        <f>IF(IFERROR(INDEX('Both teabags AfterDry'!$D$1:$D$839,MATCH(H380,'Both teabags AfterDry'!$A$1:$A$839,0)),"")="N.A","",(IFERROR(INDEX('Both teabags AfterDry'!$D$1:$D$839,MATCH(H380,'Both teabags AfterDry'!$A$1:$A$839,0)),"")))</f>
        <v/>
      </c>
      <c r="T380" s="195" t="str">
        <f>IF(IFERROR(INDEX('Both teabags AfterDry'!$D$1:$D$839,MATCH(I380,'Both teabags AfterDry'!$A$1:$A$839,0)),"")="N.A","",(IFERROR(INDEX('Both teabags AfterDry'!$D$1:$D$839,MATCH(I380,'Both teabags AfterDry'!$A$1:$A$839,0)),"")))</f>
        <v/>
      </c>
      <c r="U380" s="195" t="str">
        <f t="shared" si="55"/>
        <v/>
      </c>
      <c r="V380" s="195" t="str">
        <f t="shared" si="55"/>
        <v/>
      </c>
      <c r="W380" s="195" t="str">
        <f>IFERROR(INDEX('Ashed teabags dry'!$K$2:$K$821,MATCH(H380,'Ashed teabags dry'!$A$2:$A$821,0)),"")</f>
        <v/>
      </c>
      <c r="X380" s="195" t="str">
        <f>IFERROR(INDEX('Ashed teabags dry'!$K$2:$K$821,MATCH(I380,'Ashed teabags dry'!$A$2:$A$821,0)),"")</f>
        <v/>
      </c>
      <c r="Y380" s="195" t="str">
        <f t="shared" si="50"/>
        <v/>
      </c>
      <c r="Z380" s="195" t="str">
        <f t="shared" si="50"/>
        <v/>
      </c>
      <c r="AA380" s="195" t="str">
        <f t="shared" si="56"/>
        <v/>
      </c>
      <c r="AB380" s="195" t="str">
        <f t="shared" si="57"/>
        <v/>
      </c>
      <c r="AC380" s="195" t="str">
        <f t="shared" si="51"/>
        <v/>
      </c>
      <c r="AD380" t="str">
        <f t="shared" si="52"/>
        <v/>
      </c>
      <c r="AE380" s="195" t="str">
        <f t="shared" si="58"/>
        <v/>
      </c>
      <c r="AF380" s="195" t="str">
        <f t="shared" si="59"/>
        <v/>
      </c>
      <c r="AG380" s="255" t="str">
        <f>IF(ISNUMBER(SEARCH("C", 'Dry_Litterbag Placem_Collection'!AD87)),"YES","NO")</f>
        <v>NO</v>
      </c>
      <c r="AH380" s="255" t="str">
        <f>IF(ISNUMBER(SEARCH("H", 'Dry_Litterbag Placem_Collection'!AD87)),"YES","NO")</f>
        <v>NO</v>
      </c>
      <c r="AI380" s="255" t="str">
        <f>IF(ISNUMBER(SEARCH("R", 'Dry_Litterbag Placem_Collection'!AD87)),"YES","NO")</f>
        <v>NO</v>
      </c>
      <c r="AJ380" s="255" t="str">
        <f>IF(ISNUMBER(SEARCH("C", 'Dry_Litterbag Placem_Collection'!AC87)),"YES","NO")</f>
        <v>NO</v>
      </c>
      <c r="AK380" s="255" t="str">
        <f>IF(ISNUMBER(SEARCH("H", 'Dry_Litterbag Placem_Collection'!AC87)),"YES","NO")</f>
        <v>NO</v>
      </c>
      <c r="AL380" s="255" t="str">
        <f>IF(ISNUMBER(SEARCH("R", 'Dry_Litterbag Placem_Collection'!AC87)),"YES","NO")</f>
        <v>NO</v>
      </c>
      <c r="AR380" t="s">
        <v>3654</v>
      </c>
      <c r="AT380" t="s">
        <v>3654</v>
      </c>
    </row>
    <row r="381" spans="2:46">
      <c r="B381" t="str">
        <f>'Final data_for_R_analysis_Dryse'!A527</f>
        <v>Dry</v>
      </c>
      <c r="C381" s="263">
        <f>'Final data_for_R_analysis_Dryse'!B527</f>
        <v>86</v>
      </c>
      <c r="D381" t="s">
        <v>3839</v>
      </c>
      <c r="E381" t="s">
        <v>25</v>
      </c>
      <c r="F381" s="387">
        <v>6</v>
      </c>
      <c r="G381" s="16">
        <f>'Dry_Litterbag Placem_Collection'!E88</f>
        <v>42937</v>
      </c>
      <c r="H381" s="92" t="str">
        <f>'Final data_for_R_analysis_Dryse'!J527</f>
        <v>G788</v>
      </c>
      <c r="I381" t="str">
        <f>'Final data_for_R_analysis_Dryse'!J747</f>
        <v>R643</v>
      </c>
      <c r="J381">
        <f>IFERROR(INDEX('Green_rooibos initial weight'!$C$5:$C$1749,MATCH(H381, 'Green_rooibos initial weight'!$A$5:$A$1749,0)),"")</f>
        <v>2.0699999999999998</v>
      </c>
      <c r="K381">
        <f>IFERROR(INDEX('Green_rooibos initial weight'!$C$5:$C$1749,MATCH(I381, 'Green_rooibos initial weight'!$A$5:$A$1749,0)),"")</f>
        <v>2.1930000000000001</v>
      </c>
      <c r="L381" s="195">
        <f t="shared" si="53"/>
        <v>1.8201999999999998</v>
      </c>
      <c r="M381" s="240">
        <f>AVERAGE(Ashed_controlls!$K$1:$K$11)</f>
        <v>5.5147656768714146</v>
      </c>
      <c r="N381" s="195">
        <f t="shared" si="48"/>
        <v>1.7198202351495864</v>
      </c>
      <c r="O381" s="195">
        <f t="shared" si="54"/>
        <v>1.9432</v>
      </c>
      <c r="P381" s="240">
        <f>AVERAGE(Ashed_controlls!$K$12:$K$14)</f>
        <v>2.2816647271287041</v>
      </c>
      <c r="Q381" s="195">
        <f t="shared" si="49"/>
        <v>1.8988626910224351</v>
      </c>
      <c r="R381" s="16">
        <f>IF('Dry_Litterbag Placem_Collection'!G88="N.A","",'Dry_Litterbag Placem_Collection'!G88)</f>
        <v>43006</v>
      </c>
      <c r="S381" s="195" t="str">
        <f>IF(IFERROR(INDEX('Both teabags AfterDry'!$D$1:$D$839,MATCH(H381,'Both teabags AfterDry'!$A$1:$A$839,0)),"")="N.A","",(IFERROR(INDEX('Both teabags AfterDry'!$D$1:$D$839,MATCH(H381,'Both teabags AfterDry'!$A$1:$A$839,0)),"")))</f>
        <v/>
      </c>
      <c r="T381" s="195" t="str">
        <f>IF(IFERROR(INDEX('Both teabags AfterDry'!$D$1:$D$839,MATCH(I381,'Both teabags AfterDry'!$A$1:$A$839,0)),"")="N.A","",(IFERROR(INDEX('Both teabags AfterDry'!$D$1:$D$839,MATCH(I381,'Both teabags AfterDry'!$A$1:$A$839,0)),"")))</f>
        <v/>
      </c>
      <c r="U381" s="195" t="str">
        <f t="shared" si="55"/>
        <v/>
      </c>
      <c r="V381" s="195" t="str">
        <f t="shared" si="55"/>
        <v/>
      </c>
      <c r="W381" s="195" t="str">
        <f>IFERROR(INDEX('Ashed teabags dry'!$K$2:$K$821,MATCH(H381,'Ashed teabags dry'!$A$2:$A$821,0)),"")</f>
        <v/>
      </c>
      <c r="X381" s="195" t="str">
        <f>IFERROR(INDEX('Ashed teabags dry'!$K$2:$K$821,MATCH(I381,'Ashed teabags dry'!$A$2:$A$821,0)),"")</f>
        <v/>
      </c>
      <c r="Y381" s="195" t="str">
        <f t="shared" si="50"/>
        <v/>
      </c>
      <c r="Z381" s="195" t="str">
        <f t="shared" si="50"/>
        <v/>
      </c>
      <c r="AA381" s="195" t="str">
        <f t="shared" si="56"/>
        <v/>
      </c>
      <c r="AB381" s="195" t="str">
        <f t="shared" si="57"/>
        <v/>
      </c>
      <c r="AC381" s="195" t="str">
        <f t="shared" si="51"/>
        <v/>
      </c>
      <c r="AD381">
        <f t="shared" si="52"/>
        <v>69</v>
      </c>
      <c r="AE381" s="195" t="str">
        <f t="shared" si="58"/>
        <v/>
      </c>
      <c r="AF381" s="195" t="str">
        <f t="shared" si="59"/>
        <v/>
      </c>
      <c r="AG381" s="255" t="str">
        <f>IF(ISNUMBER(SEARCH("C", 'Dry_Litterbag Placem_Collection'!AD88)),"YES","NO")</f>
        <v>NO</v>
      </c>
      <c r="AH381" s="255" t="str">
        <f>IF(ISNUMBER(SEARCH("H", 'Dry_Litterbag Placem_Collection'!AD88)),"YES","NO")</f>
        <v>NO</v>
      </c>
      <c r="AI381" s="255" t="str">
        <f>IF(ISNUMBER(SEARCH("R", 'Dry_Litterbag Placem_Collection'!AD88)),"YES","NO")</f>
        <v>NO</v>
      </c>
      <c r="AJ381" s="255" t="str">
        <f>IF(ISNUMBER(SEARCH("C", 'Dry_Litterbag Placem_Collection'!AC88)),"YES","NO")</f>
        <v>NO</v>
      </c>
      <c r="AK381" s="255" t="str">
        <f>IF(ISNUMBER(SEARCH("H", 'Dry_Litterbag Placem_Collection'!AC88)),"YES","NO")</f>
        <v>NO</v>
      </c>
      <c r="AL381" s="255" t="str">
        <f>IF(ISNUMBER(SEARCH("R", 'Dry_Litterbag Placem_Collection'!AC88)),"YES","NO")</f>
        <v>NO</v>
      </c>
      <c r="AR381" t="s">
        <v>1262</v>
      </c>
      <c r="AT381" t="s">
        <v>496</v>
      </c>
    </row>
    <row r="382" spans="2:46">
      <c r="B382" t="str">
        <f>'Final data_for_R_analysis_Dryse'!A528</f>
        <v>Dry</v>
      </c>
      <c r="C382" s="263">
        <f>'Final data_for_R_analysis_Dryse'!B528</f>
        <v>87</v>
      </c>
      <c r="D382" t="s">
        <v>3839</v>
      </c>
      <c r="E382" t="s">
        <v>25</v>
      </c>
      <c r="F382" s="387">
        <v>7</v>
      </c>
      <c r="G382" s="16">
        <f>'Dry_Litterbag Placem_Collection'!E89</f>
        <v>42937</v>
      </c>
      <c r="H382" s="92" t="str">
        <f>'Final data_for_R_analysis_Dryse'!J528</f>
        <v>G91</v>
      </c>
      <c r="I382" t="str">
        <f>'Final data_for_R_analysis_Dryse'!J748</f>
        <v>R277</v>
      </c>
      <c r="J382">
        <f>IFERROR(INDEX('Green_rooibos initial weight'!$C$5:$C$1749,MATCH(H382, 'Green_rooibos initial weight'!$A$5:$A$1749,0)),"")</f>
        <v>2.044</v>
      </c>
      <c r="K382">
        <f>IFERROR(INDEX('Green_rooibos initial weight'!$C$5:$C$1749,MATCH(I382, 'Green_rooibos initial weight'!$A$5:$A$1749,0)),"")</f>
        <v>2.1949999999999998</v>
      </c>
      <c r="L382" s="195">
        <f t="shared" si="53"/>
        <v>1.7942</v>
      </c>
      <c r="M382" s="240">
        <f>AVERAGE(Ashed_controlls!$K$1:$K$11)</f>
        <v>5.5147656768714146</v>
      </c>
      <c r="N382" s="195">
        <f t="shared" si="48"/>
        <v>1.6952540742255731</v>
      </c>
      <c r="O382" s="195">
        <f t="shared" si="54"/>
        <v>1.9451999999999998</v>
      </c>
      <c r="P382" s="240">
        <f>AVERAGE(Ashed_controlls!$K$12:$K$14)</f>
        <v>2.2816647271287041</v>
      </c>
      <c r="Q382" s="195">
        <f t="shared" si="49"/>
        <v>1.9008170577278922</v>
      </c>
      <c r="R382" s="16">
        <f>IF('Dry_Litterbag Placem_Collection'!G89="N.A","",'Dry_Litterbag Placem_Collection'!G89)</f>
        <v>43006</v>
      </c>
      <c r="S382" s="195">
        <f>IF(IFERROR(INDEX('Both teabags AfterDry'!$D$1:$D$839,MATCH(H382,'Both teabags AfterDry'!$A$1:$A$839,0)),"")="N.A","",(IFERROR(INDEX('Both teabags AfterDry'!$D$1:$D$839,MATCH(H382,'Both teabags AfterDry'!$A$1:$A$839,0)),"")))</f>
        <v>1.8609</v>
      </c>
      <c r="T382" s="195">
        <f>IF(IFERROR(INDEX('Both teabags AfterDry'!$D$1:$D$839,MATCH(I382,'Both teabags AfterDry'!$A$1:$A$839,0)),"")="N.A","",(IFERROR(INDEX('Both teabags AfterDry'!$D$1:$D$839,MATCH(I382,'Both teabags AfterDry'!$A$1:$A$839,0)),"")))</f>
        <v>1.9473</v>
      </c>
      <c r="U382" s="195">
        <f t="shared" si="55"/>
        <v>1.7102999999999999</v>
      </c>
      <c r="V382" s="195">
        <f t="shared" si="55"/>
        <v>1.7967</v>
      </c>
      <c r="W382" s="195">
        <f>IFERROR(INDEX('Ashed teabags dry'!$K$2:$K$821,MATCH(H382,'Ashed teabags dry'!$A$2:$A$821,0)),"")</f>
        <v>5.6727613689638741</v>
      </c>
      <c r="X382" s="195">
        <f>IFERROR(INDEX('Ashed teabags dry'!$K$2:$K$821,MATCH(I382,'Ashed teabags dry'!$A$2:$A$821,0)),"")</f>
        <v>2.1385402138541729</v>
      </c>
      <c r="Y382" s="195">
        <f t="shared" si="50"/>
        <v>1.6132787623066107</v>
      </c>
      <c r="Z382" s="195">
        <f t="shared" si="50"/>
        <v>1.758276847977682</v>
      </c>
      <c r="AA382" s="195">
        <f t="shared" si="56"/>
        <v>4.8355767530840699E-2</v>
      </c>
      <c r="AB382" s="195">
        <f t="shared" si="57"/>
        <v>3.1701168262498913E-2</v>
      </c>
      <c r="AC382" s="195">
        <f t="shared" si="51"/>
        <v>0.92501108448564051</v>
      </c>
      <c r="AD382">
        <f t="shared" si="52"/>
        <v>69</v>
      </c>
      <c r="AE382" s="195">
        <f t="shared" si="58"/>
        <v>0.94257034735054546</v>
      </c>
      <c r="AF382" s="195" t="str">
        <f t="shared" si="59"/>
        <v/>
      </c>
      <c r="AG382" s="255" t="str">
        <f>IF(ISNUMBER(SEARCH("C", 'Dry_Litterbag Placem_Collection'!AD89)),"YES","NO")</f>
        <v>NO</v>
      </c>
      <c r="AH382" s="255" t="str">
        <f>IF(ISNUMBER(SEARCH("H", 'Dry_Litterbag Placem_Collection'!AD89)),"YES","NO")</f>
        <v>NO</v>
      </c>
      <c r="AI382" s="255" t="str">
        <f>IF(ISNUMBER(SEARCH("R", 'Dry_Litterbag Placem_Collection'!AD89)),"YES","NO")</f>
        <v>NO</v>
      </c>
      <c r="AJ382" s="255" t="str">
        <f>IF(ISNUMBER(SEARCH("C", 'Dry_Litterbag Placem_Collection'!AC89)),"YES","NO")</f>
        <v>NO</v>
      </c>
      <c r="AK382" s="255" t="str">
        <f>IF(ISNUMBER(SEARCH("H", 'Dry_Litterbag Placem_Collection'!AC89)),"YES","NO")</f>
        <v>NO</v>
      </c>
      <c r="AL382" s="255" t="str">
        <f>IF(ISNUMBER(SEARCH("R", 'Dry_Litterbag Placem_Collection'!AC89)),"YES","NO")</f>
        <v>NO</v>
      </c>
      <c r="AR382" t="s">
        <v>1959</v>
      </c>
      <c r="AT382" t="s">
        <v>864</v>
      </c>
    </row>
    <row r="383" spans="2:46">
      <c r="B383" t="str">
        <f>'Final data_for_R_analysis_Dryse'!A529</f>
        <v>Dry</v>
      </c>
      <c r="C383" s="263">
        <f>'Final data_for_R_analysis_Dryse'!B529</f>
        <v>88</v>
      </c>
      <c r="D383" t="s">
        <v>3839</v>
      </c>
      <c r="E383" t="s">
        <v>25</v>
      </c>
      <c r="F383" s="387">
        <v>8</v>
      </c>
      <c r="G383" s="16">
        <f>'Dry_Litterbag Placem_Collection'!E90</f>
        <v>42937</v>
      </c>
      <c r="H383" s="92" t="str">
        <f>'Final data_for_R_analysis_Dryse'!J529</f>
        <v>G364</v>
      </c>
      <c r="I383" t="str">
        <f>'Final data_for_R_analysis_Dryse'!J749</f>
        <v>R197</v>
      </c>
      <c r="J383">
        <f>IFERROR(INDEX('Green_rooibos initial weight'!$C$5:$C$1749,MATCH(H383, 'Green_rooibos initial weight'!$A$5:$A$1749,0)),"")</f>
        <v>2.0569999999999999</v>
      </c>
      <c r="K383">
        <f>IFERROR(INDEX('Green_rooibos initial weight'!$C$5:$C$1749,MATCH(I383, 'Green_rooibos initial weight'!$A$5:$A$1749,0)),"")</f>
        <v>2.2330000000000001</v>
      </c>
      <c r="L383" s="195">
        <f t="shared" si="53"/>
        <v>1.8071999999999999</v>
      </c>
      <c r="M383" s="240">
        <f>AVERAGE(Ashed_controlls!$K$1:$K$11)</f>
        <v>5.5147656768714146</v>
      </c>
      <c r="N383" s="195">
        <f t="shared" si="48"/>
        <v>1.7075371546875797</v>
      </c>
      <c r="O383" s="195">
        <f t="shared" si="54"/>
        <v>1.9832000000000001</v>
      </c>
      <c r="P383" s="240">
        <f>AVERAGE(Ashed_controlls!$K$12:$K$14)</f>
        <v>2.2816647271287041</v>
      </c>
      <c r="Q383" s="195">
        <f t="shared" si="49"/>
        <v>1.9379500251315835</v>
      </c>
      <c r="R383" s="16">
        <f>IF('Dry_Litterbag Placem_Collection'!G90="N.A","",'Dry_Litterbag Placem_Collection'!G90)</f>
        <v>43006</v>
      </c>
      <c r="S383" s="195">
        <f>IF(IFERROR(INDEX('Both teabags AfterDry'!$D$1:$D$839,MATCH(H383,'Both teabags AfterDry'!$A$1:$A$839,0)),"")="N.A","",(IFERROR(INDEX('Both teabags AfterDry'!$D$1:$D$839,MATCH(H383,'Both teabags AfterDry'!$A$1:$A$839,0)),"")))</f>
        <v>1.8589</v>
      </c>
      <c r="T383" s="195">
        <f>IF(IFERROR(INDEX('Both teabags AfterDry'!$D$1:$D$839,MATCH(I383,'Both teabags AfterDry'!$A$1:$A$839,0)),"")="N.A","",(IFERROR(INDEX('Both teabags AfterDry'!$D$1:$D$839,MATCH(I383,'Both teabags AfterDry'!$A$1:$A$839,0)),"")))</f>
        <v>1.9945999999999999</v>
      </c>
      <c r="U383" s="195">
        <f t="shared" si="55"/>
        <v>1.7082999999999999</v>
      </c>
      <c r="V383" s="195">
        <f t="shared" si="55"/>
        <v>1.8439999999999999</v>
      </c>
      <c r="W383" s="195">
        <f>IFERROR(INDEX('Ashed teabags dry'!$K$2:$K$821,MATCH(H383,'Ashed teabags dry'!$A$2:$A$821,0)),"")</f>
        <v>6.3441350981288833</v>
      </c>
      <c r="X383" s="195">
        <f>IFERROR(INDEX('Ashed teabags dry'!$K$2:$K$821,MATCH(I383,'Ashed teabags dry'!$A$2:$A$821,0)),"")</f>
        <v>1.9186843307443828</v>
      </c>
      <c r="Y383" s="195">
        <f t="shared" si="50"/>
        <v>1.5999231401186642</v>
      </c>
      <c r="Z383" s="195">
        <f t="shared" si="50"/>
        <v>1.8086194609410735</v>
      </c>
      <c r="AA383" s="195">
        <f t="shared" si="56"/>
        <v>6.3022941710808689E-2</v>
      </c>
      <c r="AB383" s="195">
        <f t="shared" si="57"/>
        <v>4.1316702879295036E-2</v>
      </c>
      <c r="AC383" s="195">
        <f t="shared" si="51"/>
        <v>0.93326424184662415</v>
      </c>
      <c r="AD383">
        <f t="shared" si="52"/>
        <v>69</v>
      </c>
      <c r="AE383" s="195">
        <f t="shared" si="58"/>
        <v>0.92515090058098726</v>
      </c>
      <c r="AF383" s="195" t="str">
        <f t="shared" si="59"/>
        <v/>
      </c>
      <c r="AG383" s="255" t="str">
        <f>IF(ISNUMBER(SEARCH("C", 'Dry_Litterbag Placem_Collection'!AD90)),"YES","NO")</f>
        <v>NO</v>
      </c>
      <c r="AH383" s="255" t="str">
        <f>IF(ISNUMBER(SEARCH("H", 'Dry_Litterbag Placem_Collection'!AD90)),"YES","NO")</f>
        <v>NO</v>
      </c>
      <c r="AI383" s="255" t="str">
        <f>IF(ISNUMBER(SEARCH("R", 'Dry_Litterbag Placem_Collection'!AD90)),"YES","NO")</f>
        <v>NO</v>
      </c>
      <c r="AJ383" s="255" t="str">
        <f>IF(ISNUMBER(SEARCH("C", 'Dry_Litterbag Placem_Collection'!AC90)),"YES","NO")</f>
        <v>NO</v>
      </c>
      <c r="AK383" s="255" t="str">
        <f>IF(ISNUMBER(SEARCH("H", 'Dry_Litterbag Placem_Collection'!AC90)),"YES","NO")</f>
        <v>NO</v>
      </c>
      <c r="AL383" s="255" t="str">
        <f>IF(ISNUMBER(SEARCH("R", 'Dry_Litterbag Placem_Collection'!AC90)),"YES","NO")</f>
        <v>NO</v>
      </c>
      <c r="AR383" t="s">
        <v>1686</v>
      </c>
      <c r="AT383" t="s">
        <v>944</v>
      </c>
    </row>
    <row r="384" spans="2:46">
      <c r="B384" t="str">
        <f>'Final data_for_R_analysis_Dryse'!A530</f>
        <v>Dry</v>
      </c>
      <c r="C384" s="263">
        <f>'Final data_for_R_analysis_Dryse'!B530</f>
        <v>89</v>
      </c>
      <c r="D384" t="s">
        <v>3840</v>
      </c>
      <c r="E384" t="s">
        <v>25</v>
      </c>
      <c r="F384" s="386">
        <v>1</v>
      </c>
      <c r="G384" s="16">
        <f>'Dry_Litterbag Placem_Collection'!E91</f>
        <v>42937</v>
      </c>
      <c r="H384" s="92" t="str">
        <f>'Final data_for_R_analysis_Dryse'!J530</f>
        <v>G862</v>
      </c>
      <c r="I384" t="str">
        <f>'Final data_for_R_analysis_Dryse'!J750</f>
        <v>R841</v>
      </c>
      <c r="J384">
        <f>IFERROR(INDEX('Green_rooibos initial weight'!$C$5:$C$1749,MATCH(H384, 'Green_rooibos initial weight'!$A$5:$A$1749,0)),"")</f>
        <v>1.996</v>
      </c>
      <c r="K384">
        <f>IFERROR(INDEX('Green_rooibos initial weight'!$C$5:$C$1749,MATCH(I384, 'Green_rooibos initial weight'!$A$5:$A$1749,0)),"")</f>
        <v>2.13</v>
      </c>
      <c r="L384" s="195">
        <f t="shared" si="53"/>
        <v>1.7462</v>
      </c>
      <c r="M384" s="240">
        <f>AVERAGE(Ashed_controlls!$K$1:$K$11)</f>
        <v>5.5147656768714146</v>
      </c>
      <c r="N384" s="195">
        <f t="shared" si="48"/>
        <v>1.6499011617504713</v>
      </c>
      <c r="O384" s="195">
        <f t="shared" si="54"/>
        <v>1.8801999999999999</v>
      </c>
      <c r="P384" s="240">
        <f>AVERAGE(Ashed_controlls!$K$12:$K$14)</f>
        <v>2.2816647271287041</v>
      </c>
      <c r="Q384" s="195">
        <f t="shared" si="49"/>
        <v>1.837300139800526</v>
      </c>
      <c r="R384" s="16">
        <f>IF('Dry_Litterbag Placem_Collection'!G91="N.A","",'Dry_Litterbag Placem_Collection'!G91)</f>
        <v>43006</v>
      </c>
      <c r="S384" s="195">
        <f>IF(IFERROR(INDEX('Both teabags AfterDry'!$D$1:$D$839,MATCH(H384,'Both teabags AfterDry'!$A$1:$A$839,0)),"")="N.A","",(IFERROR(INDEX('Both teabags AfterDry'!$D$1:$D$839,MATCH(H384,'Both teabags AfterDry'!$A$1:$A$839,0)),"")))</f>
        <v>1.8160000000000001</v>
      </c>
      <c r="T384" s="195">
        <f>IF(IFERROR(INDEX('Both teabags AfterDry'!$D$1:$D$839,MATCH(I384,'Both teabags AfterDry'!$A$1:$A$839,0)),"")="N.A","",(IFERROR(INDEX('Both teabags AfterDry'!$D$1:$D$839,MATCH(I384,'Both teabags AfterDry'!$A$1:$A$839,0)),"")))</f>
        <v>1.9592000000000001</v>
      </c>
      <c r="U384" s="195">
        <f t="shared" si="55"/>
        <v>1.6654</v>
      </c>
      <c r="V384" s="195">
        <f t="shared" si="55"/>
        <v>1.8086</v>
      </c>
      <c r="W384" s="195">
        <f>IFERROR(INDEX('Ashed teabags dry'!$K$2:$K$821,MATCH(H384,'Ashed teabags dry'!$A$2:$A$821,0)),"")</f>
        <v>6.0205580029367782</v>
      </c>
      <c r="X384" s="195" t="str">
        <f>IFERROR(INDEX('Ashed teabags dry'!$K$2:$K$821,MATCH(I384,'Ashed teabags dry'!$A$2:$A$821,0)),"")</f>
        <v/>
      </c>
      <c r="Y384" s="195">
        <f t="shared" si="50"/>
        <v>1.565133627019091</v>
      </c>
      <c r="Z384" s="195" t="str">
        <f t="shared" si="50"/>
        <v/>
      </c>
      <c r="AA384" s="195">
        <f t="shared" si="56"/>
        <v>5.137734107747749E-2</v>
      </c>
      <c r="AB384" s="195">
        <f t="shared" si="57"/>
        <v>3.368205733345319E-2</v>
      </c>
      <c r="AC384" s="195" t="str">
        <f t="shared" si="51"/>
        <v/>
      </c>
      <c r="AD384">
        <f t="shared" si="52"/>
        <v>69</v>
      </c>
      <c r="AE384" s="195">
        <f t="shared" si="58"/>
        <v>0.93898178019301959</v>
      </c>
      <c r="AF384" s="195" t="str">
        <f t="shared" si="59"/>
        <v/>
      </c>
      <c r="AG384" s="255" t="str">
        <f>IF(ISNUMBER(SEARCH("C", 'Dry_Litterbag Placem_Collection'!AD91)),"YES","NO")</f>
        <v>NO</v>
      </c>
      <c r="AH384" s="255" t="str">
        <f>IF(ISNUMBER(SEARCH("H", 'Dry_Litterbag Placem_Collection'!AD91)),"YES","NO")</f>
        <v>NO</v>
      </c>
      <c r="AI384" s="255" t="str">
        <f>IF(ISNUMBER(SEARCH("R", 'Dry_Litterbag Placem_Collection'!AD91)),"YES","NO")</f>
        <v>NO</v>
      </c>
      <c r="AJ384" s="255" t="str">
        <f>IF(ISNUMBER(SEARCH("C", 'Dry_Litterbag Placem_Collection'!AC91)),"YES","NO")</f>
        <v>NO</v>
      </c>
      <c r="AK384" s="255" t="str">
        <f>IF(ISNUMBER(SEARCH("H", 'Dry_Litterbag Placem_Collection'!AC91)),"YES","NO")</f>
        <v>NO</v>
      </c>
      <c r="AL384" s="255" t="str">
        <f>IF(ISNUMBER(SEARCH("R", 'Dry_Litterbag Placem_Collection'!AC91)),"YES","NO")</f>
        <v>NO</v>
      </c>
      <c r="AR384" t="s">
        <v>1188</v>
      </c>
      <c r="AT384" t="s">
        <v>539</v>
      </c>
    </row>
    <row r="385" spans="2:46">
      <c r="B385" t="str">
        <f>'Final data_for_R_analysis_Dryse'!A531</f>
        <v>Dry</v>
      </c>
      <c r="C385" s="263">
        <f>'Final data_for_R_analysis_Dryse'!B531</f>
        <v>90</v>
      </c>
      <c r="D385" t="s">
        <v>3840</v>
      </c>
      <c r="E385" t="s">
        <v>25</v>
      </c>
      <c r="F385" s="386">
        <v>2</v>
      </c>
      <c r="G385" s="16">
        <f>'Dry_Litterbag Placem_Collection'!E92</f>
        <v>42937</v>
      </c>
      <c r="H385" s="92" t="str">
        <f>'Final data_for_R_analysis_Dryse'!J531</f>
        <v>G330</v>
      </c>
      <c r="I385" t="str">
        <f>'Final data_for_R_analysis_Dryse'!J751</f>
        <v>R220</v>
      </c>
      <c r="J385">
        <f>IFERROR(INDEX('Green_rooibos initial weight'!$C$5:$C$1749,MATCH(H385, 'Green_rooibos initial weight'!$A$5:$A$1749,0)),"")</f>
        <v>2.1379999999999999</v>
      </c>
      <c r="K385">
        <f>IFERROR(INDEX('Green_rooibos initial weight'!$C$5:$C$1749,MATCH(I385, 'Green_rooibos initial weight'!$A$5:$A$1749,0)),"")</f>
        <v>2.2269999999999999</v>
      </c>
      <c r="L385" s="195">
        <f t="shared" si="53"/>
        <v>1.8881999999999999</v>
      </c>
      <c r="M385" s="240">
        <f>AVERAGE(Ashed_controlls!$K$1:$K$11)</f>
        <v>5.5147656768714146</v>
      </c>
      <c r="N385" s="195">
        <f t="shared" si="48"/>
        <v>1.7840701944893138</v>
      </c>
      <c r="O385" s="195">
        <f t="shared" si="54"/>
        <v>1.9771999999999998</v>
      </c>
      <c r="P385" s="240">
        <f>AVERAGE(Ashed_controlls!$K$12:$K$14)</f>
        <v>2.2816647271287041</v>
      </c>
      <c r="Q385" s="195">
        <f t="shared" si="49"/>
        <v>1.9320869250152111</v>
      </c>
      <c r="R385" s="16">
        <f>IF('Dry_Litterbag Placem_Collection'!G92="N.A","",'Dry_Litterbag Placem_Collection'!G92)</f>
        <v>43006</v>
      </c>
      <c r="S385" s="195" t="str">
        <f>IF(IFERROR(INDEX('Both teabags AfterDry'!$D$1:$D$839,MATCH(H385,'Both teabags AfterDry'!$A$1:$A$839,0)),"")="N.A","",(IFERROR(INDEX('Both teabags AfterDry'!$D$1:$D$839,MATCH(H385,'Both teabags AfterDry'!$A$1:$A$839,0)),"")))</f>
        <v/>
      </c>
      <c r="T385" s="195" t="str">
        <f>IF(IFERROR(INDEX('Both teabags AfterDry'!$D$1:$D$839,MATCH(I385,'Both teabags AfterDry'!$A$1:$A$839,0)),"")="N.A","",(IFERROR(INDEX('Both teabags AfterDry'!$D$1:$D$839,MATCH(I385,'Both teabags AfterDry'!$A$1:$A$839,0)),"")))</f>
        <v/>
      </c>
      <c r="U385" s="195" t="str">
        <f t="shared" si="55"/>
        <v/>
      </c>
      <c r="V385" s="195" t="str">
        <f t="shared" si="55"/>
        <v/>
      </c>
      <c r="W385" s="195" t="str">
        <f>IFERROR(INDEX('Ashed teabags dry'!$K$2:$K$821,MATCH(H385,'Ashed teabags dry'!$A$2:$A$821,0)),"")</f>
        <v/>
      </c>
      <c r="X385" s="195" t="str">
        <f>IFERROR(INDEX('Ashed teabags dry'!$K$2:$K$821,MATCH(I385,'Ashed teabags dry'!$A$2:$A$821,0)),"")</f>
        <v/>
      </c>
      <c r="Y385" s="195" t="str">
        <f t="shared" si="50"/>
        <v/>
      </c>
      <c r="Z385" s="195" t="str">
        <f t="shared" si="50"/>
        <v/>
      </c>
      <c r="AA385" s="195" t="str">
        <f t="shared" si="56"/>
        <v/>
      </c>
      <c r="AB385" s="195" t="str">
        <f t="shared" si="57"/>
        <v/>
      </c>
      <c r="AC385" s="195" t="str">
        <f t="shared" si="51"/>
        <v/>
      </c>
      <c r="AD385">
        <f t="shared" si="52"/>
        <v>69</v>
      </c>
      <c r="AE385" s="195" t="str">
        <f t="shared" si="58"/>
        <v/>
      </c>
      <c r="AF385" s="195" t="str">
        <f t="shared" si="59"/>
        <v/>
      </c>
      <c r="AG385" s="255" t="str">
        <f>IF(ISNUMBER(SEARCH("C", 'Dry_Litterbag Placem_Collection'!AD92)),"YES","NO")</f>
        <v>NO</v>
      </c>
      <c r="AH385" s="255" t="str">
        <f>IF(ISNUMBER(SEARCH("H", 'Dry_Litterbag Placem_Collection'!AD92)),"YES","NO")</f>
        <v>NO</v>
      </c>
      <c r="AI385" s="255" t="str">
        <f>IF(ISNUMBER(SEARCH("R", 'Dry_Litterbag Placem_Collection'!AD92)),"YES","NO")</f>
        <v>NO</v>
      </c>
      <c r="AJ385" s="255" t="str">
        <f>IF(ISNUMBER(SEARCH("C", 'Dry_Litterbag Placem_Collection'!AC92)),"YES","NO")</f>
        <v>NO</v>
      </c>
      <c r="AK385" s="255" t="str">
        <f>IF(ISNUMBER(SEARCH("H", 'Dry_Litterbag Placem_Collection'!AC92)),"YES","NO")</f>
        <v>NO</v>
      </c>
      <c r="AL385" s="255" t="str">
        <f>IF(ISNUMBER(SEARCH("R", 'Dry_Litterbag Placem_Collection'!AC92)),"YES","NO")</f>
        <v>NO</v>
      </c>
      <c r="AR385" t="s">
        <v>1720</v>
      </c>
      <c r="AT385" t="s">
        <v>921</v>
      </c>
    </row>
    <row r="386" spans="2:46">
      <c r="B386" t="str">
        <f>'Final data_for_R_analysis_Dryse'!A532</f>
        <v>Dry</v>
      </c>
      <c r="C386" s="263">
        <f>'Final data_for_R_analysis_Dryse'!B532</f>
        <v>91</v>
      </c>
      <c r="D386" t="s">
        <v>3840</v>
      </c>
      <c r="E386" t="s">
        <v>25</v>
      </c>
      <c r="F386" s="386">
        <v>3</v>
      </c>
      <c r="G386" s="16">
        <f>'Dry_Litterbag Placem_Collection'!E93</f>
        <v>42937</v>
      </c>
      <c r="H386" s="92" t="str">
        <f>'Final data_for_R_analysis_Dryse'!J532</f>
        <v>G596</v>
      </c>
      <c r="I386" t="str">
        <f>'Final data_for_R_analysis_Dryse'!J752</f>
        <v>R659</v>
      </c>
      <c r="J386">
        <f>IFERROR(INDEX('Green_rooibos initial weight'!$C$5:$C$1749,MATCH(H386, 'Green_rooibos initial weight'!$A$5:$A$1749,0)),"")</f>
        <v>2.0179999999999998</v>
      </c>
      <c r="K386">
        <f>IFERROR(INDEX('Green_rooibos initial weight'!$C$5:$C$1749,MATCH(I386, 'Green_rooibos initial weight'!$A$5:$A$1749,0)),"")</f>
        <v>2.2349999999999999</v>
      </c>
      <c r="L386" s="195">
        <f t="shared" si="53"/>
        <v>1.7681999999999998</v>
      </c>
      <c r="M386" s="240">
        <f>AVERAGE(Ashed_controlls!$K$1:$K$11)</f>
        <v>5.5147656768714146</v>
      </c>
      <c r="N386" s="195">
        <f t="shared" si="48"/>
        <v>1.6706879133015595</v>
      </c>
      <c r="O386" s="195">
        <f t="shared" si="54"/>
        <v>1.9851999999999999</v>
      </c>
      <c r="P386" s="240">
        <f>AVERAGE(Ashed_controlls!$K$12:$K$14)</f>
        <v>2.2816647271287041</v>
      </c>
      <c r="Q386" s="195">
        <f t="shared" si="49"/>
        <v>1.9399043918370409</v>
      </c>
      <c r="R386" s="16">
        <f>IF('Dry_Litterbag Placem_Collection'!G93="N.A","",'Dry_Litterbag Placem_Collection'!G93)</f>
        <v>43006</v>
      </c>
      <c r="S386" s="195">
        <f>IF(IFERROR(INDEX('Both teabags AfterDry'!$D$1:$D$839,MATCH(H386,'Both teabags AfterDry'!$A$1:$A$839,0)),"")="N.A","",(IFERROR(INDEX('Both teabags AfterDry'!$D$1:$D$839,MATCH(H386,'Both teabags AfterDry'!$A$1:$A$839,0)),"")))</f>
        <v>1.8642000000000001</v>
      </c>
      <c r="T386" s="195">
        <f>IF(IFERROR(INDEX('Both teabags AfterDry'!$D$1:$D$839,MATCH(I386,'Both teabags AfterDry'!$A$1:$A$839,0)),"")="N.A","",(IFERROR(INDEX('Both teabags AfterDry'!$D$1:$D$839,MATCH(I386,'Both teabags AfterDry'!$A$1:$A$839,0)),"")))</f>
        <v>2.0495999999999999</v>
      </c>
      <c r="U386" s="195">
        <f t="shared" si="55"/>
        <v>1.7136</v>
      </c>
      <c r="V386" s="195">
        <f t="shared" si="55"/>
        <v>1.8989999999999998</v>
      </c>
      <c r="W386" s="195">
        <f>IFERROR(INDEX('Ashed teabags dry'!$K$2:$K$821,MATCH(H386,'Ashed teabags dry'!$A$2:$A$821,0)),"")</f>
        <v>5.1882845188279267</v>
      </c>
      <c r="X386" s="195">
        <f>IFERROR(INDEX('Ashed teabags dry'!$K$2:$K$821,MATCH(I386,'Ashed teabags dry'!$A$2:$A$821,0)),"")</f>
        <v>4.1826717883060072</v>
      </c>
      <c r="Y386" s="195">
        <f t="shared" si="50"/>
        <v>1.6246935564853646</v>
      </c>
      <c r="Z386" s="195">
        <f t="shared" si="50"/>
        <v>1.8195710627400687</v>
      </c>
      <c r="AA386" s="195">
        <f t="shared" si="56"/>
        <v>2.7530190677744426E-2</v>
      </c>
      <c r="AB386" s="195">
        <f t="shared" si="57"/>
        <v>1.804829602626476E-2</v>
      </c>
      <c r="AC386" s="195">
        <f t="shared" si="51"/>
        <v>0.93796945375074925</v>
      </c>
      <c r="AD386">
        <f t="shared" si="52"/>
        <v>69</v>
      </c>
      <c r="AE386" s="195">
        <f t="shared" si="58"/>
        <v>0.96730381154662182</v>
      </c>
      <c r="AF386" s="195" t="str">
        <f t="shared" si="59"/>
        <v/>
      </c>
      <c r="AG386" s="255" t="str">
        <f>IF(ISNUMBER(SEARCH("C", 'Dry_Litterbag Placem_Collection'!AD93)),"YES","NO")</f>
        <v>NO</v>
      </c>
      <c r="AH386" s="255" t="str">
        <f>IF(ISNUMBER(SEARCH("H", 'Dry_Litterbag Placem_Collection'!AD93)),"YES","NO")</f>
        <v>NO</v>
      </c>
      <c r="AI386" s="255" t="str">
        <f>IF(ISNUMBER(SEARCH("R", 'Dry_Litterbag Placem_Collection'!AD93)),"YES","NO")</f>
        <v>NO</v>
      </c>
      <c r="AJ386" s="255" t="str">
        <f>IF(ISNUMBER(SEARCH("C", 'Dry_Litterbag Placem_Collection'!AC93)),"YES","NO")</f>
        <v>NO</v>
      </c>
      <c r="AK386" s="255" t="str">
        <f>IF(ISNUMBER(SEARCH("H", 'Dry_Litterbag Placem_Collection'!AC93)),"YES","NO")</f>
        <v>NO</v>
      </c>
      <c r="AL386" s="255" t="str">
        <f>IF(ISNUMBER(SEARCH("R", 'Dry_Litterbag Placem_Collection'!AC93)),"YES","NO")</f>
        <v>NO</v>
      </c>
      <c r="AR386" t="s">
        <v>1454</v>
      </c>
      <c r="AT386" t="s">
        <v>480</v>
      </c>
    </row>
    <row r="387" spans="2:46">
      <c r="B387" t="str">
        <f>'Final data_for_R_analysis_Dryse'!A533</f>
        <v>Dry</v>
      </c>
      <c r="C387" s="263">
        <f>'Final data_for_R_analysis_Dryse'!B533</f>
        <v>92</v>
      </c>
      <c r="D387" t="s">
        <v>3840</v>
      </c>
      <c r="E387" t="s">
        <v>25</v>
      </c>
      <c r="F387" s="387">
        <v>4</v>
      </c>
      <c r="G387" s="16">
        <f>'Dry_Litterbag Placem_Collection'!E94</f>
        <v>42937</v>
      </c>
      <c r="H387" s="92" t="str">
        <f>'Final data_for_R_analysis_Dryse'!J533</f>
        <v>G380</v>
      </c>
      <c r="I387" t="str">
        <f>'Final data_for_R_analysis_Dryse'!J753</f>
        <v>R619</v>
      </c>
      <c r="J387">
        <f>IFERROR(INDEX('Green_rooibos initial weight'!$C$5:$C$1749,MATCH(H387, 'Green_rooibos initial weight'!$A$5:$A$1749,0)),"")</f>
        <v>2.0619999999999998</v>
      </c>
      <c r="K387">
        <f>IFERROR(INDEX('Green_rooibos initial weight'!$C$5:$C$1749,MATCH(I387, 'Green_rooibos initial weight'!$A$5:$A$1749,0)),"")</f>
        <v>2.1480000000000001</v>
      </c>
      <c r="L387" s="195">
        <f t="shared" si="53"/>
        <v>1.8121999999999998</v>
      </c>
      <c r="M387" s="240">
        <f>AVERAGE(Ashed_controlls!$K$1:$K$11)</f>
        <v>5.5147656768714146</v>
      </c>
      <c r="N387" s="195">
        <f t="shared" si="48"/>
        <v>1.712261416403736</v>
      </c>
      <c r="O387" s="195">
        <f t="shared" si="54"/>
        <v>1.8982000000000001</v>
      </c>
      <c r="P387" s="240">
        <f>AVERAGE(Ashed_controlls!$K$12:$K$14)</f>
        <v>2.2816647271287041</v>
      </c>
      <c r="Q387" s="195">
        <f t="shared" si="49"/>
        <v>1.854889440149643</v>
      </c>
      <c r="R387" s="16">
        <f>IF('Dry_Litterbag Placem_Collection'!G94="N.A","",'Dry_Litterbag Placem_Collection'!G94)</f>
        <v>43006</v>
      </c>
      <c r="S387" s="195">
        <f>IF(IFERROR(INDEX('Both teabags AfterDry'!$D$1:$D$839,MATCH(H387,'Both teabags AfterDry'!$A$1:$A$839,0)),"")="N.A","",(IFERROR(INDEX('Both teabags AfterDry'!$D$1:$D$839,MATCH(H387,'Both teabags AfterDry'!$A$1:$A$839,0)),"")))</f>
        <v>1.8685</v>
      </c>
      <c r="T387" s="195">
        <f>IF(IFERROR(INDEX('Both teabags AfterDry'!$D$1:$D$839,MATCH(I387,'Both teabags AfterDry'!$A$1:$A$839,0)),"")="N.A","",(IFERROR(INDEX('Both teabags AfterDry'!$D$1:$D$839,MATCH(I387,'Both teabags AfterDry'!$A$1:$A$839,0)),"")))</f>
        <v>1.9713000000000001</v>
      </c>
      <c r="U387" s="195">
        <f t="shared" si="55"/>
        <v>1.7179</v>
      </c>
      <c r="V387" s="195">
        <f t="shared" si="55"/>
        <v>1.8207</v>
      </c>
      <c r="W387" s="195">
        <f>IFERROR(INDEX('Ashed teabags dry'!$K$2:$K$821,MATCH(H387,'Ashed teabags dry'!$A$2:$A$821,0)),"")</f>
        <v>5.9040590405909334</v>
      </c>
      <c r="X387" s="195">
        <f>IFERROR(INDEX('Ashed teabags dry'!$K$2:$K$821,MATCH(I387,'Ashed teabags dry'!$A$2:$A$821,0)),"")</f>
        <v>3.4364261168385459</v>
      </c>
      <c r="Y387" s="195">
        <f t="shared" si="50"/>
        <v>1.6164741697416884</v>
      </c>
      <c r="Z387" s="195">
        <f t="shared" si="50"/>
        <v>1.7581329896907205</v>
      </c>
      <c r="AA387" s="195">
        <f t="shared" si="56"/>
        <v>5.5941952405392348E-2</v>
      </c>
      <c r="AB387" s="195">
        <f t="shared" si="57"/>
        <v>3.6674534118499511E-2</v>
      </c>
      <c r="AC387" s="195">
        <f t="shared" si="51"/>
        <v>0.94783707946975182</v>
      </c>
      <c r="AD387">
        <f t="shared" si="52"/>
        <v>69</v>
      </c>
      <c r="AE387" s="195">
        <f t="shared" si="58"/>
        <v>0.93356062659692118</v>
      </c>
      <c r="AF387" s="195" t="str">
        <f t="shared" si="59"/>
        <v/>
      </c>
      <c r="AG387" s="255" t="str">
        <f>IF(ISNUMBER(SEARCH("C", 'Dry_Litterbag Placem_Collection'!AD94)),"YES","NO")</f>
        <v>NO</v>
      </c>
      <c r="AH387" s="255" t="str">
        <f>IF(ISNUMBER(SEARCH("H", 'Dry_Litterbag Placem_Collection'!AD94)),"YES","NO")</f>
        <v>NO</v>
      </c>
      <c r="AI387" s="255" t="str">
        <f>IF(ISNUMBER(SEARCH("R", 'Dry_Litterbag Placem_Collection'!AD94)),"YES","NO")</f>
        <v>NO</v>
      </c>
      <c r="AJ387" s="255" t="str">
        <f>IF(ISNUMBER(SEARCH("C", 'Dry_Litterbag Placem_Collection'!AC94)),"YES","NO")</f>
        <v>NO</v>
      </c>
      <c r="AK387" s="255" t="str">
        <f>IF(ISNUMBER(SEARCH("H", 'Dry_Litterbag Placem_Collection'!AC94)),"YES","NO")</f>
        <v>NO</v>
      </c>
      <c r="AL387" s="255" t="str">
        <f>IF(ISNUMBER(SEARCH("R", 'Dry_Litterbag Placem_Collection'!AC94)),"YES","NO")</f>
        <v>NO</v>
      </c>
      <c r="AR387" t="s">
        <v>1670</v>
      </c>
      <c r="AT387" t="s">
        <v>520</v>
      </c>
    </row>
    <row r="388" spans="2:46">
      <c r="B388" t="str">
        <f>'Final data_for_R_analysis_Dryse'!A534</f>
        <v>Dry</v>
      </c>
      <c r="C388" s="263">
        <f>'Final data_for_R_analysis_Dryse'!B534</f>
        <v>93</v>
      </c>
      <c r="D388" t="s">
        <v>3840</v>
      </c>
      <c r="E388" t="s">
        <v>25</v>
      </c>
      <c r="F388" s="387">
        <v>5</v>
      </c>
      <c r="G388" s="16">
        <f>'Dry_Litterbag Placem_Collection'!E95</f>
        <v>42937</v>
      </c>
      <c r="H388" s="92" t="str">
        <f>'Final data_for_R_analysis_Dryse'!J534</f>
        <v>G872</v>
      </c>
      <c r="I388" t="str">
        <f>'Final data_for_R_analysis_Dryse'!J754</f>
        <v>R106</v>
      </c>
      <c r="J388">
        <f>IFERROR(INDEX('Green_rooibos initial weight'!$C$5:$C$1749,MATCH(H388, 'Green_rooibos initial weight'!$A$5:$A$1749,0)),"")</f>
        <v>2.008</v>
      </c>
      <c r="K388">
        <f>IFERROR(INDEX('Green_rooibos initial weight'!$C$5:$C$1749,MATCH(I388, 'Green_rooibos initial weight'!$A$5:$A$1749,0)),"")</f>
        <v>2.2330000000000001</v>
      </c>
      <c r="L388" s="195">
        <f t="shared" si="53"/>
        <v>1.7582</v>
      </c>
      <c r="M388" s="240">
        <f>AVERAGE(Ashed_controlls!$K$1:$K$11)</f>
        <v>5.5147656768714146</v>
      </c>
      <c r="N388" s="195">
        <f t="shared" si="48"/>
        <v>1.6612393898692468</v>
      </c>
      <c r="O388" s="195">
        <f t="shared" si="54"/>
        <v>1.9832000000000001</v>
      </c>
      <c r="P388" s="240">
        <f>AVERAGE(Ashed_controlls!$K$12:$K$14)</f>
        <v>2.2816647271287041</v>
      </c>
      <c r="Q388" s="195">
        <f t="shared" si="49"/>
        <v>1.9379500251315835</v>
      </c>
      <c r="R388" s="16">
        <f>IF('Dry_Litterbag Placem_Collection'!G95="N.A","",'Dry_Litterbag Placem_Collection'!G95)</f>
        <v>43006</v>
      </c>
      <c r="S388" s="195">
        <f>IF(IFERROR(INDEX('Both teabags AfterDry'!$D$1:$D$839,MATCH(H388,'Both teabags AfterDry'!$A$1:$A$839,0)),"")="N.A","",(IFERROR(INDEX('Both teabags AfterDry'!$D$1:$D$839,MATCH(H388,'Both teabags AfterDry'!$A$1:$A$839,0)),"")))</f>
        <v>1.8389</v>
      </c>
      <c r="T388" s="195">
        <f>IF(IFERROR(INDEX('Both teabags AfterDry'!$D$1:$D$839,MATCH(I388,'Both teabags AfterDry'!$A$1:$A$839,0)),"")="N.A","",(IFERROR(INDEX('Both teabags AfterDry'!$D$1:$D$839,MATCH(I388,'Both teabags AfterDry'!$A$1:$A$839,0)),"")))</f>
        <v>2.0352999999999999</v>
      </c>
      <c r="U388" s="195">
        <f t="shared" si="55"/>
        <v>1.6882999999999999</v>
      </c>
      <c r="V388" s="195">
        <f t="shared" si="55"/>
        <v>1.8846999999999998</v>
      </c>
      <c r="W388" s="195">
        <f>IFERROR(INDEX('Ashed teabags dry'!$K$2:$K$821,MATCH(H388,'Ashed teabags dry'!$A$2:$A$821,0)),"")</f>
        <v>5.7008144020571656</v>
      </c>
      <c r="X388" s="195">
        <f>IFERROR(INDEX('Ashed teabags dry'!$K$2:$K$821,MATCH(I388,'Ashed teabags dry'!$A$2:$A$821,0)),"")</f>
        <v>2.5896414342635063</v>
      </c>
      <c r="Y388" s="195">
        <f t="shared" si="50"/>
        <v>1.5920531504500688</v>
      </c>
      <c r="Z388" s="195">
        <f t="shared" si="50"/>
        <v>1.8358930278884356</v>
      </c>
      <c r="AA388" s="195">
        <f t="shared" si="56"/>
        <v>4.1647362710694913E-2</v>
      </c>
      <c r="AB388" s="195">
        <f t="shared" si="57"/>
        <v>2.7303259164256039E-2</v>
      </c>
      <c r="AC388" s="195">
        <f t="shared" si="51"/>
        <v>0.94733765271567383</v>
      </c>
      <c r="AD388">
        <f t="shared" si="52"/>
        <v>69</v>
      </c>
      <c r="AE388" s="195">
        <f t="shared" si="58"/>
        <v>0.95053757397779703</v>
      </c>
      <c r="AF388" s="195" t="str">
        <f t="shared" si="59"/>
        <v/>
      </c>
      <c r="AG388" s="255" t="str">
        <f>IF(ISNUMBER(SEARCH("C", 'Dry_Litterbag Placem_Collection'!AD95)),"YES","NO")</f>
        <v>NO</v>
      </c>
      <c r="AH388" s="255" t="str">
        <f>IF(ISNUMBER(SEARCH("H", 'Dry_Litterbag Placem_Collection'!AD95)),"YES","NO")</f>
        <v>NO</v>
      </c>
      <c r="AI388" s="255" t="str">
        <f>IF(ISNUMBER(SEARCH("R", 'Dry_Litterbag Placem_Collection'!AD95)),"YES","NO")</f>
        <v>NO</v>
      </c>
      <c r="AJ388" s="255" t="str">
        <f>IF(ISNUMBER(SEARCH("C", 'Dry_Litterbag Placem_Collection'!AC95)),"YES","NO")</f>
        <v>NO</v>
      </c>
      <c r="AK388" s="255" t="str">
        <f>IF(ISNUMBER(SEARCH("H", 'Dry_Litterbag Placem_Collection'!AC95)),"YES","NO")</f>
        <v>NO</v>
      </c>
      <c r="AL388" s="255" t="str">
        <f>IF(ISNUMBER(SEARCH("R", 'Dry_Litterbag Placem_Collection'!AC95)),"YES","NO")</f>
        <v>NO</v>
      </c>
      <c r="AR388" t="s">
        <v>1178</v>
      </c>
      <c r="AT388" t="s">
        <v>1035</v>
      </c>
    </row>
    <row r="389" spans="2:46">
      <c r="B389" t="str">
        <f>'Final data_for_R_analysis_Dryse'!A535</f>
        <v>Dry</v>
      </c>
      <c r="C389" s="263">
        <f>'Final data_for_R_analysis_Dryse'!B535</f>
        <v>94</v>
      </c>
      <c r="D389" t="s">
        <v>3840</v>
      </c>
      <c r="E389" t="s">
        <v>25</v>
      </c>
      <c r="F389" s="387">
        <v>6</v>
      </c>
      <c r="G389" s="16">
        <f>'Dry_Litterbag Placem_Collection'!E96</f>
        <v>0</v>
      </c>
      <c r="H389" s="92" t="str">
        <f>'Final data_for_R_analysis_Dryse'!J535</f>
        <v/>
      </c>
      <c r="I389" t="str">
        <f>'Final data_for_R_analysis_Dryse'!J755</f>
        <v/>
      </c>
      <c r="J389" t="str">
        <f>IFERROR(INDEX('Green_rooibos initial weight'!$C$5:$C$1749,MATCH(H389, 'Green_rooibos initial weight'!$A$5:$A$1749,0)),"")</f>
        <v/>
      </c>
      <c r="K389" t="str">
        <f>IFERROR(INDEX('Green_rooibos initial weight'!$C$5:$C$1749,MATCH(I389, 'Green_rooibos initial weight'!$A$5:$A$1749,0)),"")</f>
        <v/>
      </c>
      <c r="L389" s="195" t="str">
        <f t="shared" si="53"/>
        <v/>
      </c>
      <c r="M389" s="240">
        <f>AVERAGE(Ashed_controlls!$K$1:$K$11)</f>
        <v>5.5147656768714146</v>
      </c>
      <c r="N389" s="195" t="str">
        <f t="shared" si="48"/>
        <v/>
      </c>
      <c r="O389" s="195" t="str">
        <f t="shared" si="54"/>
        <v/>
      </c>
      <c r="P389" s="240">
        <f>AVERAGE(Ashed_controlls!$K$12:$K$14)</f>
        <v>2.2816647271287041</v>
      </c>
      <c r="Q389" s="195" t="str">
        <f t="shared" si="49"/>
        <v/>
      </c>
      <c r="R389" s="16">
        <f>IF('Dry_Litterbag Placem_Collection'!G96="N.A","",'Dry_Litterbag Placem_Collection'!G96)</f>
        <v>0</v>
      </c>
      <c r="S389" s="195" t="str">
        <f>IF(IFERROR(INDEX('Both teabags AfterDry'!$D$1:$D$839,MATCH(H389,'Both teabags AfterDry'!$A$1:$A$839,0)),"")="N.A","",(IFERROR(INDEX('Both teabags AfterDry'!$D$1:$D$839,MATCH(H389,'Both teabags AfterDry'!$A$1:$A$839,0)),"")))</f>
        <v/>
      </c>
      <c r="T389" s="195" t="str">
        <f>IF(IFERROR(INDEX('Both teabags AfterDry'!$D$1:$D$839,MATCH(I389,'Both teabags AfterDry'!$A$1:$A$839,0)),"")="N.A","",(IFERROR(INDEX('Both teabags AfterDry'!$D$1:$D$839,MATCH(I389,'Both teabags AfterDry'!$A$1:$A$839,0)),"")))</f>
        <v/>
      </c>
      <c r="U389" s="195" t="str">
        <f t="shared" si="55"/>
        <v/>
      </c>
      <c r="V389" s="195" t="str">
        <f t="shared" si="55"/>
        <v/>
      </c>
      <c r="W389" s="195" t="str">
        <f>IFERROR(INDEX('Ashed teabags dry'!$K$2:$K$821,MATCH(H389,'Ashed teabags dry'!$A$2:$A$821,0)),"")</f>
        <v/>
      </c>
      <c r="X389" s="195" t="str">
        <f>IFERROR(INDEX('Ashed teabags dry'!$K$2:$K$821,MATCH(I389,'Ashed teabags dry'!$A$2:$A$821,0)),"")</f>
        <v/>
      </c>
      <c r="Y389" s="195" t="str">
        <f t="shared" si="50"/>
        <v/>
      </c>
      <c r="Z389" s="195" t="str">
        <f t="shared" si="50"/>
        <v/>
      </c>
      <c r="AA389" s="195" t="str">
        <f t="shared" si="56"/>
        <v/>
      </c>
      <c r="AB389" s="195" t="str">
        <f t="shared" si="57"/>
        <v/>
      </c>
      <c r="AC389" s="195" t="str">
        <f t="shared" si="51"/>
        <v/>
      </c>
      <c r="AD389" t="str">
        <f t="shared" si="52"/>
        <v/>
      </c>
      <c r="AE389" s="195" t="str">
        <f t="shared" si="58"/>
        <v/>
      </c>
      <c r="AF389" s="195" t="str">
        <f t="shared" si="59"/>
        <v/>
      </c>
      <c r="AG389" s="255" t="str">
        <f>IF(ISNUMBER(SEARCH("C", 'Dry_Litterbag Placem_Collection'!AD96)),"YES","NO")</f>
        <v>NO</v>
      </c>
      <c r="AH389" s="255" t="str">
        <f>IF(ISNUMBER(SEARCH("H", 'Dry_Litterbag Placem_Collection'!AD96)),"YES","NO")</f>
        <v>NO</v>
      </c>
      <c r="AI389" s="255" t="str">
        <f>IF(ISNUMBER(SEARCH("R", 'Dry_Litterbag Placem_Collection'!AD96)),"YES","NO")</f>
        <v>NO</v>
      </c>
      <c r="AJ389" s="255" t="str">
        <f>IF(ISNUMBER(SEARCH("C", 'Dry_Litterbag Placem_Collection'!AC96)),"YES","NO")</f>
        <v>NO</v>
      </c>
      <c r="AK389" s="255" t="str">
        <f>IF(ISNUMBER(SEARCH("H", 'Dry_Litterbag Placem_Collection'!AC96)),"YES","NO")</f>
        <v>NO</v>
      </c>
      <c r="AL389" s="255" t="str">
        <f>IF(ISNUMBER(SEARCH("R", 'Dry_Litterbag Placem_Collection'!AC96)),"YES","NO")</f>
        <v>NO</v>
      </c>
      <c r="AR389" t="s">
        <v>3654</v>
      </c>
      <c r="AT389" t="s">
        <v>3654</v>
      </c>
    </row>
    <row r="390" spans="2:46">
      <c r="B390" t="str">
        <f>'Final data_for_R_analysis_Dryse'!A536</f>
        <v>Dry</v>
      </c>
      <c r="C390" s="263">
        <f>'Final data_for_R_analysis_Dryse'!B536</f>
        <v>95</v>
      </c>
      <c r="D390" t="s">
        <v>3840</v>
      </c>
      <c r="E390" t="s">
        <v>25</v>
      </c>
      <c r="F390" s="387">
        <v>7</v>
      </c>
      <c r="G390" s="16">
        <f>'Dry_Litterbag Placem_Collection'!E97</f>
        <v>42937</v>
      </c>
      <c r="H390" s="92" t="str">
        <f>'Final data_for_R_analysis_Dryse'!J536</f>
        <v>G844</v>
      </c>
      <c r="I390" t="str">
        <f>'Final data_for_R_analysis_Dryse'!J756</f>
        <v>R233</v>
      </c>
      <c r="J390">
        <f>IFERROR(INDEX('Green_rooibos initial weight'!$C$5:$C$1749,MATCH(H390, 'Green_rooibos initial weight'!$A$5:$A$1749,0)),"")</f>
        <v>1.95</v>
      </c>
      <c r="K390">
        <f>IFERROR(INDEX('Green_rooibos initial weight'!$C$5:$C$1749,MATCH(I390, 'Green_rooibos initial weight'!$A$5:$A$1749,0)),"")</f>
        <v>2.1749999999999998</v>
      </c>
      <c r="L390" s="195">
        <f t="shared" si="53"/>
        <v>1.7001999999999999</v>
      </c>
      <c r="M390" s="240">
        <f>AVERAGE(Ashed_controlls!$K$1:$K$11)</f>
        <v>5.5147656768714146</v>
      </c>
      <c r="N390" s="195">
        <f t="shared" si="48"/>
        <v>1.6064379539618321</v>
      </c>
      <c r="O390" s="195">
        <f t="shared" si="54"/>
        <v>1.9251999999999998</v>
      </c>
      <c r="P390" s="240">
        <f>AVERAGE(Ashed_controlls!$K$12:$K$14)</f>
        <v>2.2816647271287041</v>
      </c>
      <c r="Q390" s="195">
        <f t="shared" si="49"/>
        <v>1.8812733906733179</v>
      </c>
      <c r="R390" s="16">
        <f>IF('Dry_Litterbag Placem_Collection'!G97="N.A","",'Dry_Litterbag Placem_Collection'!G97)</f>
        <v>43006</v>
      </c>
      <c r="S390" s="195">
        <f>IF(IFERROR(INDEX('Both teabags AfterDry'!$D$1:$D$839,MATCH(H390,'Both teabags AfterDry'!$A$1:$A$839,0)),"")="N.A","",(IFERROR(INDEX('Both teabags AfterDry'!$D$1:$D$839,MATCH(H390,'Both teabags AfterDry'!$A$1:$A$839,0)),"")))</f>
        <v>1.7751999999999999</v>
      </c>
      <c r="T390" s="195">
        <f>IF(IFERROR(INDEX('Both teabags AfterDry'!$D$1:$D$839,MATCH(I390,'Both teabags AfterDry'!$A$1:$A$839,0)),"")="N.A","",(IFERROR(INDEX('Both teabags AfterDry'!$D$1:$D$839,MATCH(I390,'Both teabags AfterDry'!$A$1:$A$839,0)),"")))</f>
        <v>1.9479</v>
      </c>
      <c r="U390" s="195">
        <f t="shared" si="55"/>
        <v>1.6245999999999998</v>
      </c>
      <c r="V390" s="195">
        <f t="shared" si="55"/>
        <v>1.7972999999999999</v>
      </c>
      <c r="W390" s="195">
        <f>IFERROR(INDEX('Ashed teabags dry'!$K$2:$K$821,MATCH(H390,'Ashed teabags dry'!$A$2:$A$821,0)),"")</f>
        <v>6.2158130283436162</v>
      </c>
      <c r="X390" s="195">
        <f>IFERROR(INDEX('Ashed teabags dry'!$K$2:$K$821,MATCH(I390,'Ashed teabags dry'!$A$2:$A$821,0)),"")</f>
        <v>2.2635814889335339</v>
      </c>
      <c r="Y390" s="195">
        <f t="shared" si="50"/>
        <v>1.5236179015415294</v>
      </c>
      <c r="Z390" s="195">
        <f t="shared" si="50"/>
        <v>1.7566166498993976</v>
      </c>
      <c r="AA390" s="195">
        <f t="shared" si="56"/>
        <v>5.1555089454933589E-2</v>
      </c>
      <c r="AB390" s="195">
        <f t="shared" si="57"/>
        <v>3.3798585960954107E-2</v>
      </c>
      <c r="AC390" s="195">
        <f t="shared" si="51"/>
        <v>0.93373810452434824</v>
      </c>
      <c r="AD390">
        <f t="shared" si="52"/>
        <v>69</v>
      </c>
      <c r="AE390" s="195">
        <f t="shared" si="58"/>
        <v>0.9387706776069672</v>
      </c>
      <c r="AF390" s="195" t="str">
        <f t="shared" si="59"/>
        <v/>
      </c>
      <c r="AG390" s="255" t="str">
        <f>IF(ISNUMBER(SEARCH("C", 'Dry_Litterbag Placem_Collection'!AD97)),"YES","NO")</f>
        <v>NO</v>
      </c>
      <c r="AH390" s="255" t="str">
        <f>IF(ISNUMBER(SEARCH("H", 'Dry_Litterbag Placem_Collection'!AD97)),"YES","NO")</f>
        <v>NO</v>
      </c>
      <c r="AI390" s="255" t="str">
        <f>IF(ISNUMBER(SEARCH("R", 'Dry_Litterbag Placem_Collection'!AD97)),"YES","NO")</f>
        <v>NO</v>
      </c>
      <c r="AJ390" s="255" t="str">
        <f>IF(ISNUMBER(SEARCH("C", 'Dry_Litterbag Placem_Collection'!AC97)),"YES","NO")</f>
        <v>NO</v>
      </c>
      <c r="AK390" s="255" t="str">
        <f>IF(ISNUMBER(SEARCH("H", 'Dry_Litterbag Placem_Collection'!AC97)),"YES","NO")</f>
        <v>NO</v>
      </c>
      <c r="AL390" s="255" t="str">
        <f>IF(ISNUMBER(SEARCH("R", 'Dry_Litterbag Placem_Collection'!AC97)),"YES","NO")</f>
        <v>NO</v>
      </c>
      <c r="AR390" t="s">
        <v>1206</v>
      </c>
      <c r="AT390" t="s">
        <v>908</v>
      </c>
    </row>
    <row r="391" spans="2:46">
      <c r="B391" t="str">
        <f>'Final data_for_R_analysis_Dryse'!A537</f>
        <v>Dry</v>
      </c>
      <c r="C391" s="263">
        <f>'Final data_for_R_analysis_Dryse'!B537</f>
        <v>96</v>
      </c>
      <c r="D391" t="s">
        <v>3840</v>
      </c>
      <c r="E391" t="s">
        <v>25</v>
      </c>
      <c r="F391" s="387">
        <v>8</v>
      </c>
      <c r="G391" s="16">
        <f>'Dry_Litterbag Placem_Collection'!E98</f>
        <v>42937</v>
      </c>
      <c r="H391" s="92" t="str">
        <f>'Final data_for_R_analysis_Dryse'!J537</f>
        <v>G372</v>
      </c>
      <c r="I391" t="str">
        <f>'Final data_for_R_analysis_Dryse'!J757</f>
        <v>R698</v>
      </c>
      <c r="J391">
        <f>IFERROR(INDEX('Green_rooibos initial weight'!$C$5:$C$1749,MATCH(H391, 'Green_rooibos initial weight'!$A$5:$A$1749,0)),"")</f>
        <v>2.1539999999999999</v>
      </c>
      <c r="K391">
        <f>IFERROR(INDEX('Green_rooibos initial weight'!$C$5:$C$1749,MATCH(I391, 'Green_rooibos initial weight'!$A$5:$A$1749,0)),"")</f>
        <v>2.1779999999999999</v>
      </c>
      <c r="L391" s="195">
        <f t="shared" si="53"/>
        <v>1.9041999999999999</v>
      </c>
      <c r="M391" s="240">
        <f>AVERAGE(Ashed_controlls!$K$1:$K$11)</f>
        <v>5.5147656768714146</v>
      </c>
      <c r="N391" s="195">
        <f t="shared" si="48"/>
        <v>1.7991878319810144</v>
      </c>
      <c r="O391" s="195">
        <f t="shared" si="54"/>
        <v>1.9281999999999999</v>
      </c>
      <c r="P391" s="240">
        <f>AVERAGE(Ashed_controlls!$K$12:$K$14)</f>
        <v>2.2816647271287041</v>
      </c>
      <c r="Q391" s="195">
        <f t="shared" si="49"/>
        <v>1.8842049407315042</v>
      </c>
      <c r="R391" s="16">
        <f>IF('Dry_Litterbag Placem_Collection'!G98="N.A","",'Dry_Litterbag Placem_Collection'!G98)</f>
        <v>43006</v>
      </c>
      <c r="S391" s="195">
        <f>IF(IFERROR(INDEX('Both teabags AfterDry'!$D$1:$D$839,MATCH(H391,'Both teabags AfterDry'!$A$1:$A$839,0)),"")="N.A","",(IFERROR(INDEX('Both teabags AfterDry'!$D$1:$D$839,MATCH(H391,'Both teabags AfterDry'!$A$1:$A$839,0)),"")))</f>
        <v>1.9605999999999999</v>
      </c>
      <c r="T391" s="195">
        <f>IF(IFERROR(INDEX('Both teabags AfterDry'!$D$1:$D$839,MATCH(I391,'Both teabags AfterDry'!$A$1:$A$839,0)),"")="N.A","",(IFERROR(INDEX('Both teabags AfterDry'!$D$1:$D$839,MATCH(I391,'Both teabags AfterDry'!$A$1:$A$839,0)),"")))</f>
        <v>2.0065</v>
      </c>
      <c r="U391" s="195">
        <f t="shared" si="55"/>
        <v>1.8099999999999998</v>
      </c>
      <c r="V391" s="195">
        <f t="shared" si="55"/>
        <v>1.8558999999999999</v>
      </c>
      <c r="W391" s="195">
        <f>IFERROR(INDEX('Ashed teabags dry'!$K$2:$K$821,MATCH(H391,'Ashed teabags dry'!$A$2:$A$821,0)),"")</f>
        <v>5.7128906249998721</v>
      </c>
      <c r="X391" s="195">
        <f>IFERROR(INDEX('Ashed teabags dry'!$K$2:$K$821,MATCH(I391,'Ashed teabags dry'!$A$2:$A$821,0)),"")</f>
        <v>3.4017008504250739</v>
      </c>
      <c r="Y391" s="195">
        <f t="shared" si="50"/>
        <v>1.7065966796875021</v>
      </c>
      <c r="Z391" s="195">
        <f t="shared" si="50"/>
        <v>1.792767833916961</v>
      </c>
      <c r="AA391" s="195">
        <f t="shared" si="56"/>
        <v>5.1462749273689767E-2</v>
      </c>
      <c r="AB391" s="195">
        <f t="shared" si="57"/>
        <v>3.3738049405079296E-2</v>
      </c>
      <c r="AC391" s="195">
        <f t="shared" si="51"/>
        <v>0.95147178269310528</v>
      </c>
      <c r="AD391">
        <f t="shared" si="52"/>
        <v>69</v>
      </c>
      <c r="AE391" s="195">
        <f t="shared" si="58"/>
        <v>0.93888034528065345</v>
      </c>
      <c r="AF391" s="195" t="str">
        <f t="shared" si="59"/>
        <v/>
      </c>
      <c r="AG391" s="255" t="str">
        <f>IF(ISNUMBER(SEARCH("C", 'Dry_Litterbag Placem_Collection'!AD98)),"YES","NO")</f>
        <v>NO</v>
      </c>
      <c r="AH391" s="255" t="str">
        <f>IF(ISNUMBER(SEARCH("H", 'Dry_Litterbag Placem_Collection'!AD98)),"YES","NO")</f>
        <v>NO</v>
      </c>
      <c r="AI391" s="255" t="str">
        <f>IF(ISNUMBER(SEARCH("R", 'Dry_Litterbag Placem_Collection'!AD98)),"YES","NO")</f>
        <v>NO</v>
      </c>
      <c r="AJ391" s="255" t="str">
        <f>IF(ISNUMBER(SEARCH("C", 'Dry_Litterbag Placem_Collection'!AC98)),"YES","NO")</f>
        <v>NO</v>
      </c>
      <c r="AK391" s="255" t="str">
        <f>IF(ISNUMBER(SEARCH("H", 'Dry_Litterbag Placem_Collection'!AC98)),"YES","NO")</f>
        <v>NO</v>
      </c>
      <c r="AL391" s="255" t="str">
        <f>IF(ISNUMBER(SEARCH("R", 'Dry_Litterbag Placem_Collection'!AC98)),"YES","NO")</f>
        <v>NO</v>
      </c>
      <c r="AR391" t="s">
        <v>1678</v>
      </c>
      <c r="AT391" t="s">
        <v>441</v>
      </c>
    </row>
    <row r="392" spans="2:46">
      <c r="B392" t="str">
        <f>'Final data_for_R_analysis_Dryse'!A538</f>
        <v>Dry</v>
      </c>
      <c r="C392" s="263">
        <f>'Final data_for_R_analysis_Dryse'!B538</f>
        <v>97</v>
      </c>
      <c r="D392" t="s">
        <v>3841</v>
      </c>
      <c r="E392" t="s">
        <v>25</v>
      </c>
      <c r="F392" s="386">
        <v>1</v>
      </c>
      <c r="G392" s="16">
        <f>'Dry_Litterbag Placem_Collection'!E99</f>
        <v>42939</v>
      </c>
      <c r="H392" s="92" t="str">
        <f>'Final data_for_R_analysis_Dryse'!J538</f>
        <v>G3</v>
      </c>
      <c r="I392" t="str">
        <f>'Final data_for_R_analysis_Dryse'!J758</f>
        <v>R47</v>
      </c>
      <c r="J392">
        <f>IFERROR(INDEX('Green_rooibos initial weight'!$C$5:$C$1749,MATCH(H392, 'Green_rooibos initial weight'!$A$5:$A$1749,0)),"")</f>
        <v>2.0470000000000002</v>
      </c>
      <c r="K392">
        <f>IFERROR(INDEX('Green_rooibos initial weight'!$C$5:$C$1749,MATCH(I392, 'Green_rooibos initial weight'!$A$5:$A$1749,0)),"")</f>
        <v>2.1850000000000001</v>
      </c>
      <c r="L392" s="195">
        <f t="shared" si="53"/>
        <v>1.7972000000000001</v>
      </c>
      <c r="M392" s="240">
        <f>AVERAGE(Ashed_controlls!$K$1:$K$11)</f>
        <v>5.5147656768714146</v>
      </c>
      <c r="N392" s="195">
        <f t="shared" si="48"/>
        <v>1.698088631255267</v>
      </c>
      <c r="O392" s="195">
        <f t="shared" si="54"/>
        <v>1.9352</v>
      </c>
      <c r="P392" s="240">
        <f>AVERAGE(Ashed_controlls!$K$12:$K$14)</f>
        <v>2.2816647271287041</v>
      </c>
      <c r="Q392" s="195">
        <f t="shared" si="49"/>
        <v>1.8910452242006053</v>
      </c>
      <c r="R392" s="16">
        <f>IF('Dry_Litterbag Placem_Collection'!G99="N.A","",'Dry_Litterbag Placem_Collection'!G99)</f>
        <v>43010</v>
      </c>
      <c r="S392" s="195" t="str">
        <f>IF(IFERROR(INDEX('Both teabags AfterDry'!$D$1:$D$839,MATCH(H392,'Both teabags AfterDry'!$A$1:$A$839,0)),"")="N.A","",(IFERROR(INDEX('Both teabags AfterDry'!$D$1:$D$839,MATCH(H392,'Both teabags AfterDry'!$A$1:$A$839,0)),"")))</f>
        <v/>
      </c>
      <c r="T392" s="195" t="str">
        <f>IF(IFERROR(INDEX('Both teabags AfterDry'!$D$1:$D$839,MATCH(I392,'Both teabags AfterDry'!$A$1:$A$839,0)),"")="N.A","",(IFERROR(INDEX('Both teabags AfterDry'!$D$1:$D$839,MATCH(I392,'Both teabags AfterDry'!$A$1:$A$839,0)),"")))</f>
        <v/>
      </c>
      <c r="U392" s="195" t="str">
        <f t="shared" si="55"/>
        <v/>
      </c>
      <c r="V392" s="195" t="str">
        <f t="shared" si="55"/>
        <v/>
      </c>
      <c r="W392" s="195" t="str">
        <f>IFERROR(INDEX('Ashed teabags dry'!$K$2:$K$821,MATCH(H392,'Ashed teabags dry'!$A$2:$A$821,0)),"")</f>
        <v/>
      </c>
      <c r="X392" s="195" t="str">
        <f>IFERROR(INDEX('Ashed teabags dry'!$K$2:$K$821,MATCH(I392,'Ashed teabags dry'!$A$2:$A$821,0)),"")</f>
        <v/>
      </c>
      <c r="Y392" s="195" t="str">
        <f t="shared" si="50"/>
        <v/>
      </c>
      <c r="Z392" s="195" t="str">
        <f t="shared" si="50"/>
        <v/>
      </c>
      <c r="AA392" s="195" t="str">
        <f t="shared" si="56"/>
        <v/>
      </c>
      <c r="AB392" s="195" t="str">
        <f t="shared" si="57"/>
        <v/>
      </c>
      <c r="AC392" s="195" t="str">
        <f t="shared" si="51"/>
        <v/>
      </c>
      <c r="AD392">
        <f t="shared" si="52"/>
        <v>71</v>
      </c>
      <c r="AE392" s="195" t="str">
        <f t="shared" si="58"/>
        <v/>
      </c>
      <c r="AF392" s="195" t="str">
        <f t="shared" si="59"/>
        <v/>
      </c>
      <c r="AG392" s="255" t="str">
        <f>IF(ISNUMBER(SEARCH("C", 'Dry_Litterbag Placem_Collection'!AD99)),"YES","NO")</f>
        <v>NO</v>
      </c>
      <c r="AH392" s="255" t="str">
        <f>IF(ISNUMBER(SEARCH("H", 'Dry_Litterbag Placem_Collection'!AD99)),"YES","NO")</f>
        <v>NO</v>
      </c>
      <c r="AI392" s="255" t="str">
        <f>IF(ISNUMBER(SEARCH("R", 'Dry_Litterbag Placem_Collection'!AD99)),"YES","NO")</f>
        <v>NO</v>
      </c>
      <c r="AJ392" s="255" t="str">
        <f>IF(ISNUMBER(SEARCH("C", 'Dry_Litterbag Placem_Collection'!AC99)),"YES","NO")</f>
        <v>NO</v>
      </c>
      <c r="AK392" s="255" t="str">
        <f>IF(ISNUMBER(SEARCH("H", 'Dry_Litterbag Placem_Collection'!AC99)),"YES","NO")</f>
        <v>NO</v>
      </c>
      <c r="AL392" s="255" t="str">
        <f>IF(ISNUMBER(SEARCH("R", 'Dry_Litterbag Placem_Collection'!AC99)),"YES","NO")</f>
        <v>NO</v>
      </c>
      <c r="AR392" t="s">
        <v>2047</v>
      </c>
      <c r="AT392" t="s">
        <v>1094</v>
      </c>
    </row>
    <row r="393" spans="2:46">
      <c r="B393" t="str">
        <f>'Final data_for_R_analysis_Dryse'!A539</f>
        <v>Dry</v>
      </c>
      <c r="C393" s="263">
        <f>'Final data_for_R_analysis_Dryse'!B539</f>
        <v>98</v>
      </c>
      <c r="D393" t="s">
        <v>3841</v>
      </c>
      <c r="E393" t="s">
        <v>25</v>
      </c>
      <c r="F393" s="386">
        <v>2</v>
      </c>
      <c r="G393" s="16">
        <f>'Dry_Litterbag Placem_Collection'!E100</f>
        <v>42939</v>
      </c>
      <c r="H393" s="92" t="str">
        <f>'Final data_for_R_analysis_Dryse'!J539</f>
        <v>G25</v>
      </c>
      <c r="I393" t="str">
        <f>'Final data_for_R_analysis_Dryse'!J759</f>
        <v>R707</v>
      </c>
      <c r="J393">
        <f>IFERROR(INDEX('Green_rooibos initial weight'!$C$5:$C$1749,MATCH(H393, 'Green_rooibos initial weight'!$A$5:$A$1749,0)),"")</f>
        <v>2.0230000000000001</v>
      </c>
      <c r="K393">
        <f>IFERROR(INDEX('Green_rooibos initial weight'!$C$5:$C$1749,MATCH(I393, 'Green_rooibos initial weight'!$A$5:$A$1749,0)),"")</f>
        <v>2.145</v>
      </c>
      <c r="L393" s="195">
        <f t="shared" si="53"/>
        <v>1.7732000000000001</v>
      </c>
      <c r="M393" s="240">
        <f>AVERAGE(Ashed_controlls!$K$1:$K$11)</f>
        <v>5.5147656768714146</v>
      </c>
      <c r="N393" s="195">
        <f t="shared" si="48"/>
        <v>1.6754121750177162</v>
      </c>
      <c r="O393" s="195">
        <f t="shared" si="54"/>
        <v>1.8952</v>
      </c>
      <c r="P393" s="240">
        <f>AVERAGE(Ashed_controlls!$K$12:$K$14)</f>
        <v>2.2816647271287041</v>
      </c>
      <c r="Q393" s="195">
        <f t="shared" si="49"/>
        <v>1.8519578900914568</v>
      </c>
      <c r="R393" s="16">
        <f>IF('Dry_Litterbag Placem_Collection'!G100="N.A","",'Dry_Litterbag Placem_Collection'!G100)</f>
        <v>43010</v>
      </c>
      <c r="S393" s="195">
        <f>IF(IFERROR(INDEX('Both teabags AfterDry'!$D$1:$D$839,MATCH(H393,'Both teabags AfterDry'!$A$1:$A$839,0)),"")="N.A","",(IFERROR(INDEX('Both teabags AfterDry'!$D$1:$D$839,MATCH(H393,'Both teabags AfterDry'!$A$1:$A$839,0)),"")))</f>
        <v>0.995</v>
      </c>
      <c r="T393" s="195">
        <f>IF(IFERROR(INDEX('Both teabags AfterDry'!$D$1:$D$839,MATCH(I393,'Both teabags AfterDry'!$A$1:$A$839,0)),"")="N.A","",(IFERROR(INDEX('Both teabags AfterDry'!$D$1:$D$839,MATCH(I393,'Both teabags AfterDry'!$A$1:$A$839,0)),"")))</f>
        <v>1.8146</v>
      </c>
      <c r="U393" s="195">
        <f t="shared" si="55"/>
        <v>0.84440000000000004</v>
      </c>
      <c r="V393" s="195">
        <f t="shared" si="55"/>
        <v>1.6639999999999999</v>
      </c>
      <c r="W393" s="195">
        <f>IFERROR(INDEX('Ashed teabags dry'!$K$2:$K$821,MATCH(H393,'Ashed teabags dry'!$A$2:$A$821,0)),"")</f>
        <v>21.132793907663359</v>
      </c>
      <c r="X393" s="195">
        <f>IFERROR(INDEX('Ashed teabags dry'!$K$2:$K$821,MATCH(I393,'Ashed teabags dry'!$A$2:$A$821,0)),"")</f>
        <v>4.2060491493383303</v>
      </c>
      <c r="Y393" s="195">
        <f t="shared" si="50"/>
        <v>0.66595468824369064</v>
      </c>
      <c r="Z393" s="195">
        <f t="shared" si="50"/>
        <v>1.5940113421550102</v>
      </c>
      <c r="AA393" s="195">
        <f t="shared" si="56"/>
        <v>0.60251292298466874</v>
      </c>
      <c r="AB393" s="195">
        <f t="shared" si="57"/>
        <v>0.39499659559089922</v>
      </c>
      <c r="AC393" s="195">
        <f t="shared" si="51"/>
        <v>0.86071683955853429</v>
      </c>
      <c r="AD393">
        <f t="shared" si="52"/>
        <v>71</v>
      </c>
      <c r="AE393" s="195">
        <f t="shared" si="58"/>
        <v>0.28442645726286375</v>
      </c>
      <c r="AF393" s="195">
        <f t="shared" si="59"/>
        <v>6.1242214445644139E-3</v>
      </c>
      <c r="AG393" s="255" t="str">
        <f>IF(ISNUMBER(SEARCH("C", 'Dry_Litterbag Placem_Collection'!AD100)),"YES","NO")</f>
        <v>NO</v>
      </c>
      <c r="AH393" s="255" t="str">
        <f>IF(ISNUMBER(SEARCH("H", 'Dry_Litterbag Placem_Collection'!AD100)),"YES","NO")</f>
        <v>NO</v>
      </c>
      <c r="AI393" s="255" t="str">
        <f>IF(ISNUMBER(SEARCH("R", 'Dry_Litterbag Placem_Collection'!AD100)),"YES","NO")</f>
        <v>NO</v>
      </c>
      <c r="AJ393" s="255" t="str">
        <f>IF(ISNUMBER(SEARCH("C", 'Dry_Litterbag Placem_Collection'!AC100)),"YES","NO")</f>
        <v>NO</v>
      </c>
      <c r="AK393" s="255" t="str">
        <f>IF(ISNUMBER(SEARCH("H", 'Dry_Litterbag Placem_Collection'!AC100)),"YES","NO")</f>
        <v>NO</v>
      </c>
      <c r="AL393" s="255" t="str">
        <f>IF(ISNUMBER(SEARCH("R", 'Dry_Litterbag Placem_Collection'!AC100)),"YES","NO")</f>
        <v>NO</v>
      </c>
      <c r="AR393" t="s">
        <v>2025</v>
      </c>
      <c r="AT393" t="s">
        <v>432</v>
      </c>
    </row>
    <row r="394" spans="2:46">
      <c r="B394" t="str">
        <f>'Final data_for_R_analysis_Dryse'!A540</f>
        <v>Dry</v>
      </c>
      <c r="C394" s="263">
        <f>'Final data_for_R_analysis_Dryse'!B540</f>
        <v>99</v>
      </c>
      <c r="D394" t="s">
        <v>3841</v>
      </c>
      <c r="E394" t="s">
        <v>25</v>
      </c>
      <c r="F394" s="386">
        <v>3</v>
      </c>
      <c r="G394" s="16">
        <f>'Dry_Litterbag Placem_Collection'!E101</f>
        <v>0</v>
      </c>
      <c r="H394" s="92" t="str">
        <f>'Final data_for_R_analysis_Dryse'!J540</f>
        <v/>
      </c>
      <c r="I394" t="str">
        <f>'Final data_for_R_analysis_Dryse'!J760</f>
        <v/>
      </c>
      <c r="J394" t="str">
        <f>IFERROR(INDEX('Green_rooibos initial weight'!$C$5:$C$1749,MATCH(H394, 'Green_rooibos initial weight'!$A$5:$A$1749,0)),"")</f>
        <v/>
      </c>
      <c r="K394" t="str">
        <f>IFERROR(INDEX('Green_rooibos initial weight'!$C$5:$C$1749,MATCH(I394, 'Green_rooibos initial weight'!$A$5:$A$1749,0)),"")</f>
        <v/>
      </c>
      <c r="L394" s="195" t="str">
        <f t="shared" si="53"/>
        <v/>
      </c>
      <c r="M394" s="240">
        <f>AVERAGE(Ashed_controlls!$K$1:$K$11)</f>
        <v>5.5147656768714146</v>
      </c>
      <c r="N394" s="195" t="str">
        <f t="shared" si="48"/>
        <v/>
      </c>
      <c r="O394" s="195" t="str">
        <f t="shared" si="54"/>
        <v/>
      </c>
      <c r="P394" s="240">
        <f>AVERAGE(Ashed_controlls!$K$12:$K$14)</f>
        <v>2.2816647271287041</v>
      </c>
      <c r="Q394" s="195" t="str">
        <f t="shared" si="49"/>
        <v/>
      </c>
      <c r="R394" s="16">
        <f>IF('Dry_Litterbag Placem_Collection'!G101="N.A","",'Dry_Litterbag Placem_Collection'!G101)</f>
        <v>0</v>
      </c>
      <c r="S394" s="195" t="str">
        <f>IF(IFERROR(INDEX('Both teabags AfterDry'!$D$1:$D$839,MATCH(H394,'Both teabags AfterDry'!$A$1:$A$839,0)),"")="N.A","",(IFERROR(INDEX('Both teabags AfterDry'!$D$1:$D$839,MATCH(H394,'Both teabags AfterDry'!$A$1:$A$839,0)),"")))</f>
        <v/>
      </c>
      <c r="T394" s="195" t="str">
        <f>IF(IFERROR(INDEX('Both teabags AfterDry'!$D$1:$D$839,MATCH(I394,'Both teabags AfterDry'!$A$1:$A$839,0)),"")="N.A","",(IFERROR(INDEX('Both teabags AfterDry'!$D$1:$D$839,MATCH(I394,'Both teabags AfterDry'!$A$1:$A$839,0)),"")))</f>
        <v/>
      </c>
      <c r="U394" s="195" t="str">
        <f t="shared" si="55"/>
        <v/>
      </c>
      <c r="V394" s="195" t="str">
        <f t="shared" si="55"/>
        <v/>
      </c>
      <c r="W394" s="195" t="str">
        <f>IFERROR(INDEX('Ashed teabags dry'!$K$2:$K$821,MATCH(H394,'Ashed teabags dry'!$A$2:$A$821,0)),"")</f>
        <v/>
      </c>
      <c r="X394" s="195" t="str">
        <f>IFERROR(INDEX('Ashed teabags dry'!$K$2:$K$821,MATCH(I394,'Ashed teabags dry'!$A$2:$A$821,0)),"")</f>
        <v/>
      </c>
      <c r="Y394" s="195" t="str">
        <f t="shared" si="50"/>
        <v/>
      </c>
      <c r="Z394" s="195" t="str">
        <f t="shared" si="50"/>
        <v/>
      </c>
      <c r="AA394" s="195" t="str">
        <f t="shared" si="56"/>
        <v/>
      </c>
      <c r="AB394" s="195" t="str">
        <f t="shared" si="57"/>
        <v/>
      </c>
      <c r="AC394" s="195" t="str">
        <f t="shared" si="51"/>
        <v/>
      </c>
      <c r="AD394" t="str">
        <f t="shared" si="52"/>
        <v/>
      </c>
      <c r="AE394" s="195" t="str">
        <f t="shared" si="58"/>
        <v/>
      </c>
      <c r="AF394" s="195" t="str">
        <f t="shared" si="59"/>
        <v/>
      </c>
      <c r="AG394" s="255" t="str">
        <f>IF(ISNUMBER(SEARCH("C", 'Dry_Litterbag Placem_Collection'!AD101)),"YES","NO")</f>
        <v>NO</v>
      </c>
      <c r="AH394" s="255" t="str">
        <f>IF(ISNUMBER(SEARCH("H", 'Dry_Litterbag Placem_Collection'!AD101)),"YES","NO")</f>
        <v>NO</v>
      </c>
      <c r="AI394" s="255" t="str">
        <f>IF(ISNUMBER(SEARCH("R", 'Dry_Litterbag Placem_Collection'!AD101)),"YES","NO")</f>
        <v>NO</v>
      </c>
      <c r="AJ394" s="255" t="str">
        <f>IF(ISNUMBER(SEARCH("C", 'Dry_Litterbag Placem_Collection'!AC101)),"YES","NO")</f>
        <v>NO</v>
      </c>
      <c r="AK394" s="255" t="str">
        <f>IF(ISNUMBER(SEARCH("H", 'Dry_Litterbag Placem_Collection'!AC101)),"YES","NO")</f>
        <v>NO</v>
      </c>
      <c r="AL394" s="255" t="str">
        <f>IF(ISNUMBER(SEARCH("R", 'Dry_Litterbag Placem_Collection'!AC101)),"YES","NO")</f>
        <v>NO</v>
      </c>
      <c r="AR394" t="s">
        <v>3654</v>
      </c>
      <c r="AT394" t="s">
        <v>3654</v>
      </c>
    </row>
    <row r="395" spans="2:46">
      <c r="B395" t="str">
        <f>'Final data_for_R_analysis_Dryse'!A541</f>
        <v>Dry</v>
      </c>
      <c r="C395" s="263">
        <f>'Final data_for_R_analysis_Dryse'!B541</f>
        <v>100</v>
      </c>
      <c r="D395" t="s">
        <v>3841</v>
      </c>
      <c r="E395" t="s">
        <v>25</v>
      </c>
      <c r="F395" s="387">
        <v>4</v>
      </c>
      <c r="G395" s="16">
        <f>'Dry_Litterbag Placem_Collection'!E102</f>
        <v>42939</v>
      </c>
      <c r="H395" s="92" t="str">
        <f>'Final data_for_R_analysis_Dryse'!J541</f>
        <v>G187</v>
      </c>
      <c r="I395" t="str">
        <f>'Final data_for_R_analysis_Dryse'!J761</f>
        <v>R641</v>
      </c>
      <c r="J395">
        <f>IFERROR(INDEX('Green_rooibos initial weight'!$C$5:$C$1749,MATCH(H395, 'Green_rooibos initial weight'!$A$5:$A$1749,0)),"")</f>
        <v>1.996</v>
      </c>
      <c r="K395">
        <f>IFERROR(INDEX('Green_rooibos initial weight'!$C$5:$C$1749,MATCH(I395, 'Green_rooibos initial weight'!$A$5:$A$1749,0)),"")</f>
        <v>2.1459999999999999</v>
      </c>
      <c r="L395" s="195">
        <f t="shared" si="53"/>
        <v>1.7462</v>
      </c>
      <c r="M395" s="240">
        <f>AVERAGE(Ashed_controlls!$K$1:$K$11)</f>
        <v>5.5147656768714146</v>
      </c>
      <c r="N395" s="195">
        <f t="shared" si="48"/>
        <v>1.6499011617504713</v>
      </c>
      <c r="O395" s="195">
        <f t="shared" si="54"/>
        <v>1.8961999999999999</v>
      </c>
      <c r="P395" s="240">
        <f>AVERAGE(Ashed_controlls!$K$12:$K$14)</f>
        <v>2.2816647271287041</v>
      </c>
      <c r="Q395" s="195">
        <f t="shared" si="49"/>
        <v>1.8529350734441854</v>
      </c>
      <c r="R395" s="16">
        <f>IF('Dry_Litterbag Placem_Collection'!G102="N.A","",'Dry_Litterbag Placem_Collection'!G102)</f>
        <v>43010</v>
      </c>
      <c r="S395" s="195">
        <f>IF(IFERROR(INDEX('Both teabags AfterDry'!$D$1:$D$839,MATCH(H395,'Both teabags AfterDry'!$A$1:$A$839,0)),"")="N.A","",(IFERROR(INDEX('Both teabags AfterDry'!$D$1:$D$839,MATCH(H395,'Both teabags AfterDry'!$A$1:$A$839,0)),"")))</f>
        <v>1.1655</v>
      </c>
      <c r="T395" s="195">
        <f>IF(IFERROR(INDEX('Both teabags AfterDry'!$D$1:$D$839,MATCH(I395,'Both teabags AfterDry'!$A$1:$A$839,0)),"")="N.A","",(IFERROR(INDEX('Both teabags AfterDry'!$D$1:$D$839,MATCH(I395,'Both teabags AfterDry'!$A$1:$A$839,0)),"")))</f>
        <v>1.9777</v>
      </c>
      <c r="U395" s="195">
        <f t="shared" si="55"/>
        <v>1.0148999999999999</v>
      </c>
      <c r="V395" s="195">
        <f t="shared" si="55"/>
        <v>1.8270999999999999</v>
      </c>
      <c r="W395" s="195">
        <f>IFERROR(INDEX('Ashed teabags dry'!$K$2:$K$821,MATCH(H395,'Ashed teabags dry'!$A$2:$A$821,0)),"")</f>
        <v>10.999039385206627</v>
      </c>
      <c r="X395" s="195">
        <f>IFERROR(INDEX('Ashed teabags dry'!$K$2:$K$821,MATCH(I395,'Ashed teabags dry'!$A$2:$A$821,0)),"")</f>
        <v>3.7708830548921735</v>
      </c>
      <c r="Y395" s="195">
        <f t="shared" si="50"/>
        <v>0.90327074927953788</v>
      </c>
      <c r="Z395" s="195">
        <f t="shared" si="50"/>
        <v>1.758202195704065</v>
      </c>
      <c r="AA395" s="195">
        <f t="shared" si="56"/>
        <v>0.45253038774685872</v>
      </c>
      <c r="AB395" s="195">
        <f t="shared" si="57"/>
        <v>0.29667075301219242</v>
      </c>
      <c r="AC395" s="195">
        <f t="shared" si="51"/>
        <v>0.94887415155673349</v>
      </c>
      <c r="AD395">
        <f t="shared" si="52"/>
        <v>71</v>
      </c>
      <c r="AE395" s="195">
        <f t="shared" si="58"/>
        <v>0.46255298367356446</v>
      </c>
      <c r="AF395" s="195">
        <f t="shared" si="59"/>
        <v>2.6639874223300395E-3</v>
      </c>
      <c r="AG395" s="255" t="str">
        <f>IF(ISNUMBER(SEARCH("C", 'Dry_Litterbag Placem_Collection'!AD102)),"YES","NO")</f>
        <v>NO</v>
      </c>
      <c r="AH395" s="255" t="str">
        <f>IF(ISNUMBER(SEARCH("H", 'Dry_Litterbag Placem_Collection'!AD102)),"YES","NO")</f>
        <v>NO</v>
      </c>
      <c r="AI395" s="255" t="str">
        <f>IF(ISNUMBER(SEARCH("R", 'Dry_Litterbag Placem_Collection'!AD102)),"YES","NO")</f>
        <v>NO</v>
      </c>
      <c r="AJ395" s="255" t="str">
        <f>IF(ISNUMBER(SEARCH("C", 'Dry_Litterbag Placem_Collection'!AC102)),"YES","NO")</f>
        <v>NO</v>
      </c>
      <c r="AK395" s="255" t="str">
        <f>IF(ISNUMBER(SEARCH("H", 'Dry_Litterbag Placem_Collection'!AC102)),"YES","NO")</f>
        <v>NO</v>
      </c>
      <c r="AL395" s="255" t="str">
        <f>IF(ISNUMBER(SEARCH("R", 'Dry_Litterbag Placem_Collection'!AC102)),"YES","NO")</f>
        <v>NO</v>
      </c>
      <c r="AR395" t="s">
        <v>1863</v>
      </c>
      <c r="AT395" t="s">
        <v>498</v>
      </c>
    </row>
    <row r="396" spans="2:46">
      <c r="B396" t="str">
        <f>'Final data_for_R_analysis_Dryse'!A542</f>
        <v>Dry</v>
      </c>
      <c r="C396" s="263">
        <f>'Final data_for_R_analysis_Dryse'!B542</f>
        <v>101</v>
      </c>
      <c r="D396" t="s">
        <v>3841</v>
      </c>
      <c r="E396" t="s">
        <v>25</v>
      </c>
      <c r="F396" s="387">
        <v>5</v>
      </c>
      <c r="G396" s="16">
        <f>'Dry_Litterbag Placem_Collection'!E103</f>
        <v>42939</v>
      </c>
      <c r="H396" s="92" t="str">
        <f>'Final data_for_R_analysis_Dryse'!J542</f>
        <v>G398</v>
      </c>
      <c r="I396" t="str">
        <f>'Final data_for_R_analysis_Dryse'!J762</f>
        <v>R245</v>
      </c>
      <c r="J396">
        <f>IFERROR(INDEX('Green_rooibos initial weight'!$C$5:$C$1749,MATCH(H396, 'Green_rooibos initial weight'!$A$5:$A$1749,0)),"")</f>
        <v>1.9870000000000001</v>
      </c>
      <c r="K396">
        <f>IFERROR(INDEX('Green_rooibos initial weight'!$C$5:$C$1749,MATCH(I396, 'Green_rooibos initial weight'!$A$5:$A$1749,0)),"")</f>
        <v>2.258</v>
      </c>
      <c r="L396" s="195">
        <f t="shared" si="53"/>
        <v>1.7372000000000001</v>
      </c>
      <c r="M396" s="240">
        <f>AVERAGE(Ashed_controlls!$K$1:$K$11)</f>
        <v>5.5147656768714146</v>
      </c>
      <c r="N396" s="195">
        <f t="shared" ref="N396:N459" si="60">IFERROR(L396-(M396/100)*L396,"")</f>
        <v>1.64139749066139</v>
      </c>
      <c r="O396" s="195">
        <f t="shared" si="54"/>
        <v>2.0082</v>
      </c>
      <c r="P396" s="240">
        <f>AVERAGE(Ashed_controlls!$K$12:$K$14)</f>
        <v>2.2816647271287041</v>
      </c>
      <c r="Q396" s="195">
        <f t="shared" ref="Q396:Q459" si="61">IFERROR(O396-(P396/100)*O396,"")</f>
        <v>1.9623796089498013</v>
      </c>
      <c r="R396" s="16">
        <f>IF('Dry_Litterbag Placem_Collection'!G103="N.A","",'Dry_Litterbag Placem_Collection'!G103)</f>
        <v>43010</v>
      </c>
      <c r="S396" s="195">
        <f>IF(IFERROR(INDEX('Both teabags AfterDry'!$D$1:$D$839,MATCH(H396,'Both teabags AfterDry'!$A$1:$A$839,0)),"")="N.A","",(IFERROR(INDEX('Both teabags AfterDry'!$D$1:$D$839,MATCH(H396,'Both teabags AfterDry'!$A$1:$A$839,0)),"")))</f>
        <v>1.0217000000000001</v>
      </c>
      <c r="T396" s="195">
        <f>IF(IFERROR(INDEX('Both teabags AfterDry'!$D$1:$D$839,MATCH(I396,'Both teabags AfterDry'!$A$1:$A$839,0)),"")="N.A","",(IFERROR(INDEX('Both teabags AfterDry'!$D$1:$D$839,MATCH(I396,'Both teabags AfterDry'!$A$1:$A$839,0)),"")))</f>
        <v>1.8418000000000001</v>
      </c>
      <c r="U396" s="195">
        <f t="shared" si="55"/>
        <v>0.87109999999999999</v>
      </c>
      <c r="V396" s="195">
        <f t="shared" si="55"/>
        <v>1.6912</v>
      </c>
      <c r="W396" s="195">
        <f>IFERROR(INDEX('Ashed teabags dry'!$K$2:$K$821,MATCH(H396,'Ashed teabags dry'!$A$2:$A$821,0)),"")</f>
        <v>14.119832791454268</v>
      </c>
      <c r="X396" s="195">
        <f>IFERROR(INDEX('Ashed teabags dry'!$K$2:$K$821,MATCH(I396,'Ashed teabags dry'!$A$2:$A$821,0)),"")</f>
        <v>3.2786885245898914</v>
      </c>
      <c r="Y396" s="195">
        <f t="shared" ref="Y396:Z459" si="62">IFERROR(U396-(W396/100)*U396,"")</f>
        <v>0.74810213655364188</v>
      </c>
      <c r="Z396" s="195">
        <f t="shared" si="62"/>
        <v>1.6357508196721358</v>
      </c>
      <c r="AA396" s="195">
        <f t="shared" si="56"/>
        <v>0.54422853646973768</v>
      </c>
      <c r="AB396" s="195">
        <f t="shared" si="57"/>
        <v>0.35678640395640765</v>
      </c>
      <c r="AC396" s="195">
        <f t="shared" ref="AC396:AC459" si="63">IFERROR(Z396/Q396,"")</f>
        <v>0.8335547374279606</v>
      </c>
      <c r="AD396">
        <f t="shared" ref="AD396:AD459" si="64">IF((R396-G396)&gt;0,(IFERROR(R396-G396,"")),"")</f>
        <v>71</v>
      </c>
      <c r="AE396" s="195">
        <f t="shared" si="58"/>
        <v>0.35364781891955144</v>
      </c>
      <c r="AF396" s="195">
        <f t="shared" si="59"/>
        <v>8.8495683280956413E-3</v>
      </c>
      <c r="AG396" s="255" t="str">
        <f>IF(ISNUMBER(SEARCH("C", 'Dry_Litterbag Placem_Collection'!AD103)),"YES","NO")</f>
        <v>NO</v>
      </c>
      <c r="AH396" s="255" t="str">
        <f>IF(ISNUMBER(SEARCH("H", 'Dry_Litterbag Placem_Collection'!AD103)),"YES","NO")</f>
        <v>NO</v>
      </c>
      <c r="AI396" s="255" t="str">
        <f>IF(ISNUMBER(SEARCH("R", 'Dry_Litterbag Placem_Collection'!AD103)),"YES","NO")</f>
        <v>NO</v>
      </c>
      <c r="AJ396" s="255" t="str">
        <f>IF(ISNUMBER(SEARCH("C", 'Dry_Litterbag Placem_Collection'!AC103)),"YES","NO")</f>
        <v>NO</v>
      </c>
      <c r="AK396" s="255" t="str">
        <f>IF(ISNUMBER(SEARCH("H", 'Dry_Litterbag Placem_Collection'!AC103)),"YES","NO")</f>
        <v>NO</v>
      </c>
      <c r="AL396" s="255" t="str">
        <f>IF(ISNUMBER(SEARCH("R", 'Dry_Litterbag Placem_Collection'!AC103)),"YES","NO")</f>
        <v>NO</v>
      </c>
      <c r="AR396" t="s">
        <v>1652</v>
      </c>
      <c r="AT396" t="s">
        <v>896</v>
      </c>
    </row>
    <row r="397" spans="2:46">
      <c r="B397" t="str">
        <f>'Final data_for_R_analysis_Dryse'!A543</f>
        <v>Dry</v>
      </c>
      <c r="C397" s="263">
        <f>'Final data_for_R_analysis_Dryse'!B543</f>
        <v>102</v>
      </c>
      <c r="D397" t="s">
        <v>3841</v>
      </c>
      <c r="E397" t="s">
        <v>25</v>
      </c>
      <c r="F397" s="387">
        <v>6</v>
      </c>
      <c r="G397" s="16">
        <f>'Dry_Litterbag Placem_Collection'!E104</f>
        <v>42939</v>
      </c>
      <c r="H397" s="92" t="str">
        <f>'Final data_for_R_analysis_Dryse'!J543</f>
        <v>G120</v>
      </c>
      <c r="I397" t="str">
        <f>'Final data_for_R_analysis_Dryse'!J763</f>
        <v>R714</v>
      </c>
      <c r="J397">
        <f>IFERROR(INDEX('Green_rooibos initial weight'!$C$5:$C$1749,MATCH(H397, 'Green_rooibos initial weight'!$A$5:$A$1749,0)),"")</f>
        <v>2.0449999999999999</v>
      </c>
      <c r="K397">
        <f>IFERROR(INDEX('Green_rooibos initial weight'!$C$5:$C$1749,MATCH(I397, 'Green_rooibos initial weight'!$A$5:$A$1749,0)),"")</f>
        <v>2.1560000000000001</v>
      </c>
      <c r="L397" s="195">
        <f t="shared" ref="L397:L460" si="65">IFERROR(IF(J397&gt;0,(J397*$F$31-($F$29+$F$30)),""),"")</f>
        <v>1.7951999999999999</v>
      </c>
      <c r="M397" s="240">
        <f>AVERAGE(Ashed_controlls!$K$1:$K$11)</f>
        <v>5.5147656768714146</v>
      </c>
      <c r="N397" s="195">
        <f t="shared" si="60"/>
        <v>1.6961989265688042</v>
      </c>
      <c r="O397" s="195">
        <f t="shared" ref="O397:O460" si="66">IFERROR(IF(K397&gt;0,(K397*$F$32-($F$29+$F$30)),""),"")</f>
        <v>1.9062000000000001</v>
      </c>
      <c r="P397" s="240">
        <f>AVERAGE(Ashed_controlls!$K$12:$K$14)</f>
        <v>2.2816647271287041</v>
      </c>
      <c r="Q397" s="195">
        <f t="shared" si="61"/>
        <v>1.8627069069714728</v>
      </c>
      <c r="R397" s="16">
        <f>IF('Dry_Litterbag Placem_Collection'!G104="N.A","",'Dry_Litterbag Placem_Collection'!G104)</f>
        <v>43010</v>
      </c>
      <c r="S397" s="195">
        <f>IF(IFERROR(INDEX('Both teabags AfterDry'!$D$1:$D$839,MATCH(H397,'Both teabags AfterDry'!$A$1:$A$839,0)),"")="N.A","",(IFERROR(INDEX('Both teabags AfterDry'!$D$1:$D$839,MATCH(H397,'Both teabags AfterDry'!$A$1:$A$839,0)),"")))</f>
        <v>1.0569999999999999</v>
      </c>
      <c r="T397" s="195">
        <f>IF(IFERROR(INDEX('Both teabags AfterDry'!$D$1:$D$839,MATCH(I397,'Both teabags AfterDry'!$A$1:$A$839,0)),"")="N.A","",(IFERROR(INDEX('Both teabags AfterDry'!$D$1:$D$839,MATCH(I397,'Both teabags AfterDry'!$A$1:$A$839,0)),"")))</f>
        <v>1.8105</v>
      </c>
      <c r="U397" s="195">
        <f t="shared" ref="U397:V460" si="67">IFERROR(IF(S397&gt;0,S397-($F$29),""),"")</f>
        <v>0.90639999999999987</v>
      </c>
      <c r="V397" s="195">
        <f t="shared" si="67"/>
        <v>1.6598999999999999</v>
      </c>
      <c r="W397" s="195">
        <f>IFERROR(INDEX('Ashed teabags dry'!$K$2:$K$821,MATCH(H397,'Ashed teabags dry'!$A$2:$A$821,0)),"")</f>
        <v>10.580708661416786</v>
      </c>
      <c r="X397" s="195">
        <f>IFERROR(INDEX('Ashed teabags dry'!$K$2:$K$821,MATCH(I397,'Ashed teabags dry'!$A$2:$A$821,0)),"")</f>
        <v>4.3863535666823292</v>
      </c>
      <c r="Y397" s="195">
        <f t="shared" si="62"/>
        <v>0.81049645669291814</v>
      </c>
      <c r="Z397" s="195">
        <f t="shared" si="62"/>
        <v>1.5870909171466399</v>
      </c>
      <c r="AA397" s="195">
        <f t="shared" ref="AA397:AA460" si="68">IFERROR(1-Y397/N397,"")</f>
        <v>0.52216898383938382</v>
      </c>
      <c r="AB397" s="195">
        <f t="shared" ref="AB397:AB460" si="69">IFERROR($F$26*(1-AE397),"")</f>
        <v>0.34232455947665075</v>
      </c>
      <c r="AC397" s="195">
        <f t="shared" si="63"/>
        <v>0.85203469810881316</v>
      </c>
      <c r="AD397">
        <f t="shared" si="64"/>
        <v>71</v>
      </c>
      <c r="AE397" s="195">
        <f t="shared" ref="AE397:AE460" si="70">IFERROR(1-(AA397/$F$25),"")</f>
        <v>0.37984681254229946</v>
      </c>
      <c r="AF397" s="195">
        <f t="shared" ref="AF397:AF460" si="71">IFERROR(LN(AB397/(AC397-(1-AB397)))/AD397,"")</f>
        <v>7.9725493186023223E-3</v>
      </c>
      <c r="AG397" s="255" t="str">
        <f>IF(ISNUMBER(SEARCH("C", 'Dry_Litterbag Placem_Collection'!AD104)),"YES","NO")</f>
        <v>NO</v>
      </c>
      <c r="AH397" s="255" t="str">
        <f>IF(ISNUMBER(SEARCH("H", 'Dry_Litterbag Placem_Collection'!AD104)),"YES","NO")</f>
        <v>NO</v>
      </c>
      <c r="AI397" s="255" t="str">
        <f>IF(ISNUMBER(SEARCH("R", 'Dry_Litterbag Placem_Collection'!AD104)),"YES","NO")</f>
        <v>NO</v>
      </c>
      <c r="AJ397" s="255" t="str">
        <f>IF(ISNUMBER(SEARCH("C", 'Dry_Litterbag Placem_Collection'!AC104)),"YES","NO")</f>
        <v>NO</v>
      </c>
      <c r="AK397" s="255" t="str">
        <f>IF(ISNUMBER(SEARCH("H", 'Dry_Litterbag Placem_Collection'!AC104)),"YES","NO")</f>
        <v>NO</v>
      </c>
      <c r="AL397" s="255" t="str">
        <f>IF(ISNUMBER(SEARCH("R", 'Dry_Litterbag Placem_Collection'!AC104)),"YES","NO")</f>
        <v>NO</v>
      </c>
      <c r="AR397" t="s">
        <v>1930</v>
      </c>
      <c r="AT397" t="s">
        <v>425</v>
      </c>
    </row>
    <row r="398" spans="2:46">
      <c r="B398" t="str">
        <f>'Final data_for_R_analysis_Dryse'!A544</f>
        <v>Dry</v>
      </c>
      <c r="C398" s="263">
        <f>'Final data_for_R_analysis_Dryse'!B544</f>
        <v>103</v>
      </c>
      <c r="D398" t="s">
        <v>3841</v>
      </c>
      <c r="E398" t="s">
        <v>25</v>
      </c>
      <c r="F398" s="387">
        <v>7</v>
      </c>
      <c r="G398" s="16">
        <f>'Dry_Litterbag Placem_Collection'!E105</f>
        <v>42939</v>
      </c>
      <c r="H398" s="92" t="str">
        <f>'Final data_for_R_analysis_Dryse'!J544</f>
        <v>G145</v>
      </c>
      <c r="I398" t="str">
        <f>'Final data_for_R_analysis_Dryse'!J764</f>
        <v>R701</v>
      </c>
      <c r="J398">
        <f>IFERROR(INDEX('Green_rooibos initial weight'!$C$5:$C$1749,MATCH(H398, 'Green_rooibos initial weight'!$A$5:$A$1749,0)),"")</f>
        <v>2.044</v>
      </c>
      <c r="K398">
        <f>IFERROR(INDEX('Green_rooibos initial weight'!$C$5:$C$1749,MATCH(I398, 'Green_rooibos initial weight'!$A$5:$A$1749,0)),"")</f>
        <v>2.1549999999999998</v>
      </c>
      <c r="L398" s="195">
        <f t="shared" si="65"/>
        <v>1.7942</v>
      </c>
      <c r="M398" s="240">
        <f>AVERAGE(Ashed_controlls!$K$1:$K$11)</f>
        <v>5.5147656768714146</v>
      </c>
      <c r="N398" s="195">
        <f t="shared" si="60"/>
        <v>1.6952540742255731</v>
      </c>
      <c r="O398" s="195">
        <f t="shared" si="66"/>
        <v>1.9051999999999998</v>
      </c>
      <c r="P398" s="240">
        <f>AVERAGE(Ashed_controlls!$K$12:$K$14)</f>
        <v>2.2816647271287041</v>
      </c>
      <c r="Q398" s="195">
        <f t="shared" si="61"/>
        <v>1.8617297236187438</v>
      </c>
      <c r="R398" s="16">
        <f>IF('Dry_Litterbag Placem_Collection'!G105="N.A","",'Dry_Litterbag Placem_Collection'!G105)</f>
        <v>43010</v>
      </c>
      <c r="S398" s="195">
        <f>IF(IFERROR(INDEX('Both teabags AfterDry'!$D$1:$D$839,MATCH(H398,'Both teabags AfterDry'!$A$1:$A$839,0)),"")="N.A","",(IFERROR(INDEX('Both teabags AfterDry'!$D$1:$D$839,MATCH(H398,'Both teabags AfterDry'!$A$1:$A$839,0)),"")))</f>
        <v>1.0654999999999999</v>
      </c>
      <c r="T398" s="195">
        <f>IF(IFERROR(INDEX('Both teabags AfterDry'!$D$1:$D$839,MATCH(I398,'Both teabags AfterDry'!$A$1:$A$839,0)),"")="N.A","",(IFERROR(INDEX('Both teabags AfterDry'!$D$1:$D$839,MATCH(I398,'Both teabags AfterDry'!$A$1:$A$839,0)),"")))</f>
        <v>1.8272999999999999</v>
      </c>
      <c r="U398" s="195">
        <f t="shared" si="67"/>
        <v>0.91489999999999982</v>
      </c>
      <c r="V398" s="195">
        <f t="shared" si="67"/>
        <v>1.6766999999999999</v>
      </c>
      <c r="W398" s="195">
        <f>IFERROR(INDEX('Ashed teabags dry'!$K$2:$K$821,MATCH(H398,'Ashed teabags dry'!$A$2:$A$821,0)),"")</f>
        <v>11.406672678088214</v>
      </c>
      <c r="X398" s="195">
        <f>IFERROR(INDEX('Ashed teabags dry'!$K$2:$K$821,MATCH(I398,'Ashed teabags dry'!$A$2:$A$821,0)),"")</f>
        <v>4.2152466367706989</v>
      </c>
      <c r="Y398" s="195">
        <f t="shared" si="62"/>
        <v>0.81054035166817084</v>
      </c>
      <c r="Z398" s="195">
        <f t="shared" si="62"/>
        <v>1.6060229596412656</v>
      </c>
      <c r="AA398" s="195">
        <f t="shared" si="68"/>
        <v>0.5218767711627873</v>
      </c>
      <c r="AB398" s="195">
        <f t="shared" si="69"/>
        <v>0.3421329901209722</v>
      </c>
      <c r="AC398" s="195">
        <f t="shared" si="63"/>
        <v>0.86265097412719649</v>
      </c>
      <c r="AD398">
        <f t="shared" si="64"/>
        <v>71</v>
      </c>
      <c r="AE398" s="195">
        <f t="shared" si="70"/>
        <v>0.38019385847649967</v>
      </c>
      <c r="AF398" s="195">
        <f t="shared" si="71"/>
        <v>7.2287877598408269E-3</v>
      </c>
      <c r="AG398" s="255" t="str">
        <f>IF(ISNUMBER(SEARCH("C", 'Dry_Litterbag Placem_Collection'!AD105)),"YES","NO")</f>
        <v>NO</v>
      </c>
      <c r="AH398" s="255" t="str">
        <f>IF(ISNUMBER(SEARCH("H", 'Dry_Litterbag Placem_Collection'!AD105)),"YES","NO")</f>
        <v>NO</v>
      </c>
      <c r="AI398" s="255" t="str">
        <f>IF(ISNUMBER(SEARCH("R", 'Dry_Litterbag Placem_Collection'!AD105)),"YES","NO")</f>
        <v>NO</v>
      </c>
      <c r="AJ398" s="255" t="str">
        <f>IF(ISNUMBER(SEARCH("C", 'Dry_Litterbag Placem_Collection'!AC105)),"YES","NO")</f>
        <v>NO</v>
      </c>
      <c r="AK398" s="255" t="str">
        <f>IF(ISNUMBER(SEARCH("H", 'Dry_Litterbag Placem_Collection'!AC105)),"YES","NO")</f>
        <v>NO</v>
      </c>
      <c r="AL398" s="255" t="str">
        <f>IF(ISNUMBER(SEARCH("R", 'Dry_Litterbag Placem_Collection'!AC105)),"YES","NO")</f>
        <v>NO</v>
      </c>
      <c r="AR398" t="s">
        <v>1905</v>
      </c>
      <c r="AT398" t="s">
        <v>438</v>
      </c>
    </row>
    <row r="399" spans="2:46">
      <c r="B399" t="str">
        <f>'Final data_for_R_analysis_Dryse'!A545</f>
        <v>Dry</v>
      </c>
      <c r="C399" s="263">
        <f>'Final data_for_R_analysis_Dryse'!B545</f>
        <v>104</v>
      </c>
      <c r="D399" t="s">
        <v>3841</v>
      </c>
      <c r="E399" t="s">
        <v>25</v>
      </c>
      <c r="F399" s="387">
        <v>8</v>
      </c>
      <c r="G399" s="16">
        <f>'Dry_Litterbag Placem_Collection'!E106</f>
        <v>42939</v>
      </c>
      <c r="H399" s="92" t="str">
        <f>'Final data_for_R_analysis_Dryse'!J545</f>
        <v>G76</v>
      </c>
      <c r="I399" t="str">
        <f>'Final data_for_R_analysis_Dryse'!J765</f>
        <v>R365</v>
      </c>
      <c r="J399">
        <f>IFERROR(INDEX('Green_rooibos initial weight'!$C$5:$C$1749,MATCH(H399, 'Green_rooibos initial weight'!$A$5:$A$1749,0)),"")</f>
        <v>2.0129999999999999</v>
      </c>
      <c r="K399">
        <f>IFERROR(INDEX('Green_rooibos initial weight'!$C$5:$C$1749,MATCH(I399, 'Green_rooibos initial weight'!$A$5:$A$1749,0)),"")</f>
        <v>2.2130000000000001</v>
      </c>
      <c r="L399" s="195">
        <f t="shared" si="65"/>
        <v>1.7631999999999999</v>
      </c>
      <c r="M399" s="240">
        <f>AVERAGE(Ashed_controlls!$K$1:$K$11)</f>
        <v>5.5147656768714146</v>
      </c>
      <c r="N399" s="195">
        <f t="shared" si="60"/>
        <v>1.665963651585403</v>
      </c>
      <c r="O399" s="195">
        <f t="shared" si="66"/>
        <v>1.9632000000000001</v>
      </c>
      <c r="P399" s="240">
        <f>AVERAGE(Ashed_controlls!$K$12:$K$14)</f>
        <v>2.2816647271287041</v>
      </c>
      <c r="Q399" s="195">
        <f t="shared" si="61"/>
        <v>1.9184063580770094</v>
      </c>
      <c r="R399" s="16">
        <f>IF('Dry_Litterbag Placem_Collection'!G106="N.A","",'Dry_Litterbag Placem_Collection'!G106)</f>
        <v>43010</v>
      </c>
      <c r="S399" s="195">
        <f>IF(IFERROR(INDEX('Both teabags AfterDry'!$D$1:$D$839,MATCH(H399,'Both teabags AfterDry'!$A$1:$A$839,0)),"")="N.A","",(IFERROR(INDEX('Both teabags AfterDry'!$D$1:$D$839,MATCH(H399,'Both teabags AfterDry'!$A$1:$A$839,0)),"")))</f>
        <v>1.2876000000000001</v>
      </c>
      <c r="T399" s="195">
        <f>IF(IFERROR(INDEX('Both teabags AfterDry'!$D$1:$D$839,MATCH(I399,'Both teabags AfterDry'!$A$1:$A$839,0)),"")="N.A","",(IFERROR(INDEX('Both teabags AfterDry'!$D$1:$D$839,MATCH(I399,'Both teabags AfterDry'!$A$1:$A$839,0)),"")))</f>
        <v>1.9468000000000001</v>
      </c>
      <c r="U399" s="195">
        <f t="shared" si="67"/>
        <v>1.137</v>
      </c>
      <c r="V399" s="195">
        <f t="shared" si="67"/>
        <v>1.7962</v>
      </c>
      <c r="W399" s="195">
        <f>IFERROR(INDEX('Ashed teabags dry'!$K$2:$K$821,MATCH(H399,'Ashed teabags dry'!$A$2:$A$821,0)),"")</f>
        <v>9.59232613908814</v>
      </c>
      <c r="X399" s="195">
        <f>IFERROR(INDEX('Ashed teabags dry'!$K$2:$K$821,MATCH(I399,'Ashed teabags dry'!$A$2:$A$821,0)),"")</f>
        <v>3.5681186283600224</v>
      </c>
      <c r="Y399" s="195">
        <f t="shared" si="62"/>
        <v>1.0279352517985678</v>
      </c>
      <c r="Z399" s="195">
        <f t="shared" si="62"/>
        <v>1.7321094531973973</v>
      </c>
      <c r="AA399" s="195">
        <f t="shared" si="68"/>
        <v>0.38297858370418814</v>
      </c>
      <c r="AB399" s="195">
        <f t="shared" si="69"/>
        <v>0.25107384584882647</v>
      </c>
      <c r="AC399" s="195">
        <f t="shared" si="63"/>
        <v>0.90288975842096653</v>
      </c>
      <c r="AD399">
        <f t="shared" si="64"/>
        <v>71</v>
      </c>
      <c r="AE399" s="195">
        <f t="shared" si="70"/>
        <v>0.54515607636082164</v>
      </c>
      <c r="AF399" s="195">
        <f t="shared" si="71"/>
        <v>6.8877586459026238E-3</v>
      </c>
      <c r="AG399" s="255" t="str">
        <f>IF(ISNUMBER(SEARCH("C", 'Dry_Litterbag Placem_Collection'!AD106)),"YES","NO")</f>
        <v>NO</v>
      </c>
      <c r="AH399" s="255" t="str">
        <f>IF(ISNUMBER(SEARCH("H", 'Dry_Litterbag Placem_Collection'!AD106)),"YES","NO")</f>
        <v>NO</v>
      </c>
      <c r="AI399" s="255" t="str">
        <f>IF(ISNUMBER(SEARCH("R", 'Dry_Litterbag Placem_Collection'!AD106)),"YES","NO")</f>
        <v>NO</v>
      </c>
      <c r="AJ399" s="255" t="str">
        <f>IF(ISNUMBER(SEARCH("C", 'Dry_Litterbag Placem_Collection'!AC106)),"YES","NO")</f>
        <v>NO</v>
      </c>
      <c r="AK399" s="255" t="str">
        <f>IF(ISNUMBER(SEARCH("H", 'Dry_Litterbag Placem_Collection'!AC106)),"YES","NO")</f>
        <v>NO</v>
      </c>
      <c r="AL399" s="255" t="str">
        <f>IF(ISNUMBER(SEARCH("R", 'Dry_Litterbag Placem_Collection'!AC106)),"YES","NO")</f>
        <v>NO</v>
      </c>
      <c r="AR399" t="s">
        <v>1974</v>
      </c>
      <c r="AT399" t="s">
        <v>776</v>
      </c>
    </row>
    <row r="400" spans="2:46">
      <c r="B400" t="str">
        <f>'Final data_for_R_analysis_Dryse'!A546</f>
        <v>Dry</v>
      </c>
      <c r="C400" s="263">
        <f>'Final data_for_R_analysis_Dryse'!B546</f>
        <v>105</v>
      </c>
      <c r="D400" t="s">
        <v>3843</v>
      </c>
      <c r="E400" t="s">
        <v>25</v>
      </c>
      <c r="F400" s="386">
        <v>1</v>
      </c>
      <c r="G400" s="16">
        <f>'Dry_Litterbag Placem_Collection'!E107</f>
        <v>42939</v>
      </c>
      <c r="H400" s="92" t="str">
        <f>'Final data_for_R_analysis_Dryse'!J546</f>
        <v>G57</v>
      </c>
      <c r="I400" t="str">
        <f>'Final data_for_R_analysis_Dryse'!J766</f>
        <v>R212</v>
      </c>
      <c r="J400">
        <f>IFERROR(INDEX('Green_rooibos initial weight'!$C$5:$C$1749,MATCH(H400, 'Green_rooibos initial weight'!$A$5:$A$1749,0)),"")</f>
        <v>2.077</v>
      </c>
      <c r="K400">
        <f>IFERROR(INDEX('Green_rooibos initial weight'!$C$5:$C$1749,MATCH(I400, 'Green_rooibos initial weight'!$A$5:$A$1749,0)),"")</f>
        <v>2.2519999999999998</v>
      </c>
      <c r="L400" s="195">
        <f t="shared" si="65"/>
        <v>1.8271999999999999</v>
      </c>
      <c r="M400" s="240">
        <f>AVERAGE(Ashed_controlls!$K$1:$K$11)</f>
        <v>5.5147656768714146</v>
      </c>
      <c r="N400" s="195">
        <f t="shared" si="60"/>
        <v>1.7264342015522054</v>
      </c>
      <c r="O400" s="195">
        <f t="shared" si="66"/>
        <v>2.0021999999999998</v>
      </c>
      <c r="P400" s="240">
        <f>AVERAGE(Ashed_controlls!$K$12:$K$14)</f>
        <v>2.2816647271287041</v>
      </c>
      <c r="Q400" s="195">
        <f t="shared" si="61"/>
        <v>1.9565165088334289</v>
      </c>
      <c r="R400" s="16">
        <f>IF('Dry_Litterbag Placem_Collection'!G107="N.A","",'Dry_Litterbag Placem_Collection'!G107)</f>
        <v>43010</v>
      </c>
      <c r="S400" s="195">
        <f>IF(IFERROR(INDEX('Both teabags AfterDry'!$D$1:$D$839,MATCH(H400,'Both teabags AfterDry'!$A$1:$A$839,0)),"")="N.A","",(IFERROR(INDEX('Both teabags AfterDry'!$D$1:$D$839,MATCH(H400,'Both teabags AfterDry'!$A$1:$A$839,0)),"")))</f>
        <v>1.0114000000000001</v>
      </c>
      <c r="T400" s="195">
        <f>IF(IFERROR(INDEX('Both teabags AfterDry'!$D$1:$D$839,MATCH(I400,'Both teabags AfterDry'!$A$1:$A$839,0)),"")="N.A","",(IFERROR(INDEX('Both teabags AfterDry'!$D$1:$D$839,MATCH(I400,'Both teabags AfterDry'!$A$1:$A$839,0)),"")))</f>
        <v>1.9135</v>
      </c>
      <c r="U400" s="195">
        <f t="shared" si="67"/>
        <v>0.86080000000000001</v>
      </c>
      <c r="V400" s="195">
        <f t="shared" si="67"/>
        <v>1.7628999999999999</v>
      </c>
      <c r="W400" s="195">
        <f>IFERROR(INDEX('Ashed teabags dry'!$K$2:$K$821,MATCH(H400,'Ashed teabags dry'!$A$2:$A$821,0)),"")</f>
        <v>24.439461883408928</v>
      </c>
      <c r="X400" s="195">
        <f>IFERROR(INDEX('Ashed teabags dry'!$K$2:$K$821,MATCH(I400,'Ashed teabags dry'!$A$2:$A$821,0)),"")</f>
        <v>7.1020019065774402</v>
      </c>
      <c r="Y400" s="195">
        <f t="shared" si="62"/>
        <v>0.65042511210761589</v>
      </c>
      <c r="Z400" s="195">
        <f t="shared" si="62"/>
        <v>1.6376988083889463</v>
      </c>
      <c r="AA400" s="195">
        <f t="shared" si="68"/>
        <v>0.62325519760739767</v>
      </c>
      <c r="AB400" s="195">
        <f t="shared" si="69"/>
        <v>0.40859485638869786</v>
      </c>
      <c r="AC400" s="195">
        <f t="shared" si="63"/>
        <v>0.83704829527118207</v>
      </c>
      <c r="AD400">
        <f t="shared" si="64"/>
        <v>71</v>
      </c>
      <c r="AE400" s="195">
        <f t="shared" si="70"/>
        <v>0.2597919268320692</v>
      </c>
      <c r="AF400" s="195">
        <f t="shared" si="71"/>
        <v>7.166819917542905E-3</v>
      </c>
      <c r="AG400" s="255" t="str">
        <f>IF(ISNUMBER(SEARCH("C", 'Dry_Litterbag Placem_Collection'!AD107)),"YES","NO")</f>
        <v>NO</v>
      </c>
      <c r="AH400" s="255" t="str">
        <f>IF(ISNUMBER(SEARCH("H", 'Dry_Litterbag Placem_Collection'!AD107)),"YES","NO")</f>
        <v>NO</v>
      </c>
      <c r="AI400" s="255" t="str">
        <f>IF(ISNUMBER(SEARCH("R", 'Dry_Litterbag Placem_Collection'!AD107)),"YES","NO")</f>
        <v>NO</v>
      </c>
      <c r="AJ400" s="255" t="str">
        <f>IF(ISNUMBER(SEARCH("C", 'Dry_Litterbag Placem_Collection'!AC107)),"YES","NO")</f>
        <v>NO</v>
      </c>
      <c r="AK400" s="255" t="str">
        <f>IF(ISNUMBER(SEARCH("H", 'Dry_Litterbag Placem_Collection'!AC107)),"YES","NO")</f>
        <v>NO</v>
      </c>
      <c r="AL400" s="255" t="str">
        <f>IF(ISNUMBER(SEARCH("R", 'Dry_Litterbag Placem_Collection'!AC107)),"YES","NO")</f>
        <v>NO</v>
      </c>
      <c r="AR400" t="s">
        <v>1993</v>
      </c>
      <c r="AT400" t="s">
        <v>929</v>
      </c>
    </row>
    <row r="401" spans="2:46">
      <c r="B401" t="str">
        <f>'Final data_for_R_analysis_Dryse'!A547</f>
        <v>Dry</v>
      </c>
      <c r="C401" s="263">
        <f>'Final data_for_R_analysis_Dryse'!B547</f>
        <v>106</v>
      </c>
      <c r="D401" t="s">
        <v>3843</v>
      </c>
      <c r="E401" t="s">
        <v>25</v>
      </c>
      <c r="F401" s="386">
        <v>2</v>
      </c>
      <c r="G401" s="16">
        <f>'Dry_Litterbag Placem_Collection'!E108</f>
        <v>42939</v>
      </c>
      <c r="H401" s="92" t="str">
        <f>'Final data_for_R_analysis_Dryse'!J547</f>
        <v>G167</v>
      </c>
      <c r="I401" t="str">
        <f>'Final data_for_R_analysis_Dryse'!J767</f>
        <v>R66</v>
      </c>
      <c r="J401">
        <f>IFERROR(INDEX('Green_rooibos initial weight'!$C$5:$C$1749,MATCH(H401, 'Green_rooibos initial weight'!$A$5:$A$1749,0)),"")</f>
        <v>1.996</v>
      </c>
      <c r="K401">
        <f>IFERROR(INDEX('Green_rooibos initial weight'!$C$5:$C$1749,MATCH(I401, 'Green_rooibos initial weight'!$A$5:$A$1749,0)),"")</f>
        <v>2.1120000000000001</v>
      </c>
      <c r="L401" s="195">
        <f t="shared" si="65"/>
        <v>1.7462</v>
      </c>
      <c r="M401" s="240">
        <f>AVERAGE(Ashed_controlls!$K$1:$K$11)</f>
        <v>5.5147656768714146</v>
      </c>
      <c r="N401" s="195">
        <f t="shared" si="60"/>
        <v>1.6499011617504713</v>
      </c>
      <c r="O401" s="195">
        <f t="shared" si="66"/>
        <v>1.8622000000000001</v>
      </c>
      <c r="P401" s="240">
        <f>AVERAGE(Ashed_controlls!$K$12:$K$14)</f>
        <v>2.2816647271287041</v>
      </c>
      <c r="Q401" s="195">
        <f t="shared" si="61"/>
        <v>1.8197108394514094</v>
      </c>
      <c r="R401" s="16">
        <f>IF('Dry_Litterbag Placem_Collection'!G108="N.A","",'Dry_Litterbag Placem_Collection'!G108)</f>
        <v>43010</v>
      </c>
      <c r="S401" s="195">
        <f>IF(IFERROR(INDEX('Both teabags AfterDry'!$D$1:$D$839,MATCH(H401,'Both teabags AfterDry'!$A$1:$A$839,0)),"")="N.A","",(IFERROR(INDEX('Both teabags AfterDry'!$D$1:$D$839,MATCH(H401,'Both teabags AfterDry'!$A$1:$A$839,0)),"")))</f>
        <v>0.98309999999999997</v>
      </c>
      <c r="T401" s="195">
        <f>IF(IFERROR(INDEX('Both teabags AfterDry'!$D$1:$D$839,MATCH(I401,'Both teabags AfterDry'!$A$1:$A$839,0)),"")="N.A","",(IFERROR(INDEX('Both teabags AfterDry'!$D$1:$D$839,MATCH(I401,'Both teabags AfterDry'!$A$1:$A$839,0)),"")))</f>
        <v>1.7972999999999999</v>
      </c>
      <c r="U401" s="195">
        <f t="shared" si="67"/>
        <v>0.83250000000000002</v>
      </c>
      <c r="V401" s="195">
        <f t="shared" si="67"/>
        <v>1.6466999999999998</v>
      </c>
      <c r="W401" s="195">
        <f>IFERROR(INDEX('Ashed teabags dry'!$K$2:$K$821,MATCH(H401,'Ashed teabags dry'!$A$2:$A$821,0)),"")</f>
        <v>18.432769367765196</v>
      </c>
      <c r="X401" s="195">
        <f>IFERROR(INDEX('Ashed teabags dry'!$K$2:$K$821,MATCH(I401,'Ashed teabags dry'!$A$2:$A$821,0)),"")</f>
        <v>2.6819923371648411</v>
      </c>
      <c r="Y401" s="195">
        <f t="shared" si="62"/>
        <v>0.67904719501335475</v>
      </c>
      <c r="Z401" s="195">
        <f t="shared" si="62"/>
        <v>1.6025356321839064</v>
      </c>
      <c r="AA401" s="195">
        <f t="shared" si="68"/>
        <v>0.58843159168824632</v>
      </c>
      <c r="AB401" s="195">
        <f t="shared" si="69"/>
        <v>0.3857651289927696</v>
      </c>
      <c r="AC401" s="195">
        <f t="shared" si="63"/>
        <v>0.88065400141652439</v>
      </c>
      <c r="AD401">
        <f t="shared" si="64"/>
        <v>71</v>
      </c>
      <c r="AE401" s="195">
        <f t="shared" si="70"/>
        <v>0.30115012863628698</v>
      </c>
      <c r="AF401" s="195">
        <f t="shared" si="71"/>
        <v>5.2134924397701041E-3</v>
      </c>
      <c r="AG401" s="255" t="str">
        <f>IF(ISNUMBER(SEARCH("C", 'Dry_Litterbag Placem_Collection'!AD108)),"YES","NO")</f>
        <v>NO</v>
      </c>
      <c r="AH401" s="255" t="str">
        <f>IF(ISNUMBER(SEARCH("H", 'Dry_Litterbag Placem_Collection'!AD108)),"YES","NO")</f>
        <v>NO</v>
      </c>
      <c r="AI401" s="255" t="str">
        <f>IF(ISNUMBER(SEARCH("R", 'Dry_Litterbag Placem_Collection'!AD108)),"YES","NO")</f>
        <v>NO</v>
      </c>
      <c r="AJ401" s="255" t="str">
        <f>IF(ISNUMBER(SEARCH("C", 'Dry_Litterbag Placem_Collection'!AC108)),"YES","NO")</f>
        <v>NO</v>
      </c>
      <c r="AK401" s="255" t="str">
        <f>IF(ISNUMBER(SEARCH("H", 'Dry_Litterbag Placem_Collection'!AC108)),"YES","NO")</f>
        <v>NO</v>
      </c>
      <c r="AL401" s="255" t="str">
        <f>IF(ISNUMBER(SEARCH("R", 'Dry_Litterbag Placem_Collection'!AC108)),"YES","NO")</f>
        <v>NO</v>
      </c>
      <c r="AR401" t="s">
        <v>1883</v>
      </c>
      <c r="AT401" t="s">
        <v>1075</v>
      </c>
    </row>
    <row r="402" spans="2:46">
      <c r="B402" t="str">
        <f>'Final data_for_R_analysis_Dryse'!A548</f>
        <v>Dry</v>
      </c>
      <c r="C402" s="263">
        <f>'Final data_for_R_analysis_Dryse'!B548</f>
        <v>107</v>
      </c>
      <c r="D402" t="s">
        <v>3843</v>
      </c>
      <c r="E402" t="s">
        <v>25</v>
      </c>
      <c r="F402" s="386">
        <v>3</v>
      </c>
      <c r="G402" s="16">
        <f>'Dry_Litterbag Placem_Collection'!E109</f>
        <v>42939</v>
      </c>
      <c r="H402" s="92" t="str">
        <f>'Final data_for_R_analysis_Dryse'!J548</f>
        <v>G208</v>
      </c>
      <c r="I402" t="str">
        <f>'Final data_for_R_analysis_Dryse'!J768</f>
        <v>R347</v>
      </c>
      <c r="J402">
        <f>IFERROR(INDEX('Green_rooibos initial weight'!$C$5:$C$1749,MATCH(H402, 'Green_rooibos initial weight'!$A$5:$A$1749,0)),"")</f>
        <v>2.0019999999999998</v>
      </c>
      <c r="K402">
        <f>IFERROR(INDEX('Green_rooibos initial weight'!$C$5:$C$1749,MATCH(I402, 'Green_rooibos initial weight'!$A$5:$A$1749,0)),"")</f>
        <v>2.2400000000000002</v>
      </c>
      <c r="L402" s="195">
        <f t="shared" si="65"/>
        <v>1.7521999999999998</v>
      </c>
      <c r="M402" s="240">
        <f>AVERAGE(Ashed_controlls!$K$1:$K$11)</f>
        <v>5.5147656768714146</v>
      </c>
      <c r="N402" s="195">
        <f t="shared" si="60"/>
        <v>1.6555702758098589</v>
      </c>
      <c r="O402" s="195">
        <f t="shared" si="66"/>
        <v>1.9902000000000002</v>
      </c>
      <c r="P402" s="240">
        <f>AVERAGE(Ashed_controlls!$K$12:$K$14)</f>
        <v>2.2816647271287041</v>
      </c>
      <c r="Q402" s="195">
        <f t="shared" si="61"/>
        <v>1.9447903086006848</v>
      </c>
      <c r="R402" s="16">
        <f>IF('Dry_Litterbag Placem_Collection'!G109="N.A","",'Dry_Litterbag Placem_Collection'!G109)</f>
        <v>43010</v>
      </c>
      <c r="S402" s="195" t="str">
        <f>IF(IFERROR(INDEX('Both teabags AfterDry'!$D$1:$D$839,MATCH(H402,'Both teabags AfterDry'!$A$1:$A$839,0)),"")="N.A","",(IFERROR(INDEX('Both teabags AfterDry'!$D$1:$D$839,MATCH(H402,'Both teabags AfterDry'!$A$1:$A$839,0)),"")))</f>
        <v/>
      </c>
      <c r="T402" s="195" t="str">
        <f>IF(IFERROR(INDEX('Both teabags AfterDry'!$D$1:$D$839,MATCH(I402,'Both teabags AfterDry'!$A$1:$A$839,0)),"")="N.A","",(IFERROR(INDEX('Both teabags AfterDry'!$D$1:$D$839,MATCH(I402,'Both teabags AfterDry'!$A$1:$A$839,0)),"")))</f>
        <v/>
      </c>
      <c r="U402" s="195" t="str">
        <f t="shared" si="67"/>
        <v/>
      </c>
      <c r="V402" s="195" t="str">
        <f t="shared" si="67"/>
        <v/>
      </c>
      <c r="W402" s="195" t="str">
        <f>IFERROR(INDEX('Ashed teabags dry'!$K$2:$K$821,MATCH(H402,'Ashed teabags dry'!$A$2:$A$821,0)),"")</f>
        <v/>
      </c>
      <c r="X402" s="195" t="str">
        <f>IFERROR(INDEX('Ashed teabags dry'!$K$2:$K$821,MATCH(I402,'Ashed teabags dry'!$A$2:$A$821,0)),"")</f>
        <v/>
      </c>
      <c r="Y402" s="195" t="str">
        <f t="shared" si="62"/>
        <v/>
      </c>
      <c r="Z402" s="195" t="str">
        <f t="shared" si="62"/>
        <v/>
      </c>
      <c r="AA402" s="195" t="str">
        <f t="shared" si="68"/>
        <v/>
      </c>
      <c r="AB402" s="195" t="str">
        <f t="shared" si="69"/>
        <v/>
      </c>
      <c r="AC402" s="195" t="str">
        <f t="shared" si="63"/>
        <v/>
      </c>
      <c r="AD402">
        <f t="shared" si="64"/>
        <v>71</v>
      </c>
      <c r="AE402" s="195" t="str">
        <f t="shared" si="70"/>
        <v/>
      </c>
      <c r="AF402" s="195" t="str">
        <f t="shared" si="71"/>
        <v/>
      </c>
      <c r="AG402" s="255" t="str">
        <f>IF(ISNUMBER(SEARCH("C", 'Dry_Litterbag Placem_Collection'!AD109)),"YES","NO")</f>
        <v>NO</v>
      </c>
      <c r="AH402" s="255" t="str">
        <f>IF(ISNUMBER(SEARCH("H", 'Dry_Litterbag Placem_Collection'!AD109)),"YES","NO")</f>
        <v>NO</v>
      </c>
      <c r="AI402" s="255" t="str">
        <f>IF(ISNUMBER(SEARCH("R", 'Dry_Litterbag Placem_Collection'!AD109)),"YES","NO")</f>
        <v>NO</v>
      </c>
      <c r="AJ402" s="255" t="str">
        <f>IF(ISNUMBER(SEARCH("C", 'Dry_Litterbag Placem_Collection'!AC109)),"YES","NO")</f>
        <v>NO</v>
      </c>
      <c r="AK402" s="255" t="str">
        <f>IF(ISNUMBER(SEARCH("H", 'Dry_Litterbag Placem_Collection'!AC109)),"YES","NO")</f>
        <v>NO</v>
      </c>
      <c r="AL402" s="255" t="str">
        <f>IF(ISNUMBER(SEARCH("R", 'Dry_Litterbag Placem_Collection'!AC109)),"YES","NO")</f>
        <v>NO</v>
      </c>
      <c r="AR402" t="s">
        <v>1842</v>
      </c>
      <c r="AT402" t="s">
        <v>794</v>
      </c>
    </row>
    <row r="403" spans="2:46">
      <c r="B403" t="str">
        <f>'Final data_for_R_analysis_Dryse'!A549</f>
        <v>Dry</v>
      </c>
      <c r="C403" s="263">
        <f>'Final data_for_R_analysis_Dryse'!B549</f>
        <v>108</v>
      </c>
      <c r="D403" t="s">
        <v>3843</v>
      </c>
      <c r="E403" t="s">
        <v>25</v>
      </c>
      <c r="F403" s="387">
        <v>4</v>
      </c>
      <c r="G403" s="16">
        <f>'Dry_Litterbag Placem_Collection'!E110</f>
        <v>42939</v>
      </c>
      <c r="H403" s="92" t="str">
        <f>'Final data_for_R_analysis_Dryse'!J549</f>
        <v>G62</v>
      </c>
      <c r="I403" t="str">
        <f>'Final data_for_R_analysis_Dryse'!J769</f>
        <v>R206</v>
      </c>
      <c r="J403">
        <f>IFERROR(INDEX('Green_rooibos initial weight'!$C$5:$C$1749,MATCH(H403, 'Green_rooibos initial weight'!$A$5:$A$1749,0)),"")</f>
        <v>2.0819999999999999</v>
      </c>
      <c r="K403">
        <f>IFERROR(INDEX('Green_rooibos initial weight'!$C$5:$C$1749,MATCH(I403, 'Green_rooibos initial weight'!$A$5:$A$1749,0)),"")</f>
        <v>2.2549999999999999</v>
      </c>
      <c r="L403" s="195">
        <f t="shared" si="65"/>
        <v>1.8321999999999998</v>
      </c>
      <c r="M403" s="240">
        <f>AVERAGE(Ashed_controlls!$K$1:$K$11)</f>
        <v>5.5147656768714146</v>
      </c>
      <c r="N403" s="195">
        <f t="shared" si="60"/>
        <v>1.7311584632683619</v>
      </c>
      <c r="O403" s="195">
        <f t="shared" si="66"/>
        <v>2.0051999999999999</v>
      </c>
      <c r="P403" s="240">
        <f>AVERAGE(Ashed_controlls!$K$12:$K$14)</f>
        <v>2.2816647271287041</v>
      </c>
      <c r="Q403" s="195">
        <f t="shared" si="61"/>
        <v>1.959448058891615</v>
      </c>
      <c r="R403" s="16">
        <f>IF('Dry_Litterbag Placem_Collection'!G110="N.A","",'Dry_Litterbag Placem_Collection'!G110)</f>
        <v>43010</v>
      </c>
      <c r="S403" s="195">
        <f>IF(IFERROR(INDEX('Both teabags AfterDry'!$D$1:$D$839,MATCH(H403,'Both teabags AfterDry'!$A$1:$A$839,0)),"")="N.A","",(IFERROR(INDEX('Both teabags AfterDry'!$D$1:$D$839,MATCH(H403,'Both teabags AfterDry'!$A$1:$A$839,0)),"")))</f>
        <v>1.0947</v>
      </c>
      <c r="T403" s="195">
        <f>IF(IFERROR(INDEX('Both teabags AfterDry'!$D$1:$D$839,MATCH(I403,'Both teabags AfterDry'!$A$1:$A$839,0)),"")="N.A","",(IFERROR(INDEX('Both teabags AfterDry'!$D$1:$D$839,MATCH(I403,'Both teabags AfterDry'!$A$1:$A$839,0)),"")))</f>
        <v>1.9655</v>
      </c>
      <c r="U403" s="195">
        <f t="shared" si="67"/>
        <v>0.94409999999999994</v>
      </c>
      <c r="V403" s="195">
        <f t="shared" si="67"/>
        <v>1.8149</v>
      </c>
      <c r="W403" s="195">
        <f>IFERROR(INDEX('Ashed teabags dry'!$K$2:$K$821,MATCH(H403,'Ashed teabags dry'!$A$2:$A$821,0)),"")</f>
        <v>18.630647414997014</v>
      </c>
      <c r="X403" s="195">
        <f>IFERROR(INDEX('Ashed teabags dry'!$K$2:$K$821,MATCH(I403,'Ashed teabags dry'!$A$2:$A$821,0)),"")</f>
        <v>4.1293532338306944</v>
      </c>
      <c r="Y403" s="195">
        <f t="shared" si="62"/>
        <v>0.76820805775501311</v>
      </c>
      <c r="Z403" s="195">
        <f t="shared" si="62"/>
        <v>1.7399563681592067</v>
      </c>
      <c r="AA403" s="195">
        <f t="shared" si="68"/>
        <v>0.55624625125035332</v>
      </c>
      <c r="AB403" s="195">
        <f t="shared" si="69"/>
        <v>0.3646650008197091</v>
      </c>
      <c r="AC403" s="195">
        <f t="shared" si="63"/>
        <v>0.88798289919633477</v>
      </c>
      <c r="AD403">
        <f t="shared" si="64"/>
        <v>71</v>
      </c>
      <c r="AE403" s="195">
        <f t="shared" si="70"/>
        <v>0.33937499851501984</v>
      </c>
      <c r="AF403" s="195">
        <f t="shared" si="71"/>
        <v>5.1687648773852063E-3</v>
      </c>
      <c r="AG403" s="255" t="str">
        <f>IF(ISNUMBER(SEARCH("C", 'Dry_Litterbag Placem_Collection'!AD110)),"YES","NO")</f>
        <v>NO</v>
      </c>
      <c r="AH403" s="255" t="str">
        <f>IF(ISNUMBER(SEARCH("H", 'Dry_Litterbag Placem_Collection'!AD110)),"YES","NO")</f>
        <v>NO</v>
      </c>
      <c r="AI403" s="255" t="str">
        <f>IF(ISNUMBER(SEARCH("R", 'Dry_Litterbag Placem_Collection'!AD110)),"YES","NO")</f>
        <v>NO</v>
      </c>
      <c r="AJ403" s="255" t="str">
        <f>IF(ISNUMBER(SEARCH("C", 'Dry_Litterbag Placem_Collection'!AC110)),"YES","NO")</f>
        <v>NO</v>
      </c>
      <c r="AK403" s="255" t="str">
        <f>IF(ISNUMBER(SEARCH("H", 'Dry_Litterbag Placem_Collection'!AC110)),"YES","NO")</f>
        <v>NO</v>
      </c>
      <c r="AL403" s="255" t="str">
        <f>IF(ISNUMBER(SEARCH("R", 'Dry_Litterbag Placem_Collection'!AC110)),"YES","NO")</f>
        <v>NO</v>
      </c>
      <c r="AR403" t="s">
        <v>1988</v>
      </c>
      <c r="AT403" t="s">
        <v>935</v>
      </c>
    </row>
    <row r="404" spans="2:46">
      <c r="B404" t="str">
        <f>'Final data_for_R_analysis_Dryse'!A550</f>
        <v>Dry</v>
      </c>
      <c r="C404" s="263">
        <f>'Final data_for_R_analysis_Dryse'!B550</f>
        <v>109</v>
      </c>
      <c r="D404" t="s">
        <v>3843</v>
      </c>
      <c r="E404" t="s">
        <v>25</v>
      </c>
      <c r="F404" s="387">
        <v>5</v>
      </c>
      <c r="G404" s="16">
        <f>'Dry_Litterbag Placem_Collection'!E111</f>
        <v>42939</v>
      </c>
      <c r="H404" s="92" t="str">
        <f>'Final data_for_R_analysis_Dryse'!J550</f>
        <v>G102</v>
      </c>
      <c r="I404" t="str">
        <f>'Final data_for_R_analysis_Dryse'!J770</f>
        <v>R299</v>
      </c>
      <c r="J404">
        <f>IFERROR(INDEX('Green_rooibos initial weight'!$C$5:$C$1749,MATCH(H404, 'Green_rooibos initial weight'!$A$5:$A$1749,0)),"")</f>
        <v>2.0920000000000001</v>
      </c>
      <c r="K404">
        <f>IFERROR(INDEX('Green_rooibos initial weight'!$C$5:$C$1749,MATCH(I404, 'Green_rooibos initial weight'!$A$5:$A$1749,0)),"")</f>
        <v>2.2919999999999998</v>
      </c>
      <c r="L404" s="195">
        <f t="shared" si="65"/>
        <v>1.8422000000000001</v>
      </c>
      <c r="M404" s="240">
        <f>AVERAGE(Ashed_controlls!$K$1:$K$11)</f>
        <v>5.5147656768714146</v>
      </c>
      <c r="N404" s="195">
        <f t="shared" si="60"/>
        <v>1.7406069867006748</v>
      </c>
      <c r="O404" s="195">
        <f t="shared" si="66"/>
        <v>2.0421999999999998</v>
      </c>
      <c r="P404" s="240">
        <f>AVERAGE(Ashed_controlls!$K$12:$K$14)</f>
        <v>2.2816647271287041</v>
      </c>
      <c r="Q404" s="195">
        <f t="shared" si="61"/>
        <v>1.9956038429425773</v>
      </c>
      <c r="R404" s="16">
        <f>IF('Dry_Litterbag Placem_Collection'!G111="N.A","",'Dry_Litterbag Placem_Collection'!G111)</f>
        <v>43010</v>
      </c>
      <c r="S404" s="195">
        <f>IF(IFERROR(INDEX('Both teabags AfterDry'!$D$1:$D$839,MATCH(H404,'Both teabags AfterDry'!$A$1:$A$839,0)),"")="N.A","",(IFERROR(INDEX('Both teabags AfterDry'!$D$1:$D$839,MATCH(H404,'Both teabags AfterDry'!$A$1:$A$839,0)),"")))</f>
        <v>1.0327999999999999</v>
      </c>
      <c r="T404" s="195">
        <f>IF(IFERROR(INDEX('Both teabags AfterDry'!$D$1:$D$839,MATCH(I404,'Both teabags AfterDry'!$A$1:$A$839,0)),"")="N.A","",(IFERROR(INDEX('Both teabags AfterDry'!$D$1:$D$839,MATCH(I404,'Both teabags AfterDry'!$A$1:$A$839,0)),"")))</f>
        <v>1.8811</v>
      </c>
      <c r="U404" s="195">
        <f t="shared" si="67"/>
        <v>0.88219999999999987</v>
      </c>
      <c r="V404" s="195">
        <f t="shared" si="67"/>
        <v>1.7304999999999999</v>
      </c>
      <c r="W404" s="195">
        <f>IFERROR(INDEX('Ashed teabags dry'!$K$2:$K$821,MATCH(H404,'Ashed teabags dry'!$A$2:$A$821,0)),"")</f>
        <v>18.731117824773449</v>
      </c>
      <c r="X404" s="195">
        <f>IFERROR(INDEX('Ashed teabags dry'!$K$2:$K$821,MATCH(I404,'Ashed teabags dry'!$A$2:$A$821,0)),"")</f>
        <v>6.3173359451526663</v>
      </c>
      <c r="Y404" s="195">
        <f t="shared" si="62"/>
        <v>0.71695407854984849</v>
      </c>
      <c r="Z404" s="195">
        <f t="shared" si="62"/>
        <v>1.6211785014691331</v>
      </c>
      <c r="AA404" s="195">
        <f t="shared" si="68"/>
        <v>0.5881011141355712</v>
      </c>
      <c r="AB404" s="195">
        <f t="shared" si="69"/>
        <v>0.38554847387510133</v>
      </c>
      <c r="AC404" s="195">
        <f t="shared" si="63"/>
        <v>0.81237491459159406</v>
      </c>
      <c r="AD404">
        <f t="shared" si="64"/>
        <v>71</v>
      </c>
      <c r="AE404" s="195">
        <f t="shared" si="70"/>
        <v>0.30154261979148311</v>
      </c>
      <c r="AF404" s="195">
        <f t="shared" si="71"/>
        <v>9.391364775802406E-3</v>
      </c>
      <c r="AG404" s="255" t="str">
        <f>IF(ISNUMBER(SEARCH("C", 'Dry_Litterbag Placem_Collection'!AD111)),"YES","NO")</f>
        <v>NO</v>
      </c>
      <c r="AH404" s="255" t="str">
        <f>IF(ISNUMBER(SEARCH("H", 'Dry_Litterbag Placem_Collection'!AD111)),"YES","NO")</f>
        <v>NO</v>
      </c>
      <c r="AI404" s="255" t="str">
        <f>IF(ISNUMBER(SEARCH("R", 'Dry_Litterbag Placem_Collection'!AD111)),"YES","NO")</f>
        <v>NO</v>
      </c>
      <c r="AJ404" s="255" t="str">
        <f>IF(ISNUMBER(SEARCH("C", 'Dry_Litterbag Placem_Collection'!AC111)),"YES","NO")</f>
        <v>NO</v>
      </c>
      <c r="AK404" s="255" t="str">
        <f>IF(ISNUMBER(SEARCH("H", 'Dry_Litterbag Placem_Collection'!AC111)),"YES","NO")</f>
        <v>NO</v>
      </c>
      <c r="AL404" s="255" t="str">
        <f>IF(ISNUMBER(SEARCH("R", 'Dry_Litterbag Placem_Collection'!AC111)),"YES","NO")</f>
        <v>NO</v>
      </c>
      <c r="AR404" t="s">
        <v>1948</v>
      </c>
      <c r="AT404" t="s">
        <v>842</v>
      </c>
    </row>
    <row r="405" spans="2:46">
      <c r="B405" t="str">
        <f>'Final data_for_R_analysis_Dryse'!A551</f>
        <v>Dry</v>
      </c>
      <c r="C405" s="263">
        <f>'Final data_for_R_analysis_Dryse'!B551</f>
        <v>110</v>
      </c>
      <c r="D405" t="s">
        <v>3843</v>
      </c>
      <c r="E405" t="s">
        <v>25</v>
      </c>
      <c r="F405" s="387">
        <v>6</v>
      </c>
      <c r="G405" s="16">
        <f>'Dry_Litterbag Placem_Collection'!E112</f>
        <v>42939</v>
      </c>
      <c r="H405" s="92" t="str">
        <f>'Final data_for_R_analysis_Dryse'!J551</f>
        <v>G265</v>
      </c>
      <c r="I405" t="str">
        <f>'Final data_for_R_analysis_Dryse'!J771</f>
        <v>R636</v>
      </c>
      <c r="J405">
        <f>IFERROR(INDEX('Green_rooibos initial weight'!$C$5:$C$1749,MATCH(H405, 'Green_rooibos initial weight'!$A$5:$A$1749,0)),"")</f>
        <v>1.9790000000000001</v>
      </c>
      <c r="K405">
        <f>IFERROR(INDEX('Green_rooibos initial weight'!$C$5:$C$1749,MATCH(I405, 'Green_rooibos initial weight'!$A$5:$A$1749,0)),"")</f>
        <v>2.1080000000000001</v>
      </c>
      <c r="L405" s="195">
        <f t="shared" si="65"/>
        <v>1.7292000000000001</v>
      </c>
      <c r="M405" s="240">
        <f>AVERAGE(Ashed_controlls!$K$1:$K$11)</f>
        <v>5.5147656768714146</v>
      </c>
      <c r="N405" s="195">
        <f t="shared" si="60"/>
        <v>1.6338386719155396</v>
      </c>
      <c r="O405" s="195">
        <f t="shared" si="66"/>
        <v>1.8582000000000001</v>
      </c>
      <c r="P405" s="240">
        <f>AVERAGE(Ashed_controlls!$K$12:$K$14)</f>
        <v>2.2816647271287041</v>
      </c>
      <c r="Q405" s="195">
        <f t="shared" si="61"/>
        <v>1.8158021060404945</v>
      </c>
      <c r="R405" s="16">
        <f>IF('Dry_Litterbag Placem_Collection'!G112="N.A","",'Dry_Litterbag Placem_Collection'!G112)</f>
        <v>43010</v>
      </c>
      <c r="S405" s="195">
        <f>IF(IFERROR(INDEX('Both teabags AfterDry'!$D$1:$D$839,MATCH(H405,'Both teabags AfterDry'!$A$1:$A$839,0)),"")="N.A","",(IFERROR(INDEX('Both teabags AfterDry'!$D$1:$D$839,MATCH(H405,'Both teabags AfterDry'!$A$1:$A$839,0)),"")))</f>
        <v>0.93579999999999997</v>
      </c>
      <c r="T405" s="195">
        <f>IF(IFERROR(INDEX('Both teabags AfterDry'!$D$1:$D$839,MATCH(I405,'Both teabags AfterDry'!$A$1:$A$839,0)),"")="N.A","",(IFERROR(INDEX('Both teabags AfterDry'!$D$1:$D$839,MATCH(I405,'Both teabags AfterDry'!$A$1:$A$839,0)),"")))</f>
        <v>1.8521000000000001</v>
      </c>
      <c r="U405" s="195">
        <f t="shared" si="67"/>
        <v>0.7851999999999999</v>
      </c>
      <c r="V405" s="195">
        <f t="shared" si="67"/>
        <v>1.7015</v>
      </c>
      <c r="W405" s="195">
        <f>IFERROR(INDEX('Ashed teabags dry'!$K$2:$K$821,MATCH(H405,'Ashed teabags dry'!$A$2:$A$821,0)),"")</f>
        <v>14.665354330708222</v>
      </c>
      <c r="X405" s="195">
        <f>IFERROR(INDEX('Ashed teabags dry'!$K$2:$K$821,MATCH(I405,'Ashed teabags dry'!$A$2:$A$821,0)),"")</f>
        <v>3.9122137404573722</v>
      </c>
      <c r="Y405" s="195">
        <f t="shared" si="62"/>
        <v>0.67004763779527898</v>
      </c>
      <c r="Z405" s="195">
        <f t="shared" si="62"/>
        <v>1.6349336832061179</v>
      </c>
      <c r="AA405" s="195">
        <f t="shared" si="68"/>
        <v>0.58989363557559571</v>
      </c>
      <c r="AB405" s="195">
        <f t="shared" si="69"/>
        <v>0.38672361857212456</v>
      </c>
      <c r="AC405" s="195">
        <f t="shared" si="63"/>
        <v>0.9003919963344601</v>
      </c>
      <c r="AD405">
        <f t="shared" si="64"/>
        <v>71</v>
      </c>
      <c r="AE405" s="195">
        <f t="shared" si="70"/>
        <v>0.29941373447078889</v>
      </c>
      <c r="AF405" s="195">
        <f t="shared" si="71"/>
        <v>4.1947225346417741E-3</v>
      </c>
      <c r="AG405" s="255" t="str">
        <f>IF(ISNUMBER(SEARCH("C", 'Dry_Litterbag Placem_Collection'!AD112)),"YES","NO")</f>
        <v>NO</v>
      </c>
      <c r="AH405" s="255" t="str">
        <f>IF(ISNUMBER(SEARCH("H", 'Dry_Litterbag Placem_Collection'!AD112)),"YES","NO")</f>
        <v>NO</v>
      </c>
      <c r="AI405" s="255" t="str">
        <f>IF(ISNUMBER(SEARCH("R", 'Dry_Litterbag Placem_Collection'!AD112)),"YES","NO")</f>
        <v>NO</v>
      </c>
      <c r="AJ405" s="255" t="str">
        <f>IF(ISNUMBER(SEARCH("C", 'Dry_Litterbag Placem_Collection'!AC112)),"YES","NO")</f>
        <v>NO</v>
      </c>
      <c r="AK405" s="255" t="str">
        <f>IF(ISNUMBER(SEARCH("H", 'Dry_Litterbag Placem_Collection'!AC112)),"YES","NO")</f>
        <v>NO</v>
      </c>
      <c r="AL405" s="255" t="str">
        <f>IF(ISNUMBER(SEARCH("R", 'Dry_Litterbag Placem_Collection'!AC112)),"YES","NO")</f>
        <v>NO</v>
      </c>
      <c r="AR405" t="s">
        <v>1785</v>
      </c>
      <c r="AT405" t="s">
        <v>503</v>
      </c>
    </row>
    <row r="406" spans="2:46">
      <c r="B406" t="str">
        <f>'Final data_for_R_analysis_Dryse'!A552</f>
        <v>Dry</v>
      </c>
      <c r="C406" s="263">
        <f>'Final data_for_R_analysis_Dryse'!B552</f>
        <v>111</v>
      </c>
      <c r="D406" t="s">
        <v>3843</v>
      </c>
      <c r="E406" t="s">
        <v>25</v>
      </c>
      <c r="F406" s="387">
        <v>7</v>
      </c>
      <c r="G406" s="16">
        <f>'Dry_Litterbag Placem_Collection'!E113</f>
        <v>42939</v>
      </c>
      <c r="H406" s="92" t="str">
        <f>'Final data_for_R_analysis_Dryse'!J552</f>
        <v>G455</v>
      </c>
      <c r="I406" t="str">
        <f>'Final data_for_R_analysis_Dryse'!J772</f>
        <v>R239</v>
      </c>
      <c r="J406">
        <f>IFERROR(INDEX('Green_rooibos initial weight'!$C$5:$C$1749,MATCH(H406, 'Green_rooibos initial weight'!$A$5:$A$1749,0)),"")</f>
        <v>2.0299999999999998</v>
      </c>
      <c r="K406">
        <f>IFERROR(INDEX('Green_rooibos initial weight'!$C$5:$C$1749,MATCH(I406, 'Green_rooibos initial weight'!$A$5:$A$1749,0)),"")</f>
        <v>2.2189999999999999</v>
      </c>
      <c r="L406" s="195">
        <f t="shared" si="65"/>
        <v>1.7801999999999998</v>
      </c>
      <c r="M406" s="240">
        <f>AVERAGE(Ashed_controlls!$K$1:$K$11)</f>
        <v>5.5147656768714146</v>
      </c>
      <c r="N406" s="195">
        <f t="shared" si="60"/>
        <v>1.6820261414203348</v>
      </c>
      <c r="O406" s="195">
        <f t="shared" si="66"/>
        <v>1.9691999999999998</v>
      </c>
      <c r="P406" s="240">
        <f>AVERAGE(Ashed_controlls!$K$12:$K$14)</f>
        <v>2.2816647271287041</v>
      </c>
      <c r="Q406" s="195">
        <f t="shared" si="61"/>
        <v>1.9242694581933815</v>
      </c>
      <c r="R406" s="16">
        <f>IF('Dry_Litterbag Placem_Collection'!G113="N.A","",'Dry_Litterbag Placem_Collection'!G113)</f>
        <v>43010</v>
      </c>
      <c r="S406" s="195">
        <f>IF(IFERROR(INDEX('Both teabags AfterDry'!$D$1:$D$839,MATCH(H406,'Both teabags AfterDry'!$A$1:$A$839,0)),"")="N.A","",(IFERROR(INDEX('Both teabags AfterDry'!$D$1:$D$839,MATCH(H406,'Both teabags AfterDry'!$A$1:$A$839,0)),"")))</f>
        <v>0.92169999999999996</v>
      </c>
      <c r="T406" s="195">
        <f>IF(IFERROR(INDEX('Both teabags AfterDry'!$D$1:$D$839,MATCH(I406,'Both teabags AfterDry'!$A$1:$A$839,0)),"")="N.A","",(IFERROR(INDEX('Both teabags AfterDry'!$D$1:$D$839,MATCH(I406,'Both teabags AfterDry'!$A$1:$A$839,0)),"")))</f>
        <v>1.8743000000000001</v>
      </c>
      <c r="U406" s="195">
        <f t="shared" si="67"/>
        <v>0.7710999999999999</v>
      </c>
      <c r="V406" s="195">
        <f t="shared" si="67"/>
        <v>1.7237</v>
      </c>
      <c r="W406" s="195">
        <f>IFERROR(INDEX('Ashed teabags dry'!$K$2:$K$821,MATCH(H406,'Ashed teabags dry'!$A$2:$A$821,0)),"")</f>
        <v>17.328170377541223</v>
      </c>
      <c r="X406" s="195">
        <f>IFERROR(INDEX('Ashed teabags dry'!$K$2:$K$821,MATCH(I406,'Ashed teabags dry'!$A$2:$A$821,0)),"")</f>
        <v>2.9234338747099509</v>
      </c>
      <c r="Y406" s="195">
        <f t="shared" si="62"/>
        <v>0.63748247821877957</v>
      </c>
      <c r="Z406" s="195">
        <f t="shared" si="62"/>
        <v>1.6733087703016245</v>
      </c>
      <c r="AA406" s="195">
        <f t="shared" si="68"/>
        <v>0.62100322788058615</v>
      </c>
      <c r="AB406" s="195">
        <f t="shared" si="69"/>
        <v>0.40711850568893543</v>
      </c>
      <c r="AC406" s="195">
        <f t="shared" si="63"/>
        <v>0.86958131730294475</v>
      </c>
      <c r="AD406">
        <f t="shared" si="64"/>
        <v>71</v>
      </c>
      <c r="AE406" s="195">
        <f t="shared" si="70"/>
        <v>0.26246647520120403</v>
      </c>
      <c r="AF406" s="195">
        <f t="shared" si="71"/>
        <v>5.4390290809678034E-3</v>
      </c>
      <c r="AG406" s="255" t="str">
        <f>IF(ISNUMBER(SEARCH("C", 'Dry_Litterbag Placem_Collection'!AD113)),"YES","NO")</f>
        <v>NO</v>
      </c>
      <c r="AH406" s="255" t="str">
        <f>IF(ISNUMBER(SEARCH("H", 'Dry_Litterbag Placem_Collection'!AD113)),"YES","NO")</f>
        <v>NO</v>
      </c>
      <c r="AI406" s="255" t="str">
        <f>IF(ISNUMBER(SEARCH("R", 'Dry_Litterbag Placem_Collection'!AD113)),"YES","NO")</f>
        <v>NO</v>
      </c>
      <c r="AJ406" s="255" t="str">
        <f>IF(ISNUMBER(SEARCH("C", 'Dry_Litterbag Placem_Collection'!AC113)),"YES","NO")</f>
        <v>NO</v>
      </c>
      <c r="AK406" s="255" t="str">
        <f>IF(ISNUMBER(SEARCH("H", 'Dry_Litterbag Placem_Collection'!AC113)),"YES","NO")</f>
        <v>NO</v>
      </c>
      <c r="AL406" s="255" t="str">
        <f>IF(ISNUMBER(SEARCH("R", 'Dry_Litterbag Placem_Collection'!AC113)),"YES","NO")</f>
        <v>NO</v>
      </c>
      <c r="AR406" t="s">
        <v>1595</v>
      </c>
      <c r="AT406" t="s">
        <v>902</v>
      </c>
    </row>
    <row r="407" spans="2:46">
      <c r="B407" t="str">
        <f>'Final data_for_R_analysis_Dryse'!A553</f>
        <v>Dry</v>
      </c>
      <c r="C407" s="263">
        <f>'Final data_for_R_analysis_Dryse'!B553</f>
        <v>112</v>
      </c>
      <c r="D407" t="s">
        <v>3843</v>
      </c>
      <c r="E407" t="s">
        <v>25</v>
      </c>
      <c r="F407" s="387">
        <v>8</v>
      </c>
      <c r="G407" s="16">
        <f>'Dry_Litterbag Placem_Collection'!E114</f>
        <v>0</v>
      </c>
      <c r="H407" s="92" t="str">
        <f>'Final data_for_R_analysis_Dryse'!J553</f>
        <v/>
      </c>
      <c r="I407" t="str">
        <f>'Final data_for_R_analysis_Dryse'!J773</f>
        <v/>
      </c>
      <c r="J407" t="str">
        <f>IFERROR(INDEX('Green_rooibos initial weight'!$C$5:$C$1749,MATCH(H407, 'Green_rooibos initial weight'!$A$5:$A$1749,0)),"")</f>
        <v/>
      </c>
      <c r="K407" t="str">
        <f>IFERROR(INDEX('Green_rooibos initial weight'!$C$5:$C$1749,MATCH(I407, 'Green_rooibos initial weight'!$A$5:$A$1749,0)),"")</f>
        <v/>
      </c>
      <c r="L407" s="195" t="str">
        <f t="shared" si="65"/>
        <v/>
      </c>
      <c r="M407" s="240">
        <f>AVERAGE(Ashed_controlls!$K$1:$K$11)</f>
        <v>5.5147656768714146</v>
      </c>
      <c r="N407" s="195" t="str">
        <f t="shared" si="60"/>
        <v/>
      </c>
      <c r="O407" s="195" t="str">
        <f t="shared" si="66"/>
        <v/>
      </c>
      <c r="P407" s="240">
        <f>AVERAGE(Ashed_controlls!$K$12:$K$14)</f>
        <v>2.2816647271287041</v>
      </c>
      <c r="Q407" s="195" t="str">
        <f t="shared" si="61"/>
        <v/>
      </c>
      <c r="R407" s="16">
        <f>IF('Dry_Litterbag Placem_Collection'!G114="N.A","",'Dry_Litterbag Placem_Collection'!G114)</f>
        <v>0</v>
      </c>
      <c r="S407" s="195" t="str">
        <f>IF(IFERROR(INDEX('Both teabags AfterDry'!$D$1:$D$839,MATCH(H407,'Both teabags AfterDry'!$A$1:$A$839,0)),"")="N.A","",(IFERROR(INDEX('Both teabags AfterDry'!$D$1:$D$839,MATCH(H407,'Both teabags AfterDry'!$A$1:$A$839,0)),"")))</f>
        <v/>
      </c>
      <c r="T407" s="195" t="str">
        <f>IF(IFERROR(INDEX('Both teabags AfterDry'!$D$1:$D$839,MATCH(I407,'Both teabags AfterDry'!$A$1:$A$839,0)),"")="N.A","",(IFERROR(INDEX('Both teabags AfterDry'!$D$1:$D$839,MATCH(I407,'Both teabags AfterDry'!$A$1:$A$839,0)),"")))</f>
        <v/>
      </c>
      <c r="U407" s="195" t="str">
        <f t="shared" si="67"/>
        <v/>
      </c>
      <c r="V407" s="195" t="str">
        <f t="shared" si="67"/>
        <v/>
      </c>
      <c r="W407" s="195" t="str">
        <f>IFERROR(INDEX('Ashed teabags dry'!$K$2:$K$821,MATCH(H407,'Ashed teabags dry'!$A$2:$A$821,0)),"")</f>
        <v/>
      </c>
      <c r="X407" s="195" t="str">
        <f>IFERROR(INDEX('Ashed teabags dry'!$K$2:$K$821,MATCH(I407,'Ashed teabags dry'!$A$2:$A$821,0)),"")</f>
        <v/>
      </c>
      <c r="Y407" s="195" t="str">
        <f t="shared" si="62"/>
        <v/>
      </c>
      <c r="Z407" s="195" t="str">
        <f t="shared" si="62"/>
        <v/>
      </c>
      <c r="AA407" s="195" t="str">
        <f t="shared" si="68"/>
        <v/>
      </c>
      <c r="AB407" s="195" t="str">
        <f t="shared" si="69"/>
        <v/>
      </c>
      <c r="AC407" s="195" t="str">
        <f t="shared" si="63"/>
        <v/>
      </c>
      <c r="AD407" t="str">
        <f t="shared" si="64"/>
        <v/>
      </c>
      <c r="AE407" s="195" t="str">
        <f t="shared" si="70"/>
        <v/>
      </c>
      <c r="AF407" s="195" t="str">
        <f t="shared" si="71"/>
        <v/>
      </c>
      <c r="AG407" s="255" t="str">
        <f>IF(ISNUMBER(SEARCH("C", 'Dry_Litterbag Placem_Collection'!AD114)),"YES","NO")</f>
        <v>NO</v>
      </c>
      <c r="AH407" s="255" t="str">
        <f>IF(ISNUMBER(SEARCH("H", 'Dry_Litterbag Placem_Collection'!AD114)),"YES","NO")</f>
        <v>NO</v>
      </c>
      <c r="AI407" s="255" t="str">
        <f>IF(ISNUMBER(SEARCH("R", 'Dry_Litterbag Placem_Collection'!AD114)),"YES","NO")</f>
        <v>NO</v>
      </c>
      <c r="AJ407" s="255" t="str">
        <f>IF(ISNUMBER(SEARCH("C", 'Dry_Litterbag Placem_Collection'!AC114)),"YES","NO")</f>
        <v>NO</v>
      </c>
      <c r="AK407" s="255" t="str">
        <f>IF(ISNUMBER(SEARCH("H", 'Dry_Litterbag Placem_Collection'!AC114)),"YES","NO")</f>
        <v>NO</v>
      </c>
      <c r="AL407" s="255" t="str">
        <f>IF(ISNUMBER(SEARCH("R", 'Dry_Litterbag Placem_Collection'!AC114)),"YES","NO")</f>
        <v>NO</v>
      </c>
      <c r="AR407" t="s">
        <v>3654</v>
      </c>
      <c r="AT407" t="s">
        <v>3654</v>
      </c>
    </row>
    <row r="408" spans="2:46">
      <c r="B408" t="str">
        <f>'Final data_for_R_analysis_Dryse'!A554</f>
        <v>Dry</v>
      </c>
      <c r="C408" s="263">
        <f>'Final data_for_R_analysis_Dryse'!B554</f>
        <v>113</v>
      </c>
      <c r="D408" t="s">
        <v>3844</v>
      </c>
      <c r="E408" t="s">
        <v>25</v>
      </c>
      <c r="F408" s="386">
        <v>1</v>
      </c>
      <c r="G408" s="16">
        <f>'Dry_Litterbag Placem_Collection'!E115</f>
        <v>42939</v>
      </c>
      <c r="H408" s="92" t="str">
        <f>'Final data_for_R_analysis_Dryse'!J554</f>
        <v>G490</v>
      </c>
      <c r="I408" t="str">
        <f>'Final data_for_R_analysis_Dryse'!J774</f>
        <v>R313</v>
      </c>
      <c r="J408">
        <f>IFERROR(INDEX('Green_rooibos initial weight'!$C$5:$C$1749,MATCH(H408, 'Green_rooibos initial weight'!$A$5:$A$1749,0)),"")</f>
        <v>1.881</v>
      </c>
      <c r="K408">
        <f>IFERROR(INDEX('Green_rooibos initial weight'!$C$5:$C$1749,MATCH(I408, 'Green_rooibos initial weight'!$A$5:$A$1749,0)),"")</f>
        <v>2.2450000000000001</v>
      </c>
      <c r="L408" s="195">
        <f t="shared" si="65"/>
        <v>1.6312</v>
      </c>
      <c r="M408" s="240">
        <f>AVERAGE(Ashed_controlls!$K$1:$K$11)</f>
        <v>5.5147656768714146</v>
      </c>
      <c r="N408" s="195">
        <f t="shared" si="60"/>
        <v>1.5412431422788735</v>
      </c>
      <c r="O408" s="195">
        <f t="shared" si="66"/>
        <v>1.9952000000000001</v>
      </c>
      <c r="P408" s="240">
        <f>AVERAGE(Ashed_controlls!$K$12:$K$14)</f>
        <v>2.2816647271287041</v>
      </c>
      <c r="Q408" s="195">
        <f t="shared" si="61"/>
        <v>1.9496762253643283</v>
      </c>
      <c r="R408" s="16">
        <f>IF('Dry_Litterbag Placem_Collection'!G115="N.A","",'Dry_Litterbag Placem_Collection'!G115)</f>
        <v>43008</v>
      </c>
      <c r="S408" s="195">
        <f>IF(IFERROR(INDEX('Both teabags AfterDry'!$D$1:$D$839,MATCH(H408,'Both teabags AfterDry'!$A$1:$A$839,0)),"")="N.A","",(IFERROR(INDEX('Both teabags AfterDry'!$D$1:$D$839,MATCH(H408,'Both teabags AfterDry'!$A$1:$A$839,0)),"")))</f>
        <v>0.72760000000000002</v>
      </c>
      <c r="T408" s="195">
        <f>IF(IFERROR(INDEX('Both teabags AfterDry'!$D$1:$D$839,MATCH(I408,'Both teabags AfterDry'!$A$1:$A$839,0)),"")="N.A","",(IFERROR(INDEX('Both teabags AfterDry'!$D$1:$D$839,MATCH(I408,'Both teabags AfterDry'!$A$1:$A$839,0)),"")))</f>
        <v>1.6048</v>
      </c>
      <c r="U408" s="195">
        <f t="shared" si="67"/>
        <v>0.57699999999999996</v>
      </c>
      <c r="V408" s="195">
        <f t="shared" si="67"/>
        <v>1.4541999999999999</v>
      </c>
      <c r="W408" s="195">
        <f>IFERROR(INDEX('Ashed teabags dry'!$K$2:$K$821,MATCH(H408,'Ashed teabags dry'!$A$2:$A$821,0)),"")</f>
        <v>23.173681664247997</v>
      </c>
      <c r="X408" s="195">
        <f>IFERROR(INDEX('Ashed teabags dry'!$K$2:$K$821,MATCH(I408,'Ashed teabags dry'!$A$2:$A$821,0)),"")</f>
        <v>8.9047619047618891</v>
      </c>
      <c r="Y408" s="195">
        <f t="shared" si="62"/>
        <v>0.44328785679728899</v>
      </c>
      <c r="Z408" s="195">
        <f t="shared" si="62"/>
        <v>1.3247069523809525</v>
      </c>
      <c r="AA408" s="195">
        <f t="shared" si="68"/>
        <v>0.7123829169861895</v>
      </c>
      <c r="AB408" s="195">
        <f t="shared" si="69"/>
        <v>0.46702538025697937</v>
      </c>
      <c r="AC408" s="195">
        <f t="shared" si="63"/>
        <v>0.67944971331504533</v>
      </c>
      <c r="AD408">
        <f t="shared" si="64"/>
        <v>69</v>
      </c>
      <c r="AE408" s="195">
        <f t="shared" si="70"/>
        <v>0.15393952851996495</v>
      </c>
      <c r="AF408" s="195">
        <f t="shared" si="71"/>
        <v>1.6804756512767031E-2</v>
      </c>
      <c r="AG408" s="255" t="str">
        <f>IF(ISNUMBER(SEARCH("C", 'Dry_Litterbag Placem_Collection'!AD115)),"YES","NO")</f>
        <v>NO</v>
      </c>
      <c r="AH408" s="255" t="str">
        <f>IF(ISNUMBER(SEARCH("H", 'Dry_Litterbag Placem_Collection'!AD115)),"YES","NO")</f>
        <v>NO</v>
      </c>
      <c r="AI408" s="255" t="str">
        <f>IF(ISNUMBER(SEARCH("R", 'Dry_Litterbag Placem_Collection'!AD115)),"YES","NO")</f>
        <v>NO</v>
      </c>
      <c r="AJ408" s="255" t="str">
        <f>IF(ISNUMBER(SEARCH("C", 'Dry_Litterbag Placem_Collection'!AC115)),"YES","NO")</f>
        <v>NO</v>
      </c>
      <c r="AK408" s="255" t="str">
        <f>IF(ISNUMBER(SEARCH("H", 'Dry_Litterbag Placem_Collection'!AC115)),"YES","NO")</f>
        <v>NO</v>
      </c>
      <c r="AL408" s="255" t="str">
        <f>IF(ISNUMBER(SEARCH("R", 'Dry_Litterbag Placem_Collection'!AC115)),"YES","NO")</f>
        <v>NO</v>
      </c>
      <c r="AR408" t="s">
        <v>1560</v>
      </c>
      <c r="AT408" t="s">
        <v>828</v>
      </c>
    </row>
    <row r="409" spans="2:46">
      <c r="B409" t="str">
        <f>'Final data_for_R_analysis_Dryse'!A555</f>
        <v>Dry</v>
      </c>
      <c r="C409" s="263">
        <f>'Final data_for_R_analysis_Dryse'!B555</f>
        <v>114</v>
      </c>
      <c r="D409" t="s">
        <v>3844</v>
      </c>
      <c r="E409" t="s">
        <v>25</v>
      </c>
      <c r="F409" s="386">
        <v>2</v>
      </c>
      <c r="G409" s="16">
        <f>'Dry_Litterbag Placem_Collection'!E116</f>
        <v>42939</v>
      </c>
      <c r="H409" s="92" t="str">
        <f>'Final data_for_R_analysis_Dryse'!J555</f>
        <v>G650</v>
      </c>
      <c r="I409" t="str">
        <f>'Final data_for_R_analysis_Dryse'!J775</f>
        <v>R247</v>
      </c>
      <c r="J409">
        <f>IFERROR(INDEX('Green_rooibos initial weight'!$C$5:$C$1749,MATCH(H409, 'Green_rooibos initial weight'!$A$5:$A$1749,0)),"")</f>
        <v>2.0270000000000001</v>
      </c>
      <c r="K409">
        <f>IFERROR(INDEX('Green_rooibos initial weight'!$C$5:$C$1749,MATCH(I409, 'Green_rooibos initial weight'!$A$5:$A$1749,0)),"")</f>
        <v>2.2330000000000001</v>
      </c>
      <c r="L409" s="195">
        <f t="shared" si="65"/>
        <v>1.7772000000000001</v>
      </c>
      <c r="M409" s="240">
        <f>AVERAGE(Ashed_controlls!$K$1:$K$11)</f>
        <v>5.5147656768714146</v>
      </c>
      <c r="N409" s="195">
        <f t="shared" si="60"/>
        <v>1.6791915843906413</v>
      </c>
      <c r="O409" s="195">
        <f t="shared" si="66"/>
        <v>1.9832000000000001</v>
      </c>
      <c r="P409" s="240">
        <f>AVERAGE(Ashed_controlls!$K$12:$K$14)</f>
        <v>2.2816647271287041</v>
      </c>
      <c r="Q409" s="195">
        <f t="shared" si="61"/>
        <v>1.9379500251315835</v>
      </c>
      <c r="R409" s="16">
        <f>IF('Dry_Litterbag Placem_Collection'!G116="N.A","",'Dry_Litterbag Placem_Collection'!G116)</f>
        <v>43008</v>
      </c>
      <c r="S409" s="195">
        <f>IF(IFERROR(INDEX('Both teabags AfterDry'!$D$1:$D$839,MATCH(H409,'Both teabags AfterDry'!$A$1:$A$839,0)),"")="N.A","",(IFERROR(INDEX('Both teabags AfterDry'!$D$1:$D$839,MATCH(H409,'Both teabags AfterDry'!$A$1:$A$839,0)),"")))</f>
        <v>0.86890000000000001</v>
      </c>
      <c r="T409" s="195">
        <f>IF(IFERROR(INDEX('Both teabags AfterDry'!$D$1:$D$839,MATCH(I409,'Both teabags AfterDry'!$A$1:$A$839,0)),"")="N.A","",(IFERROR(INDEX('Both teabags AfterDry'!$D$1:$D$839,MATCH(I409,'Both teabags AfterDry'!$A$1:$A$839,0)),"")))</f>
        <v>1.7551000000000001</v>
      </c>
      <c r="U409" s="195">
        <f t="shared" si="67"/>
        <v>0.71829999999999994</v>
      </c>
      <c r="V409" s="195">
        <f t="shared" si="67"/>
        <v>1.6045</v>
      </c>
      <c r="W409" s="195">
        <f>IFERROR(INDEX('Ashed teabags dry'!$K$2:$K$821,MATCH(H409,'Ashed teabags dry'!$A$2:$A$821,0)),"")</f>
        <v>22.395326192794663</v>
      </c>
      <c r="X409" s="195">
        <f>IFERROR(INDEX('Ashed teabags dry'!$K$2:$K$821,MATCH(I409,'Ashed teabags dry'!$A$2:$A$821,0)),"")</f>
        <v>8.2853345148423898</v>
      </c>
      <c r="Y409" s="195">
        <f t="shared" si="62"/>
        <v>0.55743437195715595</v>
      </c>
      <c r="Z409" s="195">
        <f t="shared" si="62"/>
        <v>1.471561807709354</v>
      </c>
      <c r="AA409" s="195">
        <f t="shared" si="68"/>
        <v>0.66803408429453137</v>
      </c>
      <c r="AB409" s="195">
        <f t="shared" si="69"/>
        <v>0.43795108614083295</v>
      </c>
      <c r="AC409" s="195">
        <f t="shared" si="63"/>
        <v>0.75933939917229676</v>
      </c>
      <c r="AD409">
        <f t="shared" si="64"/>
        <v>69</v>
      </c>
      <c r="AE409" s="195">
        <f t="shared" si="70"/>
        <v>0.20661035119414328</v>
      </c>
      <c r="AF409" s="195">
        <f t="shared" si="71"/>
        <v>1.1556957119733577E-2</v>
      </c>
      <c r="AG409" s="255" t="str">
        <f>IF(ISNUMBER(SEARCH("C", 'Dry_Litterbag Placem_Collection'!AD116)),"YES","NO")</f>
        <v>NO</v>
      </c>
      <c r="AH409" s="255" t="str">
        <f>IF(ISNUMBER(SEARCH("H", 'Dry_Litterbag Placem_Collection'!AD116)),"YES","NO")</f>
        <v>NO</v>
      </c>
      <c r="AI409" s="255" t="str">
        <f>IF(ISNUMBER(SEARCH("R", 'Dry_Litterbag Placem_Collection'!AD116)),"YES","NO")</f>
        <v>NO</v>
      </c>
      <c r="AJ409" s="255" t="str">
        <f>IF(ISNUMBER(SEARCH("C", 'Dry_Litterbag Placem_Collection'!AC116)),"YES","NO")</f>
        <v>NO</v>
      </c>
      <c r="AK409" s="255" t="str">
        <f>IF(ISNUMBER(SEARCH("H", 'Dry_Litterbag Placem_Collection'!AC116)),"YES","NO")</f>
        <v>NO</v>
      </c>
      <c r="AL409" s="255" t="str">
        <f>IF(ISNUMBER(SEARCH("R", 'Dry_Litterbag Placem_Collection'!AC116)),"YES","NO")</f>
        <v>NO</v>
      </c>
      <c r="AR409" t="s">
        <v>1400</v>
      </c>
      <c r="AT409" t="s">
        <v>894</v>
      </c>
    </row>
    <row r="410" spans="2:46">
      <c r="B410" t="str">
        <f>'Final data_for_R_analysis_Dryse'!A556</f>
        <v>Dry</v>
      </c>
      <c r="C410" s="263">
        <f>'Final data_for_R_analysis_Dryse'!B556</f>
        <v>115</v>
      </c>
      <c r="D410" t="s">
        <v>3844</v>
      </c>
      <c r="E410" t="s">
        <v>25</v>
      </c>
      <c r="F410" s="386">
        <v>3</v>
      </c>
      <c r="G410" s="16">
        <f>'Dry_Litterbag Placem_Collection'!E117</f>
        <v>42939</v>
      </c>
      <c r="H410" s="92" t="str">
        <f>'Final data_for_R_analysis_Dryse'!J556</f>
        <v>G873</v>
      </c>
      <c r="I410" t="str">
        <f>'Final data_for_R_analysis_Dryse'!J776</f>
        <v>R671</v>
      </c>
      <c r="J410">
        <f>IFERROR(INDEX('Green_rooibos initial weight'!$C$5:$C$1749,MATCH(H410, 'Green_rooibos initial weight'!$A$5:$A$1749,0)),"")</f>
        <v>2.0089999999999999</v>
      </c>
      <c r="K410">
        <f>IFERROR(INDEX('Green_rooibos initial weight'!$C$5:$C$1749,MATCH(I410, 'Green_rooibos initial weight'!$A$5:$A$1749,0)),"")</f>
        <v>2.202</v>
      </c>
      <c r="L410" s="195">
        <f t="shared" si="65"/>
        <v>1.7591999999999999</v>
      </c>
      <c r="M410" s="240">
        <f>AVERAGE(Ashed_controlls!$K$1:$K$11)</f>
        <v>5.5147656768714146</v>
      </c>
      <c r="N410" s="195">
        <f t="shared" si="60"/>
        <v>1.662184242212478</v>
      </c>
      <c r="O410" s="195">
        <f t="shared" si="66"/>
        <v>1.9521999999999999</v>
      </c>
      <c r="P410" s="240">
        <f>AVERAGE(Ashed_controlls!$K$12:$K$14)</f>
        <v>2.2816647271287041</v>
      </c>
      <c r="Q410" s="195">
        <f t="shared" si="61"/>
        <v>1.9076573411969935</v>
      </c>
      <c r="R410" s="16">
        <f>IF('Dry_Litterbag Placem_Collection'!G117="N.A","",'Dry_Litterbag Placem_Collection'!G117)</f>
        <v>43008</v>
      </c>
      <c r="S410" s="195">
        <f>IF(IFERROR(INDEX('Both teabags AfterDry'!$D$1:$D$839,MATCH(H410,'Both teabags AfterDry'!$A$1:$A$839,0)),"")="N.A","",(IFERROR(INDEX('Both teabags AfterDry'!$D$1:$D$839,MATCH(H410,'Both teabags AfterDry'!$A$1:$A$839,0)),"")))</f>
        <v>0.68469999999999998</v>
      </c>
      <c r="T410" s="195">
        <f>IF(IFERROR(INDEX('Both teabags AfterDry'!$D$1:$D$839,MATCH(I410,'Both teabags AfterDry'!$A$1:$A$839,0)),"")="N.A","",(IFERROR(INDEX('Both teabags AfterDry'!$D$1:$D$839,MATCH(I410,'Both teabags AfterDry'!$A$1:$A$839,0)),"")))</f>
        <v>1.6099000000000001</v>
      </c>
      <c r="U410" s="195">
        <f t="shared" si="67"/>
        <v>0.53410000000000002</v>
      </c>
      <c r="V410" s="195">
        <f t="shared" si="67"/>
        <v>1.4593</v>
      </c>
      <c r="W410" s="195">
        <f>IFERROR(INDEX('Ashed teabags dry'!$K$2:$K$821,MATCH(H410,'Ashed teabags dry'!$A$2:$A$821,0)),"")</f>
        <v>14.840499306518451</v>
      </c>
      <c r="X410" s="195">
        <f>IFERROR(INDEX('Ashed teabags dry'!$K$2:$K$821,MATCH(I410,'Ashed teabags dry'!$A$2:$A$821,0)),"")</f>
        <v>9.1992373689235691</v>
      </c>
      <c r="Y410" s="195">
        <f t="shared" si="62"/>
        <v>0.45483689320388498</v>
      </c>
      <c r="Z410" s="195">
        <f t="shared" si="62"/>
        <v>1.3250555290752983</v>
      </c>
      <c r="AA410" s="195">
        <f t="shared" si="68"/>
        <v>0.72636192688334789</v>
      </c>
      <c r="AB410" s="195">
        <f t="shared" si="69"/>
        <v>0.47618976679288372</v>
      </c>
      <c r="AC410" s="195">
        <f t="shared" si="63"/>
        <v>0.69459829103473514</v>
      </c>
      <c r="AD410">
        <f t="shared" si="64"/>
        <v>69</v>
      </c>
      <c r="AE410" s="195">
        <f t="shared" si="70"/>
        <v>0.13733737899839915</v>
      </c>
      <c r="AF410" s="195">
        <f t="shared" si="71"/>
        <v>1.4860769342735227E-2</v>
      </c>
      <c r="AG410" s="255" t="str">
        <f>IF(ISNUMBER(SEARCH("C", 'Dry_Litterbag Placem_Collection'!AD117)),"YES","NO")</f>
        <v>NO</v>
      </c>
      <c r="AH410" s="255" t="str">
        <f>IF(ISNUMBER(SEARCH("H", 'Dry_Litterbag Placem_Collection'!AD117)),"YES","NO")</f>
        <v>NO</v>
      </c>
      <c r="AI410" s="255" t="str">
        <f>IF(ISNUMBER(SEARCH("R", 'Dry_Litterbag Placem_Collection'!AD117)),"YES","NO")</f>
        <v>NO</v>
      </c>
      <c r="AJ410" s="255" t="str">
        <f>IF(ISNUMBER(SEARCH("C", 'Dry_Litterbag Placem_Collection'!AC117)),"YES","NO")</f>
        <v>NO</v>
      </c>
      <c r="AK410" s="255" t="str">
        <f>IF(ISNUMBER(SEARCH("H", 'Dry_Litterbag Placem_Collection'!AC117)),"YES","NO")</f>
        <v>NO</v>
      </c>
      <c r="AL410" s="255" t="str">
        <f>IF(ISNUMBER(SEARCH("R", 'Dry_Litterbag Placem_Collection'!AC117)),"YES","NO")</f>
        <v>NO</v>
      </c>
      <c r="AR410" t="s">
        <v>1177</v>
      </c>
      <c r="AT410" t="s">
        <v>468</v>
      </c>
    </row>
    <row r="411" spans="2:46">
      <c r="B411" t="str">
        <f>'Final data_for_R_analysis_Dryse'!A557</f>
        <v>Dry</v>
      </c>
      <c r="C411" s="263">
        <f>'Final data_for_R_analysis_Dryse'!B557</f>
        <v>116</v>
      </c>
      <c r="D411" t="s">
        <v>3844</v>
      </c>
      <c r="E411" t="s">
        <v>25</v>
      </c>
      <c r="F411" s="387">
        <v>4</v>
      </c>
      <c r="G411" s="16">
        <f>'Dry_Litterbag Placem_Collection'!E118</f>
        <v>42939</v>
      </c>
      <c r="H411" s="92" t="str">
        <f>'Final data_for_R_analysis_Dryse'!J557</f>
        <v>G206</v>
      </c>
      <c r="I411" t="str">
        <f>'Final data_for_R_analysis_Dryse'!J777</f>
        <v>R638</v>
      </c>
      <c r="J411">
        <f>IFERROR(INDEX('Green_rooibos initial weight'!$C$5:$C$1749,MATCH(H411, 'Green_rooibos initial weight'!$A$5:$A$1749,0)),"")</f>
        <v>2.0249999999999999</v>
      </c>
      <c r="K411">
        <f>IFERROR(INDEX('Green_rooibos initial weight'!$C$5:$C$1749,MATCH(I411, 'Green_rooibos initial weight'!$A$5:$A$1749,0)),"")</f>
        <v>2.1659999999999999</v>
      </c>
      <c r="L411" s="195">
        <f t="shared" si="65"/>
        <v>1.7751999999999999</v>
      </c>
      <c r="M411" s="240">
        <f>AVERAGE(Ashed_controlls!$K$1:$K$11)</f>
        <v>5.5147656768714146</v>
      </c>
      <c r="N411" s="195">
        <f t="shared" si="60"/>
        <v>1.6773018797041785</v>
      </c>
      <c r="O411" s="195">
        <f t="shared" si="66"/>
        <v>1.9161999999999999</v>
      </c>
      <c r="P411" s="240">
        <f>AVERAGE(Ashed_controlls!$K$12:$K$14)</f>
        <v>2.2816647271287041</v>
      </c>
      <c r="Q411" s="195">
        <f t="shared" si="61"/>
        <v>1.8724787404987597</v>
      </c>
      <c r="R411" s="16">
        <f>IF('Dry_Litterbag Placem_Collection'!G118="N.A","",'Dry_Litterbag Placem_Collection'!G118)</f>
        <v>43008</v>
      </c>
      <c r="S411" s="195">
        <f>IF(IFERROR(INDEX('Both teabags AfterDry'!$D$1:$D$839,MATCH(H411,'Both teabags AfterDry'!$A$1:$A$839,0)),"")="N.A","",(IFERROR(INDEX('Both teabags AfterDry'!$D$1:$D$839,MATCH(H411,'Both teabags AfterDry'!$A$1:$A$839,0)),"")))</f>
        <v>0.75260000000000005</v>
      </c>
      <c r="T411" s="195">
        <f>IF(IFERROR(INDEX('Both teabags AfterDry'!$D$1:$D$839,MATCH(I411,'Both teabags AfterDry'!$A$1:$A$839,0)),"")="N.A","",(IFERROR(INDEX('Both teabags AfterDry'!$D$1:$D$839,MATCH(I411,'Both teabags AfterDry'!$A$1:$A$839,0)),"")))</f>
        <v>1.5814999999999999</v>
      </c>
      <c r="U411" s="195">
        <f t="shared" si="67"/>
        <v>0.60200000000000009</v>
      </c>
      <c r="V411" s="195">
        <f t="shared" si="67"/>
        <v>1.4308999999999998</v>
      </c>
      <c r="W411" s="195">
        <f>IFERROR(INDEX('Ashed teabags dry'!$K$2:$K$821,MATCH(H411,'Ashed teabags dry'!$A$2:$A$821,0)),"")</f>
        <v>20.407259849490842</v>
      </c>
      <c r="X411" s="195">
        <f>IFERROR(INDEX('Ashed teabags dry'!$K$2:$K$821,MATCH(I411,'Ashed teabags dry'!$A$2:$A$821,0)),"")</f>
        <v>7.3855913004079357</v>
      </c>
      <c r="Y411" s="195">
        <f t="shared" si="62"/>
        <v>0.47914829570606521</v>
      </c>
      <c r="Z411" s="195">
        <f t="shared" si="62"/>
        <v>1.3252195740824626</v>
      </c>
      <c r="AA411" s="195">
        <f t="shared" si="68"/>
        <v>0.71433389451005003</v>
      </c>
      <c r="AB411" s="195">
        <f t="shared" si="69"/>
        <v>0.46830440590207562</v>
      </c>
      <c r="AC411" s="195">
        <f t="shared" si="63"/>
        <v>0.7077354446916031</v>
      </c>
      <c r="AD411">
        <f t="shared" si="64"/>
        <v>69</v>
      </c>
      <c r="AE411" s="195">
        <f t="shared" si="70"/>
        <v>0.15162245307595001</v>
      </c>
      <c r="AF411" s="195">
        <f t="shared" si="71"/>
        <v>1.4179827988392645E-2</v>
      </c>
      <c r="AG411" s="255" t="str">
        <f>IF(ISNUMBER(SEARCH("C", 'Dry_Litterbag Placem_Collection'!AD118)),"YES","NO")</f>
        <v>NO</v>
      </c>
      <c r="AH411" s="255" t="str">
        <f>IF(ISNUMBER(SEARCH("H", 'Dry_Litterbag Placem_Collection'!AD118)),"YES","NO")</f>
        <v>NO</v>
      </c>
      <c r="AI411" s="255" t="str">
        <f>IF(ISNUMBER(SEARCH("R", 'Dry_Litterbag Placem_Collection'!AD118)),"YES","NO")</f>
        <v>NO</v>
      </c>
      <c r="AJ411" s="255" t="str">
        <f>IF(ISNUMBER(SEARCH("C", 'Dry_Litterbag Placem_Collection'!AC118)),"YES","NO")</f>
        <v>NO</v>
      </c>
      <c r="AK411" s="255" t="str">
        <f>IF(ISNUMBER(SEARCH("H", 'Dry_Litterbag Placem_Collection'!AC118)),"YES","NO")</f>
        <v>NO</v>
      </c>
      <c r="AL411" s="255" t="str">
        <f>IF(ISNUMBER(SEARCH("R", 'Dry_Litterbag Placem_Collection'!AC118)),"YES","NO")</f>
        <v>NO</v>
      </c>
      <c r="AR411" t="s">
        <v>1844</v>
      </c>
      <c r="AT411" t="s">
        <v>501</v>
      </c>
    </row>
    <row r="412" spans="2:46">
      <c r="B412" t="str">
        <f>'Final data_for_R_analysis_Dryse'!A558</f>
        <v>Dry</v>
      </c>
      <c r="C412" s="263">
        <f>'Final data_for_R_analysis_Dryse'!B558</f>
        <v>117</v>
      </c>
      <c r="D412" t="s">
        <v>3844</v>
      </c>
      <c r="E412" t="s">
        <v>25</v>
      </c>
      <c r="F412" s="387">
        <v>5</v>
      </c>
      <c r="G412" s="16">
        <f>'Dry_Litterbag Placem_Collection'!E119</f>
        <v>42939</v>
      </c>
      <c r="H412" s="92" t="str">
        <f>'Final data_for_R_analysis_Dryse'!J558</f>
        <v>G163</v>
      </c>
      <c r="I412" t="str">
        <f>'Final data_for_R_analysis_Dryse'!J778</f>
        <v>R719</v>
      </c>
      <c r="J412">
        <f>IFERROR(INDEX('Green_rooibos initial weight'!$C$5:$C$1749,MATCH(H412, 'Green_rooibos initial weight'!$A$5:$A$1749,0)),"")</f>
        <v>2.04</v>
      </c>
      <c r="K412">
        <f>IFERROR(INDEX('Green_rooibos initial weight'!$C$5:$C$1749,MATCH(I412, 'Green_rooibos initial weight'!$A$5:$A$1749,0)),"")</f>
        <v>2.2050000000000001</v>
      </c>
      <c r="L412" s="195">
        <f t="shared" si="65"/>
        <v>1.7902</v>
      </c>
      <c r="M412" s="240">
        <f>AVERAGE(Ashed_controlls!$K$1:$K$11)</f>
        <v>5.5147656768714146</v>
      </c>
      <c r="N412" s="195">
        <f t="shared" si="60"/>
        <v>1.691474664852648</v>
      </c>
      <c r="O412" s="195">
        <f t="shared" si="66"/>
        <v>1.9552</v>
      </c>
      <c r="P412" s="240">
        <f>AVERAGE(Ashed_controlls!$K$12:$K$14)</f>
        <v>2.2816647271287041</v>
      </c>
      <c r="Q412" s="195">
        <f t="shared" si="61"/>
        <v>1.9105888912551796</v>
      </c>
      <c r="R412" s="16">
        <f>IF('Dry_Litterbag Placem_Collection'!G119="N.A","",'Dry_Litterbag Placem_Collection'!G119)</f>
        <v>43008</v>
      </c>
      <c r="S412" s="195" t="str">
        <f>IF(IFERROR(INDEX('Both teabags AfterDry'!$D$1:$D$839,MATCH(H412,'Both teabags AfterDry'!$A$1:$A$839,0)),"")="N.A","",(IFERROR(INDEX('Both teabags AfterDry'!$D$1:$D$839,MATCH(H412,'Both teabags AfterDry'!$A$1:$A$839,0)),"")))</f>
        <v/>
      </c>
      <c r="T412" s="195" t="str">
        <f>IF(IFERROR(INDEX('Both teabags AfterDry'!$D$1:$D$839,MATCH(I412,'Both teabags AfterDry'!$A$1:$A$839,0)),"")="N.A","",(IFERROR(INDEX('Both teabags AfterDry'!$D$1:$D$839,MATCH(I412,'Both teabags AfterDry'!$A$1:$A$839,0)),"")))</f>
        <v/>
      </c>
      <c r="U412" s="195" t="str">
        <f t="shared" si="67"/>
        <v/>
      </c>
      <c r="V412" s="195" t="str">
        <f t="shared" si="67"/>
        <v/>
      </c>
      <c r="W412" s="195" t="str">
        <f>IFERROR(INDEX('Ashed teabags dry'!$K$2:$K$821,MATCH(H412,'Ashed teabags dry'!$A$2:$A$821,0)),"")</f>
        <v/>
      </c>
      <c r="X412" s="195" t="str">
        <f>IFERROR(INDEX('Ashed teabags dry'!$K$2:$K$821,MATCH(I412,'Ashed teabags dry'!$A$2:$A$821,0)),"")</f>
        <v/>
      </c>
      <c r="Y412" s="195" t="str">
        <f t="shared" si="62"/>
        <v/>
      </c>
      <c r="Z412" s="195" t="str">
        <f t="shared" si="62"/>
        <v/>
      </c>
      <c r="AA412" s="195" t="str">
        <f t="shared" si="68"/>
        <v/>
      </c>
      <c r="AB412" s="195" t="str">
        <f t="shared" si="69"/>
        <v/>
      </c>
      <c r="AC412" s="195" t="str">
        <f t="shared" si="63"/>
        <v/>
      </c>
      <c r="AD412">
        <f t="shared" si="64"/>
        <v>69</v>
      </c>
      <c r="AE412" s="195" t="str">
        <f t="shared" si="70"/>
        <v/>
      </c>
      <c r="AF412" s="195" t="str">
        <f t="shared" si="71"/>
        <v/>
      </c>
      <c r="AG412" s="255" t="str">
        <f>IF(ISNUMBER(SEARCH("C", 'Dry_Litterbag Placem_Collection'!AD119)),"YES","NO")</f>
        <v>NO</v>
      </c>
      <c r="AH412" s="255" t="str">
        <f>IF(ISNUMBER(SEARCH("H", 'Dry_Litterbag Placem_Collection'!AD119)),"YES","NO")</f>
        <v>NO</v>
      </c>
      <c r="AI412" s="255" t="str">
        <f>IF(ISNUMBER(SEARCH("R", 'Dry_Litterbag Placem_Collection'!AD119)),"YES","NO")</f>
        <v>NO</v>
      </c>
      <c r="AJ412" s="255" t="str">
        <f>IF(ISNUMBER(SEARCH("C", 'Dry_Litterbag Placem_Collection'!AC119)),"YES","NO")</f>
        <v>NO</v>
      </c>
      <c r="AK412" s="255" t="str">
        <f>IF(ISNUMBER(SEARCH("H", 'Dry_Litterbag Placem_Collection'!AC119)),"YES","NO")</f>
        <v>NO</v>
      </c>
      <c r="AL412" s="255" t="str">
        <f>IF(ISNUMBER(SEARCH("R", 'Dry_Litterbag Placem_Collection'!AC119)),"YES","NO")</f>
        <v>NO</v>
      </c>
      <c r="AR412" t="s">
        <v>1887</v>
      </c>
      <c r="AT412" t="s">
        <v>420</v>
      </c>
    </row>
    <row r="413" spans="2:46">
      <c r="B413" t="str">
        <f>'Final data_for_R_analysis_Dryse'!A559</f>
        <v>Dry</v>
      </c>
      <c r="C413" s="263">
        <f>'Final data_for_R_analysis_Dryse'!B559</f>
        <v>118</v>
      </c>
      <c r="D413" t="s">
        <v>3844</v>
      </c>
      <c r="E413" t="s">
        <v>25</v>
      </c>
      <c r="F413" s="387">
        <v>6</v>
      </c>
      <c r="G413" s="16">
        <f>'Dry_Litterbag Placem_Collection'!E120</f>
        <v>42939</v>
      </c>
      <c r="H413" s="92" t="str">
        <f>'Final data_for_R_analysis_Dryse'!J559</f>
        <v>G83</v>
      </c>
      <c r="I413" t="str">
        <f>'Final data_for_R_analysis_Dryse'!J779</f>
        <v>R173</v>
      </c>
      <c r="J413">
        <f>IFERROR(INDEX('Green_rooibos initial weight'!$C$5:$C$1749,MATCH(H413, 'Green_rooibos initial weight'!$A$5:$A$1749,0)),"")</f>
        <v>2.0209999999999999</v>
      </c>
      <c r="K413">
        <f>IFERROR(INDEX('Green_rooibos initial weight'!$C$5:$C$1749,MATCH(I413, 'Green_rooibos initial weight'!$A$5:$A$1749,0)),"")</f>
        <v>2.2040000000000002</v>
      </c>
      <c r="L413" s="195">
        <f t="shared" si="65"/>
        <v>1.7711999999999999</v>
      </c>
      <c r="M413" s="240">
        <f>AVERAGE(Ashed_controlls!$K$1:$K$11)</f>
        <v>5.5147656768714146</v>
      </c>
      <c r="N413" s="195">
        <f t="shared" si="60"/>
        <v>1.6735224703312535</v>
      </c>
      <c r="O413" s="195">
        <f t="shared" si="66"/>
        <v>1.9542000000000002</v>
      </c>
      <c r="P413" s="240">
        <f>AVERAGE(Ashed_controlls!$K$12:$K$14)</f>
        <v>2.2816647271287041</v>
      </c>
      <c r="Q413" s="195">
        <f t="shared" si="61"/>
        <v>1.909611707902451</v>
      </c>
      <c r="R413" s="16">
        <f>IF('Dry_Litterbag Placem_Collection'!G120="N.A","",'Dry_Litterbag Placem_Collection'!G120)</f>
        <v>43008</v>
      </c>
      <c r="S413" s="195">
        <f>IF(IFERROR(INDEX('Both teabags AfterDry'!$D$1:$D$839,MATCH(H413,'Both teabags AfterDry'!$A$1:$A$839,0)),"")="N.A","",(IFERROR(INDEX('Both teabags AfterDry'!$D$1:$D$839,MATCH(H413,'Both teabags AfterDry'!$A$1:$A$839,0)),"")))</f>
        <v>0.81779999999999997</v>
      </c>
      <c r="T413" s="195">
        <f>IF(IFERROR(INDEX('Both teabags AfterDry'!$D$1:$D$839,MATCH(I413,'Both teabags AfterDry'!$A$1:$A$839,0)),"")="N.A","",(IFERROR(INDEX('Both teabags AfterDry'!$D$1:$D$839,MATCH(I413,'Both teabags AfterDry'!$A$1:$A$839,0)),"")))</f>
        <v>1.5261</v>
      </c>
      <c r="U413" s="195">
        <f t="shared" si="67"/>
        <v>0.66720000000000002</v>
      </c>
      <c r="V413" s="195">
        <f t="shared" si="67"/>
        <v>1.3754999999999999</v>
      </c>
      <c r="W413" s="195">
        <f>IFERROR(INDEX('Ashed teabags dry'!$K$2:$K$821,MATCH(H413,'Ashed teabags dry'!$A$2:$A$821,0)),"")</f>
        <v>31.832094446874049</v>
      </c>
      <c r="X413" s="195">
        <f>IFERROR(INDEX('Ashed teabags dry'!$K$2:$K$821,MATCH(I413,'Ashed teabags dry'!$A$2:$A$821,0)),"")</f>
        <v>8.9977728285078307</v>
      </c>
      <c r="Y413" s="195">
        <f t="shared" si="62"/>
        <v>0.45481626585045637</v>
      </c>
      <c r="Z413" s="195">
        <f t="shared" si="62"/>
        <v>1.2517356347438748</v>
      </c>
      <c r="AA413" s="195">
        <f t="shared" si="68"/>
        <v>0.72822816907834464</v>
      </c>
      <c r="AB413" s="195">
        <f t="shared" si="69"/>
        <v>0.4774132414860407</v>
      </c>
      <c r="AC413" s="195">
        <f t="shared" si="63"/>
        <v>0.65549222889861825</v>
      </c>
      <c r="AD413">
        <f t="shared" si="64"/>
        <v>69</v>
      </c>
      <c r="AE413" s="195">
        <f t="shared" si="70"/>
        <v>0.13512093933688285</v>
      </c>
      <c r="AF413" s="195">
        <f t="shared" si="71"/>
        <v>1.8532526429814497E-2</v>
      </c>
      <c r="AG413" s="255" t="str">
        <f>IF(ISNUMBER(SEARCH("C", 'Dry_Litterbag Placem_Collection'!AD120)),"YES","NO")</f>
        <v>NO</v>
      </c>
      <c r="AH413" s="255" t="str">
        <f>IF(ISNUMBER(SEARCH("H", 'Dry_Litterbag Placem_Collection'!AD120)),"YES","NO")</f>
        <v>NO</v>
      </c>
      <c r="AI413" s="255" t="str">
        <f>IF(ISNUMBER(SEARCH("R", 'Dry_Litterbag Placem_Collection'!AD120)),"YES","NO")</f>
        <v>NO</v>
      </c>
      <c r="AJ413" s="255" t="str">
        <f>IF(ISNUMBER(SEARCH("C", 'Dry_Litterbag Placem_Collection'!AC120)),"YES","NO")</f>
        <v>NO</v>
      </c>
      <c r="AK413" s="255" t="str">
        <f>IF(ISNUMBER(SEARCH("H", 'Dry_Litterbag Placem_Collection'!AC120)),"YES","NO")</f>
        <v>NO</v>
      </c>
      <c r="AL413" s="255" t="str">
        <f>IF(ISNUMBER(SEARCH("R", 'Dry_Litterbag Placem_Collection'!AC120)),"YES","NO")</f>
        <v>NO</v>
      </c>
      <c r="AR413" t="s">
        <v>1967</v>
      </c>
      <c r="AT413" t="s">
        <v>968</v>
      </c>
    </row>
    <row r="414" spans="2:46">
      <c r="B414" t="str">
        <f>'Final data_for_R_analysis_Dryse'!A560</f>
        <v>Dry</v>
      </c>
      <c r="C414" s="263">
        <f>'Final data_for_R_analysis_Dryse'!B560</f>
        <v>119</v>
      </c>
      <c r="D414" t="s">
        <v>3844</v>
      </c>
      <c r="E414" t="s">
        <v>25</v>
      </c>
      <c r="F414" s="387">
        <v>7</v>
      </c>
      <c r="G414" s="16">
        <f>'Dry_Litterbag Placem_Collection'!E121</f>
        <v>42939</v>
      </c>
      <c r="H414" s="92" t="str">
        <f>'Final data_for_R_analysis_Dryse'!J560</f>
        <v>G159</v>
      </c>
      <c r="I414" t="str">
        <f>'Final data_for_R_analysis_Dryse'!J780</f>
        <v>R373</v>
      </c>
      <c r="J414">
        <f>IFERROR(INDEX('Green_rooibos initial weight'!$C$5:$C$1749,MATCH(H414, 'Green_rooibos initial weight'!$A$5:$A$1749,0)),"")</f>
        <v>2.1419999999999999</v>
      </c>
      <c r="K414">
        <f>IFERROR(INDEX('Green_rooibos initial weight'!$C$5:$C$1749,MATCH(I414, 'Green_rooibos initial weight'!$A$5:$A$1749,0)),"")</f>
        <v>2.226</v>
      </c>
      <c r="L414" s="195">
        <f t="shared" si="65"/>
        <v>1.8921999999999999</v>
      </c>
      <c r="M414" s="240">
        <f>AVERAGE(Ashed_controlls!$K$1:$K$11)</f>
        <v>5.5147656768714146</v>
      </c>
      <c r="N414" s="195">
        <f t="shared" si="60"/>
        <v>1.7878496038622389</v>
      </c>
      <c r="O414" s="195">
        <f t="shared" si="66"/>
        <v>1.9762</v>
      </c>
      <c r="P414" s="240">
        <f>AVERAGE(Ashed_controlls!$K$12:$K$14)</f>
        <v>2.2816647271287041</v>
      </c>
      <c r="Q414" s="195">
        <f t="shared" si="61"/>
        <v>1.9311097416624825</v>
      </c>
      <c r="R414" s="16">
        <f>IF('Dry_Litterbag Placem_Collection'!G121="N.A","",'Dry_Litterbag Placem_Collection'!G121)</f>
        <v>43008</v>
      </c>
      <c r="S414" s="195">
        <f>IF(IFERROR(INDEX('Both teabags AfterDry'!$D$1:$D$839,MATCH(H414,'Both teabags AfterDry'!$A$1:$A$839,0)),"")="N.A","",(IFERROR(INDEX('Both teabags AfterDry'!$D$1:$D$839,MATCH(H414,'Both teabags AfterDry'!$A$1:$A$839,0)),"")))</f>
        <v>0.76990000000000003</v>
      </c>
      <c r="T414" s="195">
        <f>IF(IFERROR(INDEX('Both teabags AfterDry'!$D$1:$D$839,MATCH(I414,'Both teabags AfterDry'!$A$1:$A$839,0)),"")="N.A","",(IFERROR(INDEX('Both teabags AfterDry'!$D$1:$D$839,MATCH(I414,'Both teabags AfterDry'!$A$1:$A$839,0)),"")))</f>
        <v>1.5419</v>
      </c>
      <c r="U414" s="195">
        <f t="shared" si="67"/>
        <v>0.61929999999999996</v>
      </c>
      <c r="V414" s="195">
        <f t="shared" si="67"/>
        <v>1.3913</v>
      </c>
      <c r="W414" s="195">
        <f>IFERROR(INDEX('Ashed teabags dry'!$K$2:$K$821,MATCH(H414,'Ashed teabags dry'!$A$2:$A$821,0)),"")</f>
        <v>17.673992673993002</v>
      </c>
      <c r="X414" s="195">
        <f>IFERROR(INDEX('Ashed teabags dry'!$K$2:$K$821,MATCH(I414,'Ashed teabags dry'!$A$2:$A$821,0)),"")</f>
        <v>6.2859884836854203</v>
      </c>
      <c r="Y414" s="195">
        <f t="shared" si="62"/>
        <v>0.50984496336996132</v>
      </c>
      <c r="Z414" s="195">
        <f t="shared" si="62"/>
        <v>1.3038430422264846</v>
      </c>
      <c r="AA414" s="195">
        <f t="shared" si="68"/>
        <v>0.71482782317452309</v>
      </c>
      <c r="AB414" s="195">
        <f t="shared" si="69"/>
        <v>0.46862821661797721</v>
      </c>
      <c r="AC414" s="195">
        <f t="shared" si="63"/>
        <v>0.67517811862106436</v>
      </c>
      <c r="AD414">
        <f t="shared" si="64"/>
        <v>69</v>
      </c>
      <c r="AE414" s="195">
        <f t="shared" si="70"/>
        <v>0.15103583946018628</v>
      </c>
      <c r="AF414" s="195">
        <f t="shared" si="71"/>
        <v>1.7120902011020598E-2</v>
      </c>
      <c r="AG414" s="255" t="str">
        <f>IF(ISNUMBER(SEARCH("C", 'Dry_Litterbag Placem_Collection'!AD121)),"YES","NO")</f>
        <v>NO</v>
      </c>
      <c r="AH414" s="255" t="str">
        <f>IF(ISNUMBER(SEARCH("H", 'Dry_Litterbag Placem_Collection'!AD121)),"YES","NO")</f>
        <v>NO</v>
      </c>
      <c r="AI414" s="255" t="str">
        <f>IF(ISNUMBER(SEARCH("R", 'Dry_Litterbag Placem_Collection'!AD121)),"YES","NO")</f>
        <v>NO</v>
      </c>
      <c r="AJ414" s="255" t="str">
        <f>IF(ISNUMBER(SEARCH("C", 'Dry_Litterbag Placem_Collection'!AC121)),"YES","NO")</f>
        <v>NO</v>
      </c>
      <c r="AK414" s="255" t="str">
        <f>IF(ISNUMBER(SEARCH("H", 'Dry_Litterbag Placem_Collection'!AC121)),"YES","NO")</f>
        <v>NO</v>
      </c>
      <c r="AL414" s="255" t="str">
        <f>IF(ISNUMBER(SEARCH("R", 'Dry_Litterbag Placem_Collection'!AC121)),"YES","NO")</f>
        <v>NO</v>
      </c>
      <c r="AR414" t="s">
        <v>1891</v>
      </c>
      <c r="AT414" t="s">
        <v>768</v>
      </c>
    </row>
    <row r="415" spans="2:46">
      <c r="B415" t="str">
        <f>'Final data_for_R_analysis_Dryse'!A561</f>
        <v>Dry</v>
      </c>
      <c r="C415" s="263">
        <f>'Final data_for_R_analysis_Dryse'!B561</f>
        <v>120</v>
      </c>
      <c r="D415" t="s">
        <v>3844</v>
      </c>
      <c r="E415" t="s">
        <v>25</v>
      </c>
      <c r="F415" s="387">
        <v>8</v>
      </c>
      <c r="G415" s="16">
        <f>'Dry_Litterbag Placem_Collection'!E122</f>
        <v>0</v>
      </c>
      <c r="H415" s="92" t="str">
        <f>'Final data_for_R_analysis_Dryse'!J561</f>
        <v/>
      </c>
      <c r="I415" t="str">
        <f>'Final data_for_R_analysis_Dryse'!J781</f>
        <v/>
      </c>
      <c r="J415" t="str">
        <f>IFERROR(INDEX('Green_rooibos initial weight'!$C$5:$C$1749,MATCH(H415, 'Green_rooibos initial weight'!$A$5:$A$1749,0)),"")</f>
        <v/>
      </c>
      <c r="K415" t="str">
        <f>IFERROR(INDEX('Green_rooibos initial weight'!$C$5:$C$1749,MATCH(I415, 'Green_rooibos initial weight'!$A$5:$A$1749,0)),"")</f>
        <v/>
      </c>
      <c r="L415" s="195" t="str">
        <f t="shared" si="65"/>
        <v/>
      </c>
      <c r="M415" s="240">
        <f>AVERAGE(Ashed_controlls!$K$1:$K$11)</f>
        <v>5.5147656768714146</v>
      </c>
      <c r="N415" s="195" t="str">
        <f t="shared" si="60"/>
        <v/>
      </c>
      <c r="O415" s="195" t="str">
        <f t="shared" si="66"/>
        <v/>
      </c>
      <c r="P415" s="240">
        <f>AVERAGE(Ashed_controlls!$K$12:$K$14)</f>
        <v>2.2816647271287041</v>
      </c>
      <c r="Q415" s="195" t="str">
        <f t="shared" si="61"/>
        <v/>
      </c>
      <c r="R415" s="16">
        <f>IF('Dry_Litterbag Placem_Collection'!G122="N.A","",'Dry_Litterbag Placem_Collection'!G122)</f>
        <v>0</v>
      </c>
      <c r="S415" s="195" t="str">
        <f>IF(IFERROR(INDEX('Both teabags AfterDry'!$D$1:$D$839,MATCH(H415,'Both teabags AfterDry'!$A$1:$A$839,0)),"")="N.A","",(IFERROR(INDEX('Both teabags AfterDry'!$D$1:$D$839,MATCH(H415,'Both teabags AfterDry'!$A$1:$A$839,0)),"")))</f>
        <v/>
      </c>
      <c r="T415" s="195" t="str">
        <f>IF(IFERROR(INDEX('Both teabags AfterDry'!$D$1:$D$839,MATCH(I415,'Both teabags AfterDry'!$A$1:$A$839,0)),"")="N.A","",(IFERROR(INDEX('Both teabags AfterDry'!$D$1:$D$839,MATCH(I415,'Both teabags AfterDry'!$A$1:$A$839,0)),"")))</f>
        <v/>
      </c>
      <c r="U415" s="195" t="str">
        <f t="shared" si="67"/>
        <v/>
      </c>
      <c r="V415" s="195" t="str">
        <f t="shared" si="67"/>
        <v/>
      </c>
      <c r="W415" s="195" t="str">
        <f>IFERROR(INDEX('Ashed teabags dry'!$K$2:$K$821,MATCH(H415,'Ashed teabags dry'!$A$2:$A$821,0)),"")</f>
        <v/>
      </c>
      <c r="X415" s="195" t="str">
        <f>IFERROR(INDEX('Ashed teabags dry'!$K$2:$K$821,MATCH(I415,'Ashed teabags dry'!$A$2:$A$821,0)),"")</f>
        <v/>
      </c>
      <c r="Y415" s="195" t="str">
        <f t="shared" si="62"/>
        <v/>
      </c>
      <c r="Z415" s="195" t="str">
        <f t="shared" si="62"/>
        <v/>
      </c>
      <c r="AA415" s="195" t="str">
        <f t="shared" si="68"/>
        <v/>
      </c>
      <c r="AB415" s="195" t="str">
        <f t="shared" si="69"/>
        <v/>
      </c>
      <c r="AC415" s="195" t="str">
        <f t="shared" si="63"/>
        <v/>
      </c>
      <c r="AD415" t="str">
        <f t="shared" si="64"/>
        <v/>
      </c>
      <c r="AE415" s="195" t="str">
        <f t="shared" si="70"/>
        <v/>
      </c>
      <c r="AF415" s="195" t="str">
        <f t="shared" si="71"/>
        <v/>
      </c>
      <c r="AG415" s="255" t="str">
        <f>IF(ISNUMBER(SEARCH("C", 'Dry_Litterbag Placem_Collection'!AD122)),"YES","NO")</f>
        <v>NO</v>
      </c>
      <c r="AH415" s="255" t="str">
        <f>IF(ISNUMBER(SEARCH("H", 'Dry_Litterbag Placem_Collection'!AD122)),"YES","NO")</f>
        <v>NO</v>
      </c>
      <c r="AI415" s="255" t="str">
        <f>IF(ISNUMBER(SEARCH("R", 'Dry_Litterbag Placem_Collection'!AD122)),"YES","NO")</f>
        <v>NO</v>
      </c>
      <c r="AJ415" s="255" t="str">
        <f>IF(ISNUMBER(SEARCH("C", 'Dry_Litterbag Placem_Collection'!AC122)),"YES","NO")</f>
        <v>NO</v>
      </c>
      <c r="AK415" s="255" t="str">
        <f>IF(ISNUMBER(SEARCH("H", 'Dry_Litterbag Placem_Collection'!AC122)),"YES","NO")</f>
        <v>NO</v>
      </c>
      <c r="AL415" s="255" t="str">
        <f>IF(ISNUMBER(SEARCH("R", 'Dry_Litterbag Placem_Collection'!AC122)),"YES","NO")</f>
        <v>NO</v>
      </c>
      <c r="AR415" t="s">
        <v>3654</v>
      </c>
      <c r="AT415" t="s">
        <v>3654</v>
      </c>
    </row>
    <row r="416" spans="2:46">
      <c r="B416" t="str">
        <f>'Final data_for_R_analysis_Dryse'!A562</f>
        <v>Dry</v>
      </c>
      <c r="C416" s="263">
        <f>'Final data_for_R_analysis_Dryse'!B562</f>
        <v>121</v>
      </c>
      <c r="D416" t="s">
        <v>3845</v>
      </c>
      <c r="E416" t="s">
        <v>25</v>
      </c>
      <c r="F416" s="386">
        <v>1</v>
      </c>
      <c r="G416" s="16">
        <f>'Dry_Litterbag Placem_Collection'!E123</f>
        <v>42939</v>
      </c>
      <c r="H416" s="92" t="str">
        <f>'Final data_for_R_analysis_Dryse'!J562</f>
        <v>G16</v>
      </c>
      <c r="I416" t="str">
        <f>'Final data_for_R_analysis_Dryse'!J782</f>
        <v>R374</v>
      </c>
      <c r="J416">
        <f>IFERROR(INDEX('Green_rooibos initial weight'!$C$5:$C$1749,MATCH(H416, 'Green_rooibos initial weight'!$A$5:$A$1749,0)),"")</f>
        <v>1.9410000000000001</v>
      </c>
      <c r="K416">
        <f>IFERROR(INDEX('Green_rooibos initial weight'!$C$5:$C$1749,MATCH(I416, 'Green_rooibos initial weight'!$A$5:$A$1749,0)),"")</f>
        <v>2.2090000000000001</v>
      </c>
      <c r="L416" s="195">
        <f t="shared" si="65"/>
        <v>1.6912</v>
      </c>
      <c r="M416" s="240">
        <f>AVERAGE(Ashed_controlls!$K$1:$K$11)</f>
        <v>5.5147656768714146</v>
      </c>
      <c r="N416" s="195">
        <f t="shared" si="60"/>
        <v>1.5979342828727507</v>
      </c>
      <c r="O416" s="195">
        <f t="shared" si="66"/>
        <v>1.9592000000000001</v>
      </c>
      <c r="P416" s="240">
        <f>AVERAGE(Ashed_controlls!$K$12:$K$14)</f>
        <v>2.2816647271287041</v>
      </c>
      <c r="Q416" s="195">
        <f t="shared" si="61"/>
        <v>1.9144976246660945</v>
      </c>
      <c r="R416" s="16">
        <f>IF('Dry_Litterbag Placem_Collection'!G123="N.A","",'Dry_Litterbag Placem_Collection'!G123)</f>
        <v>43008</v>
      </c>
      <c r="S416" s="195" t="str">
        <f>IF(IFERROR(INDEX('Both teabags AfterDry'!$D$1:$D$839,MATCH(H416,'Both teabags AfterDry'!$A$1:$A$839,0)),"")="N.A","",(IFERROR(INDEX('Both teabags AfterDry'!$D$1:$D$839,MATCH(H416,'Both teabags AfterDry'!$A$1:$A$839,0)),"")))</f>
        <v/>
      </c>
      <c r="T416" s="195" t="str">
        <f>IF(IFERROR(INDEX('Both teabags AfterDry'!$D$1:$D$839,MATCH(I416,'Both teabags AfterDry'!$A$1:$A$839,0)),"")="N.A","",(IFERROR(INDEX('Both teabags AfterDry'!$D$1:$D$839,MATCH(I416,'Both teabags AfterDry'!$A$1:$A$839,0)),"")))</f>
        <v/>
      </c>
      <c r="U416" s="195" t="str">
        <f t="shared" si="67"/>
        <v/>
      </c>
      <c r="V416" s="195" t="str">
        <f t="shared" si="67"/>
        <v/>
      </c>
      <c r="W416" s="195">
        <f>IFERROR(INDEX('Ashed teabags dry'!$K$2:$K$821,MATCH(H416,'Ashed teabags dry'!$A$2:$A$821,0)),"")</f>
        <v>12.463485881207744</v>
      </c>
      <c r="X416" s="195" t="str">
        <f>IFERROR(INDEX('Ashed teabags dry'!$K$2:$K$821,MATCH(I416,'Ashed teabags dry'!$A$2:$A$821,0)),"")</f>
        <v/>
      </c>
      <c r="Y416" s="195" t="str">
        <f t="shared" si="62"/>
        <v/>
      </c>
      <c r="Z416" s="195" t="str">
        <f t="shared" si="62"/>
        <v/>
      </c>
      <c r="AA416" s="195" t="str">
        <f t="shared" si="68"/>
        <v/>
      </c>
      <c r="AB416" s="195" t="str">
        <f t="shared" si="69"/>
        <v/>
      </c>
      <c r="AC416" s="195" t="str">
        <f t="shared" si="63"/>
        <v/>
      </c>
      <c r="AD416">
        <f t="shared" si="64"/>
        <v>69</v>
      </c>
      <c r="AE416" s="195" t="str">
        <f t="shared" si="70"/>
        <v/>
      </c>
      <c r="AF416" s="195" t="str">
        <f t="shared" si="71"/>
        <v/>
      </c>
      <c r="AG416" s="255" t="str">
        <f>IF(ISNUMBER(SEARCH("C", 'Dry_Litterbag Placem_Collection'!AD123)),"YES","NO")</f>
        <v>NO</v>
      </c>
      <c r="AH416" s="255" t="str">
        <f>IF(ISNUMBER(SEARCH("H", 'Dry_Litterbag Placem_Collection'!AD123)),"YES","NO")</f>
        <v>NO</v>
      </c>
      <c r="AI416" s="255" t="str">
        <f>IF(ISNUMBER(SEARCH("R", 'Dry_Litterbag Placem_Collection'!AD123)),"YES","NO")</f>
        <v>NO</v>
      </c>
      <c r="AJ416" s="255" t="str">
        <f>IF(ISNUMBER(SEARCH("C", 'Dry_Litterbag Placem_Collection'!AC123)),"YES","NO")</f>
        <v>NO</v>
      </c>
      <c r="AK416" s="255" t="str">
        <f>IF(ISNUMBER(SEARCH("H", 'Dry_Litterbag Placem_Collection'!AC123)),"YES","NO")</f>
        <v>NO</v>
      </c>
      <c r="AL416" s="255" t="str">
        <f>IF(ISNUMBER(SEARCH("R", 'Dry_Litterbag Placem_Collection'!AC123)),"YES","NO")</f>
        <v>NO</v>
      </c>
      <c r="AR416" t="s">
        <v>2034</v>
      </c>
      <c r="AT416" t="s">
        <v>767</v>
      </c>
    </row>
    <row r="417" spans="2:46">
      <c r="B417" t="str">
        <f>'Final data_for_R_analysis_Dryse'!A563</f>
        <v>Dry</v>
      </c>
      <c r="C417" s="263">
        <f>'Final data_for_R_analysis_Dryse'!B563</f>
        <v>122</v>
      </c>
      <c r="D417" t="s">
        <v>3845</v>
      </c>
      <c r="E417" t="s">
        <v>25</v>
      </c>
      <c r="F417" s="386">
        <v>2</v>
      </c>
      <c r="G417" s="16">
        <f>'Dry_Litterbag Placem_Collection'!E124</f>
        <v>42939</v>
      </c>
      <c r="H417" s="92" t="str">
        <f>'Final data_for_R_analysis_Dryse'!J563</f>
        <v>G109</v>
      </c>
      <c r="I417" t="str">
        <f>'Final data_for_R_analysis_Dryse'!J783</f>
        <v>R388</v>
      </c>
      <c r="J417">
        <f>IFERROR(INDEX('Green_rooibos initial weight'!$C$5:$C$1749,MATCH(H417, 'Green_rooibos initial weight'!$A$5:$A$1749,0)),"")</f>
        <v>1.992</v>
      </c>
      <c r="K417">
        <f>IFERROR(INDEX('Green_rooibos initial weight'!$C$5:$C$1749,MATCH(I417, 'Green_rooibos initial weight'!$A$5:$A$1749,0)),"")</f>
        <v>2.2349999999999999</v>
      </c>
      <c r="L417" s="195">
        <f t="shared" si="65"/>
        <v>1.7422</v>
      </c>
      <c r="M417" s="240">
        <f>AVERAGE(Ashed_controlls!$K$1:$K$11)</f>
        <v>5.5147656768714146</v>
      </c>
      <c r="N417" s="195">
        <f t="shared" si="60"/>
        <v>1.6461217523775462</v>
      </c>
      <c r="O417" s="195">
        <f t="shared" si="66"/>
        <v>1.9851999999999999</v>
      </c>
      <c r="P417" s="240">
        <f>AVERAGE(Ashed_controlls!$K$12:$K$14)</f>
        <v>2.2816647271287041</v>
      </c>
      <c r="Q417" s="195">
        <f t="shared" si="61"/>
        <v>1.9399043918370409</v>
      </c>
      <c r="R417" s="16">
        <f>IF('Dry_Litterbag Placem_Collection'!G124="N.A","",'Dry_Litterbag Placem_Collection'!G124)</f>
        <v>43008</v>
      </c>
      <c r="S417" s="195">
        <f>IF(IFERROR(INDEX('Both teabags AfterDry'!$D$1:$D$839,MATCH(H417,'Both teabags AfterDry'!$A$1:$A$839,0)),"")="N.A","",(IFERROR(INDEX('Both teabags AfterDry'!$D$1:$D$839,MATCH(H417,'Both teabags AfterDry'!$A$1:$A$839,0)),"")))</f>
        <v>0.67359999999999998</v>
      </c>
      <c r="T417" s="195">
        <f>IF(IFERROR(INDEX('Both teabags AfterDry'!$D$1:$D$839,MATCH(I417,'Both teabags AfterDry'!$A$1:$A$839,0)),"")="N.A","",(IFERROR(INDEX('Both teabags AfterDry'!$D$1:$D$839,MATCH(I417,'Both teabags AfterDry'!$A$1:$A$839,0)),"")))</f>
        <v>1.4536</v>
      </c>
      <c r="U417" s="195">
        <f t="shared" si="67"/>
        <v>0.52299999999999991</v>
      </c>
      <c r="V417" s="195">
        <f t="shared" si="67"/>
        <v>1.3029999999999999</v>
      </c>
      <c r="W417" s="195">
        <f>IFERROR(INDEX('Ashed teabags dry'!$K$2:$K$821,MATCH(H417,'Ashed teabags dry'!$A$2:$A$821,0)),"")</f>
        <v>17.174515235456546</v>
      </c>
      <c r="X417" s="195">
        <f>IFERROR(INDEX('Ashed teabags dry'!$K$2:$K$821,MATCH(I417,'Ashed teabags dry'!$A$2:$A$821,0)),"")</f>
        <v>14.899853444064959</v>
      </c>
      <c r="Y417" s="195">
        <f t="shared" si="62"/>
        <v>0.4331772853185622</v>
      </c>
      <c r="Z417" s="195">
        <f t="shared" si="62"/>
        <v>1.1088549096238336</v>
      </c>
      <c r="AA417" s="195">
        <f t="shared" si="68"/>
        <v>0.73684978969938864</v>
      </c>
      <c r="AB417" s="195">
        <f t="shared" si="69"/>
        <v>0.48306542032548999</v>
      </c>
      <c r="AC417" s="195">
        <f t="shared" si="63"/>
        <v>0.57160286573390129</v>
      </c>
      <c r="AD417">
        <f t="shared" si="64"/>
        <v>69</v>
      </c>
      <c r="AE417" s="195">
        <f t="shared" si="70"/>
        <v>0.12488148491759066</v>
      </c>
      <c r="AF417" s="195">
        <f t="shared" si="71"/>
        <v>3.1577801862813101E-2</v>
      </c>
      <c r="AG417" s="255" t="str">
        <f>IF(ISNUMBER(SEARCH("C", 'Dry_Litterbag Placem_Collection'!AD124)),"YES","NO")</f>
        <v>NO</v>
      </c>
      <c r="AH417" s="255" t="str">
        <f>IF(ISNUMBER(SEARCH("H", 'Dry_Litterbag Placem_Collection'!AD124)),"YES","NO")</f>
        <v>NO</v>
      </c>
      <c r="AI417" s="255" t="str">
        <f>IF(ISNUMBER(SEARCH("R", 'Dry_Litterbag Placem_Collection'!AD124)),"YES","NO")</f>
        <v>NO</v>
      </c>
      <c r="AJ417" s="255" t="str">
        <f>IF(ISNUMBER(SEARCH("C", 'Dry_Litterbag Placem_Collection'!AC124)),"YES","NO")</f>
        <v>NO</v>
      </c>
      <c r="AK417" s="255" t="str">
        <f>IF(ISNUMBER(SEARCH("H", 'Dry_Litterbag Placem_Collection'!AC124)),"YES","NO")</f>
        <v>NO</v>
      </c>
      <c r="AL417" s="255" t="str">
        <f>IF(ISNUMBER(SEARCH("R", 'Dry_Litterbag Placem_Collection'!AC124)),"YES","NO")</f>
        <v>NO</v>
      </c>
      <c r="AR417" t="s">
        <v>1941</v>
      </c>
      <c r="AT417" t="s">
        <v>753</v>
      </c>
    </row>
    <row r="418" spans="2:46">
      <c r="B418" t="str">
        <f>'Final data_for_R_analysis_Dryse'!A564</f>
        <v>Dry</v>
      </c>
      <c r="C418" s="263">
        <f>'Final data_for_R_analysis_Dryse'!B564</f>
        <v>123</v>
      </c>
      <c r="D418" t="s">
        <v>3845</v>
      </c>
      <c r="E418" t="s">
        <v>25</v>
      </c>
      <c r="F418" s="386">
        <v>3</v>
      </c>
      <c r="G418" s="16">
        <f>'Dry_Litterbag Placem_Collection'!E125</f>
        <v>42939</v>
      </c>
      <c r="H418" s="92" t="str">
        <f>'Final data_for_R_analysis_Dryse'!J564</f>
        <v>G344</v>
      </c>
      <c r="I418" t="str">
        <f>'Final data_for_R_analysis_Dryse'!J784</f>
        <v>R281</v>
      </c>
      <c r="J418">
        <f>IFERROR(INDEX('Green_rooibos initial weight'!$C$5:$C$1749,MATCH(H418, 'Green_rooibos initial weight'!$A$5:$A$1749,0)),"")</f>
        <v>1.93</v>
      </c>
      <c r="K418">
        <f>IFERROR(INDEX('Green_rooibos initial weight'!$C$5:$C$1749,MATCH(I418, 'Green_rooibos initial weight'!$A$5:$A$1749,0)),"")</f>
        <v>2.17</v>
      </c>
      <c r="L418" s="195">
        <f t="shared" si="65"/>
        <v>1.6801999999999999</v>
      </c>
      <c r="M418" s="240">
        <f>AVERAGE(Ashed_controlls!$K$1:$K$11)</f>
        <v>5.5147656768714146</v>
      </c>
      <c r="N418" s="195">
        <f t="shared" si="60"/>
        <v>1.5875409070972064</v>
      </c>
      <c r="O418" s="195">
        <f t="shared" si="66"/>
        <v>1.9201999999999999</v>
      </c>
      <c r="P418" s="240">
        <f>AVERAGE(Ashed_controlls!$K$12:$K$14)</f>
        <v>2.2816647271287041</v>
      </c>
      <c r="Q418" s="195">
        <f t="shared" si="61"/>
        <v>1.8763874739096746</v>
      </c>
      <c r="R418" s="16">
        <f>IF('Dry_Litterbag Placem_Collection'!G125="N.A","",'Dry_Litterbag Placem_Collection'!G125)</f>
        <v>43008</v>
      </c>
      <c r="S418" s="195">
        <f>IF(IFERROR(INDEX('Both teabags AfterDry'!$D$1:$D$839,MATCH(H418,'Both teabags AfterDry'!$A$1:$A$839,0)),"")="N.A","",(IFERROR(INDEX('Both teabags AfterDry'!$D$1:$D$839,MATCH(H418,'Both teabags AfterDry'!$A$1:$A$839,0)),"")))</f>
        <v>0.78580000000000005</v>
      </c>
      <c r="T418" s="195">
        <f>IF(IFERROR(INDEX('Both teabags AfterDry'!$D$1:$D$839,MATCH(I418,'Both teabags AfterDry'!$A$1:$A$839,0)),"")="N.A","",(IFERROR(INDEX('Both teabags AfterDry'!$D$1:$D$839,MATCH(I418,'Both teabags AfterDry'!$A$1:$A$839,0)),"")))</f>
        <v>1.7361</v>
      </c>
      <c r="U418" s="195">
        <f t="shared" si="67"/>
        <v>0.63519999999999999</v>
      </c>
      <c r="V418" s="195">
        <f t="shared" si="67"/>
        <v>1.5854999999999999</v>
      </c>
      <c r="W418" s="195">
        <f>IFERROR(INDEX('Ashed teabags dry'!$K$2:$K$821,MATCH(H418,'Ashed teabags dry'!$A$2:$A$821,0)),"")</f>
        <v>19.618781961877247</v>
      </c>
      <c r="X418" s="195">
        <f>IFERROR(INDEX('Ashed teabags dry'!$K$2:$K$821,MATCH(I418,'Ashed teabags dry'!$A$2:$A$821,0)),"")</f>
        <v>4.862385321101006</v>
      </c>
      <c r="Y418" s="195">
        <f t="shared" si="62"/>
        <v>0.51058149697815569</v>
      </c>
      <c r="Z418" s="195">
        <f t="shared" si="62"/>
        <v>1.5084068807339435</v>
      </c>
      <c r="AA418" s="195">
        <f t="shared" si="68"/>
        <v>0.67838214770053018</v>
      </c>
      <c r="AB418" s="195">
        <f t="shared" si="69"/>
        <v>0.44473508970391062</v>
      </c>
      <c r="AC418" s="195">
        <f t="shared" si="63"/>
        <v>0.80388880319638878</v>
      </c>
      <c r="AD418">
        <f t="shared" si="64"/>
        <v>69</v>
      </c>
      <c r="AE418" s="195">
        <f t="shared" si="70"/>
        <v>0.19432048966682869</v>
      </c>
      <c r="AF418" s="195">
        <f t="shared" si="71"/>
        <v>8.4280799506051603E-3</v>
      </c>
      <c r="AG418" s="255" t="str">
        <f>IF(ISNUMBER(SEARCH("C", 'Dry_Litterbag Placem_Collection'!AD125)),"YES","NO")</f>
        <v>NO</v>
      </c>
      <c r="AH418" s="255" t="str">
        <f>IF(ISNUMBER(SEARCH("H", 'Dry_Litterbag Placem_Collection'!AD125)),"YES","NO")</f>
        <v>NO</v>
      </c>
      <c r="AI418" s="255" t="str">
        <f>IF(ISNUMBER(SEARCH("R", 'Dry_Litterbag Placem_Collection'!AD125)),"YES","NO")</f>
        <v>NO</v>
      </c>
      <c r="AJ418" s="255" t="str">
        <f>IF(ISNUMBER(SEARCH("C", 'Dry_Litterbag Placem_Collection'!AC125)),"YES","NO")</f>
        <v>NO</v>
      </c>
      <c r="AK418" s="255" t="str">
        <f>IF(ISNUMBER(SEARCH("H", 'Dry_Litterbag Placem_Collection'!AC125)),"YES","NO")</f>
        <v>NO</v>
      </c>
      <c r="AL418" s="255" t="str">
        <f>IF(ISNUMBER(SEARCH("R", 'Dry_Litterbag Placem_Collection'!AC125)),"YES","NO")</f>
        <v>NO</v>
      </c>
      <c r="AR418" t="s">
        <v>1706</v>
      </c>
      <c r="AT418" t="s">
        <v>860</v>
      </c>
    </row>
    <row r="419" spans="2:46">
      <c r="B419" t="str">
        <f>'Final data_for_R_analysis_Dryse'!A565</f>
        <v>Dry</v>
      </c>
      <c r="C419" s="263">
        <f>'Final data_for_R_analysis_Dryse'!B565</f>
        <v>124</v>
      </c>
      <c r="D419" t="s">
        <v>3845</v>
      </c>
      <c r="E419" t="s">
        <v>25</v>
      </c>
      <c r="F419" s="387">
        <v>4</v>
      </c>
      <c r="G419" s="16">
        <f>'Dry_Litterbag Placem_Collection'!E126</f>
        <v>42939</v>
      </c>
      <c r="H419" s="92" t="str">
        <f>'Final data_for_R_analysis_Dryse'!J565</f>
        <v>G221</v>
      </c>
      <c r="I419" t="str">
        <f>'Final data_for_R_analysis_Dryse'!J785</f>
        <v>R443</v>
      </c>
      <c r="J419">
        <f>IFERROR(INDEX('Green_rooibos initial weight'!$C$5:$C$1749,MATCH(H419, 'Green_rooibos initial weight'!$A$5:$A$1749,0)),"")</f>
        <v>2.004</v>
      </c>
      <c r="K419">
        <f>IFERROR(INDEX('Green_rooibos initial weight'!$C$5:$C$1749,MATCH(I419, 'Green_rooibos initial weight'!$A$5:$A$1749,0)),"")</f>
        <v>2.2149999999999999</v>
      </c>
      <c r="L419" s="195">
        <f t="shared" si="65"/>
        <v>1.7542</v>
      </c>
      <c r="M419" s="240">
        <f>AVERAGE(Ashed_controlls!$K$1:$K$11)</f>
        <v>5.5147656768714146</v>
      </c>
      <c r="N419" s="195">
        <f t="shared" si="60"/>
        <v>1.6574599804963217</v>
      </c>
      <c r="O419" s="195">
        <f t="shared" si="66"/>
        <v>1.9651999999999998</v>
      </c>
      <c r="P419" s="240">
        <f>AVERAGE(Ashed_controlls!$K$12:$K$14)</f>
        <v>2.2816647271287041</v>
      </c>
      <c r="Q419" s="195">
        <f t="shared" si="61"/>
        <v>1.9203607247824666</v>
      </c>
      <c r="R419" s="16">
        <f>IF('Dry_Litterbag Placem_Collection'!G126="N.A","",'Dry_Litterbag Placem_Collection'!G126)</f>
        <v>43008</v>
      </c>
      <c r="S419" s="195">
        <f>IF(IFERROR(INDEX('Both teabags AfterDry'!$D$1:$D$839,MATCH(H419,'Both teabags AfterDry'!$A$1:$A$839,0)),"")="N.A","",(IFERROR(INDEX('Both teabags AfterDry'!$D$1:$D$839,MATCH(H419,'Both teabags AfterDry'!$A$1:$A$839,0)),"")))</f>
        <v>0.66700000000000004</v>
      </c>
      <c r="T419" s="195">
        <f>IF(IFERROR(INDEX('Both teabags AfterDry'!$D$1:$D$839,MATCH(I419,'Both teabags AfterDry'!$A$1:$A$839,0)),"")="N.A","",(IFERROR(INDEX('Both teabags AfterDry'!$D$1:$D$839,MATCH(I419,'Both teabags AfterDry'!$A$1:$A$839,0)),"")))</f>
        <v>1.5766</v>
      </c>
      <c r="U419" s="195">
        <f t="shared" si="67"/>
        <v>0.51639999999999997</v>
      </c>
      <c r="V419" s="195">
        <f t="shared" si="67"/>
        <v>1.4259999999999999</v>
      </c>
      <c r="W419" s="195">
        <f>IFERROR(INDEX('Ashed teabags dry'!$K$2:$K$821,MATCH(H419,'Ashed teabags dry'!$A$2:$A$821,0)),"")</f>
        <v>19.375305026842138</v>
      </c>
      <c r="X419" s="195">
        <f>IFERROR(INDEX('Ashed teabags dry'!$K$2:$K$821,MATCH(I419,'Ashed teabags dry'!$A$2:$A$821,0)),"")</f>
        <v>9.9950024987499955</v>
      </c>
      <c r="Y419" s="195">
        <f t="shared" si="62"/>
        <v>0.41634592484138716</v>
      </c>
      <c r="Z419" s="195">
        <f t="shared" si="62"/>
        <v>1.283471264367825</v>
      </c>
      <c r="AA419" s="195">
        <f t="shared" si="68"/>
        <v>0.74880484009229975</v>
      </c>
      <c r="AB419" s="195">
        <f t="shared" si="69"/>
        <v>0.49090293554744596</v>
      </c>
      <c r="AC419" s="195">
        <f t="shared" si="63"/>
        <v>0.66834904911587023</v>
      </c>
      <c r="AD419">
        <f t="shared" si="64"/>
        <v>69</v>
      </c>
      <c r="AE419" s="195">
        <f t="shared" si="70"/>
        <v>0.11068308777636604</v>
      </c>
      <c r="AF419" s="195">
        <f t="shared" si="71"/>
        <v>1.6315342957059824E-2</v>
      </c>
      <c r="AG419" s="255" t="str">
        <f>IF(ISNUMBER(SEARCH("C", 'Dry_Litterbag Placem_Collection'!AD126)),"YES","NO")</f>
        <v>NO</v>
      </c>
      <c r="AH419" s="255" t="str">
        <f>IF(ISNUMBER(SEARCH("H", 'Dry_Litterbag Placem_Collection'!AD126)),"YES","NO")</f>
        <v>NO</v>
      </c>
      <c r="AI419" s="255" t="str">
        <f>IF(ISNUMBER(SEARCH("R", 'Dry_Litterbag Placem_Collection'!AD126)),"YES","NO")</f>
        <v>NO</v>
      </c>
      <c r="AJ419" s="255" t="str">
        <f>IF(ISNUMBER(SEARCH("C", 'Dry_Litterbag Placem_Collection'!AC126)),"YES","NO")</f>
        <v>NO</v>
      </c>
      <c r="AK419" s="255" t="str">
        <f>IF(ISNUMBER(SEARCH("H", 'Dry_Litterbag Placem_Collection'!AC126)),"YES","NO")</f>
        <v>NO</v>
      </c>
      <c r="AL419" s="255" t="str">
        <f>IF(ISNUMBER(SEARCH("R", 'Dry_Litterbag Placem_Collection'!AC126)),"YES","NO")</f>
        <v>NO</v>
      </c>
      <c r="AR419" t="s">
        <v>1829</v>
      </c>
      <c r="AT419" t="s">
        <v>698</v>
      </c>
    </row>
    <row r="420" spans="2:46">
      <c r="B420" t="str">
        <f>'Final data_for_R_analysis_Dryse'!A566</f>
        <v>Dry</v>
      </c>
      <c r="C420" s="263">
        <f>'Final data_for_R_analysis_Dryse'!B566</f>
        <v>125</v>
      </c>
      <c r="D420" t="s">
        <v>3845</v>
      </c>
      <c r="E420" t="s">
        <v>25</v>
      </c>
      <c r="F420" s="387">
        <v>5</v>
      </c>
      <c r="G420" s="16">
        <f>'Dry_Litterbag Placem_Collection'!E127</f>
        <v>42939</v>
      </c>
      <c r="H420" s="92" t="str">
        <f>'Final data_for_R_analysis_Dryse'!J566</f>
        <v>G757</v>
      </c>
      <c r="I420" t="str">
        <f>'Final data_for_R_analysis_Dryse'!J786</f>
        <v>R180</v>
      </c>
      <c r="J420">
        <f>IFERROR(INDEX('Green_rooibos initial weight'!$C$5:$C$1749,MATCH(H420, 'Green_rooibos initial weight'!$A$5:$A$1749,0)),"")</f>
        <v>2.0670000000000002</v>
      </c>
      <c r="K420">
        <f>IFERROR(INDEX('Green_rooibos initial weight'!$C$5:$C$1749,MATCH(I420, 'Green_rooibos initial weight'!$A$5:$A$1749,0)),"")</f>
        <v>2.2010000000000001</v>
      </c>
      <c r="L420" s="195">
        <f t="shared" si="65"/>
        <v>1.8172000000000001</v>
      </c>
      <c r="M420" s="240">
        <f>AVERAGE(Ashed_controlls!$K$1:$K$11)</f>
        <v>5.5147656768714146</v>
      </c>
      <c r="N420" s="195">
        <f t="shared" si="60"/>
        <v>1.7169856781198929</v>
      </c>
      <c r="O420" s="195">
        <f t="shared" si="66"/>
        <v>1.9512</v>
      </c>
      <c r="P420" s="240">
        <f>AVERAGE(Ashed_controlls!$K$12:$K$14)</f>
        <v>2.2816647271287041</v>
      </c>
      <c r="Q420" s="195">
        <f t="shared" si="61"/>
        <v>1.9066801578442647</v>
      </c>
      <c r="R420" s="16">
        <f>IF('Dry_Litterbag Placem_Collection'!G127="N.A","",'Dry_Litterbag Placem_Collection'!G127)</f>
        <v>43008</v>
      </c>
      <c r="S420" s="195">
        <f>IF(IFERROR(INDEX('Both teabags AfterDry'!$D$1:$D$839,MATCH(H420,'Both teabags AfterDry'!$A$1:$A$839,0)),"")="N.A","",(IFERROR(INDEX('Both teabags AfterDry'!$D$1:$D$839,MATCH(H420,'Both teabags AfterDry'!$A$1:$A$839,0)),"")))</f>
        <v>0.92230000000000001</v>
      </c>
      <c r="T420" s="195">
        <f>IF(IFERROR(INDEX('Both teabags AfterDry'!$D$1:$D$839,MATCH(I420,'Both teabags AfterDry'!$A$1:$A$839,0)),"")="N.A","",(IFERROR(INDEX('Both teabags AfterDry'!$D$1:$D$839,MATCH(I420,'Both teabags AfterDry'!$A$1:$A$839,0)),"")))</f>
        <v>1.595</v>
      </c>
      <c r="U420" s="195">
        <f t="shared" si="67"/>
        <v>0.77170000000000005</v>
      </c>
      <c r="V420" s="195">
        <f t="shared" si="67"/>
        <v>1.4443999999999999</v>
      </c>
      <c r="W420" s="195">
        <f>IFERROR(INDEX('Ashed teabags dry'!$K$2:$K$821,MATCH(H420,'Ashed teabags dry'!$A$2:$A$821,0)),"")</f>
        <v>20.954254795868039</v>
      </c>
      <c r="X420" s="195">
        <f>IFERROR(INDEX('Ashed teabags dry'!$K$2:$K$821,MATCH(I420,'Ashed teabags dry'!$A$2:$A$821,0)),"")</f>
        <v>2.6202953787519343</v>
      </c>
      <c r="Y420" s="195">
        <f t="shared" si="62"/>
        <v>0.60999601574028639</v>
      </c>
      <c r="Z420" s="195">
        <f t="shared" si="62"/>
        <v>1.406552453549307</v>
      </c>
      <c r="AA420" s="195">
        <f t="shared" si="68"/>
        <v>0.64472853587909085</v>
      </c>
      <c r="AB420" s="195">
        <f t="shared" si="69"/>
        <v>0.4226723893174088</v>
      </c>
      <c r="AC420" s="195">
        <f t="shared" si="63"/>
        <v>0.73769711598592747</v>
      </c>
      <c r="AD420">
        <f t="shared" si="64"/>
        <v>69</v>
      </c>
      <c r="AE420" s="195">
        <f t="shared" si="70"/>
        <v>0.23428914978730297</v>
      </c>
      <c r="AF420" s="195">
        <f t="shared" si="71"/>
        <v>1.4045171374444596E-2</v>
      </c>
      <c r="AG420" s="255" t="str">
        <f>IF(ISNUMBER(SEARCH("C", 'Dry_Litterbag Placem_Collection'!AD127)),"YES","NO")</f>
        <v>NO</v>
      </c>
      <c r="AH420" s="255" t="str">
        <f>IF(ISNUMBER(SEARCH("H", 'Dry_Litterbag Placem_Collection'!AD127)),"YES","NO")</f>
        <v>NO</v>
      </c>
      <c r="AI420" s="255" t="str">
        <f>IF(ISNUMBER(SEARCH("R", 'Dry_Litterbag Placem_Collection'!AD127)),"YES","NO")</f>
        <v>NO</v>
      </c>
      <c r="AJ420" s="255" t="str">
        <f>IF(ISNUMBER(SEARCH("C", 'Dry_Litterbag Placem_Collection'!AC127)),"YES","NO")</f>
        <v>NO</v>
      </c>
      <c r="AK420" s="255" t="str">
        <f>IF(ISNUMBER(SEARCH("H", 'Dry_Litterbag Placem_Collection'!AC127)),"YES","NO")</f>
        <v>NO</v>
      </c>
      <c r="AL420" s="255" t="str">
        <f>IF(ISNUMBER(SEARCH("R", 'Dry_Litterbag Placem_Collection'!AC127)),"YES","NO")</f>
        <v>NO</v>
      </c>
      <c r="AR420" t="s">
        <v>1293</v>
      </c>
      <c r="AT420" t="s">
        <v>961</v>
      </c>
    </row>
    <row r="421" spans="2:46">
      <c r="B421" t="str">
        <f>'Final data_for_R_analysis_Dryse'!A567</f>
        <v>Dry</v>
      </c>
      <c r="C421" s="263">
        <f>'Final data_for_R_analysis_Dryse'!B567</f>
        <v>126</v>
      </c>
      <c r="D421" t="s">
        <v>3845</v>
      </c>
      <c r="E421" t="s">
        <v>25</v>
      </c>
      <c r="F421" s="387">
        <v>6</v>
      </c>
      <c r="G421" s="16">
        <f>'Dry_Litterbag Placem_Collection'!E128</f>
        <v>0</v>
      </c>
      <c r="H421" s="92" t="str">
        <f>'Final data_for_R_analysis_Dryse'!J567</f>
        <v/>
      </c>
      <c r="I421" t="str">
        <f>'Final data_for_R_analysis_Dryse'!J787</f>
        <v/>
      </c>
      <c r="J421" t="str">
        <f>IFERROR(INDEX('Green_rooibos initial weight'!$C$5:$C$1749,MATCH(H421, 'Green_rooibos initial weight'!$A$5:$A$1749,0)),"")</f>
        <v/>
      </c>
      <c r="K421" t="str">
        <f>IFERROR(INDEX('Green_rooibos initial weight'!$C$5:$C$1749,MATCH(I421, 'Green_rooibos initial weight'!$A$5:$A$1749,0)),"")</f>
        <v/>
      </c>
      <c r="L421" s="195" t="str">
        <f t="shared" si="65"/>
        <v/>
      </c>
      <c r="M421" s="240">
        <f>AVERAGE(Ashed_controlls!$K$1:$K$11)</f>
        <v>5.5147656768714146</v>
      </c>
      <c r="N421" s="195" t="str">
        <f t="shared" si="60"/>
        <v/>
      </c>
      <c r="O421" s="195" t="str">
        <f t="shared" si="66"/>
        <v/>
      </c>
      <c r="P421" s="240">
        <f>AVERAGE(Ashed_controlls!$K$12:$K$14)</f>
        <v>2.2816647271287041</v>
      </c>
      <c r="Q421" s="195" t="str">
        <f t="shared" si="61"/>
        <v/>
      </c>
      <c r="R421" s="16">
        <f>IF('Dry_Litterbag Placem_Collection'!G128="N.A","",'Dry_Litterbag Placem_Collection'!G128)</f>
        <v>0</v>
      </c>
      <c r="S421" s="195" t="str">
        <f>IF(IFERROR(INDEX('Both teabags AfterDry'!$D$1:$D$839,MATCH(H421,'Both teabags AfterDry'!$A$1:$A$839,0)),"")="N.A","",(IFERROR(INDEX('Both teabags AfterDry'!$D$1:$D$839,MATCH(H421,'Both teabags AfterDry'!$A$1:$A$839,0)),"")))</f>
        <v/>
      </c>
      <c r="T421" s="195" t="str">
        <f>IF(IFERROR(INDEX('Both teabags AfterDry'!$D$1:$D$839,MATCH(I421,'Both teabags AfterDry'!$A$1:$A$839,0)),"")="N.A","",(IFERROR(INDEX('Both teabags AfterDry'!$D$1:$D$839,MATCH(I421,'Both teabags AfterDry'!$A$1:$A$839,0)),"")))</f>
        <v/>
      </c>
      <c r="U421" s="195" t="str">
        <f t="shared" si="67"/>
        <v/>
      </c>
      <c r="V421" s="195" t="str">
        <f t="shared" si="67"/>
        <v/>
      </c>
      <c r="W421" s="195" t="str">
        <f>IFERROR(INDEX('Ashed teabags dry'!$K$2:$K$821,MATCH(H421,'Ashed teabags dry'!$A$2:$A$821,0)),"")</f>
        <v/>
      </c>
      <c r="X421" s="195" t="str">
        <f>IFERROR(INDEX('Ashed teabags dry'!$K$2:$K$821,MATCH(I421,'Ashed teabags dry'!$A$2:$A$821,0)),"")</f>
        <v/>
      </c>
      <c r="Y421" s="195" t="str">
        <f t="shared" si="62"/>
        <v/>
      </c>
      <c r="Z421" s="195" t="str">
        <f t="shared" si="62"/>
        <v/>
      </c>
      <c r="AA421" s="195" t="str">
        <f t="shared" si="68"/>
        <v/>
      </c>
      <c r="AB421" s="195" t="str">
        <f t="shared" si="69"/>
        <v/>
      </c>
      <c r="AC421" s="195" t="str">
        <f t="shared" si="63"/>
        <v/>
      </c>
      <c r="AD421" t="str">
        <f t="shared" si="64"/>
        <v/>
      </c>
      <c r="AE421" s="195" t="str">
        <f t="shared" si="70"/>
        <v/>
      </c>
      <c r="AF421" s="195" t="str">
        <f t="shared" si="71"/>
        <v/>
      </c>
      <c r="AG421" s="255" t="str">
        <f>IF(ISNUMBER(SEARCH("C", 'Dry_Litterbag Placem_Collection'!AD128)),"YES","NO")</f>
        <v>NO</v>
      </c>
      <c r="AH421" s="255" t="str">
        <f>IF(ISNUMBER(SEARCH("H", 'Dry_Litterbag Placem_Collection'!AD128)),"YES","NO")</f>
        <v>NO</v>
      </c>
      <c r="AI421" s="255" t="str">
        <f>IF(ISNUMBER(SEARCH("R", 'Dry_Litterbag Placem_Collection'!AD128)),"YES","NO")</f>
        <v>NO</v>
      </c>
      <c r="AJ421" s="255" t="str">
        <f>IF(ISNUMBER(SEARCH("C", 'Dry_Litterbag Placem_Collection'!AC128)),"YES","NO")</f>
        <v>NO</v>
      </c>
      <c r="AK421" s="255" t="str">
        <f>IF(ISNUMBER(SEARCH("H", 'Dry_Litterbag Placem_Collection'!AC128)),"YES","NO")</f>
        <v>NO</v>
      </c>
      <c r="AL421" s="255" t="str">
        <f>IF(ISNUMBER(SEARCH("R", 'Dry_Litterbag Placem_Collection'!AC128)),"YES","NO")</f>
        <v>NO</v>
      </c>
      <c r="AR421" t="s">
        <v>3654</v>
      </c>
      <c r="AT421" t="s">
        <v>3654</v>
      </c>
    </row>
    <row r="422" spans="2:46">
      <c r="B422" t="str">
        <f>'Final data_for_R_analysis_Dryse'!A568</f>
        <v>Dry</v>
      </c>
      <c r="C422" s="263">
        <f>'Final data_for_R_analysis_Dryse'!B568</f>
        <v>127</v>
      </c>
      <c r="D422" t="s">
        <v>3845</v>
      </c>
      <c r="E422" t="s">
        <v>25</v>
      </c>
      <c r="F422" s="387">
        <v>7</v>
      </c>
      <c r="G422" s="16">
        <f>'Dry_Litterbag Placem_Collection'!E129</f>
        <v>42939</v>
      </c>
      <c r="H422" s="92" t="str">
        <f>'Final data_for_R_analysis_Dryse'!J568</f>
        <v>G96</v>
      </c>
      <c r="I422" t="str">
        <f>'Final data_for_R_analysis_Dryse'!J788</f>
        <v>R229</v>
      </c>
      <c r="J422">
        <f>IFERROR(INDEX('Green_rooibos initial weight'!$C$5:$C$1749,MATCH(H422, 'Green_rooibos initial weight'!$A$5:$A$1749,0)),"")</f>
        <v>2.2349999999999999</v>
      </c>
      <c r="K422">
        <f>IFERROR(INDEX('Green_rooibos initial weight'!$C$5:$C$1749,MATCH(I422, 'Green_rooibos initial weight'!$A$5:$A$1749,0)),"")</f>
        <v>2.2530000000000001</v>
      </c>
      <c r="L422" s="195">
        <f t="shared" si="65"/>
        <v>1.9851999999999999</v>
      </c>
      <c r="M422" s="240">
        <f>AVERAGE(Ashed_controlls!$K$1:$K$11)</f>
        <v>5.5147656768714146</v>
      </c>
      <c r="N422" s="195">
        <f t="shared" si="60"/>
        <v>1.8757208717827485</v>
      </c>
      <c r="O422" s="195">
        <f t="shared" si="66"/>
        <v>2.0032000000000001</v>
      </c>
      <c r="P422" s="240">
        <f>AVERAGE(Ashed_controlls!$K$12:$K$14)</f>
        <v>2.2816647271287041</v>
      </c>
      <c r="Q422" s="195">
        <f t="shared" si="61"/>
        <v>1.9574936921861579</v>
      </c>
      <c r="R422" s="16">
        <f>IF('Dry_Litterbag Placem_Collection'!G129="N.A","",'Dry_Litterbag Placem_Collection'!G129)</f>
        <v>43008</v>
      </c>
      <c r="S422" s="195">
        <f>IF(IFERROR(INDEX('Both teabags AfterDry'!$D$1:$D$839,MATCH(H422,'Both teabags AfterDry'!$A$1:$A$839,0)),"")="N.A","",(IFERROR(INDEX('Both teabags AfterDry'!$D$1:$D$839,MATCH(H422,'Both teabags AfterDry'!$A$1:$A$839,0)),"")))</f>
        <v>0.77790000000000004</v>
      </c>
      <c r="T422" s="195">
        <f>IF(IFERROR(INDEX('Both teabags AfterDry'!$D$1:$D$839,MATCH(I422,'Both teabags AfterDry'!$A$1:$A$839,0)),"")="N.A","",(IFERROR(INDEX('Both teabags AfterDry'!$D$1:$D$839,MATCH(I422,'Both teabags AfterDry'!$A$1:$A$839,0)),"")))</f>
        <v>1.5876999999999999</v>
      </c>
      <c r="U422" s="195">
        <f t="shared" si="67"/>
        <v>0.62729999999999997</v>
      </c>
      <c r="V422" s="195">
        <f t="shared" si="67"/>
        <v>1.4370999999999998</v>
      </c>
      <c r="W422" s="195">
        <f>IFERROR(INDEX('Ashed teabags dry'!$K$2:$K$821,MATCH(H422,'Ashed teabags dry'!$A$2:$A$821,0)),"")</f>
        <v>15.120274914089208</v>
      </c>
      <c r="X422" s="195">
        <f>IFERROR(INDEX('Ashed teabags dry'!$K$2:$K$821,MATCH(I422,'Ashed teabags dry'!$A$2:$A$821,0)),"")</f>
        <v>6.6340160284944094</v>
      </c>
      <c r="Y422" s="195">
        <f t="shared" si="62"/>
        <v>0.53245051546391842</v>
      </c>
      <c r="Z422" s="195">
        <f t="shared" si="62"/>
        <v>1.3417625556545068</v>
      </c>
      <c r="AA422" s="195">
        <f t="shared" si="68"/>
        <v>0.71613552769295596</v>
      </c>
      <c r="AB422" s="195">
        <f t="shared" si="69"/>
        <v>0.46948552409324434</v>
      </c>
      <c r="AC422" s="195">
        <f t="shared" si="63"/>
        <v>0.68544923593393881</v>
      </c>
      <c r="AD422">
        <f t="shared" si="64"/>
        <v>69</v>
      </c>
      <c r="AE422" s="195">
        <f t="shared" si="70"/>
        <v>0.1494827462078907</v>
      </c>
      <c r="AF422" s="195">
        <f t="shared" si="71"/>
        <v>1.6067149859514088E-2</v>
      </c>
      <c r="AG422" s="255" t="str">
        <f>IF(ISNUMBER(SEARCH("C", 'Dry_Litterbag Placem_Collection'!AD129)),"YES","NO")</f>
        <v>NO</v>
      </c>
      <c r="AH422" s="255" t="str">
        <f>IF(ISNUMBER(SEARCH("H", 'Dry_Litterbag Placem_Collection'!AD129)),"YES","NO")</f>
        <v>NO</v>
      </c>
      <c r="AI422" s="255" t="str">
        <f>IF(ISNUMBER(SEARCH("R", 'Dry_Litterbag Placem_Collection'!AD129)),"YES","NO")</f>
        <v>NO</v>
      </c>
      <c r="AJ422" s="255" t="str">
        <f>IF(ISNUMBER(SEARCH("C", 'Dry_Litterbag Placem_Collection'!AC129)),"YES","NO")</f>
        <v>NO</v>
      </c>
      <c r="AK422" s="255" t="str">
        <f>IF(ISNUMBER(SEARCH("H", 'Dry_Litterbag Placem_Collection'!AC129)),"YES","NO")</f>
        <v>NO</v>
      </c>
      <c r="AL422" s="255" t="str">
        <f>IF(ISNUMBER(SEARCH("R", 'Dry_Litterbag Placem_Collection'!AC129)),"YES","NO")</f>
        <v>NO</v>
      </c>
      <c r="AR422" t="s">
        <v>1954</v>
      </c>
      <c r="AT422" t="s">
        <v>912</v>
      </c>
    </row>
    <row r="423" spans="2:46">
      <c r="B423" t="str">
        <f>'Final data_for_R_analysis_Dryse'!A569</f>
        <v>Dry</v>
      </c>
      <c r="C423" s="263">
        <f>'Final data_for_R_analysis_Dryse'!B569</f>
        <v>128</v>
      </c>
      <c r="D423" t="s">
        <v>3845</v>
      </c>
      <c r="E423" t="s">
        <v>25</v>
      </c>
      <c r="F423" s="387">
        <v>8</v>
      </c>
      <c r="G423" s="16">
        <f>'Dry_Litterbag Placem_Collection'!E130</f>
        <v>42939</v>
      </c>
      <c r="H423" s="92" t="str">
        <f>'Final data_for_R_analysis_Dryse'!J569</f>
        <v>G134</v>
      </c>
      <c r="I423" t="str">
        <f>'Final data_for_R_analysis_Dryse'!J789</f>
        <v>R272</v>
      </c>
      <c r="J423">
        <f>IFERROR(INDEX('Green_rooibos initial weight'!$C$5:$C$1749,MATCH(H423, 'Green_rooibos initial weight'!$A$5:$A$1749,0)),"")</f>
        <v>2.0089999999999999</v>
      </c>
      <c r="K423">
        <f>IFERROR(INDEX('Green_rooibos initial weight'!$C$5:$C$1749,MATCH(I423, 'Green_rooibos initial weight'!$A$5:$A$1749,0)),"")</f>
        <v>2.2999999999999998</v>
      </c>
      <c r="L423" s="195">
        <f t="shared" si="65"/>
        <v>1.7591999999999999</v>
      </c>
      <c r="M423" s="240">
        <f>AVERAGE(Ashed_controlls!$K$1:$K$11)</f>
        <v>5.5147656768714146</v>
      </c>
      <c r="N423" s="195">
        <f t="shared" si="60"/>
        <v>1.662184242212478</v>
      </c>
      <c r="O423" s="195">
        <f t="shared" si="66"/>
        <v>2.0501999999999998</v>
      </c>
      <c r="P423" s="240">
        <f>AVERAGE(Ashed_controlls!$K$12:$K$14)</f>
        <v>2.2816647271287041</v>
      </c>
      <c r="Q423" s="195">
        <f t="shared" si="61"/>
        <v>2.0034213097644069</v>
      </c>
      <c r="R423" s="16">
        <f>IF('Dry_Litterbag Placem_Collection'!G130="N.A","",'Dry_Litterbag Placem_Collection'!G130)</f>
        <v>43008</v>
      </c>
      <c r="S423" s="195">
        <f>IF(IFERROR(INDEX('Both teabags AfterDry'!$D$1:$D$839,MATCH(H423,'Both teabags AfterDry'!$A$1:$A$839,0)),"")="N.A","",(IFERROR(INDEX('Both teabags AfterDry'!$D$1:$D$839,MATCH(H423,'Both teabags AfterDry'!$A$1:$A$839,0)),"")))</f>
        <v>0.82289999999999996</v>
      </c>
      <c r="T423" s="195">
        <f>IF(IFERROR(INDEX('Both teabags AfterDry'!$D$1:$D$839,MATCH(I423,'Both teabags AfterDry'!$A$1:$A$839,0)),"")="N.A","",(IFERROR(INDEX('Both teabags AfterDry'!$D$1:$D$839,MATCH(I423,'Both teabags AfterDry'!$A$1:$A$839,0)),"")))</f>
        <v>1.6163000000000001</v>
      </c>
      <c r="U423" s="195">
        <f t="shared" si="67"/>
        <v>0.6722999999999999</v>
      </c>
      <c r="V423" s="195">
        <f t="shared" si="67"/>
        <v>1.4657</v>
      </c>
      <c r="W423" s="195">
        <f>IFERROR(INDEX('Ashed teabags dry'!$K$2:$K$821,MATCH(H423,'Ashed teabags dry'!$A$2:$A$821,0)),"")</f>
        <v>18.432510885341248</v>
      </c>
      <c r="X423" s="195">
        <f>IFERROR(INDEX('Ashed teabags dry'!$K$2:$K$821,MATCH(I423,'Ashed teabags dry'!$A$2:$A$821,0)),"")</f>
        <v>8.0924855491328049</v>
      </c>
      <c r="Y423" s="195">
        <f t="shared" si="62"/>
        <v>0.54837822931785074</v>
      </c>
      <c r="Z423" s="195">
        <f t="shared" si="62"/>
        <v>1.3470884393063605</v>
      </c>
      <c r="AA423" s="195">
        <f t="shared" si="68"/>
        <v>0.67008577305009054</v>
      </c>
      <c r="AB423" s="195">
        <f t="shared" si="69"/>
        <v>0.43929613625136582</v>
      </c>
      <c r="AC423" s="195">
        <f t="shared" si="63"/>
        <v>0.67239398559895114</v>
      </c>
      <c r="AD423">
        <f t="shared" si="64"/>
        <v>69</v>
      </c>
      <c r="AE423" s="195">
        <f t="shared" si="70"/>
        <v>0.20417366621129385</v>
      </c>
      <c r="AF423" s="195">
        <f t="shared" si="71"/>
        <v>1.9847036060618672E-2</v>
      </c>
      <c r="AG423" s="255" t="str">
        <f>IF(ISNUMBER(SEARCH("C", 'Dry_Litterbag Placem_Collection'!AD130)),"YES","NO")</f>
        <v>NO</v>
      </c>
      <c r="AH423" s="255" t="str">
        <f>IF(ISNUMBER(SEARCH("H", 'Dry_Litterbag Placem_Collection'!AD130)),"YES","NO")</f>
        <v>NO</v>
      </c>
      <c r="AI423" s="255" t="str">
        <f>IF(ISNUMBER(SEARCH("R", 'Dry_Litterbag Placem_Collection'!AD130)),"YES","NO")</f>
        <v>NO</v>
      </c>
      <c r="AJ423" s="255" t="str">
        <f>IF(ISNUMBER(SEARCH("C", 'Dry_Litterbag Placem_Collection'!AC130)),"YES","NO")</f>
        <v>NO</v>
      </c>
      <c r="AK423" s="255" t="str">
        <f>IF(ISNUMBER(SEARCH("H", 'Dry_Litterbag Placem_Collection'!AC130)),"YES","NO")</f>
        <v>NO</v>
      </c>
      <c r="AL423" s="255" t="str">
        <f>IF(ISNUMBER(SEARCH("R", 'Dry_Litterbag Placem_Collection'!AC130)),"YES","NO")</f>
        <v>NO</v>
      </c>
      <c r="AR423" t="s">
        <v>1916</v>
      </c>
      <c r="AT423" t="s">
        <v>869</v>
      </c>
    </row>
    <row r="424" spans="2:46">
      <c r="B424" t="str">
        <f>'Final data_for_R_analysis_Dryse'!A570</f>
        <v>Dry</v>
      </c>
      <c r="C424" s="263">
        <f>'Final data_for_R_analysis_Dryse'!B570</f>
        <v>129</v>
      </c>
      <c r="D424" t="s">
        <v>3846</v>
      </c>
      <c r="E424" t="s">
        <v>25</v>
      </c>
      <c r="F424" s="386">
        <v>1</v>
      </c>
      <c r="G424" s="16">
        <f>'Dry_Litterbag Placem_Collection'!E131</f>
        <v>42939</v>
      </c>
      <c r="H424" s="92" t="str">
        <f>'Final data_for_R_analysis_Dryse'!J570</f>
        <v>G671</v>
      </c>
      <c r="I424" t="str">
        <f>'Final data_for_R_analysis_Dryse'!J790</f>
        <v>R207</v>
      </c>
      <c r="J424">
        <f>IFERROR(INDEX('Green_rooibos initial weight'!$C$5:$C$1749,MATCH(H424, 'Green_rooibos initial weight'!$A$5:$A$1749,0)),"")</f>
        <v>2.0510000000000002</v>
      </c>
      <c r="K424">
        <f>IFERROR(INDEX('Green_rooibos initial weight'!$C$5:$C$1749,MATCH(I424, 'Green_rooibos initial weight'!$A$5:$A$1749,0)),"")</f>
        <v>2.1800000000000002</v>
      </c>
      <c r="L424" s="195">
        <f t="shared" si="65"/>
        <v>1.8012000000000001</v>
      </c>
      <c r="M424" s="240">
        <f>AVERAGE(Ashed_controlls!$K$1:$K$11)</f>
        <v>5.5147656768714146</v>
      </c>
      <c r="N424" s="195">
        <f t="shared" si="60"/>
        <v>1.7018680406281923</v>
      </c>
      <c r="O424" s="195">
        <f t="shared" si="66"/>
        <v>1.9302000000000001</v>
      </c>
      <c r="P424" s="240">
        <f>AVERAGE(Ashed_controlls!$K$12:$K$14)</f>
        <v>2.2816647271287041</v>
      </c>
      <c r="Q424" s="195">
        <f t="shared" si="61"/>
        <v>1.8861593074369618</v>
      </c>
      <c r="R424" s="16">
        <f>IF('Dry_Litterbag Placem_Collection'!G131="N.A","",'Dry_Litterbag Placem_Collection'!G131)</f>
        <v>43008</v>
      </c>
      <c r="S424" s="195">
        <f>IF(IFERROR(INDEX('Both teabags AfterDry'!$D$1:$D$839,MATCH(H424,'Both teabags AfterDry'!$A$1:$A$839,0)),"")="N.A","",(IFERROR(INDEX('Both teabags AfterDry'!$D$1:$D$839,MATCH(H424,'Both teabags AfterDry'!$A$1:$A$839,0)),"")))</f>
        <v>0.68540000000000001</v>
      </c>
      <c r="T424" s="195">
        <f>IF(IFERROR(INDEX('Both teabags AfterDry'!$D$1:$D$839,MATCH(I424,'Both teabags AfterDry'!$A$1:$A$839,0)),"")="N.A","",(IFERROR(INDEX('Both teabags AfterDry'!$D$1:$D$839,MATCH(I424,'Both teabags AfterDry'!$A$1:$A$839,0)),"")))</f>
        <v>1.6962999999999999</v>
      </c>
      <c r="U424" s="195">
        <f t="shared" si="67"/>
        <v>0.53479999999999994</v>
      </c>
      <c r="V424" s="195">
        <f t="shared" si="67"/>
        <v>1.5456999999999999</v>
      </c>
      <c r="W424" s="195">
        <f>IFERROR(INDEX('Ashed teabags dry'!$K$2:$K$821,MATCH(H424,'Ashed teabags dry'!$A$2:$A$821,0)),"")</f>
        <v>15.942028985507489</v>
      </c>
      <c r="X424" s="195">
        <f>IFERROR(INDEX('Ashed teabags dry'!$K$2:$K$821,MATCH(I424,'Ashed teabags dry'!$A$2:$A$821,0)),"")</f>
        <v>6.3134657836639967</v>
      </c>
      <c r="Y424" s="195">
        <f t="shared" si="62"/>
        <v>0.44954202898550588</v>
      </c>
      <c r="Z424" s="195">
        <f t="shared" si="62"/>
        <v>1.4481127593819054</v>
      </c>
      <c r="AA424" s="195">
        <f t="shared" si="68"/>
        <v>0.73585376876836395</v>
      </c>
      <c r="AB424" s="195">
        <f t="shared" si="69"/>
        <v>0.48241244698353558</v>
      </c>
      <c r="AC424" s="195">
        <f t="shared" si="63"/>
        <v>0.76775739656354736</v>
      </c>
      <c r="AD424">
        <f t="shared" si="64"/>
        <v>69</v>
      </c>
      <c r="AE424" s="195">
        <f t="shared" si="70"/>
        <v>0.12606440763852256</v>
      </c>
      <c r="AF424" s="195">
        <f t="shared" si="71"/>
        <v>9.5168026942663436E-3</v>
      </c>
      <c r="AG424" s="255" t="str">
        <f>IF(ISNUMBER(SEARCH("C", 'Dry_Litterbag Placem_Collection'!AD131)),"YES","NO")</f>
        <v>NO</v>
      </c>
      <c r="AH424" s="255" t="str">
        <f>IF(ISNUMBER(SEARCH("H", 'Dry_Litterbag Placem_Collection'!AD131)),"YES","NO")</f>
        <v>NO</v>
      </c>
      <c r="AI424" s="255" t="str">
        <f>IF(ISNUMBER(SEARCH("R", 'Dry_Litterbag Placem_Collection'!AD131)),"YES","NO")</f>
        <v>NO</v>
      </c>
      <c r="AJ424" s="255" t="str">
        <f>IF(ISNUMBER(SEARCH("C", 'Dry_Litterbag Placem_Collection'!AC131)),"YES","NO")</f>
        <v>NO</v>
      </c>
      <c r="AK424" s="255" t="str">
        <f>IF(ISNUMBER(SEARCH("H", 'Dry_Litterbag Placem_Collection'!AC131)),"YES","NO")</f>
        <v>NO</v>
      </c>
      <c r="AL424" s="255" t="str">
        <f>IF(ISNUMBER(SEARCH("R", 'Dry_Litterbag Placem_Collection'!AC131)),"YES","NO")</f>
        <v>NO</v>
      </c>
      <c r="AR424" t="s">
        <v>1379</v>
      </c>
      <c r="AT424" t="s">
        <v>934</v>
      </c>
    </row>
    <row r="425" spans="2:46">
      <c r="B425" t="str">
        <f>'Final data_for_R_analysis_Dryse'!A571</f>
        <v>Dry</v>
      </c>
      <c r="C425" s="263">
        <f>'Final data_for_R_analysis_Dryse'!B571</f>
        <v>130</v>
      </c>
      <c r="D425" t="s">
        <v>3846</v>
      </c>
      <c r="E425" t="s">
        <v>25</v>
      </c>
      <c r="F425" s="386">
        <v>2</v>
      </c>
      <c r="G425" s="16">
        <f>'Dry_Litterbag Placem_Collection'!E132</f>
        <v>42939</v>
      </c>
      <c r="H425" s="92" t="str">
        <f>'Final data_for_R_analysis_Dryse'!J571</f>
        <v>G400</v>
      </c>
      <c r="I425" t="str">
        <f>'Final data_for_R_analysis_Dryse'!J791</f>
        <v>R193</v>
      </c>
      <c r="J425">
        <f>IFERROR(INDEX('Green_rooibos initial weight'!$C$5:$C$1749,MATCH(H425, 'Green_rooibos initial weight'!$A$5:$A$1749,0)),"")</f>
        <v>2.0089999999999999</v>
      </c>
      <c r="K425">
        <f>IFERROR(INDEX('Green_rooibos initial weight'!$C$5:$C$1749,MATCH(I425, 'Green_rooibos initial weight'!$A$5:$A$1749,0)),"")</f>
        <v>2.198</v>
      </c>
      <c r="L425" s="195">
        <f t="shared" si="65"/>
        <v>1.7591999999999999</v>
      </c>
      <c r="M425" s="240">
        <f>AVERAGE(Ashed_controlls!$K$1:$K$11)</f>
        <v>5.5147656768714146</v>
      </c>
      <c r="N425" s="195">
        <f t="shared" si="60"/>
        <v>1.662184242212478</v>
      </c>
      <c r="O425" s="195">
        <f t="shared" si="66"/>
        <v>1.9481999999999999</v>
      </c>
      <c r="P425" s="240">
        <f>AVERAGE(Ashed_controlls!$K$12:$K$14)</f>
        <v>2.2816647271287041</v>
      </c>
      <c r="Q425" s="195">
        <f t="shared" si="61"/>
        <v>1.9037486077860786</v>
      </c>
      <c r="R425" s="16">
        <f>IF('Dry_Litterbag Placem_Collection'!G132="N.A","",'Dry_Litterbag Placem_Collection'!G132)</f>
        <v>43008</v>
      </c>
      <c r="S425" s="195">
        <f>IF(IFERROR(INDEX('Both teabags AfterDry'!$D$1:$D$839,MATCH(H425,'Both teabags AfterDry'!$A$1:$A$839,0)),"")="N.A","",(IFERROR(INDEX('Both teabags AfterDry'!$D$1:$D$839,MATCH(H425,'Both teabags AfterDry'!$A$1:$A$839,0)),"")))</f>
        <v>0.86</v>
      </c>
      <c r="T425" s="195">
        <f>IF(IFERROR(INDEX('Both teabags AfterDry'!$D$1:$D$839,MATCH(I425,'Both teabags AfterDry'!$A$1:$A$839,0)),"")="N.A","",(IFERROR(INDEX('Both teabags AfterDry'!$D$1:$D$839,MATCH(I425,'Both teabags AfterDry'!$A$1:$A$839,0)),"")))</f>
        <v>1.7978000000000001</v>
      </c>
      <c r="U425" s="195">
        <f t="shared" si="67"/>
        <v>0.70940000000000003</v>
      </c>
      <c r="V425" s="195">
        <f t="shared" si="67"/>
        <v>1.6472</v>
      </c>
      <c r="W425" s="195">
        <f>IFERROR(INDEX('Ashed teabags dry'!$K$2:$K$821,MATCH(H425,'Ashed teabags dry'!$A$2:$A$821,0)),"")</f>
        <v>23.389830508474194</v>
      </c>
      <c r="X425" s="195">
        <f>IFERROR(INDEX('Ashed teabags dry'!$K$2:$K$821,MATCH(I425,'Ashed teabags dry'!$A$2:$A$821,0)),"")</f>
        <v>7.9980610761027835</v>
      </c>
      <c r="Y425" s="195">
        <f t="shared" si="62"/>
        <v>0.54347254237288412</v>
      </c>
      <c r="Z425" s="195">
        <f t="shared" si="62"/>
        <v>1.515455937954435</v>
      </c>
      <c r="AA425" s="195">
        <f t="shared" si="68"/>
        <v>0.67303712273827965</v>
      </c>
      <c r="AB425" s="195">
        <f t="shared" si="69"/>
        <v>0.44123098782842091</v>
      </c>
      <c r="AC425" s="195">
        <f t="shared" si="63"/>
        <v>0.79603784436475589</v>
      </c>
      <c r="AD425">
        <f t="shared" si="64"/>
        <v>69</v>
      </c>
      <c r="AE425" s="195">
        <f t="shared" si="70"/>
        <v>0.20066850031083172</v>
      </c>
      <c r="AF425" s="195">
        <f t="shared" si="71"/>
        <v>8.9909378102216025E-3</v>
      </c>
      <c r="AG425" s="255" t="str">
        <f>IF(ISNUMBER(SEARCH("C", 'Dry_Litterbag Placem_Collection'!AD132)),"YES","NO")</f>
        <v>NO</v>
      </c>
      <c r="AH425" s="255" t="str">
        <f>IF(ISNUMBER(SEARCH("H", 'Dry_Litterbag Placem_Collection'!AD132)),"YES","NO")</f>
        <v>NO</v>
      </c>
      <c r="AI425" s="255" t="str">
        <f>IF(ISNUMBER(SEARCH("R", 'Dry_Litterbag Placem_Collection'!AD132)),"YES","NO")</f>
        <v>NO</v>
      </c>
      <c r="AJ425" s="255" t="str">
        <f>IF(ISNUMBER(SEARCH("C", 'Dry_Litterbag Placem_Collection'!AC132)),"YES","NO")</f>
        <v>NO</v>
      </c>
      <c r="AK425" s="255" t="str">
        <f>IF(ISNUMBER(SEARCH("H", 'Dry_Litterbag Placem_Collection'!AC132)),"YES","NO")</f>
        <v>NO</v>
      </c>
      <c r="AL425" s="255" t="str">
        <f>IF(ISNUMBER(SEARCH("R", 'Dry_Litterbag Placem_Collection'!AC132)),"YES","NO")</f>
        <v>NO</v>
      </c>
      <c r="AR425" t="s">
        <v>1650</v>
      </c>
      <c r="AT425" t="s">
        <v>948</v>
      </c>
    </row>
    <row r="426" spans="2:46">
      <c r="B426" t="str">
        <f>'Final data_for_R_analysis_Dryse'!A572</f>
        <v>Dry</v>
      </c>
      <c r="C426" s="263">
        <f>'Final data_for_R_analysis_Dryse'!B572</f>
        <v>131</v>
      </c>
      <c r="D426" t="s">
        <v>3846</v>
      </c>
      <c r="E426" t="s">
        <v>25</v>
      </c>
      <c r="F426" s="386">
        <v>3</v>
      </c>
      <c r="G426" s="16">
        <f>'Dry_Litterbag Placem_Collection'!E133</f>
        <v>42939</v>
      </c>
      <c r="H426" s="92" t="str">
        <f>'Final data_for_R_analysis_Dryse'!J572</f>
        <v>G48</v>
      </c>
      <c r="I426" t="str">
        <f>'Final data_for_R_analysis_Dryse'!J792</f>
        <v>R188</v>
      </c>
      <c r="J426">
        <f>IFERROR(INDEX('Green_rooibos initial weight'!$C$5:$C$1749,MATCH(H426, 'Green_rooibos initial weight'!$A$5:$A$1749,0)),"")</f>
        <v>2.0590000000000002</v>
      </c>
      <c r="K426">
        <f>IFERROR(INDEX('Green_rooibos initial weight'!$C$5:$C$1749,MATCH(I426, 'Green_rooibos initial weight'!$A$5:$A$1749,0)),"")</f>
        <v>2.2440000000000002</v>
      </c>
      <c r="L426" s="195">
        <f t="shared" si="65"/>
        <v>1.8092000000000001</v>
      </c>
      <c r="M426" s="240">
        <f>AVERAGE(Ashed_controlls!$K$1:$K$11)</f>
        <v>5.5147656768714146</v>
      </c>
      <c r="N426" s="195">
        <f t="shared" si="60"/>
        <v>1.7094268593740425</v>
      </c>
      <c r="O426" s="195">
        <f t="shared" si="66"/>
        <v>1.9942000000000002</v>
      </c>
      <c r="P426" s="240">
        <f>AVERAGE(Ashed_controlls!$K$12:$K$14)</f>
        <v>2.2816647271287041</v>
      </c>
      <c r="Q426" s="195">
        <f t="shared" si="61"/>
        <v>1.9486990420115995</v>
      </c>
      <c r="R426" s="16">
        <f>IF('Dry_Litterbag Placem_Collection'!G133="N.A","",'Dry_Litterbag Placem_Collection'!G133)</f>
        <v>43008</v>
      </c>
      <c r="S426" s="195">
        <f>IF(IFERROR(INDEX('Both teabags AfterDry'!$D$1:$D$839,MATCH(H426,'Both teabags AfterDry'!$A$1:$A$839,0)),"")="N.A","",(IFERROR(INDEX('Both teabags AfterDry'!$D$1:$D$839,MATCH(H426,'Both teabags AfterDry'!$A$1:$A$839,0)),"")))</f>
        <v>0.84750000000000003</v>
      </c>
      <c r="T426" s="195">
        <f>IF(IFERROR(INDEX('Both teabags AfterDry'!$D$1:$D$839,MATCH(I426,'Both teabags AfterDry'!$A$1:$A$839,0)),"")="N.A","",(IFERROR(INDEX('Both teabags AfterDry'!$D$1:$D$839,MATCH(I426,'Both teabags AfterDry'!$A$1:$A$839,0)),"")))</f>
        <v>1.7876000000000001</v>
      </c>
      <c r="U426" s="195">
        <f t="shared" si="67"/>
        <v>0.69690000000000007</v>
      </c>
      <c r="V426" s="195">
        <f t="shared" si="67"/>
        <v>1.637</v>
      </c>
      <c r="W426" s="195">
        <f>IFERROR(INDEX('Ashed teabags dry'!$K$2:$K$821,MATCH(H426,'Ashed teabags dry'!$A$2:$A$821,0)),"")</f>
        <v>16.880037932669509</v>
      </c>
      <c r="X426" s="195">
        <f>IFERROR(INDEX('Ashed teabags dry'!$K$2:$K$821,MATCH(I426,'Ashed teabags dry'!$A$2:$A$821,0)),"")</f>
        <v>4.3834296724473862</v>
      </c>
      <c r="Y426" s="195">
        <f t="shared" si="62"/>
        <v>0.57926301564722626</v>
      </c>
      <c r="Z426" s="195">
        <f t="shared" si="62"/>
        <v>1.5652432562620362</v>
      </c>
      <c r="AA426" s="195">
        <f t="shared" si="68"/>
        <v>0.661136121460417</v>
      </c>
      <c r="AB426" s="195">
        <f t="shared" si="69"/>
        <v>0.43342890623058222</v>
      </c>
      <c r="AC426" s="195">
        <f t="shared" si="63"/>
        <v>0.80322472712167481</v>
      </c>
      <c r="AD426">
        <f t="shared" si="64"/>
        <v>69</v>
      </c>
      <c r="AE426" s="195">
        <f t="shared" si="70"/>
        <v>0.21480270610401775</v>
      </c>
      <c r="AF426" s="195">
        <f t="shared" si="71"/>
        <v>8.7700025187662737E-3</v>
      </c>
      <c r="AG426" s="255" t="str">
        <f>IF(ISNUMBER(SEARCH("C", 'Dry_Litterbag Placem_Collection'!AD133)),"YES","NO")</f>
        <v>NO</v>
      </c>
      <c r="AH426" s="255" t="str">
        <f>IF(ISNUMBER(SEARCH("H", 'Dry_Litterbag Placem_Collection'!AD133)),"YES","NO")</f>
        <v>NO</v>
      </c>
      <c r="AI426" s="255" t="str">
        <f>IF(ISNUMBER(SEARCH("R", 'Dry_Litterbag Placem_Collection'!AD133)),"YES","NO")</f>
        <v>NO</v>
      </c>
      <c r="AJ426" s="255" t="str">
        <f>IF(ISNUMBER(SEARCH("C", 'Dry_Litterbag Placem_Collection'!AC133)),"YES","NO")</f>
        <v>NO</v>
      </c>
      <c r="AK426" s="255" t="str">
        <f>IF(ISNUMBER(SEARCH("H", 'Dry_Litterbag Placem_Collection'!AC133)),"YES","NO")</f>
        <v>NO</v>
      </c>
      <c r="AL426" s="255" t="str">
        <f>IF(ISNUMBER(SEARCH("R", 'Dry_Litterbag Placem_Collection'!AC133)),"YES","NO")</f>
        <v>NO</v>
      </c>
      <c r="AR426" t="s">
        <v>2002</v>
      </c>
      <c r="AT426" t="s">
        <v>953</v>
      </c>
    </row>
    <row r="427" spans="2:46">
      <c r="B427" t="str">
        <f>'Final data_for_R_analysis_Dryse'!A573</f>
        <v>Dry</v>
      </c>
      <c r="C427" s="263">
        <f>'Final data_for_R_analysis_Dryse'!B573</f>
        <v>132</v>
      </c>
      <c r="D427" t="s">
        <v>3846</v>
      </c>
      <c r="E427" t="s">
        <v>25</v>
      </c>
      <c r="F427" s="387">
        <v>4</v>
      </c>
      <c r="G427" s="16">
        <f>'Dry_Litterbag Placem_Collection'!E134</f>
        <v>0</v>
      </c>
      <c r="H427" s="92" t="str">
        <f>'Final data_for_R_analysis_Dryse'!J573</f>
        <v/>
      </c>
      <c r="I427" t="str">
        <f>'Final data_for_R_analysis_Dryse'!J793</f>
        <v/>
      </c>
      <c r="J427" t="str">
        <f>IFERROR(INDEX('Green_rooibos initial weight'!$C$5:$C$1749,MATCH(H427, 'Green_rooibos initial weight'!$A$5:$A$1749,0)),"")</f>
        <v/>
      </c>
      <c r="K427" t="str">
        <f>IFERROR(INDEX('Green_rooibos initial weight'!$C$5:$C$1749,MATCH(I427, 'Green_rooibos initial weight'!$A$5:$A$1749,0)),"")</f>
        <v/>
      </c>
      <c r="L427" s="195" t="str">
        <f t="shared" si="65"/>
        <v/>
      </c>
      <c r="M427" s="240">
        <f>AVERAGE(Ashed_controlls!$K$1:$K$11)</f>
        <v>5.5147656768714146</v>
      </c>
      <c r="N427" s="195" t="str">
        <f t="shared" si="60"/>
        <v/>
      </c>
      <c r="O427" s="195" t="str">
        <f t="shared" si="66"/>
        <v/>
      </c>
      <c r="P427" s="240">
        <f>AVERAGE(Ashed_controlls!$K$12:$K$14)</f>
        <v>2.2816647271287041</v>
      </c>
      <c r="Q427" s="195" t="str">
        <f t="shared" si="61"/>
        <v/>
      </c>
      <c r="R427" s="16">
        <f>IF('Dry_Litterbag Placem_Collection'!G134="N.A","",'Dry_Litterbag Placem_Collection'!G134)</f>
        <v>0</v>
      </c>
      <c r="S427" s="195" t="str">
        <f>IF(IFERROR(INDEX('Both teabags AfterDry'!$D$1:$D$839,MATCH(H427,'Both teabags AfterDry'!$A$1:$A$839,0)),"")="N.A","",(IFERROR(INDEX('Both teabags AfterDry'!$D$1:$D$839,MATCH(H427,'Both teabags AfterDry'!$A$1:$A$839,0)),"")))</f>
        <v/>
      </c>
      <c r="T427" s="195" t="str">
        <f>IF(IFERROR(INDEX('Both teabags AfterDry'!$D$1:$D$839,MATCH(I427,'Both teabags AfterDry'!$A$1:$A$839,0)),"")="N.A","",(IFERROR(INDEX('Both teabags AfterDry'!$D$1:$D$839,MATCH(I427,'Both teabags AfterDry'!$A$1:$A$839,0)),"")))</f>
        <v/>
      </c>
      <c r="U427" s="195" t="str">
        <f t="shared" si="67"/>
        <v/>
      </c>
      <c r="V427" s="195" t="str">
        <f t="shared" si="67"/>
        <v/>
      </c>
      <c r="W427" s="195" t="str">
        <f>IFERROR(INDEX('Ashed teabags dry'!$K$2:$K$821,MATCH(H427,'Ashed teabags dry'!$A$2:$A$821,0)),"")</f>
        <v/>
      </c>
      <c r="X427" s="195" t="str">
        <f>IFERROR(INDEX('Ashed teabags dry'!$K$2:$K$821,MATCH(I427,'Ashed teabags dry'!$A$2:$A$821,0)),"")</f>
        <v/>
      </c>
      <c r="Y427" s="195" t="str">
        <f t="shared" si="62"/>
        <v/>
      </c>
      <c r="Z427" s="195" t="str">
        <f t="shared" si="62"/>
        <v/>
      </c>
      <c r="AA427" s="195" t="str">
        <f t="shared" si="68"/>
        <v/>
      </c>
      <c r="AB427" s="195" t="str">
        <f t="shared" si="69"/>
        <v/>
      </c>
      <c r="AC427" s="195" t="str">
        <f t="shared" si="63"/>
        <v/>
      </c>
      <c r="AD427" t="str">
        <f t="shared" si="64"/>
        <v/>
      </c>
      <c r="AE427" s="195" t="str">
        <f t="shared" si="70"/>
        <v/>
      </c>
      <c r="AF427" s="195" t="str">
        <f t="shared" si="71"/>
        <v/>
      </c>
      <c r="AG427" s="255" t="str">
        <f>IF(ISNUMBER(SEARCH("C", 'Dry_Litterbag Placem_Collection'!AD134)),"YES","NO")</f>
        <v>NO</v>
      </c>
      <c r="AH427" s="255" t="str">
        <f>IF(ISNUMBER(SEARCH("H", 'Dry_Litterbag Placem_Collection'!AD134)),"YES","NO")</f>
        <v>NO</v>
      </c>
      <c r="AI427" s="255" t="str">
        <f>IF(ISNUMBER(SEARCH("R", 'Dry_Litterbag Placem_Collection'!AD134)),"YES","NO")</f>
        <v>NO</v>
      </c>
      <c r="AJ427" s="255" t="str">
        <f>IF(ISNUMBER(SEARCH("C", 'Dry_Litterbag Placem_Collection'!AC134)),"YES","NO")</f>
        <v>NO</v>
      </c>
      <c r="AK427" s="255" t="str">
        <f>IF(ISNUMBER(SEARCH("H", 'Dry_Litterbag Placem_Collection'!AC134)),"YES","NO")</f>
        <v>NO</v>
      </c>
      <c r="AL427" s="255" t="str">
        <f>IF(ISNUMBER(SEARCH("R", 'Dry_Litterbag Placem_Collection'!AC134)),"YES","NO")</f>
        <v>NO</v>
      </c>
      <c r="AR427" t="s">
        <v>3654</v>
      </c>
      <c r="AT427" t="s">
        <v>3654</v>
      </c>
    </row>
    <row r="428" spans="2:46">
      <c r="B428" t="str">
        <f>'Final data_for_R_analysis_Dryse'!A574</f>
        <v>Dry</v>
      </c>
      <c r="C428" s="263">
        <f>'Final data_for_R_analysis_Dryse'!B574</f>
        <v>133</v>
      </c>
      <c r="D428" t="s">
        <v>3846</v>
      </c>
      <c r="E428" t="s">
        <v>25</v>
      </c>
      <c r="F428" s="387">
        <v>5</v>
      </c>
      <c r="G428" s="16">
        <f>'Dry_Litterbag Placem_Collection'!E135</f>
        <v>42939</v>
      </c>
      <c r="H428" s="92" t="str">
        <f>'Final data_for_R_analysis_Dryse'!J574</f>
        <v>G210</v>
      </c>
      <c r="I428" t="str">
        <f>'Final data_for_R_analysis_Dryse'!J794</f>
        <v>R683</v>
      </c>
      <c r="J428">
        <f>IFERROR(INDEX('Green_rooibos initial weight'!$C$5:$C$1749,MATCH(H428, 'Green_rooibos initial weight'!$A$5:$A$1749,0)),"")</f>
        <v>1.923</v>
      </c>
      <c r="K428">
        <f>IFERROR(INDEX('Green_rooibos initial weight'!$C$5:$C$1749,MATCH(I428, 'Green_rooibos initial weight'!$A$5:$A$1749,0)),"")</f>
        <v>2.141</v>
      </c>
      <c r="L428" s="195">
        <f t="shared" si="65"/>
        <v>1.6732</v>
      </c>
      <c r="M428" s="240">
        <f>AVERAGE(Ashed_controlls!$K$1:$K$11)</f>
        <v>5.5147656768714146</v>
      </c>
      <c r="N428" s="195">
        <f t="shared" si="60"/>
        <v>1.5809269406945876</v>
      </c>
      <c r="O428" s="195">
        <f t="shared" si="66"/>
        <v>1.8912</v>
      </c>
      <c r="P428" s="240">
        <f>AVERAGE(Ashed_controlls!$K$12:$K$14)</f>
        <v>2.2816647271287041</v>
      </c>
      <c r="Q428" s="195">
        <f t="shared" si="61"/>
        <v>1.8480491566805419</v>
      </c>
      <c r="R428" s="16">
        <f>IF('Dry_Litterbag Placem_Collection'!G135="N.A","",'Dry_Litterbag Placem_Collection'!G135)</f>
        <v>43008</v>
      </c>
      <c r="S428" s="195" t="str">
        <f>IF(IFERROR(INDEX('Both teabags AfterDry'!$D$1:$D$839,MATCH(H428,'Both teabags AfterDry'!$A$1:$A$839,0)),"")="N.A","",(IFERROR(INDEX('Both teabags AfterDry'!$D$1:$D$839,MATCH(H428,'Both teabags AfterDry'!$A$1:$A$839,0)),"")))</f>
        <v/>
      </c>
      <c r="T428" s="195" t="str">
        <f>IF(IFERROR(INDEX('Both teabags AfterDry'!$D$1:$D$839,MATCH(I428,'Both teabags AfterDry'!$A$1:$A$839,0)),"")="N.A","",(IFERROR(INDEX('Both teabags AfterDry'!$D$1:$D$839,MATCH(I428,'Both teabags AfterDry'!$A$1:$A$839,0)),"")))</f>
        <v/>
      </c>
      <c r="U428" s="195" t="str">
        <f t="shared" si="67"/>
        <v/>
      </c>
      <c r="V428" s="195" t="str">
        <f t="shared" si="67"/>
        <v/>
      </c>
      <c r="W428" s="195" t="str">
        <f>IFERROR(INDEX('Ashed teabags dry'!$K$2:$K$821,MATCH(H428,'Ashed teabags dry'!$A$2:$A$821,0)),"")</f>
        <v/>
      </c>
      <c r="X428" s="195" t="str">
        <f>IFERROR(INDEX('Ashed teabags dry'!$K$2:$K$821,MATCH(I428,'Ashed teabags dry'!$A$2:$A$821,0)),"")</f>
        <v/>
      </c>
      <c r="Y428" s="195" t="str">
        <f t="shared" si="62"/>
        <v/>
      </c>
      <c r="Z428" s="195" t="str">
        <f t="shared" si="62"/>
        <v/>
      </c>
      <c r="AA428" s="195" t="str">
        <f t="shared" si="68"/>
        <v/>
      </c>
      <c r="AB428" s="195" t="str">
        <f t="shared" si="69"/>
        <v/>
      </c>
      <c r="AC428" s="195" t="str">
        <f t="shared" si="63"/>
        <v/>
      </c>
      <c r="AD428">
        <f t="shared" si="64"/>
        <v>69</v>
      </c>
      <c r="AE428" s="195" t="str">
        <f t="shared" si="70"/>
        <v/>
      </c>
      <c r="AF428" s="195" t="str">
        <f t="shared" si="71"/>
        <v/>
      </c>
      <c r="AG428" s="255" t="str">
        <f>IF(ISNUMBER(SEARCH("C", 'Dry_Litterbag Placem_Collection'!AD135)),"YES","NO")</f>
        <v>NO</v>
      </c>
      <c r="AH428" s="255" t="str">
        <f>IF(ISNUMBER(SEARCH("H", 'Dry_Litterbag Placem_Collection'!AD135)),"YES","NO")</f>
        <v>NO</v>
      </c>
      <c r="AI428" s="255" t="str">
        <f>IF(ISNUMBER(SEARCH("R", 'Dry_Litterbag Placem_Collection'!AD135)),"YES","NO")</f>
        <v>NO</v>
      </c>
      <c r="AJ428" s="255" t="str">
        <f>IF(ISNUMBER(SEARCH("C", 'Dry_Litterbag Placem_Collection'!AC135)),"YES","NO")</f>
        <v>NO</v>
      </c>
      <c r="AK428" s="255" t="str">
        <f>IF(ISNUMBER(SEARCH("H", 'Dry_Litterbag Placem_Collection'!AC135)),"YES","NO")</f>
        <v>NO</v>
      </c>
      <c r="AL428" s="255" t="str">
        <f>IF(ISNUMBER(SEARCH("R", 'Dry_Litterbag Placem_Collection'!AC135)),"YES","NO")</f>
        <v>NO</v>
      </c>
      <c r="AR428" t="s">
        <v>1840</v>
      </c>
      <c r="AT428" t="s">
        <v>456</v>
      </c>
    </row>
    <row r="429" spans="2:46">
      <c r="B429" t="str">
        <f>'Final data_for_R_analysis_Dryse'!A575</f>
        <v>Dry</v>
      </c>
      <c r="C429" s="263">
        <f>'Final data_for_R_analysis_Dryse'!B575</f>
        <v>134</v>
      </c>
      <c r="D429" t="s">
        <v>3846</v>
      </c>
      <c r="E429" t="s">
        <v>25</v>
      </c>
      <c r="F429" s="387">
        <v>6</v>
      </c>
      <c r="G429" s="16">
        <f>'Dry_Litterbag Placem_Collection'!E136</f>
        <v>42939</v>
      </c>
      <c r="H429" s="92" t="str">
        <f>'Final data_for_R_analysis_Dryse'!J575</f>
        <v>G40</v>
      </c>
      <c r="I429" t="str">
        <f>'Final data_for_R_analysis_Dryse'!J795</f>
        <v>R649</v>
      </c>
      <c r="J429">
        <f>IFERROR(INDEX('Green_rooibos initial weight'!$C$5:$C$1749,MATCH(H429, 'Green_rooibos initial weight'!$A$5:$A$1749,0)),"")</f>
        <v>2.0369999999999999</v>
      </c>
      <c r="K429">
        <f>IFERROR(INDEX('Green_rooibos initial weight'!$C$5:$C$1749,MATCH(I429, 'Green_rooibos initial weight'!$A$5:$A$1749,0)),"")</f>
        <v>2.161</v>
      </c>
      <c r="L429" s="195">
        <f t="shared" si="65"/>
        <v>1.7871999999999999</v>
      </c>
      <c r="M429" s="240">
        <f>AVERAGE(Ashed_controlls!$K$1:$K$11)</f>
        <v>5.5147656768714146</v>
      </c>
      <c r="N429" s="195">
        <f t="shared" si="60"/>
        <v>1.688640107822954</v>
      </c>
      <c r="O429" s="195">
        <f t="shared" si="66"/>
        <v>1.9112</v>
      </c>
      <c r="P429" s="240">
        <f>AVERAGE(Ashed_controlls!$K$12:$K$14)</f>
        <v>2.2816647271287041</v>
      </c>
      <c r="Q429" s="195">
        <f t="shared" si="61"/>
        <v>1.8675928237351163</v>
      </c>
      <c r="R429" s="16">
        <f>IF('Dry_Litterbag Placem_Collection'!G136="N.A","",'Dry_Litterbag Placem_Collection'!G136)</f>
        <v>43008</v>
      </c>
      <c r="S429" s="195">
        <f>IF(IFERROR(INDEX('Both teabags AfterDry'!$D$1:$D$839,MATCH(H429,'Both teabags AfterDry'!$A$1:$A$839,0)),"")="N.A","",(IFERROR(INDEX('Both teabags AfterDry'!$D$1:$D$839,MATCH(H429,'Both teabags AfterDry'!$A$1:$A$839,0)),"")))</f>
        <v>0.68400000000000005</v>
      </c>
      <c r="T429" s="195">
        <f>IF(IFERROR(INDEX('Both teabags AfterDry'!$D$1:$D$839,MATCH(I429,'Both teabags AfterDry'!$A$1:$A$839,0)),"")="N.A","",(IFERROR(INDEX('Both teabags AfterDry'!$D$1:$D$839,MATCH(I429,'Both teabags AfterDry'!$A$1:$A$839,0)),"")))</f>
        <v>1.7554000000000001</v>
      </c>
      <c r="U429" s="195">
        <f t="shared" si="67"/>
        <v>0.5334000000000001</v>
      </c>
      <c r="V429" s="195">
        <f t="shared" si="67"/>
        <v>1.6048</v>
      </c>
      <c r="W429" s="195">
        <f>IFERROR(INDEX('Ashed teabags dry'!$K$2:$K$821,MATCH(H429,'Ashed teabags dry'!$A$2:$A$821,0)),"")</f>
        <v>16.995073891625683</v>
      </c>
      <c r="X429" s="195">
        <f>IFERROR(INDEX('Ashed teabags dry'!$K$2:$K$821,MATCH(I429,'Ashed teabags dry'!$A$2:$A$821,0)),"")</f>
        <v>5.5740828966174707</v>
      </c>
      <c r="Y429" s="195">
        <f t="shared" si="62"/>
        <v>0.44274827586206866</v>
      </c>
      <c r="Z429" s="195">
        <f t="shared" si="62"/>
        <v>1.5153471176750828</v>
      </c>
      <c r="AA429" s="195">
        <f t="shared" si="68"/>
        <v>0.73780779349551684</v>
      </c>
      <c r="AB429" s="195">
        <f t="shared" si="69"/>
        <v>0.48369347032010135</v>
      </c>
      <c r="AC429" s="195">
        <f t="shared" si="63"/>
        <v>0.81139052282522961</v>
      </c>
      <c r="AD429">
        <f t="shared" si="64"/>
        <v>69</v>
      </c>
      <c r="AE429" s="195">
        <f t="shared" si="70"/>
        <v>0.1237437131882223</v>
      </c>
      <c r="AF429" s="195">
        <f t="shared" si="71"/>
        <v>7.1621933616757526E-3</v>
      </c>
      <c r="AG429" s="255" t="str">
        <f>IF(ISNUMBER(SEARCH("C", 'Dry_Litterbag Placem_Collection'!AD136)),"YES","NO")</f>
        <v>NO</v>
      </c>
      <c r="AH429" s="255" t="str">
        <f>IF(ISNUMBER(SEARCH("H", 'Dry_Litterbag Placem_Collection'!AD136)),"YES","NO")</f>
        <v>NO</v>
      </c>
      <c r="AI429" s="255" t="str">
        <f>IF(ISNUMBER(SEARCH("R", 'Dry_Litterbag Placem_Collection'!AD136)),"YES","NO")</f>
        <v>NO</v>
      </c>
      <c r="AJ429" s="255" t="str">
        <f>IF(ISNUMBER(SEARCH("C", 'Dry_Litterbag Placem_Collection'!AC136)),"YES","NO")</f>
        <v>NO</v>
      </c>
      <c r="AK429" s="255" t="str">
        <f>IF(ISNUMBER(SEARCH("H", 'Dry_Litterbag Placem_Collection'!AC136)),"YES","NO")</f>
        <v>NO</v>
      </c>
      <c r="AL429" s="255" t="str">
        <f>IF(ISNUMBER(SEARCH("R", 'Dry_Litterbag Placem_Collection'!AC136)),"YES","NO")</f>
        <v>NO</v>
      </c>
      <c r="AR429" t="s">
        <v>2010</v>
      </c>
      <c r="AT429" t="s">
        <v>490</v>
      </c>
    </row>
    <row r="430" spans="2:46">
      <c r="B430" t="str">
        <f>'Final data_for_R_analysis_Dryse'!A576</f>
        <v>Dry</v>
      </c>
      <c r="C430" s="263">
        <f>'Final data_for_R_analysis_Dryse'!B576</f>
        <v>135</v>
      </c>
      <c r="D430" t="s">
        <v>3846</v>
      </c>
      <c r="E430" t="s">
        <v>25</v>
      </c>
      <c r="F430" s="387">
        <v>7</v>
      </c>
      <c r="G430" s="16">
        <f>'Dry_Litterbag Placem_Collection'!E137</f>
        <v>42939</v>
      </c>
      <c r="H430" s="92" t="str">
        <f>'Final data_for_R_analysis_Dryse'!J576</f>
        <v>G517</v>
      </c>
      <c r="I430" t="str">
        <f>'Final data_for_R_analysis_Dryse'!J796</f>
        <v>R223</v>
      </c>
      <c r="J430">
        <f>IFERROR(INDEX('Green_rooibos initial weight'!$C$5:$C$1749,MATCH(H430, 'Green_rooibos initial weight'!$A$5:$A$1749,0)),"")</f>
        <v>2.069</v>
      </c>
      <c r="K430">
        <f>IFERROR(INDEX('Green_rooibos initial weight'!$C$5:$C$1749,MATCH(I430, 'Green_rooibos initial weight'!$A$5:$A$1749,0)),"")</f>
        <v>2.2170000000000001</v>
      </c>
      <c r="L430" s="195">
        <f t="shared" si="65"/>
        <v>1.8191999999999999</v>
      </c>
      <c r="M430" s="240">
        <f>AVERAGE(Ashed_controlls!$K$1:$K$11)</f>
        <v>5.5147656768714146</v>
      </c>
      <c r="N430" s="195">
        <f t="shared" si="60"/>
        <v>1.7188753828063552</v>
      </c>
      <c r="O430" s="195">
        <f t="shared" si="66"/>
        <v>1.9672000000000001</v>
      </c>
      <c r="P430" s="240">
        <f>AVERAGE(Ashed_controlls!$K$12:$K$14)</f>
        <v>2.2816647271287041</v>
      </c>
      <c r="Q430" s="195">
        <f t="shared" si="61"/>
        <v>1.9223150914879241</v>
      </c>
      <c r="R430" s="16">
        <f>IF('Dry_Litterbag Placem_Collection'!G137="N.A","",'Dry_Litterbag Placem_Collection'!G137)</f>
        <v>43008</v>
      </c>
      <c r="S430" s="195">
        <f>IF(IFERROR(INDEX('Both teabags AfterDry'!$D$1:$D$839,MATCH(H430,'Both teabags AfterDry'!$A$1:$A$839,0)),"")="N.A","",(IFERROR(INDEX('Both teabags AfterDry'!$D$1:$D$839,MATCH(H430,'Both teabags AfterDry'!$A$1:$A$839,0)),"")))</f>
        <v>0.7097</v>
      </c>
      <c r="T430" s="195">
        <f>IF(IFERROR(INDEX('Both teabags AfterDry'!$D$1:$D$839,MATCH(I430,'Both teabags AfterDry'!$A$1:$A$839,0)),"")="N.A","",(IFERROR(INDEX('Both teabags AfterDry'!$D$1:$D$839,MATCH(I430,'Both teabags AfterDry'!$A$1:$A$839,0)),"")))</f>
        <v>1.7884</v>
      </c>
      <c r="U430" s="195">
        <f t="shared" si="67"/>
        <v>0.55909999999999993</v>
      </c>
      <c r="V430" s="195">
        <f t="shared" si="67"/>
        <v>1.6377999999999999</v>
      </c>
      <c r="W430" s="195">
        <f>IFERROR(INDEX('Ashed teabags dry'!$K$2:$K$821,MATCH(H430,'Ashed teabags dry'!$A$2:$A$821,0)),"")</f>
        <v>18.257464512971215</v>
      </c>
      <c r="X430" s="195">
        <f>IFERROR(INDEX('Ashed teabags dry'!$K$2:$K$821,MATCH(I430,'Ashed teabags dry'!$A$2:$A$821,0)),"")</f>
        <v>7.1172784243511256</v>
      </c>
      <c r="Y430" s="195">
        <f t="shared" si="62"/>
        <v>0.45702251590797788</v>
      </c>
      <c r="Z430" s="195">
        <f t="shared" si="62"/>
        <v>1.5212332139659772</v>
      </c>
      <c r="AA430" s="195">
        <f t="shared" si="68"/>
        <v>0.73411538702601509</v>
      </c>
      <c r="AB430" s="195">
        <f t="shared" si="69"/>
        <v>0.48127279529496486</v>
      </c>
      <c r="AC430" s="195">
        <f t="shared" si="63"/>
        <v>0.79135476837384722</v>
      </c>
      <c r="AD430">
        <f t="shared" si="64"/>
        <v>69</v>
      </c>
      <c r="AE430" s="195">
        <f t="shared" si="70"/>
        <v>0.12812899403086087</v>
      </c>
      <c r="AF430" s="195">
        <f t="shared" si="71"/>
        <v>8.2366322203474857E-3</v>
      </c>
      <c r="AG430" s="255" t="str">
        <f>IF(ISNUMBER(SEARCH("C", 'Dry_Litterbag Placem_Collection'!AD137)),"YES","NO")</f>
        <v>NO</v>
      </c>
      <c r="AH430" s="255" t="str">
        <f>IF(ISNUMBER(SEARCH("H", 'Dry_Litterbag Placem_Collection'!AD137)),"YES","NO")</f>
        <v>NO</v>
      </c>
      <c r="AI430" s="255" t="str">
        <f>IF(ISNUMBER(SEARCH("R", 'Dry_Litterbag Placem_Collection'!AD137)),"YES","NO")</f>
        <v>NO</v>
      </c>
      <c r="AJ430" s="255" t="str">
        <f>IF(ISNUMBER(SEARCH("C", 'Dry_Litterbag Placem_Collection'!AC137)),"YES","NO")</f>
        <v>NO</v>
      </c>
      <c r="AK430" s="255" t="str">
        <f>IF(ISNUMBER(SEARCH("H", 'Dry_Litterbag Placem_Collection'!AC137)),"YES","NO")</f>
        <v>NO</v>
      </c>
      <c r="AL430" s="255" t="str">
        <f>IF(ISNUMBER(SEARCH("R", 'Dry_Litterbag Placem_Collection'!AC137)),"YES","NO")</f>
        <v>NO</v>
      </c>
      <c r="AR430" t="s">
        <v>1533</v>
      </c>
      <c r="AT430" t="s">
        <v>918</v>
      </c>
    </row>
    <row r="431" spans="2:46">
      <c r="B431" t="str">
        <f>'Final data_for_R_analysis_Dryse'!A577</f>
        <v>Dry</v>
      </c>
      <c r="C431" s="263">
        <f>'Final data_for_R_analysis_Dryse'!B577</f>
        <v>136</v>
      </c>
      <c r="D431" t="s">
        <v>3846</v>
      </c>
      <c r="E431" t="s">
        <v>25</v>
      </c>
      <c r="F431" s="387">
        <v>8</v>
      </c>
      <c r="G431" s="16">
        <f>'Dry_Litterbag Placem_Collection'!E138</f>
        <v>42939</v>
      </c>
      <c r="H431" s="92" t="str">
        <f>'Final data_for_R_analysis_Dryse'!J577</f>
        <v>G67</v>
      </c>
      <c r="I431" t="str">
        <f>'Final data_for_R_analysis_Dryse'!J797</f>
        <v>R214</v>
      </c>
      <c r="J431">
        <f>IFERROR(INDEX('Green_rooibos initial weight'!$C$5:$C$1749,MATCH(H431, 'Green_rooibos initial weight'!$A$5:$A$1749,0)),"")</f>
        <v>1.984</v>
      </c>
      <c r="K431">
        <f>IFERROR(INDEX('Green_rooibos initial weight'!$C$5:$C$1749,MATCH(I431, 'Green_rooibos initial weight'!$A$5:$A$1749,0)),"")</f>
        <v>2.1960000000000002</v>
      </c>
      <c r="L431" s="195">
        <f t="shared" si="65"/>
        <v>1.7342</v>
      </c>
      <c r="M431" s="240">
        <f>AVERAGE(Ashed_controlls!$K$1:$K$11)</f>
        <v>5.5147656768714146</v>
      </c>
      <c r="N431" s="195">
        <f t="shared" si="60"/>
        <v>1.6385629336316958</v>
      </c>
      <c r="O431" s="195">
        <f t="shared" si="66"/>
        <v>1.9462000000000002</v>
      </c>
      <c r="P431" s="240">
        <f>AVERAGE(Ashed_controlls!$K$12:$K$14)</f>
        <v>2.2816647271287041</v>
      </c>
      <c r="Q431" s="195">
        <f t="shared" si="61"/>
        <v>1.9017942410806212</v>
      </c>
      <c r="R431" s="16">
        <f>IF('Dry_Litterbag Placem_Collection'!G138="N.A","",'Dry_Litterbag Placem_Collection'!G138)</f>
        <v>43008</v>
      </c>
      <c r="S431" s="195">
        <f>IF(IFERROR(INDEX('Both teabags AfterDry'!$D$1:$D$839,MATCH(H431,'Both teabags AfterDry'!$A$1:$A$839,0)),"")="N.A","",(IFERROR(INDEX('Both teabags AfterDry'!$D$1:$D$839,MATCH(H431,'Both teabags AfterDry'!$A$1:$A$839,0)),"")))</f>
        <v>0.77739999999999998</v>
      </c>
      <c r="T431" s="195">
        <f>IF(IFERROR(INDEX('Both teabags AfterDry'!$D$1:$D$839,MATCH(I431,'Both teabags AfterDry'!$A$1:$A$839,0)),"")="N.A","",(IFERROR(INDEX('Both teabags AfterDry'!$D$1:$D$839,MATCH(I431,'Both teabags AfterDry'!$A$1:$A$839,0)),"")))</f>
        <v>1.7265999999999999</v>
      </c>
      <c r="U431" s="195">
        <f t="shared" si="67"/>
        <v>0.62680000000000002</v>
      </c>
      <c r="V431" s="195">
        <f t="shared" si="67"/>
        <v>1.5759999999999998</v>
      </c>
      <c r="W431" s="195">
        <f>IFERROR(INDEX('Ashed teabags dry'!$K$2:$K$821,MATCH(H431,'Ashed teabags dry'!$A$2:$A$821,0)),"")</f>
        <v>23.004251299007908</v>
      </c>
      <c r="X431" s="195">
        <f>IFERROR(INDEX('Ashed teabags dry'!$K$2:$K$821,MATCH(I431,'Ashed teabags dry'!$A$2:$A$821,0)),"")</f>
        <v>9.4517958412093144</v>
      </c>
      <c r="Y431" s="195">
        <f t="shared" si="62"/>
        <v>0.48260935285781847</v>
      </c>
      <c r="Z431" s="195">
        <f t="shared" si="62"/>
        <v>1.427039697542541</v>
      </c>
      <c r="AA431" s="195">
        <f t="shared" si="68"/>
        <v>0.70546791767822581</v>
      </c>
      <c r="AB431" s="195">
        <f t="shared" si="69"/>
        <v>0.46249203154201984</v>
      </c>
      <c r="AC431" s="195">
        <f t="shared" si="63"/>
        <v>0.7503649273497015</v>
      </c>
      <c r="AD431">
        <f t="shared" si="64"/>
        <v>69</v>
      </c>
      <c r="AE431" s="195">
        <f t="shared" si="70"/>
        <v>0.16215211677170327</v>
      </c>
      <c r="AF431" s="195">
        <f t="shared" si="71"/>
        <v>1.1246506407086737E-2</v>
      </c>
      <c r="AG431" s="255" t="str">
        <f>IF(ISNUMBER(SEARCH("C", 'Dry_Litterbag Placem_Collection'!AD138)),"YES","NO")</f>
        <v>NO</v>
      </c>
      <c r="AH431" s="255" t="str">
        <f>IF(ISNUMBER(SEARCH("H", 'Dry_Litterbag Placem_Collection'!AD138)),"YES","NO")</f>
        <v>NO</v>
      </c>
      <c r="AI431" s="255" t="str">
        <f>IF(ISNUMBER(SEARCH("R", 'Dry_Litterbag Placem_Collection'!AD138)),"YES","NO")</f>
        <v>NO</v>
      </c>
      <c r="AJ431" s="255" t="str">
        <f>IF(ISNUMBER(SEARCH("C", 'Dry_Litterbag Placem_Collection'!AC138)),"YES","NO")</f>
        <v>NO</v>
      </c>
      <c r="AK431" s="255" t="str">
        <f>IF(ISNUMBER(SEARCH("H", 'Dry_Litterbag Placem_Collection'!AC138)),"YES","NO")</f>
        <v>NO</v>
      </c>
      <c r="AL431" s="255" t="str">
        <f>IF(ISNUMBER(SEARCH("R", 'Dry_Litterbag Placem_Collection'!AC138)),"YES","NO")</f>
        <v>NO</v>
      </c>
      <c r="AR431" t="s">
        <v>1983</v>
      </c>
      <c r="AT431" t="s">
        <v>927</v>
      </c>
    </row>
    <row r="432" spans="2:46">
      <c r="B432" t="str">
        <f>'Final data_for_R_analysis_Dryse'!A578</f>
        <v>Dry</v>
      </c>
      <c r="C432" s="263">
        <f>'Final data_for_R_analysis_Dryse'!B578</f>
        <v>137</v>
      </c>
      <c r="D432" t="s">
        <v>3848</v>
      </c>
      <c r="E432" t="s">
        <v>25</v>
      </c>
      <c r="F432" s="386">
        <v>1</v>
      </c>
      <c r="G432" s="16">
        <f>'Dry_Litterbag Placem_Collection'!E139</f>
        <v>42939</v>
      </c>
      <c r="H432" s="92" t="str">
        <f>'Final data_for_R_analysis_Dryse'!J578</f>
        <v>G335</v>
      </c>
      <c r="I432" t="str">
        <f>'Final data_for_R_analysis_Dryse'!J798</f>
        <v>R628</v>
      </c>
      <c r="J432">
        <f>IFERROR(INDEX('Green_rooibos initial weight'!$C$5:$C$1749,MATCH(H432, 'Green_rooibos initial weight'!$A$5:$A$1749,0)),"")</f>
        <v>1.956</v>
      </c>
      <c r="K432">
        <f>IFERROR(INDEX('Green_rooibos initial weight'!$C$5:$C$1749,MATCH(I432, 'Green_rooibos initial weight'!$A$5:$A$1749,0)),"")</f>
        <v>2.0110000000000001</v>
      </c>
      <c r="L432" s="195">
        <f t="shared" si="65"/>
        <v>1.7061999999999999</v>
      </c>
      <c r="M432" s="240">
        <f>AVERAGE(Ashed_controlls!$K$1:$K$11)</f>
        <v>5.5147656768714146</v>
      </c>
      <c r="N432" s="195">
        <f t="shared" si="60"/>
        <v>1.6121070680212199</v>
      </c>
      <c r="O432" s="195">
        <f t="shared" si="66"/>
        <v>1.7612000000000001</v>
      </c>
      <c r="P432" s="240">
        <f>AVERAGE(Ashed_controlls!$K$12:$K$14)</f>
        <v>2.2816647271287041</v>
      </c>
      <c r="Q432" s="195">
        <f t="shared" si="61"/>
        <v>1.7210153208258094</v>
      </c>
      <c r="R432" s="16">
        <f>IF('Dry_Litterbag Placem_Collection'!G139="N.A","",'Dry_Litterbag Placem_Collection'!G139)</f>
        <v>43008</v>
      </c>
      <c r="S432" s="195">
        <f>IF(IFERROR(INDEX('Both teabags AfterDry'!$D$1:$D$839,MATCH(H432,'Both teabags AfterDry'!$A$1:$A$839,0)),"")="N.A","",(IFERROR(INDEX('Both teabags AfterDry'!$D$1:$D$839,MATCH(H432,'Both teabags AfterDry'!$A$1:$A$839,0)),"")))</f>
        <v>0.85829999999999995</v>
      </c>
      <c r="T432" s="195">
        <f>IF(IFERROR(INDEX('Both teabags AfterDry'!$D$1:$D$839,MATCH(I432,'Both teabags AfterDry'!$A$1:$A$839,0)),"")="N.A","",(IFERROR(INDEX('Both teabags AfterDry'!$D$1:$D$839,MATCH(I432,'Both teabags AfterDry'!$A$1:$A$839,0)),"")))</f>
        <v>1.7652000000000001</v>
      </c>
      <c r="U432" s="195">
        <f t="shared" si="67"/>
        <v>0.7077</v>
      </c>
      <c r="V432" s="195">
        <f t="shared" si="67"/>
        <v>1.6146</v>
      </c>
      <c r="W432" s="195">
        <f>IFERROR(INDEX('Ashed teabags dry'!$K$2:$K$821,MATCH(H432,'Ashed teabags dry'!$A$2:$A$821,0)),"")</f>
        <v>28.521997034107514</v>
      </c>
      <c r="X432" s="195">
        <f>IFERROR(INDEX('Ashed teabags dry'!$K$2:$K$821,MATCH(I432,'Ashed teabags dry'!$A$2:$A$821,0)),"")</f>
        <v>9.0322580645165651</v>
      </c>
      <c r="Y432" s="195">
        <f t="shared" si="62"/>
        <v>0.50584982698962111</v>
      </c>
      <c r="Z432" s="195">
        <f t="shared" si="62"/>
        <v>1.4687651612903156</v>
      </c>
      <c r="AA432" s="195">
        <f t="shared" si="68"/>
        <v>0.68621821898558744</v>
      </c>
      <c r="AB432" s="195">
        <f t="shared" si="69"/>
        <v>0.44987227657962509</v>
      </c>
      <c r="AC432" s="195">
        <f t="shared" si="63"/>
        <v>0.85342945150862781</v>
      </c>
      <c r="AD432">
        <f t="shared" si="64"/>
        <v>69</v>
      </c>
      <c r="AE432" s="195">
        <f t="shared" si="70"/>
        <v>0.1850139917035778</v>
      </c>
      <c r="AF432" s="195">
        <f t="shared" si="71"/>
        <v>5.7135594254398006E-3</v>
      </c>
      <c r="AG432" s="255" t="str">
        <f>IF(ISNUMBER(SEARCH("C", 'Dry_Litterbag Placem_Collection'!AD139)),"YES","NO")</f>
        <v>NO</v>
      </c>
      <c r="AH432" s="255" t="str">
        <f>IF(ISNUMBER(SEARCH("H", 'Dry_Litterbag Placem_Collection'!AD139)),"YES","NO")</f>
        <v>NO</v>
      </c>
      <c r="AI432" s="255" t="str">
        <f>IF(ISNUMBER(SEARCH("R", 'Dry_Litterbag Placem_Collection'!AD139)),"YES","NO")</f>
        <v>NO</v>
      </c>
      <c r="AJ432" s="255" t="str">
        <f>IF(ISNUMBER(SEARCH("C", 'Dry_Litterbag Placem_Collection'!AC139)),"YES","NO")</f>
        <v>NO</v>
      </c>
      <c r="AK432" s="255" t="str">
        <f>IF(ISNUMBER(SEARCH("H", 'Dry_Litterbag Placem_Collection'!AC139)),"YES","NO")</f>
        <v>NO</v>
      </c>
      <c r="AL432" s="255" t="str">
        <f>IF(ISNUMBER(SEARCH("R", 'Dry_Litterbag Placem_Collection'!AC139)),"YES","NO")</f>
        <v>NO</v>
      </c>
      <c r="AR432" t="s">
        <v>1715</v>
      </c>
      <c r="AT432" t="s">
        <v>511</v>
      </c>
    </row>
    <row r="433" spans="2:46">
      <c r="B433" t="str">
        <f>'Final data_for_R_analysis_Dryse'!A579</f>
        <v>Dry</v>
      </c>
      <c r="C433" s="263">
        <f>'Final data_for_R_analysis_Dryse'!B579</f>
        <v>138</v>
      </c>
      <c r="D433" t="s">
        <v>3848</v>
      </c>
      <c r="E433" t="s">
        <v>25</v>
      </c>
      <c r="F433" s="386">
        <v>2</v>
      </c>
      <c r="G433" s="16">
        <f>'Dry_Litterbag Placem_Collection'!E140</f>
        <v>42939</v>
      </c>
      <c r="H433" s="92" t="str">
        <f>'Final data_for_R_analysis_Dryse'!J579</f>
        <v>G484</v>
      </c>
      <c r="I433" t="str">
        <f>'Final data_for_R_analysis_Dryse'!J799</f>
        <v>R198</v>
      </c>
      <c r="J433">
        <f>IFERROR(INDEX('Green_rooibos initial weight'!$C$5:$C$1749,MATCH(H433, 'Green_rooibos initial weight'!$A$5:$A$1749,0)),"")</f>
        <v>2.0009999999999999</v>
      </c>
      <c r="K433">
        <f>IFERROR(INDEX('Green_rooibos initial weight'!$C$5:$C$1749,MATCH(I433, 'Green_rooibos initial weight'!$A$5:$A$1749,0)),"")</f>
        <v>2.1970000000000001</v>
      </c>
      <c r="L433" s="195">
        <f t="shared" si="65"/>
        <v>1.7511999999999999</v>
      </c>
      <c r="M433" s="240">
        <f>AVERAGE(Ashed_controlls!$K$1:$K$11)</f>
        <v>5.5147656768714146</v>
      </c>
      <c r="N433" s="195">
        <f t="shared" si="60"/>
        <v>1.6546254234666278</v>
      </c>
      <c r="O433" s="195">
        <f t="shared" si="66"/>
        <v>1.9472</v>
      </c>
      <c r="P433" s="240">
        <f>AVERAGE(Ashed_controlls!$K$12:$K$14)</f>
        <v>2.2816647271287041</v>
      </c>
      <c r="Q433" s="195">
        <f t="shared" si="61"/>
        <v>1.90277142443335</v>
      </c>
      <c r="R433" s="16">
        <f>IF('Dry_Litterbag Placem_Collection'!G140="N.A","",'Dry_Litterbag Placem_Collection'!G140)</f>
        <v>43008</v>
      </c>
      <c r="S433" s="195">
        <f>IF(IFERROR(INDEX('Both teabags AfterDry'!$D$1:$D$839,MATCH(H433,'Both teabags AfterDry'!$A$1:$A$839,0)),"")="N.A","",(IFERROR(INDEX('Both teabags AfterDry'!$D$1:$D$839,MATCH(H433,'Both teabags AfterDry'!$A$1:$A$839,0)),"")))</f>
        <v>0.66439999999999999</v>
      </c>
      <c r="T433" s="195">
        <f>IF(IFERROR(INDEX('Both teabags AfterDry'!$D$1:$D$839,MATCH(I433,'Both teabags AfterDry'!$A$1:$A$839,0)),"")="N.A","",(IFERROR(INDEX('Both teabags AfterDry'!$D$1:$D$839,MATCH(I433,'Both teabags AfterDry'!$A$1:$A$839,0)),"")))</f>
        <v>1.7765</v>
      </c>
      <c r="U433" s="195">
        <f t="shared" si="67"/>
        <v>0.51380000000000003</v>
      </c>
      <c r="V433" s="195">
        <f t="shared" si="67"/>
        <v>1.6258999999999999</v>
      </c>
      <c r="W433" s="195">
        <f>IFERROR(INDEX('Ashed teabags dry'!$K$2:$K$821,MATCH(H433,'Ashed teabags dry'!$A$2:$A$821,0)),"")</f>
        <v>17.053529133112047</v>
      </c>
      <c r="X433" s="195">
        <f>IFERROR(INDEX('Ashed teabags dry'!$K$2:$K$821,MATCH(I433,'Ashed teabags dry'!$A$2:$A$821,0)),"")</f>
        <v>5.3694581280797298</v>
      </c>
      <c r="Y433" s="195">
        <f t="shared" si="62"/>
        <v>0.42617896731407034</v>
      </c>
      <c r="Z433" s="195">
        <f t="shared" si="62"/>
        <v>1.5385979802955516</v>
      </c>
      <c r="AA433" s="195">
        <f t="shared" si="68"/>
        <v>0.74243175448061405</v>
      </c>
      <c r="AB433" s="195">
        <f t="shared" si="69"/>
        <v>0.4867248556690012</v>
      </c>
      <c r="AC433" s="195">
        <f t="shared" si="63"/>
        <v>0.80860893775181109</v>
      </c>
      <c r="AD433">
        <f t="shared" si="64"/>
        <v>69</v>
      </c>
      <c r="AE433" s="195">
        <f t="shared" si="70"/>
        <v>0.11825207306340368</v>
      </c>
      <c r="AF433" s="195">
        <f t="shared" si="71"/>
        <v>7.2404748628389802E-3</v>
      </c>
      <c r="AG433" s="255" t="str">
        <f>IF(ISNUMBER(SEARCH("C", 'Dry_Litterbag Placem_Collection'!AD140)),"YES","NO")</f>
        <v>NO</v>
      </c>
      <c r="AH433" s="255" t="str">
        <f>IF(ISNUMBER(SEARCH("H", 'Dry_Litterbag Placem_Collection'!AD140)),"YES","NO")</f>
        <v>NO</v>
      </c>
      <c r="AI433" s="255" t="str">
        <f>IF(ISNUMBER(SEARCH("R", 'Dry_Litterbag Placem_Collection'!AD140)),"YES","NO")</f>
        <v>NO</v>
      </c>
      <c r="AJ433" s="255" t="str">
        <f>IF(ISNUMBER(SEARCH("C", 'Dry_Litterbag Placem_Collection'!AC140)),"YES","NO")</f>
        <v>NO</v>
      </c>
      <c r="AK433" s="255" t="str">
        <f>IF(ISNUMBER(SEARCH("H", 'Dry_Litterbag Placem_Collection'!AC140)),"YES","NO")</f>
        <v>NO</v>
      </c>
      <c r="AL433" s="255" t="str">
        <f>IF(ISNUMBER(SEARCH("R", 'Dry_Litterbag Placem_Collection'!AC140)),"YES","NO")</f>
        <v>NO</v>
      </c>
      <c r="AR433" t="s">
        <v>1566</v>
      </c>
      <c r="AT433" t="s">
        <v>943</v>
      </c>
    </row>
    <row r="434" spans="2:46">
      <c r="B434" t="str">
        <f>'Final data_for_R_analysis_Dryse'!A580</f>
        <v>Dry</v>
      </c>
      <c r="C434" s="263">
        <f>'Final data_for_R_analysis_Dryse'!B580</f>
        <v>139</v>
      </c>
      <c r="D434" t="s">
        <v>3848</v>
      </c>
      <c r="E434" t="s">
        <v>25</v>
      </c>
      <c r="F434" s="386">
        <v>3</v>
      </c>
      <c r="G434" s="16">
        <f>'Dry_Litterbag Placem_Collection'!E141</f>
        <v>42939</v>
      </c>
      <c r="H434" s="92" t="str">
        <f>'Final data_for_R_analysis_Dryse'!J580</f>
        <v>G868</v>
      </c>
      <c r="I434" t="str">
        <f>'Final data_for_R_analysis_Dryse'!J800</f>
        <v>R706</v>
      </c>
      <c r="J434">
        <f>IFERROR(INDEX('Green_rooibos initial weight'!$C$5:$C$1749,MATCH(H434, 'Green_rooibos initial weight'!$A$5:$A$1749,0)),"")</f>
        <v>1.95</v>
      </c>
      <c r="K434">
        <f>IFERROR(INDEX('Green_rooibos initial weight'!$C$5:$C$1749,MATCH(I434, 'Green_rooibos initial weight'!$A$5:$A$1749,0)),"")</f>
        <v>2.1480000000000001</v>
      </c>
      <c r="L434" s="195">
        <f t="shared" si="65"/>
        <v>1.7001999999999999</v>
      </c>
      <c r="M434" s="240">
        <f>AVERAGE(Ashed_controlls!$K$1:$K$11)</f>
        <v>5.5147656768714146</v>
      </c>
      <c r="N434" s="195">
        <f t="shared" si="60"/>
        <v>1.6064379539618321</v>
      </c>
      <c r="O434" s="195">
        <f t="shared" si="66"/>
        <v>1.8982000000000001</v>
      </c>
      <c r="P434" s="240">
        <f>AVERAGE(Ashed_controlls!$K$12:$K$14)</f>
        <v>2.2816647271287041</v>
      </c>
      <c r="Q434" s="195">
        <f t="shared" si="61"/>
        <v>1.854889440149643</v>
      </c>
      <c r="R434" s="16">
        <f>IF('Dry_Litterbag Placem_Collection'!G141="N.A","",'Dry_Litterbag Placem_Collection'!G141)</f>
        <v>43008</v>
      </c>
      <c r="S434" s="195">
        <f>IF(IFERROR(INDEX('Both teabags AfterDry'!$D$1:$D$839,MATCH(H434,'Both teabags AfterDry'!$A$1:$A$839,0)),"")="N.A","",(IFERROR(INDEX('Both teabags AfterDry'!$D$1:$D$839,MATCH(H434,'Both teabags AfterDry'!$A$1:$A$839,0)),"")))</f>
        <v>0.71699999999999997</v>
      </c>
      <c r="T434" s="195">
        <f>IF(IFERROR(INDEX('Both teabags AfterDry'!$D$1:$D$839,MATCH(I434,'Both teabags AfterDry'!$A$1:$A$839,0)),"")="N.A","",(IFERROR(INDEX('Both teabags AfterDry'!$D$1:$D$839,MATCH(I434,'Both teabags AfterDry'!$A$1:$A$839,0)),"")))</f>
        <v>1.5846</v>
      </c>
      <c r="U434" s="195">
        <f t="shared" si="67"/>
        <v>0.56640000000000001</v>
      </c>
      <c r="V434" s="195">
        <f t="shared" si="67"/>
        <v>1.4339999999999999</v>
      </c>
      <c r="W434" s="195">
        <f>IFERROR(INDEX('Ashed teabags dry'!$K$2:$K$821,MATCH(H434,'Ashed teabags dry'!$A$2:$A$821,0)),"")</f>
        <v>21.365853658537009</v>
      </c>
      <c r="X434" s="195">
        <f>IFERROR(INDEX('Ashed teabags dry'!$K$2:$K$821,MATCH(I434,'Ashed teabags dry'!$A$2:$A$821,0)),"")</f>
        <v>7.9318734793180647</v>
      </c>
      <c r="Y434" s="195">
        <f t="shared" si="62"/>
        <v>0.44538380487804641</v>
      </c>
      <c r="Z434" s="195">
        <f t="shared" si="62"/>
        <v>1.3202569343065789</v>
      </c>
      <c r="AA434" s="195">
        <f t="shared" si="68"/>
        <v>0.72275069586121821</v>
      </c>
      <c r="AB434" s="195">
        <f t="shared" si="69"/>
        <v>0.47382230892564431</v>
      </c>
      <c r="AC434" s="195">
        <f t="shared" si="63"/>
        <v>0.71177122783127567</v>
      </c>
      <c r="AD434">
        <f t="shared" si="64"/>
        <v>69</v>
      </c>
      <c r="AE434" s="195">
        <f t="shared" si="70"/>
        <v>0.14162625194629663</v>
      </c>
      <c r="AF434" s="195">
        <f t="shared" si="71"/>
        <v>1.3583672166515263E-2</v>
      </c>
      <c r="AG434" s="255" t="str">
        <f>IF(ISNUMBER(SEARCH("C", 'Dry_Litterbag Placem_Collection'!AD141)),"YES","NO")</f>
        <v>NO</v>
      </c>
      <c r="AH434" s="255" t="str">
        <f>IF(ISNUMBER(SEARCH("H", 'Dry_Litterbag Placem_Collection'!AD141)),"YES","NO")</f>
        <v>NO</v>
      </c>
      <c r="AI434" s="255" t="str">
        <f>IF(ISNUMBER(SEARCH("R", 'Dry_Litterbag Placem_Collection'!AD141)),"YES","NO")</f>
        <v>NO</v>
      </c>
      <c r="AJ434" s="255" t="str">
        <f>IF(ISNUMBER(SEARCH("C", 'Dry_Litterbag Placem_Collection'!AC141)),"YES","NO")</f>
        <v>NO</v>
      </c>
      <c r="AK434" s="255" t="str">
        <f>IF(ISNUMBER(SEARCH("H", 'Dry_Litterbag Placem_Collection'!AC141)),"YES","NO")</f>
        <v>NO</v>
      </c>
      <c r="AL434" s="255" t="str">
        <f>IF(ISNUMBER(SEARCH("R", 'Dry_Litterbag Placem_Collection'!AC141)),"YES","NO")</f>
        <v>NO</v>
      </c>
      <c r="AR434" t="s">
        <v>1182</v>
      </c>
      <c r="AT434" t="s">
        <v>433</v>
      </c>
    </row>
    <row r="435" spans="2:46">
      <c r="B435" t="str">
        <f>'Final data_for_R_analysis_Dryse'!A581</f>
        <v>Dry</v>
      </c>
      <c r="C435" s="263">
        <f>'Final data_for_R_analysis_Dryse'!B581</f>
        <v>140</v>
      </c>
      <c r="D435" t="s">
        <v>3848</v>
      </c>
      <c r="E435" t="s">
        <v>25</v>
      </c>
      <c r="F435" s="387">
        <v>4</v>
      </c>
      <c r="G435" s="16">
        <f>'Dry_Litterbag Placem_Collection'!E142</f>
        <v>42939</v>
      </c>
      <c r="H435" s="92" t="str">
        <f>'Final data_for_R_analysis_Dryse'!J581</f>
        <v>G792</v>
      </c>
      <c r="I435" t="str">
        <f>'Final data_for_R_analysis_Dryse'!J801</f>
        <v>R710</v>
      </c>
      <c r="J435">
        <f>IFERROR(INDEX('Green_rooibos initial weight'!$C$5:$C$1749,MATCH(H435, 'Green_rooibos initial weight'!$A$5:$A$1749,0)),"")</f>
        <v>2.0550000000000002</v>
      </c>
      <c r="K435">
        <f>IFERROR(INDEX('Green_rooibos initial weight'!$C$5:$C$1749,MATCH(I435, 'Green_rooibos initial weight'!$A$5:$A$1749,0)),"")</f>
        <v>2.1070000000000002</v>
      </c>
      <c r="L435" s="195">
        <f t="shared" si="65"/>
        <v>1.8052000000000001</v>
      </c>
      <c r="M435" s="240">
        <f>AVERAGE(Ashed_controlls!$K$1:$K$11)</f>
        <v>5.5147656768714146</v>
      </c>
      <c r="N435" s="195">
        <f t="shared" si="60"/>
        <v>1.7056474500011174</v>
      </c>
      <c r="O435" s="195">
        <f t="shared" si="66"/>
        <v>1.8572000000000002</v>
      </c>
      <c r="P435" s="240">
        <f>AVERAGE(Ashed_controlls!$K$12:$K$14)</f>
        <v>2.2816647271287041</v>
      </c>
      <c r="Q435" s="195">
        <f t="shared" si="61"/>
        <v>1.814824922687766</v>
      </c>
      <c r="R435" s="16">
        <f>IF('Dry_Litterbag Placem_Collection'!G142="N.A","",'Dry_Litterbag Placem_Collection'!G142)</f>
        <v>43008</v>
      </c>
      <c r="S435" s="195">
        <f>IF(IFERROR(INDEX('Both teabags AfterDry'!$D$1:$D$839,MATCH(H435,'Both teabags AfterDry'!$A$1:$A$839,0)),"")="N.A","",(IFERROR(INDEX('Both teabags AfterDry'!$D$1:$D$839,MATCH(H435,'Both teabags AfterDry'!$A$1:$A$839,0)),"")))</f>
        <v>0.87409999999999999</v>
      </c>
      <c r="T435" s="195">
        <f>IF(IFERROR(INDEX('Both teabags AfterDry'!$D$1:$D$839,MATCH(I435,'Both teabags AfterDry'!$A$1:$A$839,0)),"")="N.A","",(IFERROR(INDEX('Both teabags AfterDry'!$D$1:$D$839,MATCH(I435,'Both teabags AfterDry'!$A$1:$A$839,0)),"")))</f>
        <v>1.7403999999999999</v>
      </c>
      <c r="U435" s="195">
        <f t="shared" si="67"/>
        <v>0.72350000000000003</v>
      </c>
      <c r="V435" s="195">
        <f t="shared" si="67"/>
        <v>1.5897999999999999</v>
      </c>
      <c r="W435" s="195">
        <f>IFERROR(INDEX('Ashed teabags dry'!$K$2:$K$821,MATCH(H435,'Ashed teabags dry'!$A$2:$A$821,0)),"")</f>
        <v>15.89673913043449</v>
      </c>
      <c r="X435" s="195">
        <f>IFERROR(INDEX('Ashed teabags dry'!$K$2:$K$821,MATCH(I435,'Ashed teabags dry'!$A$2:$A$821,0)),"")</f>
        <v>14.236453201970816</v>
      </c>
      <c r="Y435" s="195">
        <f t="shared" si="62"/>
        <v>0.60848709239130649</v>
      </c>
      <c r="Z435" s="195">
        <f t="shared" si="62"/>
        <v>1.3634688669950679</v>
      </c>
      <c r="AA435" s="195">
        <f t="shared" si="68"/>
        <v>0.64325154510042037</v>
      </c>
      <c r="AB435" s="195">
        <f t="shared" si="69"/>
        <v>0.42170410082592885</v>
      </c>
      <c r="AC435" s="195">
        <f t="shared" si="63"/>
        <v>0.75129498716369991</v>
      </c>
      <c r="AD435">
        <f t="shared" si="64"/>
        <v>69</v>
      </c>
      <c r="AE435" s="195">
        <f t="shared" si="70"/>
        <v>0.23604329560520143</v>
      </c>
      <c r="AF435" s="195">
        <f t="shared" si="71"/>
        <v>1.2913298006778913E-2</v>
      </c>
      <c r="AG435" s="255" t="str">
        <f>IF(ISNUMBER(SEARCH("C", 'Dry_Litterbag Placem_Collection'!AD142)),"YES","NO")</f>
        <v>NO</v>
      </c>
      <c r="AH435" s="255" t="str">
        <f>IF(ISNUMBER(SEARCH("H", 'Dry_Litterbag Placem_Collection'!AD142)),"YES","NO")</f>
        <v>NO</v>
      </c>
      <c r="AI435" s="255" t="str">
        <f>IF(ISNUMBER(SEARCH("R", 'Dry_Litterbag Placem_Collection'!AD142)),"YES","NO")</f>
        <v>NO</v>
      </c>
      <c r="AJ435" s="255" t="str">
        <f>IF(ISNUMBER(SEARCH("C", 'Dry_Litterbag Placem_Collection'!AC142)),"YES","NO")</f>
        <v>NO</v>
      </c>
      <c r="AK435" s="255" t="str">
        <f>IF(ISNUMBER(SEARCH("H", 'Dry_Litterbag Placem_Collection'!AC142)),"YES","NO")</f>
        <v>NO</v>
      </c>
      <c r="AL435" s="255" t="str">
        <f>IF(ISNUMBER(SEARCH("R", 'Dry_Litterbag Placem_Collection'!AC142)),"YES","NO")</f>
        <v>NO</v>
      </c>
      <c r="AR435" t="s">
        <v>1258</v>
      </c>
      <c r="AT435" t="s">
        <v>429</v>
      </c>
    </row>
    <row r="436" spans="2:46">
      <c r="B436" t="str">
        <f>'Final data_for_R_analysis_Dryse'!A582</f>
        <v>Dry</v>
      </c>
      <c r="C436" s="263">
        <f>'Final data_for_R_analysis_Dryse'!B582</f>
        <v>141</v>
      </c>
      <c r="D436" t="s">
        <v>3848</v>
      </c>
      <c r="E436" t="s">
        <v>25</v>
      </c>
      <c r="F436" s="387">
        <v>5</v>
      </c>
      <c r="G436" s="16">
        <f>'Dry_Litterbag Placem_Collection'!E143</f>
        <v>0</v>
      </c>
      <c r="H436" s="92" t="str">
        <f>'Final data_for_R_analysis_Dryse'!J582</f>
        <v/>
      </c>
      <c r="I436" t="str">
        <f>'Final data_for_R_analysis_Dryse'!J802</f>
        <v/>
      </c>
      <c r="J436" t="str">
        <f>IFERROR(INDEX('Green_rooibos initial weight'!$C$5:$C$1749,MATCH(H436, 'Green_rooibos initial weight'!$A$5:$A$1749,0)),"")</f>
        <v/>
      </c>
      <c r="K436" t="str">
        <f>IFERROR(INDEX('Green_rooibos initial weight'!$C$5:$C$1749,MATCH(I436, 'Green_rooibos initial weight'!$A$5:$A$1749,0)),"")</f>
        <v/>
      </c>
      <c r="L436" s="195" t="str">
        <f t="shared" si="65"/>
        <v/>
      </c>
      <c r="M436" s="240">
        <f>AVERAGE(Ashed_controlls!$K$1:$K$11)</f>
        <v>5.5147656768714146</v>
      </c>
      <c r="N436" s="195" t="str">
        <f t="shared" si="60"/>
        <v/>
      </c>
      <c r="O436" s="195" t="str">
        <f t="shared" si="66"/>
        <v/>
      </c>
      <c r="P436" s="240">
        <f>AVERAGE(Ashed_controlls!$K$12:$K$14)</f>
        <v>2.2816647271287041</v>
      </c>
      <c r="Q436" s="195" t="str">
        <f t="shared" si="61"/>
        <v/>
      </c>
      <c r="R436" s="16">
        <f>IF('Dry_Litterbag Placem_Collection'!G143="N.A","",'Dry_Litterbag Placem_Collection'!G143)</f>
        <v>0</v>
      </c>
      <c r="S436" s="195" t="str">
        <f>IF(IFERROR(INDEX('Both teabags AfterDry'!$D$1:$D$839,MATCH(H436,'Both teabags AfterDry'!$A$1:$A$839,0)),"")="N.A","",(IFERROR(INDEX('Both teabags AfterDry'!$D$1:$D$839,MATCH(H436,'Both teabags AfterDry'!$A$1:$A$839,0)),"")))</f>
        <v/>
      </c>
      <c r="T436" s="195" t="str">
        <f>IF(IFERROR(INDEX('Both teabags AfterDry'!$D$1:$D$839,MATCH(I436,'Both teabags AfterDry'!$A$1:$A$839,0)),"")="N.A","",(IFERROR(INDEX('Both teabags AfterDry'!$D$1:$D$839,MATCH(I436,'Both teabags AfterDry'!$A$1:$A$839,0)),"")))</f>
        <v/>
      </c>
      <c r="U436" s="195" t="str">
        <f t="shared" si="67"/>
        <v/>
      </c>
      <c r="V436" s="195" t="str">
        <f t="shared" si="67"/>
        <v/>
      </c>
      <c r="W436" s="195" t="str">
        <f>IFERROR(INDEX('Ashed teabags dry'!$K$2:$K$821,MATCH(H436,'Ashed teabags dry'!$A$2:$A$821,0)),"")</f>
        <v/>
      </c>
      <c r="X436" s="195" t="str">
        <f>IFERROR(INDEX('Ashed teabags dry'!$K$2:$K$821,MATCH(I436,'Ashed teabags dry'!$A$2:$A$821,0)),"")</f>
        <v/>
      </c>
      <c r="Y436" s="195" t="str">
        <f t="shared" si="62"/>
        <v/>
      </c>
      <c r="Z436" s="195" t="str">
        <f t="shared" si="62"/>
        <v/>
      </c>
      <c r="AA436" s="195" t="str">
        <f t="shared" si="68"/>
        <v/>
      </c>
      <c r="AB436" s="195" t="str">
        <f t="shared" si="69"/>
        <v/>
      </c>
      <c r="AC436" s="195" t="str">
        <f t="shared" si="63"/>
        <v/>
      </c>
      <c r="AD436" t="str">
        <f t="shared" si="64"/>
        <v/>
      </c>
      <c r="AE436" s="195" t="str">
        <f t="shared" si="70"/>
        <v/>
      </c>
      <c r="AF436" s="195" t="str">
        <f t="shared" si="71"/>
        <v/>
      </c>
      <c r="AG436" s="255" t="str">
        <f>IF(ISNUMBER(SEARCH("C", 'Dry_Litterbag Placem_Collection'!AD143)),"YES","NO")</f>
        <v>NO</v>
      </c>
      <c r="AH436" s="255" t="str">
        <f>IF(ISNUMBER(SEARCH("H", 'Dry_Litterbag Placem_Collection'!AD143)),"YES","NO")</f>
        <v>NO</v>
      </c>
      <c r="AI436" s="255" t="str">
        <f>IF(ISNUMBER(SEARCH("R", 'Dry_Litterbag Placem_Collection'!AD143)),"YES","NO")</f>
        <v>NO</v>
      </c>
      <c r="AJ436" s="255" t="str">
        <f>IF(ISNUMBER(SEARCH("C", 'Dry_Litterbag Placem_Collection'!AC143)),"YES","NO")</f>
        <v>NO</v>
      </c>
      <c r="AK436" s="255" t="str">
        <f>IF(ISNUMBER(SEARCH("H", 'Dry_Litterbag Placem_Collection'!AC143)),"YES","NO")</f>
        <v>NO</v>
      </c>
      <c r="AL436" s="255" t="str">
        <f>IF(ISNUMBER(SEARCH("R", 'Dry_Litterbag Placem_Collection'!AC143)),"YES","NO")</f>
        <v>NO</v>
      </c>
      <c r="AR436" t="s">
        <v>3654</v>
      </c>
      <c r="AT436" t="s">
        <v>3654</v>
      </c>
    </row>
    <row r="437" spans="2:46">
      <c r="B437" t="str">
        <f>'Final data_for_R_analysis_Dryse'!A583</f>
        <v>Dry</v>
      </c>
      <c r="C437" s="263">
        <f>'Final data_for_R_analysis_Dryse'!B583</f>
        <v>142</v>
      </c>
      <c r="D437" t="s">
        <v>3848</v>
      </c>
      <c r="E437" t="s">
        <v>25</v>
      </c>
      <c r="F437" s="387">
        <v>6</v>
      </c>
      <c r="G437" s="16">
        <f>'Dry_Litterbag Placem_Collection'!E144</f>
        <v>42939</v>
      </c>
      <c r="H437" s="92" t="str">
        <f>'Final data_for_R_analysis_Dryse'!J583</f>
        <v>G711</v>
      </c>
      <c r="I437" t="str">
        <f>'Final data_for_R_analysis_Dryse'!J803</f>
        <v>R626</v>
      </c>
      <c r="J437">
        <f>IFERROR(INDEX('Green_rooibos initial weight'!$C$5:$C$1749,MATCH(H437, 'Green_rooibos initial weight'!$A$5:$A$1749,0)),"")</f>
        <v>2.1070000000000002</v>
      </c>
      <c r="K437">
        <f>IFERROR(INDEX('Green_rooibos initial weight'!$C$5:$C$1749,MATCH(I437, 'Green_rooibos initial weight'!$A$5:$A$1749,0)),"")</f>
        <v>2.0699999999999998</v>
      </c>
      <c r="L437" s="195">
        <f t="shared" si="65"/>
        <v>1.8572000000000002</v>
      </c>
      <c r="M437" s="240">
        <f>AVERAGE(Ashed_controlls!$K$1:$K$11)</f>
        <v>5.5147656768714146</v>
      </c>
      <c r="N437" s="195">
        <f t="shared" si="60"/>
        <v>1.7547797718491442</v>
      </c>
      <c r="O437" s="195">
        <f t="shared" si="66"/>
        <v>1.8201999999999998</v>
      </c>
      <c r="P437" s="240">
        <f>AVERAGE(Ashed_controlls!$K$12:$K$14)</f>
        <v>2.2816647271287041</v>
      </c>
      <c r="Q437" s="195">
        <f t="shared" si="61"/>
        <v>1.7786691386368032</v>
      </c>
      <c r="R437" s="16">
        <f>IF('Dry_Litterbag Placem_Collection'!G144="N.A","",'Dry_Litterbag Placem_Collection'!G144)</f>
        <v>43008</v>
      </c>
      <c r="S437" s="195" t="str">
        <f>IF(IFERROR(INDEX('Both teabags AfterDry'!$D$1:$D$839,MATCH(H437,'Both teabags AfterDry'!$A$1:$A$839,0)),"")="N.A","",(IFERROR(INDEX('Both teabags AfterDry'!$D$1:$D$839,MATCH(H437,'Both teabags AfterDry'!$A$1:$A$839,0)),"")))</f>
        <v/>
      </c>
      <c r="T437" s="195" t="str">
        <f>IF(IFERROR(INDEX('Both teabags AfterDry'!$D$1:$D$839,MATCH(I437,'Both teabags AfterDry'!$A$1:$A$839,0)),"")="N.A","",(IFERROR(INDEX('Both teabags AfterDry'!$D$1:$D$839,MATCH(I437,'Both teabags AfterDry'!$A$1:$A$839,0)),"")))</f>
        <v/>
      </c>
      <c r="U437" s="195" t="str">
        <f t="shared" si="67"/>
        <v/>
      </c>
      <c r="V437" s="195" t="str">
        <f t="shared" si="67"/>
        <v/>
      </c>
      <c r="W437" s="195" t="str">
        <f>IFERROR(INDEX('Ashed teabags dry'!$K$2:$K$821,MATCH(H437,'Ashed teabags dry'!$A$2:$A$821,0)),"")</f>
        <v/>
      </c>
      <c r="X437" s="195" t="str">
        <f>IFERROR(INDEX('Ashed teabags dry'!$K$2:$K$821,MATCH(I437,'Ashed teabags dry'!$A$2:$A$821,0)),"")</f>
        <v/>
      </c>
      <c r="Y437" s="195" t="str">
        <f t="shared" si="62"/>
        <v/>
      </c>
      <c r="Z437" s="195" t="str">
        <f t="shared" si="62"/>
        <v/>
      </c>
      <c r="AA437" s="195" t="str">
        <f t="shared" si="68"/>
        <v/>
      </c>
      <c r="AB437" s="195" t="str">
        <f t="shared" si="69"/>
        <v/>
      </c>
      <c r="AC437" s="195" t="str">
        <f t="shared" si="63"/>
        <v/>
      </c>
      <c r="AD437">
        <f t="shared" si="64"/>
        <v>69</v>
      </c>
      <c r="AE437" s="195" t="str">
        <f t="shared" si="70"/>
        <v/>
      </c>
      <c r="AF437" s="195" t="str">
        <f t="shared" si="71"/>
        <v/>
      </c>
      <c r="AG437" s="255" t="str">
        <f>IF(ISNUMBER(SEARCH("C", 'Dry_Litterbag Placem_Collection'!AD144)),"YES","NO")</f>
        <v>NO</v>
      </c>
      <c r="AH437" s="255" t="str">
        <f>IF(ISNUMBER(SEARCH("H", 'Dry_Litterbag Placem_Collection'!AD144)),"YES","NO")</f>
        <v>NO</v>
      </c>
      <c r="AI437" s="255" t="str">
        <f>IF(ISNUMBER(SEARCH("R", 'Dry_Litterbag Placem_Collection'!AD144)),"YES","NO")</f>
        <v>NO</v>
      </c>
      <c r="AJ437" s="255" t="str">
        <f>IF(ISNUMBER(SEARCH("C", 'Dry_Litterbag Placem_Collection'!AC144)),"YES","NO")</f>
        <v>NO</v>
      </c>
      <c r="AK437" s="255" t="str">
        <f>IF(ISNUMBER(SEARCH("H", 'Dry_Litterbag Placem_Collection'!AC144)),"YES","NO")</f>
        <v>NO</v>
      </c>
      <c r="AL437" s="255" t="str">
        <f>IF(ISNUMBER(SEARCH("R", 'Dry_Litterbag Placem_Collection'!AC144)),"YES","NO")</f>
        <v>NO</v>
      </c>
      <c r="AR437" t="s">
        <v>1339</v>
      </c>
      <c r="AT437" t="s">
        <v>513</v>
      </c>
    </row>
    <row r="438" spans="2:46">
      <c r="B438" t="str">
        <f>'Final data_for_R_analysis_Dryse'!A584</f>
        <v>Dry</v>
      </c>
      <c r="C438" s="263">
        <f>'Final data_for_R_analysis_Dryse'!B584</f>
        <v>143</v>
      </c>
      <c r="D438" t="s">
        <v>3848</v>
      </c>
      <c r="E438" t="s">
        <v>25</v>
      </c>
      <c r="F438" s="387">
        <v>7</v>
      </c>
      <c r="G438" s="16">
        <f>'Dry_Litterbag Placem_Collection'!E145</f>
        <v>42939</v>
      </c>
      <c r="H438" s="92" t="str">
        <f>'Final data_for_R_analysis_Dryse'!J584</f>
        <v>G205</v>
      </c>
      <c r="I438" t="str">
        <f>'Final data_for_R_analysis_Dryse'!J804</f>
        <v>R195</v>
      </c>
      <c r="J438">
        <f>IFERROR(INDEX('Green_rooibos initial weight'!$C$5:$C$1749,MATCH(H438, 'Green_rooibos initial weight'!$A$5:$A$1749,0)),"")</f>
        <v>2.1240000000000001</v>
      </c>
      <c r="K438">
        <f>IFERROR(INDEX('Green_rooibos initial weight'!$C$5:$C$1749,MATCH(I438, 'Green_rooibos initial weight'!$A$5:$A$1749,0)),"")</f>
        <v>2.1640000000000001</v>
      </c>
      <c r="L438" s="195">
        <f t="shared" si="65"/>
        <v>1.8742000000000001</v>
      </c>
      <c r="M438" s="240">
        <f>AVERAGE(Ashed_controlls!$K$1:$K$11)</f>
        <v>5.5147656768714146</v>
      </c>
      <c r="N438" s="195">
        <f t="shared" si="60"/>
        <v>1.770842261684076</v>
      </c>
      <c r="O438" s="195">
        <f t="shared" si="66"/>
        <v>1.9142000000000001</v>
      </c>
      <c r="P438" s="240">
        <f>AVERAGE(Ashed_controlls!$K$12:$K$14)</f>
        <v>2.2816647271287041</v>
      </c>
      <c r="Q438" s="195">
        <f t="shared" si="61"/>
        <v>1.8705243737933024</v>
      </c>
      <c r="R438" s="16">
        <f>IF('Dry_Litterbag Placem_Collection'!G145="N.A","",'Dry_Litterbag Placem_Collection'!G145)</f>
        <v>43008</v>
      </c>
      <c r="S438" s="195">
        <f>IF(IFERROR(INDEX('Both teabags AfterDry'!$D$1:$D$839,MATCH(H438,'Both teabags AfterDry'!$A$1:$A$839,0)),"")="N.A","",(IFERROR(INDEX('Both teabags AfterDry'!$D$1:$D$839,MATCH(H438,'Both teabags AfterDry'!$A$1:$A$839,0)),"")))</f>
        <v>0.82040000000000002</v>
      </c>
      <c r="T438" s="195">
        <f>IF(IFERROR(INDEX('Both teabags AfterDry'!$D$1:$D$839,MATCH(I438,'Both teabags AfterDry'!$A$1:$A$839,0)),"")="N.A","",(IFERROR(INDEX('Both teabags AfterDry'!$D$1:$D$839,MATCH(I438,'Both teabags AfterDry'!$A$1:$A$839,0)),"")))</f>
        <v>1.6592</v>
      </c>
      <c r="U438" s="195">
        <f t="shared" si="67"/>
        <v>0.66979999999999995</v>
      </c>
      <c r="V438" s="195">
        <f t="shared" si="67"/>
        <v>1.5085999999999999</v>
      </c>
      <c r="W438" s="195">
        <f>IFERROR(INDEX('Ashed teabags dry'!$K$2:$K$821,MATCH(H438,'Ashed teabags dry'!$A$2:$A$821,0)),"")</f>
        <v>18.392504930966592</v>
      </c>
      <c r="X438" s="195">
        <f>IFERROR(INDEX('Ashed teabags dry'!$K$2:$K$821,MATCH(I438,'Ashed teabags dry'!$A$2:$A$821,0)),"")</f>
        <v>10.110294117647566</v>
      </c>
      <c r="Y438" s="195">
        <f t="shared" si="62"/>
        <v>0.54660700197238576</v>
      </c>
      <c r="Z438" s="195">
        <f t="shared" si="62"/>
        <v>1.3560761029411688</v>
      </c>
      <c r="AA438" s="195">
        <f t="shared" si="68"/>
        <v>0.69132936693494029</v>
      </c>
      <c r="AB438" s="195">
        <f t="shared" si="69"/>
        <v>0.45322305290746684</v>
      </c>
      <c r="AC438" s="195">
        <f t="shared" si="63"/>
        <v>0.72497109470492183</v>
      </c>
      <c r="AD438">
        <f t="shared" si="64"/>
        <v>69</v>
      </c>
      <c r="AE438" s="195">
        <f t="shared" si="70"/>
        <v>0.17894374473285002</v>
      </c>
      <c r="AF438" s="195">
        <f t="shared" si="71"/>
        <v>1.3529140898648108E-2</v>
      </c>
      <c r="AG438" s="255" t="str">
        <f>IF(ISNUMBER(SEARCH("C", 'Dry_Litterbag Placem_Collection'!AD145)),"YES","NO")</f>
        <v>NO</v>
      </c>
      <c r="AH438" s="255" t="str">
        <f>IF(ISNUMBER(SEARCH("H", 'Dry_Litterbag Placem_Collection'!AD145)),"YES","NO")</f>
        <v>NO</v>
      </c>
      <c r="AI438" s="255" t="str">
        <f>IF(ISNUMBER(SEARCH("R", 'Dry_Litterbag Placem_Collection'!AD145)),"YES","NO")</f>
        <v>NO</v>
      </c>
      <c r="AJ438" s="255" t="str">
        <f>IF(ISNUMBER(SEARCH("C", 'Dry_Litterbag Placem_Collection'!AC145)),"YES","NO")</f>
        <v>NO</v>
      </c>
      <c r="AK438" s="255" t="str">
        <f>IF(ISNUMBER(SEARCH("H", 'Dry_Litterbag Placem_Collection'!AC145)),"YES","NO")</f>
        <v>NO</v>
      </c>
      <c r="AL438" s="255" t="str">
        <f>IF(ISNUMBER(SEARCH("R", 'Dry_Litterbag Placem_Collection'!AC145)),"YES","NO")</f>
        <v>NO</v>
      </c>
      <c r="AR438" t="s">
        <v>1845</v>
      </c>
      <c r="AT438" t="s">
        <v>946</v>
      </c>
    </row>
    <row r="439" spans="2:46">
      <c r="B439" t="str">
        <f>'Final data_for_R_analysis_Dryse'!A585</f>
        <v>Dry</v>
      </c>
      <c r="C439" s="263">
        <f>'Final data_for_R_analysis_Dryse'!B585</f>
        <v>144</v>
      </c>
      <c r="D439" t="s">
        <v>3848</v>
      </c>
      <c r="E439" t="s">
        <v>25</v>
      </c>
      <c r="F439" s="387">
        <v>8</v>
      </c>
      <c r="G439" s="16">
        <f>'Dry_Litterbag Placem_Collection'!E146</f>
        <v>42939</v>
      </c>
      <c r="H439" s="92" t="str">
        <f>'Final data_for_R_analysis_Dryse'!J585</f>
        <v>G384</v>
      </c>
      <c r="I439" t="str">
        <f>'Final data_for_R_analysis_Dryse'!J805</f>
        <v>R295</v>
      </c>
      <c r="J439">
        <f>IFERROR(INDEX('Green_rooibos initial weight'!$C$5:$C$1749,MATCH(H439, 'Green_rooibos initial weight'!$A$5:$A$1749,0)),"")</f>
        <v>2.0499999999999998</v>
      </c>
      <c r="K439">
        <f>IFERROR(INDEX('Green_rooibos initial weight'!$C$5:$C$1749,MATCH(I439, 'Green_rooibos initial weight'!$A$5:$A$1749,0)),"")</f>
        <v>2.194</v>
      </c>
      <c r="L439" s="195">
        <f t="shared" si="65"/>
        <v>1.8001999999999998</v>
      </c>
      <c r="M439" s="240">
        <f>AVERAGE(Ashed_controlls!$K$1:$K$11)</f>
        <v>5.5147656768714146</v>
      </c>
      <c r="N439" s="195">
        <f t="shared" si="60"/>
        <v>1.7009231882849607</v>
      </c>
      <c r="O439" s="195">
        <f t="shared" si="66"/>
        <v>1.9441999999999999</v>
      </c>
      <c r="P439" s="240">
        <f>AVERAGE(Ashed_controlls!$K$12:$K$14)</f>
        <v>2.2816647271287041</v>
      </c>
      <c r="Q439" s="195">
        <f t="shared" si="61"/>
        <v>1.8998398743751637</v>
      </c>
      <c r="R439" s="16">
        <f>IF('Dry_Litterbag Placem_Collection'!G146="N.A","",'Dry_Litterbag Placem_Collection'!G146)</f>
        <v>43008</v>
      </c>
      <c r="S439" s="195">
        <f>IF(IFERROR(INDEX('Both teabags AfterDry'!$D$1:$D$839,MATCH(H439,'Both teabags AfterDry'!$A$1:$A$839,0)),"")="N.A","",(IFERROR(INDEX('Both teabags AfterDry'!$D$1:$D$839,MATCH(H439,'Both teabags AfterDry'!$A$1:$A$839,0)),"")))</f>
        <v>0.73660000000000003</v>
      </c>
      <c r="T439" s="195">
        <f>IF(IFERROR(INDEX('Both teabags AfterDry'!$D$1:$D$839,MATCH(I439,'Both teabags AfterDry'!$A$1:$A$839,0)),"")="N.A","",(IFERROR(INDEX('Both teabags AfterDry'!$D$1:$D$839,MATCH(I439,'Both teabags AfterDry'!$A$1:$A$839,0)),"")))</f>
        <v>1.7096</v>
      </c>
      <c r="U439" s="195">
        <f t="shared" si="67"/>
        <v>0.58600000000000008</v>
      </c>
      <c r="V439" s="195">
        <f t="shared" si="67"/>
        <v>1.5589999999999999</v>
      </c>
      <c r="W439" s="195">
        <f>IFERROR(INDEX('Ashed teabags dry'!$K$2:$K$821,MATCH(H439,'Ashed teabags dry'!$A$2:$A$821,0)),"")</f>
        <v>16.379310344827655</v>
      </c>
      <c r="X439" s="195">
        <f>IFERROR(INDEX('Ashed teabags dry'!$K$2:$K$821,MATCH(I439,'Ashed teabags dry'!$A$2:$A$821,0)),"")</f>
        <v>6.2071917808215078</v>
      </c>
      <c r="Y439" s="195">
        <f t="shared" si="62"/>
        <v>0.49001724137931002</v>
      </c>
      <c r="Z439" s="195">
        <f t="shared" si="62"/>
        <v>1.4622298801369926</v>
      </c>
      <c r="AA439" s="195">
        <f t="shared" si="68"/>
        <v>0.71191101117658695</v>
      </c>
      <c r="AB439" s="195">
        <f t="shared" si="69"/>
        <v>0.46671600732716872</v>
      </c>
      <c r="AC439" s="195">
        <f t="shared" si="63"/>
        <v>0.76965953807970466</v>
      </c>
      <c r="AD439">
        <f t="shared" si="64"/>
        <v>69</v>
      </c>
      <c r="AE439" s="195">
        <f t="shared" si="70"/>
        <v>0.15449998672614373</v>
      </c>
      <c r="AF439" s="195">
        <f t="shared" si="71"/>
        <v>9.8594074924255506E-3</v>
      </c>
      <c r="AG439" s="255" t="str">
        <f>IF(ISNUMBER(SEARCH("C", 'Dry_Litterbag Placem_Collection'!AD146)),"YES","NO")</f>
        <v>NO</v>
      </c>
      <c r="AH439" s="255" t="str">
        <f>IF(ISNUMBER(SEARCH("H", 'Dry_Litterbag Placem_Collection'!AD146)),"YES","NO")</f>
        <v>NO</v>
      </c>
      <c r="AI439" s="255" t="str">
        <f>IF(ISNUMBER(SEARCH("R", 'Dry_Litterbag Placem_Collection'!AD146)),"YES","NO")</f>
        <v>NO</v>
      </c>
      <c r="AJ439" s="255" t="str">
        <f>IF(ISNUMBER(SEARCH("C", 'Dry_Litterbag Placem_Collection'!AC146)),"YES","NO")</f>
        <v>NO</v>
      </c>
      <c r="AK439" s="255" t="str">
        <f>IF(ISNUMBER(SEARCH("H", 'Dry_Litterbag Placem_Collection'!AC146)),"YES","NO")</f>
        <v>NO</v>
      </c>
      <c r="AL439" s="255" t="str">
        <f>IF(ISNUMBER(SEARCH("R", 'Dry_Litterbag Placem_Collection'!AC146)),"YES","NO")</f>
        <v>NO</v>
      </c>
      <c r="AR439" t="s">
        <v>1666</v>
      </c>
      <c r="AT439" t="s">
        <v>846</v>
      </c>
    </row>
    <row r="440" spans="2:46">
      <c r="B440" t="str">
        <f>'Final data_for_R_analysis_Dryse'!A586</f>
        <v>Dry</v>
      </c>
      <c r="C440" s="263">
        <f>'Final data_for_R_analysis_Dryse'!B586</f>
        <v>145</v>
      </c>
      <c r="D440" t="s">
        <v>3849</v>
      </c>
      <c r="E440" t="s">
        <v>25</v>
      </c>
      <c r="F440" s="386">
        <v>1</v>
      </c>
      <c r="G440" s="16">
        <f>'Dry_Litterbag Placem_Collection'!E147</f>
        <v>42939</v>
      </c>
      <c r="H440" s="92" t="str">
        <f>'Final data_for_R_analysis_Dryse'!J586</f>
        <v>G72</v>
      </c>
      <c r="I440" t="str">
        <f>'Final data_for_R_analysis_Dryse'!J806</f>
        <v>R609</v>
      </c>
      <c r="J440">
        <f>IFERROR(INDEX('Green_rooibos initial weight'!$C$5:$C$1749,MATCH(H440, 'Green_rooibos initial weight'!$A$5:$A$1749,0)),"")</f>
        <v>2.0190000000000001</v>
      </c>
      <c r="K440">
        <f>IFERROR(INDEX('Green_rooibos initial weight'!$C$5:$C$1749,MATCH(I440, 'Green_rooibos initial weight'!$A$5:$A$1749,0)),"")</f>
        <v>2.165</v>
      </c>
      <c r="L440" s="195">
        <f t="shared" si="65"/>
        <v>1.7692000000000001</v>
      </c>
      <c r="M440" s="240">
        <f>AVERAGE(Ashed_controlls!$K$1:$K$11)</f>
        <v>5.5147656768714146</v>
      </c>
      <c r="N440" s="195">
        <f t="shared" si="60"/>
        <v>1.6716327656447911</v>
      </c>
      <c r="O440" s="195">
        <f t="shared" si="66"/>
        <v>1.9152</v>
      </c>
      <c r="P440" s="240">
        <f>AVERAGE(Ashed_controlls!$K$12:$K$14)</f>
        <v>2.2816647271287041</v>
      </c>
      <c r="Q440" s="195">
        <f t="shared" si="61"/>
        <v>1.8715015571460312</v>
      </c>
      <c r="R440" s="16">
        <f>IF('Dry_Litterbag Placem_Collection'!G147="N.A","",'Dry_Litterbag Placem_Collection'!G147)</f>
        <v>43010</v>
      </c>
      <c r="S440" s="195">
        <f>IF(IFERROR(INDEX('Both teabags AfterDry'!$D$1:$D$839,MATCH(H440,'Both teabags AfterDry'!$A$1:$A$839,0)),"")="N.A","",(IFERROR(INDEX('Both teabags AfterDry'!$D$1:$D$839,MATCH(H440,'Both teabags AfterDry'!$A$1:$A$839,0)),"")))</f>
        <v>1.7161999999999999</v>
      </c>
      <c r="T440" s="195">
        <f>IF(IFERROR(INDEX('Both teabags AfterDry'!$D$1:$D$839,MATCH(I440,'Both teabags AfterDry'!$A$1:$A$839,0)),"")="N.A","",(IFERROR(INDEX('Both teabags AfterDry'!$D$1:$D$839,MATCH(I440,'Both teabags AfterDry'!$A$1:$A$839,0)),"")))</f>
        <v>1.9753000000000001</v>
      </c>
      <c r="U440" s="195">
        <f t="shared" si="67"/>
        <v>1.5655999999999999</v>
      </c>
      <c r="V440" s="195">
        <f t="shared" si="67"/>
        <v>1.8247</v>
      </c>
      <c r="W440" s="195">
        <f>IFERROR(INDEX('Ashed teabags dry'!$K$2:$K$821,MATCH(H440,'Ashed teabags dry'!$A$2:$A$821,0)),"")</f>
        <v>10.842779694431051</v>
      </c>
      <c r="X440" s="195">
        <f>IFERROR(INDEX('Ashed teabags dry'!$K$2:$K$821,MATCH(I440,'Ashed teabags dry'!$A$2:$A$821,0)),"")</f>
        <v>3.7512339585388541</v>
      </c>
      <c r="Y440" s="195">
        <f t="shared" si="62"/>
        <v>1.3958454411039873</v>
      </c>
      <c r="Z440" s="195">
        <f t="shared" si="62"/>
        <v>1.7562512339585414</v>
      </c>
      <c r="AA440" s="195">
        <f t="shared" si="68"/>
        <v>0.16498080811094029</v>
      </c>
      <c r="AB440" s="195">
        <f t="shared" si="69"/>
        <v>0.10815843952166161</v>
      </c>
      <c r="AC440" s="195">
        <f t="shared" si="63"/>
        <v>0.93841825952672886</v>
      </c>
      <c r="AD440">
        <f t="shared" si="64"/>
        <v>71</v>
      </c>
      <c r="AE440" s="195">
        <f t="shared" si="70"/>
        <v>0.80406079796800434</v>
      </c>
      <c r="AF440" s="195">
        <f t="shared" si="71"/>
        <v>1.1866151958200701E-2</v>
      </c>
      <c r="AG440" s="255" t="str">
        <f>IF(ISNUMBER(SEARCH("C", 'Dry_Litterbag Placem_Collection'!AD147)),"YES","NO")</f>
        <v>NO</v>
      </c>
      <c r="AH440" s="255" t="str">
        <f>IF(ISNUMBER(SEARCH("H", 'Dry_Litterbag Placem_Collection'!AD147)),"YES","NO")</f>
        <v>NO</v>
      </c>
      <c r="AI440" s="255" t="str">
        <f>IF(ISNUMBER(SEARCH("R", 'Dry_Litterbag Placem_Collection'!AD147)),"YES","NO")</f>
        <v>NO</v>
      </c>
      <c r="AJ440" s="255" t="str">
        <f>IF(ISNUMBER(SEARCH("C", 'Dry_Litterbag Placem_Collection'!AC147)),"YES","NO")</f>
        <v>NO</v>
      </c>
      <c r="AK440" s="255" t="str">
        <f>IF(ISNUMBER(SEARCH("H", 'Dry_Litterbag Placem_Collection'!AC147)),"YES","NO")</f>
        <v>NO</v>
      </c>
      <c r="AL440" s="255" t="str">
        <f>IF(ISNUMBER(SEARCH("R", 'Dry_Litterbag Placem_Collection'!AC147)),"YES","NO")</f>
        <v>NO</v>
      </c>
      <c r="AR440" t="s">
        <v>1978</v>
      </c>
      <c r="AT440" t="s">
        <v>530</v>
      </c>
    </row>
    <row r="441" spans="2:46">
      <c r="B441" t="str">
        <f>'Final data_for_R_analysis_Dryse'!A587</f>
        <v>Dry</v>
      </c>
      <c r="C441" s="263">
        <f>'Final data_for_R_analysis_Dryse'!B587</f>
        <v>146</v>
      </c>
      <c r="D441" t="s">
        <v>3849</v>
      </c>
      <c r="E441" t="s">
        <v>25</v>
      </c>
      <c r="F441" s="386">
        <v>2</v>
      </c>
      <c r="G441" s="16">
        <f>'Dry_Litterbag Placem_Collection'!E148</f>
        <v>42939</v>
      </c>
      <c r="H441" s="92" t="str">
        <f>'Final data_for_R_analysis_Dryse'!J587</f>
        <v>G336</v>
      </c>
      <c r="I441" t="str">
        <f>'Final data_for_R_analysis_Dryse'!J807</f>
        <v>R292</v>
      </c>
      <c r="J441">
        <f>IFERROR(INDEX('Green_rooibos initial weight'!$C$5:$C$1749,MATCH(H441, 'Green_rooibos initial weight'!$A$5:$A$1749,0)),"")</f>
        <v>1.9950000000000001</v>
      </c>
      <c r="K441">
        <f>IFERROR(INDEX('Green_rooibos initial weight'!$C$5:$C$1749,MATCH(I441, 'Green_rooibos initial weight'!$A$5:$A$1749,0)),"")</f>
        <v>2.2370000000000001</v>
      </c>
      <c r="L441" s="195">
        <f t="shared" si="65"/>
        <v>1.7452000000000001</v>
      </c>
      <c r="M441" s="240">
        <f>AVERAGE(Ashed_controlls!$K$1:$K$11)</f>
        <v>5.5147656768714146</v>
      </c>
      <c r="N441" s="195">
        <f t="shared" si="60"/>
        <v>1.6489563094072401</v>
      </c>
      <c r="O441" s="195">
        <f t="shared" si="66"/>
        <v>1.9872000000000001</v>
      </c>
      <c r="P441" s="240">
        <f>AVERAGE(Ashed_controlls!$K$12:$K$14)</f>
        <v>2.2816647271287041</v>
      </c>
      <c r="Q441" s="195">
        <f t="shared" si="61"/>
        <v>1.9418587585424985</v>
      </c>
      <c r="R441" s="16">
        <f>IF('Dry_Litterbag Placem_Collection'!G148="N.A","",'Dry_Litterbag Placem_Collection'!G148)</f>
        <v>43010</v>
      </c>
      <c r="S441" s="195">
        <f>IF(IFERROR(INDEX('Both teabags AfterDry'!$D$1:$D$839,MATCH(H441,'Both teabags AfterDry'!$A$1:$A$839,0)),"")="N.A","",(IFERROR(INDEX('Both teabags AfterDry'!$D$1:$D$839,MATCH(H441,'Both teabags AfterDry'!$A$1:$A$839,0)),"")))</f>
        <v>1.6466000000000001</v>
      </c>
      <c r="T441" s="195">
        <f>IF(IFERROR(INDEX('Both teabags AfterDry'!$D$1:$D$839,MATCH(I441,'Both teabags AfterDry'!$A$1:$A$839,0)),"")="N.A","",(IFERROR(INDEX('Both teabags AfterDry'!$D$1:$D$839,MATCH(I441,'Both teabags AfterDry'!$A$1:$A$839,0)),"")))</f>
        <v>2.0505</v>
      </c>
      <c r="U441" s="195">
        <f t="shared" si="67"/>
        <v>1.496</v>
      </c>
      <c r="V441" s="195">
        <f t="shared" si="67"/>
        <v>1.8998999999999999</v>
      </c>
      <c r="W441" s="195">
        <f>IFERROR(INDEX('Ashed teabags dry'!$K$2:$K$821,MATCH(H441,'Ashed teabags dry'!$A$2:$A$821,0)),"")</f>
        <v>9.7110374230223258</v>
      </c>
      <c r="X441" s="195">
        <f>IFERROR(INDEX('Ashed teabags dry'!$K$2:$K$821,MATCH(I441,'Ashed teabags dry'!$A$2:$A$821,0)),"")</f>
        <v>2.5435704192176245</v>
      </c>
      <c r="Y441" s="195">
        <f t="shared" si="62"/>
        <v>1.350722880151586</v>
      </c>
      <c r="Z441" s="195">
        <f t="shared" si="62"/>
        <v>1.8515747056052843</v>
      </c>
      <c r="AA441" s="195">
        <f t="shared" si="68"/>
        <v>0.18086193524609628</v>
      </c>
      <c r="AB441" s="195">
        <f t="shared" si="69"/>
        <v>0.1185698197812888</v>
      </c>
      <c r="AC441" s="195">
        <f t="shared" si="63"/>
        <v>0.95350637499249491</v>
      </c>
      <c r="AD441">
        <f t="shared" si="64"/>
        <v>71</v>
      </c>
      <c r="AE441" s="195">
        <f t="shared" si="70"/>
        <v>0.78519960184549131</v>
      </c>
      <c r="AF441" s="195">
        <f t="shared" si="71"/>
        <v>7.0109600469546824E-3</v>
      </c>
      <c r="AG441" s="255" t="str">
        <f>IF(ISNUMBER(SEARCH("C", 'Dry_Litterbag Placem_Collection'!AD148)),"YES","NO")</f>
        <v>NO</v>
      </c>
      <c r="AH441" s="255" t="str">
        <f>IF(ISNUMBER(SEARCH("H", 'Dry_Litterbag Placem_Collection'!AD148)),"YES","NO")</f>
        <v>NO</v>
      </c>
      <c r="AI441" s="255" t="str">
        <f>IF(ISNUMBER(SEARCH("R", 'Dry_Litterbag Placem_Collection'!AD148)),"YES","NO")</f>
        <v>NO</v>
      </c>
      <c r="AJ441" s="255" t="str">
        <f>IF(ISNUMBER(SEARCH("C", 'Dry_Litterbag Placem_Collection'!AC148)),"YES","NO")</f>
        <v>NO</v>
      </c>
      <c r="AK441" s="255" t="str">
        <f>IF(ISNUMBER(SEARCH("H", 'Dry_Litterbag Placem_Collection'!AC148)),"YES","NO")</f>
        <v>NO</v>
      </c>
      <c r="AL441" s="255" t="str">
        <f>IF(ISNUMBER(SEARCH("R", 'Dry_Litterbag Placem_Collection'!AC148)),"YES","NO")</f>
        <v>NO</v>
      </c>
      <c r="AR441" t="s">
        <v>1714</v>
      </c>
      <c r="AT441" t="s">
        <v>849</v>
      </c>
    </row>
    <row r="442" spans="2:46">
      <c r="B442" t="str">
        <f>'Final data_for_R_analysis_Dryse'!A588</f>
        <v>Dry</v>
      </c>
      <c r="C442" s="263">
        <f>'Final data_for_R_analysis_Dryse'!B588</f>
        <v>147</v>
      </c>
      <c r="D442" t="s">
        <v>3849</v>
      </c>
      <c r="E442" t="s">
        <v>25</v>
      </c>
      <c r="F442" s="386">
        <v>3</v>
      </c>
      <c r="G442" s="16">
        <f>'Dry_Litterbag Placem_Collection'!E149</f>
        <v>42939</v>
      </c>
      <c r="H442" s="92" t="str">
        <f>'Final data_for_R_analysis_Dryse'!J588</f>
        <v>G303</v>
      </c>
      <c r="I442" t="str">
        <f>'Final data_for_R_analysis_Dryse'!J808</f>
        <v>R243</v>
      </c>
      <c r="J442">
        <f>IFERROR(INDEX('Green_rooibos initial weight'!$C$5:$C$1749,MATCH(H442, 'Green_rooibos initial weight'!$A$5:$A$1749,0)),"")</f>
        <v>1.9850000000000001</v>
      </c>
      <c r="K442">
        <f>IFERROR(INDEX('Green_rooibos initial weight'!$C$5:$C$1749,MATCH(I442, 'Green_rooibos initial weight'!$A$5:$A$1749,0)),"")</f>
        <v>2.1680000000000001</v>
      </c>
      <c r="L442" s="195">
        <f t="shared" si="65"/>
        <v>1.7352000000000001</v>
      </c>
      <c r="M442" s="240">
        <f>AVERAGE(Ashed_controlls!$K$1:$K$11)</f>
        <v>5.5147656768714146</v>
      </c>
      <c r="N442" s="195">
        <f t="shared" si="60"/>
        <v>1.6395077859749272</v>
      </c>
      <c r="O442" s="195">
        <f t="shared" si="66"/>
        <v>1.9182000000000001</v>
      </c>
      <c r="P442" s="240">
        <f>AVERAGE(Ashed_controlls!$K$12:$K$14)</f>
        <v>2.2816647271287041</v>
      </c>
      <c r="Q442" s="195">
        <f t="shared" si="61"/>
        <v>1.8744331072042173</v>
      </c>
      <c r="R442" s="16">
        <f>IF('Dry_Litterbag Placem_Collection'!G149="N.A","",'Dry_Litterbag Placem_Collection'!G149)</f>
        <v>43010</v>
      </c>
      <c r="S442" s="195">
        <f>IF(IFERROR(INDEX('Both teabags AfterDry'!$D$1:$D$839,MATCH(H442,'Both teabags AfterDry'!$A$1:$A$839,0)),"")="N.A","",(IFERROR(INDEX('Both teabags AfterDry'!$D$1:$D$839,MATCH(H442,'Both teabags AfterDry'!$A$1:$A$839,0)),"")))</f>
        <v>1.6654</v>
      </c>
      <c r="T442" s="195">
        <f>IF(IFERROR(INDEX('Both teabags AfterDry'!$D$1:$D$839,MATCH(I442,'Both teabags AfterDry'!$A$1:$A$839,0)),"")="N.A","",(IFERROR(INDEX('Both teabags AfterDry'!$D$1:$D$839,MATCH(I442,'Both teabags AfterDry'!$A$1:$A$839,0)),"")))</f>
        <v>1.9182999999999999</v>
      </c>
      <c r="U442" s="195">
        <f t="shared" si="67"/>
        <v>1.5147999999999999</v>
      </c>
      <c r="V442" s="195">
        <f t="shared" si="67"/>
        <v>1.7676999999999998</v>
      </c>
      <c r="W442" s="195">
        <f>IFERROR(INDEX('Ashed teabags dry'!$K$2:$K$821,MATCH(H442,'Ashed teabags dry'!$A$2:$A$821,0)),"")</f>
        <v>8.1562036579344408</v>
      </c>
      <c r="X442" s="195">
        <f>IFERROR(INDEX('Ashed teabags dry'!$K$2:$K$821,MATCH(I442,'Ashed teabags dry'!$A$2:$A$821,0)),"")</f>
        <v>3.2670454545454892</v>
      </c>
      <c r="Y442" s="195">
        <f t="shared" si="62"/>
        <v>1.391249826989609</v>
      </c>
      <c r="Z442" s="195">
        <f t="shared" si="62"/>
        <v>1.7099484374999991</v>
      </c>
      <c r="AA442" s="195">
        <f t="shared" si="68"/>
        <v>0.15142225069562121</v>
      </c>
      <c r="AB442" s="195">
        <f t="shared" si="69"/>
        <v>9.9269694042735043E-2</v>
      </c>
      <c r="AC442" s="195">
        <f t="shared" si="63"/>
        <v>0.91224831173113841</v>
      </c>
      <c r="AD442">
        <f t="shared" si="64"/>
        <v>71</v>
      </c>
      <c r="AE442" s="195">
        <f t="shared" si="70"/>
        <v>0.82016359774866843</v>
      </c>
      <c r="AF442" s="195">
        <f t="shared" si="71"/>
        <v>3.0337025326048362E-2</v>
      </c>
      <c r="AG442" s="255" t="str">
        <f>IF(ISNUMBER(SEARCH("C", 'Dry_Litterbag Placem_Collection'!AD149)),"YES","NO")</f>
        <v>NO</v>
      </c>
      <c r="AH442" s="255" t="str">
        <f>IF(ISNUMBER(SEARCH("H", 'Dry_Litterbag Placem_Collection'!AD149)),"YES","NO")</f>
        <v>NO</v>
      </c>
      <c r="AI442" s="255" t="str">
        <f>IF(ISNUMBER(SEARCH("R", 'Dry_Litterbag Placem_Collection'!AD149)),"YES","NO")</f>
        <v>NO</v>
      </c>
      <c r="AJ442" s="255" t="str">
        <f>IF(ISNUMBER(SEARCH("C", 'Dry_Litterbag Placem_Collection'!AC149)),"YES","NO")</f>
        <v>NO</v>
      </c>
      <c r="AK442" s="255" t="str">
        <f>IF(ISNUMBER(SEARCH("H", 'Dry_Litterbag Placem_Collection'!AC149)),"YES","NO")</f>
        <v>NO</v>
      </c>
      <c r="AL442" s="255" t="str">
        <f>IF(ISNUMBER(SEARCH("R", 'Dry_Litterbag Placem_Collection'!AC149)),"YES","NO")</f>
        <v>NO</v>
      </c>
      <c r="AR442" t="s">
        <v>1747</v>
      </c>
      <c r="AT442" t="s">
        <v>898</v>
      </c>
    </row>
    <row r="443" spans="2:46">
      <c r="B443" t="str">
        <f>'Final data_for_R_analysis_Dryse'!A589</f>
        <v>Dry</v>
      </c>
      <c r="C443" s="263">
        <f>'Final data_for_R_analysis_Dryse'!B589</f>
        <v>148</v>
      </c>
      <c r="D443" t="s">
        <v>3849</v>
      </c>
      <c r="E443" t="s">
        <v>25</v>
      </c>
      <c r="F443" s="387">
        <v>4</v>
      </c>
      <c r="G443" s="16">
        <f>'Dry_Litterbag Placem_Collection'!E150</f>
        <v>42939</v>
      </c>
      <c r="H443" s="92" t="str">
        <f>'Final data_for_R_analysis_Dryse'!J589</f>
        <v>G161</v>
      </c>
      <c r="I443" t="str">
        <f>'Final data_for_R_analysis_Dryse'!J809</f>
        <v>R422</v>
      </c>
      <c r="J443">
        <f>IFERROR(INDEX('Green_rooibos initial weight'!$C$5:$C$1749,MATCH(H443, 'Green_rooibos initial weight'!$A$5:$A$1749,0)),"")</f>
        <v>2.0979999999999999</v>
      </c>
      <c r="K443">
        <f>IFERROR(INDEX('Green_rooibos initial weight'!$C$5:$C$1749,MATCH(I443, 'Green_rooibos initial weight'!$A$5:$A$1749,0)),"")</f>
        <v>2.1760000000000002</v>
      </c>
      <c r="L443" s="195">
        <f t="shared" si="65"/>
        <v>1.8481999999999998</v>
      </c>
      <c r="M443" s="240">
        <f>AVERAGE(Ashed_controlls!$K$1:$K$11)</f>
        <v>5.5147656768714146</v>
      </c>
      <c r="N443" s="195">
        <f t="shared" si="60"/>
        <v>1.7462761007600625</v>
      </c>
      <c r="O443" s="195">
        <f t="shared" si="66"/>
        <v>1.9262000000000001</v>
      </c>
      <c r="P443" s="240">
        <f>AVERAGE(Ashed_controlls!$K$12:$K$14)</f>
        <v>2.2816647271287041</v>
      </c>
      <c r="Q443" s="195">
        <f t="shared" si="61"/>
        <v>1.8822505740260471</v>
      </c>
      <c r="R443" s="16">
        <f>IF('Dry_Litterbag Placem_Collection'!G150="N.A","",'Dry_Litterbag Placem_Collection'!G150)</f>
        <v>43010</v>
      </c>
      <c r="S443" s="195">
        <f>IF(IFERROR(INDEX('Both teabags AfterDry'!$D$1:$D$839,MATCH(H443,'Both teabags AfterDry'!$A$1:$A$839,0)),"")="N.A","",(IFERROR(INDEX('Both teabags AfterDry'!$D$1:$D$839,MATCH(H443,'Both teabags AfterDry'!$A$1:$A$839,0)),"")))</f>
        <v>1.7174</v>
      </c>
      <c r="T443" s="195">
        <f>IF(IFERROR(INDEX('Both teabags AfterDry'!$D$1:$D$839,MATCH(I443,'Both teabags AfterDry'!$A$1:$A$839,0)),"")="N.A","",(IFERROR(INDEX('Both teabags AfterDry'!$D$1:$D$839,MATCH(I443,'Both teabags AfterDry'!$A$1:$A$839,0)),"")))</f>
        <v>1.9601999999999999</v>
      </c>
      <c r="U443" s="195">
        <f t="shared" si="67"/>
        <v>1.5668</v>
      </c>
      <c r="V443" s="195">
        <f t="shared" si="67"/>
        <v>1.8095999999999999</v>
      </c>
      <c r="W443" s="195">
        <f>IFERROR(INDEX('Ashed teabags dry'!$K$2:$K$821,MATCH(H443,'Ashed teabags dry'!$A$2:$A$821,0)),"")</f>
        <v>9.0731707317073607</v>
      </c>
      <c r="X443" s="195">
        <f>IFERROR(INDEX('Ashed teabags dry'!$K$2:$K$821,MATCH(I443,'Ashed teabags dry'!$A$2:$A$821,0)),"")</f>
        <v>4.0076335877862421</v>
      </c>
      <c r="Y443" s="195">
        <f t="shared" si="62"/>
        <v>1.4246415609756091</v>
      </c>
      <c r="Z443" s="195">
        <f t="shared" si="62"/>
        <v>1.73707786259542</v>
      </c>
      <c r="AA443" s="195">
        <f t="shared" si="68"/>
        <v>0.18418309661597199</v>
      </c>
      <c r="AB443" s="195">
        <f t="shared" si="69"/>
        <v>0.12074711322092228</v>
      </c>
      <c r="AC443" s="195">
        <f t="shared" si="63"/>
        <v>0.9228728026789178</v>
      </c>
      <c r="AD443">
        <f t="shared" si="64"/>
        <v>71</v>
      </c>
      <c r="AE443" s="195">
        <f t="shared" si="70"/>
        <v>0.78125522967224226</v>
      </c>
      <c r="AF443" s="195">
        <f t="shared" si="71"/>
        <v>1.4340627498880435E-2</v>
      </c>
      <c r="AG443" s="255" t="str">
        <f>IF(ISNUMBER(SEARCH("C", 'Dry_Litterbag Placem_Collection'!AD150)),"YES","NO")</f>
        <v>NO</v>
      </c>
      <c r="AH443" s="255" t="str">
        <f>IF(ISNUMBER(SEARCH("H", 'Dry_Litterbag Placem_Collection'!AD150)),"YES","NO")</f>
        <v>NO</v>
      </c>
      <c r="AI443" s="255" t="str">
        <f>IF(ISNUMBER(SEARCH("R", 'Dry_Litterbag Placem_Collection'!AD150)),"YES","NO")</f>
        <v>NO</v>
      </c>
      <c r="AJ443" s="255" t="str">
        <f>IF(ISNUMBER(SEARCH("C", 'Dry_Litterbag Placem_Collection'!AC150)),"YES","NO")</f>
        <v>NO</v>
      </c>
      <c r="AK443" s="255" t="str">
        <f>IF(ISNUMBER(SEARCH("H", 'Dry_Litterbag Placem_Collection'!AC150)),"YES","NO")</f>
        <v>NO</v>
      </c>
      <c r="AL443" s="255" t="str">
        <f>IF(ISNUMBER(SEARCH("R", 'Dry_Litterbag Placem_Collection'!AC150)),"YES","NO")</f>
        <v>NO</v>
      </c>
      <c r="AR443" t="s">
        <v>1889</v>
      </c>
      <c r="AT443" t="s">
        <v>719</v>
      </c>
    </row>
    <row r="444" spans="2:46">
      <c r="B444" t="str">
        <f>'Final data_for_R_analysis_Dryse'!A590</f>
        <v>Dry</v>
      </c>
      <c r="C444" s="263">
        <f>'Final data_for_R_analysis_Dryse'!B590</f>
        <v>149</v>
      </c>
      <c r="D444" t="s">
        <v>3849</v>
      </c>
      <c r="E444" t="s">
        <v>25</v>
      </c>
      <c r="F444" s="387">
        <v>5</v>
      </c>
      <c r="G444" s="16">
        <f>'Dry_Litterbag Placem_Collection'!E151</f>
        <v>42939</v>
      </c>
      <c r="H444" s="92" t="str">
        <f>'Final data_for_R_analysis_Dryse'!J590</f>
        <v>G464</v>
      </c>
      <c r="I444" t="str">
        <f>'Final data_for_R_analysis_Dryse'!J810</f>
        <v>R664</v>
      </c>
      <c r="J444">
        <f>IFERROR(INDEX('Green_rooibos initial weight'!$C$5:$C$1749,MATCH(H444, 'Green_rooibos initial weight'!$A$5:$A$1749,0)),"")</f>
        <v>1.964</v>
      </c>
      <c r="K444">
        <f>IFERROR(INDEX('Green_rooibos initial weight'!$C$5:$C$1749,MATCH(I444, 'Green_rooibos initial weight'!$A$5:$A$1749,0)),"")</f>
        <v>2.09</v>
      </c>
      <c r="L444" s="195">
        <f t="shared" si="65"/>
        <v>1.7141999999999999</v>
      </c>
      <c r="M444" s="240">
        <f>AVERAGE(Ashed_controlls!$K$1:$K$11)</f>
        <v>5.5147656768714146</v>
      </c>
      <c r="N444" s="195">
        <f t="shared" si="60"/>
        <v>1.6196658867670701</v>
      </c>
      <c r="O444" s="195">
        <f t="shared" si="66"/>
        <v>1.8401999999999998</v>
      </c>
      <c r="P444" s="240">
        <f>AVERAGE(Ashed_controlls!$K$12:$K$14)</f>
        <v>2.2816647271287041</v>
      </c>
      <c r="Q444" s="195">
        <f t="shared" si="61"/>
        <v>1.7982128056913775</v>
      </c>
      <c r="R444" s="16">
        <f>IF('Dry_Litterbag Placem_Collection'!G151="N.A","",'Dry_Litterbag Placem_Collection'!G151)</f>
        <v>43010</v>
      </c>
      <c r="S444" s="195">
        <f>IF(IFERROR(INDEX('Both teabags AfterDry'!$D$1:$D$839,MATCH(H444,'Both teabags AfterDry'!$A$1:$A$839,0)),"")="N.A","",(IFERROR(INDEX('Both teabags AfterDry'!$D$1:$D$839,MATCH(H444,'Both teabags AfterDry'!$A$1:$A$839,0)),"")))</f>
        <v>1.571</v>
      </c>
      <c r="T444" s="195">
        <f>IF(IFERROR(INDEX('Both teabags AfterDry'!$D$1:$D$839,MATCH(I444,'Both teabags AfterDry'!$A$1:$A$839,0)),"")="N.A","",(IFERROR(INDEX('Both teabags AfterDry'!$D$1:$D$839,MATCH(I444,'Both teabags AfterDry'!$A$1:$A$839,0)),"")))</f>
        <v>1.8895999999999999</v>
      </c>
      <c r="U444" s="195">
        <f t="shared" si="67"/>
        <v>1.4203999999999999</v>
      </c>
      <c r="V444" s="195">
        <f t="shared" si="67"/>
        <v>1.7389999999999999</v>
      </c>
      <c r="W444" s="195">
        <f>IFERROR(INDEX('Ashed teabags dry'!$K$2:$K$821,MATCH(H444,'Ashed teabags dry'!$A$2:$A$821,0)),"")</f>
        <v>7.6546506453042547</v>
      </c>
      <c r="X444" s="195">
        <f>IFERROR(INDEX('Ashed teabags dry'!$K$2:$K$821,MATCH(I444,'Ashed teabags dry'!$A$2:$A$821,0)),"")</f>
        <v>3.7617554858933753</v>
      </c>
      <c r="Y444" s="195">
        <f t="shared" si="62"/>
        <v>1.3116733422340983</v>
      </c>
      <c r="Z444" s="195">
        <f t="shared" si="62"/>
        <v>1.673583072100314</v>
      </c>
      <c r="AA444" s="195">
        <f t="shared" si="68"/>
        <v>0.1901580733713788</v>
      </c>
      <c r="AB444" s="195">
        <f t="shared" si="69"/>
        <v>0.12466420011995383</v>
      </c>
      <c r="AC444" s="195">
        <f t="shared" si="63"/>
        <v>0.93069244463357836</v>
      </c>
      <c r="AD444">
        <f t="shared" si="64"/>
        <v>71</v>
      </c>
      <c r="AE444" s="195">
        <f t="shared" si="70"/>
        <v>0.77415905775370686</v>
      </c>
      <c r="AF444" s="195">
        <f t="shared" si="71"/>
        <v>1.1434183404503329E-2</v>
      </c>
      <c r="AG444" s="255" t="str">
        <f>IF(ISNUMBER(SEARCH("C", 'Dry_Litterbag Placem_Collection'!AD151)),"YES","NO")</f>
        <v>NO</v>
      </c>
      <c r="AH444" s="255" t="str">
        <f>IF(ISNUMBER(SEARCH("H", 'Dry_Litterbag Placem_Collection'!AD151)),"YES","NO")</f>
        <v>NO</v>
      </c>
      <c r="AI444" s="255" t="str">
        <f>IF(ISNUMBER(SEARCH("R", 'Dry_Litterbag Placem_Collection'!AD151)),"YES","NO")</f>
        <v>NO</v>
      </c>
      <c r="AJ444" s="255" t="str">
        <f>IF(ISNUMBER(SEARCH("C", 'Dry_Litterbag Placem_Collection'!AC151)),"YES","NO")</f>
        <v>NO</v>
      </c>
      <c r="AK444" s="255" t="str">
        <f>IF(ISNUMBER(SEARCH("H", 'Dry_Litterbag Placem_Collection'!AC151)),"YES","NO")</f>
        <v>NO</v>
      </c>
      <c r="AL444" s="255" t="str">
        <f>IF(ISNUMBER(SEARCH("R", 'Dry_Litterbag Placem_Collection'!AC151)),"YES","NO")</f>
        <v>NO</v>
      </c>
      <c r="AR444" t="s">
        <v>1586</v>
      </c>
      <c r="AT444" t="s">
        <v>475</v>
      </c>
    </row>
    <row r="445" spans="2:46">
      <c r="B445" t="str">
        <f>'Final data_for_R_analysis_Dryse'!A591</f>
        <v>Dry</v>
      </c>
      <c r="C445" s="263">
        <f>'Final data_for_R_analysis_Dryse'!B591</f>
        <v>150</v>
      </c>
      <c r="D445" t="s">
        <v>3849</v>
      </c>
      <c r="E445" t="s">
        <v>25</v>
      </c>
      <c r="F445" s="387">
        <v>6</v>
      </c>
      <c r="G445" s="16">
        <f>'Dry_Litterbag Placem_Collection'!E152</f>
        <v>42939</v>
      </c>
      <c r="H445" s="92" t="str">
        <f>'Final data_for_R_analysis_Dryse'!J591</f>
        <v>G843</v>
      </c>
      <c r="I445" t="str">
        <f>'Final data_for_R_analysis_Dryse'!J811</f>
        <v>R316</v>
      </c>
      <c r="J445">
        <f>IFERROR(INDEX('Green_rooibos initial weight'!$C$5:$C$1749,MATCH(H445, 'Green_rooibos initial weight'!$A$5:$A$1749,0)),"")</f>
        <v>1.964</v>
      </c>
      <c r="K445">
        <f>IFERROR(INDEX('Green_rooibos initial weight'!$C$5:$C$1749,MATCH(I445, 'Green_rooibos initial weight'!$A$5:$A$1749,0)),"")</f>
        <v>2.1779999999999999</v>
      </c>
      <c r="L445" s="195">
        <f t="shared" si="65"/>
        <v>1.7141999999999999</v>
      </c>
      <c r="M445" s="240">
        <f>AVERAGE(Ashed_controlls!$K$1:$K$11)</f>
        <v>5.5147656768714146</v>
      </c>
      <c r="N445" s="195">
        <f t="shared" si="60"/>
        <v>1.6196658867670701</v>
      </c>
      <c r="O445" s="195">
        <f t="shared" si="66"/>
        <v>1.9281999999999999</v>
      </c>
      <c r="P445" s="240">
        <f>AVERAGE(Ashed_controlls!$K$12:$K$14)</f>
        <v>2.2816647271287041</v>
      </c>
      <c r="Q445" s="195">
        <f t="shared" si="61"/>
        <v>1.8842049407315042</v>
      </c>
      <c r="R445" s="16">
        <f>IF('Dry_Litterbag Placem_Collection'!G152="N.A","",'Dry_Litterbag Placem_Collection'!G152)</f>
        <v>43010</v>
      </c>
      <c r="S445" s="195" t="str">
        <f>IF(IFERROR(INDEX('Both teabags AfterDry'!$D$1:$D$839,MATCH(H445,'Both teabags AfterDry'!$A$1:$A$839,0)),"")="N.A","",(IFERROR(INDEX('Both teabags AfterDry'!$D$1:$D$839,MATCH(H445,'Both teabags AfterDry'!$A$1:$A$839,0)),"")))</f>
        <v/>
      </c>
      <c r="T445" s="195" t="str">
        <f>IF(IFERROR(INDEX('Both teabags AfterDry'!$D$1:$D$839,MATCH(I445,'Both teabags AfterDry'!$A$1:$A$839,0)),"")="N.A","",(IFERROR(INDEX('Both teabags AfterDry'!$D$1:$D$839,MATCH(I445,'Both teabags AfterDry'!$A$1:$A$839,0)),"")))</f>
        <v/>
      </c>
      <c r="U445" s="195" t="str">
        <f t="shared" si="67"/>
        <v/>
      </c>
      <c r="V445" s="195" t="str">
        <f t="shared" si="67"/>
        <v/>
      </c>
      <c r="W445" s="195" t="str">
        <f>IFERROR(INDEX('Ashed teabags dry'!$K$2:$K$821,MATCH(H445,'Ashed teabags dry'!$A$2:$A$821,0)),"")</f>
        <v/>
      </c>
      <c r="X445" s="195" t="str">
        <f>IFERROR(INDEX('Ashed teabags dry'!$K$2:$K$821,MATCH(I445,'Ashed teabags dry'!$A$2:$A$821,0)),"")</f>
        <v/>
      </c>
      <c r="Y445" s="195" t="str">
        <f t="shared" si="62"/>
        <v/>
      </c>
      <c r="Z445" s="195" t="str">
        <f t="shared" si="62"/>
        <v/>
      </c>
      <c r="AA445" s="195" t="str">
        <f t="shared" si="68"/>
        <v/>
      </c>
      <c r="AB445" s="195" t="str">
        <f t="shared" si="69"/>
        <v/>
      </c>
      <c r="AC445" s="195" t="str">
        <f t="shared" si="63"/>
        <v/>
      </c>
      <c r="AD445">
        <f t="shared" si="64"/>
        <v>71</v>
      </c>
      <c r="AE445" s="195" t="str">
        <f t="shared" si="70"/>
        <v/>
      </c>
      <c r="AF445" s="195" t="str">
        <f t="shared" si="71"/>
        <v/>
      </c>
      <c r="AG445" s="255" t="str">
        <f>IF(ISNUMBER(SEARCH("C", 'Dry_Litterbag Placem_Collection'!AD152)),"YES","NO")</f>
        <v>NO</v>
      </c>
      <c r="AH445" s="255" t="str">
        <f>IF(ISNUMBER(SEARCH("H", 'Dry_Litterbag Placem_Collection'!AD152)),"YES","NO")</f>
        <v>NO</v>
      </c>
      <c r="AI445" s="255" t="str">
        <f>IF(ISNUMBER(SEARCH("R", 'Dry_Litterbag Placem_Collection'!AD152)),"YES","NO")</f>
        <v>NO</v>
      </c>
      <c r="AJ445" s="255" t="str">
        <f>IF(ISNUMBER(SEARCH("C", 'Dry_Litterbag Placem_Collection'!AC152)),"YES","NO")</f>
        <v>NO</v>
      </c>
      <c r="AK445" s="255" t="str">
        <f>IF(ISNUMBER(SEARCH("H", 'Dry_Litterbag Placem_Collection'!AC152)),"YES","NO")</f>
        <v>NO</v>
      </c>
      <c r="AL445" s="255" t="str">
        <f>IF(ISNUMBER(SEARCH("R", 'Dry_Litterbag Placem_Collection'!AC152)),"YES","NO")</f>
        <v>NO</v>
      </c>
      <c r="AR445" t="s">
        <v>1207</v>
      </c>
      <c r="AT445" t="s">
        <v>825</v>
      </c>
    </row>
    <row r="446" spans="2:46">
      <c r="B446" t="str">
        <f>'Final data_for_R_analysis_Dryse'!A592</f>
        <v>Dry</v>
      </c>
      <c r="C446" s="263">
        <f>'Final data_for_R_analysis_Dryse'!B592</f>
        <v>151</v>
      </c>
      <c r="D446" t="s">
        <v>3849</v>
      </c>
      <c r="E446" t="s">
        <v>25</v>
      </c>
      <c r="F446" s="387">
        <v>7</v>
      </c>
      <c r="G446" s="16">
        <f>'Dry_Litterbag Placem_Collection'!E153</f>
        <v>0</v>
      </c>
      <c r="H446" s="92" t="str">
        <f>'Final data_for_R_analysis_Dryse'!J592</f>
        <v/>
      </c>
      <c r="I446" t="str">
        <f>'Final data_for_R_analysis_Dryse'!J812</f>
        <v/>
      </c>
      <c r="J446" t="str">
        <f>IFERROR(INDEX('Green_rooibos initial weight'!$C$5:$C$1749,MATCH(H446, 'Green_rooibos initial weight'!$A$5:$A$1749,0)),"")</f>
        <v/>
      </c>
      <c r="K446" t="str">
        <f>IFERROR(INDEX('Green_rooibos initial weight'!$C$5:$C$1749,MATCH(I446, 'Green_rooibos initial weight'!$A$5:$A$1749,0)),"")</f>
        <v/>
      </c>
      <c r="L446" s="195" t="str">
        <f t="shared" si="65"/>
        <v/>
      </c>
      <c r="M446" s="240">
        <f>AVERAGE(Ashed_controlls!$K$1:$K$11)</f>
        <v>5.5147656768714146</v>
      </c>
      <c r="N446" s="195" t="str">
        <f t="shared" si="60"/>
        <v/>
      </c>
      <c r="O446" s="195" t="str">
        <f t="shared" si="66"/>
        <v/>
      </c>
      <c r="P446" s="240">
        <f>AVERAGE(Ashed_controlls!$K$12:$K$14)</f>
        <v>2.2816647271287041</v>
      </c>
      <c r="Q446" s="195" t="str">
        <f t="shared" si="61"/>
        <v/>
      </c>
      <c r="R446" s="16">
        <f>IF('Dry_Litterbag Placem_Collection'!G153="N.A","",'Dry_Litterbag Placem_Collection'!G153)</f>
        <v>0</v>
      </c>
      <c r="S446" s="195" t="str">
        <f>IF(IFERROR(INDEX('Both teabags AfterDry'!$D$1:$D$839,MATCH(H446,'Both teabags AfterDry'!$A$1:$A$839,0)),"")="N.A","",(IFERROR(INDEX('Both teabags AfterDry'!$D$1:$D$839,MATCH(H446,'Both teabags AfterDry'!$A$1:$A$839,0)),"")))</f>
        <v/>
      </c>
      <c r="T446" s="195" t="str">
        <f>IF(IFERROR(INDEX('Both teabags AfterDry'!$D$1:$D$839,MATCH(I446,'Both teabags AfterDry'!$A$1:$A$839,0)),"")="N.A","",(IFERROR(INDEX('Both teabags AfterDry'!$D$1:$D$839,MATCH(I446,'Both teabags AfterDry'!$A$1:$A$839,0)),"")))</f>
        <v/>
      </c>
      <c r="U446" s="195" t="str">
        <f t="shared" si="67"/>
        <v/>
      </c>
      <c r="V446" s="195" t="str">
        <f t="shared" si="67"/>
        <v/>
      </c>
      <c r="W446" s="195" t="str">
        <f>IFERROR(INDEX('Ashed teabags dry'!$K$2:$K$821,MATCH(H446,'Ashed teabags dry'!$A$2:$A$821,0)),"")</f>
        <v/>
      </c>
      <c r="X446" s="195" t="str">
        <f>IFERROR(INDEX('Ashed teabags dry'!$K$2:$K$821,MATCH(I446,'Ashed teabags dry'!$A$2:$A$821,0)),"")</f>
        <v/>
      </c>
      <c r="Y446" s="195" t="str">
        <f t="shared" si="62"/>
        <v/>
      </c>
      <c r="Z446" s="195" t="str">
        <f t="shared" si="62"/>
        <v/>
      </c>
      <c r="AA446" s="195" t="str">
        <f t="shared" si="68"/>
        <v/>
      </c>
      <c r="AB446" s="195" t="str">
        <f t="shared" si="69"/>
        <v/>
      </c>
      <c r="AC446" s="195" t="str">
        <f t="shared" si="63"/>
        <v/>
      </c>
      <c r="AD446" t="str">
        <f t="shared" si="64"/>
        <v/>
      </c>
      <c r="AE446" s="195" t="str">
        <f t="shared" si="70"/>
        <v/>
      </c>
      <c r="AF446" s="195" t="str">
        <f t="shared" si="71"/>
        <v/>
      </c>
      <c r="AG446" s="255" t="str">
        <f>IF(ISNUMBER(SEARCH("C", 'Dry_Litterbag Placem_Collection'!AD153)),"YES","NO")</f>
        <v>NO</v>
      </c>
      <c r="AH446" s="255" t="str">
        <f>IF(ISNUMBER(SEARCH("H", 'Dry_Litterbag Placem_Collection'!AD153)),"YES","NO")</f>
        <v>NO</v>
      </c>
      <c r="AI446" s="255" t="str">
        <f>IF(ISNUMBER(SEARCH("R", 'Dry_Litterbag Placem_Collection'!AD153)),"YES","NO")</f>
        <v>NO</v>
      </c>
      <c r="AJ446" s="255" t="str">
        <f>IF(ISNUMBER(SEARCH("C", 'Dry_Litterbag Placem_Collection'!AC153)),"YES","NO")</f>
        <v>NO</v>
      </c>
      <c r="AK446" s="255" t="str">
        <f>IF(ISNUMBER(SEARCH("H", 'Dry_Litterbag Placem_Collection'!AC153)),"YES","NO")</f>
        <v>NO</v>
      </c>
      <c r="AL446" s="255" t="str">
        <f>IF(ISNUMBER(SEARCH("R", 'Dry_Litterbag Placem_Collection'!AC153)),"YES","NO")</f>
        <v>NO</v>
      </c>
      <c r="AR446" t="s">
        <v>3654</v>
      </c>
      <c r="AT446" t="s">
        <v>3654</v>
      </c>
    </row>
    <row r="447" spans="2:46">
      <c r="B447" t="str">
        <f>'Final data_for_R_analysis_Dryse'!A593</f>
        <v>Dry</v>
      </c>
      <c r="C447" s="263">
        <f>'Final data_for_R_analysis_Dryse'!B593</f>
        <v>152</v>
      </c>
      <c r="D447" t="s">
        <v>3849</v>
      </c>
      <c r="E447" t="s">
        <v>25</v>
      </c>
      <c r="F447" s="387">
        <v>8</v>
      </c>
      <c r="G447" s="16">
        <f>'Dry_Litterbag Placem_Collection'!E154</f>
        <v>42939</v>
      </c>
      <c r="H447" s="92" t="str">
        <f>'Final data_for_R_analysis_Dryse'!J593</f>
        <v>G617</v>
      </c>
      <c r="I447" t="str">
        <f>'Final data_for_R_analysis_Dryse'!J813</f>
        <v>R635</v>
      </c>
      <c r="J447">
        <f>IFERROR(INDEX('Green_rooibos initial weight'!$C$5:$C$1749,MATCH(H447, 'Green_rooibos initial weight'!$A$5:$A$1749,0)),"")</f>
        <v>2.0880000000000001</v>
      </c>
      <c r="K447">
        <f>IFERROR(INDEX('Green_rooibos initial weight'!$C$5:$C$1749,MATCH(I447, 'Green_rooibos initial weight'!$A$5:$A$1749,0)),"")</f>
        <v>2.1320000000000001</v>
      </c>
      <c r="L447" s="195">
        <f t="shared" si="65"/>
        <v>1.8382000000000001</v>
      </c>
      <c r="M447" s="240">
        <f>AVERAGE(Ashed_controlls!$K$1:$K$11)</f>
        <v>5.5147656768714146</v>
      </c>
      <c r="N447" s="195">
        <f t="shared" si="60"/>
        <v>1.7368275773277497</v>
      </c>
      <c r="O447" s="195">
        <f t="shared" si="66"/>
        <v>1.8822000000000001</v>
      </c>
      <c r="P447" s="240">
        <f>AVERAGE(Ashed_controlls!$K$12:$K$14)</f>
        <v>2.2816647271287041</v>
      </c>
      <c r="Q447" s="195">
        <f t="shared" si="61"/>
        <v>1.8392545065059835</v>
      </c>
      <c r="R447" s="16">
        <f>IF('Dry_Litterbag Placem_Collection'!G154="N.A","",'Dry_Litterbag Placem_Collection'!G154)</f>
        <v>43010</v>
      </c>
      <c r="S447" s="195">
        <f>IF(IFERROR(INDEX('Both teabags AfterDry'!$D$1:$D$839,MATCH(H447,'Both teabags AfterDry'!$A$1:$A$839,0)),"")="N.A","",(IFERROR(INDEX('Both teabags AfterDry'!$D$1:$D$839,MATCH(H447,'Both teabags AfterDry'!$A$1:$A$839,0)),"")))</f>
        <v>1.3632</v>
      </c>
      <c r="T447" s="195">
        <f>IF(IFERROR(INDEX('Both teabags AfterDry'!$D$1:$D$839,MATCH(I447,'Both teabags AfterDry'!$A$1:$A$839,0)),"")="N.A","",(IFERROR(INDEX('Both teabags AfterDry'!$D$1:$D$839,MATCH(I447,'Both teabags AfterDry'!$A$1:$A$839,0)),"")))</f>
        <v>1.9524999999999999</v>
      </c>
      <c r="U447" s="195">
        <f t="shared" si="67"/>
        <v>1.2125999999999999</v>
      </c>
      <c r="V447" s="195">
        <f t="shared" si="67"/>
        <v>1.8018999999999998</v>
      </c>
      <c r="W447" s="195" t="str">
        <f>IFERROR(INDEX('Ashed teabags dry'!$K$2:$K$821,MATCH(H447,'Ashed teabags dry'!$A$2:$A$821,0)),"")</f>
        <v/>
      </c>
      <c r="X447" s="195">
        <f>IFERROR(INDEX('Ashed teabags dry'!$K$2:$K$821,MATCH(I447,'Ashed teabags dry'!$A$2:$A$821,0)),"")</f>
        <v>3.6981509245371296</v>
      </c>
      <c r="Y447" s="195" t="str">
        <f t="shared" si="62"/>
        <v/>
      </c>
      <c r="Z447" s="195">
        <f t="shared" si="62"/>
        <v>1.7352630184907654</v>
      </c>
      <c r="AA447" s="195" t="str">
        <f t="shared" si="68"/>
        <v/>
      </c>
      <c r="AB447" s="195" t="str">
        <f t="shared" si="69"/>
        <v/>
      </c>
      <c r="AC447" s="195">
        <f t="shared" si="63"/>
        <v>0.94345997922127156</v>
      </c>
      <c r="AD447">
        <f t="shared" si="64"/>
        <v>71</v>
      </c>
      <c r="AE447" s="195" t="str">
        <f t="shared" si="70"/>
        <v/>
      </c>
      <c r="AF447" s="195" t="str">
        <f t="shared" si="71"/>
        <v/>
      </c>
      <c r="AG447" s="255" t="str">
        <f>IF(ISNUMBER(SEARCH("C", 'Dry_Litterbag Placem_Collection'!AD154)),"YES","NO")</f>
        <v>NO</v>
      </c>
      <c r="AH447" s="255" t="str">
        <f>IF(ISNUMBER(SEARCH("H", 'Dry_Litterbag Placem_Collection'!AD154)),"YES","NO")</f>
        <v>NO</v>
      </c>
      <c r="AI447" s="255" t="str">
        <f>IF(ISNUMBER(SEARCH("R", 'Dry_Litterbag Placem_Collection'!AD154)),"YES","NO")</f>
        <v>NO</v>
      </c>
      <c r="AJ447" s="255" t="str">
        <f>IF(ISNUMBER(SEARCH("C", 'Dry_Litterbag Placem_Collection'!AC154)),"YES","NO")</f>
        <v>NO</v>
      </c>
      <c r="AK447" s="255" t="str">
        <f>IF(ISNUMBER(SEARCH("H", 'Dry_Litterbag Placem_Collection'!AC154)),"YES","NO")</f>
        <v>NO</v>
      </c>
      <c r="AL447" s="255" t="str">
        <f>IF(ISNUMBER(SEARCH("R", 'Dry_Litterbag Placem_Collection'!AC154)),"YES","NO")</f>
        <v>NO</v>
      </c>
      <c r="AR447" t="s">
        <v>1433</v>
      </c>
      <c r="AT447" t="s">
        <v>504</v>
      </c>
    </row>
    <row r="448" spans="2:46">
      <c r="B448" t="str">
        <f>'Final data_for_R_analysis_Dryse'!A594</f>
        <v>Dry</v>
      </c>
      <c r="C448" s="263">
        <f>'Final data_for_R_analysis_Dryse'!B594</f>
        <v>153</v>
      </c>
      <c r="D448" t="s">
        <v>3850</v>
      </c>
      <c r="E448" t="s">
        <v>25</v>
      </c>
      <c r="F448" s="386">
        <v>1</v>
      </c>
      <c r="G448" s="16">
        <f>'Dry_Litterbag Placem_Collection'!E155</f>
        <v>42939</v>
      </c>
      <c r="H448" s="92" t="str">
        <f>'Final data_for_R_analysis_Dryse'!J594</f>
        <v>G19</v>
      </c>
      <c r="I448" t="str">
        <f>'Final data_for_R_analysis_Dryse'!J814</f>
        <v>R651</v>
      </c>
      <c r="J448">
        <f>IFERROR(INDEX('Green_rooibos initial weight'!$C$5:$C$1749,MATCH(H448, 'Green_rooibos initial weight'!$A$5:$A$1749,0)),"")</f>
        <v>2.0659999999999998</v>
      </c>
      <c r="K448">
        <f>IFERROR(INDEX('Green_rooibos initial weight'!$C$5:$C$1749,MATCH(I448, 'Green_rooibos initial weight'!$A$5:$A$1749,0)),"")</f>
        <v>2.2349999999999999</v>
      </c>
      <c r="L448" s="195">
        <f t="shared" si="65"/>
        <v>1.8161999999999998</v>
      </c>
      <c r="M448" s="240">
        <f>AVERAGE(Ashed_controlls!$K$1:$K$11)</f>
        <v>5.5147656768714146</v>
      </c>
      <c r="N448" s="195">
        <f t="shared" si="60"/>
        <v>1.7160408257766613</v>
      </c>
      <c r="O448" s="195">
        <f t="shared" si="66"/>
        <v>1.9851999999999999</v>
      </c>
      <c r="P448" s="240">
        <f>AVERAGE(Ashed_controlls!$K$12:$K$14)</f>
        <v>2.2816647271287041</v>
      </c>
      <c r="Q448" s="195">
        <f t="shared" si="61"/>
        <v>1.9399043918370409</v>
      </c>
      <c r="R448" s="16">
        <f>IF('Dry_Litterbag Placem_Collection'!G155="N.A","",'Dry_Litterbag Placem_Collection'!G155)</f>
        <v>43010</v>
      </c>
      <c r="S448" s="195">
        <f>IF(IFERROR(INDEX('Both teabags AfterDry'!$D$1:$D$839,MATCH(H448,'Both teabags AfterDry'!$A$1:$A$839,0)),"")="N.A","",(IFERROR(INDEX('Both teabags AfterDry'!$D$1:$D$839,MATCH(H448,'Both teabags AfterDry'!$A$1:$A$839,0)),"")))</f>
        <v>1.0404</v>
      </c>
      <c r="T448" s="195">
        <f>IF(IFERROR(INDEX('Both teabags AfterDry'!$D$1:$D$839,MATCH(I448,'Both teabags AfterDry'!$A$1:$A$839,0)),"")="N.A","",(IFERROR(INDEX('Both teabags AfterDry'!$D$1:$D$839,MATCH(I448,'Both teabags AfterDry'!$A$1:$A$839,0)),"")))</f>
        <v>2.0049000000000001</v>
      </c>
      <c r="U448" s="195">
        <f t="shared" si="67"/>
        <v>0.88979999999999992</v>
      </c>
      <c r="V448" s="195">
        <f t="shared" si="67"/>
        <v>1.8543000000000001</v>
      </c>
      <c r="W448" s="195" t="str">
        <f>IFERROR(INDEX('Ashed teabags dry'!$K$2:$K$821,MATCH(H448,'Ashed teabags dry'!$A$2:$A$821,0)),"")</f>
        <v/>
      </c>
      <c r="X448" s="195">
        <f>IFERROR(INDEX('Ashed teabags dry'!$K$2:$K$821,MATCH(I448,'Ashed teabags dry'!$A$2:$A$821,0)),"")</f>
        <v>4.6750818139321764</v>
      </c>
      <c r="Y448" s="195" t="str">
        <f t="shared" si="62"/>
        <v/>
      </c>
      <c r="Z448" s="195">
        <f t="shared" si="62"/>
        <v>1.7676099579242557</v>
      </c>
      <c r="AA448" s="195" t="str">
        <f t="shared" si="68"/>
        <v/>
      </c>
      <c r="AB448" s="195" t="str">
        <f t="shared" si="69"/>
        <v/>
      </c>
      <c r="AC448" s="195">
        <f t="shared" si="63"/>
        <v>0.91118405905064903</v>
      </c>
      <c r="AD448">
        <f t="shared" si="64"/>
        <v>71</v>
      </c>
      <c r="AE448" s="195" t="str">
        <f t="shared" si="70"/>
        <v/>
      </c>
      <c r="AF448" s="195" t="str">
        <f t="shared" si="71"/>
        <v/>
      </c>
      <c r="AG448" s="255" t="str">
        <f>IF(ISNUMBER(SEARCH("C", 'Dry_Litterbag Placem_Collection'!AD155)),"YES","NO")</f>
        <v>NO</v>
      </c>
      <c r="AH448" s="255" t="str">
        <f>IF(ISNUMBER(SEARCH("H", 'Dry_Litterbag Placem_Collection'!AD155)),"YES","NO")</f>
        <v>NO</v>
      </c>
      <c r="AI448" s="255" t="str">
        <f>IF(ISNUMBER(SEARCH("R", 'Dry_Litterbag Placem_Collection'!AD155)),"YES","NO")</f>
        <v>NO</v>
      </c>
      <c r="AJ448" s="255" t="str">
        <f>IF(ISNUMBER(SEARCH("C", 'Dry_Litterbag Placem_Collection'!AC155)),"YES","NO")</f>
        <v>NO</v>
      </c>
      <c r="AK448" s="255" t="str">
        <f>IF(ISNUMBER(SEARCH("H", 'Dry_Litterbag Placem_Collection'!AC155)),"YES","NO")</f>
        <v>NO</v>
      </c>
      <c r="AL448" s="255" t="str">
        <f>IF(ISNUMBER(SEARCH("R", 'Dry_Litterbag Placem_Collection'!AC155)),"YES","NO")</f>
        <v>NO</v>
      </c>
      <c r="AR448" t="s">
        <v>2031</v>
      </c>
      <c r="AT448" t="s">
        <v>488</v>
      </c>
    </row>
    <row r="449" spans="2:46">
      <c r="B449" t="str">
        <f>'Final data_for_R_analysis_Dryse'!A595</f>
        <v>Dry</v>
      </c>
      <c r="C449" s="263">
        <f>'Final data_for_R_analysis_Dryse'!B595</f>
        <v>154</v>
      </c>
      <c r="D449" t="s">
        <v>3850</v>
      </c>
      <c r="E449" t="s">
        <v>25</v>
      </c>
      <c r="F449" s="386">
        <v>2</v>
      </c>
      <c r="G449" s="16">
        <f>'Dry_Litterbag Placem_Collection'!E156</f>
        <v>42939</v>
      </c>
      <c r="H449" s="92" t="str">
        <f>'Final data_for_R_analysis_Dryse'!J595</f>
        <v>G275</v>
      </c>
      <c r="I449" t="str">
        <f>'Final data_for_R_analysis_Dryse'!J815</f>
        <v>R367</v>
      </c>
      <c r="J449">
        <f>IFERROR(INDEX('Green_rooibos initial weight'!$C$5:$C$1749,MATCH(H449, 'Green_rooibos initial weight'!$A$5:$A$1749,0)),"")</f>
        <v>2.097</v>
      </c>
      <c r="K449">
        <f>IFERROR(INDEX('Green_rooibos initial weight'!$C$5:$C$1749,MATCH(I449, 'Green_rooibos initial weight'!$A$5:$A$1749,0)),"")</f>
        <v>2.165</v>
      </c>
      <c r="L449" s="195">
        <f t="shared" si="65"/>
        <v>1.8472</v>
      </c>
      <c r="M449" s="240">
        <f>AVERAGE(Ashed_controlls!$K$1:$K$11)</f>
        <v>5.5147656768714146</v>
      </c>
      <c r="N449" s="195">
        <f t="shared" si="60"/>
        <v>1.7453312484168313</v>
      </c>
      <c r="O449" s="195">
        <f t="shared" si="66"/>
        <v>1.9152</v>
      </c>
      <c r="P449" s="240">
        <f>AVERAGE(Ashed_controlls!$K$12:$K$14)</f>
        <v>2.2816647271287041</v>
      </c>
      <c r="Q449" s="195">
        <f t="shared" si="61"/>
        <v>1.8715015571460312</v>
      </c>
      <c r="R449" s="16">
        <f>IF('Dry_Litterbag Placem_Collection'!G156="N.A","",'Dry_Litterbag Placem_Collection'!G156)</f>
        <v>43010</v>
      </c>
      <c r="S449" s="195">
        <f>IF(IFERROR(INDEX('Both teabags AfterDry'!$D$1:$D$839,MATCH(H449,'Both teabags AfterDry'!$A$1:$A$839,0)),"")="N.A","",(IFERROR(INDEX('Both teabags AfterDry'!$D$1:$D$839,MATCH(H449,'Both teabags AfterDry'!$A$1:$A$839,0)),"")))</f>
        <v>1.2171000000000001</v>
      </c>
      <c r="T449" s="195">
        <f>IF(IFERROR(INDEX('Both teabags AfterDry'!$D$1:$D$839,MATCH(I449,'Both teabags AfterDry'!$A$1:$A$839,0)),"")="N.A","",(IFERROR(INDEX('Both teabags AfterDry'!$D$1:$D$839,MATCH(I449,'Both teabags AfterDry'!$A$1:$A$839,0)),"")))</f>
        <v>1.8496999999999999</v>
      </c>
      <c r="U449" s="195">
        <f t="shared" si="67"/>
        <v>1.0665</v>
      </c>
      <c r="V449" s="195">
        <f t="shared" si="67"/>
        <v>1.6990999999999998</v>
      </c>
      <c r="W449" s="195">
        <f>IFERROR(INDEX('Ashed teabags dry'!$K$2:$K$821,MATCH(H449,'Ashed teabags dry'!$A$2:$A$821,0)),"")</f>
        <v>17.669902912621797</v>
      </c>
      <c r="X449" s="195">
        <f>IFERROR(INDEX('Ashed teabags dry'!$K$2:$K$821,MATCH(I449,'Ashed teabags dry'!$A$2:$A$821,0)),"")</f>
        <v>2.917264466762604</v>
      </c>
      <c r="Y449" s="195">
        <f t="shared" si="62"/>
        <v>0.87805048543688857</v>
      </c>
      <c r="Z449" s="195">
        <f t="shared" si="62"/>
        <v>1.6495327594452365</v>
      </c>
      <c r="AA449" s="195">
        <f t="shared" si="68"/>
        <v>0.49691470531261184</v>
      </c>
      <c r="AB449" s="195">
        <f t="shared" si="69"/>
        <v>0.32576831037121351</v>
      </c>
      <c r="AC449" s="195">
        <f t="shared" si="63"/>
        <v>0.88139534436760569</v>
      </c>
      <c r="AD449">
        <f t="shared" si="64"/>
        <v>71</v>
      </c>
      <c r="AE449" s="195">
        <f t="shared" si="70"/>
        <v>0.40984001744345389</v>
      </c>
      <c r="AF449" s="195">
        <f t="shared" si="71"/>
        <v>6.3757371944661535E-3</v>
      </c>
      <c r="AG449" s="255" t="str">
        <f>IF(ISNUMBER(SEARCH("C", 'Dry_Litterbag Placem_Collection'!AD156)),"YES","NO")</f>
        <v>NO</v>
      </c>
      <c r="AH449" s="255" t="str">
        <f>IF(ISNUMBER(SEARCH("H", 'Dry_Litterbag Placem_Collection'!AD156)),"YES","NO")</f>
        <v>NO</v>
      </c>
      <c r="AI449" s="255" t="str">
        <f>IF(ISNUMBER(SEARCH("R", 'Dry_Litterbag Placem_Collection'!AD156)),"YES","NO")</f>
        <v>NO</v>
      </c>
      <c r="AJ449" s="255" t="str">
        <f>IF(ISNUMBER(SEARCH("C", 'Dry_Litterbag Placem_Collection'!AC156)),"YES","NO")</f>
        <v>NO</v>
      </c>
      <c r="AK449" s="255" t="str">
        <f>IF(ISNUMBER(SEARCH("H", 'Dry_Litterbag Placem_Collection'!AC156)),"YES","NO")</f>
        <v>NO</v>
      </c>
      <c r="AL449" s="255" t="str">
        <f>IF(ISNUMBER(SEARCH("R", 'Dry_Litterbag Placem_Collection'!AC156)),"YES","NO")</f>
        <v>NO</v>
      </c>
      <c r="AR449" t="s">
        <v>1775</v>
      </c>
      <c r="AT449" t="s">
        <v>774</v>
      </c>
    </row>
    <row r="450" spans="2:46">
      <c r="B450" t="str">
        <f>'Final data_for_R_analysis_Dryse'!A596</f>
        <v>Dry</v>
      </c>
      <c r="C450" s="263">
        <f>'Final data_for_R_analysis_Dryse'!B596</f>
        <v>155</v>
      </c>
      <c r="D450" t="s">
        <v>3850</v>
      </c>
      <c r="E450" t="s">
        <v>25</v>
      </c>
      <c r="F450" s="386">
        <v>3</v>
      </c>
      <c r="G450" s="16">
        <f>'Dry_Litterbag Placem_Collection'!E157</f>
        <v>42939</v>
      </c>
      <c r="H450" s="92" t="str">
        <f>'Final data_for_R_analysis_Dryse'!J596</f>
        <v>G289</v>
      </c>
      <c r="I450" t="str">
        <f>'Final data_for_R_analysis_Dryse'!J816</f>
        <v>R617</v>
      </c>
      <c r="J450">
        <f>IFERROR(INDEX('Green_rooibos initial weight'!$C$5:$C$1749,MATCH(H450, 'Green_rooibos initial weight'!$A$5:$A$1749,0)),"")</f>
        <v>2.093</v>
      </c>
      <c r="K450">
        <f>IFERROR(INDEX('Green_rooibos initial weight'!$C$5:$C$1749,MATCH(I450, 'Green_rooibos initial weight'!$A$5:$A$1749,0)),"")</f>
        <v>2.2010000000000001</v>
      </c>
      <c r="L450" s="195">
        <f t="shared" si="65"/>
        <v>1.8431999999999999</v>
      </c>
      <c r="M450" s="240">
        <f>AVERAGE(Ashed_controlls!$K$1:$K$11)</f>
        <v>5.5147656768714146</v>
      </c>
      <c r="N450" s="195">
        <f t="shared" si="60"/>
        <v>1.741551839043906</v>
      </c>
      <c r="O450" s="195">
        <f t="shared" si="66"/>
        <v>1.9512</v>
      </c>
      <c r="P450" s="240">
        <f>AVERAGE(Ashed_controlls!$K$12:$K$14)</f>
        <v>2.2816647271287041</v>
      </c>
      <c r="Q450" s="195">
        <f t="shared" si="61"/>
        <v>1.9066801578442647</v>
      </c>
      <c r="R450" s="16">
        <f>IF('Dry_Litterbag Placem_Collection'!G157="N.A","",'Dry_Litterbag Placem_Collection'!G157)</f>
        <v>43010</v>
      </c>
      <c r="S450" s="195">
        <f>IF(IFERROR(INDEX('Both teabags AfterDry'!$D$1:$D$839,MATCH(H450,'Both teabags AfterDry'!$A$1:$A$839,0)),"")="N.A","",(IFERROR(INDEX('Both teabags AfterDry'!$D$1:$D$839,MATCH(H450,'Both teabags AfterDry'!$A$1:$A$839,0)),"")))</f>
        <v>1.2491000000000001</v>
      </c>
      <c r="T450" s="195">
        <f>IF(IFERROR(INDEX('Both teabags AfterDry'!$D$1:$D$839,MATCH(I450,'Both teabags AfterDry'!$A$1:$A$839,0)),"")="N.A","",(IFERROR(INDEX('Both teabags AfterDry'!$D$1:$D$839,MATCH(I450,'Both teabags AfterDry'!$A$1:$A$839,0)),"")))</f>
        <v>1.8621000000000001</v>
      </c>
      <c r="U450" s="195">
        <f t="shared" si="67"/>
        <v>1.0985</v>
      </c>
      <c r="V450" s="195">
        <f t="shared" si="67"/>
        <v>1.7115</v>
      </c>
      <c r="W450" s="195">
        <f>IFERROR(INDEX('Ashed teabags dry'!$K$2:$K$821,MATCH(H450,'Ashed teabags dry'!$A$2:$A$821,0)),"")</f>
        <v>10.862152946907919</v>
      </c>
      <c r="X450" s="195">
        <f>IFERROR(INDEX('Ashed teabags dry'!$K$2:$K$821,MATCH(I450,'Ashed teabags dry'!$A$2:$A$821,0)),"")</f>
        <v>2.5172754195451326</v>
      </c>
      <c r="Y450" s="195">
        <f t="shared" si="62"/>
        <v>0.97917924987821658</v>
      </c>
      <c r="Z450" s="195">
        <f t="shared" si="62"/>
        <v>1.6684168311944851</v>
      </c>
      <c r="AA450" s="195">
        <f t="shared" si="68"/>
        <v>0.43775474957106308</v>
      </c>
      <c r="AB450" s="195">
        <f t="shared" si="69"/>
        <v>0.28698411135775159</v>
      </c>
      <c r="AC450" s="195">
        <f t="shared" si="63"/>
        <v>0.87503760100007255</v>
      </c>
      <c r="AD450">
        <f t="shared" si="64"/>
        <v>71</v>
      </c>
      <c r="AE450" s="195">
        <f t="shared" si="70"/>
        <v>0.48010124754030514</v>
      </c>
      <c r="AF450" s="195">
        <f t="shared" si="71"/>
        <v>8.0520633796139461E-3</v>
      </c>
      <c r="AG450" s="255" t="str">
        <f>IF(ISNUMBER(SEARCH("C", 'Dry_Litterbag Placem_Collection'!AD157)),"YES","NO")</f>
        <v>NO</v>
      </c>
      <c r="AH450" s="255" t="str">
        <f>IF(ISNUMBER(SEARCH("H", 'Dry_Litterbag Placem_Collection'!AD157)),"YES","NO")</f>
        <v>NO</v>
      </c>
      <c r="AI450" s="255" t="str">
        <f>IF(ISNUMBER(SEARCH("R", 'Dry_Litterbag Placem_Collection'!AD157)),"YES","NO")</f>
        <v>NO</v>
      </c>
      <c r="AJ450" s="255" t="str">
        <f>IF(ISNUMBER(SEARCH("C", 'Dry_Litterbag Placem_Collection'!AC157)),"YES","NO")</f>
        <v>NO</v>
      </c>
      <c r="AK450" s="255" t="str">
        <f>IF(ISNUMBER(SEARCH("H", 'Dry_Litterbag Placem_Collection'!AC157)),"YES","NO")</f>
        <v>NO</v>
      </c>
      <c r="AL450" s="255" t="str">
        <f>IF(ISNUMBER(SEARCH("R", 'Dry_Litterbag Placem_Collection'!AC157)),"YES","NO")</f>
        <v>NO</v>
      </c>
      <c r="AR450" t="s">
        <v>1761</v>
      </c>
      <c r="AT450" t="s">
        <v>522</v>
      </c>
    </row>
    <row r="451" spans="2:46">
      <c r="B451" t="str">
        <f>'Final data_for_R_analysis_Dryse'!A597</f>
        <v>Dry</v>
      </c>
      <c r="C451" s="263">
        <f>'Final data_for_R_analysis_Dryse'!B597</f>
        <v>156</v>
      </c>
      <c r="D451" t="s">
        <v>3850</v>
      </c>
      <c r="E451" t="s">
        <v>25</v>
      </c>
      <c r="F451" s="387">
        <v>4</v>
      </c>
      <c r="G451" s="16">
        <f>'Dry_Litterbag Placem_Collection'!E158</f>
        <v>42939</v>
      </c>
      <c r="H451" s="92" t="str">
        <f>'Final data_for_R_analysis_Dryse'!J597</f>
        <v>G65</v>
      </c>
      <c r="I451" t="str">
        <f>'Final data_for_R_analysis_Dryse'!J817</f>
        <v>R84</v>
      </c>
      <c r="J451">
        <f>IFERROR(INDEX('Green_rooibos initial weight'!$C$5:$C$1749,MATCH(H451, 'Green_rooibos initial weight'!$A$5:$A$1749,0)),"")</f>
        <v>2.0750000000000002</v>
      </c>
      <c r="K451">
        <f>IFERROR(INDEX('Green_rooibos initial weight'!$C$5:$C$1749,MATCH(I451, 'Green_rooibos initial weight'!$A$5:$A$1749,0)),"")</f>
        <v>2.1629999999999998</v>
      </c>
      <c r="L451" s="195">
        <f t="shared" si="65"/>
        <v>1.8252000000000002</v>
      </c>
      <c r="M451" s="240">
        <f>AVERAGE(Ashed_controlls!$K$1:$K$11)</f>
        <v>5.5147656768714146</v>
      </c>
      <c r="N451" s="195">
        <f t="shared" si="60"/>
        <v>1.7245444968657431</v>
      </c>
      <c r="O451" s="195">
        <f t="shared" si="66"/>
        <v>1.9131999999999998</v>
      </c>
      <c r="P451" s="240">
        <f>AVERAGE(Ashed_controlls!$K$12:$K$14)</f>
        <v>2.2816647271287041</v>
      </c>
      <c r="Q451" s="195">
        <f t="shared" si="61"/>
        <v>1.8695471904405734</v>
      </c>
      <c r="R451" s="16">
        <f>IF('Dry_Litterbag Placem_Collection'!G158="N.A","",'Dry_Litterbag Placem_Collection'!G158)</f>
        <v>43010</v>
      </c>
      <c r="S451" s="195">
        <f>IF(IFERROR(INDEX('Both teabags AfterDry'!$D$1:$D$839,MATCH(H451,'Both teabags AfterDry'!$A$1:$A$839,0)),"")="N.A","",(IFERROR(INDEX('Both teabags AfterDry'!$D$1:$D$839,MATCH(H451,'Both teabags AfterDry'!$A$1:$A$839,0)),"")))</f>
        <v>1.0561</v>
      </c>
      <c r="T451" s="195">
        <f>IF(IFERROR(INDEX('Both teabags AfterDry'!$D$1:$D$839,MATCH(I451,'Both teabags AfterDry'!$A$1:$A$839,0)),"")="N.A","",(IFERROR(INDEX('Both teabags AfterDry'!$D$1:$D$839,MATCH(I451,'Both teabags AfterDry'!$A$1:$A$839,0)),"")))</f>
        <v>1.8827</v>
      </c>
      <c r="U451" s="195">
        <f t="shared" si="67"/>
        <v>0.90549999999999997</v>
      </c>
      <c r="V451" s="195">
        <f t="shared" si="67"/>
        <v>1.7321</v>
      </c>
      <c r="W451" s="195">
        <f>IFERROR(INDEX('Ashed teabags dry'!$K$2:$K$821,MATCH(H451,'Ashed teabags dry'!$A$2:$A$821,0)),"")</f>
        <v>16.530514175876895</v>
      </c>
      <c r="X451" s="195">
        <f>IFERROR(INDEX('Ashed teabags dry'!$K$2:$K$821,MATCH(I451,'Ashed teabags dry'!$A$2:$A$821,0)),"")</f>
        <v>7.2855953372191182</v>
      </c>
      <c r="Y451" s="195">
        <f t="shared" si="62"/>
        <v>0.75581619413743473</v>
      </c>
      <c r="Z451" s="195">
        <f t="shared" si="62"/>
        <v>1.6059062031640277</v>
      </c>
      <c r="AA451" s="195">
        <f t="shared" si="68"/>
        <v>0.56172995506286694</v>
      </c>
      <c r="AB451" s="195">
        <f t="shared" si="69"/>
        <v>0.36826001804596509</v>
      </c>
      <c r="AC451" s="195">
        <f t="shared" si="63"/>
        <v>0.85898136798867497</v>
      </c>
      <c r="AD451">
        <f t="shared" si="64"/>
        <v>71</v>
      </c>
      <c r="AE451" s="195">
        <f t="shared" si="70"/>
        <v>0.33286228614861402</v>
      </c>
      <c r="AF451" s="195">
        <f t="shared" si="71"/>
        <v>6.7996680611456424E-3</v>
      </c>
      <c r="AG451" s="255" t="str">
        <f>IF(ISNUMBER(SEARCH("C", 'Dry_Litterbag Placem_Collection'!AD158)),"YES","NO")</f>
        <v>NO</v>
      </c>
      <c r="AH451" s="255" t="str">
        <f>IF(ISNUMBER(SEARCH("H", 'Dry_Litterbag Placem_Collection'!AD158)),"YES","NO")</f>
        <v>NO</v>
      </c>
      <c r="AI451" s="255" t="str">
        <f>IF(ISNUMBER(SEARCH("R", 'Dry_Litterbag Placem_Collection'!AD158)),"YES","NO")</f>
        <v>NO</v>
      </c>
      <c r="AJ451" s="255" t="str">
        <f>IF(ISNUMBER(SEARCH("C", 'Dry_Litterbag Placem_Collection'!AC158)),"YES","NO")</f>
        <v>NO</v>
      </c>
      <c r="AK451" s="255" t="str">
        <f>IF(ISNUMBER(SEARCH("H", 'Dry_Litterbag Placem_Collection'!AC158)),"YES","NO")</f>
        <v>NO</v>
      </c>
      <c r="AL451" s="255" t="str">
        <f>IF(ISNUMBER(SEARCH("R", 'Dry_Litterbag Placem_Collection'!AC158)),"YES","NO")</f>
        <v>NO</v>
      </c>
      <c r="AR451" t="s">
        <v>1985</v>
      </c>
      <c r="AT451" t="s">
        <v>1057</v>
      </c>
    </row>
    <row r="452" spans="2:46">
      <c r="B452" t="str">
        <f>'Final data_for_R_analysis_Dryse'!A598</f>
        <v>Dry</v>
      </c>
      <c r="C452" s="263">
        <f>'Final data_for_R_analysis_Dryse'!B598</f>
        <v>157</v>
      </c>
      <c r="D452" t="s">
        <v>3850</v>
      </c>
      <c r="E452" t="s">
        <v>25</v>
      </c>
      <c r="F452" s="387">
        <v>5</v>
      </c>
      <c r="G452" s="16">
        <f>'Dry_Litterbag Placem_Collection'!E159</f>
        <v>42939</v>
      </c>
      <c r="H452" s="92" t="str">
        <f>'Final data_for_R_analysis_Dryse'!J598</f>
        <v>G33</v>
      </c>
      <c r="I452" t="str">
        <f>'Final data_for_R_analysis_Dryse'!J818</f>
        <v>R248</v>
      </c>
      <c r="J452">
        <f>IFERROR(INDEX('Green_rooibos initial weight'!$C$5:$C$1749,MATCH(H452, 'Green_rooibos initial weight'!$A$5:$A$1749,0)),"")</f>
        <v>2.0579999999999998</v>
      </c>
      <c r="K452">
        <f>IFERROR(INDEX('Green_rooibos initial weight'!$C$5:$C$1749,MATCH(I452, 'Green_rooibos initial weight'!$A$5:$A$1749,0)),"")</f>
        <v>2.1829999999999998</v>
      </c>
      <c r="L452" s="195">
        <f t="shared" si="65"/>
        <v>1.8081999999999998</v>
      </c>
      <c r="M452" s="240">
        <f>AVERAGE(Ashed_controlls!$K$1:$K$11)</f>
        <v>5.5147656768714146</v>
      </c>
      <c r="N452" s="195">
        <f t="shared" si="60"/>
        <v>1.7084820070308109</v>
      </c>
      <c r="O452" s="195">
        <f t="shared" si="66"/>
        <v>1.9331999999999998</v>
      </c>
      <c r="P452" s="240">
        <f>AVERAGE(Ashed_controlls!$K$12:$K$14)</f>
        <v>2.2816647271287041</v>
      </c>
      <c r="Q452" s="195">
        <f t="shared" si="61"/>
        <v>1.8890908574951477</v>
      </c>
      <c r="R452" s="16">
        <f>IF('Dry_Litterbag Placem_Collection'!G159="N.A","",'Dry_Litterbag Placem_Collection'!G159)</f>
        <v>43010</v>
      </c>
      <c r="S452" s="195" t="str">
        <f>IF(IFERROR(INDEX('Both teabags AfterDry'!$D$1:$D$839,MATCH(H452,'Both teabags AfterDry'!$A$1:$A$839,0)),"")="N.A","",(IFERROR(INDEX('Both teabags AfterDry'!$D$1:$D$839,MATCH(H452,'Both teabags AfterDry'!$A$1:$A$839,0)),"")))</f>
        <v/>
      </c>
      <c r="T452" s="195" t="str">
        <f>IF(IFERROR(INDEX('Both teabags AfterDry'!$D$1:$D$839,MATCH(I452,'Both teabags AfterDry'!$A$1:$A$839,0)),"")="N.A","",(IFERROR(INDEX('Both teabags AfterDry'!$D$1:$D$839,MATCH(I452,'Both teabags AfterDry'!$A$1:$A$839,0)),"")))</f>
        <v/>
      </c>
      <c r="U452" s="195" t="str">
        <f t="shared" si="67"/>
        <v/>
      </c>
      <c r="V452" s="195" t="str">
        <f t="shared" si="67"/>
        <v/>
      </c>
      <c r="W452" s="195" t="str">
        <f>IFERROR(INDEX('Ashed teabags dry'!$K$2:$K$821,MATCH(H452,'Ashed teabags dry'!$A$2:$A$821,0)),"")</f>
        <v/>
      </c>
      <c r="X452" s="195" t="str">
        <f>IFERROR(INDEX('Ashed teabags dry'!$K$2:$K$821,MATCH(I452,'Ashed teabags dry'!$A$2:$A$821,0)),"")</f>
        <v/>
      </c>
      <c r="Y452" s="195" t="str">
        <f t="shared" si="62"/>
        <v/>
      </c>
      <c r="Z452" s="195" t="str">
        <f t="shared" si="62"/>
        <v/>
      </c>
      <c r="AA452" s="195" t="str">
        <f t="shared" si="68"/>
        <v/>
      </c>
      <c r="AB452" s="195" t="str">
        <f t="shared" si="69"/>
        <v/>
      </c>
      <c r="AC452" s="195" t="str">
        <f t="shared" si="63"/>
        <v/>
      </c>
      <c r="AD452">
        <f t="shared" si="64"/>
        <v>71</v>
      </c>
      <c r="AE452" s="195" t="str">
        <f t="shared" si="70"/>
        <v/>
      </c>
      <c r="AF452" s="195" t="str">
        <f t="shared" si="71"/>
        <v/>
      </c>
      <c r="AG452" s="255" t="str">
        <f>IF(ISNUMBER(SEARCH("C", 'Dry_Litterbag Placem_Collection'!AD159)),"YES","NO")</f>
        <v>NO</v>
      </c>
      <c r="AH452" s="255" t="str">
        <f>IF(ISNUMBER(SEARCH("H", 'Dry_Litterbag Placem_Collection'!AD159)),"YES","NO")</f>
        <v>NO</v>
      </c>
      <c r="AI452" s="255" t="str">
        <f>IF(ISNUMBER(SEARCH("R", 'Dry_Litterbag Placem_Collection'!AD159)),"YES","NO")</f>
        <v>NO</v>
      </c>
      <c r="AJ452" s="255" t="str">
        <f>IF(ISNUMBER(SEARCH("C", 'Dry_Litterbag Placem_Collection'!AC159)),"YES","NO")</f>
        <v>NO</v>
      </c>
      <c r="AK452" s="255" t="str">
        <f>IF(ISNUMBER(SEARCH("H", 'Dry_Litterbag Placem_Collection'!AC159)),"YES","NO")</f>
        <v>NO</v>
      </c>
      <c r="AL452" s="255" t="str">
        <f>IF(ISNUMBER(SEARCH("R", 'Dry_Litterbag Placem_Collection'!AC159)),"YES","NO")</f>
        <v>NO</v>
      </c>
      <c r="AR452" t="s">
        <v>2017</v>
      </c>
      <c r="AT452" t="s">
        <v>893</v>
      </c>
    </row>
    <row r="453" spans="2:46">
      <c r="B453" t="str">
        <f>'Final data_for_R_analysis_Dryse'!A599</f>
        <v>Dry</v>
      </c>
      <c r="C453" s="263">
        <f>'Final data_for_R_analysis_Dryse'!B599</f>
        <v>158</v>
      </c>
      <c r="D453" t="s">
        <v>3850</v>
      </c>
      <c r="E453" t="s">
        <v>25</v>
      </c>
      <c r="F453" s="387">
        <v>6</v>
      </c>
      <c r="G453" s="16">
        <f>'Dry_Litterbag Placem_Collection'!E160</f>
        <v>42939</v>
      </c>
      <c r="H453" s="92" t="str">
        <f>'Final data_for_R_analysis_Dryse'!J599</f>
        <v>G153</v>
      </c>
      <c r="I453" t="str">
        <f>'Final data_for_R_analysis_Dryse'!J819</f>
        <v>R238</v>
      </c>
      <c r="J453">
        <f>IFERROR(INDEX('Green_rooibos initial weight'!$C$5:$C$1749,MATCH(H453, 'Green_rooibos initial weight'!$A$5:$A$1749,0)),"")</f>
        <v>2.0529999999999999</v>
      </c>
      <c r="K453">
        <f>IFERROR(INDEX('Green_rooibos initial weight'!$C$5:$C$1749,MATCH(I453, 'Green_rooibos initial weight'!$A$5:$A$1749,0)),"")</f>
        <v>2.2389999999999999</v>
      </c>
      <c r="L453" s="195">
        <f t="shared" si="65"/>
        <v>1.8031999999999999</v>
      </c>
      <c r="M453" s="240">
        <f>AVERAGE(Ashed_controlls!$K$1:$K$11)</f>
        <v>5.5147656768714146</v>
      </c>
      <c r="N453" s="195">
        <f t="shared" si="60"/>
        <v>1.7037577453146546</v>
      </c>
      <c r="O453" s="195">
        <f t="shared" si="66"/>
        <v>1.9891999999999999</v>
      </c>
      <c r="P453" s="240">
        <f>AVERAGE(Ashed_controlls!$K$12:$K$14)</f>
        <v>2.2816647271287041</v>
      </c>
      <c r="Q453" s="195">
        <f t="shared" si="61"/>
        <v>1.9438131252479556</v>
      </c>
      <c r="R453" s="16">
        <f>IF('Dry_Litterbag Placem_Collection'!G160="N.A","",'Dry_Litterbag Placem_Collection'!G160)</f>
        <v>43010</v>
      </c>
      <c r="S453" s="195">
        <f>IF(IFERROR(INDEX('Both teabags AfterDry'!$D$1:$D$839,MATCH(H453,'Both teabags AfterDry'!$A$1:$A$839,0)),"")="N.A","",(IFERROR(INDEX('Both teabags AfterDry'!$D$1:$D$839,MATCH(H453,'Both teabags AfterDry'!$A$1:$A$839,0)),"")))</f>
        <v>0.87609999999999999</v>
      </c>
      <c r="T453" s="195">
        <f>IF(IFERROR(INDEX('Both teabags AfterDry'!$D$1:$D$839,MATCH(I453,'Both teabags AfterDry'!$A$1:$A$839,0)),"")="N.A","",(IFERROR(INDEX('Both teabags AfterDry'!$D$1:$D$839,MATCH(I453,'Both teabags AfterDry'!$A$1:$A$839,0)),"")))</f>
        <v>1.7898000000000001</v>
      </c>
      <c r="U453" s="195">
        <f t="shared" si="67"/>
        <v>0.72550000000000003</v>
      </c>
      <c r="V453" s="195">
        <f t="shared" si="67"/>
        <v>1.6392</v>
      </c>
      <c r="W453" s="195">
        <f>IFERROR(INDEX('Ashed teabags dry'!$K$2:$K$821,MATCH(H453,'Ashed teabags dry'!$A$2:$A$821,0)),"")</f>
        <v>71.165940977261897</v>
      </c>
      <c r="X453" s="195">
        <f>IFERROR(INDEX('Ashed teabags dry'!$K$2:$K$821,MATCH(I453,'Ashed teabags dry'!$A$2:$A$821,0)),"")</f>
        <v>4.8905449464368154</v>
      </c>
      <c r="Y453" s="195">
        <f t="shared" si="62"/>
        <v>0.20919109820996495</v>
      </c>
      <c r="Z453" s="195">
        <f t="shared" si="62"/>
        <v>1.5590341872380078</v>
      </c>
      <c r="AA453" s="195">
        <f t="shared" si="68"/>
        <v>0.87721781527612019</v>
      </c>
      <c r="AB453" s="195">
        <f t="shared" si="69"/>
        <v>0.57508816393398854</v>
      </c>
      <c r="AC453" s="195">
        <f t="shared" si="63"/>
        <v>0.80204941873676006</v>
      </c>
      <c r="AD453">
        <f t="shared" si="64"/>
        <v>71</v>
      </c>
      <c r="AE453" s="195">
        <f t="shared" si="70"/>
        <v>-4.1826383938385003E-2</v>
      </c>
      <c r="AF453" s="195">
        <f t="shared" si="71"/>
        <v>5.942440788451183E-3</v>
      </c>
      <c r="AG453" s="255" t="str">
        <f>IF(ISNUMBER(SEARCH("C", 'Dry_Litterbag Placem_Collection'!AD160)),"YES","NO")</f>
        <v>NO</v>
      </c>
      <c r="AH453" s="255" t="str">
        <f>IF(ISNUMBER(SEARCH("H", 'Dry_Litterbag Placem_Collection'!AD160)),"YES","NO")</f>
        <v>NO</v>
      </c>
      <c r="AI453" s="255" t="str">
        <f>IF(ISNUMBER(SEARCH("R", 'Dry_Litterbag Placem_Collection'!AD160)),"YES","NO")</f>
        <v>NO</v>
      </c>
      <c r="AJ453" s="255" t="str">
        <f>IF(ISNUMBER(SEARCH("C", 'Dry_Litterbag Placem_Collection'!AC160)),"YES","NO")</f>
        <v>NO</v>
      </c>
      <c r="AK453" s="255" t="str">
        <f>IF(ISNUMBER(SEARCH("H", 'Dry_Litterbag Placem_Collection'!AC160)),"YES","NO")</f>
        <v>NO</v>
      </c>
      <c r="AL453" s="255" t="str">
        <f>IF(ISNUMBER(SEARCH("R", 'Dry_Litterbag Placem_Collection'!AC160)),"YES","NO")</f>
        <v>NO</v>
      </c>
      <c r="AR453" t="s">
        <v>1897</v>
      </c>
      <c r="AT453" t="s">
        <v>903</v>
      </c>
    </row>
    <row r="454" spans="2:46">
      <c r="B454" t="str">
        <f>'Final data_for_R_analysis_Dryse'!A600</f>
        <v>Dry</v>
      </c>
      <c r="C454" s="263">
        <f>'Final data_for_R_analysis_Dryse'!B600</f>
        <v>159</v>
      </c>
      <c r="D454" t="s">
        <v>3850</v>
      </c>
      <c r="E454" t="s">
        <v>25</v>
      </c>
      <c r="F454" s="387">
        <v>7</v>
      </c>
      <c r="G454" s="16">
        <f>'Dry_Litterbag Placem_Collection'!E161</f>
        <v>0</v>
      </c>
      <c r="H454" s="92" t="str">
        <f>'Final data_for_R_analysis_Dryse'!J600</f>
        <v/>
      </c>
      <c r="I454" t="str">
        <f>'Final data_for_R_analysis_Dryse'!J820</f>
        <v/>
      </c>
      <c r="J454" t="str">
        <f>IFERROR(INDEX('Green_rooibos initial weight'!$C$5:$C$1749,MATCH(H454, 'Green_rooibos initial weight'!$A$5:$A$1749,0)),"")</f>
        <v/>
      </c>
      <c r="K454" t="str">
        <f>IFERROR(INDEX('Green_rooibos initial weight'!$C$5:$C$1749,MATCH(I454, 'Green_rooibos initial weight'!$A$5:$A$1749,0)),"")</f>
        <v/>
      </c>
      <c r="L454" s="195" t="str">
        <f t="shared" si="65"/>
        <v/>
      </c>
      <c r="M454" s="240">
        <f>AVERAGE(Ashed_controlls!$K$1:$K$11)</f>
        <v>5.5147656768714146</v>
      </c>
      <c r="N454" s="195" t="str">
        <f t="shared" si="60"/>
        <v/>
      </c>
      <c r="O454" s="195" t="str">
        <f t="shared" si="66"/>
        <v/>
      </c>
      <c r="P454" s="240">
        <f>AVERAGE(Ashed_controlls!$K$12:$K$14)</f>
        <v>2.2816647271287041</v>
      </c>
      <c r="Q454" s="195" t="str">
        <f t="shared" si="61"/>
        <v/>
      </c>
      <c r="R454" s="16">
        <f>IF('Dry_Litterbag Placem_Collection'!G161="N.A","",'Dry_Litterbag Placem_Collection'!G161)</f>
        <v>0</v>
      </c>
      <c r="S454" s="195" t="str">
        <f>IF(IFERROR(INDEX('Both teabags AfterDry'!$D$1:$D$839,MATCH(H454,'Both teabags AfterDry'!$A$1:$A$839,0)),"")="N.A","",(IFERROR(INDEX('Both teabags AfterDry'!$D$1:$D$839,MATCH(H454,'Both teabags AfterDry'!$A$1:$A$839,0)),"")))</f>
        <v/>
      </c>
      <c r="T454" s="195" t="str">
        <f>IF(IFERROR(INDEX('Both teabags AfterDry'!$D$1:$D$839,MATCH(I454,'Both teabags AfterDry'!$A$1:$A$839,0)),"")="N.A","",(IFERROR(INDEX('Both teabags AfterDry'!$D$1:$D$839,MATCH(I454,'Both teabags AfterDry'!$A$1:$A$839,0)),"")))</f>
        <v/>
      </c>
      <c r="U454" s="195" t="str">
        <f t="shared" si="67"/>
        <v/>
      </c>
      <c r="V454" s="195" t="str">
        <f t="shared" si="67"/>
        <v/>
      </c>
      <c r="W454" s="195" t="str">
        <f>IFERROR(INDEX('Ashed teabags dry'!$K$2:$K$821,MATCH(H454,'Ashed teabags dry'!$A$2:$A$821,0)),"")</f>
        <v/>
      </c>
      <c r="X454" s="195" t="str">
        <f>IFERROR(INDEX('Ashed teabags dry'!$K$2:$K$821,MATCH(I454,'Ashed teabags dry'!$A$2:$A$821,0)),"")</f>
        <v/>
      </c>
      <c r="Y454" s="195" t="str">
        <f t="shared" si="62"/>
        <v/>
      </c>
      <c r="Z454" s="195" t="str">
        <f t="shared" si="62"/>
        <v/>
      </c>
      <c r="AA454" s="195" t="str">
        <f t="shared" si="68"/>
        <v/>
      </c>
      <c r="AB454" s="195" t="str">
        <f t="shared" si="69"/>
        <v/>
      </c>
      <c r="AC454" s="195" t="str">
        <f t="shared" si="63"/>
        <v/>
      </c>
      <c r="AD454" t="str">
        <f t="shared" si="64"/>
        <v/>
      </c>
      <c r="AE454" s="195" t="str">
        <f t="shared" si="70"/>
        <v/>
      </c>
      <c r="AF454" s="195" t="str">
        <f t="shared" si="71"/>
        <v/>
      </c>
      <c r="AG454" s="255" t="str">
        <f>IF(ISNUMBER(SEARCH("C", 'Dry_Litterbag Placem_Collection'!AD161)),"YES","NO")</f>
        <v>NO</v>
      </c>
      <c r="AH454" s="255" t="str">
        <f>IF(ISNUMBER(SEARCH("H", 'Dry_Litterbag Placem_Collection'!AD161)),"YES","NO")</f>
        <v>NO</v>
      </c>
      <c r="AI454" s="255" t="str">
        <f>IF(ISNUMBER(SEARCH("R", 'Dry_Litterbag Placem_Collection'!AD161)),"YES","NO")</f>
        <v>NO</v>
      </c>
      <c r="AJ454" s="255" t="str">
        <f>IF(ISNUMBER(SEARCH("C", 'Dry_Litterbag Placem_Collection'!AC161)),"YES","NO")</f>
        <v>NO</v>
      </c>
      <c r="AK454" s="255" t="str">
        <f>IF(ISNUMBER(SEARCH("H", 'Dry_Litterbag Placem_Collection'!AC161)),"YES","NO")</f>
        <v>NO</v>
      </c>
      <c r="AL454" s="255" t="str">
        <f>IF(ISNUMBER(SEARCH("R", 'Dry_Litterbag Placem_Collection'!AC161)),"YES","NO")</f>
        <v>NO</v>
      </c>
      <c r="AR454" t="s">
        <v>3654</v>
      </c>
      <c r="AT454" t="s">
        <v>3654</v>
      </c>
    </row>
    <row r="455" spans="2:46">
      <c r="B455" t="str">
        <f>'Final data_for_R_analysis_Dryse'!A601</f>
        <v>Dry</v>
      </c>
      <c r="C455" s="263">
        <f>'Final data_for_R_analysis_Dryse'!B601</f>
        <v>160</v>
      </c>
      <c r="D455" t="s">
        <v>3850</v>
      </c>
      <c r="E455" t="s">
        <v>25</v>
      </c>
      <c r="F455" s="387">
        <v>8</v>
      </c>
      <c r="G455" s="16">
        <f>'Dry_Litterbag Placem_Collection'!E162</f>
        <v>42939</v>
      </c>
      <c r="H455" s="92" t="str">
        <f>'Final data_for_R_analysis_Dryse'!J601</f>
        <v>G175</v>
      </c>
      <c r="I455" t="str">
        <f>'Final data_for_R_analysis_Dryse'!J821</f>
        <v>R350</v>
      </c>
      <c r="J455">
        <f>IFERROR(INDEX('Green_rooibos initial weight'!$C$5:$C$1749,MATCH(H455, 'Green_rooibos initial weight'!$A$5:$A$1749,0)),"")</f>
        <v>1.9930000000000001</v>
      </c>
      <c r="K455">
        <f>IFERROR(INDEX('Green_rooibos initial weight'!$C$5:$C$1749,MATCH(I455, 'Green_rooibos initial weight'!$A$5:$A$1749,0)),"")</f>
        <v>2.21</v>
      </c>
      <c r="L455" s="195">
        <f t="shared" si="65"/>
        <v>1.7432000000000001</v>
      </c>
      <c r="M455" s="240">
        <f>AVERAGE(Ashed_controlls!$K$1:$K$11)</f>
        <v>5.5147656768714146</v>
      </c>
      <c r="N455" s="195">
        <f t="shared" si="60"/>
        <v>1.6470666047207776</v>
      </c>
      <c r="O455" s="195">
        <f t="shared" si="66"/>
        <v>1.9601999999999999</v>
      </c>
      <c r="P455" s="240">
        <f>AVERAGE(Ashed_controlls!$K$12:$K$14)</f>
        <v>2.2816647271287041</v>
      </c>
      <c r="Q455" s="195">
        <f t="shared" si="61"/>
        <v>1.9154748080188231</v>
      </c>
      <c r="R455" s="16">
        <f>IF('Dry_Litterbag Placem_Collection'!G162="N.A","",'Dry_Litterbag Placem_Collection'!G162)</f>
        <v>43010</v>
      </c>
      <c r="S455" s="195">
        <f>IF(IFERROR(INDEX('Both teabags AfterDry'!$D$1:$D$839,MATCH(H455,'Both teabags AfterDry'!$A$1:$A$839,0)),"")="N.A","",(IFERROR(INDEX('Both teabags AfterDry'!$D$1:$D$839,MATCH(H455,'Both teabags AfterDry'!$A$1:$A$839,0)),"")))</f>
        <v>1.2042999999999999</v>
      </c>
      <c r="T455" s="195">
        <f>IF(IFERROR(INDEX('Both teabags AfterDry'!$D$1:$D$839,MATCH(I455,'Both teabags AfterDry'!$A$1:$A$839,0)),"")="N.A","",(IFERROR(INDEX('Both teabags AfterDry'!$D$1:$D$839,MATCH(I455,'Both teabags AfterDry'!$A$1:$A$839,0)),"")))</f>
        <v>1.9824999999999999</v>
      </c>
      <c r="U455" s="195">
        <f t="shared" si="67"/>
        <v>1.0536999999999999</v>
      </c>
      <c r="V455" s="195">
        <f t="shared" si="67"/>
        <v>1.8318999999999999</v>
      </c>
      <c r="W455" s="195">
        <f>IFERROR(INDEX('Ashed teabags dry'!$K$2:$K$821,MATCH(H455,'Ashed teabags dry'!$A$2:$A$821,0)),"")</f>
        <v>22.557651991613749</v>
      </c>
      <c r="X455" s="195">
        <f>IFERROR(INDEX('Ashed teabags dry'!$K$2:$K$821,MATCH(I455,'Ashed teabags dry'!$A$2:$A$821,0)),"")</f>
        <v>4.4153323629310188</v>
      </c>
      <c r="Y455" s="195">
        <f t="shared" si="62"/>
        <v>0.81601002096436581</v>
      </c>
      <c r="Z455" s="195">
        <f t="shared" si="62"/>
        <v>1.7510155264434666</v>
      </c>
      <c r="AA455" s="195">
        <f t="shared" si="68"/>
        <v>0.50456768498278093</v>
      </c>
      <c r="AB455" s="195">
        <f t="shared" si="69"/>
        <v>0.33078546568942413</v>
      </c>
      <c r="AC455" s="195">
        <f t="shared" si="63"/>
        <v>0.91414176741616515</v>
      </c>
      <c r="AD455">
        <f t="shared" si="64"/>
        <v>71</v>
      </c>
      <c r="AE455" s="195">
        <f t="shared" si="70"/>
        <v>0.40075096795394183</v>
      </c>
      <c r="AF455" s="195">
        <f t="shared" si="71"/>
        <v>4.232519248388405E-3</v>
      </c>
      <c r="AG455" s="255" t="str">
        <f>IF(ISNUMBER(SEARCH("C", 'Dry_Litterbag Placem_Collection'!AD162)),"YES","NO")</f>
        <v>NO</v>
      </c>
      <c r="AH455" s="255" t="str">
        <f>IF(ISNUMBER(SEARCH("H", 'Dry_Litterbag Placem_Collection'!AD162)),"YES","NO")</f>
        <v>NO</v>
      </c>
      <c r="AI455" s="255" t="str">
        <f>IF(ISNUMBER(SEARCH("R", 'Dry_Litterbag Placem_Collection'!AD162)),"YES","NO")</f>
        <v>NO</v>
      </c>
      <c r="AJ455" s="255" t="str">
        <f>IF(ISNUMBER(SEARCH("C", 'Dry_Litterbag Placem_Collection'!AC162)),"YES","NO")</f>
        <v>NO</v>
      </c>
      <c r="AK455" s="255" t="str">
        <f>IF(ISNUMBER(SEARCH("H", 'Dry_Litterbag Placem_Collection'!AC162)),"YES","NO")</f>
        <v>NO</v>
      </c>
      <c r="AL455" s="255" t="str">
        <f>IF(ISNUMBER(SEARCH("R", 'Dry_Litterbag Placem_Collection'!AC162)),"YES","NO")</f>
        <v>NO</v>
      </c>
      <c r="AR455" t="s">
        <v>1875</v>
      </c>
      <c r="AT455" t="s">
        <v>791</v>
      </c>
    </row>
    <row r="456" spans="2:46">
      <c r="B456" t="str">
        <f>'Final data_for_R_analysis_Dryse'!A602</f>
        <v>Dry</v>
      </c>
      <c r="C456" s="263">
        <f>'Final data_for_R_analysis_Dryse'!B602</f>
        <v>161</v>
      </c>
      <c r="D456" t="s">
        <v>3851</v>
      </c>
      <c r="E456" t="s">
        <v>25</v>
      </c>
      <c r="F456" s="386">
        <v>1</v>
      </c>
      <c r="G456" s="16">
        <f>'Dry_Litterbag Placem_Collection'!E163</f>
        <v>42940</v>
      </c>
      <c r="H456" s="92" t="str">
        <f>'Final data_for_R_analysis_Dryse'!J602</f>
        <v>G207</v>
      </c>
      <c r="I456" t="str">
        <f>'Final data_for_R_analysis_Dryse'!J822</f>
        <v>R314</v>
      </c>
      <c r="J456">
        <f>IFERROR(INDEX('Green_rooibos initial weight'!$C$5:$C$1749,MATCH(H456, 'Green_rooibos initial weight'!$A$5:$A$1749,0)),"")</f>
        <v>2.1539999999999999</v>
      </c>
      <c r="K456">
        <f>IFERROR(INDEX('Green_rooibos initial weight'!$C$5:$C$1749,MATCH(I456, 'Green_rooibos initial weight'!$A$5:$A$1749,0)),"")</f>
        <v>2.17</v>
      </c>
      <c r="L456" s="195">
        <f t="shared" si="65"/>
        <v>1.9041999999999999</v>
      </c>
      <c r="M456" s="240">
        <f>AVERAGE(Ashed_controlls!$K$1:$K$11)</f>
        <v>5.5147656768714146</v>
      </c>
      <c r="N456" s="195">
        <f t="shared" si="60"/>
        <v>1.7991878319810144</v>
      </c>
      <c r="O456" s="195">
        <f t="shared" si="66"/>
        <v>1.9201999999999999</v>
      </c>
      <c r="P456" s="240">
        <f>AVERAGE(Ashed_controlls!$K$12:$K$14)</f>
        <v>2.2816647271287041</v>
      </c>
      <c r="Q456" s="195">
        <f t="shared" si="61"/>
        <v>1.8763874739096746</v>
      </c>
      <c r="R456" s="16">
        <f>IF('Dry_Litterbag Placem_Collection'!G163="N.A","",'Dry_Litterbag Placem_Collection'!G163)</f>
        <v>43009</v>
      </c>
      <c r="S456" s="195">
        <f>IF(IFERROR(INDEX('Both teabags AfterDry'!$D$1:$D$839,MATCH(H456,'Both teabags AfterDry'!$A$1:$A$839,0)),"")="N.A","",(IFERROR(INDEX('Both teabags AfterDry'!$D$1:$D$839,MATCH(H456,'Both teabags AfterDry'!$A$1:$A$839,0)),"")))</f>
        <v>0.76570000000000005</v>
      </c>
      <c r="T456" s="195">
        <f>IF(IFERROR(INDEX('Both teabags AfterDry'!$D$1:$D$839,MATCH(I456,'Both teabags AfterDry'!$A$1:$A$839,0)),"")="N.A","",(IFERROR(INDEX('Both teabags AfterDry'!$D$1:$D$839,MATCH(I456,'Both teabags AfterDry'!$A$1:$A$839,0)),"")))</f>
        <v>1.7397</v>
      </c>
      <c r="U456" s="195">
        <f t="shared" si="67"/>
        <v>0.61509999999999998</v>
      </c>
      <c r="V456" s="195">
        <f t="shared" si="67"/>
        <v>1.5891</v>
      </c>
      <c r="W456" s="195">
        <f>IFERROR(INDEX('Ashed teabags dry'!$K$2:$K$821,MATCH(H456,'Ashed teabags dry'!$A$2:$A$821,0)),"")</f>
        <v>21.881091617933993</v>
      </c>
      <c r="X456" s="195">
        <f>IFERROR(INDEX('Ashed teabags dry'!$K$2:$K$821,MATCH(I456,'Ashed teabags dry'!$A$2:$A$821,0)),"")</f>
        <v>4.8425011753644043</v>
      </c>
      <c r="Y456" s="195">
        <f t="shared" si="62"/>
        <v>0.48050940545808796</v>
      </c>
      <c r="Z456" s="195">
        <f t="shared" si="62"/>
        <v>1.5121478138222841</v>
      </c>
      <c r="AA456" s="195">
        <f t="shared" si="68"/>
        <v>0.73292982704923137</v>
      </c>
      <c r="AB456" s="195">
        <f t="shared" si="69"/>
        <v>0.48049556357621825</v>
      </c>
      <c r="AC456" s="195">
        <f t="shared" si="63"/>
        <v>0.80588249220804364</v>
      </c>
      <c r="AD456">
        <f t="shared" si="64"/>
        <v>69</v>
      </c>
      <c r="AE456" s="195">
        <f t="shared" si="70"/>
        <v>0.12953702250685106</v>
      </c>
      <c r="AF456" s="195">
        <f t="shared" si="71"/>
        <v>7.5000751326066767E-3</v>
      </c>
      <c r="AG456" s="255" t="str">
        <f>IF(ISNUMBER(SEARCH("C", 'Dry_Litterbag Placem_Collection'!AD163)),"YES","NO")</f>
        <v>NO</v>
      </c>
      <c r="AH456" s="255" t="str">
        <f>IF(ISNUMBER(SEARCH("H", 'Dry_Litterbag Placem_Collection'!AD163)),"YES","NO")</f>
        <v>NO</v>
      </c>
      <c r="AI456" s="255" t="str">
        <f>IF(ISNUMBER(SEARCH("R", 'Dry_Litterbag Placem_Collection'!AD163)),"YES","NO")</f>
        <v>NO</v>
      </c>
      <c r="AJ456" s="255" t="str">
        <f>IF(ISNUMBER(SEARCH("C", 'Dry_Litterbag Placem_Collection'!AC163)),"YES","NO")</f>
        <v>NO</v>
      </c>
      <c r="AK456" s="255" t="str">
        <f>IF(ISNUMBER(SEARCH("H", 'Dry_Litterbag Placem_Collection'!AC163)),"YES","NO")</f>
        <v>NO</v>
      </c>
      <c r="AL456" s="255" t="str">
        <f>IF(ISNUMBER(SEARCH("R", 'Dry_Litterbag Placem_Collection'!AC163)),"YES","NO")</f>
        <v>NO</v>
      </c>
      <c r="AR456" t="s">
        <v>1843</v>
      </c>
      <c r="AT456" t="s">
        <v>827</v>
      </c>
    </row>
    <row r="457" spans="2:46">
      <c r="B457" t="str">
        <f>'Final data_for_R_analysis_Dryse'!A603</f>
        <v>Dry</v>
      </c>
      <c r="C457" s="263">
        <f>'Final data_for_R_analysis_Dryse'!B603</f>
        <v>162</v>
      </c>
      <c r="D457" t="s">
        <v>3851</v>
      </c>
      <c r="E457" t="s">
        <v>25</v>
      </c>
      <c r="F457" s="386">
        <v>2</v>
      </c>
      <c r="G457" s="16">
        <f>'Dry_Litterbag Placem_Collection'!E164</f>
        <v>42940</v>
      </c>
      <c r="H457" s="92" t="str">
        <f>'Final data_for_R_analysis_Dryse'!J603</f>
        <v>G580</v>
      </c>
      <c r="I457" t="str">
        <f>'Final data_for_R_analysis_Dryse'!J823</f>
        <v>R425</v>
      </c>
      <c r="J457">
        <f>IFERROR(INDEX('Green_rooibos initial weight'!$C$5:$C$1749,MATCH(H457, 'Green_rooibos initial weight'!$A$5:$A$1749,0)),"")</f>
        <v>2.1440000000000001</v>
      </c>
      <c r="K457">
        <f>IFERROR(INDEX('Green_rooibos initial weight'!$C$5:$C$1749,MATCH(I457, 'Green_rooibos initial weight'!$A$5:$A$1749,0)),"")</f>
        <v>2.25</v>
      </c>
      <c r="L457" s="195">
        <f t="shared" si="65"/>
        <v>1.8942000000000001</v>
      </c>
      <c r="M457" s="240">
        <f>AVERAGE(Ashed_controlls!$K$1:$K$11)</f>
        <v>5.5147656768714146</v>
      </c>
      <c r="N457" s="195">
        <f t="shared" si="60"/>
        <v>1.7897393085487017</v>
      </c>
      <c r="O457" s="195">
        <f t="shared" si="66"/>
        <v>2.0002</v>
      </c>
      <c r="P457" s="240">
        <f>AVERAGE(Ashed_controlls!$K$12:$K$14)</f>
        <v>2.2816647271287041</v>
      </c>
      <c r="Q457" s="195">
        <f t="shared" si="61"/>
        <v>1.9545621421279717</v>
      </c>
      <c r="R457" s="16">
        <f>IF('Dry_Litterbag Placem_Collection'!G164="N.A","",'Dry_Litterbag Placem_Collection'!G164)</f>
        <v>43009</v>
      </c>
      <c r="S457" s="195">
        <f>IF(IFERROR(INDEX('Both teabags AfterDry'!$D$1:$D$839,MATCH(H457,'Both teabags AfterDry'!$A$1:$A$839,0)),"")="N.A","",(IFERROR(INDEX('Both teabags AfterDry'!$D$1:$D$839,MATCH(H457,'Both teabags AfterDry'!$A$1:$A$839,0)),"")))</f>
        <v>0.84409999999999996</v>
      </c>
      <c r="T457" s="195">
        <f>IF(IFERROR(INDEX('Both teabags AfterDry'!$D$1:$D$839,MATCH(I457,'Both teabags AfterDry'!$A$1:$A$839,0)),"")="N.A","",(IFERROR(INDEX('Both teabags AfterDry'!$D$1:$D$839,MATCH(I457,'Both teabags AfterDry'!$A$1:$A$839,0)),"")))</f>
        <v>1.8856999999999999</v>
      </c>
      <c r="U457" s="195">
        <f t="shared" si="67"/>
        <v>0.69350000000000001</v>
      </c>
      <c r="V457" s="195">
        <f t="shared" si="67"/>
        <v>1.7350999999999999</v>
      </c>
      <c r="W457" s="195">
        <f>IFERROR(INDEX('Ashed teabags dry'!$K$2:$K$821,MATCH(H457,'Ashed teabags dry'!$A$2:$A$821,0)),"")</f>
        <v>19.492789656887485</v>
      </c>
      <c r="X457" s="195">
        <f>IFERROR(INDEX('Ashed teabags dry'!$K$2:$K$821,MATCH(I457,'Ashed teabags dry'!$A$2:$A$821,0)),"")</f>
        <v>6.8486590038315791</v>
      </c>
      <c r="Y457" s="195">
        <f t="shared" si="62"/>
        <v>0.5583175037294853</v>
      </c>
      <c r="Z457" s="195">
        <f t="shared" si="62"/>
        <v>1.6162689176245182</v>
      </c>
      <c r="AA457" s="195">
        <f t="shared" si="68"/>
        <v>0.68804534768685133</v>
      </c>
      <c r="AB457" s="195">
        <f t="shared" si="69"/>
        <v>0.45107010917237766</v>
      </c>
      <c r="AC457" s="195">
        <f t="shared" si="63"/>
        <v>0.82692122332056073</v>
      </c>
      <c r="AD457">
        <f t="shared" si="64"/>
        <v>69</v>
      </c>
      <c r="AE457" s="195">
        <f t="shared" si="70"/>
        <v>0.18284400512250432</v>
      </c>
      <c r="AF457" s="195">
        <f t="shared" si="71"/>
        <v>7.0149687682593397E-3</v>
      </c>
      <c r="AG457" s="255" t="str">
        <f>IF(ISNUMBER(SEARCH("C", 'Dry_Litterbag Placem_Collection'!AD164)),"YES","NO")</f>
        <v>NO</v>
      </c>
      <c r="AH457" s="255" t="str">
        <f>IF(ISNUMBER(SEARCH("H", 'Dry_Litterbag Placem_Collection'!AD164)),"YES","NO")</f>
        <v>NO</v>
      </c>
      <c r="AI457" s="255" t="str">
        <f>IF(ISNUMBER(SEARCH("R", 'Dry_Litterbag Placem_Collection'!AD164)),"YES","NO")</f>
        <v>NO</v>
      </c>
      <c r="AJ457" s="255" t="str">
        <f>IF(ISNUMBER(SEARCH("C", 'Dry_Litterbag Placem_Collection'!AC164)),"YES","NO")</f>
        <v>NO</v>
      </c>
      <c r="AK457" s="255" t="str">
        <f>IF(ISNUMBER(SEARCH("H", 'Dry_Litterbag Placem_Collection'!AC164)),"YES","NO")</f>
        <v>NO</v>
      </c>
      <c r="AL457" s="255" t="str">
        <f>IF(ISNUMBER(SEARCH("R", 'Dry_Litterbag Placem_Collection'!AC164)),"YES","NO")</f>
        <v>NO</v>
      </c>
      <c r="AR457" t="s">
        <v>1470</v>
      </c>
      <c r="AT457" t="s">
        <v>716</v>
      </c>
    </row>
    <row r="458" spans="2:46">
      <c r="B458" t="str">
        <f>'Final data_for_R_analysis_Dryse'!A604</f>
        <v>Dry</v>
      </c>
      <c r="C458" s="263">
        <f>'Final data_for_R_analysis_Dryse'!B604</f>
        <v>163</v>
      </c>
      <c r="D458" t="s">
        <v>3851</v>
      </c>
      <c r="E458" t="s">
        <v>25</v>
      </c>
      <c r="F458" s="386">
        <v>3</v>
      </c>
      <c r="G458" s="16">
        <f>'Dry_Litterbag Placem_Collection'!E165</f>
        <v>42940</v>
      </c>
      <c r="H458" s="92" t="str">
        <f>'Final data_for_R_analysis_Dryse'!J604</f>
        <v>G722</v>
      </c>
      <c r="I458" t="str">
        <f>'Final data_for_R_analysis_Dryse'!J824</f>
        <v>R267</v>
      </c>
      <c r="J458">
        <f>IFERROR(INDEX('Green_rooibos initial weight'!$C$5:$C$1749,MATCH(H458, 'Green_rooibos initial weight'!$A$5:$A$1749,0)),"")</f>
        <v>2.0790000000000002</v>
      </c>
      <c r="K458">
        <f>IFERROR(INDEX('Green_rooibos initial weight'!$C$5:$C$1749,MATCH(I458, 'Green_rooibos initial weight'!$A$5:$A$1749,0)),"")</f>
        <v>2.1930000000000001</v>
      </c>
      <c r="L458" s="195">
        <f t="shared" si="65"/>
        <v>1.8292000000000002</v>
      </c>
      <c r="M458" s="240">
        <f>AVERAGE(Ashed_controlls!$K$1:$K$11)</f>
        <v>5.5147656768714146</v>
      </c>
      <c r="N458" s="195">
        <f t="shared" si="60"/>
        <v>1.7283239062386682</v>
      </c>
      <c r="O458" s="195">
        <f t="shared" si="66"/>
        <v>1.9432</v>
      </c>
      <c r="P458" s="240">
        <f>AVERAGE(Ashed_controlls!$K$12:$K$14)</f>
        <v>2.2816647271287041</v>
      </c>
      <c r="Q458" s="195">
        <f t="shared" si="61"/>
        <v>1.8988626910224351</v>
      </c>
      <c r="R458" s="16">
        <f>IF('Dry_Litterbag Placem_Collection'!G165="N.A","",'Dry_Litterbag Placem_Collection'!G165)</f>
        <v>43009</v>
      </c>
      <c r="S458" s="195">
        <f>IF(IFERROR(INDEX('Both teabags AfterDry'!$D$1:$D$839,MATCH(H458,'Both teabags AfterDry'!$A$1:$A$839,0)),"")="N.A","",(IFERROR(INDEX('Both teabags AfterDry'!$D$1:$D$839,MATCH(H458,'Both teabags AfterDry'!$A$1:$A$839,0)),"")))</f>
        <v>0.86109999999999998</v>
      </c>
      <c r="T458" s="195">
        <f>IF(IFERROR(INDEX('Both teabags AfterDry'!$D$1:$D$839,MATCH(I458,'Both teabags AfterDry'!$A$1:$A$839,0)),"")="N.A","",(IFERROR(INDEX('Both teabags AfterDry'!$D$1:$D$839,MATCH(I458,'Both teabags AfterDry'!$A$1:$A$839,0)),"")))</f>
        <v>1.7754000000000001</v>
      </c>
      <c r="U458" s="195">
        <f t="shared" si="67"/>
        <v>0.71049999999999991</v>
      </c>
      <c r="V458" s="195">
        <f t="shared" si="67"/>
        <v>1.6248</v>
      </c>
      <c r="W458" s="195">
        <f>IFERROR(INDEX('Ashed teabags dry'!$K$2:$K$821,MATCH(H458,'Ashed teabags dry'!$A$2:$A$821,0)),"")</f>
        <v>29.172785119922423</v>
      </c>
      <c r="X458" s="195">
        <f>IFERROR(INDEX('Ashed teabags dry'!$K$2:$K$821,MATCH(I458,'Ashed teabags dry'!$A$2:$A$821,0)),"")</f>
        <v>9.0049751243772</v>
      </c>
      <c r="Y458" s="195">
        <f t="shared" si="62"/>
        <v>0.50322736172295113</v>
      </c>
      <c r="Z458" s="195">
        <f t="shared" si="62"/>
        <v>1.4784871641791193</v>
      </c>
      <c r="AA458" s="195">
        <f t="shared" si="68"/>
        <v>0.70883503959734084</v>
      </c>
      <c r="AB458" s="195">
        <f t="shared" si="69"/>
        <v>0.46469945588804301</v>
      </c>
      <c r="AC458" s="195">
        <f t="shared" si="63"/>
        <v>0.77861720658855738</v>
      </c>
      <c r="AD458">
        <f t="shared" si="64"/>
        <v>69</v>
      </c>
      <c r="AE458" s="195">
        <f t="shared" si="70"/>
        <v>0.15815315962311061</v>
      </c>
      <c r="AF458" s="195">
        <f t="shared" si="71"/>
        <v>9.3772048180339844E-3</v>
      </c>
      <c r="AG458" s="255" t="str">
        <f>IF(ISNUMBER(SEARCH("C", 'Dry_Litterbag Placem_Collection'!AD165)),"YES","NO")</f>
        <v>NO</v>
      </c>
      <c r="AH458" s="255" t="str">
        <f>IF(ISNUMBER(SEARCH("H", 'Dry_Litterbag Placem_Collection'!AD165)),"YES","NO")</f>
        <v>NO</v>
      </c>
      <c r="AI458" s="255" t="str">
        <f>IF(ISNUMBER(SEARCH("R", 'Dry_Litterbag Placem_Collection'!AD165)),"YES","NO")</f>
        <v>NO</v>
      </c>
      <c r="AJ458" s="255" t="str">
        <f>IF(ISNUMBER(SEARCH("C", 'Dry_Litterbag Placem_Collection'!AC165)),"YES","NO")</f>
        <v>NO</v>
      </c>
      <c r="AK458" s="255" t="str">
        <f>IF(ISNUMBER(SEARCH("H", 'Dry_Litterbag Placem_Collection'!AC165)),"YES","NO")</f>
        <v>NO</v>
      </c>
      <c r="AL458" s="255" t="str">
        <f>IF(ISNUMBER(SEARCH("R", 'Dry_Litterbag Placem_Collection'!AC165)),"YES","NO")</f>
        <v>NO</v>
      </c>
      <c r="AR458" t="s">
        <v>1328</v>
      </c>
      <c r="AT458" t="s">
        <v>874</v>
      </c>
    </row>
    <row r="459" spans="2:46">
      <c r="B459" t="str">
        <f>'Final data_for_R_analysis_Dryse'!A605</f>
        <v>Dry</v>
      </c>
      <c r="C459" s="263">
        <f>'Final data_for_R_analysis_Dryse'!B605</f>
        <v>164</v>
      </c>
      <c r="D459" t="s">
        <v>3851</v>
      </c>
      <c r="E459" t="s">
        <v>25</v>
      </c>
      <c r="F459" s="387">
        <v>4</v>
      </c>
      <c r="G459" s="16">
        <f>'Dry_Litterbag Placem_Collection'!E166</f>
        <v>42940</v>
      </c>
      <c r="H459" s="92" t="str">
        <f>'Final data_for_R_analysis_Dryse'!J605</f>
        <v>G239</v>
      </c>
      <c r="I459" t="str">
        <f>'Final data_for_R_analysis_Dryse'!J825</f>
        <v>R211</v>
      </c>
      <c r="J459">
        <f>IFERROR(INDEX('Green_rooibos initial weight'!$C$5:$C$1749,MATCH(H459, 'Green_rooibos initial weight'!$A$5:$A$1749,0)),"")</f>
        <v>2.1019999999999999</v>
      </c>
      <c r="K459">
        <f>IFERROR(INDEX('Green_rooibos initial weight'!$C$5:$C$1749,MATCH(I459, 'Green_rooibos initial weight'!$A$5:$A$1749,0)),"")</f>
        <v>2.2389999999999999</v>
      </c>
      <c r="L459" s="195">
        <f t="shared" si="65"/>
        <v>1.8521999999999998</v>
      </c>
      <c r="M459" s="240">
        <f>AVERAGE(Ashed_controlls!$K$1:$K$11)</f>
        <v>5.5147656768714146</v>
      </c>
      <c r="N459" s="195">
        <f t="shared" si="60"/>
        <v>1.7500555101329875</v>
      </c>
      <c r="O459" s="195">
        <f t="shared" si="66"/>
        <v>1.9891999999999999</v>
      </c>
      <c r="P459" s="240">
        <f>AVERAGE(Ashed_controlls!$K$12:$K$14)</f>
        <v>2.2816647271287041</v>
      </c>
      <c r="Q459" s="195">
        <f t="shared" si="61"/>
        <v>1.9438131252479556</v>
      </c>
      <c r="R459" s="16">
        <f>IF('Dry_Litterbag Placem_Collection'!G166="N.A","",'Dry_Litterbag Placem_Collection'!G166)</f>
        <v>43009</v>
      </c>
      <c r="S459" s="195">
        <f>IF(IFERROR(INDEX('Both teabags AfterDry'!$D$1:$D$839,MATCH(H459,'Both teabags AfterDry'!$A$1:$A$839,0)),"")="N.A","",(IFERROR(INDEX('Both teabags AfterDry'!$D$1:$D$839,MATCH(H459,'Both teabags AfterDry'!$A$1:$A$839,0)),"")))</f>
        <v>0.73950000000000005</v>
      </c>
      <c r="T459" s="195">
        <f>IF(IFERROR(INDEX('Both teabags AfterDry'!$D$1:$D$839,MATCH(I459,'Both teabags AfterDry'!$A$1:$A$839,0)),"")="N.A","",(IFERROR(INDEX('Both teabags AfterDry'!$D$1:$D$839,MATCH(I459,'Both teabags AfterDry'!$A$1:$A$839,0)),"")))</f>
        <v>1.7732000000000001</v>
      </c>
      <c r="U459" s="195">
        <f t="shared" si="67"/>
        <v>0.58889999999999998</v>
      </c>
      <c r="V459" s="195">
        <f t="shared" si="67"/>
        <v>1.6226</v>
      </c>
      <c r="W459" s="195">
        <f>IFERROR(INDEX('Ashed teabags dry'!$K$2:$K$821,MATCH(H459,'Ashed teabags dry'!$A$2:$A$821,0)),"")</f>
        <v>17.516081147946309</v>
      </c>
      <c r="X459" s="195">
        <f>IFERROR(INDEX('Ashed teabags dry'!$K$2:$K$821,MATCH(I459,'Ashed teabags dry'!$A$2:$A$821,0)),"")</f>
        <v>6.3861386138614789</v>
      </c>
      <c r="Y459" s="195">
        <f t="shared" si="62"/>
        <v>0.48574779811974417</v>
      </c>
      <c r="Z459" s="195">
        <f t="shared" si="62"/>
        <v>1.5189785148514836</v>
      </c>
      <c r="AA459" s="195">
        <f t="shared" si="68"/>
        <v>0.7224386339134854</v>
      </c>
      <c r="AB459" s="195">
        <f t="shared" si="69"/>
        <v>0.47361772674613301</v>
      </c>
      <c r="AC459" s="195">
        <f t="shared" si="63"/>
        <v>0.78144266808452612</v>
      </c>
      <c r="AD459">
        <f t="shared" si="64"/>
        <v>69</v>
      </c>
      <c r="AE459" s="195">
        <f t="shared" si="70"/>
        <v>0.14199687183671561</v>
      </c>
      <c r="AF459" s="195">
        <f t="shared" si="71"/>
        <v>8.9695674357301424E-3</v>
      </c>
      <c r="AG459" s="255" t="str">
        <f>IF(ISNUMBER(SEARCH("C", 'Dry_Litterbag Placem_Collection'!AD166)),"YES","NO")</f>
        <v>NO</v>
      </c>
      <c r="AH459" s="255" t="str">
        <f>IF(ISNUMBER(SEARCH("H", 'Dry_Litterbag Placem_Collection'!AD166)),"YES","NO")</f>
        <v>NO</v>
      </c>
      <c r="AI459" s="255" t="str">
        <f>IF(ISNUMBER(SEARCH("R", 'Dry_Litterbag Placem_Collection'!AD166)),"YES","NO")</f>
        <v>NO</v>
      </c>
      <c r="AJ459" s="255" t="str">
        <f>IF(ISNUMBER(SEARCH("C", 'Dry_Litterbag Placem_Collection'!AC166)),"YES","NO")</f>
        <v>NO</v>
      </c>
      <c r="AK459" s="255" t="str">
        <f>IF(ISNUMBER(SEARCH("H", 'Dry_Litterbag Placem_Collection'!AC166)),"YES","NO")</f>
        <v>NO</v>
      </c>
      <c r="AL459" s="255" t="str">
        <f>IF(ISNUMBER(SEARCH("R", 'Dry_Litterbag Placem_Collection'!AC166)),"YES","NO")</f>
        <v>NO</v>
      </c>
      <c r="AR459" t="s">
        <v>1811</v>
      </c>
      <c r="AT459" t="s">
        <v>930</v>
      </c>
    </row>
    <row r="460" spans="2:46">
      <c r="B460" t="str">
        <f>'Final data_for_R_analysis_Dryse'!A606</f>
        <v>Dry</v>
      </c>
      <c r="C460" s="263">
        <f>'Final data_for_R_analysis_Dryse'!B606</f>
        <v>165</v>
      </c>
      <c r="D460" t="s">
        <v>3851</v>
      </c>
      <c r="E460" t="s">
        <v>25</v>
      </c>
      <c r="F460" s="387">
        <v>5</v>
      </c>
      <c r="G460" s="16">
        <f>'Dry_Litterbag Placem_Collection'!E167</f>
        <v>42940</v>
      </c>
      <c r="H460" s="92" t="str">
        <f>'Final data_for_R_analysis_Dryse'!J606</f>
        <v>G343</v>
      </c>
      <c r="I460" t="str">
        <f>'Final data_for_R_analysis_Dryse'!J826</f>
        <v>R310</v>
      </c>
      <c r="J460">
        <f>IFERROR(INDEX('Green_rooibos initial weight'!$C$5:$C$1749,MATCH(H460, 'Green_rooibos initial weight'!$A$5:$A$1749,0)),"")</f>
        <v>1.8340000000000001</v>
      </c>
      <c r="K460">
        <f>IFERROR(INDEX('Green_rooibos initial weight'!$C$5:$C$1749,MATCH(I460, 'Green_rooibos initial weight'!$A$5:$A$1749,0)),"")</f>
        <v>2.2170000000000001</v>
      </c>
      <c r="L460" s="195">
        <f t="shared" si="65"/>
        <v>1.5842000000000001</v>
      </c>
      <c r="M460" s="240">
        <f>AVERAGE(Ashed_controlls!$K$1:$K$11)</f>
        <v>5.5147656768714146</v>
      </c>
      <c r="N460" s="195">
        <f t="shared" ref="N460:N515" si="72">IFERROR(L460-(M460/100)*L460,"")</f>
        <v>1.4968350821470031</v>
      </c>
      <c r="O460" s="195">
        <f t="shared" si="66"/>
        <v>1.9672000000000001</v>
      </c>
      <c r="P460" s="240">
        <f>AVERAGE(Ashed_controlls!$K$12:$K$14)</f>
        <v>2.2816647271287041</v>
      </c>
      <c r="Q460" s="195">
        <f t="shared" ref="Q460:Q515" si="73">IFERROR(O460-(P460/100)*O460,"")</f>
        <v>1.9223150914879241</v>
      </c>
      <c r="R460" s="16">
        <f>IF('Dry_Litterbag Placem_Collection'!G167="N.A","",'Dry_Litterbag Placem_Collection'!G167)</f>
        <v>43009</v>
      </c>
      <c r="S460" s="195">
        <f>IF(IFERROR(INDEX('Both teabags AfterDry'!$D$1:$D$839,MATCH(H460,'Both teabags AfterDry'!$A$1:$A$839,0)),"")="N.A","",(IFERROR(INDEX('Both teabags AfterDry'!$D$1:$D$839,MATCH(H460,'Both teabags AfterDry'!$A$1:$A$839,0)),"")))</f>
        <v>0.68059999999999998</v>
      </c>
      <c r="T460" s="195">
        <f>IF(IFERROR(INDEX('Both teabags AfterDry'!$D$1:$D$839,MATCH(I460,'Both teabags AfterDry'!$A$1:$A$839,0)),"")="N.A","",(IFERROR(INDEX('Both teabags AfterDry'!$D$1:$D$839,MATCH(I460,'Both teabags AfterDry'!$A$1:$A$839,0)),"")))</f>
        <v>1.7559</v>
      </c>
      <c r="U460" s="195">
        <f t="shared" si="67"/>
        <v>0.53</v>
      </c>
      <c r="V460" s="195">
        <f t="shared" si="67"/>
        <v>1.6052999999999999</v>
      </c>
      <c r="W460" s="195">
        <f>IFERROR(INDEX('Ashed teabags dry'!$K$2:$K$821,MATCH(H460,'Ashed teabags dry'!$A$2:$A$821,0)),"")</f>
        <v>16.867469879518342</v>
      </c>
      <c r="X460" s="195">
        <f>IFERROR(INDEX('Ashed teabags dry'!$K$2:$K$821,MATCH(I460,'Ashed teabags dry'!$A$2:$A$821,0)),"")</f>
        <v>4.4911610129003776</v>
      </c>
      <c r="Y460" s="195">
        <f t="shared" ref="Y460:Z515" si="74">IFERROR(U460-(W460/100)*U460,"")</f>
        <v>0.44060240963855279</v>
      </c>
      <c r="Z460" s="195">
        <f t="shared" si="74"/>
        <v>1.5332033922599102</v>
      </c>
      <c r="AA460" s="195">
        <f t="shared" si="68"/>
        <v>0.70564398516998317</v>
      </c>
      <c r="AB460" s="195">
        <f t="shared" si="69"/>
        <v>0.46260745821120042</v>
      </c>
      <c r="AC460" s="195">
        <f t="shared" ref="AC460:AC515" si="75">IFERROR(Z460/Q460,"")</f>
        <v>0.79758172791182169</v>
      </c>
      <c r="AD460">
        <f t="shared" ref="AD460:AD515" si="76">IF((R460-G460)&gt;0,(IFERROR(R460-G460,"")),"")</f>
        <v>69</v>
      </c>
      <c r="AE460" s="195">
        <f t="shared" si="70"/>
        <v>0.16194301048695581</v>
      </c>
      <c r="AF460" s="195">
        <f t="shared" si="71"/>
        <v>8.3401429955673005E-3</v>
      </c>
      <c r="AG460" s="255" t="str">
        <f>IF(ISNUMBER(SEARCH("C", 'Dry_Litterbag Placem_Collection'!AD167)),"YES","NO")</f>
        <v>NO</v>
      </c>
      <c r="AH460" s="255" t="str">
        <f>IF(ISNUMBER(SEARCH("H", 'Dry_Litterbag Placem_Collection'!AD167)),"YES","NO")</f>
        <v>NO</v>
      </c>
      <c r="AI460" s="255" t="str">
        <f>IF(ISNUMBER(SEARCH("R", 'Dry_Litterbag Placem_Collection'!AD167)),"YES","NO")</f>
        <v>NO</v>
      </c>
      <c r="AJ460" s="255" t="str">
        <f>IF(ISNUMBER(SEARCH("C", 'Dry_Litterbag Placem_Collection'!AC167)),"YES","NO")</f>
        <v>NO</v>
      </c>
      <c r="AK460" s="255" t="str">
        <f>IF(ISNUMBER(SEARCH("H", 'Dry_Litterbag Placem_Collection'!AC167)),"YES","NO")</f>
        <v>NO</v>
      </c>
      <c r="AL460" s="255" t="str">
        <f>IF(ISNUMBER(SEARCH("R", 'Dry_Litterbag Placem_Collection'!AC167)),"YES","NO")</f>
        <v>NO</v>
      </c>
      <c r="AR460" t="s">
        <v>1707</v>
      </c>
      <c r="AT460" t="s">
        <v>831</v>
      </c>
    </row>
    <row r="461" spans="2:46">
      <c r="B461" t="str">
        <f>'Final data_for_R_analysis_Dryse'!A607</f>
        <v>Dry</v>
      </c>
      <c r="C461" s="263">
        <f>'Final data_for_R_analysis_Dryse'!B607</f>
        <v>166</v>
      </c>
      <c r="D461" t="s">
        <v>3851</v>
      </c>
      <c r="E461" t="s">
        <v>25</v>
      </c>
      <c r="F461" s="387">
        <v>6</v>
      </c>
      <c r="G461" s="16">
        <f>'Dry_Litterbag Placem_Collection'!E168</f>
        <v>42940</v>
      </c>
      <c r="H461" s="92" t="str">
        <f>'Final data_for_R_analysis_Dryse'!J607</f>
        <v>G409</v>
      </c>
      <c r="I461" t="str">
        <f>'Final data_for_R_analysis_Dryse'!J827</f>
        <v>R269</v>
      </c>
      <c r="J461">
        <f>IFERROR(INDEX('Green_rooibos initial weight'!$C$5:$C$1749,MATCH(H461, 'Green_rooibos initial weight'!$A$5:$A$1749,0)),"")</f>
        <v>1.968</v>
      </c>
      <c r="K461">
        <f>IFERROR(INDEX('Green_rooibos initial weight'!$C$5:$C$1749,MATCH(I461, 'Green_rooibos initial weight'!$A$5:$A$1749,0)),"")</f>
        <v>2.278</v>
      </c>
      <c r="L461" s="195">
        <f t="shared" ref="L461:L515" si="77">IFERROR(IF(J461&gt;0,(J461*$F$31-($F$29+$F$30)),""),"")</f>
        <v>1.7181999999999999</v>
      </c>
      <c r="M461" s="240">
        <f>AVERAGE(Ashed_controlls!$K$1:$K$11)</f>
        <v>5.5147656768714146</v>
      </c>
      <c r="N461" s="195">
        <f t="shared" si="72"/>
        <v>1.6234452961399952</v>
      </c>
      <c r="O461" s="195">
        <f t="shared" ref="O461:O515" si="78">IFERROR(IF(K461&gt;0,(K461*$F$32-($F$29+$F$30)),""),"")</f>
        <v>2.0282</v>
      </c>
      <c r="P461" s="240">
        <f>AVERAGE(Ashed_controlls!$K$12:$K$14)</f>
        <v>2.2816647271287041</v>
      </c>
      <c r="Q461" s="195">
        <f t="shared" si="73"/>
        <v>1.9819232760043757</v>
      </c>
      <c r="R461" s="16">
        <f>IF('Dry_Litterbag Placem_Collection'!G168="N.A","",'Dry_Litterbag Placem_Collection'!G168)</f>
        <v>43009</v>
      </c>
      <c r="S461" s="195">
        <f>IF(IFERROR(INDEX('Both teabags AfterDry'!$D$1:$D$839,MATCH(H461,'Both teabags AfterDry'!$A$1:$A$839,0)),"")="N.A","",(IFERROR(INDEX('Both teabags AfterDry'!$D$1:$D$839,MATCH(H461,'Both teabags AfterDry'!$A$1:$A$839,0)),"")))</f>
        <v>0.77039999999999997</v>
      </c>
      <c r="T461" s="195">
        <f>IF(IFERROR(INDEX('Both teabags AfterDry'!$D$1:$D$839,MATCH(I461,'Both teabags AfterDry'!$A$1:$A$839,0)),"")="N.A","",(IFERROR(INDEX('Both teabags AfterDry'!$D$1:$D$839,MATCH(I461,'Both teabags AfterDry'!$A$1:$A$839,0)),"")))</f>
        <v>1.8042</v>
      </c>
      <c r="U461" s="195">
        <f t="shared" ref="U461:V515" si="79">IFERROR(IF(S461&gt;0,S461-($F$29),""),"")</f>
        <v>0.61979999999999991</v>
      </c>
      <c r="V461" s="195">
        <f t="shared" si="79"/>
        <v>1.6536</v>
      </c>
      <c r="W461" s="195">
        <f>IFERROR(INDEX('Ashed teabags dry'!$K$2:$K$821,MATCH(H461,'Ashed teabags dry'!$A$2:$A$821,0)),"")</f>
        <v>23.019571295433156</v>
      </c>
      <c r="X461" s="195">
        <f>IFERROR(INDEX('Ashed teabags dry'!$K$2:$K$821,MATCH(I461,'Ashed teabags dry'!$A$2:$A$821,0)),"")</f>
        <v>8.1481481481479836</v>
      </c>
      <c r="Y461" s="195">
        <f t="shared" si="74"/>
        <v>0.47712469711090522</v>
      </c>
      <c r="Z461" s="195">
        <f t="shared" si="74"/>
        <v>1.518862222222225</v>
      </c>
      <c r="AA461" s="195">
        <f t="shared" ref="AA461:AA515" si="80">IFERROR(1-Y461/N461,"")</f>
        <v>0.70610361910848085</v>
      </c>
      <c r="AB461" s="195">
        <f t="shared" ref="AB461:AB515" si="81">IFERROR($F$26*(1-AE461),"")</f>
        <v>0.46290878592384971</v>
      </c>
      <c r="AC461" s="195">
        <f t="shared" si="75"/>
        <v>0.76635772969188931</v>
      </c>
      <c r="AD461">
        <f t="shared" si="76"/>
        <v>69</v>
      </c>
      <c r="AE461" s="195">
        <f t="shared" ref="AE461:AE515" si="82">IFERROR(1-(AA461/$F$25),"")</f>
        <v>0.16139712694954766</v>
      </c>
      <c r="AF461" s="195">
        <f t="shared" ref="AF461:AF515" si="83">IFERROR(LN(AB461/(AC461-(1-AB461)))/AD461,"")</f>
        <v>1.0183259094897234E-2</v>
      </c>
      <c r="AG461" s="255" t="str">
        <f>IF(ISNUMBER(SEARCH("C", 'Dry_Litterbag Placem_Collection'!AD168)),"YES","NO")</f>
        <v>NO</v>
      </c>
      <c r="AH461" s="255" t="str">
        <f>IF(ISNUMBER(SEARCH("H", 'Dry_Litterbag Placem_Collection'!AD168)),"YES","NO")</f>
        <v>NO</v>
      </c>
      <c r="AI461" s="255" t="str">
        <f>IF(ISNUMBER(SEARCH("R", 'Dry_Litterbag Placem_Collection'!AD168)),"YES","NO")</f>
        <v>NO</v>
      </c>
      <c r="AJ461" s="255" t="str">
        <f>IF(ISNUMBER(SEARCH("C", 'Dry_Litterbag Placem_Collection'!AC168)),"YES","NO")</f>
        <v>NO</v>
      </c>
      <c r="AK461" s="255" t="str">
        <f>IF(ISNUMBER(SEARCH("H", 'Dry_Litterbag Placem_Collection'!AC168)),"YES","NO")</f>
        <v>NO</v>
      </c>
      <c r="AL461" s="255" t="str">
        <f>IF(ISNUMBER(SEARCH("R", 'Dry_Litterbag Placem_Collection'!AC168)),"YES","NO")</f>
        <v>NO</v>
      </c>
      <c r="AR461" t="s">
        <v>1641</v>
      </c>
      <c r="AT461" t="s">
        <v>872</v>
      </c>
    </row>
    <row r="462" spans="2:46">
      <c r="B462" t="str">
        <f>'Final data_for_R_analysis_Dryse'!A608</f>
        <v>Dry</v>
      </c>
      <c r="C462" s="263">
        <f>'Final data_for_R_analysis_Dryse'!B608</f>
        <v>167</v>
      </c>
      <c r="D462" t="s">
        <v>3851</v>
      </c>
      <c r="E462" t="s">
        <v>25</v>
      </c>
      <c r="F462" s="387">
        <v>7</v>
      </c>
      <c r="G462" s="16">
        <f>'Dry_Litterbag Placem_Collection'!E169</f>
        <v>0</v>
      </c>
      <c r="H462" s="92" t="str">
        <f>'Final data_for_R_analysis_Dryse'!J608</f>
        <v/>
      </c>
      <c r="I462" t="str">
        <f>'Final data_for_R_analysis_Dryse'!J828</f>
        <v/>
      </c>
      <c r="J462" t="str">
        <f>IFERROR(INDEX('Green_rooibos initial weight'!$C$5:$C$1749,MATCH(H462, 'Green_rooibos initial weight'!$A$5:$A$1749,0)),"")</f>
        <v/>
      </c>
      <c r="K462" t="str">
        <f>IFERROR(INDEX('Green_rooibos initial weight'!$C$5:$C$1749,MATCH(I462, 'Green_rooibos initial weight'!$A$5:$A$1749,0)),"")</f>
        <v/>
      </c>
      <c r="L462" s="195" t="str">
        <f t="shared" si="77"/>
        <v/>
      </c>
      <c r="M462" s="240">
        <f>AVERAGE(Ashed_controlls!$K$1:$K$11)</f>
        <v>5.5147656768714146</v>
      </c>
      <c r="N462" s="195" t="str">
        <f t="shared" si="72"/>
        <v/>
      </c>
      <c r="O462" s="195" t="str">
        <f t="shared" si="78"/>
        <v/>
      </c>
      <c r="P462" s="240">
        <f>AVERAGE(Ashed_controlls!$K$12:$K$14)</f>
        <v>2.2816647271287041</v>
      </c>
      <c r="Q462" s="195" t="str">
        <f t="shared" si="73"/>
        <v/>
      </c>
      <c r="R462" s="16">
        <f>IF('Dry_Litterbag Placem_Collection'!G169="N.A","",'Dry_Litterbag Placem_Collection'!G169)</f>
        <v>0</v>
      </c>
      <c r="S462" s="195" t="str">
        <f>IF(IFERROR(INDEX('Both teabags AfterDry'!$D$1:$D$839,MATCH(H462,'Both teabags AfterDry'!$A$1:$A$839,0)),"")="N.A","",(IFERROR(INDEX('Both teabags AfterDry'!$D$1:$D$839,MATCH(H462,'Both teabags AfterDry'!$A$1:$A$839,0)),"")))</f>
        <v/>
      </c>
      <c r="T462" s="195" t="str">
        <f>IF(IFERROR(INDEX('Both teabags AfterDry'!$D$1:$D$839,MATCH(I462,'Both teabags AfterDry'!$A$1:$A$839,0)),"")="N.A","",(IFERROR(INDEX('Both teabags AfterDry'!$D$1:$D$839,MATCH(I462,'Both teabags AfterDry'!$A$1:$A$839,0)),"")))</f>
        <v/>
      </c>
      <c r="U462" s="195" t="str">
        <f t="shared" si="79"/>
        <v/>
      </c>
      <c r="V462" s="195" t="str">
        <f t="shared" si="79"/>
        <v/>
      </c>
      <c r="W462" s="195" t="str">
        <f>IFERROR(INDEX('Ashed teabags dry'!$K$2:$K$821,MATCH(H462,'Ashed teabags dry'!$A$2:$A$821,0)),"")</f>
        <v/>
      </c>
      <c r="X462" s="195" t="str">
        <f>IFERROR(INDEX('Ashed teabags dry'!$K$2:$K$821,MATCH(I462,'Ashed teabags dry'!$A$2:$A$821,0)),"")</f>
        <v/>
      </c>
      <c r="Y462" s="195" t="str">
        <f t="shared" si="74"/>
        <v/>
      </c>
      <c r="Z462" s="195" t="str">
        <f t="shared" si="74"/>
        <v/>
      </c>
      <c r="AA462" s="195" t="str">
        <f t="shared" si="80"/>
        <v/>
      </c>
      <c r="AB462" s="195" t="str">
        <f t="shared" si="81"/>
        <v/>
      </c>
      <c r="AC462" s="195" t="str">
        <f t="shared" si="75"/>
        <v/>
      </c>
      <c r="AD462" t="str">
        <f t="shared" si="76"/>
        <v/>
      </c>
      <c r="AE462" s="195" t="str">
        <f t="shared" si="82"/>
        <v/>
      </c>
      <c r="AF462" s="195" t="str">
        <f t="shared" si="83"/>
        <v/>
      </c>
      <c r="AG462" s="255" t="str">
        <f>IF(ISNUMBER(SEARCH("C", 'Dry_Litterbag Placem_Collection'!AD169)),"YES","NO")</f>
        <v>NO</v>
      </c>
      <c r="AH462" s="255" t="str">
        <f>IF(ISNUMBER(SEARCH("H", 'Dry_Litterbag Placem_Collection'!AD169)),"YES","NO")</f>
        <v>NO</v>
      </c>
      <c r="AI462" s="255" t="str">
        <f>IF(ISNUMBER(SEARCH("R", 'Dry_Litterbag Placem_Collection'!AD169)),"YES","NO")</f>
        <v>NO</v>
      </c>
      <c r="AJ462" s="255" t="str">
        <f>IF(ISNUMBER(SEARCH("C", 'Dry_Litterbag Placem_Collection'!AC169)),"YES","NO")</f>
        <v>NO</v>
      </c>
      <c r="AK462" s="255" t="str">
        <f>IF(ISNUMBER(SEARCH("H", 'Dry_Litterbag Placem_Collection'!AC169)),"YES","NO")</f>
        <v>NO</v>
      </c>
      <c r="AL462" s="255" t="str">
        <f>IF(ISNUMBER(SEARCH("R", 'Dry_Litterbag Placem_Collection'!AC169)),"YES","NO")</f>
        <v>NO</v>
      </c>
      <c r="AR462" t="s">
        <v>3654</v>
      </c>
      <c r="AT462" t="s">
        <v>3654</v>
      </c>
    </row>
    <row r="463" spans="2:46">
      <c r="B463" t="str">
        <f>'Final data_for_R_analysis_Dryse'!A609</f>
        <v>Dry</v>
      </c>
      <c r="C463" s="263">
        <f>'Final data_for_R_analysis_Dryse'!B609</f>
        <v>168</v>
      </c>
      <c r="D463" t="s">
        <v>3851</v>
      </c>
      <c r="E463" t="s">
        <v>25</v>
      </c>
      <c r="F463" s="387">
        <v>8</v>
      </c>
      <c r="G463" s="16">
        <f>'Dry_Litterbag Placem_Collection'!E170</f>
        <v>42940</v>
      </c>
      <c r="H463" s="92" t="str">
        <f>'Final data_for_R_analysis_Dryse'!J609</f>
        <v>G304</v>
      </c>
      <c r="I463" t="str">
        <f>'Final data_for_R_analysis_Dryse'!J829</f>
        <v>R413</v>
      </c>
      <c r="J463">
        <f>IFERROR(INDEX('Green_rooibos initial weight'!$C$5:$C$1749,MATCH(H463, 'Green_rooibos initial weight'!$A$5:$A$1749,0)),"")</f>
        <v>1.9490000000000001</v>
      </c>
      <c r="K463">
        <f>IFERROR(INDEX('Green_rooibos initial weight'!$C$5:$C$1749,MATCH(I463, 'Green_rooibos initial weight'!$A$5:$A$1749,0)),"")</f>
        <v>2.214</v>
      </c>
      <c r="L463" s="195">
        <f t="shared" si="77"/>
        <v>1.6992</v>
      </c>
      <c r="M463" s="240">
        <f>AVERAGE(Ashed_controlls!$K$1:$K$11)</f>
        <v>5.5147656768714146</v>
      </c>
      <c r="N463" s="195">
        <f t="shared" si="72"/>
        <v>1.6054931016186009</v>
      </c>
      <c r="O463" s="195">
        <f t="shared" si="78"/>
        <v>1.9641999999999999</v>
      </c>
      <c r="P463" s="240">
        <f>AVERAGE(Ashed_controlls!$K$12:$K$14)</f>
        <v>2.2816647271287041</v>
      </c>
      <c r="Q463" s="195">
        <f t="shared" si="73"/>
        <v>1.919383541429738</v>
      </c>
      <c r="R463" s="16">
        <f>IF('Dry_Litterbag Placem_Collection'!G170="N.A","",'Dry_Litterbag Placem_Collection'!G170)</f>
        <v>43009</v>
      </c>
      <c r="S463" s="195" t="str">
        <f>IF(IFERROR(INDEX('Both teabags AfterDry'!$D$1:$D$839,MATCH(H463,'Both teabags AfterDry'!$A$1:$A$839,0)),"")="N.A","",(IFERROR(INDEX('Both teabags AfterDry'!$D$1:$D$839,MATCH(H463,'Both teabags AfterDry'!$A$1:$A$839,0)),"")))</f>
        <v/>
      </c>
      <c r="T463" s="195" t="str">
        <f>IF(IFERROR(INDEX('Both teabags AfterDry'!$D$1:$D$839,MATCH(I463,'Both teabags AfterDry'!$A$1:$A$839,0)),"")="N.A","",(IFERROR(INDEX('Both teabags AfterDry'!$D$1:$D$839,MATCH(I463,'Both teabags AfterDry'!$A$1:$A$839,0)),"")))</f>
        <v/>
      </c>
      <c r="U463" s="195" t="str">
        <f t="shared" si="79"/>
        <v/>
      </c>
      <c r="V463" s="195" t="str">
        <f t="shared" si="79"/>
        <v/>
      </c>
      <c r="W463" s="195" t="str">
        <f>IFERROR(INDEX('Ashed teabags dry'!$K$2:$K$821,MATCH(H463,'Ashed teabags dry'!$A$2:$A$821,0)),"")</f>
        <v/>
      </c>
      <c r="X463" s="195" t="str">
        <f>IFERROR(INDEX('Ashed teabags dry'!$K$2:$K$821,MATCH(I463,'Ashed teabags dry'!$A$2:$A$821,0)),"")</f>
        <v/>
      </c>
      <c r="Y463" s="195" t="str">
        <f t="shared" si="74"/>
        <v/>
      </c>
      <c r="Z463" s="195" t="str">
        <f t="shared" si="74"/>
        <v/>
      </c>
      <c r="AA463" s="195" t="str">
        <f t="shared" si="80"/>
        <v/>
      </c>
      <c r="AB463" s="195" t="str">
        <f t="shared" si="81"/>
        <v/>
      </c>
      <c r="AC463" s="195" t="str">
        <f t="shared" si="75"/>
        <v/>
      </c>
      <c r="AD463">
        <f t="shared" si="76"/>
        <v>69</v>
      </c>
      <c r="AE463" s="195" t="str">
        <f t="shared" si="82"/>
        <v/>
      </c>
      <c r="AF463" s="195" t="str">
        <f t="shared" si="83"/>
        <v/>
      </c>
      <c r="AG463" s="255" t="str">
        <f>IF(ISNUMBER(SEARCH("C", 'Dry_Litterbag Placem_Collection'!AD170)),"YES","NO")</f>
        <v>NO</v>
      </c>
      <c r="AH463" s="255" t="str">
        <f>IF(ISNUMBER(SEARCH("H", 'Dry_Litterbag Placem_Collection'!AD170)),"YES","NO")</f>
        <v>NO</v>
      </c>
      <c r="AI463" s="255" t="str">
        <f>IF(ISNUMBER(SEARCH("R", 'Dry_Litterbag Placem_Collection'!AD170)),"YES","NO")</f>
        <v>NO</v>
      </c>
      <c r="AJ463" s="255" t="str">
        <f>IF(ISNUMBER(SEARCH("C", 'Dry_Litterbag Placem_Collection'!AC170)),"YES","NO")</f>
        <v>NO</v>
      </c>
      <c r="AK463" s="255" t="str">
        <f>IF(ISNUMBER(SEARCH("H", 'Dry_Litterbag Placem_Collection'!AC170)),"YES","NO")</f>
        <v>NO</v>
      </c>
      <c r="AL463" s="255" t="str">
        <f>IF(ISNUMBER(SEARCH("R", 'Dry_Litterbag Placem_Collection'!AC170)),"YES","NO")</f>
        <v>NO</v>
      </c>
      <c r="AR463" t="s">
        <v>1746</v>
      </c>
      <c r="AT463" t="s">
        <v>728</v>
      </c>
    </row>
    <row r="464" spans="2:46">
      <c r="B464" t="str">
        <f>'Final data_for_R_analysis_Dryse'!A610</f>
        <v>Dry</v>
      </c>
      <c r="C464" s="263">
        <f>'Final data_for_R_analysis_Dryse'!B610</f>
        <v>169</v>
      </c>
      <c r="D464" t="s">
        <v>3853</v>
      </c>
      <c r="E464" t="s">
        <v>25</v>
      </c>
      <c r="F464" s="386">
        <v>1</v>
      </c>
      <c r="G464" s="16">
        <f>'Dry_Litterbag Placem_Collection'!E171</f>
        <v>42940</v>
      </c>
      <c r="H464" s="92" t="str">
        <f>'Final data_for_R_analysis_Dryse'!J610</f>
        <v>G135</v>
      </c>
      <c r="I464" t="str">
        <f>'Final data_for_R_analysis_Dryse'!J830</f>
        <v>R80</v>
      </c>
      <c r="J464">
        <f>IFERROR(INDEX('Green_rooibos initial weight'!$C$5:$C$1749,MATCH(H464, 'Green_rooibos initial weight'!$A$5:$A$1749,0)),"")</f>
        <v>2.0049999999999999</v>
      </c>
      <c r="K464">
        <f>IFERROR(INDEX('Green_rooibos initial weight'!$C$5:$C$1749,MATCH(I464, 'Green_rooibos initial weight'!$A$5:$A$1749,0)),"")</f>
        <v>2.177</v>
      </c>
      <c r="L464" s="195">
        <f t="shared" si="77"/>
        <v>1.7551999999999999</v>
      </c>
      <c r="M464" s="240">
        <f>AVERAGE(Ashed_controlls!$K$1:$K$11)</f>
        <v>5.5147656768714146</v>
      </c>
      <c r="N464" s="195">
        <f t="shared" si="72"/>
        <v>1.6584048328395529</v>
      </c>
      <c r="O464" s="195">
        <f t="shared" si="78"/>
        <v>1.9272</v>
      </c>
      <c r="P464" s="240">
        <f>AVERAGE(Ashed_controlls!$K$12:$K$14)</f>
        <v>2.2816647271287041</v>
      </c>
      <c r="Q464" s="195">
        <f t="shared" si="73"/>
        <v>1.8832277573787757</v>
      </c>
      <c r="R464" s="16">
        <f>IF('Dry_Litterbag Placem_Collection'!G171="N.A","",'Dry_Litterbag Placem_Collection'!G171)</f>
        <v>43009</v>
      </c>
      <c r="S464" s="195">
        <f>IF(IFERROR(INDEX('Both teabags AfterDry'!$D$1:$D$839,MATCH(H464,'Both teabags AfterDry'!$A$1:$A$839,0)),"")="N.A","",(IFERROR(INDEX('Both teabags AfterDry'!$D$1:$D$839,MATCH(H464,'Both teabags AfterDry'!$A$1:$A$839,0)),"")))</f>
        <v>0.78129999999999999</v>
      </c>
      <c r="T464" s="195">
        <f>IF(IFERROR(INDEX('Both teabags AfterDry'!$D$1:$D$839,MATCH(I464,'Both teabags AfterDry'!$A$1:$A$839,0)),"")="N.A","",(IFERROR(INDEX('Both teabags AfterDry'!$D$1:$D$839,MATCH(I464,'Both teabags AfterDry'!$A$1:$A$839,0)),"")))</f>
        <v>1.8815999999999999</v>
      </c>
      <c r="U464" s="195">
        <f t="shared" si="79"/>
        <v>0.63070000000000004</v>
      </c>
      <c r="V464" s="195">
        <f t="shared" si="79"/>
        <v>1.7309999999999999</v>
      </c>
      <c r="W464" s="195">
        <f>IFERROR(INDEX('Ashed teabags dry'!$K$2:$K$821,MATCH(H464,'Ashed teabags dry'!$A$2:$A$821,0)),"")</f>
        <v>21.873514027579272</v>
      </c>
      <c r="X464" s="195">
        <f>IFERROR(INDEX('Ashed teabags dry'!$K$2:$K$821,MATCH(I464,'Ashed teabags dry'!$A$2:$A$821,0)),"")</f>
        <v>12.458706937234023</v>
      </c>
      <c r="Y464" s="195">
        <f t="shared" si="74"/>
        <v>0.49274374702805757</v>
      </c>
      <c r="Z464" s="195">
        <f t="shared" si="74"/>
        <v>1.515339782916479</v>
      </c>
      <c r="AA464" s="195">
        <f t="shared" si="80"/>
        <v>0.7028809026175038</v>
      </c>
      <c r="AB464" s="195">
        <f t="shared" si="81"/>
        <v>0.46079603116967</v>
      </c>
      <c r="AC464" s="195">
        <f t="shared" si="75"/>
        <v>0.80465030157884243</v>
      </c>
      <c r="AD464">
        <f t="shared" si="76"/>
        <v>69</v>
      </c>
      <c r="AE464" s="195">
        <f t="shared" si="82"/>
        <v>0.16522458121436601</v>
      </c>
      <c r="AF464" s="195">
        <f t="shared" si="83"/>
        <v>7.9933740974252338E-3</v>
      </c>
      <c r="AG464" s="255" t="str">
        <f>IF(ISNUMBER(SEARCH("C", 'Dry_Litterbag Placem_Collection'!AD171)),"YES","NO")</f>
        <v>NO</v>
      </c>
      <c r="AH464" s="255" t="str">
        <f>IF(ISNUMBER(SEARCH("H", 'Dry_Litterbag Placem_Collection'!AD171)),"YES","NO")</f>
        <v>NO</v>
      </c>
      <c r="AI464" s="255" t="str">
        <f>IF(ISNUMBER(SEARCH("R", 'Dry_Litterbag Placem_Collection'!AD171)),"YES","NO")</f>
        <v>NO</v>
      </c>
      <c r="AJ464" s="255" t="str">
        <f>IF(ISNUMBER(SEARCH("C", 'Dry_Litterbag Placem_Collection'!AC171)),"YES","NO")</f>
        <v>NO</v>
      </c>
      <c r="AK464" s="255" t="str">
        <f>IF(ISNUMBER(SEARCH("H", 'Dry_Litterbag Placem_Collection'!AC171)),"YES","NO")</f>
        <v>NO</v>
      </c>
      <c r="AL464" s="255" t="str">
        <f>IF(ISNUMBER(SEARCH("R", 'Dry_Litterbag Placem_Collection'!AC171)),"YES","NO")</f>
        <v>NO</v>
      </c>
      <c r="AR464" t="s">
        <v>1915</v>
      </c>
      <c r="AT464" t="s">
        <v>1061</v>
      </c>
    </row>
    <row r="465" spans="2:46">
      <c r="B465" t="str">
        <f>'Final data_for_R_analysis_Dryse'!A611</f>
        <v>Dry</v>
      </c>
      <c r="C465" s="263">
        <f>'Final data_for_R_analysis_Dryse'!B611</f>
        <v>170</v>
      </c>
      <c r="D465" t="s">
        <v>3853</v>
      </c>
      <c r="E465" t="s">
        <v>25</v>
      </c>
      <c r="F465" s="386">
        <v>2</v>
      </c>
      <c r="G465" s="16">
        <f>'Dry_Litterbag Placem_Collection'!E172</f>
        <v>42940</v>
      </c>
      <c r="H465" s="92" t="str">
        <f>'Final data_for_R_analysis_Dryse'!J611</f>
        <v>G515</v>
      </c>
      <c r="I465" t="str">
        <f>'Final data_for_R_analysis_Dryse'!J831</f>
        <v>R208</v>
      </c>
      <c r="J465">
        <f>IFERROR(INDEX('Green_rooibos initial weight'!$C$5:$C$1749,MATCH(H465, 'Green_rooibos initial weight'!$A$5:$A$1749,0)),"")</f>
        <v>1.9890000000000001</v>
      </c>
      <c r="K465">
        <f>IFERROR(INDEX('Green_rooibos initial weight'!$C$5:$C$1749,MATCH(I465, 'Green_rooibos initial weight'!$A$5:$A$1749,0)),"")</f>
        <v>2.2250000000000001</v>
      </c>
      <c r="L465" s="195">
        <f t="shared" si="77"/>
        <v>1.7392000000000001</v>
      </c>
      <c r="M465" s="240">
        <f>AVERAGE(Ashed_controlls!$K$1:$K$11)</f>
        <v>5.5147656768714146</v>
      </c>
      <c r="N465" s="195">
        <f t="shared" si="72"/>
        <v>1.6432871953478525</v>
      </c>
      <c r="O465" s="195">
        <f t="shared" si="78"/>
        <v>1.9752000000000001</v>
      </c>
      <c r="P465" s="240">
        <f>AVERAGE(Ashed_controlls!$K$12:$K$14)</f>
        <v>2.2816647271287041</v>
      </c>
      <c r="Q465" s="195">
        <f t="shared" si="73"/>
        <v>1.9301325583097539</v>
      </c>
      <c r="R465" s="16">
        <f>IF('Dry_Litterbag Placem_Collection'!G172="N.A","",'Dry_Litterbag Placem_Collection'!G172)</f>
        <v>43009</v>
      </c>
      <c r="S465" s="195">
        <f>IF(IFERROR(INDEX('Both teabags AfterDry'!$D$1:$D$839,MATCH(H465,'Both teabags AfterDry'!$A$1:$A$839,0)),"")="N.A","",(IFERROR(INDEX('Both teabags AfterDry'!$D$1:$D$839,MATCH(H465,'Both teabags AfterDry'!$A$1:$A$839,0)),"")))</f>
        <v>0.77959999999999996</v>
      </c>
      <c r="T465" s="195">
        <f>IF(IFERROR(INDEX('Both teabags AfterDry'!$D$1:$D$839,MATCH(I465,'Both teabags AfterDry'!$A$1:$A$839,0)),"")="N.A","",(IFERROR(INDEX('Both teabags AfterDry'!$D$1:$D$839,MATCH(I465,'Both teabags AfterDry'!$A$1:$A$839,0)),"")))</f>
        <v>1.8463000000000001</v>
      </c>
      <c r="U465" s="195">
        <f t="shared" si="79"/>
        <v>0.629</v>
      </c>
      <c r="V465" s="195">
        <f t="shared" si="79"/>
        <v>1.6957</v>
      </c>
      <c r="W465" s="195">
        <f>IFERROR(INDEX('Ashed teabags dry'!$K$2:$K$821,MATCH(H465,'Ashed teabags dry'!$A$2:$A$821,0)),"")</f>
        <v>24.595469255663417</v>
      </c>
      <c r="X465" s="195">
        <f>IFERROR(INDEX('Ashed teabags dry'!$K$2:$K$821,MATCH(I465,'Ashed teabags dry'!$A$2:$A$821,0)),"")</f>
        <v>5.3697597739049137</v>
      </c>
      <c r="Y465" s="195">
        <f t="shared" si="74"/>
        <v>0.47429449838187709</v>
      </c>
      <c r="Z465" s="195">
        <f t="shared" si="74"/>
        <v>1.6046449835138943</v>
      </c>
      <c r="AA465" s="195">
        <f t="shared" si="80"/>
        <v>0.7113745547798308</v>
      </c>
      <c r="AB465" s="195">
        <f t="shared" si="81"/>
        <v>0.46636431619770385</v>
      </c>
      <c r="AC465" s="195">
        <f t="shared" si="75"/>
        <v>0.83136517054512882</v>
      </c>
      <c r="AD465">
        <f t="shared" si="76"/>
        <v>69</v>
      </c>
      <c r="AE465" s="195">
        <f t="shared" si="82"/>
        <v>0.15513710833749306</v>
      </c>
      <c r="AF465" s="195">
        <f t="shared" si="83"/>
        <v>6.504084224170697E-3</v>
      </c>
      <c r="AG465" s="255" t="str">
        <f>IF(ISNUMBER(SEARCH("C", 'Dry_Litterbag Placem_Collection'!AD172)),"YES","NO")</f>
        <v>NO</v>
      </c>
      <c r="AH465" s="255" t="str">
        <f>IF(ISNUMBER(SEARCH("H", 'Dry_Litterbag Placem_Collection'!AD172)),"YES","NO")</f>
        <v>NO</v>
      </c>
      <c r="AI465" s="255" t="str">
        <f>IF(ISNUMBER(SEARCH("R", 'Dry_Litterbag Placem_Collection'!AD172)),"YES","NO")</f>
        <v>NO</v>
      </c>
      <c r="AJ465" s="255" t="str">
        <f>IF(ISNUMBER(SEARCH("C", 'Dry_Litterbag Placem_Collection'!AC172)),"YES","NO")</f>
        <v>NO</v>
      </c>
      <c r="AK465" s="255" t="str">
        <f>IF(ISNUMBER(SEARCH("H", 'Dry_Litterbag Placem_Collection'!AC172)),"YES","NO")</f>
        <v>NO</v>
      </c>
      <c r="AL465" s="255" t="str">
        <f>IF(ISNUMBER(SEARCH("R", 'Dry_Litterbag Placem_Collection'!AC172)),"YES","NO")</f>
        <v>NO</v>
      </c>
      <c r="AR465" t="s">
        <v>1535</v>
      </c>
      <c r="AT465" t="s">
        <v>933</v>
      </c>
    </row>
    <row r="466" spans="2:46">
      <c r="B466" t="str">
        <f>'Final data_for_R_analysis_Dryse'!A612</f>
        <v>Dry</v>
      </c>
      <c r="C466" s="263">
        <f>'Final data_for_R_analysis_Dryse'!B612</f>
        <v>171</v>
      </c>
      <c r="D466" t="s">
        <v>3853</v>
      </c>
      <c r="E466" t="s">
        <v>25</v>
      </c>
      <c r="F466" s="386">
        <v>3</v>
      </c>
      <c r="G466" s="16">
        <f>'Dry_Litterbag Placem_Collection'!E173</f>
        <v>42940</v>
      </c>
      <c r="H466" s="92" t="str">
        <f>'Final data_for_R_analysis_Dryse'!J612</f>
        <v>G348</v>
      </c>
      <c r="I466" t="str">
        <f>'Final data_for_R_analysis_Dryse'!J832</f>
        <v>R633</v>
      </c>
      <c r="J466">
        <f>IFERROR(INDEX('Green_rooibos initial weight'!$C$5:$C$1749,MATCH(H466, 'Green_rooibos initial weight'!$A$5:$A$1749,0)),"")</f>
        <v>2.0139999999999998</v>
      </c>
      <c r="K466">
        <f>IFERROR(INDEX('Green_rooibos initial weight'!$C$5:$C$1749,MATCH(I466, 'Green_rooibos initial weight'!$A$5:$A$1749,0)),"")</f>
        <v>2.0760000000000001</v>
      </c>
      <c r="L466" s="195">
        <f t="shared" si="77"/>
        <v>1.7641999999999998</v>
      </c>
      <c r="M466" s="240">
        <f>AVERAGE(Ashed_controlls!$K$1:$K$11)</f>
        <v>5.5147656768714146</v>
      </c>
      <c r="N466" s="195">
        <f t="shared" si="72"/>
        <v>1.6669085039286342</v>
      </c>
      <c r="O466" s="195">
        <f t="shared" si="78"/>
        <v>1.8262</v>
      </c>
      <c r="P466" s="240">
        <f>AVERAGE(Ashed_controlls!$K$12:$K$14)</f>
        <v>2.2816647271287041</v>
      </c>
      <c r="Q466" s="195">
        <f t="shared" si="73"/>
        <v>1.7845322387531757</v>
      </c>
      <c r="R466" s="16">
        <f>IF('Dry_Litterbag Placem_Collection'!G173="N.A","",'Dry_Litterbag Placem_Collection'!G173)</f>
        <v>43009</v>
      </c>
      <c r="S466" s="195">
        <f>IF(IFERROR(INDEX('Both teabags AfterDry'!$D$1:$D$839,MATCH(H466,'Both teabags AfterDry'!$A$1:$A$839,0)),"")="N.A","",(IFERROR(INDEX('Both teabags AfterDry'!$D$1:$D$839,MATCH(H466,'Both teabags AfterDry'!$A$1:$A$839,0)),"")))</f>
        <v>0.69310000000000005</v>
      </c>
      <c r="T466" s="195">
        <f>IF(IFERROR(INDEX('Both teabags AfterDry'!$D$1:$D$839,MATCH(I466,'Both teabags AfterDry'!$A$1:$A$839,0)),"")="N.A","",(IFERROR(INDEX('Both teabags AfterDry'!$D$1:$D$839,MATCH(I466,'Both teabags AfterDry'!$A$1:$A$839,0)),"")))</f>
        <v>1.6096999999999999</v>
      </c>
      <c r="U466" s="195">
        <f t="shared" si="79"/>
        <v>0.54249999999999998</v>
      </c>
      <c r="V466" s="195">
        <f t="shared" si="79"/>
        <v>1.4590999999999998</v>
      </c>
      <c r="W466" s="195">
        <f>IFERROR(INDEX('Ashed teabags dry'!$K$2:$K$821,MATCH(H466,'Ashed teabags dry'!$A$2:$A$821,0)),"")</f>
        <v>19.412878787879041</v>
      </c>
      <c r="X466" s="195">
        <f>IFERROR(INDEX('Ashed teabags dry'!$K$2:$K$821,MATCH(I466,'Ashed teabags dry'!$A$2:$A$821,0)),"")</f>
        <v>5.8156727451944334</v>
      </c>
      <c r="Y466" s="195">
        <f t="shared" si="74"/>
        <v>0.4371851325757562</v>
      </c>
      <c r="Z466" s="195">
        <f t="shared" si="74"/>
        <v>1.3742435189748679</v>
      </c>
      <c r="AA466" s="195">
        <f t="shared" si="80"/>
        <v>0.7377269768884247</v>
      </c>
      <c r="AB466" s="195">
        <f t="shared" si="81"/>
        <v>0.48364048841141388</v>
      </c>
      <c r="AC466" s="195">
        <f t="shared" si="75"/>
        <v>0.77008612628653317</v>
      </c>
      <c r="AD466">
        <f t="shared" si="76"/>
        <v>69</v>
      </c>
      <c r="AE466" s="195">
        <f t="shared" si="82"/>
        <v>0.12383969490685898</v>
      </c>
      <c r="AF466" s="195">
        <f t="shared" si="83"/>
        <v>9.3490503027229034E-3</v>
      </c>
      <c r="AG466" s="255" t="str">
        <f>IF(ISNUMBER(SEARCH("C", 'Dry_Litterbag Placem_Collection'!AD173)),"YES","NO")</f>
        <v>NO</v>
      </c>
      <c r="AH466" s="255" t="str">
        <f>IF(ISNUMBER(SEARCH("H", 'Dry_Litterbag Placem_Collection'!AD173)),"YES","NO")</f>
        <v>NO</v>
      </c>
      <c r="AI466" s="255" t="str">
        <f>IF(ISNUMBER(SEARCH("R", 'Dry_Litterbag Placem_Collection'!AD173)),"YES","NO")</f>
        <v>NO</v>
      </c>
      <c r="AJ466" s="255" t="str">
        <f>IF(ISNUMBER(SEARCH("C", 'Dry_Litterbag Placem_Collection'!AC173)),"YES","NO")</f>
        <v>NO</v>
      </c>
      <c r="AK466" s="255" t="str">
        <f>IF(ISNUMBER(SEARCH("H", 'Dry_Litterbag Placem_Collection'!AC173)),"YES","NO")</f>
        <v>NO</v>
      </c>
      <c r="AL466" s="255" t="str">
        <f>IF(ISNUMBER(SEARCH("R", 'Dry_Litterbag Placem_Collection'!AC173)),"YES","NO")</f>
        <v>NO</v>
      </c>
      <c r="AR466" t="s">
        <v>1702</v>
      </c>
      <c r="AT466" t="s">
        <v>506</v>
      </c>
    </row>
    <row r="467" spans="2:46">
      <c r="B467" t="str">
        <f>'Final data_for_R_analysis_Dryse'!A613</f>
        <v>Dry</v>
      </c>
      <c r="C467" s="263">
        <f>'Final data_for_R_analysis_Dryse'!B613</f>
        <v>172</v>
      </c>
      <c r="D467" t="s">
        <v>3853</v>
      </c>
      <c r="E467" t="s">
        <v>25</v>
      </c>
      <c r="F467" s="387">
        <v>4</v>
      </c>
      <c r="G467" s="16">
        <f>'Dry_Litterbag Placem_Collection'!E174</f>
        <v>0</v>
      </c>
      <c r="H467" s="92" t="str">
        <f>'Final data_for_R_analysis_Dryse'!J613</f>
        <v/>
      </c>
      <c r="I467" t="str">
        <f>'Final data_for_R_analysis_Dryse'!J833</f>
        <v/>
      </c>
      <c r="J467" t="str">
        <f>IFERROR(INDEX('Green_rooibos initial weight'!$C$5:$C$1749,MATCH(H467, 'Green_rooibos initial weight'!$A$5:$A$1749,0)),"")</f>
        <v/>
      </c>
      <c r="K467" t="str">
        <f>IFERROR(INDEX('Green_rooibos initial weight'!$C$5:$C$1749,MATCH(I467, 'Green_rooibos initial weight'!$A$5:$A$1749,0)),"")</f>
        <v/>
      </c>
      <c r="L467" s="195" t="str">
        <f t="shared" si="77"/>
        <v/>
      </c>
      <c r="M467" s="240">
        <f>AVERAGE(Ashed_controlls!$K$1:$K$11)</f>
        <v>5.5147656768714146</v>
      </c>
      <c r="N467" s="195" t="str">
        <f t="shared" si="72"/>
        <v/>
      </c>
      <c r="O467" s="195" t="str">
        <f t="shared" si="78"/>
        <v/>
      </c>
      <c r="P467" s="240">
        <f>AVERAGE(Ashed_controlls!$K$12:$K$14)</f>
        <v>2.2816647271287041</v>
      </c>
      <c r="Q467" s="195" t="str">
        <f t="shared" si="73"/>
        <v/>
      </c>
      <c r="R467" s="16">
        <f>IF('Dry_Litterbag Placem_Collection'!G174="N.A","",'Dry_Litterbag Placem_Collection'!G174)</f>
        <v>0</v>
      </c>
      <c r="S467" s="195" t="str">
        <f>IF(IFERROR(INDEX('Both teabags AfterDry'!$D$1:$D$839,MATCH(H467,'Both teabags AfterDry'!$A$1:$A$839,0)),"")="N.A","",(IFERROR(INDEX('Both teabags AfterDry'!$D$1:$D$839,MATCH(H467,'Both teabags AfterDry'!$A$1:$A$839,0)),"")))</f>
        <v/>
      </c>
      <c r="T467" s="195" t="str">
        <f>IF(IFERROR(INDEX('Both teabags AfterDry'!$D$1:$D$839,MATCH(I467,'Both teabags AfterDry'!$A$1:$A$839,0)),"")="N.A","",(IFERROR(INDEX('Both teabags AfterDry'!$D$1:$D$839,MATCH(I467,'Both teabags AfterDry'!$A$1:$A$839,0)),"")))</f>
        <v/>
      </c>
      <c r="U467" s="195" t="str">
        <f t="shared" si="79"/>
        <v/>
      </c>
      <c r="V467" s="195" t="str">
        <f t="shared" si="79"/>
        <v/>
      </c>
      <c r="W467" s="195" t="str">
        <f>IFERROR(INDEX('Ashed teabags dry'!$K$2:$K$821,MATCH(H467,'Ashed teabags dry'!$A$2:$A$821,0)),"")</f>
        <v/>
      </c>
      <c r="X467" s="195" t="str">
        <f>IFERROR(INDEX('Ashed teabags dry'!$K$2:$K$821,MATCH(I467,'Ashed teabags dry'!$A$2:$A$821,0)),"")</f>
        <v/>
      </c>
      <c r="Y467" s="195" t="str">
        <f t="shared" si="74"/>
        <v/>
      </c>
      <c r="Z467" s="195" t="str">
        <f t="shared" si="74"/>
        <v/>
      </c>
      <c r="AA467" s="195" t="str">
        <f t="shared" si="80"/>
        <v/>
      </c>
      <c r="AB467" s="195" t="str">
        <f t="shared" si="81"/>
        <v/>
      </c>
      <c r="AC467" s="195" t="str">
        <f t="shared" si="75"/>
        <v/>
      </c>
      <c r="AD467" t="str">
        <f t="shared" si="76"/>
        <v/>
      </c>
      <c r="AE467" s="195" t="str">
        <f t="shared" si="82"/>
        <v/>
      </c>
      <c r="AF467" s="195" t="str">
        <f t="shared" si="83"/>
        <v/>
      </c>
      <c r="AG467" s="255" t="str">
        <f>IF(ISNUMBER(SEARCH("C", 'Dry_Litterbag Placem_Collection'!AD174)),"YES","NO")</f>
        <v>NO</v>
      </c>
      <c r="AH467" s="255" t="str">
        <f>IF(ISNUMBER(SEARCH("H", 'Dry_Litterbag Placem_Collection'!AD174)),"YES","NO")</f>
        <v>NO</v>
      </c>
      <c r="AI467" s="255" t="str">
        <f>IF(ISNUMBER(SEARCH("R", 'Dry_Litterbag Placem_Collection'!AD174)),"YES","NO")</f>
        <v>NO</v>
      </c>
      <c r="AJ467" s="255" t="str">
        <f>IF(ISNUMBER(SEARCH("C", 'Dry_Litterbag Placem_Collection'!AC174)),"YES","NO")</f>
        <v>NO</v>
      </c>
      <c r="AK467" s="255" t="str">
        <f>IF(ISNUMBER(SEARCH("H", 'Dry_Litterbag Placem_Collection'!AC174)),"YES","NO")</f>
        <v>NO</v>
      </c>
      <c r="AL467" s="255" t="str">
        <f>IF(ISNUMBER(SEARCH("R", 'Dry_Litterbag Placem_Collection'!AC174)),"YES","NO")</f>
        <v>NO</v>
      </c>
      <c r="AR467" t="s">
        <v>3654</v>
      </c>
      <c r="AT467" t="s">
        <v>3654</v>
      </c>
    </row>
    <row r="468" spans="2:46">
      <c r="B468" t="str">
        <f>'Final data_for_R_analysis_Dryse'!A614</f>
        <v>Dry</v>
      </c>
      <c r="C468" s="263">
        <f>'Final data_for_R_analysis_Dryse'!B614</f>
        <v>173</v>
      </c>
      <c r="D468" t="s">
        <v>3853</v>
      </c>
      <c r="E468" t="s">
        <v>25</v>
      </c>
      <c r="F468" s="387">
        <v>5</v>
      </c>
      <c r="G468" s="16">
        <f>'Dry_Litterbag Placem_Collection'!E175</f>
        <v>42940</v>
      </c>
      <c r="H468" s="92" t="str">
        <f>'Final data_for_R_analysis_Dryse'!J614</f>
        <v>G307</v>
      </c>
      <c r="I468" t="str">
        <f>'Final data_for_R_analysis_Dryse'!J834</f>
        <v>R473</v>
      </c>
      <c r="J468">
        <f>IFERROR(INDEX('Green_rooibos initial weight'!$C$5:$C$1749,MATCH(H468, 'Green_rooibos initial weight'!$A$5:$A$1749,0)),"")</f>
        <v>1.9810000000000001</v>
      </c>
      <c r="K468">
        <f>IFERROR(INDEX('Green_rooibos initial weight'!$C$5:$C$1749,MATCH(I468, 'Green_rooibos initial weight'!$A$5:$A$1749,0)),"")</f>
        <v>2.302</v>
      </c>
      <c r="L468" s="195">
        <f t="shared" si="77"/>
        <v>1.7312000000000001</v>
      </c>
      <c r="M468" s="240">
        <f>AVERAGE(Ashed_controlls!$K$1:$K$11)</f>
        <v>5.5147656768714146</v>
      </c>
      <c r="N468" s="195">
        <f t="shared" si="72"/>
        <v>1.6357283766020021</v>
      </c>
      <c r="O468" s="195">
        <f t="shared" si="78"/>
        <v>2.0522</v>
      </c>
      <c r="P468" s="240">
        <f>AVERAGE(Ashed_controlls!$K$12:$K$14)</f>
        <v>2.2816647271287041</v>
      </c>
      <c r="Q468" s="195">
        <f t="shared" si="73"/>
        <v>2.0053756764698649</v>
      </c>
      <c r="R468" s="16">
        <f>IF('Dry_Litterbag Placem_Collection'!G175="N.A","",'Dry_Litterbag Placem_Collection'!G175)</f>
        <v>43009</v>
      </c>
      <c r="S468" s="195" t="str">
        <f>IF(IFERROR(INDEX('Both teabags AfterDry'!$D$1:$D$839,MATCH(H468,'Both teabags AfterDry'!$A$1:$A$839,0)),"")="N.A","",(IFERROR(INDEX('Both teabags AfterDry'!$D$1:$D$839,MATCH(H468,'Both teabags AfterDry'!$A$1:$A$839,0)),"")))</f>
        <v/>
      </c>
      <c r="T468" s="195" t="str">
        <f>IF(IFERROR(INDEX('Both teabags AfterDry'!$D$1:$D$839,MATCH(I468,'Both teabags AfterDry'!$A$1:$A$839,0)),"")="N.A","",(IFERROR(INDEX('Both teabags AfterDry'!$D$1:$D$839,MATCH(I468,'Both teabags AfterDry'!$A$1:$A$839,0)),"")))</f>
        <v/>
      </c>
      <c r="U468" s="195" t="str">
        <f t="shared" si="79"/>
        <v/>
      </c>
      <c r="V468" s="195" t="str">
        <f t="shared" si="79"/>
        <v/>
      </c>
      <c r="W468" s="195" t="str">
        <f>IFERROR(INDEX('Ashed teabags dry'!$K$2:$K$821,MATCH(H468,'Ashed teabags dry'!$A$2:$A$821,0)),"")</f>
        <v/>
      </c>
      <c r="X468" s="195" t="str">
        <f>IFERROR(INDEX('Ashed teabags dry'!$K$2:$K$821,MATCH(I468,'Ashed teabags dry'!$A$2:$A$821,0)),"")</f>
        <v/>
      </c>
      <c r="Y468" s="195" t="str">
        <f t="shared" si="74"/>
        <v/>
      </c>
      <c r="Z468" s="195" t="str">
        <f t="shared" si="74"/>
        <v/>
      </c>
      <c r="AA468" s="195" t="str">
        <f t="shared" si="80"/>
        <v/>
      </c>
      <c r="AB468" s="195" t="str">
        <f t="shared" si="81"/>
        <v/>
      </c>
      <c r="AC468" s="195" t="str">
        <f t="shared" si="75"/>
        <v/>
      </c>
      <c r="AD468">
        <f t="shared" si="76"/>
        <v>69</v>
      </c>
      <c r="AE468" s="195" t="str">
        <f t="shared" si="82"/>
        <v/>
      </c>
      <c r="AF468" s="195" t="str">
        <f t="shared" si="83"/>
        <v/>
      </c>
      <c r="AG468" s="255" t="str">
        <f>IF(ISNUMBER(SEARCH("C", 'Dry_Litterbag Placem_Collection'!AD175)),"YES","NO")</f>
        <v>NO</v>
      </c>
      <c r="AH468" s="255" t="str">
        <f>IF(ISNUMBER(SEARCH("H", 'Dry_Litterbag Placem_Collection'!AD175)),"YES","NO")</f>
        <v>NO</v>
      </c>
      <c r="AI468" s="255" t="str">
        <f>IF(ISNUMBER(SEARCH("R", 'Dry_Litterbag Placem_Collection'!AD175)),"YES","NO")</f>
        <v>NO</v>
      </c>
      <c r="AJ468" s="255" t="str">
        <f>IF(ISNUMBER(SEARCH("C", 'Dry_Litterbag Placem_Collection'!AC175)),"YES","NO")</f>
        <v>NO</v>
      </c>
      <c r="AK468" s="255" t="str">
        <f>IF(ISNUMBER(SEARCH("H", 'Dry_Litterbag Placem_Collection'!AC175)),"YES","NO")</f>
        <v>NO</v>
      </c>
      <c r="AL468" s="255" t="str">
        <f>IF(ISNUMBER(SEARCH("R", 'Dry_Litterbag Placem_Collection'!AC175)),"YES","NO")</f>
        <v>NO</v>
      </c>
      <c r="AR468" t="s">
        <v>1743</v>
      </c>
      <c r="AT468" t="s">
        <v>668</v>
      </c>
    </row>
    <row r="469" spans="2:46">
      <c r="B469" t="str">
        <f>'Final data_for_R_analysis_Dryse'!A615</f>
        <v>Dry</v>
      </c>
      <c r="C469" s="263">
        <f>'Final data_for_R_analysis_Dryse'!B615</f>
        <v>174</v>
      </c>
      <c r="D469" t="s">
        <v>3853</v>
      </c>
      <c r="E469" t="s">
        <v>25</v>
      </c>
      <c r="F469" s="387">
        <v>6</v>
      </c>
      <c r="G469" s="16">
        <f>'Dry_Litterbag Placem_Collection'!E176</f>
        <v>42940</v>
      </c>
      <c r="H469" s="92" t="str">
        <f>'Final data_for_R_analysis_Dryse'!J615</f>
        <v>G155</v>
      </c>
      <c r="I469" t="str">
        <f>'Final data_for_R_analysis_Dryse'!J835</f>
        <v>R702</v>
      </c>
      <c r="J469">
        <f>IFERROR(INDEX('Green_rooibos initial weight'!$C$5:$C$1749,MATCH(H469, 'Green_rooibos initial weight'!$A$5:$A$1749,0)),"")</f>
        <v>2.0379999999999998</v>
      </c>
      <c r="K469">
        <f>IFERROR(INDEX('Green_rooibos initial weight'!$C$5:$C$1749,MATCH(I469, 'Green_rooibos initial weight'!$A$5:$A$1749,0)),"")</f>
        <v>2.2010000000000001</v>
      </c>
      <c r="L469" s="195">
        <f t="shared" si="77"/>
        <v>1.7881999999999998</v>
      </c>
      <c r="M469" s="240">
        <f>AVERAGE(Ashed_controlls!$K$1:$K$11)</f>
        <v>5.5147656768714146</v>
      </c>
      <c r="N469" s="195">
        <f t="shared" si="72"/>
        <v>1.6895849601661852</v>
      </c>
      <c r="O469" s="195">
        <f t="shared" si="78"/>
        <v>1.9512</v>
      </c>
      <c r="P469" s="240">
        <f>AVERAGE(Ashed_controlls!$K$12:$K$14)</f>
        <v>2.2816647271287041</v>
      </c>
      <c r="Q469" s="195">
        <f t="shared" si="73"/>
        <v>1.9066801578442647</v>
      </c>
      <c r="R469" s="16">
        <f>IF('Dry_Litterbag Placem_Collection'!G176="N.A","",'Dry_Litterbag Placem_Collection'!G176)</f>
        <v>43009</v>
      </c>
      <c r="S469" s="195">
        <f>IF(IFERROR(INDEX('Both teabags AfterDry'!$D$1:$D$839,MATCH(H469,'Both teabags AfterDry'!$A$1:$A$839,0)),"")="N.A","",(IFERROR(INDEX('Both teabags AfterDry'!$D$1:$D$839,MATCH(H469,'Both teabags AfterDry'!$A$1:$A$839,0)),"")))</f>
        <v>0.78239999999999998</v>
      </c>
      <c r="T469" s="195">
        <f>IF(IFERROR(INDEX('Both teabags AfterDry'!$D$1:$D$839,MATCH(I469,'Both teabags AfterDry'!$A$1:$A$839,0)),"")="N.A","",(IFERROR(INDEX('Both teabags AfterDry'!$D$1:$D$839,MATCH(I469,'Both teabags AfterDry'!$A$1:$A$839,0)),"")))</f>
        <v>1.7047000000000001</v>
      </c>
      <c r="U469" s="195">
        <f t="shared" si="79"/>
        <v>0.63179999999999992</v>
      </c>
      <c r="V469" s="195">
        <f t="shared" si="79"/>
        <v>1.5541</v>
      </c>
      <c r="W469" s="195">
        <f>IFERROR(INDEX('Ashed teabags dry'!$K$2:$K$821,MATCH(H469,'Ashed teabags dry'!$A$2:$A$821,0)),"")</f>
        <v>23.40527577937609</v>
      </c>
      <c r="X469" s="195">
        <f>IFERROR(INDEX('Ashed teabags dry'!$K$2:$K$821,MATCH(I469,'Ashed teabags dry'!$A$2:$A$821,0)),"")</f>
        <v>12.547709923664542</v>
      </c>
      <c r="Y469" s="195">
        <f t="shared" si="74"/>
        <v>0.48392546762590183</v>
      </c>
      <c r="Z469" s="195">
        <f t="shared" si="74"/>
        <v>1.3590960400763294</v>
      </c>
      <c r="AA469" s="195">
        <f t="shared" si="80"/>
        <v>0.71358322958893794</v>
      </c>
      <c r="AB469" s="195">
        <f t="shared" si="81"/>
        <v>0.46781228353099025</v>
      </c>
      <c r="AC469" s="195">
        <f t="shared" si="75"/>
        <v>0.71280756475325879</v>
      </c>
      <c r="AD469">
        <f t="shared" si="76"/>
        <v>69</v>
      </c>
      <c r="AE469" s="195">
        <f t="shared" si="82"/>
        <v>0.152513979110525</v>
      </c>
      <c r="AF469" s="195">
        <f t="shared" si="83"/>
        <v>1.3792356159964934E-2</v>
      </c>
      <c r="AG469" s="255" t="str">
        <f>IF(ISNUMBER(SEARCH("C", 'Dry_Litterbag Placem_Collection'!AD176)),"YES","NO")</f>
        <v>NO</v>
      </c>
      <c r="AH469" s="255" t="str">
        <f>IF(ISNUMBER(SEARCH("H", 'Dry_Litterbag Placem_Collection'!AD176)),"YES","NO")</f>
        <v>NO</v>
      </c>
      <c r="AI469" s="255" t="str">
        <f>IF(ISNUMBER(SEARCH("R", 'Dry_Litterbag Placem_Collection'!AD176)),"YES","NO")</f>
        <v>NO</v>
      </c>
      <c r="AJ469" s="255" t="str">
        <f>IF(ISNUMBER(SEARCH("C", 'Dry_Litterbag Placem_Collection'!AC176)),"YES","NO")</f>
        <v>NO</v>
      </c>
      <c r="AK469" s="255" t="str">
        <f>IF(ISNUMBER(SEARCH("H", 'Dry_Litterbag Placem_Collection'!AC176)),"YES","NO")</f>
        <v>NO</v>
      </c>
      <c r="AL469" s="255" t="str">
        <f>IF(ISNUMBER(SEARCH("R", 'Dry_Litterbag Placem_Collection'!AC176)),"YES","NO")</f>
        <v>NO</v>
      </c>
      <c r="AR469" t="s">
        <v>1895</v>
      </c>
      <c r="AT469" t="s">
        <v>437</v>
      </c>
    </row>
    <row r="470" spans="2:46">
      <c r="B470" t="str">
        <f>'Final data_for_R_analysis_Dryse'!A616</f>
        <v>Dry</v>
      </c>
      <c r="C470" s="263">
        <f>'Final data_for_R_analysis_Dryse'!B616</f>
        <v>175</v>
      </c>
      <c r="D470" t="s">
        <v>3853</v>
      </c>
      <c r="E470" t="s">
        <v>25</v>
      </c>
      <c r="F470" s="387">
        <v>7</v>
      </c>
      <c r="G470" s="16">
        <f>'Dry_Litterbag Placem_Collection'!E177</f>
        <v>42940</v>
      </c>
      <c r="H470" s="92" t="str">
        <f>'Final data_for_R_analysis_Dryse'!J616</f>
        <v>G719</v>
      </c>
      <c r="I470" t="str">
        <f>'Final data_for_R_analysis_Dryse'!J836</f>
        <v>R175</v>
      </c>
      <c r="J470">
        <f>IFERROR(INDEX('Green_rooibos initial weight'!$C$5:$C$1749,MATCH(H470, 'Green_rooibos initial weight'!$A$5:$A$1749,0)),"")</f>
        <v>2.02</v>
      </c>
      <c r="K470">
        <f>IFERROR(INDEX('Green_rooibos initial weight'!$C$5:$C$1749,MATCH(I470, 'Green_rooibos initial weight'!$A$5:$A$1749,0)),"")</f>
        <v>2.2330000000000001</v>
      </c>
      <c r="L470" s="195">
        <f t="shared" si="77"/>
        <v>1.7702</v>
      </c>
      <c r="M470" s="240">
        <f>AVERAGE(Ashed_controlls!$K$1:$K$11)</f>
        <v>5.5147656768714146</v>
      </c>
      <c r="N470" s="195">
        <f t="shared" si="72"/>
        <v>1.6725776179880223</v>
      </c>
      <c r="O470" s="195">
        <f t="shared" si="78"/>
        <v>1.9832000000000001</v>
      </c>
      <c r="P470" s="240">
        <f>AVERAGE(Ashed_controlls!$K$12:$K$14)</f>
        <v>2.2816647271287041</v>
      </c>
      <c r="Q470" s="195">
        <f t="shared" si="73"/>
        <v>1.9379500251315835</v>
      </c>
      <c r="R470" s="16">
        <f>IF('Dry_Litterbag Placem_Collection'!G177="N.A","",'Dry_Litterbag Placem_Collection'!G177)</f>
        <v>43009</v>
      </c>
      <c r="S470" s="195">
        <f>IF(IFERROR(INDEX('Both teabags AfterDry'!$D$1:$D$839,MATCH(H470,'Both teabags AfterDry'!$A$1:$A$839,0)),"")="N.A","",(IFERROR(INDEX('Both teabags AfterDry'!$D$1:$D$839,MATCH(H470,'Both teabags AfterDry'!$A$1:$A$839,0)),"")))</f>
        <v>0.80269999999999997</v>
      </c>
      <c r="T470" s="195">
        <f>IF(IFERROR(INDEX('Both teabags AfterDry'!$D$1:$D$839,MATCH(I470,'Both teabags AfterDry'!$A$1:$A$839,0)),"")="N.A","",(IFERROR(INDEX('Both teabags AfterDry'!$D$1:$D$839,MATCH(I470,'Both teabags AfterDry'!$A$1:$A$839,0)),"")))</f>
        <v>1.8721000000000001</v>
      </c>
      <c r="U470" s="195">
        <f t="shared" si="79"/>
        <v>0.6520999999999999</v>
      </c>
      <c r="V470" s="195">
        <f t="shared" si="79"/>
        <v>1.7215</v>
      </c>
      <c r="W470" s="195">
        <f>IFERROR(INDEX('Ashed teabags dry'!$K$2:$K$821,MATCH(H470,'Ashed teabags dry'!$A$2:$A$821,0)),"")</f>
        <v>20.371275036638856</v>
      </c>
      <c r="X470" s="195">
        <f>IFERROR(INDEX('Ashed teabags dry'!$K$2:$K$821,MATCH(I470,'Ashed teabags dry'!$A$2:$A$821,0)),"")</f>
        <v>11.577028258888308</v>
      </c>
      <c r="Y470" s="195">
        <f t="shared" si="74"/>
        <v>0.51925891548607794</v>
      </c>
      <c r="Z470" s="195">
        <f t="shared" si="74"/>
        <v>1.5222014585232377</v>
      </c>
      <c r="AA470" s="195">
        <f t="shared" si="80"/>
        <v>0.68954569886526107</v>
      </c>
      <c r="AB470" s="195">
        <f t="shared" si="81"/>
        <v>0.45205371232021868</v>
      </c>
      <c r="AC470" s="195">
        <f t="shared" si="75"/>
        <v>0.78546992377674074</v>
      </c>
      <c r="AD470">
        <f t="shared" si="76"/>
        <v>69</v>
      </c>
      <c r="AE470" s="195">
        <f t="shared" si="82"/>
        <v>0.18106211536192274</v>
      </c>
      <c r="AF470" s="195">
        <f t="shared" si="83"/>
        <v>9.3265777740280872E-3</v>
      </c>
      <c r="AG470" s="255" t="str">
        <f>IF(ISNUMBER(SEARCH("C", 'Dry_Litterbag Placem_Collection'!AD177)),"YES","NO")</f>
        <v>NO</v>
      </c>
      <c r="AH470" s="255" t="str">
        <f>IF(ISNUMBER(SEARCH("H", 'Dry_Litterbag Placem_Collection'!AD177)),"YES","NO")</f>
        <v>NO</v>
      </c>
      <c r="AI470" s="255" t="str">
        <f>IF(ISNUMBER(SEARCH("R", 'Dry_Litterbag Placem_Collection'!AD177)),"YES","NO")</f>
        <v>NO</v>
      </c>
      <c r="AJ470" s="255" t="str">
        <f>IF(ISNUMBER(SEARCH("C", 'Dry_Litterbag Placem_Collection'!AC177)),"YES","NO")</f>
        <v>NO</v>
      </c>
      <c r="AK470" s="255" t="str">
        <f>IF(ISNUMBER(SEARCH("H", 'Dry_Litterbag Placem_Collection'!AC177)),"YES","NO")</f>
        <v>NO</v>
      </c>
      <c r="AL470" s="255" t="str">
        <f>IF(ISNUMBER(SEARCH("R", 'Dry_Litterbag Placem_Collection'!AC177)),"YES","NO")</f>
        <v>NO</v>
      </c>
      <c r="AR470" t="s">
        <v>1331</v>
      </c>
      <c r="AT470" t="s">
        <v>966</v>
      </c>
    </row>
    <row r="471" spans="2:46">
      <c r="B471" t="str">
        <f>'Final data_for_R_analysis_Dryse'!A617</f>
        <v>Dry</v>
      </c>
      <c r="C471" s="263">
        <f>'Final data_for_R_analysis_Dryse'!B617</f>
        <v>176</v>
      </c>
      <c r="D471" t="s">
        <v>3853</v>
      </c>
      <c r="E471" t="s">
        <v>25</v>
      </c>
      <c r="F471" s="387">
        <v>8</v>
      </c>
      <c r="G471" s="16">
        <f>'Dry_Litterbag Placem_Collection'!E178</f>
        <v>42940</v>
      </c>
      <c r="H471" s="92" t="str">
        <f>'Final data_for_R_analysis_Dryse'!J617</f>
        <v>G323</v>
      </c>
      <c r="I471" t="str">
        <f>'Final data_for_R_analysis_Dryse'!J837</f>
        <v>R332</v>
      </c>
      <c r="J471">
        <f>IFERROR(INDEX('Green_rooibos initial weight'!$C$5:$C$1749,MATCH(H471, 'Green_rooibos initial weight'!$A$5:$A$1749,0)),"")</f>
        <v>1.97</v>
      </c>
      <c r="K471">
        <f>IFERROR(INDEX('Green_rooibos initial weight'!$C$5:$C$1749,MATCH(I471, 'Green_rooibos initial weight'!$A$5:$A$1749,0)),"")</f>
        <v>2.1880000000000002</v>
      </c>
      <c r="L471" s="195">
        <f t="shared" si="77"/>
        <v>1.7202</v>
      </c>
      <c r="M471" s="240">
        <f>AVERAGE(Ashed_controlls!$K$1:$K$11)</f>
        <v>5.5147656768714146</v>
      </c>
      <c r="N471" s="195">
        <f t="shared" si="72"/>
        <v>1.6253350008264578</v>
      </c>
      <c r="O471" s="195">
        <f t="shared" si="78"/>
        <v>1.9382000000000001</v>
      </c>
      <c r="P471" s="240">
        <f>AVERAGE(Ashed_controlls!$K$12:$K$14)</f>
        <v>2.2816647271287041</v>
      </c>
      <c r="Q471" s="195">
        <f t="shared" si="73"/>
        <v>1.8939767742587916</v>
      </c>
      <c r="R471" s="16">
        <f>IF('Dry_Litterbag Placem_Collection'!G178="N.A","",'Dry_Litterbag Placem_Collection'!G178)</f>
        <v>43009</v>
      </c>
      <c r="S471" s="195">
        <f>IF(IFERROR(INDEX('Both teabags AfterDry'!$D$1:$D$839,MATCH(H471,'Both teabags AfterDry'!$A$1:$A$839,0)),"")="N.A","",(IFERROR(INDEX('Both teabags AfterDry'!$D$1:$D$839,MATCH(H471,'Both teabags AfterDry'!$A$1:$A$839,0)),"")))</f>
        <v>0.74829999999999997</v>
      </c>
      <c r="T471" s="195">
        <f>IF(IFERROR(INDEX('Both teabags AfterDry'!$D$1:$D$839,MATCH(I471,'Both teabags AfterDry'!$A$1:$A$839,0)),"")="N.A","",(IFERROR(INDEX('Both teabags AfterDry'!$D$1:$D$839,MATCH(I471,'Both teabags AfterDry'!$A$1:$A$839,0)),"")))</f>
        <v>1.8720000000000001</v>
      </c>
      <c r="U471" s="195">
        <f t="shared" si="79"/>
        <v>0.5976999999999999</v>
      </c>
      <c r="V471" s="195">
        <f t="shared" si="79"/>
        <v>1.7214</v>
      </c>
      <c r="W471" s="195">
        <f>IFERROR(INDEX('Ashed teabags dry'!$K$2:$K$821,MATCH(H471,'Ashed teabags dry'!$A$2:$A$821,0)),"")</f>
        <v>19.55361475012176</v>
      </c>
      <c r="X471" s="195">
        <f>IFERROR(INDEX('Ashed teabags dry'!$K$2:$K$821,MATCH(I471,'Ashed teabags dry'!$A$2:$A$821,0)),"")</f>
        <v>6.259314456035395</v>
      </c>
      <c r="Y471" s="195">
        <f t="shared" si="74"/>
        <v>0.48082804463852213</v>
      </c>
      <c r="Z471" s="195">
        <f t="shared" si="74"/>
        <v>1.6136521609538068</v>
      </c>
      <c r="AA471" s="195">
        <f t="shared" si="80"/>
        <v>0.7041668059852102</v>
      </c>
      <c r="AB471" s="195">
        <f t="shared" si="81"/>
        <v>0.46163904620408086</v>
      </c>
      <c r="AC471" s="195">
        <f t="shared" si="75"/>
        <v>0.85199152538990874</v>
      </c>
      <c r="AD471">
        <f t="shared" si="76"/>
        <v>69</v>
      </c>
      <c r="AE471" s="195">
        <f t="shared" si="82"/>
        <v>0.16369738006507095</v>
      </c>
      <c r="AF471" s="195">
        <f t="shared" si="83"/>
        <v>5.6024279821994078E-3</v>
      </c>
      <c r="AG471" s="255" t="str">
        <f>IF(ISNUMBER(SEARCH("C", 'Dry_Litterbag Placem_Collection'!AD178)),"YES","NO")</f>
        <v>NO</v>
      </c>
      <c r="AH471" s="255" t="str">
        <f>IF(ISNUMBER(SEARCH("H", 'Dry_Litterbag Placem_Collection'!AD178)),"YES","NO")</f>
        <v>NO</v>
      </c>
      <c r="AI471" s="255" t="str">
        <f>IF(ISNUMBER(SEARCH("R", 'Dry_Litterbag Placem_Collection'!AD178)),"YES","NO")</f>
        <v>NO</v>
      </c>
      <c r="AJ471" s="255" t="str">
        <f>IF(ISNUMBER(SEARCH("C", 'Dry_Litterbag Placem_Collection'!AC178)),"YES","NO")</f>
        <v>NO</v>
      </c>
      <c r="AK471" s="255" t="str">
        <f>IF(ISNUMBER(SEARCH("H", 'Dry_Litterbag Placem_Collection'!AC178)),"YES","NO")</f>
        <v>NO</v>
      </c>
      <c r="AL471" s="255" t="str">
        <f>IF(ISNUMBER(SEARCH("R", 'Dry_Litterbag Placem_Collection'!AC178)),"YES","NO")</f>
        <v>NO</v>
      </c>
      <c r="AR471" t="s">
        <v>1727</v>
      </c>
      <c r="AT471" t="s">
        <v>809</v>
      </c>
    </row>
    <row r="472" spans="2:46">
      <c r="B472" t="str">
        <f>'Final data_for_R_analysis_Dryse'!A618</f>
        <v>Dry</v>
      </c>
      <c r="C472" s="263">
        <f>'Final data_for_R_analysis_Dryse'!B618</f>
        <v>177</v>
      </c>
      <c r="D472" t="s">
        <v>3854</v>
      </c>
      <c r="E472" t="s">
        <v>25</v>
      </c>
      <c r="F472" s="386">
        <v>1</v>
      </c>
      <c r="G472" s="16">
        <f>'Dry_Litterbag Placem_Collection'!E179</f>
        <v>42940</v>
      </c>
      <c r="H472" s="92" t="str">
        <f>'Final data_for_R_analysis_Dryse'!J618</f>
        <v>G14</v>
      </c>
      <c r="I472" t="str">
        <f>'Final data_for_R_analysis_Dryse'!J838</f>
        <v>R279</v>
      </c>
      <c r="J472">
        <f>IFERROR(INDEX('Green_rooibos initial weight'!$C$5:$C$1749,MATCH(H472, 'Green_rooibos initial weight'!$A$5:$A$1749,0)),"")</f>
        <v>2.0750000000000002</v>
      </c>
      <c r="K472">
        <f>IFERROR(INDEX('Green_rooibos initial weight'!$C$5:$C$1749,MATCH(I472, 'Green_rooibos initial weight'!$A$5:$A$1749,0)),"")</f>
        <v>2.161</v>
      </c>
      <c r="L472" s="195">
        <f t="shared" si="77"/>
        <v>1.8252000000000002</v>
      </c>
      <c r="M472" s="240">
        <f>AVERAGE(Ashed_controlls!$K$1:$K$11)</f>
        <v>5.5147656768714146</v>
      </c>
      <c r="N472" s="195">
        <f t="shared" si="72"/>
        <v>1.7245444968657431</v>
      </c>
      <c r="O472" s="195">
        <f t="shared" si="78"/>
        <v>1.9112</v>
      </c>
      <c r="P472" s="240">
        <f>AVERAGE(Ashed_controlls!$K$12:$K$14)</f>
        <v>2.2816647271287041</v>
      </c>
      <c r="Q472" s="195">
        <f t="shared" si="73"/>
        <v>1.8675928237351163</v>
      </c>
      <c r="R472" s="16">
        <f>IF('Dry_Litterbag Placem_Collection'!G179="N.A","",'Dry_Litterbag Placem_Collection'!G179)</f>
        <v>43009</v>
      </c>
      <c r="S472" s="195" t="str">
        <f>IF(IFERROR(INDEX('Both teabags AfterDry'!$D$1:$D$839,MATCH(H472,'Both teabags AfterDry'!$A$1:$A$839,0)),"")="N.A","",(IFERROR(INDEX('Both teabags AfterDry'!$D$1:$D$839,MATCH(H472,'Both teabags AfterDry'!$A$1:$A$839,0)),"")))</f>
        <v/>
      </c>
      <c r="T472" s="195" t="str">
        <f>IF(IFERROR(INDEX('Both teabags AfterDry'!$D$1:$D$839,MATCH(I472,'Both teabags AfterDry'!$A$1:$A$839,0)),"")="N.A","",(IFERROR(INDEX('Both teabags AfterDry'!$D$1:$D$839,MATCH(I472,'Both teabags AfterDry'!$A$1:$A$839,0)),"")))</f>
        <v/>
      </c>
      <c r="U472" s="195" t="str">
        <f t="shared" si="79"/>
        <v/>
      </c>
      <c r="V472" s="195" t="str">
        <f t="shared" si="79"/>
        <v/>
      </c>
      <c r="W472" s="195" t="str">
        <f>IFERROR(INDEX('Ashed teabags dry'!$K$2:$K$821,MATCH(H472,'Ashed teabags dry'!$A$2:$A$821,0)),"")</f>
        <v/>
      </c>
      <c r="X472" s="195" t="str">
        <f>IFERROR(INDEX('Ashed teabags dry'!$K$2:$K$821,MATCH(I472,'Ashed teabags dry'!$A$2:$A$821,0)),"")</f>
        <v/>
      </c>
      <c r="Y472" s="195" t="str">
        <f t="shared" si="74"/>
        <v/>
      </c>
      <c r="Z472" s="195" t="str">
        <f t="shared" si="74"/>
        <v/>
      </c>
      <c r="AA472" s="195" t="str">
        <f t="shared" si="80"/>
        <v/>
      </c>
      <c r="AB472" s="195" t="str">
        <f t="shared" si="81"/>
        <v/>
      </c>
      <c r="AC472" s="195" t="str">
        <f t="shared" si="75"/>
        <v/>
      </c>
      <c r="AD472">
        <f t="shared" si="76"/>
        <v>69</v>
      </c>
      <c r="AE472" s="195" t="str">
        <f t="shared" si="82"/>
        <v/>
      </c>
      <c r="AF472" s="195" t="str">
        <f t="shared" si="83"/>
        <v/>
      </c>
      <c r="AG472" s="255" t="str">
        <f>IF(ISNUMBER(SEARCH("C", 'Dry_Litterbag Placem_Collection'!AD179)),"YES","NO")</f>
        <v>NO</v>
      </c>
      <c r="AH472" s="255" t="str">
        <f>IF(ISNUMBER(SEARCH("H", 'Dry_Litterbag Placem_Collection'!AD179)),"YES","NO")</f>
        <v>NO</v>
      </c>
      <c r="AI472" s="255" t="str">
        <f>IF(ISNUMBER(SEARCH("R", 'Dry_Litterbag Placem_Collection'!AD179)),"YES","NO")</f>
        <v>NO</v>
      </c>
      <c r="AJ472" s="255" t="str">
        <f>IF(ISNUMBER(SEARCH("C", 'Dry_Litterbag Placem_Collection'!AC179)),"YES","NO")</f>
        <v>NO</v>
      </c>
      <c r="AK472" s="255" t="str">
        <f>IF(ISNUMBER(SEARCH("H", 'Dry_Litterbag Placem_Collection'!AC179)),"YES","NO")</f>
        <v>NO</v>
      </c>
      <c r="AL472" s="255" t="str">
        <f>IF(ISNUMBER(SEARCH("R", 'Dry_Litterbag Placem_Collection'!AC179)),"YES","NO")</f>
        <v>NO</v>
      </c>
      <c r="AR472" t="s">
        <v>2036</v>
      </c>
      <c r="AT472" t="s">
        <v>862</v>
      </c>
    </row>
    <row r="473" spans="2:46">
      <c r="B473" t="str">
        <f>'Final data_for_R_analysis_Dryse'!A619</f>
        <v>Dry</v>
      </c>
      <c r="C473" s="263">
        <f>'Final data_for_R_analysis_Dryse'!B619</f>
        <v>178</v>
      </c>
      <c r="D473" t="s">
        <v>3854</v>
      </c>
      <c r="E473" t="s">
        <v>25</v>
      </c>
      <c r="F473" s="386">
        <v>2</v>
      </c>
      <c r="G473" s="16">
        <f>'Dry_Litterbag Placem_Collection'!E180</f>
        <v>42940</v>
      </c>
      <c r="H473" s="92" t="str">
        <f>'Final data_for_R_analysis_Dryse'!J619</f>
        <v>G410</v>
      </c>
      <c r="I473" t="str">
        <f>'Final data_for_R_analysis_Dryse'!J839</f>
        <v>R718</v>
      </c>
      <c r="J473">
        <f>IFERROR(INDEX('Green_rooibos initial weight'!$C$5:$C$1749,MATCH(H473, 'Green_rooibos initial weight'!$A$5:$A$1749,0)),"")</f>
        <v>2.1110000000000002</v>
      </c>
      <c r="K473">
        <f>IFERROR(INDEX('Green_rooibos initial weight'!$C$5:$C$1749,MATCH(I473, 'Green_rooibos initial weight'!$A$5:$A$1749,0)),"")</f>
        <v>2.2050000000000001</v>
      </c>
      <c r="L473" s="195">
        <f t="shared" si="77"/>
        <v>1.8612000000000002</v>
      </c>
      <c r="M473" s="240">
        <f>AVERAGE(Ashed_controlls!$K$1:$K$11)</f>
        <v>5.5147656768714146</v>
      </c>
      <c r="N473" s="195">
        <f t="shared" si="72"/>
        <v>1.7585591812220693</v>
      </c>
      <c r="O473" s="195">
        <f t="shared" si="78"/>
        <v>1.9552</v>
      </c>
      <c r="P473" s="240">
        <f>AVERAGE(Ashed_controlls!$K$12:$K$14)</f>
        <v>2.2816647271287041</v>
      </c>
      <c r="Q473" s="195">
        <f t="shared" si="73"/>
        <v>1.9105888912551796</v>
      </c>
      <c r="R473" s="16">
        <f>IF('Dry_Litterbag Placem_Collection'!G180="N.A","",'Dry_Litterbag Placem_Collection'!G180)</f>
        <v>43009</v>
      </c>
      <c r="S473" s="195">
        <f>IF(IFERROR(INDEX('Both teabags AfterDry'!$D$1:$D$839,MATCH(H473,'Both teabags AfterDry'!$A$1:$A$839,0)),"")="N.A","",(IFERROR(INDEX('Both teabags AfterDry'!$D$1:$D$839,MATCH(H473,'Both teabags AfterDry'!$A$1:$A$839,0)),"")))</f>
        <v>0.71050000000000002</v>
      </c>
      <c r="T473" s="195">
        <f>IF(IFERROR(INDEX('Both teabags AfterDry'!$D$1:$D$839,MATCH(I473,'Both teabags AfterDry'!$A$1:$A$839,0)),"")="N.A","",(IFERROR(INDEX('Both teabags AfterDry'!$D$1:$D$839,MATCH(I473,'Both teabags AfterDry'!$A$1:$A$839,0)),"")))</f>
        <v>1.8359000000000001</v>
      </c>
      <c r="U473" s="195">
        <f t="shared" si="79"/>
        <v>0.55990000000000006</v>
      </c>
      <c r="V473" s="195">
        <f t="shared" si="79"/>
        <v>1.6853</v>
      </c>
      <c r="W473" s="195">
        <f>IFERROR(INDEX('Ashed teabags dry'!$K$2:$K$821,MATCH(H473,'Ashed teabags dry'!$A$2:$A$821,0)),"")</f>
        <v>18.892185954499759</v>
      </c>
      <c r="X473" s="195">
        <f>IFERROR(INDEX('Ashed teabags dry'!$K$2:$K$821,MATCH(I473,'Ashed teabags dry'!$A$2:$A$821,0)),"")</f>
        <v>7.0877531340403506</v>
      </c>
      <c r="Y473" s="195">
        <f t="shared" si="74"/>
        <v>0.45412265084075587</v>
      </c>
      <c r="Z473" s="195">
        <f t="shared" si="74"/>
        <v>1.5658500964320179</v>
      </c>
      <c r="AA473" s="195">
        <f t="shared" si="80"/>
        <v>0.74176436272950785</v>
      </c>
      <c r="AB473" s="195">
        <f t="shared" si="81"/>
        <v>0.48628732568490307</v>
      </c>
      <c r="AC473" s="195">
        <f t="shared" si="75"/>
        <v>0.81956411638262883</v>
      </c>
      <c r="AD473">
        <f t="shared" si="76"/>
        <v>69</v>
      </c>
      <c r="AE473" s="195">
        <f t="shared" si="82"/>
        <v>0.11904469984619015</v>
      </c>
      <c r="AF473" s="195">
        <f t="shared" si="83"/>
        <v>6.7202920825053334E-3</v>
      </c>
      <c r="AG473" s="255" t="str">
        <f>IF(ISNUMBER(SEARCH("C", 'Dry_Litterbag Placem_Collection'!AD180)),"YES","NO")</f>
        <v>NO</v>
      </c>
      <c r="AH473" s="255" t="str">
        <f>IF(ISNUMBER(SEARCH("H", 'Dry_Litterbag Placem_Collection'!AD180)),"YES","NO")</f>
        <v>NO</v>
      </c>
      <c r="AI473" s="255" t="str">
        <f>IF(ISNUMBER(SEARCH("R", 'Dry_Litterbag Placem_Collection'!AD180)),"YES","NO")</f>
        <v>NO</v>
      </c>
      <c r="AJ473" s="255" t="str">
        <f>IF(ISNUMBER(SEARCH("C", 'Dry_Litterbag Placem_Collection'!AC180)),"YES","NO")</f>
        <v>NO</v>
      </c>
      <c r="AK473" s="255" t="str">
        <f>IF(ISNUMBER(SEARCH("H", 'Dry_Litterbag Placem_Collection'!AC180)),"YES","NO")</f>
        <v>NO</v>
      </c>
      <c r="AL473" s="255" t="str">
        <f>IF(ISNUMBER(SEARCH("R", 'Dry_Litterbag Placem_Collection'!AC180)),"YES","NO")</f>
        <v>NO</v>
      </c>
      <c r="AR473" t="s">
        <v>1640</v>
      </c>
      <c r="AT473" t="s">
        <v>421</v>
      </c>
    </row>
    <row r="474" spans="2:46">
      <c r="B474" t="str">
        <f>'Final data_for_R_analysis_Dryse'!A620</f>
        <v>Dry</v>
      </c>
      <c r="C474" s="263">
        <f>'Final data_for_R_analysis_Dryse'!B620</f>
        <v>179</v>
      </c>
      <c r="D474" t="s">
        <v>3854</v>
      </c>
      <c r="E474" t="s">
        <v>25</v>
      </c>
      <c r="F474" s="386">
        <v>3</v>
      </c>
      <c r="G474" s="16">
        <f>'Dry_Litterbag Placem_Collection'!E181</f>
        <v>42940</v>
      </c>
      <c r="H474" s="92" t="str">
        <f>'Final data_for_R_analysis_Dryse'!J620</f>
        <v>G78</v>
      </c>
      <c r="I474" t="str">
        <f>'Final data_for_R_analysis_Dryse'!J840</f>
        <v>R640</v>
      </c>
      <c r="J474">
        <f>IFERROR(INDEX('Green_rooibos initial weight'!$C$5:$C$1749,MATCH(H474, 'Green_rooibos initial weight'!$A$5:$A$1749,0)),"")</f>
        <v>2.0379999999999998</v>
      </c>
      <c r="K474">
        <f>IFERROR(INDEX('Green_rooibos initial weight'!$C$5:$C$1749,MATCH(I474, 'Green_rooibos initial weight'!$A$5:$A$1749,0)),"")</f>
        <v>2.1019999999999999</v>
      </c>
      <c r="L474" s="195">
        <f t="shared" si="77"/>
        <v>1.7881999999999998</v>
      </c>
      <c r="M474" s="240">
        <f>AVERAGE(Ashed_controlls!$K$1:$K$11)</f>
        <v>5.5147656768714146</v>
      </c>
      <c r="N474" s="195">
        <f t="shared" si="72"/>
        <v>1.6895849601661852</v>
      </c>
      <c r="O474" s="195">
        <f t="shared" si="78"/>
        <v>1.8521999999999998</v>
      </c>
      <c r="P474" s="240">
        <f>AVERAGE(Ashed_controlls!$K$12:$K$14)</f>
        <v>2.2816647271287041</v>
      </c>
      <c r="Q474" s="195">
        <f t="shared" si="73"/>
        <v>1.809939005924122</v>
      </c>
      <c r="R474" s="16">
        <f>IF('Dry_Litterbag Placem_Collection'!G181="N.A","",'Dry_Litterbag Placem_Collection'!G181)</f>
        <v>43009</v>
      </c>
      <c r="S474" s="195">
        <f>IF(IFERROR(INDEX('Both teabags AfterDry'!$D$1:$D$839,MATCH(H474,'Both teabags AfterDry'!$A$1:$A$839,0)),"")="N.A","",(IFERROR(INDEX('Both teabags AfterDry'!$D$1:$D$839,MATCH(H474,'Both teabags AfterDry'!$A$1:$A$839,0)),"")))</f>
        <v>0.871</v>
      </c>
      <c r="T474" s="195">
        <f>IF(IFERROR(INDEX('Both teabags AfterDry'!$D$1:$D$839,MATCH(I474,'Both teabags AfterDry'!$A$1:$A$839,0)),"")="N.A","",(IFERROR(INDEX('Both teabags AfterDry'!$D$1:$D$839,MATCH(I474,'Both teabags AfterDry'!$A$1:$A$839,0)),"")))</f>
        <v>1.6580999999999999</v>
      </c>
      <c r="U474" s="195">
        <f t="shared" si="79"/>
        <v>0.72039999999999993</v>
      </c>
      <c r="V474" s="195">
        <f t="shared" si="79"/>
        <v>1.5074999999999998</v>
      </c>
      <c r="W474" s="195">
        <f>IFERROR(INDEX('Ashed teabags dry'!$K$2:$K$821,MATCH(H474,'Ashed teabags dry'!$A$2:$A$821,0)),"")</f>
        <v>31.412103746397996</v>
      </c>
      <c r="X474" s="195">
        <f>IFERROR(INDEX('Ashed teabags dry'!$K$2:$K$821,MATCH(I474,'Ashed teabags dry'!$A$2:$A$821,0)),"")</f>
        <v>15.844901866922525</v>
      </c>
      <c r="Y474" s="195">
        <f t="shared" si="74"/>
        <v>0.49410720461094881</v>
      </c>
      <c r="Z474" s="195">
        <f t="shared" si="74"/>
        <v>1.2686381043561428</v>
      </c>
      <c r="AA474" s="195">
        <f t="shared" si="80"/>
        <v>0.70755705320533324</v>
      </c>
      <c r="AB474" s="195">
        <f t="shared" si="81"/>
        <v>0.46386163107998096</v>
      </c>
      <c r="AC474" s="195">
        <f t="shared" si="75"/>
        <v>0.7009286501941534</v>
      </c>
      <c r="AD474">
        <f t="shared" si="76"/>
        <v>69</v>
      </c>
      <c r="AE474" s="195">
        <f t="shared" si="82"/>
        <v>0.15967095818844035</v>
      </c>
      <c r="AF474" s="195">
        <f t="shared" si="83"/>
        <v>1.4998734144761102E-2</v>
      </c>
      <c r="AG474" s="255" t="str">
        <f>IF(ISNUMBER(SEARCH("C", 'Dry_Litterbag Placem_Collection'!AD181)),"YES","NO")</f>
        <v>NO</v>
      </c>
      <c r="AH474" s="255" t="str">
        <f>IF(ISNUMBER(SEARCH("H", 'Dry_Litterbag Placem_Collection'!AD181)),"YES","NO")</f>
        <v>NO</v>
      </c>
      <c r="AI474" s="255" t="str">
        <f>IF(ISNUMBER(SEARCH("R", 'Dry_Litterbag Placem_Collection'!AD181)),"YES","NO")</f>
        <v>NO</v>
      </c>
      <c r="AJ474" s="255" t="str">
        <f>IF(ISNUMBER(SEARCH("C", 'Dry_Litterbag Placem_Collection'!AC181)),"YES","NO")</f>
        <v>NO</v>
      </c>
      <c r="AK474" s="255" t="str">
        <f>IF(ISNUMBER(SEARCH("H", 'Dry_Litterbag Placem_Collection'!AC181)),"YES","NO")</f>
        <v>NO</v>
      </c>
      <c r="AL474" s="255" t="str">
        <f>IF(ISNUMBER(SEARCH("R", 'Dry_Litterbag Placem_Collection'!AC181)),"YES","NO")</f>
        <v>NO</v>
      </c>
      <c r="AR474" t="s">
        <v>1972</v>
      </c>
      <c r="AT474" t="s">
        <v>499</v>
      </c>
    </row>
    <row r="475" spans="2:46">
      <c r="B475" t="str">
        <f>'Final data_for_R_analysis_Dryse'!A621</f>
        <v>Dry</v>
      </c>
      <c r="C475" s="263">
        <f>'Final data_for_R_analysis_Dryse'!B621</f>
        <v>180</v>
      </c>
      <c r="D475" t="s">
        <v>3854</v>
      </c>
      <c r="E475" t="s">
        <v>25</v>
      </c>
      <c r="F475" s="387">
        <v>4</v>
      </c>
      <c r="G475" s="16">
        <f>'Dry_Litterbag Placem_Collection'!E182</f>
        <v>42940</v>
      </c>
      <c r="H475" s="92" t="str">
        <f>'Final data_for_R_analysis_Dryse'!J621</f>
        <v>G422</v>
      </c>
      <c r="I475" t="str">
        <f>'Final data_for_R_analysis_Dryse'!J841</f>
        <v>R669</v>
      </c>
      <c r="J475">
        <f>IFERROR(INDEX('Green_rooibos initial weight'!$C$5:$C$1749,MATCH(H475, 'Green_rooibos initial weight'!$A$5:$A$1749,0)),"")</f>
        <v>2.0049999999999999</v>
      </c>
      <c r="K475">
        <f>IFERROR(INDEX('Green_rooibos initial weight'!$C$5:$C$1749,MATCH(I475, 'Green_rooibos initial weight'!$A$5:$A$1749,0)),"")</f>
        <v>2.1480000000000001</v>
      </c>
      <c r="L475" s="195">
        <f t="shared" si="77"/>
        <v>1.7551999999999999</v>
      </c>
      <c r="M475" s="240">
        <f>AVERAGE(Ashed_controlls!$K$1:$K$11)</f>
        <v>5.5147656768714146</v>
      </c>
      <c r="N475" s="195">
        <f t="shared" si="72"/>
        <v>1.6584048328395529</v>
      </c>
      <c r="O475" s="195">
        <f t="shared" si="78"/>
        <v>1.8982000000000001</v>
      </c>
      <c r="P475" s="240">
        <f>AVERAGE(Ashed_controlls!$K$12:$K$14)</f>
        <v>2.2816647271287041</v>
      </c>
      <c r="Q475" s="195">
        <f t="shared" si="73"/>
        <v>1.854889440149643</v>
      </c>
      <c r="R475" s="16">
        <f>IF('Dry_Litterbag Placem_Collection'!G182="N.A","",'Dry_Litterbag Placem_Collection'!G182)</f>
        <v>43009</v>
      </c>
      <c r="S475" s="195">
        <f>IF(IFERROR(INDEX('Both teabags AfterDry'!$D$1:$D$839,MATCH(H475,'Both teabags AfterDry'!$A$1:$A$839,0)),"")="N.A","",(IFERROR(INDEX('Both teabags AfterDry'!$D$1:$D$839,MATCH(H475,'Both teabags AfterDry'!$A$1:$A$839,0)),"")))</f>
        <v>0.751</v>
      </c>
      <c r="T475" s="195">
        <f>IF(IFERROR(INDEX('Both teabags AfterDry'!$D$1:$D$839,MATCH(I475,'Both teabags AfterDry'!$A$1:$A$839,0)),"")="N.A","",(IFERROR(INDEX('Both teabags AfterDry'!$D$1:$D$839,MATCH(I475,'Both teabags AfterDry'!$A$1:$A$839,0)),"")))</f>
        <v>1.6716</v>
      </c>
      <c r="U475" s="195">
        <f t="shared" si="79"/>
        <v>0.60040000000000004</v>
      </c>
      <c r="V475" s="195">
        <f t="shared" si="79"/>
        <v>1.5209999999999999</v>
      </c>
      <c r="W475" s="195">
        <f>IFERROR(INDEX('Ashed teabags dry'!$K$2:$K$821,MATCH(H475,'Ashed teabags dry'!$A$2:$A$821,0)),"")</f>
        <v>20.896226415094358</v>
      </c>
      <c r="X475" s="195">
        <f>IFERROR(INDEX('Ashed teabags dry'!$K$2:$K$821,MATCH(I475,'Ashed teabags dry'!$A$2:$A$821,0)),"")</f>
        <v>6.0721062618585453</v>
      </c>
      <c r="Y475" s="195">
        <f t="shared" si="74"/>
        <v>0.4749390566037735</v>
      </c>
      <c r="Z475" s="195">
        <f t="shared" si="74"/>
        <v>1.4286432637571314</v>
      </c>
      <c r="AA475" s="195">
        <f t="shared" si="80"/>
        <v>0.71361693646865842</v>
      </c>
      <c r="AB475" s="195">
        <f t="shared" si="81"/>
        <v>0.46783438115284975</v>
      </c>
      <c r="AC475" s="195">
        <f t="shared" si="75"/>
        <v>0.77020399859620514</v>
      </c>
      <c r="AD475">
        <f t="shared" si="76"/>
        <v>69</v>
      </c>
      <c r="AE475" s="195">
        <f t="shared" si="82"/>
        <v>0.15247394718686647</v>
      </c>
      <c r="AF475" s="195">
        <f t="shared" si="83"/>
        <v>9.7924989382486369E-3</v>
      </c>
      <c r="AG475" s="255" t="str">
        <f>IF(ISNUMBER(SEARCH("C", 'Dry_Litterbag Placem_Collection'!AD182)),"YES","NO")</f>
        <v>NO</v>
      </c>
      <c r="AH475" s="255" t="str">
        <f>IF(ISNUMBER(SEARCH("H", 'Dry_Litterbag Placem_Collection'!AD182)),"YES","NO")</f>
        <v>NO</v>
      </c>
      <c r="AI475" s="255" t="str">
        <f>IF(ISNUMBER(SEARCH("R", 'Dry_Litterbag Placem_Collection'!AD182)),"YES","NO")</f>
        <v>NO</v>
      </c>
      <c r="AJ475" s="255" t="str">
        <f>IF(ISNUMBER(SEARCH("C", 'Dry_Litterbag Placem_Collection'!AC182)),"YES","NO")</f>
        <v>NO</v>
      </c>
      <c r="AK475" s="255" t="str">
        <f>IF(ISNUMBER(SEARCH("H", 'Dry_Litterbag Placem_Collection'!AC182)),"YES","NO")</f>
        <v>NO</v>
      </c>
      <c r="AL475" s="255" t="str">
        <f>IF(ISNUMBER(SEARCH("R", 'Dry_Litterbag Placem_Collection'!AC182)),"YES","NO")</f>
        <v>NO</v>
      </c>
      <c r="AR475" t="s">
        <v>1628</v>
      </c>
      <c r="AT475" t="s">
        <v>470</v>
      </c>
    </row>
    <row r="476" spans="2:46">
      <c r="B476" t="str">
        <f>'Final data_for_R_analysis_Dryse'!A622</f>
        <v>Dry</v>
      </c>
      <c r="C476" s="263">
        <f>'Final data_for_R_analysis_Dryse'!B622</f>
        <v>181</v>
      </c>
      <c r="D476" t="s">
        <v>3854</v>
      </c>
      <c r="E476" t="s">
        <v>25</v>
      </c>
      <c r="F476" s="387">
        <v>5</v>
      </c>
      <c r="G476" s="16">
        <f>'Dry_Litterbag Placem_Collection'!E183</f>
        <v>42940</v>
      </c>
      <c r="H476" s="92" t="str">
        <f>'Final data_for_R_analysis_Dryse'!J622</f>
        <v>G870</v>
      </c>
      <c r="I476" t="str">
        <f>'Final data_for_R_analysis_Dryse'!J842</f>
        <v>R170</v>
      </c>
      <c r="J476">
        <f>IFERROR(INDEX('Green_rooibos initial weight'!$C$5:$C$1749,MATCH(H476, 'Green_rooibos initial weight'!$A$5:$A$1749,0)),"")</f>
        <v>1.972</v>
      </c>
      <c r="K476">
        <f>IFERROR(INDEX('Green_rooibos initial weight'!$C$5:$C$1749,MATCH(I476, 'Green_rooibos initial weight'!$A$5:$A$1749,0)),"")</f>
        <v>2.1120000000000001</v>
      </c>
      <c r="L476" s="195">
        <f t="shared" si="77"/>
        <v>1.7222</v>
      </c>
      <c r="M476" s="240">
        <f>AVERAGE(Ashed_controlls!$K$1:$K$11)</f>
        <v>5.5147656768714146</v>
      </c>
      <c r="N476" s="195">
        <f t="shared" si="72"/>
        <v>1.6272247055129205</v>
      </c>
      <c r="O476" s="195">
        <f t="shared" si="78"/>
        <v>1.8622000000000001</v>
      </c>
      <c r="P476" s="240">
        <f>AVERAGE(Ashed_controlls!$K$12:$K$14)</f>
        <v>2.2816647271287041</v>
      </c>
      <c r="Q476" s="195">
        <f t="shared" si="73"/>
        <v>1.8197108394514094</v>
      </c>
      <c r="R476" s="16">
        <f>IF('Dry_Litterbag Placem_Collection'!G183="N.A","",'Dry_Litterbag Placem_Collection'!G183)</f>
        <v>43009</v>
      </c>
      <c r="S476" s="195">
        <f>IF(IFERROR(INDEX('Both teabags AfterDry'!$D$1:$D$839,MATCH(H476,'Both teabags AfterDry'!$A$1:$A$839,0)),"")="N.A","",(IFERROR(INDEX('Both teabags AfterDry'!$D$1:$D$839,MATCH(H476,'Both teabags AfterDry'!$A$1:$A$839,0)),"")))</f>
        <v>0.75219999999999998</v>
      </c>
      <c r="T476" s="195">
        <f>IF(IFERROR(INDEX('Both teabags AfterDry'!$D$1:$D$839,MATCH(I476,'Both teabags AfterDry'!$A$1:$A$839,0)),"")="N.A","",(IFERROR(INDEX('Both teabags AfterDry'!$D$1:$D$839,MATCH(I476,'Both teabags AfterDry'!$A$1:$A$839,0)),"")))</f>
        <v>1.7410000000000001</v>
      </c>
      <c r="U476" s="195">
        <f t="shared" si="79"/>
        <v>0.60159999999999991</v>
      </c>
      <c r="V476" s="195">
        <f t="shared" si="79"/>
        <v>1.5904</v>
      </c>
      <c r="W476" s="195">
        <f>IFERROR(INDEX('Ashed teabags dry'!$K$2:$K$821,MATCH(H476,'Ashed teabags dry'!$A$2:$A$821,0)),"")</f>
        <v>17.470472440944899</v>
      </c>
      <c r="X476" s="195">
        <f>IFERROR(INDEX('Ashed teabags dry'!$K$2:$K$821,MATCH(I476,'Ashed teabags dry'!$A$2:$A$821,0)),"")</f>
        <v>7.9387186629519642</v>
      </c>
      <c r="Y476" s="195">
        <f t="shared" si="74"/>
        <v>0.49649763779527545</v>
      </c>
      <c r="Z476" s="195">
        <f t="shared" si="74"/>
        <v>1.464142618384412</v>
      </c>
      <c r="AA476" s="195">
        <f t="shared" si="80"/>
        <v>0.69488071554397068</v>
      </c>
      <c r="AB476" s="195">
        <f t="shared" si="81"/>
        <v>0.45555125294569104</v>
      </c>
      <c r="AC476" s="195">
        <f t="shared" si="75"/>
        <v>0.80460180081457822</v>
      </c>
      <c r="AD476">
        <f t="shared" si="76"/>
        <v>69</v>
      </c>
      <c r="AE476" s="195">
        <f t="shared" si="82"/>
        <v>0.17472599104041486</v>
      </c>
      <c r="AF476" s="195">
        <f t="shared" si="83"/>
        <v>8.119392817843225E-3</v>
      </c>
      <c r="AG476" s="255" t="str">
        <f>IF(ISNUMBER(SEARCH("C", 'Dry_Litterbag Placem_Collection'!AD183)),"YES","NO")</f>
        <v>NO</v>
      </c>
      <c r="AH476" s="255" t="str">
        <f>IF(ISNUMBER(SEARCH("H", 'Dry_Litterbag Placem_Collection'!AD183)),"YES","NO")</f>
        <v>NO</v>
      </c>
      <c r="AI476" s="255" t="str">
        <f>IF(ISNUMBER(SEARCH("R", 'Dry_Litterbag Placem_Collection'!AD183)),"YES","NO")</f>
        <v>NO</v>
      </c>
      <c r="AJ476" s="255" t="str">
        <f>IF(ISNUMBER(SEARCH("C", 'Dry_Litterbag Placem_Collection'!AC183)),"YES","NO")</f>
        <v>NO</v>
      </c>
      <c r="AK476" s="255" t="str">
        <f>IF(ISNUMBER(SEARCH("H", 'Dry_Litterbag Placem_Collection'!AC183)),"YES","NO")</f>
        <v>NO</v>
      </c>
      <c r="AL476" s="255" t="str">
        <f>IF(ISNUMBER(SEARCH("R", 'Dry_Litterbag Placem_Collection'!AC183)),"YES","NO")</f>
        <v>NO</v>
      </c>
      <c r="AR476" t="s">
        <v>1180</v>
      </c>
      <c r="AT476" t="s">
        <v>971</v>
      </c>
    </row>
    <row r="477" spans="2:46">
      <c r="B477" t="str">
        <f>'Final data_for_R_analysis_Dryse'!A623</f>
        <v>Dry</v>
      </c>
      <c r="C477" s="263">
        <f>'Final data_for_R_analysis_Dryse'!B623</f>
        <v>182</v>
      </c>
      <c r="D477" t="s">
        <v>3854</v>
      </c>
      <c r="E477" t="s">
        <v>25</v>
      </c>
      <c r="F477" s="387">
        <v>6</v>
      </c>
      <c r="G477" s="16">
        <f>'Dry_Litterbag Placem_Collection'!E184</f>
        <v>42940</v>
      </c>
      <c r="H477" s="92" t="str">
        <f>'Final data_for_R_analysis_Dryse'!J623</f>
        <v>G136</v>
      </c>
      <c r="I477" t="str">
        <f>'Final data_for_R_analysis_Dryse'!J843</f>
        <v>R697</v>
      </c>
      <c r="J477">
        <f>IFERROR(INDEX('Green_rooibos initial weight'!$C$5:$C$1749,MATCH(H477, 'Green_rooibos initial weight'!$A$5:$A$1749,0)),"")</f>
        <v>1.9430000000000001</v>
      </c>
      <c r="K477">
        <f>IFERROR(INDEX('Green_rooibos initial weight'!$C$5:$C$1749,MATCH(I477, 'Green_rooibos initial weight'!$A$5:$A$1749,0)),"")</f>
        <v>2.133</v>
      </c>
      <c r="L477" s="195">
        <f t="shared" si="77"/>
        <v>1.6932</v>
      </c>
      <c r="M477" s="240">
        <f>AVERAGE(Ashed_controlls!$K$1:$K$11)</f>
        <v>5.5147656768714146</v>
      </c>
      <c r="N477" s="195">
        <f t="shared" si="72"/>
        <v>1.5998239875592133</v>
      </c>
      <c r="O477" s="195">
        <f t="shared" si="78"/>
        <v>1.8832</v>
      </c>
      <c r="P477" s="240">
        <f>AVERAGE(Ashed_controlls!$K$12:$K$14)</f>
        <v>2.2816647271287041</v>
      </c>
      <c r="Q477" s="195">
        <f t="shared" si="73"/>
        <v>1.8402316898587123</v>
      </c>
      <c r="R477" s="16">
        <f>IF('Dry_Litterbag Placem_Collection'!G184="N.A","",'Dry_Litterbag Placem_Collection'!G184)</f>
        <v>43009</v>
      </c>
      <c r="S477" s="195">
        <f>IF(IFERROR(INDEX('Both teabags AfterDry'!$D$1:$D$839,MATCH(H477,'Both teabags AfterDry'!$A$1:$A$839,0)),"")="N.A","",(IFERROR(INDEX('Both teabags AfterDry'!$D$1:$D$839,MATCH(H477,'Both teabags AfterDry'!$A$1:$A$839,0)),"")))</f>
        <v>0.71589999999999998</v>
      </c>
      <c r="T477" s="195">
        <f>IF(IFERROR(INDEX('Both teabags AfterDry'!$D$1:$D$839,MATCH(I477,'Both teabags AfterDry'!$A$1:$A$839,0)),"")="N.A","",(IFERROR(INDEX('Both teabags AfterDry'!$D$1:$D$839,MATCH(I477,'Both teabags AfterDry'!$A$1:$A$839,0)),"")))</f>
        <v>1.8089</v>
      </c>
      <c r="U477" s="195">
        <f t="shared" si="79"/>
        <v>0.56529999999999991</v>
      </c>
      <c r="V477" s="195">
        <f t="shared" si="79"/>
        <v>1.6582999999999999</v>
      </c>
      <c r="W477" s="195">
        <f>IFERROR(INDEX('Ashed teabags dry'!$K$2:$K$821,MATCH(H477,'Ashed teabags dry'!$A$2:$A$821,0)),"")</f>
        <v>14.444983034415532</v>
      </c>
      <c r="X477" s="195">
        <f>IFERROR(INDEX('Ashed teabags dry'!$K$2:$K$821,MATCH(I477,'Ashed teabags dry'!$A$2:$A$821,0)),"")</f>
        <v>9.0456806874716023</v>
      </c>
      <c r="Y477" s="195">
        <f t="shared" si="74"/>
        <v>0.48364251090644894</v>
      </c>
      <c r="Z477" s="195">
        <f t="shared" si="74"/>
        <v>1.5082954771596584</v>
      </c>
      <c r="AA477" s="195">
        <f t="shared" si="80"/>
        <v>0.69769017425202962</v>
      </c>
      <c r="AB477" s="195">
        <f t="shared" si="81"/>
        <v>0.45739308335762519</v>
      </c>
      <c r="AC477" s="195">
        <f t="shared" si="75"/>
        <v>0.819622597236906</v>
      </c>
      <c r="AD477">
        <f t="shared" si="76"/>
        <v>69</v>
      </c>
      <c r="AE477" s="195">
        <f t="shared" si="82"/>
        <v>0.17138934174343268</v>
      </c>
      <c r="AF477" s="195">
        <f t="shared" si="83"/>
        <v>7.2676673419628073E-3</v>
      </c>
      <c r="AG477" s="255" t="str">
        <f>IF(ISNUMBER(SEARCH("C", 'Dry_Litterbag Placem_Collection'!AD184)),"YES","NO")</f>
        <v>NO</v>
      </c>
      <c r="AH477" s="255" t="str">
        <f>IF(ISNUMBER(SEARCH("H", 'Dry_Litterbag Placem_Collection'!AD184)),"YES","NO")</f>
        <v>NO</v>
      </c>
      <c r="AI477" s="255" t="str">
        <f>IF(ISNUMBER(SEARCH("R", 'Dry_Litterbag Placem_Collection'!AD184)),"YES","NO")</f>
        <v>NO</v>
      </c>
      <c r="AJ477" s="255" t="str">
        <f>IF(ISNUMBER(SEARCH("C", 'Dry_Litterbag Placem_Collection'!AC184)),"YES","NO")</f>
        <v>NO</v>
      </c>
      <c r="AK477" s="255" t="str">
        <f>IF(ISNUMBER(SEARCH("H", 'Dry_Litterbag Placem_Collection'!AC184)),"YES","NO")</f>
        <v>NO</v>
      </c>
      <c r="AL477" s="255" t="str">
        <f>IF(ISNUMBER(SEARCH("R", 'Dry_Litterbag Placem_Collection'!AC184)),"YES","NO")</f>
        <v>NO</v>
      </c>
      <c r="AR477" t="s">
        <v>1914</v>
      </c>
      <c r="AT477" t="s">
        <v>442</v>
      </c>
    </row>
    <row r="478" spans="2:46">
      <c r="B478" t="str">
        <f>'Final data_for_R_analysis_Dryse'!A624</f>
        <v>Dry</v>
      </c>
      <c r="C478" s="263">
        <f>'Final data_for_R_analysis_Dryse'!B624</f>
        <v>183</v>
      </c>
      <c r="D478" t="s">
        <v>3854</v>
      </c>
      <c r="E478" t="s">
        <v>25</v>
      </c>
      <c r="F478" s="387">
        <v>7</v>
      </c>
      <c r="G478" s="16">
        <f>'Dry_Litterbag Placem_Collection'!E185</f>
        <v>0</v>
      </c>
      <c r="H478" s="92" t="str">
        <f>'Final data_for_R_analysis_Dryse'!J624</f>
        <v/>
      </c>
      <c r="I478" t="str">
        <f>'Final data_for_R_analysis_Dryse'!J844</f>
        <v/>
      </c>
      <c r="J478" t="str">
        <f>IFERROR(INDEX('Green_rooibos initial weight'!$C$5:$C$1749,MATCH(H478, 'Green_rooibos initial weight'!$A$5:$A$1749,0)),"")</f>
        <v/>
      </c>
      <c r="K478" t="str">
        <f>IFERROR(INDEX('Green_rooibos initial weight'!$C$5:$C$1749,MATCH(I478, 'Green_rooibos initial weight'!$A$5:$A$1749,0)),"")</f>
        <v/>
      </c>
      <c r="L478" s="195" t="str">
        <f t="shared" si="77"/>
        <v/>
      </c>
      <c r="M478" s="240">
        <f>AVERAGE(Ashed_controlls!$K$1:$K$11)</f>
        <v>5.5147656768714146</v>
      </c>
      <c r="N478" s="195" t="str">
        <f t="shared" si="72"/>
        <v/>
      </c>
      <c r="O478" s="195" t="str">
        <f t="shared" si="78"/>
        <v/>
      </c>
      <c r="P478" s="240">
        <f>AVERAGE(Ashed_controlls!$K$12:$K$14)</f>
        <v>2.2816647271287041</v>
      </c>
      <c r="Q478" s="195" t="str">
        <f t="shared" si="73"/>
        <v/>
      </c>
      <c r="R478" s="16">
        <f>IF('Dry_Litterbag Placem_Collection'!G185="N.A","",'Dry_Litterbag Placem_Collection'!G185)</f>
        <v>0</v>
      </c>
      <c r="S478" s="195" t="str">
        <f>IF(IFERROR(INDEX('Both teabags AfterDry'!$D$1:$D$839,MATCH(H478,'Both teabags AfterDry'!$A$1:$A$839,0)),"")="N.A","",(IFERROR(INDEX('Both teabags AfterDry'!$D$1:$D$839,MATCH(H478,'Both teabags AfterDry'!$A$1:$A$839,0)),"")))</f>
        <v/>
      </c>
      <c r="T478" s="195" t="str">
        <f>IF(IFERROR(INDEX('Both teabags AfterDry'!$D$1:$D$839,MATCH(I478,'Both teabags AfterDry'!$A$1:$A$839,0)),"")="N.A","",(IFERROR(INDEX('Both teabags AfterDry'!$D$1:$D$839,MATCH(I478,'Both teabags AfterDry'!$A$1:$A$839,0)),"")))</f>
        <v/>
      </c>
      <c r="U478" s="195" t="str">
        <f t="shared" si="79"/>
        <v/>
      </c>
      <c r="V478" s="195" t="str">
        <f t="shared" si="79"/>
        <v/>
      </c>
      <c r="W478" s="195" t="str">
        <f>IFERROR(INDEX('Ashed teabags dry'!$K$2:$K$821,MATCH(H478,'Ashed teabags dry'!$A$2:$A$821,0)),"")</f>
        <v/>
      </c>
      <c r="X478" s="195" t="str">
        <f>IFERROR(INDEX('Ashed teabags dry'!$K$2:$K$821,MATCH(I478,'Ashed teabags dry'!$A$2:$A$821,0)),"")</f>
        <v/>
      </c>
      <c r="Y478" s="195" t="str">
        <f t="shared" si="74"/>
        <v/>
      </c>
      <c r="Z478" s="195" t="str">
        <f t="shared" si="74"/>
        <v/>
      </c>
      <c r="AA478" s="195" t="str">
        <f t="shared" si="80"/>
        <v/>
      </c>
      <c r="AB478" s="195" t="str">
        <f t="shared" si="81"/>
        <v/>
      </c>
      <c r="AC478" s="195" t="str">
        <f t="shared" si="75"/>
        <v/>
      </c>
      <c r="AD478" t="str">
        <f t="shared" si="76"/>
        <v/>
      </c>
      <c r="AE478" s="195" t="str">
        <f t="shared" si="82"/>
        <v/>
      </c>
      <c r="AF478" s="195" t="str">
        <f t="shared" si="83"/>
        <v/>
      </c>
      <c r="AG478" s="255" t="str">
        <f>IF(ISNUMBER(SEARCH("C", 'Dry_Litterbag Placem_Collection'!AD185)),"YES","NO")</f>
        <v>NO</v>
      </c>
      <c r="AH478" s="255" t="str">
        <f>IF(ISNUMBER(SEARCH("H", 'Dry_Litterbag Placem_Collection'!AD185)),"YES","NO")</f>
        <v>NO</v>
      </c>
      <c r="AI478" s="255" t="str">
        <f>IF(ISNUMBER(SEARCH("R", 'Dry_Litterbag Placem_Collection'!AD185)),"YES","NO")</f>
        <v>NO</v>
      </c>
      <c r="AJ478" s="255" t="str">
        <f>IF(ISNUMBER(SEARCH("C", 'Dry_Litterbag Placem_Collection'!AC185)),"YES","NO")</f>
        <v>NO</v>
      </c>
      <c r="AK478" s="255" t="str">
        <f>IF(ISNUMBER(SEARCH("H", 'Dry_Litterbag Placem_Collection'!AC185)),"YES","NO")</f>
        <v>NO</v>
      </c>
      <c r="AL478" s="255" t="str">
        <f>IF(ISNUMBER(SEARCH("R", 'Dry_Litterbag Placem_Collection'!AC185)),"YES","NO")</f>
        <v>NO</v>
      </c>
      <c r="AR478" t="s">
        <v>3654</v>
      </c>
      <c r="AT478" t="s">
        <v>3654</v>
      </c>
    </row>
    <row r="479" spans="2:46">
      <c r="B479" t="str">
        <f>'Final data_for_R_analysis_Dryse'!A625</f>
        <v>Dry</v>
      </c>
      <c r="C479" s="263">
        <f>'Final data_for_R_analysis_Dryse'!B625</f>
        <v>184</v>
      </c>
      <c r="D479" t="s">
        <v>3854</v>
      </c>
      <c r="E479" t="s">
        <v>25</v>
      </c>
      <c r="F479" s="387">
        <v>8</v>
      </c>
      <c r="G479" s="16">
        <f>'Dry_Litterbag Placem_Collection'!E186</f>
        <v>42940</v>
      </c>
      <c r="H479" s="92" t="str">
        <f>'Final data_for_R_analysis_Dryse'!J625</f>
        <v>G266</v>
      </c>
      <c r="I479" t="str">
        <f>'Final data_for_R_analysis_Dryse'!J845</f>
        <v>R674</v>
      </c>
      <c r="J479">
        <f>IFERROR(INDEX('Green_rooibos initial weight'!$C$5:$C$1749,MATCH(H479, 'Green_rooibos initial weight'!$A$5:$A$1749,0)),"")</f>
        <v>1.9570000000000001</v>
      </c>
      <c r="K479">
        <f>IFERROR(INDEX('Green_rooibos initial weight'!$C$5:$C$1749,MATCH(I479, 'Green_rooibos initial weight'!$A$5:$A$1749,0)),"")</f>
        <v>2.1629999999999998</v>
      </c>
      <c r="L479" s="195">
        <f t="shared" si="77"/>
        <v>1.7072000000000001</v>
      </c>
      <c r="M479" s="240">
        <f>AVERAGE(Ashed_controlls!$K$1:$K$11)</f>
        <v>5.5147656768714146</v>
      </c>
      <c r="N479" s="195">
        <f t="shared" si="72"/>
        <v>1.6130519203644513</v>
      </c>
      <c r="O479" s="195">
        <f t="shared" si="78"/>
        <v>1.9131999999999998</v>
      </c>
      <c r="P479" s="240">
        <f>AVERAGE(Ashed_controlls!$K$12:$K$14)</f>
        <v>2.2816647271287041</v>
      </c>
      <c r="Q479" s="195">
        <f t="shared" si="73"/>
        <v>1.8695471904405734</v>
      </c>
      <c r="R479" s="16">
        <f>IF('Dry_Litterbag Placem_Collection'!G186="N.A","",'Dry_Litterbag Placem_Collection'!G186)</f>
        <v>43009</v>
      </c>
      <c r="S479" s="195">
        <f>IF(IFERROR(INDEX('Both teabags AfterDry'!$D$1:$D$839,MATCH(H479,'Both teabags AfterDry'!$A$1:$A$839,0)),"")="N.A","",(IFERROR(INDEX('Both teabags AfterDry'!$D$1:$D$839,MATCH(H479,'Both teabags AfterDry'!$A$1:$A$839,0)),"")))</f>
        <v>0.69879999999999998</v>
      </c>
      <c r="T479" s="195">
        <f>IF(IFERROR(INDEX('Both teabags AfterDry'!$D$1:$D$839,MATCH(I479,'Both teabags AfterDry'!$A$1:$A$839,0)),"")="N.A","",(IFERROR(INDEX('Both teabags AfterDry'!$D$1:$D$839,MATCH(I479,'Both teabags AfterDry'!$A$1:$A$839,0)),"")))</f>
        <v>1.6498999999999999</v>
      </c>
      <c r="U479" s="195">
        <f t="shared" si="79"/>
        <v>0.54820000000000002</v>
      </c>
      <c r="V479" s="195">
        <f t="shared" si="79"/>
        <v>1.4992999999999999</v>
      </c>
      <c r="W479" s="195">
        <f>IFERROR(INDEX('Ashed teabags dry'!$K$2:$K$821,MATCH(H479,'Ashed teabags dry'!$A$2:$A$821,0)),"")</f>
        <v>29.369282619161797</v>
      </c>
      <c r="X479" s="195">
        <f>IFERROR(INDEX('Ashed teabags dry'!$K$2:$K$821,MATCH(I479,'Ashed teabags dry'!$A$2:$A$821,0)),"")</f>
        <v>8.2802547770705939</v>
      </c>
      <c r="Y479" s="195">
        <f t="shared" si="74"/>
        <v>0.38719759268175502</v>
      </c>
      <c r="Z479" s="195">
        <f t="shared" si="74"/>
        <v>1.3751541401273806</v>
      </c>
      <c r="AA479" s="195">
        <f t="shared" si="80"/>
        <v>0.75995962201001444</v>
      </c>
      <c r="AB479" s="195">
        <f t="shared" si="81"/>
        <v>0.498215809203715</v>
      </c>
      <c r="AC479" s="195">
        <f t="shared" si="75"/>
        <v>0.73555465577914336</v>
      </c>
      <c r="AD479">
        <f t="shared" si="76"/>
        <v>69</v>
      </c>
      <c r="AE479" s="195">
        <f t="shared" si="82"/>
        <v>9.743512825413958E-2</v>
      </c>
      <c r="AF479" s="195">
        <f t="shared" si="83"/>
        <v>1.0966574201511614E-2</v>
      </c>
      <c r="AG479" s="255" t="str">
        <f>IF(ISNUMBER(SEARCH("C", 'Dry_Litterbag Placem_Collection'!AD186)),"YES","NO")</f>
        <v>NO</v>
      </c>
      <c r="AH479" s="255" t="str">
        <f>IF(ISNUMBER(SEARCH("H", 'Dry_Litterbag Placem_Collection'!AD186)),"YES","NO")</f>
        <v>NO</v>
      </c>
      <c r="AI479" s="255" t="str">
        <f>IF(ISNUMBER(SEARCH("R", 'Dry_Litterbag Placem_Collection'!AD186)),"YES","NO")</f>
        <v>NO</v>
      </c>
      <c r="AJ479" s="255" t="str">
        <f>IF(ISNUMBER(SEARCH("C", 'Dry_Litterbag Placem_Collection'!AC186)),"YES","NO")</f>
        <v>NO</v>
      </c>
      <c r="AK479" s="255" t="str">
        <f>IF(ISNUMBER(SEARCH("H", 'Dry_Litterbag Placem_Collection'!AC186)),"YES","NO")</f>
        <v>NO</v>
      </c>
      <c r="AL479" s="255" t="str">
        <f>IF(ISNUMBER(SEARCH("R", 'Dry_Litterbag Placem_Collection'!AC186)),"YES","NO")</f>
        <v>NO</v>
      </c>
      <c r="AR479" t="s">
        <v>1784</v>
      </c>
      <c r="AT479" t="s">
        <v>465</v>
      </c>
    </row>
    <row r="480" spans="2:46">
      <c r="B480" t="str">
        <f>'Final data_for_R_analysis_Dryse'!A626</f>
        <v>Dry</v>
      </c>
      <c r="C480" s="263">
        <f>'Final data_for_R_analysis_Dryse'!B626</f>
        <v>185</v>
      </c>
      <c r="D480" t="s">
        <v>3855</v>
      </c>
      <c r="E480" t="s">
        <v>25</v>
      </c>
      <c r="F480" s="386">
        <v>1</v>
      </c>
      <c r="G480" s="16">
        <f>'Dry_Litterbag Placem_Collection'!E187</f>
        <v>42940</v>
      </c>
      <c r="H480" s="92" t="str">
        <f>'Final data_for_R_analysis_Dryse'!J626</f>
        <v>G165</v>
      </c>
      <c r="I480" t="str">
        <f>'Final data_for_R_analysis_Dryse'!J846</f>
        <v>R607</v>
      </c>
      <c r="J480">
        <f>IFERROR(INDEX('Green_rooibos initial weight'!$C$5:$C$1749,MATCH(H480, 'Green_rooibos initial weight'!$A$5:$A$1749,0)),"")</f>
        <v>2.0089999999999999</v>
      </c>
      <c r="K480">
        <f>IFERROR(INDEX('Green_rooibos initial weight'!$C$5:$C$1749,MATCH(I480, 'Green_rooibos initial weight'!$A$5:$A$1749,0)),"")</f>
        <v>2.14</v>
      </c>
      <c r="L480" s="195">
        <f t="shared" si="77"/>
        <v>1.7591999999999999</v>
      </c>
      <c r="M480" s="240">
        <f>AVERAGE(Ashed_controlls!$K$1:$K$11)</f>
        <v>5.5147656768714146</v>
      </c>
      <c r="N480" s="195">
        <f t="shared" si="72"/>
        <v>1.662184242212478</v>
      </c>
      <c r="O480" s="195">
        <f t="shared" si="78"/>
        <v>1.8902000000000001</v>
      </c>
      <c r="P480" s="240">
        <f>AVERAGE(Ashed_controlls!$K$12:$K$14)</f>
        <v>2.2816647271287041</v>
      </c>
      <c r="Q480" s="195">
        <f t="shared" si="73"/>
        <v>1.8470719733278134</v>
      </c>
      <c r="R480" s="16">
        <f>IF('Dry_Litterbag Placem_Collection'!G187="N.A","",'Dry_Litterbag Placem_Collection'!G187)</f>
        <v>43009</v>
      </c>
      <c r="S480" s="195" t="str">
        <f>IF(IFERROR(INDEX('Both teabags AfterDry'!$D$1:$D$839,MATCH(H480,'Both teabags AfterDry'!$A$1:$A$839,0)),"")="N.A","",(IFERROR(INDEX('Both teabags AfterDry'!$D$1:$D$839,MATCH(H480,'Both teabags AfterDry'!$A$1:$A$839,0)),"")))</f>
        <v/>
      </c>
      <c r="T480" s="195" t="str">
        <f>IF(IFERROR(INDEX('Both teabags AfterDry'!$D$1:$D$839,MATCH(I480,'Both teabags AfterDry'!$A$1:$A$839,0)),"")="N.A","",(IFERROR(INDEX('Both teabags AfterDry'!$D$1:$D$839,MATCH(I480,'Both teabags AfterDry'!$A$1:$A$839,0)),"")))</f>
        <v/>
      </c>
      <c r="U480" s="195" t="str">
        <f t="shared" si="79"/>
        <v/>
      </c>
      <c r="V480" s="195" t="str">
        <f t="shared" si="79"/>
        <v/>
      </c>
      <c r="W480" s="195" t="str">
        <f>IFERROR(INDEX('Ashed teabags dry'!$K$2:$K$821,MATCH(H480,'Ashed teabags dry'!$A$2:$A$821,0)),"")</f>
        <v/>
      </c>
      <c r="X480" s="195" t="str">
        <f>IFERROR(INDEX('Ashed teabags dry'!$K$2:$K$821,MATCH(I480,'Ashed teabags dry'!$A$2:$A$821,0)),"")</f>
        <v/>
      </c>
      <c r="Y480" s="195" t="str">
        <f t="shared" si="74"/>
        <v/>
      </c>
      <c r="Z480" s="195" t="str">
        <f t="shared" si="74"/>
        <v/>
      </c>
      <c r="AA480" s="195" t="str">
        <f t="shared" si="80"/>
        <v/>
      </c>
      <c r="AB480" s="195" t="str">
        <f t="shared" si="81"/>
        <v/>
      </c>
      <c r="AC480" s="195" t="str">
        <f t="shared" si="75"/>
        <v/>
      </c>
      <c r="AD480">
        <f t="shared" si="76"/>
        <v>69</v>
      </c>
      <c r="AE480" s="195" t="str">
        <f t="shared" si="82"/>
        <v/>
      </c>
      <c r="AF480" s="195" t="str">
        <f t="shared" si="83"/>
        <v/>
      </c>
      <c r="AG480" s="255" t="str">
        <f>IF(ISNUMBER(SEARCH("C", 'Dry_Litterbag Placem_Collection'!AD187)),"YES","NO")</f>
        <v>NO</v>
      </c>
      <c r="AH480" s="255" t="str">
        <f>IF(ISNUMBER(SEARCH("H", 'Dry_Litterbag Placem_Collection'!AD187)),"YES","NO")</f>
        <v>NO</v>
      </c>
      <c r="AI480" s="255" t="str">
        <f>IF(ISNUMBER(SEARCH("R", 'Dry_Litterbag Placem_Collection'!AD187)),"YES","NO")</f>
        <v>NO</v>
      </c>
      <c r="AJ480" s="255" t="str">
        <f>IF(ISNUMBER(SEARCH("C", 'Dry_Litterbag Placem_Collection'!AC187)),"YES","NO")</f>
        <v>NO</v>
      </c>
      <c r="AK480" s="255" t="str">
        <f>IF(ISNUMBER(SEARCH("H", 'Dry_Litterbag Placem_Collection'!AC187)),"YES","NO")</f>
        <v>NO</v>
      </c>
      <c r="AL480" s="255" t="str">
        <f>IF(ISNUMBER(SEARCH("R", 'Dry_Litterbag Placem_Collection'!AC187)),"YES","NO")</f>
        <v>NO</v>
      </c>
      <c r="AR480" t="s">
        <v>1885</v>
      </c>
      <c r="AT480" t="s">
        <v>532</v>
      </c>
    </row>
    <row r="481" spans="2:46">
      <c r="B481" t="str">
        <f>'Final data_for_R_analysis_Dryse'!A627</f>
        <v>Dry</v>
      </c>
      <c r="C481" s="263">
        <f>'Final data_for_R_analysis_Dryse'!B627</f>
        <v>186</v>
      </c>
      <c r="D481" t="s">
        <v>3855</v>
      </c>
      <c r="E481" t="s">
        <v>25</v>
      </c>
      <c r="F481" s="386">
        <v>2</v>
      </c>
      <c r="G481" s="16">
        <f>'Dry_Litterbag Placem_Collection'!E188</f>
        <v>42940</v>
      </c>
      <c r="H481" s="92" t="str">
        <f>'Final data_for_R_analysis_Dryse'!J627</f>
        <v>G22</v>
      </c>
      <c r="I481" t="str">
        <f>'Final data_for_R_analysis_Dryse'!J847</f>
        <v>R629</v>
      </c>
      <c r="J481">
        <f>IFERROR(INDEX('Green_rooibos initial weight'!$C$5:$C$1749,MATCH(H481, 'Green_rooibos initial weight'!$A$5:$A$1749,0)),"")</f>
        <v>2.1</v>
      </c>
      <c r="K481">
        <f>IFERROR(INDEX('Green_rooibos initial weight'!$C$5:$C$1749,MATCH(I481, 'Green_rooibos initial weight'!$A$5:$A$1749,0)),"")</f>
        <v>2.1669999999999998</v>
      </c>
      <c r="L481" s="195">
        <f t="shared" si="77"/>
        <v>1.8502000000000001</v>
      </c>
      <c r="M481" s="240">
        <f>AVERAGE(Ashed_controlls!$K$1:$K$11)</f>
        <v>5.5147656768714146</v>
      </c>
      <c r="N481" s="195">
        <f t="shared" si="72"/>
        <v>1.7481658054465252</v>
      </c>
      <c r="O481" s="195">
        <f t="shared" si="78"/>
        <v>1.9171999999999998</v>
      </c>
      <c r="P481" s="240">
        <f>AVERAGE(Ashed_controlls!$K$12:$K$14)</f>
        <v>2.2816647271287041</v>
      </c>
      <c r="Q481" s="195">
        <f t="shared" si="73"/>
        <v>1.8734559238514883</v>
      </c>
      <c r="R481" s="16">
        <f>IF('Dry_Litterbag Placem_Collection'!G188="N.A","",'Dry_Litterbag Placem_Collection'!G188)</f>
        <v>43009</v>
      </c>
      <c r="S481" s="195">
        <f>IF(IFERROR(INDEX('Both teabags AfterDry'!$D$1:$D$839,MATCH(H481,'Both teabags AfterDry'!$A$1:$A$839,0)),"")="N.A","",(IFERROR(INDEX('Both teabags AfterDry'!$D$1:$D$839,MATCH(H481,'Both teabags AfterDry'!$A$1:$A$839,0)),"")))</f>
        <v>0.7238</v>
      </c>
      <c r="T481" s="195">
        <f>IF(IFERROR(INDEX('Both teabags AfterDry'!$D$1:$D$839,MATCH(I481,'Both teabags AfterDry'!$A$1:$A$839,0)),"")="N.A","",(IFERROR(INDEX('Both teabags AfterDry'!$D$1:$D$839,MATCH(I481,'Both teabags AfterDry'!$A$1:$A$839,0)),"")))</f>
        <v>1.8498000000000001</v>
      </c>
      <c r="U481" s="195">
        <f t="shared" si="79"/>
        <v>0.57319999999999993</v>
      </c>
      <c r="V481" s="195">
        <f t="shared" si="79"/>
        <v>1.6992</v>
      </c>
      <c r="W481" s="195">
        <f>IFERROR(INDEX('Ashed teabags dry'!$K$2:$K$821,MATCH(H481,'Ashed teabags dry'!$A$2:$A$821,0)),"")</f>
        <v>19.430172816441186</v>
      </c>
      <c r="X481" s="195">
        <f>IFERROR(INDEX('Ashed teabags dry'!$K$2:$K$821,MATCH(I481,'Ashed teabags dry'!$A$2:$A$821,0)),"")</f>
        <v>8.1542968749998188</v>
      </c>
      <c r="Y481" s="195">
        <f t="shared" si="74"/>
        <v>0.46182624941615907</v>
      </c>
      <c r="Z481" s="195">
        <f t="shared" si="74"/>
        <v>1.5606421875000032</v>
      </c>
      <c r="AA481" s="195">
        <f t="shared" si="80"/>
        <v>0.73582239855206577</v>
      </c>
      <c r="AB481" s="195">
        <f t="shared" si="81"/>
        <v>0.48239188123603366</v>
      </c>
      <c r="AC481" s="195">
        <f t="shared" si="75"/>
        <v>0.83302850503768655</v>
      </c>
      <c r="AD481">
        <f t="shared" si="76"/>
        <v>69</v>
      </c>
      <c r="AE481" s="195">
        <f t="shared" si="82"/>
        <v>0.12610166442747528</v>
      </c>
      <c r="AF481" s="195">
        <f t="shared" si="83"/>
        <v>6.1572537193893776E-3</v>
      </c>
      <c r="AG481" s="255" t="str">
        <f>IF(ISNUMBER(SEARCH("C", 'Dry_Litterbag Placem_Collection'!AD188)),"YES","NO")</f>
        <v>NO</v>
      </c>
      <c r="AH481" s="255" t="str">
        <f>IF(ISNUMBER(SEARCH("H", 'Dry_Litterbag Placem_Collection'!AD188)),"YES","NO")</f>
        <v>NO</v>
      </c>
      <c r="AI481" s="255" t="str">
        <f>IF(ISNUMBER(SEARCH("R", 'Dry_Litterbag Placem_Collection'!AD188)),"YES","NO")</f>
        <v>NO</v>
      </c>
      <c r="AJ481" s="255" t="str">
        <f>IF(ISNUMBER(SEARCH("C", 'Dry_Litterbag Placem_Collection'!AC188)),"YES","NO")</f>
        <v>NO</v>
      </c>
      <c r="AK481" s="255" t="str">
        <f>IF(ISNUMBER(SEARCH("H", 'Dry_Litterbag Placem_Collection'!AC188)),"YES","NO")</f>
        <v>NO</v>
      </c>
      <c r="AL481" s="255" t="str">
        <f>IF(ISNUMBER(SEARCH("R", 'Dry_Litterbag Placem_Collection'!AC188)),"YES","NO")</f>
        <v>NO</v>
      </c>
      <c r="AR481" t="s">
        <v>2028</v>
      </c>
      <c r="AT481" t="s">
        <v>510</v>
      </c>
    </row>
    <row r="482" spans="2:46">
      <c r="B482" t="str">
        <f>'Final data_for_R_analysis_Dryse'!A628</f>
        <v>Dry</v>
      </c>
      <c r="C482" s="263">
        <f>'Final data_for_R_analysis_Dryse'!B628</f>
        <v>187</v>
      </c>
      <c r="D482" t="s">
        <v>3855</v>
      </c>
      <c r="E482" t="s">
        <v>25</v>
      </c>
      <c r="F482" s="386">
        <v>3</v>
      </c>
      <c r="G482" s="16">
        <f>'Dry_Litterbag Placem_Collection'!E189</f>
        <v>42940</v>
      </c>
      <c r="H482" s="92" t="str">
        <f>'Final data_for_R_analysis_Dryse'!J628</f>
        <v>G371</v>
      </c>
      <c r="I482" t="str">
        <f>'Final data_for_R_analysis_Dryse'!J848</f>
        <v>R679</v>
      </c>
      <c r="J482">
        <f>IFERROR(INDEX('Green_rooibos initial weight'!$C$5:$C$1749,MATCH(H482, 'Green_rooibos initial weight'!$A$5:$A$1749,0)),"")</f>
        <v>2.06</v>
      </c>
      <c r="K482">
        <f>IFERROR(INDEX('Green_rooibos initial weight'!$C$5:$C$1749,MATCH(I482, 'Green_rooibos initial weight'!$A$5:$A$1749,0)),"")</f>
        <v>2.149</v>
      </c>
      <c r="L482" s="195">
        <f t="shared" si="77"/>
        <v>1.8102</v>
      </c>
      <c r="M482" s="240">
        <f>AVERAGE(Ashed_controlls!$K$1:$K$11)</f>
        <v>5.5147656768714146</v>
      </c>
      <c r="N482" s="195">
        <f t="shared" si="72"/>
        <v>1.7103717117172736</v>
      </c>
      <c r="O482" s="195">
        <f t="shared" si="78"/>
        <v>1.8992</v>
      </c>
      <c r="P482" s="240">
        <f>AVERAGE(Ashed_controlls!$K$12:$K$14)</f>
        <v>2.2816647271287041</v>
      </c>
      <c r="Q482" s="195">
        <f t="shared" si="73"/>
        <v>1.8558666235023717</v>
      </c>
      <c r="R482" s="16">
        <f>IF('Dry_Litterbag Placem_Collection'!G189="N.A","",'Dry_Litterbag Placem_Collection'!G189)</f>
        <v>43009</v>
      </c>
      <c r="S482" s="195">
        <f>IF(IFERROR(INDEX('Both teabags AfterDry'!$D$1:$D$839,MATCH(H482,'Both teabags AfterDry'!$A$1:$A$839,0)),"")="N.A","",(IFERROR(INDEX('Both teabags AfterDry'!$D$1:$D$839,MATCH(H482,'Both teabags AfterDry'!$A$1:$A$839,0)),"")))</f>
        <v>0.81369999999999998</v>
      </c>
      <c r="T482" s="195">
        <f>IF(IFERROR(INDEX('Both teabags AfterDry'!$D$1:$D$839,MATCH(I482,'Both teabags AfterDry'!$A$1:$A$839,0)),"")="N.A","",(IFERROR(INDEX('Both teabags AfterDry'!$D$1:$D$839,MATCH(I482,'Both teabags AfterDry'!$A$1:$A$839,0)),"")))</f>
        <v>1.7021999999999999</v>
      </c>
      <c r="U482" s="195">
        <f t="shared" si="79"/>
        <v>0.66310000000000002</v>
      </c>
      <c r="V482" s="195">
        <f t="shared" si="79"/>
        <v>1.5515999999999999</v>
      </c>
      <c r="W482" s="195">
        <f>IFERROR(INDEX('Ashed teabags dry'!$K$2:$K$821,MATCH(H482,'Ashed teabags dry'!$A$2:$A$821,0)),"")</f>
        <v>24.951361867703799</v>
      </c>
      <c r="X482" s="195">
        <f>IFERROR(INDEX('Ashed teabags dry'!$K$2:$K$821,MATCH(I482,'Ashed teabags dry'!$A$2:$A$821,0)),"")</f>
        <v>11.726867887184616</v>
      </c>
      <c r="Y482" s="195">
        <f t="shared" si="74"/>
        <v>0.49764751945525609</v>
      </c>
      <c r="Z482" s="195">
        <f t="shared" si="74"/>
        <v>1.3696459178624434</v>
      </c>
      <c r="AA482" s="195">
        <f t="shared" si="80"/>
        <v>0.70904130602370619</v>
      </c>
      <c r="AB482" s="195">
        <f t="shared" si="81"/>
        <v>0.46483468043359366</v>
      </c>
      <c r="AC482" s="195">
        <f t="shared" si="75"/>
        <v>0.73800880974822547</v>
      </c>
      <c r="AD482">
        <f t="shared" si="76"/>
        <v>69</v>
      </c>
      <c r="AE482" s="195">
        <f t="shared" si="82"/>
        <v>0.15790818762030145</v>
      </c>
      <c r="AF482" s="195">
        <f t="shared" si="83"/>
        <v>1.2018074189409486E-2</v>
      </c>
      <c r="AG482" s="255" t="str">
        <f>IF(ISNUMBER(SEARCH("C", 'Dry_Litterbag Placem_Collection'!AD189)),"YES","NO")</f>
        <v>NO</v>
      </c>
      <c r="AH482" s="255" t="str">
        <f>IF(ISNUMBER(SEARCH("H", 'Dry_Litterbag Placem_Collection'!AD189)),"YES","NO")</f>
        <v>NO</v>
      </c>
      <c r="AI482" s="255" t="str">
        <f>IF(ISNUMBER(SEARCH("R", 'Dry_Litterbag Placem_Collection'!AD189)),"YES","NO")</f>
        <v>NO</v>
      </c>
      <c r="AJ482" s="255" t="str">
        <f>IF(ISNUMBER(SEARCH("C", 'Dry_Litterbag Placem_Collection'!AC189)),"YES","NO")</f>
        <v>NO</v>
      </c>
      <c r="AK482" s="255" t="str">
        <f>IF(ISNUMBER(SEARCH("H", 'Dry_Litterbag Placem_Collection'!AC189)),"YES","NO")</f>
        <v>NO</v>
      </c>
      <c r="AL482" s="255" t="str">
        <f>IF(ISNUMBER(SEARCH("R", 'Dry_Litterbag Placem_Collection'!AC189)),"YES","NO")</f>
        <v>NO</v>
      </c>
      <c r="AR482" t="s">
        <v>1679</v>
      </c>
      <c r="AT482" t="s">
        <v>460</v>
      </c>
    </row>
    <row r="483" spans="2:46">
      <c r="B483" t="str">
        <f>'Final data_for_R_analysis_Dryse'!A629</f>
        <v>Dry</v>
      </c>
      <c r="C483" s="263">
        <f>'Final data_for_R_analysis_Dryse'!B629</f>
        <v>188</v>
      </c>
      <c r="D483" t="s">
        <v>3855</v>
      </c>
      <c r="E483" t="s">
        <v>25</v>
      </c>
      <c r="F483" s="387">
        <v>4</v>
      </c>
      <c r="G483" s="16">
        <f>'Dry_Litterbag Placem_Collection'!E190</f>
        <v>42940</v>
      </c>
      <c r="H483" s="92" t="str">
        <f>'Final data_for_R_analysis_Dryse'!J629</f>
        <v>G185</v>
      </c>
      <c r="I483" t="str">
        <f>'Final data_for_R_analysis_Dryse'!J849</f>
        <v>R682</v>
      </c>
      <c r="J483">
        <f>IFERROR(INDEX('Green_rooibos initial weight'!$C$5:$C$1749,MATCH(H483, 'Green_rooibos initial weight'!$A$5:$A$1749,0)),"")</f>
        <v>2.13</v>
      </c>
      <c r="K483">
        <f>IFERROR(INDEX('Green_rooibos initial weight'!$C$5:$C$1749,MATCH(I483, 'Green_rooibos initial weight'!$A$5:$A$1749,0)),"")</f>
        <v>2.1720000000000002</v>
      </c>
      <c r="L483" s="195">
        <f t="shared" si="77"/>
        <v>1.8801999999999999</v>
      </c>
      <c r="M483" s="240">
        <f>AVERAGE(Ashed_controlls!$K$1:$K$11)</f>
        <v>5.5147656768714146</v>
      </c>
      <c r="N483" s="195">
        <f t="shared" si="72"/>
        <v>1.7765113757434636</v>
      </c>
      <c r="O483" s="195">
        <f t="shared" si="78"/>
        <v>1.9222000000000001</v>
      </c>
      <c r="P483" s="240">
        <f>AVERAGE(Ashed_controlls!$K$12:$K$14)</f>
        <v>2.2816647271287041</v>
      </c>
      <c r="Q483" s="195">
        <f t="shared" si="73"/>
        <v>1.8783418406151322</v>
      </c>
      <c r="R483" s="16">
        <f>IF('Dry_Litterbag Placem_Collection'!G190="N.A","",'Dry_Litterbag Placem_Collection'!G190)</f>
        <v>43009</v>
      </c>
      <c r="S483" s="195">
        <f>IF(IFERROR(INDEX('Both teabags AfterDry'!$D$1:$D$839,MATCH(H483,'Both teabags AfterDry'!$A$1:$A$839,0)),"")="N.A","",(IFERROR(INDEX('Both teabags AfterDry'!$D$1:$D$839,MATCH(H483,'Both teabags AfterDry'!$A$1:$A$839,0)),"")))</f>
        <v>0.74670000000000003</v>
      </c>
      <c r="T483" s="195">
        <f>IF(IFERROR(INDEX('Both teabags AfterDry'!$D$1:$D$839,MATCH(I483,'Both teabags AfterDry'!$A$1:$A$839,0)),"")="N.A","",(IFERROR(INDEX('Both teabags AfterDry'!$D$1:$D$839,MATCH(I483,'Both teabags AfterDry'!$A$1:$A$839,0)),"")))</f>
        <v>1.7353000000000001</v>
      </c>
      <c r="U483" s="195">
        <f t="shared" si="79"/>
        <v>0.59610000000000007</v>
      </c>
      <c r="V483" s="195">
        <f t="shared" si="79"/>
        <v>1.5847</v>
      </c>
      <c r="W483" s="195">
        <f>IFERROR(INDEX('Ashed teabags dry'!$K$2:$K$821,MATCH(H483,'Ashed teabags dry'!$A$2:$A$821,0)),"")</f>
        <v>22.108345534406503</v>
      </c>
      <c r="X483" s="195">
        <f>IFERROR(INDEX('Ashed teabags dry'!$K$2:$K$821,MATCH(I483,'Ashed teabags dry'!$A$2:$A$821,0)),"")</f>
        <v>6.766169154228745</v>
      </c>
      <c r="Y483" s="195">
        <f t="shared" si="74"/>
        <v>0.46431215226940292</v>
      </c>
      <c r="Z483" s="195">
        <f t="shared" si="74"/>
        <v>1.4774765174129372</v>
      </c>
      <c r="AA483" s="195">
        <f t="shared" si="80"/>
        <v>0.73863823299465792</v>
      </c>
      <c r="AB483" s="195">
        <f t="shared" si="81"/>
        <v>0.48423789146443136</v>
      </c>
      <c r="AC483" s="195">
        <f t="shared" si="75"/>
        <v>0.7865855327638781</v>
      </c>
      <c r="AD483">
        <f t="shared" si="76"/>
        <v>69</v>
      </c>
      <c r="AE483" s="195">
        <f t="shared" si="82"/>
        <v>0.12275744299921865</v>
      </c>
      <c r="AF483" s="195">
        <f t="shared" si="83"/>
        <v>8.4218733312018661E-3</v>
      </c>
      <c r="AG483" s="255" t="str">
        <f>IF(ISNUMBER(SEARCH("C", 'Dry_Litterbag Placem_Collection'!AD190)),"YES","NO")</f>
        <v>NO</v>
      </c>
      <c r="AH483" s="255" t="str">
        <f>IF(ISNUMBER(SEARCH("H", 'Dry_Litterbag Placem_Collection'!AD190)),"YES","NO")</f>
        <v>NO</v>
      </c>
      <c r="AI483" s="255" t="str">
        <f>IF(ISNUMBER(SEARCH("R", 'Dry_Litterbag Placem_Collection'!AD190)),"YES","NO")</f>
        <v>NO</v>
      </c>
      <c r="AJ483" s="255" t="str">
        <f>IF(ISNUMBER(SEARCH("C", 'Dry_Litterbag Placem_Collection'!AC190)),"YES","NO")</f>
        <v>NO</v>
      </c>
      <c r="AK483" s="255" t="str">
        <f>IF(ISNUMBER(SEARCH("H", 'Dry_Litterbag Placem_Collection'!AC190)),"YES","NO")</f>
        <v>NO</v>
      </c>
      <c r="AL483" s="255" t="str">
        <f>IF(ISNUMBER(SEARCH("R", 'Dry_Litterbag Placem_Collection'!AC190)),"YES","NO")</f>
        <v>NO</v>
      </c>
      <c r="AR483" t="s">
        <v>1865</v>
      </c>
      <c r="AT483" t="s">
        <v>457</v>
      </c>
    </row>
    <row r="484" spans="2:46">
      <c r="B484" t="str">
        <f>'Final data_for_R_analysis_Dryse'!A630</f>
        <v>Dry</v>
      </c>
      <c r="C484" s="263">
        <f>'Final data_for_R_analysis_Dryse'!B630</f>
        <v>189</v>
      </c>
      <c r="D484" t="s">
        <v>3855</v>
      </c>
      <c r="E484" t="s">
        <v>25</v>
      </c>
      <c r="F484" s="387">
        <v>5</v>
      </c>
      <c r="G484" s="16">
        <f>'Dry_Litterbag Placem_Collection'!E191</f>
        <v>42940</v>
      </c>
      <c r="H484" s="92" t="str">
        <f>'Final data_for_R_analysis_Dryse'!J630</f>
        <v>G301</v>
      </c>
      <c r="I484" t="str">
        <f>'Final data_for_R_analysis_Dryse'!J850</f>
        <v>R693</v>
      </c>
      <c r="J484">
        <f>IFERROR(INDEX('Green_rooibos initial weight'!$C$5:$C$1749,MATCH(H484, 'Green_rooibos initial weight'!$A$5:$A$1749,0)),"")</f>
        <v>1.9379999999999999</v>
      </c>
      <c r="K484">
        <f>IFERROR(INDEX('Green_rooibos initial weight'!$C$5:$C$1749,MATCH(I484, 'Green_rooibos initial weight'!$A$5:$A$1749,0)),"")</f>
        <v>2.1789999999999998</v>
      </c>
      <c r="L484" s="195">
        <f t="shared" si="77"/>
        <v>1.6881999999999999</v>
      </c>
      <c r="M484" s="240">
        <f>AVERAGE(Ashed_controlls!$K$1:$K$11)</f>
        <v>5.5147656768714146</v>
      </c>
      <c r="N484" s="195">
        <f t="shared" si="72"/>
        <v>1.5950997258430566</v>
      </c>
      <c r="O484" s="195">
        <f t="shared" si="78"/>
        <v>1.9291999999999998</v>
      </c>
      <c r="P484" s="240">
        <f>AVERAGE(Ashed_controlls!$K$12:$K$14)</f>
        <v>2.2816647271287041</v>
      </c>
      <c r="Q484" s="195">
        <f t="shared" si="73"/>
        <v>1.8851821240842328</v>
      </c>
      <c r="R484" s="16">
        <f>IF('Dry_Litterbag Placem_Collection'!G191="N.A","",'Dry_Litterbag Placem_Collection'!G191)</f>
        <v>43009</v>
      </c>
      <c r="S484" s="195">
        <f>IF(IFERROR(INDEX('Both teabags AfterDry'!$D$1:$D$839,MATCH(H484,'Both teabags AfterDry'!$A$1:$A$839,0)),"")="N.A","",(IFERROR(INDEX('Both teabags AfterDry'!$D$1:$D$839,MATCH(H484,'Both teabags AfterDry'!$A$1:$A$839,0)),"")))</f>
        <v>0.66849999999999998</v>
      </c>
      <c r="T484" s="195">
        <f>IF(IFERROR(INDEX('Both teabags AfterDry'!$D$1:$D$839,MATCH(I484,'Both teabags AfterDry'!$A$1:$A$839,0)),"")="N.A","",(IFERROR(INDEX('Both teabags AfterDry'!$D$1:$D$839,MATCH(I484,'Both teabags AfterDry'!$A$1:$A$839,0)),"")))</f>
        <v>1.919</v>
      </c>
      <c r="U484" s="195">
        <f t="shared" si="79"/>
        <v>0.51790000000000003</v>
      </c>
      <c r="V484" s="195">
        <f t="shared" si="79"/>
        <v>1.7684</v>
      </c>
      <c r="W484" s="195">
        <f>IFERROR(INDEX('Ashed teabags dry'!$K$2:$K$821,MATCH(H484,'Ashed teabags dry'!$A$2:$A$821,0)),"")</f>
        <v>15.626326963906347</v>
      </c>
      <c r="X484" s="195">
        <f>IFERROR(INDEX('Ashed teabags dry'!$K$2:$K$821,MATCH(I484,'Ashed teabags dry'!$A$2:$A$821,0)),"")</f>
        <v>7.2408897302414861</v>
      </c>
      <c r="Y484" s="195">
        <f t="shared" si="74"/>
        <v>0.43697125265392905</v>
      </c>
      <c r="Z484" s="195">
        <f t="shared" si="74"/>
        <v>1.6403521060104096</v>
      </c>
      <c r="AA484" s="195">
        <f t="shared" si="80"/>
        <v>0.72605396040490389</v>
      </c>
      <c r="AB484" s="195">
        <f t="shared" si="81"/>
        <v>0.47598786952910571</v>
      </c>
      <c r="AC484" s="195">
        <f t="shared" si="75"/>
        <v>0.87012924908103795</v>
      </c>
      <c r="AD484">
        <f t="shared" si="76"/>
        <v>69</v>
      </c>
      <c r="AE484" s="195">
        <f t="shared" si="82"/>
        <v>0.13770313491104047</v>
      </c>
      <c r="AF484" s="195">
        <f t="shared" si="83"/>
        <v>4.6176109978170845E-3</v>
      </c>
      <c r="AG484" s="255" t="str">
        <f>IF(ISNUMBER(SEARCH("C", 'Dry_Litterbag Placem_Collection'!AD191)),"YES","NO")</f>
        <v>NO</v>
      </c>
      <c r="AH484" s="255" t="str">
        <f>IF(ISNUMBER(SEARCH("H", 'Dry_Litterbag Placem_Collection'!AD191)),"YES","NO")</f>
        <v>NO</v>
      </c>
      <c r="AI484" s="255" t="str">
        <f>IF(ISNUMBER(SEARCH("R", 'Dry_Litterbag Placem_Collection'!AD191)),"YES","NO")</f>
        <v>NO</v>
      </c>
      <c r="AJ484" s="255" t="str">
        <f>IF(ISNUMBER(SEARCH("C", 'Dry_Litterbag Placem_Collection'!AC191)),"YES","NO")</f>
        <v>NO</v>
      </c>
      <c r="AK484" s="255" t="str">
        <f>IF(ISNUMBER(SEARCH("H", 'Dry_Litterbag Placem_Collection'!AC191)),"YES","NO")</f>
        <v>NO</v>
      </c>
      <c r="AL484" s="255" t="str">
        <f>IF(ISNUMBER(SEARCH("R", 'Dry_Litterbag Placem_Collection'!AC191)),"YES","NO")</f>
        <v>NO</v>
      </c>
      <c r="AR484" t="s">
        <v>1749</v>
      </c>
      <c r="AT484" t="s">
        <v>446</v>
      </c>
    </row>
    <row r="485" spans="2:46">
      <c r="B485" t="str">
        <f>'Final data_for_R_analysis_Dryse'!A631</f>
        <v>Dry</v>
      </c>
      <c r="C485" s="263">
        <f>'Final data_for_R_analysis_Dryse'!B631</f>
        <v>190</v>
      </c>
      <c r="D485" t="s">
        <v>3855</v>
      </c>
      <c r="E485" t="s">
        <v>25</v>
      </c>
      <c r="F485" s="387">
        <v>6</v>
      </c>
      <c r="G485" s="16">
        <f>'Dry_Litterbag Placem_Collection'!E192</f>
        <v>42940</v>
      </c>
      <c r="H485" s="92" t="str">
        <f>'Final data_for_R_analysis_Dryse'!J631</f>
        <v>G466</v>
      </c>
      <c r="I485" t="str">
        <f>'Final data_for_R_analysis_Dryse'!J851</f>
        <v>R605</v>
      </c>
      <c r="J485">
        <f>IFERROR(INDEX('Green_rooibos initial weight'!$C$5:$C$1749,MATCH(H485, 'Green_rooibos initial weight'!$A$5:$A$1749,0)),"")</f>
        <v>1.9319999999999999</v>
      </c>
      <c r="K485">
        <f>IFERROR(INDEX('Green_rooibos initial weight'!$C$5:$C$1749,MATCH(I485, 'Green_rooibos initial weight'!$A$5:$A$1749,0)),"")</f>
        <v>2.165</v>
      </c>
      <c r="L485" s="195">
        <f t="shared" si="77"/>
        <v>1.6821999999999999</v>
      </c>
      <c r="M485" s="240">
        <f>AVERAGE(Ashed_controlls!$K$1:$K$11)</f>
        <v>5.5147656768714146</v>
      </c>
      <c r="N485" s="195">
        <f t="shared" si="72"/>
        <v>1.589430611783669</v>
      </c>
      <c r="O485" s="195">
        <f t="shared" si="78"/>
        <v>1.9152</v>
      </c>
      <c r="P485" s="240">
        <f>AVERAGE(Ashed_controlls!$K$12:$K$14)</f>
        <v>2.2816647271287041</v>
      </c>
      <c r="Q485" s="195">
        <f t="shared" si="73"/>
        <v>1.8715015571460312</v>
      </c>
      <c r="R485" s="16">
        <f>IF('Dry_Litterbag Placem_Collection'!G192="N.A","",'Dry_Litterbag Placem_Collection'!G192)</f>
        <v>43009</v>
      </c>
      <c r="S485" s="195">
        <f>IF(IFERROR(INDEX('Both teabags AfterDry'!$D$1:$D$839,MATCH(H485,'Both teabags AfterDry'!$A$1:$A$839,0)),"")="N.A","",(IFERROR(INDEX('Both teabags AfterDry'!$D$1:$D$839,MATCH(H485,'Both teabags AfterDry'!$A$1:$A$839,0)),"")))</f>
        <v>0.81599999999999995</v>
      </c>
      <c r="T485" s="195">
        <f>IF(IFERROR(INDEX('Both teabags AfterDry'!$D$1:$D$839,MATCH(I485,'Both teabags AfterDry'!$A$1:$A$839,0)),"")="N.A","",(IFERROR(INDEX('Both teabags AfterDry'!$D$1:$D$839,MATCH(I485,'Both teabags AfterDry'!$A$1:$A$839,0)),"")))</f>
        <v>1.8051999999999999</v>
      </c>
      <c r="U485" s="195">
        <f t="shared" si="79"/>
        <v>0.66539999999999999</v>
      </c>
      <c r="V485" s="195">
        <f t="shared" si="79"/>
        <v>1.6545999999999998</v>
      </c>
      <c r="W485" s="195">
        <f>IFERROR(INDEX('Ashed teabags dry'!$K$2:$K$821,MATCH(H485,'Ashed teabags dry'!$A$2:$A$821,0)),"")</f>
        <v>24.385447394296765</v>
      </c>
      <c r="X485" s="195">
        <f>IFERROR(INDEX('Ashed teabags dry'!$K$2:$K$821,MATCH(I485,'Ashed teabags dry'!$A$2:$A$821,0)),"")</f>
        <v>9.224730127576688</v>
      </c>
      <c r="Y485" s="195">
        <f t="shared" si="74"/>
        <v>0.50313923303834929</v>
      </c>
      <c r="Z485" s="195">
        <f t="shared" si="74"/>
        <v>1.5019676153091159</v>
      </c>
      <c r="AA485" s="195">
        <f t="shared" si="80"/>
        <v>0.68344687128321802</v>
      </c>
      <c r="AB485" s="195">
        <f t="shared" si="81"/>
        <v>0.44805543105503132</v>
      </c>
      <c r="AC485" s="195">
        <f t="shared" si="75"/>
        <v>0.80254681572349829</v>
      </c>
      <c r="AD485">
        <f t="shared" si="76"/>
        <v>69</v>
      </c>
      <c r="AE485" s="195">
        <f t="shared" si="82"/>
        <v>0.18830537852349405</v>
      </c>
      <c r="AF485" s="195">
        <f t="shared" si="83"/>
        <v>8.4210137213933979E-3</v>
      </c>
      <c r="AG485" s="255" t="str">
        <f>IF(ISNUMBER(SEARCH("C", 'Dry_Litterbag Placem_Collection'!AD192)),"YES","NO")</f>
        <v>NO</v>
      </c>
      <c r="AH485" s="255" t="str">
        <f>IF(ISNUMBER(SEARCH("H", 'Dry_Litterbag Placem_Collection'!AD192)),"YES","NO")</f>
        <v>NO</v>
      </c>
      <c r="AI485" s="255" t="str">
        <f>IF(ISNUMBER(SEARCH("R", 'Dry_Litterbag Placem_Collection'!AD192)),"YES","NO")</f>
        <v>NO</v>
      </c>
      <c r="AJ485" s="255" t="str">
        <f>IF(ISNUMBER(SEARCH("C", 'Dry_Litterbag Placem_Collection'!AC192)),"YES","NO")</f>
        <v>NO</v>
      </c>
      <c r="AK485" s="255" t="str">
        <f>IF(ISNUMBER(SEARCH("H", 'Dry_Litterbag Placem_Collection'!AC192)),"YES","NO")</f>
        <v>NO</v>
      </c>
      <c r="AL485" s="255" t="str">
        <f>IF(ISNUMBER(SEARCH("R", 'Dry_Litterbag Placem_Collection'!AC192)),"YES","NO")</f>
        <v>NO</v>
      </c>
      <c r="AR485" t="s">
        <v>1584</v>
      </c>
      <c r="AT485" t="s">
        <v>534</v>
      </c>
    </row>
    <row r="486" spans="2:46">
      <c r="B486" t="str">
        <f>'Final data_for_R_analysis_Dryse'!A632</f>
        <v>Dry</v>
      </c>
      <c r="C486" s="263">
        <f>'Final data_for_R_analysis_Dryse'!B632</f>
        <v>191</v>
      </c>
      <c r="D486" t="s">
        <v>3855</v>
      </c>
      <c r="E486" t="s">
        <v>25</v>
      </c>
      <c r="F486" s="387">
        <v>7</v>
      </c>
      <c r="G486" s="16">
        <f>'Dry_Litterbag Placem_Collection'!E193</f>
        <v>42940</v>
      </c>
      <c r="H486" s="92" t="str">
        <f>'Final data_for_R_analysis_Dryse'!J632</f>
        <v>G32</v>
      </c>
      <c r="I486" t="str">
        <f>'Final data_for_R_analysis_Dryse'!J852</f>
        <v>R240</v>
      </c>
      <c r="J486">
        <f>IFERROR(INDEX('Green_rooibos initial weight'!$C$5:$C$1749,MATCH(H486, 'Green_rooibos initial weight'!$A$5:$A$1749,0)),"")</f>
        <v>2.0510000000000002</v>
      </c>
      <c r="K486">
        <f>IFERROR(INDEX('Green_rooibos initial weight'!$C$5:$C$1749,MATCH(I486, 'Green_rooibos initial weight'!$A$5:$A$1749,0)),"")</f>
        <v>2.1800000000000002</v>
      </c>
      <c r="L486" s="195">
        <f t="shared" si="77"/>
        <v>1.8012000000000001</v>
      </c>
      <c r="M486" s="240">
        <f>AVERAGE(Ashed_controlls!$K$1:$K$11)</f>
        <v>5.5147656768714146</v>
      </c>
      <c r="N486" s="195">
        <f t="shared" si="72"/>
        <v>1.7018680406281923</v>
      </c>
      <c r="O486" s="195">
        <f t="shared" si="78"/>
        <v>1.9302000000000001</v>
      </c>
      <c r="P486" s="240">
        <f>AVERAGE(Ashed_controlls!$K$12:$K$14)</f>
        <v>2.2816647271287041</v>
      </c>
      <c r="Q486" s="195">
        <f t="shared" si="73"/>
        <v>1.8861593074369618</v>
      </c>
      <c r="R486" s="16">
        <f>IF('Dry_Litterbag Placem_Collection'!G193="N.A","",'Dry_Litterbag Placem_Collection'!G193)</f>
        <v>43009</v>
      </c>
      <c r="S486" s="195">
        <f>IF(IFERROR(INDEX('Both teabags AfterDry'!$D$1:$D$839,MATCH(H486,'Both teabags AfterDry'!$A$1:$A$839,0)),"")="N.A","",(IFERROR(INDEX('Both teabags AfterDry'!$D$1:$D$839,MATCH(H486,'Both teabags AfterDry'!$A$1:$A$839,0)),"")))</f>
        <v>0.77580000000000005</v>
      </c>
      <c r="T486" s="195">
        <f>IF(IFERROR(INDEX('Both teabags AfterDry'!$D$1:$D$839,MATCH(I486,'Both teabags AfterDry'!$A$1:$A$839,0)),"")="N.A","",(IFERROR(INDEX('Both teabags AfterDry'!$D$1:$D$839,MATCH(I486,'Both teabags AfterDry'!$A$1:$A$839,0)),"")))</f>
        <v>1.7597</v>
      </c>
      <c r="U486" s="195">
        <f t="shared" si="79"/>
        <v>0.62519999999999998</v>
      </c>
      <c r="V486" s="195">
        <f t="shared" si="79"/>
        <v>1.6091</v>
      </c>
      <c r="W486" s="195">
        <f>IFERROR(INDEX('Ashed teabags dry'!$K$2:$K$821,MATCH(H486,'Ashed teabags dry'!$A$2:$A$821,0)),"")</f>
        <v>25.871121718377726</v>
      </c>
      <c r="X486" s="195">
        <f>IFERROR(INDEX('Ashed teabags dry'!$K$2:$K$821,MATCH(I486,'Ashed teabags dry'!$A$2:$A$821,0)),"")</f>
        <v>6.2347783731121424</v>
      </c>
      <c r="Y486" s="195">
        <f t="shared" si="74"/>
        <v>0.46345374701670244</v>
      </c>
      <c r="Z486" s="195">
        <f t="shared" si="74"/>
        <v>1.5087761811982525</v>
      </c>
      <c r="AA486" s="195">
        <f t="shared" si="80"/>
        <v>0.72767938761830631</v>
      </c>
      <c r="AB486" s="195">
        <f t="shared" si="81"/>
        <v>0.47705347026758327</v>
      </c>
      <c r="AC486" s="195">
        <f t="shared" si="75"/>
        <v>0.79991980277025354</v>
      </c>
      <c r="AD486">
        <f t="shared" si="76"/>
        <v>69</v>
      </c>
      <c r="AE486" s="195">
        <f t="shared" si="82"/>
        <v>0.13577269879061005</v>
      </c>
      <c r="AF486" s="195">
        <f t="shared" si="83"/>
        <v>7.8798198159253877E-3</v>
      </c>
      <c r="AG486" s="255" t="str">
        <f>IF(ISNUMBER(SEARCH("C", 'Dry_Litterbag Placem_Collection'!AD193)),"YES","NO")</f>
        <v>NO</v>
      </c>
      <c r="AH486" s="255" t="str">
        <f>IF(ISNUMBER(SEARCH("H", 'Dry_Litterbag Placem_Collection'!AD193)),"YES","NO")</f>
        <v>NO</v>
      </c>
      <c r="AI486" s="255" t="str">
        <f>IF(ISNUMBER(SEARCH("R", 'Dry_Litterbag Placem_Collection'!AD193)),"YES","NO")</f>
        <v>NO</v>
      </c>
      <c r="AJ486" s="255" t="str">
        <f>IF(ISNUMBER(SEARCH("C", 'Dry_Litterbag Placem_Collection'!AC193)),"YES","NO")</f>
        <v>NO</v>
      </c>
      <c r="AK486" s="255" t="str">
        <f>IF(ISNUMBER(SEARCH("H", 'Dry_Litterbag Placem_Collection'!AC193)),"YES","NO")</f>
        <v>NO</v>
      </c>
      <c r="AL486" s="255" t="str">
        <f>IF(ISNUMBER(SEARCH("R", 'Dry_Litterbag Placem_Collection'!AC193)),"YES","NO")</f>
        <v>NO</v>
      </c>
      <c r="AR486" t="s">
        <v>2018</v>
      </c>
      <c r="AT486" t="s">
        <v>901</v>
      </c>
    </row>
    <row r="487" spans="2:46">
      <c r="B487" t="str">
        <f>'Final data_for_R_analysis_Dryse'!A633</f>
        <v>Dry</v>
      </c>
      <c r="C487" s="263">
        <f>'Final data_for_R_analysis_Dryse'!B633</f>
        <v>192</v>
      </c>
      <c r="D487" t="s">
        <v>3855</v>
      </c>
      <c r="E487" t="s">
        <v>25</v>
      </c>
      <c r="F487" s="387">
        <v>8</v>
      </c>
      <c r="G487" s="16">
        <f>'Dry_Litterbag Placem_Collection'!E194</f>
        <v>0</v>
      </c>
      <c r="H487" s="92" t="str">
        <f>'Final data_for_R_analysis_Dryse'!J633</f>
        <v/>
      </c>
      <c r="I487" t="str">
        <f>'Final data_for_R_analysis_Dryse'!J853</f>
        <v/>
      </c>
      <c r="J487" t="str">
        <f>IFERROR(INDEX('Green_rooibos initial weight'!$C$5:$C$1749,MATCH(H487, 'Green_rooibos initial weight'!$A$5:$A$1749,0)),"")</f>
        <v/>
      </c>
      <c r="K487" t="str">
        <f>IFERROR(INDEX('Green_rooibos initial weight'!$C$5:$C$1749,MATCH(I487, 'Green_rooibos initial weight'!$A$5:$A$1749,0)),"")</f>
        <v/>
      </c>
      <c r="L487" s="195" t="str">
        <f t="shared" si="77"/>
        <v/>
      </c>
      <c r="M487" s="240">
        <f>AVERAGE(Ashed_controlls!$K$1:$K$11)</f>
        <v>5.5147656768714146</v>
      </c>
      <c r="N487" s="195" t="str">
        <f t="shared" si="72"/>
        <v/>
      </c>
      <c r="O487" s="195" t="str">
        <f t="shared" si="78"/>
        <v/>
      </c>
      <c r="P487" s="240">
        <f>AVERAGE(Ashed_controlls!$K$12:$K$14)</f>
        <v>2.2816647271287041</v>
      </c>
      <c r="Q487" s="195" t="str">
        <f t="shared" si="73"/>
        <v/>
      </c>
      <c r="R487" s="16">
        <f>IF('Dry_Litterbag Placem_Collection'!G194="N.A","",'Dry_Litterbag Placem_Collection'!G194)</f>
        <v>0</v>
      </c>
      <c r="S487" s="195" t="str">
        <f>IF(IFERROR(INDEX('Both teabags AfterDry'!$D$1:$D$839,MATCH(H487,'Both teabags AfterDry'!$A$1:$A$839,0)),"")="N.A","",(IFERROR(INDEX('Both teabags AfterDry'!$D$1:$D$839,MATCH(H487,'Both teabags AfterDry'!$A$1:$A$839,0)),"")))</f>
        <v/>
      </c>
      <c r="T487" s="195" t="str">
        <f>IF(IFERROR(INDEX('Both teabags AfterDry'!$D$1:$D$839,MATCH(I487,'Both teabags AfterDry'!$A$1:$A$839,0)),"")="N.A","",(IFERROR(INDEX('Both teabags AfterDry'!$D$1:$D$839,MATCH(I487,'Both teabags AfterDry'!$A$1:$A$839,0)),"")))</f>
        <v/>
      </c>
      <c r="U487" s="195" t="str">
        <f t="shared" si="79"/>
        <v/>
      </c>
      <c r="V487" s="195" t="str">
        <f t="shared" si="79"/>
        <v/>
      </c>
      <c r="W487" s="195" t="str">
        <f>IFERROR(INDEX('Ashed teabags dry'!$K$2:$K$821,MATCH(H487,'Ashed teabags dry'!$A$2:$A$821,0)),"")</f>
        <v/>
      </c>
      <c r="X487" s="195" t="str">
        <f>IFERROR(INDEX('Ashed teabags dry'!$K$2:$K$821,MATCH(I487,'Ashed teabags dry'!$A$2:$A$821,0)),"")</f>
        <v/>
      </c>
      <c r="Y487" s="195" t="str">
        <f t="shared" si="74"/>
        <v/>
      </c>
      <c r="Z487" s="195" t="str">
        <f t="shared" si="74"/>
        <v/>
      </c>
      <c r="AA487" s="195" t="str">
        <f t="shared" si="80"/>
        <v/>
      </c>
      <c r="AB487" s="195" t="str">
        <f t="shared" si="81"/>
        <v/>
      </c>
      <c r="AC487" s="195" t="str">
        <f t="shared" si="75"/>
        <v/>
      </c>
      <c r="AD487" t="str">
        <f t="shared" si="76"/>
        <v/>
      </c>
      <c r="AE487" s="195" t="str">
        <f t="shared" si="82"/>
        <v/>
      </c>
      <c r="AF487" s="195" t="str">
        <f t="shared" si="83"/>
        <v/>
      </c>
      <c r="AG487" s="255" t="str">
        <f>IF(ISNUMBER(SEARCH("C", 'Dry_Litterbag Placem_Collection'!AD194)),"YES","NO")</f>
        <v>NO</v>
      </c>
      <c r="AH487" s="255" t="str">
        <f>IF(ISNUMBER(SEARCH("H", 'Dry_Litterbag Placem_Collection'!AD194)),"YES","NO")</f>
        <v>NO</v>
      </c>
      <c r="AI487" s="255" t="str">
        <f>IF(ISNUMBER(SEARCH("R", 'Dry_Litterbag Placem_Collection'!AD194)),"YES","NO")</f>
        <v>NO</v>
      </c>
      <c r="AJ487" s="255" t="str">
        <f>IF(ISNUMBER(SEARCH("C", 'Dry_Litterbag Placem_Collection'!AC194)),"YES","NO")</f>
        <v>NO</v>
      </c>
      <c r="AK487" s="255" t="str">
        <f>IF(ISNUMBER(SEARCH("H", 'Dry_Litterbag Placem_Collection'!AC194)),"YES","NO")</f>
        <v>NO</v>
      </c>
      <c r="AL487" s="255" t="str">
        <f>IF(ISNUMBER(SEARCH("R", 'Dry_Litterbag Placem_Collection'!AC194)),"YES","NO")</f>
        <v>NO</v>
      </c>
      <c r="AR487" t="s">
        <v>3654</v>
      </c>
      <c r="AT487" t="s">
        <v>3654</v>
      </c>
    </row>
    <row r="488" spans="2:46">
      <c r="B488" t="str">
        <f>'Final data_for_R_analysis_Dryse'!A634</f>
        <v>Dry</v>
      </c>
      <c r="C488" s="263">
        <f>'Final data_for_R_analysis_Dryse'!B634</f>
        <v>193</v>
      </c>
      <c r="D488" t="s">
        <v>2445</v>
      </c>
      <c r="E488" t="s">
        <v>25</v>
      </c>
      <c r="F488" s="387">
        <v>1</v>
      </c>
      <c r="G488" s="16">
        <f>'Dry_Litterbag Placem_Collection'!E195</f>
        <v>42942</v>
      </c>
      <c r="H488" s="92" t="str">
        <f>'Final data_for_R_analysis_Dryse'!J634</f>
        <v>G45</v>
      </c>
      <c r="I488" t="str">
        <f>'Final data_for_R_analysis_Dryse'!J854</f>
        <v>R623</v>
      </c>
      <c r="J488">
        <f>IFERROR(INDEX('Green_rooibos initial weight'!$C$5:$C$1749,MATCH(H488, 'Green_rooibos initial weight'!$A$5:$A$1749,0)),"")</f>
        <v>2.0779999999999998</v>
      </c>
      <c r="K488">
        <f>IFERROR(INDEX('Green_rooibos initial weight'!$C$5:$C$1749,MATCH(I488, 'Green_rooibos initial weight'!$A$5:$A$1749,0)),"")</f>
        <v>2.056</v>
      </c>
      <c r="L488" s="195">
        <f t="shared" si="77"/>
        <v>1.8281999999999998</v>
      </c>
      <c r="M488" s="240">
        <f>AVERAGE(Ashed_controlls!$K$1:$K$11)</f>
        <v>5.5147656768714146</v>
      </c>
      <c r="N488" s="195">
        <f t="shared" si="72"/>
        <v>1.7273790538954366</v>
      </c>
      <c r="O488" s="195">
        <f t="shared" si="78"/>
        <v>1.8062</v>
      </c>
      <c r="P488" s="240">
        <f>AVERAGE(Ashed_controlls!$K$12:$K$14)</f>
        <v>2.2816647271287041</v>
      </c>
      <c r="Q488" s="195">
        <f t="shared" si="73"/>
        <v>1.7649885716986013</v>
      </c>
      <c r="R488" s="16">
        <f>IF('Dry_Litterbag Placem_Collection'!G195="N.A","",'Dry_Litterbag Placem_Collection'!G195)</f>
        <v>43004</v>
      </c>
      <c r="S488" s="195">
        <f>IF(IFERROR(INDEX('Both teabags AfterDry'!$D$1:$D$839,MATCH(H488,'Both teabags AfterDry'!$A$1:$A$839,0)),"")="N.A","",(IFERROR(INDEX('Both teabags AfterDry'!$D$1:$D$839,MATCH(H488,'Both teabags AfterDry'!$A$1:$A$839,0)),"")))</f>
        <v>0.82699999999999996</v>
      </c>
      <c r="T488" s="195">
        <f>IF(IFERROR(INDEX('Both teabags AfterDry'!$D$1:$D$839,MATCH(I488,'Both teabags AfterDry'!$A$1:$A$839,0)),"")="N.A","",(IFERROR(INDEX('Both teabags AfterDry'!$D$1:$D$839,MATCH(I488,'Both teabags AfterDry'!$A$1:$A$839,0)),"")))</f>
        <v>1.397</v>
      </c>
      <c r="U488" s="195">
        <f t="shared" si="79"/>
        <v>0.67639999999999989</v>
      </c>
      <c r="V488" s="195">
        <f t="shared" si="79"/>
        <v>1.2464</v>
      </c>
      <c r="W488" s="195">
        <f>IFERROR(INDEX('Ashed teabags dry'!$K$2:$K$821,MATCH(H488,'Ashed teabags dry'!$A$2:$A$821,0)),"")</f>
        <v>13.455953533397516</v>
      </c>
      <c r="X488" s="195">
        <f>IFERROR(INDEX('Ashed teabags dry'!$K$2:$K$821,MATCH(I488,'Ashed teabags dry'!$A$2:$A$821,0)),"")</f>
        <v>6.0918462980318058</v>
      </c>
      <c r="Y488" s="195">
        <f t="shared" si="74"/>
        <v>0.58538393030009916</v>
      </c>
      <c r="Z488" s="195">
        <f t="shared" si="74"/>
        <v>1.1704712277413316</v>
      </c>
      <c r="AA488" s="195">
        <f t="shared" si="80"/>
        <v>0.66111437499488512</v>
      </c>
      <c r="AB488" s="195">
        <f t="shared" si="81"/>
        <v>0.43341464964035226</v>
      </c>
      <c r="AC488" s="195">
        <f t="shared" si="75"/>
        <v>0.66316079690809882</v>
      </c>
      <c r="AD488">
        <f t="shared" si="76"/>
        <v>62</v>
      </c>
      <c r="AE488" s="195">
        <f t="shared" si="82"/>
        <v>0.21482853326023144</v>
      </c>
      <c r="AF488" s="195">
        <f t="shared" si="83"/>
        <v>2.4215650932258293E-2</v>
      </c>
      <c r="AG488" s="255" t="str">
        <f>IF(ISNUMBER(SEARCH("C", 'Dry_Litterbag Placem_Collection'!AD195)),"YES","NO")</f>
        <v>NO</v>
      </c>
      <c r="AH488" s="255" t="str">
        <f>IF(ISNUMBER(SEARCH("H", 'Dry_Litterbag Placem_Collection'!AD195)),"YES","NO")</f>
        <v>NO</v>
      </c>
      <c r="AI488" s="255" t="str">
        <f>IF(ISNUMBER(SEARCH("R", 'Dry_Litterbag Placem_Collection'!AD195)),"YES","NO")</f>
        <v>NO</v>
      </c>
      <c r="AJ488" s="255" t="str">
        <f>IF(ISNUMBER(SEARCH("C", 'Dry_Litterbag Placem_Collection'!AC195)),"YES","NO")</f>
        <v>NO</v>
      </c>
      <c r="AK488" s="255" t="str">
        <f>IF(ISNUMBER(SEARCH("H", 'Dry_Litterbag Placem_Collection'!AC195)),"YES","NO")</f>
        <v>NO</v>
      </c>
      <c r="AL488" s="255" t="str">
        <f>IF(ISNUMBER(SEARCH("R", 'Dry_Litterbag Placem_Collection'!AC195)),"YES","NO")</f>
        <v>NO</v>
      </c>
      <c r="AR488" t="s">
        <v>2005</v>
      </c>
      <c r="AT488" t="s">
        <v>516</v>
      </c>
    </row>
    <row r="489" spans="2:46">
      <c r="B489" t="str">
        <f>'Final data_for_R_analysis_Dryse'!A635</f>
        <v>Dry</v>
      </c>
      <c r="C489" s="263">
        <f>'Final data_for_R_analysis_Dryse'!B635</f>
        <v>194</v>
      </c>
      <c r="D489" t="s">
        <v>2438</v>
      </c>
      <c r="E489" t="s">
        <v>25</v>
      </c>
      <c r="F489" s="387">
        <v>2</v>
      </c>
      <c r="G489" s="16">
        <f>'Dry_Litterbag Placem_Collection'!E196</f>
        <v>42942</v>
      </c>
      <c r="H489" s="92" t="str">
        <f>'Final data_for_R_analysis_Dryse'!J635</f>
        <v>G90</v>
      </c>
      <c r="I489" t="str">
        <f>'Final data_for_R_analysis_Dryse'!J855</f>
        <v>R611</v>
      </c>
      <c r="J489">
        <f>IFERROR(INDEX('Green_rooibos initial weight'!$C$5:$C$1749,MATCH(H489, 'Green_rooibos initial weight'!$A$5:$A$1749,0)),"")</f>
        <v>2.0409999999999999</v>
      </c>
      <c r="K489">
        <f>IFERROR(INDEX('Green_rooibos initial weight'!$C$5:$C$1749,MATCH(I489, 'Green_rooibos initial weight'!$A$5:$A$1749,0)),"")</f>
        <v>2.157</v>
      </c>
      <c r="L489" s="195">
        <f t="shared" si="77"/>
        <v>1.7911999999999999</v>
      </c>
      <c r="M489" s="240">
        <f>AVERAGE(Ashed_controlls!$K$1:$K$11)</f>
        <v>5.5147656768714146</v>
      </c>
      <c r="N489" s="195">
        <f t="shared" si="72"/>
        <v>1.6924195171958791</v>
      </c>
      <c r="O489" s="195">
        <f t="shared" si="78"/>
        <v>1.9072</v>
      </c>
      <c r="P489" s="240">
        <f>AVERAGE(Ashed_controlls!$K$12:$K$14)</f>
        <v>2.2816647271287041</v>
      </c>
      <c r="Q489" s="195">
        <f t="shared" si="73"/>
        <v>1.8636840903242013</v>
      </c>
      <c r="R489" s="16">
        <f>IF('Dry_Litterbag Placem_Collection'!G196="N.A","",'Dry_Litterbag Placem_Collection'!G196)</f>
        <v>43004</v>
      </c>
      <c r="S489" s="195">
        <f>IF(IFERROR(INDEX('Both teabags AfterDry'!$D$1:$D$839,MATCH(H489,'Both teabags AfterDry'!$A$1:$A$839,0)),"")="N.A","",(IFERROR(INDEX('Both teabags AfterDry'!$D$1:$D$839,MATCH(H489,'Both teabags AfterDry'!$A$1:$A$839,0)),"")))</f>
        <v>0.74199999999999999</v>
      </c>
      <c r="T489" s="195">
        <f>IF(IFERROR(INDEX('Both teabags AfterDry'!$D$1:$D$839,MATCH(I489,'Both teabags AfterDry'!$A$1:$A$839,0)),"")="N.A","",(IFERROR(INDEX('Both teabags AfterDry'!$D$1:$D$839,MATCH(I489,'Both teabags AfterDry'!$A$1:$A$839,0)),"")))</f>
        <v>1.593</v>
      </c>
      <c r="U489" s="195">
        <f t="shared" si="79"/>
        <v>0.59139999999999993</v>
      </c>
      <c r="V489" s="195">
        <f t="shared" si="79"/>
        <v>1.4423999999999999</v>
      </c>
      <c r="W489" s="195">
        <f>IFERROR(INDEX('Ashed teabags dry'!$K$2:$K$821,MATCH(H489,'Ashed teabags dry'!$A$2:$A$821,0)),"")</f>
        <v>15.52150271873475</v>
      </c>
      <c r="X489" s="195">
        <f>IFERROR(INDEX('Ashed teabags dry'!$K$2:$K$821,MATCH(I489,'Ashed teabags dry'!$A$2:$A$821,0)),"")</f>
        <v>3.3698399326031812</v>
      </c>
      <c r="Y489" s="195">
        <f t="shared" si="74"/>
        <v>0.49960583292140259</v>
      </c>
      <c r="Z489" s="195">
        <f t="shared" si="74"/>
        <v>1.3937934288121316</v>
      </c>
      <c r="AA489" s="195">
        <f t="shared" si="80"/>
        <v>0.70479787792261761</v>
      </c>
      <c r="AB489" s="195">
        <f t="shared" si="81"/>
        <v>0.46205276557397268</v>
      </c>
      <c r="AC489" s="195">
        <f t="shared" si="75"/>
        <v>0.7478700043898916</v>
      </c>
      <c r="AD489">
        <f t="shared" si="76"/>
        <v>62</v>
      </c>
      <c r="AE489" s="195">
        <f t="shared" si="82"/>
        <v>0.16294788845294816</v>
      </c>
      <c r="AF489" s="195">
        <f t="shared" si="83"/>
        <v>1.2724828947736072E-2</v>
      </c>
      <c r="AG489" s="255" t="str">
        <f>IF(ISNUMBER(SEARCH("C", 'Dry_Litterbag Placem_Collection'!AD196)),"YES","NO")</f>
        <v>NO</v>
      </c>
      <c r="AH489" s="255" t="str">
        <f>IF(ISNUMBER(SEARCH("H", 'Dry_Litterbag Placem_Collection'!AD196)),"YES","NO")</f>
        <v>NO</v>
      </c>
      <c r="AI489" s="255" t="str">
        <f>IF(ISNUMBER(SEARCH("R", 'Dry_Litterbag Placem_Collection'!AD196)),"YES","NO")</f>
        <v>NO</v>
      </c>
      <c r="AJ489" s="255" t="str">
        <f>IF(ISNUMBER(SEARCH("C", 'Dry_Litterbag Placem_Collection'!AC196)),"YES","NO")</f>
        <v>NO</v>
      </c>
      <c r="AK489" s="255" t="str">
        <f>IF(ISNUMBER(SEARCH("H", 'Dry_Litterbag Placem_Collection'!AC196)),"YES","NO")</f>
        <v>NO</v>
      </c>
      <c r="AL489" s="255" t="str">
        <f>IF(ISNUMBER(SEARCH("R", 'Dry_Litterbag Placem_Collection'!AC196)),"YES","NO")</f>
        <v>NO</v>
      </c>
      <c r="AR489" t="s">
        <v>1960</v>
      </c>
      <c r="AT489" t="s">
        <v>528</v>
      </c>
    </row>
    <row r="490" spans="2:46">
      <c r="B490" t="str">
        <f>'Final data_for_R_analysis_Dryse'!A636</f>
        <v>Dry</v>
      </c>
      <c r="C490" s="263">
        <f>'Final data_for_R_analysis_Dryse'!B636</f>
        <v>195</v>
      </c>
      <c r="D490" t="s">
        <v>2430</v>
      </c>
      <c r="E490" t="s">
        <v>25</v>
      </c>
      <c r="F490" s="387">
        <v>3</v>
      </c>
      <c r="G490" s="16">
        <f>'Dry_Litterbag Placem_Collection'!E197</f>
        <v>42942</v>
      </c>
      <c r="H490" s="92" t="str">
        <f>'Final data_for_R_analysis_Dryse'!J636</f>
        <v>G338</v>
      </c>
      <c r="I490" t="str">
        <f>'Final data_for_R_analysis_Dryse'!J856</f>
        <v>R645</v>
      </c>
      <c r="J490">
        <f>IFERROR(INDEX('Green_rooibos initial weight'!$C$5:$C$1749,MATCH(H490, 'Green_rooibos initial weight'!$A$5:$A$1749,0)),"")</f>
        <v>1.946</v>
      </c>
      <c r="K490">
        <f>IFERROR(INDEX('Green_rooibos initial weight'!$C$5:$C$1749,MATCH(I490, 'Green_rooibos initial weight'!$A$5:$A$1749,0)),"")</f>
        <v>2.2469999999999999</v>
      </c>
      <c r="L490" s="195">
        <f t="shared" si="77"/>
        <v>1.6961999999999999</v>
      </c>
      <c r="M490" s="240">
        <f>AVERAGE(Ashed_controlls!$K$1:$K$11)</f>
        <v>5.5147656768714146</v>
      </c>
      <c r="N490" s="195">
        <f t="shared" si="72"/>
        <v>1.602658544588907</v>
      </c>
      <c r="O490" s="195">
        <f t="shared" si="78"/>
        <v>1.9971999999999999</v>
      </c>
      <c r="P490" s="240">
        <f>AVERAGE(Ashed_controlls!$K$12:$K$14)</f>
        <v>2.2816647271287041</v>
      </c>
      <c r="Q490" s="195">
        <f t="shared" si="73"/>
        <v>1.9516305920697854</v>
      </c>
      <c r="R490" s="16">
        <f>IF('Dry_Litterbag Placem_Collection'!G197="N.A","",'Dry_Litterbag Placem_Collection'!G197)</f>
        <v>43004</v>
      </c>
      <c r="S490" s="195">
        <f>IF(IFERROR(INDEX('Both teabags AfterDry'!$D$1:$D$839,MATCH(H490,'Both teabags AfterDry'!$A$1:$A$839,0)),"")="N.A","",(IFERROR(INDEX('Both teabags AfterDry'!$D$1:$D$839,MATCH(H490,'Both teabags AfterDry'!$A$1:$A$839,0)),"")))</f>
        <v>0.83299999999999996</v>
      </c>
      <c r="T490" s="195">
        <f>IF(IFERROR(INDEX('Both teabags AfterDry'!$D$1:$D$839,MATCH(I490,'Both teabags AfterDry'!$A$1:$A$839,0)),"")="N.A","",(IFERROR(INDEX('Both teabags AfterDry'!$D$1:$D$839,MATCH(I490,'Both teabags AfterDry'!$A$1:$A$839,0)),"")))</f>
        <v>1.7509999999999999</v>
      </c>
      <c r="U490" s="195">
        <f t="shared" si="79"/>
        <v>0.6823999999999999</v>
      </c>
      <c r="V490" s="195">
        <f t="shared" si="79"/>
        <v>1.6003999999999998</v>
      </c>
      <c r="W490" s="195">
        <f>IFERROR(INDEX('Ashed teabags dry'!$K$2:$K$821,MATCH(H490,'Ashed teabags dry'!$A$2:$A$821,0)),"")</f>
        <v>16.185258964144143</v>
      </c>
      <c r="X490" s="195">
        <f>IFERROR(INDEX('Ashed teabags dry'!$K$2:$K$821,MATCH(I490,'Ashed teabags dry'!$A$2:$A$821,0)),"")</f>
        <v>3.5648994515537913</v>
      </c>
      <c r="Y490" s="195">
        <f t="shared" si="74"/>
        <v>0.57195179282868025</v>
      </c>
      <c r="Z490" s="195">
        <f t="shared" si="74"/>
        <v>1.5433473491773329</v>
      </c>
      <c r="AA490" s="195">
        <f t="shared" si="80"/>
        <v>0.64312311268063038</v>
      </c>
      <c r="AB490" s="195">
        <f t="shared" si="81"/>
        <v>0.42161990285000955</v>
      </c>
      <c r="AC490" s="195">
        <f t="shared" si="75"/>
        <v>0.79079891217556131</v>
      </c>
      <c r="AD490">
        <f t="shared" si="76"/>
        <v>62</v>
      </c>
      <c r="AE490" s="195">
        <f t="shared" si="82"/>
        <v>0.23619582817027263</v>
      </c>
      <c r="AF490" s="195">
        <f t="shared" si="83"/>
        <v>1.1057166702966815E-2</v>
      </c>
      <c r="AG490" s="255" t="str">
        <f>IF(ISNUMBER(SEARCH("C", 'Dry_Litterbag Placem_Collection'!AD197)),"YES","NO")</f>
        <v>NO</v>
      </c>
      <c r="AH490" s="255" t="str">
        <f>IF(ISNUMBER(SEARCH("H", 'Dry_Litterbag Placem_Collection'!AD197)),"YES","NO")</f>
        <v>NO</v>
      </c>
      <c r="AI490" s="255" t="str">
        <f>IF(ISNUMBER(SEARCH("R", 'Dry_Litterbag Placem_Collection'!AD197)),"YES","NO")</f>
        <v>NO</v>
      </c>
      <c r="AJ490" s="255" t="str">
        <f>IF(ISNUMBER(SEARCH("C", 'Dry_Litterbag Placem_Collection'!AC197)),"YES","NO")</f>
        <v>NO</v>
      </c>
      <c r="AK490" s="255" t="str">
        <f>IF(ISNUMBER(SEARCH("H", 'Dry_Litterbag Placem_Collection'!AC197)),"YES","NO")</f>
        <v>NO</v>
      </c>
      <c r="AL490" s="255" t="str">
        <f>IF(ISNUMBER(SEARCH("R", 'Dry_Litterbag Placem_Collection'!AC197)),"YES","NO")</f>
        <v>NO</v>
      </c>
      <c r="AR490" t="s">
        <v>1712</v>
      </c>
      <c r="AT490" t="s">
        <v>494</v>
      </c>
    </row>
    <row r="491" spans="2:46">
      <c r="B491" t="str">
        <f>'Final data_for_R_analysis_Dryse'!A637</f>
        <v>Dry</v>
      </c>
      <c r="C491" s="263">
        <f>'Final data_for_R_analysis_Dryse'!B637</f>
        <v>196</v>
      </c>
      <c r="D491" t="s">
        <v>2421</v>
      </c>
      <c r="E491" t="s">
        <v>25</v>
      </c>
      <c r="F491" s="387">
        <v>4</v>
      </c>
      <c r="G491" s="16">
        <f>'Dry_Litterbag Placem_Collection'!E198</f>
        <v>42942</v>
      </c>
      <c r="H491" s="92" t="str">
        <f>'Final data_for_R_analysis_Dryse'!J637</f>
        <v>G243</v>
      </c>
      <c r="I491" t="str">
        <f>'Final data_for_R_analysis_Dryse'!J857</f>
        <v>R709</v>
      </c>
      <c r="J491">
        <f>IFERROR(INDEX('Green_rooibos initial weight'!$C$5:$C$1749,MATCH(H491, 'Green_rooibos initial weight'!$A$5:$A$1749,0)),"")</f>
        <v>2.13</v>
      </c>
      <c r="K491">
        <f>IFERROR(INDEX('Green_rooibos initial weight'!$C$5:$C$1749,MATCH(I491, 'Green_rooibos initial weight'!$A$5:$A$1749,0)),"")</f>
        <v>2.157</v>
      </c>
      <c r="L491" s="195">
        <f t="shared" si="77"/>
        <v>1.8801999999999999</v>
      </c>
      <c r="M491" s="240">
        <f>AVERAGE(Ashed_controlls!$K$1:$K$11)</f>
        <v>5.5147656768714146</v>
      </c>
      <c r="N491" s="195">
        <f t="shared" si="72"/>
        <v>1.7765113757434636</v>
      </c>
      <c r="O491" s="195">
        <f t="shared" si="78"/>
        <v>1.9072</v>
      </c>
      <c r="P491" s="240">
        <f>AVERAGE(Ashed_controlls!$K$12:$K$14)</f>
        <v>2.2816647271287041</v>
      </c>
      <c r="Q491" s="195">
        <f t="shared" si="73"/>
        <v>1.8636840903242013</v>
      </c>
      <c r="R491" s="16">
        <f>IF('Dry_Litterbag Placem_Collection'!G198="N.A","",'Dry_Litterbag Placem_Collection'!G198)</f>
        <v>43004</v>
      </c>
      <c r="S491" s="195">
        <f>IF(IFERROR(INDEX('Both teabags AfterDry'!$D$1:$D$839,MATCH(H491,'Both teabags AfterDry'!$A$1:$A$839,0)),"")="N.A","",(IFERROR(INDEX('Both teabags AfterDry'!$D$1:$D$839,MATCH(H491,'Both teabags AfterDry'!$A$1:$A$839,0)),"")))</f>
        <v>1.04</v>
      </c>
      <c r="T491" s="195">
        <f>IF(IFERROR(INDEX('Both teabags AfterDry'!$D$1:$D$839,MATCH(I491,'Both teabags AfterDry'!$A$1:$A$839,0)),"")="N.A","",(IFERROR(INDEX('Both teabags AfterDry'!$D$1:$D$839,MATCH(I491,'Both teabags AfterDry'!$A$1:$A$839,0)),"")))</f>
        <v>1.863</v>
      </c>
      <c r="U491" s="195">
        <f t="shared" si="79"/>
        <v>0.88939999999999997</v>
      </c>
      <c r="V491" s="195">
        <f t="shared" si="79"/>
        <v>1.7123999999999999</v>
      </c>
      <c r="W491" s="195">
        <f>IFERROR(INDEX('Ashed teabags dry'!$K$2:$K$821,MATCH(H491,'Ashed teabags dry'!$A$2:$A$821,0)),"")</f>
        <v>17.944173681878588</v>
      </c>
      <c r="X491" s="195">
        <f>IFERROR(INDEX('Ashed teabags dry'!$K$2:$K$821,MATCH(I491,'Ashed teabags dry'!$A$2:$A$821,0)),"")</f>
        <v>2.5540275049118555</v>
      </c>
      <c r="Y491" s="195">
        <f t="shared" si="74"/>
        <v>0.72980451927337175</v>
      </c>
      <c r="Z491" s="195">
        <f t="shared" si="74"/>
        <v>1.6686648330058893</v>
      </c>
      <c r="AA491" s="195">
        <f t="shared" si="80"/>
        <v>0.58919231858678578</v>
      </c>
      <c r="AB491" s="195">
        <f t="shared" si="81"/>
        <v>0.38626384781461498</v>
      </c>
      <c r="AC491" s="195">
        <f t="shared" si="75"/>
        <v>0.89535820028147206</v>
      </c>
      <c r="AD491">
        <f t="shared" si="76"/>
        <v>62</v>
      </c>
      <c r="AE491" s="195">
        <f t="shared" si="82"/>
        <v>0.30024665250975557</v>
      </c>
      <c r="AF491" s="195">
        <f t="shared" si="83"/>
        <v>5.09604455648093E-3</v>
      </c>
      <c r="AG491" s="255" t="str">
        <f>IF(ISNUMBER(SEARCH("C", 'Dry_Litterbag Placem_Collection'!AD198)),"YES","NO")</f>
        <v>NO</v>
      </c>
      <c r="AH491" s="255" t="str">
        <f>IF(ISNUMBER(SEARCH("H", 'Dry_Litterbag Placem_Collection'!AD198)),"YES","NO")</f>
        <v>NO</v>
      </c>
      <c r="AI491" s="255" t="str">
        <f>IF(ISNUMBER(SEARCH("R", 'Dry_Litterbag Placem_Collection'!AD198)),"YES","NO")</f>
        <v>NO</v>
      </c>
      <c r="AJ491" s="255" t="str">
        <f>IF(ISNUMBER(SEARCH("C", 'Dry_Litterbag Placem_Collection'!AC198)),"YES","NO")</f>
        <v>NO</v>
      </c>
      <c r="AK491" s="255" t="str">
        <f>IF(ISNUMBER(SEARCH("H", 'Dry_Litterbag Placem_Collection'!AC198)),"YES","NO")</f>
        <v>NO</v>
      </c>
      <c r="AL491" s="255" t="str">
        <f>IF(ISNUMBER(SEARCH("R", 'Dry_Litterbag Placem_Collection'!AC198)),"YES","NO")</f>
        <v>NO</v>
      </c>
      <c r="AR491" t="s">
        <v>1807</v>
      </c>
      <c r="AT491" t="s">
        <v>430</v>
      </c>
    </row>
    <row r="492" spans="2:46">
      <c r="B492" t="str">
        <f>'Final data_for_R_analysis_Dryse'!A638</f>
        <v>Dry</v>
      </c>
      <c r="C492" s="263">
        <f>'Final data_for_R_analysis_Dryse'!B638</f>
        <v>197</v>
      </c>
      <c r="D492" t="s">
        <v>2431</v>
      </c>
      <c r="E492" t="s">
        <v>25</v>
      </c>
      <c r="F492" s="387">
        <v>1</v>
      </c>
      <c r="G492" s="16">
        <f>'Dry_Litterbag Placem_Collection'!E199</f>
        <v>42942</v>
      </c>
      <c r="H492" s="92" t="str">
        <f>'Final data_for_R_analysis_Dryse'!J638</f>
        <v>G254</v>
      </c>
      <c r="I492" t="str">
        <f>'Final data_for_R_analysis_Dryse'!J858</f>
        <v>R131</v>
      </c>
      <c r="J492">
        <f>IFERROR(INDEX('Green_rooibos initial weight'!$C$5:$C$1749,MATCH(H492, 'Green_rooibos initial weight'!$A$5:$A$1749,0)),"")</f>
        <v>1.917</v>
      </c>
      <c r="K492">
        <f>IFERROR(INDEX('Green_rooibos initial weight'!$C$5:$C$1749,MATCH(I492, 'Green_rooibos initial weight'!$A$5:$A$1749,0)),"")</f>
        <v>2.1560000000000001</v>
      </c>
      <c r="L492" s="195">
        <f t="shared" si="77"/>
        <v>1.6672</v>
      </c>
      <c r="M492" s="240">
        <f>AVERAGE(Ashed_controlls!$K$1:$K$11)</f>
        <v>5.5147656768714146</v>
      </c>
      <c r="N492" s="195">
        <f t="shared" si="72"/>
        <v>1.5752578266351998</v>
      </c>
      <c r="O492" s="195">
        <f t="shared" si="78"/>
        <v>1.9062000000000001</v>
      </c>
      <c r="P492" s="240">
        <f>AVERAGE(Ashed_controlls!$K$12:$K$14)</f>
        <v>2.2816647271287041</v>
      </c>
      <c r="Q492" s="195">
        <f t="shared" si="73"/>
        <v>1.8627069069714728</v>
      </c>
      <c r="R492" s="16">
        <f>IF('Dry_Litterbag Placem_Collection'!G199="N.A","",'Dry_Litterbag Placem_Collection'!G199)</f>
        <v>43004</v>
      </c>
      <c r="S492" s="195">
        <f>IF(IFERROR(INDEX('Both teabags AfterDry'!$D$1:$D$839,MATCH(H492,'Both teabags AfterDry'!$A$1:$A$839,0)),"")="N.A","",(IFERROR(INDEX('Both teabags AfterDry'!$D$1:$D$839,MATCH(H492,'Both teabags AfterDry'!$A$1:$A$839,0)),"")))</f>
        <v>0.82399999999999995</v>
      </c>
      <c r="T492" s="195">
        <f>IF(IFERROR(INDEX('Both teabags AfterDry'!$D$1:$D$839,MATCH(I492,'Both teabags AfterDry'!$A$1:$A$839,0)),"")="N.A","",(IFERROR(INDEX('Both teabags AfterDry'!$D$1:$D$839,MATCH(I492,'Both teabags AfterDry'!$A$1:$A$839,0)),"")))</f>
        <v>1.577</v>
      </c>
      <c r="U492" s="195">
        <f t="shared" si="79"/>
        <v>0.6734</v>
      </c>
      <c r="V492" s="195">
        <f t="shared" si="79"/>
        <v>1.4263999999999999</v>
      </c>
      <c r="W492" s="195">
        <f>IFERROR(INDEX('Ashed teabags dry'!$K$2:$K$821,MATCH(H492,'Ashed teabags dry'!$A$2:$A$821,0)),"")</f>
        <v>25.135802469135722</v>
      </c>
      <c r="X492" s="195">
        <f>IFERROR(INDEX('Ashed teabags dry'!$K$2:$K$821,MATCH(I492,'Ashed teabags dry'!$A$2:$A$821,0)),"")</f>
        <v>8.3446712018141849</v>
      </c>
      <c r="Y492" s="195">
        <f t="shared" si="74"/>
        <v>0.50413550617284009</v>
      </c>
      <c r="Z492" s="195">
        <f t="shared" si="74"/>
        <v>1.3073716099773223</v>
      </c>
      <c r="AA492" s="195">
        <f t="shared" si="80"/>
        <v>0.67996635366688551</v>
      </c>
      <c r="AB492" s="195">
        <f t="shared" si="81"/>
        <v>0.44577366653696066</v>
      </c>
      <c r="AC492" s="195">
        <f t="shared" si="75"/>
        <v>0.70186651753116869</v>
      </c>
      <c r="AD492">
        <f t="shared" si="76"/>
        <v>62</v>
      </c>
      <c r="AE492" s="195">
        <f t="shared" si="82"/>
        <v>0.19243900989681051</v>
      </c>
      <c r="AF492" s="195">
        <f t="shared" si="83"/>
        <v>1.7823116519063101E-2</v>
      </c>
      <c r="AG492" s="255" t="str">
        <f>IF(ISNUMBER(SEARCH("C", 'Dry_Litterbag Placem_Collection'!AD199)),"YES","NO")</f>
        <v>NO</v>
      </c>
      <c r="AH492" s="255" t="str">
        <f>IF(ISNUMBER(SEARCH("H", 'Dry_Litterbag Placem_Collection'!AD199)),"YES","NO")</f>
        <v>NO</v>
      </c>
      <c r="AI492" s="255" t="str">
        <f>IF(ISNUMBER(SEARCH("R", 'Dry_Litterbag Placem_Collection'!AD199)),"YES","NO")</f>
        <v>NO</v>
      </c>
      <c r="AJ492" s="255" t="str">
        <f>IF(ISNUMBER(SEARCH("C", 'Dry_Litterbag Placem_Collection'!AC199)),"YES","NO")</f>
        <v>NO</v>
      </c>
      <c r="AK492" s="255" t="str">
        <f>IF(ISNUMBER(SEARCH("H", 'Dry_Litterbag Placem_Collection'!AC199)),"YES","NO")</f>
        <v>NO</v>
      </c>
      <c r="AL492" s="255" t="str">
        <f>IF(ISNUMBER(SEARCH("R", 'Dry_Litterbag Placem_Collection'!AC199)),"YES","NO")</f>
        <v>NO</v>
      </c>
      <c r="AR492" t="s">
        <v>1796</v>
      </c>
      <c r="AT492" t="s">
        <v>1010</v>
      </c>
    </row>
    <row r="493" spans="2:46">
      <c r="B493" t="str">
        <f>'Final data_for_R_analysis_Dryse'!A639</f>
        <v>Dry</v>
      </c>
      <c r="C493" s="263">
        <f>'Final data_for_R_analysis_Dryse'!B639</f>
        <v>198</v>
      </c>
      <c r="D493" t="s">
        <v>2439</v>
      </c>
      <c r="E493" t="s">
        <v>25</v>
      </c>
      <c r="F493" s="387">
        <v>2</v>
      </c>
      <c r="G493" s="16">
        <f>'Dry_Litterbag Placem_Collection'!E200</f>
        <v>42942</v>
      </c>
      <c r="H493" s="92" t="str">
        <f>'Final data_for_R_analysis_Dryse'!J639</f>
        <v>G780</v>
      </c>
      <c r="I493" t="str">
        <f>'Final data_for_R_analysis_Dryse'!J859</f>
        <v>R711</v>
      </c>
      <c r="J493">
        <f>IFERROR(INDEX('Green_rooibos initial weight'!$C$5:$C$1749,MATCH(H493, 'Green_rooibos initial weight'!$A$5:$A$1749,0)),"")</f>
        <v>1.962</v>
      </c>
      <c r="K493">
        <f>IFERROR(INDEX('Green_rooibos initial weight'!$C$5:$C$1749,MATCH(I493, 'Green_rooibos initial weight'!$A$5:$A$1749,0)),"")</f>
        <v>2.13</v>
      </c>
      <c r="L493" s="195">
        <f t="shared" si="77"/>
        <v>1.7121999999999999</v>
      </c>
      <c r="M493" s="240">
        <f>AVERAGE(Ashed_controlls!$K$1:$K$11)</f>
        <v>5.5147656768714146</v>
      </c>
      <c r="N493" s="195">
        <f t="shared" si="72"/>
        <v>1.6177761820806076</v>
      </c>
      <c r="O493" s="195">
        <f t="shared" si="78"/>
        <v>1.8801999999999999</v>
      </c>
      <c r="P493" s="240">
        <f>AVERAGE(Ashed_controlls!$K$12:$K$14)</f>
        <v>2.2816647271287041</v>
      </c>
      <c r="Q493" s="195">
        <f t="shared" si="73"/>
        <v>1.837300139800526</v>
      </c>
      <c r="R493" s="16">
        <f>IF('Dry_Litterbag Placem_Collection'!G200="N.A","",'Dry_Litterbag Placem_Collection'!G200)</f>
        <v>43004</v>
      </c>
      <c r="S493" s="195">
        <f>IF(IFERROR(INDEX('Both teabags AfterDry'!$D$1:$D$839,MATCH(H493,'Both teabags AfterDry'!$A$1:$A$839,0)),"")="N.A","",(IFERROR(INDEX('Both teabags AfterDry'!$D$1:$D$839,MATCH(H493,'Both teabags AfterDry'!$A$1:$A$839,0)),"")))</f>
        <v>0.69899999999999995</v>
      </c>
      <c r="T493" s="195">
        <f>IF(IFERROR(INDEX('Both teabags AfterDry'!$D$1:$D$839,MATCH(I493,'Both teabags AfterDry'!$A$1:$A$839,0)),"")="N.A","",(IFERROR(INDEX('Both teabags AfterDry'!$D$1:$D$839,MATCH(I493,'Both teabags AfterDry'!$A$1:$A$839,0)),"")))</f>
        <v>1.7210000000000001</v>
      </c>
      <c r="U493" s="195">
        <f t="shared" si="79"/>
        <v>0.5484</v>
      </c>
      <c r="V493" s="195">
        <f t="shared" si="79"/>
        <v>1.5704</v>
      </c>
      <c r="W493" s="195">
        <f>IFERROR(INDEX('Ashed teabags dry'!$K$2:$K$821,MATCH(H493,'Ashed teabags dry'!$A$2:$A$821,0)),"")</f>
        <v>13.974854932302094</v>
      </c>
      <c r="X493" s="195">
        <f>IFERROR(INDEX('Ashed teabags dry'!$K$2:$K$821,MATCH(I493,'Ashed teabags dry'!$A$2:$A$821,0)),"")</f>
        <v>4.205838693715986</v>
      </c>
      <c r="Y493" s="195">
        <f t="shared" si="74"/>
        <v>0.47176189555125531</v>
      </c>
      <c r="Z493" s="195">
        <f t="shared" si="74"/>
        <v>1.5043515091538842</v>
      </c>
      <c r="AA493" s="195">
        <f t="shared" si="80"/>
        <v>0.70838865055824562</v>
      </c>
      <c r="AB493" s="195">
        <f t="shared" si="81"/>
        <v>0.46440681129234157</v>
      </c>
      <c r="AC493" s="195">
        <f t="shared" si="75"/>
        <v>0.81878375588498575</v>
      </c>
      <c r="AD493">
        <f t="shared" si="76"/>
        <v>62</v>
      </c>
      <c r="AE493" s="195">
        <f t="shared" si="82"/>
        <v>0.15868331287619286</v>
      </c>
      <c r="AF493" s="195">
        <f t="shared" si="83"/>
        <v>7.9780784404275516E-3</v>
      </c>
      <c r="AG493" s="255" t="str">
        <f>IF(ISNUMBER(SEARCH("C", 'Dry_Litterbag Placem_Collection'!AD200)),"YES","NO")</f>
        <v>NO</v>
      </c>
      <c r="AH493" s="255" t="str">
        <f>IF(ISNUMBER(SEARCH("H", 'Dry_Litterbag Placem_Collection'!AD200)),"YES","NO")</f>
        <v>NO</v>
      </c>
      <c r="AI493" s="255" t="str">
        <f>IF(ISNUMBER(SEARCH("R", 'Dry_Litterbag Placem_Collection'!AD200)),"YES","NO")</f>
        <v>NO</v>
      </c>
      <c r="AJ493" s="255" t="str">
        <f>IF(ISNUMBER(SEARCH("C", 'Dry_Litterbag Placem_Collection'!AC200)),"YES","NO")</f>
        <v>NO</v>
      </c>
      <c r="AK493" s="255" t="str">
        <f>IF(ISNUMBER(SEARCH("H", 'Dry_Litterbag Placem_Collection'!AC200)),"YES","NO")</f>
        <v>NO</v>
      </c>
      <c r="AL493" s="255" t="str">
        <f>IF(ISNUMBER(SEARCH("R", 'Dry_Litterbag Placem_Collection'!AC200)),"YES","NO")</f>
        <v>NO</v>
      </c>
      <c r="AR493" t="s">
        <v>1270</v>
      </c>
      <c r="AT493" t="s">
        <v>428</v>
      </c>
    </row>
    <row r="494" spans="2:46">
      <c r="B494" t="str">
        <f>'Final data_for_R_analysis_Dryse'!A640</f>
        <v>Dry</v>
      </c>
      <c r="C494" s="263">
        <f>'Final data_for_R_analysis_Dryse'!B640</f>
        <v>199</v>
      </c>
      <c r="D494" t="s">
        <v>2423</v>
      </c>
      <c r="E494" t="s">
        <v>25</v>
      </c>
      <c r="F494" s="387">
        <v>3</v>
      </c>
      <c r="G494" s="16">
        <f>'Dry_Litterbag Placem_Collection'!E201</f>
        <v>42942</v>
      </c>
      <c r="H494" s="92" t="str">
        <f>'Final data_for_R_analysis_Dryse'!J640</f>
        <v>G182</v>
      </c>
      <c r="I494" t="str">
        <f>'Final data_for_R_analysis_Dryse'!J860</f>
        <v>R236</v>
      </c>
      <c r="J494">
        <f>IFERROR(INDEX('Green_rooibos initial weight'!$C$5:$C$1749,MATCH(H494, 'Green_rooibos initial weight'!$A$5:$A$1749,0)),"")</f>
        <v>1.8919999999999999</v>
      </c>
      <c r="K494">
        <f>IFERROR(INDEX('Green_rooibos initial weight'!$C$5:$C$1749,MATCH(I494, 'Green_rooibos initial weight'!$A$5:$A$1749,0)),"")</f>
        <v>2.2440000000000002</v>
      </c>
      <c r="L494" s="195">
        <f t="shared" si="77"/>
        <v>1.6421999999999999</v>
      </c>
      <c r="M494" s="240">
        <f>AVERAGE(Ashed_controlls!$K$1:$K$11)</f>
        <v>5.5147656768714146</v>
      </c>
      <c r="N494" s="195">
        <f t="shared" si="72"/>
        <v>1.5516365180544176</v>
      </c>
      <c r="O494" s="195">
        <f t="shared" si="78"/>
        <v>1.9942000000000002</v>
      </c>
      <c r="P494" s="240">
        <f>AVERAGE(Ashed_controlls!$K$12:$K$14)</f>
        <v>2.2816647271287041</v>
      </c>
      <c r="Q494" s="195">
        <f t="shared" si="73"/>
        <v>1.9486990420115995</v>
      </c>
      <c r="R494" s="16">
        <f>IF('Dry_Litterbag Placem_Collection'!G201="N.A","",'Dry_Litterbag Placem_Collection'!G201)</f>
        <v>43004</v>
      </c>
      <c r="S494" s="195">
        <f>IF(IFERROR(INDEX('Both teabags AfterDry'!$D$1:$D$839,MATCH(H494,'Both teabags AfterDry'!$A$1:$A$839,0)),"")="N.A","",(IFERROR(INDEX('Both teabags AfterDry'!$D$1:$D$839,MATCH(H494,'Both teabags AfterDry'!$A$1:$A$839,0)),"")))</f>
        <v>0.62490000000000001</v>
      </c>
      <c r="T494" s="195">
        <f>IF(IFERROR(INDEX('Both teabags AfterDry'!$D$1:$D$839,MATCH(I494,'Both teabags AfterDry'!$A$1:$A$839,0)),"")="N.A","",(IFERROR(INDEX('Both teabags AfterDry'!$D$1:$D$839,MATCH(I494,'Both teabags AfterDry'!$A$1:$A$839,0)),"")))</f>
        <v>1.62</v>
      </c>
      <c r="U494" s="195">
        <f t="shared" si="79"/>
        <v>0.4743</v>
      </c>
      <c r="V494" s="195">
        <f t="shared" si="79"/>
        <v>1.4694</v>
      </c>
      <c r="W494" s="195">
        <f>IFERROR(INDEX('Ashed teabags dry'!$K$2:$K$821,MATCH(H494,'Ashed teabags dry'!$A$2:$A$821,0)),"")</f>
        <v>15.096201282683586</v>
      </c>
      <c r="X494" s="195">
        <f>IFERROR(INDEX('Ashed teabags dry'!$K$2:$K$821,MATCH(I494,'Ashed teabags dry'!$A$2:$A$821,0)),"")</f>
        <v>2.5580293699667425</v>
      </c>
      <c r="Y494" s="195">
        <f t="shared" si="74"/>
        <v>0.40269871731623175</v>
      </c>
      <c r="Z494" s="195">
        <f t="shared" si="74"/>
        <v>1.4318123164377088</v>
      </c>
      <c r="AA494" s="195">
        <f t="shared" si="80"/>
        <v>0.74046839409195409</v>
      </c>
      <c r="AB494" s="195">
        <f t="shared" si="81"/>
        <v>0.48543771204128111</v>
      </c>
      <c r="AC494" s="195">
        <f t="shared" si="75"/>
        <v>0.73475292262661562</v>
      </c>
      <c r="AD494">
        <f t="shared" si="76"/>
        <v>62</v>
      </c>
      <c r="AE494" s="195">
        <f t="shared" si="82"/>
        <v>0.12058385499767921</v>
      </c>
      <c r="AF494" s="195">
        <f t="shared" si="83"/>
        <v>1.2750924042370361E-2</v>
      </c>
      <c r="AG494" s="255" t="str">
        <f>IF(ISNUMBER(SEARCH("C", 'Dry_Litterbag Placem_Collection'!AD201)),"YES","NO")</f>
        <v>NO</v>
      </c>
      <c r="AH494" s="255" t="str">
        <f>IF(ISNUMBER(SEARCH("H", 'Dry_Litterbag Placem_Collection'!AD201)),"YES","NO")</f>
        <v>NO</v>
      </c>
      <c r="AI494" s="255" t="str">
        <f>IF(ISNUMBER(SEARCH("R", 'Dry_Litterbag Placem_Collection'!AD201)),"YES","NO")</f>
        <v>NO</v>
      </c>
      <c r="AJ494" s="255" t="str">
        <f>IF(ISNUMBER(SEARCH("C", 'Dry_Litterbag Placem_Collection'!AC201)),"YES","NO")</f>
        <v>NO</v>
      </c>
      <c r="AK494" s="255" t="str">
        <f>IF(ISNUMBER(SEARCH("H", 'Dry_Litterbag Placem_Collection'!AC201)),"YES","NO")</f>
        <v>NO</v>
      </c>
      <c r="AL494" s="255" t="str">
        <f>IF(ISNUMBER(SEARCH("R", 'Dry_Litterbag Placem_Collection'!AC201)),"YES","NO")</f>
        <v>NO</v>
      </c>
      <c r="AR494" t="s">
        <v>1868</v>
      </c>
      <c r="AT494" t="s">
        <v>905</v>
      </c>
    </row>
    <row r="495" spans="2:46">
      <c r="B495" t="str">
        <f>'Final data_for_R_analysis_Dryse'!A641</f>
        <v>Dry</v>
      </c>
      <c r="C495" s="263">
        <f>'Final data_for_R_analysis_Dryse'!B641</f>
        <v>200</v>
      </c>
      <c r="D495" t="s">
        <v>2446</v>
      </c>
      <c r="E495" t="s">
        <v>25</v>
      </c>
      <c r="F495" s="387">
        <v>4</v>
      </c>
      <c r="G495" s="16">
        <f>'Dry_Litterbag Placem_Collection'!E202</f>
        <v>42942</v>
      </c>
      <c r="H495" s="92" t="str">
        <f>'Final data_for_R_analysis_Dryse'!J641</f>
        <v>G186</v>
      </c>
      <c r="I495" t="str">
        <f>'Final data_for_R_analysis_Dryse'!J861</f>
        <v>R205</v>
      </c>
      <c r="J495">
        <f>IFERROR(INDEX('Green_rooibos initial weight'!$C$5:$C$1749,MATCH(H495, 'Green_rooibos initial weight'!$A$5:$A$1749,0)),"")</f>
        <v>2.0419999999999998</v>
      </c>
      <c r="K495">
        <f>IFERROR(INDEX('Green_rooibos initial weight'!$C$5:$C$1749,MATCH(I495, 'Green_rooibos initial weight'!$A$5:$A$1749,0)),"")</f>
        <v>2.181</v>
      </c>
      <c r="L495" s="195">
        <f t="shared" si="77"/>
        <v>1.7921999999999998</v>
      </c>
      <c r="M495" s="240">
        <f>AVERAGE(Ashed_controlls!$K$1:$K$11)</f>
        <v>5.5147656768714146</v>
      </c>
      <c r="N495" s="195">
        <f t="shared" si="72"/>
        <v>1.6933643695391103</v>
      </c>
      <c r="O495" s="195">
        <f t="shared" si="78"/>
        <v>1.9312</v>
      </c>
      <c r="P495" s="240">
        <f>AVERAGE(Ashed_controlls!$K$12:$K$14)</f>
        <v>2.2816647271287041</v>
      </c>
      <c r="Q495" s="195">
        <f t="shared" si="73"/>
        <v>1.8871364907896906</v>
      </c>
      <c r="R495" s="16">
        <f>IF('Dry_Litterbag Placem_Collection'!G202="N.A","",'Dry_Litterbag Placem_Collection'!G202)</f>
        <v>43004</v>
      </c>
      <c r="S495" s="195">
        <f>IF(IFERROR(INDEX('Both teabags AfterDry'!$D$1:$D$839,MATCH(H495,'Both teabags AfterDry'!$A$1:$A$839,0)),"")="N.A","",(IFERROR(INDEX('Both teabags AfterDry'!$D$1:$D$839,MATCH(H495,'Both teabags AfterDry'!$A$1:$A$839,0)),"")))</f>
        <v>0.6643</v>
      </c>
      <c r="T495" s="195">
        <f>IF(IFERROR(INDEX('Both teabags AfterDry'!$D$1:$D$839,MATCH(I495,'Both teabags AfterDry'!$A$1:$A$839,0)),"")="N.A","",(IFERROR(INDEX('Both teabags AfterDry'!$D$1:$D$839,MATCH(I495,'Both teabags AfterDry'!$A$1:$A$839,0)),"")))</f>
        <v>1.6595</v>
      </c>
      <c r="U495" s="195">
        <f t="shared" si="79"/>
        <v>0.51370000000000005</v>
      </c>
      <c r="V495" s="195">
        <f t="shared" si="79"/>
        <v>1.5088999999999999</v>
      </c>
      <c r="W495" s="195">
        <f>IFERROR(INDEX('Ashed teabags dry'!$K$2:$K$821,MATCH(H495,'Ashed teabags dry'!$A$2:$A$821,0)),"")</f>
        <v>12.606837606837463</v>
      </c>
      <c r="X495" s="195">
        <f>IFERROR(INDEX('Ashed teabags dry'!$K$2:$K$821,MATCH(I495,'Ashed teabags dry'!$A$2:$A$821,0)),"")</f>
        <v>2.2522522522528168</v>
      </c>
      <c r="Y495" s="195">
        <f t="shared" si="74"/>
        <v>0.44893867521367603</v>
      </c>
      <c r="Z495" s="195">
        <f t="shared" si="74"/>
        <v>1.4749157657657572</v>
      </c>
      <c r="AA495" s="195">
        <f t="shared" si="80"/>
        <v>0.73488359428758654</v>
      </c>
      <c r="AB495" s="195">
        <f t="shared" si="81"/>
        <v>0.48177641810777655</v>
      </c>
      <c r="AC495" s="195">
        <f t="shared" si="75"/>
        <v>0.7815628455939424</v>
      </c>
      <c r="AD495">
        <f t="shared" si="76"/>
        <v>62</v>
      </c>
      <c r="AE495" s="195">
        <f t="shared" si="82"/>
        <v>0.12721663386272375</v>
      </c>
      <c r="AF495" s="195">
        <f t="shared" si="83"/>
        <v>9.7425317203283877E-3</v>
      </c>
      <c r="AG495" s="255" t="str">
        <f>IF(ISNUMBER(SEARCH("C", 'Dry_Litterbag Placem_Collection'!AD202)),"YES","NO")</f>
        <v>NO</v>
      </c>
      <c r="AH495" s="255" t="str">
        <f>IF(ISNUMBER(SEARCH("H", 'Dry_Litterbag Placem_Collection'!AD202)),"YES","NO")</f>
        <v>NO</v>
      </c>
      <c r="AI495" s="255" t="str">
        <f>IF(ISNUMBER(SEARCH("R", 'Dry_Litterbag Placem_Collection'!AD202)),"YES","NO")</f>
        <v>NO</v>
      </c>
      <c r="AJ495" s="255" t="str">
        <f>IF(ISNUMBER(SEARCH("C", 'Dry_Litterbag Placem_Collection'!AC202)),"YES","NO")</f>
        <v>NO</v>
      </c>
      <c r="AK495" s="255" t="str">
        <f>IF(ISNUMBER(SEARCH("H", 'Dry_Litterbag Placem_Collection'!AC202)),"YES","NO")</f>
        <v>NO</v>
      </c>
      <c r="AL495" s="255" t="str">
        <f>IF(ISNUMBER(SEARCH("R", 'Dry_Litterbag Placem_Collection'!AC202)),"YES","NO")</f>
        <v>NO</v>
      </c>
      <c r="AR495" t="s">
        <v>1864</v>
      </c>
      <c r="AT495" t="s">
        <v>936</v>
      </c>
    </row>
    <row r="496" spans="2:46">
      <c r="B496" t="str">
        <f>'Final data_for_R_analysis_Dryse'!A642</f>
        <v>Dry</v>
      </c>
      <c r="C496" s="263">
        <f>'Final data_for_R_analysis_Dryse'!B642</f>
        <v>201</v>
      </c>
      <c r="D496" t="s">
        <v>2447</v>
      </c>
      <c r="E496" t="s">
        <v>25</v>
      </c>
      <c r="F496" s="387">
        <v>1</v>
      </c>
      <c r="G496" s="16">
        <f>'Dry_Litterbag Placem_Collection'!E203</f>
        <v>42942</v>
      </c>
      <c r="H496" s="92" t="str">
        <f>'Final data_for_R_analysis_Dryse'!J642</f>
        <v>G315</v>
      </c>
      <c r="I496" t="str">
        <f>'Final data_for_R_analysis_Dryse'!J862</f>
        <v>R665</v>
      </c>
      <c r="J496">
        <f>IFERROR(INDEX('Green_rooibos initial weight'!$C$5:$C$1749,MATCH(H496, 'Green_rooibos initial weight'!$A$5:$A$1749,0)),"")</f>
        <v>2.0960000000000001</v>
      </c>
      <c r="K496">
        <f>IFERROR(INDEX('Green_rooibos initial weight'!$C$5:$C$1749,MATCH(I496, 'Green_rooibos initial weight'!$A$5:$A$1749,0)),"")</f>
        <v>2.1579999999999999</v>
      </c>
      <c r="L496" s="195">
        <f t="shared" si="77"/>
        <v>1.8462000000000001</v>
      </c>
      <c r="M496" s="240">
        <f>AVERAGE(Ashed_controlls!$K$1:$K$11)</f>
        <v>5.5147656768714146</v>
      </c>
      <c r="N496" s="195">
        <f t="shared" si="72"/>
        <v>1.7443863960735999</v>
      </c>
      <c r="O496" s="195">
        <f t="shared" si="78"/>
        <v>1.9081999999999999</v>
      </c>
      <c r="P496" s="240">
        <f>AVERAGE(Ashed_controlls!$K$12:$K$14)</f>
        <v>2.2816647271287041</v>
      </c>
      <c r="Q496" s="195">
        <f t="shared" si="73"/>
        <v>1.8646612736769299</v>
      </c>
      <c r="R496" s="16">
        <f>IF('Dry_Litterbag Placem_Collection'!G203="N.A","",'Dry_Litterbag Placem_Collection'!G203)</f>
        <v>43004</v>
      </c>
      <c r="S496" s="195">
        <f>IF(IFERROR(INDEX('Both teabags AfterDry'!$D$1:$D$839,MATCH(H496,'Both teabags AfterDry'!$A$1:$A$839,0)),"")="N.A","",(IFERROR(INDEX('Both teabags AfterDry'!$D$1:$D$839,MATCH(H496,'Both teabags AfterDry'!$A$1:$A$839,0)),"")))</f>
        <v>0.84</v>
      </c>
      <c r="T496" s="195">
        <f>IF(IFERROR(INDEX('Both teabags AfterDry'!$D$1:$D$839,MATCH(I496,'Both teabags AfterDry'!$A$1:$A$839,0)),"")="N.A","",(IFERROR(INDEX('Both teabags AfterDry'!$D$1:$D$839,MATCH(I496,'Both teabags AfterDry'!$A$1:$A$839,0)),"")))</f>
        <v>1.7869999999999999</v>
      </c>
      <c r="U496" s="195">
        <f t="shared" si="79"/>
        <v>0.68940000000000001</v>
      </c>
      <c r="V496" s="195">
        <f t="shared" si="79"/>
        <v>1.6363999999999999</v>
      </c>
      <c r="W496" s="195">
        <f>IFERROR(INDEX('Ashed teabags dry'!$K$2:$K$821,MATCH(H496,'Ashed teabags dry'!$A$2:$A$821,0)),"")</f>
        <v>16.658642272508086</v>
      </c>
      <c r="X496" s="195">
        <f>IFERROR(INDEX('Ashed teabags dry'!$K$2:$K$821,MATCH(I496,'Ashed teabags dry'!$A$2:$A$821,0)),"")</f>
        <v>6.3397721644379263</v>
      </c>
      <c r="Y496" s="195">
        <f t="shared" si="74"/>
        <v>0.57455532017332922</v>
      </c>
      <c r="Z496" s="195">
        <f t="shared" si="74"/>
        <v>1.5326559683011376</v>
      </c>
      <c r="AA496" s="195">
        <f t="shared" si="80"/>
        <v>0.67062611731748034</v>
      </c>
      <c r="AB496" s="195">
        <f t="shared" si="81"/>
        <v>0.43965037619863323</v>
      </c>
      <c r="AC496" s="195">
        <f t="shared" si="75"/>
        <v>0.82194873135263313</v>
      </c>
      <c r="AD496">
        <f t="shared" si="76"/>
        <v>62</v>
      </c>
      <c r="AE496" s="195">
        <f t="shared" si="82"/>
        <v>0.20353192717638913</v>
      </c>
      <c r="AF496" s="195">
        <f t="shared" si="83"/>
        <v>8.3736548939716479E-3</v>
      </c>
      <c r="AG496" s="255" t="str">
        <f>IF(ISNUMBER(SEARCH("C", 'Dry_Litterbag Placem_Collection'!AD203)),"YES","NO")</f>
        <v>NO</v>
      </c>
      <c r="AH496" s="255" t="str">
        <f>IF(ISNUMBER(SEARCH("H", 'Dry_Litterbag Placem_Collection'!AD203)),"YES","NO")</f>
        <v>NO</v>
      </c>
      <c r="AI496" s="255" t="str">
        <f>IF(ISNUMBER(SEARCH("R", 'Dry_Litterbag Placem_Collection'!AD203)),"YES","NO")</f>
        <v>NO</v>
      </c>
      <c r="AJ496" s="255" t="str">
        <f>IF(ISNUMBER(SEARCH("C", 'Dry_Litterbag Placem_Collection'!AC203)),"YES","NO")</f>
        <v>NO</v>
      </c>
      <c r="AK496" s="255" t="str">
        <f>IF(ISNUMBER(SEARCH("H", 'Dry_Litterbag Placem_Collection'!AC203)),"YES","NO")</f>
        <v>NO</v>
      </c>
      <c r="AL496" s="255" t="str">
        <f>IF(ISNUMBER(SEARCH("R", 'Dry_Litterbag Placem_Collection'!AC203)),"YES","NO")</f>
        <v>NO</v>
      </c>
      <c r="AR496" t="s">
        <v>1735</v>
      </c>
      <c r="AT496" t="s">
        <v>474</v>
      </c>
    </row>
    <row r="497" spans="2:46">
      <c r="B497" t="str">
        <f>'Final data_for_R_analysis_Dryse'!A643</f>
        <v>Dry</v>
      </c>
      <c r="C497" s="263">
        <f>'Final data_for_R_analysis_Dryse'!B643</f>
        <v>202</v>
      </c>
      <c r="D497" t="s">
        <v>2424</v>
      </c>
      <c r="E497" t="s">
        <v>25</v>
      </c>
      <c r="F497" s="387">
        <v>2</v>
      </c>
      <c r="G497" s="16">
        <f>'Dry_Litterbag Placem_Collection'!E204</f>
        <v>42942</v>
      </c>
      <c r="H497" s="92" t="str">
        <f>'Final data_for_R_analysis_Dryse'!J643</f>
        <v>G147</v>
      </c>
      <c r="I497" t="str">
        <f>'Final data_for_R_analysis_Dryse'!J863</f>
        <v>R224</v>
      </c>
      <c r="J497">
        <f>IFERROR(INDEX('Green_rooibos initial weight'!$C$5:$C$1749,MATCH(H497, 'Green_rooibos initial weight'!$A$5:$A$1749,0)),"")</f>
        <v>2.0369999999999999</v>
      </c>
      <c r="K497">
        <f>IFERROR(INDEX('Green_rooibos initial weight'!$C$5:$C$1749,MATCH(I497, 'Green_rooibos initial weight'!$A$5:$A$1749,0)),"")</f>
        <v>2.298</v>
      </c>
      <c r="L497" s="195">
        <f t="shared" si="77"/>
        <v>1.7871999999999999</v>
      </c>
      <c r="M497" s="240">
        <f>AVERAGE(Ashed_controlls!$K$1:$K$11)</f>
        <v>5.5147656768714146</v>
      </c>
      <c r="N497" s="195">
        <f t="shared" si="72"/>
        <v>1.688640107822954</v>
      </c>
      <c r="O497" s="195">
        <f t="shared" si="78"/>
        <v>2.0482</v>
      </c>
      <c r="P497" s="240">
        <f>AVERAGE(Ashed_controlls!$K$12:$K$14)</f>
        <v>2.2816647271287041</v>
      </c>
      <c r="Q497" s="195">
        <f t="shared" si="73"/>
        <v>2.0014669430589498</v>
      </c>
      <c r="R497" s="16">
        <f>IF('Dry_Litterbag Placem_Collection'!G204="N.A","",'Dry_Litterbag Placem_Collection'!G204)</f>
        <v>43004</v>
      </c>
      <c r="S497" s="195">
        <f>IF(IFERROR(INDEX('Both teabags AfterDry'!$D$1:$D$839,MATCH(H497,'Both teabags AfterDry'!$A$1:$A$839,0)),"")="N.A","",(IFERROR(INDEX('Both teabags AfterDry'!$D$1:$D$839,MATCH(H497,'Both teabags AfterDry'!$A$1:$A$839,0)),"")))</f>
        <v>0.71709999999999996</v>
      </c>
      <c r="T497" s="195">
        <f>IF(IFERROR(INDEX('Both teabags AfterDry'!$D$1:$D$839,MATCH(I497,'Both teabags AfterDry'!$A$1:$A$839,0)),"")="N.A","",(IFERROR(INDEX('Both teabags AfterDry'!$D$1:$D$839,MATCH(I497,'Both teabags AfterDry'!$A$1:$A$839,0)),"")))</f>
        <v>1.8384</v>
      </c>
      <c r="U497" s="195">
        <f t="shared" si="79"/>
        <v>0.5665</v>
      </c>
      <c r="V497" s="195">
        <f t="shared" si="79"/>
        <v>1.6878</v>
      </c>
      <c r="W497" s="195">
        <f>IFERROR(INDEX('Ashed teabags dry'!$K$2:$K$821,MATCH(H497,'Ashed teabags dry'!$A$2:$A$821,0)),"")</f>
        <v>19.843214110729726</v>
      </c>
      <c r="X497" s="195">
        <f>IFERROR(INDEX('Ashed teabags dry'!$K$2:$K$821,MATCH(I497,'Ashed teabags dry'!$A$2:$A$821,0)),"")</f>
        <v>11.207685269899079</v>
      </c>
      <c r="Y497" s="195">
        <f t="shared" si="74"/>
        <v>0.45408819206271611</v>
      </c>
      <c r="Z497" s="195">
        <f t="shared" si="74"/>
        <v>1.4986366880146433</v>
      </c>
      <c r="AA497" s="195">
        <f t="shared" si="80"/>
        <v>0.73109238021822165</v>
      </c>
      <c r="AB497" s="195">
        <f t="shared" si="81"/>
        <v>0.47929096660386983</v>
      </c>
      <c r="AC497" s="195">
        <f t="shared" si="75"/>
        <v>0.7487691431586655</v>
      </c>
      <c r="AD497">
        <f t="shared" si="76"/>
        <v>62</v>
      </c>
      <c r="AE497" s="195">
        <f t="shared" si="82"/>
        <v>0.13171926339878659</v>
      </c>
      <c r="AF497" s="195">
        <f t="shared" si="83"/>
        <v>1.1979010087263537E-2</v>
      </c>
      <c r="AG497" s="255" t="str">
        <f>IF(ISNUMBER(SEARCH("C", 'Dry_Litterbag Placem_Collection'!AD204)),"YES","NO")</f>
        <v>NO</v>
      </c>
      <c r="AH497" s="255" t="str">
        <f>IF(ISNUMBER(SEARCH("H", 'Dry_Litterbag Placem_Collection'!AD204)),"YES","NO")</f>
        <v>NO</v>
      </c>
      <c r="AI497" s="255" t="str">
        <f>IF(ISNUMBER(SEARCH("R", 'Dry_Litterbag Placem_Collection'!AD204)),"YES","NO")</f>
        <v>NO</v>
      </c>
      <c r="AJ497" s="255" t="str">
        <f>IF(ISNUMBER(SEARCH("C", 'Dry_Litterbag Placem_Collection'!AC204)),"YES","NO")</f>
        <v>NO</v>
      </c>
      <c r="AK497" s="255" t="str">
        <f>IF(ISNUMBER(SEARCH("H", 'Dry_Litterbag Placem_Collection'!AC204)),"YES","NO")</f>
        <v>NO</v>
      </c>
      <c r="AL497" s="255" t="str">
        <f>IF(ISNUMBER(SEARCH("R", 'Dry_Litterbag Placem_Collection'!AC204)),"YES","NO")</f>
        <v>NO</v>
      </c>
      <c r="AR497" t="s">
        <v>1903</v>
      </c>
      <c r="AT497" t="s">
        <v>917</v>
      </c>
    </row>
    <row r="498" spans="2:46">
      <c r="B498" t="str">
        <f>'Final data_for_R_analysis_Dryse'!A644</f>
        <v>Dry</v>
      </c>
      <c r="C498" s="263">
        <f>'Final data_for_R_analysis_Dryse'!B644</f>
        <v>203</v>
      </c>
      <c r="D498" t="s">
        <v>2433</v>
      </c>
      <c r="E498" t="s">
        <v>25</v>
      </c>
      <c r="F498" s="387">
        <v>3</v>
      </c>
      <c r="G498" s="16">
        <f>'Dry_Litterbag Placem_Collection'!E205</f>
        <v>42942</v>
      </c>
      <c r="H498" s="92" t="str">
        <f>'Final data_for_R_analysis_Dryse'!J644</f>
        <v>G168</v>
      </c>
      <c r="I498" t="str">
        <f>'Final data_for_R_analysis_Dryse'!J864</f>
        <v>R621</v>
      </c>
      <c r="J498">
        <f>IFERROR(INDEX('Green_rooibos initial weight'!$C$5:$C$1749,MATCH(H498, 'Green_rooibos initial weight'!$A$5:$A$1749,0)),"")</f>
        <v>2.0499999999999998</v>
      </c>
      <c r="K498">
        <f>IFERROR(INDEX('Green_rooibos initial weight'!$C$5:$C$1749,MATCH(I498, 'Green_rooibos initial weight'!$A$5:$A$1749,0)),"")</f>
        <v>2.0459999999999998</v>
      </c>
      <c r="L498" s="195">
        <f t="shared" si="77"/>
        <v>1.8001999999999998</v>
      </c>
      <c r="M498" s="240">
        <f>AVERAGE(Ashed_controlls!$K$1:$K$11)</f>
        <v>5.5147656768714146</v>
      </c>
      <c r="N498" s="195">
        <f t="shared" si="72"/>
        <v>1.7009231882849607</v>
      </c>
      <c r="O498" s="195">
        <f t="shared" si="78"/>
        <v>1.7961999999999998</v>
      </c>
      <c r="P498" s="240">
        <f>AVERAGE(Ashed_controlls!$K$12:$K$14)</f>
        <v>2.2816647271287041</v>
      </c>
      <c r="Q498" s="195">
        <f t="shared" si="73"/>
        <v>1.755216738171314</v>
      </c>
      <c r="R498" s="16">
        <f>IF('Dry_Litterbag Placem_Collection'!G205="N.A","",'Dry_Litterbag Placem_Collection'!G205)</f>
        <v>43004</v>
      </c>
      <c r="S498" s="195">
        <f>IF(IFERROR(INDEX('Both teabags AfterDry'!$D$1:$D$839,MATCH(H498,'Both teabags AfterDry'!$A$1:$A$839,0)),"")="N.A","",(IFERROR(INDEX('Both teabags AfterDry'!$D$1:$D$839,MATCH(H498,'Both teabags AfterDry'!$A$1:$A$839,0)),"")))</f>
        <v>0.72609999999999997</v>
      </c>
      <c r="T498" s="195">
        <f>IF(IFERROR(INDEX('Both teabags AfterDry'!$D$1:$D$839,MATCH(I498,'Both teabags AfterDry'!$A$1:$A$839,0)),"")="N.A","",(IFERROR(INDEX('Both teabags AfterDry'!$D$1:$D$839,MATCH(I498,'Both teabags AfterDry'!$A$1:$A$839,0)),"")))</f>
        <v>1.6888000000000001</v>
      </c>
      <c r="U498" s="195">
        <f t="shared" si="79"/>
        <v>0.5754999999999999</v>
      </c>
      <c r="V498" s="195">
        <f t="shared" si="79"/>
        <v>1.5382</v>
      </c>
      <c r="W498" s="195">
        <f>IFERROR(INDEX('Ashed teabags dry'!$K$2:$K$821,MATCH(H498,'Ashed teabags dry'!$A$2:$A$821,0)),"")</f>
        <v>14.424477901894273</v>
      </c>
      <c r="X498" s="195">
        <f>IFERROR(INDEX('Ashed teabags dry'!$K$2:$K$821,MATCH(I498,'Ashed teabags dry'!$A$2:$A$821,0)),"")</f>
        <v>4.0788883908559299</v>
      </c>
      <c r="Y498" s="195">
        <f t="shared" si="74"/>
        <v>0.4924871296745984</v>
      </c>
      <c r="Z498" s="195">
        <f t="shared" si="74"/>
        <v>1.4754585387718542</v>
      </c>
      <c r="AA498" s="195">
        <f t="shared" si="80"/>
        <v>0.71045892426737223</v>
      </c>
      <c r="AB498" s="195">
        <f t="shared" si="81"/>
        <v>0.46576404536293292</v>
      </c>
      <c r="AC498" s="195">
        <f t="shared" si="75"/>
        <v>0.84061330243982968</v>
      </c>
      <c r="AD498">
        <f t="shared" si="76"/>
        <v>62</v>
      </c>
      <c r="AE498" s="195">
        <f t="shared" si="82"/>
        <v>0.15622455550193315</v>
      </c>
      <c r="AF498" s="195">
        <f t="shared" si="83"/>
        <v>6.7558332336020701E-3</v>
      </c>
      <c r="AG498" s="255" t="str">
        <f>IF(ISNUMBER(SEARCH("C", 'Dry_Litterbag Placem_Collection'!AD205)),"YES","NO")</f>
        <v>NO</v>
      </c>
      <c r="AH498" s="255" t="str">
        <f>IF(ISNUMBER(SEARCH("H", 'Dry_Litterbag Placem_Collection'!AD205)),"YES","NO")</f>
        <v>NO</v>
      </c>
      <c r="AI498" s="255" t="str">
        <f>IF(ISNUMBER(SEARCH("R", 'Dry_Litterbag Placem_Collection'!AD205)),"YES","NO")</f>
        <v>NO</v>
      </c>
      <c r="AJ498" s="255" t="str">
        <f>IF(ISNUMBER(SEARCH("C", 'Dry_Litterbag Placem_Collection'!AC205)),"YES","NO")</f>
        <v>NO</v>
      </c>
      <c r="AK498" s="255" t="str">
        <f>IF(ISNUMBER(SEARCH("H", 'Dry_Litterbag Placem_Collection'!AC205)),"YES","NO")</f>
        <v>NO</v>
      </c>
      <c r="AL498" s="255" t="str">
        <f>IF(ISNUMBER(SEARCH("R", 'Dry_Litterbag Placem_Collection'!AC205)),"YES","NO")</f>
        <v>NO</v>
      </c>
      <c r="AR498" t="s">
        <v>1882</v>
      </c>
      <c r="AT498" t="s">
        <v>518</v>
      </c>
    </row>
    <row r="499" spans="2:46">
      <c r="B499" t="str">
        <f>'Final data_for_R_analysis_Dryse'!A645</f>
        <v>Dry</v>
      </c>
      <c r="C499" s="263">
        <f>'Final data_for_R_analysis_Dryse'!B645</f>
        <v>204</v>
      </c>
      <c r="D499" t="s">
        <v>2440</v>
      </c>
      <c r="E499" t="s">
        <v>25</v>
      </c>
      <c r="F499" s="387">
        <v>4</v>
      </c>
      <c r="G499" s="16">
        <f>'Dry_Litterbag Placem_Collection'!E206</f>
        <v>42942</v>
      </c>
      <c r="H499" s="92" t="str">
        <f>'Final data_for_R_analysis_Dryse'!J645</f>
        <v>G672</v>
      </c>
      <c r="I499" t="str">
        <f>'Final data_for_R_analysis_Dryse'!J865</f>
        <v>R708</v>
      </c>
      <c r="J499">
        <f>IFERROR(INDEX('Green_rooibos initial weight'!$C$5:$C$1749,MATCH(H499, 'Green_rooibos initial weight'!$A$5:$A$1749,0)),"")</f>
        <v>2.0350000000000001</v>
      </c>
      <c r="K499">
        <f>IFERROR(INDEX('Green_rooibos initial weight'!$C$5:$C$1749,MATCH(I499, 'Green_rooibos initial weight'!$A$5:$A$1749,0)),"")</f>
        <v>2.157</v>
      </c>
      <c r="L499" s="195">
        <f t="shared" si="77"/>
        <v>1.7852000000000001</v>
      </c>
      <c r="M499" s="240">
        <f>AVERAGE(Ashed_controlls!$K$1:$K$11)</f>
        <v>5.5147656768714146</v>
      </c>
      <c r="N499" s="195">
        <f t="shared" si="72"/>
        <v>1.6867504031364917</v>
      </c>
      <c r="O499" s="195">
        <f t="shared" si="78"/>
        <v>1.9072</v>
      </c>
      <c r="P499" s="240">
        <f>AVERAGE(Ashed_controlls!$K$12:$K$14)</f>
        <v>2.2816647271287041</v>
      </c>
      <c r="Q499" s="195">
        <f t="shared" si="73"/>
        <v>1.8636840903242013</v>
      </c>
      <c r="R499" s="16">
        <f>IF('Dry_Litterbag Placem_Collection'!G206="N.A","",'Dry_Litterbag Placem_Collection'!G206)</f>
        <v>43004</v>
      </c>
      <c r="S499" s="195">
        <f>IF(IFERROR(INDEX('Both teabags AfterDry'!$D$1:$D$839,MATCH(H499,'Both teabags AfterDry'!$A$1:$A$839,0)),"")="N.A","",(IFERROR(INDEX('Both teabags AfterDry'!$D$1:$D$839,MATCH(H499,'Both teabags AfterDry'!$A$1:$A$839,0)),"")))</f>
        <v>0.75690000000000002</v>
      </c>
      <c r="T499" s="195">
        <f>IF(IFERROR(INDEX('Both teabags AfterDry'!$D$1:$D$839,MATCH(I499,'Both teabags AfterDry'!$A$1:$A$839,0)),"")="N.A","",(IFERROR(INDEX('Both teabags AfterDry'!$D$1:$D$839,MATCH(I499,'Both teabags AfterDry'!$A$1:$A$839,0)),"")))</f>
        <v>1.7259</v>
      </c>
      <c r="U499" s="195">
        <f t="shared" si="79"/>
        <v>0.60630000000000006</v>
      </c>
      <c r="V499" s="195">
        <f t="shared" si="79"/>
        <v>1.5752999999999999</v>
      </c>
      <c r="W499" s="195">
        <f>IFERROR(INDEX('Ashed teabags dry'!$K$2:$K$821,MATCH(H499,'Ashed teabags dry'!$A$2:$A$821,0)),"")</f>
        <v>21.599219892735228</v>
      </c>
      <c r="X499" s="195">
        <f>IFERROR(INDEX('Ashed teabags dry'!$K$2:$K$821,MATCH(I499,'Ashed teabags dry'!$A$2:$A$821,0)),"")</f>
        <v>5.9528907922913135</v>
      </c>
      <c r="Y499" s="195">
        <f t="shared" si="74"/>
        <v>0.47534392979034634</v>
      </c>
      <c r="Z499" s="195">
        <f t="shared" si="74"/>
        <v>1.4815241113490349</v>
      </c>
      <c r="AA499" s="195">
        <f t="shared" si="80"/>
        <v>0.71818952649636247</v>
      </c>
      <c r="AB499" s="195">
        <f t="shared" si="81"/>
        <v>0.47083208862944431</v>
      </c>
      <c r="AC499" s="195">
        <f t="shared" si="75"/>
        <v>0.79494379924191605</v>
      </c>
      <c r="AD499">
        <f t="shared" si="76"/>
        <v>62</v>
      </c>
      <c r="AE499" s="195">
        <f t="shared" si="82"/>
        <v>0.14704331770028212</v>
      </c>
      <c r="AF499" s="195">
        <f t="shared" si="83"/>
        <v>9.2233565140805909E-3</v>
      </c>
      <c r="AG499" s="255" t="str">
        <f>IF(ISNUMBER(SEARCH("C", 'Dry_Litterbag Placem_Collection'!AD206)),"YES","NO")</f>
        <v>NO</v>
      </c>
      <c r="AH499" s="255" t="str">
        <f>IF(ISNUMBER(SEARCH("H", 'Dry_Litterbag Placem_Collection'!AD206)),"YES","NO")</f>
        <v>NO</v>
      </c>
      <c r="AI499" s="255" t="str">
        <f>IF(ISNUMBER(SEARCH("R", 'Dry_Litterbag Placem_Collection'!AD206)),"YES","NO")</f>
        <v>NO</v>
      </c>
      <c r="AJ499" s="255" t="str">
        <f>IF(ISNUMBER(SEARCH("C", 'Dry_Litterbag Placem_Collection'!AC206)),"YES","NO")</f>
        <v>NO</v>
      </c>
      <c r="AK499" s="255" t="str">
        <f>IF(ISNUMBER(SEARCH("H", 'Dry_Litterbag Placem_Collection'!AC206)),"YES","NO")</f>
        <v>NO</v>
      </c>
      <c r="AL499" s="255" t="str">
        <f>IF(ISNUMBER(SEARCH("R", 'Dry_Litterbag Placem_Collection'!AC206)),"YES","NO")</f>
        <v>NO</v>
      </c>
      <c r="AR499" t="s">
        <v>1378</v>
      </c>
      <c r="AT499" t="s">
        <v>431</v>
      </c>
    </row>
    <row r="500" spans="2:46">
      <c r="B500" t="str">
        <f>'Final data_for_R_analysis_Dryse'!A646</f>
        <v>Dry</v>
      </c>
      <c r="C500" s="263">
        <f>'Final data_for_R_analysis_Dryse'!B646</f>
        <v>205</v>
      </c>
      <c r="D500" t="s">
        <v>2434</v>
      </c>
      <c r="E500" t="s">
        <v>25</v>
      </c>
      <c r="F500" s="387">
        <v>1</v>
      </c>
      <c r="G500" s="16">
        <f>'Dry_Litterbag Placem_Collection'!E207</f>
        <v>42942</v>
      </c>
      <c r="H500" s="92" t="str">
        <f>'Final data_for_R_analysis_Dryse'!J646</f>
        <v>G173</v>
      </c>
      <c r="I500" t="str">
        <f>'Final data_for_R_analysis_Dryse'!J866</f>
        <v>R637</v>
      </c>
      <c r="J500">
        <f>IFERROR(INDEX('Green_rooibos initial weight'!$C$5:$C$1749,MATCH(H500, 'Green_rooibos initial weight'!$A$5:$A$1749,0)),"")</f>
        <v>2.1419999999999999</v>
      </c>
      <c r="K500">
        <f>IFERROR(INDEX('Green_rooibos initial weight'!$C$5:$C$1749,MATCH(I500, 'Green_rooibos initial weight'!$A$5:$A$1749,0)),"")</f>
        <v>2.129</v>
      </c>
      <c r="L500" s="195">
        <f t="shared" si="77"/>
        <v>1.8921999999999999</v>
      </c>
      <c r="M500" s="240">
        <f>AVERAGE(Ashed_controlls!$K$1:$K$11)</f>
        <v>5.5147656768714146</v>
      </c>
      <c r="N500" s="195">
        <f t="shared" si="72"/>
        <v>1.7878496038622389</v>
      </c>
      <c r="O500" s="195">
        <f t="shared" si="78"/>
        <v>1.8792</v>
      </c>
      <c r="P500" s="240">
        <f>AVERAGE(Ashed_controlls!$K$12:$K$14)</f>
        <v>2.2816647271287041</v>
      </c>
      <c r="Q500" s="195">
        <f t="shared" si="73"/>
        <v>1.8363229564477974</v>
      </c>
      <c r="R500" s="16">
        <f>IF('Dry_Litterbag Placem_Collection'!G207="N.A","",'Dry_Litterbag Placem_Collection'!G207)</f>
        <v>43004</v>
      </c>
      <c r="S500" s="195">
        <f>IF(IFERROR(INDEX('Both teabags AfterDry'!$D$1:$D$839,MATCH(H500,'Both teabags AfterDry'!$A$1:$A$839,0)),"")="N.A","",(IFERROR(INDEX('Both teabags AfterDry'!$D$1:$D$839,MATCH(H500,'Both teabags AfterDry'!$A$1:$A$839,0)),"")))</f>
        <v>0.79190000000000005</v>
      </c>
      <c r="T500" s="195">
        <f>IF(IFERROR(INDEX('Both teabags AfterDry'!$D$1:$D$839,MATCH(I500,'Both teabags AfterDry'!$A$1:$A$839,0)),"")="N.A","",(IFERROR(INDEX('Both teabags AfterDry'!$D$1:$D$839,MATCH(I500,'Both teabags AfterDry'!$A$1:$A$839,0)),"")))</f>
        <v>1.6534</v>
      </c>
      <c r="U500" s="195">
        <f t="shared" si="79"/>
        <v>0.64129999999999998</v>
      </c>
      <c r="V500" s="195">
        <f t="shared" si="79"/>
        <v>1.5027999999999999</v>
      </c>
      <c r="W500" s="195">
        <f>IFERROR(INDEX('Ashed teabags dry'!$K$2:$K$821,MATCH(H500,'Ashed teabags dry'!$A$2:$A$821,0)),"")</f>
        <v>18.018433179723015</v>
      </c>
      <c r="X500" s="195">
        <f>IFERROR(INDEX('Ashed teabags dry'!$K$2:$K$821,MATCH(I500,'Ashed teabags dry'!$A$2:$A$821,0)),"")</f>
        <v>4.9312470365094017</v>
      </c>
      <c r="Y500" s="195">
        <f t="shared" si="74"/>
        <v>0.52574778801843625</v>
      </c>
      <c r="Z500" s="195">
        <f t="shared" si="74"/>
        <v>1.4286932195353366</v>
      </c>
      <c r="AA500" s="195">
        <f t="shared" si="80"/>
        <v>0.70593287775287206</v>
      </c>
      <c r="AB500" s="195">
        <f t="shared" si="81"/>
        <v>0.46279685097337936</v>
      </c>
      <c r="AC500" s="195">
        <f t="shared" si="75"/>
        <v>0.77801849316256211</v>
      </c>
      <c r="AD500">
        <f t="shared" si="76"/>
        <v>62</v>
      </c>
      <c r="AE500" s="195">
        <f t="shared" si="82"/>
        <v>0.16159990765692156</v>
      </c>
      <c r="AF500" s="195">
        <f t="shared" si="83"/>
        <v>1.0536415453297575E-2</v>
      </c>
      <c r="AG500" s="255" t="str">
        <f>IF(ISNUMBER(SEARCH("C", 'Dry_Litterbag Placem_Collection'!AD207)),"YES","NO")</f>
        <v>NO</v>
      </c>
      <c r="AH500" s="255" t="str">
        <f>IF(ISNUMBER(SEARCH("H", 'Dry_Litterbag Placem_Collection'!AD207)),"YES","NO")</f>
        <v>NO</v>
      </c>
      <c r="AI500" s="255" t="str">
        <f>IF(ISNUMBER(SEARCH("R", 'Dry_Litterbag Placem_Collection'!AD207)),"YES","NO")</f>
        <v>NO</v>
      </c>
      <c r="AJ500" s="255" t="str">
        <f>IF(ISNUMBER(SEARCH("C", 'Dry_Litterbag Placem_Collection'!AC207)),"YES","NO")</f>
        <v>NO</v>
      </c>
      <c r="AK500" s="255" t="str">
        <f>IF(ISNUMBER(SEARCH("H", 'Dry_Litterbag Placem_Collection'!AC207)),"YES","NO")</f>
        <v>NO</v>
      </c>
      <c r="AL500" s="255" t="str">
        <f>IF(ISNUMBER(SEARCH("R", 'Dry_Litterbag Placem_Collection'!AC207)),"YES","NO")</f>
        <v>NO</v>
      </c>
      <c r="AR500" t="s">
        <v>1877</v>
      </c>
      <c r="AT500" t="s">
        <v>502</v>
      </c>
    </row>
    <row r="501" spans="2:46">
      <c r="B501" t="str">
        <f>'Final data_for_R_analysis_Dryse'!A647</f>
        <v>Dry</v>
      </c>
      <c r="C501" s="263">
        <f>'Final data_for_R_analysis_Dryse'!B647</f>
        <v>206</v>
      </c>
      <c r="D501" t="s">
        <v>2425</v>
      </c>
      <c r="E501" t="s">
        <v>25</v>
      </c>
      <c r="F501" s="387">
        <v>2</v>
      </c>
      <c r="G501" s="16">
        <f>'Dry_Litterbag Placem_Collection'!E208</f>
        <v>42942</v>
      </c>
      <c r="H501" s="92" t="str">
        <f>'Final data_for_R_analysis_Dryse'!J647</f>
        <v>G262</v>
      </c>
      <c r="I501" t="str">
        <f>'Final data_for_R_analysis_Dryse'!J867</f>
        <v>R284</v>
      </c>
      <c r="J501">
        <f>IFERROR(INDEX('Green_rooibos initial weight'!$C$5:$C$1749,MATCH(H501, 'Green_rooibos initial weight'!$A$5:$A$1749,0)),"")</f>
        <v>2.012</v>
      </c>
      <c r="K501">
        <f>IFERROR(INDEX('Green_rooibos initial weight'!$C$5:$C$1749,MATCH(I501, 'Green_rooibos initial weight'!$A$5:$A$1749,0)),"")</f>
        <v>2.2480000000000002</v>
      </c>
      <c r="L501" s="195">
        <f t="shared" si="77"/>
        <v>1.7622</v>
      </c>
      <c r="M501" s="240">
        <f>AVERAGE(Ashed_controlls!$K$1:$K$11)</f>
        <v>5.5147656768714146</v>
      </c>
      <c r="N501" s="195">
        <f t="shared" si="72"/>
        <v>1.6650187992421719</v>
      </c>
      <c r="O501" s="195">
        <f t="shared" si="78"/>
        <v>1.9982000000000002</v>
      </c>
      <c r="P501" s="240">
        <f>AVERAGE(Ashed_controlls!$K$12:$K$14)</f>
        <v>2.2816647271287041</v>
      </c>
      <c r="Q501" s="195">
        <f t="shared" si="73"/>
        <v>1.9526077754225144</v>
      </c>
      <c r="R501" s="16">
        <f>IF('Dry_Litterbag Placem_Collection'!G208="N.A","",'Dry_Litterbag Placem_Collection'!G208)</f>
        <v>43004</v>
      </c>
      <c r="S501" s="195">
        <f>IF(IFERROR(INDEX('Both teabags AfterDry'!$D$1:$D$839,MATCH(H501,'Both teabags AfterDry'!$A$1:$A$839,0)),"")="N.A","",(IFERROR(INDEX('Both teabags AfterDry'!$D$1:$D$839,MATCH(H501,'Both teabags AfterDry'!$A$1:$A$839,0)),"")))</f>
        <v>0.59640000000000004</v>
      </c>
      <c r="T501" s="195">
        <f>IF(IFERROR(INDEX('Both teabags AfterDry'!$D$1:$D$839,MATCH(I501,'Both teabags AfterDry'!$A$1:$A$839,0)),"")="N.A","",(IFERROR(INDEX('Both teabags AfterDry'!$D$1:$D$839,MATCH(I501,'Both teabags AfterDry'!$A$1:$A$839,0)),"")))</f>
        <v>1.6192</v>
      </c>
      <c r="U501" s="195">
        <f t="shared" si="79"/>
        <v>0.44580000000000003</v>
      </c>
      <c r="V501" s="195">
        <f t="shared" si="79"/>
        <v>1.4685999999999999</v>
      </c>
      <c r="W501" s="195">
        <f>IFERROR(INDEX('Ashed teabags dry'!$K$2:$K$821,MATCH(H501,'Ashed teabags dry'!$A$2:$A$821,0)),"")</f>
        <v>18.61042183622844</v>
      </c>
      <c r="X501" s="195">
        <f>IFERROR(INDEX('Ashed teabags dry'!$K$2:$K$821,MATCH(I501,'Ashed teabags dry'!$A$2:$A$821,0)),"")</f>
        <v>10.038797284189567</v>
      </c>
      <c r="Y501" s="195">
        <f t="shared" si="74"/>
        <v>0.36283473945409361</v>
      </c>
      <c r="Z501" s="195">
        <f t="shared" si="74"/>
        <v>1.321170223084392</v>
      </c>
      <c r="AA501" s="195">
        <f t="shared" si="80"/>
        <v>0.78208369802236666</v>
      </c>
      <c r="AB501" s="195">
        <f t="shared" si="81"/>
        <v>0.51271995404791737</v>
      </c>
      <c r="AC501" s="195">
        <f t="shared" si="75"/>
        <v>0.67661833559917639</v>
      </c>
      <c r="AD501">
        <f t="shared" si="76"/>
        <v>62</v>
      </c>
      <c r="AE501" s="195">
        <f t="shared" si="82"/>
        <v>7.1159503536381563E-2</v>
      </c>
      <c r="AF501" s="195">
        <f t="shared" si="83"/>
        <v>1.6067653066901697E-2</v>
      </c>
      <c r="AG501" s="255" t="str">
        <f>IF(ISNUMBER(SEARCH("C", 'Dry_Litterbag Placem_Collection'!AD208)),"YES","NO")</f>
        <v>NO</v>
      </c>
      <c r="AH501" s="255" t="str">
        <f>IF(ISNUMBER(SEARCH("H", 'Dry_Litterbag Placem_Collection'!AD208)),"YES","NO")</f>
        <v>NO</v>
      </c>
      <c r="AI501" s="255" t="str">
        <f>IF(ISNUMBER(SEARCH("R", 'Dry_Litterbag Placem_Collection'!AD208)),"YES","NO")</f>
        <v>NO</v>
      </c>
      <c r="AJ501" s="255" t="str">
        <f>IF(ISNUMBER(SEARCH("C", 'Dry_Litterbag Placem_Collection'!AC208)),"YES","NO")</f>
        <v>NO</v>
      </c>
      <c r="AK501" s="255" t="str">
        <f>IF(ISNUMBER(SEARCH("H", 'Dry_Litterbag Placem_Collection'!AC208)),"YES","NO")</f>
        <v>NO</v>
      </c>
      <c r="AL501" s="255" t="str">
        <f>IF(ISNUMBER(SEARCH("R", 'Dry_Litterbag Placem_Collection'!AC208)),"YES","NO")</f>
        <v>NO</v>
      </c>
      <c r="AR501" t="s">
        <v>1788</v>
      </c>
      <c r="AT501" t="s">
        <v>857</v>
      </c>
    </row>
    <row r="502" spans="2:46">
      <c r="B502" t="str">
        <f>'Final data_for_R_analysis_Dryse'!A648</f>
        <v>Dry</v>
      </c>
      <c r="C502" s="263">
        <f>'Final data_for_R_analysis_Dryse'!B648</f>
        <v>207</v>
      </c>
      <c r="D502" t="s">
        <v>2448</v>
      </c>
      <c r="E502" t="s">
        <v>25</v>
      </c>
      <c r="F502" s="387">
        <v>3</v>
      </c>
      <c r="G502" s="16">
        <f>'Dry_Litterbag Placem_Collection'!E209</f>
        <v>42942</v>
      </c>
      <c r="H502" s="92" t="str">
        <f>'Final data_for_R_analysis_Dryse'!J648</f>
        <v>G230</v>
      </c>
      <c r="I502" t="str">
        <f>'Final data_for_R_analysis_Dryse'!J868</f>
        <v>R604</v>
      </c>
      <c r="J502">
        <f>IFERROR(INDEX('Green_rooibos initial weight'!$C$5:$C$1749,MATCH(H502, 'Green_rooibos initial weight'!$A$5:$A$1749,0)),"")</f>
        <v>2.0030000000000001</v>
      </c>
      <c r="K502">
        <f>IFERROR(INDEX('Green_rooibos initial weight'!$C$5:$C$1749,MATCH(I502, 'Green_rooibos initial weight'!$A$5:$A$1749,0)),"")</f>
        <v>2.1230000000000002</v>
      </c>
      <c r="L502" s="195">
        <f t="shared" si="77"/>
        <v>1.7532000000000001</v>
      </c>
      <c r="M502" s="240">
        <f>AVERAGE(Ashed_controlls!$K$1:$K$11)</f>
        <v>5.5147656768714146</v>
      </c>
      <c r="N502" s="195">
        <f t="shared" si="72"/>
        <v>1.6565151281530905</v>
      </c>
      <c r="O502" s="195">
        <f t="shared" si="78"/>
        <v>1.8732000000000002</v>
      </c>
      <c r="P502" s="240">
        <f>AVERAGE(Ashed_controlls!$K$12:$K$14)</f>
        <v>2.2816647271287041</v>
      </c>
      <c r="Q502" s="195">
        <f t="shared" si="73"/>
        <v>1.8304598563314254</v>
      </c>
      <c r="R502" s="16">
        <f>IF('Dry_Litterbag Placem_Collection'!G209="N.A","",'Dry_Litterbag Placem_Collection'!G209)</f>
        <v>43004</v>
      </c>
      <c r="S502" s="195">
        <f>IF(IFERROR(INDEX('Both teabags AfterDry'!$D$1:$D$839,MATCH(H502,'Both teabags AfterDry'!$A$1:$A$839,0)),"")="N.A","",(IFERROR(INDEX('Both teabags AfterDry'!$D$1:$D$839,MATCH(H502,'Both teabags AfterDry'!$A$1:$A$839,0)),"")))</f>
        <v>0.73299999999999998</v>
      </c>
      <c r="T502" s="195">
        <f>IF(IFERROR(INDEX('Both teabags AfterDry'!$D$1:$D$839,MATCH(I502,'Both teabags AfterDry'!$A$1:$A$839,0)),"")="N.A","",(IFERROR(INDEX('Both teabags AfterDry'!$D$1:$D$839,MATCH(I502,'Both teabags AfterDry'!$A$1:$A$839,0)),"")))</f>
        <v>1.615</v>
      </c>
      <c r="U502" s="195">
        <f t="shared" si="79"/>
        <v>0.58240000000000003</v>
      </c>
      <c r="V502" s="195">
        <f t="shared" si="79"/>
        <v>1.4643999999999999</v>
      </c>
      <c r="W502" s="195">
        <f>IFERROR(INDEX('Ashed teabags dry'!$K$2:$K$821,MATCH(H502,'Ashed teabags dry'!$A$2:$A$821,0)),"")</f>
        <v>20.488997555012073</v>
      </c>
      <c r="X502" s="195">
        <f>IFERROR(INDEX('Ashed teabags dry'!$K$2:$K$821,MATCH(I502,'Ashed teabags dry'!$A$2:$A$821,0)),"")</f>
        <v>3.5497431106958826</v>
      </c>
      <c r="Y502" s="195">
        <f t="shared" si="74"/>
        <v>0.46307207823960972</v>
      </c>
      <c r="Z502" s="195">
        <f t="shared" si="74"/>
        <v>1.4124175618869694</v>
      </c>
      <c r="AA502" s="195">
        <f t="shared" si="80"/>
        <v>0.7204540602319125</v>
      </c>
      <c r="AB502" s="195">
        <f t="shared" si="81"/>
        <v>0.47231667606652705</v>
      </c>
      <c r="AC502" s="195">
        <f t="shared" si="75"/>
        <v>0.77161897705733418</v>
      </c>
      <c r="AD502">
        <f t="shared" si="76"/>
        <v>62</v>
      </c>
      <c r="AE502" s="195">
        <f t="shared" si="82"/>
        <v>0.14435384770556703</v>
      </c>
      <c r="AF502" s="195">
        <f t="shared" si="83"/>
        <v>1.0657180817389766E-2</v>
      </c>
      <c r="AG502" s="255" t="str">
        <f>IF(ISNUMBER(SEARCH("C", 'Dry_Litterbag Placem_Collection'!AD209)),"YES","NO")</f>
        <v>NO</v>
      </c>
      <c r="AH502" s="255" t="str">
        <f>IF(ISNUMBER(SEARCH("H", 'Dry_Litterbag Placem_Collection'!AD209)),"YES","NO")</f>
        <v>NO</v>
      </c>
      <c r="AI502" s="255" t="str">
        <f>IF(ISNUMBER(SEARCH("R", 'Dry_Litterbag Placem_Collection'!AD209)),"YES","NO")</f>
        <v>NO</v>
      </c>
      <c r="AJ502" s="255" t="str">
        <f>IF(ISNUMBER(SEARCH("C", 'Dry_Litterbag Placem_Collection'!AC209)),"YES","NO")</f>
        <v>NO</v>
      </c>
      <c r="AK502" s="255" t="str">
        <f>IF(ISNUMBER(SEARCH("H", 'Dry_Litterbag Placem_Collection'!AC209)),"YES","NO")</f>
        <v>NO</v>
      </c>
      <c r="AL502" s="255" t="str">
        <f>IF(ISNUMBER(SEARCH("R", 'Dry_Litterbag Placem_Collection'!AC209)),"YES","NO")</f>
        <v>NO</v>
      </c>
      <c r="AR502" t="s">
        <v>1820</v>
      </c>
      <c r="AT502" t="s">
        <v>535</v>
      </c>
    </row>
    <row r="503" spans="2:46">
      <c r="B503" t="str">
        <f>'Final data_for_R_analysis_Dryse'!A649</f>
        <v>Dry</v>
      </c>
      <c r="C503" s="263">
        <f>'Final data_for_R_analysis_Dryse'!B649</f>
        <v>208</v>
      </c>
      <c r="D503" t="s">
        <v>2441</v>
      </c>
      <c r="E503" t="s">
        <v>25</v>
      </c>
      <c r="F503" s="387">
        <v>4</v>
      </c>
      <c r="G503" s="16">
        <f>'Dry_Litterbag Placem_Collection'!E210</f>
        <v>42942</v>
      </c>
      <c r="H503" s="92" t="str">
        <f>'Final data_for_R_analysis_Dryse'!J649</f>
        <v>G140</v>
      </c>
      <c r="I503" t="str">
        <f>'Final data_for_R_analysis_Dryse'!J869</f>
        <v>R625</v>
      </c>
      <c r="J503">
        <f>IFERROR(INDEX('Green_rooibos initial weight'!$C$5:$C$1749,MATCH(H503, 'Green_rooibos initial weight'!$A$5:$A$1749,0)),"")</f>
        <v>2.0590000000000002</v>
      </c>
      <c r="K503">
        <f>IFERROR(INDEX('Green_rooibos initial weight'!$C$5:$C$1749,MATCH(I503, 'Green_rooibos initial weight'!$A$5:$A$1749,0)),"")</f>
        <v>2.1589999999999998</v>
      </c>
      <c r="L503" s="195">
        <f t="shared" si="77"/>
        <v>1.8092000000000001</v>
      </c>
      <c r="M503" s="240">
        <f>AVERAGE(Ashed_controlls!$K$1:$K$11)</f>
        <v>5.5147656768714146</v>
      </c>
      <c r="N503" s="195">
        <f t="shared" si="72"/>
        <v>1.7094268593740425</v>
      </c>
      <c r="O503" s="195">
        <f t="shared" si="78"/>
        <v>1.9091999999999998</v>
      </c>
      <c r="P503" s="240">
        <f>AVERAGE(Ashed_controlls!$K$12:$K$14)</f>
        <v>2.2816647271287041</v>
      </c>
      <c r="Q503" s="195">
        <f t="shared" si="73"/>
        <v>1.8656384570296585</v>
      </c>
      <c r="R503" s="16">
        <f>IF('Dry_Litterbag Placem_Collection'!G210="N.A","",'Dry_Litterbag Placem_Collection'!G210)</f>
        <v>43004</v>
      </c>
      <c r="S503" s="195">
        <f>IF(IFERROR(INDEX('Both teabags AfterDry'!$D$1:$D$839,MATCH(H503,'Both teabags AfterDry'!$A$1:$A$839,0)),"")="N.A","",(IFERROR(INDEX('Both teabags AfterDry'!$D$1:$D$839,MATCH(H503,'Both teabags AfterDry'!$A$1:$A$839,0)),"")))</f>
        <v>0.74199999999999999</v>
      </c>
      <c r="T503" s="195">
        <f>IF(IFERROR(INDEX('Both teabags AfterDry'!$D$1:$D$839,MATCH(I503,'Both teabags AfterDry'!$A$1:$A$839,0)),"")="N.A","",(IFERROR(INDEX('Both teabags AfterDry'!$D$1:$D$839,MATCH(I503,'Both teabags AfterDry'!$A$1:$A$839,0)),"")))</f>
        <v>1.6539999999999999</v>
      </c>
      <c r="U503" s="195">
        <f t="shared" si="79"/>
        <v>0.59139999999999993</v>
      </c>
      <c r="V503" s="195">
        <f t="shared" si="79"/>
        <v>1.5033999999999998</v>
      </c>
      <c r="W503" s="195">
        <f>IFERROR(INDEX('Ashed teabags dry'!$K$2:$K$821,MATCH(H503,'Ashed teabags dry'!$A$2:$A$821,0)),"")</f>
        <v>20.585365853658182</v>
      </c>
      <c r="X503" s="195">
        <f>IFERROR(INDEX('Ashed teabags dry'!$K$2:$K$821,MATCH(I503,'Ashed teabags dry'!$A$2:$A$821,0)),"")</f>
        <v>7.8721374045796031</v>
      </c>
      <c r="Y503" s="195">
        <f t="shared" si="74"/>
        <v>0.46965814634146547</v>
      </c>
      <c r="Z503" s="195">
        <f t="shared" si="74"/>
        <v>1.3850502862595502</v>
      </c>
      <c r="AA503" s="195">
        <f t="shared" si="80"/>
        <v>0.72525402665461525</v>
      </c>
      <c r="AB503" s="195">
        <f t="shared" si="81"/>
        <v>0.47546344740302571</v>
      </c>
      <c r="AC503" s="195">
        <f t="shared" si="75"/>
        <v>0.74240015853057195</v>
      </c>
      <c r="AD503">
        <f t="shared" si="76"/>
        <v>62</v>
      </c>
      <c r="AE503" s="195">
        <f t="shared" si="82"/>
        <v>0.13865317499451868</v>
      </c>
      <c r="AF503" s="195">
        <f t="shared" si="83"/>
        <v>1.2587432273969643E-2</v>
      </c>
      <c r="AG503" s="255" t="str">
        <f>IF(ISNUMBER(SEARCH("C", 'Dry_Litterbag Placem_Collection'!AD210)),"YES","NO")</f>
        <v>NO</v>
      </c>
      <c r="AH503" s="255" t="str">
        <f>IF(ISNUMBER(SEARCH("H", 'Dry_Litterbag Placem_Collection'!AD210)),"YES","NO")</f>
        <v>NO</v>
      </c>
      <c r="AI503" s="255" t="str">
        <f>IF(ISNUMBER(SEARCH("R", 'Dry_Litterbag Placem_Collection'!AD210)),"YES","NO")</f>
        <v>NO</v>
      </c>
      <c r="AJ503" s="255" t="str">
        <f>IF(ISNUMBER(SEARCH("C", 'Dry_Litterbag Placem_Collection'!AC210)),"YES","NO")</f>
        <v>NO</v>
      </c>
      <c r="AK503" s="255" t="str">
        <f>IF(ISNUMBER(SEARCH("H", 'Dry_Litterbag Placem_Collection'!AC210)),"YES","NO")</f>
        <v>NO</v>
      </c>
      <c r="AL503" s="255" t="str">
        <f>IF(ISNUMBER(SEARCH("R", 'Dry_Litterbag Placem_Collection'!AC210)),"YES","NO")</f>
        <v>NO</v>
      </c>
      <c r="AR503" t="s">
        <v>1910</v>
      </c>
      <c r="AT503" t="s">
        <v>514</v>
      </c>
    </row>
    <row r="504" spans="2:46">
      <c r="B504" t="str">
        <f>'Final data_for_R_analysis_Dryse'!A650</f>
        <v>Dry</v>
      </c>
      <c r="C504" s="263">
        <f>'Final data_for_R_analysis_Dryse'!B650</f>
        <v>209</v>
      </c>
      <c r="D504" t="s">
        <v>2435</v>
      </c>
      <c r="E504" t="s">
        <v>25</v>
      </c>
      <c r="F504" s="387">
        <v>1</v>
      </c>
      <c r="G504" s="16">
        <f>'Dry_Litterbag Placem_Collection'!E211</f>
        <v>42942</v>
      </c>
      <c r="H504" s="92" t="str">
        <f>'Final data_for_R_analysis_Dryse'!J650</f>
        <v>G92</v>
      </c>
      <c r="I504" t="str">
        <f>'Final data_for_R_analysis_Dryse'!J870</f>
        <v>R647</v>
      </c>
      <c r="J504">
        <f>IFERROR(INDEX('Green_rooibos initial weight'!$C$5:$C$1749,MATCH(H504, 'Green_rooibos initial weight'!$A$5:$A$1749,0)),"")</f>
        <v>2.1930000000000001</v>
      </c>
      <c r="K504">
        <f>IFERROR(INDEX('Green_rooibos initial weight'!$C$5:$C$1749,MATCH(I504, 'Green_rooibos initial weight'!$A$5:$A$1749,0)),"")</f>
        <v>2.1640000000000001</v>
      </c>
      <c r="L504" s="195">
        <f t="shared" si="77"/>
        <v>1.9432</v>
      </c>
      <c r="M504" s="240">
        <f>AVERAGE(Ashed_controlls!$K$1:$K$11)</f>
        <v>5.5147656768714146</v>
      </c>
      <c r="N504" s="195">
        <f t="shared" si="72"/>
        <v>1.8360370733670348</v>
      </c>
      <c r="O504" s="195">
        <f t="shared" si="78"/>
        <v>1.9142000000000001</v>
      </c>
      <c r="P504" s="240">
        <f>AVERAGE(Ashed_controlls!$K$12:$K$14)</f>
        <v>2.2816647271287041</v>
      </c>
      <c r="Q504" s="195">
        <f t="shared" si="73"/>
        <v>1.8705243737933024</v>
      </c>
      <c r="R504" s="16">
        <f>IF('Dry_Litterbag Placem_Collection'!G211="N.A","",'Dry_Litterbag Placem_Collection'!G211)</f>
        <v>43004</v>
      </c>
      <c r="S504" s="195">
        <f>IF(IFERROR(INDEX('Both teabags AfterDry'!$D$1:$D$839,MATCH(H504,'Both teabags AfterDry'!$A$1:$A$839,0)),"")="N.A","",(IFERROR(INDEX('Both teabags AfterDry'!$D$1:$D$839,MATCH(H504,'Both teabags AfterDry'!$A$1:$A$839,0)),"")))</f>
        <v>0.73619999999999997</v>
      </c>
      <c r="T504" s="195">
        <f>IF(IFERROR(INDEX('Both teabags AfterDry'!$D$1:$D$839,MATCH(I504,'Both teabags AfterDry'!$A$1:$A$839,0)),"")="N.A","",(IFERROR(INDEX('Both teabags AfterDry'!$D$1:$D$839,MATCH(I504,'Both teabags AfterDry'!$A$1:$A$839,0)),"")))</f>
        <v>1.6881999999999999</v>
      </c>
      <c r="U504" s="195">
        <f t="shared" si="79"/>
        <v>0.5855999999999999</v>
      </c>
      <c r="V504" s="195">
        <f t="shared" si="79"/>
        <v>1.5375999999999999</v>
      </c>
      <c r="W504" s="195">
        <f>IFERROR(INDEX('Ashed teabags dry'!$K$2:$K$821,MATCH(H504,'Ashed teabags dry'!$A$2:$A$821,0)),"")</f>
        <v>17.387081107333806</v>
      </c>
      <c r="X504" s="195">
        <f>IFERROR(INDEX('Ashed teabags dry'!$K$2:$K$821,MATCH(I504,'Ashed teabags dry'!$A$2:$A$821,0)),"")</f>
        <v>3.8888888888889466</v>
      </c>
      <c r="Y504" s="195">
        <f t="shared" si="74"/>
        <v>0.48378125303545316</v>
      </c>
      <c r="Z504" s="195">
        <f t="shared" si="74"/>
        <v>1.4778044444444434</v>
      </c>
      <c r="AA504" s="195">
        <f t="shared" si="80"/>
        <v>0.7365079060477433</v>
      </c>
      <c r="AB504" s="195">
        <f t="shared" si="81"/>
        <v>0.48284128757524269</v>
      </c>
      <c r="AC504" s="195">
        <f t="shared" si="75"/>
        <v>0.79004821597034391</v>
      </c>
      <c r="AD504">
        <f t="shared" si="76"/>
        <v>62</v>
      </c>
      <c r="AE504" s="195">
        <f t="shared" si="82"/>
        <v>0.12528752250861841</v>
      </c>
      <c r="AF504" s="195">
        <f t="shared" si="83"/>
        <v>9.2035651316975699E-3</v>
      </c>
      <c r="AG504" s="255" t="str">
        <f>IF(ISNUMBER(SEARCH("C", 'Dry_Litterbag Placem_Collection'!AD211)),"YES","NO")</f>
        <v>NO</v>
      </c>
      <c r="AH504" s="255" t="str">
        <f>IF(ISNUMBER(SEARCH("H", 'Dry_Litterbag Placem_Collection'!AD211)),"YES","NO")</f>
        <v>NO</v>
      </c>
      <c r="AI504" s="255" t="str">
        <f>IF(ISNUMBER(SEARCH("R", 'Dry_Litterbag Placem_Collection'!AD211)),"YES","NO")</f>
        <v>NO</v>
      </c>
      <c r="AJ504" s="255" t="str">
        <f>IF(ISNUMBER(SEARCH("C", 'Dry_Litterbag Placem_Collection'!AC211)),"YES","NO")</f>
        <v>NO</v>
      </c>
      <c r="AK504" s="255" t="str">
        <f>IF(ISNUMBER(SEARCH("H", 'Dry_Litterbag Placem_Collection'!AC211)),"YES","NO")</f>
        <v>NO</v>
      </c>
      <c r="AL504" s="255" t="str">
        <f>IF(ISNUMBER(SEARCH("R", 'Dry_Litterbag Placem_Collection'!AC211)),"YES","NO")</f>
        <v>NO</v>
      </c>
      <c r="AR504" t="s">
        <v>1958</v>
      </c>
      <c r="AT504" t="s">
        <v>492</v>
      </c>
    </row>
    <row r="505" spans="2:46">
      <c r="B505" t="str">
        <f>'Final data_for_R_analysis_Dryse'!A651</f>
        <v>Dry</v>
      </c>
      <c r="C505" s="263">
        <f>'Final data_for_R_analysis_Dryse'!B651</f>
        <v>210</v>
      </c>
      <c r="D505" t="s">
        <v>2449</v>
      </c>
      <c r="E505" t="s">
        <v>25</v>
      </c>
      <c r="F505" s="387">
        <v>2</v>
      </c>
      <c r="G505" s="16">
        <f>'Dry_Litterbag Placem_Collection'!E212</f>
        <v>42942</v>
      </c>
      <c r="H505" s="92" t="str">
        <f>'Final data_for_R_analysis_Dryse'!J651</f>
        <v>G36</v>
      </c>
      <c r="I505" t="str">
        <f>'Final data_for_R_analysis_Dryse'!J871</f>
        <v>R599</v>
      </c>
      <c r="J505">
        <f>IFERROR(INDEX('Green_rooibos initial weight'!$C$5:$C$1749,MATCH(H505, 'Green_rooibos initial weight'!$A$5:$A$1749,0)),"")</f>
        <v>2.1429999999999998</v>
      </c>
      <c r="K505">
        <f>IFERROR(INDEX('Green_rooibos initial weight'!$C$5:$C$1749,MATCH(I505, 'Green_rooibos initial weight'!$A$5:$A$1749,0)),"")</f>
        <v>2.1760000000000002</v>
      </c>
      <c r="L505" s="195">
        <f t="shared" si="77"/>
        <v>1.8931999999999998</v>
      </c>
      <c r="M505" s="240">
        <f>AVERAGE(Ashed_controlls!$K$1:$K$11)</f>
        <v>5.5147656768714146</v>
      </c>
      <c r="N505" s="195">
        <f t="shared" si="72"/>
        <v>1.7887944562054701</v>
      </c>
      <c r="O505" s="195">
        <f t="shared" si="78"/>
        <v>1.9262000000000001</v>
      </c>
      <c r="P505" s="240">
        <f>AVERAGE(Ashed_controlls!$K$12:$K$14)</f>
        <v>2.2816647271287041</v>
      </c>
      <c r="Q505" s="195">
        <f t="shared" si="73"/>
        <v>1.8822505740260471</v>
      </c>
      <c r="R505" s="16">
        <f>IF('Dry_Litterbag Placem_Collection'!G212="N.A","",'Dry_Litterbag Placem_Collection'!G212)</f>
        <v>43004</v>
      </c>
      <c r="S505" s="195">
        <f>IF(IFERROR(INDEX('Both teabags AfterDry'!$D$1:$D$839,MATCH(H505,'Both teabags AfterDry'!$A$1:$A$839,0)),"")="N.A","",(IFERROR(INDEX('Both teabags AfterDry'!$D$1:$D$839,MATCH(H505,'Both teabags AfterDry'!$A$1:$A$839,0)),"")))</f>
        <v>0.84599999999999997</v>
      </c>
      <c r="T505" s="195">
        <f>IF(IFERROR(INDEX('Both teabags AfterDry'!$D$1:$D$839,MATCH(I505,'Both teabags AfterDry'!$A$1:$A$839,0)),"")="N.A","",(IFERROR(INDEX('Both teabags AfterDry'!$D$1:$D$839,MATCH(I505,'Both teabags AfterDry'!$A$1:$A$839,0)),"")))</f>
        <v>1.742</v>
      </c>
      <c r="U505" s="195">
        <f t="shared" si="79"/>
        <v>0.69540000000000002</v>
      </c>
      <c r="V505" s="195">
        <f t="shared" si="79"/>
        <v>1.5913999999999999</v>
      </c>
      <c r="W505" s="195">
        <f>IFERROR(INDEX('Ashed teabags dry'!$K$2:$K$821,MATCH(H505,'Ashed teabags dry'!$A$2:$A$821,0)),"")</f>
        <v>19.173412867490324</v>
      </c>
      <c r="X505" s="195">
        <f>IFERROR(INDEX('Ashed teabags dry'!$K$2:$K$821,MATCH(I505,'Ashed teabags dry'!$A$2:$A$821,0)),"")</f>
        <v>3.5837651122624985</v>
      </c>
      <c r="Y505" s="195">
        <f t="shared" si="74"/>
        <v>0.5620680869194723</v>
      </c>
      <c r="Z505" s="195">
        <f t="shared" si="74"/>
        <v>1.5343679620034545</v>
      </c>
      <c r="AA505" s="195">
        <f t="shared" si="80"/>
        <v>0.68578386132089486</v>
      </c>
      <c r="AB505" s="195">
        <f t="shared" si="81"/>
        <v>0.44958751953578857</v>
      </c>
      <c r="AC505" s="195">
        <f t="shared" si="75"/>
        <v>0.81517731123413195</v>
      </c>
      <c r="AD505">
        <f t="shared" si="76"/>
        <v>62</v>
      </c>
      <c r="AE505" s="195">
        <f t="shared" si="82"/>
        <v>0.18552985591342652</v>
      </c>
      <c r="AF505" s="195">
        <f t="shared" si="83"/>
        <v>8.5401377133115103E-3</v>
      </c>
      <c r="AG505" s="255" t="str">
        <f>IF(ISNUMBER(SEARCH("C", 'Dry_Litterbag Placem_Collection'!AD212)),"YES","NO")</f>
        <v>NO</v>
      </c>
      <c r="AH505" s="255" t="str">
        <f>IF(ISNUMBER(SEARCH("H", 'Dry_Litterbag Placem_Collection'!AD212)),"YES","NO")</f>
        <v>NO</v>
      </c>
      <c r="AI505" s="255" t="str">
        <f>IF(ISNUMBER(SEARCH("R", 'Dry_Litterbag Placem_Collection'!AD212)),"YES","NO")</f>
        <v>NO</v>
      </c>
      <c r="AJ505" s="255" t="str">
        <f>IF(ISNUMBER(SEARCH("C", 'Dry_Litterbag Placem_Collection'!AC212)),"YES","NO")</f>
        <v>NO</v>
      </c>
      <c r="AK505" s="255" t="str">
        <f>IF(ISNUMBER(SEARCH("H", 'Dry_Litterbag Placem_Collection'!AC212)),"YES","NO")</f>
        <v>NO</v>
      </c>
      <c r="AL505" s="255" t="str">
        <f>IF(ISNUMBER(SEARCH("R", 'Dry_Litterbag Placem_Collection'!AC212)),"YES","NO")</f>
        <v>NO</v>
      </c>
      <c r="AR505" t="s">
        <v>2014</v>
      </c>
      <c r="AT505" t="s">
        <v>542</v>
      </c>
    </row>
    <row r="506" spans="2:46">
      <c r="B506" t="str">
        <f>'Final data_for_R_analysis_Dryse'!A652</f>
        <v>Dry</v>
      </c>
      <c r="C506" s="263">
        <f>'Final data_for_R_analysis_Dryse'!B652</f>
        <v>211</v>
      </c>
      <c r="D506" t="s">
        <v>2426</v>
      </c>
      <c r="E506" t="s">
        <v>25</v>
      </c>
      <c r="F506" s="387">
        <v>3</v>
      </c>
      <c r="G506" s="16">
        <f>'Dry_Litterbag Placem_Collection'!E213</f>
        <v>42942</v>
      </c>
      <c r="H506" s="92" t="str">
        <f>'Final data_for_R_analysis_Dryse'!J652</f>
        <v>G434</v>
      </c>
      <c r="I506" t="str">
        <f>'Final data_for_R_analysis_Dryse'!J872</f>
        <v>R670</v>
      </c>
      <c r="J506">
        <f>IFERROR(INDEX('Green_rooibos initial weight'!$C$5:$C$1749,MATCH(H506, 'Green_rooibos initial weight'!$A$5:$A$1749,0)),"")</f>
        <v>2.0339999999999998</v>
      </c>
      <c r="K506">
        <f>IFERROR(INDEX('Green_rooibos initial weight'!$C$5:$C$1749,MATCH(I506, 'Green_rooibos initial weight'!$A$5:$A$1749,0)),"")</f>
        <v>2.1059999999999999</v>
      </c>
      <c r="L506" s="195">
        <f t="shared" si="77"/>
        <v>1.7841999999999998</v>
      </c>
      <c r="M506" s="240">
        <f>AVERAGE(Ashed_controlls!$K$1:$K$11)</f>
        <v>5.5147656768714146</v>
      </c>
      <c r="N506" s="195">
        <f t="shared" si="72"/>
        <v>1.6858055507932601</v>
      </c>
      <c r="O506" s="195">
        <f t="shared" si="78"/>
        <v>1.8561999999999999</v>
      </c>
      <c r="P506" s="240">
        <f>AVERAGE(Ashed_controlls!$K$12:$K$14)</f>
        <v>2.2816647271287041</v>
      </c>
      <c r="Q506" s="195">
        <f t="shared" si="73"/>
        <v>1.8138477393350367</v>
      </c>
      <c r="R506" s="16">
        <f>IF('Dry_Litterbag Placem_Collection'!G213="N.A","",'Dry_Litterbag Placem_Collection'!G213)</f>
        <v>43004</v>
      </c>
      <c r="S506" s="195">
        <f>IF(IFERROR(INDEX('Both teabags AfterDry'!$D$1:$D$839,MATCH(H506,'Both teabags AfterDry'!$A$1:$A$839,0)),"")="N.A","",(IFERROR(INDEX('Both teabags AfterDry'!$D$1:$D$839,MATCH(H506,'Both teabags AfterDry'!$A$1:$A$839,0)),"")))</f>
        <v>0.74099999999999999</v>
      </c>
      <c r="T506" s="195">
        <f>IF(IFERROR(INDEX('Both teabags AfterDry'!$D$1:$D$839,MATCH(I506,'Both teabags AfterDry'!$A$1:$A$839,0)),"")="N.A","",(IFERROR(INDEX('Both teabags AfterDry'!$D$1:$D$839,MATCH(I506,'Both teabags AfterDry'!$A$1:$A$839,0)),"")))</f>
        <v>1.4770000000000001</v>
      </c>
      <c r="U506" s="195">
        <f t="shared" si="79"/>
        <v>0.59040000000000004</v>
      </c>
      <c r="V506" s="195">
        <f t="shared" si="79"/>
        <v>1.3264</v>
      </c>
      <c r="W506" s="195">
        <f>IFERROR(INDEX('Ashed teabags dry'!$K$2:$K$821,MATCH(H506,'Ashed teabags dry'!$A$2:$A$821,0)),"")</f>
        <v>15.012106537530052</v>
      </c>
      <c r="X506" s="195">
        <f>IFERROR(INDEX('Ashed teabags dry'!$K$2:$K$821,MATCH(I506,'Ashed teabags dry'!$A$2:$A$821,0)),"")</f>
        <v>4.1974169741701504</v>
      </c>
      <c r="Y506" s="195">
        <f t="shared" si="74"/>
        <v>0.50176852300242258</v>
      </c>
      <c r="Z506" s="195">
        <f t="shared" si="74"/>
        <v>1.2707254612546071</v>
      </c>
      <c r="AA506" s="195">
        <f t="shared" si="80"/>
        <v>0.70235682118479548</v>
      </c>
      <c r="AB506" s="195">
        <f t="shared" si="81"/>
        <v>0.46045245284323888</v>
      </c>
      <c r="AC506" s="195">
        <f t="shared" si="75"/>
        <v>0.70056898034917736</v>
      </c>
      <c r="AD506">
        <f t="shared" si="76"/>
        <v>62</v>
      </c>
      <c r="AE506" s="195">
        <f t="shared" si="82"/>
        <v>0.1658470057187702</v>
      </c>
      <c r="AF506" s="195">
        <f t="shared" si="83"/>
        <v>1.6946324478500835E-2</v>
      </c>
      <c r="AG506" s="255" t="str">
        <f>IF(ISNUMBER(SEARCH("C", 'Dry_Litterbag Placem_Collection'!AD213)),"YES","NO")</f>
        <v>NO</v>
      </c>
      <c r="AH506" s="255" t="str">
        <f>IF(ISNUMBER(SEARCH("H", 'Dry_Litterbag Placem_Collection'!AD213)),"YES","NO")</f>
        <v>NO</v>
      </c>
      <c r="AI506" s="255" t="str">
        <f>IF(ISNUMBER(SEARCH("R", 'Dry_Litterbag Placem_Collection'!AD213)),"YES","NO")</f>
        <v>NO</v>
      </c>
      <c r="AJ506" s="255" t="str">
        <f>IF(ISNUMBER(SEARCH("C", 'Dry_Litterbag Placem_Collection'!AC213)),"YES","NO")</f>
        <v>NO</v>
      </c>
      <c r="AK506" s="255" t="str">
        <f>IF(ISNUMBER(SEARCH("H", 'Dry_Litterbag Placem_Collection'!AC213)),"YES","NO")</f>
        <v>NO</v>
      </c>
      <c r="AL506" s="255" t="str">
        <f>IF(ISNUMBER(SEARCH("R", 'Dry_Litterbag Placem_Collection'!AC213)),"YES","NO")</f>
        <v>NO</v>
      </c>
      <c r="AR506" t="s">
        <v>1616</v>
      </c>
      <c r="AT506" t="s">
        <v>469</v>
      </c>
    </row>
    <row r="507" spans="2:46">
      <c r="B507" t="str">
        <f>'Final data_for_R_analysis_Dryse'!A653</f>
        <v>Dry</v>
      </c>
      <c r="C507" s="263">
        <f>'Final data_for_R_analysis_Dryse'!B653</f>
        <v>215</v>
      </c>
      <c r="D507" t="s">
        <v>2427</v>
      </c>
      <c r="E507" t="s">
        <v>25</v>
      </c>
      <c r="F507" s="387">
        <v>3</v>
      </c>
      <c r="G507" s="16">
        <f>'Dry_Litterbag Placem_Collection'!E214</f>
        <v>42942</v>
      </c>
      <c r="H507" s="92" t="str">
        <f>'Final data_for_R_analysis_Dryse'!J653</f>
        <v>G56</v>
      </c>
      <c r="I507" t="str">
        <f>'Final data_for_R_analysis_Dryse'!J873</f>
        <v>R256</v>
      </c>
      <c r="J507">
        <f>IFERROR(INDEX('Green_rooibos initial weight'!$C$5:$C$1749,MATCH(H507, 'Green_rooibos initial weight'!$A$5:$A$1749,0)),"")</f>
        <v>2.02</v>
      </c>
      <c r="K507">
        <f>IFERROR(INDEX('Green_rooibos initial weight'!$C$5:$C$1749,MATCH(I507, 'Green_rooibos initial weight'!$A$5:$A$1749,0)),"")</f>
        <v>2.2000000000000002</v>
      </c>
      <c r="L507" s="195">
        <f t="shared" si="77"/>
        <v>1.7702</v>
      </c>
      <c r="M507" s="240">
        <f>AVERAGE(Ashed_controlls!$K$1:$K$11)</f>
        <v>5.5147656768714146</v>
      </c>
      <c r="N507" s="195">
        <f t="shared" si="72"/>
        <v>1.6725776179880223</v>
      </c>
      <c r="O507" s="195">
        <f t="shared" si="78"/>
        <v>1.9502000000000002</v>
      </c>
      <c r="P507" s="240">
        <f>AVERAGE(Ashed_controlls!$K$12:$K$14)</f>
        <v>2.2816647271287041</v>
      </c>
      <c r="Q507" s="195">
        <f t="shared" si="73"/>
        <v>1.9057029744915361</v>
      </c>
      <c r="R507" s="16">
        <f>IF('Dry_Litterbag Placem_Collection'!G214="N.A","",'Dry_Litterbag Placem_Collection'!G214)</f>
        <v>43004</v>
      </c>
      <c r="S507" s="195">
        <f>IF(IFERROR(INDEX('Both teabags AfterDry'!$D$1:$D$839,MATCH(H507,'Both teabags AfterDry'!$A$1:$A$839,0)),"")="N.A","",(IFERROR(INDEX('Both teabags AfterDry'!$D$1:$D$839,MATCH(H507,'Both teabags AfterDry'!$A$1:$A$839,0)),"")))</f>
        <v>0.7238</v>
      </c>
      <c r="T507" s="195">
        <f>IF(IFERROR(INDEX('Both teabags AfterDry'!$D$1:$D$839,MATCH(I507,'Both teabags AfterDry'!$A$1:$A$839,0)),"")="N.A","",(IFERROR(INDEX('Both teabags AfterDry'!$D$1:$D$839,MATCH(I507,'Both teabags AfterDry'!$A$1:$A$839,0)),"")))</f>
        <v>1.5882000000000001</v>
      </c>
      <c r="U507" s="195">
        <f t="shared" si="79"/>
        <v>0.57319999999999993</v>
      </c>
      <c r="V507" s="195">
        <f t="shared" si="79"/>
        <v>1.4376</v>
      </c>
      <c r="W507" s="195">
        <f>IFERROR(INDEX('Ashed teabags dry'!$K$2:$K$821,MATCH(H507,'Ashed teabags dry'!$A$2:$A$821,0)),"")</f>
        <v>20.311027332705713</v>
      </c>
      <c r="X507" s="195">
        <f>IFERROR(INDEX('Ashed teabags dry'!$K$2:$K$821,MATCH(I507,'Ashed teabags dry'!$A$2:$A$821,0)),"")</f>
        <v>7.9981069569333094</v>
      </c>
      <c r="Y507" s="195">
        <f t="shared" si="74"/>
        <v>0.4567771913289308</v>
      </c>
      <c r="Z507" s="195">
        <f t="shared" si="74"/>
        <v>1.3226192143871267</v>
      </c>
      <c r="AA507" s="195">
        <f t="shared" si="80"/>
        <v>0.72690224572154838</v>
      </c>
      <c r="AB507" s="195">
        <f t="shared" si="81"/>
        <v>0.47654399006923365</v>
      </c>
      <c r="AC507" s="195">
        <f t="shared" si="75"/>
        <v>0.69403219289197837</v>
      </c>
      <c r="AD507">
        <f t="shared" si="76"/>
        <v>62</v>
      </c>
      <c r="AE507" s="195">
        <f t="shared" si="82"/>
        <v>0.13669567016443185</v>
      </c>
      <c r="AF507" s="195">
        <f t="shared" si="83"/>
        <v>1.657061322831193E-2</v>
      </c>
      <c r="AG507" s="255" t="str">
        <f>IF(ISNUMBER(SEARCH("C", 'Dry_Litterbag Placem_Collection'!AD214)),"YES","NO")</f>
        <v>NO</v>
      </c>
      <c r="AH507" s="255" t="str">
        <f>IF(ISNUMBER(SEARCH("H", 'Dry_Litterbag Placem_Collection'!AD214)),"YES","NO")</f>
        <v>NO</v>
      </c>
      <c r="AI507" s="255" t="str">
        <f>IF(ISNUMBER(SEARCH("R", 'Dry_Litterbag Placem_Collection'!AD214)),"YES","NO")</f>
        <v>NO</v>
      </c>
      <c r="AJ507" s="255" t="str">
        <f>IF(ISNUMBER(SEARCH("C", 'Dry_Litterbag Placem_Collection'!AC214)),"YES","NO")</f>
        <v>NO</v>
      </c>
      <c r="AK507" s="255" t="str">
        <f>IF(ISNUMBER(SEARCH("H", 'Dry_Litterbag Placem_Collection'!AC214)),"YES","NO")</f>
        <v>NO</v>
      </c>
      <c r="AL507" s="255" t="str">
        <f>IF(ISNUMBER(SEARCH("R", 'Dry_Litterbag Placem_Collection'!AC214)),"YES","NO")</f>
        <v>NO</v>
      </c>
      <c r="AR507" t="s">
        <v>1994</v>
      </c>
      <c r="AT507" t="s">
        <v>885</v>
      </c>
    </row>
    <row r="508" spans="2:46">
      <c r="B508" t="str">
        <f>'Final data_for_R_analysis_Dryse'!A654</f>
        <v>Dry</v>
      </c>
      <c r="C508" s="263">
        <f>'Final data_for_R_analysis_Dryse'!B654</f>
        <v>212</v>
      </c>
      <c r="D508" t="s">
        <v>2442</v>
      </c>
      <c r="E508" t="s">
        <v>25</v>
      </c>
      <c r="F508" s="387">
        <v>4</v>
      </c>
      <c r="G508" s="16">
        <f>'Dry_Litterbag Placem_Collection'!E215</f>
        <v>42942</v>
      </c>
      <c r="H508" s="92" t="str">
        <f>'Final data_for_R_analysis_Dryse'!J654</f>
        <v>G363</v>
      </c>
      <c r="I508" t="str">
        <f>'Final data_for_R_analysis_Dryse'!J874</f>
        <v>R658</v>
      </c>
      <c r="J508">
        <f>IFERROR(INDEX('Green_rooibos initial weight'!$C$5:$C$1749,MATCH(H508, 'Green_rooibos initial weight'!$A$5:$A$1749,0)),"")</f>
        <v>2.02</v>
      </c>
      <c r="K508">
        <f>IFERROR(INDEX('Green_rooibos initial weight'!$C$5:$C$1749,MATCH(I508, 'Green_rooibos initial weight'!$A$5:$A$1749,0)),"")</f>
        <v>2.2080000000000002</v>
      </c>
      <c r="L508" s="195">
        <f t="shared" si="77"/>
        <v>1.7702</v>
      </c>
      <c r="M508" s="240">
        <f>AVERAGE(Ashed_controlls!$K$1:$K$11)</f>
        <v>5.5147656768714146</v>
      </c>
      <c r="N508" s="195">
        <f t="shared" si="72"/>
        <v>1.6725776179880223</v>
      </c>
      <c r="O508" s="195">
        <f t="shared" si="78"/>
        <v>1.9582000000000002</v>
      </c>
      <c r="P508" s="240">
        <f>AVERAGE(Ashed_controlls!$K$12:$K$14)</f>
        <v>2.2816647271287041</v>
      </c>
      <c r="Q508" s="195">
        <f t="shared" si="73"/>
        <v>1.913520441313366</v>
      </c>
      <c r="R508" s="16">
        <f>IF('Dry_Litterbag Placem_Collection'!G215="N.A","",'Dry_Litterbag Placem_Collection'!G215)</f>
        <v>43004</v>
      </c>
      <c r="S508" s="195">
        <f>IF(IFERROR(INDEX('Both teabags AfterDry'!$D$1:$D$839,MATCH(H508,'Both teabags AfterDry'!$A$1:$A$839,0)),"")="N.A","",(IFERROR(INDEX('Both teabags AfterDry'!$D$1:$D$839,MATCH(H508,'Both teabags AfterDry'!$A$1:$A$839,0)),"")))</f>
        <v>0.753</v>
      </c>
      <c r="T508" s="195">
        <f>IF(IFERROR(INDEX('Both teabags AfterDry'!$D$1:$D$839,MATCH(I508,'Both teabags AfterDry'!$A$1:$A$839,0)),"")="N.A","",(IFERROR(INDEX('Both teabags AfterDry'!$D$1:$D$839,MATCH(I508,'Both teabags AfterDry'!$A$1:$A$839,0)),"")))</f>
        <v>1.655</v>
      </c>
      <c r="U508" s="195">
        <f t="shared" si="79"/>
        <v>0.60240000000000005</v>
      </c>
      <c r="V508" s="195">
        <f t="shared" si="79"/>
        <v>1.5044</v>
      </c>
      <c r="W508" s="195">
        <f>IFERROR(INDEX('Ashed teabags dry'!$K$2:$K$821,MATCH(H508,'Ashed teabags dry'!$A$2:$A$821,0)),"")</f>
        <v>15.347950428979985</v>
      </c>
      <c r="X508" s="195">
        <f>IFERROR(INDEX('Ashed teabags dry'!$K$2:$K$821,MATCH(I508,'Ashed teabags dry'!$A$2:$A$821,0)),"")</f>
        <v>3.7141513869305309</v>
      </c>
      <c r="Y508" s="195">
        <f t="shared" si="74"/>
        <v>0.50994394661582465</v>
      </c>
      <c r="Z508" s="195">
        <f t="shared" si="74"/>
        <v>1.4485243065350171</v>
      </c>
      <c r="AA508" s="195">
        <f t="shared" si="80"/>
        <v>0.69511492852018031</v>
      </c>
      <c r="AB508" s="195">
        <f t="shared" si="81"/>
        <v>0.45570479874482134</v>
      </c>
      <c r="AC508" s="195">
        <f t="shared" si="75"/>
        <v>0.75699442517625071</v>
      </c>
      <c r="AD508">
        <f t="shared" si="76"/>
        <v>62</v>
      </c>
      <c r="AE508" s="195">
        <f t="shared" si="82"/>
        <v>0.17444782836083095</v>
      </c>
      <c r="AF508" s="195">
        <f t="shared" si="83"/>
        <v>1.2289776696904441E-2</v>
      </c>
      <c r="AG508" s="255" t="str">
        <f>IF(ISNUMBER(SEARCH("C", 'Dry_Litterbag Placem_Collection'!AD215)),"YES","NO")</f>
        <v>NO</v>
      </c>
      <c r="AH508" s="255" t="str">
        <f>IF(ISNUMBER(SEARCH("H", 'Dry_Litterbag Placem_Collection'!AD215)),"YES","NO")</f>
        <v>NO</v>
      </c>
      <c r="AI508" s="255" t="str">
        <f>IF(ISNUMBER(SEARCH("R", 'Dry_Litterbag Placem_Collection'!AD215)),"YES","NO")</f>
        <v>NO</v>
      </c>
      <c r="AJ508" s="255" t="str">
        <f>IF(ISNUMBER(SEARCH("C", 'Dry_Litterbag Placem_Collection'!AC215)),"YES","NO")</f>
        <v>NO</v>
      </c>
      <c r="AK508" s="255" t="str">
        <f>IF(ISNUMBER(SEARCH("H", 'Dry_Litterbag Placem_Collection'!AC215)),"YES","NO")</f>
        <v>NO</v>
      </c>
      <c r="AL508" s="255" t="str">
        <f>IF(ISNUMBER(SEARCH("R", 'Dry_Litterbag Placem_Collection'!AC215)),"YES","NO")</f>
        <v>NO</v>
      </c>
      <c r="AR508" t="s">
        <v>1687</v>
      </c>
      <c r="AT508" t="s">
        <v>481</v>
      </c>
    </row>
    <row r="509" spans="2:46">
      <c r="B509" t="str">
        <f>'Final data_for_R_analysis_Dryse'!A655</f>
        <v>Dry</v>
      </c>
      <c r="C509" s="263">
        <f>'Final data_for_R_analysis_Dryse'!B655</f>
        <v>213</v>
      </c>
      <c r="D509" t="s">
        <v>2450</v>
      </c>
      <c r="E509" t="s">
        <v>25</v>
      </c>
      <c r="F509" s="387">
        <v>1</v>
      </c>
      <c r="G509" s="16">
        <f>'Dry_Litterbag Placem_Collection'!E216</f>
        <v>42942</v>
      </c>
      <c r="H509" s="92" t="str">
        <f>'Final data_for_R_analysis_Dryse'!J655</f>
        <v>G5</v>
      </c>
      <c r="I509" t="str">
        <f>'Final data_for_R_analysis_Dryse'!J875</f>
        <v>R699</v>
      </c>
      <c r="J509">
        <f>IFERROR(INDEX('Green_rooibos initial weight'!$C$5:$C$1749,MATCH(H509, 'Green_rooibos initial weight'!$A$5:$A$1749,0)),"")</f>
        <v>2.0139999999999998</v>
      </c>
      <c r="K509">
        <f>IFERROR(INDEX('Green_rooibos initial weight'!$C$5:$C$1749,MATCH(I509, 'Green_rooibos initial weight'!$A$5:$A$1749,0)),"")</f>
        <v>2.157</v>
      </c>
      <c r="L509" s="195">
        <f t="shared" si="77"/>
        <v>1.7641999999999998</v>
      </c>
      <c r="M509" s="240">
        <f>AVERAGE(Ashed_controlls!$K$1:$K$11)</f>
        <v>5.5147656768714146</v>
      </c>
      <c r="N509" s="195">
        <f t="shared" si="72"/>
        <v>1.6669085039286342</v>
      </c>
      <c r="O509" s="195">
        <f t="shared" si="78"/>
        <v>1.9072</v>
      </c>
      <c r="P509" s="240">
        <f>AVERAGE(Ashed_controlls!$K$12:$K$14)</f>
        <v>2.2816647271287041</v>
      </c>
      <c r="Q509" s="195">
        <f t="shared" si="73"/>
        <v>1.8636840903242013</v>
      </c>
      <c r="R509" s="16">
        <f>IF('Dry_Litterbag Placem_Collection'!G216="N.A","",'Dry_Litterbag Placem_Collection'!G216)</f>
        <v>43004</v>
      </c>
      <c r="S509" s="195">
        <f>IF(IFERROR(INDEX('Both teabags AfterDry'!$D$1:$D$839,MATCH(H509,'Both teabags AfterDry'!$A$1:$A$839,0)),"")="N.A","",(IFERROR(INDEX('Both teabags AfterDry'!$D$1:$D$839,MATCH(H509,'Both teabags AfterDry'!$A$1:$A$839,0)),"")))</f>
        <v>0.67</v>
      </c>
      <c r="T509" s="195">
        <f>IF(IFERROR(INDEX('Both teabags AfterDry'!$D$1:$D$839,MATCH(I509,'Both teabags AfterDry'!$A$1:$A$839,0)),"")="N.A","",(IFERROR(INDEX('Both teabags AfterDry'!$D$1:$D$839,MATCH(I509,'Both teabags AfterDry'!$A$1:$A$839,0)),"")))</f>
        <v>1.748</v>
      </c>
      <c r="U509" s="195">
        <f t="shared" si="79"/>
        <v>0.51940000000000008</v>
      </c>
      <c r="V509" s="195">
        <f t="shared" si="79"/>
        <v>1.5973999999999999</v>
      </c>
      <c r="W509" s="195">
        <f>IFERROR(INDEX('Ashed teabags dry'!$K$2:$K$821,MATCH(H509,'Ashed teabags dry'!$A$2:$A$821,0)),"")</f>
        <v>14.037698412698299</v>
      </c>
      <c r="X509" s="195">
        <f>IFERROR(INDEX('Ashed teabags dry'!$K$2:$K$821,MATCH(I509,'Ashed teabags dry'!$A$2:$A$821,0)),"")</f>
        <v>5.3180914512921857</v>
      </c>
      <c r="Y509" s="195">
        <f t="shared" si="74"/>
        <v>0.4464881944444451</v>
      </c>
      <c r="Z509" s="195">
        <f t="shared" si="74"/>
        <v>1.5124488071570585</v>
      </c>
      <c r="AA509" s="195">
        <f t="shared" si="80"/>
        <v>0.73214594958742818</v>
      </c>
      <c r="AB509" s="195">
        <f t="shared" si="81"/>
        <v>0.47998166766301709</v>
      </c>
      <c r="AC509" s="195">
        <f t="shared" si="75"/>
        <v>0.81153711351045399</v>
      </c>
      <c r="AD509">
        <f t="shared" si="76"/>
        <v>62</v>
      </c>
      <c r="AE509" s="195">
        <f t="shared" si="82"/>
        <v>0.13046799336409953</v>
      </c>
      <c r="AF509" s="195">
        <f t="shared" si="83"/>
        <v>8.0426367367298218E-3</v>
      </c>
      <c r="AG509" s="255" t="str">
        <f>IF(ISNUMBER(SEARCH("C", 'Dry_Litterbag Placem_Collection'!AD216)),"YES","NO")</f>
        <v>NO</v>
      </c>
      <c r="AH509" s="255" t="str">
        <f>IF(ISNUMBER(SEARCH("H", 'Dry_Litterbag Placem_Collection'!AD216)),"YES","NO")</f>
        <v>NO</v>
      </c>
      <c r="AI509" s="255" t="str">
        <f>IF(ISNUMBER(SEARCH("R", 'Dry_Litterbag Placem_Collection'!AD216)),"YES","NO")</f>
        <v>NO</v>
      </c>
      <c r="AJ509" s="255" t="str">
        <f>IF(ISNUMBER(SEARCH("C", 'Dry_Litterbag Placem_Collection'!AC216)),"YES","NO")</f>
        <v>NO</v>
      </c>
      <c r="AK509" s="255" t="str">
        <f>IF(ISNUMBER(SEARCH("H", 'Dry_Litterbag Placem_Collection'!AC216)),"YES","NO")</f>
        <v>NO</v>
      </c>
      <c r="AL509" s="255" t="str">
        <f>IF(ISNUMBER(SEARCH("R", 'Dry_Litterbag Placem_Collection'!AC216)),"YES","NO")</f>
        <v>NO</v>
      </c>
      <c r="AR509" t="s">
        <v>2045</v>
      </c>
      <c r="AT509" t="s">
        <v>440</v>
      </c>
    </row>
    <row r="510" spans="2:46">
      <c r="B510" t="str">
        <f>'Final data_for_R_analysis_Dryse'!A656</f>
        <v>Dry</v>
      </c>
      <c r="C510" s="263">
        <f>'Final data_for_R_analysis_Dryse'!B656</f>
        <v>214</v>
      </c>
      <c r="D510" t="s">
        <v>2443</v>
      </c>
      <c r="E510" t="s">
        <v>25</v>
      </c>
      <c r="F510" s="387">
        <v>2</v>
      </c>
      <c r="G510" s="16">
        <f>'Dry_Litterbag Placem_Collection'!E217</f>
        <v>42942</v>
      </c>
      <c r="H510" s="92" t="str">
        <f>'Final data_for_R_analysis_Dryse'!J656</f>
        <v>G771</v>
      </c>
      <c r="I510" t="str">
        <f>'Final data_for_R_analysis_Dryse'!J876</f>
        <v>R663</v>
      </c>
      <c r="J510">
        <f>IFERROR(INDEX('Green_rooibos initial weight'!$C$5:$C$1749,MATCH(H510, 'Green_rooibos initial weight'!$A$5:$A$1749,0)),"")</f>
        <v>1.9910000000000001</v>
      </c>
      <c r="K510">
        <f>IFERROR(INDEX('Green_rooibos initial weight'!$C$5:$C$1749,MATCH(I510, 'Green_rooibos initial weight'!$A$5:$A$1749,0)),"")</f>
        <v>2.105</v>
      </c>
      <c r="L510" s="195">
        <f t="shared" si="77"/>
        <v>1.7412000000000001</v>
      </c>
      <c r="M510" s="240">
        <f>AVERAGE(Ashed_controlls!$K$1:$K$11)</f>
        <v>5.5147656768714146</v>
      </c>
      <c r="N510" s="195">
        <f t="shared" si="72"/>
        <v>1.645176900034315</v>
      </c>
      <c r="O510" s="195">
        <f t="shared" si="78"/>
        <v>1.8552</v>
      </c>
      <c r="P510" s="240">
        <f>AVERAGE(Ashed_controlls!$K$12:$K$14)</f>
        <v>2.2816647271287041</v>
      </c>
      <c r="Q510" s="195">
        <f t="shared" si="73"/>
        <v>1.8128705559823082</v>
      </c>
      <c r="R510" s="16">
        <f>IF('Dry_Litterbag Placem_Collection'!G217="N.A","",'Dry_Litterbag Placem_Collection'!G217)</f>
        <v>43004</v>
      </c>
      <c r="S510" s="195">
        <f>IF(IFERROR(INDEX('Both teabags AfterDry'!$D$1:$D$839,MATCH(H510,'Both teabags AfterDry'!$A$1:$A$839,0)),"")="N.A","",(IFERROR(INDEX('Both teabags AfterDry'!$D$1:$D$839,MATCH(H510,'Both teabags AfterDry'!$A$1:$A$839,0)),"")))</f>
        <v>0.65300000000000002</v>
      </c>
      <c r="T510" s="195">
        <f>IF(IFERROR(INDEX('Both teabags AfterDry'!$D$1:$D$839,MATCH(I510,'Both teabags AfterDry'!$A$1:$A$839,0)),"")="N.A","",(IFERROR(INDEX('Both teabags AfterDry'!$D$1:$D$839,MATCH(I510,'Both teabags AfterDry'!$A$1:$A$839,0)),"")))</f>
        <v>1.6679999999999999</v>
      </c>
      <c r="U510" s="195">
        <f t="shared" si="79"/>
        <v>0.50239999999999996</v>
      </c>
      <c r="V510" s="195">
        <f t="shared" si="79"/>
        <v>1.5173999999999999</v>
      </c>
      <c r="W510" s="195">
        <f>IFERROR(INDEX('Ashed teabags dry'!$K$2:$K$821,MATCH(H510,'Ashed teabags dry'!$A$2:$A$821,0)),"")</f>
        <v>13.496637848223109</v>
      </c>
      <c r="X510" s="195">
        <f>IFERROR(INDEX('Ashed teabags dry'!$K$2:$K$821,MATCH(I510,'Ashed teabags dry'!$A$2:$A$821,0)),"")</f>
        <v>3.297724105899698</v>
      </c>
      <c r="Y510" s="195">
        <f t="shared" si="74"/>
        <v>0.43459289145052704</v>
      </c>
      <c r="Z510" s="195">
        <f t="shared" si="74"/>
        <v>1.4673603344170778</v>
      </c>
      <c r="AA510" s="195">
        <f t="shared" si="80"/>
        <v>0.73583819986685794</v>
      </c>
      <c r="AB510" s="195">
        <f t="shared" si="81"/>
        <v>0.48240224029276207</v>
      </c>
      <c r="AC510" s="195">
        <f t="shared" si="75"/>
        <v>0.80941263543330322</v>
      </c>
      <c r="AD510">
        <f t="shared" si="76"/>
        <v>62</v>
      </c>
      <c r="AE510" s="195">
        <f t="shared" si="82"/>
        <v>0.12608289802035866</v>
      </c>
      <c r="AF510" s="195">
        <f t="shared" si="83"/>
        <v>8.1073979916872659E-3</v>
      </c>
      <c r="AG510" s="255" t="str">
        <f>IF(ISNUMBER(SEARCH("C", 'Dry_Litterbag Placem_Collection'!AD217)),"YES","NO")</f>
        <v>NO</v>
      </c>
      <c r="AH510" s="255" t="str">
        <f>IF(ISNUMBER(SEARCH("H", 'Dry_Litterbag Placem_Collection'!AD217)),"YES","NO")</f>
        <v>NO</v>
      </c>
      <c r="AI510" s="255" t="str">
        <f>IF(ISNUMBER(SEARCH("R", 'Dry_Litterbag Placem_Collection'!AD217)),"YES","NO")</f>
        <v>NO</v>
      </c>
      <c r="AJ510" s="255" t="str">
        <f>IF(ISNUMBER(SEARCH("C", 'Dry_Litterbag Placem_Collection'!AC217)),"YES","NO")</f>
        <v>NO</v>
      </c>
      <c r="AK510" s="255" t="str">
        <f>IF(ISNUMBER(SEARCH("H", 'Dry_Litterbag Placem_Collection'!AC217)),"YES","NO")</f>
        <v>NO</v>
      </c>
      <c r="AL510" s="255" t="str">
        <f>IF(ISNUMBER(SEARCH("R", 'Dry_Litterbag Placem_Collection'!AC217)),"YES","NO")</f>
        <v>NO</v>
      </c>
      <c r="AR510" t="s">
        <v>1279</v>
      </c>
      <c r="AT510" t="s">
        <v>476</v>
      </c>
    </row>
    <row r="511" spans="2:46">
      <c r="B511" t="str">
        <f>'Final data_for_R_analysis_Dryse'!A657</f>
        <v>Dry</v>
      </c>
      <c r="C511" s="263">
        <f>'Final data_for_R_analysis_Dryse'!B657</f>
        <v>216</v>
      </c>
      <c r="D511" t="s">
        <v>2436</v>
      </c>
      <c r="E511" t="s">
        <v>25</v>
      </c>
      <c r="F511" s="387">
        <v>4</v>
      </c>
      <c r="G511" s="16">
        <f>'Dry_Litterbag Placem_Collection'!E218</f>
        <v>42942</v>
      </c>
      <c r="H511" s="92" t="str">
        <f>'Final data_for_R_analysis_Dryse'!J657</f>
        <v>G361</v>
      </c>
      <c r="I511" t="str">
        <f>'Final data_for_R_analysis_Dryse'!J877</f>
        <v>R622</v>
      </c>
      <c r="J511">
        <f>IFERROR(INDEX('Green_rooibos initial weight'!$C$5:$C$1749,MATCH(H511, 'Green_rooibos initial weight'!$A$5:$A$1749,0)),"")</f>
        <v>2.0590000000000002</v>
      </c>
      <c r="K511">
        <f>IFERROR(INDEX('Green_rooibos initial weight'!$C$5:$C$1749,MATCH(I511, 'Green_rooibos initial weight'!$A$5:$A$1749,0)),"")</f>
        <v>2.1640000000000001</v>
      </c>
      <c r="L511" s="195">
        <f t="shared" si="77"/>
        <v>1.8092000000000001</v>
      </c>
      <c r="M511" s="240">
        <f>AVERAGE(Ashed_controlls!$K$1:$K$11)</f>
        <v>5.5147656768714146</v>
      </c>
      <c r="N511" s="195">
        <f t="shared" si="72"/>
        <v>1.7094268593740425</v>
      </c>
      <c r="O511" s="195">
        <f t="shared" si="78"/>
        <v>1.9142000000000001</v>
      </c>
      <c r="P511" s="240">
        <f>AVERAGE(Ashed_controlls!$K$12:$K$14)</f>
        <v>2.2816647271287041</v>
      </c>
      <c r="Q511" s="195">
        <f t="shared" si="73"/>
        <v>1.8705243737933024</v>
      </c>
      <c r="R511" s="16">
        <f>IF('Dry_Litterbag Placem_Collection'!G218="N.A","",'Dry_Litterbag Placem_Collection'!G218)</f>
        <v>43004</v>
      </c>
      <c r="S511" s="195">
        <f>IF(IFERROR(INDEX('Both teabags AfterDry'!$D$1:$D$839,MATCH(H511,'Both teabags AfterDry'!$A$1:$A$839,0)),"")="N.A","",(IFERROR(INDEX('Both teabags AfterDry'!$D$1:$D$839,MATCH(H511,'Both teabags AfterDry'!$A$1:$A$839,0)),"")))</f>
        <v>0.73499999999999999</v>
      </c>
      <c r="T511" s="195">
        <f>IF(IFERROR(INDEX('Both teabags AfterDry'!$D$1:$D$839,MATCH(I511,'Both teabags AfterDry'!$A$1:$A$839,0)),"")="N.A","",(IFERROR(INDEX('Both teabags AfterDry'!$D$1:$D$839,MATCH(I511,'Both teabags AfterDry'!$A$1:$A$839,0)),"")))</f>
        <v>1.6419999999999999</v>
      </c>
      <c r="U511" s="195">
        <f t="shared" si="79"/>
        <v>0.58440000000000003</v>
      </c>
      <c r="V511" s="195">
        <f t="shared" si="79"/>
        <v>1.4913999999999998</v>
      </c>
      <c r="W511" s="195">
        <f>IFERROR(INDEX('Ashed teabags dry'!$K$2:$K$821,MATCH(H511,'Ashed teabags dry'!$A$2:$A$821,0)),"")</f>
        <v>12.954939341420824</v>
      </c>
      <c r="X511" s="195">
        <f>IFERROR(INDEX('Ashed teabags dry'!$K$2:$K$821,MATCH(I511,'Ashed teabags dry'!$A$2:$A$821,0)),"")</f>
        <v>4.6979865771810632</v>
      </c>
      <c r="Y511" s="195">
        <f t="shared" si="74"/>
        <v>0.50869133448873671</v>
      </c>
      <c r="Z511" s="195">
        <f t="shared" si="74"/>
        <v>1.4213342281879215</v>
      </c>
      <c r="AA511" s="195">
        <f t="shared" si="80"/>
        <v>0.70241994754018955</v>
      </c>
      <c r="AB511" s="195">
        <f t="shared" si="81"/>
        <v>0.46049383734226207</v>
      </c>
      <c r="AC511" s="195">
        <f t="shared" si="75"/>
        <v>0.75985870491788765</v>
      </c>
      <c r="AD511">
        <f t="shared" si="76"/>
        <v>62</v>
      </c>
      <c r="AE511" s="195">
        <f t="shared" si="82"/>
        <v>0.16577203380024996</v>
      </c>
      <c r="AF511" s="195">
        <f t="shared" si="83"/>
        <v>1.1888237814121416E-2</v>
      </c>
      <c r="AG511" s="255" t="str">
        <f>IF(ISNUMBER(SEARCH("C", 'Dry_Litterbag Placem_Collection'!AD218)),"YES","NO")</f>
        <v>NO</v>
      </c>
      <c r="AH511" s="255" t="str">
        <f>IF(ISNUMBER(SEARCH("H", 'Dry_Litterbag Placem_Collection'!AD218)),"YES","NO")</f>
        <v>NO</v>
      </c>
      <c r="AI511" s="255" t="str">
        <f>IF(ISNUMBER(SEARCH("R", 'Dry_Litterbag Placem_Collection'!AD218)),"YES","NO")</f>
        <v>NO</v>
      </c>
      <c r="AJ511" s="255" t="str">
        <f>IF(ISNUMBER(SEARCH("C", 'Dry_Litterbag Placem_Collection'!AC218)),"YES","NO")</f>
        <v>NO</v>
      </c>
      <c r="AK511" s="255" t="str">
        <f>IF(ISNUMBER(SEARCH("H", 'Dry_Litterbag Placem_Collection'!AC218)),"YES","NO")</f>
        <v>NO</v>
      </c>
      <c r="AL511" s="255" t="str">
        <f>IF(ISNUMBER(SEARCH("R", 'Dry_Litterbag Placem_Collection'!AC218)),"YES","NO")</f>
        <v>NO</v>
      </c>
      <c r="AR511" t="s">
        <v>1689</v>
      </c>
      <c r="AT511" t="s">
        <v>517</v>
      </c>
    </row>
    <row r="512" spans="2:46">
      <c r="B512" t="str">
        <f>'Final data_for_R_analysis_Dryse'!A658</f>
        <v>Dry</v>
      </c>
      <c r="C512" s="263">
        <f>'Final data_for_R_analysis_Dryse'!B658</f>
        <v>217</v>
      </c>
      <c r="D512" t="s">
        <v>2429</v>
      </c>
      <c r="E512" t="s">
        <v>25</v>
      </c>
      <c r="F512" s="387">
        <v>1</v>
      </c>
      <c r="G512" s="16">
        <f>'Dry_Litterbag Placem_Collection'!E219</f>
        <v>42942</v>
      </c>
      <c r="H512" s="92" t="str">
        <f>'Final data_for_R_analysis_Dryse'!J658</f>
        <v>G204</v>
      </c>
      <c r="I512" t="str">
        <f>'Final data_for_R_analysis_Dryse'!J878</f>
        <v>R608</v>
      </c>
      <c r="J512">
        <f>IFERROR(INDEX('Green_rooibos initial weight'!$C$5:$C$1749,MATCH(H512, 'Green_rooibos initial weight'!$A$5:$A$1749,0)),"")</f>
        <v>2.1970000000000001</v>
      </c>
      <c r="K512">
        <f>IFERROR(INDEX('Green_rooibos initial weight'!$C$5:$C$1749,MATCH(I512, 'Green_rooibos initial weight'!$A$5:$A$1749,0)),"")</f>
        <v>2.1440000000000001</v>
      </c>
      <c r="L512" s="195">
        <f t="shared" si="77"/>
        <v>1.9472</v>
      </c>
      <c r="M512" s="240">
        <f>AVERAGE(Ashed_controlls!$K$1:$K$11)</f>
        <v>5.5147656768714146</v>
      </c>
      <c r="N512" s="195">
        <f t="shared" si="72"/>
        <v>1.8398164827399599</v>
      </c>
      <c r="O512" s="195">
        <f t="shared" si="78"/>
        <v>1.8942000000000001</v>
      </c>
      <c r="P512" s="240">
        <f>AVERAGE(Ashed_controlls!$K$12:$K$14)</f>
        <v>2.2816647271287041</v>
      </c>
      <c r="Q512" s="195">
        <f t="shared" si="73"/>
        <v>1.8509807067387283</v>
      </c>
      <c r="R512" s="16">
        <f>IF('Dry_Litterbag Placem_Collection'!G219="N.A","",'Dry_Litterbag Placem_Collection'!G219)</f>
        <v>43004</v>
      </c>
      <c r="S512" s="195">
        <f>IF(IFERROR(INDEX('Both teabags AfterDry'!$D$1:$D$839,MATCH(H512,'Both teabags AfterDry'!$A$1:$A$839,0)),"")="N.A","",(IFERROR(INDEX('Both teabags AfterDry'!$D$1:$D$839,MATCH(H512,'Both teabags AfterDry'!$A$1:$A$839,0)),"")))</f>
        <v>0.80579999999999996</v>
      </c>
      <c r="T512" s="195">
        <f>IF(IFERROR(INDEX('Both teabags AfterDry'!$D$1:$D$839,MATCH(I512,'Both teabags AfterDry'!$A$1:$A$839,0)),"")="N.A","",(IFERROR(INDEX('Both teabags AfterDry'!$D$1:$D$839,MATCH(I512,'Both teabags AfterDry'!$A$1:$A$839,0)),"")))</f>
        <v>1.6455</v>
      </c>
      <c r="U512" s="195">
        <f t="shared" si="79"/>
        <v>0.6552</v>
      </c>
      <c r="V512" s="195">
        <f t="shared" si="79"/>
        <v>1.4948999999999999</v>
      </c>
      <c r="W512" s="195">
        <f>IFERROR(INDEX('Ashed teabags dry'!$K$2:$K$821,MATCH(H512,'Ashed teabags dry'!$A$2:$A$821,0)),"")</f>
        <v>19.368932038835744</v>
      </c>
      <c r="X512" s="195">
        <f>IFERROR(INDEX('Ashed teabags dry'!$K$2:$K$821,MATCH(I512,'Ashed teabags dry'!$A$2:$A$821,0)),"")</f>
        <v>3.468950749465225</v>
      </c>
      <c r="Y512" s="195">
        <f t="shared" si="74"/>
        <v>0.52829475728154818</v>
      </c>
      <c r="Z512" s="195">
        <f t="shared" si="74"/>
        <v>1.4430426552462443</v>
      </c>
      <c r="AA512" s="195">
        <f t="shared" si="80"/>
        <v>0.71285464488567829</v>
      </c>
      <c r="AB512" s="195">
        <f t="shared" si="81"/>
        <v>0.4673346365521312</v>
      </c>
      <c r="AC512" s="195">
        <f t="shared" si="75"/>
        <v>0.77960977658636088</v>
      </c>
      <c r="AD512">
        <f t="shared" si="76"/>
        <v>62</v>
      </c>
      <c r="AE512" s="195">
        <f t="shared" si="82"/>
        <v>0.15337928160845804</v>
      </c>
      <c r="AF512" s="195">
        <f t="shared" si="83"/>
        <v>1.0288424262450345E-2</v>
      </c>
      <c r="AG512" s="255" t="str">
        <f>IF(ISNUMBER(SEARCH("C", 'Dry_Litterbag Placem_Collection'!AD219)),"YES","NO")</f>
        <v>NO</v>
      </c>
      <c r="AH512" s="255" t="str">
        <f>IF(ISNUMBER(SEARCH("H", 'Dry_Litterbag Placem_Collection'!AD219)),"YES","NO")</f>
        <v>NO</v>
      </c>
      <c r="AI512" s="255" t="str">
        <f>IF(ISNUMBER(SEARCH("R", 'Dry_Litterbag Placem_Collection'!AD219)),"YES","NO")</f>
        <v>NO</v>
      </c>
      <c r="AJ512" s="255" t="str">
        <f>IF(ISNUMBER(SEARCH("C", 'Dry_Litterbag Placem_Collection'!AC219)),"YES","NO")</f>
        <v>NO</v>
      </c>
      <c r="AK512" s="255" t="str">
        <f>IF(ISNUMBER(SEARCH("H", 'Dry_Litterbag Placem_Collection'!AC219)),"YES","NO")</f>
        <v>NO</v>
      </c>
      <c r="AL512" s="255" t="str">
        <f>IF(ISNUMBER(SEARCH("R", 'Dry_Litterbag Placem_Collection'!AC219)),"YES","NO")</f>
        <v>NO</v>
      </c>
      <c r="AR512" t="s">
        <v>1846</v>
      </c>
      <c r="AT512" t="s">
        <v>531</v>
      </c>
    </row>
    <row r="513" spans="2:46">
      <c r="B513" t="str">
        <f>'Final data_for_R_analysis_Dryse'!A659</f>
        <v>Dry</v>
      </c>
      <c r="C513" s="263">
        <f>'Final data_for_R_analysis_Dryse'!B659</f>
        <v>218</v>
      </c>
      <c r="D513" t="s">
        <v>2437</v>
      </c>
      <c r="E513" t="s">
        <v>25</v>
      </c>
      <c r="F513" s="387">
        <v>2</v>
      </c>
      <c r="G513" s="16">
        <f>'Dry_Litterbag Placem_Collection'!E220</f>
        <v>42942</v>
      </c>
      <c r="H513" s="92" t="str">
        <f>'Final data_for_R_analysis_Dryse'!J659</f>
        <v>G170</v>
      </c>
      <c r="I513" t="str">
        <f>'Final data_for_R_analysis_Dryse'!J879</f>
        <v>R639</v>
      </c>
      <c r="J513">
        <f>IFERROR(INDEX('Green_rooibos initial weight'!$C$5:$C$1749,MATCH(H513, 'Green_rooibos initial weight'!$A$5:$A$1749,0)),"")</f>
        <v>2.0390000000000001</v>
      </c>
      <c r="K513">
        <f>IFERROR(INDEX('Green_rooibos initial weight'!$C$5:$C$1749,MATCH(I513, 'Green_rooibos initial weight'!$A$5:$A$1749,0)),"")</f>
        <v>2.0840000000000001</v>
      </c>
      <c r="L513" s="195">
        <f t="shared" si="77"/>
        <v>1.7892000000000001</v>
      </c>
      <c r="M513" s="240">
        <f>AVERAGE(Ashed_controlls!$K$1:$K$11)</f>
        <v>5.5147656768714146</v>
      </c>
      <c r="N513" s="195">
        <f t="shared" si="72"/>
        <v>1.6905298125094168</v>
      </c>
      <c r="O513" s="195">
        <f t="shared" si="78"/>
        <v>1.8342000000000001</v>
      </c>
      <c r="P513" s="240">
        <f>AVERAGE(Ashed_controlls!$K$12:$K$14)</f>
        <v>2.2816647271287041</v>
      </c>
      <c r="Q513" s="195">
        <f t="shared" si="73"/>
        <v>1.7923497055750053</v>
      </c>
      <c r="R513" s="16">
        <f>IF('Dry_Litterbag Placem_Collection'!G220="N.A","",'Dry_Litterbag Placem_Collection'!G220)</f>
        <v>43004</v>
      </c>
      <c r="S513" s="195">
        <f>IF(IFERROR(INDEX('Both teabags AfterDry'!$D$1:$D$839,MATCH(H513,'Both teabags AfterDry'!$A$1:$A$839,0)),"")="N.A","",(IFERROR(INDEX('Both teabags AfterDry'!$D$1:$D$839,MATCH(H513,'Both teabags AfterDry'!$A$1:$A$839,0)),"")))</f>
        <v>0.66100000000000003</v>
      </c>
      <c r="T513" s="195">
        <f>IF(IFERROR(INDEX('Both teabags AfterDry'!$D$1:$D$839,MATCH(I513,'Both teabags AfterDry'!$A$1:$A$839,0)),"")="N.A","",(IFERROR(INDEX('Both teabags AfterDry'!$D$1:$D$839,MATCH(I513,'Both teabags AfterDry'!$A$1:$A$839,0)),"")))</f>
        <v>1.6519999999999999</v>
      </c>
      <c r="U513" s="195">
        <f t="shared" si="79"/>
        <v>0.51039999999999996</v>
      </c>
      <c r="V513" s="195">
        <f t="shared" si="79"/>
        <v>1.5013999999999998</v>
      </c>
      <c r="W513" s="195">
        <f>IFERROR(INDEX('Ashed teabags dry'!$K$2:$K$821,MATCH(H513,'Ashed teabags dry'!$A$2:$A$821,0)),"")</f>
        <v>23.022929340196391</v>
      </c>
      <c r="X513" s="195">
        <f>IFERROR(INDEX('Ashed teabags dry'!$K$2:$K$821,MATCH(I513,'Ashed teabags dry'!$A$2:$A$821,0)),"")</f>
        <v>4.9473202015572753</v>
      </c>
      <c r="Y513" s="195">
        <f t="shared" si="74"/>
        <v>0.39289096864763762</v>
      </c>
      <c r="Z513" s="195">
        <f t="shared" si="74"/>
        <v>1.4271209344938189</v>
      </c>
      <c r="AA513" s="195">
        <f t="shared" si="80"/>
        <v>0.76759299614809418</v>
      </c>
      <c r="AB513" s="195">
        <f t="shared" si="81"/>
        <v>0.50322011148901191</v>
      </c>
      <c r="AC513" s="195">
        <f t="shared" si="75"/>
        <v>0.79622906738279797</v>
      </c>
      <c r="AD513">
        <f t="shared" si="76"/>
        <v>62</v>
      </c>
      <c r="AE513" s="195">
        <f t="shared" si="82"/>
        <v>8.8369363244543697E-2</v>
      </c>
      <c r="AF513" s="195">
        <f t="shared" si="83"/>
        <v>8.3723057288719663E-3</v>
      </c>
      <c r="AG513" s="255" t="str">
        <f>IF(ISNUMBER(SEARCH("C", 'Dry_Litterbag Placem_Collection'!AD220)),"YES","NO")</f>
        <v>NO</v>
      </c>
      <c r="AH513" s="255" t="str">
        <f>IF(ISNUMBER(SEARCH("H", 'Dry_Litterbag Placem_Collection'!AD220)),"YES","NO")</f>
        <v>NO</v>
      </c>
      <c r="AI513" s="255" t="str">
        <f>IF(ISNUMBER(SEARCH("R", 'Dry_Litterbag Placem_Collection'!AD220)),"YES","NO")</f>
        <v>NO</v>
      </c>
      <c r="AJ513" s="255" t="str">
        <f>IF(ISNUMBER(SEARCH("C", 'Dry_Litterbag Placem_Collection'!AC220)),"YES","NO")</f>
        <v>NO</v>
      </c>
      <c r="AK513" s="255" t="str">
        <f>IF(ISNUMBER(SEARCH("H", 'Dry_Litterbag Placem_Collection'!AC220)),"YES","NO")</f>
        <v>NO</v>
      </c>
      <c r="AL513" s="255" t="str">
        <f>IF(ISNUMBER(SEARCH("R", 'Dry_Litterbag Placem_Collection'!AC220)),"YES","NO")</f>
        <v>NO</v>
      </c>
      <c r="AR513" t="s">
        <v>1880</v>
      </c>
      <c r="AT513" t="s">
        <v>500</v>
      </c>
    </row>
    <row r="514" spans="2:46">
      <c r="B514" t="str">
        <f>'Final data_for_R_analysis_Dryse'!A660</f>
        <v>Dry</v>
      </c>
      <c r="C514" s="263">
        <f>'Final data_for_R_analysis_Dryse'!B660</f>
        <v>219</v>
      </c>
      <c r="D514" t="s">
        <v>2444</v>
      </c>
      <c r="E514" t="s">
        <v>25</v>
      </c>
      <c r="F514" s="387">
        <v>3</v>
      </c>
      <c r="G514" s="16">
        <f>'Dry_Litterbag Placem_Collection'!E221</f>
        <v>42942</v>
      </c>
      <c r="H514" s="92" t="str">
        <f>'Final data_for_R_analysis_Dryse'!J660</f>
        <v>G123</v>
      </c>
      <c r="I514" t="str">
        <f>'Final data_for_R_analysis_Dryse'!J880</f>
        <v>R246</v>
      </c>
      <c r="J514">
        <f>IFERROR(INDEX('Green_rooibos initial weight'!$C$5:$C$1749,MATCH(H514, 'Green_rooibos initial weight'!$A$5:$A$1749,0)),"")</f>
        <v>2.133</v>
      </c>
      <c r="K514">
        <f>IFERROR(INDEX('Green_rooibos initial weight'!$C$5:$C$1749,MATCH(I514, 'Green_rooibos initial weight'!$A$5:$A$1749,0)),"")</f>
        <v>2.2170000000000001</v>
      </c>
      <c r="L514" s="195">
        <f t="shared" si="77"/>
        <v>1.8832</v>
      </c>
      <c r="M514" s="240">
        <f>AVERAGE(Ashed_controlls!$K$1:$K$11)</f>
        <v>5.5147656768714146</v>
      </c>
      <c r="N514" s="195">
        <f t="shared" si="72"/>
        <v>1.7793459327731576</v>
      </c>
      <c r="O514" s="195">
        <f t="shared" si="78"/>
        <v>1.9672000000000001</v>
      </c>
      <c r="P514" s="240">
        <f>AVERAGE(Ashed_controlls!$K$12:$K$14)</f>
        <v>2.2816647271287041</v>
      </c>
      <c r="Q514" s="195">
        <f t="shared" si="73"/>
        <v>1.9223150914879241</v>
      </c>
      <c r="R514" s="16">
        <f>IF('Dry_Litterbag Placem_Collection'!G221="N.A","",'Dry_Litterbag Placem_Collection'!G221)</f>
        <v>43004</v>
      </c>
      <c r="S514" s="195">
        <f>IF(IFERROR(INDEX('Both teabags AfterDry'!$D$1:$D$839,MATCH(H514,'Both teabags AfterDry'!$A$1:$A$839,0)),"")="N.A","",(IFERROR(INDEX('Both teabags AfterDry'!$D$1:$D$839,MATCH(H514,'Both teabags AfterDry'!$A$1:$A$839,0)),"")))</f>
        <v>0.82250000000000001</v>
      </c>
      <c r="T514" s="195">
        <f>IF(IFERROR(INDEX('Both teabags AfterDry'!$D$1:$D$839,MATCH(I514,'Both teabags AfterDry'!$A$1:$A$839,0)),"")="N.A","",(IFERROR(INDEX('Both teabags AfterDry'!$D$1:$D$839,MATCH(I514,'Both teabags AfterDry'!$A$1:$A$839,0)),"")))</f>
        <v>1.639</v>
      </c>
      <c r="U514" s="195">
        <f t="shared" si="79"/>
        <v>0.67189999999999994</v>
      </c>
      <c r="V514" s="195">
        <f t="shared" si="79"/>
        <v>1.4883999999999999</v>
      </c>
      <c r="W514" s="195">
        <f>IFERROR(INDEX('Ashed teabags dry'!$K$2:$K$821,MATCH(H514,'Ashed teabags dry'!$A$2:$A$821,0)),"")</f>
        <v>24.6799116997799</v>
      </c>
      <c r="X514" s="195">
        <f>IFERROR(INDEX('Ashed teabags dry'!$K$2:$K$821,MATCH(I514,'Ashed teabags dry'!$A$2:$A$821,0)),"")</f>
        <v>7.5489727663639679</v>
      </c>
      <c r="Y514" s="195">
        <f t="shared" si="74"/>
        <v>0.5060756732891788</v>
      </c>
      <c r="Z514" s="195">
        <f t="shared" si="74"/>
        <v>1.3760410893454387</v>
      </c>
      <c r="AA514" s="195">
        <f t="shared" si="80"/>
        <v>0.71558331408865139</v>
      </c>
      <c r="AB514" s="195">
        <f t="shared" si="81"/>
        <v>0.46912350282296389</v>
      </c>
      <c r="AC514" s="195">
        <f t="shared" si="75"/>
        <v>0.71582494224729076</v>
      </c>
      <c r="AD514">
        <f t="shared" si="76"/>
        <v>62</v>
      </c>
      <c r="AE514" s="195">
        <f t="shared" si="82"/>
        <v>0.15013858184245676</v>
      </c>
      <c r="AF514" s="195">
        <f t="shared" si="83"/>
        <v>1.501272508194075E-2</v>
      </c>
      <c r="AG514" s="255" t="str">
        <f>IF(ISNUMBER(SEARCH("C", 'Dry_Litterbag Placem_Collection'!AD221)),"YES","NO")</f>
        <v>NO</v>
      </c>
      <c r="AH514" s="255" t="str">
        <f>IF(ISNUMBER(SEARCH("H", 'Dry_Litterbag Placem_Collection'!AD221)),"YES","NO")</f>
        <v>NO</v>
      </c>
      <c r="AI514" s="255" t="str">
        <f>IF(ISNUMBER(SEARCH("R", 'Dry_Litterbag Placem_Collection'!AD221)),"YES","NO")</f>
        <v>NO</v>
      </c>
      <c r="AJ514" s="255" t="str">
        <f>IF(ISNUMBER(SEARCH("C", 'Dry_Litterbag Placem_Collection'!AC221)),"YES","NO")</f>
        <v>NO</v>
      </c>
      <c r="AK514" s="255" t="str">
        <f>IF(ISNUMBER(SEARCH("H", 'Dry_Litterbag Placem_Collection'!AC221)),"YES","NO")</f>
        <v>NO</v>
      </c>
      <c r="AL514" s="255" t="str">
        <f>IF(ISNUMBER(SEARCH("R", 'Dry_Litterbag Placem_Collection'!AC221)),"YES","NO")</f>
        <v>NO</v>
      </c>
      <c r="AR514" t="s">
        <v>1927</v>
      </c>
      <c r="AT514" t="s">
        <v>895</v>
      </c>
    </row>
    <row r="515" spans="2:46">
      <c r="B515" t="str">
        <f>'Final data_for_R_analysis_Dryse'!A661</f>
        <v>Dry</v>
      </c>
      <c r="C515" s="386">
        <f>'Final data_for_R_analysis_Dryse'!B661</f>
        <v>220</v>
      </c>
      <c r="D515" t="s">
        <v>2451</v>
      </c>
      <c r="E515" t="s">
        <v>25</v>
      </c>
      <c r="F515" s="387">
        <v>4</v>
      </c>
      <c r="G515" s="388">
        <f>'Dry_Litterbag Placem_Collection'!E222</f>
        <v>42942</v>
      </c>
      <c r="H515" s="92" t="str">
        <f>'Final data_for_R_analysis_Dryse'!J661</f>
        <v>G53</v>
      </c>
      <c r="I515" s="92" t="str">
        <f>'Final data_for_R_analysis_Dryse'!J881</f>
        <v>R672</v>
      </c>
      <c r="J515" s="92">
        <f>IFERROR(INDEX('Green_rooibos initial weight'!$C$5:$C$1749,MATCH(H515, 'Green_rooibos initial weight'!$A$5:$A$1749,0)),"")</f>
        <v>1.907</v>
      </c>
      <c r="K515" s="92">
        <f>IFERROR(INDEX('Green_rooibos initial weight'!$C$5:$C$1749,MATCH(I515, 'Green_rooibos initial weight'!$A$5:$A$1749,0)),"")</f>
        <v>2.161</v>
      </c>
      <c r="L515" s="195">
        <f t="shared" si="77"/>
        <v>1.6572</v>
      </c>
      <c r="M515" s="240">
        <f>AVERAGE(Ashed_controlls!$K$1:$K$11)</f>
        <v>5.5147656768714146</v>
      </c>
      <c r="N515" s="389">
        <f t="shared" si="72"/>
        <v>1.565809303202887</v>
      </c>
      <c r="O515" s="195">
        <f t="shared" si="78"/>
        <v>1.9112</v>
      </c>
      <c r="P515" s="240">
        <f>AVERAGE(Ashed_controlls!$K$12:$K$14)</f>
        <v>2.2816647271287041</v>
      </c>
      <c r="Q515" s="389">
        <f t="shared" si="73"/>
        <v>1.8675928237351163</v>
      </c>
      <c r="R515" s="388">
        <f>IF('Dry_Litterbag Placem_Collection'!G222="N.A","",'Dry_Litterbag Placem_Collection'!G222)</f>
        <v>43004</v>
      </c>
      <c r="S515" s="195" t="str">
        <f>IF(IFERROR(INDEX('Both teabags AfterDry'!$D$1:$D$839,MATCH(H515,'Both teabags AfterDry'!$A$1:$A$839,0)),"")="N.A","",(IFERROR(INDEX('Both teabags AfterDry'!$D$1:$D$839,MATCH(H515,'Both teabags AfterDry'!$A$1:$A$839,0)),"")))</f>
        <v/>
      </c>
      <c r="T515" s="195" t="str">
        <f>IF(IFERROR(INDEX('Both teabags AfterDry'!$D$1:$D$839,MATCH(I515,'Both teabags AfterDry'!$A$1:$A$839,0)),"")="N.A","",(IFERROR(INDEX('Both teabags AfterDry'!$D$1:$D$839,MATCH(I515,'Both teabags AfterDry'!$A$1:$A$839,0)),"")))</f>
        <v/>
      </c>
      <c r="U515" s="195" t="str">
        <f t="shared" si="79"/>
        <v/>
      </c>
      <c r="V515" s="195" t="str">
        <f t="shared" si="79"/>
        <v/>
      </c>
      <c r="W515" s="195" t="str">
        <f>IFERROR(INDEX('Ashed teabags dry'!$K$2:$K$821,MATCH(H515,'Ashed teabags dry'!$A$2:$A$821,0)),"")</f>
        <v/>
      </c>
      <c r="X515" s="195" t="str">
        <f>IFERROR(INDEX('Ashed teabags dry'!$K$2:$K$821,MATCH(I515,'Ashed teabags dry'!$A$2:$A$821,0)),"")</f>
        <v/>
      </c>
      <c r="Y515" s="389" t="str">
        <f t="shared" si="74"/>
        <v/>
      </c>
      <c r="Z515" s="389" t="str">
        <f t="shared" si="74"/>
        <v/>
      </c>
      <c r="AA515" s="195" t="str">
        <f t="shared" si="80"/>
        <v/>
      </c>
      <c r="AB515" s="195" t="str">
        <f t="shared" si="81"/>
        <v/>
      </c>
      <c r="AC515" s="195" t="str">
        <f t="shared" si="75"/>
        <v/>
      </c>
      <c r="AD515" s="92">
        <f t="shared" si="76"/>
        <v>62</v>
      </c>
      <c r="AE515" s="195" t="str">
        <f t="shared" si="82"/>
        <v/>
      </c>
      <c r="AF515" s="195" t="str">
        <f t="shared" si="83"/>
        <v/>
      </c>
      <c r="AG515" s="255" t="str">
        <f>IF(ISNUMBER(SEARCH("C", 'Dry_Litterbag Placem_Collection'!AD222)),"YES","NO")</f>
        <v>NO</v>
      </c>
      <c r="AH515" s="255" t="str">
        <f>IF(ISNUMBER(SEARCH("H", 'Dry_Litterbag Placem_Collection'!AD222)),"YES","NO")</f>
        <v>NO</v>
      </c>
      <c r="AI515" s="255" t="str">
        <f>IF(ISNUMBER(SEARCH("R", 'Dry_Litterbag Placem_Collection'!AD222)),"YES","NO")</f>
        <v>NO</v>
      </c>
      <c r="AJ515" s="255" t="str">
        <f>IF(ISNUMBER(SEARCH("C", 'Dry_Litterbag Placem_Collection'!AC222)),"YES","NO")</f>
        <v>NO</v>
      </c>
      <c r="AK515" s="255" t="str">
        <f>IF(ISNUMBER(SEARCH("H", 'Dry_Litterbag Placem_Collection'!AC222)),"YES","NO")</f>
        <v>NO</v>
      </c>
      <c r="AL515" s="255" t="str">
        <f>IF(ISNUMBER(SEARCH("R", 'Dry_Litterbag Placem_Collection'!AC222)),"YES","NO")</f>
        <v>NO</v>
      </c>
      <c r="AR515" t="s">
        <v>1997</v>
      </c>
      <c r="AT515" t="s">
        <v>467</v>
      </c>
    </row>
  </sheetData>
  <mergeCells count="52">
    <mergeCell ref="AR75:AU75"/>
    <mergeCell ref="D73:H74"/>
    <mergeCell ref="AG74:AL74"/>
    <mergeCell ref="L61:M61"/>
    <mergeCell ref="L62:M62"/>
    <mergeCell ref="B68:E68"/>
    <mergeCell ref="B69:E69"/>
    <mergeCell ref="B70:E70"/>
    <mergeCell ref="F70:N70"/>
    <mergeCell ref="L60:M60"/>
    <mergeCell ref="L49:M49"/>
    <mergeCell ref="L50:M50"/>
    <mergeCell ref="L51:M51"/>
    <mergeCell ref="L52:M52"/>
    <mergeCell ref="L53:M53"/>
    <mergeCell ref="L54:M54"/>
    <mergeCell ref="L55:M55"/>
    <mergeCell ref="L56:M56"/>
    <mergeCell ref="L57:M57"/>
    <mergeCell ref="L58:M58"/>
    <mergeCell ref="L59:M59"/>
    <mergeCell ref="L48:M48"/>
    <mergeCell ref="K37:R37"/>
    <mergeCell ref="B38:D38"/>
    <mergeCell ref="O38:P38"/>
    <mergeCell ref="L40:M40"/>
    <mergeCell ref="L41:M41"/>
    <mergeCell ref="L42:M42"/>
    <mergeCell ref="B37:D37"/>
    <mergeCell ref="E37:F37"/>
    <mergeCell ref="L43:M43"/>
    <mergeCell ref="L44:M44"/>
    <mergeCell ref="L45:M45"/>
    <mergeCell ref="L46:M46"/>
    <mergeCell ref="L47:M47"/>
    <mergeCell ref="B28:E28"/>
    <mergeCell ref="B29:E29"/>
    <mergeCell ref="B30:E30"/>
    <mergeCell ref="B31:E31"/>
    <mergeCell ref="B32:E32"/>
    <mergeCell ref="B27:E27"/>
    <mergeCell ref="B12:E12"/>
    <mergeCell ref="B13:E13"/>
    <mergeCell ref="B14:E14"/>
    <mergeCell ref="B15:E15"/>
    <mergeCell ref="B16:E16"/>
    <mergeCell ref="B17:E17"/>
    <mergeCell ref="B18:E18"/>
    <mergeCell ref="B19:E19"/>
    <mergeCell ref="B20:E20"/>
    <mergeCell ref="B25:E25"/>
    <mergeCell ref="B26:E26"/>
  </mergeCells>
  <dataValidations disablePrompts="1" count="7">
    <dataValidation type="list" allowBlank="1" showInputMessage="1" showErrorMessage="1" sqref="T39:T63" xr:uid="{633D1373-C489-4226-BD05-8C519779B453}">
      <formula1>aspect</formula1>
    </dataValidation>
    <dataValidation type="list" allowBlank="1" showInputMessage="1" showErrorMessage="1" sqref="S39:S63" xr:uid="{B311EB38-26FB-4280-B021-4440A21EB943}">
      <formula1>slope</formula1>
    </dataValidation>
    <dataValidation type="list" allowBlank="1" showInputMessage="1" showErrorMessage="1" sqref="R39:R63" xr:uid="{633FA1E0-BB1A-4C11-937E-5A5D2B031BC9}">
      <formula1>rootingdepth</formula1>
    </dataValidation>
    <dataValidation type="list" allowBlank="1" showInputMessage="1" showErrorMessage="1" sqref="Q39:Q63" xr:uid="{0EC56E37-C971-423E-863A-D98114BCD95F}">
      <formula1>soildepth</formula1>
    </dataValidation>
    <dataValidation type="list" allowBlank="1" showInputMessage="1" showErrorMessage="1" sqref="O39:O63" xr:uid="{C8BF44E7-55A0-4460-B615-E9479A0B624F}">
      <formula1>ecosystem</formula1>
    </dataValidation>
    <dataValidation type="list" allowBlank="1" showInputMessage="1" showErrorMessage="1" sqref="L39:L63" xr:uid="{7999DC18-920B-4C35-90E3-F0ED42A13F45}">
      <formula1>human_impact</formula1>
    </dataValidation>
    <dataValidation type="list" allowBlank="1" showInputMessage="1" showErrorMessage="1" sqref="K39:K63" xr:uid="{C9C2C488-FA8C-43CB-A457-46D26C7BB4F6}">
      <formula1>shading</formula1>
    </dataValidation>
  </dataValidations>
  <hyperlinks>
    <hyperlink ref="F16" r:id="rId1" xr:uid="{918E898B-D544-40DF-945C-0D0EF576D4A2}"/>
    <hyperlink ref="F15" r:id="rId2" xr:uid="{4403BD38-40CB-4C68-9A9D-6A2212697303}"/>
  </hyperlinks>
  <pageMargins left="0.7" right="0.7" top="0.75" bottom="0.75" header="0.3" footer="0.3"/>
  <pageSetup paperSize="9" orientation="portrait" r:id="rId3"/>
  <legacyDrawing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7"/>
  <sheetViews>
    <sheetView workbookViewId="0">
      <selection activeCell="C16" sqref="C16"/>
    </sheetView>
  </sheetViews>
  <sheetFormatPr baseColWidth="10" defaultColWidth="11.44140625" defaultRowHeight="14.4"/>
  <cols>
    <col min="1" max="1" width="11.44140625" style="42"/>
  </cols>
  <sheetData>
    <row r="1" spans="1:3">
      <c r="B1" t="s">
        <v>174</v>
      </c>
      <c r="C1" t="s">
        <v>175</v>
      </c>
    </row>
    <row r="2" spans="1:3">
      <c r="B2" t="s">
        <v>176</v>
      </c>
      <c r="C2" t="s">
        <v>177</v>
      </c>
    </row>
    <row r="3" spans="1:3">
      <c r="A3" s="42">
        <v>42163</v>
      </c>
      <c r="B3" t="s">
        <v>178</v>
      </c>
      <c r="C3" t="s">
        <v>179</v>
      </c>
    </row>
    <row r="4" spans="1:3">
      <c r="C4" t="s">
        <v>180</v>
      </c>
    </row>
    <row r="5" spans="1:3">
      <c r="C5" t="s">
        <v>181</v>
      </c>
    </row>
    <row r="6" spans="1:3">
      <c r="C6" t="s">
        <v>182</v>
      </c>
    </row>
    <row r="7" spans="1:3">
      <c r="C7" t="s">
        <v>183</v>
      </c>
    </row>
    <row r="8" spans="1:3">
      <c r="C8" t="s">
        <v>184</v>
      </c>
    </row>
    <row r="9" spans="1:3">
      <c r="A9" s="42">
        <v>42158</v>
      </c>
      <c r="B9" t="s">
        <v>185</v>
      </c>
      <c r="C9" t="s">
        <v>186</v>
      </c>
    </row>
    <row r="10" spans="1:3">
      <c r="A10" s="42">
        <v>42342</v>
      </c>
      <c r="C10" t="s">
        <v>187</v>
      </c>
    </row>
    <row r="11" spans="1:3">
      <c r="A11" s="42">
        <v>42345</v>
      </c>
      <c r="C11" t="s">
        <v>188</v>
      </c>
    </row>
    <row r="12" spans="1:3">
      <c r="C12" t="s">
        <v>189</v>
      </c>
    </row>
    <row r="13" spans="1:3">
      <c r="C13" t="s">
        <v>190</v>
      </c>
    </row>
    <row r="14" spans="1:3">
      <c r="C14" t="s">
        <v>191</v>
      </c>
    </row>
    <row r="15" spans="1:3">
      <c r="C15" t="s">
        <v>192</v>
      </c>
    </row>
    <row r="16" spans="1:3">
      <c r="C16" t="s">
        <v>193</v>
      </c>
    </row>
    <row r="17" spans="3:3">
      <c r="C17" t="s">
        <v>194</v>
      </c>
    </row>
  </sheetData>
  <pageMargins left="0.7" right="0.7" top="0.75" bottom="0.75" header="0.3" footer="0.3"/>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U2"/>
  <sheetViews>
    <sheetView workbookViewId="0">
      <selection activeCell="C16" sqref="C16"/>
    </sheetView>
  </sheetViews>
  <sheetFormatPr baseColWidth="10" defaultColWidth="11.44140625" defaultRowHeight="14.4"/>
  <sheetData>
    <row r="1" spans="2:21" s="10" customFormat="1" ht="42" customHeight="1" thickBot="1">
      <c r="B1" s="15" t="s">
        <v>23</v>
      </c>
      <c r="C1" s="9" t="s">
        <v>24</v>
      </c>
      <c r="D1" s="14" t="s">
        <v>25</v>
      </c>
      <c r="E1" s="9" t="s">
        <v>26</v>
      </c>
      <c r="F1" s="12" t="s">
        <v>98</v>
      </c>
      <c r="G1" s="8" t="s">
        <v>195</v>
      </c>
      <c r="H1" s="8" t="s">
        <v>28</v>
      </c>
      <c r="I1" s="8" t="s">
        <v>29</v>
      </c>
      <c r="J1" s="8" t="s">
        <v>30</v>
      </c>
      <c r="K1" s="12" t="s">
        <v>107</v>
      </c>
      <c r="L1" s="13" t="s">
        <v>32</v>
      </c>
      <c r="M1" s="13" t="s">
        <v>33</v>
      </c>
      <c r="N1" s="9" t="s">
        <v>34</v>
      </c>
      <c r="O1" s="9" t="s">
        <v>35</v>
      </c>
      <c r="P1" s="9" t="s">
        <v>36</v>
      </c>
      <c r="Q1" s="9" t="s">
        <v>37</v>
      </c>
      <c r="R1" s="9" t="s">
        <v>38</v>
      </c>
      <c r="S1" s="9" t="s">
        <v>39</v>
      </c>
      <c r="T1" s="7" t="s">
        <v>40</v>
      </c>
      <c r="U1" s="7" t="s">
        <v>41</v>
      </c>
    </row>
    <row r="2" spans="2:21">
      <c r="B2" t="s">
        <v>23</v>
      </c>
      <c r="C2" t="s">
        <v>24</v>
      </c>
      <c r="D2" t="s">
        <v>25</v>
      </c>
      <c r="E2" t="s">
        <v>196</v>
      </c>
      <c r="I2" t="s">
        <v>197</v>
      </c>
      <c r="J2" t="s">
        <v>198</v>
      </c>
      <c r="N2" t="s">
        <v>199</v>
      </c>
      <c r="O2" t="s">
        <v>200</v>
      </c>
      <c r="S2" t="s">
        <v>201</v>
      </c>
    </row>
  </sheetData>
  <conditionalFormatting sqref="P1:U1">
    <cfRule type="containsErrors" dxfId="0" priority="1">
      <formula>ISERROR(P1)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30</vt:i4>
      </vt:variant>
    </vt:vector>
  </HeadingPairs>
  <TitlesOfParts>
    <vt:vector size="30" baseType="lpstr">
      <vt:lpstr>Final data_for_R_analysis_Wetse</vt:lpstr>
      <vt:lpstr>Final data_for_R_analysis_Dryse</vt:lpstr>
      <vt:lpstr>Dry_Litterbag Placem_Collection</vt:lpstr>
      <vt:lpstr>TBIcalc</vt:lpstr>
      <vt:lpstr>50x50 Mound survey</vt:lpstr>
      <vt:lpstr>Coordinates</vt:lpstr>
      <vt:lpstr>Soil_texture</vt:lpstr>
      <vt:lpstr>Rainfall_Wet</vt:lpstr>
      <vt:lpstr>Teabags_used_in_wet</vt:lpstr>
      <vt:lpstr>Ashed_controlls</vt:lpstr>
      <vt:lpstr>Duplicate check</vt:lpstr>
      <vt:lpstr>Ashed teabags wet</vt:lpstr>
      <vt:lpstr>WetLitterbags placem_collection</vt:lpstr>
      <vt:lpstr>Both teabags AfterWet</vt:lpstr>
      <vt:lpstr>Ashed teabags dry</vt:lpstr>
      <vt:lpstr>Ash_Protocol</vt:lpstr>
      <vt:lpstr>Rainfall_Dry</vt:lpstr>
      <vt:lpstr>Green_rooibos initial weight</vt:lpstr>
      <vt:lpstr>Both teabags AfterDry</vt:lpstr>
      <vt:lpstr>Dry_season</vt:lpstr>
      <vt:lpstr>Wet_season</vt:lpstr>
      <vt:lpstr>TBImanual</vt:lpstr>
      <vt:lpstr>Bugs&amp;Issues</vt:lpstr>
      <vt:lpstr>Things</vt:lpstr>
      <vt:lpstr>TBIWet_Unashed</vt:lpstr>
      <vt:lpstr>TBIWet</vt:lpstr>
      <vt:lpstr>TBIDry_Unashed</vt:lpstr>
      <vt:lpstr>TBIDry</vt:lpstr>
      <vt:lpstr>Changelog</vt:lpstr>
      <vt:lpstr>DIAGNOSTICS</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Gaëtan</dc:creator>
  <cp:lastModifiedBy>Anders Sundsdal</cp:lastModifiedBy>
  <cp:revision/>
  <dcterms:created xsi:type="dcterms:W3CDTF">2013-08-01T12:13:43Z</dcterms:created>
  <dcterms:modified xsi:type="dcterms:W3CDTF">2018-11-27T12:10:44Z</dcterms:modified>
</cp:coreProperties>
</file>